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E:\bot Henry\file\match\"/>
    </mc:Choice>
  </mc:AlternateContent>
  <xr:revisionPtr revIDLastSave="0" documentId="13_ncr:1_{5B78E85D-920E-4958-87C1-AD756EFC2AD0}" xr6:coauthVersionLast="45" xr6:coauthVersionMax="45" xr10:uidLastSave="{00000000-0000-0000-0000-000000000000}"/>
  <bookViews>
    <workbookView xWindow="-120" yWindow="-120" windowWidth="29040" windowHeight="16440" xr2:uid="{00000000-000D-0000-FFFF-FFFF00000000}"/>
  </bookViews>
  <sheets>
    <sheet name="Overall results data" sheetId="1" r:id="rId1"/>
    <sheet name="Dropdown lists" sheetId="2" r:id="rId2"/>
    <sheet name="guilexperi rb" sheetId="3" r:id="rId3"/>
    <sheet name="Personal Info" sheetId="4" r:id="rId4"/>
    <sheet name="Deal Info" sheetId="5" r:id="rId5"/>
    <sheet name="Room Info" sheetId="6" r:id="rId6"/>
    <sheet name="SM0LK0" sheetId="7" state="hidden" r:id="rId7"/>
    <sheet name="Verification" sheetId="8" r:id="rId8"/>
    <sheet name="For notion" sheetId="9" r:id="rId9"/>
    <sheet name="Split" sheetId="10" r:id="rId10"/>
    <sheet name="Tournaments Table" sheetId="11" r:id="rId11"/>
  </sheets>
  <definedNames>
    <definedName name="_xlnm._FilterDatabase" localSheetId="0" hidden="1">'Overall results data'!$A$1:$AG$2446</definedName>
    <definedName name="_xlnm._FilterDatabase" localSheetId="5" hidden="1">'Room Info'!$A$1:$T$82</definedName>
    <definedName name="Z_5F0434D8_D832_4F88_9507_A85AAE16E128_.wvu.FilterData" localSheetId="0" hidden="1">'Overall results data'!$A$1:$AD$2445</definedName>
    <definedName name="Z_5F0434D8_D832_4F88_9507_A85AAE16E128_.wvu.FilterData" localSheetId="6" hidden="1">SM0LK0!$A$1:$AB$2449</definedName>
    <definedName name="Z_82E4AFC8_F9F3_45BC_A1B7_B272A8D2C2B9_.wvu.FilterData" localSheetId="0" hidden="1">'Overall results data'!$A$1:$AG$2445</definedName>
    <definedName name="Z_BA5FD89F_BAEB_4FD2_9C40_3A65D155B0D4_.wvu.FilterData" localSheetId="0" hidden="1">'Overall results data'!$A$1:$AG$2446</definedName>
  </definedNames>
  <calcPr calcId="191029"/>
  <customWorkbookViews>
    <customWorkbookView name="Filter 2" guid="{82E4AFC8-F9F3-45BC-A1B7-B272A8D2C2B9}" maximized="1" windowWidth="0" windowHeight="0" activeSheetId="0"/>
    <customWorkbookView name="Filter 3" guid="{BA5FD89F-BAEB-4FD2-9C40-3A65D155B0D4}" maximized="1" windowWidth="0" windowHeight="0" activeSheetId="0"/>
    <customWorkbookView name="Filter 1" guid="{5F0434D8-D832-4F88-9507-A85AAE16E128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2449" i="7" l="1"/>
  <c r="K2448" i="7"/>
  <c r="L2447" i="7"/>
  <c r="K2447" i="7"/>
  <c r="K2446" i="7"/>
  <c r="K2445" i="7"/>
  <c r="K2444" i="7"/>
  <c r="K2443" i="7"/>
  <c r="L2442" i="7"/>
  <c r="K2442" i="7"/>
  <c r="L2441" i="7"/>
  <c r="K2441" i="7"/>
  <c r="K2440" i="7"/>
  <c r="K2439" i="7"/>
  <c r="K2438" i="7"/>
  <c r="K2437" i="7"/>
  <c r="K2436" i="7"/>
  <c r="K2435" i="7"/>
  <c r="K2434" i="7"/>
  <c r="K2433" i="7"/>
  <c r="K2432" i="7"/>
  <c r="K2431" i="7"/>
  <c r="K2430" i="7"/>
  <c r="K2429" i="7"/>
  <c r="K2428" i="7"/>
  <c r="K2427" i="7"/>
  <c r="K2426" i="7"/>
  <c r="K2425" i="7"/>
  <c r="K2424" i="7"/>
  <c r="K2423" i="7"/>
  <c r="K2422" i="7"/>
  <c r="K2421" i="7"/>
  <c r="K2420" i="7"/>
  <c r="K2419" i="7"/>
  <c r="K2418" i="7"/>
  <c r="K2417" i="7"/>
  <c r="K2416" i="7"/>
  <c r="K2415" i="7"/>
  <c r="K2414" i="7"/>
  <c r="K2413" i="7"/>
  <c r="K2412" i="7"/>
  <c r="K2411" i="7"/>
  <c r="K2410" i="7"/>
  <c r="K2409" i="7"/>
  <c r="K2408" i="7"/>
  <c r="K2407" i="7"/>
  <c r="K2406" i="7"/>
  <c r="K2405" i="7"/>
  <c r="K2404" i="7"/>
  <c r="K2403" i="7"/>
  <c r="K2402" i="7"/>
  <c r="K2401" i="7"/>
  <c r="K2400" i="7"/>
  <c r="K2399" i="7"/>
  <c r="K2398" i="7"/>
  <c r="K2397" i="7"/>
  <c r="K2396" i="7"/>
  <c r="K2395" i="7"/>
  <c r="L2394" i="7"/>
  <c r="K2394" i="7"/>
  <c r="L2393" i="7"/>
  <c r="K2393" i="7"/>
  <c r="L2392" i="7"/>
  <c r="K2392" i="7"/>
  <c r="K2391" i="7"/>
  <c r="K2390" i="7"/>
  <c r="L2389" i="7"/>
  <c r="K2389" i="7"/>
  <c r="K2388" i="7"/>
  <c r="K2387" i="7"/>
  <c r="K2386" i="7"/>
  <c r="K2385" i="7"/>
  <c r="K2384" i="7"/>
  <c r="K2383" i="7"/>
  <c r="K2382" i="7"/>
  <c r="K2381" i="7"/>
  <c r="K2380" i="7"/>
  <c r="K2379" i="7"/>
  <c r="K2378" i="7"/>
  <c r="K2377" i="7"/>
  <c r="K2376" i="7"/>
  <c r="K2375" i="7"/>
  <c r="K2374" i="7"/>
  <c r="K2373" i="7"/>
  <c r="K2372" i="7"/>
  <c r="K2371" i="7"/>
  <c r="K2370" i="7"/>
  <c r="K2369" i="7"/>
  <c r="K2368" i="7"/>
  <c r="K2367" i="7"/>
  <c r="K2366" i="7"/>
  <c r="K2365" i="7"/>
  <c r="K2364" i="7"/>
  <c r="K2363" i="7"/>
  <c r="K2362" i="7"/>
  <c r="K2361" i="7"/>
  <c r="K2360" i="7"/>
  <c r="K2359" i="7"/>
  <c r="K2358" i="7"/>
  <c r="K2357" i="7"/>
  <c r="K2356" i="7"/>
  <c r="K2355" i="7"/>
  <c r="K2354" i="7"/>
  <c r="K2353" i="7"/>
  <c r="K2352" i="7"/>
  <c r="K2351" i="7"/>
  <c r="K2350" i="7"/>
  <c r="K2349" i="7"/>
  <c r="K2348" i="7"/>
  <c r="K2347" i="7"/>
  <c r="K2346" i="7"/>
  <c r="K2345" i="7"/>
  <c r="K2344" i="7"/>
  <c r="K2343" i="7"/>
  <c r="K2342" i="7"/>
  <c r="K2341" i="7"/>
  <c r="K2340" i="7"/>
  <c r="K2339" i="7"/>
  <c r="K2338" i="7"/>
  <c r="K2337" i="7"/>
  <c r="K2336" i="7"/>
  <c r="K2335" i="7"/>
  <c r="K2334" i="7"/>
  <c r="K2333" i="7"/>
  <c r="K2332" i="7"/>
  <c r="K2331" i="7"/>
  <c r="K2330" i="7"/>
  <c r="K2329" i="7"/>
  <c r="K2328" i="7"/>
  <c r="K2327" i="7"/>
  <c r="K2326" i="7"/>
  <c r="K2325" i="7"/>
  <c r="K2324" i="7"/>
  <c r="K2323" i="7"/>
  <c r="K2322" i="7"/>
  <c r="K2321" i="7"/>
  <c r="K2320" i="7"/>
  <c r="K2319" i="7"/>
  <c r="K2318" i="7"/>
  <c r="K2317" i="7"/>
  <c r="K2316" i="7"/>
  <c r="K2315" i="7"/>
  <c r="K2314" i="7"/>
  <c r="K2313" i="7"/>
  <c r="K2312" i="7"/>
  <c r="K2311" i="7"/>
  <c r="K2310" i="7"/>
  <c r="K2309" i="7"/>
  <c r="K2308" i="7"/>
  <c r="K2307" i="7"/>
  <c r="K2306" i="7"/>
  <c r="K2305" i="7"/>
  <c r="K2304" i="7"/>
  <c r="K2303" i="7"/>
  <c r="K2302" i="7"/>
  <c r="L2301" i="7"/>
  <c r="K2301" i="7"/>
  <c r="K2300" i="7"/>
  <c r="K2299" i="7"/>
  <c r="K2298" i="7"/>
  <c r="K2297" i="7"/>
  <c r="L2296" i="7"/>
  <c r="K2296" i="7"/>
  <c r="L2295" i="7"/>
  <c r="K2295" i="7"/>
  <c r="L2294" i="7"/>
  <c r="K2294" i="7"/>
  <c r="L2293" i="7"/>
  <c r="K2293" i="7"/>
  <c r="L2292" i="7"/>
  <c r="K2292" i="7"/>
  <c r="L2291" i="7"/>
  <c r="K2291" i="7"/>
  <c r="L2290" i="7"/>
  <c r="K2290" i="7"/>
  <c r="L2289" i="7"/>
  <c r="K2289" i="7"/>
  <c r="L2288" i="7"/>
  <c r="K2288" i="7"/>
  <c r="L2287" i="7"/>
  <c r="K2287" i="7"/>
  <c r="K2286" i="7"/>
  <c r="K2285" i="7"/>
  <c r="K2284" i="7"/>
  <c r="K2283" i="7"/>
  <c r="K2282" i="7"/>
  <c r="K2281" i="7"/>
  <c r="K2280" i="7"/>
  <c r="K2279" i="7"/>
  <c r="K2278" i="7"/>
  <c r="K2277" i="7"/>
  <c r="K2276" i="7"/>
  <c r="K2275" i="7"/>
  <c r="K2274" i="7"/>
  <c r="K2273" i="7"/>
  <c r="K2272" i="7"/>
  <c r="K2271" i="7"/>
  <c r="K2270" i="7"/>
  <c r="K2269" i="7"/>
  <c r="K2268" i="7"/>
  <c r="K2267" i="7"/>
  <c r="K2266" i="7"/>
  <c r="K2265" i="7"/>
  <c r="K2264" i="7"/>
  <c r="K2263" i="7"/>
  <c r="K2262" i="7"/>
  <c r="K2261" i="7"/>
  <c r="K2260" i="7"/>
  <c r="K2259" i="7"/>
  <c r="K2258" i="7"/>
  <c r="K2257" i="7"/>
  <c r="K2256" i="7"/>
  <c r="K2255" i="7"/>
  <c r="K2254" i="7"/>
  <c r="K2253" i="7"/>
  <c r="K2252" i="7"/>
  <c r="K2251" i="7"/>
  <c r="K2250" i="7"/>
  <c r="K2249" i="7"/>
  <c r="K2248" i="7"/>
  <c r="K2247" i="7"/>
  <c r="K2246" i="7"/>
  <c r="K2245" i="7"/>
  <c r="K2244" i="7"/>
  <c r="K2243" i="7"/>
  <c r="K2242" i="7"/>
  <c r="K2241" i="7"/>
  <c r="K2240" i="7"/>
  <c r="K2239" i="7"/>
  <c r="K2238" i="7"/>
  <c r="K2237" i="7"/>
  <c r="K2236" i="7"/>
  <c r="K2235" i="7"/>
  <c r="K2234" i="7"/>
  <c r="K2233" i="7"/>
  <c r="K2232" i="7"/>
  <c r="L2231" i="7"/>
  <c r="K2231" i="7"/>
  <c r="K2230" i="7"/>
  <c r="K2229" i="7"/>
  <c r="K2228" i="7"/>
  <c r="K2227" i="7"/>
  <c r="K2226" i="7"/>
  <c r="N2225" i="7"/>
  <c r="K2225" i="7"/>
  <c r="K2224" i="7"/>
  <c r="K2223" i="7"/>
  <c r="K2222" i="7"/>
  <c r="K2221" i="7"/>
  <c r="K2220" i="7"/>
  <c r="K2219" i="7"/>
  <c r="K2218" i="7"/>
  <c r="K2217" i="7"/>
  <c r="K2216" i="7"/>
  <c r="K2215" i="7"/>
  <c r="K2214" i="7"/>
  <c r="K2213" i="7"/>
  <c r="K2212" i="7"/>
  <c r="K2211" i="7"/>
  <c r="K2210" i="7"/>
  <c r="K2209" i="7"/>
  <c r="K2208" i="7"/>
  <c r="K2207" i="7"/>
  <c r="K2206" i="7"/>
  <c r="K2205" i="7"/>
  <c r="K2204" i="7"/>
  <c r="K2203" i="7"/>
  <c r="K2202" i="7"/>
  <c r="K2201" i="7"/>
  <c r="K2200" i="7"/>
  <c r="K2199" i="7"/>
  <c r="K2198" i="7"/>
  <c r="K2197" i="7"/>
  <c r="K2196" i="7"/>
  <c r="K2195" i="7"/>
  <c r="K2194" i="7"/>
  <c r="K2193" i="7"/>
  <c r="K2192" i="7"/>
  <c r="K2191" i="7"/>
  <c r="K2190" i="7"/>
  <c r="K2189" i="7"/>
  <c r="K2188" i="7"/>
  <c r="K2187" i="7"/>
  <c r="K2186" i="7"/>
  <c r="K2185" i="7"/>
  <c r="K2184" i="7"/>
  <c r="K2183" i="7"/>
  <c r="K2182" i="7"/>
  <c r="K2181" i="7"/>
  <c r="K2180" i="7"/>
  <c r="K2179" i="7"/>
  <c r="K2178" i="7"/>
  <c r="K2177" i="7"/>
  <c r="K2176" i="7"/>
  <c r="K2175" i="7"/>
  <c r="K2174" i="7"/>
  <c r="K2173" i="7"/>
  <c r="K2172" i="7"/>
  <c r="K2171" i="7"/>
  <c r="K2170" i="7"/>
  <c r="N2169" i="7"/>
  <c r="K2169" i="7"/>
  <c r="K2168" i="7"/>
  <c r="K2167" i="7"/>
  <c r="K2166" i="7"/>
  <c r="K2165" i="7"/>
  <c r="K2164" i="7"/>
  <c r="K2163" i="7"/>
  <c r="K2162" i="7"/>
  <c r="K2161" i="7"/>
  <c r="K2160" i="7"/>
  <c r="K2159" i="7"/>
  <c r="K2158" i="7"/>
  <c r="K2157" i="7"/>
  <c r="K2156" i="7"/>
  <c r="K2155" i="7"/>
  <c r="K2154" i="7"/>
  <c r="K2153" i="7"/>
  <c r="K2152" i="7"/>
  <c r="K2151" i="7"/>
  <c r="K2150" i="7"/>
  <c r="K2149" i="7"/>
  <c r="K2148" i="7"/>
  <c r="L2147" i="7"/>
  <c r="K2147" i="7"/>
  <c r="K2146" i="7"/>
  <c r="K2145" i="7"/>
  <c r="K2144" i="7"/>
  <c r="N2143" i="7"/>
  <c r="K2143" i="7"/>
  <c r="K2142" i="7"/>
  <c r="K2141" i="7"/>
  <c r="K2140" i="7"/>
  <c r="K2139" i="7"/>
  <c r="K2138" i="7"/>
  <c r="K2137" i="7"/>
  <c r="K2136" i="7"/>
  <c r="K2135" i="7"/>
  <c r="K2134" i="7"/>
  <c r="K2133" i="7"/>
  <c r="K2132" i="7"/>
  <c r="N2131" i="7"/>
  <c r="K2131" i="7"/>
  <c r="K2130" i="7"/>
  <c r="K2129" i="7"/>
  <c r="K2128" i="7"/>
  <c r="K2127" i="7"/>
  <c r="K2126" i="7"/>
  <c r="K2125" i="7"/>
  <c r="K2124" i="7"/>
  <c r="K2123" i="7"/>
  <c r="K2122" i="7"/>
  <c r="K2121" i="7"/>
  <c r="K2120" i="7"/>
  <c r="K2119" i="7"/>
  <c r="K2118" i="7"/>
  <c r="K2117" i="7"/>
  <c r="K2116" i="7"/>
  <c r="K2115" i="7"/>
  <c r="L2114" i="7"/>
  <c r="K2114" i="7"/>
  <c r="L2113" i="7"/>
  <c r="K2113" i="7"/>
  <c r="L2112" i="7"/>
  <c r="K2112" i="7"/>
  <c r="K2111" i="7"/>
  <c r="K2110" i="7"/>
  <c r="K2109" i="7"/>
  <c r="K2108" i="7"/>
  <c r="K2107" i="7"/>
  <c r="K2106" i="7"/>
  <c r="K2105" i="7"/>
  <c r="K2104" i="7"/>
  <c r="K2103" i="7"/>
  <c r="K2102" i="7"/>
  <c r="K2101" i="7"/>
  <c r="K2100" i="7"/>
  <c r="K2099" i="7"/>
  <c r="K2098" i="7"/>
  <c r="K2097" i="7"/>
  <c r="K2096" i="7"/>
  <c r="K2095" i="7"/>
  <c r="K2094" i="7"/>
  <c r="K2093" i="7"/>
  <c r="K2092" i="7"/>
  <c r="K2091" i="7"/>
  <c r="K2090" i="7"/>
  <c r="K2089" i="7"/>
  <c r="K2088" i="7"/>
  <c r="K2087" i="7"/>
  <c r="K2086" i="7"/>
  <c r="K2085" i="7"/>
  <c r="K2084" i="7"/>
  <c r="K2083" i="7"/>
  <c r="K2082" i="7"/>
  <c r="K2081" i="7"/>
  <c r="K2080" i="7"/>
  <c r="K2079" i="7"/>
  <c r="K2078" i="7"/>
  <c r="K2077" i="7"/>
  <c r="K2076" i="7"/>
  <c r="K2075" i="7"/>
  <c r="K2074" i="7"/>
  <c r="K2073" i="7"/>
  <c r="K2072" i="7"/>
  <c r="K2071" i="7"/>
  <c r="K2070" i="7"/>
  <c r="K2069" i="7"/>
  <c r="N2068" i="7"/>
  <c r="K2068" i="7"/>
  <c r="K2067" i="7"/>
  <c r="K2066" i="7"/>
  <c r="K2065" i="7"/>
  <c r="K2064" i="7"/>
  <c r="K2063" i="7"/>
  <c r="K2062" i="7"/>
  <c r="K2061" i="7"/>
  <c r="K2060" i="7"/>
  <c r="K2059" i="7"/>
  <c r="K2058" i="7"/>
  <c r="K2057" i="7"/>
  <c r="K2056" i="7"/>
  <c r="K2055" i="7"/>
  <c r="K2054" i="7"/>
  <c r="K2053" i="7"/>
  <c r="K2052" i="7"/>
  <c r="L2051" i="7"/>
  <c r="K2051" i="7"/>
  <c r="L2050" i="7"/>
  <c r="K2050" i="7"/>
  <c r="L2049" i="7"/>
  <c r="K2049" i="7"/>
  <c r="L2048" i="7"/>
  <c r="K2048" i="7"/>
  <c r="K2047" i="7"/>
  <c r="K2046" i="7"/>
  <c r="K2045" i="7"/>
  <c r="K2044" i="7"/>
  <c r="K2043" i="7"/>
  <c r="K2042" i="7"/>
  <c r="K2041" i="7"/>
  <c r="K2040" i="7"/>
  <c r="K2039" i="7"/>
  <c r="K2038" i="7"/>
  <c r="K2037" i="7"/>
  <c r="K2036" i="7"/>
  <c r="K2035" i="7"/>
  <c r="K2034" i="7"/>
  <c r="K2033" i="7"/>
  <c r="K2032" i="7"/>
  <c r="K2031" i="7"/>
  <c r="K2030" i="7"/>
  <c r="K2029" i="7"/>
  <c r="K2028" i="7"/>
  <c r="K2027" i="7"/>
  <c r="K2026" i="7"/>
  <c r="K2025" i="7"/>
  <c r="K2024" i="7"/>
  <c r="K2023" i="7"/>
  <c r="K2022" i="7"/>
  <c r="K2021" i="7"/>
  <c r="K2020" i="7"/>
  <c r="K2019" i="7"/>
  <c r="K2018" i="7"/>
  <c r="K2017" i="7"/>
  <c r="K2016" i="7"/>
  <c r="K2015" i="7"/>
  <c r="K2014" i="7"/>
  <c r="K2013" i="7"/>
  <c r="K2012" i="7"/>
  <c r="K2011" i="7"/>
  <c r="K2010" i="7"/>
  <c r="K2009" i="7"/>
  <c r="K2008" i="7"/>
  <c r="K2007" i="7"/>
  <c r="K2006" i="7"/>
  <c r="K2005" i="7"/>
  <c r="K2004" i="7"/>
  <c r="K2003" i="7"/>
  <c r="K2002" i="7"/>
  <c r="K2001" i="7"/>
  <c r="K2000" i="7"/>
  <c r="K1999" i="7"/>
  <c r="L1998" i="7"/>
  <c r="K1998" i="7"/>
  <c r="L1997" i="7"/>
  <c r="K1997" i="7"/>
  <c r="L1996" i="7"/>
  <c r="K1996" i="7"/>
  <c r="L1995" i="7"/>
  <c r="K1995" i="7"/>
  <c r="K1994" i="7"/>
  <c r="K1993" i="7"/>
  <c r="K1992" i="7"/>
  <c r="K1991" i="7"/>
  <c r="K1990" i="7"/>
  <c r="K1989" i="7"/>
  <c r="K1988" i="7"/>
  <c r="K1987" i="7"/>
  <c r="K1986" i="7"/>
  <c r="K1985" i="7"/>
  <c r="K1984" i="7"/>
  <c r="K1983" i="7"/>
  <c r="K1982" i="7"/>
  <c r="K1981" i="7"/>
  <c r="K1980" i="7"/>
  <c r="K1979" i="7"/>
  <c r="K1978" i="7"/>
  <c r="K1977" i="7"/>
  <c r="N1976" i="7"/>
  <c r="K1976" i="7"/>
  <c r="K1975" i="7"/>
  <c r="K1974" i="7"/>
  <c r="K1973" i="7"/>
  <c r="K1972" i="7"/>
  <c r="K1971" i="7"/>
  <c r="K1970" i="7"/>
  <c r="K1969" i="7"/>
  <c r="K1968" i="7"/>
  <c r="K1967" i="7"/>
  <c r="K1966" i="7"/>
  <c r="K1965" i="7"/>
  <c r="K1964" i="7"/>
  <c r="K1963" i="7"/>
  <c r="K1962" i="7"/>
  <c r="K1961" i="7"/>
  <c r="K1960" i="7"/>
  <c r="K1959" i="7"/>
  <c r="K1958" i="7"/>
  <c r="K1957" i="7"/>
  <c r="K1956" i="7"/>
  <c r="K1955" i="7"/>
  <c r="K1954" i="7"/>
  <c r="K1953" i="7"/>
  <c r="K1952" i="7"/>
  <c r="K1951" i="7"/>
  <c r="K1950" i="7"/>
  <c r="K1949" i="7"/>
  <c r="K1948" i="7"/>
  <c r="K1947" i="7"/>
  <c r="K1946" i="7"/>
  <c r="K1945" i="7"/>
  <c r="K1944" i="7"/>
  <c r="K1943" i="7"/>
  <c r="K1942" i="7"/>
  <c r="K1941" i="7"/>
  <c r="K1940" i="7"/>
  <c r="K1939" i="7"/>
  <c r="K1938" i="7"/>
  <c r="K1937" i="7"/>
  <c r="K1936" i="7"/>
  <c r="K1935" i="7"/>
  <c r="K1934" i="7"/>
  <c r="K1933" i="7"/>
  <c r="K1932" i="7"/>
  <c r="K1931" i="7"/>
  <c r="K1930" i="7"/>
  <c r="K1929" i="7"/>
  <c r="K1928" i="7"/>
  <c r="K1927" i="7"/>
  <c r="K1926" i="7"/>
  <c r="K1925" i="7"/>
  <c r="K1924" i="7"/>
  <c r="K1923" i="7"/>
  <c r="K1922" i="7"/>
  <c r="K1921" i="7"/>
  <c r="K1920" i="7"/>
  <c r="K1919" i="7"/>
  <c r="K1918" i="7"/>
  <c r="K1917" i="7"/>
  <c r="K1916" i="7"/>
  <c r="K1915" i="7"/>
  <c r="K1914" i="7"/>
  <c r="L1913" i="7"/>
  <c r="K1913" i="7"/>
  <c r="L1912" i="7"/>
  <c r="K1912" i="7"/>
  <c r="L1911" i="7"/>
  <c r="K1911" i="7"/>
  <c r="L1910" i="7"/>
  <c r="K1910" i="7"/>
  <c r="L1909" i="7"/>
  <c r="K1909" i="7"/>
  <c r="K1908" i="7"/>
  <c r="K1907" i="7"/>
  <c r="K1906" i="7"/>
  <c r="K1905" i="7"/>
  <c r="K1904" i="7"/>
  <c r="K1903" i="7"/>
  <c r="K1902" i="7"/>
  <c r="K1901" i="7"/>
  <c r="K1900" i="7"/>
  <c r="K1899" i="7"/>
  <c r="K1898" i="7"/>
  <c r="K1897" i="7"/>
  <c r="K1896" i="7"/>
  <c r="K1895" i="7"/>
  <c r="K1894" i="7"/>
  <c r="K1893" i="7"/>
  <c r="K1892" i="7"/>
  <c r="K1891" i="7"/>
  <c r="K1890" i="7"/>
  <c r="K1889" i="7"/>
  <c r="K1888" i="7"/>
  <c r="K1887" i="7"/>
  <c r="K1886" i="7"/>
  <c r="K1885" i="7"/>
  <c r="K1884" i="7"/>
  <c r="K1883" i="7"/>
  <c r="K1882" i="7"/>
  <c r="K1881" i="7"/>
  <c r="K1880" i="7"/>
  <c r="K1879" i="7"/>
  <c r="K1878" i="7"/>
  <c r="K1877" i="7"/>
  <c r="K1876" i="7"/>
  <c r="K1875" i="7"/>
  <c r="K1874" i="7"/>
  <c r="K1873" i="7"/>
  <c r="K1872" i="7"/>
  <c r="K1871" i="7"/>
  <c r="K1870" i="7"/>
  <c r="L1869" i="7"/>
  <c r="K1869" i="7"/>
  <c r="K1868" i="7"/>
  <c r="K1867" i="7"/>
  <c r="K1866" i="7"/>
  <c r="K1865" i="7"/>
  <c r="K1864" i="7"/>
  <c r="K1863" i="7"/>
  <c r="K1862" i="7"/>
  <c r="K1861" i="7"/>
  <c r="K1860" i="7"/>
  <c r="K1859" i="7"/>
  <c r="K1858" i="7"/>
  <c r="K1857" i="7"/>
  <c r="K1856" i="7"/>
  <c r="K1855" i="7"/>
  <c r="K1854" i="7"/>
  <c r="K1853" i="7"/>
  <c r="K1852" i="7"/>
  <c r="K1851" i="7"/>
  <c r="K1850" i="7"/>
  <c r="K1849" i="7"/>
  <c r="K1848" i="7"/>
  <c r="K1847" i="7"/>
  <c r="K1846" i="7"/>
  <c r="K1845" i="7"/>
  <c r="K1844" i="7"/>
  <c r="K1843" i="7"/>
  <c r="K1842" i="7"/>
  <c r="K1841" i="7"/>
  <c r="K1840" i="7"/>
  <c r="K1839" i="7"/>
  <c r="K1838" i="7"/>
  <c r="N1837" i="7"/>
  <c r="K1837" i="7"/>
  <c r="K1836" i="7"/>
  <c r="K1835" i="7"/>
  <c r="K1834" i="7"/>
  <c r="L1833" i="7"/>
  <c r="K1833" i="7"/>
  <c r="L1832" i="7"/>
  <c r="K1832" i="7"/>
  <c r="L1831" i="7"/>
  <c r="K1831" i="7"/>
  <c r="L1830" i="7"/>
  <c r="K1830" i="7"/>
  <c r="K1829" i="7"/>
  <c r="L1828" i="7"/>
  <c r="K1828" i="7"/>
  <c r="L1827" i="7"/>
  <c r="K1827" i="7"/>
  <c r="K1826" i="7"/>
  <c r="K1825" i="7"/>
  <c r="K1824" i="7"/>
  <c r="K1823" i="7"/>
  <c r="K1822" i="7"/>
  <c r="K1821" i="7"/>
  <c r="K1820" i="7"/>
  <c r="K1819" i="7"/>
  <c r="K1818" i="7"/>
  <c r="K1817" i="7"/>
  <c r="K1816" i="7"/>
  <c r="K1815" i="7"/>
  <c r="K1814" i="7"/>
  <c r="K1813" i="7"/>
  <c r="K1812" i="7"/>
  <c r="L1811" i="7"/>
  <c r="K1811" i="7"/>
  <c r="L1810" i="7"/>
  <c r="K1810" i="7"/>
  <c r="K1809" i="7"/>
  <c r="K1808" i="7"/>
  <c r="K1807" i="7"/>
  <c r="K1806" i="7"/>
  <c r="K1805" i="7"/>
  <c r="K1804" i="7"/>
  <c r="K1803" i="7"/>
  <c r="K1802" i="7"/>
  <c r="N1801" i="7"/>
  <c r="K1801" i="7"/>
  <c r="K1800" i="7"/>
  <c r="K1799" i="7"/>
  <c r="K1798" i="7"/>
  <c r="K1797" i="7"/>
  <c r="L1796" i="7"/>
  <c r="K1796" i="7"/>
  <c r="L1795" i="7"/>
  <c r="K1795" i="7"/>
  <c r="K1794" i="7"/>
  <c r="K1793" i="7"/>
  <c r="K1792" i="7"/>
  <c r="K1791" i="7"/>
  <c r="K1790" i="7"/>
  <c r="K1789" i="7"/>
  <c r="K1788" i="7"/>
  <c r="K1787" i="7"/>
  <c r="K1786" i="7"/>
  <c r="K1785" i="7"/>
  <c r="K1784" i="7"/>
  <c r="K1783" i="7"/>
  <c r="K1782" i="7"/>
  <c r="K1781" i="7"/>
  <c r="N1780" i="7"/>
  <c r="K1780" i="7"/>
  <c r="K1779" i="7"/>
  <c r="K1778" i="7"/>
  <c r="K1777" i="7"/>
  <c r="K1776" i="7"/>
  <c r="K1775" i="7"/>
  <c r="K1774" i="7"/>
  <c r="K1773" i="7"/>
  <c r="K1772" i="7"/>
  <c r="K1771" i="7"/>
  <c r="K1770" i="7"/>
  <c r="K1769" i="7"/>
  <c r="K1768" i="7"/>
  <c r="K1767" i="7"/>
  <c r="K1766" i="7"/>
  <c r="K1765" i="7"/>
  <c r="K1764" i="7"/>
  <c r="K1763" i="7"/>
  <c r="K1762" i="7"/>
  <c r="K1761" i="7"/>
  <c r="K1760" i="7"/>
  <c r="K1759" i="7"/>
  <c r="K1758" i="7"/>
  <c r="N1757" i="7"/>
  <c r="K1757" i="7"/>
  <c r="K1756" i="7"/>
  <c r="K1755" i="7"/>
  <c r="K1754" i="7"/>
  <c r="K1753" i="7"/>
  <c r="K1752" i="7"/>
  <c r="K1751" i="7"/>
  <c r="K1750" i="7"/>
  <c r="K1749" i="7"/>
  <c r="K1748" i="7"/>
  <c r="K1747" i="7"/>
  <c r="K1746" i="7"/>
  <c r="K1745" i="7"/>
  <c r="K1744" i="7"/>
  <c r="K1743" i="7"/>
  <c r="K1742" i="7"/>
  <c r="K1741" i="7"/>
  <c r="K1740" i="7"/>
  <c r="K1739" i="7"/>
  <c r="K1738" i="7"/>
  <c r="K1737" i="7"/>
  <c r="K1736" i="7"/>
  <c r="K1735" i="7"/>
  <c r="K1734" i="7"/>
  <c r="K1733" i="7"/>
  <c r="K1732" i="7"/>
  <c r="K1731" i="7"/>
  <c r="K1730" i="7"/>
  <c r="K1729" i="7"/>
  <c r="K1728" i="7"/>
  <c r="K1727" i="7"/>
  <c r="N1726" i="7"/>
  <c r="K1726" i="7"/>
  <c r="K1725" i="7"/>
  <c r="N1724" i="7"/>
  <c r="K1724" i="7"/>
  <c r="K1723" i="7"/>
  <c r="K1722" i="7"/>
  <c r="N1721" i="7"/>
  <c r="K1721" i="7"/>
  <c r="K1720" i="7"/>
  <c r="K1719" i="7"/>
  <c r="K1718" i="7"/>
  <c r="K1717" i="7"/>
  <c r="K1716" i="7"/>
  <c r="K1715" i="7"/>
  <c r="K1714" i="7"/>
  <c r="K1713" i="7"/>
  <c r="K1712" i="7"/>
  <c r="K1711" i="7"/>
  <c r="K1710" i="7"/>
  <c r="K1709" i="7"/>
  <c r="K1708" i="7"/>
  <c r="K1707" i="7"/>
  <c r="K1706" i="7"/>
  <c r="K1705" i="7"/>
  <c r="K1704" i="7"/>
  <c r="K1703" i="7"/>
  <c r="K1702" i="7"/>
  <c r="K1701" i="7"/>
  <c r="K1700" i="7"/>
  <c r="K1699" i="7"/>
  <c r="K1698" i="7"/>
  <c r="K1697" i="7"/>
  <c r="K1696" i="7"/>
  <c r="K1695" i="7"/>
  <c r="K1694" i="7"/>
  <c r="K1693" i="7"/>
  <c r="K1692" i="7"/>
  <c r="L1691" i="7"/>
  <c r="K1691" i="7"/>
  <c r="L1690" i="7"/>
  <c r="K1690" i="7"/>
  <c r="L1689" i="7"/>
  <c r="K1689" i="7"/>
  <c r="L1688" i="7"/>
  <c r="K1688" i="7"/>
  <c r="L1687" i="7"/>
  <c r="K1687" i="7"/>
  <c r="K1686" i="7"/>
  <c r="K1685" i="7"/>
  <c r="K1684" i="7"/>
  <c r="K1683" i="7"/>
  <c r="K1682" i="7"/>
  <c r="K1681" i="7"/>
  <c r="K1680" i="7"/>
  <c r="K1679" i="7"/>
  <c r="K1678" i="7"/>
  <c r="K1677" i="7"/>
  <c r="K1676" i="7"/>
  <c r="K1675" i="7"/>
  <c r="K1674" i="7"/>
  <c r="K1673" i="7"/>
  <c r="K1672" i="7"/>
  <c r="K1671" i="7"/>
  <c r="K1670" i="7"/>
  <c r="K1669" i="7"/>
  <c r="K1668" i="7"/>
  <c r="K1667" i="7"/>
  <c r="K1666" i="7"/>
  <c r="K1665" i="7"/>
  <c r="K1664" i="7"/>
  <c r="K1663" i="7"/>
  <c r="K1662" i="7"/>
  <c r="K1661" i="7"/>
  <c r="K1660" i="7"/>
  <c r="K1659" i="7"/>
  <c r="K1658" i="7"/>
  <c r="K1657" i="7"/>
  <c r="K1656" i="7"/>
  <c r="K1655" i="7"/>
  <c r="K1654" i="7"/>
  <c r="K1653" i="7"/>
  <c r="K1652" i="7"/>
  <c r="K1651" i="7"/>
  <c r="K1650" i="7"/>
  <c r="K1649" i="7"/>
  <c r="K1648" i="7"/>
  <c r="K1647" i="7"/>
  <c r="K1646" i="7"/>
  <c r="K1645" i="7"/>
  <c r="K1644" i="7"/>
  <c r="K1643" i="7"/>
  <c r="K1642" i="7"/>
  <c r="K1641" i="7"/>
  <c r="K1640" i="7"/>
  <c r="K1639" i="7"/>
  <c r="K1638" i="7"/>
  <c r="K1637" i="7"/>
  <c r="K1636" i="7"/>
  <c r="K1635" i="7"/>
  <c r="K1634" i="7"/>
  <c r="K1633" i="7"/>
  <c r="K1632" i="7"/>
  <c r="K1631" i="7"/>
  <c r="K1630" i="7"/>
  <c r="K1629" i="7"/>
  <c r="K1628" i="7"/>
  <c r="K1627" i="7"/>
  <c r="K1626" i="7"/>
  <c r="K1625" i="7"/>
  <c r="K1624" i="7"/>
  <c r="K1623" i="7"/>
  <c r="K1622" i="7"/>
  <c r="K1621" i="7"/>
  <c r="K1620" i="7"/>
  <c r="L1619" i="7"/>
  <c r="K1619" i="7"/>
  <c r="L1618" i="7"/>
  <c r="K1618" i="7"/>
  <c r="L1617" i="7"/>
  <c r="K1617" i="7"/>
  <c r="K1616" i="7"/>
  <c r="K1615" i="7"/>
  <c r="N1614" i="7"/>
  <c r="K1614" i="7"/>
  <c r="K1613" i="7"/>
  <c r="K1612" i="7"/>
  <c r="K1611" i="7"/>
  <c r="K1610" i="7"/>
  <c r="K1609" i="7"/>
  <c r="K1608" i="7"/>
  <c r="K1607" i="7"/>
  <c r="K1606" i="7"/>
  <c r="K1605" i="7"/>
  <c r="K1604" i="7"/>
  <c r="K1603" i="7"/>
  <c r="K1602" i="7"/>
  <c r="K1601" i="7"/>
  <c r="K1600" i="7"/>
  <c r="K1599" i="7"/>
  <c r="N1598" i="7"/>
  <c r="K1598" i="7"/>
  <c r="K1597" i="7"/>
  <c r="N1596" i="7"/>
  <c r="K1596" i="7"/>
  <c r="N1595" i="7"/>
  <c r="K1595" i="7"/>
  <c r="K1594" i="7"/>
  <c r="K1593" i="7"/>
  <c r="K1592" i="7"/>
  <c r="K1591" i="7"/>
  <c r="K1590" i="7"/>
  <c r="K1589" i="7"/>
  <c r="K1588" i="7"/>
  <c r="K1587" i="7"/>
  <c r="K1586" i="7"/>
  <c r="K1585" i="7"/>
  <c r="K1584" i="7"/>
  <c r="K1583" i="7"/>
  <c r="K1582" i="7"/>
  <c r="K1581" i="7"/>
  <c r="K1580" i="7"/>
  <c r="K1579" i="7"/>
  <c r="K1578" i="7"/>
  <c r="K1577" i="7"/>
  <c r="K1576" i="7"/>
  <c r="K1575" i="7"/>
  <c r="K1574" i="7"/>
  <c r="K1573" i="7"/>
  <c r="K1572" i="7"/>
  <c r="K1571" i="7"/>
  <c r="K1570" i="7"/>
  <c r="K1569" i="7"/>
  <c r="K1568" i="7"/>
  <c r="K1567" i="7"/>
  <c r="K1566" i="7"/>
  <c r="K1565" i="7"/>
  <c r="K1564" i="7"/>
  <c r="K1563" i="7"/>
  <c r="K1562" i="7"/>
  <c r="K1561" i="7"/>
  <c r="K1560" i="7"/>
  <c r="K1559" i="7"/>
  <c r="K1558" i="7"/>
  <c r="K1557" i="7"/>
  <c r="K1556" i="7"/>
  <c r="N1555" i="7"/>
  <c r="K1555" i="7"/>
  <c r="K1554" i="7"/>
  <c r="K1553" i="7"/>
  <c r="K1552" i="7"/>
  <c r="K1551" i="7"/>
  <c r="K1550" i="7"/>
  <c r="K1549" i="7"/>
  <c r="K1548" i="7"/>
  <c r="K1547" i="7"/>
  <c r="K1546" i="7"/>
  <c r="K1545" i="7"/>
  <c r="K1544" i="7"/>
  <c r="K1543" i="7"/>
  <c r="K1542" i="7"/>
  <c r="K1541" i="7"/>
  <c r="K1540" i="7"/>
  <c r="K1539" i="7"/>
  <c r="L1538" i="7"/>
  <c r="K1538" i="7"/>
  <c r="L1537" i="7"/>
  <c r="K1537" i="7"/>
  <c r="K1536" i="7"/>
  <c r="L1535" i="7"/>
  <c r="K1535" i="7"/>
  <c r="L1534" i="7"/>
  <c r="K1534" i="7"/>
  <c r="L1533" i="7"/>
  <c r="K1533" i="7"/>
  <c r="L1532" i="7"/>
  <c r="K1532" i="7"/>
  <c r="K1531" i="7"/>
  <c r="K1530" i="7"/>
  <c r="K1529" i="7"/>
  <c r="K1528" i="7"/>
  <c r="K1527" i="7"/>
  <c r="K1526" i="7"/>
  <c r="N1525" i="7"/>
  <c r="L1525" i="7"/>
  <c r="K1525" i="7"/>
  <c r="N1524" i="7"/>
  <c r="K1524" i="7"/>
  <c r="K1523" i="7"/>
  <c r="K1522" i="7"/>
  <c r="K1521" i="7"/>
  <c r="K1520" i="7"/>
  <c r="K1519" i="7"/>
  <c r="K1518" i="7"/>
  <c r="K1517" i="7"/>
  <c r="K1516" i="7"/>
  <c r="K1515" i="7"/>
  <c r="K1514" i="7"/>
  <c r="K1513" i="7"/>
  <c r="N1512" i="7"/>
  <c r="K1512" i="7"/>
  <c r="K1511" i="7"/>
  <c r="K1510" i="7"/>
  <c r="K1509" i="7"/>
  <c r="K1508" i="7"/>
  <c r="N1507" i="7"/>
  <c r="K1507" i="7"/>
  <c r="K1506" i="7"/>
  <c r="K1505" i="7"/>
  <c r="K1504" i="7"/>
  <c r="K1503" i="7"/>
  <c r="K1502" i="7"/>
  <c r="K1501" i="7"/>
  <c r="K1500" i="7"/>
  <c r="K1499" i="7"/>
  <c r="N1498" i="7"/>
  <c r="K1498" i="7"/>
  <c r="N1497" i="7"/>
  <c r="K1497" i="7"/>
  <c r="K1496" i="7"/>
  <c r="M1495" i="7"/>
  <c r="K1495" i="7"/>
  <c r="M1494" i="7"/>
  <c r="K1494" i="7"/>
  <c r="K1493" i="7"/>
  <c r="K1492" i="7"/>
  <c r="K1491" i="7"/>
  <c r="K1490" i="7"/>
  <c r="K1489" i="7"/>
  <c r="K1488" i="7"/>
  <c r="K1487" i="7"/>
  <c r="K1486" i="7"/>
  <c r="K1485" i="7"/>
  <c r="K1484" i="7"/>
  <c r="K1483" i="7"/>
  <c r="K1482" i="7"/>
  <c r="K1481" i="7"/>
  <c r="L1480" i="7"/>
  <c r="K1480" i="7"/>
  <c r="K1479" i="7"/>
  <c r="K1478" i="7"/>
  <c r="K1477" i="7"/>
  <c r="K1476" i="7"/>
  <c r="K1475" i="7"/>
  <c r="K1474" i="7"/>
  <c r="K1473" i="7"/>
  <c r="K1472" i="7"/>
  <c r="K1471" i="7"/>
  <c r="K1470" i="7"/>
  <c r="K1469" i="7"/>
  <c r="K1468" i="7"/>
  <c r="K1467" i="7"/>
  <c r="N1466" i="7"/>
  <c r="K1466" i="7"/>
  <c r="K1465" i="7"/>
  <c r="N1464" i="7"/>
  <c r="K1464" i="7"/>
  <c r="K1463" i="7"/>
  <c r="K1462" i="7"/>
  <c r="N1461" i="7"/>
  <c r="K1461" i="7"/>
  <c r="K1460" i="7"/>
  <c r="K1459" i="7"/>
  <c r="K1458" i="7"/>
  <c r="K1457" i="7"/>
  <c r="K1456" i="7"/>
  <c r="K1455" i="7"/>
  <c r="K1454" i="7"/>
  <c r="K1453" i="7"/>
  <c r="K1452" i="7"/>
  <c r="K1451" i="7"/>
  <c r="K1450" i="7"/>
  <c r="K1449" i="7"/>
  <c r="K1448" i="7"/>
  <c r="K1447" i="7"/>
  <c r="K1446" i="7"/>
  <c r="K1445" i="7"/>
  <c r="K1444" i="7"/>
  <c r="K1443" i="7"/>
  <c r="K1442" i="7"/>
  <c r="K1441" i="7"/>
  <c r="K1440" i="7"/>
  <c r="K1439" i="7"/>
  <c r="K1438" i="7"/>
  <c r="K1437" i="7"/>
  <c r="K1436" i="7"/>
  <c r="K1435" i="7"/>
  <c r="K1434" i="7"/>
  <c r="K1433" i="7"/>
  <c r="K1432" i="7"/>
  <c r="K1431" i="7"/>
  <c r="K1430" i="7"/>
  <c r="K1429" i="7"/>
  <c r="K1428" i="7"/>
  <c r="K1427" i="7"/>
  <c r="K1426" i="7"/>
  <c r="K1425" i="7"/>
  <c r="K1424" i="7"/>
  <c r="K1423" i="7"/>
  <c r="K1422" i="7"/>
  <c r="K1421" i="7"/>
  <c r="K1420" i="7"/>
  <c r="K1419" i="7"/>
  <c r="K1418" i="7"/>
  <c r="K1417" i="7"/>
  <c r="K1416" i="7"/>
  <c r="K1415" i="7"/>
  <c r="K1414" i="7"/>
  <c r="K1413" i="7"/>
  <c r="K1412" i="7"/>
  <c r="K1411" i="7"/>
  <c r="K1410" i="7"/>
  <c r="K1409" i="7"/>
  <c r="K1408" i="7"/>
  <c r="K1407" i="7"/>
  <c r="K1406" i="7"/>
  <c r="K1405" i="7"/>
  <c r="K1404" i="7"/>
  <c r="K1403" i="7"/>
  <c r="K1402" i="7"/>
  <c r="K1401" i="7"/>
  <c r="K1400" i="7"/>
  <c r="K1399" i="7"/>
  <c r="K1398" i="7"/>
  <c r="K1397" i="7"/>
  <c r="K1396" i="7"/>
  <c r="K1395" i="7"/>
  <c r="K1394" i="7"/>
  <c r="K1393" i="7"/>
  <c r="K1392" i="7"/>
  <c r="K1391" i="7"/>
  <c r="K1390" i="7"/>
  <c r="K1389" i="7"/>
  <c r="K1388" i="7"/>
  <c r="K1387" i="7"/>
  <c r="K1386" i="7"/>
  <c r="L1385" i="7"/>
  <c r="K1385" i="7"/>
  <c r="L1384" i="7"/>
  <c r="K1384" i="7"/>
  <c r="L1383" i="7"/>
  <c r="K1383" i="7"/>
  <c r="L1382" i="7"/>
  <c r="K1382" i="7"/>
  <c r="K1381" i="7"/>
  <c r="K1380" i="7"/>
  <c r="K1379" i="7"/>
  <c r="K1378" i="7"/>
  <c r="K1377" i="7"/>
  <c r="K1376" i="7"/>
  <c r="K1375" i="7"/>
  <c r="K1374" i="7"/>
  <c r="K1373" i="7"/>
  <c r="K1372" i="7"/>
  <c r="K1371" i="7"/>
  <c r="K1370" i="7"/>
  <c r="K1369" i="7"/>
  <c r="K1368" i="7"/>
  <c r="K1367" i="7"/>
  <c r="K1366" i="7"/>
  <c r="K1365" i="7"/>
  <c r="K1364" i="7"/>
  <c r="K1363" i="7"/>
  <c r="K1362" i="7"/>
  <c r="K1361" i="7"/>
  <c r="K1360" i="7"/>
  <c r="K1359" i="7"/>
  <c r="K1358" i="7"/>
  <c r="K1357" i="7"/>
  <c r="K1356" i="7"/>
  <c r="K1355" i="7"/>
  <c r="K1354" i="7"/>
  <c r="K1353" i="7"/>
  <c r="K1352" i="7"/>
  <c r="K1351" i="7"/>
  <c r="K1350" i="7"/>
  <c r="K1349" i="7"/>
  <c r="K1348" i="7"/>
  <c r="K1347" i="7"/>
  <c r="K1346" i="7"/>
  <c r="K1345" i="7"/>
  <c r="K1344" i="7"/>
  <c r="L1343" i="7"/>
  <c r="K1343" i="7"/>
  <c r="L1342" i="7"/>
  <c r="K1342" i="7"/>
  <c r="K1341" i="7"/>
  <c r="L1340" i="7"/>
  <c r="K1340" i="7"/>
  <c r="L1339" i="7"/>
  <c r="K1339" i="7"/>
  <c r="L1338" i="7"/>
  <c r="K1338" i="7"/>
  <c r="L1337" i="7"/>
  <c r="K1337" i="7"/>
  <c r="L1336" i="7"/>
  <c r="K1336" i="7"/>
  <c r="K1335" i="7"/>
  <c r="K1334" i="7"/>
  <c r="K1333" i="7"/>
  <c r="K1332" i="7"/>
  <c r="K1331" i="7"/>
  <c r="K1330" i="7"/>
  <c r="K1329" i="7"/>
  <c r="K1328" i="7"/>
  <c r="K1327" i="7"/>
  <c r="K1326" i="7"/>
  <c r="K1325" i="7"/>
  <c r="L1324" i="7"/>
  <c r="K1324" i="7"/>
  <c r="L1323" i="7"/>
  <c r="K1323" i="7"/>
  <c r="L1322" i="7"/>
  <c r="K1322" i="7"/>
  <c r="L1321" i="7"/>
  <c r="K1321" i="7"/>
  <c r="L1320" i="7"/>
  <c r="K1320" i="7"/>
  <c r="K1319" i="7"/>
  <c r="K1318" i="7"/>
  <c r="K1317" i="7"/>
  <c r="K1316" i="7"/>
  <c r="K1315" i="7"/>
  <c r="K1314" i="7"/>
  <c r="K1313" i="7"/>
  <c r="K1312" i="7"/>
  <c r="K1311" i="7"/>
  <c r="K1310" i="7"/>
  <c r="K1309" i="7"/>
  <c r="K1308" i="7"/>
  <c r="K1307" i="7"/>
  <c r="N1306" i="7"/>
  <c r="K1306" i="7"/>
  <c r="K1305" i="7"/>
  <c r="K1304" i="7"/>
  <c r="K1303" i="7"/>
  <c r="K1302" i="7"/>
  <c r="K1301" i="7"/>
  <c r="K1300" i="7"/>
  <c r="K1299" i="7"/>
  <c r="K1298" i="7"/>
  <c r="K1297" i="7"/>
  <c r="K1296" i="7"/>
  <c r="K1295" i="7"/>
  <c r="K1294" i="7"/>
  <c r="K1293" i="7"/>
  <c r="K1292" i="7"/>
  <c r="K1291" i="7"/>
  <c r="K1290" i="7"/>
  <c r="K1289" i="7"/>
  <c r="K1288" i="7"/>
  <c r="K1287" i="7"/>
  <c r="K1286" i="7"/>
  <c r="K1285" i="7"/>
  <c r="K1284" i="7"/>
  <c r="L1283" i="7"/>
  <c r="K1283" i="7"/>
  <c r="L1282" i="7"/>
  <c r="K1282" i="7"/>
  <c r="K1281" i="7"/>
  <c r="K1280" i="7"/>
  <c r="K1279" i="7"/>
  <c r="K1278" i="7"/>
  <c r="K1277" i="7"/>
  <c r="K1276" i="7"/>
  <c r="K1275" i="7"/>
  <c r="K1274" i="7"/>
  <c r="K1273" i="7"/>
  <c r="K1272" i="7"/>
  <c r="K1271" i="7"/>
  <c r="K1270" i="7"/>
  <c r="K1269" i="7"/>
  <c r="K1268" i="7"/>
  <c r="K1267" i="7"/>
  <c r="K1266" i="7"/>
  <c r="K1265" i="7"/>
  <c r="K1264" i="7"/>
  <c r="K1263" i="7"/>
  <c r="K1262" i="7"/>
  <c r="K1261" i="7"/>
  <c r="K1260" i="7"/>
  <c r="K1259" i="7"/>
  <c r="K1258" i="7"/>
  <c r="K1257" i="7"/>
  <c r="K1256" i="7"/>
  <c r="K1255" i="7"/>
  <c r="K1254" i="7"/>
  <c r="K1253" i="7"/>
  <c r="K1252" i="7"/>
  <c r="K1251" i="7"/>
  <c r="K1250" i="7"/>
  <c r="K1249" i="7"/>
  <c r="K1248" i="7"/>
  <c r="K1247" i="7"/>
  <c r="N1246" i="7"/>
  <c r="K1246" i="7"/>
  <c r="K1245" i="7"/>
  <c r="K1244" i="7"/>
  <c r="K1243" i="7"/>
  <c r="K1242" i="7"/>
  <c r="K1241" i="7"/>
  <c r="K1240" i="7"/>
  <c r="K1239" i="7"/>
  <c r="K1238" i="7"/>
  <c r="K1237" i="7"/>
  <c r="K1236" i="7"/>
  <c r="K1235" i="7"/>
  <c r="K1234" i="7"/>
  <c r="K1233" i="7"/>
  <c r="K1232" i="7"/>
  <c r="K1231" i="7"/>
  <c r="K1230" i="7"/>
  <c r="K1229" i="7"/>
  <c r="K1228" i="7"/>
  <c r="K1227" i="7"/>
  <c r="K1226" i="7"/>
  <c r="K1225" i="7"/>
  <c r="K1224" i="7"/>
  <c r="K1223" i="7"/>
  <c r="K1222" i="7"/>
  <c r="K1221" i="7"/>
  <c r="K1220" i="7"/>
  <c r="K1219" i="7"/>
  <c r="K1218" i="7"/>
  <c r="K1217" i="7"/>
  <c r="K1216" i="7"/>
  <c r="K1215" i="7"/>
  <c r="K1214" i="7"/>
  <c r="L1213" i="7"/>
  <c r="K1213" i="7"/>
  <c r="K1212" i="7"/>
  <c r="K1211" i="7"/>
  <c r="K1210" i="7"/>
  <c r="K1209" i="7"/>
  <c r="N1208" i="7"/>
  <c r="K1208" i="7"/>
  <c r="K1207" i="7"/>
  <c r="K1206" i="7"/>
  <c r="K1205" i="7"/>
  <c r="K1204" i="7"/>
  <c r="K1203" i="7"/>
  <c r="K1202" i="7"/>
  <c r="K1201" i="7"/>
  <c r="L1200" i="7"/>
  <c r="K1200" i="7"/>
  <c r="K1199" i="7"/>
  <c r="K1198" i="7"/>
  <c r="K1197" i="7"/>
  <c r="K1196" i="7"/>
  <c r="L1195" i="7"/>
  <c r="K1195" i="7"/>
  <c r="L1194" i="7"/>
  <c r="K1194" i="7"/>
  <c r="K1193" i="7"/>
  <c r="K1192" i="7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N1175" i="7"/>
  <c r="L1175" i="7"/>
  <c r="K1175" i="7"/>
  <c r="K1174" i="7"/>
  <c r="K1173" i="7"/>
  <c r="K1172" i="7"/>
  <c r="K1171" i="7"/>
  <c r="L1170" i="7"/>
  <c r="K1170" i="7"/>
  <c r="L1169" i="7"/>
  <c r="K1169" i="7"/>
  <c r="K1168" i="7"/>
  <c r="K1167" i="7"/>
  <c r="K1166" i="7"/>
  <c r="K1165" i="7"/>
  <c r="K1164" i="7"/>
  <c r="K1163" i="7"/>
  <c r="K1162" i="7"/>
  <c r="K1161" i="7"/>
  <c r="K1160" i="7"/>
  <c r="N1159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N1128" i="7"/>
  <c r="K1128" i="7"/>
  <c r="K1127" i="7"/>
  <c r="K1126" i="7"/>
  <c r="K1125" i="7"/>
  <c r="K1124" i="7"/>
  <c r="K1123" i="7"/>
  <c r="K1122" i="7"/>
  <c r="K1121" i="7"/>
  <c r="L1120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N1107" i="7"/>
  <c r="K1107" i="7"/>
  <c r="N1106" i="7"/>
  <c r="K1106" i="7"/>
  <c r="N1105" i="7"/>
  <c r="K1105" i="7"/>
  <c r="K1104" i="7"/>
  <c r="K1103" i="7"/>
  <c r="K1102" i="7"/>
  <c r="K1101" i="7"/>
  <c r="K1100" i="7"/>
  <c r="K1099" i="7"/>
  <c r="K1098" i="7"/>
  <c r="K1097" i="7"/>
  <c r="K1096" i="7"/>
  <c r="K1095" i="7"/>
  <c r="K1094" i="7"/>
  <c r="K1093" i="7"/>
  <c r="K1092" i="7"/>
  <c r="K1091" i="7"/>
  <c r="K1090" i="7"/>
  <c r="K1089" i="7"/>
  <c r="K1088" i="7"/>
  <c r="K1087" i="7"/>
  <c r="K1086" i="7"/>
  <c r="K1085" i="7"/>
  <c r="K1084" i="7"/>
  <c r="K1083" i="7"/>
  <c r="L1082" i="7"/>
  <c r="K1082" i="7"/>
  <c r="K1081" i="7"/>
  <c r="K1080" i="7"/>
  <c r="K1079" i="7"/>
  <c r="K1078" i="7"/>
  <c r="K1077" i="7"/>
  <c r="K1076" i="7"/>
  <c r="K1075" i="7"/>
  <c r="K1074" i="7"/>
  <c r="K1073" i="7"/>
  <c r="K1072" i="7"/>
  <c r="K1071" i="7"/>
  <c r="L1070" i="7"/>
  <c r="K1070" i="7"/>
  <c r="L1069" i="7"/>
  <c r="K1069" i="7"/>
  <c r="L1068" i="7"/>
  <c r="K1068" i="7"/>
  <c r="K1067" i="7"/>
  <c r="K1066" i="7"/>
  <c r="K1065" i="7"/>
  <c r="K1064" i="7"/>
  <c r="K1063" i="7"/>
  <c r="K1062" i="7"/>
  <c r="K1061" i="7"/>
  <c r="K1060" i="7"/>
  <c r="K1059" i="7"/>
  <c r="K1058" i="7"/>
  <c r="K1057" i="7"/>
  <c r="K1056" i="7"/>
  <c r="K1055" i="7"/>
  <c r="K1054" i="7"/>
  <c r="K1053" i="7"/>
  <c r="K1052" i="7"/>
  <c r="K1051" i="7"/>
  <c r="K1050" i="7"/>
  <c r="K1049" i="7"/>
  <c r="K1048" i="7"/>
  <c r="K1047" i="7"/>
  <c r="K1046" i="7"/>
  <c r="K1045" i="7"/>
  <c r="K1044" i="7"/>
  <c r="K1043" i="7"/>
  <c r="K1042" i="7"/>
  <c r="K1041" i="7"/>
  <c r="K1040" i="7"/>
  <c r="K1039" i="7"/>
  <c r="K1038" i="7"/>
  <c r="K1037" i="7"/>
  <c r="K1036" i="7"/>
  <c r="K1035" i="7"/>
  <c r="K1034" i="7"/>
  <c r="K1033" i="7"/>
  <c r="K1032" i="7"/>
  <c r="K1031" i="7"/>
  <c r="K1030" i="7"/>
  <c r="K1029" i="7"/>
  <c r="K1028" i="7"/>
  <c r="L1027" i="7"/>
  <c r="K1027" i="7"/>
  <c r="K1026" i="7"/>
  <c r="K1025" i="7"/>
  <c r="K1024" i="7"/>
  <c r="K1023" i="7"/>
  <c r="K1022" i="7"/>
  <c r="K1021" i="7"/>
  <c r="K1020" i="7"/>
  <c r="K1019" i="7"/>
  <c r="K1018" i="7"/>
  <c r="K1017" i="7"/>
  <c r="K1016" i="7"/>
  <c r="K1015" i="7"/>
  <c r="K1014" i="7"/>
  <c r="K1013" i="7"/>
  <c r="K1012" i="7"/>
  <c r="K1011" i="7"/>
  <c r="K1010" i="7"/>
  <c r="K1009" i="7"/>
  <c r="K1008" i="7"/>
  <c r="K1007" i="7"/>
  <c r="K1006" i="7"/>
  <c r="K1005" i="7"/>
  <c r="K1004" i="7"/>
  <c r="K1003" i="7"/>
  <c r="K1002" i="7"/>
  <c r="K1001" i="7"/>
  <c r="K1000" i="7"/>
  <c r="K999" i="7"/>
  <c r="K998" i="7"/>
  <c r="K997" i="7"/>
  <c r="K996" i="7"/>
  <c r="K995" i="7"/>
  <c r="N994" i="7"/>
  <c r="K994" i="7"/>
  <c r="K993" i="7"/>
  <c r="K992" i="7"/>
  <c r="K991" i="7"/>
  <c r="K990" i="7"/>
  <c r="N989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N946" i="7"/>
  <c r="K946" i="7"/>
  <c r="K945" i="7"/>
  <c r="K944" i="7"/>
  <c r="K943" i="7"/>
  <c r="N942" i="7"/>
  <c r="K942" i="7"/>
  <c r="N941" i="7"/>
  <c r="K941" i="7"/>
  <c r="K940" i="7"/>
  <c r="N939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N879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N846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N782" i="7"/>
  <c r="K782" i="7"/>
  <c r="N781" i="7"/>
  <c r="K781" i="7"/>
  <c r="K780" i="7"/>
  <c r="N779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N730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N508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M467" i="7"/>
  <c r="L467" i="7"/>
  <c r="K467" i="7"/>
  <c r="K466" i="7"/>
  <c r="K465" i="7"/>
  <c r="L464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N410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N314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N288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K2" i="7"/>
  <c r="I54" i="4"/>
  <c r="R53" i="4"/>
  <c r="Q53" i="4"/>
  <c r="R52" i="4"/>
  <c r="Q52" i="4"/>
  <c r="R51" i="4"/>
  <c r="Q51" i="4"/>
  <c r="R50" i="4"/>
  <c r="Q50" i="4"/>
  <c r="R49" i="4"/>
  <c r="Q49" i="4"/>
  <c r="R48" i="4"/>
  <c r="Q48" i="4"/>
  <c r="R47" i="4"/>
  <c r="Q47" i="4"/>
  <c r="R46" i="4"/>
  <c r="Q46" i="4"/>
  <c r="R45" i="4"/>
  <c r="Q45" i="4"/>
  <c r="R44" i="4"/>
  <c r="Q44" i="4"/>
  <c r="R43" i="4"/>
  <c r="Q43" i="4"/>
  <c r="R42" i="4"/>
  <c r="Q42" i="4"/>
  <c r="R40" i="4"/>
  <c r="Q40" i="4"/>
  <c r="R39" i="4"/>
  <c r="Q39" i="4"/>
  <c r="Q38" i="4"/>
  <c r="R36" i="4"/>
  <c r="Q36" i="4"/>
  <c r="I34" i="4"/>
  <c r="R33" i="4"/>
  <c r="Q33" i="4"/>
  <c r="R32" i="4"/>
  <c r="Q32" i="4"/>
  <c r="I31" i="4"/>
  <c r="R30" i="4"/>
  <c r="Q30" i="4"/>
  <c r="R28" i="4"/>
  <c r="Q28" i="4"/>
  <c r="R27" i="4"/>
  <c r="Q27" i="4"/>
  <c r="I25" i="4"/>
  <c r="R24" i="4"/>
  <c r="R23" i="4"/>
  <c r="Q23" i="4"/>
  <c r="R22" i="4"/>
  <c r="Q22" i="4"/>
  <c r="R21" i="4"/>
  <c r="Q21" i="4"/>
  <c r="Q20" i="4"/>
  <c r="R18" i="4"/>
  <c r="Q18" i="4"/>
  <c r="R17" i="4"/>
  <c r="Q17" i="4"/>
  <c r="R16" i="4"/>
  <c r="Q16" i="4"/>
  <c r="R15" i="4"/>
  <c r="Q15" i="4"/>
  <c r="Q14" i="4"/>
  <c r="R12" i="4"/>
  <c r="Q12" i="4"/>
  <c r="R11" i="4"/>
  <c r="Q11" i="4"/>
  <c r="I10" i="4"/>
  <c r="R9" i="4"/>
  <c r="Q9" i="4"/>
  <c r="I7" i="4"/>
  <c r="I6" i="4"/>
  <c r="I4" i="4"/>
  <c r="R3" i="4"/>
  <c r="Q3" i="4"/>
  <c r="R2" i="4"/>
  <c r="Q2" i="4"/>
  <c r="H12" i="3"/>
  <c r="H11" i="3"/>
  <c r="H10" i="3"/>
  <c r="H9" i="3"/>
  <c r="H8" i="3"/>
  <c r="H7" i="3"/>
  <c r="H6" i="3"/>
  <c r="H5" i="3"/>
  <c r="H4" i="3"/>
  <c r="H3" i="3"/>
  <c r="H2" i="3"/>
  <c r="M1" i="3"/>
  <c r="AG2446" i="1" a="1"/>
  <c r="AG2446" i="1" s="1"/>
  <c r="Y2446" i="1" s="1"/>
  <c r="AF2446" i="1" a="1"/>
  <c r="AF2446" i="1" s="1"/>
  <c r="X2446" i="1" s="1"/>
  <c r="AD2446" i="1"/>
  <c r="R2446" i="1"/>
  <c r="T2446" i="1" s="1"/>
  <c r="AD2445" i="1"/>
  <c r="R2445" i="1"/>
  <c r="T2445" i="1" s="1"/>
  <c r="N2445" i="1"/>
  <c r="A2445" i="1" a="1"/>
  <c r="A2445" i="1"/>
  <c r="AG2444" i="1" a="1"/>
  <c r="AG2444" i="1" s="1"/>
  <c r="Y2444" i="1" s="1"/>
  <c r="AF2444" i="1" a="1"/>
  <c r="AF2444" i="1" s="1"/>
  <c r="X2444" i="1" s="1"/>
  <c r="AD2444" i="1"/>
  <c r="R2444" i="1"/>
  <c r="T2444" i="1" s="1"/>
  <c r="N2444" i="1"/>
  <c r="A2444" i="1" a="1"/>
  <c r="A2444" i="1"/>
  <c r="AG2443" i="1" a="1"/>
  <c r="AG2443" i="1" s="1"/>
  <c r="AF2443" i="1" a="1"/>
  <c r="AF2443" i="1" s="1"/>
  <c r="X2443" i="1" s="1"/>
  <c r="AD2443" i="1"/>
  <c r="AA2443" i="1"/>
  <c r="Y2443" i="1"/>
  <c r="R2443" i="1"/>
  <c r="T2443" i="1" s="1"/>
  <c r="N2443" i="1"/>
  <c r="A2443" i="1" a="1"/>
  <c r="A2443" i="1"/>
  <c r="AG2442" i="1" a="1"/>
  <c r="AG2442" i="1" s="1"/>
  <c r="AF2442" i="1" a="1"/>
  <c r="AF2442" i="1"/>
  <c r="X2442" i="1" s="1"/>
  <c r="AA2442" i="1" s="1"/>
  <c r="AD2442" i="1"/>
  <c r="Y2442" i="1"/>
  <c r="AB2442" i="1" s="1"/>
  <c r="T2442" i="1"/>
  <c r="R2442" i="1"/>
  <c r="N2442" i="1"/>
  <c r="A2442" i="1" a="1"/>
  <c r="A2442" i="1"/>
  <c r="AG2441" i="1" a="1"/>
  <c r="AG2441" i="1" s="1"/>
  <c r="Y2441" i="1" s="1"/>
  <c r="AF2441" i="1" a="1"/>
  <c r="AF2441" i="1" s="1"/>
  <c r="X2441" i="1" s="1"/>
  <c r="AD2441" i="1"/>
  <c r="R2441" i="1"/>
  <c r="N2441" i="1"/>
  <c r="A2441" i="1" a="1"/>
  <c r="A2441" i="1"/>
  <c r="AG2440" i="1" a="1"/>
  <c r="AG2440" i="1" s="1"/>
  <c r="Y2440" i="1" s="1"/>
  <c r="AF2440" i="1" a="1"/>
  <c r="AF2440" i="1" s="1"/>
  <c r="X2440" i="1" s="1"/>
  <c r="AD2440" i="1"/>
  <c r="R2440" i="1"/>
  <c r="N2440" i="1"/>
  <c r="A2440" i="1" a="1"/>
  <c r="A2440" i="1"/>
  <c r="AG2439" i="1" a="1"/>
  <c r="AG2439" i="1" s="1"/>
  <c r="Y2439" i="1" s="1"/>
  <c r="AF2439" i="1" a="1"/>
  <c r="AF2439" i="1" s="1"/>
  <c r="X2439" i="1" s="1"/>
  <c r="AD2439" i="1"/>
  <c r="AB2439" i="1"/>
  <c r="AA2439" i="1"/>
  <c r="R2439" i="1"/>
  <c r="T2439" i="1" s="1"/>
  <c r="N2439" i="1"/>
  <c r="A2439" i="1" a="1"/>
  <c r="A2439" i="1"/>
  <c r="AD2438" i="1"/>
  <c r="T2438" i="1"/>
  <c r="R2438" i="1"/>
  <c r="N2438" i="1"/>
  <c r="A2438" i="1" a="1"/>
  <c r="A2438" i="1"/>
  <c r="AG2438" i="1" s="1" a="1"/>
  <c r="AG2438" i="1" s="1"/>
  <c r="Y2438" i="1" s="1"/>
  <c r="AB2438" i="1" s="1"/>
  <c r="AD2437" i="1"/>
  <c r="T2437" i="1" s="1"/>
  <c r="R2437" i="1"/>
  <c r="N2437" i="1"/>
  <c r="A2437" i="1" a="1"/>
  <c r="A2437" i="1"/>
  <c r="AG2437" i="1" s="1" a="1"/>
  <c r="AG2437" i="1" s="1"/>
  <c r="Y2437" i="1" s="1"/>
  <c r="AD2436" i="1"/>
  <c r="R2436" i="1"/>
  <c r="N2436" i="1"/>
  <c r="A2436" i="1" a="1"/>
  <c r="A2436" i="1"/>
  <c r="AG2436" i="1" s="1" a="1"/>
  <c r="AG2436" i="1" s="1"/>
  <c r="Y2436" i="1" s="1"/>
  <c r="AD2435" i="1"/>
  <c r="AB2435" i="1"/>
  <c r="R2435" i="1"/>
  <c r="T2435" i="1" s="1"/>
  <c r="N2435" i="1"/>
  <c r="A2435" i="1" a="1"/>
  <c r="A2435" i="1"/>
  <c r="AG2435" i="1" s="1" a="1"/>
  <c r="AG2435" i="1" s="1"/>
  <c r="Y2435" i="1" s="1"/>
  <c r="AD2434" i="1"/>
  <c r="T2434" i="1"/>
  <c r="R2434" i="1"/>
  <c r="N2434" i="1"/>
  <c r="A2434" i="1" a="1"/>
  <c r="A2434" i="1"/>
  <c r="AG2434" i="1" s="1" a="1"/>
  <c r="AG2434" i="1" s="1"/>
  <c r="Y2434" i="1" s="1"/>
  <c r="AB2434" i="1" s="1"/>
  <c r="AD2433" i="1"/>
  <c r="T2433" i="1" s="1"/>
  <c r="R2433" i="1"/>
  <c r="N2433" i="1"/>
  <c r="A2433" i="1" a="1"/>
  <c r="A2433" i="1"/>
  <c r="AG2433" i="1" s="1" a="1"/>
  <c r="AG2433" i="1" s="1"/>
  <c r="Y2433" i="1" s="1"/>
  <c r="AD2432" i="1"/>
  <c r="R2432" i="1"/>
  <c r="N2432" i="1"/>
  <c r="A2432" i="1" a="1"/>
  <c r="A2432" i="1"/>
  <c r="AG2432" i="1" s="1" a="1"/>
  <c r="AG2432" i="1" s="1"/>
  <c r="Y2432" i="1" s="1"/>
  <c r="AD2431" i="1"/>
  <c r="T2431" i="1" s="1"/>
  <c r="R2431" i="1"/>
  <c r="N2431" i="1"/>
  <c r="A2431" i="1" a="1"/>
  <c r="A2431" i="1"/>
  <c r="AG2431" i="1" s="1" a="1"/>
  <c r="AG2431" i="1" s="1"/>
  <c r="Y2431" i="1" s="1"/>
  <c r="AD2430" i="1"/>
  <c r="T2430" i="1"/>
  <c r="R2430" i="1"/>
  <c r="N2430" i="1"/>
  <c r="A2430" i="1" a="1"/>
  <c r="A2430" i="1"/>
  <c r="AG2430" i="1" s="1" a="1"/>
  <c r="AG2430" i="1" s="1"/>
  <c r="Y2430" i="1" s="1"/>
  <c r="AB2430" i="1" s="1"/>
  <c r="AF2429" i="1" a="1"/>
  <c r="AF2429" i="1" s="1"/>
  <c r="X2429" i="1" s="1"/>
  <c r="AD2429" i="1"/>
  <c r="T2429" i="1" s="1"/>
  <c r="R2429" i="1"/>
  <c r="N2429" i="1"/>
  <c r="A2429" i="1" a="1"/>
  <c r="A2429" i="1"/>
  <c r="AG2429" i="1" s="1" a="1"/>
  <c r="AG2429" i="1" s="1"/>
  <c r="Y2429" i="1" s="1"/>
  <c r="AF2428" i="1" a="1"/>
  <c r="AF2428" i="1" s="1"/>
  <c r="X2428" i="1" s="1"/>
  <c r="AD2428" i="1"/>
  <c r="R2428" i="1"/>
  <c r="N2428" i="1"/>
  <c r="A2428" i="1" a="1"/>
  <c r="A2428" i="1"/>
  <c r="AG2428" i="1" s="1" a="1"/>
  <c r="AG2428" i="1" s="1"/>
  <c r="Y2428" i="1" s="1"/>
  <c r="AF2427" i="1" a="1"/>
  <c r="AF2427" i="1" s="1"/>
  <c r="X2427" i="1" s="1"/>
  <c r="AD2427" i="1"/>
  <c r="T2427" i="1" s="1"/>
  <c r="R2427" i="1"/>
  <c r="N2427" i="1"/>
  <c r="A2427" i="1" a="1"/>
  <c r="A2427" i="1"/>
  <c r="AG2427" i="1" s="1" a="1"/>
  <c r="AG2427" i="1" s="1"/>
  <c r="Y2427" i="1" s="1"/>
  <c r="AF2426" i="1" a="1"/>
  <c r="AF2426" i="1"/>
  <c r="X2426" i="1" s="1"/>
  <c r="AA2426" i="1" s="1"/>
  <c r="AD2426" i="1"/>
  <c r="T2426" i="1"/>
  <c r="R2426" i="1"/>
  <c r="N2426" i="1"/>
  <c r="A2426" i="1" a="1"/>
  <c r="A2426" i="1"/>
  <c r="AG2426" i="1" s="1" a="1"/>
  <c r="AG2426" i="1" s="1"/>
  <c r="Y2426" i="1" s="1"/>
  <c r="AB2426" i="1" s="1"/>
  <c r="AG2425" i="1" a="1"/>
  <c r="AG2425" i="1" s="1"/>
  <c r="Y2425" i="1" s="1"/>
  <c r="AF2425" i="1" a="1"/>
  <c r="AF2425" i="1" s="1"/>
  <c r="X2425" i="1" s="1"/>
  <c r="AD2425" i="1"/>
  <c r="T2425" i="1" s="1"/>
  <c r="AB2425" i="1" s="1"/>
  <c r="R2425" i="1"/>
  <c r="N2425" i="1"/>
  <c r="A2425" i="1" a="1"/>
  <c r="A2425" i="1"/>
  <c r="AG2424" i="1" a="1"/>
  <c r="AG2424" i="1" s="1"/>
  <c r="Y2424" i="1" s="1"/>
  <c r="AF2424" i="1" a="1"/>
  <c r="AF2424" i="1" s="1"/>
  <c r="X2424" i="1" s="1"/>
  <c r="AD2424" i="1"/>
  <c r="R2424" i="1"/>
  <c r="N2424" i="1"/>
  <c r="A2424" i="1" a="1"/>
  <c r="A2424" i="1"/>
  <c r="AG2423" i="1" a="1"/>
  <c r="AG2423" i="1" s="1"/>
  <c r="Y2423" i="1" s="1"/>
  <c r="AF2423" i="1" a="1"/>
  <c r="AF2423" i="1" s="1"/>
  <c r="X2423" i="1" s="1"/>
  <c r="AD2423" i="1"/>
  <c r="R2423" i="1"/>
  <c r="T2423" i="1" s="1"/>
  <c r="N2423" i="1"/>
  <c r="A2423" i="1" a="1"/>
  <c r="A2423" i="1"/>
  <c r="AD2422" i="1"/>
  <c r="T2422" i="1"/>
  <c r="R2422" i="1"/>
  <c r="N2422" i="1"/>
  <c r="A2422" i="1" a="1"/>
  <c r="A2422" i="1"/>
  <c r="AG2422" i="1" s="1" a="1"/>
  <c r="AG2422" i="1" s="1"/>
  <c r="Y2422" i="1" s="1"/>
  <c r="AB2422" i="1" s="1"/>
  <c r="AG2421" i="1" a="1"/>
  <c r="AG2421" i="1" s="1"/>
  <c r="Y2421" i="1" s="1"/>
  <c r="AD2421" i="1"/>
  <c r="T2421" i="1" s="1"/>
  <c r="R2421" i="1"/>
  <c r="N2421" i="1"/>
  <c r="A2421" i="1" a="1"/>
  <c r="A2421" i="1"/>
  <c r="AF2421" i="1" s="1" a="1"/>
  <c r="AF2421" i="1" s="1"/>
  <c r="X2421" i="1" s="1"/>
  <c r="AG2420" i="1" a="1"/>
  <c r="AG2420" i="1" s="1"/>
  <c r="Y2420" i="1" s="1"/>
  <c r="AD2420" i="1"/>
  <c r="R2420" i="1"/>
  <c r="N2420" i="1"/>
  <c r="A2420" i="1" a="1"/>
  <c r="A2420" i="1"/>
  <c r="AF2420" i="1" s="1" a="1"/>
  <c r="AF2420" i="1" s="1"/>
  <c r="X2420" i="1" s="1"/>
  <c r="AG2419" i="1" a="1"/>
  <c r="AG2419" i="1" s="1"/>
  <c r="Y2419" i="1" s="1"/>
  <c r="AB2419" i="1" s="1"/>
  <c r="AD2419" i="1"/>
  <c r="R2419" i="1"/>
  <c r="T2419" i="1" s="1"/>
  <c r="N2419" i="1"/>
  <c r="A2419" i="1" a="1"/>
  <c r="A2419" i="1"/>
  <c r="AF2419" i="1" s="1" a="1"/>
  <c r="AF2419" i="1" s="1"/>
  <c r="X2419" i="1" s="1"/>
  <c r="AD2418" i="1"/>
  <c r="T2418" i="1"/>
  <c r="R2418" i="1"/>
  <c r="N2418" i="1"/>
  <c r="A2418" i="1" a="1"/>
  <c r="A2418" i="1"/>
  <c r="AD2417" i="1"/>
  <c r="T2417" i="1" s="1"/>
  <c r="R2417" i="1"/>
  <c r="N2417" i="1"/>
  <c r="A2417" i="1" a="1"/>
  <c r="A2417" i="1"/>
  <c r="AD2416" i="1"/>
  <c r="R2416" i="1"/>
  <c r="N2416" i="1"/>
  <c r="A2416" i="1" a="1"/>
  <c r="A2416" i="1"/>
  <c r="AD2415" i="1"/>
  <c r="R2415" i="1"/>
  <c r="T2415" i="1" s="1"/>
  <c r="N2415" i="1"/>
  <c r="A2415" i="1" a="1"/>
  <c r="A2415" i="1"/>
  <c r="AF2414" i="1" a="1"/>
  <c r="AF2414" i="1" s="1"/>
  <c r="X2414" i="1" s="1"/>
  <c r="AA2414" i="1" s="1"/>
  <c r="AD2414" i="1"/>
  <c r="T2414" i="1"/>
  <c r="R2414" i="1"/>
  <c r="N2414" i="1"/>
  <c r="A2414" i="1" a="1"/>
  <c r="A2414" i="1"/>
  <c r="AG2414" i="1" s="1" a="1"/>
  <c r="AG2414" i="1" s="1"/>
  <c r="Y2414" i="1" s="1"/>
  <c r="AB2414" i="1" s="1"/>
  <c r="AG2413" i="1" a="1"/>
  <c r="AG2413" i="1" s="1"/>
  <c r="Y2413" i="1" s="1"/>
  <c r="AF2413" i="1" a="1"/>
  <c r="AF2413" i="1" s="1"/>
  <c r="X2413" i="1" s="1"/>
  <c r="AA2413" i="1" s="1"/>
  <c r="AD2413" i="1"/>
  <c r="T2413" i="1" s="1"/>
  <c r="AB2413" i="1" s="1"/>
  <c r="R2413" i="1"/>
  <c r="N2413" i="1"/>
  <c r="A2413" i="1" a="1"/>
  <c r="A2413" i="1"/>
  <c r="AG2412" i="1" a="1"/>
  <c r="AG2412" i="1" s="1"/>
  <c r="Y2412" i="1" s="1"/>
  <c r="AF2412" i="1" a="1"/>
  <c r="AF2412" i="1" s="1"/>
  <c r="X2412" i="1" s="1"/>
  <c r="AD2412" i="1"/>
  <c r="R2412" i="1"/>
  <c r="N2412" i="1"/>
  <c r="A2412" i="1" a="1"/>
  <c r="A2412" i="1"/>
  <c r="AG2411" i="1" a="1"/>
  <c r="AG2411" i="1" s="1"/>
  <c r="Y2411" i="1" s="1"/>
  <c r="AF2411" i="1" a="1"/>
  <c r="AF2411" i="1" s="1"/>
  <c r="X2411" i="1" s="1"/>
  <c r="AA2411" i="1" s="1"/>
  <c r="AD2411" i="1"/>
  <c r="R2411" i="1"/>
  <c r="T2411" i="1" s="1"/>
  <c r="N2411" i="1"/>
  <c r="A2411" i="1" a="1"/>
  <c r="A2411" i="1"/>
  <c r="AF2410" i="1" a="1"/>
  <c r="AF2410" i="1" s="1"/>
  <c r="X2410" i="1" s="1"/>
  <c r="AA2410" i="1" s="1"/>
  <c r="AD2410" i="1"/>
  <c r="T2410" i="1"/>
  <c r="R2410" i="1"/>
  <c r="N2410" i="1"/>
  <c r="A2410" i="1" a="1"/>
  <c r="A2410" i="1"/>
  <c r="AG2410" i="1" s="1" a="1"/>
  <c r="AG2410" i="1" s="1"/>
  <c r="Y2410" i="1" s="1"/>
  <c r="AB2410" i="1" s="1"/>
  <c r="AG2409" i="1" a="1"/>
  <c r="AG2409" i="1" s="1"/>
  <c r="Y2409" i="1" s="1"/>
  <c r="AD2409" i="1"/>
  <c r="R2409" i="1"/>
  <c r="N2409" i="1"/>
  <c r="A2409" i="1" a="1"/>
  <c r="A2409" i="1"/>
  <c r="AF2409" i="1" s="1" a="1"/>
  <c r="AF2409" i="1" s="1"/>
  <c r="X2409" i="1" s="1"/>
  <c r="AG2408" i="1" a="1"/>
  <c r="AG2408" i="1" s="1"/>
  <c r="Y2408" i="1" s="1"/>
  <c r="AD2408" i="1"/>
  <c r="R2408" i="1"/>
  <c r="N2408" i="1"/>
  <c r="A2408" i="1" a="1"/>
  <c r="A2408" i="1"/>
  <c r="AF2408" i="1" s="1" a="1"/>
  <c r="AF2408" i="1" s="1"/>
  <c r="X2408" i="1" s="1"/>
  <c r="AG2407" i="1" a="1"/>
  <c r="AG2407" i="1" s="1"/>
  <c r="Y2407" i="1" s="1"/>
  <c r="AD2407" i="1"/>
  <c r="R2407" i="1"/>
  <c r="T2407" i="1" s="1"/>
  <c r="N2407" i="1"/>
  <c r="A2407" i="1" a="1"/>
  <c r="A2407" i="1"/>
  <c r="AF2407" i="1" s="1" a="1"/>
  <c r="AF2407" i="1" s="1"/>
  <c r="X2407" i="1" s="1"/>
  <c r="AD2406" i="1"/>
  <c r="T2406" i="1"/>
  <c r="R2406" i="1"/>
  <c r="N2406" i="1"/>
  <c r="A2406" i="1" a="1"/>
  <c r="A2406" i="1"/>
  <c r="AG2406" i="1" s="1" a="1"/>
  <c r="AG2406" i="1" s="1"/>
  <c r="Y2406" i="1" s="1"/>
  <c r="AB2406" i="1" s="1"/>
  <c r="AD2405" i="1"/>
  <c r="R2405" i="1"/>
  <c r="N2405" i="1"/>
  <c r="A2405" i="1" a="1"/>
  <c r="A2405" i="1"/>
  <c r="AG2405" i="1" s="1" a="1"/>
  <c r="AG2405" i="1" s="1"/>
  <c r="Y2405" i="1" s="1"/>
  <c r="AD2404" i="1"/>
  <c r="R2404" i="1"/>
  <c r="N2404" i="1"/>
  <c r="A2404" i="1" a="1"/>
  <c r="A2404" i="1"/>
  <c r="AG2404" i="1" s="1" a="1"/>
  <c r="AG2404" i="1" s="1"/>
  <c r="Y2404" i="1" s="1"/>
  <c r="AD2403" i="1"/>
  <c r="R2403" i="1"/>
  <c r="T2403" i="1" s="1"/>
  <c r="N2403" i="1"/>
  <c r="A2403" i="1" a="1"/>
  <c r="A2403" i="1"/>
  <c r="AG2403" i="1" s="1" a="1"/>
  <c r="AG2403" i="1" s="1"/>
  <c r="Y2403" i="1" s="1"/>
  <c r="AD2402" i="1"/>
  <c r="T2402" i="1"/>
  <c r="R2402" i="1"/>
  <c r="N2402" i="1"/>
  <c r="A2402" i="1" a="1"/>
  <c r="A2402" i="1"/>
  <c r="AG2402" i="1" s="1" a="1"/>
  <c r="AG2402" i="1" s="1"/>
  <c r="Y2402" i="1" s="1"/>
  <c r="AB2402" i="1" s="1"/>
  <c r="AD2401" i="1"/>
  <c r="T2401" i="1" s="1"/>
  <c r="R2401" i="1"/>
  <c r="N2401" i="1"/>
  <c r="A2401" i="1" a="1"/>
  <c r="A2401" i="1"/>
  <c r="AG2401" i="1" s="1" a="1"/>
  <c r="AG2401" i="1" s="1"/>
  <c r="Y2401" i="1" s="1"/>
  <c r="AD2400" i="1"/>
  <c r="Y2400" i="1"/>
  <c r="R2400" i="1"/>
  <c r="N2400" i="1"/>
  <c r="A2400" i="1" a="1"/>
  <c r="A2400" i="1"/>
  <c r="AG2400" i="1" s="1" a="1"/>
  <c r="AG2400" i="1" s="1"/>
  <c r="AD2399" i="1"/>
  <c r="R2399" i="1"/>
  <c r="T2399" i="1" s="1"/>
  <c r="N2399" i="1"/>
  <c r="A2399" i="1" a="1"/>
  <c r="A2399" i="1"/>
  <c r="AG2399" i="1" s="1" a="1"/>
  <c r="AG2399" i="1" s="1"/>
  <c r="Y2399" i="1" s="1"/>
  <c r="AD2398" i="1"/>
  <c r="Y2398" i="1"/>
  <c r="AB2398" i="1" s="1"/>
  <c r="T2398" i="1"/>
  <c r="R2398" i="1"/>
  <c r="N2398" i="1"/>
  <c r="A2398" i="1" a="1"/>
  <c r="A2398" i="1"/>
  <c r="AG2398" i="1" s="1" a="1"/>
  <c r="AG2398" i="1" s="1"/>
  <c r="AF2397" i="1" a="1"/>
  <c r="AF2397" i="1" s="1"/>
  <c r="X2397" i="1" s="1"/>
  <c r="AD2397" i="1"/>
  <c r="Y2397" i="1"/>
  <c r="R2397" i="1"/>
  <c r="N2397" i="1"/>
  <c r="A2397" i="1" a="1"/>
  <c r="A2397" i="1"/>
  <c r="AG2397" i="1" s="1" a="1"/>
  <c r="AG2397" i="1" s="1"/>
  <c r="AF2396" i="1" a="1"/>
  <c r="AF2396" i="1" s="1"/>
  <c r="X2396" i="1" s="1"/>
  <c r="AD2396" i="1"/>
  <c r="R2396" i="1"/>
  <c r="N2396" i="1"/>
  <c r="A2396" i="1" a="1"/>
  <c r="A2396" i="1"/>
  <c r="AG2396" i="1" s="1" a="1"/>
  <c r="AG2396" i="1" s="1"/>
  <c r="Y2396" i="1" s="1"/>
  <c r="AF2395" i="1" a="1"/>
  <c r="AF2395" i="1" s="1"/>
  <c r="X2395" i="1" s="1"/>
  <c r="AA2395" i="1" s="1"/>
  <c r="AD2395" i="1"/>
  <c r="R2395" i="1"/>
  <c r="T2395" i="1" s="1"/>
  <c r="N2395" i="1"/>
  <c r="A2395" i="1" a="1"/>
  <c r="A2395" i="1"/>
  <c r="AG2395" i="1" s="1" a="1"/>
  <c r="AG2395" i="1" s="1"/>
  <c r="Y2395" i="1" s="1"/>
  <c r="AF2394" i="1" a="1"/>
  <c r="AF2394" i="1" s="1"/>
  <c r="X2394" i="1" s="1"/>
  <c r="AD2394" i="1"/>
  <c r="AA2394" i="1"/>
  <c r="Y2394" i="1"/>
  <c r="AB2394" i="1" s="1"/>
  <c r="T2394" i="1"/>
  <c r="R2394" i="1"/>
  <c r="N2394" i="1"/>
  <c r="A2394" i="1" a="1"/>
  <c r="A2394" i="1"/>
  <c r="AG2394" i="1" s="1" a="1"/>
  <c r="AG2394" i="1" s="1"/>
  <c r="AG2393" i="1" a="1"/>
  <c r="AG2393" i="1" s="1"/>
  <c r="Y2393" i="1" s="1"/>
  <c r="AF2393" i="1" a="1"/>
  <c r="AF2393" i="1" s="1"/>
  <c r="X2393" i="1" s="1"/>
  <c r="AD2393" i="1"/>
  <c r="R2393" i="1"/>
  <c r="N2393" i="1"/>
  <c r="A2393" i="1" a="1"/>
  <c r="A2393" i="1"/>
  <c r="AG2392" i="1" a="1"/>
  <c r="AG2392" i="1" s="1"/>
  <c r="Y2392" i="1" s="1"/>
  <c r="AF2392" i="1" a="1"/>
  <c r="AF2392" i="1" s="1"/>
  <c r="X2392" i="1" s="1"/>
  <c r="AD2392" i="1"/>
  <c r="R2392" i="1"/>
  <c r="N2392" i="1"/>
  <c r="A2392" i="1" a="1"/>
  <c r="A2392" i="1"/>
  <c r="AG2391" i="1" a="1"/>
  <c r="AG2391" i="1" s="1"/>
  <c r="Y2391" i="1" s="1"/>
  <c r="AB2391" i="1" s="1"/>
  <c r="AF2391" i="1" a="1"/>
  <c r="AF2391" i="1" s="1"/>
  <c r="X2391" i="1" s="1"/>
  <c r="AA2391" i="1" s="1"/>
  <c r="AD2391" i="1"/>
  <c r="R2391" i="1"/>
  <c r="T2391" i="1" s="1"/>
  <c r="N2391" i="1"/>
  <c r="A2391" i="1" a="1"/>
  <c r="A2391" i="1"/>
  <c r="AD2390" i="1"/>
  <c r="AB2390" i="1"/>
  <c r="T2390" i="1"/>
  <c r="R2390" i="1"/>
  <c r="N2390" i="1"/>
  <c r="A2390" i="1" a="1"/>
  <c r="A2390" i="1"/>
  <c r="AG2390" i="1" s="1" a="1"/>
  <c r="AG2390" i="1" s="1"/>
  <c r="Y2390" i="1" s="1"/>
  <c r="AD2389" i="1"/>
  <c r="T2389" i="1" s="1"/>
  <c r="AB2389" i="1"/>
  <c r="R2389" i="1"/>
  <c r="N2389" i="1"/>
  <c r="A2389" i="1" a="1"/>
  <c r="A2389" i="1"/>
  <c r="AG2389" i="1" s="1" a="1"/>
  <c r="AG2389" i="1" s="1"/>
  <c r="Y2389" i="1" s="1"/>
  <c r="AD2388" i="1"/>
  <c r="R2388" i="1"/>
  <c r="N2388" i="1"/>
  <c r="A2388" i="1" a="1"/>
  <c r="A2388" i="1"/>
  <c r="AG2388" i="1" s="1" a="1"/>
  <c r="AG2388" i="1" s="1"/>
  <c r="Y2388" i="1" s="1"/>
  <c r="AD2387" i="1"/>
  <c r="R2387" i="1"/>
  <c r="T2387" i="1" s="1"/>
  <c r="N2387" i="1"/>
  <c r="A2387" i="1" a="1"/>
  <c r="A2387" i="1" s="1"/>
  <c r="AF2386" i="1" a="1"/>
  <c r="AF2386" i="1"/>
  <c r="X2386" i="1" s="1"/>
  <c r="AA2386" i="1" s="1"/>
  <c r="AD2386" i="1"/>
  <c r="T2386" i="1"/>
  <c r="R2386" i="1"/>
  <c r="N2386" i="1"/>
  <c r="A2386" i="1" a="1"/>
  <c r="A2386" i="1"/>
  <c r="AG2386" i="1" s="1" a="1"/>
  <c r="AG2386" i="1" s="1"/>
  <c r="Y2386" i="1" s="1"/>
  <c r="AB2386" i="1" s="1"/>
  <c r="AF2385" i="1" a="1"/>
  <c r="AF2385" i="1" s="1"/>
  <c r="X2385" i="1" s="1"/>
  <c r="AD2385" i="1"/>
  <c r="R2385" i="1"/>
  <c r="N2385" i="1"/>
  <c r="A2385" i="1" a="1"/>
  <c r="A2385" i="1"/>
  <c r="AG2385" i="1" s="1" a="1"/>
  <c r="AG2385" i="1" s="1"/>
  <c r="Y2385" i="1" s="1"/>
  <c r="AG2384" i="1" a="1"/>
  <c r="AG2384" i="1" s="1"/>
  <c r="Y2384" i="1" s="1"/>
  <c r="AF2384" i="1" a="1"/>
  <c r="AF2384" i="1" s="1"/>
  <c r="X2384" i="1" s="1"/>
  <c r="AD2384" i="1"/>
  <c r="R2384" i="1"/>
  <c r="N2384" i="1"/>
  <c r="A2384" i="1" a="1"/>
  <c r="A2384" i="1"/>
  <c r="AD2383" i="1"/>
  <c r="R2383" i="1"/>
  <c r="T2383" i="1" s="1"/>
  <c r="N2383" i="1"/>
  <c r="A2383" i="1" a="1"/>
  <c r="A2383" i="1"/>
  <c r="AF2383" i="1" s="1" a="1"/>
  <c r="AF2383" i="1" s="1"/>
  <c r="X2383" i="1" s="1"/>
  <c r="AD2382" i="1"/>
  <c r="T2382" i="1"/>
  <c r="R2382" i="1"/>
  <c r="N2382" i="1"/>
  <c r="A2382" i="1" a="1"/>
  <c r="A2382" i="1"/>
  <c r="AF2382" i="1" s="1" a="1"/>
  <c r="AF2382" i="1" s="1"/>
  <c r="X2382" i="1" s="1"/>
  <c r="AF2381" i="1" a="1"/>
  <c r="AF2381" i="1"/>
  <c r="X2381" i="1" s="1"/>
  <c r="AD2381" i="1"/>
  <c r="R2381" i="1"/>
  <c r="N2381" i="1"/>
  <c r="A2381" i="1" a="1"/>
  <c r="A2381" i="1"/>
  <c r="AG2381" i="1" s="1" a="1"/>
  <c r="AG2381" i="1" s="1"/>
  <c r="Y2381" i="1" s="1"/>
  <c r="AG2380" i="1" a="1"/>
  <c r="AG2380" i="1" s="1"/>
  <c r="Y2380" i="1" s="1"/>
  <c r="AF2380" i="1" a="1"/>
  <c r="AF2380" i="1" s="1"/>
  <c r="X2380" i="1" s="1"/>
  <c r="AD2380" i="1"/>
  <c r="R2380" i="1"/>
  <c r="N2380" i="1"/>
  <c r="A2380" i="1" a="1"/>
  <c r="A2380" i="1"/>
  <c r="AD2379" i="1"/>
  <c r="R2379" i="1"/>
  <c r="T2379" i="1" s="1"/>
  <c r="N2379" i="1"/>
  <c r="A2379" i="1" a="1"/>
  <c r="A2379" i="1"/>
  <c r="AG2379" i="1" s="1" a="1"/>
  <c r="AG2379" i="1" s="1"/>
  <c r="Y2379" i="1" s="1"/>
  <c r="AD2378" i="1"/>
  <c r="T2378" i="1"/>
  <c r="R2378" i="1"/>
  <c r="N2378" i="1"/>
  <c r="A2378" i="1" a="1"/>
  <c r="A2378" i="1"/>
  <c r="AG2378" i="1" s="1" a="1"/>
  <c r="AG2378" i="1" s="1"/>
  <c r="Y2378" i="1" s="1"/>
  <c r="AF2377" i="1" a="1"/>
  <c r="AF2377" i="1" s="1"/>
  <c r="AD2377" i="1"/>
  <c r="T2377" i="1" s="1"/>
  <c r="AB2377" i="1" s="1"/>
  <c r="X2377" i="1"/>
  <c r="R2377" i="1"/>
  <c r="N2377" i="1"/>
  <c r="A2377" i="1" a="1"/>
  <c r="A2377" i="1"/>
  <c r="AG2377" i="1" s="1" a="1"/>
  <c r="AG2377" i="1" s="1"/>
  <c r="Y2377" i="1" s="1"/>
  <c r="AG2376" i="1" a="1"/>
  <c r="AG2376" i="1" s="1"/>
  <c r="AD2376" i="1"/>
  <c r="Y2376" i="1"/>
  <c r="R2376" i="1"/>
  <c r="N2376" i="1"/>
  <c r="A2376" i="1" a="1"/>
  <c r="A2376" i="1"/>
  <c r="AF2376" i="1" s="1" a="1"/>
  <c r="AF2376" i="1" s="1"/>
  <c r="X2376" i="1" s="1"/>
  <c r="AF2375" i="1" a="1"/>
  <c r="AF2375" i="1" s="1"/>
  <c r="X2375" i="1" s="1"/>
  <c r="AD2375" i="1"/>
  <c r="AA2375" i="1"/>
  <c r="Y2375" i="1"/>
  <c r="R2375" i="1"/>
  <c r="T2375" i="1" s="1"/>
  <c r="N2375" i="1"/>
  <c r="A2375" i="1" a="1"/>
  <c r="A2375" i="1"/>
  <c r="AG2375" i="1" s="1" a="1"/>
  <c r="AG2375" i="1" s="1"/>
  <c r="AF2374" i="1" a="1"/>
  <c r="AF2374" i="1" s="1"/>
  <c r="X2374" i="1" s="1"/>
  <c r="AD2374" i="1"/>
  <c r="AA2374" i="1"/>
  <c r="Y2374" i="1"/>
  <c r="T2374" i="1"/>
  <c r="R2374" i="1"/>
  <c r="N2374" i="1"/>
  <c r="A2374" i="1" a="1"/>
  <c r="A2374" i="1"/>
  <c r="AG2374" i="1" s="1" a="1"/>
  <c r="AG2374" i="1" s="1"/>
  <c r="AD2373" i="1"/>
  <c r="T2373" i="1" s="1"/>
  <c r="R2373" i="1"/>
  <c r="N2373" i="1"/>
  <c r="A2373" i="1" a="1"/>
  <c r="A2373" i="1"/>
  <c r="AG2373" i="1" s="1" a="1"/>
  <c r="AG2373" i="1" s="1"/>
  <c r="Y2373" i="1" s="1"/>
  <c r="AB2373" i="1" s="1"/>
  <c r="AD2372" i="1"/>
  <c r="R2372" i="1"/>
  <c r="N2372" i="1"/>
  <c r="A2372" i="1" a="1"/>
  <c r="A2372" i="1"/>
  <c r="AG2372" i="1" s="1" a="1"/>
  <c r="AG2372" i="1" s="1"/>
  <c r="Y2372" i="1" s="1"/>
  <c r="AD2371" i="1"/>
  <c r="R2371" i="1"/>
  <c r="T2371" i="1" s="1"/>
  <c r="N2371" i="1"/>
  <c r="A2371" i="1" a="1"/>
  <c r="A2371" i="1" s="1"/>
  <c r="AF2370" i="1" a="1"/>
  <c r="AF2370" i="1"/>
  <c r="X2370" i="1" s="1"/>
  <c r="AA2370" i="1" s="1"/>
  <c r="AD2370" i="1"/>
  <c r="T2370" i="1"/>
  <c r="AB2370" i="1" s="1"/>
  <c r="R2370" i="1"/>
  <c r="N2370" i="1"/>
  <c r="A2370" i="1" a="1"/>
  <c r="A2370" i="1"/>
  <c r="AG2370" i="1" s="1" a="1"/>
  <c r="AG2370" i="1" s="1"/>
  <c r="Y2370" i="1" s="1"/>
  <c r="AF2369" i="1" a="1"/>
  <c r="AF2369" i="1" s="1"/>
  <c r="X2369" i="1" s="1"/>
  <c r="AD2369" i="1"/>
  <c r="R2369" i="1"/>
  <c r="N2369" i="1"/>
  <c r="A2369" i="1" a="1"/>
  <c r="A2369" i="1"/>
  <c r="AG2369" i="1" s="1" a="1"/>
  <c r="AG2369" i="1" s="1"/>
  <c r="Y2369" i="1" s="1"/>
  <c r="AG2368" i="1" a="1"/>
  <c r="AG2368" i="1" s="1"/>
  <c r="Y2368" i="1" s="1"/>
  <c r="AF2368" i="1" a="1"/>
  <c r="AF2368" i="1" s="1"/>
  <c r="X2368" i="1" s="1"/>
  <c r="AD2368" i="1"/>
  <c r="R2368" i="1"/>
  <c r="N2368" i="1"/>
  <c r="A2368" i="1" a="1"/>
  <c r="A2368" i="1"/>
  <c r="AG2367" i="1" a="1"/>
  <c r="AG2367" i="1" s="1"/>
  <c r="Y2367" i="1" s="1"/>
  <c r="AD2367" i="1"/>
  <c r="R2367" i="1"/>
  <c r="T2367" i="1" s="1"/>
  <c r="N2367" i="1"/>
  <c r="A2367" i="1" a="1"/>
  <c r="A2367" i="1"/>
  <c r="AF2367" i="1" s="1" a="1"/>
  <c r="AF2367" i="1" s="1"/>
  <c r="X2367" i="1" s="1"/>
  <c r="AG2366" i="1" a="1"/>
  <c r="AG2366" i="1" s="1"/>
  <c r="Y2366" i="1" s="1"/>
  <c r="AB2366" i="1" s="1"/>
  <c r="AD2366" i="1"/>
  <c r="T2366" i="1"/>
  <c r="R2366" i="1"/>
  <c r="N2366" i="1"/>
  <c r="A2366" i="1" a="1"/>
  <c r="A2366" i="1"/>
  <c r="AF2366" i="1" s="1" a="1"/>
  <c r="AF2366" i="1" s="1"/>
  <c r="X2366" i="1" s="1"/>
  <c r="AA2366" i="1" s="1"/>
  <c r="AD2365" i="1"/>
  <c r="R2365" i="1"/>
  <c r="N2365" i="1"/>
  <c r="A2365" i="1" a="1"/>
  <c r="A2365" i="1"/>
  <c r="AG2365" i="1" s="1" a="1"/>
  <c r="AG2365" i="1" s="1"/>
  <c r="Y2365" i="1" s="1"/>
  <c r="AD2364" i="1"/>
  <c r="R2364" i="1"/>
  <c r="N2364" i="1"/>
  <c r="A2364" i="1" a="1"/>
  <c r="A2364" i="1" s="1"/>
  <c r="AD2363" i="1"/>
  <c r="Y2363" i="1"/>
  <c r="R2363" i="1"/>
  <c r="T2363" i="1" s="1"/>
  <c r="N2363" i="1"/>
  <c r="A2363" i="1" a="1"/>
  <c r="A2363" i="1"/>
  <c r="AG2363" i="1" s="1" a="1"/>
  <c r="AG2363" i="1" s="1"/>
  <c r="AF2362" i="1" a="1"/>
  <c r="AF2362" i="1" s="1"/>
  <c r="X2362" i="1" s="1"/>
  <c r="AA2362" i="1" s="1"/>
  <c r="Z2362" i="1" s="1"/>
  <c r="AD2362" i="1"/>
  <c r="T2362" i="1"/>
  <c r="R2362" i="1"/>
  <c r="N2362" i="1"/>
  <c r="A2362" i="1" a="1"/>
  <c r="A2362" i="1"/>
  <c r="AG2362" i="1" s="1" a="1"/>
  <c r="AG2362" i="1" s="1"/>
  <c r="Y2362" i="1" s="1"/>
  <c r="AB2362" i="1" s="1"/>
  <c r="AD2361" i="1"/>
  <c r="R2361" i="1"/>
  <c r="N2361" i="1"/>
  <c r="A2361" i="1" a="1"/>
  <c r="A2361" i="1"/>
  <c r="AG2361" i="1" s="1" a="1"/>
  <c r="AG2361" i="1" s="1"/>
  <c r="Y2361" i="1" s="1"/>
  <c r="AD2360" i="1"/>
  <c r="R2360" i="1"/>
  <c r="N2360" i="1"/>
  <c r="A2360" i="1" a="1"/>
  <c r="A2360" i="1" s="1"/>
  <c r="AG2360" i="1" s="1" a="1"/>
  <c r="AG2360" i="1" s="1"/>
  <c r="Y2360" i="1" s="1"/>
  <c r="AD2359" i="1"/>
  <c r="T2359" i="1"/>
  <c r="R2359" i="1"/>
  <c r="N2359" i="1"/>
  <c r="A2359" i="1" a="1"/>
  <c r="A2359" i="1"/>
  <c r="AG2358" i="1" a="1"/>
  <c r="AG2358" i="1" s="1"/>
  <c r="Y2358" i="1" s="1"/>
  <c r="AD2358" i="1"/>
  <c r="R2358" i="1"/>
  <c r="T2358" i="1" s="1"/>
  <c r="N2358" i="1"/>
  <c r="A2358" i="1" a="1"/>
  <c r="A2358" i="1"/>
  <c r="AF2358" i="1" s="1" a="1"/>
  <c r="AF2358" i="1" s="1"/>
  <c r="X2358" i="1" s="1"/>
  <c r="AD2357" i="1"/>
  <c r="R2357" i="1"/>
  <c r="N2357" i="1"/>
  <c r="A2357" i="1" a="1"/>
  <c r="A2357" i="1"/>
  <c r="AG2357" i="1" s="1" a="1"/>
  <c r="AG2357" i="1" s="1"/>
  <c r="Y2357" i="1" s="1"/>
  <c r="AF2356" i="1" a="1"/>
  <c r="AF2356" i="1" s="1"/>
  <c r="X2356" i="1" s="1"/>
  <c r="AD2356" i="1"/>
  <c r="R2356" i="1"/>
  <c r="N2356" i="1"/>
  <c r="A2356" i="1" a="1"/>
  <c r="A2356" i="1" s="1"/>
  <c r="AG2356" i="1" s="1" a="1"/>
  <c r="AG2356" i="1" s="1"/>
  <c r="Y2356" i="1" s="1"/>
  <c r="AD2355" i="1"/>
  <c r="R2355" i="1"/>
  <c r="T2355" i="1" s="1"/>
  <c r="N2355" i="1"/>
  <c r="A2355" i="1" a="1"/>
  <c r="A2355" i="1"/>
  <c r="AF2354" i="1" a="1"/>
  <c r="AF2354" i="1" s="1"/>
  <c r="X2354" i="1" s="1"/>
  <c r="AD2354" i="1"/>
  <c r="AA2354" i="1"/>
  <c r="Z2354" i="1" s="1"/>
  <c r="T2354" i="1"/>
  <c r="R2354" i="1"/>
  <c r="N2354" i="1"/>
  <c r="A2354" i="1" a="1"/>
  <c r="A2354" i="1"/>
  <c r="AG2354" i="1" s="1" a="1"/>
  <c r="AG2354" i="1" s="1"/>
  <c r="Y2354" i="1" s="1"/>
  <c r="AB2354" i="1" s="1"/>
  <c r="AD2353" i="1"/>
  <c r="R2353" i="1"/>
  <c r="N2353" i="1"/>
  <c r="A2353" i="1" a="1"/>
  <c r="A2353" i="1"/>
  <c r="AG2353" i="1" s="1" a="1"/>
  <c r="AG2353" i="1" s="1"/>
  <c r="Y2353" i="1" s="1"/>
  <c r="AD2352" i="1"/>
  <c r="R2352" i="1"/>
  <c r="N2352" i="1"/>
  <c r="A2352" i="1" a="1"/>
  <c r="A2352" i="1" s="1"/>
  <c r="AF2351" i="1" a="1"/>
  <c r="AF2351" i="1" s="1"/>
  <c r="X2351" i="1" s="1"/>
  <c r="AD2351" i="1"/>
  <c r="T2351" i="1"/>
  <c r="R2351" i="1"/>
  <c r="N2351" i="1"/>
  <c r="A2351" i="1" a="1"/>
  <c r="A2351" i="1"/>
  <c r="AG2351" i="1" s="1" a="1"/>
  <c r="AG2351" i="1" s="1"/>
  <c r="Y2351" i="1" s="1"/>
  <c r="AG2350" i="1" a="1"/>
  <c r="AG2350" i="1" s="1"/>
  <c r="Y2350" i="1" s="1"/>
  <c r="AD2350" i="1"/>
  <c r="AA2350" i="1"/>
  <c r="R2350" i="1"/>
  <c r="T2350" i="1" s="1"/>
  <c r="N2350" i="1"/>
  <c r="A2350" i="1" a="1"/>
  <c r="A2350" i="1"/>
  <c r="AF2350" i="1" s="1" a="1"/>
  <c r="AF2350" i="1" s="1"/>
  <c r="X2350" i="1" s="1"/>
  <c r="AD2349" i="1"/>
  <c r="R2349" i="1"/>
  <c r="N2349" i="1"/>
  <c r="A2349" i="1" a="1"/>
  <c r="A2349" i="1"/>
  <c r="AG2349" i="1" s="1" a="1"/>
  <c r="AG2349" i="1" s="1"/>
  <c r="Y2349" i="1" s="1"/>
  <c r="AD2348" i="1"/>
  <c r="R2348" i="1"/>
  <c r="N2348" i="1"/>
  <c r="A2348" i="1" a="1"/>
  <c r="A2348" i="1" s="1"/>
  <c r="AD2347" i="1"/>
  <c r="R2347" i="1"/>
  <c r="T2347" i="1" s="1"/>
  <c r="N2347" i="1"/>
  <c r="A2347" i="1" a="1"/>
  <c r="A2347" i="1"/>
  <c r="AD2346" i="1"/>
  <c r="T2346" i="1"/>
  <c r="R2346" i="1"/>
  <c r="N2346" i="1"/>
  <c r="A2346" i="1" a="1"/>
  <c r="A2346" i="1"/>
  <c r="AG2346" i="1" s="1" a="1"/>
  <c r="AG2346" i="1" s="1"/>
  <c r="Y2346" i="1" s="1"/>
  <c r="AB2346" i="1" s="1"/>
  <c r="AD2345" i="1"/>
  <c r="R2345" i="1"/>
  <c r="N2345" i="1"/>
  <c r="A2345" i="1" a="1"/>
  <c r="A2345" i="1"/>
  <c r="AG2345" i="1" s="1" a="1"/>
  <c r="AG2345" i="1" s="1"/>
  <c r="Y2345" i="1" s="1"/>
  <c r="AD2344" i="1"/>
  <c r="R2344" i="1"/>
  <c r="N2344" i="1"/>
  <c r="A2344" i="1" a="1"/>
  <c r="A2344" i="1" s="1"/>
  <c r="AG2344" i="1" s="1" a="1"/>
  <c r="AG2344" i="1" s="1"/>
  <c r="Y2344" i="1" s="1"/>
  <c r="AF2343" i="1" a="1"/>
  <c r="AF2343" i="1" s="1"/>
  <c r="X2343" i="1" s="1"/>
  <c r="AD2343" i="1"/>
  <c r="T2343" i="1"/>
  <c r="R2343" i="1"/>
  <c r="N2343" i="1"/>
  <c r="A2343" i="1" a="1"/>
  <c r="A2343" i="1"/>
  <c r="AG2343" i="1" s="1" a="1"/>
  <c r="AG2343" i="1" s="1"/>
  <c r="Y2343" i="1" s="1"/>
  <c r="AG2342" i="1" a="1"/>
  <c r="AG2342" i="1" s="1"/>
  <c r="Y2342" i="1" s="1"/>
  <c r="AD2342" i="1"/>
  <c r="R2342" i="1"/>
  <c r="T2342" i="1" s="1"/>
  <c r="N2342" i="1"/>
  <c r="A2342" i="1" a="1"/>
  <c r="A2342" i="1"/>
  <c r="AF2342" i="1" s="1" a="1"/>
  <c r="AF2342" i="1" s="1"/>
  <c r="X2342" i="1" s="1"/>
  <c r="AD2341" i="1"/>
  <c r="R2341" i="1"/>
  <c r="N2341" i="1"/>
  <c r="A2341" i="1" a="1"/>
  <c r="A2341" i="1"/>
  <c r="AF2341" i="1" s="1" a="1"/>
  <c r="AF2341" i="1" s="1"/>
  <c r="X2341" i="1" s="1"/>
  <c r="AF2340" i="1" a="1"/>
  <c r="AF2340" i="1" s="1"/>
  <c r="AD2340" i="1"/>
  <c r="X2340" i="1"/>
  <c r="R2340" i="1"/>
  <c r="N2340" i="1"/>
  <c r="A2340" i="1" a="1"/>
  <c r="A2340" i="1" s="1"/>
  <c r="AG2340" i="1" s="1" a="1"/>
  <c r="AG2340" i="1" s="1"/>
  <c r="Y2340" i="1" s="1"/>
  <c r="AD2339" i="1"/>
  <c r="R2339" i="1"/>
  <c r="T2339" i="1" s="1"/>
  <c r="N2339" i="1"/>
  <c r="A2339" i="1" a="1"/>
  <c r="A2339" i="1"/>
  <c r="AF2338" i="1" a="1"/>
  <c r="AF2338" i="1" s="1"/>
  <c r="X2338" i="1" s="1"/>
  <c r="AA2338" i="1" s="1"/>
  <c r="AD2338" i="1"/>
  <c r="R2338" i="1"/>
  <c r="T2338" i="1" s="1"/>
  <c r="AB2338" i="1" s="1"/>
  <c r="N2338" i="1"/>
  <c r="A2338" i="1" a="1"/>
  <c r="A2338" i="1"/>
  <c r="AG2338" i="1" s="1" a="1"/>
  <c r="AG2338" i="1" s="1"/>
  <c r="Y2338" i="1" s="1"/>
  <c r="AD2337" i="1"/>
  <c r="R2337" i="1"/>
  <c r="N2337" i="1"/>
  <c r="A2337" i="1" a="1"/>
  <c r="A2337" i="1"/>
  <c r="AG2337" i="1" s="1" a="1"/>
  <c r="AG2337" i="1" s="1"/>
  <c r="Y2337" i="1" s="1"/>
  <c r="AF2336" i="1" a="1"/>
  <c r="AF2336" i="1" s="1"/>
  <c r="X2336" i="1" s="1"/>
  <c r="AD2336" i="1"/>
  <c r="R2336" i="1"/>
  <c r="N2336" i="1"/>
  <c r="A2336" i="1" a="1"/>
  <c r="A2336" i="1"/>
  <c r="AG2336" i="1" s="1" a="1"/>
  <c r="AG2336" i="1" s="1"/>
  <c r="Y2336" i="1" s="1"/>
  <c r="AD2335" i="1"/>
  <c r="R2335" i="1"/>
  <c r="N2335" i="1"/>
  <c r="A2335" i="1" a="1"/>
  <c r="A2335" i="1" s="1"/>
  <c r="AD2334" i="1"/>
  <c r="R2334" i="1"/>
  <c r="T2334" i="1" s="1"/>
  <c r="N2334" i="1"/>
  <c r="A2334" i="1" a="1"/>
  <c r="A2334" i="1" s="1"/>
  <c r="AD2333" i="1"/>
  <c r="T2333" i="1"/>
  <c r="R2333" i="1"/>
  <c r="N2333" i="1"/>
  <c r="A2333" i="1" a="1"/>
  <c r="A2333" i="1"/>
  <c r="AG2333" i="1" s="1" a="1"/>
  <c r="AG2333" i="1" s="1"/>
  <c r="Y2333" i="1" s="1"/>
  <c r="AF2332" i="1" a="1"/>
  <c r="AF2332" i="1" s="1"/>
  <c r="X2332" i="1" s="1"/>
  <c r="AD2332" i="1"/>
  <c r="R2332" i="1"/>
  <c r="N2332" i="1"/>
  <c r="A2332" i="1" a="1"/>
  <c r="A2332" i="1"/>
  <c r="AG2332" i="1" s="1" a="1"/>
  <c r="AG2332" i="1" s="1"/>
  <c r="Y2332" i="1" s="1"/>
  <c r="AG2331" i="1" a="1"/>
  <c r="AG2331" i="1" s="1"/>
  <c r="Y2331" i="1" s="1"/>
  <c r="AD2331" i="1"/>
  <c r="R2331" i="1"/>
  <c r="N2331" i="1"/>
  <c r="A2331" i="1" a="1"/>
  <c r="A2331" i="1"/>
  <c r="AF2331" i="1" s="1" a="1"/>
  <c r="AF2331" i="1" s="1"/>
  <c r="X2331" i="1" s="1"/>
  <c r="AD2330" i="1"/>
  <c r="T2330" i="1"/>
  <c r="R2330" i="1"/>
  <c r="N2330" i="1"/>
  <c r="A2330" i="1" a="1"/>
  <c r="A2330" i="1"/>
  <c r="AD2329" i="1"/>
  <c r="T2329" i="1"/>
  <c r="R2329" i="1"/>
  <c r="N2329" i="1"/>
  <c r="A2329" i="1" a="1"/>
  <c r="A2329" i="1"/>
  <c r="AG2329" i="1" s="1" a="1"/>
  <c r="AG2329" i="1" s="1"/>
  <c r="Y2329" i="1" s="1"/>
  <c r="AF2328" i="1" a="1"/>
  <c r="AF2328" i="1"/>
  <c r="X2328" i="1" s="1"/>
  <c r="AD2328" i="1"/>
  <c r="R2328" i="1"/>
  <c r="N2328" i="1"/>
  <c r="A2328" i="1" a="1"/>
  <c r="A2328" i="1"/>
  <c r="AG2328" i="1" s="1" a="1"/>
  <c r="AG2328" i="1" s="1"/>
  <c r="Y2328" i="1" s="1"/>
  <c r="AF2327" i="1" a="1"/>
  <c r="AF2327" i="1" s="1"/>
  <c r="AD2327" i="1"/>
  <c r="X2327" i="1"/>
  <c r="R2327" i="1"/>
  <c r="N2327" i="1"/>
  <c r="A2327" i="1" a="1"/>
  <c r="A2327" i="1"/>
  <c r="AG2327" i="1" s="1" a="1"/>
  <c r="AG2327" i="1" s="1"/>
  <c r="Y2327" i="1" s="1"/>
  <c r="AD2326" i="1"/>
  <c r="R2326" i="1"/>
  <c r="T2326" i="1" s="1"/>
  <c r="N2326" i="1"/>
  <c r="A2326" i="1" a="1"/>
  <c r="A2326" i="1" s="1"/>
  <c r="AF2326" i="1" s="1" a="1"/>
  <c r="AF2326" i="1" s="1"/>
  <c r="X2326" i="1" s="1"/>
  <c r="AG2325" i="1" a="1"/>
  <c r="AG2325" i="1" s="1"/>
  <c r="Y2325" i="1" s="1"/>
  <c r="AF2325" i="1"/>
  <c r="X2325" i="1" s="1"/>
  <c r="AD2325" i="1"/>
  <c r="R2325" i="1"/>
  <c r="T2325" i="1" s="1"/>
  <c r="AB2325" i="1" s="1"/>
  <c r="N2325" i="1"/>
  <c r="A2325" i="1" a="1"/>
  <c r="A2325" i="1"/>
  <c r="AF2325" i="1" s="1" a="1"/>
  <c r="AG2324" i="1" a="1"/>
  <c r="AG2324" i="1" s="1"/>
  <c r="Y2324" i="1" s="1"/>
  <c r="AD2324" i="1"/>
  <c r="R2324" i="1"/>
  <c r="N2324" i="1"/>
  <c r="A2324" i="1" a="1"/>
  <c r="A2324" i="1" s="1"/>
  <c r="AF2324" i="1" s="1" a="1"/>
  <c r="AF2324" i="1" s="1"/>
  <c r="X2324" i="1" s="1"/>
  <c r="AD2323" i="1"/>
  <c r="R2323" i="1"/>
  <c r="N2323" i="1"/>
  <c r="A2323" i="1" a="1"/>
  <c r="A2323" i="1" s="1"/>
  <c r="AF2323" i="1" s="1" a="1"/>
  <c r="AF2323" i="1" s="1"/>
  <c r="X2323" i="1" s="1"/>
  <c r="AD2322" i="1"/>
  <c r="T2322" i="1"/>
  <c r="R2322" i="1"/>
  <c r="N2322" i="1"/>
  <c r="A2322" i="1" a="1"/>
  <c r="A2322" i="1"/>
  <c r="AG2322" i="1" s="1" a="1"/>
  <c r="AG2322" i="1" s="1"/>
  <c r="Y2322" i="1" s="1"/>
  <c r="AG2321" i="1" a="1"/>
  <c r="AG2321" i="1" s="1"/>
  <c r="Y2321" i="1" s="1"/>
  <c r="AF2321" i="1" a="1"/>
  <c r="AF2321" i="1" s="1"/>
  <c r="X2321" i="1" s="1"/>
  <c r="AA2321" i="1" s="1"/>
  <c r="AD2321" i="1"/>
  <c r="T2321" i="1" s="1"/>
  <c r="R2321" i="1"/>
  <c r="N2321" i="1"/>
  <c r="A2321" i="1" a="1"/>
  <c r="A2321" i="1"/>
  <c r="AD2320" i="1"/>
  <c r="R2320" i="1"/>
  <c r="T2320" i="1" s="1"/>
  <c r="N2320" i="1"/>
  <c r="A2320" i="1" a="1"/>
  <c r="A2320" i="1" s="1"/>
  <c r="AD2319" i="1"/>
  <c r="T2319" i="1"/>
  <c r="R2319" i="1"/>
  <c r="N2319" i="1"/>
  <c r="A2319" i="1" a="1"/>
  <c r="A2319" i="1"/>
  <c r="AD2318" i="1"/>
  <c r="R2318" i="1"/>
  <c r="N2318" i="1"/>
  <c r="A2318" i="1" a="1"/>
  <c r="A2318" i="1" s="1"/>
  <c r="AD2317" i="1"/>
  <c r="T2317" i="1" s="1"/>
  <c r="R2317" i="1"/>
  <c r="N2317" i="1"/>
  <c r="A2317" i="1" a="1"/>
  <c r="A2317" i="1" s="1"/>
  <c r="AD2316" i="1"/>
  <c r="R2316" i="1"/>
  <c r="T2316" i="1" s="1"/>
  <c r="N2316" i="1"/>
  <c r="A2316" i="1" a="1"/>
  <c r="A2316" i="1" s="1"/>
  <c r="AG2315" i="1" a="1"/>
  <c r="AG2315" i="1" s="1"/>
  <c r="Y2315" i="1" s="1"/>
  <c r="AF2315" i="1" a="1"/>
  <c r="AF2315" i="1" s="1"/>
  <c r="X2315" i="1" s="1"/>
  <c r="AD2315" i="1"/>
  <c r="AA2315" i="1"/>
  <c r="T2315" i="1"/>
  <c r="R2315" i="1"/>
  <c r="N2315" i="1"/>
  <c r="A2315" i="1" a="1"/>
  <c r="A2315" i="1"/>
  <c r="AD2314" i="1"/>
  <c r="R2314" i="1"/>
  <c r="N2314" i="1"/>
  <c r="A2314" i="1" a="1"/>
  <c r="A2314" i="1" s="1"/>
  <c r="AF2313" i="1" a="1"/>
  <c r="AF2313" i="1" s="1"/>
  <c r="X2313" i="1" s="1"/>
  <c r="AD2313" i="1"/>
  <c r="R2313" i="1"/>
  <c r="N2313" i="1"/>
  <c r="A2313" i="1" a="1"/>
  <c r="A2313" i="1" s="1"/>
  <c r="AG2313" i="1" s="1" a="1"/>
  <c r="AG2313" i="1" s="1"/>
  <c r="Y2313" i="1" s="1"/>
  <c r="AD2312" i="1"/>
  <c r="R2312" i="1"/>
  <c r="T2312" i="1" s="1"/>
  <c r="N2312" i="1"/>
  <c r="A2312" i="1" a="1"/>
  <c r="A2312" i="1" s="1"/>
  <c r="AD2311" i="1"/>
  <c r="T2311" i="1"/>
  <c r="R2311" i="1"/>
  <c r="N2311" i="1"/>
  <c r="A2311" i="1" a="1"/>
  <c r="A2311" i="1" s="1"/>
  <c r="AD2310" i="1"/>
  <c r="R2310" i="1"/>
  <c r="T2310" i="1" s="1"/>
  <c r="N2310" i="1"/>
  <c r="A2310" i="1" a="1"/>
  <c r="A2310" i="1" s="1"/>
  <c r="AD2309" i="1"/>
  <c r="R2309" i="1"/>
  <c r="N2309" i="1"/>
  <c r="A2309" i="1" a="1"/>
  <c r="A2309" i="1"/>
  <c r="AF2309" i="1" s="1" a="1"/>
  <c r="AF2309" i="1" s="1"/>
  <c r="X2309" i="1" s="1"/>
  <c r="AD2308" i="1"/>
  <c r="T2308" i="1"/>
  <c r="R2308" i="1"/>
  <c r="N2308" i="1"/>
  <c r="A2308" i="1" a="1"/>
  <c r="A2308" i="1" s="1"/>
  <c r="AD2307" i="1"/>
  <c r="R2307" i="1"/>
  <c r="N2307" i="1"/>
  <c r="A2307" i="1" a="1"/>
  <c r="A2307" i="1"/>
  <c r="AD2306" i="1"/>
  <c r="R2306" i="1"/>
  <c r="N2306" i="1"/>
  <c r="A2306" i="1" a="1"/>
  <c r="A2306" i="1" s="1"/>
  <c r="AD2305" i="1"/>
  <c r="T2305" i="1"/>
  <c r="R2305" i="1"/>
  <c r="N2305" i="1"/>
  <c r="A2305" i="1" a="1"/>
  <c r="A2305" i="1" s="1"/>
  <c r="AD2304" i="1"/>
  <c r="R2304" i="1"/>
  <c r="T2304" i="1" s="1"/>
  <c r="N2304" i="1"/>
  <c r="A2304" i="1" a="1"/>
  <c r="A2304" i="1" s="1"/>
  <c r="AD2303" i="1"/>
  <c r="R2303" i="1"/>
  <c r="N2303" i="1"/>
  <c r="A2303" i="1" a="1"/>
  <c r="A2303" i="1" s="1"/>
  <c r="AD2302" i="1"/>
  <c r="R2302" i="1"/>
  <c r="T2302" i="1" s="1"/>
  <c r="N2302" i="1"/>
  <c r="A2302" i="1" a="1"/>
  <c r="A2302" i="1" s="1"/>
  <c r="AD2301" i="1"/>
  <c r="T2301" i="1"/>
  <c r="R2301" i="1"/>
  <c r="N2301" i="1"/>
  <c r="A2301" i="1" a="1"/>
  <c r="A2301" i="1"/>
  <c r="AD2300" i="1"/>
  <c r="R2300" i="1"/>
  <c r="N2300" i="1"/>
  <c r="A2300" i="1" a="1"/>
  <c r="A2300" i="1" s="1"/>
  <c r="AG2299" i="1"/>
  <c r="Y2299" i="1" s="1"/>
  <c r="AD2299" i="1"/>
  <c r="T2299" i="1"/>
  <c r="R2299" i="1"/>
  <c r="N2299" i="1"/>
  <c r="A2299" i="1" a="1"/>
  <c r="A2299" i="1"/>
  <c r="AG2299" i="1" s="1" a="1"/>
  <c r="AD2298" i="1"/>
  <c r="R2298" i="1"/>
  <c r="T2298" i="1" s="1"/>
  <c r="N2298" i="1"/>
  <c r="A2298" i="1" a="1"/>
  <c r="A2298" i="1" s="1"/>
  <c r="AD2297" i="1"/>
  <c r="R2297" i="1"/>
  <c r="N2297" i="1"/>
  <c r="A2297" i="1" a="1"/>
  <c r="A2297" i="1"/>
  <c r="AF2297" i="1" s="1" a="1"/>
  <c r="AF2297" i="1" s="1"/>
  <c r="X2297" i="1" s="1"/>
  <c r="AD2296" i="1"/>
  <c r="T2296" i="1"/>
  <c r="R2296" i="1"/>
  <c r="N2296" i="1"/>
  <c r="A2296" i="1" a="1"/>
  <c r="A2296" i="1" s="1"/>
  <c r="AD2295" i="1"/>
  <c r="R2295" i="1"/>
  <c r="N2295" i="1"/>
  <c r="A2295" i="1" a="1"/>
  <c r="A2295" i="1"/>
  <c r="AD2294" i="1"/>
  <c r="R2294" i="1"/>
  <c r="N2294" i="1"/>
  <c r="A2294" i="1" a="1"/>
  <c r="A2294" i="1" s="1"/>
  <c r="AD2293" i="1"/>
  <c r="T2293" i="1"/>
  <c r="R2293" i="1"/>
  <c r="N2293" i="1"/>
  <c r="A2293" i="1" a="1"/>
  <c r="A2293" i="1" s="1"/>
  <c r="AD2292" i="1"/>
  <c r="R2292" i="1"/>
  <c r="T2292" i="1" s="1"/>
  <c r="N2292" i="1"/>
  <c r="A2292" i="1" a="1"/>
  <c r="A2292" i="1" s="1"/>
  <c r="AD2291" i="1"/>
  <c r="R2291" i="1"/>
  <c r="N2291" i="1"/>
  <c r="A2291" i="1" a="1"/>
  <c r="A2291" i="1" s="1"/>
  <c r="AD2290" i="1"/>
  <c r="R2290" i="1"/>
  <c r="N2290" i="1"/>
  <c r="A2290" i="1" a="1"/>
  <c r="A2290" i="1" s="1"/>
  <c r="AD2289" i="1"/>
  <c r="R2289" i="1"/>
  <c r="N2289" i="1"/>
  <c r="A2289" i="1" a="1"/>
  <c r="A2289" i="1" s="1"/>
  <c r="AD2288" i="1"/>
  <c r="R2288" i="1"/>
  <c r="T2288" i="1" s="1"/>
  <c r="N2288" i="1"/>
  <c r="A2288" i="1" a="1"/>
  <c r="A2288" i="1" s="1"/>
  <c r="AD2287" i="1"/>
  <c r="T2287" i="1"/>
  <c r="R2287" i="1"/>
  <c r="N2287" i="1"/>
  <c r="A2287" i="1" a="1"/>
  <c r="A2287" i="1" s="1"/>
  <c r="AD2286" i="1"/>
  <c r="R2286" i="1"/>
  <c r="N2286" i="1"/>
  <c r="A2286" i="1" a="1"/>
  <c r="A2286" i="1" s="1"/>
  <c r="AD2285" i="1"/>
  <c r="R2285" i="1"/>
  <c r="N2285" i="1"/>
  <c r="A2285" i="1" a="1"/>
  <c r="A2285" i="1" s="1"/>
  <c r="AD2284" i="1"/>
  <c r="T2284" i="1" s="1"/>
  <c r="R2284" i="1"/>
  <c r="N2284" i="1"/>
  <c r="A2284" i="1" a="1"/>
  <c r="A2284" i="1" s="1"/>
  <c r="AD2283" i="1"/>
  <c r="R2283" i="1"/>
  <c r="N2283" i="1"/>
  <c r="A2283" i="1" a="1"/>
  <c r="A2283" i="1" s="1"/>
  <c r="AD2282" i="1"/>
  <c r="R2282" i="1"/>
  <c r="N2282" i="1"/>
  <c r="A2282" i="1" a="1"/>
  <c r="A2282" i="1" s="1"/>
  <c r="AD2281" i="1"/>
  <c r="R2281" i="1"/>
  <c r="N2281" i="1"/>
  <c r="A2281" i="1" a="1"/>
  <c r="A2281" i="1" s="1"/>
  <c r="AD2280" i="1"/>
  <c r="T2280" i="1" s="1"/>
  <c r="R2280" i="1"/>
  <c r="N2280" i="1"/>
  <c r="A2280" i="1" a="1"/>
  <c r="A2280" i="1" s="1"/>
  <c r="AD2279" i="1"/>
  <c r="R2279" i="1"/>
  <c r="N2279" i="1"/>
  <c r="A2279" i="1" a="1"/>
  <c r="A2279" i="1" s="1"/>
  <c r="AD2278" i="1"/>
  <c r="R2278" i="1"/>
  <c r="N2278" i="1"/>
  <c r="A2278" i="1" a="1"/>
  <c r="A2278" i="1" s="1"/>
  <c r="AD2277" i="1"/>
  <c r="R2277" i="1"/>
  <c r="N2277" i="1"/>
  <c r="A2277" i="1" a="1"/>
  <c r="A2277" i="1" s="1"/>
  <c r="AD2276" i="1"/>
  <c r="R2276" i="1"/>
  <c r="N2276" i="1"/>
  <c r="A2276" i="1" a="1"/>
  <c r="A2276" i="1" s="1"/>
  <c r="AD2275" i="1"/>
  <c r="R2275" i="1"/>
  <c r="N2275" i="1"/>
  <c r="A2275" i="1" a="1"/>
  <c r="A2275" i="1" s="1"/>
  <c r="AD2274" i="1"/>
  <c r="R2274" i="1"/>
  <c r="N2274" i="1"/>
  <c r="A2274" i="1" a="1"/>
  <c r="A2274" i="1" s="1"/>
  <c r="AF2273" i="1" a="1"/>
  <c r="AF2273" i="1" s="1"/>
  <c r="X2273" i="1" s="1"/>
  <c r="AD2273" i="1"/>
  <c r="R2273" i="1"/>
  <c r="N2273" i="1"/>
  <c r="A2273" i="1" a="1"/>
  <c r="A2273" i="1" s="1"/>
  <c r="AG2273" i="1" s="1" a="1"/>
  <c r="AG2273" i="1" s="1"/>
  <c r="Y2273" i="1" s="1"/>
  <c r="AD2272" i="1"/>
  <c r="R2272" i="1"/>
  <c r="N2272" i="1"/>
  <c r="A2272" i="1" a="1"/>
  <c r="A2272" i="1" s="1"/>
  <c r="AD2271" i="1"/>
  <c r="R2271" i="1"/>
  <c r="N2271" i="1"/>
  <c r="A2271" i="1" a="1"/>
  <c r="A2271" i="1" s="1"/>
  <c r="AD2270" i="1"/>
  <c r="R2270" i="1"/>
  <c r="N2270" i="1"/>
  <c r="A2270" i="1" a="1"/>
  <c r="A2270" i="1" s="1"/>
  <c r="AD2269" i="1"/>
  <c r="R2269" i="1"/>
  <c r="N2269" i="1"/>
  <c r="A2269" i="1" a="1"/>
  <c r="A2269" i="1" s="1"/>
  <c r="AD2268" i="1"/>
  <c r="R2268" i="1"/>
  <c r="N2268" i="1"/>
  <c r="A2268" i="1" a="1"/>
  <c r="A2268" i="1" s="1"/>
  <c r="AD2267" i="1"/>
  <c r="R2267" i="1"/>
  <c r="N2267" i="1"/>
  <c r="A2267" i="1" a="1"/>
  <c r="A2267" i="1" s="1"/>
  <c r="AD2266" i="1"/>
  <c r="R2266" i="1"/>
  <c r="N2266" i="1"/>
  <c r="A2266" i="1" a="1"/>
  <c r="A2266" i="1" s="1"/>
  <c r="AD2265" i="1"/>
  <c r="Y2265" i="1"/>
  <c r="R2265" i="1"/>
  <c r="N2265" i="1"/>
  <c r="A2265" i="1" a="1"/>
  <c r="A2265" i="1" s="1"/>
  <c r="AG2265" i="1" s="1" a="1"/>
  <c r="AG2265" i="1" s="1"/>
  <c r="AD2264" i="1"/>
  <c r="R2264" i="1"/>
  <c r="N2264" i="1"/>
  <c r="A2264" i="1" a="1"/>
  <c r="A2264" i="1" s="1"/>
  <c r="AD2263" i="1"/>
  <c r="R2263" i="1"/>
  <c r="N2263" i="1"/>
  <c r="A2263" i="1" a="1"/>
  <c r="A2263" i="1" s="1"/>
  <c r="AD2262" i="1"/>
  <c r="R2262" i="1"/>
  <c r="N2262" i="1"/>
  <c r="A2262" i="1" a="1"/>
  <c r="A2262" i="1" s="1"/>
  <c r="AF2261" i="1" a="1"/>
  <c r="AF2261" i="1" s="1"/>
  <c r="X2261" i="1" s="1"/>
  <c r="AD2261" i="1"/>
  <c r="R2261" i="1"/>
  <c r="N2261" i="1"/>
  <c r="A2261" i="1" a="1"/>
  <c r="A2261" i="1"/>
  <c r="AG2261" i="1" s="1" a="1"/>
  <c r="AG2261" i="1" s="1"/>
  <c r="Y2261" i="1" s="1"/>
  <c r="AG2260" i="1"/>
  <c r="AF2260" i="1" a="1"/>
  <c r="AF2260" i="1" s="1"/>
  <c r="X2260" i="1" s="1"/>
  <c r="AD2260" i="1"/>
  <c r="Y2260" i="1"/>
  <c r="AB2260" i="1" s="1"/>
  <c r="T2260" i="1"/>
  <c r="R2260" i="1"/>
  <c r="N2260" i="1"/>
  <c r="A2260" i="1" a="1"/>
  <c r="A2260" i="1"/>
  <c r="AG2260" i="1" s="1" a="1"/>
  <c r="AG2259" i="1" a="1"/>
  <c r="AG2259" i="1" s="1"/>
  <c r="Y2259" i="1" s="1"/>
  <c r="AD2259" i="1"/>
  <c r="R2259" i="1"/>
  <c r="N2259" i="1"/>
  <c r="A2259" i="1" a="1"/>
  <c r="A2259" i="1"/>
  <c r="AF2259" i="1" s="1" a="1"/>
  <c r="AF2259" i="1" s="1"/>
  <c r="X2259" i="1" s="1"/>
  <c r="AD2258" i="1"/>
  <c r="R2258" i="1"/>
  <c r="N2258" i="1"/>
  <c r="A2258" i="1" a="1"/>
  <c r="A2258" i="1"/>
  <c r="AD2257" i="1"/>
  <c r="T2257" i="1"/>
  <c r="R2257" i="1"/>
  <c r="N2257" i="1"/>
  <c r="A2257" i="1" a="1"/>
  <c r="A2257" i="1"/>
  <c r="AF2256" i="1" a="1"/>
  <c r="AF2256" i="1" s="1"/>
  <c r="X2256" i="1" s="1"/>
  <c r="AD2256" i="1"/>
  <c r="T2256" i="1" s="1"/>
  <c r="R2256" i="1"/>
  <c r="N2256" i="1"/>
  <c r="A2256" i="1" a="1"/>
  <c r="A2256" i="1"/>
  <c r="AG2256" i="1" s="1" a="1"/>
  <c r="AG2256" i="1" s="1"/>
  <c r="Y2256" i="1" s="1"/>
  <c r="AD2255" i="1"/>
  <c r="R2255" i="1"/>
  <c r="T2255" i="1" s="1"/>
  <c r="N2255" i="1"/>
  <c r="A2255" i="1" a="1"/>
  <c r="A2255" i="1" s="1"/>
  <c r="AD2254" i="1"/>
  <c r="Y2254" i="1"/>
  <c r="R2254" i="1"/>
  <c r="N2254" i="1"/>
  <c r="A2254" i="1" a="1"/>
  <c r="A2254" i="1"/>
  <c r="AG2254" i="1" s="1" a="1"/>
  <c r="AG2254" i="1" s="1"/>
  <c r="AD2253" i="1"/>
  <c r="R2253" i="1"/>
  <c r="N2253" i="1"/>
  <c r="A2253" i="1" a="1"/>
  <c r="A2253" i="1" s="1"/>
  <c r="AD2252" i="1"/>
  <c r="T2252" i="1"/>
  <c r="R2252" i="1"/>
  <c r="N2252" i="1"/>
  <c r="A2252" i="1" a="1"/>
  <c r="A2252" i="1" s="1"/>
  <c r="AD2251" i="1"/>
  <c r="R2251" i="1"/>
  <c r="T2251" i="1" s="1"/>
  <c r="N2251" i="1"/>
  <c r="A2251" i="1" a="1"/>
  <c r="A2251" i="1" s="1"/>
  <c r="AD2250" i="1"/>
  <c r="R2250" i="1"/>
  <c r="N2250" i="1"/>
  <c r="A2250" i="1" a="1"/>
  <c r="A2250" i="1" s="1"/>
  <c r="AD2249" i="1"/>
  <c r="R2249" i="1"/>
  <c r="N2249" i="1"/>
  <c r="A2249" i="1" a="1"/>
  <c r="A2249" i="1" s="1"/>
  <c r="AF2249" i="1" s="1" a="1"/>
  <c r="AF2249" i="1" s="1"/>
  <c r="X2249" i="1" s="1"/>
  <c r="AD2248" i="1"/>
  <c r="T2248" i="1"/>
  <c r="R2248" i="1"/>
  <c r="N2248" i="1"/>
  <c r="A2248" i="1" a="1"/>
  <c r="A2248" i="1"/>
  <c r="AG2248" i="1" s="1" a="1"/>
  <c r="AG2248" i="1" s="1"/>
  <c r="Y2248" i="1" s="1"/>
  <c r="AD2247" i="1"/>
  <c r="R2247" i="1"/>
  <c r="N2247" i="1"/>
  <c r="A2247" i="1" a="1"/>
  <c r="A2247" i="1" s="1"/>
  <c r="AD2246" i="1"/>
  <c r="T2246" i="1"/>
  <c r="R2246" i="1"/>
  <c r="N2246" i="1"/>
  <c r="A2246" i="1" a="1"/>
  <c r="A2246" i="1" s="1"/>
  <c r="AD2245" i="1"/>
  <c r="T2245" i="1"/>
  <c r="R2245" i="1"/>
  <c r="N2245" i="1"/>
  <c r="A2245" i="1" a="1"/>
  <c r="A2245" i="1" s="1"/>
  <c r="AF2245" i="1" s="1" a="1"/>
  <c r="AF2245" i="1" s="1"/>
  <c r="X2245" i="1" s="1"/>
  <c r="AG2244" i="1" a="1"/>
  <c r="AG2244" i="1" s="1"/>
  <c r="Y2244" i="1" s="1"/>
  <c r="AD2244" i="1"/>
  <c r="R2244" i="1"/>
  <c r="N2244" i="1"/>
  <c r="A2244" i="1" a="1"/>
  <c r="A2244" i="1"/>
  <c r="AF2244" i="1" s="1" a="1"/>
  <c r="AF2244" i="1" s="1"/>
  <c r="X2244" i="1" s="1"/>
  <c r="AD2243" i="1"/>
  <c r="R2243" i="1"/>
  <c r="N2243" i="1"/>
  <c r="A2243" i="1" a="1"/>
  <c r="A2243" i="1" s="1"/>
  <c r="AF2242" i="1" a="1"/>
  <c r="AF2242" i="1" s="1"/>
  <c r="X2242" i="1" s="1"/>
  <c r="AD2242" i="1"/>
  <c r="T2242" i="1" s="1"/>
  <c r="AB2242" i="1" s="1"/>
  <c r="Y2242" i="1"/>
  <c r="R2242" i="1"/>
  <c r="N2242" i="1"/>
  <c r="A2242" i="1" a="1"/>
  <c r="A2242" i="1"/>
  <c r="AG2242" i="1" s="1" a="1"/>
  <c r="AG2242" i="1" s="1"/>
  <c r="AG2241" i="1" a="1"/>
  <c r="AG2241" i="1" s="1"/>
  <c r="Y2241" i="1" s="1"/>
  <c r="AD2241" i="1"/>
  <c r="R2241" i="1"/>
  <c r="N2241" i="1"/>
  <c r="A2241" i="1" a="1"/>
  <c r="A2241" i="1"/>
  <c r="AF2241" i="1" s="1" a="1"/>
  <c r="AF2241" i="1" s="1"/>
  <c r="X2241" i="1" s="1"/>
  <c r="AG2240" i="1" a="1"/>
  <c r="AG2240" i="1" s="1"/>
  <c r="Y2240" i="1" s="1"/>
  <c r="AD2240" i="1"/>
  <c r="R2240" i="1"/>
  <c r="N2240" i="1"/>
  <c r="A2240" i="1" a="1"/>
  <c r="A2240" i="1"/>
  <c r="AF2240" i="1" s="1" a="1"/>
  <c r="AF2240" i="1" s="1"/>
  <c r="X2240" i="1" s="1"/>
  <c r="AD2239" i="1"/>
  <c r="R2239" i="1"/>
  <c r="N2239" i="1"/>
  <c r="A2239" i="1" a="1"/>
  <c r="A2239" i="1" s="1"/>
  <c r="AF2238" i="1" a="1"/>
  <c r="AF2238" i="1" s="1"/>
  <c r="X2238" i="1" s="1"/>
  <c r="AD2238" i="1"/>
  <c r="T2238" i="1" s="1"/>
  <c r="Y2238" i="1"/>
  <c r="AB2238" i="1" s="1"/>
  <c r="R2238" i="1"/>
  <c r="N2238" i="1"/>
  <c r="A2238" i="1" a="1"/>
  <c r="A2238" i="1"/>
  <c r="AG2238" i="1" s="1" a="1"/>
  <c r="AG2238" i="1" s="1"/>
  <c r="AG2237" i="1" a="1"/>
  <c r="AG2237" i="1" s="1"/>
  <c r="Y2237" i="1" s="1"/>
  <c r="AD2237" i="1"/>
  <c r="R2237" i="1"/>
  <c r="N2237" i="1"/>
  <c r="A2237" i="1" a="1"/>
  <c r="A2237" i="1"/>
  <c r="AF2237" i="1" s="1" a="1"/>
  <c r="AF2237" i="1" s="1"/>
  <c r="X2237" i="1" s="1"/>
  <c r="AG2236" i="1" a="1"/>
  <c r="AG2236" i="1" s="1"/>
  <c r="Y2236" i="1" s="1"/>
  <c r="AF2236" i="1" a="1"/>
  <c r="AF2236" i="1" s="1"/>
  <c r="AD2236" i="1"/>
  <c r="X2236" i="1"/>
  <c r="R2236" i="1"/>
  <c r="N2236" i="1"/>
  <c r="A2236" i="1" a="1"/>
  <c r="A2236" i="1"/>
  <c r="AD2235" i="1"/>
  <c r="R2235" i="1"/>
  <c r="N2235" i="1"/>
  <c r="A2235" i="1" a="1"/>
  <c r="A2235" i="1" s="1"/>
  <c r="AF2234" i="1" a="1"/>
  <c r="AF2234" i="1" s="1"/>
  <c r="X2234" i="1" s="1"/>
  <c r="AD2234" i="1"/>
  <c r="Y2234" i="1"/>
  <c r="R2234" i="1"/>
  <c r="N2234" i="1"/>
  <c r="A2234" i="1" a="1"/>
  <c r="A2234" i="1" s="1"/>
  <c r="AG2234" i="1" s="1" a="1"/>
  <c r="AG2234" i="1" s="1"/>
  <c r="AD2233" i="1"/>
  <c r="T2233" i="1"/>
  <c r="R2233" i="1"/>
  <c r="N2233" i="1"/>
  <c r="A2233" i="1" a="1"/>
  <c r="A2233" i="1" s="1"/>
  <c r="AD2232" i="1"/>
  <c r="R2232" i="1"/>
  <c r="N2232" i="1"/>
  <c r="A2232" i="1" a="1"/>
  <c r="A2232" i="1"/>
  <c r="AD2231" i="1"/>
  <c r="R2231" i="1"/>
  <c r="T2231" i="1" s="1"/>
  <c r="N2231" i="1"/>
  <c r="A2231" i="1" a="1"/>
  <c r="A2231" i="1" s="1"/>
  <c r="AD2230" i="1"/>
  <c r="T2230" i="1"/>
  <c r="R2230" i="1"/>
  <c r="N2230" i="1"/>
  <c r="A2230" i="1" a="1"/>
  <c r="A2230" i="1" s="1"/>
  <c r="AD2229" i="1"/>
  <c r="R2229" i="1"/>
  <c r="N2229" i="1"/>
  <c r="A2229" i="1" a="1"/>
  <c r="A2229" i="1" s="1"/>
  <c r="AD2228" i="1"/>
  <c r="R2228" i="1"/>
  <c r="N2228" i="1"/>
  <c r="A2228" i="1" a="1"/>
  <c r="A2228" i="1" s="1"/>
  <c r="AG2228" i="1" s="1" a="1"/>
  <c r="AG2228" i="1" s="1"/>
  <c r="Y2228" i="1" s="1"/>
  <c r="AG2227" i="1" a="1"/>
  <c r="AG2227" i="1" s="1"/>
  <c r="Y2227" i="1" s="1"/>
  <c r="AD2227" i="1"/>
  <c r="X2227" i="1"/>
  <c r="T2227" i="1"/>
  <c r="R2227" i="1"/>
  <c r="N2227" i="1"/>
  <c r="A2227" i="1" a="1"/>
  <c r="A2227" i="1" s="1"/>
  <c r="AF2227" i="1" s="1" a="1"/>
  <c r="AF2227" i="1" s="1"/>
  <c r="AD2226" i="1"/>
  <c r="T2226" i="1"/>
  <c r="R2226" i="1"/>
  <c r="N2226" i="1"/>
  <c r="A2226" i="1" a="1"/>
  <c r="A2226" i="1" s="1"/>
  <c r="AD2225" i="1"/>
  <c r="T2225" i="1"/>
  <c r="R2225" i="1"/>
  <c r="N2225" i="1"/>
  <c r="A2225" i="1" a="1"/>
  <c r="A2225" i="1" s="1"/>
  <c r="AG2224" i="1" a="1"/>
  <c r="AG2224" i="1" s="1"/>
  <c r="Y2224" i="1" s="1"/>
  <c r="AD2224" i="1"/>
  <c r="T2224" i="1"/>
  <c r="R2224" i="1"/>
  <c r="N2224" i="1"/>
  <c r="A2224" i="1" a="1"/>
  <c r="A2224" i="1" s="1"/>
  <c r="AF2224" i="1" s="1" a="1"/>
  <c r="AF2224" i="1" s="1"/>
  <c r="X2224" i="1" s="1"/>
  <c r="AD2223" i="1"/>
  <c r="T2223" i="1"/>
  <c r="R2223" i="1"/>
  <c r="N2223" i="1"/>
  <c r="A2223" i="1" a="1"/>
  <c r="A2223" i="1" s="1"/>
  <c r="AD2222" i="1"/>
  <c r="R2222" i="1"/>
  <c r="N2222" i="1"/>
  <c r="A2222" i="1" a="1"/>
  <c r="A2222" i="1" s="1"/>
  <c r="AD2221" i="1"/>
  <c r="R2221" i="1"/>
  <c r="N2221" i="1"/>
  <c r="A2221" i="1" a="1"/>
  <c r="A2221" i="1" s="1"/>
  <c r="AD2220" i="1"/>
  <c r="T2220" i="1"/>
  <c r="R2220" i="1"/>
  <c r="N2220" i="1"/>
  <c r="A2220" i="1" a="1"/>
  <c r="A2220" i="1" s="1"/>
  <c r="AF2220" i="1" s="1" a="1"/>
  <c r="AF2220" i="1" s="1"/>
  <c r="X2220" i="1" s="1"/>
  <c r="AD2219" i="1"/>
  <c r="R2219" i="1"/>
  <c r="N2219" i="1"/>
  <c r="A2219" i="1" a="1"/>
  <c r="A2219" i="1" s="1"/>
  <c r="AD2218" i="1"/>
  <c r="T2218" i="1"/>
  <c r="R2218" i="1"/>
  <c r="N2218" i="1"/>
  <c r="A2218" i="1" a="1"/>
  <c r="A2218" i="1" s="1"/>
  <c r="AD2217" i="1"/>
  <c r="T2217" i="1"/>
  <c r="R2217" i="1"/>
  <c r="N2217" i="1"/>
  <c r="A2217" i="1" a="1"/>
  <c r="A2217" i="1" s="1"/>
  <c r="AD2216" i="1"/>
  <c r="R2216" i="1"/>
  <c r="N2216" i="1"/>
  <c r="A2216" i="1" a="1"/>
  <c r="A2216" i="1" s="1"/>
  <c r="AD2215" i="1"/>
  <c r="T2215" i="1"/>
  <c r="R2215" i="1"/>
  <c r="N2215" i="1"/>
  <c r="A2215" i="1" a="1"/>
  <c r="A2215" i="1" s="1"/>
  <c r="AD2214" i="1"/>
  <c r="T2214" i="1"/>
  <c r="R2214" i="1"/>
  <c r="N2214" i="1"/>
  <c r="A2214" i="1" a="1"/>
  <c r="A2214" i="1" s="1"/>
  <c r="AD2213" i="1"/>
  <c r="R2213" i="1"/>
  <c r="N2213" i="1"/>
  <c r="A2213" i="1" a="1"/>
  <c r="A2213" i="1" s="1"/>
  <c r="AG2212" i="1" a="1"/>
  <c r="AG2212" i="1" s="1"/>
  <c r="Y2212" i="1" s="1"/>
  <c r="AD2212" i="1"/>
  <c r="R2212" i="1"/>
  <c r="N2212" i="1"/>
  <c r="A2212" i="1" a="1"/>
  <c r="A2212" i="1" s="1"/>
  <c r="AF2212" i="1" s="1" a="1"/>
  <c r="AF2212" i="1" s="1"/>
  <c r="X2212" i="1" s="1"/>
  <c r="AD2211" i="1"/>
  <c r="T2211" i="1"/>
  <c r="R2211" i="1"/>
  <c r="N2211" i="1"/>
  <c r="A2211" i="1" a="1"/>
  <c r="A2211" i="1" s="1"/>
  <c r="AD2210" i="1"/>
  <c r="R2210" i="1"/>
  <c r="N2210" i="1"/>
  <c r="A2210" i="1" a="1"/>
  <c r="A2210" i="1" s="1"/>
  <c r="AD2209" i="1"/>
  <c r="R2209" i="1"/>
  <c r="N2209" i="1"/>
  <c r="A2209" i="1" a="1"/>
  <c r="A2209" i="1" s="1"/>
  <c r="AD2208" i="1"/>
  <c r="R2208" i="1"/>
  <c r="N2208" i="1"/>
  <c r="A2208" i="1" a="1"/>
  <c r="A2208" i="1" s="1"/>
  <c r="AF2208" i="1" s="1" a="1"/>
  <c r="AF2208" i="1" s="1"/>
  <c r="X2208" i="1" s="1"/>
  <c r="AD2207" i="1"/>
  <c r="T2207" i="1"/>
  <c r="R2207" i="1"/>
  <c r="N2207" i="1"/>
  <c r="A2207" i="1" a="1"/>
  <c r="A2207" i="1" s="1"/>
  <c r="AD2206" i="1"/>
  <c r="T2206" i="1" s="1"/>
  <c r="R2206" i="1"/>
  <c r="N2206" i="1"/>
  <c r="A2206" i="1" a="1"/>
  <c r="A2206" i="1"/>
  <c r="AD2205" i="1"/>
  <c r="R2205" i="1"/>
  <c r="N2205" i="1"/>
  <c r="A2205" i="1" a="1"/>
  <c r="A2205" i="1" s="1"/>
  <c r="AD2204" i="1"/>
  <c r="R2204" i="1"/>
  <c r="N2204" i="1"/>
  <c r="A2204" i="1" a="1"/>
  <c r="A2204" i="1" s="1"/>
  <c r="AF2204" i="1" s="1" a="1"/>
  <c r="AF2204" i="1" s="1"/>
  <c r="X2204" i="1" s="1"/>
  <c r="AD2203" i="1"/>
  <c r="T2203" i="1"/>
  <c r="R2203" i="1"/>
  <c r="N2203" i="1"/>
  <c r="A2203" i="1" a="1"/>
  <c r="A2203" i="1" s="1"/>
  <c r="AD2202" i="1"/>
  <c r="T2202" i="1" s="1"/>
  <c r="R2202" i="1"/>
  <c r="N2202" i="1"/>
  <c r="A2202" i="1" a="1"/>
  <c r="A2202" i="1" s="1"/>
  <c r="AD2201" i="1"/>
  <c r="R2201" i="1"/>
  <c r="N2201" i="1"/>
  <c r="A2201" i="1" a="1"/>
  <c r="A2201" i="1" s="1"/>
  <c r="AD2200" i="1"/>
  <c r="R2200" i="1"/>
  <c r="N2200" i="1"/>
  <c r="A2200" i="1" a="1"/>
  <c r="A2200" i="1" s="1"/>
  <c r="AF2200" i="1" s="1" a="1"/>
  <c r="AF2200" i="1" s="1"/>
  <c r="X2200" i="1" s="1"/>
  <c r="AD2199" i="1"/>
  <c r="T2199" i="1"/>
  <c r="R2199" i="1"/>
  <c r="N2199" i="1"/>
  <c r="A2199" i="1" a="1"/>
  <c r="A2199" i="1" s="1"/>
  <c r="AD2198" i="1"/>
  <c r="T2198" i="1" s="1"/>
  <c r="R2198" i="1"/>
  <c r="N2198" i="1"/>
  <c r="A2198" i="1" a="1"/>
  <c r="A2198" i="1" s="1"/>
  <c r="AD2197" i="1"/>
  <c r="R2197" i="1"/>
  <c r="T2197" i="1" s="1"/>
  <c r="N2197" i="1"/>
  <c r="A2197" i="1" a="1"/>
  <c r="A2197" i="1" s="1"/>
  <c r="AD2196" i="1"/>
  <c r="R2196" i="1"/>
  <c r="N2196" i="1"/>
  <c r="A2196" i="1" a="1"/>
  <c r="A2196" i="1" s="1"/>
  <c r="AF2196" i="1" s="1" a="1"/>
  <c r="AF2196" i="1" s="1"/>
  <c r="X2196" i="1" s="1"/>
  <c r="AD2195" i="1"/>
  <c r="T2195" i="1"/>
  <c r="R2195" i="1"/>
  <c r="N2195" i="1"/>
  <c r="A2195" i="1" a="1"/>
  <c r="A2195" i="1" s="1"/>
  <c r="AD2194" i="1"/>
  <c r="R2194" i="1"/>
  <c r="N2194" i="1"/>
  <c r="A2194" i="1" a="1"/>
  <c r="A2194" i="1"/>
  <c r="AD2193" i="1"/>
  <c r="R2193" i="1"/>
  <c r="T2193" i="1" s="1"/>
  <c r="N2193" i="1"/>
  <c r="A2193" i="1" a="1"/>
  <c r="A2193" i="1" s="1"/>
  <c r="AD2192" i="1"/>
  <c r="R2192" i="1"/>
  <c r="N2192" i="1"/>
  <c r="A2192" i="1" a="1"/>
  <c r="A2192" i="1" s="1"/>
  <c r="AD2191" i="1"/>
  <c r="T2191" i="1"/>
  <c r="R2191" i="1"/>
  <c r="N2191" i="1"/>
  <c r="A2191" i="1" a="1"/>
  <c r="A2191" i="1" s="1"/>
  <c r="AD2190" i="1"/>
  <c r="T2190" i="1"/>
  <c r="R2190" i="1"/>
  <c r="N2190" i="1"/>
  <c r="A2190" i="1" a="1"/>
  <c r="A2190" i="1" s="1"/>
  <c r="AD2189" i="1"/>
  <c r="T2189" i="1"/>
  <c r="R2189" i="1"/>
  <c r="N2189" i="1"/>
  <c r="A2189" i="1" a="1"/>
  <c r="A2189" i="1" s="1"/>
  <c r="AF2188" i="1" a="1"/>
  <c r="AF2188" i="1" s="1"/>
  <c r="X2188" i="1" s="1"/>
  <c r="AD2188" i="1"/>
  <c r="AB2188" i="1" s="1"/>
  <c r="T2188" i="1"/>
  <c r="R2188" i="1"/>
  <c r="N2188" i="1"/>
  <c r="A2188" i="1" a="1"/>
  <c r="A2188" i="1" s="1"/>
  <c r="AG2188" i="1" s="1" a="1"/>
  <c r="AG2188" i="1" s="1"/>
  <c r="Y2188" i="1" s="1"/>
  <c r="AF2187" i="1" a="1"/>
  <c r="AF2187" i="1" s="1"/>
  <c r="X2187" i="1" s="1"/>
  <c r="AD2187" i="1"/>
  <c r="AB2187" i="1" s="1"/>
  <c r="T2187" i="1"/>
  <c r="R2187" i="1"/>
  <c r="N2187" i="1"/>
  <c r="A2187" i="1" a="1"/>
  <c r="A2187" i="1"/>
  <c r="AG2187" i="1" s="1" a="1"/>
  <c r="AG2187" i="1" s="1"/>
  <c r="Y2187" i="1" s="1"/>
  <c r="AD2186" i="1"/>
  <c r="R2186" i="1"/>
  <c r="N2186" i="1"/>
  <c r="A2186" i="1" a="1"/>
  <c r="A2186" i="1"/>
  <c r="AD2185" i="1"/>
  <c r="T2185" i="1"/>
  <c r="R2185" i="1"/>
  <c r="N2185" i="1"/>
  <c r="A2185" i="1" a="1"/>
  <c r="A2185" i="1" s="1"/>
  <c r="AD2184" i="1"/>
  <c r="T2184" i="1" s="1"/>
  <c r="R2184" i="1"/>
  <c r="N2184" i="1"/>
  <c r="A2184" i="1" a="1"/>
  <c r="A2184" i="1" s="1"/>
  <c r="AD2183" i="1"/>
  <c r="R2183" i="1"/>
  <c r="N2183" i="1"/>
  <c r="A2183" i="1" a="1"/>
  <c r="A2183" i="1" s="1"/>
  <c r="AF2182" i="1" a="1"/>
  <c r="AF2182" i="1"/>
  <c r="X2182" i="1" s="1"/>
  <c r="AD2182" i="1"/>
  <c r="T2182" i="1"/>
  <c r="R2182" i="1"/>
  <c r="N2182" i="1"/>
  <c r="A2182" i="1" a="1"/>
  <c r="A2182" i="1"/>
  <c r="AG2182" i="1" s="1" a="1"/>
  <c r="AG2182" i="1" s="1"/>
  <c r="Y2182" i="1" s="1"/>
  <c r="AG2181" i="1" a="1"/>
  <c r="AG2181" i="1"/>
  <c r="Y2181" i="1" s="1"/>
  <c r="AF2181" i="1"/>
  <c r="X2181" i="1" s="1"/>
  <c r="AD2181" i="1"/>
  <c r="T2181" i="1"/>
  <c r="AB2181" i="1" s="1"/>
  <c r="R2181" i="1"/>
  <c r="N2181" i="1"/>
  <c r="A2181" i="1" a="1"/>
  <c r="A2181" i="1" s="1"/>
  <c r="AF2181" i="1" s="1" a="1"/>
  <c r="AD2180" i="1"/>
  <c r="R2180" i="1"/>
  <c r="N2180" i="1"/>
  <c r="A2180" i="1" a="1"/>
  <c r="A2180" i="1"/>
  <c r="AG2179" i="1" a="1"/>
  <c r="AG2179" i="1" s="1"/>
  <c r="Y2179" i="1" s="1"/>
  <c r="AD2179" i="1"/>
  <c r="R2179" i="1"/>
  <c r="T2179" i="1" s="1"/>
  <c r="N2179" i="1"/>
  <c r="A2179" i="1" a="1"/>
  <c r="A2179" i="1"/>
  <c r="AF2179" i="1" s="1" a="1"/>
  <c r="AF2179" i="1" s="1"/>
  <c r="X2179" i="1" s="1"/>
  <c r="AD2178" i="1"/>
  <c r="T2178" i="1" s="1"/>
  <c r="R2178" i="1"/>
  <c r="N2178" i="1"/>
  <c r="A2178" i="1" a="1"/>
  <c r="A2178" i="1"/>
  <c r="AG2178" i="1" s="1" a="1"/>
  <c r="AG2178" i="1" s="1"/>
  <c r="Y2178" i="1" s="1"/>
  <c r="AD2177" i="1"/>
  <c r="R2177" i="1"/>
  <c r="N2177" i="1"/>
  <c r="A2177" i="1" a="1"/>
  <c r="A2177" i="1" s="1"/>
  <c r="AD2176" i="1"/>
  <c r="R2176" i="1"/>
  <c r="N2176" i="1"/>
  <c r="A2176" i="1" a="1"/>
  <c r="A2176" i="1"/>
  <c r="AG2175" i="1" a="1"/>
  <c r="AG2175" i="1" s="1"/>
  <c r="Y2175" i="1" s="1"/>
  <c r="AD2175" i="1"/>
  <c r="R2175" i="1"/>
  <c r="T2175" i="1" s="1"/>
  <c r="N2175" i="1"/>
  <c r="A2175" i="1" a="1"/>
  <c r="A2175" i="1"/>
  <c r="AF2175" i="1" s="1" a="1"/>
  <c r="AF2175" i="1" s="1"/>
  <c r="X2175" i="1" s="1"/>
  <c r="AD2174" i="1"/>
  <c r="T2174" i="1" s="1"/>
  <c r="R2174" i="1"/>
  <c r="N2174" i="1"/>
  <c r="A2174" i="1" a="1"/>
  <c r="A2174" i="1"/>
  <c r="AG2174" i="1" s="1" a="1"/>
  <c r="AG2174" i="1" s="1"/>
  <c r="Y2174" i="1" s="1"/>
  <c r="AD2173" i="1"/>
  <c r="R2173" i="1"/>
  <c r="N2173" i="1"/>
  <c r="A2173" i="1" a="1"/>
  <c r="A2173" i="1" s="1"/>
  <c r="AD2172" i="1"/>
  <c r="R2172" i="1"/>
  <c r="N2172" i="1"/>
  <c r="A2172" i="1" a="1"/>
  <c r="A2172" i="1"/>
  <c r="AG2171" i="1" a="1"/>
  <c r="AG2171" i="1" s="1"/>
  <c r="Y2171" i="1" s="1"/>
  <c r="AD2171" i="1"/>
  <c r="R2171" i="1"/>
  <c r="T2171" i="1" s="1"/>
  <c r="AB2171" i="1" s="1"/>
  <c r="N2171" i="1"/>
  <c r="A2171" i="1" a="1"/>
  <c r="A2171" i="1"/>
  <c r="AF2171" i="1" s="1" a="1"/>
  <c r="AF2171" i="1" s="1"/>
  <c r="X2171" i="1" s="1"/>
  <c r="AD2170" i="1"/>
  <c r="T2170" i="1" s="1"/>
  <c r="R2170" i="1"/>
  <c r="N2170" i="1"/>
  <c r="A2170" i="1" a="1"/>
  <c r="A2170" i="1"/>
  <c r="AG2170" i="1" s="1" a="1"/>
  <c r="AG2170" i="1" s="1"/>
  <c r="Y2170" i="1" s="1"/>
  <c r="AD2169" i="1"/>
  <c r="R2169" i="1"/>
  <c r="N2169" i="1"/>
  <c r="A2169" i="1" a="1"/>
  <c r="A2169" i="1" s="1"/>
  <c r="AD2168" i="1"/>
  <c r="R2168" i="1"/>
  <c r="N2168" i="1"/>
  <c r="A2168" i="1" a="1"/>
  <c r="A2168" i="1"/>
  <c r="AG2167" i="1" a="1"/>
  <c r="AG2167" i="1" s="1"/>
  <c r="Y2167" i="1" s="1"/>
  <c r="AD2167" i="1"/>
  <c r="R2167" i="1"/>
  <c r="T2167" i="1" s="1"/>
  <c r="AB2167" i="1" s="1"/>
  <c r="N2167" i="1"/>
  <c r="A2167" i="1" a="1"/>
  <c r="A2167" i="1"/>
  <c r="AF2167" i="1" s="1" a="1"/>
  <c r="AF2167" i="1" s="1"/>
  <c r="X2167" i="1" s="1"/>
  <c r="AD2166" i="1"/>
  <c r="T2166" i="1" s="1"/>
  <c r="R2166" i="1"/>
  <c r="N2166" i="1"/>
  <c r="A2166" i="1" a="1"/>
  <c r="A2166" i="1"/>
  <c r="AD2165" i="1"/>
  <c r="R2165" i="1"/>
  <c r="N2165" i="1"/>
  <c r="A2165" i="1" a="1"/>
  <c r="A2165" i="1" s="1"/>
  <c r="AD2164" i="1"/>
  <c r="R2164" i="1"/>
  <c r="N2164" i="1"/>
  <c r="A2164" i="1" a="1"/>
  <c r="A2164" i="1"/>
  <c r="AG2163" i="1" a="1"/>
  <c r="AG2163" i="1" s="1"/>
  <c r="Y2163" i="1" s="1"/>
  <c r="AD2163" i="1"/>
  <c r="R2163" i="1"/>
  <c r="T2163" i="1" s="1"/>
  <c r="N2163" i="1"/>
  <c r="A2163" i="1" a="1"/>
  <c r="A2163" i="1" s="1"/>
  <c r="AF2163" i="1" s="1" a="1"/>
  <c r="AF2163" i="1" s="1"/>
  <c r="X2163" i="1" s="1"/>
  <c r="AD2162" i="1"/>
  <c r="T2162" i="1"/>
  <c r="R2162" i="1"/>
  <c r="N2162" i="1"/>
  <c r="A2162" i="1" a="1"/>
  <c r="A2162" i="1" s="1"/>
  <c r="AD2161" i="1"/>
  <c r="T2161" i="1"/>
  <c r="R2161" i="1"/>
  <c r="N2161" i="1"/>
  <c r="A2161" i="1" a="1"/>
  <c r="A2161" i="1" s="1"/>
  <c r="AF2160" i="1" a="1"/>
  <c r="AF2160" i="1" s="1"/>
  <c r="X2160" i="1" s="1"/>
  <c r="AD2160" i="1"/>
  <c r="R2160" i="1"/>
  <c r="N2160" i="1"/>
  <c r="A2160" i="1" a="1"/>
  <c r="A2160" i="1"/>
  <c r="AG2160" i="1" s="1" a="1"/>
  <c r="AG2160" i="1" s="1"/>
  <c r="Y2160" i="1" s="1"/>
  <c r="AD2159" i="1"/>
  <c r="X2159" i="1"/>
  <c r="T2159" i="1"/>
  <c r="R2159" i="1"/>
  <c r="N2159" i="1"/>
  <c r="A2159" i="1" a="1"/>
  <c r="A2159" i="1" s="1"/>
  <c r="AF2159" i="1" s="1" a="1"/>
  <c r="AF2159" i="1" s="1"/>
  <c r="AG2158" i="1"/>
  <c r="Y2158" i="1" s="1"/>
  <c r="AF2158" i="1" a="1"/>
  <c r="AF2158" i="1" s="1"/>
  <c r="X2158" i="1" s="1"/>
  <c r="AA2158" i="1" s="1"/>
  <c r="AD2158" i="1"/>
  <c r="T2158" i="1"/>
  <c r="R2158" i="1"/>
  <c r="N2158" i="1"/>
  <c r="A2158" i="1" a="1"/>
  <c r="A2158" i="1"/>
  <c r="AG2158" i="1" s="1" a="1"/>
  <c r="AD2157" i="1"/>
  <c r="R2157" i="1"/>
  <c r="N2157" i="1"/>
  <c r="A2157" i="1" a="1"/>
  <c r="A2157" i="1" s="1"/>
  <c r="AD2156" i="1"/>
  <c r="R2156" i="1"/>
  <c r="N2156" i="1"/>
  <c r="A2156" i="1" a="1"/>
  <c r="A2156" i="1" s="1"/>
  <c r="AG2155" i="1" a="1"/>
  <c r="AG2155" i="1" s="1"/>
  <c r="Y2155" i="1" s="1"/>
  <c r="AD2155" i="1"/>
  <c r="X2155" i="1"/>
  <c r="R2155" i="1"/>
  <c r="N2155" i="1"/>
  <c r="A2155" i="1" a="1"/>
  <c r="A2155" i="1" s="1"/>
  <c r="AF2155" i="1" s="1" a="1"/>
  <c r="AF2155" i="1" s="1"/>
  <c r="AD2154" i="1"/>
  <c r="T2154" i="1"/>
  <c r="R2154" i="1"/>
  <c r="N2154" i="1"/>
  <c r="A2154" i="1" a="1"/>
  <c r="A2154" i="1" s="1"/>
  <c r="AD2153" i="1"/>
  <c r="T2153" i="1"/>
  <c r="R2153" i="1"/>
  <c r="N2153" i="1"/>
  <c r="A2153" i="1" a="1"/>
  <c r="A2153" i="1" s="1"/>
  <c r="AF2152" i="1" a="1"/>
  <c r="AF2152" i="1" s="1"/>
  <c r="X2152" i="1" s="1"/>
  <c r="AD2152" i="1"/>
  <c r="R2152" i="1"/>
  <c r="N2152" i="1"/>
  <c r="A2152" i="1" a="1"/>
  <c r="A2152" i="1" s="1"/>
  <c r="AG2152" i="1" s="1" a="1"/>
  <c r="AG2152" i="1" s="1"/>
  <c r="Y2152" i="1" s="1"/>
  <c r="AD2151" i="1"/>
  <c r="R2151" i="1"/>
  <c r="N2151" i="1"/>
  <c r="A2151" i="1" a="1"/>
  <c r="A2151" i="1" s="1"/>
  <c r="AF2151" i="1" s="1" a="1"/>
  <c r="AF2151" i="1" s="1"/>
  <c r="X2151" i="1" s="1"/>
  <c r="AD2150" i="1"/>
  <c r="T2150" i="1"/>
  <c r="R2150" i="1"/>
  <c r="N2150" i="1"/>
  <c r="A2150" i="1" a="1"/>
  <c r="A2150" i="1" s="1"/>
  <c r="AD2149" i="1"/>
  <c r="T2149" i="1"/>
  <c r="R2149" i="1"/>
  <c r="N2149" i="1"/>
  <c r="A2149" i="1" a="1"/>
  <c r="A2149" i="1" s="1"/>
  <c r="AD2148" i="1"/>
  <c r="R2148" i="1"/>
  <c r="N2148" i="1"/>
  <c r="A2148" i="1" a="1"/>
  <c r="A2148" i="1" s="1"/>
  <c r="AD2147" i="1"/>
  <c r="T2147" i="1" s="1"/>
  <c r="R2147" i="1"/>
  <c r="N2147" i="1"/>
  <c r="A2147" i="1" a="1"/>
  <c r="A2147" i="1" s="1"/>
  <c r="AD2146" i="1"/>
  <c r="T2146" i="1"/>
  <c r="R2146" i="1"/>
  <c r="N2146" i="1"/>
  <c r="A2146" i="1" a="1"/>
  <c r="A2146" i="1" s="1"/>
  <c r="AD2145" i="1"/>
  <c r="R2145" i="1"/>
  <c r="N2145" i="1"/>
  <c r="A2145" i="1" a="1"/>
  <c r="A2145" i="1" s="1"/>
  <c r="AG2144" i="1" a="1"/>
  <c r="AG2144" i="1" s="1"/>
  <c r="Y2144" i="1" s="1"/>
  <c r="AD2144" i="1"/>
  <c r="T2144" i="1"/>
  <c r="R2144" i="1"/>
  <c r="N2144" i="1"/>
  <c r="A2144" i="1" a="1"/>
  <c r="A2144" i="1"/>
  <c r="AF2144" i="1" s="1" a="1"/>
  <c r="AF2144" i="1" s="1"/>
  <c r="X2144" i="1" s="1"/>
  <c r="AG2143" i="1" a="1"/>
  <c r="AG2143" i="1"/>
  <c r="Y2143" i="1" s="1"/>
  <c r="AD2143" i="1"/>
  <c r="R2143" i="1"/>
  <c r="T2143" i="1" s="1"/>
  <c r="N2143" i="1"/>
  <c r="A2143" i="1" a="1"/>
  <c r="A2143" i="1" s="1"/>
  <c r="AF2143" i="1" s="1" a="1"/>
  <c r="AF2143" i="1" s="1"/>
  <c r="X2143" i="1" s="1"/>
  <c r="AD2142" i="1"/>
  <c r="R2142" i="1"/>
  <c r="N2142" i="1"/>
  <c r="A2142" i="1" a="1"/>
  <c r="A2142" i="1" s="1"/>
  <c r="AD2141" i="1"/>
  <c r="R2141" i="1"/>
  <c r="N2141" i="1"/>
  <c r="A2141" i="1" a="1"/>
  <c r="A2141" i="1" s="1"/>
  <c r="AD2140" i="1"/>
  <c r="R2140" i="1"/>
  <c r="N2140" i="1"/>
  <c r="A2140" i="1" a="1"/>
  <c r="A2140" i="1"/>
  <c r="AG2139" i="1" a="1"/>
  <c r="AG2139" i="1" s="1"/>
  <c r="Y2139" i="1" s="1"/>
  <c r="AB2139" i="1" s="1"/>
  <c r="AD2139" i="1"/>
  <c r="X2139" i="1"/>
  <c r="T2139" i="1"/>
  <c r="R2139" i="1"/>
  <c r="N2139" i="1"/>
  <c r="A2139" i="1" a="1"/>
  <c r="A2139" i="1" s="1"/>
  <c r="AF2139" i="1" s="1" a="1"/>
  <c r="AF2139" i="1" s="1"/>
  <c r="AD2138" i="1"/>
  <c r="T2138" i="1"/>
  <c r="R2138" i="1"/>
  <c r="N2138" i="1"/>
  <c r="A2138" i="1" a="1"/>
  <c r="A2138" i="1" s="1"/>
  <c r="AG2138" i="1" s="1" a="1"/>
  <c r="AG2138" i="1" s="1"/>
  <c r="Y2138" i="1" s="1"/>
  <c r="AD2137" i="1"/>
  <c r="R2137" i="1"/>
  <c r="T2137" i="1" s="1"/>
  <c r="N2137" i="1"/>
  <c r="A2137" i="1" a="1"/>
  <c r="A2137" i="1" s="1"/>
  <c r="AD2136" i="1"/>
  <c r="R2136" i="1"/>
  <c r="N2136" i="1"/>
  <c r="A2136" i="1" a="1"/>
  <c r="A2136" i="1" s="1"/>
  <c r="AF2136" i="1" s="1" a="1"/>
  <c r="AF2136" i="1" s="1"/>
  <c r="X2136" i="1" s="1"/>
  <c r="AG2135" i="1" a="1"/>
  <c r="AG2135" i="1" s="1"/>
  <c r="Y2135" i="1" s="1"/>
  <c r="AD2135" i="1"/>
  <c r="T2135" i="1" s="1"/>
  <c r="AB2135" i="1"/>
  <c r="R2135" i="1"/>
  <c r="N2135" i="1"/>
  <c r="A2135" i="1" a="1"/>
  <c r="A2135" i="1" s="1"/>
  <c r="AF2135" i="1" s="1" a="1"/>
  <c r="AF2135" i="1" s="1"/>
  <c r="X2135" i="1" s="1"/>
  <c r="AD2134" i="1"/>
  <c r="R2134" i="1"/>
  <c r="N2134" i="1"/>
  <c r="A2134" i="1" a="1"/>
  <c r="A2134" i="1"/>
  <c r="AD2133" i="1"/>
  <c r="R2133" i="1"/>
  <c r="N2133" i="1"/>
  <c r="A2133" i="1" a="1"/>
  <c r="A2133" i="1" s="1"/>
  <c r="AG2132" i="1" a="1"/>
  <c r="AG2132" i="1" s="1"/>
  <c r="Y2132" i="1" s="1"/>
  <c r="AD2132" i="1"/>
  <c r="T2132" i="1"/>
  <c r="R2132" i="1"/>
  <c r="N2132" i="1"/>
  <c r="A2132" i="1" a="1"/>
  <c r="A2132" i="1"/>
  <c r="AF2132" i="1" s="1" a="1"/>
  <c r="AF2132" i="1" s="1"/>
  <c r="X2132" i="1" s="1"/>
  <c r="AG2131" i="1" a="1"/>
  <c r="AG2131" i="1"/>
  <c r="Y2131" i="1" s="1"/>
  <c r="AD2131" i="1"/>
  <c r="R2131" i="1"/>
  <c r="T2131" i="1" s="1"/>
  <c r="N2131" i="1"/>
  <c r="A2131" i="1" a="1"/>
  <c r="A2131" i="1" s="1"/>
  <c r="AF2131" i="1" s="1" a="1"/>
  <c r="AF2131" i="1" s="1"/>
  <c r="X2131" i="1" s="1"/>
  <c r="AD2130" i="1"/>
  <c r="R2130" i="1"/>
  <c r="N2130" i="1"/>
  <c r="A2130" i="1" a="1"/>
  <c r="A2130" i="1" s="1"/>
  <c r="AD2129" i="1"/>
  <c r="T2129" i="1" s="1"/>
  <c r="R2129" i="1"/>
  <c r="N2129" i="1"/>
  <c r="A2129" i="1" a="1"/>
  <c r="A2129" i="1" s="1"/>
  <c r="AD2128" i="1"/>
  <c r="R2128" i="1"/>
  <c r="N2128" i="1"/>
  <c r="A2128" i="1" a="1"/>
  <c r="A2128" i="1"/>
  <c r="AG2127" i="1" a="1"/>
  <c r="AG2127" i="1" s="1"/>
  <c r="Y2127" i="1" s="1"/>
  <c r="AD2127" i="1"/>
  <c r="AB2127" i="1" s="1"/>
  <c r="X2127" i="1"/>
  <c r="T2127" i="1"/>
  <c r="R2127" i="1"/>
  <c r="N2127" i="1"/>
  <c r="A2127" i="1" a="1"/>
  <c r="A2127" i="1" s="1"/>
  <c r="AF2127" i="1" s="1" a="1"/>
  <c r="AF2127" i="1" s="1"/>
  <c r="AD2126" i="1"/>
  <c r="T2126" i="1" s="1"/>
  <c r="R2126" i="1"/>
  <c r="N2126" i="1"/>
  <c r="A2126" i="1" a="1"/>
  <c r="A2126" i="1" s="1"/>
  <c r="AG2126" i="1" s="1" a="1"/>
  <c r="AG2126" i="1" s="1"/>
  <c r="Y2126" i="1" s="1"/>
  <c r="AD2125" i="1"/>
  <c r="T2125" i="1"/>
  <c r="R2125" i="1"/>
  <c r="N2125" i="1"/>
  <c r="A2125" i="1" a="1"/>
  <c r="A2125" i="1" s="1"/>
  <c r="AD2124" i="1"/>
  <c r="T2124" i="1"/>
  <c r="R2124" i="1"/>
  <c r="N2124" i="1"/>
  <c r="A2124" i="1" a="1"/>
  <c r="A2124" i="1" s="1"/>
  <c r="AG2124" i="1" s="1" a="1"/>
  <c r="AG2124" i="1" s="1"/>
  <c r="Y2124" i="1" s="1"/>
  <c r="AD2123" i="1"/>
  <c r="T2123" i="1"/>
  <c r="R2123" i="1"/>
  <c r="N2123" i="1"/>
  <c r="A2123" i="1" a="1"/>
  <c r="A2123" i="1" s="1"/>
  <c r="AF2122" i="1" a="1"/>
  <c r="AF2122" i="1"/>
  <c r="AD2122" i="1"/>
  <c r="X2122" i="1"/>
  <c r="R2122" i="1"/>
  <c r="N2122" i="1"/>
  <c r="A2122" i="1" a="1"/>
  <c r="A2122" i="1"/>
  <c r="AG2122" i="1" s="1" a="1"/>
  <c r="AG2122" i="1" s="1"/>
  <c r="Y2122" i="1" s="1"/>
  <c r="AG2121" i="1" a="1"/>
  <c r="AG2121" i="1"/>
  <c r="Y2121" i="1" s="1"/>
  <c r="AF2121" i="1"/>
  <c r="X2121" i="1" s="1"/>
  <c r="AD2121" i="1"/>
  <c r="R2121" i="1"/>
  <c r="N2121" i="1"/>
  <c r="A2121" i="1" a="1"/>
  <c r="A2121" i="1" s="1"/>
  <c r="AF2121" i="1" s="1" a="1"/>
  <c r="AD2120" i="1"/>
  <c r="T2120" i="1"/>
  <c r="R2120" i="1"/>
  <c r="N2120" i="1"/>
  <c r="A2120" i="1" a="1"/>
  <c r="A2120" i="1"/>
  <c r="AF2120" i="1" s="1" a="1"/>
  <c r="AF2120" i="1" s="1"/>
  <c r="X2120" i="1" s="1"/>
  <c r="AD2119" i="1"/>
  <c r="R2119" i="1"/>
  <c r="N2119" i="1"/>
  <c r="A2119" i="1" a="1"/>
  <c r="A2119" i="1" s="1"/>
  <c r="AD2118" i="1"/>
  <c r="R2118" i="1"/>
  <c r="N2118" i="1"/>
  <c r="A2118" i="1" a="1"/>
  <c r="A2118" i="1" s="1"/>
  <c r="AF2117" i="1"/>
  <c r="X2117" i="1" s="1"/>
  <c r="AD2117" i="1"/>
  <c r="T2117" i="1"/>
  <c r="R2117" i="1"/>
  <c r="N2117" i="1"/>
  <c r="A2117" i="1" a="1"/>
  <c r="A2117" i="1" s="1"/>
  <c r="AF2117" i="1" s="1" a="1"/>
  <c r="AG2116" i="1"/>
  <c r="Y2116" i="1" s="1"/>
  <c r="AF2116" i="1" a="1"/>
  <c r="AF2116" i="1" s="1"/>
  <c r="AD2116" i="1"/>
  <c r="X2116" i="1"/>
  <c r="T2116" i="1"/>
  <c r="AB2116" i="1" s="1"/>
  <c r="R2116" i="1"/>
  <c r="N2116" i="1"/>
  <c r="A2116" i="1" a="1"/>
  <c r="A2116" i="1"/>
  <c r="AG2116" i="1" s="1" a="1"/>
  <c r="AD2115" i="1"/>
  <c r="R2115" i="1"/>
  <c r="N2115" i="1"/>
  <c r="A2115" i="1" a="1"/>
  <c r="A2115" i="1"/>
  <c r="AD2114" i="1"/>
  <c r="T2114" i="1"/>
  <c r="R2114" i="1"/>
  <c r="N2114" i="1"/>
  <c r="A2114" i="1" a="1"/>
  <c r="A2114" i="1" s="1"/>
  <c r="AD2113" i="1"/>
  <c r="T2113" i="1" s="1"/>
  <c r="AA2113" i="1"/>
  <c r="R2113" i="1"/>
  <c r="N2113" i="1"/>
  <c r="A2113" i="1" a="1"/>
  <c r="A2113" i="1" s="1"/>
  <c r="AF2113" i="1" s="1" a="1"/>
  <c r="AF2113" i="1" s="1"/>
  <c r="X2113" i="1" s="1"/>
  <c r="AD2112" i="1"/>
  <c r="T2112" i="1" s="1"/>
  <c r="R2112" i="1"/>
  <c r="N2112" i="1"/>
  <c r="A2112" i="1" a="1"/>
  <c r="A2112" i="1"/>
  <c r="AF2111" i="1" a="1"/>
  <c r="AF2111" i="1" s="1"/>
  <c r="X2111" i="1" s="1"/>
  <c r="AD2111" i="1"/>
  <c r="T2111" i="1"/>
  <c r="R2111" i="1"/>
  <c r="N2111" i="1"/>
  <c r="A2111" i="1" a="1"/>
  <c r="A2111" i="1" s="1"/>
  <c r="AG2111" i="1" s="1" a="1"/>
  <c r="AG2111" i="1" s="1"/>
  <c r="Y2111" i="1" s="1"/>
  <c r="AF2110" i="1" a="1"/>
  <c r="AF2110" i="1"/>
  <c r="AD2110" i="1"/>
  <c r="X2110" i="1"/>
  <c r="R2110" i="1"/>
  <c r="N2110" i="1"/>
  <c r="A2110" i="1" a="1"/>
  <c r="A2110" i="1"/>
  <c r="AG2110" i="1" s="1" a="1"/>
  <c r="AG2110" i="1" s="1"/>
  <c r="Y2110" i="1" s="1"/>
  <c r="AG2109" i="1" a="1"/>
  <c r="AG2109" i="1"/>
  <c r="Y2109" i="1" s="1"/>
  <c r="AF2109" i="1"/>
  <c r="X2109" i="1" s="1"/>
  <c r="AD2109" i="1"/>
  <c r="R2109" i="1"/>
  <c r="N2109" i="1"/>
  <c r="A2109" i="1" a="1"/>
  <c r="A2109" i="1" s="1"/>
  <c r="AF2109" i="1" s="1" a="1"/>
  <c r="AD2108" i="1"/>
  <c r="T2108" i="1"/>
  <c r="R2108" i="1"/>
  <c r="N2108" i="1"/>
  <c r="A2108" i="1" a="1"/>
  <c r="A2108" i="1"/>
  <c r="AF2108" i="1" s="1" a="1"/>
  <c r="AF2108" i="1" s="1"/>
  <c r="X2108" i="1" s="1"/>
  <c r="AD2107" i="1"/>
  <c r="R2107" i="1"/>
  <c r="N2107" i="1"/>
  <c r="A2107" i="1" a="1"/>
  <c r="A2107" i="1" s="1"/>
  <c r="AD2106" i="1"/>
  <c r="R2106" i="1"/>
  <c r="N2106" i="1"/>
  <c r="A2106" i="1" a="1"/>
  <c r="A2106" i="1" s="1"/>
  <c r="AF2105" i="1"/>
  <c r="X2105" i="1" s="1"/>
  <c r="AD2105" i="1"/>
  <c r="T2105" i="1"/>
  <c r="R2105" i="1"/>
  <c r="N2105" i="1"/>
  <c r="A2105" i="1" a="1"/>
  <c r="A2105" i="1" s="1"/>
  <c r="AF2105" i="1" s="1" a="1"/>
  <c r="AF2104" i="1" a="1"/>
  <c r="AF2104" i="1" s="1"/>
  <c r="AD2104" i="1"/>
  <c r="X2104" i="1"/>
  <c r="T2104" i="1"/>
  <c r="AB2104" i="1" s="1"/>
  <c r="R2104" i="1"/>
  <c r="N2104" i="1"/>
  <c r="A2104" i="1" a="1"/>
  <c r="A2104" i="1"/>
  <c r="AG2104" i="1" s="1" a="1"/>
  <c r="AG2104" i="1" s="1"/>
  <c r="Y2104" i="1" s="1"/>
  <c r="AD2103" i="1"/>
  <c r="R2103" i="1"/>
  <c r="N2103" i="1"/>
  <c r="A2103" i="1" a="1"/>
  <c r="A2103" i="1"/>
  <c r="AD2102" i="1"/>
  <c r="T2102" i="1"/>
  <c r="R2102" i="1"/>
  <c r="N2102" i="1"/>
  <c r="A2102" i="1" a="1"/>
  <c r="A2102" i="1" s="1"/>
  <c r="AD2101" i="1"/>
  <c r="T2101" i="1" s="1"/>
  <c r="AA2101" i="1"/>
  <c r="R2101" i="1"/>
  <c r="N2101" i="1"/>
  <c r="A2101" i="1" a="1"/>
  <c r="A2101" i="1" s="1"/>
  <c r="AF2101" i="1" s="1" a="1"/>
  <c r="AF2101" i="1" s="1"/>
  <c r="X2101" i="1" s="1"/>
  <c r="AD2100" i="1"/>
  <c r="T2100" i="1" s="1"/>
  <c r="R2100" i="1"/>
  <c r="N2100" i="1"/>
  <c r="A2100" i="1" a="1"/>
  <c r="A2100" i="1"/>
  <c r="AF2099" i="1" a="1"/>
  <c r="AF2099" i="1" s="1"/>
  <c r="X2099" i="1" s="1"/>
  <c r="AD2099" i="1"/>
  <c r="T2099" i="1" s="1"/>
  <c r="R2099" i="1"/>
  <c r="N2099" i="1"/>
  <c r="A2099" i="1" a="1"/>
  <c r="A2099" i="1" s="1"/>
  <c r="AG2099" i="1" s="1" a="1"/>
  <c r="AG2099" i="1" s="1"/>
  <c r="Y2099" i="1" s="1"/>
  <c r="AF2098" i="1" a="1"/>
  <c r="AF2098" i="1"/>
  <c r="AD2098" i="1"/>
  <c r="Y2098" i="1"/>
  <c r="X2098" i="1"/>
  <c r="R2098" i="1"/>
  <c r="N2098" i="1"/>
  <c r="A2098" i="1" a="1"/>
  <c r="A2098" i="1"/>
  <c r="AG2098" i="1" s="1" a="1"/>
  <c r="AG2098" i="1" s="1"/>
  <c r="AG2097" i="1" a="1"/>
  <c r="AG2097" i="1"/>
  <c r="Y2097" i="1" s="1"/>
  <c r="AF2097" i="1"/>
  <c r="X2097" i="1" s="1"/>
  <c r="AD2097" i="1"/>
  <c r="R2097" i="1"/>
  <c r="N2097" i="1"/>
  <c r="A2097" i="1" a="1"/>
  <c r="A2097" i="1" s="1"/>
  <c r="AF2097" i="1" s="1" a="1"/>
  <c r="AD2096" i="1"/>
  <c r="T2096" i="1"/>
  <c r="R2096" i="1"/>
  <c r="N2096" i="1"/>
  <c r="A2096" i="1" a="1"/>
  <c r="A2096" i="1"/>
  <c r="AG2096" i="1" s="1" a="1"/>
  <c r="AG2096" i="1" s="1"/>
  <c r="Y2096" i="1" s="1"/>
  <c r="AB2096" i="1" s="1"/>
  <c r="AD2095" i="1"/>
  <c r="R2095" i="1"/>
  <c r="N2095" i="1"/>
  <c r="A2095" i="1" a="1"/>
  <c r="A2095" i="1" s="1"/>
  <c r="AF2095" i="1" s="1" a="1"/>
  <c r="AF2095" i="1" s="1"/>
  <c r="X2095" i="1" s="1"/>
  <c r="AD2094" i="1"/>
  <c r="R2094" i="1"/>
  <c r="N2094" i="1"/>
  <c r="A2094" i="1" a="1"/>
  <c r="A2094" i="1" s="1"/>
  <c r="AF2093" i="1"/>
  <c r="X2093" i="1" s="1"/>
  <c r="AD2093" i="1"/>
  <c r="T2093" i="1"/>
  <c r="AA2093" i="1" s="1"/>
  <c r="R2093" i="1"/>
  <c r="N2093" i="1"/>
  <c r="A2093" i="1" a="1"/>
  <c r="A2093" i="1" s="1"/>
  <c r="AF2093" i="1" s="1" a="1"/>
  <c r="AG2092" i="1"/>
  <c r="Y2092" i="1" s="1"/>
  <c r="AF2092" i="1" a="1"/>
  <c r="AF2092" i="1" s="1"/>
  <c r="X2092" i="1" s="1"/>
  <c r="AD2092" i="1"/>
  <c r="AB2092" i="1"/>
  <c r="T2092" i="1"/>
  <c r="R2092" i="1"/>
  <c r="N2092" i="1"/>
  <c r="A2092" i="1" a="1"/>
  <c r="A2092" i="1"/>
  <c r="AG2092" i="1" s="1" a="1"/>
  <c r="AD2091" i="1"/>
  <c r="T2091" i="1"/>
  <c r="R2091" i="1"/>
  <c r="N2091" i="1"/>
  <c r="A2091" i="1" a="1"/>
  <c r="A2091" i="1" s="1"/>
  <c r="AD2090" i="1"/>
  <c r="T2090" i="1"/>
  <c r="R2090" i="1"/>
  <c r="N2090" i="1"/>
  <c r="A2090" i="1" a="1"/>
  <c r="A2090" i="1" s="1"/>
  <c r="AD2089" i="1"/>
  <c r="T2089" i="1"/>
  <c r="R2089" i="1"/>
  <c r="N2089" i="1"/>
  <c r="A2089" i="1" a="1"/>
  <c r="A2089" i="1" s="1"/>
  <c r="AF2089" i="1" s="1" a="1"/>
  <c r="AF2089" i="1" s="1"/>
  <c r="X2089" i="1" s="1"/>
  <c r="AA2089" i="1" s="1"/>
  <c r="AG2088" i="1" a="1"/>
  <c r="AG2088" i="1" s="1"/>
  <c r="Y2088" i="1" s="1"/>
  <c r="AF2088" i="1"/>
  <c r="X2088" i="1" s="1"/>
  <c r="AD2088" i="1"/>
  <c r="R2088" i="1"/>
  <c r="N2088" i="1"/>
  <c r="A2088" i="1" a="1"/>
  <c r="A2088" i="1"/>
  <c r="AF2088" i="1" s="1" a="1"/>
  <c r="AD2087" i="1"/>
  <c r="T2087" i="1"/>
  <c r="R2087" i="1"/>
  <c r="N2087" i="1"/>
  <c r="A2087" i="1" a="1"/>
  <c r="A2087" i="1" s="1"/>
  <c r="AG2086" i="1" a="1"/>
  <c r="AG2086" i="1" s="1"/>
  <c r="AF2086" i="1"/>
  <c r="X2086" i="1" s="1"/>
  <c r="AD2086" i="1"/>
  <c r="Y2086" i="1"/>
  <c r="R2086" i="1"/>
  <c r="N2086" i="1"/>
  <c r="A2086" i="1" a="1"/>
  <c r="A2086" i="1" s="1"/>
  <c r="AF2086" i="1" s="1" a="1"/>
  <c r="AF2085" i="1"/>
  <c r="AD2085" i="1"/>
  <c r="AA2085" i="1"/>
  <c r="X2085" i="1"/>
  <c r="T2085" i="1"/>
  <c r="R2085" i="1"/>
  <c r="N2085" i="1"/>
  <c r="A2085" i="1" a="1"/>
  <c r="A2085" i="1" s="1"/>
  <c r="AF2085" i="1" s="1" a="1"/>
  <c r="AG2084" i="1" a="1"/>
  <c r="AG2084" i="1" s="1"/>
  <c r="Y2084" i="1" s="1"/>
  <c r="AD2084" i="1"/>
  <c r="X2084" i="1"/>
  <c r="R2084" i="1"/>
  <c r="N2084" i="1"/>
  <c r="A2084" i="1" a="1"/>
  <c r="A2084" i="1" s="1"/>
  <c r="AF2084" i="1" s="1" a="1"/>
  <c r="AF2084" i="1" s="1"/>
  <c r="AD2083" i="1"/>
  <c r="R2083" i="1"/>
  <c r="N2083" i="1"/>
  <c r="A2083" i="1" a="1"/>
  <c r="A2083" i="1" s="1"/>
  <c r="AD2082" i="1"/>
  <c r="T2082" i="1"/>
  <c r="R2082" i="1"/>
  <c r="N2082" i="1"/>
  <c r="A2082" i="1" a="1"/>
  <c r="A2082" i="1" s="1"/>
  <c r="AG2081" i="1" a="1"/>
  <c r="AG2081" i="1" s="1"/>
  <c r="Y2081" i="1" s="1"/>
  <c r="AF2081" i="1" a="1"/>
  <c r="AF2081" i="1" s="1"/>
  <c r="X2081" i="1" s="1"/>
  <c r="AD2081" i="1"/>
  <c r="R2081" i="1"/>
  <c r="T2081" i="1" s="1"/>
  <c r="N2081" i="1"/>
  <c r="A2081" i="1" a="1"/>
  <c r="A2081" i="1"/>
  <c r="AD2080" i="1"/>
  <c r="R2080" i="1"/>
  <c r="N2080" i="1"/>
  <c r="A2080" i="1" a="1"/>
  <c r="A2080" i="1" s="1"/>
  <c r="AF2080" i="1" s="1" a="1"/>
  <c r="AF2080" i="1" s="1"/>
  <c r="X2080" i="1" s="1"/>
  <c r="AD2079" i="1"/>
  <c r="T2079" i="1"/>
  <c r="R2079" i="1"/>
  <c r="N2079" i="1"/>
  <c r="A2079" i="1" a="1"/>
  <c r="A2079" i="1" s="1"/>
  <c r="AD2078" i="1"/>
  <c r="R2078" i="1"/>
  <c r="N2078" i="1"/>
  <c r="A2078" i="1" a="1"/>
  <c r="A2078" i="1" s="1"/>
  <c r="AG2078" i="1" s="1" a="1"/>
  <c r="AG2078" i="1" s="1"/>
  <c r="Y2078" i="1" s="1"/>
  <c r="AG2077" i="1" a="1"/>
  <c r="AG2077" i="1"/>
  <c r="Y2077" i="1" s="1"/>
  <c r="AF2077" i="1" a="1"/>
  <c r="AF2077" i="1" s="1"/>
  <c r="X2077" i="1" s="1"/>
  <c r="AD2077" i="1"/>
  <c r="R2077" i="1"/>
  <c r="N2077" i="1"/>
  <c r="A2077" i="1" a="1"/>
  <c r="A2077" i="1"/>
  <c r="AD2076" i="1"/>
  <c r="R2076" i="1"/>
  <c r="N2076" i="1"/>
  <c r="A2076" i="1" a="1"/>
  <c r="A2076" i="1" s="1"/>
  <c r="AF2076" i="1" s="1" a="1"/>
  <c r="AF2076" i="1" s="1"/>
  <c r="X2076" i="1" s="1"/>
  <c r="AD2075" i="1"/>
  <c r="T2075" i="1" s="1"/>
  <c r="R2075" i="1"/>
  <c r="N2075" i="1"/>
  <c r="A2075" i="1" a="1"/>
  <c r="A2075" i="1" s="1"/>
  <c r="AD2074" i="1"/>
  <c r="T2074" i="1" s="1"/>
  <c r="R2074" i="1"/>
  <c r="N2074" i="1"/>
  <c r="A2074" i="1" a="1"/>
  <c r="A2074" i="1"/>
  <c r="AD2073" i="1"/>
  <c r="R2073" i="1"/>
  <c r="N2073" i="1"/>
  <c r="A2073" i="1" a="1"/>
  <c r="A2073" i="1" s="1"/>
  <c r="AD2072" i="1"/>
  <c r="T2072" i="1"/>
  <c r="R2072" i="1"/>
  <c r="N2072" i="1"/>
  <c r="A2072" i="1" a="1"/>
  <c r="A2072" i="1" s="1"/>
  <c r="AD2071" i="1"/>
  <c r="T2071" i="1"/>
  <c r="R2071" i="1"/>
  <c r="N2071" i="1"/>
  <c r="A2071" i="1" a="1"/>
  <c r="A2071" i="1" s="1"/>
  <c r="AF2070" i="1" a="1"/>
  <c r="AF2070" i="1" s="1"/>
  <c r="X2070" i="1" s="1"/>
  <c r="AD2070" i="1"/>
  <c r="T2070" i="1" s="1"/>
  <c r="Y2070" i="1"/>
  <c r="R2070" i="1"/>
  <c r="N2070" i="1"/>
  <c r="A2070" i="1" a="1"/>
  <c r="A2070" i="1"/>
  <c r="AG2070" i="1" s="1" a="1"/>
  <c r="AG2070" i="1" s="1"/>
  <c r="AD2069" i="1"/>
  <c r="R2069" i="1"/>
  <c r="N2069" i="1"/>
  <c r="A2069" i="1" a="1"/>
  <c r="A2069" i="1" s="1"/>
  <c r="AD2068" i="1"/>
  <c r="T2068" i="1"/>
  <c r="R2068" i="1"/>
  <c r="N2068" i="1"/>
  <c r="A2068" i="1" a="1"/>
  <c r="A2068" i="1" s="1"/>
  <c r="AD2067" i="1"/>
  <c r="R2067" i="1"/>
  <c r="T2067" i="1" s="1"/>
  <c r="N2067" i="1"/>
  <c r="A2067" i="1" a="1"/>
  <c r="A2067" i="1" s="1"/>
  <c r="AD2066" i="1"/>
  <c r="T2066" i="1" s="1"/>
  <c r="R2066" i="1"/>
  <c r="N2066" i="1"/>
  <c r="A2066" i="1" a="1"/>
  <c r="A2066" i="1"/>
  <c r="AG2066" i="1" s="1" a="1"/>
  <c r="AG2066" i="1" s="1"/>
  <c r="Y2066" i="1" s="1"/>
  <c r="AD2065" i="1"/>
  <c r="T2065" i="1" s="1"/>
  <c r="R2065" i="1"/>
  <c r="N2065" i="1"/>
  <c r="A2065" i="1" a="1"/>
  <c r="A2065" i="1" s="1"/>
  <c r="AD2064" i="1"/>
  <c r="T2064" i="1"/>
  <c r="R2064" i="1"/>
  <c r="N2064" i="1"/>
  <c r="A2064" i="1" a="1"/>
  <c r="A2064" i="1"/>
  <c r="AG2064" i="1" s="1" a="1"/>
  <c r="AG2064" i="1" s="1"/>
  <c r="Y2064" i="1" s="1"/>
  <c r="AD2063" i="1"/>
  <c r="R2063" i="1"/>
  <c r="N2063" i="1"/>
  <c r="A2063" i="1" a="1"/>
  <c r="A2063" i="1" s="1"/>
  <c r="AD2062" i="1"/>
  <c r="R2062" i="1"/>
  <c r="N2062" i="1"/>
  <c r="A2062" i="1" a="1"/>
  <c r="A2062" i="1" s="1"/>
  <c r="AD2061" i="1"/>
  <c r="T2061" i="1"/>
  <c r="R2061" i="1"/>
  <c r="N2061" i="1"/>
  <c r="A2061" i="1" a="1"/>
  <c r="A2061" i="1" s="1"/>
  <c r="AD2060" i="1"/>
  <c r="T2060" i="1"/>
  <c r="R2060" i="1"/>
  <c r="N2060" i="1"/>
  <c r="A2060" i="1" a="1"/>
  <c r="A2060" i="1" s="1"/>
  <c r="AD2059" i="1"/>
  <c r="R2059" i="1"/>
  <c r="N2059" i="1"/>
  <c r="A2059" i="1" a="1"/>
  <c r="A2059" i="1" s="1"/>
  <c r="AD2058" i="1"/>
  <c r="R2058" i="1"/>
  <c r="N2058" i="1"/>
  <c r="A2058" i="1" a="1"/>
  <c r="A2058" i="1"/>
  <c r="AG2058" i="1" s="1" a="1"/>
  <c r="AG2058" i="1" s="1"/>
  <c r="Y2058" i="1" s="1"/>
  <c r="AD2057" i="1"/>
  <c r="T2057" i="1"/>
  <c r="R2057" i="1"/>
  <c r="N2057" i="1"/>
  <c r="A2057" i="1" a="1"/>
  <c r="A2057" i="1" s="1"/>
  <c r="AD2056" i="1"/>
  <c r="T2056" i="1"/>
  <c r="R2056" i="1"/>
  <c r="N2056" i="1"/>
  <c r="A2056" i="1" a="1"/>
  <c r="A2056" i="1" s="1"/>
  <c r="AD2055" i="1"/>
  <c r="R2055" i="1"/>
  <c r="N2055" i="1"/>
  <c r="A2055" i="1" a="1"/>
  <c r="A2055" i="1" s="1"/>
  <c r="AD2054" i="1"/>
  <c r="R2054" i="1"/>
  <c r="N2054" i="1"/>
  <c r="A2054" i="1" a="1"/>
  <c r="A2054" i="1" s="1"/>
  <c r="AD2053" i="1"/>
  <c r="T2053" i="1"/>
  <c r="R2053" i="1"/>
  <c r="N2053" i="1"/>
  <c r="A2053" i="1" a="1"/>
  <c r="A2053" i="1" s="1"/>
  <c r="AD2052" i="1"/>
  <c r="T2052" i="1"/>
  <c r="R2052" i="1"/>
  <c r="N2052" i="1"/>
  <c r="A2052" i="1" a="1"/>
  <c r="A2052" i="1" s="1"/>
  <c r="AD2051" i="1"/>
  <c r="R2051" i="1"/>
  <c r="N2051" i="1"/>
  <c r="A2051" i="1" a="1"/>
  <c r="A2051" i="1" s="1"/>
  <c r="AF2051" i="1" s="1" a="1"/>
  <c r="AF2051" i="1" s="1"/>
  <c r="X2051" i="1" s="1"/>
  <c r="AG2050" i="1"/>
  <c r="Y2050" i="1" s="1"/>
  <c r="AD2050" i="1"/>
  <c r="R2050" i="1"/>
  <c r="N2050" i="1"/>
  <c r="A2050" i="1" a="1"/>
  <c r="A2050" i="1"/>
  <c r="AG2050" i="1" s="1" a="1"/>
  <c r="AD2049" i="1"/>
  <c r="R2049" i="1"/>
  <c r="N2049" i="1"/>
  <c r="A2049" i="1" a="1"/>
  <c r="A2049" i="1" s="1"/>
  <c r="AD2048" i="1"/>
  <c r="R2048" i="1"/>
  <c r="N2048" i="1"/>
  <c r="A2048" i="1" a="1"/>
  <c r="A2048" i="1" s="1"/>
  <c r="AG2047" i="1" a="1"/>
  <c r="AG2047" i="1" s="1"/>
  <c r="Y2047" i="1" s="1"/>
  <c r="AD2047" i="1"/>
  <c r="T2047" i="1"/>
  <c r="R2047" i="1"/>
  <c r="N2047" i="1"/>
  <c r="A2047" i="1" a="1"/>
  <c r="A2047" i="1" s="1"/>
  <c r="AF2047" i="1" s="1" a="1"/>
  <c r="AF2047" i="1" s="1"/>
  <c r="X2047" i="1" s="1"/>
  <c r="AD2046" i="1"/>
  <c r="T2046" i="1"/>
  <c r="R2046" i="1"/>
  <c r="N2046" i="1"/>
  <c r="A2046" i="1" a="1"/>
  <c r="A2046" i="1" s="1"/>
  <c r="AD2045" i="1"/>
  <c r="R2045" i="1"/>
  <c r="N2045" i="1"/>
  <c r="A2045" i="1" a="1"/>
  <c r="A2045" i="1" s="1"/>
  <c r="AD2044" i="1"/>
  <c r="R2044" i="1"/>
  <c r="N2044" i="1"/>
  <c r="A2044" i="1" a="1"/>
  <c r="A2044" i="1"/>
  <c r="AD2043" i="1"/>
  <c r="T2043" i="1"/>
  <c r="R2043" i="1"/>
  <c r="N2043" i="1"/>
  <c r="A2043" i="1" a="1"/>
  <c r="A2043" i="1" s="1"/>
  <c r="AF2043" i="1" s="1" a="1"/>
  <c r="AF2043" i="1" s="1"/>
  <c r="X2043" i="1" s="1"/>
  <c r="AF2042" i="1" a="1"/>
  <c r="AF2042" i="1" s="1"/>
  <c r="X2042" i="1" s="1"/>
  <c r="AD2042" i="1"/>
  <c r="R2042" i="1"/>
  <c r="N2042" i="1"/>
  <c r="A2042" i="1" a="1"/>
  <c r="A2042" i="1"/>
  <c r="AG2042" i="1" s="1" a="1"/>
  <c r="AG2042" i="1" s="1"/>
  <c r="Y2042" i="1" s="1"/>
  <c r="AD2041" i="1"/>
  <c r="T2041" i="1"/>
  <c r="R2041" i="1"/>
  <c r="N2041" i="1"/>
  <c r="A2041" i="1" a="1"/>
  <c r="A2041" i="1" s="1"/>
  <c r="AD2040" i="1"/>
  <c r="R2040" i="1"/>
  <c r="N2040" i="1"/>
  <c r="A2040" i="1" a="1"/>
  <c r="A2040" i="1" s="1"/>
  <c r="AG2039" i="1" a="1"/>
  <c r="AG2039" i="1"/>
  <c r="Y2039" i="1" s="1"/>
  <c r="AD2039" i="1"/>
  <c r="R2039" i="1"/>
  <c r="N2039" i="1"/>
  <c r="A2039" i="1" a="1"/>
  <c r="A2039" i="1" s="1"/>
  <c r="AF2039" i="1" s="1" a="1"/>
  <c r="AF2039" i="1" s="1"/>
  <c r="X2039" i="1" s="1"/>
  <c r="AD2038" i="1"/>
  <c r="R2038" i="1"/>
  <c r="N2038" i="1"/>
  <c r="A2038" i="1" a="1"/>
  <c r="A2038" i="1" s="1"/>
  <c r="AD2037" i="1"/>
  <c r="T2037" i="1"/>
  <c r="R2037" i="1"/>
  <c r="N2037" i="1"/>
  <c r="A2037" i="1" a="1"/>
  <c r="A2037" i="1" s="1"/>
  <c r="AD2036" i="1"/>
  <c r="T2036" i="1"/>
  <c r="R2036" i="1"/>
  <c r="N2036" i="1"/>
  <c r="A2036" i="1" a="1"/>
  <c r="A2036" i="1" s="1"/>
  <c r="AG2035" i="1" a="1"/>
  <c r="AG2035" i="1" s="1"/>
  <c r="Y2035" i="1" s="1"/>
  <c r="AD2035" i="1"/>
  <c r="X2035" i="1"/>
  <c r="R2035" i="1"/>
  <c r="N2035" i="1"/>
  <c r="A2035" i="1" a="1"/>
  <c r="A2035" i="1" s="1"/>
  <c r="AF2035" i="1" s="1" a="1"/>
  <c r="AF2035" i="1" s="1"/>
  <c r="AD2034" i="1"/>
  <c r="T2034" i="1"/>
  <c r="R2034" i="1"/>
  <c r="N2034" i="1"/>
  <c r="A2034" i="1" a="1"/>
  <c r="A2034" i="1" s="1"/>
  <c r="AD2033" i="1"/>
  <c r="R2033" i="1"/>
  <c r="N2033" i="1"/>
  <c r="A2033" i="1" a="1"/>
  <c r="A2033" i="1" s="1"/>
  <c r="AD2032" i="1"/>
  <c r="R2032" i="1"/>
  <c r="N2032" i="1"/>
  <c r="A2032" i="1" a="1"/>
  <c r="A2032" i="1"/>
  <c r="AD2031" i="1"/>
  <c r="T2031" i="1"/>
  <c r="R2031" i="1"/>
  <c r="N2031" i="1"/>
  <c r="A2031" i="1" a="1"/>
  <c r="A2031" i="1" s="1"/>
  <c r="AD2030" i="1"/>
  <c r="R2030" i="1"/>
  <c r="N2030" i="1"/>
  <c r="A2030" i="1" a="1"/>
  <c r="A2030" i="1"/>
  <c r="AG2030" i="1" s="1" a="1"/>
  <c r="AG2030" i="1" s="1"/>
  <c r="Y2030" i="1" s="1"/>
  <c r="AD2029" i="1"/>
  <c r="R2029" i="1"/>
  <c r="N2029" i="1"/>
  <c r="A2029" i="1" a="1"/>
  <c r="A2029" i="1" s="1"/>
  <c r="AD2028" i="1"/>
  <c r="R2028" i="1"/>
  <c r="N2028" i="1"/>
  <c r="A2028" i="1" a="1"/>
  <c r="A2028" i="1"/>
  <c r="AG2028" i="1" s="1" a="1"/>
  <c r="AG2028" i="1" s="1"/>
  <c r="Y2028" i="1" s="1"/>
  <c r="AD2027" i="1"/>
  <c r="R2027" i="1"/>
  <c r="N2027" i="1"/>
  <c r="A2027" i="1" a="1"/>
  <c r="A2027" i="1"/>
  <c r="AD2026" i="1"/>
  <c r="R2026" i="1"/>
  <c r="N2026" i="1"/>
  <c r="A2026" i="1" a="1"/>
  <c r="A2026" i="1"/>
  <c r="AG2026" i="1" s="1" a="1"/>
  <c r="AG2026" i="1" s="1"/>
  <c r="Y2026" i="1" s="1"/>
  <c r="AD2025" i="1"/>
  <c r="R2025" i="1"/>
  <c r="N2025" i="1"/>
  <c r="A2025" i="1" a="1"/>
  <c r="A2025" i="1" s="1"/>
  <c r="AD2024" i="1"/>
  <c r="R2024" i="1"/>
  <c r="N2024" i="1"/>
  <c r="A2024" i="1" a="1"/>
  <c r="A2024" i="1"/>
  <c r="AG2024" i="1" s="1" a="1"/>
  <c r="AG2024" i="1" s="1"/>
  <c r="Y2024" i="1" s="1"/>
  <c r="AD2023" i="1"/>
  <c r="T2023" i="1"/>
  <c r="R2023" i="1"/>
  <c r="N2023" i="1"/>
  <c r="A2023" i="1" a="1"/>
  <c r="A2023" i="1" s="1"/>
  <c r="AD2022" i="1"/>
  <c r="R2022" i="1"/>
  <c r="N2022" i="1"/>
  <c r="A2022" i="1" a="1"/>
  <c r="A2022" i="1"/>
  <c r="AD2021" i="1"/>
  <c r="R2021" i="1"/>
  <c r="T2021" i="1" s="1"/>
  <c r="N2021" i="1"/>
  <c r="A2021" i="1" a="1"/>
  <c r="A2021" i="1" s="1"/>
  <c r="AD2020" i="1"/>
  <c r="T2020" i="1"/>
  <c r="R2020" i="1"/>
  <c r="N2020" i="1"/>
  <c r="A2020" i="1" a="1"/>
  <c r="A2020" i="1" s="1"/>
  <c r="AD2019" i="1"/>
  <c r="R2019" i="1"/>
  <c r="T2019" i="1" s="1"/>
  <c r="N2019" i="1"/>
  <c r="A2019" i="1" a="1"/>
  <c r="A2019" i="1" s="1"/>
  <c r="AD2018" i="1"/>
  <c r="T2018" i="1"/>
  <c r="R2018" i="1"/>
  <c r="N2018" i="1"/>
  <c r="A2018" i="1" a="1"/>
  <c r="A2018" i="1" s="1"/>
  <c r="AD2017" i="1"/>
  <c r="Y2017" i="1"/>
  <c r="T2017" i="1"/>
  <c r="R2017" i="1"/>
  <c r="N2017" i="1"/>
  <c r="A2017" i="1" a="1"/>
  <c r="A2017" i="1"/>
  <c r="AG2017" i="1" s="1" a="1"/>
  <c r="AG2017" i="1" s="1"/>
  <c r="AD2016" i="1"/>
  <c r="R2016" i="1"/>
  <c r="N2016" i="1"/>
  <c r="A2016" i="1" a="1"/>
  <c r="A2016" i="1"/>
  <c r="AF2015" i="1" a="1"/>
  <c r="AF2015" i="1" s="1"/>
  <c r="X2015" i="1" s="1"/>
  <c r="AD2015" i="1"/>
  <c r="R2015" i="1"/>
  <c r="N2015" i="1"/>
  <c r="A2015" i="1" a="1"/>
  <c r="A2015" i="1"/>
  <c r="AG2015" i="1" s="1" a="1"/>
  <c r="AG2015" i="1" s="1"/>
  <c r="Y2015" i="1" s="1"/>
  <c r="AD2014" i="1"/>
  <c r="R2014" i="1"/>
  <c r="T2014" i="1" s="1"/>
  <c r="N2014" i="1"/>
  <c r="A2014" i="1" a="1"/>
  <c r="A2014" i="1" s="1"/>
  <c r="AD2013" i="1"/>
  <c r="T2013" i="1"/>
  <c r="R2013" i="1"/>
  <c r="N2013" i="1"/>
  <c r="A2013" i="1" a="1"/>
  <c r="A2013" i="1" s="1"/>
  <c r="AD2012" i="1"/>
  <c r="T2012" i="1" s="1"/>
  <c r="AB2012" i="1"/>
  <c r="R2012" i="1"/>
  <c r="N2012" i="1"/>
  <c r="A2012" i="1" a="1"/>
  <c r="A2012" i="1"/>
  <c r="AG2012" i="1" s="1" a="1"/>
  <c r="AG2012" i="1" s="1"/>
  <c r="Y2012" i="1" s="1"/>
  <c r="AF2011" i="1" a="1"/>
  <c r="AF2011" i="1" s="1"/>
  <c r="X2011" i="1" s="1"/>
  <c r="AD2011" i="1"/>
  <c r="R2011" i="1"/>
  <c r="N2011" i="1"/>
  <c r="A2011" i="1" a="1"/>
  <c r="A2011" i="1"/>
  <c r="AG2011" i="1" s="1" a="1"/>
  <c r="AG2011" i="1" s="1"/>
  <c r="Y2011" i="1" s="1"/>
  <c r="AD2010" i="1"/>
  <c r="R2010" i="1"/>
  <c r="T2010" i="1" s="1"/>
  <c r="N2010" i="1"/>
  <c r="A2010" i="1" a="1"/>
  <c r="A2010" i="1" s="1"/>
  <c r="AD2009" i="1"/>
  <c r="T2009" i="1"/>
  <c r="R2009" i="1"/>
  <c r="N2009" i="1"/>
  <c r="A2009" i="1" a="1"/>
  <c r="A2009" i="1" s="1"/>
  <c r="AG2008" i="1" a="1"/>
  <c r="AG2008" i="1" s="1"/>
  <c r="AD2008" i="1"/>
  <c r="T2008" i="1" s="1"/>
  <c r="AB2008" i="1" s="1"/>
  <c r="Y2008" i="1"/>
  <c r="R2008" i="1"/>
  <c r="N2008" i="1"/>
  <c r="A2008" i="1" a="1"/>
  <c r="A2008" i="1"/>
  <c r="AF2008" i="1" s="1" a="1"/>
  <c r="AF2008" i="1" s="1"/>
  <c r="X2008" i="1" s="1"/>
  <c r="AD2007" i="1"/>
  <c r="R2007" i="1"/>
  <c r="N2007" i="1"/>
  <c r="A2007" i="1" a="1"/>
  <c r="A2007" i="1"/>
  <c r="AG2007" i="1" s="1" a="1"/>
  <c r="AG2007" i="1" s="1"/>
  <c r="Y2007" i="1" s="1"/>
  <c r="AF2006" i="1" a="1"/>
  <c r="AF2006" i="1" s="1"/>
  <c r="X2006" i="1" s="1"/>
  <c r="AD2006" i="1"/>
  <c r="R2006" i="1"/>
  <c r="T2006" i="1" s="1"/>
  <c r="AA2006" i="1" s="1"/>
  <c r="N2006" i="1"/>
  <c r="A2006" i="1" a="1"/>
  <c r="A2006" i="1"/>
  <c r="AG2006" i="1" s="1" a="1"/>
  <c r="AG2006" i="1" s="1"/>
  <c r="Y2006" i="1" s="1"/>
  <c r="AD2005" i="1"/>
  <c r="T2005" i="1"/>
  <c r="R2005" i="1"/>
  <c r="N2005" i="1"/>
  <c r="A2005" i="1" a="1"/>
  <c r="A2005" i="1" s="1"/>
  <c r="AG2004" i="1" a="1"/>
  <c r="AG2004" i="1" s="1"/>
  <c r="Y2004" i="1" s="1"/>
  <c r="AB2004" i="1" s="1"/>
  <c r="AF2004" i="1" a="1"/>
  <c r="AF2004" i="1" s="1"/>
  <c r="X2004" i="1" s="1"/>
  <c r="AD2004" i="1"/>
  <c r="T2004" i="1" s="1"/>
  <c r="R2004" i="1"/>
  <c r="N2004" i="1"/>
  <c r="A2004" i="1" a="1"/>
  <c r="A2004" i="1"/>
  <c r="AD2003" i="1"/>
  <c r="R2003" i="1"/>
  <c r="N2003" i="1"/>
  <c r="A2003" i="1" a="1"/>
  <c r="A2003" i="1"/>
  <c r="AG2003" i="1" s="1" a="1"/>
  <c r="AG2003" i="1" s="1"/>
  <c r="Y2003" i="1" s="1"/>
  <c r="AD2002" i="1"/>
  <c r="T2002" i="1"/>
  <c r="R2002" i="1"/>
  <c r="N2002" i="1"/>
  <c r="A2002" i="1" a="1"/>
  <c r="A2002" i="1" s="1"/>
  <c r="AG2002" i="1" s="1" a="1"/>
  <c r="AG2002" i="1" s="1"/>
  <c r="Y2002" i="1" s="1"/>
  <c r="AD2001" i="1"/>
  <c r="R2001" i="1"/>
  <c r="T2001" i="1" s="1"/>
  <c r="N2001" i="1"/>
  <c r="A2001" i="1" a="1"/>
  <c r="A2001" i="1" s="1"/>
  <c r="AF2000" i="1" a="1"/>
  <c r="AF2000" i="1" s="1"/>
  <c r="X2000" i="1" s="1"/>
  <c r="AD2000" i="1"/>
  <c r="R2000" i="1"/>
  <c r="N2000" i="1"/>
  <c r="A2000" i="1" a="1"/>
  <c r="A2000" i="1"/>
  <c r="AG2000" i="1" s="1" a="1"/>
  <c r="AG2000" i="1" s="1"/>
  <c r="Y2000" i="1" s="1"/>
  <c r="AD1999" i="1"/>
  <c r="R1999" i="1"/>
  <c r="N1999" i="1"/>
  <c r="A1999" i="1" a="1"/>
  <c r="A1999" i="1"/>
  <c r="AD1998" i="1"/>
  <c r="R1998" i="1"/>
  <c r="T1998" i="1" s="1"/>
  <c r="N1998" i="1"/>
  <c r="A1998" i="1" a="1"/>
  <c r="A1998" i="1"/>
  <c r="AG1998" i="1" s="1" a="1"/>
  <c r="AG1998" i="1" s="1"/>
  <c r="Y1998" i="1" s="1"/>
  <c r="AD1997" i="1"/>
  <c r="R1997" i="1"/>
  <c r="T1997" i="1" s="1"/>
  <c r="N1997" i="1"/>
  <c r="A1997" i="1" a="1"/>
  <c r="A1997" i="1" s="1"/>
  <c r="AD1996" i="1"/>
  <c r="R1996" i="1"/>
  <c r="N1996" i="1"/>
  <c r="A1996" i="1" a="1"/>
  <c r="A1996" i="1" s="1"/>
  <c r="AF1995" i="1" a="1"/>
  <c r="AF1995" i="1" s="1"/>
  <c r="X1995" i="1" s="1"/>
  <c r="AD1995" i="1"/>
  <c r="R1995" i="1"/>
  <c r="N1995" i="1"/>
  <c r="A1995" i="1" a="1"/>
  <c r="A1995" i="1"/>
  <c r="AG1995" i="1" s="1" a="1"/>
  <c r="AG1995" i="1" s="1"/>
  <c r="Y1995" i="1" s="1"/>
  <c r="AD1994" i="1"/>
  <c r="R1994" i="1"/>
  <c r="N1994" i="1"/>
  <c r="A1994" i="1" a="1"/>
  <c r="A1994" i="1"/>
  <c r="AG1994" i="1" s="1" a="1"/>
  <c r="AG1994" i="1" s="1"/>
  <c r="Y1994" i="1" s="1"/>
  <c r="AD1993" i="1"/>
  <c r="R1993" i="1"/>
  <c r="N1993" i="1"/>
  <c r="A1993" i="1" a="1"/>
  <c r="A1993" i="1" s="1"/>
  <c r="AD1992" i="1"/>
  <c r="T1992" i="1"/>
  <c r="R1992" i="1"/>
  <c r="N1992" i="1"/>
  <c r="A1992" i="1" a="1"/>
  <c r="A1992" i="1"/>
  <c r="AG1992" i="1" s="1" a="1"/>
  <c r="AG1992" i="1" s="1"/>
  <c r="Y1992" i="1" s="1"/>
  <c r="AG1991" i="1"/>
  <c r="Y1991" i="1" s="1"/>
  <c r="AF1991" i="1" a="1"/>
  <c r="AF1991" i="1" s="1"/>
  <c r="AD1991" i="1"/>
  <c r="X1991" i="1"/>
  <c r="R1991" i="1"/>
  <c r="N1991" i="1"/>
  <c r="A1991" i="1" a="1"/>
  <c r="A1991" i="1"/>
  <c r="AG1991" i="1" s="1" a="1"/>
  <c r="AD1990" i="1"/>
  <c r="T1990" i="1"/>
  <c r="R1990" i="1"/>
  <c r="N1990" i="1"/>
  <c r="A1990" i="1" a="1"/>
  <c r="A1990" i="1" s="1"/>
  <c r="AD1989" i="1"/>
  <c r="T1989" i="1" s="1"/>
  <c r="R1989" i="1"/>
  <c r="N1989" i="1"/>
  <c r="A1989" i="1" a="1"/>
  <c r="A1989" i="1" s="1"/>
  <c r="AD1988" i="1"/>
  <c r="R1988" i="1"/>
  <c r="N1988" i="1"/>
  <c r="A1988" i="1" a="1"/>
  <c r="A1988" i="1"/>
  <c r="AD1987" i="1"/>
  <c r="T1987" i="1"/>
  <c r="R1987" i="1"/>
  <c r="N1987" i="1"/>
  <c r="A1987" i="1" a="1"/>
  <c r="A1987" i="1" s="1"/>
  <c r="AG1986" i="1"/>
  <c r="Y1986" i="1" s="1"/>
  <c r="AD1986" i="1"/>
  <c r="R1986" i="1"/>
  <c r="T1986" i="1" s="1"/>
  <c r="N1986" i="1"/>
  <c r="A1986" i="1" a="1"/>
  <c r="A1986" i="1"/>
  <c r="AG1986" i="1" s="1" a="1"/>
  <c r="AD1985" i="1"/>
  <c r="R1985" i="1"/>
  <c r="T1985" i="1" s="1"/>
  <c r="N1985" i="1"/>
  <c r="A1985" i="1" a="1"/>
  <c r="A1985" i="1" s="1"/>
  <c r="AF1984" i="1" a="1"/>
  <c r="AF1984" i="1" s="1"/>
  <c r="AD1984" i="1"/>
  <c r="X1984" i="1"/>
  <c r="R1984" i="1"/>
  <c r="N1984" i="1"/>
  <c r="A1984" i="1" a="1"/>
  <c r="A1984" i="1"/>
  <c r="AG1984" i="1" s="1" a="1"/>
  <c r="AG1984" i="1" s="1"/>
  <c r="Y1984" i="1" s="1"/>
  <c r="AD1983" i="1"/>
  <c r="R1983" i="1"/>
  <c r="N1983" i="1"/>
  <c r="A1983" i="1" a="1"/>
  <c r="A1983" i="1" s="1"/>
  <c r="AD1982" i="1"/>
  <c r="R1982" i="1"/>
  <c r="T1982" i="1" s="1"/>
  <c r="N1982" i="1"/>
  <c r="A1982" i="1" a="1"/>
  <c r="A1982" i="1" s="1"/>
  <c r="AG1981" i="1" a="1"/>
  <c r="AG1981" i="1" s="1"/>
  <c r="Y1981" i="1" s="1"/>
  <c r="AF1981" i="1"/>
  <c r="X1981" i="1" s="1"/>
  <c r="AD1981" i="1"/>
  <c r="AB1981" i="1" s="1"/>
  <c r="R1981" i="1"/>
  <c r="T1981" i="1" s="1"/>
  <c r="N1981" i="1"/>
  <c r="A1981" i="1" a="1"/>
  <c r="A1981" i="1" s="1"/>
  <c r="AF1981" i="1" s="1" a="1"/>
  <c r="AD1980" i="1"/>
  <c r="R1980" i="1"/>
  <c r="N1980" i="1"/>
  <c r="A1980" i="1" a="1"/>
  <c r="A1980" i="1" s="1"/>
  <c r="AD1979" i="1"/>
  <c r="R1979" i="1"/>
  <c r="N1979" i="1"/>
  <c r="A1979" i="1" a="1"/>
  <c r="A1979" i="1" s="1"/>
  <c r="AD1978" i="1"/>
  <c r="R1978" i="1"/>
  <c r="T1978" i="1" s="1"/>
  <c r="N1978" i="1"/>
  <c r="A1978" i="1" a="1"/>
  <c r="A1978" i="1" s="1"/>
  <c r="AG1977" i="1" a="1"/>
  <c r="AG1977" i="1" s="1"/>
  <c r="Y1977" i="1" s="1"/>
  <c r="AF1977" i="1"/>
  <c r="X1977" i="1" s="1"/>
  <c r="AD1977" i="1"/>
  <c r="R1977" i="1"/>
  <c r="N1977" i="1"/>
  <c r="A1977" i="1" a="1"/>
  <c r="A1977" i="1" s="1"/>
  <c r="AF1977" i="1" s="1" a="1"/>
  <c r="AD1976" i="1"/>
  <c r="R1976" i="1"/>
  <c r="N1976" i="1"/>
  <c r="A1976" i="1" a="1"/>
  <c r="A1976" i="1" s="1"/>
  <c r="AD1975" i="1"/>
  <c r="R1975" i="1"/>
  <c r="N1975" i="1"/>
  <c r="A1975" i="1" a="1"/>
  <c r="A1975" i="1" s="1"/>
  <c r="AD1974" i="1"/>
  <c r="R1974" i="1"/>
  <c r="N1974" i="1"/>
  <c r="A1974" i="1" a="1"/>
  <c r="A1974" i="1" s="1"/>
  <c r="AG1973" i="1" a="1"/>
  <c r="AG1973" i="1" s="1"/>
  <c r="Y1973" i="1" s="1"/>
  <c r="AF1973" i="1"/>
  <c r="X1973" i="1" s="1"/>
  <c r="AD1973" i="1"/>
  <c r="R1973" i="1"/>
  <c r="N1973" i="1"/>
  <c r="A1973" i="1" a="1"/>
  <c r="A1973" i="1" s="1"/>
  <c r="AF1973" i="1" s="1" a="1"/>
  <c r="AD1972" i="1"/>
  <c r="R1972" i="1"/>
  <c r="N1972" i="1"/>
  <c r="A1972" i="1" a="1"/>
  <c r="A1972" i="1" s="1"/>
  <c r="AD1971" i="1"/>
  <c r="R1971" i="1"/>
  <c r="N1971" i="1"/>
  <c r="A1971" i="1" a="1"/>
  <c r="A1971" i="1" s="1"/>
  <c r="AD1970" i="1"/>
  <c r="R1970" i="1"/>
  <c r="N1970" i="1"/>
  <c r="A1970" i="1" a="1"/>
  <c r="A1970" i="1" s="1"/>
  <c r="AG1969" i="1" a="1"/>
  <c r="AG1969" i="1" s="1"/>
  <c r="Y1969" i="1" s="1"/>
  <c r="AF1969" i="1"/>
  <c r="X1969" i="1" s="1"/>
  <c r="AD1969" i="1"/>
  <c r="R1969" i="1"/>
  <c r="N1969" i="1"/>
  <c r="A1969" i="1" a="1"/>
  <c r="A1969" i="1" s="1"/>
  <c r="AF1969" i="1" s="1" a="1"/>
  <c r="AD1968" i="1"/>
  <c r="R1968" i="1"/>
  <c r="N1968" i="1"/>
  <c r="A1968" i="1" a="1"/>
  <c r="A1968" i="1" s="1"/>
  <c r="AD1967" i="1"/>
  <c r="R1967" i="1"/>
  <c r="N1967" i="1"/>
  <c r="A1967" i="1" a="1"/>
  <c r="A1967" i="1" s="1"/>
  <c r="AD1966" i="1"/>
  <c r="R1966" i="1"/>
  <c r="N1966" i="1"/>
  <c r="A1966" i="1" a="1"/>
  <c r="A1966" i="1"/>
  <c r="AG1966" i="1" s="1" a="1"/>
  <c r="AG1966" i="1" s="1"/>
  <c r="Y1966" i="1" s="1"/>
  <c r="AF1965" i="1" a="1"/>
  <c r="AF1965" i="1" s="1"/>
  <c r="X1965" i="1" s="1"/>
  <c r="AD1965" i="1"/>
  <c r="T1965" i="1" s="1"/>
  <c r="R1965" i="1"/>
  <c r="N1965" i="1"/>
  <c r="A1965" i="1" a="1"/>
  <c r="A1965" i="1"/>
  <c r="AG1965" i="1" s="1" a="1"/>
  <c r="AG1965" i="1" s="1"/>
  <c r="Y1965" i="1" s="1"/>
  <c r="AD1964" i="1"/>
  <c r="AB1964" i="1" s="1"/>
  <c r="T1964" i="1"/>
  <c r="R1964" i="1"/>
  <c r="N1964" i="1"/>
  <c r="A1964" i="1" a="1"/>
  <c r="A1964" i="1"/>
  <c r="AG1964" i="1" s="1" a="1"/>
  <c r="AG1964" i="1" s="1"/>
  <c r="Y1964" i="1" s="1"/>
  <c r="AD1963" i="1"/>
  <c r="R1963" i="1"/>
  <c r="T1963" i="1" s="1"/>
  <c r="N1963" i="1"/>
  <c r="A1963" i="1" a="1"/>
  <c r="A1963" i="1" s="1"/>
  <c r="AD1962" i="1"/>
  <c r="R1962" i="1"/>
  <c r="N1962" i="1"/>
  <c r="A1962" i="1" a="1"/>
  <c r="A1962" i="1"/>
  <c r="AG1962" i="1" s="1" a="1"/>
  <c r="AG1962" i="1" s="1"/>
  <c r="Y1962" i="1" s="1"/>
  <c r="AD1961" i="1"/>
  <c r="T1961" i="1" s="1"/>
  <c r="R1961" i="1"/>
  <c r="N1961" i="1"/>
  <c r="A1961" i="1" a="1"/>
  <c r="A1961" i="1"/>
  <c r="AG1961" i="1" s="1" a="1"/>
  <c r="AG1961" i="1" s="1"/>
  <c r="Y1961" i="1" s="1"/>
  <c r="AD1960" i="1"/>
  <c r="R1960" i="1"/>
  <c r="T1960" i="1" s="1"/>
  <c r="N1960" i="1"/>
  <c r="A1960" i="1" a="1"/>
  <c r="A1960" i="1"/>
  <c r="AG1960" i="1" s="1" a="1"/>
  <c r="AG1960" i="1" s="1"/>
  <c r="Y1960" i="1" s="1"/>
  <c r="AD1959" i="1"/>
  <c r="R1959" i="1"/>
  <c r="T1959" i="1" s="1"/>
  <c r="N1959" i="1"/>
  <c r="A1959" i="1" a="1"/>
  <c r="A1959" i="1" s="1"/>
  <c r="AD1958" i="1"/>
  <c r="AB1958" i="1" s="1"/>
  <c r="T1958" i="1"/>
  <c r="R1958" i="1"/>
  <c r="N1958" i="1"/>
  <c r="A1958" i="1" a="1"/>
  <c r="A1958" i="1"/>
  <c r="AG1958" i="1" s="1" a="1"/>
  <c r="AG1958" i="1" s="1"/>
  <c r="Y1958" i="1" s="1"/>
  <c r="AD1957" i="1"/>
  <c r="R1957" i="1"/>
  <c r="N1957" i="1"/>
  <c r="A1957" i="1" a="1"/>
  <c r="A1957" i="1"/>
  <c r="AG1957" i="1" s="1" a="1"/>
  <c r="AG1957" i="1" s="1"/>
  <c r="Y1957" i="1" s="1"/>
  <c r="AD1956" i="1"/>
  <c r="T1956" i="1" s="1"/>
  <c r="R1956" i="1"/>
  <c r="N1956" i="1"/>
  <c r="A1956" i="1" a="1"/>
  <c r="A1956" i="1" s="1"/>
  <c r="AD1955" i="1"/>
  <c r="T1955" i="1"/>
  <c r="R1955" i="1"/>
  <c r="N1955" i="1"/>
  <c r="A1955" i="1" a="1"/>
  <c r="A1955" i="1" s="1"/>
  <c r="AD1954" i="1"/>
  <c r="AB1954" i="1"/>
  <c r="T1954" i="1"/>
  <c r="R1954" i="1"/>
  <c r="N1954" i="1"/>
  <c r="A1954" i="1" a="1"/>
  <c r="A1954" i="1"/>
  <c r="AG1954" i="1" s="1" a="1"/>
  <c r="AG1954" i="1" s="1"/>
  <c r="Y1954" i="1" s="1"/>
  <c r="AD1953" i="1"/>
  <c r="R1953" i="1"/>
  <c r="N1953" i="1"/>
  <c r="A1953" i="1" a="1"/>
  <c r="A1953" i="1" s="1"/>
  <c r="AD1952" i="1"/>
  <c r="T1952" i="1" s="1"/>
  <c r="R1952" i="1"/>
  <c r="N1952" i="1"/>
  <c r="A1952" i="1" a="1"/>
  <c r="A1952" i="1" s="1"/>
  <c r="AD1951" i="1"/>
  <c r="T1951" i="1"/>
  <c r="R1951" i="1"/>
  <c r="N1951" i="1"/>
  <c r="A1951" i="1" a="1"/>
  <c r="A1951" i="1" s="1"/>
  <c r="AD1950" i="1"/>
  <c r="T1950" i="1"/>
  <c r="R1950" i="1"/>
  <c r="N1950" i="1"/>
  <c r="A1950" i="1" a="1"/>
  <c r="A1950" i="1"/>
  <c r="AD1949" i="1"/>
  <c r="R1949" i="1"/>
  <c r="N1949" i="1"/>
  <c r="A1949" i="1" a="1"/>
  <c r="A1949" i="1"/>
  <c r="AG1949" i="1" s="1" a="1"/>
  <c r="AG1949" i="1" s="1"/>
  <c r="Y1949" i="1" s="1"/>
  <c r="AD1948" i="1"/>
  <c r="T1948" i="1"/>
  <c r="R1948" i="1"/>
  <c r="N1948" i="1"/>
  <c r="A1948" i="1" a="1"/>
  <c r="A1948" i="1" s="1"/>
  <c r="AD1947" i="1"/>
  <c r="T1947" i="1"/>
  <c r="R1947" i="1"/>
  <c r="N1947" i="1"/>
  <c r="A1947" i="1" a="1"/>
  <c r="A1947" i="1" s="1"/>
  <c r="AD1946" i="1"/>
  <c r="T1946" i="1"/>
  <c r="R1946" i="1"/>
  <c r="N1946" i="1"/>
  <c r="A1946" i="1" a="1"/>
  <c r="A1946" i="1"/>
  <c r="AG1946" i="1" s="1" a="1"/>
  <c r="AG1946" i="1" s="1"/>
  <c r="Y1946" i="1" s="1"/>
  <c r="AB1946" i="1" s="1"/>
  <c r="AD1945" i="1"/>
  <c r="R1945" i="1"/>
  <c r="N1945" i="1"/>
  <c r="A1945" i="1" a="1"/>
  <c r="A1945" i="1" s="1"/>
  <c r="AD1944" i="1"/>
  <c r="T1944" i="1" s="1"/>
  <c r="R1944" i="1"/>
  <c r="N1944" i="1"/>
  <c r="A1944" i="1" a="1"/>
  <c r="A1944" i="1" s="1"/>
  <c r="AD1943" i="1"/>
  <c r="T1943" i="1"/>
  <c r="R1943" i="1"/>
  <c r="N1943" i="1"/>
  <c r="A1943" i="1" a="1"/>
  <c r="A1943" i="1" s="1"/>
  <c r="AG1942" i="1"/>
  <c r="Y1942" i="1" s="1"/>
  <c r="AB1942" i="1" s="1"/>
  <c r="AD1942" i="1"/>
  <c r="T1942" i="1"/>
  <c r="R1942" i="1"/>
  <c r="N1942" i="1"/>
  <c r="A1942" i="1" a="1"/>
  <c r="A1942" i="1"/>
  <c r="AG1942" i="1" s="1" a="1"/>
  <c r="AD1941" i="1"/>
  <c r="R1941" i="1"/>
  <c r="N1941" i="1"/>
  <c r="A1941" i="1" a="1"/>
  <c r="A1941" i="1" s="1"/>
  <c r="AD1940" i="1"/>
  <c r="T1940" i="1" s="1"/>
  <c r="R1940" i="1"/>
  <c r="N1940" i="1"/>
  <c r="A1940" i="1" a="1"/>
  <c r="A1940" i="1" s="1"/>
  <c r="AD1939" i="1"/>
  <c r="R1939" i="1"/>
  <c r="T1939" i="1" s="1"/>
  <c r="N1939" i="1"/>
  <c r="A1939" i="1" a="1"/>
  <c r="A1939" i="1" s="1"/>
  <c r="AD1938" i="1"/>
  <c r="R1938" i="1"/>
  <c r="N1938" i="1"/>
  <c r="A1938" i="1" a="1"/>
  <c r="A1938" i="1" s="1"/>
  <c r="AD1937" i="1"/>
  <c r="R1937" i="1"/>
  <c r="N1937" i="1"/>
  <c r="A1937" i="1" a="1"/>
  <c r="A1937" i="1" s="1"/>
  <c r="AF1936" i="1" a="1"/>
  <c r="AF1936" i="1" s="1"/>
  <c r="X1936" i="1" s="1"/>
  <c r="AD1936" i="1"/>
  <c r="R1936" i="1"/>
  <c r="N1936" i="1"/>
  <c r="A1936" i="1" a="1"/>
  <c r="A1936" i="1"/>
  <c r="AG1936" i="1" s="1" a="1"/>
  <c r="AG1936" i="1" s="1"/>
  <c r="Y1936" i="1" s="1"/>
  <c r="AG1935" i="1" a="1"/>
  <c r="AG1935" i="1" s="1"/>
  <c r="Y1935" i="1" s="1"/>
  <c r="AD1935" i="1"/>
  <c r="R1935" i="1"/>
  <c r="N1935" i="1"/>
  <c r="A1935" i="1" a="1"/>
  <c r="A1935" i="1" s="1"/>
  <c r="AF1935" i="1" s="1" a="1"/>
  <c r="AF1935" i="1" s="1"/>
  <c r="X1935" i="1" s="1"/>
  <c r="AG1934" i="1"/>
  <c r="Y1934" i="1" s="1"/>
  <c r="AF1934" i="1" a="1"/>
  <c r="AF1934" i="1" s="1"/>
  <c r="X1934" i="1" s="1"/>
  <c r="AD1934" i="1"/>
  <c r="AB1934" i="1" s="1"/>
  <c r="T1934" i="1"/>
  <c r="R1934" i="1"/>
  <c r="N1934" i="1"/>
  <c r="A1934" i="1" a="1"/>
  <c r="A1934" i="1"/>
  <c r="AG1934" i="1" s="1" a="1"/>
  <c r="AG1933" i="1"/>
  <c r="AF1933" i="1" a="1"/>
  <c r="AF1933" i="1" s="1"/>
  <c r="X1933" i="1" s="1"/>
  <c r="AD1933" i="1"/>
  <c r="Y1933" i="1"/>
  <c r="R1933" i="1"/>
  <c r="N1933" i="1"/>
  <c r="A1933" i="1" a="1"/>
  <c r="A1933" i="1"/>
  <c r="AG1933" i="1" s="1" a="1"/>
  <c r="AG1932" i="1"/>
  <c r="AF1932" i="1" a="1"/>
  <c r="AF1932" i="1" s="1"/>
  <c r="X1932" i="1" s="1"/>
  <c r="AD1932" i="1"/>
  <c r="AB1932" i="1"/>
  <c r="Y1932" i="1"/>
  <c r="T1932" i="1"/>
  <c r="R1932" i="1"/>
  <c r="N1932" i="1"/>
  <c r="A1932" i="1" a="1"/>
  <c r="A1932" i="1"/>
  <c r="AG1932" i="1" s="1" a="1"/>
  <c r="AG1931" i="1" a="1"/>
  <c r="AG1931" i="1"/>
  <c r="Y1931" i="1" s="1"/>
  <c r="AB1931" i="1" s="1"/>
  <c r="AF1931" i="1" a="1"/>
  <c r="AF1931" i="1" s="1"/>
  <c r="X1931" i="1" s="1"/>
  <c r="AD1931" i="1"/>
  <c r="T1931" i="1"/>
  <c r="R1931" i="1"/>
  <c r="N1931" i="1"/>
  <c r="A1931" i="1" a="1"/>
  <c r="A1931" i="1"/>
  <c r="AG1930" i="1"/>
  <c r="Y1930" i="1" s="1"/>
  <c r="AF1930" i="1" a="1"/>
  <c r="AF1930" i="1" s="1"/>
  <c r="X1930" i="1" s="1"/>
  <c r="AD1930" i="1"/>
  <c r="R1930" i="1"/>
  <c r="N1930" i="1"/>
  <c r="A1930" i="1" a="1"/>
  <c r="A1930" i="1"/>
  <c r="AG1930" i="1" s="1" a="1"/>
  <c r="AG1929" i="1"/>
  <c r="AF1929" i="1" a="1"/>
  <c r="AF1929" i="1" s="1"/>
  <c r="X1929" i="1" s="1"/>
  <c r="AD1929" i="1"/>
  <c r="Y1929" i="1"/>
  <c r="R1929" i="1"/>
  <c r="N1929" i="1"/>
  <c r="A1929" i="1" a="1"/>
  <c r="A1929" i="1"/>
  <c r="AG1929" i="1" s="1" a="1"/>
  <c r="AG1928" i="1"/>
  <c r="AF1928" i="1" a="1"/>
  <c r="AF1928" i="1"/>
  <c r="X1928" i="1" s="1"/>
  <c r="AD1928" i="1"/>
  <c r="AB1928" i="1"/>
  <c r="Y1928" i="1"/>
  <c r="T1928" i="1"/>
  <c r="R1928" i="1"/>
  <c r="N1928" i="1"/>
  <c r="A1928" i="1" a="1"/>
  <c r="A1928" i="1"/>
  <c r="AG1928" i="1" s="1" a="1"/>
  <c r="AD1927" i="1"/>
  <c r="T1927" i="1"/>
  <c r="R1927" i="1"/>
  <c r="N1927" i="1"/>
  <c r="A1927" i="1" a="1"/>
  <c r="A1927" i="1" s="1"/>
  <c r="AD1926" i="1"/>
  <c r="R1926" i="1"/>
  <c r="N1926" i="1"/>
  <c r="A1926" i="1" a="1"/>
  <c r="A1926" i="1" s="1"/>
  <c r="AF1925" i="1" a="1"/>
  <c r="AF1925" i="1" s="1"/>
  <c r="X1925" i="1" s="1"/>
  <c r="AD1925" i="1"/>
  <c r="R1925" i="1"/>
  <c r="N1925" i="1"/>
  <c r="A1925" i="1" a="1"/>
  <c r="A1925" i="1"/>
  <c r="AG1925" i="1" s="1" a="1"/>
  <c r="AG1925" i="1" s="1"/>
  <c r="Y1925" i="1" s="1"/>
  <c r="AF1924" i="1" a="1"/>
  <c r="AF1924" i="1" s="1"/>
  <c r="X1924" i="1" s="1"/>
  <c r="AD1924" i="1"/>
  <c r="R1924" i="1"/>
  <c r="N1924" i="1"/>
  <c r="A1924" i="1" a="1"/>
  <c r="A1924" i="1"/>
  <c r="AG1924" i="1" s="1" a="1"/>
  <c r="AG1924" i="1" s="1"/>
  <c r="Y1924" i="1" s="1"/>
  <c r="AF1923" i="1" a="1"/>
  <c r="AF1923" i="1" s="1"/>
  <c r="X1923" i="1" s="1"/>
  <c r="AD1923" i="1"/>
  <c r="R1923" i="1"/>
  <c r="N1923" i="1"/>
  <c r="A1923" i="1" a="1"/>
  <c r="A1923" i="1"/>
  <c r="AG1923" i="1" s="1" a="1"/>
  <c r="AG1923" i="1" s="1"/>
  <c r="Y1923" i="1" s="1"/>
  <c r="AD1922" i="1"/>
  <c r="R1922" i="1"/>
  <c r="N1922" i="1"/>
  <c r="A1922" i="1" a="1"/>
  <c r="A1922" i="1" s="1"/>
  <c r="AD1921" i="1"/>
  <c r="R1921" i="1"/>
  <c r="N1921" i="1"/>
  <c r="A1921" i="1" a="1"/>
  <c r="A1921" i="1"/>
  <c r="AG1921" i="1" s="1" a="1"/>
  <c r="AG1921" i="1" s="1"/>
  <c r="Y1921" i="1" s="1"/>
  <c r="AD1920" i="1"/>
  <c r="R1920" i="1"/>
  <c r="T1920" i="1" s="1"/>
  <c r="N1920" i="1"/>
  <c r="A1920" i="1" a="1"/>
  <c r="A1920" i="1" s="1"/>
  <c r="AD1919" i="1"/>
  <c r="AB1919" i="1" s="1"/>
  <c r="T1919" i="1"/>
  <c r="R1919" i="1"/>
  <c r="N1919" i="1"/>
  <c r="A1919" i="1" a="1"/>
  <c r="A1919" i="1"/>
  <c r="AG1919" i="1" s="1" a="1"/>
  <c r="AG1919" i="1" s="1"/>
  <c r="Y1919" i="1" s="1"/>
  <c r="AD1918" i="1"/>
  <c r="T1918" i="1"/>
  <c r="R1918" i="1"/>
  <c r="N1918" i="1"/>
  <c r="A1918" i="1" a="1"/>
  <c r="A1918" i="1" s="1"/>
  <c r="AD1917" i="1"/>
  <c r="T1917" i="1"/>
  <c r="AB1917" i="1" s="1"/>
  <c r="R1917" i="1"/>
  <c r="N1917" i="1"/>
  <c r="A1917" i="1" a="1"/>
  <c r="A1917" i="1"/>
  <c r="AG1917" i="1" s="1" a="1"/>
  <c r="AG1917" i="1" s="1"/>
  <c r="Y1917" i="1" s="1"/>
  <c r="AD1916" i="1"/>
  <c r="R1916" i="1"/>
  <c r="N1916" i="1"/>
  <c r="A1916" i="1" a="1"/>
  <c r="A1916" i="1"/>
  <c r="AG1916" i="1" s="1" a="1"/>
  <c r="AG1916" i="1" s="1"/>
  <c r="Y1916" i="1" s="1"/>
  <c r="AD1915" i="1"/>
  <c r="R1915" i="1"/>
  <c r="T1915" i="1" s="1"/>
  <c r="N1915" i="1"/>
  <c r="A1915" i="1" a="1"/>
  <c r="A1915" i="1"/>
  <c r="AG1915" i="1" s="1" a="1"/>
  <c r="AG1915" i="1" s="1"/>
  <c r="Y1915" i="1" s="1"/>
  <c r="AD1914" i="1"/>
  <c r="R1914" i="1"/>
  <c r="N1914" i="1"/>
  <c r="A1914" i="1" a="1"/>
  <c r="A1914" i="1"/>
  <c r="AF1914" i="1" s="1" a="1"/>
  <c r="AF1914" i="1" s="1"/>
  <c r="X1914" i="1" s="1"/>
  <c r="AD1913" i="1"/>
  <c r="AB1913" i="1" s="1"/>
  <c r="T1913" i="1"/>
  <c r="R1913" i="1"/>
  <c r="N1913" i="1"/>
  <c r="A1913" i="1" a="1"/>
  <c r="A1913" i="1"/>
  <c r="AG1913" i="1" s="1" a="1"/>
  <c r="AG1913" i="1" s="1"/>
  <c r="Y1913" i="1" s="1"/>
  <c r="AD1912" i="1"/>
  <c r="T1912" i="1"/>
  <c r="R1912" i="1"/>
  <c r="N1912" i="1"/>
  <c r="A1912" i="1" a="1"/>
  <c r="A1912" i="1" s="1"/>
  <c r="AD1911" i="1"/>
  <c r="T1911" i="1" s="1"/>
  <c r="R1911" i="1"/>
  <c r="N1911" i="1"/>
  <c r="A1911" i="1" a="1"/>
  <c r="A1911" i="1" s="1"/>
  <c r="AD1910" i="1"/>
  <c r="R1910" i="1"/>
  <c r="N1910" i="1"/>
  <c r="A1910" i="1" a="1"/>
  <c r="A1910" i="1"/>
  <c r="AG1910" i="1" s="1" a="1"/>
  <c r="AG1910" i="1" s="1"/>
  <c r="Y1910" i="1" s="1"/>
  <c r="AD1909" i="1"/>
  <c r="R1909" i="1"/>
  <c r="T1909" i="1" s="1"/>
  <c r="N1909" i="1"/>
  <c r="A1909" i="1" a="1"/>
  <c r="A1909" i="1" s="1"/>
  <c r="AD1908" i="1"/>
  <c r="T1908" i="1"/>
  <c r="R1908" i="1"/>
  <c r="N1908" i="1"/>
  <c r="A1908" i="1" a="1"/>
  <c r="A1908" i="1" s="1"/>
  <c r="AD1907" i="1"/>
  <c r="T1907" i="1" s="1"/>
  <c r="R1907" i="1"/>
  <c r="N1907" i="1"/>
  <c r="A1907" i="1" a="1"/>
  <c r="A1907" i="1" s="1"/>
  <c r="AD1906" i="1"/>
  <c r="R1906" i="1"/>
  <c r="N1906" i="1"/>
  <c r="A1906" i="1" a="1"/>
  <c r="A1906" i="1"/>
  <c r="AG1906" i="1" s="1" a="1"/>
  <c r="AG1906" i="1" s="1"/>
  <c r="Y1906" i="1" s="1"/>
  <c r="AD1905" i="1"/>
  <c r="R1905" i="1"/>
  <c r="T1905" i="1" s="1"/>
  <c r="N1905" i="1"/>
  <c r="A1905" i="1" a="1"/>
  <c r="A1905" i="1" s="1"/>
  <c r="AD1904" i="1"/>
  <c r="T1904" i="1"/>
  <c r="R1904" i="1"/>
  <c r="N1904" i="1"/>
  <c r="A1904" i="1" a="1"/>
  <c r="A1904" i="1" s="1"/>
  <c r="AD1903" i="1"/>
  <c r="T1903" i="1" s="1"/>
  <c r="R1903" i="1"/>
  <c r="N1903" i="1"/>
  <c r="A1903" i="1" a="1"/>
  <c r="A1903" i="1" s="1"/>
  <c r="AD1902" i="1"/>
  <c r="R1902" i="1"/>
  <c r="N1902" i="1"/>
  <c r="A1902" i="1" a="1"/>
  <c r="A1902" i="1" s="1"/>
  <c r="AD1901" i="1"/>
  <c r="R1901" i="1"/>
  <c r="T1901" i="1" s="1"/>
  <c r="N1901" i="1"/>
  <c r="A1901" i="1" a="1"/>
  <c r="A1901" i="1" s="1"/>
  <c r="AD1900" i="1"/>
  <c r="T1900" i="1"/>
  <c r="R1900" i="1"/>
  <c r="N1900" i="1"/>
  <c r="A1900" i="1" a="1"/>
  <c r="A1900" i="1" s="1"/>
  <c r="AD1899" i="1"/>
  <c r="T1899" i="1" s="1"/>
  <c r="R1899" i="1"/>
  <c r="N1899" i="1"/>
  <c r="A1899" i="1" a="1"/>
  <c r="A1899" i="1" s="1"/>
  <c r="AD1898" i="1"/>
  <c r="R1898" i="1"/>
  <c r="N1898" i="1"/>
  <c r="A1898" i="1" a="1"/>
  <c r="A1898" i="1" s="1"/>
  <c r="AD1897" i="1"/>
  <c r="T1897" i="1"/>
  <c r="R1897" i="1"/>
  <c r="N1897" i="1"/>
  <c r="A1897" i="1" a="1"/>
  <c r="A1897" i="1" s="1"/>
  <c r="AD1896" i="1"/>
  <c r="T1896" i="1"/>
  <c r="R1896" i="1"/>
  <c r="N1896" i="1"/>
  <c r="A1896" i="1" a="1"/>
  <c r="A1896" i="1" s="1"/>
  <c r="AD1895" i="1"/>
  <c r="T1895" i="1" s="1"/>
  <c r="R1895" i="1"/>
  <c r="N1895" i="1"/>
  <c r="A1895" i="1" a="1"/>
  <c r="A1895" i="1" s="1"/>
  <c r="AD1894" i="1"/>
  <c r="R1894" i="1"/>
  <c r="N1894" i="1"/>
  <c r="A1894" i="1" a="1"/>
  <c r="A1894" i="1" s="1"/>
  <c r="AD1893" i="1"/>
  <c r="T1893" i="1"/>
  <c r="R1893" i="1"/>
  <c r="N1893" i="1"/>
  <c r="A1893" i="1" a="1"/>
  <c r="A1893" i="1" s="1"/>
  <c r="AD1892" i="1"/>
  <c r="T1892" i="1"/>
  <c r="R1892" i="1"/>
  <c r="N1892" i="1"/>
  <c r="A1892" i="1" a="1"/>
  <c r="A1892" i="1" s="1"/>
  <c r="AD1891" i="1"/>
  <c r="T1891" i="1" s="1"/>
  <c r="R1891" i="1"/>
  <c r="N1891" i="1"/>
  <c r="A1891" i="1" a="1"/>
  <c r="A1891" i="1" s="1"/>
  <c r="AD1890" i="1"/>
  <c r="R1890" i="1"/>
  <c r="N1890" i="1"/>
  <c r="A1890" i="1" a="1"/>
  <c r="A1890" i="1" s="1"/>
  <c r="AD1889" i="1"/>
  <c r="T1889" i="1"/>
  <c r="R1889" i="1"/>
  <c r="N1889" i="1"/>
  <c r="A1889" i="1" a="1"/>
  <c r="A1889" i="1" s="1"/>
  <c r="AD1888" i="1"/>
  <c r="T1888" i="1"/>
  <c r="R1888" i="1"/>
  <c r="N1888" i="1"/>
  <c r="A1888" i="1" a="1"/>
  <c r="A1888" i="1" s="1"/>
  <c r="AD1887" i="1"/>
  <c r="T1887" i="1" s="1"/>
  <c r="R1887" i="1"/>
  <c r="N1887" i="1"/>
  <c r="A1887" i="1" a="1"/>
  <c r="A1887" i="1" s="1"/>
  <c r="AD1886" i="1"/>
  <c r="R1886" i="1"/>
  <c r="N1886" i="1"/>
  <c r="A1886" i="1" a="1"/>
  <c r="A1886" i="1" s="1"/>
  <c r="AD1885" i="1"/>
  <c r="T1885" i="1"/>
  <c r="R1885" i="1"/>
  <c r="N1885" i="1"/>
  <c r="A1885" i="1" a="1"/>
  <c r="A1885" i="1" s="1"/>
  <c r="AD1884" i="1"/>
  <c r="T1884" i="1"/>
  <c r="R1884" i="1"/>
  <c r="N1884" i="1"/>
  <c r="A1884" i="1" a="1"/>
  <c r="A1884" i="1" s="1"/>
  <c r="AD1883" i="1"/>
  <c r="T1883" i="1" s="1"/>
  <c r="R1883" i="1"/>
  <c r="N1883" i="1"/>
  <c r="A1883" i="1" a="1"/>
  <c r="A1883" i="1" s="1"/>
  <c r="AD1882" i="1"/>
  <c r="R1882" i="1"/>
  <c r="N1882" i="1"/>
  <c r="A1882" i="1" a="1"/>
  <c r="A1882" i="1" s="1"/>
  <c r="AD1881" i="1"/>
  <c r="T1881" i="1"/>
  <c r="R1881" i="1"/>
  <c r="N1881" i="1"/>
  <c r="A1881" i="1" a="1"/>
  <c r="A1881" i="1" s="1"/>
  <c r="AD1880" i="1"/>
  <c r="T1880" i="1"/>
  <c r="R1880" i="1"/>
  <c r="N1880" i="1"/>
  <c r="A1880" i="1" a="1"/>
  <c r="A1880" i="1" s="1"/>
  <c r="AD1879" i="1"/>
  <c r="T1879" i="1" s="1"/>
  <c r="R1879" i="1"/>
  <c r="N1879" i="1"/>
  <c r="A1879" i="1" a="1"/>
  <c r="A1879" i="1" s="1"/>
  <c r="AD1878" i="1"/>
  <c r="R1878" i="1"/>
  <c r="N1878" i="1"/>
  <c r="A1878" i="1" a="1"/>
  <c r="A1878" i="1" s="1"/>
  <c r="AD1877" i="1"/>
  <c r="T1877" i="1"/>
  <c r="R1877" i="1"/>
  <c r="N1877" i="1"/>
  <c r="A1877" i="1" a="1"/>
  <c r="A1877" i="1" s="1"/>
  <c r="AD1876" i="1"/>
  <c r="T1876" i="1"/>
  <c r="R1876" i="1"/>
  <c r="N1876" i="1"/>
  <c r="A1876" i="1" a="1"/>
  <c r="A1876" i="1" s="1"/>
  <c r="AD1875" i="1"/>
  <c r="T1875" i="1" s="1"/>
  <c r="R1875" i="1"/>
  <c r="N1875" i="1"/>
  <c r="A1875" i="1" a="1"/>
  <c r="A1875" i="1" s="1"/>
  <c r="AD1874" i="1"/>
  <c r="R1874" i="1"/>
  <c r="N1874" i="1"/>
  <c r="A1874" i="1" a="1"/>
  <c r="A1874" i="1" s="1"/>
  <c r="AD1873" i="1"/>
  <c r="T1873" i="1"/>
  <c r="R1873" i="1"/>
  <c r="N1873" i="1"/>
  <c r="A1873" i="1" a="1"/>
  <c r="A1873" i="1" s="1"/>
  <c r="AD1872" i="1"/>
  <c r="T1872" i="1"/>
  <c r="R1872" i="1"/>
  <c r="N1872" i="1"/>
  <c r="A1872" i="1" a="1"/>
  <c r="A1872" i="1" s="1"/>
  <c r="AD1871" i="1"/>
  <c r="R1871" i="1"/>
  <c r="N1871" i="1"/>
  <c r="A1871" i="1" a="1"/>
  <c r="A1871" i="1" s="1"/>
  <c r="AD1870" i="1"/>
  <c r="R1870" i="1"/>
  <c r="N1870" i="1"/>
  <c r="A1870" i="1" a="1"/>
  <c r="A1870" i="1" s="1"/>
  <c r="AD1869" i="1"/>
  <c r="T1869" i="1"/>
  <c r="R1869" i="1"/>
  <c r="N1869" i="1"/>
  <c r="A1869" i="1" a="1"/>
  <c r="A1869" i="1" s="1"/>
  <c r="AD1868" i="1"/>
  <c r="T1868" i="1"/>
  <c r="R1868" i="1"/>
  <c r="N1868" i="1"/>
  <c r="A1868" i="1" a="1"/>
  <c r="A1868" i="1" s="1"/>
  <c r="AD1867" i="1"/>
  <c r="R1867" i="1"/>
  <c r="N1867" i="1"/>
  <c r="A1867" i="1" a="1"/>
  <c r="A1867" i="1" s="1"/>
  <c r="AD1866" i="1"/>
  <c r="R1866" i="1"/>
  <c r="N1866" i="1"/>
  <c r="A1866" i="1" a="1"/>
  <c r="A1866" i="1" s="1"/>
  <c r="AD1865" i="1"/>
  <c r="T1865" i="1"/>
  <c r="R1865" i="1"/>
  <c r="N1865" i="1"/>
  <c r="A1865" i="1" a="1"/>
  <c r="A1865" i="1" s="1"/>
  <c r="AD1864" i="1"/>
  <c r="T1864" i="1"/>
  <c r="R1864" i="1"/>
  <c r="N1864" i="1"/>
  <c r="A1864" i="1" a="1"/>
  <c r="A1864" i="1" s="1"/>
  <c r="AD1863" i="1"/>
  <c r="R1863" i="1"/>
  <c r="N1863" i="1"/>
  <c r="A1863" i="1" a="1"/>
  <c r="A1863" i="1" s="1"/>
  <c r="AD1862" i="1"/>
  <c r="R1862" i="1"/>
  <c r="N1862" i="1"/>
  <c r="A1862" i="1" a="1"/>
  <c r="A1862" i="1" s="1"/>
  <c r="AD1861" i="1"/>
  <c r="T1861" i="1"/>
  <c r="R1861" i="1"/>
  <c r="N1861" i="1"/>
  <c r="A1861" i="1" a="1"/>
  <c r="A1861" i="1" s="1"/>
  <c r="AD1860" i="1"/>
  <c r="T1860" i="1"/>
  <c r="R1860" i="1"/>
  <c r="N1860" i="1"/>
  <c r="A1860" i="1" a="1"/>
  <c r="A1860" i="1" s="1"/>
  <c r="AD1859" i="1"/>
  <c r="R1859" i="1"/>
  <c r="N1859" i="1"/>
  <c r="A1859" i="1" a="1"/>
  <c r="A1859" i="1" s="1"/>
  <c r="AD1858" i="1"/>
  <c r="R1858" i="1"/>
  <c r="N1858" i="1"/>
  <c r="A1858" i="1" a="1"/>
  <c r="A1858" i="1" s="1"/>
  <c r="AD1857" i="1"/>
  <c r="T1857" i="1"/>
  <c r="R1857" i="1"/>
  <c r="N1857" i="1"/>
  <c r="A1857" i="1" a="1"/>
  <c r="A1857" i="1" s="1"/>
  <c r="AD1856" i="1"/>
  <c r="T1856" i="1"/>
  <c r="R1856" i="1"/>
  <c r="N1856" i="1"/>
  <c r="A1856" i="1" a="1"/>
  <c r="A1856" i="1" s="1"/>
  <c r="AD1855" i="1"/>
  <c r="T1855" i="1"/>
  <c r="R1855" i="1"/>
  <c r="N1855" i="1"/>
  <c r="A1855" i="1" a="1"/>
  <c r="A1855" i="1" s="1"/>
  <c r="AD1854" i="1"/>
  <c r="R1854" i="1"/>
  <c r="N1854" i="1"/>
  <c r="A1854" i="1" a="1"/>
  <c r="A1854" i="1" s="1"/>
  <c r="AD1853" i="1"/>
  <c r="T1853" i="1" s="1"/>
  <c r="R1853" i="1"/>
  <c r="N1853" i="1"/>
  <c r="A1853" i="1" a="1"/>
  <c r="A1853" i="1" s="1"/>
  <c r="AD1852" i="1"/>
  <c r="T1852" i="1"/>
  <c r="R1852" i="1"/>
  <c r="N1852" i="1"/>
  <c r="A1852" i="1" a="1"/>
  <c r="A1852" i="1" s="1"/>
  <c r="AD1851" i="1"/>
  <c r="R1851" i="1"/>
  <c r="N1851" i="1"/>
  <c r="A1851" i="1" a="1"/>
  <c r="A1851" i="1" s="1"/>
  <c r="AD1850" i="1"/>
  <c r="R1850" i="1"/>
  <c r="N1850" i="1"/>
  <c r="A1850" i="1" a="1"/>
  <c r="A1850" i="1" s="1"/>
  <c r="AD1849" i="1"/>
  <c r="T1849" i="1" s="1"/>
  <c r="R1849" i="1"/>
  <c r="N1849" i="1"/>
  <c r="A1849" i="1" a="1"/>
  <c r="A1849" i="1" s="1"/>
  <c r="AD1848" i="1"/>
  <c r="T1848" i="1"/>
  <c r="R1848" i="1"/>
  <c r="N1848" i="1"/>
  <c r="A1848" i="1" a="1"/>
  <c r="A1848" i="1" s="1"/>
  <c r="AD1847" i="1"/>
  <c r="R1847" i="1"/>
  <c r="N1847" i="1"/>
  <c r="A1847" i="1" a="1"/>
  <c r="A1847" i="1" s="1"/>
  <c r="AD1846" i="1"/>
  <c r="R1846" i="1"/>
  <c r="N1846" i="1"/>
  <c r="A1846" i="1" a="1"/>
  <c r="A1846" i="1" s="1"/>
  <c r="AD1845" i="1"/>
  <c r="T1845" i="1"/>
  <c r="R1845" i="1"/>
  <c r="N1845" i="1"/>
  <c r="A1845" i="1" a="1"/>
  <c r="A1845" i="1" s="1"/>
  <c r="AD1844" i="1"/>
  <c r="T1844" i="1"/>
  <c r="R1844" i="1"/>
  <c r="N1844" i="1"/>
  <c r="A1844" i="1" a="1"/>
  <c r="A1844" i="1" s="1"/>
  <c r="AD1843" i="1"/>
  <c r="R1843" i="1"/>
  <c r="N1843" i="1"/>
  <c r="A1843" i="1" a="1"/>
  <c r="A1843" i="1" s="1"/>
  <c r="AD1842" i="1"/>
  <c r="R1842" i="1"/>
  <c r="N1842" i="1"/>
  <c r="A1842" i="1" a="1"/>
  <c r="A1842" i="1" s="1"/>
  <c r="AD1841" i="1"/>
  <c r="T1841" i="1" s="1"/>
  <c r="R1841" i="1"/>
  <c r="N1841" i="1"/>
  <c r="A1841" i="1" a="1"/>
  <c r="A1841" i="1" s="1"/>
  <c r="AD1840" i="1"/>
  <c r="T1840" i="1"/>
  <c r="R1840" i="1"/>
  <c r="N1840" i="1"/>
  <c r="A1840" i="1" a="1"/>
  <c r="A1840" i="1" s="1"/>
  <c r="AD1839" i="1"/>
  <c r="T1839" i="1"/>
  <c r="R1839" i="1"/>
  <c r="N1839" i="1"/>
  <c r="A1839" i="1" a="1"/>
  <c r="A1839" i="1" s="1"/>
  <c r="AD1838" i="1"/>
  <c r="R1838" i="1"/>
  <c r="N1838" i="1"/>
  <c r="A1838" i="1" a="1"/>
  <c r="A1838" i="1" s="1"/>
  <c r="AD1837" i="1"/>
  <c r="R1837" i="1"/>
  <c r="N1837" i="1"/>
  <c r="A1837" i="1" a="1"/>
  <c r="A1837" i="1" s="1"/>
  <c r="AD1836" i="1"/>
  <c r="T1836" i="1"/>
  <c r="R1836" i="1"/>
  <c r="N1836" i="1"/>
  <c r="A1836" i="1" a="1"/>
  <c r="A1836" i="1" s="1"/>
  <c r="AD1835" i="1"/>
  <c r="R1835" i="1"/>
  <c r="N1835" i="1"/>
  <c r="A1835" i="1" a="1"/>
  <c r="A1835" i="1" s="1"/>
  <c r="AD1834" i="1"/>
  <c r="R1834" i="1"/>
  <c r="N1834" i="1"/>
  <c r="A1834" i="1" a="1"/>
  <c r="A1834" i="1" s="1"/>
  <c r="AD1833" i="1"/>
  <c r="T1833" i="1"/>
  <c r="R1833" i="1"/>
  <c r="N1833" i="1"/>
  <c r="A1833" i="1" a="1"/>
  <c r="A1833" i="1" s="1"/>
  <c r="AD1832" i="1"/>
  <c r="T1832" i="1"/>
  <c r="R1832" i="1"/>
  <c r="N1832" i="1"/>
  <c r="A1832" i="1" a="1"/>
  <c r="A1832" i="1" s="1"/>
  <c r="AD1831" i="1"/>
  <c r="R1831" i="1"/>
  <c r="N1831" i="1"/>
  <c r="A1831" i="1" a="1"/>
  <c r="A1831" i="1" s="1"/>
  <c r="AD1830" i="1"/>
  <c r="R1830" i="1"/>
  <c r="N1830" i="1"/>
  <c r="A1830" i="1" a="1"/>
  <c r="A1830" i="1" s="1"/>
  <c r="AD1829" i="1"/>
  <c r="T1829" i="1" s="1"/>
  <c r="R1829" i="1"/>
  <c r="N1829" i="1"/>
  <c r="A1829" i="1" a="1"/>
  <c r="A1829" i="1" s="1"/>
  <c r="AD1828" i="1"/>
  <c r="R1828" i="1"/>
  <c r="N1828" i="1"/>
  <c r="A1828" i="1" a="1"/>
  <c r="A1828" i="1" s="1"/>
  <c r="AD1827" i="1"/>
  <c r="T1827" i="1"/>
  <c r="R1827" i="1"/>
  <c r="N1827" i="1"/>
  <c r="A1827" i="1" a="1"/>
  <c r="A1827" i="1" s="1"/>
  <c r="AD1826" i="1"/>
  <c r="R1826" i="1"/>
  <c r="N1826" i="1"/>
  <c r="A1826" i="1" a="1"/>
  <c r="A1826" i="1"/>
  <c r="AG1826" i="1" s="1" a="1"/>
  <c r="AG1826" i="1" s="1"/>
  <c r="Y1826" i="1" s="1"/>
  <c r="AD1825" i="1"/>
  <c r="R1825" i="1"/>
  <c r="N1825" i="1"/>
  <c r="A1825" i="1" a="1"/>
  <c r="A1825" i="1" s="1"/>
  <c r="AD1824" i="1"/>
  <c r="T1824" i="1"/>
  <c r="R1824" i="1"/>
  <c r="N1824" i="1"/>
  <c r="A1824" i="1" a="1"/>
  <c r="A1824" i="1" s="1"/>
  <c r="AD1823" i="1"/>
  <c r="R1823" i="1"/>
  <c r="N1823" i="1"/>
  <c r="A1823" i="1" a="1"/>
  <c r="A1823" i="1" s="1"/>
  <c r="AG1822" i="1"/>
  <c r="Y1822" i="1" s="1"/>
  <c r="AF1822" i="1" a="1"/>
  <c r="AF1822" i="1" s="1"/>
  <c r="X1822" i="1" s="1"/>
  <c r="AD1822" i="1"/>
  <c r="R1822" i="1"/>
  <c r="N1822" i="1"/>
  <c r="A1822" i="1" a="1"/>
  <c r="A1822" i="1"/>
  <c r="AG1822" i="1" s="1" a="1"/>
  <c r="AD1821" i="1"/>
  <c r="T1821" i="1"/>
  <c r="R1821" i="1"/>
  <c r="N1821" i="1"/>
  <c r="A1821" i="1" a="1"/>
  <c r="A1821" i="1" s="1"/>
  <c r="AD1820" i="1"/>
  <c r="R1820" i="1"/>
  <c r="N1820" i="1"/>
  <c r="A1820" i="1" a="1"/>
  <c r="A1820" i="1" s="1"/>
  <c r="AD1819" i="1"/>
  <c r="R1819" i="1"/>
  <c r="N1819" i="1"/>
  <c r="A1819" i="1" a="1"/>
  <c r="A1819" i="1" s="1"/>
  <c r="AD1818" i="1"/>
  <c r="T1818" i="1"/>
  <c r="R1818" i="1"/>
  <c r="N1818" i="1"/>
  <c r="A1818" i="1" a="1"/>
  <c r="A1818" i="1" s="1"/>
  <c r="AD1817" i="1"/>
  <c r="R1817" i="1"/>
  <c r="N1817" i="1"/>
  <c r="A1817" i="1" a="1"/>
  <c r="A1817" i="1" s="1"/>
  <c r="AD1816" i="1"/>
  <c r="R1816" i="1"/>
  <c r="N1816" i="1"/>
  <c r="A1816" i="1" a="1"/>
  <c r="A1816" i="1" s="1"/>
  <c r="AD1815" i="1"/>
  <c r="R1815" i="1"/>
  <c r="N1815" i="1"/>
  <c r="A1815" i="1" a="1"/>
  <c r="A1815" i="1" s="1"/>
  <c r="AD1814" i="1"/>
  <c r="R1814" i="1"/>
  <c r="N1814" i="1"/>
  <c r="A1814" i="1" a="1"/>
  <c r="A1814" i="1"/>
  <c r="AG1814" i="1" s="1" a="1"/>
  <c r="AG1814" i="1" s="1"/>
  <c r="Y1814" i="1" s="1"/>
  <c r="AD1813" i="1"/>
  <c r="R1813" i="1"/>
  <c r="N1813" i="1"/>
  <c r="A1813" i="1" a="1"/>
  <c r="A1813" i="1" s="1"/>
  <c r="AD1812" i="1"/>
  <c r="R1812" i="1"/>
  <c r="N1812" i="1"/>
  <c r="A1812" i="1" a="1"/>
  <c r="A1812" i="1" s="1"/>
  <c r="AD1811" i="1"/>
  <c r="R1811" i="1"/>
  <c r="N1811" i="1"/>
  <c r="A1811" i="1" a="1"/>
  <c r="A1811" i="1" s="1"/>
  <c r="AD1810" i="1"/>
  <c r="R1810" i="1"/>
  <c r="N1810" i="1"/>
  <c r="A1810" i="1" a="1"/>
  <c r="A1810" i="1" s="1"/>
  <c r="AD1809" i="1"/>
  <c r="R1809" i="1"/>
  <c r="T1809" i="1" s="1"/>
  <c r="N1809" i="1"/>
  <c r="A1809" i="1" a="1"/>
  <c r="A1809" i="1" s="1"/>
  <c r="AD1808" i="1"/>
  <c r="R1808" i="1"/>
  <c r="N1808" i="1"/>
  <c r="A1808" i="1" a="1"/>
  <c r="A1808" i="1" s="1"/>
  <c r="AD1807" i="1"/>
  <c r="R1807" i="1"/>
  <c r="N1807" i="1"/>
  <c r="A1807" i="1" a="1"/>
  <c r="A1807" i="1" s="1"/>
  <c r="AD1806" i="1"/>
  <c r="T1806" i="1"/>
  <c r="R1806" i="1"/>
  <c r="N1806" i="1"/>
  <c r="A1806" i="1" a="1"/>
  <c r="A1806" i="1" s="1"/>
  <c r="AD1805" i="1"/>
  <c r="R1805" i="1"/>
  <c r="N1805" i="1"/>
  <c r="A1805" i="1" a="1"/>
  <c r="A1805" i="1" s="1"/>
  <c r="AD1804" i="1"/>
  <c r="R1804" i="1"/>
  <c r="N1804" i="1"/>
  <c r="A1804" i="1" a="1"/>
  <c r="A1804" i="1" s="1"/>
  <c r="AD1803" i="1"/>
  <c r="R1803" i="1"/>
  <c r="N1803" i="1"/>
  <c r="A1803" i="1" a="1"/>
  <c r="A1803" i="1" s="1"/>
  <c r="AD1802" i="1"/>
  <c r="R1802" i="1"/>
  <c r="N1802" i="1"/>
  <c r="A1802" i="1" a="1"/>
  <c r="A1802" i="1"/>
  <c r="AG1802" i="1" s="1" a="1"/>
  <c r="AG1802" i="1" s="1"/>
  <c r="Y1802" i="1" s="1"/>
  <c r="AD1801" i="1"/>
  <c r="R1801" i="1"/>
  <c r="N1801" i="1"/>
  <c r="A1801" i="1" a="1"/>
  <c r="A1801" i="1" s="1"/>
  <c r="AD1800" i="1"/>
  <c r="R1800" i="1"/>
  <c r="N1800" i="1"/>
  <c r="A1800" i="1" a="1"/>
  <c r="A1800" i="1" s="1"/>
  <c r="AD1799" i="1"/>
  <c r="R1799" i="1"/>
  <c r="N1799" i="1"/>
  <c r="A1799" i="1" a="1"/>
  <c r="A1799" i="1" s="1"/>
  <c r="AD1798" i="1"/>
  <c r="R1798" i="1"/>
  <c r="N1798" i="1"/>
  <c r="A1798" i="1" a="1"/>
  <c r="A1798" i="1" s="1"/>
  <c r="AD1797" i="1"/>
  <c r="R1797" i="1"/>
  <c r="T1797" i="1" s="1"/>
  <c r="N1797" i="1"/>
  <c r="A1797" i="1" a="1"/>
  <c r="A1797" i="1" s="1"/>
  <c r="AD1796" i="1"/>
  <c r="R1796" i="1"/>
  <c r="N1796" i="1"/>
  <c r="A1796" i="1" a="1"/>
  <c r="A1796" i="1" s="1"/>
  <c r="AD1795" i="1"/>
  <c r="R1795" i="1"/>
  <c r="N1795" i="1"/>
  <c r="A1795" i="1" a="1"/>
  <c r="A1795" i="1" s="1"/>
  <c r="AD1794" i="1"/>
  <c r="T1794" i="1"/>
  <c r="R1794" i="1"/>
  <c r="N1794" i="1"/>
  <c r="A1794" i="1" a="1"/>
  <c r="A1794" i="1" s="1"/>
  <c r="AD1793" i="1"/>
  <c r="R1793" i="1"/>
  <c r="N1793" i="1"/>
  <c r="A1793" i="1" a="1"/>
  <c r="A1793" i="1" s="1"/>
  <c r="AD1792" i="1"/>
  <c r="R1792" i="1"/>
  <c r="N1792" i="1"/>
  <c r="A1792" i="1" a="1"/>
  <c r="A1792" i="1" s="1"/>
  <c r="AD1791" i="1"/>
  <c r="R1791" i="1"/>
  <c r="N1791" i="1"/>
  <c r="A1791" i="1" a="1"/>
  <c r="A1791" i="1" s="1"/>
  <c r="AD1790" i="1"/>
  <c r="R1790" i="1"/>
  <c r="N1790" i="1"/>
  <c r="A1790" i="1" a="1"/>
  <c r="A1790" i="1"/>
  <c r="AG1790" i="1" s="1" a="1"/>
  <c r="AG1790" i="1" s="1"/>
  <c r="Y1790" i="1" s="1"/>
  <c r="AD1789" i="1"/>
  <c r="T1789" i="1"/>
  <c r="R1789" i="1"/>
  <c r="N1789" i="1"/>
  <c r="A1789" i="1" a="1"/>
  <c r="A1789" i="1" s="1"/>
  <c r="AD1788" i="1"/>
  <c r="T1788" i="1" s="1"/>
  <c r="R1788" i="1"/>
  <c r="N1788" i="1"/>
  <c r="A1788" i="1" a="1"/>
  <c r="A1788" i="1" s="1"/>
  <c r="AD1787" i="1"/>
  <c r="R1787" i="1"/>
  <c r="N1787" i="1"/>
  <c r="A1787" i="1" a="1"/>
  <c r="A1787" i="1" s="1"/>
  <c r="AD1786" i="1"/>
  <c r="R1786" i="1"/>
  <c r="N1786" i="1"/>
  <c r="A1786" i="1" a="1"/>
  <c r="A1786" i="1"/>
  <c r="AG1786" i="1" s="1" a="1"/>
  <c r="AG1786" i="1" s="1"/>
  <c r="Y1786" i="1" s="1"/>
  <c r="AD1785" i="1"/>
  <c r="T1785" i="1"/>
  <c r="R1785" i="1"/>
  <c r="N1785" i="1"/>
  <c r="A1785" i="1" a="1"/>
  <c r="A1785" i="1" s="1"/>
  <c r="AD1784" i="1"/>
  <c r="T1784" i="1" s="1"/>
  <c r="R1784" i="1"/>
  <c r="N1784" i="1"/>
  <c r="A1784" i="1" a="1"/>
  <c r="A1784" i="1" s="1"/>
  <c r="AD1783" i="1"/>
  <c r="R1783" i="1"/>
  <c r="N1783" i="1"/>
  <c r="A1783" i="1" a="1"/>
  <c r="A1783" i="1" s="1"/>
  <c r="AD1782" i="1"/>
  <c r="R1782" i="1"/>
  <c r="N1782" i="1"/>
  <c r="A1782" i="1" a="1"/>
  <c r="A1782" i="1" s="1"/>
  <c r="AD1781" i="1"/>
  <c r="T1781" i="1"/>
  <c r="R1781" i="1"/>
  <c r="N1781" i="1"/>
  <c r="A1781" i="1" a="1"/>
  <c r="A1781" i="1"/>
  <c r="AD1780" i="1"/>
  <c r="AB1780" i="1"/>
  <c r="T1780" i="1"/>
  <c r="R1780" i="1"/>
  <c r="N1780" i="1"/>
  <c r="A1780" i="1" a="1"/>
  <c r="A1780" i="1"/>
  <c r="AG1780" i="1" s="1" a="1"/>
  <c r="AG1780" i="1" s="1"/>
  <c r="Y1780" i="1" s="1"/>
  <c r="AD1779" i="1"/>
  <c r="T1779" i="1"/>
  <c r="R1779" i="1"/>
  <c r="N1779" i="1"/>
  <c r="A1779" i="1" a="1"/>
  <c r="A1779" i="1"/>
  <c r="AG1779" i="1" s="1" a="1"/>
  <c r="AG1779" i="1" s="1"/>
  <c r="Y1779" i="1" s="1"/>
  <c r="AD1778" i="1"/>
  <c r="R1778" i="1"/>
  <c r="N1778" i="1"/>
  <c r="A1778" i="1" a="1"/>
  <c r="A1778" i="1"/>
  <c r="AG1778" i="1" s="1" a="1"/>
  <c r="AG1778" i="1" s="1"/>
  <c r="Y1778" i="1" s="1"/>
  <c r="AD1777" i="1"/>
  <c r="R1777" i="1"/>
  <c r="T1777" i="1" s="1"/>
  <c r="N1777" i="1"/>
  <c r="A1777" i="1" a="1"/>
  <c r="A1777" i="1"/>
  <c r="AG1777" i="1" s="1" a="1"/>
  <c r="AG1777" i="1" s="1"/>
  <c r="Y1777" i="1" s="1"/>
  <c r="AD1776" i="1"/>
  <c r="R1776" i="1"/>
  <c r="T1776" i="1" s="1"/>
  <c r="N1776" i="1"/>
  <c r="A1776" i="1" a="1"/>
  <c r="A1776" i="1"/>
  <c r="AG1776" i="1" s="1" a="1"/>
  <c r="AG1776" i="1" s="1"/>
  <c r="Y1776" i="1" s="1"/>
  <c r="AD1775" i="1"/>
  <c r="T1775" i="1" s="1"/>
  <c r="R1775" i="1"/>
  <c r="N1775" i="1"/>
  <c r="A1775" i="1" a="1"/>
  <c r="A1775" i="1"/>
  <c r="AG1775" i="1" s="1" a="1"/>
  <c r="AG1775" i="1" s="1"/>
  <c r="Y1775" i="1" s="1"/>
  <c r="AD1774" i="1"/>
  <c r="R1774" i="1"/>
  <c r="N1774" i="1"/>
  <c r="A1774" i="1" a="1"/>
  <c r="A1774" i="1" s="1"/>
  <c r="AG1773" i="1"/>
  <c r="Y1773" i="1" s="1"/>
  <c r="AB1773" i="1" s="1"/>
  <c r="AF1773" i="1" a="1"/>
  <c r="AF1773" i="1" s="1"/>
  <c r="X1773" i="1" s="1"/>
  <c r="AD1773" i="1"/>
  <c r="T1773" i="1"/>
  <c r="R1773" i="1"/>
  <c r="N1773" i="1"/>
  <c r="A1773" i="1" a="1"/>
  <c r="A1773" i="1"/>
  <c r="AG1773" i="1" s="1" a="1"/>
  <c r="AD1772" i="1"/>
  <c r="R1772" i="1"/>
  <c r="T1772" i="1" s="1"/>
  <c r="N1772" i="1"/>
  <c r="A1772" i="1" a="1"/>
  <c r="A1772" i="1"/>
  <c r="AG1772" i="1" s="1" a="1"/>
  <c r="AG1772" i="1" s="1"/>
  <c r="Y1772" i="1" s="1"/>
  <c r="AD1771" i="1"/>
  <c r="T1771" i="1" s="1"/>
  <c r="R1771" i="1"/>
  <c r="N1771" i="1"/>
  <c r="A1771" i="1" a="1"/>
  <c r="A1771" i="1"/>
  <c r="AG1771" i="1" s="1" a="1"/>
  <c r="AG1771" i="1" s="1"/>
  <c r="Y1771" i="1" s="1"/>
  <c r="AD1770" i="1"/>
  <c r="R1770" i="1"/>
  <c r="N1770" i="1"/>
  <c r="A1770" i="1" a="1"/>
  <c r="A1770" i="1" s="1"/>
  <c r="AD1769" i="1"/>
  <c r="T1769" i="1"/>
  <c r="R1769" i="1"/>
  <c r="N1769" i="1"/>
  <c r="A1769" i="1" a="1"/>
  <c r="A1769" i="1" s="1"/>
  <c r="AD1768" i="1"/>
  <c r="R1768" i="1"/>
  <c r="T1768" i="1" s="1"/>
  <c r="N1768" i="1"/>
  <c r="A1768" i="1" a="1"/>
  <c r="A1768" i="1"/>
  <c r="AG1768" i="1" s="1" a="1"/>
  <c r="AG1768" i="1" s="1"/>
  <c r="Y1768" i="1" s="1"/>
  <c r="AD1767" i="1"/>
  <c r="Y1767" i="1"/>
  <c r="R1767" i="1"/>
  <c r="N1767" i="1"/>
  <c r="A1767" i="1" a="1"/>
  <c r="A1767" i="1"/>
  <c r="AG1767" i="1" s="1" a="1"/>
  <c r="AG1767" i="1" s="1"/>
  <c r="AG1766" i="1" a="1"/>
  <c r="AG1766" i="1" s="1"/>
  <c r="Y1766" i="1" s="1"/>
  <c r="AD1766" i="1"/>
  <c r="R1766" i="1"/>
  <c r="N1766" i="1"/>
  <c r="A1766" i="1" a="1"/>
  <c r="A1766" i="1" s="1"/>
  <c r="AF1766" i="1" s="1" a="1"/>
  <c r="AF1766" i="1" s="1"/>
  <c r="X1766" i="1" s="1"/>
  <c r="AD1765" i="1"/>
  <c r="T1765" i="1"/>
  <c r="R1765" i="1"/>
  <c r="N1765" i="1"/>
  <c r="A1765" i="1" a="1"/>
  <c r="A1765" i="1" s="1"/>
  <c r="AD1764" i="1"/>
  <c r="T1764" i="1"/>
  <c r="R1764" i="1"/>
  <c r="N1764" i="1"/>
  <c r="A1764" i="1" a="1"/>
  <c r="A1764" i="1"/>
  <c r="AG1764" i="1" s="1" a="1"/>
  <c r="AG1764" i="1" s="1"/>
  <c r="Y1764" i="1" s="1"/>
  <c r="AD1763" i="1"/>
  <c r="R1763" i="1"/>
  <c r="N1763" i="1"/>
  <c r="A1763" i="1" a="1"/>
  <c r="A1763" i="1"/>
  <c r="AG1763" i="1" s="1" a="1"/>
  <c r="AG1763" i="1" s="1"/>
  <c r="Y1763" i="1" s="1"/>
  <c r="AD1762" i="1"/>
  <c r="R1762" i="1"/>
  <c r="N1762" i="1"/>
  <c r="A1762" i="1" a="1"/>
  <c r="A1762" i="1" s="1"/>
  <c r="AF1762" i="1" s="1" a="1"/>
  <c r="AF1762" i="1" s="1"/>
  <c r="X1762" i="1" s="1"/>
  <c r="AD1761" i="1"/>
  <c r="T1761" i="1"/>
  <c r="R1761" i="1"/>
  <c r="N1761" i="1"/>
  <c r="A1761" i="1" a="1"/>
  <c r="A1761" i="1" s="1"/>
  <c r="AF1760" i="1" a="1"/>
  <c r="AF1760" i="1" s="1"/>
  <c r="X1760" i="1" s="1"/>
  <c r="AD1760" i="1"/>
  <c r="R1760" i="1"/>
  <c r="T1760" i="1" s="1"/>
  <c r="N1760" i="1"/>
  <c r="A1760" i="1" a="1"/>
  <c r="A1760" i="1"/>
  <c r="AG1760" i="1" s="1" a="1"/>
  <c r="AG1760" i="1" s="1"/>
  <c r="Y1760" i="1" s="1"/>
  <c r="AD1759" i="1"/>
  <c r="R1759" i="1"/>
  <c r="N1759" i="1"/>
  <c r="A1759" i="1" a="1"/>
  <c r="A1759" i="1"/>
  <c r="AG1759" i="1" s="1" a="1"/>
  <c r="AG1759" i="1" s="1"/>
  <c r="Y1759" i="1" s="1"/>
  <c r="AG1758" i="1" a="1"/>
  <c r="AG1758" i="1" s="1"/>
  <c r="Y1758" i="1" s="1"/>
  <c r="AD1758" i="1"/>
  <c r="R1758" i="1"/>
  <c r="N1758" i="1"/>
  <c r="A1758" i="1" a="1"/>
  <c r="A1758" i="1" s="1"/>
  <c r="AF1758" i="1" s="1" a="1"/>
  <c r="AF1758" i="1" s="1"/>
  <c r="X1758" i="1" s="1"/>
  <c r="AD1757" i="1"/>
  <c r="T1757" i="1"/>
  <c r="R1757" i="1"/>
  <c r="N1757" i="1"/>
  <c r="A1757" i="1" a="1"/>
  <c r="A1757" i="1" s="1"/>
  <c r="AD1756" i="1"/>
  <c r="T1756" i="1"/>
  <c r="AB1756" i="1" s="1"/>
  <c r="R1756" i="1"/>
  <c r="N1756" i="1"/>
  <c r="A1756" i="1" a="1"/>
  <c r="A1756" i="1"/>
  <c r="AG1756" i="1" s="1" a="1"/>
  <c r="AG1756" i="1" s="1"/>
  <c r="Y1756" i="1" s="1"/>
  <c r="AD1755" i="1"/>
  <c r="R1755" i="1"/>
  <c r="N1755" i="1"/>
  <c r="A1755" i="1" a="1"/>
  <c r="A1755" i="1"/>
  <c r="AG1755" i="1" s="1" a="1"/>
  <c r="AG1755" i="1" s="1"/>
  <c r="Y1755" i="1" s="1"/>
  <c r="AD1754" i="1"/>
  <c r="T1754" i="1"/>
  <c r="R1754" i="1"/>
  <c r="N1754" i="1"/>
  <c r="A1754" i="1" a="1"/>
  <c r="A1754" i="1" s="1"/>
  <c r="AF1754" i="1" s="1" a="1"/>
  <c r="AF1754" i="1" s="1"/>
  <c r="X1754" i="1" s="1"/>
  <c r="AD1753" i="1"/>
  <c r="T1753" i="1"/>
  <c r="R1753" i="1"/>
  <c r="N1753" i="1"/>
  <c r="A1753" i="1" a="1"/>
  <c r="A1753" i="1"/>
  <c r="AG1753" i="1" s="1" a="1"/>
  <c r="AG1753" i="1" s="1"/>
  <c r="Y1753" i="1" s="1"/>
  <c r="AF1752" i="1" a="1"/>
  <c r="AF1752" i="1" s="1"/>
  <c r="X1752" i="1" s="1"/>
  <c r="AA1752" i="1" s="1"/>
  <c r="Z1752" i="1" s="1"/>
  <c r="AD1752" i="1"/>
  <c r="AB1752" i="1"/>
  <c r="T1752" i="1"/>
  <c r="R1752" i="1"/>
  <c r="N1752" i="1"/>
  <c r="A1752" i="1" a="1"/>
  <c r="A1752" i="1"/>
  <c r="AG1752" i="1" s="1" a="1"/>
  <c r="AG1752" i="1" s="1"/>
  <c r="Y1752" i="1" s="1"/>
  <c r="AF1751" i="1" a="1"/>
  <c r="AF1751" i="1" s="1"/>
  <c r="X1751" i="1" s="1"/>
  <c r="AD1751" i="1"/>
  <c r="R1751" i="1"/>
  <c r="N1751" i="1"/>
  <c r="A1751" i="1" a="1"/>
  <c r="A1751" i="1"/>
  <c r="AG1751" i="1" s="1" a="1"/>
  <c r="AG1751" i="1" s="1"/>
  <c r="Y1751" i="1" s="1"/>
  <c r="AD1750" i="1"/>
  <c r="R1750" i="1"/>
  <c r="N1750" i="1"/>
  <c r="A1750" i="1" a="1"/>
  <c r="A1750" i="1" s="1"/>
  <c r="AF1750" i="1" s="1" a="1"/>
  <c r="AF1750" i="1" s="1"/>
  <c r="X1750" i="1" s="1"/>
  <c r="AD1749" i="1"/>
  <c r="T1749" i="1"/>
  <c r="R1749" i="1"/>
  <c r="N1749" i="1"/>
  <c r="A1749" i="1" a="1"/>
  <c r="A1749" i="1"/>
  <c r="AG1749" i="1" s="1" a="1"/>
  <c r="AG1749" i="1" s="1"/>
  <c r="Y1749" i="1" s="1"/>
  <c r="AD1748" i="1"/>
  <c r="R1748" i="1"/>
  <c r="T1748" i="1" s="1"/>
  <c r="N1748" i="1"/>
  <c r="A1748" i="1" a="1"/>
  <c r="A1748" i="1"/>
  <c r="AG1748" i="1" s="1" a="1"/>
  <c r="AG1748" i="1" s="1"/>
  <c r="Y1748" i="1" s="1"/>
  <c r="AD1747" i="1"/>
  <c r="R1747" i="1"/>
  <c r="N1747" i="1"/>
  <c r="A1747" i="1" a="1"/>
  <c r="A1747" i="1" s="1"/>
  <c r="AD1746" i="1"/>
  <c r="R1746" i="1"/>
  <c r="N1746" i="1"/>
  <c r="A1746" i="1" a="1"/>
  <c r="A1746" i="1" s="1"/>
  <c r="AF1746" i="1" s="1" a="1"/>
  <c r="AF1746" i="1" s="1"/>
  <c r="X1746" i="1" s="1"/>
  <c r="AG1745" i="1"/>
  <c r="Y1745" i="1" s="1"/>
  <c r="AF1745" i="1" a="1"/>
  <c r="AF1745" i="1" s="1"/>
  <c r="AD1745" i="1"/>
  <c r="X1745" i="1"/>
  <c r="T1745" i="1"/>
  <c r="AB1745" i="1" s="1"/>
  <c r="R1745" i="1"/>
  <c r="N1745" i="1"/>
  <c r="A1745" i="1" a="1"/>
  <c r="A1745" i="1"/>
  <c r="AG1745" i="1" s="1" a="1"/>
  <c r="AD1744" i="1"/>
  <c r="T1744" i="1"/>
  <c r="R1744" i="1"/>
  <c r="N1744" i="1"/>
  <c r="A1744" i="1" a="1"/>
  <c r="A1744" i="1" s="1"/>
  <c r="AD1743" i="1"/>
  <c r="R1743" i="1"/>
  <c r="N1743" i="1"/>
  <c r="A1743" i="1" a="1"/>
  <c r="A1743" i="1"/>
  <c r="AG1743" i="1" s="1" a="1"/>
  <c r="AG1743" i="1" s="1"/>
  <c r="Y1743" i="1" s="1"/>
  <c r="AG1742" i="1" a="1"/>
  <c r="AG1742" i="1"/>
  <c r="Y1742" i="1" s="1"/>
  <c r="AD1742" i="1"/>
  <c r="R1742" i="1"/>
  <c r="N1742" i="1"/>
  <c r="A1742" i="1" a="1"/>
  <c r="A1742" i="1" s="1"/>
  <c r="AF1742" i="1" s="1" a="1"/>
  <c r="AF1742" i="1" s="1"/>
  <c r="X1742" i="1" s="1"/>
  <c r="AD1741" i="1"/>
  <c r="R1741" i="1"/>
  <c r="N1741" i="1"/>
  <c r="A1741" i="1" a="1"/>
  <c r="A1741" i="1" s="1"/>
  <c r="AD1740" i="1"/>
  <c r="T1740" i="1"/>
  <c r="R1740" i="1"/>
  <c r="N1740" i="1"/>
  <c r="A1740" i="1" a="1"/>
  <c r="A1740" i="1"/>
  <c r="AG1740" i="1" s="1" a="1"/>
  <c r="AG1740" i="1" s="1"/>
  <c r="Y1740" i="1" s="1"/>
  <c r="AD1739" i="1"/>
  <c r="R1739" i="1"/>
  <c r="N1739" i="1"/>
  <c r="A1739" i="1" a="1"/>
  <c r="A1739" i="1" s="1"/>
  <c r="AG1738" i="1" a="1"/>
  <c r="AG1738" i="1" s="1"/>
  <c r="Y1738" i="1" s="1"/>
  <c r="AD1738" i="1"/>
  <c r="T1738" i="1"/>
  <c r="AB1738" i="1" s="1"/>
  <c r="R1738" i="1"/>
  <c r="N1738" i="1"/>
  <c r="A1738" i="1" a="1"/>
  <c r="A1738" i="1" s="1"/>
  <c r="AF1738" i="1" s="1" a="1"/>
  <c r="AF1738" i="1" s="1"/>
  <c r="X1738" i="1" s="1"/>
  <c r="AD1737" i="1"/>
  <c r="R1737" i="1"/>
  <c r="N1737" i="1"/>
  <c r="A1737" i="1" a="1"/>
  <c r="A1737" i="1"/>
  <c r="AG1737" i="1" s="1" a="1"/>
  <c r="AG1737" i="1" s="1"/>
  <c r="Y1737" i="1" s="1"/>
  <c r="AD1736" i="1"/>
  <c r="R1736" i="1"/>
  <c r="N1736" i="1"/>
  <c r="A1736" i="1" a="1"/>
  <c r="A1736" i="1"/>
  <c r="AG1736" i="1" s="1" a="1"/>
  <c r="AG1736" i="1" s="1"/>
  <c r="Y1736" i="1" s="1"/>
  <c r="AD1735" i="1"/>
  <c r="R1735" i="1"/>
  <c r="N1735" i="1"/>
  <c r="A1735" i="1" a="1"/>
  <c r="A1735" i="1" s="1"/>
  <c r="AG1734" i="1" a="1"/>
  <c r="AG1734" i="1"/>
  <c r="Y1734" i="1" s="1"/>
  <c r="AD1734" i="1"/>
  <c r="R1734" i="1"/>
  <c r="N1734" i="1"/>
  <c r="A1734" i="1" a="1"/>
  <c r="A1734" i="1" s="1"/>
  <c r="AF1734" i="1" s="1" a="1"/>
  <c r="AF1734" i="1" s="1"/>
  <c r="X1734" i="1" s="1"/>
  <c r="AD1733" i="1"/>
  <c r="R1733" i="1"/>
  <c r="N1733" i="1"/>
  <c r="A1733" i="1" a="1"/>
  <c r="A1733" i="1" s="1"/>
  <c r="AD1732" i="1"/>
  <c r="T1732" i="1" s="1"/>
  <c r="R1732" i="1"/>
  <c r="N1732" i="1"/>
  <c r="A1732" i="1" a="1"/>
  <c r="A1732" i="1" s="1"/>
  <c r="AD1731" i="1"/>
  <c r="R1731" i="1"/>
  <c r="N1731" i="1"/>
  <c r="A1731" i="1" a="1"/>
  <c r="A1731" i="1" s="1"/>
  <c r="AD1730" i="1"/>
  <c r="R1730" i="1"/>
  <c r="N1730" i="1"/>
  <c r="A1730" i="1" a="1"/>
  <c r="A1730" i="1" s="1"/>
  <c r="AD1729" i="1"/>
  <c r="R1729" i="1"/>
  <c r="N1729" i="1"/>
  <c r="A1729" i="1" a="1"/>
  <c r="A1729" i="1" s="1"/>
  <c r="AD1728" i="1"/>
  <c r="T1728" i="1" s="1"/>
  <c r="R1728" i="1"/>
  <c r="N1728" i="1"/>
  <c r="A1728" i="1" a="1"/>
  <c r="A1728" i="1" s="1"/>
  <c r="AD1727" i="1"/>
  <c r="R1727" i="1"/>
  <c r="N1727" i="1"/>
  <c r="A1727" i="1" a="1"/>
  <c r="A1727" i="1" s="1"/>
  <c r="AD1726" i="1"/>
  <c r="R1726" i="1"/>
  <c r="N1726" i="1"/>
  <c r="A1726" i="1" a="1"/>
  <c r="A1726" i="1" s="1"/>
  <c r="AD1725" i="1"/>
  <c r="R1725" i="1"/>
  <c r="N1725" i="1"/>
  <c r="A1725" i="1" a="1"/>
  <c r="A1725" i="1" s="1"/>
  <c r="AD1724" i="1"/>
  <c r="T1724" i="1" s="1"/>
  <c r="R1724" i="1"/>
  <c r="N1724" i="1"/>
  <c r="A1724" i="1" a="1"/>
  <c r="A1724" i="1" s="1"/>
  <c r="AD1723" i="1"/>
  <c r="R1723" i="1"/>
  <c r="N1723" i="1"/>
  <c r="A1723" i="1" a="1"/>
  <c r="A1723" i="1" s="1"/>
  <c r="AD1722" i="1"/>
  <c r="R1722" i="1"/>
  <c r="N1722" i="1"/>
  <c r="A1722" i="1" a="1"/>
  <c r="A1722" i="1" s="1"/>
  <c r="AD1721" i="1"/>
  <c r="R1721" i="1"/>
  <c r="N1721" i="1"/>
  <c r="A1721" i="1" a="1"/>
  <c r="A1721" i="1" s="1"/>
  <c r="AD1720" i="1"/>
  <c r="T1720" i="1" s="1"/>
  <c r="R1720" i="1"/>
  <c r="N1720" i="1"/>
  <c r="A1720" i="1" a="1"/>
  <c r="A1720" i="1" s="1"/>
  <c r="AD1719" i="1"/>
  <c r="R1719" i="1"/>
  <c r="N1719" i="1"/>
  <c r="A1719" i="1" a="1"/>
  <c r="A1719" i="1" s="1"/>
  <c r="AD1718" i="1"/>
  <c r="R1718" i="1"/>
  <c r="N1718" i="1"/>
  <c r="A1718" i="1" a="1"/>
  <c r="A1718" i="1" s="1"/>
  <c r="AD1717" i="1"/>
  <c r="R1717" i="1"/>
  <c r="N1717" i="1"/>
  <c r="A1717" i="1" a="1"/>
  <c r="A1717" i="1" s="1"/>
  <c r="AD1716" i="1"/>
  <c r="T1716" i="1" s="1"/>
  <c r="R1716" i="1"/>
  <c r="N1716" i="1"/>
  <c r="A1716" i="1" a="1"/>
  <c r="A1716" i="1" s="1"/>
  <c r="AD1715" i="1"/>
  <c r="R1715" i="1"/>
  <c r="N1715" i="1"/>
  <c r="A1715" i="1" a="1"/>
  <c r="A1715" i="1" s="1"/>
  <c r="AD1714" i="1"/>
  <c r="R1714" i="1"/>
  <c r="N1714" i="1"/>
  <c r="A1714" i="1" a="1"/>
  <c r="A1714" i="1" s="1"/>
  <c r="AD1713" i="1"/>
  <c r="R1713" i="1"/>
  <c r="N1713" i="1"/>
  <c r="A1713" i="1" a="1"/>
  <c r="A1713" i="1" s="1"/>
  <c r="AF1712" i="1" a="1"/>
  <c r="AF1712" i="1"/>
  <c r="X1712" i="1" s="1"/>
  <c r="AD1712" i="1"/>
  <c r="R1712" i="1"/>
  <c r="N1712" i="1"/>
  <c r="A1712" i="1" a="1"/>
  <c r="A1712" i="1"/>
  <c r="AG1712" i="1" s="1" a="1"/>
  <c r="AG1712" i="1" s="1"/>
  <c r="Y1712" i="1" s="1"/>
  <c r="AF1711" i="1" a="1"/>
  <c r="AF1711" i="1" s="1"/>
  <c r="X1711" i="1" s="1"/>
  <c r="AD1711" i="1"/>
  <c r="R1711" i="1"/>
  <c r="T1711" i="1" s="1"/>
  <c r="N1711" i="1"/>
  <c r="A1711" i="1" a="1"/>
  <c r="A1711" i="1" s="1"/>
  <c r="AG1711" i="1" s="1" a="1"/>
  <c r="AG1711" i="1" s="1"/>
  <c r="Y1711" i="1" s="1"/>
  <c r="AD1710" i="1"/>
  <c r="T1710" i="1"/>
  <c r="R1710" i="1"/>
  <c r="N1710" i="1"/>
  <c r="A1710" i="1" a="1"/>
  <c r="A1710" i="1"/>
  <c r="AG1710" i="1" s="1" a="1"/>
  <c r="AG1710" i="1" s="1"/>
  <c r="Y1710" i="1" s="1"/>
  <c r="AB1710" i="1" s="1"/>
  <c r="AD1709" i="1"/>
  <c r="R1709" i="1"/>
  <c r="N1709" i="1"/>
  <c r="A1709" i="1" a="1"/>
  <c r="A1709" i="1"/>
  <c r="AD1708" i="1"/>
  <c r="R1708" i="1"/>
  <c r="T1708" i="1" s="1"/>
  <c r="N1708" i="1"/>
  <c r="A1708" i="1" a="1"/>
  <c r="A1708" i="1"/>
  <c r="AG1708" i="1" s="1" a="1"/>
  <c r="AG1708" i="1" s="1"/>
  <c r="Y1708" i="1" s="1"/>
  <c r="AG1707" i="1" a="1"/>
  <c r="AG1707" i="1" s="1"/>
  <c r="Y1707" i="1" s="1"/>
  <c r="AD1707" i="1"/>
  <c r="R1707" i="1"/>
  <c r="N1707" i="1"/>
  <c r="A1707" i="1" a="1"/>
  <c r="A1707" i="1"/>
  <c r="AF1707" i="1" s="1" a="1"/>
  <c r="AF1707" i="1" s="1"/>
  <c r="X1707" i="1" s="1"/>
  <c r="AD1706" i="1"/>
  <c r="T1706" i="1" s="1"/>
  <c r="R1706" i="1"/>
  <c r="N1706" i="1"/>
  <c r="A1706" i="1" a="1"/>
  <c r="A1706" i="1" s="1"/>
  <c r="AD1705" i="1"/>
  <c r="T1705" i="1"/>
  <c r="R1705" i="1"/>
  <c r="N1705" i="1"/>
  <c r="A1705" i="1" a="1"/>
  <c r="A1705" i="1"/>
  <c r="AG1705" i="1" s="1" a="1"/>
  <c r="AG1705" i="1" s="1"/>
  <c r="Y1705" i="1" s="1"/>
  <c r="AG1704" i="1" a="1"/>
  <c r="AG1704" i="1" s="1"/>
  <c r="Y1704" i="1" s="1"/>
  <c r="AD1704" i="1"/>
  <c r="R1704" i="1"/>
  <c r="T1704" i="1" s="1"/>
  <c r="N1704" i="1"/>
  <c r="A1704" i="1" a="1"/>
  <c r="A1704" i="1"/>
  <c r="AF1704" i="1" s="1" a="1"/>
  <c r="AF1704" i="1" s="1"/>
  <c r="X1704" i="1" s="1"/>
  <c r="AG1703" i="1" a="1"/>
  <c r="AG1703" i="1" s="1"/>
  <c r="Y1703" i="1" s="1"/>
  <c r="AD1703" i="1"/>
  <c r="R1703" i="1"/>
  <c r="N1703" i="1"/>
  <c r="A1703" i="1" a="1"/>
  <c r="A1703" i="1"/>
  <c r="AF1703" i="1" s="1" a="1"/>
  <c r="AF1703" i="1" s="1"/>
  <c r="X1703" i="1" s="1"/>
  <c r="AD1702" i="1"/>
  <c r="T1702" i="1" s="1"/>
  <c r="R1702" i="1"/>
  <c r="N1702" i="1"/>
  <c r="A1702" i="1" a="1"/>
  <c r="A1702" i="1" s="1"/>
  <c r="AD1701" i="1"/>
  <c r="T1701" i="1"/>
  <c r="R1701" i="1"/>
  <c r="N1701" i="1"/>
  <c r="A1701" i="1" a="1"/>
  <c r="A1701" i="1"/>
  <c r="AG1701" i="1" s="1" a="1"/>
  <c r="AG1701" i="1" s="1"/>
  <c r="Y1701" i="1" s="1"/>
  <c r="AG1700" i="1" a="1"/>
  <c r="AG1700" i="1" s="1"/>
  <c r="Y1700" i="1" s="1"/>
  <c r="AD1700" i="1"/>
  <c r="R1700" i="1"/>
  <c r="T1700" i="1" s="1"/>
  <c r="N1700" i="1"/>
  <c r="A1700" i="1" a="1"/>
  <c r="A1700" i="1"/>
  <c r="AF1700" i="1" s="1" a="1"/>
  <c r="AF1700" i="1" s="1"/>
  <c r="X1700" i="1" s="1"/>
  <c r="AG1699" i="1" a="1"/>
  <c r="AG1699" i="1" s="1"/>
  <c r="Y1699" i="1" s="1"/>
  <c r="AD1699" i="1"/>
  <c r="R1699" i="1"/>
  <c r="N1699" i="1"/>
  <c r="A1699" i="1" a="1"/>
  <c r="A1699" i="1"/>
  <c r="AF1699" i="1" s="1" a="1"/>
  <c r="AF1699" i="1" s="1"/>
  <c r="X1699" i="1" s="1"/>
  <c r="AD1698" i="1"/>
  <c r="T1698" i="1" s="1"/>
  <c r="R1698" i="1"/>
  <c r="N1698" i="1"/>
  <c r="A1698" i="1" a="1"/>
  <c r="A1698" i="1" s="1"/>
  <c r="AD1697" i="1"/>
  <c r="T1697" i="1"/>
  <c r="R1697" i="1"/>
  <c r="N1697" i="1"/>
  <c r="A1697" i="1" a="1"/>
  <c r="A1697" i="1"/>
  <c r="AG1697" i="1" s="1" a="1"/>
  <c r="AG1697" i="1" s="1"/>
  <c r="Y1697" i="1" s="1"/>
  <c r="AG1696" i="1" a="1"/>
  <c r="AG1696" i="1" s="1"/>
  <c r="Y1696" i="1" s="1"/>
  <c r="AD1696" i="1"/>
  <c r="R1696" i="1"/>
  <c r="T1696" i="1" s="1"/>
  <c r="N1696" i="1"/>
  <c r="A1696" i="1" a="1"/>
  <c r="A1696" i="1"/>
  <c r="AF1696" i="1" s="1" a="1"/>
  <c r="AF1696" i="1" s="1"/>
  <c r="X1696" i="1" s="1"/>
  <c r="AG1695" i="1" a="1"/>
  <c r="AG1695" i="1" s="1"/>
  <c r="Y1695" i="1" s="1"/>
  <c r="AD1695" i="1"/>
  <c r="R1695" i="1"/>
  <c r="N1695" i="1"/>
  <c r="A1695" i="1" a="1"/>
  <c r="A1695" i="1"/>
  <c r="AF1695" i="1" s="1" a="1"/>
  <c r="AF1695" i="1" s="1"/>
  <c r="X1695" i="1" s="1"/>
  <c r="AD1694" i="1"/>
  <c r="T1694" i="1" s="1"/>
  <c r="R1694" i="1"/>
  <c r="N1694" i="1"/>
  <c r="A1694" i="1" a="1"/>
  <c r="A1694" i="1" s="1"/>
  <c r="AD1693" i="1"/>
  <c r="T1693" i="1"/>
  <c r="R1693" i="1"/>
  <c r="N1693" i="1"/>
  <c r="A1693" i="1" a="1"/>
  <c r="A1693" i="1"/>
  <c r="AG1693" i="1" s="1" a="1"/>
  <c r="AG1693" i="1" s="1"/>
  <c r="Y1693" i="1" s="1"/>
  <c r="AG1692" i="1" a="1"/>
  <c r="AG1692" i="1" s="1"/>
  <c r="Y1692" i="1" s="1"/>
  <c r="AD1692" i="1"/>
  <c r="R1692" i="1"/>
  <c r="T1692" i="1" s="1"/>
  <c r="N1692" i="1"/>
  <c r="A1692" i="1" a="1"/>
  <c r="A1692" i="1"/>
  <c r="AF1692" i="1" s="1" a="1"/>
  <c r="AF1692" i="1" s="1"/>
  <c r="X1692" i="1" s="1"/>
  <c r="AD1691" i="1"/>
  <c r="R1691" i="1"/>
  <c r="N1691" i="1"/>
  <c r="A1691" i="1" a="1"/>
  <c r="A1691" i="1" s="1"/>
  <c r="AD1690" i="1"/>
  <c r="T1690" i="1" s="1"/>
  <c r="R1690" i="1"/>
  <c r="N1690" i="1"/>
  <c r="A1690" i="1" a="1"/>
  <c r="A1690" i="1" s="1"/>
  <c r="AD1689" i="1"/>
  <c r="T1689" i="1"/>
  <c r="R1689" i="1"/>
  <c r="N1689" i="1"/>
  <c r="A1689" i="1" a="1"/>
  <c r="A1689" i="1"/>
  <c r="AG1689" i="1" s="1" a="1"/>
  <c r="AG1689" i="1" s="1"/>
  <c r="Y1689" i="1" s="1"/>
  <c r="AD1688" i="1"/>
  <c r="R1688" i="1"/>
  <c r="T1688" i="1" s="1"/>
  <c r="N1688" i="1"/>
  <c r="A1688" i="1" a="1"/>
  <c r="A1688" i="1" s="1"/>
  <c r="AF1688" i="1" s="1" a="1"/>
  <c r="AF1688" i="1" s="1"/>
  <c r="X1688" i="1" s="1"/>
  <c r="AD1687" i="1"/>
  <c r="R1687" i="1"/>
  <c r="N1687" i="1"/>
  <c r="A1687" i="1" a="1"/>
  <c r="A1687" i="1" s="1"/>
  <c r="AD1686" i="1"/>
  <c r="T1686" i="1" s="1"/>
  <c r="R1686" i="1"/>
  <c r="N1686" i="1"/>
  <c r="A1686" i="1" a="1"/>
  <c r="A1686" i="1" s="1"/>
  <c r="AD1685" i="1"/>
  <c r="T1685" i="1"/>
  <c r="R1685" i="1"/>
  <c r="N1685" i="1"/>
  <c r="A1685" i="1" a="1"/>
  <c r="A1685" i="1"/>
  <c r="AG1685" i="1" s="1" a="1"/>
  <c r="AG1685" i="1" s="1"/>
  <c r="Y1685" i="1" s="1"/>
  <c r="AD1684" i="1"/>
  <c r="R1684" i="1"/>
  <c r="T1684" i="1" s="1"/>
  <c r="N1684" i="1"/>
  <c r="A1684" i="1" a="1"/>
  <c r="A1684" i="1" s="1"/>
  <c r="AF1684" i="1" s="1" a="1"/>
  <c r="AF1684" i="1" s="1"/>
  <c r="X1684" i="1" s="1"/>
  <c r="AD1683" i="1"/>
  <c r="R1683" i="1"/>
  <c r="N1683" i="1"/>
  <c r="A1683" i="1" a="1"/>
  <c r="A1683" i="1" s="1"/>
  <c r="AD1682" i="1"/>
  <c r="T1682" i="1" s="1"/>
  <c r="R1682" i="1"/>
  <c r="N1682" i="1"/>
  <c r="A1682" i="1" a="1"/>
  <c r="A1682" i="1" s="1"/>
  <c r="AD1681" i="1"/>
  <c r="T1681" i="1"/>
  <c r="R1681" i="1"/>
  <c r="N1681" i="1"/>
  <c r="A1681" i="1" a="1"/>
  <c r="A1681" i="1"/>
  <c r="AG1681" i="1" s="1" a="1"/>
  <c r="AG1681" i="1" s="1"/>
  <c r="Y1681" i="1" s="1"/>
  <c r="AF1680" i="1"/>
  <c r="X1680" i="1" s="1"/>
  <c r="AD1680" i="1"/>
  <c r="R1680" i="1"/>
  <c r="T1680" i="1" s="1"/>
  <c r="N1680" i="1"/>
  <c r="A1680" i="1" a="1"/>
  <c r="A1680" i="1" s="1"/>
  <c r="AF1680" i="1" s="1" a="1"/>
  <c r="AG1679" i="1" a="1"/>
  <c r="AG1679" i="1" s="1"/>
  <c r="Y1679" i="1" s="1"/>
  <c r="AD1679" i="1"/>
  <c r="R1679" i="1"/>
  <c r="N1679" i="1"/>
  <c r="A1679" i="1" a="1"/>
  <c r="A1679" i="1" s="1"/>
  <c r="AF1679" i="1" s="1" a="1"/>
  <c r="AF1679" i="1" s="1"/>
  <c r="X1679" i="1" s="1"/>
  <c r="AD1678" i="1"/>
  <c r="T1678" i="1" s="1"/>
  <c r="R1678" i="1"/>
  <c r="N1678" i="1"/>
  <c r="A1678" i="1" a="1"/>
  <c r="A1678" i="1" s="1"/>
  <c r="AD1677" i="1"/>
  <c r="T1677" i="1"/>
  <c r="R1677" i="1"/>
  <c r="N1677" i="1"/>
  <c r="A1677" i="1" a="1"/>
  <c r="A1677" i="1"/>
  <c r="AG1677" i="1" s="1" a="1"/>
  <c r="AG1677" i="1" s="1"/>
  <c r="Y1677" i="1" s="1"/>
  <c r="AG1676" i="1" a="1"/>
  <c r="AG1676" i="1" s="1"/>
  <c r="Y1676" i="1" s="1"/>
  <c r="AF1676" i="1"/>
  <c r="X1676" i="1" s="1"/>
  <c r="AD1676" i="1"/>
  <c r="R1676" i="1"/>
  <c r="T1676" i="1" s="1"/>
  <c r="N1676" i="1"/>
  <c r="A1676" i="1" a="1"/>
  <c r="A1676" i="1" s="1"/>
  <c r="AF1676" i="1" s="1" a="1"/>
  <c r="AD1675" i="1"/>
  <c r="R1675" i="1"/>
  <c r="N1675" i="1"/>
  <c r="A1675" i="1" a="1"/>
  <c r="A1675" i="1" s="1"/>
  <c r="AD1674" i="1"/>
  <c r="T1674" i="1" s="1"/>
  <c r="R1674" i="1"/>
  <c r="N1674" i="1"/>
  <c r="A1674" i="1" a="1"/>
  <c r="A1674" i="1" s="1"/>
  <c r="AD1673" i="1"/>
  <c r="T1673" i="1"/>
  <c r="R1673" i="1"/>
  <c r="N1673" i="1"/>
  <c r="A1673" i="1" a="1"/>
  <c r="A1673" i="1"/>
  <c r="AG1673" i="1" s="1" a="1"/>
  <c r="AG1673" i="1" s="1"/>
  <c r="Y1673" i="1" s="1"/>
  <c r="AG1672" i="1" a="1"/>
  <c r="AG1672" i="1" s="1"/>
  <c r="Y1672" i="1" s="1"/>
  <c r="AF1672" i="1"/>
  <c r="X1672" i="1" s="1"/>
  <c r="AD1672" i="1"/>
  <c r="R1672" i="1"/>
  <c r="T1672" i="1" s="1"/>
  <c r="N1672" i="1"/>
  <c r="A1672" i="1" a="1"/>
  <c r="A1672" i="1" s="1"/>
  <c r="AF1672" i="1" s="1" a="1"/>
  <c r="AG1671" i="1" a="1"/>
  <c r="AG1671" i="1" s="1"/>
  <c r="Y1671" i="1" s="1"/>
  <c r="AD1671" i="1"/>
  <c r="X1671" i="1"/>
  <c r="R1671" i="1"/>
  <c r="N1671" i="1"/>
  <c r="A1671" i="1" a="1"/>
  <c r="A1671" i="1" s="1"/>
  <c r="AF1671" i="1" s="1" a="1"/>
  <c r="AF1671" i="1" s="1"/>
  <c r="AD1670" i="1"/>
  <c r="T1670" i="1" s="1"/>
  <c r="R1670" i="1"/>
  <c r="N1670" i="1"/>
  <c r="A1670" i="1" a="1"/>
  <c r="A1670" i="1" s="1"/>
  <c r="AD1669" i="1"/>
  <c r="T1669" i="1"/>
  <c r="R1669" i="1"/>
  <c r="N1669" i="1"/>
  <c r="A1669" i="1" a="1"/>
  <c r="A1669" i="1"/>
  <c r="AG1669" i="1" s="1" a="1"/>
  <c r="AG1669" i="1" s="1"/>
  <c r="Y1669" i="1" s="1"/>
  <c r="AG1668" i="1" a="1"/>
  <c r="AG1668" i="1" s="1"/>
  <c r="Y1668" i="1" s="1"/>
  <c r="AD1668" i="1"/>
  <c r="R1668" i="1"/>
  <c r="T1668" i="1" s="1"/>
  <c r="N1668" i="1"/>
  <c r="A1668" i="1" a="1"/>
  <c r="A1668" i="1" s="1"/>
  <c r="AF1668" i="1" s="1" a="1"/>
  <c r="AF1668" i="1" s="1"/>
  <c r="X1668" i="1" s="1"/>
  <c r="AD1667" i="1"/>
  <c r="R1667" i="1"/>
  <c r="N1667" i="1"/>
  <c r="A1667" i="1" a="1"/>
  <c r="A1667" i="1" s="1"/>
  <c r="AF1667" i="1" s="1" a="1"/>
  <c r="AF1667" i="1" s="1"/>
  <c r="X1667" i="1" s="1"/>
  <c r="AD1666" i="1"/>
  <c r="T1666" i="1" s="1"/>
  <c r="R1666" i="1"/>
  <c r="N1666" i="1"/>
  <c r="A1666" i="1" a="1"/>
  <c r="A1666" i="1" s="1"/>
  <c r="AD1665" i="1"/>
  <c r="T1665" i="1"/>
  <c r="R1665" i="1"/>
  <c r="N1665" i="1"/>
  <c r="A1665" i="1" a="1"/>
  <c r="A1665" i="1"/>
  <c r="AG1665" i="1" s="1" a="1"/>
  <c r="AG1665" i="1" s="1"/>
  <c r="Y1665" i="1" s="1"/>
  <c r="AG1664" i="1" a="1"/>
  <c r="AG1664" i="1" s="1"/>
  <c r="Y1664" i="1" s="1"/>
  <c r="AF1664" i="1"/>
  <c r="X1664" i="1" s="1"/>
  <c r="AD1664" i="1"/>
  <c r="R1664" i="1"/>
  <c r="T1664" i="1" s="1"/>
  <c r="N1664" i="1"/>
  <c r="A1664" i="1" a="1"/>
  <c r="A1664" i="1" s="1"/>
  <c r="AF1664" i="1" s="1" a="1"/>
  <c r="AD1663" i="1"/>
  <c r="R1663" i="1"/>
  <c r="N1663" i="1"/>
  <c r="A1663" i="1" a="1"/>
  <c r="A1663" i="1" s="1"/>
  <c r="AD1662" i="1"/>
  <c r="T1662" i="1" s="1"/>
  <c r="R1662" i="1"/>
  <c r="N1662" i="1"/>
  <c r="A1662" i="1" a="1"/>
  <c r="A1662" i="1" s="1"/>
  <c r="AD1661" i="1"/>
  <c r="T1661" i="1"/>
  <c r="R1661" i="1"/>
  <c r="N1661" i="1"/>
  <c r="A1661" i="1" a="1"/>
  <c r="A1661" i="1"/>
  <c r="AG1661" i="1" s="1" a="1"/>
  <c r="AG1661" i="1" s="1"/>
  <c r="Y1661" i="1" s="1"/>
  <c r="AG1660" i="1" a="1"/>
  <c r="AG1660" i="1" s="1"/>
  <c r="Y1660" i="1" s="1"/>
  <c r="AF1660" i="1"/>
  <c r="X1660" i="1" s="1"/>
  <c r="AD1660" i="1"/>
  <c r="R1660" i="1"/>
  <c r="T1660" i="1" s="1"/>
  <c r="N1660" i="1"/>
  <c r="A1660" i="1" a="1"/>
  <c r="A1660" i="1" s="1"/>
  <c r="AF1660" i="1" s="1" a="1"/>
  <c r="AD1659" i="1"/>
  <c r="X1659" i="1"/>
  <c r="R1659" i="1"/>
  <c r="N1659" i="1"/>
  <c r="A1659" i="1" a="1"/>
  <c r="A1659" i="1" s="1"/>
  <c r="AF1659" i="1" s="1" a="1"/>
  <c r="AF1659" i="1" s="1"/>
  <c r="AD1658" i="1"/>
  <c r="T1658" i="1" s="1"/>
  <c r="R1658" i="1"/>
  <c r="N1658" i="1"/>
  <c r="A1658" i="1" a="1"/>
  <c r="A1658" i="1" s="1"/>
  <c r="AF1657" i="1" a="1"/>
  <c r="AF1657" i="1" s="1"/>
  <c r="X1657" i="1" s="1"/>
  <c r="AA1657" i="1" s="1"/>
  <c r="AD1657" i="1"/>
  <c r="T1657" i="1"/>
  <c r="R1657" i="1"/>
  <c r="N1657" i="1"/>
  <c r="A1657" i="1" a="1"/>
  <c r="A1657" i="1"/>
  <c r="AG1657" i="1" s="1" a="1"/>
  <c r="AG1657" i="1" s="1"/>
  <c r="Y1657" i="1" s="1"/>
  <c r="AF1656" i="1"/>
  <c r="X1656" i="1" s="1"/>
  <c r="AD1656" i="1"/>
  <c r="R1656" i="1"/>
  <c r="T1656" i="1" s="1"/>
  <c r="N1656" i="1"/>
  <c r="A1656" i="1" a="1"/>
  <c r="A1656" i="1" s="1"/>
  <c r="AF1656" i="1" s="1" a="1"/>
  <c r="AD1655" i="1"/>
  <c r="R1655" i="1"/>
  <c r="N1655" i="1"/>
  <c r="A1655" i="1" a="1"/>
  <c r="A1655" i="1" s="1"/>
  <c r="AD1654" i="1"/>
  <c r="R1654" i="1"/>
  <c r="N1654" i="1"/>
  <c r="A1654" i="1" a="1"/>
  <c r="A1654" i="1" s="1"/>
  <c r="AD1653" i="1"/>
  <c r="T1653" i="1"/>
  <c r="R1653" i="1"/>
  <c r="N1653" i="1"/>
  <c r="A1653" i="1" a="1"/>
  <c r="A1653" i="1" s="1"/>
  <c r="AF1652" i="1"/>
  <c r="X1652" i="1" s="1"/>
  <c r="AD1652" i="1"/>
  <c r="R1652" i="1"/>
  <c r="T1652" i="1" s="1"/>
  <c r="N1652" i="1"/>
  <c r="A1652" i="1" a="1"/>
  <c r="A1652" i="1" s="1"/>
  <c r="AF1652" i="1" s="1" a="1"/>
  <c r="AG1651" i="1" a="1"/>
  <c r="AG1651" i="1" s="1"/>
  <c r="Y1651" i="1" s="1"/>
  <c r="AD1651" i="1"/>
  <c r="X1651" i="1"/>
  <c r="R1651" i="1"/>
  <c r="N1651" i="1"/>
  <c r="A1651" i="1" a="1"/>
  <c r="A1651" i="1" s="1"/>
  <c r="AF1651" i="1" s="1" a="1"/>
  <c r="AF1651" i="1" s="1"/>
  <c r="AD1650" i="1"/>
  <c r="R1650" i="1"/>
  <c r="N1650" i="1"/>
  <c r="A1650" i="1" a="1"/>
  <c r="A1650" i="1" s="1"/>
  <c r="AD1649" i="1"/>
  <c r="T1649" i="1"/>
  <c r="R1649" i="1"/>
  <c r="N1649" i="1"/>
  <c r="A1649" i="1" a="1"/>
  <c r="A1649" i="1" s="1"/>
  <c r="AD1648" i="1"/>
  <c r="R1648" i="1"/>
  <c r="T1648" i="1" s="1"/>
  <c r="N1648" i="1"/>
  <c r="A1648" i="1" a="1"/>
  <c r="A1648" i="1" s="1"/>
  <c r="AG1647" i="1" a="1"/>
  <c r="AG1647" i="1"/>
  <c r="Y1647" i="1" s="1"/>
  <c r="AD1647" i="1"/>
  <c r="R1647" i="1"/>
  <c r="N1647" i="1"/>
  <c r="A1647" i="1" a="1"/>
  <c r="A1647" i="1" s="1"/>
  <c r="AF1647" i="1" s="1" a="1"/>
  <c r="AF1647" i="1" s="1"/>
  <c r="X1647" i="1" s="1"/>
  <c r="AD1646" i="1"/>
  <c r="R1646" i="1"/>
  <c r="N1646" i="1"/>
  <c r="A1646" i="1" a="1"/>
  <c r="A1646" i="1" s="1"/>
  <c r="AD1645" i="1"/>
  <c r="R1645" i="1"/>
  <c r="N1645" i="1"/>
  <c r="A1645" i="1" a="1"/>
  <c r="A1645" i="1"/>
  <c r="AG1645" i="1" s="1" a="1"/>
  <c r="AG1645" i="1" s="1"/>
  <c r="Y1645" i="1" s="1"/>
  <c r="AG1644" i="1" a="1"/>
  <c r="AG1644" i="1" s="1"/>
  <c r="Y1644" i="1" s="1"/>
  <c r="AD1644" i="1"/>
  <c r="R1644" i="1"/>
  <c r="T1644" i="1" s="1"/>
  <c r="N1644" i="1"/>
  <c r="A1644" i="1" a="1"/>
  <c r="A1644" i="1" s="1"/>
  <c r="AF1644" i="1" s="1" a="1"/>
  <c r="AF1644" i="1" s="1"/>
  <c r="X1644" i="1" s="1"/>
  <c r="AD1643" i="1"/>
  <c r="T1643" i="1" s="1"/>
  <c r="R1643" i="1"/>
  <c r="N1643" i="1"/>
  <c r="A1643" i="1" a="1"/>
  <c r="A1643" i="1" s="1"/>
  <c r="AF1643" i="1" s="1" a="1"/>
  <c r="AF1643" i="1" s="1"/>
  <c r="X1643" i="1" s="1"/>
  <c r="AD1642" i="1"/>
  <c r="R1642" i="1"/>
  <c r="N1642" i="1"/>
  <c r="A1642" i="1" a="1"/>
  <c r="A1642" i="1" s="1"/>
  <c r="AG1641" i="1"/>
  <c r="Y1641" i="1" s="1"/>
  <c r="AF1641" i="1" a="1"/>
  <c r="AF1641" i="1" s="1"/>
  <c r="X1641" i="1" s="1"/>
  <c r="AD1641" i="1"/>
  <c r="R1641" i="1"/>
  <c r="N1641" i="1"/>
  <c r="A1641" i="1" a="1"/>
  <c r="A1641" i="1"/>
  <c r="AG1641" i="1" s="1" a="1"/>
  <c r="AG1640" i="1" a="1"/>
  <c r="AG1640" i="1" s="1"/>
  <c r="Y1640" i="1" s="1"/>
  <c r="AD1640" i="1"/>
  <c r="T1640" i="1"/>
  <c r="R1640" i="1"/>
  <c r="N1640" i="1"/>
  <c r="A1640" i="1" a="1"/>
  <c r="A1640" i="1" s="1"/>
  <c r="AF1640" i="1" s="1" a="1"/>
  <c r="AF1640" i="1" s="1"/>
  <c r="X1640" i="1" s="1"/>
  <c r="AD1639" i="1"/>
  <c r="X1639" i="1"/>
  <c r="T1639" i="1"/>
  <c r="R1639" i="1"/>
  <c r="N1639" i="1"/>
  <c r="A1639" i="1" a="1"/>
  <c r="A1639" i="1" s="1"/>
  <c r="AF1639" i="1" s="1" a="1"/>
  <c r="AF1639" i="1" s="1"/>
  <c r="AD1638" i="1"/>
  <c r="R1638" i="1"/>
  <c r="N1638" i="1"/>
  <c r="A1638" i="1" a="1"/>
  <c r="A1638" i="1" s="1"/>
  <c r="AD1637" i="1"/>
  <c r="R1637" i="1"/>
  <c r="N1637" i="1"/>
  <c r="A1637" i="1" a="1"/>
  <c r="A1637" i="1" s="1"/>
  <c r="AD1636" i="1"/>
  <c r="T1636" i="1" s="1"/>
  <c r="R1636" i="1"/>
  <c r="N1636" i="1"/>
  <c r="A1636" i="1" a="1"/>
  <c r="A1636" i="1" s="1"/>
  <c r="AD1635" i="1"/>
  <c r="R1635" i="1"/>
  <c r="N1635" i="1"/>
  <c r="A1635" i="1" a="1"/>
  <c r="A1635" i="1" s="1"/>
  <c r="AF1635" i="1" s="1" a="1"/>
  <c r="AF1635" i="1" s="1"/>
  <c r="X1635" i="1" s="1"/>
  <c r="AD1634" i="1"/>
  <c r="R1634" i="1"/>
  <c r="N1634" i="1"/>
  <c r="A1634" i="1" a="1"/>
  <c r="A1634" i="1" s="1"/>
  <c r="AF1633" i="1" a="1"/>
  <c r="AF1633" i="1" s="1"/>
  <c r="X1633" i="1" s="1"/>
  <c r="AD1633" i="1"/>
  <c r="R1633" i="1"/>
  <c r="N1633" i="1"/>
  <c r="A1633" i="1" a="1"/>
  <c r="A1633" i="1"/>
  <c r="AG1633" i="1" s="1" a="1"/>
  <c r="AG1633" i="1" s="1"/>
  <c r="Y1633" i="1" s="1"/>
  <c r="AG1632" i="1" a="1"/>
  <c r="AG1632" i="1" s="1"/>
  <c r="Y1632" i="1" s="1"/>
  <c r="AD1632" i="1"/>
  <c r="T1632" i="1" s="1"/>
  <c r="R1632" i="1"/>
  <c r="N1632" i="1"/>
  <c r="A1632" i="1" a="1"/>
  <c r="A1632" i="1" s="1"/>
  <c r="AF1632" i="1" s="1" a="1"/>
  <c r="AF1632" i="1" s="1"/>
  <c r="X1632" i="1" s="1"/>
  <c r="AD1631" i="1"/>
  <c r="T1631" i="1" s="1"/>
  <c r="R1631" i="1"/>
  <c r="N1631" i="1"/>
  <c r="A1631" i="1" a="1"/>
  <c r="A1631" i="1" s="1"/>
  <c r="AF1631" i="1" s="1" a="1"/>
  <c r="AF1631" i="1" s="1"/>
  <c r="X1631" i="1" s="1"/>
  <c r="AD1630" i="1"/>
  <c r="R1630" i="1"/>
  <c r="N1630" i="1"/>
  <c r="A1630" i="1" a="1"/>
  <c r="A1630" i="1" s="1"/>
  <c r="AF1629" i="1" a="1"/>
  <c r="AF1629" i="1" s="1"/>
  <c r="X1629" i="1" s="1"/>
  <c r="AD1629" i="1"/>
  <c r="R1629" i="1"/>
  <c r="N1629" i="1"/>
  <c r="A1629" i="1" a="1"/>
  <c r="A1629" i="1"/>
  <c r="AG1629" i="1" s="1" a="1"/>
  <c r="AG1629" i="1" s="1"/>
  <c r="Y1629" i="1" s="1"/>
  <c r="AG1628" i="1" a="1"/>
  <c r="AG1628" i="1" s="1"/>
  <c r="Y1628" i="1" s="1"/>
  <c r="AD1628" i="1"/>
  <c r="T1628" i="1"/>
  <c r="R1628" i="1"/>
  <c r="N1628" i="1"/>
  <c r="A1628" i="1" a="1"/>
  <c r="A1628" i="1" s="1"/>
  <c r="AF1628" i="1" s="1" a="1"/>
  <c r="AF1628" i="1" s="1"/>
  <c r="X1628" i="1" s="1"/>
  <c r="AD1627" i="1"/>
  <c r="X1627" i="1"/>
  <c r="T1627" i="1"/>
  <c r="R1627" i="1"/>
  <c r="N1627" i="1"/>
  <c r="A1627" i="1" a="1"/>
  <c r="A1627" i="1" s="1"/>
  <c r="AF1627" i="1" s="1" a="1"/>
  <c r="AF1627" i="1" s="1"/>
  <c r="AD1626" i="1"/>
  <c r="R1626" i="1"/>
  <c r="N1626" i="1"/>
  <c r="A1626" i="1" a="1"/>
  <c r="A1626" i="1" s="1"/>
  <c r="AD1625" i="1"/>
  <c r="R1625" i="1"/>
  <c r="N1625" i="1"/>
  <c r="A1625" i="1" a="1"/>
  <c r="A1625" i="1" s="1"/>
  <c r="AD1552" i="1"/>
  <c r="T1552" i="1" s="1"/>
  <c r="R1552" i="1"/>
  <c r="N1552" i="1"/>
  <c r="A1552" i="1" a="1"/>
  <c r="A1552" i="1" s="1"/>
  <c r="AD1623" i="1"/>
  <c r="T1623" i="1" s="1"/>
  <c r="R1623" i="1"/>
  <c r="N1623" i="1"/>
  <c r="A1623" i="1" a="1"/>
  <c r="A1623" i="1" s="1"/>
  <c r="AF1623" i="1" s="1" a="1"/>
  <c r="AF1623" i="1" s="1"/>
  <c r="X1623" i="1" s="1"/>
  <c r="AD1622" i="1"/>
  <c r="N1622" i="1"/>
  <c r="M1622" i="1"/>
  <c r="R1622" i="1" s="1"/>
  <c r="A1622" i="1" a="1"/>
  <c r="A1622" i="1" s="1"/>
  <c r="AD1548" i="1"/>
  <c r="T1548" i="1" s="1"/>
  <c r="R1548" i="1"/>
  <c r="N1548" i="1"/>
  <c r="A1548" i="1" a="1"/>
  <c r="A1548" i="1" s="1"/>
  <c r="AD1547" i="1"/>
  <c r="T1547" i="1" s="1"/>
  <c r="R1547" i="1"/>
  <c r="N1547" i="1"/>
  <c r="M1547" i="1"/>
  <c r="A1547" i="1" a="1"/>
  <c r="A1547" i="1" s="1"/>
  <c r="R1273" i="1"/>
  <c r="T1273" i="1" s="1"/>
  <c r="AB1273" i="1" s="1"/>
  <c r="N1273" i="1"/>
  <c r="A1273" i="1" a="1"/>
  <c r="A1273" i="1" s="1"/>
  <c r="AG1273" i="1" s="1" a="1"/>
  <c r="AG1273" i="1" s="1"/>
  <c r="Y1273" i="1" s="1"/>
  <c r="AD1618" i="1"/>
  <c r="T1618" i="1" s="1"/>
  <c r="N1618" i="1"/>
  <c r="M1618" i="1"/>
  <c r="R1618" i="1" s="1"/>
  <c r="A1618" i="1" a="1"/>
  <c r="A1618" i="1" s="1"/>
  <c r="AG1618" i="1" s="1" a="1"/>
  <c r="AG1618" i="1" s="1"/>
  <c r="Y1618" i="1" s="1"/>
  <c r="R948" i="1"/>
  <c r="T948" i="1" s="1"/>
  <c r="AA948" i="1" s="1"/>
  <c r="N948" i="1"/>
  <c r="A948" i="1" a="1"/>
  <c r="A948" i="1" s="1"/>
  <c r="AG948" i="1" s="1" a="1"/>
  <c r="AG948" i="1" s="1"/>
  <c r="Y948" i="1" s="1"/>
  <c r="AD1616" i="1"/>
  <c r="T1616" i="1" s="1"/>
  <c r="N1616" i="1"/>
  <c r="M1616" i="1"/>
  <c r="R1616" i="1" s="1"/>
  <c r="A1616" i="1" a="1"/>
  <c r="A1616" i="1" s="1"/>
  <c r="AG1616" i="1" s="1" a="1"/>
  <c r="AG1616" i="1" s="1"/>
  <c r="Y1616" i="1" s="1"/>
  <c r="AD1615" i="1"/>
  <c r="R1615" i="1"/>
  <c r="N1615" i="1"/>
  <c r="A1615" i="1" a="1"/>
  <c r="A1615" i="1" s="1"/>
  <c r="AF1615" i="1" s="1" a="1"/>
  <c r="AF1615" i="1" s="1"/>
  <c r="X1615" i="1" s="1"/>
  <c r="AD1614" i="1"/>
  <c r="R1614" i="1"/>
  <c r="N1614" i="1"/>
  <c r="A1614" i="1" a="1"/>
  <c r="A1614" i="1" s="1"/>
  <c r="AD1613" i="1"/>
  <c r="R1613" i="1"/>
  <c r="N1613" i="1"/>
  <c r="A1613" i="1" a="1"/>
  <c r="A1613" i="1" s="1"/>
  <c r="AG1613" i="1" s="1" a="1"/>
  <c r="AG1613" i="1" s="1"/>
  <c r="Y1613" i="1" s="1"/>
  <c r="AD1612" i="1"/>
  <c r="R1612" i="1"/>
  <c r="N1612" i="1"/>
  <c r="A1612" i="1" a="1"/>
  <c r="A1612" i="1" s="1"/>
  <c r="AD1611" i="1"/>
  <c r="R1611" i="1"/>
  <c r="N1611" i="1"/>
  <c r="A1611" i="1" a="1"/>
  <c r="A1611" i="1" s="1"/>
  <c r="AD1610" i="1"/>
  <c r="R1610" i="1"/>
  <c r="N1610" i="1"/>
  <c r="A1610" i="1" a="1"/>
  <c r="A1610" i="1"/>
  <c r="AG1610" i="1" s="1" a="1"/>
  <c r="AG1610" i="1" s="1"/>
  <c r="Y1610" i="1" s="1"/>
  <c r="AD1609" i="1"/>
  <c r="R1609" i="1"/>
  <c r="N1609" i="1"/>
  <c r="A1609" i="1" a="1"/>
  <c r="A1609" i="1"/>
  <c r="AG1609" i="1" s="1" a="1"/>
  <c r="AG1609" i="1" s="1"/>
  <c r="Y1609" i="1" s="1"/>
  <c r="AD1608" i="1"/>
  <c r="R1608" i="1"/>
  <c r="T1608" i="1" s="1"/>
  <c r="N1608" i="1"/>
  <c r="A1608" i="1" a="1"/>
  <c r="A1608" i="1"/>
  <c r="AF1608" i="1" s="1" a="1"/>
  <c r="AF1608" i="1" s="1"/>
  <c r="X1608" i="1" s="1"/>
  <c r="AD1607" i="1"/>
  <c r="R1607" i="1"/>
  <c r="N1607" i="1"/>
  <c r="A1607" i="1" a="1"/>
  <c r="A1607" i="1" s="1"/>
  <c r="AD1606" i="1"/>
  <c r="R1606" i="1"/>
  <c r="T1606" i="1" s="1"/>
  <c r="N1606" i="1"/>
  <c r="A1606" i="1" a="1"/>
  <c r="A1606" i="1" s="1"/>
  <c r="AD1605" i="1"/>
  <c r="R1605" i="1"/>
  <c r="N1605" i="1"/>
  <c r="A1605" i="1" a="1"/>
  <c r="A1605" i="1" s="1"/>
  <c r="AD1604" i="1"/>
  <c r="T1604" i="1"/>
  <c r="R1604" i="1"/>
  <c r="N1604" i="1"/>
  <c r="A1604" i="1" a="1"/>
  <c r="A1604" i="1" s="1"/>
  <c r="AD1603" i="1"/>
  <c r="R1603" i="1"/>
  <c r="N1603" i="1"/>
  <c r="A1603" i="1" a="1"/>
  <c r="A1603" i="1" s="1"/>
  <c r="AF1603" i="1" s="1" a="1"/>
  <c r="AF1603" i="1" s="1"/>
  <c r="X1603" i="1" s="1"/>
  <c r="R1272" i="1"/>
  <c r="T1272" i="1" s="1"/>
  <c r="N1272" i="1"/>
  <c r="A1272" i="1" a="1"/>
  <c r="A1272" i="1" s="1"/>
  <c r="AD1601" i="1"/>
  <c r="R1601" i="1"/>
  <c r="N1601" i="1"/>
  <c r="A1601" i="1" a="1"/>
  <c r="A1601" i="1"/>
  <c r="AG1601" i="1" s="1" a="1"/>
  <c r="AG1601" i="1" s="1"/>
  <c r="Y1601" i="1" s="1"/>
  <c r="AD1600" i="1"/>
  <c r="R1600" i="1"/>
  <c r="T1600" i="1" s="1"/>
  <c r="N1600" i="1"/>
  <c r="A1600" i="1" a="1"/>
  <c r="A1600" i="1"/>
  <c r="AD1599" i="1"/>
  <c r="R1599" i="1"/>
  <c r="N1599" i="1"/>
  <c r="A1599" i="1" a="1"/>
  <c r="A1599" i="1"/>
  <c r="AG1599" i="1" s="1" a="1"/>
  <c r="AG1599" i="1" s="1"/>
  <c r="Y1599" i="1" s="1"/>
  <c r="AD1598" i="1"/>
  <c r="R1598" i="1"/>
  <c r="T1598" i="1" s="1"/>
  <c r="N1598" i="1"/>
  <c r="A1598" i="1" a="1"/>
  <c r="A1598" i="1" s="1"/>
  <c r="AD1597" i="1"/>
  <c r="R1597" i="1"/>
  <c r="N1597" i="1"/>
  <c r="A1597" i="1" a="1"/>
  <c r="A1597" i="1" s="1"/>
  <c r="AD1596" i="1"/>
  <c r="R1596" i="1"/>
  <c r="N1596" i="1"/>
  <c r="A1596" i="1" a="1"/>
  <c r="A1596" i="1"/>
  <c r="AD1595" i="1"/>
  <c r="R1595" i="1"/>
  <c r="N1595" i="1"/>
  <c r="A1595" i="1" a="1"/>
  <c r="A1595" i="1"/>
  <c r="AG1595" i="1" s="1" a="1"/>
  <c r="AG1595" i="1" s="1"/>
  <c r="Y1595" i="1" s="1"/>
  <c r="AD1594" i="1"/>
  <c r="R1594" i="1"/>
  <c r="T1594" i="1" s="1"/>
  <c r="N1594" i="1"/>
  <c r="A1594" i="1" a="1"/>
  <c r="A1594" i="1"/>
  <c r="AD1593" i="1"/>
  <c r="R1593" i="1"/>
  <c r="N1593" i="1"/>
  <c r="A1593" i="1" a="1"/>
  <c r="A1593" i="1"/>
  <c r="AG1593" i="1" s="1" a="1"/>
  <c r="AG1593" i="1" s="1"/>
  <c r="Y1593" i="1" s="1"/>
  <c r="AD1592" i="1"/>
  <c r="R1592" i="1"/>
  <c r="T1592" i="1" s="1"/>
  <c r="N1592" i="1"/>
  <c r="A1592" i="1" a="1"/>
  <c r="A1592" i="1" s="1"/>
  <c r="AD1591" i="1"/>
  <c r="R1591" i="1"/>
  <c r="T1591" i="1" s="1"/>
  <c r="N1591" i="1"/>
  <c r="A1591" i="1" a="1"/>
  <c r="A1591" i="1" s="1"/>
  <c r="AD1590" i="1"/>
  <c r="T1590" i="1" s="1"/>
  <c r="R1590" i="1"/>
  <c r="N1590" i="1"/>
  <c r="A1590" i="1" a="1"/>
  <c r="A1590" i="1"/>
  <c r="AD1589" i="1"/>
  <c r="R1589" i="1"/>
  <c r="N1589" i="1"/>
  <c r="A1589" i="1" a="1"/>
  <c r="A1589" i="1" s="1"/>
  <c r="AG1589" i="1" s="1" a="1"/>
  <c r="AG1589" i="1" s="1"/>
  <c r="Y1589" i="1" s="1"/>
  <c r="AD1588" i="1"/>
  <c r="T1588" i="1" s="1"/>
  <c r="R1588" i="1"/>
  <c r="N1588" i="1"/>
  <c r="A1588" i="1" a="1"/>
  <c r="A1588" i="1"/>
  <c r="AD1587" i="1"/>
  <c r="R1587" i="1"/>
  <c r="N1587" i="1"/>
  <c r="A1587" i="1" a="1"/>
  <c r="A1587" i="1" s="1"/>
  <c r="AD1586" i="1"/>
  <c r="T1586" i="1" s="1"/>
  <c r="R1586" i="1"/>
  <c r="N1586" i="1"/>
  <c r="A1586" i="1" a="1"/>
  <c r="A1586" i="1" s="1"/>
  <c r="AD1585" i="1"/>
  <c r="R1585" i="1"/>
  <c r="N1585" i="1"/>
  <c r="A1585" i="1" a="1"/>
  <c r="A1585" i="1" s="1"/>
  <c r="AD1584" i="1"/>
  <c r="R1584" i="1"/>
  <c r="N1584" i="1"/>
  <c r="A1584" i="1" a="1"/>
  <c r="A1584" i="1" s="1"/>
  <c r="AF1583" i="1" a="1"/>
  <c r="AF1583" i="1"/>
  <c r="X1583" i="1" s="1"/>
  <c r="AD1583" i="1"/>
  <c r="R1583" i="1"/>
  <c r="N1583" i="1"/>
  <c r="A1583" i="1" a="1"/>
  <c r="A1583" i="1"/>
  <c r="AG1583" i="1" s="1" a="1"/>
  <c r="AG1583" i="1" s="1"/>
  <c r="Y1583" i="1" s="1"/>
  <c r="AD1582" i="1"/>
  <c r="T1582" i="1"/>
  <c r="R1582" i="1"/>
  <c r="N1582" i="1"/>
  <c r="A1582" i="1" a="1"/>
  <c r="A1582" i="1" s="1"/>
  <c r="AD1581" i="1"/>
  <c r="R1581" i="1"/>
  <c r="N1581" i="1"/>
  <c r="A1581" i="1" a="1"/>
  <c r="A1581" i="1" s="1"/>
  <c r="AG1581" i="1" s="1" a="1"/>
  <c r="AG1581" i="1" s="1"/>
  <c r="Y1581" i="1" s="1"/>
  <c r="AD1580" i="1"/>
  <c r="R1580" i="1"/>
  <c r="T1580" i="1" s="1"/>
  <c r="N1580" i="1"/>
  <c r="A1580" i="1" a="1"/>
  <c r="A1580" i="1" s="1"/>
  <c r="AD1579" i="1"/>
  <c r="R1579" i="1"/>
  <c r="N1579" i="1"/>
  <c r="A1579" i="1" a="1"/>
  <c r="A1579" i="1" s="1"/>
  <c r="AD1578" i="1"/>
  <c r="R1578" i="1"/>
  <c r="T1578" i="1" s="1"/>
  <c r="N1578" i="1"/>
  <c r="A1578" i="1" a="1"/>
  <c r="A1578" i="1"/>
  <c r="AD1577" i="1"/>
  <c r="R1577" i="1"/>
  <c r="N1577" i="1"/>
  <c r="A1577" i="1" a="1"/>
  <c r="A1577" i="1" s="1"/>
  <c r="AG1577" i="1" s="1" a="1"/>
  <c r="AG1577" i="1" s="1"/>
  <c r="Y1577" i="1" s="1"/>
  <c r="AD1576" i="1"/>
  <c r="T1576" i="1" s="1"/>
  <c r="R1576" i="1"/>
  <c r="N1576" i="1"/>
  <c r="A1576" i="1" a="1"/>
  <c r="A1576" i="1"/>
  <c r="AD1575" i="1"/>
  <c r="R1575" i="1"/>
  <c r="N1575" i="1"/>
  <c r="A1575" i="1" a="1"/>
  <c r="A1575" i="1" s="1"/>
  <c r="AD1574" i="1"/>
  <c r="T1574" i="1" s="1"/>
  <c r="R1574" i="1"/>
  <c r="N1574" i="1"/>
  <c r="A1574" i="1" a="1"/>
  <c r="A1574" i="1" s="1"/>
  <c r="AD1573" i="1"/>
  <c r="R1573" i="1"/>
  <c r="N1573" i="1"/>
  <c r="A1573" i="1" a="1"/>
  <c r="A1573" i="1" s="1"/>
  <c r="AD1572" i="1"/>
  <c r="R1572" i="1"/>
  <c r="N1572" i="1"/>
  <c r="A1572" i="1" a="1"/>
  <c r="A1572" i="1" s="1"/>
  <c r="AD1571" i="1"/>
  <c r="R1571" i="1"/>
  <c r="N1571" i="1"/>
  <c r="A1571" i="1" a="1"/>
  <c r="A1571" i="1" s="1"/>
  <c r="AD1570" i="1"/>
  <c r="T1570" i="1" s="1"/>
  <c r="R1570" i="1"/>
  <c r="N1570" i="1"/>
  <c r="A1570" i="1" a="1"/>
  <c r="A1570" i="1"/>
  <c r="AD1569" i="1"/>
  <c r="R1569" i="1"/>
  <c r="N1569" i="1"/>
  <c r="A1569" i="1" a="1"/>
  <c r="A1569" i="1"/>
  <c r="AG1569" i="1" s="1" a="1"/>
  <c r="AG1569" i="1" s="1"/>
  <c r="Y1569" i="1" s="1"/>
  <c r="AD1568" i="1"/>
  <c r="X1568" i="1"/>
  <c r="R1568" i="1"/>
  <c r="N1568" i="1"/>
  <c r="A1568" i="1" a="1"/>
  <c r="A1568" i="1"/>
  <c r="AF1568" i="1" s="1" a="1"/>
  <c r="AF1568" i="1" s="1"/>
  <c r="AD1567" i="1"/>
  <c r="R1567" i="1"/>
  <c r="N1567" i="1"/>
  <c r="A1567" i="1" a="1"/>
  <c r="A1567" i="1"/>
  <c r="AG1567" i="1" s="1" a="1"/>
  <c r="AG1567" i="1" s="1"/>
  <c r="Y1567" i="1" s="1"/>
  <c r="AD1566" i="1"/>
  <c r="R1566" i="1"/>
  <c r="T1566" i="1" s="1"/>
  <c r="N1566" i="1"/>
  <c r="A1566" i="1" a="1"/>
  <c r="A1566" i="1"/>
  <c r="AG1566" i="1" s="1" a="1"/>
  <c r="AG1566" i="1" s="1"/>
  <c r="Y1566" i="1" s="1"/>
  <c r="AD1565" i="1"/>
  <c r="R1565" i="1"/>
  <c r="N1565" i="1"/>
  <c r="A1565" i="1" a="1"/>
  <c r="A1565" i="1"/>
  <c r="AF1565" i="1" s="1" a="1"/>
  <c r="AF1565" i="1" s="1"/>
  <c r="X1565" i="1" s="1"/>
  <c r="AD1564" i="1"/>
  <c r="R1564" i="1"/>
  <c r="N1564" i="1"/>
  <c r="A1564" i="1" a="1"/>
  <c r="A1564" i="1" s="1"/>
  <c r="AD1563" i="1"/>
  <c r="T1563" i="1" s="1"/>
  <c r="R1563" i="1"/>
  <c r="N1563" i="1"/>
  <c r="A1563" i="1" a="1"/>
  <c r="A1563" i="1"/>
  <c r="AG1563" i="1" s="1" a="1"/>
  <c r="AG1563" i="1" s="1"/>
  <c r="Y1563" i="1" s="1"/>
  <c r="AD1562" i="1"/>
  <c r="R1562" i="1"/>
  <c r="T1562" i="1" s="1"/>
  <c r="N1562" i="1"/>
  <c r="A1562" i="1" a="1"/>
  <c r="A1562" i="1" s="1"/>
  <c r="AG1562" i="1" s="1" a="1"/>
  <c r="AG1562" i="1" s="1"/>
  <c r="Y1562" i="1" s="1"/>
  <c r="AD1561" i="1"/>
  <c r="R1561" i="1"/>
  <c r="N1561" i="1"/>
  <c r="A1561" i="1" a="1"/>
  <c r="A1561" i="1" s="1"/>
  <c r="AD1560" i="1"/>
  <c r="R1560" i="1"/>
  <c r="N1560" i="1"/>
  <c r="A1560" i="1" a="1"/>
  <c r="A1560" i="1" s="1"/>
  <c r="AG1559" i="1" a="1"/>
  <c r="AG1559" i="1" s="1"/>
  <c r="Y1559" i="1" s="1"/>
  <c r="AF1559" i="1" a="1"/>
  <c r="AF1559" i="1" s="1"/>
  <c r="X1559" i="1" s="1"/>
  <c r="AD1559" i="1"/>
  <c r="R1559" i="1"/>
  <c r="N1559" i="1"/>
  <c r="R932" i="1"/>
  <c r="T932" i="1" s="1"/>
  <c r="N932" i="1"/>
  <c r="A932" i="1" a="1"/>
  <c r="A932" i="1" s="1"/>
  <c r="R579" i="1"/>
  <c r="T579" i="1" s="1"/>
  <c r="N579" i="1"/>
  <c r="A579" i="1" a="1"/>
  <c r="A579" i="1" s="1"/>
  <c r="AD1556" i="1"/>
  <c r="T1556" i="1" s="1"/>
  <c r="S1556" i="1"/>
  <c r="R1556" i="1"/>
  <c r="N1556" i="1"/>
  <c r="A1556" i="1" a="1"/>
  <c r="A1556" i="1"/>
  <c r="AD1555" i="1"/>
  <c r="S1555" i="1"/>
  <c r="R1555" i="1"/>
  <c r="N1555" i="1"/>
  <c r="A1555" i="1" a="1"/>
  <c r="A1555" i="1"/>
  <c r="AD1554" i="1"/>
  <c r="S1554" i="1"/>
  <c r="R1554" i="1"/>
  <c r="N1554" i="1"/>
  <c r="A1554" i="1" a="1"/>
  <c r="A1554" i="1" s="1"/>
  <c r="AG1553" i="1" a="1"/>
  <c r="AG1553" i="1" s="1"/>
  <c r="Y1553" i="1" s="1"/>
  <c r="AF1553" i="1" a="1"/>
  <c r="AF1553" i="1" s="1"/>
  <c r="X1553" i="1" s="1"/>
  <c r="AD1553" i="1"/>
  <c r="T1553" i="1" s="1"/>
  <c r="AB1553" i="1" s="1"/>
  <c r="R1553" i="1"/>
  <c r="R1242" i="1"/>
  <c r="T1242" i="1" s="1"/>
  <c r="N1242" i="1"/>
  <c r="A1242" i="1" a="1"/>
  <c r="A1242" i="1" s="1"/>
  <c r="AG1551" i="1" a="1"/>
  <c r="AG1551" i="1" s="1"/>
  <c r="Y1551" i="1" s="1"/>
  <c r="AF1551" i="1" a="1"/>
  <c r="AF1551" i="1"/>
  <c r="X1551" i="1" s="1"/>
  <c r="AD1551" i="1"/>
  <c r="R1551" i="1"/>
  <c r="AG1550" i="1" a="1"/>
  <c r="AG1550" i="1" s="1"/>
  <c r="Y1550" i="1" s="1"/>
  <c r="AF1550" i="1" a="1"/>
  <c r="AF1550" i="1" s="1"/>
  <c r="X1550" i="1" s="1"/>
  <c r="AD1550" i="1"/>
  <c r="R1550" i="1"/>
  <c r="AG1549" i="1" a="1"/>
  <c r="AG1549" i="1"/>
  <c r="Y1549" i="1" s="1"/>
  <c r="AF1549" i="1" a="1"/>
  <c r="AF1549" i="1" s="1"/>
  <c r="X1549" i="1" s="1"/>
  <c r="AD1549" i="1"/>
  <c r="R1549" i="1"/>
  <c r="R947" i="1"/>
  <c r="T947" i="1" s="1"/>
  <c r="AA947" i="1" s="1"/>
  <c r="N947" i="1"/>
  <c r="A947" i="1" a="1"/>
  <c r="A947" i="1"/>
  <c r="AG947" i="1" s="1" a="1"/>
  <c r="AG947" i="1" s="1"/>
  <c r="Y947" i="1" s="1"/>
  <c r="T923" i="1"/>
  <c r="R923" i="1"/>
  <c r="N923" i="1"/>
  <c r="A923" i="1" a="1"/>
  <c r="A923" i="1" s="1"/>
  <c r="T463" i="1"/>
  <c r="AA463" i="1" s="1"/>
  <c r="R463" i="1"/>
  <c r="N463" i="1"/>
  <c r="A463" i="1" a="1"/>
  <c r="A463" i="1" s="1"/>
  <c r="AG463" i="1" s="1" a="1"/>
  <c r="AG463" i="1" s="1"/>
  <c r="Y463" i="1" s="1"/>
  <c r="AD1545" i="1"/>
  <c r="R1545" i="1"/>
  <c r="T1545" i="1" s="1"/>
  <c r="N1545" i="1"/>
  <c r="A1545" i="1" a="1"/>
  <c r="A1545" i="1"/>
  <c r="AD1544" i="1"/>
  <c r="T1544" i="1" s="1"/>
  <c r="R1544" i="1"/>
  <c r="N1544" i="1"/>
  <c r="M1544" i="1"/>
  <c r="A1544" i="1" a="1"/>
  <c r="A1544" i="1" s="1"/>
  <c r="AD1543" i="1"/>
  <c r="R1543" i="1"/>
  <c r="T1543" i="1" s="1"/>
  <c r="AB1543" i="1" s="1"/>
  <c r="N1543" i="1"/>
  <c r="A1543" i="1" a="1"/>
  <c r="A1543" i="1"/>
  <c r="AG1543" i="1" s="1" a="1"/>
  <c r="AG1543" i="1" s="1"/>
  <c r="Y1543" i="1" s="1"/>
  <c r="AD1542" i="1"/>
  <c r="R1542" i="1"/>
  <c r="N1542" i="1"/>
  <c r="A1542" i="1" a="1"/>
  <c r="A1542" i="1" s="1"/>
  <c r="AD1541" i="1"/>
  <c r="X1541" i="1"/>
  <c r="S1541" i="1"/>
  <c r="R1541" i="1"/>
  <c r="N1541" i="1"/>
  <c r="A1541" i="1" a="1"/>
  <c r="A1541" i="1"/>
  <c r="AF1541" i="1" s="1" a="1"/>
  <c r="AF1541" i="1" s="1"/>
  <c r="AD1540" i="1"/>
  <c r="S1540" i="1"/>
  <c r="R1540" i="1"/>
  <c r="N1540" i="1"/>
  <c r="A1540" i="1" a="1"/>
  <c r="A1540" i="1" s="1"/>
  <c r="AD1539" i="1"/>
  <c r="R1539" i="1"/>
  <c r="N1539" i="1"/>
  <c r="A1539" i="1" a="1"/>
  <c r="A1539" i="1" s="1"/>
  <c r="AD1538" i="1"/>
  <c r="T1538" i="1" s="1"/>
  <c r="R1538" i="1"/>
  <c r="N1538" i="1"/>
  <c r="A1538" i="1" a="1"/>
  <c r="A1538" i="1" s="1"/>
  <c r="AD1537" i="1"/>
  <c r="R1537" i="1"/>
  <c r="T1537" i="1" s="1"/>
  <c r="N1537" i="1"/>
  <c r="A1537" i="1" a="1"/>
  <c r="A1537" i="1"/>
  <c r="AG1537" i="1" s="1" a="1"/>
  <c r="AG1537" i="1" s="1"/>
  <c r="Y1537" i="1" s="1"/>
  <c r="AD1536" i="1"/>
  <c r="R1536" i="1"/>
  <c r="N1536" i="1"/>
  <c r="A1536" i="1" a="1"/>
  <c r="A1536" i="1" s="1"/>
  <c r="AD1535" i="1"/>
  <c r="R1535" i="1"/>
  <c r="N1535" i="1"/>
  <c r="A1535" i="1" a="1"/>
  <c r="A1535" i="1" s="1"/>
  <c r="AD1534" i="1"/>
  <c r="T1534" i="1"/>
  <c r="R1534" i="1"/>
  <c r="N1534" i="1"/>
  <c r="A1534" i="1" a="1"/>
  <c r="A1534" i="1" s="1"/>
  <c r="AD1533" i="1"/>
  <c r="T1533" i="1" s="1"/>
  <c r="R1533" i="1"/>
  <c r="N1533" i="1"/>
  <c r="A1533" i="1" a="1"/>
  <c r="A1533" i="1"/>
  <c r="AG1533" i="1" s="1" a="1"/>
  <c r="AG1533" i="1" s="1"/>
  <c r="Y1533" i="1" s="1"/>
  <c r="AD1532" i="1"/>
  <c r="R1532" i="1"/>
  <c r="N1532" i="1"/>
  <c r="A1532" i="1" a="1"/>
  <c r="A1532" i="1" s="1"/>
  <c r="AD1531" i="1"/>
  <c r="T1531" i="1" s="1"/>
  <c r="R1531" i="1"/>
  <c r="N1531" i="1"/>
  <c r="A1531" i="1" a="1"/>
  <c r="A1531" i="1" s="1"/>
  <c r="AD1530" i="1"/>
  <c r="R1530" i="1"/>
  <c r="N1530" i="1"/>
  <c r="A1530" i="1" a="1"/>
  <c r="A1530" i="1" s="1"/>
  <c r="AD1529" i="1"/>
  <c r="R1529" i="1"/>
  <c r="N1529" i="1"/>
  <c r="A1529" i="1" a="1"/>
  <c r="A1529" i="1" s="1"/>
  <c r="AD1528" i="1"/>
  <c r="T1528" i="1" s="1"/>
  <c r="R1528" i="1"/>
  <c r="N1528" i="1"/>
  <c r="A1528" i="1" a="1"/>
  <c r="A1528" i="1" s="1"/>
  <c r="AD1527" i="1"/>
  <c r="N1527" i="1"/>
  <c r="M1527" i="1"/>
  <c r="R1527" i="1" s="1"/>
  <c r="A1527" i="1" a="1"/>
  <c r="A1527" i="1" s="1"/>
  <c r="AF438" i="1" a="1"/>
  <c r="AF438" i="1" s="1"/>
  <c r="X438" i="1" s="1"/>
  <c r="R438" i="1"/>
  <c r="T438" i="1" s="1"/>
  <c r="N438" i="1"/>
  <c r="A438" i="1" a="1"/>
  <c r="A438" i="1"/>
  <c r="AG438" i="1" s="1" a="1"/>
  <c r="AG438" i="1" s="1"/>
  <c r="Y438" i="1" s="1"/>
  <c r="AB438" i="1" s="1"/>
  <c r="AG431" i="1" a="1"/>
  <c r="AG431" i="1"/>
  <c r="Y431" i="1" s="1"/>
  <c r="R431" i="1"/>
  <c r="T431" i="1" s="1"/>
  <c r="N431" i="1"/>
  <c r="A431" i="1" a="1"/>
  <c r="A431" i="1"/>
  <c r="AF431" i="1" s="1" a="1"/>
  <c r="AF431" i="1" s="1"/>
  <c r="X431" i="1" s="1"/>
  <c r="R430" i="1"/>
  <c r="T430" i="1" s="1"/>
  <c r="N430" i="1"/>
  <c r="A430" i="1" a="1"/>
  <c r="A430" i="1" s="1"/>
  <c r="AD1523" i="1"/>
  <c r="R1523" i="1"/>
  <c r="N1523" i="1"/>
  <c r="A1523" i="1" a="1"/>
  <c r="A1523" i="1" s="1"/>
  <c r="AD1522" i="1"/>
  <c r="T1522" i="1" s="1"/>
  <c r="N1522" i="1"/>
  <c r="M1522" i="1"/>
  <c r="R1522" i="1" s="1"/>
  <c r="A1522" i="1" a="1"/>
  <c r="A1522" i="1" s="1"/>
  <c r="AD1521" i="1"/>
  <c r="T1521" i="1" s="1"/>
  <c r="Y1521" i="1"/>
  <c r="X1521" i="1"/>
  <c r="N1521" i="1"/>
  <c r="M1521" i="1"/>
  <c r="R1521" i="1" s="1"/>
  <c r="A1521" i="1" a="1"/>
  <c r="A1521" i="1" s="1"/>
  <c r="AD1520" i="1"/>
  <c r="AB1520" i="1"/>
  <c r="AA1520" i="1"/>
  <c r="Y1520" i="1"/>
  <c r="X1520" i="1"/>
  <c r="T1520" i="1"/>
  <c r="R1520" i="1"/>
  <c r="N1520" i="1"/>
  <c r="A1520" i="1" a="1"/>
  <c r="A1520" i="1" s="1"/>
  <c r="AD1519" i="1"/>
  <c r="T1519" i="1" s="1"/>
  <c r="AA1519" i="1" s="1"/>
  <c r="Y1519" i="1"/>
  <c r="X1519" i="1"/>
  <c r="R1519" i="1"/>
  <c r="N1519" i="1"/>
  <c r="A1519" i="1" a="1"/>
  <c r="A1519" i="1"/>
  <c r="AD1518" i="1"/>
  <c r="Y1518" i="1"/>
  <c r="X1518" i="1"/>
  <c r="R1518" i="1"/>
  <c r="N1518" i="1"/>
  <c r="A1518" i="1" a="1"/>
  <c r="A1518" i="1" s="1"/>
  <c r="AD1517" i="1"/>
  <c r="Y1517" i="1"/>
  <c r="X1517" i="1"/>
  <c r="R1517" i="1"/>
  <c r="N1517" i="1"/>
  <c r="A1517" i="1" a="1"/>
  <c r="A1517" i="1" s="1"/>
  <c r="AD1516" i="1"/>
  <c r="Y1516" i="1"/>
  <c r="X1516" i="1"/>
  <c r="R1516" i="1"/>
  <c r="N1516" i="1"/>
  <c r="A1516" i="1" a="1"/>
  <c r="A1516" i="1" s="1"/>
  <c r="AD1515" i="1"/>
  <c r="Y1515" i="1"/>
  <c r="X1515" i="1"/>
  <c r="R1515" i="1"/>
  <c r="N1515" i="1"/>
  <c r="A1515" i="1" a="1"/>
  <c r="A1515" i="1"/>
  <c r="AD1514" i="1"/>
  <c r="Y1514" i="1"/>
  <c r="X1514" i="1"/>
  <c r="R1514" i="1"/>
  <c r="N1514" i="1"/>
  <c r="A1514" i="1" a="1"/>
  <c r="A1514" i="1" s="1"/>
  <c r="AD1513" i="1"/>
  <c r="K1513" i="1"/>
  <c r="R1513" i="1" s="1"/>
  <c r="A1513" i="1" a="1"/>
  <c r="A1513" i="1" s="1"/>
  <c r="AD1512" i="1"/>
  <c r="R1512" i="1"/>
  <c r="O1512" i="1"/>
  <c r="N1512" i="1"/>
  <c r="A1512" i="1" a="1"/>
  <c r="A1512" i="1" s="1"/>
  <c r="AG1512" i="1" s="1" a="1"/>
  <c r="AG1512" i="1" s="1"/>
  <c r="Y1512" i="1" s="1"/>
  <c r="AD1511" i="1"/>
  <c r="R1511" i="1"/>
  <c r="T1511" i="1" s="1"/>
  <c r="N1511" i="1"/>
  <c r="A1511" i="1" a="1"/>
  <c r="A1511" i="1" s="1"/>
  <c r="AF1511" i="1" s="1" a="1"/>
  <c r="AF1511" i="1" s="1"/>
  <c r="X1511" i="1" s="1"/>
  <c r="AD1510" i="1"/>
  <c r="S1510" i="1"/>
  <c r="R1510" i="1"/>
  <c r="O1510" i="1"/>
  <c r="N1510" i="1"/>
  <c r="A1510" i="1" a="1"/>
  <c r="A1510" i="1"/>
  <c r="AG1510" i="1" s="1" a="1"/>
  <c r="AG1510" i="1" s="1"/>
  <c r="Y1510" i="1" s="1"/>
  <c r="AD1509" i="1"/>
  <c r="R1509" i="1"/>
  <c r="N1509" i="1"/>
  <c r="A1509" i="1" a="1"/>
  <c r="A1509" i="1" s="1"/>
  <c r="AD1508" i="1"/>
  <c r="R1508" i="1"/>
  <c r="T1508" i="1" s="1"/>
  <c r="N1508" i="1"/>
  <c r="A1508" i="1" a="1"/>
  <c r="A1508" i="1" s="1"/>
  <c r="AD1507" i="1"/>
  <c r="T1507" i="1" s="1"/>
  <c r="R1507" i="1"/>
  <c r="O1507" i="1"/>
  <c r="N1507" i="1"/>
  <c r="A1507" i="1" a="1"/>
  <c r="A1507" i="1" s="1"/>
  <c r="AG1507" i="1" s="1" a="1"/>
  <c r="AG1507" i="1" s="1"/>
  <c r="Y1507" i="1" s="1"/>
  <c r="AD1506" i="1"/>
  <c r="R1506" i="1"/>
  <c r="T1506" i="1" s="1"/>
  <c r="O1506" i="1"/>
  <c r="N1506" i="1"/>
  <c r="A1506" i="1" a="1"/>
  <c r="A1506" i="1" s="1"/>
  <c r="AG1506" i="1" s="1" a="1"/>
  <c r="AG1506" i="1" s="1"/>
  <c r="Y1506" i="1" s="1"/>
  <c r="AD1505" i="1"/>
  <c r="T1505" i="1" s="1"/>
  <c r="R1505" i="1"/>
  <c r="O1505" i="1"/>
  <c r="N1505" i="1"/>
  <c r="A1505" i="1" a="1"/>
  <c r="A1505" i="1"/>
  <c r="AG1505" i="1" s="1" a="1"/>
  <c r="AG1505" i="1" s="1"/>
  <c r="Y1505" i="1" s="1"/>
  <c r="AD1504" i="1"/>
  <c r="T1504" i="1" s="1"/>
  <c r="AB1504" i="1" s="1"/>
  <c r="R1504" i="1"/>
  <c r="O1504" i="1"/>
  <c r="N1504" i="1"/>
  <c r="A1504" i="1" a="1"/>
  <c r="A1504" i="1"/>
  <c r="AG1504" i="1" s="1" a="1"/>
  <c r="AG1504" i="1" s="1"/>
  <c r="Y1504" i="1" s="1"/>
  <c r="AD1503" i="1"/>
  <c r="R1503" i="1"/>
  <c r="O1503" i="1"/>
  <c r="N1503" i="1"/>
  <c r="A1503" i="1" a="1"/>
  <c r="A1503" i="1" s="1"/>
  <c r="AG1503" i="1" s="1" a="1"/>
  <c r="AG1503" i="1" s="1"/>
  <c r="Y1503" i="1" s="1"/>
  <c r="AD1502" i="1"/>
  <c r="R1502" i="1"/>
  <c r="O1502" i="1"/>
  <c r="N1502" i="1"/>
  <c r="A1502" i="1" a="1"/>
  <c r="A1502" i="1" s="1"/>
  <c r="AG1502" i="1" s="1" a="1"/>
  <c r="AG1502" i="1" s="1"/>
  <c r="Y1502" i="1" s="1"/>
  <c r="AD1501" i="1"/>
  <c r="T1501" i="1" s="1"/>
  <c r="R1501" i="1"/>
  <c r="O1501" i="1"/>
  <c r="N1501" i="1"/>
  <c r="A1501" i="1" a="1"/>
  <c r="A1501" i="1" s="1"/>
  <c r="AD1500" i="1"/>
  <c r="R1500" i="1"/>
  <c r="T1500" i="1" s="1"/>
  <c r="O1500" i="1"/>
  <c r="N1500" i="1"/>
  <c r="A1500" i="1" a="1"/>
  <c r="A1500" i="1" s="1"/>
  <c r="AD1499" i="1"/>
  <c r="T1499" i="1" s="1"/>
  <c r="AB1499" i="1" s="1"/>
  <c r="R1499" i="1"/>
  <c r="O1499" i="1"/>
  <c r="N1499" i="1"/>
  <c r="A1499" i="1" a="1"/>
  <c r="A1499" i="1" s="1"/>
  <c r="AG1499" i="1" s="1" a="1"/>
  <c r="AG1499" i="1" s="1"/>
  <c r="Y1499" i="1" s="1"/>
  <c r="AG1498" i="1"/>
  <c r="Y1498" i="1" s="1"/>
  <c r="AD1498" i="1"/>
  <c r="R1498" i="1"/>
  <c r="O1498" i="1"/>
  <c r="N1498" i="1"/>
  <c r="L1498" i="1"/>
  <c r="A1498" i="1" a="1"/>
  <c r="A1498" i="1"/>
  <c r="AG1498" i="1" s="1" a="1"/>
  <c r="AD1497" i="1"/>
  <c r="R1497" i="1"/>
  <c r="N1497" i="1"/>
  <c r="A1497" i="1" a="1"/>
  <c r="A1497" i="1" s="1"/>
  <c r="AD1496" i="1"/>
  <c r="R1496" i="1"/>
  <c r="N1496" i="1"/>
  <c r="A1496" i="1" a="1"/>
  <c r="A1496" i="1" s="1"/>
  <c r="AG1496" i="1" s="1" a="1"/>
  <c r="AG1496" i="1" s="1"/>
  <c r="Y1496" i="1" s="1"/>
  <c r="AD1495" i="1"/>
  <c r="R1495" i="1"/>
  <c r="N1495" i="1"/>
  <c r="L1495" i="1"/>
  <c r="A1495" i="1" a="1"/>
  <c r="A1495" i="1" s="1"/>
  <c r="AD1494" i="1"/>
  <c r="T1494" i="1" s="1"/>
  <c r="R1494" i="1"/>
  <c r="N1494" i="1"/>
  <c r="A1494" i="1" a="1"/>
  <c r="A1494" i="1" s="1"/>
  <c r="AF1494" i="1" s="1" a="1"/>
  <c r="AF1494" i="1" s="1"/>
  <c r="X1494" i="1" s="1"/>
  <c r="AG1493" i="1" a="1"/>
  <c r="AG1493" i="1" s="1"/>
  <c r="Y1493" i="1" s="1"/>
  <c r="AD1493" i="1"/>
  <c r="N1493" i="1"/>
  <c r="M1493" i="1"/>
  <c r="R1493" i="1" s="1"/>
  <c r="A1493" i="1" a="1"/>
  <c r="A1493" i="1"/>
  <c r="AF1493" i="1" s="1" a="1"/>
  <c r="AF1493" i="1" s="1"/>
  <c r="X1493" i="1" s="1"/>
  <c r="T225" i="1"/>
  <c r="AB225" i="1" s="1"/>
  <c r="R225" i="1"/>
  <c r="N225" i="1"/>
  <c r="A225" i="1" a="1"/>
  <c r="A225" i="1" s="1"/>
  <c r="AG225" i="1" s="1" a="1"/>
  <c r="AG225" i="1" s="1"/>
  <c r="Y225" i="1" s="1"/>
  <c r="AF1491" i="1" a="1"/>
  <c r="AF1491" i="1" s="1"/>
  <c r="X1491" i="1" s="1"/>
  <c r="AD1491" i="1"/>
  <c r="R1491" i="1"/>
  <c r="N1491" i="1"/>
  <c r="A1491" i="1" a="1"/>
  <c r="A1491" i="1"/>
  <c r="AG1491" i="1" s="1" a="1"/>
  <c r="AG1491" i="1" s="1"/>
  <c r="Y1491" i="1" s="1"/>
  <c r="AD1490" i="1"/>
  <c r="R1490" i="1"/>
  <c r="N1490" i="1"/>
  <c r="A1490" i="1" a="1"/>
  <c r="A1490" i="1" s="1"/>
  <c r="AG1490" i="1" s="1" a="1"/>
  <c r="AG1490" i="1" s="1"/>
  <c r="Y1490" i="1" s="1"/>
  <c r="AD1489" i="1"/>
  <c r="T1489" i="1"/>
  <c r="AB1489" i="1" s="1"/>
  <c r="R1489" i="1"/>
  <c r="O1489" i="1"/>
  <c r="N1489" i="1"/>
  <c r="A1489" i="1" a="1"/>
  <c r="A1489" i="1"/>
  <c r="AG1489" i="1" s="1" a="1"/>
  <c r="AG1489" i="1" s="1"/>
  <c r="Y1489" i="1" s="1"/>
  <c r="AD1488" i="1"/>
  <c r="R1488" i="1"/>
  <c r="O1488" i="1"/>
  <c r="N1488" i="1"/>
  <c r="A1488" i="1" a="1"/>
  <c r="A1488" i="1" s="1"/>
  <c r="AG1488" i="1" s="1" a="1"/>
  <c r="AG1488" i="1" s="1"/>
  <c r="Y1488" i="1" s="1"/>
  <c r="AD1487" i="1"/>
  <c r="R1487" i="1"/>
  <c r="N1487" i="1"/>
  <c r="A1487" i="1" a="1"/>
  <c r="A1487" i="1"/>
  <c r="AG1487" i="1" s="1" a="1"/>
  <c r="AG1487" i="1" s="1"/>
  <c r="Y1487" i="1" s="1"/>
  <c r="AD1486" i="1"/>
  <c r="R1486" i="1"/>
  <c r="T1486" i="1" s="1"/>
  <c r="N1486" i="1"/>
  <c r="A1486" i="1" a="1"/>
  <c r="A1486" i="1" s="1"/>
  <c r="AG1486" i="1" s="1" a="1"/>
  <c r="AG1486" i="1" s="1"/>
  <c r="Y1486" i="1" s="1"/>
  <c r="AF1485" i="1"/>
  <c r="X1485" i="1" s="1"/>
  <c r="AD1485" i="1"/>
  <c r="R1485" i="1"/>
  <c r="N1485" i="1"/>
  <c r="A1485" i="1" a="1"/>
  <c r="A1485" i="1" s="1"/>
  <c r="AF1485" i="1" s="1" a="1"/>
  <c r="AD1484" i="1"/>
  <c r="R1484" i="1"/>
  <c r="N1484" i="1"/>
  <c r="A1484" i="1" a="1"/>
  <c r="A1484" i="1" s="1"/>
  <c r="AF1484" i="1" s="1" a="1"/>
  <c r="AF1484" i="1" s="1"/>
  <c r="X1484" i="1" s="1"/>
  <c r="AD1483" i="1"/>
  <c r="T1483" i="1" s="1"/>
  <c r="R1483" i="1"/>
  <c r="N1483" i="1"/>
  <c r="A1483" i="1" a="1"/>
  <c r="A1483" i="1" s="1"/>
  <c r="AF1483" i="1" s="1" a="1"/>
  <c r="AF1483" i="1" s="1"/>
  <c r="X1483" i="1" s="1"/>
  <c r="AD1482" i="1"/>
  <c r="R1482" i="1"/>
  <c r="N1482" i="1"/>
  <c r="A1482" i="1" a="1"/>
  <c r="A1482" i="1" s="1"/>
  <c r="AD1481" i="1"/>
  <c r="R1481" i="1"/>
  <c r="N1481" i="1"/>
  <c r="A1481" i="1" a="1"/>
  <c r="A1481" i="1" s="1"/>
  <c r="AF1481" i="1" s="1" a="1"/>
  <c r="AF1481" i="1" s="1"/>
  <c r="X1481" i="1" s="1"/>
  <c r="AD1480" i="1"/>
  <c r="T1480" i="1"/>
  <c r="R1480" i="1"/>
  <c r="N1480" i="1"/>
  <c r="A1480" i="1" a="1"/>
  <c r="A1480" i="1" s="1"/>
  <c r="AF1480" i="1" s="1" a="1"/>
  <c r="AF1480" i="1" s="1"/>
  <c r="X1480" i="1" s="1"/>
  <c r="AD1479" i="1"/>
  <c r="T1479" i="1"/>
  <c r="R1479" i="1"/>
  <c r="N1479" i="1"/>
  <c r="A1479" i="1" a="1"/>
  <c r="A1479" i="1"/>
  <c r="AD1478" i="1"/>
  <c r="T1478" i="1"/>
  <c r="R1478" i="1"/>
  <c r="N1478" i="1"/>
  <c r="A1478" i="1" a="1"/>
  <c r="A1478" i="1" s="1"/>
  <c r="AG1478" i="1" s="1" a="1"/>
  <c r="AG1478" i="1" s="1"/>
  <c r="Y1478" i="1" s="1"/>
  <c r="AD1477" i="1"/>
  <c r="T1477" i="1"/>
  <c r="R1477" i="1"/>
  <c r="N1477" i="1"/>
  <c r="A1477" i="1" a="1"/>
  <c r="A1477" i="1" s="1"/>
  <c r="AF1477" i="1" s="1" a="1"/>
  <c r="AF1477" i="1" s="1"/>
  <c r="X1477" i="1" s="1"/>
  <c r="AF1476" i="1"/>
  <c r="X1476" i="1" s="1"/>
  <c r="AD1476" i="1"/>
  <c r="R1476" i="1"/>
  <c r="N1476" i="1"/>
  <c r="A1476" i="1" a="1"/>
  <c r="A1476" i="1" s="1"/>
  <c r="AF1476" i="1" s="1" a="1"/>
  <c r="R218" i="1"/>
  <c r="T218" i="1" s="1"/>
  <c r="AB218" i="1" s="1"/>
  <c r="N218" i="1"/>
  <c r="A218" i="1" a="1"/>
  <c r="A218" i="1" s="1"/>
  <c r="AG218" i="1" s="1" a="1"/>
  <c r="AG218" i="1" s="1"/>
  <c r="Y218" i="1" s="1"/>
  <c r="R1624" i="1"/>
  <c r="T1624" i="1" s="1"/>
  <c r="N1624" i="1"/>
  <c r="A1624" i="1" a="1"/>
  <c r="A1624" i="1" s="1"/>
  <c r="AG1624" i="1" s="1" a="1"/>
  <c r="AG1624" i="1" s="1"/>
  <c r="Y1624" i="1" s="1"/>
  <c r="R206" i="1"/>
  <c r="T206" i="1" s="1"/>
  <c r="N206" i="1"/>
  <c r="A206" i="1" a="1"/>
  <c r="A206" i="1" s="1"/>
  <c r="AF206" i="1" s="1" a="1"/>
  <c r="AF206" i="1" s="1"/>
  <c r="X206" i="1" s="1"/>
  <c r="AD1472" i="1"/>
  <c r="T1472" i="1" s="1"/>
  <c r="R1472" i="1"/>
  <c r="N1472" i="1"/>
  <c r="A1472" i="1" a="1"/>
  <c r="A1472" i="1"/>
  <c r="AG1472" i="1" s="1" a="1"/>
  <c r="AG1472" i="1" s="1"/>
  <c r="Y1472" i="1" s="1"/>
  <c r="AD1471" i="1"/>
  <c r="T1471" i="1"/>
  <c r="R1471" i="1"/>
  <c r="N1471" i="1"/>
  <c r="A1471" i="1" a="1"/>
  <c r="A1471" i="1" s="1"/>
  <c r="AD1470" i="1"/>
  <c r="R1470" i="1"/>
  <c r="N1470" i="1"/>
  <c r="A1470" i="1" a="1"/>
  <c r="A1470" i="1" s="1"/>
  <c r="AF1470" i="1" s="1" a="1"/>
  <c r="AF1470" i="1" s="1"/>
  <c r="X1470" i="1" s="1"/>
  <c r="R217" i="1"/>
  <c r="T217" i="1" s="1"/>
  <c r="N217" i="1"/>
  <c r="A217" i="1" a="1"/>
  <c r="A217" i="1" s="1"/>
  <c r="R186" i="1"/>
  <c r="T186" i="1" s="1"/>
  <c r="N186" i="1"/>
  <c r="A186" i="1" a="1"/>
  <c r="A186" i="1" s="1"/>
  <c r="AD1467" i="1"/>
  <c r="R1467" i="1"/>
  <c r="N1467" i="1"/>
  <c r="A1467" i="1" a="1"/>
  <c r="A1467" i="1"/>
  <c r="AG1467" i="1" s="1" a="1"/>
  <c r="AG1467" i="1" s="1"/>
  <c r="Y1467" i="1" s="1"/>
  <c r="AD1466" i="1"/>
  <c r="R1466" i="1"/>
  <c r="N1466" i="1"/>
  <c r="A1466" i="1" a="1"/>
  <c r="A1466" i="1" s="1"/>
  <c r="AD1465" i="1"/>
  <c r="R1465" i="1"/>
  <c r="N1465" i="1"/>
  <c r="A1465" i="1" a="1"/>
  <c r="A1465" i="1" s="1"/>
  <c r="AF1465" i="1" s="1" a="1"/>
  <c r="AF1465" i="1" s="1"/>
  <c r="X1465" i="1" s="1"/>
  <c r="AD1464" i="1"/>
  <c r="T1464" i="1" s="1"/>
  <c r="R1464" i="1"/>
  <c r="N1464" i="1"/>
  <c r="A1464" i="1" a="1"/>
  <c r="A1464" i="1"/>
  <c r="AG1464" i="1" s="1" a="1"/>
  <c r="AG1464" i="1" s="1"/>
  <c r="Y1464" i="1" s="1"/>
  <c r="AB1464" i="1" s="1"/>
  <c r="AD1463" i="1"/>
  <c r="R1463" i="1"/>
  <c r="T1463" i="1" s="1"/>
  <c r="N1463" i="1"/>
  <c r="A1463" i="1" a="1"/>
  <c r="A1463" i="1" s="1"/>
  <c r="AG1463" i="1" s="1" a="1"/>
  <c r="AG1463" i="1" s="1"/>
  <c r="Y1463" i="1" s="1"/>
  <c r="AD1462" i="1"/>
  <c r="R1462" i="1"/>
  <c r="N1462" i="1"/>
  <c r="A1462" i="1" a="1"/>
  <c r="A1462" i="1" s="1"/>
  <c r="AG1462" i="1" s="1" a="1"/>
  <c r="AG1462" i="1" s="1"/>
  <c r="Y1462" i="1" s="1"/>
  <c r="AD1461" i="1"/>
  <c r="R1461" i="1"/>
  <c r="N1461" i="1"/>
  <c r="A1461" i="1" a="1"/>
  <c r="A1461" i="1" s="1"/>
  <c r="AF1461" i="1" s="1" a="1"/>
  <c r="AF1461" i="1" s="1"/>
  <c r="X1461" i="1" s="1"/>
  <c r="AD1460" i="1"/>
  <c r="T1460" i="1" s="1"/>
  <c r="R1460" i="1"/>
  <c r="N1460" i="1"/>
  <c r="A1460" i="1" a="1"/>
  <c r="A1460" i="1"/>
  <c r="AG1460" i="1" s="1" a="1"/>
  <c r="AG1460" i="1" s="1"/>
  <c r="Y1460" i="1" s="1"/>
  <c r="AD1459" i="1"/>
  <c r="R1459" i="1"/>
  <c r="T1459" i="1" s="1"/>
  <c r="N1459" i="1"/>
  <c r="A1459" i="1" a="1"/>
  <c r="A1459" i="1"/>
  <c r="AG1459" i="1" s="1" a="1"/>
  <c r="AG1459" i="1" s="1"/>
  <c r="Y1459" i="1" s="1"/>
  <c r="AD1458" i="1"/>
  <c r="R1458" i="1"/>
  <c r="N1458" i="1"/>
  <c r="A1458" i="1" a="1"/>
  <c r="A1458" i="1" s="1"/>
  <c r="AG1458" i="1" s="1" a="1"/>
  <c r="AG1458" i="1" s="1"/>
  <c r="Y1458" i="1" s="1"/>
  <c r="AD1457" i="1"/>
  <c r="R1457" i="1"/>
  <c r="N1457" i="1"/>
  <c r="A1457" i="1" a="1"/>
  <c r="A1457" i="1" s="1"/>
  <c r="AF1457" i="1" s="1" a="1"/>
  <c r="AF1457" i="1" s="1"/>
  <c r="X1457" i="1" s="1"/>
  <c r="AD1456" i="1"/>
  <c r="T1456" i="1" s="1"/>
  <c r="R1456" i="1"/>
  <c r="N1456" i="1"/>
  <c r="A1456" i="1" a="1"/>
  <c r="A1456" i="1" s="1"/>
  <c r="AG1456" i="1" s="1" a="1"/>
  <c r="AG1456" i="1" s="1"/>
  <c r="Y1456" i="1" s="1"/>
  <c r="AD1455" i="1"/>
  <c r="R1455" i="1"/>
  <c r="N1455" i="1"/>
  <c r="M1455" i="1"/>
  <c r="A1455" i="1" a="1"/>
  <c r="A1455" i="1" s="1"/>
  <c r="AD1454" i="1"/>
  <c r="N1454" i="1"/>
  <c r="M1454" i="1"/>
  <c r="R1454" i="1" s="1"/>
  <c r="A1454" i="1" a="1"/>
  <c r="A1454" i="1" s="1"/>
  <c r="AG1454" i="1" s="1" a="1"/>
  <c r="AG1454" i="1" s="1"/>
  <c r="Y1454" i="1" s="1"/>
  <c r="AD1453" i="1"/>
  <c r="T1453" i="1" s="1"/>
  <c r="R1453" i="1"/>
  <c r="N1453" i="1"/>
  <c r="A1453" i="1" a="1"/>
  <c r="A1453" i="1"/>
  <c r="AG1453" i="1" s="1" a="1"/>
  <c r="AG1453" i="1" s="1"/>
  <c r="Y1453" i="1" s="1"/>
  <c r="AD1452" i="1"/>
  <c r="R1452" i="1"/>
  <c r="N1452" i="1"/>
  <c r="A1452" i="1" a="1"/>
  <c r="A1452" i="1"/>
  <c r="AF1452" i="1" s="1" a="1"/>
  <c r="AF1452" i="1" s="1"/>
  <c r="X1452" i="1" s="1"/>
  <c r="AG1451" i="1" a="1"/>
  <c r="AG1451" i="1" s="1"/>
  <c r="Y1451" i="1" s="1"/>
  <c r="AD1451" i="1"/>
  <c r="R1451" i="1"/>
  <c r="N1451" i="1"/>
  <c r="A1451" i="1" a="1"/>
  <c r="A1451" i="1"/>
  <c r="AF1451" i="1" s="1" a="1"/>
  <c r="AF1451" i="1" s="1"/>
  <c r="X1451" i="1" s="1"/>
  <c r="AD1450" i="1"/>
  <c r="R1450" i="1"/>
  <c r="T1450" i="1" s="1"/>
  <c r="N1450" i="1"/>
  <c r="A1450" i="1" a="1"/>
  <c r="A1450" i="1" s="1"/>
  <c r="AF1450" i="1" s="1" a="1"/>
  <c r="AF1450" i="1" s="1"/>
  <c r="X1450" i="1" s="1"/>
  <c r="AD1449" i="1"/>
  <c r="T1449" i="1"/>
  <c r="R1449" i="1"/>
  <c r="N1449" i="1"/>
  <c r="A1449" i="1" a="1"/>
  <c r="A1449" i="1" s="1"/>
  <c r="AG1449" i="1" s="1" a="1"/>
  <c r="AG1449" i="1" s="1"/>
  <c r="Y1449" i="1" s="1"/>
  <c r="AD1448" i="1"/>
  <c r="R1448" i="1"/>
  <c r="N1448" i="1"/>
  <c r="A1448" i="1" a="1"/>
  <c r="A1448" i="1"/>
  <c r="AF1448" i="1" s="1" a="1"/>
  <c r="AF1448" i="1" s="1"/>
  <c r="X1448" i="1" s="1"/>
  <c r="AD1447" i="1"/>
  <c r="R1447" i="1"/>
  <c r="N1447" i="1"/>
  <c r="A1447" i="1" a="1"/>
  <c r="A1447" i="1" s="1"/>
  <c r="AD1446" i="1"/>
  <c r="T1446" i="1"/>
  <c r="R1446" i="1"/>
  <c r="N1446" i="1"/>
  <c r="A1446" i="1" a="1"/>
  <c r="A1446" i="1" s="1"/>
  <c r="AF1446" i="1" s="1" a="1"/>
  <c r="AF1446" i="1" s="1"/>
  <c r="X1446" i="1" s="1"/>
  <c r="AA1446" i="1" s="1"/>
  <c r="AD1445" i="1"/>
  <c r="R1445" i="1"/>
  <c r="T1445" i="1" s="1"/>
  <c r="N1445" i="1"/>
  <c r="A1445" i="1" a="1"/>
  <c r="A1445" i="1"/>
  <c r="AG1445" i="1" s="1" a="1"/>
  <c r="AG1445" i="1" s="1"/>
  <c r="Y1445" i="1" s="1"/>
  <c r="AD1444" i="1"/>
  <c r="R1444" i="1"/>
  <c r="N1444" i="1"/>
  <c r="A1444" i="1" a="1"/>
  <c r="A1444" i="1"/>
  <c r="AF1444" i="1" s="1" a="1"/>
  <c r="AF1444" i="1" s="1"/>
  <c r="X1444" i="1" s="1"/>
  <c r="AD1443" i="1"/>
  <c r="R1443" i="1"/>
  <c r="N1443" i="1"/>
  <c r="A1443" i="1" a="1"/>
  <c r="A1443" i="1" s="1"/>
  <c r="AD1442" i="1"/>
  <c r="T1442" i="1"/>
  <c r="R1442" i="1"/>
  <c r="N1442" i="1"/>
  <c r="A1442" i="1" a="1"/>
  <c r="A1442" i="1" s="1"/>
  <c r="AF1442" i="1" s="1" a="1"/>
  <c r="AF1442" i="1" s="1"/>
  <c r="X1442" i="1" s="1"/>
  <c r="AD1441" i="1"/>
  <c r="R1441" i="1"/>
  <c r="T1441" i="1" s="1"/>
  <c r="N1441" i="1"/>
  <c r="A1441" i="1" a="1"/>
  <c r="A1441" i="1"/>
  <c r="AG1441" i="1" s="1" a="1"/>
  <c r="AG1441" i="1" s="1"/>
  <c r="Y1441" i="1" s="1"/>
  <c r="AD1440" i="1"/>
  <c r="T1440" i="1" s="1"/>
  <c r="R1440" i="1"/>
  <c r="N1440" i="1"/>
  <c r="A1440" i="1" a="1"/>
  <c r="A1440" i="1" s="1"/>
  <c r="AD1439" i="1"/>
  <c r="R1439" i="1"/>
  <c r="N1439" i="1"/>
  <c r="A1439" i="1" a="1"/>
  <c r="A1439" i="1" s="1"/>
  <c r="AD1438" i="1"/>
  <c r="T1438" i="1" s="1"/>
  <c r="R1438" i="1"/>
  <c r="N1438" i="1"/>
  <c r="A1438" i="1" a="1"/>
  <c r="A1438" i="1" s="1"/>
  <c r="AF1438" i="1" s="1" a="1"/>
  <c r="AF1438" i="1" s="1"/>
  <c r="X1438" i="1" s="1"/>
  <c r="AA1438" i="1" s="1"/>
  <c r="AD1437" i="1"/>
  <c r="T1437" i="1"/>
  <c r="R1437" i="1"/>
  <c r="N1437" i="1"/>
  <c r="A1437" i="1" a="1"/>
  <c r="A1437" i="1" s="1"/>
  <c r="AG1437" i="1" s="1" a="1"/>
  <c r="AG1437" i="1" s="1"/>
  <c r="Y1437" i="1" s="1"/>
  <c r="AD1436" i="1"/>
  <c r="R1436" i="1"/>
  <c r="N1436" i="1"/>
  <c r="A1436" i="1" a="1"/>
  <c r="A1436" i="1" s="1"/>
  <c r="AD1435" i="1"/>
  <c r="R1435" i="1"/>
  <c r="N1435" i="1"/>
  <c r="A1435" i="1" a="1"/>
  <c r="A1435" i="1" s="1"/>
  <c r="AD1434" i="1"/>
  <c r="T1434" i="1" s="1"/>
  <c r="R1434" i="1"/>
  <c r="N1434" i="1"/>
  <c r="A1434" i="1" a="1"/>
  <c r="A1434" i="1" s="1"/>
  <c r="AF1434" i="1" s="1" a="1"/>
  <c r="AF1434" i="1" s="1"/>
  <c r="X1434" i="1" s="1"/>
  <c r="AD1433" i="1"/>
  <c r="T1433" i="1" s="1"/>
  <c r="R1433" i="1"/>
  <c r="N1433" i="1"/>
  <c r="A1433" i="1" a="1"/>
  <c r="A1433" i="1" s="1"/>
  <c r="AD1432" i="1"/>
  <c r="R1432" i="1"/>
  <c r="N1432" i="1"/>
  <c r="A1432" i="1" a="1"/>
  <c r="A1432" i="1" s="1"/>
  <c r="AD1431" i="1"/>
  <c r="R1431" i="1"/>
  <c r="N1431" i="1"/>
  <c r="A1431" i="1" a="1"/>
  <c r="A1431" i="1" s="1"/>
  <c r="AD1430" i="1"/>
  <c r="R1430" i="1"/>
  <c r="T1430" i="1" s="1"/>
  <c r="N1430" i="1"/>
  <c r="A1430" i="1" a="1"/>
  <c r="A1430" i="1" s="1"/>
  <c r="AF1430" i="1" s="1" a="1"/>
  <c r="AF1430" i="1" s="1"/>
  <c r="X1430" i="1" s="1"/>
  <c r="AD1429" i="1"/>
  <c r="T1429" i="1" s="1"/>
  <c r="R1429" i="1"/>
  <c r="N1429" i="1"/>
  <c r="A1429" i="1" a="1"/>
  <c r="A1429" i="1" s="1"/>
  <c r="AD1428" i="1"/>
  <c r="R1428" i="1"/>
  <c r="N1428" i="1"/>
  <c r="A1428" i="1" a="1"/>
  <c r="A1428" i="1" s="1"/>
  <c r="AD1427" i="1"/>
  <c r="R1427" i="1"/>
  <c r="N1427" i="1"/>
  <c r="A1427" i="1" a="1"/>
  <c r="A1427" i="1" s="1"/>
  <c r="AD1426" i="1"/>
  <c r="T1426" i="1" s="1"/>
  <c r="R1426" i="1"/>
  <c r="N1426" i="1"/>
  <c r="A1426" i="1" a="1"/>
  <c r="A1426" i="1" s="1"/>
  <c r="AF1426" i="1" s="1" a="1"/>
  <c r="AF1426" i="1" s="1"/>
  <c r="X1426" i="1" s="1"/>
  <c r="AD1425" i="1"/>
  <c r="T1425" i="1" s="1"/>
  <c r="R1425" i="1"/>
  <c r="N1425" i="1"/>
  <c r="A1425" i="1" a="1"/>
  <c r="A1425" i="1" s="1"/>
  <c r="AD1424" i="1"/>
  <c r="R1424" i="1"/>
  <c r="N1424" i="1"/>
  <c r="A1424" i="1" a="1"/>
  <c r="A1424" i="1" s="1"/>
  <c r="AD1423" i="1"/>
  <c r="R1423" i="1"/>
  <c r="N1423" i="1"/>
  <c r="A1423" i="1" a="1"/>
  <c r="A1423" i="1" s="1"/>
  <c r="AD1422" i="1"/>
  <c r="T1422" i="1"/>
  <c r="R1422" i="1"/>
  <c r="N1422" i="1"/>
  <c r="A1422" i="1" a="1"/>
  <c r="A1422" i="1" s="1"/>
  <c r="AF1422" i="1" s="1" a="1"/>
  <c r="AF1422" i="1" s="1"/>
  <c r="X1422" i="1" s="1"/>
  <c r="AD1421" i="1"/>
  <c r="T1421" i="1"/>
  <c r="R1421" i="1"/>
  <c r="N1421" i="1"/>
  <c r="A1421" i="1" a="1"/>
  <c r="A1421" i="1" s="1"/>
  <c r="AD1420" i="1"/>
  <c r="R1420" i="1"/>
  <c r="N1420" i="1"/>
  <c r="A1420" i="1" a="1"/>
  <c r="A1420" i="1" s="1"/>
  <c r="AD1419" i="1"/>
  <c r="R1419" i="1"/>
  <c r="N1419" i="1"/>
  <c r="A1419" i="1" a="1"/>
  <c r="A1419" i="1" s="1"/>
  <c r="AG1418" i="1" a="1"/>
  <c r="AG1418" i="1" s="1"/>
  <c r="Y1418" i="1" s="1"/>
  <c r="AD1418" i="1"/>
  <c r="R1418" i="1"/>
  <c r="T1418" i="1" s="1"/>
  <c r="N1418" i="1"/>
  <c r="A1418" i="1" a="1"/>
  <c r="A1418" i="1" s="1"/>
  <c r="AF1418" i="1" s="1" a="1"/>
  <c r="AF1418" i="1" s="1"/>
  <c r="X1418" i="1" s="1"/>
  <c r="AD1417" i="1"/>
  <c r="T1417" i="1"/>
  <c r="R1417" i="1"/>
  <c r="N1417" i="1"/>
  <c r="A1417" i="1" a="1"/>
  <c r="A1417" i="1" s="1"/>
  <c r="AD1416" i="1"/>
  <c r="T1416" i="1"/>
  <c r="R1416" i="1"/>
  <c r="N1416" i="1"/>
  <c r="A1416" i="1" a="1"/>
  <c r="A1416" i="1" s="1"/>
  <c r="AD1415" i="1"/>
  <c r="R1415" i="1"/>
  <c r="T1415" i="1" s="1"/>
  <c r="N1415" i="1"/>
  <c r="A1415" i="1" a="1"/>
  <c r="A1415" i="1" s="1"/>
  <c r="AD1414" i="1"/>
  <c r="T1414" i="1" s="1"/>
  <c r="R1414" i="1"/>
  <c r="N1414" i="1"/>
  <c r="A1414" i="1" a="1"/>
  <c r="A1414" i="1" s="1"/>
  <c r="AF1414" i="1" s="1" a="1"/>
  <c r="AF1414" i="1" s="1"/>
  <c r="X1414" i="1" s="1"/>
  <c r="AD1413" i="1"/>
  <c r="T1413" i="1"/>
  <c r="R1413" i="1"/>
  <c r="N1413" i="1"/>
  <c r="A1413" i="1" a="1"/>
  <c r="A1413" i="1" s="1"/>
  <c r="AD1412" i="1"/>
  <c r="R1412" i="1"/>
  <c r="N1412" i="1"/>
  <c r="A1412" i="1" a="1"/>
  <c r="A1412" i="1" s="1"/>
  <c r="AD1411" i="1"/>
  <c r="T1411" i="1"/>
  <c r="R1411" i="1"/>
  <c r="N1411" i="1"/>
  <c r="A1411" i="1" a="1"/>
  <c r="A1411" i="1" s="1"/>
  <c r="AD1410" i="1"/>
  <c r="R1410" i="1"/>
  <c r="T1410" i="1" s="1"/>
  <c r="N1410" i="1"/>
  <c r="A1410" i="1" a="1"/>
  <c r="A1410" i="1" s="1"/>
  <c r="AF1410" i="1" s="1" a="1"/>
  <c r="AF1410" i="1" s="1"/>
  <c r="X1410" i="1" s="1"/>
  <c r="AD1409" i="1"/>
  <c r="R1409" i="1"/>
  <c r="N1409" i="1"/>
  <c r="A1409" i="1" a="1"/>
  <c r="A1409" i="1" s="1"/>
  <c r="AD1408" i="1"/>
  <c r="R1408" i="1"/>
  <c r="N1408" i="1"/>
  <c r="A1408" i="1" a="1"/>
  <c r="A1408" i="1" s="1"/>
  <c r="AD1407" i="1"/>
  <c r="T1407" i="1"/>
  <c r="R1407" i="1"/>
  <c r="N1407" i="1"/>
  <c r="A1407" i="1" a="1"/>
  <c r="A1407" i="1" s="1"/>
  <c r="R1406" i="1"/>
  <c r="T1406" i="1" s="1"/>
  <c r="N1406" i="1"/>
  <c r="A1406" i="1" a="1"/>
  <c r="A1406" i="1"/>
  <c r="AF1406" i="1" s="1" a="1"/>
  <c r="AF1406" i="1" s="1"/>
  <c r="X1406" i="1" s="1"/>
  <c r="R1405" i="1"/>
  <c r="T1405" i="1" s="1"/>
  <c r="N1405" i="1"/>
  <c r="A1405" i="1" a="1"/>
  <c r="A1405" i="1" s="1"/>
  <c r="AF1404" i="1" a="1"/>
  <c r="AF1404" i="1" s="1"/>
  <c r="X1404" i="1" s="1"/>
  <c r="AA1404" i="1" s="1"/>
  <c r="T1404" i="1"/>
  <c r="R1404" i="1"/>
  <c r="N1404" i="1"/>
  <c r="A1404" i="1" a="1"/>
  <c r="A1404" i="1" s="1"/>
  <c r="AG1404" i="1" s="1" a="1"/>
  <c r="AG1404" i="1" s="1"/>
  <c r="R1403" i="1"/>
  <c r="T1403" i="1" s="1"/>
  <c r="N1403" i="1"/>
  <c r="A1403" i="1" a="1"/>
  <c r="A1403" i="1" s="1"/>
  <c r="R1402" i="1"/>
  <c r="T1402" i="1" s="1"/>
  <c r="N1402" i="1"/>
  <c r="A1402" i="1" a="1"/>
  <c r="A1402" i="1" s="1"/>
  <c r="AF1401" i="1" a="1"/>
  <c r="AF1401" i="1" s="1"/>
  <c r="X1401" i="1"/>
  <c r="R1401" i="1"/>
  <c r="T1401" i="1" s="1"/>
  <c r="N1401" i="1"/>
  <c r="A1401" i="1" a="1"/>
  <c r="A1401" i="1" s="1"/>
  <c r="AG1401" i="1" s="1" a="1"/>
  <c r="AG1401" i="1" s="1"/>
  <c r="R1400" i="1"/>
  <c r="T1400" i="1" s="1"/>
  <c r="AB1400" i="1" s="1"/>
  <c r="N1400" i="1"/>
  <c r="A1400" i="1" a="1"/>
  <c r="A1400" i="1" s="1"/>
  <c r="AG1400" i="1" s="1" a="1"/>
  <c r="AG1400" i="1" s="1"/>
  <c r="R1399" i="1"/>
  <c r="T1399" i="1" s="1"/>
  <c r="AB1399" i="1" s="1"/>
  <c r="N1399" i="1"/>
  <c r="A1399" i="1" a="1"/>
  <c r="A1399" i="1" s="1"/>
  <c r="AF1398" i="1" a="1"/>
  <c r="AF1398" i="1" s="1"/>
  <c r="X1398" i="1" s="1"/>
  <c r="AA1398" i="1"/>
  <c r="R1398" i="1"/>
  <c r="T1398" i="1" s="1"/>
  <c r="AB1398" i="1" s="1"/>
  <c r="N1398" i="1"/>
  <c r="A1398" i="1" a="1"/>
  <c r="A1398" i="1" s="1"/>
  <c r="AG1398" i="1" s="1" a="1"/>
  <c r="AG1398" i="1" s="1"/>
  <c r="R1397" i="1"/>
  <c r="T1397" i="1" s="1"/>
  <c r="AB1397" i="1" s="1"/>
  <c r="N1397" i="1"/>
  <c r="A1397" i="1" a="1"/>
  <c r="A1397" i="1"/>
  <c r="AG1397" i="1" s="1" a="1"/>
  <c r="AG1397" i="1" s="1"/>
  <c r="R1396" i="1"/>
  <c r="T1396" i="1" s="1"/>
  <c r="N1396" i="1"/>
  <c r="A1396" i="1" a="1"/>
  <c r="A1396" i="1" s="1"/>
  <c r="T1395" i="1"/>
  <c r="R1395" i="1"/>
  <c r="N1395" i="1"/>
  <c r="A1395" i="1" a="1"/>
  <c r="A1395" i="1" s="1"/>
  <c r="AG1395" i="1" s="1" a="1"/>
  <c r="AG1395" i="1" s="1"/>
  <c r="R1394" i="1"/>
  <c r="T1394" i="1" s="1"/>
  <c r="AB1394" i="1" s="1"/>
  <c r="N1394" i="1"/>
  <c r="A1394" i="1" a="1"/>
  <c r="A1394" i="1" s="1"/>
  <c r="AF1394" i="1" s="1" a="1"/>
  <c r="AF1394" i="1" s="1"/>
  <c r="X1394" i="1" s="1"/>
  <c r="R1393" i="1"/>
  <c r="T1393" i="1" s="1"/>
  <c r="N1393" i="1"/>
  <c r="A1393" i="1" a="1"/>
  <c r="A1393" i="1"/>
  <c r="T1392" i="1"/>
  <c r="R1392" i="1"/>
  <c r="N1392" i="1"/>
  <c r="A1392" i="1" a="1"/>
  <c r="A1392" i="1" s="1"/>
  <c r="AG1392" i="1" s="1" a="1"/>
  <c r="AG1392" i="1" s="1"/>
  <c r="R1391" i="1"/>
  <c r="T1391" i="1" s="1"/>
  <c r="AB1391" i="1" s="1"/>
  <c r="N1391" i="1"/>
  <c r="A1391" i="1" a="1"/>
  <c r="A1391" i="1" s="1"/>
  <c r="R1390" i="1"/>
  <c r="T1390" i="1" s="1"/>
  <c r="N1390" i="1"/>
  <c r="A1390" i="1" a="1"/>
  <c r="A1390" i="1" s="1"/>
  <c r="AF1390" i="1" s="1" a="1"/>
  <c r="AF1390" i="1" s="1"/>
  <c r="X1390" i="1" s="1"/>
  <c r="T1389" i="1"/>
  <c r="R1389" i="1"/>
  <c r="N1389" i="1"/>
  <c r="A1389" i="1" a="1"/>
  <c r="A1389" i="1" s="1"/>
  <c r="AG1389" i="1" s="1" a="1"/>
  <c r="AG1389" i="1" s="1"/>
  <c r="R1388" i="1"/>
  <c r="T1388" i="1" s="1"/>
  <c r="AB1388" i="1" s="1"/>
  <c r="N1388" i="1"/>
  <c r="A1388" i="1" a="1"/>
  <c r="A1388" i="1" s="1"/>
  <c r="AG1388" i="1" s="1" a="1"/>
  <c r="AG1388" i="1" s="1"/>
  <c r="R1387" i="1"/>
  <c r="T1387" i="1" s="1"/>
  <c r="AB1387" i="1" s="1"/>
  <c r="N1387" i="1"/>
  <c r="A1387" i="1" a="1"/>
  <c r="A1387" i="1"/>
  <c r="AF1387" i="1" s="1" a="1"/>
  <c r="AF1387" i="1" s="1"/>
  <c r="X1387" i="1" s="1"/>
  <c r="AA1387" i="1" s="1"/>
  <c r="Z1387" i="1" s="1"/>
  <c r="R1386" i="1"/>
  <c r="T1386" i="1" s="1"/>
  <c r="N1386" i="1"/>
  <c r="A1386" i="1" a="1"/>
  <c r="A1386" i="1" s="1"/>
  <c r="AB1385" i="1"/>
  <c r="R1385" i="1"/>
  <c r="T1385" i="1" s="1"/>
  <c r="N1385" i="1"/>
  <c r="A1385" i="1" a="1"/>
  <c r="A1385" i="1" s="1"/>
  <c r="AG1385" i="1" s="1" a="1"/>
  <c r="AG1385" i="1" s="1"/>
  <c r="R1384" i="1"/>
  <c r="T1384" i="1" s="1"/>
  <c r="N1384" i="1"/>
  <c r="A1384" i="1" a="1"/>
  <c r="A1384" i="1" s="1"/>
  <c r="AG1383" i="1"/>
  <c r="R1383" i="1"/>
  <c r="T1383" i="1" s="1"/>
  <c r="N1383" i="1"/>
  <c r="A1383" i="1" a="1"/>
  <c r="A1383" i="1" s="1"/>
  <c r="AG1383" i="1" s="1" a="1"/>
  <c r="R1382" i="1"/>
  <c r="T1382" i="1" s="1"/>
  <c r="AB1382" i="1" s="1"/>
  <c r="N1382" i="1"/>
  <c r="A1382" i="1" a="1"/>
  <c r="A1382" i="1" s="1"/>
  <c r="R1381" i="1"/>
  <c r="T1381" i="1" s="1"/>
  <c r="N1381" i="1"/>
  <c r="A1381" i="1" a="1"/>
  <c r="A1381" i="1" s="1"/>
  <c r="T1380" i="1"/>
  <c r="R1380" i="1"/>
  <c r="N1380" i="1"/>
  <c r="A1380" i="1" a="1"/>
  <c r="A1380" i="1" s="1"/>
  <c r="AG1380" i="1" s="1" a="1"/>
  <c r="AG1380" i="1" s="1"/>
  <c r="R1379" i="1"/>
  <c r="T1379" i="1" s="1"/>
  <c r="N1379" i="1"/>
  <c r="A1379" i="1" a="1"/>
  <c r="A1379" i="1" s="1"/>
  <c r="R1378" i="1"/>
  <c r="T1378" i="1" s="1"/>
  <c r="N1378" i="1"/>
  <c r="A1378" i="1" a="1"/>
  <c r="A1378" i="1"/>
  <c r="R1377" i="1"/>
  <c r="T1377" i="1" s="1"/>
  <c r="N1377" i="1"/>
  <c r="A1377" i="1" a="1"/>
  <c r="A1377" i="1" s="1"/>
  <c r="R1376" i="1"/>
  <c r="T1376" i="1" s="1"/>
  <c r="AB1376" i="1" s="1"/>
  <c r="N1376" i="1"/>
  <c r="A1376" i="1" a="1"/>
  <c r="A1376" i="1"/>
  <c r="AF1376" i="1" s="1" a="1"/>
  <c r="AF1376" i="1" s="1"/>
  <c r="X1376" i="1" s="1"/>
  <c r="R1375" i="1"/>
  <c r="T1375" i="1" s="1"/>
  <c r="AB1375" i="1" s="1"/>
  <c r="N1375" i="1"/>
  <c r="A1375" i="1" a="1"/>
  <c r="A1375" i="1" s="1"/>
  <c r="AF1374" i="1" a="1"/>
  <c r="AF1374" i="1" s="1"/>
  <c r="X1374" i="1" s="1"/>
  <c r="R1374" i="1"/>
  <c r="T1374" i="1" s="1"/>
  <c r="N1374" i="1"/>
  <c r="A1374" i="1" a="1"/>
  <c r="A1374" i="1" s="1"/>
  <c r="AG1374" i="1" s="1" a="1"/>
  <c r="AG1374" i="1" s="1"/>
  <c r="AB1373" i="1"/>
  <c r="R1373" i="1"/>
  <c r="T1373" i="1" s="1"/>
  <c r="N1373" i="1"/>
  <c r="A1373" i="1" a="1"/>
  <c r="A1373" i="1" s="1"/>
  <c r="AG1373" i="1" s="1" a="1"/>
  <c r="AG1373" i="1" s="1"/>
  <c r="R1372" i="1"/>
  <c r="T1372" i="1" s="1"/>
  <c r="N1372" i="1"/>
  <c r="A1372" i="1" a="1"/>
  <c r="A1372" i="1"/>
  <c r="R1371" i="1"/>
  <c r="T1371" i="1" s="1"/>
  <c r="N1371" i="1"/>
  <c r="A1371" i="1" a="1"/>
  <c r="A1371" i="1" s="1"/>
  <c r="AG1371" i="1" s="1" a="1"/>
  <c r="AG1371" i="1" s="1"/>
  <c r="R1370" i="1"/>
  <c r="T1370" i="1" s="1"/>
  <c r="AB1370" i="1" s="1"/>
  <c r="N1370" i="1"/>
  <c r="A1370" i="1" a="1"/>
  <c r="A1370" i="1"/>
  <c r="AF1370" i="1" s="1" a="1"/>
  <c r="AF1370" i="1" s="1"/>
  <c r="X1370" i="1" s="1"/>
  <c r="R1369" i="1"/>
  <c r="T1369" i="1" s="1"/>
  <c r="AB1369" i="1" s="1"/>
  <c r="N1369" i="1"/>
  <c r="A1369" i="1" a="1"/>
  <c r="A1369" i="1" s="1"/>
  <c r="AF1369" i="1" s="1" a="1"/>
  <c r="AF1369" i="1" s="1"/>
  <c r="X1369" i="1" s="1"/>
  <c r="T1368" i="1"/>
  <c r="AB1368" i="1" s="1"/>
  <c r="R1368" i="1"/>
  <c r="N1368" i="1"/>
  <c r="A1368" i="1" a="1"/>
  <c r="A1368" i="1" s="1"/>
  <c r="AG1368" i="1" s="1" a="1"/>
  <c r="AG1368" i="1" s="1"/>
  <c r="T1367" i="1"/>
  <c r="R1367" i="1"/>
  <c r="N1367" i="1"/>
  <c r="A1367" i="1" a="1"/>
  <c r="A1367" i="1" s="1"/>
  <c r="T1366" i="1"/>
  <c r="R1366" i="1"/>
  <c r="N1366" i="1"/>
  <c r="A1366" i="1" a="1"/>
  <c r="A1366" i="1" s="1"/>
  <c r="AG1366" i="1" s="1" a="1"/>
  <c r="AG1366" i="1" s="1"/>
  <c r="Y1366" i="1" s="1"/>
  <c r="AB1366" i="1" s="1"/>
  <c r="R1365" i="1"/>
  <c r="T1365" i="1" s="1"/>
  <c r="N1365" i="1"/>
  <c r="A1365" i="1" a="1"/>
  <c r="A1365" i="1" s="1"/>
  <c r="T1364" i="1"/>
  <c r="R1364" i="1"/>
  <c r="N1364" i="1"/>
  <c r="A1364" i="1" a="1"/>
  <c r="A1364" i="1"/>
  <c r="R1363" i="1"/>
  <c r="T1363" i="1" s="1"/>
  <c r="N1363" i="1"/>
  <c r="A1363" i="1" a="1"/>
  <c r="A1363" i="1"/>
  <c r="T1362" i="1"/>
  <c r="R1362" i="1"/>
  <c r="N1362" i="1"/>
  <c r="A1362" i="1" a="1"/>
  <c r="A1362" i="1" s="1"/>
  <c r="AF1362" i="1" s="1" a="1"/>
  <c r="AF1362" i="1" s="1"/>
  <c r="X1362" i="1" s="1"/>
  <c r="R1361" i="1"/>
  <c r="T1361" i="1" s="1"/>
  <c r="N1361" i="1"/>
  <c r="A1361" i="1" a="1"/>
  <c r="A1361" i="1"/>
  <c r="T1360" i="1"/>
  <c r="R1360" i="1"/>
  <c r="N1360" i="1"/>
  <c r="A1360" i="1" a="1"/>
  <c r="A1360" i="1" s="1"/>
  <c r="AG1360" i="1" s="1" a="1"/>
  <c r="AG1360" i="1" s="1"/>
  <c r="Y1360" i="1" s="1"/>
  <c r="AB1360" i="1" s="1"/>
  <c r="T1359" i="1"/>
  <c r="R1359" i="1"/>
  <c r="N1359" i="1"/>
  <c r="A1359" i="1" a="1"/>
  <c r="A1359" i="1" s="1"/>
  <c r="AG1359" i="1" s="1" a="1"/>
  <c r="AG1359" i="1" s="1"/>
  <c r="Y1359" i="1" s="1"/>
  <c r="R1358" i="1"/>
  <c r="T1358" i="1" s="1"/>
  <c r="N1358" i="1"/>
  <c r="A1358" i="1" a="1"/>
  <c r="A1358" i="1" s="1"/>
  <c r="R1357" i="1"/>
  <c r="T1357" i="1" s="1"/>
  <c r="N1357" i="1"/>
  <c r="A1357" i="1" a="1"/>
  <c r="A1357" i="1" s="1"/>
  <c r="AG1357" i="1" s="1" a="1"/>
  <c r="AG1357" i="1" s="1"/>
  <c r="Y1357" i="1" s="1"/>
  <c r="T1356" i="1"/>
  <c r="AA1356" i="1" s="1"/>
  <c r="R1356" i="1"/>
  <c r="N1356" i="1"/>
  <c r="A1356" i="1" a="1"/>
  <c r="A1356" i="1" s="1"/>
  <c r="AF1356" i="1" s="1" a="1"/>
  <c r="AF1356" i="1" s="1"/>
  <c r="X1356" i="1" s="1"/>
  <c r="R1355" i="1"/>
  <c r="T1355" i="1" s="1"/>
  <c r="N1355" i="1"/>
  <c r="A1355" i="1" a="1"/>
  <c r="A1355" i="1" s="1"/>
  <c r="R1354" i="1"/>
  <c r="T1354" i="1" s="1"/>
  <c r="AB1354" i="1" s="1"/>
  <c r="N1354" i="1"/>
  <c r="A1354" i="1" a="1"/>
  <c r="A1354" i="1"/>
  <c r="AG1354" i="1" s="1" a="1"/>
  <c r="AG1354" i="1" s="1"/>
  <c r="Y1354" i="1" s="1"/>
  <c r="AG1353" i="1" a="1"/>
  <c r="AG1353" i="1" s="1"/>
  <c r="Y1353" i="1" s="1"/>
  <c r="T1353" i="1"/>
  <c r="AB1353" i="1" s="1"/>
  <c r="R1353" i="1"/>
  <c r="N1353" i="1"/>
  <c r="A1353" i="1" a="1"/>
  <c r="A1353" i="1" s="1"/>
  <c r="AF1353" i="1" s="1" a="1"/>
  <c r="AF1353" i="1" s="1"/>
  <c r="X1353" i="1" s="1"/>
  <c r="R1352" i="1"/>
  <c r="T1352" i="1" s="1"/>
  <c r="N1352" i="1"/>
  <c r="A1352" i="1" a="1"/>
  <c r="A1352" i="1" s="1"/>
  <c r="AF1352" i="1" s="1" a="1"/>
  <c r="AF1352" i="1" s="1"/>
  <c r="X1352" i="1" s="1"/>
  <c r="R1351" i="1"/>
  <c r="T1351" i="1" s="1"/>
  <c r="N1351" i="1"/>
  <c r="A1351" i="1" a="1"/>
  <c r="A1351" i="1" s="1"/>
  <c r="AG1351" i="1" s="1" a="1"/>
  <c r="AG1351" i="1" s="1"/>
  <c r="Y1351" i="1" s="1"/>
  <c r="AF1350" i="1"/>
  <c r="X1350" i="1" s="1"/>
  <c r="AA1350" i="1" s="1"/>
  <c r="T1350" i="1"/>
  <c r="R1350" i="1"/>
  <c r="N1350" i="1"/>
  <c r="A1350" i="1" a="1"/>
  <c r="A1350" i="1" s="1"/>
  <c r="AF1350" i="1" s="1" a="1"/>
  <c r="R1349" i="1"/>
  <c r="T1349" i="1" s="1"/>
  <c r="N1349" i="1"/>
  <c r="A1349" i="1" a="1"/>
  <c r="A1349" i="1"/>
  <c r="AG1348" i="1"/>
  <c r="Y1348" i="1"/>
  <c r="AB1348" i="1" s="1"/>
  <c r="T1348" i="1"/>
  <c r="R1348" i="1"/>
  <c r="N1348" i="1"/>
  <c r="A1348" i="1" a="1"/>
  <c r="A1348" i="1"/>
  <c r="AG1348" i="1" s="1" a="1"/>
  <c r="T1347" i="1"/>
  <c r="R1347" i="1"/>
  <c r="N1347" i="1"/>
  <c r="A1347" i="1" a="1"/>
  <c r="A1347" i="1" s="1"/>
  <c r="AF1347" i="1" s="1" a="1"/>
  <c r="AF1347" i="1" s="1"/>
  <c r="X1347" i="1" s="1"/>
  <c r="R1346" i="1"/>
  <c r="T1346" i="1" s="1"/>
  <c r="N1346" i="1"/>
  <c r="A1346" i="1" a="1"/>
  <c r="A1346" i="1" s="1"/>
  <c r="R1345" i="1"/>
  <c r="T1345" i="1" s="1"/>
  <c r="N1345" i="1"/>
  <c r="A1345" i="1" a="1"/>
  <c r="A1345" i="1"/>
  <c r="R1344" i="1"/>
  <c r="T1344" i="1" s="1"/>
  <c r="N1344" i="1"/>
  <c r="A1344" i="1" a="1"/>
  <c r="A1344" i="1" s="1"/>
  <c r="AF1344" i="1" s="1" a="1"/>
  <c r="AF1344" i="1" s="1"/>
  <c r="X1344" i="1" s="1"/>
  <c r="R1343" i="1"/>
  <c r="T1343" i="1" s="1"/>
  <c r="N1343" i="1"/>
  <c r="A1343" i="1" a="1"/>
  <c r="A1343" i="1"/>
  <c r="R1342" i="1"/>
  <c r="T1342" i="1" s="1"/>
  <c r="N1342" i="1"/>
  <c r="A1342" i="1" a="1"/>
  <c r="A1342" i="1" s="1"/>
  <c r="AF1341" i="1" a="1"/>
  <c r="AF1341" i="1" s="1"/>
  <c r="X1341" i="1" s="1"/>
  <c r="R1341" i="1"/>
  <c r="T1341" i="1" s="1"/>
  <c r="N1341" i="1"/>
  <c r="A1341" i="1" a="1"/>
  <c r="A1341" i="1" s="1"/>
  <c r="AG1341" i="1" s="1" a="1"/>
  <c r="AG1341" i="1" s="1"/>
  <c r="Y1341" i="1" s="1"/>
  <c r="T1340" i="1"/>
  <c r="R1340" i="1"/>
  <c r="N1340" i="1"/>
  <c r="A1340" i="1" a="1"/>
  <c r="A1340" i="1" s="1"/>
  <c r="R1339" i="1"/>
  <c r="T1339" i="1" s="1"/>
  <c r="N1339" i="1"/>
  <c r="A1339" i="1" a="1"/>
  <c r="A1339" i="1" s="1"/>
  <c r="AG1339" i="1" s="1" a="1"/>
  <c r="AG1339" i="1" s="1"/>
  <c r="Y1339" i="1" s="1"/>
  <c r="R1338" i="1"/>
  <c r="T1338" i="1" s="1"/>
  <c r="N1338" i="1"/>
  <c r="A1338" i="1" a="1"/>
  <c r="A1338" i="1"/>
  <c r="AF1338" i="1" s="1" a="1"/>
  <c r="AF1338" i="1" s="1"/>
  <c r="X1338" i="1" s="1"/>
  <c r="T1337" i="1"/>
  <c r="R1337" i="1"/>
  <c r="N1337" i="1"/>
  <c r="A1337" i="1" a="1"/>
  <c r="A1337" i="1" s="1"/>
  <c r="T1336" i="1"/>
  <c r="R1336" i="1"/>
  <c r="N1336" i="1"/>
  <c r="A1336" i="1" a="1"/>
  <c r="A1336" i="1" s="1"/>
  <c r="AG1336" i="1" s="1" a="1"/>
  <c r="AG1336" i="1" s="1"/>
  <c r="Y1336" i="1" s="1"/>
  <c r="AB1336" i="1" s="1"/>
  <c r="AG1335" i="1" a="1"/>
  <c r="AG1335" i="1" s="1"/>
  <c r="Y1335" i="1"/>
  <c r="T1335" i="1"/>
  <c r="AB1335" i="1" s="1"/>
  <c r="R1335" i="1"/>
  <c r="N1335" i="1"/>
  <c r="A1335" i="1" a="1"/>
  <c r="A1335" i="1" s="1"/>
  <c r="AF1335" i="1" s="1" a="1"/>
  <c r="AF1335" i="1" s="1"/>
  <c r="X1335" i="1" s="1"/>
  <c r="R1334" i="1"/>
  <c r="T1334" i="1" s="1"/>
  <c r="N1334" i="1"/>
  <c r="A1334" i="1" a="1"/>
  <c r="A1334" i="1"/>
  <c r="AF1334" i="1" s="1" a="1"/>
  <c r="AF1334" i="1" s="1"/>
  <c r="X1334" i="1" s="1"/>
  <c r="R1333" i="1"/>
  <c r="T1333" i="1" s="1"/>
  <c r="N1333" i="1"/>
  <c r="A1333" i="1" a="1"/>
  <c r="A1333" i="1" s="1"/>
  <c r="T1332" i="1"/>
  <c r="R1332" i="1"/>
  <c r="N1332" i="1"/>
  <c r="A1332" i="1" a="1"/>
  <c r="A1332" i="1" s="1"/>
  <c r="AF1332" i="1" s="1" a="1"/>
  <c r="AF1332" i="1" s="1"/>
  <c r="X1332" i="1" s="1"/>
  <c r="AA1332" i="1" s="1"/>
  <c r="R1331" i="1"/>
  <c r="T1331" i="1" s="1"/>
  <c r="N1331" i="1"/>
  <c r="A1331" i="1" a="1"/>
  <c r="A1331" i="1" s="1"/>
  <c r="AG1331" i="1" s="1" a="1"/>
  <c r="AG1331" i="1" s="1"/>
  <c r="Y1331" i="1" s="1"/>
  <c r="T1330" i="1"/>
  <c r="R1330" i="1"/>
  <c r="N1330" i="1"/>
  <c r="A1330" i="1" a="1"/>
  <c r="A1330" i="1" s="1"/>
  <c r="R1329" i="1"/>
  <c r="T1329" i="1" s="1"/>
  <c r="N1329" i="1"/>
  <c r="A1329" i="1" a="1"/>
  <c r="A1329" i="1" s="1"/>
  <c r="R1328" i="1"/>
  <c r="T1328" i="1" s="1"/>
  <c r="N1328" i="1"/>
  <c r="A1328" i="1" a="1"/>
  <c r="A1328" i="1" s="1"/>
  <c r="R1327" i="1"/>
  <c r="T1327" i="1" s="1"/>
  <c r="N1327" i="1"/>
  <c r="A1327" i="1" a="1"/>
  <c r="A1327" i="1"/>
  <c r="AG1327" i="1" s="1" a="1"/>
  <c r="AG1327" i="1" s="1"/>
  <c r="Y1327" i="1" s="1"/>
  <c r="T1326" i="1"/>
  <c r="R1326" i="1"/>
  <c r="N1326" i="1"/>
  <c r="A1326" i="1" a="1"/>
  <c r="A1326" i="1" s="1"/>
  <c r="R1325" i="1"/>
  <c r="T1325" i="1" s="1"/>
  <c r="N1325" i="1"/>
  <c r="A1325" i="1" a="1"/>
  <c r="A1325" i="1"/>
  <c r="AG1325" i="1" s="1" a="1"/>
  <c r="AG1325" i="1" s="1"/>
  <c r="Y1325" i="1" s="1"/>
  <c r="T1324" i="1"/>
  <c r="R1324" i="1"/>
  <c r="N1324" i="1"/>
  <c r="A1324" i="1" a="1"/>
  <c r="A1324" i="1" s="1"/>
  <c r="R1323" i="1"/>
  <c r="T1323" i="1" s="1"/>
  <c r="N1323" i="1"/>
  <c r="A1323" i="1" a="1"/>
  <c r="A1323" i="1" s="1"/>
  <c r="AG1323" i="1" s="1" a="1"/>
  <c r="AG1323" i="1" s="1"/>
  <c r="Y1323" i="1" s="1"/>
  <c r="R1322" i="1"/>
  <c r="T1322" i="1" s="1"/>
  <c r="N1322" i="1"/>
  <c r="A1322" i="1" a="1"/>
  <c r="A1322" i="1" s="1"/>
  <c r="R1321" i="1"/>
  <c r="T1321" i="1" s="1"/>
  <c r="N1321" i="1"/>
  <c r="A1321" i="1" a="1"/>
  <c r="A1321" i="1" s="1"/>
  <c r="R1320" i="1"/>
  <c r="T1320" i="1" s="1"/>
  <c r="N1320" i="1"/>
  <c r="A1320" i="1" a="1"/>
  <c r="A1320" i="1" s="1"/>
  <c r="R1319" i="1"/>
  <c r="T1319" i="1" s="1"/>
  <c r="N1319" i="1"/>
  <c r="A1319" i="1" a="1"/>
  <c r="A1319" i="1" s="1"/>
  <c r="AG1319" i="1" s="1" a="1"/>
  <c r="AG1319" i="1" s="1"/>
  <c r="Y1319" i="1" s="1"/>
  <c r="T1318" i="1"/>
  <c r="R1318" i="1"/>
  <c r="N1318" i="1"/>
  <c r="A1318" i="1" a="1"/>
  <c r="A1318" i="1"/>
  <c r="AF1317" i="1" a="1"/>
  <c r="AF1317" i="1"/>
  <c r="X1317" i="1" s="1"/>
  <c r="T1317" i="1"/>
  <c r="R1317" i="1"/>
  <c r="N1317" i="1"/>
  <c r="A1317" i="1" a="1"/>
  <c r="A1317" i="1" s="1"/>
  <c r="AG1317" i="1" s="1" a="1"/>
  <c r="AG1317" i="1" s="1"/>
  <c r="Y1317" i="1" s="1"/>
  <c r="R1316" i="1"/>
  <c r="T1316" i="1" s="1"/>
  <c r="N1316" i="1"/>
  <c r="A1316" i="1" a="1"/>
  <c r="A1316" i="1"/>
  <c r="AF1316" i="1" s="1" a="1"/>
  <c r="AF1316" i="1" s="1"/>
  <c r="X1316" i="1" s="1"/>
  <c r="AF1315" i="1" a="1"/>
  <c r="AF1315" i="1" s="1"/>
  <c r="X1315" i="1" s="1"/>
  <c r="R1315" i="1"/>
  <c r="T1315" i="1" s="1"/>
  <c r="N1315" i="1"/>
  <c r="A1315" i="1" a="1"/>
  <c r="A1315" i="1" s="1"/>
  <c r="AG1315" i="1" s="1" a="1"/>
  <c r="AG1315" i="1" s="1"/>
  <c r="Y1315" i="1" s="1"/>
  <c r="R1314" i="1"/>
  <c r="T1314" i="1" s="1"/>
  <c r="N1314" i="1"/>
  <c r="A1314" i="1" a="1"/>
  <c r="A1314" i="1"/>
  <c r="T1313" i="1"/>
  <c r="R1313" i="1"/>
  <c r="N1313" i="1"/>
  <c r="A1313" i="1" a="1"/>
  <c r="A1313" i="1" s="1"/>
  <c r="AG1313" i="1" s="1" a="1"/>
  <c r="AG1313" i="1" s="1"/>
  <c r="Y1313" i="1" s="1"/>
  <c r="R1312" i="1"/>
  <c r="T1312" i="1" s="1"/>
  <c r="N1312" i="1"/>
  <c r="A1312" i="1" a="1"/>
  <c r="A1312" i="1" s="1"/>
  <c r="AG1311" i="1" a="1"/>
  <c r="AG1311" i="1" s="1"/>
  <c r="Y1311" i="1" s="1"/>
  <c r="AF1311" i="1" a="1"/>
  <c r="AF1311" i="1" s="1"/>
  <c r="X1311" i="1" s="1"/>
  <c r="T1311" i="1"/>
  <c r="R1311" i="1"/>
  <c r="N1311" i="1"/>
  <c r="A1311" i="1" a="1"/>
  <c r="A1311" i="1" s="1"/>
  <c r="R1310" i="1"/>
  <c r="T1310" i="1" s="1"/>
  <c r="N1310" i="1"/>
  <c r="A1310" i="1" a="1"/>
  <c r="A1310" i="1"/>
  <c r="AG1309" i="1"/>
  <c r="Y1309" i="1" s="1"/>
  <c r="R1309" i="1"/>
  <c r="T1309" i="1" s="1"/>
  <c r="N1309" i="1"/>
  <c r="A1309" i="1" a="1"/>
  <c r="A1309" i="1"/>
  <c r="AG1309" i="1" s="1" a="1"/>
  <c r="T1308" i="1"/>
  <c r="R1308" i="1"/>
  <c r="N1308" i="1"/>
  <c r="A1308" i="1" a="1"/>
  <c r="A1308" i="1" s="1"/>
  <c r="AG1307" i="1"/>
  <c r="Y1307" i="1"/>
  <c r="T1307" i="1"/>
  <c r="R1307" i="1"/>
  <c r="N1307" i="1"/>
  <c r="A1307" i="1" a="1"/>
  <c r="A1307" i="1"/>
  <c r="AG1307" i="1" s="1" a="1"/>
  <c r="T1306" i="1"/>
  <c r="R1306" i="1"/>
  <c r="N1306" i="1"/>
  <c r="A1306" i="1" a="1"/>
  <c r="A1306" i="1" s="1"/>
  <c r="R1305" i="1"/>
  <c r="T1305" i="1" s="1"/>
  <c r="N1305" i="1"/>
  <c r="A1305" i="1" a="1"/>
  <c r="A1305" i="1" s="1"/>
  <c r="AG1305" i="1" s="1" a="1"/>
  <c r="AG1305" i="1" s="1"/>
  <c r="Y1305" i="1" s="1"/>
  <c r="R1304" i="1"/>
  <c r="T1304" i="1" s="1"/>
  <c r="N1304" i="1"/>
  <c r="A1304" i="1" a="1"/>
  <c r="A1304" i="1"/>
  <c r="R1303" i="1"/>
  <c r="T1303" i="1" s="1"/>
  <c r="N1303" i="1"/>
  <c r="A1303" i="1" a="1"/>
  <c r="A1303" i="1"/>
  <c r="T1302" i="1"/>
  <c r="R1302" i="1"/>
  <c r="N1302" i="1"/>
  <c r="A1302" i="1" a="1"/>
  <c r="A1302" i="1" s="1"/>
  <c r="R1301" i="1"/>
  <c r="T1301" i="1" s="1"/>
  <c r="N1301" i="1"/>
  <c r="A1301" i="1" a="1"/>
  <c r="A1301" i="1"/>
  <c r="T1300" i="1"/>
  <c r="R1300" i="1"/>
  <c r="N1300" i="1"/>
  <c r="A1300" i="1" a="1"/>
  <c r="A1300" i="1" s="1"/>
  <c r="AG1300" i="1" s="1" a="1"/>
  <c r="AG1300" i="1" s="1"/>
  <c r="Y1300" i="1" s="1"/>
  <c r="AF1299" i="1" a="1"/>
  <c r="AF1299" i="1" s="1"/>
  <c r="X1299" i="1" s="1"/>
  <c r="R1299" i="1"/>
  <c r="T1299" i="1" s="1"/>
  <c r="N1299" i="1"/>
  <c r="A1299" i="1" a="1"/>
  <c r="A1299" i="1" s="1"/>
  <c r="AG1299" i="1" s="1" a="1"/>
  <c r="AG1299" i="1" s="1"/>
  <c r="Y1299" i="1" s="1"/>
  <c r="R1298" i="1"/>
  <c r="T1298" i="1" s="1"/>
  <c r="N1298" i="1"/>
  <c r="A1298" i="1" a="1"/>
  <c r="A1298" i="1"/>
  <c r="AF1298" i="1" s="1" a="1"/>
  <c r="AF1298" i="1" s="1"/>
  <c r="X1298" i="1" s="1"/>
  <c r="R1297" i="1"/>
  <c r="T1297" i="1" s="1"/>
  <c r="N1297" i="1"/>
  <c r="A1297" i="1" a="1"/>
  <c r="A1297" i="1"/>
  <c r="AG1297" i="1" s="1" a="1"/>
  <c r="AG1297" i="1" s="1"/>
  <c r="Y1297" i="1" s="1"/>
  <c r="AG1296" i="1" a="1"/>
  <c r="AG1296" i="1" s="1"/>
  <c r="Y1296" i="1" s="1"/>
  <c r="R1296" i="1"/>
  <c r="T1296" i="1" s="1"/>
  <c r="N1296" i="1"/>
  <c r="A1296" i="1" a="1"/>
  <c r="A1296" i="1" s="1"/>
  <c r="AF1296" i="1" s="1" a="1"/>
  <c r="AF1296" i="1" s="1"/>
  <c r="X1296" i="1" s="1"/>
  <c r="R1295" i="1"/>
  <c r="T1295" i="1" s="1"/>
  <c r="N1295" i="1"/>
  <c r="A1295" i="1" a="1"/>
  <c r="A1295" i="1"/>
  <c r="AG1295" i="1" s="1" a="1"/>
  <c r="AG1295" i="1" s="1"/>
  <c r="Y1295" i="1" s="1"/>
  <c r="R1294" i="1"/>
  <c r="T1294" i="1" s="1"/>
  <c r="N1294" i="1"/>
  <c r="A1294" i="1" a="1"/>
  <c r="A1294" i="1" s="1"/>
  <c r="AG1293" i="1" a="1"/>
  <c r="AG1293" i="1" s="1"/>
  <c r="Y1293" i="1"/>
  <c r="R1293" i="1"/>
  <c r="T1293" i="1" s="1"/>
  <c r="N1293" i="1"/>
  <c r="A1293" i="1" a="1"/>
  <c r="A1293" i="1" s="1"/>
  <c r="AF1293" i="1" s="1" a="1"/>
  <c r="AF1293" i="1" s="1"/>
  <c r="X1293" i="1" s="1"/>
  <c r="R1292" i="1"/>
  <c r="T1292" i="1" s="1"/>
  <c r="N1292" i="1"/>
  <c r="A1292" i="1" a="1"/>
  <c r="A1292" i="1" s="1"/>
  <c r="R1291" i="1"/>
  <c r="T1291" i="1" s="1"/>
  <c r="N1291" i="1"/>
  <c r="A1291" i="1" a="1"/>
  <c r="A1291" i="1" s="1"/>
  <c r="R1290" i="1"/>
  <c r="T1290" i="1" s="1"/>
  <c r="N1290" i="1"/>
  <c r="A1290" i="1" a="1"/>
  <c r="A1290" i="1" s="1"/>
  <c r="R1289" i="1"/>
  <c r="T1289" i="1" s="1"/>
  <c r="N1289" i="1"/>
  <c r="A1289" i="1" a="1"/>
  <c r="A1289" i="1" s="1"/>
  <c r="R1288" i="1"/>
  <c r="T1288" i="1" s="1"/>
  <c r="N1288" i="1"/>
  <c r="A1288" i="1" a="1"/>
  <c r="A1288" i="1" s="1"/>
  <c r="R1287" i="1"/>
  <c r="T1287" i="1" s="1"/>
  <c r="AA1287" i="1" s="1"/>
  <c r="N1287" i="1"/>
  <c r="A1287" i="1" a="1"/>
  <c r="A1287" i="1" s="1"/>
  <c r="R1286" i="1"/>
  <c r="T1286" i="1" s="1"/>
  <c r="AA1286" i="1" s="1"/>
  <c r="N1286" i="1"/>
  <c r="A1286" i="1" a="1"/>
  <c r="A1286" i="1" s="1"/>
  <c r="R1285" i="1"/>
  <c r="T1285" i="1" s="1"/>
  <c r="AA1285" i="1" s="1"/>
  <c r="N1285" i="1"/>
  <c r="A1285" i="1" a="1"/>
  <c r="A1285" i="1" s="1"/>
  <c r="R1284" i="1"/>
  <c r="T1284" i="1" s="1"/>
  <c r="AA1284" i="1" s="1"/>
  <c r="N1284" i="1"/>
  <c r="A1284" i="1" a="1"/>
  <c r="A1284" i="1" s="1"/>
  <c r="AB1283" i="1"/>
  <c r="Z1283" i="1"/>
  <c r="R1283" i="1"/>
  <c r="T1283" i="1" s="1"/>
  <c r="AA1283" i="1" s="1"/>
  <c r="N1283" i="1"/>
  <c r="A1283" i="1" a="1"/>
  <c r="A1283" i="1" s="1"/>
  <c r="AB1282" i="1"/>
  <c r="R1282" i="1"/>
  <c r="T1282" i="1" s="1"/>
  <c r="AA1282" i="1" s="1"/>
  <c r="N1282" i="1"/>
  <c r="A1282" i="1" a="1"/>
  <c r="A1282" i="1" s="1"/>
  <c r="AG224" i="1" a="1"/>
  <c r="AG224" i="1"/>
  <c r="Y224" i="1" s="1"/>
  <c r="AF224" i="1" a="1"/>
  <c r="AF224" i="1"/>
  <c r="T224" i="1"/>
  <c r="AA224" i="1" s="1"/>
  <c r="R224" i="1"/>
  <c r="N224" i="1"/>
  <c r="AF1620" i="1" a="1"/>
  <c r="AF1620" i="1" s="1"/>
  <c r="X1620" i="1" s="1"/>
  <c r="AD1620" i="1"/>
  <c r="R1620" i="1"/>
  <c r="N1620" i="1"/>
  <c r="A1620" i="1" a="1"/>
  <c r="A1620" i="1"/>
  <c r="AG1620" i="1" s="1" a="1"/>
  <c r="AG1620" i="1" s="1"/>
  <c r="Y1620" i="1" s="1"/>
  <c r="R1279" i="1"/>
  <c r="T1279" i="1" s="1"/>
  <c r="N1279" i="1"/>
  <c r="A1279" i="1" a="1"/>
  <c r="A1279" i="1" s="1"/>
  <c r="AF1278" i="1" a="1"/>
  <c r="AF1278" i="1" s="1"/>
  <c r="R1278" i="1"/>
  <c r="T1278" i="1" s="1"/>
  <c r="N1278" i="1"/>
  <c r="A1278" i="1" a="1"/>
  <c r="A1278" i="1"/>
  <c r="AG1278" i="1" s="1" a="1"/>
  <c r="AG1278" i="1" s="1"/>
  <c r="Y1278" i="1" s="1"/>
  <c r="R1277" i="1"/>
  <c r="T1277" i="1" s="1"/>
  <c r="N1277" i="1"/>
  <c r="A1277" i="1" a="1"/>
  <c r="A1277" i="1" s="1"/>
  <c r="AF1276" i="1" a="1"/>
  <c r="AF1276" i="1" s="1"/>
  <c r="R1276" i="1"/>
  <c r="T1276" i="1" s="1"/>
  <c r="N1276" i="1"/>
  <c r="A1276" i="1" a="1"/>
  <c r="A1276" i="1"/>
  <c r="AG1276" i="1" s="1" a="1"/>
  <c r="AG1276" i="1" s="1"/>
  <c r="Y1276" i="1" s="1"/>
  <c r="AG1275" i="1" a="1"/>
  <c r="AG1275" i="1" s="1"/>
  <c r="Y1275" i="1" s="1"/>
  <c r="R1275" i="1"/>
  <c r="T1275" i="1" s="1"/>
  <c r="N1275" i="1"/>
  <c r="A1275" i="1" a="1"/>
  <c r="A1275" i="1" s="1"/>
  <c r="AF1275" i="1" s="1" a="1"/>
  <c r="AF1275" i="1" s="1"/>
  <c r="R1274" i="1"/>
  <c r="T1274" i="1" s="1"/>
  <c r="N1274" i="1"/>
  <c r="A1274" i="1" a="1"/>
  <c r="A1274" i="1" s="1"/>
  <c r="AG1619" i="1" a="1"/>
  <c r="AG1619" i="1" s="1"/>
  <c r="Y1619" i="1" s="1"/>
  <c r="AD1619" i="1"/>
  <c r="R1619" i="1"/>
  <c r="N1619" i="1"/>
  <c r="A1619" i="1" a="1"/>
  <c r="A1619" i="1"/>
  <c r="AF1619" i="1" s="1" a="1"/>
  <c r="AF1619" i="1" s="1"/>
  <c r="X1619" i="1" s="1"/>
  <c r="AD1546" i="1"/>
  <c r="R1546" i="1"/>
  <c r="N1546" i="1"/>
  <c r="A1546" i="1" a="1"/>
  <c r="A1546" i="1"/>
  <c r="AF1546" i="1" s="1" a="1"/>
  <c r="AF1546" i="1" s="1"/>
  <c r="X1546" i="1" s="1"/>
  <c r="R1271" i="1"/>
  <c r="T1271" i="1" s="1"/>
  <c r="N1271" i="1"/>
  <c r="A1271" i="1" a="1"/>
  <c r="A1271" i="1" s="1"/>
  <c r="R1270" i="1"/>
  <c r="T1270" i="1" s="1"/>
  <c r="N1270" i="1"/>
  <c r="A1270" i="1" a="1"/>
  <c r="A1270" i="1" s="1"/>
  <c r="R1269" i="1"/>
  <c r="T1269" i="1" s="1"/>
  <c r="N1269" i="1"/>
  <c r="A1269" i="1" a="1"/>
  <c r="A1269" i="1"/>
  <c r="R1268" i="1"/>
  <c r="T1268" i="1" s="1"/>
  <c r="N1268" i="1"/>
  <c r="A1268" i="1" a="1"/>
  <c r="A1268" i="1"/>
  <c r="R1267" i="1"/>
  <c r="T1267" i="1" s="1"/>
  <c r="N1267" i="1"/>
  <c r="A1267" i="1" a="1"/>
  <c r="A1267" i="1" s="1"/>
  <c r="R1266" i="1"/>
  <c r="T1266" i="1" s="1"/>
  <c r="AA1266" i="1" s="1"/>
  <c r="N1266" i="1"/>
  <c r="A1266" i="1" a="1"/>
  <c r="A1266" i="1"/>
  <c r="R1265" i="1"/>
  <c r="T1265" i="1" s="1"/>
  <c r="N1265" i="1"/>
  <c r="A1265" i="1" a="1"/>
  <c r="A1265" i="1"/>
  <c r="AG1265" i="1" s="1" a="1"/>
  <c r="AG1265" i="1" s="1"/>
  <c r="Y1265" i="1" s="1"/>
  <c r="AF1264" i="1" a="1"/>
  <c r="AF1264" i="1" s="1"/>
  <c r="R1264" i="1"/>
  <c r="T1264" i="1" s="1"/>
  <c r="N1264" i="1"/>
  <c r="A1264" i="1" a="1"/>
  <c r="A1264" i="1" s="1"/>
  <c r="AG1264" i="1" s="1" a="1"/>
  <c r="AG1264" i="1" s="1"/>
  <c r="Y1264" i="1" s="1"/>
  <c r="AF1263" i="1" a="1"/>
  <c r="AF1263" i="1" s="1"/>
  <c r="R1263" i="1"/>
  <c r="T1263" i="1" s="1"/>
  <c r="N1263" i="1"/>
  <c r="A1263" i="1" a="1"/>
  <c r="A1263" i="1"/>
  <c r="AG1263" i="1" s="1" a="1"/>
  <c r="AG1263" i="1" s="1"/>
  <c r="Y1263" i="1" s="1"/>
  <c r="R1262" i="1"/>
  <c r="T1262" i="1" s="1"/>
  <c r="AA1262" i="1" s="1"/>
  <c r="N1262" i="1"/>
  <c r="A1262" i="1" a="1"/>
  <c r="A1262" i="1" s="1"/>
  <c r="R1261" i="1"/>
  <c r="T1261" i="1" s="1"/>
  <c r="N1261" i="1"/>
  <c r="A1261" i="1" a="1"/>
  <c r="A1261" i="1"/>
  <c r="AG1261" i="1" s="1" a="1"/>
  <c r="AG1261" i="1" s="1"/>
  <c r="Y1261" i="1" s="1"/>
  <c r="R1260" i="1"/>
  <c r="T1260" i="1" s="1"/>
  <c r="N1260" i="1"/>
  <c r="A1260" i="1" a="1"/>
  <c r="A1260" i="1" s="1"/>
  <c r="R1259" i="1"/>
  <c r="T1259" i="1" s="1"/>
  <c r="N1259" i="1"/>
  <c r="A1259" i="1" a="1"/>
  <c r="A1259" i="1" s="1"/>
  <c r="AG1259" i="1" s="1" a="1"/>
  <c r="AG1259" i="1" s="1"/>
  <c r="Y1259" i="1" s="1"/>
  <c r="R1258" i="1"/>
  <c r="T1258" i="1" s="1"/>
  <c r="N1258" i="1"/>
  <c r="A1258" i="1" a="1"/>
  <c r="A1258" i="1"/>
  <c r="R1257" i="1"/>
  <c r="T1257" i="1" s="1"/>
  <c r="N1257" i="1"/>
  <c r="A1257" i="1" a="1"/>
  <c r="A1257" i="1" s="1"/>
  <c r="AG1257" i="1" s="1" a="1"/>
  <c r="AG1257" i="1" s="1"/>
  <c r="Y1257" i="1" s="1"/>
  <c r="R1256" i="1"/>
  <c r="T1256" i="1" s="1"/>
  <c r="N1256" i="1"/>
  <c r="A1256" i="1" a="1"/>
  <c r="A1256" i="1" s="1"/>
  <c r="R1255" i="1"/>
  <c r="T1255" i="1" s="1"/>
  <c r="N1255" i="1"/>
  <c r="A1255" i="1" a="1"/>
  <c r="A1255" i="1"/>
  <c r="R1254" i="1"/>
  <c r="T1254" i="1" s="1"/>
  <c r="N1254" i="1"/>
  <c r="A1254" i="1" a="1"/>
  <c r="A1254" i="1" s="1"/>
  <c r="R1253" i="1"/>
  <c r="T1253" i="1" s="1"/>
  <c r="N1253" i="1"/>
  <c r="A1253" i="1" a="1"/>
  <c r="A1253" i="1"/>
  <c r="AG1253" i="1" s="1" a="1"/>
  <c r="AG1253" i="1" s="1"/>
  <c r="Y1253" i="1" s="1"/>
  <c r="AF1252" i="1" a="1"/>
  <c r="AF1252" i="1"/>
  <c r="R1252" i="1"/>
  <c r="T1252" i="1" s="1"/>
  <c r="N1252" i="1"/>
  <c r="A1252" i="1" a="1"/>
  <c r="A1252" i="1" s="1"/>
  <c r="AG1252" i="1" s="1" a="1"/>
  <c r="AG1252" i="1" s="1"/>
  <c r="Y1252" i="1" s="1"/>
  <c r="R1251" i="1"/>
  <c r="T1251" i="1" s="1"/>
  <c r="N1251" i="1"/>
  <c r="A1251" i="1" a="1"/>
  <c r="A1251" i="1"/>
  <c r="AG1251" i="1" s="1" a="1"/>
  <c r="AG1251" i="1" s="1"/>
  <c r="Y1251" i="1" s="1"/>
  <c r="AF1250" i="1" a="1"/>
  <c r="AF1250" i="1" s="1"/>
  <c r="R1250" i="1"/>
  <c r="T1250" i="1" s="1"/>
  <c r="N1250" i="1"/>
  <c r="A1250" i="1" a="1"/>
  <c r="A1250" i="1" s="1"/>
  <c r="AG1250" i="1" s="1" a="1"/>
  <c r="AG1250" i="1" s="1"/>
  <c r="Y1250" i="1" s="1"/>
  <c r="T1249" i="1"/>
  <c r="R1249" i="1"/>
  <c r="N1249" i="1"/>
  <c r="A1249" i="1" a="1"/>
  <c r="A1249" i="1" s="1"/>
  <c r="AF1249" i="1" s="1" a="1"/>
  <c r="AF1249" i="1" s="1"/>
  <c r="R1248" i="1"/>
  <c r="T1248" i="1" s="1"/>
  <c r="N1248" i="1"/>
  <c r="A1248" i="1" a="1"/>
  <c r="A1248" i="1" s="1"/>
  <c r="R1247" i="1"/>
  <c r="T1247" i="1" s="1"/>
  <c r="N1247" i="1"/>
  <c r="A1247" i="1" a="1"/>
  <c r="A1247" i="1"/>
  <c r="R1246" i="1"/>
  <c r="T1246" i="1" s="1"/>
  <c r="N1246" i="1"/>
  <c r="A1246" i="1" a="1"/>
  <c r="A1246" i="1" s="1"/>
  <c r="AF1246" i="1" s="1" a="1"/>
  <c r="AF1246" i="1" s="1"/>
  <c r="R1245" i="1"/>
  <c r="T1245" i="1" s="1"/>
  <c r="N1245" i="1"/>
  <c r="A1245" i="1" a="1"/>
  <c r="A1245" i="1"/>
  <c r="R1244" i="1"/>
  <c r="T1244" i="1" s="1"/>
  <c r="N1244" i="1"/>
  <c r="A1244" i="1" a="1"/>
  <c r="A1244" i="1" s="1"/>
  <c r="AF1244" i="1" s="1" a="1"/>
  <c r="AF1244" i="1" s="1"/>
  <c r="T1243" i="1"/>
  <c r="AA1243" i="1" s="1"/>
  <c r="R1243" i="1"/>
  <c r="N1243" i="1"/>
  <c r="A1243" i="1" a="1"/>
  <c r="A1243" i="1" s="1"/>
  <c r="AD1526" i="1"/>
  <c r="T1526" i="1"/>
  <c r="S1526" i="1"/>
  <c r="N1526" i="1"/>
  <c r="M1526" i="1"/>
  <c r="R1526" i="1" s="1"/>
  <c r="A1526" i="1" a="1"/>
  <c r="A1526" i="1" s="1"/>
  <c r="R1241" i="1"/>
  <c r="T1241" i="1" s="1"/>
  <c r="N1241" i="1"/>
  <c r="A1241" i="1" a="1"/>
  <c r="A1241" i="1" s="1"/>
  <c r="AG373" i="1" a="1"/>
  <c r="AG373" i="1" s="1"/>
  <c r="Y373" i="1" s="1"/>
  <c r="AF373" i="1" a="1"/>
  <c r="AF373" i="1" s="1"/>
  <c r="R373" i="1"/>
  <c r="T373" i="1" s="1"/>
  <c r="AA373" i="1" s="1"/>
  <c r="N373" i="1"/>
  <c r="AG372" i="1" a="1"/>
  <c r="AG372" i="1"/>
  <c r="Y372" i="1" s="1"/>
  <c r="AF372" i="1" a="1"/>
  <c r="AF372" i="1" s="1"/>
  <c r="R372" i="1"/>
  <c r="T372" i="1" s="1"/>
  <c r="AA372" i="1" s="1"/>
  <c r="N372" i="1"/>
  <c r="R922" i="1"/>
  <c r="T922" i="1" s="1"/>
  <c r="N922" i="1"/>
  <c r="A922" i="1" a="1"/>
  <c r="A922" i="1" s="1"/>
  <c r="AG922" i="1" s="1" a="1"/>
  <c r="AG922" i="1" s="1"/>
  <c r="Y922" i="1" s="1"/>
  <c r="T476" i="1"/>
  <c r="AA476" i="1" s="1"/>
  <c r="R476" i="1"/>
  <c r="N476" i="1"/>
  <c r="A476" i="1" a="1"/>
  <c r="A476" i="1" s="1"/>
  <c r="R450" i="1"/>
  <c r="T450" i="1" s="1"/>
  <c r="N450" i="1"/>
  <c r="A450" i="1" a="1"/>
  <c r="A450" i="1"/>
  <c r="AG1240" i="1" a="1"/>
  <c r="AG1240" i="1" s="1"/>
  <c r="Y1240" i="1" s="1"/>
  <c r="R1240" i="1"/>
  <c r="T1240" i="1" s="1"/>
  <c r="N1240" i="1"/>
  <c r="A1240" i="1" a="1"/>
  <c r="A1240" i="1"/>
  <c r="AF1240" i="1" s="1" a="1"/>
  <c r="AF1240" i="1" s="1"/>
  <c r="X1240" i="1" s="1"/>
  <c r="R462" i="1"/>
  <c r="T462" i="1" s="1"/>
  <c r="N462" i="1"/>
  <c r="A462" i="1" a="1"/>
  <c r="A462" i="1"/>
  <c r="AG462" i="1" s="1" a="1"/>
  <c r="AG462" i="1" s="1"/>
  <c r="Y462" i="1" s="1"/>
  <c r="R449" i="1"/>
  <c r="T449" i="1" s="1"/>
  <c r="N449" i="1"/>
  <c r="A449" i="1" a="1"/>
  <c r="A449" i="1" s="1"/>
  <c r="AG449" i="1" s="1" a="1"/>
  <c r="AG449" i="1" s="1"/>
  <c r="AG437" i="1"/>
  <c r="R437" i="1"/>
  <c r="T437" i="1" s="1"/>
  <c r="N437" i="1"/>
  <c r="A437" i="1" a="1"/>
  <c r="A437" i="1" s="1"/>
  <c r="AG437" i="1" s="1" a="1"/>
  <c r="R474" i="1"/>
  <c r="T474" i="1" s="1"/>
  <c r="N474" i="1"/>
  <c r="A474" i="1" a="1"/>
  <c r="A474" i="1" s="1"/>
  <c r="R448" i="1"/>
  <c r="T448" i="1" s="1"/>
  <c r="N448" i="1"/>
  <c r="A448" i="1" a="1"/>
  <c r="A448" i="1" s="1"/>
  <c r="T461" i="1"/>
  <c r="R461" i="1"/>
  <c r="N461" i="1"/>
  <c r="A461" i="1" a="1"/>
  <c r="A461" i="1" s="1"/>
  <c r="AG461" i="1" s="1" a="1"/>
  <c r="AG461" i="1" s="1"/>
  <c r="Y461" i="1" s="1"/>
  <c r="AB461" i="1" s="1"/>
  <c r="AG1228" i="1" a="1"/>
  <c r="AG1228" i="1"/>
  <c r="Y1228" i="1" s="1"/>
  <c r="AB1228" i="1" s="1"/>
  <c r="AF1228" i="1" a="1"/>
  <c r="AF1228" i="1" s="1"/>
  <c r="R1228" i="1"/>
  <c r="T1228" i="1" s="1"/>
  <c r="AA1228" i="1" s="1"/>
  <c r="N1228" i="1"/>
  <c r="AG371" i="1" a="1"/>
  <c r="AG371" i="1" s="1"/>
  <c r="Y371" i="1" s="1"/>
  <c r="AF371" i="1" a="1"/>
  <c r="AF371" i="1" s="1"/>
  <c r="R371" i="1"/>
  <c r="T371" i="1" s="1"/>
  <c r="AA371" i="1" s="1"/>
  <c r="N371" i="1"/>
  <c r="T447" i="1"/>
  <c r="R447" i="1"/>
  <c r="N447" i="1"/>
  <c r="A447" i="1" a="1"/>
  <c r="A447" i="1"/>
  <c r="AF447" i="1" s="1" a="1"/>
  <c r="AF447" i="1" s="1"/>
  <c r="R446" i="1"/>
  <c r="T446" i="1" s="1"/>
  <c r="N446" i="1"/>
  <c r="A446" i="1" a="1"/>
  <c r="A446" i="1"/>
  <c r="AF446" i="1" s="1" a="1"/>
  <c r="AF446" i="1" s="1"/>
  <c r="X446" i="1" s="1"/>
  <c r="R1224" i="1"/>
  <c r="T1224" i="1" s="1"/>
  <c r="N1224" i="1"/>
  <c r="A1224" i="1" a="1"/>
  <c r="A1224" i="1" s="1"/>
  <c r="T1223" i="1"/>
  <c r="R1223" i="1"/>
  <c r="N1223" i="1"/>
  <c r="A1223" i="1" a="1"/>
  <c r="A1223" i="1"/>
  <c r="AF1223" i="1" s="1" a="1"/>
  <c r="AF1223" i="1" s="1"/>
  <c r="R1222" i="1"/>
  <c r="T1222" i="1" s="1"/>
  <c r="N1222" i="1"/>
  <c r="A1222" i="1" a="1"/>
  <c r="A1222" i="1" s="1"/>
  <c r="AG1221" i="1" a="1"/>
  <c r="AG1221" i="1" s="1"/>
  <c r="Y1221" i="1" s="1"/>
  <c r="AF1221" i="1" a="1"/>
  <c r="AF1221" i="1" s="1"/>
  <c r="R1221" i="1"/>
  <c r="T1221" i="1" s="1"/>
  <c r="N1221" i="1"/>
  <c r="AG1220" i="1" a="1"/>
  <c r="AG1220" i="1" s="1"/>
  <c r="Y1220" i="1" s="1"/>
  <c r="AF1220" i="1" a="1"/>
  <c r="AF1220" i="1" s="1"/>
  <c r="R1220" i="1"/>
  <c r="T1220" i="1" s="1"/>
  <c r="N1220" i="1"/>
  <c r="AG1219" i="1" a="1"/>
  <c r="AG1219" i="1"/>
  <c r="Y1219" i="1" s="1"/>
  <c r="AF1219" i="1" a="1"/>
  <c r="AF1219" i="1"/>
  <c r="R1219" i="1"/>
  <c r="T1219" i="1" s="1"/>
  <c r="N1219" i="1"/>
  <c r="AG1218" i="1" a="1"/>
  <c r="AG1218" i="1"/>
  <c r="Y1218" i="1" s="1"/>
  <c r="AF1218" i="1" a="1"/>
  <c r="AF1218" i="1" s="1"/>
  <c r="R1218" i="1"/>
  <c r="T1218" i="1" s="1"/>
  <c r="N1218" i="1"/>
  <c r="R1217" i="1"/>
  <c r="T1217" i="1" s="1"/>
  <c r="AA1217" i="1" s="1"/>
  <c r="N1217" i="1"/>
  <c r="A1217" i="1" a="1"/>
  <c r="A1217" i="1" s="1"/>
  <c r="R1216" i="1"/>
  <c r="T1216" i="1" s="1"/>
  <c r="N1216" i="1"/>
  <c r="A1216" i="1" a="1"/>
  <c r="A1216" i="1" s="1"/>
  <c r="R1215" i="1"/>
  <c r="T1215" i="1" s="1"/>
  <c r="N1215" i="1"/>
  <c r="A1215" i="1" a="1"/>
  <c r="A1215" i="1"/>
  <c r="AF1215" i="1" s="1" a="1"/>
  <c r="AF1215" i="1" s="1"/>
  <c r="R1214" i="1"/>
  <c r="T1214" i="1" s="1"/>
  <c r="N1214" i="1"/>
  <c r="A1214" i="1" a="1"/>
  <c r="A1214" i="1" s="1"/>
  <c r="AF1214" i="1" s="1" a="1"/>
  <c r="AF1214" i="1" s="1"/>
  <c r="Y1213" i="1"/>
  <c r="R1213" i="1"/>
  <c r="T1213" i="1" s="1"/>
  <c r="N1213" i="1"/>
  <c r="A1213" i="1" a="1"/>
  <c r="A1213" i="1" s="1"/>
  <c r="AG1213" i="1" s="1" a="1"/>
  <c r="AG1213" i="1" s="1"/>
  <c r="R1212" i="1"/>
  <c r="T1212" i="1" s="1"/>
  <c r="N1212" i="1"/>
  <c r="A1212" i="1" a="1"/>
  <c r="A1212" i="1"/>
  <c r="AF1212" i="1" s="1" a="1"/>
  <c r="AF1212" i="1" s="1"/>
  <c r="R1211" i="1"/>
  <c r="T1211" i="1" s="1"/>
  <c r="N1211" i="1"/>
  <c r="A1211" i="1" a="1"/>
  <c r="A1211" i="1"/>
  <c r="AF1211" i="1" s="1" a="1"/>
  <c r="AF1211" i="1" s="1"/>
  <c r="AG1210" i="1" a="1"/>
  <c r="AG1210" i="1" s="1"/>
  <c r="Y1210" i="1" s="1"/>
  <c r="T1210" i="1"/>
  <c r="R1210" i="1"/>
  <c r="N1210" i="1"/>
  <c r="A1210" i="1" a="1"/>
  <c r="A1210" i="1"/>
  <c r="AF1210" i="1" s="1" a="1"/>
  <c r="AF1210" i="1" s="1"/>
  <c r="AG1209" i="1" a="1"/>
  <c r="AG1209" i="1" s="1"/>
  <c r="Y1209" i="1" s="1"/>
  <c r="R1209" i="1"/>
  <c r="T1209" i="1" s="1"/>
  <c r="N1209" i="1"/>
  <c r="A1209" i="1" a="1"/>
  <c r="A1209" i="1"/>
  <c r="AF1209" i="1" s="1" a="1"/>
  <c r="AF1209" i="1" s="1"/>
  <c r="R1208" i="1"/>
  <c r="T1208" i="1" s="1"/>
  <c r="N1208" i="1"/>
  <c r="A1208" i="1" a="1"/>
  <c r="A1208" i="1"/>
  <c r="AF1208" i="1" s="1" a="1"/>
  <c r="AF1208" i="1" s="1"/>
  <c r="R1207" i="1"/>
  <c r="T1207" i="1" s="1"/>
  <c r="N1207" i="1"/>
  <c r="A1207" i="1" a="1"/>
  <c r="A1207" i="1"/>
  <c r="AF1207" i="1" s="1" a="1"/>
  <c r="AF1207" i="1" s="1"/>
  <c r="T1206" i="1"/>
  <c r="R1206" i="1"/>
  <c r="N1206" i="1"/>
  <c r="A1206" i="1" a="1"/>
  <c r="A1206" i="1" s="1"/>
  <c r="AF1206" i="1" s="1" a="1"/>
  <c r="AF1206" i="1" s="1"/>
  <c r="R1205" i="1"/>
  <c r="T1205" i="1" s="1"/>
  <c r="N1205" i="1"/>
  <c r="A1205" i="1" a="1"/>
  <c r="A1205" i="1" s="1"/>
  <c r="R1204" i="1"/>
  <c r="T1204" i="1" s="1"/>
  <c r="N1204" i="1"/>
  <c r="A1204" i="1" a="1"/>
  <c r="A1204" i="1" s="1"/>
  <c r="AF1204" i="1" s="1" a="1"/>
  <c r="AF1204" i="1" s="1"/>
  <c r="R1203" i="1"/>
  <c r="T1203" i="1" s="1"/>
  <c r="N1203" i="1"/>
  <c r="A1203" i="1" a="1"/>
  <c r="A1203" i="1"/>
  <c r="AF1203" i="1" s="1" a="1"/>
  <c r="AF1203" i="1" s="1"/>
  <c r="T1202" i="1"/>
  <c r="R1202" i="1"/>
  <c r="N1202" i="1"/>
  <c r="A1202" i="1" a="1"/>
  <c r="A1202" i="1" s="1"/>
  <c r="AF1202" i="1" s="1" a="1"/>
  <c r="AF1202" i="1" s="1"/>
  <c r="R1201" i="1"/>
  <c r="T1201" i="1" s="1"/>
  <c r="N1201" i="1"/>
  <c r="A1201" i="1" a="1"/>
  <c r="A1201" i="1" s="1"/>
  <c r="R1200" i="1"/>
  <c r="T1200" i="1" s="1"/>
  <c r="N1200" i="1"/>
  <c r="A1200" i="1" a="1"/>
  <c r="A1200" i="1"/>
  <c r="AF1200" i="1" s="1" a="1"/>
  <c r="AF1200" i="1" s="1"/>
  <c r="R1199" i="1"/>
  <c r="T1199" i="1" s="1"/>
  <c r="N1199" i="1"/>
  <c r="A1199" i="1" a="1"/>
  <c r="A1199" i="1" s="1"/>
  <c r="AF1199" i="1" s="1" a="1"/>
  <c r="AF1199" i="1" s="1"/>
  <c r="R1198" i="1"/>
  <c r="T1198" i="1" s="1"/>
  <c r="N1198" i="1"/>
  <c r="A1198" i="1" a="1"/>
  <c r="A1198" i="1" s="1"/>
  <c r="AF1198" i="1" s="1" a="1"/>
  <c r="AF1198" i="1" s="1"/>
  <c r="R1197" i="1"/>
  <c r="T1197" i="1" s="1"/>
  <c r="N1197" i="1"/>
  <c r="A1197" i="1" a="1"/>
  <c r="A1197" i="1" s="1"/>
  <c r="R1196" i="1"/>
  <c r="T1196" i="1" s="1"/>
  <c r="N1196" i="1"/>
  <c r="A1196" i="1" a="1"/>
  <c r="A1196" i="1"/>
  <c r="AF1196" i="1" s="1" a="1"/>
  <c r="AF1196" i="1" s="1"/>
  <c r="T1195" i="1"/>
  <c r="R1195" i="1"/>
  <c r="N1195" i="1"/>
  <c r="A1195" i="1" a="1"/>
  <c r="A1195" i="1"/>
  <c r="AF1195" i="1" s="1" a="1"/>
  <c r="AF1195" i="1" s="1"/>
  <c r="T1194" i="1"/>
  <c r="R1194" i="1"/>
  <c r="N1194" i="1"/>
  <c r="A1194" i="1" a="1"/>
  <c r="A1194" i="1" s="1"/>
  <c r="AF1194" i="1" s="1" a="1"/>
  <c r="AF1194" i="1" s="1"/>
  <c r="R1193" i="1"/>
  <c r="T1193" i="1" s="1"/>
  <c r="N1193" i="1"/>
  <c r="A1193" i="1" a="1"/>
  <c r="A1193" i="1" s="1"/>
  <c r="R1192" i="1"/>
  <c r="T1192" i="1" s="1"/>
  <c r="N1192" i="1"/>
  <c r="A1192" i="1" a="1"/>
  <c r="A1192" i="1" s="1"/>
  <c r="AF1192" i="1" s="1" a="1"/>
  <c r="AF1192" i="1" s="1"/>
  <c r="R1191" i="1"/>
  <c r="T1191" i="1" s="1"/>
  <c r="N1191" i="1"/>
  <c r="A1191" i="1" a="1"/>
  <c r="A1191" i="1"/>
  <c r="AF1191" i="1" s="1" a="1"/>
  <c r="AF1191" i="1" s="1"/>
  <c r="T1190" i="1"/>
  <c r="R1190" i="1"/>
  <c r="N1190" i="1"/>
  <c r="A1190" i="1" a="1"/>
  <c r="A1190" i="1" s="1"/>
  <c r="AF1190" i="1" s="1" a="1"/>
  <c r="AF1190" i="1" s="1"/>
  <c r="R1189" i="1"/>
  <c r="T1189" i="1" s="1"/>
  <c r="N1189" i="1"/>
  <c r="A1189" i="1" a="1"/>
  <c r="A1189" i="1"/>
  <c r="AF1189" i="1" s="1" a="1"/>
  <c r="AF1189" i="1" s="1"/>
  <c r="R1188" i="1"/>
  <c r="T1188" i="1" s="1"/>
  <c r="N1188" i="1"/>
  <c r="A1188" i="1" a="1"/>
  <c r="A1188" i="1" s="1"/>
  <c r="AF1188" i="1" s="1" a="1"/>
  <c r="AF1188" i="1" s="1"/>
  <c r="R1187" i="1"/>
  <c r="T1187" i="1" s="1"/>
  <c r="N1187" i="1"/>
  <c r="A1187" i="1" a="1"/>
  <c r="A1187" i="1"/>
  <c r="AF1187" i="1" s="1" a="1"/>
  <c r="AF1187" i="1" s="1"/>
  <c r="R1186" i="1"/>
  <c r="T1186" i="1" s="1"/>
  <c r="N1186" i="1"/>
  <c r="A1186" i="1" a="1"/>
  <c r="A1186" i="1"/>
  <c r="R1185" i="1"/>
  <c r="T1185" i="1" s="1"/>
  <c r="N1185" i="1"/>
  <c r="A1185" i="1" a="1"/>
  <c r="A1185" i="1"/>
  <c r="AF1185" i="1" s="1" a="1"/>
  <c r="AF1185" i="1" s="1"/>
  <c r="T1184" i="1"/>
  <c r="R1184" i="1"/>
  <c r="N1184" i="1"/>
  <c r="A1184" i="1" a="1"/>
  <c r="A1184" i="1" s="1"/>
  <c r="R1183" i="1"/>
  <c r="T1183" i="1" s="1"/>
  <c r="N1183" i="1"/>
  <c r="A1183" i="1" a="1"/>
  <c r="A1183" i="1"/>
  <c r="AG1183" i="1" s="1" a="1"/>
  <c r="AG1183" i="1" s="1"/>
  <c r="Y1183" i="1" s="1"/>
  <c r="AG1182" i="1" a="1"/>
  <c r="AG1182" i="1" s="1"/>
  <c r="Y1182" i="1" s="1"/>
  <c r="AB1182" i="1" s="1"/>
  <c r="Z1182" i="1" s="1"/>
  <c r="T1182" i="1"/>
  <c r="R1182" i="1"/>
  <c r="N1182" i="1"/>
  <c r="A1182" i="1" a="1"/>
  <c r="A1182" i="1"/>
  <c r="AF1182" i="1" s="1" a="1"/>
  <c r="AF1182" i="1" s="1"/>
  <c r="R1181" i="1"/>
  <c r="T1181" i="1" s="1"/>
  <c r="N1181" i="1"/>
  <c r="A1181" i="1" a="1"/>
  <c r="A1181" i="1" s="1"/>
  <c r="R1180" i="1"/>
  <c r="T1180" i="1" s="1"/>
  <c r="N1180" i="1"/>
  <c r="A1180" i="1" a="1"/>
  <c r="A1180" i="1" s="1"/>
  <c r="R1179" i="1"/>
  <c r="T1179" i="1" s="1"/>
  <c r="N1179" i="1"/>
  <c r="A1179" i="1" a="1"/>
  <c r="A1179" i="1" s="1"/>
  <c r="AG1178" i="1" a="1"/>
  <c r="AG1178" i="1" s="1"/>
  <c r="Y1178" i="1" s="1"/>
  <c r="R1178" i="1"/>
  <c r="T1178" i="1" s="1"/>
  <c r="N1178" i="1"/>
  <c r="A1178" i="1" a="1"/>
  <c r="A1178" i="1" s="1"/>
  <c r="AF1178" i="1" s="1" a="1"/>
  <c r="AF1178" i="1" s="1"/>
  <c r="R1177" i="1"/>
  <c r="T1177" i="1" s="1"/>
  <c r="N1177" i="1"/>
  <c r="A1177" i="1" a="1"/>
  <c r="A1177" i="1" s="1"/>
  <c r="AF1177" i="1" s="1" a="1"/>
  <c r="AF1177" i="1" s="1"/>
  <c r="R1176" i="1"/>
  <c r="T1176" i="1" s="1"/>
  <c r="N1176" i="1"/>
  <c r="A1176" i="1" a="1"/>
  <c r="A1176" i="1" s="1"/>
  <c r="AF1176" i="1" s="1" a="1"/>
  <c r="AF1176" i="1" s="1"/>
  <c r="AG1175" i="1" a="1"/>
  <c r="AG1175" i="1" s="1"/>
  <c r="Y1175" i="1" s="1"/>
  <c r="R1175" i="1"/>
  <c r="T1175" i="1" s="1"/>
  <c r="N1175" i="1"/>
  <c r="A1175" i="1" a="1"/>
  <c r="A1175" i="1" s="1"/>
  <c r="AF1175" i="1" s="1" a="1"/>
  <c r="AF1175" i="1" s="1"/>
  <c r="R1174" i="1"/>
  <c r="T1174" i="1" s="1"/>
  <c r="N1174" i="1"/>
  <c r="A1174" i="1" a="1"/>
  <c r="A1174" i="1" s="1"/>
  <c r="AF1174" i="1" s="1" a="1"/>
  <c r="AF1174" i="1" s="1"/>
  <c r="R1173" i="1"/>
  <c r="T1173" i="1" s="1"/>
  <c r="N1173" i="1"/>
  <c r="A1173" i="1" a="1"/>
  <c r="A1173" i="1" s="1"/>
  <c r="AF1173" i="1" s="1" a="1"/>
  <c r="AF1173" i="1" s="1"/>
  <c r="R1172" i="1"/>
  <c r="T1172" i="1" s="1"/>
  <c r="N1172" i="1"/>
  <c r="A1172" i="1" a="1"/>
  <c r="A1172" i="1" s="1"/>
  <c r="AF1172" i="1" s="1" a="1"/>
  <c r="AF1172" i="1" s="1"/>
  <c r="R1171" i="1"/>
  <c r="T1171" i="1" s="1"/>
  <c r="N1171" i="1"/>
  <c r="A1171" i="1" a="1"/>
  <c r="A1171" i="1" s="1"/>
  <c r="AF1171" i="1" s="1" a="1"/>
  <c r="AF1171" i="1" s="1"/>
  <c r="R1170" i="1"/>
  <c r="T1170" i="1" s="1"/>
  <c r="N1170" i="1"/>
  <c r="A1170" i="1" a="1"/>
  <c r="A1170" i="1" s="1"/>
  <c r="AF1170" i="1" s="1" a="1"/>
  <c r="AF1170" i="1" s="1"/>
  <c r="R1169" i="1"/>
  <c r="T1169" i="1" s="1"/>
  <c r="N1169" i="1"/>
  <c r="A1169" i="1" a="1"/>
  <c r="A1169" i="1" s="1"/>
  <c r="AF1169" i="1" s="1" a="1"/>
  <c r="AF1169" i="1" s="1"/>
  <c r="R1168" i="1"/>
  <c r="T1168" i="1" s="1"/>
  <c r="N1168" i="1"/>
  <c r="A1168" i="1" a="1"/>
  <c r="A1168" i="1" s="1"/>
  <c r="AF1168" i="1" s="1" a="1"/>
  <c r="AF1168" i="1" s="1"/>
  <c r="R1167" i="1"/>
  <c r="T1167" i="1" s="1"/>
  <c r="N1167" i="1"/>
  <c r="A1167" i="1" a="1"/>
  <c r="A1167" i="1" s="1"/>
  <c r="AF1167" i="1" s="1" a="1"/>
  <c r="AF1167" i="1" s="1"/>
  <c r="R1166" i="1"/>
  <c r="T1166" i="1" s="1"/>
  <c r="N1166" i="1"/>
  <c r="A1166" i="1" a="1"/>
  <c r="A1166" i="1" s="1"/>
  <c r="AF1166" i="1" s="1" a="1"/>
  <c r="AF1166" i="1" s="1"/>
  <c r="R1165" i="1"/>
  <c r="T1165" i="1" s="1"/>
  <c r="N1165" i="1"/>
  <c r="A1165" i="1" a="1"/>
  <c r="A1165" i="1" s="1"/>
  <c r="AF1165" i="1" s="1" a="1"/>
  <c r="AF1165" i="1" s="1"/>
  <c r="R1164" i="1"/>
  <c r="T1164" i="1" s="1"/>
  <c r="N1164" i="1"/>
  <c r="A1164" i="1" a="1"/>
  <c r="A1164" i="1" s="1"/>
  <c r="AF1164" i="1" s="1" a="1"/>
  <c r="AF1164" i="1" s="1"/>
  <c r="R1163" i="1"/>
  <c r="T1163" i="1" s="1"/>
  <c r="N1163" i="1"/>
  <c r="A1163" i="1" a="1"/>
  <c r="A1163" i="1" s="1"/>
  <c r="R1162" i="1"/>
  <c r="T1162" i="1" s="1"/>
  <c r="N1162" i="1"/>
  <c r="A1162" i="1" a="1"/>
  <c r="A1162" i="1" s="1"/>
  <c r="AF1162" i="1" s="1" a="1"/>
  <c r="AF1162" i="1" s="1"/>
  <c r="R1161" i="1"/>
  <c r="T1161" i="1" s="1"/>
  <c r="N1161" i="1"/>
  <c r="A1161" i="1" a="1"/>
  <c r="A1161" i="1" s="1"/>
  <c r="AF1161" i="1" s="1" a="1"/>
  <c r="AF1161" i="1" s="1"/>
  <c r="AG1160" i="1" a="1"/>
  <c r="AG1160" i="1" s="1"/>
  <c r="Y1160" i="1" s="1"/>
  <c r="R1160" i="1"/>
  <c r="T1160" i="1" s="1"/>
  <c r="N1160" i="1"/>
  <c r="A1160" i="1" a="1"/>
  <c r="A1160" i="1" s="1"/>
  <c r="AF1160" i="1" s="1" a="1"/>
  <c r="AF1160" i="1" s="1"/>
  <c r="R1159" i="1"/>
  <c r="T1159" i="1" s="1"/>
  <c r="N1159" i="1"/>
  <c r="A1159" i="1" a="1"/>
  <c r="A1159" i="1" s="1"/>
  <c r="AF1159" i="1" s="1" a="1"/>
  <c r="AF1159" i="1" s="1"/>
  <c r="R1158" i="1"/>
  <c r="T1158" i="1" s="1"/>
  <c r="N1158" i="1"/>
  <c r="A1158" i="1" a="1"/>
  <c r="A1158" i="1" s="1"/>
  <c r="AF1158" i="1" s="1" a="1"/>
  <c r="AF1158" i="1" s="1"/>
  <c r="AG1157" i="1" a="1"/>
  <c r="AG1157" i="1" s="1"/>
  <c r="Y1157" i="1" s="1"/>
  <c r="R1157" i="1"/>
  <c r="T1157" i="1" s="1"/>
  <c r="N1157" i="1"/>
  <c r="A1157" i="1" a="1"/>
  <c r="A1157" i="1" s="1"/>
  <c r="AF1157" i="1" s="1" a="1"/>
  <c r="AF1157" i="1" s="1"/>
  <c r="R1156" i="1"/>
  <c r="T1156" i="1" s="1"/>
  <c r="N1156" i="1"/>
  <c r="A1156" i="1" a="1"/>
  <c r="A1156" i="1" s="1"/>
  <c r="AF1156" i="1" s="1" a="1"/>
  <c r="AF1156" i="1" s="1"/>
  <c r="R1155" i="1"/>
  <c r="T1155" i="1" s="1"/>
  <c r="N1155" i="1"/>
  <c r="A1155" i="1" a="1"/>
  <c r="A1155" i="1" s="1"/>
  <c r="AF1155" i="1" s="1" a="1"/>
  <c r="AF1155" i="1" s="1"/>
  <c r="R1154" i="1"/>
  <c r="T1154" i="1" s="1"/>
  <c r="N1154" i="1"/>
  <c r="A1154" i="1" a="1"/>
  <c r="A1154" i="1" s="1"/>
  <c r="AF1154" i="1" s="1" a="1"/>
  <c r="AF1154" i="1" s="1"/>
  <c r="R1153" i="1"/>
  <c r="T1153" i="1" s="1"/>
  <c r="N1153" i="1"/>
  <c r="A1153" i="1" a="1"/>
  <c r="A1153" i="1" s="1"/>
  <c r="AF1153" i="1" s="1" a="1"/>
  <c r="AF1153" i="1" s="1"/>
  <c r="R1152" i="1"/>
  <c r="T1152" i="1" s="1"/>
  <c r="N1152" i="1"/>
  <c r="A1152" i="1" a="1"/>
  <c r="A1152" i="1" s="1"/>
  <c r="AF1152" i="1" s="1" a="1"/>
  <c r="AF1152" i="1" s="1"/>
  <c r="R1151" i="1"/>
  <c r="T1151" i="1" s="1"/>
  <c r="N1151" i="1"/>
  <c r="A1151" i="1" a="1"/>
  <c r="A1151" i="1" s="1"/>
  <c r="AF1151" i="1" s="1" a="1"/>
  <c r="AF1151" i="1" s="1"/>
  <c r="R1150" i="1"/>
  <c r="T1150" i="1" s="1"/>
  <c r="N1150" i="1"/>
  <c r="A1150" i="1" a="1"/>
  <c r="A1150" i="1" s="1"/>
  <c r="AF1150" i="1" s="1" a="1"/>
  <c r="AF1150" i="1" s="1"/>
  <c r="R1149" i="1"/>
  <c r="T1149" i="1" s="1"/>
  <c r="N1149" i="1"/>
  <c r="A1149" i="1" a="1"/>
  <c r="A1149" i="1" s="1"/>
  <c r="AF1149" i="1" s="1" a="1"/>
  <c r="AF1149" i="1" s="1"/>
  <c r="R1148" i="1"/>
  <c r="T1148" i="1" s="1"/>
  <c r="N1148" i="1"/>
  <c r="A1148" i="1" a="1"/>
  <c r="A1148" i="1" s="1"/>
  <c r="AF1148" i="1" s="1" a="1"/>
  <c r="AF1148" i="1" s="1"/>
  <c r="R1147" i="1"/>
  <c r="T1147" i="1" s="1"/>
  <c r="N1147" i="1"/>
  <c r="A1147" i="1" a="1"/>
  <c r="A1147" i="1" s="1"/>
  <c r="AF1147" i="1" s="1" a="1"/>
  <c r="AF1147" i="1" s="1"/>
  <c r="R1146" i="1"/>
  <c r="T1146" i="1" s="1"/>
  <c r="N1146" i="1"/>
  <c r="A1146" i="1" a="1"/>
  <c r="A1146" i="1" s="1"/>
  <c r="AF1146" i="1" s="1" a="1"/>
  <c r="AF1146" i="1" s="1"/>
  <c r="R1145" i="1"/>
  <c r="T1145" i="1" s="1"/>
  <c r="N1145" i="1"/>
  <c r="A1145" i="1" a="1"/>
  <c r="A1145" i="1" s="1"/>
  <c r="R1144" i="1"/>
  <c r="T1144" i="1" s="1"/>
  <c r="N1144" i="1"/>
  <c r="A1144" i="1" a="1"/>
  <c r="A1144" i="1" s="1"/>
  <c r="AF1144" i="1" s="1" a="1"/>
  <c r="AF1144" i="1" s="1"/>
  <c r="R1143" i="1"/>
  <c r="T1143" i="1" s="1"/>
  <c r="N1143" i="1"/>
  <c r="A1143" i="1" a="1"/>
  <c r="A1143" i="1" s="1"/>
  <c r="AF1143" i="1" s="1" a="1"/>
  <c r="AF1143" i="1" s="1"/>
  <c r="AG1142" i="1" a="1"/>
  <c r="AG1142" i="1" s="1"/>
  <c r="Y1142" i="1" s="1"/>
  <c r="R1142" i="1"/>
  <c r="T1142" i="1" s="1"/>
  <c r="N1142" i="1"/>
  <c r="A1142" i="1" a="1"/>
  <c r="A1142" i="1" s="1"/>
  <c r="AF1142" i="1" s="1" a="1"/>
  <c r="AF1142" i="1" s="1"/>
  <c r="R1141" i="1"/>
  <c r="T1141" i="1" s="1"/>
  <c r="N1141" i="1"/>
  <c r="A1141" i="1" a="1"/>
  <c r="A1141" i="1" s="1"/>
  <c r="AF1141" i="1" s="1" a="1"/>
  <c r="AF1141" i="1" s="1"/>
  <c r="R1140" i="1"/>
  <c r="T1140" i="1" s="1"/>
  <c r="N1140" i="1"/>
  <c r="A1140" i="1" a="1"/>
  <c r="A1140" i="1" s="1"/>
  <c r="AF1140" i="1" s="1" a="1"/>
  <c r="AF1140" i="1" s="1"/>
  <c r="R1139" i="1"/>
  <c r="T1139" i="1" s="1"/>
  <c r="N1139" i="1"/>
  <c r="A1139" i="1" a="1"/>
  <c r="A1139" i="1" s="1"/>
  <c r="R1138" i="1"/>
  <c r="T1138" i="1" s="1"/>
  <c r="N1138" i="1"/>
  <c r="A1138" i="1" a="1"/>
  <c r="A1138" i="1" s="1"/>
  <c r="AF1138" i="1" s="1" a="1"/>
  <c r="AF1138" i="1" s="1"/>
  <c r="T1137" i="1"/>
  <c r="R1137" i="1"/>
  <c r="N1137" i="1"/>
  <c r="A1137" i="1" a="1"/>
  <c r="A1137" i="1" s="1"/>
  <c r="AF1137" i="1" s="1" a="1"/>
  <c r="AF1137" i="1" s="1"/>
  <c r="R1136" i="1"/>
  <c r="T1136" i="1" s="1"/>
  <c r="N1136" i="1"/>
  <c r="A1136" i="1" a="1"/>
  <c r="A1136" i="1" s="1"/>
  <c r="AF1136" i="1" s="1" a="1"/>
  <c r="AF1136" i="1" s="1"/>
  <c r="T1135" i="1"/>
  <c r="R1135" i="1"/>
  <c r="N1135" i="1"/>
  <c r="A1135" i="1" a="1"/>
  <c r="A1135" i="1" s="1"/>
  <c r="R1134" i="1"/>
  <c r="T1134" i="1" s="1"/>
  <c r="N1134" i="1"/>
  <c r="A1134" i="1" a="1"/>
  <c r="A1134" i="1" s="1"/>
  <c r="R1133" i="1"/>
  <c r="T1133" i="1" s="1"/>
  <c r="AA1133" i="1" s="1"/>
  <c r="N1133" i="1"/>
  <c r="A1133" i="1" a="1"/>
  <c r="A1133" i="1"/>
  <c r="AG1133" i="1" s="1" a="1"/>
  <c r="AG1133" i="1" s="1"/>
  <c r="Y1133" i="1" s="1"/>
  <c r="R1132" i="1"/>
  <c r="T1132" i="1" s="1"/>
  <c r="N1132" i="1"/>
  <c r="A1132" i="1" a="1"/>
  <c r="A1132" i="1"/>
  <c r="AG1132" i="1" s="1" a="1"/>
  <c r="AG1132" i="1" s="1"/>
  <c r="Y1132" i="1" s="1"/>
  <c r="R1131" i="1"/>
  <c r="T1131" i="1" s="1"/>
  <c r="AA1131" i="1" s="1"/>
  <c r="N1131" i="1"/>
  <c r="A1131" i="1" a="1"/>
  <c r="A1131" i="1" s="1"/>
  <c r="AF1130" i="1" a="1"/>
  <c r="AF1130" i="1"/>
  <c r="Y1130" i="1"/>
  <c r="R1130" i="1"/>
  <c r="T1130" i="1" s="1"/>
  <c r="AA1130" i="1" s="1"/>
  <c r="N1130" i="1"/>
  <c r="A1130" i="1" a="1"/>
  <c r="A1130" i="1" s="1"/>
  <c r="AG1130" i="1" s="1" a="1"/>
  <c r="AG1130" i="1" s="1"/>
  <c r="R1129" i="1"/>
  <c r="T1129" i="1" s="1"/>
  <c r="AA1129" i="1" s="1"/>
  <c r="N1129" i="1"/>
  <c r="A1129" i="1" a="1"/>
  <c r="A1129" i="1" s="1"/>
  <c r="AG1129" i="1" s="1" a="1"/>
  <c r="AG1129" i="1" s="1"/>
  <c r="Y1129" i="1" s="1"/>
  <c r="R1128" i="1"/>
  <c r="T1128" i="1" s="1"/>
  <c r="N1128" i="1"/>
  <c r="A1128" i="1" a="1"/>
  <c r="A1128" i="1"/>
  <c r="AF1128" i="1" s="1" a="1"/>
  <c r="AF1128" i="1" s="1"/>
  <c r="R1127" i="1"/>
  <c r="T1127" i="1" s="1"/>
  <c r="AA1127" i="1" s="1"/>
  <c r="N1127" i="1"/>
  <c r="A1127" i="1" a="1"/>
  <c r="A1127" i="1"/>
  <c r="R1126" i="1"/>
  <c r="T1126" i="1" s="1"/>
  <c r="N1126" i="1"/>
  <c r="A1126" i="1" a="1"/>
  <c r="A1126" i="1" s="1"/>
  <c r="R1125" i="1"/>
  <c r="T1125" i="1" s="1"/>
  <c r="N1125" i="1"/>
  <c r="A1125" i="1" a="1"/>
  <c r="A1125" i="1"/>
  <c r="AF1125" i="1" s="1" a="1"/>
  <c r="AF1125" i="1" s="1"/>
  <c r="R1124" i="1"/>
  <c r="T1124" i="1" s="1"/>
  <c r="N1124" i="1"/>
  <c r="A1124" i="1" a="1"/>
  <c r="A1124" i="1" s="1"/>
  <c r="R1123" i="1"/>
  <c r="T1123" i="1" s="1"/>
  <c r="N1123" i="1"/>
  <c r="A1123" i="1" a="1"/>
  <c r="A1123" i="1"/>
  <c r="AF1123" i="1" s="1" a="1"/>
  <c r="AF1123" i="1" s="1"/>
  <c r="R1122" i="1"/>
  <c r="T1122" i="1" s="1"/>
  <c r="N1122" i="1"/>
  <c r="A1122" i="1" a="1"/>
  <c r="A1122" i="1" s="1"/>
  <c r="T1121" i="1"/>
  <c r="AA1121" i="1" s="1"/>
  <c r="R1121" i="1"/>
  <c r="N1121" i="1"/>
  <c r="A1121" i="1" a="1"/>
  <c r="A1121" i="1"/>
  <c r="R1120" i="1"/>
  <c r="T1120" i="1" s="1"/>
  <c r="N1120" i="1"/>
  <c r="A1120" i="1" a="1"/>
  <c r="A1120" i="1" s="1"/>
  <c r="AG1120" i="1" s="1" a="1"/>
  <c r="AG1120" i="1" s="1"/>
  <c r="Y1120" i="1" s="1"/>
  <c r="AB1120" i="1" s="1"/>
  <c r="T1119" i="1"/>
  <c r="AA1119" i="1" s="1"/>
  <c r="R1119" i="1"/>
  <c r="N1119" i="1"/>
  <c r="A1119" i="1" a="1"/>
  <c r="A1119" i="1" s="1"/>
  <c r="R1118" i="1"/>
  <c r="T1118" i="1" s="1"/>
  <c r="N1118" i="1"/>
  <c r="A1118" i="1" a="1"/>
  <c r="A1118" i="1" s="1"/>
  <c r="AG1118" i="1" s="1" a="1"/>
  <c r="AG1118" i="1" s="1"/>
  <c r="Y1118" i="1" s="1"/>
  <c r="R1117" i="1"/>
  <c r="T1117" i="1" s="1"/>
  <c r="N1117" i="1"/>
  <c r="A1117" i="1" a="1"/>
  <c r="A1117" i="1" s="1"/>
  <c r="AA1116" i="1"/>
  <c r="R1116" i="1"/>
  <c r="T1116" i="1" s="1"/>
  <c r="N1116" i="1"/>
  <c r="A1116" i="1" a="1"/>
  <c r="A1116" i="1"/>
  <c r="R1115" i="1"/>
  <c r="T1115" i="1" s="1"/>
  <c r="AA1115" i="1" s="1"/>
  <c r="N1115" i="1"/>
  <c r="A1115" i="1" a="1"/>
  <c r="A1115" i="1" s="1"/>
  <c r="R1114" i="1"/>
  <c r="T1114" i="1" s="1"/>
  <c r="N1114" i="1"/>
  <c r="A1114" i="1" a="1"/>
  <c r="A1114" i="1" s="1"/>
  <c r="R1113" i="1"/>
  <c r="T1113" i="1" s="1"/>
  <c r="N1113" i="1"/>
  <c r="A1113" i="1" a="1"/>
  <c r="A1113" i="1" s="1"/>
  <c r="AG1113" i="1" s="1" a="1"/>
  <c r="AG1113" i="1" s="1"/>
  <c r="Y1113" i="1" s="1"/>
  <c r="R1112" i="1"/>
  <c r="T1112" i="1" s="1"/>
  <c r="N1112" i="1"/>
  <c r="A1112" i="1" a="1"/>
  <c r="A1112" i="1" s="1"/>
  <c r="T1111" i="1"/>
  <c r="R1111" i="1"/>
  <c r="N1111" i="1"/>
  <c r="A1111" i="1" a="1"/>
  <c r="A1111" i="1" s="1"/>
  <c r="AF1111" i="1" s="1" a="1"/>
  <c r="AF1111" i="1" s="1"/>
  <c r="R1110" i="1"/>
  <c r="T1110" i="1" s="1"/>
  <c r="N1110" i="1"/>
  <c r="A1110" i="1" a="1"/>
  <c r="A1110" i="1" s="1"/>
  <c r="T1109" i="1"/>
  <c r="R1109" i="1"/>
  <c r="N1109" i="1"/>
  <c r="A1109" i="1" a="1"/>
  <c r="A1109" i="1" s="1"/>
  <c r="AA1108" i="1"/>
  <c r="Y1108" i="1"/>
  <c r="R1108" i="1"/>
  <c r="T1108" i="1" s="1"/>
  <c r="N1108" i="1"/>
  <c r="A1108" i="1" a="1"/>
  <c r="A1108" i="1" s="1"/>
  <c r="AG1108" i="1" s="1" a="1"/>
  <c r="AG1108" i="1" s="1"/>
  <c r="R1107" i="1"/>
  <c r="T1107" i="1" s="1"/>
  <c r="AA1107" i="1" s="1"/>
  <c r="N1107" i="1"/>
  <c r="A1107" i="1" a="1"/>
  <c r="A1107" i="1" s="1"/>
  <c r="AA1106" i="1"/>
  <c r="R1106" i="1"/>
  <c r="T1106" i="1" s="1"/>
  <c r="N1106" i="1"/>
  <c r="A1106" i="1" a="1"/>
  <c r="A1106" i="1" s="1"/>
  <c r="R1105" i="1"/>
  <c r="T1105" i="1" s="1"/>
  <c r="AA1105" i="1" s="1"/>
  <c r="N1105" i="1"/>
  <c r="A1105" i="1" a="1"/>
  <c r="A1105" i="1"/>
  <c r="T1104" i="1"/>
  <c r="AA1104" i="1" s="1"/>
  <c r="R1104" i="1"/>
  <c r="N1104" i="1"/>
  <c r="A1104" i="1" a="1"/>
  <c r="A1104" i="1"/>
  <c r="AF1104" i="1" s="1" a="1"/>
  <c r="AF1104" i="1" s="1"/>
  <c r="R1103" i="1"/>
  <c r="T1103" i="1" s="1"/>
  <c r="AA1103" i="1" s="1"/>
  <c r="N1103" i="1"/>
  <c r="A1103" i="1" a="1"/>
  <c r="A1103" i="1" s="1"/>
  <c r="R1102" i="1"/>
  <c r="T1102" i="1" s="1"/>
  <c r="N1102" i="1"/>
  <c r="A1102" i="1" a="1"/>
  <c r="A1102" i="1" s="1"/>
  <c r="R1101" i="1"/>
  <c r="T1101" i="1" s="1"/>
  <c r="N1101" i="1"/>
  <c r="A1101" i="1" a="1"/>
  <c r="A1101" i="1" s="1"/>
  <c r="T1100" i="1"/>
  <c r="R1100" i="1"/>
  <c r="N1100" i="1"/>
  <c r="A1100" i="1" a="1"/>
  <c r="A1100" i="1" s="1"/>
  <c r="R1099" i="1"/>
  <c r="T1099" i="1" s="1"/>
  <c r="N1099" i="1"/>
  <c r="A1099" i="1" a="1"/>
  <c r="A1099" i="1" s="1"/>
  <c r="R1098" i="1"/>
  <c r="T1098" i="1" s="1"/>
  <c r="N1098" i="1"/>
  <c r="A1098" i="1" a="1"/>
  <c r="A1098" i="1" s="1"/>
  <c r="AF1097" i="1" a="1"/>
  <c r="AF1097" i="1" s="1"/>
  <c r="R1097" i="1"/>
  <c r="T1097" i="1" s="1"/>
  <c r="AB1097" i="1" s="1"/>
  <c r="N1097" i="1"/>
  <c r="A1097" i="1" a="1"/>
  <c r="A1097" i="1"/>
  <c r="AG1097" i="1" s="1" a="1"/>
  <c r="AG1097" i="1" s="1"/>
  <c r="Y1097" i="1" s="1"/>
  <c r="R1096" i="1"/>
  <c r="T1096" i="1" s="1"/>
  <c r="N1096" i="1"/>
  <c r="A1096" i="1" a="1"/>
  <c r="A1096" i="1" s="1"/>
  <c r="AG1096" i="1" s="1" a="1"/>
  <c r="AG1096" i="1" s="1"/>
  <c r="Y1096" i="1" s="1"/>
  <c r="T1095" i="1"/>
  <c r="R1095" i="1"/>
  <c r="N1095" i="1"/>
  <c r="A1095" i="1" a="1"/>
  <c r="A1095" i="1" s="1"/>
  <c r="AA1094" i="1"/>
  <c r="Y1094" i="1"/>
  <c r="R1094" i="1"/>
  <c r="T1094" i="1" s="1"/>
  <c r="N1094" i="1"/>
  <c r="A1094" i="1" a="1"/>
  <c r="A1094" i="1" s="1"/>
  <c r="AG1094" i="1" s="1" a="1"/>
  <c r="AG1094" i="1" s="1"/>
  <c r="R1093" i="1"/>
  <c r="T1093" i="1" s="1"/>
  <c r="AA1093" i="1" s="1"/>
  <c r="N1093" i="1"/>
  <c r="A1093" i="1" a="1"/>
  <c r="A1093" i="1" s="1"/>
  <c r="T1092" i="1"/>
  <c r="AA1092" i="1" s="1"/>
  <c r="R1092" i="1"/>
  <c r="N1092" i="1"/>
  <c r="A1092" i="1" a="1"/>
  <c r="A1092" i="1" s="1"/>
  <c r="AF1092" i="1" s="1" a="1"/>
  <c r="AF1092" i="1" s="1"/>
  <c r="T1091" i="1"/>
  <c r="AA1091" i="1" s="1"/>
  <c r="R1091" i="1"/>
  <c r="N1091" i="1"/>
  <c r="A1091" i="1" a="1"/>
  <c r="A1091" i="1"/>
  <c r="AG1091" i="1" s="1" a="1"/>
  <c r="AG1091" i="1" s="1"/>
  <c r="Y1091" i="1" s="1"/>
  <c r="R1090" i="1"/>
  <c r="T1090" i="1" s="1"/>
  <c r="N1090" i="1"/>
  <c r="A1090" i="1" a="1"/>
  <c r="A1090" i="1" s="1"/>
  <c r="R1089" i="1"/>
  <c r="T1089" i="1" s="1"/>
  <c r="N1089" i="1"/>
  <c r="A1089" i="1" a="1"/>
  <c r="A1089" i="1"/>
  <c r="T1088" i="1"/>
  <c r="R1088" i="1"/>
  <c r="N1088" i="1"/>
  <c r="A1088" i="1" a="1"/>
  <c r="A1088" i="1" s="1"/>
  <c r="R1087" i="1"/>
  <c r="T1087" i="1" s="1"/>
  <c r="N1087" i="1"/>
  <c r="A1087" i="1" a="1"/>
  <c r="A1087" i="1"/>
  <c r="R1086" i="1"/>
  <c r="T1086" i="1" s="1"/>
  <c r="N1086" i="1"/>
  <c r="A1086" i="1" a="1"/>
  <c r="A1086" i="1" s="1"/>
  <c r="AF1085" i="1" a="1"/>
  <c r="AF1085" i="1" s="1"/>
  <c r="R1085" i="1"/>
  <c r="T1085" i="1" s="1"/>
  <c r="AA1085" i="1" s="1"/>
  <c r="N1085" i="1"/>
  <c r="A1085" i="1" a="1"/>
  <c r="A1085" i="1"/>
  <c r="AG1085" i="1" s="1" a="1"/>
  <c r="AG1085" i="1" s="1"/>
  <c r="Y1085" i="1" s="1"/>
  <c r="R1084" i="1"/>
  <c r="T1084" i="1" s="1"/>
  <c r="AA1084" i="1" s="1"/>
  <c r="N1084" i="1"/>
  <c r="A1084" i="1" a="1"/>
  <c r="A1084" i="1" s="1"/>
  <c r="AG1084" i="1" s="1" a="1"/>
  <c r="AG1084" i="1" s="1"/>
  <c r="Y1084" i="1" s="1"/>
  <c r="AB1084" i="1" s="1"/>
  <c r="T1083" i="1"/>
  <c r="AA1083" i="1" s="1"/>
  <c r="R1083" i="1"/>
  <c r="N1083" i="1"/>
  <c r="A1083" i="1" a="1"/>
  <c r="A1083" i="1" s="1"/>
  <c r="R1082" i="1"/>
  <c r="T1082" i="1" s="1"/>
  <c r="N1082" i="1"/>
  <c r="A1082" i="1" a="1"/>
  <c r="A1082" i="1" s="1"/>
  <c r="AG1081" i="1"/>
  <c r="Y1081" i="1" s="1"/>
  <c r="AB1081" i="1" s="1"/>
  <c r="Z1081" i="1" s="1"/>
  <c r="R1081" i="1"/>
  <c r="T1081" i="1" s="1"/>
  <c r="AA1081" i="1" s="1"/>
  <c r="N1081" i="1"/>
  <c r="A1081" i="1" a="1"/>
  <c r="A1081" i="1" s="1"/>
  <c r="AG1081" i="1" s="1" a="1"/>
  <c r="T1080" i="1"/>
  <c r="AA1080" i="1" s="1"/>
  <c r="R1080" i="1"/>
  <c r="N1080" i="1"/>
  <c r="A1080" i="1" a="1"/>
  <c r="A1080" i="1"/>
  <c r="AF1080" i="1" s="1" a="1"/>
  <c r="AF1080" i="1" s="1"/>
  <c r="R1079" i="1"/>
  <c r="T1079" i="1" s="1"/>
  <c r="AA1079" i="1" s="1"/>
  <c r="N1079" i="1"/>
  <c r="A1079" i="1" a="1"/>
  <c r="A1079" i="1"/>
  <c r="R1078" i="1"/>
  <c r="T1078" i="1" s="1"/>
  <c r="N1078" i="1"/>
  <c r="A1078" i="1" a="1"/>
  <c r="A1078" i="1" s="1"/>
  <c r="AG1077" i="1" a="1"/>
  <c r="AG1077" i="1" s="1"/>
  <c r="Y1077" i="1" s="1"/>
  <c r="R1077" i="1"/>
  <c r="T1077" i="1" s="1"/>
  <c r="N1077" i="1"/>
  <c r="A1077" i="1" a="1"/>
  <c r="A1077" i="1" s="1"/>
  <c r="AF1077" i="1" s="1" a="1"/>
  <c r="AF1077" i="1" s="1"/>
  <c r="R1076" i="1"/>
  <c r="T1076" i="1" s="1"/>
  <c r="N1076" i="1"/>
  <c r="A1076" i="1" a="1"/>
  <c r="A1076" i="1" s="1"/>
  <c r="AG1075" i="1" a="1"/>
  <c r="AG1075" i="1" s="1"/>
  <c r="Y1075" i="1" s="1"/>
  <c r="R1075" i="1"/>
  <c r="T1075" i="1" s="1"/>
  <c r="N1075" i="1"/>
  <c r="A1075" i="1" a="1"/>
  <c r="A1075" i="1" s="1"/>
  <c r="AF1075" i="1" s="1" a="1"/>
  <c r="AF1075" i="1" s="1"/>
  <c r="R1074" i="1"/>
  <c r="T1074" i="1" s="1"/>
  <c r="N1074" i="1"/>
  <c r="A1074" i="1" a="1"/>
  <c r="A1074" i="1" s="1"/>
  <c r="AF1073" i="1" a="1"/>
  <c r="AF1073" i="1" s="1"/>
  <c r="R1073" i="1"/>
  <c r="T1073" i="1" s="1"/>
  <c r="N1073" i="1"/>
  <c r="A1073" i="1" a="1"/>
  <c r="A1073" i="1"/>
  <c r="AG1073" i="1" s="1" a="1"/>
  <c r="AG1073" i="1" s="1"/>
  <c r="Y1073" i="1" s="1"/>
  <c r="AA1072" i="1"/>
  <c r="R1072" i="1"/>
  <c r="T1072" i="1" s="1"/>
  <c r="N1072" i="1"/>
  <c r="A1072" i="1" a="1"/>
  <c r="A1072" i="1" s="1"/>
  <c r="AG1072" i="1" s="1" a="1"/>
  <c r="AG1072" i="1" s="1"/>
  <c r="Y1072" i="1" s="1"/>
  <c r="T1071" i="1"/>
  <c r="AA1071" i="1" s="1"/>
  <c r="R1071" i="1"/>
  <c r="N1071" i="1"/>
  <c r="A1071" i="1" a="1"/>
  <c r="A1071" i="1" s="1"/>
  <c r="AA1070" i="1"/>
  <c r="R1070" i="1"/>
  <c r="T1070" i="1" s="1"/>
  <c r="N1070" i="1"/>
  <c r="A1070" i="1" a="1"/>
  <c r="A1070" i="1" s="1"/>
  <c r="R1069" i="1"/>
  <c r="T1069" i="1" s="1"/>
  <c r="AA1069" i="1" s="1"/>
  <c r="N1069" i="1"/>
  <c r="A1069" i="1" a="1"/>
  <c r="A1069" i="1" s="1"/>
  <c r="AA1068" i="1"/>
  <c r="T1068" i="1"/>
  <c r="R1068" i="1"/>
  <c r="N1068" i="1"/>
  <c r="A1068" i="1" a="1"/>
  <c r="A1068" i="1" s="1"/>
  <c r="AF1068" i="1" s="1" a="1"/>
  <c r="AF1068" i="1" s="1"/>
  <c r="R1067" i="1"/>
  <c r="T1067" i="1" s="1"/>
  <c r="N1067" i="1"/>
  <c r="A1067" i="1" a="1"/>
  <c r="A1067" i="1" s="1"/>
  <c r="AF1067" i="1" s="1" a="1"/>
  <c r="AF1067" i="1" s="1"/>
  <c r="R1066" i="1"/>
  <c r="T1066" i="1" s="1"/>
  <c r="N1066" i="1"/>
  <c r="A1066" i="1" a="1"/>
  <c r="A1066" i="1" s="1"/>
  <c r="AA1065" i="1"/>
  <c r="R1065" i="1"/>
  <c r="T1065" i="1" s="1"/>
  <c r="N1065" i="1"/>
  <c r="A1065" i="1" a="1"/>
  <c r="A1065" i="1" s="1"/>
  <c r="AG1065" i="1" s="1" a="1"/>
  <c r="AG1065" i="1" s="1"/>
  <c r="Y1065" i="1" s="1"/>
  <c r="R1064" i="1"/>
  <c r="T1064" i="1" s="1"/>
  <c r="AA1064" i="1" s="1"/>
  <c r="N1064" i="1"/>
  <c r="A1064" i="1" a="1"/>
  <c r="A1064" i="1" s="1"/>
  <c r="T1063" i="1"/>
  <c r="R1063" i="1"/>
  <c r="N1063" i="1"/>
  <c r="A1063" i="1" a="1"/>
  <c r="A1063" i="1" s="1"/>
  <c r="AF1062" i="1" a="1"/>
  <c r="AF1062" i="1" s="1"/>
  <c r="R1062" i="1"/>
  <c r="T1062" i="1" s="1"/>
  <c r="N1062" i="1"/>
  <c r="A1062" i="1" a="1"/>
  <c r="A1062" i="1" s="1"/>
  <c r="AG1062" i="1" s="1" a="1"/>
  <c r="AG1062" i="1" s="1"/>
  <c r="Y1062" i="1" s="1"/>
  <c r="T1061" i="1"/>
  <c r="AA1061" i="1" s="1"/>
  <c r="R1061" i="1"/>
  <c r="N1061" i="1"/>
  <c r="A1061" i="1" a="1"/>
  <c r="A1061" i="1" s="1"/>
  <c r="R1060" i="1"/>
  <c r="T1060" i="1" s="1"/>
  <c r="N1060" i="1"/>
  <c r="A1060" i="1" a="1"/>
  <c r="A1060" i="1"/>
  <c r="AF1060" i="1" s="1" a="1"/>
  <c r="AF1060" i="1" s="1"/>
  <c r="R1059" i="1"/>
  <c r="T1059" i="1" s="1"/>
  <c r="N1059" i="1"/>
  <c r="A1059" i="1" a="1"/>
  <c r="A1059" i="1"/>
  <c r="AG1058" i="1" a="1"/>
  <c r="AG1058" i="1" s="1"/>
  <c r="Y1058" i="1" s="1"/>
  <c r="R1058" i="1"/>
  <c r="T1058" i="1" s="1"/>
  <c r="N1058" i="1"/>
  <c r="A1058" i="1" a="1"/>
  <c r="A1058" i="1" s="1"/>
  <c r="AF1058" i="1" s="1" a="1"/>
  <c r="AF1058" i="1" s="1"/>
  <c r="R1057" i="1"/>
  <c r="T1057" i="1" s="1"/>
  <c r="N1057" i="1"/>
  <c r="A1057" i="1" a="1"/>
  <c r="A1057" i="1"/>
  <c r="AG1057" i="1" s="1" a="1"/>
  <c r="AG1057" i="1" s="1"/>
  <c r="Y1057" i="1" s="1"/>
  <c r="AB1057" i="1" s="1"/>
  <c r="R1056" i="1"/>
  <c r="T1056" i="1" s="1"/>
  <c r="N1056" i="1"/>
  <c r="A1056" i="1" a="1"/>
  <c r="A1056" i="1" s="1"/>
  <c r="R1055" i="1"/>
  <c r="T1055" i="1" s="1"/>
  <c r="N1055" i="1"/>
  <c r="A1055" i="1" a="1"/>
  <c r="A1055" i="1" s="1"/>
  <c r="R1054" i="1"/>
  <c r="T1054" i="1" s="1"/>
  <c r="N1054" i="1"/>
  <c r="A1054" i="1" a="1"/>
  <c r="A1054" i="1" s="1"/>
  <c r="R1053" i="1"/>
  <c r="T1053" i="1" s="1"/>
  <c r="N1053" i="1"/>
  <c r="A1053" i="1" a="1"/>
  <c r="A1053" i="1"/>
  <c r="AG1053" i="1" s="1" a="1"/>
  <c r="AG1053" i="1" s="1"/>
  <c r="Y1053" i="1" s="1"/>
  <c r="AB1053" i="1" s="1"/>
  <c r="R1052" i="1"/>
  <c r="T1052" i="1" s="1"/>
  <c r="N1052" i="1"/>
  <c r="A1052" i="1" a="1"/>
  <c r="A1052" i="1" s="1"/>
  <c r="R1051" i="1"/>
  <c r="T1051" i="1" s="1"/>
  <c r="N1051" i="1"/>
  <c r="A1051" i="1" a="1"/>
  <c r="A1051" i="1"/>
  <c r="AG1050" i="1" a="1"/>
  <c r="AG1050" i="1" s="1"/>
  <c r="Y1050" i="1" s="1"/>
  <c r="R1050" i="1"/>
  <c r="T1050" i="1" s="1"/>
  <c r="N1050" i="1"/>
  <c r="A1050" i="1" a="1"/>
  <c r="A1050" i="1" s="1"/>
  <c r="AF1050" i="1" s="1" a="1"/>
  <c r="AF1050" i="1" s="1"/>
  <c r="R1049" i="1"/>
  <c r="T1049" i="1" s="1"/>
  <c r="N1049" i="1"/>
  <c r="A1049" i="1" a="1"/>
  <c r="A1049" i="1"/>
  <c r="AG1049" i="1" s="1" a="1"/>
  <c r="AG1049" i="1" s="1"/>
  <c r="Y1049" i="1" s="1"/>
  <c r="AB1049" i="1" s="1"/>
  <c r="R1048" i="1"/>
  <c r="T1048" i="1" s="1"/>
  <c r="N1048" i="1"/>
  <c r="A1048" i="1" a="1"/>
  <c r="A1048" i="1" s="1"/>
  <c r="R1047" i="1"/>
  <c r="T1047" i="1" s="1"/>
  <c r="N1047" i="1"/>
  <c r="A1047" i="1" a="1"/>
  <c r="A1047" i="1" s="1"/>
  <c r="R1046" i="1"/>
  <c r="T1046" i="1" s="1"/>
  <c r="N1046" i="1"/>
  <c r="A1046" i="1" a="1"/>
  <c r="A1046" i="1"/>
  <c r="AF1046" i="1" s="1" a="1"/>
  <c r="AF1046" i="1" s="1"/>
  <c r="AG1045" i="1" a="1"/>
  <c r="AG1045" i="1" s="1"/>
  <c r="Y1045" i="1" s="1"/>
  <c r="T1045" i="1"/>
  <c r="R1045" i="1"/>
  <c r="N1045" i="1"/>
  <c r="A1045" i="1" a="1"/>
  <c r="A1045" i="1"/>
  <c r="AF1045" i="1" s="1" a="1"/>
  <c r="AF1045" i="1" s="1"/>
  <c r="R1044" i="1"/>
  <c r="T1044" i="1" s="1"/>
  <c r="N1044" i="1"/>
  <c r="A1044" i="1" a="1"/>
  <c r="A1044" i="1"/>
  <c r="AF1044" i="1" s="1" a="1"/>
  <c r="AF1044" i="1" s="1"/>
  <c r="AG1043" i="1" a="1"/>
  <c r="AG1043" i="1" s="1"/>
  <c r="Y1043" i="1" s="1"/>
  <c r="T1043" i="1"/>
  <c r="R1043" i="1"/>
  <c r="N1043" i="1"/>
  <c r="A1043" i="1" a="1"/>
  <c r="A1043" i="1"/>
  <c r="AF1043" i="1" s="1" a="1"/>
  <c r="AF1043" i="1" s="1"/>
  <c r="R1042" i="1"/>
  <c r="T1042" i="1" s="1"/>
  <c r="N1042" i="1"/>
  <c r="A1042" i="1" a="1"/>
  <c r="A1042" i="1"/>
  <c r="AF1042" i="1" s="1" a="1"/>
  <c r="AF1042" i="1" s="1"/>
  <c r="AG1041" i="1" a="1"/>
  <c r="AG1041" i="1" s="1"/>
  <c r="Y1041" i="1" s="1"/>
  <c r="T1041" i="1"/>
  <c r="R1041" i="1"/>
  <c r="N1041" i="1"/>
  <c r="A1041" i="1" a="1"/>
  <c r="A1041" i="1"/>
  <c r="AF1041" i="1" s="1" a="1"/>
  <c r="AF1041" i="1" s="1"/>
  <c r="R1040" i="1"/>
  <c r="T1040" i="1" s="1"/>
  <c r="N1040" i="1"/>
  <c r="A1040" i="1" a="1"/>
  <c r="A1040" i="1"/>
  <c r="AF1040" i="1" s="1" a="1"/>
  <c r="AF1040" i="1" s="1"/>
  <c r="AG1039" i="1" a="1"/>
  <c r="AG1039" i="1" s="1"/>
  <c r="Y1039" i="1" s="1"/>
  <c r="T1039" i="1"/>
  <c r="R1039" i="1"/>
  <c r="N1039" i="1"/>
  <c r="A1039" i="1" a="1"/>
  <c r="A1039" i="1"/>
  <c r="AF1039" i="1" s="1" a="1"/>
  <c r="AF1039" i="1" s="1"/>
  <c r="R1038" i="1"/>
  <c r="T1038" i="1" s="1"/>
  <c r="N1038" i="1"/>
  <c r="A1038" i="1" a="1"/>
  <c r="A1038" i="1"/>
  <c r="AF1038" i="1" s="1" a="1"/>
  <c r="AF1038" i="1" s="1"/>
  <c r="AG1037" i="1" a="1"/>
  <c r="AG1037" i="1" s="1"/>
  <c r="Y1037" i="1" s="1"/>
  <c r="T1037" i="1"/>
  <c r="R1037" i="1"/>
  <c r="N1037" i="1"/>
  <c r="A1037" i="1" a="1"/>
  <c r="A1037" i="1"/>
  <c r="AF1037" i="1" s="1" a="1"/>
  <c r="AF1037" i="1" s="1"/>
  <c r="R1036" i="1"/>
  <c r="T1036" i="1" s="1"/>
  <c r="N1036" i="1"/>
  <c r="A1036" i="1" a="1"/>
  <c r="A1036" i="1"/>
  <c r="AF1036" i="1" s="1" a="1"/>
  <c r="AF1036" i="1" s="1"/>
  <c r="AG1035" i="1" a="1"/>
  <c r="AG1035" i="1" s="1"/>
  <c r="Y1035" i="1" s="1"/>
  <c r="T1035" i="1"/>
  <c r="R1035" i="1"/>
  <c r="N1035" i="1"/>
  <c r="A1035" i="1" a="1"/>
  <c r="A1035" i="1"/>
  <c r="AF1035" i="1" s="1" a="1"/>
  <c r="AF1035" i="1" s="1"/>
  <c r="R1034" i="1"/>
  <c r="T1034" i="1" s="1"/>
  <c r="N1034" i="1"/>
  <c r="A1034" i="1" a="1"/>
  <c r="A1034" i="1"/>
  <c r="AF1034" i="1" s="1" a="1"/>
  <c r="AF1034" i="1" s="1"/>
  <c r="R1033" i="1"/>
  <c r="T1033" i="1" s="1"/>
  <c r="N1033" i="1"/>
  <c r="A1033" i="1" a="1"/>
  <c r="A1033" i="1" s="1"/>
  <c r="AF1033" i="1" s="1" a="1"/>
  <c r="AF1033" i="1" s="1"/>
  <c r="T1032" i="1"/>
  <c r="R1032" i="1"/>
  <c r="N1032" i="1"/>
  <c r="A1032" i="1" a="1"/>
  <c r="A1032" i="1"/>
  <c r="AF1032" i="1" s="1" a="1"/>
  <c r="AF1032" i="1" s="1"/>
  <c r="AG1031" i="1" a="1"/>
  <c r="AG1031" i="1" s="1"/>
  <c r="Y1031" i="1" s="1"/>
  <c r="R1031" i="1"/>
  <c r="T1031" i="1" s="1"/>
  <c r="N1031" i="1"/>
  <c r="A1031" i="1" a="1"/>
  <c r="A1031" i="1"/>
  <c r="AF1031" i="1" s="1" a="1"/>
  <c r="AF1031" i="1" s="1"/>
  <c r="R1030" i="1"/>
  <c r="T1030" i="1" s="1"/>
  <c r="N1030" i="1"/>
  <c r="A1030" i="1" a="1"/>
  <c r="A1030" i="1"/>
  <c r="AF1030" i="1" s="1" a="1"/>
  <c r="AF1030" i="1" s="1"/>
  <c r="R1029" i="1"/>
  <c r="T1029" i="1" s="1"/>
  <c r="N1029" i="1"/>
  <c r="A1029" i="1" a="1"/>
  <c r="A1029" i="1" s="1"/>
  <c r="T1028" i="1"/>
  <c r="R1028" i="1"/>
  <c r="N1028" i="1"/>
  <c r="A1028" i="1" a="1"/>
  <c r="A1028" i="1" s="1"/>
  <c r="AF1028" i="1" s="1" a="1"/>
  <c r="AF1028" i="1" s="1"/>
  <c r="R1027" i="1"/>
  <c r="T1027" i="1" s="1"/>
  <c r="N1027" i="1"/>
  <c r="A1027" i="1" a="1"/>
  <c r="A1027" i="1" s="1"/>
  <c r="R1026" i="1"/>
  <c r="T1026" i="1" s="1"/>
  <c r="N1026" i="1"/>
  <c r="A1026" i="1" a="1"/>
  <c r="A1026" i="1"/>
  <c r="AF1026" i="1" s="1" a="1"/>
  <c r="AF1026" i="1" s="1"/>
  <c r="R1025" i="1"/>
  <c r="T1025" i="1" s="1"/>
  <c r="N1025" i="1"/>
  <c r="A1025" i="1" a="1"/>
  <c r="A1025" i="1"/>
  <c r="AF1025" i="1" s="1" a="1"/>
  <c r="AF1025" i="1" s="1"/>
  <c r="R1024" i="1"/>
  <c r="T1024" i="1" s="1"/>
  <c r="N1024" i="1"/>
  <c r="A1024" i="1" a="1"/>
  <c r="A1024" i="1"/>
  <c r="AF1024" i="1" s="1" a="1"/>
  <c r="AF1024" i="1" s="1"/>
  <c r="R1023" i="1"/>
  <c r="T1023" i="1" s="1"/>
  <c r="N1023" i="1"/>
  <c r="A1023" i="1" a="1"/>
  <c r="A1023" i="1" s="1"/>
  <c r="AF1023" i="1" s="1" a="1"/>
  <c r="AF1023" i="1" s="1"/>
  <c r="T1022" i="1"/>
  <c r="R1022" i="1"/>
  <c r="N1022" i="1"/>
  <c r="A1022" i="1" a="1"/>
  <c r="A1022" i="1" s="1"/>
  <c r="T1021" i="1"/>
  <c r="R1021" i="1"/>
  <c r="N1021" i="1"/>
  <c r="A1021" i="1" a="1"/>
  <c r="A1021" i="1"/>
  <c r="AF1021" i="1" s="1" a="1"/>
  <c r="AF1021" i="1" s="1"/>
  <c r="T1020" i="1"/>
  <c r="R1020" i="1"/>
  <c r="N1020" i="1"/>
  <c r="A1020" i="1" a="1"/>
  <c r="A1020" i="1"/>
  <c r="AF1020" i="1" s="1" a="1"/>
  <c r="AF1020" i="1" s="1"/>
  <c r="R1019" i="1"/>
  <c r="T1019" i="1" s="1"/>
  <c r="N1019" i="1"/>
  <c r="A1019" i="1" a="1"/>
  <c r="A1019" i="1"/>
  <c r="AF1019" i="1" s="1" a="1"/>
  <c r="AF1019" i="1" s="1"/>
  <c r="R1018" i="1"/>
  <c r="T1018" i="1" s="1"/>
  <c r="N1018" i="1"/>
  <c r="A1018" i="1" a="1"/>
  <c r="A1018" i="1"/>
  <c r="AF1018" i="1" s="1" a="1"/>
  <c r="AF1018" i="1" s="1"/>
  <c r="R1017" i="1"/>
  <c r="T1017" i="1" s="1"/>
  <c r="AA1017" i="1" s="1"/>
  <c r="N1017" i="1"/>
  <c r="A1017" i="1" a="1"/>
  <c r="A1017" i="1" s="1"/>
  <c r="R1016" i="1"/>
  <c r="T1016" i="1" s="1"/>
  <c r="N1016" i="1"/>
  <c r="A1016" i="1" a="1"/>
  <c r="A1016" i="1"/>
  <c r="AG1016" i="1" s="1" a="1"/>
  <c r="AG1016" i="1" s="1"/>
  <c r="Y1016" i="1" s="1"/>
  <c r="AF1015" i="1" a="1"/>
  <c r="AF1015" i="1" s="1"/>
  <c r="T1015" i="1"/>
  <c r="R1015" i="1"/>
  <c r="N1015" i="1"/>
  <c r="A1015" i="1" a="1"/>
  <c r="A1015" i="1" s="1"/>
  <c r="AG1015" i="1" s="1" a="1"/>
  <c r="AG1015" i="1" s="1"/>
  <c r="Y1015" i="1" s="1"/>
  <c r="T1014" i="1"/>
  <c r="R1014" i="1"/>
  <c r="N1014" i="1"/>
  <c r="A1014" i="1" a="1"/>
  <c r="A1014" i="1" s="1"/>
  <c r="AG1014" i="1" s="1" a="1"/>
  <c r="AG1014" i="1" s="1"/>
  <c r="Y1014" i="1" s="1"/>
  <c r="R1013" i="1"/>
  <c r="T1013" i="1" s="1"/>
  <c r="N1013" i="1"/>
  <c r="A1013" i="1" a="1"/>
  <c r="A1013" i="1" s="1"/>
  <c r="R1012" i="1"/>
  <c r="T1012" i="1" s="1"/>
  <c r="AA1012" i="1" s="1"/>
  <c r="N1012" i="1"/>
  <c r="A1012" i="1" a="1"/>
  <c r="A1012" i="1" s="1"/>
  <c r="R1011" i="1"/>
  <c r="T1011" i="1" s="1"/>
  <c r="AA1011" i="1" s="1"/>
  <c r="N1011" i="1"/>
  <c r="A1011" i="1" a="1"/>
  <c r="A1011" i="1" s="1"/>
  <c r="R1010" i="1"/>
  <c r="T1010" i="1" s="1"/>
  <c r="N1010" i="1"/>
  <c r="A1010" i="1" a="1"/>
  <c r="A1010" i="1" s="1"/>
  <c r="R1009" i="1"/>
  <c r="T1009" i="1" s="1"/>
  <c r="N1009" i="1"/>
  <c r="A1009" i="1" a="1"/>
  <c r="A1009" i="1"/>
  <c r="AG1009" i="1" s="1" a="1"/>
  <c r="AG1009" i="1" s="1"/>
  <c r="Y1009" i="1" s="1"/>
  <c r="AF1008" i="1" a="1"/>
  <c r="AF1008" i="1" s="1"/>
  <c r="R1008" i="1"/>
  <c r="T1008" i="1" s="1"/>
  <c r="N1008" i="1"/>
  <c r="A1008" i="1" a="1"/>
  <c r="A1008" i="1"/>
  <c r="AG1008" i="1" s="1" a="1"/>
  <c r="AG1008" i="1" s="1"/>
  <c r="Y1008" i="1" s="1"/>
  <c r="R1007" i="1"/>
  <c r="T1007" i="1" s="1"/>
  <c r="N1007" i="1"/>
  <c r="A1007" i="1" a="1"/>
  <c r="A1007" i="1"/>
  <c r="AF1007" i="1" s="1" a="1"/>
  <c r="AF1007" i="1" s="1"/>
  <c r="R1006" i="1"/>
  <c r="T1006" i="1" s="1"/>
  <c r="N1006" i="1"/>
  <c r="A1006" i="1" a="1"/>
  <c r="A1006" i="1" s="1"/>
  <c r="R1005" i="1"/>
  <c r="T1005" i="1" s="1"/>
  <c r="N1005" i="1"/>
  <c r="A1005" i="1" a="1"/>
  <c r="A1005" i="1" s="1"/>
  <c r="R1004" i="1"/>
  <c r="T1004" i="1" s="1"/>
  <c r="N1004" i="1"/>
  <c r="A1004" i="1" a="1"/>
  <c r="A1004" i="1" s="1"/>
  <c r="R1003" i="1"/>
  <c r="T1003" i="1" s="1"/>
  <c r="N1003" i="1"/>
  <c r="A1003" i="1" a="1"/>
  <c r="A1003" i="1" s="1"/>
  <c r="R1002" i="1"/>
  <c r="T1002" i="1" s="1"/>
  <c r="N1002" i="1"/>
  <c r="A1002" i="1" a="1"/>
  <c r="A1002" i="1" s="1"/>
  <c r="R1001" i="1"/>
  <c r="T1001" i="1" s="1"/>
  <c r="N1001" i="1"/>
  <c r="A1001" i="1" a="1"/>
  <c r="A1001" i="1" s="1"/>
  <c r="R1000" i="1"/>
  <c r="T1000" i="1" s="1"/>
  <c r="N1000" i="1"/>
  <c r="A1000" i="1" a="1"/>
  <c r="A1000" i="1" s="1"/>
  <c r="R999" i="1"/>
  <c r="T999" i="1" s="1"/>
  <c r="N999" i="1"/>
  <c r="A999" i="1" a="1"/>
  <c r="A999" i="1" s="1"/>
  <c r="R998" i="1"/>
  <c r="T998" i="1" s="1"/>
  <c r="N998" i="1"/>
  <c r="A998" i="1" a="1"/>
  <c r="A998" i="1" s="1"/>
  <c r="R997" i="1"/>
  <c r="T997" i="1" s="1"/>
  <c r="N997" i="1"/>
  <c r="A997" i="1" a="1"/>
  <c r="A997" i="1" s="1"/>
  <c r="R996" i="1"/>
  <c r="T996" i="1" s="1"/>
  <c r="N996" i="1"/>
  <c r="A996" i="1" a="1"/>
  <c r="A996" i="1" s="1"/>
  <c r="R995" i="1"/>
  <c r="T995" i="1" s="1"/>
  <c r="N995" i="1"/>
  <c r="A995" i="1" a="1"/>
  <c r="A995" i="1" s="1"/>
  <c r="R994" i="1"/>
  <c r="T994" i="1" s="1"/>
  <c r="N994" i="1"/>
  <c r="A994" i="1" a="1"/>
  <c r="A994" i="1" s="1"/>
  <c r="R993" i="1"/>
  <c r="T993" i="1" s="1"/>
  <c r="N993" i="1"/>
  <c r="A993" i="1" a="1"/>
  <c r="A993" i="1" s="1"/>
  <c r="R992" i="1"/>
  <c r="T992" i="1" s="1"/>
  <c r="N992" i="1"/>
  <c r="A992" i="1" a="1"/>
  <c r="A992" i="1" s="1"/>
  <c r="R991" i="1"/>
  <c r="T991" i="1" s="1"/>
  <c r="N991" i="1"/>
  <c r="A991" i="1" a="1"/>
  <c r="A991" i="1" s="1"/>
  <c r="R990" i="1"/>
  <c r="T990" i="1" s="1"/>
  <c r="N990" i="1"/>
  <c r="A990" i="1" a="1"/>
  <c r="A990" i="1" s="1"/>
  <c r="R989" i="1"/>
  <c r="T989" i="1" s="1"/>
  <c r="N989" i="1"/>
  <c r="A989" i="1" a="1"/>
  <c r="A989" i="1" s="1"/>
  <c r="R988" i="1"/>
  <c r="T988" i="1" s="1"/>
  <c r="N988" i="1"/>
  <c r="A988" i="1" a="1"/>
  <c r="A988" i="1" s="1"/>
  <c r="R987" i="1"/>
  <c r="T987" i="1" s="1"/>
  <c r="N987" i="1"/>
  <c r="A987" i="1" a="1"/>
  <c r="A987" i="1" s="1"/>
  <c r="R986" i="1"/>
  <c r="T986" i="1" s="1"/>
  <c r="N986" i="1"/>
  <c r="A986" i="1" a="1"/>
  <c r="A986" i="1" s="1"/>
  <c r="R985" i="1"/>
  <c r="T985" i="1" s="1"/>
  <c r="N985" i="1"/>
  <c r="A985" i="1" a="1"/>
  <c r="A985" i="1" s="1"/>
  <c r="R984" i="1"/>
  <c r="T984" i="1" s="1"/>
  <c r="N984" i="1"/>
  <c r="A984" i="1" a="1"/>
  <c r="A984" i="1" s="1"/>
  <c r="R983" i="1"/>
  <c r="T983" i="1" s="1"/>
  <c r="N983" i="1"/>
  <c r="A983" i="1" a="1"/>
  <c r="A983" i="1" s="1"/>
  <c r="R982" i="1"/>
  <c r="T982" i="1" s="1"/>
  <c r="N982" i="1"/>
  <c r="A982" i="1" a="1"/>
  <c r="A982" i="1" s="1"/>
  <c r="R981" i="1"/>
  <c r="T981" i="1" s="1"/>
  <c r="N981" i="1"/>
  <c r="A981" i="1" a="1"/>
  <c r="A981" i="1" s="1"/>
  <c r="R980" i="1"/>
  <c r="T980" i="1" s="1"/>
  <c r="N980" i="1"/>
  <c r="A980" i="1" a="1"/>
  <c r="A980" i="1" s="1"/>
  <c r="R979" i="1"/>
  <c r="T979" i="1" s="1"/>
  <c r="N979" i="1"/>
  <c r="A979" i="1" a="1"/>
  <c r="A979" i="1" s="1"/>
  <c r="R978" i="1"/>
  <c r="T978" i="1" s="1"/>
  <c r="N978" i="1"/>
  <c r="A978" i="1" a="1"/>
  <c r="A978" i="1" s="1"/>
  <c r="R977" i="1"/>
  <c r="T977" i="1" s="1"/>
  <c r="N977" i="1"/>
  <c r="A977" i="1" a="1"/>
  <c r="A977" i="1" s="1"/>
  <c r="R976" i="1"/>
  <c r="T976" i="1" s="1"/>
  <c r="N976" i="1"/>
  <c r="A976" i="1" a="1"/>
  <c r="A976" i="1" s="1"/>
  <c r="R975" i="1"/>
  <c r="T975" i="1" s="1"/>
  <c r="N975" i="1"/>
  <c r="A975" i="1" a="1"/>
  <c r="A975" i="1" s="1"/>
  <c r="R974" i="1"/>
  <c r="T974" i="1" s="1"/>
  <c r="N974" i="1"/>
  <c r="A974" i="1" a="1"/>
  <c r="A974" i="1" s="1"/>
  <c r="R973" i="1"/>
  <c r="T973" i="1" s="1"/>
  <c r="N973" i="1"/>
  <c r="A973" i="1" a="1"/>
  <c r="A973" i="1" s="1"/>
  <c r="AG973" i="1" s="1" a="1"/>
  <c r="AG973" i="1" s="1"/>
  <c r="Y973" i="1" s="1"/>
  <c r="AG972" i="1" a="1"/>
  <c r="AG972" i="1" s="1"/>
  <c r="Y972" i="1" s="1"/>
  <c r="AB972" i="1" s="1"/>
  <c r="T972" i="1"/>
  <c r="R972" i="1"/>
  <c r="N972" i="1"/>
  <c r="A972" i="1" a="1"/>
  <c r="A972" i="1" s="1"/>
  <c r="AF972" i="1" s="1" a="1"/>
  <c r="AF972" i="1" s="1"/>
  <c r="X972" i="1" s="1"/>
  <c r="R971" i="1"/>
  <c r="T971" i="1" s="1"/>
  <c r="N971" i="1"/>
  <c r="A971" i="1" a="1"/>
  <c r="A971" i="1" s="1"/>
  <c r="AG971" i="1" s="1" a="1"/>
  <c r="AG971" i="1" s="1"/>
  <c r="Y971" i="1" s="1"/>
  <c r="R970" i="1"/>
  <c r="T970" i="1" s="1"/>
  <c r="N970" i="1"/>
  <c r="A970" i="1" a="1"/>
  <c r="A970" i="1"/>
  <c r="AG970" i="1" s="1" a="1"/>
  <c r="AG970" i="1" s="1"/>
  <c r="Y970" i="1" s="1"/>
  <c r="AG969" i="1" a="1"/>
  <c r="AG969" i="1" s="1"/>
  <c r="Y969" i="1" s="1"/>
  <c r="R969" i="1"/>
  <c r="T969" i="1" s="1"/>
  <c r="N969" i="1"/>
  <c r="A969" i="1" a="1"/>
  <c r="A969" i="1" s="1"/>
  <c r="AF969" i="1" s="1" a="1"/>
  <c r="AF969" i="1" s="1"/>
  <c r="X969" i="1" s="1"/>
  <c r="R968" i="1"/>
  <c r="T968" i="1" s="1"/>
  <c r="N968" i="1"/>
  <c r="A968" i="1" a="1"/>
  <c r="A968" i="1" s="1"/>
  <c r="AF968" i="1" s="1" a="1"/>
  <c r="AF968" i="1" s="1"/>
  <c r="X968" i="1" s="1"/>
  <c r="R967" i="1"/>
  <c r="T967" i="1" s="1"/>
  <c r="N967" i="1"/>
  <c r="A967" i="1" a="1"/>
  <c r="A967" i="1"/>
  <c r="AG967" i="1" s="1" a="1"/>
  <c r="AG967" i="1" s="1"/>
  <c r="Y967" i="1" s="1"/>
  <c r="AG966" i="1" a="1"/>
  <c r="AG966" i="1" s="1"/>
  <c r="Y966" i="1" s="1"/>
  <c r="R966" i="1"/>
  <c r="T966" i="1" s="1"/>
  <c r="N966" i="1"/>
  <c r="A966" i="1" a="1"/>
  <c r="A966" i="1" s="1"/>
  <c r="AF966" i="1" s="1" a="1"/>
  <c r="AF966" i="1" s="1"/>
  <c r="X966" i="1" s="1"/>
  <c r="R965" i="1"/>
  <c r="T965" i="1" s="1"/>
  <c r="N965" i="1"/>
  <c r="A965" i="1" a="1"/>
  <c r="A965" i="1"/>
  <c r="AG965" i="1" s="1" a="1"/>
  <c r="AG965" i="1" s="1"/>
  <c r="Y965" i="1" s="1"/>
  <c r="R964" i="1"/>
  <c r="T964" i="1" s="1"/>
  <c r="N964" i="1"/>
  <c r="A964" i="1" a="1"/>
  <c r="A964" i="1"/>
  <c r="AG964" i="1" s="1" a="1"/>
  <c r="AG964" i="1" s="1"/>
  <c r="Y964" i="1" s="1"/>
  <c r="R963" i="1"/>
  <c r="T963" i="1" s="1"/>
  <c r="N963" i="1"/>
  <c r="A963" i="1" a="1"/>
  <c r="A963" i="1" s="1"/>
  <c r="AF963" i="1" s="1" a="1"/>
  <c r="AF963" i="1" s="1"/>
  <c r="X963" i="1" s="1"/>
  <c r="R962" i="1"/>
  <c r="T962" i="1" s="1"/>
  <c r="N962" i="1"/>
  <c r="A962" i="1" a="1"/>
  <c r="A962" i="1" s="1"/>
  <c r="AF962" i="1" s="1" a="1"/>
  <c r="AF962" i="1" s="1"/>
  <c r="X962" i="1" s="1"/>
  <c r="R961" i="1"/>
  <c r="T961" i="1" s="1"/>
  <c r="N961" i="1"/>
  <c r="A961" i="1" a="1"/>
  <c r="A961" i="1"/>
  <c r="AG961" i="1" s="1" a="1"/>
  <c r="AG961" i="1" s="1"/>
  <c r="Y961" i="1" s="1"/>
  <c r="R960" i="1"/>
  <c r="T960" i="1" s="1"/>
  <c r="N960" i="1"/>
  <c r="A960" i="1" a="1"/>
  <c r="A960" i="1" s="1"/>
  <c r="AF960" i="1" s="1" a="1"/>
  <c r="AF960" i="1" s="1"/>
  <c r="X960" i="1" s="1"/>
  <c r="R959" i="1"/>
  <c r="T959" i="1" s="1"/>
  <c r="N959" i="1"/>
  <c r="A959" i="1" a="1"/>
  <c r="A959" i="1" s="1"/>
  <c r="T958" i="1"/>
  <c r="R958" i="1"/>
  <c r="N958" i="1"/>
  <c r="A958" i="1" a="1"/>
  <c r="A958" i="1"/>
  <c r="AG958" i="1" s="1" a="1"/>
  <c r="AG958" i="1" s="1"/>
  <c r="Y958" i="1" s="1"/>
  <c r="R957" i="1"/>
  <c r="T957" i="1" s="1"/>
  <c r="N957" i="1"/>
  <c r="A957" i="1" a="1"/>
  <c r="A957" i="1" s="1"/>
  <c r="AF957" i="1" s="1" a="1"/>
  <c r="AF957" i="1" s="1"/>
  <c r="X957" i="1" s="1"/>
  <c r="AF956" i="1"/>
  <c r="X956" i="1" s="1"/>
  <c r="R956" i="1"/>
  <c r="T956" i="1" s="1"/>
  <c r="N956" i="1"/>
  <c r="A956" i="1" a="1"/>
  <c r="A956" i="1" s="1"/>
  <c r="AF956" i="1" s="1" a="1"/>
  <c r="R955" i="1"/>
  <c r="T955" i="1" s="1"/>
  <c r="N955" i="1"/>
  <c r="A955" i="1" a="1"/>
  <c r="A955" i="1"/>
  <c r="AG955" i="1" s="1" a="1"/>
  <c r="AG955" i="1" s="1"/>
  <c r="Y955" i="1" s="1"/>
  <c r="R954" i="1"/>
  <c r="T954" i="1" s="1"/>
  <c r="N954" i="1"/>
  <c r="A954" i="1" a="1"/>
  <c r="A954" i="1" s="1"/>
  <c r="R460" i="1"/>
  <c r="T460" i="1" s="1"/>
  <c r="N460" i="1"/>
  <c r="A460" i="1" a="1"/>
  <c r="A460" i="1"/>
  <c r="AG460" i="1" s="1" a="1"/>
  <c r="AG460" i="1" s="1"/>
  <c r="Y460" i="1" s="1"/>
  <c r="R1239" i="1"/>
  <c r="T1239" i="1" s="1"/>
  <c r="N1239" i="1"/>
  <c r="A1239" i="1" a="1"/>
  <c r="A1239" i="1"/>
  <c r="AG1239" i="1" s="1" a="1"/>
  <c r="AG1239" i="1" s="1"/>
  <c r="Y1239" i="1" s="1"/>
  <c r="AB1239" i="1" s="1"/>
  <c r="R921" i="1"/>
  <c r="T921" i="1" s="1"/>
  <c r="N921" i="1"/>
  <c r="A921" i="1" a="1"/>
  <c r="A921" i="1" s="1"/>
  <c r="R578" i="1"/>
  <c r="T578" i="1" s="1"/>
  <c r="N578" i="1"/>
  <c r="A578" i="1" a="1"/>
  <c r="A578" i="1" s="1"/>
  <c r="R473" i="1"/>
  <c r="T473" i="1" s="1"/>
  <c r="N473" i="1"/>
  <c r="A473" i="1" a="1"/>
  <c r="A473" i="1"/>
  <c r="AF473" i="1" s="1" a="1"/>
  <c r="AF473" i="1" s="1"/>
  <c r="AF459" i="1" a="1"/>
  <c r="AF459" i="1"/>
  <c r="T459" i="1"/>
  <c r="R459" i="1"/>
  <c r="N459" i="1"/>
  <c r="A459" i="1" a="1"/>
  <c r="A459" i="1" s="1"/>
  <c r="AG459" i="1" s="1" a="1"/>
  <c r="AG459" i="1" s="1"/>
  <c r="Y459" i="1" s="1"/>
  <c r="T445" i="1"/>
  <c r="R445" i="1"/>
  <c r="N445" i="1"/>
  <c r="A445" i="1" a="1"/>
  <c r="A445" i="1"/>
  <c r="AD1525" i="1"/>
  <c r="T1525" i="1" s="1"/>
  <c r="R1525" i="1"/>
  <c r="N1525" i="1"/>
  <c r="A1525" i="1" a="1"/>
  <c r="A1525" i="1" s="1"/>
  <c r="AF1525" i="1" s="1" a="1"/>
  <c r="AF1525" i="1" s="1"/>
  <c r="X1525" i="1" s="1"/>
  <c r="AG1524" i="1" a="1"/>
  <c r="AG1524" i="1" s="1"/>
  <c r="Y1524" i="1" s="1"/>
  <c r="AF1524" i="1" a="1"/>
  <c r="AF1524" i="1" s="1"/>
  <c r="X1524" i="1" s="1"/>
  <c r="AD1524" i="1"/>
  <c r="R1524" i="1"/>
  <c r="AD1492" i="1"/>
  <c r="R1492" i="1"/>
  <c r="N1492" i="1"/>
  <c r="A1492" i="1" a="1"/>
  <c r="A1492" i="1"/>
  <c r="AG1492" i="1" s="1" a="1"/>
  <c r="AG1492" i="1" s="1"/>
  <c r="Y1492" i="1" s="1"/>
  <c r="T1238" i="1"/>
  <c r="R1238" i="1"/>
  <c r="N1238" i="1"/>
  <c r="A1238" i="1" a="1"/>
  <c r="A1238" i="1" s="1"/>
  <c r="AF1238" i="1" s="1" a="1"/>
  <c r="AF1238" i="1" s="1"/>
  <c r="R1237" i="1"/>
  <c r="T1237" i="1" s="1"/>
  <c r="N1237" i="1"/>
  <c r="A1237" i="1" a="1"/>
  <c r="A1237" i="1"/>
  <c r="AG1237" i="1" s="1" a="1"/>
  <c r="AG1237" i="1" s="1"/>
  <c r="Y1237" i="1" s="1"/>
  <c r="R946" i="1"/>
  <c r="T946" i="1" s="1"/>
  <c r="N946" i="1"/>
  <c r="A946" i="1" a="1"/>
  <c r="A946" i="1" s="1"/>
  <c r="T918" i="1"/>
  <c r="R918" i="1"/>
  <c r="N918" i="1"/>
  <c r="A918" i="1" a="1"/>
  <c r="A918" i="1" s="1"/>
  <c r="AF917" i="1" a="1"/>
  <c r="AF917" i="1" s="1"/>
  <c r="T917" i="1"/>
  <c r="R917" i="1"/>
  <c r="N917" i="1"/>
  <c r="A917" i="1" a="1"/>
  <c r="A917" i="1"/>
  <c r="AG917" i="1" s="1" a="1"/>
  <c r="AG917" i="1" s="1"/>
  <c r="Y917" i="1" s="1"/>
  <c r="R938" i="1"/>
  <c r="T938" i="1" s="1"/>
  <c r="AA938" i="1" s="1"/>
  <c r="N938" i="1"/>
  <c r="A938" i="1" a="1"/>
  <c r="A938" i="1" s="1"/>
  <c r="R937" i="1"/>
  <c r="T937" i="1" s="1"/>
  <c r="N937" i="1"/>
  <c r="A937" i="1" a="1"/>
  <c r="A937" i="1" s="1"/>
  <c r="AF936" i="1"/>
  <c r="R936" i="1"/>
  <c r="T936" i="1" s="1"/>
  <c r="N936" i="1"/>
  <c r="A936" i="1" a="1"/>
  <c r="A936" i="1" s="1"/>
  <c r="AF936" i="1" s="1" a="1"/>
  <c r="R577" i="1"/>
  <c r="T577" i="1" s="1"/>
  <c r="N577" i="1"/>
  <c r="A577" i="1" a="1"/>
  <c r="A577" i="1"/>
  <c r="AG577" i="1" s="1" a="1"/>
  <c r="AG577" i="1" s="1"/>
  <c r="Y577" i="1" s="1"/>
  <c r="R1236" i="1"/>
  <c r="T1236" i="1" s="1"/>
  <c r="N1236" i="1"/>
  <c r="A1236" i="1" a="1"/>
  <c r="A1236" i="1" s="1"/>
  <c r="AG1236" i="1" s="1" a="1"/>
  <c r="AG1236" i="1" s="1"/>
  <c r="Y1236" i="1" s="1"/>
  <c r="AF945" i="1" a="1"/>
  <c r="AF945" i="1" s="1"/>
  <c r="R945" i="1"/>
  <c r="T945" i="1" s="1"/>
  <c r="N945" i="1"/>
  <c r="A945" i="1" a="1"/>
  <c r="A945" i="1" s="1"/>
  <c r="AG945" i="1" s="1" a="1"/>
  <c r="AG945" i="1" s="1"/>
  <c r="Y945" i="1" s="1"/>
  <c r="R916" i="1"/>
  <c r="T916" i="1" s="1"/>
  <c r="AA916" i="1" s="1"/>
  <c r="N916" i="1"/>
  <c r="A916" i="1" a="1"/>
  <c r="A916" i="1"/>
  <c r="AF916" i="1" s="1" a="1"/>
  <c r="AF916" i="1" s="1"/>
  <c r="T931" i="1"/>
  <c r="AA931" i="1" s="1"/>
  <c r="R931" i="1"/>
  <c r="N931" i="1"/>
  <c r="A931" i="1" a="1"/>
  <c r="A931" i="1" s="1"/>
  <c r="AA930" i="1"/>
  <c r="R930" i="1"/>
  <c r="T930" i="1" s="1"/>
  <c r="N930" i="1"/>
  <c r="A930" i="1" a="1"/>
  <c r="A930" i="1" s="1"/>
  <c r="R929" i="1"/>
  <c r="T929" i="1" s="1"/>
  <c r="AA929" i="1" s="1"/>
  <c r="N929" i="1"/>
  <c r="A929" i="1" a="1"/>
  <c r="A929" i="1" s="1"/>
  <c r="AG929" i="1" s="1" a="1"/>
  <c r="AG929" i="1" s="1"/>
  <c r="Y929" i="1" s="1"/>
  <c r="AB929" i="1" s="1"/>
  <c r="Z929" i="1" s="1"/>
  <c r="R928" i="1"/>
  <c r="T928" i="1" s="1"/>
  <c r="N928" i="1"/>
  <c r="A928" i="1" a="1"/>
  <c r="A928" i="1" s="1"/>
  <c r="AG928" i="1" s="1" a="1"/>
  <c r="AG928" i="1" s="1"/>
  <c r="Y928" i="1" s="1"/>
  <c r="AF927" i="1" a="1"/>
  <c r="AF927" i="1" s="1"/>
  <c r="R927" i="1"/>
  <c r="T927" i="1" s="1"/>
  <c r="N927" i="1"/>
  <c r="A927" i="1" a="1"/>
  <c r="A927" i="1"/>
  <c r="AG927" i="1" s="1" a="1"/>
  <c r="AG927" i="1" s="1"/>
  <c r="Y927" i="1" s="1"/>
  <c r="R926" i="1"/>
  <c r="T926" i="1" s="1"/>
  <c r="N926" i="1"/>
  <c r="A926" i="1" a="1"/>
  <c r="A926" i="1" s="1"/>
  <c r="AA925" i="1"/>
  <c r="R925" i="1"/>
  <c r="T925" i="1" s="1"/>
  <c r="N925" i="1"/>
  <c r="A925" i="1" a="1"/>
  <c r="A925" i="1" s="1"/>
  <c r="R924" i="1"/>
  <c r="T924" i="1" s="1"/>
  <c r="AA924" i="1" s="1"/>
  <c r="N924" i="1"/>
  <c r="A924" i="1" a="1"/>
  <c r="A924" i="1" s="1"/>
  <c r="AF576" i="1"/>
  <c r="R576" i="1"/>
  <c r="T576" i="1" s="1"/>
  <c r="N576" i="1"/>
  <c r="A576" i="1" a="1"/>
  <c r="A576" i="1"/>
  <c r="AF576" i="1" s="1" a="1"/>
  <c r="R1235" i="1"/>
  <c r="T1235" i="1" s="1"/>
  <c r="N1235" i="1"/>
  <c r="A1235" i="1" a="1"/>
  <c r="A1235" i="1" s="1"/>
  <c r="AG1235" i="1" s="1" a="1"/>
  <c r="AG1235" i="1" s="1"/>
  <c r="Y1235" i="1" s="1"/>
  <c r="R1234" i="1"/>
  <c r="T1234" i="1" s="1"/>
  <c r="N1234" i="1"/>
  <c r="A1234" i="1" a="1"/>
  <c r="A1234" i="1" s="1"/>
  <c r="R920" i="1"/>
  <c r="T920" i="1" s="1"/>
  <c r="AA920" i="1" s="1"/>
  <c r="N920" i="1"/>
  <c r="A920" i="1" a="1"/>
  <c r="A920" i="1" s="1"/>
  <c r="R919" i="1"/>
  <c r="T919" i="1" s="1"/>
  <c r="AA919" i="1" s="1"/>
  <c r="N919" i="1"/>
  <c r="A919" i="1" a="1"/>
  <c r="A919" i="1" s="1"/>
  <c r="AG919" i="1" s="1" a="1"/>
  <c r="AG919" i="1" s="1"/>
  <c r="Y919" i="1" s="1"/>
  <c r="AG944" i="1"/>
  <c r="Y944" i="1" s="1"/>
  <c r="AF944" i="1" a="1"/>
  <c r="AF944" i="1" s="1"/>
  <c r="X944" i="1" s="1"/>
  <c r="T944" i="1"/>
  <c r="R944" i="1"/>
  <c r="N944" i="1"/>
  <c r="A944" i="1" a="1"/>
  <c r="A944" i="1"/>
  <c r="AG944" i="1" s="1" a="1"/>
  <c r="R914" i="1"/>
  <c r="T914" i="1" s="1"/>
  <c r="N914" i="1"/>
  <c r="A914" i="1" a="1"/>
  <c r="A914" i="1" s="1"/>
  <c r="AF914" i="1" s="1" a="1"/>
  <c r="AF914" i="1" s="1"/>
  <c r="X914" i="1" s="1"/>
  <c r="R575" i="1"/>
  <c r="T575" i="1" s="1"/>
  <c r="N575" i="1"/>
  <c r="A575" i="1" a="1"/>
  <c r="A575" i="1"/>
  <c r="Y915" i="1"/>
  <c r="R915" i="1"/>
  <c r="T915" i="1" s="1"/>
  <c r="N915" i="1"/>
  <c r="A915" i="1" a="1"/>
  <c r="A915" i="1" s="1"/>
  <c r="AG915" i="1" s="1" a="1"/>
  <c r="AG915" i="1" s="1"/>
  <c r="AG370" i="1" a="1"/>
  <c r="AG370" i="1" s="1"/>
  <c r="Y370" i="1" s="1"/>
  <c r="AF370" i="1" a="1"/>
  <c r="AF370" i="1" s="1"/>
  <c r="R370" i="1"/>
  <c r="T370" i="1" s="1"/>
  <c r="N370" i="1"/>
  <c r="AG248" i="1" a="1"/>
  <c r="AG248" i="1" s="1"/>
  <c r="Y248" i="1" s="1"/>
  <c r="AF248" i="1" a="1"/>
  <c r="AF248" i="1" s="1"/>
  <c r="R248" i="1"/>
  <c r="T248" i="1" s="1"/>
  <c r="N248" i="1"/>
  <c r="R472" i="1"/>
  <c r="T472" i="1" s="1"/>
  <c r="N472" i="1"/>
  <c r="A472" i="1" a="1"/>
  <c r="A472" i="1" s="1"/>
  <c r="AF472" i="1" s="1" a="1"/>
  <c r="AF472" i="1" s="1"/>
  <c r="AF247" i="1"/>
  <c r="X247" i="1" s="1"/>
  <c r="R247" i="1"/>
  <c r="T247" i="1" s="1"/>
  <c r="N247" i="1"/>
  <c r="A247" i="1" a="1"/>
  <c r="A247" i="1" s="1"/>
  <c r="AF247" i="1" s="1" a="1"/>
  <c r="AG246" i="1" a="1"/>
  <c r="AG246" i="1" s="1"/>
  <c r="Y246" i="1" s="1"/>
  <c r="R246" i="1"/>
  <c r="T246" i="1" s="1"/>
  <c r="N246" i="1"/>
  <c r="A246" i="1" a="1"/>
  <c r="A246" i="1" s="1"/>
  <c r="AF246" i="1" s="1" a="1"/>
  <c r="AF246" i="1" s="1"/>
  <c r="X246" i="1" s="1"/>
  <c r="T909" i="1"/>
  <c r="R909" i="1"/>
  <c r="N909" i="1"/>
  <c r="A909" i="1" a="1"/>
  <c r="A909" i="1" s="1"/>
  <c r="AG909" i="1" s="1" a="1"/>
  <c r="AG909" i="1" s="1"/>
  <c r="Y909" i="1" s="1"/>
  <c r="R908" i="1"/>
  <c r="T908" i="1" s="1"/>
  <c r="N908" i="1"/>
  <c r="A908" i="1" a="1"/>
  <c r="A908" i="1"/>
  <c r="AF908" i="1" s="1" a="1"/>
  <c r="AF908" i="1" s="1"/>
  <c r="R907" i="1"/>
  <c r="T907" i="1" s="1"/>
  <c r="N907" i="1"/>
  <c r="A907" i="1" a="1"/>
  <c r="A907" i="1"/>
  <c r="AF907" i="1" s="1" a="1"/>
  <c r="AF907" i="1" s="1"/>
  <c r="R906" i="1"/>
  <c r="T906" i="1" s="1"/>
  <c r="AA906" i="1" s="1"/>
  <c r="N906" i="1"/>
  <c r="A906" i="1" a="1"/>
  <c r="A906" i="1" s="1"/>
  <c r="AF905" i="1" a="1"/>
  <c r="AF905" i="1" s="1"/>
  <c r="R905" i="1"/>
  <c r="T905" i="1" s="1"/>
  <c r="AA905" i="1" s="1"/>
  <c r="N905" i="1"/>
  <c r="A905" i="1" a="1"/>
  <c r="A905" i="1" s="1"/>
  <c r="AG905" i="1" s="1" a="1"/>
  <c r="AG905" i="1" s="1"/>
  <c r="Y905" i="1" s="1"/>
  <c r="R904" i="1"/>
  <c r="T904" i="1" s="1"/>
  <c r="N904" i="1"/>
  <c r="A904" i="1" a="1"/>
  <c r="A904" i="1"/>
  <c r="AG903" i="1" a="1"/>
  <c r="AG903" i="1" s="1"/>
  <c r="Y903" i="1" s="1"/>
  <c r="R903" i="1"/>
  <c r="T903" i="1" s="1"/>
  <c r="N903" i="1"/>
  <c r="A903" i="1" a="1"/>
  <c r="A903" i="1"/>
  <c r="AF903" i="1" s="1" a="1"/>
  <c r="AF903" i="1" s="1"/>
  <c r="R902" i="1"/>
  <c r="T902" i="1" s="1"/>
  <c r="N902" i="1"/>
  <c r="A902" i="1" a="1"/>
  <c r="A902" i="1"/>
  <c r="AF902" i="1" s="1" a="1"/>
  <c r="AF902" i="1" s="1"/>
  <c r="R901" i="1"/>
  <c r="T901" i="1" s="1"/>
  <c r="AA901" i="1" s="1"/>
  <c r="N901" i="1"/>
  <c r="A901" i="1" a="1"/>
  <c r="A901" i="1"/>
  <c r="R900" i="1"/>
  <c r="T900" i="1" s="1"/>
  <c r="N900" i="1"/>
  <c r="A900" i="1" a="1"/>
  <c r="A900" i="1" s="1"/>
  <c r="AG899" i="1" a="1"/>
  <c r="AG899" i="1" s="1"/>
  <c r="Y899" i="1" s="1"/>
  <c r="T899" i="1"/>
  <c r="R899" i="1"/>
  <c r="N899" i="1"/>
  <c r="A899" i="1" a="1"/>
  <c r="A899" i="1"/>
  <c r="AF899" i="1" s="1" a="1"/>
  <c r="AF899" i="1" s="1"/>
  <c r="Y898" i="1"/>
  <c r="R898" i="1"/>
  <c r="T898" i="1" s="1"/>
  <c r="N898" i="1"/>
  <c r="A898" i="1" a="1"/>
  <c r="A898" i="1" s="1"/>
  <c r="AG898" i="1" s="1" a="1"/>
  <c r="AG898" i="1" s="1"/>
  <c r="AG897" i="1"/>
  <c r="Y897" i="1" s="1"/>
  <c r="R897" i="1"/>
  <c r="T897" i="1" s="1"/>
  <c r="N897" i="1"/>
  <c r="A897" i="1" a="1"/>
  <c r="A897" i="1" s="1"/>
  <c r="AG897" i="1" s="1" a="1"/>
  <c r="R896" i="1"/>
  <c r="T896" i="1" s="1"/>
  <c r="AA896" i="1" s="1"/>
  <c r="N896" i="1"/>
  <c r="A896" i="1" a="1"/>
  <c r="A896" i="1" s="1"/>
  <c r="AF896" i="1" s="1" a="1"/>
  <c r="AF896" i="1" s="1"/>
  <c r="AA895" i="1"/>
  <c r="R895" i="1"/>
  <c r="T895" i="1" s="1"/>
  <c r="AB895" i="1" s="1"/>
  <c r="N895" i="1"/>
  <c r="A895" i="1" a="1"/>
  <c r="A895" i="1"/>
  <c r="AF895" i="1" s="1" a="1"/>
  <c r="AF895" i="1" s="1"/>
  <c r="AF894" i="1"/>
  <c r="R894" i="1"/>
  <c r="T894" i="1" s="1"/>
  <c r="AB894" i="1" s="1"/>
  <c r="N894" i="1"/>
  <c r="A894" i="1" a="1"/>
  <c r="A894" i="1"/>
  <c r="AF894" i="1" s="1" a="1"/>
  <c r="R893" i="1"/>
  <c r="T893" i="1" s="1"/>
  <c r="AB893" i="1" s="1"/>
  <c r="N893" i="1"/>
  <c r="A893" i="1" a="1"/>
  <c r="A893" i="1" s="1"/>
  <c r="AF893" i="1" s="1" a="1"/>
  <c r="AF893" i="1" s="1"/>
  <c r="AF892" i="1"/>
  <c r="R892" i="1"/>
  <c r="T892" i="1" s="1"/>
  <c r="AB892" i="1" s="1"/>
  <c r="N892" i="1"/>
  <c r="A892" i="1" a="1"/>
  <c r="A892" i="1"/>
  <c r="AF892" i="1" s="1" a="1"/>
  <c r="R891" i="1"/>
  <c r="T891" i="1" s="1"/>
  <c r="AB891" i="1" s="1"/>
  <c r="N891" i="1"/>
  <c r="A891" i="1" a="1"/>
  <c r="A891" i="1" s="1"/>
  <c r="AF891" i="1" s="1" a="1"/>
  <c r="AF891" i="1" s="1"/>
  <c r="AG890" i="1" a="1"/>
  <c r="AG890" i="1" s="1"/>
  <c r="R890" i="1"/>
  <c r="T890" i="1" s="1"/>
  <c r="AB890" i="1" s="1"/>
  <c r="N890" i="1"/>
  <c r="A890" i="1" a="1"/>
  <c r="A890" i="1" s="1"/>
  <c r="AF890" i="1" s="1" a="1"/>
  <c r="AF890" i="1" s="1"/>
  <c r="AB889" i="1"/>
  <c r="R889" i="1"/>
  <c r="T889" i="1" s="1"/>
  <c r="N889" i="1"/>
  <c r="A889" i="1" a="1"/>
  <c r="A889" i="1" s="1"/>
  <c r="AF889" i="1" s="1" a="1"/>
  <c r="AF889" i="1" s="1"/>
  <c r="R888" i="1"/>
  <c r="T888" i="1" s="1"/>
  <c r="AB888" i="1" s="1"/>
  <c r="N888" i="1"/>
  <c r="A888" i="1" a="1"/>
  <c r="A888" i="1" s="1"/>
  <c r="AF888" i="1" s="1" a="1"/>
  <c r="AF888" i="1" s="1"/>
  <c r="AA887" i="1"/>
  <c r="R887" i="1"/>
  <c r="T887" i="1" s="1"/>
  <c r="AB887" i="1" s="1"/>
  <c r="N887" i="1"/>
  <c r="A887" i="1" a="1"/>
  <c r="A887" i="1" s="1"/>
  <c r="R886" i="1"/>
  <c r="T886" i="1" s="1"/>
  <c r="AB886" i="1" s="1"/>
  <c r="N886" i="1"/>
  <c r="A886" i="1" a="1"/>
  <c r="A886" i="1" s="1"/>
  <c r="AF886" i="1" s="1" a="1"/>
  <c r="AF886" i="1" s="1"/>
  <c r="R885" i="1"/>
  <c r="T885" i="1" s="1"/>
  <c r="N885" i="1"/>
  <c r="A885" i="1" a="1"/>
  <c r="A885" i="1" s="1"/>
  <c r="R884" i="1"/>
  <c r="T884" i="1" s="1"/>
  <c r="N884" i="1"/>
  <c r="A884" i="1" a="1"/>
  <c r="A884" i="1" s="1"/>
  <c r="AF884" i="1" s="1" a="1"/>
  <c r="AF884" i="1" s="1"/>
  <c r="R883" i="1"/>
  <c r="T883" i="1" s="1"/>
  <c r="N883" i="1"/>
  <c r="A883" i="1" a="1"/>
  <c r="A883" i="1" s="1"/>
  <c r="R882" i="1"/>
  <c r="T882" i="1" s="1"/>
  <c r="AA882" i="1" s="1"/>
  <c r="N882" i="1"/>
  <c r="A882" i="1" a="1"/>
  <c r="A882" i="1" s="1"/>
  <c r="AG881" i="1" a="1"/>
  <c r="AG881" i="1" s="1"/>
  <c r="Y881" i="1" s="1"/>
  <c r="AB881" i="1" s="1"/>
  <c r="R881" i="1"/>
  <c r="T881" i="1" s="1"/>
  <c r="AA881" i="1" s="1"/>
  <c r="N881" i="1"/>
  <c r="A881" i="1" a="1"/>
  <c r="A881" i="1" s="1"/>
  <c r="AF881" i="1" s="1" a="1"/>
  <c r="AF881" i="1" s="1"/>
  <c r="R880" i="1"/>
  <c r="T880" i="1" s="1"/>
  <c r="N880" i="1"/>
  <c r="A880" i="1" a="1"/>
  <c r="A880" i="1" s="1"/>
  <c r="R879" i="1"/>
  <c r="T879" i="1" s="1"/>
  <c r="N879" i="1"/>
  <c r="A879" i="1" a="1"/>
  <c r="A879" i="1" s="1"/>
  <c r="AF879" i="1" s="1" a="1"/>
  <c r="AF879" i="1" s="1"/>
  <c r="R878" i="1"/>
  <c r="T878" i="1" s="1"/>
  <c r="N878" i="1"/>
  <c r="A878" i="1" a="1"/>
  <c r="A878" i="1" s="1"/>
  <c r="T877" i="1"/>
  <c r="AA877" i="1" s="1"/>
  <c r="R877" i="1"/>
  <c r="N877" i="1"/>
  <c r="A877" i="1" a="1"/>
  <c r="A877" i="1" s="1"/>
  <c r="R876" i="1"/>
  <c r="T876" i="1" s="1"/>
  <c r="AA876" i="1" s="1"/>
  <c r="N876" i="1"/>
  <c r="A876" i="1" a="1"/>
  <c r="A876" i="1"/>
  <c r="AG876" i="1" s="1" a="1"/>
  <c r="AG876" i="1" s="1"/>
  <c r="Y876" i="1" s="1"/>
  <c r="AB876" i="1" s="1"/>
  <c r="R875" i="1"/>
  <c r="T875" i="1" s="1"/>
  <c r="N875" i="1"/>
  <c r="A875" i="1" a="1"/>
  <c r="A875" i="1" s="1"/>
  <c r="R874" i="1"/>
  <c r="T874" i="1" s="1"/>
  <c r="N874" i="1"/>
  <c r="A874" i="1" a="1"/>
  <c r="A874" i="1"/>
  <c r="R873" i="1"/>
  <c r="T873" i="1" s="1"/>
  <c r="AA873" i="1" s="1"/>
  <c r="N873" i="1"/>
  <c r="A873" i="1" a="1"/>
  <c r="A873" i="1" s="1"/>
  <c r="R872" i="1"/>
  <c r="T872" i="1" s="1"/>
  <c r="N872" i="1"/>
  <c r="A872" i="1" a="1"/>
  <c r="A872" i="1"/>
  <c r="R871" i="1"/>
  <c r="T871" i="1" s="1"/>
  <c r="N871" i="1"/>
  <c r="A871" i="1" a="1"/>
  <c r="A871" i="1" s="1"/>
  <c r="R870" i="1"/>
  <c r="T870" i="1" s="1"/>
  <c r="N870" i="1"/>
  <c r="A870" i="1" a="1"/>
  <c r="A870" i="1"/>
  <c r="AF870" i="1" s="1" a="1"/>
  <c r="AF870" i="1" s="1"/>
  <c r="R869" i="1"/>
  <c r="T869" i="1" s="1"/>
  <c r="N869" i="1"/>
  <c r="A869" i="1" a="1"/>
  <c r="A869" i="1" s="1"/>
  <c r="R868" i="1"/>
  <c r="T868" i="1" s="1"/>
  <c r="N868" i="1"/>
  <c r="A868" i="1" a="1"/>
  <c r="A868" i="1"/>
  <c r="AG868" i="1" s="1" a="1"/>
  <c r="AG868" i="1" s="1"/>
  <c r="Y868" i="1" s="1"/>
  <c r="R867" i="1"/>
  <c r="T867" i="1" s="1"/>
  <c r="N867" i="1"/>
  <c r="A867" i="1" a="1"/>
  <c r="A867" i="1" s="1"/>
  <c r="R866" i="1"/>
  <c r="T866" i="1" s="1"/>
  <c r="N866" i="1"/>
  <c r="A866" i="1" a="1"/>
  <c r="A866" i="1"/>
  <c r="AG866" i="1" s="1" a="1"/>
  <c r="AG866" i="1" s="1"/>
  <c r="Y866" i="1" s="1"/>
  <c r="R865" i="1"/>
  <c r="T865" i="1" s="1"/>
  <c r="N865" i="1"/>
  <c r="A865" i="1" a="1"/>
  <c r="A865" i="1" s="1"/>
  <c r="AG865" i="1" s="1" a="1"/>
  <c r="AG865" i="1" s="1"/>
  <c r="Y865" i="1" s="1"/>
  <c r="R864" i="1"/>
  <c r="T864" i="1" s="1"/>
  <c r="AA864" i="1" s="1"/>
  <c r="N864" i="1"/>
  <c r="A864" i="1" a="1"/>
  <c r="A864" i="1" s="1"/>
  <c r="R863" i="1"/>
  <c r="T863" i="1" s="1"/>
  <c r="AA863" i="1" s="1"/>
  <c r="N863" i="1"/>
  <c r="A863" i="1" a="1"/>
  <c r="A863" i="1" s="1"/>
  <c r="AG863" i="1" s="1" a="1"/>
  <c r="AG863" i="1" s="1"/>
  <c r="Y863" i="1" s="1"/>
  <c r="AF862" i="1" a="1"/>
  <c r="AF862" i="1" s="1"/>
  <c r="R862" i="1"/>
  <c r="T862" i="1" s="1"/>
  <c r="N862" i="1"/>
  <c r="A862" i="1" a="1"/>
  <c r="A862" i="1" s="1"/>
  <c r="AG862" i="1" s="1" a="1"/>
  <c r="AG862" i="1" s="1"/>
  <c r="Y862" i="1" s="1"/>
  <c r="R861" i="1"/>
  <c r="T861" i="1" s="1"/>
  <c r="N861" i="1"/>
  <c r="A861" i="1" a="1"/>
  <c r="A861" i="1" s="1"/>
  <c r="R860" i="1"/>
  <c r="T860" i="1" s="1"/>
  <c r="N860" i="1"/>
  <c r="A860" i="1" a="1"/>
  <c r="A860" i="1"/>
  <c r="AG860" i="1" s="1" a="1"/>
  <c r="AG860" i="1" s="1"/>
  <c r="Y860" i="1" s="1"/>
  <c r="R859" i="1"/>
  <c r="T859" i="1" s="1"/>
  <c r="N859" i="1"/>
  <c r="A859" i="1" a="1"/>
  <c r="A859" i="1" s="1"/>
  <c r="R858" i="1"/>
  <c r="T858" i="1" s="1"/>
  <c r="N858" i="1"/>
  <c r="A858" i="1" a="1"/>
  <c r="A858" i="1" s="1"/>
  <c r="AF858" i="1" s="1" a="1"/>
  <c r="AF858" i="1" s="1"/>
  <c r="R857" i="1"/>
  <c r="T857" i="1" s="1"/>
  <c r="N857" i="1"/>
  <c r="A857" i="1" a="1"/>
  <c r="A857" i="1" s="1"/>
  <c r="R856" i="1"/>
  <c r="T856" i="1" s="1"/>
  <c r="AA856" i="1" s="1"/>
  <c r="N856" i="1"/>
  <c r="A856" i="1" a="1"/>
  <c r="A856" i="1" s="1"/>
  <c r="AG856" i="1" s="1" a="1"/>
  <c r="AG856" i="1" s="1"/>
  <c r="Y856" i="1" s="1"/>
  <c r="R855" i="1"/>
  <c r="T855" i="1" s="1"/>
  <c r="N855" i="1"/>
  <c r="A855" i="1" a="1"/>
  <c r="A855" i="1" s="1"/>
  <c r="T854" i="1"/>
  <c r="R854" i="1"/>
  <c r="N854" i="1"/>
  <c r="A854" i="1" a="1"/>
  <c r="A854" i="1" s="1"/>
  <c r="AG854" i="1" s="1" a="1"/>
  <c r="AG854" i="1" s="1"/>
  <c r="Y854" i="1" s="1"/>
  <c r="R853" i="1"/>
  <c r="T853" i="1" s="1"/>
  <c r="N853" i="1"/>
  <c r="A853" i="1" a="1"/>
  <c r="A853" i="1" s="1"/>
  <c r="R852" i="1"/>
  <c r="T852" i="1" s="1"/>
  <c r="AA852" i="1" s="1"/>
  <c r="N852" i="1"/>
  <c r="A852" i="1" a="1"/>
  <c r="A852" i="1" s="1"/>
  <c r="R851" i="1"/>
  <c r="T851" i="1" s="1"/>
  <c r="N851" i="1"/>
  <c r="A851" i="1" a="1"/>
  <c r="A851" i="1"/>
  <c r="R850" i="1"/>
  <c r="T850" i="1" s="1"/>
  <c r="N850" i="1"/>
  <c r="A850" i="1" a="1"/>
  <c r="A850" i="1" s="1"/>
  <c r="AG850" i="1" s="1" a="1"/>
  <c r="AG850" i="1" s="1"/>
  <c r="Y850" i="1" s="1"/>
  <c r="R849" i="1"/>
  <c r="T849" i="1" s="1"/>
  <c r="N849" i="1"/>
  <c r="A849" i="1" a="1"/>
  <c r="A849" i="1" s="1"/>
  <c r="AF848" i="1" a="1"/>
  <c r="AF848" i="1" s="1"/>
  <c r="R848" i="1"/>
  <c r="T848" i="1" s="1"/>
  <c r="N848" i="1"/>
  <c r="A848" i="1" a="1"/>
  <c r="A848" i="1"/>
  <c r="AG848" i="1" s="1" a="1"/>
  <c r="AG848" i="1" s="1"/>
  <c r="Y848" i="1" s="1"/>
  <c r="T847" i="1"/>
  <c r="R847" i="1"/>
  <c r="N847" i="1"/>
  <c r="A847" i="1" a="1"/>
  <c r="A847" i="1" s="1"/>
  <c r="R846" i="1"/>
  <c r="T846" i="1" s="1"/>
  <c r="N846" i="1"/>
  <c r="A846" i="1" a="1"/>
  <c r="A846" i="1"/>
  <c r="R845" i="1"/>
  <c r="T845" i="1" s="1"/>
  <c r="N845" i="1"/>
  <c r="A845" i="1" a="1"/>
  <c r="A845" i="1" s="1"/>
  <c r="T844" i="1"/>
  <c r="AA844" i="1" s="1"/>
  <c r="R844" i="1"/>
  <c r="N844" i="1"/>
  <c r="A844" i="1" a="1"/>
  <c r="A844" i="1"/>
  <c r="AG844" i="1" s="1" a="1"/>
  <c r="AG844" i="1" s="1"/>
  <c r="Y844" i="1" s="1"/>
  <c r="R843" i="1"/>
  <c r="T843" i="1" s="1"/>
  <c r="N843" i="1"/>
  <c r="A843" i="1" a="1"/>
  <c r="A843" i="1" s="1"/>
  <c r="R842" i="1"/>
  <c r="T842" i="1" s="1"/>
  <c r="N842" i="1"/>
  <c r="A842" i="1" a="1"/>
  <c r="A842" i="1"/>
  <c r="AG842" i="1" s="1" a="1"/>
  <c r="AG842" i="1" s="1"/>
  <c r="Y842" i="1" s="1"/>
  <c r="R841" i="1"/>
  <c r="T841" i="1" s="1"/>
  <c r="AA841" i="1" s="1"/>
  <c r="N841" i="1"/>
  <c r="A841" i="1" a="1"/>
  <c r="A841" i="1" s="1"/>
  <c r="R840" i="1"/>
  <c r="T840" i="1" s="1"/>
  <c r="AA840" i="1" s="1"/>
  <c r="N840" i="1"/>
  <c r="A840" i="1" a="1"/>
  <c r="A840" i="1" s="1"/>
  <c r="R839" i="1"/>
  <c r="T839" i="1" s="1"/>
  <c r="AA839" i="1" s="1"/>
  <c r="N839" i="1"/>
  <c r="A839" i="1" a="1"/>
  <c r="A839" i="1" s="1"/>
  <c r="AF838" i="1" a="1"/>
  <c r="AF838" i="1" s="1"/>
  <c r="R838" i="1"/>
  <c r="T838" i="1" s="1"/>
  <c r="AB838" i="1" s="1"/>
  <c r="N838" i="1"/>
  <c r="A838" i="1" a="1"/>
  <c r="A838" i="1" s="1"/>
  <c r="AG838" i="1" s="1" a="1"/>
  <c r="AG838" i="1" s="1"/>
  <c r="Y838" i="1" s="1"/>
  <c r="AG837" i="1"/>
  <c r="Y837" i="1" s="1"/>
  <c r="R837" i="1"/>
  <c r="T837" i="1" s="1"/>
  <c r="N837" i="1"/>
  <c r="A837" i="1" a="1"/>
  <c r="A837" i="1"/>
  <c r="AG837" i="1" s="1" a="1"/>
  <c r="R836" i="1"/>
  <c r="T836" i="1" s="1"/>
  <c r="N836" i="1"/>
  <c r="A836" i="1" a="1"/>
  <c r="A836" i="1"/>
  <c r="AG836" i="1" s="1" a="1"/>
  <c r="AG836" i="1" s="1"/>
  <c r="Y836" i="1" s="1"/>
  <c r="T835" i="1"/>
  <c r="R835" i="1"/>
  <c r="N835" i="1"/>
  <c r="A835" i="1" a="1"/>
  <c r="A835" i="1" s="1"/>
  <c r="R834" i="1"/>
  <c r="T834" i="1" s="1"/>
  <c r="N834" i="1"/>
  <c r="A834" i="1" a="1"/>
  <c r="A834" i="1"/>
  <c r="AF834" i="1" s="1" a="1"/>
  <c r="AF834" i="1" s="1"/>
  <c r="R833" i="1"/>
  <c r="T833" i="1" s="1"/>
  <c r="N833" i="1"/>
  <c r="A833" i="1" a="1"/>
  <c r="A833" i="1" s="1"/>
  <c r="R832" i="1"/>
  <c r="T832" i="1" s="1"/>
  <c r="N832" i="1"/>
  <c r="A832" i="1" a="1"/>
  <c r="A832" i="1"/>
  <c r="AG832" i="1" s="1" a="1"/>
  <c r="AG832" i="1" s="1"/>
  <c r="Y832" i="1" s="1"/>
  <c r="T831" i="1"/>
  <c r="R831" i="1"/>
  <c r="N831" i="1"/>
  <c r="A831" i="1" a="1"/>
  <c r="A831" i="1" s="1"/>
  <c r="R830" i="1"/>
  <c r="T830" i="1" s="1"/>
  <c r="N830" i="1"/>
  <c r="A830" i="1" a="1"/>
  <c r="A830" i="1"/>
  <c r="AG830" i="1" s="1" a="1"/>
  <c r="AG830" i="1" s="1"/>
  <c r="Y830" i="1" s="1"/>
  <c r="R829" i="1"/>
  <c r="T829" i="1" s="1"/>
  <c r="AA829" i="1" s="1"/>
  <c r="N829" i="1"/>
  <c r="A829" i="1" a="1"/>
  <c r="A829" i="1" s="1"/>
  <c r="R828" i="1"/>
  <c r="T828" i="1" s="1"/>
  <c r="AA828" i="1" s="1"/>
  <c r="N828" i="1"/>
  <c r="A828" i="1" a="1"/>
  <c r="A828" i="1" s="1"/>
  <c r="AA827" i="1"/>
  <c r="R827" i="1"/>
  <c r="T827" i="1" s="1"/>
  <c r="N827" i="1"/>
  <c r="A827" i="1" a="1"/>
  <c r="A827" i="1"/>
  <c r="AF827" i="1" s="1" a="1"/>
  <c r="AF827" i="1" s="1"/>
  <c r="AF826" i="1" a="1"/>
  <c r="AF826" i="1" s="1"/>
  <c r="R826" i="1"/>
  <c r="T826" i="1" s="1"/>
  <c r="N826" i="1"/>
  <c r="A826" i="1" a="1"/>
  <c r="A826" i="1" s="1"/>
  <c r="AG826" i="1" s="1" a="1"/>
  <c r="AG826" i="1" s="1"/>
  <c r="Y826" i="1" s="1"/>
  <c r="AF825" i="1" a="1"/>
  <c r="AF825" i="1" s="1"/>
  <c r="R825" i="1"/>
  <c r="T825" i="1" s="1"/>
  <c r="N825" i="1"/>
  <c r="A825" i="1" a="1"/>
  <c r="A825" i="1"/>
  <c r="AG825" i="1" s="1" a="1"/>
  <c r="AG825" i="1" s="1"/>
  <c r="Y825" i="1" s="1"/>
  <c r="R824" i="1"/>
  <c r="T824" i="1" s="1"/>
  <c r="N824" i="1"/>
  <c r="A824" i="1" a="1"/>
  <c r="A824" i="1" s="1"/>
  <c r="T823" i="1"/>
  <c r="R823" i="1"/>
  <c r="N823" i="1"/>
  <c r="A823" i="1" a="1"/>
  <c r="A823" i="1" s="1"/>
  <c r="R822" i="1"/>
  <c r="T822" i="1" s="1"/>
  <c r="N822" i="1"/>
  <c r="A822" i="1" a="1"/>
  <c r="A822" i="1" s="1"/>
  <c r="R821" i="1"/>
  <c r="T821" i="1" s="1"/>
  <c r="AA821" i="1" s="1"/>
  <c r="N821" i="1"/>
  <c r="A821" i="1" a="1"/>
  <c r="A821" i="1" s="1"/>
  <c r="R820" i="1"/>
  <c r="T820" i="1" s="1"/>
  <c r="N820" i="1"/>
  <c r="A820" i="1" a="1"/>
  <c r="A820" i="1" s="1"/>
  <c r="AG820" i="1" s="1" a="1"/>
  <c r="AG820" i="1" s="1"/>
  <c r="Y820" i="1" s="1"/>
  <c r="T819" i="1"/>
  <c r="R819" i="1"/>
  <c r="N819" i="1"/>
  <c r="A819" i="1" a="1"/>
  <c r="A819" i="1" s="1"/>
  <c r="AG819" i="1" s="1" a="1"/>
  <c r="AG819" i="1" s="1"/>
  <c r="Y819" i="1" s="1"/>
  <c r="R818" i="1"/>
  <c r="T818" i="1" s="1"/>
  <c r="N818" i="1"/>
  <c r="A818" i="1" a="1"/>
  <c r="A818" i="1"/>
  <c r="AG818" i="1" s="1" a="1"/>
  <c r="AG818" i="1" s="1"/>
  <c r="Y818" i="1" s="1"/>
  <c r="AA817" i="1"/>
  <c r="R817" i="1"/>
  <c r="T817" i="1" s="1"/>
  <c r="N817" i="1"/>
  <c r="A817" i="1" a="1"/>
  <c r="A817" i="1"/>
  <c r="AF817" i="1" s="1" a="1"/>
  <c r="AF817" i="1" s="1"/>
  <c r="R816" i="1"/>
  <c r="T816" i="1" s="1"/>
  <c r="AA816" i="1" s="1"/>
  <c r="N816" i="1"/>
  <c r="A816" i="1" a="1"/>
  <c r="A816" i="1" s="1"/>
  <c r="AA815" i="1"/>
  <c r="R815" i="1"/>
  <c r="T815" i="1" s="1"/>
  <c r="N815" i="1"/>
  <c r="A815" i="1" a="1"/>
  <c r="A815" i="1"/>
  <c r="AF815" i="1" s="1" a="1"/>
  <c r="AF815" i="1" s="1"/>
  <c r="R814" i="1"/>
  <c r="T814" i="1" s="1"/>
  <c r="N814" i="1"/>
  <c r="A814" i="1" a="1"/>
  <c r="A814" i="1" s="1"/>
  <c r="AG814" i="1" s="1" a="1"/>
  <c r="AG814" i="1" s="1"/>
  <c r="Y814" i="1" s="1"/>
  <c r="AG813" i="1"/>
  <c r="Y813" i="1" s="1"/>
  <c r="AF813" i="1" a="1"/>
  <c r="AF813" i="1" s="1"/>
  <c r="T813" i="1"/>
  <c r="R813" i="1"/>
  <c r="N813" i="1"/>
  <c r="A813" i="1" a="1"/>
  <c r="A813" i="1"/>
  <c r="AG813" i="1" s="1" a="1"/>
  <c r="R812" i="1"/>
  <c r="T812" i="1" s="1"/>
  <c r="N812" i="1"/>
  <c r="A812" i="1" a="1"/>
  <c r="A812" i="1" s="1"/>
  <c r="AG812" i="1" s="1" a="1"/>
  <c r="AG812" i="1" s="1"/>
  <c r="Y812" i="1" s="1"/>
  <c r="R811" i="1"/>
  <c r="T811" i="1" s="1"/>
  <c r="N811" i="1"/>
  <c r="A811" i="1" a="1"/>
  <c r="A811" i="1"/>
  <c r="AF811" i="1" s="1" a="1"/>
  <c r="AF811" i="1" s="1"/>
  <c r="X811" i="1" s="1"/>
  <c r="R810" i="1"/>
  <c r="T810" i="1" s="1"/>
  <c r="N810" i="1"/>
  <c r="A810" i="1" a="1"/>
  <c r="A810" i="1" s="1"/>
  <c r="R809" i="1"/>
  <c r="T809" i="1" s="1"/>
  <c r="N809" i="1"/>
  <c r="A809" i="1" a="1"/>
  <c r="A809" i="1" s="1"/>
  <c r="R808" i="1"/>
  <c r="T808" i="1" s="1"/>
  <c r="N808" i="1"/>
  <c r="A808" i="1" a="1"/>
  <c r="A808" i="1" s="1"/>
  <c r="AG808" i="1" s="1" a="1"/>
  <c r="AG808" i="1" s="1"/>
  <c r="Y808" i="1" s="1"/>
  <c r="R807" i="1"/>
  <c r="T807" i="1" s="1"/>
  <c r="N807" i="1"/>
  <c r="A807" i="1" a="1"/>
  <c r="A807" i="1" s="1"/>
  <c r="AG807" i="1" s="1" a="1"/>
  <c r="AG807" i="1" s="1"/>
  <c r="Y807" i="1" s="1"/>
  <c r="R806" i="1"/>
  <c r="T806" i="1" s="1"/>
  <c r="N806" i="1"/>
  <c r="A806" i="1" a="1"/>
  <c r="A806" i="1" s="1"/>
  <c r="AF805" i="1" a="1"/>
  <c r="AF805" i="1" s="1"/>
  <c r="X805" i="1" s="1"/>
  <c r="R805" i="1"/>
  <c r="T805" i="1" s="1"/>
  <c r="N805" i="1"/>
  <c r="A805" i="1" a="1"/>
  <c r="A805" i="1"/>
  <c r="AG805" i="1" s="1" a="1"/>
  <c r="AG805" i="1" s="1"/>
  <c r="Y805" i="1" s="1"/>
  <c r="R804" i="1"/>
  <c r="T804" i="1" s="1"/>
  <c r="N804" i="1"/>
  <c r="A804" i="1" a="1"/>
  <c r="A804" i="1" s="1"/>
  <c r="R803" i="1"/>
  <c r="T803" i="1" s="1"/>
  <c r="N803" i="1"/>
  <c r="A803" i="1" a="1"/>
  <c r="A803" i="1"/>
  <c r="AF803" i="1" s="1" a="1"/>
  <c r="AF803" i="1" s="1"/>
  <c r="X803" i="1" s="1"/>
  <c r="R802" i="1"/>
  <c r="T802" i="1" s="1"/>
  <c r="N802" i="1"/>
  <c r="A802" i="1" a="1"/>
  <c r="A802" i="1" s="1"/>
  <c r="AG802" i="1" s="1" a="1"/>
  <c r="AG802" i="1" s="1"/>
  <c r="Y802" i="1" s="1"/>
  <c r="R801" i="1"/>
  <c r="T801" i="1" s="1"/>
  <c r="N801" i="1"/>
  <c r="A801" i="1" a="1"/>
  <c r="A801" i="1"/>
  <c r="AG801" i="1" s="1" a="1"/>
  <c r="AG801" i="1" s="1"/>
  <c r="Y801" i="1" s="1"/>
  <c r="AG800" i="1" a="1"/>
  <c r="AG800" i="1" s="1"/>
  <c r="Y800" i="1" s="1"/>
  <c r="AF800" i="1" a="1"/>
  <c r="AF800" i="1" s="1"/>
  <c r="X800" i="1"/>
  <c r="R800" i="1"/>
  <c r="T800" i="1" s="1"/>
  <c r="N800" i="1"/>
  <c r="A800" i="1" a="1"/>
  <c r="A800" i="1"/>
  <c r="R799" i="1"/>
  <c r="T799" i="1" s="1"/>
  <c r="N799" i="1"/>
  <c r="A799" i="1" a="1"/>
  <c r="A799" i="1"/>
  <c r="AF799" i="1" s="1" a="1"/>
  <c r="AF799" i="1" s="1"/>
  <c r="X799" i="1" s="1"/>
  <c r="R798" i="1"/>
  <c r="T798" i="1" s="1"/>
  <c r="N798" i="1"/>
  <c r="A798" i="1" a="1"/>
  <c r="A798" i="1"/>
  <c r="AF798" i="1" s="1" a="1"/>
  <c r="AF798" i="1" s="1"/>
  <c r="X798" i="1" s="1"/>
  <c r="R797" i="1"/>
  <c r="T797" i="1" s="1"/>
  <c r="N797" i="1"/>
  <c r="A797" i="1" a="1"/>
  <c r="A797" i="1" s="1"/>
  <c r="R796" i="1"/>
  <c r="T796" i="1" s="1"/>
  <c r="N796" i="1"/>
  <c r="A796" i="1" a="1"/>
  <c r="A796" i="1"/>
  <c r="AG796" i="1" s="1" a="1"/>
  <c r="AG796" i="1" s="1"/>
  <c r="Y796" i="1" s="1"/>
  <c r="R795" i="1"/>
  <c r="T795" i="1" s="1"/>
  <c r="N795" i="1"/>
  <c r="A795" i="1" a="1"/>
  <c r="A795" i="1" s="1"/>
  <c r="T794" i="1"/>
  <c r="R794" i="1"/>
  <c r="N794" i="1"/>
  <c r="A794" i="1" a="1"/>
  <c r="A794" i="1" s="1"/>
  <c r="R793" i="1"/>
  <c r="T793" i="1" s="1"/>
  <c r="N793" i="1"/>
  <c r="A793" i="1" a="1"/>
  <c r="A793" i="1"/>
  <c r="AG793" i="1" s="1" a="1"/>
  <c r="AG793" i="1" s="1"/>
  <c r="Y793" i="1" s="1"/>
  <c r="R792" i="1"/>
  <c r="T792" i="1" s="1"/>
  <c r="N792" i="1"/>
  <c r="A792" i="1" a="1"/>
  <c r="A792" i="1" s="1"/>
  <c r="AF791" i="1" a="1"/>
  <c r="AF791" i="1" s="1"/>
  <c r="X791" i="1" s="1"/>
  <c r="AA791" i="1" s="1"/>
  <c r="R791" i="1"/>
  <c r="T791" i="1" s="1"/>
  <c r="N791" i="1"/>
  <c r="A791" i="1" a="1"/>
  <c r="A791" i="1"/>
  <c r="AG791" i="1" s="1" a="1"/>
  <c r="AG791" i="1" s="1"/>
  <c r="Y791" i="1" s="1"/>
  <c r="R790" i="1"/>
  <c r="T790" i="1" s="1"/>
  <c r="N790" i="1"/>
  <c r="A790" i="1" a="1"/>
  <c r="A790" i="1" s="1"/>
  <c r="R789" i="1"/>
  <c r="T789" i="1" s="1"/>
  <c r="N789" i="1"/>
  <c r="A789" i="1" a="1"/>
  <c r="A789" i="1"/>
  <c r="AF789" i="1" s="1" a="1"/>
  <c r="AF789" i="1" s="1"/>
  <c r="X789" i="1" s="1"/>
  <c r="R788" i="1"/>
  <c r="T788" i="1" s="1"/>
  <c r="N788" i="1"/>
  <c r="A788" i="1" a="1"/>
  <c r="A788" i="1" s="1"/>
  <c r="T787" i="1"/>
  <c r="R787" i="1"/>
  <c r="N787" i="1"/>
  <c r="A787" i="1" a="1"/>
  <c r="A787" i="1" s="1"/>
  <c r="R786" i="1"/>
  <c r="T786" i="1" s="1"/>
  <c r="N786" i="1"/>
  <c r="A786" i="1" a="1"/>
  <c r="A786" i="1" s="1"/>
  <c r="R785" i="1"/>
  <c r="T785" i="1" s="1"/>
  <c r="N785" i="1"/>
  <c r="A785" i="1" a="1"/>
  <c r="A785" i="1" s="1"/>
  <c r="R784" i="1"/>
  <c r="T784" i="1" s="1"/>
  <c r="N784" i="1"/>
  <c r="A784" i="1" a="1"/>
  <c r="A784" i="1" s="1"/>
  <c r="AG784" i="1" s="1" a="1"/>
  <c r="AG784" i="1" s="1"/>
  <c r="Y784" i="1" s="1"/>
  <c r="AF783" i="1" a="1"/>
  <c r="AF783" i="1" s="1"/>
  <c r="X783" i="1" s="1"/>
  <c r="R783" i="1"/>
  <c r="T783" i="1" s="1"/>
  <c r="N783" i="1"/>
  <c r="A783" i="1" a="1"/>
  <c r="A783" i="1" s="1"/>
  <c r="AG783" i="1" s="1" a="1"/>
  <c r="AG783" i="1" s="1"/>
  <c r="Y783" i="1" s="1"/>
  <c r="R782" i="1"/>
  <c r="T782" i="1" s="1"/>
  <c r="N782" i="1"/>
  <c r="A782" i="1" a="1"/>
  <c r="A782" i="1" s="1"/>
  <c r="R781" i="1"/>
  <c r="T781" i="1" s="1"/>
  <c r="N781" i="1"/>
  <c r="A781" i="1" a="1"/>
  <c r="A781" i="1" s="1"/>
  <c r="AG781" i="1" s="1" a="1"/>
  <c r="AG781" i="1" s="1"/>
  <c r="Y781" i="1" s="1"/>
  <c r="T780" i="1"/>
  <c r="R780" i="1"/>
  <c r="N780" i="1"/>
  <c r="A780" i="1" a="1"/>
  <c r="A780" i="1" s="1"/>
  <c r="R779" i="1"/>
  <c r="T779" i="1" s="1"/>
  <c r="N779" i="1"/>
  <c r="A779" i="1" a="1"/>
  <c r="A779" i="1" s="1"/>
  <c r="R778" i="1"/>
  <c r="T778" i="1" s="1"/>
  <c r="N778" i="1"/>
  <c r="A778" i="1" a="1"/>
  <c r="A778" i="1" s="1"/>
  <c r="R777" i="1"/>
  <c r="T777" i="1" s="1"/>
  <c r="N777" i="1"/>
  <c r="A777" i="1" a="1"/>
  <c r="A777" i="1"/>
  <c r="AG777" i="1" s="1" a="1"/>
  <c r="AG777" i="1" s="1"/>
  <c r="Y777" i="1" s="1"/>
  <c r="R776" i="1"/>
  <c r="T776" i="1" s="1"/>
  <c r="N776" i="1"/>
  <c r="A776" i="1" a="1"/>
  <c r="A776" i="1"/>
  <c r="AG776" i="1" s="1" a="1"/>
  <c r="AG776" i="1" s="1"/>
  <c r="Y776" i="1" s="1"/>
  <c r="R775" i="1"/>
  <c r="T775" i="1" s="1"/>
  <c r="N775" i="1"/>
  <c r="A775" i="1" a="1"/>
  <c r="A775" i="1" s="1"/>
  <c r="R774" i="1"/>
  <c r="T774" i="1" s="1"/>
  <c r="N774" i="1"/>
  <c r="A774" i="1" a="1"/>
  <c r="A774" i="1"/>
  <c r="T773" i="1"/>
  <c r="R773" i="1"/>
  <c r="N773" i="1"/>
  <c r="A773" i="1" a="1"/>
  <c r="A773" i="1" s="1"/>
  <c r="T772" i="1"/>
  <c r="R772" i="1"/>
  <c r="N772" i="1"/>
  <c r="A772" i="1" a="1"/>
  <c r="A772" i="1" s="1"/>
  <c r="R771" i="1"/>
  <c r="T771" i="1" s="1"/>
  <c r="N771" i="1"/>
  <c r="A771" i="1" a="1"/>
  <c r="A771" i="1" s="1"/>
  <c r="AA770" i="1"/>
  <c r="R770" i="1"/>
  <c r="T770" i="1" s="1"/>
  <c r="N770" i="1"/>
  <c r="A770" i="1" a="1"/>
  <c r="A770" i="1" s="1"/>
  <c r="R769" i="1"/>
  <c r="T769" i="1" s="1"/>
  <c r="AA769" i="1" s="1"/>
  <c r="N769" i="1"/>
  <c r="A769" i="1" a="1"/>
  <c r="A769" i="1" s="1"/>
  <c r="AG769" i="1" s="1" a="1"/>
  <c r="AG769" i="1" s="1"/>
  <c r="Y769" i="1" s="1"/>
  <c r="AB769" i="1" s="1"/>
  <c r="R768" i="1"/>
  <c r="T768" i="1" s="1"/>
  <c r="AA768" i="1" s="1"/>
  <c r="N768" i="1"/>
  <c r="A768" i="1" a="1"/>
  <c r="A768" i="1" s="1"/>
  <c r="R767" i="1"/>
  <c r="T767" i="1" s="1"/>
  <c r="AA767" i="1" s="1"/>
  <c r="N767" i="1"/>
  <c r="A767" i="1" a="1"/>
  <c r="A767" i="1" s="1"/>
  <c r="AG767" i="1" s="1" a="1"/>
  <c r="AG767" i="1" s="1"/>
  <c r="Y767" i="1" s="1"/>
  <c r="AB767" i="1" s="1"/>
  <c r="R766" i="1"/>
  <c r="T766" i="1" s="1"/>
  <c r="AA766" i="1" s="1"/>
  <c r="N766" i="1"/>
  <c r="A766" i="1" a="1"/>
  <c r="A766" i="1" s="1"/>
  <c r="AG766" i="1" s="1" a="1"/>
  <c r="AG766" i="1" s="1"/>
  <c r="Y766" i="1" s="1"/>
  <c r="R765" i="1"/>
  <c r="T765" i="1" s="1"/>
  <c r="AA765" i="1" s="1"/>
  <c r="N765" i="1"/>
  <c r="A765" i="1" a="1"/>
  <c r="A765" i="1" s="1"/>
  <c r="AG765" i="1" s="1" a="1"/>
  <c r="AG765" i="1" s="1"/>
  <c r="Y765" i="1" s="1"/>
  <c r="R764" i="1"/>
  <c r="T764" i="1" s="1"/>
  <c r="N764" i="1"/>
  <c r="A764" i="1" a="1"/>
  <c r="A764" i="1" s="1"/>
  <c r="R763" i="1"/>
  <c r="T763" i="1" s="1"/>
  <c r="N763" i="1"/>
  <c r="A763" i="1" a="1"/>
  <c r="A763" i="1" s="1"/>
  <c r="AF763" i="1" s="1" a="1"/>
  <c r="AF763" i="1" s="1"/>
  <c r="R762" i="1"/>
  <c r="T762" i="1" s="1"/>
  <c r="N762" i="1"/>
  <c r="A762" i="1" a="1"/>
  <c r="A762" i="1" s="1"/>
  <c r="R761" i="1"/>
  <c r="T761" i="1" s="1"/>
  <c r="N761" i="1"/>
  <c r="A761" i="1" a="1"/>
  <c r="A761" i="1" s="1"/>
  <c r="T760" i="1"/>
  <c r="AA760" i="1" s="1"/>
  <c r="R760" i="1"/>
  <c r="N760" i="1"/>
  <c r="A760" i="1" a="1"/>
  <c r="A760" i="1" s="1"/>
  <c r="AF760" i="1" s="1" a="1"/>
  <c r="AF760" i="1" s="1"/>
  <c r="AF759" i="1" a="1"/>
  <c r="AF759" i="1" s="1"/>
  <c r="R759" i="1"/>
  <c r="T759" i="1" s="1"/>
  <c r="AA759" i="1" s="1"/>
  <c r="N759" i="1"/>
  <c r="A759" i="1" a="1"/>
  <c r="A759" i="1" s="1"/>
  <c r="AG759" i="1" s="1" a="1"/>
  <c r="AG759" i="1" s="1"/>
  <c r="Y759" i="1" s="1"/>
  <c r="R758" i="1"/>
  <c r="T758" i="1" s="1"/>
  <c r="AA758" i="1" s="1"/>
  <c r="N758" i="1"/>
  <c r="A758" i="1" a="1"/>
  <c r="A758" i="1" s="1"/>
  <c r="AF757" i="1" a="1"/>
  <c r="AF757" i="1" s="1"/>
  <c r="R757" i="1"/>
  <c r="T757" i="1" s="1"/>
  <c r="N757" i="1"/>
  <c r="A757" i="1" a="1"/>
  <c r="A757" i="1"/>
  <c r="AG757" i="1" s="1" a="1"/>
  <c r="AG757" i="1" s="1"/>
  <c r="Y757" i="1" s="1"/>
  <c r="R756" i="1"/>
  <c r="T756" i="1" s="1"/>
  <c r="AA756" i="1" s="1"/>
  <c r="N756" i="1"/>
  <c r="A756" i="1" a="1"/>
  <c r="A756" i="1" s="1"/>
  <c r="AA755" i="1"/>
  <c r="R755" i="1"/>
  <c r="T755" i="1" s="1"/>
  <c r="N755" i="1"/>
  <c r="A755" i="1" a="1"/>
  <c r="A755" i="1"/>
  <c r="R754" i="1"/>
  <c r="T754" i="1" s="1"/>
  <c r="AA754" i="1" s="1"/>
  <c r="N754" i="1"/>
  <c r="A754" i="1" a="1"/>
  <c r="A754" i="1" s="1"/>
  <c r="AG754" i="1" s="1" a="1"/>
  <c r="AG754" i="1" s="1"/>
  <c r="Y754" i="1" s="1"/>
  <c r="AB754" i="1" s="1"/>
  <c r="R753" i="1"/>
  <c r="T753" i="1" s="1"/>
  <c r="N753" i="1"/>
  <c r="A753" i="1" a="1"/>
  <c r="A753" i="1"/>
  <c r="AG753" i="1" s="1" a="1"/>
  <c r="AG753" i="1" s="1"/>
  <c r="Y753" i="1" s="1"/>
  <c r="R752" i="1"/>
  <c r="T752" i="1" s="1"/>
  <c r="N752" i="1"/>
  <c r="A752" i="1" a="1"/>
  <c r="A752" i="1" s="1"/>
  <c r="R751" i="1"/>
  <c r="T751" i="1" s="1"/>
  <c r="AA751" i="1" s="1"/>
  <c r="N751" i="1"/>
  <c r="A751" i="1" a="1"/>
  <c r="A751" i="1" s="1"/>
  <c r="R750" i="1"/>
  <c r="T750" i="1" s="1"/>
  <c r="N750" i="1"/>
  <c r="A750" i="1" a="1"/>
  <c r="A750" i="1" s="1"/>
  <c r="AG750" i="1" s="1" a="1"/>
  <c r="AG750" i="1" s="1"/>
  <c r="Y750" i="1" s="1"/>
  <c r="R749" i="1"/>
  <c r="T749" i="1" s="1"/>
  <c r="N749" i="1"/>
  <c r="A749" i="1" a="1"/>
  <c r="A749" i="1" s="1"/>
  <c r="AG749" i="1" s="1" a="1"/>
  <c r="AG749" i="1" s="1"/>
  <c r="Y749" i="1" s="1"/>
  <c r="R748" i="1"/>
  <c r="T748" i="1" s="1"/>
  <c r="N748" i="1"/>
  <c r="A748" i="1" a="1"/>
  <c r="A748" i="1"/>
  <c r="AG748" i="1" s="1" a="1"/>
  <c r="AG748" i="1" s="1"/>
  <c r="Y748" i="1" s="1"/>
  <c r="AF747" i="1" a="1"/>
  <c r="AF747" i="1" s="1"/>
  <c r="R747" i="1"/>
  <c r="T747" i="1" s="1"/>
  <c r="N747" i="1"/>
  <c r="A747" i="1" a="1"/>
  <c r="A747" i="1"/>
  <c r="AG747" i="1" s="1" a="1"/>
  <c r="AG747" i="1" s="1"/>
  <c r="Y747" i="1" s="1"/>
  <c r="R746" i="1"/>
  <c r="T746" i="1" s="1"/>
  <c r="AA746" i="1" s="1"/>
  <c r="N746" i="1"/>
  <c r="A746" i="1" a="1"/>
  <c r="A746" i="1" s="1"/>
  <c r="R745" i="1"/>
  <c r="T745" i="1" s="1"/>
  <c r="N745" i="1"/>
  <c r="A745" i="1" a="1"/>
  <c r="A745" i="1"/>
  <c r="AF745" i="1" s="1" a="1"/>
  <c r="AF745" i="1" s="1"/>
  <c r="R744" i="1"/>
  <c r="T744" i="1" s="1"/>
  <c r="N744" i="1"/>
  <c r="A744" i="1" a="1"/>
  <c r="A744" i="1" s="1"/>
  <c r="T743" i="1"/>
  <c r="AA743" i="1" s="1"/>
  <c r="R743" i="1"/>
  <c r="N743" i="1"/>
  <c r="A743" i="1" a="1"/>
  <c r="A743" i="1"/>
  <c r="AF743" i="1" s="1" a="1"/>
  <c r="AF743" i="1" s="1"/>
  <c r="R742" i="1"/>
  <c r="T742" i="1" s="1"/>
  <c r="N742" i="1"/>
  <c r="A742" i="1" a="1"/>
  <c r="A742" i="1" s="1"/>
  <c r="AF742" i="1" s="1" a="1"/>
  <c r="AF742" i="1" s="1"/>
  <c r="T741" i="1"/>
  <c r="R741" i="1"/>
  <c r="N741" i="1"/>
  <c r="A741" i="1" a="1"/>
  <c r="A741" i="1" s="1"/>
  <c r="R740" i="1"/>
  <c r="T740" i="1" s="1"/>
  <c r="N740" i="1"/>
  <c r="A740" i="1" a="1"/>
  <c r="A740" i="1" s="1"/>
  <c r="AF739" i="1" a="1"/>
  <c r="AF739" i="1" s="1"/>
  <c r="R739" i="1"/>
  <c r="T739" i="1" s="1"/>
  <c r="N739" i="1"/>
  <c r="A739" i="1" a="1"/>
  <c r="A739" i="1" s="1"/>
  <c r="AG739" i="1" s="1" a="1"/>
  <c r="AG739" i="1" s="1"/>
  <c r="Y739" i="1" s="1"/>
  <c r="AA738" i="1"/>
  <c r="T738" i="1"/>
  <c r="R738" i="1"/>
  <c r="N738" i="1"/>
  <c r="A738" i="1" a="1"/>
  <c r="A738" i="1"/>
  <c r="AG738" i="1" s="1" a="1"/>
  <c r="AG738" i="1" s="1"/>
  <c r="Y738" i="1" s="1"/>
  <c r="R737" i="1"/>
  <c r="T737" i="1" s="1"/>
  <c r="AA737" i="1" s="1"/>
  <c r="N737" i="1"/>
  <c r="A737" i="1" a="1"/>
  <c r="A737" i="1" s="1"/>
  <c r="R736" i="1"/>
  <c r="T736" i="1" s="1"/>
  <c r="N736" i="1"/>
  <c r="A736" i="1" a="1"/>
  <c r="A736" i="1" s="1"/>
  <c r="R735" i="1"/>
  <c r="T735" i="1" s="1"/>
  <c r="N735" i="1"/>
  <c r="A735" i="1" a="1"/>
  <c r="A735" i="1"/>
  <c r="AG735" i="1" s="1" a="1"/>
  <c r="AG735" i="1" s="1"/>
  <c r="Y735" i="1" s="1"/>
  <c r="R734" i="1"/>
  <c r="T734" i="1" s="1"/>
  <c r="AA734" i="1" s="1"/>
  <c r="N734" i="1"/>
  <c r="A734" i="1" a="1"/>
  <c r="A734" i="1" s="1"/>
  <c r="AG733" i="1" a="1"/>
  <c r="AG733" i="1" s="1"/>
  <c r="Y733" i="1" s="1"/>
  <c r="R733" i="1"/>
  <c r="T733" i="1" s="1"/>
  <c r="N733" i="1"/>
  <c r="A733" i="1" a="1"/>
  <c r="A733" i="1"/>
  <c r="AF733" i="1" s="1" a="1"/>
  <c r="AF733" i="1" s="1"/>
  <c r="R732" i="1"/>
  <c r="T732" i="1" s="1"/>
  <c r="N732" i="1"/>
  <c r="A732" i="1" a="1"/>
  <c r="A732" i="1" s="1"/>
  <c r="T731" i="1"/>
  <c r="AA731" i="1" s="1"/>
  <c r="R731" i="1"/>
  <c r="N731" i="1"/>
  <c r="A731" i="1" a="1"/>
  <c r="A731" i="1"/>
  <c r="AF731" i="1" s="1" a="1"/>
  <c r="AF731" i="1" s="1"/>
  <c r="R730" i="1"/>
  <c r="T730" i="1" s="1"/>
  <c r="N730" i="1"/>
  <c r="A730" i="1" a="1"/>
  <c r="A730" i="1" s="1"/>
  <c r="AF730" i="1" s="1" a="1"/>
  <c r="AF730" i="1" s="1"/>
  <c r="R729" i="1"/>
  <c r="T729" i="1" s="1"/>
  <c r="N729" i="1"/>
  <c r="A729" i="1" a="1"/>
  <c r="A729" i="1" s="1"/>
  <c r="R728" i="1"/>
  <c r="T728" i="1" s="1"/>
  <c r="N728" i="1"/>
  <c r="A728" i="1" a="1"/>
  <c r="A728" i="1" s="1"/>
  <c r="T727" i="1"/>
  <c r="R727" i="1"/>
  <c r="N727" i="1"/>
  <c r="A727" i="1" a="1"/>
  <c r="A727" i="1" s="1"/>
  <c r="AG727" i="1" s="1" a="1"/>
  <c r="AG727" i="1" s="1"/>
  <c r="Y727" i="1" s="1"/>
  <c r="R726" i="1"/>
  <c r="T726" i="1" s="1"/>
  <c r="N726" i="1"/>
  <c r="A726" i="1" a="1"/>
  <c r="A726" i="1" s="1"/>
  <c r="AF725" i="1" a="1"/>
  <c r="AF725" i="1" s="1"/>
  <c r="X725" i="1" s="1"/>
  <c r="R725" i="1"/>
  <c r="T725" i="1" s="1"/>
  <c r="N725" i="1"/>
  <c r="A725" i="1" a="1"/>
  <c r="A725" i="1" s="1"/>
  <c r="AG725" i="1" s="1" a="1"/>
  <c r="AG725" i="1" s="1"/>
  <c r="Y725" i="1" s="1"/>
  <c r="AG724" i="1" a="1"/>
  <c r="AG724" i="1" s="1"/>
  <c r="Y724" i="1" s="1"/>
  <c r="R724" i="1"/>
  <c r="T724" i="1" s="1"/>
  <c r="N724" i="1"/>
  <c r="A724" i="1" a="1"/>
  <c r="A724" i="1" s="1"/>
  <c r="AF724" i="1" s="1" a="1"/>
  <c r="AF724" i="1" s="1"/>
  <c r="X724" i="1" s="1"/>
  <c r="R723" i="1"/>
  <c r="T723" i="1" s="1"/>
  <c r="N723" i="1"/>
  <c r="A723" i="1" a="1"/>
  <c r="A723" i="1" s="1"/>
  <c r="AF723" i="1" s="1" a="1"/>
  <c r="AF723" i="1" s="1"/>
  <c r="X723" i="1" s="1"/>
  <c r="R722" i="1"/>
  <c r="T722" i="1" s="1"/>
  <c r="N722" i="1"/>
  <c r="A722" i="1" a="1"/>
  <c r="A722" i="1" s="1"/>
  <c r="T721" i="1"/>
  <c r="R721" i="1"/>
  <c r="N721" i="1"/>
  <c r="A721" i="1" a="1"/>
  <c r="A721" i="1" s="1"/>
  <c r="AG721" i="1" s="1" a="1"/>
  <c r="AG721" i="1" s="1"/>
  <c r="Y721" i="1" s="1"/>
  <c r="R720" i="1"/>
  <c r="T720" i="1" s="1"/>
  <c r="N720" i="1"/>
  <c r="A720" i="1" a="1"/>
  <c r="A720" i="1" s="1"/>
  <c r="T719" i="1"/>
  <c r="R719" i="1"/>
  <c r="N719" i="1"/>
  <c r="A719" i="1" a="1"/>
  <c r="A719" i="1" s="1"/>
  <c r="R718" i="1"/>
  <c r="T718" i="1" s="1"/>
  <c r="N718" i="1"/>
  <c r="A718" i="1" a="1"/>
  <c r="A718" i="1" s="1"/>
  <c r="AF718" i="1" s="1" a="1"/>
  <c r="AF718" i="1" s="1"/>
  <c r="X718" i="1" s="1"/>
  <c r="R717" i="1"/>
  <c r="T717" i="1" s="1"/>
  <c r="N717" i="1"/>
  <c r="A717" i="1" a="1"/>
  <c r="A717" i="1"/>
  <c r="AF717" i="1" s="1" a="1"/>
  <c r="AF717" i="1" s="1"/>
  <c r="X717" i="1" s="1"/>
  <c r="R716" i="1"/>
  <c r="T716" i="1" s="1"/>
  <c r="N716" i="1"/>
  <c r="A716" i="1" a="1"/>
  <c r="A716" i="1" s="1"/>
  <c r="R715" i="1"/>
  <c r="T715" i="1" s="1"/>
  <c r="N715" i="1"/>
  <c r="A715" i="1" a="1"/>
  <c r="A715" i="1"/>
  <c r="AG715" i="1" s="1" a="1"/>
  <c r="AG715" i="1" s="1"/>
  <c r="Y715" i="1" s="1"/>
  <c r="R714" i="1"/>
  <c r="T714" i="1" s="1"/>
  <c r="N714" i="1"/>
  <c r="A714" i="1" a="1"/>
  <c r="A714" i="1" s="1"/>
  <c r="T713" i="1"/>
  <c r="R713" i="1"/>
  <c r="N713" i="1"/>
  <c r="A713" i="1" a="1"/>
  <c r="A713" i="1" s="1"/>
  <c r="AG713" i="1" s="1" a="1"/>
  <c r="AG713" i="1" s="1"/>
  <c r="Y713" i="1" s="1"/>
  <c r="R712" i="1"/>
  <c r="T712" i="1" s="1"/>
  <c r="N712" i="1"/>
  <c r="A712" i="1" a="1"/>
  <c r="A712" i="1" s="1"/>
  <c r="AF712" i="1" s="1" a="1"/>
  <c r="AF712" i="1" s="1"/>
  <c r="X712" i="1" s="1"/>
  <c r="R711" i="1"/>
  <c r="T711" i="1" s="1"/>
  <c r="N711" i="1"/>
  <c r="A711" i="1" a="1"/>
  <c r="A711" i="1"/>
  <c r="AF711" i="1" s="1" a="1"/>
  <c r="AF711" i="1" s="1"/>
  <c r="X711" i="1" s="1"/>
  <c r="R710" i="1"/>
  <c r="T710" i="1" s="1"/>
  <c r="N710" i="1"/>
  <c r="A710" i="1" a="1"/>
  <c r="A710" i="1" s="1"/>
  <c r="T709" i="1"/>
  <c r="AB709" i="1" s="1"/>
  <c r="R709" i="1"/>
  <c r="N709" i="1"/>
  <c r="A709" i="1" a="1"/>
  <c r="A709" i="1"/>
  <c r="AG709" i="1" s="1" a="1"/>
  <c r="AG709" i="1" s="1"/>
  <c r="Y709" i="1" s="1"/>
  <c r="R708" i="1"/>
  <c r="T708" i="1" s="1"/>
  <c r="N708" i="1"/>
  <c r="A708" i="1" a="1"/>
  <c r="A708" i="1" s="1"/>
  <c r="R707" i="1"/>
  <c r="T707" i="1" s="1"/>
  <c r="N707" i="1"/>
  <c r="A707" i="1" a="1"/>
  <c r="A707" i="1" s="1"/>
  <c r="AG707" i="1" s="1" a="1"/>
  <c r="AG707" i="1" s="1"/>
  <c r="Y707" i="1" s="1"/>
  <c r="R706" i="1"/>
  <c r="T706" i="1" s="1"/>
  <c r="N706" i="1"/>
  <c r="A706" i="1" a="1"/>
  <c r="A706" i="1" s="1"/>
  <c r="AF706" i="1" s="1" a="1"/>
  <c r="AF706" i="1" s="1"/>
  <c r="X706" i="1" s="1"/>
  <c r="R705" i="1"/>
  <c r="T705" i="1" s="1"/>
  <c r="N705" i="1"/>
  <c r="A705" i="1" a="1"/>
  <c r="A705" i="1" s="1"/>
  <c r="AF705" i="1" s="1" a="1"/>
  <c r="AF705" i="1" s="1"/>
  <c r="X705" i="1" s="1"/>
  <c r="R704" i="1"/>
  <c r="T704" i="1" s="1"/>
  <c r="N704" i="1"/>
  <c r="A704" i="1" a="1"/>
  <c r="A704" i="1" s="1"/>
  <c r="T703" i="1"/>
  <c r="R703" i="1"/>
  <c r="N703" i="1"/>
  <c r="A703" i="1" a="1"/>
  <c r="A703" i="1"/>
  <c r="AG703" i="1" s="1" a="1"/>
  <c r="AG703" i="1" s="1"/>
  <c r="Y703" i="1" s="1"/>
  <c r="R702" i="1"/>
  <c r="T702" i="1" s="1"/>
  <c r="N702" i="1"/>
  <c r="A702" i="1" a="1"/>
  <c r="A702" i="1" s="1"/>
  <c r="R701" i="1"/>
  <c r="T701" i="1" s="1"/>
  <c r="N701" i="1"/>
  <c r="A701" i="1" a="1"/>
  <c r="A701" i="1" s="1"/>
  <c r="R700" i="1"/>
  <c r="T700" i="1" s="1"/>
  <c r="N700" i="1"/>
  <c r="A700" i="1" a="1"/>
  <c r="A700" i="1" s="1"/>
  <c r="AF700" i="1" s="1" a="1"/>
  <c r="AF700" i="1" s="1"/>
  <c r="X700" i="1" s="1"/>
  <c r="R699" i="1"/>
  <c r="T699" i="1" s="1"/>
  <c r="N699" i="1"/>
  <c r="A699" i="1" a="1"/>
  <c r="A699" i="1" s="1"/>
  <c r="AF699" i="1" s="1" a="1"/>
  <c r="AF699" i="1" s="1"/>
  <c r="X699" i="1" s="1"/>
  <c r="R698" i="1"/>
  <c r="T698" i="1" s="1"/>
  <c r="N698" i="1"/>
  <c r="A698" i="1" a="1"/>
  <c r="A698" i="1" s="1"/>
  <c r="T697" i="1"/>
  <c r="R697" i="1"/>
  <c r="N697" i="1"/>
  <c r="A697" i="1" a="1"/>
  <c r="A697" i="1"/>
  <c r="AG697" i="1" s="1" a="1"/>
  <c r="AG697" i="1" s="1"/>
  <c r="Y697" i="1" s="1"/>
  <c r="R696" i="1"/>
  <c r="T696" i="1" s="1"/>
  <c r="N696" i="1"/>
  <c r="A696" i="1" a="1"/>
  <c r="A696" i="1" s="1"/>
  <c r="R695" i="1"/>
  <c r="T695" i="1" s="1"/>
  <c r="N695" i="1"/>
  <c r="A695" i="1" a="1"/>
  <c r="A695" i="1" s="1"/>
  <c r="AG694" i="1" a="1"/>
  <c r="AG694" i="1" s="1"/>
  <c r="Y694" i="1" s="1"/>
  <c r="R694" i="1"/>
  <c r="T694" i="1" s="1"/>
  <c r="N694" i="1"/>
  <c r="A694" i="1" a="1"/>
  <c r="A694" i="1" s="1"/>
  <c r="AF694" i="1" s="1" a="1"/>
  <c r="AF694" i="1" s="1"/>
  <c r="X694" i="1" s="1"/>
  <c r="R693" i="1"/>
  <c r="T693" i="1" s="1"/>
  <c r="N693" i="1"/>
  <c r="A693" i="1" a="1"/>
  <c r="A693" i="1"/>
  <c r="AF693" i="1" s="1" a="1"/>
  <c r="AF693" i="1" s="1"/>
  <c r="X693" i="1" s="1"/>
  <c r="R692" i="1"/>
  <c r="T692" i="1" s="1"/>
  <c r="N692" i="1"/>
  <c r="A692" i="1" a="1"/>
  <c r="A692" i="1" s="1"/>
  <c r="R691" i="1"/>
  <c r="T691" i="1" s="1"/>
  <c r="AB691" i="1" s="1"/>
  <c r="N691" i="1"/>
  <c r="A691" i="1" a="1"/>
  <c r="A691" i="1" s="1"/>
  <c r="AG691" i="1" s="1" a="1"/>
  <c r="AG691" i="1" s="1"/>
  <c r="Y691" i="1" s="1"/>
  <c r="R690" i="1"/>
  <c r="T690" i="1" s="1"/>
  <c r="N690" i="1"/>
  <c r="A690" i="1" a="1"/>
  <c r="A690" i="1" s="1"/>
  <c r="T689" i="1"/>
  <c r="R689" i="1"/>
  <c r="N689" i="1"/>
  <c r="A689" i="1" a="1"/>
  <c r="A689" i="1" s="1"/>
  <c r="AG689" i="1" s="1" a="1"/>
  <c r="AG689" i="1" s="1"/>
  <c r="Y689" i="1" s="1"/>
  <c r="AG688" i="1" a="1"/>
  <c r="AG688" i="1" s="1"/>
  <c r="Y688" i="1" s="1"/>
  <c r="R688" i="1"/>
  <c r="T688" i="1" s="1"/>
  <c r="N688" i="1"/>
  <c r="A688" i="1" a="1"/>
  <c r="A688" i="1" s="1"/>
  <c r="AF688" i="1" s="1" a="1"/>
  <c r="AF688" i="1" s="1"/>
  <c r="X688" i="1" s="1"/>
  <c r="R687" i="1"/>
  <c r="T687" i="1" s="1"/>
  <c r="N687" i="1"/>
  <c r="A687" i="1" a="1"/>
  <c r="A687" i="1"/>
  <c r="AF687" i="1" s="1" a="1"/>
  <c r="AF687" i="1" s="1"/>
  <c r="X687" i="1" s="1"/>
  <c r="R686" i="1"/>
  <c r="T686" i="1" s="1"/>
  <c r="N686" i="1"/>
  <c r="A686" i="1" a="1"/>
  <c r="A686" i="1" s="1"/>
  <c r="R685" i="1"/>
  <c r="T685" i="1" s="1"/>
  <c r="AB685" i="1" s="1"/>
  <c r="N685" i="1"/>
  <c r="A685" i="1" a="1"/>
  <c r="A685" i="1"/>
  <c r="AG685" i="1" s="1" a="1"/>
  <c r="AG685" i="1" s="1"/>
  <c r="Y685" i="1" s="1"/>
  <c r="R684" i="1"/>
  <c r="T684" i="1" s="1"/>
  <c r="N684" i="1"/>
  <c r="A684" i="1" a="1"/>
  <c r="A684" i="1" s="1"/>
  <c r="T683" i="1"/>
  <c r="R683" i="1"/>
  <c r="N683" i="1"/>
  <c r="A683" i="1" a="1"/>
  <c r="A683" i="1" s="1"/>
  <c r="R682" i="1"/>
  <c r="T682" i="1" s="1"/>
  <c r="N682" i="1"/>
  <c r="A682" i="1" a="1"/>
  <c r="A682" i="1" s="1"/>
  <c r="AF682" i="1" s="1" a="1"/>
  <c r="AF682" i="1" s="1"/>
  <c r="X682" i="1" s="1"/>
  <c r="R681" i="1"/>
  <c r="T681" i="1" s="1"/>
  <c r="N681" i="1"/>
  <c r="A681" i="1" a="1"/>
  <c r="A681" i="1" s="1"/>
  <c r="AF681" i="1" s="1" a="1"/>
  <c r="AF681" i="1" s="1"/>
  <c r="X681" i="1" s="1"/>
  <c r="R680" i="1"/>
  <c r="T680" i="1" s="1"/>
  <c r="N680" i="1"/>
  <c r="A680" i="1" a="1"/>
  <c r="A680" i="1" s="1"/>
  <c r="R679" i="1"/>
  <c r="T679" i="1" s="1"/>
  <c r="N679" i="1"/>
  <c r="A679" i="1" a="1"/>
  <c r="A679" i="1" s="1"/>
  <c r="R678" i="1"/>
  <c r="T678" i="1" s="1"/>
  <c r="N678" i="1"/>
  <c r="A678" i="1" a="1"/>
  <c r="A678" i="1"/>
  <c r="AG678" i="1" s="1" a="1"/>
  <c r="AG678" i="1" s="1"/>
  <c r="Y678" i="1" s="1"/>
  <c r="R677" i="1"/>
  <c r="T677" i="1" s="1"/>
  <c r="N677" i="1"/>
  <c r="A677" i="1" a="1"/>
  <c r="A677" i="1"/>
  <c r="AG677" i="1" s="1" a="1"/>
  <c r="AG677" i="1" s="1"/>
  <c r="Y677" i="1" s="1"/>
  <c r="R676" i="1"/>
  <c r="T676" i="1" s="1"/>
  <c r="N676" i="1"/>
  <c r="A676" i="1" a="1"/>
  <c r="A676" i="1" s="1"/>
  <c r="R675" i="1"/>
  <c r="T675" i="1" s="1"/>
  <c r="N675" i="1"/>
  <c r="A675" i="1" a="1"/>
  <c r="A675" i="1" s="1"/>
  <c r="R674" i="1"/>
  <c r="T674" i="1" s="1"/>
  <c r="N674" i="1"/>
  <c r="A674" i="1" a="1"/>
  <c r="A674" i="1" s="1"/>
  <c r="AG673" i="1" a="1"/>
  <c r="AG673" i="1" s="1"/>
  <c r="Y673" i="1" s="1"/>
  <c r="AF673" i="1" a="1"/>
  <c r="AF673" i="1"/>
  <c r="R673" i="1"/>
  <c r="T673" i="1" s="1"/>
  <c r="N673" i="1"/>
  <c r="A673" i="1" a="1"/>
  <c r="A673" i="1"/>
  <c r="R672" i="1"/>
  <c r="T672" i="1" s="1"/>
  <c r="N672" i="1"/>
  <c r="A672" i="1" a="1"/>
  <c r="A672" i="1" s="1"/>
  <c r="R671" i="1"/>
  <c r="T671" i="1" s="1"/>
  <c r="N671" i="1"/>
  <c r="A671" i="1" a="1"/>
  <c r="A671" i="1" s="1"/>
  <c r="R670" i="1"/>
  <c r="T670" i="1" s="1"/>
  <c r="N670" i="1"/>
  <c r="A670" i="1" a="1"/>
  <c r="A670" i="1" s="1"/>
  <c r="R669" i="1"/>
  <c r="T669" i="1" s="1"/>
  <c r="N669" i="1"/>
  <c r="A669" i="1" a="1"/>
  <c r="A669" i="1" s="1"/>
  <c r="R668" i="1"/>
  <c r="T668" i="1" s="1"/>
  <c r="N668" i="1"/>
  <c r="A668" i="1" a="1"/>
  <c r="A668" i="1" s="1"/>
  <c r="AF668" i="1" s="1" a="1"/>
  <c r="AF668" i="1" s="1"/>
  <c r="R667" i="1"/>
  <c r="T667" i="1" s="1"/>
  <c r="N667" i="1"/>
  <c r="A667" i="1" a="1"/>
  <c r="A667" i="1" s="1"/>
  <c r="R666" i="1"/>
  <c r="T666" i="1" s="1"/>
  <c r="N666" i="1"/>
  <c r="A666" i="1" a="1"/>
  <c r="A666" i="1" s="1"/>
  <c r="T665" i="1"/>
  <c r="R665" i="1"/>
  <c r="N665" i="1"/>
  <c r="A665" i="1" a="1"/>
  <c r="A665" i="1" s="1"/>
  <c r="AG665" i="1" s="1" a="1"/>
  <c r="AG665" i="1" s="1"/>
  <c r="Y665" i="1" s="1"/>
  <c r="AB665" i="1" s="1"/>
  <c r="R664" i="1"/>
  <c r="T664" i="1" s="1"/>
  <c r="N664" i="1"/>
  <c r="A664" i="1" a="1"/>
  <c r="A664" i="1" s="1"/>
  <c r="T663" i="1"/>
  <c r="R663" i="1"/>
  <c r="N663" i="1"/>
  <c r="A663" i="1" a="1"/>
  <c r="A663" i="1"/>
  <c r="R662" i="1"/>
  <c r="T662" i="1" s="1"/>
  <c r="N662" i="1"/>
  <c r="A662" i="1" a="1"/>
  <c r="A662" i="1" s="1"/>
  <c r="R661" i="1"/>
  <c r="T661" i="1" s="1"/>
  <c r="N661" i="1"/>
  <c r="A661" i="1" a="1"/>
  <c r="A661" i="1" s="1"/>
  <c r="R660" i="1"/>
  <c r="T660" i="1" s="1"/>
  <c r="N660" i="1"/>
  <c r="A660" i="1" a="1"/>
  <c r="A660" i="1" s="1"/>
  <c r="R659" i="1"/>
  <c r="T659" i="1" s="1"/>
  <c r="N659" i="1"/>
  <c r="A659" i="1" a="1"/>
  <c r="A659" i="1" s="1"/>
  <c r="AG659" i="1" s="1" a="1"/>
  <c r="AG659" i="1" s="1"/>
  <c r="Y659" i="1" s="1"/>
  <c r="R658" i="1"/>
  <c r="T658" i="1" s="1"/>
  <c r="N658" i="1"/>
  <c r="A658" i="1" a="1"/>
  <c r="A658" i="1" s="1"/>
  <c r="R657" i="1"/>
  <c r="T657" i="1" s="1"/>
  <c r="N657" i="1"/>
  <c r="A657" i="1" a="1"/>
  <c r="A657" i="1" s="1"/>
  <c r="R656" i="1"/>
  <c r="T656" i="1" s="1"/>
  <c r="N656" i="1"/>
  <c r="A656" i="1" a="1"/>
  <c r="A656" i="1" s="1"/>
  <c r="R655" i="1"/>
  <c r="T655" i="1" s="1"/>
  <c r="N655" i="1"/>
  <c r="A655" i="1" a="1"/>
  <c r="A655" i="1" s="1"/>
  <c r="R654" i="1"/>
  <c r="T654" i="1" s="1"/>
  <c r="N654" i="1"/>
  <c r="A654" i="1" a="1"/>
  <c r="A654" i="1" s="1"/>
  <c r="T653" i="1"/>
  <c r="R653" i="1"/>
  <c r="N653" i="1"/>
  <c r="A653" i="1" a="1"/>
  <c r="A653" i="1"/>
  <c r="AG653" i="1" s="1" a="1"/>
  <c r="AG653" i="1" s="1"/>
  <c r="Y653" i="1" s="1"/>
  <c r="AB653" i="1" s="1"/>
  <c r="R652" i="1"/>
  <c r="T652" i="1" s="1"/>
  <c r="N652" i="1"/>
  <c r="A652" i="1" a="1"/>
  <c r="A652" i="1" s="1"/>
  <c r="R651" i="1"/>
  <c r="T651" i="1" s="1"/>
  <c r="N651" i="1"/>
  <c r="A651" i="1" a="1"/>
  <c r="A651" i="1"/>
  <c r="R650" i="1"/>
  <c r="T650" i="1" s="1"/>
  <c r="N650" i="1"/>
  <c r="A650" i="1" a="1"/>
  <c r="A650" i="1" s="1"/>
  <c r="R649" i="1"/>
  <c r="T649" i="1" s="1"/>
  <c r="AA649" i="1" s="1"/>
  <c r="N649" i="1"/>
  <c r="A649" i="1" a="1"/>
  <c r="A649" i="1"/>
  <c r="AF649" i="1" s="1" a="1"/>
  <c r="AF649" i="1" s="1"/>
  <c r="R648" i="1"/>
  <c r="T648" i="1" s="1"/>
  <c r="N648" i="1"/>
  <c r="A648" i="1" a="1"/>
  <c r="A648" i="1" s="1"/>
  <c r="AF648" i="1" s="1" a="1"/>
  <c r="AF648" i="1" s="1"/>
  <c r="T647" i="1"/>
  <c r="R647" i="1"/>
  <c r="N647" i="1"/>
  <c r="A647" i="1" a="1"/>
  <c r="A647" i="1" s="1"/>
  <c r="R646" i="1"/>
  <c r="T646" i="1" s="1"/>
  <c r="N646" i="1"/>
  <c r="A646" i="1" a="1"/>
  <c r="A646" i="1" s="1"/>
  <c r="R645" i="1"/>
  <c r="T645" i="1" s="1"/>
  <c r="N645" i="1"/>
  <c r="A645" i="1" a="1"/>
  <c r="A645" i="1" s="1"/>
  <c r="T644" i="1"/>
  <c r="R644" i="1"/>
  <c r="N644" i="1"/>
  <c r="A644" i="1" a="1"/>
  <c r="A644" i="1" s="1"/>
  <c r="T643" i="1"/>
  <c r="R643" i="1"/>
  <c r="N643" i="1"/>
  <c r="A643" i="1" a="1"/>
  <c r="A643" i="1" s="1"/>
  <c r="T642" i="1"/>
  <c r="R642" i="1"/>
  <c r="N642" i="1"/>
  <c r="A642" i="1" a="1"/>
  <c r="A642" i="1"/>
  <c r="R641" i="1"/>
  <c r="T641" i="1" s="1"/>
  <c r="N641" i="1"/>
  <c r="A641" i="1" a="1"/>
  <c r="A641" i="1" s="1"/>
  <c r="R640" i="1"/>
  <c r="T640" i="1" s="1"/>
  <c r="N640" i="1"/>
  <c r="A640" i="1" a="1"/>
  <c r="A640" i="1"/>
  <c r="R639" i="1"/>
  <c r="T639" i="1" s="1"/>
  <c r="N639" i="1"/>
  <c r="A639" i="1" a="1"/>
  <c r="A639" i="1"/>
  <c r="T638" i="1"/>
  <c r="R638" i="1"/>
  <c r="N638" i="1"/>
  <c r="A638" i="1" a="1"/>
  <c r="A638" i="1"/>
  <c r="R637" i="1"/>
  <c r="T637" i="1" s="1"/>
  <c r="N637" i="1"/>
  <c r="A637" i="1" a="1"/>
  <c r="A637" i="1" s="1"/>
  <c r="R636" i="1"/>
  <c r="T636" i="1" s="1"/>
  <c r="N636" i="1"/>
  <c r="A636" i="1" a="1"/>
  <c r="A636" i="1"/>
  <c r="R635" i="1"/>
  <c r="T635" i="1" s="1"/>
  <c r="N635" i="1"/>
  <c r="A635" i="1" a="1"/>
  <c r="A635" i="1" s="1"/>
  <c r="T634" i="1"/>
  <c r="R634" i="1"/>
  <c r="N634" i="1"/>
  <c r="A634" i="1" a="1"/>
  <c r="A634" i="1" s="1"/>
  <c r="R633" i="1"/>
  <c r="T633" i="1" s="1"/>
  <c r="N633" i="1"/>
  <c r="A633" i="1" a="1"/>
  <c r="A633" i="1" s="1"/>
  <c r="T632" i="1"/>
  <c r="R632" i="1"/>
  <c r="N632" i="1"/>
  <c r="A632" i="1" a="1"/>
  <c r="A632" i="1" s="1"/>
  <c r="R631" i="1"/>
  <c r="T631" i="1" s="1"/>
  <c r="N631" i="1"/>
  <c r="A631" i="1" a="1"/>
  <c r="A631" i="1" s="1"/>
  <c r="T630" i="1"/>
  <c r="R630" i="1"/>
  <c r="N630" i="1"/>
  <c r="A630" i="1" a="1"/>
  <c r="A630" i="1" s="1"/>
  <c r="R629" i="1"/>
  <c r="T629" i="1" s="1"/>
  <c r="N629" i="1"/>
  <c r="A629" i="1" a="1"/>
  <c r="A629" i="1"/>
  <c r="AF629" i="1" s="1" a="1"/>
  <c r="AF629" i="1" s="1"/>
  <c r="T628" i="1"/>
  <c r="R628" i="1"/>
  <c r="N628" i="1"/>
  <c r="A628" i="1" a="1"/>
  <c r="A628" i="1" s="1"/>
  <c r="T627" i="1"/>
  <c r="R627" i="1"/>
  <c r="N627" i="1"/>
  <c r="A627" i="1" a="1"/>
  <c r="A627" i="1" s="1"/>
  <c r="AF627" i="1" s="1" a="1"/>
  <c r="AF627" i="1" s="1"/>
  <c r="T626" i="1"/>
  <c r="R626" i="1"/>
  <c r="N626" i="1"/>
  <c r="A626" i="1" a="1"/>
  <c r="A626" i="1"/>
  <c r="AF626" i="1" s="1" a="1"/>
  <c r="AF626" i="1" s="1"/>
  <c r="R625" i="1"/>
  <c r="T625" i="1" s="1"/>
  <c r="N625" i="1"/>
  <c r="A625" i="1" a="1"/>
  <c r="A625" i="1"/>
  <c r="R624" i="1"/>
  <c r="T624" i="1" s="1"/>
  <c r="N624" i="1"/>
  <c r="A624" i="1" a="1"/>
  <c r="A624" i="1" s="1"/>
  <c r="AF624" i="1" s="1" a="1"/>
  <c r="AF624" i="1" s="1"/>
  <c r="T623" i="1"/>
  <c r="R623" i="1"/>
  <c r="N623" i="1"/>
  <c r="A623" i="1" a="1"/>
  <c r="A623" i="1" s="1"/>
  <c r="AF623" i="1" s="1" a="1"/>
  <c r="AF623" i="1" s="1"/>
  <c r="R622" i="1"/>
  <c r="T622" i="1" s="1"/>
  <c r="N622" i="1"/>
  <c r="A622" i="1" a="1"/>
  <c r="A622" i="1" s="1"/>
  <c r="R621" i="1"/>
  <c r="T621" i="1" s="1"/>
  <c r="N621" i="1"/>
  <c r="A621" i="1" a="1"/>
  <c r="A621" i="1"/>
  <c r="AF621" i="1" s="1" a="1"/>
  <c r="AF621" i="1" s="1"/>
  <c r="R620" i="1"/>
  <c r="T620" i="1" s="1"/>
  <c r="N620" i="1"/>
  <c r="A620" i="1" a="1"/>
  <c r="A620" i="1" s="1"/>
  <c r="T619" i="1"/>
  <c r="R619" i="1"/>
  <c r="N619" i="1"/>
  <c r="A619" i="1" a="1"/>
  <c r="A619" i="1" s="1"/>
  <c r="T618" i="1"/>
  <c r="R618" i="1"/>
  <c r="N618" i="1"/>
  <c r="A618" i="1" a="1"/>
  <c r="A618" i="1" s="1"/>
  <c r="R617" i="1"/>
  <c r="T617" i="1" s="1"/>
  <c r="N617" i="1"/>
  <c r="A617" i="1" a="1"/>
  <c r="A617" i="1" s="1"/>
  <c r="T616" i="1"/>
  <c r="R616" i="1"/>
  <c r="N616" i="1"/>
  <c r="A616" i="1" a="1"/>
  <c r="A616" i="1" s="1"/>
  <c r="AF616" i="1" s="1" a="1"/>
  <c r="AF616" i="1" s="1"/>
  <c r="T615" i="1"/>
  <c r="AA615" i="1" s="1"/>
  <c r="R615" i="1"/>
  <c r="N615" i="1"/>
  <c r="A615" i="1" a="1"/>
  <c r="A615" i="1" s="1"/>
  <c r="R614" i="1"/>
  <c r="T614" i="1" s="1"/>
  <c r="N614" i="1"/>
  <c r="A614" i="1" a="1"/>
  <c r="A614" i="1"/>
  <c r="AG614" i="1" s="1" a="1"/>
  <c r="AG614" i="1" s="1"/>
  <c r="Y614" i="1" s="1"/>
  <c r="R613" i="1"/>
  <c r="T613" i="1" s="1"/>
  <c r="N613" i="1"/>
  <c r="A613" i="1" a="1"/>
  <c r="A613" i="1" s="1"/>
  <c r="R612" i="1"/>
  <c r="T612" i="1" s="1"/>
  <c r="N612" i="1"/>
  <c r="A612" i="1" a="1"/>
  <c r="A612" i="1" s="1"/>
  <c r="T611" i="1"/>
  <c r="R611" i="1"/>
  <c r="N611" i="1"/>
  <c r="A611" i="1" a="1"/>
  <c r="A611" i="1" s="1"/>
  <c r="AF611" i="1" s="1" a="1"/>
  <c r="AF611" i="1" s="1"/>
  <c r="X611" i="1" s="1"/>
  <c r="R610" i="1"/>
  <c r="T610" i="1" s="1"/>
  <c r="N610" i="1"/>
  <c r="A610" i="1" a="1"/>
  <c r="A610" i="1" s="1"/>
  <c r="T609" i="1"/>
  <c r="R609" i="1"/>
  <c r="N609" i="1"/>
  <c r="A609" i="1" a="1"/>
  <c r="A609" i="1" s="1"/>
  <c r="R608" i="1"/>
  <c r="T608" i="1" s="1"/>
  <c r="N608" i="1"/>
  <c r="A608" i="1" a="1"/>
  <c r="A608" i="1"/>
  <c r="AG608" i="1" s="1" a="1"/>
  <c r="AG608" i="1" s="1"/>
  <c r="Y608" i="1" s="1"/>
  <c r="R607" i="1"/>
  <c r="T607" i="1" s="1"/>
  <c r="N607" i="1"/>
  <c r="A607" i="1" a="1"/>
  <c r="A607" i="1"/>
  <c r="AF606" i="1" a="1"/>
  <c r="AF606" i="1" s="1"/>
  <c r="X606" i="1" s="1"/>
  <c r="AA606" i="1" s="1"/>
  <c r="Y606" i="1"/>
  <c r="T606" i="1"/>
  <c r="R606" i="1"/>
  <c r="N606" i="1"/>
  <c r="A606" i="1" a="1"/>
  <c r="A606" i="1"/>
  <c r="AG606" i="1" s="1" a="1"/>
  <c r="AG606" i="1" s="1"/>
  <c r="R605" i="1"/>
  <c r="T605" i="1" s="1"/>
  <c r="N605" i="1"/>
  <c r="A605" i="1" a="1"/>
  <c r="A605" i="1" s="1"/>
  <c r="AF605" i="1" s="1" a="1"/>
  <c r="AF605" i="1" s="1"/>
  <c r="X605" i="1" s="1"/>
  <c r="T604" i="1"/>
  <c r="R604" i="1"/>
  <c r="N604" i="1"/>
  <c r="A604" i="1" a="1"/>
  <c r="A604" i="1" s="1"/>
  <c r="AG604" i="1" s="1" a="1"/>
  <c r="AG604" i="1" s="1"/>
  <c r="Y604" i="1" s="1"/>
  <c r="R603" i="1"/>
  <c r="T603" i="1" s="1"/>
  <c r="N603" i="1"/>
  <c r="A603" i="1" a="1"/>
  <c r="A603" i="1" s="1"/>
  <c r="AG603" i="1" s="1" a="1"/>
  <c r="AG603" i="1" s="1"/>
  <c r="Y603" i="1" s="1"/>
  <c r="AG602" i="1" a="1"/>
  <c r="AG602" i="1"/>
  <c r="Y602" i="1" s="1"/>
  <c r="R602" i="1"/>
  <c r="T602" i="1" s="1"/>
  <c r="N602" i="1"/>
  <c r="A602" i="1" a="1"/>
  <c r="A602" i="1"/>
  <c r="AF602" i="1" s="1" a="1"/>
  <c r="AF602" i="1" s="1"/>
  <c r="X602" i="1" s="1"/>
  <c r="R601" i="1"/>
  <c r="T601" i="1" s="1"/>
  <c r="N601" i="1"/>
  <c r="A601" i="1" a="1"/>
  <c r="A601" i="1"/>
  <c r="T600" i="1"/>
  <c r="R600" i="1"/>
  <c r="N600" i="1"/>
  <c r="A600" i="1" a="1"/>
  <c r="A600" i="1"/>
  <c r="AF600" i="1" s="1" a="1"/>
  <c r="AF600" i="1" s="1"/>
  <c r="X600" i="1" s="1"/>
  <c r="R599" i="1"/>
  <c r="T599" i="1" s="1"/>
  <c r="N599" i="1"/>
  <c r="A599" i="1" a="1"/>
  <c r="A599" i="1" s="1"/>
  <c r="R598" i="1"/>
  <c r="T598" i="1" s="1"/>
  <c r="N598" i="1"/>
  <c r="A598" i="1" a="1"/>
  <c r="A598" i="1" s="1"/>
  <c r="R597" i="1"/>
  <c r="T597" i="1" s="1"/>
  <c r="N597" i="1"/>
  <c r="A597" i="1" a="1"/>
  <c r="A597" i="1" s="1"/>
  <c r="AF596" i="1"/>
  <c r="X596" i="1" s="1"/>
  <c r="T596" i="1"/>
  <c r="R596" i="1"/>
  <c r="N596" i="1"/>
  <c r="A596" i="1" a="1"/>
  <c r="A596" i="1"/>
  <c r="AF596" i="1" s="1" a="1"/>
  <c r="R595" i="1"/>
  <c r="T595" i="1" s="1"/>
  <c r="N595" i="1"/>
  <c r="A595" i="1" a="1"/>
  <c r="A595" i="1" s="1"/>
  <c r="AG595" i="1" s="1" a="1"/>
  <c r="AG595" i="1" s="1"/>
  <c r="Y595" i="1" s="1"/>
  <c r="R594" i="1"/>
  <c r="T594" i="1" s="1"/>
  <c r="N594" i="1"/>
  <c r="A594" i="1" a="1"/>
  <c r="A594" i="1"/>
  <c r="AF594" i="1" s="1" a="1"/>
  <c r="AF594" i="1" s="1"/>
  <c r="X594" i="1" s="1"/>
  <c r="R593" i="1"/>
  <c r="T593" i="1" s="1"/>
  <c r="N593" i="1"/>
  <c r="A593" i="1" a="1"/>
  <c r="A593" i="1" s="1"/>
  <c r="T592" i="1"/>
  <c r="R592" i="1"/>
  <c r="N592" i="1"/>
  <c r="A592" i="1" a="1"/>
  <c r="A592" i="1" s="1"/>
  <c r="AG592" i="1" s="1" a="1"/>
  <c r="AG592" i="1" s="1"/>
  <c r="Y592" i="1" s="1"/>
  <c r="R591" i="1"/>
  <c r="T591" i="1" s="1"/>
  <c r="N591" i="1"/>
  <c r="A591" i="1" a="1"/>
  <c r="A591" i="1" s="1"/>
  <c r="AG591" i="1" s="1" a="1"/>
  <c r="AG591" i="1" s="1"/>
  <c r="Y591" i="1" s="1"/>
  <c r="AG590" i="1" a="1"/>
  <c r="AG590" i="1" s="1"/>
  <c r="Y590" i="1" s="1"/>
  <c r="AF590" i="1" a="1"/>
  <c r="AF590" i="1" s="1"/>
  <c r="X590" i="1" s="1"/>
  <c r="R590" i="1"/>
  <c r="T590" i="1" s="1"/>
  <c r="N590" i="1"/>
  <c r="A590" i="1" a="1"/>
  <c r="A590" i="1"/>
  <c r="T589" i="1"/>
  <c r="R589" i="1"/>
  <c r="N589" i="1"/>
  <c r="A589" i="1" a="1"/>
  <c r="A589" i="1" s="1"/>
  <c r="R588" i="1"/>
  <c r="T588" i="1" s="1"/>
  <c r="N588" i="1"/>
  <c r="A588" i="1" a="1"/>
  <c r="A588" i="1" s="1"/>
  <c r="R587" i="1"/>
  <c r="T587" i="1" s="1"/>
  <c r="N587" i="1"/>
  <c r="A587" i="1" a="1"/>
  <c r="A587" i="1" s="1"/>
  <c r="T586" i="1"/>
  <c r="R586" i="1"/>
  <c r="N586" i="1"/>
  <c r="A586" i="1" a="1"/>
  <c r="A586" i="1" s="1"/>
  <c r="AG586" i="1" s="1" a="1"/>
  <c r="AG586" i="1" s="1"/>
  <c r="Y586" i="1" s="1"/>
  <c r="T585" i="1"/>
  <c r="R585" i="1"/>
  <c r="N585" i="1"/>
  <c r="A585" i="1" a="1"/>
  <c r="A585" i="1" s="1"/>
  <c r="AG585" i="1" s="1" a="1"/>
  <c r="AG585" i="1" s="1"/>
  <c r="AG584" i="1"/>
  <c r="R584" i="1"/>
  <c r="T584" i="1" s="1"/>
  <c r="N584" i="1"/>
  <c r="A584" i="1" a="1"/>
  <c r="A584" i="1" s="1"/>
  <c r="AG584" i="1" s="1" a="1"/>
  <c r="R583" i="1"/>
  <c r="T583" i="1" s="1"/>
  <c r="N583" i="1"/>
  <c r="A583" i="1" a="1"/>
  <c r="A583" i="1" s="1"/>
  <c r="AG583" i="1" s="1" a="1"/>
  <c r="AG583" i="1" s="1"/>
  <c r="AB582" i="1"/>
  <c r="T582" i="1"/>
  <c r="R582" i="1"/>
  <c r="N582" i="1"/>
  <c r="A582" i="1" a="1"/>
  <c r="A582" i="1"/>
  <c r="AG582" i="1" s="1" a="1"/>
  <c r="AG582" i="1" s="1"/>
  <c r="R245" i="1"/>
  <c r="T245" i="1" s="1"/>
  <c r="N245" i="1"/>
  <c r="A245" i="1" a="1"/>
  <c r="A245" i="1"/>
  <c r="AG245" i="1" s="1" a="1"/>
  <c r="AG245" i="1" s="1"/>
  <c r="Y245" i="1" s="1"/>
  <c r="R223" i="1"/>
  <c r="T223" i="1" s="1"/>
  <c r="N223" i="1"/>
  <c r="A223" i="1" a="1"/>
  <c r="A223" i="1" s="1"/>
  <c r="AG223" i="1" s="1" a="1"/>
  <c r="AG223" i="1" s="1"/>
  <c r="Y223" i="1" s="1"/>
  <c r="R210" i="1"/>
  <c r="T210" i="1" s="1"/>
  <c r="N210" i="1"/>
  <c r="A210" i="1" a="1"/>
  <c r="A210" i="1" s="1"/>
  <c r="AG210" i="1" s="1" a="1"/>
  <c r="AG210" i="1" s="1"/>
  <c r="Y210" i="1" s="1"/>
  <c r="R1621" i="1"/>
  <c r="T1621" i="1" s="1"/>
  <c r="N1621" i="1"/>
  <c r="A1621" i="1" a="1"/>
  <c r="A1621" i="1" s="1"/>
  <c r="AG1621" i="1" s="1" a="1"/>
  <c r="AG1621" i="1" s="1"/>
  <c r="Y1621" i="1" s="1"/>
  <c r="T185" i="1"/>
  <c r="R185" i="1"/>
  <c r="N185" i="1"/>
  <c r="A185" i="1" a="1"/>
  <c r="A185" i="1" s="1"/>
  <c r="AG185" i="1" s="1" a="1"/>
  <c r="AG185" i="1" s="1"/>
  <c r="Y185" i="1" s="1"/>
  <c r="AB185" i="1" s="1"/>
  <c r="T207" i="1"/>
  <c r="R207" i="1"/>
  <c r="N207" i="1"/>
  <c r="A207" i="1" a="1"/>
  <c r="A207" i="1"/>
  <c r="R52" i="1"/>
  <c r="T52" i="1" s="1"/>
  <c r="N52" i="1"/>
  <c r="A52" i="1" a="1"/>
  <c r="A52" i="1" s="1"/>
  <c r="R1233" i="1"/>
  <c r="T1233" i="1" s="1"/>
  <c r="AA1233" i="1" s="1"/>
  <c r="N1233" i="1"/>
  <c r="A1233" i="1" a="1"/>
  <c r="A1233" i="1" s="1"/>
  <c r="R913" i="1"/>
  <c r="T913" i="1" s="1"/>
  <c r="N913" i="1"/>
  <c r="A913" i="1" a="1"/>
  <c r="A913" i="1" s="1"/>
  <c r="R574" i="1"/>
  <c r="T574" i="1" s="1"/>
  <c r="N574" i="1"/>
  <c r="A574" i="1" a="1"/>
  <c r="A574" i="1"/>
  <c r="AG574" i="1" s="1" a="1"/>
  <c r="AG574" i="1" s="1"/>
  <c r="Y574" i="1" s="1"/>
  <c r="R1232" i="1"/>
  <c r="T1232" i="1" s="1"/>
  <c r="N1232" i="1"/>
  <c r="A1232" i="1" a="1"/>
  <c r="A1232" i="1" s="1"/>
  <c r="AF943" i="1" a="1"/>
  <c r="AF943" i="1" s="1"/>
  <c r="R943" i="1"/>
  <c r="T943" i="1" s="1"/>
  <c r="N943" i="1"/>
  <c r="A943" i="1" a="1"/>
  <c r="A943" i="1" s="1"/>
  <c r="AG943" i="1" s="1" a="1"/>
  <c r="AG943" i="1" s="1"/>
  <c r="Y943" i="1" s="1"/>
  <c r="T569" i="1"/>
  <c r="R569" i="1"/>
  <c r="N569" i="1"/>
  <c r="A569" i="1" a="1"/>
  <c r="A569" i="1" s="1"/>
  <c r="AF569" i="1" s="1" a="1"/>
  <c r="AF569" i="1" s="1"/>
  <c r="X569" i="1" s="1"/>
  <c r="R568" i="1"/>
  <c r="T568" i="1" s="1"/>
  <c r="N568" i="1"/>
  <c r="A568" i="1" a="1"/>
  <c r="A568" i="1" s="1"/>
  <c r="AF567" i="1" a="1"/>
  <c r="AF567" i="1" s="1"/>
  <c r="X567" i="1" s="1"/>
  <c r="T567" i="1"/>
  <c r="R567" i="1"/>
  <c r="N567" i="1"/>
  <c r="A567" i="1" a="1"/>
  <c r="A567" i="1" s="1"/>
  <c r="AG567" i="1" s="1" a="1"/>
  <c r="AG567" i="1" s="1"/>
  <c r="Y567" i="1" s="1"/>
  <c r="R566" i="1"/>
  <c r="T566" i="1" s="1"/>
  <c r="N566" i="1"/>
  <c r="A566" i="1" a="1"/>
  <c r="A566" i="1" s="1"/>
  <c r="R565" i="1"/>
  <c r="T565" i="1" s="1"/>
  <c r="N565" i="1"/>
  <c r="A565" i="1" a="1"/>
  <c r="A565" i="1" s="1"/>
  <c r="R564" i="1"/>
  <c r="T564" i="1" s="1"/>
  <c r="N564" i="1"/>
  <c r="A564" i="1" a="1"/>
  <c r="A564" i="1" s="1"/>
  <c r="R563" i="1"/>
  <c r="T563" i="1" s="1"/>
  <c r="N563" i="1"/>
  <c r="A563" i="1" a="1"/>
  <c r="A563" i="1" s="1"/>
  <c r="R562" i="1"/>
  <c r="T562" i="1" s="1"/>
  <c r="N562" i="1"/>
  <c r="A562" i="1" a="1"/>
  <c r="A562" i="1" s="1"/>
  <c r="AF562" i="1" s="1" a="1"/>
  <c r="AF562" i="1" s="1"/>
  <c r="X562" i="1" s="1"/>
  <c r="T561" i="1"/>
  <c r="R561" i="1"/>
  <c r="N561" i="1"/>
  <c r="A561" i="1" a="1"/>
  <c r="A561" i="1" s="1"/>
  <c r="AG561" i="1" s="1" a="1"/>
  <c r="AG561" i="1" s="1"/>
  <c r="Y561" i="1" s="1"/>
  <c r="AB561" i="1" s="1"/>
  <c r="R560" i="1"/>
  <c r="T560" i="1" s="1"/>
  <c r="N560" i="1"/>
  <c r="A560" i="1" a="1"/>
  <c r="A560" i="1" s="1"/>
  <c r="AG560" i="1" s="1" a="1"/>
  <c r="AG560" i="1" s="1"/>
  <c r="Y560" i="1" s="1"/>
  <c r="R559" i="1"/>
  <c r="T559" i="1" s="1"/>
  <c r="N559" i="1"/>
  <c r="A559" i="1" a="1"/>
  <c r="A559" i="1" s="1"/>
  <c r="AF559" i="1" s="1" a="1"/>
  <c r="AF559" i="1" s="1"/>
  <c r="X559" i="1" s="1"/>
  <c r="T558" i="1"/>
  <c r="AA558" i="1" s="1"/>
  <c r="R558" i="1"/>
  <c r="N558" i="1"/>
  <c r="A558" i="1" a="1"/>
  <c r="A558" i="1" s="1"/>
  <c r="AG558" i="1" s="1" a="1"/>
  <c r="AG558" i="1" s="1"/>
  <c r="Y558" i="1" s="1"/>
  <c r="AA557" i="1"/>
  <c r="R557" i="1"/>
  <c r="T557" i="1" s="1"/>
  <c r="N557" i="1"/>
  <c r="A557" i="1" a="1"/>
  <c r="A557" i="1" s="1"/>
  <c r="AF556" i="1" a="1"/>
  <c r="AF556" i="1" s="1"/>
  <c r="R556" i="1"/>
  <c r="T556" i="1" s="1"/>
  <c r="N556" i="1"/>
  <c r="A556" i="1" a="1"/>
  <c r="A556" i="1"/>
  <c r="AG556" i="1" s="1" a="1"/>
  <c r="AG556" i="1" s="1"/>
  <c r="Y556" i="1" s="1"/>
  <c r="R555" i="1"/>
  <c r="T555" i="1" s="1"/>
  <c r="AA555" i="1" s="1"/>
  <c r="N555" i="1"/>
  <c r="A555" i="1" a="1"/>
  <c r="A555" i="1"/>
  <c r="AF555" i="1" s="1" a="1"/>
  <c r="AF555" i="1" s="1"/>
  <c r="T554" i="1"/>
  <c r="AA554" i="1" s="1"/>
  <c r="R554" i="1"/>
  <c r="N554" i="1"/>
  <c r="A554" i="1" a="1"/>
  <c r="A554" i="1" s="1"/>
  <c r="R553" i="1"/>
  <c r="T553" i="1" s="1"/>
  <c r="AA553" i="1" s="1"/>
  <c r="N553" i="1"/>
  <c r="A553" i="1" a="1"/>
  <c r="A553" i="1" s="1"/>
  <c r="R552" i="1"/>
  <c r="T552" i="1" s="1"/>
  <c r="N552" i="1"/>
  <c r="A552" i="1" a="1"/>
  <c r="A552" i="1" s="1"/>
  <c r="T551" i="1"/>
  <c r="R551" i="1"/>
  <c r="N551" i="1"/>
  <c r="A551" i="1" a="1"/>
  <c r="A551" i="1" s="1"/>
  <c r="R550" i="1"/>
  <c r="T550" i="1" s="1"/>
  <c r="N550" i="1"/>
  <c r="A550" i="1" a="1"/>
  <c r="A550" i="1"/>
  <c r="Y549" i="1"/>
  <c r="X549" i="1"/>
  <c r="T549" i="1"/>
  <c r="R549" i="1"/>
  <c r="N549" i="1"/>
  <c r="A549" i="1" a="1"/>
  <c r="A549" i="1" s="1"/>
  <c r="Y548" i="1"/>
  <c r="X548" i="1"/>
  <c r="R548" i="1"/>
  <c r="T548" i="1" s="1"/>
  <c r="N548" i="1"/>
  <c r="A548" i="1" a="1"/>
  <c r="A548" i="1" s="1"/>
  <c r="Y547" i="1"/>
  <c r="X547" i="1"/>
  <c r="R547" i="1"/>
  <c r="T547" i="1" s="1"/>
  <c r="N547" i="1"/>
  <c r="A547" i="1" a="1"/>
  <c r="A547" i="1" s="1"/>
  <c r="Y546" i="1"/>
  <c r="X546" i="1"/>
  <c r="R546" i="1"/>
  <c r="T546" i="1" s="1"/>
  <c r="AA546" i="1" s="1"/>
  <c r="N546" i="1"/>
  <c r="A546" i="1" a="1"/>
  <c r="A546" i="1" s="1"/>
  <c r="Y545" i="1"/>
  <c r="X545" i="1"/>
  <c r="R545" i="1"/>
  <c r="T545" i="1" s="1"/>
  <c r="AA545" i="1" s="1"/>
  <c r="N545" i="1"/>
  <c r="A545" i="1" a="1"/>
  <c r="A545" i="1"/>
  <c r="AB544" i="1"/>
  <c r="Y544" i="1"/>
  <c r="X544" i="1"/>
  <c r="AA544" i="1" s="1"/>
  <c r="T544" i="1"/>
  <c r="R544" i="1"/>
  <c r="N544" i="1"/>
  <c r="A544" i="1" a="1"/>
  <c r="A544" i="1" s="1"/>
  <c r="Y543" i="1"/>
  <c r="X543" i="1"/>
  <c r="R543" i="1"/>
  <c r="T543" i="1" s="1"/>
  <c r="N543" i="1"/>
  <c r="A543" i="1" a="1"/>
  <c r="A543" i="1" s="1"/>
  <c r="Y542" i="1"/>
  <c r="X542" i="1"/>
  <c r="R542" i="1"/>
  <c r="T542" i="1" s="1"/>
  <c r="N542" i="1"/>
  <c r="A542" i="1" a="1"/>
  <c r="A542" i="1" s="1"/>
  <c r="Y541" i="1"/>
  <c r="X541" i="1"/>
  <c r="R541" i="1"/>
  <c r="T541" i="1" s="1"/>
  <c r="N541" i="1"/>
  <c r="A541" i="1" a="1"/>
  <c r="A541" i="1" s="1"/>
  <c r="Y540" i="1"/>
  <c r="X540" i="1"/>
  <c r="T540" i="1"/>
  <c r="R540" i="1"/>
  <c r="N540" i="1"/>
  <c r="A540" i="1" a="1"/>
  <c r="A540" i="1" s="1"/>
  <c r="Y539" i="1"/>
  <c r="X539" i="1"/>
  <c r="R539" i="1"/>
  <c r="T539" i="1" s="1"/>
  <c r="N539" i="1"/>
  <c r="A539" i="1" a="1"/>
  <c r="A539" i="1" s="1"/>
  <c r="Y538" i="1"/>
  <c r="X538" i="1"/>
  <c r="T538" i="1"/>
  <c r="R538" i="1"/>
  <c r="N538" i="1"/>
  <c r="A538" i="1" a="1"/>
  <c r="A538" i="1"/>
  <c r="Y537" i="1"/>
  <c r="X537" i="1"/>
  <c r="T537" i="1"/>
  <c r="AB537" i="1" s="1"/>
  <c r="R537" i="1"/>
  <c r="N537" i="1"/>
  <c r="A537" i="1" a="1"/>
  <c r="A537" i="1" s="1"/>
  <c r="Y536" i="1"/>
  <c r="X536" i="1"/>
  <c r="R536" i="1"/>
  <c r="T536" i="1" s="1"/>
  <c r="N536" i="1"/>
  <c r="A536" i="1" a="1"/>
  <c r="A536" i="1" s="1"/>
  <c r="Y535" i="1"/>
  <c r="X535" i="1"/>
  <c r="T535" i="1"/>
  <c r="R535" i="1"/>
  <c r="N535" i="1"/>
  <c r="A535" i="1" a="1"/>
  <c r="A535" i="1"/>
  <c r="Y534" i="1"/>
  <c r="X534" i="1"/>
  <c r="R534" i="1"/>
  <c r="T534" i="1" s="1"/>
  <c r="AA534" i="1" s="1"/>
  <c r="N534" i="1"/>
  <c r="A534" i="1" a="1"/>
  <c r="A534" i="1"/>
  <c r="Y533" i="1"/>
  <c r="X533" i="1"/>
  <c r="R533" i="1"/>
  <c r="T533" i="1" s="1"/>
  <c r="N533" i="1"/>
  <c r="A533" i="1" a="1"/>
  <c r="A533" i="1" s="1"/>
  <c r="Y532" i="1"/>
  <c r="X532" i="1"/>
  <c r="R532" i="1"/>
  <c r="T532" i="1" s="1"/>
  <c r="AB532" i="1" s="1"/>
  <c r="N532" i="1"/>
  <c r="A532" i="1" a="1"/>
  <c r="A532" i="1"/>
  <c r="Y531" i="1"/>
  <c r="X531" i="1"/>
  <c r="R531" i="1"/>
  <c r="T531" i="1" s="1"/>
  <c r="N531" i="1"/>
  <c r="A531" i="1" a="1"/>
  <c r="A531" i="1" s="1"/>
  <c r="Y530" i="1"/>
  <c r="X530" i="1"/>
  <c r="T530" i="1"/>
  <c r="R530" i="1"/>
  <c r="N530" i="1"/>
  <c r="A530" i="1" a="1"/>
  <c r="A530" i="1" s="1"/>
  <c r="Y529" i="1"/>
  <c r="X529" i="1"/>
  <c r="R529" i="1"/>
  <c r="T529" i="1" s="1"/>
  <c r="AB529" i="1" s="1"/>
  <c r="N529" i="1"/>
  <c r="A529" i="1" a="1"/>
  <c r="A529" i="1"/>
  <c r="T528" i="1"/>
  <c r="AB528" i="1" s="1"/>
  <c r="R528" i="1"/>
  <c r="N528" i="1"/>
  <c r="A528" i="1" a="1"/>
  <c r="A528" i="1" s="1"/>
  <c r="Y527" i="1"/>
  <c r="X527" i="1"/>
  <c r="T527" i="1"/>
  <c r="R527" i="1"/>
  <c r="N527" i="1"/>
  <c r="A527" i="1" a="1"/>
  <c r="A527" i="1" s="1"/>
  <c r="Y526" i="1"/>
  <c r="X526" i="1"/>
  <c r="R526" i="1"/>
  <c r="T526" i="1" s="1"/>
  <c r="AB526" i="1" s="1"/>
  <c r="N526" i="1"/>
  <c r="A526" i="1" a="1"/>
  <c r="A526" i="1" s="1"/>
  <c r="Y525" i="1"/>
  <c r="X525" i="1"/>
  <c r="R525" i="1"/>
  <c r="T525" i="1" s="1"/>
  <c r="N525" i="1"/>
  <c r="A525" i="1" a="1"/>
  <c r="A525" i="1" s="1"/>
  <c r="Y524" i="1"/>
  <c r="X524" i="1"/>
  <c r="R524" i="1"/>
  <c r="T524" i="1" s="1"/>
  <c r="AB524" i="1" s="1"/>
  <c r="N524" i="1"/>
  <c r="A524" i="1" a="1"/>
  <c r="A524" i="1" s="1"/>
  <c r="Y523" i="1"/>
  <c r="X523" i="1"/>
  <c r="T523" i="1"/>
  <c r="R523" i="1"/>
  <c r="N523" i="1"/>
  <c r="A523" i="1" a="1"/>
  <c r="A523" i="1" s="1"/>
  <c r="Y522" i="1"/>
  <c r="X522" i="1"/>
  <c r="T522" i="1"/>
  <c r="R522" i="1"/>
  <c r="N522" i="1"/>
  <c r="A522" i="1" a="1"/>
  <c r="A522" i="1" s="1"/>
  <c r="Y521" i="1"/>
  <c r="X521" i="1"/>
  <c r="R521" i="1"/>
  <c r="T521" i="1" s="1"/>
  <c r="N521" i="1"/>
  <c r="A521" i="1" a="1"/>
  <c r="A521" i="1" s="1"/>
  <c r="Y520" i="1"/>
  <c r="X520" i="1"/>
  <c r="R520" i="1"/>
  <c r="T520" i="1" s="1"/>
  <c r="AA520" i="1" s="1"/>
  <c r="N520" i="1"/>
  <c r="A520" i="1" a="1"/>
  <c r="A520" i="1" s="1"/>
  <c r="Y519" i="1"/>
  <c r="X519" i="1"/>
  <c r="T519" i="1"/>
  <c r="R519" i="1"/>
  <c r="N519" i="1"/>
  <c r="A519" i="1" a="1"/>
  <c r="A519" i="1" s="1"/>
  <c r="Y518" i="1"/>
  <c r="AB518" i="1" s="1"/>
  <c r="X518" i="1"/>
  <c r="R518" i="1"/>
  <c r="T518" i="1" s="1"/>
  <c r="N518" i="1"/>
  <c r="A518" i="1" a="1"/>
  <c r="A518" i="1" s="1"/>
  <c r="Y517" i="1"/>
  <c r="X517" i="1"/>
  <c r="R517" i="1"/>
  <c r="T517" i="1" s="1"/>
  <c r="N517" i="1"/>
  <c r="A517" i="1" a="1"/>
  <c r="A517" i="1" s="1"/>
  <c r="Y516" i="1"/>
  <c r="X516" i="1"/>
  <c r="T516" i="1"/>
  <c r="AA516" i="1" s="1"/>
  <c r="R516" i="1"/>
  <c r="N516" i="1"/>
  <c r="A516" i="1" a="1"/>
  <c r="A516" i="1" s="1"/>
  <c r="Y515" i="1"/>
  <c r="X515" i="1"/>
  <c r="R515" i="1"/>
  <c r="T515" i="1" s="1"/>
  <c r="N515" i="1"/>
  <c r="A515" i="1" a="1"/>
  <c r="A515" i="1" s="1"/>
  <c r="Y514" i="1"/>
  <c r="X514" i="1"/>
  <c r="R514" i="1"/>
  <c r="T514" i="1" s="1"/>
  <c r="N514" i="1"/>
  <c r="A514" i="1" a="1"/>
  <c r="A514" i="1"/>
  <c r="Y513" i="1"/>
  <c r="X513" i="1"/>
  <c r="R513" i="1"/>
  <c r="T513" i="1" s="1"/>
  <c r="N513" i="1"/>
  <c r="A513" i="1" a="1"/>
  <c r="A513" i="1" s="1"/>
  <c r="Y512" i="1"/>
  <c r="X512" i="1"/>
  <c r="R512" i="1"/>
  <c r="T512" i="1" s="1"/>
  <c r="AB512" i="1" s="1"/>
  <c r="N512" i="1"/>
  <c r="A512" i="1" a="1"/>
  <c r="A512" i="1" s="1"/>
  <c r="Y511" i="1"/>
  <c r="X511" i="1"/>
  <c r="R511" i="1"/>
  <c r="T511" i="1" s="1"/>
  <c r="N511" i="1"/>
  <c r="A511" i="1" a="1"/>
  <c r="A511" i="1" s="1"/>
  <c r="Y510" i="1"/>
  <c r="X510" i="1"/>
  <c r="R510" i="1"/>
  <c r="T510" i="1" s="1"/>
  <c r="N510" i="1"/>
  <c r="A510" i="1" a="1"/>
  <c r="A510" i="1" s="1"/>
  <c r="Y509" i="1"/>
  <c r="X509" i="1"/>
  <c r="R509" i="1"/>
  <c r="T509" i="1" s="1"/>
  <c r="N509" i="1"/>
  <c r="A509" i="1" a="1"/>
  <c r="A509" i="1" s="1"/>
  <c r="Y508" i="1"/>
  <c r="X508" i="1"/>
  <c r="R508" i="1"/>
  <c r="T508" i="1" s="1"/>
  <c r="N508" i="1"/>
  <c r="A508" i="1" a="1"/>
  <c r="A508" i="1" s="1"/>
  <c r="Y507" i="1"/>
  <c r="X507" i="1"/>
  <c r="R507" i="1"/>
  <c r="T507" i="1" s="1"/>
  <c r="N507" i="1"/>
  <c r="A507" i="1" a="1"/>
  <c r="A507" i="1" s="1"/>
  <c r="Y506" i="1"/>
  <c r="AB506" i="1" s="1"/>
  <c r="X506" i="1"/>
  <c r="R506" i="1"/>
  <c r="T506" i="1" s="1"/>
  <c r="N506" i="1"/>
  <c r="A506" i="1" a="1"/>
  <c r="A506" i="1" s="1"/>
  <c r="Y505" i="1"/>
  <c r="X505" i="1"/>
  <c r="R505" i="1"/>
  <c r="T505" i="1" s="1"/>
  <c r="N505" i="1"/>
  <c r="A505" i="1" a="1"/>
  <c r="A505" i="1" s="1"/>
  <c r="Y504" i="1"/>
  <c r="X504" i="1"/>
  <c r="R504" i="1"/>
  <c r="T504" i="1" s="1"/>
  <c r="N504" i="1"/>
  <c r="A504" i="1" a="1"/>
  <c r="A504" i="1" s="1"/>
  <c r="Y503" i="1"/>
  <c r="X503" i="1"/>
  <c r="R503" i="1"/>
  <c r="T503" i="1" s="1"/>
  <c r="N503" i="1"/>
  <c r="A503" i="1" a="1"/>
  <c r="A503" i="1" s="1"/>
  <c r="Y502" i="1"/>
  <c r="X502" i="1"/>
  <c r="R502" i="1"/>
  <c r="T502" i="1" s="1"/>
  <c r="N502" i="1"/>
  <c r="A502" i="1" a="1"/>
  <c r="A502" i="1" s="1"/>
  <c r="Y501" i="1"/>
  <c r="X501" i="1"/>
  <c r="T501" i="1"/>
  <c r="AA501" i="1" s="1"/>
  <c r="R501" i="1"/>
  <c r="N501" i="1"/>
  <c r="A501" i="1" a="1"/>
  <c r="A501" i="1" s="1"/>
  <c r="Y500" i="1"/>
  <c r="X500" i="1"/>
  <c r="R500" i="1"/>
  <c r="T500" i="1" s="1"/>
  <c r="AB500" i="1" s="1"/>
  <c r="N500" i="1"/>
  <c r="A500" i="1" a="1"/>
  <c r="A500" i="1" s="1"/>
  <c r="R499" i="1"/>
  <c r="T499" i="1" s="1"/>
  <c r="N499" i="1"/>
  <c r="A499" i="1" a="1"/>
  <c r="A499" i="1" s="1"/>
  <c r="R498" i="1"/>
  <c r="T498" i="1" s="1"/>
  <c r="N498" i="1"/>
  <c r="A498" i="1" a="1"/>
  <c r="A498" i="1" s="1"/>
  <c r="R497" i="1"/>
  <c r="T497" i="1" s="1"/>
  <c r="N497" i="1"/>
  <c r="A497" i="1" a="1"/>
  <c r="A497" i="1" s="1"/>
  <c r="T496" i="1"/>
  <c r="AA496" i="1" s="1"/>
  <c r="R496" i="1"/>
  <c r="N496" i="1"/>
  <c r="A496" i="1" a="1"/>
  <c r="A496" i="1"/>
  <c r="AG496" i="1" s="1" a="1"/>
  <c r="AG496" i="1" s="1"/>
  <c r="Y496" i="1" s="1"/>
  <c r="R495" i="1"/>
  <c r="T495" i="1" s="1"/>
  <c r="N495" i="1"/>
  <c r="A495" i="1" a="1"/>
  <c r="A495" i="1" s="1"/>
  <c r="AG495" i="1" s="1" a="1"/>
  <c r="AG495" i="1" s="1"/>
  <c r="Y495" i="1" s="1"/>
  <c r="T494" i="1"/>
  <c r="R494" i="1"/>
  <c r="N494" i="1"/>
  <c r="A494" i="1" a="1"/>
  <c r="A494" i="1" s="1"/>
  <c r="R493" i="1"/>
  <c r="T493" i="1" s="1"/>
  <c r="N493" i="1"/>
  <c r="A493" i="1" a="1"/>
  <c r="A493" i="1" s="1"/>
  <c r="AG493" i="1" s="1" a="1"/>
  <c r="AG493" i="1" s="1"/>
  <c r="Y493" i="1" s="1"/>
  <c r="R492" i="1"/>
  <c r="T492" i="1" s="1"/>
  <c r="N492" i="1"/>
  <c r="A492" i="1" a="1"/>
  <c r="A492" i="1" s="1"/>
  <c r="T491" i="1"/>
  <c r="R491" i="1"/>
  <c r="N491" i="1"/>
  <c r="A491" i="1" a="1"/>
  <c r="A491" i="1" s="1"/>
  <c r="AF491" i="1" s="1" a="1"/>
  <c r="AF491" i="1" s="1"/>
  <c r="T490" i="1"/>
  <c r="R490" i="1"/>
  <c r="N490" i="1"/>
  <c r="A490" i="1" a="1"/>
  <c r="A490" i="1" s="1"/>
  <c r="R489" i="1"/>
  <c r="T489" i="1" s="1"/>
  <c r="AA489" i="1" s="1"/>
  <c r="N489" i="1"/>
  <c r="A489" i="1" a="1"/>
  <c r="A489" i="1" s="1"/>
  <c r="R488" i="1"/>
  <c r="T488" i="1" s="1"/>
  <c r="N488" i="1"/>
  <c r="A488" i="1" a="1"/>
  <c r="A488" i="1"/>
  <c r="AG488" i="1" s="1" a="1"/>
  <c r="AG488" i="1" s="1"/>
  <c r="Y488" i="1" s="1"/>
  <c r="R487" i="1"/>
  <c r="T487" i="1" s="1"/>
  <c r="N487" i="1"/>
  <c r="A487" i="1" a="1"/>
  <c r="A487" i="1" s="1"/>
  <c r="R486" i="1"/>
  <c r="T486" i="1" s="1"/>
  <c r="AA486" i="1" s="1"/>
  <c r="N486" i="1"/>
  <c r="A486" i="1" a="1"/>
  <c r="A486" i="1" s="1"/>
  <c r="AG486" i="1" s="1" a="1"/>
  <c r="AG486" i="1" s="1"/>
  <c r="Y486" i="1" s="1"/>
  <c r="T1231" i="1"/>
  <c r="R1231" i="1"/>
  <c r="N1231" i="1"/>
  <c r="A1231" i="1" a="1"/>
  <c r="A1231" i="1"/>
  <c r="AG1231" i="1" s="1" a="1"/>
  <c r="AG1231" i="1" s="1"/>
  <c r="Y1231" i="1" s="1"/>
  <c r="R484" i="1"/>
  <c r="T484" i="1" s="1"/>
  <c r="N484" i="1"/>
  <c r="A484" i="1" a="1"/>
  <c r="A484" i="1" s="1"/>
  <c r="AF483" i="1" a="1"/>
  <c r="AF483" i="1" s="1"/>
  <c r="X483" i="1" s="1"/>
  <c r="R483" i="1"/>
  <c r="T483" i="1" s="1"/>
  <c r="N483" i="1"/>
  <c r="A483" i="1" a="1"/>
  <c r="A483" i="1"/>
  <c r="AG483" i="1" s="1" a="1"/>
  <c r="AG483" i="1" s="1"/>
  <c r="Y483" i="1" s="1"/>
  <c r="R482" i="1"/>
  <c r="T482" i="1" s="1"/>
  <c r="N482" i="1"/>
  <c r="A482" i="1" a="1"/>
  <c r="A482" i="1" s="1"/>
  <c r="R481" i="1"/>
  <c r="T481" i="1" s="1"/>
  <c r="N481" i="1"/>
  <c r="A481" i="1" a="1"/>
  <c r="A481" i="1" s="1"/>
  <c r="AG481" i="1" s="1" a="1"/>
  <c r="AG481" i="1" s="1"/>
  <c r="Y481" i="1" s="1"/>
  <c r="R942" i="1"/>
  <c r="T942" i="1" s="1"/>
  <c r="N942" i="1"/>
  <c r="A942" i="1" a="1"/>
  <c r="A942" i="1" s="1"/>
  <c r="AG942" i="1" s="1" a="1"/>
  <c r="AG942" i="1" s="1"/>
  <c r="Y942" i="1" s="1"/>
  <c r="AB942" i="1" s="1"/>
  <c r="AG236" i="1" a="1"/>
  <c r="AG236" i="1" s="1"/>
  <c r="Y236" i="1" s="1"/>
  <c r="AF236" i="1" a="1"/>
  <c r="AF236" i="1" s="1"/>
  <c r="R236" i="1"/>
  <c r="T236" i="1" s="1"/>
  <c r="N236" i="1"/>
  <c r="AG235" i="1" a="1"/>
  <c r="AG235" i="1" s="1"/>
  <c r="AF235" i="1" a="1"/>
  <c r="AF235" i="1" s="1"/>
  <c r="Y235" i="1"/>
  <c r="R235" i="1"/>
  <c r="T235" i="1" s="1"/>
  <c r="AA235" i="1" s="1"/>
  <c r="N235" i="1"/>
  <c r="AG222" i="1" a="1"/>
  <c r="AG222" i="1" s="1"/>
  <c r="Y222" i="1" s="1"/>
  <c r="AF222" i="1" a="1"/>
  <c r="AF222" i="1"/>
  <c r="T222" i="1"/>
  <c r="R222" i="1"/>
  <c r="N222" i="1"/>
  <c r="AD1617" i="1"/>
  <c r="T1617" i="1" s="1"/>
  <c r="R1617" i="1"/>
  <c r="N1617" i="1"/>
  <c r="A1617" i="1" a="1"/>
  <c r="A1617" i="1" s="1"/>
  <c r="R475" i="1"/>
  <c r="T475" i="1" s="1"/>
  <c r="N475" i="1"/>
  <c r="A475" i="1" a="1"/>
  <c r="A475" i="1" s="1"/>
  <c r="AD1475" i="1"/>
  <c r="R1475" i="1"/>
  <c r="N1475" i="1"/>
  <c r="A1475" i="1" a="1"/>
  <c r="A1475" i="1" s="1"/>
  <c r="AD1602" i="1"/>
  <c r="S1602" i="1"/>
  <c r="R1602" i="1"/>
  <c r="N1602" i="1"/>
  <c r="M1602" i="1"/>
  <c r="A1602" i="1" a="1"/>
  <c r="A1602" i="1" s="1"/>
  <c r="AD1558" i="1"/>
  <c r="R1558" i="1"/>
  <c r="N1558" i="1"/>
  <c r="A1558" i="1" a="1"/>
  <c r="A1558" i="1" s="1"/>
  <c r="AG1558" i="1" s="1" a="1"/>
  <c r="AG1558" i="1" s="1"/>
  <c r="Y1558" i="1" s="1"/>
  <c r="AD1474" i="1"/>
  <c r="T1474" i="1" s="1"/>
  <c r="R1474" i="1"/>
  <c r="N1474" i="1"/>
  <c r="A1474" i="1" a="1"/>
  <c r="A1474" i="1" s="1"/>
  <c r="AD1473" i="1"/>
  <c r="T1473" i="1" s="1"/>
  <c r="S1473" i="1"/>
  <c r="R1473" i="1"/>
  <c r="N1473" i="1"/>
  <c r="A1473" i="1" a="1"/>
  <c r="A1473" i="1" s="1"/>
  <c r="T1230" i="1"/>
  <c r="R1230" i="1"/>
  <c r="N1230" i="1"/>
  <c r="A1230" i="1" a="1"/>
  <c r="A1230" i="1" s="1"/>
  <c r="R941" i="1"/>
  <c r="T941" i="1" s="1"/>
  <c r="N941" i="1"/>
  <c r="A941" i="1" a="1"/>
  <c r="A941" i="1" s="1"/>
  <c r="AG941" i="1" s="1" a="1"/>
  <c r="AG941" i="1" s="1"/>
  <c r="Y941" i="1" s="1"/>
  <c r="T912" i="1"/>
  <c r="R912" i="1"/>
  <c r="N912" i="1"/>
  <c r="A912" i="1" a="1"/>
  <c r="A912" i="1"/>
  <c r="AF912" i="1" s="1" a="1"/>
  <c r="AF912" i="1" s="1"/>
  <c r="X912" i="1" s="1"/>
  <c r="R573" i="1"/>
  <c r="T573" i="1" s="1"/>
  <c r="N573" i="1"/>
  <c r="A573" i="1" a="1"/>
  <c r="A573" i="1" s="1"/>
  <c r="AF573" i="1" s="1" a="1"/>
  <c r="AF573" i="1" s="1"/>
  <c r="X573" i="1" s="1"/>
  <c r="R471" i="1"/>
  <c r="T471" i="1" s="1"/>
  <c r="N471" i="1"/>
  <c r="A471" i="1" a="1"/>
  <c r="A471" i="1" s="1"/>
  <c r="T458" i="1"/>
  <c r="R458" i="1"/>
  <c r="N458" i="1"/>
  <c r="A458" i="1" a="1"/>
  <c r="A458" i="1" s="1"/>
  <c r="AG458" i="1" s="1" a="1"/>
  <c r="AG458" i="1" s="1"/>
  <c r="Y458" i="1" s="1"/>
  <c r="R444" i="1"/>
  <c r="T444" i="1" s="1"/>
  <c r="N444" i="1"/>
  <c r="A444" i="1" a="1"/>
  <c r="A444" i="1" s="1"/>
  <c r="R436" i="1"/>
  <c r="T436" i="1" s="1"/>
  <c r="N436" i="1"/>
  <c r="A436" i="1" a="1"/>
  <c r="A436" i="1" s="1"/>
  <c r="AG234" i="1" a="1"/>
  <c r="AG234" i="1"/>
  <c r="Y234" i="1" s="1"/>
  <c r="AF234" i="1" a="1"/>
  <c r="AF234" i="1" s="1"/>
  <c r="R234" i="1"/>
  <c r="T234" i="1" s="1"/>
  <c r="N234" i="1"/>
  <c r="R1229" i="1"/>
  <c r="T1229" i="1" s="1"/>
  <c r="N1229" i="1"/>
  <c r="A1229" i="1" a="1"/>
  <c r="A1229" i="1" s="1"/>
  <c r="T1227" i="1"/>
  <c r="R1227" i="1"/>
  <c r="N1227" i="1"/>
  <c r="A1227" i="1" a="1"/>
  <c r="A1227" i="1"/>
  <c r="AF1227" i="1" s="1" a="1"/>
  <c r="AF1227" i="1" s="1"/>
  <c r="X1227" i="1" s="1"/>
  <c r="R457" i="1"/>
  <c r="T457" i="1" s="1"/>
  <c r="N457" i="1"/>
  <c r="A457" i="1" a="1"/>
  <c r="A457" i="1" s="1"/>
  <c r="AF457" i="1" s="1" a="1"/>
  <c r="AF457" i="1" s="1"/>
  <c r="X457" i="1" s="1"/>
  <c r="R911" i="1"/>
  <c r="T911" i="1" s="1"/>
  <c r="AA911" i="1" s="1"/>
  <c r="N911" i="1"/>
  <c r="A911" i="1" a="1"/>
  <c r="A911" i="1" s="1"/>
  <c r="R572" i="1"/>
  <c r="T572" i="1" s="1"/>
  <c r="N572" i="1"/>
  <c r="A572" i="1" a="1"/>
  <c r="A572" i="1"/>
  <c r="AG1226" i="1" a="1"/>
  <c r="AG1226" i="1" s="1"/>
  <c r="Y1226" i="1" s="1"/>
  <c r="R1226" i="1"/>
  <c r="T1226" i="1" s="1"/>
  <c r="N1226" i="1"/>
  <c r="A1226" i="1" a="1"/>
  <c r="A1226" i="1" s="1"/>
  <c r="AF1226" i="1" s="1" a="1"/>
  <c r="AF1226" i="1" s="1"/>
  <c r="X1226" i="1" s="1"/>
  <c r="R940" i="1"/>
  <c r="T940" i="1" s="1"/>
  <c r="N940" i="1"/>
  <c r="A940" i="1" a="1"/>
  <c r="A940" i="1" s="1"/>
  <c r="R571" i="1"/>
  <c r="T571" i="1" s="1"/>
  <c r="N571" i="1"/>
  <c r="A571" i="1" a="1"/>
  <c r="A571" i="1" s="1"/>
  <c r="R470" i="1"/>
  <c r="T470" i="1" s="1"/>
  <c r="N470" i="1"/>
  <c r="A470" i="1" a="1"/>
  <c r="A470" i="1" s="1"/>
  <c r="AF470" i="1" s="1" a="1"/>
  <c r="AF470" i="1" s="1"/>
  <c r="R456" i="1"/>
  <c r="T456" i="1" s="1"/>
  <c r="N456" i="1"/>
  <c r="A456" i="1" a="1"/>
  <c r="A456" i="1" s="1"/>
  <c r="T443" i="1"/>
  <c r="R443" i="1"/>
  <c r="N443" i="1"/>
  <c r="A443" i="1" a="1"/>
  <c r="A443" i="1" s="1"/>
  <c r="R469" i="1"/>
  <c r="T469" i="1" s="1"/>
  <c r="N469" i="1"/>
  <c r="A469" i="1" a="1"/>
  <c r="A469" i="1" s="1"/>
  <c r="R455" i="1"/>
  <c r="T455" i="1" s="1"/>
  <c r="N455" i="1"/>
  <c r="A455" i="1" a="1"/>
  <c r="A455" i="1" s="1"/>
  <c r="T442" i="1"/>
  <c r="R442" i="1"/>
  <c r="N442" i="1"/>
  <c r="A442" i="1" a="1"/>
  <c r="A442" i="1" s="1"/>
  <c r="R435" i="1"/>
  <c r="T435" i="1" s="1"/>
  <c r="N435" i="1"/>
  <c r="A435" i="1" a="1"/>
  <c r="A435" i="1" s="1"/>
  <c r="R939" i="1"/>
  <c r="T939" i="1" s="1"/>
  <c r="N939" i="1"/>
  <c r="A939" i="1" a="1"/>
  <c r="A939" i="1" s="1"/>
  <c r="T910" i="1"/>
  <c r="R910" i="1"/>
  <c r="N910" i="1"/>
  <c r="A910" i="1" a="1"/>
  <c r="A910" i="1" s="1"/>
  <c r="R570" i="1"/>
  <c r="T570" i="1" s="1"/>
  <c r="N570" i="1"/>
  <c r="A570" i="1" a="1"/>
  <c r="A570" i="1" s="1"/>
  <c r="AD1469" i="1"/>
  <c r="T1469" i="1"/>
  <c r="R1469" i="1"/>
  <c r="N1469" i="1"/>
  <c r="A1469" i="1" a="1"/>
  <c r="A1469" i="1" s="1"/>
  <c r="AD1468" i="1"/>
  <c r="R1468" i="1"/>
  <c r="N1468" i="1"/>
  <c r="A1468" i="1" a="1"/>
  <c r="A1468" i="1" s="1"/>
  <c r="T581" i="1"/>
  <c r="R581" i="1"/>
  <c r="N581" i="1"/>
  <c r="A581" i="1" a="1"/>
  <c r="A581" i="1"/>
  <c r="AF581" i="1" s="1" a="1"/>
  <c r="AF581" i="1" s="1"/>
  <c r="AG485" i="1" a="1"/>
  <c r="AG485" i="1"/>
  <c r="Y485" i="1" s="1"/>
  <c r="T485" i="1"/>
  <c r="R485" i="1"/>
  <c r="N485" i="1"/>
  <c r="A485" i="1" a="1"/>
  <c r="A485" i="1"/>
  <c r="AF485" i="1" s="1" a="1"/>
  <c r="AF485" i="1" s="1"/>
  <c r="R1225" i="1"/>
  <c r="T1225" i="1" s="1"/>
  <c r="N1225" i="1"/>
  <c r="A1225" i="1" a="1"/>
  <c r="A1225" i="1" s="1"/>
  <c r="R935" i="1"/>
  <c r="T935" i="1" s="1"/>
  <c r="N935" i="1"/>
  <c r="A935" i="1" a="1"/>
  <c r="A935" i="1" s="1"/>
  <c r="R480" i="1"/>
  <c r="T480" i="1" s="1"/>
  <c r="N480" i="1"/>
  <c r="A480" i="1" a="1"/>
  <c r="A480" i="1" s="1"/>
  <c r="AG480" i="1" s="1" a="1"/>
  <c r="AG480" i="1" s="1"/>
  <c r="Y480" i="1" s="1"/>
  <c r="T953" i="1"/>
  <c r="R953" i="1"/>
  <c r="N953" i="1"/>
  <c r="A953" i="1" a="1"/>
  <c r="A953" i="1"/>
  <c r="R934" i="1"/>
  <c r="T934" i="1" s="1"/>
  <c r="N934" i="1"/>
  <c r="A934" i="1" a="1"/>
  <c r="A934" i="1" s="1"/>
  <c r="R479" i="1"/>
  <c r="T479" i="1" s="1"/>
  <c r="N479" i="1"/>
  <c r="A479" i="1" a="1"/>
  <c r="A479" i="1" s="1"/>
  <c r="AG434" i="1" a="1"/>
  <c r="AG434" i="1" s="1"/>
  <c r="AF434" i="1" a="1"/>
  <c r="AF434" i="1"/>
  <c r="Y434" i="1"/>
  <c r="T434" i="1"/>
  <c r="R434" i="1"/>
  <c r="N434" i="1"/>
  <c r="AG231" i="1" a="1"/>
  <c r="AG231" i="1"/>
  <c r="Y231" i="1" s="1"/>
  <c r="AF231" i="1" a="1"/>
  <c r="AF231" i="1" s="1"/>
  <c r="R231" i="1"/>
  <c r="T231" i="1" s="1"/>
  <c r="AA231" i="1" s="1"/>
  <c r="N231" i="1"/>
  <c r="R468" i="1"/>
  <c r="T468" i="1" s="1"/>
  <c r="N468" i="1"/>
  <c r="A468" i="1" a="1"/>
  <c r="A468" i="1" s="1"/>
  <c r="R429" i="1"/>
  <c r="T429" i="1" s="1"/>
  <c r="N429" i="1"/>
  <c r="A429" i="1" a="1"/>
  <c r="A429" i="1" s="1"/>
  <c r="R428" i="1"/>
  <c r="T428" i="1" s="1"/>
  <c r="N428" i="1"/>
  <c r="A428" i="1" a="1"/>
  <c r="A428" i="1" s="1"/>
  <c r="R427" i="1"/>
  <c r="T427" i="1" s="1"/>
  <c r="N427" i="1"/>
  <c r="A427" i="1" a="1"/>
  <c r="A427" i="1" s="1"/>
  <c r="R426" i="1"/>
  <c r="T426" i="1" s="1"/>
  <c r="N426" i="1"/>
  <c r="A426" i="1" a="1"/>
  <c r="A426" i="1" s="1"/>
  <c r="R425" i="1"/>
  <c r="T425" i="1" s="1"/>
  <c r="N425" i="1"/>
  <c r="A425" i="1" a="1"/>
  <c r="A425" i="1" s="1"/>
  <c r="R424" i="1"/>
  <c r="T424" i="1" s="1"/>
  <c r="N424" i="1"/>
  <c r="A424" i="1" a="1"/>
  <c r="A424" i="1" s="1"/>
  <c r="R423" i="1"/>
  <c r="T423" i="1" s="1"/>
  <c r="N423" i="1"/>
  <c r="A423" i="1" a="1"/>
  <c r="A423" i="1" s="1"/>
  <c r="R422" i="1"/>
  <c r="T422" i="1" s="1"/>
  <c r="N422" i="1"/>
  <c r="A422" i="1" a="1"/>
  <c r="A422" i="1" s="1"/>
  <c r="R421" i="1"/>
  <c r="T421" i="1" s="1"/>
  <c r="N421" i="1"/>
  <c r="A421" i="1" a="1"/>
  <c r="A421" i="1" s="1"/>
  <c r="R420" i="1"/>
  <c r="T420" i="1" s="1"/>
  <c r="N420" i="1"/>
  <c r="A420" i="1" a="1"/>
  <c r="A420" i="1"/>
  <c r="AG420" i="1" s="1" a="1"/>
  <c r="AG420" i="1" s="1"/>
  <c r="Y420" i="1" s="1"/>
  <c r="AG419" i="1" a="1"/>
  <c r="AG419" i="1" s="1"/>
  <c r="Y419" i="1" s="1"/>
  <c r="AF419" i="1"/>
  <c r="X419" i="1"/>
  <c r="R419" i="1"/>
  <c r="T419" i="1" s="1"/>
  <c r="N419" i="1"/>
  <c r="A419" i="1" a="1"/>
  <c r="A419" i="1" s="1"/>
  <c r="AF419" i="1" s="1" a="1"/>
  <c r="R418" i="1"/>
  <c r="T418" i="1" s="1"/>
  <c r="N418" i="1"/>
  <c r="A418" i="1" a="1"/>
  <c r="A418" i="1"/>
  <c r="R417" i="1"/>
  <c r="T417" i="1" s="1"/>
  <c r="N417" i="1"/>
  <c r="A417" i="1" a="1"/>
  <c r="A417" i="1" s="1"/>
  <c r="R416" i="1"/>
  <c r="T416" i="1" s="1"/>
  <c r="N416" i="1"/>
  <c r="A416" i="1" a="1"/>
  <c r="A416" i="1" s="1"/>
  <c r="AG416" i="1" s="1" a="1"/>
  <c r="AG416" i="1" s="1"/>
  <c r="Y416" i="1" s="1"/>
  <c r="AG415" i="1" a="1"/>
  <c r="AG415" i="1" s="1"/>
  <c r="Y415" i="1" s="1"/>
  <c r="R415" i="1"/>
  <c r="T415" i="1" s="1"/>
  <c r="N415" i="1"/>
  <c r="A415" i="1" a="1"/>
  <c r="A415" i="1" s="1"/>
  <c r="AF415" i="1" s="1" a="1"/>
  <c r="AF415" i="1" s="1"/>
  <c r="X415" i="1" s="1"/>
  <c r="R414" i="1"/>
  <c r="T414" i="1" s="1"/>
  <c r="N414" i="1"/>
  <c r="A414" i="1" a="1"/>
  <c r="A414" i="1"/>
  <c r="R413" i="1"/>
  <c r="T413" i="1" s="1"/>
  <c r="N413" i="1"/>
  <c r="A413" i="1" a="1"/>
  <c r="A413" i="1" s="1"/>
  <c r="AF413" i="1" s="1" a="1"/>
  <c r="AF413" i="1" s="1"/>
  <c r="X413" i="1" s="1"/>
  <c r="R412" i="1"/>
  <c r="T412" i="1" s="1"/>
  <c r="N412" i="1"/>
  <c r="A412" i="1" a="1"/>
  <c r="A412" i="1"/>
  <c r="R411" i="1"/>
  <c r="T411" i="1" s="1"/>
  <c r="N411" i="1"/>
  <c r="A411" i="1" a="1"/>
  <c r="A411" i="1" s="1"/>
  <c r="AG411" i="1" s="1" a="1"/>
  <c r="AG411" i="1" s="1"/>
  <c r="Y411" i="1" s="1"/>
  <c r="AB411" i="1" s="1"/>
  <c r="T410" i="1"/>
  <c r="R410" i="1"/>
  <c r="N410" i="1"/>
  <c r="A410" i="1" a="1"/>
  <c r="A410" i="1" s="1"/>
  <c r="R409" i="1"/>
  <c r="T409" i="1" s="1"/>
  <c r="N409" i="1"/>
  <c r="A409" i="1" a="1"/>
  <c r="A409" i="1" s="1"/>
  <c r="AG409" i="1" s="1" a="1"/>
  <c r="AG409" i="1" s="1"/>
  <c r="Y409" i="1" s="1"/>
  <c r="R408" i="1"/>
  <c r="T408" i="1" s="1"/>
  <c r="N408" i="1"/>
  <c r="A408" i="1" a="1"/>
  <c r="A408" i="1" s="1"/>
  <c r="AG408" i="1" s="1" a="1"/>
  <c r="AG408" i="1" s="1"/>
  <c r="Y408" i="1" s="1"/>
  <c r="R407" i="1"/>
  <c r="T407" i="1" s="1"/>
  <c r="N407" i="1"/>
  <c r="A407" i="1" a="1"/>
  <c r="A407" i="1" s="1"/>
  <c r="R406" i="1"/>
  <c r="T406" i="1" s="1"/>
  <c r="N406" i="1"/>
  <c r="A406" i="1" a="1"/>
  <c r="A406" i="1" s="1"/>
  <c r="Y405" i="1"/>
  <c r="R405" i="1"/>
  <c r="T405" i="1" s="1"/>
  <c r="N405" i="1"/>
  <c r="A405" i="1" a="1"/>
  <c r="A405" i="1" s="1"/>
  <c r="AG405" i="1" s="1" a="1"/>
  <c r="AG405" i="1" s="1"/>
  <c r="AG404" i="1" a="1"/>
  <c r="AG404" i="1" s="1"/>
  <c r="Y404" i="1" s="1"/>
  <c r="R404" i="1"/>
  <c r="T404" i="1" s="1"/>
  <c r="N404" i="1"/>
  <c r="A404" i="1" a="1"/>
  <c r="A404" i="1" s="1"/>
  <c r="AF404" i="1" s="1" a="1"/>
  <c r="AF404" i="1" s="1"/>
  <c r="X404" i="1" s="1"/>
  <c r="R403" i="1"/>
  <c r="T403" i="1" s="1"/>
  <c r="N403" i="1"/>
  <c r="A403" i="1" a="1"/>
  <c r="A403" i="1" s="1"/>
  <c r="AG403" i="1" s="1" a="1"/>
  <c r="AG403" i="1" s="1"/>
  <c r="Y403" i="1" s="1"/>
  <c r="AB403" i="1" s="1"/>
  <c r="R402" i="1"/>
  <c r="T402" i="1" s="1"/>
  <c r="N402" i="1"/>
  <c r="A402" i="1" a="1"/>
  <c r="A402" i="1" s="1"/>
  <c r="AF402" i="1" s="1" a="1"/>
  <c r="AF402" i="1" s="1"/>
  <c r="X402" i="1" s="1"/>
  <c r="R401" i="1"/>
  <c r="T401" i="1" s="1"/>
  <c r="N401" i="1"/>
  <c r="A401" i="1" a="1"/>
  <c r="A401" i="1" s="1"/>
  <c r="AF401" i="1" s="1" a="1"/>
  <c r="AF401" i="1" s="1"/>
  <c r="X401" i="1" s="1"/>
  <c r="T400" i="1"/>
  <c r="R400" i="1"/>
  <c r="N400" i="1"/>
  <c r="A400" i="1" a="1"/>
  <c r="A400" i="1" s="1"/>
  <c r="R399" i="1"/>
  <c r="T399" i="1" s="1"/>
  <c r="N399" i="1"/>
  <c r="A399" i="1" a="1"/>
  <c r="A399" i="1"/>
  <c r="R398" i="1"/>
  <c r="T398" i="1" s="1"/>
  <c r="N398" i="1"/>
  <c r="A398" i="1" a="1"/>
  <c r="A398" i="1" s="1"/>
  <c r="AG398" i="1" s="1" a="1"/>
  <c r="AG398" i="1" s="1"/>
  <c r="Y398" i="1" s="1"/>
  <c r="R397" i="1"/>
  <c r="T397" i="1" s="1"/>
  <c r="N397" i="1"/>
  <c r="A397" i="1" a="1"/>
  <c r="A397" i="1" s="1"/>
  <c r="AG396" i="1" a="1"/>
  <c r="AG396" i="1" s="1"/>
  <c r="Y396" i="1" s="1"/>
  <c r="AF396" i="1" a="1"/>
  <c r="AF396" i="1" s="1"/>
  <c r="X396" i="1" s="1"/>
  <c r="R396" i="1"/>
  <c r="T396" i="1" s="1"/>
  <c r="N396" i="1"/>
  <c r="A396" i="1" a="1"/>
  <c r="A396" i="1" s="1"/>
  <c r="R395" i="1"/>
  <c r="T395" i="1" s="1"/>
  <c r="N395" i="1"/>
  <c r="A395" i="1" a="1"/>
  <c r="A395" i="1" s="1"/>
  <c r="X394" i="1"/>
  <c r="R394" i="1"/>
  <c r="T394" i="1" s="1"/>
  <c r="N394" i="1"/>
  <c r="A394" i="1" a="1"/>
  <c r="A394" i="1" s="1"/>
  <c r="AF394" i="1" s="1" a="1"/>
  <c r="AF394" i="1" s="1"/>
  <c r="R393" i="1"/>
  <c r="T393" i="1" s="1"/>
  <c r="N393" i="1"/>
  <c r="A393" i="1" a="1"/>
  <c r="A393" i="1"/>
  <c r="R392" i="1"/>
  <c r="T392" i="1" s="1"/>
  <c r="N392" i="1"/>
  <c r="A392" i="1" a="1"/>
  <c r="A392" i="1" s="1"/>
  <c r="AG392" i="1" s="1" a="1"/>
  <c r="AG392" i="1" s="1"/>
  <c r="Y392" i="1" s="1"/>
  <c r="AB392" i="1" s="1"/>
  <c r="R391" i="1"/>
  <c r="T391" i="1" s="1"/>
  <c r="N391" i="1"/>
  <c r="A391" i="1" a="1"/>
  <c r="A391" i="1" s="1"/>
  <c r="AG391" i="1" s="1" a="1"/>
  <c r="AG391" i="1" s="1"/>
  <c r="Y391" i="1" s="1"/>
  <c r="R390" i="1"/>
  <c r="T390" i="1" s="1"/>
  <c r="N390" i="1"/>
  <c r="A390" i="1" a="1"/>
  <c r="A390" i="1" s="1"/>
  <c r="AG390" i="1" s="1" a="1"/>
  <c r="AG390" i="1" s="1"/>
  <c r="Y390" i="1" s="1"/>
  <c r="R389" i="1"/>
  <c r="T389" i="1" s="1"/>
  <c r="N389" i="1"/>
  <c r="A389" i="1" a="1"/>
  <c r="A389" i="1" s="1"/>
  <c r="AG389" i="1" s="1" a="1"/>
  <c r="AG389" i="1" s="1"/>
  <c r="Y389" i="1" s="1"/>
  <c r="AG388" i="1" a="1"/>
  <c r="AG388" i="1" s="1"/>
  <c r="Y388" i="1" s="1"/>
  <c r="AF388" i="1"/>
  <c r="X388" i="1" s="1"/>
  <c r="R388" i="1"/>
  <c r="T388" i="1" s="1"/>
  <c r="N388" i="1"/>
  <c r="A388" i="1" a="1"/>
  <c r="A388" i="1" s="1"/>
  <c r="AF388" i="1" s="1" a="1"/>
  <c r="R387" i="1"/>
  <c r="T387" i="1" s="1"/>
  <c r="N387" i="1"/>
  <c r="A387" i="1" a="1"/>
  <c r="A387" i="1"/>
  <c r="AG387" i="1" s="1" a="1"/>
  <c r="AG387" i="1" s="1"/>
  <c r="Y387" i="1" s="1"/>
  <c r="AB387" i="1" s="1"/>
  <c r="Y386" i="1"/>
  <c r="R386" i="1"/>
  <c r="T386" i="1" s="1"/>
  <c r="N386" i="1"/>
  <c r="A386" i="1" a="1"/>
  <c r="A386" i="1" s="1"/>
  <c r="AG386" i="1" s="1" a="1"/>
  <c r="AG386" i="1" s="1"/>
  <c r="AF385" i="1" a="1"/>
  <c r="AF385" i="1" s="1"/>
  <c r="X385" i="1" s="1"/>
  <c r="R385" i="1"/>
  <c r="T385" i="1" s="1"/>
  <c r="N385" i="1"/>
  <c r="A385" i="1" a="1"/>
  <c r="A385" i="1" s="1"/>
  <c r="AG385" i="1" s="1" a="1"/>
  <c r="AG385" i="1" s="1"/>
  <c r="Y385" i="1" s="1"/>
  <c r="R384" i="1"/>
  <c r="T384" i="1" s="1"/>
  <c r="N384" i="1"/>
  <c r="A384" i="1" a="1"/>
  <c r="A384" i="1" s="1"/>
  <c r="R383" i="1"/>
  <c r="T383" i="1" s="1"/>
  <c r="N383" i="1"/>
  <c r="A383" i="1" a="1"/>
  <c r="A383" i="1" s="1"/>
  <c r="AF383" i="1" s="1" a="1"/>
  <c r="AF383" i="1" s="1"/>
  <c r="X383" i="1" s="1"/>
  <c r="AA383" i="1" s="1"/>
  <c r="AF382" i="1" a="1"/>
  <c r="AF382" i="1" s="1"/>
  <c r="X382" i="1" s="1"/>
  <c r="R382" i="1"/>
  <c r="T382" i="1" s="1"/>
  <c r="N382" i="1"/>
  <c r="A382" i="1" a="1"/>
  <c r="A382" i="1" s="1"/>
  <c r="AG382" i="1" s="1" a="1"/>
  <c r="AG382" i="1" s="1"/>
  <c r="Y382" i="1" s="1"/>
  <c r="AB382" i="1" s="1"/>
  <c r="T381" i="1"/>
  <c r="R381" i="1"/>
  <c r="N381" i="1"/>
  <c r="A381" i="1" a="1"/>
  <c r="A381" i="1"/>
  <c r="Y380" i="1"/>
  <c r="AB380" i="1" s="1"/>
  <c r="R380" i="1"/>
  <c r="T380" i="1" s="1"/>
  <c r="N380" i="1"/>
  <c r="A380" i="1" a="1"/>
  <c r="A380" i="1" s="1"/>
  <c r="AG380" i="1" s="1" a="1"/>
  <c r="AG380" i="1" s="1"/>
  <c r="R379" i="1"/>
  <c r="T379" i="1" s="1"/>
  <c r="N379" i="1"/>
  <c r="A379" i="1" a="1"/>
  <c r="A379" i="1" s="1"/>
  <c r="AG379" i="1" s="1" a="1"/>
  <c r="AG379" i="1" s="1"/>
  <c r="Y379" i="1" s="1"/>
  <c r="R378" i="1"/>
  <c r="T378" i="1" s="1"/>
  <c r="N378" i="1"/>
  <c r="A378" i="1" a="1"/>
  <c r="A378" i="1" s="1"/>
  <c r="R377" i="1"/>
  <c r="T377" i="1" s="1"/>
  <c r="N377" i="1"/>
  <c r="A377" i="1" a="1"/>
  <c r="A377" i="1" s="1"/>
  <c r="AF377" i="1" s="1" a="1"/>
  <c r="AF377" i="1" s="1"/>
  <c r="X377" i="1" s="1"/>
  <c r="AA377" i="1" s="1"/>
  <c r="AG376" i="1" a="1"/>
  <c r="AG376" i="1" s="1"/>
  <c r="Y376" i="1" s="1"/>
  <c r="AB376" i="1" s="1"/>
  <c r="R376" i="1"/>
  <c r="T376" i="1" s="1"/>
  <c r="N376" i="1"/>
  <c r="A376" i="1" a="1"/>
  <c r="A376" i="1" s="1"/>
  <c r="AF376" i="1" s="1" a="1"/>
  <c r="AF376" i="1" s="1"/>
  <c r="X376" i="1" s="1"/>
  <c r="R375" i="1"/>
  <c r="T375" i="1" s="1"/>
  <c r="N375" i="1"/>
  <c r="A375" i="1" a="1"/>
  <c r="A375" i="1" s="1"/>
  <c r="Y374" i="1"/>
  <c r="R374" i="1"/>
  <c r="T374" i="1" s="1"/>
  <c r="N374" i="1"/>
  <c r="A374" i="1" a="1"/>
  <c r="A374" i="1" s="1"/>
  <c r="AG374" i="1" s="1" a="1"/>
  <c r="AG374" i="1" s="1"/>
  <c r="AG441" i="1"/>
  <c r="Y441" i="1" s="1"/>
  <c r="AF441" i="1" a="1"/>
  <c r="AF441" i="1" s="1"/>
  <c r="R441" i="1"/>
  <c r="T441" i="1" s="1"/>
  <c r="AA441" i="1" s="1"/>
  <c r="N441" i="1"/>
  <c r="A441" i="1" a="1"/>
  <c r="A441" i="1"/>
  <c r="AG441" i="1" s="1" a="1"/>
  <c r="R454" i="1"/>
  <c r="T454" i="1" s="1"/>
  <c r="N454" i="1"/>
  <c r="A454" i="1" a="1"/>
  <c r="A454" i="1" s="1"/>
  <c r="AF454" i="1" s="1" a="1"/>
  <c r="AF454" i="1" s="1"/>
  <c r="X454" i="1" s="1"/>
  <c r="R440" i="1"/>
  <c r="T440" i="1" s="1"/>
  <c r="N440" i="1"/>
  <c r="A440" i="1" a="1"/>
  <c r="A440" i="1" s="1"/>
  <c r="AG440" i="1" s="1" a="1"/>
  <c r="AG440" i="1" s="1"/>
  <c r="Y440" i="1" s="1"/>
  <c r="AB440" i="1" s="1"/>
  <c r="T433" i="1"/>
  <c r="R433" i="1"/>
  <c r="N433" i="1"/>
  <c r="A433" i="1" a="1"/>
  <c r="A433" i="1" s="1"/>
  <c r="AG433" i="1" s="1" a="1"/>
  <c r="AG433" i="1" s="1"/>
  <c r="Y433" i="1" s="1"/>
  <c r="AB433" i="1" s="1"/>
  <c r="AG369" i="1" a="1"/>
  <c r="AG369" i="1" s="1"/>
  <c r="Y369" i="1" s="1"/>
  <c r="T369" i="1"/>
  <c r="AB369" i="1" s="1"/>
  <c r="R369" i="1"/>
  <c r="N369" i="1"/>
  <c r="A369" i="1" a="1"/>
  <c r="A369" i="1" s="1"/>
  <c r="AF369" i="1" s="1" a="1"/>
  <c r="AF369" i="1" s="1"/>
  <c r="X369" i="1" s="1"/>
  <c r="W368" i="1"/>
  <c r="R368" i="1"/>
  <c r="T368" i="1" s="1"/>
  <c r="N368" i="1"/>
  <c r="A368" i="1" a="1"/>
  <c r="A368" i="1"/>
  <c r="AG368" i="1" s="1" a="1"/>
  <c r="AG368" i="1" s="1"/>
  <c r="Y368" i="1" s="1"/>
  <c r="W367" i="1"/>
  <c r="R367" i="1"/>
  <c r="T367" i="1" s="1"/>
  <c r="N367" i="1"/>
  <c r="A367" i="1" a="1"/>
  <c r="A367" i="1" s="1"/>
  <c r="W366" i="1"/>
  <c r="T366" i="1"/>
  <c r="R366" i="1"/>
  <c r="N366" i="1"/>
  <c r="A366" i="1" a="1"/>
  <c r="A366" i="1" s="1"/>
  <c r="W365" i="1"/>
  <c r="T365" i="1"/>
  <c r="R365" i="1"/>
  <c r="N365" i="1"/>
  <c r="A365" i="1" a="1"/>
  <c r="A365" i="1" s="1"/>
  <c r="W364" i="1"/>
  <c r="R364" i="1"/>
  <c r="T364" i="1" s="1"/>
  <c r="N364" i="1"/>
  <c r="A364" i="1" a="1"/>
  <c r="A364" i="1"/>
  <c r="AG364" i="1" s="1" a="1"/>
  <c r="AG364" i="1" s="1"/>
  <c r="Y364" i="1" s="1"/>
  <c r="W363" i="1"/>
  <c r="R363" i="1"/>
  <c r="T363" i="1" s="1"/>
  <c r="N363" i="1"/>
  <c r="A363" i="1" a="1"/>
  <c r="A363" i="1" s="1"/>
  <c r="W362" i="1"/>
  <c r="T362" i="1"/>
  <c r="R362" i="1"/>
  <c r="N362" i="1"/>
  <c r="A362" i="1" a="1"/>
  <c r="A362" i="1" s="1"/>
  <c r="AG361" i="1" a="1"/>
  <c r="AG361" i="1" s="1"/>
  <c r="Y361" i="1" s="1"/>
  <c r="W361" i="1"/>
  <c r="T361" i="1"/>
  <c r="R361" i="1"/>
  <c r="N361" i="1"/>
  <c r="A361" i="1" a="1"/>
  <c r="A361" i="1" s="1"/>
  <c r="AF361" i="1" s="1" a="1"/>
  <c r="AF361" i="1" s="1"/>
  <c r="X361" i="1" s="1"/>
  <c r="R360" i="1"/>
  <c r="T360" i="1" s="1"/>
  <c r="N360" i="1"/>
  <c r="A360" i="1" a="1"/>
  <c r="A360" i="1" s="1"/>
  <c r="AF359" i="1" a="1"/>
  <c r="AF359" i="1" s="1"/>
  <c r="X359" i="1" s="1"/>
  <c r="R359" i="1"/>
  <c r="T359" i="1" s="1"/>
  <c r="N359" i="1"/>
  <c r="A359" i="1" a="1"/>
  <c r="A359" i="1"/>
  <c r="AG359" i="1" s="1" a="1"/>
  <c r="AG359" i="1" s="1"/>
  <c r="Y359" i="1" s="1"/>
  <c r="R358" i="1"/>
  <c r="T358" i="1" s="1"/>
  <c r="N358" i="1"/>
  <c r="A358" i="1" a="1"/>
  <c r="A358" i="1"/>
  <c r="T357" i="1"/>
  <c r="R357" i="1"/>
  <c r="N357" i="1"/>
  <c r="A357" i="1" a="1"/>
  <c r="A357" i="1" s="1"/>
  <c r="R356" i="1"/>
  <c r="T356" i="1" s="1"/>
  <c r="N356" i="1"/>
  <c r="A356" i="1" a="1"/>
  <c r="A356" i="1"/>
  <c r="AG356" i="1" s="1" a="1"/>
  <c r="AG356" i="1" s="1"/>
  <c r="Y356" i="1" s="1"/>
  <c r="AF355" i="1" a="1"/>
  <c r="AF355" i="1" s="1"/>
  <c r="X355" i="1" s="1"/>
  <c r="R355" i="1"/>
  <c r="T355" i="1" s="1"/>
  <c r="N355" i="1"/>
  <c r="A355" i="1" a="1"/>
  <c r="A355" i="1" s="1"/>
  <c r="AG355" i="1" s="1" a="1"/>
  <c r="AG355" i="1" s="1"/>
  <c r="Y355" i="1" s="1"/>
  <c r="T354" i="1"/>
  <c r="R354" i="1"/>
  <c r="N354" i="1"/>
  <c r="A354" i="1" a="1"/>
  <c r="A354" i="1" s="1"/>
  <c r="AF354" i="1" s="1" a="1"/>
  <c r="AF354" i="1" s="1"/>
  <c r="X354" i="1" s="1"/>
  <c r="T353" i="1"/>
  <c r="R353" i="1"/>
  <c r="N353" i="1"/>
  <c r="A353" i="1" a="1"/>
  <c r="A353" i="1" s="1"/>
  <c r="T352" i="1"/>
  <c r="R352" i="1"/>
  <c r="N352" i="1"/>
  <c r="A352" i="1" a="1"/>
  <c r="A352" i="1" s="1"/>
  <c r="R351" i="1"/>
  <c r="T351" i="1" s="1"/>
  <c r="N351" i="1"/>
  <c r="A351" i="1" a="1"/>
  <c r="A351" i="1" s="1"/>
  <c r="AG351" i="1" s="1" a="1"/>
  <c r="AG351" i="1" s="1"/>
  <c r="Y351" i="1" s="1"/>
  <c r="R350" i="1"/>
  <c r="T350" i="1" s="1"/>
  <c r="N350" i="1"/>
  <c r="A350" i="1" a="1"/>
  <c r="A350" i="1" s="1"/>
  <c r="AF350" i="1" s="1" a="1"/>
  <c r="AF350" i="1" s="1"/>
  <c r="X350" i="1" s="1"/>
  <c r="AA350" i="1" s="1"/>
  <c r="R349" i="1"/>
  <c r="T349" i="1" s="1"/>
  <c r="N349" i="1"/>
  <c r="A349" i="1" a="1"/>
  <c r="A349" i="1" s="1"/>
  <c r="AG349" i="1" s="1" a="1"/>
  <c r="AG349" i="1" s="1"/>
  <c r="Y349" i="1" s="1"/>
  <c r="AB349" i="1" s="1"/>
  <c r="R348" i="1"/>
  <c r="T348" i="1" s="1"/>
  <c r="N348" i="1"/>
  <c r="A348" i="1" a="1"/>
  <c r="A348" i="1"/>
  <c r="R347" i="1"/>
  <c r="T347" i="1" s="1"/>
  <c r="N347" i="1"/>
  <c r="A347" i="1" a="1"/>
  <c r="A347" i="1" s="1"/>
  <c r="AF347" i="1" s="1" a="1"/>
  <c r="AF347" i="1" s="1"/>
  <c r="X347" i="1" s="1"/>
  <c r="R346" i="1"/>
  <c r="T346" i="1" s="1"/>
  <c r="N346" i="1"/>
  <c r="A346" i="1" a="1"/>
  <c r="A346" i="1" s="1"/>
  <c r="R345" i="1"/>
  <c r="T345" i="1" s="1"/>
  <c r="N345" i="1"/>
  <c r="A345" i="1" a="1"/>
  <c r="A345" i="1" s="1"/>
  <c r="AG345" i="1" s="1" a="1"/>
  <c r="AG345" i="1" s="1"/>
  <c r="Y345" i="1" s="1"/>
  <c r="R344" i="1"/>
  <c r="T344" i="1" s="1"/>
  <c r="N344" i="1"/>
  <c r="A344" i="1" a="1"/>
  <c r="A344" i="1" s="1"/>
  <c r="AF344" i="1" s="1" a="1"/>
  <c r="AF344" i="1" s="1"/>
  <c r="X344" i="1" s="1"/>
  <c r="AA344" i="1" s="1"/>
  <c r="R343" i="1"/>
  <c r="T343" i="1" s="1"/>
  <c r="N343" i="1"/>
  <c r="A343" i="1" a="1"/>
  <c r="A343" i="1"/>
  <c r="AG343" i="1" s="1" a="1"/>
  <c r="AG343" i="1" s="1"/>
  <c r="Y343" i="1" s="1"/>
  <c r="R342" i="1"/>
  <c r="T342" i="1" s="1"/>
  <c r="N342" i="1"/>
  <c r="A342" i="1" a="1"/>
  <c r="A342" i="1" s="1"/>
  <c r="R341" i="1"/>
  <c r="T341" i="1" s="1"/>
  <c r="N341" i="1"/>
  <c r="A341" i="1" a="1"/>
  <c r="A341" i="1" s="1"/>
  <c r="AF341" i="1" s="1" a="1"/>
  <c r="AF341" i="1" s="1"/>
  <c r="X341" i="1" s="1"/>
  <c r="R340" i="1"/>
  <c r="T340" i="1" s="1"/>
  <c r="N340" i="1"/>
  <c r="A340" i="1" a="1"/>
  <c r="A340" i="1" s="1"/>
  <c r="AF339" i="1" a="1"/>
  <c r="AF339" i="1" s="1"/>
  <c r="X339" i="1" s="1"/>
  <c r="R339" i="1"/>
  <c r="T339" i="1" s="1"/>
  <c r="N339" i="1"/>
  <c r="A339" i="1" a="1"/>
  <c r="A339" i="1" s="1"/>
  <c r="AG339" i="1" s="1" a="1"/>
  <c r="AG339" i="1" s="1"/>
  <c r="Y339" i="1" s="1"/>
  <c r="R338" i="1"/>
  <c r="T338" i="1" s="1"/>
  <c r="N338" i="1"/>
  <c r="A338" i="1" a="1"/>
  <c r="A338" i="1" s="1"/>
  <c r="AF338" i="1" s="1" a="1"/>
  <c r="AF338" i="1" s="1"/>
  <c r="X338" i="1" s="1"/>
  <c r="AA338" i="1" s="1"/>
  <c r="R337" i="1"/>
  <c r="T337" i="1" s="1"/>
  <c r="N337" i="1"/>
  <c r="A337" i="1" a="1"/>
  <c r="A337" i="1" s="1"/>
  <c r="AG337" i="1" s="1" a="1"/>
  <c r="AG337" i="1" s="1"/>
  <c r="Y337" i="1" s="1"/>
  <c r="AB337" i="1" s="1"/>
  <c r="R336" i="1"/>
  <c r="T336" i="1" s="1"/>
  <c r="N336" i="1"/>
  <c r="A336" i="1" a="1"/>
  <c r="A336" i="1" s="1"/>
  <c r="T335" i="1"/>
  <c r="R335" i="1"/>
  <c r="N335" i="1"/>
  <c r="A335" i="1" a="1"/>
  <c r="A335" i="1" s="1"/>
  <c r="AF335" i="1" s="1" a="1"/>
  <c r="AF335" i="1" s="1"/>
  <c r="X335" i="1" s="1"/>
  <c r="R334" i="1"/>
  <c r="T334" i="1" s="1"/>
  <c r="N334" i="1"/>
  <c r="A334" i="1" a="1"/>
  <c r="A334" i="1" s="1"/>
  <c r="AF333" i="1" a="1"/>
  <c r="AF333" i="1" s="1"/>
  <c r="X333" i="1" s="1"/>
  <c r="R333" i="1"/>
  <c r="T333" i="1" s="1"/>
  <c r="N333" i="1"/>
  <c r="A333" i="1" a="1"/>
  <c r="A333" i="1" s="1"/>
  <c r="AG333" i="1" s="1" a="1"/>
  <c r="AG333" i="1" s="1"/>
  <c r="Y333" i="1" s="1"/>
  <c r="R332" i="1"/>
  <c r="T332" i="1" s="1"/>
  <c r="N332" i="1"/>
  <c r="A332" i="1" a="1"/>
  <c r="A332" i="1" s="1"/>
  <c r="R331" i="1"/>
  <c r="T331" i="1" s="1"/>
  <c r="N331" i="1"/>
  <c r="A331" i="1" a="1"/>
  <c r="A331" i="1"/>
  <c r="AG331" i="1" s="1" a="1"/>
  <c r="AG331" i="1" s="1"/>
  <c r="Y331" i="1" s="1"/>
  <c r="AB331" i="1" s="1"/>
  <c r="R330" i="1"/>
  <c r="T330" i="1" s="1"/>
  <c r="N330" i="1"/>
  <c r="A330" i="1" a="1"/>
  <c r="A330" i="1"/>
  <c r="T329" i="1"/>
  <c r="R329" i="1"/>
  <c r="N329" i="1"/>
  <c r="A329" i="1" a="1"/>
  <c r="A329" i="1" s="1"/>
  <c r="AF329" i="1" s="1" a="1"/>
  <c r="AF329" i="1" s="1"/>
  <c r="X329" i="1" s="1"/>
  <c r="R328" i="1"/>
  <c r="T328" i="1" s="1"/>
  <c r="N328" i="1"/>
  <c r="A328" i="1" a="1"/>
  <c r="A328" i="1" s="1"/>
  <c r="AF327" i="1" a="1"/>
  <c r="AF327" i="1" s="1"/>
  <c r="X327" i="1" s="1"/>
  <c r="R327" i="1"/>
  <c r="T327" i="1" s="1"/>
  <c r="N327" i="1"/>
  <c r="A327" i="1" a="1"/>
  <c r="A327" i="1" s="1"/>
  <c r="AG327" i="1" s="1" a="1"/>
  <c r="AG327" i="1" s="1"/>
  <c r="Y327" i="1" s="1"/>
  <c r="R326" i="1"/>
  <c r="T326" i="1" s="1"/>
  <c r="N326" i="1"/>
  <c r="A326" i="1" a="1"/>
  <c r="A326" i="1" s="1"/>
  <c r="R325" i="1"/>
  <c r="T325" i="1" s="1"/>
  <c r="N325" i="1"/>
  <c r="A325" i="1" a="1"/>
  <c r="A325" i="1"/>
  <c r="AG325" i="1" s="1" a="1"/>
  <c r="AG325" i="1" s="1"/>
  <c r="Y325" i="1" s="1"/>
  <c r="AB325" i="1" s="1"/>
  <c r="R324" i="1"/>
  <c r="T324" i="1" s="1"/>
  <c r="N324" i="1"/>
  <c r="A324" i="1" a="1"/>
  <c r="A324" i="1" s="1"/>
  <c r="R323" i="1"/>
  <c r="T323" i="1" s="1"/>
  <c r="N323" i="1"/>
  <c r="A323" i="1" a="1"/>
  <c r="A323" i="1" s="1"/>
  <c r="AF323" i="1" s="1" a="1"/>
  <c r="AF323" i="1" s="1"/>
  <c r="X323" i="1" s="1"/>
  <c r="R322" i="1"/>
  <c r="T322" i="1" s="1"/>
  <c r="N322" i="1"/>
  <c r="A322" i="1" a="1"/>
  <c r="A322" i="1" s="1"/>
  <c r="R321" i="1"/>
  <c r="T321" i="1" s="1"/>
  <c r="N321" i="1"/>
  <c r="A321" i="1" a="1"/>
  <c r="A321" i="1" s="1"/>
  <c r="R320" i="1"/>
  <c r="T320" i="1" s="1"/>
  <c r="N320" i="1"/>
  <c r="A320" i="1" a="1"/>
  <c r="A320" i="1" s="1"/>
  <c r="R319" i="1"/>
  <c r="T319" i="1" s="1"/>
  <c r="N319" i="1"/>
  <c r="A319" i="1" a="1"/>
  <c r="A319" i="1" s="1"/>
  <c r="AG319" i="1" s="1" a="1"/>
  <c r="AG319" i="1" s="1"/>
  <c r="Y319" i="1" s="1"/>
  <c r="AB319" i="1" s="1"/>
  <c r="R318" i="1"/>
  <c r="T318" i="1" s="1"/>
  <c r="N318" i="1"/>
  <c r="A318" i="1" a="1"/>
  <c r="A318" i="1"/>
  <c r="T317" i="1"/>
  <c r="R317" i="1"/>
  <c r="N317" i="1"/>
  <c r="A317" i="1" a="1"/>
  <c r="A317" i="1" s="1"/>
  <c r="AF317" i="1" s="1" a="1"/>
  <c r="AF317" i="1" s="1"/>
  <c r="X317" i="1" s="1"/>
  <c r="R316" i="1"/>
  <c r="T316" i="1" s="1"/>
  <c r="N316" i="1"/>
  <c r="A316" i="1" a="1"/>
  <c r="A316" i="1" s="1"/>
  <c r="R315" i="1"/>
  <c r="T315" i="1" s="1"/>
  <c r="N315" i="1"/>
  <c r="A315" i="1" a="1"/>
  <c r="A315" i="1" s="1"/>
  <c r="AG315" i="1" s="1" a="1"/>
  <c r="AG315" i="1" s="1"/>
  <c r="Y315" i="1" s="1"/>
  <c r="R314" i="1"/>
  <c r="T314" i="1" s="1"/>
  <c r="N314" i="1"/>
  <c r="A314" i="1" a="1"/>
  <c r="A314" i="1" s="1"/>
  <c r="R313" i="1"/>
  <c r="T313" i="1" s="1"/>
  <c r="N313" i="1"/>
  <c r="A313" i="1" a="1"/>
  <c r="A313" i="1" s="1"/>
  <c r="R312" i="1"/>
  <c r="T312" i="1" s="1"/>
  <c r="N312" i="1"/>
  <c r="A312" i="1" a="1"/>
  <c r="A312" i="1"/>
  <c r="R311" i="1"/>
  <c r="T311" i="1" s="1"/>
  <c r="N311" i="1"/>
  <c r="A311" i="1" a="1"/>
  <c r="A311" i="1" s="1"/>
  <c r="AF311" i="1" s="1" a="1"/>
  <c r="AF311" i="1" s="1"/>
  <c r="X311" i="1" s="1"/>
  <c r="R310" i="1"/>
  <c r="T310" i="1" s="1"/>
  <c r="N310" i="1"/>
  <c r="A310" i="1" a="1"/>
  <c r="A310" i="1" s="1"/>
  <c r="R309" i="1"/>
  <c r="T309" i="1" s="1"/>
  <c r="N309" i="1"/>
  <c r="A309" i="1" a="1"/>
  <c r="A309" i="1" s="1"/>
  <c r="AG309" i="1" s="1" a="1"/>
  <c r="AG309" i="1" s="1"/>
  <c r="Y309" i="1" s="1"/>
  <c r="R308" i="1"/>
  <c r="T308" i="1" s="1"/>
  <c r="N308" i="1"/>
  <c r="A308" i="1" a="1"/>
  <c r="A308" i="1" s="1"/>
  <c r="AF308" i="1" s="1" a="1"/>
  <c r="AF308" i="1" s="1"/>
  <c r="X308" i="1" s="1"/>
  <c r="R307" i="1"/>
  <c r="T307" i="1" s="1"/>
  <c r="N307" i="1"/>
  <c r="A307" i="1" a="1"/>
  <c r="A307" i="1"/>
  <c r="R306" i="1"/>
  <c r="T306" i="1" s="1"/>
  <c r="N306" i="1"/>
  <c r="A306" i="1" a="1"/>
  <c r="A306" i="1"/>
  <c r="AG306" i="1" s="1" a="1"/>
  <c r="AG306" i="1" s="1"/>
  <c r="Y306" i="1" s="1"/>
  <c r="AG305" i="1" a="1"/>
  <c r="AG305" i="1" s="1"/>
  <c r="Y305" i="1" s="1"/>
  <c r="R305" i="1"/>
  <c r="T305" i="1" s="1"/>
  <c r="N305" i="1"/>
  <c r="A305" i="1" a="1"/>
  <c r="A305" i="1" s="1"/>
  <c r="AF305" i="1" s="1" a="1"/>
  <c r="AF305" i="1" s="1"/>
  <c r="X305" i="1" s="1"/>
  <c r="T304" i="1"/>
  <c r="R304" i="1"/>
  <c r="N304" i="1"/>
  <c r="A304" i="1" a="1"/>
  <c r="A304" i="1" s="1"/>
  <c r="R303" i="1"/>
  <c r="T303" i="1" s="1"/>
  <c r="N303" i="1"/>
  <c r="A303" i="1" a="1"/>
  <c r="A303" i="1" s="1"/>
  <c r="R302" i="1"/>
  <c r="T302" i="1" s="1"/>
  <c r="N302" i="1"/>
  <c r="A302" i="1" a="1"/>
  <c r="A302" i="1" s="1"/>
  <c r="AF302" i="1" s="1" a="1"/>
  <c r="AF302" i="1" s="1"/>
  <c r="X302" i="1" s="1"/>
  <c r="AA302" i="1" s="1"/>
  <c r="R301" i="1"/>
  <c r="T301" i="1" s="1"/>
  <c r="N301" i="1"/>
  <c r="A301" i="1" a="1"/>
  <c r="A301" i="1" s="1"/>
  <c r="R300" i="1"/>
  <c r="T300" i="1" s="1"/>
  <c r="N300" i="1"/>
  <c r="A300" i="1" a="1"/>
  <c r="A300" i="1"/>
  <c r="T299" i="1"/>
  <c r="R299" i="1"/>
  <c r="N299" i="1"/>
  <c r="A299" i="1" a="1"/>
  <c r="A299" i="1" s="1"/>
  <c r="AF299" i="1" s="1" a="1"/>
  <c r="AF299" i="1" s="1"/>
  <c r="X299" i="1" s="1"/>
  <c r="R298" i="1"/>
  <c r="T298" i="1" s="1"/>
  <c r="N298" i="1"/>
  <c r="A298" i="1" a="1"/>
  <c r="A298" i="1" s="1"/>
  <c r="R297" i="1"/>
  <c r="T297" i="1" s="1"/>
  <c r="N297" i="1"/>
  <c r="A297" i="1" a="1"/>
  <c r="A297" i="1" s="1"/>
  <c r="AG297" i="1" s="1" a="1"/>
  <c r="AG297" i="1" s="1"/>
  <c r="Y297" i="1" s="1"/>
  <c r="AG296" i="1" a="1"/>
  <c r="AG296" i="1" s="1"/>
  <c r="Y296" i="1" s="1"/>
  <c r="AF296" i="1"/>
  <c r="X296" i="1" s="1"/>
  <c r="AA296" i="1" s="1"/>
  <c r="R296" i="1"/>
  <c r="T296" i="1" s="1"/>
  <c r="N296" i="1"/>
  <c r="A296" i="1" a="1"/>
  <c r="A296" i="1" s="1"/>
  <c r="AF296" i="1" s="1" a="1"/>
  <c r="R295" i="1"/>
  <c r="T295" i="1" s="1"/>
  <c r="N295" i="1"/>
  <c r="A295" i="1" a="1"/>
  <c r="A295" i="1"/>
  <c r="R294" i="1"/>
  <c r="T294" i="1" s="1"/>
  <c r="N294" i="1"/>
  <c r="A294" i="1" a="1"/>
  <c r="A294" i="1"/>
  <c r="T293" i="1"/>
  <c r="R293" i="1"/>
  <c r="N293" i="1"/>
  <c r="A293" i="1" a="1"/>
  <c r="A293" i="1" s="1"/>
  <c r="AF293" i="1" s="1" a="1"/>
  <c r="AF293" i="1" s="1"/>
  <c r="X293" i="1" s="1"/>
  <c r="R292" i="1"/>
  <c r="T292" i="1" s="1"/>
  <c r="N292" i="1"/>
  <c r="A292" i="1" a="1"/>
  <c r="A292" i="1" s="1"/>
  <c r="R291" i="1"/>
  <c r="T291" i="1" s="1"/>
  <c r="N291" i="1"/>
  <c r="A291" i="1" a="1"/>
  <c r="A291" i="1" s="1"/>
  <c r="AG291" i="1" s="1" a="1"/>
  <c r="AG291" i="1" s="1"/>
  <c r="Y291" i="1" s="1"/>
  <c r="AF290" i="1"/>
  <c r="X290" i="1"/>
  <c r="R290" i="1"/>
  <c r="T290" i="1" s="1"/>
  <c r="N290" i="1"/>
  <c r="A290" i="1" a="1"/>
  <c r="A290" i="1" s="1"/>
  <c r="AF290" i="1" s="1" a="1"/>
  <c r="R289" i="1"/>
  <c r="T289" i="1" s="1"/>
  <c r="N289" i="1"/>
  <c r="A289" i="1" a="1"/>
  <c r="A289" i="1" s="1"/>
  <c r="AG288" i="1"/>
  <c r="AF288" i="1" a="1"/>
  <c r="AF288" i="1" s="1"/>
  <c r="X288" i="1" s="1"/>
  <c r="Y288" i="1"/>
  <c r="R288" i="1"/>
  <c r="T288" i="1" s="1"/>
  <c r="N288" i="1"/>
  <c r="A288" i="1" a="1"/>
  <c r="A288" i="1"/>
  <c r="AG288" i="1" s="1" a="1"/>
  <c r="T287" i="1"/>
  <c r="R287" i="1"/>
  <c r="N287" i="1"/>
  <c r="A287" i="1" a="1"/>
  <c r="A287" i="1" s="1"/>
  <c r="Y286" i="1"/>
  <c r="R286" i="1"/>
  <c r="T286" i="1" s="1"/>
  <c r="N286" i="1"/>
  <c r="A286" i="1" a="1"/>
  <c r="A286" i="1" s="1"/>
  <c r="AG286" i="1" s="1" a="1"/>
  <c r="AG286" i="1" s="1"/>
  <c r="R285" i="1"/>
  <c r="T285" i="1" s="1"/>
  <c r="N285" i="1"/>
  <c r="A285" i="1" a="1"/>
  <c r="A285" i="1" s="1"/>
  <c r="R284" i="1"/>
  <c r="T284" i="1" s="1"/>
  <c r="N284" i="1"/>
  <c r="A284" i="1" a="1"/>
  <c r="A284" i="1" s="1"/>
  <c r="AF284" i="1" s="1" a="1"/>
  <c r="AF284" i="1" s="1"/>
  <c r="X284" i="1" s="1"/>
  <c r="AA284" i="1" s="1"/>
  <c r="R283" i="1"/>
  <c r="T283" i="1" s="1"/>
  <c r="N283" i="1"/>
  <c r="A283" i="1" a="1"/>
  <c r="A283" i="1" s="1"/>
  <c r="R282" i="1"/>
  <c r="T282" i="1" s="1"/>
  <c r="N282" i="1"/>
  <c r="A282" i="1" a="1"/>
  <c r="A282" i="1" s="1"/>
  <c r="AG282" i="1" s="1" a="1"/>
  <c r="AG282" i="1" s="1"/>
  <c r="Y282" i="1" s="1"/>
  <c r="T281" i="1"/>
  <c r="R281" i="1"/>
  <c r="N281" i="1"/>
  <c r="A281" i="1" a="1"/>
  <c r="A281" i="1" s="1"/>
  <c r="AF281" i="1" s="1" a="1"/>
  <c r="AF281" i="1" s="1"/>
  <c r="X281" i="1" s="1"/>
  <c r="R280" i="1"/>
  <c r="T280" i="1" s="1"/>
  <c r="N280" i="1"/>
  <c r="A280" i="1" a="1"/>
  <c r="A280" i="1" s="1"/>
  <c r="R279" i="1"/>
  <c r="T279" i="1" s="1"/>
  <c r="N279" i="1"/>
  <c r="A279" i="1" a="1"/>
  <c r="A279" i="1"/>
  <c r="AF279" i="1" s="1" a="1"/>
  <c r="AF279" i="1" s="1"/>
  <c r="X279" i="1" s="1"/>
  <c r="AG278" i="1" a="1"/>
  <c r="AG278" i="1" s="1"/>
  <c r="Y278" i="1" s="1"/>
  <c r="AF278" i="1"/>
  <c r="X278" i="1" s="1"/>
  <c r="AA278" i="1" s="1"/>
  <c r="R278" i="1"/>
  <c r="T278" i="1" s="1"/>
  <c r="N278" i="1"/>
  <c r="A278" i="1" a="1"/>
  <c r="A278" i="1" s="1"/>
  <c r="AF278" i="1" s="1" a="1"/>
  <c r="R277" i="1"/>
  <c r="T277" i="1" s="1"/>
  <c r="N277" i="1"/>
  <c r="A277" i="1" a="1"/>
  <c r="A277" i="1"/>
  <c r="R276" i="1"/>
  <c r="T276" i="1" s="1"/>
  <c r="N276" i="1"/>
  <c r="A276" i="1" a="1"/>
  <c r="A276" i="1"/>
  <c r="AG276" i="1" s="1" a="1"/>
  <c r="AG276" i="1" s="1"/>
  <c r="Y276" i="1" s="1"/>
  <c r="T275" i="1"/>
  <c r="R275" i="1"/>
  <c r="N275" i="1"/>
  <c r="A275" i="1" a="1"/>
  <c r="A275" i="1" s="1"/>
  <c r="AF274" i="1" a="1"/>
  <c r="AF274" i="1" s="1"/>
  <c r="X274" i="1" s="1"/>
  <c r="R274" i="1"/>
  <c r="T274" i="1" s="1"/>
  <c r="N274" i="1"/>
  <c r="A274" i="1" a="1"/>
  <c r="A274" i="1" s="1"/>
  <c r="AG274" i="1" s="1" a="1"/>
  <c r="AG274" i="1" s="1"/>
  <c r="Y274" i="1" s="1"/>
  <c r="AG273" i="1" a="1"/>
  <c r="AG273" i="1" s="1"/>
  <c r="Y273" i="1" s="1"/>
  <c r="R273" i="1"/>
  <c r="T273" i="1" s="1"/>
  <c r="N273" i="1"/>
  <c r="A273" i="1" a="1"/>
  <c r="A273" i="1"/>
  <c r="AF273" i="1" s="1" a="1"/>
  <c r="AF273" i="1" s="1"/>
  <c r="X273" i="1" s="1"/>
  <c r="R272" i="1"/>
  <c r="T272" i="1" s="1"/>
  <c r="N272" i="1"/>
  <c r="A272" i="1" a="1"/>
  <c r="A272" i="1" s="1"/>
  <c r="AG272" i="1" s="1" a="1"/>
  <c r="AG272" i="1" s="1"/>
  <c r="Y272" i="1" s="1"/>
  <c r="AG271" i="1" a="1"/>
  <c r="AG271" i="1" s="1"/>
  <c r="Y271" i="1" s="1"/>
  <c r="T271" i="1"/>
  <c r="R271" i="1"/>
  <c r="N271" i="1"/>
  <c r="A271" i="1" a="1"/>
  <c r="A271" i="1"/>
  <c r="AF271" i="1" s="1" a="1"/>
  <c r="AF271" i="1" s="1"/>
  <c r="X271" i="1" s="1"/>
  <c r="R270" i="1"/>
  <c r="T270" i="1" s="1"/>
  <c r="N270" i="1"/>
  <c r="A270" i="1" a="1"/>
  <c r="A270" i="1" s="1"/>
  <c r="AF269" i="1" a="1"/>
  <c r="AF269" i="1" s="1"/>
  <c r="X269" i="1" s="1"/>
  <c r="AA269" i="1" s="1"/>
  <c r="T269" i="1"/>
  <c r="R269" i="1"/>
  <c r="N269" i="1"/>
  <c r="A269" i="1" a="1"/>
  <c r="A269" i="1" s="1"/>
  <c r="AG269" i="1" s="1" a="1"/>
  <c r="AG269" i="1" s="1"/>
  <c r="Y269" i="1" s="1"/>
  <c r="R268" i="1"/>
  <c r="T268" i="1" s="1"/>
  <c r="N268" i="1"/>
  <c r="A268" i="1" a="1"/>
  <c r="A268" i="1" s="1"/>
  <c r="R267" i="1"/>
  <c r="T267" i="1" s="1"/>
  <c r="N267" i="1"/>
  <c r="A267" i="1" a="1"/>
  <c r="A267" i="1" s="1"/>
  <c r="AG266" i="1" a="1"/>
  <c r="AG266" i="1" s="1"/>
  <c r="Y266" i="1" s="1"/>
  <c r="AB266" i="1" s="1"/>
  <c r="R266" i="1"/>
  <c r="T266" i="1" s="1"/>
  <c r="N266" i="1"/>
  <c r="A266" i="1" a="1"/>
  <c r="A266" i="1" s="1"/>
  <c r="AF266" i="1" s="1" a="1"/>
  <c r="AF266" i="1" s="1"/>
  <c r="X266" i="1" s="1"/>
  <c r="AA266" i="1" s="1"/>
  <c r="Z266" i="1" s="1"/>
  <c r="R265" i="1"/>
  <c r="T265" i="1" s="1"/>
  <c r="N265" i="1"/>
  <c r="A265" i="1" a="1"/>
  <c r="A265" i="1"/>
  <c r="AG265" i="1" s="1" a="1"/>
  <c r="AG265" i="1" s="1"/>
  <c r="Y265" i="1" s="1"/>
  <c r="R264" i="1"/>
  <c r="T264" i="1" s="1"/>
  <c r="N264" i="1"/>
  <c r="A264" i="1" a="1"/>
  <c r="A264" i="1"/>
  <c r="AG264" i="1" s="1" a="1"/>
  <c r="AG264" i="1" s="1"/>
  <c r="Y264" i="1" s="1"/>
  <c r="AF263" i="1" a="1"/>
  <c r="AF263" i="1" s="1"/>
  <c r="X263" i="1" s="1"/>
  <c r="R263" i="1"/>
  <c r="T263" i="1" s="1"/>
  <c r="N263" i="1"/>
  <c r="A263" i="1" a="1"/>
  <c r="A263" i="1" s="1"/>
  <c r="AG263" i="1" s="1" a="1"/>
  <c r="AG263" i="1" s="1"/>
  <c r="Y263" i="1" s="1"/>
  <c r="R262" i="1"/>
  <c r="T262" i="1" s="1"/>
  <c r="N262" i="1"/>
  <c r="A262" i="1" a="1"/>
  <c r="A262" i="1" s="1"/>
  <c r="AG262" i="1" s="1" a="1"/>
  <c r="AG262" i="1" s="1"/>
  <c r="Y262" i="1" s="1"/>
  <c r="R261" i="1"/>
  <c r="T261" i="1" s="1"/>
  <c r="N261" i="1"/>
  <c r="A261" i="1" a="1"/>
  <c r="A261" i="1" s="1"/>
  <c r="AG261" i="1" s="1" a="1"/>
  <c r="AG261" i="1" s="1"/>
  <c r="Y261" i="1" s="1"/>
  <c r="AB261" i="1" s="1"/>
  <c r="AG260" i="1" a="1"/>
  <c r="AG260" i="1" s="1"/>
  <c r="Y260" i="1" s="1"/>
  <c r="R260" i="1"/>
  <c r="T260" i="1" s="1"/>
  <c r="AB260" i="1" s="1"/>
  <c r="N260" i="1"/>
  <c r="A260" i="1" a="1"/>
  <c r="A260" i="1" s="1"/>
  <c r="AF260" i="1" s="1" a="1"/>
  <c r="AF260" i="1" s="1"/>
  <c r="X260" i="1" s="1"/>
  <c r="R259" i="1"/>
  <c r="T259" i="1" s="1"/>
  <c r="N259" i="1"/>
  <c r="A259" i="1" a="1"/>
  <c r="A259" i="1" s="1"/>
  <c r="R258" i="1"/>
  <c r="T258" i="1" s="1"/>
  <c r="N258" i="1"/>
  <c r="A258" i="1" a="1"/>
  <c r="A258" i="1" s="1"/>
  <c r="AF257" i="1" a="1"/>
  <c r="AF257" i="1" s="1"/>
  <c r="X257" i="1" s="1"/>
  <c r="R257" i="1"/>
  <c r="T257" i="1" s="1"/>
  <c r="N257" i="1"/>
  <c r="A257" i="1" a="1"/>
  <c r="A257" i="1" s="1"/>
  <c r="AG257" i="1" s="1" a="1"/>
  <c r="AG257" i="1" s="1"/>
  <c r="Y257" i="1" s="1"/>
  <c r="R256" i="1"/>
  <c r="T256" i="1" s="1"/>
  <c r="N256" i="1"/>
  <c r="A256" i="1" a="1"/>
  <c r="A256" i="1" s="1"/>
  <c r="R255" i="1"/>
  <c r="T255" i="1" s="1"/>
  <c r="N255" i="1"/>
  <c r="A255" i="1" a="1"/>
  <c r="A255" i="1"/>
  <c r="AG254" i="1" a="1"/>
  <c r="AG254" i="1" s="1"/>
  <c r="Y254" i="1" s="1"/>
  <c r="AB254" i="1" s="1"/>
  <c r="AF254" i="1" a="1"/>
  <c r="AF254" i="1" s="1"/>
  <c r="X254" i="1" s="1"/>
  <c r="R254" i="1"/>
  <c r="T254" i="1" s="1"/>
  <c r="N254" i="1"/>
  <c r="A254" i="1" a="1"/>
  <c r="A254" i="1" s="1"/>
  <c r="T253" i="1"/>
  <c r="R253" i="1"/>
  <c r="N253" i="1"/>
  <c r="A253" i="1" a="1"/>
  <c r="A253" i="1" s="1"/>
  <c r="R252" i="1"/>
  <c r="T252" i="1" s="1"/>
  <c r="N252" i="1"/>
  <c r="A252" i="1" a="1"/>
  <c r="A252" i="1" s="1"/>
  <c r="R251" i="1"/>
  <c r="T251" i="1" s="1"/>
  <c r="N251" i="1"/>
  <c r="A251" i="1" a="1"/>
  <c r="A251" i="1" s="1"/>
  <c r="R250" i="1"/>
  <c r="T250" i="1" s="1"/>
  <c r="N250" i="1"/>
  <c r="A250" i="1" a="1"/>
  <c r="A250" i="1" s="1"/>
  <c r="R249" i="1"/>
  <c r="T249" i="1" s="1"/>
  <c r="N249" i="1"/>
  <c r="A249" i="1" a="1"/>
  <c r="A249" i="1"/>
  <c r="R230" i="1"/>
  <c r="T230" i="1" s="1"/>
  <c r="N230" i="1"/>
  <c r="A230" i="1" a="1"/>
  <c r="A230" i="1" s="1"/>
  <c r="AF230" i="1" s="1" a="1"/>
  <c r="AF230" i="1" s="1"/>
  <c r="X230" i="1" s="1"/>
  <c r="AA230" i="1" s="1"/>
  <c r="AG51" i="1" a="1"/>
  <c r="AG51" i="1" s="1"/>
  <c r="Y51" i="1" s="1"/>
  <c r="AF51" i="1" a="1"/>
  <c r="AF51" i="1" s="1"/>
  <c r="X51" i="1" s="1"/>
  <c r="R51" i="1"/>
  <c r="T51" i="1" s="1"/>
  <c r="N51" i="1"/>
  <c r="A51" i="1" a="1"/>
  <c r="A51" i="1" s="1"/>
  <c r="R467" i="1"/>
  <c r="T467" i="1" s="1"/>
  <c r="N467" i="1"/>
  <c r="A467" i="1" a="1"/>
  <c r="A467" i="1"/>
  <c r="R466" i="1"/>
  <c r="T466" i="1" s="1"/>
  <c r="N466" i="1"/>
  <c r="A466" i="1" a="1"/>
  <c r="A466" i="1" s="1"/>
  <c r="T244" i="1"/>
  <c r="R244" i="1"/>
  <c r="N244" i="1"/>
  <c r="A244" i="1" a="1"/>
  <c r="A244" i="1"/>
  <c r="R243" i="1"/>
  <c r="T243" i="1" s="1"/>
  <c r="N243" i="1"/>
  <c r="A243" i="1" a="1"/>
  <c r="A243" i="1"/>
  <c r="AG242" i="1"/>
  <c r="Y242" i="1" s="1"/>
  <c r="AF242" i="1" a="1"/>
  <c r="AF242" i="1" s="1"/>
  <c r="X242" i="1" s="1"/>
  <c r="T242" i="1"/>
  <c r="R242" i="1"/>
  <c r="N242" i="1"/>
  <c r="A242" i="1" a="1"/>
  <c r="A242" i="1"/>
  <c r="AG242" i="1" s="1" a="1"/>
  <c r="R241" i="1"/>
  <c r="T241" i="1" s="1"/>
  <c r="N241" i="1"/>
  <c r="A241" i="1" a="1"/>
  <c r="A241" i="1" s="1"/>
  <c r="R240" i="1"/>
  <c r="T240" i="1" s="1"/>
  <c r="N240" i="1"/>
  <c r="A240" i="1" a="1"/>
  <c r="A240" i="1" s="1"/>
  <c r="T239" i="1"/>
  <c r="R239" i="1"/>
  <c r="N239" i="1"/>
  <c r="A239" i="1" a="1"/>
  <c r="A239" i="1" s="1"/>
  <c r="R238" i="1"/>
  <c r="T238" i="1" s="1"/>
  <c r="N238" i="1"/>
  <c r="A238" i="1" a="1"/>
  <c r="A238" i="1" s="1"/>
  <c r="R237" i="1"/>
  <c r="T237" i="1" s="1"/>
  <c r="N237" i="1"/>
  <c r="A237" i="1" a="1"/>
  <c r="A237" i="1"/>
  <c r="R453" i="1"/>
  <c r="T453" i="1" s="1"/>
  <c r="N453" i="1"/>
  <c r="A453" i="1" a="1"/>
  <c r="A453" i="1" s="1"/>
  <c r="AF952" i="1" a="1"/>
  <c r="AF952" i="1" s="1"/>
  <c r="R952" i="1"/>
  <c r="T952" i="1" s="1"/>
  <c r="N952" i="1"/>
  <c r="A952" i="1" a="1"/>
  <c r="A952" i="1"/>
  <c r="AG952" i="1" s="1" a="1"/>
  <c r="AG952" i="1" s="1"/>
  <c r="Y952" i="1" s="1"/>
  <c r="T951" i="1"/>
  <c r="R951" i="1"/>
  <c r="N951" i="1"/>
  <c r="A951" i="1" a="1"/>
  <c r="A951" i="1" s="1"/>
  <c r="AG233" i="1" a="1"/>
  <c r="AG233" i="1" s="1"/>
  <c r="Y233" i="1" s="1"/>
  <c r="R233" i="1"/>
  <c r="T233" i="1" s="1"/>
  <c r="N233" i="1"/>
  <c r="A233" i="1" a="1"/>
  <c r="A233" i="1" s="1"/>
  <c r="AF233" i="1" s="1" a="1"/>
  <c r="AF233" i="1" s="1"/>
  <c r="X233" i="1" s="1"/>
  <c r="R232" i="1"/>
  <c r="T232" i="1" s="1"/>
  <c r="N232" i="1"/>
  <c r="A232" i="1" a="1"/>
  <c r="A232" i="1" s="1"/>
  <c r="AG229" i="1" a="1"/>
  <c r="AG229" i="1" s="1"/>
  <c r="Y229" i="1" s="1"/>
  <c r="AF229" i="1" a="1"/>
  <c r="AF229" i="1" s="1"/>
  <c r="T229" i="1"/>
  <c r="R229" i="1"/>
  <c r="N229" i="1"/>
  <c r="AG227" i="1" a="1"/>
  <c r="AG227" i="1"/>
  <c r="Y227" i="1" s="1"/>
  <c r="AF227" i="1" a="1"/>
  <c r="AF227" i="1"/>
  <c r="T227" i="1"/>
  <c r="R227" i="1"/>
  <c r="N227" i="1"/>
  <c r="AG219" i="1" a="1"/>
  <c r="AG219" i="1" s="1"/>
  <c r="Y219" i="1" s="1"/>
  <c r="AF219" i="1" a="1"/>
  <c r="AF219" i="1" s="1"/>
  <c r="R219" i="1"/>
  <c r="T219" i="1" s="1"/>
  <c r="N219" i="1"/>
  <c r="R228" i="1"/>
  <c r="T228" i="1" s="1"/>
  <c r="N228" i="1"/>
  <c r="A228" i="1" a="1"/>
  <c r="A228" i="1" s="1"/>
  <c r="AD1557" i="1"/>
  <c r="T1557" i="1" s="1"/>
  <c r="R1557" i="1"/>
  <c r="N1557" i="1"/>
  <c r="A1557" i="1" a="1"/>
  <c r="A1557" i="1" s="1"/>
  <c r="AG1557" i="1" s="1" a="1"/>
  <c r="AG1557" i="1" s="1"/>
  <c r="Y1557" i="1" s="1"/>
  <c r="AD1281" i="1"/>
  <c r="T1281" i="1" s="1"/>
  <c r="R1281" i="1"/>
  <c r="N1281" i="1"/>
  <c r="A1281" i="1" a="1"/>
  <c r="A1281" i="1" s="1"/>
  <c r="AF1281" i="1" s="1" a="1"/>
  <c r="AF1281" i="1" s="1"/>
  <c r="X1281" i="1" s="1"/>
  <c r="AD1280" i="1"/>
  <c r="T1280" i="1" s="1"/>
  <c r="S1280" i="1"/>
  <c r="R1280" i="1"/>
  <c r="N1280" i="1"/>
  <c r="A1280" i="1" a="1"/>
  <c r="A1280" i="1" s="1"/>
  <c r="T950" i="1"/>
  <c r="R950" i="1"/>
  <c r="N950" i="1"/>
  <c r="A950" i="1" a="1"/>
  <c r="A950" i="1" s="1"/>
  <c r="T933" i="1"/>
  <c r="R933" i="1"/>
  <c r="N933" i="1"/>
  <c r="A933" i="1" a="1"/>
  <c r="A933" i="1" s="1"/>
  <c r="AG580" i="1" a="1"/>
  <c r="AG580" i="1"/>
  <c r="Y580" i="1" s="1"/>
  <c r="AF580" i="1" a="1"/>
  <c r="AF580" i="1" s="1"/>
  <c r="X580" i="1" s="1"/>
  <c r="R580" i="1"/>
  <c r="T580" i="1" s="1"/>
  <c r="N580" i="1"/>
  <c r="A580" i="1" a="1"/>
  <c r="A580" i="1"/>
  <c r="T221" i="1"/>
  <c r="R221" i="1"/>
  <c r="N221" i="1"/>
  <c r="A221" i="1" a="1"/>
  <c r="A221" i="1" s="1"/>
  <c r="AG221" i="1" s="1" a="1"/>
  <c r="AG221" i="1" s="1"/>
  <c r="Y221" i="1" s="1"/>
  <c r="R220" i="1"/>
  <c r="T220" i="1" s="1"/>
  <c r="N220" i="1"/>
  <c r="A220" i="1" a="1"/>
  <c r="A220" i="1" s="1"/>
  <c r="AF220" i="1" s="1" a="1"/>
  <c r="AF220" i="1" s="1"/>
  <c r="X220" i="1" s="1"/>
  <c r="R478" i="1"/>
  <c r="T478" i="1" s="1"/>
  <c r="N478" i="1"/>
  <c r="A478" i="1" a="1"/>
  <c r="A478" i="1"/>
  <c r="T465" i="1"/>
  <c r="R465" i="1"/>
  <c r="N465" i="1"/>
  <c r="A465" i="1" a="1"/>
  <c r="A465" i="1" s="1"/>
  <c r="T452" i="1"/>
  <c r="R452" i="1"/>
  <c r="N452" i="1"/>
  <c r="A452" i="1" a="1"/>
  <c r="A452" i="1" s="1"/>
  <c r="R216" i="1"/>
  <c r="T216" i="1" s="1"/>
  <c r="N216" i="1"/>
  <c r="A216" i="1" a="1"/>
  <c r="A216" i="1" s="1"/>
  <c r="R215" i="1"/>
  <c r="T215" i="1" s="1"/>
  <c r="N215" i="1"/>
  <c r="A215" i="1" a="1"/>
  <c r="A215" i="1" s="1"/>
  <c r="AF214" i="1" a="1"/>
  <c r="AF214" i="1" s="1"/>
  <c r="X214" i="1" s="1"/>
  <c r="T214" i="1"/>
  <c r="R214" i="1"/>
  <c r="N214" i="1"/>
  <c r="A214" i="1" a="1"/>
  <c r="A214" i="1"/>
  <c r="AG214" i="1" s="1" a="1"/>
  <c r="AG214" i="1" s="1"/>
  <c r="Y214" i="1" s="1"/>
  <c r="R213" i="1"/>
  <c r="T213" i="1" s="1"/>
  <c r="N213" i="1"/>
  <c r="A213" i="1" a="1"/>
  <c r="A213" i="1" s="1"/>
  <c r="R212" i="1"/>
  <c r="T212" i="1" s="1"/>
  <c r="N212" i="1"/>
  <c r="A212" i="1" a="1"/>
  <c r="A212" i="1" s="1"/>
  <c r="R211" i="1"/>
  <c r="T211" i="1" s="1"/>
  <c r="N211" i="1"/>
  <c r="A211" i="1" a="1"/>
  <c r="A211" i="1"/>
  <c r="R439" i="1"/>
  <c r="T439" i="1" s="1"/>
  <c r="N439" i="1"/>
  <c r="A439" i="1" a="1"/>
  <c r="A439" i="1" s="1"/>
  <c r="AF439" i="1" s="1" a="1"/>
  <c r="AF439" i="1" s="1"/>
  <c r="R209" i="1"/>
  <c r="T209" i="1" s="1"/>
  <c r="N209" i="1"/>
  <c r="A209" i="1" a="1"/>
  <c r="A209" i="1"/>
  <c r="AG209" i="1" s="1" a="1"/>
  <c r="AG209" i="1" s="1"/>
  <c r="Y209" i="1" s="1"/>
  <c r="R208" i="1"/>
  <c r="T208" i="1" s="1"/>
  <c r="N208" i="1"/>
  <c r="A208" i="1" a="1"/>
  <c r="A208" i="1" s="1"/>
  <c r="R432" i="1"/>
  <c r="T432" i="1" s="1"/>
  <c r="N432" i="1"/>
  <c r="A432" i="1" a="1"/>
  <c r="A432" i="1" s="1"/>
  <c r="AF432" i="1" s="1" a="1"/>
  <c r="AF432" i="1" s="1"/>
  <c r="AG226" i="1" a="1"/>
  <c r="AG226" i="1"/>
  <c r="Y226" i="1" s="1"/>
  <c r="AF226" i="1" a="1"/>
  <c r="AF226" i="1"/>
  <c r="R226" i="1"/>
  <c r="T226" i="1" s="1"/>
  <c r="N226" i="1"/>
  <c r="R205" i="1"/>
  <c r="T205" i="1" s="1"/>
  <c r="N205" i="1"/>
  <c r="A205" i="1" a="1"/>
  <c r="A205" i="1" s="1"/>
  <c r="R204" i="1"/>
  <c r="T204" i="1" s="1"/>
  <c r="N204" i="1"/>
  <c r="A204" i="1" a="1"/>
  <c r="A204" i="1"/>
  <c r="AG204" i="1" s="1" a="1"/>
  <c r="AG204" i="1" s="1"/>
  <c r="Y204" i="1" s="1"/>
  <c r="AG203" i="1" a="1"/>
  <c r="AG203" i="1" s="1"/>
  <c r="Y203" i="1" s="1"/>
  <c r="R203" i="1"/>
  <c r="T203" i="1" s="1"/>
  <c r="N203" i="1"/>
  <c r="A203" i="1" a="1"/>
  <c r="A203" i="1" s="1"/>
  <c r="AF203" i="1" s="1" a="1"/>
  <c r="AF203" i="1" s="1"/>
  <c r="X203" i="1" s="1"/>
  <c r="T202" i="1"/>
  <c r="R202" i="1"/>
  <c r="N202" i="1"/>
  <c r="A202" i="1" a="1"/>
  <c r="A202" i="1" s="1"/>
  <c r="T201" i="1"/>
  <c r="R201" i="1"/>
  <c r="N201" i="1"/>
  <c r="A201" i="1" a="1"/>
  <c r="A201" i="1" s="1"/>
  <c r="AG200" i="1" a="1"/>
  <c r="AG200" i="1" s="1"/>
  <c r="Y200" i="1" s="1"/>
  <c r="R200" i="1"/>
  <c r="T200" i="1" s="1"/>
  <c r="N200" i="1"/>
  <c r="A200" i="1" a="1"/>
  <c r="A200" i="1" s="1"/>
  <c r="AF200" i="1" s="1" a="1"/>
  <c r="AF200" i="1" s="1"/>
  <c r="X200" i="1" s="1"/>
  <c r="R199" i="1"/>
  <c r="T199" i="1" s="1"/>
  <c r="N199" i="1"/>
  <c r="A199" i="1" a="1"/>
  <c r="A199" i="1" s="1"/>
  <c r="AG198" i="1"/>
  <c r="Y198" i="1" s="1"/>
  <c r="R198" i="1"/>
  <c r="T198" i="1" s="1"/>
  <c r="AB198" i="1" s="1"/>
  <c r="N198" i="1"/>
  <c r="A198" i="1" a="1"/>
  <c r="A198" i="1"/>
  <c r="AG198" i="1" s="1" a="1"/>
  <c r="R197" i="1"/>
  <c r="T197" i="1" s="1"/>
  <c r="N197" i="1"/>
  <c r="A197" i="1" a="1"/>
  <c r="A197" i="1" s="1"/>
  <c r="AF197" i="1" s="1" a="1"/>
  <c r="AF197" i="1" s="1"/>
  <c r="X197" i="1" s="1"/>
  <c r="T196" i="1"/>
  <c r="R196" i="1"/>
  <c r="N196" i="1"/>
  <c r="A196" i="1" a="1"/>
  <c r="A196" i="1" s="1"/>
  <c r="R195" i="1"/>
  <c r="T195" i="1" s="1"/>
  <c r="N195" i="1"/>
  <c r="A195" i="1" a="1"/>
  <c r="A195" i="1" s="1"/>
  <c r="R194" i="1"/>
  <c r="T194" i="1" s="1"/>
  <c r="N194" i="1"/>
  <c r="A194" i="1" a="1"/>
  <c r="A194" i="1" s="1"/>
  <c r="AF194" i="1" s="1" a="1"/>
  <c r="AF194" i="1" s="1"/>
  <c r="X194" i="1" s="1"/>
  <c r="AF193" i="1" a="1"/>
  <c r="AF193" i="1" s="1"/>
  <c r="X193" i="1" s="1"/>
  <c r="R193" i="1"/>
  <c r="T193" i="1" s="1"/>
  <c r="N193" i="1"/>
  <c r="A193" i="1" a="1"/>
  <c r="A193" i="1"/>
  <c r="AG193" i="1" s="1" a="1"/>
  <c r="AG193" i="1" s="1"/>
  <c r="Y193" i="1" s="1"/>
  <c r="T192" i="1"/>
  <c r="R192" i="1"/>
  <c r="N192" i="1"/>
  <c r="A192" i="1" a="1"/>
  <c r="A192" i="1" s="1"/>
  <c r="R191" i="1"/>
  <c r="T191" i="1" s="1"/>
  <c r="N191" i="1"/>
  <c r="A191" i="1" a="1"/>
  <c r="A191" i="1" s="1"/>
  <c r="AF191" i="1" s="1" a="1"/>
  <c r="AF191" i="1" s="1"/>
  <c r="X191" i="1" s="1"/>
  <c r="R190" i="1"/>
  <c r="T190" i="1" s="1"/>
  <c r="N190" i="1"/>
  <c r="A190" i="1" a="1"/>
  <c r="A190" i="1" s="1"/>
  <c r="T189" i="1"/>
  <c r="R189" i="1"/>
  <c r="N189" i="1"/>
  <c r="A189" i="1" a="1"/>
  <c r="A189" i="1" s="1"/>
  <c r="AG189" i="1" s="1" a="1"/>
  <c r="AG189" i="1" s="1"/>
  <c r="Y189" i="1" s="1"/>
  <c r="R188" i="1"/>
  <c r="T188" i="1" s="1"/>
  <c r="N188" i="1"/>
  <c r="A188" i="1" a="1"/>
  <c r="A188" i="1" s="1"/>
  <c r="AF188" i="1" s="1" a="1"/>
  <c r="AF188" i="1" s="1"/>
  <c r="X188" i="1" s="1"/>
  <c r="AA188" i="1" s="1"/>
  <c r="R187" i="1"/>
  <c r="T187" i="1" s="1"/>
  <c r="N187" i="1"/>
  <c r="A187" i="1" a="1"/>
  <c r="A187" i="1" s="1"/>
  <c r="AG949" i="1"/>
  <c r="Y949" i="1" s="1"/>
  <c r="R949" i="1"/>
  <c r="T949" i="1" s="1"/>
  <c r="N949" i="1"/>
  <c r="A949" i="1" a="1"/>
  <c r="A949" i="1" s="1"/>
  <c r="AG949" i="1" s="1" a="1"/>
  <c r="R477" i="1"/>
  <c r="T477" i="1" s="1"/>
  <c r="N477" i="1"/>
  <c r="A477" i="1" a="1"/>
  <c r="A477" i="1"/>
  <c r="AG477" i="1" s="1" a="1"/>
  <c r="AG477" i="1" s="1"/>
  <c r="Y477" i="1" s="1"/>
  <c r="R184" i="1"/>
  <c r="T184" i="1" s="1"/>
  <c r="N184" i="1"/>
  <c r="A184" i="1" a="1"/>
  <c r="A184" i="1" s="1"/>
  <c r="AF183" i="1" a="1"/>
  <c r="AF183" i="1" s="1"/>
  <c r="X183" i="1" s="1"/>
  <c r="R183" i="1"/>
  <c r="T183" i="1" s="1"/>
  <c r="N183" i="1"/>
  <c r="A183" i="1" a="1"/>
  <c r="A183" i="1"/>
  <c r="AG183" i="1" s="1" a="1"/>
  <c r="AG183" i="1" s="1"/>
  <c r="Y183" i="1" s="1"/>
  <c r="R182" i="1"/>
  <c r="T182" i="1" s="1"/>
  <c r="N182" i="1"/>
  <c r="A182" i="1" a="1"/>
  <c r="A182" i="1" s="1"/>
  <c r="AF182" i="1" s="1" a="1"/>
  <c r="AF182" i="1" s="1"/>
  <c r="X182" i="1" s="1"/>
  <c r="T181" i="1"/>
  <c r="R181" i="1"/>
  <c r="N181" i="1"/>
  <c r="A181" i="1" a="1"/>
  <c r="A181" i="1" s="1"/>
  <c r="R180" i="1"/>
  <c r="T180" i="1" s="1"/>
  <c r="N180" i="1"/>
  <c r="A180" i="1" a="1"/>
  <c r="A180" i="1"/>
  <c r="AG180" i="1" s="1" a="1"/>
  <c r="AG180" i="1" s="1"/>
  <c r="Y180" i="1" s="1"/>
  <c r="R179" i="1"/>
  <c r="T179" i="1" s="1"/>
  <c r="N179" i="1"/>
  <c r="A179" i="1" a="1"/>
  <c r="A179" i="1" s="1"/>
  <c r="R178" i="1"/>
  <c r="T178" i="1" s="1"/>
  <c r="N178" i="1"/>
  <c r="A178" i="1" a="1"/>
  <c r="A178" i="1" s="1"/>
  <c r="R177" i="1"/>
  <c r="T177" i="1" s="1"/>
  <c r="N177" i="1"/>
  <c r="A177" i="1" a="1"/>
  <c r="A177" i="1" s="1"/>
  <c r="AG177" i="1" s="1" a="1"/>
  <c r="AG177" i="1" s="1"/>
  <c r="Y177" i="1" s="1"/>
  <c r="R176" i="1"/>
  <c r="T176" i="1" s="1"/>
  <c r="N176" i="1"/>
  <c r="A176" i="1" a="1"/>
  <c r="A176" i="1" s="1"/>
  <c r="AF176" i="1" s="1" a="1"/>
  <c r="AF176" i="1" s="1"/>
  <c r="X176" i="1" s="1"/>
  <c r="T175" i="1"/>
  <c r="R175" i="1"/>
  <c r="N175" i="1"/>
  <c r="A175" i="1" a="1"/>
  <c r="A175" i="1" s="1"/>
  <c r="T174" i="1"/>
  <c r="R174" i="1"/>
  <c r="N174" i="1"/>
  <c r="A174" i="1" a="1"/>
  <c r="A174" i="1"/>
  <c r="R173" i="1"/>
  <c r="T173" i="1" s="1"/>
  <c r="N173" i="1"/>
  <c r="A173" i="1" a="1"/>
  <c r="A173" i="1" s="1"/>
  <c r="AF173" i="1" s="1" a="1"/>
  <c r="AF173" i="1" s="1"/>
  <c r="X173" i="1" s="1"/>
  <c r="R172" i="1"/>
  <c r="T172" i="1" s="1"/>
  <c r="N172" i="1"/>
  <c r="A172" i="1" a="1"/>
  <c r="A172" i="1" s="1"/>
  <c r="T171" i="1"/>
  <c r="R171" i="1"/>
  <c r="N171" i="1"/>
  <c r="A171" i="1" a="1"/>
  <c r="A171" i="1" s="1"/>
  <c r="R170" i="1"/>
  <c r="T170" i="1" s="1"/>
  <c r="N170" i="1"/>
  <c r="A170" i="1" a="1"/>
  <c r="A170" i="1" s="1"/>
  <c r="AF170" i="1" s="1" a="1"/>
  <c r="AF170" i="1" s="1"/>
  <c r="X170" i="1" s="1"/>
  <c r="T169" i="1"/>
  <c r="R169" i="1"/>
  <c r="N169" i="1"/>
  <c r="A169" i="1" a="1"/>
  <c r="A169" i="1" s="1"/>
  <c r="T168" i="1"/>
  <c r="R168" i="1"/>
  <c r="N168" i="1"/>
  <c r="A168" i="1" a="1"/>
  <c r="A168" i="1" s="1"/>
  <c r="R167" i="1"/>
  <c r="T167" i="1" s="1"/>
  <c r="N167" i="1"/>
  <c r="A167" i="1" a="1"/>
  <c r="A167" i="1" s="1"/>
  <c r="R166" i="1"/>
  <c r="T166" i="1" s="1"/>
  <c r="N166" i="1"/>
  <c r="A166" i="1" a="1"/>
  <c r="A166" i="1" s="1"/>
  <c r="R165" i="1"/>
  <c r="T165" i="1" s="1"/>
  <c r="N165" i="1"/>
  <c r="A165" i="1" a="1"/>
  <c r="A165" i="1" s="1"/>
  <c r="AG165" i="1" s="1" a="1"/>
  <c r="AG165" i="1" s="1"/>
  <c r="Y165" i="1" s="1"/>
  <c r="R164" i="1"/>
  <c r="T164" i="1" s="1"/>
  <c r="N164" i="1"/>
  <c r="A164" i="1" a="1"/>
  <c r="A164" i="1" s="1"/>
  <c r="AF164" i="1" s="1" a="1"/>
  <c r="AF164" i="1" s="1"/>
  <c r="X164" i="1" s="1"/>
  <c r="R163" i="1"/>
  <c r="T163" i="1" s="1"/>
  <c r="N163" i="1"/>
  <c r="A163" i="1" a="1"/>
  <c r="A163" i="1" s="1"/>
  <c r="AF162" i="1" a="1"/>
  <c r="AF162" i="1"/>
  <c r="X162" i="1" s="1"/>
  <c r="T162" i="1"/>
  <c r="R162" i="1"/>
  <c r="N162" i="1"/>
  <c r="A162" i="1" a="1"/>
  <c r="A162" i="1"/>
  <c r="AG162" i="1" s="1" a="1"/>
  <c r="AG162" i="1" s="1"/>
  <c r="Y162" i="1" s="1"/>
  <c r="R161" i="1"/>
  <c r="T161" i="1" s="1"/>
  <c r="N161" i="1"/>
  <c r="A161" i="1" a="1"/>
  <c r="A161" i="1" s="1"/>
  <c r="AF161" i="1" s="1" a="1"/>
  <c r="AF161" i="1" s="1"/>
  <c r="X161" i="1" s="1"/>
  <c r="AA161" i="1" s="1"/>
  <c r="R160" i="1"/>
  <c r="T160" i="1" s="1"/>
  <c r="N160" i="1"/>
  <c r="A160" i="1" a="1"/>
  <c r="A160" i="1" s="1"/>
  <c r="T159" i="1"/>
  <c r="R159" i="1"/>
  <c r="N159" i="1"/>
  <c r="A159" i="1" a="1"/>
  <c r="A159" i="1" s="1"/>
  <c r="R158" i="1"/>
  <c r="T158" i="1" s="1"/>
  <c r="N158" i="1"/>
  <c r="A158" i="1" a="1"/>
  <c r="A158" i="1" s="1"/>
  <c r="AF158" i="1" s="1" a="1"/>
  <c r="AF158" i="1" s="1"/>
  <c r="X158" i="1" s="1"/>
  <c r="R157" i="1"/>
  <c r="T157" i="1" s="1"/>
  <c r="N157" i="1"/>
  <c r="A157" i="1" a="1"/>
  <c r="A157" i="1" s="1"/>
  <c r="T156" i="1"/>
  <c r="R156" i="1"/>
  <c r="N156" i="1"/>
  <c r="A156" i="1" a="1"/>
  <c r="A156" i="1" s="1"/>
  <c r="R155" i="1"/>
  <c r="T155" i="1" s="1"/>
  <c r="N155" i="1"/>
  <c r="A155" i="1" a="1"/>
  <c r="A155" i="1" s="1"/>
  <c r="R154" i="1"/>
  <c r="T154" i="1" s="1"/>
  <c r="N154" i="1"/>
  <c r="A154" i="1" a="1"/>
  <c r="A154" i="1" s="1"/>
  <c r="R153" i="1"/>
  <c r="T153" i="1" s="1"/>
  <c r="N153" i="1"/>
  <c r="A153" i="1" a="1"/>
  <c r="A153" i="1"/>
  <c r="AG153" i="1" s="1" a="1"/>
  <c r="AG153" i="1" s="1"/>
  <c r="Y153" i="1" s="1"/>
  <c r="R152" i="1"/>
  <c r="T152" i="1" s="1"/>
  <c r="N152" i="1"/>
  <c r="A152" i="1" a="1"/>
  <c r="A152" i="1" s="1"/>
  <c r="AF152" i="1" s="1" a="1"/>
  <c r="AF152" i="1" s="1"/>
  <c r="X152" i="1" s="1"/>
  <c r="T151" i="1"/>
  <c r="R151" i="1"/>
  <c r="N151" i="1"/>
  <c r="A151" i="1" a="1"/>
  <c r="A151" i="1" s="1"/>
  <c r="R150" i="1"/>
  <c r="T150" i="1" s="1"/>
  <c r="N150" i="1"/>
  <c r="A150" i="1" a="1"/>
  <c r="A150" i="1" s="1"/>
  <c r="R149" i="1"/>
  <c r="T149" i="1" s="1"/>
  <c r="N149" i="1"/>
  <c r="A149" i="1" a="1"/>
  <c r="A149" i="1" s="1"/>
  <c r="AF149" i="1" s="1" a="1"/>
  <c r="AF149" i="1" s="1"/>
  <c r="X149" i="1" s="1"/>
  <c r="R148" i="1"/>
  <c r="T148" i="1" s="1"/>
  <c r="N148" i="1"/>
  <c r="A148" i="1" a="1"/>
  <c r="A148" i="1" s="1"/>
  <c r="T147" i="1"/>
  <c r="R147" i="1"/>
  <c r="N147" i="1"/>
  <c r="A147" i="1" a="1"/>
  <c r="A147" i="1"/>
  <c r="R146" i="1"/>
  <c r="T146" i="1" s="1"/>
  <c r="N146" i="1"/>
  <c r="A146" i="1" a="1"/>
  <c r="A146" i="1" s="1"/>
  <c r="AF146" i="1" s="1" a="1"/>
  <c r="AF146" i="1" s="1"/>
  <c r="X146" i="1" s="1"/>
  <c r="R145" i="1"/>
  <c r="T145" i="1" s="1"/>
  <c r="N145" i="1"/>
  <c r="A145" i="1" a="1"/>
  <c r="A145" i="1" s="1"/>
  <c r="R144" i="1"/>
  <c r="T144" i="1" s="1"/>
  <c r="N144" i="1"/>
  <c r="A144" i="1" a="1"/>
  <c r="A144" i="1" s="1"/>
  <c r="R143" i="1"/>
  <c r="T143" i="1" s="1"/>
  <c r="N143" i="1"/>
  <c r="A143" i="1" a="1"/>
  <c r="A143" i="1" s="1"/>
  <c r="R142" i="1"/>
  <c r="T142" i="1" s="1"/>
  <c r="N142" i="1"/>
  <c r="A142" i="1" a="1"/>
  <c r="A142" i="1" s="1"/>
  <c r="R141" i="1"/>
  <c r="T141" i="1" s="1"/>
  <c r="N141" i="1"/>
  <c r="A141" i="1" a="1"/>
  <c r="A141" i="1" s="1"/>
  <c r="AG141" i="1" s="1" a="1"/>
  <c r="AG141" i="1" s="1"/>
  <c r="Y141" i="1" s="1"/>
  <c r="R140" i="1"/>
  <c r="T140" i="1" s="1"/>
  <c r="N140" i="1"/>
  <c r="A140" i="1" a="1"/>
  <c r="A140" i="1" s="1"/>
  <c r="AF140" i="1" s="1" a="1"/>
  <c r="AF140" i="1" s="1"/>
  <c r="X140" i="1" s="1"/>
  <c r="R139" i="1"/>
  <c r="T139" i="1" s="1"/>
  <c r="N139" i="1"/>
  <c r="A139" i="1" a="1"/>
  <c r="A139" i="1" s="1"/>
  <c r="T138" i="1"/>
  <c r="R138" i="1"/>
  <c r="N138" i="1"/>
  <c r="A138" i="1" a="1"/>
  <c r="A138" i="1" s="1"/>
  <c r="R137" i="1"/>
  <c r="T137" i="1" s="1"/>
  <c r="N137" i="1"/>
  <c r="A137" i="1" a="1"/>
  <c r="A137" i="1" s="1"/>
  <c r="AF137" i="1" s="1" a="1"/>
  <c r="AF137" i="1" s="1"/>
  <c r="X137" i="1" s="1"/>
  <c r="AA137" i="1" s="1"/>
  <c r="R136" i="1"/>
  <c r="T136" i="1" s="1"/>
  <c r="N136" i="1"/>
  <c r="A136" i="1" a="1"/>
  <c r="A136" i="1" s="1"/>
  <c r="T135" i="1"/>
  <c r="R135" i="1"/>
  <c r="N135" i="1"/>
  <c r="A135" i="1" a="1"/>
  <c r="A135" i="1" s="1"/>
  <c r="R134" i="1"/>
  <c r="T134" i="1" s="1"/>
  <c r="N134" i="1"/>
  <c r="A134" i="1" a="1"/>
  <c r="A134" i="1" s="1"/>
  <c r="AF134" i="1" s="1" a="1"/>
  <c r="AF134" i="1" s="1"/>
  <c r="X134" i="1" s="1"/>
  <c r="R133" i="1"/>
  <c r="T133" i="1" s="1"/>
  <c r="N133" i="1"/>
  <c r="A133" i="1" a="1"/>
  <c r="A133" i="1" s="1"/>
  <c r="AF132" i="1" a="1"/>
  <c r="AF132" i="1" s="1"/>
  <c r="X132" i="1" s="1"/>
  <c r="T132" i="1"/>
  <c r="R132" i="1"/>
  <c r="N132" i="1"/>
  <c r="A132" i="1" a="1"/>
  <c r="A132" i="1"/>
  <c r="AG132" i="1" s="1" a="1"/>
  <c r="AG132" i="1" s="1"/>
  <c r="Y132" i="1" s="1"/>
  <c r="R131" i="1"/>
  <c r="T131" i="1" s="1"/>
  <c r="N131" i="1"/>
  <c r="A131" i="1" a="1"/>
  <c r="A131" i="1" s="1"/>
  <c r="R130" i="1"/>
  <c r="T130" i="1" s="1"/>
  <c r="N130" i="1"/>
  <c r="A130" i="1" a="1"/>
  <c r="A130" i="1" s="1"/>
  <c r="R129" i="1"/>
  <c r="T129" i="1" s="1"/>
  <c r="N129" i="1"/>
  <c r="A129" i="1" a="1"/>
  <c r="A129" i="1"/>
  <c r="AG129" i="1" s="1" a="1"/>
  <c r="AG129" i="1" s="1"/>
  <c r="Y129" i="1" s="1"/>
  <c r="R128" i="1"/>
  <c r="T128" i="1" s="1"/>
  <c r="N128" i="1"/>
  <c r="A128" i="1" a="1"/>
  <c r="A128" i="1" s="1"/>
  <c r="AF128" i="1" s="1" a="1"/>
  <c r="AF128" i="1" s="1"/>
  <c r="X128" i="1" s="1"/>
  <c r="T127" i="1"/>
  <c r="R127" i="1"/>
  <c r="N127" i="1"/>
  <c r="A127" i="1" a="1"/>
  <c r="A127" i="1" s="1"/>
  <c r="R126" i="1"/>
  <c r="T126" i="1" s="1"/>
  <c r="N126" i="1"/>
  <c r="A126" i="1" a="1"/>
  <c r="A126" i="1" s="1"/>
  <c r="R125" i="1"/>
  <c r="T125" i="1" s="1"/>
  <c r="N125" i="1"/>
  <c r="A125" i="1" a="1"/>
  <c r="A125" i="1" s="1"/>
  <c r="AF125" i="1" s="1" a="1"/>
  <c r="AF125" i="1" s="1"/>
  <c r="X125" i="1" s="1"/>
  <c r="R124" i="1"/>
  <c r="T124" i="1" s="1"/>
  <c r="N124" i="1"/>
  <c r="A124" i="1" a="1"/>
  <c r="A124" i="1" s="1"/>
  <c r="R123" i="1"/>
  <c r="T123" i="1" s="1"/>
  <c r="N123" i="1"/>
  <c r="A123" i="1" a="1"/>
  <c r="A123" i="1"/>
  <c r="R122" i="1"/>
  <c r="T122" i="1" s="1"/>
  <c r="N122" i="1"/>
  <c r="A122" i="1" a="1"/>
  <c r="A122" i="1" s="1"/>
  <c r="AF122" i="1" s="1" a="1"/>
  <c r="AF122" i="1" s="1"/>
  <c r="X122" i="1" s="1"/>
  <c r="R121" i="1"/>
  <c r="T121" i="1" s="1"/>
  <c r="N121" i="1"/>
  <c r="A121" i="1" a="1"/>
  <c r="A121" i="1" s="1"/>
  <c r="R120" i="1"/>
  <c r="T120" i="1" s="1"/>
  <c r="N120" i="1"/>
  <c r="A120" i="1" a="1"/>
  <c r="A120" i="1" s="1"/>
  <c r="R119" i="1"/>
  <c r="T119" i="1" s="1"/>
  <c r="N119" i="1"/>
  <c r="A119" i="1" a="1"/>
  <c r="A119" i="1" s="1"/>
  <c r="R118" i="1"/>
  <c r="T118" i="1" s="1"/>
  <c r="N118" i="1"/>
  <c r="A118" i="1" a="1"/>
  <c r="A118" i="1" s="1"/>
  <c r="R117" i="1"/>
  <c r="T117" i="1" s="1"/>
  <c r="N117" i="1"/>
  <c r="A117" i="1" a="1"/>
  <c r="A117" i="1" s="1"/>
  <c r="AG117" i="1" s="1" a="1"/>
  <c r="AG117" i="1" s="1"/>
  <c r="Y117" i="1" s="1"/>
  <c r="R116" i="1"/>
  <c r="T116" i="1" s="1"/>
  <c r="N116" i="1"/>
  <c r="A116" i="1" a="1"/>
  <c r="A116" i="1" s="1"/>
  <c r="AF116" i="1" s="1" a="1"/>
  <c r="AF116" i="1" s="1"/>
  <c r="X116" i="1" s="1"/>
  <c r="R115" i="1"/>
  <c r="T115" i="1" s="1"/>
  <c r="N115" i="1"/>
  <c r="A115" i="1" a="1"/>
  <c r="A115" i="1" s="1"/>
  <c r="T114" i="1"/>
  <c r="R114" i="1"/>
  <c r="N114" i="1"/>
  <c r="A114" i="1" a="1"/>
  <c r="A114" i="1" s="1"/>
  <c r="R113" i="1"/>
  <c r="T113" i="1" s="1"/>
  <c r="N113" i="1"/>
  <c r="A113" i="1" a="1"/>
  <c r="A113" i="1"/>
  <c r="AF113" i="1" s="1" a="1"/>
  <c r="AF113" i="1" s="1"/>
  <c r="X113" i="1" s="1"/>
  <c r="AA113" i="1" s="1"/>
  <c r="R112" i="1"/>
  <c r="T112" i="1" s="1"/>
  <c r="N112" i="1"/>
  <c r="A112" i="1" a="1"/>
  <c r="A112" i="1" s="1"/>
  <c r="AF111" i="1" a="1"/>
  <c r="AF111" i="1" s="1"/>
  <c r="X111" i="1" s="1"/>
  <c r="T111" i="1"/>
  <c r="R111" i="1"/>
  <c r="N111" i="1"/>
  <c r="A111" i="1" a="1"/>
  <c r="A111" i="1"/>
  <c r="AG111" i="1" s="1" a="1"/>
  <c r="AG111" i="1" s="1"/>
  <c r="Y111" i="1" s="1"/>
  <c r="R110" i="1"/>
  <c r="T110" i="1" s="1"/>
  <c r="N110" i="1"/>
  <c r="A110" i="1" a="1"/>
  <c r="A110" i="1" s="1"/>
  <c r="AF110" i="1" s="1" a="1"/>
  <c r="AF110" i="1" s="1"/>
  <c r="X110" i="1" s="1"/>
  <c r="T109" i="1"/>
  <c r="R109" i="1"/>
  <c r="N109" i="1"/>
  <c r="A109" i="1" a="1"/>
  <c r="A109" i="1" s="1"/>
  <c r="AF108" i="1" a="1"/>
  <c r="AF108" i="1" s="1"/>
  <c r="X108" i="1" s="1"/>
  <c r="Y108" i="1"/>
  <c r="T108" i="1"/>
  <c r="R108" i="1"/>
  <c r="N108" i="1"/>
  <c r="A108" i="1" a="1"/>
  <c r="A108" i="1"/>
  <c r="AG108" i="1" s="1" a="1"/>
  <c r="AG108" i="1" s="1"/>
  <c r="R107" i="1"/>
  <c r="T107" i="1" s="1"/>
  <c r="N107" i="1"/>
  <c r="A107" i="1" a="1"/>
  <c r="A107" i="1" s="1"/>
  <c r="R106" i="1"/>
  <c r="T106" i="1" s="1"/>
  <c r="N106" i="1"/>
  <c r="A106" i="1" a="1"/>
  <c r="A106" i="1" s="1"/>
  <c r="T105" i="1"/>
  <c r="R105" i="1"/>
  <c r="N105" i="1"/>
  <c r="A105" i="1" a="1"/>
  <c r="A105" i="1" s="1"/>
  <c r="AG105" i="1" s="1" a="1"/>
  <c r="AG105" i="1" s="1"/>
  <c r="Y105" i="1" s="1"/>
  <c r="R104" i="1"/>
  <c r="T104" i="1" s="1"/>
  <c r="N104" i="1"/>
  <c r="A104" i="1" a="1"/>
  <c r="A104" i="1" s="1"/>
  <c r="AF104" i="1" s="1" a="1"/>
  <c r="AF104" i="1" s="1"/>
  <c r="X104" i="1" s="1"/>
  <c r="R103" i="1"/>
  <c r="T103" i="1" s="1"/>
  <c r="N103" i="1"/>
  <c r="A103" i="1" a="1"/>
  <c r="A103" i="1" s="1"/>
  <c r="AF102" i="1" a="1"/>
  <c r="AF102" i="1" s="1"/>
  <c r="X102" i="1" s="1"/>
  <c r="R102" i="1"/>
  <c r="T102" i="1" s="1"/>
  <c r="N102" i="1"/>
  <c r="A102" i="1" a="1"/>
  <c r="A102" i="1"/>
  <c r="AG102" i="1" s="1" a="1"/>
  <c r="AG102" i="1" s="1"/>
  <c r="Y102" i="1" s="1"/>
  <c r="R101" i="1"/>
  <c r="T101" i="1" s="1"/>
  <c r="N101" i="1"/>
  <c r="A101" i="1" a="1"/>
  <c r="A101" i="1" s="1"/>
  <c r="AF101" i="1" s="1" a="1"/>
  <c r="AF101" i="1" s="1"/>
  <c r="X101" i="1" s="1"/>
  <c r="AA101" i="1" s="1"/>
  <c r="R100" i="1"/>
  <c r="T100" i="1" s="1"/>
  <c r="N100" i="1"/>
  <c r="A100" i="1" a="1"/>
  <c r="A100" i="1" s="1"/>
  <c r="R99" i="1"/>
  <c r="T99" i="1" s="1"/>
  <c r="N99" i="1"/>
  <c r="A99" i="1" a="1"/>
  <c r="A99" i="1" s="1"/>
  <c r="R98" i="1"/>
  <c r="T98" i="1" s="1"/>
  <c r="N98" i="1"/>
  <c r="A98" i="1" a="1"/>
  <c r="A98" i="1" s="1"/>
  <c r="AF98" i="1" s="1" a="1"/>
  <c r="AF98" i="1" s="1"/>
  <c r="X98" i="1" s="1"/>
  <c r="T97" i="1"/>
  <c r="R97" i="1"/>
  <c r="N97" i="1"/>
  <c r="A97" i="1" a="1"/>
  <c r="A97" i="1" s="1"/>
  <c r="R96" i="1"/>
  <c r="T96" i="1" s="1"/>
  <c r="N96" i="1"/>
  <c r="A96" i="1" a="1"/>
  <c r="A96" i="1"/>
  <c r="R95" i="1"/>
  <c r="T95" i="1" s="1"/>
  <c r="N95" i="1"/>
  <c r="A95" i="1" a="1"/>
  <c r="A95" i="1" s="1"/>
  <c r="R94" i="1"/>
  <c r="T94" i="1" s="1"/>
  <c r="N94" i="1"/>
  <c r="A94" i="1" a="1"/>
  <c r="A94" i="1" s="1"/>
  <c r="R93" i="1"/>
  <c r="T93" i="1" s="1"/>
  <c r="N93" i="1"/>
  <c r="A93" i="1" a="1"/>
  <c r="A93" i="1"/>
  <c r="AG93" i="1" s="1" a="1"/>
  <c r="AG93" i="1" s="1"/>
  <c r="Y93" i="1" s="1"/>
  <c r="R92" i="1"/>
  <c r="T92" i="1" s="1"/>
  <c r="N92" i="1"/>
  <c r="A92" i="1" a="1"/>
  <c r="A92" i="1" s="1"/>
  <c r="T91" i="1"/>
  <c r="R91" i="1"/>
  <c r="N91" i="1"/>
  <c r="A91" i="1" a="1"/>
  <c r="A91" i="1" s="1"/>
  <c r="R90" i="1"/>
  <c r="T90" i="1" s="1"/>
  <c r="N90" i="1"/>
  <c r="A90" i="1" a="1"/>
  <c r="A90" i="1"/>
  <c r="R89" i="1"/>
  <c r="T89" i="1" s="1"/>
  <c r="N89" i="1"/>
  <c r="A89" i="1" a="1"/>
  <c r="A89" i="1" s="1"/>
  <c r="R88" i="1"/>
  <c r="T88" i="1" s="1"/>
  <c r="N88" i="1"/>
  <c r="A88" i="1" a="1"/>
  <c r="A88" i="1" s="1"/>
  <c r="T87" i="1"/>
  <c r="R87" i="1"/>
  <c r="N87" i="1"/>
  <c r="A87" i="1" a="1"/>
  <c r="A87" i="1" s="1"/>
  <c r="R86" i="1"/>
  <c r="T86" i="1" s="1"/>
  <c r="N86" i="1"/>
  <c r="A86" i="1" a="1"/>
  <c r="A86" i="1"/>
  <c r="AF86" i="1" s="1" a="1"/>
  <c r="AF86" i="1" s="1"/>
  <c r="X86" i="1" s="1"/>
  <c r="T85" i="1"/>
  <c r="R85" i="1"/>
  <c r="N85" i="1"/>
  <c r="A85" i="1" a="1"/>
  <c r="A85" i="1" s="1"/>
  <c r="T84" i="1"/>
  <c r="R84" i="1"/>
  <c r="N84" i="1"/>
  <c r="A84" i="1" a="1"/>
  <c r="A84" i="1" s="1"/>
  <c r="R83" i="1"/>
  <c r="T83" i="1" s="1"/>
  <c r="N83" i="1"/>
  <c r="A83" i="1" a="1"/>
  <c r="A83" i="1"/>
  <c r="AF83" i="1" s="1" a="1"/>
  <c r="AF83" i="1" s="1"/>
  <c r="X83" i="1" s="1"/>
  <c r="AA83" i="1" s="1"/>
  <c r="R82" i="1"/>
  <c r="T82" i="1" s="1"/>
  <c r="N82" i="1"/>
  <c r="A82" i="1" a="1"/>
  <c r="A82" i="1" s="1"/>
  <c r="T81" i="1"/>
  <c r="R81" i="1"/>
  <c r="N81" i="1"/>
  <c r="A81" i="1" a="1"/>
  <c r="A81" i="1" s="1"/>
  <c r="AG81" i="1" s="1" a="1"/>
  <c r="AG81" i="1" s="1"/>
  <c r="Y81" i="1" s="1"/>
  <c r="R80" i="1"/>
  <c r="T80" i="1" s="1"/>
  <c r="N80" i="1"/>
  <c r="A80" i="1" a="1"/>
  <c r="A80" i="1"/>
  <c r="AF80" i="1" s="1" a="1"/>
  <c r="AF80" i="1" s="1"/>
  <c r="X80" i="1" s="1"/>
  <c r="R79" i="1"/>
  <c r="T79" i="1" s="1"/>
  <c r="N79" i="1"/>
  <c r="A79" i="1" a="1"/>
  <c r="A79" i="1" s="1"/>
  <c r="R78" i="1"/>
  <c r="T78" i="1" s="1"/>
  <c r="N78" i="1"/>
  <c r="A78" i="1" a="1"/>
  <c r="A78" i="1" s="1"/>
  <c r="AB77" i="1"/>
  <c r="A77" i="1" a="1"/>
  <c r="A77" i="1" s="1"/>
  <c r="T76" i="1"/>
  <c r="R76" i="1"/>
  <c r="N76" i="1"/>
  <c r="A76" i="1" a="1"/>
  <c r="A76" i="1" s="1"/>
  <c r="AA75" i="1"/>
  <c r="T75" i="1"/>
  <c r="R75" i="1"/>
  <c r="N75" i="1"/>
  <c r="A75" i="1" a="1"/>
  <c r="A75" i="1" s="1"/>
  <c r="AF75" i="1" s="1" a="1"/>
  <c r="AF75" i="1" s="1"/>
  <c r="R74" i="1"/>
  <c r="T74" i="1" s="1"/>
  <c r="AA74" i="1" s="1"/>
  <c r="N74" i="1"/>
  <c r="A74" i="1" a="1"/>
  <c r="A74" i="1" s="1"/>
  <c r="R73" i="1"/>
  <c r="T73" i="1" s="1"/>
  <c r="N73" i="1"/>
  <c r="A73" i="1" a="1"/>
  <c r="A73" i="1" s="1"/>
  <c r="R72" i="1"/>
  <c r="T72" i="1" s="1"/>
  <c r="N72" i="1"/>
  <c r="A72" i="1" a="1"/>
  <c r="A72" i="1" s="1"/>
  <c r="AG72" i="1" s="1" a="1"/>
  <c r="AG72" i="1" s="1"/>
  <c r="Y72" i="1" s="1"/>
  <c r="T71" i="1"/>
  <c r="R71" i="1"/>
  <c r="N71" i="1"/>
  <c r="A71" i="1" a="1"/>
  <c r="A71" i="1" s="1"/>
  <c r="AG71" i="1" s="1" a="1"/>
  <c r="AG71" i="1" s="1"/>
  <c r="Y71" i="1" s="1"/>
  <c r="R70" i="1"/>
  <c r="T70" i="1" s="1"/>
  <c r="N70" i="1"/>
  <c r="A70" i="1" a="1"/>
  <c r="A70" i="1" s="1"/>
  <c r="AF70" i="1" s="1" a="1"/>
  <c r="AF70" i="1" s="1"/>
  <c r="X70" i="1" s="1"/>
  <c r="R69" i="1"/>
  <c r="T69" i="1" s="1"/>
  <c r="N69" i="1"/>
  <c r="A69" i="1" a="1"/>
  <c r="A69" i="1" s="1"/>
  <c r="R68" i="1"/>
  <c r="T68" i="1" s="1"/>
  <c r="N68" i="1"/>
  <c r="A68" i="1" a="1"/>
  <c r="A68" i="1"/>
  <c r="R67" i="1"/>
  <c r="T67" i="1" s="1"/>
  <c r="N67" i="1"/>
  <c r="A67" i="1" a="1"/>
  <c r="A67" i="1" s="1"/>
  <c r="R66" i="1"/>
  <c r="T66" i="1" s="1"/>
  <c r="N66" i="1"/>
  <c r="A66" i="1" a="1"/>
  <c r="A66" i="1" s="1"/>
  <c r="R65" i="1"/>
  <c r="T65" i="1" s="1"/>
  <c r="N65" i="1"/>
  <c r="A65" i="1" a="1"/>
  <c r="A65" i="1" s="1"/>
  <c r="R64" i="1"/>
  <c r="T64" i="1" s="1"/>
  <c r="N64" i="1"/>
  <c r="A64" i="1" a="1"/>
  <c r="A64" i="1" s="1"/>
  <c r="R63" i="1"/>
  <c r="T63" i="1" s="1"/>
  <c r="N63" i="1"/>
  <c r="A63" i="1" a="1"/>
  <c r="A63" i="1" s="1"/>
  <c r="R62" i="1"/>
  <c r="T62" i="1" s="1"/>
  <c r="N62" i="1"/>
  <c r="A62" i="1" a="1"/>
  <c r="A62" i="1" s="1"/>
  <c r="AG62" i="1" s="1" a="1"/>
  <c r="AG62" i="1" s="1"/>
  <c r="Y62" i="1" s="1"/>
  <c r="R61" i="1"/>
  <c r="T61" i="1" s="1"/>
  <c r="N61" i="1"/>
  <c r="A61" i="1" a="1"/>
  <c r="A61" i="1" s="1"/>
  <c r="R60" i="1"/>
  <c r="T60" i="1" s="1"/>
  <c r="N60" i="1"/>
  <c r="A60" i="1" a="1"/>
  <c r="A60" i="1" s="1"/>
  <c r="R59" i="1"/>
  <c r="T59" i="1" s="1"/>
  <c r="N59" i="1"/>
  <c r="A59" i="1" a="1"/>
  <c r="A59" i="1" s="1"/>
  <c r="AG59" i="1" s="1" a="1"/>
  <c r="AG59" i="1" s="1"/>
  <c r="Y59" i="1" s="1"/>
  <c r="R58" i="1"/>
  <c r="T58" i="1" s="1"/>
  <c r="N58" i="1"/>
  <c r="A58" i="1" a="1"/>
  <c r="A58" i="1" s="1"/>
  <c r="AF58" i="1" s="1" a="1"/>
  <c r="AF58" i="1" s="1"/>
  <c r="X58" i="1" s="1"/>
  <c r="R57" i="1"/>
  <c r="T57" i="1" s="1"/>
  <c r="N57" i="1"/>
  <c r="A57" i="1" a="1"/>
  <c r="A57" i="1" s="1"/>
  <c r="AG57" i="1" s="1" a="1"/>
  <c r="AG57" i="1" s="1"/>
  <c r="Y57" i="1" s="1"/>
  <c r="AF56" i="1" a="1"/>
  <c r="AF56" i="1" s="1"/>
  <c r="X56" i="1" s="1"/>
  <c r="T56" i="1"/>
  <c r="R56" i="1"/>
  <c r="N56" i="1"/>
  <c r="A56" i="1" a="1"/>
  <c r="A56" i="1"/>
  <c r="AG56" i="1" s="1" a="1"/>
  <c r="AG56" i="1" s="1"/>
  <c r="Y56" i="1" s="1"/>
  <c r="R55" i="1"/>
  <c r="T55" i="1" s="1"/>
  <c r="N55" i="1"/>
  <c r="A55" i="1" a="1"/>
  <c r="A55" i="1" s="1"/>
  <c r="T54" i="1"/>
  <c r="R54" i="1"/>
  <c r="N54" i="1"/>
  <c r="A54" i="1" a="1"/>
  <c r="A54" i="1" s="1"/>
  <c r="AF54" i="1" s="1" a="1"/>
  <c r="AF54" i="1" s="1"/>
  <c r="X54" i="1" s="1"/>
  <c r="AA54" i="1" s="1"/>
  <c r="R53" i="1"/>
  <c r="T53" i="1" s="1"/>
  <c r="N53" i="1"/>
  <c r="A53" i="1" a="1"/>
  <c r="A53" i="1" s="1"/>
  <c r="AG53" i="1" s="1" a="1"/>
  <c r="AG53" i="1" s="1"/>
  <c r="Y53" i="1" s="1"/>
  <c r="R464" i="1"/>
  <c r="T464" i="1" s="1"/>
  <c r="N464" i="1"/>
  <c r="A464" i="1" a="1"/>
  <c r="A464" i="1" s="1"/>
  <c r="AF451" i="1" a="1"/>
  <c r="AF451" i="1" s="1"/>
  <c r="X451" i="1" s="1"/>
  <c r="T451" i="1"/>
  <c r="R451" i="1"/>
  <c r="N451" i="1"/>
  <c r="A451" i="1" a="1"/>
  <c r="A451" i="1" s="1"/>
  <c r="AG451" i="1" s="1" a="1"/>
  <c r="AG451" i="1" s="1"/>
  <c r="Y451" i="1" s="1"/>
  <c r="AG50" i="1"/>
  <c r="Y50" i="1" s="1"/>
  <c r="AF50" i="1" a="1"/>
  <c r="AF50" i="1"/>
  <c r="X50" i="1" s="1"/>
  <c r="T50" i="1"/>
  <c r="R50" i="1"/>
  <c r="N50" i="1"/>
  <c r="A50" i="1" a="1"/>
  <c r="A50" i="1"/>
  <c r="AG50" i="1" s="1" a="1"/>
  <c r="R49" i="1"/>
  <c r="T49" i="1" s="1"/>
  <c r="N49" i="1"/>
  <c r="A49" i="1" a="1"/>
  <c r="A49" i="1" s="1"/>
  <c r="T48" i="1"/>
  <c r="AB48" i="1" s="1"/>
  <c r="R48" i="1"/>
  <c r="N48" i="1"/>
  <c r="A48" i="1" a="1"/>
  <c r="A48" i="1" s="1"/>
  <c r="AG48" i="1" s="1" a="1"/>
  <c r="AG48" i="1" s="1"/>
  <c r="Y48" i="1" s="1"/>
  <c r="T47" i="1"/>
  <c r="R47" i="1"/>
  <c r="N47" i="1"/>
  <c r="A47" i="1" a="1"/>
  <c r="A47" i="1"/>
  <c r="AG47" i="1" s="1" a="1"/>
  <c r="AG47" i="1" s="1"/>
  <c r="Y47" i="1" s="1"/>
  <c r="AB47" i="1" s="1"/>
  <c r="R46" i="1"/>
  <c r="T46" i="1" s="1"/>
  <c r="N46" i="1"/>
  <c r="A46" i="1" a="1"/>
  <c r="A46" i="1" s="1"/>
  <c r="AF45" i="1"/>
  <c r="X45" i="1" s="1"/>
  <c r="R45" i="1"/>
  <c r="T45" i="1" s="1"/>
  <c r="N45" i="1"/>
  <c r="A45" i="1" a="1"/>
  <c r="A45" i="1" s="1"/>
  <c r="AF45" i="1" s="1" a="1"/>
  <c r="AF44" i="1" a="1"/>
  <c r="AF44" i="1" s="1"/>
  <c r="X44" i="1" s="1"/>
  <c r="T44" i="1"/>
  <c r="R44" i="1"/>
  <c r="N44" i="1"/>
  <c r="A44" i="1" a="1"/>
  <c r="A44" i="1"/>
  <c r="AG44" i="1" s="1" a="1"/>
  <c r="AG44" i="1" s="1"/>
  <c r="Y44" i="1" s="1"/>
  <c r="R43" i="1"/>
  <c r="T43" i="1" s="1"/>
  <c r="N43" i="1"/>
  <c r="A43" i="1" a="1"/>
  <c r="A43" i="1"/>
  <c r="AF43" i="1" s="1" a="1"/>
  <c r="AF43" i="1" s="1"/>
  <c r="X43" i="1" s="1"/>
  <c r="AF42" i="1" a="1"/>
  <c r="AF42" i="1" s="1"/>
  <c r="X42" i="1" s="1"/>
  <c r="R42" i="1"/>
  <c r="T42" i="1" s="1"/>
  <c r="N42" i="1"/>
  <c r="A42" i="1" a="1"/>
  <c r="A42" i="1" s="1"/>
  <c r="AG42" i="1" s="1" a="1"/>
  <c r="AG42" i="1" s="1"/>
  <c r="Y42" i="1" s="1"/>
  <c r="AF41" i="1" a="1"/>
  <c r="AF41" i="1"/>
  <c r="X41" i="1"/>
  <c r="T41" i="1"/>
  <c r="R41" i="1"/>
  <c r="N41" i="1"/>
  <c r="A41" i="1" a="1"/>
  <c r="A41" i="1"/>
  <c r="AG41" i="1" s="1" a="1"/>
  <c r="AG41" i="1" s="1"/>
  <c r="Y41" i="1" s="1"/>
  <c r="AB41" i="1" s="1"/>
  <c r="R40" i="1"/>
  <c r="T40" i="1" s="1"/>
  <c r="N40" i="1"/>
  <c r="A40" i="1" a="1"/>
  <c r="A40" i="1"/>
  <c r="AG40" i="1" s="1" a="1"/>
  <c r="AG40" i="1" s="1"/>
  <c r="Y40" i="1" s="1"/>
  <c r="T39" i="1"/>
  <c r="R39" i="1"/>
  <c r="N39" i="1"/>
  <c r="A39" i="1" a="1"/>
  <c r="A39" i="1" s="1"/>
  <c r="AF39" i="1" s="1" a="1"/>
  <c r="AF39" i="1" s="1"/>
  <c r="X39" i="1" s="1"/>
  <c r="R38" i="1"/>
  <c r="T38" i="1" s="1"/>
  <c r="N38" i="1"/>
  <c r="A38" i="1" a="1"/>
  <c r="A38" i="1"/>
  <c r="AG38" i="1" s="1" a="1"/>
  <c r="AG38" i="1" s="1"/>
  <c r="Y38" i="1" s="1"/>
  <c r="R37" i="1"/>
  <c r="T37" i="1" s="1"/>
  <c r="N37" i="1"/>
  <c r="A37" i="1" a="1"/>
  <c r="A37" i="1" s="1"/>
  <c r="AF36" i="1" a="1"/>
  <c r="AF36" i="1"/>
  <c r="X36" i="1" s="1"/>
  <c r="R36" i="1"/>
  <c r="T36" i="1" s="1"/>
  <c r="N36" i="1"/>
  <c r="A36" i="1" a="1"/>
  <c r="A36" i="1" s="1"/>
  <c r="AG36" i="1" s="1" a="1"/>
  <c r="AG36" i="1" s="1"/>
  <c r="Y36" i="1" s="1"/>
  <c r="T35" i="1"/>
  <c r="R35" i="1"/>
  <c r="N35" i="1"/>
  <c r="A35" i="1" a="1"/>
  <c r="A35" i="1" s="1"/>
  <c r="AG34" i="1" a="1"/>
  <c r="AG34" i="1"/>
  <c r="Y34" i="1" s="1"/>
  <c r="R34" i="1"/>
  <c r="T34" i="1" s="1"/>
  <c r="N34" i="1"/>
  <c r="A34" i="1" a="1"/>
  <c r="A34" i="1"/>
  <c r="AF34" i="1" s="1" a="1"/>
  <c r="AF34" i="1" s="1"/>
  <c r="X34" i="1" s="1"/>
  <c r="AA34" i="1" s="1"/>
  <c r="AG33" i="1" a="1"/>
  <c r="AG33" i="1" s="1"/>
  <c r="Y33" i="1" s="1"/>
  <c r="AF33" i="1"/>
  <c r="X33" i="1"/>
  <c r="R33" i="1"/>
  <c r="T33" i="1" s="1"/>
  <c r="N33" i="1"/>
  <c r="A33" i="1" a="1"/>
  <c r="A33" i="1" s="1"/>
  <c r="AF33" i="1" s="1" a="1"/>
  <c r="AG32" i="1"/>
  <c r="Y32" i="1" s="1"/>
  <c r="T32" i="1"/>
  <c r="R32" i="1"/>
  <c r="N32" i="1"/>
  <c r="A32" i="1" a="1"/>
  <c r="A32" i="1"/>
  <c r="AG32" i="1" s="1" a="1"/>
  <c r="R31" i="1"/>
  <c r="T31" i="1" s="1"/>
  <c r="N31" i="1"/>
  <c r="A31" i="1" a="1"/>
  <c r="A31" i="1"/>
  <c r="AF31" i="1" s="1" a="1"/>
  <c r="AF31" i="1" s="1"/>
  <c r="X31" i="1" s="1"/>
  <c r="T30" i="1"/>
  <c r="R30" i="1"/>
  <c r="N30" i="1"/>
  <c r="A30" i="1" a="1"/>
  <c r="A30" i="1" s="1"/>
  <c r="AG30" i="1" s="1" a="1"/>
  <c r="AG30" i="1" s="1"/>
  <c r="Y30" i="1" s="1"/>
  <c r="AB30" i="1" s="1"/>
  <c r="AF29" i="1" a="1"/>
  <c r="AF29" i="1" s="1"/>
  <c r="X29" i="1" s="1"/>
  <c r="T29" i="1"/>
  <c r="R29" i="1"/>
  <c r="N29" i="1"/>
  <c r="A29" i="1" a="1"/>
  <c r="A29" i="1"/>
  <c r="AG29" i="1" s="1" a="1"/>
  <c r="AG29" i="1" s="1"/>
  <c r="Y29" i="1" s="1"/>
  <c r="R28" i="1"/>
  <c r="T28" i="1" s="1"/>
  <c r="N28" i="1"/>
  <c r="A28" i="1" a="1"/>
  <c r="A28" i="1" s="1"/>
  <c r="AG27" i="1" a="1"/>
  <c r="AG27" i="1" s="1"/>
  <c r="Y27" i="1" s="1"/>
  <c r="AB27" i="1" s="1"/>
  <c r="AF27" i="1"/>
  <c r="X27" i="1"/>
  <c r="AA27" i="1" s="1"/>
  <c r="T27" i="1"/>
  <c r="R27" i="1"/>
  <c r="N27" i="1"/>
  <c r="A27" i="1" a="1"/>
  <c r="A27" i="1" s="1"/>
  <c r="AF27" i="1" s="1" a="1"/>
  <c r="R26" i="1"/>
  <c r="T26" i="1" s="1"/>
  <c r="N26" i="1"/>
  <c r="A26" i="1" a="1"/>
  <c r="A26" i="1"/>
  <c r="AG26" i="1" s="1" a="1"/>
  <c r="AG26" i="1" s="1"/>
  <c r="Y26" i="1" s="1"/>
  <c r="R25" i="1"/>
  <c r="T25" i="1" s="1"/>
  <c r="N25" i="1"/>
  <c r="A25" i="1" a="1"/>
  <c r="A25" i="1" s="1"/>
  <c r="AF24" i="1" a="1"/>
  <c r="AF24" i="1" s="1"/>
  <c r="X24" i="1" s="1"/>
  <c r="R24" i="1"/>
  <c r="T24" i="1" s="1"/>
  <c r="N24" i="1"/>
  <c r="A24" i="1" a="1"/>
  <c r="A24" i="1" s="1"/>
  <c r="AG24" i="1" s="1" a="1"/>
  <c r="AG24" i="1" s="1"/>
  <c r="Y24" i="1" s="1"/>
  <c r="T23" i="1"/>
  <c r="R23" i="1"/>
  <c r="N23" i="1"/>
  <c r="A23" i="1" a="1"/>
  <c r="A23" i="1" s="1"/>
  <c r="AG22" i="1" a="1"/>
  <c r="AG22" i="1" s="1"/>
  <c r="Y22" i="1" s="1"/>
  <c r="R22" i="1"/>
  <c r="T22" i="1" s="1"/>
  <c r="N22" i="1"/>
  <c r="A22" i="1" a="1"/>
  <c r="A22" i="1"/>
  <c r="AF22" i="1" s="1" a="1"/>
  <c r="AF22" i="1" s="1"/>
  <c r="X22" i="1" s="1"/>
  <c r="AA22" i="1" s="1"/>
  <c r="AG21" i="1" a="1"/>
  <c r="AG21" i="1" s="1"/>
  <c r="Y21" i="1" s="1"/>
  <c r="AF21" i="1" a="1"/>
  <c r="AF21" i="1"/>
  <c r="X21" i="1" s="1"/>
  <c r="R21" i="1"/>
  <c r="T21" i="1" s="1"/>
  <c r="N21" i="1"/>
  <c r="A21" i="1" a="1"/>
  <c r="A21" i="1" s="1"/>
  <c r="T20" i="1"/>
  <c r="R20" i="1"/>
  <c r="N20" i="1"/>
  <c r="A20" i="1" a="1"/>
  <c r="A20" i="1" s="1"/>
  <c r="R19" i="1"/>
  <c r="T19" i="1" s="1"/>
  <c r="N19" i="1"/>
  <c r="A19" i="1" a="1"/>
  <c r="A19" i="1" s="1"/>
  <c r="AB18" i="1"/>
  <c r="T18" i="1"/>
  <c r="R18" i="1"/>
  <c r="N18" i="1"/>
  <c r="A18" i="1" a="1"/>
  <c r="A18" i="1" s="1"/>
  <c r="AG18" i="1" s="1" a="1"/>
  <c r="AG18" i="1" s="1"/>
  <c r="Y18" i="1" s="1"/>
  <c r="T17" i="1"/>
  <c r="R17" i="1"/>
  <c r="N17" i="1"/>
  <c r="A17" i="1" a="1"/>
  <c r="A17" i="1"/>
  <c r="AG17" i="1" s="1" a="1"/>
  <c r="AG17" i="1" s="1"/>
  <c r="Y17" i="1" s="1"/>
  <c r="AB17" i="1" s="1"/>
  <c r="AF16" i="1" a="1"/>
  <c r="AF16" i="1" s="1"/>
  <c r="X16" i="1" s="1"/>
  <c r="AA16" i="1" s="1"/>
  <c r="R16" i="1"/>
  <c r="T16" i="1" s="1"/>
  <c r="N16" i="1"/>
  <c r="A16" i="1" a="1"/>
  <c r="A16" i="1"/>
  <c r="AG16" i="1" s="1" a="1"/>
  <c r="AG16" i="1" s="1"/>
  <c r="Y16" i="1" s="1"/>
  <c r="AB16" i="1" s="1"/>
  <c r="T15" i="1"/>
  <c r="R15" i="1"/>
  <c r="N15" i="1"/>
  <c r="A15" i="1" a="1"/>
  <c r="A15" i="1" s="1"/>
  <c r="AG15" i="1" s="1" a="1"/>
  <c r="AG15" i="1" s="1"/>
  <c r="Y15" i="1" s="1"/>
  <c r="AB15" i="1" s="1"/>
  <c r="T14" i="1"/>
  <c r="R14" i="1"/>
  <c r="N14" i="1"/>
  <c r="A14" i="1" a="1"/>
  <c r="A14" i="1"/>
  <c r="AG14" i="1" s="1" a="1"/>
  <c r="AG14" i="1" s="1"/>
  <c r="Y14" i="1" s="1"/>
  <c r="AB14" i="1" s="1"/>
  <c r="AF13" i="1" a="1"/>
  <c r="AF13" i="1" s="1"/>
  <c r="X13" i="1" s="1"/>
  <c r="AA13" i="1" s="1"/>
  <c r="Z13" i="1" s="1"/>
  <c r="R13" i="1"/>
  <c r="T13" i="1" s="1"/>
  <c r="N13" i="1"/>
  <c r="A13" i="1" a="1"/>
  <c r="A13" i="1"/>
  <c r="AG13" i="1" s="1" a="1"/>
  <c r="AG13" i="1" s="1"/>
  <c r="Y13" i="1" s="1"/>
  <c r="AB13" i="1" s="1"/>
  <c r="T12" i="1"/>
  <c r="R12" i="1"/>
  <c r="N12" i="1"/>
  <c r="A12" i="1" a="1"/>
  <c r="A12" i="1" s="1"/>
  <c r="AG12" i="1" s="1" a="1"/>
  <c r="AG12" i="1" s="1"/>
  <c r="Y12" i="1" s="1"/>
  <c r="AB12" i="1" s="1"/>
  <c r="T11" i="1"/>
  <c r="R11" i="1"/>
  <c r="N11" i="1"/>
  <c r="A11" i="1" a="1"/>
  <c r="A11" i="1"/>
  <c r="AG11" i="1" s="1" a="1"/>
  <c r="AG11" i="1" s="1"/>
  <c r="Y11" i="1" s="1"/>
  <c r="AB11" i="1" s="1"/>
  <c r="AF10" i="1" a="1"/>
  <c r="AF10" i="1" s="1"/>
  <c r="X10" i="1" s="1"/>
  <c r="AA10" i="1" s="1"/>
  <c r="Z10" i="1" s="1"/>
  <c r="R10" i="1"/>
  <c r="T10" i="1" s="1"/>
  <c r="N10" i="1"/>
  <c r="A10" i="1" a="1"/>
  <c r="A10" i="1"/>
  <c r="AG10" i="1" s="1" a="1"/>
  <c r="AG10" i="1" s="1"/>
  <c r="Y10" i="1" s="1"/>
  <c r="AB10" i="1" s="1"/>
  <c r="T9" i="1"/>
  <c r="R9" i="1"/>
  <c r="N9" i="1"/>
  <c r="A9" i="1" a="1"/>
  <c r="A9" i="1" s="1"/>
  <c r="AG9" i="1" s="1" a="1"/>
  <c r="AG9" i="1" s="1"/>
  <c r="Y9" i="1" s="1"/>
  <c r="AB9" i="1" s="1"/>
  <c r="T8" i="1"/>
  <c r="R8" i="1"/>
  <c r="N8" i="1"/>
  <c r="A8" i="1" a="1"/>
  <c r="A8" i="1"/>
  <c r="AG8" i="1" s="1" a="1"/>
  <c r="AG8" i="1" s="1"/>
  <c r="Y8" i="1" s="1"/>
  <c r="AB8" i="1" s="1"/>
  <c r="AF7" i="1" a="1"/>
  <c r="AF7" i="1" s="1"/>
  <c r="X7" i="1" s="1"/>
  <c r="AA7" i="1" s="1"/>
  <c r="R7" i="1"/>
  <c r="T7" i="1" s="1"/>
  <c r="N7" i="1"/>
  <c r="A7" i="1" a="1"/>
  <c r="A7" i="1"/>
  <c r="AG7" i="1" s="1" a="1"/>
  <c r="AG7" i="1" s="1"/>
  <c r="Y7" i="1" s="1"/>
  <c r="AB7" i="1" s="1"/>
  <c r="T6" i="1"/>
  <c r="R6" i="1"/>
  <c r="N6" i="1"/>
  <c r="A6" i="1" a="1"/>
  <c r="A6" i="1" s="1"/>
  <c r="AG6" i="1" s="1" a="1"/>
  <c r="AG6" i="1" s="1"/>
  <c r="Y6" i="1" s="1"/>
  <c r="AB6" i="1" s="1"/>
  <c r="T5" i="1"/>
  <c r="R5" i="1"/>
  <c r="N5" i="1"/>
  <c r="A5" i="1" a="1"/>
  <c r="A5" i="1" s="1"/>
  <c r="R4" i="1"/>
  <c r="T4" i="1" s="1"/>
  <c r="N4" i="1"/>
  <c r="A4" i="1" a="1"/>
  <c r="A4" i="1" s="1"/>
  <c r="T3" i="1"/>
  <c r="R3" i="1"/>
  <c r="N3" i="1"/>
  <c r="A3" i="1" a="1"/>
  <c r="A3" i="1" s="1"/>
  <c r="AG3" i="1" s="1" a="1"/>
  <c r="AG3" i="1" s="1"/>
  <c r="Y3" i="1" s="1"/>
  <c r="AB3" i="1" s="1"/>
  <c r="T2" i="1"/>
  <c r="R2" i="1"/>
  <c r="N2" i="1"/>
  <c r="A2" i="1" a="1"/>
  <c r="A2" i="1" s="1"/>
  <c r="AA125" i="1" l="1"/>
  <c r="AG168" i="1" a="1"/>
  <c r="AG168" i="1" s="1"/>
  <c r="Y168" i="1" s="1"/>
  <c r="AF168" i="1" a="1"/>
  <c r="AF168" i="1" s="1"/>
  <c r="X168" i="1" s="1"/>
  <c r="AG201" i="1" a="1"/>
  <c r="AG201" i="1" s="1"/>
  <c r="Y201" i="1" s="1"/>
  <c r="AF201" i="1" a="1"/>
  <c r="AF201" i="1" s="1"/>
  <c r="X201" i="1" s="1"/>
  <c r="AF452" i="1" a="1"/>
  <c r="AF452" i="1" s="1"/>
  <c r="X452" i="1" s="1"/>
  <c r="AG452" i="1" a="1"/>
  <c r="AG452" i="1" s="1"/>
  <c r="Y452" i="1" s="1"/>
  <c r="AG252" i="1" a="1"/>
  <c r="AG252" i="1" s="1"/>
  <c r="Y252" i="1" s="1"/>
  <c r="AF252" i="1" a="1"/>
  <c r="AF252" i="1" s="1"/>
  <c r="X252" i="1" s="1"/>
  <c r="AA434" i="1"/>
  <c r="AB434" i="1"/>
  <c r="Z434" i="1" s="1"/>
  <c r="AG126" i="1" a="1"/>
  <c r="AG126" i="1" s="1"/>
  <c r="Y126" i="1" s="1"/>
  <c r="AF126" i="1" a="1"/>
  <c r="AF126" i="1" s="1"/>
  <c r="X126" i="1" s="1"/>
  <c r="AG99" i="1" a="1"/>
  <c r="AG99" i="1" s="1"/>
  <c r="Y99" i="1" s="1"/>
  <c r="AF99" i="1" a="1"/>
  <c r="AF99" i="1" s="1"/>
  <c r="X99" i="1" s="1"/>
  <c r="AG144" i="1" a="1"/>
  <c r="AG144" i="1" s="1"/>
  <c r="Y144" i="1" s="1"/>
  <c r="AF144" i="1" a="1"/>
  <c r="AF144" i="1" s="1"/>
  <c r="X144" i="1" s="1"/>
  <c r="AG192" i="1" a="1"/>
  <c r="AG192" i="1" s="1"/>
  <c r="Y192" i="1" s="1"/>
  <c r="AF192" i="1" a="1"/>
  <c r="AF192" i="1" s="1"/>
  <c r="X192" i="1" s="1"/>
  <c r="AG195" i="1" a="1"/>
  <c r="AG195" i="1" s="1"/>
  <c r="Y195" i="1" s="1"/>
  <c r="AF195" i="1" a="1"/>
  <c r="AF195" i="1" s="1"/>
  <c r="X195" i="1" s="1"/>
  <c r="AG211" i="1" a="1"/>
  <c r="AG211" i="1" s="1"/>
  <c r="Y211" i="1" s="1"/>
  <c r="AF211" i="1" a="1"/>
  <c r="AF211" i="1" s="1"/>
  <c r="X211" i="1" s="1"/>
  <c r="AA211" i="1" s="1"/>
  <c r="Z211" i="1" s="1"/>
  <c r="AF933" i="1" a="1"/>
  <c r="AF933" i="1" s="1"/>
  <c r="X933" i="1" s="1"/>
  <c r="AG933" i="1" a="1"/>
  <c r="AG933" i="1" s="1"/>
  <c r="Y933" i="1" s="1"/>
  <c r="AG951" i="1" a="1"/>
  <c r="AG951" i="1" s="1"/>
  <c r="Y951" i="1" s="1"/>
  <c r="AF951" i="1" a="1"/>
  <c r="AF951" i="1" s="1"/>
  <c r="X951" i="1" s="1"/>
  <c r="AG259" i="1" a="1"/>
  <c r="AG259" i="1" s="1"/>
  <c r="Y259" i="1" s="1"/>
  <c r="AF259" i="1" a="1"/>
  <c r="AF259" i="1" s="1"/>
  <c r="X259" i="1" s="1"/>
  <c r="AG321" i="1" a="1"/>
  <c r="AG321" i="1" s="1"/>
  <c r="Y321" i="1" s="1"/>
  <c r="AF321" i="1" a="1"/>
  <c r="AF321" i="1" s="1"/>
  <c r="X321" i="1" s="1"/>
  <c r="AB388" i="1"/>
  <c r="AG471" i="1" a="1"/>
  <c r="AG471" i="1" s="1"/>
  <c r="Y471" i="1" s="1"/>
  <c r="AF471" i="1" a="1"/>
  <c r="AF471" i="1" s="1"/>
  <c r="X471" i="1" s="1"/>
  <c r="AF568" i="1" a="1"/>
  <c r="AF568" i="1" s="1"/>
  <c r="X568" i="1" s="1"/>
  <c r="AA568" i="1" s="1"/>
  <c r="Z568" i="1" s="1"/>
  <c r="AG568" i="1" a="1"/>
  <c r="AG568" i="1" s="1"/>
  <c r="Y568" i="1" s="1"/>
  <c r="AB568" i="1" s="1"/>
  <c r="AG52" i="1" a="1"/>
  <c r="AG52" i="1" s="1"/>
  <c r="Y52" i="1" s="1"/>
  <c r="AF52" i="1" a="1"/>
  <c r="AF52" i="1" s="1"/>
  <c r="X52" i="1" s="1"/>
  <c r="AA52" i="1" s="1"/>
  <c r="AF631" i="1" a="1"/>
  <c r="AF631" i="1" s="1"/>
  <c r="AG631" i="1" a="1"/>
  <c r="AG631" i="1" s="1"/>
  <c r="Y631" i="1" s="1"/>
  <c r="AB631" i="1" s="1"/>
  <c r="AG240" i="1" a="1"/>
  <c r="AG240" i="1" s="1"/>
  <c r="Y240" i="1" s="1"/>
  <c r="AF240" i="1" a="1"/>
  <c r="AF240" i="1" s="1"/>
  <c r="X240" i="1" s="1"/>
  <c r="AF353" i="1" a="1"/>
  <c r="AF353" i="1" s="1"/>
  <c r="X353" i="1" s="1"/>
  <c r="AG353" i="1" a="1"/>
  <c r="AG353" i="1" s="1"/>
  <c r="Y353" i="1" s="1"/>
  <c r="AG123" i="1" a="1"/>
  <c r="AG123" i="1" s="1"/>
  <c r="Y123" i="1" s="1"/>
  <c r="AF123" i="1" a="1"/>
  <c r="AF123" i="1" s="1"/>
  <c r="X123" i="1" s="1"/>
  <c r="AB201" i="1"/>
  <c r="AG253" i="1" a="1"/>
  <c r="AG253" i="1" s="1"/>
  <c r="Y253" i="1" s="1"/>
  <c r="AF253" i="1" a="1"/>
  <c r="AF253" i="1" s="1"/>
  <c r="X253" i="1" s="1"/>
  <c r="AG300" i="1" a="1"/>
  <c r="AG300" i="1" s="1"/>
  <c r="Y300" i="1" s="1"/>
  <c r="AF300" i="1" a="1"/>
  <c r="AF300" i="1" s="1"/>
  <c r="X300" i="1" s="1"/>
  <c r="AF1475" i="1" a="1"/>
  <c r="AF1475" i="1" s="1"/>
  <c r="X1475" i="1" s="1"/>
  <c r="AG1475" i="1" a="1"/>
  <c r="AG1475" i="1" s="1"/>
  <c r="Y1475" i="1" s="1"/>
  <c r="AB486" i="1"/>
  <c r="AF565" i="1" a="1"/>
  <c r="AF565" i="1" s="1"/>
  <c r="X565" i="1" s="1"/>
  <c r="AG565" i="1" a="1"/>
  <c r="AG565" i="1" s="1"/>
  <c r="Y565" i="1" s="1"/>
  <c r="AG669" i="1" a="1"/>
  <c r="AG669" i="1" s="1"/>
  <c r="Y669" i="1" s="1"/>
  <c r="AF669" i="1" a="1"/>
  <c r="AF669" i="1" s="1"/>
  <c r="AG1054" i="1" a="1"/>
  <c r="AG1054" i="1" s="1"/>
  <c r="Y1054" i="1" s="1"/>
  <c r="AF1054" i="1" a="1"/>
  <c r="AF1054" i="1" s="1"/>
  <c r="AG1232" i="1" a="1"/>
  <c r="AG1232" i="1" s="1"/>
  <c r="Y1232" i="1" s="1"/>
  <c r="AF1232" i="1" a="1"/>
  <c r="AF1232" i="1" s="1"/>
  <c r="AG65" i="1" a="1"/>
  <c r="AG65" i="1" s="1"/>
  <c r="Y65" i="1" s="1"/>
  <c r="AF65" i="1" a="1"/>
  <c r="AF65" i="1" s="1"/>
  <c r="X65" i="1" s="1"/>
  <c r="AG159" i="1" a="1"/>
  <c r="AG159" i="1" s="1"/>
  <c r="Y159" i="1" s="1"/>
  <c r="AF159" i="1" a="1"/>
  <c r="AF159" i="1" s="1"/>
  <c r="X159" i="1" s="1"/>
  <c r="AB195" i="1"/>
  <c r="AG205" i="1" a="1"/>
  <c r="AG205" i="1" s="1"/>
  <c r="Y205" i="1" s="1"/>
  <c r="AF205" i="1" a="1"/>
  <c r="AF205" i="1" s="1"/>
  <c r="X205" i="1" s="1"/>
  <c r="AG208" i="1" a="1"/>
  <c r="AG208" i="1" s="1"/>
  <c r="Y208" i="1" s="1"/>
  <c r="AB208" i="1" s="1"/>
  <c r="AF208" i="1" a="1"/>
  <c r="AF208" i="1" s="1"/>
  <c r="X208" i="1" s="1"/>
  <c r="AF241" i="1" a="1"/>
  <c r="AF241" i="1" s="1"/>
  <c r="X241" i="1" s="1"/>
  <c r="AG241" i="1" a="1"/>
  <c r="AG241" i="1" s="1"/>
  <c r="Y241" i="1" s="1"/>
  <c r="AG849" i="1" a="1"/>
  <c r="AG849" i="1" s="1"/>
  <c r="Y849" i="1" s="1"/>
  <c r="AF849" i="1" a="1"/>
  <c r="AF849" i="1" s="1"/>
  <c r="AG76" i="1" a="1"/>
  <c r="AG76" i="1" s="1"/>
  <c r="Y76" i="1" s="1"/>
  <c r="AF76" i="1" a="1"/>
  <c r="AF76" i="1" s="1"/>
  <c r="AB192" i="1"/>
  <c r="AG199" i="1" a="1"/>
  <c r="AG199" i="1" s="1"/>
  <c r="Y199" i="1" s="1"/>
  <c r="AF199" i="1" a="1"/>
  <c r="AF199" i="1" s="1"/>
  <c r="X199" i="1" s="1"/>
  <c r="AF365" i="1" a="1"/>
  <c r="AF365" i="1" s="1"/>
  <c r="X365" i="1" s="1"/>
  <c r="AG365" i="1" a="1"/>
  <c r="AG365" i="1" s="1"/>
  <c r="Y365" i="1" s="1"/>
  <c r="AB365" i="1" s="1"/>
  <c r="AG552" i="1" a="1"/>
  <c r="AG552" i="1" s="1"/>
  <c r="Y552" i="1" s="1"/>
  <c r="AF552" i="1" a="1"/>
  <c r="AF552" i="1" s="1"/>
  <c r="AA565" i="1"/>
  <c r="AG90" i="1" a="1"/>
  <c r="AG90" i="1" s="1"/>
  <c r="Y90" i="1" s="1"/>
  <c r="AF90" i="1" a="1"/>
  <c r="AF90" i="1" s="1"/>
  <c r="X90" i="1" s="1"/>
  <c r="AG120" i="1" a="1"/>
  <c r="AG120" i="1" s="1"/>
  <c r="Y120" i="1" s="1"/>
  <c r="AF120" i="1" a="1"/>
  <c r="AF120" i="1" s="1"/>
  <c r="X120" i="1" s="1"/>
  <c r="AG156" i="1" a="1"/>
  <c r="AG156" i="1" s="1"/>
  <c r="Y156" i="1" s="1"/>
  <c r="AF156" i="1" a="1"/>
  <c r="AF156" i="1" s="1"/>
  <c r="X156" i="1" s="1"/>
  <c r="AG270" i="1" a="1"/>
  <c r="AG270" i="1" s="1"/>
  <c r="Y270" i="1" s="1"/>
  <c r="AF270" i="1" a="1"/>
  <c r="AF270" i="1" s="1"/>
  <c r="X270" i="1" s="1"/>
  <c r="AA270" i="1" s="1"/>
  <c r="Z270" i="1" s="1"/>
  <c r="AG598" i="1" a="1"/>
  <c r="AG598" i="1" s="1"/>
  <c r="Y598" i="1" s="1"/>
  <c r="AF598" i="1" a="1"/>
  <c r="AF598" i="1" s="1"/>
  <c r="X598" i="1" s="1"/>
  <c r="AG138" i="1" a="1"/>
  <c r="AG138" i="1" s="1"/>
  <c r="Y138" i="1" s="1"/>
  <c r="AF138" i="1" a="1"/>
  <c r="AF138" i="1" s="1"/>
  <c r="X138" i="1" s="1"/>
  <c r="AF189" i="1" a="1"/>
  <c r="AF189" i="1" s="1"/>
  <c r="X189" i="1" s="1"/>
  <c r="AG414" i="1" a="1"/>
  <c r="AG414" i="1" s="1"/>
  <c r="Y414" i="1" s="1"/>
  <c r="AF414" i="1" a="1"/>
  <c r="AF414" i="1" s="1"/>
  <c r="X414" i="1" s="1"/>
  <c r="AA414" i="1" s="1"/>
  <c r="AG645" i="1" a="1"/>
  <c r="AG645" i="1" s="1"/>
  <c r="Y645" i="1" s="1"/>
  <c r="AF645" i="1" a="1"/>
  <c r="AF645" i="1" s="1"/>
  <c r="AF1027" i="1" a="1"/>
  <c r="AF1027" i="1" s="1"/>
  <c r="AG1027" i="1" a="1"/>
  <c r="AG1027" i="1" s="1"/>
  <c r="Y1027" i="1" s="1"/>
  <c r="AF1468" i="1" a="1"/>
  <c r="AF1468" i="1" s="1"/>
  <c r="X1468" i="1" s="1"/>
  <c r="AG1468" i="1" a="1"/>
  <c r="AG1468" i="1" s="1"/>
  <c r="Y1468" i="1" s="1"/>
  <c r="AG84" i="1" a="1"/>
  <c r="AG84" i="1" s="1"/>
  <c r="Y84" i="1" s="1"/>
  <c r="AF84" i="1" a="1"/>
  <c r="AF84" i="1" s="1"/>
  <c r="X84" i="1" s="1"/>
  <c r="AG87" i="1" a="1"/>
  <c r="AG87" i="1" s="1"/>
  <c r="Y87" i="1" s="1"/>
  <c r="AF87" i="1" a="1"/>
  <c r="AF87" i="1" s="1"/>
  <c r="X87" i="1" s="1"/>
  <c r="AG1229" i="1" a="1"/>
  <c r="AG1229" i="1" s="1"/>
  <c r="Y1229" i="1" s="1"/>
  <c r="AF1229" i="1" a="1"/>
  <c r="AF1229" i="1" s="1"/>
  <c r="X1229" i="1" s="1"/>
  <c r="AG1216" i="1" a="1"/>
  <c r="AG1216" i="1" s="1"/>
  <c r="Y1216" i="1" s="1"/>
  <c r="AF1216" i="1" a="1"/>
  <c r="AF1216" i="1" s="1"/>
  <c r="AF464" i="1" a="1"/>
  <c r="AF464" i="1" s="1"/>
  <c r="X464" i="1" s="1"/>
  <c r="AG464" i="1" a="1"/>
  <c r="AG464" i="1" s="1"/>
  <c r="Y464" i="1" s="1"/>
  <c r="AG77" i="1" a="1"/>
  <c r="AG77" i="1" s="1"/>
  <c r="AF77" i="1" a="1"/>
  <c r="AF77" i="1" s="1"/>
  <c r="AG135" i="1" a="1"/>
  <c r="AG135" i="1" s="1"/>
  <c r="Y135" i="1" s="1"/>
  <c r="AF135" i="1" a="1"/>
  <c r="AF135" i="1" s="1"/>
  <c r="X135" i="1" s="1"/>
  <c r="AA149" i="1"/>
  <c r="AG174" i="1" a="1"/>
  <c r="AG174" i="1" s="1"/>
  <c r="Y174" i="1" s="1"/>
  <c r="AF174" i="1" a="1"/>
  <c r="AF174" i="1" s="1"/>
  <c r="X174" i="1" s="1"/>
  <c r="AF216" i="1" a="1"/>
  <c r="AF216" i="1" s="1"/>
  <c r="X216" i="1" s="1"/>
  <c r="AG216" i="1" a="1"/>
  <c r="AG216" i="1" s="1"/>
  <c r="Y216" i="1" s="1"/>
  <c r="AG239" i="1" a="1"/>
  <c r="AG239" i="1" s="1"/>
  <c r="Y239" i="1" s="1"/>
  <c r="AF239" i="1" a="1"/>
  <c r="AF239" i="1" s="1"/>
  <c r="X239" i="1" s="1"/>
  <c r="AG251" i="1" a="1"/>
  <c r="AG251" i="1" s="1"/>
  <c r="Y251" i="1" s="1"/>
  <c r="AF251" i="1" a="1"/>
  <c r="AF251" i="1" s="1"/>
  <c r="X251" i="1" s="1"/>
  <c r="AA251" i="1" s="1"/>
  <c r="Z251" i="1" s="1"/>
  <c r="AB282" i="1"/>
  <c r="AG911" i="1" a="1"/>
  <c r="AG911" i="1" s="1"/>
  <c r="Y911" i="1" s="1"/>
  <c r="AF911" i="1" a="1"/>
  <c r="AF911" i="1" s="1"/>
  <c r="AG550" i="1" a="1"/>
  <c r="AG550" i="1" s="1"/>
  <c r="Y550" i="1" s="1"/>
  <c r="AF550" i="1" a="1"/>
  <c r="AF550" i="1" s="1"/>
  <c r="AG395" i="1" a="1"/>
  <c r="AG395" i="1" s="1"/>
  <c r="Y395" i="1" s="1"/>
  <c r="AF395" i="1" a="1"/>
  <c r="AF395" i="1" s="1"/>
  <c r="X395" i="1" s="1"/>
  <c r="AA395" i="1" s="1"/>
  <c r="AG150" i="1" a="1"/>
  <c r="AG150" i="1" s="1"/>
  <c r="Y150" i="1" s="1"/>
  <c r="AF150" i="1" a="1"/>
  <c r="AF150" i="1" s="1"/>
  <c r="X150" i="1" s="1"/>
  <c r="AF1225" i="1" a="1"/>
  <c r="AF1225" i="1" s="1"/>
  <c r="AG1225" i="1" a="1"/>
  <c r="AG1225" i="1" s="1"/>
  <c r="Y1225" i="1" s="1"/>
  <c r="AB1225" i="1" s="1"/>
  <c r="AF1617" i="1" a="1"/>
  <c r="AF1617" i="1" s="1"/>
  <c r="X1617" i="1" s="1"/>
  <c r="AA1617" i="1" s="1"/>
  <c r="Z1617" i="1" s="1"/>
  <c r="AG1617" i="1" a="1"/>
  <c r="AG1617" i="1" s="1"/>
  <c r="Y1617" i="1" s="1"/>
  <c r="AG68" i="1" a="1"/>
  <c r="AG68" i="1" s="1"/>
  <c r="Y68" i="1" s="1"/>
  <c r="AF68" i="1" a="1"/>
  <c r="AF68" i="1" s="1"/>
  <c r="X68" i="1" s="1"/>
  <c r="AG96" i="1" a="1"/>
  <c r="AG96" i="1" s="1"/>
  <c r="Y96" i="1" s="1"/>
  <c r="AF96" i="1" a="1"/>
  <c r="AF96" i="1" s="1"/>
  <c r="X96" i="1" s="1"/>
  <c r="AG114" i="1" a="1"/>
  <c r="AG114" i="1" s="1"/>
  <c r="Y114" i="1" s="1"/>
  <c r="AF114" i="1" a="1"/>
  <c r="AF114" i="1" s="1"/>
  <c r="X114" i="1" s="1"/>
  <c r="AG147" i="1" a="1"/>
  <c r="AG147" i="1" s="1"/>
  <c r="Y147" i="1" s="1"/>
  <c r="AF147" i="1" a="1"/>
  <c r="AF147" i="1" s="1"/>
  <c r="X147" i="1" s="1"/>
  <c r="AG171" i="1" a="1"/>
  <c r="AG171" i="1" s="1"/>
  <c r="Y171" i="1" s="1"/>
  <c r="AF171" i="1" a="1"/>
  <c r="AF171" i="1" s="1"/>
  <c r="X171" i="1" s="1"/>
  <c r="AG287" i="1" a="1"/>
  <c r="AG287" i="1" s="1"/>
  <c r="Y287" i="1" s="1"/>
  <c r="AB287" i="1" s="1"/>
  <c r="AF287" i="1" a="1"/>
  <c r="AF287" i="1" s="1"/>
  <c r="X287" i="1" s="1"/>
  <c r="AA287" i="1" s="1"/>
  <c r="AB286" i="1"/>
  <c r="AG666" i="1" a="1"/>
  <c r="AG666" i="1" s="1"/>
  <c r="Y666" i="1" s="1"/>
  <c r="AF666" i="1" a="1"/>
  <c r="AF666" i="1" s="1"/>
  <c r="AB669" i="1"/>
  <c r="AG841" i="1" a="1"/>
  <c r="AG841" i="1" s="1"/>
  <c r="Y841" i="1" s="1"/>
  <c r="AF841" i="1" a="1"/>
  <c r="AF841" i="1" s="1"/>
  <c r="AG861" i="1" a="1"/>
  <c r="AG861" i="1" s="1"/>
  <c r="Y861" i="1" s="1"/>
  <c r="AF861" i="1" a="1"/>
  <c r="AF861" i="1" s="1"/>
  <c r="AB899" i="1"/>
  <c r="AF1234" i="1" a="1"/>
  <c r="AF1234" i="1" s="1"/>
  <c r="X1234" i="1" s="1"/>
  <c r="AA1234" i="1" s="1"/>
  <c r="Z1234" i="1" s="1"/>
  <c r="AG1234" i="1" a="1"/>
  <c r="AG1234" i="1" s="1"/>
  <c r="Y1234" i="1" s="1"/>
  <c r="AG194" i="1" a="1"/>
  <c r="AG194" i="1" s="1"/>
  <c r="Y194" i="1" s="1"/>
  <c r="AF276" i="1" a="1"/>
  <c r="AF276" i="1" s="1"/>
  <c r="X276" i="1" s="1"/>
  <c r="AG281" i="1" a="1"/>
  <c r="AG281" i="1" s="1"/>
  <c r="Y281" i="1" s="1"/>
  <c r="AB485" i="1"/>
  <c r="AA562" i="1"/>
  <c r="AB666" i="1"/>
  <c r="AG701" i="1" a="1"/>
  <c r="AG701" i="1" s="1"/>
  <c r="Y701" i="1" s="1"/>
  <c r="AB701" i="1" s="1"/>
  <c r="Z701" i="1" s="1"/>
  <c r="AF701" i="1" a="1"/>
  <c r="AF701" i="1" s="1"/>
  <c r="X701" i="1" s="1"/>
  <c r="AA701" i="1" s="1"/>
  <c r="AF851" i="1" a="1"/>
  <c r="AF851" i="1" s="1"/>
  <c r="AG851" i="1" a="1"/>
  <c r="AG851" i="1" s="1"/>
  <c r="Y851" i="1" s="1"/>
  <c r="Z881" i="1"/>
  <c r="AF1013" i="1" a="1"/>
  <c r="AF1013" i="1" s="1"/>
  <c r="AG1013" i="1" a="1"/>
  <c r="AG1013" i="1" s="1"/>
  <c r="Y1013" i="1" s="1"/>
  <c r="AF1116" i="1" a="1"/>
  <c r="AF1116" i="1" s="1"/>
  <c r="AG1116" i="1" a="1"/>
  <c r="AG1116" i="1" s="1"/>
  <c r="Y1116" i="1" s="1"/>
  <c r="AG1321" i="1" a="1"/>
  <c r="AG1321" i="1" s="1"/>
  <c r="Y1321" i="1" s="1"/>
  <c r="AF1321" i="1" a="1"/>
  <c r="AF1321" i="1" s="1"/>
  <c r="X1321" i="1" s="1"/>
  <c r="AA1321" i="1" s="1"/>
  <c r="AG186" i="1" a="1"/>
  <c r="AG186" i="1" s="1"/>
  <c r="Y186" i="1" s="1"/>
  <c r="AB186" i="1" s="1"/>
  <c r="AF186" i="1" a="1"/>
  <c r="AF186" i="1" s="1"/>
  <c r="X186" i="1" s="1"/>
  <c r="AA186" i="1" s="1"/>
  <c r="AF265" i="1" a="1"/>
  <c r="AF265" i="1" s="1"/>
  <c r="X265" i="1" s="1"/>
  <c r="AF272" i="1" a="1"/>
  <c r="AF272" i="1" s="1"/>
  <c r="X272" i="1" s="1"/>
  <c r="AA272" i="1" s="1"/>
  <c r="AG302" i="1" a="1"/>
  <c r="AG302" i="1" s="1"/>
  <c r="Y302" i="1" s="1"/>
  <c r="AF403" i="1" a="1"/>
  <c r="AF403" i="1" s="1"/>
  <c r="X403" i="1" s="1"/>
  <c r="AG457" i="1" a="1"/>
  <c r="AG457" i="1" s="1"/>
  <c r="Y457" i="1" s="1"/>
  <c r="AF656" i="1" a="1"/>
  <c r="AF656" i="1" s="1"/>
  <c r="AG656" i="1" a="1"/>
  <c r="AG656" i="1" s="1"/>
  <c r="Y656" i="1" s="1"/>
  <c r="AF750" i="1" a="1"/>
  <c r="AF750" i="1" s="1"/>
  <c r="AG829" i="1" a="1"/>
  <c r="AG829" i="1" s="1"/>
  <c r="Y829" i="1" s="1"/>
  <c r="AB829" i="1" s="1"/>
  <c r="Z829" i="1" s="1"/>
  <c r="AF829" i="1" a="1"/>
  <c r="AF829" i="1" s="1"/>
  <c r="AF1022" i="1" a="1"/>
  <c r="AF1022" i="1" s="1"/>
  <c r="AG1022" i="1" a="1"/>
  <c r="AG1022" i="1" s="1"/>
  <c r="Y1022" i="1" s="1"/>
  <c r="AG1109" i="1" a="1"/>
  <c r="AG1109" i="1" s="1"/>
  <c r="Y1109" i="1" s="1"/>
  <c r="AF1109" i="1" a="1"/>
  <c r="AF1109" i="1" s="1"/>
  <c r="AF1139" i="1" a="1"/>
  <c r="AF1139" i="1" s="1"/>
  <c r="AG1139" i="1" a="1"/>
  <c r="AG1139" i="1" s="1"/>
  <c r="Y1139" i="1" s="1"/>
  <c r="AG1258" i="1" a="1"/>
  <c r="AG1258" i="1" s="1"/>
  <c r="Y1258" i="1" s="1"/>
  <c r="AF1258" i="1" a="1"/>
  <c r="AF1258" i="1" s="1"/>
  <c r="AG1318" i="1" a="1"/>
  <c r="AG1318" i="1" s="1"/>
  <c r="Y1318" i="1" s="1"/>
  <c r="AF1318" i="1" a="1"/>
  <c r="AF1318" i="1" s="1"/>
  <c r="X1318" i="1" s="1"/>
  <c r="AF1372" i="1" a="1"/>
  <c r="AF1372" i="1" s="1"/>
  <c r="X1372" i="1" s="1"/>
  <c r="AA1372" i="1" s="1"/>
  <c r="Z1372" i="1" s="1"/>
  <c r="AG1372" i="1" a="1"/>
  <c r="AG1372" i="1" s="1"/>
  <c r="AF1382" i="1" a="1"/>
  <c r="AF1382" i="1" s="1"/>
  <c r="X1382" i="1" s="1"/>
  <c r="AG1382" i="1" a="1"/>
  <c r="AG1382" i="1" s="1"/>
  <c r="AF1402" i="1" a="1"/>
  <c r="AF1402" i="1" s="1"/>
  <c r="X1402" i="1" s="1"/>
  <c r="AG1402" i="1" a="1"/>
  <c r="AG1402" i="1" s="1"/>
  <c r="AG430" i="1" a="1"/>
  <c r="AG430" i="1" s="1"/>
  <c r="Y430" i="1" s="1"/>
  <c r="AB430" i="1" s="1"/>
  <c r="AF430" i="1" a="1"/>
  <c r="AF430" i="1" s="1"/>
  <c r="X430" i="1" s="1"/>
  <c r="AG1604" i="1" a="1"/>
  <c r="AG1604" i="1" s="1"/>
  <c r="Y1604" i="1" s="1"/>
  <c r="AF1604" i="1" a="1"/>
  <c r="AF1604" i="1" s="1"/>
  <c r="X1604" i="1" s="1"/>
  <c r="AB57" i="1"/>
  <c r="Z287" i="1"/>
  <c r="AF392" i="1" a="1"/>
  <c r="AF392" i="1" s="1"/>
  <c r="X392" i="1" s="1"/>
  <c r="AB405" i="1"/>
  <c r="AF566" i="1" a="1"/>
  <c r="AF566" i="1" s="1"/>
  <c r="X566" i="1" s="1"/>
  <c r="AG566" i="1" a="1"/>
  <c r="AG566" i="1" s="1"/>
  <c r="Y566" i="1" s="1"/>
  <c r="AG671" i="1" a="1"/>
  <c r="AG671" i="1" s="1"/>
  <c r="Y671" i="1" s="1"/>
  <c r="AB671" i="1" s="1"/>
  <c r="AF671" i="1" a="1"/>
  <c r="AF671" i="1" s="1"/>
  <c r="AF865" i="1" a="1"/>
  <c r="AF865" i="1" s="1"/>
  <c r="AA944" i="1"/>
  <c r="AF971" i="1" a="1"/>
  <c r="AF971" i="1" s="1"/>
  <c r="X971" i="1" s="1"/>
  <c r="AA971" i="1" s="1"/>
  <c r="AF1224" i="1" a="1"/>
  <c r="AF1224" i="1" s="1"/>
  <c r="AG1224" i="1" a="1"/>
  <c r="AG1224" i="1" s="1"/>
  <c r="Y1224" i="1" s="1"/>
  <c r="AF1310" i="1" a="1"/>
  <c r="AF1310" i="1" s="1"/>
  <c r="X1310" i="1" s="1"/>
  <c r="AG1310" i="1" a="1"/>
  <c r="AG1310" i="1" s="1"/>
  <c r="Y1310" i="1" s="1"/>
  <c r="AA1315" i="1"/>
  <c r="AG230" i="1" a="1"/>
  <c r="AG230" i="1" s="1"/>
  <c r="Y230" i="1" s="1"/>
  <c r="AB230" i="1" s="1"/>
  <c r="Z230" i="1" s="1"/>
  <c r="AF297" i="1" a="1"/>
  <c r="AF297" i="1" s="1"/>
  <c r="X297" i="1" s="1"/>
  <c r="AA297" i="1" s="1"/>
  <c r="AF389" i="1" a="1"/>
  <c r="AF389" i="1" s="1"/>
  <c r="X389" i="1" s="1"/>
  <c r="AF405" i="1" a="1"/>
  <c r="AF405" i="1" s="1"/>
  <c r="X405" i="1" s="1"/>
  <c r="AA405" i="1" s="1"/>
  <c r="Z405" i="1" s="1"/>
  <c r="AA530" i="1"/>
  <c r="AF560" i="1" a="1"/>
  <c r="AF560" i="1" s="1"/>
  <c r="X560" i="1" s="1"/>
  <c r="AG600" i="1" a="1"/>
  <c r="AG600" i="1" s="1"/>
  <c r="Y600" i="1" s="1"/>
  <c r="AB600" i="1" s="1"/>
  <c r="AF644" i="1" a="1"/>
  <c r="AF644" i="1" s="1"/>
  <c r="X644" i="1" s="1"/>
  <c r="AG644" i="1" a="1"/>
  <c r="AG644" i="1" s="1"/>
  <c r="Y644" i="1" s="1"/>
  <c r="AA725" i="1"/>
  <c r="AF772" i="1" a="1"/>
  <c r="AF772" i="1" s="1"/>
  <c r="AG772" i="1" a="1"/>
  <c r="AG772" i="1" s="1"/>
  <c r="Y772" i="1" s="1"/>
  <c r="AF781" i="1" a="1"/>
  <c r="AF781" i="1" s="1"/>
  <c r="X781" i="1" s="1"/>
  <c r="AA781" i="1" s="1"/>
  <c r="Z781" i="1" s="1"/>
  <c r="AB903" i="1"/>
  <c r="AF928" i="1" a="1"/>
  <c r="AF928" i="1" s="1"/>
  <c r="AG445" i="1" a="1"/>
  <c r="AG445" i="1" s="1"/>
  <c r="Y445" i="1" s="1"/>
  <c r="AF445" i="1" a="1"/>
  <c r="AF445" i="1" s="1"/>
  <c r="AG959" i="1" a="1"/>
  <c r="AG959" i="1" s="1"/>
  <c r="Y959" i="1" s="1"/>
  <c r="AF959" i="1" a="1"/>
  <c r="AF959" i="1" s="1"/>
  <c r="X959" i="1" s="1"/>
  <c r="AG1069" i="1" a="1"/>
  <c r="AG1069" i="1" s="1"/>
  <c r="Y1069" i="1" s="1"/>
  <c r="AB1069" i="1" s="1"/>
  <c r="Z1069" i="1" s="1"/>
  <c r="AF1069" i="1" a="1"/>
  <c r="AF1069" i="1" s="1"/>
  <c r="AG1255" i="1" a="1"/>
  <c r="AG1255" i="1" s="1"/>
  <c r="Y1255" i="1" s="1"/>
  <c r="AF1255" i="1" a="1"/>
  <c r="AF1255" i="1" s="1"/>
  <c r="AG1363" i="1" a="1"/>
  <c r="AG1363" i="1" s="1"/>
  <c r="Y1363" i="1" s="1"/>
  <c r="AF1363" i="1" a="1"/>
  <c r="AF1363" i="1" s="1"/>
  <c r="X1363" i="1" s="1"/>
  <c r="AA1363" i="1" s="1"/>
  <c r="AG188" i="1" a="1"/>
  <c r="AG188" i="1" s="1"/>
  <c r="Y188" i="1" s="1"/>
  <c r="AB269" i="1"/>
  <c r="AG279" i="1" a="1"/>
  <c r="AG279" i="1" s="1"/>
  <c r="Y279" i="1" s="1"/>
  <c r="AF315" i="1" a="1"/>
  <c r="AF315" i="1" s="1"/>
  <c r="X315" i="1" s="1"/>
  <c r="AF387" i="1" a="1"/>
  <c r="AF387" i="1" s="1"/>
  <c r="X387" i="1" s="1"/>
  <c r="AA518" i="1"/>
  <c r="Z518" i="1" s="1"/>
  <c r="AA524" i="1"/>
  <c r="Z524" i="1" s="1"/>
  <c r="AB592" i="1"/>
  <c r="AF601" i="1" a="1"/>
  <c r="AF601" i="1" s="1"/>
  <c r="X601" i="1" s="1"/>
  <c r="AG601" i="1" a="1"/>
  <c r="AG601" i="1" s="1"/>
  <c r="Y601" i="1" s="1"/>
  <c r="AG611" i="1" a="1"/>
  <c r="AG611" i="1" s="1"/>
  <c r="Y611" i="1" s="1"/>
  <c r="AG629" i="1" a="1"/>
  <c r="AG629" i="1" s="1"/>
  <c r="Y629" i="1" s="1"/>
  <c r="AG657" i="1" a="1"/>
  <c r="AG657" i="1" s="1"/>
  <c r="Y657" i="1" s="1"/>
  <c r="AB657" i="1" s="1"/>
  <c r="AF657" i="1" a="1"/>
  <c r="AF657" i="1" s="1"/>
  <c r="AG661" i="1" a="1"/>
  <c r="AG661" i="1" s="1"/>
  <c r="Y661" i="1" s="1"/>
  <c r="AF661" i="1" a="1"/>
  <c r="AF661" i="1" s="1"/>
  <c r="AF839" i="1" a="1"/>
  <c r="AF839" i="1" s="1"/>
  <c r="AG839" i="1" a="1"/>
  <c r="AG839" i="1" s="1"/>
  <c r="Y839" i="1" s="1"/>
  <c r="AG904" i="1" a="1"/>
  <c r="AG904" i="1" s="1"/>
  <c r="Y904" i="1" s="1"/>
  <c r="AB904" i="1" s="1"/>
  <c r="AF904" i="1" a="1"/>
  <c r="AF904" i="1" s="1"/>
  <c r="AG1345" i="1" a="1"/>
  <c r="AG1345" i="1" s="1"/>
  <c r="Y1345" i="1" s="1"/>
  <c r="AF1345" i="1" a="1"/>
  <c r="AF1345" i="1" s="1"/>
  <c r="X1345" i="1" s="1"/>
  <c r="AF264" i="1" a="1"/>
  <c r="AF264" i="1" s="1"/>
  <c r="X264" i="1" s="1"/>
  <c r="AA264" i="1" s="1"/>
  <c r="AB534" i="1"/>
  <c r="Z534" i="1" s="1"/>
  <c r="AB1621" i="1"/>
  <c r="AF586" i="1" a="1"/>
  <c r="AF586" i="1" s="1"/>
  <c r="X586" i="1" s="1"/>
  <c r="AF592" i="1" a="1"/>
  <c r="AF592" i="1" s="1"/>
  <c r="X592" i="1" s="1"/>
  <c r="AF595" i="1" a="1"/>
  <c r="AF595" i="1" s="1"/>
  <c r="X595" i="1" s="1"/>
  <c r="AF603" i="1" a="1"/>
  <c r="AF603" i="1" s="1"/>
  <c r="X603" i="1" s="1"/>
  <c r="AG612" i="1" a="1"/>
  <c r="AG612" i="1" s="1"/>
  <c r="Y612" i="1" s="1"/>
  <c r="AF612" i="1" a="1"/>
  <c r="AF612" i="1" s="1"/>
  <c r="X612" i="1" s="1"/>
  <c r="AA612" i="1" s="1"/>
  <c r="AF630" i="1" a="1"/>
  <c r="AF630" i="1" s="1"/>
  <c r="AG630" i="1" a="1"/>
  <c r="AG630" i="1" s="1"/>
  <c r="Y630" i="1" s="1"/>
  <c r="AF752" i="1" a="1"/>
  <c r="AF752" i="1" s="1"/>
  <c r="AG752" i="1" a="1"/>
  <c r="AG752" i="1" s="1"/>
  <c r="Y752" i="1" s="1"/>
  <c r="AG779" i="1" a="1"/>
  <c r="AG779" i="1" s="1"/>
  <c r="Y779" i="1" s="1"/>
  <c r="AF779" i="1" a="1"/>
  <c r="AF779" i="1" s="1"/>
  <c r="X779" i="1" s="1"/>
  <c r="AA779" i="1" s="1"/>
  <c r="AG879" i="1" a="1"/>
  <c r="AG879" i="1" s="1"/>
  <c r="Y879" i="1" s="1"/>
  <c r="AG886" i="1" a="1"/>
  <c r="AG886" i="1" s="1"/>
  <c r="AA959" i="1"/>
  <c r="AF1029" i="1" a="1"/>
  <c r="AF1029" i="1" s="1"/>
  <c r="AG1029" i="1" a="1"/>
  <c r="AG1029" i="1" s="1"/>
  <c r="Y1029" i="1" s="1"/>
  <c r="AF1063" i="1" a="1"/>
  <c r="AF1063" i="1" s="1"/>
  <c r="AG1063" i="1" a="1"/>
  <c r="AG1063" i="1" s="1"/>
  <c r="Y1063" i="1" s="1"/>
  <c r="AG1117" i="1" a="1"/>
  <c r="AG1117" i="1" s="1"/>
  <c r="Y1117" i="1" s="1"/>
  <c r="AF1117" i="1" a="1"/>
  <c r="AF1117" i="1" s="1"/>
  <c r="AF476" i="1" a="1"/>
  <c r="AF476" i="1" s="1"/>
  <c r="AG476" i="1" a="1"/>
  <c r="AG476" i="1" s="1"/>
  <c r="Y476" i="1" s="1"/>
  <c r="AB476" i="1" s="1"/>
  <c r="Z476" i="1" s="1"/>
  <c r="AF1135" i="1" a="1"/>
  <c r="AF1135" i="1" s="1"/>
  <c r="AG1135" i="1" a="1"/>
  <c r="AG1135" i="1" s="1"/>
  <c r="Y1135" i="1" s="1"/>
  <c r="AG54" i="1" a="1"/>
  <c r="AG54" i="1" s="1"/>
  <c r="Y54" i="1" s="1"/>
  <c r="AB54" i="1" s="1"/>
  <c r="AG191" i="1" a="1"/>
  <c r="AG191" i="1" s="1"/>
  <c r="Y191" i="1" s="1"/>
  <c r="AA1281" i="1"/>
  <c r="AA252" i="1"/>
  <c r="AF345" i="1" a="1"/>
  <c r="AF345" i="1" s="1"/>
  <c r="X345" i="1" s="1"/>
  <c r="AF351" i="1" a="1"/>
  <c r="AF351" i="1" s="1"/>
  <c r="X351" i="1" s="1"/>
  <c r="AA351" i="1" s="1"/>
  <c r="AF409" i="1" a="1"/>
  <c r="AF409" i="1" s="1"/>
  <c r="X409" i="1" s="1"/>
  <c r="AB235" i="1"/>
  <c r="AF593" i="1" a="1"/>
  <c r="AF593" i="1" s="1"/>
  <c r="X593" i="1" s="1"/>
  <c r="AG593" i="1" a="1"/>
  <c r="AG593" i="1" s="1"/>
  <c r="Y593" i="1" s="1"/>
  <c r="AB593" i="1" s="1"/>
  <c r="Z593" i="1" s="1"/>
  <c r="AG621" i="1" a="1"/>
  <c r="AG621" i="1" s="1"/>
  <c r="Y621" i="1" s="1"/>
  <c r="AF625" i="1" a="1"/>
  <c r="AF625" i="1" s="1"/>
  <c r="AG625" i="1" a="1"/>
  <c r="AG625" i="1" s="1"/>
  <c r="Y625" i="1" s="1"/>
  <c r="AB625" i="1" s="1"/>
  <c r="AF762" i="1" a="1"/>
  <c r="AF762" i="1" s="1"/>
  <c r="AG762" i="1" a="1"/>
  <c r="AG762" i="1" s="1"/>
  <c r="Y762" i="1" s="1"/>
  <c r="AB762" i="1" s="1"/>
  <c r="AG880" i="1" a="1"/>
  <c r="AG880" i="1" s="1"/>
  <c r="Y880" i="1" s="1"/>
  <c r="AF880" i="1" a="1"/>
  <c r="AF880" i="1" s="1"/>
  <c r="AA883" i="1"/>
  <c r="AB883" i="1"/>
  <c r="AA972" i="1"/>
  <c r="AF474" i="1" a="1"/>
  <c r="AF474" i="1" s="1"/>
  <c r="X474" i="1" s="1"/>
  <c r="AA474" i="1" s="1"/>
  <c r="AG474" i="1" a="1"/>
  <c r="AG474" i="1" s="1"/>
  <c r="Y474" i="1" s="1"/>
  <c r="AG1333" i="1" a="1"/>
  <c r="AG1333" i="1" s="1"/>
  <c r="Y1333" i="1" s="1"/>
  <c r="AF1333" i="1" a="1"/>
  <c r="AF1333" i="1" s="1"/>
  <c r="X1333" i="1" s="1"/>
  <c r="AG1279" i="1" a="1"/>
  <c r="AG1279" i="1" s="1"/>
  <c r="Y1279" i="1" s="1"/>
  <c r="AF1279" i="1" a="1"/>
  <c r="AF1279" i="1" s="1"/>
  <c r="AF180" i="1" a="1"/>
  <c r="AF180" i="1" s="1"/>
  <c r="X180" i="1" s="1"/>
  <c r="AF949" i="1" a="1"/>
  <c r="AF949" i="1" s="1"/>
  <c r="X949" i="1" s="1"/>
  <c r="AG432" i="1" a="1"/>
  <c r="AG432" i="1" s="1"/>
  <c r="AF209" i="1" a="1"/>
  <c r="AF209" i="1" s="1"/>
  <c r="X209" i="1" s="1"/>
  <c r="AF306" i="1" a="1"/>
  <c r="AF306" i="1" s="1"/>
  <c r="X306" i="1" s="1"/>
  <c r="AF356" i="1" a="1"/>
  <c r="AF356" i="1" s="1"/>
  <c r="X356" i="1" s="1"/>
  <c r="AG1227" i="1" a="1"/>
  <c r="AG1227" i="1" s="1"/>
  <c r="Y1227" i="1" s="1"/>
  <c r="T1475" i="1"/>
  <c r="AF1231" i="1" a="1"/>
  <c r="AF1231" i="1" s="1"/>
  <c r="X1231" i="1" s="1"/>
  <c r="AF558" i="1" a="1"/>
  <c r="AF558" i="1" s="1"/>
  <c r="AG654" i="1" a="1"/>
  <c r="AG654" i="1" s="1"/>
  <c r="Y654" i="1" s="1"/>
  <c r="AF654" i="1" a="1"/>
  <c r="AF654" i="1" s="1"/>
  <c r="AG790" i="1" a="1"/>
  <c r="AG790" i="1" s="1"/>
  <c r="Y790" i="1" s="1"/>
  <c r="AF790" i="1" a="1"/>
  <c r="AF790" i="1" s="1"/>
  <c r="X790" i="1" s="1"/>
  <c r="AG853" i="1" a="1"/>
  <c r="AG853" i="1" s="1"/>
  <c r="Y853" i="1" s="1"/>
  <c r="AF853" i="1" a="1"/>
  <c r="AF853" i="1" s="1"/>
  <c r="AB343" i="1"/>
  <c r="AB441" i="1"/>
  <c r="Z441" i="1" s="1"/>
  <c r="AB415" i="1"/>
  <c r="AG581" i="1" a="1"/>
  <c r="AG581" i="1" s="1"/>
  <c r="Y581" i="1" s="1"/>
  <c r="AB581" i="1" s="1"/>
  <c r="AG912" i="1" a="1"/>
  <c r="AG912" i="1" s="1"/>
  <c r="Y912" i="1" s="1"/>
  <c r="AF496" i="1" a="1"/>
  <c r="AF496" i="1" s="1"/>
  <c r="AB501" i="1"/>
  <c r="AA508" i="1"/>
  <c r="AB549" i="1"/>
  <c r="AF628" i="1" a="1"/>
  <c r="AF628" i="1" s="1"/>
  <c r="AG628" i="1" a="1"/>
  <c r="AG628" i="1" s="1"/>
  <c r="Y628" i="1" s="1"/>
  <c r="AG683" i="1" a="1"/>
  <c r="AG683" i="1" s="1"/>
  <c r="Y683" i="1" s="1"/>
  <c r="AF683" i="1" a="1"/>
  <c r="AF683" i="1" s="1"/>
  <c r="X683" i="1" s="1"/>
  <c r="AA683" i="1" s="1"/>
  <c r="AF954" i="1" a="1"/>
  <c r="AF954" i="1" s="1"/>
  <c r="X954" i="1" s="1"/>
  <c r="AA954" i="1" s="1"/>
  <c r="AG954" i="1" a="1"/>
  <c r="AG954" i="1" s="1"/>
  <c r="Y954" i="1" s="1"/>
  <c r="AA254" i="1"/>
  <c r="Z254" i="1" s="1"/>
  <c r="AA260" i="1"/>
  <c r="Z260" i="1" s="1"/>
  <c r="AA506" i="1"/>
  <c r="AA512" i="1"/>
  <c r="AG610" i="1" a="1"/>
  <c r="AG610" i="1" s="1"/>
  <c r="Y610" i="1" s="1"/>
  <c r="AF610" i="1" a="1"/>
  <c r="AF610" i="1" s="1"/>
  <c r="X610" i="1" s="1"/>
  <c r="AG1089" i="1" a="1"/>
  <c r="AG1089" i="1" s="1"/>
  <c r="Y1089" i="1" s="1"/>
  <c r="AF1089" i="1" a="1"/>
  <c r="AF1089" i="1" s="1"/>
  <c r="AB223" i="1"/>
  <c r="AG668" i="1" a="1"/>
  <c r="AG668" i="1" s="1"/>
  <c r="Y668" i="1" s="1"/>
  <c r="AG700" i="1" a="1"/>
  <c r="AG700" i="1" s="1"/>
  <c r="Y700" i="1" s="1"/>
  <c r="AG789" i="1" a="1"/>
  <c r="AG789" i="1" s="1"/>
  <c r="Y789" i="1" s="1"/>
  <c r="AF807" i="1" a="1"/>
  <c r="AF807" i="1" s="1"/>
  <c r="X807" i="1" s="1"/>
  <c r="AG817" i="1" a="1"/>
  <c r="AG817" i="1" s="1"/>
  <c r="Y817" i="1" s="1"/>
  <c r="AF850" i="1" a="1"/>
  <c r="AF850" i="1" s="1"/>
  <c r="AG894" i="1" a="1"/>
  <c r="AG894" i="1" s="1"/>
  <c r="AB905" i="1"/>
  <c r="AF915" i="1" a="1"/>
  <c r="AF915" i="1" s="1"/>
  <c r="AF460" i="1" a="1"/>
  <c r="AF460" i="1" s="1"/>
  <c r="X460" i="1" s="1"/>
  <c r="AA460" i="1" s="1"/>
  <c r="AG1024" i="1" a="1"/>
  <c r="AG1024" i="1" s="1"/>
  <c r="Y1024" i="1" s="1"/>
  <c r="AG1026" i="1" a="1"/>
  <c r="AG1026" i="1" s="1"/>
  <c r="Y1026" i="1" s="1"/>
  <c r="AF1129" i="1" a="1"/>
  <c r="AF1129" i="1" s="1"/>
  <c r="Z1228" i="1"/>
  <c r="AF1245" i="1" a="1"/>
  <c r="AF1245" i="1" s="1"/>
  <c r="AG1245" i="1" a="1"/>
  <c r="AG1245" i="1" s="1"/>
  <c r="Y1245" i="1" s="1"/>
  <c r="AF1257" i="1" a="1"/>
  <c r="AF1257" i="1" s="1"/>
  <c r="AB1263" i="1"/>
  <c r="AA1296" i="1"/>
  <c r="Z1296" i="1" s="1"/>
  <c r="AB970" i="1"/>
  <c r="AG1080" i="1" a="1"/>
  <c r="AG1080" i="1" s="1"/>
  <c r="Y1080" i="1" s="1"/>
  <c r="AG1342" i="1" a="1"/>
  <c r="AG1342" i="1" s="1"/>
  <c r="Y1342" i="1" s="1"/>
  <c r="AB1342" i="1" s="1"/>
  <c r="AF1342" i="1" a="1"/>
  <c r="AF1342" i="1" s="1"/>
  <c r="X1342" i="1" s="1"/>
  <c r="AA1342" i="1" s="1"/>
  <c r="AG1396" i="1" a="1"/>
  <c r="AG1396" i="1" s="1"/>
  <c r="AF1396" i="1" a="1"/>
  <c r="AF1396" i="1" s="1"/>
  <c r="X1396" i="1" s="1"/>
  <c r="AF1399" i="1" a="1"/>
  <c r="AF1399" i="1" s="1"/>
  <c r="X1399" i="1" s="1"/>
  <c r="AG1399" i="1" a="1"/>
  <c r="AG1399" i="1" s="1"/>
  <c r="AG1575" i="1" a="1"/>
  <c r="AG1575" i="1" s="1"/>
  <c r="Y1575" i="1" s="1"/>
  <c r="AF1575" i="1" a="1"/>
  <c r="AF1575" i="1" s="1"/>
  <c r="X1575" i="1" s="1"/>
  <c r="AF1612" i="1" a="1"/>
  <c r="AF1612" i="1" s="1"/>
  <c r="X1612" i="1" s="1"/>
  <c r="AG1612" i="1" a="1"/>
  <c r="AG1612" i="1" s="1"/>
  <c r="Y1612" i="1" s="1"/>
  <c r="AB677" i="1"/>
  <c r="AG745" i="1" a="1"/>
  <c r="AG745" i="1" s="1"/>
  <c r="Y745" i="1" s="1"/>
  <c r="AG811" i="1" a="1"/>
  <c r="AG811" i="1" s="1"/>
  <c r="Y811" i="1" s="1"/>
  <c r="Z889" i="1"/>
  <c r="Z891" i="1"/>
  <c r="AA893" i="1"/>
  <c r="AB919" i="1"/>
  <c r="Z919" i="1" s="1"/>
  <c r="AB927" i="1"/>
  <c r="AF1237" i="1" a="1"/>
  <c r="AF1237" i="1" s="1"/>
  <c r="AF1492" i="1" a="1"/>
  <c r="AF1492" i="1" s="1"/>
  <c r="X1492" i="1" s="1"/>
  <c r="AF1094" i="1" a="1"/>
  <c r="AF1094" i="1" s="1"/>
  <c r="AB1109" i="1"/>
  <c r="AG447" i="1" a="1"/>
  <c r="AG447" i="1" s="1"/>
  <c r="Y447" i="1" s="1"/>
  <c r="AB447" i="1" s="1"/>
  <c r="AB1296" i="1"/>
  <c r="AF1322" i="1" a="1"/>
  <c r="AF1322" i="1" s="1"/>
  <c r="X1322" i="1" s="1"/>
  <c r="AG1322" i="1" a="1"/>
  <c r="AG1322" i="1" s="1"/>
  <c r="Y1322" i="1" s="1"/>
  <c r="AB1322" i="1" s="1"/>
  <c r="Z1322" i="1" s="1"/>
  <c r="AF1327" i="1" a="1"/>
  <c r="AF1327" i="1" s="1"/>
  <c r="X1327" i="1" s="1"/>
  <c r="AG1386" i="1" a="1"/>
  <c r="AG1386" i="1" s="1"/>
  <c r="AF1386" i="1" a="1"/>
  <c r="AF1386" i="1" s="1"/>
  <c r="X1386" i="1" s="1"/>
  <c r="AF1393" i="1" a="1"/>
  <c r="AF1393" i="1" s="1"/>
  <c r="X1393" i="1" s="1"/>
  <c r="AG1393" i="1" a="1"/>
  <c r="AG1393" i="1" s="1"/>
  <c r="AG1466" i="1" a="1"/>
  <c r="AG1466" i="1" s="1"/>
  <c r="Y1466" i="1" s="1"/>
  <c r="AB1466" i="1" s="1"/>
  <c r="AF1466" i="1" a="1"/>
  <c r="AF1466" i="1" s="1"/>
  <c r="X1466" i="1" s="1"/>
  <c r="AF1527" i="1" a="1"/>
  <c r="AF1527" i="1" s="1"/>
  <c r="X1527" i="1" s="1"/>
  <c r="AG1527" i="1" a="1"/>
  <c r="AG1527" i="1" s="1"/>
  <c r="Y1527" i="1" s="1"/>
  <c r="AB245" i="1"/>
  <c r="AB659" i="1"/>
  <c r="AA803" i="1"/>
  <c r="AF837" i="1" a="1"/>
  <c r="AF837" i="1" s="1"/>
  <c r="Z887" i="1"/>
  <c r="AA889" i="1"/>
  <c r="AA891" i="1"/>
  <c r="Z895" i="1"/>
  <c r="AG902" i="1" a="1"/>
  <c r="AG902" i="1" s="1"/>
  <c r="Y902" i="1" s="1"/>
  <c r="AB902" i="1" s="1"/>
  <c r="AF1079" i="1" a="1"/>
  <c r="AF1079" i="1" s="1"/>
  <c r="AG1079" i="1" a="1"/>
  <c r="AG1079" i="1" s="1"/>
  <c r="Y1079" i="1" s="1"/>
  <c r="AB1079" i="1" s="1"/>
  <c r="AF1087" i="1" a="1"/>
  <c r="AF1087" i="1" s="1"/>
  <c r="AG1087" i="1" a="1"/>
  <c r="AG1087" i="1" s="1"/>
  <c r="Y1087" i="1" s="1"/>
  <c r="AG1303" i="1" a="1"/>
  <c r="AG1303" i="1" s="1"/>
  <c r="Y1303" i="1" s="1"/>
  <c r="AF1303" i="1" a="1"/>
  <c r="AF1303" i="1" s="1"/>
  <c r="X1303" i="1" s="1"/>
  <c r="AA1303" i="1" s="1"/>
  <c r="AF1328" i="1" a="1"/>
  <c r="AF1328" i="1" s="1"/>
  <c r="X1328" i="1" s="1"/>
  <c r="AG1328" i="1" a="1"/>
  <c r="AG1328" i="1" s="1"/>
  <c r="Y1328" i="1" s="1"/>
  <c r="AB1618" i="1"/>
  <c r="AG957" i="1" a="1"/>
  <c r="AG957" i="1" s="1"/>
  <c r="Y957" i="1" s="1"/>
  <c r="AG1070" i="1" a="1"/>
  <c r="AG1070" i="1" s="1"/>
  <c r="Y1070" i="1" s="1"/>
  <c r="AF1070" i="1" a="1"/>
  <c r="AF1070" i="1" s="1"/>
  <c r="AA1128" i="1"/>
  <c r="AG1256" i="1" a="1"/>
  <c r="AG1256" i="1" s="1"/>
  <c r="Y1256" i="1" s="1"/>
  <c r="AF1256" i="1" a="1"/>
  <c r="AF1256" i="1" s="1"/>
  <c r="AB654" i="1"/>
  <c r="AF909" i="1" a="1"/>
  <c r="AF909" i="1" s="1"/>
  <c r="AG472" i="1" a="1"/>
  <c r="AG472" i="1" s="1"/>
  <c r="Y472" i="1" s="1"/>
  <c r="AB472" i="1" s="1"/>
  <c r="AB958" i="1"/>
  <c r="AA960" i="1"/>
  <c r="AG1092" i="1" a="1"/>
  <c r="AG1092" i="1" s="1"/>
  <c r="Y1092" i="1" s="1"/>
  <c r="AG1125" i="1" a="1"/>
  <c r="AG1125" i="1" s="1"/>
  <c r="Y1125" i="1" s="1"/>
  <c r="AF1163" i="1" a="1"/>
  <c r="AF1163" i="1" s="1"/>
  <c r="AG1163" i="1" a="1"/>
  <c r="AG1163" i="1" s="1"/>
  <c r="Y1163" i="1" s="1"/>
  <c r="AG1166" i="1" a="1"/>
  <c r="AG1166" i="1" s="1"/>
  <c r="Y1166" i="1" s="1"/>
  <c r="AF1183" i="1" a="1"/>
  <c r="AF1183" i="1" s="1"/>
  <c r="AG1277" i="1" a="1"/>
  <c r="AG1277" i="1" s="1"/>
  <c r="Y1277" i="1" s="1"/>
  <c r="AF1277" i="1" a="1"/>
  <c r="AF1277" i="1" s="1"/>
  <c r="AF1292" i="1" a="1"/>
  <c r="AF1292" i="1" s="1"/>
  <c r="X1292" i="1" s="1"/>
  <c r="AG1292" i="1" a="1"/>
  <c r="AG1292" i="1" s="1"/>
  <c r="Y1292" i="1" s="1"/>
  <c r="AF1314" i="1" a="1"/>
  <c r="AF1314" i="1" s="1"/>
  <c r="X1314" i="1" s="1"/>
  <c r="AA1314" i="1" s="1"/>
  <c r="AG1314" i="1" a="1"/>
  <c r="AG1314" i="1" s="1"/>
  <c r="Y1314" i="1" s="1"/>
  <c r="AB1314" i="1" s="1"/>
  <c r="AF1325" i="1" a="1"/>
  <c r="AF1325" i="1" s="1"/>
  <c r="X1325" i="1" s="1"/>
  <c r="AB210" i="1"/>
  <c r="AF735" i="1" a="1"/>
  <c r="AF735" i="1" s="1"/>
  <c r="AF777" i="1" a="1"/>
  <c r="AF777" i="1" s="1"/>
  <c r="X777" i="1" s="1"/>
  <c r="AG799" i="1" a="1"/>
  <c r="AG799" i="1" s="1"/>
  <c r="Y799" i="1" s="1"/>
  <c r="AG1019" i="1" a="1"/>
  <c r="AG1019" i="1" s="1"/>
  <c r="Y1019" i="1" s="1"/>
  <c r="AG1034" i="1" a="1"/>
  <c r="AG1034" i="1" s="1"/>
  <c r="Y1034" i="1" s="1"/>
  <c r="AG1036" i="1" a="1"/>
  <c r="AG1036" i="1" s="1"/>
  <c r="Y1036" i="1" s="1"/>
  <c r="AG1038" i="1" a="1"/>
  <c r="AG1038" i="1" s="1"/>
  <c r="Y1038" i="1" s="1"/>
  <c r="AG1040" i="1" a="1"/>
  <c r="AG1040" i="1" s="1"/>
  <c r="Y1040" i="1" s="1"/>
  <c r="AG1042" i="1" a="1"/>
  <c r="AG1042" i="1" s="1"/>
  <c r="Y1042" i="1" s="1"/>
  <c r="AG1044" i="1" a="1"/>
  <c r="AG1044" i="1" s="1"/>
  <c r="Y1044" i="1" s="1"/>
  <c r="AB1044" i="1" s="1"/>
  <c r="Z1044" i="1" s="1"/>
  <c r="AF1081" i="1" a="1"/>
  <c r="AF1081" i="1" s="1"/>
  <c r="AG1093" i="1" a="1"/>
  <c r="AG1093" i="1" s="1"/>
  <c r="Y1093" i="1" s="1"/>
  <c r="AB1093" i="1" s="1"/>
  <c r="Z1093" i="1" s="1"/>
  <c r="AF1093" i="1" a="1"/>
  <c r="AF1093" i="1" s="1"/>
  <c r="AG1105" i="1" a="1"/>
  <c r="AG1105" i="1" s="1"/>
  <c r="Y1105" i="1" s="1"/>
  <c r="AF1105" i="1" a="1"/>
  <c r="AF1105" i="1" s="1"/>
  <c r="AG1128" i="1" a="1"/>
  <c r="AG1128" i="1" s="1"/>
  <c r="Y1128" i="1" s="1"/>
  <c r="AB1128" i="1" s="1"/>
  <c r="Z1128" i="1" s="1"/>
  <c r="AF1259" i="1" a="1"/>
  <c r="AF1259" i="1" s="1"/>
  <c r="AB1300" i="1"/>
  <c r="AG1377" i="1" a="1"/>
  <c r="AG1377" i="1" s="1"/>
  <c r="AF1377" i="1" a="1"/>
  <c r="AF1377" i="1" s="1"/>
  <c r="X1377" i="1" s="1"/>
  <c r="AA1377" i="1" s="1"/>
  <c r="AG718" i="1" a="1"/>
  <c r="AG718" i="1" s="1"/>
  <c r="Y718" i="1" s="1"/>
  <c r="AF749" i="1" a="1"/>
  <c r="AF749" i="1" s="1"/>
  <c r="Z972" i="1"/>
  <c r="AG448" i="1" a="1"/>
  <c r="AG448" i="1" s="1"/>
  <c r="Y448" i="1" s="1"/>
  <c r="AF448" i="1" a="1"/>
  <c r="AF448" i="1" s="1"/>
  <c r="X448" i="1" s="1"/>
  <c r="AG1260" i="1" a="1"/>
  <c r="AG1260" i="1" s="1"/>
  <c r="Y1260" i="1" s="1"/>
  <c r="AF1260" i="1" a="1"/>
  <c r="AF1260" i="1" s="1"/>
  <c r="AG1301" i="1" a="1"/>
  <c r="AG1301" i="1" s="1"/>
  <c r="Y1301" i="1" s="1"/>
  <c r="AF1301" i="1" a="1"/>
  <c r="AF1301" i="1" s="1"/>
  <c r="X1301" i="1" s="1"/>
  <c r="AF1304" i="1" a="1"/>
  <c r="AF1304" i="1" s="1"/>
  <c r="X1304" i="1" s="1"/>
  <c r="AG1304" i="1" a="1"/>
  <c r="AG1304" i="1" s="1"/>
  <c r="Y1304" i="1" s="1"/>
  <c r="AB1304" i="1" s="1"/>
  <c r="Z1304" i="1" s="1"/>
  <c r="AF1319" i="1" a="1"/>
  <c r="AF1319" i="1" s="1"/>
  <c r="X1319" i="1" s="1"/>
  <c r="AG1329" i="1" a="1"/>
  <c r="AG1329" i="1" s="1"/>
  <c r="Y1329" i="1" s="1"/>
  <c r="AB1329" i="1" s="1"/>
  <c r="AF1329" i="1" a="1"/>
  <c r="AF1329" i="1" s="1"/>
  <c r="X1329" i="1" s="1"/>
  <c r="AG1370" i="1" a="1"/>
  <c r="AG1370" i="1" s="1"/>
  <c r="AG1384" i="1" a="1"/>
  <c r="AG1384" i="1" s="1"/>
  <c r="AF1384" i="1" a="1"/>
  <c r="AF1384" i="1" s="1"/>
  <c r="X1384" i="1" s="1"/>
  <c r="AG1479" i="1" a="1"/>
  <c r="AG1479" i="1" s="1"/>
  <c r="Y1479" i="1" s="1"/>
  <c r="AF1479" i="1" a="1"/>
  <c r="AF1479" i="1" s="1"/>
  <c r="X1479" i="1" s="1"/>
  <c r="AG1587" i="1" a="1"/>
  <c r="AG1587" i="1" s="1"/>
  <c r="Y1587" i="1" s="1"/>
  <c r="AF1587" i="1" a="1"/>
  <c r="AF1587" i="1" s="1"/>
  <c r="X1587" i="1" s="1"/>
  <c r="AG1547" i="1" a="1"/>
  <c r="AG1547" i="1" s="1"/>
  <c r="Y1547" i="1" s="1"/>
  <c r="AF1547" i="1" a="1"/>
  <c r="AF1547" i="1" s="1"/>
  <c r="X1547" i="1" s="1"/>
  <c r="AA1547" i="1" s="1"/>
  <c r="AG712" i="1" a="1"/>
  <c r="AG712" i="1" s="1"/>
  <c r="Y712" i="1" s="1"/>
  <c r="AF801" i="1" a="1"/>
  <c r="AF801" i="1" s="1"/>
  <c r="X801" i="1" s="1"/>
  <c r="AF860" i="1" a="1"/>
  <c r="AF860" i="1" s="1"/>
  <c r="AA1525" i="1"/>
  <c r="AG960" i="1" a="1"/>
  <c r="AG960" i="1" s="1"/>
  <c r="Y960" i="1" s="1"/>
  <c r="AG963" i="1" a="1"/>
  <c r="AG963" i="1" s="1"/>
  <c r="Y963" i="1" s="1"/>
  <c r="AF965" i="1" a="1"/>
  <c r="AF965" i="1" s="1"/>
  <c r="X965" i="1" s="1"/>
  <c r="AA965" i="1" s="1"/>
  <c r="Z965" i="1" s="1"/>
  <c r="AF1009" i="1" a="1"/>
  <c r="AF1009" i="1" s="1"/>
  <c r="AG1060" i="1" a="1"/>
  <c r="AG1060" i="1" s="1"/>
  <c r="Y1060" i="1" s="1"/>
  <c r="AB1073" i="1"/>
  <c r="AG1082" i="1" a="1"/>
  <c r="AG1082" i="1" s="1"/>
  <c r="Y1082" i="1" s="1"/>
  <c r="AF1082" i="1" a="1"/>
  <c r="AF1082" i="1" s="1"/>
  <c r="AB1091" i="1"/>
  <c r="AF1145" i="1" a="1"/>
  <c r="AF1145" i="1" s="1"/>
  <c r="AG1145" i="1" a="1"/>
  <c r="AG1145" i="1" s="1"/>
  <c r="Y1145" i="1" s="1"/>
  <c r="AG1148" i="1" a="1"/>
  <c r="AG1148" i="1" s="1"/>
  <c r="Y1148" i="1" s="1"/>
  <c r="AB1148" i="1" s="1"/>
  <c r="Z1148" i="1" s="1"/>
  <c r="AB1218" i="1"/>
  <c r="AG446" i="1" a="1"/>
  <c r="AG446" i="1" s="1"/>
  <c r="Y446" i="1" s="1"/>
  <c r="AB446" i="1" s="1"/>
  <c r="AG450" i="1" a="1"/>
  <c r="AG450" i="1" s="1"/>
  <c r="Y450" i="1" s="1"/>
  <c r="AF450" i="1" a="1"/>
  <c r="AF450" i="1" s="1"/>
  <c r="Z1314" i="1"/>
  <c r="AF1513" i="1" a="1"/>
  <c r="AF1513" i="1" s="1"/>
  <c r="X1513" i="1" s="1"/>
  <c r="AG1513" i="1" a="1"/>
  <c r="AG1513" i="1" s="1"/>
  <c r="Y1513" i="1" s="1"/>
  <c r="AF923" i="1" a="1"/>
  <c r="AF923" i="1" s="1"/>
  <c r="AG923" i="1" a="1"/>
  <c r="AG923" i="1" s="1"/>
  <c r="Y923" i="1" s="1"/>
  <c r="AB923" i="1" s="1"/>
  <c r="AB964" i="1"/>
  <c r="AA966" i="1"/>
  <c r="AG1061" i="1" a="1"/>
  <c r="AG1061" i="1" s="1"/>
  <c r="Y1061" i="1" s="1"/>
  <c r="AB1061" i="1" s="1"/>
  <c r="Z1061" i="1" s="1"/>
  <c r="AF1061" i="1" a="1"/>
  <c r="AF1061" i="1" s="1"/>
  <c r="AA1117" i="1"/>
  <c r="Z1117" i="1" s="1"/>
  <c r="AB1117" i="1"/>
  <c r="AG1121" i="1" a="1"/>
  <c r="AG1121" i="1" s="1"/>
  <c r="Y1121" i="1" s="1"/>
  <c r="AF1121" i="1" a="1"/>
  <c r="AF1121" i="1" s="1"/>
  <c r="AG1127" i="1" a="1"/>
  <c r="AG1127" i="1" s="1"/>
  <c r="Y1127" i="1" s="1"/>
  <c r="AB1127" i="1" s="1"/>
  <c r="AF1127" i="1" a="1"/>
  <c r="AF1127" i="1" s="1"/>
  <c r="AF1248" i="1" a="1"/>
  <c r="AF1248" i="1" s="1"/>
  <c r="AG1248" i="1" a="1"/>
  <c r="AG1248" i="1" s="1"/>
  <c r="Y1248" i="1" s="1"/>
  <c r="AA1353" i="1"/>
  <c r="Z1353" i="1" s="1"/>
  <c r="AF1365" i="1" a="1"/>
  <c r="AF1365" i="1" s="1"/>
  <c r="X1365" i="1" s="1"/>
  <c r="AG1365" i="1" a="1"/>
  <c r="AG1365" i="1" s="1"/>
  <c r="Y1365" i="1" s="1"/>
  <c r="AG1378" i="1" a="1"/>
  <c r="AG1378" i="1" s="1"/>
  <c r="AF1378" i="1" a="1"/>
  <c r="AF1378" i="1" s="1"/>
  <c r="X1378" i="1" s="1"/>
  <c r="AF1497" i="1" a="1"/>
  <c r="AF1497" i="1" s="1"/>
  <c r="X1497" i="1" s="1"/>
  <c r="AG1497" i="1" a="1"/>
  <c r="AG1497" i="1" s="1"/>
  <c r="Y1497" i="1" s="1"/>
  <c r="AF1542" i="1" a="1"/>
  <c r="AF1542" i="1" s="1"/>
  <c r="X1542" i="1" s="1"/>
  <c r="AG1542" i="1" a="1"/>
  <c r="AG1542" i="1" s="1"/>
  <c r="Y1542" i="1" s="1"/>
  <c r="AF1561" i="1" a="1"/>
  <c r="AF1561" i="1" s="1"/>
  <c r="X1561" i="1" s="1"/>
  <c r="AG1561" i="1" a="1"/>
  <c r="AG1561" i="1" s="1"/>
  <c r="Y1561" i="1" s="1"/>
  <c r="AG1571" i="1" a="1"/>
  <c r="AG1571" i="1" s="1"/>
  <c r="Y1571" i="1" s="1"/>
  <c r="AF1571" i="1" a="1"/>
  <c r="AF1571" i="1" s="1"/>
  <c r="X1571" i="1" s="1"/>
  <c r="AG1151" i="1" a="1"/>
  <c r="AG1151" i="1" s="1"/>
  <c r="Y1151" i="1" s="1"/>
  <c r="AG1169" i="1" a="1"/>
  <c r="AG1169" i="1" s="1"/>
  <c r="Y1169" i="1" s="1"/>
  <c r="AF1307" i="1" a="1"/>
  <c r="AF1307" i="1" s="1"/>
  <c r="X1307" i="1" s="1"/>
  <c r="AF1309" i="1" a="1"/>
  <c r="AF1309" i="1" s="1"/>
  <c r="X1309" i="1" s="1"/>
  <c r="AA1309" i="1" s="1"/>
  <c r="AF1348" i="1" a="1"/>
  <c r="AF1348" i="1" s="1"/>
  <c r="X1348" i="1" s="1"/>
  <c r="AA1348" i="1" s="1"/>
  <c r="T1432" i="1"/>
  <c r="AB1437" i="1"/>
  <c r="T1476" i="1"/>
  <c r="AA1476" i="1" s="1"/>
  <c r="T1498" i="1"/>
  <c r="T1555" i="1"/>
  <c r="AG1568" i="1" a="1"/>
  <c r="AG1568" i="1" s="1"/>
  <c r="Y1568" i="1" s="1"/>
  <c r="AA1452" i="1"/>
  <c r="T1488" i="1"/>
  <c r="AF1512" i="1" a="1"/>
  <c r="AF1512" i="1" s="1"/>
  <c r="X1512" i="1" s="1"/>
  <c r="AF1595" i="1" a="1"/>
  <c r="AF1595" i="1" s="1"/>
  <c r="X1595" i="1" s="1"/>
  <c r="T1454" i="1"/>
  <c r="AB1463" i="1"/>
  <c r="AF1624" i="1" a="1"/>
  <c r="AF1624" i="1" s="1"/>
  <c r="X1624" i="1" s="1"/>
  <c r="AG1541" i="1" a="1"/>
  <c r="AG1541" i="1" s="1"/>
  <c r="Y1541" i="1" s="1"/>
  <c r="AB947" i="1"/>
  <c r="AB1563" i="1"/>
  <c r="AB371" i="1"/>
  <c r="Z371" i="1" s="1"/>
  <c r="AB1286" i="1"/>
  <c r="AG1410" i="1" a="1"/>
  <c r="AG1410" i="1" s="1"/>
  <c r="Y1410" i="1" s="1"/>
  <c r="AG1422" i="1" a="1"/>
  <c r="AG1422" i="1" s="1"/>
  <c r="Y1422" i="1" s="1"/>
  <c r="T1470" i="1"/>
  <c r="T1493" i="1"/>
  <c r="T1516" i="1"/>
  <c r="AB1516" i="1" s="1"/>
  <c r="T1567" i="1"/>
  <c r="AB1567" i="1" s="1"/>
  <c r="AB1479" i="1"/>
  <c r="AF1537" i="1" a="1"/>
  <c r="AF1537" i="1" s="1"/>
  <c r="X1537" i="1" s="1"/>
  <c r="AB373" i="1"/>
  <c r="AG1356" i="1" a="1"/>
  <c r="AG1356" i="1" s="1"/>
  <c r="Y1356" i="1" s="1"/>
  <c r="AF1359" i="1" a="1"/>
  <c r="AF1359" i="1" s="1"/>
  <c r="X1359" i="1" s="1"/>
  <c r="AA1359" i="1" s="1"/>
  <c r="AF1380" i="1" a="1"/>
  <c r="AF1380" i="1" s="1"/>
  <c r="X1380" i="1" s="1"/>
  <c r="T1428" i="1"/>
  <c r="AA1434" i="1"/>
  <c r="T1436" i="1"/>
  <c r="T1452" i="1"/>
  <c r="AF1454" i="1" a="1"/>
  <c r="AF1454" i="1" s="1"/>
  <c r="X1454" i="1" s="1"/>
  <c r="AG1461" i="1" a="1"/>
  <c r="AG1461" i="1" s="1"/>
  <c r="Y1461" i="1" s="1"/>
  <c r="T1554" i="1"/>
  <c r="T1559" i="1"/>
  <c r="AB1559" i="1" s="1"/>
  <c r="T1603" i="1"/>
  <c r="AB1441" i="1"/>
  <c r="T1448" i="1"/>
  <c r="AA1448" i="1" s="1"/>
  <c r="AG1450" i="1" a="1"/>
  <c r="AG1450" i="1" s="1"/>
  <c r="Y1450" i="1" s="1"/>
  <c r="AG1452" i="1" a="1"/>
  <c r="AG1452" i="1" s="1"/>
  <c r="Y1452" i="1" s="1"/>
  <c r="T1466" i="1"/>
  <c r="T1491" i="1"/>
  <c r="AB1491" i="1" s="1"/>
  <c r="AF1503" i="1" a="1"/>
  <c r="AF1503" i="1" s="1"/>
  <c r="X1503" i="1" s="1"/>
  <c r="AG1565" i="1" a="1"/>
  <c r="AG1565" i="1" s="1"/>
  <c r="Y1565" i="1" s="1"/>
  <c r="T1613" i="1"/>
  <c r="AB1613" i="1" s="1"/>
  <c r="AB224" i="1"/>
  <c r="AG1338" i="1" a="1"/>
  <c r="AG1338" i="1" s="1"/>
  <c r="Y1338" i="1" s="1"/>
  <c r="AB1338" i="1" s="1"/>
  <c r="AA1362" i="1"/>
  <c r="AA1401" i="1"/>
  <c r="AA1442" i="1"/>
  <c r="Z1442" i="1" s="1"/>
  <c r="AG1448" i="1" a="1"/>
  <c r="AG1448" i="1" s="1"/>
  <c r="Y1448" i="1" s="1"/>
  <c r="AB1460" i="1"/>
  <c r="T1515" i="1"/>
  <c r="AA1515" i="1" s="1"/>
  <c r="AF1133" i="1" a="1"/>
  <c r="AF1133" i="1" s="1"/>
  <c r="AB1287" i="1"/>
  <c r="Z1287" i="1" s="1"/>
  <c r="AF1389" i="1" a="1"/>
  <c r="AF1389" i="1" s="1"/>
  <c r="X1389" i="1" s="1"/>
  <c r="AG1406" i="1" a="1"/>
  <c r="AG1406" i="1" s="1"/>
  <c r="T1444" i="1"/>
  <c r="AA1444" i="1" s="1"/>
  <c r="AF1499" i="1" a="1"/>
  <c r="AF1499" i="1" s="1"/>
  <c r="X1499" i="1" s="1"/>
  <c r="AB431" i="1"/>
  <c r="AF1533" i="1" a="1"/>
  <c r="AF1533" i="1" s="1"/>
  <c r="X1533" i="1" s="1"/>
  <c r="AF1563" i="1" a="1"/>
  <c r="AF1563" i="1" s="1"/>
  <c r="X1563" i="1" s="1"/>
  <c r="AA1563" i="1" s="1"/>
  <c r="Z1563" i="1" s="1"/>
  <c r="T1579" i="1"/>
  <c r="T1611" i="1"/>
  <c r="AG1154" i="1" a="1"/>
  <c r="AG1154" i="1" s="1"/>
  <c r="Y1154" i="1" s="1"/>
  <c r="AG1172" i="1" a="1"/>
  <c r="AG1172" i="1" s="1"/>
  <c r="Y1172" i="1" s="1"/>
  <c r="AF1297" i="1" a="1"/>
  <c r="AF1297" i="1" s="1"/>
  <c r="X1297" i="1" s="1"/>
  <c r="AA1297" i="1" s="1"/>
  <c r="AF1383" i="1" a="1"/>
  <c r="AF1383" i="1" s="1"/>
  <c r="X1383" i="1" s="1"/>
  <c r="AA1383" i="1" s="1"/>
  <c r="AG1444" i="1" a="1"/>
  <c r="AG1444" i="1" s="1"/>
  <c r="Y1444" i="1" s="1"/>
  <c r="T1455" i="1"/>
  <c r="AG206" i="1" a="1"/>
  <c r="AG206" i="1" s="1"/>
  <c r="Y206" i="1" s="1"/>
  <c r="AB206" i="1" s="1"/>
  <c r="T1496" i="1"/>
  <c r="AF1599" i="1" a="1"/>
  <c r="AF1599" i="1" s="1"/>
  <c r="X1599" i="1" s="1"/>
  <c r="AB21" i="1"/>
  <c r="AA21" i="1"/>
  <c r="Z21" i="1" s="1"/>
  <c r="AB24" i="1"/>
  <c r="AA24" i="1"/>
  <c r="Z24" i="1"/>
  <c r="Z33" i="1"/>
  <c r="AA33" i="1"/>
  <c r="AB33" i="1"/>
  <c r="AG46" i="1" a="1"/>
  <c r="AG46" i="1" s="1"/>
  <c r="Y46" i="1" s="1"/>
  <c r="AF46" i="1" a="1"/>
  <c r="AF46" i="1" s="1"/>
  <c r="X46" i="1" s="1"/>
  <c r="AF49" i="1" a="1"/>
  <c r="AF49" i="1" s="1"/>
  <c r="X49" i="1" s="1"/>
  <c r="AG49" i="1" a="1"/>
  <c r="AG49" i="1" s="1"/>
  <c r="Y49" i="1" s="1"/>
  <c r="AF23" i="1" a="1"/>
  <c r="AF23" i="1" s="1"/>
  <c r="X23" i="1" s="1"/>
  <c r="AG23" i="1" a="1"/>
  <c r="AG23" i="1" s="1"/>
  <c r="Y23" i="1" s="1"/>
  <c r="AB23" i="1" s="1"/>
  <c r="AB38" i="1"/>
  <c r="AA43" i="1"/>
  <c r="Z43" i="1" s="1"/>
  <c r="AB53" i="1"/>
  <c r="Z16" i="1"/>
  <c r="AG20" i="1" a="1"/>
  <c r="AG20" i="1" s="1"/>
  <c r="Y20" i="1" s="1"/>
  <c r="AF20" i="1" a="1"/>
  <c r="AF20" i="1" s="1"/>
  <c r="X20" i="1" s="1"/>
  <c r="AG35" i="1" a="1"/>
  <c r="AG35" i="1" s="1"/>
  <c r="Y35" i="1" s="1"/>
  <c r="AB35" i="1" s="1"/>
  <c r="AF35" i="1" a="1"/>
  <c r="AF35" i="1" s="1"/>
  <c r="X35" i="1" s="1"/>
  <c r="AG5" i="1" a="1"/>
  <c r="AG5" i="1" s="1"/>
  <c r="Y5" i="1" s="1"/>
  <c r="AB5" i="1" s="1"/>
  <c r="AF5" i="1" a="1"/>
  <c r="AF5" i="1" s="1"/>
  <c r="X5" i="1" s="1"/>
  <c r="AB49" i="1"/>
  <c r="AF67" i="1" a="1"/>
  <c r="AF67" i="1" s="1"/>
  <c r="X67" i="1" s="1"/>
  <c r="AA67" i="1" s="1"/>
  <c r="AG67" i="1" a="1"/>
  <c r="AG67" i="1" s="1"/>
  <c r="Y67" i="1" s="1"/>
  <c r="AA72" i="1"/>
  <c r="Z72" i="1"/>
  <c r="AB72" i="1"/>
  <c r="AF89" i="1" a="1"/>
  <c r="AF89" i="1" s="1"/>
  <c r="X89" i="1" s="1"/>
  <c r="AA89" i="1" s="1"/>
  <c r="AG89" i="1" a="1"/>
  <c r="AG89" i="1" s="1"/>
  <c r="Y89" i="1" s="1"/>
  <c r="AF95" i="1" a="1"/>
  <c r="AF95" i="1" s="1"/>
  <c r="X95" i="1" s="1"/>
  <c r="AA95" i="1" s="1"/>
  <c r="AG95" i="1" a="1"/>
  <c r="AG95" i="1" s="1"/>
  <c r="Y95" i="1" s="1"/>
  <c r="AB95" i="1" s="1"/>
  <c r="Z7" i="1"/>
  <c r="AG2" i="1" a="1"/>
  <c r="AG2" i="1" s="1"/>
  <c r="Y2" i="1" s="1"/>
  <c r="AB2" i="1" s="1"/>
  <c r="AF2" i="1" a="1"/>
  <c r="AF2" i="1" s="1"/>
  <c r="X2" i="1" s="1"/>
  <c r="AB26" i="1"/>
  <c r="AF92" i="1" a="1"/>
  <c r="AF92" i="1" s="1"/>
  <c r="X92" i="1" s="1"/>
  <c r="AG92" i="1" a="1"/>
  <c r="AG92" i="1" s="1"/>
  <c r="Y92" i="1" s="1"/>
  <c r="AF179" i="1" a="1"/>
  <c r="AF179" i="1" s="1"/>
  <c r="X179" i="1" s="1"/>
  <c r="AG179" i="1" a="1"/>
  <c r="AG179" i="1" s="1"/>
  <c r="Y179" i="1" s="1"/>
  <c r="AB179" i="1" s="1"/>
  <c r="AA78" i="1"/>
  <c r="AF131" i="1" a="1"/>
  <c r="AF131" i="1" s="1"/>
  <c r="X131" i="1" s="1"/>
  <c r="AA131" i="1" s="1"/>
  <c r="AG131" i="1" a="1"/>
  <c r="AG131" i="1" s="1"/>
  <c r="Y131" i="1" s="1"/>
  <c r="AF155" i="1" a="1"/>
  <c r="AF155" i="1" s="1"/>
  <c r="X155" i="1" s="1"/>
  <c r="AA155" i="1" s="1"/>
  <c r="Z155" i="1" s="1"/>
  <c r="AG155" i="1" a="1"/>
  <c r="AG155" i="1" s="1"/>
  <c r="Y155" i="1" s="1"/>
  <c r="AF74" i="1" a="1"/>
  <c r="AF74" i="1" s="1"/>
  <c r="AG74" i="1" a="1"/>
  <c r="AG74" i="1" s="1"/>
  <c r="Y74" i="1" s="1"/>
  <c r="AB74" i="1" s="1"/>
  <c r="Z74" i="1" s="1"/>
  <c r="AG1280" i="1" a="1"/>
  <c r="AG1280" i="1" s="1"/>
  <c r="Y1280" i="1" s="1"/>
  <c r="AF1280" i="1" a="1"/>
  <c r="AF1280" i="1" s="1"/>
  <c r="X1280" i="1" s="1"/>
  <c r="AF37" i="1" a="1"/>
  <c r="AF37" i="1" s="1"/>
  <c r="X37" i="1" s="1"/>
  <c r="AA37" i="1" s="1"/>
  <c r="AG37" i="1" a="1"/>
  <c r="AG37" i="1" s="1"/>
  <c r="Y37" i="1" s="1"/>
  <c r="AB37" i="1" s="1"/>
  <c r="AF107" i="1" a="1"/>
  <c r="AF107" i="1" s="1"/>
  <c r="X107" i="1" s="1"/>
  <c r="AA107" i="1" s="1"/>
  <c r="AG107" i="1" a="1"/>
  <c r="AG107" i="1" s="1"/>
  <c r="Y107" i="1" s="1"/>
  <c r="AB107" i="1" s="1"/>
  <c r="Z107" i="1" s="1"/>
  <c r="AA42" i="1"/>
  <c r="AB42" i="1"/>
  <c r="Z42" i="1" s="1"/>
  <c r="AF25" i="1" a="1"/>
  <c r="AF25" i="1" s="1"/>
  <c r="X25" i="1" s="1"/>
  <c r="AG25" i="1" a="1"/>
  <c r="AG25" i="1" s="1"/>
  <c r="Y25" i="1" s="1"/>
  <c r="AF55" i="1" a="1"/>
  <c r="AF55" i="1" s="1"/>
  <c r="X55" i="1" s="1"/>
  <c r="AA55" i="1" s="1"/>
  <c r="Z55" i="1" s="1"/>
  <c r="AG55" i="1" a="1"/>
  <c r="AG55" i="1" s="1"/>
  <c r="Y55" i="1" s="1"/>
  <c r="AB36" i="1"/>
  <c r="AA36" i="1"/>
  <c r="Z36" i="1" s="1"/>
  <c r="AA45" i="1"/>
  <c r="AF167" i="1" a="1"/>
  <c r="AF167" i="1" s="1"/>
  <c r="X167" i="1" s="1"/>
  <c r="AG167" i="1" a="1"/>
  <c r="AG167" i="1" s="1"/>
  <c r="Y167" i="1" s="1"/>
  <c r="AB167" i="1" s="1"/>
  <c r="AB19" i="1"/>
  <c r="AG4" i="1" a="1"/>
  <c r="AG4" i="1" s="1"/>
  <c r="Y4" i="1" s="1"/>
  <c r="AB4" i="1" s="1"/>
  <c r="AF4" i="1" a="1"/>
  <c r="AF4" i="1" s="1"/>
  <c r="X4" i="1" s="1"/>
  <c r="AA4" i="1" s="1"/>
  <c r="AB25" i="1"/>
  <c r="AF28" i="1" a="1"/>
  <c r="AF28" i="1" s="1"/>
  <c r="X28" i="1" s="1"/>
  <c r="AA28" i="1" s="1"/>
  <c r="AG28" i="1" a="1"/>
  <c r="AG28" i="1" s="1"/>
  <c r="Y28" i="1" s="1"/>
  <c r="AF61" i="1" a="1"/>
  <c r="AF61" i="1" s="1"/>
  <c r="X61" i="1" s="1"/>
  <c r="AA61" i="1" s="1"/>
  <c r="AG61" i="1" a="1"/>
  <c r="AG61" i="1" s="1"/>
  <c r="Y61" i="1" s="1"/>
  <c r="AF64" i="1" a="1"/>
  <c r="AF64" i="1" s="1"/>
  <c r="X64" i="1" s="1"/>
  <c r="AA64" i="1" s="1"/>
  <c r="AG64" i="1" a="1"/>
  <c r="AG64" i="1" s="1"/>
  <c r="Y64" i="1" s="1"/>
  <c r="AF119" i="1" a="1"/>
  <c r="AF119" i="1" s="1"/>
  <c r="X119" i="1" s="1"/>
  <c r="AA119" i="1" s="1"/>
  <c r="AG119" i="1" a="1"/>
  <c r="AG119" i="1" s="1"/>
  <c r="Y119" i="1" s="1"/>
  <c r="AB119" i="1" s="1"/>
  <c r="Z119" i="1" s="1"/>
  <c r="AF143" i="1" a="1"/>
  <c r="AF143" i="1" s="1"/>
  <c r="X143" i="1" s="1"/>
  <c r="AA143" i="1" s="1"/>
  <c r="AG143" i="1" a="1"/>
  <c r="AG143" i="1" s="1"/>
  <c r="Y143" i="1" s="1"/>
  <c r="AF19" i="1" a="1"/>
  <c r="AF19" i="1" s="1"/>
  <c r="X19" i="1" s="1"/>
  <c r="AG19" i="1" a="1"/>
  <c r="AG19" i="1" s="1"/>
  <c r="Y19" i="1" s="1"/>
  <c r="AB229" i="1"/>
  <c r="AA229" i="1"/>
  <c r="Z229" i="1" s="1"/>
  <c r="AB233" i="1"/>
  <c r="AA233" i="1"/>
  <c r="Z233" i="1" s="1"/>
  <c r="AB270" i="1"/>
  <c r="AG285" i="1" a="1"/>
  <c r="AG285" i="1" s="1"/>
  <c r="Y285" i="1" s="1"/>
  <c r="AF285" i="1" a="1"/>
  <c r="AF285" i="1" s="1"/>
  <c r="X285" i="1" s="1"/>
  <c r="AG292" i="1" a="1"/>
  <c r="AG292" i="1" s="1"/>
  <c r="Y292" i="1" s="1"/>
  <c r="AF292" i="1" a="1"/>
  <c r="AF292" i="1" s="1"/>
  <c r="X292" i="1" s="1"/>
  <c r="AF332" i="1" a="1"/>
  <c r="AF332" i="1" s="1"/>
  <c r="X332" i="1" s="1"/>
  <c r="AA332" i="1" s="1"/>
  <c r="AG332" i="1" a="1"/>
  <c r="AG332" i="1" s="1"/>
  <c r="Y332" i="1" s="1"/>
  <c r="AB332" i="1" s="1"/>
  <c r="Z332" i="1" s="1"/>
  <c r="AG348" i="1" a="1"/>
  <c r="AG348" i="1" s="1"/>
  <c r="Y348" i="1" s="1"/>
  <c r="AF348" i="1" a="1"/>
  <c r="AF348" i="1" s="1"/>
  <c r="X348" i="1" s="1"/>
  <c r="AG410" i="1" a="1"/>
  <c r="AG410" i="1" s="1"/>
  <c r="Y410" i="1" s="1"/>
  <c r="AF410" i="1" a="1"/>
  <c r="AF410" i="1" s="1"/>
  <c r="X410" i="1" s="1"/>
  <c r="AA410" i="1" s="1"/>
  <c r="AG719" i="1" a="1"/>
  <c r="AG719" i="1" s="1"/>
  <c r="Y719" i="1" s="1"/>
  <c r="AF719" i="1" a="1"/>
  <c r="AF719" i="1" s="1"/>
  <c r="X719" i="1" s="1"/>
  <c r="AA719" i="1" s="1"/>
  <c r="AA744" i="1"/>
  <c r="AA19" i="1"/>
  <c r="Z19" i="1" s="1"/>
  <c r="AA47" i="1"/>
  <c r="Z47" i="1" s="1"/>
  <c r="AA49" i="1"/>
  <c r="AG63" i="1" a="1"/>
  <c r="AG63" i="1" s="1"/>
  <c r="Y63" i="1" s="1"/>
  <c r="AB63" i="1" s="1"/>
  <c r="AF63" i="1" a="1"/>
  <c r="AF63" i="1" s="1"/>
  <c r="X63" i="1" s="1"/>
  <c r="AA63" i="1" s="1"/>
  <c r="AB67" i="1"/>
  <c r="AB71" i="1"/>
  <c r="AF72" i="1" a="1"/>
  <c r="AF72" i="1" s="1"/>
  <c r="AG75" i="1" a="1"/>
  <c r="AG75" i="1" s="1"/>
  <c r="Y75" i="1" s="1"/>
  <c r="AB75" i="1" s="1"/>
  <c r="Z75" i="1" s="1"/>
  <c r="AB93" i="1"/>
  <c r="AB105" i="1"/>
  <c r="AB117" i="1"/>
  <c r="AB129" i="1"/>
  <c r="AA129" i="1"/>
  <c r="Z129" i="1" s="1"/>
  <c r="AB131" i="1"/>
  <c r="Z131" i="1" s="1"/>
  <c r="AB141" i="1"/>
  <c r="AB143" i="1"/>
  <c r="AB153" i="1"/>
  <c r="AB155" i="1"/>
  <c r="AB165" i="1"/>
  <c r="AB177" i="1"/>
  <c r="AB194" i="1"/>
  <c r="AG196" i="1" a="1"/>
  <c r="AG196" i="1" s="1"/>
  <c r="Y196" i="1" s="1"/>
  <c r="AB196" i="1" s="1"/>
  <c r="AF196" i="1" a="1"/>
  <c r="AF196" i="1" s="1"/>
  <c r="X196" i="1" s="1"/>
  <c r="AA205" i="1"/>
  <c r="AG249" i="1" a="1"/>
  <c r="AG249" i="1" s="1"/>
  <c r="Y249" i="1" s="1"/>
  <c r="AB249" i="1" s="1"/>
  <c r="AF249" i="1" a="1"/>
  <c r="AF249" i="1" s="1"/>
  <c r="X249" i="1" s="1"/>
  <c r="AA249" i="1" s="1"/>
  <c r="AG258" i="1" a="1"/>
  <c r="AG258" i="1" s="1"/>
  <c r="Y258" i="1" s="1"/>
  <c r="AB258" i="1" s="1"/>
  <c r="Z258" i="1" s="1"/>
  <c r="AF258" i="1" a="1"/>
  <c r="AF258" i="1" s="1"/>
  <c r="X258" i="1" s="1"/>
  <c r="AG268" i="1" a="1"/>
  <c r="AG268" i="1" s="1"/>
  <c r="Y268" i="1" s="1"/>
  <c r="AF268" i="1" a="1"/>
  <c r="AF268" i="1" s="1"/>
  <c r="X268" i="1" s="1"/>
  <c r="AF326" i="1" a="1"/>
  <c r="AF326" i="1" s="1"/>
  <c r="X326" i="1" s="1"/>
  <c r="AA326" i="1" s="1"/>
  <c r="AG326" i="1" a="1"/>
  <c r="AG326" i="1" s="1"/>
  <c r="Y326" i="1" s="1"/>
  <c r="AG342" i="1" a="1"/>
  <c r="AG342" i="1" s="1"/>
  <c r="Y342" i="1" s="1"/>
  <c r="AB342" i="1" s="1"/>
  <c r="AF342" i="1" a="1"/>
  <c r="AF342" i="1" s="1"/>
  <c r="X342" i="1" s="1"/>
  <c r="AG43" i="1" a="1"/>
  <c r="AG43" i="1" s="1"/>
  <c r="Y43" i="1" s="1"/>
  <c r="AB43" i="1" s="1"/>
  <c r="AB46" i="1"/>
  <c r="AG73" i="1" a="1"/>
  <c r="AG73" i="1" s="1"/>
  <c r="Y73" i="1" s="1"/>
  <c r="AF73" i="1" a="1"/>
  <c r="AF73" i="1" s="1"/>
  <c r="AA79" i="1"/>
  <c r="Z79" i="1" s="1"/>
  <c r="AG98" i="1" a="1"/>
  <c r="AG98" i="1" s="1"/>
  <c r="Y98" i="1" s="1"/>
  <c r="AG110" i="1" a="1"/>
  <c r="AG110" i="1" s="1"/>
  <c r="Y110" i="1" s="1"/>
  <c r="AG122" i="1" a="1"/>
  <c r="AG122" i="1" s="1"/>
  <c r="Y122" i="1" s="1"/>
  <c r="AG134" i="1" a="1"/>
  <c r="AG134" i="1" s="1"/>
  <c r="Y134" i="1" s="1"/>
  <c r="Z143" i="1"/>
  <c r="AG146" i="1" a="1"/>
  <c r="AG146" i="1" s="1"/>
  <c r="Y146" i="1" s="1"/>
  <c r="AG158" i="1" a="1"/>
  <c r="AG158" i="1" s="1"/>
  <c r="Y158" i="1" s="1"/>
  <c r="AG170" i="1" a="1"/>
  <c r="AG170" i="1" s="1"/>
  <c r="Y170" i="1" s="1"/>
  <c r="AG182" i="1" a="1"/>
  <c r="AG182" i="1" s="1"/>
  <c r="Y182" i="1" s="1"/>
  <c r="AB205" i="1"/>
  <c r="AA209" i="1"/>
  <c r="AG478" i="1" a="1"/>
  <c r="AG478" i="1" s="1"/>
  <c r="Y478" i="1" s="1"/>
  <c r="AF478" i="1" a="1"/>
  <c r="AF478" i="1" s="1"/>
  <c r="X478" i="1" s="1"/>
  <c r="AB952" i="1"/>
  <c r="Z952" i="1" s="1"/>
  <c r="AA952" i="1"/>
  <c r="AA237" i="1"/>
  <c r="AG466" i="1" a="1"/>
  <c r="AG466" i="1" s="1"/>
  <c r="Y466" i="1" s="1"/>
  <c r="AF466" i="1" a="1"/>
  <c r="AF466" i="1" s="1"/>
  <c r="X466" i="1" s="1"/>
  <c r="AA466" i="1" s="1"/>
  <c r="AG255" i="1" a="1"/>
  <c r="AG255" i="1" s="1"/>
  <c r="Y255" i="1" s="1"/>
  <c r="AB255" i="1" s="1"/>
  <c r="AF255" i="1" a="1"/>
  <c r="AF255" i="1" s="1"/>
  <c r="X255" i="1" s="1"/>
  <c r="AA255" i="1" s="1"/>
  <c r="AB285" i="1"/>
  <c r="AA285" i="1"/>
  <c r="AA292" i="1"/>
  <c r="AB292" i="1"/>
  <c r="Z292" i="1" s="1"/>
  <c r="AF320" i="1" a="1"/>
  <c r="AF320" i="1" s="1"/>
  <c r="X320" i="1" s="1"/>
  <c r="AA320" i="1" s="1"/>
  <c r="AG320" i="1" a="1"/>
  <c r="AG320" i="1" s="1"/>
  <c r="Y320" i="1" s="1"/>
  <c r="AG336" i="1" a="1"/>
  <c r="AG336" i="1" s="1"/>
  <c r="Y336" i="1" s="1"/>
  <c r="AF336" i="1" a="1"/>
  <c r="AF336" i="1" s="1"/>
  <c r="X336" i="1" s="1"/>
  <c r="AB59" i="1"/>
  <c r="AG66" i="1" a="1"/>
  <c r="AG66" i="1" s="1"/>
  <c r="Y66" i="1" s="1"/>
  <c r="AF66" i="1" a="1"/>
  <c r="AF66" i="1" s="1"/>
  <c r="X66" i="1" s="1"/>
  <c r="AA66" i="1" s="1"/>
  <c r="AB87" i="1"/>
  <c r="AA87" i="1"/>
  <c r="Z87" i="1" s="1"/>
  <c r="AB90" i="1"/>
  <c r="AA90" i="1"/>
  <c r="Z90" i="1" s="1"/>
  <c r="AF93" i="1" a="1"/>
  <c r="AF93" i="1" s="1"/>
  <c r="X93" i="1" s="1"/>
  <c r="AA93" i="1" s="1"/>
  <c r="AG97" i="1" a="1"/>
  <c r="AG97" i="1" s="1"/>
  <c r="Y97" i="1" s="1"/>
  <c r="AB97" i="1" s="1"/>
  <c r="Z97" i="1" s="1"/>
  <c r="AF97" i="1" a="1"/>
  <c r="AF97" i="1" s="1"/>
  <c r="X97" i="1" s="1"/>
  <c r="AA97" i="1" s="1"/>
  <c r="AF105" i="1" a="1"/>
  <c r="AF105" i="1" s="1"/>
  <c r="X105" i="1" s="1"/>
  <c r="AA105" i="1" s="1"/>
  <c r="Z105" i="1" s="1"/>
  <c r="AG109" i="1" a="1"/>
  <c r="AG109" i="1" s="1"/>
  <c r="Y109" i="1" s="1"/>
  <c r="AF109" i="1" a="1"/>
  <c r="AF109" i="1" s="1"/>
  <c r="X109" i="1" s="1"/>
  <c r="AA109" i="1" s="1"/>
  <c r="AF117" i="1" a="1"/>
  <c r="AF117" i="1" s="1"/>
  <c r="X117" i="1" s="1"/>
  <c r="AA117" i="1" s="1"/>
  <c r="Z117" i="1" s="1"/>
  <c r="AG121" i="1" a="1"/>
  <c r="AG121" i="1" s="1"/>
  <c r="Y121" i="1" s="1"/>
  <c r="AB121" i="1" s="1"/>
  <c r="AF121" i="1" a="1"/>
  <c r="AF121" i="1" s="1"/>
  <c r="X121" i="1" s="1"/>
  <c r="AA121" i="1" s="1"/>
  <c r="AF129" i="1" a="1"/>
  <c r="AF129" i="1" s="1"/>
  <c r="X129" i="1" s="1"/>
  <c r="AG133" i="1" a="1"/>
  <c r="AG133" i="1" s="1"/>
  <c r="Y133" i="1" s="1"/>
  <c r="AF133" i="1" a="1"/>
  <c r="AF133" i="1" s="1"/>
  <c r="X133" i="1" s="1"/>
  <c r="AA133" i="1" s="1"/>
  <c r="AF141" i="1" a="1"/>
  <c r="AF141" i="1" s="1"/>
  <c r="X141" i="1" s="1"/>
  <c r="AA141" i="1" s="1"/>
  <c r="Z141" i="1" s="1"/>
  <c r="AG145" i="1" a="1"/>
  <c r="AG145" i="1" s="1"/>
  <c r="Y145" i="1" s="1"/>
  <c r="AB145" i="1" s="1"/>
  <c r="Z145" i="1" s="1"/>
  <c r="AF145" i="1" a="1"/>
  <c r="AF145" i="1" s="1"/>
  <c r="X145" i="1" s="1"/>
  <c r="AA145" i="1" s="1"/>
  <c r="AF153" i="1" a="1"/>
  <c r="AF153" i="1" s="1"/>
  <c r="X153" i="1" s="1"/>
  <c r="AA153" i="1" s="1"/>
  <c r="Z153" i="1" s="1"/>
  <c r="AG157" i="1" a="1"/>
  <c r="AG157" i="1" s="1"/>
  <c r="Y157" i="1" s="1"/>
  <c r="AF157" i="1" a="1"/>
  <c r="AF157" i="1" s="1"/>
  <c r="X157" i="1" s="1"/>
  <c r="AA157" i="1" s="1"/>
  <c r="AF165" i="1" a="1"/>
  <c r="AF165" i="1" s="1"/>
  <c r="X165" i="1" s="1"/>
  <c r="AA165" i="1" s="1"/>
  <c r="Z165" i="1" s="1"/>
  <c r="AA167" i="1"/>
  <c r="AG169" i="1" a="1"/>
  <c r="AG169" i="1" s="1"/>
  <c r="Y169" i="1" s="1"/>
  <c r="AF169" i="1" a="1"/>
  <c r="AF169" i="1" s="1"/>
  <c r="X169" i="1" s="1"/>
  <c r="AA169" i="1" s="1"/>
  <c r="AF177" i="1" a="1"/>
  <c r="AF177" i="1" s="1"/>
  <c r="X177" i="1" s="1"/>
  <c r="AA177" i="1" s="1"/>
  <c r="Z177" i="1" s="1"/>
  <c r="AA179" i="1"/>
  <c r="AG181" i="1" a="1"/>
  <c r="AG181" i="1" s="1"/>
  <c r="Y181" i="1" s="1"/>
  <c r="AB181" i="1" s="1"/>
  <c r="Z181" i="1" s="1"/>
  <c r="AF181" i="1" a="1"/>
  <c r="AF181" i="1" s="1"/>
  <c r="X181" i="1" s="1"/>
  <c r="AA181" i="1" s="1"/>
  <c r="AG187" i="1" a="1"/>
  <c r="AG187" i="1" s="1"/>
  <c r="Y187" i="1" s="1"/>
  <c r="AB187" i="1" s="1"/>
  <c r="AF187" i="1" a="1"/>
  <c r="AF187" i="1" s="1"/>
  <c r="X187" i="1" s="1"/>
  <c r="AA194" i="1"/>
  <c r="Z194" i="1" s="1"/>
  <c r="AB209" i="1"/>
  <c r="AB211" i="1"/>
  <c r="AG215" i="1" a="1"/>
  <c r="AG215" i="1" s="1"/>
  <c r="Y215" i="1" s="1"/>
  <c r="AF215" i="1" a="1"/>
  <c r="AF215" i="1" s="1"/>
  <c r="X215" i="1" s="1"/>
  <c r="AA215" i="1" s="1"/>
  <c r="AB241" i="1"/>
  <c r="AA241" i="1"/>
  <c r="AB51" i="1"/>
  <c r="AB251" i="1"/>
  <c r="AA258" i="1"/>
  <c r="AA268" i="1"/>
  <c r="AB268" i="1"/>
  <c r="Z268" i="1"/>
  <c r="AA276" i="1"/>
  <c r="Z276" i="1" s="1"/>
  <c r="AB276" i="1"/>
  <c r="AG303" i="1" a="1"/>
  <c r="AG303" i="1" s="1"/>
  <c r="Y303" i="1" s="1"/>
  <c r="AF303" i="1" a="1"/>
  <c r="AF303" i="1" s="1"/>
  <c r="X303" i="1" s="1"/>
  <c r="AA303" i="1" s="1"/>
  <c r="AF314" i="1" a="1"/>
  <c r="AF314" i="1" s="1"/>
  <c r="X314" i="1" s="1"/>
  <c r="AA314" i="1" s="1"/>
  <c r="AG314" i="1" a="1"/>
  <c r="AG314" i="1" s="1"/>
  <c r="Y314" i="1" s="1"/>
  <c r="AB314" i="1" s="1"/>
  <c r="Z314" i="1" s="1"/>
  <c r="AG330" i="1" a="1"/>
  <c r="AG330" i="1" s="1"/>
  <c r="Y330" i="1" s="1"/>
  <c r="AF330" i="1" a="1"/>
  <c r="AF330" i="1" s="1"/>
  <c r="X330" i="1" s="1"/>
  <c r="AB102" i="1"/>
  <c r="AB114" i="1"/>
  <c r="AB126" i="1"/>
  <c r="AB138" i="1"/>
  <c r="AB150" i="1"/>
  <c r="AB162" i="1"/>
  <c r="AB174" i="1"/>
  <c r="AA196" i="1"/>
  <c r="Z196" i="1" s="1"/>
  <c r="AB200" i="1"/>
  <c r="AG202" i="1" a="1"/>
  <c r="AG202" i="1" s="1"/>
  <c r="Y202" i="1" s="1"/>
  <c r="AF202" i="1" a="1"/>
  <c r="AF202" i="1" s="1"/>
  <c r="X202" i="1" s="1"/>
  <c r="AB221" i="1"/>
  <c r="AG228" i="1" a="1"/>
  <c r="AG228" i="1" s="1"/>
  <c r="Y228" i="1" s="1"/>
  <c r="AF228" i="1" a="1"/>
  <c r="AF228" i="1" s="1"/>
  <c r="X228" i="1" s="1"/>
  <c r="AA228" i="1" s="1"/>
  <c r="AB227" i="1"/>
  <c r="AA227" i="1"/>
  <c r="Z227" i="1" s="1"/>
  <c r="AF238" i="1" a="1"/>
  <c r="AF238" i="1" s="1"/>
  <c r="X238" i="1" s="1"/>
  <c r="AA238" i="1" s="1"/>
  <c r="Z238" i="1" s="1"/>
  <c r="AG238" i="1" a="1"/>
  <c r="AG238" i="1" s="1"/>
  <c r="Y238" i="1" s="1"/>
  <c r="AB281" i="1"/>
  <c r="AA281" i="1"/>
  <c r="AG324" i="1" a="1"/>
  <c r="AG324" i="1" s="1"/>
  <c r="Y324" i="1" s="1"/>
  <c r="AF324" i="1" a="1"/>
  <c r="AF324" i="1" s="1"/>
  <c r="X324" i="1" s="1"/>
  <c r="AG384" i="1" a="1"/>
  <c r="AG384" i="1" s="1"/>
  <c r="Y384" i="1" s="1"/>
  <c r="AF384" i="1" a="1"/>
  <c r="AF384" i="1" s="1"/>
  <c r="X384" i="1" s="1"/>
  <c r="AF40" i="1" a="1"/>
  <c r="AF40" i="1" s="1"/>
  <c r="X40" i="1" s="1"/>
  <c r="AB81" i="1"/>
  <c r="AF3" i="1" a="1"/>
  <c r="AF3" i="1" s="1"/>
  <c r="X3" i="1" s="1"/>
  <c r="AA3" i="1" s="1"/>
  <c r="Z3" i="1" s="1"/>
  <c r="AF6" i="1" a="1"/>
  <c r="AF6" i="1" s="1"/>
  <c r="X6" i="1" s="1"/>
  <c r="AA6" i="1" s="1"/>
  <c r="Z6" i="1" s="1"/>
  <c r="AF8" i="1" a="1"/>
  <c r="AF8" i="1" s="1"/>
  <c r="X8" i="1" s="1"/>
  <c r="AF9" i="1" a="1"/>
  <c r="AF9" i="1" s="1"/>
  <c r="X9" i="1" s="1"/>
  <c r="AA9" i="1" s="1"/>
  <c r="Z9" i="1" s="1"/>
  <c r="AF11" i="1" a="1"/>
  <c r="AF11" i="1" s="1"/>
  <c r="X11" i="1" s="1"/>
  <c r="AF12" i="1" a="1"/>
  <c r="AF12" i="1" s="1"/>
  <c r="X12" i="1" s="1"/>
  <c r="AA12" i="1" s="1"/>
  <c r="Z12" i="1" s="1"/>
  <c r="AF14" i="1" a="1"/>
  <c r="AF14" i="1" s="1"/>
  <c r="X14" i="1" s="1"/>
  <c r="AF15" i="1" a="1"/>
  <c r="AF15" i="1" s="1"/>
  <c r="X15" i="1" s="1"/>
  <c r="AA15" i="1" s="1"/>
  <c r="Z15" i="1" s="1"/>
  <c r="AF17" i="1" a="1"/>
  <c r="AF17" i="1" s="1"/>
  <c r="X17" i="1" s="1"/>
  <c r="AF18" i="1" a="1"/>
  <c r="AF18" i="1" s="1"/>
  <c r="X18" i="1" s="1"/>
  <c r="AA18" i="1" s="1"/>
  <c r="Z18" i="1" s="1"/>
  <c r="AA23" i="1"/>
  <c r="Z23" i="1" s="1"/>
  <c r="AA25" i="1"/>
  <c r="Z25" i="1" s="1"/>
  <c r="AA39" i="1"/>
  <c r="AA46" i="1"/>
  <c r="Z46" i="1" s="1"/>
  <c r="AF48" i="1" a="1"/>
  <c r="AF48" i="1" s="1"/>
  <c r="X48" i="1" s="1"/>
  <c r="AA48" i="1" s="1"/>
  <c r="Z48" i="1" s="1"/>
  <c r="AG69" i="1" a="1"/>
  <c r="AG69" i="1" s="1"/>
  <c r="Y69" i="1" s="1"/>
  <c r="AB69" i="1" s="1"/>
  <c r="AF69" i="1" a="1"/>
  <c r="AF69" i="1" s="1"/>
  <c r="X69" i="1" s="1"/>
  <c r="AA69" i="1" s="1"/>
  <c r="AF71" i="1" a="1"/>
  <c r="AF71" i="1" s="1"/>
  <c r="X71" i="1" s="1"/>
  <c r="AA71" i="1" s="1"/>
  <c r="Z71" i="1" s="1"/>
  <c r="AA73" i="1"/>
  <c r="AG78" i="1" a="1"/>
  <c r="AG78" i="1" s="1"/>
  <c r="Y78" i="1" s="1"/>
  <c r="AB78" i="1" s="1"/>
  <c r="AF78" i="1" a="1"/>
  <c r="AF78" i="1" s="1"/>
  <c r="AB89" i="1"/>
  <c r="AB92" i="1"/>
  <c r="AA92" i="1"/>
  <c r="AG94" i="1" a="1"/>
  <c r="AG94" i="1" s="1"/>
  <c r="Y94" i="1" s="1"/>
  <c r="AB94" i="1" s="1"/>
  <c r="AF94" i="1" a="1"/>
  <c r="AF94" i="1" s="1"/>
  <c r="X94" i="1" s="1"/>
  <c r="AA104" i="1"/>
  <c r="AG106" i="1" a="1"/>
  <c r="AG106" i="1" s="1"/>
  <c r="Y106" i="1" s="1"/>
  <c r="AB106" i="1" s="1"/>
  <c r="AF106" i="1" a="1"/>
  <c r="AF106" i="1" s="1"/>
  <c r="X106" i="1" s="1"/>
  <c r="AA106" i="1" s="1"/>
  <c r="Z106" i="1" s="1"/>
  <c r="AA116" i="1"/>
  <c r="AG118" i="1" a="1"/>
  <c r="AG118" i="1" s="1"/>
  <c r="Y118" i="1" s="1"/>
  <c r="AB118" i="1" s="1"/>
  <c r="AF118" i="1" a="1"/>
  <c r="AF118" i="1" s="1"/>
  <c r="X118" i="1" s="1"/>
  <c r="AA118" i="1" s="1"/>
  <c r="AA128" i="1"/>
  <c r="AG130" i="1" a="1"/>
  <c r="AG130" i="1" s="1"/>
  <c r="Y130" i="1" s="1"/>
  <c r="AB130" i="1" s="1"/>
  <c r="AF130" i="1" a="1"/>
  <c r="AF130" i="1" s="1"/>
  <c r="X130" i="1" s="1"/>
  <c r="AA140" i="1"/>
  <c r="AG142" i="1" a="1"/>
  <c r="AG142" i="1" s="1"/>
  <c r="Y142" i="1" s="1"/>
  <c r="AB142" i="1" s="1"/>
  <c r="AF142" i="1" a="1"/>
  <c r="AF142" i="1" s="1"/>
  <c r="X142" i="1" s="1"/>
  <c r="AA142" i="1" s="1"/>
  <c r="AA152" i="1"/>
  <c r="AG154" i="1" a="1"/>
  <c r="AG154" i="1" s="1"/>
  <c r="Y154" i="1" s="1"/>
  <c r="AB154" i="1" s="1"/>
  <c r="AF154" i="1" a="1"/>
  <c r="AF154" i="1" s="1"/>
  <c r="X154" i="1" s="1"/>
  <c r="AA154" i="1" s="1"/>
  <c r="Z154" i="1" s="1"/>
  <c r="AA164" i="1"/>
  <c r="AG166" i="1" a="1"/>
  <c r="AG166" i="1" s="1"/>
  <c r="Y166" i="1" s="1"/>
  <c r="AB166" i="1" s="1"/>
  <c r="AF166" i="1" a="1"/>
  <c r="AF166" i="1" s="1"/>
  <c r="X166" i="1" s="1"/>
  <c r="AA176" i="1"/>
  <c r="AG178" i="1" a="1"/>
  <c r="AG178" i="1" s="1"/>
  <c r="Y178" i="1" s="1"/>
  <c r="AB178" i="1" s="1"/>
  <c r="AF178" i="1" a="1"/>
  <c r="AF178" i="1" s="1"/>
  <c r="X178" i="1" s="1"/>
  <c r="AA178" i="1" s="1"/>
  <c r="AA187" i="1"/>
  <c r="AB191" i="1"/>
  <c r="AA191" i="1"/>
  <c r="AF198" i="1" a="1"/>
  <c r="AF198" i="1" s="1"/>
  <c r="X198" i="1" s="1"/>
  <c r="AA198" i="1" s="1"/>
  <c r="Z198" i="1" s="1"/>
  <c r="AB215" i="1"/>
  <c r="Z215" i="1" s="1"/>
  <c r="AG232" i="1" a="1"/>
  <c r="AG232" i="1" s="1"/>
  <c r="Y232" i="1" s="1"/>
  <c r="AB232" i="1" s="1"/>
  <c r="AF232" i="1" a="1"/>
  <c r="AF232" i="1" s="1"/>
  <c r="X232" i="1" s="1"/>
  <c r="AA232" i="1" s="1"/>
  <c r="AG453" i="1" a="1"/>
  <c r="AG453" i="1" s="1"/>
  <c r="Y453" i="1" s="1"/>
  <c r="AB453" i="1" s="1"/>
  <c r="AF453" i="1" a="1"/>
  <c r="AF453" i="1" s="1"/>
  <c r="X453" i="1" s="1"/>
  <c r="AA290" i="1"/>
  <c r="AA308" i="1"/>
  <c r="AG318" i="1" a="1"/>
  <c r="AG318" i="1" s="1"/>
  <c r="Y318" i="1" s="1"/>
  <c r="AF318" i="1" a="1"/>
  <c r="AF318" i="1" s="1"/>
  <c r="X318" i="1" s="1"/>
  <c r="AG366" i="1" a="1"/>
  <c r="AG366" i="1" s="1"/>
  <c r="Y366" i="1" s="1"/>
  <c r="AB366" i="1" s="1"/>
  <c r="AF366" i="1" a="1"/>
  <c r="AF366" i="1" s="1"/>
  <c r="X366" i="1" s="1"/>
  <c r="AB84" i="1"/>
  <c r="AA84" i="1"/>
  <c r="Z84" i="1" s="1"/>
  <c r="AB22" i="1"/>
  <c r="AF26" i="1" a="1"/>
  <c r="AF26" i="1" s="1"/>
  <c r="X26" i="1" s="1"/>
  <c r="AA26" i="1" s="1"/>
  <c r="Z26" i="1" s="1"/>
  <c r="AF47" i="1" a="1"/>
  <c r="AF47" i="1" s="1"/>
  <c r="X47" i="1" s="1"/>
  <c r="AF53" i="1" a="1"/>
  <c r="AF53" i="1" s="1"/>
  <c r="X53" i="1" s="1"/>
  <c r="AA53" i="1" s="1"/>
  <c r="Z53" i="1" s="1"/>
  <c r="AA70" i="1"/>
  <c r="AB73" i="1"/>
  <c r="AB76" i="1"/>
  <c r="AA76" i="1"/>
  <c r="AA86" i="1"/>
  <c r="Z133" i="1"/>
  <c r="AB189" i="1"/>
  <c r="AA200" i="1"/>
  <c r="AB204" i="1"/>
  <c r="AB226" i="1"/>
  <c r="AA226" i="1"/>
  <c r="AG212" i="1" a="1"/>
  <c r="AG212" i="1" s="1"/>
  <c r="Y212" i="1" s="1"/>
  <c r="AB212" i="1" s="1"/>
  <c r="Z212" i="1" s="1"/>
  <c r="AF212" i="1" a="1"/>
  <c r="AF212" i="1" s="1"/>
  <c r="X212" i="1" s="1"/>
  <c r="AA212" i="1" s="1"/>
  <c r="AF221" i="1" a="1"/>
  <c r="AF221" i="1" s="1"/>
  <c r="X221" i="1" s="1"/>
  <c r="AB228" i="1"/>
  <c r="Z228" i="1" s="1"/>
  <c r="AB238" i="1"/>
  <c r="AG256" i="1" a="1"/>
  <c r="AG256" i="1" s="1"/>
  <c r="Y256" i="1" s="1"/>
  <c r="AB256" i="1" s="1"/>
  <c r="AF256" i="1" a="1"/>
  <c r="AF256" i="1" s="1"/>
  <c r="X256" i="1" s="1"/>
  <c r="AA256" i="1" s="1"/>
  <c r="AB262" i="1"/>
  <c r="AG312" i="1" a="1"/>
  <c r="AG312" i="1" s="1"/>
  <c r="Y312" i="1" s="1"/>
  <c r="AF312" i="1" a="1"/>
  <c r="AF312" i="1" s="1"/>
  <c r="X312" i="1" s="1"/>
  <c r="AA29" i="1"/>
  <c r="Z29" i="1" s="1"/>
  <c r="AA31" i="1"/>
  <c r="AB44" i="1"/>
  <c r="Z44" i="1" s="1"/>
  <c r="AA44" i="1"/>
  <c r="AA56" i="1"/>
  <c r="AA58" i="1"/>
  <c r="AB62" i="1"/>
  <c r="AA80" i="1"/>
  <c r="AF81" i="1" a="1"/>
  <c r="AF81" i="1" s="1"/>
  <c r="X81" i="1" s="1"/>
  <c r="AA81" i="1" s="1"/>
  <c r="Z81" i="1" s="1"/>
  <c r="AA94" i="1"/>
  <c r="Z94" i="1" s="1"/>
  <c r="AB99" i="1"/>
  <c r="AA99" i="1"/>
  <c r="Z99" i="1"/>
  <c r="AB111" i="1"/>
  <c r="AA111" i="1"/>
  <c r="Z111" i="1" s="1"/>
  <c r="AB123" i="1"/>
  <c r="AA123" i="1"/>
  <c r="Z123" i="1" s="1"/>
  <c r="AA130" i="1"/>
  <c r="AB135" i="1"/>
  <c r="AA135" i="1"/>
  <c r="Z135" i="1"/>
  <c r="AB147" i="1"/>
  <c r="AA147" i="1"/>
  <c r="Z147" i="1"/>
  <c r="AB159" i="1"/>
  <c r="AA159" i="1"/>
  <c r="Z159" i="1" s="1"/>
  <c r="AA166" i="1"/>
  <c r="AB171" i="1"/>
  <c r="AA171" i="1"/>
  <c r="Z171" i="1"/>
  <c r="AB183" i="1"/>
  <c r="AA183" i="1"/>
  <c r="Z183" i="1" s="1"/>
  <c r="AA193" i="1"/>
  <c r="AA202" i="1"/>
  <c r="AG1281" i="1" a="1"/>
  <c r="AG1281" i="1" s="1"/>
  <c r="Y1281" i="1" s="1"/>
  <c r="AB1281" i="1" s="1"/>
  <c r="Z1281" i="1" s="1"/>
  <c r="AB951" i="1"/>
  <c r="AG250" i="1" a="1"/>
  <c r="AG250" i="1" s="1"/>
  <c r="Y250" i="1" s="1"/>
  <c r="AF250" i="1" a="1"/>
  <c r="AF250" i="1" s="1"/>
  <c r="X250" i="1" s="1"/>
  <c r="Z269" i="1"/>
  <c r="AG294" i="1" a="1"/>
  <c r="AG294" i="1" s="1"/>
  <c r="Y294" i="1" s="1"/>
  <c r="AF294" i="1" a="1"/>
  <c r="AF294" i="1" s="1"/>
  <c r="X294" i="1" s="1"/>
  <c r="AB40" i="1"/>
  <c r="AB32" i="1"/>
  <c r="Z22" i="1"/>
  <c r="AB28" i="1"/>
  <c r="AF32" i="1" a="1"/>
  <c r="AF32" i="1" s="1"/>
  <c r="X32" i="1" s="1"/>
  <c r="AA32" i="1" s="1"/>
  <c r="Z32" i="1" s="1"/>
  <c r="AG39" i="1" a="1"/>
  <c r="AG39" i="1" s="1"/>
  <c r="Y39" i="1" s="1"/>
  <c r="AB39" i="1" s="1"/>
  <c r="Z39" i="1" s="1"/>
  <c r="AB55" i="1"/>
  <c r="AF59" i="1" a="1"/>
  <c r="AF59" i="1" s="1"/>
  <c r="X59" i="1" s="1"/>
  <c r="AA59" i="1" s="1"/>
  <c r="Z59" i="1" s="1"/>
  <c r="AB66" i="1"/>
  <c r="Z66" i="1" s="1"/>
  <c r="AG70" i="1" a="1"/>
  <c r="AG70" i="1" s="1"/>
  <c r="Y70" i="1" s="1"/>
  <c r="AB70" i="1" s="1"/>
  <c r="AG88" i="1" a="1"/>
  <c r="AG88" i="1" s="1"/>
  <c r="Y88" i="1" s="1"/>
  <c r="AB88" i="1" s="1"/>
  <c r="AF88" i="1" a="1"/>
  <c r="AF88" i="1" s="1"/>
  <c r="X88" i="1" s="1"/>
  <c r="AA88" i="1" s="1"/>
  <c r="AG91" i="1" a="1"/>
  <c r="AG91" i="1" s="1"/>
  <c r="Y91" i="1" s="1"/>
  <c r="AB91" i="1" s="1"/>
  <c r="AF91" i="1" a="1"/>
  <c r="AF91" i="1" s="1"/>
  <c r="X91" i="1" s="1"/>
  <c r="AA91" i="1" s="1"/>
  <c r="Z91" i="1" s="1"/>
  <c r="AG104" i="1" a="1"/>
  <c r="AG104" i="1" s="1"/>
  <c r="Y104" i="1" s="1"/>
  <c r="AB104" i="1" s="1"/>
  <c r="AB109" i="1"/>
  <c r="Z109" i="1" s="1"/>
  <c r="AG116" i="1" a="1"/>
  <c r="AG116" i="1" s="1"/>
  <c r="Y116" i="1" s="1"/>
  <c r="AB116" i="1" s="1"/>
  <c r="AG128" i="1" a="1"/>
  <c r="AG128" i="1" s="1"/>
  <c r="Y128" i="1" s="1"/>
  <c r="AB128" i="1" s="1"/>
  <c r="AB133" i="1"/>
  <c r="AG140" i="1" a="1"/>
  <c r="AG140" i="1" s="1"/>
  <c r="Y140" i="1" s="1"/>
  <c r="AB140" i="1" s="1"/>
  <c r="AG152" i="1" a="1"/>
  <c r="AG152" i="1" s="1"/>
  <c r="Y152" i="1" s="1"/>
  <c r="AB152" i="1" s="1"/>
  <c r="AB157" i="1"/>
  <c r="AG164" i="1" a="1"/>
  <c r="AG164" i="1" s="1"/>
  <c r="Y164" i="1" s="1"/>
  <c r="AB164" i="1" s="1"/>
  <c r="AB169" i="1"/>
  <c r="Z169" i="1" s="1"/>
  <c r="AG176" i="1" a="1"/>
  <c r="AG176" i="1" s="1"/>
  <c r="Y176" i="1" s="1"/>
  <c r="AB176" i="1" s="1"/>
  <c r="AB193" i="1"/>
  <c r="AA197" i="1"/>
  <c r="AB202" i="1"/>
  <c r="AF204" i="1" a="1"/>
  <c r="AF204" i="1" s="1"/>
  <c r="X204" i="1" s="1"/>
  <c r="AG465" i="1" a="1"/>
  <c r="AG465" i="1" s="1"/>
  <c r="Y465" i="1" s="1"/>
  <c r="AF465" i="1" a="1"/>
  <c r="AF465" i="1" s="1"/>
  <c r="X465" i="1" s="1"/>
  <c r="AA453" i="1"/>
  <c r="Z453" i="1" s="1"/>
  <c r="Z240" i="1"/>
  <c r="AB240" i="1"/>
  <c r="AA240" i="1"/>
  <c r="AF244" i="1" a="1"/>
  <c r="AF244" i="1" s="1"/>
  <c r="X244" i="1" s="1"/>
  <c r="AG244" i="1" a="1"/>
  <c r="AG244" i="1" s="1"/>
  <c r="Y244" i="1" s="1"/>
  <c r="AG467" i="1" a="1"/>
  <c r="AG467" i="1" s="1"/>
  <c r="Y467" i="1" s="1"/>
  <c r="AB467" i="1" s="1"/>
  <c r="AF467" i="1" a="1"/>
  <c r="AF467" i="1" s="1"/>
  <c r="AB271" i="1"/>
  <c r="AG275" i="1" a="1"/>
  <c r="AG275" i="1" s="1"/>
  <c r="Y275" i="1" s="1"/>
  <c r="AB275" i="1" s="1"/>
  <c r="AF275" i="1" a="1"/>
  <c r="AF275" i="1" s="1"/>
  <c r="X275" i="1" s="1"/>
  <c r="AA275" i="1" s="1"/>
  <c r="Z275" i="1" s="1"/>
  <c r="AG328" i="1" a="1"/>
  <c r="AG328" i="1" s="1"/>
  <c r="Y328" i="1" s="1"/>
  <c r="AB328" i="1" s="1"/>
  <c r="AF328" i="1" a="1"/>
  <c r="AF328" i="1" s="1"/>
  <c r="X328" i="1" s="1"/>
  <c r="AA328" i="1" s="1"/>
  <c r="Z328" i="1" s="1"/>
  <c r="AB20" i="1"/>
  <c r="AA20" i="1"/>
  <c r="Z20" i="1" s="1"/>
  <c r="AB61" i="1"/>
  <c r="AB65" i="1"/>
  <c r="AA65" i="1"/>
  <c r="Z65" i="1" s="1"/>
  <c r="AG115" i="1" a="1"/>
  <c r="AG115" i="1" s="1"/>
  <c r="Y115" i="1" s="1"/>
  <c r="AB115" i="1" s="1"/>
  <c r="AF115" i="1" a="1"/>
  <c r="AF115" i="1" s="1"/>
  <c r="X115" i="1" s="1"/>
  <c r="AA115" i="1" s="1"/>
  <c r="AG139" i="1" a="1"/>
  <c r="AG139" i="1" s="1"/>
  <c r="Y139" i="1" s="1"/>
  <c r="AB139" i="1" s="1"/>
  <c r="AF139" i="1" a="1"/>
  <c r="AF139" i="1" s="1"/>
  <c r="X139" i="1" s="1"/>
  <c r="AA139" i="1" s="1"/>
  <c r="Z139" i="1" s="1"/>
  <c r="AA173" i="1"/>
  <c r="AG175" i="1" a="1"/>
  <c r="AG175" i="1" s="1"/>
  <c r="Y175" i="1" s="1"/>
  <c r="AB175" i="1" s="1"/>
  <c r="AF175" i="1" a="1"/>
  <c r="AF175" i="1" s="1"/>
  <c r="X175" i="1" s="1"/>
  <c r="AA175" i="1" s="1"/>
  <c r="AF477" i="1" a="1"/>
  <c r="AF477" i="1" s="1"/>
  <c r="X477" i="1" s="1"/>
  <c r="AA220" i="1"/>
  <c r="AG950" i="1" a="1"/>
  <c r="AG950" i="1" s="1"/>
  <c r="Y950" i="1" s="1"/>
  <c r="AF950" i="1" a="1"/>
  <c r="AF950" i="1" s="1"/>
  <c r="X950" i="1" s="1"/>
  <c r="AA219" i="1"/>
  <c r="AA250" i="1"/>
  <c r="AA259" i="1"/>
  <c r="AB259" i="1"/>
  <c r="Z259" i="1"/>
  <c r="AA263" i="1"/>
  <c r="Z263" i="1" s="1"/>
  <c r="AG267" i="1" a="1"/>
  <c r="AG267" i="1" s="1"/>
  <c r="Y267" i="1" s="1"/>
  <c r="AB267" i="1" s="1"/>
  <c r="AF267" i="1" a="1"/>
  <c r="AF267" i="1" s="1"/>
  <c r="X267" i="1" s="1"/>
  <c r="AA267" i="1" s="1"/>
  <c r="Z267" i="1" s="1"/>
  <c r="AG322" i="1" a="1"/>
  <c r="AG322" i="1" s="1"/>
  <c r="Y322" i="1" s="1"/>
  <c r="AB322" i="1" s="1"/>
  <c r="AF322" i="1" a="1"/>
  <c r="AF322" i="1" s="1"/>
  <c r="X322" i="1" s="1"/>
  <c r="AA322" i="1" s="1"/>
  <c r="Z322" i="1" s="1"/>
  <c r="AB379" i="1"/>
  <c r="AA35" i="1"/>
  <c r="Z35" i="1" s="1"/>
  <c r="AB50" i="1"/>
  <c r="AA50" i="1"/>
  <c r="Z50" i="1" s="1"/>
  <c r="AG103" i="1" a="1"/>
  <c r="AG103" i="1" s="1"/>
  <c r="Y103" i="1" s="1"/>
  <c r="AB103" i="1" s="1"/>
  <c r="AF103" i="1" a="1"/>
  <c r="AF103" i="1" s="1"/>
  <c r="X103" i="1" s="1"/>
  <c r="AA103" i="1" s="1"/>
  <c r="Z103" i="1" s="1"/>
  <c r="AG127" i="1" a="1"/>
  <c r="AG127" i="1" s="1"/>
  <c r="Y127" i="1" s="1"/>
  <c r="AB127" i="1" s="1"/>
  <c r="AF127" i="1" a="1"/>
  <c r="AF127" i="1" s="1"/>
  <c r="X127" i="1" s="1"/>
  <c r="AA127" i="1" s="1"/>
  <c r="AG151" i="1" a="1"/>
  <c r="AG151" i="1" s="1"/>
  <c r="Y151" i="1" s="1"/>
  <c r="AB151" i="1" s="1"/>
  <c r="AF151" i="1" a="1"/>
  <c r="AF151" i="1" s="1"/>
  <c r="X151" i="1" s="1"/>
  <c r="AA151" i="1" s="1"/>
  <c r="AG163" i="1" a="1"/>
  <c r="AG163" i="1" s="1"/>
  <c r="Y163" i="1" s="1"/>
  <c r="AB163" i="1" s="1"/>
  <c r="AF163" i="1" a="1"/>
  <c r="AF163" i="1" s="1"/>
  <c r="X163" i="1" s="1"/>
  <c r="AA163" i="1" s="1"/>
  <c r="Z163" i="1" s="1"/>
  <c r="Z28" i="1"/>
  <c r="AB29" i="1"/>
  <c r="AG31" i="1" a="1"/>
  <c r="AG31" i="1" s="1"/>
  <c r="Y31" i="1" s="1"/>
  <c r="AB31" i="1" s="1"/>
  <c r="Z31" i="1" s="1"/>
  <c r="AB34" i="1"/>
  <c r="Z34" i="1" s="1"/>
  <c r="AF38" i="1" a="1"/>
  <c r="AF38" i="1" s="1"/>
  <c r="X38" i="1" s="1"/>
  <c r="AA38" i="1" s="1"/>
  <c r="Z38" i="1" s="1"/>
  <c r="AG45" i="1" a="1"/>
  <c r="AG45" i="1" s="1"/>
  <c r="Y45" i="1" s="1"/>
  <c r="AB45" i="1" s="1"/>
  <c r="Z45" i="1" s="1"/>
  <c r="AB56" i="1"/>
  <c r="Z56" i="1" s="1"/>
  <c r="AG58" i="1" a="1"/>
  <c r="AG58" i="1" s="1"/>
  <c r="Y58" i="1" s="1"/>
  <c r="AB58" i="1" s="1"/>
  <c r="AG60" i="1" a="1"/>
  <c r="AG60" i="1" s="1"/>
  <c r="Y60" i="1" s="1"/>
  <c r="AB60" i="1" s="1"/>
  <c r="AF60" i="1" a="1"/>
  <c r="AF60" i="1" s="1"/>
  <c r="X60" i="1" s="1"/>
  <c r="AA60" i="1" s="1"/>
  <c r="AG86" i="1" a="1"/>
  <c r="AG86" i="1" s="1"/>
  <c r="Y86" i="1" s="1"/>
  <c r="AB86" i="1" s="1"/>
  <c r="AB96" i="1"/>
  <c r="AB108" i="1"/>
  <c r="AB120" i="1"/>
  <c r="AB132" i="1"/>
  <c r="AB144" i="1"/>
  <c r="AB156" i="1"/>
  <c r="AB168" i="1"/>
  <c r="AB180" i="1"/>
  <c r="AB188" i="1"/>
  <c r="Z188" i="1" s="1"/>
  <c r="AG190" i="1" a="1"/>
  <c r="AG190" i="1" s="1"/>
  <c r="Y190" i="1" s="1"/>
  <c r="AB190" i="1" s="1"/>
  <c r="AF190" i="1" a="1"/>
  <c r="AF190" i="1" s="1"/>
  <c r="X190" i="1" s="1"/>
  <c r="AA190" i="1" s="1"/>
  <c r="Z190" i="1" s="1"/>
  <c r="AG197" i="1" a="1"/>
  <c r="AG197" i="1" s="1"/>
  <c r="Y197" i="1" s="1"/>
  <c r="AB197" i="1" s="1"/>
  <c r="AA199" i="1"/>
  <c r="Z199" i="1" s="1"/>
  <c r="AG439" i="1" a="1"/>
  <c r="AG439" i="1" s="1"/>
  <c r="AB216" i="1"/>
  <c r="AA216" i="1"/>
  <c r="AB1280" i="1"/>
  <c r="AB219" i="1"/>
  <c r="AB263" i="1"/>
  <c r="AG280" i="1" a="1"/>
  <c r="AG280" i="1" s="1"/>
  <c r="Y280" i="1" s="1"/>
  <c r="AB280" i="1" s="1"/>
  <c r="AF280" i="1" a="1"/>
  <c r="AF280" i="1" s="1"/>
  <c r="X280" i="1" s="1"/>
  <c r="AA280" i="1" s="1"/>
  <c r="AG310" i="1" a="1"/>
  <c r="AG310" i="1" s="1"/>
  <c r="Y310" i="1" s="1"/>
  <c r="AB310" i="1" s="1"/>
  <c r="AF310" i="1" a="1"/>
  <c r="AF310" i="1" s="1"/>
  <c r="X310" i="1" s="1"/>
  <c r="AG316" i="1" a="1"/>
  <c r="AG316" i="1" s="1"/>
  <c r="Y316" i="1" s="1"/>
  <c r="AB316" i="1" s="1"/>
  <c r="AF316" i="1" a="1"/>
  <c r="AF316" i="1" s="1"/>
  <c r="X316" i="1" s="1"/>
  <c r="AA316" i="1" s="1"/>
  <c r="Z316" i="1" s="1"/>
  <c r="AA40" i="1"/>
  <c r="Z40" i="1" s="1"/>
  <c r="AG82" i="1" a="1"/>
  <c r="AG82" i="1" s="1"/>
  <c r="Y82" i="1" s="1"/>
  <c r="AB82" i="1" s="1"/>
  <c r="Z82" i="1" s="1"/>
  <c r="AF82" i="1" a="1"/>
  <c r="AF82" i="1" s="1"/>
  <c r="X82" i="1" s="1"/>
  <c r="AA82" i="1" s="1"/>
  <c r="AG85" i="1" a="1"/>
  <c r="AG85" i="1" s="1"/>
  <c r="Y85" i="1" s="1"/>
  <c r="AB85" i="1" s="1"/>
  <c r="AF85" i="1" a="1"/>
  <c r="AF85" i="1" s="1"/>
  <c r="X85" i="1" s="1"/>
  <c r="AA85" i="1" s="1"/>
  <c r="Z85" i="1" s="1"/>
  <c r="AA2" i="1"/>
  <c r="Z2" i="1" s="1"/>
  <c r="AA5" i="1"/>
  <c r="Z5" i="1" s="1"/>
  <c r="AA8" i="1"/>
  <c r="Z8" i="1" s="1"/>
  <c r="AA11" i="1"/>
  <c r="Z11" i="1" s="1"/>
  <c r="AA14" i="1"/>
  <c r="Z14" i="1" s="1"/>
  <c r="AA17" i="1"/>
  <c r="Z17" i="1" s="1"/>
  <c r="Z27" i="1"/>
  <c r="AF30" i="1" a="1"/>
  <c r="AF30" i="1" s="1"/>
  <c r="X30" i="1" s="1"/>
  <c r="AA30" i="1" s="1"/>
  <c r="Z30" i="1" s="1"/>
  <c r="AA41" i="1"/>
  <c r="Z41" i="1"/>
  <c r="Z54" i="1"/>
  <c r="AF57" i="1" a="1"/>
  <c r="AF57" i="1" s="1"/>
  <c r="X57" i="1" s="1"/>
  <c r="AA57" i="1" s="1"/>
  <c r="Z57" i="1" s="1"/>
  <c r="Z61" i="1"/>
  <c r="AF62" i="1" a="1"/>
  <c r="AF62" i="1" s="1"/>
  <c r="X62" i="1" s="1"/>
  <c r="AA62" i="1" s="1"/>
  <c r="Z62" i="1" s="1"/>
  <c r="AB64" i="1"/>
  <c r="AB68" i="1"/>
  <c r="AA68" i="1"/>
  <c r="Z68" i="1" s="1"/>
  <c r="AG79" i="1" a="1"/>
  <c r="AG79" i="1" s="1"/>
  <c r="Y79" i="1" s="1"/>
  <c r="AB79" i="1" s="1"/>
  <c r="AF79" i="1" a="1"/>
  <c r="AF79" i="1" s="1"/>
  <c r="AG80" i="1" a="1"/>
  <c r="AG80" i="1" s="1"/>
  <c r="Y80" i="1" s="1"/>
  <c r="AB80" i="1" s="1"/>
  <c r="AG83" i="1" a="1"/>
  <c r="AG83" i="1" s="1"/>
  <c r="Y83" i="1" s="1"/>
  <c r="AB83" i="1" s="1"/>
  <c r="Z83" i="1" s="1"/>
  <c r="AB98" i="1"/>
  <c r="AA98" i="1"/>
  <c r="AG100" i="1" a="1"/>
  <c r="AG100" i="1" s="1"/>
  <c r="Y100" i="1" s="1"/>
  <c r="AB100" i="1" s="1"/>
  <c r="AF100" i="1" a="1"/>
  <c r="AF100" i="1" s="1"/>
  <c r="X100" i="1" s="1"/>
  <c r="AA100" i="1" s="1"/>
  <c r="AG101" i="1" a="1"/>
  <c r="AG101" i="1" s="1"/>
  <c r="Y101" i="1" s="1"/>
  <c r="AB101" i="1" s="1"/>
  <c r="Z101" i="1" s="1"/>
  <c r="AB110" i="1"/>
  <c r="AA110" i="1"/>
  <c r="AG112" i="1" a="1"/>
  <c r="AG112" i="1" s="1"/>
  <c r="Y112" i="1" s="1"/>
  <c r="AB112" i="1" s="1"/>
  <c r="AF112" i="1" a="1"/>
  <c r="AF112" i="1" s="1"/>
  <c r="X112" i="1" s="1"/>
  <c r="AA112" i="1" s="1"/>
  <c r="Z112" i="1" s="1"/>
  <c r="AG113" i="1" a="1"/>
  <c r="AG113" i="1" s="1"/>
  <c r="Y113" i="1" s="1"/>
  <c r="AB113" i="1" s="1"/>
  <c r="Z113" i="1" s="1"/>
  <c r="AB122" i="1"/>
  <c r="AA122" i="1"/>
  <c r="AG124" i="1" a="1"/>
  <c r="AG124" i="1" s="1"/>
  <c r="Y124" i="1" s="1"/>
  <c r="AB124" i="1" s="1"/>
  <c r="AF124" i="1" a="1"/>
  <c r="AF124" i="1" s="1"/>
  <c r="X124" i="1" s="1"/>
  <c r="AA124" i="1" s="1"/>
  <c r="AG125" i="1" a="1"/>
  <c r="AG125" i="1" s="1"/>
  <c r="Y125" i="1" s="1"/>
  <c r="AB125" i="1" s="1"/>
  <c r="Z125" i="1" s="1"/>
  <c r="AB134" i="1"/>
  <c r="AA134" i="1"/>
  <c r="AG136" i="1" a="1"/>
  <c r="AG136" i="1" s="1"/>
  <c r="Y136" i="1" s="1"/>
  <c r="AB136" i="1" s="1"/>
  <c r="AF136" i="1" a="1"/>
  <c r="AF136" i="1" s="1"/>
  <c r="X136" i="1" s="1"/>
  <c r="AA136" i="1" s="1"/>
  <c r="AG137" i="1" a="1"/>
  <c r="AG137" i="1" s="1"/>
  <c r="Y137" i="1" s="1"/>
  <c r="AB137" i="1" s="1"/>
  <c r="Z137" i="1" s="1"/>
  <c r="AB146" i="1"/>
  <c r="AA146" i="1"/>
  <c r="AG148" i="1" a="1"/>
  <c r="AG148" i="1" s="1"/>
  <c r="Y148" i="1" s="1"/>
  <c r="AB148" i="1" s="1"/>
  <c r="AF148" i="1" a="1"/>
  <c r="AF148" i="1" s="1"/>
  <c r="X148" i="1" s="1"/>
  <c r="AA148" i="1" s="1"/>
  <c r="Z148" i="1" s="1"/>
  <c r="AG149" i="1" a="1"/>
  <c r="AG149" i="1" s="1"/>
  <c r="Y149" i="1" s="1"/>
  <c r="AB149" i="1" s="1"/>
  <c r="Z149" i="1" s="1"/>
  <c r="AB158" i="1"/>
  <c r="AA158" i="1"/>
  <c r="Z158" i="1" s="1"/>
  <c r="AG160" i="1" a="1"/>
  <c r="AG160" i="1" s="1"/>
  <c r="Y160" i="1" s="1"/>
  <c r="AB160" i="1" s="1"/>
  <c r="AF160" i="1" a="1"/>
  <c r="AF160" i="1" s="1"/>
  <c r="X160" i="1" s="1"/>
  <c r="AA160" i="1" s="1"/>
  <c r="AG161" i="1" a="1"/>
  <c r="AG161" i="1" s="1"/>
  <c r="Y161" i="1" s="1"/>
  <c r="AB161" i="1" s="1"/>
  <c r="Z161" i="1" s="1"/>
  <c r="AB170" i="1"/>
  <c r="AA170" i="1"/>
  <c r="AG172" i="1" a="1"/>
  <c r="AG172" i="1" s="1"/>
  <c r="Y172" i="1" s="1"/>
  <c r="AB172" i="1" s="1"/>
  <c r="AF172" i="1" a="1"/>
  <c r="AF172" i="1" s="1"/>
  <c r="X172" i="1" s="1"/>
  <c r="AA172" i="1" s="1"/>
  <c r="Z172" i="1" s="1"/>
  <c r="AG173" i="1" a="1"/>
  <c r="AG173" i="1" s="1"/>
  <c r="Y173" i="1" s="1"/>
  <c r="AB173" i="1" s="1"/>
  <c r="AB182" i="1"/>
  <c r="AA182" i="1"/>
  <c r="Z182" i="1" s="1"/>
  <c r="AG184" i="1" a="1"/>
  <c r="AG184" i="1" s="1"/>
  <c r="Y184" i="1" s="1"/>
  <c r="AB184" i="1" s="1"/>
  <c r="AF184" i="1" a="1"/>
  <c r="AF184" i="1" s="1"/>
  <c r="X184" i="1" s="1"/>
  <c r="AA184" i="1" s="1"/>
  <c r="Z184" i="1" s="1"/>
  <c r="AB199" i="1"/>
  <c r="AB203" i="1"/>
  <c r="AA203" i="1"/>
  <c r="Z203" i="1" s="1"/>
  <c r="AG213" i="1" a="1"/>
  <c r="AG213" i="1" s="1"/>
  <c r="Y213" i="1" s="1"/>
  <c r="AB213" i="1" s="1"/>
  <c r="AF213" i="1" a="1"/>
  <c r="AF213" i="1" s="1"/>
  <c r="X213" i="1" s="1"/>
  <c r="AA213" i="1" s="1"/>
  <c r="AB214" i="1"/>
  <c r="AA214" i="1"/>
  <c r="AG220" i="1" a="1"/>
  <c r="AG220" i="1" s="1"/>
  <c r="Y220" i="1" s="1"/>
  <c r="AB220" i="1" s="1"/>
  <c r="Z220" i="1" s="1"/>
  <c r="AB242" i="1"/>
  <c r="AA242" i="1"/>
  <c r="Z242" i="1"/>
  <c r="AA467" i="1"/>
  <c r="AB250" i="1"/>
  <c r="Z250" i="1" s="1"/>
  <c r="AB257" i="1"/>
  <c r="AA257" i="1"/>
  <c r="Z257" i="1" s="1"/>
  <c r="AG289" i="1" a="1"/>
  <c r="AG289" i="1" s="1"/>
  <c r="Y289" i="1" s="1"/>
  <c r="AB289" i="1" s="1"/>
  <c r="AF289" i="1" a="1"/>
  <c r="AF289" i="1" s="1"/>
  <c r="X289" i="1" s="1"/>
  <c r="AA299" i="1"/>
  <c r="Z299" i="1" s="1"/>
  <c r="AB355" i="1"/>
  <c r="Z355" i="1" s="1"/>
  <c r="AG334" i="1" a="1"/>
  <c r="AG334" i="1" s="1"/>
  <c r="Y334" i="1" s="1"/>
  <c r="AB334" i="1" s="1"/>
  <c r="AF334" i="1" a="1"/>
  <c r="AF334" i="1" s="1"/>
  <c r="X334" i="1" s="1"/>
  <c r="AA334" i="1" s="1"/>
  <c r="AG340" i="1" a="1"/>
  <c r="AG340" i="1" s="1"/>
  <c r="Y340" i="1" s="1"/>
  <c r="AB340" i="1" s="1"/>
  <c r="AF340" i="1" a="1"/>
  <c r="AF340" i="1" s="1"/>
  <c r="X340" i="1" s="1"/>
  <c r="AA340" i="1" s="1"/>
  <c r="AG346" i="1" a="1"/>
  <c r="AG346" i="1" s="1"/>
  <c r="Y346" i="1" s="1"/>
  <c r="AB346" i="1" s="1"/>
  <c r="AF346" i="1" a="1"/>
  <c r="AF346" i="1" s="1"/>
  <c r="X346" i="1" s="1"/>
  <c r="AA346" i="1" s="1"/>
  <c r="Z346" i="1" s="1"/>
  <c r="AG375" i="1" a="1"/>
  <c r="AG375" i="1" s="1"/>
  <c r="Y375" i="1" s="1"/>
  <c r="AB375" i="1" s="1"/>
  <c r="AF375" i="1" a="1"/>
  <c r="AF375" i="1" s="1"/>
  <c r="X375" i="1" s="1"/>
  <c r="AA400" i="1"/>
  <c r="AF571" i="1" a="1"/>
  <c r="AF571" i="1" s="1"/>
  <c r="X571" i="1" s="1"/>
  <c r="AG571" i="1" a="1"/>
  <c r="AG571" i="1" s="1"/>
  <c r="Y571" i="1" s="1"/>
  <c r="AF492" i="1" a="1"/>
  <c r="AF492" i="1" s="1"/>
  <c r="AG492" i="1" a="1"/>
  <c r="AG492" i="1" s="1"/>
  <c r="Y492" i="1" s="1"/>
  <c r="AG557" i="1" a="1"/>
  <c r="AG557" i="1" s="1"/>
  <c r="Y557" i="1" s="1"/>
  <c r="AF557" i="1" a="1"/>
  <c r="AF557" i="1" s="1"/>
  <c r="AG716" i="1" a="1"/>
  <c r="AG716" i="1" s="1"/>
  <c r="Y716" i="1" s="1"/>
  <c r="AF716" i="1" a="1"/>
  <c r="AF716" i="1" s="1"/>
  <c r="X716" i="1" s="1"/>
  <c r="AA867" i="1"/>
  <c r="Z180" i="1"/>
  <c r="AG243" i="1" a="1"/>
  <c r="AG243" i="1" s="1"/>
  <c r="Y243" i="1" s="1"/>
  <c r="AB243" i="1" s="1"/>
  <c r="AF243" i="1" a="1"/>
  <c r="AF243" i="1" s="1"/>
  <c r="X243" i="1" s="1"/>
  <c r="AA243" i="1" s="1"/>
  <c r="Z243" i="1" s="1"/>
  <c r="AF282" i="1" a="1"/>
  <c r="AF282" i="1" s="1"/>
  <c r="X282" i="1" s="1"/>
  <c r="AG352" i="1" a="1"/>
  <c r="AG352" i="1" s="1"/>
  <c r="Y352" i="1" s="1"/>
  <c r="AB352" i="1" s="1"/>
  <c r="AF352" i="1" a="1"/>
  <c r="AF352" i="1" s="1"/>
  <c r="X352" i="1" s="1"/>
  <c r="AB361" i="1"/>
  <c r="AG363" i="1" a="1"/>
  <c r="AG363" i="1" s="1"/>
  <c r="Y363" i="1" s="1"/>
  <c r="AF363" i="1" a="1"/>
  <c r="AF363" i="1" s="1"/>
  <c r="X363" i="1" s="1"/>
  <c r="AA363" i="1" s="1"/>
  <c r="AB391" i="1"/>
  <c r="AB398" i="1"/>
  <c r="Z126" i="1"/>
  <c r="AA96" i="1"/>
  <c r="Z96" i="1" s="1"/>
  <c r="AA102" i="1"/>
  <c r="Z102" i="1" s="1"/>
  <c r="AA108" i="1"/>
  <c r="Z108" i="1" s="1"/>
  <c r="AA114" i="1"/>
  <c r="Z114" i="1" s="1"/>
  <c r="AA120" i="1"/>
  <c r="Z120" i="1" s="1"/>
  <c r="AA126" i="1"/>
  <c r="AA132" i="1"/>
  <c r="Z132" i="1" s="1"/>
  <c r="AA138" i="1"/>
  <c r="Z138" i="1" s="1"/>
  <c r="AA144" i="1"/>
  <c r="Z144" i="1" s="1"/>
  <c r="AA150" i="1"/>
  <c r="Z150" i="1" s="1"/>
  <c r="AA156" i="1"/>
  <c r="AA162" i="1"/>
  <c r="Z162" i="1" s="1"/>
  <c r="AA168" i="1"/>
  <c r="Z168" i="1" s="1"/>
  <c r="AA174" i="1"/>
  <c r="Z174" i="1" s="1"/>
  <c r="AA180" i="1"/>
  <c r="AA189" i="1"/>
  <c r="Z189" i="1" s="1"/>
  <c r="AA195" i="1"/>
  <c r="Z195" i="1" s="1"/>
  <c r="AA201" i="1"/>
  <c r="AF261" i="1" a="1"/>
  <c r="AF261" i="1" s="1"/>
  <c r="X261" i="1" s="1"/>
  <c r="AA261" i="1" s="1"/>
  <c r="Z261" i="1" s="1"/>
  <c r="AF262" i="1" a="1"/>
  <c r="AF262" i="1" s="1"/>
  <c r="X262" i="1" s="1"/>
  <c r="AA262" i="1" s="1"/>
  <c r="Z262" i="1" s="1"/>
  <c r="AF286" i="1" a="1"/>
  <c r="AF286" i="1" s="1"/>
  <c r="X286" i="1" s="1"/>
  <c r="AA289" i="1"/>
  <c r="Z289" i="1" s="1"/>
  <c r="AB294" i="1"/>
  <c r="AA294" i="1"/>
  <c r="Z294" i="1"/>
  <c r="AG299" i="1" a="1"/>
  <c r="AG299" i="1" s="1"/>
  <c r="Y299" i="1" s="1"/>
  <c r="AB299" i="1" s="1"/>
  <c r="AB303" i="1"/>
  <c r="Z303" i="1" s="1"/>
  <c r="AG307" i="1" a="1"/>
  <c r="AG307" i="1" s="1"/>
  <c r="Y307" i="1" s="1"/>
  <c r="AF307" i="1" a="1"/>
  <c r="AF307" i="1" s="1"/>
  <c r="X307" i="1" s="1"/>
  <c r="AA307" i="1" s="1"/>
  <c r="AA310" i="1"/>
  <c r="Z310" i="1"/>
  <c r="AB312" i="1"/>
  <c r="Z312" i="1" s="1"/>
  <c r="AA312" i="1"/>
  <c r="AB318" i="1"/>
  <c r="AA318" i="1"/>
  <c r="Z318" i="1" s="1"/>
  <c r="AB320" i="1"/>
  <c r="Z320" i="1" s="1"/>
  <c r="AB324" i="1"/>
  <c r="AA324" i="1"/>
  <c r="AB326" i="1"/>
  <c r="Z326" i="1" s="1"/>
  <c r="AB330" i="1"/>
  <c r="Z330" i="1" s="1"/>
  <c r="AA330" i="1"/>
  <c r="AB336" i="1"/>
  <c r="AA336" i="1"/>
  <c r="AA342" i="1"/>
  <c r="AB348" i="1"/>
  <c r="AA348" i="1"/>
  <c r="AG358" i="1" a="1"/>
  <c r="AG358" i="1" s="1"/>
  <c r="Y358" i="1" s="1"/>
  <c r="AB358" i="1" s="1"/>
  <c r="AF358" i="1" a="1"/>
  <c r="AF358" i="1" s="1"/>
  <c r="X358" i="1" s="1"/>
  <c r="AA358" i="1" s="1"/>
  <c r="Z358" i="1" s="1"/>
  <c r="AB359" i="1"/>
  <c r="Z359" i="1" s="1"/>
  <c r="AB364" i="1"/>
  <c r="AA366" i="1"/>
  <c r="Z366" i="1" s="1"/>
  <c r="AF391" i="1" a="1"/>
  <c r="AF391" i="1" s="1"/>
  <c r="X391" i="1" s="1"/>
  <c r="AA391" i="1" s="1"/>
  <c r="Z391" i="1" s="1"/>
  <c r="AA413" i="1"/>
  <c r="AG422" i="1" a="1"/>
  <c r="AG422" i="1" s="1"/>
  <c r="Y422" i="1" s="1"/>
  <c r="AF422" i="1" a="1"/>
  <c r="AF422" i="1" s="1"/>
  <c r="X422" i="1" s="1"/>
  <c r="AA422" i="1" s="1"/>
  <c r="AG429" i="1" a="1"/>
  <c r="AG429" i="1" s="1"/>
  <c r="Y429" i="1" s="1"/>
  <c r="AF429" i="1" a="1"/>
  <c r="AF429" i="1" s="1"/>
  <c r="X429" i="1" s="1"/>
  <c r="AG487" i="1" a="1"/>
  <c r="AG487" i="1" s="1"/>
  <c r="Y487" i="1" s="1"/>
  <c r="AB487" i="1" s="1"/>
  <c r="AF487" i="1" a="1"/>
  <c r="AF487" i="1" s="1"/>
  <c r="AB552" i="1"/>
  <c r="AA552" i="1"/>
  <c r="Z552" i="1" s="1"/>
  <c r="AB1557" i="1"/>
  <c r="AB466" i="1"/>
  <c r="Z466" i="1"/>
  <c r="AG283" i="1" a="1"/>
  <c r="AG283" i="1" s="1"/>
  <c r="Y283" i="1" s="1"/>
  <c r="AB283" i="1" s="1"/>
  <c r="AF283" i="1" a="1"/>
  <c r="AF283" i="1" s="1"/>
  <c r="X283" i="1" s="1"/>
  <c r="AA283" i="1" s="1"/>
  <c r="AG290" i="1" a="1"/>
  <c r="AG290" i="1" s="1"/>
  <c r="Y290" i="1" s="1"/>
  <c r="AB290" i="1" s="1"/>
  <c r="AB296" i="1"/>
  <c r="Z296" i="1" s="1"/>
  <c r="AG298" i="1" a="1"/>
  <c r="AG298" i="1" s="1"/>
  <c r="Y298" i="1" s="1"/>
  <c r="AB298" i="1" s="1"/>
  <c r="AF298" i="1" a="1"/>
  <c r="AF298" i="1" s="1"/>
  <c r="X298" i="1" s="1"/>
  <c r="AA298" i="1" s="1"/>
  <c r="Z298" i="1" s="1"/>
  <c r="AG308" i="1" a="1"/>
  <c r="AG308" i="1" s="1"/>
  <c r="Y308" i="1" s="1"/>
  <c r="AB308" i="1" s="1"/>
  <c r="Z308" i="1" s="1"/>
  <c r="AB363" i="1"/>
  <c r="AA387" i="1"/>
  <c r="Z387" i="1" s="1"/>
  <c r="AA396" i="1"/>
  <c r="Z396" i="1" s="1"/>
  <c r="AB396" i="1"/>
  <c r="AF399" i="1" a="1"/>
  <c r="AF399" i="1" s="1"/>
  <c r="AG399" i="1" a="1"/>
  <c r="AG399" i="1" s="1"/>
  <c r="Y399" i="1" s="1"/>
  <c r="AA401" i="1"/>
  <c r="AG237" i="1" a="1"/>
  <c r="AG237" i="1" s="1"/>
  <c r="Y237" i="1" s="1"/>
  <c r="AB237" i="1" s="1"/>
  <c r="AF237" i="1" a="1"/>
  <c r="AF237" i="1" s="1"/>
  <c r="X237" i="1" s="1"/>
  <c r="AB244" i="1"/>
  <c r="AA274" i="1"/>
  <c r="AB279" i="1"/>
  <c r="AA288" i="1"/>
  <c r="AB305" i="1"/>
  <c r="AA305" i="1"/>
  <c r="AA352" i="1"/>
  <c r="Z352" i="1" s="1"/>
  <c r="AG377" i="1" a="1"/>
  <c r="AG377" i="1" s="1"/>
  <c r="Y377" i="1" s="1"/>
  <c r="AB377" i="1" s="1"/>
  <c r="Z377" i="1" s="1"/>
  <c r="AF408" i="1" a="1"/>
  <c r="AF408" i="1" s="1"/>
  <c r="X408" i="1" s="1"/>
  <c r="AA408" i="1" s="1"/>
  <c r="AB416" i="1"/>
  <c r="AF456" i="1" a="1"/>
  <c r="AF456" i="1" s="1"/>
  <c r="AG456" i="1" a="1"/>
  <c r="AG456" i="1" s="1"/>
  <c r="Y456" i="1" s="1"/>
  <c r="AB456" i="1" s="1"/>
  <c r="AB550" i="1"/>
  <c r="AA550" i="1"/>
  <c r="Z550" i="1" s="1"/>
  <c r="AA253" i="1"/>
  <c r="AA265" i="1"/>
  <c r="Z265" i="1" s="1"/>
  <c r="AG338" i="1" a="1"/>
  <c r="AG338" i="1" s="1"/>
  <c r="Y338" i="1" s="1"/>
  <c r="AB338" i="1" s="1"/>
  <c r="Z338" i="1" s="1"/>
  <c r="AG344" i="1" a="1"/>
  <c r="AG344" i="1" s="1"/>
  <c r="Y344" i="1" s="1"/>
  <c r="AB344" i="1" s="1"/>
  <c r="Z344" i="1" s="1"/>
  <c r="AG350" i="1" a="1"/>
  <c r="AG350" i="1" s="1"/>
  <c r="Y350" i="1" s="1"/>
  <c r="AB350" i="1" s="1"/>
  <c r="Z350" i="1" s="1"/>
  <c r="AB356" i="1"/>
  <c r="Z356" i="1" s="1"/>
  <c r="AG360" i="1" a="1"/>
  <c r="AG360" i="1" s="1"/>
  <c r="Y360" i="1" s="1"/>
  <c r="AB360" i="1" s="1"/>
  <c r="AF360" i="1" a="1"/>
  <c r="AF360" i="1" s="1"/>
  <c r="X360" i="1" s="1"/>
  <c r="AA360" i="1" s="1"/>
  <c r="AG378" i="1" a="1"/>
  <c r="AG378" i="1" s="1"/>
  <c r="Y378" i="1" s="1"/>
  <c r="AF378" i="1" a="1"/>
  <c r="AF378" i="1" s="1"/>
  <c r="X378" i="1" s="1"/>
  <c r="AB385" i="1"/>
  <c r="AA385" i="1"/>
  <c r="AA394" i="1"/>
  <c r="AB394" i="1"/>
  <c r="AF935" i="1" a="1"/>
  <c r="AF935" i="1" s="1"/>
  <c r="AG935" i="1" a="1"/>
  <c r="AG935" i="1" s="1"/>
  <c r="Y935" i="1" s="1"/>
  <c r="AF1557" i="1" a="1"/>
  <c r="AF1557" i="1" s="1"/>
  <c r="X1557" i="1" s="1"/>
  <c r="AA1557" i="1" s="1"/>
  <c r="Z1557" i="1" s="1"/>
  <c r="AB239" i="1"/>
  <c r="Z274" i="1"/>
  <c r="AB291" i="1"/>
  <c r="AG295" i="1" a="1"/>
  <c r="AG295" i="1" s="1"/>
  <c r="Y295" i="1" s="1"/>
  <c r="AB295" i="1" s="1"/>
  <c r="AF295" i="1" a="1"/>
  <c r="AF295" i="1" s="1"/>
  <c r="X295" i="1" s="1"/>
  <c r="AA295" i="1" s="1"/>
  <c r="AB300" i="1"/>
  <c r="Z300" i="1" s="1"/>
  <c r="AA300" i="1"/>
  <c r="AB307" i="1"/>
  <c r="AB309" i="1"/>
  <c r="AG313" i="1" a="1"/>
  <c r="AG313" i="1" s="1"/>
  <c r="Y313" i="1" s="1"/>
  <c r="AB313" i="1" s="1"/>
  <c r="AF313" i="1" a="1"/>
  <c r="AF313" i="1" s="1"/>
  <c r="X313" i="1" s="1"/>
  <c r="AA313" i="1" s="1"/>
  <c r="AG362" i="1" a="1"/>
  <c r="AG362" i="1" s="1"/>
  <c r="Y362" i="1" s="1"/>
  <c r="AB362" i="1" s="1"/>
  <c r="AF362" i="1" a="1"/>
  <c r="AF362" i="1" s="1"/>
  <c r="X362" i="1" s="1"/>
  <c r="AA362" i="1" s="1"/>
  <c r="AG367" i="1" a="1"/>
  <c r="AG367" i="1" s="1"/>
  <c r="Y367" i="1" s="1"/>
  <c r="AF367" i="1" a="1"/>
  <c r="AF367" i="1" s="1"/>
  <c r="X367" i="1" s="1"/>
  <c r="AG381" i="1" a="1"/>
  <c r="AG381" i="1" s="1"/>
  <c r="Y381" i="1" s="1"/>
  <c r="AB381" i="1" s="1"/>
  <c r="AF381" i="1" a="1"/>
  <c r="AF381" i="1" s="1"/>
  <c r="X381" i="1" s="1"/>
  <c r="AG397" i="1" a="1"/>
  <c r="AG397" i="1" s="1"/>
  <c r="Y397" i="1" s="1"/>
  <c r="AB397" i="1" s="1"/>
  <c r="AF397" i="1" a="1"/>
  <c r="AF397" i="1" s="1"/>
  <c r="X397" i="1" s="1"/>
  <c r="AA397" i="1" s="1"/>
  <c r="AB399" i="1"/>
  <c r="Z399" i="1" s="1"/>
  <c r="AB1617" i="1"/>
  <c r="AA244" i="1"/>
  <c r="Z244" i="1" s="1"/>
  <c r="AB272" i="1"/>
  <c r="Z272" i="1" s="1"/>
  <c r="AB274" i="1"/>
  <c r="AG277" i="1" a="1"/>
  <c r="AG277" i="1" s="1"/>
  <c r="Y277" i="1" s="1"/>
  <c r="AB277" i="1" s="1"/>
  <c r="AF277" i="1" a="1"/>
  <c r="AF277" i="1" s="1"/>
  <c r="X277" i="1" s="1"/>
  <c r="AA277" i="1" s="1"/>
  <c r="Z277" i="1" s="1"/>
  <c r="AB278" i="1"/>
  <c r="Z278" i="1" s="1"/>
  <c r="AA279" i="1"/>
  <c r="Z279" i="1" s="1"/>
  <c r="AB302" i="1"/>
  <c r="Z302" i="1" s="1"/>
  <c r="AG304" i="1" a="1"/>
  <c r="AG304" i="1" s="1"/>
  <c r="Y304" i="1" s="1"/>
  <c r="AB304" i="1" s="1"/>
  <c r="AF304" i="1" a="1"/>
  <c r="AF304" i="1" s="1"/>
  <c r="X304" i="1" s="1"/>
  <c r="AA304" i="1" s="1"/>
  <c r="Z304" i="1" s="1"/>
  <c r="AG354" i="1" a="1"/>
  <c r="AG354" i="1" s="1"/>
  <c r="Y354" i="1" s="1"/>
  <c r="AB354" i="1" s="1"/>
  <c r="Z354" i="1" s="1"/>
  <c r="AB368" i="1"/>
  <c r="AB390" i="1"/>
  <c r="AA399" i="1"/>
  <c r="AB404" i="1"/>
  <c r="AA404" i="1"/>
  <c r="AG435" i="1" a="1"/>
  <c r="AG435" i="1" s="1"/>
  <c r="Y435" i="1" s="1"/>
  <c r="AB435" i="1" s="1"/>
  <c r="AF435" i="1" a="1"/>
  <c r="AF435" i="1" s="1"/>
  <c r="X435" i="1" s="1"/>
  <c r="AA456" i="1"/>
  <c r="AA584" i="1"/>
  <c r="AB584" i="1"/>
  <c r="Z584" i="1" s="1"/>
  <c r="AA192" i="1"/>
  <c r="Z192" i="1" s="1"/>
  <c r="AA204" i="1"/>
  <c r="Z204" i="1" s="1"/>
  <c r="AA208" i="1"/>
  <c r="AA221" i="1"/>
  <c r="Z221" i="1" s="1"/>
  <c r="AA1280" i="1"/>
  <c r="AA951" i="1"/>
  <c r="Z951" i="1" s="1"/>
  <c r="AB253" i="1"/>
  <c r="Z253" i="1" s="1"/>
  <c r="AB265" i="1"/>
  <c r="AA273" i="1"/>
  <c r="Z273" i="1" s="1"/>
  <c r="AA282" i="1"/>
  <c r="Z282" i="1" s="1"/>
  <c r="AG284" i="1" a="1"/>
  <c r="AG284" i="1" s="1"/>
  <c r="Y284" i="1" s="1"/>
  <c r="AB284" i="1" s="1"/>
  <c r="Z284" i="1" s="1"/>
  <c r="AB288" i="1"/>
  <c r="Z288" i="1" s="1"/>
  <c r="AA293" i="1"/>
  <c r="AA311" i="1"/>
  <c r="AB315" i="1"/>
  <c r="AA315" i="1"/>
  <c r="AB321" i="1"/>
  <c r="AA321" i="1"/>
  <c r="AB327" i="1"/>
  <c r="AA327" i="1"/>
  <c r="AB333" i="1"/>
  <c r="Z333" i="1" s="1"/>
  <c r="AA333" i="1"/>
  <c r="AB339" i="1"/>
  <c r="AA339" i="1"/>
  <c r="AB345" i="1"/>
  <c r="AA345" i="1"/>
  <c r="Z345" i="1" s="1"/>
  <c r="AG357" i="1" a="1"/>
  <c r="AG357" i="1" s="1"/>
  <c r="Y357" i="1" s="1"/>
  <c r="AB357" i="1" s="1"/>
  <c r="AF357" i="1" a="1"/>
  <c r="AF357" i="1" s="1"/>
  <c r="X357" i="1" s="1"/>
  <c r="AA357" i="1" s="1"/>
  <c r="AB367" i="1"/>
  <c r="AA367" i="1"/>
  <c r="Z367" i="1" s="1"/>
  <c r="AF433" i="1" a="1"/>
  <c r="AF433" i="1" s="1"/>
  <c r="X433" i="1" s="1"/>
  <c r="AA433" i="1" s="1"/>
  <c r="Z433" i="1" s="1"/>
  <c r="AA454" i="1"/>
  <c r="AA239" i="1"/>
  <c r="Z239" i="1" s="1"/>
  <c r="AB252" i="1"/>
  <c r="Z252" i="1" s="1"/>
  <c r="AB264" i="1"/>
  <c r="AB273" i="1"/>
  <c r="AA319" i="1"/>
  <c r="Z319" i="1" s="1"/>
  <c r="AB351" i="1"/>
  <c r="Z351" i="1" s="1"/>
  <c r="AB353" i="1"/>
  <c r="AG454" i="1" a="1"/>
  <c r="AG454" i="1" s="1"/>
  <c r="Y454" i="1" s="1"/>
  <c r="AB454" i="1" s="1"/>
  <c r="AB374" i="1"/>
  <c r="AB386" i="1"/>
  <c r="AG393" i="1" a="1"/>
  <c r="AG393" i="1" s="1"/>
  <c r="Y393" i="1" s="1"/>
  <c r="AF393" i="1" a="1"/>
  <c r="AF393" i="1" s="1"/>
  <c r="X393" i="1" s="1"/>
  <c r="AA393" i="1" s="1"/>
  <c r="AG402" i="1" a="1"/>
  <c r="AG402" i="1" s="1"/>
  <c r="Y402" i="1" s="1"/>
  <c r="AF407" i="1" a="1"/>
  <c r="AF407" i="1" s="1"/>
  <c r="X407" i="1" s="1"/>
  <c r="AA407" i="1" s="1"/>
  <c r="AG407" i="1" a="1"/>
  <c r="AG407" i="1" s="1"/>
  <c r="Y407" i="1" s="1"/>
  <c r="AB407" i="1" s="1"/>
  <c r="AA271" i="1"/>
  <c r="Z271" i="1" s="1"/>
  <c r="AA286" i="1"/>
  <c r="Z286" i="1" s="1"/>
  <c r="AF291" i="1" a="1"/>
  <c r="AF291" i="1" s="1"/>
  <c r="X291" i="1" s="1"/>
  <c r="AA291" i="1" s="1"/>
  <c r="AG293" i="1" a="1"/>
  <c r="AG293" i="1" s="1"/>
  <c r="Y293" i="1" s="1"/>
  <c r="AB293" i="1" s="1"/>
  <c r="AB297" i="1"/>
  <c r="AG301" i="1" a="1"/>
  <c r="AG301" i="1" s="1"/>
  <c r="Y301" i="1" s="1"/>
  <c r="AB301" i="1" s="1"/>
  <c r="AF301" i="1" a="1"/>
  <c r="AF301" i="1" s="1"/>
  <c r="X301" i="1" s="1"/>
  <c r="AA301" i="1" s="1"/>
  <c r="AB306" i="1"/>
  <c r="AA306" i="1"/>
  <c r="Z306" i="1" s="1"/>
  <c r="AF309" i="1" a="1"/>
  <c r="AF309" i="1" s="1"/>
  <c r="X309" i="1" s="1"/>
  <c r="AA309" i="1" s="1"/>
  <c r="Z309" i="1" s="1"/>
  <c r="AG311" i="1" a="1"/>
  <c r="AG311" i="1" s="1"/>
  <c r="Y311" i="1" s="1"/>
  <c r="AB311" i="1" s="1"/>
  <c r="AG317" i="1" a="1"/>
  <c r="AG317" i="1" s="1"/>
  <c r="Y317" i="1" s="1"/>
  <c r="AB317" i="1" s="1"/>
  <c r="AG323" i="1" a="1"/>
  <c r="AG323" i="1" s="1"/>
  <c r="Y323" i="1" s="1"/>
  <c r="AB323" i="1" s="1"/>
  <c r="AG329" i="1" a="1"/>
  <c r="AG329" i="1" s="1"/>
  <c r="Y329" i="1" s="1"/>
  <c r="AB329" i="1" s="1"/>
  <c r="AG335" i="1" a="1"/>
  <c r="AG335" i="1" s="1"/>
  <c r="Y335" i="1" s="1"/>
  <c r="AB335" i="1" s="1"/>
  <c r="AG341" i="1" a="1"/>
  <c r="AG341" i="1" s="1"/>
  <c r="Y341" i="1" s="1"/>
  <c r="AB341" i="1" s="1"/>
  <c r="AG347" i="1" a="1"/>
  <c r="AG347" i="1" s="1"/>
  <c r="Y347" i="1" s="1"/>
  <c r="AB347" i="1" s="1"/>
  <c r="AG383" i="1" a="1"/>
  <c r="AG383" i="1" s="1"/>
  <c r="Y383" i="1" s="1"/>
  <c r="AB383" i="1" s="1"/>
  <c r="Z383" i="1" s="1"/>
  <c r="AB231" i="1"/>
  <c r="Z231" i="1" s="1"/>
  <c r="AF572" i="1" a="1"/>
  <c r="AF572" i="1" s="1"/>
  <c r="AG572" i="1" a="1"/>
  <c r="AG572" i="1" s="1"/>
  <c r="Y572" i="1" s="1"/>
  <c r="AG497" i="1" a="1"/>
  <c r="AG497" i="1" s="1"/>
  <c r="Y497" i="1" s="1"/>
  <c r="AB497" i="1" s="1"/>
  <c r="AF497" i="1" a="1"/>
  <c r="AF497" i="1" s="1"/>
  <c r="X497" i="1" s="1"/>
  <c r="AA497" i="1" s="1"/>
  <c r="Z497" i="1" s="1"/>
  <c r="AF319" i="1" a="1"/>
  <c r="AF319" i="1" s="1"/>
  <c r="X319" i="1" s="1"/>
  <c r="AF325" i="1" a="1"/>
  <c r="AF325" i="1" s="1"/>
  <c r="X325" i="1" s="1"/>
  <c r="AA325" i="1" s="1"/>
  <c r="Z325" i="1" s="1"/>
  <c r="AF331" i="1" a="1"/>
  <c r="AF331" i="1" s="1"/>
  <c r="X331" i="1" s="1"/>
  <c r="AA331" i="1" s="1"/>
  <c r="Z331" i="1" s="1"/>
  <c r="AF337" i="1" a="1"/>
  <c r="AF337" i="1" s="1"/>
  <c r="X337" i="1" s="1"/>
  <c r="AA337" i="1" s="1"/>
  <c r="Z337" i="1" s="1"/>
  <c r="AF343" i="1" a="1"/>
  <c r="AF343" i="1" s="1"/>
  <c r="X343" i="1" s="1"/>
  <c r="AA343" i="1" s="1"/>
  <c r="Z343" i="1" s="1"/>
  <c r="AF349" i="1" a="1"/>
  <c r="AF349" i="1" s="1"/>
  <c r="X349" i="1" s="1"/>
  <c r="AA349" i="1" s="1"/>
  <c r="Z349" i="1" s="1"/>
  <c r="AF440" i="1" a="1"/>
  <c r="AF440" i="1" s="1"/>
  <c r="X440" i="1" s="1"/>
  <c r="AA440" i="1" s="1"/>
  <c r="Z440" i="1" s="1"/>
  <c r="AB389" i="1"/>
  <c r="AF411" i="1" a="1"/>
  <c r="AF411" i="1" s="1"/>
  <c r="X411" i="1" s="1"/>
  <c r="AA411" i="1" s="1"/>
  <c r="Z411" i="1" s="1"/>
  <c r="AB420" i="1"/>
  <c r="AG427" i="1" a="1"/>
  <c r="AG427" i="1" s="1"/>
  <c r="Y427" i="1" s="1"/>
  <c r="AF427" i="1" a="1"/>
  <c r="AF427" i="1" s="1"/>
  <c r="X427" i="1" s="1"/>
  <c r="AB429" i="1"/>
  <c r="AF953" i="1" a="1"/>
  <c r="AF953" i="1" s="1"/>
  <c r="X953" i="1" s="1"/>
  <c r="AA953" i="1" s="1"/>
  <c r="AG953" i="1" a="1"/>
  <c r="AG953" i="1" s="1"/>
  <c r="Y953" i="1" s="1"/>
  <c r="AB953" i="1" s="1"/>
  <c r="Z581" i="1"/>
  <c r="AG1469" i="1" a="1"/>
  <c r="AG1469" i="1" s="1"/>
  <c r="Y1469" i="1" s="1"/>
  <c r="AF1469" i="1" a="1"/>
  <c r="AF1469" i="1" s="1"/>
  <c r="X1469" i="1" s="1"/>
  <c r="AG910" i="1" a="1"/>
  <c r="AG910" i="1" s="1"/>
  <c r="Y910" i="1" s="1"/>
  <c r="AF910" i="1" a="1"/>
  <c r="AF910" i="1" s="1"/>
  <c r="X910" i="1" s="1"/>
  <c r="AB571" i="1"/>
  <c r="AG1602" i="1" a="1"/>
  <c r="AG1602" i="1" s="1"/>
  <c r="Y1602" i="1" s="1"/>
  <c r="AF1602" i="1" a="1"/>
  <c r="AF1602" i="1" s="1"/>
  <c r="X1602" i="1" s="1"/>
  <c r="AG490" i="1" a="1"/>
  <c r="AG490" i="1" s="1"/>
  <c r="Y490" i="1" s="1"/>
  <c r="AB490" i="1" s="1"/>
  <c r="AF490" i="1" a="1"/>
  <c r="AF490" i="1" s="1"/>
  <c r="AB492" i="1"/>
  <c r="AA492" i="1"/>
  <c r="Z492" i="1" s="1"/>
  <c r="AB536" i="1"/>
  <c r="AB608" i="1"/>
  <c r="AF615" i="1" a="1"/>
  <c r="AF615" i="1" s="1"/>
  <c r="AG615" i="1" a="1"/>
  <c r="AG615" i="1" s="1"/>
  <c r="Y615" i="1" s="1"/>
  <c r="AB615" i="1" s="1"/>
  <c r="AF846" i="1" a="1"/>
  <c r="AF846" i="1" s="1"/>
  <c r="AG846" i="1" a="1"/>
  <c r="AG846" i="1" s="1"/>
  <c r="Y846" i="1" s="1"/>
  <c r="AB846" i="1" s="1"/>
  <c r="Z846" i="1" s="1"/>
  <c r="AA378" i="1"/>
  <c r="AA384" i="1"/>
  <c r="Z384" i="1" s="1"/>
  <c r="AF386" i="1" a="1"/>
  <c r="AF386" i="1" s="1"/>
  <c r="X386" i="1" s="1"/>
  <c r="AA386" i="1" s="1"/>
  <c r="Z386" i="1" s="1"/>
  <c r="AF400" i="1" a="1"/>
  <c r="AF400" i="1" s="1"/>
  <c r="AG400" i="1" a="1"/>
  <c r="AG400" i="1" s="1"/>
  <c r="Y400" i="1" s="1"/>
  <c r="AB400" i="1" s="1"/>
  <c r="AF406" i="1" a="1"/>
  <c r="AF406" i="1" s="1"/>
  <c r="X406" i="1" s="1"/>
  <c r="AA406" i="1" s="1"/>
  <c r="AG406" i="1" a="1"/>
  <c r="AG406" i="1" s="1"/>
  <c r="Y406" i="1" s="1"/>
  <c r="AB406" i="1" s="1"/>
  <c r="AB410" i="1"/>
  <c r="AF412" i="1" a="1"/>
  <c r="AF412" i="1" s="1"/>
  <c r="X412" i="1" s="1"/>
  <c r="AA412" i="1" s="1"/>
  <c r="AG412" i="1" a="1"/>
  <c r="AG412" i="1" s="1"/>
  <c r="Y412" i="1" s="1"/>
  <c r="AB412" i="1" s="1"/>
  <c r="AF416" i="1" a="1"/>
  <c r="AF416" i="1" s="1"/>
  <c r="X416" i="1" s="1"/>
  <c r="AA416" i="1" s="1"/>
  <c r="Z416" i="1" s="1"/>
  <c r="AB422" i="1"/>
  <c r="AG479" i="1" a="1"/>
  <c r="AG479" i="1" s="1"/>
  <c r="Y479" i="1" s="1"/>
  <c r="AB479" i="1" s="1"/>
  <c r="AF479" i="1" a="1"/>
  <c r="AF479" i="1" s="1"/>
  <c r="X479" i="1" s="1"/>
  <c r="AA479" i="1" s="1"/>
  <c r="AG469" i="1" a="1"/>
  <c r="AG469" i="1" s="1"/>
  <c r="Y469" i="1" s="1"/>
  <c r="AF469" i="1" a="1"/>
  <c r="AF469" i="1" s="1"/>
  <c r="X469" i="1" s="1"/>
  <c r="AG436" i="1" a="1"/>
  <c r="AG436" i="1" s="1"/>
  <c r="AF436" i="1" a="1"/>
  <c r="AF436" i="1" s="1"/>
  <c r="AF458" i="1" a="1"/>
  <c r="AF458" i="1" s="1"/>
  <c r="X458" i="1" s="1"/>
  <c r="AG573" i="1" a="1"/>
  <c r="AG573" i="1" s="1"/>
  <c r="Y573" i="1" s="1"/>
  <c r="AF941" i="1" a="1"/>
  <c r="AF941" i="1" s="1"/>
  <c r="X941" i="1" s="1"/>
  <c r="Z506" i="1"/>
  <c r="AF609" i="1" a="1"/>
  <c r="AF609" i="1" s="1"/>
  <c r="X609" i="1" s="1"/>
  <c r="AA609" i="1" s="1"/>
  <c r="Z609" i="1" s="1"/>
  <c r="AG609" i="1" a="1"/>
  <c r="AG609" i="1" s="1"/>
  <c r="Y609" i="1" s="1"/>
  <c r="AB609" i="1" s="1"/>
  <c r="AF618" i="1" a="1"/>
  <c r="AF618" i="1" s="1"/>
  <c r="AG618" i="1" a="1"/>
  <c r="AG618" i="1" s="1"/>
  <c r="Y618" i="1" s="1"/>
  <c r="AB618" i="1" s="1"/>
  <c r="Z618" i="1" s="1"/>
  <c r="AG695" i="1" a="1"/>
  <c r="AG695" i="1" s="1"/>
  <c r="Y695" i="1" s="1"/>
  <c r="AF695" i="1" a="1"/>
  <c r="AF695" i="1" s="1"/>
  <c r="X695" i="1" s="1"/>
  <c r="AA695" i="1" s="1"/>
  <c r="AF374" i="1" a="1"/>
  <c r="AF374" i="1" s="1"/>
  <c r="X374" i="1" s="1"/>
  <c r="AA374" i="1" s="1"/>
  <c r="Z374" i="1" s="1"/>
  <c r="AF380" i="1" a="1"/>
  <c r="AF380" i="1" s="1"/>
  <c r="X380" i="1" s="1"/>
  <c r="AF390" i="1" a="1"/>
  <c r="AF390" i="1" s="1"/>
  <c r="X390" i="1" s="1"/>
  <c r="AA390" i="1" s="1"/>
  <c r="Z390" i="1" s="1"/>
  <c r="AG401" i="1" a="1"/>
  <c r="AG401" i="1" s="1"/>
  <c r="Y401" i="1" s="1"/>
  <c r="AB401" i="1" s="1"/>
  <c r="Z401" i="1" s="1"/>
  <c r="AA403" i="1"/>
  <c r="Z403" i="1"/>
  <c r="AA415" i="1"/>
  <c r="Z415" i="1" s="1"/>
  <c r="AG417" i="1" a="1"/>
  <c r="AG417" i="1" s="1"/>
  <c r="Y417" i="1" s="1"/>
  <c r="AB417" i="1" s="1"/>
  <c r="AF417" i="1" a="1"/>
  <c r="AF417" i="1" s="1"/>
  <c r="X417" i="1" s="1"/>
  <c r="AA417" i="1" s="1"/>
  <c r="Z417" i="1" s="1"/>
  <c r="AF420" i="1" a="1"/>
  <c r="AF420" i="1" s="1"/>
  <c r="X420" i="1" s="1"/>
  <c r="AA420" i="1" s="1"/>
  <c r="Z420" i="1" s="1"/>
  <c r="AG425" i="1" a="1"/>
  <c r="AG425" i="1" s="1"/>
  <c r="Y425" i="1" s="1"/>
  <c r="AB425" i="1" s="1"/>
  <c r="AF425" i="1" a="1"/>
  <c r="AF425" i="1" s="1"/>
  <c r="X425" i="1" s="1"/>
  <c r="AB427" i="1"/>
  <c r="AB935" i="1"/>
  <c r="AF940" i="1" a="1"/>
  <c r="AF940" i="1" s="1"/>
  <c r="X940" i="1" s="1"/>
  <c r="AG940" i="1" a="1"/>
  <c r="AG940" i="1" s="1"/>
  <c r="Y940" i="1" s="1"/>
  <c r="AA572" i="1"/>
  <c r="Z572" i="1"/>
  <c r="AF1230" i="1" a="1"/>
  <c r="AF1230" i="1" s="1"/>
  <c r="X1230" i="1" s="1"/>
  <c r="AG1230" i="1" a="1"/>
  <c r="AG1230" i="1" s="1"/>
  <c r="Y1230" i="1" s="1"/>
  <c r="AG1474" i="1" a="1"/>
  <c r="AG1474" i="1" s="1"/>
  <c r="Y1474" i="1" s="1"/>
  <c r="AF1474" i="1" a="1"/>
  <c r="AF1474" i="1" s="1"/>
  <c r="X1474" i="1" s="1"/>
  <c r="AA1474" i="1" s="1"/>
  <c r="AG475" i="1" a="1"/>
  <c r="AG475" i="1" s="1"/>
  <c r="Y475" i="1" s="1"/>
  <c r="AF475" i="1" a="1"/>
  <c r="AF475" i="1" s="1"/>
  <c r="X475" i="1" s="1"/>
  <c r="AB1231" i="1"/>
  <c r="AA487" i="1"/>
  <c r="Z487" i="1" s="1"/>
  <c r="AA495" i="1"/>
  <c r="Z495" i="1"/>
  <c r="AB504" i="1"/>
  <c r="Z512" i="1"/>
  <c r="AB525" i="1"/>
  <c r="AA525" i="1"/>
  <c r="AB540" i="1"/>
  <c r="AG913" i="1" a="1"/>
  <c r="AG913" i="1" s="1"/>
  <c r="Y913" i="1" s="1"/>
  <c r="AB913" i="1" s="1"/>
  <c r="Z913" i="1" s="1"/>
  <c r="AF913" i="1" a="1"/>
  <c r="AF913" i="1" s="1"/>
  <c r="AG692" i="1" a="1"/>
  <c r="AG692" i="1" s="1"/>
  <c r="Y692" i="1" s="1"/>
  <c r="AF692" i="1" a="1"/>
  <c r="AF692" i="1" s="1"/>
  <c r="X692" i="1" s="1"/>
  <c r="AA692" i="1" s="1"/>
  <c r="AB820" i="1"/>
  <c r="AA820" i="1"/>
  <c r="Z820" i="1" s="1"/>
  <c r="AA388" i="1"/>
  <c r="Z388" i="1" s="1"/>
  <c r="AA389" i="1"/>
  <c r="Z389" i="1" s="1"/>
  <c r="AA392" i="1"/>
  <c r="Z392" i="1" s="1"/>
  <c r="AG394" i="1" a="1"/>
  <c r="AG394" i="1" s="1"/>
  <c r="Y394" i="1" s="1"/>
  <c r="AF398" i="1" a="1"/>
  <c r="AF398" i="1" s="1"/>
  <c r="X398" i="1" s="1"/>
  <c r="AA398" i="1" s="1"/>
  <c r="Z398" i="1" s="1"/>
  <c r="AG413" i="1" a="1"/>
  <c r="AG413" i="1" s="1"/>
  <c r="Y413" i="1" s="1"/>
  <c r="AB413" i="1" s="1"/>
  <c r="Z413" i="1" s="1"/>
  <c r="AG468" i="1" a="1"/>
  <c r="AG468" i="1" s="1"/>
  <c r="Y468" i="1" s="1"/>
  <c r="AB468" i="1" s="1"/>
  <c r="Z468" i="1" s="1"/>
  <c r="AF468" i="1" a="1"/>
  <c r="AF468" i="1" s="1"/>
  <c r="AB1469" i="1"/>
  <c r="AB910" i="1"/>
  <c r="AG442" i="1" a="1"/>
  <c r="AG442" i="1" s="1"/>
  <c r="Y442" i="1" s="1"/>
  <c r="AB442" i="1" s="1"/>
  <c r="AF442" i="1" a="1"/>
  <c r="AF442" i="1" s="1"/>
  <c r="X442" i="1" s="1"/>
  <c r="AB572" i="1"/>
  <c r="AB222" i="1"/>
  <c r="AA222" i="1"/>
  <c r="AB495" i="1"/>
  <c r="AG498" i="1" a="1"/>
  <c r="AG498" i="1" s="1"/>
  <c r="Y498" i="1" s="1"/>
  <c r="AB498" i="1" s="1"/>
  <c r="AF498" i="1" a="1"/>
  <c r="AF498" i="1" s="1"/>
  <c r="X498" i="1" s="1"/>
  <c r="AA498" i="1" s="1"/>
  <c r="AB502" i="1"/>
  <c r="AA502" i="1"/>
  <c r="Z502" i="1" s="1"/>
  <c r="AB521" i="1"/>
  <c r="Z521" i="1" s="1"/>
  <c r="AA521" i="1"/>
  <c r="AB523" i="1"/>
  <c r="AA523" i="1"/>
  <c r="Z523" i="1" s="1"/>
  <c r="AB527" i="1"/>
  <c r="AA527" i="1"/>
  <c r="Z527" i="1" s="1"/>
  <c r="AB531" i="1"/>
  <c r="AA531" i="1"/>
  <c r="Z531" i="1" s="1"/>
  <c r="AB547" i="1"/>
  <c r="AA547" i="1"/>
  <c r="Z547" i="1" s="1"/>
  <c r="AG563" i="1" a="1"/>
  <c r="AG563" i="1" s="1"/>
  <c r="Y563" i="1" s="1"/>
  <c r="AF563" i="1" a="1"/>
  <c r="AF563" i="1" s="1"/>
  <c r="X563" i="1" s="1"/>
  <c r="AG646" i="1" a="1"/>
  <c r="AG646" i="1" s="1"/>
  <c r="Y646" i="1" s="1"/>
  <c r="AB646" i="1" s="1"/>
  <c r="Z646" i="1" s="1"/>
  <c r="AF646" i="1" a="1"/>
  <c r="AF646" i="1" s="1"/>
  <c r="AG732" i="1" a="1"/>
  <c r="AG732" i="1" s="1"/>
  <c r="Y732" i="1" s="1"/>
  <c r="AF732" i="1" a="1"/>
  <c r="AF732" i="1" s="1"/>
  <c r="AA409" i="1"/>
  <c r="Z409" i="1" s="1"/>
  <c r="AG421" i="1" a="1"/>
  <c r="AG421" i="1" s="1"/>
  <c r="Y421" i="1" s="1"/>
  <c r="AB421" i="1" s="1"/>
  <c r="AF421" i="1" a="1"/>
  <c r="AF421" i="1" s="1"/>
  <c r="X421" i="1" s="1"/>
  <c r="AA421" i="1" s="1"/>
  <c r="Z421" i="1" s="1"/>
  <c r="AG423" i="1" a="1"/>
  <c r="AG423" i="1" s="1"/>
  <c r="Y423" i="1" s="1"/>
  <c r="AB423" i="1" s="1"/>
  <c r="AF423" i="1" a="1"/>
  <c r="AF423" i="1" s="1"/>
  <c r="X423" i="1" s="1"/>
  <c r="Z485" i="1"/>
  <c r="AB469" i="1"/>
  <c r="AB940" i="1"/>
  <c r="AG444" i="1" a="1"/>
  <c r="AG444" i="1" s="1"/>
  <c r="AF444" i="1" a="1"/>
  <c r="AF444" i="1" s="1"/>
  <c r="AB236" i="1"/>
  <c r="AA236" i="1"/>
  <c r="Z236" i="1" s="1"/>
  <c r="AB493" i="1"/>
  <c r="AA493" i="1"/>
  <c r="AB519" i="1"/>
  <c r="AA519" i="1"/>
  <c r="AB533" i="1"/>
  <c r="AA533" i="1"/>
  <c r="Z533" i="1" s="1"/>
  <c r="AG207" i="1" a="1"/>
  <c r="AG207" i="1" s="1"/>
  <c r="Y207" i="1" s="1"/>
  <c r="AF207" i="1" a="1"/>
  <c r="AF207" i="1" s="1"/>
  <c r="X207" i="1" s="1"/>
  <c r="AA207" i="1" s="1"/>
  <c r="AF588" i="1" a="1"/>
  <c r="AF588" i="1" s="1"/>
  <c r="X588" i="1" s="1"/>
  <c r="AG588" i="1" a="1"/>
  <c r="AG588" i="1" s="1"/>
  <c r="Y588" i="1" s="1"/>
  <c r="AB588" i="1" s="1"/>
  <c r="AB595" i="1"/>
  <c r="Z595" i="1" s="1"/>
  <c r="AA317" i="1"/>
  <c r="AA323" i="1"/>
  <c r="AA329" i="1"/>
  <c r="AA335" i="1"/>
  <c r="AA341" i="1"/>
  <c r="AA347" i="1"/>
  <c r="AA353" i="1"/>
  <c r="Z353" i="1" s="1"/>
  <c r="Z361" i="1"/>
  <c r="AA369" i="1"/>
  <c r="Z369" i="1" s="1"/>
  <c r="AA376" i="1"/>
  <c r="Z376" i="1" s="1"/>
  <c r="AB378" i="1"/>
  <c r="AF379" i="1" a="1"/>
  <c r="AF379" i="1" s="1"/>
  <c r="X379" i="1" s="1"/>
  <c r="AA379" i="1" s="1"/>
  <c r="Z379" i="1" s="1"/>
  <c r="AA382" i="1"/>
  <c r="Z382" i="1" s="1"/>
  <c r="AB384" i="1"/>
  <c r="AB393" i="1"/>
  <c r="AB419" i="1"/>
  <c r="AA419" i="1"/>
  <c r="Z419" i="1"/>
  <c r="AG428" i="1" a="1"/>
  <c r="AG428" i="1" s="1"/>
  <c r="Y428" i="1" s="1"/>
  <c r="AF428" i="1" a="1"/>
  <c r="AF428" i="1" s="1"/>
  <c r="X428" i="1" s="1"/>
  <c r="AA1469" i="1"/>
  <c r="Z1469" i="1" s="1"/>
  <c r="AG939" i="1" a="1"/>
  <c r="AG939" i="1" s="1"/>
  <c r="Y939" i="1" s="1"/>
  <c r="AB939" i="1" s="1"/>
  <c r="AF939" i="1" a="1"/>
  <c r="AF939" i="1" s="1"/>
  <c r="X939" i="1" s="1"/>
  <c r="AF493" i="1" a="1"/>
  <c r="AF493" i="1" s="1"/>
  <c r="AA504" i="1"/>
  <c r="AB513" i="1"/>
  <c r="AA513" i="1"/>
  <c r="AB515" i="1"/>
  <c r="AA515" i="1"/>
  <c r="Z515" i="1"/>
  <c r="AB517" i="1"/>
  <c r="AA517" i="1"/>
  <c r="AG554" i="1" a="1"/>
  <c r="AG554" i="1" s="1"/>
  <c r="Y554" i="1" s="1"/>
  <c r="AB554" i="1" s="1"/>
  <c r="Z554" i="1" s="1"/>
  <c r="AF554" i="1" a="1"/>
  <c r="AF554" i="1" s="1"/>
  <c r="AF1233" i="1" a="1"/>
  <c r="AF1233" i="1" s="1"/>
  <c r="AG1233" i="1" a="1"/>
  <c r="AG1233" i="1" s="1"/>
  <c r="Y1233" i="1" s="1"/>
  <c r="AA585" i="1"/>
  <c r="AB585" i="1"/>
  <c r="AF619" i="1" a="1"/>
  <c r="AF619" i="1" s="1"/>
  <c r="AG619" i="1" a="1"/>
  <c r="AG619" i="1" s="1"/>
  <c r="Y619" i="1" s="1"/>
  <c r="AB619" i="1" s="1"/>
  <c r="Z619" i="1" s="1"/>
  <c r="AA361" i="1"/>
  <c r="AF364" i="1" a="1"/>
  <c r="AF364" i="1" s="1"/>
  <c r="X364" i="1" s="1"/>
  <c r="AA364" i="1" s="1"/>
  <c r="Z364" i="1" s="1"/>
  <c r="AA365" i="1"/>
  <c r="AF368" i="1" a="1"/>
  <c r="AF368" i="1" s="1"/>
  <c r="X368" i="1" s="1"/>
  <c r="AA368" i="1" s="1"/>
  <c r="Z368" i="1" s="1"/>
  <c r="AB402" i="1"/>
  <c r="AB409" i="1"/>
  <c r="AG443" i="1" a="1"/>
  <c r="AG443" i="1" s="1"/>
  <c r="Y443" i="1" s="1"/>
  <c r="AF443" i="1" a="1"/>
  <c r="AF443" i="1" s="1"/>
  <c r="T1602" i="1"/>
  <c r="AB1602" i="1" s="1"/>
  <c r="AG484" i="1" a="1"/>
  <c r="AG484" i="1" s="1"/>
  <c r="Y484" i="1" s="1"/>
  <c r="AF484" i="1" a="1"/>
  <c r="AF484" i="1" s="1"/>
  <c r="X484" i="1" s="1"/>
  <c r="AB488" i="1"/>
  <c r="AA488" i="1"/>
  <c r="Z488" i="1" s="1"/>
  <c r="AG494" i="1" a="1"/>
  <c r="AG494" i="1" s="1"/>
  <c r="Y494" i="1" s="1"/>
  <c r="AB494" i="1" s="1"/>
  <c r="AF494" i="1" a="1"/>
  <c r="AF494" i="1" s="1"/>
  <c r="AB509" i="1"/>
  <c r="AA509" i="1"/>
  <c r="AB511" i="1"/>
  <c r="AA511" i="1"/>
  <c r="Z511" i="1" s="1"/>
  <c r="AB535" i="1"/>
  <c r="AA535" i="1"/>
  <c r="AA583" i="1"/>
  <c r="Z583" i="1" s="1"/>
  <c r="AB583" i="1"/>
  <c r="AB395" i="1"/>
  <c r="Z414" i="1"/>
  <c r="AB414" i="1"/>
  <c r="AG426" i="1" a="1"/>
  <c r="AG426" i="1" s="1"/>
  <c r="Y426" i="1" s="1"/>
  <c r="AB426" i="1" s="1"/>
  <c r="AF426" i="1" a="1"/>
  <c r="AF426" i="1" s="1"/>
  <c r="X426" i="1" s="1"/>
  <c r="AB428" i="1"/>
  <c r="AG934" i="1" a="1"/>
  <c r="AG934" i="1" s="1"/>
  <c r="Y934" i="1" s="1"/>
  <c r="AB934" i="1" s="1"/>
  <c r="AF934" i="1" a="1"/>
  <c r="AF934" i="1" s="1"/>
  <c r="X934" i="1" s="1"/>
  <c r="AA934" i="1" s="1"/>
  <c r="AG570" i="1" a="1"/>
  <c r="AG570" i="1" s="1"/>
  <c r="Y570" i="1" s="1"/>
  <c r="AB570" i="1" s="1"/>
  <c r="AF570" i="1" a="1"/>
  <c r="AF570" i="1" s="1"/>
  <c r="X570" i="1" s="1"/>
  <c r="AG1473" i="1" a="1"/>
  <c r="AG1473" i="1" s="1"/>
  <c r="Y1473" i="1" s="1"/>
  <c r="AB1473" i="1" s="1"/>
  <c r="AF1473" i="1" a="1"/>
  <c r="AF1473" i="1" s="1"/>
  <c r="X1473" i="1" s="1"/>
  <c r="AA1473" i="1" s="1"/>
  <c r="AG482" i="1" a="1"/>
  <c r="AG482" i="1" s="1"/>
  <c r="Y482" i="1" s="1"/>
  <c r="AF482" i="1" a="1"/>
  <c r="AF482" i="1" s="1"/>
  <c r="X482" i="1" s="1"/>
  <c r="AG489" i="1" a="1"/>
  <c r="AG489" i="1" s="1"/>
  <c r="Y489" i="1" s="1"/>
  <c r="AB489" i="1" s="1"/>
  <c r="Z489" i="1" s="1"/>
  <c r="AF489" i="1" a="1"/>
  <c r="AF489" i="1" s="1"/>
  <c r="AG499" i="1" a="1"/>
  <c r="AG499" i="1" s="1"/>
  <c r="Y499" i="1" s="1"/>
  <c r="AB499" i="1" s="1"/>
  <c r="AF499" i="1" a="1"/>
  <c r="AF499" i="1" s="1"/>
  <c r="X499" i="1" s="1"/>
  <c r="AA499" i="1" s="1"/>
  <c r="AB507" i="1"/>
  <c r="AA507" i="1"/>
  <c r="Z507" i="1" s="1"/>
  <c r="AG564" i="1" a="1"/>
  <c r="AG564" i="1" s="1"/>
  <c r="Y564" i="1" s="1"/>
  <c r="AB564" i="1" s="1"/>
  <c r="AF564" i="1" a="1"/>
  <c r="AF564" i="1" s="1"/>
  <c r="X564" i="1" s="1"/>
  <c r="AA564" i="1" s="1"/>
  <c r="Z564" i="1" s="1"/>
  <c r="AB598" i="1"/>
  <c r="Z598" i="1" s="1"/>
  <c r="AF622" i="1" a="1"/>
  <c r="AF622" i="1" s="1"/>
  <c r="AG622" i="1" a="1"/>
  <c r="AG622" i="1" s="1"/>
  <c r="Y622" i="1" s="1"/>
  <c r="AB630" i="1"/>
  <c r="Z630" i="1" s="1"/>
  <c r="AA375" i="1"/>
  <c r="Z375" i="1" s="1"/>
  <c r="AA381" i="1"/>
  <c r="Z381" i="1" s="1"/>
  <c r="AA402" i="1"/>
  <c r="Z402" i="1" s="1"/>
  <c r="AB408" i="1"/>
  <c r="Z408" i="1" s="1"/>
  <c r="AF418" i="1" a="1"/>
  <c r="AF418" i="1" s="1"/>
  <c r="X418" i="1" s="1"/>
  <c r="AA418" i="1" s="1"/>
  <c r="AG418" i="1" a="1"/>
  <c r="AG418" i="1" s="1"/>
  <c r="Y418" i="1" s="1"/>
  <c r="AB418" i="1" s="1"/>
  <c r="AB480" i="1"/>
  <c r="AA480" i="1"/>
  <c r="AA1225" i="1"/>
  <c r="Z1225" i="1" s="1"/>
  <c r="AG455" i="1" a="1"/>
  <c r="AG455" i="1" s="1"/>
  <c r="Y455" i="1" s="1"/>
  <c r="AB455" i="1" s="1"/>
  <c r="AF455" i="1" a="1"/>
  <c r="AF455" i="1" s="1"/>
  <c r="X455" i="1" s="1"/>
  <c r="AA470" i="1"/>
  <c r="AB1226" i="1"/>
  <c r="AA1226" i="1"/>
  <c r="Z1226" i="1"/>
  <c r="Z496" i="1"/>
  <c r="AB503" i="1"/>
  <c r="AA503" i="1"/>
  <c r="Z503" i="1" s="1"/>
  <c r="AB505" i="1"/>
  <c r="Z505" i="1" s="1"/>
  <c r="AA505" i="1"/>
  <c r="AB539" i="1"/>
  <c r="Z539" i="1" s="1"/>
  <c r="AA539" i="1"/>
  <c r="AA556" i="1"/>
  <c r="AB556" i="1"/>
  <c r="AA1232" i="1"/>
  <c r="Z1232" i="1" s="1"/>
  <c r="AB1232" i="1"/>
  <c r="AF589" i="1" a="1"/>
  <c r="AF589" i="1" s="1"/>
  <c r="X589" i="1" s="1"/>
  <c r="AG589" i="1" a="1"/>
  <c r="AG589" i="1" s="1"/>
  <c r="Y589" i="1" s="1"/>
  <c r="AG616" i="1" a="1"/>
  <c r="AG616" i="1" s="1"/>
  <c r="Y616" i="1" s="1"/>
  <c r="AB616" i="1" s="1"/>
  <c r="AB749" i="1"/>
  <c r="AA749" i="1"/>
  <c r="Z749" i="1" s="1"/>
  <c r="AA380" i="1"/>
  <c r="Z380" i="1" s="1"/>
  <c r="AG424" i="1" a="1"/>
  <c r="AG424" i="1" s="1"/>
  <c r="Y424" i="1" s="1"/>
  <c r="AB424" i="1" s="1"/>
  <c r="AF424" i="1" a="1"/>
  <c r="AF424" i="1" s="1"/>
  <c r="X424" i="1" s="1"/>
  <c r="AF480" i="1" a="1"/>
  <c r="AF480" i="1" s="1"/>
  <c r="T1468" i="1"/>
  <c r="AA1468" i="1" s="1"/>
  <c r="AB1468" i="1"/>
  <c r="AB443" i="1"/>
  <c r="Z443" i="1" s="1"/>
  <c r="AA443" i="1"/>
  <c r="AB234" i="1"/>
  <c r="AA234" i="1"/>
  <c r="AG491" i="1" a="1"/>
  <c r="AG491" i="1" s="1"/>
  <c r="Y491" i="1" s="1"/>
  <c r="AB491" i="1" s="1"/>
  <c r="Z501" i="1"/>
  <c r="AA532" i="1"/>
  <c r="Z532" i="1" s="1"/>
  <c r="AB543" i="1"/>
  <c r="AA543" i="1"/>
  <c r="AF617" i="1" a="1"/>
  <c r="AF617" i="1" s="1"/>
  <c r="AG617" i="1" a="1"/>
  <c r="AG617" i="1" s="1"/>
  <c r="Y617" i="1" s="1"/>
  <c r="AB617" i="1" s="1"/>
  <c r="Z617" i="1" s="1"/>
  <c r="AF620" i="1" a="1"/>
  <c r="AF620" i="1" s="1"/>
  <c r="AG620" i="1" a="1"/>
  <c r="AG620" i="1" s="1"/>
  <c r="Y620" i="1" s="1"/>
  <c r="AB620" i="1" s="1"/>
  <c r="AF786" i="1" a="1"/>
  <c r="AF786" i="1" s="1"/>
  <c r="X786" i="1" s="1"/>
  <c r="AG786" i="1" a="1"/>
  <c r="AG786" i="1" s="1"/>
  <c r="Y786" i="1" s="1"/>
  <c r="AG470" i="1" a="1"/>
  <c r="AG470" i="1" s="1"/>
  <c r="Y470" i="1" s="1"/>
  <c r="AB470" i="1" s="1"/>
  <c r="Z470" i="1" s="1"/>
  <c r="AB911" i="1"/>
  <c r="Z911" i="1" s="1"/>
  <c r="T1558" i="1"/>
  <c r="AB1558" i="1" s="1"/>
  <c r="AA1475" i="1"/>
  <c r="Z1475" i="1" s="1"/>
  <c r="Z235" i="1"/>
  <c r="AA1231" i="1"/>
  <c r="Z486" i="1"/>
  <c r="AB496" i="1"/>
  <c r="AB508" i="1"/>
  <c r="Z508" i="1" s="1"/>
  <c r="AB516" i="1"/>
  <c r="Z516" i="1" s="1"/>
  <c r="AB520" i="1"/>
  <c r="Z520" i="1" s="1"/>
  <c r="AA536" i="1"/>
  <c r="Z536" i="1" s="1"/>
  <c r="AA540" i="1"/>
  <c r="AG555" i="1" a="1"/>
  <c r="AG555" i="1" s="1"/>
  <c r="Y555" i="1" s="1"/>
  <c r="AB558" i="1"/>
  <c r="Z558" i="1" s="1"/>
  <c r="AG559" i="1" a="1"/>
  <c r="AG559" i="1" s="1"/>
  <c r="Y559" i="1" s="1"/>
  <c r="AB559" i="1" s="1"/>
  <c r="AG562" i="1" a="1"/>
  <c r="AG562" i="1" s="1"/>
  <c r="Y562" i="1" s="1"/>
  <c r="AB562" i="1" s="1"/>
  <c r="AB565" i="1"/>
  <c r="Z565" i="1" s="1"/>
  <c r="AG569" i="1" a="1"/>
  <c r="AG569" i="1" s="1"/>
  <c r="Y569" i="1" s="1"/>
  <c r="AB569" i="1" s="1"/>
  <c r="Z592" i="1"/>
  <c r="AG596" i="1" a="1"/>
  <c r="AG596" i="1" s="1"/>
  <c r="Y596" i="1" s="1"/>
  <c r="Z600" i="1"/>
  <c r="AB612" i="1"/>
  <c r="AG623" i="1" a="1"/>
  <c r="AG623" i="1" s="1"/>
  <c r="Y623" i="1" s="1"/>
  <c r="AB623" i="1" s="1"/>
  <c r="Z625" i="1"/>
  <c r="AA648" i="1"/>
  <c r="AF651" i="1" a="1"/>
  <c r="AF651" i="1" s="1"/>
  <c r="AG651" i="1" a="1"/>
  <c r="AG651" i="1" s="1"/>
  <c r="Y651" i="1" s="1"/>
  <c r="AB651" i="1" s="1"/>
  <c r="AB655" i="1"/>
  <c r="AF659" i="1" a="1"/>
  <c r="AF659" i="1" s="1"/>
  <c r="AG662" i="1" a="1"/>
  <c r="AG662" i="1" s="1"/>
  <c r="Y662" i="1" s="1"/>
  <c r="AB662" i="1" s="1"/>
  <c r="AF662" i="1" a="1"/>
  <c r="AF662" i="1" s="1"/>
  <c r="AB673" i="1"/>
  <c r="AB678" i="1"/>
  <c r="AA681" i="1"/>
  <c r="AF689" i="1" a="1"/>
  <c r="AF689" i="1" s="1"/>
  <c r="X689" i="1" s="1"/>
  <c r="AA689" i="1" s="1"/>
  <c r="Z689" i="1" s="1"/>
  <c r="AB697" i="1"/>
  <c r="AB700" i="1"/>
  <c r="AA700" i="1"/>
  <c r="Z700" i="1"/>
  <c r="AA705" i="1"/>
  <c r="AF713" i="1" a="1"/>
  <c r="AF713" i="1" s="1"/>
  <c r="X713" i="1" s="1"/>
  <c r="AA713" i="1" s="1"/>
  <c r="AB721" i="1"/>
  <c r="AB724" i="1"/>
  <c r="Z724" i="1" s="1"/>
  <c r="AA724" i="1"/>
  <c r="AA729" i="1"/>
  <c r="AB739" i="1"/>
  <c r="AA739" i="1"/>
  <c r="AA783" i="1"/>
  <c r="Z783" i="1" s="1"/>
  <c r="AG806" i="1" a="1"/>
  <c r="AG806" i="1" s="1"/>
  <c r="Y806" i="1" s="1"/>
  <c r="AF806" i="1" a="1"/>
  <c r="AF806" i="1" s="1"/>
  <c r="X806" i="1" s="1"/>
  <c r="AB1475" i="1"/>
  <c r="AF495" i="1" a="1"/>
  <c r="AF495" i="1" s="1"/>
  <c r="AB557" i="1"/>
  <c r="Z557" i="1" s="1"/>
  <c r="AG597" i="1" a="1"/>
  <c r="AG597" i="1" s="1"/>
  <c r="Y597" i="1" s="1"/>
  <c r="AB597" i="1" s="1"/>
  <c r="Z597" i="1" s="1"/>
  <c r="AF597" i="1" a="1"/>
  <c r="AF597" i="1" s="1"/>
  <c r="X597" i="1" s="1"/>
  <c r="Z615" i="1"/>
  <c r="Z620" i="1"/>
  <c r="AB644" i="1"/>
  <c r="Z644" i="1" s="1"/>
  <c r="AA646" i="1"/>
  <c r="AG660" i="1" a="1"/>
  <c r="AG660" i="1" s="1"/>
  <c r="Y660" i="1" s="1"/>
  <c r="AF660" i="1" a="1"/>
  <c r="AF660" i="1" s="1"/>
  <c r="AG667" i="1" a="1"/>
  <c r="AG667" i="1" s="1"/>
  <c r="Y667" i="1" s="1"/>
  <c r="AF667" i="1" a="1"/>
  <c r="AF667" i="1" s="1"/>
  <c r="AF676" i="1" a="1"/>
  <c r="AF676" i="1" s="1"/>
  <c r="AG676" i="1" a="1"/>
  <c r="AG676" i="1" s="1"/>
  <c r="Y676" i="1" s="1"/>
  <c r="AB676" i="1" s="1"/>
  <c r="AG679" i="1" a="1"/>
  <c r="AG679" i="1" s="1"/>
  <c r="Y679" i="1" s="1"/>
  <c r="AB679" i="1" s="1"/>
  <c r="AF679" i="1" a="1"/>
  <c r="AF679" i="1" s="1"/>
  <c r="AG690" i="1" a="1"/>
  <c r="AG690" i="1" s="1"/>
  <c r="Y690" i="1" s="1"/>
  <c r="AB690" i="1" s="1"/>
  <c r="AF690" i="1" a="1"/>
  <c r="AF690" i="1" s="1"/>
  <c r="X690" i="1" s="1"/>
  <c r="AA690" i="1" s="1"/>
  <c r="AB692" i="1"/>
  <c r="AG714" i="1" a="1"/>
  <c r="AG714" i="1" s="1"/>
  <c r="Y714" i="1" s="1"/>
  <c r="AB714" i="1" s="1"/>
  <c r="AF714" i="1" a="1"/>
  <c r="AF714" i="1" s="1"/>
  <c r="X714" i="1" s="1"/>
  <c r="AB716" i="1"/>
  <c r="AA716" i="1"/>
  <c r="Z716" i="1" s="1"/>
  <c r="AB732" i="1"/>
  <c r="Z732" i="1" s="1"/>
  <c r="AA732" i="1"/>
  <c r="AF755" i="1" a="1"/>
  <c r="AF755" i="1" s="1"/>
  <c r="AG755" i="1" a="1"/>
  <c r="AG755" i="1" s="1"/>
  <c r="Y755" i="1" s="1"/>
  <c r="AB755" i="1" s="1"/>
  <c r="AA761" i="1"/>
  <c r="AG771" i="1" a="1"/>
  <c r="AG771" i="1" s="1"/>
  <c r="Y771" i="1" s="1"/>
  <c r="AB771" i="1" s="1"/>
  <c r="AF771" i="1" a="1"/>
  <c r="AF771" i="1" s="1"/>
  <c r="AB1474" i="1"/>
  <c r="AA510" i="1"/>
  <c r="AA514" i="1"/>
  <c r="AA522" i="1"/>
  <c r="AA526" i="1"/>
  <c r="Z526" i="1" s="1"/>
  <c r="AB542" i="1"/>
  <c r="AA582" i="1"/>
  <c r="Z582" i="1"/>
  <c r="AB589" i="1"/>
  <c r="Z589" i="1" s="1"/>
  <c r="AG658" i="1" a="1"/>
  <c r="AG658" i="1" s="1"/>
  <c r="Y658" i="1" s="1"/>
  <c r="AF658" i="1" a="1"/>
  <c r="AF658" i="1" s="1"/>
  <c r="AG698" i="1" a="1"/>
  <c r="AG698" i="1" s="1"/>
  <c r="Y698" i="1" s="1"/>
  <c r="AB698" i="1" s="1"/>
  <c r="AF698" i="1" a="1"/>
  <c r="AF698" i="1" s="1"/>
  <c r="X698" i="1" s="1"/>
  <c r="AG722" i="1" a="1"/>
  <c r="AG722" i="1" s="1"/>
  <c r="Y722" i="1" s="1"/>
  <c r="AF722" i="1" a="1"/>
  <c r="AF722" i="1" s="1"/>
  <c r="X722" i="1" s="1"/>
  <c r="AA722" i="1" s="1"/>
  <c r="Z722" i="1" s="1"/>
  <c r="AA742" i="1"/>
  <c r="AB747" i="1"/>
  <c r="AA747" i="1"/>
  <c r="Z747" i="1" s="1"/>
  <c r="AA752" i="1"/>
  <c r="Z752" i="1" s="1"/>
  <c r="AB752" i="1"/>
  <c r="AB757" i="1"/>
  <c r="AG764" i="1" a="1"/>
  <c r="AG764" i="1" s="1"/>
  <c r="Y764" i="1" s="1"/>
  <c r="AB764" i="1" s="1"/>
  <c r="AF764" i="1" a="1"/>
  <c r="AF764" i="1" s="1"/>
  <c r="AG774" i="1" a="1"/>
  <c r="AG774" i="1" s="1"/>
  <c r="Y774" i="1" s="1"/>
  <c r="AF774" i="1" a="1"/>
  <c r="AF774" i="1" s="1"/>
  <c r="X774" i="1" s="1"/>
  <c r="AA774" i="1" s="1"/>
  <c r="Z774" i="1" s="1"/>
  <c r="Z791" i="1"/>
  <c r="AB865" i="1"/>
  <c r="AA865" i="1"/>
  <c r="Z865" i="1" s="1"/>
  <c r="AF926" i="1" a="1"/>
  <c r="AF926" i="1" s="1"/>
  <c r="AG926" i="1" a="1"/>
  <c r="AG926" i="1" s="1"/>
  <c r="Y926" i="1" s="1"/>
  <c r="Z538" i="1"/>
  <c r="AB560" i="1"/>
  <c r="AA560" i="1"/>
  <c r="AB943" i="1"/>
  <c r="Z943" i="1" s="1"/>
  <c r="AA943" i="1"/>
  <c r="AG599" i="1" a="1"/>
  <c r="AG599" i="1" s="1"/>
  <c r="Y599" i="1" s="1"/>
  <c r="AB599" i="1" s="1"/>
  <c r="Z599" i="1" s="1"/>
  <c r="AF599" i="1" a="1"/>
  <c r="AF599" i="1" s="1"/>
  <c r="X599" i="1" s="1"/>
  <c r="AB602" i="1"/>
  <c r="Z602" i="1"/>
  <c r="AG607" i="1" a="1"/>
  <c r="AG607" i="1" s="1"/>
  <c r="Y607" i="1" s="1"/>
  <c r="AB607" i="1" s="1"/>
  <c r="AF607" i="1" a="1"/>
  <c r="AF607" i="1" s="1"/>
  <c r="X607" i="1" s="1"/>
  <c r="AG633" i="1" a="1"/>
  <c r="AG633" i="1" s="1"/>
  <c r="Y633" i="1" s="1"/>
  <c r="AB633" i="1" s="1"/>
  <c r="Z633" i="1" s="1"/>
  <c r="AF633" i="1" a="1"/>
  <c r="AF633" i="1" s="1"/>
  <c r="AG635" i="1" a="1"/>
  <c r="AG635" i="1" s="1"/>
  <c r="Y635" i="1" s="1"/>
  <c r="AB635" i="1" s="1"/>
  <c r="AF635" i="1" a="1"/>
  <c r="AF635" i="1" s="1"/>
  <c r="AG637" i="1" a="1"/>
  <c r="AG637" i="1" s="1"/>
  <c r="Y637" i="1" s="1"/>
  <c r="AB637" i="1" s="1"/>
  <c r="AF637" i="1" a="1"/>
  <c r="AF637" i="1" s="1"/>
  <c r="AG639" i="1" a="1"/>
  <c r="AG639" i="1" s="1"/>
  <c r="Y639" i="1" s="1"/>
  <c r="AB639" i="1" s="1"/>
  <c r="Z639" i="1" s="1"/>
  <c r="AF639" i="1" a="1"/>
  <c r="AF639" i="1" s="1"/>
  <c r="AG641" i="1" a="1"/>
  <c r="AG641" i="1" s="1"/>
  <c r="Y641" i="1" s="1"/>
  <c r="AB641" i="1" s="1"/>
  <c r="Z641" i="1" s="1"/>
  <c r="AF641" i="1" a="1"/>
  <c r="AF641" i="1" s="1"/>
  <c r="AG643" i="1" a="1"/>
  <c r="AG643" i="1" s="1"/>
  <c r="Y643" i="1" s="1"/>
  <c r="AB643" i="1" s="1"/>
  <c r="Z643" i="1" s="1"/>
  <c r="AF643" i="1" a="1"/>
  <c r="AF643" i="1" s="1"/>
  <c r="AB660" i="1"/>
  <c r="AA682" i="1"/>
  <c r="AA687" i="1"/>
  <c r="AB703" i="1"/>
  <c r="AB706" i="1"/>
  <c r="AA706" i="1"/>
  <c r="AA711" i="1"/>
  <c r="AA714" i="1"/>
  <c r="AB727" i="1"/>
  <c r="AG740" i="1" a="1"/>
  <c r="AG740" i="1" s="1"/>
  <c r="Y740" i="1" s="1"/>
  <c r="AF740" i="1" a="1"/>
  <c r="AF740" i="1" s="1"/>
  <c r="AA771" i="1"/>
  <c r="Z771" i="1" s="1"/>
  <c r="Z779" i="1"/>
  <c r="AF787" i="1" a="1"/>
  <c r="AF787" i="1" s="1"/>
  <c r="X787" i="1" s="1"/>
  <c r="AG787" i="1" a="1"/>
  <c r="AG787" i="1" s="1"/>
  <c r="Y787" i="1" s="1"/>
  <c r="AA814" i="1"/>
  <c r="Z814" i="1" s="1"/>
  <c r="AB814" i="1"/>
  <c r="AF822" i="1" a="1"/>
  <c r="AF822" i="1" s="1"/>
  <c r="AG822" i="1" a="1"/>
  <c r="AG822" i="1" s="1"/>
  <c r="Y822" i="1" s="1"/>
  <c r="Z853" i="1"/>
  <c r="AB853" i="1"/>
  <c r="AA853" i="1"/>
  <c r="AF481" i="1" a="1"/>
  <c r="AF481" i="1" s="1"/>
  <c r="X481" i="1" s="1"/>
  <c r="AF486" i="1" a="1"/>
  <c r="AF486" i="1" s="1"/>
  <c r="AB545" i="1"/>
  <c r="Z545" i="1" s="1"/>
  <c r="AB591" i="1"/>
  <c r="Z591" i="1" s="1"/>
  <c r="AA611" i="1"/>
  <c r="AB622" i="1"/>
  <c r="Z622" i="1" s="1"/>
  <c r="AG627" i="1" a="1"/>
  <c r="AG627" i="1" s="1"/>
  <c r="Y627" i="1" s="1"/>
  <c r="AB627" i="1" s="1"/>
  <c r="Z627" i="1" s="1"/>
  <c r="AG647" i="1" a="1"/>
  <c r="AG647" i="1" s="1"/>
  <c r="Y647" i="1" s="1"/>
  <c r="AF647" i="1" a="1"/>
  <c r="AF647" i="1" s="1"/>
  <c r="AB656" i="1"/>
  <c r="AF663" i="1" a="1"/>
  <c r="AF663" i="1" s="1"/>
  <c r="AG663" i="1" a="1"/>
  <c r="AG663" i="1" s="1"/>
  <c r="Y663" i="1" s="1"/>
  <c r="AB667" i="1"/>
  <c r="AG674" i="1" a="1"/>
  <c r="AG674" i="1" s="1"/>
  <c r="Y674" i="1" s="1"/>
  <c r="AB674" i="1" s="1"/>
  <c r="AF674" i="1" a="1"/>
  <c r="AF674" i="1" s="1"/>
  <c r="AG682" i="1" a="1"/>
  <c r="AG682" i="1" s="1"/>
  <c r="Y682" i="1" s="1"/>
  <c r="AB682" i="1" s="1"/>
  <c r="AG696" i="1" a="1"/>
  <c r="AG696" i="1" s="1"/>
  <c r="Y696" i="1" s="1"/>
  <c r="AB696" i="1" s="1"/>
  <c r="AF696" i="1" a="1"/>
  <c r="AF696" i="1" s="1"/>
  <c r="X696" i="1" s="1"/>
  <c r="AA696" i="1" s="1"/>
  <c r="AA698" i="1"/>
  <c r="AG706" i="1" a="1"/>
  <c r="AG706" i="1" s="1"/>
  <c r="Y706" i="1" s="1"/>
  <c r="AG720" i="1" a="1"/>
  <c r="AG720" i="1" s="1"/>
  <c r="Y720" i="1" s="1"/>
  <c r="AF720" i="1" a="1"/>
  <c r="AF720" i="1" s="1"/>
  <c r="X720" i="1" s="1"/>
  <c r="AA720" i="1" s="1"/>
  <c r="AB722" i="1"/>
  <c r="AA730" i="1"/>
  <c r="AB735" i="1"/>
  <c r="Z735" i="1" s="1"/>
  <c r="AA735" i="1"/>
  <c r="AB745" i="1"/>
  <c r="AF810" i="1" a="1"/>
  <c r="AF810" i="1" s="1"/>
  <c r="X810" i="1" s="1"/>
  <c r="AG810" i="1" a="1"/>
  <c r="AG810" i="1" s="1"/>
  <c r="Y810" i="1" s="1"/>
  <c r="AF887" i="1" a="1"/>
  <c r="AF887" i="1" s="1"/>
  <c r="AG887" i="1" a="1"/>
  <c r="AG887" i="1" s="1"/>
  <c r="AF942" i="1" a="1"/>
  <c r="AF942" i="1" s="1"/>
  <c r="X942" i="1" s="1"/>
  <c r="AA942" i="1" s="1"/>
  <c r="Z942" i="1" s="1"/>
  <c r="AA490" i="1"/>
  <c r="Z490" i="1" s="1"/>
  <c r="AB530" i="1"/>
  <c r="Z530" i="1" s="1"/>
  <c r="AA542" i="1"/>
  <c r="Z542" i="1" s="1"/>
  <c r="AB546" i="1"/>
  <c r="Z546" i="1" s="1"/>
  <c r="AG551" i="1" a="1"/>
  <c r="AG551" i="1" s="1"/>
  <c r="Y551" i="1" s="1"/>
  <c r="AF551" i="1" a="1"/>
  <c r="AF551" i="1" s="1"/>
  <c r="AF561" i="1" a="1"/>
  <c r="AF561" i="1" s="1"/>
  <c r="X561" i="1" s="1"/>
  <c r="AA561" i="1" s="1"/>
  <c r="Z561" i="1" s="1"/>
  <c r="AB563" i="1"/>
  <c r="AA563" i="1"/>
  <c r="AB566" i="1"/>
  <c r="AA566" i="1"/>
  <c r="AA567" i="1"/>
  <c r="AB52" i="1"/>
  <c r="Z52" i="1" s="1"/>
  <c r="AG605" i="1" a="1"/>
  <c r="AG605" i="1" s="1"/>
  <c r="Y605" i="1" s="1"/>
  <c r="AB605" i="1" s="1"/>
  <c r="Z605" i="1" s="1"/>
  <c r="AB611" i="1"/>
  <c r="AG613" i="1" a="1"/>
  <c r="AG613" i="1" s="1"/>
  <c r="Y613" i="1" s="1"/>
  <c r="AB613" i="1" s="1"/>
  <c r="AF613" i="1" a="1"/>
  <c r="AF613" i="1" s="1"/>
  <c r="X613" i="1" s="1"/>
  <c r="AA613" i="1" s="1"/>
  <c r="Z613" i="1" s="1"/>
  <c r="Z624" i="1"/>
  <c r="AB629" i="1"/>
  <c r="Z629" i="1" s="1"/>
  <c r="AG672" i="1" a="1"/>
  <c r="AG672" i="1" s="1"/>
  <c r="Y672" i="1" s="1"/>
  <c r="AB672" i="1" s="1"/>
  <c r="AF672" i="1" a="1"/>
  <c r="AF672" i="1" s="1"/>
  <c r="AG680" i="1" a="1"/>
  <c r="AG680" i="1" s="1"/>
  <c r="Y680" i="1" s="1"/>
  <c r="AF680" i="1" a="1"/>
  <c r="AF680" i="1" s="1"/>
  <c r="X680" i="1" s="1"/>
  <c r="AG704" i="1" a="1"/>
  <c r="AG704" i="1" s="1"/>
  <c r="Y704" i="1" s="1"/>
  <c r="AF704" i="1" a="1"/>
  <c r="AF704" i="1" s="1"/>
  <c r="X704" i="1" s="1"/>
  <c r="AA704" i="1" s="1"/>
  <c r="AG728" i="1" a="1"/>
  <c r="AG728" i="1" s="1"/>
  <c r="Y728" i="1" s="1"/>
  <c r="AB728" i="1" s="1"/>
  <c r="AF728" i="1" a="1"/>
  <c r="AF728" i="1" s="1"/>
  <c r="AB740" i="1"/>
  <c r="AA740" i="1"/>
  <c r="Z740" i="1"/>
  <c r="AB822" i="1"/>
  <c r="AA822" i="1"/>
  <c r="Z822" i="1" s="1"/>
  <c r="AF488" i="1" a="1"/>
  <c r="AF488" i="1" s="1"/>
  <c r="AA491" i="1"/>
  <c r="AB510" i="1"/>
  <c r="Z510" i="1" s="1"/>
  <c r="AB514" i="1"/>
  <c r="Z514" i="1" s="1"/>
  <c r="AB522" i="1"/>
  <c r="Z522" i="1" s="1"/>
  <c r="AA538" i="1"/>
  <c r="AB541" i="1"/>
  <c r="AB548" i="1"/>
  <c r="AA549" i="1"/>
  <c r="Z549" i="1" s="1"/>
  <c r="AB567" i="1"/>
  <c r="Z567" i="1" s="1"/>
  <c r="AB207" i="1"/>
  <c r="AB586" i="1"/>
  <c r="Z586" i="1" s="1"/>
  <c r="Z588" i="1"/>
  <c r="AB614" i="1"/>
  <c r="Z631" i="1"/>
  <c r="AF652" i="1" a="1"/>
  <c r="AF652" i="1" s="1"/>
  <c r="AG652" i="1" a="1"/>
  <c r="AG652" i="1" s="1"/>
  <c r="Y652" i="1" s="1"/>
  <c r="AB652" i="1" s="1"/>
  <c r="AB658" i="1"/>
  <c r="AG670" i="1" a="1"/>
  <c r="AG670" i="1" s="1"/>
  <c r="Y670" i="1" s="1"/>
  <c r="AB670" i="1" s="1"/>
  <c r="AF670" i="1" a="1"/>
  <c r="AF670" i="1" s="1"/>
  <c r="AB688" i="1"/>
  <c r="Z688" i="1" s="1"/>
  <c r="AA688" i="1"/>
  <c r="AA693" i="1"/>
  <c r="AB712" i="1"/>
  <c r="AA712" i="1"/>
  <c r="AA717" i="1"/>
  <c r="AB733" i="1"/>
  <c r="AG736" i="1" a="1"/>
  <c r="AG736" i="1" s="1"/>
  <c r="Y736" i="1" s="1"/>
  <c r="AF736" i="1" a="1"/>
  <c r="AF736" i="1" s="1"/>
  <c r="AG746" i="1" a="1"/>
  <c r="AG746" i="1" s="1"/>
  <c r="Y746" i="1" s="1"/>
  <c r="AB746" i="1" s="1"/>
  <c r="Z746" i="1" s="1"/>
  <c r="AF746" i="1" a="1"/>
  <c r="AF746" i="1" s="1"/>
  <c r="Z769" i="1"/>
  <c r="AF775" i="1" a="1"/>
  <c r="AF775" i="1" s="1"/>
  <c r="X775" i="1" s="1"/>
  <c r="AG775" i="1" a="1"/>
  <c r="AG775" i="1" s="1"/>
  <c r="Y775" i="1" s="1"/>
  <c r="AA807" i="1"/>
  <c r="Z807" i="1" s="1"/>
  <c r="AF823" i="1" a="1"/>
  <c r="AF823" i="1" s="1"/>
  <c r="AG823" i="1" a="1"/>
  <c r="AG823" i="1" s="1"/>
  <c r="Y823" i="1" s="1"/>
  <c r="AB823" i="1" s="1"/>
  <c r="AB825" i="1"/>
  <c r="Z825" i="1" s="1"/>
  <c r="AA825" i="1"/>
  <c r="AA884" i="1"/>
  <c r="AB884" i="1"/>
  <c r="AA500" i="1"/>
  <c r="Z500" i="1" s="1"/>
  <c r="AA529" i="1"/>
  <c r="Z529" i="1" s="1"/>
  <c r="AB538" i="1"/>
  <c r="Z544" i="1"/>
  <c r="AB555" i="1"/>
  <c r="Z555" i="1" s="1"/>
  <c r="AA569" i="1"/>
  <c r="AB574" i="1"/>
  <c r="Z574" i="1" s="1"/>
  <c r="AF591" i="1" a="1"/>
  <c r="AF591" i="1" s="1"/>
  <c r="X591" i="1" s="1"/>
  <c r="AB604" i="1"/>
  <c r="Z604" i="1" s="1"/>
  <c r="AA607" i="1"/>
  <c r="Z607" i="1" s="1"/>
  <c r="AB610" i="1"/>
  <c r="AA610" i="1"/>
  <c r="Z610" i="1" s="1"/>
  <c r="AG624" i="1" a="1"/>
  <c r="AG624" i="1" s="1"/>
  <c r="Y624" i="1" s="1"/>
  <c r="AB624" i="1" s="1"/>
  <c r="Z635" i="1"/>
  <c r="Z637" i="1"/>
  <c r="AB645" i="1"/>
  <c r="AA645" i="1"/>
  <c r="Z645" i="1" s="1"/>
  <c r="AB647" i="1"/>
  <c r="AA647" i="1"/>
  <c r="AB680" i="1"/>
  <c r="AA680" i="1"/>
  <c r="AG702" i="1" a="1"/>
  <c r="AG702" i="1" s="1"/>
  <c r="Y702" i="1" s="1"/>
  <c r="AB702" i="1" s="1"/>
  <c r="AF702" i="1" a="1"/>
  <c r="AF702" i="1" s="1"/>
  <c r="X702" i="1" s="1"/>
  <c r="AB704" i="1"/>
  <c r="AB720" i="1"/>
  <c r="AG726" i="1" a="1"/>
  <c r="AG726" i="1" s="1"/>
  <c r="Y726" i="1" s="1"/>
  <c r="AB726" i="1" s="1"/>
  <c r="AF726" i="1" a="1"/>
  <c r="AF726" i="1" s="1"/>
  <c r="X726" i="1" s="1"/>
  <c r="AA726" i="1" s="1"/>
  <c r="Z726" i="1" s="1"/>
  <c r="AA728" i="1"/>
  <c r="AB738" i="1"/>
  <c r="Z738" i="1" s="1"/>
  <c r="AG741" i="1" a="1"/>
  <c r="AG741" i="1" s="1"/>
  <c r="Y741" i="1" s="1"/>
  <c r="AB741" i="1" s="1"/>
  <c r="Z741" i="1" s="1"/>
  <c r="AF741" i="1" a="1"/>
  <c r="AF741" i="1" s="1"/>
  <c r="AB748" i="1"/>
  <c r="Z748" i="1" s="1"/>
  <c r="AA748" i="1"/>
  <c r="AF751" i="1" a="1"/>
  <c r="AF751" i="1" s="1"/>
  <c r="AG751" i="1" a="1"/>
  <c r="AG751" i="1" s="1"/>
  <c r="Y751" i="1" s="1"/>
  <c r="AB751" i="1" s="1"/>
  <c r="Z751" i="1" s="1"/>
  <c r="AG788" i="1" a="1"/>
  <c r="AG788" i="1" s="1"/>
  <c r="Y788" i="1" s="1"/>
  <c r="AF788" i="1" a="1"/>
  <c r="AF788" i="1" s="1"/>
  <c r="X788" i="1" s="1"/>
  <c r="AA788" i="1" s="1"/>
  <c r="Z788" i="1" s="1"/>
  <c r="AG795" i="1" a="1"/>
  <c r="AG795" i="1" s="1"/>
  <c r="Y795" i="1" s="1"/>
  <c r="AF795" i="1" a="1"/>
  <c r="AF795" i="1" s="1"/>
  <c r="X795" i="1" s="1"/>
  <c r="AF1558" i="1" a="1"/>
  <c r="AF1558" i="1" s="1"/>
  <c r="X1558" i="1" s="1"/>
  <c r="AA1558" i="1" s="1"/>
  <c r="AA551" i="1"/>
  <c r="AB596" i="1"/>
  <c r="Z596" i="1" s="1"/>
  <c r="AB601" i="1"/>
  <c r="Z601" i="1" s="1"/>
  <c r="AG650" i="1" a="1"/>
  <c r="AG650" i="1" s="1"/>
  <c r="Y650" i="1" s="1"/>
  <c r="AB650" i="1" s="1"/>
  <c r="AF650" i="1" a="1"/>
  <c r="AF650" i="1" s="1"/>
  <c r="AB661" i="1"/>
  <c r="AB663" i="1"/>
  <c r="AB668" i="1"/>
  <c r="AF675" i="1" a="1"/>
  <c r="AF675" i="1" s="1"/>
  <c r="AG675" i="1" a="1"/>
  <c r="AG675" i="1" s="1"/>
  <c r="Y675" i="1" s="1"/>
  <c r="AB675" i="1" s="1"/>
  <c r="AG686" i="1" a="1"/>
  <c r="AG686" i="1" s="1"/>
  <c r="Y686" i="1" s="1"/>
  <c r="AB686" i="1" s="1"/>
  <c r="AF686" i="1" a="1"/>
  <c r="AF686" i="1" s="1"/>
  <c r="X686" i="1" s="1"/>
  <c r="AA686" i="1" s="1"/>
  <c r="AG710" i="1" a="1"/>
  <c r="AG710" i="1" s="1"/>
  <c r="Y710" i="1" s="1"/>
  <c r="AF710" i="1" a="1"/>
  <c r="AF710" i="1" s="1"/>
  <c r="X710" i="1" s="1"/>
  <c r="AG734" i="1" a="1"/>
  <c r="AG734" i="1" s="1"/>
  <c r="Y734" i="1" s="1"/>
  <c r="AF734" i="1" a="1"/>
  <c r="AF734" i="1" s="1"/>
  <c r="AB736" i="1"/>
  <c r="AA736" i="1"/>
  <c r="Z736" i="1" s="1"/>
  <c r="AB772" i="1"/>
  <c r="AA772" i="1"/>
  <c r="Z772" i="1" s="1"/>
  <c r="AA935" i="1"/>
  <c r="Z935" i="1" s="1"/>
  <c r="AA494" i="1"/>
  <c r="Z528" i="1"/>
  <c r="AA541" i="1"/>
  <c r="AA548" i="1"/>
  <c r="AA559" i="1"/>
  <c r="AF574" i="1" a="1"/>
  <c r="AF574" i="1" s="1"/>
  <c r="AG587" i="1" a="1"/>
  <c r="AG587" i="1" s="1"/>
  <c r="Y587" i="1" s="1"/>
  <c r="AB587" i="1" s="1"/>
  <c r="Z587" i="1" s="1"/>
  <c r="AF587" i="1" a="1"/>
  <c r="AF587" i="1" s="1"/>
  <c r="X587" i="1" s="1"/>
  <c r="AB590" i="1"/>
  <c r="Z590" i="1"/>
  <c r="AF604" i="1" a="1"/>
  <c r="AF604" i="1" s="1"/>
  <c r="X604" i="1" s="1"/>
  <c r="Z616" i="1"/>
  <c r="AB621" i="1"/>
  <c r="Z621" i="1" s="1"/>
  <c r="AG626" i="1" a="1"/>
  <c r="AG626" i="1" s="1"/>
  <c r="Y626" i="1" s="1"/>
  <c r="AB626" i="1" s="1"/>
  <c r="Z626" i="1" s="1"/>
  <c r="Z628" i="1"/>
  <c r="AG632" i="1" a="1"/>
  <c r="AG632" i="1" s="1"/>
  <c r="Y632" i="1" s="1"/>
  <c r="AB632" i="1" s="1"/>
  <c r="Z632" i="1" s="1"/>
  <c r="AF632" i="1" a="1"/>
  <c r="AF632" i="1" s="1"/>
  <c r="AG634" i="1" a="1"/>
  <c r="AG634" i="1" s="1"/>
  <c r="Y634" i="1" s="1"/>
  <c r="AB634" i="1" s="1"/>
  <c r="Z634" i="1" s="1"/>
  <c r="AF634" i="1" a="1"/>
  <c r="AF634" i="1" s="1"/>
  <c r="AG636" i="1" a="1"/>
  <c r="AG636" i="1" s="1"/>
  <c r="Y636" i="1" s="1"/>
  <c r="AB636" i="1" s="1"/>
  <c r="Z636" i="1" s="1"/>
  <c r="AF636" i="1" a="1"/>
  <c r="AF636" i="1" s="1"/>
  <c r="AG638" i="1" a="1"/>
  <c r="AG638" i="1" s="1"/>
  <c r="Y638" i="1" s="1"/>
  <c r="AB638" i="1" s="1"/>
  <c r="Z638" i="1" s="1"/>
  <c r="AF638" i="1" a="1"/>
  <c r="AF638" i="1" s="1"/>
  <c r="AG640" i="1" a="1"/>
  <c r="AG640" i="1" s="1"/>
  <c r="Y640" i="1" s="1"/>
  <c r="AB640" i="1" s="1"/>
  <c r="Z640" i="1" s="1"/>
  <c r="AF640" i="1" a="1"/>
  <c r="AF640" i="1" s="1"/>
  <c r="AG642" i="1" a="1"/>
  <c r="AG642" i="1" s="1"/>
  <c r="Y642" i="1" s="1"/>
  <c r="AB642" i="1" s="1"/>
  <c r="Z642" i="1" s="1"/>
  <c r="AF642" i="1" a="1"/>
  <c r="AF642" i="1" s="1"/>
  <c r="AG655" i="1" a="1"/>
  <c r="AG655" i="1" s="1"/>
  <c r="Y655" i="1" s="1"/>
  <c r="AF655" i="1" a="1"/>
  <c r="AF655" i="1" s="1"/>
  <c r="AB694" i="1"/>
  <c r="AA694" i="1"/>
  <c r="AA699" i="1"/>
  <c r="AA702" i="1"/>
  <c r="Z702" i="1" s="1"/>
  <c r="AF707" i="1" a="1"/>
  <c r="AF707" i="1" s="1"/>
  <c r="X707" i="1" s="1"/>
  <c r="AA707" i="1" s="1"/>
  <c r="AB715" i="1"/>
  <c r="AB718" i="1"/>
  <c r="Z718" i="1" s="1"/>
  <c r="AA718" i="1"/>
  <c r="AA723" i="1"/>
  <c r="AG729" i="1" a="1"/>
  <c r="AG729" i="1" s="1"/>
  <c r="Y729" i="1" s="1"/>
  <c r="AB729" i="1" s="1"/>
  <c r="Z729" i="1" s="1"/>
  <c r="AF729" i="1" a="1"/>
  <c r="AF729" i="1" s="1"/>
  <c r="AG744" i="1" a="1"/>
  <c r="AG744" i="1" s="1"/>
  <c r="Y744" i="1" s="1"/>
  <c r="AB744" i="1" s="1"/>
  <c r="Z744" i="1" s="1"/>
  <c r="AF744" i="1" a="1"/>
  <c r="AF744" i="1" s="1"/>
  <c r="AA775" i="1"/>
  <c r="Z775" i="1"/>
  <c r="AG778" i="1" a="1"/>
  <c r="AG778" i="1" s="1"/>
  <c r="Y778" i="1" s="1"/>
  <c r="AF778" i="1" a="1"/>
  <c r="AF778" i="1" s="1"/>
  <c r="X778" i="1" s="1"/>
  <c r="AA778" i="1" s="1"/>
  <c r="Z778" i="1" s="1"/>
  <c r="AA795" i="1"/>
  <c r="Z795" i="1" s="1"/>
  <c r="AB836" i="1"/>
  <c r="AA836" i="1"/>
  <c r="AA857" i="1"/>
  <c r="AA537" i="1"/>
  <c r="Z537" i="1" s="1"/>
  <c r="AB551" i="1"/>
  <c r="AG553" i="1" a="1"/>
  <c r="AG553" i="1" s="1"/>
  <c r="Y553" i="1" s="1"/>
  <c r="AB553" i="1" s="1"/>
  <c r="Z553" i="1" s="1"/>
  <c r="AF553" i="1" a="1"/>
  <c r="AF553" i="1" s="1"/>
  <c r="Z562" i="1"/>
  <c r="AB1233" i="1"/>
  <c r="Z1233" i="1" s="1"/>
  <c r="AB603" i="1"/>
  <c r="Z603" i="1" s="1"/>
  <c r="AB606" i="1"/>
  <c r="Z606" i="1" s="1"/>
  <c r="Z623" i="1"/>
  <c r="AB628" i="1"/>
  <c r="AA650" i="1"/>
  <c r="AF664" i="1" a="1"/>
  <c r="AF664" i="1" s="1"/>
  <c r="AG664" i="1" a="1"/>
  <c r="AG664" i="1" s="1"/>
  <c r="Y664" i="1" s="1"/>
  <c r="AB664" i="1" s="1"/>
  <c r="AG684" i="1" a="1"/>
  <c r="AG684" i="1" s="1"/>
  <c r="Y684" i="1" s="1"/>
  <c r="AB684" i="1" s="1"/>
  <c r="AF684" i="1" a="1"/>
  <c r="AF684" i="1" s="1"/>
  <c r="X684" i="1" s="1"/>
  <c r="AA684" i="1" s="1"/>
  <c r="Z684" i="1" s="1"/>
  <c r="AG708" i="1" a="1"/>
  <c r="AG708" i="1" s="1"/>
  <c r="Y708" i="1" s="1"/>
  <c r="AB708" i="1" s="1"/>
  <c r="AF708" i="1" a="1"/>
  <c r="AF708" i="1" s="1"/>
  <c r="X708" i="1" s="1"/>
  <c r="AA708" i="1" s="1"/>
  <c r="Z708" i="1" s="1"/>
  <c r="AB710" i="1"/>
  <c r="AA710" i="1"/>
  <c r="AG737" i="1" a="1"/>
  <c r="AG737" i="1" s="1"/>
  <c r="Y737" i="1" s="1"/>
  <c r="AB737" i="1" s="1"/>
  <c r="Z737" i="1" s="1"/>
  <c r="AF737" i="1" a="1"/>
  <c r="AF737" i="1" s="1"/>
  <c r="AA741" i="1"/>
  <c r="Z780" i="1"/>
  <c r="AG816" i="1" a="1"/>
  <c r="AG816" i="1" s="1"/>
  <c r="Y816" i="1" s="1"/>
  <c r="AB816" i="1" s="1"/>
  <c r="Z816" i="1" s="1"/>
  <c r="AF816" i="1" a="1"/>
  <c r="AF816" i="1" s="1"/>
  <c r="AG824" i="1" a="1"/>
  <c r="AG824" i="1" s="1"/>
  <c r="Y824" i="1" s="1"/>
  <c r="AB824" i="1" s="1"/>
  <c r="AF824" i="1" a="1"/>
  <c r="AF824" i="1" s="1"/>
  <c r="AG648" i="1" a="1"/>
  <c r="AG648" i="1" s="1"/>
  <c r="Y648" i="1" s="1"/>
  <c r="AB648" i="1" s="1"/>
  <c r="AG730" i="1" a="1"/>
  <c r="AG730" i="1" s="1"/>
  <c r="Y730" i="1" s="1"/>
  <c r="AB730" i="1" s="1"/>
  <c r="AB734" i="1"/>
  <c r="AG742" i="1" a="1"/>
  <c r="AG742" i="1" s="1"/>
  <c r="Y742" i="1" s="1"/>
  <c r="AB742" i="1" s="1"/>
  <c r="Z742" i="1" s="1"/>
  <c r="AA799" i="1"/>
  <c r="Z799" i="1"/>
  <c r="AB812" i="1"/>
  <c r="AA812" i="1"/>
  <c r="AB818" i="1"/>
  <c r="AA818" i="1"/>
  <c r="Z818" i="1" s="1"/>
  <c r="AA831" i="1"/>
  <c r="AG843" i="1" a="1"/>
  <c r="AG843" i="1" s="1"/>
  <c r="Y843" i="1" s="1"/>
  <c r="AB843" i="1" s="1"/>
  <c r="Z843" i="1" s="1"/>
  <c r="AF843" i="1" a="1"/>
  <c r="AF843" i="1" s="1"/>
  <c r="AA847" i="1"/>
  <c r="AB849" i="1"/>
  <c r="AB851" i="1"/>
  <c r="AA869" i="1"/>
  <c r="AF875" i="1" a="1"/>
  <c r="AF875" i="1" s="1"/>
  <c r="AG875" i="1" a="1"/>
  <c r="AG875" i="1" s="1"/>
  <c r="Y875" i="1" s="1"/>
  <c r="AB875" i="1" s="1"/>
  <c r="AF882" i="1" a="1"/>
  <c r="AF882" i="1" s="1"/>
  <c r="AG882" i="1" a="1"/>
  <c r="AG882" i="1" s="1"/>
  <c r="Y882" i="1" s="1"/>
  <c r="AB882" i="1" s="1"/>
  <c r="Z882" i="1" s="1"/>
  <c r="AB248" i="1"/>
  <c r="AA248" i="1"/>
  <c r="Z248" i="1"/>
  <c r="AB577" i="1"/>
  <c r="Z577" i="1" s="1"/>
  <c r="AA968" i="1"/>
  <c r="AA1009" i="1"/>
  <c r="AB1009" i="1"/>
  <c r="AG594" i="1" a="1"/>
  <c r="AG594" i="1" s="1"/>
  <c r="Y594" i="1" s="1"/>
  <c r="AB594" i="1" s="1"/>
  <c r="Z594" i="1" s="1"/>
  <c r="AG649" i="1" a="1"/>
  <c r="AG649" i="1" s="1"/>
  <c r="Y649" i="1" s="1"/>
  <c r="AB649" i="1" s="1"/>
  <c r="Z649" i="1" s="1"/>
  <c r="AG681" i="1" a="1"/>
  <c r="AG681" i="1" s="1"/>
  <c r="Y681" i="1" s="1"/>
  <c r="AB681" i="1" s="1"/>
  <c r="AB683" i="1"/>
  <c r="Z683" i="1" s="1"/>
  <c r="AG687" i="1" a="1"/>
  <c r="AG687" i="1" s="1"/>
  <c r="Y687" i="1" s="1"/>
  <c r="AB687" i="1" s="1"/>
  <c r="Z687" i="1" s="1"/>
  <c r="AB689" i="1"/>
  <c r="AG693" i="1" a="1"/>
  <c r="AG693" i="1" s="1"/>
  <c r="Y693" i="1" s="1"/>
  <c r="AB693" i="1" s="1"/>
  <c r="AB695" i="1"/>
  <c r="Z695" i="1" s="1"/>
  <c r="AG699" i="1" a="1"/>
  <c r="AG699" i="1" s="1"/>
  <c r="Y699" i="1" s="1"/>
  <c r="AB699" i="1" s="1"/>
  <c r="Z699" i="1" s="1"/>
  <c r="AG705" i="1" a="1"/>
  <c r="AG705" i="1" s="1"/>
  <c r="Y705" i="1" s="1"/>
  <c r="AB705" i="1" s="1"/>
  <c r="Z705" i="1" s="1"/>
  <c r="AB707" i="1"/>
  <c r="AG711" i="1" a="1"/>
  <c r="AG711" i="1" s="1"/>
  <c r="Y711" i="1" s="1"/>
  <c r="AB711" i="1" s="1"/>
  <c r="AB713" i="1"/>
  <c r="AG717" i="1" a="1"/>
  <c r="AG717" i="1" s="1"/>
  <c r="Y717" i="1" s="1"/>
  <c r="AB717" i="1" s="1"/>
  <c r="Z717" i="1" s="1"/>
  <c r="AB719" i="1"/>
  <c r="Z719" i="1" s="1"/>
  <c r="AG723" i="1" a="1"/>
  <c r="AG723" i="1" s="1"/>
  <c r="Y723" i="1" s="1"/>
  <c r="AB723" i="1" s="1"/>
  <c r="Z723" i="1" s="1"/>
  <c r="AB725" i="1"/>
  <c r="Z725" i="1" s="1"/>
  <c r="AG731" i="1" a="1"/>
  <c r="AG731" i="1" s="1"/>
  <c r="Y731" i="1" s="1"/>
  <c r="AB731" i="1" s="1"/>
  <c r="Z731" i="1" s="1"/>
  <c r="AG743" i="1" a="1"/>
  <c r="AG743" i="1" s="1"/>
  <c r="Y743" i="1" s="1"/>
  <c r="AB743" i="1" s="1"/>
  <c r="Z743" i="1" s="1"/>
  <c r="AB753" i="1"/>
  <c r="AF754" i="1" a="1"/>
  <c r="AF754" i="1" s="1"/>
  <c r="AG756" i="1" a="1"/>
  <c r="AG756" i="1" s="1"/>
  <c r="Y756" i="1" s="1"/>
  <c r="AB756" i="1" s="1"/>
  <c r="Z756" i="1" s="1"/>
  <c r="AF756" i="1" a="1"/>
  <c r="AF756" i="1" s="1"/>
  <c r="AA764" i="1"/>
  <c r="Z764" i="1"/>
  <c r="AF802" i="1" a="1"/>
  <c r="AF802" i="1" s="1"/>
  <c r="X802" i="1" s="1"/>
  <c r="AA802" i="1" s="1"/>
  <c r="Z802" i="1" s="1"/>
  <c r="AG809" i="1" a="1"/>
  <c r="AG809" i="1" s="1"/>
  <c r="Y809" i="1" s="1"/>
  <c r="AF809" i="1" a="1"/>
  <c r="AF809" i="1" s="1"/>
  <c r="X809" i="1" s="1"/>
  <c r="AA809" i="1" s="1"/>
  <c r="Z809" i="1" s="1"/>
  <c r="AB841" i="1"/>
  <c r="Z841" i="1" s="1"/>
  <c r="AA845" i="1"/>
  <c r="AA851" i="1"/>
  <c r="AG857" i="1" a="1"/>
  <c r="AG857" i="1" s="1"/>
  <c r="Y857" i="1" s="1"/>
  <c r="AB857" i="1" s="1"/>
  <c r="AF857" i="1" a="1"/>
  <c r="AF857" i="1" s="1"/>
  <c r="AG867" i="1" a="1"/>
  <c r="AG867" i="1" s="1"/>
  <c r="Y867" i="1" s="1"/>
  <c r="AB867" i="1" s="1"/>
  <c r="AF867" i="1" a="1"/>
  <c r="AF867" i="1" s="1"/>
  <c r="AA878" i="1"/>
  <c r="AA246" i="1"/>
  <c r="Z246" i="1" s="1"/>
  <c r="AB246" i="1"/>
  <c r="AF931" i="1" a="1"/>
  <c r="AF931" i="1" s="1"/>
  <c r="AG931" i="1" a="1"/>
  <c r="AG931" i="1" s="1"/>
  <c r="Y931" i="1" s="1"/>
  <c r="AB931" i="1" s="1"/>
  <c r="Z931" i="1" s="1"/>
  <c r="AG921" i="1" a="1"/>
  <c r="AG921" i="1" s="1"/>
  <c r="Y921" i="1" s="1"/>
  <c r="AB921" i="1" s="1"/>
  <c r="AF921" i="1" a="1"/>
  <c r="AF921" i="1" s="1"/>
  <c r="AF185" i="1" a="1"/>
  <c r="AF185" i="1" s="1"/>
  <c r="X185" i="1" s="1"/>
  <c r="AF1621" i="1" a="1"/>
  <c r="AF1621" i="1" s="1"/>
  <c r="X1621" i="1" s="1"/>
  <c r="AF210" i="1" a="1"/>
  <c r="AF210" i="1" s="1"/>
  <c r="X210" i="1" s="1"/>
  <c r="AF223" i="1" a="1"/>
  <c r="AF223" i="1" s="1"/>
  <c r="X223" i="1" s="1"/>
  <c r="AF245" i="1" a="1"/>
  <c r="AF245" i="1" s="1"/>
  <c r="X245" i="1" s="1"/>
  <c r="AF582" i="1" a="1"/>
  <c r="AF582" i="1" s="1"/>
  <c r="AF583" i="1" a="1"/>
  <c r="AF583" i="1" s="1"/>
  <c r="AF584" i="1" a="1"/>
  <c r="AF584" i="1" s="1"/>
  <c r="AF585" i="1" a="1"/>
  <c r="AF585" i="1" s="1"/>
  <c r="AA753" i="1"/>
  <c r="AF765" i="1" a="1"/>
  <c r="AF765" i="1" s="1"/>
  <c r="AF776" i="1" a="1"/>
  <c r="AF776" i="1" s="1"/>
  <c r="X776" i="1" s="1"/>
  <c r="AA776" i="1" s="1"/>
  <c r="Z776" i="1" s="1"/>
  <c r="AA786" i="1"/>
  <c r="AA789" i="1"/>
  <c r="Z789" i="1" s="1"/>
  <c r="AF812" i="1" a="1"/>
  <c r="AF812" i="1" s="1"/>
  <c r="AG815" i="1" a="1"/>
  <c r="AG815" i="1" s="1"/>
  <c r="Y815" i="1" s="1"/>
  <c r="AB815" i="1" s="1"/>
  <c r="Z815" i="1" s="1"/>
  <c r="AB817" i="1"/>
  <c r="AB831" i="1"/>
  <c r="Z831" i="1" s="1"/>
  <c r="AG840" i="1" a="1"/>
  <c r="AG840" i="1" s="1"/>
  <c r="Y840" i="1" s="1"/>
  <c r="AB840" i="1" s="1"/>
  <c r="Z840" i="1" s="1"/>
  <c r="AF840" i="1" a="1"/>
  <c r="AF840" i="1" s="1"/>
  <c r="AA843" i="1"/>
  <c r="AG855" i="1" a="1"/>
  <c r="AG855" i="1" s="1"/>
  <c r="Y855" i="1" s="1"/>
  <c r="AB855" i="1" s="1"/>
  <c r="AF855" i="1" a="1"/>
  <c r="AF855" i="1" s="1"/>
  <c r="AA859" i="1"/>
  <c r="AB861" i="1"/>
  <c r="AB863" i="1"/>
  <c r="Z863" i="1" s="1"/>
  <c r="AA872" i="1"/>
  <c r="AA875" i="1"/>
  <c r="AA880" i="1"/>
  <c r="AB880" i="1"/>
  <c r="Z880" i="1" s="1"/>
  <c r="AF608" i="1" a="1"/>
  <c r="AF608" i="1" s="1"/>
  <c r="X608" i="1" s="1"/>
  <c r="AA608" i="1" s="1"/>
  <c r="Z608" i="1" s="1"/>
  <c r="AF614" i="1" a="1"/>
  <c r="AF614" i="1" s="1"/>
  <c r="X614" i="1" s="1"/>
  <c r="AA614" i="1" s="1"/>
  <c r="Z614" i="1" s="1"/>
  <c r="AF748" i="1" a="1"/>
  <c r="AF748" i="1" s="1"/>
  <c r="AF753" i="1" a="1"/>
  <c r="AF753" i="1" s="1"/>
  <c r="AA757" i="1"/>
  <c r="Z757" i="1" s="1"/>
  <c r="Z767" i="1"/>
  <c r="AF769" i="1" a="1"/>
  <c r="AF769" i="1" s="1"/>
  <c r="AG782" i="1" a="1"/>
  <c r="AG782" i="1" s="1"/>
  <c r="Y782" i="1" s="1"/>
  <c r="AF782" i="1" a="1"/>
  <c r="AF782" i="1" s="1"/>
  <c r="X782" i="1" s="1"/>
  <c r="AA782" i="1" s="1"/>
  <c r="Z782" i="1" s="1"/>
  <c r="Z786" i="1"/>
  <c r="AF793" i="1" a="1"/>
  <c r="AF793" i="1" s="1"/>
  <c r="X793" i="1" s="1"/>
  <c r="AA793" i="1" s="1"/>
  <c r="Z793" i="1" s="1"/>
  <c r="AA798" i="1"/>
  <c r="Z798" i="1" s="1"/>
  <c r="AA801" i="1"/>
  <c r="Z801" i="1"/>
  <c r="Z817" i="1"/>
  <c r="AA834" i="1"/>
  <c r="AF836" i="1" a="1"/>
  <c r="AF836" i="1" s="1"/>
  <c r="AA838" i="1"/>
  <c r="Z838" i="1"/>
  <c r="AG852" i="1" a="1"/>
  <c r="AG852" i="1" s="1"/>
  <c r="Y852" i="1" s="1"/>
  <c r="AB852" i="1" s="1"/>
  <c r="Z852" i="1" s="1"/>
  <c r="AF852" i="1" a="1"/>
  <c r="AF852" i="1" s="1"/>
  <c r="AA855" i="1"/>
  <c r="Z855" i="1" s="1"/>
  <c r="AB870" i="1"/>
  <c r="AA870" i="1"/>
  <c r="Z870" i="1" s="1"/>
  <c r="AG873" i="1" a="1"/>
  <c r="AG873" i="1" s="1"/>
  <c r="Y873" i="1" s="1"/>
  <c r="AB873" i="1" s="1"/>
  <c r="Z873" i="1" s="1"/>
  <c r="AF873" i="1" a="1"/>
  <c r="AF873" i="1" s="1"/>
  <c r="Z893" i="1"/>
  <c r="AB928" i="1"/>
  <c r="AA928" i="1"/>
  <c r="Z928" i="1" s="1"/>
  <c r="AA936" i="1"/>
  <c r="AA956" i="1"/>
  <c r="AB763" i="1"/>
  <c r="AA763" i="1"/>
  <c r="AG785" i="1" a="1"/>
  <c r="AG785" i="1" s="1"/>
  <c r="Y785" i="1" s="1"/>
  <c r="AF785" i="1" a="1"/>
  <c r="AF785" i="1" s="1"/>
  <c r="X785" i="1" s="1"/>
  <c r="AA811" i="1"/>
  <c r="Z811" i="1"/>
  <c r="AB830" i="1"/>
  <c r="AA830" i="1"/>
  <c r="AB848" i="1"/>
  <c r="AA848" i="1"/>
  <c r="Z848" i="1" s="1"/>
  <c r="AG864" i="1" a="1"/>
  <c r="AG864" i="1" s="1"/>
  <c r="Y864" i="1" s="1"/>
  <c r="AB864" i="1" s="1"/>
  <c r="Z864" i="1" s="1"/>
  <c r="AF864" i="1" a="1"/>
  <c r="AF864" i="1" s="1"/>
  <c r="AG870" i="1" a="1"/>
  <c r="AG870" i="1" s="1"/>
  <c r="Y870" i="1" s="1"/>
  <c r="AB879" i="1"/>
  <c r="AA879" i="1"/>
  <c r="AF885" i="1" a="1"/>
  <c r="AF885" i="1" s="1"/>
  <c r="AG885" i="1" a="1"/>
  <c r="AG885" i="1" s="1"/>
  <c r="AA576" i="1"/>
  <c r="AF738" i="1" a="1"/>
  <c r="AF738" i="1" s="1"/>
  <c r="Z755" i="1"/>
  <c r="AG770" i="1" a="1"/>
  <c r="AG770" i="1" s="1"/>
  <c r="Y770" i="1" s="1"/>
  <c r="AF770" i="1" a="1"/>
  <c r="AF770" i="1" s="1"/>
  <c r="AG794" i="1" a="1"/>
  <c r="AG794" i="1" s="1"/>
  <c r="Y794" i="1" s="1"/>
  <c r="AF794" i="1" a="1"/>
  <c r="AF794" i="1" s="1"/>
  <c r="X794" i="1" s="1"/>
  <c r="AA794" i="1" s="1"/>
  <c r="Z794" i="1" s="1"/>
  <c r="Z803" i="1"/>
  <c r="AA806" i="1"/>
  <c r="Z806" i="1" s="1"/>
  <c r="AF814" i="1" a="1"/>
  <c r="AF814" i="1" s="1"/>
  <c r="AA824" i="1"/>
  <c r="AG834" i="1" a="1"/>
  <c r="AG834" i="1" s="1"/>
  <c r="Y834" i="1" s="1"/>
  <c r="AB834" i="1" s="1"/>
  <c r="AA846" i="1"/>
  <c r="AA850" i="1"/>
  <c r="Z850" i="1" s="1"/>
  <c r="AG871" i="1" a="1"/>
  <c r="AG871" i="1" s="1"/>
  <c r="Y871" i="1" s="1"/>
  <c r="AB871" i="1" s="1"/>
  <c r="AF871" i="1" a="1"/>
  <c r="AF871" i="1" s="1"/>
  <c r="AF883" i="1" a="1"/>
  <c r="AF883" i="1" s="1"/>
  <c r="AG883" i="1" a="1"/>
  <c r="AG883" i="1" s="1"/>
  <c r="AG918" i="1" a="1"/>
  <c r="AG918" i="1" s="1"/>
  <c r="Y918" i="1" s="1"/>
  <c r="AB918" i="1" s="1"/>
  <c r="Z918" i="1" s="1"/>
  <c r="AF918" i="1" a="1"/>
  <c r="AF918" i="1" s="1"/>
  <c r="AF1006" i="1" a="1"/>
  <c r="AF1006" i="1" s="1"/>
  <c r="AG1006" i="1" a="1"/>
  <c r="AG1006" i="1" s="1"/>
  <c r="Y1006" i="1" s="1"/>
  <c r="AB1006" i="1" s="1"/>
  <c r="Z1006" i="1" s="1"/>
  <c r="AF685" i="1" a="1"/>
  <c r="AF685" i="1" s="1"/>
  <c r="X685" i="1" s="1"/>
  <c r="AA685" i="1" s="1"/>
  <c r="Z685" i="1" s="1"/>
  <c r="AF691" i="1" a="1"/>
  <c r="AF691" i="1" s="1"/>
  <c r="X691" i="1" s="1"/>
  <c r="AA691" i="1" s="1"/>
  <c r="Z691" i="1" s="1"/>
  <c r="AF697" i="1" a="1"/>
  <c r="AF697" i="1" s="1"/>
  <c r="X697" i="1" s="1"/>
  <c r="AA697" i="1" s="1"/>
  <c r="Z697" i="1" s="1"/>
  <c r="AF703" i="1" a="1"/>
  <c r="AF703" i="1" s="1"/>
  <c r="X703" i="1" s="1"/>
  <c r="AA703" i="1" s="1"/>
  <c r="Z703" i="1" s="1"/>
  <c r="AF709" i="1" a="1"/>
  <c r="AF709" i="1" s="1"/>
  <c r="X709" i="1" s="1"/>
  <c r="AA709" i="1" s="1"/>
  <c r="Z709" i="1" s="1"/>
  <c r="AF715" i="1" a="1"/>
  <c r="AF715" i="1" s="1"/>
  <c r="X715" i="1" s="1"/>
  <c r="AA715" i="1" s="1"/>
  <c r="Z715" i="1" s="1"/>
  <c r="AF721" i="1" a="1"/>
  <c r="AF721" i="1" s="1"/>
  <c r="X721" i="1" s="1"/>
  <c r="AA721" i="1" s="1"/>
  <c r="Z721" i="1" s="1"/>
  <c r="AF727" i="1" a="1"/>
  <c r="AF727" i="1" s="1"/>
  <c r="X727" i="1" s="1"/>
  <c r="AA727" i="1" s="1"/>
  <c r="Z727" i="1" s="1"/>
  <c r="AG797" i="1" a="1"/>
  <c r="AG797" i="1" s="1"/>
  <c r="Y797" i="1" s="1"/>
  <c r="AF797" i="1" a="1"/>
  <c r="AF797" i="1" s="1"/>
  <c r="X797" i="1" s="1"/>
  <c r="AA797" i="1" s="1"/>
  <c r="Z797" i="1" s="1"/>
  <c r="AG798" i="1" a="1"/>
  <c r="AG798" i="1" s="1"/>
  <c r="Y798" i="1" s="1"/>
  <c r="AA800" i="1"/>
  <c r="Z800" i="1" s="1"/>
  <c r="AG821" i="1" a="1"/>
  <c r="AG821" i="1" s="1"/>
  <c r="Y821" i="1" s="1"/>
  <c r="AB821" i="1" s="1"/>
  <c r="Z821" i="1" s="1"/>
  <c r="AF821" i="1" a="1"/>
  <c r="AF821" i="1" s="1"/>
  <c r="Z830" i="1"/>
  <c r="AB832" i="1"/>
  <c r="AG835" i="1" a="1"/>
  <c r="AG835" i="1" s="1"/>
  <c r="Y835" i="1" s="1"/>
  <c r="AB835" i="1" s="1"/>
  <c r="Z835" i="1" s="1"/>
  <c r="AF835" i="1" a="1"/>
  <c r="AF835" i="1" s="1"/>
  <c r="AB850" i="1"/>
  <c r="AB860" i="1"/>
  <c r="AA860" i="1"/>
  <c r="Z860" i="1" s="1"/>
  <c r="AG877" i="1" a="1"/>
  <c r="AG877" i="1" s="1"/>
  <c r="Y877" i="1" s="1"/>
  <c r="AF877" i="1" a="1"/>
  <c r="AF877" i="1" s="1"/>
  <c r="AB885" i="1"/>
  <c r="AA885" i="1"/>
  <c r="Z885" i="1" s="1"/>
  <c r="AF678" i="1" a="1"/>
  <c r="AF678" i="1" s="1"/>
  <c r="AB750" i="1"/>
  <c r="AG758" i="1" a="1"/>
  <c r="AG758" i="1" s="1"/>
  <c r="Y758" i="1" s="1"/>
  <c r="AB758" i="1" s="1"/>
  <c r="Z758" i="1" s="1"/>
  <c r="AF758" i="1" a="1"/>
  <c r="AF758" i="1" s="1"/>
  <c r="AG773" i="1" a="1"/>
  <c r="AG773" i="1" s="1"/>
  <c r="Y773" i="1" s="1"/>
  <c r="AF773" i="1" a="1"/>
  <c r="AF773" i="1" s="1"/>
  <c r="X773" i="1" s="1"/>
  <c r="AA773" i="1" s="1"/>
  <c r="Z773" i="1" s="1"/>
  <c r="AA819" i="1"/>
  <c r="Z819" i="1" s="1"/>
  <c r="AG827" i="1" a="1"/>
  <c r="AG827" i="1" s="1"/>
  <c r="Y827" i="1" s="1"/>
  <c r="AB827" i="1" s="1"/>
  <c r="Z827" i="1" s="1"/>
  <c r="AA832" i="1"/>
  <c r="AB858" i="1"/>
  <c r="AA858" i="1"/>
  <c r="Z858" i="1" s="1"/>
  <c r="AA862" i="1"/>
  <c r="Z862" i="1" s="1"/>
  <c r="AG874" i="1" a="1"/>
  <c r="AG874" i="1" s="1"/>
  <c r="Y874" i="1" s="1"/>
  <c r="AF874" i="1" a="1"/>
  <c r="AF874" i="1" s="1"/>
  <c r="AG901" i="1" a="1"/>
  <c r="AG901" i="1" s="1"/>
  <c r="Y901" i="1" s="1"/>
  <c r="AB901" i="1" s="1"/>
  <c r="Z901" i="1" s="1"/>
  <c r="AF901" i="1" a="1"/>
  <c r="AF901" i="1" s="1"/>
  <c r="AA904" i="1"/>
  <c r="AA962" i="1"/>
  <c r="AF653" i="1" a="1"/>
  <c r="AF653" i="1" s="1"/>
  <c r="AF665" i="1" a="1"/>
  <c r="AF665" i="1" s="1"/>
  <c r="AF677" i="1" a="1"/>
  <c r="AF677" i="1" s="1"/>
  <c r="AG760" i="1" a="1"/>
  <c r="AG760" i="1" s="1"/>
  <c r="Y760" i="1" s="1"/>
  <c r="AB760" i="1" s="1"/>
  <c r="Z760" i="1" s="1"/>
  <c r="AG763" i="1" a="1"/>
  <c r="AG763" i="1" s="1"/>
  <c r="Y763" i="1" s="1"/>
  <c r="AB766" i="1"/>
  <c r="Z766" i="1" s="1"/>
  <c r="AF767" i="1" a="1"/>
  <c r="AF767" i="1" s="1"/>
  <c r="AB770" i="1"/>
  <c r="Z770" i="1" s="1"/>
  <c r="AA777" i="1"/>
  <c r="Z777" i="1" s="1"/>
  <c r="AG780" i="1" a="1"/>
  <c r="AG780" i="1" s="1"/>
  <c r="Y780" i="1" s="1"/>
  <c r="AF780" i="1" a="1"/>
  <c r="AF780" i="1" s="1"/>
  <c r="X780" i="1" s="1"/>
  <c r="AA780" i="1" s="1"/>
  <c r="AG803" i="1" a="1"/>
  <c r="AG803" i="1" s="1"/>
  <c r="Y803" i="1" s="1"/>
  <c r="AA805" i="1"/>
  <c r="Z805" i="1" s="1"/>
  <c r="AA810" i="1"/>
  <c r="Z810" i="1" s="1"/>
  <c r="AB813" i="1"/>
  <c r="AA813" i="1"/>
  <c r="AA826" i="1"/>
  <c r="AG828" i="1" a="1"/>
  <c r="AG828" i="1" s="1"/>
  <c r="Y828" i="1" s="1"/>
  <c r="AB828" i="1" s="1"/>
  <c r="Z828" i="1" s="1"/>
  <c r="AF828" i="1" a="1"/>
  <c r="AF828" i="1" s="1"/>
  <c r="AG831" i="1" a="1"/>
  <c r="AG831" i="1" s="1"/>
  <c r="Y831" i="1" s="1"/>
  <c r="AF831" i="1" a="1"/>
  <c r="AF831" i="1" s="1"/>
  <c r="AG833" i="1" a="1"/>
  <c r="AG833" i="1" s="1"/>
  <c r="Y833" i="1" s="1"/>
  <c r="AF833" i="1" a="1"/>
  <c r="AF833" i="1" s="1"/>
  <c r="AB842" i="1"/>
  <c r="AA842" i="1"/>
  <c r="AB844" i="1"/>
  <c r="Z844" i="1" s="1"/>
  <c r="AG847" i="1" a="1"/>
  <c r="AG847" i="1" s="1"/>
  <c r="Y847" i="1" s="1"/>
  <c r="AB847" i="1" s="1"/>
  <c r="Z847" i="1" s="1"/>
  <c r="AF847" i="1" a="1"/>
  <c r="AF847" i="1" s="1"/>
  <c r="AB862" i="1"/>
  <c r="AB868" i="1"/>
  <c r="AA868" i="1"/>
  <c r="Z868" i="1" s="1"/>
  <c r="Z883" i="1"/>
  <c r="AB898" i="1"/>
  <c r="AA898" i="1"/>
  <c r="Z898" i="1"/>
  <c r="AG938" i="1" a="1"/>
  <c r="AG938" i="1" s="1"/>
  <c r="Y938" i="1" s="1"/>
  <c r="AF938" i="1" a="1"/>
  <c r="AF938" i="1" s="1"/>
  <c r="AA473" i="1"/>
  <c r="AA733" i="1"/>
  <c r="Z733" i="1" s="1"/>
  <c r="Z734" i="1"/>
  <c r="AA745" i="1"/>
  <c r="Z745" i="1" s="1"/>
  <c r="AA750" i="1"/>
  <c r="Z754" i="1"/>
  <c r="AG761" i="1" a="1"/>
  <c r="AG761" i="1" s="1"/>
  <c r="Y761" i="1" s="1"/>
  <c r="AB761" i="1" s="1"/>
  <c r="Z761" i="1" s="1"/>
  <c r="AF761" i="1" a="1"/>
  <c r="AF761" i="1" s="1"/>
  <c r="AA762" i="1"/>
  <c r="Z762" i="1" s="1"/>
  <c r="AA785" i="1"/>
  <c r="Z785" i="1" s="1"/>
  <c r="AA787" i="1"/>
  <c r="Z787" i="1" s="1"/>
  <c r="AA790" i="1"/>
  <c r="Z790" i="1" s="1"/>
  <c r="AG804" i="1" a="1"/>
  <c r="AG804" i="1" s="1"/>
  <c r="Y804" i="1" s="1"/>
  <c r="AF804" i="1" a="1"/>
  <c r="AF804" i="1" s="1"/>
  <c r="X804" i="1" s="1"/>
  <c r="AA804" i="1" s="1"/>
  <c r="Z804" i="1" s="1"/>
  <c r="AB819" i="1"/>
  <c r="AB826" i="1"/>
  <c r="AA835" i="1"/>
  <c r="AB837" i="1"/>
  <c r="AB839" i="1"/>
  <c r="Z839" i="1" s="1"/>
  <c r="AG858" i="1" a="1"/>
  <c r="AG858" i="1" s="1"/>
  <c r="Y858" i="1" s="1"/>
  <c r="AG869" i="1" a="1"/>
  <c r="AG869" i="1" s="1"/>
  <c r="Y869" i="1" s="1"/>
  <c r="AB869" i="1" s="1"/>
  <c r="AF869" i="1" a="1"/>
  <c r="AF869" i="1" s="1"/>
  <c r="AG946" i="1" a="1"/>
  <c r="AG946" i="1" s="1"/>
  <c r="Y946" i="1" s="1"/>
  <c r="AF946" i="1" a="1"/>
  <c r="AF946" i="1" s="1"/>
  <c r="AF1012" i="1" a="1"/>
  <c r="AF1012" i="1" s="1"/>
  <c r="AG1012" i="1" a="1"/>
  <c r="AG1012" i="1" s="1"/>
  <c r="Y1012" i="1" s="1"/>
  <c r="AB759" i="1"/>
  <c r="Z759" i="1" s="1"/>
  <c r="AB765" i="1"/>
  <c r="Z765" i="1"/>
  <c r="AF766" i="1" a="1"/>
  <c r="AF766" i="1" s="1"/>
  <c r="AG768" i="1" a="1"/>
  <c r="AG768" i="1" s="1"/>
  <c r="Y768" i="1" s="1"/>
  <c r="AB768" i="1" s="1"/>
  <c r="Z768" i="1" s="1"/>
  <c r="AF768" i="1" a="1"/>
  <c r="AF768" i="1" s="1"/>
  <c r="AG792" i="1" a="1"/>
  <c r="AG792" i="1" s="1"/>
  <c r="Y792" i="1" s="1"/>
  <c r="AF792" i="1" a="1"/>
  <c r="AF792" i="1" s="1"/>
  <c r="X792" i="1" s="1"/>
  <c r="AA792" i="1" s="1"/>
  <c r="Z792" i="1" s="1"/>
  <c r="AF819" i="1" a="1"/>
  <c r="AF819" i="1" s="1"/>
  <c r="AA823" i="1"/>
  <c r="AB833" i="1"/>
  <c r="AA833" i="1"/>
  <c r="AG845" i="1" a="1"/>
  <c r="AG845" i="1" s="1"/>
  <c r="Y845" i="1" s="1"/>
  <c r="AB845" i="1" s="1"/>
  <c r="Z845" i="1" s="1"/>
  <c r="AF845" i="1" a="1"/>
  <c r="AF845" i="1" s="1"/>
  <c r="AB854" i="1"/>
  <c r="AA854" i="1"/>
  <c r="AB856" i="1"/>
  <c r="Z856" i="1"/>
  <c r="AG859" i="1" a="1"/>
  <c r="AG859" i="1" s="1"/>
  <c r="Y859" i="1" s="1"/>
  <c r="AB859" i="1" s="1"/>
  <c r="AF859" i="1" a="1"/>
  <c r="AF859" i="1" s="1"/>
  <c r="AB866" i="1"/>
  <c r="AA866" i="1"/>
  <c r="Z866" i="1" s="1"/>
  <c r="AG872" i="1" a="1"/>
  <c r="AG872" i="1" s="1"/>
  <c r="Y872" i="1" s="1"/>
  <c r="AB872" i="1" s="1"/>
  <c r="Z872" i="1" s="1"/>
  <c r="AF872" i="1" a="1"/>
  <c r="AF872" i="1" s="1"/>
  <c r="AB874" i="1"/>
  <c r="Z874" i="1" s="1"/>
  <c r="AA874" i="1"/>
  <c r="AG878" i="1" a="1"/>
  <c r="AG878" i="1" s="1"/>
  <c r="Y878" i="1" s="1"/>
  <c r="AB878" i="1" s="1"/>
  <c r="AF878" i="1" a="1"/>
  <c r="AF878" i="1" s="1"/>
  <c r="AG925" i="1" a="1"/>
  <c r="AG925" i="1" s="1"/>
  <c r="Y925" i="1" s="1"/>
  <c r="AF925" i="1" a="1"/>
  <c r="AF925" i="1" s="1"/>
  <c r="AF863" i="1" a="1"/>
  <c r="AF863" i="1" s="1"/>
  <c r="Z876" i="1"/>
  <c r="AG884" i="1" a="1"/>
  <c r="AG884" i="1" s="1"/>
  <c r="AA888" i="1"/>
  <c r="Z888" i="1" s="1"/>
  <c r="AG889" i="1" a="1"/>
  <c r="AG889" i="1" s="1"/>
  <c r="AA892" i="1"/>
  <c r="Z892" i="1" s="1"/>
  <c r="AG893" i="1" a="1"/>
  <c r="AG893" i="1" s="1"/>
  <c r="AG914" i="1" a="1"/>
  <c r="AG914" i="1" s="1"/>
  <c r="Y914" i="1" s="1"/>
  <c r="AG977" i="1" a="1"/>
  <c r="AG977" i="1" s="1"/>
  <c r="Y977" i="1" s="1"/>
  <c r="AB977" i="1" s="1"/>
  <c r="Z977" i="1" s="1"/>
  <c r="AF977" i="1" a="1"/>
  <c r="AF977" i="1" s="1"/>
  <c r="AG989" i="1" a="1"/>
  <c r="AG989" i="1" s="1"/>
  <c r="Y989" i="1" s="1"/>
  <c r="AB989" i="1" s="1"/>
  <c r="Z989" i="1" s="1"/>
  <c r="AF989" i="1" a="1"/>
  <c r="AF989" i="1" s="1"/>
  <c r="AG1001" i="1" a="1"/>
  <c r="AG1001" i="1" s="1"/>
  <c r="Y1001" i="1" s="1"/>
  <c r="AB1001" i="1" s="1"/>
  <c r="Z1001" i="1" s="1"/>
  <c r="AF1001" i="1" a="1"/>
  <c r="AF1001" i="1" s="1"/>
  <c r="AB1028" i="1"/>
  <c r="Z1028" i="1" s="1"/>
  <c r="AG1048" i="1" a="1"/>
  <c r="AG1048" i="1" s="1"/>
  <c r="Y1048" i="1" s="1"/>
  <c r="AB1048" i="1" s="1"/>
  <c r="Z1048" i="1" s="1"/>
  <c r="AF1048" i="1" a="1"/>
  <c r="AF1048" i="1" s="1"/>
  <c r="AB1060" i="1"/>
  <c r="Z1060" i="1" s="1"/>
  <c r="AA1060" i="1"/>
  <c r="Z905" i="1"/>
  <c r="AB925" i="1"/>
  <c r="Z925" i="1" s="1"/>
  <c r="AG936" i="1" a="1"/>
  <c r="AG936" i="1" s="1"/>
  <c r="Y936" i="1" s="1"/>
  <c r="AB936" i="1" s="1"/>
  <c r="AG1238" i="1" a="1"/>
  <c r="AG1238" i="1" s="1"/>
  <c r="Y1238" i="1" s="1"/>
  <c r="T1524" i="1"/>
  <c r="AB1524" i="1" s="1"/>
  <c r="AB460" i="1"/>
  <c r="AG956" i="1" a="1"/>
  <c r="AG956" i="1" s="1"/>
  <c r="Y956" i="1" s="1"/>
  <c r="AB956" i="1" s="1"/>
  <c r="Z956" i="1" s="1"/>
  <c r="AB959" i="1"/>
  <c r="Z959" i="1" s="1"/>
  <c r="AG962" i="1" a="1"/>
  <c r="AG962" i="1" s="1"/>
  <c r="Y962" i="1" s="1"/>
  <c r="AB962" i="1" s="1"/>
  <c r="Z962" i="1" s="1"/>
  <c r="AB965" i="1"/>
  <c r="AG968" i="1" a="1"/>
  <c r="AG968" i="1" s="1"/>
  <c r="Y968" i="1" s="1"/>
  <c r="AB968" i="1" s="1"/>
  <c r="Z968" i="1" s="1"/>
  <c r="AB971" i="1"/>
  <c r="AG982" i="1" a="1"/>
  <c r="AG982" i="1" s="1"/>
  <c r="Y982" i="1" s="1"/>
  <c r="AF982" i="1" a="1"/>
  <c r="AF982" i="1" s="1"/>
  <c r="AG994" i="1" a="1"/>
  <c r="AG994" i="1" s="1"/>
  <c r="Y994" i="1" s="1"/>
  <c r="AF994" i="1" a="1"/>
  <c r="AF994" i="1" s="1"/>
  <c r="AG1011" i="1" a="1"/>
  <c r="AG1011" i="1" s="1"/>
  <c r="Y1011" i="1" s="1"/>
  <c r="AB1011" i="1" s="1"/>
  <c r="AF1011" i="1" a="1"/>
  <c r="AF1011" i="1" s="1"/>
  <c r="AG1021" i="1" a="1"/>
  <c r="AG1021" i="1" s="1"/>
  <c r="Y1021" i="1" s="1"/>
  <c r="AG1033" i="1" a="1"/>
  <c r="AG1033" i="1" s="1"/>
  <c r="Y1033" i="1" s="1"/>
  <c r="AB1035" i="1"/>
  <c r="Z1035" i="1" s="1"/>
  <c r="AB1037" i="1"/>
  <c r="Z1037" i="1" s="1"/>
  <c r="AB1039" i="1"/>
  <c r="Z1039" i="1" s="1"/>
  <c r="AB1041" i="1"/>
  <c r="Z1041" i="1" s="1"/>
  <c r="AB1043" i="1"/>
  <c r="Z1043" i="1" s="1"/>
  <c r="AB1045" i="1"/>
  <c r="Z1045" i="1" s="1"/>
  <c r="AF1197" i="1" a="1"/>
  <c r="AF1197" i="1" s="1"/>
  <c r="AG1197" i="1" a="1"/>
  <c r="AG1197" i="1" s="1"/>
  <c r="Y1197" i="1" s="1"/>
  <c r="AF1286" i="1" a="1"/>
  <c r="AF1286" i="1" s="1"/>
  <c r="AG1286" i="1" a="1"/>
  <c r="AG1286" i="1" s="1"/>
  <c r="AF937" i="1" a="1"/>
  <c r="AF937" i="1" s="1"/>
  <c r="AG937" i="1" a="1"/>
  <c r="AG937" i="1" s="1"/>
  <c r="Y937" i="1" s="1"/>
  <c r="AB937" i="1" s="1"/>
  <c r="AB946" i="1"/>
  <c r="Z946" i="1" s="1"/>
  <c r="AB955" i="1"/>
  <c r="AB961" i="1"/>
  <c r="AB967" i="1"/>
  <c r="AG975" i="1" a="1"/>
  <c r="AG975" i="1" s="1"/>
  <c r="Y975" i="1" s="1"/>
  <c r="AB975" i="1" s="1"/>
  <c r="Z975" i="1" s="1"/>
  <c r="AF975" i="1" a="1"/>
  <c r="AF975" i="1" s="1"/>
  <c r="AG987" i="1" a="1"/>
  <c r="AG987" i="1" s="1"/>
  <c r="Y987" i="1" s="1"/>
  <c r="AF987" i="1" a="1"/>
  <c r="AF987" i="1" s="1"/>
  <c r="AG999" i="1" a="1"/>
  <c r="AG999" i="1" s="1"/>
  <c r="Y999" i="1" s="1"/>
  <c r="AB999" i="1" s="1"/>
  <c r="Z999" i="1" s="1"/>
  <c r="AF999" i="1" a="1"/>
  <c r="AF999" i="1" s="1"/>
  <c r="AB1014" i="1"/>
  <c r="AA1014" i="1"/>
  <c r="Z1014" i="1" s="1"/>
  <c r="AA1018" i="1"/>
  <c r="AG1028" i="1" a="1"/>
  <c r="AG1028" i="1" s="1"/>
  <c r="Y1028" i="1" s="1"/>
  <c r="AG1056" i="1" a="1"/>
  <c r="AG1056" i="1" s="1"/>
  <c r="Y1056" i="1" s="1"/>
  <c r="AB1056" i="1" s="1"/>
  <c r="Z1056" i="1" s="1"/>
  <c r="AF1056" i="1" a="1"/>
  <c r="AF1056" i="1" s="1"/>
  <c r="AF818" i="1" a="1"/>
  <c r="AF818" i="1" s="1"/>
  <c r="AF830" i="1" a="1"/>
  <c r="AF830" i="1" s="1"/>
  <c r="AF842" i="1" a="1"/>
  <c r="AF842" i="1" s="1"/>
  <c r="AF854" i="1" a="1"/>
  <c r="AF854" i="1" s="1"/>
  <c r="AF866" i="1" a="1"/>
  <c r="AF866" i="1" s="1"/>
  <c r="AF876" i="1" a="1"/>
  <c r="AF876" i="1" s="1"/>
  <c r="AG888" i="1" a="1"/>
  <c r="AG888" i="1" s="1"/>
  <c r="AG892" i="1" a="1"/>
  <c r="AG892" i="1" s="1"/>
  <c r="AG896" i="1" a="1"/>
  <c r="AG896" i="1" s="1"/>
  <c r="Y896" i="1" s="1"/>
  <c r="AF900" i="1" a="1"/>
  <c r="AF900" i="1" s="1"/>
  <c r="AG900" i="1" a="1"/>
  <c r="AG900" i="1" s="1"/>
  <c r="Y900" i="1" s="1"/>
  <c r="AB900" i="1" s="1"/>
  <c r="AA908" i="1"/>
  <c r="AG247" i="1" a="1"/>
  <c r="AG247" i="1" s="1"/>
  <c r="Y247" i="1" s="1"/>
  <c r="AB247" i="1" s="1"/>
  <c r="AB1235" i="1"/>
  <c r="AG576" i="1" a="1"/>
  <c r="AG576" i="1" s="1"/>
  <c r="Y576" i="1" s="1"/>
  <c r="AB576" i="1" s="1"/>
  <c r="AB973" i="1"/>
  <c r="AG980" i="1" a="1"/>
  <c r="AG980" i="1" s="1"/>
  <c r="Y980" i="1" s="1"/>
  <c r="AB980" i="1" s="1"/>
  <c r="Z980" i="1" s="1"/>
  <c r="AF980" i="1" a="1"/>
  <c r="AF980" i="1" s="1"/>
  <c r="AG992" i="1" a="1"/>
  <c r="AG992" i="1" s="1"/>
  <c r="Y992" i="1" s="1"/>
  <c r="AB992" i="1" s="1"/>
  <c r="Z992" i="1" s="1"/>
  <c r="AF992" i="1" a="1"/>
  <c r="AF992" i="1" s="1"/>
  <c r="AG1004" i="1" a="1"/>
  <c r="AG1004" i="1" s="1"/>
  <c r="Y1004" i="1" s="1"/>
  <c r="AB1004" i="1" s="1"/>
  <c r="Z1004" i="1" s="1"/>
  <c r="AF1004" i="1" a="1"/>
  <c r="AF1004" i="1" s="1"/>
  <c r="AA1016" i="1"/>
  <c r="Z1016" i="1" s="1"/>
  <c r="AG1023" i="1" a="1"/>
  <c r="AG1023" i="1" s="1"/>
  <c r="Y1023" i="1" s="1"/>
  <c r="AB1023" i="1" s="1"/>
  <c r="Z1023" i="1" s="1"/>
  <c r="AB1025" i="1"/>
  <c r="Z1025" i="1" s="1"/>
  <c r="AG1051" i="1" a="1"/>
  <c r="AG1051" i="1" s="1"/>
  <c r="Y1051" i="1" s="1"/>
  <c r="AB1051" i="1" s="1"/>
  <c r="AF1051" i="1" a="1"/>
  <c r="AF1051" i="1" s="1"/>
  <c r="AG1067" i="1" a="1"/>
  <c r="AG1067" i="1" s="1"/>
  <c r="Y1067" i="1" s="1"/>
  <c r="AB1067" i="1" s="1"/>
  <c r="AG1103" i="1" a="1"/>
  <c r="AG1103" i="1" s="1"/>
  <c r="Y1103" i="1" s="1"/>
  <c r="AB1103" i="1" s="1"/>
  <c r="Z1103" i="1" s="1"/>
  <c r="AF1103" i="1" a="1"/>
  <c r="AF1103" i="1" s="1"/>
  <c r="AA1112" i="1"/>
  <c r="AB915" i="1"/>
  <c r="AA915" i="1"/>
  <c r="Z915" i="1" s="1"/>
  <c r="AF924" i="1" a="1"/>
  <c r="AF924" i="1" s="1"/>
  <c r="AG924" i="1" a="1"/>
  <c r="AG924" i="1" s="1"/>
  <c r="Y924" i="1" s="1"/>
  <c r="AB924" i="1" s="1"/>
  <c r="Z924" i="1" s="1"/>
  <c r="AB957" i="1"/>
  <c r="AB963" i="1"/>
  <c r="AB969" i="1"/>
  <c r="AB982" i="1"/>
  <c r="Z982" i="1" s="1"/>
  <c r="AG985" i="1" a="1"/>
  <c r="AG985" i="1" s="1"/>
  <c r="Y985" i="1" s="1"/>
  <c r="AB985" i="1" s="1"/>
  <c r="AF985" i="1" a="1"/>
  <c r="AF985" i="1" s="1"/>
  <c r="AB994" i="1"/>
  <c r="Z994" i="1" s="1"/>
  <c r="AG997" i="1" a="1"/>
  <c r="AG997" i="1" s="1"/>
  <c r="Y997" i="1" s="1"/>
  <c r="AB997" i="1" s="1"/>
  <c r="Z997" i="1" s="1"/>
  <c r="AF997" i="1" a="1"/>
  <c r="AF997" i="1" s="1"/>
  <c r="AG1007" i="1" a="1"/>
  <c r="AG1007" i="1" s="1"/>
  <c r="Y1007" i="1" s="1"/>
  <c r="AB1007" i="1" s="1"/>
  <c r="AF1014" i="1" a="1"/>
  <c r="AF1014" i="1" s="1"/>
  <c r="AB1016" i="1"/>
  <c r="AG1018" i="1" a="1"/>
  <c r="AG1018" i="1" s="1"/>
  <c r="Y1018" i="1" s="1"/>
  <c r="AB1018" i="1" s="1"/>
  <c r="AG1030" i="1" a="1"/>
  <c r="AG1030" i="1" s="1"/>
  <c r="Y1030" i="1" s="1"/>
  <c r="AB1030" i="1" s="1"/>
  <c r="Z1030" i="1" s="1"/>
  <c r="AF784" i="1" a="1"/>
  <c r="AF784" i="1" s="1"/>
  <c r="X784" i="1" s="1"/>
  <c r="AA784" i="1" s="1"/>
  <c r="Z784" i="1" s="1"/>
  <c r="AF796" i="1" a="1"/>
  <c r="AF796" i="1" s="1"/>
  <c r="X796" i="1" s="1"/>
  <c r="AA796" i="1" s="1"/>
  <c r="Z796" i="1" s="1"/>
  <c r="AF808" i="1" a="1"/>
  <c r="AF808" i="1" s="1"/>
  <c r="X808" i="1" s="1"/>
  <c r="AA808" i="1" s="1"/>
  <c r="Z808" i="1" s="1"/>
  <c r="AF820" i="1" a="1"/>
  <c r="AF820" i="1" s="1"/>
  <c r="AF832" i="1" a="1"/>
  <c r="AF832" i="1" s="1"/>
  <c r="AF844" i="1" a="1"/>
  <c r="AF844" i="1" s="1"/>
  <c r="AF856" i="1" a="1"/>
  <c r="AF856" i="1" s="1"/>
  <c r="AF868" i="1" a="1"/>
  <c r="AF868" i="1" s="1"/>
  <c r="AA871" i="1"/>
  <c r="Z871" i="1" s="1"/>
  <c r="Z886" i="1"/>
  <c r="Z890" i="1"/>
  <c r="AG906" i="1" a="1"/>
  <c r="AG906" i="1" s="1"/>
  <c r="Y906" i="1" s="1"/>
  <c r="AB906" i="1" s="1"/>
  <c r="Z906" i="1" s="1"/>
  <c r="AF906" i="1" a="1"/>
  <c r="AF906" i="1" s="1"/>
  <c r="AG908" i="1" a="1"/>
  <c r="AG908" i="1" s="1"/>
  <c r="Y908" i="1" s="1"/>
  <c r="AB908" i="1" s="1"/>
  <c r="Z944" i="1"/>
  <c r="AB944" i="1"/>
  <c r="AF919" i="1" a="1"/>
  <c r="AF919" i="1" s="1"/>
  <c r="AF929" i="1" a="1"/>
  <c r="AF929" i="1" s="1"/>
  <c r="AF577" i="1" a="1"/>
  <c r="AF577" i="1" s="1"/>
  <c r="AA937" i="1"/>
  <c r="AF1239" i="1" a="1"/>
  <c r="AF1239" i="1" s="1"/>
  <c r="X1239" i="1" s="1"/>
  <c r="AA1239" i="1" s="1"/>
  <c r="Z1239" i="1" s="1"/>
  <c r="AF955" i="1" a="1"/>
  <c r="AF955" i="1" s="1"/>
  <c r="X955" i="1" s="1"/>
  <c r="AA955" i="1" s="1"/>
  <c r="Z955" i="1" s="1"/>
  <c r="AF958" i="1" a="1"/>
  <c r="AF958" i="1" s="1"/>
  <c r="X958" i="1" s="1"/>
  <c r="AA958" i="1" s="1"/>
  <c r="Z958" i="1" s="1"/>
  <c r="AF961" i="1" a="1"/>
  <c r="AF961" i="1" s="1"/>
  <c r="X961" i="1" s="1"/>
  <c r="AA961" i="1" s="1"/>
  <c r="Z961" i="1" s="1"/>
  <c r="AF964" i="1" a="1"/>
  <c r="AF964" i="1" s="1"/>
  <c r="X964" i="1" s="1"/>
  <c r="AA964" i="1" s="1"/>
  <c r="Z964" i="1" s="1"/>
  <c r="AF967" i="1" a="1"/>
  <c r="AF967" i="1" s="1"/>
  <c r="X967" i="1" s="1"/>
  <c r="AA967" i="1" s="1"/>
  <c r="Z967" i="1" s="1"/>
  <c r="AF970" i="1" a="1"/>
  <c r="AF970" i="1" s="1"/>
  <c r="X970" i="1" s="1"/>
  <c r="AA970" i="1" s="1"/>
  <c r="Z970" i="1" s="1"/>
  <c r="AG978" i="1" a="1"/>
  <c r="AG978" i="1" s="1"/>
  <c r="Y978" i="1" s="1"/>
  <c r="AB978" i="1" s="1"/>
  <c r="AF978" i="1" a="1"/>
  <c r="AF978" i="1" s="1"/>
  <c r="AB987" i="1"/>
  <c r="Z987" i="1" s="1"/>
  <c r="AG990" i="1" a="1"/>
  <c r="AG990" i="1" s="1"/>
  <c r="Y990" i="1" s="1"/>
  <c r="AB990" i="1" s="1"/>
  <c r="Z990" i="1" s="1"/>
  <c r="AF990" i="1" a="1"/>
  <c r="AF990" i="1" s="1"/>
  <c r="AG1002" i="1" a="1"/>
  <c r="AG1002" i="1" s="1"/>
  <c r="Y1002" i="1" s="1"/>
  <c r="AB1002" i="1" s="1"/>
  <c r="Z1002" i="1" s="1"/>
  <c r="AF1002" i="1" a="1"/>
  <c r="AF1002" i="1" s="1"/>
  <c r="Z1011" i="1"/>
  <c r="AG1025" i="1" a="1"/>
  <c r="AG1025" i="1" s="1"/>
  <c r="Y1025" i="1" s="1"/>
  <c r="AB1027" i="1"/>
  <c r="Z1027" i="1" s="1"/>
  <c r="AG1059" i="1" a="1"/>
  <c r="AG1059" i="1" s="1"/>
  <c r="Y1059" i="1" s="1"/>
  <c r="AB1059" i="1" s="1"/>
  <c r="Z1059" i="1" s="1"/>
  <c r="AF1059" i="1" a="1"/>
  <c r="AF1059" i="1" s="1"/>
  <c r="Z849" i="1"/>
  <c r="AA886" i="1"/>
  <c r="AA890" i="1"/>
  <c r="AG891" i="1" a="1"/>
  <c r="AG891" i="1" s="1"/>
  <c r="AA894" i="1"/>
  <c r="Z894" i="1" s="1"/>
  <c r="AG895" i="1" a="1"/>
  <c r="AG895" i="1" s="1"/>
  <c r="AF898" i="1" a="1"/>
  <c r="AF898" i="1" s="1"/>
  <c r="AA900" i="1"/>
  <c r="AA907" i="1"/>
  <c r="Z907" i="1" s="1"/>
  <c r="Z472" i="1"/>
  <c r="AG920" i="1" a="1"/>
  <c r="AG920" i="1" s="1"/>
  <c r="Y920" i="1" s="1"/>
  <c r="AB920" i="1" s="1"/>
  <c r="AF920" i="1" a="1"/>
  <c r="AF920" i="1" s="1"/>
  <c r="AB1234" i="1"/>
  <c r="AG930" i="1" a="1"/>
  <c r="AG930" i="1" s="1"/>
  <c r="Y930" i="1" s="1"/>
  <c r="AB930" i="1" s="1"/>
  <c r="AF930" i="1" a="1"/>
  <c r="AF930" i="1" s="1"/>
  <c r="AG916" i="1" a="1"/>
  <c r="AG916" i="1" s="1"/>
  <c r="Y916" i="1" s="1"/>
  <c r="AB916" i="1" s="1"/>
  <c r="Z916" i="1" s="1"/>
  <c r="T1492" i="1"/>
  <c r="AG1525" i="1" a="1"/>
  <c r="AG1525" i="1" s="1"/>
  <c r="Y1525" i="1" s="1"/>
  <c r="AB1525" i="1" s="1"/>
  <c r="AG473" i="1" a="1"/>
  <c r="AG473" i="1" s="1"/>
  <c r="Y473" i="1" s="1"/>
  <c r="AB473" i="1" s="1"/>
  <c r="Z473" i="1" s="1"/>
  <c r="AA921" i="1"/>
  <c r="Z921" i="1" s="1"/>
  <c r="AB954" i="1"/>
  <c r="AA957" i="1"/>
  <c r="AB960" i="1"/>
  <c r="Z960" i="1" s="1"/>
  <c r="AA963" i="1"/>
  <c r="AB966" i="1"/>
  <c r="Z966" i="1" s="1"/>
  <c r="AA969" i="1"/>
  <c r="AF973" i="1" a="1"/>
  <c r="AF973" i="1" s="1"/>
  <c r="X973" i="1" s="1"/>
  <c r="AA973" i="1" s="1"/>
  <c r="AG983" i="1" a="1"/>
  <c r="AG983" i="1" s="1"/>
  <c r="Y983" i="1" s="1"/>
  <c r="AB983" i="1" s="1"/>
  <c r="Z983" i="1" s="1"/>
  <c r="AF983" i="1" a="1"/>
  <c r="AF983" i="1" s="1"/>
  <c r="Z985" i="1"/>
  <c r="AG995" i="1" a="1"/>
  <c r="AG995" i="1" s="1"/>
  <c r="Y995" i="1" s="1"/>
  <c r="AB995" i="1" s="1"/>
  <c r="AF995" i="1" a="1"/>
  <c r="AF995" i="1" s="1"/>
  <c r="AA1006" i="1"/>
  <c r="AB1013" i="1"/>
  <c r="AA1013" i="1"/>
  <c r="AF1017" i="1" a="1"/>
  <c r="AF1017" i="1" s="1"/>
  <c r="AG1017" i="1" a="1"/>
  <c r="AG1017" i="1" s="1"/>
  <c r="Y1017" i="1" s="1"/>
  <c r="AB1017" i="1" s="1"/>
  <c r="AG1020" i="1" a="1"/>
  <c r="AG1020" i="1" s="1"/>
  <c r="Y1020" i="1" s="1"/>
  <c r="AB1020" i="1" s="1"/>
  <c r="Z1020" i="1" s="1"/>
  <c r="AB1022" i="1"/>
  <c r="Z1022" i="1" s="1"/>
  <c r="AG1032" i="1" a="1"/>
  <c r="AG1032" i="1" s="1"/>
  <c r="Y1032" i="1" s="1"/>
  <c r="AB1032" i="1" s="1"/>
  <c r="Z1032" i="1" s="1"/>
  <c r="AB1034" i="1"/>
  <c r="Z1034" i="1" s="1"/>
  <c r="Z1065" i="1"/>
  <c r="AA1088" i="1"/>
  <c r="AA837" i="1"/>
  <c r="Z837" i="1" s="1"/>
  <c r="AA849" i="1"/>
  <c r="AA861" i="1"/>
  <c r="Z861" i="1" s="1"/>
  <c r="AB897" i="1"/>
  <c r="AA897" i="1"/>
  <c r="AA903" i="1"/>
  <c r="Z903" i="1"/>
  <c r="AB370" i="1"/>
  <c r="AA370" i="1"/>
  <c r="Z370" i="1" s="1"/>
  <c r="AB914" i="1"/>
  <c r="AA914" i="1"/>
  <c r="Z914" i="1" s="1"/>
  <c r="AF1235" i="1" a="1"/>
  <c r="AF1235" i="1" s="1"/>
  <c r="X1235" i="1" s="1"/>
  <c r="AA1235" i="1" s="1"/>
  <c r="Z1235" i="1" s="1"/>
  <c r="AB1236" i="1"/>
  <c r="AA1236" i="1"/>
  <c r="AB459" i="1"/>
  <c r="AA459" i="1"/>
  <c r="Z459" i="1"/>
  <c r="AF578" i="1" a="1"/>
  <c r="AF578" i="1" s="1"/>
  <c r="AG578" i="1" a="1"/>
  <c r="AG578" i="1" s="1"/>
  <c r="Y578" i="1" s="1"/>
  <c r="AB578" i="1" s="1"/>
  <c r="AG976" i="1" a="1"/>
  <c r="AG976" i="1" s="1"/>
  <c r="Y976" i="1" s="1"/>
  <c r="AB976" i="1" s="1"/>
  <c r="Z976" i="1" s="1"/>
  <c r="AF976" i="1" a="1"/>
  <c r="AF976" i="1" s="1"/>
  <c r="Z978" i="1"/>
  <c r="AG988" i="1" a="1"/>
  <c r="AG988" i="1" s="1"/>
  <c r="Y988" i="1" s="1"/>
  <c r="AB988" i="1" s="1"/>
  <c r="Z988" i="1" s="1"/>
  <c r="AF988" i="1" a="1"/>
  <c r="AF988" i="1" s="1"/>
  <c r="AG1000" i="1" a="1"/>
  <c r="AG1000" i="1" s="1"/>
  <c r="Y1000" i="1" s="1"/>
  <c r="AB1000" i="1" s="1"/>
  <c r="Z1000" i="1" s="1"/>
  <c r="AF1000" i="1" a="1"/>
  <c r="AF1000" i="1" s="1"/>
  <c r="AB1029" i="1"/>
  <c r="Z1029" i="1" s="1"/>
  <c r="AB1036" i="1"/>
  <c r="Z1036" i="1" s="1"/>
  <c r="AB1038" i="1"/>
  <c r="Z1038" i="1" s="1"/>
  <c r="AB1040" i="1"/>
  <c r="Z1040" i="1" s="1"/>
  <c r="AB1042" i="1"/>
  <c r="Z1042" i="1" s="1"/>
  <c r="AG1052" i="1" a="1"/>
  <c r="AG1052" i="1" s="1"/>
  <c r="Y1052" i="1" s="1"/>
  <c r="AB1052" i="1" s="1"/>
  <c r="Z1052" i="1" s="1"/>
  <c r="AF1052" i="1" a="1"/>
  <c r="AF1052" i="1" s="1"/>
  <c r="AA1078" i="1"/>
  <c r="AG907" i="1" a="1"/>
  <c r="AG907" i="1" s="1"/>
  <c r="Y907" i="1" s="1"/>
  <c r="AB907" i="1" s="1"/>
  <c r="AF575" i="1" a="1"/>
  <c r="AF575" i="1" s="1"/>
  <c r="X575" i="1" s="1"/>
  <c r="AA575" i="1" s="1"/>
  <c r="AG575" i="1" a="1"/>
  <c r="AG575" i="1" s="1"/>
  <c r="Y575" i="1" s="1"/>
  <c r="AB575" i="1" s="1"/>
  <c r="AA927" i="1"/>
  <c r="Z927" i="1"/>
  <c r="Z930" i="1"/>
  <c r="AB917" i="1"/>
  <c r="Z917" i="1" s="1"/>
  <c r="AB1238" i="1"/>
  <c r="AG974" i="1" a="1"/>
  <c r="AG974" i="1" s="1"/>
  <c r="Y974" i="1" s="1"/>
  <c r="AB974" i="1" s="1"/>
  <c r="AF974" i="1" a="1"/>
  <c r="AF974" i="1" s="1"/>
  <c r="X974" i="1" s="1"/>
  <c r="AA974" i="1" s="1"/>
  <c r="AG981" i="1" a="1"/>
  <c r="AG981" i="1" s="1"/>
  <c r="Y981" i="1" s="1"/>
  <c r="AB981" i="1" s="1"/>
  <c r="AF981" i="1" a="1"/>
  <c r="AF981" i="1" s="1"/>
  <c r="AG993" i="1" a="1"/>
  <c r="AG993" i="1" s="1"/>
  <c r="Y993" i="1" s="1"/>
  <c r="AB993" i="1" s="1"/>
  <c r="AF993" i="1" a="1"/>
  <c r="AF993" i="1" s="1"/>
  <c r="Z995" i="1"/>
  <c r="AF1005" i="1" a="1"/>
  <c r="AF1005" i="1" s="1"/>
  <c r="X1005" i="1" s="1"/>
  <c r="AG1005" i="1" a="1"/>
  <c r="AG1005" i="1" s="1"/>
  <c r="Y1005" i="1" s="1"/>
  <c r="AB1005" i="1" s="1"/>
  <c r="Z1005" i="1" s="1"/>
  <c r="AG1010" i="1" a="1"/>
  <c r="AG1010" i="1" s="1"/>
  <c r="Y1010" i="1" s="1"/>
  <c r="AB1010" i="1" s="1"/>
  <c r="AF1010" i="1" a="1"/>
  <c r="AF1010" i="1" s="1"/>
  <c r="Z1017" i="1"/>
  <c r="AB1024" i="1"/>
  <c r="Z1024" i="1" s="1"/>
  <c r="AG1047" i="1" a="1"/>
  <c r="AG1047" i="1" s="1"/>
  <c r="Y1047" i="1" s="1"/>
  <c r="AB1047" i="1" s="1"/>
  <c r="Z1047" i="1" s="1"/>
  <c r="AF1047" i="1" a="1"/>
  <c r="AF1047" i="1" s="1"/>
  <c r="AG1101" i="1" a="1"/>
  <c r="AG1101" i="1" s="1"/>
  <c r="Y1101" i="1" s="1"/>
  <c r="AF1101" i="1" a="1"/>
  <c r="AF1101" i="1" s="1"/>
  <c r="AG1106" i="1" a="1"/>
  <c r="AG1106" i="1" s="1"/>
  <c r="Y1106" i="1" s="1"/>
  <c r="AF1106" i="1" a="1"/>
  <c r="AF1106" i="1" s="1"/>
  <c r="AB909" i="1"/>
  <c r="AA909" i="1"/>
  <c r="Z578" i="1"/>
  <c r="AG986" i="1" a="1"/>
  <c r="AG986" i="1" s="1"/>
  <c r="Y986" i="1" s="1"/>
  <c r="AB986" i="1" s="1"/>
  <c r="Z986" i="1" s="1"/>
  <c r="AF986" i="1" a="1"/>
  <c r="AF986" i="1" s="1"/>
  <c r="AG998" i="1" a="1"/>
  <c r="AG998" i="1" s="1"/>
  <c r="Y998" i="1" s="1"/>
  <c r="AB998" i="1" s="1"/>
  <c r="Z998" i="1" s="1"/>
  <c r="AF998" i="1" a="1"/>
  <c r="AF998" i="1" s="1"/>
  <c r="AB1008" i="1"/>
  <c r="AA1008" i="1"/>
  <c r="AB1015" i="1"/>
  <c r="AA1015" i="1"/>
  <c r="Z1015" i="1" s="1"/>
  <c r="AB1019" i="1"/>
  <c r="Z1019" i="1" s="1"/>
  <c r="AB1031" i="1"/>
  <c r="Z1031" i="1" s="1"/>
  <c r="AA1095" i="1"/>
  <c r="AF1205" i="1" a="1"/>
  <c r="AF1205" i="1" s="1"/>
  <c r="AG1205" i="1" a="1"/>
  <c r="AG1205" i="1" s="1"/>
  <c r="Y1205" i="1" s="1"/>
  <c r="AB1205" i="1" s="1"/>
  <c r="Z1205" i="1" s="1"/>
  <c r="AB877" i="1"/>
  <c r="Z877" i="1" s="1"/>
  <c r="AB896" i="1"/>
  <c r="Z896" i="1" s="1"/>
  <c r="AF897" i="1" a="1"/>
  <c r="AF897" i="1" s="1"/>
  <c r="AB926" i="1"/>
  <c r="AF1236" i="1" a="1"/>
  <c r="AF1236" i="1" s="1"/>
  <c r="AA578" i="1"/>
  <c r="AG979" i="1" a="1"/>
  <c r="AG979" i="1" s="1"/>
  <c r="Y979" i="1" s="1"/>
  <c r="AB979" i="1" s="1"/>
  <c r="Z979" i="1" s="1"/>
  <c r="AF979" i="1" a="1"/>
  <c r="AF979" i="1" s="1"/>
  <c r="Z981" i="1"/>
  <c r="AG991" i="1" a="1"/>
  <c r="AG991" i="1" s="1"/>
  <c r="Y991" i="1" s="1"/>
  <c r="AB991" i="1" s="1"/>
  <c r="Z991" i="1" s="1"/>
  <c r="AF991" i="1" a="1"/>
  <c r="AF991" i="1" s="1"/>
  <c r="Z993" i="1"/>
  <c r="AG1003" i="1" a="1"/>
  <c r="AG1003" i="1" s="1"/>
  <c r="Y1003" i="1" s="1"/>
  <c r="AB1003" i="1" s="1"/>
  <c r="Z1003" i="1" s="1"/>
  <c r="AF1003" i="1" a="1"/>
  <c r="AF1003" i="1" s="1"/>
  <c r="AA1010" i="1"/>
  <c r="AB1026" i="1"/>
  <c r="Z1026" i="1" s="1"/>
  <c r="AG1055" i="1" a="1"/>
  <c r="AG1055" i="1" s="1"/>
  <c r="Y1055" i="1" s="1"/>
  <c r="AB1055" i="1" s="1"/>
  <c r="Z1055" i="1" s="1"/>
  <c r="AF1055" i="1" a="1"/>
  <c r="AF1055" i="1" s="1"/>
  <c r="AB1118" i="1"/>
  <c r="AA1118" i="1"/>
  <c r="Z1118" i="1" s="1"/>
  <c r="AA899" i="1"/>
  <c r="Z899" i="1" s="1"/>
  <c r="Z920" i="1"/>
  <c r="AB945" i="1"/>
  <c r="AA945" i="1"/>
  <c r="Z945" i="1" s="1"/>
  <c r="AB938" i="1"/>
  <c r="Z938" i="1" s="1"/>
  <c r="AB1237" i="1"/>
  <c r="Z1237" i="1" s="1"/>
  <c r="AB445" i="1"/>
  <c r="AA445" i="1"/>
  <c r="Z445" i="1" s="1"/>
  <c r="AG984" i="1" a="1"/>
  <c r="AG984" i="1" s="1"/>
  <c r="Y984" i="1" s="1"/>
  <c r="AB984" i="1" s="1"/>
  <c r="Z984" i="1" s="1"/>
  <c r="AF984" i="1" a="1"/>
  <c r="AF984" i="1" s="1"/>
  <c r="AG996" i="1" a="1"/>
  <c r="AG996" i="1" s="1"/>
  <c r="Y996" i="1" s="1"/>
  <c r="AB996" i="1" s="1"/>
  <c r="Z996" i="1" s="1"/>
  <c r="AF996" i="1" a="1"/>
  <c r="AF996" i="1" s="1"/>
  <c r="AB1012" i="1"/>
  <c r="Z1012" i="1" s="1"/>
  <c r="AB1021" i="1"/>
  <c r="Z1021" i="1" s="1"/>
  <c r="AB1033" i="1"/>
  <c r="Z1033" i="1" s="1"/>
  <c r="AA1076" i="1"/>
  <c r="AF1099" i="1" a="1"/>
  <c r="AF1099" i="1" s="1"/>
  <c r="AG1099" i="1" a="1"/>
  <c r="AG1099" i="1" s="1"/>
  <c r="Y1099" i="1" s="1"/>
  <c r="AB1099" i="1" s="1"/>
  <c r="AG1115" i="1" a="1"/>
  <c r="AG1115" i="1" s="1"/>
  <c r="Y1115" i="1" s="1"/>
  <c r="AB1115" i="1" s="1"/>
  <c r="AF1115" i="1" a="1"/>
  <c r="AF1115" i="1" s="1"/>
  <c r="AA1123" i="1"/>
  <c r="AG1046" i="1" a="1"/>
  <c r="AG1046" i="1" s="1"/>
  <c r="Y1046" i="1" s="1"/>
  <c r="AB1046" i="1" s="1"/>
  <c r="Z1046" i="1" s="1"/>
  <c r="AA1066" i="1"/>
  <c r="AG1074" i="1" a="1"/>
  <c r="AG1074" i="1" s="1"/>
  <c r="Y1074" i="1" s="1"/>
  <c r="AB1074" i="1" s="1"/>
  <c r="Z1074" i="1" s="1"/>
  <c r="AF1074" i="1" a="1"/>
  <c r="AF1074" i="1" s="1"/>
  <c r="AG1076" i="1" a="1"/>
  <c r="AG1076" i="1" s="1"/>
  <c r="Y1076" i="1" s="1"/>
  <c r="AB1076" i="1" s="1"/>
  <c r="AF1076" i="1" a="1"/>
  <c r="AF1076" i="1" s="1"/>
  <c r="AG1083" i="1" a="1"/>
  <c r="AG1083" i="1" s="1"/>
  <c r="Y1083" i="1" s="1"/>
  <c r="AB1083" i="1" s="1"/>
  <c r="Z1083" i="1" s="1"/>
  <c r="AF1083" i="1" a="1"/>
  <c r="AF1083" i="1" s="1"/>
  <c r="AA1086" i="1"/>
  <c r="AB1121" i="1"/>
  <c r="Z1121" i="1" s="1"/>
  <c r="AB1125" i="1"/>
  <c r="AA1125" i="1"/>
  <c r="Z1125" i="1" s="1"/>
  <c r="AG1214" i="1" a="1"/>
  <c r="AG1214" i="1" s="1"/>
  <c r="Y1214" i="1" s="1"/>
  <c r="AG1241" i="1" a="1"/>
  <c r="AG1241" i="1" s="1"/>
  <c r="Y1241" i="1" s="1"/>
  <c r="AB1241" i="1" s="1"/>
  <c r="AF1241" i="1" a="1"/>
  <c r="AF1241" i="1" s="1"/>
  <c r="AB1265" i="1"/>
  <c r="AA1265" i="1"/>
  <c r="Z1265" i="1" s="1"/>
  <c r="AA1277" i="1"/>
  <c r="Z1277" i="1" s="1"/>
  <c r="AB1277" i="1"/>
  <c r="AA1288" i="1"/>
  <c r="AB1288" i="1"/>
  <c r="AF1405" i="1" a="1"/>
  <c r="AF1405" i="1" s="1"/>
  <c r="X1405" i="1" s="1"/>
  <c r="AG1405" i="1" a="1"/>
  <c r="AG1405" i="1" s="1"/>
  <c r="AF1049" i="1" a="1"/>
  <c r="AF1049" i="1" s="1"/>
  <c r="AF1053" i="1" a="1"/>
  <c r="AF1053" i="1" s="1"/>
  <c r="AF1057" i="1" a="1"/>
  <c r="AF1057" i="1" s="1"/>
  <c r="AA1063" i="1"/>
  <c r="AG1071" i="1" a="1"/>
  <c r="AG1071" i="1" s="1"/>
  <c r="Y1071" i="1" s="1"/>
  <c r="AB1071" i="1" s="1"/>
  <c r="Z1071" i="1" s="1"/>
  <c r="AF1071" i="1" a="1"/>
  <c r="AF1071" i="1" s="1"/>
  <c r="AA1074" i="1"/>
  <c r="AB1092" i="1"/>
  <c r="AB1113" i="1"/>
  <c r="AA1113" i="1"/>
  <c r="Z1113" i="1" s="1"/>
  <c r="AG1134" i="1" a="1"/>
  <c r="AG1134" i="1" s="1"/>
  <c r="Y1134" i="1" s="1"/>
  <c r="AF1134" i="1" a="1"/>
  <c r="AF1134" i="1" s="1"/>
  <c r="AB1147" i="1"/>
  <c r="Z1147" i="1" s="1"/>
  <c r="AB1168" i="1"/>
  <c r="Z1168" i="1" s="1"/>
  <c r="AB448" i="1"/>
  <c r="AA448" i="1"/>
  <c r="Z448" i="1"/>
  <c r="AB1072" i="1"/>
  <c r="Z1072" i="1" s="1"/>
  <c r="AB1106" i="1"/>
  <c r="Z1106" i="1" s="1"/>
  <c r="AA1111" i="1"/>
  <c r="AF1113" i="1" a="1"/>
  <c r="AF1113" i="1" s="1"/>
  <c r="AG1123" i="1" a="1"/>
  <c r="AG1123" i="1" s="1"/>
  <c r="Y1123" i="1" s="1"/>
  <c r="AB1123" i="1" s="1"/>
  <c r="AG1126" i="1" a="1"/>
  <c r="AG1126" i="1" s="1"/>
  <c r="Y1126" i="1" s="1"/>
  <c r="AF1126" i="1" a="1"/>
  <c r="AF1126" i="1" s="1"/>
  <c r="AG1138" i="1" a="1"/>
  <c r="AG1138" i="1" s="1"/>
  <c r="Y1138" i="1" s="1"/>
  <c r="AB1138" i="1" s="1"/>
  <c r="Z1138" i="1" s="1"/>
  <c r="AG1141" i="1" a="1"/>
  <c r="AG1141" i="1" s="1"/>
  <c r="Y1141" i="1" s="1"/>
  <c r="AB1141" i="1" s="1"/>
  <c r="Z1141" i="1" s="1"/>
  <c r="AG1144" i="1" a="1"/>
  <c r="AG1144" i="1" s="1"/>
  <c r="Y1144" i="1" s="1"/>
  <c r="AB1144" i="1" s="1"/>
  <c r="Z1144" i="1" s="1"/>
  <c r="AG1147" i="1" a="1"/>
  <c r="AG1147" i="1" s="1"/>
  <c r="Y1147" i="1" s="1"/>
  <c r="AG1150" i="1" a="1"/>
  <c r="AG1150" i="1" s="1"/>
  <c r="Y1150" i="1" s="1"/>
  <c r="AB1150" i="1" s="1"/>
  <c r="Z1150" i="1" s="1"/>
  <c r="AG1153" i="1" a="1"/>
  <c r="AG1153" i="1" s="1"/>
  <c r="Y1153" i="1" s="1"/>
  <c r="AB1153" i="1" s="1"/>
  <c r="Z1153" i="1" s="1"/>
  <c r="AG1156" i="1" a="1"/>
  <c r="AG1156" i="1" s="1"/>
  <c r="Y1156" i="1" s="1"/>
  <c r="AB1156" i="1" s="1"/>
  <c r="Z1156" i="1" s="1"/>
  <c r="AG1159" i="1" a="1"/>
  <c r="AG1159" i="1" s="1"/>
  <c r="Y1159" i="1" s="1"/>
  <c r="AB1159" i="1" s="1"/>
  <c r="Z1159" i="1" s="1"/>
  <c r="AG1162" i="1" a="1"/>
  <c r="AG1162" i="1" s="1"/>
  <c r="Y1162" i="1" s="1"/>
  <c r="AB1162" i="1" s="1"/>
  <c r="Z1162" i="1" s="1"/>
  <c r="AG1165" i="1" a="1"/>
  <c r="AG1165" i="1" s="1"/>
  <c r="Y1165" i="1" s="1"/>
  <c r="AB1165" i="1" s="1"/>
  <c r="Z1165" i="1" s="1"/>
  <c r="AG1168" i="1" a="1"/>
  <c r="AG1168" i="1" s="1"/>
  <c r="Y1168" i="1" s="1"/>
  <c r="AG1171" i="1" a="1"/>
  <c r="AG1171" i="1" s="1"/>
  <c r="Y1171" i="1" s="1"/>
  <c r="AB1171" i="1" s="1"/>
  <c r="Z1171" i="1" s="1"/>
  <c r="AG1174" i="1" a="1"/>
  <c r="AG1174" i="1" s="1"/>
  <c r="Y1174" i="1" s="1"/>
  <c r="AB1174" i="1" s="1"/>
  <c r="Z1174" i="1" s="1"/>
  <c r="AG1177" i="1" a="1"/>
  <c r="AG1177" i="1" s="1"/>
  <c r="Y1177" i="1" s="1"/>
  <c r="AB1177" i="1" s="1"/>
  <c r="Z1177" i="1" s="1"/>
  <c r="AG1194" i="1" a="1"/>
  <c r="AG1194" i="1" s="1"/>
  <c r="Y1194" i="1" s="1"/>
  <c r="AB1194" i="1" s="1"/>
  <c r="Z1194" i="1" s="1"/>
  <c r="AB1197" i="1"/>
  <c r="Z1197" i="1"/>
  <c r="AG1202" i="1" a="1"/>
  <c r="AG1202" i="1" s="1"/>
  <c r="Y1202" i="1" s="1"/>
  <c r="AB1202" i="1" s="1"/>
  <c r="Z1202" i="1" s="1"/>
  <c r="AA1212" i="1"/>
  <c r="Z1051" i="1"/>
  <c r="AB1063" i="1"/>
  <c r="Z1063" i="1" s="1"/>
  <c r="AB1080" i="1"/>
  <c r="AB1101" i="1"/>
  <c r="AA1101" i="1"/>
  <c r="Z1101" i="1" s="1"/>
  <c r="AG1104" i="1" a="1"/>
  <c r="AG1104" i="1" s="1"/>
  <c r="Y1104" i="1" s="1"/>
  <c r="AB1104" i="1" s="1"/>
  <c r="Z1104" i="1" s="1"/>
  <c r="AA1109" i="1"/>
  <c r="Z1109" i="1" s="1"/>
  <c r="AG1122" i="1" a="1"/>
  <c r="AG1122" i="1" s="1"/>
  <c r="Y1122" i="1" s="1"/>
  <c r="AF1122" i="1" a="1"/>
  <c r="AF1122" i="1" s="1"/>
  <c r="AG1124" i="1" a="1"/>
  <c r="AG1124" i="1" s="1"/>
  <c r="Y1124" i="1" s="1"/>
  <c r="AB1124" i="1" s="1"/>
  <c r="AF1124" i="1" a="1"/>
  <c r="AF1124" i="1" s="1"/>
  <c r="AG1131" i="1" a="1"/>
  <c r="AG1131" i="1" s="1"/>
  <c r="Y1131" i="1" s="1"/>
  <c r="AB1131" i="1" s="1"/>
  <c r="Z1131" i="1" s="1"/>
  <c r="AF1131" i="1" a="1"/>
  <c r="AF1131" i="1" s="1"/>
  <c r="AA1132" i="1"/>
  <c r="Z1132" i="1" s="1"/>
  <c r="AB1134" i="1"/>
  <c r="AA1134" i="1"/>
  <c r="Z1134" i="1" s="1"/>
  <c r="AG1181" i="1" a="1"/>
  <c r="AG1181" i="1" s="1"/>
  <c r="Y1181" i="1" s="1"/>
  <c r="AF1181" i="1" a="1"/>
  <c r="AF1181" i="1" s="1"/>
  <c r="AG1222" i="1" a="1"/>
  <c r="AG1222" i="1" s="1"/>
  <c r="Y1222" i="1" s="1"/>
  <c r="AB1222" i="1" s="1"/>
  <c r="AF1222" i="1" a="1"/>
  <c r="AF1222" i="1" s="1"/>
  <c r="AA1246" i="1"/>
  <c r="AB1279" i="1"/>
  <c r="AA1279" i="1"/>
  <c r="AB1062" i="1"/>
  <c r="AA1062" i="1"/>
  <c r="AB1065" i="1"/>
  <c r="AB1094" i="1"/>
  <c r="Z1094" i="1"/>
  <c r="AA1099" i="1"/>
  <c r="AG1111" i="1" a="1"/>
  <c r="AG1111" i="1" s="1"/>
  <c r="Y1111" i="1" s="1"/>
  <c r="AB1111" i="1" s="1"/>
  <c r="Z1111" i="1" s="1"/>
  <c r="AG1114" i="1" a="1"/>
  <c r="AG1114" i="1" s="1"/>
  <c r="Y1114" i="1" s="1"/>
  <c r="AB1114" i="1" s="1"/>
  <c r="AF1114" i="1" a="1"/>
  <c r="AF1114" i="1" s="1"/>
  <c r="AF1118" i="1" a="1"/>
  <c r="AF1118" i="1" s="1"/>
  <c r="AB1126" i="1"/>
  <c r="AA1126" i="1"/>
  <c r="Z1126" i="1" s="1"/>
  <c r="Z1129" i="1"/>
  <c r="AB1132" i="1"/>
  <c r="AB1210" i="1"/>
  <c r="AF1247" i="1" a="1"/>
  <c r="AF1247" i="1" s="1"/>
  <c r="AG1247" i="1" a="1"/>
  <c r="AG1247" i="1" s="1"/>
  <c r="Y1247" i="1" s="1"/>
  <c r="AB1276" i="1"/>
  <c r="AA1276" i="1"/>
  <c r="Z1276" i="1" s="1"/>
  <c r="Z224" i="1"/>
  <c r="AB1085" i="1"/>
  <c r="Z1085" i="1" s="1"/>
  <c r="AB1089" i="1"/>
  <c r="AA1089" i="1"/>
  <c r="Z1089" i="1"/>
  <c r="AA1097" i="1"/>
  <c r="Z1097" i="1" s="1"/>
  <c r="AG1110" i="1" a="1"/>
  <c r="AG1110" i="1" s="1"/>
  <c r="Y1110" i="1" s="1"/>
  <c r="AF1110" i="1" a="1"/>
  <c r="AF1110" i="1" s="1"/>
  <c r="AG1112" i="1" a="1"/>
  <c r="AG1112" i="1" s="1"/>
  <c r="Y1112" i="1" s="1"/>
  <c r="AB1112" i="1" s="1"/>
  <c r="Z1112" i="1" s="1"/>
  <c r="AF1112" i="1" a="1"/>
  <c r="AF1112" i="1" s="1"/>
  <c r="AG1119" i="1" a="1"/>
  <c r="AG1119" i="1" s="1"/>
  <c r="Y1119" i="1" s="1"/>
  <c r="AB1119" i="1" s="1"/>
  <c r="Z1119" i="1" s="1"/>
  <c r="AF1119" i="1" a="1"/>
  <c r="AF1119" i="1" s="1"/>
  <c r="AA1120" i="1"/>
  <c r="Z1120" i="1" s="1"/>
  <c r="AB1122" i="1"/>
  <c r="AA1122" i="1"/>
  <c r="AB1129" i="1"/>
  <c r="AG1136" i="1" a="1"/>
  <c r="AG1136" i="1" s="1"/>
  <c r="Y1136" i="1" s="1"/>
  <c r="AB1136" i="1" s="1"/>
  <c r="Z1136" i="1" s="1"/>
  <c r="AB1139" i="1"/>
  <c r="Z1139" i="1"/>
  <c r="AB1142" i="1"/>
  <c r="Z1142" i="1" s="1"/>
  <c r="AB1145" i="1"/>
  <c r="Z1145" i="1"/>
  <c r="AB1151" i="1"/>
  <c r="Z1151" i="1" s="1"/>
  <c r="AB1154" i="1"/>
  <c r="Z1154" i="1" s="1"/>
  <c r="AB1157" i="1"/>
  <c r="Z1157" i="1"/>
  <c r="AB1160" i="1"/>
  <c r="Z1160" i="1" s="1"/>
  <c r="AB1163" i="1"/>
  <c r="Z1163" i="1"/>
  <c r="AB1166" i="1"/>
  <c r="Z1166" i="1"/>
  <c r="AB1169" i="1"/>
  <c r="Z1169" i="1" s="1"/>
  <c r="AB1172" i="1"/>
  <c r="Z1172" i="1" s="1"/>
  <c r="AB1175" i="1"/>
  <c r="Z1175" i="1" s="1"/>
  <c r="AB1178" i="1"/>
  <c r="Z1178" i="1" s="1"/>
  <c r="AB1181" i="1"/>
  <c r="Z1181" i="1" s="1"/>
  <c r="AB1213" i="1"/>
  <c r="AA1213" i="1"/>
  <c r="Z1213" i="1" s="1"/>
  <c r="AA1222" i="1"/>
  <c r="Z1222" i="1" s="1"/>
  <c r="AG1262" i="1" a="1"/>
  <c r="AG1262" i="1" s="1"/>
  <c r="Y1262" i="1" s="1"/>
  <c r="AB1262" i="1" s="1"/>
  <c r="AF1262" i="1" a="1"/>
  <c r="AF1262" i="1" s="1"/>
  <c r="AG1267" i="1" a="1"/>
  <c r="AG1267" i="1" s="1"/>
  <c r="Y1267" i="1" s="1"/>
  <c r="AB1267" i="1" s="1"/>
  <c r="AF1267" i="1" a="1"/>
  <c r="AF1267" i="1" s="1"/>
  <c r="AA1274" i="1"/>
  <c r="Z1058" i="1"/>
  <c r="AG1064" i="1" a="1"/>
  <c r="AG1064" i="1" s="1"/>
  <c r="Y1064" i="1" s="1"/>
  <c r="AB1064" i="1" s="1"/>
  <c r="Z1064" i="1" s="1"/>
  <c r="AF1064" i="1" a="1"/>
  <c r="AF1064" i="1" s="1"/>
  <c r="AB1082" i="1"/>
  <c r="AB1087" i="1"/>
  <c r="AA1087" i="1"/>
  <c r="Z1087" i="1" s="1"/>
  <c r="AG1102" i="1" a="1"/>
  <c r="AG1102" i="1" s="1"/>
  <c r="Y1102" i="1" s="1"/>
  <c r="AB1102" i="1" s="1"/>
  <c r="Z1102" i="1" s="1"/>
  <c r="AF1102" i="1" a="1"/>
  <c r="AF1102" i="1" s="1"/>
  <c r="AA1114" i="1"/>
  <c r="Z1114" i="1" s="1"/>
  <c r="AA1124" i="1"/>
  <c r="AF1193" i="1" a="1"/>
  <c r="AF1193" i="1" s="1"/>
  <c r="AG1193" i="1" a="1"/>
  <c r="AG1193" i="1" s="1"/>
  <c r="Y1193" i="1" s="1"/>
  <c r="AF1201" i="1" a="1"/>
  <c r="AF1201" i="1" s="1"/>
  <c r="AG1201" i="1" a="1"/>
  <c r="AG1201" i="1" s="1"/>
  <c r="Y1201" i="1" s="1"/>
  <c r="AB1201" i="1" s="1"/>
  <c r="Z1201" i="1" s="1"/>
  <c r="AA1244" i="1"/>
  <c r="AF1065" i="1" a="1"/>
  <c r="AF1065" i="1" s="1"/>
  <c r="AB1077" i="1"/>
  <c r="AA1077" i="1"/>
  <c r="Z1077" i="1" s="1"/>
  <c r="AF1091" i="1" a="1"/>
  <c r="AF1091" i="1" s="1"/>
  <c r="AG1098" i="1" a="1"/>
  <c r="AG1098" i="1" s="1"/>
  <c r="Y1098" i="1" s="1"/>
  <c r="AB1098" i="1" s="1"/>
  <c r="AF1098" i="1" a="1"/>
  <c r="AF1098" i="1" s="1"/>
  <c r="AG1100" i="1" a="1"/>
  <c r="AG1100" i="1" s="1"/>
  <c r="Y1100" i="1" s="1"/>
  <c r="AB1100" i="1" s="1"/>
  <c r="AF1100" i="1" a="1"/>
  <c r="AF1100" i="1" s="1"/>
  <c r="AG1107" i="1" a="1"/>
  <c r="AG1107" i="1" s="1"/>
  <c r="Y1107" i="1" s="1"/>
  <c r="AB1107" i="1" s="1"/>
  <c r="Z1107" i="1" s="1"/>
  <c r="AF1107" i="1" a="1"/>
  <c r="AF1107" i="1" s="1"/>
  <c r="AB1110" i="1"/>
  <c r="AA1110" i="1"/>
  <c r="AG1179" i="1" a="1"/>
  <c r="AG1179" i="1" s="1"/>
  <c r="Y1179" i="1" s="1"/>
  <c r="AB1179" i="1" s="1"/>
  <c r="Z1179" i="1" s="1"/>
  <c r="AF1179" i="1" a="1"/>
  <c r="AF1179" i="1" s="1"/>
  <c r="AB1183" i="1"/>
  <c r="Z1183" i="1" s="1"/>
  <c r="AF1186" i="1" a="1"/>
  <c r="AF1186" i="1" s="1"/>
  <c r="AG1186" i="1" a="1"/>
  <c r="AG1186" i="1" s="1"/>
  <c r="Y1186" i="1" s="1"/>
  <c r="AB1186" i="1" s="1"/>
  <c r="Z1186" i="1" s="1"/>
  <c r="AB1190" i="1"/>
  <c r="Z1190" i="1" s="1"/>
  <c r="AA902" i="1"/>
  <c r="AA926" i="1"/>
  <c r="Z926" i="1" s="1"/>
  <c r="AA1238" i="1"/>
  <c r="Z1238" i="1" s="1"/>
  <c r="AA1007" i="1"/>
  <c r="AF1016" i="1" a="1"/>
  <c r="AF1016" i="1" s="1"/>
  <c r="AB1050" i="1"/>
  <c r="Z1050" i="1" s="1"/>
  <c r="AB1054" i="1"/>
  <c r="Z1054" i="1" s="1"/>
  <c r="AB1058" i="1"/>
  <c r="AA1067" i="1"/>
  <c r="Z1067" i="1"/>
  <c r="AB1070" i="1"/>
  <c r="Z1070" i="1" s="1"/>
  <c r="AB1075" i="1"/>
  <c r="AA1075" i="1"/>
  <c r="Z1075" i="1" s="1"/>
  <c r="AA1082" i="1"/>
  <c r="Z1082" i="1" s="1"/>
  <c r="AG1090" i="1" a="1"/>
  <c r="AG1090" i="1" s="1"/>
  <c r="Y1090" i="1" s="1"/>
  <c r="AB1090" i="1" s="1"/>
  <c r="AF1090" i="1" a="1"/>
  <c r="AF1090" i="1" s="1"/>
  <c r="AA1102" i="1"/>
  <c r="AB1108" i="1"/>
  <c r="Z1108" i="1" s="1"/>
  <c r="AG1190" i="1" a="1"/>
  <c r="AG1190" i="1" s="1"/>
  <c r="Y1190" i="1" s="1"/>
  <c r="AB1193" i="1"/>
  <c r="Z1193" i="1" s="1"/>
  <c r="AG1198" i="1" a="1"/>
  <c r="AG1198" i="1" s="1"/>
  <c r="Y1198" i="1" s="1"/>
  <c r="AB1198" i="1" s="1"/>
  <c r="Z1198" i="1" s="1"/>
  <c r="AG1206" i="1" a="1"/>
  <c r="AG1206" i="1" s="1"/>
  <c r="Y1206" i="1" s="1"/>
  <c r="AB1206" i="1" s="1"/>
  <c r="Z1206" i="1" s="1"/>
  <c r="AB474" i="1"/>
  <c r="Z474" i="1" s="1"/>
  <c r="Z1049" i="1"/>
  <c r="Z1053" i="1"/>
  <c r="Z1057" i="1"/>
  <c r="AG1066" i="1" a="1"/>
  <c r="AG1066" i="1" s="1"/>
  <c r="Y1066" i="1" s="1"/>
  <c r="AB1066" i="1" s="1"/>
  <c r="AF1066" i="1" a="1"/>
  <c r="AF1066" i="1" s="1"/>
  <c r="AG1068" i="1" a="1"/>
  <c r="AG1068" i="1" s="1"/>
  <c r="Y1068" i="1" s="1"/>
  <c r="AB1068" i="1" s="1"/>
  <c r="Z1068" i="1" s="1"/>
  <c r="AA1073" i="1"/>
  <c r="Z1073" i="1" s="1"/>
  <c r="Z1084" i="1"/>
  <c r="AG1086" i="1" a="1"/>
  <c r="AG1086" i="1" s="1"/>
  <c r="Y1086" i="1" s="1"/>
  <c r="AB1086" i="1" s="1"/>
  <c r="AF1086" i="1" a="1"/>
  <c r="AF1086" i="1" s="1"/>
  <c r="AG1088" i="1" a="1"/>
  <c r="AG1088" i="1" s="1"/>
  <c r="Y1088" i="1" s="1"/>
  <c r="AB1088" i="1" s="1"/>
  <c r="Z1088" i="1" s="1"/>
  <c r="AF1088" i="1" a="1"/>
  <c r="AF1088" i="1" s="1"/>
  <c r="AG1095" i="1" a="1"/>
  <c r="AG1095" i="1" s="1"/>
  <c r="Y1095" i="1" s="1"/>
  <c r="AB1095" i="1" s="1"/>
  <c r="Z1095" i="1" s="1"/>
  <c r="AF1095" i="1" a="1"/>
  <c r="AF1095" i="1" s="1"/>
  <c r="AA1096" i="1"/>
  <c r="Z1096" i="1" s="1"/>
  <c r="AA1098" i="1"/>
  <c r="AB1105" i="1"/>
  <c r="Z1105" i="1" s="1"/>
  <c r="Z1110" i="1"/>
  <c r="AB1116" i="1"/>
  <c r="AB1133" i="1"/>
  <c r="Z1133" i="1" s="1"/>
  <c r="AB1146" i="1"/>
  <c r="Z1146" i="1"/>
  <c r="AB1149" i="1"/>
  <c r="Z1149" i="1" s="1"/>
  <c r="AF1184" i="1" a="1"/>
  <c r="AF1184" i="1" s="1"/>
  <c r="AG1184" i="1" a="1"/>
  <c r="AG1184" i="1" s="1"/>
  <c r="Y1184" i="1" s="1"/>
  <c r="AB1184" i="1" s="1"/>
  <c r="Z1184" i="1" s="1"/>
  <c r="AB1209" i="1"/>
  <c r="Z1209" i="1"/>
  <c r="AA1219" i="1"/>
  <c r="AB1219" i="1"/>
  <c r="Z1219" i="1" s="1"/>
  <c r="AG1078" i="1" a="1"/>
  <c r="AG1078" i="1" s="1"/>
  <c r="Y1078" i="1" s="1"/>
  <c r="AB1078" i="1" s="1"/>
  <c r="AF1078" i="1" a="1"/>
  <c r="AF1078" i="1" s="1"/>
  <c r="AA1090" i="1"/>
  <c r="Z1090" i="1" s="1"/>
  <c r="AB1096" i="1"/>
  <c r="AA1100" i="1"/>
  <c r="AB1130" i="1"/>
  <c r="Z1130" i="1" s="1"/>
  <c r="AB1135" i="1"/>
  <c r="AA1135" i="1"/>
  <c r="Z1135" i="1" s="1"/>
  <c r="AG1137" i="1" a="1"/>
  <c r="AG1137" i="1" s="1"/>
  <c r="Y1137" i="1" s="1"/>
  <c r="AB1137" i="1" s="1"/>
  <c r="Z1137" i="1" s="1"/>
  <c r="AG1140" i="1" a="1"/>
  <c r="AG1140" i="1" s="1"/>
  <c r="Y1140" i="1" s="1"/>
  <c r="AB1140" i="1" s="1"/>
  <c r="Z1140" i="1" s="1"/>
  <c r="AG1143" i="1" a="1"/>
  <c r="AG1143" i="1" s="1"/>
  <c r="Y1143" i="1" s="1"/>
  <c r="AB1143" i="1" s="1"/>
  <c r="Z1143" i="1" s="1"/>
  <c r="AG1146" i="1" a="1"/>
  <c r="AG1146" i="1" s="1"/>
  <c r="Y1146" i="1" s="1"/>
  <c r="AG1149" i="1" a="1"/>
  <c r="AG1149" i="1" s="1"/>
  <c r="Y1149" i="1" s="1"/>
  <c r="AG1152" i="1" a="1"/>
  <c r="AG1152" i="1" s="1"/>
  <c r="Y1152" i="1" s="1"/>
  <c r="AB1152" i="1" s="1"/>
  <c r="Z1152" i="1" s="1"/>
  <c r="AG1155" i="1" a="1"/>
  <c r="AG1155" i="1" s="1"/>
  <c r="Y1155" i="1" s="1"/>
  <c r="AB1155" i="1" s="1"/>
  <c r="Z1155" i="1" s="1"/>
  <c r="AG1158" i="1" a="1"/>
  <c r="AG1158" i="1" s="1"/>
  <c r="Y1158" i="1" s="1"/>
  <c r="AB1158" i="1" s="1"/>
  <c r="Z1158" i="1" s="1"/>
  <c r="AG1161" i="1" a="1"/>
  <c r="AG1161" i="1" s="1"/>
  <c r="Y1161" i="1" s="1"/>
  <c r="AB1161" i="1" s="1"/>
  <c r="Z1161" i="1" s="1"/>
  <c r="AG1164" i="1" a="1"/>
  <c r="AG1164" i="1" s="1"/>
  <c r="Y1164" i="1" s="1"/>
  <c r="AB1164" i="1" s="1"/>
  <c r="Z1164" i="1" s="1"/>
  <c r="AG1167" i="1" a="1"/>
  <c r="AG1167" i="1" s="1"/>
  <c r="Y1167" i="1" s="1"/>
  <c r="AB1167" i="1" s="1"/>
  <c r="Z1167" i="1" s="1"/>
  <c r="AG1170" i="1" a="1"/>
  <c r="AG1170" i="1" s="1"/>
  <c r="Y1170" i="1" s="1"/>
  <c r="AB1170" i="1" s="1"/>
  <c r="Z1170" i="1" s="1"/>
  <c r="AG1173" i="1" a="1"/>
  <c r="AG1173" i="1" s="1"/>
  <c r="Y1173" i="1" s="1"/>
  <c r="AB1173" i="1" s="1"/>
  <c r="Z1173" i="1" s="1"/>
  <c r="AG1176" i="1" a="1"/>
  <c r="AG1176" i="1" s="1"/>
  <c r="Y1176" i="1" s="1"/>
  <c r="AB1176" i="1" s="1"/>
  <c r="Z1176" i="1" s="1"/>
  <c r="AG1180" i="1" a="1"/>
  <c r="AG1180" i="1" s="1"/>
  <c r="Y1180" i="1" s="1"/>
  <c r="AB1180" i="1" s="1"/>
  <c r="Z1180" i="1" s="1"/>
  <c r="AF1180" i="1" a="1"/>
  <c r="AF1180" i="1" s="1"/>
  <c r="AG1217" i="1" a="1"/>
  <c r="AG1217" i="1" s="1"/>
  <c r="Y1217" i="1" s="1"/>
  <c r="AF1217" i="1" a="1"/>
  <c r="AF1217" i="1" s="1"/>
  <c r="AA1223" i="1"/>
  <c r="AA1245" i="1"/>
  <c r="AB1245" i="1"/>
  <c r="AB1250" i="1"/>
  <c r="AA1250" i="1"/>
  <c r="Z1250" i="1" s="1"/>
  <c r="AG1271" i="1" a="1"/>
  <c r="AG1271" i="1" s="1"/>
  <c r="Y1271" i="1" s="1"/>
  <c r="AF1271" i="1" a="1"/>
  <c r="AF1271" i="1" s="1"/>
  <c r="AA1275" i="1"/>
  <c r="AB1275" i="1"/>
  <c r="AB922" i="1"/>
  <c r="Z922" i="1" s="1"/>
  <c r="AB1252" i="1"/>
  <c r="AA1252" i="1"/>
  <c r="AA1254" i="1"/>
  <c r="AB1256" i="1"/>
  <c r="AA1256" i="1"/>
  <c r="Z1256" i="1" s="1"/>
  <c r="AB1258" i="1"/>
  <c r="AA1258" i="1"/>
  <c r="Z1258" i="1" s="1"/>
  <c r="AB1260" i="1"/>
  <c r="AA1260" i="1"/>
  <c r="Z1260" i="1" s="1"/>
  <c r="AG1269" i="1" a="1"/>
  <c r="AG1269" i="1" s="1"/>
  <c r="Y1269" i="1" s="1"/>
  <c r="AB1269" i="1" s="1"/>
  <c r="Z1269" i="1" s="1"/>
  <c r="AF1269" i="1" a="1"/>
  <c r="AF1269" i="1" s="1"/>
  <c r="AB1291" i="1"/>
  <c r="AA1291" i="1"/>
  <c r="AB1293" i="1"/>
  <c r="AA1307" i="1"/>
  <c r="Z1307" i="1" s="1"/>
  <c r="AB1307" i="1"/>
  <c r="AB1402" i="1"/>
  <c r="AA1402" i="1"/>
  <c r="AF1213" i="1" a="1"/>
  <c r="AF1213" i="1" s="1"/>
  <c r="AA1216" i="1"/>
  <c r="AF1284" i="1" a="1"/>
  <c r="AF1284" i="1" s="1"/>
  <c r="AG1284" i="1" a="1"/>
  <c r="AG1284" i="1" s="1"/>
  <c r="Z1291" i="1"/>
  <c r="AA1298" i="1"/>
  <c r="AF1340" i="1" a="1"/>
  <c r="AF1340" i="1" s="1"/>
  <c r="X1340" i="1" s="1"/>
  <c r="AA1340" i="1" s="1"/>
  <c r="AG1340" i="1" a="1"/>
  <c r="AG1340" i="1" s="1"/>
  <c r="Y1340" i="1" s="1"/>
  <c r="AB1372" i="1"/>
  <c r="AF1375" i="1" a="1"/>
  <c r="AF1375" i="1" s="1"/>
  <c r="X1375" i="1" s="1"/>
  <c r="AA1375" i="1" s="1"/>
  <c r="Z1375" i="1" s="1"/>
  <c r="AG1375" i="1" a="1"/>
  <c r="AG1375" i="1" s="1"/>
  <c r="AF1072" i="1" a="1"/>
  <c r="AF1072" i="1" s="1"/>
  <c r="AF1084" i="1" a="1"/>
  <c r="AF1084" i="1" s="1"/>
  <c r="AF1096" i="1" a="1"/>
  <c r="AF1096" i="1" s="1"/>
  <c r="AF1108" i="1" a="1"/>
  <c r="AF1108" i="1" s="1"/>
  <c r="AF1120" i="1" a="1"/>
  <c r="AF1120" i="1" s="1"/>
  <c r="AF1132" i="1" a="1"/>
  <c r="AF1132" i="1" s="1"/>
  <c r="AG1189" i="1" a="1"/>
  <c r="AG1189" i="1" s="1"/>
  <c r="Y1189" i="1" s="1"/>
  <c r="AB1189" i="1" s="1"/>
  <c r="Z1189" i="1" s="1"/>
  <c r="AB1216" i="1"/>
  <c r="AF462" i="1" a="1"/>
  <c r="AF462" i="1" s="1"/>
  <c r="X462" i="1" s="1"/>
  <c r="AA1241" i="1"/>
  <c r="Z1241" i="1" s="1"/>
  <c r="AF1265" i="1" a="1"/>
  <c r="AF1265" i="1" s="1"/>
  <c r="AA1267" i="1"/>
  <c r="Z1267" i="1" s="1"/>
  <c r="AB1619" i="1"/>
  <c r="T1619" i="1"/>
  <c r="AA1619" i="1" s="1"/>
  <c r="Z1286" i="1"/>
  <c r="AF1289" i="1" a="1"/>
  <c r="AF1289" i="1" s="1"/>
  <c r="AG1289" i="1" a="1"/>
  <c r="AG1289" i="1" s="1"/>
  <c r="AA1293" i="1"/>
  <c r="Z1293" i="1" s="1"/>
  <c r="AF1300" i="1" a="1"/>
  <c r="AF1300" i="1" s="1"/>
  <c r="X1300" i="1" s="1"/>
  <c r="AG1223" i="1" a="1"/>
  <c r="AG1223" i="1" s="1"/>
  <c r="Y1223" i="1" s="1"/>
  <c r="AB1223" i="1" s="1"/>
  <c r="AA1247" i="1"/>
  <c r="AB1247" i="1"/>
  <c r="AF1266" i="1" a="1"/>
  <c r="AF1266" i="1" s="1"/>
  <c r="AG1266" i="1" a="1"/>
  <c r="AG1266" i="1" s="1"/>
  <c r="Y1266" i="1" s="1"/>
  <c r="AB1266" i="1" s="1"/>
  <c r="Z1266" i="1" s="1"/>
  <c r="AA1269" i="1"/>
  <c r="AF1282" i="1" a="1"/>
  <c r="AF1282" i="1" s="1"/>
  <c r="AG1282" i="1" a="1"/>
  <c r="AG1282" i="1" s="1"/>
  <c r="AB1305" i="1"/>
  <c r="AB1311" i="1"/>
  <c r="AB1318" i="1"/>
  <c r="AG1188" i="1" a="1"/>
  <c r="AG1188" i="1" s="1"/>
  <c r="Y1188" i="1" s="1"/>
  <c r="AB1188" i="1" s="1"/>
  <c r="Z1188" i="1" s="1"/>
  <c r="AA1215" i="1"/>
  <c r="AB1221" i="1"/>
  <c r="AA1221" i="1"/>
  <c r="AA446" i="1"/>
  <c r="AF449" i="1" a="1"/>
  <c r="AF449" i="1" s="1"/>
  <c r="AF922" i="1" a="1"/>
  <c r="AF922" i="1" s="1"/>
  <c r="AF1287" i="1" a="1"/>
  <c r="AF1287" i="1" s="1"/>
  <c r="AG1287" i="1" a="1"/>
  <c r="AG1287" i="1" s="1"/>
  <c r="AB1289" i="1"/>
  <c r="AA1289" i="1"/>
  <c r="Z1289" i="1" s="1"/>
  <c r="AG1306" i="1" a="1"/>
  <c r="AG1306" i="1" s="1"/>
  <c r="Y1306" i="1" s="1"/>
  <c r="AB1306" i="1" s="1"/>
  <c r="AF1306" i="1" a="1"/>
  <c r="AF1306" i="1" s="1"/>
  <c r="X1306" i="1" s="1"/>
  <c r="AA1306" i="1" s="1"/>
  <c r="AF1308" i="1" a="1"/>
  <c r="AF1308" i="1" s="1"/>
  <c r="X1308" i="1" s="1"/>
  <c r="AA1308" i="1" s="1"/>
  <c r="AG1308" i="1" a="1"/>
  <c r="AG1308" i="1" s="1"/>
  <c r="Y1308" i="1" s="1"/>
  <c r="AB1308" i="1" s="1"/>
  <c r="AA1316" i="1"/>
  <c r="Z1079" i="1"/>
  <c r="Z1091" i="1"/>
  <c r="Z1115" i="1"/>
  <c r="Z1127" i="1"/>
  <c r="AG1192" i="1" a="1"/>
  <c r="AG1192" i="1" s="1"/>
  <c r="Y1192" i="1" s="1"/>
  <c r="AB1192" i="1" s="1"/>
  <c r="Z1192" i="1" s="1"/>
  <c r="AG1196" i="1" a="1"/>
  <c r="AG1196" i="1" s="1"/>
  <c r="Y1196" i="1" s="1"/>
  <c r="AB1196" i="1" s="1"/>
  <c r="Z1196" i="1" s="1"/>
  <c r="AG1200" i="1" a="1"/>
  <c r="AG1200" i="1" s="1"/>
  <c r="Y1200" i="1" s="1"/>
  <c r="AB1200" i="1" s="1"/>
  <c r="Z1200" i="1" s="1"/>
  <c r="AG1204" i="1" a="1"/>
  <c r="AG1204" i="1" s="1"/>
  <c r="Y1204" i="1" s="1"/>
  <c r="AB1204" i="1" s="1"/>
  <c r="Z1204" i="1" s="1"/>
  <c r="AG1208" i="1" a="1"/>
  <c r="AG1208" i="1" s="1"/>
  <c r="Y1208" i="1" s="1"/>
  <c r="AB1208" i="1" s="1"/>
  <c r="Z1208" i="1" s="1"/>
  <c r="AF461" i="1" a="1"/>
  <c r="AF461" i="1" s="1"/>
  <c r="X461" i="1" s="1"/>
  <c r="AA461" i="1" s="1"/>
  <c r="Z461" i="1" s="1"/>
  <c r="AA450" i="1"/>
  <c r="AA1249" i="1"/>
  <c r="AA1264" i="1"/>
  <c r="Z1264" i="1" s="1"/>
  <c r="AG1268" i="1" a="1"/>
  <c r="AG1268" i="1" s="1"/>
  <c r="Y1268" i="1" s="1"/>
  <c r="AB1268" i="1" s="1"/>
  <c r="Z1268" i="1" s="1"/>
  <c r="AF1268" i="1" a="1"/>
  <c r="AF1268" i="1" s="1"/>
  <c r="AA1271" i="1"/>
  <c r="AF1274" i="1" a="1"/>
  <c r="AF1274" i="1" s="1"/>
  <c r="AG1274" i="1" a="1"/>
  <c r="AG1274" i="1" s="1"/>
  <c r="Y1274" i="1" s="1"/>
  <c r="AB1274" i="1" s="1"/>
  <c r="Z1274" i="1" s="1"/>
  <c r="AB1284" i="1"/>
  <c r="Z1284" i="1" s="1"/>
  <c r="AB1292" i="1"/>
  <c r="AA1292" i="1"/>
  <c r="Z1292" i="1" s="1"/>
  <c r="AG1294" i="1" a="1"/>
  <c r="AG1294" i="1" s="1"/>
  <c r="Y1294" i="1" s="1"/>
  <c r="AB1294" i="1" s="1"/>
  <c r="AF1294" i="1" a="1"/>
  <c r="AF1294" i="1" s="1"/>
  <c r="X1294" i="1" s="1"/>
  <c r="AA1294" i="1" s="1"/>
  <c r="Z1294" i="1" s="1"/>
  <c r="AA1311" i="1"/>
  <c r="AB1323" i="1"/>
  <c r="Z1080" i="1"/>
  <c r="Z1092" i="1"/>
  <c r="Z1116" i="1"/>
  <c r="AG1187" i="1" a="1"/>
  <c r="AG1187" i="1" s="1"/>
  <c r="Y1187" i="1" s="1"/>
  <c r="AB1187" i="1" s="1"/>
  <c r="Z1187" i="1" s="1"/>
  <c r="AG1212" i="1" a="1"/>
  <c r="AG1212" i="1" s="1"/>
  <c r="Y1212" i="1" s="1"/>
  <c r="AB1212" i="1" s="1"/>
  <c r="AA1218" i="1"/>
  <c r="Z1218" i="1" s="1"/>
  <c r="Z1221" i="1"/>
  <c r="Z446" i="1"/>
  <c r="AA447" i="1"/>
  <c r="Z447" i="1" s="1"/>
  <c r="AB450" i="1"/>
  <c r="AG1243" i="1" a="1"/>
  <c r="AG1243" i="1" s="1"/>
  <c r="Y1243" i="1" s="1"/>
  <c r="AB1243" i="1" s="1"/>
  <c r="Z1243" i="1" s="1"/>
  <c r="AF1243" i="1" a="1"/>
  <c r="AF1243" i="1" s="1"/>
  <c r="AB1251" i="1"/>
  <c r="AA1251" i="1"/>
  <c r="Z1251" i="1" s="1"/>
  <c r="AB1253" i="1"/>
  <c r="AA1253" i="1"/>
  <c r="Z1253" i="1"/>
  <c r="AB1255" i="1"/>
  <c r="AA1255" i="1"/>
  <c r="AA1257" i="1"/>
  <c r="AB1257" i="1"/>
  <c r="AB1259" i="1"/>
  <c r="AA1259" i="1"/>
  <c r="Z1259" i="1"/>
  <c r="AB1264" i="1"/>
  <c r="AB1271" i="1"/>
  <c r="AG1546" i="1" a="1"/>
  <c r="AG1546" i="1" s="1"/>
  <c r="Y1546" i="1" s="1"/>
  <c r="Z1282" i="1"/>
  <c r="AF1285" i="1" a="1"/>
  <c r="AF1285" i="1" s="1"/>
  <c r="AG1285" i="1" a="1"/>
  <c r="AG1285" i="1" s="1"/>
  <c r="AF1290" i="1" a="1"/>
  <c r="AF1290" i="1" s="1"/>
  <c r="AG1290" i="1" a="1"/>
  <c r="AG1290" i="1" s="1"/>
  <c r="AA1301" i="1"/>
  <c r="AB1301" i="1"/>
  <c r="Z1301" i="1"/>
  <c r="AG1324" i="1" a="1"/>
  <c r="AG1324" i="1" s="1"/>
  <c r="Y1324" i="1" s="1"/>
  <c r="AF1324" i="1" a="1"/>
  <c r="AF1324" i="1" s="1"/>
  <c r="X1324" i="1" s="1"/>
  <c r="AF1326" i="1" a="1"/>
  <c r="AF1326" i="1" s="1"/>
  <c r="X1326" i="1" s="1"/>
  <c r="AA1326" i="1" s="1"/>
  <c r="AG1326" i="1" a="1"/>
  <c r="AG1326" i="1" s="1"/>
  <c r="Y1326" i="1" s="1"/>
  <c r="AB1326" i="1" s="1"/>
  <c r="AA1352" i="1"/>
  <c r="AF1381" i="1" a="1"/>
  <c r="AF1381" i="1" s="1"/>
  <c r="X1381" i="1" s="1"/>
  <c r="AA1381" i="1" s="1"/>
  <c r="Z1381" i="1" s="1"/>
  <c r="AG1381" i="1" a="1"/>
  <c r="AG1381" i="1" s="1"/>
  <c r="AB1214" i="1"/>
  <c r="Z1214" i="1" s="1"/>
  <c r="AA1214" i="1"/>
  <c r="AG1526" i="1" a="1"/>
  <c r="AG1526" i="1" s="1"/>
  <c r="Y1526" i="1" s="1"/>
  <c r="AB1526" i="1" s="1"/>
  <c r="AF1526" i="1" a="1"/>
  <c r="AF1526" i="1" s="1"/>
  <c r="X1526" i="1" s="1"/>
  <c r="AA1526" i="1" s="1"/>
  <c r="AB1261" i="1"/>
  <c r="AG1270" i="1" a="1"/>
  <c r="AG1270" i="1" s="1"/>
  <c r="Y1270" i="1" s="1"/>
  <c r="AB1270" i="1" s="1"/>
  <c r="AF1270" i="1" a="1"/>
  <c r="AF1270" i="1" s="1"/>
  <c r="AB1278" i="1"/>
  <c r="AG1330" i="1" a="1"/>
  <c r="AG1330" i="1" s="1"/>
  <c r="Y1330" i="1" s="1"/>
  <c r="AB1330" i="1" s="1"/>
  <c r="AF1330" i="1" a="1"/>
  <c r="AF1330" i="1" s="1"/>
  <c r="X1330" i="1" s="1"/>
  <c r="AA1330" i="1" s="1"/>
  <c r="Z1330" i="1" s="1"/>
  <c r="AB1378" i="1"/>
  <c r="AA1378" i="1"/>
  <c r="Z1378" i="1" s="1"/>
  <c r="AG1191" i="1" a="1"/>
  <c r="AG1191" i="1" s="1"/>
  <c r="Y1191" i="1" s="1"/>
  <c r="AB1191" i="1" s="1"/>
  <c r="Z1191" i="1" s="1"/>
  <c r="AG1195" i="1" a="1"/>
  <c r="AG1195" i="1" s="1"/>
  <c r="Y1195" i="1" s="1"/>
  <c r="AB1195" i="1" s="1"/>
  <c r="Z1195" i="1" s="1"/>
  <c r="AG1199" i="1" a="1"/>
  <c r="AG1199" i="1" s="1"/>
  <c r="Y1199" i="1" s="1"/>
  <c r="AB1199" i="1" s="1"/>
  <c r="Z1199" i="1" s="1"/>
  <c r="AG1203" i="1" a="1"/>
  <c r="AG1203" i="1" s="1"/>
  <c r="Y1203" i="1" s="1"/>
  <c r="AB1203" i="1" s="1"/>
  <c r="Z1203" i="1" s="1"/>
  <c r="AG1207" i="1" a="1"/>
  <c r="AG1207" i="1" s="1"/>
  <c r="Y1207" i="1" s="1"/>
  <c r="AB1207" i="1" s="1"/>
  <c r="Z1207" i="1" s="1"/>
  <c r="AG1211" i="1" a="1"/>
  <c r="AG1211" i="1" s="1"/>
  <c r="Y1211" i="1" s="1"/>
  <c r="AB1211" i="1" s="1"/>
  <c r="Z1211" i="1" s="1"/>
  <c r="AG1215" i="1" a="1"/>
  <c r="AG1215" i="1" s="1"/>
  <c r="Y1215" i="1" s="1"/>
  <c r="AB1215" i="1" s="1"/>
  <c r="AA1224" i="1"/>
  <c r="AG1244" i="1" a="1"/>
  <c r="AG1244" i="1" s="1"/>
  <c r="Y1244" i="1" s="1"/>
  <c r="AB1244" i="1" s="1"/>
  <c r="AG1249" i="1" a="1"/>
  <c r="AG1249" i="1" s="1"/>
  <c r="Y1249" i="1" s="1"/>
  <c r="AB1249" i="1" s="1"/>
  <c r="Z1249" i="1" s="1"/>
  <c r="AF1251" i="1" a="1"/>
  <c r="AF1251" i="1" s="1"/>
  <c r="AF1253" i="1" a="1"/>
  <c r="AF1253" i="1" s="1"/>
  <c r="AA1278" i="1"/>
  <c r="Z1278" i="1" s="1"/>
  <c r="AF1283" i="1" a="1"/>
  <c r="AF1283" i="1" s="1"/>
  <c r="AG1283" i="1" a="1"/>
  <c r="AG1283" i="1" s="1"/>
  <c r="AB1290" i="1"/>
  <c r="AA1290" i="1"/>
  <c r="AF1302" i="1" a="1"/>
  <c r="AF1302" i="1" s="1"/>
  <c r="X1302" i="1" s="1"/>
  <c r="AG1302" i="1" a="1"/>
  <c r="AG1302" i="1" s="1"/>
  <c r="Y1302" i="1" s="1"/>
  <c r="AB1302" i="1" s="1"/>
  <c r="AB1310" i="1"/>
  <c r="AA1310" i="1"/>
  <c r="Z1310" i="1" s="1"/>
  <c r="AG1312" i="1" a="1"/>
  <c r="AG1312" i="1" s="1"/>
  <c r="Y1312" i="1" s="1"/>
  <c r="AB1312" i="1" s="1"/>
  <c r="AF1312" i="1" a="1"/>
  <c r="AF1312" i="1" s="1"/>
  <c r="X1312" i="1" s="1"/>
  <c r="AA1319" i="1"/>
  <c r="AB1319" i="1"/>
  <c r="AA1334" i="1"/>
  <c r="Z1210" i="1"/>
  <c r="AB1217" i="1"/>
  <c r="Z1217" i="1" s="1"/>
  <c r="AB1220" i="1"/>
  <c r="AA1220" i="1"/>
  <c r="Z1220" i="1" s="1"/>
  <c r="AB1224" i="1"/>
  <c r="AA1248" i="1"/>
  <c r="AB1248" i="1"/>
  <c r="AF1254" i="1" a="1"/>
  <c r="AF1254" i="1" s="1"/>
  <c r="AG1254" i="1" a="1"/>
  <c r="AG1254" i="1" s="1"/>
  <c r="Y1254" i="1" s="1"/>
  <c r="AB1254" i="1" s="1"/>
  <c r="Z1254" i="1" s="1"/>
  <c r="AF1261" i="1" a="1"/>
  <c r="AF1261" i="1" s="1"/>
  <c r="AA1268" i="1"/>
  <c r="AF1288" i="1" a="1"/>
  <c r="AF1288" i="1" s="1"/>
  <c r="AG1288" i="1" a="1"/>
  <c r="AG1288" i="1" s="1"/>
  <c r="AB1328" i="1"/>
  <c r="AA1328" i="1"/>
  <c r="Z1328" i="1" s="1"/>
  <c r="AG1185" i="1" a="1"/>
  <c r="AG1185" i="1" s="1"/>
  <c r="Y1185" i="1" s="1"/>
  <c r="AB1185" i="1" s="1"/>
  <c r="Z1185" i="1" s="1"/>
  <c r="AF437" i="1" a="1"/>
  <c r="AF437" i="1" s="1"/>
  <c r="AB372" i="1"/>
  <c r="Z372" i="1" s="1"/>
  <c r="AG1246" i="1" a="1"/>
  <c r="AG1246" i="1" s="1"/>
  <c r="Y1246" i="1" s="1"/>
  <c r="AB1246" i="1" s="1"/>
  <c r="AA1263" i="1"/>
  <c r="Z1270" i="1"/>
  <c r="AA1270" i="1"/>
  <c r="AB1285" i="1"/>
  <c r="Z1285" i="1" s="1"/>
  <c r="AG1291" i="1" a="1"/>
  <c r="AG1291" i="1" s="1"/>
  <c r="AF1291" i="1" a="1"/>
  <c r="AF1291" i="1" s="1"/>
  <c r="AF1320" i="1" a="1"/>
  <c r="AF1320" i="1" s="1"/>
  <c r="X1320" i="1" s="1"/>
  <c r="AG1320" i="1" a="1"/>
  <c r="AG1320" i="1" s="1"/>
  <c r="Y1320" i="1" s="1"/>
  <c r="AB1320" i="1" s="1"/>
  <c r="AF1346" i="1" a="1"/>
  <c r="AF1346" i="1" s="1"/>
  <c r="X1346" i="1" s="1"/>
  <c r="AA1346" i="1" s="1"/>
  <c r="Z1346" i="1" s="1"/>
  <c r="AG1346" i="1" a="1"/>
  <c r="AG1346" i="1" s="1"/>
  <c r="Y1346" i="1" s="1"/>
  <c r="AB1346" i="1" s="1"/>
  <c r="AF1358" i="1" a="1"/>
  <c r="AF1358" i="1" s="1"/>
  <c r="X1358" i="1" s="1"/>
  <c r="AA1358" i="1" s="1"/>
  <c r="AG1358" i="1" a="1"/>
  <c r="AG1358" i="1" s="1"/>
  <c r="Y1358" i="1" s="1"/>
  <c r="AB1358" i="1" s="1"/>
  <c r="AB1299" i="1"/>
  <c r="AA1304" i="1"/>
  <c r="AB1317" i="1"/>
  <c r="AA1322" i="1"/>
  <c r="AB1333" i="1"/>
  <c r="AA1335" i="1"/>
  <c r="AB1345" i="1"/>
  <c r="AG1347" i="1" a="1"/>
  <c r="AG1347" i="1" s="1"/>
  <c r="Y1347" i="1" s="1"/>
  <c r="AB1347" i="1" s="1"/>
  <c r="AG1349" i="1" a="1"/>
  <c r="AG1349" i="1" s="1"/>
  <c r="Y1349" i="1" s="1"/>
  <c r="AB1349" i="1" s="1"/>
  <c r="AF1349" i="1" a="1"/>
  <c r="AF1349" i="1" s="1"/>
  <c r="X1349" i="1" s="1"/>
  <c r="AA1349" i="1" s="1"/>
  <c r="AF1357" i="1" a="1"/>
  <c r="AF1357" i="1" s="1"/>
  <c r="X1357" i="1" s="1"/>
  <c r="AA1357" i="1" s="1"/>
  <c r="AG1364" i="1" a="1"/>
  <c r="AG1364" i="1" s="1"/>
  <c r="Y1364" i="1" s="1"/>
  <c r="AB1364" i="1" s="1"/>
  <c r="AF1364" i="1" a="1"/>
  <c r="AF1364" i="1" s="1"/>
  <c r="X1364" i="1" s="1"/>
  <c r="AB1365" i="1"/>
  <c r="AA1369" i="1"/>
  <c r="Z1369" i="1" s="1"/>
  <c r="AG1387" i="1" a="1"/>
  <c r="AG1387" i="1" s="1"/>
  <c r="AG1390" i="1" a="1"/>
  <c r="AG1390" i="1" s="1"/>
  <c r="AF1392" i="1" a="1"/>
  <c r="AF1392" i="1" s="1"/>
  <c r="X1392" i="1" s="1"/>
  <c r="AA1392" i="1" s="1"/>
  <c r="AG1414" i="1" a="1"/>
  <c r="AG1414" i="1" s="1"/>
  <c r="Y1414" i="1" s="1"/>
  <c r="AA1419" i="1"/>
  <c r="T1419" i="1"/>
  <c r="T1424" i="1"/>
  <c r="AB1449" i="1"/>
  <c r="AB1456" i="1"/>
  <c r="AG1483" i="1" a="1"/>
  <c r="AG1483" i="1" s="1"/>
  <c r="Y1483" i="1" s="1"/>
  <c r="AG1534" i="1" a="1"/>
  <c r="AG1534" i="1" s="1"/>
  <c r="Y1534" i="1" s="1"/>
  <c r="AB1534" i="1" s="1"/>
  <c r="AF1534" i="1" a="1"/>
  <c r="AF1534" i="1" s="1"/>
  <c r="X1534" i="1" s="1"/>
  <c r="AG1605" i="1" a="1"/>
  <c r="AG1605" i="1" s="1"/>
  <c r="Y1605" i="1" s="1"/>
  <c r="AF1605" i="1" a="1"/>
  <c r="AF1605" i="1" s="1"/>
  <c r="X1605" i="1" s="1"/>
  <c r="AB1297" i="1"/>
  <c r="Z1297" i="1" s="1"/>
  <c r="AA1302" i="1"/>
  <c r="AF1305" i="1" a="1"/>
  <c r="AF1305" i="1" s="1"/>
  <c r="X1305" i="1" s="1"/>
  <c r="AA1305" i="1" s="1"/>
  <c r="AB1315" i="1"/>
  <c r="Z1315" i="1" s="1"/>
  <c r="AA1320" i="1"/>
  <c r="AF1323" i="1" a="1"/>
  <c r="AF1323" i="1" s="1"/>
  <c r="X1323" i="1" s="1"/>
  <c r="AA1323" i="1" s="1"/>
  <c r="Z1323" i="1" s="1"/>
  <c r="AF1336" i="1" a="1"/>
  <c r="AF1336" i="1" s="1"/>
  <c r="X1336" i="1" s="1"/>
  <c r="AA1336" i="1" s="1"/>
  <c r="AG1352" i="1" a="1"/>
  <c r="AG1352" i="1" s="1"/>
  <c r="Y1352" i="1" s="1"/>
  <c r="AB1352" i="1" s="1"/>
  <c r="Z1352" i="1" s="1"/>
  <c r="AF1366" i="1" a="1"/>
  <c r="AF1366" i="1" s="1"/>
  <c r="X1366" i="1" s="1"/>
  <c r="AA1366" i="1" s="1"/>
  <c r="AG1376" i="1" a="1"/>
  <c r="AG1376" i="1" s="1"/>
  <c r="AB1389" i="1"/>
  <c r="AG1391" i="1" a="1"/>
  <c r="AG1391" i="1" s="1"/>
  <c r="AF1391" i="1" a="1"/>
  <c r="AF1391" i="1" s="1"/>
  <c r="X1391" i="1" s="1"/>
  <c r="AA1391" i="1" s="1"/>
  <c r="Z1391" i="1" s="1"/>
  <c r="AG1409" i="1" a="1"/>
  <c r="AG1409" i="1" s="1"/>
  <c r="Y1409" i="1" s="1"/>
  <c r="AB1409" i="1" s="1"/>
  <c r="AF1409" i="1" a="1"/>
  <c r="AF1409" i="1" s="1"/>
  <c r="X1409" i="1" s="1"/>
  <c r="AG1412" i="1" a="1"/>
  <c r="AG1412" i="1" s="1"/>
  <c r="Y1412" i="1" s="1"/>
  <c r="AF1412" i="1" a="1"/>
  <c r="AF1412" i="1" s="1"/>
  <c r="X1412" i="1" s="1"/>
  <c r="AG1415" i="1" a="1"/>
  <c r="AG1415" i="1" s="1"/>
  <c r="Y1415" i="1" s="1"/>
  <c r="AB1415" i="1" s="1"/>
  <c r="AF1415" i="1" a="1"/>
  <c r="AF1415" i="1" s="1"/>
  <c r="X1415" i="1" s="1"/>
  <c r="AG1423" i="1" a="1"/>
  <c r="AG1423" i="1" s="1"/>
  <c r="Y1423" i="1" s="1"/>
  <c r="AF1423" i="1" a="1"/>
  <c r="AF1423" i="1" s="1"/>
  <c r="X1423" i="1" s="1"/>
  <c r="AG1425" i="1" a="1"/>
  <c r="AG1425" i="1" s="1"/>
  <c r="Y1425" i="1" s="1"/>
  <c r="AF1425" i="1" a="1"/>
  <c r="AF1425" i="1" s="1"/>
  <c r="X1425" i="1" s="1"/>
  <c r="AG1426" i="1" a="1"/>
  <c r="AG1426" i="1" s="1"/>
  <c r="Y1426" i="1" s="1"/>
  <c r="AB1426" i="1" s="1"/>
  <c r="AG1429" i="1" a="1"/>
  <c r="AG1429" i="1" s="1"/>
  <c r="Y1429" i="1" s="1"/>
  <c r="AB1429" i="1" s="1"/>
  <c r="AF1429" i="1" a="1"/>
  <c r="AF1429" i="1" s="1"/>
  <c r="X1429" i="1" s="1"/>
  <c r="AA1429" i="1" s="1"/>
  <c r="AG1430" i="1" a="1"/>
  <c r="AG1430" i="1" s="1"/>
  <c r="Y1430" i="1" s="1"/>
  <c r="AG1433" i="1" a="1"/>
  <c r="AG1433" i="1" s="1"/>
  <c r="Y1433" i="1" s="1"/>
  <c r="AB1433" i="1" s="1"/>
  <c r="AF1433" i="1" a="1"/>
  <c r="AF1433" i="1" s="1"/>
  <c r="X1433" i="1" s="1"/>
  <c r="AA1433" i="1" s="1"/>
  <c r="AG1434" i="1" a="1"/>
  <c r="AG1434" i="1" s="1"/>
  <c r="Y1434" i="1" s="1"/>
  <c r="T1451" i="1"/>
  <c r="AB1451" i="1" s="1"/>
  <c r="AG1455" i="1" a="1"/>
  <c r="AG1455" i="1" s="1"/>
  <c r="Y1455" i="1" s="1"/>
  <c r="AF1455" i="1" a="1"/>
  <c r="AF1455" i="1" s="1"/>
  <c r="X1455" i="1" s="1"/>
  <c r="AG1548" i="1" a="1"/>
  <c r="AG1548" i="1" s="1"/>
  <c r="Y1548" i="1" s="1"/>
  <c r="AB1548" i="1" s="1"/>
  <c r="AF1548" i="1" a="1"/>
  <c r="AF1548" i="1" s="1"/>
  <c r="X1548" i="1" s="1"/>
  <c r="AA1548" i="1" s="1"/>
  <c r="Z1548" i="1" s="1"/>
  <c r="Z373" i="1"/>
  <c r="AA1261" i="1"/>
  <c r="Z1262" i="1"/>
  <c r="Z1299" i="1"/>
  <c r="AA1300" i="1"/>
  <c r="Z1300" i="1" s="1"/>
  <c r="AA1318" i="1"/>
  <c r="AB1339" i="1"/>
  <c r="AB1340" i="1"/>
  <c r="AG1343" i="1" a="1"/>
  <c r="AG1343" i="1" s="1"/>
  <c r="Y1343" i="1" s="1"/>
  <c r="AB1343" i="1" s="1"/>
  <c r="AF1343" i="1" a="1"/>
  <c r="AF1343" i="1" s="1"/>
  <c r="X1343" i="1" s="1"/>
  <c r="AA1343" i="1" s="1"/>
  <c r="AF1351" i="1" a="1"/>
  <c r="AF1351" i="1" s="1"/>
  <c r="X1351" i="1" s="1"/>
  <c r="AA1351" i="1" s="1"/>
  <c r="Z1351" i="1" s="1"/>
  <c r="AG1362" i="1" a="1"/>
  <c r="AG1362" i="1" s="1"/>
  <c r="Y1362" i="1" s="1"/>
  <c r="AA1365" i="1"/>
  <c r="AG1369" i="1" a="1"/>
  <c r="AG1369" i="1" s="1"/>
  <c r="AB1383" i="1"/>
  <c r="Z1383" i="1" s="1"/>
  <c r="AA1386" i="1"/>
  <c r="AB1396" i="1"/>
  <c r="AA1396" i="1"/>
  <c r="AB1410" i="1"/>
  <c r="AA1410" i="1"/>
  <c r="AG1427" i="1" a="1"/>
  <c r="AG1427" i="1" s="1"/>
  <c r="Y1427" i="1" s="1"/>
  <c r="AF1427" i="1" a="1"/>
  <c r="AF1427" i="1" s="1"/>
  <c r="X1427" i="1" s="1"/>
  <c r="AG1431" i="1" a="1"/>
  <c r="AG1431" i="1" s="1"/>
  <c r="Y1431" i="1" s="1"/>
  <c r="AF1431" i="1" a="1"/>
  <c r="AF1431" i="1" s="1"/>
  <c r="X1431" i="1" s="1"/>
  <c r="AG1435" i="1" a="1"/>
  <c r="AG1435" i="1" s="1"/>
  <c r="Y1435" i="1" s="1"/>
  <c r="AF1435" i="1" a="1"/>
  <c r="AF1435" i="1" s="1"/>
  <c r="X1435" i="1" s="1"/>
  <c r="AG1438" i="1" a="1"/>
  <c r="AG1438" i="1" s="1"/>
  <c r="Y1438" i="1" s="1"/>
  <c r="AG1465" i="1" a="1"/>
  <c r="AG1465" i="1" s="1"/>
  <c r="Y1465" i="1" s="1"/>
  <c r="AA1477" i="1"/>
  <c r="AF1522" i="1" a="1"/>
  <c r="AF1522" i="1" s="1"/>
  <c r="X1522" i="1" s="1"/>
  <c r="AA1522" i="1" s="1"/>
  <c r="AG1522" i="1" a="1"/>
  <c r="AG1522" i="1" s="1"/>
  <c r="Y1522" i="1" s="1"/>
  <c r="AB1522" i="1" s="1"/>
  <c r="AG1555" i="1" a="1"/>
  <c r="AG1555" i="1" s="1"/>
  <c r="Y1555" i="1" s="1"/>
  <c r="AB1555" i="1" s="1"/>
  <c r="AF1555" i="1" a="1"/>
  <c r="AF1555" i="1" s="1"/>
  <c r="X1555" i="1" s="1"/>
  <c r="AA1299" i="1"/>
  <c r="AA1317" i="1"/>
  <c r="Z1317" i="1" s="1"/>
  <c r="AA1333" i="1"/>
  <c r="Z1333" i="1" s="1"/>
  <c r="AG1337" i="1" a="1"/>
  <c r="AG1337" i="1" s="1"/>
  <c r="Y1337" i="1" s="1"/>
  <c r="AB1337" i="1" s="1"/>
  <c r="AF1337" i="1" a="1"/>
  <c r="AF1337" i="1" s="1"/>
  <c r="X1337" i="1" s="1"/>
  <c r="AA1337" i="1" s="1"/>
  <c r="AA1345" i="1"/>
  <c r="AB1359" i="1"/>
  <c r="AG1367" i="1" a="1"/>
  <c r="AG1367" i="1" s="1"/>
  <c r="Y1367" i="1" s="1"/>
  <c r="AB1367" i="1" s="1"/>
  <c r="AF1367" i="1" a="1"/>
  <c r="AF1367" i="1" s="1"/>
  <c r="X1367" i="1" s="1"/>
  <c r="AA1367" i="1" s="1"/>
  <c r="Z1367" i="1" s="1"/>
  <c r="AB1371" i="1"/>
  <c r="AB1386" i="1"/>
  <c r="AA1389" i="1"/>
  <c r="Z1389" i="1" s="1"/>
  <c r="AG1394" i="1" a="1"/>
  <c r="AG1394" i="1" s="1"/>
  <c r="AA1399" i="1"/>
  <c r="Z1399" i="1" s="1"/>
  <c r="AB1404" i="1"/>
  <c r="Z1404" i="1"/>
  <c r="AB1413" i="1"/>
  <c r="AG1420" i="1" a="1"/>
  <c r="AG1420" i="1" s="1"/>
  <c r="Y1420" i="1" s="1"/>
  <c r="AF1420" i="1" a="1"/>
  <c r="AF1420" i="1" s="1"/>
  <c r="X1420" i="1" s="1"/>
  <c r="AG1439" i="1" a="1"/>
  <c r="AG1439" i="1" s="1"/>
  <c r="Y1439" i="1" s="1"/>
  <c r="AF1439" i="1" a="1"/>
  <c r="AF1439" i="1" s="1"/>
  <c r="X1439" i="1" s="1"/>
  <c r="AG1442" i="1" a="1"/>
  <c r="AG1442" i="1" s="1"/>
  <c r="Y1442" i="1" s="1"/>
  <c r="AB1442" i="1" s="1"/>
  <c r="AF1458" i="1" a="1"/>
  <c r="AF1458" i="1" s="1"/>
  <c r="X1458" i="1" s="1"/>
  <c r="AA1458" i="1" s="1"/>
  <c r="AG1482" i="1" a="1"/>
  <c r="AG1482" i="1" s="1"/>
  <c r="Y1482" i="1" s="1"/>
  <c r="AB1482" i="1" s="1"/>
  <c r="AF1482" i="1" a="1"/>
  <c r="AF1482" i="1" s="1"/>
  <c r="X1482" i="1" s="1"/>
  <c r="AG1545" i="1" a="1"/>
  <c r="AG1545" i="1" s="1"/>
  <c r="Y1545" i="1" s="1"/>
  <c r="AF1545" i="1" a="1"/>
  <c r="AF1545" i="1" s="1"/>
  <c r="X1545" i="1" s="1"/>
  <c r="AA1364" i="1"/>
  <c r="AB1393" i="1"/>
  <c r="AA1393" i="1"/>
  <c r="AA1406" i="1"/>
  <c r="T1409" i="1"/>
  <c r="T1412" i="1"/>
  <c r="AB1423" i="1"/>
  <c r="T1423" i="1"/>
  <c r="AA1423" i="1" s="1"/>
  <c r="AG1443" i="1" a="1"/>
  <c r="AG1443" i="1" s="1"/>
  <c r="Y1443" i="1" s="1"/>
  <c r="AF1443" i="1" a="1"/>
  <c r="AF1443" i="1" s="1"/>
  <c r="X1443" i="1" s="1"/>
  <c r="AB1453" i="1"/>
  <c r="AA1479" i="1"/>
  <c r="AG1509" i="1" a="1"/>
  <c r="AG1509" i="1" s="1"/>
  <c r="Y1509" i="1" s="1"/>
  <c r="AF1509" i="1" a="1"/>
  <c r="AF1509" i="1" s="1"/>
  <c r="X1509" i="1" s="1"/>
  <c r="AA1527" i="1"/>
  <c r="T1527" i="1"/>
  <c r="AB1527" i="1" s="1"/>
  <c r="AG1530" i="1" a="1"/>
  <c r="AG1530" i="1" s="1"/>
  <c r="Y1530" i="1" s="1"/>
  <c r="AF1530" i="1" a="1"/>
  <c r="AF1530" i="1" s="1"/>
  <c r="X1530" i="1" s="1"/>
  <c r="AA1530" i="1" s="1"/>
  <c r="T1532" i="1"/>
  <c r="AB1309" i="1"/>
  <c r="Z1309" i="1" s="1"/>
  <c r="AB1327" i="1"/>
  <c r="AG1334" i="1" a="1"/>
  <c r="AG1334" i="1" s="1"/>
  <c r="Y1334" i="1" s="1"/>
  <c r="AB1334" i="1" s="1"/>
  <c r="Z1348" i="1"/>
  <c r="AA1374" i="1"/>
  <c r="AB1377" i="1"/>
  <c r="Z1377" i="1"/>
  <c r="AB1380" i="1"/>
  <c r="AG1408" i="1" a="1"/>
  <c r="AG1408" i="1" s="1"/>
  <c r="Y1408" i="1" s="1"/>
  <c r="AF1408" i="1" a="1"/>
  <c r="AF1408" i="1" s="1"/>
  <c r="X1408" i="1" s="1"/>
  <c r="AG1411" i="1" a="1"/>
  <c r="AG1411" i="1" s="1"/>
  <c r="Y1411" i="1" s="1"/>
  <c r="AB1411" i="1" s="1"/>
  <c r="AF1411" i="1" a="1"/>
  <c r="AF1411" i="1" s="1"/>
  <c r="X1411" i="1" s="1"/>
  <c r="AG1417" i="1" a="1"/>
  <c r="AG1417" i="1" s="1"/>
  <c r="Y1417" i="1" s="1"/>
  <c r="AF1417" i="1" a="1"/>
  <c r="AF1417" i="1" s="1"/>
  <c r="X1417" i="1" s="1"/>
  <c r="AB1418" i="1"/>
  <c r="AA1418" i="1"/>
  <c r="T1427" i="1"/>
  <c r="T1431" i="1"/>
  <c r="AA1431" i="1" s="1"/>
  <c r="T1435" i="1"/>
  <c r="AA1435" i="1" s="1"/>
  <c r="AB1450" i="1"/>
  <c r="AA1450" i="1"/>
  <c r="Z1450" i="1" s="1"/>
  <c r="AA1455" i="1"/>
  <c r="AA1494" i="1"/>
  <c r="AB1496" i="1"/>
  <c r="AA1537" i="1"/>
  <c r="AG1564" i="1" a="1"/>
  <c r="AG1564" i="1" s="1"/>
  <c r="Y1564" i="1" s="1"/>
  <c r="AF1564" i="1" a="1"/>
  <c r="AF1564" i="1" s="1"/>
  <c r="X1564" i="1" s="1"/>
  <c r="T1546" i="1"/>
  <c r="AB1295" i="1"/>
  <c r="AA1312" i="1"/>
  <c r="Z1312" i="1" s="1"/>
  <c r="AB1313" i="1"/>
  <c r="AB1331" i="1"/>
  <c r="AF1339" i="1" a="1"/>
  <c r="AF1339" i="1" s="1"/>
  <c r="X1339" i="1" s="1"/>
  <c r="AA1339" i="1" s="1"/>
  <c r="Z1339" i="1" s="1"/>
  <c r="AA1344" i="1"/>
  <c r="AG1350" i="1" a="1"/>
  <c r="AG1350" i="1" s="1"/>
  <c r="Y1350" i="1" s="1"/>
  <c r="AB1350" i="1" s="1"/>
  <c r="Z1350" i="1" s="1"/>
  <c r="AF1360" i="1" a="1"/>
  <c r="AF1360" i="1" s="1"/>
  <c r="X1360" i="1" s="1"/>
  <c r="AA1360" i="1" s="1"/>
  <c r="Z1360" i="1" s="1"/>
  <c r="AB1363" i="1"/>
  <c r="Z1363" i="1" s="1"/>
  <c r="AF1368" i="1" a="1"/>
  <c r="AF1368" i="1" s="1"/>
  <c r="X1368" i="1" s="1"/>
  <c r="AA1368" i="1" s="1"/>
  <c r="Z1368" i="1" s="1"/>
  <c r="AA1370" i="1"/>
  <c r="Z1370" i="1" s="1"/>
  <c r="AF1371" i="1" a="1"/>
  <c r="AF1371" i="1" s="1"/>
  <c r="X1371" i="1" s="1"/>
  <c r="AA1371" i="1" s="1"/>
  <c r="Z1371" i="1" s="1"/>
  <c r="AB1374" i="1"/>
  <c r="Z1374" i="1" s="1"/>
  <c r="AA1380" i="1"/>
  <c r="Z1380" i="1" s="1"/>
  <c r="AA1382" i="1"/>
  <c r="Z1382" i="1" s="1"/>
  <c r="Z1398" i="1"/>
  <c r="AB1401" i="1"/>
  <c r="Z1401" i="1" s="1"/>
  <c r="AG1403" i="1" a="1"/>
  <c r="AG1403" i="1" s="1"/>
  <c r="AF1403" i="1" a="1"/>
  <c r="AF1403" i="1" s="1"/>
  <c r="X1403" i="1" s="1"/>
  <c r="AB1406" i="1"/>
  <c r="Z1406" i="1" s="1"/>
  <c r="AA1415" i="1"/>
  <c r="T1420" i="1"/>
  <c r="AB1420" i="1" s="1"/>
  <c r="AB1425" i="1"/>
  <c r="T1439" i="1"/>
  <c r="AB1439" i="1" s="1"/>
  <c r="AG1446" i="1" a="1"/>
  <c r="AG1446" i="1" s="1"/>
  <c r="Y1446" i="1" s="1"/>
  <c r="AB1446" i="1" s="1"/>
  <c r="Z1446" i="1" s="1"/>
  <c r="AB1455" i="1"/>
  <c r="AF1462" i="1" a="1"/>
  <c r="AF1462" i="1" s="1"/>
  <c r="X1462" i="1" s="1"/>
  <c r="AA1466" i="1"/>
  <c r="AF1486" i="1" a="1"/>
  <c r="AF1486" i="1" s="1"/>
  <c r="X1486" i="1" s="1"/>
  <c r="AA1486" i="1" s="1"/>
  <c r="AG1494" i="1" a="1"/>
  <c r="AG1494" i="1" s="1"/>
  <c r="Y1494" i="1" s="1"/>
  <c r="AG1500" i="1" a="1"/>
  <c r="AG1500" i="1" s="1"/>
  <c r="Y1500" i="1" s="1"/>
  <c r="AB1500" i="1" s="1"/>
  <c r="AF1500" i="1" a="1"/>
  <c r="AF1500" i="1" s="1"/>
  <c r="X1500" i="1" s="1"/>
  <c r="AA1500" i="1" s="1"/>
  <c r="Z1500" i="1" s="1"/>
  <c r="AG1642" i="1" a="1"/>
  <c r="AG1642" i="1" s="1"/>
  <c r="Y1642" i="1" s="1"/>
  <c r="AF1642" i="1" a="1"/>
  <c r="AF1642" i="1" s="1"/>
  <c r="X1642" i="1" s="1"/>
  <c r="AA1325" i="1"/>
  <c r="AA1329" i="1"/>
  <c r="Z1342" i="1"/>
  <c r="AG1379" i="1" a="1"/>
  <c r="AG1379" i="1" s="1"/>
  <c r="AF1379" i="1" a="1"/>
  <c r="AF1379" i="1" s="1"/>
  <c r="X1379" i="1" s="1"/>
  <c r="AB1395" i="1"/>
  <c r="AA1409" i="1"/>
  <c r="AG1424" i="1" a="1"/>
  <c r="AG1424" i="1" s="1"/>
  <c r="Y1424" i="1" s="1"/>
  <c r="AB1424" i="1" s="1"/>
  <c r="AF1424" i="1" a="1"/>
  <c r="AF1424" i="1" s="1"/>
  <c r="X1424" i="1" s="1"/>
  <c r="AG1428" i="1" a="1"/>
  <c r="AG1428" i="1" s="1"/>
  <c r="Y1428" i="1" s="1"/>
  <c r="AB1428" i="1" s="1"/>
  <c r="AF1428" i="1" a="1"/>
  <c r="AF1428" i="1" s="1"/>
  <c r="X1428" i="1" s="1"/>
  <c r="AA1428" i="1" s="1"/>
  <c r="AG1432" i="1" a="1"/>
  <c r="AG1432" i="1" s="1"/>
  <c r="Y1432" i="1" s="1"/>
  <c r="AB1432" i="1" s="1"/>
  <c r="AF1432" i="1" a="1"/>
  <c r="AF1432" i="1" s="1"/>
  <c r="X1432" i="1" s="1"/>
  <c r="AA1432" i="1" s="1"/>
  <c r="AG1436" i="1" a="1"/>
  <c r="AG1436" i="1" s="1"/>
  <c r="Y1436" i="1" s="1"/>
  <c r="AF1436" i="1" a="1"/>
  <c r="AF1436" i="1" s="1"/>
  <c r="X1436" i="1" s="1"/>
  <c r="AA1436" i="1" s="1"/>
  <c r="T1443" i="1"/>
  <c r="AB1443" i="1" s="1"/>
  <c r="AG1447" i="1" a="1"/>
  <c r="AG1447" i="1" s="1"/>
  <c r="Y1447" i="1" s="1"/>
  <c r="AF1447" i="1" a="1"/>
  <c r="AF1447" i="1" s="1"/>
  <c r="X1447" i="1" s="1"/>
  <c r="AA1470" i="1"/>
  <c r="AB1624" i="1"/>
  <c r="AG1495" i="1" a="1"/>
  <c r="AG1495" i="1" s="1"/>
  <c r="Y1495" i="1" s="1"/>
  <c r="AF1495" i="1" a="1"/>
  <c r="AF1495" i="1" s="1"/>
  <c r="X1495" i="1" s="1"/>
  <c r="AF1295" i="1" a="1"/>
  <c r="AF1295" i="1" s="1"/>
  <c r="X1295" i="1" s="1"/>
  <c r="AA1295" i="1" s="1"/>
  <c r="Z1295" i="1" s="1"/>
  <c r="AG1298" i="1" a="1"/>
  <c r="AG1298" i="1" s="1"/>
  <c r="Y1298" i="1" s="1"/>
  <c r="AB1298" i="1" s="1"/>
  <c r="AF1313" i="1" a="1"/>
  <c r="AF1313" i="1" s="1"/>
  <c r="X1313" i="1" s="1"/>
  <c r="AA1313" i="1" s="1"/>
  <c r="AG1316" i="1" a="1"/>
  <c r="AG1316" i="1" s="1"/>
  <c r="Y1316" i="1" s="1"/>
  <c r="AB1316" i="1" s="1"/>
  <c r="Z1327" i="1"/>
  <c r="AF1331" i="1" a="1"/>
  <c r="AF1331" i="1" s="1"/>
  <c r="X1331" i="1" s="1"/>
  <c r="AA1331" i="1" s="1"/>
  <c r="Z1331" i="1" s="1"/>
  <c r="AG1332" i="1" a="1"/>
  <c r="AG1332" i="1" s="1"/>
  <c r="Y1332" i="1" s="1"/>
  <c r="AB1332" i="1" s="1"/>
  <c r="Z1332" i="1" s="1"/>
  <c r="Z1336" i="1"/>
  <c r="AA1338" i="1"/>
  <c r="AG1344" i="1" a="1"/>
  <c r="AG1344" i="1" s="1"/>
  <c r="Y1344" i="1" s="1"/>
  <c r="AB1344" i="1" s="1"/>
  <c r="AF1354" i="1" a="1"/>
  <c r="AF1354" i="1" s="1"/>
  <c r="X1354" i="1" s="1"/>
  <c r="AA1354" i="1" s="1"/>
  <c r="Z1354" i="1" s="1"/>
  <c r="AB1357" i="1"/>
  <c r="Z1357" i="1" s="1"/>
  <c r="AG1361" i="1" a="1"/>
  <c r="AG1361" i="1" s="1"/>
  <c r="Y1361" i="1" s="1"/>
  <c r="AB1361" i="1" s="1"/>
  <c r="AF1361" i="1" a="1"/>
  <c r="AF1361" i="1" s="1"/>
  <c r="X1361" i="1" s="1"/>
  <c r="AA1361" i="1" s="1"/>
  <c r="AA1376" i="1"/>
  <c r="Z1376" i="1" s="1"/>
  <c r="AA1403" i="1"/>
  <c r="Z1403" i="1" s="1"/>
  <c r="T1408" i="1"/>
  <c r="AG1419" i="1" a="1"/>
  <c r="AG1419" i="1" s="1"/>
  <c r="Y1419" i="1" s="1"/>
  <c r="AB1419" i="1" s="1"/>
  <c r="AF1419" i="1" a="1"/>
  <c r="AF1419" i="1" s="1"/>
  <c r="X1419" i="1" s="1"/>
  <c r="AG1440" i="1" a="1"/>
  <c r="AG1440" i="1" s="1"/>
  <c r="Y1440" i="1" s="1"/>
  <c r="AB1440" i="1" s="1"/>
  <c r="AF1440" i="1" a="1"/>
  <c r="AF1440" i="1" s="1"/>
  <c r="X1440" i="1" s="1"/>
  <c r="AA1440" i="1" s="1"/>
  <c r="AA1454" i="1"/>
  <c r="Z1454" i="1" s="1"/>
  <c r="AG1457" i="1" a="1"/>
  <c r="AG1457" i="1" s="1"/>
  <c r="Y1457" i="1" s="1"/>
  <c r="AF1523" i="1" a="1"/>
  <c r="AF1523" i="1" s="1"/>
  <c r="X1523" i="1" s="1"/>
  <c r="AG1523" i="1" a="1"/>
  <c r="AG1523" i="1" s="1"/>
  <c r="Y1523" i="1" s="1"/>
  <c r="AB1523" i="1" s="1"/>
  <c r="T1535" i="1"/>
  <c r="AG1538" i="1" a="1"/>
  <c r="AG1538" i="1" s="1"/>
  <c r="Y1538" i="1" s="1"/>
  <c r="AB1538" i="1" s="1"/>
  <c r="AF1538" i="1" a="1"/>
  <c r="AF1538" i="1" s="1"/>
  <c r="X1538" i="1" s="1"/>
  <c r="AB1303" i="1"/>
  <c r="AB1321" i="1"/>
  <c r="AA1327" i="1"/>
  <c r="AB1341" i="1"/>
  <c r="AA1347" i="1"/>
  <c r="AB1362" i="1"/>
  <c r="Z1362" i="1" s="1"/>
  <c r="Z1366" i="1"/>
  <c r="AA1379" i="1"/>
  <c r="AB1384" i="1"/>
  <c r="AA1384" i="1"/>
  <c r="Z1384" i="1" s="1"/>
  <c r="AB1390" i="1"/>
  <c r="AA1390" i="1"/>
  <c r="AF1395" i="1" a="1"/>
  <c r="AF1395" i="1" s="1"/>
  <c r="X1395" i="1" s="1"/>
  <c r="AA1395" i="1" s="1"/>
  <c r="AB1405" i="1"/>
  <c r="AA1405" i="1"/>
  <c r="AG1407" i="1" a="1"/>
  <c r="AG1407" i="1" s="1"/>
  <c r="Y1407" i="1" s="1"/>
  <c r="AB1407" i="1" s="1"/>
  <c r="AF1407" i="1" a="1"/>
  <c r="AF1407" i="1" s="1"/>
  <c r="X1407" i="1" s="1"/>
  <c r="AA1407" i="1" s="1"/>
  <c r="AG1413" i="1" a="1"/>
  <c r="AG1413" i="1" s="1"/>
  <c r="Y1413" i="1" s="1"/>
  <c r="AF1413" i="1" a="1"/>
  <c r="AF1413" i="1" s="1"/>
  <c r="X1413" i="1" s="1"/>
  <c r="AA1413" i="1" s="1"/>
  <c r="Z1413" i="1" s="1"/>
  <c r="AG1416" i="1" a="1"/>
  <c r="AG1416" i="1" s="1"/>
  <c r="Y1416" i="1" s="1"/>
  <c r="AB1416" i="1" s="1"/>
  <c r="AF1416" i="1" a="1"/>
  <c r="AF1416" i="1" s="1"/>
  <c r="X1416" i="1" s="1"/>
  <c r="AA1416" i="1" s="1"/>
  <c r="AB1445" i="1"/>
  <c r="AB1459" i="1"/>
  <c r="Z186" i="1"/>
  <c r="AB1507" i="1"/>
  <c r="AB1515" i="1"/>
  <c r="Z1515" i="1" s="1"/>
  <c r="T1620" i="1"/>
  <c r="AA1324" i="1"/>
  <c r="Z1324" i="1" s="1"/>
  <c r="AB1325" i="1"/>
  <c r="AB1351" i="1"/>
  <c r="AG1355" i="1" a="1"/>
  <c r="AG1355" i="1" s="1"/>
  <c r="Y1355" i="1" s="1"/>
  <c r="AB1355" i="1" s="1"/>
  <c r="AF1355" i="1" a="1"/>
  <c r="AF1355" i="1" s="1"/>
  <c r="X1355" i="1" s="1"/>
  <c r="AA1355" i="1" s="1"/>
  <c r="Z1355" i="1" s="1"/>
  <c r="AB1392" i="1"/>
  <c r="Z1392" i="1" s="1"/>
  <c r="AB1403" i="1"/>
  <c r="AA1411" i="1"/>
  <c r="AB1414" i="1"/>
  <c r="AA1414" i="1"/>
  <c r="Z1414" i="1" s="1"/>
  <c r="AG1421" i="1" a="1"/>
  <c r="AG1421" i="1" s="1"/>
  <c r="Y1421" i="1" s="1"/>
  <c r="AB1421" i="1" s="1"/>
  <c r="AF1421" i="1" a="1"/>
  <c r="AF1421" i="1" s="1"/>
  <c r="X1421" i="1" s="1"/>
  <c r="AA1421" i="1" s="1"/>
  <c r="AB1422" i="1"/>
  <c r="AA1430" i="1"/>
  <c r="T1447" i="1"/>
  <c r="AB1452" i="1"/>
  <c r="Z1452" i="1" s="1"/>
  <c r="AB1454" i="1"/>
  <c r="AG1471" i="1" a="1"/>
  <c r="AG1471" i="1" s="1"/>
  <c r="Y1471" i="1" s="1"/>
  <c r="AB1471" i="1" s="1"/>
  <c r="AF1471" i="1" a="1"/>
  <c r="AF1471" i="1" s="1"/>
  <c r="X1471" i="1" s="1"/>
  <c r="AA1471" i="1" s="1"/>
  <c r="AB1483" i="1"/>
  <c r="AA1493" i="1"/>
  <c r="Z1493" i="1" s="1"/>
  <c r="AF1502" i="1" a="1"/>
  <c r="AF1502" i="1" s="1"/>
  <c r="X1502" i="1" s="1"/>
  <c r="AB1324" i="1"/>
  <c r="Z1335" i="1"/>
  <c r="AA1341" i="1"/>
  <c r="Z1341" i="1" s="1"/>
  <c r="AB1356" i="1"/>
  <c r="Z1356" i="1" s="1"/>
  <c r="AB1379" i="1"/>
  <c r="AB1381" i="1"/>
  <c r="AA1394" i="1"/>
  <c r="Z1394" i="1"/>
  <c r="AB1417" i="1"/>
  <c r="AB1430" i="1"/>
  <c r="AB1434" i="1"/>
  <c r="Z1434" i="1" s="1"/>
  <c r="AB1438" i="1"/>
  <c r="Z1438" i="1" s="1"/>
  <c r="AF217" i="1" a="1"/>
  <c r="AF217" i="1" s="1"/>
  <c r="X217" i="1" s="1"/>
  <c r="AA217" i="1" s="1"/>
  <c r="AG217" i="1" a="1"/>
  <c r="AG217" i="1" s="1"/>
  <c r="Y217" i="1" s="1"/>
  <c r="AB217" i="1" s="1"/>
  <c r="T1487" i="1"/>
  <c r="AB1487" i="1" s="1"/>
  <c r="AA1497" i="1"/>
  <c r="T1497" i="1"/>
  <c r="AG1501" i="1" a="1"/>
  <c r="AG1501" i="1" s="1"/>
  <c r="Y1501" i="1" s="1"/>
  <c r="AB1501" i="1" s="1"/>
  <c r="AF1501" i="1" a="1"/>
  <c r="AF1501" i="1" s="1"/>
  <c r="X1501" i="1" s="1"/>
  <c r="AA1501" i="1" s="1"/>
  <c r="Z1501" i="1" s="1"/>
  <c r="AG1508" i="1" a="1"/>
  <c r="AG1508" i="1" s="1"/>
  <c r="Y1508" i="1" s="1"/>
  <c r="AB1508" i="1" s="1"/>
  <c r="AF1508" i="1" a="1"/>
  <c r="AF1508" i="1" s="1"/>
  <c r="X1508" i="1" s="1"/>
  <c r="AA1508" i="1" s="1"/>
  <c r="AG1529" i="1" a="1"/>
  <c r="AG1529" i="1" s="1"/>
  <c r="Y1529" i="1" s="1"/>
  <c r="AF1529" i="1" a="1"/>
  <c r="AF1529" i="1" s="1"/>
  <c r="X1529" i="1" s="1"/>
  <c r="AF1373" i="1" a="1"/>
  <c r="AF1373" i="1" s="1"/>
  <c r="X1373" i="1" s="1"/>
  <c r="AA1373" i="1" s="1"/>
  <c r="Z1373" i="1" s="1"/>
  <c r="AF1385" i="1" a="1"/>
  <c r="AF1385" i="1" s="1"/>
  <c r="X1385" i="1" s="1"/>
  <c r="AA1385" i="1" s="1"/>
  <c r="Z1385" i="1" s="1"/>
  <c r="AF1397" i="1" a="1"/>
  <c r="AF1397" i="1" s="1"/>
  <c r="X1397" i="1" s="1"/>
  <c r="AA1397" i="1" s="1"/>
  <c r="Z1397" i="1" s="1"/>
  <c r="AB1436" i="1"/>
  <c r="AB1444" i="1"/>
  <c r="Z1444" i="1" s="1"/>
  <c r="T1457" i="1"/>
  <c r="AB1457" i="1" s="1"/>
  <c r="T1461" i="1"/>
  <c r="AB1461" i="1" s="1"/>
  <c r="T1465" i="1"/>
  <c r="AB1465" i="1" s="1"/>
  <c r="AF1467" i="1" a="1"/>
  <c r="AF1467" i="1" s="1"/>
  <c r="X1467" i="1" s="1"/>
  <c r="Z1479" i="1"/>
  <c r="T1481" i="1"/>
  <c r="AA1481" i="1" s="1"/>
  <c r="AG1484" i="1" a="1"/>
  <c r="AG1484" i="1" s="1"/>
  <c r="Y1484" i="1" s="1"/>
  <c r="AG1485" i="1" a="1"/>
  <c r="AG1485" i="1" s="1"/>
  <c r="Y1485" i="1" s="1"/>
  <c r="L1502" i="1"/>
  <c r="T1502" i="1" s="1"/>
  <c r="T1510" i="1"/>
  <c r="AG1539" i="1" a="1"/>
  <c r="AG1539" i="1" s="1"/>
  <c r="Y1539" i="1" s="1"/>
  <c r="AF1539" i="1" a="1"/>
  <c r="AF1539" i="1" s="1"/>
  <c r="X1539" i="1" s="1"/>
  <c r="AF463" i="1" a="1"/>
  <c r="AF463" i="1" s="1"/>
  <c r="AB1562" i="1"/>
  <c r="AF1567" i="1" a="1"/>
  <c r="AF1567" i="1" s="1"/>
  <c r="X1567" i="1" s="1"/>
  <c r="AA1567" i="1" s="1"/>
  <c r="Z1567" i="1" s="1"/>
  <c r="AG1573" i="1" a="1"/>
  <c r="AG1573" i="1" s="1"/>
  <c r="Y1573" i="1" s="1"/>
  <c r="AF1573" i="1" a="1"/>
  <c r="AF1573" i="1" s="1"/>
  <c r="X1573" i="1" s="1"/>
  <c r="AG1592" i="1" a="1"/>
  <c r="AG1592" i="1" s="1"/>
  <c r="Y1592" i="1" s="1"/>
  <c r="AB1592" i="1" s="1"/>
  <c r="Z1592" i="1" s="1"/>
  <c r="AF1592" i="1" a="1"/>
  <c r="AF1592" i="1" s="1"/>
  <c r="X1592" i="1" s="1"/>
  <c r="AG1594" i="1" a="1"/>
  <c r="AG1594" i="1" s="1"/>
  <c r="Y1594" i="1" s="1"/>
  <c r="AB1594" i="1" s="1"/>
  <c r="AF1594" i="1" a="1"/>
  <c r="AF1594" i="1" s="1"/>
  <c r="X1594" i="1" s="1"/>
  <c r="AA1594" i="1" s="1"/>
  <c r="AG1715" i="1" a="1"/>
  <c r="AG1715" i="1" s="1"/>
  <c r="Y1715" i="1" s="1"/>
  <c r="AF1715" i="1" a="1"/>
  <c r="AF1715" i="1" s="1"/>
  <c r="X1715" i="1" s="1"/>
  <c r="AG1718" i="1" a="1"/>
  <c r="AG1718" i="1" s="1"/>
  <c r="Y1718" i="1" s="1"/>
  <c r="AF1718" i="1" a="1"/>
  <c r="AF1718" i="1" s="1"/>
  <c r="X1718" i="1" s="1"/>
  <c r="AG1721" i="1" a="1"/>
  <c r="AG1721" i="1" s="1"/>
  <c r="Y1721" i="1" s="1"/>
  <c r="AF1721" i="1" a="1"/>
  <c r="AF1721" i="1" s="1"/>
  <c r="X1721" i="1" s="1"/>
  <c r="AG1724" i="1" a="1"/>
  <c r="AG1724" i="1" s="1"/>
  <c r="Y1724" i="1" s="1"/>
  <c r="AF1724" i="1" a="1"/>
  <c r="AF1724" i="1" s="1"/>
  <c r="X1724" i="1" s="1"/>
  <c r="AG1727" i="1" a="1"/>
  <c r="AG1727" i="1" s="1"/>
  <c r="Y1727" i="1" s="1"/>
  <c r="AF1727" i="1" a="1"/>
  <c r="AF1727" i="1" s="1"/>
  <c r="X1727" i="1" s="1"/>
  <c r="AG1730" i="1" a="1"/>
  <c r="AG1730" i="1" s="1"/>
  <c r="Y1730" i="1" s="1"/>
  <c r="AF1730" i="1" a="1"/>
  <c r="AF1730" i="1" s="1"/>
  <c r="X1730" i="1" s="1"/>
  <c r="AG1733" i="1" a="1"/>
  <c r="AG1733" i="1" s="1"/>
  <c r="Y1733" i="1" s="1"/>
  <c r="AF1733" i="1" a="1"/>
  <c r="AF1733" i="1" s="1"/>
  <c r="X1733" i="1" s="1"/>
  <c r="AB1472" i="1"/>
  <c r="AF218" i="1" a="1"/>
  <c r="AF218" i="1" s="1"/>
  <c r="X218" i="1" s="1"/>
  <c r="AB1478" i="1"/>
  <c r="T1482" i="1"/>
  <c r="AA1482" i="1" s="1"/>
  <c r="AF1487" i="1" a="1"/>
  <c r="AF1487" i="1" s="1"/>
  <c r="X1487" i="1" s="1"/>
  <c r="AB1488" i="1"/>
  <c r="AF1496" i="1" a="1"/>
  <c r="AF1496" i="1" s="1"/>
  <c r="X1496" i="1" s="1"/>
  <c r="AA1496" i="1" s="1"/>
  <c r="Z1496" i="1" s="1"/>
  <c r="AB1498" i="1"/>
  <c r="AB1506" i="1"/>
  <c r="T1530" i="1"/>
  <c r="AG1536" i="1" a="1"/>
  <c r="AG1536" i="1" s="1"/>
  <c r="Y1536" i="1" s="1"/>
  <c r="AF1536" i="1" a="1"/>
  <c r="AF1536" i="1" s="1"/>
  <c r="X1536" i="1" s="1"/>
  <c r="AB1537" i="1"/>
  <c r="Z1537" i="1" s="1"/>
  <c r="Z947" i="1"/>
  <c r="AG1579" i="1" a="1"/>
  <c r="AG1579" i="1" s="1"/>
  <c r="Y1579" i="1" s="1"/>
  <c r="AB1579" i="1" s="1"/>
  <c r="AF1579" i="1" a="1"/>
  <c r="AF1579" i="1" s="1"/>
  <c r="X1579" i="1" s="1"/>
  <c r="T1597" i="1"/>
  <c r="AF1552" i="1" a="1"/>
  <c r="AF1552" i="1" s="1"/>
  <c r="X1552" i="1" s="1"/>
  <c r="AA1552" i="1" s="1"/>
  <c r="Z1552" i="1" s="1"/>
  <c r="AG1552" i="1" a="1"/>
  <c r="AG1552" i="1" s="1"/>
  <c r="Y1552" i="1" s="1"/>
  <c r="AF1655" i="1" a="1"/>
  <c r="AF1655" i="1" s="1"/>
  <c r="X1655" i="1" s="1"/>
  <c r="AG1655" i="1" a="1"/>
  <c r="AG1655" i="1" s="1"/>
  <c r="Y1655" i="1" s="1"/>
  <c r="T1659" i="1"/>
  <c r="T1712" i="1"/>
  <c r="AB1712" i="1"/>
  <c r="AA1712" i="1"/>
  <c r="Z1712" i="1"/>
  <c r="AA1417" i="1"/>
  <c r="AA1425" i="1"/>
  <c r="Z1425" i="1" s="1"/>
  <c r="AF1459" i="1" a="1"/>
  <c r="AF1459" i="1" s="1"/>
  <c r="X1459" i="1" s="1"/>
  <c r="AA1459" i="1" s="1"/>
  <c r="Z1459" i="1" s="1"/>
  <c r="AF1463" i="1" a="1"/>
  <c r="AF1463" i="1" s="1"/>
  <c r="X1463" i="1" s="1"/>
  <c r="AA1463" i="1" s="1"/>
  <c r="Z1463" i="1" s="1"/>
  <c r="AA1499" i="1"/>
  <c r="Z1499" i="1" s="1"/>
  <c r="AF1504" i="1" a="1"/>
  <c r="AF1504" i="1" s="1"/>
  <c r="X1504" i="1" s="1"/>
  <c r="AA1504" i="1" s="1"/>
  <c r="Z1504" i="1" s="1"/>
  <c r="T1509" i="1"/>
  <c r="AB1509" i="1" s="1"/>
  <c r="AA1512" i="1"/>
  <c r="T1512" i="1"/>
  <c r="T1513" i="1"/>
  <c r="AA1513" i="1" s="1"/>
  <c r="T1514" i="1"/>
  <c r="AA1514" i="1" s="1"/>
  <c r="AG1528" i="1" a="1"/>
  <c r="AG1528" i="1" s="1"/>
  <c r="Y1528" i="1" s="1"/>
  <c r="AF1528" i="1" a="1"/>
  <c r="AF1528" i="1" s="1"/>
  <c r="X1528" i="1" s="1"/>
  <c r="AA1528" i="1" s="1"/>
  <c r="Z1528" i="1" s="1"/>
  <c r="AG1596" i="1" a="1"/>
  <c r="AG1596" i="1" s="1"/>
  <c r="Y1596" i="1" s="1"/>
  <c r="AF1596" i="1" a="1"/>
  <c r="AF1596" i="1" s="1"/>
  <c r="X1596" i="1" s="1"/>
  <c r="AG1598" i="1" a="1"/>
  <c r="AG1598" i="1" s="1"/>
  <c r="Y1598" i="1" s="1"/>
  <c r="AF1598" i="1" a="1"/>
  <c r="AF1598" i="1" s="1"/>
  <c r="X1598" i="1" s="1"/>
  <c r="T1601" i="1"/>
  <c r="AB1601" i="1"/>
  <c r="AG1603" i="1" a="1"/>
  <c r="AG1603" i="1" s="1"/>
  <c r="Y1603" i="1" s="1"/>
  <c r="AB1603" i="1" s="1"/>
  <c r="AG1614" i="1" a="1"/>
  <c r="AG1614" i="1" s="1"/>
  <c r="Y1614" i="1" s="1"/>
  <c r="AF1614" i="1" a="1"/>
  <c r="AF1614" i="1" s="1"/>
  <c r="X1614" i="1" s="1"/>
  <c r="T1626" i="1"/>
  <c r="AB1626" i="1" s="1"/>
  <c r="AF1636" i="1" a="1"/>
  <c r="AF1636" i="1" s="1"/>
  <c r="X1636" i="1" s="1"/>
  <c r="AG1636" i="1" a="1"/>
  <c r="AG1636" i="1" s="1"/>
  <c r="Y1636" i="1" s="1"/>
  <c r="AB1638" i="1"/>
  <c r="AF1388" i="1" a="1"/>
  <c r="AF1388" i="1" s="1"/>
  <c r="X1388" i="1" s="1"/>
  <c r="AA1388" i="1" s="1"/>
  <c r="Z1388" i="1" s="1"/>
  <c r="AF1400" i="1" a="1"/>
  <c r="AF1400" i="1" s="1"/>
  <c r="X1400" i="1" s="1"/>
  <c r="AA1400" i="1" s="1"/>
  <c r="Z1400" i="1" s="1"/>
  <c r="T1458" i="1"/>
  <c r="AB1458" i="1" s="1"/>
  <c r="T1462" i="1"/>
  <c r="AB1462" i="1" s="1"/>
  <c r="AG1470" i="1" a="1"/>
  <c r="AG1470" i="1" s="1"/>
  <c r="Y1470" i="1" s="1"/>
  <c r="AB1470" i="1" s="1"/>
  <c r="AF1478" i="1" a="1"/>
  <c r="AF1478" i="1" s="1"/>
  <c r="X1478" i="1" s="1"/>
  <c r="AA1478" i="1" s="1"/>
  <c r="AA1480" i="1"/>
  <c r="T1484" i="1"/>
  <c r="AA1484" i="1" s="1"/>
  <c r="AF1488" i="1" a="1"/>
  <c r="AF1488" i="1" s="1"/>
  <c r="X1488" i="1" s="1"/>
  <c r="AA1488" i="1" s="1"/>
  <c r="AF1505" i="1" a="1"/>
  <c r="AF1505" i="1" s="1"/>
  <c r="X1505" i="1" s="1"/>
  <c r="AA1505" i="1" s="1"/>
  <c r="Z1505" i="1" s="1"/>
  <c r="AF1506" i="1" a="1"/>
  <c r="AF1506" i="1" s="1"/>
  <c r="X1506" i="1" s="1"/>
  <c r="AA1506" i="1" s="1"/>
  <c r="Z1506" i="1" s="1"/>
  <c r="AB1519" i="1"/>
  <c r="Z1519" i="1" s="1"/>
  <c r="Z1522" i="1"/>
  <c r="T1529" i="1"/>
  <c r="AA1534" i="1"/>
  <c r="AB1545" i="1"/>
  <c r="AA1545" i="1"/>
  <c r="Z1545" i="1" s="1"/>
  <c r="AA1555" i="1"/>
  <c r="AG579" i="1" a="1"/>
  <c r="AG579" i="1" s="1"/>
  <c r="Y579" i="1" s="1"/>
  <c r="AF579" i="1" a="1"/>
  <c r="AF579" i="1" s="1"/>
  <c r="AB1566" i="1"/>
  <c r="AG1570" i="1" a="1"/>
  <c r="AG1570" i="1" s="1"/>
  <c r="Y1570" i="1" s="1"/>
  <c r="AB1570" i="1" s="1"/>
  <c r="AF1570" i="1" a="1"/>
  <c r="AF1570" i="1" s="1"/>
  <c r="X1570" i="1" s="1"/>
  <c r="AA1570" i="1" s="1"/>
  <c r="AG1600" i="1" a="1"/>
  <c r="AG1600" i="1" s="1"/>
  <c r="Y1600" i="1" s="1"/>
  <c r="AF1600" i="1" a="1"/>
  <c r="AF1600" i="1" s="1"/>
  <c r="X1600" i="1" s="1"/>
  <c r="AG1272" i="1" a="1"/>
  <c r="AG1272" i="1" s="1"/>
  <c r="Y1272" i="1" s="1"/>
  <c r="AF1272" i="1" a="1"/>
  <c r="AF1272" i="1" s="1"/>
  <c r="T1605" i="1"/>
  <c r="T1671" i="1"/>
  <c r="AB1671" i="1" s="1"/>
  <c r="AF1691" i="1" a="1"/>
  <c r="AF1691" i="1" s="1"/>
  <c r="X1691" i="1" s="1"/>
  <c r="AG1691" i="1" a="1"/>
  <c r="AG1691" i="1" s="1"/>
  <c r="Y1691" i="1" s="1"/>
  <c r="AB1708" i="1"/>
  <c r="Z1430" i="1"/>
  <c r="AF1472" i="1" a="1"/>
  <c r="AF1472" i="1" s="1"/>
  <c r="X1472" i="1" s="1"/>
  <c r="AA1472" i="1" s="1"/>
  <c r="AG1476" i="1" a="1"/>
  <c r="AG1476" i="1" s="1"/>
  <c r="Y1476" i="1" s="1"/>
  <c r="AB1476" i="1" s="1"/>
  <c r="Z1476" i="1" s="1"/>
  <c r="AG1477" i="1" a="1"/>
  <c r="AG1477" i="1" s="1"/>
  <c r="Y1477" i="1" s="1"/>
  <c r="AB1477" i="1" s="1"/>
  <c r="T1485" i="1"/>
  <c r="AA1485" i="1" s="1"/>
  <c r="T1490" i="1"/>
  <c r="AB1490" i="1" s="1"/>
  <c r="AA1491" i="1"/>
  <c r="Z1491" i="1" s="1"/>
  <c r="AF1498" i="1" a="1"/>
  <c r="AF1498" i="1" s="1"/>
  <c r="X1498" i="1" s="1"/>
  <c r="AA1498" i="1" s="1"/>
  <c r="Z1498" i="1" s="1"/>
  <c r="AA1511" i="1"/>
  <c r="T1542" i="1"/>
  <c r="AA1542" i="1" s="1"/>
  <c r="Z1542" i="1" s="1"/>
  <c r="AB1542" i="1"/>
  <c r="AF1544" i="1" a="1"/>
  <c r="AF1544" i="1" s="1"/>
  <c r="X1544" i="1" s="1"/>
  <c r="AG1544" i="1" a="1"/>
  <c r="AG1544" i="1" s="1"/>
  <c r="Y1544" i="1" s="1"/>
  <c r="T1573" i="1"/>
  <c r="AB1573" i="1" s="1"/>
  <c r="AA1573" i="1"/>
  <c r="AG1585" i="1" a="1"/>
  <c r="AG1585" i="1" s="1"/>
  <c r="Y1585" i="1" s="1"/>
  <c r="AB1585" i="1" s="1"/>
  <c r="AF1585" i="1" a="1"/>
  <c r="AF1585" i="1" s="1"/>
  <c r="X1585" i="1" s="1"/>
  <c r="AG1606" i="1" a="1"/>
  <c r="AG1606" i="1" s="1"/>
  <c r="Y1606" i="1" s="1"/>
  <c r="AF1606" i="1" a="1"/>
  <c r="AF1606" i="1" s="1"/>
  <c r="X1606" i="1" s="1"/>
  <c r="T1633" i="1"/>
  <c r="AB1633" i="1" s="1"/>
  <c r="AA1633" i="1"/>
  <c r="AF1648" i="1" a="1"/>
  <c r="AF1648" i="1" s="1"/>
  <c r="X1648" i="1" s="1"/>
  <c r="AG1648" i="1" a="1"/>
  <c r="AG1648" i="1" s="1"/>
  <c r="Y1648" i="1" s="1"/>
  <c r="T1650" i="1"/>
  <c r="AG1653" i="1" a="1"/>
  <c r="AG1653" i="1" s="1"/>
  <c r="Y1653" i="1" s="1"/>
  <c r="AF1653" i="1" a="1"/>
  <c r="AF1653" i="1" s="1"/>
  <c r="X1653" i="1" s="1"/>
  <c r="AA1422" i="1"/>
  <c r="Z1422" i="1" s="1"/>
  <c r="AA1426" i="1"/>
  <c r="Z1426" i="1" s="1"/>
  <c r="AF1456" i="1" a="1"/>
  <c r="AF1456" i="1" s="1"/>
  <c r="X1456" i="1" s="1"/>
  <c r="AA1456" i="1" s="1"/>
  <c r="Z1456" i="1" s="1"/>
  <c r="AF1460" i="1" a="1"/>
  <c r="AF1460" i="1" s="1"/>
  <c r="X1460" i="1" s="1"/>
  <c r="AA1460" i="1" s="1"/>
  <c r="Z1460" i="1" s="1"/>
  <c r="AF1464" i="1" a="1"/>
  <c r="AF1464" i="1" s="1"/>
  <c r="X1464" i="1" s="1"/>
  <c r="AA1464" i="1" s="1"/>
  <c r="Z1464" i="1" s="1"/>
  <c r="AA1483" i="1"/>
  <c r="AF1489" i="1" a="1"/>
  <c r="AF1489" i="1" s="1"/>
  <c r="X1489" i="1" s="1"/>
  <c r="AA1489" i="1" s="1"/>
  <c r="Z1489" i="1" s="1"/>
  <c r="T1495" i="1"/>
  <c r="AB1495" i="1" s="1"/>
  <c r="Z1495" i="1" s="1"/>
  <c r="T1523" i="1"/>
  <c r="AA1523" i="1" s="1"/>
  <c r="AG1532" i="1" a="1"/>
  <c r="AG1532" i="1" s="1"/>
  <c r="Y1532" i="1" s="1"/>
  <c r="AB1532" i="1" s="1"/>
  <c r="AF1532" i="1" a="1"/>
  <c r="AF1532" i="1" s="1"/>
  <c r="X1532" i="1" s="1"/>
  <c r="T1539" i="1"/>
  <c r="AG1242" i="1" a="1"/>
  <c r="AG1242" i="1" s="1"/>
  <c r="Y1242" i="1" s="1"/>
  <c r="AB1242" i="1" s="1"/>
  <c r="AF1242" i="1" a="1"/>
  <c r="AF1242" i="1" s="1"/>
  <c r="X1242" i="1" s="1"/>
  <c r="AA1242" i="1" s="1"/>
  <c r="Z1242" i="1" s="1"/>
  <c r="AF1554" i="1" a="1"/>
  <c r="AF1554" i="1" s="1"/>
  <c r="X1554" i="1" s="1"/>
  <c r="AA1554" i="1" s="1"/>
  <c r="AG1554" i="1" a="1"/>
  <c r="AG1554" i="1" s="1"/>
  <c r="Y1554" i="1" s="1"/>
  <c r="AB1554" i="1" s="1"/>
  <c r="AG1572" i="1" a="1"/>
  <c r="AG1572" i="1" s="1"/>
  <c r="Y1572" i="1" s="1"/>
  <c r="AF1572" i="1" a="1"/>
  <c r="AF1572" i="1" s="1"/>
  <c r="X1572" i="1" s="1"/>
  <c r="AG1574" i="1" a="1"/>
  <c r="AG1574" i="1" s="1"/>
  <c r="Y1574" i="1" s="1"/>
  <c r="AF1574" i="1" a="1"/>
  <c r="AF1574" i="1" s="1"/>
  <c r="X1574" i="1" s="1"/>
  <c r="AA1574" i="1" s="1"/>
  <c r="T1577" i="1"/>
  <c r="AB1577" i="1"/>
  <c r="AA1592" i="1"/>
  <c r="AB1598" i="1"/>
  <c r="T1612" i="1"/>
  <c r="AB1612" i="1" s="1"/>
  <c r="AB1616" i="1"/>
  <c r="AG1622" i="1" a="1"/>
  <c r="AG1622" i="1" s="1"/>
  <c r="Y1622" i="1" s="1"/>
  <c r="AF1622" i="1" a="1"/>
  <c r="AF1622" i="1" s="1"/>
  <c r="X1622" i="1" s="1"/>
  <c r="AB1645" i="1"/>
  <c r="T1645" i="1"/>
  <c r="AA1645" i="1" s="1"/>
  <c r="Z1645" i="1" s="1"/>
  <c r="AF1437" i="1" a="1"/>
  <c r="AF1437" i="1" s="1"/>
  <c r="X1437" i="1" s="1"/>
  <c r="AA1437" i="1" s="1"/>
  <c r="Z1437" i="1" s="1"/>
  <c r="AF1441" i="1" a="1"/>
  <c r="AF1441" i="1" s="1"/>
  <c r="X1441" i="1" s="1"/>
  <c r="AA1441" i="1" s="1"/>
  <c r="Z1441" i="1" s="1"/>
  <c r="AF1445" i="1" a="1"/>
  <c r="AF1445" i="1" s="1"/>
  <c r="X1445" i="1" s="1"/>
  <c r="AA1445" i="1" s="1"/>
  <c r="Z1445" i="1" s="1"/>
  <c r="AF1449" i="1" a="1"/>
  <c r="AF1449" i="1" s="1"/>
  <c r="X1449" i="1" s="1"/>
  <c r="AA1449" i="1" s="1"/>
  <c r="Z1449" i="1" s="1"/>
  <c r="AF1453" i="1" a="1"/>
  <c r="AF1453" i="1" s="1"/>
  <c r="X1453" i="1" s="1"/>
  <c r="AA1453" i="1" s="1"/>
  <c r="Z1453" i="1" s="1"/>
  <c r="AF1490" i="1" a="1"/>
  <c r="AF1490" i="1" s="1"/>
  <c r="X1490" i="1" s="1"/>
  <c r="T1503" i="1"/>
  <c r="AA1503" i="1" s="1"/>
  <c r="AF1507" i="1" a="1"/>
  <c r="AF1507" i="1" s="1"/>
  <c r="X1507" i="1" s="1"/>
  <c r="AA1507" i="1" s="1"/>
  <c r="Z1507" i="1" s="1"/>
  <c r="AF1510" i="1" a="1"/>
  <c r="AF1510" i="1" s="1"/>
  <c r="X1510" i="1" s="1"/>
  <c r="AG1511" i="1" a="1"/>
  <c r="AG1511" i="1" s="1"/>
  <c r="Y1511" i="1" s="1"/>
  <c r="AB1511" i="1" s="1"/>
  <c r="AG1535" i="1" a="1"/>
  <c r="AG1535" i="1" s="1"/>
  <c r="Y1535" i="1" s="1"/>
  <c r="AF1535" i="1" a="1"/>
  <c r="AF1535" i="1" s="1"/>
  <c r="X1535" i="1" s="1"/>
  <c r="T1536" i="1"/>
  <c r="AB1536" i="1" s="1"/>
  <c r="AG1556" i="1" a="1"/>
  <c r="AG1556" i="1" s="1"/>
  <c r="Y1556" i="1" s="1"/>
  <c r="AB1556" i="1" s="1"/>
  <c r="AF1556" i="1" a="1"/>
  <c r="AF1556" i="1" s="1"/>
  <c r="X1556" i="1" s="1"/>
  <c r="AA1556" i="1" s="1"/>
  <c r="AB579" i="1"/>
  <c r="Z579" i="1" s="1"/>
  <c r="AG1576" i="1" a="1"/>
  <c r="AG1576" i="1" s="1"/>
  <c r="Y1576" i="1" s="1"/>
  <c r="AB1576" i="1" s="1"/>
  <c r="AF1576" i="1" a="1"/>
  <c r="AF1576" i="1" s="1"/>
  <c r="X1576" i="1" s="1"/>
  <c r="AG1578" i="1" a="1"/>
  <c r="AG1578" i="1" s="1"/>
  <c r="Y1578" i="1" s="1"/>
  <c r="AF1578" i="1" a="1"/>
  <c r="AF1578" i="1" s="1"/>
  <c r="X1578" i="1" s="1"/>
  <c r="AG1591" i="1" a="1"/>
  <c r="AG1591" i="1" s="1"/>
  <c r="Y1591" i="1" s="1"/>
  <c r="AB1591" i="1" s="1"/>
  <c r="AF1591" i="1" a="1"/>
  <c r="AF1591" i="1" s="1"/>
  <c r="X1591" i="1" s="1"/>
  <c r="AA1591" i="1" s="1"/>
  <c r="AA1598" i="1"/>
  <c r="Z1598" i="1" s="1"/>
  <c r="T1614" i="1"/>
  <c r="AG1625" i="1" a="1"/>
  <c r="AG1625" i="1" s="1"/>
  <c r="Y1625" i="1" s="1"/>
  <c r="AF1625" i="1" a="1"/>
  <c r="AF1625" i="1" s="1"/>
  <c r="X1625" i="1" s="1"/>
  <c r="AG1637" i="1" a="1"/>
  <c r="AG1637" i="1" s="1"/>
  <c r="Y1637" i="1" s="1"/>
  <c r="AF1637" i="1" a="1"/>
  <c r="AF1637" i="1" s="1"/>
  <c r="X1637" i="1" s="1"/>
  <c r="AF1663" i="1" a="1"/>
  <c r="AF1663" i="1" s="1"/>
  <c r="X1663" i="1" s="1"/>
  <c r="AG1663" i="1" a="1"/>
  <c r="AG1663" i="1" s="1"/>
  <c r="Y1663" i="1" s="1"/>
  <c r="AB1663" i="1" s="1"/>
  <c r="AA1462" i="1"/>
  <c r="AF225" i="1" a="1"/>
  <c r="AF225" i="1" s="1"/>
  <c r="X225" i="1" s="1"/>
  <c r="AB1493" i="1"/>
  <c r="AB1494" i="1"/>
  <c r="Z1494" i="1" s="1"/>
  <c r="Z1520" i="1"/>
  <c r="AB1533" i="1"/>
  <c r="AA1538" i="1"/>
  <c r="AG1540" i="1" a="1"/>
  <c r="AG1540" i="1" s="1"/>
  <c r="Y1540" i="1" s="1"/>
  <c r="AF1540" i="1" a="1"/>
  <c r="AF1540" i="1" s="1"/>
  <c r="X1540" i="1" s="1"/>
  <c r="AG1580" i="1" a="1"/>
  <c r="AG1580" i="1" s="1"/>
  <c r="Y1580" i="1" s="1"/>
  <c r="AB1580" i="1" s="1"/>
  <c r="AF1580" i="1" a="1"/>
  <c r="AF1580" i="1" s="1"/>
  <c r="X1580" i="1" s="1"/>
  <c r="AA1580" i="1" s="1"/>
  <c r="Z1580" i="1" s="1"/>
  <c r="AG1582" i="1" a="1"/>
  <c r="AG1582" i="1" s="1"/>
  <c r="Y1582" i="1" s="1"/>
  <c r="AB1582" i="1" s="1"/>
  <c r="AF1582" i="1" a="1"/>
  <c r="AF1582" i="1" s="1"/>
  <c r="X1582" i="1" s="1"/>
  <c r="AA1582" i="1" s="1"/>
  <c r="AB1272" i="1"/>
  <c r="Z1272" i="1" s="1"/>
  <c r="AB1604" i="1"/>
  <c r="T1610" i="1"/>
  <c r="AA1610" i="1" s="1"/>
  <c r="AA1653" i="1"/>
  <c r="Z1653" i="1" s="1"/>
  <c r="AG1480" i="1" a="1"/>
  <c r="AG1480" i="1" s="1"/>
  <c r="Y1480" i="1" s="1"/>
  <c r="AB1480" i="1" s="1"/>
  <c r="AG1481" i="1" a="1"/>
  <c r="AG1481" i="1" s="1"/>
  <c r="Y1481" i="1" s="1"/>
  <c r="AA1495" i="1"/>
  <c r="AB1505" i="1"/>
  <c r="T1517" i="1"/>
  <c r="AB1517" i="1" s="1"/>
  <c r="AA1521" i="1"/>
  <c r="AB1528" i="1"/>
  <c r="AG1531" i="1" a="1"/>
  <c r="AG1531" i="1" s="1"/>
  <c r="Y1531" i="1" s="1"/>
  <c r="AB1531" i="1" s="1"/>
  <c r="AF1531" i="1" a="1"/>
  <c r="AF1531" i="1" s="1"/>
  <c r="X1531" i="1" s="1"/>
  <c r="AA1531" i="1" s="1"/>
  <c r="AA1544" i="1"/>
  <c r="Z1544" i="1" s="1"/>
  <c r="T1549" i="1"/>
  <c r="AB1549" i="1" s="1"/>
  <c r="AG932" i="1" a="1"/>
  <c r="AG932" i="1" s="1"/>
  <c r="Y932" i="1" s="1"/>
  <c r="AB932" i="1" s="1"/>
  <c r="Z932" i="1" s="1"/>
  <c r="AF932" i="1" a="1"/>
  <c r="AF932" i="1" s="1"/>
  <c r="AG1560" i="1" a="1"/>
  <c r="AG1560" i="1" s="1"/>
  <c r="Y1560" i="1" s="1"/>
  <c r="AF1560" i="1" a="1"/>
  <c r="AF1560" i="1" s="1"/>
  <c r="X1560" i="1" s="1"/>
  <c r="AB1574" i="1"/>
  <c r="Z1574" i="1" s="1"/>
  <c r="T1585" i="1"/>
  <c r="AA1585" i="1" s="1"/>
  <c r="AB1600" i="1"/>
  <c r="AB1606" i="1"/>
  <c r="AG1608" i="1" a="1"/>
  <c r="AG1608" i="1" s="1"/>
  <c r="Y1608" i="1" s="1"/>
  <c r="AF1611" i="1" a="1"/>
  <c r="AF1611" i="1" s="1"/>
  <c r="X1611" i="1" s="1"/>
  <c r="AG1611" i="1" a="1"/>
  <c r="AG1611" i="1" s="1"/>
  <c r="Y1611" i="1" s="1"/>
  <c r="AB1611" i="1" s="1"/>
  <c r="AA1622" i="1"/>
  <c r="Z1622" i="1"/>
  <c r="T1622" i="1"/>
  <c r="AB1622" i="1" s="1"/>
  <c r="AG1649" i="1" a="1"/>
  <c r="AG1649" i="1" s="1"/>
  <c r="Y1649" i="1" s="1"/>
  <c r="AF1649" i="1" a="1"/>
  <c r="AF1649" i="1" s="1"/>
  <c r="X1649" i="1" s="1"/>
  <c r="AA1649" i="1" s="1"/>
  <c r="Z1649" i="1" s="1"/>
  <c r="AA1658" i="1"/>
  <c r="AB1485" i="1"/>
  <c r="AB1486" i="1"/>
  <c r="N1513" i="1"/>
  <c r="AB1521" i="1"/>
  <c r="AB1578" i="1"/>
  <c r="AG1584" i="1" a="1"/>
  <c r="AG1584" i="1" s="1"/>
  <c r="Y1584" i="1" s="1"/>
  <c r="AF1584" i="1" a="1"/>
  <c r="AF1584" i="1" s="1"/>
  <c r="X1584" i="1" s="1"/>
  <c r="AG1586" i="1" a="1"/>
  <c r="AG1586" i="1" s="1"/>
  <c r="Y1586" i="1" s="1"/>
  <c r="AB1586" i="1" s="1"/>
  <c r="AF1586" i="1" a="1"/>
  <c r="AF1586" i="1" s="1"/>
  <c r="X1586" i="1" s="1"/>
  <c r="AA1586" i="1" s="1"/>
  <c r="Z1586" i="1" s="1"/>
  <c r="T1589" i="1"/>
  <c r="AA1589" i="1" s="1"/>
  <c r="AB1589" i="1"/>
  <c r="AG1597" i="1" a="1"/>
  <c r="AG1597" i="1" s="1"/>
  <c r="Y1597" i="1" s="1"/>
  <c r="AF1597" i="1" a="1"/>
  <c r="AF1597" i="1" s="1"/>
  <c r="X1597" i="1" s="1"/>
  <c r="AF1607" i="1" a="1"/>
  <c r="AF1607" i="1" s="1"/>
  <c r="X1607" i="1" s="1"/>
  <c r="AG1607" i="1" a="1"/>
  <c r="AG1607" i="1" s="1"/>
  <c r="Y1607" i="1" s="1"/>
  <c r="AB1625" i="1"/>
  <c r="AA1625" i="1"/>
  <c r="Z1625" i="1"/>
  <c r="T1625" i="1"/>
  <c r="T1634" i="1"/>
  <c r="AB1634" i="1" s="1"/>
  <c r="T1646" i="1"/>
  <c r="AA1646" i="1" s="1"/>
  <c r="Z1646" i="1" s="1"/>
  <c r="AF1675" i="1" a="1"/>
  <c r="AF1675" i="1" s="1"/>
  <c r="X1675" i="1" s="1"/>
  <c r="AA1675" i="1" s="1"/>
  <c r="AG1675" i="1" a="1"/>
  <c r="AG1675" i="1" s="1"/>
  <c r="Y1675" i="1" s="1"/>
  <c r="T1467" i="1"/>
  <c r="AB1467" i="1" s="1"/>
  <c r="AB1544" i="1"/>
  <c r="AA1578" i="1"/>
  <c r="AG1588" i="1" a="1"/>
  <c r="AG1588" i="1" s="1"/>
  <c r="Y1588" i="1" s="1"/>
  <c r="AB1588" i="1" s="1"/>
  <c r="AF1588" i="1" a="1"/>
  <c r="AF1588" i="1" s="1"/>
  <c r="X1588" i="1" s="1"/>
  <c r="AA1588" i="1" s="1"/>
  <c r="Z1588" i="1" s="1"/>
  <c r="AG1590" i="1" a="1"/>
  <c r="AG1590" i="1" s="1"/>
  <c r="Y1590" i="1" s="1"/>
  <c r="AB1590" i="1" s="1"/>
  <c r="AF1590" i="1" a="1"/>
  <c r="AF1590" i="1" s="1"/>
  <c r="X1590" i="1" s="1"/>
  <c r="AA1590" i="1" s="1"/>
  <c r="AG1630" i="1" a="1"/>
  <c r="AG1630" i="1" s="1"/>
  <c r="Y1630" i="1" s="1"/>
  <c r="AF1630" i="1" a="1"/>
  <c r="AF1630" i="1" s="1"/>
  <c r="X1630" i="1" s="1"/>
  <c r="AA1670" i="1"/>
  <c r="T1540" i="1"/>
  <c r="AB1540" i="1" s="1"/>
  <c r="AB463" i="1"/>
  <c r="Z463" i="1" s="1"/>
  <c r="AA923" i="1"/>
  <c r="Z923" i="1" s="1"/>
  <c r="T1560" i="1"/>
  <c r="T1564" i="1"/>
  <c r="T1568" i="1"/>
  <c r="AA1596" i="1"/>
  <c r="AA1603" i="1"/>
  <c r="Z1603" i="1" s="1"/>
  <c r="AF1609" i="1" a="1"/>
  <c r="AF1609" i="1" s="1"/>
  <c r="X1609" i="1" s="1"/>
  <c r="AA1611" i="1"/>
  <c r="Z1611" i="1" s="1"/>
  <c r="T1615" i="1"/>
  <c r="AB948" i="1"/>
  <c r="Z948" i="1" s="1"/>
  <c r="AA1273" i="1"/>
  <c r="Z1273" i="1" s="1"/>
  <c r="AB1547" i="1"/>
  <c r="Z1547" i="1" s="1"/>
  <c r="AG1623" i="1" a="1"/>
  <c r="AG1623" i="1" s="1"/>
  <c r="Y1623" i="1" s="1"/>
  <c r="AG1635" i="1" a="1"/>
  <c r="AG1635" i="1" s="1"/>
  <c r="Y1635" i="1" s="1"/>
  <c r="T1638" i="1"/>
  <c r="AG1658" i="1" a="1"/>
  <c r="AG1658" i="1" s="1"/>
  <c r="Y1658" i="1" s="1"/>
  <c r="AB1658" i="1" s="1"/>
  <c r="Z1658" i="1" s="1"/>
  <c r="AF1658" i="1" a="1"/>
  <c r="AF1658" i="1" s="1"/>
  <c r="X1658" i="1" s="1"/>
  <c r="AG1688" i="1" a="1"/>
  <c r="AG1688" i="1" s="1"/>
  <c r="Y1688" i="1" s="1"/>
  <c r="AB1704" i="1"/>
  <c r="AA1704" i="1"/>
  <c r="Z1704" i="1"/>
  <c r="AA1553" i="1"/>
  <c r="Z1553" i="1" s="1"/>
  <c r="AF1562" i="1" a="1"/>
  <c r="AF1562" i="1" s="1"/>
  <c r="X1562" i="1" s="1"/>
  <c r="AA1562" i="1" s="1"/>
  <c r="Z1562" i="1" s="1"/>
  <c r="AF1566" i="1" a="1"/>
  <c r="AF1566" i="1" s="1"/>
  <c r="X1566" i="1" s="1"/>
  <c r="AA1566" i="1" s="1"/>
  <c r="AF1273" i="1" a="1"/>
  <c r="AF1273" i="1" s="1"/>
  <c r="AA1627" i="1"/>
  <c r="AB1632" i="1"/>
  <c r="AA1632" i="1"/>
  <c r="T1637" i="1"/>
  <c r="AA1637" i="1" s="1"/>
  <c r="Z1637" i="1" s="1"/>
  <c r="AB1639" i="1"/>
  <c r="AA1639" i="1"/>
  <c r="AB1644" i="1"/>
  <c r="AA1644" i="1"/>
  <c r="Z1644" i="1" s="1"/>
  <c r="AG1656" i="1" a="1"/>
  <c r="AG1656" i="1" s="1"/>
  <c r="Y1656" i="1" s="1"/>
  <c r="AB1656" i="1" s="1"/>
  <c r="AG1659" i="1" a="1"/>
  <c r="AG1659" i="1" s="1"/>
  <c r="Y1659" i="1" s="1"/>
  <c r="AG1670" i="1" a="1"/>
  <c r="AG1670" i="1" s="1"/>
  <c r="Y1670" i="1" s="1"/>
  <c r="AF1670" i="1" a="1"/>
  <c r="AF1670" i="1" s="1"/>
  <c r="X1670" i="1" s="1"/>
  <c r="AG1680" i="1" a="1"/>
  <c r="AG1680" i="1" s="1"/>
  <c r="Y1680" i="1" s="1"/>
  <c r="AB1680" i="1" s="1"/>
  <c r="AG1684" i="1" a="1"/>
  <c r="AG1684" i="1" s="1"/>
  <c r="Y1684" i="1" s="1"/>
  <c r="AB1684" i="1" s="1"/>
  <c r="AG1747" i="1" a="1"/>
  <c r="AG1747" i="1" s="1"/>
  <c r="Y1747" i="1" s="1"/>
  <c r="AF1747" i="1" a="1"/>
  <c r="AF1747" i="1" s="1"/>
  <c r="X1747" i="1" s="1"/>
  <c r="AG1765" i="1" a="1"/>
  <c r="AG1765" i="1" s="1"/>
  <c r="Y1765" i="1" s="1"/>
  <c r="AB1765" i="1" s="1"/>
  <c r="Z1765" i="1" s="1"/>
  <c r="AF1765" i="1" a="1"/>
  <c r="AF1765" i="1" s="1"/>
  <c r="X1765" i="1" s="1"/>
  <c r="T1518" i="1"/>
  <c r="T1561" i="1"/>
  <c r="AB1561" i="1" s="1"/>
  <c r="T1565" i="1"/>
  <c r="AB1565" i="1" s="1"/>
  <c r="T1569" i="1"/>
  <c r="AB1569" i="1" s="1"/>
  <c r="T1575" i="1"/>
  <c r="AB1575" i="1" s="1"/>
  <c r="AF1577" i="1" a="1"/>
  <c r="AF1577" i="1" s="1"/>
  <c r="X1577" i="1" s="1"/>
  <c r="AA1577" i="1" s="1"/>
  <c r="T1581" i="1"/>
  <c r="AB1581" i="1" s="1"/>
  <c r="T1587" i="1"/>
  <c r="AB1587" i="1" s="1"/>
  <c r="AF1589" i="1" a="1"/>
  <c r="AF1589" i="1" s="1"/>
  <c r="X1589" i="1" s="1"/>
  <c r="T1593" i="1"/>
  <c r="T1599" i="1"/>
  <c r="AB1599" i="1" s="1"/>
  <c r="AF1601" i="1" a="1"/>
  <c r="AF1601" i="1" s="1"/>
  <c r="X1601" i="1" s="1"/>
  <c r="AA1601" i="1" s="1"/>
  <c r="Z1601" i="1" s="1"/>
  <c r="AA1604" i="1"/>
  <c r="AF1610" i="1" a="1"/>
  <c r="AF1610" i="1" s="1"/>
  <c r="X1610" i="1" s="1"/>
  <c r="AF1645" i="1" a="1"/>
  <c r="AF1645" i="1" s="1"/>
  <c r="X1645" i="1" s="1"/>
  <c r="AB1668" i="1"/>
  <c r="AF1687" i="1" a="1"/>
  <c r="AF1687" i="1" s="1"/>
  <c r="X1687" i="1" s="1"/>
  <c r="AG1687" i="1" a="1"/>
  <c r="AG1687" i="1" s="1"/>
  <c r="Y1687" i="1" s="1"/>
  <c r="AG1709" i="1" a="1"/>
  <c r="AG1709" i="1" s="1"/>
  <c r="Y1709" i="1" s="1"/>
  <c r="AF1709" i="1" a="1"/>
  <c r="AF1709" i="1" s="1"/>
  <c r="X1709" i="1" s="1"/>
  <c r="AB1749" i="1"/>
  <c r="AB1753" i="1"/>
  <c r="AB1760" i="1"/>
  <c r="AA1760" i="1"/>
  <c r="T1541" i="1"/>
  <c r="AB1541" i="1" s="1"/>
  <c r="AF947" i="1" a="1"/>
  <c r="AF947" i="1" s="1"/>
  <c r="AA1579" i="1"/>
  <c r="T1607" i="1"/>
  <c r="AB1607" i="1" s="1"/>
  <c r="AF1613" i="1" a="1"/>
  <c r="AF1613" i="1" s="1"/>
  <c r="X1613" i="1" s="1"/>
  <c r="AA1613" i="1" s="1"/>
  <c r="Z1613" i="1" s="1"/>
  <c r="AF948" i="1" a="1"/>
  <c r="AF948" i="1" s="1"/>
  <c r="AF1618" i="1" a="1"/>
  <c r="AF1618" i="1" s="1"/>
  <c r="X1618" i="1" s="1"/>
  <c r="AA1618" i="1" s="1"/>
  <c r="Z1618" i="1" s="1"/>
  <c r="AG1627" i="1" a="1"/>
  <c r="AG1627" i="1" s="1"/>
  <c r="Y1627" i="1" s="1"/>
  <c r="AB1627" i="1" s="1"/>
  <c r="T1630" i="1"/>
  <c r="AG1639" i="1" a="1"/>
  <c r="AG1639" i="1" s="1"/>
  <c r="Y1639" i="1" s="1"/>
  <c r="T1642" i="1"/>
  <c r="AB1693" i="1"/>
  <c r="AG1713" i="1" a="1"/>
  <c r="AG1713" i="1" s="1"/>
  <c r="Y1713" i="1" s="1"/>
  <c r="AF1713" i="1" a="1"/>
  <c r="AF1713" i="1" s="1"/>
  <c r="X1713" i="1" s="1"/>
  <c r="AB1724" i="1"/>
  <c r="AB1740" i="1"/>
  <c r="AB1772" i="1"/>
  <c r="AG1634" i="1" a="1"/>
  <c r="AG1634" i="1" s="1"/>
  <c r="Y1634" i="1" s="1"/>
  <c r="AF1634" i="1" a="1"/>
  <c r="AF1634" i="1" s="1"/>
  <c r="X1634" i="1" s="1"/>
  <c r="AB1637" i="1"/>
  <c r="AG1646" i="1" a="1"/>
  <c r="AG1646" i="1" s="1"/>
  <c r="Y1646" i="1" s="1"/>
  <c r="AB1646" i="1" s="1"/>
  <c r="AF1646" i="1" a="1"/>
  <c r="AF1646" i="1" s="1"/>
  <c r="X1646" i="1" s="1"/>
  <c r="AG1654" i="1" a="1"/>
  <c r="AG1654" i="1" s="1"/>
  <c r="Y1654" i="1" s="1"/>
  <c r="AF1654" i="1" a="1"/>
  <c r="AF1654" i="1" s="1"/>
  <c r="X1654" i="1" s="1"/>
  <c r="AA1663" i="1"/>
  <c r="Z1663" i="1" s="1"/>
  <c r="T1663" i="1"/>
  <c r="AF1683" i="1" a="1"/>
  <c r="AF1683" i="1" s="1"/>
  <c r="X1683" i="1" s="1"/>
  <c r="AG1683" i="1" a="1"/>
  <c r="AG1683" i="1" s="1"/>
  <c r="Y1683" i="1" s="1"/>
  <c r="AB1683" i="1" s="1"/>
  <c r="Z1683" i="1" s="1"/>
  <c r="Z1693" i="1"/>
  <c r="AB1697" i="1"/>
  <c r="AG1716" i="1" a="1"/>
  <c r="AG1716" i="1" s="1"/>
  <c r="Y1716" i="1" s="1"/>
  <c r="AF1716" i="1" a="1"/>
  <c r="AF1716" i="1" s="1"/>
  <c r="X1716" i="1" s="1"/>
  <c r="AG1719" i="1" a="1"/>
  <c r="AG1719" i="1" s="1"/>
  <c r="Y1719" i="1" s="1"/>
  <c r="AF1719" i="1" a="1"/>
  <c r="AF1719" i="1" s="1"/>
  <c r="X1719" i="1" s="1"/>
  <c r="AG1722" i="1" a="1"/>
  <c r="AG1722" i="1" s="1"/>
  <c r="Y1722" i="1" s="1"/>
  <c r="AF1722" i="1" a="1"/>
  <c r="AF1722" i="1" s="1"/>
  <c r="X1722" i="1" s="1"/>
  <c r="AG1725" i="1" a="1"/>
  <c r="AG1725" i="1" s="1"/>
  <c r="Y1725" i="1" s="1"/>
  <c r="AF1725" i="1" a="1"/>
  <c r="AF1725" i="1" s="1"/>
  <c r="X1725" i="1" s="1"/>
  <c r="AG1728" i="1" a="1"/>
  <c r="AG1728" i="1" s="1"/>
  <c r="Y1728" i="1" s="1"/>
  <c r="AF1728" i="1" a="1"/>
  <c r="AF1728" i="1" s="1"/>
  <c r="X1728" i="1" s="1"/>
  <c r="AA1728" i="1" s="1"/>
  <c r="Z1728" i="1" s="1"/>
  <c r="AG1731" i="1" a="1"/>
  <c r="AG1731" i="1" s="1"/>
  <c r="Y1731" i="1" s="1"/>
  <c r="AF1731" i="1" a="1"/>
  <c r="AF1731" i="1" s="1"/>
  <c r="X1731" i="1" s="1"/>
  <c r="AG1741" i="1" a="1"/>
  <c r="AG1741" i="1" s="1"/>
  <c r="Y1741" i="1" s="1"/>
  <c r="AF1741" i="1" a="1"/>
  <c r="AF1741" i="1" s="1"/>
  <c r="X1741" i="1" s="1"/>
  <c r="AA1533" i="1"/>
  <c r="AF1543" i="1" a="1"/>
  <c r="AF1543" i="1" s="1"/>
  <c r="X1543" i="1" s="1"/>
  <c r="AA1543" i="1" s="1"/>
  <c r="Z1543" i="1" s="1"/>
  <c r="AA1606" i="1"/>
  <c r="Z1606" i="1" s="1"/>
  <c r="T1609" i="1"/>
  <c r="AB1609" i="1" s="1"/>
  <c r="AF1616" i="1" a="1"/>
  <c r="AF1616" i="1" s="1"/>
  <c r="X1616" i="1" s="1"/>
  <c r="AA1616" i="1" s="1"/>
  <c r="Z1616" i="1" s="1"/>
  <c r="AB1552" i="1"/>
  <c r="T1629" i="1"/>
  <c r="AB1631" i="1"/>
  <c r="AA1631" i="1"/>
  <c r="Z1631" i="1" s="1"/>
  <c r="T1635" i="1"/>
  <c r="Z1635" i="1" s="1"/>
  <c r="AB1636" i="1"/>
  <c r="AA1636" i="1"/>
  <c r="Z1636" i="1" s="1"/>
  <c r="T1641" i="1"/>
  <c r="AA1641" i="1" s="1"/>
  <c r="AB1643" i="1"/>
  <c r="AA1643" i="1"/>
  <c r="Z1643" i="1" s="1"/>
  <c r="T1647" i="1"/>
  <c r="Z1647" i="1" s="1"/>
  <c r="AB1648" i="1"/>
  <c r="AG1652" i="1" a="1"/>
  <c r="AG1652" i="1" s="1"/>
  <c r="Y1652" i="1" s="1"/>
  <c r="AB1652" i="1" s="1"/>
  <c r="AB1655" i="1"/>
  <c r="AA1655" i="1"/>
  <c r="Z1655" i="1"/>
  <c r="T1655" i="1"/>
  <c r="AG1662" i="1" a="1"/>
  <c r="AG1662" i="1" s="1"/>
  <c r="Y1662" i="1" s="1"/>
  <c r="AF1662" i="1" a="1"/>
  <c r="AF1662" i="1" s="1"/>
  <c r="X1662" i="1" s="1"/>
  <c r="AA1662" i="1" s="1"/>
  <c r="Z1662" i="1" s="1"/>
  <c r="AG1674" i="1" a="1"/>
  <c r="AG1674" i="1" s="1"/>
  <c r="Y1674" i="1" s="1"/>
  <c r="AF1674" i="1" a="1"/>
  <c r="AF1674" i="1" s="1"/>
  <c r="X1674" i="1" s="1"/>
  <c r="AA1674" i="1" s="1"/>
  <c r="Z1674" i="1" s="1"/>
  <c r="AB1701" i="1"/>
  <c r="AB1711" i="1"/>
  <c r="Z1711" i="1" s="1"/>
  <c r="AG1761" i="1" a="1"/>
  <c r="AG1761" i="1" s="1"/>
  <c r="Y1761" i="1" s="1"/>
  <c r="AB1761" i="1" s="1"/>
  <c r="AF1761" i="1" a="1"/>
  <c r="AF1761" i="1" s="1"/>
  <c r="X1761" i="1" s="1"/>
  <c r="AA1761" i="1" s="1"/>
  <c r="Z1761" i="1" s="1"/>
  <c r="T1571" i="1"/>
  <c r="AA1571" i="1" s="1"/>
  <c r="T1583" i="1"/>
  <c r="AA1583" i="1" s="1"/>
  <c r="T1595" i="1"/>
  <c r="AA1595" i="1" s="1"/>
  <c r="AG1650" i="1" a="1"/>
  <c r="AG1650" i="1" s="1"/>
  <c r="Y1650" i="1" s="1"/>
  <c r="AB1650" i="1" s="1"/>
  <c r="AF1650" i="1" a="1"/>
  <c r="AF1650" i="1" s="1"/>
  <c r="X1650" i="1" s="1"/>
  <c r="AA1650" i="1" s="1"/>
  <c r="Z1650" i="1" s="1"/>
  <c r="AB1660" i="1"/>
  <c r="AB1670" i="1"/>
  <c r="AB1672" i="1"/>
  <c r="AG1694" i="1" a="1"/>
  <c r="AG1694" i="1" s="1"/>
  <c r="Y1694" i="1" s="1"/>
  <c r="AB1694" i="1" s="1"/>
  <c r="AF1694" i="1" a="1"/>
  <c r="AF1694" i="1" s="1"/>
  <c r="X1694" i="1" s="1"/>
  <c r="AA1694" i="1" s="1"/>
  <c r="Z1694" i="1" s="1"/>
  <c r="Z1701" i="1"/>
  <c r="AB1705" i="1"/>
  <c r="AG1739" i="1" a="1"/>
  <c r="AG1739" i="1" s="1"/>
  <c r="Y1739" i="1" s="1"/>
  <c r="AF1739" i="1" a="1"/>
  <c r="AF1739" i="1" s="1"/>
  <c r="X1739" i="1" s="1"/>
  <c r="Z1534" i="1"/>
  <c r="AA1541" i="1"/>
  <c r="Z1541" i="1" s="1"/>
  <c r="T1550" i="1"/>
  <c r="AB1550" i="1" s="1"/>
  <c r="T1551" i="1"/>
  <c r="AA1576" i="1"/>
  <c r="AA1600" i="1"/>
  <c r="Z1600" i="1" s="1"/>
  <c r="AA1607" i="1"/>
  <c r="Z1607" i="1" s="1"/>
  <c r="AA1609" i="1"/>
  <c r="AG1615" i="1" a="1"/>
  <c r="AG1615" i="1" s="1"/>
  <c r="Y1615" i="1" s="1"/>
  <c r="AG1631" i="1" a="1"/>
  <c r="AG1631" i="1" s="1"/>
  <c r="Y1631" i="1" s="1"/>
  <c r="AG1643" i="1" a="1"/>
  <c r="AG1643" i="1" s="1"/>
  <c r="Y1643" i="1" s="1"/>
  <c r="AG1690" i="1" a="1"/>
  <c r="AG1690" i="1" s="1"/>
  <c r="Y1690" i="1" s="1"/>
  <c r="AB1690" i="1" s="1"/>
  <c r="Z1690" i="1" s="1"/>
  <c r="AF1690" i="1" a="1"/>
  <c r="AF1690" i="1" s="1"/>
  <c r="X1690" i="1" s="1"/>
  <c r="AA1690" i="1" s="1"/>
  <c r="AG1698" i="1" a="1"/>
  <c r="AG1698" i="1" s="1"/>
  <c r="Y1698" i="1" s="1"/>
  <c r="AB1698" i="1" s="1"/>
  <c r="Z1698" i="1" s="1"/>
  <c r="AF1698" i="1" a="1"/>
  <c r="AF1698" i="1" s="1"/>
  <c r="X1698" i="1" s="1"/>
  <c r="AA1698" i="1" s="1"/>
  <c r="AB1707" i="1"/>
  <c r="AB1716" i="1"/>
  <c r="AB1728" i="1"/>
  <c r="AG1744" i="1" a="1"/>
  <c r="AG1744" i="1" s="1"/>
  <c r="Y1744" i="1" s="1"/>
  <c r="AB1744" i="1" s="1"/>
  <c r="AF1744" i="1" a="1"/>
  <c r="AF1744" i="1" s="1"/>
  <c r="X1744" i="1" s="1"/>
  <c r="T1572" i="1"/>
  <c r="AB1572" i="1" s="1"/>
  <c r="T1584" i="1"/>
  <c r="T1596" i="1"/>
  <c r="AB1596" i="1" s="1"/>
  <c r="AB1608" i="1"/>
  <c r="AA1608" i="1"/>
  <c r="Z1608" i="1" s="1"/>
  <c r="AG1626" i="1" a="1"/>
  <c r="AG1626" i="1" s="1"/>
  <c r="Y1626" i="1" s="1"/>
  <c r="AF1626" i="1" a="1"/>
  <c r="AF1626" i="1" s="1"/>
  <c r="X1626" i="1" s="1"/>
  <c r="AB1629" i="1"/>
  <c r="AG1638" i="1" a="1"/>
  <c r="AG1638" i="1" s="1"/>
  <c r="Y1638" i="1" s="1"/>
  <c r="AF1638" i="1" a="1"/>
  <c r="AF1638" i="1" s="1"/>
  <c r="X1638" i="1" s="1"/>
  <c r="T1651" i="1"/>
  <c r="AA1667" i="1"/>
  <c r="Z1667" i="1" s="1"/>
  <c r="T1667" i="1"/>
  <c r="AB1667" i="1" s="1"/>
  <c r="AG1678" i="1" a="1"/>
  <c r="AG1678" i="1" s="1"/>
  <c r="Y1678" i="1" s="1"/>
  <c r="AB1678" i="1" s="1"/>
  <c r="Z1678" i="1" s="1"/>
  <c r="AF1678" i="1" a="1"/>
  <c r="AF1678" i="1" s="1"/>
  <c r="X1678" i="1" s="1"/>
  <c r="AA1678" i="1" s="1"/>
  <c r="Z1692" i="1"/>
  <c r="AG1702" i="1" a="1"/>
  <c r="AG1702" i="1" s="1"/>
  <c r="Y1702" i="1" s="1"/>
  <c r="AB1702" i="1" s="1"/>
  <c r="AF1702" i="1" a="1"/>
  <c r="AF1702" i="1" s="1"/>
  <c r="X1702" i="1" s="1"/>
  <c r="AA1702" i="1" s="1"/>
  <c r="Z1702" i="1" s="1"/>
  <c r="AG1714" i="1" a="1"/>
  <c r="AG1714" i="1" s="1"/>
  <c r="Y1714" i="1" s="1"/>
  <c r="AF1714" i="1" a="1"/>
  <c r="AF1714" i="1" s="1"/>
  <c r="X1714" i="1" s="1"/>
  <c r="AG1717" i="1" a="1"/>
  <c r="AG1717" i="1" s="1"/>
  <c r="Y1717" i="1" s="1"/>
  <c r="AF1717" i="1" a="1"/>
  <c r="AF1717" i="1" s="1"/>
  <c r="X1717" i="1" s="1"/>
  <c r="AG1720" i="1" a="1"/>
  <c r="AG1720" i="1" s="1"/>
  <c r="Y1720" i="1" s="1"/>
  <c r="AB1720" i="1" s="1"/>
  <c r="Z1720" i="1" s="1"/>
  <c r="AF1720" i="1" a="1"/>
  <c r="AF1720" i="1" s="1"/>
  <c r="X1720" i="1" s="1"/>
  <c r="AG1723" i="1" a="1"/>
  <c r="AG1723" i="1" s="1"/>
  <c r="Y1723" i="1" s="1"/>
  <c r="AF1723" i="1" a="1"/>
  <c r="AF1723" i="1" s="1"/>
  <c r="X1723" i="1" s="1"/>
  <c r="AG1726" i="1" a="1"/>
  <c r="AG1726" i="1" s="1"/>
  <c r="Y1726" i="1" s="1"/>
  <c r="AF1726" i="1" a="1"/>
  <c r="AF1726" i="1" s="1"/>
  <c r="X1726" i="1" s="1"/>
  <c r="AG1729" i="1" a="1"/>
  <c r="AG1729" i="1" s="1"/>
  <c r="Y1729" i="1" s="1"/>
  <c r="AF1729" i="1" a="1"/>
  <c r="AF1729" i="1" s="1"/>
  <c r="X1729" i="1" s="1"/>
  <c r="AG1732" i="1" a="1"/>
  <c r="AG1732" i="1" s="1"/>
  <c r="Y1732" i="1" s="1"/>
  <c r="AB1732" i="1" s="1"/>
  <c r="AF1732" i="1" a="1"/>
  <c r="AF1732" i="1" s="1"/>
  <c r="X1732" i="1" s="1"/>
  <c r="AB1748" i="1"/>
  <c r="AG1757" i="1" a="1"/>
  <c r="AG1757" i="1" s="1"/>
  <c r="Y1757" i="1" s="1"/>
  <c r="AF1757" i="1" a="1"/>
  <c r="AF1757" i="1" s="1"/>
  <c r="X1757" i="1" s="1"/>
  <c r="AA1757" i="1" s="1"/>
  <c r="Z1757" i="1" s="1"/>
  <c r="AB1768" i="1"/>
  <c r="AA1768" i="1"/>
  <c r="Z1768" i="1" s="1"/>
  <c r="AB1623" i="1"/>
  <c r="AA1623" i="1"/>
  <c r="Z1623" i="1" s="1"/>
  <c r="AB1628" i="1"/>
  <c r="AA1628" i="1"/>
  <c r="AB1635" i="1"/>
  <c r="AA1635" i="1"/>
  <c r="AB1640" i="1"/>
  <c r="AA1640" i="1"/>
  <c r="Z1640" i="1" s="1"/>
  <c r="AB1647" i="1"/>
  <c r="AA1647" i="1"/>
  <c r="AG1666" i="1" a="1"/>
  <c r="AG1666" i="1" s="1"/>
  <c r="Y1666" i="1" s="1"/>
  <c r="AB1666" i="1" s="1"/>
  <c r="AF1666" i="1" a="1"/>
  <c r="AF1666" i="1" s="1"/>
  <c r="X1666" i="1" s="1"/>
  <c r="AA1666" i="1" s="1"/>
  <c r="AG1667" i="1" a="1"/>
  <c r="AG1667" i="1" s="1"/>
  <c r="Y1667" i="1" s="1"/>
  <c r="AB1676" i="1"/>
  <c r="AG1686" i="1" a="1"/>
  <c r="AG1686" i="1" s="1"/>
  <c r="Y1686" i="1" s="1"/>
  <c r="AB1686" i="1" s="1"/>
  <c r="Z1686" i="1" s="1"/>
  <c r="AF1686" i="1" a="1"/>
  <c r="AF1686" i="1" s="1"/>
  <c r="X1686" i="1" s="1"/>
  <c r="AA1686" i="1" s="1"/>
  <c r="AB1692" i="1"/>
  <c r="AB1696" i="1"/>
  <c r="AA1696" i="1"/>
  <c r="Z1696" i="1"/>
  <c r="AG1706" i="1" a="1"/>
  <c r="AG1706" i="1" s="1"/>
  <c r="Y1706" i="1" s="1"/>
  <c r="AB1706" i="1" s="1"/>
  <c r="AF1706" i="1" a="1"/>
  <c r="AF1706" i="1" s="1"/>
  <c r="X1706" i="1" s="1"/>
  <c r="AA1706" i="1" s="1"/>
  <c r="Z1706" i="1" s="1"/>
  <c r="AF1569" i="1" a="1"/>
  <c r="AF1569" i="1" s="1"/>
  <c r="X1569" i="1" s="1"/>
  <c r="AF1581" i="1" a="1"/>
  <c r="AF1581" i="1" s="1"/>
  <c r="X1581" i="1" s="1"/>
  <c r="AF1593" i="1" a="1"/>
  <c r="AF1593" i="1" s="1"/>
  <c r="X1593" i="1" s="1"/>
  <c r="T1654" i="1"/>
  <c r="AB1654" i="1" s="1"/>
  <c r="AB1662" i="1"/>
  <c r="AB1664" i="1"/>
  <c r="AB1674" i="1"/>
  <c r="AG1682" i="1" a="1"/>
  <c r="AG1682" i="1" s="1"/>
  <c r="Y1682" i="1" s="1"/>
  <c r="AB1682" i="1" s="1"/>
  <c r="AF1682" i="1" a="1"/>
  <c r="AF1682" i="1" s="1"/>
  <c r="X1682" i="1" s="1"/>
  <c r="AA1682" i="1" s="1"/>
  <c r="Z1682" i="1" s="1"/>
  <c r="AB1688" i="1"/>
  <c r="AB1700" i="1"/>
  <c r="AA1700" i="1"/>
  <c r="Z1700" i="1" s="1"/>
  <c r="AG1735" i="1" a="1"/>
  <c r="AG1735" i="1" s="1"/>
  <c r="Y1735" i="1" s="1"/>
  <c r="AF1735" i="1" a="1"/>
  <c r="AF1735" i="1" s="1"/>
  <c r="X1735" i="1" s="1"/>
  <c r="AG1769" i="1" a="1"/>
  <c r="AG1769" i="1" s="1"/>
  <c r="Y1769" i="1" s="1"/>
  <c r="AB1769" i="1" s="1"/>
  <c r="AF1769" i="1" a="1"/>
  <c r="AF1769" i="1" s="1"/>
  <c r="X1769" i="1" s="1"/>
  <c r="AB1735" i="1"/>
  <c r="AA1765" i="1"/>
  <c r="T1782" i="1"/>
  <c r="T1790" i="1"/>
  <c r="T1793" i="1"/>
  <c r="AB1793" i="1" s="1"/>
  <c r="AF1881" i="1" a="1"/>
  <c r="AF1881" i="1" s="1"/>
  <c r="X1881" i="1" s="1"/>
  <c r="AG1881" i="1" a="1"/>
  <c r="AG1881" i="1" s="1"/>
  <c r="Y1881" i="1" s="1"/>
  <c r="AG1908" i="1" a="1"/>
  <c r="AG1908" i="1" s="1"/>
  <c r="Y1908" i="1" s="1"/>
  <c r="AF1908" i="1" a="1"/>
  <c r="AF1908" i="1" s="1"/>
  <c r="X1908" i="1" s="1"/>
  <c r="AG1927" i="1" a="1"/>
  <c r="AG1927" i="1" s="1"/>
  <c r="Y1927" i="1" s="1"/>
  <c r="AB1927" i="1" s="1"/>
  <c r="AF1927" i="1" a="1"/>
  <c r="AF1927" i="1" s="1"/>
  <c r="X1927" i="1" s="1"/>
  <c r="AB1649" i="1"/>
  <c r="AB1653" i="1"/>
  <c r="AB1657" i="1"/>
  <c r="Z1657" i="1" s="1"/>
  <c r="AB1661" i="1"/>
  <c r="AB1665" i="1"/>
  <c r="AB1669" i="1"/>
  <c r="AB1673" i="1"/>
  <c r="AB1677" i="1"/>
  <c r="AB1681" i="1"/>
  <c r="AB1685" i="1"/>
  <c r="AB1689" i="1"/>
  <c r="AF1708" i="1" a="1"/>
  <c r="AF1708" i="1" s="1"/>
  <c r="X1708" i="1" s="1"/>
  <c r="AA1708" i="1" s="1"/>
  <c r="Z1708" i="1" s="1"/>
  <c r="AA1710" i="1"/>
  <c r="AA1711" i="1"/>
  <c r="AF1736" i="1" a="1"/>
  <c r="AF1736" i="1" s="1"/>
  <c r="X1736" i="1" s="1"/>
  <c r="AF1737" i="1" a="1"/>
  <c r="AF1737" i="1" s="1"/>
  <c r="X1737" i="1" s="1"/>
  <c r="T1743" i="1"/>
  <c r="AA1746" i="1"/>
  <c r="AG1754" i="1" a="1"/>
  <c r="AG1754" i="1" s="1"/>
  <c r="Y1754" i="1" s="1"/>
  <c r="AB1754" i="1" s="1"/>
  <c r="AA1762" i="1"/>
  <c r="T1762" i="1"/>
  <c r="AG1770" i="1" a="1"/>
  <c r="AG1770" i="1" s="1"/>
  <c r="Y1770" i="1" s="1"/>
  <c r="AF1770" i="1" a="1"/>
  <c r="AF1770" i="1" s="1"/>
  <c r="X1770" i="1" s="1"/>
  <c r="AA1773" i="1"/>
  <c r="Z1773" i="1" s="1"/>
  <c r="AG1794" i="1" a="1"/>
  <c r="AG1794" i="1" s="1"/>
  <c r="Y1794" i="1" s="1"/>
  <c r="AF1794" i="1" a="1"/>
  <c r="AF1794" i="1" s="1"/>
  <c r="X1794" i="1" s="1"/>
  <c r="AB1807" i="1"/>
  <c r="T1902" i="1"/>
  <c r="AA1902" i="1" s="1"/>
  <c r="Z1666" i="1"/>
  <c r="Z1670" i="1"/>
  <c r="T1675" i="1"/>
  <c r="AB1675" i="1" s="1"/>
  <c r="T1679" i="1"/>
  <c r="AB1679" i="1" s="1"/>
  <c r="T1683" i="1"/>
  <c r="T1687" i="1"/>
  <c r="AB1687" i="1" s="1"/>
  <c r="Z1687" i="1" s="1"/>
  <c r="T1691" i="1"/>
  <c r="AA1691" i="1" s="1"/>
  <c r="T1695" i="1"/>
  <c r="AB1695" i="1" s="1"/>
  <c r="Z1695" i="1" s="1"/>
  <c r="T1699" i="1"/>
  <c r="AB1699" i="1" s="1"/>
  <c r="Z1699" i="1" s="1"/>
  <c r="T1703" i="1"/>
  <c r="AB1703" i="1" s="1"/>
  <c r="T1707" i="1"/>
  <c r="AF1710" i="1" a="1"/>
  <c r="AF1710" i="1" s="1"/>
  <c r="X1710" i="1" s="1"/>
  <c r="AA1716" i="1"/>
  <c r="Z1716" i="1" s="1"/>
  <c r="AA1720" i="1"/>
  <c r="AA1724" i="1"/>
  <c r="Z1724" i="1" s="1"/>
  <c r="AA1732" i="1"/>
  <c r="Z1732" i="1" s="1"/>
  <c r="T1742" i="1"/>
  <c r="AB1742" i="1" s="1"/>
  <c r="AA1744" i="1"/>
  <c r="T1758" i="1"/>
  <c r="AB1758" i="1" s="1"/>
  <c r="Z1810" i="1"/>
  <c r="T1831" i="1"/>
  <c r="AG1842" i="1" a="1"/>
  <c r="AG1842" i="1" s="1"/>
  <c r="Y1842" i="1" s="1"/>
  <c r="AF1842" i="1" a="1"/>
  <c r="AF1842" i="1" s="1"/>
  <c r="X1842" i="1" s="1"/>
  <c r="AG1863" i="1" a="1"/>
  <c r="AG1863" i="1" s="1"/>
  <c r="Y1863" i="1" s="1"/>
  <c r="AF1863" i="1" a="1"/>
  <c r="AF1863" i="1" s="1"/>
  <c r="X1863" i="1" s="1"/>
  <c r="AA1718" i="1"/>
  <c r="Z1718" i="1" s="1"/>
  <c r="T1741" i="1"/>
  <c r="AG1746" i="1" a="1"/>
  <c r="AG1746" i="1" s="1"/>
  <c r="Y1746" i="1" s="1"/>
  <c r="T1750" i="1"/>
  <c r="T1751" i="1"/>
  <c r="AA1751" i="1" s="1"/>
  <c r="AB1751" i="1"/>
  <c r="AF1753" i="1" a="1"/>
  <c r="AF1753" i="1" s="1"/>
  <c r="X1753" i="1" s="1"/>
  <c r="AA1753" i="1" s="1"/>
  <c r="Z1753" i="1" s="1"/>
  <c r="AG1762" i="1" a="1"/>
  <c r="AG1762" i="1" s="1"/>
  <c r="Y1762" i="1" s="1"/>
  <c r="AF1768" i="1" a="1"/>
  <c r="AF1768" i="1" s="1"/>
  <c r="X1768" i="1" s="1"/>
  <c r="AB1777" i="1"/>
  <c r="AF1661" i="1" a="1"/>
  <c r="AF1661" i="1" s="1"/>
  <c r="X1661" i="1" s="1"/>
  <c r="AA1661" i="1" s="1"/>
  <c r="Z1661" i="1" s="1"/>
  <c r="AF1665" i="1" a="1"/>
  <c r="AF1665" i="1" s="1"/>
  <c r="X1665" i="1" s="1"/>
  <c r="AA1665" i="1" s="1"/>
  <c r="Z1665" i="1" s="1"/>
  <c r="AF1669" i="1" a="1"/>
  <c r="AF1669" i="1" s="1"/>
  <c r="X1669" i="1" s="1"/>
  <c r="AA1669" i="1" s="1"/>
  <c r="Z1669" i="1" s="1"/>
  <c r="AF1673" i="1" a="1"/>
  <c r="AF1673" i="1" s="1"/>
  <c r="X1673" i="1" s="1"/>
  <c r="AA1673" i="1" s="1"/>
  <c r="Z1673" i="1" s="1"/>
  <c r="AF1677" i="1" a="1"/>
  <c r="AF1677" i="1" s="1"/>
  <c r="X1677" i="1" s="1"/>
  <c r="AA1677" i="1" s="1"/>
  <c r="AF1681" i="1" a="1"/>
  <c r="AF1681" i="1" s="1"/>
  <c r="X1681" i="1" s="1"/>
  <c r="AA1681" i="1" s="1"/>
  <c r="Z1681" i="1" s="1"/>
  <c r="AF1685" i="1" a="1"/>
  <c r="AF1685" i="1" s="1"/>
  <c r="X1685" i="1" s="1"/>
  <c r="AA1685" i="1" s="1"/>
  <c r="Z1685" i="1" s="1"/>
  <c r="AF1689" i="1" a="1"/>
  <c r="AF1689" i="1" s="1"/>
  <c r="X1689" i="1" s="1"/>
  <c r="AA1689" i="1" s="1"/>
  <c r="Z1689" i="1" s="1"/>
  <c r="AF1693" i="1" a="1"/>
  <c r="AF1693" i="1" s="1"/>
  <c r="X1693" i="1" s="1"/>
  <c r="AA1693" i="1" s="1"/>
  <c r="AF1697" i="1" a="1"/>
  <c r="AF1697" i="1" s="1"/>
  <c r="X1697" i="1" s="1"/>
  <c r="AA1697" i="1" s="1"/>
  <c r="Z1697" i="1" s="1"/>
  <c r="AF1701" i="1" a="1"/>
  <c r="AF1701" i="1" s="1"/>
  <c r="X1701" i="1" s="1"/>
  <c r="AA1701" i="1" s="1"/>
  <c r="AF1705" i="1" a="1"/>
  <c r="AF1705" i="1" s="1"/>
  <c r="X1705" i="1" s="1"/>
  <c r="AA1705" i="1" s="1"/>
  <c r="Z1705" i="1" s="1"/>
  <c r="AA1713" i="1"/>
  <c r="Z1713" i="1" s="1"/>
  <c r="AA1743" i="1"/>
  <c r="AA1745" i="1"/>
  <c r="Z1745" i="1" s="1"/>
  <c r="AB1764" i="1"/>
  <c r="AB1779" i="1"/>
  <c r="T1802" i="1"/>
  <c r="AB1802" i="1" s="1"/>
  <c r="AA1805" i="1"/>
  <c r="T1805" i="1"/>
  <c r="AB1805" i="1" s="1"/>
  <c r="T1739" i="1"/>
  <c r="AA1739" i="1" s="1"/>
  <c r="AB1757" i="1"/>
  <c r="AF1777" i="1" a="1"/>
  <c r="AF1777" i="1" s="1"/>
  <c r="X1777" i="1" s="1"/>
  <c r="AA1777" i="1" s="1"/>
  <c r="Z1777" i="1" s="1"/>
  <c r="AG1784" i="1" a="1"/>
  <c r="AG1784" i="1" s="1"/>
  <c r="Y1784" i="1" s="1"/>
  <c r="AB1784" i="1" s="1"/>
  <c r="AF1784" i="1" a="1"/>
  <c r="AF1784" i="1" s="1"/>
  <c r="X1784" i="1" s="1"/>
  <c r="AG1806" i="1" a="1"/>
  <c r="AG1806" i="1" s="1"/>
  <c r="Y1806" i="1" s="1"/>
  <c r="AF1806" i="1" a="1"/>
  <c r="AF1806" i="1" s="1"/>
  <c r="X1806" i="1" s="1"/>
  <c r="AB1826" i="1"/>
  <c r="T1826" i="1"/>
  <c r="AA1826" i="1" s="1"/>
  <c r="Z1826" i="1" s="1"/>
  <c r="T1871" i="1"/>
  <c r="AA1679" i="1"/>
  <c r="AA1683" i="1"/>
  <c r="AA1687" i="1"/>
  <c r="AA1695" i="1"/>
  <c r="AA1699" i="1"/>
  <c r="AA1703" i="1"/>
  <c r="AA1707" i="1"/>
  <c r="Z1707" i="1" s="1"/>
  <c r="AA1742" i="1"/>
  <c r="AF1743" i="1" a="1"/>
  <c r="AF1743" i="1" s="1"/>
  <c r="X1743" i="1" s="1"/>
  <c r="T1770" i="1"/>
  <c r="AB1770" i="1" s="1"/>
  <c r="AG1774" i="1" a="1"/>
  <c r="AG1774" i="1" s="1"/>
  <c r="Y1774" i="1" s="1"/>
  <c r="AF1774" i="1" a="1"/>
  <c r="AF1774" i="1" s="1"/>
  <c r="X1774" i="1" s="1"/>
  <c r="AA1786" i="1"/>
  <c r="T1786" i="1"/>
  <c r="AB1786" i="1" s="1"/>
  <c r="AF1893" i="1" a="1"/>
  <c r="AF1893" i="1" s="1"/>
  <c r="X1893" i="1" s="1"/>
  <c r="AG1893" i="1" a="1"/>
  <c r="AG1893" i="1" s="1"/>
  <c r="Y1893" i="1" s="1"/>
  <c r="T1709" i="1"/>
  <c r="T1737" i="1"/>
  <c r="AA1737" i="1" s="1"/>
  <c r="Z1737" i="1" s="1"/>
  <c r="AF1764" i="1" a="1"/>
  <c r="AF1764" i="1" s="1"/>
  <c r="X1764" i="1" s="1"/>
  <c r="AA1764" i="1" s="1"/>
  <c r="Z1764" i="1" s="1"/>
  <c r="T1767" i="1"/>
  <c r="AA1767" i="1" s="1"/>
  <c r="AG1798" i="1" a="1"/>
  <c r="AG1798" i="1" s="1"/>
  <c r="Y1798" i="1" s="1"/>
  <c r="AF1798" i="1" a="1"/>
  <c r="AF1798" i="1" s="1"/>
  <c r="X1798" i="1" s="1"/>
  <c r="AG1830" i="1" a="1"/>
  <c r="AG1830" i="1" s="1"/>
  <c r="Y1830" i="1" s="1"/>
  <c r="AF1830" i="1" a="1"/>
  <c r="AF1830" i="1" s="1"/>
  <c r="X1830" i="1" s="1"/>
  <c r="AB1858" i="1"/>
  <c r="T1858" i="1"/>
  <c r="T1736" i="1"/>
  <c r="AB1736" i="1" s="1"/>
  <c r="AB1739" i="1"/>
  <c r="AG1750" i="1" a="1"/>
  <c r="AG1750" i="1" s="1"/>
  <c r="Y1750" i="1" s="1"/>
  <c r="T1755" i="1"/>
  <c r="Z1755" i="1" s="1"/>
  <c r="AB1755" i="1"/>
  <c r="AA1769" i="1"/>
  <c r="AF1772" i="1" a="1"/>
  <c r="AF1772" i="1" s="1"/>
  <c r="X1772" i="1" s="1"/>
  <c r="AA1772" i="1" s="1"/>
  <c r="Z1772" i="1" s="1"/>
  <c r="AB1814" i="1"/>
  <c r="T1814" i="1"/>
  <c r="AA1814" i="1" s="1"/>
  <c r="T1817" i="1"/>
  <c r="Z1824" i="1"/>
  <c r="AA1648" i="1"/>
  <c r="Z1648" i="1" s="1"/>
  <c r="AA1652" i="1"/>
  <c r="Z1652" i="1" s="1"/>
  <c r="AA1656" i="1"/>
  <c r="AA1660" i="1"/>
  <c r="Z1660" i="1" s="1"/>
  <c r="AA1664" i="1"/>
  <c r="Z1664" i="1" s="1"/>
  <c r="AA1668" i="1"/>
  <c r="Z1668" i="1" s="1"/>
  <c r="AA1672" i="1"/>
  <c r="Z1672" i="1" s="1"/>
  <c r="AA1676" i="1"/>
  <c r="Z1676" i="1" s="1"/>
  <c r="AA1680" i="1"/>
  <c r="Z1680" i="1" s="1"/>
  <c r="AA1684" i="1"/>
  <c r="Z1684" i="1" s="1"/>
  <c r="AA1688" i="1"/>
  <c r="Z1688" i="1" s="1"/>
  <c r="AA1692" i="1"/>
  <c r="T1735" i="1"/>
  <c r="AA1735" i="1" s="1"/>
  <c r="AF1740" i="1" a="1"/>
  <c r="AF1740" i="1" s="1"/>
  <c r="X1740" i="1" s="1"/>
  <c r="AA1740" i="1" s="1"/>
  <c r="Z1740" i="1" s="1"/>
  <c r="AF1756" i="1" a="1"/>
  <c r="AF1756" i="1" s="1"/>
  <c r="X1756" i="1" s="1"/>
  <c r="AA1756" i="1" s="1"/>
  <c r="Z1756" i="1" s="1"/>
  <c r="AB1776" i="1"/>
  <c r="AA1776" i="1"/>
  <c r="Z1776" i="1" s="1"/>
  <c r="AG1782" i="1" a="1"/>
  <c r="AG1782" i="1" s="1"/>
  <c r="Y1782" i="1" s="1"/>
  <c r="AB1782" i="1" s="1"/>
  <c r="AF1782" i="1" a="1"/>
  <c r="AF1782" i="1" s="1"/>
  <c r="X1782" i="1" s="1"/>
  <c r="AA1782" i="1" s="1"/>
  <c r="AG1818" i="1" a="1"/>
  <c r="AG1818" i="1" s="1"/>
  <c r="Y1818" i="1" s="1"/>
  <c r="AF1818" i="1" a="1"/>
  <c r="AF1818" i="1" s="1"/>
  <c r="X1818" i="1" s="1"/>
  <c r="T1843" i="1"/>
  <c r="AB1843" i="1" s="1"/>
  <c r="Z1872" i="1"/>
  <c r="T1734" i="1"/>
  <c r="AA1734" i="1" s="1"/>
  <c r="AA1738" i="1"/>
  <c r="Z1738" i="1" s="1"/>
  <c r="T1746" i="1"/>
  <c r="T1747" i="1"/>
  <c r="AA1747" i="1" s="1"/>
  <c r="AB1747" i="1"/>
  <c r="AF1749" i="1" a="1"/>
  <c r="AF1749" i="1" s="1"/>
  <c r="X1749" i="1" s="1"/>
  <c r="AA1749" i="1" s="1"/>
  <c r="Z1749" i="1" s="1"/>
  <c r="AF1755" i="1" a="1"/>
  <c r="AF1755" i="1" s="1"/>
  <c r="X1755" i="1" s="1"/>
  <c r="AA1755" i="1" s="1"/>
  <c r="T1763" i="1"/>
  <c r="Z1710" i="1"/>
  <c r="T1713" i="1"/>
  <c r="AB1713" i="1" s="1"/>
  <c r="T1714" i="1"/>
  <c r="T1715" i="1"/>
  <c r="T1717" i="1"/>
  <c r="T1718" i="1"/>
  <c r="AB1718" i="1" s="1"/>
  <c r="T1719" i="1"/>
  <c r="T1721" i="1"/>
  <c r="AB1721" i="1" s="1"/>
  <c r="T1722" i="1"/>
  <c r="AA1722" i="1" s="1"/>
  <c r="T1723" i="1"/>
  <c r="AA1723" i="1" s="1"/>
  <c r="T1725" i="1"/>
  <c r="AB1725" i="1" s="1"/>
  <c r="T1726" i="1"/>
  <c r="AA1726" i="1" s="1"/>
  <c r="T1727" i="1"/>
  <c r="T1729" i="1"/>
  <c r="AB1729" i="1" s="1"/>
  <c r="T1730" i="1"/>
  <c r="T1731" i="1"/>
  <c r="AB1731" i="1" s="1"/>
  <c r="T1733" i="1"/>
  <c r="AB1737" i="1"/>
  <c r="AF1748" i="1" a="1"/>
  <c r="AF1748" i="1" s="1"/>
  <c r="X1748" i="1" s="1"/>
  <c r="AA1748" i="1" s="1"/>
  <c r="Z1748" i="1" s="1"/>
  <c r="AA1754" i="1"/>
  <c r="T1759" i="1"/>
  <c r="AB1759" i="1" s="1"/>
  <c r="T1766" i="1"/>
  <c r="AA1766" i="1" s="1"/>
  <c r="AA1774" i="1"/>
  <c r="AF1776" i="1" a="1"/>
  <c r="AF1776" i="1" s="1"/>
  <c r="X1776" i="1" s="1"/>
  <c r="AA1778" i="1"/>
  <c r="Z1778" i="1" s="1"/>
  <c r="AG1788" i="1" a="1"/>
  <c r="AG1788" i="1" s="1"/>
  <c r="Y1788" i="1" s="1"/>
  <c r="AF1788" i="1" a="1"/>
  <c r="AF1788" i="1" s="1"/>
  <c r="X1788" i="1" s="1"/>
  <c r="AA1788" i="1" s="1"/>
  <c r="Z1788" i="1" s="1"/>
  <c r="AG1810" i="1" a="1"/>
  <c r="AG1810" i="1" s="1"/>
  <c r="Y1810" i="1" s="1"/>
  <c r="AF1810" i="1" a="1"/>
  <c r="AF1810" i="1" s="1"/>
  <c r="X1810" i="1" s="1"/>
  <c r="AA1854" i="1"/>
  <c r="T1854" i="1"/>
  <c r="AA1781" i="1"/>
  <c r="AF1786" i="1" a="1"/>
  <c r="AF1786" i="1" s="1"/>
  <c r="X1786" i="1" s="1"/>
  <c r="AF1790" i="1" a="1"/>
  <c r="AF1790" i="1" s="1"/>
  <c r="X1790" i="1" s="1"/>
  <c r="AF1802" i="1" a="1"/>
  <c r="AF1802" i="1" s="1"/>
  <c r="X1802" i="1" s="1"/>
  <c r="AA1808" i="1"/>
  <c r="AF1814" i="1" a="1"/>
  <c r="AF1814" i="1" s="1"/>
  <c r="X1814" i="1" s="1"/>
  <c r="AF1826" i="1" a="1"/>
  <c r="AF1826" i="1" s="1"/>
  <c r="X1826" i="1" s="1"/>
  <c r="T1828" i="1"/>
  <c r="AF1837" i="1" a="1"/>
  <c r="AF1837" i="1" s="1"/>
  <c r="X1837" i="1" s="1"/>
  <c r="AG1837" i="1" a="1"/>
  <c r="AG1837" i="1" s="1"/>
  <c r="Y1837" i="1" s="1"/>
  <c r="AF1849" i="1" a="1"/>
  <c r="AF1849" i="1" s="1"/>
  <c r="X1849" i="1" s="1"/>
  <c r="AA1849" i="1" s="1"/>
  <c r="Z1849" i="1" s="1"/>
  <c r="AG1849" i="1" a="1"/>
  <c r="AG1849" i="1" s="1"/>
  <c r="Y1849" i="1" s="1"/>
  <c r="AG1851" i="1" a="1"/>
  <c r="AG1851" i="1" s="1"/>
  <c r="Y1851" i="1" s="1"/>
  <c r="AF1851" i="1" a="1"/>
  <c r="AF1851" i="1" s="1"/>
  <c r="X1851" i="1" s="1"/>
  <c r="AF1861" i="1" a="1"/>
  <c r="AF1861" i="1" s="1"/>
  <c r="X1861" i="1" s="1"/>
  <c r="AG1861" i="1" a="1"/>
  <c r="AG1861" i="1" s="1"/>
  <c r="Y1861" i="1" s="1"/>
  <c r="AG1872" i="1" a="1"/>
  <c r="AG1872" i="1" s="1"/>
  <c r="Y1872" i="1" s="1"/>
  <c r="AF1872" i="1" a="1"/>
  <c r="AF1872" i="1" s="1"/>
  <c r="X1872" i="1" s="1"/>
  <c r="AG1874" i="1" a="1"/>
  <c r="AG1874" i="1" s="1"/>
  <c r="Y1874" i="1" s="1"/>
  <c r="AF1874" i="1" a="1"/>
  <c r="AF1874" i="1" s="1"/>
  <c r="X1874" i="1" s="1"/>
  <c r="AB1878" i="1"/>
  <c r="T1878" i="1"/>
  <c r="T1890" i="1"/>
  <c r="AG1903" i="1" a="1"/>
  <c r="AG1903" i="1" s="1"/>
  <c r="Y1903" i="1" s="1"/>
  <c r="AF1903" i="1" a="1"/>
  <c r="AF1903" i="1" s="1"/>
  <c r="X1903" i="1" s="1"/>
  <c r="AB1915" i="1"/>
  <c r="AA1915" i="1"/>
  <c r="Z1915" i="1" s="1"/>
  <c r="Z1917" i="1"/>
  <c r="AG1920" i="1" a="1"/>
  <c r="AG1920" i="1" s="1"/>
  <c r="Y1920" i="1" s="1"/>
  <c r="AF1920" i="1" a="1"/>
  <c r="AF1920" i="1" s="1"/>
  <c r="X1920" i="1" s="1"/>
  <c r="AA1775" i="1"/>
  <c r="Z1775" i="1" s="1"/>
  <c r="AA1779" i="1"/>
  <c r="Z1779" i="1" s="1"/>
  <c r="AF1780" i="1" a="1"/>
  <c r="AF1780" i="1" s="1"/>
  <c r="X1780" i="1" s="1"/>
  <c r="AA1780" i="1" s="1"/>
  <c r="Z1780" i="1" s="1"/>
  <c r="T1792" i="1"/>
  <c r="T1795" i="1"/>
  <c r="AA1795" i="1" s="1"/>
  <c r="T1798" i="1"/>
  <c r="T1801" i="1"/>
  <c r="T1804" i="1"/>
  <c r="T1807" i="1"/>
  <c r="T1810" i="1"/>
  <c r="T1813" i="1"/>
  <c r="AB1813" i="1" s="1"/>
  <c r="T1816" i="1"/>
  <c r="T1819" i="1"/>
  <c r="AB1819" i="1" s="1"/>
  <c r="T1822" i="1"/>
  <c r="AB1822" i="1" s="1"/>
  <c r="T1825" i="1"/>
  <c r="AG1832" i="1" a="1"/>
  <c r="AG1832" i="1" s="1"/>
  <c r="Y1832" i="1" s="1"/>
  <c r="AF1832" i="1" a="1"/>
  <c r="AF1832" i="1" s="1"/>
  <c r="X1832" i="1" s="1"/>
  <c r="AA1832" i="1" s="1"/>
  <c r="Z1832" i="1" s="1"/>
  <c r="AA1833" i="1"/>
  <c r="T1835" i="1"/>
  <c r="AG1844" i="1" a="1"/>
  <c r="AG1844" i="1" s="1"/>
  <c r="Y1844" i="1" s="1"/>
  <c r="AF1844" i="1" a="1"/>
  <c r="AF1844" i="1" s="1"/>
  <c r="X1844" i="1" s="1"/>
  <c r="T1847" i="1"/>
  <c r="AB1847" i="1" s="1"/>
  <c r="AF1853" i="1" a="1"/>
  <c r="AF1853" i="1" s="1"/>
  <c r="X1853" i="1" s="1"/>
  <c r="AA1853" i="1" s="1"/>
  <c r="AG1853" i="1" a="1"/>
  <c r="AG1853" i="1" s="1"/>
  <c r="Y1853" i="1" s="1"/>
  <c r="AB1853" i="1" s="1"/>
  <c r="AG1855" i="1" a="1"/>
  <c r="AG1855" i="1" s="1"/>
  <c r="Y1855" i="1" s="1"/>
  <c r="AF1855" i="1" a="1"/>
  <c r="AF1855" i="1" s="1"/>
  <c r="X1855" i="1" s="1"/>
  <c r="AA1855" i="1" s="1"/>
  <c r="Z1855" i="1" s="1"/>
  <c r="AG1859" i="1" a="1"/>
  <c r="AG1859" i="1" s="1"/>
  <c r="Y1859" i="1" s="1"/>
  <c r="AF1859" i="1" a="1"/>
  <c r="AF1859" i="1" s="1"/>
  <c r="X1859" i="1" s="1"/>
  <c r="T1867" i="1"/>
  <c r="AB1867" i="1" s="1"/>
  <c r="AG1879" i="1" a="1"/>
  <c r="AG1879" i="1" s="1"/>
  <c r="Y1879" i="1" s="1"/>
  <c r="AF1879" i="1" a="1"/>
  <c r="AF1879" i="1" s="1"/>
  <c r="X1879" i="1" s="1"/>
  <c r="AG1886" i="1" a="1"/>
  <c r="AG1886" i="1" s="1"/>
  <c r="Y1886" i="1" s="1"/>
  <c r="AF1886" i="1" a="1"/>
  <c r="AF1886" i="1" s="1"/>
  <c r="X1886" i="1" s="1"/>
  <c r="AA1886" i="1" s="1"/>
  <c r="Z1886" i="1" s="1"/>
  <c r="AG1891" i="1" a="1"/>
  <c r="AG1891" i="1" s="1"/>
  <c r="Y1891" i="1" s="1"/>
  <c r="AB1891" i="1" s="1"/>
  <c r="AF1891" i="1" a="1"/>
  <c r="AF1891" i="1" s="1"/>
  <c r="X1891" i="1" s="1"/>
  <c r="AG1898" i="1" a="1"/>
  <c r="AG1898" i="1" s="1"/>
  <c r="Y1898" i="1" s="1"/>
  <c r="AF1898" i="1" a="1"/>
  <c r="AF1898" i="1" s="1"/>
  <c r="X1898" i="1" s="1"/>
  <c r="AG1911" i="1" a="1"/>
  <c r="AG1911" i="1" s="1"/>
  <c r="Y1911" i="1" s="1"/>
  <c r="AF1911" i="1" a="1"/>
  <c r="AF1911" i="1" s="1"/>
  <c r="X1911" i="1" s="1"/>
  <c r="AA1911" i="1" s="1"/>
  <c r="Z1911" i="1" s="1"/>
  <c r="AG1918" i="1" a="1"/>
  <c r="AG1918" i="1" s="1"/>
  <c r="Y1918" i="1" s="1"/>
  <c r="AF1918" i="1" a="1"/>
  <c r="AF1918" i="1" s="1"/>
  <c r="X1918" i="1" s="1"/>
  <c r="AA1918" i="1" s="1"/>
  <c r="Z1918" i="1" s="1"/>
  <c r="AB1767" i="1"/>
  <c r="AB1771" i="1"/>
  <c r="AB1775" i="1"/>
  <c r="AF1778" i="1" a="1"/>
  <c r="AF1778" i="1" s="1"/>
  <c r="X1778" i="1" s="1"/>
  <c r="AF1779" i="1" a="1"/>
  <c r="AF1779" i="1" s="1"/>
  <c r="X1779" i="1" s="1"/>
  <c r="AG1783" i="1" a="1"/>
  <c r="AG1783" i="1" s="1"/>
  <c r="Y1783" i="1" s="1"/>
  <c r="AF1783" i="1" a="1"/>
  <c r="AF1783" i="1" s="1"/>
  <c r="X1783" i="1" s="1"/>
  <c r="AG1787" i="1" a="1"/>
  <c r="AG1787" i="1" s="1"/>
  <c r="Y1787" i="1" s="1"/>
  <c r="AF1787" i="1" a="1"/>
  <c r="AF1787" i="1" s="1"/>
  <c r="X1787" i="1" s="1"/>
  <c r="AA1787" i="1" s="1"/>
  <c r="AA1789" i="1"/>
  <c r="AG1791" i="1" a="1"/>
  <c r="AG1791" i="1" s="1"/>
  <c r="Y1791" i="1" s="1"/>
  <c r="AF1791" i="1" a="1"/>
  <c r="AF1791" i="1" s="1"/>
  <c r="X1791" i="1" s="1"/>
  <c r="AF1797" i="1" a="1"/>
  <c r="AF1797" i="1" s="1"/>
  <c r="X1797" i="1" s="1"/>
  <c r="AA1797" i="1" s="1"/>
  <c r="Z1797" i="1" s="1"/>
  <c r="AG1797" i="1" a="1"/>
  <c r="AG1797" i="1" s="1"/>
  <c r="Y1797" i="1" s="1"/>
  <c r="AG1800" i="1" a="1"/>
  <c r="AG1800" i="1" s="1"/>
  <c r="Y1800" i="1" s="1"/>
  <c r="AF1800" i="1" a="1"/>
  <c r="AF1800" i="1" s="1"/>
  <c r="X1800" i="1" s="1"/>
  <c r="AG1803" i="1" a="1"/>
  <c r="AG1803" i="1" s="1"/>
  <c r="Y1803" i="1" s="1"/>
  <c r="AF1803" i="1" a="1"/>
  <c r="AF1803" i="1" s="1"/>
  <c r="X1803" i="1" s="1"/>
  <c r="AF1809" i="1" a="1"/>
  <c r="AF1809" i="1" s="1"/>
  <c r="X1809" i="1" s="1"/>
  <c r="AA1809" i="1" s="1"/>
  <c r="Z1809" i="1" s="1"/>
  <c r="AG1809" i="1" a="1"/>
  <c r="AG1809" i="1" s="1"/>
  <c r="Y1809" i="1" s="1"/>
  <c r="AB1809" i="1" s="1"/>
  <c r="AG1812" i="1" a="1"/>
  <c r="AG1812" i="1" s="1"/>
  <c r="Y1812" i="1" s="1"/>
  <c r="AF1812" i="1" a="1"/>
  <c r="AF1812" i="1" s="1"/>
  <c r="X1812" i="1" s="1"/>
  <c r="AA1812" i="1" s="1"/>
  <c r="AG1815" i="1" a="1"/>
  <c r="AG1815" i="1" s="1"/>
  <c r="Y1815" i="1" s="1"/>
  <c r="AF1815" i="1" a="1"/>
  <c r="AF1815" i="1" s="1"/>
  <c r="X1815" i="1" s="1"/>
  <c r="AA1815" i="1" s="1"/>
  <c r="AF1821" i="1" a="1"/>
  <c r="AF1821" i="1" s="1"/>
  <c r="X1821" i="1" s="1"/>
  <c r="AG1821" i="1" a="1"/>
  <c r="AG1821" i="1" s="1"/>
  <c r="Y1821" i="1" s="1"/>
  <c r="AG1824" i="1" a="1"/>
  <c r="AG1824" i="1" s="1"/>
  <c r="Y1824" i="1" s="1"/>
  <c r="AF1824" i="1" a="1"/>
  <c r="AF1824" i="1" s="1"/>
  <c r="X1824" i="1" s="1"/>
  <c r="AG1827" i="1" a="1"/>
  <c r="AG1827" i="1" s="1"/>
  <c r="Y1827" i="1" s="1"/>
  <c r="AF1827" i="1" a="1"/>
  <c r="AF1827" i="1" s="1"/>
  <c r="X1827" i="1" s="1"/>
  <c r="AA1827" i="1" s="1"/>
  <c r="AB1828" i="1"/>
  <c r="T1830" i="1"/>
  <c r="AG1839" i="1" a="1"/>
  <c r="AG1839" i="1" s="1"/>
  <c r="Y1839" i="1" s="1"/>
  <c r="AF1839" i="1" a="1"/>
  <c r="AF1839" i="1" s="1"/>
  <c r="X1839" i="1" s="1"/>
  <c r="AA1839" i="1" s="1"/>
  <c r="Z1839" i="1" s="1"/>
  <c r="T1842" i="1"/>
  <c r="AF1857" i="1" a="1"/>
  <c r="AF1857" i="1" s="1"/>
  <c r="X1857" i="1" s="1"/>
  <c r="AG1857" i="1" a="1"/>
  <c r="AG1857" i="1" s="1"/>
  <c r="Y1857" i="1" s="1"/>
  <c r="AB1865" i="1"/>
  <c r="AG1868" i="1" a="1"/>
  <c r="AG1868" i="1" s="1"/>
  <c r="Y1868" i="1" s="1"/>
  <c r="AF1868" i="1" a="1"/>
  <c r="AF1868" i="1" s="1"/>
  <c r="X1868" i="1" s="1"/>
  <c r="AA1868" i="1" s="1"/>
  <c r="Z1868" i="1" s="1"/>
  <c r="AG1870" i="1" a="1"/>
  <c r="AG1870" i="1" s="1"/>
  <c r="Y1870" i="1" s="1"/>
  <c r="AF1870" i="1" a="1"/>
  <c r="AF1870" i="1" s="1"/>
  <c r="X1870" i="1" s="1"/>
  <c r="AG1884" i="1" a="1"/>
  <c r="AG1884" i="1" s="1"/>
  <c r="Y1884" i="1" s="1"/>
  <c r="AF1884" i="1" a="1"/>
  <c r="AF1884" i="1" s="1"/>
  <c r="X1884" i="1" s="1"/>
  <c r="AG1896" i="1" a="1"/>
  <c r="AG1896" i="1" s="1"/>
  <c r="Y1896" i="1" s="1"/>
  <c r="AF1896" i="1" a="1"/>
  <c r="AF1896" i="1" s="1"/>
  <c r="X1896" i="1" s="1"/>
  <c r="AA1908" i="1"/>
  <c r="Z1908" i="1" s="1"/>
  <c r="AB1798" i="1"/>
  <c r="AA1798" i="1"/>
  <c r="Z1798" i="1" s="1"/>
  <c r="AB1810" i="1"/>
  <c r="AA1810" i="1"/>
  <c r="AA1822" i="1"/>
  <c r="AG1834" i="1" a="1"/>
  <c r="AG1834" i="1" s="1"/>
  <c r="Y1834" i="1" s="1"/>
  <c r="AF1834" i="1" a="1"/>
  <c r="AF1834" i="1" s="1"/>
  <c r="X1834" i="1" s="1"/>
  <c r="T1837" i="1"/>
  <c r="AG1846" i="1" a="1"/>
  <c r="AG1846" i="1" s="1"/>
  <c r="Y1846" i="1" s="1"/>
  <c r="AF1846" i="1" a="1"/>
  <c r="AF1846" i="1" s="1"/>
  <c r="X1846" i="1" s="1"/>
  <c r="T1851" i="1"/>
  <c r="AA1851" i="1" s="1"/>
  <c r="T1863" i="1"/>
  <c r="AB1863" i="1"/>
  <c r="AB1874" i="1"/>
  <c r="T1874" i="1"/>
  <c r="AA1874" i="1" s="1"/>
  <c r="Z1874" i="1" s="1"/>
  <c r="AF1877" i="1" a="1"/>
  <c r="AF1877" i="1" s="1"/>
  <c r="X1877" i="1" s="1"/>
  <c r="AG1877" i="1" a="1"/>
  <c r="AG1877" i="1" s="1"/>
  <c r="Y1877" i="1" s="1"/>
  <c r="AB1881" i="1"/>
  <c r="AF1889" i="1" a="1"/>
  <c r="AF1889" i="1" s="1"/>
  <c r="X1889" i="1" s="1"/>
  <c r="AG1889" i="1" a="1"/>
  <c r="AG1889" i="1" s="1"/>
  <c r="Y1889" i="1" s="1"/>
  <c r="AB1889" i="1" s="1"/>
  <c r="AB1893" i="1"/>
  <c r="AF1901" i="1" a="1"/>
  <c r="AF1901" i="1" s="1"/>
  <c r="X1901" i="1" s="1"/>
  <c r="AA1901" i="1" s="1"/>
  <c r="Z1901" i="1" s="1"/>
  <c r="AG1901" i="1" a="1"/>
  <c r="AG1901" i="1" s="1"/>
  <c r="Y1901" i="1" s="1"/>
  <c r="AB1908" i="1"/>
  <c r="AB1920" i="1"/>
  <c r="AF1781" i="1" a="1"/>
  <c r="AF1781" i="1" s="1"/>
  <c r="X1781" i="1" s="1"/>
  <c r="AG1781" i="1" a="1"/>
  <c r="AG1781" i="1" s="1"/>
  <c r="Y1781" i="1" s="1"/>
  <c r="AB1781" i="1" s="1"/>
  <c r="AA1792" i="1"/>
  <c r="AB1804" i="1"/>
  <c r="AA1807" i="1"/>
  <c r="Z1807" i="1" s="1"/>
  <c r="AA1816" i="1"/>
  <c r="AF1829" i="1" a="1"/>
  <c r="AF1829" i="1" s="1"/>
  <c r="X1829" i="1" s="1"/>
  <c r="AG1829" i="1" a="1"/>
  <c r="AG1829" i="1" s="1"/>
  <c r="Y1829" i="1" s="1"/>
  <c r="AF1841" i="1" a="1"/>
  <c r="AF1841" i="1" s="1"/>
  <c r="X1841" i="1" s="1"/>
  <c r="AG1841" i="1" a="1"/>
  <c r="AG1841" i="1" s="1"/>
  <c r="Y1841" i="1" s="1"/>
  <c r="AB1841" i="1" s="1"/>
  <c r="AB1842" i="1"/>
  <c r="Z1842" i="1" s="1"/>
  <c r="AA1842" i="1"/>
  <c r="AB1849" i="1"/>
  <c r="AB1861" i="1"/>
  <c r="AG1864" i="1" a="1"/>
  <c r="AG1864" i="1" s="1"/>
  <c r="Y1864" i="1" s="1"/>
  <c r="AF1864" i="1" a="1"/>
  <c r="AF1864" i="1" s="1"/>
  <c r="X1864" i="1" s="1"/>
  <c r="AG1866" i="1" a="1"/>
  <c r="AG1866" i="1" s="1"/>
  <c r="Y1866" i="1" s="1"/>
  <c r="AF1866" i="1" a="1"/>
  <c r="AF1866" i="1" s="1"/>
  <c r="X1866" i="1" s="1"/>
  <c r="AB1886" i="1"/>
  <c r="T1886" i="1"/>
  <c r="AB1898" i="1"/>
  <c r="T1898" i="1"/>
  <c r="AA1898" i="1" s="1"/>
  <c r="Z1898" i="1" s="1"/>
  <c r="AB1903" i="1"/>
  <c r="AF1909" i="1" a="1"/>
  <c r="AF1909" i="1" s="1"/>
  <c r="X1909" i="1" s="1"/>
  <c r="AG1909" i="1" a="1"/>
  <c r="AG1909" i="1" s="1"/>
  <c r="Y1909" i="1" s="1"/>
  <c r="AB1911" i="1"/>
  <c r="AB1918" i="1"/>
  <c r="AG1937" i="1" a="1"/>
  <c r="AG1937" i="1" s="1"/>
  <c r="Y1937" i="1" s="1"/>
  <c r="AF1937" i="1" a="1"/>
  <c r="AF1937" i="1" s="1"/>
  <c r="X1937" i="1" s="1"/>
  <c r="AG1945" i="1" a="1"/>
  <c r="AG1945" i="1" s="1"/>
  <c r="Y1945" i="1" s="1"/>
  <c r="AF1945" i="1" a="1"/>
  <c r="AF1945" i="1" s="1"/>
  <c r="X1945" i="1" s="1"/>
  <c r="AF1759" i="1" a="1"/>
  <c r="AF1759" i="1" s="1"/>
  <c r="X1759" i="1" s="1"/>
  <c r="AA1759" i="1" s="1"/>
  <c r="AF1763" i="1" a="1"/>
  <c r="AF1763" i="1" s="1"/>
  <c r="X1763" i="1" s="1"/>
  <c r="AF1767" i="1" a="1"/>
  <c r="AF1767" i="1" s="1"/>
  <c r="X1767" i="1" s="1"/>
  <c r="AF1771" i="1" a="1"/>
  <c r="AF1771" i="1" s="1"/>
  <c r="X1771" i="1" s="1"/>
  <c r="AA1771" i="1" s="1"/>
  <c r="Z1771" i="1" s="1"/>
  <c r="AF1775" i="1" a="1"/>
  <c r="AF1775" i="1" s="1"/>
  <c r="X1775" i="1" s="1"/>
  <c r="T1783" i="1"/>
  <c r="AA1784" i="1"/>
  <c r="T1787" i="1"/>
  <c r="AB1787" i="1" s="1"/>
  <c r="AB1788" i="1"/>
  <c r="T1791" i="1"/>
  <c r="AB1791" i="1" s="1"/>
  <c r="T1800" i="1"/>
  <c r="T1803" i="1"/>
  <c r="AB1803" i="1" s="1"/>
  <c r="T1812" i="1"/>
  <c r="T1815" i="1"/>
  <c r="AB1815" i="1" s="1"/>
  <c r="AG1836" i="1" a="1"/>
  <c r="AG1836" i="1" s="1"/>
  <c r="Y1836" i="1" s="1"/>
  <c r="AF1836" i="1" a="1"/>
  <c r="AF1836" i="1" s="1"/>
  <c r="X1836" i="1" s="1"/>
  <c r="AB1837" i="1"/>
  <c r="AA1837" i="1"/>
  <c r="AG1848" i="1" a="1"/>
  <c r="AG1848" i="1" s="1"/>
  <c r="Y1848" i="1" s="1"/>
  <c r="AF1848" i="1" a="1"/>
  <c r="AF1848" i="1" s="1"/>
  <c r="X1848" i="1" s="1"/>
  <c r="AA1848" i="1" s="1"/>
  <c r="Z1848" i="1" s="1"/>
  <c r="T1859" i="1"/>
  <c r="AB1859" i="1" s="1"/>
  <c r="AA1859" i="1"/>
  <c r="AA1870" i="1"/>
  <c r="T1870" i="1"/>
  <c r="AB1870" i="1" s="1"/>
  <c r="AB1872" i="1"/>
  <c r="AG1875" i="1" a="1"/>
  <c r="AG1875" i="1" s="1"/>
  <c r="Y1875" i="1" s="1"/>
  <c r="AB1875" i="1" s="1"/>
  <c r="AF1875" i="1" a="1"/>
  <c r="AF1875" i="1" s="1"/>
  <c r="X1875" i="1" s="1"/>
  <c r="AG1882" i="1" a="1"/>
  <c r="AG1882" i="1" s="1"/>
  <c r="Y1882" i="1" s="1"/>
  <c r="AF1882" i="1" a="1"/>
  <c r="AF1882" i="1" s="1"/>
  <c r="X1882" i="1" s="1"/>
  <c r="AG1887" i="1" a="1"/>
  <c r="AG1887" i="1" s="1"/>
  <c r="Y1887" i="1" s="1"/>
  <c r="AF1887" i="1" a="1"/>
  <c r="AF1887" i="1" s="1"/>
  <c r="X1887" i="1" s="1"/>
  <c r="AG1894" i="1" a="1"/>
  <c r="AG1894" i="1" s="1"/>
  <c r="Y1894" i="1" s="1"/>
  <c r="AF1894" i="1" a="1"/>
  <c r="AF1894" i="1" s="1"/>
  <c r="X1894" i="1" s="1"/>
  <c r="AA1894" i="1" s="1"/>
  <c r="AG1899" i="1" a="1"/>
  <c r="AG1899" i="1" s="1"/>
  <c r="Y1899" i="1" s="1"/>
  <c r="AB1899" i="1" s="1"/>
  <c r="AF1899" i="1" a="1"/>
  <c r="AF1899" i="1" s="1"/>
  <c r="X1899" i="1" s="1"/>
  <c r="AG1904" i="1" a="1"/>
  <c r="AG1904" i="1" s="1"/>
  <c r="Y1904" i="1" s="1"/>
  <c r="AF1904" i="1" a="1"/>
  <c r="AF1904" i="1" s="1"/>
  <c r="X1904" i="1" s="1"/>
  <c r="AA1904" i="1" s="1"/>
  <c r="Z1904" i="1" s="1"/>
  <c r="AG1912" i="1" a="1"/>
  <c r="AG1912" i="1" s="1"/>
  <c r="Y1912" i="1" s="1"/>
  <c r="AF1912" i="1" a="1"/>
  <c r="AF1912" i="1" s="1"/>
  <c r="X1912" i="1" s="1"/>
  <c r="AB1947" i="1"/>
  <c r="Z1769" i="1"/>
  <c r="T1774" i="1"/>
  <c r="AB1774" i="1" s="1"/>
  <c r="T1778" i="1"/>
  <c r="AB1778" i="1" s="1"/>
  <c r="AF1793" i="1" a="1"/>
  <c r="AF1793" i="1" s="1"/>
  <c r="X1793" i="1" s="1"/>
  <c r="AG1793" i="1" a="1"/>
  <c r="AG1793" i="1" s="1"/>
  <c r="Y1793" i="1" s="1"/>
  <c r="AG1796" i="1" a="1"/>
  <c r="AG1796" i="1" s="1"/>
  <c r="Y1796" i="1" s="1"/>
  <c r="AF1796" i="1" a="1"/>
  <c r="AF1796" i="1" s="1"/>
  <c r="X1796" i="1" s="1"/>
  <c r="AG1799" i="1" a="1"/>
  <c r="AG1799" i="1" s="1"/>
  <c r="Y1799" i="1" s="1"/>
  <c r="AF1799" i="1" a="1"/>
  <c r="AF1799" i="1" s="1"/>
  <c r="X1799" i="1" s="1"/>
  <c r="AF1805" i="1" a="1"/>
  <c r="AF1805" i="1" s="1"/>
  <c r="X1805" i="1" s="1"/>
  <c r="AG1805" i="1" a="1"/>
  <c r="AG1805" i="1" s="1"/>
  <c r="Y1805" i="1" s="1"/>
  <c r="AG1808" i="1" a="1"/>
  <c r="AG1808" i="1" s="1"/>
  <c r="Y1808" i="1" s="1"/>
  <c r="AF1808" i="1" a="1"/>
  <c r="AF1808" i="1" s="1"/>
  <c r="X1808" i="1" s="1"/>
  <c r="AG1811" i="1" a="1"/>
  <c r="AG1811" i="1" s="1"/>
  <c r="Y1811" i="1" s="1"/>
  <c r="AF1811" i="1" a="1"/>
  <c r="AF1811" i="1" s="1"/>
  <c r="X1811" i="1" s="1"/>
  <c r="AF1817" i="1" a="1"/>
  <c r="AF1817" i="1" s="1"/>
  <c r="X1817" i="1" s="1"/>
  <c r="AG1817" i="1" a="1"/>
  <c r="AG1817" i="1" s="1"/>
  <c r="Y1817" i="1" s="1"/>
  <c r="AG1820" i="1" a="1"/>
  <c r="AG1820" i="1" s="1"/>
  <c r="Y1820" i="1" s="1"/>
  <c r="AF1820" i="1" a="1"/>
  <c r="AF1820" i="1" s="1"/>
  <c r="X1820" i="1" s="1"/>
  <c r="AG1823" i="1" a="1"/>
  <c r="AG1823" i="1" s="1"/>
  <c r="Y1823" i="1" s="1"/>
  <c r="AF1823" i="1" a="1"/>
  <c r="AF1823" i="1" s="1"/>
  <c r="X1823" i="1" s="1"/>
  <c r="AG1831" i="1" a="1"/>
  <c r="AG1831" i="1" s="1"/>
  <c r="Y1831" i="1" s="1"/>
  <c r="AB1831" i="1" s="1"/>
  <c r="AF1831" i="1" a="1"/>
  <c r="AF1831" i="1" s="1"/>
  <c r="X1831" i="1" s="1"/>
  <c r="AA1831" i="1" s="1"/>
  <c r="Z1831" i="1" s="1"/>
  <c r="AB1832" i="1"/>
  <c r="T1834" i="1"/>
  <c r="AG1843" i="1" a="1"/>
  <c r="AG1843" i="1" s="1"/>
  <c r="Y1843" i="1" s="1"/>
  <c r="AF1843" i="1" a="1"/>
  <c r="AF1843" i="1" s="1"/>
  <c r="X1843" i="1" s="1"/>
  <c r="AB1844" i="1"/>
  <c r="AA1844" i="1"/>
  <c r="T1846" i="1"/>
  <c r="AG1850" i="1" a="1"/>
  <c r="AG1850" i="1" s="1"/>
  <c r="Y1850" i="1" s="1"/>
  <c r="AF1850" i="1" a="1"/>
  <c r="AF1850" i="1" s="1"/>
  <c r="X1850" i="1" s="1"/>
  <c r="AA1850" i="1" s="1"/>
  <c r="AG1852" i="1" a="1"/>
  <c r="AG1852" i="1" s="1"/>
  <c r="Y1852" i="1" s="1"/>
  <c r="AB1852" i="1" s="1"/>
  <c r="AF1852" i="1" a="1"/>
  <c r="AF1852" i="1" s="1"/>
  <c r="X1852" i="1" s="1"/>
  <c r="AB1855" i="1"/>
  <c r="AB1857" i="1"/>
  <c r="AG1860" i="1" a="1"/>
  <c r="AG1860" i="1" s="1"/>
  <c r="Y1860" i="1" s="1"/>
  <c r="AB1860" i="1" s="1"/>
  <c r="AF1860" i="1" a="1"/>
  <c r="AF1860" i="1" s="1"/>
  <c r="X1860" i="1" s="1"/>
  <c r="AG1862" i="1" a="1"/>
  <c r="AG1862" i="1" s="1"/>
  <c r="Y1862" i="1" s="1"/>
  <c r="AF1862" i="1" a="1"/>
  <c r="AF1862" i="1" s="1"/>
  <c r="X1862" i="1" s="1"/>
  <c r="AF1873" i="1" a="1"/>
  <c r="AF1873" i="1" s="1"/>
  <c r="X1873" i="1" s="1"/>
  <c r="AG1873" i="1" a="1"/>
  <c r="AG1873" i="1" s="1"/>
  <c r="Y1873" i="1" s="1"/>
  <c r="AG1880" i="1" a="1"/>
  <c r="AG1880" i="1" s="1"/>
  <c r="Y1880" i="1" s="1"/>
  <c r="AB1880" i="1" s="1"/>
  <c r="AF1880" i="1" a="1"/>
  <c r="AF1880" i="1" s="1"/>
  <c r="X1880" i="1" s="1"/>
  <c r="AB1884" i="1"/>
  <c r="AG1892" i="1" a="1"/>
  <c r="AG1892" i="1" s="1"/>
  <c r="Y1892" i="1" s="1"/>
  <c r="AF1892" i="1" a="1"/>
  <c r="AF1892" i="1" s="1"/>
  <c r="X1892" i="1" s="1"/>
  <c r="AB1896" i="1"/>
  <c r="AB1901" i="1"/>
  <c r="AB1794" i="1"/>
  <c r="Z1794" i="1" s="1"/>
  <c r="AA1794" i="1"/>
  <c r="AB1797" i="1"/>
  <c r="AB1806" i="1"/>
  <c r="AA1806" i="1"/>
  <c r="Z1806" i="1" s="1"/>
  <c r="AB1818" i="1"/>
  <c r="AA1818" i="1"/>
  <c r="Z1818" i="1" s="1"/>
  <c r="AB1821" i="1"/>
  <c r="AA1821" i="1"/>
  <c r="Z1821" i="1" s="1"/>
  <c r="AB1827" i="1"/>
  <c r="AG1838" i="1" a="1"/>
  <c r="AG1838" i="1" s="1"/>
  <c r="Y1838" i="1" s="1"/>
  <c r="AB1838" i="1" s="1"/>
  <c r="AF1838" i="1" a="1"/>
  <c r="AF1838" i="1" s="1"/>
  <c r="X1838" i="1" s="1"/>
  <c r="AB1839" i="1"/>
  <c r="AG1854" i="1" a="1"/>
  <c r="AG1854" i="1" s="1"/>
  <c r="Y1854" i="1" s="1"/>
  <c r="AB1854" i="1" s="1"/>
  <c r="AF1854" i="1" a="1"/>
  <c r="AF1854" i="1" s="1"/>
  <c r="X1854" i="1" s="1"/>
  <c r="AG1856" i="1" a="1"/>
  <c r="AG1856" i="1" s="1"/>
  <c r="Y1856" i="1" s="1"/>
  <c r="AB1856" i="1" s="1"/>
  <c r="AF1856" i="1" a="1"/>
  <c r="AF1856" i="1" s="1"/>
  <c r="X1856" i="1" s="1"/>
  <c r="AB1866" i="1"/>
  <c r="AA1866" i="1"/>
  <c r="Z1866" i="1"/>
  <c r="T1866" i="1"/>
  <c r="AB1868" i="1"/>
  <c r="AG1871" i="1" a="1"/>
  <c r="AG1871" i="1" s="1"/>
  <c r="Y1871" i="1" s="1"/>
  <c r="AF1871" i="1" a="1"/>
  <c r="AF1871" i="1" s="1"/>
  <c r="X1871" i="1" s="1"/>
  <c r="AB1877" i="1"/>
  <c r="AF1885" i="1" a="1"/>
  <c r="AF1885" i="1" s="1"/>
  <c r="X1885" i="1" s="1"/>
  <c r="AG1885" i="1" a="1"/>
  <c r="AG1885" i="1" s="1"/>
  <c r="Y1885" i="1" s="1"/>
  <c r="AB1885" i="1" s="1"/>
  <c r="AF1897" i="1" a="1"/>
  <c r="AF1897" i="1" s="1"/>
  <c r="X1897" i="1" s="1"/>
  <c r="AG1897" i="1" a="1"/>
  <c r="AG1897" i="1" s="1"/>
  <c r="Y1897" i="1" s="1"/>
  <c r="AB1897" i="1" s="1"/>
  <c r="AG1907" i="1" a="1"/>
  <c r="AG1907" i="1" s="1"/>
  <c r="Y1907" i="1" s="1"/>
  <c r="AB1907" i="1" s="1"/>
  <c r="AF1907" i="1" a="1"/>
  <c r="AF1907" i="1" s="1"/>
  <c r="X1907" i="1" s="1"/>
  <c r="AA1907" i="1" s="1"/>
  <c r="Z1907" i="1" s="1"/>
  <c r="AB1909" i="1"/>
  <c r="AG1926" i="1" a="1"/>
  <c r="AG1926" i="1" s="1"/>
  <c r="Y1926" i="1" s="1"/>
  <c r="AF1926" i="1" a="1"/>
  <c r="AF1926" i="1" s="1"/>
  <c r="X1926" i="1" s="1"/>
  <c r="AF1785" i="1" a="1"/>
  <c r="AF1785" i="1" s="1"/>
  <c r="X1785" i="1" s="1"/>
  <c r="AA1785" i="1" s="1"/>
  <c r="AG1785" i="1" a="1"/>
  <c r="AG1785" i="1" s="1"/>
  <c r="Y1785" i="1" s="1"/>
  <c r="AB1785" i="1" s="1"/>
  <c r="AF1789" i="1" a="1"/>
  <c r="AF1789" i="1" s="1"/>
  <c r="X1789" i="1" s="1"/>
  <c r="AG1789" i="1" a="1"/>
  <c r="AG1789" i="1" s="1"/>
  <c r="Y1789" i="1" s="1"/>
  <c r="AB1789" i="1" s="1"/>
  <c r="AA1791" i="1"/>
  <c r="AA1800" i="1"/>
  <c r="AA1803" i="1"/>
  <c r="AB1812" i="1"/>
  <c r="AB1824" i="1"/>
  <c r="AA1824" i="1"/>
  <c r="AF1833" i="1" a="1"/>
  <c r="AF1833" i="1" s="1"/>
  <c r="X1833" i="1" s="1"/>
  <c r="AG1833" i="1" a="1"/>
  <c r="AG1833" i="1" s="1"/>
  <c r="Y1833" i="1" s="1"/>
  <c r="AB1833" i="1" s="1"/>
  <c r="AB1834" i="1"/>
  <c r="AA1834" i="1"/>
  <c r="AF1845" i="1" a="1"/>
  <c r="AF1845" i="1" s="1"/>
  <c r="X1845" i="1" s="1"/>
  <c r="AA1845" i="1" s="1"/>
  <c r="Z1845" i="1" s="1"/>
  <c r="AG1845" i="1" a="1"/>
  <c r="AG1845" i="1" s="1"/>
  <c r="Y1845" i="1" s="1"/>
  <c r="AB1845" i="1" s="1"/>
  <c r="AG1858" i="1" a="1"/>
  <c r="AG1858" i="1" s="1"/>
  <c r="Y1858" i="1" s="1"/>
  <c r="AF1858" i="1" a="1"/>
  <c r="AF1858" i="1" s="1"/>
  <c r="X1858" i="1" s="1"/>
  <c r="AA1858" i="1" s="1"/>
  <c r="Z1858" i="1" s="1"/>
  <c r="AF1869" i="1" a="1"/>
  <c r="AF1869" i="1" s="1"/>
  <c r="X1869" i="1" s="1"/>
  <c r="AG1869" i="1" a="1"/>
  <c r="AG1869" i="1" s="1"/>
  <c r="Y1869" i="1" s="1"/>
  <c r="AB1869" i="1" s="1"/>
  <c r="T1882" i="1"/>
  <c r="T1894" i="1"/>
  <c r="AB1894" i="1" s="1"/>
  <c r="AG1902" i="1" a="1"/>
  <c r="AG1902" i="1" s="1"/>
  <c r="Y1902" i="1" s="1"/>
  <c r="AB1902" i="1" s="1"/>
  <c r="AF1902" i="1" a="1"/>
  <c r="AF1902" i="1" s="1"/>
  <c r="X1902" i="1" s="1"/>
  <c r="AA1912" i="1"/>
  <c r="AG1938" i="1" a="1"/>
  <c r="AG1938" i="1" s="1"/>
  <c r="Y1938" i="1" s="1"/>
  <c r="AF1938" i="1" a="1"/>
  <c r="AF1938" i="1" s="1"/>
  <c r="X1938" i="1" s="1"/>
  <c r="AA1938" i="1" s="1"/>
  <c r="AG1941" i="1" a="1"/>
  <c r="AG1941" i="1" s="1"/>
  <c r="Y1941" i="1" s="1"/>
  <c r="AF1941" i="1" a="1"/>
  <c r="AF1941" i="1" s="1"/>
  <c r="X1941" i="1" s="1"/>
  <c r="AG1953" i="1" a="1"/>
  <c r="AG1953" i="1" s="1"/>
  <c r="Y1953" i="1" s="1"/>
  <c r="AF1953" i="1" a="1"/>
  <c r="AF1953" i="1" s="1"/>
  <c r="X1953" i="1" s="1"/>
  <c r="T1796" i="1"/>
  <c r="T1799" i="1"/>
  <c r="AB1799" i="1" s="1"/>
  <c r="T1808" i="1"/>
  <c r="T1811" i="1"/>
  <c r="T1820" i="1"/>
  <c r="AB1820" i="1" s="1"/>
  <c r="T1823" i="1"/>
  <c r="AB1823" i="1" s="1"/>
  <c r="AG1828" i="1" a="1"/>
  <c r="AG1828" i="1" s="1"/>
  <c r="Y1828" i="1" s="1"/>
  <c r="AF1828" i="1" a="1"/>
  <c r="AF1828" i="1" s="1"/>
  <c r="X1828" i="1" s="1"/>
  <c r="AA1828" i="1" s="1"/>
  <c r="AB1829" i="1"/>
  <c r="AA1829" i="1"/>
  <c r="Z1829" i="1" s="1"/>
  <c r="AG1840" i="1" a="1"/>
  <c r="AG1840" i="1" s="1"/>
  <c r="Y1840" i="1" s="1"/>
  <c r="AB1840" i="1" s="1"/>
  <c r="AF1840" i="1" a="1"/>
  <c r="AF1840" i="1" s="1"/>
  <c r="X1840" i="1" s="1"/>
  <c r="AA1840" i="1" s="1"/>
  <c r="Z1840" i="1" s="1"/>
  <c r="AA1841" i="1"/>
  <c r="Z1841" i="1" s="1"/>
  <c r="AA1862" i="1"/>
  <c r="T1862" i="1"/>
  <c r="AB1862" i="1" s="1"/>
  <c r="AB1864" i="1"/>
  <c r="AG1867" i="1" a="1"/>
  <c r="AG1867" i="1" s="1"/>
  <c r="Y1867" i="1" s="1"/>
  <c r="AF1867" i="1" a="1"/>
  <c r="AF1867" i="1" s="1"/>
  <c r="X1867" i="1" s="1"/>
  <c r="AG1878" i="1" a="1"/>
  <c r="AG1878" i="1" s="1"/>
  <c r="Y1878" i="1" s="1"/>
  <c r="AF1878" i="1" a="1"/>
  <c r="AF1878" i="1" s="1"/>
  <c r="X1878" i="1" s="1"/>
  <c r="AA1878" i="1" s="1"/>
  <c r="Z1878" i="1" s="1"/>
  <c r="AG1883" i="1" a="1"/>
  <c r="AG1883" i="1" s="1"/>
  <c r="Y1883" i="1" s="1"/>
  <c r="AF1883" i="1" a="1"/>
  <c r="AF1883" i="1" s="1"/>
  <c r="X1883" i="1" s="1"/>
  <c r="AA1883" i="1" s="1"/>
  <c r="Z1883" i="1" s="1"/>
  <c r="AG1890" i="1" a="1"/>
  <c r="AG1890" i="1" s="1"/>
  <c r="Y1890" i="1" s="1"/>
  <c r="AB1890" i="1" s="1"/>
  <c r="AF1890" i="1" a="1"/>
  <c r="AF1890" i="1" s="1"/>
  <c r="X1890" i="1" s="1"/>
  <c r="AA1890" i="1" s="1"/>
  <c r="Z1890" i="1" s="1"/>
  <c r="AG1895" i="1" a="1"/>
  <c r="AG1895" i="1" s="1"/>
  <c r="Y1895" i="1" s="1"/>
  <c r="AF1895" i="1" a="1"/>
  <c r="AF1895" i="1" s="1"/>
  <c r="X1895" i="1" s="1"/>
  <c r="AB1904" i="1"/>
  <c r="AB1912" i="1"/>
  <c r="AF1922" i="1" a="1"/>
  <c r="AF1922" i="1" s="1"/>
  <c r="X1922" i="1" s="1"/>
  <c r="AG1922" i="1" a="1"/>
  <c r="AG1922" i="1" s="1"/>
  <c r="Y1922" i="1" s="1"/>
  <c r="AB1950" i="1"/>
  <c r="Z1781" i="1"/>
  <c r="AG1792" i="1" a="1"/>
  <c r="AG1792" i="1" s="1"/>
  <c r="Y1792" i="1" s="1"/>
  <c r="AB1792" i="1" s="1"/>
  <c r="AF1792" i="1" a="1"/>
  <c r="AF1792" i="1" s="1"/>
  <c r="X1792" i="1" s="1"/>
  <c r="AG1795" i="1" a="1"/>
  <c r="AG1795" i="1" s="1"/>
  <c r="Y1795" i="1" s="1"/>
  <c r="AF1795" i="1" a="1"/>
  <c r="AF1795" i="1" s="1"/>
  <c r="X1795" i="1" s="1"/>
  <c r="AF1801" i="1" a="1"/>
  <c r="AF1801" i="1" s="1"/>
  <c r="X1801" i="1" s="1"/>
  <c r="AA1801" i="1" s="1"/>
  <c r="AG1801" i="1" a="1"/>
  <c r="AG1801" i="1" s="1"/>
  <c r="Y1801" i="1" s="1"/>
  <c r="AG1804" i="1" a="1"/>
  <c r="AG1804" i="1" s="1"/>
  <c r="Y1804" i="1" s="1"/>
  <c r="AF1804" i="1" a="1"/>
  <c r="AF1804" i="1" s="1"/>
  <c r="X1804" i="1" s="1"/>
  <c r="AG1807" i="1" a="1"/>
  <c r="AG1807" i="1" s="1"/>
  <c r="Y1807" i="1" s="1"/>
  <c r="AF1807" i="1" a="1"/>
  <c r="AF1807" i="1" s="1"/>
  <c r="X1807" i="1" s="1"/>
  <c r="AF1813" i="1" a="1"/>
  <c r="AF1813" i="1" s="1"/>
  <c r="X1813" i="1" s="1"/>
  <c r="AA1813" i="1" s="1"/>
  <c r="Z1813" i="1" s="1"/>
  <c r="AG1813" i="1" a="1"/>
  <c r="AG1813" i="1" s="1"/>
  <c r="Y1813" i="1" s="1"/>
  <c r="AG1816" i="1" a="1"/>
  <c r="AG1816" i="1" s="1"/>
  <c r="Y1816" i="1" s="1"/>
  <c r="AB1816" i="1" s="1"/>
  <c r="AF1816" i="1" a="1"/>
  <c r="AF1816" i="1" s="1"/>
  <c r="X1816" i="1" s="1"/>
  <c r="AG1819" i="1" a="1"/>
  <c r="AG1819" i="1" s="1"/>
  <c r="Y1819" i="1" s="1"/>
  <c r="AF1819" i="1" a="1"/>
  <c r="AF1819" i="1" s="1"/>
  <c r="X1819" i="1" s="1"/>
  <c r="AF1825" i="1" a="1"/>
  <c r="AF1825" i="1" s="1"/>
  <c r="X1825" i="1" s="1"/>
  <c r="AG1825" i="1" a="1"/>
  <c r="AG1825" i="1" s="1"/>
  <c r="Y1825" i="1" s="1"/>
  <c r="AG1835" i="1" a="1"/>
  <c r="AG1835" i="1" s="1"/>
  <c r="Y1835" i="1" s="1"/>
  <c r="AF1835" i="1" a="1"/>
  <c r="AF1835" i="1" s="1"/>
  <c r="X1835" i="1" s="1"/>
  <c r="AA1835" i="1" s="1"/>
  <c r="AB1836" i="1"/>
  <c r="AA1836" i="1"/>
  <c r="Z1836" i="1" s="1"/>
  <c r="T1838" i="1"/>
  <c r="AG1847" i="1" a="1"/>
  <c r="AG1847" i="1" s="1"/>
  <c r="Y1847" i="1" s="1"/>
  <c r="AF1847" i="1" a="1"/>
  <c r="AF1847" i="1" s="1"/>
  <c r="X1847" i="1" s="1"/>
  <c r="AB1848" i="1"/>
  <c r="AB1850" i="1"/>
  <c r="T1850" i="1"/>
  <c r="AF1865" i="1" a="1"/>
  <c r="AF1865" i="1" s="1"/>
  <c r="X1865" i="1" s="1"/>
  <c r="AG1865" i="1" a="1"/>
  <c r="AG1865" i="1" s="1"/>
  <c r="Y1865" i="1" s="1"/>
  <c r="AB1873" i="1"/>
  <c r="AG1876" i="1" a="1"/>
  <c r="AG1876" i="1" s="1"/>
  <c r="Y1876" i="1" s="1"/>
  <c r="AB1876" i="1" s="1"/>
  <c r="AF1876" i="1" a="1"/>
  <c r="AF1876" i="1" s="1"/>
  <c r="X1876" i="1" s="1"/>
  <c r="AA1876" i="1" s="1"/>
  <c r="AG1888" i="1" a="1"/>
  <c r="AG1888" i="1" s="1"/>
  <c r="Y1888" i="1" s="1"/>
  <c r="AB1888" i="1" s="1"/>
  <c r="AF1888" i="1" a="1"/>
  <c r="AF1888" i="1" s="1"/>
  <c r="X1888" i="1" s="1"/>
  <c r="AB1892" i="1"/>
  <c r="AG1900" i="1" a="1"/>
  <c r="AG1900" i="1" s="1"/>
  <c r="Y1900" i="1" s="1"/>
  <c r="AB1900" i="1" s="1"/>
  <c r="AF1900" i="1" a="1"/>
  <c r="AF1900" i="1" s="1"/>
  <c r="X1900" i="1" s="1"/>
  <c r="AA1900" i="1" s="1"/>
  <c r="Z1900" i="1" s="1"/>
  <c r="AF1905" i="1" a="1"/>
  <c r="AF1905" i="1" s="1"/>
  <c r="X1905" i="1" s="1"/>
  <c r="AG1905" i="1" a="1"/>
  <c r="AG1905" i="1" s="1"/>
  <c r="Y1905" i="1" s="1"/>
  <c r="AB1905" i="1" s="1"/>
  <c r="AB1926" i="1"/>
  <c r="AA1935" i="1"/>
  <c r="AG1947" i="1" a="1"/>
  <c r="AG1947" i="1" s="1"/>
  <c r="Y1947" i="1" s="1"/>
  <c r="AF1947" i="1" a="1"/>
  <c r="AF1947" i="1" s="1"/>
  <c r="X1947" i="1" s="1"/>
  <c r="AG1950" i="1" a="1"/>
  <c r="AG1950" i="1" s="1"/>
  <c r="Y1950" i="1" s="1"/>
  <c r="AF1950" i="1" a="1"/>
  <c r="AF1950" i="1" s="1"/>
  <c r="X1950" i="1" s="1"/>
  <c r="AA1950" i="1" s="1"/>
  <c r="Z1950" i="1" s="1"/>
  <c r="AB1975" i="1"/>
  <c r="T1975" i="1"/>
  <c r="AA1975" i="1" s="1"/>
  <c r="AG1996" i="1" a="1"/>
  <c r="AG1996" i="1" s="1"/>
  <c r="Y1996" i="1" s="1"/>
  <c r="AF1996" i="1" a="1"/>
  <c r="AF1996" i="1" s="1"/>
  <c r="X1996" i="1" s="1"/>
  <c r="AA1875" i="1"/>
  <c r="AA1879" i="1"/>
  <c r="Z1879" i="1" s="1"/>
  <c r="AA1887" i="1"/>
  <c r="Z1887" i="1" s="1"/>
  <c r="AA1891" i="1"/>
  <c r="AA1895" i="1"/>
  <c r="AA1899" i="1"/>
  <c r="AA1903" i="1"/>
  <c r="Z1903" i="1" s="1"/>
  <c r="AG1914" i="1" a="1"/>
  <c r="AG1914" i="1" s="1"/>
  <c r="Y1914" i="1" s="1"/>
  <c r="AF1915" i="1" a="1"/>
  <c r="AF1915" i="1" s="1"/>
  <c r="X1915" i="1" s="1"/>
  <c r="AB1925" i="1"/>
  <c r="AA1927" i="1"/>
  <c r="AA1928" i="1"/>
  <c r="Z1928" i="1" s="1"/>
  <c r="AA1931" i="1"/>
  <c r="Z1931" i="1" s="1"/>
  <c r="AA1932" i="1"/>
  <c r="AB1933" i="1"/>
  <c r="AG1939" i="1" a="1"/>
  <c r="AG1939" i="1" s="1"/>
  <c r="Y1939" i="1" s="1"/>
  <c r="AB1939" i="1" s="1"/>
  <c r="Z1939" i="1" s="1"/>
  <c r="AF1939" i="1" a="1"/>
  <c r="AF1939" i="1" s="1"/>
  <c r="X1939" i="1" s="1"/>
  <c r="AG1943" i="1" a="1"/>
  <c r="AG1943" i="1" s="1"/>
  <c r="Y1943" i="1" s="1"/>
  <c r="AB1943" i="1" s="1"/>
  <c r="AF1943" i="1" a="1"/>
  <c r="AF1943" i="1" s="1"/>
  <c r="X1943" i="1" s="1"/>
  <c r="AB1953" i="1"/>
  <c r="AG1976" i="1" a="1"/>
  <c r="AG1976" i="1" s="1"/>
  <c r="Y1976" i="1" s="1"/>
  <c r="AF1976" i="1" a="1"/>
  <c r="AF1976" i="1" s="1"/>
  <c r="X1976" i="1" s="1"/>
  <c r="AB1985" i="1"/>
  <c r="AG2016" i="1" a="1"/>
  <c r="AG2016" i="1" s="1"/>
  <c r="Y2016" i="1" s="1"/>
  <c r="AF2016" i="1" a="1"/>
  <c r="AF2016" i="1" s="1"/>
  <c r="X2016" i="1" s="1"/>
  <c r="AG2038" i="1" a="1"/>
  <c r="AG2038" i="1" s="1"/>
  <c r="Y2038" i="1" s="1"/>
  <c r="AF2038" i="1" a="1"/>
  <c r="AF2038" i="1" s="1"/>
  <c r="X2038" i="1" s="1"/>
  <c r="AB1879" i="1"/>
  <c r="AB1883" i="1"/>
  <c r="AB1887" i="1"/>
  <c r="AB1895" i="1"/>
  <c r="AF1906" i="1" a="1"/>
  <c r="AF1906" i="1" s="1"/>
  <c r="X1906" i="1" s="1"/>
  <c r="AA1906" i="1" s="1"/>
  <c r="Z1906" i="1" s="1"/>
  <c r="AF1910" i="1" a="1"/>
  <c r="AF1910" i="1" s="1"/>
  <c r="X1910" i="1" s="1"/>
  <c r="AA1934" i="1"/>
  <c r="Z1934" i="1" s="1"/>
  <c r="AA1958" i="1"/>
  <c r="Z1958" i="1" s="1"/>
  <c r="AB1960" i="1"/>
  <c r="T1968" i="1"/>
  <c r="AA1968" i="1" s="1"/>
  <c r="AG1971" i="1" a="1"/>
  <c r="AG1971" i="1" s="1"/>
  <c r="Y1971" i="1" s="1"/>
  <c r="AF1971" i="1" a="1"/>
  <c r="AF1971" i="1" s="1"/>
  <c r="X1971" i="1" s="1"/>
  <c r="T1983" i="1"/>
  <c r="AB1983" i="1" s="1"/>
  <c r="AG1988" i="1" a="1"/>
  <c r="AG1988" i="1" s="1"/>
  <c r="Y1988" i="1" s="1"/>
  <c r="AF1988" i="1" a="1"/>
  <c r="AF1988" i="1" s="1"/>
  <c r="X1988" i="1" s="1"/>
  <c r="AG1999" i="1" a="1"/>
  <c r="AG1999" i="1" s="1"/>
  <c r="Y1999" i="1" s="1"/>
  <c r="AF1999" i="1" a="1"/>
  <c r="AF1999" i="1" s="1"/>
  <c r="X1999" i="1" s="1"/>
  <c r="Z1912" i="1"/>
  <c r="AG1952" i="1" a="1"/>
  <c r="AG1952" i="1" s="1"/>
  <c r="Y1952" i="1" s="1"/>
  <c r="AF1952" i="1" a="1"/>
  <c r="AF1952" i="1" s="1"/>
  <c r="X1952" i="1" s="1"/>
  <c r="AG1959" i="1" a="1"/>
  <c r="AG1959" i="1" s="1"/>
  <c r="Y1959" i="1" s="1"/>
  <c r="AB1959" i="1" s="1"/>
  <c r="AF1959" i="1" a="1"/>
  <c r="AF1959" i="1" s="1"/>
  <c r="X1959" i="1" s="1"/>
  <c r="AA1959" i="1" s="1"/>
  <c r="AA1962" i="1"/>
  <c r="T1962" i="1"/>
  <c r="AB1962" i="1" s="1"/>
  <c r="AA1966" i="1"/>
  <c r="T1966" i="1"/>
  <c r="T1996" i="1"/>
  <c r="AA1996" i="1" s="1"/>
  <c r="AB2001" i="1"/>
  <c r="AB2005" i="1"/>
  <c r="AG2014" i="1" a="1"/>
  <c r="AG2014" i="1" s="1"/>
  <c r="Y2014" i="1" s="1"/>
  <c r="AF2014" i="1" a="1"/>
  <c r="AF2014" i="1" s="1"/>
  <c r="X2014" i="1" s="1"/>
  <c r="AG2036" i="1" a="1"/>
  <c r="AG2036" i="1" s="1"/>
  <c r="Y2036" i="1" s="1"/>
  <c r="AF2036" i="1" a="1"/>
  <c r="AF2036" i="1" s="1"/>
  <c r="X2036" i="1" s="1"/>
  <c r="AA1852" i="1"/>
  <c r="Z1852" i="1" s="1"/>
  <c r="AA1856" i="1"/>
  <c r="AA1860" i="1"/>
  <c r="AA1864" i="1"/>
  <c r="Z1864" i="1" s="1"/>
  <c r="AA1872" i="1"/>
  <c r="AA1880" i="1"/>
  <c r="Z1880" i="1" s="1"/>
  <c r="AA1884" i="1"/>
  <c r="Z1884" i="1" s="1"/>
  <c r="AA1888" i="1"/>
  <c r="AA1892" i="1"/>
  <c r="Z1892" i="1" s="1"/>
  <c r="AA1896" i="1"/>
  <c r="Z1896" i="1" s="1"/>
  <c r="T1914" i="1"/>
  <c r="AB1914" i="1" s="1"/>
  <c r="AF1916" i="1" a="1"/>
  <c r="AF1916" i="1" s="1"/>
  <c r="X1916" i="1" s="1"/>
  <c r="T1921" i="1"/>
  <c r="AA1940" i="1"/>
  <c r="AA1944" i="1"/>
  <c r="AG1963" i="1" a="1"/>
  <c r="AG1963" i="1" s="1"/>
  <c r="Y1963" i="1" s="1"/>
  <c r="AF1963" i="1" a="1"/>
  <c r="AF1963" i="1" s="1"/>
  <c r="X1963" i="1" s="1"/>
  <c r="AA1963" i="1" s="1"/>
  <c r="Z1963" i="1" s="1"/>
  <c r="AG1974" i="1" a="1"/>
  <c r="AG1974" i="1" s="1"/>
  <c r="Y1974" i="1" s="1"/>
  <c r="AF1974" i="1" a="1"/>
  <c r="AF1974" i="1" s="1"/>
  <c r="X1974" i="1" s="1"/>
  <c r="T1976" i="1"/>
  <c r="AG1979" i="1" a="1"/>
  <c r="AG1979" i="1" s="1"/>
  <c r="Y1979" i="1" s="1"/>
  <c r="AF1979" i="1" a="1"/>
  <c r="AF1979" i="1" s="1"/>
  <c r="X1979" i="1" s="1"/>
  <c r="AA1979" i="1" s="1"/>
  <c r="AB1992" i="1"/>
  <c r="AF1917" i="1" a="1"/>
  <c r="AF1917" i="1" s="1"/>
  <c r="X1917" i="1" s="1"/>
  <c r="AA1917" i="1" s="1"/>
  <c r="T1922" i="1"/>
  <c r="T1938" i="1"/>
  <c r="AB1938" i="1" s="1"/>
  <c r="Z1947" i="1"/>
  <c r="AG1967" i="1" a="1"/>
  <c r="AG1967" i="1" s="1"/>
  <c r="Y1967" i="1" s="1"/>
  <c r="AF1967" i="1" a="1"/>
  <c r="AF1967" i="1" s="1"/>
  <c r="X1967" i="1" s="1"/>
  <c r="T1971" i="1"/>
  <c r="AG2010" i="1" a="1"/>
  <c r="AG2010" i="1" s="1"/>
  <c r="Y2010" i="1" s="1"/>
  <c r="AF2010" i="1" a="1"/>
  <c r="AF2010" i="1" s="1"/>
  <c r="X2010" i="1" s="1"/>
  <c r="AA2010" i="1" s="1"/>
  <c r="Z2010" i="1" s="1"/>
  <c r="Z1861" i="1"/>
  <c r="Z1877" i="1"/>
  <c r="Z1885" i="1"/>
  <c r="Z1893" i="1"/>
  <c r="T1906" i="1"/>
  <c r="AB1906" i="1" s="1"/>
  <c r="T1910" i="1"/>
  <c r="AB1910" i="1" s="1"/>
  <c r="Z1910" i="1" s="1"/>
  <c r="AA1919" i="1"/>
  <c r="Z1919" i="1" s="1"/>
  <c r="AA1920" i="1"/>
  <c r="Z1920" i="1" s="1"/>
  <c r="T1923" i="1"/>
  <c r="T1937" i="1"/>
  <c r="AB1937" i="1" s="1"/>
  <c r="Z1937" i="1" s="1"/>
  <c r="AF1957" i="1" a="1"/>
  <c r="AF1957" i="1" s="1"/>
  <c r="X1957" i="1" s="1"/>
  <c r="AB1963" i="1"/>
  <c r="AG1972" i="1" a="1"/>
  <c r="AG1972" i="1" s="1"/>
  <c r="Y1972" i="1" s="1"/>
  <c r="AF1972" i="1" a="1"/>
  <c r="AF1972" i="1" s="1"/>
  <c r="X1972" i="1" s="1"/>
  <c r="AG1982" i="1" a="1"/>
  <c r="AG1982" i="1" s="1"/>
  <c r="Y1982" i="1" s="1"/>
  <c r="AF1982" i="1" a="1"/>
  <c r="AF1982" i="1" s="1"/>
  <c r="X1982" i="1" s="1"/>
  <c r="AA1982" i="1" s="1"/>
  <c r="Z1982" i="1" s="1"/>
  <c r="AA1857" i="1"/>
  <c r="Z1857" i="1" s="1"/>
  <c r="AA1861" i="1"/>
  <c r="AA1865" i="1"/>
  <c r="Z1865" i="1" s="1"/>
  <c r="AA1869" i="1"/>
  <c r="Z1869" i="1" s="1"/>
  <c r="AA1873" i="1"/>
  <c r="Z1873" i="1" s="1"/>
  <c r="AA1877" i="1"/>
  <c r="AA1881" i="1"/>
  <c r="Z1881" i="1" s="1"/>
  <c r="AA1885" i="1"/>
  <c r="AA1889" i="1"/>
  <c r="Z1889" i="1" s="1"/>
  <c r="AA1893" i="1"/>
  <c r="AA1897" i="1"/>
  <c r="Z1897" i="1" s="1"/>
  <c r="AA1905" i="1"/>
  <c r="Z1905" i="1" s="1"/>
  <c r="AA1909" i="1"/>
  <c r="Z1909" i="1" s="1"/>
  <c r="T1924" i="1"/>
  <c r="T1936" i="1"/>
  <c r="Z1936" i="1" s="1"/>
  <c r="AA1947" i="1"/>
  <c r="AG1951" i="1" a="1"/>
  <c r="AG1951" i="1" s="1"/>
  <c r="Y1951" i="1" s="1"/>
  <c r="AB1951" i="1" s="1"/>
  <c r="AF1951" i="1" a="1"/>
  <c r="AF1951" i="1" s="1"/>
  <c r="X1951" i="1" s="1"/>
  <c r="AA1951" i="1" s="1"/>
  <c r="Z1951" i="1" s="1"/>
  <c r="AB1952" i="1"/>
  <c r="Z1952" i="1" s="1"/>
  <c r="AA1952" i="1"/>
  <c r="AG1956" i="1" a="1"/>
  <c r="AG1956" i="1" s="1"/>
  <c r="Y1956" i="1" s="1"/>
  <c r="AF1956" i="1" a="1"/>
  <c r="AF1956" i="1" s="1"/>
  <c r="X1956" i="1" s="1"/>
  <c r="AA1956" i="1" s="1"/>
  <c r="Z1956" i="1" s="1"/>
  <c r="AB1961" i="1"/>
  <c r="AA1961" i="1"/>
  <c r="Z1961" i="1" s="1"/>
  <c r="T1979" i="1"/>
  <c r="AG1989" i="1" a="1"/>
  <c r="AG1989" i="1" s="1"/>
  <c r="Y1989" i="1" s="1"/>
  <c r="AF1989" i="1" a="1"/>
  <c r="AF1989" i="1" s="1"/>
  <c r="X1989" i="1" s="1"/>
  <c r="T1916" i="1"/>
  <c r="AA1916" i="1" s="1"/>
  <c r="AF1919" i="1" a="1"/>
  <c r="AF1919" i="1" s="1"/>
  <c r="X1919" i="1" s="1"/>
  <c r="AA1921" i="1"/>
  <c r="T1925" i="1"/>
  <c r="AA1925" i="1" s="1"/>
  <c r="T1935" i="1"/>
  <c r="AA1937" i="1"/>
  <c r="AA1939" i="1"/>
  <c r="AA1943" i="1"/>
  <c r="Z1943" i="1" s="1"/>
  <c r="AF1961" i="1" a="1"/>
  <c r="AF1961" i="1" s="1"/>
  <c r="X1961" i="1" s="1"/>
  <c r="AB1965" i="1"/>
  <c r="AA1965" i="1"/>
  <c r="Z1965" i="1" s="1"/>
  <c r="AB1977" i="1"/>
  <c r="Z1977" i="1" s="1"/>
  <c r="AG1980" i="1" a="1"/>
  <c r="AG1980" i="1" s="1"/>
  <c r="Y1980" i="1" s="1"/>
  <c r="AF1980" i="1" a="1"/>
  <c r="AF1980" i="1" s="1"/>
  <c r="X1980" i="1" s="1"/>
  <c r="AA1984" i="1"/>
  <c r="Z1984" i="1" s="1"/>
  <c r="AB1984" i="1"/>
  <c r="T1984" i="1"/>
  <c r="AF1913" i="1" a="1"/>
  <c r="AF1913" i="1" s="1"/>
  <c r="X1913" i="1" s="1"/>
  <c r="AA1913" i="1" s="1"/>
  <c r="Z1913" i="1" s="1"/>
  <c r="AA1914" i="1"/>
  <c r="Z1914" i="1" s="1"/>
  <c r="T1926" i="1"/>
  <c r="T1929" i="1"/>
  <c r="AA1929" i="1" s="1"/>
  <c r="T1930" i="1"/>
  <c r="AA1930" i="1" s="1"/>
  <c r="T1933" i="1"/>
  <c r="AA1933" i="1" s="1"/>
  <c r="AG1948" i="1" a="1"/>
  <c r="AG1948" i="1" s="1"/>
  <c r="Y1948" i="1" s="1"/>
  <c r="AB1948" i="1" s="1"/>
  <c r="AF1948" i="1" a="1"/>
  <c r="AF1948" i="1" s="1"/>
  <c r="X1948" i="1" s="1"/>
  <c r="AA1948" i="1" s="1"/>
  <c r="T1967" i="1"/>
  <c r="AA1967" i="1" s="1"/>
  <c r="AG1970" i="1" a="1"/>
  <c r="AG1970" i="1" s="1"/>
  <c r="Y1970" i="1" s="1"/>
  <c r="AB1970" i="1" s="1"/>
  <c r="AF1970" i="1" a="1"/>
  <c r="AF1970" i="1" s="1"/>
  <c r="X1970" i="1" s="1"/>
  <c r="AA1972" i="1"/>
  <c r="T1972" i="1"/>
  <c r="AB1972" i="1" s="1"/>
  <c r="AG1975" i="1" a="1"/>
  <c r="AG1975" i="1" s="1"/>
  <c r="Y1975" i="1" s="1"/>
  <c r="AF1975" i="1" a="1"/>
  <c r="AF1975" i="1" s="1"/>
  <c r="X1975" i="1" s="1"/>
  <c r="AG1987" i="1" a="1"/>
  <c r="AG1987" i="1" s="1"/>
  <c r="Y1987" i="1" s="1"/>
  <c r="AB1987" i="1" s="1"/>
  <c r="AF1987" i="1" a="1"/>
  <c r="AF1987" i="1" s="1"/>
  <c r="X1987" i="1" s="1"/>
  <c r="AA1987" i="1" s="1"/>
  <c r="Z1987" i="1" s="1"/>
  <c r="AA2002" i="1"/>
  <c r="AA1910" i="1"/>
  <c r="AB1936" i="1"/>
  <c r="AA1936" i="1"/>
  <c r="AG1940" i="1" a="1"/>
  <c r="AG1940" i="1" s="1"/>
  <c r="Y1940" i="1" s="1"/>
  <c r="AB1940" i="1" s="1"/>
  <c r="AF1940" i="1" a="1"/>
  <c r="AF1940" i="1" s="1"/>
  <c r="X1940" i="1" s="1"/>
  <c r="T1941" i="1"/>
  <c r="AA1941" i="1" s="1"/>
  <c r="AG1944" i="1" a="1"/>
  <c r="AG1944" i="1" s="1"/>
  <c r="Y1944" i="1" s="1"/>
  <c r="AB1944" i="1" s="1"/>
  <c r="AF1944" i="1" a="1"/>
  <c r="AF1944" i="1" s="1"/>
  <c r="X1944" i="1" s="1"/>
  <c r="T1945" i="1"/>
  <c r="AB1945" i="1" s="1"/>
  <c r="AF1949" i="1" a="1"/>
  <c r="AF1949" i="1" s="1"/>
  <c r="X1949" i="1" s="1"/>
  <c r="AA1954" i="1"/>
  <c r="Z1954" i="1" s="1"/>
  <c r="AG1968" i="1" a="1"/>
  <c r="AG1968" i="1" s="1"/>
  <c r="Y1968" i="1" s="1"/>
  <c r="AB1968" i="1" s="1"/>
  <c r="AF1968" i="1" a="1"/>
  <c r="AF1968" i="1" s="1"/>
  <c r="X1968" i="1" s="1"/>
  <c r="AB1989" i="1"/>
  <c r="AF1921" i="1" a="1"/>
  <c r="AF1921" i="1" s="1"/>
  <c r="X1921" i="1" s="1"/>
  <c r="Z1927" i="1"/>
  <c r="Z1932" i="1"/>
  <c r="AF1942" i="1" a="1"/>
  <c r="AF1942" i="1" s="1"/>
  <c r="X1942" i="1" s="1"/>
  <c r="AA1942" i="1" s="1"/>
  <c r="Z1942" i="1" s="1"/>
  <c r="AF1946" i="1" a="1"/>
  <c r="AF1946" i="1" s="1"/>
  <c r="X1946" i="1" s="1"/>
  <c r="AA1946" i="1" s="1"/>
  <c r="Z1946" i="1" s="1"/>
  <c r="AG1955" i="1" a="1"/>
  <c r="AG1955" i="1" s="1"/>
  <c r="Y1955" i="1" s="1"/>
  <c r="AB1955" i="1" s="1"/>
  <c r="AF1955" i="1" a="1"/>
  <c r="AF1955" i="1" s="1"/>
  <c r="X1955" i="1" s="1"/>
  <c r="AA1955" i="1" s="1"/>
  <c r="Z1955" i="1" s="1"/>
  <c r="AB1956" i="1"/>
  <c r="AG1978" i="1" a="1"/>
  <c r="AG1978" i="1" s="1"/>
  <c r="Y1978" i="1" s="1"/>
  <c r="AF1978" i="1" a="1"/>
  <c r="AF1978" i="1" s="1"/>
  <c r="X1978" i="1" s="1"/>
  <c r="AA1978" i="1" s="1"/>
  <c r="Z1978" i="1" s="1"/>
  <c r="T1980" i="1"/>
  <c r="AG1983" i="1" a="1"/>
  <c r="AG1983" i="1" s="1"/>
  <c r="Y1983" i="1" s="1"/>
  <c r="AF1983" i="1" a="1"/>
  <c r="AF1983" i="1" s="1"/>
  <c r="X1983" i="1" s="1"/>
  <c r="AG1990" i="1" a="1"/>
  <c r="AG1990" i="1" s="1"/>
  <c r="Y1990" i="1" s="1"/>
  <c r="AF1990" i="1" a="1"/>
  <c r="AF1990" i="1" s="1"/>
  <c r="X1990" i="1" s="1"/>
  <c r="AA1990" i="1" s="1"/>
  <c r="Z1990" i="1" s="1"/>
  <c r="AF2002" i="1" a="1"/>
  <c r="AF2002" i="1" s="1"/>
  <c r="X2002" i="1" s="1"/>
  <c r="AG2040" i="1" a="1"/>
  <c r="AG2040" i="1" s="1"/>
  <c r="Y2040" i="1" s="1"/>
  <c r="AF2040" i="1" a="1"/>
  <c r="AF2040" i="1" s="1"/>
  <c r="X2040" i="1" s="1"/>
  <c r="AF1966" i="1" a="1"/>
  <c r="AF1966" i="1" s="1"/>
  <c r="X1966" i="1" s="1"/>
  <c r="T1991" i="1"/>
  <c r="AA1991" i="1" s="1"/>
  <c r="AA1995" i="1"/>
  <c r="AB2021" i="1"/>
  <c r="AG2034" i="1" a="1"/>
  <c r="AG2034" i="1" s="1"/>
  <c r="Y2034" i="1" s="1"/>
  <c r="AF2034" i="1" a="1"/>
  <c r="AF2034" i="1" s="1"/>
  <c r="X2034" i="1" s="1"/>
  <c r="AG2052" i="1" a="1"/>
  <c r="AG2052" i="1" s="1"/>
  <c r="Y2052" i="1" s="1"/>
  <c r="AF2052" i="1" a="1"/>
  <c r="AF2052" i="1" s="1"/>
  <c r="X2052" i="1" s="1"/>
  <c r="AF1954" i="1" a="1"/>
  <c r="AF1954" i="1" s="1"/>
  <c r="X1954" i="1" s="1"/>
  <c r="AF1958" i="1" a="1"/>
  <c r="AF1958" i="1" s="1"/>
  <c r="X1958" i="1" s="1"/>
  <c r="AF1962" i="1" a="1"/>
  <c r="AF1962" i="1" s="1"/>
  <c r="X1962" i="1" s="1"/>
  <c r="AA2009" i="1"/>
  <c r="AA2014" i="1"/>
  <c r="AA2049" i="1"/>
  <c r="T2049" i="1"/>
  <c r="AB2049" i="1" s="1"/>
  <c r="T1949" i="1"/>
  <c r="T1953" i="1"/>
  <c r="T1957" i="1"/>
  <c r="AA1993" i="1"/>
  <c r="AF1994" i="1" a="1"/>
  <c r="AF1994" i="1" s="1"/>
  <c r="X1994" i="1" s="1"/>
  <c r="AB2029" i="1"/>
  <c r="AG2045" i="1" a="1"/>
  <c r="AG2045" i="1" s="1"/>
  <c r="Y2045" i="1" s="1"/>
  <c r="AF2045" i="1" a="1"/>
  <c r="AF2045" i="1" s="1"/>
  <c r="X2045" i="1" s="1"/>
  <c r="AB2047" i="1"/>
  <c r="AG1985" i="1" a="1"/>
  <c r="AG1985" i="1" s="1"/>
  <c r="Y1985" i="1" s="1"/>
  <c r="AF1985" i="1" a="1"/>
  <c r="AF1985" i="1" s="1"/>
  <c r="X1985" i="1" s="1"/>
  <c r="T1988" i="1"/>
  <c r="AB1988" i="1" s="1"/>
  <c r="AA1992" i="1"/>
  <c r="Z1992" i="1" s="1"/>
  <c r="AG1997" i="1" a="1"/>
  <c r="AG1997" i="1" s="1"/>
  <c r="Y1997" i="1" s="1"/>
  <c r="AB1997" i="1" s="1"/>
  <c r="AF1997" i="1" a="1"/>
  <c r="AF1997" i="1" s="1"/>
  <c r="X1997" i="1" s="1"/>
  <c r="T2000" i="1"/>
  <c r="AA2000" i="1" s="1"/>
  <c r="AF2012" i="1" a="1"/>
  <c r="AF2012" i="1" s="1"/>
  <c r="X2012" i="1" s="1"/>
  <c r="AA2012" i="1" s="1"/>
  <c r="Z2012" i="1" s="1"/>
  <c r="AB2014" i="1"/>
  <c r="AG2018" i="1" a="1"/>
  <c r="AG2018" i="1" s="1"/>
  <c r="Y2018" i="1" s="1"/>
  <c r="AF2018" i="1" a="1"/>
  <c r="AF2018" i="1" s="1"/>
  <c r="X2018" i="1" s="1"/>
  <c r="AG2022" i="1" a="1"/>
  <c r="AG2022" i="1" s="1"/>
  <c r="Y2022" i="1" s="1"/>
  <c r="AF2022" i="1" a="1"/>
  <c r="AF2022" i="1" s="1"/>
  <c r="X2022" i="1" s="1"/>
  <c r="AF2032" i="1" a="1"/>
  <c r="AF2032" i="1" s="1"/>
  <c r="X2032" i="1" s="1"/>
  <c r="AG2032" i="1" a="1"/>
  <c r="AG2032" i="1" s="1"/>
  <c r="Y2032" i="1" s="1"/>
  <c r="AG2062" i="1" a="1"/>
  <c r="AG2062" i="1" s="1"/>
  <c r="Y2062" i="1" s="1"/>
  <c r="AF2062" i="1" a="1"/>
  <c r="AF2062" i="1" s="1"/>
  <c r="X2062" i="1" s="1"/>
  <c r="AB2071" i="1"/>
  <c r="AF1992" i="1" a="1"/>
  <c r="AF1992" i="1" s="1"/>
  <c r="X1992" i="1" s="1"/>
  <c r="AG2013" i="1" a="1"/>
  <c r="AG2013" i="1" s="1"/>
  <c r="Y2013" i="1" s="1"/>
  <c r="AB2013" i="1" s="1"/>
  <c r="AF2013" i="1" a="1"/>
  <c r="AF2013" i="1" s="1"/>
  <c r="X2013" i="1" s="1"/>
  <c r="T2016" i="1"/>
  <c r="AA2016" i="1" s="1"/>
  <c r="Z2016" i="1" s="1"/>
  <c r="AB2016" i="1"/>
  <c r="AG2020" i="1" a="1"/>
  <c r="AG2020" i="1" s="1"/>
  <c r="Y2020" i="1" s="1"/>
  <c r="AB2020" i="1" s="1"/>
  <c r="AF2020" i="1" a="1"/>
  <c r="AF2020" i="1" s="1"/>
  <c r="X2020" i="1" s="1"/>
  <c r="AA2034" i="1"/>
  <c r="Z2034" i="1" s="1"/>
  <c r="AB1990" i="1"/>
  <c r="AA1999" i="1"/>
  <c r="T1999" i="1"/>
  <c r="AG2048" i="1" a="1"/>
  <c r="AG2048" i="1" s="1"/>
  <c r="Y2048" i="1" s="1"/>
  <c r="AF2048" i="1" a="1"/>
  <c r="AF2048" i="1" s="1"/>
  <c r="X2048" i="1" s="1"/>
  <c r="AB2057" i="1"/>
  <c r="AG2060" i="1" a="1"/>
  <c r="AG2060" i="1" s="1"/>
  <c r="Y2060" i="1" s="1"/>
  <c r="AF2060" i="1" a="1"/>
  <c r="AF2060" i="1" s="1"/>
  <c r="X2060" i="1" s="1"/>
  <c r="AA2060" i="1" s="1"/>
  <c r="Z2060" i="1" s="1"/>
  <c r="AG2072" i="1" a="1"/>
  <c r="AG2072" i="1" s="1"/>
  <c r="Y2072" i="1" s="1"/>
  <c r="AB2072" i="1" s="1"/>
  <c r="AF2072" i="1" a="1"/>
  <c r="AF2072" i="1" s="1"/>
  <c r="X2072" i="1" s="1"/>
  <c r="AA1949" i="1"/>
  <c r="AA1953" i="1"/>
  <c r="T1969" i="1"/>
  <c r="AA1969" i="1" s="1"/>
  <c r="Z1969" i="1" s="1"/>
  <c r="T1970" i="1"/>
  <c r="AA1970" i="1" s="1"/>
  <c r="T1973" i="1"/>
  <c r="AB1973" i="1" s="1"/>
  <c r="T1974" i="1"/>
  <c r="T1977" i="1"/>
  <c r="AA1989" i="1"/>
  <c r="Z1989" i="1" s="1"/>
  <c r="AG2001" i="1" a="1"/>
  <c r="AG2001" i="1" s="1"/>
  <c r="Y2001" i="1" s="1"/>
  <c r="AF2001" i="1" a="1"/>
  <c r="AF2001" i="1" s="1"/>
  <c r="X2001" i="1" s="1"/>
  <c r="AA2001" i="1" s="1"/>
  <c r="Z2001" i="1" s="1"/>
  <c r="AA2011" i="1"/>
  <c r="T2011" i="1"/>
  <c r="AB2011" i="1" s="1"/>
  <c r="Z2011" i="1" s="1"/>
  <c r="AG2046" i="1" a="1"/>
  <c r="AG2046" i="1" s="1"/>
  <c r="Y2046" i="1" s="1"/>
  <c r="AF2046" i="1" a="1"/>
  <c r="AF2046" i="1" s="1"/>
  <c r="X2046" i="1" s="1"/>
  <c r="AA2046" i="1" s="1"/>
  <c r="Z2046" i="1" s="1"/>
  <c r="T2062" i="1"/>
  <c r="AF1960" i="1" a="1"/>
  <c r="AF1960" i="1" s="1"/>
  <c r="X1960" i="1" s="1"/>
  <c r="AA1960" i="1" s="1"/>
  <c r="Z1960" i="1" s="1"/>
  <c r="AF1964" i="1" a="1"/>
  <c r="AF1964" i="1" s="1"/>
  <c r="X1964" i="1" s="1"/>
  <c r="AA1964" i="1" s="1"/>
  <c r="Z1964" i="1" s="1"/>
  <c r="AG1993" i="1" a="1"/>
  <c r="AG1993" i="1" s="1"/>
  <c r="Y1993" i="1" s="1"/>
  <c r="AF1993" i="1" a="1"/>
  <c r="AF1993" i="1" s="1"/>
  <c r="X1993" i="1" s="1"/>
  <c r="T2003" i="1"/>
  <c r="AB2003" i="1" s="1"/>
  <c r="AA2007" i="1"/>
  <c r="T2007" i="1"/>
  <c r="AG2009" i="1" a="1"/>
  <c r="AG2009" i="1" s="1"/>
  <c r="Y2009" i="1" s="1"/>
  <c r="AB2009" i="1" s="1"/>
  <c r="AF2009" i="1" a="1"/>
  <c r="AF2009" i="1" s="1"/>
  <c r="X2009" i="1" s="1"/>
  <c r="AG2068" i="1" a="1"/>
  <c r="AG2068" i="1" s="1"/>
  <c r="Y2068" i="1" s="1"/>
  <c r="AF2068" i="1" a="1"/>
  <c r="AF2068" i="1" s="1"/>
  <c r="X2068" i="1" s="1"/>
  <c r="Z1981" i="1"/>
  <c r="T1995" i="1"/>
  <c r="AB1995" i="1" s="1"/>
  <c r="AB1998" i="1"/>
  <c r="AF2003" i="1" a="1"/>
  <c r="AF2003" i="1" s="1"/>
  <c r="X2003" i="1" s="1"/>
  <c r="AG2005" i="1" a="1"/>
  <c r="AG2005" i="1" s="1"/>
  <c r="Y2005" i="1" s="1"/>
  <c r="AF2005" i="1" a="1"/>
  <c r="AF2005" i="1" s="1"/>
  <c r="X2005" i="1" s="1"/>
  <c r="AA2005" i="1" s="1"/>
  <c r="Z2005" i="1" s="1"/>
  <c r="AF2007" i="1" a="1"/>
  <c r="AF2007" i="1" s="1"/>
  <c r="X2007" i="1" s="1"/>
  <c r="AB2018" i="1"/>
  <c r="AG2033" i="1" a="1"/>
  <c r="AG2033" i="1" s="1"/>
  <c r="Y2033" i="1" s="1"/>
  <c r="AF2033" i="1" a="1"/>
  <c r="AF2033" i="1" s="1"/>
  <c r="X2033" i="1" s="1"/>
  <c r="AG2056" i="1" a="1"/>
  <c r="AG2056" i="1" s="1"/>
  <c r="Y2056" i="1" s="1"/>
  <c r="AF2056" i="1" a="1"/>
  <c r="AF2056" i="1" s="1"/>
  <c r="X2056" i="1" s="1"/>
  <c r="AA2056" i="1" s="1"/>
  <c r="Z2056" i="1" s="1"/>
  <c r="AG2082" i="1" a="1"/>
  <c r="AG2082" i="1" s="1"/>
  <c r="Y2082" i="1" s="1"/>
  <c r="AB2082" i="1" s="1"/>
  <c r="Z2082" i="1" s="1"/>
  <c r="AF2082" i="1" a="1"/>
  <c r="AF2082" i="1" s="1"/>
  <c r="X2082" i="1" s="1"/>
  <c r="AB1969" i="1"/>
  <c r="AB1986" i="1"/>
  <c r="T1994" i="1"/>
  <c r="AB1994" i="1" s="1"/>
  <c r="AF1998" i="1" a="1"/>
  <c r="AF1998" i="1" s="1"/>
  <c r="X1998" i="1" s="1"/>
  <c r="AA1998" i="1" s="1"/>
  <c r="Z1998" i="1" s="1"/>
  <c r="AB2010" i="1"/>
  <c r="T2015" i="1"/>
  <c r="AA2015" i="1" s="1"/>
  <c r="Z2015" i="1" s="1"/>
  <c r="AB2015" i="1"/>
  <c r="AA2018" i="1"/>
  <c r="Z2020" i="1"/>
  <c r="AF2024" i="1" a="1"/>
  <c r="AF2024" i="1" s="1"/>
  <c r="X2024" i="1" s="1"/>
  <c r="AF2026" i="1" a="1"/>
  <c r="AF2026" i="1" s="1"/>
  <c r="X2026" i="1" s="1"/>
  <c r="AF2028" i="1" a="1"/>
  <c r="AF2028" i="1" s="1"/>
  <c r="X2028" i="1" s="1"/>
  <c r="AF2030" i="1" a="1"/>
  <c r="AF2030" i="1" s="1"/>
  <c r="X2030" i="1" s="1"/>
  <c r="AF2044" i="1" a="1"/>
  <c r="AF2044" i="1" s="1"/>
  <c r="X2044" i="1" s="1"/>
  <c r="AG2044" i="1" a="1"/>
  <c r="AG2044" i="1" s="1"/>
  <c r="Y2044" i="1" s="1"/>
  <c r="AB1974" i="1"/>
  <c r="AA1977" i="1"/>
  <c r="AB1978" i="1"/>
  <c r="AA1981" i="1"/>
  <c r="AB1982" i="1"/>
  <c r="AA1985" i="1"/>
  <c r="Z1985" i="1" s="1"/>
  <c r="AF1986" i="1" a="1"/>
  <c r="AF1986" i="1" s="1"/>
  <c r="X1986" i="1" s="1"/>
  <c r="AA1986" i="1" s="1"/>
  <c r="Z1986" i="1" s="1"/>
  <c r="T1993" i="1"/>
  <c r="Z1995" i="1"/>
  <c r="AA1997" i="1"/>
  <c r="Z1997" i="1" s="1"/>
  <c r="AB2002" i="1"/>
  <c r="AB2006" i="1"/>
  <c r="Z2009" i="1"/>
  <c r="AA2013" i="1"/>
  <c r="Z2013" i="1" s="1"/>
  <c r="AB2017" i="1"/>
  <c r="AG2019" i="1" a="1"/>
  <c r="AG2019" i="1" s="1"/>
  <c r="Y2019" i="1" s="1"/>
  <c r="AB2019" i="1" s="1"/>
  <c r="AF2019" i="1" a="1"/>
  <c r="AF2019" i="1" s="1"/>
  <c r="X2019" i="1" s="1"/>
  <c r="AG2021" i="1" a="1"/>
  <c r="AG2021" i="1" s="1"/>
  <c r="Y2021" i="1" s="1"/>
  <c r="AF2021" i="1" a="1"/>
  <c r="AF2021" i="1" s="1"/>
  <c r="X2021" i="1" s="1"/>
  <c r="AA2021" i="1" s="1"/>
  <c r="Z2021" i="1" s="1"/>
  <c r="AG2023" i="1" a="1"/>
  <c r="AG2023" i="1" s="1"/>
  <c r="Y2023" i="1" s="1"/>
  <c r="AB2023" i="1" s="1"/>
  <c r="AF2023" i="1" a="1"/>
  <c r="AF2023" i="1" s="1"/>
  <c r="X2023" i="1" s="1"/>
  <c r="AA2023" i="1" s="1"/>
  <c r="AG2027" i="1" a="1"/>
  <c r="AG2027" i="1" s="1"/>
  <c r="Y2027" i="1" s="1"/>
  <c r="AF2027" i="1" a="1"/>
  <c r="AF2027" i="1" s="1"/>
  <c r="X2027" i="1" s="1"/>
  <c r="AA2027" i="1" s="1"/>
  <c r="AF2031" i="1" a="1"/>
  <c r="AF2031" i="1" s="1"/>
  <c r="X2031" i="1" s="1"/>
  <c r="AG2031" i="1" a="1"/>
  <c r="AG2031" i="1" s="1"/>
  <c r="Y2031" i="1" s="1"/>
  <c r="AB2031" i="1" s="1"/>
  <c r="Z2031" i="1" s="1"/>
  <c r="AG2054" i="1" a="1"/>
  <c r="AG2054" i="1" s="1"/>
  <c r="Y2054" i="1" s="1"/>
  <c r="AF2054" i="1" a="1"/>
  <c r="AF2054" i="1" s="1"/>
  <c r="X2054" i="1" s="1"/>
  <c r="AA2040" i="1"/>
  <c r="AB2042" i="1"/>
  <c r="AG2043" i="1" a="1"/>
  <c r="AG2043" i="1" s="1"/>
  <c r="Y2043" i="1" s="1"/>
  <c r="AB2043" i="1" s="1"/>
  <c r="AF2050" i="1" a="1"/>
  <c r="AF2050" i="1" s="1"/>
  <c r="X2050" i="1" s="1"/>
  <c r="AA2055" i="1"/>
  <c r="AG2057" i="1" a="1"/>
  <c r="AG2057" i="1" s="1"/>
  <c r="Y2057" i="1" s="1"/>
  <c r="AF2057" i="1" a="1"/>
  <c r="AF2057" i="1" s="1"/>
  <c r="X2057" i="1" s="1"/>
  <c r="T2058" i="1"/>
  <c r="Z2058" i="1" s="1"/>
  <c r="AG2061" i="1" a="1"/>
  <c r="AG2061" i="1" s="1"/>
  <c r="Y2061" i="1" s="1"/>
  <c r="AB2061" i="1" s="1"/>
  <c r="Z2061" i="1" s="1"/>
  <c r="AF2061" i="1" a="1"/>
  <c r="AF2061" i="1" s="1"/>
  <c r="X2061" i="1" s="1"/>
  <c r="AB2120" i="1"/>
  <c r="AA2004" i="1"/>
  <c r="Z2004" i="1" s="1"/>
  <c r="AA2008" i="1"/>
  <c r="Z2008" i="1" s="1"/>
  <c r="Z2017" i="1"/>
  <c r="T2035" i="1"/>
  <c r="AB2035" i="1" s="1"/>
  <c r="AG2069" i="1" a="1"/>
  <c r="AG2069" i="1" s="1"/>
  <c r="Y2069" i="1" s="1"/>
  <c r="AF2069" i="1" a="1"/>
  <c r="AF2069" i="1" s="1"/>
  <c r="X2069" i="1" s="1"/>
  <c r="AB2054" i="1"/>
  <c r="AB2058" i="1"/>
  <c r="AG2071" i="1" a="1"/>
  <c r="AG2071" i="1" s="1"/>
  <c r="Y2071" i="1" s="1"/>
  <c r="AF2071" i="1" a="1"/>
  <c r="AF2071" i="1" s="1"/>
  <c r="X2071" i="1" s="1"/>
  <c r="AF2115" i="1" a="1"/>
  <c r="AF2115" i="1" s="1"/>
  <c r="X2115" i="1" s="1"/>
  <c r="AG2115" i="1" a="1"/>
  <c r="AG2115" i="1" s="1"/>
  <c r="Y2115" i="1" s="1"/>
  <c r="AG2025" i="1" a="1"/>
  <c r="AG2025" i="1" s="1"/>
  <c r="Y2025" i="1" s="1"/>
  <c r="AF2025" i="1" a="1"/>
  <c r="AF2025" i="1" s="1"/>
  <c r="X2025" i="1" s="1"/>
  <c r="AG2029" i="1" a="1"/>
  <c r="AG2029" i="1" s="1"/>
  <c r="Y2029" i="1" s="1"/>
  <c r="AF2029" i="1" a="1"/>
  <c r="AF2029" i="1" s="1"/>
  <c r="X2029" i="1" s="1"/>
  <c r="T2033" i="1"/>
  <c r="AA2033" i="1" s="1"/>
  <c r="AB2036" i="1"/>
  <c r="AA2036" i="1"/>
  <c r="Z2036" i="1" s="1"/>
  <c r="T2045" i="1"/>
  <c r="AA2045" i="1" s="1"/>
  <c r="AA2047" i="1"/>
  <c r="Z2047" i="1" s="1"/>
  <c r="AF2058" i="1" a="1"/>
  <c r="AF2058" i="1" s="1"/>
  <c r="X2058" i="1" s="1"/>
  <c r="AA2058" i="1" s="1"/>
  <c r="AG2063" i="1" a="1"/>
  <c r="AG2063" i="1" s="1"/>
  <c r="Y2063" i="1" s="1"/>
  <c r="AF2063" i="1" a="1"/>
  <c r="AF2063" i="1" s="1"/>
  <c r="X2063" i="1" s="1"/>
  <c r="AA2082" i="1"/>
  <c r="T2022" i="1"/>
  <c r="AB2022" i="1" s="1"/>
  <c r="T2032" i="1"/>
  <c r="AG2041" i="1" a="1"/>
  <c r="AG2041" i="1" s="1"/>
  <c r="Y2041" i="1" s="1"/>
  <c r="AB2041" i="1" s="1"/>
  <c r="AF2041" i="1" a="1"/>
  <c r="AF2041" i="1" s="1"/>
  <c r="X2041" i="1" s="1"/>
  <c r="T2044" i="1"/>
  <c r="T2051" i="1"/>
  <c r="AB2051" i="1" s="1"/>
  <c r="AA2061" i="1"/>
  <c r="T2076" i="1"/>
  <c r="AB2088" i="1"/>
  <c r="AF2103" i="1" a="1"/>
  <c r="AF2103" i="1" s="1"/>
  <c r="X2103" i="1" s="1"/>
  <c r="AG2103" i="1" a="1"/>
  <c r="AG2103" i="1" s="1"/>
  <c r="Y2103" i="1" s="1"/>
  <c r="AG2146" i="1" a="1"/>
  <c r="AG2146" i="1" s="1"/>
  <c r="Y2146" i="1" s="1"/>
  <c r="AF2146" i="1" a="1"/>
  <c r="AF2146" i="1" s="1"/>
  <c r="X2146" i="1" s="1"/>
  <c r="AA2035" i="1"/>
  <c r="AG2049" i="1" a="1"/>
  <c r="AG2049" i="1" s="1"/>
  <c r="Y2049" i="1" s="1"/>
  <c r="AF2049" i="1" a="1"/>
  <c r="AF2049" i="1" s="1"/>
  <c r="X2049" i="1" s="1"/>
  <c r="AB2052" i="1"/>
  <c r="AA2052" i="1"/>
  <c r="Z2052" i="1" s="1"/>
  <c r="AG2055" i="1" a="1"/>
  <c r="AG2055" i="1" s="1"/>
  <c r="Y2055" i="1" s="1"/>
  <c r="AB2055" i="1" s="1"/>
  <c r="AF2055" i="1" a="1"/>
  <c r="AF2055" i="1" s="1"/>
  <c r="X2055" i="1" s="1"/>
  <c r="AA2057" i="1"/>
  <c r="AG2059" i="1" a="1"/>
  <c r="AG2059" i="1" s="1"/>
  <c r="Y2059" i="1" s="1"/>
  <c r="AF2059" i="1" a="1"/>
  <c r="AF2059" i="1" s="1"/>
  <c r="X2059" i="1" s="1"/>
  <c r="AB2064" i="1"/>
  <c r="T2069" i="1"/>
  <c r="AB2069" i="1" s="1"/>
  <c r="AG2073" i="1" a="1"/>
  <c r="AG2073" i="1" s="1"/>
  <c r="Y2073" i="1" s="1"/>
  <c r="AF2073" i="1" a="1"/>
  <c r="AF2073" i="1" s="1"/>
  <c r="X2073" i="1" s="1"/>
  <c r="AF2091" i="1" a="1"/>
  <c r="AF2091" i="1" s="1"/>
  <c r="X2091" i="1" s="1"/>
  <c r="AG2091" i="1" a="1"/>
  <c r="AG2091" i="1" s="1"/>
  <c r="Y2091" i="1" s="1"/>
  <c r="AB2091" i="1" s="1"/>
  <c r="Z2006" i="1"/>
  <c r="Z2014" i="1"/>
  <c r="AF2017" i="1" a="1"/>
  <c r="AF2017" i="1" s="1"/>
  <c r="X2017" i="1" s="1"/>
  <c r="AA2017" i="1" s="1"/>
  <c r="AA2019" i="1"/>
  <c r="Z2019" i="1" s="1"/>
  <c r="AA2020" i="1"/>
  <c r="T2024" i="1"/>
  <c r="T2025" i="1"/>
  <c r="AB2025" i="1" s="1"/>
  <c r="Z2025" i="1" s="1"/>
  <c r="T2026" i="1"/>
  <c r="T2027" i="1"/>
  <c r="T2028" i="1"/>
  <c r="AB2028" i="1" s="1"/>
  <c r="T2029" i="1"/>
  <c r="T2030" i="1"/>
  <c r="AB2030" i="1" s="1"/>
  <c r="T2042" i="1"/>
  <c r="AB2046" i="1"/>
  <c r="T2050" i="1"/>
  <c r="T2063" i="1"/>
  <c r="AB2063" i="1" s="1"/>
  <c r="AF2064" i="1" a="1"/>
  <c r="AF2064" i="1" s="1"/>
  <c r="X2064" i="1" s="1"/>
  <c r="AA2064" i="1" s="1"/>
  <c r="Z2064" i="1" s="1"/>
  <c r="AF2078" i="1" a="1"/>
  <c r="AF2078" i="1" s="1"/>
  <c r="X2078" i="1" s="1"/>
  <c r="T2141" i="1"/>
  <c r="AB2034" i="1"/>
  <c r="AB2044" i="1"/>
  <c r="AA2044" i="1"/>
  <c r="AA2051" i="1"/>
  <c r="AA2071" i="1"/>
  <c r="AG2087" i="1" a="1"/>
  <c r="AG2087" i="1" s="1"/>
  <c r="Y2087" i="1" s="1"/>
  <c r="AB2087" i="1" s="1"/>
  <c r="AF2087" i="1" a="1"/>
  <c r="AF2087" i="1" s="1"/>
  <c r="X2087" i="1" s="1"/>
  <c r="AA2117" i="1"/>
  <c r="Z2029" i="1"/>
  <c r="AG2037" i="1" a="1"/>
  <c r="AG2037" i="1" s="1"/>
  <c r="Y2037" i="1" s="1"/>
  <c r="AB2037" i="1" s="1"/>
  <c r="AF2037" i="1" a="1"/>
  <c r="AF2037" i="1" s="1"/>
  <c r="X2037" i="1" s="1"/>
  <c r="AA2037" i="1" s="1"/>
  <c r="Z2037" i="1" s="1"/>
  <c r="T2040" i="1"/>
  <c r="AB2040" i="1" s="1"/>
  <c r="T2055" i="1"/>
  <c r="AB2056" i="1"/>
  <c r="T2059" i="1"/>
  <c r="AB2060" i="1"/>
  <c r="AG2065" i="1" a="1"/>
  <c r="AG2065" i="1" s="1"/>
  <c r="Y2065" i="1" s="1"/>
  <c r="AB2065" i="1" s="1"/>
  <c r="AF2065" i="1" a="1"/>
  <c r="AF2065" i="1" s="1"/>
  <c r="X2065" i="1" s="1"/>
  <c r="AA2065" i="1" s="1"/>
  <c r="Z2065" i="1" s="1"/>
  <c r="Z2091" i="1"/>
  <c r="AA2105" i="1"/>
  <c r="AG2168" i="1" a="1"/>
  <c r="AG2168" i="1" s="1"/>
  <c r="Y2168" i="1" s="1"/>
  <c r="AF2168" i="1" a="1"/>
  <c r="AF2168" i="1" s="1"/>
  <c r="X2168" i="1" s="1"/>
  <c r="AA2025" i="1"/>
  <c r="AA2029" i="1"/>
  <c r="AA2031" i="1"/>
  <c r="T2039" i="1"/>
  <c r="AA2041" i="1"/>
  <c r="Z2041" i="1" s="1"/>
  <c r="AA2043" i="1"/>
  <c r="Z2043" i="1" s="1"/>
  <c r="AG2051" i="1" a="1"/>
  <c r="AG2051" i="1" s="1"/>
  <c r="Y2051" i="1" s="1"/>
  <c r="AG2053" i="1" a="1"/>
  <c r="AG2053" i="1" s="1"/>
  <c r="Y2053" i="1" s="1"/>
  <c r="AB2053" i="1" s="1"/>
  <c r="AF2053" i="1" a="1"/>
  <c r="AF2053" i="1" s="1"/>
  <c r="X2053" i="1" s="1"/>
  <c r="AA2053" i="1" s="1"/>
  <c r="Z2053" i="1" s="1"/>
  <c r="AF2066" i="1" a="1"/>
  <c r="AF2066" i="1" s="1"/>
  <c r="X2066" i="1" s="1"/>
  <c r="T2073" i="1"/>
  <c r="AB2073" i="1" s="1"/>
  <c r="Z2077" i="1"/>
  <c r="AG2095" i="1" a="1"/>
  <c r="AG2095" i="1" s="1"/>
  <c r="Y2095" i="1" s="1"/>
  <c r="AA2030" i="1"/>
  <c r="Z2030" i="1" s="1"/>
  <c r="T2038" i="1"/>
  <c r="AA2042" i="1"/>
  <c r="Z2042" i="1" s="1"/>
  <c r="T2048" i="1"/>
  <c r="AB2050" i="1"/>
  <c r="T2054" i="1"/>
  <c r="AG2067" i="1" a="1"/>
  <c r="AG2067" i="1" s="1"/>
  <c r="Y2067" i="1" s="1"/>
  <c r="AB2067" i="1" s="1"/>
  <c r="AF2067" i="1" a="1"/>
  <c r="AF2067" i="1" s="1"/>
  <c r="X2067" i="1" s="1"/>
  <c r="AA2067" i="1" s="1"/>
  <c r="Z2067" i="1" s="1"/>
  <c r="AB2068" i="1"/>
  <c r="AG2074" i="1" a="1"/>
  <c r="AG2074" i="1" s="1"/>
  <c r="Y2074" i="1" s="1"/>
  <c r="AB2074" i="1" s="1"/>
  <c r="AF2074" i="1" a="1"/>
  <c r="AF2074" i="1" s="1"/>
  <c r="X2074" i="1" s="1"/>
  <c r="AA2074" i="1" s="1"/>
  <c r="AA2087" i="1"/>
  <c r="Z2087" i="1" s="1"/>
  <c r="AB2089" i="1"/>
  <c r="Z2089" i="1" s="1"/>
  <c r="AG2100" i="1" a="1"/>
  <c r="AG2100" i="1" s="1"/>
  <c r="Y2100" i="1" s="1"/>
  <c r="AB2100" i="1" s="1"/>
  <c r="Z2100" i="1" s="1"/>
  <c r="AF2100" i="1" a="1"/>
  <c r="AF2100" i="1" s="1"/>
  <c r="X2100" i="1" s="1"/>
  <c r="T2107" i="1"/>
  <c r="AG2112" i="1" a="1"/>
  <c r="AG2112" i="1" s="1"/>
  <c r="Y2112" i="1" s="1"/>
  <c r="AB2112" i="1" s="1"/>
  <c r="Z2112" i="1" s="1"/>
  <c r="AF2112" i="1" a="1"/>
  <c r="AF2112" i="1" s="1"/>
  <c r="X2112" i="1" s="1"/>
  <c r="T2119" i="1"/>
  <c r="AB2119" i="1" s="1"/>
  <c r="AB2128" i="1"/>
  <c r="T2128" i="1"/>
  <c r="T2130" i="1"/>
  <c r="AA2130" i="1" s="1"/>
  <c r="AG2140" i="1" a="1"/>
  <c r="AG2140" i="1" s="1"/>
  <c r="Y2140" i="1" s="1"/>
  <c r="AF2140" i="1" a="1"/>
  <c r="AF2140" i="1" s="1"/>
  <c r="X2140" i="1" s="1"/>
  <c r="AG2142" i="1" a="1"/>
  <c r="AG2142" i="1" s="1"/>
  <c r="Y2142" i="1" s="1"/>
  <c r="AF2142" i="1" a="1"/>
  <c r="AF2142" i="1" s="1"/>
  <c r="X2142" i="1" s="1"/>
  <c r="AA2066" i="1"/>
  <c r="AA2070" i="1"/>
  <c r="Z2070" i="1" s="1"/>
  <c r="AB2086" i="1"/>
  <c r="T2086" i="1"/>
  <c r="AG2106" i="1" a="1"/>
  <c r="AG2106" i="1" s="1"/>
  <c r="Y2106" i="1" s="1"/>
  <c r="AB2106" i="1" s="1"/>
  <c r="AF2106" i="1" a="1"/>
  <c r="AF2106" i="1" s="1"/>
  <c r="X2106" i="1" s="1"/>
  <c r="AA2106" i="1" s="1"/>
  <c r="Z2113" i="1"/>
  <c r="AG2118" i="1" a="1"/>
  <c r="AG2118" i="1" s="1"/>
  <c r="Y2118" i="1" s="1"/>
  <c r="AF2118" i="1" a="1"/>
  <c r="AF2118" i="1" s="1"/>
  <c r="X2118" i="1" s="1"/>
  <c r="AA2118" i="1" s="1"/>
  <c r="Z2118" i="1" s="1"/>
  <c r="AG2129" i="1" a="1"/>
  <c r="AG2129" i="1" s="1"/>
  <c r="Y2129" i="1" s="1"/>
  <c r="AB2129" i="1" s="1"/>
  <c r="AF2129" i="1" a="1"/>
  <c r="AF2129" i="1" s="1"/>
  <c r="X2129" i="1" s="1"/>
  <c r="AB2132" i="1"/>
  <c r="AA2132" i="1"/>
  <c r="Z2132" i="1" s="1"/>
  <c r="AG2150" i="1" a="1"/>
  <c r="AG2150" i="1" s="1"/>
  <c r="Y2150" i="1" s="1"/>
  <c r="AF2150" i="1" a="1"/>
  <c r="AF2150" i="1" s="1"/>
  <c r="X2150" i="1" s="1"/>
  <c r="AA2150" i="1" s="1"/>
  <c r="Z2150" i="1" s="1"/>
  <c r="AA2151" i="1"/>
  <c r="T2151" i="1"/>
  <c r="AG2154" i="1" a="1"/>
  <c r="AG2154" i="1" s="1"/>
  <c r="Y2154" i="1" s="1"/>
  <c r="AF2154" i="1" a="1"/>
  <c r="AF2154" i="1" s="1"/>
  <c r="X2154" i="1" s="1"/>
  <c r="AA2154" i="1" s="1"/>
  <c r="AG2156" i="1" a="1"/>
  <c r="AG2156" i="1" s="1"/>
  <c r="Y2156" i="1" s="1"/>
  <c r="AF2156" i="1" a="1"/>
  <c r="AF2156" i="1" s="1"/>
  <c r="X2156" i="1" s="1"/>
  <c r="AG2162" i="1" a="1"/>
  <c r="AG2162" i="1" s="1"/>
  <c r="Y2162" i="1" s="1"/>
  <c r="AF2162" i="1" a="1"/>
  <c r="AF2162" i="1" s="1"/>
  <c r="X2162" i="1" s="1"/>
  <c r="AA2162" i="1" s="1"/>
  <c r="AG2164" i="1" a="1"/>
  <c r="AG2164" i="1" s="1"/>
  <c r="Y2164" i="1" s="1"/>
  <c r="AF2164" i="1" a="1"/>
  <c r="AF2164" i="1" s="1"/>
  <c r="X2164" i="1" s="1"/>
  <c r="AB2066" i="1"/>
  <c r="AB2070" i="1"/>
  <c r="AB2075" i="1"/>
  <c r="AG2076" i="1" a="1"/>
  <c r="AG2076" i="1" s="1"/>
  <c r="Y2076" i="1" s="1"/>
  <c r="AG2079" i="1" a="1"/>
  <c r="AG2079" i="1" s="1"/>
  <c r="Y2079" i="1" s="1"/>
  <c r="AB2079" i="1" s="1"/>
  <c r="Z2079" i="1" s="1"/>
  <c r="AF2079" i="1" a="1"/>
  <c r="AF2079" i="1" s="1"/>
  <c r="X2079" i="1" s="1"/>
  <c r="AA2091" i="1"/>
  <c r="T2094" i="1"/>
  <c r="AB2098" i="1"/>
  <c r="T2098" i="1"/>
  <c r="AA2098" i="1" s="1"/>
  <c r="Z2098" i="1" s="1"/>
  <c r="T2134" i="1"/>
  <c r="AB2134" i="1" s="1"/>
  <c r="AG2136" i="1" a="1"/>
  <c r="AG2136" i="1" s="1"/>
  <c r="Y2136" i="1" s="1"/>
  <c r="AB2136" i="1" s="1"/>
  <c r="AG2148" i="1" a="1"/>
  <c r="AG2148" i="1" s="1"/>
  <c r="Y2148" i="1" s="1"/>
  <c r="AF2148" i="1" a="1"/>
  <c r="AF2148" i="1" s="1"/>
  <c r="X2148" i="1" s="1"/>
  <c r="AA2179" i="1"/>
  <c r="AB2179" i="1"/>
  <c r="Z2071" i="1"/>
  <c r="AA2081" i="1"/>
  <c r="Z2081" i="1" s="1"/>
  <c r="AB2081" i="1"/>
  <c r="AG2102" i="1" a="1"/>
  <c r="AG2102" i="1" s="1"/>
  <c r="Y2102" i="1" s="1"/>
  <c r="AB2102" i="1" s="1"/>
  <c r="AF2102" i="1" a="1"/>
  <c r="AF2102" i="1" s="1"/>
  <c r="X2102" i="1" s="1"/>
  <c r="AA2102" i="1" s="1"/>
  <c r="AG2114" i="1" a="1"/>
  <c r="AG2114" i="1" s="1"/>
  <c r="Y2114" i="1" s="1"/>
  <c r="AB2114" i="1" s="1"/>
  <c r="AF2114" i="1" a="1"/>
  <c r="AF2114" i="1" s="1"/>
  <c r="X2114" i="1" s="1"/>
  <c r="AF2138" i="1" a="1"/>
  <c r="AF2138" i="1" s="1"/>
  <c r="X2138" i="1" s="1"/>
  <c r="AA2138" i="1" s="1"/>
  <c r="Z2138" i="1" s="1"/>
  <c r="AG2198" i="1" a="1"/>
  <c r="AG2198" i="1" s="1"/>
  <c r="Y2198" i="1" s="1"/>
  <c r="AF2198" i="1" a="1"/>
  <c r="AF2198" i="1" s="1"/>
  <c r="X2198" i="1" s="1"/>
  <c r="AA2198" i="1" s="1"/>
  <c r="T2097" i="1"/>
  <c r="T2109" i="1"/>
  <c r="T2121" i="1"/>
  <c r="AA2175" i="1"/>
  <c r="Z2175" i="1" s="1"/>
  <c r="AB2175" i="1"/>
  <c r="AF2186" i="1" a="1"/>
  <c r="AF2186" i="1" s="1"/>
  <c r="X2186" i="1" s="1"/>
  <c r="AG2186" i="1" a="1"/>
  <c r="AG2186" i="1" s="1"/>
  <c r="Y2186" i="1" s="1"/>
  <c r="AA2192" i="1"/>
  <c r="Z2192" i="1" s="1"/>
  <c r="AA2103" i="1"/>
  <c r="T2103" i="1"/>
  <c r="AB2103" i="1" s="1"/>
  <c r="Z2103" i="1" s="1"/>
  <c r="T2106" i="1"/>
  <c r="T2115" i="1"/>
  <c r="AB2118" i="1"/>
  <c r="T2118" i="1"/>
  <c r="AF2123" i="1" a="1"/>
  <c r="AF2123" i="1" s="1"/>
  <c r="X2123" i="1" s="1"/>
  <c r="AG2123" i="1" a="1"/>
  <c r="AG2123" i="1" s="1"/>
  <c r="Y2123" i="1" s="1"/>
  <c r="T2140" i="1"/>
  <c r="AB2140" i="1" s="1"/>
  <c r="T2142" i="1"/>
  <c r="Z2148" i="1"/>
  <c r="Z2158" i="1"/>
  <c r="AG2180" i="1" a="1"/>
  <c r="AG2180" i="1" s="1"/>
  <c r="Y2180" i="1" s="1"/>
  <c r="AF2180" i="1" a="1"/>
  <c r="AF2180" i="1" s="1"/>
  <c r="X2180" i="1" s="1"/>
  <c r="AA2208" i="1"/>
  <c r="T2208" i="1"/>
  <c r="AB2208" i="1" s="1"/>
  <c r="Z2208" i="1"/>
  <c r="AG2222" i="1" a="1"/>
  <c r="AG2222" i="1" s="1"/>
  <c r="Y2222" i="1" s="1"/>
  <c r="AF2222" i="1" a="1"/>
  <c r="AF2222" i="1" s="1"/>
  <c r="X2222" i="1" s="1"/>
  <c r="AG2075" i="1" a="1"/>
  <c r="AG2075" i="1" s="1"/>
  <c r="Y2075" i="1" s="1"/>
  <c r="AF2075" i="1" a="1"/>
  <c r="AF2075" i="1" s="1"/>
  <c r="X2075" i="1" s="1"/>
  <c r="AA2075" i="1" s="1"/>
  <c r="Z2075" i="1" s="1"/>
  <c r="T2078" i="1"/>
  <c r="AB2078" i="1" s="1"/>
  <c r="Z2078" i="1" s="1"/>
  <c r="AA2080" i="1"/>
  <c r="T2080" i="1"/>
  <c r="AG2083" i="1" a="1"/>
  <c r="AG2083" i="1" s="1"/>
  <c r="Y2083" i="1" s="1"/>
  <c r="AF2083" i="1" a="1"/>
  <c r="AF2083" i="1" s="1"/>
  <c r="X2083" i="1" s="1"/>
  <c r="AB2085" i="1"/>
  <c r="Z2085" i="1" s="1"/>
  <c r="AA2100" i="1"/>
  <c r="AA2112" i="1"/>
  <c r="AA2114" i="1"/>
  <c r="AA2129" i="1"/>
  <c r="Z2129" i="1" s="1"/>
  <c r="AG2141" i="1" a="1"/>
  <c r="AG2141" i="1" s="1"/>
  <c r="Y2141" i="1" s="1"/>
  <c r="AB2141" i="1" s="1"/>
  <c r="AF2141" i="1" a="1"/>
  <c r="AF2141" i="1" s="1"/>
  <c r="X2141" i="1" s="1"/>
  <c r="AA2141" i="1" s="1"/>
  <c r="Z2146" i="1"/>
  <c r="AG2157" i="1" a="1"/>
  <c r="AG2157" i="1" s="1"/>
  <c r="Y2157" i="1" s="1"/>
  <c r="AF2157" i="1" a="1"/>
  <c r="AF2157" i="1" s="1"/>
  <c r="X2157" i="1" s="1"/>
  <c r="AA2068" i="1"/>
  <c r="Z2068" i="1" s="1"/>
  <c r="AA2072" i="1"/>
  <c r="T2077" i="1"/>
  <c r="AA2077" i="1" s="1"/>
  <c r="AB2093" i="1"/>
  <c r="Z2093" i="1" s="1"/>
  <c r="AG2107" i="1" a="1"/>
  <c r="AG2107" i="1" s="1"/>
  <c r="Y2107" i="1" s="1"/>
  <c r="AF2107" i="1" a="1"/>
  <c r="AF2107" i="1" s="1"/>
  <c r="X2107" i="1" s="1"/>
  <c r="AA2107" i="1" s="1"/>
  <c r="AG2119" i="1" a="1"/>
  <c r="AG2119" i="1" s="1"/>
  <c r="Y2119" i="1" s="1"/>
  <c r="AF2119" i="1" a="1"/>
  <c r="AF2119" i="1" s="1"/>
  <c r="X2119" i="1" s="1"/>
  <c r="AF2124" i="1" a="1"/>
  <c r="AF2124" i="1" s="1"/>
  <c r="X2124" i="1" s="1"/>
  <c r="AG2128" i="1" a="1"/>
  <c r="AG2128" i="1" s="1"/>
  <c r="Y2128" i="1" s="1"/>
  <c r="AF2128" i="1" a="1"/>
  <c r="AF2128" i="1" s="1"/>
  <c r="X2128" i="1" s="1"/>
  <c r="AG2130" i="1" a="1"/>
  <c r="AG2130" i="1" s="1"/>
  <c r="Y2130" i="1" s="1"/>
  <c r="AF2130" i="1" a="1"/>
  <c r="AF2130" i="1" s="1"/>
  <c r="X2130" i="1" s="1"/>
  <c r="Z2135" i="1"/>
  <c r="AB2169" i="1"/>
  <c r="AG2176" i="1" a="1"/>
  <c r="AG2176" i="1" s="1"/>
  <c r="Y2176" i="1" s="1"/>
  <c r="AF2176" i="1" a="1"/>
  <c r="AF2176" i="1" s="1"/>
  <c r="X2176" i="1" s="1"/>
  <c r="T2219" i="1"/>
  <c r="AA2078" i="1"/>
  <c r="AA2079" i="1"/>
  <c r="AG2080" i="1" a="1"/>
  <c r="AG2080" i="1" s="1"/>
  <c r="Y2080" i="1" s="1"/>
  <c r="AB2080" i="1" s="1"/>
  <c r="AF2096" i="1" a="1"/>
  <c r="AF2096" i="1" s="1"/>
  <c r="X2096" i="1" s="1"/>
  <c r="AA2096" i="1" s="1"/>
  <c r="Z2096" i="1" s="1"/>
  <c r="AF2125" i="1" a="1"/>
  <c r="AF2125" i="1" s="1"/>
  <c r="X2125" i="1" s="1"/>
  <c r="AA2125" i="1" s="1"/>
  <c r="Z2125" i="1" s="1"/>
  <c r="AG2125" i="1" a="1"/>
  <c r="AG2125" i="1" s="1"/>
  <c r="Y2125" i="1" s="1"/>
  <c r="AB2125" i="1" s="1"/>
  <c r="AB2133" i="1"/>
  <c r="T2133" i="1"/>
  <c r="AA2146" i="1"/>
  <c r="AB2077" i="1"/>
  <c r="T2083" i="1"/>
  <c r="AB2084" i="1"/>
  <c r="T2084" i="1"/>
  <c r="AB2126" i="1"/>
  <c r="AA2126" i="1"/>
  <c r="Z2126" i="1" s="1"/>
  <c r="AG2134" i="1" a="1"/>
  <c r="AG2134" i="1" s="1"/>
  <c r="Y2134" i="1" s="1"/>
  <c r="AF2134" i="1" a="1"/>
  <c r="AF2134" i="1" s="1"/>
  <c r="X2134" i="1" s="1"/>
  <c r="AF2147" i="1" a="1"/>
  <c r="AF2147" i="1" s="1"/>
  <c r="X2147" i="1" s="1"/>
  <c r="AG2147" i="1" a="1"/>
  <c r="AG2147" i="1" s="1"/>
  <c r="Y2147" i="1" s="1"/>
  <c r="AB2147" i="1" s="1"/>
  <c r="T2157" i="1"/>
  <c r="AB2165" i="1"/>
  <c r="AG2172" i="1" a="1"/>
  <c r="AG2172" i="1" s="1"/>
  <c r="Y2172" i="1" s="1"/>
  <c r="AF2172" i="1" a="1"/>
  <c r="AF2172" i="1" s="1"/>
  <c r="X2172" i="1" s="1"/>
  <c r="AG2202" i="1" a="1"/>
  <c r="AG2202" i="1" s="1"/>
  <c r="Y2202" i="1" s="1"/>
  <c r="AF2202" i="1" a="1"/>
  <c r="AF2202" i="1" s="1"/>
  <c r="X2202" i="1" s="1"/>
  <c r="AA2202" i="1" s="1"/>
  <c r="T2088" i="1"/>
  <c r="AA2088" i="1" s="1"/>
  <c r="Z2088" i="1" s="1"/>
  <c r="AG2090" i="1" a="1"/>
  <c r="AG2090" i="1" s="1"/>
  <c r="Y2090" i="1" s="1"/>
  <c r="AB2090" i="1" s="1"/>
  <c r="AF2090" i="1" a="1"/>
  <c r="AF2090" i="1" s="1"/>
  <c r="X2090" i="1" s="1"/>
  <c r="AA2090" i="1" s="1"/>
  <c r="Z2090" i="1" s="1"/>
  <c r="AG2094" i="1" a="1"/>
  <c r="AG2094" i="1" s="1"/>
  <c r="Y2094" i="1" s="1"/>
  <c r="AF2094" i="1" a="1"/>
  <c r="AF2094" i="1" s="1"/>
  <c r="X2094" i="1" s="1"/>
  <c r="T2095" i="1"/>
  <c r="AB2095" i="1" s="1"/>
  <c r="Z2095" i="1" s="1"/>
  <c r="AA2095" i="1"/>
  <c r="AB2099" i="1"/>
  <c r="AA2099" i="1"/>
  <c r="Z2099" i="1" s="1"/>
  <c r="AB2105" i="1"/>
  <c r="Z2105" i="1" s="1"/>
  <c r="AG2108" i="1" a="1"/>
  <c r="AG2108" i="1" s="1"/>
  <c r="Y2108" i="1" s="1"/>
  <c r="AB2108" i="1" s="1"/>
  <c r="Z2108" i="1" s="1"/>
  <c r="AB2111" i="1"/>
  <c r="AA2111" i="1"/>
  <c r="Z2111" i="1"/>
  <c r="AG2120" i="1" a="1"/>
  <c r="AG2120" i="1" s="1"/>
  <c r="Y2120" i="1" s="1"/>
  <c r="AB2123" i="1"/>
  <c r="AA2123" i="1"/>
  <c r="Z2123" i="1" s="1"/>
  <c r="AF2126" i="1" a="1"/>
  <c r="AF2126" i="1" s="1"/>
  <c r="X2126" i="1" s="1"/>
  <c r="AB2163" i="1"/>
  <c r="AG2166" i="1" a="1"/>
  <c r="AG2166" i="1" s="1"/>
  <c r="Y2166" i="1" s="1"/>
  <c r="AB2166" i="1" s="1"/>
  <c r="AF2166" i="1" a="1"/>
  <c r="AF2166" i="1" s="1"/>
  <c r="X2166" i="1" s="1"/>
  <c r="AA2166" i="1" s="1"/>
  <c r="AB2184" i="1"/>
  <c r="T2110" i="1"/>
  <c r="AA2110" i="1" s="1"/>
  <c r="Z2110" i="1" s="1"/>
  <c r="T2122" i="1"/>
  <c r="AA2122" i="1" s="1"/>
  <c r="AA2131" i="1"/>
  <c r="Z2131" i="1" s="1"/>
  <c r="AA2143" i="1"/>
  <c r="Z2143" i="1" s="1"/>
  <c r="AB2158" i="1"/>
  <c r="AA2163" i="1"/>
  <c r="AG2165" i="1" a="1"/>
  <c r="AG2165" i="1" s="1"/>
  <c r="Y2165" i="1" s="1"/>
  <c r="AF2165" i="1" a="1"/>
  <c r="AF2165" i="1" s="1"/>
  <c r="X2165" i="1" s="1"/>
  <c r="AA2167" i="1"/>
  <c r="Z2167" i="1" s="1"/>
  <c r="AG2169" i="1" a="1"/>
  <c r="AG2169" i="1" s="1"/>
  <c r="Y2169" i="1" s="1"/>
  <c r="AF2169" i="1" a="1"/>
  <c r="AF2169" i="1" s="1"/>
  <c r="X2169" i="1" s="1"/>
  <c r="AA2169" i="1" s="1"/>
  <c r="AA2171" i="1"/>
  <c r="AG2173" i="1" a="1"/>
  <c r="AG2173" i="1" s="1"/>
  <c r="Y2173" i="1" s="1"/>
  <c r="AF2173" i="1" a="1"/>
  <c r="AF2173" i="1" s="1"/>
  <c r="X2173" i="1" s="1"/>
  <c r="AG2177" i="1" a="1"/>
  <c r="AG2177" i="1" s="1"/>
  <c r="Y2177" i="1" s="1"/>
  <c r="AF2177" i="1" a="1"/>
  <c r="AF2177" i="1" s="1"/>
  <c r="X2177" i="1" s="1"/>
  <c r="Z2179" i="1"/>
  <c r="AA2182" i="1"/>
  <c r="Z2182" i="1" s="1"/>
  <c r="AF2192" i="1" a="1"/>
  <c r="AF2192" i="1" s="1"/>
  <c r="X2192" i="1" s="1"/>
  <c r="AG2192" i="1" a="1"/>
  <c r="AG2192" i="1" s="1"/>
  <c r="Y2192" i="1" s="1"/>
  <c r="T2204" i="1"/>
  <c r="T2232" i="1"/>
  <c r="AB2251" i="1"/>
  <c r="AG2085" i="1" a="1"/>
  <c r="AG2085" i="1" s="1"/>
  <c r="Y2085" i="1" s="1"/>
  <c r="AG2093" i="1" a="1"/>
  <c r="AG2093" i="1" s="1"/>
  <c r="Y2093" i="1" s="1"/>
  <c r="AB2097" i="1"/>
  <c r="AG2105" i="1" a="1"/>
  <c r="AG2105" i="1" s="1"/>
  <c r="Y2105" i="1" s="1"/>
  <c r="AA2108" i="1"/>
  <c r="AB2109" i="1"/>
  <c r="AG2117" i="1" a="1"/>
  <c r="AG2117" i="1" s="1"/>
  <c r="Y2117" i="1" s="1"/>
  <c r="AB2117" i="1" s="1"/>
  <c r="Z2117" i="1" s="1"/>
  <c r="AA2120" i="1"/>
  <c r="Z2120" i="1" s="1"/>
  <c r="AB2121" i="1"/>
  <c r="AG2133" i="1" a="1"/>
  <c r="AG2133" i="1" s="1"/>
  <c r="Y2133" i="1" s="1"/>
  <c r="AF2133" i="1" a="1"/>
  <c r="AF2133" i="1" s="1"/>
  <c r="X2133" i="1" s="1"/>
  <c r="T2136" i="1"/>
  <c r="Z2136" i="1" s="1"/>
  <c r="AG2145" i="1" a="1"/>
  <c r="AG2145" i="1" s="1"/>
  <c r="Y2145" i="1" s="1"/>
  <c r="AF2145" i="1" a="1"/>
  <c r="AF2145" i="1" s="1"/>
  <c r="X2145" i="1" s="1"/>
  <c r="T2148" i="1"/>
  <c r="AA2148" i="1" s="1"/>
  <c r="T2155" i="1"/>
  <c r="AB2155" i="1" s="1"/>
  <c r="AB2162" i="1"/>
  <c r="AA2187" i="1"/>
  <c r="Z2187" i="1" s="1"/>
  <c r="AB2200" i="1"/>
  <c r="T2200" i="1"/>
  <c r="AA2240" i="1"/>
  <c r="T2240" i="1"/>
  <c r="AB2240" i="1" s="1"/>
  <c r="Z2240" i="1" s="1"/>
  <c r="AA2127" i="1"/>
  <c r="Z2127" i="1" s="1"/>
  <c r="AA2139" i="1"/>
  <c r="Z2139" i="1" s="1"/>
  <c r="AG2151" i="1" a="1"/>
  <c r="AG2151" i="1" s="1"/>
  <c r="Y2151" i="1" s="1"/>
  <c r="AG2153" i="1" a="1"/>
  <c r="AG2153" i="1" s="1"/>
  <c r="Y2153" i="1" s="1"/>
  <c r="AB2153" i="1" s="1"/>
  <c r="AF2153" i="1" a="1"/>
  <c r="AF2153" i="1" s="1"/>
  <c r="X2153" i="1" s="1"/>
  <c r="AA2153" i="1" s="1"/>
  <c r="Z2153" i="1" s="1"/>
  <c r="AF2170" i="1" a="1"/>
  <c r="AF2170" i="1" s="1"/>
  <c r="X2170" i="1" s="1"/>
  <c r="AA2170" i="1" s="1"/>
  <c r="AF2174" i="1" a="1"/>
  <c r="AF2174" i="1" s="1"/>
  <c r="X2174" i="1" s="1"/>
  <c r="AA2174" i="1" s="1"/>
  <c r="AF2178" i="1" a="1"/>
  <c r="AF2178" i="1" s="1"/>
  <c r="X2178" i="1" s="1"/>
  <c r="AA2178" i="1" s="1"/>
  <c r="AA2196" i="1"/>
  <c r="T2196" i="1"/>
  <c r="AB2222" i="1"/>
  <c r="T2222" i="1"/>
  <c r="AA2222" i="1" s="1"/>
  <c r="Z2222" i="1" s="1"/>
  <c r="AF2233" i="1" a="1"/>
  <c r="AF2233" i="1" s="1"/>
  <c r="X2233" i="1" s="1"/>
  <c r="AA2233" i="1" s="1"/>
  <c r="AG2233" i="1" a="1"/>
  <c r="AG2233" i="1" s="1"/>
  <c r="Y2233" i="1" s="1"/>
  <c r="AB2110" i="1"/>
  <c r="AB2122" i="1"/>
  <c r="AB2124" i="1"/>
  <c r="AA2124" i="1"/>
  <c r="Z2124" i="1" s="1"/>
  <c r="AB2150" i="1"/>
  <c r="T2165" i="1"/>
  <c r="T2169" i="1"/>
  <c r="Z2169" i="1" s="1"/>
  <c r="T2173" i="1"/>
  <c r="AA2173" i="1" s="1"/>
  <c r="T2177" i="1"/>
  <c r="AG2183" i="1" a="1"/>
  <c r="AG2183" i="1" s="1"/>
  <c r="Y2183" i="1" s="1"/>
  <c r="AF2183" i="1" a="1"/>
  <c r="AF2183" i="1" s="1"/>
  <c r="X2183" i="1" s="1"/>
  <c r="T2192" i="1"/>
  <c r="AB2192" i="1" s="1"/>
  <c r="AF2216" i="1" a="1"/>
  <c r="AF2216" i="1" s="1"/>
  <c r="X2216" i="1" s="1"/>
  <c r="AG2216" i="1" a="1"/>
  <c r="AG2216" i="1" s="1"/>
  <c r="Y2216" i="1" s="1"/>
  <c r="AA2136" i="1"/>
  <c r="AB2138" i="1"/>
  <c r="T2145" i="1"/>
  <c r="AB2148" i="1"/>
  <c r="AA2155" i="1"/>
  <c r="AF2185" i="1" a="1"/>
  <c r="AF2185" i="1" s="1"/>
  <c r="X2185" i="1" s="1"/>
  <c r="AG2185" i="1" a="1"/>
  <c r="AG2185" i="1" s="1"/>
  <c r="Y2185" i="1" s="1"/>
  <c r="AB2185" i="1" s="1"/>
  <c r="AG2225" i="1" a="1"/>
  <c r="AG2225" i="1" s="1"/>
  <c r="Y2225" i="1" s="1"/>
  <c r="AF2225" i="1" a="1"/>
  <c r="AF2225" i="1" s="1"/>
  <c r="X2225" i="1" s="1"/>
  <c r="AF2228" i="1" a="1"/>
  <c r="AF2228" i="1" s="1"/>
  <c r="X2228" i="1" s="1"/>
  <c r="AG2231" i="1" a="1"/>
  <c r="AG2231" i="1" s="1"/>
  <c r="Y2231" i="1" s="1"/>
  <c r="AB2231" i="1" s="1"/>
  <c r="AF2231" i="1" a="1"/>
  <c r="AF2231" i="1" s="1"/>
  <c r="X2231" i="1" s="1"/>
  <c r="AA2231" i="1" s="1"/>
  <c r="T2271" i="1"/>
  <c r="AG2210" i="1" a="1"/>
  <c r="AG2210" i="1" s="1"/>
  <c r="Y2210" i="1" s="1"/>
  <c r="AB2210" i="1" s="1"/>
  <c r="AF2210" i="1" a="1"/>
  <c r="AF2210" i="1" s="1"/>
  <c r="X2210" i="1" s="1"/>
  <c r="AB2220" i="1"/>
  <c r="AA2220" i="1"/>
  <c r="AF2229" i="1" a="1"/>
  <c r="AF2229" i="1" s="1"/>
  <c r="X2229" i="1" s="1"/>
  <c r="AG2229" i="1" a="1"/>
  <c r="AG2229" i="1" s="1"/>
  <c r="Y2229" i="1" s="1"/>
  <c r="AG2269" i="1" a="1"/>
  <c r="AG2269" i="1" s="1"/>
  <c r="Y2269" i="1" s="1"/>
  <c r="AF2269" i="1" a="1"/>
  <c r="AF2269" i="1" s="1"/>
  <c r="X2269" i="1" s="1"/>
  <c r="AA2135" i="1"/>
  <c r="AA2147" i="1"/>
  <c r="Z2147" i="1" s="1"/>
  <c r="AB2191" i="1"/>
  <c r="AB2199" i="1"/>
  <c r="AG2206" i="1" a="1"/>
  <c r="AG2206" i="1" s="1"/>
  <c r="Y2206" i="1" s="1"/>
  <c r="AF2206" i="1" a="1"/>
  <c r="AF2206" i="1" s="1"/>
  <c r="X2206" i="1" s="1"/>
  <c r="AA2206" i="1" s="1"/>
  <c r="Z2206" i="1" s="1"/>
  <c r="T2259" i="1"/>
  <c r="AA2259" i="1" s="1"/>
  <c r="AB2259" i="1"/>
  <c r="AB2154" i="1"/>
  <c r="AA2159" i="1"/>
  <c r="AA2183" i="1"/>
  <c r="T2183" i="1"/>
  <c r="AB2144" i="1"/>
  <c r="AA2144" i="1"/>
  <c r="Z2144" i="1" s="1"/>
  <c r="AB2146" i="1"/>
  <c r="AG2159" i="1" a="1"/>
  <c r="AG2159" i="1" s="1"/>
  <c r="Y2159" i="1" s="1"/>
  <c r="AB2159" i="1" s="1"/>
  <c r="AG2161" i="1" a="1"/>
  <c r="AG2161" i="1" s="1"/>
  <c r="Y2161" i="1" s="1"/>
  <c r="AB2161" i="1" s="1"/>
  <c r="AF2161" i="1" a="1"/>
  <c r="AF2161" i="1" s="1"/>
  <c r="X2161" i="1" s="1"/>
  <c r="AA2161" i="1" s="1"/>
  <c r="AG2190" i="1" a="1"/>
  <c r="AG2190" i="1" s="1"/>
  <c r="Y2190" i="1" s="1"/>
  <c r="AB2190" i="1" s="1"/>
  <c r="AF2190" i="1" a="1"/>
  <c r="AF2190" i="1" s="1"/>
  <c r="X2190" i="1" s="1"/>
  <c r="AA2190" i="1" s="1"/>
  <c r="T2210" i="1"/>
  <c r="AA2210" i="1" s="1"/>
  <c r="AG2219" i="1" a="1"/>
  <c r="AG2219" i="1" s="1"/>
  <c r="Y2219" i="1" s="1"/>
  <c r="AB2219" i="1" s="1"/>
  <c r="AF2219" i="1" a="1"/>
  <c r="AF2219" i="1" s="1"/>
  <c r="X2219" i="1" s="1"/>
  <c r="AA2219" i="1" s="1"/>
  <c r="Z2219" i="1" s="1"/>
  <c r="AG2232" i="1" a="1"/>
  <c r="AG2232" i="1" s="1"/>
  <c r="Y2232" i="1" s="1"/>
  <c r="AF2232" i="1" a="1"/>
  <c r="AF2232" i="1" s="1"/>
  <c r="X2232" i="1" s="1"/>
  <c r="AG2246" i="1" a="1"/>
  <c r="AG2246" i="1" s="1"/>
  <c r="Y2246" i="1" s="1"/>
  <c r="AF2246" i="1" a="1"/>
  <c r="AF2246" i="1" s="1"/>
  <c r="X2246" i="1" s="1"/>
  <c r="AA2246" i="1" s="1"/>
  <c r="Z2246" i="1" s="1"/>
  <c r="AG2089" i="1" a="1"/>
  <c r="AG2089" i="1" s="1"/>
  <c r="Y2089" i="1" s="1"/>
  <c r="AA2092" i="1"/>
  <c r="Z2092" i="1" s="1"/>
  <c r="AG2101" i="1" a="1"/>
  <c r="AG2101" i="1" s="1"/>
  <c r="Y2101" i="1" s="1"/>
  <c r="AB2101" i="1" s="1"/>
  <c r="Z2101" i="1" s="1"/>
  <c r="AA2104" i="1"/>
  <c r="Z2104" i="1" s="1"/>
  <c r="AG2113" i="1" a="1"/>
  <c r="AG2113" i="1" s="1"/>
  <c r="Y2113" i="1" s="1"/>
  <c r="AB2113" i="1" s="1"/>
  <c r="AA2116" i="1"/>
  <c r="Z2116" i="1" s="1"/>
  <c r="AB2131" i="1"/>
  <c r="AG2137" i="1" a="1"/>
  <c r="AG2137" i="1" s="1"/>
  <c r="Y2137" i="1" s="1"/>
  <c r="AB2137" i="1" s="1"/>
  <c r="AF2137" i="1" a="1"/>
  <c r="AF2137" i="1" s="1"/>
  <c r="X2137" i="1" s="1"/>
  <c r="AA2137" i="1" s="1"/>
  <c r="AB2143" i="1"/>
  <c r="AG2149" i="1" a="1"/>
  <c r="AG2149" i="1" s="1"/>
  <c r="Y2149" i="1" s="1"/>
  <c r="AB2149" i="1" s="1"/>
  <c r="AF2149" i="1" a="1"/>
  <c r="AF2149" i="1" s="1"/>
  <c r="X2149" i="1" s="1"/>
  <c r="AA2149" i="1" s="1"/>
  <c r="Z2149" i="1" s="1"/>
  <c r="AG2184" i="1" a="1"/>
  <c r="AG2184" i="1" s="1"/>
  <c r="Y2184" i="1" s="1"/>
  <c r="AF2184" i="1" a="1"/>
  <c r="AF2184" i="1" s="1"/>
  <c r="X2184" i="1" s="1"/>
  <c r="AA2184" i="1" s="1"/>
  <c r="Z2184" i="1" s="1"/>
  <c r="AG2194" i="1" a="1"/>
  <c r="AG2194" i="1" s="1"/>
  <c r="Y2194" i="1" s="1"/>
  <c r="AF2194" i="1" a="1"/>
  <c r="AF2194" i="1" s="1"/>
  <c r="X2194" i="1" s="1"/>
  <c r="AG2213" i="1" a="1"/>
  <c r="AG2213" i="1" s="1"/>
  <c r="Y2213" i="1" s="1"/>
  <c r="AF2213" i="1" a="1"/>
  <c r="AF2213" i="1" s="1"/>
  <c r="X2213" i="1" s="1"/>
  <c r="T2229" i="1"/>
  <c r="AA2229" i="1"/>
  <c r="AA2185" i="1"/>
  <c r="Z2185" i="1" s="1"/>
  <c r="AB2211" i="1"/>
  <c r="AA2223" i="1"/>
  <c r="Z2223" i="1" s="1"/>
  <c r="AB2226" i="1"/>
  <c r="AG2278" i="1" a="1"/>
  <c r="AG2278" i="1" s="1"/>
  <c r="Y2278" i="1" s="1"/>
  <c r="AF2278" i="1" a="1"/>
  <c r="AF2278" i="1" s="1"/>
  <c r="X2278" i="1" s="1"/>
  <c r="T2286" i="1"/>
  <c r="AB2170" i="1"/>
  <c r="AB2174" i="1"/>
  <c r="AB2178" i="1"/>
  <c r="AA2188" i="1"/>
  <c r="Z2188" i="1" s="1"/>
  <c r="AG2196" i="1" a="1"/>
  <c r="AG2196" i="1" s="1"/>
  <c r="Y2196" i="1" s="1"/>
  <c r="AB2196" i="1" s="1"/>
  <c r="AG2200" i="1" a="1"/>
  <c r="AG2200" i="1" s="1"/>
  <c r="Y2200" i="1" s="1"/>
  <c r="AG2204" i="1" a="1"/>
  <c r="AG2204" i="1" s="1"/>
  <c r="Y2204" i="1" s="1"/>
  <c r="AB2204" i="1" s="1"/>
  <c r="Z2207" i="1"/>
  <c r="AG2208" i="1" a="1"/>
  <c r="AG2208" i="1" s="1"/>
  <c r="Y2208" i="1" s="1"/>
  <c r="T2213" i="1"/>
  <c r="T2216" i="1"/>
  <c r="Z2216" i="1" s="1"/>
  <c r="AG2220" i="1" a="1"/>
  <c r="AG2220" i="1" s="1"/>
  <c r="Y2220" i="1" s="1"/>
  <c r="AG2230" i="1" a="1"/>
  <c r="AG2230" i="1" s="1"/>
  <c r="Y2230" i="1" s="1"/>
  <c r="AF2230" i="1" a="1"/>
  <c r="AF2230" i="1" s="1"/>
  <c r="X2230" i="1" s="1"/>
  <c r="AA2242" i="1"/>
  <c r="Z2242" i="1" s="1"/>
  <c r="AA2261" i="1"/>
  <c r="T2152" i="1"/>
  <c r="T2156" i="1"/>
  <c r="T2160" i="1"/>
  <c r="Z2163" i="1"/>
  <c r="T2164" i="1"/>
  <c r="T2168" i="1"/>
  <c r="AA2168" i="1" s="1"/>
  <c r="Z2171" i="1"/>
  <c r="T2172" i="1"/>
  <c r="T2176" i="1"/>
  <c r="T2180" i="1"/>
  <c r="AG2193" i="1" a="1"/>
  <c r="AG2193" i="1" s="1"/>
  <c r="Y2193" i="1" s="1"/>
  <c r="AF2193" i="1" a="1"/>
  <c r="AF2193" i="1" s="1"/>
  <c r="X2193" i="1" s="1"/>
  <c r="AA2193" i="1" s="1"/>
  <c r="Z2193" i="1" s="1"/>
  <c r="T2194" i="1"/>
  <c r="AA2194" i="1" s="1"/>
  <c r="AG2197" i="1" a="1"/>
  <c r="AG2197" i="1" s="1"/>
  <c r="Y2197" i="1" s="1"/>
  <c r="AF2197" i="1" a="1"/>
  <c r="AF2197" i="1" s="1"/>
  <c r="X2197" i="1" s="1"/>
  <c r="AG2201" i="1" a="1"/>
  <c r="AG2201" i="1" s="1"/>
  <c r="Y2201" i="1" s="1"/>
  <c r="AF2201" i="1" a="1"/>
  <c r="AF2201" i="1" s="1"/>
  <c r="X2201" i="1" s="1"/>
  <c r="AG2205" i="1" a="1"/>
  <c r="AG2205" i="1" s="1"/>
  <c r="Y2205" i="1" s="1"/>
  <c r="AF2205" i="1" a="1"/>
  <c r="AF2205" i="1" s="1"/>
  <c r="X2205" i="1" s="1"/>
  <c r="AG2209" i="1" a="1"/>
  <c r="AG2209" i="1" s="1"/>
  <c r="Y2209" i="1" s="1"/>
  <c r="AF2209" i="1" a="1"/>
  <c r="AF2209" i="1" s="1"/>
  <c r="X2209" i="1" s="1"/>
  <c r="AG2215" i="1" a="1"/>
  <c r="AG2215" i="1" s="1"/>
  <c r="Y2215" i="1" s="1"/>
  <c r="AB2215" i="1" s="1"/>
  <c r="AF2215" i="1" a="1"/>
  <c r="AF2215" i="1" s="1"/>
  <c r="X2215" i="1" s="1"/>
  <c r="AG2218" i="1" a="1"/>
  <c r="AG2218" i="1" s="1"/>
  <c r="Y2218" i="1" s="1"/>
  <c r="AF2218" i="1" a="1"/>
  <c r="AF2218" i="1" s="1"/>
  <c r="X2218" i="1" s="1"/>
  <c r="AA2218" i="1" s="1"/>
  <c r="AG2221" i="1" a="1"/>
  <c r="AG2221" i="1" s="1"/>
  <c r="Y2221" i="1" s="1"/>
  <c r="AF2221" i="1" a="1"/>
  <c r="AF2221" i="1" s="1"/>
  <c r="X2221" i="1" s="1"/>
  <c r="AB2244" i="1"/>
  <c r="T2244" i="1"/>
  <c r="AA2244" i="1" s="1"/>
  <c r="AG2249" i="1" a="1"/>
  <c r="AG2249" i="1" s="1"/>
  <c r="Y2249" i="1" s="1"/>
  <c r="AG2252" i="1" a="1"/>
  <c r="AG2252" i="1" s="1"/>
  <c r="Y2252" i="1" s="1"/>
  <c r="AF2252" i="1" a="1"/>
  <c r="AF2252" i="1" s="1"/>
  <c r="X2252" i="1" s="1"/>
  <c r="AA2252" i="1" s="1"/>
  <c r="AA2289" i="1"/>
  <c r="AA2195" i="1"/>
  <c r="AB2216" i="1"/>
  <c r="AA2216" i="1"/>
  <c r="AB2225" i="1"/>
  <c r="AA2225" i="1"/>
  <c r="Z2225" i="1" s="1"/>
  <c r="AB2236" i="1"/>
  <c r="T2236" i="1"/>
  <c r="T2239" i="1"/>
  <c r="AG2250" i="1" a="1"/>
  <c r="AG2250" i="1" s="1"/>
  <c r="Y2250" i="1" s="1"/>
  <c r="AF2250" i="1" a="1"/>
  <c r="AF2250" i="1" s="1"/>
  <c r="X2250" i="1" s="1"/>
  <c r="T2275" i="1"/>
  <c r="AB2297" i="1"/>
  <c r="Z2297" i="1" s="1"/>
  <c r="AA2297" i="1"/>
  <c r="T2297" i="1"/>
  <c r="AB2194" i="1"/>
  <c r="Z2194" i="1" s="1"/>
  <c r="AB2198" i="1"/>
  <c r="Z2198" i="1" s="1"/>
  <c r="T2201" i="1"/>
  <c r="Z2201" i="1" s="1"/>
  <c r="AB2202" i="1"/>
  <c r="Z2202" i="1" s="1"/>
  <c r="T2205" i="1"/>
  <c r="AB2205" i="1" s="1"/>
  <c r="AB2206" i="1"/>
  <c r="T2209" i="1"/>
  <c r="T2212" i="1"/>
  <c r="Z2212" i="1" s="1"/>
  <c r="T2221" i="1"/>
  <c r="AB2233" i="1"/>
  <c r="T2267" i="1"/>
  <c r="AA2152" i="1"/>
  <c r="AA2160" i="1"/>
  <c r="AA2164" i="1"/>
  <c r="AG2191" i="1" a="1"/>
  <c r="AG2191" i="1" s="1"/>
  <c r="Y2191" i="1" s="1"/>
  <c r="AF2191" i="1" a="1"/>
  <c r="AF2191" i="1" s="1"/>
  <c r="X2191" i="1" s="1"/>
  <c r="AA2191" i="1" s="1"/>
  <c r="Z2191" i="1" s="1"/>
  <c r="AG2211" i="1" a="1"/>
  <c r="AG2211" i="1" s="1"/>
  <c r="Y2211" i="1" s="1"/>
  <c r="AF2211" i="1" a="1"/>
  <c r="AF2211" i="1" s="1"/>
  <c r="X2211" i="1" s="1"/>
  <c r="AA2211" i="1" s="1"/>
  <c r="Z2211" i="1" s="1"/>
  <c r="AG2214" i="1" a="1"/>
  <c r="AG2214" i="1" s="1"/>
  <c r="Y2214" i="1" s="1"/>
  <c r="AB2214" i="1" s="1"/>
  <c r="AF2214" i="1" a="1"/>
  <c r="AF2214" i="1" s="1"/>
  <c r="X2214" i="1" s="1"/>
  <c r="AA2214" i="1" s="1"/>
  <c r="AG2217" i="1" a="1"/>
  <c r="AG2217" i="1" s="1"/>
  <c r="Y2217" i="1" s="1"/>
  <c r="AB2217" i="1" s="1"/>
  <c r="AF2217" i="1" a="1"/>
  <c r="AF2217" i="1" s="1"/>
  <c r="X2217" i="1" s="1"/>
  <c r="AA2217" i="1" s="1"/>
  <c r="AG2223" i="1" a="1"/>
  <c r="AG2223" i="1" s="1"/>
  <c r="Y2223" i="1" s="1"/>
  <c r="AB2223" i="1" s="1"/>
  <c r="AF2223" i="1" a="1"/>
  <c r="AF2223" i="1" s="1"/>
  <c r="X2223" i="1" s="1"/>
  <c r="AG2226" i="1" a="1"/>
  <c r="AG2226" i="1" s="1"/>
  <c r="Y2226" i="1" s="1"/>
  <c r="AF2226" i="1" a="1"/>
  <c r="AF2226" i="1" s="1"/>
  <c r="X2226" i="1" s="1"/>
  <c r="AA2226" i="1" s="1"/>
  <c r="AB2230" i="1"/>
  <c r="AA2250" i="1"/>
  <c r="Z2250" i="1" s="1"/>
  <c r="T2262" i="1"/>
  <c r="AA2262" i="1" s="1"/>
  <c r="AG2189" i="1" a="1"/>
  <c r="AG2189" i="1" s="1"/>
  <c r="Y2189" i="1" s="1"/>
  <c r="AB2189" i="1" s="1"/>
  <c r="AF2189" i="1" a="1"/>
  <c r="AF2189" i="1" s="1"/>
  <c r="X2189" i="1" s="1"/>
  <c r="AA2189" i="1" s="1"/>
  <c r="AB2193" i="1"/>
  <c r="AB2197" i="1"/>
  <c r="AA2197" i="1"/>
  <c r="AB2201" i="1"/>
  <c r="AA2201" i="1"/>
  <c r="AB2212" i="1"/>
  <c r="AA2212" i="1"/>
  <c r="AB2224" i="1"/>
  <c r="AA2224" i="1"/>
  <c r="AF2253" i="1" a="1"/>
  <c r="AF2253" i="1" s="1"/>
  <c r="X2253" i="1" s="1"/>
  <c r="AA2253" i="1" s="1"/>
  <c r="AG2253" i="1" a="1"/>
  <c r="AG2253" i="1" s="1"/>
  <c r="Y2253" i="1" s="1"/>
  <c r="AG2271" i="1" a="1"/>
  <c r="AG2271" i="1" s="1"/>
  <c r="Y2271" i="1" s="1"/>
  <c r="AF2271" i="1" a="1"/>
  <c r="AF2271" i="1" s="1"/>
  <c r="X2271" i="1" s="1"/>
  <c r="AG2291" i="1" a="1"/>
  <c r="AG2291" i="1" s="1"/>
  <c r="Y2291" i="1" s="1"/>
  <c r="AF2291" i="1" a="1"/>
  <c r="AF2291" i="1" s="1"/>
  <c r="X2291" i="1" s="1"/>
  <c r="AG2311" i="1" a="1"/>
  <c r="AG2311" i="1" s="1"/>
  <c r="Y2311" i="1" s="1"/>
  <c r="AF2311" i="1" a="1"/>
  <c r="AF2311" i="1" s="1"/>
  <c r="X2311" i="1" s="1"/>
  <c r="AA2311" i="1" s="1"/>
  <c r="Z2311" i="1" s="1"/>
  <c r="AA2181" i="1"/>
  <c r="Z2181" i="1" s="1"/>
  <c r="AB2182" i="1"/>
  <c r="T2186" i="1"/>
  <c r="AG2195" i="1" a="1"/>
  <c r="AG2195" i="1" s="1"/>
  <c r="Y2195" i="1" s="1"/>
  <c r="AB2195" i="1" s="1"/>
  <c r="AF2195" i="1" a="1"/>
  <c r="AF2195" i="1" s="1"/>
  <c r="X2195" i="1" s="1"/>
  <c r="AG2199" i="1" a="1"/>
  <c r="AG2199" i="1" s="1"/>
  <c r="Y2199" i="1" s="1"/>
  <c r="AF2199" i="1" a="1"/>
  <c r="AF2199" i="1" s="1"/>
  <c r="X2199" i="1" s="1"/>
  <c r="AA2199" i="1" s="1"/>
  <c r="AG2203" i="1" a="1"/>
  <c r="AG2203" i="1" s="1"/>
  <c r="Y2203" i="1" s="1"/>
  <c r="AB2203" i="1" s="1"/>
  <c r="AF2203" i="1" a="1"/>
  <c r="AF2203" i="1" s="1"/>
  <c r="X2203" i="1" s="1"/>
  <c r="AA2203" i="1" s="1"/>
  <c r="Z2203" i="1" s="1"/>
  <c r="AG2207" i="1" a="1"/>
  <c r="AG2207" i="1" s="1"/>
  <c r="Y2207" i="1" s="1"/>
  <c r="AB2207" i="1" s="1"/>
  <c r="AF2207" i="1" a="1"/>
  <c r="AF2207" i="1" s="1"/>
  <c r="X2207" i="1" s="1"/>
  <c r="AA2207" i="1" s="1"/>
  <c r="AA2215" i="1"/>
  <c r="AB2218" i="1"/>
  <c r="AA2227" i="1"/>
  <c r="AB2227" i="1"/>
  <c r="Z2227" i="1" s="1"/>
  <c r="T2235" i="1"/>
  <c r="Z2238" i="1"/>
  <c r="AA2238" i="1"/>
  <c r="T2243" i="1"/>
  <c r="AB2243" i="1" s="1"/>
  <c r="AF2248" i="1" a="1"/>
  <c r="AF2248" i="1" s="1"/>
  <c r="X2248" i="1" s="1"/>
  <c r="AB2254" i="1"/>
  <c r="AG2266" i="1" a="1"/>
  <c r="AG2266" i="1" s="1"/>
  <c r="Y2266" i="1" s="1"/>
  <c r="AF2266" i="1" a="1"/>
  <c r="AF2266" i="1" s="1"/>
  <c r="X2266" i="1" s="1"/>
  <c r="AB2269" i="1"/>
  <c r="T2269" i="1"/>
  <c r="Z2269" i="1" s="1"/>
  <c r="AB2273" i="1"/>
  <c r="T2273" i="1"/>
  <c r="Z2273" i="1" s="1"/>
  <c r="T2277" i="1"/>
  <c r="AG2280" i="1" a="1"/>
  <c r="AG2280" i="1" s="1"/>
  <c r="Y2280" i="1" s="1"/>
  <c r="AB2280" i="1" s="1"/>
  <c r="AF2280" i="1" a="1"/>
  <c r="AF2280" i="1" s="1"/>
  <c r="X2280" i="1" s="1"/>
  <c r="AA2280" i="1" s="1"/>
  <c r="Z2280" i="1" s="1"/>
  <c r="AG2317" i="1" a="1"/>
  <c r="AG2317" i="1" s="1"/>
  <c r="Y2317" i="1" s="1"/>
  <c r="AF2317" i="1" a="1"/>
  <c r="AF2317" i="1" s="1"/>
  <c r="X2317" i="1" s="1"/>
  <c r="AA2317" i="1" s="1"/>
  <c r="AG2245" i="1" a="1"/>
  <c r="AG2245" i="1" s="1"/>
  <c r="Y2245" i="1" s="1"/>
  <c r="AB2245" i="1" s="1"/>
  <c r="AF2254" i="1" a="1"/>
  <c r="AF2254" i="1" s="1"/>
  <c r="X2254" i="1" s="1"/>
  <c r="AG2268" i="1" a="1"/>
  <c r="AG2268" i="1" s="1"/>
  <c r="Y2268" i="1" s="1"/>
  <c r="AF2268" i="1" a="1"/>
  <c r="AF2268" i="1" s="1"/>
  <c r="X2268" i="1" s="1"/>
  <c r="AA2268" i="1" s="1"/>
  <c r="Z2268" i="1" s="1"/>
  <c r="AG2270" i="1" a="1"/>
  <c r="AG2270" i="1" s="1"/>
  <c r="Y2270" i="1" s="1"/>
  <c r="AF2270" i="1" a="1"/>
  <c r="AF2270" i="1" s="1"/>
  <c r="X2270" i="1" s="1"/>
  <c r="AG2272" i="1" a="1"/>
  <c r="AG2272" i="1" s="1"/>
  <c r="Y2272" i="1" s="1"/>
  <c r="AF2272" i="1" a="1"/>
  <c r="AF2272" i="1" s="1"/>
  <c r="X2272" i="1" s="1"/>
  <c r="AG2274" i="1" a="1"/>
  <c r="AG2274" i="1" s="1"/>
  <c r="Y2274" i="1" s="1"/>
  <c r="AF2274" i="1" a="1"/>
  <c r="AF2274" i="1" s="1"/>
  <c r="X2274" i="1" s="1"/>
  <c r="AG2276" i="1" a="1"/>
  <c r="AG2276" i="1" s="1"/>
  <c r="Y2276" i="1" s="1"/>
  <c r="AF2276" i="1" a="1"/>
  <c r="AF2276" i="1" s="1"/>
  <c r="X2276" i="1" s="1"/>
  <c r="AG2287" i="1" a="1"/>
  <c r="AG2287" i="1" s="1"/>
  <c r="Y2287" i="1" s="1"/>
  <c r="AB2287" i="1" s="1"/>
  <c r="AF2287" i="1" a="1"/>
  <c r="AF2287" i="1" s="1"/>
  <c r="X2287" i="1" s="1"/>
  <c r="AA2287" i="1" s="1"/>
  <c r="AA2295" i="1"/>
  <c r="AG2302" i="1" a="1"/>
  <c r="AG2302" i="1" s="1"/>
  <c r="Y2302" i="1" s="1"/>
  <c r="AB2302" i="1" s="1"/>
  <c r="AF2302" i="1" a="1"/>
  <c r="AF2302" i="1" s="1"/>
  <c r="X2302" i="1" s="1"/>
  <c r="AG2247" i="1" a="1"/>
  <c r="AG2247" i="1" s="1"/>
  <c r="Y2247" i="1" s="1"/>
  <c r="AF2247" i="1" a="1"/>
  <c r="AF2247" i="1" s="1"/>
  <c r="X2247" i="1" s="1"/>
  <c r="T2250" i="1"/>
  <c r="AG2255" i="1" a="1"/>
  <c r="AG2255" i="1" s="1"/>
  <c r="Y2255" i="1" s="1"/>
  <c r="AB2255" i="1" s="1"/>
  <c r="AF2255" i="1" a="1"/>
  <c r="AF2255" i="1" s="1"/>
  <c r="X2255" i="1" s="1"/>
  <c r="AA2255" i="1" s="1"/>
  <c r="AB2257" i="1"/>
  <c r="AG2263" i="1" a="1"/>
  <c r="AG2263" i="1" s="1"/>
  <c r="Y2263" i="1" s="1"/>
  <c r="AF2263" i="1" a="1"/>
  <c r="AF2263" i="1" s="1"/>
  <c r="X2263" i="1" s="1"/>
  <c r="T2282" i="1"/>
  <c r="AG2289" i="1" a="1"/>
  <c r="AG2289" i="1" s="1"/>
  <c r="Y2289" i="1" s="1"/>
  <c r="AF2289" i="1" a="1"/>
  <c r="AF2289" i="1" s="1"/>
  <c r="X2289" i="1" s="1"/>
  <c r="AG2296" i="1" a="1"/>
  <c r="AG2296" i="1" s="1"/>
  <c r="Y2296" i="1" s="1"/>
  <c r="AB2296" i="1" s="1"/>
  <c r="AF2296" i="1" a="1"/>
  <c r="AF2296" i="1" s="1"/>
  <c r="X2296" i="1" s="1"/>
  <c r="AG2307" i="1" a="1"/>
  <c r="AG2307" i="1" s="1"/>
  <c r="Y2307" i="1" s="1"/>
  <c r="AF2307" i="1" a="1"/>
  <c r="AF2307" i="1" s="1"/>
  <c r="X2307" i="1" s="1"/>
  <c r="T2249" i="1"/>
  <c r="AB2249" i="1" s="1"/>
  <c r="AB2252" i="1"/>
  <c r="T2261" i="1"/>
  <c r="Z2261" i="1" s="1"/>
  <c r="AB2261" i="1"/>
  <c r="T2264" i="1"/>
  <c r="AB2264" i="1" s="1"/>
  <c r="AG2283" i="1" a="1"/>
  <c r="AG2283" i="1" s="1"/>
  <c r="Y2283" i="1" s="1"/>
  <c r="AF2283" i="1" a="1"/>
  <c r="AF2283" i="1" s="1"/>
  <c r="X2283" i="1" s="1"/>
  <c r="AG2285" i="1" a="1"/>
  <c r="AG2285" i="1" s="1"/>
  <c r="Y2285" i="1" s="1"/>
  <c r="AF2285" i="1" a="1"/>
  <c r="AF2285" i="1" s="1"/>
  <c r="X2285" i="1" s="1"/>
  <c r="AB2291" i="1"/>
  <c r="T2291" i="1"/>
  <c r="AA2291" i="1"/>
  <c r="AG2305" i="1" a="1"/>
  <c r="AG2305" i="1" s="1"/>
  <c r="Y2305" i="1" s="1"/>
  <c r="AF2305" i="1" a="1"/>
  <c r="AF2305" i="1" s="1"/>
  <c r="X2305" i="1" s="1"/>
  <c r="AA2326" i="1"/>
  <c r="AB2326" i="1"/>
  <c r="AA2230" i="1"/>
  <c r="Z2230" i="1" s="1"/>
  <c r="AG2258" i="1" a="1"/>
  <c r="AG2258" i="1" s="1"/>
  <c r="Y2258" i="1" s="1"/>
  <c r="AF2258" i="1" a="1"/>
  <c r="AF2258" i="1" s="1"/>
  <c r="X2258" i="1" s="1"/>
  <c r="T2266" i="1"/>
  <c r="T2278" i="1"/>
  <c r="AG2352" i="1" a="1"/>
  <c r="AG2352" i="1" s="1"/>
  <c r="Y2352" i="1" s="1"/>
  <c r="AF2352" i="1" a="1"/>
  <c r="AF2352" i="1" s="1"/>
  <c r="X2352" i="1" s="1"/>
  <c r="AG2235" i="1" a="1"/>
  <c r="AG2235" i="1" s="1"/>
  <c r="Y2235" i="1" s="1"/>
  <c r="AB2235" i="1" s="1"/>
  <c r="AF2235" i="1" a="1"/>
  <c r="AF2235" i="1" s="1"/>
  <c r="X2235" i="1" s="1"/>
  <c r="AG2239" i="1" a="1"/>
  <c r="AG2239" i="1" s="1"/>
  <c r="Y2239" i="1" s="1"/>
  <c r="AB2239" i="1" s="1"/>
  <c r="AF2239" i="1" a="1"/>
  <c r="AF2239" i="1" s="1"/>
  <c r="X2239" i="1" s="1"/>
  <c r="AG2243" i="1" a="1"/>
  <c r="AG2243" i="1" s="1"/>
  <c r="Y2243" i="1" s="1"/>
  <c r="AF2243" i="1" a="1"/>
  <c r="AF2243" i="1" s="1"/>
  <c r="X2243" i="1" s="1"/>
  <c r="T2247" i="1"/>
  <c r="AA2270" i="1"/>
  <c r="T2270" i="1"/>
  <c r="AB2270" i="1" s="1"/>
  <c r="AA2274" i="1"/>
  <c r="T2274" i="1"/>
  <c r="AB2274" i="1" s="1"/>
  <c r="Z2274" i="1" s="1"/>
  <c r="AG2279" i="1" a="1"/>
  <c r="AG2279" i="1" s="1"/>
  <c r="Y2279" i="1" s="1"/>
  <c r="AF2279" i="1" a="1"/>
  <c r="AF2279" i="1" s="1"/>
  <c r="X2279" i="1" s="1"/>
  <c r="AG2281" i="1" a="1"/>
  <c r="AG2281" i="1" s="1"/>
  <c r="Y2281" i="1" s="1"/>
  <c r="AB2281" i="1" s="1"/>
  <c r="AF2281" i="1" a="1"/>
  <c r="AF2281" i="1" s="1"/>
  <c r="X2281" i="1" s="1"/>
  <c r="AB2300" i="1"/>
  <c r="AB2320" i="1"/>
  <c r="Z2320" i="1" s="1"/>
  <c r="AG2348" i="1" a="1"/>
  <c r="AG2348" i="1" s="1"/>
  <c r="Y2348" i="1" s="1"/>
  <c r="AF2348" i="1" a="1"/>
  <c r="AF2348" i="1" s="1"/>
  <c r="X2348" i="1" s="1"/>
  <c r="AA2249" i="1"/>
  <c r="AB2250" i="1"/>
  <c r="AB2256" i="1"/>
  <c r="AA2256" i="1"/>
  <c r="Z2256" i="1"/>
  <c r="AG2262" i="1" a="1"/>
  <c r="AG2262" i="1" s="1"/>
  <c r="Y2262" i="1" s="1"/>
  <c r="AB2262" i="1" s="1"/>
  <c r="AF2262" i="1" a="1"/>
  <c r="AF2262" i="1" s="1"/>
  <c r="X2262" i="1" s="1"/>
  <c r="AG2267" i="1" a="1"/>
  <c r="AG2267" i="1" s="1"/>
  <c r="Y2267" i="1" s="1"/>
  <c r="AF2267" i="1" a="1"/>
  <c r="AF2267" i="1" s="1"/>
  <c r="X2267" i="1" s="1"/>
  <c r="T2268" i="1"/>
  <c r="AB2268" i="1" s="1"/>
  <c r="AA2272" i="1"/>
  <c r="T2272" i="1"/>
  <c r="AB2272" i="1" s="1"/>
  <c r="T2289" i="1"/>
  <c r="AB2289" i="1" s="1"/>
  <c r="AB2292" i="1"/>
  <c r="AG2301" i="1" a="1"/>
  <c r="AG2301" i="1" s="1"/>
  <c r="Y2301" i="1" s="1"/>
  <c r="AB2301" i="1" s="1"/>
  <c r="AF2301" i="1" a="1"/>
  <c r="AF2301" i="1" s="1"/>
  <c r="X2301" i="1" s="1"/>
  <c r="AG2303" i="1" a="1"/>
  <c r="AG2303" i="1" s="1"/>
  <c r="Y2303" i="1" s="1"/>
  <c r="AF2303" i="1" a="1"/>
  <c r="AF2303" i="1" s="1"/>
  <c r="X2303" i="1" s="1"/>
  <c r="AA2309" i="1"/>
  <c r="T2309" i="1"/>
  <c r="AB2322" i="1"/>
  <c r="T2332" i="1"/>
  <c r="AA2332" i="1" s="1"/>
  <c r="AB2332" i="1"/>
  <c r="Z2332" i="1"/>
  <c r="AG2359" i="1" a="1"/>
  <c r="AG2359" i="1" s="1"/>
  <c r="Y2359" i="1" s="1"/>
  <c r="AF2359" i="1" a="1"/>
  <c r="AF2359" i="1" s="1"/>
  <c r="X2359" i="1" s="1"/>
  <c r="AG2275" i="1" a="1"/>
  <c r="AG2275" i="1" s="1"/>
  <c r="Y2275" i="1" s="1"/>
  <c r="AB2275" i="1" s="1"/>
  <c r="AF2275" i="1" a="1"/>
  <c r="AF2275" i="1" s="1"/>
  <c r="X2275" i="1" s="1"/>
  <c r="AG2277" i="1" a="1"/>
  <c r="AG2277" i="1" s="1"/>
  <c r="Y2277" i="1" s="1"/>
  <c r="AF2277" i="1" a="1"/>
  <c r="AF2277" i="1" s="1"/>
  <c r="X2277" i="1" s="1"/>
  <c r="T2285" i="1"/>
  <c r="AA2285" i="1" s="1"/>
  <c r="Z2287" i="1"/>
  <c r="AG2290" i="1" a="1"/>
  <c r="AG2290" i="1" s="1"/>
  <c r="Y2290" i="1" s="1"/>
  <c r="AF2290" i="1" a="1"/>
  <c r="AF2290" i="1" s="1"/>
  <c r="X2290" i="1" s="1"/>
  <c r="AA2305" i="1"/>
  <c r="T2228" i="1"/>
  <c r="Z2233" i="1"/>
  <c r="T2234" i="1"/>
  <c r="T2237" i="1"/>
  <c r="AB2237" i="1" s="1"/>
  <c r="T2241" i="1"/>
  <c r="AB2248" i="1"/>
  <c r="AA2248" i="1"/>
  <c r="T2254" i="1"/>
  <c r="AG2257" i="1" a="1"/>
  <c r="AG2257" i="1" s="1"/>
  <c r="Y2257" i="1" s="1"/>
  <c r="AF2257" i="1" a="1"/>
  <c r="AF2257" i="1" s="1"/>
  <c r="X2257" i="1" s="1"/>
  <c r="AA2257" i="1" s="1"/>
  <c r="Z2257" i="1" s="1"/>
  <c r="T2263" i="1"/>
  <c r="AG2286" i="1" a="1"/>
  <c r="AG2286" i="1" s="1"/>
  <c r="Y2286" i="1" s="1"/>
  <c r="AB2286" i="1" s="1"/>
  <c r="AF2286" i="1" a="1"/>
  <c r="AF2286" i="1" s="1"/>
  <c r="X2286" i="1" s="1"/>
  <c r="AA2286" i="1" s="1"/>
  <c r="Z2286" i="1" s="1"/>
  <c r="AG2288" i="1" a="1"/>
  <c r="AG2288" i="1" s="1"/>
  <c r="Y2288" i="1" s="1"/>
  <c r="AB2288" i="1" s="1"/>
  <c r="AF2288" i="1" a="1"/>
  <c r="AF2288" i="1" s="1"/>
  <c r="X2288" i="1" s="1"/>
  <c r="AG2295" i="1" a="1"/>
  <c r="AG2295" i="1" s="1"/>
  <c r="Y2295" i="1" s="1"/>
  <c r="AB2295" i="1" s="1"/>
  <c r="AF2295" i="1" a="1"/>
  <c r="AF2295" i="1" s="1"/>
  <c r="X2295" i="1" s="1"/>
  <c r="AG2308" i="1" a="1"/>
  <c r="AG2308" i="1" s="1"/>
  <c r="Y2308" i="1" s="1"/>
  <c r="AB2308" i="1" s="1"/>
  <c r="AF2308" i="1" a="1"/>
  <c r="AF2308" i="1" s="1"/>
  <c r="X2308" i="1" s="1"/>
  <c r="AF2319" i="1" a="1"/>
  <c r="AF2319" i="1" s="1"/>
  <c r="X2319" i="1" s="1"/>
  <c r="AA2319" i="1" s="1"/>
  <c r="AG2319" i="1" a="1"/>
  <c r="AG2319" i="1" s="1"/>
  <c r="Y2319" i="1" s="1"/>
  <c r="AG2264" i="1" a="1"/>
  <c r="AG2264" i="1" s="1"/>
  <c r="Y2264" i="1" s="1"/>
  <c r="AF2264" i="1" a="1"/>
  <c r="AF2264" i="1" s="1"/>
  <c r="X2264" i="1" s="1"/>
  <c r="T2265" i="1"/>
  <c r="Z2281" i="1"/>
  <c r="T2281" i="1"/>
  <c r="AA2281" i="1" s="1"/>
  <c r="AG2284" i="1" a="1"/>
  <c r="AG2284" i="1" s="1"/>
  <c r="Y2284" i="1" s="1"/>
  <c r="AB2284" i="1" s="1"/>
  <c r="AF2284" i="1" a="1"/>
  <c r="AF2284" i="1" s="1"/>
  <c r="X2284" i="1" s="1"/>
  <c r="AG2293" i="1" a="1"/>
  <c r="AG2293" i="1" s="1"/>
  <c r="Y2293" i="1" s="1"/>
  <c r="AF2293" i="1" a="1"/>
  <c r="AF2293" i="1" s="1"/>
  <c r="X2293" i="1" s="1"/>
  <c r="AA2293" i="1" s="1"/>
  <c r="Z2293" i="1" s="1"/>
  <c r="T2303" i="1"/>
  <c r="AA2303" i="1"/>
  <c r="AB2241" i="1"/>
  <c r="AA2245" i="1"/>
  <c r="AB2246" i="1"/>
  <c r="AG2251" i="1" a="1"/>
  <c r="AG2251" i="1" s="1"/>
  <c r="Y2251" i="1" s="1"/>
  <c r="AF2251" i="1" a="1"/>
  <c r="AF2251" i="1" s="1"/>
  <c r="X2251" i="1" s="1"/>
  <c r="AA2251" i="1" s="1"/>
  <c r="Z2251" i="1" s="1"/>
  <c r="AF2265" i="1" a="1"/>
  <c r="AF2265" i="1" s="1"/>
  <c r="X2265" i="1" s="1"/>
  <c r="AA2269" i="1"/>
  <c r="AA2273" i="1"/>
  <c r="AG2282" i="1" a="1"/>
  <c r="AG2282" i="1" s="1"/>
  <c r="Y2282" i="1" s="1"/>
  <c r="AF2282" i="1" a="1"/>
  <c r="AF2282" i="1" s="1"/>
  <c r="X2282" i="1" s="1"/>
  <c r="AA2282" i="1" s="1"/>
  <c r="AA2299" i="1"/>
  <c r="Z2299" i="1" s="1"/>
  <c r="AA2301" i="1"/>
  <c r="T2276" i="1"/>
  <c r="T2279" i="1"/>
  <c r="T2283" i="1"/>
  <c r="T2290" i="1"/>
  <c r="AB2290" i="1" s="1"/>
  <c r="AG2297" i="1" a="1"/>
  <c r="AG2297" i="1" s="1"/>
  <c r="Y2297" i="1" s="1"/>
  <c r="AA2306" i="1"/>
  <c r="Z2306" i="1" s="1"/>
  <c r="AG2309" i="1" a="1"/>
  <c r="AG2309" i="1" s="1"/>
  <c r="Y2309" i="1" s="1"/>
  <c r="AB2309" i="1" s="1"/>
  <c r="AA2314" i="1"/>
  <c r="T2314" i="1"/>
  <c r="AG2335" i="1" a="1"/>
  <c r="AG2335" i="1" s="1"/>
  <c r="Y2335" i="1" s="1"/>
  <c r="AF2335" i="1" a="1"/>
  <c r="AF2335" i="1" s="1"/>
  <c r="X2335" i="1" s="1"/>
  <c r="AF2344" i="1" a="1"/>
  <c r="AF2344" i="1" s="1"/>
  <c r="X2344" i="1" s="1"/>
  <c r="AB2293" i="1"/>
  <c r="AG2298" i="1" a="1"/>
  <c r="AG2298" i="1" s="1"/>
  <c r="Y2298" i="1" s="1"/>
  <c r="AB2298" i="1" s="1"/>
  <c r="AF2298" i="1" a="1"/>
  <c r="AF2298" i="1" s="1"/>
  <c r="X2298" i="1" s="1"/>
  <c r="AB2305" i="1"/>
  <c r="Z2305" i="1" s="1"/>
  <c r="AG2310" i="1" a="1"/>
  <c r="AG2310" i="1" s="1"/>
  <c r="Y2310" i="1" s="1"/>
  <c r="AB2310" i="1" s="1"/>
  <c r="AF2310" i="1" a="1"/>
  <c r="AF2310" i="1" s="1"/>
  <c r="X2310" i="1" s="1"/>
  <c r="AA2310" i="1" s="1"/>
  <c r="Z2310" i="1" s="1"/>
  <c r="AG2316" i="1" a="1"/>
  <c r="AG2316" i="1" s="1"/>
  <c r="Y2316" i="1" s="1"/>
  <c r="AB2316" i="1" s="1"/>
  <c r="AF2316" i="1" a="1"/>
  <c r="AF2316" i="1" s="1"/>
  <c r="X2316" i="1" s="1"/>
  <c r="AA2316" i="1" s="1"/>
  <c r="Z2316" i="1" s="1"/>
  <c r="T2318" i="1"/>
  <c r="AA2318" i="1" s="1"/>
  <c r="AG2320" i="1" a="1"/>
  <c r="AG2320" i="1" s="1"/>
  <c r="Y2320" i="1" s="1"/>
  <c r="AF2320" i="1" a="1"/>
  <c r="AF2320" i="1" s="1"/>
  <c r="X2320" i="1" s="1"/>
  <c r="AB2324" i="1"/>
  <c r="AB2364" i="1"/>
  <c r="AA2260" i="1"/>
  <c r="Z2260" i="1" s="1"/>
  <c r="T2300" i="1"/>
  <c r="T2313" i="1"/>
  <c r="AA2313" i="1" s="1"/>
  <c r="AB2313" i="1"/>
  <c r="AA2302" i="1"/>
  <c r="Z2302" i="1" s="1"/>
  <c r="AA2284" i="1"/>
  <c r="Z2284" i="1" s="1"/>
  <c r="AA2288" i="1"/>
  <c r="Z2288" i="1" s="1"/>
  <c r="AG2294" i="1" a="1"/>
  <c r="AG2294" i="1" s="1"/>
  <c r="Y2294" i="1" s="1"/>
  <c r="AF2294" i="1" a="1"/>
  <c r="AF2294" i="1" s="1"/>
  <c r="X2294" i="1" s="1"/>
  <c r="AG2306" i="1" a="1"/>
  <c r="AG2306" i="1" s="1"/>
  <c r="Y2306" i="1" s="1"/>
  <c r="AF2306" i="1" a="1"/>
  <c r="AF2306" i="1" s="1"/>
  <c r="X2306" i="1" s="1"/>
  <c r="AB2343" i="1"/>
  <c r="AA2343" i="1"/>
  <c r="Z2343" i="1" s="1"/>
  <c r="T2345" i="1"/>
  <c r="AB2345" i="1"/>
  <c r="Z2345" i="1" s="1"/>
  <c r="T2253" i="1"/>
  <c r="AG2314" i="1" a="1"/>
  <c r="AG2314" i="1" s="1"/>
  <c r="Y2314" i="1" s="1"/>
  <c r="AF2314" i="1" a="1"/>
  <c r="AF2314" i="1" s="1"/>
  <c r="X2314" i="1" s="1"/>
  <c r="AA2320" i="1"/>
  <c r="T2323" i="1"/>
  <c r="AF2334" i="1" a="1"/>
  <c r="AF2334" i="1" s="1"/>
  <c r="X2334" i="1" s="1"/>
  <c r="AA2334" i="1" s="1"/>
  <c r="AG2334" i="1" a="1"/>
  <c r="AG2334" i="1" s="1"/>
  <c r="Y2334" i="1" s="1"/>
  <c r="AB2334" i="1" s="1"/>
  <c r="AA2341" i="1"/>
  <c r="T2349" i="1"/>
  <c r="AB2349" i="1"/>
  <c r="AB2351" i="1"/>
  <c r="AA2351" i="1"/>
  <c r="T2353" i="1"/>
  <c r="AB2353" i="1"/>
  <c r="T2258" i="1"/>
  <c r="AG2292" i="1" a="1"/>
  <c r="AG2292" i="1" s="1"/>
  <c r="Y2292" i="1" s="1"/>
  <c r="AF2292" i="1" a="1"/>
  <c r="AF2292" i="1" s="1"/>
  <c r="X2292" i="1" s="1"/>
  <c r="AA2292" i="1" s="1"/>
  <c r="Z2292" i="1" s="1"/>
  <c r="T2295" i="1"/>
  <c r="AB2299" i="1"/>
  <c r="AG2304" i="1" a="1"/>
  <c r="AG2304" i="1" s="1"/>
  <c r="Y2304" i="1" s="1"/>
  <c r="AB2304" i="1" s="1"/>
  <c r="AF2304" i="1" a="1"/>
  <c r="AF2304" i="1" s="1"/>
  <c r="X2304" i="1" s="1"/>
  <c r="AA2304" i="1" s="1"/>
  <c r="Z2304" i="1" s="1"/>
  <c r="T2307" i="1"/>
  <c r="AB2311" i="1"/>
  <c r="AG2323" i="1" a="1"/>
  <c r="AG2323" i="1" s="1"/>
  <c r="Y2323" i="1" s="1"/>
  <c r="AB2359" i="1"/>
  <c r="Z2359" i="1" s="1"/>
  <c r="AA2359" i="1"/>
  <c r="T2294" i="1"/>
  <c r="AA2298" i="1"/>
  <c r="Z2298" i="1" s="1"/>
  <c r="AF2299" i="1" a="1"/>
  <c r="AF2299" i="1" s="1"/>
  <c r="X2299" i="1" s="1"/>
  <c r="T2306" i="1"/>
  <c r="AB2306" i="1" s="1"/>
  <c r="AG2318" i="1" a="1"/>
  <c r="AG2318" i="1" s="1"/>
  <c r="Y2318" i="1" s="1"/>
  <c r="AF2318" i="1" a="1"/>
  <c r="AF2318" i="1" s="1"/>
  <c r="X2318" i="1" s="1"/>
  <c r="AG2326" i="1" a="1"/>
  <c r="AG2326" i="1" s="1"/>
  <c r="Y2326" i="1" s="1"/>
  <c r="AB2329" i="1"/>
  <c r="Z2334" i="1"/>
  <c r="Z2437" i="1"/>
  <c r="AB2437" i="1"/>
  <c r="AF2418" i="1" a="1"/>
  <c r="AF2418" i="1" s="1"/>
  <c r="X2418" i="1" s="1"/>
  <c r="AA2418" i="1" s="1"/>
  <c r="AG2418" i="1" a="1"/>
  <c r="AG2418" i="1" s="1"/>
  <c r="Y2418" i="1" s="1"/>
  <c r="AB2418" i="1" s="1"/>
  <c r="AA2296" i="1"/>
  <c r="Z2296" i="1" s="1"/>
  <c r="AA2308" i="1"/>
  <c r="Z2314" i="1"/>
  <c r="AB2315" i="1"/>
  <c r="Z2315" i="1" s="1"/>
  <c r="AB2319" i="1"/>
  <c r="AA2325" i="1"/>
  <c r="AF2330" i="1" a="1"/>
  <c r="AF2330" i="1" s="1"/>
  <c r="X2330" i="1" s="1"/>
  <c r="AA2330" i="1" s="1"/>
  <c r="AG2330" i="1" a="1"/>
  <c r="AG2330" i="1" s="1"/>
  <c r="Y2330" i="1" s="1"/>
  <c r="AB2330" i="1" s="1"/>
  <c r="Z2330" i="1" s="1"/>
  <c r="AG2300" i="1" a="1"/>
  <c r="AG2300" i="1" s="1"/>
  <c r="Y2300" i="1" s="1"/>
  <c r="AF2300" i="1" a="1"/>
  <c r="AF2300" i="1" s="1"/>
  <c r="X2300" i="1" s="1"/>
  <c r="AA2300" i="1" s="1"/>
  <c r="Z2300" i="1" s="1"/>
  <c r="AB2307" i="1"/>
  <c r="AG2312" i="1" a="1"/>
  <c r="AG2312" i="1" s="1"/>
  <c r="Y2312" i="1" s="1"/>
  <c r="AB2312" i="1" s="1"/>
  <c r="AF2312" i="1" a="1"/>
  <c r="AF2312" i="1" s="1"/>
  <c r="X2312" i="1" s="1"/>
  <c r="AA2312" i="1" s="1"/>
  <c r="AB2314" i="1"/>
  <c r="T2328" i="1"/>
  <c r="AB2328" i="1" s="1"/>
  <c r="AB2333" i="1"/>
  <c r="AA2347" i="1"/>
  <c r="Z2347" i="1" s="1"/>
  <c r="AA2355" i="1"/>
  <c r="AG2371" i="1" a="1"/>
  <c r="AG2371" i="1" s="1"/>
  <c r="Y2371" i="1" s="1"/>
  <c r="AF2371" i="1" a="1"/>
  <c r="AF2371" i="1" s="1"/>
  <c r="X2371" i="1" s="1"/>
  <c r="AA2371" i="1" s="1"/>
  <c r="AB2379" i="1"/>
  <c r="AB2421" i="1"/>
  <c r="AB2317" i="1"/>
  <c r="Z2317" i="1" s="1"/>
  <c r="AB2321" i="1"/>
  <c r="Z2321" i="1" s="1"/>
  <c r="Z2338" i="1"/>
  <c r="AF2360" i="1" a="1"/>
  <c r="AF2360" i="1" s="1"/>
  <c r="X2360" i="1" s="1"/>
  <c r="AG2364" i="1" a="1"/>
  <c r="AG2364" i="1" s="1"/>
  <c r="Y2364" i="1" s="1"/>
  <c r="AF2364" i="1" a="1"/>
  <c r="AF2364" i="1" s="1"/>
  <c r="X2364" i="1" s="1"/>
  <c r="AB2371" i="1"/>
  <c r="AB2383" i="1"/>
  <c r="T2327" i="1"/>
  <c r="AA2327" i="1" s="1"/>
  <c r="AF2333" i="1" a="1"/>
  <c r="AF2333" i="1" s="1"/>
  <c r="X2333" i="1" s="1"/>
  <c r="AA2333" i="1" s="1"/>
  <c r="Z2333" i="1" s="1"/>
  <c r="T2341" i="1"/>
  <c r="AB2341" i="1"/>
  <c r="Z2371" i="1"/>
  <c r="AF2416" i="1" a="1"/>
  <c r="AF2416" i="1" s="1"/>
  <c r="X2416" i="1" s="1"/>
  <c r="AG2416" i="1" a="1"/>
  <c r="AG2416" i="1" s="1"/>
  <c r="Y2416" i="1" s="1"/>
  <c r="AG2341" i="1" a="1"/>
  <c r="AG2341" i="1" s="1"/>
  <c r="Y2341" i="1" s="1"/>
  <c r="Z2366" i="1"/>
  <c r="AG2387" i="1" a="1"/>
  <c r="AG2387" i="1" s="1"/>
  <c r="Y2387" i="1" s="1"/>
  <c r="AB2387" i="1" s="1"/>
  <c r="AF2387" i="1" a="1"/>
  <c r="AF2387" i="1" s="1"/>
  <c r="X2387" i="1" s="1"/>
  <c r="AA2387" i="1" s="1"/>
  <c r="AB2399" i="1"/>
  <c r="AG2445" i="1" a="1"/>
  <c r="AG2445" i="1" s="1"/>
  <c r="Y2445" i="1" s="1"/>
  <c r="AF2445" i="1" a="1"/>
  <c r="AF2445" i="1" s="1"/>
  <c r="X2445" i="1" s="1"/>
  <c r="AA2445" i="1" s="1"/>
  <c r="Z2445" i="1" s="1"/>
  <c r="AB2376" i="1"/>
  <c r="AG2383" i="1" a="1"/>
  <c r="AG2383" i="1" s="1"/>
  <c r="Y2383" i="1" s="1"/>
  <c r="AB2375" i="1"/>
  <c r="AF2322" i="1" a="1"/>
  <c r="AF2322" i="1" s="1"/>
  <c r="X2322" i="1" s="1"/>
  <c r="AA2322" i="1" s="1"/>
  <c r="Z2322" i="1" s="1"/>
  <c r="T2337" i="1"/>
  <c r="AA2337" i="1"/>
  <c r="AG2339" i="1" a="1"/>
  <c r="AG2339" i="1" s="1"/>
  <c r="Y2339" i="1" s="1"/>
  <c r="AF2339" i="1" a="1"/>
  <c r="AF2339" i="1" s="1"/>
  <c r="X2339" i="1" s="1"/>
  <c r="AA2339" i="1" s="1"/>
  <c r="Z2339" i="1" s="1"/>
  <c r="AB2378" i="1"/>
  <c r="Z2387" i="1"/>
  <c r="T2340" i="1"/>
  <c r="AA2340" i="1"/>
  <c r="AB2342" i="1"/>
  <c r="Z2342" i="1"/>
  <c r="AF2346" i="1" a="1"/>
  <c r="AF2346" i="1" s="1"/>
  <c r="X2346" i="1" s="1"/>
  <c r="AA2346" i="1" s="1"/>
  <c r="Z2346" i="1" s="1"/>
  <c r="T2361" i="1"/>
  <c r="AB2361" i="1" s="1"/>
  <c r="AB2395" i="1"/>
  <c r="AB2403" i="1"/>
  <c r="AA2403" i="1"/>
  <c r="Z2403" i="1" s="1"/>
  <c r="AB2407" i="1"/>
  <c r="AA2407" i="1"/>
  <c r="Z2407" i="1" s="1"/>
  <c r="AF2417" i="1" a="1"/>
  <c r="AF2417" i="1" s="1"/>
  <c r="X2417" i="1" s="1"/>
  <c r="AG2417" i="1" a="1"/>
  <c r="AG2417" i="1" s="1"/>
  <c r="Y2417" i="1" s="1"/>
  <c r="AB2417" i="1" s="1"/>
  <c r="AF2422" i="1" a="1"/>
  <c r="AF2422" i="1" s="1"/>
  <c r="X2422" i="1" s="1"/>
  <c r="AA2422" i="1" s="1"/>
  <c r="T2324" i="1"/>
  <c r="Z2325" i="1"/>
  <c r="AF2329" i="1" a="1"/>
  <c r="AF2329" i="1" s="1"/>
  <c r="X2329" i="1" s="1"/>
  <c r="AA2329" i="1" s="1"/>
  <c r="Z2329" i="1" s="1"/>
  <c r="T2331" i="1"/>
  <c r="AA2331" i="1" s="1"/>
  <c r="T2336" i="1"/>
  <c r="AG2347" i="1" a="1"/>
  <c r="AG2347" i="1" s="1"/>
  <c r="Y2347" i="1" s="1"/>
  <c r="AB2347" i="1" s="1"/>
  <c r="AF2347" i="1" a="1"/>
  <c r="AF2347" i="1" s="1"/>
  <c r="X2347" i="1" s="1"/>
  <c r="AB2350" i="1"/>
  <c r="Z2350" i="1" s="1"/>
  <c r="AG2355" i="1" a="1"/>
  <c r="AG2355" i="1" s="1"/>
  <c r="Y2355" i="1" s="1"/>
  <c r="AB2355" i="1" s="1"/>
  <c r="AF2355" i="1" a="1"/>
  <c r="AF2355" i="1" s="1"/>
  <c r="X2355" i="1" s="1"/>
  <c r="AB2358" i="1"/>
  <c r="AA2358" i="1"/>
  <c r="Z2358" i="1" s="1"/>
  <c r="AB2363" i="1"/>
  <c r="AB2401" i="1"/>
  <c r="AB2411" i="1"/>
  <c r="AB2339" i="1"/>
  <c r="AA2342" i="1"/>
  <c r="T2348" i="1"/>
  <c r="Z2348" i="1" s="1"/>
  <c r="AB2348" i="1"/>
  <c r="AA2348" i="1"/>
  <c r="T2356" i="1"/>
  <c r="AA2356" i="1" s="1"/>
  <c r="Z2356" i="1" s="1"/>
  <c r="AB2356" i="1"/>
  <c r="AB2367" i="1"/>
  <c r="T2372" i="1"/>
  <c r="AB2372" i="1" s="1"/>
  <c r="AB2374" i="1"/>
  <c r="AG2382" i="1" a="1"/>
  <c r="AG2382" i="1" s="1"/>
  <c r="Y2382" i="1" s="1"/>
  <c r="AA2384" i="1"/>
  <c r="Z2384" i="1" s="1"/>
  <c r="AF2415" i="1" a="1"/>
  <c r="AF2415" i="1" s="1"/>
  <c r="X2415" i="1" s="1"/>
  <c r="AA2415" i="1" s="1"/>
  <c r="Z2415" i="1" s="1"/>
  <c r="AG2415" i="1" a="1"/>
  <c r="AG2415" i="1" s="1"/>
  <c r="Y2415" i="1" s="1"/>
  <c r="AB2415" i="1" s="1"/>
  <c r="AA2419" i="1"/>
  <c r="AB2431" i="1"/>
  <c r="AB2433" i="1"/>
  <c r="T2344" i="1"/>
  <c r="AB2344" i="1" s="1"/>
  <c r="T2352" i="1"/>
  <c r="T2360" i="1"/>
  <c r="T2369" i="1"/>
  <c r="T2385" i="1"/>
  <c r="Z2426" i="1"/>
  <c r="AA2376" i="1"/>
  <c r="Z2376" i="1" s="1"/>
  <c r="Z2391" i="1"/>
  <c r="T2393" i="1"/>
  <c r="Z2410" i="1"/>
  <c r="AF2430" i="1" a="1"/>
  <c r="AF2430" i="1" s="1"/>
  <c r="X2430" i="1" s="1"/>
  <c r="AA2430" i="1" s="1"/>
  <c r="Z2430" i="1" s="1"/>
  <c r="AF2431" i="1" a="1"/>
  <c r="AF2431" i="1" s="1"/>
  <c r="X2431" i="1" s="1"/>
  <c r="AA2431" i="1" s="1"/>
  <c r="Z2431" i="1" s="1"/>
  <c r="AF2432" i="1" a="1"/>
  <c r="AF2432" i="1" s="1"/>
  <c r="X2432" i="1" s="1"/>
  <c r="AF2433" i="1" a="1"/>
  <c r="AF2433" i="1" s="1"/>
  <c r="X2433" i="1" s="1"/>
  <c r="AA2433" i="1" s="1"/>
  <c r="Z2433" i="1" s="1"/>
  <c r="T2441" i="1"/>
  <c r="T2335" i="1"/>
  <c r="AA2335" i="1" s="1"/>
  <c r="AF2337" i="1" a="1"/>
  <c r="AF2337" i="1" s="1"/>
  <c r="X2337" i="1" s="1"/>
  <c r="AF2345" i="1" a="1"/>
  <c r="AF2345" i="1" s="1"/>
  <c r="X2345" i="1" s="1"/>
  <c r="AA2345" i="1" s="1"/>
  <c r="AF2353" i="1" a="1"/>
  <c r="AF2353" i="1" s="1"/>
  <c r="X2353" i="1" s="1"/>
  <c r="AF2361" i="1" a="1"/>
  <c r="AF2361" i="1" s="1"/>
  <c r="X2361" i="1" s="1"/>
  <c r="AF2372" i="1" a="1"/>
  <c r="AF2372" i="1" s="1"/>
  <c r="X2372" i="1" s="1"/>
  <c r="Z2375" i="1"/>
  <c r="AA2377" i="1"/>
  <c r="Z2377" i="1" s="1"/>
  <c r="AF2388" i="1" a="1"/>
  <c r="AF2388" i="1" s="1"/>
  <c r="X2388" i="1" s="1"/>
  <c r="AF2389" i="1" a="1"/>
  <c r="AF2389" i="1" s="1"/>
  <c r="X2389" i="1" s="1"/>
  <c r="AA2389" i="1" s="1"/>
  <c r="Z2389" i="1" s="1"/>
  <c r="Z2395" i="1"/>
  <c r="T2397" i="1"/>
  <c r="Z2414" i="1"/>
  <c r="AF2434" i="1" a="1"/>
  <c r="AF2434" i="1" s="1"/>
  <c r="X2434" i="1" s="1"/>
  <c r="AA2434" i="1" s="1"/>
  <c r="Z2434" i="1" s="1"/>
  <c r="AF2435" i="1" a="1"/>
  <c r="AF2435" i="1" s="1"/>
  <c r="X2435" i="1" s="1"/>
  <c r="AA2435" i="1" s="1"/>
  <c r="Z2435" i="1" s="1"/>
  <c r="AF2436" i="1" a="1"/>
  <c r="AF2436" i="1" s="1"/>
  <c r="X2436" i="1" s="1"/>
  <c r="AF2437" i="1" a="1"/>
  <c r="AF2437" i="1" s="1"/>
  <c r="X2437" i="1" s="1"/>
  <c r="AA2437" i="1" s="1"/>
  <c r="Z2442" i="1"/>
  <c r="AF2373" i="1" a="1"/>
  <c r="AF2373" i="1" s="1"/>
  <c r="X2373" i="1" s="1"/>
  <c r="AA2373" i="1" s="1"/>
  <c r="Z2373" i="1" s="1"/>
  <c r="T2376" i="1"/>
  <c r="AF2390" i="1" a="1"/>
  <c r="AF2390" i="1" s="1"/>
  <c r="X2390" i="1" s="1"/>
  <c r="AA2390" i="1" s="1"/>
  <c r="Z2418" i="1"/>
  <c r="AF2438" i="1" a="1"/>
  <c r="AF2438" i="1" s="1"/>
  <c r="X2438" i="1" s="1"/>
  <c r="AA2438" i="1" s="1"/>
  <c r="Z2438" i="1" s="1"/>
  <c r="AB2445" i="1"/>
  <c r="T2364" i="1"/>
  <c r="AA2364" i="1" s="1"/>
  <c r="Z2364" i="1" s="1"/>
  <c r="T2405" i="1"/>
  <c r="AF2363" i="1" a="1"/>
  <c r="AF2363" i="1" s="1"/>
  <c r="X2363" i="1" s="1"/>
  <c r="AA2363" i="1" s="1"/>
  <c r="AF2398" i="1" a="1"/>
  <c r="AF2398" i="1" s="1"/>
  <c r="X2398" i="1" s="1"/>
  <c r="AA2398" i="1" s="1"/>
  <c r="Z2398" i="1" s="1"/>
  <c r="AF2399" i="1" a="1"/>
  <c r="AF2399" i="1" s="1"/>
  <c r="X2399" i="1" s="1"/>
  <c r="AA2399" i="1" s="1"/>
  <c r="Z2399" i="1" s="1"/>
  <c r="AF2400" i="1" a="1"/>
  <c r="AF2400" i="1" s="1"/>
  <c r="X2400" i="1" s="1"/>
  <c r="AF2401" i="1" a="1"/>
  <c r="AF2401" i="1" s="1"/>
  <c r="X2401" i="1" s="1"/>
  <c r="AA2401" i="1" s="1"/>
  <c r="T2409" i="1"/>
  <c r="AA2417" i="1"/>
  <c r="T2357" i="1"/>
  <c r="AB2357" i="1" s="1"/>
  <c r="T2365" i="1"/>
  <c r="AA2367" i="1"/>
  <c r="Z2367" i="1" s="1"/>
  <c r="Z2370" i="1"/>
  <c r="T2380" i="1"/>
  <c r="AA2380" i="1" s="1"/>
  <c r="AA2382" i="1"/>
  <c r="Z2382" i="1" s="1"/>
  <c r="AA2383" i="1"/>
  <c r="Z2386" i="1"/>
  <c r="AF2402" i="1" a="1"/>
  <c r="AF2402" i="1" s="1"/>
  <c r="X2402" i="1" s="1"/>
  <c r="AA2402" i="1" s="1"/>
  <c r="Z2402" i="1" s="1"/>
  <c r="AF2403" i="1" a="1"/>
  <c r="AF2403" i="1" s="1"/>
  <c r="X2403" i="1" s="1"/>
  <c r="AF2404" i="1" a="1"/>
  <c r="AF2404" i="1" s="1"/>
  <c r="X2404" i="1" s="1"/>
  <c r="AF2405" i="1" a="1"/>
  <c r="AF2405" i="1" s="1"/>
  <c r="X2405" i="1" s="1"/>
  <c r="Z2411" i="1"/>
  <c r="Z2413" i="1"/>
  <c r="AA2421" i="1"/>
  <c r="Z2421" i="1" s="1"/>
  <c r="AA2368" i="1"/>
  <c r="AF2378" i="1" a="1"/>
  <c r="AF2378" i="1" s="1"/>
  <c r="X2378" i="1" s="1"/>
  <c r="AA2378" i="1" s="1"/>
  <c r="Z2378" i="1" s="1"/>
  <c r="AF2379" i="1" a="1"/>
  <c r="AF2379" i="1" s="1"/>
  <c r="X2379" i="1" s="1"/>
  <c r="AA2379" i="1" s="1"/>
  <c r="Z2379" i="1" s="1"/>
  <c r="T2381" i="1"/>
  <c r="AB2382" i="1"/>
  <c r="AF2406" i="1" a="1"/>
  <c r="AF2406" i="1" s="1"/>
  <c r="X2406" i="1" s="1"/>
  <c r="AA2406" i="1" s="1"/>
  <c r="Z2406" i="1" s="1"/>
  <c r="Z2417" i="1"/>
  <c r="AA2423" i="1"/>
  <c r="Z2423" i="1" s="1"/>
  <c r="AA2425" i="1"/>
  <c r="AA2444" i="1"/>
  <c r="Z2444" i="1" s="1"/>
  <c r="AB2444" i="1"/>
  <c r="AB2446" i="1"/>
  <c r="AA2446" i="1"/>
  <c r="Z2446" i="1" s="1"/>
  <c r="AF2349" i="1" a="1"/>
  <c r="AF2349" i="1" s="1"/>
  <c r="X2349" i="1" s="1"/>
  <c r="AA2349" i="1" s="1"/>
  <c r="AF2357" i="1" a="1"/>
  <c r="AF2357" i="1" s="1"/>
  <c r="X2357" i="1" s="1"/>
  <c r="AF2365" i="1" a="1"/>
  <c r="AF2365" i="1" s="1"/>
  <c r="X2365" i="1" s="1"/>
  <c r="Z2383" i="1"/>
  <c r="Z2390" i="1"/>
  <c r="Z2419" i="1"/>
  <c r="AB2423" i="1"/>
  <c r="AA2427" i="1"/>
  <c r="Z2427" i="1" s="1"/>
  <c r="AA2429" i="1"/>
  <c r="Z2439" i="1"/>
  <c r="Z2351" i="1"/>
  <c r="T2368" i="1"/>
  <c r="AB2368" i="1" s="1"/>
  <c r="Z2368" i="1" s="1"/>
  <c r="Z2374" i="1"/>
  <c r="T2384" i="1"/>
  <c r="AB2384" i="1" s="1"/>
  <c r="Z2394" i="1"/>
  <c r="Z2422" i="1"/>
  <c r="Z2425" i="1"/>
  <c r="AB2427" i="1"/>
  <c r="AB2429" i="1"/>
  <c r="AB2443" i="1"/>
  <c r="Z2443" i="1"/>
  <c r="M2" i="3"/>
  <c r="M3" i="3" s="1"/>
  <c r="T2388" i="1"/>
  <c r="T2392" i="1"/>
  <c r="T2396" i="1"/>
  <c r="T2400" i="1"/>
  <c r="T2404" i="1"/>
  <c r="T2408" i="1"/>
  <c r="T2412" i="1"/>
  <c r="T2416" i="1"/>
  <c r="T2420" i="1"/>
  <c r="T2424" i="1"/>
  <c r="T2428" i="1"/>
  <c r="T2432" i="1"/>
  <c r="T2436" i="1"/>
  <c r="T2440" i="1"/>
  <c r="Z1591" i="1" l="1"/>
  <c r="Z1609" i="1"/>
  <c r="Z256" i="1"/>
  <c r="Z834" i="1"/>
  <c r="Z1364" i="1"/>
  <c r="Z1305" i="1"/>
  <c r="Z1255" i="1"/>
  <c r="Z1311" i="1"/>
  <c r="Z1340" i="1"/>
  <c r="Z1100" i="1"/>
  <c r="Z909" i="1"/>
  <c r="Z969" i="1"/>
  <c r="Z937" i="1"/>
  <c r="Z812" i="1"/>
  <c r="Z694" i="1"/>
  <c r="Z706" i="1"/>
  <c r="Z739" i="1"/>
  <c r="Z648" i="1"/>
  <c r="Z499" i="1"/>
  <c r="Z513" i="1"/>
  <c r="Z357" i="1"/>
  <c r="Z305" i="1"/>
  <c r="Z336" i="1"/>
  <c r="Z214" i="1"/>
  <c r="Z146" i="1"/>
  <c r="Z69" i="1"/>
  <c r="Z281" i="1"/>
  <c r="Z63" i="1"/>
  <c r="Z1466" i="1"/>
  <c r="Z875" i="1"/>
  <c r="Z730" i="1"/>
  <c r="AB1568" i="1"/>
  <c r="AB1535" i="1"/>
  <c r="Z1523" i="1"/>
  <c r="Z1485" i="1"/>
  <c r="Z1313" i="1"/>
  <c r="AB1435" i="1"/>
  <c r="Z1435" i="1" s="1"/>
  <c r="Z1409" i="1"/>
  <c r="Z1410" i="1"/>
  <c r="Z1345" i="1"/>
  <c r="Z450" i="1"/>
  <c r="Z1245" i="1"/>
  <c r="Z575" i="1"/>
  <c r="Z1013" i="1"/>
  <c r="Z963" i="1"/>
  <c r="Z824" i="1"/>
  <c r="Z585" i="1"/>
  <c r="Z504" i="1"/>
  <c r="Z329" i="1"/>
  <c r="Z315" i="1"/>
  <c r="Z1280" i="1"/>
  <c r="Z404" i="1"/>
  <c r="Z394" i="1"/>
  <c r="Z216" i="1"/>
  <c r="Z157" i="1"/>
  <c r="Z241" i="1"/>
  <c r="Z93" i="1"/>
  <c r="AA1516" i="1"/>
  <c r="Z1516" i="1" s="1"/>
  <c r="Z1555" i="1"/>
  <c r="Z904" i="1"/>
  <c r="AA1599" i="1"/>
  <c r="Z1599" i="1" s="1"/>
  <c r="Z1566" i="1"/>
  <c r="Z1578" i="1"/>
  <c r="Z1521" i="1"/>
  <c r="AA1517" i="1"/>
  <c r="AA1510" i="1"/>
  <c r="Z1347" i="1"/>
  <c r="Z1224" i="1"/>
  <c r="Z1223" i="1"/>
  <c r="Z1098" i="1"/>
  <c r="Z1279" i="1"/>
  <c r="Z1124" i="1"/>
  <c r="Z1008" i="1"/>
  <c r="Z971" i="1"/>
  <c r="Z826" i="1"/>
  <c r="Z878" i="1"/>
  <c r="Z869" i="1"/>
  <c r="Z857" i="1"/>
  <c r="Z548" i="1"/>
  <c r="Z712" i="1"/>
  <c r="Z491" i="1"/>
  <c r="Z612" i="1"/>
  <c r="Z234" i="1"/>
  <c r="Z509" i="1"/>
  <c r="Z519" i="1"/>
  <c r="Z393" i="1"/>
  <c r="Z311" i="1"/>
  <c r="Z385" i="1"/>
  <c r="Z307" i="1"/>
  <c r="Z201" i="1"/>
  <c r="Z867" i="1"/>
  <c r="Z136" i="1"/>
  <c r="Z110" i="1"/>
  <c r="Z115" i="1"/>
  <c r="Z202" i="1"/>
  <c r="Z58" i="1"/>
  <c r="Z76" i="1"/>
  <c r="Z142" i="1"/>
  <c r="Z1577" i="1"/>
  <c r="Z1579" i="1"/>
  <c r="AB1560" i="1"/>
  <c r="Z1462" i="1"/>
  <c r="AB1530" i="1"/>
  <c r="Z1530" i="1" s="1"/>
  <c r="Z1432" i="1"/>
  <c r="AB1431" i="1"/>
  <c r="Z1393" i="1"/>
  <c r="Z1619" i="1"/>
  <c r="Z1252" i="1"/>
  <c r="Z1122" i="1"/>
  <c r="Z1212" i="1"/>
  <c r="Z1123" i="1"/>
  <c r="Z1010" i="1"/>
  <c r="Z1236" i="1"/>
  <c r="Z957" i="1"/>
  <c r="Z854" i="1"/>
  <c r="Z813" i="1"/>
  <c r="Z879" i="1"/>
  <c r="Z707" i="1"/>
  <c r="Z1009" i="1"/>
  <c r="Z851" i="1"/>
  <c r="Z541" i="1"/>
  <c r="Z680" i="1"/>
  <c r="Z693" i="1"/>
  <c r="Z566" i="1"/>
  <c r="Z720" i="1"/>
  <c r="Z698" i="1"/>
  <c r="Z692" i="1"/>
  <c r="Z339" i="1"/>
  <c r="Z208" i="1"/>
  <c r="Z193" i="1"/>
  <c r="AA1587" i="1"/>
  <c r="AB1503" i="1"/>
  <c r="AA1549" i="1"/>
  <c r="Z1576" i="1"/>
  <c r="Z1472" i="1"/>
  <c r="Z1379" i="1"/>
  <c r="Z1405" i="1"/>
  <c r="Z1329" i="1"/>
  <c r="AB1427" i="1"/>
  <c r="Z1359" i="1"/>
  <c r="Z1396" i="1"/>
  <c r="Z1290" i="1"/>
  <c r="Z1271" i="1"/>
  <c r="Z1099" i="1"/>
  <c r="Z1078" i="1"/>
  <c r="Z954" i="1"/>
  <c r="Z714" i="1"/>
  <c r="Z493" i="1"/>
  <c r="Z264" i="1"/>
  <c r="Z134" i="1"/>
  <c r="Z219" i="1"/>
  <c r="Z187" i="1"/>
  <c r="Z92" i="1"/>
  <c r="Z704" i="1"/>
  <c r="AA1467" i="1"/>
  <c r="AB1484" i="1"/>
  <c r="Z1484" i="1" s="1"/>
  <c r="Z1440" i="1"/>
  <c r="Z1428" i="1"/>
  <c r="Z1325" i="1"/>
  <c r="AB1448" i="1"/>
  <c r="Z1448" i="1" s="1"/>
  <c r="Z1418" i="1"/>
  <c r="Z1216" i="1"/>
  <c r="Z900" i="1"/>
  <c r="Z763" i="1"/>
  <c r="Z710" i="1"/>
  <c r="Z836" i="1"/>
  <c r="Z494" i="1"/>
  <c r="Z686" i="1"/>
  <c r="Z551" i="1"/>
  <c r="Z560" i="1"/>
  <c r="Z713" i="1"/>
  <c r="Z480" i="1"/>
  <c r="Z1473" i="1"/>
  <c r="Z395" i="1"/>
  <c r="Z362" i="1"/>
  <c r="Z295" i="1"/>
  <c r="Z456" i="1"/>
  <c r="Z324" i="1"/>
  <c r="Z340" i="1"/>
  <c r="Z100" i="1"/>
  <c r="Z88" i="1"/>
  <c r="Z70" i="1"/>
  <c r="Z178" i="1"/>
  <c r="Z167" i="1"/>
  <c r="Z121" i="1"/>
  <c r="Z285" i="1"/>
  <c r="Z209" i="1"/>
  <c r="Z1415" i="1"/>
  <c r="Z1483" i="1"/>
  <c r="Z1395" i="1"/>
  <c r="Z1321" i="1"/>
  <c r="Z1337" i="1"/>
  <c r="Z1386" i="1"/>
  <c r="Z953" i="1"/>
  <c r="Z297" i="1"/>
  <c r="Z467" i="1"/>
  <c r="Z569" i="1"/>
  <c r="AA1612" i="1"/>
  <c r="Z1612" i="1" s="1"/>
  <c r="Z1570" i="1"/>
  <c r="Z1338" i="1"/>
  <c r="Z1433" i="1"/>
  <c r="Z1263" i="1"/>
  <c r="Z1247" i="1"/>
  <c r="AA1412" i="1"/>
  <c r="Z1412" i="1" s="1"/>
  <c r="Z1275" i="1"/>
  <c r="Z1525" i="1"/>
  <c r="Z647" i="1"/>
  <c r="Z690" i="1"/>
  <c r="Z543" i="1"/>
  <c r="Z1468" i="1"/>
  <c r="Z365" i="1"/>
  <c r="Z517" i="1"/>
  <c r="Z540" i="1"/>
  <c r="Z400" i="1"/>
  <c r="Z454" i="1"/>
  <c r="Z280" i="1"/>
  <c r="Z179" i="1"/>
  <c r="Z1517" i="1"/>
  <c r="AA1443" i="1"/>
  <c r="Z1443" i="1" s="1"/>
  <c r="Z1533" i="1"/>
  <c r="AB1597" i="1"/>
  <c r="Z1597" i="1" s="1"/>
  <c r="Z1390" i="1"/>
  <c r="Z1303" i="1"/>
  <c r="AA1439" i="1"/>
  <c r="Z1439" i="1" s="1"/>
  <c r="Z1306" i="1"/>
  <c r="Z1215" i="1"/>
  <c r="Z1244" i="1"/>
  <c r="Z1076" i="1"/>
  <c r="AA1492" i="1"/>
  <c r="Z753" i="1"/>
  <c r="Z1474" i="1"/>
  <c r="Z291" i="1"/>
  <c r="Z327" i="1"/>
  <c r="Z313" i="1"/>
  <c r="Z226" i="1"/>
  <c r="AA1593" i="1"/>
  <c r="AA1536" i="1"/>
  <c r="AA1539" i="1"/>
  <c r="Z1511" i="1"/>
  <c r="Z1417" i="1"/>
  <c r="Z1482" i="1"/>
  <c r="AB1408" i="1"/>
  <c r="AB1412" i="1"/>
  <c r="AA1532" i="1"/>
  <c r="Z1365" i="1"/>
  <c r="Z1261" i="1"/>
  <c r="Z1319" i="1"/>
  <c r="Z1257" i="1"/>
  <c r="Z1402" i="1"/>
  <c r="AB1492" i="1"/>
  <c r="Z460" i="1"/>
  <c r="Z823" i="1"/>
  <c r="Z832" i="1"/>
  <c r="Z884" i="1"/>
  <c r="Z207" i="1"/>
  <c r="Z525" i="1"/>
  <c r="Z348" i="1"/>
  <c r="Z156" i="1"/>
  <c r="Z122" i="1"/>
  <c r="Z175" i="1"/>
  <c r="Z130" i="1"/>
  <c r="Z232" i="1"/>
  <c r="Z166" i="1"/>
  <c r="Z118" i="1"/>
  <c r="Z73" i="1"/>
  <c r="AA1535" i="1"/>
  <c r="Z1535" i="1" s="1"/>
  <c r="Z1590" i="1"/>
  <c r="Z1488" i="1"/>
  <c r="AB1514" i="1"/>
  <c r="Z1514" i="1" s="1"/>
  <c r="Z1416" i="1"/>
  <c r="Z1538" i="1"/>
  <c r="Z1429" i="1"/>
  <c r="Z1349" i="1"/>
  <c r="Z1318" i="1"/>
  <c r="Z902" i="1"/>
  <c r="Z973" i="1"/>
  <c r="Z750" i="1"/>
  <c r="Z611" i="1"/>
  <c r="Z556" i="1"/>
  <c r="Z535" i="1"/>
  <c r="Z222" i="1"/>
  <c r="Z479" i="1"/>
  <c r="Z321" i="1"/>
  <c r="Z397" i="1"/>
  <c r="Z342" i="1"/>
  <c r="Z200" i="1"/>
  <c r="Z205" i="1"/>
  <c r="AB2271" i="1"/>
  <c r="AA2271" i="1"/>
  <c r="Z2271" i="1" s="1"/>
  <c r="AB1709" i="1"/>
  <c r="Z1709" i="1"/>
  <c r="AA1709" i="1"/>
  <c r="AB2294" i="1"/>
  <c r="Z2294" i="1"/>
  <c r="AB2258" i="1"/>
  <c r="AA2258" i="1"/>
  <c r="Z2258" i="1" s="1"/>
  <c r="AB2303" i="1"/>
  <c r="Z2199" i="1"/>
  <c r="Z2189" i="1"/>
  <c r="AB2209" i="1"/>
  <c r="AA2209" i="1"/>
  <c r="Z2209" i="1" s="1"/>
  <c r="AB2076" i="1"/>
  <c r="AA2076" i="1"/>
  <c r="Z2076" i="1" s="1"/>
  <c r="Z1975" i="1"/>
  <c r="Z1784" i="1"/>
  <c r="Z1675" i="1"/>
  <c r="Z1531" i="1"/>
  <c r="Z1407" i="1"/>
  <c r="Z1361" i="1"/>
  <c r="Z1343" i="1"/>
  <c r="Z1302" i="1"/>
  <c r="Z1419" i="1"/>
  <c r="Z1288" i="1"/>
  <c r="Z681" i="1"/>
  <c r="Z86" i="1"/>
  <c r="AB2213" i="1"/>
  <c r="Z2213" i="1"/>
  <c r="AA2213" i="1"/>
  <c r="Z2291" i="1"/>
  <c r="AA2277" i="1"/>
  <c r="AB2277" i="1"/>
  <c r="Z2277" i="1"/>
  <c r="AA2236" i="1"/>
  <c r="Z2236" i="1"/>
  <c r="Z2231" i="1"/>
  <c r="Z2141" i="1"/>
  <c r="AB2142" i="1"/>
  <c r="AA2142" i="1"/>
  <c r="Z2142" i="1"/>
  <c r="Z2102" i="1"/>
  <c r="Z2044" i="1"/>
  <c r="Z2023" i="1"/>
  <c r="AA1974" i="1"/>
  <c r="Z1974" i="1" s="1"/>
  <c r="Z1876" i="1"/>
  <c r="Z1785" i="1"/>
  <c r="Z1754" i="1"/>
  <c r="AB1743" i="1"/>
  <c r="Z1743" i="1" s="1"/>
  <c r="Z1582" i="1"/>
  <c r="Z217" i="1"/>
  <c r="Z1478" i="1"/>
  <c r="Z1508" i="1"/>
  <c r="Z974" i="1"/>
  <c r="Z682" i="1"/>
  <c r="Z498" i="1"/>
  <c r="Z301" i="1"/>
  <c r="Z160" i="1"/>
  <c r="AB1614" i="1"/>
  <c r="AA1614" i="1"/>
  <c r="AB2412" i="1"/>
  <c r="AA2412" i="1"/>
  <c r="AB2278" i="1"/>
  <c r="Z2278" i="1" s="1"/>
  <c r="Z2055" i="1"/>
  <c r="AB1971" i="1"/>
  <c r="Z1971" i="1" s="1"/>
  <c r="AA1971" i="1"/>
  <c r="AB1811" i="1"/>
  <c r="AA1811" i="1"/>
  <c r="Z1811" i="1" s="1"/>
  <c r="Z1833" i="1"/>
  <c r="Z1902" i="1"/>
  <c r="AB2352" i="1"/>
  <c r="AA2352" i="1"/>
  <c r="Z2352" i="1" s="1"/>
  <c r="AA2294" i="1"/>
  <c r="AA2278" i="1"/>
  <c r="Z2226" i="1"/>
  <c r="AA2156" i="1"/>
  <c r="Z2156" i="1" s="1"/>
  <c r="AB2156" i="1"/>
  <c r="Z2137" i="1"/>
  <c r="AB2183" i="1"/>
  <c r="Z2183" i="1" s="1"/>
  <c r="Z2122" i="1"/>
  <c r="AA2084" i="1"/>
  <c r="Z2084" i="1" s="1"/>
  <c r="AB2094" i="1"/>
  <c r="AA1923" i="1"/>
  <c r="AB1923" i="1"/>
  <c r="Z1923" i="1"/>
  <c r="Z1815" i="1"/>
  <c r="Z1854" i="1"/>
  <c r="AB1790" i="1"/>
  <c r="AA1790" i="1"/>
  <c r="Z1790" i="1"/>
  <c r="Z1587" i="1"/>
  <c r="Z1344" i="1"/>
  <c r="Z1316" i="1"/>
  <c r="Z859" i="1"/>
  <c r="Z406" i="1"/>
  <c r="Z78" i="1"/>
  <c r="Z2441" i="1"/>
  <c r="AB2441" i="1"/>
  <c r="AA2441" i="1"/>
  <c r="Z1972" i="1"/>
  <c r="Z2341" i="1"/>
  <c r="Z2355" i="1"/>
  <c r="Z2349" i="1"/>
  <c r="Z2249" i="1"/>
  <c r="AB2032" i="1"/>
  <c r="AA2032" i="1"/>
  <c r="Z2032" i="1" s="1"/>
  <c r="AB2062" i="1"/>
  <c r="AA2062" i="1"/>
  <c r="Z2062" i="1"/>
  <c r="AA1980" i="1"/>
  <c r="Z1980" i="1" s="1"/>
  <c r="AB1980" i="1"/>
  <c r="Z1948" i="1"/>
  <c r="Z1812" i="1"/>
  <c r="Z1792" i="1"/>
  <c r="AB1733" i="1"/>
  <c r="Z1733" i="1"/>
  <c r="AA1733" i="1"/>
  <c r="AB1717" i="1"/>
  <c r="AA1717" i="1"/>
  <c r="Z1470" i="1"/>
  <c r="Z1455" i="1"/>
  <c r="Z728" i="1"/>
  <c r="Z696" i="1"/>
  <c r="Z334" i="1"/>
  <c r="Z124" i="1"/>
  <c r="Z60" i="1"/>
  <c r="Z2262" i="1"/>
  <c r="Z1834" i="1"/>
  <c r="Z2401" i="1"/>
  <c r="AA2265" i="1"/>
  <c r="Z2265" i="1" s="1"/>
  <c r="AB2265" i="1"/>
  <c r="Z2272" i="1"/>
  <c r="AB2247" i="1"/>
  <c r="AA2247" i="1"/>
  <c r="Z2247" i="1" s="1"/>
  <c r="AB2229" i="1"/>
  <c r="Z2229" i="1" s="1"/>
  <c r="Z2159" i="1"/>
  <c r="AA2026" i="1"/>
  <c r="AB2026" i="1"/>
  <c r="Z2026" i="1"/>
  <c r="Z1944" i="1"/>
  <c r="Z1860" i="1"/>
  <c r="AB1882" i="1"/>
  <c r="AA1882" i="1"/>
  <c r="Z1882" i="1"/>
  <c r="Z1789" i="1"/>
  <c r="Z1825" i="1"/>
  <c r="AB1825" i="1"/>
  <c r="AB1817" i="1"/>
  <c r="AA1817" i="1"/>
  <c r="Z1817" i="1"/>
  <c r="AB1871" i="1"/>
  <c r="AA1871" i="1"/>
  <c r="Z1871" i="1" s="1"/>
  <c r="AB1551" i="1"/>
  <c r="AA1551" i="1"/>
  <c r="Z1551" i="1" s="1"/>
  <c r="Z1458" i="1"/>
  <c r="AB1605" i="1"/>
  <c r="AA1605" i="1"/>
  <c r="Z1605" i="1" s="1"/>
  <c r="Z1480" i="1"/>
  <c r="Z1421" i="1"/>
  <c r="Z1334" i="1"/>
  <c r="Z151" i="1"/>
  <c r="Z1298" i="1"/>
  <c r="AA1976" i="1"/>
  <c r="Z1976" i="1" s="1"/>
  <c r="AB1976" i="1"/>
  <c r="Z2363" i="1"/>
  <c r="AB2393" i="1"/>
  <c r="AA2393" i="1"/>
  <c r="Z2393" i="1" s="1"/>
  <c r="Z2245" i="1"/>
  <c r="AB2177" i="1"/>
  <c r="AA2177" i="1"/>
  <c r="Z2177" i="1"/>
  <c r="AA2232" i="1"/>
  <c r="Z2040" i="1"/>
  <c r="Z2018" i="1"/>
  <c r="Z2002" i="1"/>
  <c r="AA1924" i="1"/>
  <c r="Z1924" i="1" s="1"/>
  <c r="Z1940" i="1"/>
  <c r="Z1837" i="1"/>
  <c r="Z1787" i="1"/>
  <c r="Z1828" i="1"/>
  <c r="Z1526" i="1"/>
  <c r="Z934" i="1"/>
  <c r="Z360" i="1"/>
  <c r="Z1651" i="1"/>
  <c r="AB1651" i="1"/>
  <c r="AA1651" i="1"/>
  <c r="AB2397" i="1"/>
  <c r="AA2397" i="1"/>
  <c r="Z2397" i="1" s="1"/>
  <c r="Z1888" i="1"/>
  <c r="Z2396" i="1"/>
  <c r="Z2197" i="1"/>
  <c r="Z2217" i="1"/>
  <c r="Z2195" i="1"/>
  <c r="Z2190" i="1"/>
  <c r="Z2196" i="1"/>
  <c r="AA2200" i="1"/>
  <c r="Z2200" i="1" s="1"/>
  <c r="AA2128" i="1"/>
  <c r="Z2128" i="1" s="1"/>
  <c r="AA2024" i="1"/>
  <c r="Z2024" i="1" s="1"/>
  <c r="AB2024" i="1"/>
  <c r="AB1922" i="1"/>
  <c r="AA1922" i="1"/>
  <c r="Z1922" i="1" s="1"/>
  <c r="AB1921" i="1"/>
  <c r="Z1921" i="1" s="1"/>
  <c r="Z1959" i="1"/>
  <c r="Z1968" i="1"/>
  <c r="AA1846" i="1"/>
  <c r="Z1846" i="1"/>
  <c r="AB1846" i="1"/>
  <c r="Z1677" i="1"/>
  <c r="AA1750" i="1"/>
  <c r="Z1750" i="1"/>
  <c r="AB1750" i="1"/>
  <c r="Z1744" i="1"/>
  <c r="Z1760" i="1"/>
  <c r="Z1549" i="1"/>
  <c r="Z1573" i="1"/>
  <c r="Z1486" i="1"/>
  <c r="Z1246" i="1"/>
  <c r="Z936" i="1"/>
  <c r="Z711" i="1"/>
  <c r="Z283" i="1"/>
  <c r="Z127" i="1"/>
  <c r="Z412" i="1"/>
  <c r="AB2221" i="1"/>
  <c r="AA2221" i="1"/>
  <c r="Z2221" i="1" s="1"/>
  <c r="Z2155" i="1"/>
  <c r="Z2157" i="1"/>
  <c r="AA2157" i="1"/>
  <c r="AB2157" i="1"/>
  <c r="AB2115" i="1"/>
  <c r="AA2115" i="1"/>
  <c r="Z2115" i="1" s="1"/>
  <c r="Z1816" i="1"/>
  <c r="AB1584" i="1"/>
  <c r="AA1584" i="1"/>
  <c r="Z1717" i="1"/>
  <c r="AB1659" i="1"/>
  <c r="AA1659" i="1"/>
  <c r="Z1659" i="1" s="1"/>
  <c r="Z418" i="1"/>
  <c r="Z173" i="1"/>
  <c r="AB2420" i="1"/>
  <c r="AA2420" i="1"/>
  <c r="Z2420" i="1" s="1"/>
  <c r="AB2360" i="1"/>
  <c r="AA2360" i="1"/>
  <c r="Z2360" i="1"/>
  <c r="I2" i="3"/>
  <c r="M5" i="3" s="1"/>
  <c r="M7" i="3" s="1"/>
  <c r="I11" i="3"/>
  <c r="I10" i="3"/>
  <c r="I5" i="3"/>
  <c r="I9" i="3"/>
  <c r="I4" i="3"/>
  <c r="I8" i="3"/>
  <c r="I3" i="3"/>
  <c r="M6" i="3" s="1"/>
  <c r="I7" i="3"/>
  <c r="I12" i="3"/>
  <c r="I6" i="3"/>
  <c r="AB2336" i="1"/>
  <c r="AA2336" i="1"/>
  <c r="Z2336" i="1" s="1"/>
  <c r="Z2308" i="1"/>
  <c r="Z2429" i="1"/>
  <c r="Z2412" i="1"/>
  <c r="Z2312" i="1"/>
  <c r="Z2303" i="1"/>
  <c r="AA2254" i="1"/>
  <c r="Z2254" i="1" s="1"/>
  <c r="Z2309" i="1"/>
  <c r="Z2326" i="1"/>
  <c r="Z2214" i="1"/>
  <c r="Z2252" i="1"/>
  <c r="Z2161" i="1"/>
  <c r="Z2259" i="1"/>
  <c r="Z2165" i="1"/>
  <c r="Z2106" i="1"/>
  <c r="Z2057" i="1"/>
  <c r="AA1825" i="1"/>
  <c r="Z1827" i="1"/>
  <c r="Z1853" i="1"/>
  <c r="Z1726" i="1"/>
  <c r="AA1763" i="1"/>
  <c r="Z1763" i="1" s="1"/>
  <c r="AB1763" i="1"/>
  <c r="Z1782" i="1"/>
  <c r="AB1924" i="1"/>
  <c r="AB1630" i="1"/>
  <c r="Z1630" i="1"/>
  <c r="AA1630" i="1"/>
  <c r="Z1594" i="1"/>
  <c r="AA1502" i="1"/>
  <c r="Z1502" i="1"/>
  <c r="AB1502" i="1"/>
  <c r="Z1358" i="1"/>
  <c r="Z576" i="1"/>
  <c r="Z237" i="1"/>
  <c r="AB2428" i="1"/>
  <c r="AA2428" i="1"/>
  <c r="AB2424" i="1"/>
  <c r="AA2424" i="1"/>
  <c r="AB2369" i="1"/>
  <c r="AA2369" i="1"/>
  <c r="Z2369" i="1" s="1"/>
  <c r="Z2295" i="1"/>
  <c r="Z2253" i="1"/>
  <c r="AB2253" i="1"/>
  <c r="Z2270" i="1"/>
  <c r="AA2290" i="1"/>
  <c r="Z2290" i="1" s="1"/>
  <c r="AA2235" i="1"/>
  <c r="Z2235" i="1" s="1"/>
  <c r="AA2165" i="1"/>
  <c r="AA2133" i="1"/>
  <c r="Z2133" i="1" s="1"/>
  <c r="AB2151" i="1"/>
  <c r="Z2151" i="1" s="1"/>
  <c r="AB2130" i="1"/>
  <c r="AA2050" i="1"/>
  <c r="Z2050" i="1" s="1"/>
  <c r="AB2027" i="1"/>
  <c r="AA2054" i="1"/>
  <c r="Z2054" i="1" s="1"/>
  <c r="Z2049" i="1"/>
  <c r="AB1979" i="1"/>
  <c r="Z1979" i="1" s="1"/>
  <c r="AB2007" i="1"/>
  <c r="Z2007" i="1" s="1"/>
  <c r="AB1966" i="1"/>
  <c r="Z1966" i="1" s="1"/>
  <c r="Z1899" i="1"/>
  <c r="AB1941" i="1"/>
  <c r="Z1941" i="1" s="1"/>
  <c r="Z1894" i="1"/>
  <c r="AB1851" i="1"/>
  <c r="Z1851" i="1" s="1"/>
  <c r="AB1835" i="1"/>
  <c r="Z1835" i="1" s="1"/>
  <c r="AB1801" i="1"/>
  <c r="Z1801" i="1" s="1"/>
  <c r="AA1736" i="1"/>
  <c r="Z1786" i="1"/>
  <c r="Z1703" i="1"/>
  <c r="AA1719" i="1"/>
  <c r="Z1719" i="1" s="1"/>
  <c r="Z1938" i="1"/>
  <c r="AA1565" i="1"/>
  <c r="Z1565" i="1" s="1"/>
  <c r="AB1730" i="1"/>
  <c r="Z1730" i="1" s="1"/>
  <c r="Z1627" i="1"/>
  <c r="AB1726" i="1"/>
  <c r="AB1615" i="1"/>
  <c r="Z1467" i="1"/>
  <c r="AA1629" i="1"/>
  <c r="Z1629" i="1" s="1"/>
  <c r="AB1481" i="1"/>
  <c r="AA1540" i="1"/>
  <c r="Z1540" i="1" s="1"/>
  <c r="AA1615" i="1"/>
  <c r="Z1615" i="1" s="1"/>
  <c r="AB1593" i="1"/>
  <c r="Z1593" i="1" s="1"/>
  <c r="AA1447" i="1"/>
  <c r="AB1546" i="1"/>
  <c r="AA1546" i="1"/>
  <c r="Z1546" i="1" s="1"/>
  <c r="AB1510" i="1"/>
  <c r="Z1510" i="1" s="1"/>
  <c r="Z1086" i="1"/>
  <c r="Z164" i="1"/>
  <c r="Z128" i="1"/>
  <c r="Z49" i="1"/>
  <c r="Z37" i="1"/>
  <c r="Z1723" i="1"/>
  <c r="AA1793" i="1"/>
  <c r="Z1793" i="1" s="1"/>
  <c r="AB1766" i="1"/>
  <c r="Z1766" i="1" s="1"/>
  <c r="AB1722" i="1"/>
  <c r="AA1575" i="1"/>
  <c r="Z1575" i="1" s="1"/>
  <c r="AA1561" i="1"/>
  <c r="Z1561" i="1" s="1"/>
  <c r="AB1727" i="1"/>
  <c r="AB1642" i="1"/>
  <c r="Z1642" i="1"/>
  <c r="AB1518" i="1"/>
  <c r="AB1723" i="1"/>
  <c r="AA1634" i="1"/>
  <c r="Z1634" i="1" s="1"/>
  <c r="Z1589" i="1"/>
  <c r="Z1585" i="1"/>
  <c r="AA1671" i="1"/>
  <c r="Z1671" i="1" s="1"/>
  <c r="AA1642" i="1"/>
  <c r="AA1509" i="1"/>
  <c r="Z1509" i="1" s="1"/>
  <c r="AA1560" i="1"/>
  <c r="Z1560" i="1" s="1"/>
  <c r="AB1497" i="1"/>
  <c r="Z1497" i="1" s="1"/>
  <c r="AB1447" i="1"/>
  <c r="Z1436" i="1"/>
  <c r="Z1431" i="1"/>
  <c r="Z1532" i="1"/>
  <c r="AA1424" i="1"/>
  <c r="Z1424" i="1" s="1"/>
  <c r="Z1308" i="1"/>
  <c r="Z1895" i="1"/>
  <c r="AB1795" i="1"/>
  <c r="Z1795" i="1" s="1"/>
  <c r="AB2416" i="1"/>
  <c r="AA2416" i="1"/>
  <c r="Z2248" i="1"/>
  <c r="AA2186" i="1"/>
  <c r="Z2186" i="1" s="1"/>
  <c r="Z2224" i="1"/>
  <c r="Z2218" i="1"/>
  <c r="Z2220" i="1"/>
  <c r="Z2166" i="1"/>
  <c r="Z2066" i="1"/>
  <c r="AA1973" i="1"/>
  <c r="Z1973" i="1" s="1"/>
  <c r="Z1962" i="1"/>
  <c r="AB1929" i="1"/>
  <c r="Z1929" i="1" s="1"/>
  <c r="Z1891" i="1"/>
  <c r="AB1967" i="1"/>
  <c r="Z1967" i="1" s="1"/>
  <c r="Z1862" i="1"/>
  <c r="AB1800" i="1"/>
  <c r="Z1800" i="1" s="1"/>
  <c r="Z1803" i="1"/>
  <c r="Z1870" i="1"/>
  <c r="AA1804" i="1"/>
  <c r="Z1804" i="1" s="1"/>
  <c r="AA1863" i="1"/>
  <c r="Z1863" i="1" s="1"/>
  <c r="Z1735" i="1"/>
  <c r="Z1822" i="1"/>
  <c r="Z1805" i="1"/>
  <c r="Z1751" i="1"/>
  <c r="AA1715" i="1"/>
  <c r="Z1715" i="1" s="1"/>
  <c r="Z1722" i="1"/>
  <c r="Z1739" i="1"/>
  <c r="AA1654" i="1"/>
  <c r="AB1719" i="1"/>
  <c r="AA1638" i="1"/>
  <c r="Z1638" i="1" s="1"/>
  <c r="AA1550" i="1"/>
  <c r="Z1596" i="1"/>
  <c r="Z1481" i="1"/>
  <c r="Z1503" i="1"/>
  <c r="AB1512" i="1"/>
  <c r="Z1512" i="1" s="1"/>
  <c r="AA1465" i="1"/>
  <c r="Z1465" i="1" s="1"/>
  <c r="Z191" i="1"/>
  <c r="Z4" i="1"/>
  <c r="Z67" i="1"/>
  <c r="Z1018" i="1"/>
  <c r="Z650" i="1"/>
  <c r="Z290" i="1"/>
  <c r="AB2408" i="1"/>
  <c r="AA2408" i="1"/>
  <c r="Z2424" i="1"/>
  <c r="AA2344" i="1"/>
  <c r="Z2416" i="1"/>
  <c r="AA2365" i="1"/>
  <c r="Z2365" i="1" s="1"/>
  <c r="AB2340" i="1"/>
  <c r="Z2340" i="1" s="1"/>
  <c r="AB2337" i="1"/>
  <c r="Z2337" i="1"/>
  <c r="AB2365" i="1"/>
  <c r="AB2331" i="1"/>
  <c r="Z2331" i="1" s="1"/>
  <c r="Z2241" i="1"/>
  <c r="Z2255" i="1"/>
  <c r="AA2241" i="1"/>
  <c r="Z2232" i="1"/>
  <c r="AB2083" i="1"/>
  <c r="AA2083" i="1"/>
  <c r="Z2083" i="1" s="1"/>
  <c r="AA2094" i="1"/>
  <c r="AA2119" i="1"/>
  <c r="AB2039" i="1"/>
  <c r="Z1970" i="1"/>
  <c r="AB1991" i="1"/>
  <c r="Z1991" i="1" s="1"/>
  <c r="Z1856" i="1"/>
  <c r="Z1808" i="1"/>
  <c r="Z1933" i="1"/>
  <c r="Z1844" i="1"/>
  <c r="AA1838" i="1"/>
  <c r="Z1838" i="1" s="1"/>
  <c r="AB1808" i="1"/>
  <c r="AB1691" i="1"/>
  <c r="Z1691" i="1" s="1"/>
  <c r="AA1714" i="1"/>
  <c r="Z1714" i="1" s="1"/>
  <c r="AA1529" i="1"/>
  <c r="Z1471" i="1"/>
  <c r="AB1620" i="1"/>
  <c r="AB1539" i="1"/>
  <c r="Z1539" i="1" s="1"/>
  <c r="AA1524" i="1"/>
  <c r="Z1524" i="1" s="1"/>
  <c r="Z1231" i="1"/>
  <c r="Z98" i="1"/>
  <c r="Z152" i="1"/>
  <c r="Z116" i="1"/>
  <c r="Z95" i="1"/>
  <c r="AB2283" i="1"/>
  <c r="AA2283" i="1"/>
  <c r="AA2237" i="1"/>
  <c r="Z2237" i="1" s="1"/>
  <c r="Z2215" i="1"/>
  <c r="Z2074" i="1"/>
  <c r="AA2038" i="1"/>
  <c r="Z2038" i="1" s="1"/>
  <c r="AB2038" i="1"/>
  <c r="AA1957" i="1"/>
  <c r="Z1957" i="1" s="1"/>
  <c r="Z1916" i="1"/>
  <c r="AB1715" i="1"/>
  <c r="Z1556" i="1"/>
  <c r="Z1633" i="1"/>
  <c r="Z897" i="1"/>
  <c r="Z833" i="1"/>
  <c r="Z563" i="1"/>
  <c r="AA1602" i="1"/>
  <c r="Z1602" i="1" s="1"/>
  <c r="Z347" i="1"/>
  <c r="Z378" i="1"/>
  <c r="AB2400" i="1"/>
  <c r="AA2400" i="1"/>
  <c r="Z2400" i="1" s="1"/>
  <c r="Z2344" i="1"/>
  <c r="AA2324" i="1"/>
  <c r="Z2324" i="1" s="1"/>
  <c r="AA2353" i="1"/>
  <c r="Z2353" i="1" s="1"/>
  <c r="Z2313" i="1"/>
  <c r="AB2279" i="1"/>
  <c r="AA2279" i="1"/>
  <c r="AA2234" i="1"/>
  <c r="AB2234" i="1"/>
  <c r="Z2234" i="1" s="1"/>
  <c r="AB2285" i="1"/>
  <c r="Z2285" i="1" s="1"/>
  <c r="AB2266" i="1"/>
  <c r="AA2275" i="1"/>
  <c r="Z2275" i="1" s="1"/>
  <c r="AB2180" i="1"/>
  <c r="Z2180" i="1" s="1"/>
  <c r="AA2145" i="1"/>
  <c r="AB2232" i="1"/>
  <c r="Z2072" i="1"/>
  <c r="Z2080" i="1"/>
  <c r="AA2140" i="1"/>
  <c r="Z2140" i="1" s="1"/>
  <c r="AA2121" i="1"/>
  <c r="Z2121" i="1" s="1"/>
  <c r="AA2134" i="1"/>
  <c r="Z2134" i="1" s="1"/>
  <c r="Z2094" i="1"/>
  <c r="Z2162" i="1"/>
  <c r="AB2145" i="1"/>
  <c r="Z2145" i="1" s="1"/>
  <c r="Z2119" i="1"/>
  <c r="AA2073" i="1"/>
  <c r="Z2073" i="1" s="1"/>
  <c r="AB1993" i="1"/>
  <c r="Z1993" i="1" s="1"/>
  <c r="AA2003" i="1"/>
  <c r="Z2003" i="1" s="1"/>
  <c r="AB2045" i="1"/>
  <c r="Z2027" i="1"/>
  <c r="Z1953" i="1"/>
  <c r="AB1935" i="1"/>
  <c r="Z1935" i="1" s="1"/>
  <c r="AB1996" i="1"/>
  <c r="Z1996" i="1" s="1"/>
  <c r="Z1983" i="1"/>
  <c r="AB1916" i="1"/>
  <c r="Z1875" i="1"/>
  <c r="Z1925" i="1"/>
  <c r="AA1830" i="1"/>
  <c r="Z1830" i="1" s="1"/>
  <c r="AA1847" i="1"/>
  <c r="Z1847" i="1" s="1"/>
  <c r="AA1799" i="1"/>
  <c r="Z1799" i="1" s="1"/>
  <c r="AA1843" i="1"/>
  <c r="Z1843" i="1" s="1"/>
  <c r="Z1679" i="1"/>
  <c r="Z1802" i="1"/>
  <c r="AA1729" i="1"/>
  <c r="Z1729" i="1" s="1"/>
  <c r="AA1731" i="1"/>
  <c r="Z1758" i="1"/>
  <c r="AB1714" i="1"/>
  <c r="Z1759" i="1"/>
  <c r="AB1641" i="1"/>
  <c r="AB1595" i="1"/>
  <c r="Z1595" i="1" s="1"/>
  <c r="Z1604" i="1"/>
  <c r="Z1639" i="1"/>
  <c r="AB1610" i="1"/>
  <c r="Z1610" i="1" s="1"/>
  <c r="Z1536" i="1"/>
  <c r="AA1518" i="1"/>
  <c r="Z1518" i="1" s="1"/>
  <c r="AA1564" i="1"/>
  <c r="Z1564" i="1" s="1"/>
  <c r="AA1457" i="1"/>
  <c r="Z1457" i="1" s="1"/>
  <c r="AA1427" i="1"/>
  <c r="Z1427" i="1" s="1"/>
  <c r="Z1248" i="1"/>
  <c r="Z1007" i="1"/>
  <c r="Z1062" i="1"/>
  <c r="Z341" i="1"/>
  <c r="Z197" i="1"/>
  <c r="Z80" i="1"/>
  <c r="Z89" i="1"/>
  <c r="AB2396" i="1"/>
  <c r="AA2396" i="1"/>
  <c r="Z2409" i="1"/>
  <c r="AB2409" i="1"/>
  <c r="AA2409" i="1"/>
  <c r="Z2405" i="1"/>
  <c r="AB2405" i="1"/>
  <c r="AA2405" i="1"/>
  <c r="Z2428" i="1"/>
  <c r="AB2380" i="1"/>
  <c r="Z2380" i="1" s="1"/>
  <c r="AB2323" i="1"/>
  <c r="AA2323" i="1"/>
  <c r="AB2276" i="1"/>
  <c r="Z2289" i="1"/>
  <c r="AA2264" i="1"/>
  <c r="Z2264" i="1" s="1"/>
  <c r="AB2267" i="1"/>
  <c r="AB2176" i="1"/>
  <c r="Z2178" i="1"/>
  <c r="AA2109" i="1"/>
  <c r="Z2109" i="1" s="1"/>
  <c r="AA2028" i="1"/>
  <c r="Z2028" i="1" s="1"/>
  <c r="AB2059" i="1"/>
  <c r="AA2022" i="1"/>
  <c r="Z2022" i="1" s="1"/>
  <c r="AA2069" i="1"/>
  <c r="Z2069" i="1" s="1"/>
  <c r="AA2048" i="1"/>
  <c r="Z2048" i="1" s="1"/>
  <c r="AB1999" i="1"/>
  <c r="Z1999" i="1" s="1"/>
  <c r="AB1949" i="1"/>
  <c r="Z1949" i="1" s="1"/>
  <c r="AA1983" i="1"/>
  <c r="Z1859" i="1"/>
  <c r="AB1830" i="1"/>
  <c r="AA1796" i="1"/>
  <c r="Z1796" i="1" s="1"/>
  <c r="AA1770" i="1"/>
  <c r="Z1770" i="1" s="1"/>
  <c r="AA1802" i="1"/>
  <c r="AA1725" i="1"/>
  <c r="Z1725" i="1" s="1"/>
  <c r="AA1730" i="1"/>
  <c r="AA1758" i="1"/>
  <c r="Z1731" i="1"/>
  <c r="AA1581" i="1"/>
  <c r="Z1581" i="1" s="1"/>
  <c r="AA1490" i="1"/>
  <c r="AA1487" i="1"/>
  <c r="Z1487" i="1" s="1"/>
  <c r="AA1461" i="1"/>
  <c r="Z1461" i="1" s="1"/>
  <c r="Z1527" i="1"/>
  <c r="Z1423" i="1"/>
  <c r="Z1477" i="1"/>
  <c r="Z1320" i="1"/>
  <c r="Z1558" i="1"/>
  <c r="Z335" i="1"/>
  <c r="Z293" i="1"/>
  <c r="Z363" i="1"/>
  <c r="Z64" i="1"/>
  <c r="AB2392" i="1"/>
  <c r="AA2392" i="1"/>
  <c r="Z2392" i="1" s="1"/>
  <c r="AB2381" i="1"/>
  <c r="Z2381" i="1" s="1"/>
  <c r="AA2381" i="1"/>
  <c r="Z2408" i="1"/>
  <c r="AA2372" i="1"/>
  <c r="Z2372" i="1" s="1"/>
  <c r="AA2361" i="1"/>
  <c r="Z2361" i="1" s="1"/>
  <c r="Z2283" i="1"/>
  <c r="Z2228" i="1"/>
  <c r="AB2228" i="1"/>
  <c r="AA2266" i="1"/>
  <c r="Z2266" i="1" s="1"/>
  <c r="AA2267" i="1"/>
  <c r="Z2267" i="1" s="1"/>
  <c r="Z2244" i="1"/>
  <c r="AB2172" i="1"/>
  <c r="AB2186" i="1"/>
  <c r="AA2180" i="1"/>
  <c r="Z2174" i="1"/>
  <c r="Z2114" i="1"/>
  <c r="AA2097" i="1"/>
  <c r="Z2097" i="1" s="1"/>
  <c r="AA2086" i="1"/>
  <c r="Z2086" i="1" s="1"/>
  <c r="AA2063" i="1"/>
  <c r="Z2063" i="1" s="1"/>
  <c r="Z2035" i="1"/>
  <c r="AB2048" i="1"/>
  <c r="Z1850" i="1"/>
  <c r="Z1774" i="1"/>
  <c r="AA1867" i="1"/>
  <c r="AB1796" i="1"/>
  <c r="Z1747" i="1"/>
  <c r="Z1814" i="1"/>
  <c r="AA1741" i="1"/>
  <c r="Z1741" i="1" s="1"/>
  <c r="AA1721" i="1"/>
  <c r="Z1721" i="1" s="1"/>
  <c r="AA1727" i="1"/>
  <c r="Z1727" i="1" s="1"/>
  <c r="AB1762" i="1"/>
  <c r="Z1762" i="1" s="1"/>
  <c r="Z1654" i="1"/>
  <c r="AB1741" i="1"/>
  <c r="AA1572" i="1"/>
  <c r="Z1572" i="1" s="1"/>
  <c r="AA1568" i="1"/>
  <c r="Z1568" i="1" s="1"/>
  <c r="Z1550" i="1"/>
  <c r="Z1490" i="1"/>
  <c r="AA1626" i="1"/>
  <c r="Z1626" i="1" s="1"/>
  <c r="AA1597" i="1"/>
  <c r="AB1513" i="1"/>
  <c r="Z1513" i="1" s="1"/>
  <c r="AA1451" i="1"/>
  <c r="Z1451" i="1" s="1"/>
  <c r="Z842" i="1"/>
  <c r="Z559" i="1"/>
  <c r="Z176" i="1"/>
  <c r="Z140" i="1"/>
  <c r="Z104" i="1"/>
  <c r="AB2404" i="1"/>
  <c r="AA2404" i="1"/>
  <c r="Z2404" i="1" s="1"/>
  <c r="AA2440" i="1"/>
  <c r="Z2440" i="1" s="1"/>
  <c r="AB2440" i="1"/>
  <c r="AA2436" i="1"/>
  <c r="Z2436" i="1" s="1"/>
  <c r="AB2436" i="1"/>
  <c r="AA2388" i="1"/>
  <c r="AB2388" i="1"/>
  <c r="AA2328" i="1"/>
  <c r="Z2328" i="1" s="1"/>
  <c r="AB2327" i="1"/>
  <c r="Z2327" i="1" s="1"/>
  <c r="Z2319" i="1"/>
  <c r="AA2263" i="1"/>
  <c r="Z2263" i="1" s="1"/>
  <c r="AB2263" i="1"/>
  <c r="AB2318" i="1"/>
  <c r="Z2318" i="1" s="1"/>
  <c r="AA2276" i="1"/>
  <c r="Z2276" i="1" s="1"/>
  <c r="AA2228" i="1"/>
  <c r="Z2243" i="1"/>
  <c r="AA2243" i="1"/>
  <c r="AB2282" i="1"/>
  <c r="Z2282" i="1" s="1"/>
  <c r="Z2210" i="1"/>
  <c r="AA2176" i="1"/>
  <c r="Z2176" i="1" s="1"/>
  <c r="Z2205" i="1"/>
  <c r="Z2170" i="1"/>
  <c r="AB2173" i="1"/>
  <c r="Z2173" i="1" s="1"/>
  <c r="Z2051" i="1"/>
  <c r="AA2039" i="1"/>
  <c r="Z2039" i="1" s="1"/>
  <c r="AA2059" i="1"/>
  <c r="Z2059" i="1" s="1"/>
  <c r="Z1994" i="1"/>
  <c r="AA1988" i="1"/>
  <c r="Z1988" i="1" s="1"/>
  <c r="AB2033" i="1"/>
  <c r="Z2033" i="1" s="1"/>
  <c r="AA1945" i="1"/>
  <c r="Z1945" i="1" s="1"/>
  <c r="Z1823" i="1"/>
  <c r="AA1783" i="1"/>
  <c r="Z1791" i="1"/>
  <c r="AB1746" i="1"/>
  <c r="Z1746" i="1" s="1"/>
  <c r="Z1656" i="1"/>
  <c r="AB1734" i="1"/>
  <c r="Z1734" i="1" s="1"/>
  <c r="AB1583" i="1"/>
  <c r="Z1583" i="1" s="1"/>
  <c r="AB1529" i="1"/>
  <c r="Z1529" i="1" s="1"/>
  <c r="Z1411" i="1"/>
  <c r="AA1408" i="1"/>
  <c r="Z1408" i="1" s="1"/>
  <c r="AA1620" i="1"/>
  <c r="Z1620" i="1" s="1"/>
  <c r="Z1066" i="1"/>
  <c r="Z908" i="1"/>
  <c r="Z323" i="1"/>
  <c r="Z255" i="1"/>
  <c r="AA2432" i="1"/>
  <c r="Z2432" i="1" s="1"/>
  <c r="AB2432" i="1"/>
  <c r="Z2388" i="1"/>
  <c r="AA2307" i="1"/>
  <c r="Z2307" i="1" s="1"/>
  <c r="AA2205" i="1"/>
  <c r="AB2168" i="1"/>
  <c r="Z2168" i="1"/>
  <c r="AA2172" i="1"/>
  <c r="Z2172" i="1" s="1"/>
  <c r="AA2204" i="1"/>
  <c r="Z2204" i="1" s="1"/>
  <c r="AB2164" i="1"/>
  <c r="Z2164" i="1" s="1"/>
  <c r="Z2154" i="1"/>
  <c r="Z2130" i="1"/>
  <c r="AB2107" i="1"/>
  <c r="Z2107" i="1" s="1"/>
  <c r="Z2045" i="1"/>
  <c r="AB2000" i="1"/>
  <c r="Z2000" i="1" s="1"/>
  <c r="AA1994" i="1"/>
  <c r="AA1819" i="1"/>
  <c r="Z1819" i="1"/>
  <c r="Z1867" i="1"/>
  <c r="AA1823" i="1"/>
  <c r="Z1736" i="1"/>
  <c r="AB1783" i="1"/>
  <c r="Z1783" i="1" s="1"/>
  <c r="Z1628" i="1"/>
  <c r="Z1632" i="1"/>
  <c r="Z317" i="1"/>
  <c r="Z422" i="1"/>
  <c r="Z213" i="1"/>
  <c r="Z170" i="1"/>
  <c r="Z249" i="1"/>
  <c r="AA2357" i="1"/>
  <c r="Z2357" i="1" s="1"/>
  <c r="AB2385" i="1"/>
  <c r="AA2385" i="1"/>
  <c r="Z2385" i="1"/>
  <c r="AB2335" i="1"/>
  <c r="Z2335" i="1" s="1"/>
  <c r="Z2301" i="1"/>
  <c r="AA2239" i="1"/>
  <c r="Z2239" i="1" s="1"/>
  <c r="AB2152" i="1"/>
  <c r="Z2152" i="1" s="1"/>
  <c r="AB2160" i="1"/>
  <c r="Z2160" i="1" s="1"/>
  <c r="AB1957" i="1"/>
  <c r="AA1926" i="1"/>
  <c r="Z1926" i="1" s="1"/>
  <c r="AB1930" i="1"/>
  <c r="Z1930" i="1" s="1"/>
  <c r="AA1820" i="1"/>
  <c r="Z1820" i="1" s="1"/>
  <c r="Z1767" i="1"/>
  <c r="Z1742" i="1"/>
  <c r="AB1571" i="1"/>
  <c r="Z1571" i="1" s="1"/>
  <c r="AB1564" i="1"/>
  <c r="Z1641" i="1"/>
  <c r="Z1554" i="1"/>
  <c r="AA1569" i="1"/>
  <c r="Z1569" i="1" s="1"/>
  <c r="Z1326" i="1"/>
  <c r="AA1420" i="1"/>
  <c r="Z1420" i="1" s="1"/>
  <c r="Z407" i="1"/>
  <c r="Z410" i="1"/>
  <c r="Z1584" i="1" l="1"/>
  <c r="Z1447" i="1"/>
  <c r="Z1492" i="1"/>
  <c r="Z1614" i="1"/>
  <c r="Z2279" i="1"/>
  <c r="Z232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A77" authorId="0" shapeId="0" xr:uid="{00000000-0006-0000-0000-000001000000}">
      <text>
        <r>
          <rPr>
            <sz val="10"/>
            <color rgb="FF000000"/>
            <rFont val="Arial"/>
            <scheme val="minor"/>
          </rPr>
          <t>прислал предоплату</t>
        </r>
      </text>
    </comment>
    <comment ref="M1407" authorId="0" shapeId="0" xr:uid="{00000000-0006-0000-0000-00000C000000}">
      <text>
        <r>
          <rPr>
            <sz val="10"/>
            <color rgb="FF000000"/>
            <rFont val="Arial"/>
            <scheme val="minor"/>
          </rPr>
          <t>https://drive.google.com/drive/u/0/folders/1VAICEfDz5zCQgdNi_ggZtq1o22CCTA7_</t>
        </r>
      </text>
    </comment>
    <comment ref="M1435" authorId="0" shapeId="0" xr:uid="{00000000-0006-0000-0000-00000D000000}">
      <text>
        <r>
          <rPr>
            <sz val="10"/>
            <color rgb="FF000000"/>
            <rFont val="Arial"/>
            <scheme val="minor"/>
          </rPr>
          <t>https://i.gyazo.com/56224eb438111185bf728c8f2bcfa4f4.png
с 21/01 по 12/03</t>
        </r>
      </text>
    </comment>
    <comment ref="M1454" authorId="0" shapeId="0" xr:uid="{00000000-0006-0000-0000-00000E000000}">
      <text>
        <r>
          <rPr>
            <sz val="10"/>
            <color rgb="FF000000"/>
            <rFont val="Arial"/>
            <scheme val="minor"/>
          </rPr>
          <t>https://drive.google.com/drive/u/0/folders/1VxVI48yxzBg9rueYfeSNEqVHrjPYW7xC</t>
        </r>
      </text>
    </comment>
    <comment ref="M1455" authorId="0" shapeId="0" xr:uid="{00000000-0006-0000-0000-00000F000000}">
      <text>
        <r>
          <rPr>
            <sz val="10"/>
            <color rgb="FF000000"/>
            <rFont val="Arial"/>
            <scheme val="minor"/>
          </rPr>
          <t>https://drive.google.com/drive/u/0/folders/1wx3A_JWtKkOuMs2oLLEUOHUHyidpIkxs</t>
        </r>
      </text>
    </comment>
    <comment ref="M1457" authorId="0" shapeId="0" xr:uid="{00000000-0006-0000-0000-000010000000}">
      <text>
        <r>
          <rPr>
            <sz val="10"/>
            <color rgb="FF000000"/>
            <rFont val="Arial"/>
            <scheme val="minor"/>
          </rPr>
          <t>https://drive.google.com/drive/u/0/folders/1ENwEqbNuUm1gja5aLj0XaSihvKS5hGiq</t>
        </r>
      </text>
    </comment>
    <comment ref="M1469" authorId="0" shapeId="0" xr:uid="{00000000-0006-0000-0000-000002000000}">
      <text>
        <r>
          <rPr>
            <sz val="10"/>
            <color rgb="FF000000"/>
            <rFont val="Arial"/>
            <scheme val="minor"/>
          </rPr>
          <t>https://drive.google.com/drive/u/0/folders/1aYDkj8aVfKuACZ02q8-nZheuEU_M3pgx</t>
        </r>
      </text>
    </comment>
    <comment ref="M1470" authorId="0" shapeId="0" xr:uid="{00000000-0006-0000-0000-000011000000}">
      <text>
        <r>
          <rPr>
            <sz val="10"/>
            <color rgb="FF000000"/>
            <rFont val="Arial"/>
            <scheme val="minor"/>
          </rPr>
          <t>https://drive.google.com/drive/u/0/folders/1U0fwQdYLRGE_XvEZ6v_Ihs_cGLc5htSx</t>
        </r>
      </text>
    </comment>
    <comment ref="M1471" authorId="0" shapeId="0" xr:uid="{00000000-0006-0000-0000-000012000000}">
      <text>
        <r>
          <rPr>
            <sz val="10"/>
            <color rgb="FF000000"/>
            <rFont val="Arial"/>
            <scheme val="minor"/>
          </rPr>
          <t>https://i.gyazo.com/c44949cb5f9807dd190c30b0675ab94f.png</t>
        </r>
      </text>
    </comment>
    <comment ref="M1475" authorId="0" shapeId="0" xr:uid="{00000000-0006-0000-0000-000005000000}">
      <text>
        <r>
          <rPr>
            <sz val="10"/>
            <color rgb="FF000000"/>
            <rFont val="Arial"/>
            <scheme val="minor"/>
          </rPr>
          <t>https://drive.google.com/drive/u/0/folders/1VAICEfDz5zCQgdNi_ggZtq1o22CCTA7_</t>
        </r>
      </text>
    </comment>
    <comment ref="M1476" authorId="0" shapeId="0" xr:uid="{00000000-0006-0000-0000-000013000000}">
      <text>
        <r>
          <rPr>
            <sz val="10"/>
            <color rgb="FF000000"/>
            <rFont val="Arial"/>
            <scheme val="minor"/>
          </rPr>
          <t>https://i.gyazo.com/e75dabd13b8a658f50451e7fd7223431.png
с 21.01 по 1.03 включительно</t>
        </r>
      </text>
    </comment>
    <comment ref="M1479" authorId="0" shapeId="0" xr:uid="{00000000-0006-0000-0000-000014000000}">
      <text>
        <r>
          <rPr>
            <sz val="10"/>
            <color rgb="FF000000"/>
            <rFont val="Arial"/>
            <scheme val="minor"/>
          </rPr>
          <t>https://i.gyazo.com/0aa1c4c422f26fb320cc9b5bcec6f6ad.png</t>
        </r>
      </text>
    </comment>
    <comment ref="M1486" authorId="0" shapeId="0" xr:uid="{00000000-0006-0000-0000-000015000000}">
      <text>
        <r>
          <rPr>
            <sz val="10"/>
            <color rgb="FF000000"/>
            <rFont val="Arial"/>
            <scheme val="minor"/>
          </rPr>
          <t>https://i.gyazo.com/66a045f94418194a5502cff4bb9b01ce.png</t>
        </r>
      </text>
    </comment>
    <comment ref="M1488" authorId="0" shapeId="0" xr:uid="{00000000-0006-0000-0000-000016000000}">
      <text>
        <r>
          <rPr>
            <sz val="10"/>
            <color rgb="FF000000"/>
            <rFont val="Arial"/>
            <scheme val="minor"/>
          </rPr>
          <t>https://i.gyazo.com/70ac39fcefea35fc50a922fc01234d40.png</t>
        </r>
      </text>
    </comment>
    <comment ref="L1493" authorId="0" shapeId="0" xr:uid="{00000000-0006-0000-0000-000017000000}">
      <text>
        <r>
          <rPr>
            <sz val="10"/>
            <color rgb="FF000000"/>
            <rFont val="Arial"/>
            <scheme val="minor"/>
          </rPr>
          <t>https://i.gyazo.com/763a5548ce65c54622bee372224f9b05.png</t>
        </r>
      </text>
    </comment>
    <comment ref="M1493" authorId="0" shapeId="0" xr:uid="{00000000-0006-0000-0000-000018000000}">
      <text>
        <r>
          <rPr>
            <sz val="10"/>
            <color rgb="FF000000"/>
            <rFont val="Arial"/>
            <scheme val="minor"/>
          </rPr>
          <t>https://drive.google.com/drive/u/0/folders/1iXfYc3o6SLgPBnK2TG6nIeyO4cDMG6aL
Касса на конец: 28353.27</t>
        </r>
      </text>
    </comment>
    <comment ref="L1495" authorId="0" shapeId="0" xr:uid="{00000000-0006-0000-0000-000019000000}">
      <text>
        <r>
          <rPr>
            <sz val="10"/>
            <color rgb="FF000000"/>
            <rFont val="Arial"/>
            <scheme val="minor"/>
          </rPr>
          <t>Касса начало 
https://i.gyazo.com/c2a6bc6efbe3b7ca417bfbc86c46e5f7.png
Касса конец 
https://drive.google.com/drive/u/0/folders/1wXA_epqDH_O77TSJiNEM4KYb-h9Nt4tn
https://i.gyazo.com/9920530f357124934b1bc0f03cc8838f.png расчет</t>
        </r>
      </text>
    </comment>
    <comment ref="L1498" authorId="0" shapeId="0" xr:uid="{00000000-0006-0000-0000-00001A000000}">
      <text>
        <r>
          <rPr>
            <sz val="10"/>
            <color rgb="FF000000"/>
            <rFont val="Arial"/>
            <scheme val="minor"/>
          </rPr>
          <t>https://drive.google.com/drive/u/7/folders/1dWQusP9WFX840qMLZd0DRqlIhfeMs8Xc
Касса начало https://i.gyazo.com/afd8857db51b804d2c5d458418686df5.png   5.52
https://i.gyazo.com/a3d37035ecfea4f2767d356d1b77dd73.png расчет</t>
        </r>
      </text>
    </comment>
    <comment ref="L1502" authorId="0" shapeId="0" xr:uid="{00000000-0006-0000-0000-00001B000000}">
      <text>
        <r>
          <rPr>
            <sz val="10"/>
            <color rgb="FF000000"/>
            <rFont val="Arial"/>
            <scheme val="minor"/>
          </rPr>
          <t>https://drive.google.com/drive/u/0/folders/1Wdo8mxq0d__oXPrsEgtTMKf8M8vAwHYF
касса начало https://i.gyazo.com/83a602461b6ee599e497885edd86333e.png 2314.27
расчет
https://i.gyazo.com/e453d7700d4bd2b21afb58c8ce6d4652.png</t>
        </r>
      </text>
    </comment>
    <comment ref="L1505" authorId="0" shapeId="0" xr:uid="{00000000-0006-0000-0000-00001C000000}">
      <text>
        <r>
          <rPr>
            <sz val="10"/>
            <color rgb="FF000000"/>
            <rFont val="Arial"/>
            <scheme val="minor"/>
          </rPr>
          <t>https://drive.google.com/drive/u/7/folders/1GFUQTeWvv_i2EDhZIAD6UeFTyGxchfNt
касса начало 
https://i.gyazo.com/9eac95170021e259f68cf85db232347d.png
3418.34
расчет https://i.gyazo.com/5aee5c731b93abe3ac8bd053e6275e1c.png</t>
        </r>
      </text>
    </comment>
    <comment ref="M1508" authorId="0" shapeId="0" xr:uid="{00000000-0006-0000-0000-00001D000000}">
      <text>
        <r>
          <rPr>
            <sz val="10"/>
            <color rgb="FF000000"/>
            <rFont val="Arial"/>
            <scheme val="minor"/>
          </rPr>
          <t>https://i.gyazo.com/de9742251b7c2b73ea5d29db41878c83.png</t>
        </r>
      </text>
    </comment>
    <comment ref="M1514" authorId="0" shapeId="0" xr:uid="{00000000-0006-0000-0000-00001E000000}">
      <text>
        <r>
          <rPr>
            <sz val="10"/>
            <color rgb="FF000000"/>
            <rFont val="Arial"/>
            <scheme val="minor"/>
          </rPr>
          <t>https://i.gyazo.com/2b2d1207e6d0d836f1eb0590ef24373a.png</t>
        </r>
      </text>
    </comment>
    <comment ref="M1521" authorId="0" shapeId="0" xr:uid="{00000000-0006-0000-0000-00001F000000}">
      <text>
        <r>
          <rPr>
            <sz val="10"/>
            <color rgb="FF000000"/>
            <rFont val="Arial"/>
            <scheme val="minor"/>
          </rPr>
          <t>https://drive.google.com/drive/u/0/folders/1UvSorLAsaoXmH0G__4D6yRo-zTfQDCAt</t>
        </r>
      </text>
    </comment>
    <comment ref="M1522" authorId="0" shapeId="0" xr:uid="{00000000-0006-0000-0000-000020000000}">
      <text>
        <r>
          <rPr>
            <sz val="10"/>
            <color rgb="FF000000"/>
            <rFont val="Arial"/>
            <scheme val="minor"/>
          </rPr>
          <t>https://drive.google.com/drive/u/0/folders/1BHXjt_nLSjJmM6r2_QOhJD5pRY7g7fGC
(4 тикета по 150 продал за 120, поэтому 1600-120),</t>
        </r>
      </text>
    </comment>
    <comment ref="M1524" authorId="0" shapeId="0" xr:uid="{00000000-0006-0000-0000-000006000000}">
      <text>
        <r>
          <rPr>
            <sz val="10"/>
            <color rgb="FF000000"/>
            <rFont val="Arial"/>
            <scheme val="minor"/>
          </rPr>
          <t>https://drive.google.com/drive/u/0/folders/1UIcim7Sy5NJHE_UimDv0_Ehe7mHS6nV7</t>
        </r>
      </text>
    </comment>
    <comment ref="L1526" authorId="0" shapeId="0" xr:uid="{00000000-0006-0000-0000-000007000000}">
      <text>
        <r>
          <rPr>
            <sz val="10"/>
            <color rgb="FF000000"/>
            <rFont val="Arial"/>
            <scheme val="minor"/>
          </rPr>
          <t>https://cdn.discordapp.com/attachments/1081247443250856016/1081253104453963926/image.png</t>
        </r>
      </text>
    </comment>
    <comment ref="M1526" authorId="0" shapeId="0" xr:uid="{00000000-0006-0000-0000-000008000000}">
      <text>
        <r>
          <rPr>
            <sz val="10"/>
            <color rgb="FF000000"/>
            <rFont val="Arial"/>
            <scheme val="minor"/>
          </rPr>
          <t>https://drive.google.com/drive/u/0/folders/1CT92ot93R5WGSr1j2Uz3aOg8UKThleuF
350 оплата пула</t>
        </r>
      </text>
    </comment>
    <comment ref="M1527" authorId="0" shapeId="0" xr:uid="{00000000-0006-0000-0000-000021000000}">
      <text>
        <r>
          <rPr>
            <sz val="10"/>
            <color rgb="FF000000"/>
            <rFont val="Arial"/>
            <scheme val="minor"/>
          </rPr>
          <t>https://drive.google.com/drive/u/0/folders/1L0UIUpES6itKbCop0MYcvCMdyxQbqbJ4</t>
        </r>
      </text>
    </comment>
    <comment ref="M1529" authorId="0" shapeId="0" xr:uid="{00000000-0006-0000-0000-000022000000}">
      <text>
        <r>
          <rPr>
            <sz val="10"/>
            <color rgb="FF000000"/>
            <rFont val="Arial"/>
            <scheme val="minor"/>
          </rPr>
          <t>https://i.gyazo.com/7c9aca41c83fa05bb2648e247409fbbb.png</t>
        </r>
      </text>
    </comment>
    <comment ref="M1537" authorId="0" shapeId="0" xr:uid="{00000000-0006-0000-0000-000023000000}">
      <text>
        <r>
          <rPr>
            <sz val="10"/>
            <color rgb="FF000000"/>
            <rFont val="Arial"/>
            <scheme val="minor"/>
          </rPr>
          <t>https://i.gyazo.com/0601464c4edaa04ef1c5cefdd2aab266.png</t>
        </r>
      </text>
    </comment>
    <comment ref="M1542" authorId="0" shapeId="0" xr:uid="{00000000-0006-0000-0000-000024000000}">
      <text>
        <r>
          <rPr>
            <sz val="10"/>
            <color rgb="FF000000"/>
            <rFont val="Arial"/>
            <scheme val="minor"/>
          </rPr>
          <t>https://drive.google.com/drive/u/0/folders/1EKVImBYc0O7fcoQL5MnO54Mn0UtZzcDs</t>
        </r>
      </text>
    </comment>
    <comment ref="M1545" authorId="0" shapeId="0" xr:uid="{00000000-0006-0000-0000-000025000000}">
      <text>
        <r>
          <rPr>
            <sz val="10"/>
            <color rgb="FF000000"/>
            <rFont val="Arial"/>
            <scheme val="minor"/>
          </rPr>
          <t>https://drive.google.com/drive/u/0/folders/17WMuwx0DBXc_TJoYYhNcx295k204BoJu</t>
        </r>
      </text>
    </comment>
    <comment ref="M1546" authorId="0" shapeId="0" xr:uid="{00000000-0006-0000-0000-000009000000}">
      <text>
        <r>
          <rPr>
            <sz val="10"/>
            <color rgb="FF000000"/>
            <rFont val="Arial"/>
            <scheme val="minor"/>
          </rPr>
          <t>https://drive.google.com/drive/u/0/folders/1ucxqoJGu2u_P0_mP6K9UoVMMR1gfkuRi</t>
        </r>
      </text>
    </comment>
    <comment ref="M1547" authorId="0" shapeId="0" xr:uid="{00000000-0006-0000-0000-000039000000}">
      <text>
        <r>
          <rPr>
            <sz val="10"/>
            <color rgb="FF000000"/>
            <rFont val="Arial"/>
            <scheme val="minor"/>
          </rPr>
          <t>https://drive.google.com/drive/u/0/folders/1Iho-aLANsOobCW6XzPdgEumhw5fYIR8i</t>
        </r>
      </text>
    </comment>
    <comment ref="L1548" authorId="0" shapeId="0" xr:uid="{00000000-0006-0000-0000-00003A000000}">
      <text>
        <r>
          <rPr>
            <sz val="10"/>
            <color rgb="FF000000"/>
            <rFont val="Arial"/>
            <scheme val="minor"/>
          </rPr>
          <t>https://i.gyazo.com/009fd20d37db28432f9bd0732bdb02be.png</t>
        </r>
      </text>
    </comment>
    <comment ref="M1548" authorId="0" shapeId="0" xr:uid="{00000000-0006-0000-0000-00003B000000}">
      <text>
        <r>
          <rPr>
            <sz val="10"/>
            <color rgb="FF000000"/>
            <rFont val="Arial"/>
            <scheme val="minor"/>
          </rPr>
          <t>https://drive.google.com/drive/folders/1SXQ8LKMzAf1_k535I7O0i8OfCM0zRWzE</t>
        </r>
      </text>
    </comment>
    <comment ref="M1558" authorId="0" shapeId="0" xr:uid="{00000000-0006-0000-0000-000003000000}">
      <text>
        <r>
          <rPr>
            <sz val="10"/>
            <color rgb="FF000000"/>
            <rFont val="Arial"/>
            <scheme val="minor"/>
          </rPr>
          <t>https://drive.google.com/drive/folders/18w7l9Xd5MepeM90hqYaV7y2-xAoeeuUC</t>
        </r>
      </text>
    </comment>
    <comment ref="AA1559" authorId="0" shapeId="0" xr:uid="{00000000-0006-0000-0000-000026000000}">
      <text>
        <r>
          <rPr>
            <sz val="10"/>
            <color rgb="FF000000"/>
            <rFont val="Arial"/>
            <scheme val="minor"/>
          </rPr>
          <t>прислал предоплату (250 за ферваль 2023)</t>
        </r>
      </text>
    </comment>
    <comment ref="M1560" authorId="0" shapeId="0" xr:uid="{00000000-0006-0000-0000-000027000000}">
      <text>
        <r>
          <rPr>
            <sz val="10"/>
            <color rgb="FF000000"/>
            <rFont val="Arial"/>
            <scheme val="minor"/>
          </rPr>
          <t>https://i.gyazo.com/79a87504947f957643ae79fce76d6d64.png</t>
        </r>
      </text>
    </comment>
    <comment ref="M1571" authorId="0" shapeId="0" xr:uid="{00000000-0006-0000-0000-000028000000}">
      <text>
        <r>
          <rPr>
            <sz val="10"/>
            <color rgb="FF000000"/>
            <rFont val="Arial"/>
            <scheme val="minor"/>
          </rPr>
          <t>https://i.gyazo.com/2d4a146b31ba2d4f54062ae6bb987ab8.png</t>
        </r>
      </text>
    </comment>
    <comment ref="M1575" authorId="0" shapeId="0" xr:uid="{00000000-0006-0000-0000-000029000000}">
      <text>
        <r>
          <rPr>
            <sz val="10"/>
            <color rgb="FF000000"/>
            <rFont val="Arial"/>
            <scheme val="minor"/>
          </rPr>
          <t>https://i.gyazo.com/fcd80dbf976aa8d65efd146209d4ddfd.png</t>
        </r>
      </text>
    </comment>
    <comment ref="M1578" authorId="0" shapeId="0" xr:uid="{00000000-0006-0000-0000-00002A000000}">
      <text>
        <r>
          <rPr>
            <sz val="10"/>
            <color rgb="FF000000"/>
            <rFont val="Arial"/>
            <scheme val="minor"/>
          </rPr>
          <t xml:space="preserve">https://i.gyazo.com/97531af35cd70e8c483d2836d133fe6b.png
</t>
        </r>
      </text>
    </comment>
    <comment ref="M1586" authorId="0" shapeId="0" xr:uid="{00000000-0006-0000-0000-00002B000000}">
      <text>
        <r>
          <rPr>
            <sz val="10"/>
            <color rgb="FF000000"/>
            <rFont val="Arial"/>
            <scheme val="minor"/>
          </rPr>
          <t>https://i.gyazo.com/e957ce65b6499e5b1452087be3a5e764.png</t>
        </r>
      </text>
    </comment>
    <comment ref="M1588" authorId="0" shapeId="0" xr:uid="{00000000-0006-0000-0000-00002C000000}">
      <text>
        <r>
          <rPr>
            <sz val="10"/>
            <color rgb="FF000000"/>
            <rFont val="Arial"/>
            <scheme val="minor"/>
          </rPr>
          <t>https://i.gyazo.com/7fd16629573e5be382944fe8433e5168.png</t>
        </r>
      </text>
    </comment>
    <comment ref="M1591" authorId="0" shapeId="0" xr:uid="{00000000-0006-0000-0000-00002D000000}">
      <text>
        <r>
          <rPr>
            <sz val="10"/>
            <color rgb="FF000000"/>
            <rFont val="Arial"/>
            <scheme val="minor"/>
          </rPr>
          <t>https://i.gyazo.com/91a215a8f6543a58436e961dd73d02a1.png</t>
        </r>
      </text>
    </comment>
    <comment ref="M1592" authorId="0" shapeId="0" xr:uid="{00000000-0006-0000-0000-00002E000000}">
      <text>
        <r>
          <rPr>
            <sz val="10"/>
            <color rgb="FF000000"/>
            <rFont val="Arial"/>
            <scheme val="minor"/>
          </rPr>
          <t>https://i.gyazo.com/16e4752ccd57461733d268e3e4597034.png</t>
        </r>
      </text>
    </comment>
    <comment ref="M1595" authorId="0" shapeId="0" xr:uid="{00000000-0006-0000-0000-00002F000000}">
      <text>
        <r>
          <rPr>
            <sz val="10"/>
            <color rgb="FF000000"/>
            <rFont val="Arial"/>
            <scheme val="minor"/>
          </rPr>
          <t>https://i.gyazo.com/5bdd6d76d265cbb0cf9ff67a9557a712.png</t>
        </r>
      </text>
    </comment>
    <comment ref="M1599" authorId="0" shapeId="0" xr:uid="{00000000-0006-0000-0000-000030000000}">
      <text>
        <r>
          <rPr>
            <sz val="10"/>
            <color rgb="FF000000"/>
            <rFont val="Arial"/>
            <scheme val="minor"/>
          </rPr>
          <t>https://i.gyazo.com/d532799346e9b2e995f93b782bc6686b.png</t>
        </r>
      </text>
    </comment>
    <comment ref="M1601" authorId="0" shapeId="0" xr:uid="{00000000-0006-0000-0000-000031000000}">
      <text>
        <r>
          <rPr>
            <sz val="10"/>
            <color rgb="FF000000"/>
            <rFont val="Arial"/>
            <scheme val="minor"/>
          </rPr>
          <t>https://i.gyazo.com/23c646a580349d447eafb2dbff4e80a1.png</t>
        </r>
      </text>
    </comment>
    <comment ref="M1602" authorId="0" shapeId="0" xr:uid="{00000000-0006-0000-0000-000004000000}">
      <text>
        <r>
          <rPr>
            <sz val="10"/>
            <color rgb="FF000000"/>
            <rFont val="Arial"/>
            <scheme val="minor"/>
          </rPr>
          <t>https://drive.google.com/drive/folders/1rqfndtr2mUjp7IIHTPvHqzL7dvHyQSvt</t>
        </r>
      </text>
    </comment>
    <comment ref="M1603" authorId="0" shapeId="0" xr:uid="{00000000-0006-0000-0000-000032000000}">
      <text>
        <r>
          <rPr>
            <sz val="10"/>
            <color rgb="FF000000"/>
            <rFont val="Arial"/>
            <scheme val="minor"/>
          </rPr>
          <t>https://i.gyazo.com/7f644578e00bed7bd7cc1c34fc3971c2.png</t>
        </r>
      </text>
    </comment>
    <comment ref="M1605" authorId="0" shapeId="0" xr:uid="{00000000-0006-0000-0000-000033000000}">
      <text>
        <r>
          <rPr>
            <sz val="10"/>
            <color rgb="FF000000"/>
            <rFont val="Arial"/>
            <scheme val="minor"/>
          </rPr>
          <t>https://i.gyazo.com/a7a17ce9c36d291ccc8bd0261da3a364.png</t>
        </r>
      </text>
    </comment>
    <comment ref="M1606" authorId="0" shapeId="0" xr:uid="{00000000-0006-0000-0000-000034000000}">
      <text>
        <r>
          <rPr>
            <sz val="10"/>
            <color rgb="FF000000"/>
            <rFont val="Arial"/>
            <scheme val="minor"/>
          </rPr>
          <t>https://i.gyazo.com/654fed412f19e2bfec77037a3fb65de7.png</t>
        </r>
      </text>
    </comment>
    <comment ref="M1608" authorId="0" shapeId="0" xr:uid="{00000000-0006-0000-0000-000035000000}">
      <text>
        <r>
          <rPr>
            <sz val="10"/>
            <color rgb="FF000000"/>
            <rFont val="Arial"/>
            <scheme val="minor"/>
          </rPr>
          <t>https://i.gyazo.com/ee24aaac5fc172a46fff19265d471ed8.png</t>
        </r>
      </text>
    </comment>
    <comment ref="M1611" authorId="0" shapeId="0" xr:uid="{00000000-0006-0000-0000-000036000000}">
      <text>
        <r>
          <rPr>
            <sz val="10"/>
            <color rgb="FF000000"/>
            <rFont val="Arial"/>
            <scheme val="minor"/>
          </rPr>
          <t>https://i.gyazo.com/a5526b7ec48fe63db4296f06f18e114c.png</t>
        </r>
      </text>
    </comment>
    <comment ref="M1612" authorId="0" shapeId="0" xr:uid="{00000000-0006-0000-0000-000037000000}">
      <text>
        <r>
          <rPr>
            <sz val="10"/>
            <color rgb="FF000000"/>
            <rFont val="Arial"/>
            <scheme val="minor"/>
          </rPr>
          <t>https://i.gyazo.com/b87f494735d38030d20358f26421f5cb.png</t>
        </r>
      </text>
    </comment>
    <comment ref="M1616" authorId="0" shapeId="0" xr:uid="{00000000-0006-0000-0000-000038000000}">
      <text>
        <r>
          <rPr>
            <sz val="10"/>
            <color rgb="FF000000"/>
            <rFont val="Arial"/>
            <scheme val="minor"/>
          </rPr>
          <t>https://drive.google.com/drive/folders/1i53TvLTBmzVHfNgFwT-1XA6krNV_XdBs</t>
        </r>
      </text>
    </comment>
    <comment ref="M1619" authorId="0" shapeId="0" xr:uid="{00000000-0006-0000-0000-00000A000000}">
      <text>
        <r>
          <rPr>
            <sz val="10"/>
            <color rgb="FF000000"/>
            <rFont val="Arial"/>
            <scheme val="minor"/>
          </rPr>
          <t>https://drive.google.com/drive/folders/1b0EZcdcZAhglZnma0z51YtqCmfuxiy0p</t>
        </r>
      </text>
    </comment>
    <comment ref="M1620" authorId="0" shapeId="0" xr:uid="{00000000-0006-0000-0000-00000B000000}">
      <text>
        <r>
          <rPr>
            <sz val="10"/>
            <color rgb="FF000000"/>
            <rFont val="Arial"/>
            <scheme val="minor"/>
          </rPr>
          <t>https://drive.google.com/drive/folders/1BWPo6gOg30ldJUFeU3c0abcb-UeuJshm</t>
        </r>
      </text>
    </comment>
    <comment ref="M1622" authorId="0" shapeId="0" xr:uid="{00000000-0006-0000-0000-00003C000000}">
      <text>
        <r>
          <rPr>
            <sz val="10"/>
            <color rgb="FF000000"/>
            <rFont val="Arial"/>
            <scheme val="minor"/>
          </rPr>
          <t>https://drive.google.com/drive/folders/1qSxZaxLQpXIFsCLLeUkHwNQIJPWdzoO-</t>
        </r>
      </text>
    </comment>
    <comment ref="M1625" authorId="0" shapeId="0" xr:uid="{00000000-0006-0000-0000-00003D000000}">
      <text>
        <r>
          <rPr>
            <sz val="10"/>
            <color rgb="FF000000"/>
            <rFont val="Arial"/>
            <scheme val="minor"/>
          </rPr>
          <t>https://i.gyazo.com/41f933c042a6c54fa0032ebec98104d1.png</t>
        </r>
      </text>
    </comment>
    <comment ref="M1627" authorId="0" shapeId="0" xr:uid="{00000000-0006-0000-0000-00003E000000}">
      <text>
        <r>
          <rPr>
            <sz val="10"/>
            <color rgb="FF000000"/>
            <rFont val="Arial"/>
            <scheme val="minor"/>
          </rPr>
          <t>https://i.gyazo.com/523afdcc454fca8a5d647c9fa5058b38.png</t>
        </r>
      </text>
    </comment>
    <comment ref="M1632" authorId="0" shapeId="0" xr:uid="{00000000-0006-0000-0000-00003F000000}">
      <text>
        <r>
          <rPr>
            <sz val="10"/>
            <color rgb="FF000000"/>
            <rFont val="Arial"/>
            <scheme val="minor"/>
          </rPr>
          <t>https://i.gyazo.com/85a445d73feb53c565ec0774237c711f.png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29" authorId="0" shapeId="0" xr:uid="{00000000-0006-0000-0300-000001000000}">
      <text>
        <r>
          <rPr>
            <sz val="10"/>
            <color rgb="FF000000"/>
            <rFont val="Arial"/>
            <scheme val="minor"/>
          </rPr>
          <t>Notion - kostromins@inbox.lv</t>
        </r>
      </text>
    </comment>
    <comment ref="F29" authorId="0" shapeId="0" xr:uid="{00000000-0006-0000-0300-000002000000}">
      <text>
        <r>
          <rPr>
            <sz val="10"/>
            <color rgb="FF000000"/>
            <rFont val="Arial"/>
            <scheme val="minor"/>
          </rPr>
          <t>Notion - kostromins@inbox.lv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3" authorId="0" shapeId="0" xr:uid="{00000000-0006-0000-0400-000001000000}">
      <text>
        <r>
          <rPr>
            <sz val="10"/>
            <color rgb="FF000000"/>
            <rFont val="Arial"/>
            <scheme val="minor"/>
          </rPr>
          <t>2 контракт</t>
        </r>
      </text>
    </comment>
    <comment ref="E23" authorId="0" shapeId="0" xr:uid="{00000000-0006-0000-0400-000002000000}">
      <text>
        <r>
          <rPr>
            <sz val="10"/>
            <color rgb="FF000000"/>
            <rFont val="Arial"/>
            <scheme val="minor"/>
          </rPr>
          <t>march deal: 
https://docs.google.com/document/d/1lsxO60HcmXPoe5W-Q9B4SgafuefDrqRxCbgsV2FvCzo/edit#heading=h.25ed5ykm7zul</t>
        </r>
      </text>
    </comment>
    <comment ref="F23" authorId="0" shapeId="0" xr:uid="{00000000-0006-0000-0400-000003000000}">
      <text>
        <r>
          <rPr>
            <sz val="10"/>
            <color rgb="FF000000"/>
            <rFont val="Arial"/>
            <scheme val="minor"/>
          </rPr>
          <t>2 контракт</t>
        </r>
      </text>
    </comment>
    <comment ref="H23" authorId="0" shapeId="0" xr:uid="{00000000-0006-0000-0400-000004000000}">
      <text>
        <r>
          <rPr>
            <sz val="10"/>
            <color rgb="FF000000"/>
            <rFont val="Arial"/>
            <scheme val="minor"/>
          </rPr>
          <t>march deal: 
https://docs.google.com/document/d/1lsxO60HcmXPoe5W-Q9B4SgafuefDrqRxCbgsV2FvCzo/edit#heading=h.25ed5ykm7zul</t>
        </r>
      </text>
    </comment>
    <comment ref="C24" authorId="0" shapeId="0" xr:uid="{00000000-0006-0000-0400-000005000000}">
      <text>
        <r>
          <rPr>
            <sz val="10"/>
            <color rgb="FF000000"/>
            <rFont val="Arial"/>
            <scheme val="minor"/>
          </rPr>
          <t xml:space="preserve">350 за пул делим тоже
</t>
        </r>
      </text>
    </comment>
    <comment ref="E36" authorId="0" shapeId="0" xr:uid="{00000000-0006-0000-0400-000006000000}">
      <text>
        <r>
          <rPr>
            <sz val="10"/>
            <color rgb="FF000000"/>
            <rFont val="Arial"/>
            <scheme val="minor"/>
          </rPr>
          <t>15 вместо 17 на аби 1-40 при 120+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3" authorId="0" shapeId="0" xr:uid="{00000000-0006-0000-0500-000001000000}">
      <text>
        <r>
          <rPr>
            <sz val="10"/>
            <color rgb="FF000000"/>
            <rFont val="Arial"/>
            <scheme val="minor"/>
          </rPr>
          <t>LESAPETKA</t>
        </r>
      </text>
    </comment>
    <comment ref="H3" authorId="0" shapeId="0" xr:uid="{00000000-0006-0000-0500-000002000000}">
      <text>
        <r>
          <rPr>
            <sz val="10"/>
            <color rgb="FF000000"/>
            <rFont val="Arial"/>
            <scheme val="minor"/>
          </rPr>
          <t>00goldimon</t>
        </r>
      </text>
    </comment>
    <comment ref="B9" authorId="0" shapeId="0" xr:uid="{00000000-0006-0000-0500-000003000000}">
      <text>
        <r>
          <rPr>
            <sz val="10"/>
            <color rgb="FF000000"/>
            <rFont val="Arial"/>
            <scheme val="minor"/>
          </rPr>
          <t>до 12 февраля</t>
        </r>
      </text>
    </comment>
    <comment ref="H14" authorId="0" shapeId="0" xr:uid="{00000000-0006-0000-0500-000004000000}">
      <text>
        <r>
          <rPr>
            <sz val="10"/>
            <color rgb="FF000000"/>
            <rFont val="Arial"/>
            <scheme val="minor"/>
          </rPr>
          <t>redstar</t>
        </r>
      </text>
    </comment>
    <comment ref="T14" authorId="0" shapeId="0" xr:uid="{00000000-0006-0000-0500-000005000000}">
      <text>
        <r>
          <rPr>
            <sz val="10"/>
            <color rgb="FF000000"/>
            <rFont val="Arial"/>
            <scheme val="minor"/>
          </rPr>
          <t>redstar</t>
        </r>
      </text>
    </comment>
    <comment ref="H19" authorId="0" shapeId="0" xr:uid="{00000000-0006-0000-0500-000006000000}">
      <text>
        <r>
          <rPr>
            <sz val="10"/>
            <color rgb="FF000000"/>
            <rFont val="Arial"/>
            <scheme val="minor"/>
          </rPr>
          <t>red star</t>
        </r>
      </text>
    </comment>
    <comment ref="H22" authorId="0" shapeId="0" xr:uid="{00000000-0006-0000-0500-000007000000}">
      <text>
        <r>
          <rPr>
            <sz val="10"/>
            <color rgb="FF000000"/>
            <rFont val="Arial"/>
            <scheme val="minor"/>
          </rPr>
          <t>RedStar</t>
        </r>
      </text>
    </comment>
    <comment ref="D30" authorId="0" shapeId="0" xr:uid="{00000000-0006-0000-0500-000008000000}">
      <text>
        <r>
          <rPr>
            <sz val="10"/>
            <color rgb="FF000000"/>
            <rFont val="Arial"/>
            <scheme val="minor"/>
          </rPr>
          <t>скрыт теперь в HS</t>
        </r>
      </text>
    </comment>
    <comment ref="D34" authorId="0" shapeId="0" xr:uid="{00000000-0006-0000-0500-000009000000}">
      <text>
        <r>
          <rPr>
            <sz val="10"/>
            <color rgb="FF000000"/>
            <rFont val="Arial"/>
            <scheme val="minor"/>
          </rPr>
          <t>Freedoom on HS</t>
        </r>
      </text>
    </comment>
    <comment ref="D45" authorId="0" shapeId="0" xr:uid="{00000000-0006-0000-0500-00000A000000}">
      <text>
        <r>
          <rPr>
            <sz val="10"/>
            <color rgb="FF000000"/>
            <rFont val="Arial"/>
            <scheme val="minor"/>
          </rPr>
          <t>evgock
Anclave in Hyperpool</t>
        </r>
      </text>
    </comment>
    <comment ref="H53" authorId="0" shapeId="0" xr:uid="{00000000-0006-0000-0500-00000B000000}">
      <text>
        <r>
          <rPr>
            <sz val="10"/>
            <color rgb="FF000000"/>
            <rFont val="Arial"/>
            <scheme val="minor"/>
          </rPr>
          <t>RedStar</t>
        </r>
      </text>
    </comment>
    <comment ref="H55" authorId="0" shapeId="0" xr:uid="{00000000-0006-0000-0500-00000C000000}">
      <text>
        <r>
          <rPr>
            <sz val="10"/>
            <color rgb="FF000000"/>
            <rFont val="Arial"/>
            <scheme val="minor"/>
          </rPr>
          <t>RedStar</t>
        </r>
      </text>
    </comment>
    <comment ref="H60" authorId="0" shapeId="0" xr:uid="{00000000-0006-0000-0500-00000D000000}">
      <text>
        <r>
          <rPr>
            <sz val="10"/>
            <color rgb="FF000000"/>
            <rFont val="Arial"/>
            <scheme val="minor"/>
          </rPr>
          <t>RedStar</t>
        </r>
      </text>
    </comment>
    <comment ref="O60" authorId="0" shapeId="0" xr:uid="{00000000-0006-0000-0500-00000E000000}">
      <text>
        <r>
          <rPr>
            <sz val="10"/>
            <color rgb="FF000000"/>
            <rFont val="Arial"/>
            <scheme val="minor"/>
          </rPr>
          <t>до 31/01 в ГС</t>
        </r>
      </text>
    </comment>
    <comment ref="A64" authorId="0" shapeId="0" xr:uid="{00000000-0006-0000-0500-00000F000000}">
      <text>
        <r>
          <rPr>
            <sz val="10"/>
            <color rgb="FF000000"/>
            <rFont val="Arial"/>
            <scheme val="minor"/>
          </rPr>
          <t>bearstrong</t>
        </r>
      </text>
    </comment>
    <comment ref="B64" authorId="0" shapeId="0" xr:uid="{00000000-0006-0000-0500-000010000000}">
      <text>
        <r>
          <rPr>
            <sz val="10"/>
            <color rgb="FF000000"/>
            <rFont val="Arial"/>
            <scheme val="minor"/>
          </rPr>
          <t>TGTBT в HS</t>
        </r>
      </text>
    </comment>
    <comment ref="D64" authorId="0" shapeId="0" xr:uid="{00000000-0006-0000-0500-000011000000}">
      <text>
        <r>
          <rPr>
            <sz val="10"/>
            <color rgb="FF000000"/>
            <rFont val="Arial"/>
            <scheme val="minor"/>
          </rPr>
          <t>bearstrong
скрыт теперь в HS</t>
        </r>
      </text>
    </comment>
    <comment ref="D67" authorId="0" shapeId="0" xr:uid="{00000000-0006-0000-0500-000012000000}">
      <text>
        <r>
          <rPr>
            <sz val="10"/>
            <color rgb="FF000000"/>
            <rFont val="Arial"/>
            <scheme val="minor"/>
          </rPr>
          <t>LondonСee в ГС
Enchilakos в ГС</t>
        </r>
      </text>
    </comment>
    <comment ref="B69" authorId="0" shapeId="0" xr:uid="{00000000-0006-0000-0500-000013000000}">
      <text>
        <r>
          <rPr>
            <sz val="10"/>
            <color rgb="FF000000"/>
            <rFont val="Arial"/>
            <scheme val="minor"/>
          </rPr>
          <t>tarez в HS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N149" authorId="0" shapeId="0" xr:uid="{00000000-0006-0000-0600-000001000000}">
      <text>
        <r>
          <rPr>
            <sz val="10"/>
            <color rgb="FF000000"/>
            <rFont val="Arial"/>
            <scheme val="minor"/>
          </rPr>
          <t>от 1/11 - обменянные мили за октябрь! https://cdn.discordapp.com/attachments/638431557497126917/642053664193773610/Screenshot_5.png</t>
        </r>
      </text>
    </comment>
    <comment ref="N169" authorId="0" shapeId="0" xr:uid="{00000000-0006-0000-0600-000002000000}">
      <text>
        <r>
          <rPr>
            <sz val="10"/>
            <color rgb="FF000000"/>
            <rFont val="Arial"/>
            <scheme val="minor"/>
          </rPr>
          <t>https://media.discordapp.net/attachments/638431557497126917/652056742682689584/Screenshot_1.png?width=1651&amp;height=794</t>
        </r>
      </text>
    </comment>
    <comment ref="N195" authorId="0" shapeId="0" xr:uid="{00000000-0006-0000-0600-000003000000}">
      <text>
        <r>
          <rPr>
            <sz val="10"/>
            <color rgb="FF000000"/>
            <rFont val="Arial"/>
            <scheme val="minor"/>
          </rPr>
          <t>https://cdn.discordapp.com/attachments/638431557497126917/658607459002220564/Screenshot_2.png</t>
        </r>
      </text>
    </comment>
    <comment ref="N199" authorId="0" shapeId="0" xr:uid="{00000000-0006-0000-0600-000004000000}">
      <text>
        <r>
          <rPr>
            <sz val="10"/>
            <color rgb="FF000000"/>
            <rFont val="Arial"/>
            <scheme val="minor"/>
          </rPr>
          <t>https://cdn.discordapp.com/attachments/685879670473883706/687966215393640534/unknown.png</t>
        </r>
      </text>
    </comment>
    <comment ref="N218" authorId="0" shapeId="0" xr:uid="{00000000-0006-0000-0600-000005000000}">
      <text>
        <r>
          <rPr>
            <sz val="10"/>
            <color rgb="FF000000"/>
            <rFont val="Arial"/>
            <scheme val="minor"/>
          </rPr>
          <t>https://cdn.discordapp.com/attachments/638431557497126917/673525863433895937/Screenshot_1.png</t>
        </r>
      </text>
    </comment>
    <comment ref="N236" authorId="0" shapeId="0" xr:uid="{00000000-0006-0000-0600-000006000000}">
      <text>
        <r>
          <rPr>
            <sz val="10"/>
            <color rgb="FF000000"/>
            <rFont val="Arial"/>
            <scheme val="minor"/>
          </rPr>
          <t>https://media.discordapp.net/attachments/638431557497126917/682729807448113174/Screenshot_2.png?width=1289&amp;height=614</t>
        </r>
      </text>
    </comment>
    <comment ref="N265" authorId="0" shapeId="0" xr:uid="{00000000-0006-0000-0600-000007000000}">
      <text>
        <r>
          <rPr>
            <sz val="10"/>
            <color rgb="FF000000"/>
            <rFont val="Arial"/>
            <scheme val="minor"/>
          </rPr>
          <t>https://cdn.discordapp.com/attachments/638431557497126917/695192513660584046/Screenshot_3.png</t>
        </r>
      </text>
    </comment>
    <comment ref="N267" authorId="0" shapeId="0" xr:uid="{00000000-0006-0000-0600-000008000000}">
      <text>
        <r>
          <rPr>
            <sz val="10"/>
            <color rgb="FF000000"/>
            <rFont val="Arial"/>
            <scheme val="minor"/>
          </rPr>
          <t>https://gyazo.com/5896f8aaf9dabfbe45dcf927384888b8</t>
        </r>
      </text>
    </comment>
    <comment ref="N269" authorId="0" shapeId="0" xr:uid="{00000000-0006-0000-0600-000009000000}">
      <text>
        <r>
          <rPr>
            <sz val="10"/>
            <color rgb="FF000000"/>
            <rFont val="Arial"/>
            <scheme val="minor"/>
          </rPr>
          <t>https://gyazo.com/4cd65b10d8f57d694dacad069a37cee7</t>
        </r>
      </text>
    </comment>
    <comment ref="N272" authorId="0" shapeId="0" xr:uid="{00000000-0006-0000-0600-00000A000000}">
      <text>
        <r>
          <rPr>
            <sz val="10"/>
            <color rgb="FF000000"/>
            <rFont val="Arial"/>
            <scheme val="minor"/>
          </rPr>
          <t>https://gyazo.com/44951675177c47235a02065cf9d8527d</t>
        </r>
      </text>
    </comment>
    <comment ref="N274" authorId="0" shapeId="0" xr:uid="{00000000-0006-0000-0600-00000B000000}">
      <text>
        <r>
          <rPr>
            <sz val="10"/>
            <color rgb="FF000000"/>
            <rFont val="Arial"/>
            <scheme val="minor"/>
          </rPr>
          <t>https://gyazo.com/845d45909fc4b4f838b5d6c14127ea0c</t>
        </r>
      </text>
    </comment>
    <comment ref="N279" authorId="0" shapeId="0" xr:uid="{00000000-0006-0000-0600-00000C000000}">
      <text>
        <r>
          <rPr>
            <sz val="10"/>
            <color rgb="FF000000"/>
            <rFont val="Arial"/>
            <scheme val="minor"/>
          </rPr>
          <t>https://gyazo.com/a065bca6d192cc0f7fb1e1d58d760407</t>
        </r>
      </text>
    </comment>
    <comment ref="N281" authorId="0" shapeId="0" xr:uid="{00000000-0006-0000-0600-00000D000000}">
      <text>
        <r>
          <rPr>
            <sz val="10"/>
            <color rgb="FF000000"/>
            <rFont val="Arial"/>
            <scheme val="minor"/>
          </rPr>
          <t>https://gyazo.com/ab29a915eb810b41a68217950424ef5f</t>
        </r>
      </text>
    </comment>
    <comment ref="N283" authorId="0" shapeId="0" xr:uid="{00000000-0006-0000-0600-00000E000000}">
      <text>
        <r>
          <rPr>
            <sz val="10"/>
            <color rgb="FF000000"/>
            <rFont val="Arial"/>
            <scheme val="minor"/>
          </rPr>
          <t>https://gyazo.com/0227cf1c200d2c99f77c150b6eb92202</t>
        </r>
      </text>
    </comment>
    <comment ref="N287" authorId="0" shapeId="0" xr:uid="{00000000-0006-0000-0600-00000F000000}">
      <text>
        <r>
          <rPr>
            <sz val="10"/>
            <color rgb="FF000000"/>
            <rFont val="Arial"/>
            <scheme val="minor"/>
          </rPr>
          <t>https://gyazo.com/e57cb7cffbae729154014fec8659caab</t>
        </r>
      </text>
    </comment>
    <comment ref="N288" authorId="0" shapeId="0" xr:uid="{00000000-0006-0000-0600-000010000000}">
      <text>
        <r>
          <rPr>
            <sz val="10"/>
            <color rgb="FF000000"/>
            <rFont val="Arial"/>
            <scheme val="minor"/>
          </rPr>
          <t>https://cdn.discordapp.com/attachments/638431557497126917/706218888035303424/Screenshot_4.png - 10 и 25 от 1 мая не учтены</t>
        </r>
      </text>
    </comment>
    <comment ref="N289" authorId="0" shapeId="0" xr:uid="{00000000-0006-0000-0600-000011000000}">
      <text>
        <r>
          <rPr>
            <sz val="10"/>
            <color rgb="FF000000"/>
            <rFont val="Arial"/>
            <scheme val="minor"/>
          </rPr>
          <t>https://cdn.discordapp.com/attachments/682137018935148565/716965105111269386/image.png</t>
        </r>
      </text>
    </comment>
    <comment ref="N290" authorId="0" shapeId="0" xr:uid="{00000000-0006-0000-0600-000012000000}">
      <text>
        <r>
          <rPr>
            <sz val="10"/>
            <color rgb="FF000000"/>
            <rFont val="Arial"/>
            <scheme val="minor"/>
          </rPr>
          <t>https://gyazo.com/0b4f5e3e5970beb13867f994ffb88a37
1200 - учтено в апреле</t>
        </r>
      </text>
    </comment>
    <comment ref="M312" authorId="0" shapeId="0" xr:uid="{00000000-0006-0000-0600-000013000000}">
      <text>
        <r>
          <rPr>
            <sz val="10"/>
            <color rgb="FF000000"/>
            <rFont val="Arial"/>
            <scheme val="minor"/>
          </rPr>
          <t>https://gyazo.com/4545bb68443e2c49919fe1f59f239922
поделили 9к вместо 10, на отметке 30к разделим 11к ;)</t>
        </r>
      </text>
    </comment>
    <comment ref="N313" authorId="0" shapeId="0" xr:uid="{00000000-0006-0000-0600-000014000000}">
      <text>
        <r>
          <rPr>
            <sz val="10"/>
            <color rgb="FF000000"/>
            <rFont val="Arial"/>
            <scheme val="minor"/>
          </rPr>
          <t>https://gyazo.com/d00d4100ce9a03ce0e887d9d0533420d</t>
        </r>
      </text>
    </comment>
    <comment ref="N314" authorId="0" shapeId="0" xr:uid="{00000000-0006-0000-0600-000015000000}">
      <text>
        <r>
          <rPr>
            <sz val="10"/>
            <color rgb="FF000000"/>
            <rFont val="Arial"/>
            <scheme val="minor"/>
          </rPr>
          <t>https://cdn.discordapp.com/attachments/638431557497126917/716691790564032522/Screenshot_2.png</t>
        </r>
      </text>
    </comment>
    <comment ref="N315" authorId="0" shapeId="0" xr:uid="{00000000-0006-0000-0600-000016000000}">
      <text>
        <r>
          <rPr>
            <sz val="10"/>
            <color rgb="FF000000"/>
            <rFont val="Arial"/>
            <scheme val="minor"/>
          </rPr>
          <t>https://i.gyazo.com/5e0af0635d9e8b0c97d8da2c76605d26.png
https://i.gyazo.com/ad764a78d9d32e345d15bec817e9e198.png</t>
        </r>
      </text>
    </comment>
    <comment ref="N316" authorId="0" shapeId="0" xr:uid="{00000000-0006-0000-0600-000017000000}">
      <text>
        <r>
          <rPr>
            <sz val="10"/>
            <color rgb="FF000000"/>
            <rFont val="Arial"/>
            <scheme val="minor"/>
          </rPr>
          <t>https://images-ext-2.discordapp.net/external/83LECzX8Ox7MSbmg5Gm0klEWfEik0LBGe6QcAdSCL-w/https/i.gyazo.com/thumb/1200/6a136cdb99c6fbe3baad8b6386718f01-png.jpg?width=960&amp;height=285</t>
        </r>
      </text>
    </comment>
    <comment ref="N325" authorId="0" shapeId="0" xr:uid="{00000000-0006-0000-0600-000018000000}">
      <text>
        <r>
          <rPr>
            <sz val="10"/>
            <color rgb="FF000000"/>
            <rFont val="Arial"/>
            <scheme val="minor"/>
          </rPr>
          <t>https://gyazo.com/511f4775df1abaaa8e948fca5798ac88</t>
        </r>
      </text>
    </comment>
    <comment ref="N339" authorId="0" shapeId="0" xr:uid="{00000000-0006-0000-0600-000019000000}">
      <text>
        <r>
          <rPr>
            <sz val="10"/>
            <color rgb="FF000000"/>
            <rFont val="Arial"/>
            <scheme val="minor"/>
          </rPr>
          <t>https://gyazo.com/f8ad0590b0a6b3621c2a2541ba0c16d9</t>
        </r>
      </text>
    </comment>
    <comment ref="N347" authorId="0" shapeId="0" xr:uid="{00000000-0006-0000-0600-00001A000000}">
      <text>
        <r>
          <rPr>
            <sz val="10"/>
            <color rgb="FF000000"/>
            <rFont val="Arial"/>
            <scheme val="minor"/>
          </rPr>
          <t>https://gyazo.com/e7474195b4184174f4431895086b0767</t>
        </r>
      </text>
    </comment>
    <comment ref="N349" authorId="0" shapeId="0" xr:uid="{00000000-0006-0000-0600-00001B000000}">
      <text>
        <r>
          <rPr>
            <sz val="10"/>
            <color rgb="FF000000"/>
            <rFont val="Arial"/>
            <scheme val="minor"/>
          </rPr>
          <t>https://gyazo.com/2bdf350dd7e022410bdf9d75b4da2d09</t>
        </r>
      </text>
    </comment>
    <comment ref="N356" authorId="0" shapeId="0" xr:uid="{00000000-0006-0000-0600-00001C000000}">
      <text>
        <r>
          <rPr>
            <sz val="10"/>
            <color rgb="FF000000"/>
            <rFont val="Arial"/>
            <scheme val="minor"/>
          </rPr>
          <t>https://cdn.discordapp.com/attachments/719629602112143491/736575238187384832/29efb6add65d6ca1.png
880 пойдет в июль</t>
        </r>
      </text>
    </comment>
    <comment ref="N357" authorId="0" shapeId="0" xr:uid="{00000000-0006-0000-0600-00001D000000}">
      <text>
        <r>
          <rPr>
            <sz val="10"/>
            <color rgb="FF000000"/>
            <rFont val="Arial"/>
            <scheme val="minor"/>
          </rPr>
          <t>https://gyazo.com/a40d0de520a88c008884109b4659b6b7
это билеты на 50</t>
        </r>
      </text>
    </comment>
    <comment ref="N360" authorId="0" shapeId="0" xr:uid="{00000000-0006-0000-0600-00001E000000}">
      <text>
        <r>
          <rPr>
            <sz val="10"/>
            <color rgb="FF000000"/>
            <rFont val="Arial"/>
            <scheme val="minor"/>
          </rPr>
          <t>https://cdn.discordapp.com/attachments/638431557497126917/726527162944847942/Screenshot_2.png</t>
        </r>
      </text>
    </comment>
    <comment ref="N361" authorId="0" shapeId="0" xr:uid="{00000000-0006-0000-0600-00001F000000}">
      <text>
        <r>
          <rPr>
            <sz val="10"/>
            <color rgb="FF000000"/>
            <rFont val="Arial"/>
            <scheme val="minor"/>
          </rPr>
          <t>https://gyazo.com/57358cc3da17f6bf713e3d26a59fd8e3</t>
        </r>
      </text>
    </comment>
    <comment ref="N406" authorId="0" shapeId="0" xr:uid="{00000000-0006-0000-0600-000020000000}">
      <text>
        <r>
          <rPr>
            <sz val="10"/>
            <color rgb="FF000000"/>
            <rFont val="Arial"/>
            <scheme val="minor"/>
          </rPr>
          <t>1280 учтено в июле! https://cdn.discordapp.com/attachments/719629602112143491/750755773461823528/b.km.png</t>
        </r>
      </text>
    </comment>
    <comment ref="N407" authorId="0" shapeId="0" xr:uid="{00000000-0006-0000-0600-000021000000}">
      <text>
        <r>
          <rPr>
            <sz val="10"/>
            <color rgb="FF000000"/>
            <rFont val="Arial"/>
            <scheme val="minor"/>
          </rPr>
          <t>2 tickets on 20</t>
        </r>
      </text>
    </comment>
    <comment ref="N408" authorId="0" shapeId="0" xr:uid="{00000000-0006-0000-0600-000022000000}">
      <text>
        <r>
          <rPr>
            <sz val="10"/>
            <color rgb="FF000000"/>
            <rFont val="Arial"/>
            <scheme val="minor"/>
          </rPr>
          <t>3 tickets on 100</t>
        </r>
      </text>
    </comment>
    <comment ref="N409" authorId="0" shapeId="0" xr:uid="{00000000-0006-0000-0600-000023000000}">
      <text>
        <r>
          <rPr>
            <sz val="10"/>
            <color rgb="FF000000"/>
            <rFont val="Arial"/>
            <scheme val="minor"/>
          </rPr>
          <t>30 tickets on 50</t>
        </r>
      </text>
    </comment>
    <comment ref="N410" authorId="0" shapeId="0" xr:uid="{00000000-0006-0000-0600-000024000000}">
      <text>
        <r>
          <rPr>
            <sz val="10"/>
            <color rgb="FF000000"/>
            <rFont val="Arial"/>
            <scheme val="minor"/>
          </rPr>
          <t>prime cash от 1 авг учтены!
https://cdn.discordapp.com/attachments/638431557497126917/739189285269405706/Screenshot_1.png</t>
        </r>
      </text>
    </comment>
    <comment ref="N433" authorId="0" shapeId="0" xr:uid="{00000000-0006-0000-0600-000025000000}">
      <text>
        <r>
          <rPr>
            <sz val="10"/>
            <color rgb="FF000000"/>
            <rFont val="Arial"/>
            <scheme val="minor"/>
          </rPr>
          <t>https://cdn.discordapp.com/attachments/719629602112143491/761086970692239400/d53b9485a3ecff08.png 
6240 weekly
+46*50tickets +3*100 tickets +25 diamond</t>
        </r>
      </text>
    </comment>
    <comment ref="N435" authorId="0" shapeId="0" xr:uid="{00000000-0006-0000-0600-000026000000}">
      <text>
        <r>
          <rPr>
            <sz val="10"/>
            <color rgb="FF000000"/>
            <rFont val="Arial"/>
            <scheme val="minor"/>
          </rPr>
          <t>https://cdn.discordapp.com/attachments/638431557497126917/749991113796091984/Screenshot_2.png</t>
        </r>
      </text>
    </comment>
    <comment ref="N469" authorId="0" shapeId="0" xr:uid="{00000000-0006-0000-0600-000027000000}">
      <text>
        <r>
          <rPr>
            <sz val="10"/>
            <color rgb="FF000000"/>
            <rFont val="Arial"/>
            <scheme val="minor"/>
          </rPr>
          <t>https://cdn.discordapp.com/attachments/638431557497126917/762995781988384778/unknown.png</t>
        </r>
      </text>
    </comment>
    <comment ref="N495" authorId="0" shapeId="0" xr:uid="{00000000-0006-0000-0600-000028000000}">
      <text>
        <r>
          <rPr>
            <sz val="10"/>
            <color rgb="FF000000"/>
            <rFont val="Arial"/>
            <scheme val="minor"/>
          </rPr>
          <t>РБ за билеты с МТТ https://gyazo.com/eb231c9c0af7198169a821891fc868c3</t>
        </r>
      </text>
    </comment>
    <comment ref="H503" authorId="0" shapeId="0" xr:uid="{00000000-0006-0000-0600-000029000000}">
      <text>
        <r>
          <rPr>
            <sz val="10"/>
            <color rgb="FF000000"/>
            <rFont val="Arial"/>
            <scheme val="minor"/>
          </rPr>
          <t>это HU</t>
        </r>
      </text>
    </comment>
    <comment ref="N504" authorId="0" shapeId="0" xr:uid="{00000000-0006-0000-0600-00002A000000}">
      <text>
        <r>
          <rPr>
            <sz val="10"/>
            <color rgb="FF000000"/>
            <rFont val="Arial"/>
            <scheme val="minor"/>
          </rPr>
          <t>https://cdn.discordapp.com/attachments/638431557497126917/772075142594560000/unknown.png</t>
        </r>
      </text>
    </comment>
    <comment ref="N506" authorId="0" shapeId="0" xr:uid="{00000000-0006-0000-0600-00002B000000}">
      <text>
        <r>
          <rPr>
            <sz val="10"/>
            <color rgb="FF000000"/>
            <rFont val="Arial"/>
            <scheme val="minor"/>
          </rPr>
          <t>weekly CB</t>
        </r>
      </text>
    </comment>
    <comment ref="N507" authorId="0" shapeId="0" xr:uid="{00000000-0006-0000-0600-00002C000000}">
      <text>
        <r>
          <rPr>
            <sz val="10"/>
            <color rgb="FF000000"/>
            <rFont val="Arial"/>
            <scheme val="minor"/>
          </rPr>
          <t>выплата от СФ</t>
        </r>
      </text>
    </comment>
    <comment ref="N508" authorId="0" shapeId="0" xr:uid="{00000000-0006-0000-0600-00002D000000}">
      <text>
        <r>
          <rPr>
            <sz val="10"/>
            <color rgb="FF000000"/>
            <rFont val="Arial"/>
            <scheme val="minor"/>
          </rPr>
          <t>80 tickets on 50s</t>
        </r>
      </text>
    </comment>
    <comment ref="N509" authorId="0" shapeId="0" xr:uid="{00000000-0006-0000-0600-00002E000000}">
      <text>
        <r>
          <rPr>
            <sz val="10"/>
            <color rgb="FF000000"/>
            <rFont val="Arial"/>
            <scheme val="minor"/>
          </rPr>
          <t>3 tickets on 100s</t>
        </r>
      </text>
    </comment>
    <comment ref="N531" authorId="0" shapeId="0" xr:uid="{00000000-0006-0000-0600-00002F000000}">
      <text>
        <r>
          <rPr>
            <sz val="10"/>
            <color rgb="FF000000"/>
            <rFont val="Arial"/>
            <scheme val="minor"/>
          </rPr>
          <t>2к за челленджи от 1/11 УЖЕ добавлены в октябре, исключить из ноября</t>
        </r>
      </text>
    </comment>
    <comment ref="N532" authorId="0" shapeId="0" xr:uid="{00000000-0006-0000-0600-000030000000}">
      <text>
        <r>
          <rPr>
            <sz val="10"/>
            <color rgb="FF000000"/>
            <rFont val="Arial"/>
            <scheme val="minor"/>
          </rPr>
          <t>РБ за билеты с МТТ 1431+108+67 
https://i.gyazo.com/ad891b4c08d198ade16e83cafa672f0d.png</t>
        </r>
      </text>
    </comment>
    <comment ref="M533" authorId="0" shapeId="0" xr:uid="{00000000-0006-0000-0600-000031000000}">
      <text>
        <r>
          <rPr>
            <sz val="10"/>
            <color rgb="FF000000"/>
            <rFont val="Arial"/>
            <scheme val="minor"/>
          </rPr>
          <t>+300
-3 games</t>
        </r>
      </text>
    </comment>
    <comment ref="N533" authorId="0" shapeId="0" xr:uid="{00000000-0006-0000-0600-000032000000}">
      <text>
        <r>
          <rPr>
            <sz val="10"/>
            <color rgb="FF000000"/>
            <rFont val="Arial"/>
            <scheme val="minor"/>
          </rPr>
          <t>https://i.gyazo.com/d41830371c4fcf4aa25b8d467bf905b0.png</t>
        </r>
      </text>
    </comment>
    <comment ref="M535" authorId="0" shapeId="0" xr:uid="{00000000-0006-0000-0600-000033000000}">
      <text>
        <r>
          <rPr>
            <sz val="10"/>
            <color rgb="FF000000"/>
            <rFont val="Arial"/>
            <scheme val="minor"/>
          </rPr>
          <t>+1250
-5 games</t>
        </r>
      </text>
    </comment>
    <comment ref="M536" authorId="0" shapeId="0" xr:uid="{00000000-0006-0000-0600-000034000000}">
      <text>
        <r>
          <rPr>
            <sz val="10"/>
            <color rgb="FF000000"/>
            <rFont val="Arial"/>
            <scheme val="minor"/>
          </rPr>
          <t>+100
- 2 games</t>
        </r>
      </text>
    </comment>
    <comment ref="M537" authorId="0" shapeId="0" xr:uid="{00000000-0006-0000-0600-000035000000}">
      <text>
        <r>
          <rPr>
            <sz val="10"/>
            <color rgb="FF000000"/>
            <rFont val="Arial"/>
            <scheme val="minor"/>
          </rPr>
          <t>+300
- 6 games</t>
        </r>
      </text>
    </comment>
    <comment ref="N538" authorId="0" shapeId="0" xr:uid="{00000000-0006-0000-0600-000036000000}">
      <text>
        <r>
          <rPr>
            <sz val="10"/>
            <color rgb="FF000000"/>
            <rFont val="Arial"/>
            <scheme val="minor"/>
          </rPr>
          <t>https://cdn.discordapp.com/attachments/638431557497126917/784347184002760704/unknown.png</t>
        </r>
      </text>
    </comment>
    <comment ref="N539" authorId="0" shapeId="0" xr:uid="{00000000-0006-0000-0600-000037000000}">
      <text>
        <r>
          <rPr>
            <sz val="10"/>
            <color rgb="FF000000"/>
            <rFont val="Arial"/>
            <scheme val="minor"/>
          </rPr>
          <t>https://docs.google.com/spreadsheets/d/18GfLr_eAVJS70iY93yVAWQd6hj-_e9QAsz8xehn7GXg/edit#gid=1092546115</t>
        </r>
      </text>
    </comment>
    <comment ref="M541" authorId="0" shapeId="0" xr:uid="{00000000-0006-0000-0600-000038000000}">
      <text>
        <r>
          <rPr>
            <sz val="10"/>
            <color rgb="FF000000"/>
            <rFont val="Arial"/>
            <scheme val="minor"/>
          </rPr>
          <t>In Pool:
-6 games
+800 Net Won</t>
        </r>
      </text>
    </comment>
    <comment ref="M542" authorId="0" shapeId="0" xr:uid="{00000000-0006-0000-0600-000039000000}">
      <text>
        <r>
          <rPr>
            <sz val="10"/>
            <color rgb="FF000000"/>
            <rFont val="Arial"/>
            <scheme val="minor"/>
          </rPr>
          <t>In Pool:
-2 games
+100 Net Won</t>
        </r>
      </text>
    </comment>
    <comment ref="N549" authorId="0" shapeId="0" xr:uid="{00000000-0006-0000-0600-00003A000000}">
      <text>
        <r>
          <rPr>
            <sz val="10"/>
            <color rgb="FF000000"/>
            <rFont val="Arial"/>
            <scheme val="minor"/>
          </rPr>
          <t>https://gyazo.com/1cdb2c5ac02a9face39d75c9809e58c7</t>
        </r>
      </text>
    </comment>
    <comment ref="N557" authorId="0" shapeId="0" xr:uid="{00000000-0006-0000-0600-00003B000000}">
      <text>
        <r>
          <rPr>
            <sz val="10"/>
            <color rgb="FF000000"/>
            <rFont val="Arial"/>
            <scheme val="minor"/>
          </rPr>
          <t>https://cdn.discordapp.com/attachments/638431557497126917/790122965664137226/unknown.png</t>
        </r>
      </text>
    </comment>
    <comment ref="N563" authorId="0" shapeId="0" xr:uid="{00000000-0006-0000-0600-00003C000000}">
      <text>
        <r>
          <rPr>
            <sz val="10"/>
            <color rgb="FF000000"/>
            <rFont val="Arial"/>
            <scheme val="minor"/>
          </rPr>
          <t>https://docs.google.com/spreadsheets/d/1_QKYMIhpD9eSZmCmD3HZJBTHcgj0QH8CeMl98X1scpI/edit#gid=111308925</t>
        </r>
      </text>
    </comment>
    <comment ref="M565" authorId="0" shapeId="0" xr:uid="{00000000-0006-0000-0600-00003D000000}">
      <text>
        <r>
          <rPr>
            <sz val="10"/>
            <color rgb="FF000000"/>
            <rFont val="Arial"/>
            <scheme val="minor"/>
          </rPr>
          <t>in Pool:
-1 game
+250 usd</t>
        </r>
      </text>
    </comment>
    <comment ref="M566" authorId="0" shapeId="0" xr:uid="{00000000-0006-0000-0600-00003E000000}">
      <text>
        <r>
          <rPr>
            <sz val="10"/>
            <color rgb="FF000000"/>
            <rFont val="Arial"/>
            <scheme val="minor"/>
          </rPr>
          <t>in Pool:
-4 game
+200 usd</t>
        </r>
      </text>
    </comment>
    <comment ref="M567" authorId="0" shapeId="0" xr:uid="{00000000-0006-0000-0600-00003F000000}">
      <text>
        <r>
          <rPr>
            <sz val="10"/>
            <color rgb="FF000000"/>
            <rFont val="Arial"/>
            <scheme val="minor"/>
          </rPr>
          <t>in Pool:
-1 game
+50 usd</t>
        </r>
      </text>
    </comment>
    <comment ref="N568" authorId="0" shapeId="0" xr:uid="{00000000-0006-0000-0600-000040000000}">
      <text>
        <r>
          <rPr>
            <sz val="10"/>
            <color rgb="FF000000"/>
            <rFont val="Arial"/>
            <scheme val="minor"/>
          </rPr>
          <t>https://gyazo.com/f7a305c75c9561128d13b9678c79d9c4</t>
        </r>
      </text>
    </comment>
    <comment ref="N577" authorId="0" shapeId="0" xr:uid="{00000000-0006-0000-0600-000041000000}">
      <text>
        <r>
          <rPr>
            <sz val="10"/>
            <color rgb="FF000000"/>
            <rFont val="Arial"/>
            <scheme val="minor"/>
          </rPr>
          <t>https://gyazo.com/fdaeb379124fdd199e350be23404b2ca</t>
        </r>
      </text>
    </comment>
    <comment ref="N587" authorId="0" shapeId="0" xr:uid="{00000000-0006-0000-0600-000042000000}">
      <text>
        <r>
          <rPr>
            <sz val="10"/>
            <color rgb="FF000000"/>
            <rFont val="Arial"/>
            <scheme val="minor"/>
          </rPr>
          <t>https://gyazo.com/9c3050331f146c5c02a0dca65c31f66f</t>
        </r>
      </text>
    </comment>
    <comment ref="N595" authorId="0" shapeId="0" xr:uid="{00000000-0006-0000-0600-000043000000}">
      <text>
        <r>
          <rPr>
            <sz val="10"/>
            <color rgb="FF000000"/>
            <rFont val="Arial"/>
            <scheme val="minor"/>
          </rPr>
          <t>https://cdn.discordapp.com/attachments/638431557497126917/805867249021354004/unknown.png</t>
        </r>
      </text>
    </comment>
    <comment ref="N610" authorId="0" shapeId="0" xr:uid="{00000000-0006-0000-0600-000044000000}">
      <text>
        <r>
          <rPr>
            <sz val="10"/>
            <color rgb="FF000000"/>
            <rFont val="Arial"/>
            <scheme val="minor"/>
          </rPr>
          <t>https://gyazo.com/2bcaeb9e28cac6d9b3b9014898d15c95</t>
        </r>
      </text>
    </comment>
    <comment ref="N627" authorId="0" shapeId="0" xr:uid="{00000000-0006-0000-0600-000045000000}">
      <text>
        <r>
          <rPr>
            <sz val="10"/>
            <color rgb="FF000000"/>
            <rFont val="Arial"/>
            <scheme val="minor"/>
          </rPr>
          <t>учтены prime cash 01/03/2021
1850е
https://cdn.discordapp.com/attachments/638431557497126917/815927705806569492/unknown.png</t>
        </r>
      </text>
    </comment>
    <comment ref="N643" authorId="0" shapeId="0" xr:uid="{00000000-0006-0000-0600-000046000000}">
      <text>
        <r>
          <rPr>
            <sz val="10"/>
            <color rgb="FF000000"/>
            <rFont val="Arial"/>
            <scheme val="minor"/>
          </rPr>
          <t>https://gyazo.com/f13e38d92ceb3596a61b0757cc9bfca5</t>
        </r>
      </text>
    </comment>
    <comment ref="M650" authorId="0" shapeId="0" xr:uid="{00000000-0006-0000-0600-000047000000}">
      <text>
        <r>
          <rPr>
            <sz val="10"/>
            <color rgb="FF000000"/>
            <rFont val="Arial"/>
            <scheme val="minor"/>
          </rPr>
          <t>https://gyazo.com/3463acbfab089cbf2d36ad49930ab41f
поделили на отметке 30900</t>
        </r>
      </text>
    </comment>
    <comment ref="N651" authorId="0" shapeId="0" xr:uid="{00000000-0006-0000-0600-000048000000}">
      <text>
        <r>
          <rPr>
            <sz val="10"/>
            <color rgb="FF000000"/>
            <rFont val="Arial"/>
            <scheme val="minor"/>
          </rPr>
          <t>https://cdn.discordapp.com/attachments/673964715264835584/824170790210633737/Screenshot_7.png</t>
        </r>
      </text>
    </comment>
    <comment ref="N656" authorId="0" shapeId="0" xr:uid="{00000000-0006-0000-0600-000049000000}">
      <text>
        <r>
          <rPr>
            <sz val="10"/>
            <color rgb="FF000000"/>
            <rFont val="Arial"/>
            <scheme val="minor"/>
          </rPr>
          <t>перерасппределить когда будет весь рб 
1361 (spin gold) + 2063 (fish buffet) +136 билетов на 20
https://cdn.discordapp.com/attachments/747398207176310784/826838357500887100/bf.PNG
https://media.discordapp.net/attachments/747398207176310784/826838364253847602/gold.PNG?width=1080&amp;height=608</t>
        </r>
      </text>
    </comment>
    <comment ref="N664" authorId="0" shapeId="0" xr:uid="{00000000-0006-0000-0600-00004A000000}">
      <text>
        <r>
          <rPr>
            <sz val="10"/>
            <color rgb="FF000000"/>
            <rFont val="Arial"/>
            <scheme val="minor"/>
          </rPr>
          <t>учли рб с 1 апреля https://i.gyazo.com/57bc29f45a3a0f279fbfbf9681c1d4ba.png</t>
        </r>
      </text>
    </comment>
    <comment ref="N667" authorId="0" shapeId="0" xr:uid="{00000000-0006-0000-0600-00004B000000}">
      <text>
        <r>
          <rPr>
            <sz val="10"/>
            <color rgb="FF000000"/>
            <rFont val="Arial"/>
            <scheme val="minor"/>
          </rPr>
          <t>https://i.gyazo.com/d935beab36f874080eb9dbfd4df69f50.png</t>
        </r>
      </text>
    </comment>
    <comment ref="N686" authorId="0" shapeId="0" xr:uid="{00000000-0006-0000-0600-00004C000000}">
      <text>
        <r>
          <rPr>
            <sz val="10"/>
            <color rgb="FF000000"/>
            <rFont val="Arial"/>
            <scheme val="minor"/>
          </rPr>
          <t>1736.05 Fish Buffet
2420.16 Spin &amp; Gold
1150 Leaderboards Tickets
19.79 GG Care
705.53 + 398.23 Добавили потому что по кассе получалось что откуда-то это взялось</t>
        </r>
      </text>
    </comment>
    <comment ref="N694" authorId="0" shapeId="0" xr:uid="{00000000-0006-0000-0600-00004D000000}">
      <text>
        <r>
          <rPr>
            <sz val="10"/>
            <color rgb="FF000000"/>
            <rFont val="Arial"/>
            <scheme val="minor"/>
          </rPr>
          <t>3100 fish buff 
https://cdn.discordapp.com/attachments/747398207176310784/836159126358327316/87a9c4e5a0769ba6.PNG</t>
        </r>
      </text>
    </comment>
    <comment ref="N695" authorId="0" shapeId="0" xr:uid="{00000000-0006-0000-0600-00004E000000}">
      <text>
        <r>
          <rPr>
            <sz val="10"/>
            <color rgb="FF000000"/>
            <rFont val="Arial"/>
            <scheme val="minor"/>
          </rPr>
          <t>3025 spin gold (4386-1361)
128 * 20 - с 02 по 20 апреля</t>
        </r>
      </text>
    </comment>
    <comment ref="N700" authorId="0" shapeId="0" xr:uid="{00000000-0006-0000-0600-00004F000000}">
      <text>
        <r>
          <rPr>
            <sz val="10"/>
            <color rgb="FF000000"/>
            <rFont val="Arial"/>
            <scheme val="minor"/>
          </rPr>
          <t>https://media.discordapp.net/attachments/638431557497126917/839814563268526100/unknown.png?width=1416&amp;height=720</t>
        </r>
      </text>
    </comment>
    <comment ref="N702" authorId="0" shapeId="0" xr:uid="{00000000-0006-0000-0600-000050000000}">
      <text>
        <r>
          <rPr>
            <sz val="10"/>
            <color rgb="FF000000"/>
            <rFont val="Arial"/>
            <scheme val="minor"/>
          </rPr>
          <t>https://i.gyazo.com/73cfbd570ce4ec64b21ed475121e303c.png</t>
        </r>
      </text>
    </comment>
    <comment ref="N729" authorId="0" shapeId="0" xr:uid="{00000000-0006-0000-0600-000051000000}">
      <text>
        <r>
          <rPr>
            <sz val="10"/>
            <color rgb="FF000000"/>
            <rFont val="Arial"/>
            <scheme val="minor"/>
          </rPr>
          <t>3282 (7668-4386) Spin Gold
67 * 50 = 3350 ticketd</t>
        </r>
      </text>
    </comment>
    <comment ref="N730" authorId="0" shapeId="0" xr:uid="{00000000-0006-0000-0600-000052000000}">
      <text>
        <r>
          <rPr>
            <sz val="10"/>
            <color rgb="FF000000"/>
            <rFont val="Arial"/>
            <scheme val="minor"/>
          </rPr>
          <t>4926 - fish buffet https://cdn.discordapp.com/attachments/846351964669214740/846357049956499456/FB.PNG</t>
        </r>
      </text>
    </comment>
    <comment ref="N735" authorId="0" shapeId="0" xr:uid="{00000000-0006-0000-0600-000053000000}">
      <text>
        <r>
          <rPr>
            <sz val="10"/>
            <color rgb="FF000000"/>
            <rFont val="Arial"/>
            <scheme val="minor"/>
          </rPr>
          <t>https://gyazo.com/7fb0f49a2e0f8cb33bbd9c194ac44961</t>
        </r>
      </text>
    </comment>
    <comment ref="N739" authorId="0" shapeId="0" xr:uid="{00000000-0006-0000-0600-000054000000}">
      <text>
        <r>
          <rPr>
            <sz val="10"/>
            <color rgb="FF000000"/>
            <rFont val="Arial"/>
            <scheme val="minor"/>
          </rPr>
          <t>https://i.gyazo.com/fbaebb5e55cc73e540cfbc8f1328e43c.png</t>
        </r>
      </text>
    </comment>
    <comment ref="N743" authorId="0" shapeId="0" xr:uid="{00000000-0006-0000-0600-000055000000}">
      <text>
        <r>
          <rPr>
            <sz val="10"/>
            <color rgb="FF000000"/>
            <rFont val="Arial"/>
            <scheme val="minor"/>
          </rPr>
          <t>https://i.gyazo.com/813ad59d762efaa0ae5c640bc467b2f8.png</t>
        </r>
      </text>
    </comment>
    <comment ref="N744" authorId="0" shapeId="0" xr:uid="{00000000-0006-0000-0600-000056000000}">
      <text>
        <r>
          <rPr>
            <sz val="10"/>
            <color rgb="FF000000"/>
            <rFont val="Arial"/>
            <scheme val="minor"/>
          </rPr>
          <t>https://i.gyazo.com/0596968e98d1bbdb46a74b26fe6032e6.png</t>
        </r>
      </text>
    </comment>
    <comment ref="N745" authorId="0" shapeId="0" xr:uid="{00000000-0006-0000-0600-000057000000}">
      <text>
        <r>
          <rPr>
            <sz val="10"/>
            <color rgb="FF000000"/>
            <rFont val="Arial"/>
            <scheme val="minor"/>
          </rPr>
          <t>https://prnt.sc/16cfecm</t>
        </r>
      </text>
    </comment>
    <comment ref="N757" authorId="0" shapeId="0" xr:uid="{00000000-0006-0000-0600-000058000000}">
      <text>
        <r>
          <rPr>
            <sz val="10"/>
            <color rgb="FF000000"/>
            <rFont val="Arial"/>
            <scheme val="minor"/>
          </rPr>
          <t>https://i.gyazo.com/e6e310cb65bc00ad7783ec18aa60eb5d.png</t>
        </r>
      </text>
    </comment>
    <comment ref="N768" authorId="0" shapeId="0" xr:uid="{00000000-0006-0000-0600-000059000000}">
      <text>
        <r>
          <rPr>
            <sz val="10"/>
            <color rgb="FF000000"/>
            <rFont val="Arial"/>
            <scheme val="minor"/>
          </rPr>
          <t>https://media.discordapp.net/attachments/856537432702058526/856597478396264488/222.png?width=703&amp;height=572</t>
        </r>
      </text>
    </comment>
    <comment ref="N770" authorId="0" shapeId="0" xr:uid="{00000000-0006-0000-0600-00005A000000}">
      <text>
        <r>
          <rPr>
            <sz val="10"/>
            <color rgb="FF000000"/>
            <rFont val="Arial"/>
            <scheme val="minor"/>
          </rPr>
          <t>https://gyazo.com/9e1c06323713599e6ea0d51dc318cadb</t>
        </r>
      </text>
    </comment>
    <comment ref="N775" authorId="0" shapeId="0" xr:uid="{00000000-0006-0000-0600-00005B000000}">
      <text>
        <r>
          <rPr>
            <sz val="10"/>
            <color rgb="FF000000"/>
            <rFont val="Arial"/>
            <scheme val="minor"/>
          </rPr>
          <t>Spin Gold - 9598 - 7668 = 1930
Fish Buffet : Platinum Whale 6606-4147 = 2459
12 * 50 = tickets
50*40 tickets sold https://gyazo.com/d922317ff59a51756426aa8dc5ada54a</t>
        </r>
      </text>
    </comment>
    <comment ref="M778" authorId="0" shapeId="0" xr:uid="{00000000-0006-0000-0600-00005C000000}">
      <text>
        <r>
          <rPr>
            <sz val="10"/>
            <color rgb="FF000000"/>
            <rFont val="Arial"/>
            <scheme val="minor"/>
          </rPr>
          <t>https://gyazo.com/102abe6ce269b017de12bdf84f5929f2</t>
        </r>
      </text>
    </comment>
    <comment ref="N779" authorId="0" shapeId="0" xr:uid="{00000000-0006-0000-0600-00005D000000}">
      <text>
        <r>
          <rPr>
            <sz val="10"/>
            <color rgb="FF000000"/>
            <rFont val="Arial"/>
            <scheme val="minor"/>
          </rPr>
          <t>1656 Fish Buff
2186 spin gold
https://discord.com/channels/@me/685879670473883706/860508258506113125
https://cdn.discordapp.com/attachments/685879670473883706/860508256191774750/2021-07-02_16-11-58.png</t>
        </r>
      </text>
    </comment>
    <comment ref="N780" authorId="0" shapeId="0" xr:uid="{00000000-0006-0000-0600-00005E000000}">
      <text>
        <r>
          <rPr>
            <sz val="10"/>
            <color rgb="FF000000"/>
            <rFont val="Arial"/>
            <scheme val="minor"/>
          </rPr>
          <t>https://prnt.sc/17vfbm6
+420  из билетов за футбол, которые мы не видим</t>
        </r>
      </text>
    </comment>
    <comment ref="N782" authorId="0" shapeId="0" xr:uid="{00000000-0006-0000-0600-00005F000000}">
      <text>
        <r>
          <rPr>
            <sz val="10"/>
            <color rgb="FF000000"/>
            <rFont val="Arial"/>
            <scheme val="minor"/>
          </rPr>
          <t>https://prnt.sc/17utzcb + 50 Билет</t>
        </r>
      </text>
    </comment>
    <comment ref="N784" authorId="0" shapeId="0" xr:uid="{00000000-0006-0000-0600-000060000000}">
      <text>
        <r>
          <rPr>
            <sz val="10"/>
            <color rgb="FF000000"/>
            <rFont val="Arial"/>
            <scheme val="minor"/>
          </rPr>
          <t>https://prnt.sc/1esfjtd</t>
        </r>
      </text>
    </comment>
    <comment ref="N790" authorId="0" shapeId="0" xr:uid="{00000000-0006-0000-0600-000061000000}">
      <text>
        <r>
          <rPr>
            <sz val="10"/>
            <color rgb="FF000000"/>
            <rFont val="Arial"/>
            <scheme val="minor"/>
          </rPr>
          <t>https://gyazo.com/db558f7ed47cceb8e75a8a5451546c15</t>
        </r>
      </text>
    </comment>
    <comment ref="N793" authorId="0" shapeId="0" xr:uid="{00000000-0006-0000-0600-000062000000}">
      <text>
        <r>
          <rPr>
            <sz val="10"/>
            <color rgb="FF000000"/>
            <rFont val="Arial"/>
            <scheme val="minor"/>
          </rPr>
          <t>https://i.gyazo.com/321f3e8b70ded54206c4d4a3b110c501.png
https://i.gyazo.com/08fe33afd9c0c62e75899a6e7fd8df64.png
https://i.gyazo.com/07742a4296ad3fb59f40ab8d83e49f00.png</t>
        </r>
      </text>
    </comment>
    <comment ref="N798" authorId="0" shapeId="0" xr:uid="{00000000-0006-0000-0600-000063000000}">
      <text>
        <r>
          <rPr>
            <sz val="10"/>
            <color rgb="FF000000"/>
            <rFont val="Arial"/>
            <scheme val="minor"/>
          </rPr>
          <t>https://prnt.sc/1fs0km3</t>
        </r>
      </text>
    </comment>
    <comment ref="N802" authorId="0" shapeId="0" xr:uid="{00000000-0006-0000-0600-000064000000}">
      <text>
        <r>
          <rPr>
            <sz val="10"/>
            <color rgb="FF000000"/>
            <rFont val="Arial"/>
            <scheme val="minor"/>
          </rPr>
          <t>https://prnt.sc/1bqiufn
pt4 screenshot - https://prnt.sc/1bqji7r</t>
        </r>
      </text>
    </comment>
    <comment ref="N807" authorId="0" shapeId="0" xr:uid="{00000000-0006-0000-0600-000065000000}">
      <text>
        <r>
          <rPr>
            <sz val="10"/>
            <color rgb="FF000000"/>
            <rFont val="Arial"/>
            <scheme val="minor"/>
          </rPr>
          <t>https://prnt.sc/1eb8aup</t>
        </r>
      </text>
    </comment>
    <comment ref="N809" authorId="0" shapeId="0" xr:uid="{00000000-0006-0000-0600-000066000000}">
      <text>
        <r>
          <rPr>
            <sz val="10"/>
            <color rgb="FF000000"/>
            <rFont val="Arial"/>
            <scheme val="minor"/>
          </rPr>
          <t>https://prnt.sc/1eb9gkr
https://prnt.sc/1eb9mhx
Tickets 10 x 32</t>
        </r>
      </text>
    </comment>
    <comment ref="N814" authorId="0" shapeId="0" xr:uid="{00000000-0006-0000-0600-000067000000}">
      <text>
        <r>
          <rPr>
            <sz val="10"/>
            <color rgb="FF000000"/>
            <rFont val="Arial"/>
            <scheme val="minor"/>
          </rPr>
          <t>Fish Buffet : Platinum Whale 7480 - 6606= 874
SpinGold 10354-9598 = 756
tickets 
50 *6 = 300
20 *31 = 620</t>
        </r>
      </text>
    </comment>
    <comment ref="N817" authorId="0" shapeId="0" xr:uid="{00000000-0006-0000-0600-000068000000}">
      <text>
        <r>
          <rPr>
            <sz val="10"/>
            <color rgb="FF000000"/>
            <rFont val="Arial"/>
            <scheme val="minor"/>
          </rPr>
          <t>https://i.gyazo.com/80c98c10aac03c183e655fd085092184.png
https://i.gyazo.com/8ee8df3b115b16baa9b09c3d653dc315.png</t>
        </r>
      </text>
    </comment>
    <comment ref="N819" authorId="0" shapeId="0" xr:uid="{00000000-0006-0000-0600-000069000000}">
      <text>
        <r>
          <rPr>
            <sz val="10"/>
            <color rgb="FF000000"/>
            <rFont val="Arial"/>
            <scheme val="minor"/>
          </rPr>
          <t>https://gyazo.com/415e86e990e2d56778fa05528331773d
RB за первое число учтен в предыдущем периоде</t>
        </r>
      </text>
    </comment>
    <comment ref="N835" authorId="0" shapeId="0" xr:uid="{00000000-0006-0000-0600-00006A000000}">
      <text>
        <r>
          <rPr>
            <sz val="10"/>
            <color rgb="FF000000"/>
            <rFont val="Arial"/>
            <scheme val="minor"/>
          </rPr>
          <t>https://i.gyazo.com/f12baa4d19a204908872cd36531ebe7c.png</t>
        </r>
      </text>
    </comment>
    <comment ref="N839" authorId="0" shapeId="0" xr:uid="{00000000-0006-0000-0600-00006B000000}">
      <text>
        <r>
          <rPr>
            <sz val="10"/>
            <color rgb="FF000000"/>
            <rFont val="Arial"/>
            <scheme val="minor"/>
          </rPr>
          <t>https://i.gyazo.com/c6bb4ef4139bb419939a914e4ce87610.png</t>
        </r>
      </text>
    </comment>
    <comment ref="N842" authorId="0" shapeId="0" xr:uid="{00000000-0006-0000-0600-00006C000000}">
      <text>
        <r>
          <rPr>
            <sz val="10"/>
            <color rgb="FF000000"/>
            <rFont val="Arial"/>
            <scheme val="minor"/>
          </rPr>
          <t>https://i.gyazo.com/4052175482564538a11e19ed7abf77aa.png</t>
        </r>
      </text>
    </comment>
    <comment ref="N844" authorId="0" shapeId="0" xr:uid="{00000000-0006-0000-0600-00006D000000}">
      <text>
        <r>
          <rPr>
            <sz val="10"/>
            <color rgb="FF000000"/>
            <rFont val="Arial"/>
            <scheme val="minor"/>
          </rPr>
          <t>https://i.gyazo.com/0570d646a8602d64ebc4d602519a49f5.png</t>
        </r>
      </text>
    </comment>
    <comment ref="N846" authorId="0" shapeId="0" xr:uid="{00000000-0006-0000-0600-00006E000000}">
      <text>
        <r>
          <rPr>
            <sz val="10"/>
            <color rgb="FF000000"/>
            <rFont val="Arial"/>
            <scheme val="minor"/>
          </rPr>
          <t>14410 - rewards
8634 - fb
tickets 
9*50
92*100 (included up to 20 aug)
600 first dep</t>
        </r>
      </text>
    </comment>
    <comment ref="L854" authorId="0" shapeId="0" xr:uid="{00000000-0006-0000-0600-00006F000000}">
      <text>
        <r>
          <rPr>
            <sz val="10"/>
            <color rgb="FF000000"/>
            <rFont val="Arial"/>
            <scheme val="minor"/>
          </rPr>
          <t>https://i.gyazo.com/42d859c02df9bd9ec5d69eecc4a678d3.png</t>
        </r>
      </text>
    </comment>
    <comment ref="N854" authorId="0" shapeId="0" xr:uid="{00000000-0006-0000-0600-000070000000}">
      <text>
        <r>
          <rPr>
            <sz val="10"/>
            <color rgb="FF000000"/>
            <rFont val="Arial"/>
            <scheme val="minor"/>
          </rPr>
          <t>https://i.gyazo.com/a12c53b723446e3edefbd771b1b480c0.png</t>
        </r>
      </text>
    </comment>
    <comment ref="N857" authorId="0" shapeId="0" xr:uid="{00000000-0006-0000-0600-000071000000}">
      <text>
        <r>
          <rPr>
            <sz val="10"/>
            <color rgb="FF000000"/>
            <rFont val="Arial"/>
            <scheme val="minor"/>
          </rPr>
          <t>https://i.gyazo.com/09d3204b0544936c2668fe49eaeba4dd.png</t>
        </r>
      </text>
    </comment>
    <comment ref="N865" authorId="0" shapeId="0" xr:uid="{00000000-0006-0000-0600-000072000000}">
      <text>
        <r>
          <rPr>
            <sz val="10"/>
            <color rgb="FF000000"/>
            <rFont val="Arial"/>
            <scheme val="minor"/>
          </rPr>
          <t>https://i.gyazo.com/a12ef775cf6e0d7fb94c4fa82f2a04e9.png</t>
        </r>
      </text>
    </comment>
    <comment ref="N869" authorId="0" shapeId="0" xr:uid="{00000000-0006-0000-0600-000073000000}">
      <text>
        <r>
          <rPr>
            <sz val="10"/>
            <color rgb="FF000000"/>
            <rFont val="Arial"/>
            <scheme val="minor"/>
          </rPr>
          <t>https://i.gyazo.com/3bcdc76e3cac864d8f445c7841f1eb9a.png</t>
        </r>
      </text>
    </comment>
    <comment ref="N873" authorId="0" shapeId="0" xr:uid="{00000000-0006-0000-0600-000074000000}">
      <text>
        <r>
          <rPr>
            <sz val="10"/>
            <color rgb="FF000000"/>
            <rFont val="Arial"/>
            <scheme val="minor"/>
          </rPr>
          <t>https://i.gyazo.com/2e34ffa4ab8f0897e0aff6ae1a618245.png
25tickets x 10 
https://i.gyazo.com/04c1a8c734025ec6a3c65dac69b28c23.png</t>
        </r>
      </text>
    </comment>
    <comment ref="N880" authorId="0" shapeId="0" xr:uid="{00000000-0006-0000-0600-000075000000}">
      <text>
        <r>
          <rPr>
            <sz val="10"/>
            <color rgb="FF000000"/>
            <rFont val="Arial"/>
            <scheme val="minor"/>
          </rPr>
          <t>https://i.gyazo.com/045e4f736dd0424005057d8764814875.png</t>
        </r>
      </text>
    </comment>
    <comment ref="N883" authorId="0" shapeId="0" xr:uid="{00000000-0006-0000-0600-000076000000}">
      <text>
        <r>
          <rPr>
            <sz val="10"/>
            <color rgb="FF000000"/>
            <rFont val="Arial"/>
            <scheme val="minor"/>
          </rPr>
          <t>https://i.gyazo.com/b440da6e39e8dd0b4d4398c8bf3e5263.png</t>
        </r>
      </text>
    </comment>
    <comment ref="N894" authorId="0" shapeId="0" xr:uid="{00000000-0006-0000-0600-000077000000}">
      <text>
        <r>
          <rPr>
            <sz val="10"/>
            <color rgb="FF000000"/>
            <rFont val="Arial"/>
            <scheme val="minor"/>
          </rPr>
          <t>https://i.gyazo.com/93d620564006b879814e824292e76cfc.png</t>
        </r>
      </text>
    </comment>
    <comment ref="N897" authorId="0" shapeId="0" xr:uid="{00000000-0006-0000-0600-000078000000}">
      <text>
        <r>
          <rPr>
            <sz val="10"/>
            <color rgb="FF000000"/>
            <rFont val="Arial"/>
            <scheme val="minor"/>
          </rPr>
          <t>https://gyazo.com/8d19588b26525a76226b3583bf29812b</t>
        </r>
      </text>
    </comment>
    <comment ref="N899" authorId="0" shapeId="0" xr:uid="{00000000-0006-0000-0600-000079000000}">
      <text>
        <r>
          <rPr>
            <sz val="10"/>
            <color rgb="FF000000"/>
            <rFont val="Arial"/>
            <scheme val="minor"/>
          </rPr>
          <t>https://i.gyazo.com/bd87db755145c87ae6792089b9f1569a.png</t>
        </r>
      </text>
    </comment>
    <comment ref="N911" authorId="0" shapeId="0" xr:uid="{00000000-0006-0000-0600-00007A000000}">
      <text>
        <r>
          <rPr>
            <sz val="10"/>
            <color rgb="FF000000"/>
            <rFont val="Arial"/>
            <scheme val="minor"/>
          </rPr>
          <t>https://i.gyazo.com/3f830b88f5fbb0f9d650ae9a6b8356ff.png 
*без учета pari en cash 
8€
37.38€ 
+компенсация 10tickets x 25€</t>
        </r>
      </text>
    </comment>
    <comment ref="N919" authorId="0" shapeId="0" xr:uid="{00000000-0006-0000-0600-00007B000000}">
      <text>
        <r>
          <rPr>
            <sz val="10"/>
            <color rgb="FF000000"/>
            <rFont val="Arial"/>
            <scheme val="minor"/>
          </rPr>
          <t>https://i.gyazo.com/d99d15c15a8241ee7b8e4e3c214406c2.png
https://i.gyazo.com/8bd0055bb401bb15408978d4d2401a01.png
*без учета prime cash за 22.09</t>
        </r>
      </text>
    </comment>
    <comment ref="N931" authorId="0" shapeId="0" xr:uid="{00000000-0006-0000-0600-00007C000000}">
      <text>
        <r>
          <rPr>
            <sz val="10"/>
            <color rgb="FF000000"/>
            <rFont val="Arial"/>
            <scheme val="minor"/>
          </rPr>
          <t>https://i.gyazo.com/cb989e62970ddc2e5c7d7a2178917879.png</t>
        </r>
      </text>
    </comment>
    <comment ref="N934" authorId="0" shapeId="0" xr:uid="{00000000-0006-0000-0600-00007D000000}">
      <text>
        <r>
          <rPr>
            <sz val="10"/>
            <color rgb="FF000000"/>
            <rFont val="Arial"/>
            <scheme val="minor"/>
          </rPr>
          <t>https://i.gyazo.com/6ce16af310dad6577acec0b024d0a527.png</t>
        </r>
      </text>
    </comment>
    <comment ref="N939" authorId="0" shapeId="0" xr:uid="{00000000-0006-0000-0600-00007E000000}">
      <text>
        <r>
          <rPr>
            <sz val="10"/>
            <color rgb="FF000000"/>
            <rFont val="Arial"/>
            <scheme val="minor"/>
          </rPr>
          <t>билеты(24 на 100) добавлены с 21/09 по 19/10 
от 21/10 идут в ноябрь! 
https://gyazo.com/bfdc695f1aa05e393efd5310c8ef2e2f</t>
        </r>
      </text>
    </comment>
    <comment ref="L943" authorId="0" shapeId="0" xr:uid="{00000000-0006-0000-0600-00007F000000}">
      <text>
        <r>
          <rPr>
            <sz val="10"/>
            <color rgb="FF000000"/>
            <rFont val="Arial"/>
            <scheme val="minor"/>
          </rPr>
          <t>https://i.gyazo.com/d1ea8214b1f1cbc4330c1e8d308a6508.png</t>
        </r>
      </text>
    </comment>
    <comment ref="N943" authorId="0" shapeId="0" xr:uid="{00000000-0006-0000-0600-000080000000}">
      <text>
        <r>
          <rPr>
            <sz val="10"/>
            <color rgb="FF000000"/>
            <rFont val="Arial"/>
            <scheme val="minor"/>
          </rPr>
          <t>https://i.gyazo.com/044b4b41fdb2698be964d4711939e248.png</t>
        </r>
      </text>
    </comment>
    <comment ref="N946" authorId="0" shapeId="0" xr:uid="{00000000-0006-0000-0600-000081000000}">
      <text>
        <r>
          <rPr>
            <sz val="10"/>
            <color rgb="FF000000"/>
            <rFont val="Arial"/>
            <scheme val="minor"/>
          </rPr>
          <t>https://i.gyazo.com/3c91ebfea9ba0a42fb763fa51aa78ed8.png</t>
        </r>
      </text>
    </comment>
    <comment ref="N948" authorId="0" shapeId="0" xr:uid="{00000000-0006-0000-0600-000082000000}">
      <text>
        <r>
          <rPr>
            <sz val="10"/>
            <color rgb="FF000000"/>
            <rFont val="Arial"/>
            <scheme val="minor"/>
          </rPr>
          <t>https://i.gyazo.com/645c8267ab9aa625ee91efd198c7271a.png</t>
        </r>
      </text>
    </comment>
    <comment ref="N956" authorId="0" shapeId="0" xr:uid="{00000000-0006-0000-0600-000083000000}">
      <text>
        <r>
          <rPr>
            <sz val="10"/>
            <color rgb="FF000000"/>
            <rFont val="Arial"/>
            <scheme val="minor"/>
          </rPr>
          <t>https://gyazo.com/5c66e676b65de0660b36b2f10498d935</t>
        </r>
      </text>
    </comment>
    <comment ref="N964" authorId="0" shapeId="0" xr:uid="{00000000-0006-0000-0600-000084000000}">
      <text>
        <r>
          <rPr>
            <sz val="10"/>
            <color rgb="FF000000"/>
            <rFont val="Arial"/>
            <scheme val="minor"/>
          </rPr>
          <t>https://i.gyazo.com/e7b7e654d1acaf61aca0072bce3302f7.png</t>
        </r>
      </text>
    </comment>
    <comment ref="N969" authorId="0" shapeId="0" xr:uid="{00000000-0006-0000-0600-000085000000}">
      <text>
        <r>
          <rPr>
            <sz val="10"/>
            <color rgb="FF000000"/>
            <rFont val="Arial"/>
            <scheme val="minor"/>
          </rPr>
          <t>https://i.gyazo.com/7cbdafbb0b2878a3b007776b2ce7d1cd.png</t>
        </r>
      </text>
    </comment>
    <comment ref="N976" authorId="0" shapeId="0" xr:uid="{00000000-0006-0000-0600-000086000000}">
      <text>
        <r>
          <rPr>
            <sz val="10"/>
            <color rgb="FF000000"/>
            <rFont val="Arial"/>
            <scheme val="minor"/>
          </rPr>
          <t>https://gyazo.com/6c59dbd24f51aa8b48d36182470227c7</t>
        </r>
      </text>
    </comment>
    <comment ref="N977" authorId="0" shapeId="0" xr:uid="{00000000-0006-0000-0600-000087000000}">
      <text>
        <r>
          <rPr>
            <sz val="10"/>
            <color rgb="FF000000"/>
            <rFont val="Arial"/>
            <scheme val="minor"/>
          </rPr>
          <t>https://i.gyazo.com/da82561b5ed4511ee975ba37c668a668.png</t>
        </r>
      </text>
    </comment>
    <comment ref="N984" authorId="0" shapeId="0" xr:uid="{00000000-0006-0000-0600-000088000000}">
      <text>
        <r>
          <rPr>
            <sz val="10"/>
            <color rgb="FF000000"/>
            <rFont val="Arial"/>
            <scheme val="minor"/>
          </rPr>
          <t>https://i.gyazo.com/ff7892af0bf2601d4d498786a4670b64.png</t>
        </r>
      </text>
    </comment>
    <comment ref="N987" authorId="0" shapeId="0" xr:uid="{00000000-0006-0000-0600-000089000000}">
      <text>
        <r>
          <rPr>
            <sz val="10"/>
            <color rgb="FF000000"/>
            <rFont val="Arial"/>
            <scheme val="minor"/>
          </rPr>
          <t>https://i.gyazo.com/777816220872ac6f90dd7ecec146d9a4.png
https://i.gyazo.com/1bbdf5648d52b768995bf55727d47769.png</t>
        </r>
      </text>
    </comment>
    <comment ref="N1000" authorId="0" shapeId="0" xr:uid="{00000000-0006-0000-0600-00008A000000}">
      <text>
        <r>
          <rPr>
            <sz val="10"/>
            <color rgb="FF000000"/>
            <rFont val="Arial"/>
            <scheme val="minor"/>
          </rPr>
          <t>https://i.gyazo.com/8074cfb0d154bc69adebb5bdd51fc927.png
01.11 - primecash 1k 500 20x2 учтены в прошлом периоде</t>
        </r>
      </text>
    </comment>
    <comment ref="M1001" authorId="0" shapeId="0" xr:uid="{00000000-0006-0000-0600-00008B000000}">
      <text>
        <r>
          <rPr>
            <sz val="10"/>
            <color rgb="FF000000"/>
            <rFont val="Arial"/>
            <scheme val="minor"/>
          </rPr>
          <t>https://gyazo.com/f7385954ffca58421d2698519d4cdd1e</t>
        </r>
      </text>
    </comment>
    <comment ref="N1002" authorId="0" shapeId="0" xr:uid="{00000000-0006-0000-0600-00008C000000}">
      <text>
        <r>
          <rPr>
            <sz val="10"/>
            <color rgb="FF000000"/>
            <rFont val="Arial"/>
            <scheme val="minor"/>
          </rPr>
          <t>https://i.gyazo.com/thumb/1200/9a67180eedfcdf9b5088028e1b41e2c8-png.jpg</t>
        </r>
      </text>
    </comment>
    <comment ref="N1009" authorId="0" shapeId="0" xr:uid="{00000000-0006-0000-0600-00008D000000}">
      <text>
        <r>
          <rPr>
            <sz val="10"/>
            <color rgb="FF000000"/>
            <rFont val="Arial"/>
            <scheme val="minor"/>
          </rPr>
          <t>https://gyazo.com/f6ab26ae9359aa23da5c18d51474dadc</t>
        </r>
      </text>
    </comment>
    <comment ref="L1014" authorId="0" shapeId="0" xr:uid="{00000000-0006-0000-0600-00008E000000}">
      <text>
        <r>
          <rPr>
            <sz val="10"/>
            <color rgb="FF000000"/>
            <rFont val="Arial"/>
            <scheme val="minor"/>
          </rPr>
          <t>https://gyazo.com/c63eef3f2cf73ee5a6f8da46ed527d6e</t>
        </r>
      </text>
    </comment>
    <comment ref="N1019" authorId="0" shapeId="0" xr:uid="{00000000-0006-0000-0600-00008F000000}">
      <text>
        <r>
          <rPr>
            <sz val="10"/>
            <color rgb="FF000000"/>
            <rFont val="Arial"/>
            <scheme val="minor"/>
          </rPr>
          <t>https://gyazo.com/79064c21478067c3682c07b71af2db63</t>
        </r>
      </text>
    </comment>
    <comment ref="N1023" authorId="0" shapeId="0" xr:uid="{00000000-0006-0000-0600-000090000000}">
      <text>
        <r>
          <rPr>
            <sz val="10"/>
            <color rgb="FF000000"/>
            <rFont val="Arial"/>
            <scheme val="minor"/>
          </rPr>
          <t>https://i.gyazo.com/5943b6a127c05ed98034007546b02bbd.png</t>
        </r>
      </text>
    </comment>
    <comment ref="N1032" authorId="0" shapeId="0" xr:uid="{00000000-0006-0000-0600-000091000000}">
      <text>
        <r>
          <rPr>
            <sz val="10"/>
            <color rgb="FF000000"/>
            <rFont val="Arial"/>
            <scheme val="minor"/>
          </rPr>
          <t>https://i.gyazo.com/63fcf21606367c826629c94b6e1360d0.png</t>
        </r>
      </text>
    </comment>
    <comment ref="N1041" authorId="0" shapeId="0" xr:uid="{00000000-0006-0000-0600-000092000000}">
      <text>
        <r>
          <rPr>
            <sz val="10"/>
            <color rgb="FF000000"/>
            <rFont val="Arial"/>
            <scheme val="minor"/>
          </rPr>
          <t>https://i.gyazo.com/3a6150e31909fb73623261fe802d0b87.png</t>
        </r>
      </text>
    </comment>
    <comment ref="N1042" authorId="0" shapeId="0" xr:uid="{00000000-0006-0000-0600-000093000000}">
      <text>
        <r>
          <rPr>
            <sz val="10"/>
            <color rgb="FF000000"/>
            <rFont val="Arial"/>
            <scheme val="minor"/>
          </rPr>
          <t>https://i.gyazo.com/dc24e1416c86f2fdc444d82827c7d70c.png
prime cash за 01.12 учтен в предыдущем периоде</t>
        </r>
      </text>
    </comment>
    <comment ref="N1052" authorId="0" shapeId="0" xr:uid="{00000000-0006-0000-0600-000094000000}">
      <text>
        <r>
          <rPr>
            <sz val="10"/>
            <color rgb="FF000000"/>
            <rFont val="Arial"/>
            <scheme val="minor"/>
          </rPr>
          <t>https://i.gyazo.com/1d8ce4861d4139d7757fb3e5aa912920.png
https://i.gyazo.com/5f1ac336ce60434cd78a3f6ba7569733.png</t>
        </r>
      </text>
    </comment>
    <comment ref="N1055" authorId="0" shapeId="0" xr:uid="{00000000-0006-0000-0600-000095000000}">
      <text>
        <r>
          <rPr>
            <sz val="10"/>
            <color rgb="FF000000"/>
            <rFont val="Arial"/>
            <scheme val="minor"/>
          </rPr>
          <t>с 21/11 - 21/12 (не 20/12!!)
7476+61093+
57*200
+32*100
+10*50</t>
        </r>
      </text>
    </comment>
    <comment ref="N1059" authorId="0" shapeId="0" xr:uid="{00000000-0006-0000-0600-000096000000}">
      <text>
        <r>
          <rPr>
            <sz val="10"/>
            <color rgb="FF000000"/>
            <rFont val="Arial"/>
            <scheme val="minor"/>
          </rPr>
          <t>=1538+96+43*5+24*10</t>
        </r>
      </text>
    </comment>
    <comment ref="N1061" authorId="0" shapeId="0" xr:uid="{00000000-0006-0000-0600-000097000000}">
      <text>
        <r>
          <rPr>
            <sz val="10"/>
            <color rgb="FF000000"/>
            <rFont val="Arial"/>
            <scheme val="minor"/>
          </rPr>
          <t>https://gyazo.com/fa30596154b7d41aa2c22a38af479a72
вычесть 2800 из РБ за сундуки от 21/11</t>
        </r>
      </text>
    </comment>
    <comment ref="N1066" authorId="0" shapeId="0" xr:uid="{00000000-0006-0000-0600-000098000000}">
      <text>
        <r>
          <rPr>
            <sz val="10"/>
            <color rgb="FF000000"/>
            <rFont val="Arial"/>
            <scheme val="minor"/>
          </rPr>
          <t>https://i.gyazo.com/e8cde2bf3205b8e60d0401114e7be6f3.png</t>
        </r>
      </text>
    </comment>
    <comment ref="M1068" authorId="0" shapeId="0" xr:uid="{00000000-0006-0000-0600-000099000000}">
      <text>
        <r>
          <rPr>
            <sz val="10"/>
            <color rgb="FF000000"/>
            <rFont val="Arial"/>
            <scheme val="minor"/>
          </rPr>
          <t>https://gyazo.com/9a5a6448d227ad928eb688ffb1f1c7c2</t>
        </r>
      </text>
    </comment>
    <comment ref="N1070" authorId="0" shapeId="0" xr:uid="{00000000-0006-0000-0600-00009A000000}">
      <text>
        <r>
          <rPr>
            <sz val="10"/>
            <color rgb="FF000000"/>
            <rFont val="Arial"/>
            <scheme val="minor"/>
          </rPr>
          <t>https://gyazo.com/07dc3f354a3659e9daca7c54bbf62047</t>
        </r>
      </text>
    </comment>
    <comment ref="N1072" authorId="0" shapeId="0" xr:uid="{00000000-0006-0000-0600-00009B000000}">
      <text>
        <r>
          <rPr>
            <sz val="10"/>
            <color rgb="FF000000"/>
            <rFont val="Arial"/>
            <scheme val="minor"/>
          </rPr>
          <t>https://gyazo.com/fd60d352527c6cb1b96a6f9101e9c3b1</t>
        </r>
      </text>
    </comment>
    <comment ref="N1100" authorId="0" shapeId="0" xr:uid="{00000000-0006-0000-0600-00009C000000}">
      <text>
        <r>
          <rPr>
            <sz val="10"/>
            <color rgb="FF000000"/>
            <rFont val="Arial"/>
            <scheme val="minor"/>
          </rPr>
          <t>https://i.gyazo.com/2ab594090cc6e866bfa12d3c3b6a548c.png</t>
        </r>
      </text>
    </comment>
    <comment ref="N1103" authorId="0" shapeId="0" xr:uid="{00000000-0006-0000-0600-00009D000000}">
      <text>
        <r>
          <rPr>
            <sz val="10"/>
            <color rgb="FF000000"/>
            <rFont val="Arial"/>
            <scheme val="minor"/>
          </rPr>
          <t>46480 rew + 46*200 tick (till 17 Jan)</t>
        </r>
      </text>
    </comment>
    <comment ref="N1118" authorId="0" shapeId="0" xr:uid="{00000000-0006-0000-0600-00009E000000}">
      <text>
        <r>
          <rPr>
            <sz val="10"/>
            <color rgb="FF000000"/>
            <rFont val="Arial"/>
            <scheme val="minor"/>
          </rPr>
          <t>https://i.gyazo.com/e85debd20134bcae3b0323be12ca5708.png</t>
        </r>
      </text>
    </comment>
    <comment ref="N1119" authorId="0" shapeId="0" xr:uid="{00000000-0006-0000-0600-00009F000000}">
      <text>
        <r>
          <rPr>
            <sz val="10"/>
            <color rgb="FF000000"/>
            <rFont val="Arial"/>
            <scheme val="minor"/>
          </rPr>
          <t>https://i.gyazo.com/e6f884be69b28f764c34d5e490fdd21a.png</t>
        </r>
      </text>
    </comment>
    <comment ref="M1120" authorId="0" shapeId="0" xr:uid="{00000000-0006-0000-0600-0000A0000000}">
      <text>
        <r>
          <rPr>
            <sz val="10"/>
            <color rgb="FF000000"/>
            <rFont val="Arial"/>
            <scheme val="minor"/>
          </rPr>
          <t>https://gyazo.com/5de1809ebb6271bb99f2aa96f4c60254</t>
        </r>
      </text>
    </comment>
    <comment ref="N1121" authorId="0" shapeId="0" xr:uid="{00000000-0006-0000-0600-0000A1000000}">
      <text>
        <r>
          <rPr>
            <sz val="10"/>
            <color rgb="FF000000"/>
            <rFont val="Arial"/>
            <scheme val="minor"/>
          </rPr>
          <t>https://i.gyazo.com/4cbd1537769fa1f6c3bb583d2aea8639.png</t>
        </r>
      </text>
    </comment>
    <comment ref="B1128" authorId="0" shapeId="0" xr:uid="{00000000-0006-0000-0600-0000A2000000}">
      <text>
        <r>
          <rPr>
            <sz val="10"/>
            <color rgb="FF000000"/>
            <rFont val="Arial"/>
            <scheme val="minor"/>
          </rPr>
          <t>TGTBT in HS</t>
        </r>
      </text>
    </comment>
    <comment ref="N1128" authorId="0" shapeId="0" xr:uid="{00000000-0006-0000-0600-0000A3000000}">
      <text>
        <r>
          <rPr>
            <sz val="10"/>
            <color rgb="FF000000"/>
            <rFont val="Arial"/>
            <scheme val="minor"/>
          </rPr>
          <t>1057 rewards (-170 from 20 Jan - included already)</t>
        </r>
      </text>
    </comment>
    <comment ref="N1129" authorId="0" shapeId="0" xr:uid="{00000000-0006-0000-0600-0000A4000000}">
      <text>
        <r>
          <rPr>
            <sz val="10"/>
            <color rgb="FF000000"/>
            <rFont val="Arial"/>
            <scheme val="minor"/>
          </rPr>
          <t>билеты</t>
        </r>
      </text>
    </comment>
    <comment ref="N1139" authorId="0" shapeId="0" xr:uid="{00000000-0006-0000-0600-0000A5000000}">
      <text>
        <r>
          <rPr>
            <sz val="10"/>
            <color rgb="FF000000"/>
            <rFont val="Arial"/>
            <scheme val="minor"/>
          </rPr>
          <t>https://gyazo.com/4b033092235658791a504ec48b3717c7</t>
        </r>
      </text>
    </comment>
    <comment ref="N1140" authorId="0" shapeId="0" xr:uid="{00000000-0006-0000-0600-0000A6000000}">
      <text>
        <r>
          <rPr>
            <sz val="10"/>
            <color rgb="FF000000"/>
            <rFont val="Arial"/>
            <scheme val="minor"/>
          </rPr>
          <t>https://i.gyazo.com/8751f2d821da0f37444192a1b24e085c.png</t>
        </r>
      </text>
    </comment>
    <comment ref="N1142" authorId="0" shapeId="0" xr:uid="{00000000-0006-0000-0600-0000A7000000}">
      <text>
        <r>
          <rPr>
            <sz val="10"/>
            <color rgb="FF000000"/>
            <rFont val="Arial"/>
            <scheme val="minor"/>
          </rPr>
          <t>https://i.gyazo.com/c07213a67aa0851c046554b27a098dd4.png
10eu x 70 tickets 
*no screen</t>
        </r>
      </text>
    </comment>
    <comment ref="N1144" authorId="0" shapeId="0" xr:uid="{00000000-0006-0000-0600-0000A8000000}">
      <text>
        <r>
          <rPr>
            <sz val="10"/>
            <color rgb="FF000000"/>
            <rFont val="Arial"/>
            <scheme val="minor"/>
          </rPr>
          <t>https://i.gyazo.com/3958cea6112d409fbea1ec144d5428f2.png</t>
        </r>
      </text>
    </comment>
    <comment ref="N1149" authorId="0" shapeId="0" xr:uid="{00000000-0006-0000-0600-0000A9000000}">
      <text>
        <r>
          <rPr>
            <sz val="10"/>
            <color rgb="FF000000"/>
            <rFont val="Arial"/>
            <scheme val="minor"/>
          </rPr>
          <t>https://gyazo.com/f58aacb2d4f41ae0bfb57457ac0f8fe7</t>
        </r>
      </text>
    </comment>
    <comment ref="N1152" authorId="0" shapeId="0" xr:uid="{00000000-0006-0000-0600-0000AA000000}">
      <text>
        <r>
          <rPr>
            <sz val="10"/>
            <color rgb="FF000000"/>
            <rFont val="Arial"/>
            <scheme val="minor"/>
          </rPr>
          <t>https://i.gyazo.com/43a11f574bef3a6cd3702a8b617cee6e.png</t>
        </r>
      </text>
    </comment>
    <comment ref="N1155" authorId="0" shapeId="0" xr:uid="{00000000-0006-0000-0600-0000AB000000}">
      <text>
        <r>
          <rPr>
            <sz val="10"/>
            <color rgb="FF000000"/>
            <rFont val="Arial"/>
            <scheme val="minor"/>
          </rPr>
          <t>https://gyazo.com/10156a74d378da35abf72786a3e4227c</t>
        </r>
      </text>
    </comment>
    <comment ref="N1157" authorId="0" shapeId="0" xr:uid="{00000000-0006-0000-0600-0000AC000000}">
      <text>
        <r>
          <rPr>
            <sz val="10"/>
            <color rgb="FF000000"/>
            <rFont val="Arial"/>
            <scheme val="minor"/>
          </rPr>
          <t>https://i.gyazo.com/f525372585873da99632e17f0800e0a6.png</t>
        </r>
      </text>
    </comment>
    <comment ref="N1162" authorId="0" shapeId="0" xr:uid="{00000000-0006-0000-0600-0000AD000000}">
      <text>
        <r>
          <rPr>
            <sz val="10"/>
            <color rgb="FF000000"/>
            <rFont val="Arial"/>
            <scheme val="minor"/>
          </rPr>
          <t>в рб вошло:  реворды (бонусы) с 21/01 по 21/02: 3831 + билеты 29* 20 + 21* 10 = 4621</t>
        </r>
      </text>
    </comment>
    <comment ref="N1169" authorId="0" shapeId="0" xr:uid="{00000000-0006-0000-0600-0000AE000000}">
      <text>
        <r>
          <rPr>
            <sz val="10"/>
            <color rgb="FF000000"/>
            <rFont val="Arial"/>
            <scheme val="minor"/>
          </rPr>
          <t>https://gyazo.com/9eb556e56e786d3fde6bafa466eaff32</t>
        </r>
      </text>
    </comment>
    <comment ref="N1174" authorId="0" shapeId="0" xr:uid="{00000000-0006-0000-0600-0000AF000000}">
      <text>
        <r>
          <rPr>
            <sz val="10"/>
            <color rgb="FF000000"/>
            <rFont val="Arial"/>
            <scheme val="minor"/>
          </rPr>
          <t>https://i.gyazo.com/3d545a93b0abaaf66b766625156f6545.png</t>
        </r>
      </text>
    </comment>
    <comment ref="N1175" authorId="0" shapeId="0" xr:uid="{00000000-0006-0000-0600-0000B0000000}">
      <text>
        <r>
          <rPr>
            <sz val="10"/>
            <color rgb="FF000000"/>
            <rFont val="Arial"/>
            <scheme val="minor"/>
          </rPr>
          <t>https://gyazo.com/328d40e71506dff4536a16d3ccd19c8a</t>
        </r>
      </text>
    </comment>
    <comment ref="N1176" authorId="0" shapeId="0" xr:uid="{00000000-0006-0000-0600-0000B1000000}">
      <text>
        <r>
          <rPr>
            <sz val="10"/>
            <color rgb="FF000000"/>
            <rFont val="Arial"/>
            <scheme val="minor"/>
          </rPr>
          <t>https://i.gyazo.com/7d0c96744c1202330795dc397e607314.png</t>
        </r>
      </text>
    </comment>
    <comment ref="N1183" authorId="0" shapeId="0" xr:uid="{00000000-0006-0000-0600-0000B2000000}">
      <text>
        <r>
          <rPr>
            <sz val="10"/>
            <color rgb="FF000000"/>
            <rFont val="Arial"/>
            <scheme val="minor"/>
          </rPr>
          <t>https://gyazo.com/89366a4a468ead11e5633b4cb0354656</t>
        </r>
      </text>
    </comment>
    <comment ref="N1192" authorId="0" shapeId="0" xr:uid="{00000000-0006-0000-0600-0000B3000000}">
      <text>
        <r>
          <rPr>
            <sz val="10"/>
            <color rgb="FF000000"/>
            <rFont val="Arial"/>
            <scheme val="minor"/>
          </rPr>
          <t>https://i.gyazo.com/890f4fde111cceb2a6c6d5d8b0a73299.png
25eu tickets x 21
10eu tickets x 25
150eu dimond bonus - avans</t>
        </r>
      </text>
    </comment>
    <comment ref="N1194" authorId="0" shapeId="0" xr:uid="{00000000-0006-0000-0600-0000B4000000}">
      <text>
        <r>
          <rPr>
            <sz val="10"/>
            <color rgb="FF000000"/>
            <rFont val="Arial"/>
            <scheme val="minor"/>
          </rPr>
          <t>https://gyazo.com/cb8d64f5d7db4a86dcaee5bf81cbc319</t>
        </r>
      </text>
    </comment>
    <comment ref="N1200" authorId="0" shapeId="0" xr:uid="{00000000-0006-0000-0600-0000B5000000}">
      <text>
        <r>
          <rPr>
            <sz val="10"/>
            <color rgb="FF000000"/>
            <rFont val="Arial"/>
            <scheme val="minor"/>
          </rPr>
          <t>https://gyazo.com/9d8437059e04f0f95710b5fecd0522c6</t>
        </r>
      </text>
    </comment>
    <comment ref="N1202" authorId="0" shapeId="0" xr:uid="{00000000-0006-0000-0600-0000B6000000}">
      <text>
        <r>
          <rPr>
            <sz val="10"/>
            <color rgb="FF000000"/>
            <rFont val="Arial"/>
            <scheme val="minor"/>
          </rPr>
          <t>https://gyazo.com/023aa34551872c97395b27ae285fc62a</t>
        </r>
      </text>
    </comment>
    <comment ref="N1206" authorId="0" shapeId="0" xr:uid="{00000000-0006-0000-0600-0000B7000000}">
      <text>
        <r>
          <rPr>
            <sz val="10"/>
            <color rgb="FF000000"/>
            <rFont val="Arial"/>
            <scheme val="minor"/>
          </rPr>
          <t>https://gyazo.com/52d111a267c5877b16fb0793922348f4</t>
        </r>
      </text>
    </comment>
    <comment ref="N1211" authorId="0" shapeId="0" xr:uid="{00000000-0006-0000-0600-0000B8000000}">
      <text>
        <r>
          <rPr>
            <sz val="10"/>
            <color rgb="FF000000"/>
            <rFont val="Arial"/>
            <scheme val="minor"/>
          </rPr>
          <t>бонус 3515 (до 20 включ https://gyazo.com/54ddc1dc880cc6ce7c14dfbca026456a) билеты: 19* 20 и 34 * 10</t>
        </r>
      </text>
    </comment>
    <comment ref="N1213" authorId="0" shapeId="0" xr:uid="{00000000-0006-0000-0600-0000B9000000}">
      <text>
        <r>
          <rPr>
            <sz val="10"/>
            <color rgb="FF000000"/>
            <rFont val="Arial"/>
            <scheme val="minor"/>
          </rPr>
          <t>https://gyazo.com/bac4b080975806db253e9113168d5dea</t>
        </r>
      </text>
    </comment>
    <comment ref="N1216" authorId="0" shapeId="0" xr:uid="{00000000-0006-0000-0600-0000BA000000}">
      <text>
        <r>
          <rPr>
            <sz val="10"/>
            <color rgb="FF000000"/>
            <rFont val="Arial"/>
            <scheme val="minor"/>
          </rPr>
          <t>https://gyazo.com/69a4db466846591b6aec2fbaa5f9bdb5</t>
        </r>
      </text>
    </comment>
    <comment ref="N1219" authorId="0" shapeId="0" xr:uid="{00000000-0006-0000-0600-0000BB000000}">
      <text>
        <r>
          <rPr>
            <sz val="10"/>
            <color rgb="FF000000"/>
            <rFont val="Arial"/>
            <scheme val="minor"/>
          </rPr>
          <t>https://gyazo.com/d1b59091533b0d661de38ea28f00943d</t>
        </r>
      </text>
    </comment>
    <comment ref="N1221" authorId="0" shapeId="0" xr:uid="{00000000-0006-0000-0600-0000BC000000}">
      <text>
        <r>
          <rPr>
            <sz val="10"/>
            <color rgb="FF000000"/>
            <rFont val="Arial"/>
            <scheme val="minor"/>
          </rPr>
          <t>https://gyazo.com/7d0c96510cfe7b74aa5aee22b9495d96</t>
        </r>
      </text>
    </comment>
    <comment ref="N1226" authorId="0" shapeId="0" xr:uid="{00000000-0006-0000-0600-0000BD000000}">
      <text>
        <r>
          <rPr>
            <sz val="10"/>
            <color rgb="FF000000"/>
            <rFont val="Arial"/>
            <scheme val="minor"/>
          </rPr>
          <t>https://gyazo.com/968c0288936ea21e0ace892a358650f2</t>
        </r>
      </text>
    </comment>
    <comment ref="N1227" authorId="0" shapeId="0" xr:uid="{00000000-0006-0000-0600-0000BE000000}">
      <text>
        <r>
          <rPr>
            <sz val="10"/>
            <color rgb="FF000000"/>
            <rFont val="Arial"/>
            <scheme val="minor"/>
          </rPr>
          <t>https://gyazo.com/0f141cb7bdc41534883a2aa1e3219f63</t>
        </r>
      </text>
    </comment>
    <comment ref="N1230" authorId="0" shapeId="0" xr:uid="{00000000-0006-0000-0600-0000BF000000}">
      <text>
        <r>
          <rPr>
            <sz val="10"/>
            <color rgb="FF000000"/>
            <rFont val="Arial"/>
            <scheme val="minor"/>
          </rPr>
          <t>29966 реворды + 3380 билеты + 860 бонус на депозит = 34206  
https://gyazo.com/0a994f8b3f494904da884c015f3f7d38</t>
        </r>
      </text>
    </comment>
    <comment ref="N1235" authorId="0" shapeId="0" xr:uid="{00000000-0006-0000-0600-0000C0000000}">
      <text>
        <r>
          <rPr>
            <sz val="10"/>
            <color rgb="FF000000"/>
            <rFont val="Arial"/>
            <scheme val="minor"/>
          </rPr>
          <t>https://gyazo.com/7eba545cd7918d1fbc5d2643d3950903</t>
        </r>
      </text>
    </comment>
    <comment ref="N1237" authorId="0" shapeId="0" xr:uid="{00000000-0006-0000-0600-0000C1000000}">
      <text>
        <r>
          <rPr>
            <sz val="10"/>
            <color rgb="FF000000"/>
            <rFont val="Arial"/>
            <scheme val="minor"/>
          </rPr>
          <t>https://gyazo.com/4fbdb54fc5f99236fbf573c882164bb1</t>
        </r>
      </text>
    </comment>
    <comment ref="N1247" authorId="0" shapeId="0" xr:uid="{00000000-0006-0000-0600-0000C2000000}">
      <text>
        <r>
          <rPr>
            <sz val="10"/>
            <color rgb="FF000000"/>
            <rFont val="Arial"/>
            <scheme val="minor"/>
          </rPr>
          <t>https://i.gyazo.com/798067af0df2ad9bc16933c123bb1b96.png
*бонус учтен в предыдущем периоде
9 tickets x 25 eu
2 tickets x 10 eu</t>
        </r>
      </text>
    </comment>
    <comment ref="N1251" authorId="0" shapeId="0" xr:uid="{00000000-0006-0000-0600-0000C3000000}">
      <text>
        <r>
          <rPr>
            <sz val="10"/>
            <color rgb="FF000000"/>
            <rFont val="Arial"/>
            <scheme val="minor"/>
          </rPr>
          <t>https://gyazo.com/e6d7c42082b3b94b146833dd56c235b9</t>
        </r>
      </text>
    </comment>
    <comment ref="N1258" authorId="0" shapeId="0" xr:uid="{00000000-0006-0000-0600-0000C4000000}">
      <text>
        <r>
          <rPr>
            <sz val="10"/>
            <color rgb="FF000000"/>
            <rFont val="Arial"/>
            <scheme val="minor"/>
          </rPr>
          <t>https://gyazo.com/7bc58c4d0a58cf723956921e2a78eed1</t>
        </r>
      </text>
    </comment>
    <comment ref="N1265" authorId="0" shapeId="0" xr:uid="{00000000-0006-0000-0600-0000C5000000}">
      <text>
        <r>
          <rPr>
            <sz val="10"/>
            <color rgb="FF000000"/>
            <rFont val="Arial"/>
            <scheme val="minor"/>
          </rPr>
          <t>https://gyazo.com/ff56edec4084a50ef2304a0f9841ab57</t>
        </r>
      </text>
    </comment>
    <comment ref="N1272" authorId="0" shapeId="0" xr:uid="{00000000-0006-0000-0600-0000C6000000}">
      <text>
        <r>
          <rPr>
            <sz val="10"/>
            <color rgb="FF000000"/>
            <rFont val="Arial"/>
            <scheme val="minor"/>
          </rPr>
          <t>promo 0 + rew 5045 + tickets 3* 20 + 16 * 50 = 5905</t>
        </r>
      </text>
    </comment>
    <comment ref="N1291" authorId="0" shapeId="0" xr:uid="{00000000-0006-0000-0600-0000C7000000}">
      <text>
        <r>
          <rPr>
            <sz val="10"/>
            <color rgb="FF000000"/>
            <rFont val="Arial"/>
            <scheme val="minor"/>
          </rPr>
          <t>https://gyazo.com/ed0779000c8ecac43712719d439beeb1</t>
        </r>
      </text>
    </comment>
    <comment ref="N1292" authorId="0" shapeId="0" xr:uid="{00000000-0006-0000-0600-0000C8000000}">
      <text>
        <r>
          <rPr>
            <sz val="10"/>
            <color rgb="FF000000"/>
            <rFont val="Arial"/>
            <scheme val="minor"/>
          </rPr>
          <t>https://gyazo.com/e115af6bdb51598f5a3e40b239cd2169</t>
        </r>
      </text>
    </comment>
    <comment ref="N1293" authorId="0" shapeId="0" xr:uid="{00000000-0006-0000-0600-0000C9000000}">
      <text>
        <r>
          <rPr>
            <sz val="10"/>
            <color rgb="FF000000"/>
            <rFont val="Arial"/>
            <scheme val="minor"/>
          </rPr>
          <t>https://i.gyazo.com/1f707a7f30d0bb5cb18f4aaf51c298e3.png
https://i.gyazo.com/c489aad5fe03c980ac9f7640de245647.png
prime cash 2000, 100, 50 + bonus vip 500, 500 за 01.04 учтены в прошлом периоде</t>
        </r>
      </text>
    </comment>
    <comment ref="N1297" authorId="0" shapeId="0" xr:uid="{00000000-0006-0000-0600-0000CA000000}">
      <text>
        <r>
          <rPr>
            <sz val="10"/>
            <color rgb="FF000000"/>
            <rFont val="Arial"/>
            <scheme val="minor"/>
          </rPr>
          <t>https://i.gyazo.com/aedddb0b012f7c992e0a5808325bd516.png
prime cash за 01.05.2022 учтен</t>
        </r>
      </text>
    </comment>
    <comment ref="L1304" authorId="0" shapeId="0" xr:uid="{00000000-0006-0000-0600-0000CB000000}">
      <text>
        <r>
          <rPr>
            <sz val="10"/>
            <color rgb="FF000000"/>
            <rFont val="Arial"/>
            <scheme val="minor"/>
          </rPr>
          <t>https://media.discordapp.net/attachments/952514173869379596/969318809666191360/rs1.png?width=932&amp;height=518</t>
        </r>
      </text>
    </comment>
    <comment ref="M1304" authorId="0" shapeId="0" xr:uid="{00000000-0006-0000-0600-0000CC000000}">
      <text>
        <r>
          <rPr>
            <sz val="10"/>
            <color rgb="FF000000"/>
            <rFont val="Arial"/>
            <scheme val="minor"/>
          </rPr>
          <t>https://media.discordapp.net/attachments/952514173869379596/969318809863340102/rs2.PNG?width=932&amp;height=347
В кассе на начало игры = 0
Деп 495
Входящий перевод 200
Остаток 416
РБ 598
= 0 - 495 - 200 + 416 - 598 = -877</t>
        </r>
      </text>
    </comment>
    <comment ref="N1306" authorId="0" shapeId="0" xr:uid="{00000000-0006-0000-0600-0000CD000000}">
      <text>
        <r>
          <rPr>
            <sz val="10"/>
            <color rgb="FF000000"/>
            <rFont val="Arial"/>
            <scheme val="minor"/>
          </rPr>
          <t>1664 rewards + 480 tickets (6-30 apr only)</t>
        </r>
      </text>
    </comment>
    <comment ref="N1307" authorId="0" shapeId="0" xr:uid="{00000000-0006-0000-0600-0000CE000000}">
      <text>
        <r>
          <rPr>
            <sz val="10"/>
            <color rgb="FF000000"/>
            <rFont val="Arial"/>
            <scheme val="minor"/>
          </rPr>
          <t>21ticket x 25 eu 
https://i.gyazo.com/5a44073a61882da986c24af7ae9ffa24.png
https://i.gyazo.com/abc23b7337395bde5072ced5829b9abd.png
02.05 bonus mensel и expresso учтены</t>
        </r>
      </text>
    </comment>
    <comment ref="N1311" authorId="0" shapeId="0" xr:uid="{00000000-0006-0000-0600-0000CF000000}">
      <text>
        <r>
          <rPr>
            <sz val="10"/>
            <color rgb="FF000000"/>
            <rFont val="Arial"/>
            <scheme val="minor"/>
          </rPr>
          <t>https://gyazo.com/c69362c6092dccc74d982e34677de9e8</t>
        </r>
      </text>
    </comment>
    <comment ref="N1320" authorId="0" shapeId="0" xr:uid="{00000000-0006-0000-0600-0000D0000000}">
      <text>
        <r>
          <rPr>
            <sz val="10"/>
            <color rgb="FF000000"/>
            <rFont val="Arial"/>
            <scheme val="minor"/>
          </rPr>
          <t>https://gyazo.com/31f2a27eaef9a3036759f5f4316efdcf</t>
        </r>
      </text>
    </comment>
    <comment ref="N1326" authorId="0" shapeId="0" xr:uid="{00000000-0006-0000-0600-0000D1000000}">
      <text>
        <r>
          <rPr>
            <sz val="10"/>
            <color rgb="FF000000"/>
            <rFont val="Arial"/>
            <scheme val="minor"/>
          </rPr>
          <t>https://gyazo.com/3b228cb6412b4978813e4026214f4ff6</t>
        </r>
      </text>
    </comment>
    <comment ref="N1331" authorId="0" shapeId="0" xr:uid="{00000000-0006-0000-0600-0000D2000000}">
      <text>
        <r>
          <rPr>
            <sz val="10"/>
            <color rgb="FF000000"/>
            <rFont val="Arial"/>
            <scheme val="minor"/>
          </rPr>
          <t>https://gyazo.com/185ef3c311af13d2bc784e215165d6f6</t>
        </r>
      </text>
    </comment>
    <comment ref="N1335" authorId="0" shapeId="0" xr:uid="{00000000-0006-0000-0600-0000D3000000}">
      <text>
        <r>
          <rPr>
            <sz val="10"/>
            <color rgb="FF000000"/>
            <rFont val="Arial"/>
            <scheme val="minor"/>
          </rPr>
          <t>https://gyazo.com/6e730ca4af01e341342b4110c282e981</t>
        </r>
      </text>
    </comment>
    <comment ref="N1337" authorId="0" shapeId="0" xr:uid="{00000000-0006-0000-0600-0000D4000000}">
      <text>
        <r>
          <rPr>
            <sz val="10"/>
            <color rgb="FF000000"/>
            <rFont val="Arial"/>
            <scheme val="minor"/>
          </rPr>
          <t>https://gyazo.com/167ef71ea4a1faaf9c9b07df586c9df4</t>
        </r>
      </text>
    </comment>
    <comment ref="N1348" authorId="0" shapeId="0" xr:uid="{00000000-0006-0000-0600-0000D5000000}">
      <text>
        <r>
          <rPr>
            <sz val="10"/>
            <color rgb="FF000000"/>
            <rFont val="Arial"/>
            <scheme val="minor"/>
          </rPr>
          <t>https://gyazo.com/b567630532f5c452c1203bf89a352e1e</t>
        </r>
      </text>
    </comment>
    <comment ref="N1351" authorId="0" shapeId="0" xr:uid="{00000000-0006-0000-0600-0000D6000000}">
      <text>
        <r>
          <rPr>
            <sz val="10"/>
            <color rgb="FF000000"/>
            <rFont val="Arial"/>
            <scheme val="minor"/>
          </rPr>
          <t>промо 0 + реворды 40648 + тикеты 62 * 100</t>
        </r>
      </text>
    </comment>
    <comment ref="N1356" authorId="0" shapeId="0" xr:uid="{00000000-0006-0000-0600-0000D7000000}">
      <text>
        <r>
          <rPr>
            <sz val="10"/>
            <color rgb="FF000000"/>
            <rFont val="Arial"/>
            <scheme val="minor"/>
          </rPr>
          <t>https://gyazo.com/c0c16d62d0277fa8430a7a7718563f87</t>
        </r>
      </text>
    </comment>
    <comment ref="N1359" authorId="0" shapeId="0" xr:uid="{00000000-0006-0000-0600-0000D8000000}">
      <text>
        <r>
          <rPr>
            <sz val="10"/>
            <color rgb="FF000000"/>
            <rFont val="Arial"/>
            <scheme val="minor"/>
          </rPr>
          <t>promo 0 + rewards 5495 (-410)+ tickets 20 * 31  + 50 * 3</t>
        </r>
      </text>
    </comment>
    <comment ref="N1363" authorId="0" shapeId="0" xr:uid="{00000000-0006-0000-0600-0000D9000000}">
      <text>
        <r>
          <rPr>
            <sz val="10"/>
            <color rgb="FF000000"/>
            <rFont val="Arial"/>
            <scheme val="minor"/>
          </rPr>
          <t>https://i.gyazo.com/thumb/1200/57b593d34c400331ce12de795ef4715a-png.jpg</t>
        </r>
      </text>
    </comment>
    <comment ref="N1365" authorId="0" shapeId="0" xr:uid="{00000000-0006-0000-0600-0000DA000000}">
      <text>
        <r>
          <rPr>
            <sz val="10"/>
            <color rgb="FF000000"/>
            <rFont val="Arial"/>
            <scheme val="minor"/>
          </rPr>
          <t>https://gyazo.com/daa44203842c4b33dff55d16b4b29c9f</t>
        </r>
      </text>
    </comment>
    <comment ref="N1367" authorId="0" shapeId="0" xr:uid="{00000000-0006-0000-0600-0000DB000000}">
      <text>
        <r>
          <rPr>
            <sz val="10"/>
            <color rgb="FF000000"/>
            <rFont val="Arial"/>
            <scheme val="minor"/>
          </rPr>
          <t>promo 0 + 28680 rew + tickets 100 * 3  + 200 * 15</t>
        </r>
      </text>
    </comment>
    <comment ref="N1369" authorId="0" shapeId="0" xr:uid="{00000000-0006-0000-0600-0000DC000000}">
      <text>
        <r>
          <rPr>
            <sz val="10"/>
            <color rgb="FF000000"/>
            <rFont val="Arial"/>
            <scheme val="minor"/>
          </rPr>
          <t>rewards 5768 + promo 0 + 1010 = 6778</t>
        </r>
      </text>
    </comment>
    <comment ref="N1375" authorId="0" shapeId="0" xr:uid="{00000000-0006-0000-0600-0000DD000000}">
      <text>
        <r>
          <rPr>
            <sz val="10"/>
            <color rgb="FF000000"/>
            <rFont val="Arial"/>
            <scheme val="minor"/>
          </rPr>
          <t>https://gyazo.com/24857480dbb451b77bb35809e903146d</t>
        </r>
      </text>
    </comment>
    <comment ref="N1381" authorId="0" shapeId="0" xr:uid="{00000000-0006-0000-0600-0000DE000000}">
      <text>
        <r>
          <rPr>
            <sz val="10"/>
            <color rgb="FF000000"/>
            <rFont val="Arial"/>
            <scheme val="minor"/>
          </rPr>
          <t>https://gyazo.com/bda3f6458374bc2d0d215241e9a33835</t>
        </r>
      </text>
    </comment>
    <comment ref="N1387" authorId="0" shapeId="0" xr:uid="{00000000-0006-0000-0600-0000DF000000}">
      <text>
        <r>
          <rPr>
            <sz val="10"/>
            <color rgb="FF000000"/>
            <rFont val="Arial"/>
            <scheme val="minor"/>
          </rPr>
          <t>https://gyazo.com/f342718ddb10b529f306fe41957eeb4b</t>
        </r>
      </text>
    </comment>
    <comment ref="L1389" authorId="0" shapeId="0" xr:uid="{00000000-0006-0000-0600-0000E0000000}">
      <text>
        <r>
          <rPr>
            <sz val="10"/>
            <color rgb="FF000000"/>
            <rFont val="Arial"/>
            <scheme val="minor"/>
          </rPr>
          <t>https://i.gyazo.com/3005753a6179fb14fac8f0dbe0a32e06.png</t>
        </r>
      </text>
    </comment>
    <comment ref="N1389" authorId="0" shapeId="0" xr:uid="{00000000-0006-0000-0600-0000E1000000}">
      <text>
        <r>
          <rPr>
            <sz val="10"/>
            <color rgb="FF000000"/>
            <rFont val="Arial"/>
            <scheme val="minor"/>
          </rPr>
          <t>Касса на 04.05 - 
https://i.gyazo.com/c16068f34f293b0e974f8e78be2841ad.png
Касса и история операций - 
https://i.gyazo.com/f8d26fe77c5da38c592626426bc31f0c.png</t>
        </r>
      </text>
    </comment>
    <comment ref="N1392" authorId="0" shapeId="0" xr:uid="{00000000-0006-0000-0600-0000E2000000}">
      <text>
        <r>
          <rPr>
            <sz val="10"/>
            <color rgb="FF000000"/>
            <rFont val="Arial"/>
            <scheme val="minor"/>
          </rPr>
          <t>https://i.gyazo.com/d1e31eaaa69f70774555b2a7051bd909.png</t>
        </r>
      </text>
    </comment>
    <comment ref="N1396" authorId="0" shapeId="0" xr:uid="{00000000-0006-0000-0600-0000E3000000}">
      <text>
        <r>
          <rPr>
            <sz val="10"/>
            <color rgb="FF000000"/>
            <rFont val="Arial"/>
            <scheme val="minor"/>
          </rPr>
          <t>rewards 66672 + 78 * 100 + 6 * 200 = 75672</t>
        </r>
      </text>
    </comment>
    <comment ref="N1397" authorId="0" shapeId="0" xr:uid="{00000000-0006-0000-0600-0000E4000000}">
      <text>
        <r>
          <rPr>
            <sz val="10"/>
            <color rgb="FF000000"/>
            <rFont val="Arial"/>
            <scheme val="minor"/>
          </rPr>
          <t>https://i.gyazo.com/eccd1ac43ab5fe79f460398824b21c61.png
01.05 учтен в предыдущем периоде</t>
        </r>
      </text>
    </comment>
    <comment ref="N1403" authorId="0" shapeId="0" xr:uid="{00000000-0006-0000-0600-0000E5000000}">
      <text>
        <r>
          <rPr>
            <sz val="10"/>
            <color rgb="FF000000"/>
            <rFont val="Arial"/>
            <scheme val="minor"/>
          </rPr>
          <t>https://gyazo.com/4a2a01a7f59838c28d35919ca03d3d97</t>
        </r>
      </text>
    </comment>
    <comment ref="L1408" authorId="0" shapeId="0" xr:uid="{00000000-0006-0000-0600-0000E6000000}">
      <text>
        <r>
          <rPr>
            <sz val="10"/>
            <color rgb="FF000000"/>
            <rFont val="Arial"/>
            <scheme val="minor"/>
          </rPr>
          <t>https://i.gyazo.com/4409397ea4538e7885da8899c357e393.png</t>
        </r>
      </text>
    </comment>
    <comment ref="N1408" authorId="0" shapeId="0" xr:uid="{00000000-0006-0000-0600-0000E7000000}">
      <text>
        <r>
          <rPr>
            <sz val="10"/>
            <color rgb="FF000000"/>
            <rFont val="Arial"/>
            <scheme val="minor"/>
          </rPr>
          <t>Касса на 04.05 - 
https://i.gyazo.com/b5df66164397e797db460d9d7e7e0f59.png
Касса на 01.06 -
https://i.gyazo.com/86f9f86729664472d63ee05238255a88.png
История операций - 
https://i.gyazo.com/47fd5b60607a7f853f73937661924b7b.png</t>
        </r>
      </text>
    </comment>
    <comment ref="N1413" authorId="0" shapeId="0" xr:uid="{00000000-0006-0000-0600-0000E8000000}">
      <text>
        <r>
          <rPr>
            <sz val="10"/>
            <color rgb="FF000000"/>
            <rFont val="Arial"/>
            <scheme val="minor"/>
          </rPr>
          <t>promo 0 + rewards 4125 + tickets 42 *20 + 21* 10 (до 31/05 включ)</t>
        </r>
      </text>
    </comment>
    <comment ref="N1414" authorId="0" shapeId="0" xr:uid="{00000000-0006-0000-0600-0000E9000000}">
      <text>
        <r>
          <rPr>
            <sz val="10"/>
            <color rgb="FF000000"/>
            <rFont val="Arial"/>
            <scheme val="minor"/>
          </rPr>
          <t>https://i.gyazo.com/01859a13032eabbda7424228446d0974.png</t>
        </r>
      </text>
    </comment>
    <comment ref="L1418" authorId="0" shapeId="0" xr:uid="{00000000-0006-0000-0600-0000EA000000}">
      <text>
        <r>
          <rPr>
            <sz val="10"/>
            <color rgb="FF000000"/>
            <rFont val="Arial"/>
            <scheme val="minor"/>
          </rPr>
          <t>https://i.gyazo.com/dfd90fac6f12c1e2e99c37947ebd5179.png</t>
        </r>
      </text>
    </comment>
    <comment ref="N1418" authorId="0" shapeId="0" xr:uid="{00000000-0006-0000-0600-0000EB000000}">
      <text>
        <r>
          <rPr>
            <sz val="10"/>
            <color rgb="FF000000"/>
            <rFont val="Arial"/>
            <scheme val="minor"/>
          </rPr>
          <t>Касса на 01.05 - 
https://i.gyazo.com/2155211bc41a892aac7eec924486101b.png
Касса и история операций - 
https://i.gyazo.com/b74d03aa1f4b5475611d6fd78b54cd83.png</t>
        </r>
      </text>
    </comment>
    <comment ref="N1427" authorId="0" shapeId="0" xr:uid="{00000000-0006-0000-0600-0000EC000000}">
      <text>
        <r>
          <rPr>
            <sz val="10"/>
            <color rgb="FF000000"/>
            <rFont val="Arial"/>
            <scheme val="minor"/>
          </rPr>
          <t>https://gyazo.com/f21e4a5c9fd84d79e77d32d7516ebf80</t>
        </r>
      </text>
    </comment>
    <comment ref="N1430" authorId="0" shapeId="0" xr:uid="{00000000-0006-0000-0600-0000ED000000}">
      <text>
        <r>
          <rPr>
            <sz val="10"/>
            <color rgb="FF000000"/>
            <rFont val="Arial"/>
            <scheme val="minor"/>
          </rPr>
          <t>https://gyazo.com/89e721b7c41bf47a8cf649477f1b8141</t>
        </r>
      </text>
    </comment>
    <comment ref="N1433" authorId="0" shapeId="0" xr:uid="{00000000-0006-0000-0600-0000EE000000}">
      <text>
        <r>
          <rPr>
            <sz val="10"/>
            <color rgb="FF000000"/>
            <rFont val="Arial"/>
            <scheme val="minor"/>
          </rPr>
          <t>https://i.gyazo.com/05eb989e4da3cdbc5c8214ce2c1e81bc.png
10eu tickets x 9</t>
        </r>
      </text>
    </comment>
    <comment ref="H1435" authorId="0" shapeId="0" xr:uid="{00000000-0006-0000-0600-0000EF000000}">
      <text>
        <r>
          <rPr>
            <sz val="10"/>
            <color rgb="FF000000"/>
            <rFont val="Arial"/>
            <scheme val="minor"/>
          </rPr>
          <t>20eur HU HT</t>
        </r>
      </text>
    </comment>
    <comment ref="N1445" authorId="0" shapeId="0" xr:uid="{00000000-0006-0000-0600-0000F0000000}">
      <text>
        <r>
          <rPr>
            <sz val="10"/>
            <color rgb="FF000000"/>
            <rFont val="Arial"/>
            <scheme val="minor"/>
          </rPr>
          <t>https://gyazo.com/08d47d162aba1c94897525626324df1d</t>
        </r>
      </text>
    </comment>
    <comment ref="N1447" authorId="0" shapeId="0" xr:uid="{00000000-0006-0000-0600-0000F1000000}">
      <text>
        <r>
          <rPr>
            <sz val="10"/>
            <color rgb="FF000000"/>
            <rFont val="Arial"/>
            <scheme val="minor"/>
          </rPr>
          <t>https://gyazo.com/0166c70cea8b0667ca41e5feb59d7bf8</t>
        </r>
      </text>
    </comment>
    <comment ref="N1449" authorId="0" shapeId="0" xr:uid="{00000000-0006-0000-0600-0000F2000000}">
      <text>
        <r>
          <rPr>
            <sz val="10"/>
            <color rgb="FF000000"/>
            <rFont val="Arial"/>
            <scheme val="minor"/>
          </rPr>
          <t>https://gyazo.com/63e2be0f7a33d9aea9a8881b882ebb44</t>
        </r>
      </text>
    </comment>
    <comment ref="N1456" authorId="0" shapeId="0" xr:uid="{00000000-0006-0000-0600-0000F3000000}">
      <text>
        <r>
          <rPr>
            <sz val="10"/>
            <color rgb="FF000000"/>
            <rFont val="Arial"/>
            <scheme val="minor"/>
          </rPr>
          <t>rew $12,677.42
tick 16 * 100 
1* 50</t>
        </r>
      </text>
    </comment>
    <comment ref="N1457" authorId="0" shapeId="0" xr:uid="{00000000-0006-0000-0600-0000F4000000}">
      <text>
        <r>
          <rPr>
            <sz val="10"/>
            <color rgb="FF000000"/>
            <rFont val="Arial"/>
            <scheme val="minor"/>
          </rPr>
          <t>https://gyazo.com/9aea78d8205d1aa0d6a3024555fa9a02</t>
        </r>
      </text>
    </comment>
    <comment ref="N1459" authorId="0" shapeId="0" xr:uid="{00000000-0006-0000-0600-0000F5000000}">
      <text>
        <r>
          <rPr>
            <sz val="10"/>
            <color rgb="FF000000"/>
            <rFont val="Arial"/>
            <scheme val="minor"/>
          </rPr>
          <t>https://gyazo.com/c9f4d1290299ffddb8e17a1718fbb787</t>
        </r>
      </text>
    </comment>
    <comment ref="N1461" authorId="0" shapeId="0" xr:uid="{00000000-0006-0000-0600-0000F6000000}">
      <text>
        <r>
          <rPr>
            <sz val="10"/>
            <color rgb="FF000000"/>
            <rFont val="Arial"/>
            <scheme val="minor"/>
          </rPr>
          <t>2030 rewards
5 tickets on 50s</t>
        </r>
      </text>
    </comment>
    <comment ref="N1465" authorId="0" shapeId="0" xr:uid="{00000000-0006-0000-0600-0000F7000000}">
      <text>
        <r>
          <rPr>
            <sz val="10"/>
            <color rgb="FF000000"/>
            <rFont val="Arial"/>
            <scheme val="minor"/>
          </rPr>
          <t>https://gyazo.com/564f54574e91d630b0e3d874a239c2ec</t>
        </r>
      </text>
    </comment>
    <comment ref="N1468" authorId="0" shapeId="0" xr:uid="{00000000-0006-0000-0600-0000F8000000}">
      <text>
        <r>
          <rPr>
            <sz val="10"/>
            <color rgb="FF000000"/>
            <rFont val="Arial"/>
            <scheme val="minor"/>
          </rPr>
          <t>https://gyazo.com/299eae4135e90a5f1e83c0c8e7a6308f</t>
        </r>
      </text>
    </comment>
    <comment ref="N1472" authorId="0" shapeId="0" xr:uid="{00000000-0006-0000-0600-0000F9000000}">
      <text>
        <r>
          <rPr>
            <sz val="10"/>
            <color rgb="FF000000"/>
            <rFont val="Arial"/>
            <scheme val="minor"/>
          </rPr>
          <t>https://gyazo.com/57a593d91e69959feb9e51267b144b29</t>
        </r>
      </text>
    </comment>
    <comment ref="N1474" authorId="0" shapeId="0" xr:uid="{00000000-0006-0000-0600-0000FA000000}">
      <text>
        <r>
          <rPr>
            <sz val="10"/>
            <color rgb="FF000000"/>
            <rFont val="Arial"/>
            <scheme val="minor"/>
          </rPr>
          <t>https://gyazo.com/14ce35d66b35906a921c6485b11df83f</t>
        </r>
      </text>
    </comment>
    <comment ref="N1477" authorId="0" shapeId="0" xr:uid="{00000000-0006-0000-0600-0000FB000000}">
      <text>
        <r>
          <rPr>
            <sz val="10"/>
            <color rgb="FF000000"/>
            <rFont val="Arial"/>
            <scheme val="minor"/>
          </rPr>
          <t>https://gyazo.com/ecc5c51d27e63ac4548fe2562e4ded6b</t>
        </r>
      </text>
    </comment>
    <comment ref="N1478" authorId="0" shapeId="0" xr:uid="{00000000-0006-0000-0600-0000FC000000}">
      <text>
        <r>
          <rPr>
            <sz val="10"/>
            <color rgb="FF000000"/>
            <rFont val="Arial"/>
            <scheme val="minor"/>
          </rPr>
          <t>https://i.gyazo.com/c4fe7c4309cfec9488426a66f7172bd5.png</t>
        </r>
      </text>
    </comment>
    <comment ref="N1483" authorId="0" shapeId="0" xr:uid="{00000000-0006-0000-0600-0000FD000000}">
      <text>
        <r>
          <rPr>
            <sz val="10"/>
            <color rgb="FF000000"/>
            <rFont val="Arial"/>
            <scheme val="minor"/>
          </rPr>
          <t>https://gyazo.com/64774318ccfe936cc3dd5da1d9a6c428</t>
        </r>
      </text>
    </comment>
    <comment ref="N1489" authorId="0" shapeId="0" xr:uid="{00000000-0006-0000-0600-0000FE000000}">
      <text>
        <r>
          <rPr>
            <sz val="10"/>
            <color rgb="FF000000"/>
            <rFont val="Arial"/>
            <scheme val="minor"/>
          </rPr>
          <t>Касса на начало месяца - 
https://i.gyazo.com/5655d2fd6fdac00e49fda10d1c05f3a2.png
Касса в конце месяца + (история операций) - 
https://i.gyazo.com/e139e2a7d3e900dc30f75f9656eb1c3f.png
1710.54 - 2454.26 + 1000 - 918.4 = -662.12</t>
        </r>
      </text>
    </comment>
    <comment ref="N1494" authorId="0" shapeId="0" xr:uid="{00000000-0006-0000-0600-0000FF000000}">
      <text>
        <r>
          <rPr>
            <sz val="10"/>
            <color rgb="FF000000"/>
            <rFont val="Arial"/>
            <scheme val="minor"/>
          </rPr>
          <t>Касса на 03.06 
https://i.gyazo.com/9759dcf7f1b30c48ca36ca9578130343.png
Касса на 04.07 + (история операций)
https://i.gyazo.com/3b09cc503ff7cdbf3da46a1cc0840e57.png
1900.53 - 1448.44 + 500 - 450.3 = 501.79</t>
        </r>
      </text>
    </comment>
    <comment ref="N1497" authorId="0" shapeId="0" xr:uid="{00000000-0006-0000-0600-000000010000}">
      <text>
        <r>
          <rPr>
            <sz val="10"/>
            <color rgb="FF000000"/>
            <rFont val="Arial"/>
            <scheme val="minor"/>
          </rPr>
          <t>-350 оплата пула
https://i.gyazo.com/606336843bf028d8531eb84d949ce373.png
https://i.gyazo.com/9e42be6ec0c83d5e5fc9daf8cffe5adc.png</t>
        </r>
      </text>
    </comment>
    <comment ref="N1502" authorId="0" shapeId="0" xr:uid="{00000000-0006-0000-0600-000001010000}">
      <text>
        <r>
          <rPr>
            <sz val="10"/>
            <color rgb="FF000000"/>
            <rFont val="Arial"/>
            <scheme val="minor"/>
          </rPr>
          <t>https://i.gyazo.com/72ae6425efc63a61409ab9a3d771fd2f.png
prime cash за 01.06 учтен в предыдущем периоде (245eu)
*01.07 prime cash 90eu учтен в этом периоде</t>
        </r>
      </text>
    </comment>
    <comment ref="N1506" authorId="0" shapeId="0" xr:uid="{00000000-0006-0000-0600-000002010000}">
      <text>
        <r>
          <rPr>
            <sz val="10"/>
            <color rgb="FF000000"/>
            <rFont val="Arial"/>
            <scheme val="minor"/>
          </rPr>
          <t>https://gyazo.com/48046a2aa45aef27c9d469c56d74b659</t>
        </r>
      </text>
    </comment>
    <comment ref="N1508" authorId="0" shapeId="0" xr:uid="{00000000-0006-0000-0600-000003010000}">
      <text>
        <r>
          <rPr>
            <sz val="10"/>
            <color rgb="FF000000"/>
            <rFont val="Arial"/>
            <scheme val="minor"/>
          </rPr>
          <t>Начало месяца - https://i.gyazo.com/e496079a3cf3aaf59044a7b0ec33c450.png
Конец месяца (+ переводы) -  https://i.gyazo.com/1c67d2e6c68bd92caf855a5c8a2eae40.png
6902.04 - 6009.93 + 63 - 1485.4 = -530.29</t>
        </r>
      </text>
    </comment>
    <comment ref="N1512" authorId="0" shapeId="0" xr:uid="{00000000-0006-0000-0600-000004010000}">
      <text>
        <r>
          <rPr>
            <sz val="10"/>
            <color rgb="FF000000"/>
            <rFont val="Arial"/>
            <scheme val="minor"/>
          </rPr>
          <t>5730 бонус + билеты 58*20</t>
        </r>
      </text>
    </comment>
    <comment ref="N1514" authorId="0" shapeId="0" xr:uid="{00000000-0006-0000-0600-000005010000}">
      <text>
        <r>
          <rPr>
            <sz val="10"/>
            <color rgb="FF000000"/>
            <rFont val="Arial"/>
            <scheme val="minor"/>
          </rPr>
          <t>https://i.gyazo.com/bafd588669d5f19f6c7fd8901b70d9e6.png</t>
        </r>
      </text>
    </comment>
    <comment ref="L1516" authorId="0" shapeId="0" xr:uid="{00000000-0006-0000-0600-000006010000}">
      <text>
        <r>
          <rPr>
            <sz val="10"/>
            <color rgb="FF000000"/>
            <rFont val="Arial"/>
            <scheme val="minor"/>
          </rPr>
          <t>01.06 - 30.06
https://i.gyazo.com/b462a43e967b06947c3b199b2575a5be.png</t>
        </r>
      </text>
    </comment>
    <comment ref="N1516" authorId="0" shapeId="0" xr:uid="{00000000-0006-0000-0600-000007010000}">
      <text>
        <r>
          <rPr>
            <sz val="10"/>
            <color rgb="FF000000"/>
            <rFont val="Arial"/>
            <scheme val="minor"/>
          </rPr>
          <t>Касса на начало месяца - 
https://i.gyazo.com/34ab3c295f6a74f348e2fec03e6da39a.png
Касса в конце месяца + (история транзакций)
https://i.gyazo.com/79be03591fd148b4401ba1abf5f78310.png
812.81 - 350.1 - 1327.2 = -864.49</t>
        </r>
      </text>
    </comment>
    <comment ref="N1518" authorId="0" shapeId="0" xr:uid="{00000000-0006-0000-0600-000008010000}">
      <text>
        <r>
          <rPr>
            <sz val="10"/>
            <color rgb="FF000000"/>
            <rFont val="Arial"/>
            <scheme val="minor"/>
          </rPr>
          <t>https://i.gyazo.com/138459b41184cb13c6d5ebf3a7f33e5f.png
50eu tickets x 8
https://i.gyazo.com/463293ad4bc29440bb5d54a2ef009479.png</t>
        </r>
      </text>
    </comment>
    <comment ref="N1523" authorId="0" shapeId="0" xr:uid="{00000000-0006-0000-0600-000009010000}">
      <text>
        <r>
          <rPr>
            <sz val="10"/>
            <color rgb="FF000000"/>
            <rFont val="Arial"/>
            <scheme val="minor"/>
          </rPr>
          <t>https://gyazo.com/edd98a19afca05c2a5f2ff2ed697fb20</t>
        </r>
      </text>
    </comment>
    <comment ref="N1524" authorId="0" shapeId="0" xr:uid="{00000000-0006-0000-0600-00000A010000}">
      <text>
        <r>
          <rPr>
            <sz val="10"/>
            <color rgb="FF000000"/>
            <rFont val="Arial"/>
            <scheme val="minor"/>
          </rPr>
          <t>со скринов: 
7,09*8 
https://gyazo.com/56c65dc3c2c61f8814f09d48c4624c9f
https://gyazo.com/5ef35dbb898f9896c359e9422ba8a516</t>
        </r>
      </text>
    </comment>
    <comment ref="N1525" authorId="0" shapeId="0" xr:uid="{00000000-0006-0000-0600-00000B010000}">
      <text>
        <r>
          <rPr>
            <sz val="10"/>
            <color rgb="FF000000"/>
            <rFont val="Arial"/>
            <scheme val="minor"/>
          </rPr>
          <t>билеты 4 * 10 от 21-22 июля
33,64 + 82,25 от 25 июля прибавили сюда</t>
        </r>
      </text>
    </comment>
    <comment ref="N1533" authorId="0" shapeId="0" xr:uid="{00000000-0006-0000-0600-00000C010000}">
      <text>
        <r>
          <rPr>
            <sz val="10"/>
            <color rgb="FF000000"/>
            <rFont val="Arial"/>
            <scheme val="minor"/>
          </rPr>
          <t>https://gyazo.com/d5534d4615f5366b8684be501c640f50</t>
        </r>
      </text>
    </comment>
    <comment ref="N1542" authorId="0" shapeId="0" xr:uid="{00000000-0006-0000-0600-00000D010000}">
      <text>
        <r>
          <rPr>
            <sz val="10"/>
            <color rgb="FF000000"/>
            <rFont val="Arial"/>
            <scheme val="minor"/>
          </rPr>
          <t>https://gyazo.com/e7b46e2ea27ca032225752f94eb4dffa</t>
        </r>
      </text>
    </comment>
    <comment ref="N1547" authorId="0" shapeId="0" xr:uid="{00000000-0006-0000-0600-00000E010000}">
      <text>
        <r>
          <rPr>
            <sz val="10"/>
            <color rgb="FF000000"/>
            <rFont val="Arial"/>
            <scheme val="minor"/>
          </rPr>
          <t>1376 + 2 * 50</t>
        </r>
      </text>
    </comment>
    <comment ref="N1550" authorId="0" shapeId="0" xr:uid="{00000000-0006-0000-0600-00000F010000}">
      <text>
        <r>
          <rPr>
            <sz val="10"/>
            <color rgb="FF000000"/>
            <rFont val="Arial"/>
            <scheme val="minor"/>
          </rPr>
          <t>https://gyazo.com/f86aaa2820b50864e850d3ed5d3e9c42</t>
        </r>
      </text>
    </comment>
    <comment ref="N1556" authorId="0" shapeId="0" xr:uid="{00000000-0006-0000-0600-000010010000}">
      <text>
        <r>
          <rPr>
            <sz val="10"/>
            <color rgb="FF000000"/>
            <rFont val="Arial"/>
            <scheme val="minor"/>
          </rPr>
          <t>https://i.gyazo.com/9823cd78c4f30d98e11f00d6e95d642c.png
100eu tickets x 12
https://i.gyazo.com/de400a187f861dc402f1063648115d8c.png</t>
        </r>
      </text>
    </comment>
    <comment ref="N1570" authorId="0" shapeId="0" xr:uid="{00000000-0006-0000-0600-000011010000}">
      <text>
        <r>
          <rPr>
            <sz val="10"/>
            <color rgb="FF000000"/>
            <rFont val="Arial"/>
            <scheme val="minor"/>
          </rPr>
          <t>https://gyazo.com/36ad75efec9d4708a17d1912ef94023c
starscoins 600 + 1010 chest money + 1900 chest t-money - 82.5 = 3592.5</t>
        </r>
      </text>
    </comment>
    <comment ref="N1577" authorId="0" shapeId="0" xr:uid="{00000000-0006-0000-0600-000012010000}">
      <text>
        <r>
          <rPr>
            <sz val="10"/>
            <color rgb="FF000000"/>
            <rFont val="Arial"/>
            <scheme val="minor"/>
          </rPr>
          <t>https://gyazo.com/d7f0daac6f80971d42b7105b03a2b77f</t>
        </r>
      </text>
    </comment>
    <comment ref="N1580" authorId="0" shapeId="0" xr:uid="{00000000-0006-0000-0600-000013010000}">
      <text>
        <r>
          <rPr>
            <sz val="10"/>
            <color rgb="FF000000"/>
            <rFont val="Arial"/>
            <scheme val="minor"/>
          </rPr>
          <t>https://gyazo.com/e89418910b44cc412c265151b7b375ba</t>
        </r>
      </text>
    </comment>
    <comment ref="N1583" authorId="0" shapeId="0" xr:uid="{00000000-0006-0000-0600-000014010000}">
      <text>
        <r>
          <rPr>
            <sz val="10"/>
            <color rgb="FF000000"/>
            <rFont val="Arial"/>
            <scheme val="minor"/>
          </rPr>
          <t>https://gyazo.com/8a8ca35bc560b044c78d6323fd39dcda</t>
        </r>
      </text>
    </comment>
    <comment ref="N1586" authorId="0" shapeId="0" xr:uid="{00000000-0006-0000-0600-000015010000}">
      <text>
        <r>
          <rPr>
            <sz val="10"/>
            <color rgb="FF000000"/>
            <rFont val="Arial"/>
            <scheme val="minor"/>
          </rPr>
          <t>https://gyazo.com/dfc76aa3df1ea99d29a2a1e934866e97</t>
        </r>
      </text>
    </comment>
    <comment ref="N1589" authorId="0" shapeId="0" xr:uid="{00000000-0006-0000-0600-000016010000}">
      <text>
        <r>
          <rPr>
            <sz val="10"/>
            <color rgb="FF000000"/>
            <rFont val="Arial"/>
            <scheme val="minor"/>
          </rPr>
          <t>https://i.gyazo.com/fe859482706095596de8755cbfec1959.png</t>
        </r>
      </text>
    </comment>
    <comment ref="N1590" authorId="0" shapeId="0" xr:uid="{00000000-0006-0000-0600-000017010000}">
      <text>
        <r>
          <rPr>
            <sz val="10"/>
            <color rgb="FF000000"/>
            <rFont val="Arial"/>
            <scheme val="minor"/>
          </rPr>
          <t>Касса начало - https://i.gyazo.com/e139e2a7d3e900dc30f75f9656eb1c3f.png
Касса конец (+ транзакции) - https://i.gyazo.com/47305600569c56d5a5fbd80efd86560e.png
1200,78 - 1710,54 - 2784,24 + 4463 - 1245,8 = -76,8</t>
        </r>
      </text>
    </comment>
    <comment ref="N1593" authorId="0" shapeId="0" xr:uid="{00000000-0006-0000-0600-000018010000}">
      <text>
        <r>
          <rPr>
            <sz val="10"/>
            <color rgb="FF000000"/>
            <rFont val="Arial"/>
            <scheme val="minor"/>
          </rPr>
          <t>Касса начало - https://i.gyazo.com/3b09cc503ff7cdbf3da46a1cc0840e57.png
Касса конец (+ транзакции) - https://i.gyazo.com/ab676f4f9c0ff5657dc43b677c0927d5.png
(50eu за 01.07 учтены в прошлом периоде)
1880.49 - 1900.53 + 570 - 831.95 = -281.99</t>
        </r>
      </text>
    </comment>
    <comment ref="N1595" authorId="0" shapeId="0" xr:uid="{00000000-0006-0000-0600-000019010000}">
      <text>
        <r>
          <rPr>
            <sz val="10"/>
            <color rgb="FF000000"/>
            <rFont val="Arial"/>
            <scheme val="minor"/>
          </rPr>
          <t>https://i.gyazo.com/637e2ae3e126a4f757348e6e21a78126.png</t>
        </r>
      </text>
    </comment>
    <comment ref="N1599" authorId="0" shapeId="0" xr:uid="{00000000-0006-0000-0600-00001A010000}">
      <text>
        <r>
          <rPr>
            <sz val="10"/>
            <color rgb="FF000000"/>
            <rFont val="Arial"/>
            <scheme val="minor"/>
          </rPr>
          <t>https://i.gyazo.com/772444a197cfe4f702aee8a86f4384ee.png
*90eu за 01.07 учтены в прошлом периоде</t>
        </r>
      </text>
    </comment>
    <comment ref="N1602" authorId="0" shapeId="0" xr:uid="{00000000-0006-0000-0600-00001B010000}">
      <text>
        <r>
          <rPr>
            <sz val="10"/>
            <color rgb="FF000000"/>
            <rFont val="Arial"/>
            <scheme val="minor"/>
          </rPr>
          <t>https://gyazo.com/8330c3ea3f2e584e3acb18308e224a44</t>
        </r>
      </text>
    </comment>
    <comment ref="N1606" authorId="0" shapeId="0" xr:uid="{00000000-0006-0000-0600-00001C010000}">
      <text>
        <r>
          <rPr>
            <sz val="10"/>
            <color rgb="FF000000"/>
            <rFont val="Arial"/>
            <scheme val="minor"/>
          </rPr>
          <t>https://gyazo.com/6213b0809dbf5fa99345156e0d164205</t>
        </r>
      </text>
    </comment>
    <comment ref="N1608" authorId="0" shapeId="0" xr:uid="{00000000-0006-0000-0600-00001D010000}">
      <text>
        <r>
          <rPr>
            <sz val="10"/>
            <color rgb="FF000000"/>
            <rFont val="Arial"/>
            <scheme val="minor"/>
          </rPr>
          <t>https://gyazo.com/6213b0809dbf5fa99345156e0d164205</t>
        </r>
      </text>
    </comment>
    <comment ref="L1610" authorId="0" shapeId="0" xr:uid="{00000000-0006-0000-0600-00001E010000}">
      <text>
        <r>
          <rPr>
            <sz val="10"/>
            <color rgb="FF000000"/>
            <rFont val="Arial"/>
            <scheme val="minor"/>
          </rPr>
          <t>https://i.gyazo.com/831b24f338cfa3d231197b6c95978d90.png</t>
        </r>
      </text>
    </comment>
    <comment ref="N1610" authorId="0" shapeId="0" xr:uid="{00000000-0006-0000-0600-00001F010000}">
      <text>
        <r>
          <rPr>
            <sz val="10"/>
            <color rgb="FF000000"/>
            <rFont val="Arial"/>
            <scheme val="minor"/>
          </rPr>
          <t>Начало месяца - https://i.gyazo.com/1c67d2e6c68bd92caf855a5c8a2eae40.png
Конец месяца (+транзакции) - https://i.gyazo.com/6c7debad519a1ef35ec352df69486421.png
8031.53 - 6902.04 - 26.07 + 2296 - 1423.63 = 1975.79</t>
        </r>
      </text>
    </comment>
    <comment ref="N1614" authorId="0" shapeId="0" xr:uid="{00000000-0006-0000-0600-000020010000}">
      <text>
        <r>
          <rPr>
            <sz val="10"/>
            <color rgb="FF000000"/>
            <rFont val="Arial"/>
            <scheme val="minor"/>
          </rPr>
          <t>5360+67*20</t>
        </r>
      </text>
    </comment>
    <comment ref="L1615" authorId="0" shapeId="0" xr:uid="{00000000-0006-0000-0600-000021010000}">
      <text>
        <r>
          <rPr>
            <sz val="10"/>
            <color rgb="FF000000"/>
            <rFont val="Arial"/>
            <scheme val="minor"/>
          </rPr>
          <t>https://i.gyazo.com/70902f253a1b5d4923d76f233ab8e904.png</t>
        </r>
      </text>
    </comment>
    <comment ref="N1615" authorId="0" shapeId="0" xr:uid="{00000000-0006-0000-0600-000022010000}">
      <text>
        <r>
          <rPr>
            <sz val="10"/>
            <color rgb="FF000000"/>
            <rFont val="Arial"/>
            <scheme val="minor"/>
          </rPr>
          <t>Касса начало - https://i.gyazo.com/79be03591fd148b4401ba1abf5f78310.png
Касса конец (+ транзакции) - https://i.gyazo.com/219e7281ebcd5ae5bacaccc616c04519.png
1699.63 - 812.81 + 6700 - 2121.7 = 5465.12</t>
        </r>
      </text>
    </comment>
    <comment ref="N1618" authorId="0" shapeId="0" xr:uid="{00000000-0006-0000-0600-000023010000}">
      <text>
        <r>
          <rPr>
            <sz val="10"/>
            <color rgb="FF000000"/>
            <rFont val="Arial"/>
            <scheme val="minor"/>
          </rPr>
          <t>https://gyazo.com/24d3e61594cf88e9f4e5f968224b87f3</t>
        </r>
      </text>
    </comment>
    <comment ref="N1620" authorId="0" shapeId="0" xr:uid="{00000000-0006-0000-0600-000024010000}">
      <text>
        <r>
          <rPr>
            <sz val="10"/>
            <color rgb="FF000000"/>
            <rFont val="Arial"/>
            <scheme val="minor"/>
          </rPr>
          <t>https://i.gyazo.com/445c86e0338fa0d9938637c3caa431c2.png</t>
        </r>
      </text>
    </comment>
    <comment ref="N1626" authorId="0" shapeId="0" xr:uid="{00000000-0006-0000-0600-000025010000}">
      <text>
        <r>
          <rPr>
            <sz val="10"/>
            <color rgb="FF000000"/>
            <rFont val="Arial"/>
            <scheme val="minor"/>
          </rPr>
          <t>https://gyazo.com/f5eebfd063c4c69eb14360fe33fba53d</t>
        </r>
      </text>
    </comment>
    <comment ref="N1627" authorId="0" shapeId="0" xr:uid="{00000000-0006-0000-0600-000026010000}">
      <text>
        <r>
          <rPr>
            <sz val="10"/>
            <color rgb="FF000000"/>
            <rFont val="Arial"/>
            <scheme val="minor"/>
          </rPr>
          <t>https://gyazo.com/aece5a0961362b33f426b2a3fa9aad0e</t>
        </r>
      </text>
    </comment>
    <comment ref="N1629" authorId="0" shapeId="0" xr:uid="{00000000-0006-0000-0600-000027010000}">
      <text>
        <r>
          <rPr>
            <sz val="10"/>
            <color rgb="FF000000"/>
            <rFont val="Arial"/>
            <scheme val="minor"/>
          </rPr>
          <t>1438 - 116(попали в июль) + 32 * 10 +1*20 (только с 23 июля по 20 августа) + 155,6 от 22 /08  +95 намытые c$
https://gyazo.com/844d171761ef5cf0d81ec2fa5512d490</t>
        </r>
      </text>
    </comment>
    <comment ref="N1631" authorId="0" shapeId="0" xr:uid="{00000000-0006-0000-0600-000028010000}">
      <text>
        <r>
          <rPr>
            <sz val="10"/>
            <color rgb="FF000000"/>
            <rFont val="Arial"/>
            <scheme val="minor"/>
          </rPr>
          <t>https://i.gyazo.com/c8e2c85dd5102f6dd192a566a4009354.png
10eu tickets x 1 
25eu tickets x 24</t>
        </r>
      </text>
    </comment>
    <comment ref="N1635" authorId="0" shapeId="0" xr:uid="{00000000-0006-0000-0600-000029010000}">
      <text>
        <r>
          <rPr>
            <sz val="10"/>
            <color rgb="FF000000"/>
            <rFont val="Arial"/>
            <scheme val="minor"/>
          </rPr>
          <t>https://gyazo.com/ec229888895180d9ba888d3a207953fd</t>
        </r>
      </text>
    </comment>
    <comment ref="N1637" authorId="0" shapeId="0" xr:uid="{00000000-0006-0000-0600-00002A010000}">
      <text>
        <r>
          <rPr>
            <sz val="10"/>
            <color rgb="FF000000"/>
            <rFont val="Arial"/>
            <scheme val="minor"/>
          </rPr>
          <t>https://gyazo.com/101f874b224f16196ff0973499c6a926</t>
        </r>
      </text>
    </comment>
    <comment ref="N1640" authorId="0" shapeId="0" xr:uid="{00000000-0006-0000-0600-00002B010000}">
      <text>
        <r>
          <rPr>
            <sz val="10"/>
            <color rgb="FF000000"/>
            <rFont val="Arial"/>
            <scheme val="minor"/>
          </rPr>
          <t>https://gyazo.com/4bab0c57e18d7fe6d4939342926f661d</t>
        </r>
      </text>
    </comment>
    <comment ref="N1648" authorId="0" shapeId="0" xr:uid="{00000000-0006-0000-0600-00002C010000}">
      <text>
        <r>
          <rPr>
            <sz val="10"/>
            <color rgb="FF000000"/>
            <rFont val="Arial"/>
            <scheme val="minor"/>
          </rPr>
          <t>30 * 100 + 2* 50 + 25715
+Expected reward (monday): $2051.7 от понедельника 22 июля</t>
        </r>
      </text>
    </comment>
    <comment ref="N1650" authorId="0" shapeId="0" xr:uid="{00000000-0006-0000-0600-00002D010000}">
      <text>
        <r>
          <rPr>
            <sz val="10"/>
            <color rgb="FF000000"/>
            <rFont val="Arial"/>
            <scheme val="minor"/>
          </rPr>
          <t>https://gyazo.com/0e1dad6899ebc68bba38c855741d8933</t>
        </r>
      </text>
    </comment>
    <comment ref="N1653" authorId="0" shapeId="0" xr:uid="{00000000-0006-0000-0600-00002E010000}">
      <text>
        <r>
          <rPr>
            <sz val="10"/>
            <color rgb="FF000000"/>
            <rFont val="Arial"/>
            <scheme val="minor"/>
          </rPr>
          <t>https://gyazo.com/f8998d9a4e786274b56812200763cd1a</t>
        </r>
      </text>
    </comment>
    <comment ref="N1654" authorId="0" shapeId="0" xr:uid="{00000000-0006-0000-0600-00002F010000}">
      <text>
        <r>
          <rPr>
            <sz val="10"/>
            <color rgb="FF000000"/>
            <rFont val="Arial"/>
            <scheme val="minor"/>
          </rPr>
          <t>3260+	8*50</t>
        </r>
      </text>
    </comment>
    <comment ref="N1656" authorId="0" shapeId="0" xr:uid="{00000000-0006-0000-0600-000030010000}">
      <text>
        <r>
          <rPr>
            <sz val="10"/>
            <color rgb="FF000000"/>
            <rFont val="Arial"/>
            <scheme val="minor"/>
          </rPr>
          <t>https://i.gyazo.com/18359da9f42dde1f4ad008648e1331f5.png
100eu tickets x 8 
https://i.gyazo.com/5c2d73b27a65918842fc1686fe95e3bc.png</t>
        </r>
      </text>
    </comment>
    <comment ref="N1660" authorId="0" shapeId="0" xr:uid="{00000000-0006-0000-0600-000031010000}">
      <text>
        <r>
          <rPr>
            <sz val="10"/>
            <color rgb="FF000000"/>
            <rFont val="Arial"/>
            <scheme val="minor"/>
          </rPr>
          <t>bonus 21/07 - 22/08 (!) : 29762 + 45 tickets * 100 = 34262</t>
        </r>
      </text>
    </comment>
    <comment ref="N1664" authorId="0" shapeId="0" xr:uid="{00000000-0006-0000-0600-000032010000}">
      <text>
        <r>
          <rPr>
            <sz val="10"/>
            <color rgb="FF000000"/>
            <rFont val="Arial"/>
            <scheme val="minor"/>
          </rPr>
          <t>2325 + 485 tickets from 26 Jul till 25 Aug</t>
        </r>
      </text>
    </comment>
    <comment ref="N1667" authorId="0" shapeId="0" xr:uid="{00000000-0006-0000-0600-000033010000}">
      <text>
        <r>
          <rPr>
            <sz val="10"/>
            <color rgb="FF000000"/>
            <rFont val="Arial"/>
            <scheme val="minor"/>
          </rPr>
          <t>https://gyazo.com/02b8695a5cd3a81893a319d414d35fad</t>
        </r>
      </text>
    </comment>
    <comment ref="N1672" authorId="0" shapeId="0" xr:uid="{00000000-0006-0000-0600-000034010000}">
      <text>
        <r>
          <rPr>
            <sz val="10"/>
            <color rgb="FF000000"/>
            <rFont val="Arial"/>
            <scheme val="minor"/>
          </rPr>
          <t>https://gyazo.com/7fe4fd086c6e836b82d79c0e0dd3302c</t>
        </r>
      </text>
    </comment>
    <comment ref="N1674" authorId="0" shapeId="0" xr:uid="{00000000-0006-0000-0600-000035010000}">
      <text>
        <r>
          <rPr>
            <sz val="10"/>
            <color rgb="FF000000"/>
            <rFont val="Arial"/>
            <scheme val="minor"/>
          </rPr>
          <t>rewards 15907 + promo 0 + tickets 1500  
https://gyazo.com/a54d3bc18bc4294844972f797119267f 
https://gyazo.com/ebb9b3486bb6c982378d0cb7e543dc20</t>
        </r>
      </text>
    </comment>
    <comment ref="N1676" authorId="0" shapeId="0" xr:uid="{00000000-0006-0000-0600-000036010000}">
      <text>
        <r>
          <rPr>
            <sz val="10"/>
            <color rgb="FF000000"/>
            <rFont val="Arial"/>
            <scheme val="minor"/>
          </rPr>
          <t>https://gyazo.com/b6235a63e93ccb6bfb5e814ec368de12</t>
        </r>
      </text>
    </comment>
    <comment ref="N1687" authorId="0" shapeId="0" xr:uid="{00000000-0006-0000-0600-000037010000}">
      <text>
        <r>
          <rPr>
            <sz val="10"/>
            <color rgb="FF000000"/>
            <rFont val="Arial"/>
            <scheme val="minor"/>
          </rPr>
          <t>https://i.gyazo.com/669a9102e1d9ba48bbad6436208b2e90.png</t>
        </r>
      </text>
    </comment>
    <comment ref="N1692" authorId="0" shapeId="0" xr:uid="{00000000-0006-0000-0600-000038010000}">
      <text>
        <r>
          <rPr>
            <sz val="10"/>
            <color rgb="FF000000"/>
            <rFont val="Arial"/>
            <scheme val="minor"/>
          </rPr>
          <t>https://gyazo.com/8e46580344a8ff10d689f181dfae47c3</t>
        </r>
      </text>
    </comment>
    <comment ref="N1696" authorId="0" shapeId="0" xr:uid="{00000000-0006-0000-0600-000039010000}">
      <text>
        <r>
          <rPr>
            <sz val="10"/>
            <color rgb="FF000000"/>
            <rFont val="Arial"/>
            <scheme val="minor"/>
          </rPr>
          <t>https://gyazo.com/f1ad0f42d7481fe529ab821f5509674c</t>
        </r>
      </text>
    </comment>
    <comment ref="N1704" authorId="0" shapeId="0" xr:uid="{00000000-0006-0000-0600-00003A010000}">
      <text>
        <r>
          <rPr>
            <sz val="10"/>
            <color rgb="FF000000"/>
            <rFont val="Arial"/>
            <scheme val="minor"/>
          </rPr>
          <t>https://gyazo.com/02f2e73cbcbb99f89eec56e4d9d744e2</t>
        </r>
      </text>
    </comment>
    <comment ref="N1705" authorId="0" shapeId="0" xr:uid="{00000000-0006-0000-0600-00003B010000}">
      <text>
        <r>
          <rPr>
            <sz val="10"/>
            <color rgb="FF000000"/>
            <rFont val="Arial"/>
            <scheme val="minor"/>
          </rPr>
          <t>https://i.gyazo.com/ece8d4f18dd1e1ecae30b204c5870a36.png
https://i.gyazo.com/dfd1b5297efeb383ac3a446fd7548987.png
30% RB 42309</t>
        </r>
      </text>
    </comment>
    <comment ref="N1708" authorId="0" shapeId="0" xr:uid="{00000000-0006-0000-0600-00003C010000}">
      <text>
        <r>
          <rPr>
            <sz val="10"/>
            <color rgb="FF000000"/>
            <rFont val="Arial"/>
            <scheme val="minor"/>
          </rPr>
          <t>Касса начало - https://i.gyazo.com/ab676f4f9c0ff5657dc43b677c0927d5.png
Касса конец + транзакции - https://i.gyazo.com/8d21397b82e12f029fb0d7d2ad656d63.png
1767.67 - 1880.49 + 540 - 559.65 = -132.47</t>
        </r>
      </text>
    </comment>
    <comment ref="N1712" authorId="0" shapeId="0" xr:uid="{00000000-0006-0000-0600-00003D010000}">
      <text>
        <r>
          <rPr>
            <sz val="10"/>
            <color rgb="FF000000"/>
            <rFont val="Arial"/>
            <scheme val="minor"/>
          </rPr>
          <t>https://gyazo.com/40ce61301fb7b13c210d030506e48ba1</t>
        </r>
      </text>
    </comment>
    <comment ref="N1721" authorId="0" shapeId="0" xr:uid="{00000000-0006-0000-0600-00003E010000}">
      <text>
        <r>
          <rPr>
            <sz val="10"/>
            <color rgb="FF000000"/>
            <rFont val="Arial"/>
            <scheme val="minor"/>
          </rPr>
          <t>https://i.gyazo.com/a3562e68566ca440ca20235015e48f1d.png</t>
        </r>
      </text>
    </comment>
    <comment ref="N1727" authorId="0" shapeId="0" xr:uid="{00000000-0006-0000-0600-00003F010000}">
      <text>
        <r>
          <rPr>
            <sz val="10"/>
            <color rgb="FF000000"/>
            <rFont val="Arial"/>
            <scheme val="minor"/>
          </rPr>
          <t>https://i.gyazo.com/973d4caa12dba7f8ec62e9e5df055ee8.png</t>
        </r>
      </text>
    </comment>
    <comment ref="N1728" authorId="0" shapeId="0" xr:uid="{00000000-0006-0000-0600-000040010000}">
      <text>
        <r>
          <rPr>
            <sz val="10"/>
            <color rgb="FF000000"/>
            <rFont val="Arial"/>
            <scheme val="minor"/>
          </rPr>
          <t>https://gyazo.com/b535b5b5dc4646b94643ed2bcb883bc0</t>
        </r>
      </text>
    </comment>
    <comment ref="L1732" authorId="0" shapeId="0" xr:uid="{00000000-0006-0000-0600-000041010000}">
      <text>
        <r>
          <rPr>
            <sz val="10"/>
            <color rgb="FF000000"/>
            <rFont val="Arial"/>
            <scheme val="minor"/>
          </rPr>
          <t>https://i.gyazo.com/7288ca2747b1a8c51164ea4e33d0e1d2.png</t>
        </r>
      </text>
    </comment>
    <comment ref="N1732" authorId="0" shapeId="0" xr:uid="{00000000-0006-0000-0600-000042010000}">
      <text>
        <r>
          <rPr>
            <sz val="10"/>
            <color rgb="FF000000"/>
            <rFont val="Arial"/>
            <scheme val="minor"/>
          </rPr>
          <t>Касса начало - 
https://i.gyazo.com/6c7debad519a1ef35ec352df69486421.png
Касса конец + транзакции - 
https://i.gyazo.com/1547e4a16a6676ebf49063885aebc8b1.png
MTT - https://i.gyazo.com/40fd5c618c4439d5e443ff392b381050.png
10609.87 - 8031.53 - (11300.41) + 6579.5 - 1236.3 = -3378.87</t>
        </r>
      </text>
    </comment>
    <comment ref="N1736" authorId="0" shapeId="0" xr:uid="{00000000-0006-0000-0600-000043010000}">
      <text>
        <r>
          <rPr>
            <sz val="10"/>
            <color rgb="FF000000"/>
            <rFont val="Arial"/>
            <scheme val="minor"/>
          </rPr>
          <t>rewards 13307 + promo 0 + 33 tickets on 50s</t>
        </r>
      </text>
    </comment>
    <comment ref="N1738" authorId="0" shapeId="0" xr:uid="{00000000-0006-0000-0600-000044010000}">
      <text>
        <r>
          <rPr>
            <sz val="10"/>
            <color rgb="FF000000"/>
            <rFont val="Arial"/>
            <scheme val="minor"/>
          </rPr>
          <t>Касса начало - https://i.gyazo.com/219e7281ebcd5ae5bacaccc616c04519.png
Касса конец + транзакции - https://i.gyazo.com/d3373c21a891c6e49040417796d02fb9.png
2039,08 - 1699,63 + 600 - 869,05 = 70,4</t>
        </r>
      </text>
    </comment>
    <comment ref="N1742" authorId="0" shapeId="0" xr:uid="{00000000-0006-0000-0600-000045010000}">
      <text>
        <r>
          <rPr>
            <sz val="10"/>
            <color rgb="FF000000"/>
            <rFont val="Arial"/>
            <scheme val="minor"/>
          </rPr>
          <t>https://gyazo.com/c4d15633aa6d6673e14a128d025d1f12</t>
        </r>
      </text>
    </comment>
    <comment ref="N1744" authorId="0" shapeId="0" xr:uid="{00000000-0006-0000-0600-000046010000}">
      <text>
        <r>
          <rPr>
            <sz val="10"/>
            <color rgb="FF000000"/>
            <rFont val="Arial"/>
            <scheme val="minor"/>
          </rPr>
          <t>https://i.gyazo.com/0844c8bf71e81a7ac6c54465987508a9.png</t>
        </r>
      </text>
    </comment>
    <comment ref="N1751" authorId="0" shapeId="0" xr:uid="{00000000-0006-0000-0600-000047010000}">
      <text>
        <r>
          <rPr>
            <sz val="10"/>
            <color rgb="FF000000"/>
            <rFont val="Arial"/>
            <scheme val="minor"/>
          </rPr>
          <t>https://gyazo.com/0abca7d9297263b984aeba37394f6d2d</t>
        </r>
      </text>
    </comment>
    <comment ref="N1752" authorId="0" shapeId="0" xr:uid="{00000000-0006-0000-0600-000048010000}">
      <text>
        <r>
          <rPr>
            <sz val="10"/>
            <color rgb="FF000000"/>
            <rFont val="Arial"/>
            <scheme val="minor"/>
          </rPr>
          <t>https://gyazo.com/0f7902e7ca2fa3d5ea4ed735f14538dc</t>
        </r>
      </text>
    </comment>
    <comment ref="N1754" authorId="0" shapeId="0" xr:uid="{00000000-0006-0000-0600-000049010000}">
      <text>
        <r>
          <rPr>
            <sz val="10"/>
            <color rgb="FF000000"/>
            <rFont val="Arial"/>
            <scheme val="minor"/>
          </rPr>
          <t>https://i.gyazo.com/594df0e9dd71a835a94b835a28439d6f.png
48 tickets x 10eu
32 tickets x 25eu</t>
        </r>
      </text>
    </comment>
    <comment ref="N1757" authorId="0" shapeId="0" xr:uid="{00000000-0006-0000-0600-00004A010000}">
      <text>
        <r>
          <rPr>
            <sz val="10"/>
            <color rgb="FF000000"/>
            <rFont val="Arial"/>
            <scheme val="minor"/>
          </rPr>
          <t>rewards 953.07 - 155.5 
7 tickets on 20</t>
        </r>
      </text>
    </comment>
    <comment ref="N1760" authorId="0" shapeId="0" xr:uid="{00000000-0006-0000-0600-00004B010000}">
      <text>
        <r>
          <rPr>
            <sz val="10"/>
            <color rgb="FF000000"/>
            <rFont val="Arial"/>
            <scheme val="minor"/>
          </rPr>
          <t>https://gyazo.com/053ccecc1caadf7259c0ca4b39c842cb</t>
        </r>
      </text>
    </comment>
    <comment ref="N1765" authorId="0" shapeId="0" xr:uid="{00000000-0006-0000-0600-00004C010000}">
      <text>
        <r>
          <rPr>
            <sz val="10"/>
            <color rgb="FF000000"/>
            <rFont val="Arial"/>
            <scheme val="minor"/>
          </rPr>
          <t>https://gyazo.com/3ec52c3b97aff53f49bd0bd761599910</t>
        </r>
      </text>
    </comment>
    <comment ref="N1766" authorId="0" shapeId="0" xr:uid="{00000000-0006-0000-0600-00004D010000}">
      <text>
        <r>
          <rPr>
            <sz val="10"/>
            <color rgb="FF000000"/>
            <rFont val="Arial"/>
            <scheme val="minor"/>
          </rPr>
          <t>https://gyazo.com/77857d432ed7777d037faf8e563c4f4f</t>
        </r>
      </text>
    </comment>
    <comment ref="N1773" authorId="0" shapeId="0" xr:uid="{00000000-0006-0000-0600-00004E010000}">
      <text>
        <r>
          <rPr>
            <sz val="10"/>
            <color rgb="FF000000"/>
            <rFont val="Arial"/>
            <scheme val="minor"/>
          </rPr>
          <t>60 tickets *100 +1000 bonus +52669.4-2051.7(previous month)</t>
        </r>
      </text>
    </comment>
    <comment ref="N1777" authorId="0" shapeId="0" xr:uid="{00000000-0006-0000-0600-00004F010000}">
      <text>
        <r>
          <rPr>
            <sz val="10"/>
            <color rgb="FF000000"/>
            <rFont val="Arial"/>
            <scheme val="minor"/>
          </rPr>
          <t>https://gyazo.com/fce98fa0562e0ee58e0f75f6fd8e0e05</t>
        </r>
      </text>
    </comment>
    <comment ref="N1778" authorId="0" shapeId="0" xr:uid="{00000000-0006-0000-0600-000050010000}">
      <text>
        <r>
          <rPr>
            <sz val="10"/>
            <color rgb="FF000000"/>
            <rFont val="Arial"/>
            <scheme val="minor"/>
          </rPr>
          <t>https://i.gyazo.com/b627960ca2d6bde1a4f46e340deab400.png</t>
        </r>
      </text>
    </comment>
    <comment ref="N1780" authorId="0" shapeId="0" xr:uid="{00000000-0006-0000-0600-000051010000}">
      <text>
        <r>
          <rPr>
            <sz val="10"/>
            <color rgb="FF000000"/>
            <rFont val="Arial"/>
            <scheme val="minor"/>
          </rPr>
          <t>31*100 + bonus 1000+ rewards 26736</t>
        </r>
      </text>
    </comment>
    <comment ref="N1781" authorId="0" shapeId="0" xr:uid="{00000000-0006-0000-0600-000052010000}">
      <text>
        <r>
          <rPr>
            <sz val="10"/>
            <color rgb="FF000000"/>
            <rFont val="Arial"/>
            <scheme val="minor"/>
          </rPr>
          <t>https://gyazo.com/1aa6ff90fdd4f76d60c5d86d1a034c4f</t>
        </r>
      </text>
    </comment>
    <comment ref="N1783" authorId="0" shapeId="0" xr:uid="{00000000-0006-0000-0600-000053010000}">
      <text>
        <r>
          <rPr>
            <sz val="10"/>
            <color rgb="FF000000"/>
            <rFont val="Arial"/>
            <scheme val="minor"/>
          </rPr>
          <t>=1582.2+255 = 1837</t>
        </r>
      </text>
    </comment>
    <comment ref="N1785" authorId="0" shapeId="0" xr:uid="{00000000-0006-0000-0600-000054010000}">
      <text>
        <r>
          <rPr>
            <sz val="10"/>
            <color rgb="FF000000"/>
            <rFont val="Arial"/>
            <scheme val="minor"/>
          </rPr>
          <t>https://gyazo.com/bd62ad34bdef47be63af47c452b6f7f7</t>
        </r>
      </text>
    </comment>
    <comment ref="N1790" authorId="0" shapeId="0" xr:uid="{00000000-0006-0000-0600-000055010000}">
      <text>
        <r>
          <rPr>
            <sz val="10"/>
            <color rgb="FF000000"/>
            <rFont val="Arial"/>
            <scheme val="minor"/>
          </rPr>
          <t>https://gyazo.com/a32c99708b696956dcdf5edb8ca2e3b7</t>
        </r>
      </text>
    </comment>
    <comment ref="N1797" authorId="0" shapeId="0" xr:uid="{00000000-0006-0000-0600-000056010000}">
      <text>
        <r>
          <rPr>
            <sz val="10"/>
            <color rgb="FF000000"/>
            <rFont val="Arial"/>
            <scheme val="minor"/>
          </rPr>
          <t>https://gyazo.com/700396fed0a53ef31c7a262c5ae26db8</t>
        </r>
      </text>
    </comment>
    <comment ref="N1801" authorId="0" shapeId="0" xr:uid="{00000000-0006-0000-0600-000057010000}">
      <text>
        <r>
          <rPr>
            <sz val="10"/>
            <color rgb="FF000000"/>
            <rFont val="Arial"/>
            <scheme val="minor"/>
          </rPr>
          <t>https://gyazo.com/9b3ad102a0fda5167e1d5eba23d5bfcb</t>
        </r>
      </text>
    </comment>
    <comment ref="N1804" authorId="0" shapeId="0" xr:uid="{00000000-0006-0000-0600-000058010000}">
      <text>
        <r>
          <rPr>
            <sz val="10"/>
            <color rgb="FF000000"/>
            <rFont val="Arial"/>
            <scheme val="minor"/>
          </rPr>
          <t>https://gyazo.com/37afc0f6005513c2d6de886b5735a4ba</t>
        </r>
      </text>
    </comment>
    <comment ref="N1806" authorId="0" shapeId="0" xr:uid="{00000000-0006-0000-0600-000059010000}">
      <text>
        <r>
          <rPr>
            <sz val="10"/>
            <color rgb="FF000000"/>
            <rFont val="Arial"/>
            <scheme val="minor"/>
          </rPr>
          <t>Касса начало - https://i.gyazo.com/c42ba68f43b15e8d1c0cf25df768acea.png
Касса конец периода - https://i.gyazo.com/9c709dc80770c699e4849a405f91920c.png
Транзакции - https://i.gyazo.com/0a95a86ae857b2529ea56f50eab2ed14.png
3515.74 - 218.29 - 1733.9 = 1563.55</t>
        </r>
      </text>
    </comment>
    <comment ref="N1810" authorId="0" shapeId="0" xr:uid="{00000000-0006-0000-0600-00005A010000}">
      <text>
        <r>
          <rPr>
            <sz val="10"/>
            <color rgb="FF000000"/>
            <rFont val="Arial"/>
            <scheme val="minor"/>
          </rPr>
          <t>https://i.gyazo.com/2fb1c05cb83be8c9f92888f0cc2a0921.png</t>
        </r>
      </text>
    </comment>
    <comment ref="N1813" authorId="0" shapeId="0" xr:uid="{00000000-0006-0000-0600-00005B010000}">
      <text>
        <r>
          <rPr>
            <sz val="10"/>
            <color rgb="FF000000"/>
            <rFont val="Arial"/>
            <scheme val="minor"/>
          </rPr>
          <t>https://gyazo.com/e5721f5983aa54746412f80cb160478e</t>
        </r>
      </text>
    </comment>
    <comment ref="N1815" authorId="0" shapeId="0" xr:uid="{00000000-0006-0000-0600-00005C010000}">
      <text>
        <r>
          <rPr>
            <sz val="10"/>
            <color rgb="FF000000"/>
            <rFont val="Arial"/>
            <scheme val="minor"/>
          </rPr>
          <t>https://gyazo.com/a82cae762e20458383ffaca192e66932</t>
        </r>
      </text>
    </comment>
    <comment ref="N1820" authorId="0" shapeId="0" xr:uid="{00000000-0006-0000-0600-00005D010000}">
      <text>
        <r>
          <rPr>
            <sz val="10"/>
            <color rgb="FF000000"/>
            <rFont val="Arial"/>
            <scheme val="minor"/>
          </rPr>
          <t>https://gyazo.com/3fda8e3191a85e1b1b78f1601764dcd3</t>
        </r>
      </text>
    </comment>
    <comment ref="N1825" authorId="0" shapeId="0" xr:uid="{00000000-0006-0000-0600-00005E010000}">
      <text>
        <r>
          <rPr>
            <sz val="10"/>
            <color rgb="FF000000"/>
            <rFont val="Arial"/>
            <scheme val="minor"/>
          </rPr>
          <t>Касса начало - https://i.gyazo.com/8d21397b82e12f029fb0d7d2ad656d63.png
Касса конец + транзакции - https://i.gyazo.com/e0714f9874594a5d388b3247584b4336.png
2733.5 - 1767.67 + 375 - 1565.9 = -225.07</t>
        </r>
      </text>
    </comment>
    <comment ref="N1832" authorId="0" shapeId="0" xr:uid="{00000000-0006-0000-0600-00005F010000}">
      <text>
        <r>
          <rPr>
            <sz val="10"/>
            <color rgb="FF000000"/>
            <rFont val="Arial"/>
            <scheme val="minor"/>
          </rPr>
          <t>https://gyazo.com/9dba964c88777af490da32cff2d03144</t>
        </r>
      </text>
    </comment>
    <comment ref="N1834" authorId="0" shapeId="0" xr:uid="{00000000-0006-0000-0600-000060010000}">
      <text>
        <r>
          <rPr>
            <sz val="10"/>
            <color rgb="FF000000"/>
            <rFont val="Arial"/>
            <scheme val="minor"/>
          </rPr>
          <t>https://i.gyazo.com/95fe5b9ba3e05289c02a01bc37e8c496.png</t>
        </r>
      </text>
    </comment>
    <comment ref="N1838" authorId="0" shapeId="0" xr:uid="{00000000-0006-0000-0600-000061010000}">
      <text>
        <r>
          <rPr>
            <sz val="10"/>
            <color rgb="FF000000"/>
            <rFont val="Arial"/>
            <scheme val="minor"/>
          </rPr>
          <t>https://i.gyazo.com/cdf6288bef0be57b4224d0d375efc887.png</t>
        </r>
      </text>
    </comment>
    <comment ref="N1842" authorId="0" shapeId="0" xr:uid="{00000000-0006-0000-0600-000062010000}">
      <text>
        <r>
          <rPr>
            <sz val="10"/>
            <color rgb="FF000000"/>
            <rFont val="Arial"/>
            <scheme val="minor"/>
          </rPr>
          <t>https://i.gyazo.com/0ef0b164348d77bc25660326664d9a0f.png</t>
        </r>
      </text>
    </comment>
    <comment ref="N1845" authorId="0" shapeId="0" xr:uid="{00000000-0006-0000-0600-000063010000}">
      <text>
        <r>
          <rPr>
            <sz val="10"/>
            <color rgb="FF000000"/>
            <rFont val="Arial"/>
            <scheme val="minor"/>
          </rPr>
          <t>Касса начало -https://i.gyazo.com/1547e4a16a6676ebf49063885aebc8b1.png
Касса конец + транзакции - https://i.gyazo.com/5312561e1b01e6927e2e2d6af6c64554.png
6381.06 - 10609.87 + 20 - 4506.25 = -8715.06</t>
        </r>
      </text>
    </comment>
    <comment ref="N1849" authorId="0" shapeId="0" xr:uid="{00000000-0006-0000-0600-000064010000}">
      <text>
        <r>
          <rPr>
            <sz val="10"/>
            <color rgb="FF000000"/>
            <rFont val="Arial"/>
            <scheme val="minor"/>
          </rPr>
          <t>Касса начало - https://i.gyazo.com/d3373c21a891c6e49040417796d02fb9.png
Касса конец + транзакции - https://i.gyazo.com/867dbfd7ec11d51e9d892d2759873333.png
2009.1 - 2039.08 + 1000 - 847.35  = 122.67</t>
        </r>
      </text>
    </comment>
    <comment ref="N1854" authorId="0" shapeId="0" xr:uid="{00000000-0006-0000-0600-000065010000}">
      <text>
        <r>
          <rPr>
            <sz val="10"/>
            <color rgb="FF000000"/>
            <rFont val="Arial"/>
            <scheme val="minor"/>
          </rPr>
          <t>https://gyazo.com/1e80556d79c9477bbc9912744ec588ae</t>
        </r>
      </text>
    </comment>
    <comment ref="N1858" authorId="0" shapeId="0" xr:uid="{00000000-0006-0000-0600-000066010000}">
      <text>
        <r>
          <rPr>
            <sz val="10"/>
            <color rgb="FF000000"/>
            <rFont val="Arial"/>
            <scheme val="minor"/>
          </rPr>
          <t>https://i.gyazo.com/072bfc62f2eae346c31783cd09dc1f1e.png</t>
        </r>
      </text>
    </comment>
    <comment ref="N1863" authorId="0" shapeId="0" xr:uid="{00000000-0006-0000-0600-000067010000}">
      <text>
        <r>
          <rPr>
            <sz val="10"/>
            <color rgb="FF000000"/>
            <rFont val="Arial"/>
            <scheme val="minor"/>
          </rPr>
          <t>https://gyazo.com/e9f07d6dd125c5e5b883f8e5d4811986</t>
        </r>
      </text>
    </comment>
    <comment ref="N1871" authorId="0" shapeId="0" xr:uid="{00000000-0006-0000-0600-000068010000}">
      <text>
        <r>
          <rPr>
            <sz val="10"/>
            <color rgb="FF000000"/>
            <rFont val="Arial"/>
            <scheme val="minor"/>
          </rPr>
          <t>https://i.gyazo.com/317ff1468f8ae678559bf6896d736f4d.png
50eu tickets x 2
10eu tickets x 67
25eu tickets x 28</t>
        </r>
      </text>
    </comment>
    <comment ref="N1876" authorId="0" shapeId="0" xr:uid="{00000000-0006-0000-0600-000069010000}">
      <text>
        <r>
          <rPr>
            <sz val="10"/>
            <color rgb="FF000000"/>
            <rFont val="Arial"/>
            <scheme val="minor"/>
          </rPr>
          <t>https://gyazo.com/47c0c61bf83f23324142d95d186fc8db</t>
        </r>
      </text>
    </comment>
    <comment ref="N1878" authorId="0" shapeId="0" xr:uid="{00000000-0006-0000-0600-00006A010000}">
      <text>
        <r>
          <rPr>
            <sz val="10"/>
            <color rgb="FF000000"/>
            <rFont val="Arial"/>
            <scheme val="minor"/>
          </rPr>
          <t>https://gyazo.com/a88f46321f0d89aaa96ff109a7d3fafc</t>
        </r>
      </text>
    </comment>
    <comment ref="N1880" authorId="0" shapeId="0" xr:uid="{00000000-0006-0000-0600-00006B010000}">
      <text>
        <r>
          <rPr>
            <sz val="10"/>
            <color rgb="FF000000"/>
            <rFont val="Arial"/>
            <scheme val="minor"/>
          </rPr>
          <t>https://gyazo.com/253d24402cfe11de983c39c0f364b6fb</t>
        </r>
      </text>
    </comment>
    <comment ref="N1884" authorId="0" shapeId="0" xr:uid="{00000000-0006-0000-0600-00006C010000}">
      <text>
        <r>
          <rPr>
            <sz val="10"/>
            <color rgb="FF000000"/>
            <rFont val="Arial"/>
            <scheme val="minor"/>
          </rPr>
          <t>https://gyazo.com/cc6eafd1d284de713c6fe41853bbd40d</t>
        </r>
      </text>
    </comment>
    <comment ref="N1890" authorId="0" shapeId="0" xr:uid="{00000000-0006-0000-0600-00006D010000}">
      <text>
        <r>
          <rPr>
            <sz val="10"/>
            <color rgb="FF000000"/>
            <rFont val="Arial"/>
            <scheme val="minor"/>
          </rPr>
          <t>https://gyazo.com/0e039aec5b10489e141eb8a081eafdce</t>
        </r>
      </text>
    </comment>
    <comment ref="N1896" authorId="0" shapeId="0" xr:uid="{00000000-0006-0000-0600-00006E010000}">
      <text>
        <r>
          <rPr>
            <sz val="10"/>
            <color rgb="FF000000"/>
            <rFont val="Arial"/>
            <scheme val="minor"/>
          </rPr>
          <t>Reward (FishBuffet and Challenge): 45892.95
Tickets (Leaderboard): 5200</t>
        </r>
      </text>
    </comment>
    <comment ref="N1898" authorId="0" shapeId="0" xr:uid="{00000000-0006-0000-0600-00006F010000}">
      <text>
        <r>
          <rPr>
            <sz val="10"/>
            <color rgb="FF000000"/>
            <rFont val="Arial"/>
            <scheme val="minor"/>
          </rPr>
          <t>https://gyazo.com/b346a0fbcb21c24649ba7a54be4cc06a</t>
        </r>
      </text>
    </comment>
    <comment ref="N1903" authorId="0" shapeId="0" xr:uid="{00000000-0006-0000-0600-000070010000}">
      <text>
        <r>
          <rPr>
            <sz val="10"/>
            <color rgb="FF000000"/>
            <rFont val="Arial"/>
            <scheme val="minor"/>
          </rPr>
          <t>https://i.gyazo.com/c1be54ff81a34ffc702d9919fca8d3fd.png</t>
        </r>
      </text>
    </comment>
    <comment ref="N1906" authorId="0" shapeId="0" xr:uid="{00000000-0006-0000-0600-000071010000}">
      <text>
        <r>
          <rPr>
            <sz val="10"/>
            <color rgb="FF000000"/>
            <rFont val="Arial"/>
            <scheme val="minor"/>
          </rPr>
          <t>10193+960+1000</t>
        </r>
      </text>
    </comment>
    <comment ref="N1908" authorId="0" shapeId="0" xr:uid="{00000000-0006-0000-0600-000072010000}">
      <text>
        <r>
          <rPr>
            <sz val="10"/>
            <color rgb="FF000000"/>
            <rFont val="Arial"/>
            <scheme val="minor"/>
          </rPr>
          <t>https://gyazo.com/2c8bd1dcec739502ee894fa80bbf2a36</t>
        </r>
      </text>
    </comment>
    <comment ref="N1916" authorId="0" shapeId="0" xr:uid="{00000000-0006-0000-0600-000073010000}">
      <text>
        <r>
          <rPr>
            <sz val="10"/>
            <color rgb="FF000000"/>
            <rFont val="Arial"/>
            <scheme val="minor"/>
          </rPr>
          <t>1842+326</t>
        </r>
      </text>
    </comment>
    <comment ref="N1918" authorId="0" shapeId="0" xr:uid="{00000000-0006-0000-0600-000074010000}">
      <text>
        <r>
          <rPr>
            <sz val="10"/>
            <color rgb="FF000000"/>
            <rFont val="Arial"/>
            <scheme val="minor"/>
          </rPr>
          <t>https://gyazo.com/d40237ab31478b7c692de738692692b0</t>
        </r>
      </text>
    </comment>
    <comment ref="N1923" authorId="0" shapeId="0" xr:uid="{00000000-0006-0000-0600-000075010000}">
      <text>
        <r>
          <rPr>
            <sz val="10"/>
            <color rgb="FF000000"/>
            <rFont val="Arial"/>
            <scheme val="minor"/>
          </rPr>
          <t>https://gyazo.com/8ce21636718b7fd811839e9b17aad147</t>
        </r>
      </text>
    </comment>
    <comment ref="N1928" authorId="0" shapeId="0" xr:uid="{00000000-0006-0000-0600-000076010000}">
      <text>
        <r>
          <rPr>
            <sz val="10"/>
            <color rgb="FF000000"/>
            <rFont val="Arial"/>
            <scheme val="minor"/>
          </rPr>
          <t>https://gyazo.com/71213adfcc0819a5fb26228f9da7b3dc</t>
        </r>
      </text>
    </comment>
    <comment ref="N1929" authorId="0" shapeId="0" xr:uid="{00000000-0006-0000-0600-000077010000}">
      <text>
        <r>
          <rPr>
            <sz val="10"/>
            <color rgb="FF000000"/>
            <rFont val="Arial"/>
            <scheme val="minor"/>
          </rPr>
          <t>Касса начало - https://i.gyazo.com/9c709dc80770c699e4849a405f91920c.png
Касса конец - https://i.gyazo.com/c1c039894222b633710362e12e744f41.png
4362.47 - 3515.74 - 3348.45 = -2501.72</t>
        </r>
      </text>
    </comment>
    <comment ref="N1932" authorId="0" shapeId="0" xr:uid="{00000000-0006-0000-0600-000078010000}">
      <text>
        <r>
          <rPr>
            <sz val="10"/>
            <color rgb="FF000000"/>
            <rFont val="Arial"/>
            <scheme val="minor"/>
          </rPr>
          <t>https://gyazo.com/50720844a9b7a98bbc4ca09540ab6e1e</t>
        </r>
      </text>
    </comment>
    <comment ref="N1939" authorId="0" shapeId="0" xr:uid="{00000000-0006-0000-0600-000079010000}">
      <text>
        <r>
          <rPr>
            <sz val="10"/>
            <color rgb="FF000000"/>
            <rFont val="Arial"/>
            <scheme val="minor"/>
          </rPr>
          <t>https://gyazo.com/e20bfdac6d3aa01e396a54d7afadd014</t>
        </r>
      </text>
    </comment>
    <comment ref="N1941" authorId="0" shapeId="0" xr:uid="{00000000-0006-0000-0600-00007A010000}">
      <text>
        <r>
          <rPr>
            <sz val="10"/>
            <color rgb="FF000000"/>
            <rFont val="Arial"/>
            <scheme val="minor"/>
          </rPr>
          <t>РБ в октябре 47% 
https://i.gyazo.com/3220a213a985e111617f602135cb34d3.png
https://i.gyazo.com/fc0b6d990c3e032f9de9bc18e49c979c.png</t>
        </r>
      </text>
    </comment>
    <comment ref="N1944" authorId="0" shapeId="0" xr:uid="{00000000-0006-0000-0600-00007B010000}">
      <text>
        <r>
          <rPr>
            <sz val="10"/>
            <color rgb="FF000000"/>
            <rFont val="Arial"/>
            <scheme val="minor"/>
          </rPr>
          <t>https://i.gyazo.com/e0714f9874594a5d388b3247584b4336.png
Касса конец + транзакции - https://i.gyazo.com/bd03786083df6794c81cc13aae264587.png
752.19 - 2733.5 + 780 - 1428 = -2629.31</t>
        </r>
      </text>
    </comment>
    <comment ref="N1957" authorId="0" shapeId="0" xr:uid="{00000000-0006-0000-0600-00007C010000}">
      <text>
        <r>
          <rPr>
            <sz val="10"/>
            <color rgb="FF000000"/>
            <rFont val="Arial"/>
            <scheme val="minor"/>
          </rPr>
          <t>https://i.gyazo.com/be4125ff7dd1288f9c9edb09cc55ea19.png
https://i.gyazo.com/fdc58dfde4aac64fa24d45f76f6f879d.png</t>
        </r>
      </text>
    </comment>
    <comment ref="N1960" authorId="0" shapeId="0" xr:uid="{00000000-0006-0000-0600-00007D010000}">
      <text>
        <r>
          <rPr>
            <sz val="10"/>
            <color rgb="FF000000"/>
            <rFont val="Arial"/>
            <scheme val="minor"/>
          </rPr>
          <t>40859+4500</t>
        </r>
      </text>
    </comment>
    <comment ref="N1962" authorId="0" shapeId="0" xr:uid="{00000000-0006-0000-0600-00007E010000}">
      <text>
        <r>
          <rPr>
            <sz val="10"/>
            <color rgb="FF000000"/>
            <rFont val="Arial"/>
            <scheme val="minor"/>
          </rPr>
          <t>https://i.gyazo.com/3d6956848e2a19ea244498bd05914c89.png</t>
        </r>
      </text>
    </comment>
    <comment ref="N1966" authorId="0" shapeId="0" xr:uid="{00000000-0006-0000-0600-00007F010000}">
      <text>
        <r>
          <rPr>
            <sz val="10"/>
            <color rgb="FF000000"/>
            <rFont val="Arial"/>
            <scheme val="minor"/>
          </rPr>
          <t>https://i.gyazo.com/c8fa337882ff7e815df7d97befe5d142.png
https://i.gyazo.com/80159ad02b0f2353342ed26fd2f165ab.png
Prime cash 1000/100/5 за 01.10 и 
expresso challenge prize(25eu x 3) за 05.10 -07.10 учтены в прошлом периоде</t>
        </r>
      </text>
    </comment>
    <comment ref="N1971" authorId="0" shapeId="0" xr:uid="{00000000-0006-0000-0600-000080010000}">
      <text>
        <r>
          <rPr>
            <sz val="10"/>
            <color rgb="FF000000"/>
            <rFont val="Arial"/>
            <scheme val="minor"/>
          </rPr>
          <t>https://gyazo.com/72fbbd365d757cd0c80543d021f1553a</t>
        </r>
      </text>
    </comment>
    <comment ref="N1972" authorId="0" shapeId="0" xr:uid="{00000000-0006-0000-0600-000081010000}">
      <text>
        <r>
          <rPr>
            <sz val="10"/>
            <color rgb="FF000000"/>
            <rFont val="Arial"/>
            <scheme val="minor"/>
          </rPr>
          <t>Касса начало - https://i.gyazo.com/5312561e1b01e6927e2e2d6af6c64554.png
Касса конец + транзакции - https://i.gyazo.com/395c5c36a5f3a41ea77eb0ec86b28836.png
5224.21 - 6381.06 + 70 - 1500.45 = -2587.3</t>
        </r>
      </text>
    </comment>
    <comment ref="N1976" authorId="0" shapeId="0" xr:uid="{00000000-0006-0000-0600-000082010000}">
      <text>
        <r>
          <rPr>
            <sz val="10"/>
            <color rgb="FF000000"/>
            <rFont val="Arial"/>
            <scheme val="minor"/>
          </rPr>
          <t>6799+1300</t>
        </r>
      </text>
    </comment>
    <comment ref="N1977" authorId="0" shapeId="0" xr:uid="{00000000-0006-0000-0600-000083010000}">
      <text>
        <r>
          <rPr>
            <sz val="10"/>
            <color rgb="FF000000"/>
            <rFont val="Arial"/>
            <scheme val="minor"/>
          </rPr>
          <t>Касса начало - https://i.gyazo.com/867dbfd7ec11d51e9d892d2759873333.png
Касса конец + транзакции 
https://i.gyazo.com/3979aa7ab2ff75a96cfafbad1caadb6d.png
1755.46 - 2009.1 + 2000 - 1623.3 = 123.06</t>
        </r>
      </text>
    </comment>
    <comment ref="N1987" authorId="0" shapeId="0" xr:uid="{00000000-0006-0000-0600-000084010000}">
      <text>
        <r>
          <rPr>
            <sz val="10"/>
            <color rgb="FF000000"/>
            <rFont val="Arial"/>
            <scheme val="minor"/>
          </rPr>
          <t>https://i.gyazo.com/4b2cd2dc09c9e60a95b2033971149fb2.png</t>
        </r>
      </text>
    </comment>
    <comment ref="N1990" authorId="0" shapeId="0" xr:uid="{00000000-0006-0000-0600-000085010000}">
      <text>
        <r>
          <rPr>
            <sz val="10"/>
            <color rgb="FF000000"/>
            <rFont val="Arial"/>
            <scheme val="minor"/>
          </rPr>
          <t>https://gyazo.com/c863a6de6a90e84a98a14cb8d6722201</t>
        </r>
      </text>
    </comment>
    <comment ref="N1991" authorId="0" shapeId="0" xr:uid="{00000000-0006-0000-0600-000086010000}">
      <text>
        <r>
          <rPr>
            <sz val="10"/>
            <color rgb="FF000000"/>
            <rFont val="Arial"/>
            <scheme val="minor"/>
          </rPr>
          <t>https://i.gyazo.com/078b2a57be9a79daf9d75e4cd840b92b.png</t>
        </r>
      </text>
    </comment>
    <comment ref="J1997" authorId="0" shapeId="0" xr:uid="{00000000-0006-0000-0600-000087010000}">
      <text>
        <r>
          <rPr>
            <sz val="10"/>
            <color rgb="FF000000"/>
            <rFont val="Arial"/>
            <scheme val="minor"/>
          </rPr>
          <t>https://gyazo.com/d9d56f0571eddfdf913a76ef9a0e442c</t>
        </r>
      </text>
    </comment>
    <comment ref="M1999" authorId="0" shapeId="0" xr:uid="{00000000-0006-0000-0600-000088010000}">
      <text>
        <r>
          <rPr>
            <sz val="10"/>
            <color rgb="FF000000"/>
            <rFont val="Arial"/>
            <scheme val="minor"/>
          </rPr>
          <t>скрин кассы он присылал https://cdn.discordapp.com/attachments/967009057510682677/1039116879740014612/image.png
И еще рб который не видно в кассе, но он обменял сегодня после того как снял скрин кассы
https://cdn.discordapp.com/attachments/967009057510682677/1039117016725983262/image.png
До этого остаток в кассе был 5224 и никаких новых переводов не было.
 20823 + 211 - 5224 = 15810 профит в первые 6 дней ноября</t>
        </r>
      </text>
    </comment>
    <comment ref="N2000" authorId="0" shapeId="0" xr:uid="{00000000-0006-0000-0600-000089010000}">
      <text>
        <r>
          <rPr>
            <sz val="10"/>
            <color rgb="FF000000"/>
            <rFont val="Arial"/>
            <scheme val="minor"/>
          </rPr>
          <t>https://i.gyazo.com/b852386584e8708d5e8c074ff0dc9609.png
https://i.gyazo.com/fcc60145bb2864ac2a53ccb92f48542b.png</t>
        </r>
      </text>
    </comment>
    <comment ref="N2013" authorId="0" shapeId="0" xr:uid="{00000000-0006-0000-0600-00008A010000}">
      <text>
        <r>
          <rPr>
            <sz val="10"/>
            <color rgb="FF000000"/>
            <rFont val="Arial"/>
            <scheme val="minor"/>
          </rPr>
          <t>https://gyazo.com/ea5ed606e8869364b4315b8121a0841c</t>
        </r>
      </text>
    </comment>
    <comment ref="N2016" authorId="0" shapeId="0" xr:uid="{00000000-0006-0000-0600-00008B010000}">
      <text>
        <r>
          <rPr>
            <sz val="10"/>
            <color rgb="FF000000"/>
            <rFont val="Arial"/>
            <scheme val="minor"/>
          </rPr>
          <t>https://gyazo.com/b6adab1eee5df6b89a6217b6ac9ff27b</t>
        </r>
      </text>
    </comment>
    <comment ref="N2018" authorId="0" shapeId="0" xr:uid="{00000000-0006-0000-0600-00008C010000}">
      <text>
        <r>
          <rPr>
            <sz val="10"/>
            <color rgb="FF000000"/>
            <rFont val="Arial"/>
            <scheme val="minor"/>
          </rPr>
          <t>https://i.gyazo.com/f910af027cb4882686bbc140b05880eb.png
https://i.gyazo.com/10d4ba99d14c030a672d7bdf21b2cfdd.png
https://i.gyazo.com/7a45ef7679077b9a31b4de3fb881d51f.png
25eu tickets x 8 
10eu tickets x 63
* 60eu freebet не отмыт, не учтен</t>
        </r>
      </text>
    </comment>
    <comment ref="N2021" authorId="0" shapeId="0" xr:uid="{00000000-0006-0000-0600-00008D010000}">
      <text>
        <r>
          <rPr>
            <sz val="10"/>
            <color rgb="FF000000"/>
            <rFont val="Arial"/>
            <scheme val="minor"/>
          </rPr>
          <t>+4 fish buffet from 21/11 https://gyazo.com/aa8ee14d537d38d699c5d5ac8b1f04a4</t>
        </r>
      </text>
    </comment>
    <comment ref="N2024" authorId="0" shapeId="0" xr:uid="{00000000-0006-0000-0600-00008E010000}">
      <text>
        <r>
          <rPr>
            <sz val="10"/>
            <color rgb="FF000000"/>
            <rFont val="Arial"/>
            <scheme val="minor"/>
          </rPr>
          <t>https://gyazo.com/a8e806625eeb9dc7f355c87be951d469</t>
        </r>
      </text>
    </comment>
    <comment ref="N2027" authorId="0" shapeId="0" xr:uid="{00000000-0006-0000-0600-00008F010000}">
      <text>
        <r>
          <rPr>
            <sz val="10"/>
            <color rgb="FF000000"/>
            <rFont val="Arial"/>
            <scheme val="minor"/>
          </rPr>
          <t>https://i.gyazo.com/b742b47027aeb11658ce490d84cdaa97.png
https://i.gyazo.com/1785f073a2fcbed5ec9bad2b89694cd4.png</t>
        </r>
      </text>
    </comment>
    <comment ref="N2038" authorId="0" shapeId="0" xr:uid="{00000000-0006-0000-0600-000090010000}">
      <text>
        <r>
          <rPr>
            <sz val="10"/>
            <color rgb="FF000000"/>
            <rFont val="Arial"/>
            <scheme val="minor"/>
          </rPr>
          <t>https://gyazo.com/f62abd3fdc391abc0ce875888aa79462</t>
        </r>
      </text>
    </comment>
    <comment ref="N2040" authorId="0" shapeId="0" xr:uid="{00000000-0006-0000-0600-000091010000}">
      <text>
        <r>
          <rPr>
            <sz val="10"/>
            <color rgb="FF000000"/>
            <rFont val="Arial"/>
            <scheme val="minor"/>
          </rPr>
          <t>https://i.gyazo.com/bdaad541dbb05bb47a5c53a2808e29b9.png
* freebets gangant en cash за 20.11 не учтен</t>
        </r>
      </text>
    </comment>
    <comment ref="J2049" authorId="0" shapeId="0" xr:uid="{00000000-0006-0000-0600-000092010000}">
      <text>
        <r>
          <rPr>
            <sz val="10"/>
            <color rgb="FF000000"/>
            <rFont val="Arial"/>
            <scheme val="minor"/>
          </rPr>
          <t>https://gyazo.com/d9d56f0571eddfdf913a76ef9a0e442c</t>
        </r>
      </text>
    </comment>
    <comment ref="H2053" authorId="0" shapeId="0" xr:uid="{00000000-0006-0000-0600-000093010000}">
      <text>
        <r>
          <rPr>
            <sz val="10"/>
            <color rgb="FF000000"/>
            <rFont val="Arial"/>
            <scheme val="minor"/>
          </rPr>
          <t>wx new</t>
        </r>
      </text>
    </comment>
    <comment ref="N2053" authorId="0" shapeId="0" xr:uid="{00000000-0006-0000-0600-000094010000}">
      <text>
        <r>
          <rPr>
            <sz val="10"/>
            <color rgb="FF000000"/>
            <rFont val="Arial"/>
            <scheme val="minor"/>
          </rPr>
          <t>https://i.gyazo.com/43603358f66e2021de88e9334381a16c.png
*10eu freebet не отмыт, не учтен</t>
        </r>
      </text>
    </comment>
    <comment ref="N2055" authorId="0" shapeId="0" xr:uid="{00000000-0006-0000-0600-000095010000}">
      <text>
        <r>
          <rPr>
            <sz val="10"/>
            <color rgb="FF000000"/>
            <rFont val="Arial"/>
            <scheme val="minor"/>
          </rPr>
          <t>https://gyazo.com/3c61ee2b1c81af1113efc81691017775</t>
        </r>
      </text>
    </comment>
    <comment ref="N2057" authorId="0" shapeId="0" xr:uid="{00000000-0006-0000-0600-000096010000}">
      <text>
        <r>
          <rPr>
            <sz val="10"/>
            <color rgb="FF000000"/>
            <rFont val="Arial"/>
            <scheme val="minor"/>
          </rPr>
          <t>tickets 21-21
200+200+50+4*200+6*100+20*100</t>
        </r>
      </text>
    </comment>
    <comment ref="N2060" authorId="0" shapeId="0" xr:uid="{00000000-0006-0000-0600-000097010000}">
      <text>
        <r>
          <rPr>
            <sz val="10"/>
            <color rgb="FF000000"/>
            <rFont val="Arial"/>
            <scheme val="minor"/>
          </rPr>
          <t>https://gyazo.com/65d569d9a0c5a50cdf336d16c628a7fb</t>
        </r>
      </text>
    </comment>
    <comment ref="N2068" authorId="0" shapeId="0" xr:uid="{00000000-0006-0000-0600-000098010000}">
      <text>
        <r>
          <rPr>
            <sz val="10"/>
            <color rgb="FF000000"/>
            <rFont val="Arial"/>
            <scheme val="minor"/>
          </rPr>
          <t>вошли 5 выплат Фиш Баффет от 21/11 https://cdn.discordapp.com/attachments/747398207176310784/1044537761979433021/2.png</t>
        </r>
      </text>
    </comment>
    <comment ref="N2070" authorId="0" shapeId="0" xr:uid="{00000000-0006-0000-0600-000099010000}">
      <text>
        <r>
          <rPr>
            <sz val="10"/>
            <color rgb="FF000000"/>
            <rFont val="Arial"/>
            <scheme val="minor"/>
          </rPr>
          <t>https://gyazo.com/13d4ae70226e65cf16290eb3eb41d125</t>
        </r>
      </text>
    </comment>
    <comment ref="N2073" authorId="0" shapeId="0" xr:uid="{00000000-0006-0000-0600-00009A010000}">
      <text>
        <r>
          <rPr>
            <sz val="10"/>
            <color rgb="FF000000"/>
            <rFont val="Arial"/>
            <scheme val="minor"/>
          </rPr>
          <t>https://gyazo.com/cd71a9932665c952493257f10a79fc3b</t>
        </r>
      </text>
    </comment>
    <comment ref="N2077" authorId="0" shapeId="0" xr:uid="{00000000-0006-0000-0600-00009B010000}">
      <text>
        <r>
          <rPr>
            <sz val="10"/>
            <color rgb="FF000000"/>
            <rFont val="Arial"/>
            <scheme val="minor"/>
          </rPr>
          <t>https://gyazo.com/5a7c2a5be0a0e3052d6def1e8bf3897b</t>
        </r>
      </text>
    </comment>
    <comment ref="N2079" authorId="0" shapeId="0" xr:uid="{00000000-0006-0000-0600-00009C010000}">
      <text>
        <r>
          <rPr>
            <sz val="10"/>
            <color rgb="FF000000"/>
            <rFont val="Arial"/>
            <scheme val="minor"/>
          </rPr>
          <t>https://gyazo.com/f63826d7cf53deb3cb0dd14dda565c33</t>
        </r>
      </text>
    </comment>
    <comment ref="N2085" authorId="0" shapeId="0" xr:uid="{00000000-0006-0000-0600-00009D010000}">
      <text>
        <r>
          <rPr>
            <sz val="10"/>
            <color rgb="FF000000"/>
            <rFont val="Arial"/>
            <scheme val="minor"/>
          </rPr>
          <t>Касса начало - https://i.gyazo.com/c1c039894222b633710362e12e744f41.png
Касса конец - https://i.gyazo.com/031d8a4ff13d78a07f86308a0fd7cbf7.png
4038 - 4362.47 + 1941 - (1443) - (653.74) -  380.1 = -860.31
Ставки - https://i.gyazo.com/184e08a97aa70628320fea6c820e0ff0.png
https://i.gyazo.com/420baf37c64cecafa54d5e0f8f99e1a6.png
МТТ акционные билеты - 
https://i.gyazo.com/a7370f114d391b23c8862c1aae427390.png
https://i.gyazo.com/c8c7cddcb30d38fd404d350dd6e44087.png</t>
        </r>
      </text>
    </comment>
    <comment ref="N2090" authorId="0" shapeId="0" xr:uid="{00000000-0006-0000-0600-00009E010000}">
      <text>
        <r>
          <rPr>
            <sz val="10"/>
            <color rgb="FF000000"/>
            <rFont val="Arial"/>
            <scheme val="minor"/>
          </rPr>
          <t>https://cdn.discordapp.com/attachments/685879670473883706/1043178012662829126/Screenshot_20221118-115500.png
даймонд клуб
рум выплачивал, когда 100 тыс рейка набиваешь
я успел набить 65860 рейка к моменту их ухода</t>
        </r>
      </text>
    </comment>
    <comment ref="N2097" authorId="0" shapeId="0" xr:uid="{00000000-0006-0000-0600-00009F010000}">
      <text>
        <r>
          <rPr>
            <sz val="10"/>
            <color rgb="FF000000"/>
            <rFont val="Arial"/>
            <scheme val="minor"/>
          </rPr>
          <t>https://gyazo.com/ce5f925c591355d5fcb488399e2200b8</t>
        </r>
      </text>
    </comment>
    <comment ref="N2099" authorId="0" shapeId="0" xr:uid="{00000000-0006-0000-0600-0000A0010000}">
      <text>
        <r>
          <rPr>
            <sz val="10"/>
            <color rgb="FF000000"/>
            <rFont val="Arial"/>
            <scheme val="minor"/>
          </rPr>
          <t>https://gyazo.com/a60d8db3e3a31a3f81c015eca4b2c4f4</t>
        </r>
      </text>
    </comment>
    <comment ref="N2103" authorId="0" shapeId="0" xr:uid="{00000000-0006-0000-0600-0000A1010000}">
      <text>
        <r>
          <rPr>
            <sz val="10"/>
            <color rgb="FF000000"/>
            <rFont val="Arial"/>
            <scheme val="minor"/>
          </rPr>
          <t>https://i.gyazo.com/b818fc5dc1eeead48ac9eee0d168a845.png
https://i.gyazo.com/1f02592e007d8be26f1fb5247e59d609.png
https://i.gyazo.com/fee44e9f8fa727b2c22d493d043c2d9d.png</t>
        </r>
      </text>
    </comment>
    <comment ref="L2106" authorId="0" shapeId="0" xr:uid="{00000000-0006-0000-0600-0000A2010000}">
      <text>
        <r>
          <rPr>
            <sz val="10"/>
            <color rgb="FF000000"/>
            <rFont val="Arial"/>
            <scheme val="minor"/>
          </rPr>
          <t>в трекере некорректный чипЕВ 244</t>
        </r>
      </text>
    </comment>
    <comment ref="M2106" authorId="0" shapeId="0" xr:uid="{00000000-0006-0000-0600-0000A3010000}">
      <text>
        <r>
          <rPr>
            <sz val="10"/>
            <color rgb="FF000000"/>
            <rFont val="Arial"/>
            <scheme val="minor"/>
          </rPr>
          <t>Список турниров
https://i.gyazo.com/8495605dc98307315ce07e3a5cb1f0eb.png</t>
        </r>
      </text>
    </comment>
    <comment ref="N2106" authorId="0" shapeId="0" xr:uid="{00000000-0006-0000-0600-0000A4010000}">
      <text>
        <r>
          <rPr>
            <sz val="10"/>
            <color rgb="FF000000"/>
            <rFont val="Arial"/>
            <scheme val="minor"/>
          </rPr>
          <t>Касса начало периода - https://i.gyazo.com/bd03786083df6794c81cc13aae264587.png
Касса конец периода - https://i.gyazo.com/a22b77db786070e5fc38c1f8c1f2e8db.png
1268.89 - 752.19 + 410 - (310) - 464.8 = 151.9
*310 это профит с акционного билета МТТ</t>
        </r>
      </text>
    </comment>
    <comment ref="N2115" authorId="0" shapeId="0" xr:uid="{00000000-0006-0000-0600-0000A5010000}">
      <text>
        <r>
          <rPr>
            <sz val="10"/>
            <color rgb="FF000000"/>
            <rFont val="Arial"/>
            <scheme val="minor"/>
          </rPr>
          <t>52206+5500
+3940 compencation pokerOK</t>
        </r>
      </text>
    </comment>
    <comment ref="N2116" authorId="0" shapeId="0" xr:uid="{00000000-0006-0000-0600-0000A6010000}">
      <text>
        <r>
          <rPr>
            <sz val="10"/>
            <color rgb="FF000000"/>
            <rFont val="Arial"/>
            <scheme val="minor"/>
          </rPr>
          <t>скрин с покерка  https://docs.google.com/document/d/1ilC7WM2TOvtoe5X7XU0vEY5iwLbb2Wrp3rApGPSTYWE/edit?usp=sharing</t>
        </r>
      </text>
    </comment>
    <comment ref="N2117" authorId="0" shapeId="0" xr:uid="{00000000-0006-0000-0600-0000A7010000}">
      <text>
        <r>
          <rPr>
            <sz val="10"/>
            <color rgb="FF000000"/>
            <rFont val="Arial"/>
            <scheme val="minor"/>
          </rPr>
          <t>https://i.gyazo.com/35270ad27875059e411886c450c4adc5.png
https://i.gyazo.com/12bf7f0d2f1215e9ed1ad7092357ea99.png
https://i.gyazo.com/8f21d312fcbc50c924b944cddf6cca85.png</t>
        </r>
      </text>
    </comment>
    <comment ref="N2121" authorId="0" shapeId="0" xr:uid="{00000000-0006-0000-0600-0000A8010000}">
      <text>
        <r>
          <rPr>
            <sz val="10"/>
            <color rgb="FF000000"/>
            <rFont val="Arial"/>
            <scheme val="minor"/>
          </rPr>
          <t>https://gyazo.com/9c87031d9068412a69ee942339dbc6b3</t>
        </r>
      </text>
    </comment>
    <comment ref="N2126" authorId="0" shapeId="0" xr:uid="{00000000-0006-0000-0600-0000A9010000}">
      <text>
        <r>
          <rPr>
            <sz val="10"/>
            <color rgb="FF000000"/>
            <rFont val="Arial"/>
            <scheme val="minor"/>
          </rPr>
          <t>Касса начало - https://i.gyazo.com/342968f1e8c498af12b88096d1f24c95.png
Касса конец - https://i.gyazo.com/2f7e1bf0ef98c941c71ab2ff92bf01da.png
6776.09 - 20823.72 + 15761.6 - 1179.32 =  534.65</t>
        </r>
      </text>
    </comment>
    <comment ref="N2131" authorId="0" shapeId="0" xr:uid="{00000000-0006-0000-0600-0000AA010000}">
      <text>
        <r>
          <rPr>
            <sz val="10"/>
            <color rgb="FF000000"/>
            <rFont val="Arial"/>
            <scheme val="minor"/>
          </rPr>
          <t>=5725+ tickets 1240</t>
        </r>
      </text>
    </comment>
    <comment ref="N2132" authorId="0" shapeId="0" xr:uid="{00000000-0006-0000-0600-0000AB010000}">
      <text>
        <r>
          <rPr>
            <sz val="10"/>
            <color rgb="FF000000"/>
            <rFont val="Arial"/>
            <scheme val="minor"/>
          </rPr>
          <t>Касса начало - https://i.gyazo.com/3979aa7ab2ff75a96cfafbad1caadb6d.png
Касса конец - https://i.gyazo.com/e426cbdefcbf54c197cb94b7c27b13b0.png
1730.48 - 1755.46 + 2600 - 504.35 = 2070.67</t>
        </r>
      </text>
    </comment>
    <comment ref="N2135" authorId="0" shapeId="0" xr:uid="{00000000-0006-0000-0600-0000AC010000}">
      <text>
        <r>
          <rPr>
            <sz val="10"/>
            <color rgb="FF000000"/>
            <rFont val="Arial"/>
            <scheme val="minor"/>
          </rPr>
          <t>https://gyazo.com/0cb44bd7f7bb22ae8b353d30e5781482</t>
        </r>
      </text>
    </comment>
    <comment ref="N2139" authorId="0" shapeId="0" xr:uid="{00000000-0006-0000-0600-0000AD010000}">
      <text>
        <r>
          <rPr>
            <sz val="10"/>
            <color rgb="FF000000"/>
            <rFont val="Arial"/>
            <scheme val="minor"/>
          </rPr>
          <t>https://gyazo.com/6b9cd86135e577bad3ae6ee6567d845a</t>
        </r>
      </text>
    </comment>
    <comment ref="N2143" authorId="0" shapeId="0" xr:uid="{00000000-0006-0000-0600-0000AE010000}">
      <text>
        <r>
          <rPr>
            <sz val="10"/>
            <color rgb="FF000000"/>
            <rFont val="Arial"/>
            <scheme val="minor"/>
          </rPr>
          <t>https://i.gyazo.com/313a0663e8d4198fb149a8213c8ad225.png</t>
        </r>
      </text>
    </comment>
    <comment ref="N2144" authorId="0" shapeId="0" xr:uid="{00000000-0006-0000-0600-0000AF010000}">
      <text>
        <r>
          <rPr>
            <sz val="10"/>
            <color rgb="FF000000"/>
            <rFont val="Arial"/>
            <scheme val="minor"/>
          </rPr>
          <t>https://gyazo.com/df2950b2940ddb0f278aa76740daa5b6</t>
        </r>
      </text>
    </comment>
    <comment ref="N2149" authorId="0" shapeId="0" xr:uid="{00000000-0006-0000-0600-0000B0010000}">
      <text>
        <r>
          <rPr>
            <sz val="10"/>
            <color rgb="FF000000"/>
            <rFont val="Arial"/>
            <scheme val="minor"/>
          </rPr>
          <t>https://i.gyazo.com/8ddb1bd5f0f26413c6f57140ba3fe62b.png
https://i.gyazo.com/287bc4e70302320cc8546e5b8ebb34f8.png</t>
        </r>
      </text>
    </comment>
    <comment ref="N2151" authorId="0" shapeId="0" xr:uid="{00000000-0006-0000-0600-0000B1010000}">
      <text>
        <r>
          <rPr>
            <sz val="10"/>
            <color rgb="FF000000"/>
            <rFont val="Arial"/>
            <scheme val="minor"/>
          </rPr>
          <t>https://gyazo.com/2cc762c622dbf1b02540753eba02989f</t>
        </r>
      </text>
    </comment>
    <comment ref="N2160" authorId="0" shapeId="0" xr:uid="{00000000-0006-0000-0600-0000B2010000}">
      <text>
        <r>
          <rPr>
            <sz val="10"/>
            <color rgb="FF000000"/>
            <rFont val="Arial"/>
            <scheme val="minor"/>
          </rPr>
          <t>https://gyazo.com/9d60eb3d29276e4dc501bdddec7166d7</t>
        </r>
      </text>
    </comment>
    <comment ref="N2164" authorId="0" shapeId="0" xr:uid="{00000000-0006-0000-0600-0000B3010000}">
      <text>
        <r>
          <rPr>
            <sz val="10"/>
            <color rgb="FF000000"/>
            <rFont val="Arial"/>
            <scheme val="minor"/>
          </rPr>
          <t>https://gyazo.com/fffa79245670aaa0f279a6c346e8a421</t>
        </r>
      </text>
    </comment>
    <comment ref="N2166" authorId="0" shapeId="0" xr:uid="{00000000-0006-0000-0600-0000B4010000}">
      <text>
        <r>
          <rPr>
            <sz val="10"/>
            <color rgb="FF000000"/>
            <rFont val="Arial"/>
            <scheme val="minor"/>
          </rPr>
          <t>https://gyazo.com/eeb3089f9ca20357cb5860ff571494bb + 200 рефанд GOOD WILL CREDIT</t>
        </r>
      </text>
    </comment>
    <comment ref="N2175" authorId="0" shapeId="0" xr:uid="{00000000-0006-0000-0600-0000B5010000}">
      <text>
        <r>
          <rPr>
            <sz val="10"/>
            <color rgb="FF000000"/>
            <rFont val="Arial"/>
            <scheme val="minor"/>
          </rPr>
          <t>https://gyazo.com/1889503452b3e4fa3b3e29fb6c7fa383</t>
        </r>
      </text>
    </comment>
    <comment ref="N2179" authorId="0" shapeId="0" xr:uid="{00000000-0006-0000-0600-0000B6010000}">
      <text>
        <r>
          <rPr>
            <sz val="10"/>
            <color rgb="FF000000"/>
            <rFont val="Arial"/>
            <scheme val="minor"/>
          </rPr>
          <t>https://gyazo.com/a495a3678b032c8a4b01e66d565a511b</t>
        </r>
      </text>
    </comment>
    <comment ref="N2184" authorId="0" shapeId="0" xr:uid="{00000000-0006-0000-0600-0000B7010000}">
      <text>
        <r>
          <rPr>
            <sz val="10"/>
            <color rgb="FF000000"/>
            <rFont val="Arial"/>
            <scheme val="minor"/>
          </rPr>
          <t>https://gyazo.com/1551ae2a4c2cff97c2b84b275980b35a</t>
        </r>
      </text>
    </comment>
    <comment ref="N2190" authorId="0" shapeId="0" xr:uid="{00000000-0006-0000-0600-0000B8010000}">
      <text>
        <r>
          <rPr>
            <sz val="10"/>
            <color rgb="FF000000"/>
            <rFont val="Arial"/>
            <scheme val="minor"/>
          </rPr>
          <t>https://i.gyazo.com/89fca6f3dff0c4218af507aa71534df6.png</t>
        </r>
      </text>
    </comment>
    <comment ref="N2199" authorId="0" shapeId="0" xr:uid="{00000000-0006-0000-0600-0000B9010000}">
      <text>
        <r>
          <rPr>
            <sz val="10"/>
            <color rgb="FF000000"/>
            <rFont val="Arial"/>
            <scheme val="minor"/>
          </rPr>
          <t>=13850+13575
https://cdn.discordapp.com/attachments/531462865077665792/1055149492619460719/IMG_7054.png</t>
        </r>
      </text>
    </comment>
    <comment ref="N2202" authorId="0" shapeId="0" xr:uid="{00000000-0006-0000-0600-0000BA010000}">
      <text>
        <r>
          <rPr>
            <sz val="10"/>
            <color rgb="FF000000"/>
            <rFont val="Arial"/>
            <scheme val="minor"/>
          </rPr>
          <t>https://i.gyazo.com/6f2281a5e7d7b9f1c200e97c67da15cb.png</t>
        </r>
      </text>
    </comment>
    <comment ref="N2204" authorId="0" shapeId="0" xr:uid="{00000000-0006-0000-0600-0000BB010000}">
      <text>
        <r>
          <rPr>
            <sz val="10"/>
            <color rgb="FF000000"/>
            <rFont val="Arial"/>
            <scheme val="minor"/>
          </rPr>
          <t>https://gyazo.com/7875e13713ae621cf25cd4d24b1a472f</t>
        </r>
      </text>
    </comment>
    <comment ref="N2210" authorId="0" shapeId="0" xr:uid="{00000000-0006-0000-0600-0000BC010000}">
      <text>
        <r>
          <rPr>
            <sz val="10"/>
            <color rgb="FF000000"/>
            <rFont val="Arial"/>
            <scheme val="minor"/>
          </rPr>
          <t>https://gyazo.com/0c89c3fb9168b472ea1fad33dd45f1f6</t>
        </r>
      </text>
    </comment>
    <comment ref="N2213" authorId="0" shapeId="0" xr:uid="{00000000-0006-0000-0600-0000BD010000}">
      <text>
        <r>
          <rPr>
            <sz val="10"/>
            <color rgb="FF000000"/>
            <rFont val="Arial"/>
            <scheme val="minor"/>
          </rPr>
          <t>https://i.gyazo.com/c3ef5bd7ca8badf737a9eb976215c997.png</t>
        </r>
      </text>
    </comment>
    <comment ref="N2219" authorId="0" shapeId="0" xr:uid="{00000000-0006-0000-0600-0000BE010000}">
      <text>
        <r>
          <rPr>
            <sz val="10"/>
            <color rgb="FF000000"/>
            <rFont val="Arial"/>
            <scheme val="minor"/>
          </rPr>
          <t>https://gyazo.com/03455b073d8f2faae686d3a04d89baa9</t>
        </r>
      </text>
    </comment>
    <comment ref="N2224" authorId="0" shapeId="0" xr:uid="{00000000-0006-0000-0600-0000BF010000}">
      <text>
        <r>
          <rPr>
            <sz val="10"/>
            <color rgb="FF000000"/>
            <rFont val="Arial"/>
            <scheme val="minor"/>
          </rPr>
          <t>https://i.gyazo.com/36b14d89d6b6dd6c207804780e6bdc38.png</t>
        </r>
      </text>
    </comment>
    <comment ref="B2226" authorId="0" shapeId="0" xr:uid="{00000000-0006-0000-0600-0000C0010000}">
      <text>
        <r>
          <rPr>
            <sz val="10"/>
            <color rgb="FF000000"/>
            <rFont val="Arial"/>
            <scheme val="minor"/>
          </rPr>
          <t>n8</t>
        </r>
      </text>
    </comment>
    <comment ref="N2226" authorId="0" shapeId="0" xr:uid="{00000000-0006-0000-0600-0000C1010000}">
      <text>
        <r>
          <rPr>
            <sz val="10"/>
            <color rgb="FF000000"/>
            <rFont val="Arial"/>
            <scheme val="minor"/>
          </rPr>
          <t>from 22/11 to 20/12
+146.35 + 5.25
+ Илья пришло доп рб от аффилейта +6479</t>
        </r>
      </text>
    </comment>
    <comment ref="B2227" authorId="0" shapeId="0" xr:uid="{00000000-0006-0000-0600-0000C2010000}">
      <text>
        <r>
          <rPr>
            <sz val="10"/>
            <color rgb="FF000000"/>
            <rFont val="Arial"/>
            <scheme val="minor"/>
          </rPr>
          <t>n8</t>
        </r>
      </text>
    </comment>
    <comment ref="N2229" authorId="0" shapeId="0" xr:uid="{00000000-0006-0000-0600-0000C3010000}">
      <text>
        <r>
          <rPr>
            <sz val="10"/>
            <color rgb="FF000000"/>
            <rFont val="Arial"/>
            <scheme val="minor"/>
          </rPr>
          <t>https://gyazo.com/48435ef830b05e3d8e609680f58b4b7c</t>
        </r>
      </text>
    </comment>
    <comment ref="N2231" authorId="0" shapeId="0" xr:uid="{00000000-0006-0000-0600-0000C4010000}">
      <text>
        <r>
          <rPr>
            <sz val="10"/>
            <color rgb="FF000000"/>
            <rFont val="Arial"/>
            <scheme val="minor"/>
          </rPr>
          <t>https://gyazo.com/5f9b82f64cb56c82042fc65405eac802</t>
        </r>
      </text>
    </comment>
    <comment ref="N2244" authorId="0" shapeId="0" xr:uid="{00000000-0006-0000-0600-0000C5010000}">
      <text>
        <r>
          <rPr>
            <sz val="10"/>
            <color rgb="FF000000"/>
            <rFont val="Arial"/>
            <scheme val="minor"/>
          </rPr>
          <t>https://gyazo.com/ca9677c7dc65ab01612c249ee84e2464</t>
        </r>
      </text>
    </comment>
    <comment ref="N2249" authorId="0" shapeId="0" xr:uid="{00000000-0006-0000-0600-0000C6010000}">
      <text>
        <r>
          <rPr>
            <sz val="10"/>
            <color rgb="FF000000"/>
            <rFont val="Arial"/>
            <scheme val="minor"/>
          </rPr>
          <t>https://gyazo.com/107c0ab31e96419a201d925e065d8961</t>
        </r>
      </text>
    </comment>
    <comment ref="N2252" authorId="0" shapeId="0" xr:uid="{00000000-0006-0000-0600-0000C7010000}">
      <text>
        <r>
          <rPr>
            <sz val="10"/>
            <color rgb="FF000000"/>
            <rFont val="Arial"/>
            <scheme val="minor"/>
          </rPr>
          <t>https://gyazo.com/4cd66638a7d3c0a2a6dee0cc9367a7b7</t>
        </r>
      </text>
    </comment>
    <comment ref="N2257" authorId="0" shapeId="0" xr:uid="{00000000-0006-0000-0600-0000C8010000}">
      <text>
        <r>
          <rPr>
            <sz val="10"/>
            <color rgb="FF000000"/>
            <rFont val="Arial"/>
            <scheme val="minor"/>
          </rPr>
          <t>https://i.gyazo.com/d68c5bdcfeb434e38fe1134ba0b979b7.png</t>
        </r>
      </text>
    </comment>
    <comment ref="N2259" authorId="0" shapeId="0" xr:uid="{00000000-0006-0000-0600-0000C9010000}">
      <text>
        <r>
          <rPr>
            <sz val="10"/>
            <color rgb="FF000000"/>
            <rFont val="Arial"/>
            <scheme val="minor"/>
          </rPr>
          <t>https://gyazo.com/a91a5cc1c12fb8829a87a2019c478c4a</t>
        </r>
      </text>
    </comment>
    <comment ref="N2261" authorId="0" shapeId="0" xr:uid="{00000000-0006-0000-0600-0000CA010000}">
      <text>
        <r>
          <rPr>
            <sz val="10"/>
            <color rgb="FF000000"/>
            <rFont val="Arial"/>
            <scheme val="minor"/>
          </rPr>
          <t>https://gyazo.com/b76ac789440cd55131141694fcbb49b3</t>
        </r>
      </text>
    </comment>
    <comment ref="N2265" authorId="0" shapeId="0" xr:uid="{00000000-0006-0000-0600-0000CB010000}">
      <text>
        <r>
          <rPr>
            <sz val="10"/>
            <color rgb="FF000000"/>
            <rFont val="Arial"/>
            <scheme val="minor"/>
          </rPr>
          <t>Касса начало -  1419.73 
Касса конец - https://i.gyazo.com/1b5e5f229e9b0eb50d561531e88c4324.png
2757.9 - 1419.73 + 750 - (250) - 1228.6 = 609.57</t>
        </r>
      </text>
    </comment>
    <comment ref="N2268" authorId="0" shapeId="0" xr:uid="{00000000-0006-0000-0600-0000CC010000}">
      <text>
        <r>
          <rPr>
            <sz val="10"/>
            <color rgb="FF000000"/>
            <rFont val="Arial"/>
            <scheme val="minor"/>
          </rPr>
          <t>RB 27%</t>
        </r>
      </text>
    </comment>
    <comment ref="N2271" authorId="0" shapeId="0" xr:uid="{00000000-0006-0000-0600-0000CD010000}">
      <text>
        <r>
          <rPr>
            <sz val="10"/>
            <color rgb="FF000000"/>
            <rFont val="Arial"/>
            <scheme val="minor"/>
          </rPr>
          <t>https://i.gyazo.com/b716abd1ba370cc104b8992b23b037ff.png
5eu tickets x 120</t>
        </r>
      </text>
    </comment>
    <comment ref="N2273" authorId="0" shapeId="0" xr:uid="{00000000-0006-0000-0600-0000CE010000}">
      <text>
        <r>
          <rPr>
            <sz val="10"/>
            <color rgb="FF000000"/>
            <rFont val="Arial"/>
            <scheme val="minor"/>
          </rPr>
          <t>Касса начало -https://i.gyazo.com/2f7e1bf0ef98c941c71ab2ff92bf01da.png
Касса конец - https://i.gyazo.com/c2b67bc9b1649702474f0e5ab23f21d3.png
11427.29 - 6776.09 + 604 - 4638.55 = 616.65
*вывод 105 за 01.12 учтен в прошлом периоде</t>
        </r>
      </text>
    </comment>
    <comment ref="N2279" authorId="0" shapeId="0" xr:uid="{00000000-0006-0000-0600-0000CF010000}">
      <text>
        <r>
          <rPr>
            <sz val="10"/>
            <color rgb="FF000000"/>
            <rFont val="Arial"/>
            <scheme val="minor"/>
          </rPr>
          <t>Касса начало -https://i.gyazo.com/e426cbdefcbf54c197cb94b7c27b13b0.png
Касса конец - https://i.gyazo.com/50732b719bd722cda58b6f66af3584e5.png
2376.16 - 1730.48 + 600 - 491.05 = 754.63</t>
        </r>
      </text>
    </comment>
    <comment ref="N2282" authorId="0" shapeId="0" xr:uid="{00000000-0006-0000-0600-0000D0010000}">
      <text>
        <r>
          <rPr>
            <sz val="10"/>
            <color rgb="FF000000"/>
            <rFont val="Arial"/>
            <scheme val="minor"/>
          </rPr>
          <t>Касса начало - https://i.gyazo.com/a22b77db786070e5fc38c1f8c1f2e8db.png
Касса конец - https://i.gyazo.com/0d2b55b64fb63af5100680845d766c87.png
1727.15 - 1268.89 + 230 - 323.5 = 364.76</t>
        </r>
      </text>
    </comment>
    <comment ref="N2285" authorId="0" shapeId="0" xr:uid="{00000000-0006-0000-0600-0000D1010000}">
      <text>
        <r>
          <rPr>
            <sz val="10"/>
            <color rgb="FF000000"/>
            <rFont val="Arial"/>
            <scheme val="minor"/>
          </rPr>
          <t>https://i.gyazo.com/16f09e89672c7a677686528b932a46df.png</t>
        </r>
      </text>
    </comment>
    <comment ref="N2287" authorId="0" shapeId="0" xr:uid="{00000000-0006-0000-0600-0000D2010000}">
      <text>
        <r>
          <rPr>
            <sz val="10"/>
            <color rgb="FF000000"/>
            <rFont val="Arial"/>
            <scheme val="minor"/>
          </rPr>
          <t>https://gyazo.com/6f0d990a06126774f0a57d20c1614c12</t>
        </r>
      </text>
    </comment>
    <comment ref="N2295" authorId="0" shapeId="0" xr:uid="{00000000-0006-0000-0600-0000D3010000}">
      <text>
        <r>
          <rPr>
            <sz val="10"/>
            <color rgb="FF000000"/>
            <rFont val="Arial"/>
            <scheme val="minor"/>
          </rPr>
          <t>https://gyazo.com/110eefdd3fd80ac49b77a038b996b468</t>
        </r>
      </text>
    </comment>
    <comment ref="M2297" authorId="0" shapeId="0" xr:uid="{00000000-0006-0000-0600-0000D4010000}">
      <text>
        <r>
          <rPr>
            <sz val="10"/>
            <color rgb="FF000000"/>
            <rFont val="Arial"/>
            <scheme val="minor"/>
          </rPr>
          <t>аванс школе</t>
        </r>
      </text>
    </comment>
    <comment ref="N2298" authorId="0" shapeId="0" xr:uid="{00000000-0006-0000-0600-0000D5010000}">
      <text>
        <r>
          <rPr>
            <sz val="10"/>
            <color rgb="FF000000"/>
            <rFont val="Arial"/>
            <scheme val="minor"/>
          </rPr>
          <t>=7871+1200</t>
        </r>
      </text>
    </comment>
    <comment ref="N2300" authorId="0" shapeId="0" xr:uid="{00000000-0006-0000-0600-0000D6010000}">
      <text>
        <r>
          <rPr>
            <sz val="10"/>
            <color rgb="FF000000"/>
            <rFont val="Arial"/>
            <scheme val="minor"/>
          </rPr>
          <t>https://i.gyazo.com/e2959e5b6b876b769bb20dfdafcfa590.png</t>
        </r>
      </text>
    </comment>
    <comment ref="N2301" authorId="0" shapeId="0" xr:uid="{00000000-0006-0000-0600-0000D7010000}">
      <text>
        <r>
          <rPr>
            <sz val="10"/>
            <color rgb="FF000000"/>
            <rFont val="Arial"/>
            <scheme val="minor"/>
          </rPr>
          <t>https://gyazo.com/cfc3f4219f5861daed3451b3a912d863</t>
        </r>
      </text>
    </comment>
    <comment ref="N2305" authorId="0" shapeId="0" xr:uid="{00000000-0006-0000-0600-0000D8010000}">
      <text>
        <r>
          <rPr>
            <sz val="10"/>
            <color rgb="FF000000"/>
            <rFont val="Arial"/>
            <scheme val="minor"/>
          </rPr>
          <t>https://gyazo.com/c5ebf71ba5a4f3738b3b0f3d7eef9ffa</t>
        </r>
      </text>
    </comment>
    <comment ref="N2306" authorId="0" shapeId="0" xr:uid="{00000000-0006-0000-0600-0000D9010000}">
      <text>
        <r>
          <rPr>
            <sz val="10"/>
            <color rgb="FF000000"/>
            <rFont val="Arial"/>
            <scheme val="minor"/>
          </rPr>
          <t>https://gyazo.com/61da09a12b7d222f626fc160433173da</t>
        </r>
      </text>
    </comment>
    <comment ref="N2309" authorId="0" shapeId="0" xr:uid="{00000000-0006-0000-0600-0000DA010000}">
      <text>
        <r>
          <rPr>
            <sz val="10"/>
            <color rgb="FF000000"/>
            <rFont val="Arial"/>
            <scheme val="minor"/>
          </rPr>
          <t>https://gyazo.com/ac2f70f05d763a2ac803b66544663996</t>
        </r>
      </text>
    </comment>
    <comment ref="N2311" authorId="0" shapeId="0" xr:uid="{00000000-0006-0000-0600-0000DB010000}">
      <text>
        <r>
          <rPr>
            <sz val="10"/>
            <color rgb="FF000000"/>
            <rFont val="Arial"/>
            <scheme val="minor"/>
          </rPr>
          <t>https://gyazo.com/acf0be5abe6bbc8cc60185d6c30bbc31</t>
        </r>
      </text>
    </comment>
    <comment ref="N2315" authorId="0" shapeId="0" xr:uid="{00000000-0006-0000-0600-0000DC010000}">
      <text>
        <r>
          <rPr>
            <sz val="10"/>
            <color rgb="FF000000"/>
            <rFont val="Arial"/>
            <scheme val="minor"/>
          </rPr>
          <t>https://gyazo.com/7bbeb85d20c7fb68d1eddd164b78b909</t>
        </r>
      </text>
    </comment>
    <comment ref="N2316" authorId="0" shapeId="0" xr:uid="{00000000-0006-0000-0600-0000DD010000}">
      <text>
        <r>
          <rPr>
            <sz val="10"/>
            <color rgb="FF000000"/>
            <rFont val="Arial"/>
            <scheme val="minor"/>
          </rPr>
          <t>https://gyazo.com/ad99d70a5bd485170a9d0403ba6eb3e4</t>
        </r>
      </text>
    </comment>
    <comment ref="N2320" authorId="0" shapeId="0" xr:uid="{00000000-0006-0000-0600-0000DE010000}">
      <text>
        <r>
          <rPr>
            <sz val="10"/>
            <color rgb="FF000000"/>
            <rFont val="Arial"/>
            <scheme val="minor"/>
          </rPr>
          <t>https://i.gyazo.com/e1bd5a1acae48e122cf23446e857cc88.png</t>
        </r>
      </text>
    </comment>
    <comment ref="N2328" authorId="0" shapeId="0" xr:uid="{00000000-0006-0000-0600-0000DF010000}">
      <text>
        <r>
          <rPr>
            <sz val="10"/>
            <color rgb="FF000000"/>
            <rFont val="Arial"/>
            <scheme val="minor"/>
          </rPr>
          <t>https://gyazo.com/b2c4f3f9e5b0ed7283cc9b308d3f2153</t>
        </r>
      </text>
    </comment>
    <comment ref="N2338" authorId="0" shapeId="0" xr:uid="{00000000-0006-0000-0600-0000E0010000}">
      <text>
        <r>
          <rPr>
            <sz val="10"/>
            <color rgb="FF000000"/>
            <rFont val="Arial"/>
            <scheme val="minor"/>
          </rPr>
          <t>https://i.gyazo.com/397879d98a0d80a9969ff1645666083e.png</t>
        </r>
      </text>
    </comment>
    <comment ref="N2344" authorId="0" shapeId="0" xr:uid="{00000000-0006-0000-0600-0000E1010000}">
      <text>
        <r>
          <rPr>
            <sz val="10"/>
            <color rgb="FF000000"/>
            <rFont val="Arial"/>
            <scheme val="minor"/>
          </rPr>
          <t>https://gyazo.com/07c2a5c5b8b3edae5b8c20a61088dbd1</t>
        </r>
      </text>
    </comment>
    <comment ref="N2350" authorId="0" shapeId="0" xr:uid="{00000000-0006-0000-0600-0000E2010000}">
      <text>
        <r>
          <rPr>
            <sz val="10"/>
            <color rgb="FF000000"/>
            <rFont val="Arial"/>
            <scheme val="minor"/>
          </rPr>
          <t>https://gyazo.com/f3e87ff4f45746339cb788ebcd2c8585</t>
        </r>
      </text>
    </comment>
    <comment ref="N2358" authorId="0" shapeId="0" xr:uid="{00000000-0006-0000-0600-0000E3010000}">
      <text>
        <r>
          <rPr>
            <sz val="10"/>
            <color rgb="FF000000"/>
            <rFont val="Arial"/>
            <scheme val="minor"/>
          </rPr>
          <t>https://gyazo.com/92c248299976be033ff02e867e9c2c2e</t>
        </r>
      </text>
    </comment>
    <comment ref="N2360" authorId="0" shapeId="0" xr:uid="{00000000-0006-0000-0600-0000E4010000}">
      <text>
        <r>
          <rPr>
            <sz val="10"/>
            <color rgb="FF000000"/>
            <rFont val="Arial"/>
            <scheme val="minor"/>
          </rPr>
          <t>https://gyazo.com/ce871f44f9876c6d82f0f2231ace9aa0</t>
        </r>
      </text>
    </comment>
    <comment ref="N2372" authorId="0" shapeId="0" xr:uid="{00000000-0006-0000-0600-0000E5010000}">
      <text>
        <r>
          <rPr>
            <sz val="10"/>
            <color rgb="FF000000"/>
            <rFont val="Arial"/>
            <scheme val="minor"/>
          </rPr>
          <t>Касса начало - https://i.gyazo.com/8644d6a4bdcfa108279549fea7c3e80b.png
Касса конец - https://i.gyazo.com/c2a6bc6efbe3b7ca417bfbc86c46e5f7.png
361.92 - 360.57 - 173.25 = -171.9</t>
        </r>
      </text>
    </comment>
    <comment ref="N2376" authorId="0" shapeId="0" xr:uid="{00000000-0006-0000-0600-0000E6010000}">
      <text>
        <r>
          <rPr>
            <sz val="10"/>
            <color rgb="FF000000"/>
            <rFont val="Arial"/>
            <scheme val="minor"/>
          </rPr>
          <t>https://i.gyazo.com/1a605f30ae5dc16dd91267911ecdae59.png</t>
        </r>
      </text>
    </comment>
    <comment ref="N2380" authorId="0" shapeId="0" xr:uid="{00000000-0006-0000-0600-0000E7010000}">
      <text>
        <r>
          <rPr>
            <sz val="10"/>
            <color rgb="FF000000"/>
            <rFont val="Arial"/>
            <scheme val="minor"/>
          </rPr>
          <t>https://gyazo.com/5871294091d3b4e7b0347fb4606d3a5f</t>
        </r>
      </text>
    </comment>
    <comment ref="N2381" authorId="0" shapeId="0" xr:uid="{00000000-0006-0000-0600-0000E8010000}">
      <text>
        <r>
          <rPr>
            <sz val="10"/>
            <color rgb="FF000000"/>
            <rFont val="Arial"/>
            <scheme val="minor"/>
          </rPr>
          <t>https://gyazo.com/5871294091d3b4e7b0347fb4606d3a5f</t>
        </r>
      </text>
    </comment>
    <comment ref="N2383" authorId="0" shapeId="0" xr:uid="{00000000-0006-0000-0600-0000E9010000}">
      <text>
        <r>
          <rPr>
            <sz val="10"/>
            <color rgb="FF000000"/>
            <rFont val="Arial"/>
            <scheme val="minor"/>
          </rPr>
          <t>Касса начало - https://i.gyazo.com/1b5e5f229e9b0eb50d561531e88c4324.png
Касса конец + транзакции - https://i.gyazo.com/afd8857db51b804d2c5d458418686df5.png
5.52 - 2757.9 + 4401.4 - 1164.8 = 484.2</t>
        </r>
      </text>
    </comment>
    <comment ref="N2384" authorId="0" shapeId="0" xr:uid="{00000000-0006-0000-0600-0000EA010000}">
      <text>
        <r>
          <rPr>
            <sz val="10"/>
            <color rgb="FF000000"/>
            <rFont val="Arial"/>
            <scheme val="minor"/>
          </rPr>
          <t>Касса начало - https://i.gyazo.com/0d2b55b64fb63af5100680845d766c87.png
Касса конец + транзакции - 
https://i.gyazo.com/83a602461b6ee599e497885edd86333e.png
*freeroll - https://i.gyazo.com/d959d97e9e6ef8a8f501751e3658fdb8.png
€1 EUR = $1.086  (взял кросс-курс за 31 января)
2314.27 - 1727.15 + 400 - (44.9) - 1222 = -279.78</t>
        </r>
      </text>
    </comment>
    <comment ref="N2393" authorId="0" shapeId="0" xr:uid="{00000000-0006-0000-0600-0000EB010000}">
      <text>
        <r>
          <rPr>
            <sz val="10"/>
            <color rgb="FF000000"/>
            <rFont val="Arial"/>
            <scheme val="minor"/>
          </rPr>
          <t>https://gyazo.com/de0bde4c000df43bdfe512d19d615bd6</t>
        </r>
      </text>
    </comment>
    <comment ref="N2395" authorId="0" shapeId="0" xr:uid="{00000000-0006-0000-0600-0000EC010000}">
      <text>
        <r>
          <rPr>
            <sz val="10"/>
            <color rgb="FF000000"/>
            <rFont val="Arial"/>
            <scheme val="minor"/>
          </rPr>
          <t>https://i.gyazo.com/4dbf9d5fb5abc8aa6982d0a856fa147f.png</t>
        </r>
      </text>
    </comment>
    <comment ref="N2404" authorId="0" shapeId="0" xr:uid="{00000000-0006-0000-0600-0000ED010000}">
      <text>
        <r>
          <rPr>
            <sz val="10"/>
            <color rgb="FF000000"/>
            <rFont val="Arial"/>
            <scheme val="minor"/>
          </rPr>
          <t>за дисконнект</t>
        </r>
      </text>
    </comment>
    <comment ref="N2407" authorId="0" shapeId="0" xr:uid="{00000000-0006-0000-0600-0000EE010000}">
      <text>
        <r>
          <rPr>
            <sz val="10"/>
            <color rgb="FF000000"/>
            <rFont val="Arial"/>
            <scheme val="minor"/>
          </rPr>
          <t>https://i.gyazo.com/503b5571085cf622a8c62b8a794e99a9.png
*RB за 24/12, 25/12 учтены в прошлом периоде</t>
        </r>
      </text>
    </comment>
    <comment ref="N2413" authorId="0" shapeId="0" xr:uid="{00000000-0006-0000-0600-0000EF010000}">
      <text>
        <r>
          <rPr>
            <sz val="10"/>
            <color rgb="FF000000"/>
            <rFont val="Arial"/>
            <scheme val="minor"/>
          </rPr>
          <t>https://gyazo.com/959987a4b2bd633189ca4d815ed41fba</t>
        </r>
      </text>
    </comment>
    <comment ref="N2419" authorId="0" shapeId="0" xr:uid="{00000000-0006-0000-0600-0000F0010000}">
      <text>
        <r>
          <rPr>
            <sz val="10"/>
            <color rgb="FF000000"/>
            <rFont val="Arial"/>
            <scheme val="minor"/>
          </rPr>
          <t>https://i.gyazo.com/2e89d448cba5db90553a6167d115e863.png</t>
        </r>
      </text>
    </comment>
    <comment ref="N2421" authorId="0" shapeId="0" xr:uid="{00000000-0006-0000-0600-0000F1010000}">
      <text>
        <r>
          <rPr>
            <sz val="10"/>
            <color rgb="FF000000"/>
            <rFont val="Arial"/>
            <scheme val="minor"/>
          </rPr>
          <t>Касса начало - https://i.gyazo.com/c2b67bc9b1649702474f0e5ab23f21d3.png
Касса конец + транзакции - https://i.gyazo.com/25fa1665ded405f734b90e9225927f2e.png
8318.91 - 11427.29 + 11629 - 3762.8 = 4757.82</t>
        </r>
      </text>
    </comment>
    <comment ref="G2426" authorId="0" shapeId="0" xr:uid="{00000000-0006-0000-0600-0000F2010000}">
      <text>
        <r>
          <rPr>
            <sz val="10"/>
            <color rgb="FF000000"/>
            <rFont val="Arial"/>
            <scheme val="minor"/>
          </rPr>
          <t>redstar</t>
        </r>
      </text>
    </comment>
    <comment ref="N2429" authorId="0" shapeId="0" xr:uid="{00000000-0006-0000-0600-0000F3010000}">
      <text>
        <r>
          <rPr>
            <sz val="10"/>
            <color rgb="FF000000"/>
            <rFont val="Arial"/>
            <scheme val="minor"/>
          </rPr>
          <t>Касса начало - https://i.gyazo.com/50732b719bd722cda58b6f66af3584e5.png
Касса конец + транзакции - https://i.gyazo.com/9eac95170021e259f68cf85db232347d.png
3418.34 - 2376.16 + 2600 - 1418.9 = 2223.2</t>
        </r>
      </text>
    </comment>
    <comment ref="N2439" authorId="0" shapeId="0" xr:uid="{00000000-0006-0000-0600-0000F4010000}">
      <text>
        <r>
          <rPr>
            <sz val="10"/>
            <color rgb="FF000000"/>
            <rFont val="Arial"/>
            <scheme val="minor"/>
          </rPr>
          <t>https://gyazo.com/4cf84139a114c0669971d38ef620ee3d</t>
        </r>
      </text>
    </comment>
    <comment ref="N2443" authorId="0" shapeId="0" xr:uid="{00000000-0006-0000-0600-0000F5010000}">
      <text>
        <r>
          <rPr>
            <sz val="10"/>
            <color rgb="FF000000"/>
            <rFont val="Arial"/>
            <scheme val="minor"/>
          </rPr>
          <t>https://i.gyazo.com/c14f710fb6e6877e1f621cf1683bcc67.png
https://i.gyazo.com/0dace1bb89151de6d3c7ccde355c36d6.png</t>
        </r>
      </text>
    </comment>
    <comment ref="N2444" authorId="0" shapeId="0" xr:uid="{00000000-0006-0000-0600-0000F6010000}">
      <text>
        <r>
          <rPr>
            <sz val="10"/>
            <color rgb="FF000000"/>
            <rFont val="Arial"/>
            <scheme val="minor"/>
          </rPr>
          <t>https://gyazo.com/dec72d4079455b8242d16ed4fe03f0d1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66" authorId="0" shapeId="0" xr:uid="{00000000-0006-0000-0700-000001000000}">
      <text>
        <r>
          <rPr>
            <sz val="10"/>
            <color rgb="FF000000"/>
            <rFont val="Arial"/>
            <scheme val="minor"/>
          </rPr>
          <t xml:space="preserve">новый ученик, данные для марта
</t>
        </r>
      </text>
    </comment>
  </commentList>
</comments>
</file>

<file path=xl/sharedStrings.xml><?xml version="1.0" encoding="utf-8"?>
<sst xmlns="http://schemas.openxmlformats.org/spreadsheetml/2006/main" count="35776" uniqueCount="1106">
  <si>
    <t>Alias</t>
  </si>
  <si>
    <t>Screen Name</t>
  </si>
  <si>
    <t>Start Date</t>
  </si>
  <si>
    <t>End Date</t>
  </si>
  <si>
    <t>Period</t>
  </si>
  <si>
    <t>EV Deal</t>
  </si>
  <si>
    <t>Poker Room</t>
  </si>
  <si>
    <t>Stake Name</t>
  </si>
  <si>
    <t>Speed</t>
  </si>
  <si>
    <t>Stake</t>
  </si>
  <si>
    <t>Games</t>
  </si>
  <si>
    <t>Net Won</t>
  </si>
  <si>
    <t>Rakeback Actual</t>
  </si>
  <si>
    <t>BuyIns</t>
  </si>
  <si>
    <t>Equity Adjusted</t>
  </si>
  <si>
    <t>ChipEV</t>
  </si>
  <si>
    <t>Rakeback %</t>
  </si>
  <si>
    <t>Rakeback Total</t>
  </si>
  <si>
    <t>Final EV For Players with EV Deal</t>
  </si>
  <si>
    <t>Total
in 
RB
currency</t>
  </si>
  <si>
    <t>Exchange Rate</t>
  </si>
  <si>
    <t>ABI</t>
  </si>
  <si>
    <t>ABI Won</t>
  </si>
  <si>
    <t>Coaching Cut % (3/4)</t>
  </si>
  <si>
    <t>Stacking Cut % (1/4)</t>
  </si>
  <si>
    <t>Player Cut</t>
  </si>
  <si>
    <t>School Cut Coaching</t>
  </si>
  <si>
    <t>School Cut Backing</t>
  </si>
  <si>
    <t>Split?</t>
  </si>
  <si>
    <t>RB
Currency</t>
  </si>
  <si>
    <t>Split 
Currency</t>
  </si>
  <si>
    <t>Coaching Deal Type</t>
  </si>
  <si>
    <t>Stacking Deal Type</t>
  </si>
  <si>
    <t>007x2</t>
  </si>
  <si>
    <t>Steel Phoenix</t>
  </si>
  <si>
    <t>PokerStars COM/EU</t>
  </si>
  <si>
    <t>$2</t>
  </si>
  <si>
    <t>Normal</t>
  </si>
  <si>
    <t>USD</t>
  </si>
  <si>
    <t>$5 (1M)</t>
  </si>
  <si>
    <t>$10</t>
  </si>
  <si>
    <t>Without EV deal</t>
  </si>
  <si>
    <t>$1</t>
  </si>
  <si>
    <t>$2 Flash</t>
  </si>
  <si>
    <t>Flash</t>
  </si>
  <si>
    <t>$0.25</t>
  </si>
  <si>
    <t>$25</t>
  </si>
  <si>
    <t>$1 Flash</t>
  </si>
  <si>
    <t>00goldimon00</t>
  </si>
  <si>
    <t>Hyperschool</t>
  </si>
  <si>
    <t>EUR</t>
  </si>
  <si>
    <t>$0.25 Flash</t>
  </si>
  <si>
    <t>Barabollya</t>
  </si>
  <si>
    <t>RedStar</t>
  </si>
  <si>
    <t>€5</t>
  </si>
  <si>
    <t>€10</t>
  </si>
  <si>
    <t>€20</t>
  </si>
  <si>
    <t>€50</t>
  </si>
  <si>
    <t>00goldimon</t>
  </si>
  <si>
    <t>€100</t>
  </si>
  <si>
    <t>Abcdf</t>
  </si>
  <si>
    <t>Winamax</t>
  </si>
  <si>
    <t>€10 (MP)</t>
  </si>
  <si>
    <t>€10 (old)</t>
  </si>
  <si>
    <t>€10 (bf 05.05)</t>
  </si>
  <si>
    <t>€25 (bf 05.05)</t>
  </si>
  <si>
    <t>way to pro</t>
  </si>
  <si>
    <t>€500 Nitro</t>
  </si>
  <si>
    <t>Nitro</t>
  </si>
  <si>
    <t>PartyPoker COM/EU</t>
  </si>
  <si>
    <t>$100</t>
  </si>
  <si>
    <t>$20</t>
  </si>
  <si>
    <t>$50</t>
  </si>
  <si>
    <t>$100 Ultra</t>
  </si>
  <si>
    <t>Ultra</t>
  </si>
  <si>
    <t>$20 Ultra</t>
  </si>
  <si>
    <t>$50 Ultra</t>
  </si>
  <si>
    <t>$10 Ultra</t>
  </si>
  <si>
    <t>riverpoolFC</t>
  </si>
  <si>
    <t>leonidkomlev</t>
  </si>
  <si>
    <t>GGNetwork</t>
  </si>
  <si>
    <t>GG</t>
  </si>
  <si>
    <t>AlexanderDSL</t>
  </si>
  <si>
    <t>$10 (1M)</t>
  </si>
  <si>
    <t>$100 Flash</t>
  </si>
  <si>
    <t>$50 Flash</t>
  </si>
  <si>
    <t>$5</t>
  </si>
  <si>
    <t>$25 Flash</t>
  </si>
  <si>
    <t>$250</t>
  </si>
  <si>
    <t>bbaltqq</t>
  </si>
  <si>
    <t>$5 Flash (1M)</t>
  </si>
  <si>
    <t>Fedorovi4</t>
  </si>
  <si>
    <t>€10 Nitro (old)</t>
  </si>
  <si>
    <t>€25 (old)</t>
  </si>
  <si>
    <t>€25 (MP)</t>
  </si>
  <si>
    <t>supreme soul</t>
  </si>
  <si>
    <t>v@vo88</t>
  </si>
  <si>
    <t>GoJAM</t>
  </si>
  <si>
    <t>Sun_Set_pro8</t>
  </si>
  <si>
    <t>bearstrong</t>
  </si>
  <si>
    <t>€500</t>
  </si>
  <si>
    <t>WMX</t>
  </si>
  <si>
    <t>Lo4io</t>
  </si>
  <si>
    <t>SwagOnYou</t>
  </si>
  <si>
    <t>€50(wx) new</t>
  </si>
  <si>
    <t>€50 Nitro (bf 05.05)</t>
  </si>
  <si>
    <t>€50 Nitro (bf 01.08)</t>
  </si>
  <si>
    <t>GoJAM_wx</t>
  </si>
  <si>
    <t>€50 Nitro</t>
  </si>
  <si>
    <t>€50 (old)</t>
  </si>
  <si>
    <t>Chie4tain</t>
  </si>
  <si>
    <t>€50 (bf 05.05)</t>
  </si>
  <si>
    <t>€50 (bf 01.08)</t>
  </si>
  <si>
    <t>Mexanuk_AV</t>
  </si>
  <si>
    <t>SDEBA1</t>
  </si>
  <si>
    <t>$10 Flash</t>
  </si>
  <si>
    <t>drawchillah_gg</t>
  </si>
  <si>
    <t>hakunahmatatah</t>
  </si>
  <si>
    <t>Mister Meeseeks</t>
  </si>
  <si>
    <t>Kiss4Money99</t>
  </si>
  <si>
    <t>Kiss4Money</t>
  </si>
  <si>
    <t>AHgpuK1987</t>
  </si>
  <si>
    <t>$3</t>
  </si>
  <si>
    <t>UmbrellaInc</t>
  </si>
  <si>
    <t>S1lense</t>
  </si>
  <si>
    <t>CrippledMind</t>
  </si>
  <si>
    <t>€5 (bf 05.05)</t>
  </si>
  <si>
    <t>Mackevgen</t>
  </si>
  <si>
    <t>Monidestr</t>
  </si>
  <si>
    <t>s1mple-d1mpl</t>
  </si>
  <si>
    <t>€5(wx) new</t>
  </si>
  <si>
    <t>€5 Nitro</t>
  </si>
  <si>
    <t>€5 (bf 01.08)</t>
  </si>
  <si>
    <t>vezuxa</t>
  </si>
  <si>
    <t>€250 Nitro</t>
  </si>
  <si>
    <t>€250</t>
  </si>
  <si>
    <t>€25(wx) new</t>
  </si>
  <si>
    <t>Hehek</t>
  </si>
  <si>
    <t>€25(nitro) new</t>
  </si>
  <si>
    <t>€25 Nitro (bf 05.05)</t>
  </si>
  <si>
    <t>€25 Nitro (bf 01.08)</t>
  </si>
  <si>
    <t>€25 Nitro</t>
  </si>
  <si>
    <t>$500</t>
  </si>
  <si>
    <t>$1000</t>
  </si>
  <si>
    <t>mr_al3x</t>
  </si>
  <si>
    <t>benyya</t>
  </si>
  <si>
    <t>Fix18.75</t>
  </si>
  <si>
    <t>Fix6.25</t>
  </si>
  <si>
    <t>$250 Flash</t>
  </si>
  <si>
    <t>$500 Flash</t>
  </si>
  <si>
    <t>dimandmb1</t>
  </si>
  <si>
    <t>Ferbuary 2022</t>
  </si>
  <si>
    <t>fraum@rta</t>
  </si>
  <si>
    <t>$200</t>
  </si>
  <si>
    <t>barabashOva</t>
  </si>
  <si>
    <t>Berebka</t>
  </si>
  <si>
    <t>BodyaComUa</t>
  </si>
  <si>
    <t>Davaibablo</t>
  </si>
  <si>
    <t>Pokerdom</t>
  </si>
  <si>
    <t>1000 rub</t>
  </si>
  <si>
    <t>2500 rub</t>
  </si>
  <si>
    <t>5000 rub</t>
  </si>
  <si>
    <t>d1mas98</t>
  </si>
  <si>
    <t>komlew</t>
  </si>
  <si>
    <t>cortiz0l</t>
  </si>
  <si>
    <t>PokerStars ES/FR</t>
  </si>
  <si>
    <t>€10 (1M)</t>
  </si>
  <si>
    <t>€25</t>
  </si>
  <si>
    <t>€0.25 Flash</t>
  </si>
  <si>
    <t>Ekx444</t>
  </si>
  <si>
    <t>Farodit</t>
  </si>
  <si>
    <t>PodbarelilNaES</t>
  </si>
  <si>
    <t>fig6</t>
  </si>
  <si>
    <t>$100 HU HT</t>
  </si>
  <si>
    <t>HT</t>
  </si>
  <si>
    <t>kttweek1</t>
  </si>
  <si>
    <t>kttweek2</t>
  </si>
  <si>
    <t>$5 Flash</t>
  </si>
  <si>
    <t>KuCoH</t>
  </si>
  <si>
    <t>€25 (bf 01.08)</t>
  </si>
  <si>
    <t>eternity1</t>
  </si>
  <si>
    <t>Enchilakos</t>
  </si>
  <si>
    <t>€2 (bf 01.08)</t>
  </si>
  <si>
    <t>€2</t>
  </si>
  <si>
    <t>€100 Nitro (old)</t>
  </si>
  <si>
    <t>chik-chirik</t>
  </si>
  <si>
    <t>Runhero</t>
  </si>
  <si>
    <t>Pegasus38</t>
  </si>
  <si>
    <t>Night Kin9</t>
  </si>
  <si>
    <t>OneTaper</t>
  </si>
  <si>
    <t>€200</t>
  </si>
  <si>
    <t>overplayKK</t>
  </si>
  <si>
    <t>$10 (1M) (old)</t>
  </si>
  <si>
    <t>sqweez</t>
  </si>
  <si>
    <t>0verplayKK</t>
  </si>
  <si>
    <t>QQcheliQ</t>
  </si>
  <si>
    <t>ChmonyaQQ</t>
  </si>
  <si>
    <t>$3 Ultra</t>
  </si>
  <si>
    <t>ArkhangelRus29</t>
  </si>
  <si>
    <t>€100 Nitro</t>
  </si>
  <si>
    <t>€100 (old)</t>
  </si>
  <si>
    <t>€10(wx) new</t>
  </si>
  <si>
    <t>fskdfhslfhds</t>
  </si>
  <si>
    <t>€10 Nitro (bf 05.05)</t>
  </si>
  <si>
    <t>tarez</t>
  </si>
  <si>
    <t>ushakov17</t>
  </si>
  <si>
    <t>volkovsky</t>
  </si>
  <si>
    <t>Brothers Grimm</t>
  </si>
  <si>
    <t>guilexperi</t>
  </si>
  <si>
    <t>$1000 HUHT</t>
  </si>
  <si>
    <t>$500 HUHT</t>
  </si>
  <si>
    <t>$200 HUHT</t>
  </si>
  <si>
    <t>$300 HUHT</t>
  </si>
  <si>
    <t>$100 HUHT</t>
  </si>
  <si>
    <t>BarabashOva</t>
  </si>
  <si>
    <t>farodit</t>
  </si>
  <si>
    <t>€5 (1M)</t>
  </si>
  <si>
    <t>$5 (1M) Flash</t>
  </si>
  <si>
    <t>Umbrellainc</t>
  </si>
  <si>
    <t>NOT_bluffme</t>
  </si>
  <si>
    <t>Supreme325i</t>
  </si>
  <si>
    <t>Freedoom88</t>
  </si>
  <si>
    <t>RiverpoolFC</t>
  </si>
  <si>
    <t>Redstar</t>
  </si>
  <si>
    <t>€1</t>
  </si>
  <si>
    <t>TVREZ</t>
  </si>
  <si>
    <t>DepositBeast</t>
  </si>
  <si>
    <t>€10 (bf 01.08)</t>
  </si>
  <si>
    <t>Nibus90</t>
  </si>
  <si>
    <t>iNibus</t>
  </si>
  <si>
    <t>VermillionPST</t>
  </si>
  <si>
    <t>mdzr</t>
  </si>
  <si>
    <t>Rus29APX</t>
  </si>
  <si>
    <t>RaphaelNadal</t>
  </si>
  <si>
    <t>DeusRus</t>
  </si>
  <si>
    <t>Vandaster</t>
  </si>
  <si>
    <t>GGhero1</t>
  </si>
  <si>
    <t>NenMaster</t>
  </si>
  <si>
    <t>€0.25(nitro) new</t>
  </si>
  <si>
    <t>storrm</t>
  </si>
  <si>
    <t>Rake Actual</t>
  </si>
  <si>
    <t>RB per stake:</t>
  </si>
  <si>
    <t>Total Rakeback:</t>
  </si>
  <si>
    <t>Total Rake:</t>
  </si>
  <si>
    <t>RB %</t>
  </si>
  <si>
    <t>Won @ spins:</t>
  </si>
  <si>
    <t>Won @ HUHTs:</t>
  </si>
  <si>
    <t>Total EV+RB:</t>
  </si>
  <si>
    <t>Status</t>
  </si>
  <si>
    <t>Name</t>
  </si>
  <si>
    <t>Surname</t>
  </si>
  <si>
    <t>Birthday</t>
  </si>
  <si>
    <t>Gmail</t>
  </si>
  <si>
    <t>Discord</t>
  </si>
  <si>
    <t>Skype</t>
  </si>
  <si>
    <t>Phone</t>
  </si>
  <si>
    <t>Homeland</t>
  </si>
  <si>
    <t>Residence</t>
  </si>
  <si>
    <t>Address</t>
  </si>
  <si>
    <t>Skrill USD</t>
  </si>
  <si>
    <t>Skrill EUR</t>
  </si>
  <si>
    <t>Neteller USD</t>
  </si>
  <si>
    <t>Neteller EUR</t>
  </si>
  <si>
    <t>ID photo</t>
  </si>
  <si>
    <t>Selfie with ID</t>
  </si>
  <si>
    <t>Gipsyteam Link</t>
  </si>
  <si>
    <t>VK link</t>
  </si>
  <si>
    <t>Coaching</t>
  </si>
  <si>
    <t>Сергей</t>
  </si>
  <si>
    <t>Цымбалист</t>
  </si>
  <si>
    <t>playandlost@gmail.com</t>
  </si>
  <si>
    <t>Splendid</t>
  </si>
  <si>
    <t>https://join.skype.com/invite/MZ4qnlhwSPJF</t>
  </si>
  <si>
    <t>+79019823713</t>
  </si>
  <si>
    <t>Беларусь</t>
  </si>
  <si>
    <t>Минск, Веры хоружей, 14-260</t>
  </si>
  <si>
    <t>rogov2003@mail.ru</t>
  </si>
  <si>
    <t>Дмитрий</t>
  </si>
  <si>
    <t>Головач</t>
  </si>
  <si>
    <t>fndmmasters@gmail.com</t>
  </si>
  <si>
    <t>dimagol</t>
  </si>
  <si>
    <t>dmytro.golovach</t>
  </si>
  <si>
    <t>+380731815685</t>
  </si>
  <si>
    <t>Украина</t>
  </si>
  <si>
    <t>Чернигов, Проспект Мира 269 кв 190</t>
  </si>
  <si>
    <t>dim-golovach@yandex.ru</t>
  </si>
  <si>
    <t>46 XpoMaCoM</t>
  </si>
  <si>
    <t>Алексей</t>
  </si>
  <si>
    <t>Иванов</t>
  </si>
  <si>
    <t>46xpomo@gmail.com</t>
  </si>
  <si>
    <t>Bby_by</t>
  </si>
  <si>
    <t>Проспект центральный 74а кВ 13</t>
  </si>
  <si>
    <t>Владимир</t>
  </si>
  <si>
    <t>Лебеденко</t>
  </si>
  <si>
    <t>peregoodoff89@gmail.com</t>
  </si>
  <si>
    <t>khyp1313</t>
  </si>
  <si>
    <t>+380676376328</t>
  </si>
  <si>
    <t>Кривой Рог, ул. Старовокзальная д.35 кв.74</t>
  </si>
  <si>
    <t>https://api.typeform.com/responses/files/80b8ff8e99a7fdcea68ce459d63d5e00e0840efd70afa47423eb9b17b11ff477/изображение_viber_2019_11_14_17_10_02.jpg</t>
  </si>
  <si>
    <t>https://api.typeform.com/responses/files/97ff9c8895d3e950985f35a690a8247a5e2b81ef470c75caeb13ebd97c3dc000/IMG_0280.JPG</t>
  </si>
  <si>
    <t>Coaching + Staking</t>
  </si>
  <si>
    <t>Александр</t>
  </si>
  <si>
    <t>Солощенко</t>
  </si>
  <si>
    <t>freemandsl16@gmail.com</t>
  </si>
  <si>
    <t>FreemanDSL</t>
  </si>
  <si>
    <t>dslnamez</t>
  </si>
  <si>
    <t>Россия</t>
  </si>
  <si>
    <t>Краснодар</t>
  </si>
  <si>
    <t>alexanderdsl@mail.ru</t>
  </si>
  <si>
    <t>https://api.typeform.com/responses/files/df3b346aeaadaec162ee225af317a701fba5bef9fb928391eecc967d757b1864/Паспорт_1.jpg</t>
  </si>
  <si>
    <t>https://api.typeform.com/responses/files/1ce21189f783822db2d446dc7660f6d12b1ecc4ef0ad4d148358a2179fda1612/IMAG2742.jpg</t>
  </si>
  <si>
    <t>ANDREIIANN</t>
  </si>
  <si>
    <t>Андрей</t>
  </si>
  <si>
    <t>Войтещик</t>
  </si>
  <si>
    <t>andreiiann@mail.ru</t>
  </si>
  <si>
    <t>Andrey#5406</t>
  </si>
  <si>
    <t>andreiiann1</t>
  </si>
  <si>
    <t>Дима</t>
  </si>
  <si>
    <t>Степанов</t>
  </si>
  <si>
    <t>qqcvua@gmail.com</t>
  </si>
  <si>
    <t>BarabashOva (Дима)#4408</t>
  </si>
  <si>
    <t>qbeek_cv</t>
  </si>
  <si>
    <t>+380955221181</t>
  </si>
  <si>
    <t>Черновцы ул. Н.Прибоя 4/2</t>
  </si>
  <si>
    <t>senatorcv@gmail.com</t>
  </si>
  <si>
    <t>https://api.typeform.com/responses/files/7fe31e44ca61cc477175f0c61a45b5f2cd869a6c5f0f6a1fae4ab6e99b2ea0cc/20160422_165416.jpg</t>
  </si>
  <si>
    <t>https://api.typeform.com/responses/files/f3ea1628ef2772b4af3c1d3c75224aed69f5c0de0aa430c86c923dabac4c0407/IMG_20191006_202830.jpg</t>
  </si>
  <si>
    <t>Олег</t>
  </si>
  <si>
    <t>Гребенщиков</t>
  </si>
  <si>
    <t>bbaltqq@gmail.com</t>
  </si>
  <si>
    <t>bbaltqq#4732</t>
  </si>
  <si>
    <t>ttadvokatt</t>
  </si>
  <si>
    <t>+79776225170</t>
  </si>
  <si>
    <t>Москва Симоновский вал 24-1-77</t>
  </si>
  <si>
    <t/>
  </si>
  <si>
    <t>Бенедиктов</t>
  </si>
  <si>
    <t>benyya@gmail.com</t>
  </si>
  <si>
    <t>Казахстан</t>
  </si>
  <si>
    <t>Санкт-Петербург, ул Крыленко 1, кв 19</t>
  </si>
  <si>
    <t>dmitrybenediktov@gmail.com</t>
  </si>
  <si>
    <t>https://api.typeform.com/responses/files/e7384479ce72ada7892d34bee9a3335beded2dc94b57837dcf84fb84513baf05/photo5413793718579866584.jpg</t>
  </si>
  <si>
    <t>https://api.typeform.com/responses/files/16e07da00e7b3aa58492616af7caa6991c3582284e4bb7b4e6263e89dc5851ae/photo5413417561049115599.jpg</t>
  </si>
  <si>
    <t>Игорь</t>
  </si>
  <si>
    <t>Тохтамышев</t>
  </si>
  <si>
    <t>igortohtamysev@gmail.com</t>
  </si>
  <si>
    <t>Niboos</t>
  </si>
  <si>
    <t>live:.cid.61c925c32ecf81b4</t>
  </si>
  <si>
    <t>+380502559399</t>
  </si>
  <si>
    <t>Одесса Болгарская 87 215</t>
  </si>
  <si>
    <t>Богдан</t>
  </si>
  <si>
    <t>Ракицкий</t>
  </si>
  <si>
    <t>bogdan.rakitskiy@gmail.com</t>
  </si>
  <si>
    <t>bogdan.rakitskiy</t>
  </si>
  <si>
    <t>+380503314813</t>
  </si>
  <si>
    <t>Киев, ул. Попудренко 16, кв.33</t>
  </si>
  <si>
    <t>chichuck</t>
  </si>
  <si>
    <t>Чичин</t>
  </si>
  <si>
    <t>kakoitoakk123@gmail.com</t>
  </si>
  <si>
    <t>chichuck15</t>
  </si>
  <si>
    <t>+79307177708</t>
  </si>
  <si>
    <t>Нижний Новгород, Панфиловцев,5,251</t>
  </si>
  <si>
    <t>skrill777skrill@yandex.ru</t>
  </si>
  <si>
    <t>skrill777skrilleur@yandex.ru</t>
  </si>
  <si>
    <t>https://api.typeform.com/responses/files/e4d080bd8362a98021c793949056ad5e1b064557e4562a5c38332e7a39f0314c/97841937_DL2.jpg</t>
  </si>
  <si>
    <t>https://api.typeform.com/responses/files/b43de880822aa06ff75207f0a30dad8d48c20965913f6ecdf95dc8922dcc114e/W_0wr_CSHTQ.jpg</t>
  </si>
  <si>
    <t>Виктор</t>
  </si>
  <si>
    <t>Сэвидж</t>
  </si>
  <si>
    <t>crippledmind27@gmail.com</t>
  </si>
  <si>
    <t>Vegavas</t>
  </si>
  <si>
    <t>vic_from_brum</t>
  </si>
  <si>
    <t>+375291933747</t>
  </si>
  <si>
    <t>Латвия</t>
  </si>
  <si>
    <t>Могилёв, Краснозвёздная 42а, кв. 45</t>
  </si>
  <si>
    <t>victorsavage1981@msn.com</t>
  </si>
  <si>
    <t>Орлов</t>
  </si>
  <si>
    <t>parasolka9111@gmail.com</t>
  </si>
  <si>
    <t>zen1tp1ter#5713</t>
  </si>
  <si>
    <t>starspidoras</t>
  </si>
  <si>
    <t>+79214236947</t>
  </si>
  <si>
    <t>Санкт-Петербург, Богатырский пр. д.26 корп. 1 кв. 274</t>
  </si>
  <si>
    <t>zen1tp1ter09@rambler.ru</t>
  </si>
  <si>
    <t>DeusVulter</t>
  </si>
  <si>
    <t>Руслан</t>
  </si>
  <si>
    <t>Полищук</t>
  </si>
  <si>
    <t>stakhanovets22@gmail.com</t>
  </si>
  <si>
    <t>DeusVulter #2362</t>
  </si>
  <si>
    <t>live:deusvulter</t>
  </si>
  <si>
    <t>+79591093416</t>
  </si>
  <si>
    <t>Луганск, Кв.Молодёжный,10,40.</t>
  </si>
  <si>
    <t>Бочков</t>
  </si>
  <si>
    <t>dimanbochkov3@gmail.com</t>
  </si>
  <si>
    <t>dimandmb84</t>
  </si>
  <si>
    <t>+79603449268</t>
  </si>
  <si>
    <t>г. Саратов, ул. Южная, д. 36, кв. 30</t>
  </si>
  <si>
    <t>dimanboch@bk.ru</t>
  </si>
  <si>
    <t>dimasik</t>
  </si>
  <si>
    <t>Малыхин</t>
  </si>
  <si>
    <t>djdimasmal@gmail.com</t>
  </si>
  <si>
    <t>d1maSick</t>
  </si>
  <si>
    <t>live:2de3a1efdb06c5dd  ну или по номеру телефона +380956053570</t>
  </si>
  <si>
    <t>+380956053570</t>
  </si>
  <si>
    <t>Одесса, ул. Сегедская 23 А, квартира 12</t>
  </si>
  <si>
    <t>ekomlev98</t>
  </si>
  <si>
    <t>Егор</t>
  </si>
  <si>
    <t>Комлев</t>
  </si>
  <si>
    <t>ekomlev98@gmail.com</t>
  </si>
  <si>
    <t>zaiz21797470</t>
  </si>
  <si>
    <t>+79815547231</t>
  </si>
  <si>
    <t>Котлас, ул ленина, дом 64,кв 74</t>
  </si>
  <si>
    <t>komlev.zhora@mail.ru</t>
  </si>
  <si>
    <t>https://api.typeform.com/responses/files/1eff527d253333d2fa27caa6cd93119e7a100a7e4885d872a93d197f92e74f89/20210210_212757.jpg</t>
  </si>
  <si>
    <t>https://api.typeform.com/responses/files/9e1e96f0252f371c69adb97530214abadc0fee9ad7f7d4161b0d7ce58dccdde5/20210210_213146.jpg</t>
  </si>
  <si>
    <t>Павел</t>
  </si>
  <si>
    <t>Груздов</t>
  </si>
  <si>
    <t>psgruzdov@gmail.com</t>
  </si>
  <si>
    <t>live:psgruzdov</t>
  </si>
  <si>
    <t>+79055736261</t>
  </si>
  <si>
    <t>Таиланд</t>
  </si>
  <si>
    <t>Пхукет</t>
  </si>
  <si>
    <t>Влад</t>
  </si>
  <si>
    <t>Журавель</t>
  </si>
  <si>
    <t>vlados9993@gmail.com</t>
  </si>
  <si>
    <t>live:.cid.37cf70295f04117c</t>
  </si>
  <si>
    <t>+995598788713</t>
  </si>
  <si>
    <t>Грузия</t>
  </si>
  <si>
    <t>Тбилиси. Тереверко 34, 2</t>
  </si>
  <si>
    <t>locshplaya@gmail.com</t>
  </si>
  <si>
    <t>Сергеев</t>
  </si>
  <si>
    <t>farodit@gmail.com</t>
  </si>
  <si>
    <t>conc</t>
  </si>
  <si>
    <t>farodit1</t>
  </si>
  <si>
    <t>+375336485599</t>
  </si>
  <si>
    <t>Минск, улица Лейтенанта Кижеватова, д 3Б, кв 188</t>
  </si>
  <si>
    <t>Левченко</t>
  </si>
  <si>
    <t>88vavo@gmail.com</t>
  </si>
  <si>
    <t>vavo88</t>
  </si>
  <si>
    <t>vavo_88</t>
  </si>
  <si>
    <t>+380987760557</t>
  </si>
  <si>
    <t>Кривой Рог, Героев АТО 61\35</t>
  </si>
  <si>
    <t>Шаульский</t>
  </si>
  <si>
    <t>sergeishau@gmail.com</t>
  </si>
  <si>
    <t>Sergspb111</t>
  </si>
  <si>
    <t>+79990252222</t>
  </si>
  <si>
    <t>Санкт-Петербург, Галерный проезд, д.5, Квартира 369</t>
  </si>
  <si>
    <t>sergeiwow@mail.ru</t>
  </si>
  <si>
    <t>sergeishau@yandex.ru</t>
  </si>
  <si>
    <t>https://i.gyazo.com/2082c0d17f29cc66fd6f9bb1268398fb.png</t>
  </si>
  <si>
    <t>fortunate773</t>
  </si>
  <si>
    <t>Исаев</t>
  </si>
  <si>
    <t>russell1991773@gmail.com</t>
  </si>
  <si>
    <t>Fortunate773 Руслан</t>
  </si>
  <si>
    <t>d1fafa9f1e8c9d9e</t>
  </si>
  <si>
    <t>Кривой Рог,ул.Косиора д.47к.57</t>
  </si>
  <si>
    <t>russell1991@ro.ru</t>
  </si>
  <si>
    <t>https://api.typeform.com/responses/files/375c16dd982b8c0de6b6f438d048648446297f042263d6874207dc274d294e20/P90927_222334.jpg</t>
  </si>
  <si>
    <t>https://api.typeform.com/responses/files/7f38caa9f0b416468e0eeecdc4d64ad9e8b78164bfb992cefb6b025b0774ef79/P90927_222752.jpg</t>
  </si>
  <si>
    <t>Freedoom</t>
  </si>
  <si>
    <t>Ольховский</t>
  </si>
  <si>
    <t>Freedoom11111988@gmail.com</t>
  </si>
  <si>
    <t>Дмитрий Ch
#6650</t>
  </si>
  <si>
    <t>homink35</t>
  </si>
  <si>
    <t>+380972081889</t>
  </si>
  <si>
    <t>Кривой Рог, Подсепная 15</t>
  </si>
  <si>
    <t>Freedoom181988@gmail.com</t>
  </si>
  <si>
    <t>Freedoom18@yandex.ru</t>
  </si>
  <si>
    <t>Freedoom1988@yandex.ru</t>
  </si>
  <si>
    <t>gRRRiz</t>
  </si>
  <si>
    <t>Тельнов</t>
  </si>
  <si>
    <t>grrriz.reg@gmail.com</t>
  </si>
  <si>
    <t>gRRRiz#3910</t>
  </si>
  <si>
    <t>+79533773480</t>
  </si>
  <si>
    <t>Саранск, ул. Гожувская, д. 37, кв. 3</t>
  </si>
  <si>
    <t>grrriz.sk@gmail.com</t>
  </si>
  <si>
    <t>Kiss4money99</t>
  </si>
  <si>
    <t>Kostromins</t>
  </si>
  <si>
    <t>ahgpuk1987@gmail.com</t>
  </si>
  <si>
    <t>Kiss4Money99(Андрей)</t>
  </si>
  <si>
    <t>kostromins</t>
  </si>
  <si>
    <t>+37126036965</t>
  </si>
  <si>
    <t>Finiera 7-44</t>
  </si>
  <si>
    <t>kostromins@inbox.lv</t>
  </si>
  <si>
    <t>https://api.typeform.com/responses/files/f459d58778f603b3dc995d3006b1833d5064cfc2b87385633256b122a7feac12/IMG_20210221_144205.jpg</t>
  </si>
  <si>
    <t>https://api.typeform.com/responses/files/0c8ea11ab5387b485f3838884f64977feb4427d777ad3cca6c065344e6beb368/IMG_20210221_144602.jpg</t>
  </si>
  <si>
    <t>Иващенко</t>
  </si>
  <si>
    <t>dp110792iav@gmail.com</t>
  </si>
  <si>
    <t>dp110792iav</t>
  </si>
  <si>
    <t>+380939596890</t>
  </si>
  <si>
    <t>Днепр, улица Большая Диёвская 4-2, квартира 189</t>
  </si>
  <si>
    <t>a9596890@gmail.com</t>
  </si>
  <si>
    <t>Вишняков</t>
  </si>
  <si>
    <t>kucoh4uk1@gmail.com</t>
  </si>
  <si>
    <t>KuCoH(Витя)</t>
  </si>
  <si>
    <t>kucoh4uk1</t>
  </si>
  <si>
    <t>г. Речица, ул.Розы Люксембург, д 14, кв 1</t>
  </si>
  <si>
    <t>https://api.typeform.com/responses/files/43b4accfc593ef7e7c1da6b141ca9017f50aa8fabb47008d269eb1c7e52faf4f/20200203_214758.jpg</t>
  </si>
  <si>
    <t>https://api.typeform.com/responses/files/facdd1d0c9546e715c01e578c1698629d146ad165ac4f4a1ff11510d695176af/20200203_215026.jpg</t>
  </si>
  <si>
    <t>Наумович</t>
  </si>
  <si>
    <t>alex.naumovich@gmail.com</t>
  </si>
  <si>
    <t>alex.naumovich</t>
  </si>
  <si>
    <t>+375292004652</t>
  </si>
  <si>
    <t>Минск, ул Гурского 37/66</t>
  </si>
  <si>
    <t>Евгений</t>
  </si>
  <si>
    <t>Маковский</t>
  </si>
  <si>
    <t>suohmikotoredking7@gmail.com</t>
  </si>
  <si>
    <t>Voodoospirit11</t>
  </si>
  <si>
    <t>+79236799042</t>
  </si>
  <si>
    <t>Омск 2-я Солнечная 28а -34</t>
  </si>
  <si>
    <t>suohmikotoredking@mail.ru</t>
  </si>
  <si>
    <t>Mandr1990</t>
  </si>
  <si>
    <t>Михаил</t>
  </si>
  <si>
    <t>Андрюнин</t>
  </si>
  <si>
    <t>mandryunin@gmail.com</t>
  </si>
  <si>
    <t>mandrnn</t>
  </si>
  <si>
    <t>Нижний Новгород, Московское шоссе дом 31а кв 19</t>
  </si>
  <si>
    <t>Воронцов</t>
  </si>
  <si>
    <t>madzor34@gmail.com</t>
  </si>
  <si>
    <t>madzor34</t>
  </si>
  <si>
    <t>+12015698746</t>
  </si>
  <si>
    <t>Минск, Рокоссовского, 74 , 21</t>
  </si>
  <si>
    <t>work.iiittt@gmail.com</t>
  </si>
  <si>
    <t>Артем</t>
  </si>
  <si>
    <t>Батюшков</t>
  </si>
  <si>
    <t>batushkovAV@gmail.com</t>
  </si>
  <si>
    <t>Rushy</t>
  </si>
  <si>
    <t>curtis_kalbasa</t>
  </si>
  <si>
    <t>+375295197488</t>
  </si>
  <si>
    <t>Витебск, улица Герцена, дом 24, корпус 2, квартира 15</t>
  </si>
  <si>
    <t>Тетюшев</t>
  </si>
  <si>
    <t>alelelelex@gmail.com</t>
  </si>
  <si>
    <t>Unknown</t>
  </si>
  <si>
    <t>alex.evg</t>
  </si>
  <si>
    <t>+79195701111</t>
  </si>
  <si>
    <t>Курган, ул. Отдыха 44, 15</t>
  </si>
  <si>
    <t>nicky22303</t>
  </si>
  <si>
    <t>NIKOLAY ARISTOV</t>
  </si>
  <si>
    <t>nickyaristov@gmail.com</t>
  </si>
  <si>
    <t>Nikolay Phoenix</t>
  </si>
  <si>
    <t>live:phoenixspinz</t>
  </si>
  <si>
    <t>+66990268463</t>
  </si>
  <si>
    <t>133/19 m.4 rawai district Muang Phuket Phuket Post code 83130 (Villa.306)</t>
  </si>
  <si>
    <t>Антон</t>
  </si>
  <si>
    <t>Саблин</t>
  </si>
  <si>
    <t>Sablinanton92@gmail.com</t>
  </si>
  <si>
    <t>live:sablin-anton1</t>
  </si>
  <si>
    <t>+375292444220</t>
  </si>
  <si>
    <t>Минск, ул. Белорусская, 15, кв.40</t>
  </si>
  <si>
    <t>Притуленко</t>
  </si>
  <si>
    <t>OneTaper2000@gmail.com</t>
  </si>
  <si>
    <t>meDveDka#2991</t>
  </si>
  <si>
    <t>live:ndbcnth12345</t>
  </si>
  <si>
    <t>+79990880158</t>
  </si>
  <si>
    <t>г. Хабаровск , ул. Рабочий городок 4</t>
  </si>
  <si>
    <t>kykyc1k@yandex.ru</t>
  </si>
  <si>
    <t>Чернышев</t>
  </si>
  <si>
    <t>vladimir.chernishevx@gmail.com</t>
  </si>
  <si>
    <t>live:ed402681f89f9151</t>
  </si>
  <si>
    <t>+79016997668</t>
  </si>
  <si>
    <t>Иваново, Свободы, 21, 180</t>
  </si>
  <si>
    <t>vladimir.chernishevx@mail.ru</t>
  </si>
  <si>
    <t>https://api.typeform.com/responses/files/658004086033b7b70adf715964698309d50bf8a2423efc7e29501110ba038719/4sLizNN962Y.jpg</t>
  </si>
  <si>
    <t>https://api.typeform.com/responses/files/303ea2d40a982adb52112b76983e420512a91ad9d8fab2418b0d3c1babffb056/_Vtoa0EKWcw.jpg</t>
  </si>
  <si>
    <t>prodoman</t>
  </si>
  <si>
    <t>Леонид</t>
  </si>
  <si>
    <t>komlevleonid@gmail.com</t>
  </si>
  <si>
    <t>komlevleonid</t>
  </si>
  <si>
    <t>+79021967698</t>
  </si>
  <si>
    <t>Северодвинск, Первомайская, 65, 11</t>
  </si>
  <si>
    <t>Покляцкий</t>
  </si>
  <si>
    <t>a.pokliatskiy@gmail.com</t>
  </si>
  <si>
    <t>live:a.pokliatskiy</t>
  </si>
  <si>
    <t>+380997310344</t>
  </si>
  <si>
    <t>Винница проулок Учительский 14/7</t>
  </si>
  <si>
    <t>poklipoker@gmail.com</t>
  </si>
  <si>
    <t>Кононов</t>
  </si>
  <si>
    <t>arkhangelrus@gmail.com</t>
  </si>
  <si>
    <t>ArkhangelRus</t>
  </si>
  <si>
    <t>Russss</t>
  </si>
  <si>
    <t>+79021907065</t>
  </si>
  <si>
    <t>Краснодарский край, с. Красносельское, ул. Крыжановского 2</t>
  </si>
  <si>
    <t>rus882@yandex.ru</t>
  </si>
  <si>
    <t>Sergei</t>
  </si>
  <si>
    <t>Baranov</t>
  </si>
  <si>
    <t>gosustorm77@gmail.com</t>
  </si>
  <si>
    <t>S1lense(Сергей)#5885</t>
  </si>
  <si>
    <t>damagerx1</t>
  </si>
  <si>
    <t>+79635406027</t>
  </si>
  <si>
    <t>Cherngtalay, Soi Hat Surin 6, 6th avenue condo, room 610 131/105 / Phuket / Thalang - 83110</t>
  </si>
  <si>
    <t>Стешенко</t>
  </si>
  <si>
    <t>d.steshenko91@gmail.com</t>
  </si>
  <si>
    <t>sdeba11</t>
  </si>
  <si>
    <t>+996553032072</t>
  </si>
  <si>
    <t>Киргизия</t>
  </si>
  <si>
    <t>Бишкек 8мкр д.29 кв. 114</t>
  </si>
  <si>
    <t>Никольский</t>
  </si>
  <si>
    <t>sunsetpro8@gmail.com</t>
  </si>
  <si>
    <t>bearstrong (Дима)</t>
  </si>
  <si>
    <t>live:bearstrong_1</t>
  </si>
  <si>
    <t>+79777799457</t>
  </si>
  <si>
    <t>Зеленоград, Солнечная аллея, 908, 36</t>
  </si>
  <si>
    <t>beearstrong@yandex.ru</t>
  </si>
  <si>
    <t>supreme325i</t>
  </si>
  <si>
    <t>Танцерев</t>
  </si>
  <si>
    <t>genos.stotch@gmail.com</t>
  </si>
  <si>
    <t>supreme</t>
  </si>
  <si>
    <t>+79256509852</t>
  </si>
  <si>
    <t>ещё не релоцировался</t>
  </si>
  <si>
    <t>thepzdc</t>
  </si>
  <si>
    <t>Генрих</t>
  </si>
  <si>
    <t>Франк</t>
  </si>
  <si>
    <t>thepzdc009@gmail.com</t>
  </si>
  <si>
    <t>live:.cid.5d505100c241d807</t>
  </si>
  <si>
    <t>+79994504440</t>
  </si>
  <si>
    <t>Москва, Сосновая 2к4 кв 47</t>
  </si>
  <si>
    <t>myuazhpae@mail.ru</t>
  </si>
  <si>
    <t>Жульнов</t>
  </si>
  <si>
    <t>tarez2742@gmail.com</t>
  </si>
  <si>
    <t>TAREZ</t>
  </si>
  <si>
    <t>live:tarez2742</t>
  </si>
  <si>
    <t>+79992293976</t>
  </si>
  <si>
    <t>Индонезия</t>
  </si>
  <si>
    <t>Bali, Jl. Bidadari No.110C Seminyak Kuta, Kerobokan Kelod, Kec. Kuta Utara, Kabupaten Badung</t>
  </si>
  <si>
    <t>tarezwm@yandex.ru</t>
  </si>
  <si>
    <t>Ушаков</t>
  </si>
  <si>
    <t>ushakov17rus@gmail.com</t>
  </si>
  <si>
    <t>dream rfhfi#1680</t>
  </si>
  <si>
    <t>live:7e2b52110d2e4adc</t>
  </si>
  <si>
    <t>+77072875648</t>
  </si>
  <si>
    <t>Астана, 38 ул., 44/1 д, 273 кв.</t>
  </si>
  <si>
    <t>VermillionPoker</t>
  </si>
  <si>
    <t>Танский</t>
  </si>
  <si>
    <t>tanskiy.000@gmail.com</t>
  </si>
  <si>
    <t>AntoxaDemon</t>
  </si>
  <si>
    <t>+79683560141</t>
  </si>
  <si>
    <t>Гомель. Речицкий проспект 118 кв 19</t>
  </si>
  <si>
    <t>Роман</t>
  </si>
  <si>
    <t>Дей</t>
  </si>
  <si>
    <t>xa4ufena@gmail.com</t>
  </si>
  <si>
    <t>Роман vezuxa#0926</t>
  </si>
  <si>
    <t>vezuxa2</t>
  </si>
  <si>
    <t>+380971669296</t>
  </si>
  <si>
    <t>Кривой Рог, Кировоградская 101</t>
  </si>
  <si>
    <t>xa4ufena@yahoo.com</t>
  </si>
  <si>
    <t>Волков</t>
  </si>
  <si>
    <t>mirex2@gmail.com</t>
  </si>
  <si>
    <t>my-rex</t>
  </si>
  <si>
    <t>Таганрог, Мало-Набережная, 18</t>
  </si>
  <si>
    <t>https://api.typeform.com/responses/files/2ed04f14ffc41a69d4768b03ef338c861a475991c73331410e29905b9521ac89/IMG_7753.JPG</t>
  </si>
  <si>
    <t>https://api.typeform.com/responses/files/801bf84281d2152ed688fe0fee501e1203507cde05b937a6f57ca60d9856b864/IMG_7754.JPG</t>
  </si>
  <si>
    <t>Дмитриев</t>
  </si>
  <si>
    <t>14.10.2000</t>
  </si>
  <si>
    <t>japanowner@gmail.com</t>
  </si>
  <si>
    <t>DepositBeast#7711</t>
  </si>
  <si>
    <t>Mida Grande Resort Phuket</t>
  </si>
  <si>
    <t>disagreelex@gmail.com</t>
  </si>
  <si>
    <t>https://drive.google.com/open?id=1oCdVMsg65aLYUFqxFkIImuAOCzpwK2t2</t>
  </si>
  <si>
    <t>https://drive.google.com/open?id=1QAXsWKFH4nfxsLslFZt9IAnVjXi873gN</t>
  </si>
  <si>
    <t>https://www.gipsyteam.ru/profile/depositbeast</t>
  </si>
  <si>
    <t>Orthodoxxxx</t>
  </si>
  <si>
    <t>Скляров</t>
  </si>
  <si>
    <t>17.10.1993</t>
  </si>
  <si>
    <t>Vsklyarov93@gmail.com</t>
  </si>
  <si>
    <t>orthodoxxxx#8305</t>
  </si>
  <si>
    <t>bjoerndalen88</t>
  </si>
  <si>
    <t>+7-968-053-79-76</t>
  </si>
  <si>
    <t>г. Москва ул. Ивана Бабушкина д.15 к.1-2 кв.36</t>
  </si>
  <si>
    <t>vovanforps@gmail.com</t>
  </si>
  <si>
    <t>sunny@hyperschool.ru</t>
  </si>
  <si>
    <t>https://drive.google.com/open?id=1WbJDtZWqZPTzZJBwPziT8ENeC3i1Psiy, https://drive.google.com/open?id=17sN96zHjiRT2VzEpVR3aFRvcrTJtJjGW</t>
  </si>
  <si>
    <t>https://drive.google.com/open?id=1yPsN0YQDpINu8mIt0kmzVpelIBGqx2sL</t>
  </si>
  <si>
    <t>https://www.gipsyteam.ru/profile/orthodoxxxx93</t>
  </si>
  <si>
    <t>https://vk.com/vsklyarov93</t>
  </si>
  <si>
    <t>DimanTT</t>
  </si>
  <si>
    <t>Тумашов</t>
  </si>
  <si>
    <t>19.11.1990</t>
  </si>
  <si>
    <t>merssinary1@gmail.com</t>
  </si>
  <si>
    <t>DimanTT#6109</t>
  </si>
  <si>
    <t>dimantt5</t>
  </si>
  <si>
    <t>г. Прокопьевск, ул. Обручева 20-6</t>
  </si>
  <si>
    <t>https://drive.google.com/open?id=1XGHZE_nyv5LEdjsxuqfR3AiTfJG4unTJ</t>
  </si>
  <si>
    <t>https://drive.google.com/open?id=1ZJ7cHjAg1ydaTE-V7bK70Kf6XgmOw8w2</t>
  </si>
  <si>
    <t>https://www.gipsyteam.ru/profile/dimantt</t>
  </si>
  <si>
    <t>IncrementX</t>
  </si>
  <si>
    <t>Заруба</t>
  </si>
  <si>
    <t>igrzrbinv@gmail.com</t>
  </si>
  <si>
    <t>IgorZ#8705</t>
  </si>
  <si>
    <t>live:.cid.6f6eaf219ddafbd9</t>
  </si>
  <si>
    <t>+79996931611</t>
  </si>
  <si>
    <t>Ростовская область, город Таганрог, улица Ломакина 104, кв. 8.</t>
  </si>
  <si>
    <t>igrzrb16@yandex.ru</t>
  </si>
  <si>
    <t>https://drive.google.com/open?id=1Q5MmEsXnu6POK-qtTyHxn1Dn4vQgDZu0, https://drive.google.com/open?id=1ES8dlZk-Sw__S8xfoF42EQthcdbD5trU</t>
  </si>
  <si>
    <t>https://drive.google.com/open?id=1XoUwQCjvL_yVWjyHlj382Yq-RrYetDjN</t>
  </si>
  <si>
    <t>https://www.gipsyteam.ru/profile/incrementx</t>
  </si>
  <si>
    <t>Immelstoran</t>
  </si>
  <si>
    <t>Воробьев</t>
  </si>
  <si>
    <t>Immelstoran@gmail.com</t>
  </si>
  <si>
    <t>Immelstoran#9868</t>
  </si>
  <si>
    <t>tadaerd</t>
  </si>
  <si>
    <t>+995591054312</t>
  </si>
  <si>
    <t>https://drive.google.com/open?id=1DHuyAv1plZ8IDNNpn3PCP3-XJVUCYkAO</t>
  </si>
  <si>
    <t>https://drive.google.com/open?id=1WO3xCFVzV1Espw0HW9-u0v6U474ckoJR</t>
  </si>
  <si>
    <t>https://www.gipsyteam.ru/profile/tadaer</t>
  </si>
  <si>
    <t>eugeneshyl</t>
  </si>
  <si>
    <t>Шиль</t>
  </si>
  <si>
    <t>eugeneshyl@gmail.com</t>
  </si>
  <si>
    <t>EugeneShyl</t>
  </si>
  <si>
    <t>Кривой Рог, 5-й Заречный 93/29</t>
  </si>
  <si>
    <t>eugeneshylres@gmail.com</t>
  </si>
  <si>
    <t>https://api.typeform.com/responses/files/7e4a1e7a85b4597e9a1af02adc2b23895a263aa8f4c321818ddaf42e40d523b2/WP_000218.jpg</t>
  </si>
  <si>
    <t>https://api.typeform.com/responses/files/b10ecb0b69d4119bc5ad25252efa5d435e853e83f09c4c12618c3165340e6f39/IMG_20190521_145713.jpg</t>
  </si>
  <si>
    <t>cdh1djsod3x1ca2cdh1crn073s1ep8fc</t>
  </si>
  <si>
    <t>Closed</t>
  </si>
  <si>
    <t>Deal Type</t>
  </si>
  <si>
    <t>Start Of Coaching Deal</t>
  </si>
  <si>
    <t>Coaching Contract</t>
  </si>
  <si>
    <t>Start Of Staking Deal</t>
  </si>
  <si>
    <t>Staking Deal Type</t>
  </si>
  <si>
    <t>Staking Contract</t>
  </si>
  <si>
    <t>Key For Recordings</t>
  </si>
  <si>
    <t>Комментарий к сделке</t>
  </si>
  <si>
    <t>Ends when</t>
  </si>
  <si>
    <t>DoEV</t>
  </si>
  <si>
    <t>https://docs.google.com/document/d/1C2j2cvIdQE4b6GJmGraXLZ3LZVbGvmndCgY3e9wEU3I/edit</t>
  </si>
  <si>
    <t>None</t>
  </si>
  <si>
    <t>VR-56EGSV-8HUD7N-9FYKND-CUFDZ4</t>
  </si>
  <si>
    <t>50000 games</t>
  </si>
  <si>
    <t>https://docs.google.com/document/d/1aeVpexZsHf8SZJvV_tFgpnj4YXhkRfoeOlQmuQvB2WI/edit#heading=h.25ed5ykm7zul</t>
  </si>
  <si>
    <t>TZ-6NQX8X-L4AJCM-ZTZVM6-QC32DQ</t>
  </si>
  <si>
    <t>Пропал с конца 2022</t>
  </si>
  <si>
    <t>35000 games</t>
  </si>
  <si>
    <t>DoEV46</t>
  </si>
  <si>
    <t>https://docs.google.com/document/d/1svZojIAVF_F1XM3K-hxm8egIv37QTY8rLamf2cwKiIQ/edit</t>
  </si>
  <si>
    <t>1) P3-SHHYGC-SGSAUE-V2BQLE-MVFRYL 2) C3-QBP8Y2-GSDY7M-LJTMT4-EEAB7W</t>
  </si>
  <si>
    <t>Ушел на войну.  в новой сделке с Окт 2020: первые 46$ профита фикс 15%; далее 10-12.5-15% в зависимости от АБИ до 39/40-99/100+</t>
  </si>
  <si>
    <t>$70000 profit</t>
  </si>
  <si>
    <t>DoEV2017</t>
  </si>
  <si>
    <t>https://docs.google.com/document/d/1HahcUN8qtPPzSsiT4uXlV36eXu50uoblP339ItVFDLQ/edit#</t>
  </si>
  <si>
    <t>7B-HDEN82-4A5TKW-Q7W29D-NPNCLP</t>
  </si>
  <si>
    <t xml:space="preserve">Контракт может быть закончен в конце календарного месяца для игроков вне пула; в конце месяца в пуле, если игрок состоит в одном из EV пулов (Стальной Феникс, HyperPool и другие).
</t>
  </si>
  <si>
    <t>Нет длины?</t>
  </si>
  <si>
    <t>Fix15</t>
  </si>
  <si>
    <t>20% фикс бэкинг + обучение</t>
  </si>
  <si>
    <t>Fix5</t>
  </si>
  <si>
    <t>RP-US6XAW-UMFKAV-DAA5YT-QEJS95</t>
  </si>
  <si>
    <t>Fix</t>
  </si>
  <si>
    <t>Платит 1800 авансом за 6 месяцев вперед. Последняя оплата истекает 13 Марта 2023. Оплатил месяц +600</t>
  </si>
  <si>
    <t>FQ-G4PPTA-P3EVQC-L8M6W7-A8HCYN</t>
  </si>
  <si>
    <t>6 months</t>
  </si>
  <si>
    <t>DoEVba</t>
  </si>
  <si>
    <t>https://docs.google.com/document/d/11CfoQLvDiMCwdKc2a3TpzaKWdWSqGU8J736aimrsu6Q/edit#</t>
  </si>
  <si>
    <t>PY-39QQRL-W37HRY-LK7J36-BZJQSQ</t>
  </si>
  <si>
    <t>40000 games</t>
  </si>
  <si>
    <t>SF</t>
  </si>
  <si>
    <t>https://docs.google.com/document/d/115CA019kE8h6oFKK75Tg6G_EZAOXBs-n/edit?usp=sharing&amp;ouid=109714701348271020736&amp;rtpof=true&amp;sd=true</t>
  </si>
  <si>
    <t>H5-2C9BJJ-KYMET4-6RWR4G-PA8BV9</t>
  </si>
  <si>
    <t>profit complex formula</t>
  </si>
  <si>
    <t>Fix12</t>
  </si>
  <si>
    <t>25% фикс бэкинг + обучение, с марта 2023- 12% обучение, с бекинга ушел</t>
  </si>
  <si>
    <t>B5-5CEH3W-PJYHEG-QMCHBS-5FKB3P</t>
  </si>
  <si>
    <t>https://docs.google.com/document/d/18XC4-h_e5TFUX5iSrk6lgvzsRHMoXc-w8d1kWjjVaOY/edit</t>
  </si>
  <si>
    <t>C4-RZHV38-WUDRCW-2YXE8J-ATK2GS</t>
  </si>
  <si>
    <t>https://docs.google.com/document/d/1AU9wJt8RBc4mwF0WQluBbVSuRO7lKHut1QyxLMT6jcA/edit#heading=h.25ed5ykm7zul</t>
  </si>
  <si>
    <t>59-ZFFM4Q-8SSGQR-HWAHGP-J2QFK7</t>
  </si>
  <si>
    <t>https://docs.google.com/document/d/1iFZ4XUTizX4joco29-OVJlBNAZ4Jbdol6cDZaR7RF8A/edit#heading=h.25ed5ykm7zul</t>
  </si>
  <si>
    <t>4Z-3C5N8S-ZLNFXZ-JNTCZN-ZKBVVV</t>
  </si>
  <si>
    <t>https://docs.google.com/document/d/13Lu5Zyjf5hcI7ZHd_dPzzz74Hooc9QGDnPaQuB1f62Y/edit#heading=h.25ed5ykm7zul</t>
  </si>
  <si>
    <t>BS-CNFDCJ-W85BCW-FUXEM3-PXHYSP</t>
  </si>
  <si>
    <t>https://docs.google.com/document/d/13sF5i-a9FaA0dD4NPSnaszOjDbj5GGXN5AnqXuom6Jc/edit</t>
  </si>
  <si>
    <t>P9-YYR95C-GZX975-HFM5SE-HS3LFR</t>
  </si>
  <si>
    <t>https://docs.google.com/document/d/1BW30bCRoLu_LS2mTloDwMHSZ4nTvPxxxVFHo5leTEWM/edit#heading=h.25ed5ykm7zul</t>
  </si>
  <si>
    <t>CX-JAN52D-Y6VGML-TRKCKF-FS357X</t>
  </si>
  <si>
    <t>Fix19</t>
  </si>
  <si>
    <t>https://docs.google.com/document/d/1ghLT7_3y8Sxu4W4cB2Du6iv9MhEP_G3oM-1-XIH_aHY/edit#</t>
  </si>
  <si>
    <t>Z4-VTMR4J-EMPAAQ-FQMYXH-Y8NVN2</t>
  </si>
  <si>
    <t>Откат с топ джек пота фиксировано равен 10%, с топ-2 множителя 15%</t>
  </si>
  <si>
    <t>https://docs.google.com/document/d/1P-pTlKvazDBlPUh1KIJ9NKLxdZa8bpzn/edit#bookmark=id.1fob9te</t>
  </si>
  <si>
    <t>WX-TET8E3-UEFLL4-3AUDC2-ZG5ZEB</t>
  </si>
  <si>
    <t>https://docs.google.com/document/d/1iXFlRel46W9KqYZ-sYMrBSPUTO1jKVvDBCgFWYzAH_s/edit#</t>
  </si>
  <si>
    <t>NX-8EB5BE-HT2JCW-72D23A-8LSSKC</t>
  </si>
  <si>
    <t>https://docs.google.com/document/d/14tmRkW0WjYUfesPPerv3kt3eizhuTz1eyuSwsMysTHg/edit?usp=sharing</t>
  </si>
  <si>
    <t>L5-5TN5C3-JXPQ8Y-D6SYX8-HSM9LZ</t>
  </si>
  <si>
    <t>https://docs.google.com/document/d/1CAEj8YnzQ5m_PeFBrrtPIoipZzkFggUsOCzjOl6skZ8/edit</t>
  </si>
  <si>
    <t>RP-E5CCF8-XWC387-587UBX-EU3Z83</t>
  </si>
  <si>
    <t>https://docs.google.com/document/d/1U5PHWA832EdhU2Y-ui1x4gAGcRQTo7uj/edit</t>
  </si>
  <si>
    <t>F5-WF6CQ3-37RTJ3-TCMGYB-AJUGSR</t>
  </si>
  <si>
    <t>Fix11.25</t>
  </si>
  <si>
    <t>https://docs.google.com/document/d/16M22gb4upZMrgGfqsVBbzRE6qbtKkj3xCaMauLLnMyo/edit#heading=h.25ed5ykm7zul</t>
  </si>
  <si>
    <t>Fix3.75</t>
  </si>
  <si>
    <t>7X-WZK4T9-LENWK3-7Z2U2K-HZHKVP</t>
  </si>
  <si>
    <t>85000 games</t>
  </si>
  <si>
    <t>https://docs.google.com/document/d/1sPzatE_R9jfAQ91birjuxg-NS2nXqkZZm1kjyi-cbuY/edit</t>
  </si>
  <si>
    <t>PQ-K2NYEB-6QPKLN-EXJ2J4-267SBP</t>
  </si>
  <si>
    <t>$200000 profit</t>
  </si>
  <si>
    <t>15% фикс за обучение, платит пока не будет тотал 37500 за обучение</t>
  </si>
  <si>
    <t>QX-D7GP62-KB34F6-H3G6GL-V298DW</t>
  </si>
  <si>
    <t>$250000 profit</t>
  </si>
  <si>
    <t>DoEVold</t>
  </si>
  <si>
    <t>https://docs.google.com/document/d/1him85b-xInISxgRXBNwPUWSZJ2BXMAfItIzwZAyfp-U/edit#</t>
  </si>
  <si>
    <t>Q9-ZF4DL7-Q325CQ-TT48JX-JFDR4S</t>
  </si>
  <si>
    <t>https://docs.google.com/document/d/1NF25SaXR2IiytLOk7Q2Zgyui56SrcNzXl_dzZ2Ww5wM/edit#heading=h.25ed5ykm7zul</t>
  </si>
  <si>
    <t>D6-Z6TBKU-RJAPE7-BUSUVK-B7EWF4</t>
  </si>
  <si>
    <t>30000 games</t>
  </si>
  <si>
    <t>https://docs.google.com/document/d/1MuPxIffyNa1xuQ8Q78uGvCKZmSYqhmdy/edit</t>
  </si>
  <si>
    <t>TJ-EA6EX7-GNKLEN-BE79J7-88LSYJ</t>
  </si>
  <si>
    <t>Есть не закрытый долг по прошлым откатам, сейчас старается платить все текущие и понемногу закрывать старые</t>
  </si>
  <si>
    <t>https://docs.google.com/document/d/1U-d450q_ceHkCLH32wmvaAPq50-KJFq3NUJmrCjymiQ/edit#</t>
  </si>
  <si>
    <t>KN-E332QT-V9CCV8-K9LP56-H8CXTK</t>
  </si>
  <si>
    <t>DoEVku</t>
  </si>
  <si>
    <t>https://docs.google.com/document/d/1iEG6qHqKPgWcrEbCj49ESWq0O_nxx1L5i8KPEAyBlbc/edit#heading=h.l069679f231p</t>
  </si>
  <si>
    <t>Fix10</t>
  </si>
  <si>
    <t>10% фикс сверху обучения за бэкинг</t>
  </si>
  <si>
    <t>E3-VMYWFN-DQQTCQ-EL8QR6-ZKPAXD</t>
  </si>
  <si>
    <t>33000 games</t>
  </si>
  <si>
    <t>DoEVLo</t>
  </si>
  <si>
    <t>https://docs.google.com/document/d/10w3Q4olfT_8stsoLAkFZFgREUkLVKMks5mD3xzvJj7g/edit#heading=h.25ed5ykm7zul</t>
  </si>
  <si>
    <t>XN-VNWT46-REH9TC-K6QEPS-G43ZJP</t>
  </si>
  <si>
    <t>https://docs.google.com/document/d/1MAclH8cw6sxO8TafElUqRL2tuWqCajT33UHGVMpaZmY/edit</t>
  </si>
  <si>
    <t>25-6GEBGP-FYVP9S-G335B8-VZJL7F</t>
  </si>
  <si>
    <t>Fix9</t>
  </si>
  <si>
    <t>12% фикс бэкинг + обучение</t>
  </si>
  <si>
    <t>Fix3</t>
  </si>
  <si>
    <t>9F-LZRU5Q-RAFVGX-3N5DBU-EJZCN4</t>
  </si>
  <si>
    <t>https://docs.google.com/document/d/1Qc8BSj5yB6uKoMXtuvjTTTD16N92mKtKlMlysxsPUns/edit#heading=h.j7kaqer2dh5p</t>
  </si>
  <si>
    <t>T9-CZYD7L-87W23X-92DK3A-5S5JNK</t>
  </si>
  <si>
    <t>https://docs.google.com/document/d/1bXZWnSTgaOKE-ydDwffpYO7FVRtA5f6J/edit#</t>
  </si>
  <si>
    <t>TQ-S3BL5Y-XKTK94-SM8X74-84BD6N</t>
  </si>
  <si>
    <t>DoEVold15</t>
  </si>
  <si>
    <t>https://docs.google.com/document/d/1l7Lbnkj5X1GWkYI5Lrgi5bZDroMrMl65hFlv57avLMQ/edit#heading=h.eb6fjlvy605</t>
  </si>
  <si>
    <t>KE-9L74FT-9P5RHE-46UFRE-FGMPLJ</t>
  </si>
  <si>
    <t>DoEVni</t>
  </si>
  <si>
    <t>https://docs.google.com/document/d/1i0nZ1z4SITsADhvYCLLr1N7Hf8kmpGndQRL02kNkMEQ/edit?usp=sharing</t>
  </si>
  <si>
    <t>6T-YMUX48-WKTFQK-DLGFJW-Y63GFF</t>
  </si>
  <si>
    <t>https://docs.google.com/document/d/1h_VAB_GPKEdrk4c0-BLidPA1lfm-6pMWMywuPXSRQYA/edit#</t>
  </si>
  <si>
    <t>KM-VX5Y76-VPM28T-PZC8W4-BUEV4N</t>
  </si>
  <si>
    <t>https://docs.google.com/document/d/17S40WWT29RPQ5AiRnet-KCtPnPaC4Nus/edit#</t>
  </si>
  <si>
    <t>F4-PXSV9Q-23FSPB-J3XXFZ-EZWQSP</t>
  </si>
  <si>
    <t>https://docs.google.com/document/d/1-Vk5ISnaB3SyhICpPkYA2J0-sqBb7FNy1v4-EZPdG6w/edit</t>
  </si>
  <si>
    <t>Q6-2KV6DB-ZQZK8A-4NSWYT-F4HMGY</t>
  </si>
  <si>
    <t>https://docs.google.com/document/d/1OQthQ5hjmewItE27NGG6QEVKo1oKodkd2gVjo8_1hvY/edit#heading=h.25ed5ykm7zul</t>
  </si>
  <si>
    <t>W3-7BLN6E-3XC6Q7-4MYLG5-9HLJAE</t>
  </si>
  <si>
    <t>https://docs.google.com/document/d/1j3e37YeQGL8ZzwQ8caZXRAJZoV9fM94b5DT-Xo4r9Y0/edit#heading=h.25ed5ykm7zul</t>
  </si>
  <si>
    <t>GE-TBPVU8-S6J8XM-3SYY33-KKE83W</t>
  </si>
  <si>
    <t>DoEVs1</t>
  </si>
  <si>
    <t>https://docs.google.com/document/d/1EAUvM7EvgCirxs1Jt7yMS60QM5KrUJvjO9xQ4DCiFKM/edit?usp=sharing</t>
  </si>
  <si>
    <t>5D-SSC59P-HVVCYA-LKM2RZ-X3PNT7</t>
  </si>
  <si>
    <t>https://docs.google.com/document/d/1V2kym5QSWQ3vpDWnV-3Qv4EfUmXxUInY7cgEKgJCc6c/edit</t>
  </si>
  <si>
    <t>HF-4KHCMN-ULFV9B-N3ZDYB-GVLA22</t>
  </si>
  <si>
    <t>https://docs.google.com/document/d/1dZetT-lef4J72j_opJVMMT5f5Ezfs0d23X9-9ElFWfg/edit#</t>
  </si>
  <si>
    <t>NQ-KN5ZRX-59Y8S5-JRYJGN-8GRJ8H</t>
  </si>
  <si>
    <t>DoEVsu</t>
  </si>
  <si>
    <t>https://docs.google.com/document/d/1RB0Czl7BJRo3EiVBOcCqsP5k6E1RSA7iEYNZ0GYzQTk/edit</t>
  </si>
  <si>
    <t>64-LY2K85-KTG5T5-XYQ5CD-K2X6PD</t>
  </si>
  <si>
    <t>https://docs.google.com/document/d/1zmNgo_Oe9UrOsh4MKWbvJwLv1VKdlXovlGPiyohfMpw/edit</t>
  </si>
  <si>
    <t>DK-CS3LP6-H9PJCP-Y24ER9-2CGA93</t>
  </si>
  <si>
    <t>https://docs.google.com/document/d/1WLhkmHRa8z9YmCF9wbHgJyveYHYjcEp4BkwAtrT6Sic/edit?usp=sharing</t>
  </si>
  <si>
    <t>https://docs.google.com/document/d/1lkRpS8T1vAA8woQWzR-8KFDjAFW4AiSOsNOW0OyoIoQ/edit#</t>
  </si>
  <si>
    <t>U6-MHBQU7-3FU24Q-AJMKME-ZWY9RS</t>
  </si>
  <si>
    <t>10% backing do 50, выше - отдельно</t>
  </si>
  <si>
    <t>https://docs.google.com/document/d/1Z9L87zlGM39kbzfXkPKSKsS2M6bKKPvees7T9L8B9N8/edit?usp=sharing</t>
  </si>
  <si>
    <t>LP-RELTSD-2ZVZCG-5Q34SR-CFH4WV</t>
  </si>
  <si>
    <t>https://docs.google.com/document/d/10ebrmvYOkWsmxN7wBujOu8RhvoyhvekNwJQPN4xXk1Q/edit#heading=h.25ed5ykm7zul</t>
  </si>
  <si>
    <t>4C-B79Q7Y-RZJBWM-HUBENK-NLLCFZ</t>
  </si>
  <si>
    <t>https://docs.google.com/document/d/1bDWdEpDPV1TN6awGgeYkrUO9n1OVl9ZfLOHzr42BsBU/edit#heading=h.25ed5ykm7zul</t>
  </si>
  <si>
    <t>RB-HCJ44H-KDGG2U-2SEQ95-6F47J8</t>
  </si>
  <si>
    <t>10% фикс обучение</t>
  </si>
  <si>
    <t>8N-2T29FN-5QC6BQ-NBYLMU-VTAKGY</t>
  </si>
  <si>
    <t>https://docs.google.com/document/d/1c2Djqls_HKszTJK1IzGd81AF6iLY5GwToCBpUV0ZTrE/edit?usp=share_link</t>
  </si>
  <si>
    <t>EZ-RBXDN3-BHPRXW-XXC7P5-WMEP8B</t>
  </si>
  <si>
    <t>https://docs.google.com/document/d/1EQojdMIfnkOLebjnM1jaCtutIJEwJ0kndq8K2CRCIdU/edit?usp=share_link</t>
  </si>
  <si>
    <t>Q6-E2V32W-DHP7H4-F7U3GD-9WPH3Y</t>
  </si>
  <si>
    <t>https://docs.google.com/document/d/1xyPmDdq_f7EfVxRYkSSFJ56BHgXZURDbsgyY3ZTb_Qs/edit?usp=share_link</t>
  </si>
  <si>
    <t>RD-MLCHX9-EULW5E-KGN2TB-M4P393</t>
  </si>
  <si>
    <t>https://docs.google.com/document/d/1YBNDSLt3_GBIK231ZsiDW4ek5kSiHWSuGvZjz5RaT6s/edit</t>
  </si>
  <si>
    <t>UE-598895-PYVGP4-VD3ERZ-NPJXLY</t>
  </si>
  <si>
    <t>https://docs.google.com/document/d/1pJrnULCkk91HeUMtK9V24bs3hg9bVHlGgwvdkFfBDr8/edit</t>
  </si>
  <si>
    <t>GL-XCTZX7-P2H56F-R9H4WN-WY2TXU</t>
  </si>
  <si>
    <t>Обучение 5% на 6 месяцев</t>
  </si>
  <si>
    <t>Fix11</t>
  </si>
  <si>
    <t>Бекинг 11% на 6 месяцев. Если месяц сыгран в минус, то + 1 месяц к продолжительности контракта</t>
  </si>
  <si>
    <t>9V-DGNCW5-EGH37R-FY2BYP-SFRZU3</t>
  </si>
  <si>
    <t>Особые условия</t>
  </si>
  <si>
    <t>Staking</t>
  </si>
  <si>
    <t>1. If Spins have positive For Split then Spins = 22% cut &amp; HU = 15% cut
2. If Spins have negative For Split we use HU to cover it. If there is some extra money from HU we split it with 15% Cut
3. If both HU &amp; Spins have negative For Split, we just play both until MU covered</t>
  </si>
  <si>
    <t>Status PokerStars COM/EU</t>
  </si>
  <si>
    <t>Status PokerStars ES/FR</t>
  </si>
  <si>
    <t>Status Winamax</t>
  </si>
  <si>
    <t>Status PartyPoker COM/EU</t>
  </si>
  <si>
    <t>Status GGNetwork</t>
  </si>
  <si>
    <t>EV Deal PokerStars COM/EU</t>
  </si>
  <si>
    <t>EV Deal PokerStars ES/FR</t>
  </si>
  <si>
    <t>EV Deal Winamax</t>
  </si>
  <si>
    <t>EV Deal PartyPoker COM/EU</t>
  </si>
  <si>
    <t>EV Deal GGNetwork</t>
  </si>
  <si>
    <t>AlphaBeast</t>
  </si>
  <si>
    <t>ErnestoGuevara</t>
  </si>
  <si>
    <t>Active</t>
  </si>
  <si>
    <t>Not in use</t>
  </si>
  <si>
    <t>SP</t>
  </si>
  <si>
    <t>HS</t>
  </si>
  <si>
    <t>No EV deal</t>
  </si>
  <si>
    <t>SkillReload</t>
  </si>
  <si>
    <t>VietnamAirlines</t>
  </si>
  <si>
    <t>benyya333</t>
  </si>
  <si>
    <t>Morel.</t>
  </si>
  <si>
    <t>SIVYPLE</t>
  </si>
  <si>
    <t>Parasol6ka</t>
  </si>
  <si>
    <t>Asus04</t>
  </si>
  <si>
    <t>dimandmb</t>
  </si>
  <si>
    <t>cortizo1_</t>
  </si>
  <si>
    <t>cortizol</t>
  </si>
  <si>
    <t>Unstoppable94</t>
  </si>
  <si>
    <t>OtsoCity</t>
  </si>
  <si>
    <t>1sarus</t>
  </si>
  <si>
    <t>HS + no EV deal</t>
  </si>
  <si>
    <t>Zampochudesam</t>
  </si>
  <si>
    <t>HoroshoSidim</t>
  </si>
  <si>
    <t>Utka_v_tapkah</t>
  </si>
  <si>
    <t>YourMomSoGood</t>
  </si>
  <si>
    <t>gRRR1z</t>
  </si>
  <si>
    <t>kiss4money</t>
  </si>
  <si>
    <t>Kiss4money</t>
  </si>
  <si>
    <t>your friend</t>
  </si>
  <si>
    <t>7rifle</t>
  </si>
  <si>
    <t>KuCoHwx</t>
  </si>
  <si>
    <t>Odesz</t>
  </si>
  <si>
    <t>Night Kin9GG</t>
  </si>
  <si>
    <t xml:space="preserve">leonidkomleves </t>
  </si>
  <si>
    <t>lakomka228</t>
  </si>
  <si>
    <t>DaryaKurt</t>
  </si>
  <si>
    <t xml:space="preserve">Kyiv ghoul </t>
  </si>
  <si>
    <t xml:space="preserve">Lada Priora </t>
  </si>
  <si>
    <t>Saim1n</t>
  </si>
  <si>
    <t>SDEBA11</t>
  </si>
  <si>
    <t>TGTBT</t>
  </si>
  <si>
    <t>drawchillah</t>
  </si>
  <si>
    <t>silhouettex</t>
  </si>
  <si>
    <t>aesaesthetics</t>
  </si>
  <si>
    <t>foryouou11222</t>
  </si>
  <si>
    <t>ToxaDemon</t>
  </si>
  <si>
    <t>728720vz</t>
  </si>
  <si>
    <t>montenegrik</t>
  </si>
  <si>
    <t>yakudza</t>
  </si>
  <si>
    <t>nemets1</t>
  </si>
  <si>
    <t>Pool EV</t>
  </si>
  <si>
    <t>EV ROI Correction</t>
  </si>
  <si>
    <t>For Split</t>
  </si>
  <si>
    <t>School Cut</t>
  </si>
  <si>
    <t>Cut Currency</t>
  </si>
  <si>
    <t>Game Currency</t>
  </si>
  <si>
    <t>$60</t>
  </si>
  <si>
    <t>$15</t>
  </si>
  <si>
    <t>$30</t>
  </si>
  <si>
    <t>$100 (old)</t>
  </si>
  <si>
    <t>$25 Promo</t>
  </si>
  <si>
    <t>$40 Promo</t>
  </si>
  <si>
    <t>$7</t>
  </si>
  <si>
    <t>$1 (old)</t>
  </si>
  <si>
    <t>$5 2M</t>
  </si>
  <si>
    <t>$15 Flash</t>
  </si>
  <si>
    <t>$7 Flash</t>
  </si>
  <si>
    <t>$30 Flash</t>
  </si>
  <si>
    <t>$100 Flash (old)</t>
  </si>
  <si>
    <t>$10 (old)</t>
  </si>
  <si>
    <t>$25 (old)</t>
  </si>
  <si>
    <t>$50 (old)</t>
  </si>
  <si>
    <t>$50 (1M) (old)</t>
  </si>
  <si>
    <t>$25 (1M) (old)</t>
  </si>
  <si>
    <t>$10 Flash (old)</t>
  </si>
  <si>
    <t>$5 (old)</t>
  </si>
  <si>
    <t>$5 (1M) (old)</t>
  </si>
  <si>
    <t>$5 Flash (old)</t>
  </si>
  <si>
    <t>$25 Flash (1M) (old)</t>
  </si>
  <si>
    <t>$50 Flash (old)</t>
  </si>
  <si>
    <t>jamitsadavai</t>
  </si>
  <si>
    <t>$25 Flash (old)</t>
  </si>
  <si>
    <t>$5 Flash (1M) (old)</t>
  </si>
  <si>
    <t>$0.25 (old)</t>
  </si>
  <si>
    <t>$2 (old)</t>
  </si>
  <si>
    <t>$500 Flash (old)</t>
  </si>
  <si>
    <t>xo4ydjekpotik</t>
  </si>
  <si>
    <t>$10 Flash (1M) (old)</t>
  </si>
  <si>
    <t>€5 (old)</t>
  </si>
  <si>
    <t>$250 (old)</t>
  </si>
  <si>
    <t>mi-rex</t>
  </si>
  <si>
    <t>$10 Flash (1M)</t>
  </si>
  <si>
    <t>$5 (1M) Ultra</t>
  </si>
  <si>
    <t>Crazy cucumbers</t>
  </si>
  <si>
    <t>pipitochipit</t>
  </si>
  <si>
    <t>€50 Nitro (old)</t>
  </si>
  <si>
    <t>4 ATMAN</t>
  </si>
  <si>
    <t>riover UA</t>
  </si>
  <si>
    <t>Fartumasti</t>
  </si>
  <si>
    <t>€50 (MP)</t>
  </si>
  <si>
    <t>€100 (MP)</t>
  </si>
  <si>
    <t>€250 (MP)</t>
  </si>
  <si>
    <t>€250 (old)</t>
  </si>
  <si>
    <t>€5 (MP)</t>
  </si>
  <si>
    <t>€250 (before 03.22)</t>
  </si>
  <si>
    <t>€500 (before 03.22)</t>
  </si>
  <si>
    <t>€500 Nitro (before 03.22)</t>
  </si>
  <si>
    <t>fartumasti</t>
  </si>
  <si>
    <t>kuCoHwx</t>
  </si>
  <si>
    <t>66.56.22</t>
  </si>
  <si>
    <t>€20 HU HT</t>
  </si>
  <si>
    <t>RUB</t>
  </si>
  <si>
    <t>€10 Nitro (bf 01.08)</t>
  </si>
  <si>
    <t>chie4taine</t>
  </si>
  <si>
    <t>iPoker IT</t>
  </si>
  <si>
    <t>RB</t>
  </si>
  <si>
    <t>PS</t>
  </si>
  <si>
    <t>PS, Winamax</t>
  </si>
  <si>
    <t>зафрижен на старзах</t>
  </si>
  <si>
    <t>не катал</t>
  </si>
  <si>
    <t>рейкбек с 13 марта по 1 апреля включительно</t>
  </si>
  <si>
    <t>в больнице, пришлет все около 3го числа</t>
  </si>
  <si>
    <t>Redstar GG</t>
  </si>
  <si>
    <t>-</t>
  </si>
  <si>
    <t>после 1 апреля</t>
  </si>
  <si>
    <t>потеряшка</t>
  </si>
  <si>
    <t>GG+PS</t>
  </si>
  <si>
    <t>https://drive.google.com/drive/u/7/folders/1UvSorLAsaoXmH0G__4D6yRo-zTfQDCAt</t>
  </si>
  <si>
    <t>https://drive.google.com/drive/u/7/folders/1BHXjt_nLSjJmM6r2_QOhJD5pRY7g7fGC</t>
  </si>
  <si>
    <t>пнула</t>
  </si>
  <si>
    <t>https://drive.google.com/drive/u/7/folders/1CT92ot93R5WGSr1j2Uz3aOg8UKThleuF</t>
  </si>
  <si>
    <t>RS+WX</t>
  </si>
  <si>
    <t>https://drive.google.com/drive/u/7/folders/1Iho-aLANsOobCW6XzPdgEumhw5fYIR8i</t>
  </si>
  <si>
    <t>https://drive.google.com/drive/u/7/folders/17WMuwx0DBXc_TJoYYhNcx295k204BoJu</t>
  </si>
  <si>
    <t>GG+RS</t>
  </si>
  <si>
    <t>https://drive.google.com/drive/u/7/folders/1L0UIUpES6itKbCop0MYcvCMdyxQbqbJ4</t>
  </si>
  <si>
    <t>Ваня в деле</t>
  </si>
  <si>
    <t>fix</t>
  </si>
  <si>
    <t>не нужна дележка</t>
  </si>
  <si>
    <t>WX</t>
  </si>
  <si>
    <t>https://drive.google.com/drive/u/7/folders/1aYDkj8aVfKuACZ02q8-nZheuEU_M3pgx</t>
  </si>
  <si>
    <t>WX+PS</t>
  </si>
  <si>
    <t>не играл ничего тк нету света, скрины не делал тк там все пусто, есть видео созвона</t>
  </si>
  <si>
    <t>https://drive.google.com/drive/u/7/folders/1iXfYc3o6SLgPBnK2TG6nIeyO4cDMG6aL</t>
  </si>
  <si>
    <t>PS+GG</t>
  </si>
  <si>
    <t>RS</t>
  </si>
  <si>
    <t>https://drive.google.com/drive/u/7/folders/1wXA_epqDH_O77TSJiNEM4KYb-h9Nt4tn</t>
  </si>
  <si>
    <t>https://drive.google.com/drive/u/7/folders/1dWQusP9WFX840qMLZd0DRqlIhfeMs8Xc</t>
  </si>
  <si>
    <t>https://drive.google.com/drive/u/7/folders/1Wdo8mxq0d__oXPrsEgtTMKf8M8vAwHYF</t>
  </si>
  <si>
    <t>https://drive.google.com/drive/u/7/folders/1GFUQTeWvv_i2EDhZIAD6UeFTyGxchfNt</t>
  </si>
  <si>
    <t>new</t>
  </si>
  <si>
    <t>https://i.imgur.com/7q0SoT9.png 20485,41</t>
  </si>
  <si>
    <t>SUM of Games</t>
  </si>
  <si>
    <t>School's Cut</t>
  </si>
  <si>
    <t>00goldimon Total</t>
  </si>
  <si>
    <t>Abcdf Total</t>
  </si>
  <si>
    <t>bbaltqq Total</t>
  </si>
  <si>
    <t>CrippledMind Total</t>
  </si>
  <si>
    <t>Ekx444 Total</t>
  </si>
  <si>
    <t>eternity1 Total</t>
  </si>
  <si>
    <t>Farodit Total</t>
  </si>
  <si>
    <t>Fedorovi4 Total</t>
  </si>
  <si>
    <t>fig6 Total</t>
  </si>
  <si>
    <t>fortunate773 Total</t>
  </si>
  <si>
    <t>fraum@rta Total</t>
  </si>
  <si>
    <t>Freedoom Total</t>
  </si>
  <si>
    <t>guilexperi Total</t>
  </si>
  <si>
    <t>Kiss4money99 Total</t>
  </si>
  <si>
    <t>KuCoH Total</t>
  </si>
  <si>
    <t>Mexanuk_AV Total</t>
  </si>
  <si>
    <t>mr_al3x Total</t>
  </si>
  <si>
    <t>Night Kin9 Total</t>
  </si>
  <si>
    <t>Orthodoxxxx Total</t>
  </si>
  <si>
    <t>prodoman Total</t>
  </si>
  <si>
    <t>S1lense Total</t>
  </si>
  <si>
    <t>Sun_Set_pro8 Total</t>
  </si>
  <si>
    <t>supreme325i Total</t>
  </si>
  <si>
    <t>Grand Total</t>
  </si>
  <si>
    <t>SUM of BuyIns</t>
  </si>
  <si>
    <t>Periods to split</t>
  </si>
  <si>
    <t xml:space="preserve">Total </t>
  </si>
  <si>
    <t>Stacking type</t>
  </si>
  <si>
    <t>Distance</t>
  </si>
  <si>
    <t>007x2 Total</t>
  </si>
  <si>
    <t>AlexanderDSL Total</t>
  </si>
  <si>
    <t>barabashOva Total</t>
  </si>
  <si>
    <t>benyya Total</t>
  </si>
  <si>
    <t>Berebka Total</t>
  </si>
  <si>
    <t>BodyaComUa Total</t>
  </si>
  <si>
    <t>Davaibablo Total</t>
  </si>
  <si>
    <t>DepositBeast Total</t>
  </si>
  <si>
    <t>DeusVulter Total</t>
  </si>
  <si>
    <t>dimandmb1 Total</t>
  </si>
  <si>
    <t>DimanTT Total</t>
  </si>
  <si>
    <t>dimasik Total</t>
  </si>
  <si>
    <t>ekomlev98 Total</t>
  </si>
  <si>
    <t>gRRRiz Total</t>
  </si>
  <si>
    <t>Immelstoran Total</t>
  </si>
  <si>
    <t>kttweek1 Total</t>
  </si>
  <si>
    <t>Lo4io Total</t>
  </si>
  <si>
    <t>Mackevgen Total</t>
  </si>
  <si>
    <t>Mandr1990 Total</t>
  </si>
  <si>
    <t>mdzr Total</t>
  </si>
  <si>
    <t>OneTaper Total</t>
  </si>
  <si>
    <t>overplayKK Total</t>
  </si>
  <si>
    <t>QQcheliQ Total</t>
  </si>
  <si>
    <t>Rus29APX Total</t>
  </si>
  <si>
    <t>SDEBA1 Total</t>
  </si>
  <si>
    <t>thepzdc Total</t>
  </si>
  <si>
    <t>TVREZ Total</t>
  </si>
  <si>
    <t>ushakov17 Total</t>
  </si>
  <si>
    <t>VermillionPoker Total</t>
  </si>
  <si>
    <t>vezuxa Total</t>
  </si>
  <si>
    <t>volkovsky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</si>
</sst>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[$£-809]#,##0.00"/>
    <numFmt numFmtId="165" formatCode="0.000"/>
    <numFmt numFmtId="166" formatCode="d/m/yyyy"/>
    <numFmt numFmtId="167" formatCode="&quot; &quot;mmmm&quot; &quot;yyyy"/>
    <numFmt numFmtId="168" formatCode="&quot;$&quot;#,##0.00"/>
    <numFmt numFmtId="169" formatCode="dd&quot;/&quot;mm&quot;/&quot;yyyy"/>
    <numFmt numFmtId="170" formatCode="#,##0.0"/>
    <numFmt numFmtId="171" formatCode="d&quot; &quot;mmm&quot; &quot;yyyy"/>
    <numFmt numFmtId="172" formatCode="mmmm\ d\,\ yyyy"/>
    <numFmt numFmtId="173" formatCode="hh:mm:ss"/>
    <numFmt numFmtId="174" formatCode="0.0000%"/>
    <numFmt numFmtId="175" formatCode="mmmm\ yyyy"/>
    <numFmt numFmtId="176" formatCode="0.0"/>
  </numFmts>
  <fonts count="29" x14ac:knownFonts="1">
    <font>
      <sz val="10"/>
      <color rgb="FF000000"/>
      <name val="Arial"/>
      <scheme val="minor"/>
    </font>
    <font>
      <b/>
      <sz val="11"/>
      <color theme="1"/>
      <name val="Arial"/>
    </font>
    <font>
      <sz val="11"/>
      <color theme="1"/>
      <name val="Arial"/>
    </font>
    <font>
      <sz val="10"/>
      <color theme="1"/>
      <name val="Arial"/>
      <scheme val="minor"/>
    </font>
    <font>
      <sz val="10"/>
      <color theme="1"/>
      <name val="Arial"/>
    </font>
    <font>
      <b/>
      <sz val="12"/>
      <color theme="1"/>
      <name val="Arial"/>
    </font>
    <font>
      <sz val="12"/>
      <color theme="1"/>
      <name val="Arial"/>
    </font>
    <font>
      <b/>
      <sz val="10"/>
      <color theme="1"/>
      <name val="Arial"/>
    </font>
    <font>
      <u/>
      <sz val="10"/>
      <color rgb="FF1155CC"/>
      <name val="Arial"/>
    </font>
    <font>
      <u/>
      <sz val="10"/>
      <color rgb="FF0000FF"/>
      <name val="Arial"/>
    </font>
    <font>
      <sz val="11"/>
      <color rgb="FF000000"/>
      <name val="Roboto"/>
    </font>
    <font>
      <sz val="10"/>
      <color rgb="FF000000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sz val="11"/>
      <color rgb="FF000000"/>
      <name val="Arial"/>
    </font>
    <font>
      <u/>
      <sz val="10"/>
      <color rgb="FF0000FF"/>
      <name val="Arial"/>
    </font>
    <font>
      <sz val="11"/>
      <color rgb="FF222222"/>
      <name val="Arial"/>
    </font>
    <font>
      <u/>
      <sz val="10"/>
      <color rgb="FF0000FF"/>
      <name val="Arial"/>
    </font>
    <font>
      <b/>
      <sz val="9"/>
      <color theme="1"/>
      <name val="Arial"/>
    </font>
    <font>
      <sz val="9"/>
      <color theme="1"/>
      <name val="Arial"/>
    </font>
    <font>
      <sz val="9"/>
      <color rgb="FF000000"/>
      <name val="Arial"/>
    </font>
    <font>
      <sz val="10"/>
      <color rgb="FF000000"/>
      <name val="Roboto"/>
    </font>
    <font>
      <sz val="11"/>
      <color rgb="FF000000"/>
      <name val="Calibri"/>
    </font>
    <font>
      <u/>
      <sz val="10"/>
      <color rgb="FF0000FF"/>
      <name val="Arial"/>
    </font>
    <font>
      <u/>
      <sz val="10"/>
      <color rgb="FF0000FF"/>
      <name val="Arial"/>
    </font>
  </fonts>
  <fills count="21">
    <fill>
      <patternFill patternType="none"/>
    </fill>
    <fill>
      <patternFill patternType="gray125"/>
    </fill>
    <fill>
      <patternFill patternType="solid">
        <fgColor rgb="FFD0E0E3"/>
        <bgColor rgb="FFD0E0E3"/>
      </patternFill>
    </fill>
    <fill>
      <patternFill patternType="solid">
        <fgColor rgb="FFC9DAF8"/>
        <bgColor rgb="FFC9DAF8"/>
      </patternFill>
    </fill>
    <fill>
      <patternFill patternType="solid">
        <fgColor rgb="FFD9EAD3"/>
        <bgColor rgb="FFD9EAD3"/>
      </patternFill>
    </fill>
    <fill>
      <patternFill patternType="solid">
        <fgColor rgb="FFFCE5CD"/>
        <bgColor rgb="FFFCE5CD"/>
      </patternFill>
    </fill>
    <fill>
      <patternFill patternType="solid">
        <fgColor rgb="FFFFF2CC"/>
        <bgColor rgb="FFFFF2CC"/>
      </patternFill>
    </fill>
    <fill>
      <patternFill patternType="solid">
        <fgColor rgb="FFB4A7D6"/>
        <bgColor rgb="FFB4A7D6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6AA84F"/>
        <bgColor rgb="FF6AA84F"/>
      </patternFill>
    </fill>
    <fill>
      <patternFill patternType="solid">
        <fgColor rgb="FFD9D2E9"/>
        <bgColor rgb="FFD9D2E9"/>
      </patternFill>
    </fill>
    <fill>
      <patternFill patternType="solid">
        <fgColor rgb="FF8E7CC3"/>
        <bgColor rgb="FF8E7CC3"/>
      </patternFill>
    </fill>
    <fill>
      <patternFill patternType="solid">
        <fgColor rgb="FF9FC5E8"/>
        <bgColor rgb="FF9FC5E8"/>
      </patternFill>
    </fill>
    <fill>
      <patternFill patternType="solid">
        <fgColor rgb="FFFFE599"/>
        <bgColor rgb="FFFFE599"/>
      </patternFill>
    </fill>
    <fill>
      <patternFill patternType="solid">
        <fgColor rgb="FFD5A6BD"/>
        <bgColor rgb="FFD5A6BD"/>
      </patternFill>
    </fill>
    <fill>
      <patternFill patternType="solid">
        <fgColor rgb="FF6FA8DC"/>
        <bgColor rgb="FF6FA8DC"/>
      </patternFill>
    </fill>
    <fill>
      <patternFill patternType="solid">
        <fgColor rgb="FFE69138"/>
        <bgColor rgb="FFE69138"/>
      </patternFill>
    </fill>
    <fill>
      <patternFill patternType="solid">
        <fgColor rgb="FF3C78D8"/>
        <bgColor rgb="FF3C78D8"/>
      </patternFill>
    </fill>
    <fill>
      <patternFill patternType="solid">
        <fgColor rgb="FFCC0000"/>
        <bgColor rgb="FFCC0000"/>
      </patternFill>
    </fill>
    <fill>
      <patternFill patternType="solid">
        <fgColor rgb="FF6D9EEB"/>
        <bgColor rgb="FF6D9EEB"/>
      </patternFill>
    </fill>
  </fills>
  <borders count="4">
    <border>
      <left/>
      <right/>
      <top/>
      <bottom/>
      <diagonal/>
    </border>
    <border>
      <left/>
      <right style="thick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318">
    <xf numFmtId="0" fontId="0" fillId="0" borderId="0" xfId="0" applyFont="1" applyAlignment="1"/>
    <xf numFmtId="164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1" fontId="1" fillId="4" borderId="0" xfId="0" applyNumberFormat="1" applyFont="1" applyFill="1" applyAlignment="1">
      <alignment horizontal="center" vertical="center" wrapText="1"/>
    </xf>
    <xf numFmtId="3" fontId="1" fillId="5" borderId="0" xfId="0" applyNumberFormat="1" applyFont="1" applyFill="1" applyAlignment="1">
      <alignment horizontal="center" vertical="center" wrapText="1"/>
    </xf>
    <xf numFmtId="0" fontId="1" fillId="6" borderId="0" xfId="0" applyFont="1" applyFill="1" applyAlignment="1">
      <alignment horizontal="center" vertical="center" wrapText="1"/>
    </xf>
    <xf numFmtId="1" fontId="1" fillId="0" borderId="0" xfId="0" applyNumberFormat="1" applyFont="1" applyAlignment="1">
      <alignment horizontal="center" vertical="center" wrapText="1"/>
    </xf>
    <xf numFmtId="2" fontId="1" fillId="0" borderId="0" xfId="0" applyNumberFormat="1" applyFont="1" applyAlignment="1">
      <alignment horizontal="center" vertical="center" wrapText="1"/>
    </xf>
    <xf numFmtId="0" fontId="1" fillId="7" borderId="0" xfId="0" applyFont="1" applyFill="1" applyAlignment="1">
      <alignment horizontal="center" vertical="center" wrapText="1"/>
    </xf>
    <xf numFmtId="1" fontId="1" fillId="6" borderId="0" xfId="0" applyNumberFormat="1" applyFont="1" applyFill="1" applyAlignment="1">
      <alignment horizontal="center" vertical="center" wrapText="1"/>
    </xf>
    <xf numFmtId="1" fontId="1" fillId="7" borderId="0" xfId="0" applyNumberFormat="1" applyFont="1" applyFill="1" applyAlignment="1">
      <alignment horizontal="center" vertical="center" wrapText="1"/>
    </xf>
    <xf numFmtId="165" fontId="1" fillId="0" borderId="0" xfId="0" applyNumberFormat="1" applyFont="1" applyAlignment="1">
      <alignment horizontal="center" vertical="center" wrapText="1"/>
    </xf>
    <xf numFmtId="1" fontId="1" fillId="0" borderId="0" xfId="0" applyNumberFormat="1" applyFont="1" applyAlignment="1">
      <alignment horizontal="center" vertical="center" wrapText="1"/>
    </xf>
    <xf numFmtId="9" fontId="1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wrapText="1"/>
    </xf>
    <xf numFmtId="14" fontId="2" fillId="0" borderId="0" xfId="0" applyNumberFormat="1" applyFont="1" applyAlignment="1">
      <alignment horizontal="center" wrapText="1"/>
    </xf>
    <xf numFmtId="166" fontId="2" fillId="0" borderId="0" xfId="0" applyNumberFormat="1" applyFont="1" applyAlignment="1">
      <alignment horizontal="center" wrapText="1"/>
    </xf>
    <xf numFmtId="167" fontId="2" fillId="0" borderId="0" xfId="0" applyNumberFormat="1" applyFont="1" applyAlignment="1">
      <alignment horizontal="center" wrapText="1"/>
    </xf>
    <xf numFmtId="168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 wrapText="1"/>
    </xf>
    <xf numFmtId="0" fontId="2" fillId="2" borderId="0" xfId="0" applyFont="1" applyFill="1" applyAlignment="1">
      <alignment horizontal="center" wrapText="1"/>
    </xf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3" fontId="2" fillId="5" borderId="0" xfId="0" applyNumberFormat="1" applyFont="1" applyFill="1" applyAlignment="1">
      <alignment horizontal="center"/>
    </xf>
    <xf numFmtId="0" fontId="2" fillId="6" borderId="0" xfId="0" applyFont="1" applyFill="1" applyAlignment="1">
      <alignment horizontal="center" wrapText="1"/>
    </xf>
    <xf numFmtId="2" fontId="2" fillId="0" borderId="0" xfId="0" applyNumberFormat="1" applyFont="1" applyAlignment="1">
      <alignment horizontal="center" wrapText="1"/>
    </xf>
    <xf numFmtId="10" fontId="2" fillId="0" borderId="0" xfId="0" applyNumberFormat="1" applyFont="1" applyAlignment="1">
      <alignment horizontal="center"/>
    </xf>
    <xf numFmtId="3" fontId="2" fillId="7" borderId="0" xfId="0" applyNumberFormat="1" applyFont="1" applyFill="1" applyAlignment="1">
      <alignment horizontal="center"/>
    </xf>
    <xf numFmtId="3" fontId="2" fillId="7" borderId="0" xfId="0" applyNumberFormat="1" applyFont="1" applyFill="1" applyAlignment="1">
      <alignment horizontal="center" wrapText="1"/>
    </xf>
    <xf numFmtId="165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 wrapText="1"/>
    </xf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2" borderId="0" xfId="0" applyFont="1" applyFill="1" applyAlignment="1">
      <alignment horizontal="center" wrapText="1"/>
    </xf>
    <xf numFmtId="0" fontId="2" fillId="0" borderId="0" xfId="0" applyFont="1" applyAlignment="1">
      <alignment horizontal="center"/>
    </xf>
    <xf numFmtId="169" fontId="2" fillId="0" borderId="0" xfId="0" applyNumberFormat="1" applyFont="1" applyAlignment="1">
      <alignment horizontal="center" wrapText="1"/>
    </xf>
    <xf numFmtId="3" fontId="2" fillId="5" borderId="0" xfId="0" applyNumberFormat="1" applyFont="1" applyFill="1" applyAlignment="1">
      <alignment horizontal="center" wrapText="1"/>
    </xf>
    <xf numFmtId="0" fontId="2" fillId="5" borderId="0" xfId="0" applyFont="1" applyFill="1" applyAlignment="1">
      <alignment horizontal="center"/>
    </xf>
    <xf numFmtId="3" fontId="2" fillId="5" borderId="0" xfId="0" applyNumberFormat="1" applyFont="1" applyFill="1" applyAlignment="1">
      <alignment horizontal="center"/>
    </xf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 wrapText="1"/>
    </xf>
    <xf numFmtId="167" fontId="2" fillId="0" borderId="0" xfId="0" applyNumberFormat="1" applyFont="1" applyAlignment="1">
      <alignment horizontal="center" wrapText="1"/>
    </xf>
    <xf numFmtId="168" fontId="2" fillId="0" borderId="0" xfId="0" applyNumberFormat="1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3" fontId="2" fillId="5" borderId="0" xfId="0" applyNumberFormat="1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0" fontId="2" fillId="0" borderId="0" xfId="0" applyNumberFormat="1" applyFont="1" applyAlignment="1">
      <alignment horizontal="center" vertical="center"/>
    </xf>
    <xf numFmtId="0" fontId="2" fillId="6" borderId="0" xfId="0" applyFont="1" applyFill="1" applyAlignment="1">
      <alignment horizontal="center" vertical="center" wrapText="1"/>
    </xf>
    <xf numFmtId="165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4" fontId="2" fillId="0" borderId="0" xfId="0" applyNumberFormat="1" applyFont="1" applyAlignment="1">
      <alignment horizontal="center" wrapText="1"/>
    </xf>
    <xf numFmtId="2" fontId="2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/>
    </xf>
    <xf numFmtId="3" fontId="2" fillId="5" borderId="0" xfId="0" applyNumberFormat="1" applyFont="1" applyFill="1" applyAlignment="1">
      <alignment horizontal="center" vertical="center" wrapText="1"/>
    </xf>
    <xf numFmtId="0" fontId="2" fillId="6" borderId="0" xfId="0" applyFont="1" applyFill="1" applyAlignment="1">
      <alignment horizontal="center"/>
    </xf>
    <xf numFmtId="1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169" fontId="2" fillId="0" borderId="0" xfId="0" applyNumberFormat="1" applyFont="1" applyAlignment="1">
      <alignment horizontal="center" vertical="center" wrapText="1"/>
    </xf>
    <xf numFmtId="166" fontId="2" fillId="0" borderId="0" xfId="0" applyNumberFormat="1" applyFont="1" applyAlignment="1">
      <alignment horizontal="center" vertical="center" wrapText="1"/>
    </xf>
    <xf numFmtId="1" fontId="2" fillId="0" borderId="0" xfId="0" applyNumberFormat="1" applyFont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1" fontId="2" fillId="3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3" fontId="2" fillId="5" borderId="0" xfId="0" applyNumberFormat="1" applyFont="1" applyFill="1" applyAlignment="1">
      <alignment horizontal="center" vertical="center"/>
    </xf>
    <xf numFmtId="169" fontId="2" fillId="0" borderId="0" xfId="0" applyNumberFormat="1" applyFont="1" applyAlignment="1">
      <alignment horizontal="center" vertical="center"/>
    </xf>
    <xf numFmtId="10" fontId="2" fillId="0" borderId="0" xfId="0" applyNumberFormat="1" applyFont="1" applyAlignment="1">
      <alignment horizontal="center"/>
    </xf>
    <xf numFmtId="3" fontId="2" fillId="5" borderId="0" xfId="0" applyNumberFormat="1" applyFont="1" applyFill="1" applyAlignment="1">
      <alignment horizontal="center" vertical="center"/>
    </xf>
    <xf numFmtId="167" fontId="2" fillId="0" borderId="0" xfId="0" applyNumberFormat="1" applyFont="1" applyAlignment="1">
      <alignment horizontal="center" vertical="center" wrapText="1"/>
    </xf>
    <xf numFmtId="49" fontId="2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 wrapText="1"/>
    </xf>
    <xf numFmtId="14" fontId="2" fillId="0" borderId="0" xfId="0" applyNumberFormat="1" applyFont="1" applyAlignment="1">
      <alignment horizontal="center" wrapText="1"/>
    </xf>
    <xf numFmtId="166" fontId="2" fillId="0" borderId="0" xfId="0" applyNumberFormat="1" applyFont="1" applyAlignment="1">
      <alignment horizontal="center" wrapText="1"/>
    </xf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167" fontId="2" fillId="0" borderId="0" xfId="0" applyNumberFormat="1" applyFont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70" fontId="2" fillId="5" borderId="0" xfId="0" applyNumberFormat="1" applyFont="1" applyFill="1" applyAlignment="1">
      <alignment horizontal="center" vertical="center" wrapText="1"/>
    </xf>
    <xf numFmtId="1" fontId="2" fillId="4" borderId="0" xfId="0" applyNumberFormat="1" applyFont="1" applyFill="1" applyAlignment="1">
      <alignment horizontal="center" vertical="center"/>
    </xf>
    <xf numFmtId="1" fontId="2" fillId="6" borderId="0" xfId="0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4" fontId="2" fillId="6" borderId="0" xfId="0" applyNumberFormat="1" applyFont="1" applyFill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4" fontId="2" fillId="5" borderId="0" xfId="0" applyNumberFormat="1" applyFont="1" applyFill="1" applyAlignment="1">
      <alignment horizontal="center" wrapText="1"/>
    </xf>
    <xf numFmtId="10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1" fontId="2" fillId="4" borderId="0" xfId="0" applyNumberFormat="1" applyFont="1" applyFill="1" applyAlignment="1">
      <alignment horizontal="center" vertical="center" wrapText="1"/>
    </xf>
    <xf numFmtId="1" fontId="2" fillId="0" borderId="0" xfId="0" applyNumberFormat="1" applyFont="1" applyAlignment="1">
      <alignment horizontal="center" vertical="center" wrapText="1"/>
    </xf>
    <xf numFmtId="1" fontId="2" fillId="6" borderId="0" xfId="0" applyNumberFormat="1" applyFont="1" applyFill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165" fontId="2" fillId="0" borderId="0" xfId="0" applyNumberFormat="1" applyFont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 wrapText="1"/>
    </xf>
    <xf numFmtId="3" fontId="2" fillId="0" borderId="0" xfId="0" applyNumberFormat="1" applyFont="1" applyAlignment="1">
      <alignment horizontal="center" vertical="center" wrapText="1"/>
    </xf>
    <xf numFmtId="3" fontId="2" fillId="6" borderId="0" xfId="0" applyNumberFormat="1" applyFont="1" applyFill="1" applyAlignment="1">
      <alignment horizontal="center" vertical="center" wrapText="1"/>
    </xf>
    <xf numFmtId="1" fontId="2" fillId="6" borderId="0" xfId="0" applyNumberFormat="1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wrapText="1"/>
    </xf>
    <xf numFmtId="49" fontId="2" fillId="8" borderId="0" xfId="0" applyNumberFormat="1" applyFont="1" applyFill="1" applyAlignment="1">
      <alignment horizontal="center"/>
    </xf>
    <xf numFmtId="3" fontId="2" fillId="5" borderId="0" xfId="0" applyNumberFormat="1" applyFont="1" applyFill="1" applyAlignment="1">
      <alignment horizontal="center" wrapText="1"/>
    </xf>
    <xf numFmtId="4" fontId="2" fillId="5" borderId="0" xfId="0" applyNumberFormat="1" applyFont="1" applyFill="1" applyAlignment="1">
      <alignment horizont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/>
    </xf>
    <xf numFmtId="0" fontId="2" fillId="0" borderId="0" xfId="0" applyFont="1" applyAlignment="1">
      <alignment horizontal="center" wrapText="1"/>
    </xf>
    <xf numFmtId="3" fontId="2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 wrapText="1"/>
    </xf>
    <xf numFmtId="1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1" fontId="2" fillId="6" borderId="0" xfId="0" applyNumberFormat="1" applyFont="1" applyFill="1" applyAlignment="1">
      <alignment horizontal="center" vertical="center"/>
    </xf>
    <xf numFmtId="168" fontId="2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169" fontId="2" fillId="0" borderId="0" xfId="0" applyNumberFormat="1" applyFont="1" applyAlignment="1">
      <alignment horizontal="center" vertical="center"/>
    </xf>
    <xf numFmtId="167" fontId="2" fillId="0" borderId="0" xfId="0" applyNumberFormat="1" applyFont="1" applyAlignment="1">
      <alignment horizontal="center" vertical="center"/>
    </xf>
    <xf numFmtId="1" fontId="2" fillId="4" borderId="0" xfId="0" applyNumberFormat="1" applyFont="1" applyFill="1" applyAlignment="1">
      <alignment horizontal="center" vertical="center" wrapText="1"/>
    </xf>
    <xf numFmtId="1" fontId="2" fillId="4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3" fillId="0" borderId="0" xfId="0" applyFont="1" applyAlignment="1"/>
    <xf numFmtId="49" fontId="3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1" fillId="0" borderId="0" xfId="0" applyFont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0" fontId="1" fillId="3" borderId="0" xfId="0" applyFont="1" applyFill="1" applyAlignment="1">
      <alignment horizontal="center" wrapText="1"/>
    </xf>
    <xf numFmtId="3" fontId="4" fillId="0" borderId="0" xfId="0" applyNumberFormat="1" applyFont="1"/>
    <xf numFmtId="0" fontId="4" fillId="0" borderId="0" xfId="0" applyFont="1" applyAlignment="1"/>
    <xf numFmtId="3" fontId="1" fillId="9" borderId="0" xfId="0" applyNumberFormat="1" applyFont="1" applyFill="1" applyAlignment="1">
      <alignment horizontal="center" wrapText="1"/>
    </xf>
    <xf numFmtId="3" fontId="1" fillId="5" borderId="0" xfId="0" applyNumberFormat="1" applyFont="1" applyFill="1" applyAlignment="1">
      <alignment horizontal="center" wrapText="1"/>
    </xf>
    <xf numFmtId="0" fontId="5" fillId="0" borderId="0" xfId="0" applyFont="1" applyAlignment="1"/>
    <xf numFmtId="0" fontId="6" fillId="0" borderId="0" xfId="0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2" fillId="2" borderId="0" xfId="0" applyFont="1" applyFill="1" applyAlignment="1">
      <alignment horizontal="center" wrapText="1"/>
    </xf>
    <xf numFmtId="0" fontId="4" fillId="9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3" fontId="6" fillId="0" borderId="0" xfId="0" applyNumberFormat="1" applyFont="1" applyAlignment="1">
      <alignment horizontal="center"/>
    </xf>
    <xf numFmtId="10" fontId="6" fillId="0" borderId="0" xfId="0" applyNumberFormat="1" applyFont="1" applyAlignment="1">
      <alignment horizontal="center"/>
    </xf>
    <xf numFmtId="0" fontId="5" fillId="0" borderId="0" xfId="0" applyFont="1" applyAlignment="1"/>
    <xf numFmtId="1" fontId="6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7" fillId="10" borderId="0" xfId="0" applyFont="1" applyFill="1" applyAlignment="1">
      <alignment horizontal="center" vertical="center" wrapText="1"/>
    </xf>
    <xf numFmtId="171" fontId="7" fillId="10" borderId="0" xfId="0" applyNumberFormat="1" applyFont="1" applyFill="1" applyAlignment="1">
      <alignment horizontal="center" vertical="center" wrapText="1"/>
    </xf>
    <xf numFmtId="0" fontId="7" fillId="10" borderId="0" xfId="0" applyFont="1" applyFill="1" applyAlignment="1">
      <alignment horizontal="center" vertical="center" wrapText="1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171" fontId="4" fillId="0" borderId="0" xfId="0" applyNumberFormat="1" applyFont="1" applyAlignment="1">
      <alignment horizontal="left" vertical="center"/>
    </xf>
    <xf numFmtId="0" fontId="4" fillId="0" borderId="0" xfId="0" quotePrefix="1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10" fillId="8" borderId="0" xfId="0" applyFont="1" applyFill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4" fillId="0" borderId="0" xfId="0" applyFont="1" applyAlignment="1"/>
    <xf numFmtId="14" fontId="4" fillId="0" borderId="0" xfId="0" applyNumberFormat="1" applyFont="1" applyAlignment="1">
      <alignment horizontal="right"/>
    </xf>
    <xf numFmtId="0" fontId="13" fillId="0" borderId="0" xfId="0" applyFont="1" applyAlignment="1"/>
    <xf numFmtId="0" fontId="14" fillId="0" borderId="0" xfId="0" applyFont="1" applyAlignment="1"/>
    <xf numFmtId="0" fontId="4" fillId="0" borderId="0" xfId="0" applyFont="1" applyAlignment="1"/>
    <xf numFmtId="0" fontId="4" fillId="0" borderId="0" xfId="0" applyFont="1" applyAlignment="1"/>
    <xf numFmtId="14" fontId="4" fillId="0" borderId="0" xfId="0" applyNumberFormat="1" applyFont="1" applyAlignment="1">
      <alignment horizontal="right"/>
    </xf>
    <xf numFmtId="0" fontId="4" fillId="0" borderId="0" xfId="0" applyFont="1" applyAlignment="1"/>
    <xf numFmtId="0" fontId="15" fillId="0" borderId="0" xfId="0" applyFont="1" applyAlignment="1"/>
    <xf numFmtId="172" fontId="16" fillId="0" borderId="0" xfId="0" applyNumberFormat="1" applyFont="1" applyAlignment="1"/>
    <xf numFmtId="0" fontId="7" fillId="11" borderId="0" xfId="0" applyFont="1" applyFill="1" applyAlignment="1">
      <alignment horizontal="center" vertical="center" wrapText="1"/>
    </xf>
    <xf numFmtId="0" fontId="7" fillId="11" borderId="0" xfId="0" applyFont="1" applyFill="1" applyAlignment="1">
      <alignment horizontal="center" vertical="center" wrapText="1"/>
    </xf>
    <xf numFmtId="164" fontId="7" fillId="11" borderId="0" xfId="0" applyNumberFormat="1" applyFont="1" applyFill="1" applyAlignment="1">
      <alignment horizontal="center" vertical="center" wrapText="1"/>
    </xf>
    <xf numFmtId="0" fontId="7" fillId="11" borderId="0" xfId="0" applyFont="1" applyFill="1" applyAlignment="1">
      <alignment horizontal="center" vertical="center" wrapText="1"/>
    </xf>
    <xf numFmtId="171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7" fillId="0" borderId="0" xfId="0" applyFont="1" applyAlignment="1">
      <alignment horizontal="left" vertical="center"/>
    </xf>
    <xf numFmtId="164" fontId="4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left" vertical="center"/>
    </xf>
    <xf numFmtId="9" fontId="4" fillId="8" borderId="0" xfId="0" applyNumberFormat="1" applyFont="1" applyFill="1" applyAlignment="1">
      <alignment horizontal="left" vertical="center"/>
    </xf>
    <xf numFmtId="0" fontId="4" fillId="8" borderId="0" xfId="0" applyFont="1" applyFill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20" fillId="0" borderId="0" xfId="0" applyFont="1" applyAlignment="1">
      <alignment horizontal="left" vertical="center"/>
    </xf>
    <xf numFmtId="0" fontId="4" fillId="8" borderId="0" xfId="0" applyFont="1" applyFill="1" applyAlignment="1">
      <alignment horizontal="left" vertical="center"/>
    </xf>
    <xf numFmtId="0" fontId="4" fillId="6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1" fillId="0" borderId="0" xfId="0" applyFont="1" applyAlignment="1">
      <alignment horizontal="left" vertical="center"/>
    </xf>
    <xf numFmtId="164" fontId="4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left" vertical="center"/>
    </xf>
    <xf numFmtId="0" fontId="4" fillId="8" borderId="0" xfId="0" applyFont="1" applyFill="1" applyAlignment="1">
      <alignment horizontal="left" vertical="center"/>
    </xf>
    <xf numFmtId="0" fontId="20" fillId="0" borderId="0" xfId="0" applyFont="1" applyAlignment="1">
      <alignment horizontal="left" vertical="center"/>
    </xf>
    <xf numFmtId="49" fontId="4" fillId="0" borderId="0" xfId="0" applyNumberFormat="1" applyFont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171" fontId="4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left" vertical="center"/>
    </xf>
    <xf numFmtId="0" fontId="4" fillId="0" borderId="0" xfId="0" applyFont="1" applyAlignment="1"/>
    <xf numFmtId="0" fontId="22" fillId="12" borderId="0" xfId="0" applyFont="1" applyFill="1" applyAlignment="1">
      <alignment horizontal="center" vertical="center" wrapText="1"/>
    </xf>
    <xf numFmtId="0" fontId="22" fillId="13" borderId="0" xfId="0" applyFont="1" applyFill="1" applyAlignment="1">
      <alignment horizontal="center" vertical="center" wrapText="1"/>
    </xf>
    <xf numFmtId="0" fontId="22" fillId="13" borderId="0" xfId="0" applyFont="1" applyFill="1" applyAlignment="1">
      <alignment horizontal="center" vertical="center" wrapText="1"/>
    </xf>
    <xf numFmtId="0" fontId="22" fillId="13" borderId="1" xfId="0" applyFont="1" applyFill="1" applyBorder="1" applyAlignment="1">
      <alignment horizontal="center" vertical="center" wrapText="1"/>
    </xf>
    <xf numFmtId="0" fontId="22" fillId="14" borderId="0" xfId="0" applyFont="1" applyFill="1" applyAlignment="1">
      <alignment horizontal="center" vertical="center" wrapText="1"/>
    </xf>
    <xf numFmtId="0" fontId="22" fillId="14" borderId="1" xfId="0" applyFont="1" applyFill="1" applyBorder="1" applyAlignment="1">
      <alignment horizontal="center" vertical="center" wrapText="1"/>
    </xf>
    <xf numFmtId="0" fontId="22" fillId="15" borderId="0" xfId="0" applyFont="1" applyFill="1" applyAlignment="1">
      <alignment horizontal="center" vertical="center" wrapText="1"/>
    </xf>
    <xf numFmtId="0" fontId="22" fillId="15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16" borderId="0" xfId="0" applyFont="1" applyFill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3" fillId="10" borderId="0" xfId="0" applyFont="1" applyFill="1" applyAlignment="1">
      <alignment horizontal="center" vertical="center"/>
    </xf>
    <xf numFmtId="0" fontId="23" fillId="17" borderId="0" xfId="0" applyFont="1" applyFill="1" applyAlignment="1">
      <alignment horizontal="center" vertical="center"/>
    </xf>
    <xf numFmtId="0" fontId="24" fillId="10" borderId="0" xfId="0" applyFont="1" applyFill="1" applyAlignment="1">
      <alignment horizontal="center" vertical="center"/>
    </xf>
    <xf numFmtId="0" fontId="23" fillId="16" borderId="1" xfId="0" applyFont="1" applyFill="1" applyBorder="1" applyAlignment="1">
      <alignment horizontal="center" vertical="center"/>
    </xf>
    <xf numFmtId="0" fontId="23" fillId="10" borderId="1" xfId="0" applyFont="1" applyFill="1" applyBorder="1" applyAlignment="1">
      <alignment horizontal="center" vertical="center"/>
    </xf>
    <xf numFmtId="0" fontId="23" fillId="18" borderId="0" xfId="0" applyFont="1" applyFill="1" applyAlignment="1">
      <alignment horizontal="center" vertical="center"/>
    </xf>
    <xf numFmtId="0" fontId="23" fillId="19" borderId="1" xfId="0" applyFont="1" applyFill="1" applyBorder="1" applyAlignment="1">
      <alignment horizontal="center" vertical="center"/>
    </xf>
    <xf numFmtId="0" fontId="23" fillId="16" borderId="1" xfId="0" applyFont="1" applyFill="1" applyBorder="1" applyAlignment="1">
      <alignment horizontal="center" vertical="center"/>
    </xf>
    <xf numFmtId="0" fontId="23" fillId="16" borderId="0" xfId="0" applyFont="1" applyFill="1" applyAlignment="1">
      <alignment horizontal="center" vertical="center"/>
    </xf>
    <xf numFmtId="173" fontId="4" fillId="0" borderId="0" xfId="0" applyNumberFormat="1" applyFont="1" applyAlignment="1">
      <alignment horizontal="center" vertical="center"/>
    </xf>
    <xf numFmtId="0" fontId="4" fillId="16" borderId="1" xfId="0" applyFont="1" applyFill="1" applyBorder="1" applyAlignment="1">
      <alignment horizontal="center" vertical="center"/>
    </xf>
    <xf numFmtId="0" fontId="4" fillId="16" borderId="1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3" fillId="19" borderId="0" xfId="0" applyFont="1" applyFill="1" applyAlignment="1">
      <alignment horizontal="center" vertical="center"/>
    </xf>
    <xf numFmtId="0" fontId="23" fillId="16" borderId="0" xfId="0" applyFont="1" applyFill="1" applyAlignment="1">
      <alignment horizontal="center" vertical="center"/>
    </xf>
    <xf numFmtId="0" fontId="4" fillId="16" borderId="0" xfId="0" applyFont="1" applyFill="1" applyAlignment="1">
      <alignment horizontal="center" vertical="center"/>
    </xf>
    <xf numFmtId="0" fontId="23" fillId="17" borderId="1" xfId="0" applyFont="1" applyFill="1" applyBorder="1" applyAlignment="1">
      <alignment horizontal="center" vertical="center"/>
    </xf>
    <xf numFmtId="0" fontId="4" fillId="8" borderId="0" xfId="0" applyFont="1" applyFill="1" applyAlignment="1">
      <alignment horizontal="center" vertical="center"/>
    </xf>
    <xf numFmtId="171" fontId="4" fillId="16" borderId="0" xfId="0" applyNumberFormat="1" applyFont="1" applyFill="1" applyAlignment="1">
      <alignment horizontal="center" vertical="center"/>
    </xf>
    <xf numFmtId="0" fontId="11" fillId="16" borderId="0" xfId="0" applyFont="1" applyFill="1" applyAlignment="1">
      <alignment horizontal="center" vertical="center"/>
    </xf>
    <xf numFmtId="0" fontId="23" fillId="16" borderId="0" xfId="0" applyFont="1" applyFill="1" applyAlignment="1">
      <alignment horizontal="center" vertical="center"/>
    </xf>
    <xf numFmtId="0" fontId="23" fillId="20" borderId="0" xfId="0" applyFont="1" applyFill="1" applyAlignment="1">
      <alignment horizontal="center" vertical="center"/>
    </xf>
    <xf numFmtId="0" fontId="4" fillId="16" borderId="0" xfId="0" applyFont="1" applyFill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49" fontId="4" fillId="16" borderId="0" xfId="0" applyNumberFormat="1" applyFont="1" applyFill="1" applyAlignment="1">
      <alignment horizontal="center" vertical="center"/>
    </xf>
    <xf numFmtId="49" fontId="4" fillId="16" borderId="0" xfId="0" applyNumberFormat="1" applyFont="1" applyFill="1" applyAlignment="1">
      <alignment horizontal="center" vertical="center"/>
    </xf>
    <xf numFmtId="0" fontId="25" fillId="16" borderId="0" xfId="0" applyFont="1" applyFill="1" applyAlignment="1">
      <alignment horizontal="center" vertical="center"/>
    </xf>
    <xf numFmtId="0" fontId="26" fillId="16" borderId="0" xfId="0" applyFont="1" applyFill="1" applyAlignment="1">
      <alignment horizontal="center" vertical="center"/>
    </xf>
    <xf numFmtId="0" fontId="26" fillId="16" borderId="0" xfId="0" applyFont="1" applyFill="1" applyAlignment="1">
      <alignment horizontal="center" vertical="center"/>
    </xf>
    <xf numFmtId="0" fontId="11" fillId="16" borderId="0" xfId="0" applyFont="1" applyFill="1" applyAlignment="1">
      <alignment horizontal="center" vertical="center"/>
    </xf>
    <xf numFmtId="0" fontId="4" fillId="16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1" fillId="8" borderId="0" xfId="0" applyNumberFormat="1" applyFont="1" applyFill="1" applyAlignment="1">
      <alignment horizontal="center" vertical="center" wrapText="1"/>
    </xf>
    <xf numFmtId="0" fontId="1" fillId="8" borderId="0" xfId="0" applyFont="1" applyFill="1" applyAlignment="1">
      <alignment horizontal="center" vertical="center" wrapText="1"/>
    </xf>
    <xf numFmtId="49" fontId="1" fillId="8" borderId="0" xfId="0" applyNumberFormat="1" applyFont="1" applyFill="1" applyAlignment="1">
      <alignment horizontal="center" vertical="center" wrapText="1"/>
    </xf>
    <xf numFmtId="0" fontId="1" fillId="8" borderId="0" xfId="0" applyFont="1" applyFill="1" applyAlignment="1">
      <alignment horizontal="center" vertical="center" wrapText="1"/>
    </xf>
    <xf numFmtId="1" fontId="1" fillId="8" borderId="0" xfId="0" applyNumberFormat="1" applyFont="1" applyFill="1" applyAlignment="1">
      <alignment horizontal="center" vertical="center" wrapText="1"/>
    </xf>
    <xf numFmtId="3" fontId="1" fillId="0" borderId="0" xfId="0" applyNumberFormat="1" applyFont="1" applyAlignment="1">
      <alignment horizontal="center" vertical="center" wrapText="1"/>
    </xf>
    <xf numFmtId="174" fontId="1" fillId="0" borderId="0" xfId="0" applyNumberFormat="1" applyFont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169" fontId="2" fillId="8" borderId="0" xfId="0" applyNumberFormat="1" applyFont="1" applyFill="1" applyAlignment="1">
      <alignment horizontal="center" vertical="center" wrapText="1"/>
    </xf>
    <xf numFmtId="49" fontId="2" fillId="8" borderId="0" xfId="0" applyNumberFormat="1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3" fontId="2" fillId="0" borderId="0" xfId="0" applyNumberFormat="1" applyFont="1" applyAlignment="1">
      <alignment horizontal="center" vertical="center" wrapText="1"/>
    </xf>
    <xf numFmtId="174" fontId="2" fillId="0" borderId="0" xfId="0" applyNumberFormat="1" applyFont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14" fontId="2" fillId="8" borderId="0" xfId="0" applyNumberFormat="1" applyFont="1" applyFill="1" applyAlignment="1">
      <alignment horizontal="center" vertical="center" wrapText="1"/>
    </xf>
    <xf numFmtId="166" fontId="2" fillId="8" borderId="0" xfId="0" applyNumberFormat="1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169" fontId="2" fillId="8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4" fontId="2" fillId="8" borderId="0" xfId="0" applyNumberFormat="1" applyFont="1" applyFill="1" applyAlignment="1">
      <alignment horizontal="center" vertical="center"/>
    </xf>
    <xf numFmtId="170" fontId="2" fillId="0" borderId="0" xfId="0" applyNumberFormat="1" applyFont="1" applyAlignment="1">
      <alignment horizontal="center" vertical="center" wrapText="1"/>
    </xf>
    <xf numFmtId="1" fontId="2" fillId="8" borderId="0" xfId="0" applyNumberFormat="1" applyFont="1" applyFill="1" applyAlignment="1">
      <alignment horizontal="center" vertical="center" wrapText="1"/>
    </xf>
    <xf numFmtId="14" fontId="2" fillId="8" borderId="0" xfId="0" applyNumberFormat="1" applyFont="1" applyFill="1" applyAlignment="1">
      <alignment horizontal="center" vertical="center"/>
    </xf>
    <xf numFmtId="3" fontId="2" fillId="8" borderId="0" xfId="0" applyNumberFormat="1" applyFont="1" applyFill="1" applyAlignment="1">
      <alignment horizontal="center" vertical="center" wrapText="1"/>
    </xf>
    <xf numFmtId="49" fontId="2" fillId="8" borderId="0" xfId="0" applyNumberFormat="1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1" fontId="2" fillId="8" borderId="0" xfId="0" applyNumberFormat="1" applyFont="1" applyFill="1" applyAlignment="1">
      <alignment horizontal="center" vertical="center"/>
    </xf>
    <xf numFmtId="4" fontId="2" fillId="8" borderId="0" xfId="0" applyNumberFormat="1" applyFont="1" applyFill="1" applyAlignment="1">
      <alignment horizontal="center" vertical="center" wrapText="1"/>
    </xf>
    <xf numFmtId="174" fontId="2" fillId="0" borderId="0" xfId="0" applyNumberFormat="1" applyFont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2" xfId="0" applyFont="1" applyBorder="1"/>
    <xf numFmtId="0" fontId="3" fillId="0" borderId="3" xfId="0" applyFont="1" applyBorder="1"/>
    <xf numFmtId="0" fontId="3" fillId="0" borderId="0" xfId="0" applyFont="1" applyAlignment="1">
      <alignment horizontal="center" vertical="center"/>
    </xf>
    <xf numFmtId="0" fontId="3" fillId="0" borderId="2" xfId="0" applyFont="1" applyBorder="1" applyAlignment="1"/>
    <xf numFmtId="0" fontId="3" fillId="0" borderId="3" xfId="0" applyFont="1" applyBorder="1" applyAlignment="1"/>
    <xf numFmtId="0" fontId="3" fillId="0" borderId="3" xfId="0" applyFont="1" applyBorder="1" applyAlignment="1"/>
    <xf numFmtId="0" fontId="3" fillId="0" borderId="0" xfId="0" applyFont="1" applyAlignment="1">
      <alignment horizontal="center" vertical="center"/>
    </xf>
    <xf numFmtId="0" fontId="3" fillId="0" borderId="0" xfId="0" applyFont="1" applyAlignment="1"/>
    <xf numFmtId="0" fontId="3" fillId="0" borderId="0" xfId="0" applyFont="1" applyAlignment="1">
      <alignment horizontal="left" vertical="center"/>
    </xf>
    <xf numFmtId="0" fontId="27" fillId="0" borderId="0" xfId="0" applyFont="1" applyAlignment="1"/>
    <xf numFmtId="0" fontId="28" fillId="0" borderId="0" xfId="0" applyFont="1" applyAlignment="1"/>
    <xf numFmtId="164" fontId="3" fillId="0" borderId="0" xfId="0" applyNumberFormat="1" applyFont="1"/>
    <xf numFmtId="167" fontId="3" fillId="0" borderId="0" xfId="0" applyNumberFormat="1" applyFont="1"/>
    <xf numFmtId="1" fontId="3" fillId="0" borderId="0" xfId="0" applyNumberFormat="1" applyFont="1"/>
    <xf numFmtId="2" fontId="3" fillId="0" borderId="0" xfId="0" applyNumberFormat="1" applyFont="1"/>
    <xf numFmtId="0" fontId="3" fillId="0" borderId="0" xfId="0" applyFont="1" applyAlignment="1">
      <alignment horizontal="right"/>
    </xf>
    <xf numFmtId="176" fontId="3" fillId="0" borderId="0" xfId="0" applyNumberFormat="1" applyFont="1" applyAlignment="1">
      <alignment horizontal="center"/>
    </xf>
    <xf numFmtId="167" fontId="3" fillId="0" borderId="0" xfId="0" applyNumberFormat="1" applyFont="1" applyAlignment="1">
      <alignment horizontal="right"/>
    </xf>
    <xf numFmtId="176" fontId="3" fillId="0" borderId="0" xfId="0" applyNumberFormat="1" applyFont="1"/>
    <xf numFmtId="3" fontId="3" fillId="0" borderId="0" xfId="0" applyNumberFormat="1" applyFont="1"/>
    <xf numFmtId="175" fontId="3" fillId="0" borderId="2" xfId="0" applyNumberFormat="1" applyFont="1" applyBorder="1" applyAlignment="1">
      <alignment horizontal="center" vertical="center"/>
    </xf>
    <xf numFmtId="0" fontId="0" fillId="0" borderId="0" xfId="0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i.gyazo.com/2082c0d17f29cc66fd6f9bb1268398fb.png" TargetMode="External"/><Relationship Id="rId18" Type="http://schemas.openxmlformats.org/officeDocument/2006/relationships/hyperlink" Target="https://api.typeform.com/responses/files/0c8ea11ab5387b485f3838884f64977feb4427d777ad3cca6c065344e6beb368/IMG_20210221_144602.jpg" TargetMode="External"/><Relationship Id="rId26" Type="http://schemas.openxmlformats.org/officeDocument/2006/relationships/hyperlink" Target="https://drive.google.com/open?id=1QAXsWKFH4nfxsLslFZt9IAnVjXi873gN" TargetMode="External"/><Relationship Id="rId39" Type="http://schemas.openxmlformats.org/officeDocument/2006/relationships/hyperlink" Target="https://api.typeform.com/responses/files/7e4a1e7a85b4597e9a1af02adc2b23895a263aa8f4c321818ddaf42e40d523b2/WP_000218.jpg" TargetMode="External"/><Relationship Id="rId21" Type="http://schemas.openxmlformats.org/officeDocument/2006/relationships/hyperlink" Target="https://api.typeform.com/responses/files/658004086033b7b70adf715964698309d50bf8a2423efc7e29501110ba038719/4sLizNN962Y.jpg" TargetMode="External"/><Relationship Id="rId34" Type="http://schemas.openxmlformats.org/officeDocument/2006/relationships/hyperlink" Target="https://drive.google.com/open?id=1XoUwQCjvL_yVWjyHlj382Yq-RrYetDjN" TargetMode="External"/><Relationship Id="rId42" Type="http://schemas.openxmlformats.org/officeDocument/2006/relationships/comments" Target="../comments2.xml"/><Relationship Id="rId7" Type="http://schemas.openxmlformats.org/officeDocument/2006/relationships/hyperlink" Target="https://api.typeform.com/responses/files/e7384479ce72ada7892d34bee9a3335beded2dc94b57837dcf84fb84513baf05/photo5413793718579866584.jpg" TargetMode="External"/><Relationship Id="rId2" Type="http://schemas.openxmlformats.org/officeDocument/2006/relationships/hyperlink" Target="https://api.typeform.com/responses/files/97ff9c8895d3e950985f35a690a8247a5e2b81ef470c75caeb13ebd97c3dc000/IMG_0280.JPG" TargetMode="External"/><Relationship Id="rId16" Type="http://schemas.openxmlformats.org/officeDocument/2006/relationships/hyperlink" Target="https://api.typeform.com/responses/files/7f38caa9f0b416468e0eeecdc4d64ad9e8b78164bfb992cefb6b025b0774ef79/P90927_222752.jpg" TargetMode="External"/><Relationship Id="rId20" Type="http://schemas.openxmlformats.org/officeDocument/2006/relationships/hyperlink" Target="https://api.typeform.com/responses/files/facdd1d0c9546e715c01e578c1698629d146ad165ac4f4a1ff11510d695176af/20200203_215026.jpg" TargetMode="External"/><Relationship Id="rId29" Type="http://schemas.openxmlformats.org/officeDocument/2006/relationships/hyperlink" Target="https://www.gipsyteam.ru/profile/orthodoxxxx93" TargetMode="External"/><Relationship Id="rId41" Type="http://schemas.openxmlformats.org/officeDocument/2006/relationships/vmlDrawing" Target="../drawings/vmlDrawing2.vml"/><Relationship Id="rId1" Type="http://schemas.openxmlformats.org/officeDocument/2006/relationships/hyperlink" Target="https://api.typeform.com/responses/files/97ff9c8895d3e950985f35a690a8247a5e2b81ef470c75caeb13ebd97c3dc000/IMG_0280.JPG" TargetMode="External"/><Relationship Id="rId6" Type="http://schemas.openxmlformats.org/officeDocument/2006/relationships/hyperlink" Target="https://api.typeform.com/responses/files/f3ea1628ef2772b4af3c1d3c75224aed69f5c0de0aa430c86c923dabac4c0407/IMG_20191006_202830.jpg" TargetMode="External"/><Relationship Id="rId11" Type="http://schemas.openxmlformats.org/officeDocument/2006/relationships/hyperlink" Target="https://api.typeform.com/responses/files/1eff527d253333d2fa27caa6cd93119e7a100a7e4885d872a93d197f92e74f89/20210210_212757.jpg" TargetMode="External"/><Relationship Id="rId24" Type="http://schemas.openxmlformats.org/officeDocument/2006/relationships/hyperlink" Target="https://api.typeform.com/responses/files/801bf84281d2152ed688fe0fee501e1203507cde05b937a6f57ca60d9856b864/IMG_7754.JPG" TargetMode="External"/><Relationship Id="rId32" Type="http://schemas.openxmlformats.org/officeDocument/2006/relationships/hyperlink" Target="https://drive.google.com/open?id=1ZJ7cHjAg1ydaTE-V7bK70Kf6XgmOw8w2" TargetMode="External"/><Relationship Id="rId37" Type="http://schemas.openxmlformats.org/officeDocument/2006/relationships/hyperlink" Target="https://drive.google.com/open?id=1WO3xCFVzV1Espw0HW9-u0v6U474ckoJR" TargetMode="External"/><Relationship Id="rId40" Type="http://schemas.openxmlformats.org/officeDocument/2006/relationships/hyperlink" Target="https://api.typeform.com/responses/files/b10ecb0b69d4119bc5ad25252efa5d435e853e83f09c4c12618c3165340e6f39/IMG_20190521_145713.jpg" TargetMode="External"/><Relationship Id="rId5" Type="http://schemas.openxmlformats.org/officeDocument/2006/relationships/hyperlink" Target="https://api.typeform.com/responses/files/7fe31e44ca61cc477175f0c61a45b5f2cd869a6c5f0f6a1fae4ab6e99b2ea0cc/20160422_165416.jpg" TargetMode="External"/><Relationship Id="rId15" Type="http://schemas.openxmlformats.org/officeDocument/2006/relationships/hyperlink" Target="https://api.typeform.com/responses/files/375c16dd982b8c0de6b6f438d048648446297f042263d6874207dc274d294e20/P90927_222334.jpg" TargetMode="External"/><Relationship Id="rId23" Type="http://schemas.openxmlformats.org/officeDocument/2006/relationships/hyperlink" Target="https://api.typeform.com/responses/files/2ed04f14ffc41a69d4768b03ef338c861a475991c73331410e29905b9521ac89/IMG_7753.JPG" TargetMode="External"/><Relationship Id="rId28" Type="http://schemas.openxmlformats.org/officeDocument/2006/relationships/hyperlink" Target="https://drive.google.com/open?id=1yPsN0YQDpINu8mIt0kmzVpelIBGqx2sL" TargetMode="External"/><Relationship Id="rId36" Type="http://schemas.openxmlformats.org/officeDocument/2006/relationships/hyperlink" Target="https://drive.google.com/open?id=1DHuyAv1plZ8IDNNpn3PCP3-XJVUCYkAO" TargetMode="External"/><Relationship Id="rId10" Type="http://schemas.openxmlformats.org/officeDocument/2006/relationships/hyperlink" Target="https://api.typeform.com/responses/files/b43de880822aa06ff75207f0a30dad8d48c20965913f6ecdf95dc8922dcc114e/W_0wr_CSHTQ.jpg" TargetMode="External"/><Relationship Id="rId19" Type="http://schemas.openxmlformats.org/officeDocument/2006/relationships/hyperlink" Target="https://api.typeform.com/responses/files/43b4accfc593ef7e7c1da6b141ca9017f50aa8fabb47008d269eb1c7e52faf4f/20200203_214758.jpg" TargetMode="External"/><Relationship Id="rId31" Type="http://schemas.openxmlformats.org/officeDocument/2006/relationships/hyperlink" Target="https://drive.google.com/open?id=1XGHZE_nyv5LEdjsxuqfR3AiTfJG4unTJ" TargetMode="External"/><Relationship Id="rId4" Type="http://schemas.openxmlformats.org/officeDocument/2006/relationships/hyperlink" Target="https://api.typeform.com/responses/files/1ce21189f783822db2d446dc7660f6d12b1ecc4ef0ad4d148358a2179fda1612/IMAG2742.jpg" TargetMode="External"/><Relationship Id="rId9" Type="http://schemas.openxmlformats.org/officeDocument/2006/relationships/hyperlink" Target="https://api.typeform.com/responses/files/e4d080bd8362a98021c793949056ad5e1b064557e4562a5c38332e7a39f0314c/97841937_DL2.jpg" TargetMode="External"/><Relationship Id="rId14" Type="http://schemas.openxmlformats.org/officeDocument/2006/relationships/hyperlink" Target="https://i.gyazo.com/2082c0d17f29cc66fd6f9bb1268398fb.png" TargetMode="External"/><Relationship Id="rId22" Type="http://schemas.openxmlformats.org/officeDocument/2006/relationships/hyperlink" Target="https://api.typeform.com/responses/files/303ea2d40a982adb52112b76983e420512a91ad9d8fab2418b0d3c1babffb056/_Vtoa0EKWcw.jpg" TargetMode="External"/><Relationship Id="rId27" Type="http://schemas.openxmlformats.org/officeDocument/2006/relationships/hyperlink" Target="https://www.gipsyteam.ru/profile/depositbeast" TargetMode="External"/><Relationship Id="rId30" Type="http://schemas.openxmlformats.org/officeDocument/2006/relationships/hyperlink" Target="https://vk.com/vsklyarov93" TargetMode="External"/><Relationship Id="rId35" Type="http://schemas.openxmlformats.org/officeDocument/2006/relationships/hyperlink" Target="https://www.gipsyteam.ru/profile/incrementx" TargetMode="External"/><Relationship Id="rId8" Type="http://schemas.openxmlformats.org/officeDocument/2006/relationships/hyperlink" Target="https://api.typeform.com/responses/files/16e07da00e7b3aa58492616af7caa6991c3582284e4bb7b4e6263e89dc5851ae/photo5413417561049115599.jpg" TargetMode="External"/><Relationship Id="rId3" Type="http://schemas.openxmlformats.org/officeDocument/2006/relationships/hyperlink" Target="https://api.typeform.com/responses/files/1ce21189f783822db2d446dc7660f6d12b1ecc4ef0ad4d148358a2179fda1612/IMAG2742.jpg" TargetMode="External"/><Relationship Id="rId12" Type="http://schemas.openxmlformats.org/officeDocument/2006/relationships/hyperlink" Target="https://api.typeform.com/responses/files/9e1e96f0252f371c69adb97530214abadc0fee9ad7f7d4161b0d7ce58dccdde5/20210210_213146.jpg" TargetMode="External"/><Relationship Id="rId17" Type="http://schemas.openxmlformats.org/officeDocument/2006/relationships/hyperlink" Target="https://api.typeform.com/responses/files/f459d58778f603b3dc995d3006b1833d5064cfc2b87385633256b122a7feac12/IMG_20210221_144205.jpg" TargetMode="External"/><Relationship Id="rId25" Type="http://schemas.openxmlformats.org/officeDocument/2006/relationships/hyperlink" Target="https://drive.google.com/open?id=1oCdVMsg65aLYUFqxFkIImuAOCzpwK2t2" TargetMode="External"/><Relationship Id="rId33" Type="http://schemas.openxmlformats.org/officeDocument/2006/relationships/hyperlink" Target="https://www.gipsyteam.ru/profile/dimantt" TargetMode="External"/><Relationship Id="rId38" Type="http://schemas.openxmlformats.org/officeDocument/2006/relationships/hyperlink" Target="https://www.gipsyteam.ru/profile/tadaer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docs.google.com/document/d/1ghLT7_3y8Sxu4W4cB2Du6iv9MhEP_G3oM-1-XIH_aHY/edit" TargetMode="External"/><Relationship Id="rId18" Type="http://schemas.openxmlformats.org/officeDocument/2006/relationships/hyperlink" Target="https://drive.google.com/file/d/1U5PHWA832EdhU2Y-ui1x4gAGcRQTo7uj/view?usp=sharing" TargetMode="External"/><Relationship Id="rId26" Type="http://schemas.openxmlformats.org/officeDocument/2006/relationships/hyperlink" Target="https://drive.google.com/file/d/1MuPxIffyNa1xuQ8Q78uGvCKZmSYqhmdy/view?usp=sharing" TargetMode="External"/><Relationship Id="rId39" Type="http://schemas.openxmlformats.org/officeDocument/2006/relationships/hyperlink" Target="https://docs.google.com/document/d/1j3e37YeQGL8ZzwQ8caZXRAJZoV9fM94b5DT-Xo4r9Y0/edit" TargetMode="External"/><Relationship Id="rId21" Type="http://schemas.openxmlformats.org/officeDocument/2006/relationships/hyperlink" Target="https://docs.google.com/document/d/1sPzatE_R9jfAQ91birjuxg-NS2nXqkZZm1kjyi-cbuY/edit" TargetMode="External"/><Relationship Id="rId34" Type="http://schemas.openxmlformats.org/officeDocument/2006/relationships/hyperlink" Target="https://docs.google.com/document/d/1i0nZ1z4SITsADhvYCLLr1N7Hf8kmpGndQRL02kNkMEQ/edit?usp=sharing" TargetMode="External"/><Relationship Id="rId42" Type="http://schemas.openxmlformats.org/officeDocument/2006/relationships/hyperlink" Target="https://docs.google.com/document/d/1dZetT-lef4J72j_opJVMMT5f5Ezfs0d23X9-9ElFWfg/edit" TargetMode="External"/><Relationship Id="rId47" Type="http://schemas.openxmlformats.org/officeDocument/2006/relationships/hyperlink" Target="https://docs.google.com/document/d/1Z9L87zlGM39kbzfXkPKSKsS2M6bKKPvees7T9L8B9N8/edit?usp=sharing" TargetMode="External"/><Relationship Id="rId50" Type="http://schemas.openxmlformats.org/officeDocument/2006/relationships/hyperlink" Target="https://docs.google.com/document/d/1c2Djqls_HKszTJK1IzGd81AF6iLY5GwToCBpUV0ZTrE/edit?usp=share_link" TargetMode="External"/><Relationship Id="rId55" Type="http://schemas.openxmlformats.org/officeDocument/2006/relationships/vmlDrawing" Target="../drawings/vmlDrawing3.vml"/><Relationship Id="rId7" Type="http://schemas.openxmlformats.org/officeDocument/2006/relationships/hyperlink" Target="https://docs.google.com/document/d/18XC4-h_e5TFUX5iSrk6lgvzsRHMoXc-w8d1kWjjVaOY/edit" TargetMode="External"/><Relationship Id="rId2" Type="http://schemas.openxmlformats.org/officeDocument/2006/relationships/hyperlink" Target="https://docs.google.com/document/d/1aeVpexZsHf8SZJvV_tFgpnj4YXhkRfoeOlQmuQvB2WI/edit" TargetMode="External"/><Relationship Id="rId16" Type="http://schemas.openxmlformats.org/officeDocument/2006/relationships/hyperlink" Target="https://docs.google.com/document/d/14tmRkW0WjYUfesPPerv3kt3eizhuTz1eyuSwsMysTHg/edit?usp=sharing" TargetMode="External"/><Relationship Id="rId29" Type="http://schemas.openxmlformats.org/officeDocument/2006/relationships/hyperlink" Target="https://docs.google.com/document/d/10w3Q4olfT_8stsoLAkFZFgREUkLVKMks5mD3xzvJj7g/edit" TargetMode="External"/><Relationship Id="rId11" Type="http://schemas.openxmlformats.org/officeDocument/2006/relationships/hyperlink" Target="https://docs.google.com/document/d/13sF5i-a9FaA0dD4NPSnaszOjDbj5GGXN5AnqXuom6Jc/edit" TargetMode="External"/><Relationship Id="rId24" Type="http://schemas.openxmlformats.org/officeDocument/2006/relationships/hyperlink" Target="https://docs.google.com/document/d/1NF25SaXR2IiytLOk7Q2Zgyui56SrcNzXl_dzZ2Ww5wM/edit" TargetMode="External"/><Relationship Id="rId32" Type="http://schemas.openxmlformats.org/officeDocument/2006/relationships/hyperlink" Target="https://docs.google.com/document/d/1bXZWnSTgaOKE-ydDwffpYO7FVRtA5f6J/edit" TargetMode="External"/><Relationship Id="rId37" Type="http://schemas.openxmlformats.org/officeDocument/2006/relationships/hyperlink" Target="https://docs.google.com/document/d/1-Vk5ISnaB3SyhICpPkYA2J0-sqBb7FNy1v4-EZPdG6w/edit" TargetMode="External"/><Relationship Id="rId40" Type="http://schemas.openxmlformats.org/officeDocument/2006/relationships/hyperlink" Target="https://docs.google.com/document/d/1EAUvM7EvgCirxs1Jt7yMS60QM5KrUJvjO9xQ4DCiFKM/edit?usp=sharing" TargetMode="External"/><Relationship Id="rId45" Type="http://schemas.openxmlformats.org/officeDocument/2006/relationships/hyperlink" Target="https://docs.google.com/document/d/1WLhkmHRa8z9YmCF9wbHgJyveYHYjcEp4BkwAtrT6Sic/edit?usp=sharing" TargetMode="External"/><Relationship Id="rId53" Type="http://schemas.openxmlformats.org/officeDocument/2006/relationships/hyperlink" Target="https://docs.google.com/document/d/1YBNDSLt3_GBIK231ZsiDW4ek5kSiHWSuGvZjz5RaT6s/edit" TargetMode="External"/><Relationship Id="rId5" Type="http://schemas.openxmlformats.org/officeDocument/2006/relationships/hyperlink" Target="https://docs.google.com/document/d/11CfoQLvDiMCwdKc2a3TpzaKWdWSqGU8J736aimrsu6Q/edit" TargetMode="External"/><Relationship Id="rId10" Type="http://schemas.openxmlformats.org/officeDocument/2006/relationships/hyperlink" Target="https://docs.google.com/document/d/13Lu5Zyjf5hcI7ZHd_dPzzz74Hooc9QGDnPaQuB1f62Y/edit" TargetMode="External"/><Relationship Id="rId19" Type="http://schemas.openxmlformats.org/officeDocument/2006/relationships/hyperlink" Target="https://docs.google.com/document/d/16M22gb4upZMrgGfqsVBbzRE6qbtKkj3xCaMauLLnMyo/edit" TargetMode="External"/><Relationship Id="rId31" Type="http://schemas.openxmlformats.org/officeDocument/2006/relationships/hyperlink" Target="https://docs.google.com/document/d/1Qc8BSj5yB6uKoMXtuvjTTTD16N92mKtKlMlysxsPUns/edit" TargetMode="External"/><Relationship Id="rId44" Type="http://schemas.openxmlformats.org/officeDocument/2006/relationships/hyperlink" Target="https://docs.google.com/document/d/1zmNgo_Oe9UrOsh4MKWbvJwLv1VKdlXovlGPiyohfMpw/edit" TargetMode="External"/><Relationship Id="rId52" Type="http://schemas.openxmlformats.org/officeDocument/2006/relationships/hyperlink" Target="https://docs.google.com/document/d/1xyPmDdq_f7EfVxRYkSSFJ56BHgXZURDbsgyY3ZTb_Qs/edit?usp=share_link" TargetMode="External"/><Relationship Id="rId4" Type="http://schemas.openxmlformats.org/officeDocument/2006/relationships/hyperlink" Target="https://docs.google.com/document/d/1HahcUN8qtPPzSsiT4uXlV36eXu50uoblP339ItVFDLQ/edit" TargetMode="External"/><Relationship Id="rId9" Type="http://schemas.openxmlformats.org/officeDocument/2006/relationships/hyperlink" Target="https://docs.google.com/document/d/1iFZ4XUTizX4joco29-OVJlBNAZ4Jbdol6cDZaR7RF8A/edit" TargetMode="External"/><Relationship Id="rId14" Type="http://schemas.openxmlformats.org/officeDocument/2006/relationships/hyperlink" Target="https://docs.google.com/document/d/1P-pTlKvazDBlPUh1KIJ9NKLxdZa8bpzn/edit" TargetMode="External"/><Relationship Id="rId22" Type="http://schemas.openxmlformats.org/officeDocument/2006/relationships/hyperlink" Target="https://docs.google.com/document/d/1sPzatE_R9jfAQ91birjuxg-NS2nXqkZZm1kjyi-cbuY/edit" TargetMode="External"/><Relationship Id="rId27" Type="http://schemas.openxmlformats.org/officeDocument/2006/relationships/hyperlink" Target="https://docs.google.com/document/d/1U-d450q_ceHkCLH32wmvaAPq50-KJFq3NUJmrCjymiQ/edit" TargetMode="External"/><Relationship Id="rId30" Type="http://schemas.openxmlformats.org/officeDocument/2006/relationships/hyperlink" Target="https://docs.google.com/document/d/1MAclH8cw6sxO8TafElUqRL2tuWqCajT33UHGVMpaZmY/edit" TargetMode="External"/><Relationship Id="rId35" Type="http://schemas.openxmlformats.org/officeDocument/2006/relationships/hyperlink" Target="https://docs.google.com/document/d/1h_VAB_GPKEdrk4c0-BLidPA1lfm-6pMWMywuPXSRQYA/edit" TargetMode="External"/><Relationship Id="rId43" Type="http://schemas.openxmlformats.org/officeDocument/2006/relationships/hyperlink" Target="https://docs.google.com/document/d/1RB0Czl7BJRo3EiVBOcCqsP5k6E1RSA7iEYNZ0GYzQTk/edit" TargetMode="External"/><Relationship Id="rId48" Type="http://schemas.openxmlformats.org/officeDocument/2006/relationships/hyperlink" Target="https://docs.google.com/document/d/10ebrmvYOkWsmxN7wBujOu8RhvoyhvekNwJQPN4xXk1Q/edit" TargetMode="External"/><Relationship Id="rId56" Type="http://schemas.openxmlformats.org/officeDocument/2006/relationships/comments" Target="../comments3.xml"/><Relationship Id="rId8" Type="http://schemas.openxmlformats.org/officeDocument/2006/relationships/hyperlink" Target="https://docs.google.com/document/d/1AU9wJt8RBc4mwF0WQluBbVSuRO7lKHut1QyxLMT6jcA/edit" TargetMode="External"/><Relationship Id="rId51" Type="http://schemas.openxmlformats.org/officeDocument/2006/relationships/hyperlink" Target="https://docs.google.com/document/d/1EQojdMIfnkOLebjnM1jaCtutIJEwJ0kndq8K2CRCIdU/edit?usp=share_link" TargetMode="External"/><Relationship Id="rId3" Type="http://schemas.openxmlformats.org/officeDocument/2006/relationships/hyperlink" Target="https://docs.google.com/document/d/1svZojIAVF_F1XM3K-hxm8egIv37QTY8rLamf2cwKiIQ/edit" TargetMode="External"/><Relationship Id="rId12" Type="http://schemas.openxmlformats.org/officeDocument/2006/relationships/hyperlink" Target="https://docs.google.com/document/d/1BW30bCRoLu_LS2mTloDwMHSZ4nTvPxxxVFHo5leTEWM/edit" TargetMode="External"/><Relationship Id="rId17" Type="http://schemas.openxmlformats.org/officeDocument/2006/relationships/hyperlink" Target="https://docs.google.com/document/d/1CAEj8YnzQ5m_PeFBrrtPIoipZzkFggUsOCzjOl6skZ8/edit" TargetMode="External"/><Relationship Id="rId25" Type="http://schemas.openxmlformats.org/officeDocument/2006/relationships/hyperlink" Target="https://docs.google.com/document/d/1NF25SaXR2IiytLOk7Q2Zgyui56SrcNzXl_dzZ2Ww5wM/edit" TargetMode="External"/><Relationship Id="rId33" Type="http://schemas.openxmlformats.org/officeDocument/2006/relationships/hyperlink" Target="https://docs.google.com/document/d/1l7Lbnkj5X1GWkYI5Lrgi5bZDroMrMl65hFlv57avLMQ/edit" TargetMode="External"/><Relationship Id="rId38" Type="http://schemas.openxmlformats.org/officeDocument/2006/relationships/hyperlink" Target="https://docs.google.com/document/d/1OQthQ5hjmewItE27NGG6QEVKo1oKodkd2gVjo8_1hvY/edit" TargetMode="External"/><Relationship Id="rId46" Type="http://schemas.openxmlformats.org/officeDocument/2006/relationships/hyperlink" Target="https://docs.google.com/document/d/1lkRpS8T1vAA8woQWzR-8KFDjAFW4AiSOsNOW0OyoIoQ/edit" TargetMode="External"/><Relationship Id="rId20" Type="http://schemas.openxmlformats.org/officeDocument/2006/relationships/hyperlink" Target="https://docs.google.com/document/d/16M22gb4upZMrgGfqsVBbzRE6qbtKkj3xCaMauLLnMyo/edit" TargetMode="External"/><Relationship Id="rId41" Type="http://schemas.openxmlformats.org/officeDocument/2006/relationships/hyperlink" Target="https://docs.google.com/document/d/1V2kym5QSWQ3vpDWnV-3Qv4EfUmXxUInY7cgEKgJCc6c/edit" TargetMode="External"/><Relationship Id="rId54" Type="http://schemas.openxmlformats.org/officeDocument/2006/relationships/hyperlink" Target="https://docs.google.com/document/d/1pJrnULCkk91HeUMtK9V24bs3hg9bVHlGgwvdkFfBDr8/edit" TargetMode="External"/><Relationship Id="rId1" Type="http://schemas.openxmlformats.org/officeDocument/2006/relationships/hyperlink" Target="https://docs.google.com/document/d/1C2j2cvIdQE4b6GJmGraXLZ3LZVbGvmndCgY3e9wEU3I/edit" TargetMode="External"/><Relationship Id="rId6" Type="http://schemas.openxmlformats.org/officeDocument/2006/relationships/hyperlink" Target="https://docs.google.com/document/d/115CA019kE8h6oFKK75Tg6G_EZAOXBs-n/edit?usp=sharing&amp;ouid=109714701348271020736&amp;rtpof=true&amp;sd=true" TargetMode="External"/><Relationship Id="rId15" Type="http://schemas.openxmlformats.org/officeDocument/2006/relationships/hyperlink" Target="https://docs.google.com/document/d/1iXFlRel46W9KqYZ-sYMrBSPUTO1jKVvDBCgFWYzAH_s/edit" TargetMode="External"/><Relationship Id="rId23" Type="http://schemas.openxmlformats.org/officeDocument/2006/relationships/hyperlink" Target="https://docs.google.com/document/d/1him85b-xInISxgRXBNwPUWSZJ2BXMAfItIzwZAyfp-U/edit" TargetMode="External"/><Relationship Id="rId28" Type="http://schemas.openxmlformats.org/officeDocument/2006/relationships/hyperlink" Target="https://docs.google.com/document/d/1iEG6qHqKPgWcrEbCj49ESWq0O_nxx1L5i8KPEAyBlbc/edit" TargetMode="External"/><Relationship Id="rId36" Type="http://schemas.openxmlformats.org/officeDocument/2006/relationships/hyperlink" Target="https://docs.google.com/document/d/17S40WWT29RPQ5AiRnet-KCtPnPaC4Nus/edit" TargetMode="External"/><Relationship Id="rId49" Type="http://schemas.openxmlformats.org/officeDocument/2006/relationships/hyperlink" Target="https://docs.google.com/document/d/1bDWdEpDPV1TN6awGgeYkrUO9n1OVl9ZfLOHzr42BsBU/edit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drive/u/7/folders/1iXfYc3o6SLgPBnK2TG6nIeyO4cDMG6aL" TargetMode="External"/><Relationship Id="rId13" Type="http://schemas.openxmlformats.org/officeDocument/2006/relationships/vmlDrawing" Target="../drawings/vmlDrawing6.vml"/><Relationship Id="rId3" Type="http://schemas.openxmlformats.org/officeDocument/2006/relationships/hyperlink" Target="https://drive.google.com/drive/u/7/folders/1CT92ot93R5WGSr1j2Uz3aOg8UKThleuF" TargetMode="External"/><Relationship Id="rId7" Type="http://schemas.openxmlformats.org/officeDocument/2006/relationships/hyperlink" Target="https://drive.google.com/drive/u/7/folders/1aYDkj8aVfKuACZ02q8-nZheuEU_M3pgx" TargetMode="External"/><Relationship Id="rId12" Type="http://schemas.openxmlformats.org/officeDocument/2006/relationships/hyperlink" Target="https://drive.google.com/drive/u/7/folders/1GFUQTeWvv_i2EDhZIAD6UeFTyGxchfNt" TargetMode="External"/><Relationship Id="rId2" Type="http://schemas.openxmlformats.org/officeDocument/2006/relationships/hyperlink" Target="https://drive.google.com/drive/u/7/folders/1BHXjt_nLSjJmM6r2_QOhJD5pRY7g7fGC" TargetMode="External"/><Relationship Id="rId1" Type="http://schemas.openxmlformats.org/officeDocument/2006/relationships/hyperlink" Target="https://drive.google.com/drive/u/7/folders/1UvSorLAsaoXmH0G__4D6yRo-zTfQDCAt" TargetMode="External"/><Relationship Id="rId6" Type="http://schemas.openxmlformats.org/officeDocument/2006/relationships/hyperlink" Target="https://drive.google.com/drive/u/7/folders/1L0UIUpES6itKbCop0MYcvCMdyxQbqbJ4" TargetMode="External"/><Relationship Id="rId11" Type="http://schemas.openxmlformats.org/officeDocument/2006/relationships/hyperlink" Target="https://drive.google.com/drive/u/7/folders/1Wdo8mxq0d__oXPrsEgtTMKf8M8vAwHYF" TargetMode="External"/><Relationship Id="rId5" Type="http://schemas.openxmlformats.org/officeDocument/2006/relationships/hyperlink" Target="https://drive.google.com/drive/u/7/folders/17WMuwx0DBXc_TJoYYhNcx295k204BoJu" TargetMode="External"/><Relationship Id="rId10" Type="http://schemas.openxmlformats.org/officeDocument/2006/relationships/hyperlink" Target="https://drive.google.com/drive/u/7/folders/1dWQusP9WFX840qMLZd0DRqlIhfeMs8Xc" TargetMode="External"/><Relationship Id="rId4" Type="http://schemas.openxmlformats.org/officeDocument/2006/relationships/hyperlink" Target="https://drive.google.com/drive/u/7/folders/1Iho-aLANsOobCW6XzPdgEumhw5fYIR8i" TargetMode="External"/><Relationship Id="rId9" Type="http://schemas.openxmlformats.org/officeDocument/2006/relationships/hyperlink" Target="https://drive.google.com/drive/u/7/folders/1wXA_epqDH_O77TSJiNEM4KYb-h9Nt4tn" TargetMode="External"/><Relationship Id="rId14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AG2446"/>
  <sheetViews>
    <sheetView tabSelected="1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G2" sqref="G2"/>
    </sheetView>
  </sheetViews>
  <sheetFormatPr defaultColWidth="12.5703125" defaultRowHeight="15.75" customHeight="1" x14ac:dyDescent="0.2"/>
  <cols>
    <col min="1" max="1" width="16.28515625" customWidth="1"/>
    <col min="2" max="2" width="14.85546875" customWidth="1"/>
    <col min="3" max="4" width="11.42578125" customWidth="1"/>
    <col min="5" max="5" width="15.7109375" customWidth="1"/>
    <col min="6" max="6" width="14.140625" customWidth="1"/>
    <col min="7" max="7" width="20.85546875" customWidth="1"/>
    <col min="8" max="9" width="16.7109375" customWidth="1"/>
    <col min="10" max="11" width="9.7109375" customWidth="1"/>
    <col min="12" max="12" width="11.7109375" customWidth="1"/>
    <col min="13" max="13" width="12.5703125" customWidth="1"/>
    <col min="14" max="14" width="9.7109375" customWidth="1"/>
    <col min="15" max="16" width="11.7109375" customWidth="1"/>
    <col min="17" max="17" width="12.42578125" customWidth="1"/>
    <col min="18" max="18" width="8.7109375" customWidth="1"/>
    <col min="19" max="19" width="10.7109375" customWidth="1"/>
    <col min="20" max="20" width="7.7109375" customWidth="1"/>
    <col min="21" max="21" width="8.85546875" customWidth="1"/>
    <col min="22" max="23" width="11.7109375" customWidth="1"/>
    <col min="24" max="24" width="11.85546875" customWidth="1"/>
    <col min="25" max="25" width="11.140625" customWidth="1"/>
    <col min="26" max="26" width="10.7109375" customWidth="1"/>
    <col min="27" max="27" width="7.7109375" customWidth="1"/>
    <col min="28" max="28" width="11.7109375" customWidth="1"/>
    <col min="29" max="29" width="9.85546875" customWidth="1"/>
    <col min="30" max="33" width="11.7109375" customWidth="1"/>
  </cols>
  <sheetData>
    <row r="1" spans="1:33" ht="75" x14ac:dyDescent="0.2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2" t="s">
        <v>6</v>
      </c>
      <c r="H1" s="2" t="s">
        <v>7</v>
      </c>
      <c r="I1" s="3" t="s">
        <v>8</v>
      </c>
      <c r="J1" s="5" t="s">
        <v>9</v>
      </c>
      <c r="K1" s="6" t="s">
        <v>10</v>
      </c>
      <c r="L1" s="7" t="s">
        <v>11</v>
      </c>
      <c r="M1" s="8" t="s">
        <v>12</v>
      </c>
      <c r="N1" s="9" t="s">
        <v>13</v>
      </c>
      <c r="O1" s="10" t="s">
        <v>14</v>
      </c>
      <c r="P1" s="11" t="s">
        <v>15</v>
      </c>
      <c r="Q1" s="2" t="s">
        <v>16</v>
      </c>
      <c r="R1" s="12" t="s">
        <v>17</v>
      </c>
      <c r="S1" s="13" t="s">
        <v>18</v>
      </c>
      <c r="T1" s="14" t="s">
        <v>19</v>
      </c>
      <c r="U1" s="15" t="s">
        <v>20</v>
      </c>
      <c r="V1" s="16" t="s">
        <v>21</v>
      </c>
      <c r="W1" s="10" t="s">
        <v>22</v>
      </c>
      <c r="X1" s="17" t="s">
        <v>23</v>
      </c>
      <c r="Y1" s="17" t="s">
        <v>24</v>
      </c>
      <c r="Z1" s="10" t="s">
        <v>25</v>
      </c>
      <c r="AA1" s="16" t="s">
        <v>26</v>
      </c>
      <c r="AB1" s="16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</row>
    <row r="2" spans="1:33" ht="14.25" hidden="1" x14ac:dyDescent="0.2">
      <c r="A2" s="18" t="str">
        <f t="array" ref="A2">IF(G2='Room Info'!$B$1, INDEX('Room Info'!$A$2:$A2446, MATCH(B2,'Room Info'!$B$2:$B2446, 0)),IF(G2='Room Info'!$C$1, INDEX('Room Info'!$A$2:$A2446, MATCH(B2,'Room Info'!$C$2:$C2446, 0)),IF(G2='Room Info'!$D$1, INDEX('Room Info'!$A$2:$A2446, MATCH(B2,'Room Info'!$D$2:$D2446, 0)),IF(G2='Room Info'!$E$1, INDEX('Room Info'!$A$2:$A2446, MATCH(B2,'Room Info'!$E$2:$E2446, 0)),IF(G2='Room Info'!$F$1, INDEX('Room Info'!$A$2:$A2446, MATCH(B2,'Room Info'!$F$2:$F2446, 0)),IF(G2='Room Info'!$H$1, INDEX('Room Info'!$A$2:$A2446, MATCH(B2,'Room Info'!$H$2:$H2446, 0)),IF(G2='Room Info'!$G$1, INDEX('Room Info'!$A$2:$A2446, MATCH(B2,'Room Info'!$G$2:$G2446, 0)))))))))</f>
        <v>007x2</v>
      </c>
      <c r="B2" s="18" t="s">
        <v>33</v>
      </c>
      <c r="C2" s="19">
        <v>44886</v>
      </c>
      <c r="D2" s="20">
        <v>44915</v>
      </c>
      <c r="E2" s="21">
        <v>44896</v>
      </c>
      <c r="F2" s="22" t="s">
        <v>34</v>
      </c>
      <c r="G2" s="18" t="s">
        <v>35</v>
      </c>
      <c r="H2" s="23" t="s">
        <v>36</v>
      </c>
      <c r="I2" s="23" t="s">
        <v>37</v>
      </c>
      <c r="J2" s="24">
        <v>2</v>
      </c>
      <c r="K2" s="25">
        <v>1</v>
      </c>
      <c r="L2" s="26">
        <v>2</v>
      </c>
      <c r="M2" s="27"/>
      <c r="N2" s="28">
        <f t="shared" ref="N2:N76" si="0">K2*J2</f>
        <v>2</v>
      </c>
      <c r="O2" s="18">
        <v>102</v>
      </c>
      <c r="P2" s="29">
        <v>102</v>
      </c>
      <c r="Q2" s="30"/>
      <c r="R2" s="31">
        <f t="shared" ref="R2:R76" si="1">M2+Q2</f>
        <v>0</v>
      </c>
      <c r="S2" s="28">
        <v>0</v>
      </c>
      <c r="T2" s="32">
        <f t="shared" ref="T2:T76" si="2">R2+S2+IF(F2="Without EV deal",L2,0)</f>
        <v>0</v>
      </c>
      <c r="U2" s="33">
        <v>1</v>
      </c>
      <c r="V2" s="34">
        <v>8.17</v>
      </c>
      <c r="W2" s="34">
        <v>132.53</v>
      </c>
      <c r="X2" s="30">
        <f t="shared" ref="X2:X71" si="3">IF(AF2="DoEV",IF(AND(V2&lt;20,W2&lt;55),0.3,0)+IF(AND(V2&lt;20,W2&gt;=55,W2&lt;105),0.23,0)+IF(AND(V2&lt;20,W2&gt;=105),0.17,0)+IF(AND(V2&gt;=20,V2&lt;40,W2&lt;45),0.3,0)+IF(AND(V2&gt;=20,V2&lt;40,W2&gt;=45,W2&lt;95),0.23,0)+IF(AND(V2&gt;=20,V2&lt;40,W2&gt;=95),0.17,0)+IF(AND(V2&gt;=40,V2&lt;75,W2&lt;35),0.3,0)+IF(AND(V2&gt;=40,V2&lt;75,W2&gt;=35,W2&lt;75),0.23,0)+IF(AND(V2&gt;=40,V2&lt;75,W2&gt;=75,W2&lt;120),0.17,0)+IF(AND(V2&gt;=40,V2&lt;75,W2&gt;=120),0.12,0)+IF(AND(V2&gt;=75,V2&lt;175,W2&lt;35),0.3,0)+IF(AND(V2&gt;=75,V2&lt;=175,W2&gt;=35,W2&lt;65),0.23,0)+IF(AND(V2&gt;=75,V2&lt;=175,W2&gt;=65,W2&lt;110),0.17,0)+IF(AND(V2&gt;=75,V2&lt;=175,W2&gt;=110),0.12,0)+IF(AND(V2&gt;175,W2&lt;25),0.3,0)+IF(AND(V2&gt;175,W2&gt;=25,W2&lt;55),0.23,0)+IF(AND(V2&gt;175,W2&gt;=55,W2&lt;95),0.17,0)+IF(AND(V2&gt;175,W2&gt;=95),0.12,0),
IF(AF2="Fix15",0.15,
IF(AF2="Fix11.25",0.1125,
IF(AF2="Fix10",0.1,
IF(AF2="Fix9",0.09,
IF(AF2="DoEV2017",IF(AND(W2&lt;74),0.2,0)+IF(AND(W2&gt;=74),0.17,0),
IF(AF2="SF",IF(AND(V2&lt;20,W2&lt;89),0.3,0)+IF(AND(V2&lt;20,W2&gt;=89),0.25,0)+IF(AND(V2&gt;=20,V2&lt;40,W2&lt;74),0.3,0)+IF(AND(V2&gt;=20,V2&lt;40,W2&gt;=75),0.22,0)+IF(AND(V2&gt;=40,V2&lt;75,W2&lt;75),0.26,0)+IF(AND(V2&gt;=40,V2&lt;75,W2&gt;=75),0.22,0)+IF(V2&gt;=75,0.22,0),
IF(AF2="DoEVold",IF(AND(V2&lt;40,W2&lt;35),0.35,0)+IF(AND(V2&lt;40,W2&gt;=35,W2&lt;75),0.25,0)+IF(AND(V2&lt;40,W2&gt;=75),0.17,0)+IF(AND(V2&gt;=40,V2&lt;75,W2&lt;25),0.35,0)+IF(AND(V2&gt;=40,V2&lt;75,W2&gt;=25,W2&lt;65),0.25,0)+IF(AND(V2&gt;=40,V2&lt;75,W2&gt;=65,W2&lt;100),0.17,0)+IF(AND(V2&gt;=40,V2&lt;75,W2&gt;=100),0.1,0)+IF(AND(V2&gt;=75,W2&lt;25),0.35,0)+IF(AND(V2&gt;=75,W2&gt;=25,W2&lt;60),0.25,0)+IF(AND(V2&gt;=75,W2&gt;=60,W2&lt;95),0.17,0)+IF(AND(V2&gt;=75,W2&gt;=95),0.1,0),
IF(AF2="DoEVold15",IF(AND(V2&lt;=40,W2&lt;35),0.35,0)+IF(AND(V2&lt;=40,W2&gt;=35,W2&lt;75),0.25,0)+IF(AND(V2&lt;=40,W2&gt;=75,W2&lt;120),0.17,0)+IF(AND(V2&lt;=40,W2&gt;=120),0.15,0)+IF(AND(V2&gt;40,V2&lt;75,W2&lt;25),0.35,0)+IF(AND(V2&gt;=40,V2&lt;75,W2&gt;=25,W2&lt;65),0.25,0)+IF(AND(V2&gt;=40,V2&lt;75,W2&gt;=65,W2&lt;100),0.17,0)+IF(AND(V2&gt;=40,V2&lt;75,W2&gt;=100),0.1,0)+IF(AND(V2&gt;=75,W2&lt;25),0.35,0)+IF(AND(V2&gt;=75,W2&gt;=25,W2&lt;60),0.25,0)+IF(AND(V2&gt;=75,W2&gt;=60,W2&lt;95),0.17,0)+IF(AND(V2&gt;=75,W2&gt;=95),0.1,0),
IF(AF2="DoEVba",IF(AND(V2&lt;20,W2&lt;105),0.2,0)+IF(AND(V2&lt;20,W2&gt;=105),0.15,0)+IF(AND(V2&gt;=20,V2&lt;40,W2&lt;95),0.2,0)+IF(AND(V2&gt;=20,V2&lt;40,W2&gt;=95,W2&lt;150),0.15,0)+IF(AND(V2&gt;=20,V2&lt;40,W2&gt;=150),0.12,0)+IF(AND(V2&gt;=40,V2&lt;75,W2&lt;75),0.2,0)+IF(AND(V2&gt;=40,V2&lt;75,W2&gt;=75,W2&lt;120),0.15,0)+IF(AND(V2&gt;=40,V2&lt;75,W2&gt;=120),0.12,0)+IF(AND(V2&gt;=75,V2&lt;175,W2&lt;65),0.2,0)+IF(AND(V2&gt;=75,V2&lt;175,W2&gt;=65,W2&lt;110),0.15,0)+IF(AND(V2&gt;=75,V2&lt;175,W2&gt;=110),0.12,0)+IF(AND(V2&gt;=175,W2&lt;55),0.2,0)+IF(AND(V2&gt;=175,W2&gt;=55,W2&lt;95),0.15,0)+IF(AND(V2&gt;=175,W2&gt;=95),0.12,0),
IF(AF2="DoEVku",IF(AND(V2&lt;20,W2&lt;55),0.23,0)+IF(AND(V2&lt;20,W2&gt;=55,W2&lt;105),0.2,0)+IF(AND(V2&lt;20,W2&gt;=105),0.17,0)+IF(AND(V2&gt;=20,V2&lt;40,W2&lt;45),0.23,0)+IF(AND(V2&gt;=20,V2&lt;40,W2&gt;=45,W2&lt;95),0.2,0)+IF(AND(V2&gt;=20,V2&lt;40,W2&gt;=95,W2&lt;=150),0.17,0)+IF(AND(V2&gt;=20,V2&lt;40,W2&gt;=150),0.12,0)+IF(AND(V2&gt;=40,V2&lt;75,W2&lt;35),0.23,0)+IF(AND(V2&gt;=40,V2&lt;75,W2&gt;=35,W2&lt;75),0.2,0)+IF(AND(V2&gt;=40,V2&lt;75,W2&gt;=75,W2&lt;120),0.17,0)+IF(AND(V2&gt;=40,V2&lt;75,W2&gt;=120),0.12,0)+IF(AND(V2&gt;=75,V2&lt;175,W2&lt;35),0.23,0)+IF(AND(V2&gt;=75,V2&lt;=175,W2&gt;=35,W2&lt;65),0.2,0)+IF(AND(V2&gt;=75,V2&lt;=175,W2&gt;=65,W2&lt;110),0.17,0)+IF(AND(V2&gt;=75,V2&lt;=175,W2&gt;=110),0.12,0)+IF(AND(V2&gt;175,W2&lt;25),0.23,0)+IF(AND(V2&gt;175,W2&gt;=25,W2&lt;55),0.2,0)+IF(AND(V2&gt;175,W2&gt;=55,W2&lt;95),0.17,0)+IF(AND(V2&gt;175,W2&gt;=95),0.12,0),
IF(AF2="DoEVs1",IF(AND(V2&lt;20,W2&lt;55),0.3,0)+IF(AND(V2&lt;20,W2&gt;=55,W2&lt;105),0.23,0)+IF(AND(V2&lt;20,W2&gt;=105),0.17,0)+IF(AND(V2&gt;=20,V2&lt;40,W2&lt;45),0.3,0)+IF(AND(V2&gt;=20,V2&lt;40,W2&gt;=45,W2&lt;95),0.23,0)+IF(AND(V2&gt;=20,V2&lt;40,W2&gt;=95,W2&lt;=150),0.17,0)+IF(AND(V2&gt;=20,V2&lt;40,W2&gt;=150),0.12,0)+IF(AND(V2&gt;=40,V2&lt;75,W2&lt;35),0.3,0)+IF(AND(V2&gt;=40,V2&lt;75,W2&gt;=35,W2&lt;75),0.23,0)+IF(AND(V2&gt;=40,V2&lt;75,W2&gt;=75,W2&lt;120),0.17,0)+IF(AND(V2&gt;=40,V2&lt;75,W2&gt;=120),0.12,0)+IF(AND(V2&gt;=75,V2&lt;175,W2&lt;35),0.3,0)+IF(AND(V2&gt;=75,V2&lt;=175,W2&gt;=35,W2&lt;65),0.23,0)+IF(AND(V2&gt;=75,V2&lt;=175,W2&gt;=65,W2&lt;110),0.17,0)+IF(AND(V2&gt;=75,V2&lt;=175,W2&gt;=110),0.12,0)+IF(AND(V2&gt;175,W2&lt;25),0.3,0)+IF(AND(V2&gt;175,W2&gt;=25,W2&lt;55),0.23,0)+IF(AND(V2&gt;175,W2&gt;=55,W2&lt;95),0.17,0)+IF(AND(V2&gt;175,W2&gt;=95),0.12,0),
IF(AF2="DoEVsu",IF(AND(V2&lt;20,W2&lt;55),0.3,0)+IF(AND(V2&lt;20,W2&gt;=55,W2&lt;105),0.23,0)+IF(AND(V2&lt;20,W2&gt;=105),0.17,0)+IF(AND(V2&gt;=20,V2&lt;40,W2&lt;45),0.3,0)+IF(AND(V2&gt;=20,V2&lt;40,W2&gt;=45,W2&lt;95),0.23,0)+IF(AND(V2&gt;=20,V2&lt;40,W2&gt;=95,W2&lt;=250),0.17,0)+IF(AND(V2&gt;=20,V2&lt;40,W2&gt;=250),0.12,0)+IF(AND(V2&gt;=40,V2&lt;75,W2&lt;35),0.3,0)+IF(AND(V2&gt;=40,V2&lt;75,W2&gt;=35,W2&lt;75),0.23,0)+IF(AND(V2&gt;=40,V2&lt;75,W2&gt;=75,W2&lt;120),0.17,0)+IF(AND(V2&gt;=40,V2&lt;75,W2&gt;=120),0.12,0)+IF(AND(V2&gt;=75,V2&lt;175,W2&lt;35),0.3,0)+IF(AND(V2&gt;=75,V2&lt;=175,W2&gt;=35,W2&lt;65),0.23,0)+IF(AND(V2&gt;=75,V2&lt;=175,W2&gt;=65,W2&lt;110),0.17,0)+IF(AND(V2&gt;=75,V2&lt;=175,W2&gt;=110),0.12,0)+IF(AND(V2&gt;175,W2&lt;25),0.3,0)+IF(AND(V2&gt;175,W2&gt;=25,W2&lt;55),0.23,0)+IF(AND(V2&gt;175,W2&gt;=55,W2&lt;95),0.17,0)+IF(AND(V2&gt;175,W2&gt;=95),0.12,0),
IF(AF2="DoEVni",IF(AND(V2&lt;20,W2&lt;55),0.3,0)+IF(AND(V2&lt;20,W2&gt;=55,W2&lt;105),0.23,0)+IF(AND(V2&lt;20,W2&gt;=105),0.17,0)+IF(AND(V2&gt;=20,V2&lt;40,W2&lt;45),0.3,0)+IF(AND(V2&gt;=20,V2&lt;40,W2&gt;=45,W2&lt;95),0.23,0)+IF(AND(V2&gt;=20,V2&lt;40,W2&gt;=95,W2&lt;=200),0.17,0)+IF(AND(V2&gt;=20,V2&lt;40,W2&gt;=200),0.12,0)+IF(AND(V2&gt;=40,V2&lt;75,W2&lt;35),0.3,0)+IF(AND(V2&gt;=40,V2&lt;75,W2&gt;=35,W2&lt;75),0.23,0)+IF(AND(V2&gt;=40,V2&lt;75,W2&gt;=75,W2&lt;120),0.17,0)+IF(AND(V2&gt;=40,V2&lt;75,W2&gt;=120),0.12,0)+IF(AND(V2&gt;=75,V2&lt;175,W2&lt;35),0.3,0)+IF(AND(V2&gt;=75,V2&lt;=175,W2&gt;=35,W2&lt;65),0.23,0)+IF(AND(V2&gt;=75,V2&lt;=175,W2&gt;=65,W2&lt;110),0.17,0)+IF(AND(V2&gt;=75,V2&lt;=175,W2&gt;=110),0.12,0)+IF(AND(V2&gt;175,W2&lt;25),0.3,0)+IF(AND(V2&gt;175,W2&gt;=25,W2&lt;55),0.23,0)+IF(AND(V2&gt;175,W2&gt;=55,W2&lt;95),0.17,0)+IF(AND(V2&gt;175,W2&gt;=95),0.12,0),
IF(AF2="DoEVLo",IF(AND(V2&lt;20,W2&lt;55),0.25,0)+IF(AND(V2&lt;20,W2&gt;=55,W2&lt;105),0.2,0)+IF(AND(V2&lt;20,W2&gt;=105),0.15,0)+IF(AND(V2&gt;=20,V2&lt;40,W2&lt;45),0.25,0)+IF(AND(V2&gt;=20,V2&lt;40,W2&gt;=45,W2&lt;95),0.2,0)+IF(AND(V2&gt;=20,V2&lt;40,W2&gt;=95),0.15,0)+IF(AND(V2&gt;=40,V2&lt;75,W2&lt;35),0.25,0)+IF(AND(V2&gt;=40,V2&lt;75,W2&gt;=35,W2&lt;75),0.2,0)+IF(AND(V2&gt;=40,V2&lt;75,W2&gt;=75,W2&lt;120),0.15,0)+IF(AND(V2&gt;=40,V2&lt;75,W2&gt;=120),0.1,0)+IF(AND(V2&gt;=75,V2&lt;175,W2&lt;35),0.25,0)+IF(AND(V2&gt;=75,V2&lt;=175,W2&gt;=35,W2&lt;65),0.2,0)+IF(AND(V2&gt;=75,V2&lt;=175,W2&gt;=65,W2&lt;110),0.15,0)+IF(AND(V2&gt;=75,V2&lt;=175,W2&gt;=110),0.1,0)+IF(AND(V2&gt;175,W2&lt;25),0.25,0)+IF(AND(V2&gt;175,W2&gt;=25,W2&lt;55),0.2,0)+IF(AND(V2&gt;175,W2&gt;=55,W2&lt;95),0.15,0)+IF(AND(V2&gt;175,W2&gt;=95),0.1,0))))))))))))))))</f>
        <v>0.17</v>
      </c>
      <c r="Y2" s="30">
        <f t="shared" ref="Y2:Y76" si="4">IF(AG2="None",0,IF(AG2="Fix5",0.05,IF(AG2="Fix3.75",0.0375,IF(AG2="Fix10",0.1,IF(AG2="Fix3",0.03,0)))))</f>
        <v>0</v>
      </c>
      <c r="Z2" s="35">
        <f t="shared" ref="Z2:Z50" si="5">T2-AA2-AB2</f>
        <v>0</v>
      </c>
      <c r="AA2" s="29">
        <f t="shared" ref="AA2:AA50" si="6">IF(AD2="EUR",((T2-R2)*X2)*U2+(R2*X2),(T2*X2))</f>
        <v>0</v>
      </c>
      <c r="AB2" s="36">
        <f t="shared" ref="AB2:AB50" si="7">IF(AD2="EUR",((T2-R2)*Y2)*U2+(R2*Y2),(T2*Y2))</f>
        <v>0</v>
      </c>
      <c r="AC2" s="37" t="b">
        <v>1</v>
      </c>
      <c r="AD2" s="37" t="s">
        <v>38</v>
      </c>
      <c r="AE2" s="37" t="s">
        <v>38</v>
      </c>
      <c r="AF2" s="37" t="str">
        <f t="array" ref="AF2">INDEX('Deal Info'!D:D, MATCH(A2,'Deal Info'!A:A, 0))</f>
        <v>DoEV</v>
      </c>
      <c r="AG2" s="38" t="str">
        <f t="array" ref="AG2">INDEX('Deal Info'!G:G, MATCH(A2,'Deal Info'!A:A, 0))</f>
        <v>None</v>
      </c>
    </row>
    <row r="3" spans="1:33" ht="14.25" hidden="1" x14ac:dyDescent="0.2">
      <c r="A3" s="18" t="str">
        <f t="array" ref="A3">IF(G3='Room Info'!$B$1, INDEX('Room Info'!$A$2:$A2446, MATCH(B3,'Room Info'!$B$2:$B2446, 0)),IF(G3='Room Info'!$C$1, INDEX('Room Info'!$A$2:$A2446, MATCH(B3,'Room Info'!$C$2:$C2446, 0)),IF(G3='Room Info'!$D$1, INDEX('Room Info'!$A$2:$A2446, MATCH(B3,'Room Info'!$D$2:$D2446, 0)),IF(G3='Room Info'!$E$1, INDEX('Room Info'!$A$2:$A2446, MATCH(B3,'Room Info'!$E$2:$E2446, 0)),IF(G3='Room Info'!$F$1, INDEX('Room Info'!$A$2:$A2446, MATCH(B3,'Room Info'!$F$2:$F2446, 0)),IF(G3='Room Info'!$H$1, INDEX('Room Info'!$A$2:$A2446, MATCH(B3,'Room Info'!$H$2:$H2446, 0)),IF(G3='Room Info'!$G$1, INDEX('Room Info'!$A$2:$A2446, MATCH(B3,'Room Info'!$G$2:$G2446, 0)))))))))</f>
        <v>007x2</v>
      </c>
      <c r="B3" s="18" t="s">
        <v>33</v>
      </c>
      <c r="C3" s="19">
        <v>44886</v>
      </c>
      <c r="D3" s="20">
        <v>44915</v>
      </c>
      <c r="E3" s="21">
        <v>44896</v>
      </c>
      <c r="F3" s="22" t="s">
        <v>34</v>
      </c>
      <c r="G3" s="18" t="s">
        <v>35</v>
      </c>
      <c r="H3" s="23" t="s">
        <v>39</v>
      </c>
      <c r="I3" s="23" t="s">
        <v>37</v>
      </c>
      <c r="J3" s="39">
        <v>5</v>
      </c>
      <c r="K3" s="25">
        <v>695</v>
      </c>
      <c r="L3" s="26">
        <v>80</v>
      </c>
      <c r="M3" s="27">
        <v>239</v>
      </c>
      <c r="N3" s="28">
        <f t="shared" si="0"/>
        <v>3475</v>
      </c>
      <c r="O3" s="18">
        <v>51600</v>
      </c>
      <c r="P3" s="29">
        <v>74.244604319999993</v>
      </c>
      <c r="Q3" s="30"/>
      <c r="R3" s="31">
        <f t="shared" si="1"/>
        <v>239</v>
      </c>
      <c r="S3" s="28">
        <v>161</v>
      </c>
      <c r="T3" s="32">
        <f t="shared" si="2"/>
        <v>400</v>
      </c>
      <c r="U3" s="33">
        <v>1</v>
      </c>
      <c r="V3" s="34">
        <v>8.17</v>
      </c>
      <c r="W3" s="34">
        <v>132.53</v>
      </c>
      <c r="X3" s="30">
        <f t="shared" si="3"/>
        <v>0.17</v>
      </c>
      <c r="Y3" s="30">
        <f t="shared" si="4"/>
        <v>0</v>
      </c>
      <c r="Z3" s="35">
        <f t="shared" si="5"/>
        <v>332</v>
      </c>
      <c r="AA3" s="29">
        <f t="shared" si="6"/>
        <v>68</v>
      </c>
      <c r="AB3" s="36">
        <f t="shared" si="7"/>
        <v>0</v>
      </c>
      <c r="AC3" s="37" t="b">
        <v>1</v>
      </c>
      <c r="AD3" s="37" t="s">
        <v>38</v>
      </c>
      <c r="AE3" s="37" t="s">
        <v>38</v>
      </c>
      <c r="AF3" s="37" t="str">
        <f t="array" ref="AF3">INDEX('Deal Info'!D:D, MATCH(A3,'Deal Info'!A:A, 0))</f>
        <v>DoEV</v>
      </c>
      <c r="AG3" s="38" t="str">
        <f t="array" ref="AG3">INDEX('Deal Info'!G:G, MATCH(A3,'Deal Info'!A:A, 0))</f>
        <v>None</v>
      </c>
    </row>
    <row r="4" spans="1:33" ht="14.25" hidden="1" x14ac:dyDescent="0.2">
      <c r="A4" s="18" t="str">
        <f t="array" ref="A4">IF(G4='Room Info'!$B$1, INDEX('Room Info'!$A$2:$A2446, MATCH(B4,'Room Info'!$B$2:$B2446, 0)),IF(G4='Room Info'!$C$1, INDEX('Room Info'!$A$2:$A2446, MATCH(B4,'Room Info'!$C$2:$C2446, 0)),IF(G4='Room Info'!$D$1, INDEX('Room Info'!$A$2:$A2446, MATCH(B4,'Room Info'!$D$2:$D2446, 0)),IF(G4='Room Info'!$E$1, INDEX('Room Info'!$A$2:$A2446, MATCH(B4,'Room Info'!$E$2:$E2446, 0)),IF(G4='Room Info'!$F$1, INDEX('Room Info'!$A$2:$A2446, MATCH(B4,'Room Info'!$F$2:$F2446, 0)),IF(G4='Room Info'!$H$1, INDEX('Room Info'!$A$2:$A2446, MATCH(B4,'Room Info'!$H$2:$H2446, 0)),IF(G4='Room Info'!$G$1, INDEX('Room Info'!$A$2:$A2446, MATCH(B4,'Room Info'!$G$2:$G2446, 0)))))))))</f>
        <v>007x2</v>
      </c>
      <c r="B4" s="18" t="s">
        <v>33</v>
      </c>
      <c r="C4" s="19">
        <v>44886</v>
      </c>
      <c r="D4" s="20">
        <v>44915</v>
      </c>
      <c r="E4" s="21">
        <v>44896</v>
      </c>
      <c r="F4" s="22" t="s">
        <v>34</v>
      </c>
      <c r="G4" s="18" t="s">
        <v>35</v>
      </c>
      <c r="H4" s="23" t="s">
        <v>40</v>
      </c>
      <c r="I4" s="23" t="s">
        <v>37</v>
      </c>
      <c r="J4" s="39">
        <v>10</v>
      </c>
      <c r="K4" s="25">
        <v>1210</v>
      </c>
      <c r="L4" s="26">
        <v>1340</v>
      </c>
      <c r="M4" s="27">
        <v>730</v>
      </c>
      <c r="N4" s="28">
        <f t="shared" si="0"/>
        <v>12100</v>
      </c>
      <c r="O4" s="18">
        <v>46480</v>
      </c>
      <c r="P4" s="29">
        <v>38.413223139999999</v>
      </c>
      <c r="Q4" s="30"/>
      <c r="R4" s="31">
        <f t="shared" si="1"/>
        <v>730</v>
      </c>
      <c r="S4" s="28">
        <v>-45</v>
      </c>
      <c r="T4" s="32">
        <f t="shared" si="2"/>
        <v>685</v>
      </c>
      <c r="U4" s="33">
        <v>1</v>
      </c>
      <c r="V4" s="34">
        <v>8.17</v>
      </c>
      <c r="W4" s="34">
        <v>132.53</v>
      </c>
      <c r="X4" s="30">
        <f t="shared" si="3"/>
        <v>0.17</v>
      </c>
      <c r="Y4" s="30">
        <f t="shared" si="4"/>
        <v>0</v>
      </c>
      <c r="Z4" s="35">
        <f t="shared" si="5"/>
        <v>568.54999999999995</v>
      </c>
      <c r="AA4" s="29">
        <f t="shared" si="6"/>
        <v>116.45</v>
      </c>
      <c r="AB4" s="36">
        <f t="shared" si="7"/>
        <v>0</v>
      </c>
      <c r="AC4" s="37" t="b">
        <v>1</v>
      </c>
      <c r="AD4" s="37" t="s">
        <v>38</v>
      </c>
      <c r="AE4" s="37" t="s">
        <v>38</v>
      </c>
      <c r="AF4" s="37" t="str">
        <f t="array" ref="AF4">INDEX('Deal Info'!D:D, MATCH(A4,'Deal Info'!A:A, 0))</f>
        <v>DoEV</v>
      </c>
      <c r="AG4" s="38" t="str">
        <f t="array" ref="AG4">INDEX('Deal Info'!G:G, MATCH(A4,'Deal Info'!A:A, 0))</f>
        <v>None</v>
      </c>
    </row>
    <row r="5" spans="1:33" ht="14.25" hidden="1" x14ac:dyDescent="0.2">
      <c r="A5" s="18" t="str">
        <f t="array" ref="A5">IF(G5='Room Info'!$B$1, INDEX('Room Info'!$A$2:$A2446, MATCH(B5,'Room Info'!$B$2:$B2446, 0)),IF(G5='Room Info'!$C$1, INDEX('Room Info'!$A$2:$A2446, MATCH(B5,'Room Info'!$C$2:$C2446, 0)),IF(G5='Room Info'!$D$1, INDEX('Room Info'!$A$2:$A2446, MATCH(B5,'Room Info'!$D$2:$D2446, 0)),IF(G5='Room Info'!$E$1, INDEX('Room Info'!$A$2:$A2446, MATCH(B5,'Room Info'!$E$2:$E2446, 0)),IF(G5='Room Info'!$F$1, INDEX('Room Info'!$A$2:$A2446, MATCH(B5,'Room Info'!$F$2:$F2446, 0)),IF(G5='Room Info'!$H$1, INDEX('Room Info'!$A$2:$A2446, MATCH(B5,'Room Info'!$H$2:$H2446, 0)),IF(G5='Room Info'!$G$1, INDEX('Room Info'!$A$2:$A2446, MATCH(B5,'Room Info'!$G$2:$G2446, 0)))))))))</f>
        <v>007x2</v>
      </c>
      <c r="B5" s="18" t="s">
        <v>33</v>
      </c>
      <c r="C5" s="19">
        <v>44886</v>
      </c>
      <c r="D5" s="20">
        <v>44915</v>
      </c>
      <c r="E5" s="21">
        <v>44896</v>
      </c>
      <c r="F5" s="40" t="s">
        <v>41</v>
      </c>
      <c r="G5" s="18" t="s">
        <v>35</v>
      </c>
      <c r="H5" s="23" t="s">
        <v>42</v>
      </c>
      <c r="I5" s="23" t="s">
        <v>37</v>
      </c>
      <c r="J5" s="39">
        <v>1</v>
      </c>
      <c r="K5" s="25">
        <v>1</v>
      </c>
      <c r="L5" s="26">
        <v>-1</v>
      </c>
      <c r="M5" s="27"/>
      <c r="N5" s="28">
        <f t="shared" si="0"/>
        <v>1</v>
      </c>
      <c r="O5" s="18"/>
      <c r="P5" s="29">
        <v>0</v>
      </c>
      <c r="Q5" s="30"/>
      <c r="R5" s="31">
        <f t="shared" si="1"/>
        <v>0</v>
      </c>
      <c r="S5" s="28"/>
      <c r="T5" s="32">
        <f t="shared" si="2"/>
        <v>-1</v>
      </c>
      <c r="U5" s="33">
        <v>1</v>
      </c>
      <c r="V5" s="34">
        <v>8.17</v>
      </c>
      <c r="W5" s="34">
        <v>132.53</v>
      </c>
      <c r="X5" s="30">
        <f t="shared" si="3"/>
        <v>0.17</v>
      </c>
      <c r="Y5" s="30">
        <f t="shared" si="4"/>
        <v>0</v>
      </c>
      <c r="Z5" s="35">
        <f t="shared" si="5"/>
        <v>-0.83</v>
      </c>
      <c r="AA5" s="29">
        <f t="shared" si="6"/>
        <v>-0.17</v>
      </c>
      <c r="AB5" s="36">
        <f t="shared" si="7"/>
        <v>0</v>
      </c>
      <c r="AC5" s="37" t="b">
        <v>1</v>
      </c>
      <c r="AD5" s="37" t="s">
        <v>38</v>
      </c>
      <c r="AE5" s="37" t="s">
        <v>38</v>
      </c>
      <c r="AF5" s="37" t="str">
        <f t="array" ref="AF5">INDEX('Deal Info'!D:D, MATCH(A5,'Deal Info'!A:A, 0))</f>
        <v>DoEV</v>
      </c>
      <c r="AG5" s="38" t="str">
        <f t="array" ref="AG5">INDEX('Deal Info'!G:G, MATCH(A5,'Deal Info'!A:A, 0))</f>
        <v>None</v>
      </c>
    </row>
    <row r="6" spans="1:33" ht="14.25" hidden="1" x14ac:dyDescent="0.2">
      <c r="A6" s="18" t="str">
        <f t="array" ref="A6">IF(G6='Room Info'!$B$1, INDEX('Room Info'!$A$2:$A2446, MATCH(B6,'Room Info'!$B$2:$B2446, 0)),IF(G6='Room Info'!$C$1, INDEX('Room Info'!$A$2:$A2446, MATCH(B6,'Room Info'!$C$2:$C2446, 0)),IF(G6='Room Info'!$D$1, INDEX('Room Info'!$A$2:$A2446, MATCH(B6,'Room Info'!$D$2:$D2446, 0)),IF(G6='Room Info'!$E$1, INDEX('Room Info'!$A$2:$A2446, MATCH(B6,'Room Info'!$E$2:$E2446, 0)),IF(G6='Room Info'!$F$1, INDEX('Room Info'!$A$2:$A2446, MATCH(B6,'Room Info'!$F$2:$F2446, 0)),IF(G6='Room Info'!$H$1, INDEX('Room Info'!$A$2:$A2446, MATCH(B6,'Room Info'!$H$2:$H2446, 0)),IF(G6='Room Info'!$G$1, INDEX('Room Info'!$A$2:$A2446, MATCH(B6,'Room Info'!$G$2:$G2446, 0)))))))))</f>
        <v>007x2</v>
      </c>
      <c r="B6" s="18" t="s">
        <v>33</v>
      </c>
      <c r="C6" s="19">
        <v>44886</v>
      </c>
      <c r="D6" s="20">
        <v>44915</v>
      </c>
      <c r="E6" s="21">
        <v>44896</v>
      </c>
      <c r="F6" s="40" t="s">
        <v>41</v>
      </c>
      <c r="G6" s="18" t="s">
        <v>35</v>
      </c>
      <c r="H6" s="23" t="s">
        <v>43</v>
      </c>
      <c r="I6" s="23" t="s">
        <v>44</v>
      </c>
      <c r="J6" s="39">
        <v>2</v>
      </c>
      <c r="K6" s="25">
        <v>1</v>
      </c>
      <c r="L6" s="26">
        <v>-2</v>
      </c>
      <c r="M6" s="27"/>
      <c r="N6" s="28">
        <f t="shared" si="0"/>
        <v>2</v>
      </c>
      <c r="O6" s="18"/>
      <c r="P6" s="29">
        <v>0</v>
      </c>
      <c r="Q6" s="30"/>
      <c r="R6" s="31">
        <f t="shared" si="1"/>
        <v>0</v>
      </c>
      <c r="S6" s="28"/>
      <c r="T6" s="32">
        <f t="shared" si="2"/>
        <v>-2</v>
      </c>
      <c r="U6" s="33">
        <v>1</v>
      </c>
      <c r="V6" s="34">
        <v>8.17</v>
      </c>
      <c r="W6" s="34">
        <v>132.53</v>
      </c>
      <c r="X6" s="30">
        <f t="shared" si="3"/>
        <v>0.17</v>
      </c>
      <c r="Y6" s="30">
        <f t="shared" si="4"/>
        <v>0</v>
      </c>
      <c r="Z6" s="35">
        <f t="shared" si="5"/>
        <v>-1.66</v>
      </c>
      <c r="AA6" s="29">
        <f t="shared" si="6"/>
        <v>-0.34</v>
      </c>
      <c r="AB6" s="36">
        <f t="shared" si="7"/>
        <v>0</v>
      </c>
      <c r="AC6" s="37" t="b">
        <v>1</v>
      </c>
      <c r="AD6" s="37" t="s">
        <v>38</v>
      </c>
      <c r="AE6" s="37" t="s">
        <v>38</v>
      </c>
      <c r="AF6" s="37" t="str">
        <f t="array" ref="AF6">INDEX('Deal Info'!D:D, MATCH(A6,'Deal Info'!A:A, 0))</f>
        <v>DoEV</v>
      </c>
      <c r="AG6" s="38" t="str">
        <f t="array" ref="AG6">INDEX('Deal Info'!G:G, MATCH(A6,'Deal Info'!A:A, 0))</f>
        <v>None</v>
      </c>
    </row>
    <row r="7" spans="1:33" ht="14.25" hidden="1" x14ac:dyDescent="0.2">
      <c r="A7" s="18" t="str">
        <f t="array" ref="A7">IF(G7='Room Info'!$B$1, INDEX('Room Info'!$A$2:$A2446, MATCH(B7,'Room Info'!$B$2:$B2446, 0)),IF(G7='Room Info'!$C$1, INDEX('Room Info'!$A$2:$A2446, MATCH(B7,'Room Info'!$C$2:$C2446, 0)),IF(G7='Room Info'!$D$1, INDEX('Room Info'!$A$2:$A2446, MATCH(B7,'Room Info'!$D$2:$D2446, 0)),IF(G7='Room Info'!$E$1, INDEX('Room Info'!$A$2:$A2446, MATCH(B7,'Room Info'!$E$2:$E2446, 0)),IF(G7='Room Info'!$F$1, INDEX('Room Info'!$A$2:$A2446, MATCH(B7,'Room Info'!$F$2:$F2446, 0)),IF(G7='Room Info'!$H$1, INDEX('Room Info'!$A$2:$A2446, MATCH(B7,'Room Info'!$H$2:$H2446, 0)),IF(G7='Room Info'!$G$1, INDEX('Room Info'!$A$2:$A2446, MATCH(B7,'Room Info'!$G$2:$G2446, 0)))))))))</f>
        <v>007x2</v>
      </c>
      <c r="B7" s="18" t="s">
        <v>33</v>
      </c>
      <c r="C7" s="19">
        <v>44886</v>
      </c>
      <c r="D7" s="20">
        <v>44915</v>
      </c>
      <c r="E7" s="21">
        <v>44896</v>
      </c>
      <c r="F7" s="22" t="s">
        <v>41</v>
      </c>
      <c r="G7" s="18" t="s">
        <v>35</v>
      </c>
      <c r="H7" s="23" t="s">
        <v>45</v>
      </c>
      <c r="I7" s="23" t="s">
        <v>37</v>
      </c>
      <c r="J7" s="39">
        <v>0.25</v>
      </c>
      <c r="K7" s="25">
        <v>1</v>
      </c>
      <c r="L7" s="26">
        <v>0</v>
      </c>
      <c r="M7" s="27"/>
      <c r="N7" s="28">
        <f t="shared" si="0"/>
        <v>0.25</v>
      </c>
      <c r="O7" s="18"/>
      <c r="P7" s="29">
        <v>0</v>
      </c>
      <c r="Q7" s="30"/>
      <c r="R7" s="31">
        <f t="shared" si="1"/>
        <v>0</v>
      </c>
      <c r="S7" s="28"/>
      <c r="T7" s="32">
        <f t="shared" si="2"/>
        <v>0</v>
      </c>
      <c r="U7" s="33">
        <v>1</v>
      </c>
      <c r="V7" s="34">
        <v>8.17</v>
      </c>
      <c r="W7" s="34">
        <v>132.53</v>
      </c>
      <c r="X7" s="30">
        <f t="shared" si="3"/>
        <v>0.17</v>
      </c>
      <c r="Y7" s="30">
        <f t="shared" si="4"/>
        <v>0</v>
      </c>
      <c r="Z7" s="35">
        <f t="shared" si="5"/>
        <v>0</v>
      </c>
      <c r="AA7" s="29">
        <f t="shared" si="6"/>
        <v>0</v>
      </c>
      <c r="AB7" s="36">
        <f t="shared" si="7"/>
        <v>0</v>
      </c>
      <c r="AC7" s="37" t="b">
        <v>1</v>
      </c>
      <c r="AD7" s="37" t="s">
        <v>38</v>
      </c>
      <c r="AE7" s="37" t="s">
        <v>38</v>
      </c>
      <c r="AF7" s="37" t="str">
        <f t="array" ref="AF7">INDEX('Deal Info'!D:D, MATCH(A7,'Deal Info'!A:A, 0))</f>
        <v>DoEV</v>
      </c>
      <c r="AG7" s="38" t="str">
        <f t="array" ref="AG7">INDEX('Deal Info'!G:G, MATCH(A7,'Deal Info'!A:A, 0))</f>
        <v>None</v>
      </c>
    </row>
    <row r="8" spans="1:33" ht="14.25" hidden="1" x14ac:dyDescent="0.2">
      <c r="A8" s="18" t="str">
        <f t="array" ref="A8">IF(G8='Room Info'!$B$1, INDEX('Room Info'!$A$2:$A2446, MATCH(B8,'Room Info'!$B$2:$B2446, 0)),IF(G8='Room Info'!$C$1, INDEX('Room Info'!$A$2:$A2446, MATCH(B8,'Room Info'!$C$2:$C2446, 0)),IF(G8='Room Info'!$D$1, INDEX('Room Info'!$A$2:$A2446, MATCH(B8,'Room Info'!$D$2:$D2446, 0)),IF(G8='Room Info'!$E$1, INDEX('Room Info'!$A$2:$A2446, MATCH(B8,'Room Info'!$E$2:$E2446, 0)),IF(G8='Room Info'!$F$1, INDEX('Room Info'!$A$2:$A2446, MATCH(B8,'Room Info'!$F$2:$F2446, 0)),IF(G8='Room Info'!$H$1, INDEX('Room Info'!$A$2:$A2446, MATCH(B8,'Room Info'!$H$2:$H2446, 0)),IF(G8='Room Info'!$G$1, INDEX('Room Info'!$A$2:$A2446, MATCH(B8,'Room Info'!$G$2:$G2446, 0)))))))))</f>
        <v>007x2</v>
      </c>
      <c r="B8" s="18" t="s">
        <v>33</v>
      </c>
      <c r="C8" s="19">
        <v>44886</v>
      </c>
      <c r="D8" s="20">
        <v>44915</v>
      </c>
      <c r="E8" s="21">
        <v>44896</v>
      </c>
      <c r="F8" s="22" t="s">
        <v>41</v>
      </c>
      <c r="G8" s="18" t="s">
        <v>35</v>
      </c>
      <c r="H8" s="23" t="s">
        <v>46</v>
      </c>
      <c r="I8" s="23" t="s">
        <v>37</v>
      </c>
      <c r="J8" s="39">
        <v>25</v>
      </c>
      <c r="K8" s="25">
        <v>2</v>
      </c>
      <c r="L8" s="26">
        <v>0</v>
      </c>
      <c r="M8" s="27">
        <v>3</v>
      </c>
      <c r="N8" s="28">
        <f t="shared" si="0"/>
        <v>50</v>
      </c>
      <c r="O8" s="18"/>
      <c r="P8" s="29">
        <v>0</v>
      </c>
      <c r="Q8" s="30"/>
      <c r="R8" s="31">
        <f t="shared" si="1"/>
        <v>3</v>
      </c>
      <c r="S8" s="28"/>
      <c r="T8" s="32">
        <f t="shared" si="2"/>
        <v>3</v>
      </c>
      <c r="U8" s="33">
        <v>1</v>
      </c>
      <c r="V8" s="34">
        <v>8.17</v>
      </c>
      <c r="W8" s="34">
        <v>132.53</v>
      </c>
      <c r="X8" s="30">
        <f t="shared" si="3"/>
        <v>0.17</v>
      </c>
      <c r="Y8" s="30">
        <f t="shared" si="4"/>
        <v>0</v>
      </c>
      <c r="Z8" s="35">
        <f t="shared" si="5"/>
        <v>2.4900000000000002</v>
      </c>
      <c r="AA8" s="29">
        <f t="shared" si="6"/>
        <v>0.51</v>
      </c>
      <c r="AB8" s="36">
        <f t="shared" si="7"/>
        <v>0</v>
      </c>
      <c r="AC8" s="37" t="b">
        <v>1</v>
      </c>
      <c r="AD8" s="37" t="s">
        <v>38</v>
      </c>
      <c r="AE8" s="37" t="s">
        <v>38</v>
      </c>
      <c r="AF8" s="37" t="str">
        <f t="array" ref="AF8">INDEX('Deal Info'!D:D, MATCH(A8,'Deal Info'!A:A, 0))</f>
        <v>DoEV</v>
      </c>
      <c r="AG8" s="38" t="str">
        <f t="array" ref="AG8">INDEX('Deal Info'!G:G, MATCH(A8,'Deal Info'!A:A, 0))</f>
        <v>None</v>
      </c>
    </row>
    <row r="9" spans="1:33" ht="14.25" hidden="1" x14ac:dyDescent="0.2">
      <c r="A9" s="18" t="str">
        <f t="array" ref="A9">IF(G9='Room Info'!$B$1, INDEX('Room Info'!$A$2:$A2446, MATCH(B9,'Room Info'!$B$2:$B2446, 0)),IF(G9='Room Info'!$C$1, INDEX('Room Info'!$A$2:$A2446, MATCH(B9,'Room Info'!$C$2:$C2446, 0)),IF(G9='Room Info'!$D$1, INDEX('Room Info'!$A$2:$A2446, MATCH(B9,'Room Info'!$D$2:$D2446, 0)),IF(G9='Room Info'!$E$1, INDEX('Room Info'!$A$2:$A2446, MATCH(B9,'Room Info'!$E$2:$E2446, 0)),IF(G9='Room Info'!$F$1, INDEX('Room Info'!$A$2:$A2446, MATCH(B9,'Room Info'!$F$2:$F2446, 0)),IF(G9='Room Info'!$H$1, INDEX('Room Info'!$A$2:$A2446, MATCH(B9,'Room Info'!$H$2:$H2446, 0)),IF(G9='Room Info'!$G$1, INDEX('Room Info'!$A$2:$A2446, MATCH(B9,'Room Info'!$G$2:$G2446, 0)))))))))</f>
        <v>007x2</v>
      </c>
      <c r="B9" s="18" t="s">
        <v>33</v>
      </c>
      <c r="C9" s="19">
        <v>44886</v>
      </c>
      <c r="D9" s="20">
        <v>44915</v>
      </c>
      <c r="E9" s="21">
        <v>44896</v>
      </c>
      <c r="F9" s="22" t="s">
        <v>41</v>
      </c>
      <c r="G9" s="18" t="s">
        <v>35</v>
      </c>
      <c r="H9" s="23" t="s">
        <v>47</v>
      </c>
      <c r="I9" s="23" t="s">
        <v>44</v>
      </c>
      <c r="J9" s="39">
        <v>1</v>
      </c>
      <c r="K9" s="25">
        <v>2</v>
      </c>
      <c r="L9" s="26">
        <v>-2</v>
      </c>
      <c r="M9" s="27"/>
      <c r="N9" s="28">
        <f t="shared" si="0"/>
        <v>2</v>
      </c>
      <c r="O9" s="18"/>
      <c r="P9" s="29">
        <v>0</v>
      </c>
      <c r="Q9" s="30"/>
      <c r="R9" s="31">
        <f t="shared" si="1"/>
        <v>0</v>
      </c>
      <c r="S9" s="28"/>
      <c r="T9" s="32">
        <f t="shared" si="2"/>
        <v>-2</v>
      </c>
      <c r="U9" s="33">
        <v>1</v>
      </c>
      <c r="V9" s="34">
        <v>8.17</v>
      </c>
      <c r="W9" s="34">
        <v>132.53</v>
      </c>
      <c r="X9" s="30">
        <f t="shared" si="3"/>
        <v>0.17</v>
      </c>
      <c r="Y9" s="30">
        <f t="shared" si="4"/>
        <v>0</v>
      </c>
      <c r="Z9" s="35">
        <f t="shared" si="5"/>
        <v>-1.66</v>
      </c>
      <c r="AA9" s="29">
        <f t="shared" si="6"/>
        <v>-0.34</v>
      </c>
      <c r="AB9" s="36">
        <f t="shared" si="7"/>
        <v>0</v>
      </c>
      <c r="AC9" s="37" t="b">
        <v>1</v>
      </c>
      <c r="AD9" s="37" t="s">
        <v>38</v>
      </c>
      <c r="AE9" s="37" t="s">
        <v>38</v>
      </c>
      <c r="AF9" s="37" t="str">
        <f t="array" ref="AF9">INDEX('Deal Info'!D:D, MATCH(A9,'Deal Info'!A:A, 0))</f>
        <v>DoEV</v>
      </c>
      <c r="AG9" s="38" t="str">
        <f t="array" ref="AG9">INDEX('Deal Info'!G:G, MATCH(A9,'Deal Info'!A:A, 0))</f>
        <v>None</v>
      </c>
    </row>
    <row r="10" spans="1:33" ht="14.25" hidden="1" x14ac:dyDescent="0.2">
      <c r="A10" s="18" t="str">
        <f t="array" ref="A10">IF(G10='Room Info'!$B$1, INDEX('Room Info'!$A$2:$A2446, MATCH(B10,'Room Info'!$B$2:$B2446, 0)),IF(G10='Room Info'!$C$1, INDEX('Room Info'!$A$2:$A2446, MATCH(B10,'Room Info'!$C$2:$C2446, 0)),IF(G10='Room Info'!$D$1, INDEX('Room Info'!$A$2:$A2446, MATCH(B10,'Room Info'!$D$2:$D2446, 0)),IF(G10='Room Info'!$E$1, INDEX('Room Info'!$A$2:$A2446, MATCH(B10,'Room Info'!$E$2:$E2446, 0)),IF(G10='Room Info'!$F$1, INDEX('Room Info'!$A$2:$A2446, MATCH(B10,'Room Info'!$F$2:$F2446, 0)),IF(G10='Room Info'!$H$1, INDEX('Room Info'!$A$2:$A2446, MATCH(B10,'Room Info'!$H$2:$H2446, 0)),IF(G10='Room Info'!$G$1, INDEX('Room Info'!$A$2:$A2446, MATCH(B10,'Room Info'!$G$2:$G2446, 0)))))))))</f>
        <v>007x2</v>
      </c>
      <c r="B10" s="18" t="s">
        <v>33</v>
      </c>
      <c r="C10" s="19">
        <v>44916</v>
      </c>
      <c r="D10" s="20">
        <v>44946</v>
      </c>
      <c r="E10" s="21">
        <v>44927</v>
      </c>
      <c r="F10" s="22" t="s">
        <v>34</v>
      </c>
      <c r="G10" s="18" t="s">
        <v>35</v>
      </c>
      <c r="H10" s="23" t="s">
        <v>40</v>
      </c>
      <c r="I10" s="23" t="s">
        <v>37</v>
      </c>
      <c r="J10" s="39">
        <v>10</v>
      </c>
      <c r="K10" s="25">
        <v>497</v>
      </c>
      <c r="L10" s="26">
        <v>350</v>
      </c>
      <c r="M10" s="27">
        <v>125</v>
      </c>
      <c r="N10" s="28">
        <f t="shared" si="0"/>
        <v>4970</v>
      </c>
      <c r="O10" s="18">
        <v>24382</v>
      </c>
      <c r="P10" s="29">
        <v>49.058350099999998</v>
      </c>
      <c r="Q10" s="30"/>
      <c r="R10" s="31">
        <f t="shared" si="1"/>
        <v>125</v>
      </c>
      <c r="S10" s="28">
        <v>52</v>
      </c>
      <c r="T10" s="32">
        <f t="shared" si="2"/>
        <v>177</v>
      </c>
      <c r="U10" s="33">
        <v>1</v>
      </c>
      <c r="V10" s="34">
        <v>10</v>
      </c>
      <c r="W10" s="34">
        <v>17.7</v>
      </c>
      <c r="X10" s="30">
        <f t="shared" si="3"/>
        <v>0.3</v>
      </c>
      <c r="Y10" s="30">
        <f t="shared" si="4"/>
        <v>0</v>
      </c>
      <c r="Z10" s="35">
        <f t="shared" si="5"/>
        <v>123.9</v>
      </c>
      <c r="AA10" s="29">
        <f t="shared" si="6"/>
        <v>53.1</v>
      </c>
      <c r="AB10" s="36">
        <f t="shared" si="7"/>
        <v>0</v>
      </c>
      <c r="AC10" s="37" t="b">
        <v>1</v>
      </c>
      <c r="AD10" s="37" t="s">
        <v>38</v>
      </c>
      <c r="AE10" s="37" t="s">
        <v>38</v>
      </c>
      <c r="AF10" s="37" t="str">
        <f t="array" ref="AF10">INDEX('Deal Info'!D:D, MATCH(A10,'Deal Info'!A:A, 0))</f>
        <v>DoEV</v>
      </c>
      <c r="AG10" s="38" t="str">
        <f t="array" ref="AG10">INDEX('Deal Info'!G:G, MATCH(A10,'Deal Info'!A:A, 0))</f>
        <v>None</v>
      </c>
    </row>
    <row r="11" spans="1:33" ht="14.25" hidden="1" x14ac:dyDescent="0.2">
      <c r="A11" s="18" t="str">
        <f t="array" ref="A11">IF(G11='Room Info'!$B$1, INDEX('Room Info'!$A$2:$A2446, MATCH(B11,'Room Info'!$B$2:$B2446, 0)),IF(G11='Room Info'!$C$1, INDEX('Room Info'!$A$2:$A2446, MATCH(B11,'Room Info'!$C$2:$C2446, 0)),IF(G11='Room Info'!$D$1, INDEX('Room Info'!$A$2:$A2446, MATCH(B11,'Room Info'!$D$2:$D2446, 0)),IF(G11='Room Info'!$E$1, INDEX('Room Info'!$A$2:$A2446, MATCH(B11,'Room Info'!$E$2:$E2446, 0)),IF(G11='Room Info'!$F$1, INDEX('Room Info'!$A$2:$A2446, MATCH(B11,'Room Info'!$F$2:$F2446, 0)),IF(G11='Room Info'!$H$1, INDEX('Room Info'!$A$2:$A2446, MATCH(B11,'Room Info'!$H$2:$H2446, 0)),IF(G11='Room Info'!$G$1, INDEX('Room Info'!$A$2:$A2446, MATCH(B11,'Room Info'!$G$2:$G2446, 0)))))))))</f>
        <v>00goldimon</v>
      </c>
      <c r="B11" s="18" t="s">
        <v>48</v>
      </c>
      <c r="C11" s="41">
        <v>44649</v>
      </c>
      <c r="D11" s="41">
        <v>44681</v>
      </c>
      <c r="E11" s="21">
        <v>44652</v>
      </c>
      <c r="F11" s="22" t="s">
        <v>49</v>
      </c>
      <c r="G11" s="18" t="s">
        <v>35</v>
      </c>
      <c r="H11" s="23" t="s">
        <v>46</v>
      </c>
      <c r="I11" s="23" t="s">
        <v>37</v>
      </c>
      <c r="J11" s="39">
        <v>25</v>
      </c>
      <c r="K11" s="25">
        <v>322</v>
      </c>
      <c r="L11" s="26">
        <v>-50</v>
      </c>
      <c r="M11" s="42">
        <v>144</v>
      </c>
      <c r="N11" s="28">
        <f t="shared" si="0"/>
        <v>8050</v>
      </c>
      <c r="O11" s="18">
        <v>7148</v>
      </c>
      <c r="P11" s="29">
        <v>22.198757759999999</v>
      </c>
      <c r="Q11" s="30"/>
      <c r="R11" s="31">
        <f t="shared" si="1"/>
        <v>144</v>
      </c>
      <c r="S11" s="28">
        <v>-183</v>
      </c>
      <c r="T11" s="32">
        <f t="shared" si="2"/>
        <v>-39</v>
      </c>
      <c r="U11" s="33">
        <v>1</v>
      </c>
      <c r="V11" s="34">
        <v>11.428043912175649</v>
      </c>
      <c r="W11" s="34">
        <v>84.178885502449589</v>
      </c>
      <c r="X11" s="30">
        <f t="shared" si="3"/>
        <v>0.23</v>
      </c>
      <c r="Y11" s="30">
        <f t="shared" si="4"/>
        <v>0</v>
      </c>
      <c r="Z11" s="35">
        <f t="shared" si="5"/>
        <v>-30.03</v>
      </c>
      <c r="AA11" s="29">
        <f t="shared" si="6"/>
        <v>-8.9700000000000006</v>
      </c>
      <c r="AB11" s="36">
        <f t="shared" si="7"/>
        <v>0</v>
      </c>
      <c r="AC11" s="37" t="b">
        <v>1</v>
      </c>
      <c r="AD11" s="37" t="s">
        <v>38</v>
      </c>
      <c r="AE11" s="37" t="s">
        <v>38</v>
      </c>
      <c r="AF11" s="37" t="str">
        <f t="array" ref="AF11">INDEX('Deal Info'!D:D, MATCH(A11,'Deal Info'!A:A, 0))</f>
        <v>DoEV</v>
      </c>
      <c r="AG11" s="38" t="str">
        <f t="array" ref="AG11">INDEX('Deal Info'!G:G, MATCH(A11,'Deal Info'!A:A, 0))</f>
        <v>None</v>
      </c>
    </row>
    <row r="12" spans="1:33" ht="14.25" hidden="1" x14ac:dyDescent="0.2">
      <c r="A12" s="18" t="str">
        <f t="array" ref="A12">IF(G12='Room Info'!$B$1, INDEX('Room Info'!$A$2:$A2446, MATCH(B12,'Room Info'!$B$2:$B2446, 0)),IF(G12='Room Info'!$C$1, INDEX('Room Info'!$A$2:$A2446, MATCH(B12,'Room Info'!$C$2:$C2446, 0)),IF(G12='Room Info'!$D$1, INDEX('Room Info'!$A$2:$A2446, MATCH(B12,'Room Info'!$D$2:$D2446, 0)),IF(G12='Room Info'!$E$1, INDEX('Room Info'!$A$2:$A2446, MATCH(B12,'Room Info'!$E$2:$E2446, 0)),IF(G12='Room Info'!$F$1, INDEX('Room Info'!$A$2:$A2446, MATCH(B12,'Room Info'!$F$2:$F2446, 0)),IF(G12='Room Info'!$H$1, INDEX('Room Info'!$A$2:$A2446, MATCH(B12,'Room Info'!$H$2:$H2446, 0)),IF(G12='Room Info'!$G$1, INDEX('Room Info'!$A$2:$A2446, MATCH(B12,'Room Info'!$G$2:$G2446, 0)))))))))</f>
        <v>00goldimon</v>
      </c>
      <c r="B12" s="18" t="s">
        <v>48</v>
      </c>
      <c r="C12" s="41">
        <v>44649</v>
      </c>
      <c r="D12" s="41">
        <v>44681</v>
      </c>
      <c r="E12" s="21">
        <v>44652</v>
      </c>
      <c r="F12" s="22" t="s">
        <v>49</v>
      </c>
      <c r="G12" s="18" t="s">
        <v>35</v>
      </c>
      <c r="H12" s="23" t="s">
        <v>40</v>
      </c>
      <c r="I12" s="23" t="s">
        <v>37</v>
      </c>
      <c r="J12" s="39">
        <v>10</v>
      </c>
      <c r="K12" s="25">
        <v>1951</v>
      </c>
      <c r="L12" s="26">
        <v>-60</v>
      </c>
      <c r="M12" s="42">
        <v>408</v>
      </c>
      <c r="N12" s="28">
        <f t="shared" si="0"/>
        <v>19510</v>
      </c>
      <c r="O12" s="18">
        <v>104281</v>
      </c>
      <c r="P12" s="29">
        <v>53.450025629999999</v>
      </c>
      <c r="Q12" s="30"/>
      <c r="R12" s="31">
        <f t="shared" si="1"/>
        <v>408</v>
      </c>
      <c r="S12" s="28">
        <v>472</v>
      </c>
      <c r="T12" s="32">
        <f t="shared" si="2"/>
        <v>880</v>
      </c>
      <c r="U12" s="33">
        <v>1</v>
      </c>
      <c r="V12" s="34">
        <v>11.428043912175649</v>
      </c>
      <c r="W12" s="34">
        <v>84.178885502449589</v>
      </c>
      <c r="X12" s="30">
        <f t="shared" si="3"/>
        <v>0.23</v>
      </c>
      <c r="Y12" s="30">
        <f t="shared" si="4"/>
        <v>0</v>
      </c>
      <c r="Z12" s="35">
        <f t="shared" si="5"/>
        <v>677.6</v>
      </c>
      <c r="AA12" s="29">
        <f t="shared" si="6"/>
        <v>202.4</v>
      </c>
      <c r="AB12" s="36">
        <f t="shared" si="7"/>
        <v>0</v>
      </c>
      <c r="AC12" s="37" t="b">
        <v>1</v>
      </c>
      <c r="AD12" s="37" t="s">
        <v>38</v>
      </c>
      <c r="AE12" s="37" t="s">
        <v>38</v>
      </c>
      <c r="AF12" s="37" t="str">
        <f t="array" ref="AF12">INDEX('Deal Info'!D:D, MATCH(A12,'Deal Info'!A:A, 0))</f>
        <v>DoEV</v>
      </c>
      <c r="AG12" s="38" t="str">
        <f t="array" ref="AG12">INDEX('Deal Info'!G:G, MATCH(A12,'Deal Info'!A:A, 0))</f>
        <v>None</v>
      </c>
    </row>
    <row r="13" spans="1:33" ht="14.25" hidden="1" x14ac:dyDescent="0.2">
      <c r="A13" s="18" t="str">
        <f t="array" ref="A13">IF(G13='Room Info'!$B$1, INDEX('Room Info'!$A$2:$A2446, MATCH(B13,'Room Info'!$B$2:$B2446, 0)),IF(G13='Room Info'!$C$1, INDEX('Room Info'!$A$2:$A2446, MATCH(B13,'Room Info'!$C$2:$C2446, 0)),IF(G13='Room Info'!$D$1, INDEX('Room Info'!$A$2:$A2446, MATCH(B13,'Room Info'!$D$2:$D2446, 0)),IF(G13='Room Info'!$E$1, INDEX('Room Info'!$A$2:$A2446, MATCH(B13,'Room Info'!$E$2:$E2446, 0)),IF(G13='Room Info'!$F$1, INDEX('Room Info'!$A$2:$A2446, MATCH(B13,'Room Info'!$F$2:$F2446, 0)),IF(G13='Room Info'!$H$1, INDEX('Room Info'!$A$2:$A2446, MATCH(B13,'Room Info'!$H$2:$H2446, 0)),IF(G13='Room Info'!$G$1, INDEX('Room Info'!$A$2:$A2446, MATCH(B13,'Room Info'!$G$2:$G2446, 0)))))))))</f>
        <v>00goldimon</v>
      </c>
      <c r="B13" s="18" t="s">
        <v>48</v>
      </c>
      <c r="C13" s="41">
        <v>44649</v>
      </c>
      <c r="D13" s="41">
        <v>44681</v>
      </c>
      <c r="E13" s="21">
        <v>44652</v>
      </c>
      <c r="F13" s="22" t="s">
        <v>41</v>
      </c>
      <c r="G13" s="18" t="s">
        <v>35</v>
      </c>
      <c r="H13" s="23" t="s">
        <v>42</v>
      </c>
      <c r="I13" s="23" t="s">
        <v>37</v>
      </c>
      <c r="J13" s="39">
        <v>1</v>
      </c>
      <c r="K13" s="25">
        <v>22</v>
      </c>
      <c r="L13" s="26">
        <v>6</v>
      </c>
      <c r="M13" s="27"/>
      <c r="N13" s="28">
        <f t="shared" si="0"/>
        <v>22</v>
      </c>
      <c r="O13" s="18"/>
      <c r="P13" s="29">
        <v>0</v>
      </c>
      <c r="Q13" s="30"/>
      <c r="R13" s="31">
        <f t="shared" si="1"/>
        <v>0</v>
      </c>
      <c r="S13" s="28"/>
      <c r="T13" s="32">
        <f t="shared" si="2"/>
        <v>6</v>
      </c>
      <c r="U13" s="33">
        <v>1</v>
      </c>
      <c r="V13" s="34">
        <v>11.428043912175649</v>
      </c>
      <c r="W13" s="34">
        <v>84.178885502449589</v>
      </c>
      <c r="X13" s="30">
        <f t="shared" si="3"/>
        <v>0.23</v>
      </c>
      <c r="Y13" s="30">
        <f t="shared" si="4"/>
        <v>0</v>
      </c>
      <c r="Z13" s="35">
        <f t="shared" si="5"/>
        <v>4.62</v>
      </c>
      <c r="AA13" s="29">
        <f t="shared" si="6"/>
        <v>1.3800000000000001</v>
      </c>
      <c r="AB13" s="36">
        <f t="shared" si="7"/>
        <v>0</v>
      </c>
      <c r="AC13" s="37" t="b">
        <v>1</v>
      </c>
      <c r="AD13" s="37" t="s">
        <v>38</v>
      </c>
      <c r="AE13" s="37" t="s">
        <v>38</v>
      </c>
      <c r="AF13" s="37" t="str">
        <f t="array" ref="AF13">INDEX('Deal Info'!D:D, MATCH(A13,'Deal Info'!A:A, 0))</f>
        <v>DoEV</v>
      </c>
      <c r="AG13" s="38" t="str">
        <f t="array" ref="AG13">INDEX('Deal Info'!G:G, MATCH(A13,'Deal Info'!A:A, 0))</f>
        <v>None</v>
      </c>
    </row>
    <row r="14" spans="1:33" ht="14.25" hidden="1" x14ac:dyDescent="0.2">
      <c r="A14" s="18" t="str">
        <f t="array" ref="A14">IF(G14='Room Info'!$B$1, INDEX('Room Info'!$A$2:$A2446, MATCH(B14,'Room Info'!$B$2:$B2446, 0)),IF(G14='Room Info'!$C$1, INDEX('Room Info'!$A$2:$A2446, MATCH(B14,'Room Info'!$C$2:$C2446, 0)),IF(G14='Room Info'!$D$1, INDEX('Room Info'!$A$2:$A2446, MATCH(B14,'Room Info'!$D$2:$D2446, 0)),IF(G14='Room Info'!$E$1, INDEX('Room Info'!$A$2:$A2446, MATCH(B14,'Room Info'!$E$2:$E2446, 0)),IF(G14='Room Info'!$F$1, INDEX('Room Info'!$A$2:$A2446, MATCH(B14,'Room Info'!$F$2:$F2446, 0)),IF(G14='Room Info'!$H$1, INDEX('Room Info'!$A$2:$A2446, MATCH(B14,'Room Info'!$H$2:$H2446, 0)),IF(G14='Room Info'!$G$1, INDEX('Room Info'!$A$2:$A2446, MATCH(B14,'Room Info'!$G$2:$G2446, 0)))))))))</f>
        <v>00goldimon</v>
      </c>
      <c r="B14" s="18" t="s">
        <v>48</v>
      </c>
      <c r="C14" s="19">
        <v>44649</v>
      </c>
      <c r="D14" s="19">
        <v>44681</v>
      </c>
      <c r="E14" s="21">
        <v>44652</v>
      </c>
      <c r="F14" s="40" t="s">
        <v>41</v>
      </c>
      <c r="G14" s="18" t="s">
        <v>35</v>
      </c>
      <c r="H14" s="23" t="s">
        <v>45</v>
      </c>
      <c r="I14" s="23" t="s">
        <v>37</v>
      </c>
      <c r="J14" s="39">
        <v>0.25</v>
      </c>
      <c r="K14" s="25">
        <v>1</v>
      </c>
      <c r="L14" s="26">
        <v>0</v>
      </c>
      <c r="M14" s="27"/>
      <c r="N14" s="28">
        <f t="shared" si="0"/>
        <v>0.25</v>
      </c>
      <c r="O14" s="18"/>
      <c r="P14" s="29">
        <v>0</v>
      </c>
      <c r="Q14" s="30"/>
      <c r="R14" s="31">
        <f t="shared" si="1"/>
        <v>0</v>
      </c>
      <c r="S14" s="28"/>
      <c r="T14" s="32">
        <f t="shared" si="2"/>
        <v>0</v>
      </c>
      <c r="U14" s="33">
        <v>1</v>
      </c>
      <c r="V14" s="34">
        <v>11.428043912175649</v>
      </c>
      <c r="W14" s="34">
        <v>84.178885502449589</v>
      </c>
      <c r="X14" s="30">
        <f t="shared" si="3"/>
        <v>0.23</v>
      </c>
      <c r="Y14" s="30">
        <f t="shared" si="4"/>
        <v>0</v>
      </c>
      <c r="Z14" s="35">
        <f t="shared" si="5"/>
        <v>0</v>
      </c>
      <c r="AA14" s="29">
        <f t="shared" si="6"/>
        <v>0</v>
      </c>
      <c r="AB14" s="36">
        <f t="shared" si="7"/>
        <v>0</v>
      </c>
      <c r="AC14" s="37" t="b">
        <v>1</v>
      </c>
      <c r="AD14" s="37" t="s">
        <v>38</v>
      </c>
      <c r="AE14" s="37" t="s">
        <v>38</v>
      </c>
      <c r="AF14" s="37" t="str">
        <f t="array" ref="AF14">INDEX('Deal Info'!D:D, MATCH(A14,'Deal Info'!A:A, 0))</f>
        <v>DoEV</v>
      </c>
      <c r="AG14" s="38" t="str">
        <f t="array" ref="AG14">INDEX('Deal Info'!G:G, MATCH(A14,'Deal Info'!A:A, 0))</f>
        <v>None</v>
      </c>
    </row>
    <row r="15" spans="1:33" ht="14.25" hidden="1" x14ac:dyDescent="0.2">
      <c r="A15" s="18" t="str">
        <f t="array" ref="A15">IF(G15='Room Info'!$B$1, INDEX('Room Info'!$A$2:$A2446, MATCH(B15,'Room Info'!$B$2:$B2446, 0)),IF(G15='Room Info'!$C$1, INDEX('Room Info'!$A$2:$A2446, MATCH(B15,'Room Info'!$C$2:$C2446, 0)),IF(G15='Room Info'!$D$1, INDEX('Room Info'!$A$2:$A2446, MATCH(B15,'Room Info'!$D$2:$D2446, 0)),IF(G15='Room Info'!$E$1, INDEX('Room Info'!$A$2:$A2446, MATCH(B15,'Room Info'!$E$2:$E2446, 0)),IF(G15='Room Info'!$F$1, INDEX('Room Info'!$A$2:$A2446, MATCH(B15,'Room Info'!$F$2:$F2446, 0)),IF(G15='Room Info'!$H$1, INDEX('Room Info'!$A$2:$A2446, MATCH(B15,'Room Info'!$H$2:$H2446, 0)),IF(G15='Room Info'!$G$1, INDEX('Room Info'!$A$2:$A2446, MATCH(B15,'Room Info'!$G$2:$G2446, 0)))))))))</f>
        <v>00goldimon</v>
      </c>
      <c r="B15" s="18" t="s">
        <v>48</v>
      </c>
      <c r="C15" s="19">
        <v>44649</v>
      </c>
      <c r="D15" s="19">
        <v>44681</v>
      </c>
      <c r="E15" s="21">
        <v>44652</v>
      </c>
      <c r="F15" s="40" t="s">
        <v>41</v>
      </c>
      <c r="G15" s="18" t="s">
        <v>35</v>
      </c>
      <c r="H15" s="23" t="s">
        <v>39</v>
      </c>
      <c r="I15" s="23" t="s">
        <v>37</v>
      </c>
      <c r="J15" s="39">
        <v>5</v>
      </c>
      <c r="K15" s="25">
        <v>209</v>
      </c>
      <c r="L15" s="26">
        <v>90</v>
      </c>
      <c r="M15" s="42">
        <v>25</v>
      </c>
      <c r="N15" s="28">
        <f t="shared" si="0"/>
        <v>1045</v>
      </c>
      <c r="O15" s="18"/>
      <c r="P15" s="29">
        <v>0</v>
      </c>
      <c r="Q15" s="30"/>
      <c r="R15" s="31">
        <f t="shared" si="1"/>
        <v>25</v>
      </c>
      <c r="S15" s="28"/>
      <c r="T15" s="32">
        <f t="shared" si="2"/>
        <v>115</v>
      </c>
      <c r="U15" s="33">
        <v>1</v>
      </c>
      <c r="V15" s="34">
        <v>11.428043912175649</v>
      </c>
      <c r="W15" s="34">
        <v>84.178885502449589</v>
      </c>
      <c r="X15" s="30">
        <f t="shared" si="3"/>
        <v>0.23</v>
      </c>
      <c r="Y15" s="30">
        <f t="shared" si="4"/>
        <v>0</v>
      </c>
      <c r="Z15" s="35">
        <f t="shared" si="5"/>
        <v>88.55</v>
      </c>
      <c r="AA15" s="29">
        <f t="shared" si="6"/>
        <v>26.450000000000003</v>
      </c>
      <c r="AB15" s="36">
        <f t="shared" si="7"/>
        <v>0</v>
      </c>
      <c r="AC15" s="37" t="b">
        <v>1</v>
      </c>
      <c r="AD15" s="37" t="s">
        <v>38</v>
      </c>
      <c r="AE15" s="37" t="s">
        <v>38</v>
      </c>
      <c r="AF15" s="37" t="str">
        <f t="array" ref="AF15">INDEX('Deal Info'!D:D, MATCH(A15,'Deal Info'!A:A, 0))</f>
        <v>DoEV</v>
      </c>
      <c r="AG15" s="38" t="str">
        <f t="array" ref="AG15">INDEX('Deal Info'!G:G, MATCH(A15,'Deal Info'!A:A, 0))</f>
        <v>None</v>
      </c>
    </row>
    <row r="16" spans="1:33" ht="14.25" hidden="1" x14ac:dyDescent="0.2">
      <c r="A16" s="18" t="str">
        <f t="array" ref="A16">IF(G16='Room Info'!$B$1, INDEX('Room Info'!$A$2:$A2446, MATCH(B16,'Room Info'!$B$2:$B2446, 0)),IF(G16='Room Info'!$C$1, INDEX('Room Info'!$A$2:$A2446, MATCH(B16,'Room Info'!$C$2:$C2446, 0)),IF(G16='Room Info'!$D$1, INDEX('Room Info'!$A$2:$A2446, MATCH(B16,'Room Info'!$D$2:$D2446, 0)),IF(G16='Room Info'!$E$1, INDEX('Room Info'!$A$2:$A2446, MATCH(B16,'Room Info'!$E$2:$E2446, 0)),IF(G16='Room Info'!$F$1, INDEX('Room Info'!$A$2:$A2446, MATCH(B16,'Room Info'!$F$2:$F2446, 0)),IF(G16='Room Info'!$H$1, INDEX('Room Info'!$A$2:$A2446, MATCH(B16,'Room Info'!$H$2:$H2446, 0)),IF(G16='Room Info'!$G$1, INDEX('Room Info'!$A$2:$A2446, MATCH(B16,'Room Info'!$G$2:$G2446, 0)))))))))</f>
        <v>00goldimon</v>
      </c>
      <c r="B16" s="18" t="s">
        <v>48</v>
      </c>
      <c r="C16" s="41">
        <v>44682</v>
      </c>
      <c r="D16" s="41">
        <v>44712</v>
      </c>
      <c r="E16" s="21">
        <v>44682</v>
      </c>
      <c r="F16" s="22" t="s">
        <v>49</v>
      </c>
      <c r="G16" s="18" t="s">
        <v>35</v>
      </c>
      <c r="H16" s="23" t="s">
        <v>40</v>
      </c>
      <c r="I16" s="23" t="s">
        <v>37</v>
      </c>
      <c r="J16" s="39">
        <v>10</v>
      </c>
      <c r="K16" s="25">
        <v>1337</v>
      </c>
      <c r="L16" s="26">
        <v>-280</v>
      </c>
      <c r="M16" s="42">
        <v>473</v>
      </c>
      <c r="N16" s="28">
        <f t="shared" si="0"/>
        <v>13370</v>
      </c>
      <c r="O16" s="18">
        <v>74892</v>
      </c>
      <c r="P16" s="29">
        <v>56.01495886</v>
      </c>
      <c r="Q16" s="30"/>
      <c r="R16" s="31">
        <f t="shared" si="1"/>
        <v>473</v>
      </c>
      <c r="S16" s="28">
        <v>193</v>
      </c>
      <c r="T16" s="32">
        <f t="shared" si="2"/>
        <v>666</v>
      </c>
      <c r="U16" s="33">
        <v>1</v>
      </c>
      <c r="V16" s="34">
        <v>10.920875054418808</v>
      </c>
      <c r="W16" s="34">
        <v>9.4314786577769798</v>
      </c>
      <c r="X16" s="30">
        <f t="shared" si="3"/>
        <v>0.3</v>
      </c>
      <c r="Y16" s="30">
        <f t="shared" si="4"/>
        <v>0</v>
      </c>
      <c r="Z16" s="35">
        <f t="shared" si="5"/>
        <v>466.20000000000005</v>
      </c>
      <c r="AA16" s="29">
        <f t="shared" si="6"/>
        <v>199.79999999999998</v>
      </c>
      <c r="AB16" s="36">
        <f t="shared" si="7"/>
        <v>0</v>
      </c>
      <c r="AC16" s="37" t="b">
        <v>1</v>
      </c>
      <c r="AD16" s="37" t="s">
        <v>38</v>
      </c>
      <c r="AE16" s="37" t="s">
        <v>38</v>
      </c>
      <c r="AF16" s="37" t="str">
        <f t="array" ref="AF16">INDEX('Deal Info'!D:D, MATCH(A16,'Deal Info'!A:A, 0))</f>
        <v>DoEV</v>
      </c>
      <c r="AG16" s="38" t="str">
        <f t="array" ref="AG16">INDEX('Deal Info'!G:G, MATCH(A16,'Deal Info'!A:A, 0))</f>
        <v>None</v>
      </c>
    </row>
    <row r="17" spans="1:33" ht="14.25" hidden="1" x14ac:dyDescent="0.2">
      <c r="A17" s="18" t="str">
        <f t="array" ref="A17">IF(G17='Room Info'!$B$1, INDEX('Room Info'!$A$2:$A2446, MATCH(B17,'Room Info'!$B$2:$B2446, 0)),IF(G17='Room Info'!$C$1, INDEX('Room Info'!$A$2:$A2446, MATCH(B17,'Room Info'!$C$2:$C2446, 0)),IF(G17='Room Info'!$D$1, INDEX('Room Info'!$A$2:$A2446, MATCH(B17,'Room Info'!$D$2:$D2446, 0)),IF(G17='Room Info'!$E$1, INDEX('Room Info'!$A$2:$A2446, MATCH(B17,'Room Info'!$E$2:$E2446, 0)),IF(G17='Room Info'!$F$1, INDEX('Room Info'!$A$2:$A2446, MATCH(B17,'Room Info'!$F$2:$F2446, 0)),IF(G17='Room Info'!$H$1, INDEX('Room Info'!$A$2:$A2446, MATCH(B17,'Room Info'!$H$2:$H2446, 0)),IF(G17='Room Info'!$G$1, INDEX('Room Info'!$A$2:$A2446, MATCH(B17,'Room Info'!$G$2:$G2446, 0)))))))))</f>
        <v>00goldimon</v>
      </c>
      <c r="B17" s="18" t="s">
        <v>48</v>
      </c>
      <c r="C17" s="41">
        <v>44682</v>
      </c>
      <c r="D17" s="41">
        <v>44712</v>
      </c>
      <c r="E17" s="21">
        <v>44682</v>
      </c>
      <c r="F17" s="22" t="s">
        <v>49</v>
      </c>
      <c r="G17" s="18" t="s">
        <v>35</v>
      </c>
      <c r="H17" s="23" t="s">
        <v>46</v>
      </c>
      <c r="I17" s="23" t="s">
        <v>37</v>
      </c>
      <c r="J17" s="39">
        <v>25</v>
      </c>
      <c r="K17" s="25">
        <v>346</v>
      </c>
      <c r="L17" s="26">
        <v>-750</v>
      </c>
      <c r="M17" s="42">
        <v>263</v>
      </c>
      <c r="N17" s="28">
        <f t="shared" si="0"/>
        <v>8650</v>
      </c>
      <c r="O17" s="18">
        <v>-3473</v>
      </c>
      <c r="P17" s="29">
        <v>-10.03757225</v>
      </c>
      <c r="Q17" s="30"/>
      <c r="R17" s="31">
        <f t="shared" si="1"/>
        <v>263</v>
      </c>
      <c r="S17" s="28">
        <v>-831</v>
      </c>
      <c r="T17" s="32">
        <f t="shared" si="2"/>
        <v>-568</v>
      </c>
      <c r="U17" s="33">
        <v>1</v>
      </c>
      <c r="V17" s="34">
        <v>10.920875054418808</v>
      </c>
      <c r="W17" s="34">
        <v>9.4314786577769798</v>
      </c>
      <c r="X17" s="30">
        <f t="shared" si="3"/>
        <v>0.3</v>
      </c>
      <c r="Y17" s="30">
        <f t="shared" si="4"/>
        <v>0</v>
      </c>
      <c r="Z17" s="35">
        <f t="shared" si="5"/>
        <v>-397.6</v>
      </c>
      <c r="AA17" s="29">
        <f t="shared" si="6"/>
        <v>-170.4</v>
      </c>
      <c r="AB17" s="36">
        <f t="shared" si="7"/>
        <v>0</v>
      </c>
      <c r="AC17" s="37" t="b">
        <v>1</v>
      </c>
      <c r="AD17" s="37" t="s">
        <v>38</v>
      </c>
      <c r="AE17" s="37" t="s">
        <v>38</v>
      </c>
      <c r="AF17" s="37" t="str">
        <f t="array" ref="AF17">INDEX('Deal Info'!D:D, MATCH(A17,'Deal Info'!A:A, 0))</f>
        <v>DoEV</v>
      </c>
      <c r="AG17" s="38" t="str">
        <f t="array" ref="AG17">INDEX('Deal Info'!G:G, MATCH(A17,'Deal Info'!A:A, 0))</f>
        <v>None</v>
      </c>
    </row>
    <row r="18" spans="1:33" ht="14.25" hidden="1" x14ac:dyDescent="0.2">
      <c r="A18" s="18" t="str">
        <f t="array" ref="A18">IF(G18='Room Info'!$B$1, INDEX('Room Info'!$A$2:$A2446, MATCH(B18,'Room Info'!$B$2:$B2446, 0)),IF(G18='Room Info'!$C$1, INDEX('Room Info'!$A$2:$A2446, MATCH(B18,'Room Info'!$C$2:$C2446, 0)),IF(G18='Room Info'!$D$1, INDEX('Room Info'!$A$2:$A2446, MATCH(B18,'Room Info'!$D$2:$D2446, 0)),IF(G18='Room Info'!$E$1, INDEX('Room Info'!$A$2:$A2446, MATCH(B18,'Room Info'!$E$2:$E2446, 0)),IF(G18='Room Info'!$F$1, INDEX('Room Info'!$A$2:$A2446, MATCH(B18,'Room Info'!$F$2:$F2446, 0)),IF(G18='Room Info'!$H$1, INDEX('Room Info'!$A$2:$A2446, MATCH(B18,'Room Info'!$H$2:$H2446, 0)),IF(G18='Room Info'!$G$1, INDEX('Room Info'!$A$2:$A2446, MATCH(B18,'Room Info'!$G$2:$G2446, 0)))))))))</f>
        <v>00goldimon</v>
      </c>
      <c r="B18" s="18" t="s">
        <v>48</v>
      </c>
      <c r="C18" s="41">
        <v>44682</v>
      </c>
      <c r="D18" s="41">
        <v>44712</v>
      </c>
      <c r="E18" s="21">
        <v>44682</v>
      </c>
      <c r="F18" s="22" t="s">
        <v>41</v>
      </c>
      <c r="G18" s="18" t="s">
        <v>35</v>
      </c>
      <c r="H18" s="23" t="s">
        <v>45</v>
      </c>
      <c r="I18" s="23" t="s">
        <v>37</v>
      </c>
      <c r="J18" s="39">
        <v>0.25</v>
      </c>
      <c r="K18" s="25">
        <v>1</v>
      </c>
      <c r="L18" s="26">
        <v>1</v>
      </c>
      <c r="M18" s="27"/>
      <c r="N18" s="28">
        <f t="shared" si="0"/>
        <v>0.25</v>
      </c>
      <c r="O18" s="18"/>
      <c r="P18" s="29">
        <v>0</v>
      </c>
      <c r="Q18" s="30"/>
      <c r="R18" s="31">
        <f t="shared" si="1"/>
        <v>0</v>
      </c>
      <c r="S18" s="28"/>
      <c r="T18" s="32">
        <f t="shared" si="2"/>
        <v>1</v>
      </c>
      <c r="U18" s="33">
        <v>1</v>
      </c>
      <c r="V18" s="34">
        <v>10.920875054418808</v>
      </c>
      <c r="W18" s="34">
        <v>9.4314786577769798</v>
      </c>
      <c r="X18" s="30">
        <f t="shared" si="3"/>
        <v>0.3</v>
      </c>
      <c r="Y18" s="30">
        <f t="shared" si="4"/>
        <v>0</v>
      </c>
      <c r="Z18" s="35">
        <f t="shared" si="5"/>
        <v>0.7</v>
      </c>
      <c r="AA18" s="29">
        <f t="shared" si="6"/>
        <v>0.3</v>
      </c>
      <c r="AB18" s="36">
        <f t="shared" si="7"/>
        <v>0</v>
      </c>
      <c r="AC18" s="37" t="b">
        <v>1</v>
      </c>
      <c r="AD18" s="37" t="s">
        <v>38</v>
      </c>
      <c r="AE18" s="37" t="s">
        <v>38</v>
      </c>
      <c r="AF18" s="37" t="str">
        <f t="array" ref="AF18">INDEX('Deal Info'!D:D, MATCH(A18,'Deal Info'!A:A, 0))</f>
        <v>DoEV</v>
      </c>
      <c r="AG18" s="38" t="str">
        <f t="array" ref="AG18">INDEX('Deal Info'!G:G, MATCH(A18,'Deal Info'!A:A, 0))</f>
        <v>None</v>
      </c>
    </row>
    <row r="19" spans="1:33" ht="14.25" hidden="1" x14ac:dyDescent="0.2">
      <c r="A19" s="18" t="str">
        <f t="array" ref="A19">IF(G19='Room Info'!$B$1, INDEX('Room Info'!$A$2:$A2446, MATCH(B19,'Room Info'!$B$2:$B2446, 0)),IF(G19='Room Info'!$C$1, INDEX('Room Info'!$A$2:$A2446, MATCH(B19,'Room Info'!$C$2:$C2446, 0)),IF(G19='Room Info'!$D$1, INDEX('Room Info'!$A$2:$A2446, MATCH(B19,'Room Info'!$D$2:$D2446, 0)),IF(G19='Room Info'!$E$1, INDEX('Room Info'!$A$2:$A2446, MATCH(B19,'Room Info'!$E$2:$E2446, 0)),IF(G19='Room Info'!$F$1, INDEX('Room Info'!$A$2:$A2446, MATCH(B19,'Room Info'!$F$2:$F2446, 0)),IF(G19='Room Info'!$H$1, INDEX('Room Info'!$A$2:$A2446, MATCH(B19,'Room Info'!$H$2:$H2446, 0)),IF(G19='Room Info'!$G$1, INDEX('Room Info'!$A$2:$A2446, MATCH(B19,'Room Info'!$G$2:$G2446, 0)))))))))</f>
        <v>00goldimon</v>
      </c>
      <c r="B19" s="18" t="s">
        <v>48</v>
      </c>
      <c r="C19" s="41">
        <v>44682</v>
      </c>
      <c r="D19" s="41">
        <v>44712</v>
      </c>
      <c r="E19" s="21">
        <v>44682</v>
      </c>
      <c r="F19" s="22" t="s">
        <v>41</v>
      </c>
      <c r="G19" s="18" t="s">
        <v>35</v>
      </c>
      <c r="H19" s="23" t="s">
        <v>39</v>
      </c>
      <c r="I19" s="23" t="s">
        <v>37</v>
      </c>
      <c r="J19" s="39">
        <v>5</v>
      </c>
      <c r="K19" s="25">
        <v>613</v>
      </c>
      <c r="L19" s="26">
        <v>-120</v>
      </c>
      <c r="M19" s="42">
        <v>124</v>
      </c>
      <c r="N19" s="28">
        <f t="shared" si="0"/>
        <v>3065</v>
      </c>
      <c r="O19" s="18"/>
      <c r="P19" s="29">
        <v>0</v>
      </c>
      <c r="Q19" s="30"/>
      <c r="R19" s="31">
        <f t="shared" si="1"/>
        <v>124</v>
      </c>
      <c r="S19" s="28"/>
      <c r="T19" s="32">
        <f t="shared" si="2"/>
        <v>4</v>
      </c>
      <c r="U19" s="33">
        <v>1</v>
      </c>
      <c r="V19" s="34">
        <v>10.920875054418808</v>
      </c>
      <c r="W19" s="34">
        <v>9.4314786577769798</v>
      </c>
      <c r="X19" s="30">
        <f t="shared" si="3"/>
        <v>0.3</v>
      </c>
      <c r="Y19" s="30">
        <f t="shared" si="4"/>
        <v>0</v>
      </c>
      <c r="Z19" s="35">
        <f t="shared" si="5"/>
        <v>2.8</v>
      </c>
      <c r="AA19" s="29">
        <f t="shared" si="6"/>
        <v>1.2</v>
      </c>
      <c r="AB19" s="36">
        <f t="shared" si="7"/>
        <v>0</v>
      </c>
      <c r="AC19" s="37" t="b">
        <v>1</v>
      </c>
      <c r="AD19" s="37" t="s">
        <v>38</v>
      </c>
      <c r="AE19" s="37" t="s">
        <v>38</v>
      </c>
      <c r="AF19" s="37" t="str">
        <f t="array" ref="AF19">INDEX('Deal Info'!D:D, MATCH(A19,'Deal Info'!A:A, 0))</f>
        <v>DoEV</v>
      </c>
      <c r="AG19" s="38" t="str">
        <f t="array" ref="AG19">INDEX('Deal Info'!G:G, MATCH(A19,'Deal Info'!A:A, 0))</f>
        <v>None</v>
      </c>
    </row>
    <row r="20" spans="1:33" ht="14.25" hidden="1" x14ac:dyDescent="0.2">
      <c r="A20" s="18" t="str">
        <f t="array" ref="A20">IF(G20='Room Info'!$B$1, INDEX('Room Info'!$A$2:$A2446, MATCH(B20,'Room Info'!$B$2:$B2446, 0)),IF(G20='Room Info'!$C$1, INDEX('Room Info'!$A$2:$A2446, MATCH(B20,'Room Info'!$C$2:$C2446, 0)),IF(G20='Room Info'!$D$1, INDEX('Room Info'!$A$2:$A2446, MATCH(B20,'Room Info'!$D$2:$D2446, 0)),IF(G20='Room Info'!$E$1, INDEX('Room Info'!$A$2:$A2446, MATCH(B20,'Room Info'!$E$2:$E2446, 0)),IF(G20='Room Info'!$F$1, INDEX('Room Info'!$A$2:$A2446, MATCH(B20,'Room Info'!$F$2:$F2446, 0)),IF(G20='Room Info'!$H$1, INDEX('Room Info'!$A$2:$A2446, MATCH(B20,'Room Info'!$H$2:$H2446, 0)),IF(G20='Room Info'!$G$1, INDEX('Room Info'!$A$2:$A2446, MATCH(B20,'Room Info'!$G$2:$G2446, 0)))))))))</f>
        <v>00goldimon</v>
      </c>
      <c r="B20" s="18" t="s">
        <v>48</v>
      </c>
      <c r="C20" s="41">
        <v>44713</v>
      </c>
      <c r="D20" s="41">
        <v>44742</v>
      </c>
      <c r="E20" s="21">
        <v>44713</v>
      </c>
      <c r="F20" s="22" t="s">
        <v>49</v>
      </c>
      <c r="G20" s="18" t="s">
        <v>35</v>
      </c>
      <c r="H20" s="23" t="s">
        <v>40</v>
      </c>
      <c r="I20" s="23" t="s">
        <v>37</v>
      </c>
      <c r="J20" s="39">
        <v>10</v>
      </c>
      <c r="K20" s="25">
        <v>2139</v>
      </c>
      <c r="L20" s="26">
        <v>-30</v>
      </c>
      <c r="M20" s="42">
        <v>1122</v>
      </c>
      <c r="N20" s="28">
        <f t="shared" si="0"/>
        <v>21390</v>
      </c>
      <c r="O20" s="18">
        <v>126061</v>
      </c>
      <c r="P20" s="29">
        <v>58.934548849999999</v>
      </c>
      <c r="Q20" s="30"/>
      <c r="R20" s="31">
        <f t="shared" si="1"/>
        <v>1122</v>
      </c>
      <c r="S20" s="28">
        <v>616</v>
      </c>
      <c r="T20" s="32">
        <f t="shared" si="2"/>
        <v>1738</v>
      </c>
      <c r="U20" s="33">
        <v>1</v>
      </c>
      <c r="V20" s="34">
        <v>10.88274044795784</v>
      </c>
      <c r="W20" s="34">
        <v>222.92179176755448</v>
      </c>
      <c r="X20" s="30">
        <f t="shared" si="3"/>
        <v>0.17</v>
      </c>
      <c r="Y20" s="30">
        <f t="shared" si="4"/>
        <v>0</v>
      </c>
      <c r="Z20" s="35">
        <f t="shared" si="5"/>
        <v>1442.54</v>
      </c>
      <c r="AA20" s="29">
        <f t="shared" si="6"/>
        <v>295.46000000000004</v>
      </c>
      <c r="AB20" s="36">
        <f t="shared" si="7"/>
        <v>0</v>
      </c>
      <c r="AC20" s="37" t="b">
        <v>1</v>
      </c>
      <c r="AD20" s="37" t="s">
        <v>38</v>
      </c>
      <c r="AE20" s="37" t="s">
        <v>38</v>
      </c>
      <c r="AF20" s="37" t="str">
        <f t="array" ref="AF20">INDEX('Deal Info'!D:D, MATCH(A20,'Deal Info'!A:A, 0))</f>
        <v>DoEV</v>
      </c>
      <c r="AG20" s="38" t="str">
        <f t="array" ref="AG20">INDEX('Deal Info'!G:G, MATCH(A20,'Deal Info'!A:A, 0))</f>
        <v>None</v>
      </c>
    </row>
    <row r="21" spans="1:33" ht="14.25" hidden="1" x14ac:dyDescent="0.2">
      <c r="A21" s="18" t="str">
        <f t="array" ref="A21">IF(G21='Room Info'!$B$1, INDEX('Room Info'!$A$2:$A2446, MATCH(B21,'Room Info'!$B$2:$B2446, 0)),IF(G21='Room Info'!$C$1, INDEX('Room Info'!$A$2:$A2446, MATCH(B21,'Room Info'!$C$2:$C2446, 0)),IF(G21='Room Info'!$D$1, INDEX('Room Info'!$A$2:$A2446, MATCH(B21,'Room Info'!$D$2:$D2446, 0)),IF(G21='Room Info'!$E$1, INDEX('Room Info'!$A$2:$A2446, MATCH(B21,'Room Info'!$E$2:$E2446, 0)),IF(G21='Room Info'!$F$1, INDEX('Room Info'!$A$2:$A2446, MATCH(B21,'Room Info'!$F$2:$F2446, 0)),IF(G21='Room Info'!$H$1, INDEX('Room Info'!$A$2:$A2446, MATCH(B21,'Room Info'!$H$2:$H2446, 0)),IF(G21='Room Info'!$G$1, INDEX('Room Info'!$A$2:$A2446, MATCH(B21,'Room Info'!$G$2:$G2446, 0)))))))))</f>
        <v>00goldimon</v>
      </c>
      <c r="B21" s="18" t="s">
        <v>48</v>
      </c>
      <c r="C21" s="41">
        <v>44713</v>
      </c>
      <c r="D21" s="41">
        <v>44742</v>
      </c>
      <c r="E21" s="21">
        <v>44713</v>
      </c>
      <c r="F21" s="22" t="s">
        <v>41</v>
      </c>
      <c r="G21" s="18" t="s">
        <v>35</v>
      </c>
      <c r="H21" s="23" t="s">
        <v>39</v>
      </c>
      <c r="I21" s="23" t="s">
        <v>37</v>
      </c>
      <c r="J21" s="39">
        <v>5</v>
      </c>
      <c r="K21" s="25">
        <v>3</v>
      </c>
      <c r="L21" s="26">
        <v>10</v>
      </c>
      <c r="M21" s="42">
        <v>1</v>
      </c>
      <c r="N21" s="28">
        <f t="shared" si="0"/>
        <v>15</v>
      </c>
      <c r="O21" s="18"/>
      <c r="P21" s="29">
        <v>0</v>
      </c>
      <c r="Q21" s="30"/>
      <c r="R21" s="31">
        <f t="shared" si="1"/>
        <v>1</v>
      </c>
      <c r="S21" s="28"/>
      <c r="T21" s="32">
        <f t="shared" si="2"/>
        <v>11</v>
      </c>
      <c r="U21" s="33">
        <v>1</v>
      </c>
      <c r="V21" s="34">
        <v>10.88274044795784</v>
      </c>
      <c r="W21" s="34">
        <v>222.92179176755448</v>
      </c>
      <c r="X21" s="30">
        <f t="shared" si="3"/>
        <v>0.17</v>
      </c>
      <c r="Y21" s="30">
        <f t="shared" si="4"/>
        <v>0</v>
      </c>
      <c r="Z21" s="35">
        <f t="shared" si="5"/>
        <v>9.129999999999999</v>
      </c>
      <c r="AA21" s="29">
        <f t="shared" si="6"/>
        <v>1.87</v>
      </c>
      <c r="AB21" s="36">
        <f t="shared" si="7"/>
        <v>0</v>
      </c>
      <c r="AC21" s="37" t="b">
        <v>1</v>
      </c>
      <c r="AD21" s="37" t="s">
        <v>38</v>
      </c>
      <c r="AE21" s="37" t="s">
        <v>38</v>
      </c>
      <c r="AF21" s="37" t="str">
        <f t="array" ref="AF21">INDEX('Deal Info'!D:D, MATCH(A21,'Deal Info'!A:A, 0))</f>
        <v>DoEV</v>
      </c>
      <c r="AG21" s="38" t="str">
        <f t="array" ref="AG21">INDEX('Deal Info'!G:G, MATCH(A21,'Deal Info'!A:A, 0))</f>
        <v>None</v>
      </c>
    </row>
    <row r="22" spans="1:33" ht="14.25" hidden="1" x14ac:dyDescent="0.2">
      <c r="A22" s="18" t="str">
        <f t="array" ref="A22">IF(G22='Room Info'!$B$1, INDEX('Room Info'!$A$2:$A2446, MATCH(B22,'Room Info'!$B$2:$B2446, 0)),IF(G22='Room Info'!$C$1, INDEX('Room Info'!$A$2:$A2446, MATCH(B22,'Room Info'!$C$2:$C2446, 0)),IF(G22='Room Info'!$D$1, INDEX('Room Info'!$A$2:$A2446, MATCH(B22,'Room Info'!$D$2:$D2446, 0)),IF(G22='Room Info'!$E$1, INDEX('Room Info'!$A$2:$A2446, MATCH(B22,'Room Info'!$E$2:$E2446, 0)),IF(G22='Room Info'!$F$1, INDEX('Room Info'!$A$2:$A2446, MATCH(B22,'Room Info'!$F$2:$F2446, 0)),IF(G22='Room Info'!$H$1, INDEX('Room Info'!$A$2:$A2446, MATCH(B22,'Room Info'!$H$2:$H2446, 0)),IF(G22='Room Info'!$G$1, INDEX('Room Info'!$A$2:$A2446, MATCH(B22,'Room Info'!$G$2:$G2446, 0)))))))))</f>
        <v>00goldimon</v>
      </c>
      <c r="B22" s="18" t="s">
        <v>48</v>
      </c>
      <c r="C22" s="41">
        <v>44713</v>
      </c>
      <c r="D22" s="41">
        <v>44742</v>
      </c>
      <c r="E22" s="21">
        <v>44713</v>
      </c>
      <c r="F22" s="22" t="s">
        <v>41</v>
      </c>
      <c r="G22" s="18" t="s">
        <v>35</v>
      </c>
      <c r="H22" s="23" t="s">
        <v>46</v>
      </c>
      <c r="I22" s="23" t="s">
        <v>37</v>
      </c>
      <c r="J22" s="39">
        <v>25</v>
      </c>
      <c r="K22" s="25">
        <v>135</v>
      </c>
      <c r="L22" s="26">
        <v>525</v>
      </c>
      <c r="M22" s="42">
        <v>152</v>
      </c>
      <c r="N22" s="28">
        <f t="shared" si="0"/>
        <v>3375</v>
      </c>
      <c r="O22" s="18"/>
      <c r="P22" s="29">
        <v>0</v>
      </c>
      <c r="Q22" s="30"/>
      <c r="R22" s="31">
        <f t="shared" si="1"/>
        <v>152</v>
      </c>
      <c r="S22" s="28"/>
      <c r="T22" s="32">
        <f t="shared" si="2"/>
        <v>677</v>
      </c>
      <c r="U22" s="33">
        <v>1</v>
      </c>
      <c r="V22" s="34">
        <v>10.88274044795784</v>
      </c>
      <c r="W22" s="34">
        <v>222.92179176755448</v>
      </c>
      <c r="X22" s="30">
        <f t="shared" si="3"/>
        <v>0.17</v>
      </c>
      <c r="Y22" s="30">
        <f t="shared" si="4"/>
        <v>0</v>
      </c>
      <c r="Z22" s="35">
        <f t="shared" si="5"/>
        <v>561.91</v>
      </c>
      <c r="AA22" s="29">
        <f t="shared" si="6"/>
        <v>115.09</v>
      </c>
      <c r="AB22" s="36">
        <f t="shared" si="7"/>
        <v>0</v>
      </c>
      <c r="AC22" s="37" t="b">
        <v>1</v>
      </c>
      <c r="AD22" s="37" t="s">
        <v>38</v>
      </c>
      <c r="AE22" s="37" t="s">
        <v>38</v>
      </c>
      <c r="AF22" s="37" t="str">
        <f t="array" ref="AF22">INDEX('Deal Info'!D:D, MATCH(A22,'Deal Info'!A:A, 0))</f>
        <v>DoEV</v>
      </c>
      <c r="AG22" s="38" t="str">
        <f t="array" ref="AG22">INDEX('Deal Info'!G:G, MATCH(A22,'Deal Info'!A:A, 0))</f>
        <v>None</v>
      </c>
    </row>
    <row r="23" spans="1:33" ht="14.25" hidden="1" x14ac:dyDescent="0.2">
      <c r="A23" s="18" t="str">
        <f t="array" ref="A23">IF(G23='Room Info'!$B$1, INDEX('Room Info'!$A$2:$A2446, MATCH(B23,'Room Info'!$B$2:$B2446, 0)),IF(G23='Room Info'!$C$1, INDEX('Room Info'!$A$2:$A2446, MATCH(B23,'Room Info'!$C$2:$C2446, 0)),IF(G23='Room Info'!$D$1, INDEX('Room Info'!$A$2:$A2446, MATCH(B23,'Room Info'!$D$2:$D2446, 0)),IF(G23='Room Info'!$E$1, INDEX('Room Info'!$A$2:$A2446, MATCH(B23,'Room Info'!$E$2:$E2446, 0)),IF(G23='Room Info'!$F$1, INDEX('Room Info'!$A$2:$A2446, MATCH(B23,'Room Info'!$F$2:$F2446, 0)),IF(G23='Room Info'!$H$1, INDEX('Room Info'!$A$2:$A2446, MATCH(B23,'Room Info'!$H$2:$H2446, 0)),IF(G23='Room Info'!$G$1, INDEX('Room Info'!$A$2:$A2446, MATCH(B23,'Room Info'!$G$2:$G2446, 0)))))))))</f>
        <v>00goldimon</v>
      </c>
      <c r="B23" s="18" t="s">
        <v>48</v>
      </c>
      <c r="C23" s="19">
        <v>44743</v>
      </c>
      <c r="D23" s="19">
        <v>44773</v>
      </c>
      <c r="E23" s="21">
        <v>44743</v>
      </c>
      <c r="F23" s="22" t="s">
        <v>49</v>
      </c>
      <c r="G23" s="18" t="s">
        <v>35</v>
      </c>
      <c r="H23" s="23" t="s">
        <v>40</v>
      </c>
      <c r="I23" s="23" t="s">
        <v>37</v>
      </c>
      <c r="J23" s="39">
        <v>10</v>
      </c>
      <c r="K23" s="25">
        <v>3456</v>
      </c>
      <c r="L23" s="26">
        <v>1560</v>
      </c>
      <c r="M23" s="42">
        <v>1651</v>
      </c>
      <c r="N23" s="28">
        <f t="shared" si="0"/>
        <v>34560</v>
      </c>
      <c r="O23" s="18">
        <v>218147</v>
      </c>
      <c r="P23" s="29">
        <v>63.121238429999998</v>
      </c>
      <c r="Q23" s="30"/>
      <c r="R23" s="31">
        <f t="shared" si="1"/>
        <v>1651</v>
      </c>
      <c r="S23" s="28">
        <v>1518</v>
      </c>
      <c r="T23" s="32">
        <f t="shared" si="2"/>
        <v>3169</v>
      </c>
      <c r="U23" s="33">
        <v>1</v>
      </c>
      <c r="V23" s="34">
        <v>12.886007942069609</v>
      </c>
      <c r="W23" s="34">
        <v>301.87782108220796</v>
      </c>
      <c r="X23" s="30">
        <f t="shared" si="3"/>
        <v>0.17</v>
      </c>
      <c r="Y23" s="30">
        <f t="shared" si="4"/>
        <v>0</v>
      </c>
      <c r="Z23" s="35">
        <f t="shared" si="5"/>
        <v>2630.27</v>
      </c>
      <c r="AA23" s="29">
        <f t="shared" si="6"/>
        <v>538.73</v>
      </c>
      <c r="AB23" s="36">
        <f t="shared" si="7"/>
        <v>0</v>
      </c>
      <c r="AC23" s="37" t="b">
        <v>1</v>
      </c>
      <c r="AD23" s="37" t="s">
        <v>38</v>
      </c>
      <c r="AE23" s="37" t="s">
        <v>38</v>
      </c>
      <c r="AF23" s="37" t="str">
        <f t="array" ref="AF23">INDEX('Deal Info'!D:D, MATCH(A23,'Deal Info'!A:A, 0))</f>
        <v>DoEV</v>
      </c>
      <c r="AG23" s="38" t="str">
        <f t="array" ref="AG23">INDEX('Deal Info'!G:G, MATCH(A23,'Deal Info'!A:A, 0))</f>
        <v>None</v>
      </c>
    </row>
    <row r="24" spans="1:33" ht="14.25" hidden="1" x14ac:dyDescent="0.2">
      <c r="A24" s="18" t="str">
        <f t="array" ref="A24">IF(G24='Room Info'!$B$1, INDEX('Room Info'!$A$2:$A2446, MATCH(B24,'Room Info'!$B$2:$B2446, 0)),IF(G24='Room Info'!$C$1, INDEX('Room Info'!$A$2:$A2446, MATCH(B24,'Room Info'!$C$2:$C2446, 0)),IF(G24='Room Info'!$D$1, INDEX('Room Info'!$A$2:$A2446, MATCH(B24,'Room Info'!$D$2:$D2446, 0)),IF(G24='Room Info'!$E$1, INDEX('Room Info'!$A$2:$A2446, MATCH(B24,'Room Info'!$E$2:$E2446, 0)),IF(G24='Room Info'!$F$1, INDEX('Room Info'!$A$2:$A2446, MATCH(B24,'Room Info'!$F$2:$F2446, 0)),IF(G24='Room Info'!$H$1, INDEX('Room Info'!$A$2:$A2446, MATCH(B24,'Room Info'!$H$2:$H2446, 0)),IF(G24='Room Info'!$G$1, INDEX('Room Info'!$A$2:$A2446, MATCH(B24,'Room Info'!$G$2:$G2446, 0)))))))))</f>
        <v>00goldimon</v>
      </c>
      <c r="B24" s="18" t="s">
        <v>48</v>
      </c>
      <c r="C24" s="19">
        <v>44743</v>
      </c>
      <c r="D24" s="19">
        <v>44773</v>
      </c>
      <c r="E24" s="21">
        <v>44743</v>
      </c>
      <c r="F24" s="22" t="s">
        <v>49</v>
      </c>
      <c r="G24" s="18" t="s">
        <v>35</v>
      </c>
      <c r="H24" s="23" t="s">
        <v>46</v>
      </c>
      <c r="I24" s="23" t="s">
        <v>37</v>
      </c>
      <c r="J24" s="39">
        <v>25</v>
      </c>
      <c r="K24" s="25">
        <v>824</v>
      </c>
      <c r="L24" s="26">
        <v>-925</v>
      </c>
      <c r="M24" s="42">
        <v>844</v>
      </c>
      <c r="N24" s="28">
        <f t="shared" si="0"/>
        <v>20600</v>
      </c>
      <c r="O24" s="18">
        <v>24990</v>
      </c>
      <c r="P24" s="29">
        <v>30.3276699</v>
      </c>
      <c r="Q24" s="30"/>
      <c r="R24" s="31">
        <f t="shared" si="1"/>
        <v>844</v>
      </c>
      <c r="S24" s="28">
        <v>-118</v>
      </c>
      <c r="T24" s="32">
        <f t="shared" si="2"/>
        <v>726</v>
      </c>
      <c r="U24" s="33">
        <v>1</v>
      </c>
      <c r="V24" s="34">
        <v>12.886007942069609</v>
      </c>
      <c r="W24" s="34">
        <v>301.87782108220796</v>
      </c>
      <c r="X24" s="30">
        <f t="shared" si="3"/>
        <v>0.17</v>
      </c>
      <c r="Y24" s="30">
        <f t="shared" si="4"/>
        <v>0</v>
      </c>
      <c r="Z24" s="35">
        <f t="shared" si="5"/>
        <v>602.57999999999993</v>
      </c>
      <c r="AA24" s="29">
        <f t="shared" si="6"/>
        <v>123.42000000000002</v>
      </c>
      <c r="AB24" s="36">
        <f t="shared" si="7"/>
        <v>0</v>
      </c>
      <c r="AC24" s="37" t="b">
        <v>1</v>
      </c>
      <c r="AD24" s="37" t="s">
        <v>38</v>
      </c>
      <c r="AE24" s="37" t="s">
        <v>38</v>
      </c>
      <c r="AF24" s="37" t="str">
        <f t="array" ref="AF24">INDEX('Deal Info'!D:D, MATCH(A24,'Deal Info'!A:A, 0))</f>
        <v>DoEV</v>
      </c>
      <c r="AG24" s="38" t="str">
        <f t="array" ref="AG24">INDEX('Deal Info'!G:G, MATCH(A24,'Deal Info'!A:A, 0))</f>
        <v>None</v>
      </c>
    </row>
    <row r="25" spans="1:33" ht="14.25" hidden="1" x14ac:dyDescent="0.2">
      <c r="A25" s="18" t="str">
        <f t="array" ref="A25">IF(G25='Room Info'!$B$1, INDEX('Room Info'!$A$2:$A2446, MATCH(B25,'Room Info'!$B$2:$B2446, 0)),IF(G25='Room Info'!$C$1, INDEX('Room Info'!$A$2:$A2446, MATCH(B25,'Room Info'!$C$2:$C2446, 0)),IF(G25='Room Info'!$D$1, INDEX('Room Info'!$A$2:$A2446, MATCH(B25,'Room Info'!$D$2:$D2446, 0)),IF(G25='Room Info'!$E$1, INDEX('Room Info'!$A$2:$A2446, MATCH(B25,'Room Info'!$E$2:$E2446, 0)),IF(G25='Room Info'!$F$1, INDEX('Room Info'!$A$2:$A2446, MATCH(B25,'Room Info'!$F$2:$F2446, 0)),IF(G25='Room Info'!$H$1, INDEX('Room Info'!$A$2:$A2446, MATCH(B25,'Room Info'!$H$2:$H2446, 0)),IF(G25='Room Info'!$G$1, INDEX('Room Info'!$A$2:$A2446, MATCH(B25,'Room Info'!$G$2:$G2446, 0)))))))))</f>
        <v>00goldimon</v>
      </c>
      <c r="B25" s="18" t="s">
        <v>48</v>
      </c>
      <c r="C25" s="19">
        <v>44743</v>
      </c>
      <c r="D25" s="19">
        <v>44773</v>
      </c>
      <c r="E25" s="21">
        <v>44743</v>
      </c>
      <c r="F25" s="22" t="s">
        <v>41</v>
      </c>
      <c r="G25" s="18" t="s">
        <v>35</v>
      </c>
      <c r="H25" s="23" t="s">
        <v>39</v>
      </c>
      <c r="I25" s="23" t="s">
        <v>37</v>
      </c>
      <c r="J25" s="39">
        <v>5</v>
      </c>
      <c r="K25" s="25">
        <v>1</v>
      </c>
      <c r="L25" s="26">
        <v>-5</v>
      </c>
      <c r="M25" s="27"/>
      <c r="N25" s="28">
        <f t="shared" si="0"/>
        <v>5</v>
      </c>
      <c r="O25" s="18"/>
      <c r="P25" s="29">
        <v>0</v>
      </c>
      <c r="Q25" s="30"/>
      <c r="R25" s="31">
        <f t="shared" si="1"/>
        <v>0</v>
      </c>
      <c r="S25" s="28"/>
      <c r="T25" s="32">
        <f t="shared" si="2"/>
        <v>-5</v>
      </c>
      <c r="U25" s="33">
        <v>1</v>
      </c>
      <c r="V25" s="34">
        <v>12.886007942069609</v>
      </c>
      <c r="W25" s="34">
        <v>301.87782108220796</v>
      </c>
      <c r="X25" s="30">
        <f t="shared" si="3"/>
        <v>0.17</v>
      </c>
      <c r="Y25" s="30">
        <f t="shared" si="4"/>
        <v>0</v>
      </c>
      <c r="Z25" s="35">
        <f t="shared" si="5"/>
        <v>-4.1500000000000004</v>
      </c>
      <c r="AA25" s="29">
        <f t="shared" si="6"/>
        <v>-0.85000000000000009</v>
      </c>
      <c r="AB25" s="36">
        <f t="shared" si="7"/>
        <v>0</v>
      </c>
      <c r="AC25" s="37" t="b">
        <v>1</v>
      </c>
      <c r="AD25" s="37" t="s">
        <v>38</v>
      </c>
      <c r="AE25" s="37" t="s">
        <v>38</v>
      </c>
      <c r="AF25" s="37" t="str">
        <f t="array" ref="AF25">INDEX('Deal Info'!D:D, MATCH(A25,'Deal Info'!A:A, 0))</f>
        <v>DoEV</v>
      </c>
      <c r="AG25" s="38" t="str">
        <f t="array" ref="AG25">INDEX('Deal Info'!G:G, MATCH(A25,'Deal Info'!A:A, 0))</f>
        <v>None</v>
      </c>
    </row>
    <row r="26" spans="1:33" ht="14.25" hidden="1" x14ac:dyDescent="0.2">
      <c r="A26" s="18" t="str">
        <f t="array" ref="A26">IF(G26='Room Info'!$B$1, INDEX('Room Info'!$A$2:$A2446, MATCH(B26,'Room Info'!$B$2:$B2446, 0)),IF(G26='Room Info'!$C$1, INDEX('Room Info'!$A$2:$A2446, MATCH(B26,'Room Info'!$C$2:$C2446, 0)),IF(G26='Room Info'!$D$1, INDEX('Room Info'!$A$2:$A2446, MATCH(B26,'Room Info'!$D$2:$D2446, 0)),IF(G26='Room Info'!$E$1, INDEX('Room Info'!$A$2:$A2446, MATCH(B26,'Room Info'!$E$2:$E2446, 0)),IF(G26='Room Info'!$F$1, INDEX('Room Info'!$A$2:$A2446, MATCH(B26,'Room Info'!$F$2:$F2446, 0)),IF(G26='Room Info'!$H$1, INDEX('Room Info'!$A$2:$A2446, MATCH(B26,'Room Info'!$H$2:$H2446, 0)),IF(G26='Room Info'!$G$1, INDEX('Room Info'!$A$2:$A2446, MATCH(B26,'Room Info'!$G$2:$G2446, 0)))))))))</f>
        <v>00goldimon</v>
      </c>
      <c r="B26" s="18" t="s">
        <v>48</v>
      </c>
      <c r="C26" s="19">
        <v>44774</v>
      </c>
      <c r="D26" s="19">
        <v>44804</v>
      </c>
      <c r="E26" s="21">
        <v>44774</v>
      </c>
      <c r="F26" s="22" t="s">
        <v>49</v>
      </c>
      <c r="G26" s="18" t="s">
        <v>35</v>
      </c>
      <c r="H26" s="23" t="s">
        <v>40</v>
      </c>
      <c r="I26" s="23" t="s">
        <v>37</v>
      </c>
      <c r="J26" s="39">
        <v>10</v>
      </c>
      <c r="K26" s="25">
        <v>2938</v>
      </c>
      <c r="L26" s="26">
        <v>1220</v>
      </c>
      <c r="M26" s="42">
        <v>1541</v>
      </c>
      <c r="N26" s="28">
        <f t="shared" si="0"/>
        <v>29380</v>
      </c>
      <c r="O26" s="18">
        <v>194942</v>
      </c>
      <c r="P26" s="29">
        <v>66.351940099999993</v>
      </c>
      <c r="Q26" s="30"/>
      <c r="R26" s="31">
        <f t="shared" si="1"/>
        <v>1541</v>
      </c>
      <c r="S26" s="28">
        <v>1366</v>
      </c>
      <c r="T26" s="32">
        <f t="shared" si="2"/>
        <v>2907</v>
      </c>
      <c r="U26" s="33">
        <v>1</v>
      </c>
      <c r="V26" s="34">
        <v>14.41670582706767</v>
      </c>
      <c r="W26" s="34">
        <v>279.88363280772518</v>
      </c>
      <c r="X26" s="30">
        <f t="shared" si="3"/>
        <v>0.17</v>
      </c>
      <c r="Y26" s="30">
        <f t="shared" si="4"/>
        <v>0</v>
      </c>
      <c r="Z26" s="35">
        <f t="shared" si="5"/>
        <v>2412.81</v>
      </c>
      <c r="AA26" s="29">
        <f t="shared" si="6"/>
        <v>494.19000000000005</v>
      </c>
      <c r="AB26" s="36">
        <f t="shared" si="7"/>
        <v>0</v>
      </c>
      <c r="AC26" s="37" t="b">
        <v>1</v>
      </c>
      <c r="AD26" s="37" t="s">
        <v>38</v>
      </c>
      <c r="AE26" s="37" t="s">
        <v>38</v>
      </c>
      <c r="AF26" s="37" t="str">
        <f t="array" ref="AF26">INDEX('Deal Info'!D:D, MATCH(A26,'Deal Info'!A:A, 0))</f>
        <v>DoEV</v>
      </c>
      <c r="AG26" s="38" t="str">
        <f t="array" ref="AG26">INDEX('Deal Info'!G:G, MATCH(A26,'Deal Info'!A:A, 0))</f>
        <v>None</v>
      </c>
    </row>
    <row r="27" spans="1:33" ht="14.25" hidden="1" x14ac:dyDescent="0.2">
      <c r="A27" s="18" t="str">
        <f t="array" ref="A27">IF(G27='Room Info'!$B$1, INDEX('Room Info'!$A$2:$A2446, MATCH(B27,'Room Info'!$B$2:$B2446, 0)),IF(G27='Room Info'!$C$1, INDEX('Room Info'!$A$2:$A2446, MATCH(B27,'Room Info'!$C$2:$C2446, 0)),IF(G27='Room Info'!$D$1, INDEX('Room Info'!$A$2:$A2446, MATCH(B27,'Room Info'!$D$2:$D2446, 0)),IF(G27='Room Info'!$E$1, INDEX('Room Info'!$A$2:$A2446, MATCH(B27,'Room Info'!$E$2:$E2446, 0)),IF(G27='Room Info'!$F$1, INDEX('Room Info'!$A$2:$A2446, MATCH(B27,'Room Info'!$F$2:$F2446, 0)),IF(G27='Room Info'!$H$1, INDEX('Room Info'!$A$2:$A2446, MATCH(B27,'Room Info'!$H$2:$H2446, 0)),IF(G27='Room Info'!$G$1, INDEX('Room Info'!$A$2:$A2446, MATCH(B27,'Room Info'!$G$2:$G2446, 0)))))))))</f>
        <v>00goldimon</v>
      </c>
      <c r="B27" s="18" t="s">
        <v>48</v>
      </c>
      <c r="C27" s="19">
        <v>44774</v>
      </c>
      <c r="D27" s="19">
        <v>44804</v>
      </c>
      <c r="E27" s="21">
        <v>44774</v>
      </c>
      <c r="F27" s="40" t="s">
        <v>49</v>
      </c>
      <c r="G27" s="18" t="s">
        <v>35</v>
      </c>
      <c r="H27" s="23" t="s">
        <v>46</v>
      </c>
      <c r="I27" s="23" t="s">
        <v>37</v>
      </c>
      <c r="J27" s="39">
        <v>25</v>
      </c>
      <c r="K27" s="25">
        <v>1277</v>
      </c>
      <c r="L27" s="26">
        <v>3775</v>
      </c>
      <c r="M27" s="42">
        <v>1435</v>
      </c>
      <c r="N27" s="28">
        <f t="shared" si="0"/>
        <v>31925</v>
      </c>
      <c r="O27" s="18">
        <v>38812</v>
      </c>
      <c r="P27" s="29">
        <v>30.393108850000001</v>
      </c>
      <c r="Q27" s="30"/>
      <c r="R27" s="31">
        <f t="shared" si="1"/>
        <v>1435</v>
      </c>
      <c r="S27" s="28">
        <v>-281</v>
      </c>
      <c r="T27" s="32">
        <f t="shared" si="2"/>
        <v>1154</v>
      </c>
      <c r="U27" s="33">
        <v>1</v>
      </c>
      <c r="V27" s="34">
        <v>14.41670582706767</v>
      </c>
      <c r="W27" s="34">
        <v>279.88363280772518</v>
      </c>
      <c r="X27" s="30">
        <f t="shared" si="3"/>
        <v>0.17</v>
      </c>
      <c r="Y27" s="30">
        <f t="shared" si="4"/>
        <v>0</v>
      </c>
      <c r="Z27" s="35">
        <f t="shared" si="5"/>
        <v>957.81999999999994</v>
      </c>
      <c r="AA27" s="29">
        <f t="shared" si="6"/>
        <v>196.18</v>
      </c>
      <c r="AB27" s="36">
        <f t="shared" si="7"/>
        <v>0</v>
      </c>
      <c r="AC27" s="37" t="b">
        <v>1</v>
      </c>
      <c r="AD27" s="37" t="s">
        <v>38</v>
      </c>
      <c r="AE27" s="37" t="s">
        <v>38</v>
      </c>
      <c r="AF27" s="37" t="str">
        <f t="array" ref="AF27">INDEX('Deal Info'!D:D, MATCH(A27,'Deal Info'!A:A, 0))</f>
        <v>DoEV</v>
      </c>
      <c r="AG27" s="38" t="str">
        <f t="array" ref="AG27">INDEX('Deal Info'!G:G, MATCH(A27,'Deal Info'!A:A, 0))</f>
        <v>None</v>
      </c>
    </row>
    <row r="28" spans="1:33" ht="14.25" hidden="1" x14ac:dyDescent="0.2">
      <c r="A28" s="18" t="str">
        <f t="array" ref="A28">IF(G28='Room Info'!$B$1, INDEX('Room Info'!$A$2:$A2446, MATCH(B28,'Room Info'!$B$2:$B2446, 0)),IF(G28='Room Info'!$C$1, INDEX('Room Info'!$A$2:$A2446, MATCH(B28,'Room Info'!$C$2:$C2446, 0)),IF(G28='Room Info'!$D$1, INDEX('Room Info'!$A$2:$A2446, MATCH(B28,'Room Info'!$D$2:$D2446, 0)),IF(G28='Room Info'!$E$1, INDEX('Room Info'!$A$2:$A2446, MATCH(B28,'Room Info'!$E$2:$E2446, 0)),IF(G28='Room Info'!$F$1, INDEX('Room Info'!$A$2:$A2446, MATCH(B28,'Room Info'!$F$2:$F2446, 0)),IF(G28='Room Info'!$H$1, INDEX('Room Info'!$A$2:$A2446, MATCH(B28,'Room Info'!$H$2:$H2446, 0)),IF(G28='Room Info'!$G$1, INDEX('Room Info'!$A$2:$A2446, MATCH(B28,'Room Info'!$G$2:$G2446, 0)))))))))</f>
        <v>00goldimon</v>
      </c>
      <c r="B28" s="18" t="s">
        <v>48</v>
      </c>
      <c r="C28" s="19">
        <v>44774</v>
      </c>
      <c r="D28" s="19">
        <v>44804</v>
      </c>
      <c r="E28" s="21">
        <v>44774</v>
      </c>
      <c r="F28" s="40" t="s">
        <v>41</v>
      </c>
      <c r="G28" s="18" t="s">
        <v>35</v>
      </c>
      <c r="H28" s="23" t="s">
        <v>42</v>
      </c>
      <c r="I28" s="23" t="s">
        <v>37</v>
      </c>
      <c r="J28" s="39">
        <v>1</v>
      </c>
      <c r="K28" s="25">
        <v>20</v>
      </c>
      <c r="L28" s="26">
        <v>1</v>
      </c>
      <c r="M28" s="42">
        <v>1</v>
      </c>
      <c r="N28" s="28">
        <f t="shared" si="0"/>
        <v>20</v>
      </c>
      <c r="O28" s="18"/>
      <c r="P28" s="29">
        <v>0</v>
      </c>
      <c r="Q28" s="30"/>
      <c r="R28" s="31">
        <f t="shared" si="1"/>
        <v>1</v>
      </c>
      <c r="S28" s="28"/>
      <c r="T28" s="32">
        <f t="shared" si="2"/>
        <v>2</v>
      </c>
      <c r="U28" s="33">
        <v>1</v>
      </c>
      <c r="V28" s="34">
        <v>14.41670582706767</v>
      </c>
      <c r="W28" s="34">
        <v>279.88363280772518</v>
      </c>
      <c r="X28" s="30">
        <f t="shared" si="3"/>
        <v>0.17</v>
      </c>
      <c r="Y28" s="30">
        <f t="shared" si="4"/>
        <v>0</v>
      </c>
      <c r="Z28" s="35">
        <f t="shared" si="5"/>
        <v>1.66</v>
      </c>
      <c r="AA28" s="29">
        <f t="shared" si="6"/>
        <v>0.34</v>
      </c>
      <c r="AB28" s="36">
        <f t="shared" si="7"/>
        <v>0</v>
      </c>
      <c r="AC28" s="37" t="b">
        <v>1</v>
      </c>
      <c r="AD28" s="37" t="s">
        <v>50</v>
      </c>
      <c r="AE28" s="37"/>
      <c r="AF28" s="37" t="str">
        <f t="array" ref="AF28">INDEX('Deal Info'!D:D, MATCH(A28,'Deal Info'!A:A, 0))</f>
        <v>DoEV</v>
      </c>
      <c r="AG28" s="38" t="str">
        <f t="array" ref="AG28">INDEX('Deal Info'!G:G, MATCH(A28,'Deal Info'!A:A, 0))</f>
        <v>None</v>
      </c>
    </row>
    <row r="29" spans="1:33" ht="14.25" hidden="1" x14ac:dyDescent="0.2">
      <c r="A29" s="18" t="str">
        <f t="array" ref="A29">IF(G29='Room Info'!$B$1, INDEX('Room Info'!$A$2:$A2446, MATCH(B29,'Room Info'!$B$2:$B2446, 0)),IF(G29='Room Info'!$C$1, INDEX('Room Info'!$A$2:$A2446, MATCH(B29,'Room Info'!$C$2:$C2446, 0)),IF(G29='Room Info'!$D$1, INDEX('Room Info'!$A$2:$A2446, MATCH(B29,'Room Info'!$D$2:$D2446, 0)),IF(G29='Room Info'!$E$1, INDEX('Room Info'!$A$2:$A2446, MATCH(B29,'Room Info'!$E$2:$E2446, 0)),IF(G29='Room Info'!$F$1, INDEX('Room Info'!$A$2:$A2446, MATCH(B29,'Room Info'!$F$2:$F2446, 0)),IF(G29='Room Info'!$H$1, INDEX('Room Info'!$A$2:$A2446, MATCH(B29,'Room Info'!$H$2:$H2446, 0)),IF(G29='Room Info'!$G$1, INDEX('Room Info'!$A$2:$A2446, MATCH(B29,'Room Info'!$G$2:$G2446, 0)))))))))</f>
        <v>00goldimon</v>
      </c>
      <c r="B29" s="18" t="s">
        <v>48</v>
      </c>
      <c r="C29" s="19">
        <v>44774</v>
      </c>
      <c r="D29" s="19">
        <v>44804</v>
      </c>
      <c r="E29" s="21">
        <v>44774</v>
      </c>
      <c r="F29" s="40" t="s">
        <v>41</v>
      </c>
      <c r="G29" s="18" t="s">
        <v>35</v>
      </c>
      <c r="H29" s="23" t="s">
        <v>39</v>
      </c>
      <c r="I29" s="23" t="s">
        <v>37</v>
      </c>
      <c r="J29" s="39">
        <v>5</v>
      </c>
      <c r="K29" s="25">
        <v>5</v>
      </c>
      <c r="L29" s="26">
        <v>-25</v>
      </c>
      <c r="M29" s="42">
        <v>2</v>
      </c>
      <c r="N29" s="28">
        <f t="shared" si="0"/>
        <v>25</v>
      </c>
      <c r="O29" s="18"/>
      <c r="P29" s="29">
        <v>0</v>
      </c>
      <c r="Q29" s="30"/>
      <c r="R29" s="31">
        <f t="shared" si="1"/>
        <v>2</v>
      </c>
      <c r="S29" s="28"/>
      <c r="T29" s="32">
        <f t="shared" si="2"/>
        <v>-23</v>
      </c>
      <c r="U29" s="33">
        <v>1</v>
      </c>
      <c r="V29" s="34">
        <v>14.41670582706767</v>
      </c>
      <c r="W29" s="34">
        <v>279.88363280772518</v>
      </c>
      <c r="X29" s="30">
        <f t="shared" si="3"/>
        <v>0.17</v>
      </c>
      <c r="Y29" s="30">
        <f t="shared" si="4"/>
        <v>0</v>
      </c>
      <c r="Z29" s="35">
        <f t="shared" si="5"/>
        <v>-19.09</v>
      </c>
      <c r="AA29" s="29">
        <f t="shared" si="6"/>
        <v>-3.91</v>
      </c>
      <c r="AB29" s="36">
        <f t="shared" si="7"/>
        <v>0</v>
      </c>
      <c r="AC29" s="37" t="b">
        <v>1</v>
      </c>
      <c r="AD29" s="37" t="s">
        <v>50</v>
      </c>
      <c r="AE29" s="37"/>
      <c r="AF29" s="37" t="str">
        <f t="array" ref="AF29">INDEX('Deal Info'!D:D, MATCH(A29,'Deal Info'!A:A, 0))</f>
        <v>DoEV</v>
      </c>
      <c r="AG29" s="38" t="str">
        <f t="array" ref="AG29">INDEX('Deal Info'!G:G, MATCH(A29,'Deal Info'!A:A, 0))</f>
        <v>None</v>
      </c>
    </row>
    <row r="30" spans="1:33" ht="14.25" hidden="1" x14ac:dyDescent="0.2">
      <c r="A30" s="18" t="str">
        <f t="array" ref="A30">IF(G30='Room Info'!$B$1, INDEX('Room Info'!$A$2:$A2446, MATCH(B30,'Room Info'!$B$2:$B2446, 0)),IF(G30='Room Info'!$C$1, INDEX('Room Info'!$A$2:$A2446, MATCH(B30,'Room Info'!$C$2:$C2446, 0)),IF(G30='Room Info'!$D$1, INDEX('Room Info'!$A$2:$A2446, MATCH(B30,'Room Info'!$D$2:$D2446, 0)),IF(G30='Room Info'!$E$1, INDEX('Room Info'!$A$2:$A2446, MATCH(B30,'Room Info'!$E$2:$E2446, 0)),IF(G30='Room Info'!$F$1, INDEX('Room Info'!$A$2:$A2446, MATCH(B30,'Room Info'!$F$2:$F2446, 0)),IF(G30='Room Info'!$H$1, INDEX('Room Info'!$A$2:$A2446, MATCH(B30,'Room Info'!$H$2:$H2446, 0)),IF(G30='Room Info'!$G$1, INDEX('Room Info'!$A$2:$A2446, MATCH(B30,'Room Info'!$G$2:$G2446, 0)))))))))</f>
        <v>00goldimon</v>
      </c>
      <c r="B30" s="18" t="s">
        <v>48</v>
      </c>
      <c r="C30" s="41">
        <v>44774</v>
      </c>
      <c r="D30" s="41">
        <v>44804</v>
      </c>
      <c r="E30" s="21">
        <v>44774</v>
      </c>
      <c r="F30" s="22" t="s">
        <v>41</v>
      </c>
      <c r="G30" s="18" t="s">
        <v>35</v>
      </c>
      <c r="H30" s="23" t="s">
        <v>45</v>
      </c>
      <c r="I30" s="23" t="s">
        <v>37</v>
      </c>
      <c r="J30" s="39">
        <v>0.25</v>
      </c>
      <c r="K30" s="25">
        <v>12</v>
      </c>
      <c r="L30" s="26">
        <v>-1</v>
      </c>
      <c r="M30" s="27"/>
      <c r="N30" s="28">
        <f t="shared" si="0"/>
        <v>3</v>
      </c>
      <c r="O30" s="18"/>
      <c r="P30" s="29">
        <v>0</v>
      </c>
      <c r="Q30" s="30"/>
      <c r="R30" s="31">
        <f t="shared" si="1"/>
        <v>0</v>
      </c>
      <c r="S30" s="28"/>
      <c r="T30" s="32">
        <f t="shared" si="2"/>
        <v>-1</v>
      </c>
      <c r="U30" s="33">
        <v>1</v>
      </c>
      <c r="V30" s="34">
        <v>14.41670582706767</v>
      </c>
      <c r="W30" s="34">
        <v>279.88363280772518</v>
      </c>
      <c r="X30" s="30">
        <f t="shared" si="3"/>
        <v>0.17</v>
      </c>
      <c r="Y30" s="30">
        <f t="shared" si="4"/>
        <v>0</v>
      </c>
      <c r="Z30" s="35">
        <f t="shared" si="5"/>
        <v>-0.83</v>
      </c>
      <c r="AA30" s="29">
        <f t="shared" si="6"/>
        <v>-0.17</v>
      </c>
      <c r="AB30" s="36">
        <f t="shared" si="7"/>
        <v>0</v>
      </c>
      <c r="AC30" s="37" t="b">
        <v>1</v>
      </c>
      <c r="AD30" s="37" t="s">
        <v>50</v>
      </c>
      <c r="AE30" s="37"/>
      <c r="AF30" s="37" t="str">
        <f t="array" ref="AF30">INDEX('Deal Info'!D:D, MATCH(A30,'Deal Info'!A:A, 0))</f>
        <v>DoEV</v>
      </c>
      <c r="AG30" s="38" t="str">
        <f t="array" ref="AG30">INDEX('Deal Info'!G:G, MATCH(A30,'Deal Info'!A:A, 0))</f>
        <v>None</v>
      </c>
    </row>
    <row r="31" spans="1:33" ht="14.25" hidden="1" x14ac:dyDescent="0.2">
      <c r="A31" s="18" t="str">
        <f t="array" ref="A31">IF(G31='Room Info'!$B$1, INDEX('Room Info'!$A$2:$A2446, MATCH(B31,'Room Info'!$B$2:$B2446, 0)),IF(G31='Room Info'!$C$1, INDEX('Room Info'!$A$2:$A2446, MATCH(B31,'Room Info'!$C$2:$C2446, 0)),IF(G31='Room Info'!$D$1, INDEX('Room Info'!$A$2:$A2446, MATCH(B31,'Room Info'!$D$2:$D2446, 0)),IF(G31='Room Info'!$E$1, INDEX('Room Info'!$A$2:$A2446, MATCH(B31,'Room Info'!$E$2:$E2446, 0)),IF(G31='Room Info'!$F$1, INDEX('Room Info'!$A$2:$A2446, MATCH(B31,'Room Info'!$F$2:$F2446, 0)),IF(G31='Room Info'!$H$1, INDEX('Room Info'!$A$2:$A2446, MATCH(B31,'Room Info'!$H$2:$H2446, 0)),IF(G31='Room Info'!$G$1, INDEX('Room Info'!$A$2:$A2446, MATCH(B31,'Room Info'!$G$2:$G2446, 0)))))))))</f>
        <v>00goldimon</v>
      </c>
      <c r="B31" s="18" t="s">
        <v>48</v>
      </c>
      <c r="C31" s="41">
        <v>44774</v>
      </c>
      <c r="D31" s="41">
        <v>44804</v>
      </c>
      <c r="E31" s="21">
        <v>44774</v>
      </c>
      <c r="F31" s="22" t="s">
        <v>41</v>
      </c>
      <c r="G31" s="18" t="s">
        <v>35</v>
      </c>
      <c r="H31" s="23" t="s">
        <v>36</v>
      </c>
      <c r="I31" s="23" t="s">
        <v>37</v>
      </c>
      <c r="J31" s="39">
        <v>2</v>
      </c>
      <c r="K31" s="25">
        <v>2</v>
      </c>
      <c r="L31" s="26">
        <v>-4</v>
      </c>
      <c r="M31" s="27"/>
      <c r="N31" s="28">
        <f t="shared" si="0"/>
        <v>4</v>
      </c>
      <c r="O31" s="18"/>
      <c r="P31" s="29">
        <v>0</v>
      </c>
      <c r="Q31" s="30"/>
      <c r="R31" s="31">
        <f t="shared" si="1"/>
        <v>0</v>
      </c>
      <c r="S31" s="28"/>
      <c r="T31" s="32">
        <f t="shared" si="2"/>
        <v>-4</v>
      </c>
      <c r="U31" s="33">
        <v>1</v>
      </c>
      <c r="V31" s="34">
        <v>14.41670582706767</v>
      </c>
      <c r="W31" s="34">
        <v>279.88363280772518</v>
      </c>
      <c r="X31" s="30">
        <f t="shared" si="3"/>
        <v>0.17</v>
      </c>
      <c r="Y31" s="30">
        <f t="shared" si="4"/>
        <v>0</v>
      </c>
      <c r="Z31" s="35">
        <f t="shared" si="5"/>
        <v>-3.32</v>
      </c>
      <c r="AA31" s="29">
        <f t="shared" si="6"/>
        <v>-0.68</v>
      </c>
      <c r="AB31" s="36">
        <f t="shared" si="7"/>
        <v>0</v>
      </c>
      <c r="AC31" s="37" t="b">
        <v>1</v>
      </c>
      <c r="AD31" s="37" t="s">
        <v>50</v>
      </c>
      <c r="AE31" s="37"/>
      <c r="AF31" s="37" t="str">
        <f t="array" ref="AF31">INDEX('Deal Info'!D:D, MATCH(A31,'Deal Info'!A:A, 0))</f>
        <v>DoEV</v>
      </c>
      <c r="AG31" s="38" t="str">
        <f t="array" ref="AG31">INDEX('Deal Info'!G:G, MATCH(A31,'Deal Info'!A:A, 0))</f>
        <v>None</v>
      </c>
    </row>
    <row r="32" spans="1:33" ht="14.25" hidden="1" x14ac:dyDescent="0.2">
      <c r="A32" s="18" t="str">
        <f t="array" ref="A32">IF(G32='Room Info'!$B$1, INDEX('Room Info'!$A$2:$A2446, MATCH(B32,'Room Info'!$B$2:$B2446, 0)),IF(G32='Room Info'!$C$1, INDEX('Room Info'!$A$2:$A2446, MATCH(B32,'Room Info'!$C$2:$C2446, 0)),IF(G32='Room Info'!$D$1, INDEX('Room Info'!$A$2:$A2446, MATCH(B32,'Room Info'!$D$2:$D2446, 0)),IF(G32='Room Info'!$E$1, INDEX('Room Info'!$A$2:$A2446, MATCH(B32,'Room Info'!$E$2:$E2446, 0)),IF(G32='Room Info'!$F$1, INDEX('Room Info'!$A$2:$A2446, MATCH(B32,'Room Info'!$F$2:$F2446, 0)),IF(G32='Room Info'!$H$1, INDEX('Room Info'!$A$2:$A2446, MATCH(B32,'Room Info'!$H$2:$H2446, 0)),IF(G32='Room Info'!$G$1, INDEX('Room Info'!$A$2:$A2446, MATCH(B32,'Room Info'!$G$2:$G2446, 0)))))))))</f>
        <v>00goldimon</v>
      </c>
      <c r="B32" s="18" t="s">
        <v>48</v>
      </c>
      <c r="C32" s="41">
        <v>44774</v>
      </c>
      <c r="D32" s="41">
        <v>44804</v>
      </c>
      <c r="E32" s="21">
        <v>44774</v>
      </c>
      <c r="F32" s="22" t="s">
        <v>41</v>
      </c>
      <c r="G32" s="18" t="s">
        <v>35</v>
      </c>
      <c r="H32" s="23" t="s">
        <v>51</v>
      </c>
      <c r="I32" s="23" t="s">
        <v>44</v>
      </c>
      <c r="J32" s="39">
        <v>0.25</v>
      </c>
      <c r="K32" s="25">
        <v>2</v>
      </c>
      <c r="L32" s="26">
        <v>0</v>
      </c>
      <c r="M32" s="27"/>
      <c r="N32" s="28">
        <f t="shared" si="0"/>
        <v>0.5</v>
      </c>
      <c r="O32" s="18"/>
      <c r="P32" s="29">
        <v>0</v>
      </c>
      <c r="Q32" s="30"/>
      <c r="R32" s="31">
        <f t="shared" si="1"/>
        <v>0</v>
      </c>
      <c r="S32" s="28"/>
      <c r="T32" s="32">
        <f t="shared" si="2"/>
        <v>0</v>
      </c>
      <c r="U32" s="33">
        <v>1</v>
      </c>
      <c r="V32" s="34">
        <v>14.41670582706767</v>
      </c>
      <c r="W32" s="34">
        <v>279.88363280772518</v>
      </c>
      <c r="X32" s="30">
        <f t="shared" si="3"/>
        <v>0.17</v>
      </c>
      <c r="Y32" s="30">
        <f t="shared" si="4"/>
        <v>0</v>
      </c>
      <c r="Z32" s="35">
        <f t="shared" si="5"/>
        <v>0</v>
      </c>
      <c r="AA32" s="29">
        <f t="shared" si="6"/>
        <v>0</v>
      </c>
      <c r="AB32" s="36">
        <f t="shared" si="7"/>
        <v>0</v>
      </c>
      <c r="AC32" s="37" t="b">
        <v>1</v>
      </c>
      <c r="AD32" s="37" t="s">
        <v>50</v>
      </c>
      <c r="AE32" s="37"/>
      <c r="AF32" s="37" t="str">
        <f t="array" ref="AF32">INDEX('Deal Info'!D:D, MATCH(A32,'Deal Info'!A:A, 0))</f>
        <v>DoEV</v>
      </c>
      <c r="AG32" s="38" t="str">
        <f t="array" ref="AG32">INDEX('Deal Info'!G:G, MATCH(A32,'Deal Info'!A:A, 0))</f>
        <v>None</v>
      </c>
    </row>
    <row r="33" spans="1:33" ht="14.25" hidden="1" x14ac:dyDescent="0.2">
      <c r="A33" s="18" t="str">
        <f t="array" ref="A33">IF(G33='Room Info'!$B$1, INDEX('Room Info'!$A$2:$A2446, MATCH(B33,'Room Info'!$B$2:$B2446, 0)),IF(G33='Room Info'!$C$1, INDEX('Room Info'!$A$2:$A2446, MATCH(B33,'Room Info'!$C$2:$C2446, 0)),IF(G33='Room Info'!$D$1, INDEX('Room Info'!$A$2:$A2446, MATCH(B33,'Room Info'!$D$2:$D2446, 0)),IF(G33='Room Info'!$E$1, INDEX('Room Info'!$A$2:$A2446, MATCH(B33,'Room Info'!$E$2:$E2446, 0)),IF(G33='Room Info'!$F$1, INDEX('Room Info'!$A$2:$A2446, MATCH(B33,'Room Info'!$F$2:$F2446, 0)),IF(G33='Room Info'!$H$1, INDEX('Room Info'!$A$2:$A2446, MATCH(B33,'Room Info'!$H$2:$H2446, 0)),IF(G33='Room Info'!$G$1, INDEX('Room Info'!$A$2:$A2446, MATCH(B33,'Room Info'!$G$2:$G2446, 0)))))))))</f>
        <v>00goldimon</v>
      </c>
      <c r="B33" s="18" t="s">
        <v>52</v>
      </c>
      <c r="C33" s="41">
        <v>44805</v>
      </c>
      <c r="D33" s="41">
        <v>44834</v>
      </c>
      <c r="E33" s="21">
        <v>44805</v>
      </c>
      <c r="F33" s="22" t="s">
        <v>41</v>
      </c>
      <c r="G33" s="18" t="s">
        <v>53</v>
      </c>
      <c r="H33" s="23" t="s">
        <v>54</v>
      </c>
      <c r="I33" s="23" t="s">
        <v>37</v>
      </c>
      <c r="J33" s="39">
        <v>5</v>
      </c>
      <c r="K33" s="25">
        <v>50</v>
      </c>
      <c r="L33" s="26">
        <v>7.89</v>
      </c>
      <c r="M33" s="43">
        <v>9</v>
      </c>
      <c r="N33" s="28">
        <f t="shared" si="0"/>
        <v>250</v>
      </c>
      <c r="O33" s="18"/>
      <c r="P33" s="29">
        <v>0</v>
      </c>
      <c r="Q33" s="30"/>
      <c r="R33" s="31">
        <f t="shared" si="1"/>
        <v>9</v>
      </c>
      <c r="S33" s="28"/>
      <c r="T33" s="32">
        <f t="shared" si="2"/>
        <v>16.89</v>
      </c>
      <c r="U33" s="33">
        <v>0.97</v>
      </c>
      <c r="V33" s="34">
        <v>15.0669099756691</v>
      </c>
      <c r="W33" s="34">
        <v>218.82389987888578</v>
      </c>
      <c r="X33" s="30">
        <f t="shared" si="3"/>
        <v>0.17</v>
      </c>
      <c r="Y33" s="30">
        <f t="shared" si="4"/>
        <v>0</v>
      </c>
      <c r="Z33" s="35">
        <f t="shared" si="5"/>
        <v>14.058939000000001</v>
      </c>
      <c r="AA33" s="29">
        <f t="shared" si="6"/>
        <v>2.831061</v>
      </c>
      <c r="AB33" s="36">
        <f t="shared" si="7"/>
        <v>0</v>
      </c>
      <c r="AC33" s="37" t="b">
        <v>1</v>
      </c>
      <c r="AD33" s="37" t="s">
        <v>50</v>
      </c>
      <c r="AE33" s="37"/>
      <c r="AF33" s="37" t="str">
        <f t="array" ref="AF33">INDEX('Deal Info'!D:D, MATCH(A33,'Deal Info'!A:A, 0))</f>
        <v>DoEV</v>
      </c>
      <c r="AG33" s="38" t="str">
        <f t="array" ref="AG33">INDEX('Deal Info'!G:G, MATCH(A33,'Deal Info'!A:A, 0))</f>
        <v>None</v>
      </c>
    </row>
    <row r="34" spans="1:33" ht="14.25" hidden="1" x14ac:dyDescent="0.2">
      <c r="A34" s="18" t="str">
        <f t="array" ref="A34">IF(G34='Room Info'!$B$1, INDEX('Room Info'!$A$2:$A2446, MATCH(B34,'Room Info'!$B$2:$B2446, 0)),IF(G34='Room Info'!$C$1, INDEX('Room Info'!$A$2:$A2446, MATCH(B34,'Room Info'!$C$2:$C2446, 0)),IF(G34='Room Info'!$D$1, INDEX('Room Info'!$A$2:$A2446, MATCH(B34,'Room Info'!$D$2:$D2446, 0)),IF(G34='Room Info'!$E$1, INDEX('Room Info'!$A$2:$A2446, MATCH(B34,'Room Info'!$E$2:$E2446, 0)),IF(G34='Room Info'!$F$1, INDEX('Room Info'!$A$2:$A2446, MATCH(B34,'Room Info'!$F$2:$F2446, 0)),IF(G34='Room Info'!$H$1, INDEX('Room Info'!$A$2:$A2446, MATCH(B34,'Room Info'!$H$2:$H2446, 0)),IF(G34='Room Info'!$G$1, INDEX('Room Info'!$A$2:$A2446, MATCH(B34,'Room Info'!$G$2:$G2446, 0)))))))))</f>
        <v>00goldimon</v>
      </c>
      <c r="B34" s="18" t="s">
        <v>52</v>
      </c>
      <c r="C34" s="41">
        <v>44805</v>
      </c>
      <c r="D34" s="41">
        <v>44834</v>
      </c>
      <c r="E34" s="21">
        <v>44805</v>
      </c>
      <c r="F34" s="22" t="s">
        <v>41</v>
      </c>
      <c r="G34" s="18" t="s">
        <v>53</v>
      </c>
      <c r="H34" s="23" t="s">
        <v>55</v>
      </c>
      <c r="I34" s="23" t="s">
        <v>37</v>
      </c>
      <c r="J34" s="39">
        <v>10</v>
      </c>
      <c r="K34" s="25">
        <v>1598</v>
      </c>
      <c r="L34" s="26">
        <v>504.17</v>
      </c>
      <c r="M34" s="43">
        <v>559</v>
      </c>
      <c r="N34" s="28">
        <f t="shared" si="0"/>
        <v>15980</v>
      </c>
      <c r="O34" s="18"/>
      <c r="P34" s="29">
        <v>0</v>
      </c>
      <c r="Q34" s="30"/>
      <c r="R34" s="31">
        <f t="shared" si="1"/>
        <v>559</v>
      </c>
      <c r="S34" s="28"/>
      <c r="T34" s="32">
        <f t="shared" si="2"/>
        <v>1063.17</v>
      </c>
      <c r="U34" s="33">
        <v>0.97</v>
      </c>
      <c r="V34" s="34">
        <v>15.0669099756691</v>
      </c>
      <c r="W34" s="34">
        <v>218.82389987888578</v>
      </c>
      <c r="X34" s="30">
        <f t="shared" si="3"/>
        <v>0.17</v>
      </c>
      <c r="Y34" s="30">
        <f t="shared" si="4"/>
        <v>0</v>
      </c>
      <c r="Z34" s="35">
        <f t="shared" si="5"/>
        <v>885.00236700000005</v>
      </c>
      <c r="AA34" s="29">
        <f t="shared" si="6"/>
        <v>178.16763300000002</v>
      </c>
      <c r="AB34" s="36">
        <f t="shared" si="7"/>
        <v>0</v>
      </c>
      <c r="AC34" s="37" t="b">
        <v>1</v>
      </c>
      <c r="AD34" s="37" t="s">
        <v>50</v>
      </c>
      <c r="AE34" s="37"/>
      <c r="AF34" s="37" t="str">
        <f t="array" ref="AF34">INDEX('Deal Info'!D:D, MATCH(A34,'Deal Info'!A:A, 0))</f>
        <v>DoEV</v>
      </c>
      <c r="AG34" s="38" t="str">
        <f t="array" ref="AG34">INDEX('Deal Info'!G:G, MATCH(A34,'Deal Info'!A:A, 0))</f>
        <v>None</v>
      </c>
    </row>
    <row r="35" spans="1:33" ht="14.25" hidden="1" x14ac:dyDescent="0.2">
      <c r="A35" s="18" t="str">
        <f t="array" ref="A35">IF(G35='Room Info'!$B$1, INDEX('Room Info'!$A$2:$A2446, MATCH(B35,'Room Info'!$B$2:$B2446, 0)),IF(G35='Room Info'!$C$1, INDEX('Room Info'!$A$2:$A2446, MATCH(B35,'Room Info'!$C$2:$C2446, 0)),IF(G35='Room Info'!$D$1, INDEX('Room Info'!$A$2:$A2446, MATCH(B35,'Room Info'!$D$2:$D2446, 0)),IF(G35='Room Info'!$E$1, INDEX('Room Info'!$A$2:$A2446, MATCH(B35,'Room Info'!$E$2:$E2446, 0)),IF(G35='Room Info'!$F$1, INDEX('Room Info'!$A$2:$A2446, MATCH(B35,'Room Info'!$F$2:$F2446, 0)),IF(G35='Room Info'!$H$1, INDEX('Room Info'!$A$2:$A2446, MATCH(B35,'Room Info'!$H$2:$H2446, 0)),IF(G35='Room Info'!$G$1, INDEX('Room Info'!$A$2:$A2446, MATCH(B35,'Room Info'!$G$2:$G2446, 0)))))))))</f>
        <v>00goldimon</v>
      </c>
      <c r="B35" s="18" t="s">
        <v>52</v>
      </c>
      <c r="C35" s="41">
        <v>44805</v>
      </c>
      <c r="D35" s="41">
        <v>44834</v>
      </c>
      <c r="E35" s="21">
        <v>44805</v>
      </c>
      <c r="F35" s="22" t="s">
        <v>41</v>
      </c>
      <c r="G35" s="18" t="s">
        <v>53</v>
      </c>
      <c r="H35" s="23" t="s">
        <v>56</v>
      </c>
      <c r="I35" s="23" t="s">
        <v>37</v>
      </c>
      <c r="J35" s="39">
        <v>20</v>
      </c>
      <c r="K35" s="25">
        <v>1623</v>
      </c>
      <c r="L35" s="26">
        <v>1024.1199999999999</v>
      </c>
      <c r="M35" s="44">
        <v>1136</v>
      </c>
      <c r="N35" s="28">
        <f t="shared" si="0"/>
        <v>32460</v>
      </c>
      <c r="O35" s="18"/>
      <c r="P35" s="29">
        <v>0</v>
      </c>
      <c r="Q35" s="30"/>
      <c r="R35" s="31">
        <f t="shared" si="1"/>
        <v>1136</v>
      </c>
      <c r="S35" s="28"/>
      <c r="T35" s="32">
        <f t="shared" si="2"/>
        <v>2160.12</v>
      </c>
      <c r="U35" s="33">
        <v>0.97</v>
      </c>
      <c r="V35" s="34">
        <v>15.0669099756691</v>
      </c>
      <c r="W35" s="34">
        <v>218.82389987888578</v>
      </c>
      <c r="X35" s="30">
        <f t="shared" si="3"/>
        <v>0.17</v>
      </c>
      <c r="Y35" s="30">
        <f t="shared" si="4"/>
        <v>0</v>
      </c>
      <c r="Z35" s="35">
        <f t="shared" si="5"/>
        <v>1798.1226119999999</v>
      </c>
      <c r="AA35" s="29">
        <f t="shared" si="6"/>
        <v>361.997388</v>
      </c>
      <c r="AB35" s="36">
        <f t="shared" si="7"/>
        <v>0</v>
      </c>
      <c r="AC35" s="37" t="b">
        <v>1</v>
      </c>
      <c r="AD35" s="37" t="s">
        <v>50</v>
      </c>
      <c r="AE35" s="37"/>
      <c r="AF35" s="37" t="str">
        <f t="array" ref="AF35">INDEX('Deal Info'!D:D, MATCH(A35,'Deal Info'!A:A, 0))</f>
        <v>DoEV</v>
      </c>
      <c r="AG35" s="38" t="str">
        <f t="array" ref="AG35">INDEX('Deal Info'!G:G, MATCH(A35,'Deal Info'!A:A, 0))</f>
        <v>None</v>
      </c>
    </row>
    <row r="36" spans="1:33" ht="14.25" hidden="1" x14ac:dyDescent="0.2">
      <c r="A36" s="18" t="str">
        <f t="array" ref="A36">IF(G36='Room Info'!$B$1, INDEX('Room Info'!$A$2:$A2446, MATCH(B36,'Room Info'!$B$2:$B2446, 0)),IF(G36='Room Info'!$C$1, INDEX('Room Info'!$A$2:$A2446, MATCH(B36,'Room Info'!$C$2:$C2446, 0)),IF(G36='Room Info'!$D$1, INDEX('Room Info'!$A$2:$A2446, MATCH(B36,'Room Info'!$D$2:$D2446, 0)),IF(G36='Room Info'!$E$1, INDEX('Room Info'!$A$2:$A2446, MATCH(B36,'Room Info'!$E$2:$E2446, 0)),IF(G36='Room Info'!$F$1, INDEX('Room Info'!$A$2:$A2446, MATCH(B36,'Room Info'!$F$2:$F2446, 0)),IF(G36='Room Info'!$H$1, INDEX('Room Info'!$A$2:$A2446, MATCH(B36,'Room Info'!$H$2:$H2446, 0)),IF(G36='Room Info'!$G$1, INDEX('Room Info'!$A$2:$A2446, MATCH(B36,'Room Info'!$G$2:$G2446, 0)))))))))</f>
        <v>00goldimon</v>
      </c>
      <c r="B36" s="18" t="s">
        <v>52</v>
      </c>
      <c r="C36" s="19">
        <v>44805</v>
      </c>
      <c r="D36" s="19">
        <v>44834</v>
      </c>
      <c r="E36" s="21">
        <v>44805</v>
      </c>
      <c r="F36" s="40" t="s">
        <v>41</v>
      </c>
      <c r="G36" s="18" t="s">
        <v>53</v>
      </c>
      <c r="H36" s="23" t="s">
        <v>57</v>
      </c>
      <c r="I36" s="23" t="s">
        <v>37</v>
      </c>
      <c r="J36" s="39">
        <v>50</v>
      </c>
      <c r="K36" s="25">
        <v>17</v>
      </c>
      <c r="L36" s="26">
        <v>26.82</v>
      </c>
      <c r="M36" s="43">
        <v>30</v>
      </c>
      <c r="N36" s="28">
        <f t="shared" si="0"/>
        <v>850</v>
      </c>
      <c r="O36" s="18"/>
      <c r="P36" s="29">
        <v>0</v>
      </c>
      <c r="Q36" s="30"/>
      <c r="R36" s="31">
        <f t="shared" si="1"/>
        <v>30</v>
      </c>
      <c r="S36" s="28"/>
      <c r="T36" s="32">
        <f t="shared" si="2"/>
        <v>56.82</v>
      </c>
      <c r="U36" s="33">
        <v>0.97</v>
      </c>
      <c r="V36" s="34">
        <v>15.0669099756691</v>
      </c>
      <c r="W36" s="34">
        <v>218.82389987888578</v>
      </c>
      <c r="X36" s="30">
        <f t="shared" si="3"/>
        <v>0.17</v>
      </c>
      <c r="Y36" s="30">
        <f t="shared" si="4"/>
        <v>0</v>
      </c>
      <c r="Z36" s="35">
        <f t="shared" si="5"/>
        <v>47.297381999999999</v>
      </c>
      <c r="AA36" s="29">
        <f t="shared" si="6"/>
        <v>9.5226180000000014</v>
      </c>
      <c r="AB36" s="36">
        <f t="shared" si="7"/>
        <v>0</v>
      </c>
      <c r="AC36" s="37" t="b">
        <v>1</v>
      </c>
      <c r="AD36" s="37" t="s">
        <v>50</v>
      </c>
      <c r="AE36" s="37"/>
      <c r="AF36" s="37" t="str">
        <f t="array" ref="AF36">INDEX('Deal Info'!D:D, MATCH(A36,'Deal Info'!A:A, 0))</f>
        <v>DoEV</v>
      </c>
      <c r="AG36" s="38" t="str">
        <f t="array" ref="AG36">INDEX('Deal Info'!G:G, MATCH(A36,'Deal Info'!A:A, 0))</f>
        <v>None</v>
      </c>
    </row>
    <row r="37" spans="1:33" ht="14.25" hidden="1" x14ac:dyDescent="0.2">
      <c r="A37" s="18" t="str">
        <f t="array" ref="A37">IF(G37='Room Info'!$B$1, INDEX('Room Info'!$A$2:$A2446, MATCH(B37,'Room Info'!$B$2:$B2446, 0)),IF(G37='Room Info'!$C$1, INDEX('Room Info'!$A$2:$A2446, MATCH(B37,'Room Info'!$C$2:$C2446, 0)),IF(G37='Room Info'!$D$1, INDEX('Room Info'!$A$2:$A2446, MATCH(B37,'Room Info'!$D$2:$D2446, 0)),IF(G37='Room Info'!$E$1, INDEX('Room Info'!$A$2:$A2446, MATCH(B37,'Room Info'!$E$2:$E2446, 0)),IF(G37='Room Info'!$F$1, INDEX('Room Info'!$A$2:$A2446, MATCH(B37,'Room Info'!$F$2:$F2446, 0)),IF(G37='Room Info'!$H$1, INDEX('Room Info'!$A$2:$A2446, MATCH(B37,'Room Info'!$H$2:$H2446, 0)),IF(G37='Room Info'!$G$1, INDEX('Room Info'!$A$2:$A2446, MATCH(B37,'Room Info'!$G$2:$G2446, 0)))))))))</f>
        <v>00goldimon</v>
      </c>
      <c r="B37" s="18" t="s">
        <v>52</v>
      </c>
      <c r="C37" s="19">
        <v>44835</v>
      </c>
      <c r="D37" s="19">
        <v>44865</v>
      </c>
      <c r="E37" s="21">
        <v>44835</v>
      </c>
      <c r="F37" s="40" t="s">
        <v>41</v>
      </c>
      <c r="G37" s="18" t="s">
        <v>53</v>
      </c>
      <c r="H37" s="23" t="s">
        <v>56</v>
      </c>
      <c r="I37" s="23" t="s">
        <v>37</v>
      </c>
      <c r="J37" s="39">
        <v>20</v>
      </c>
      <c r="K37" s="25">
        <v>2572</v>
      </c>
      <c r="L37" s="26">
        <v>-1344.74</v>
      </c>
      <c r="M37" s="44">
        <v>1800</v>
      </c>
      <c r="N37" s="28">
        <f t="shared" si="0"/>
        <v>51440</v>
      </c>
      <c r="O37" s="18">
        <v>116645</v>
      </c>
      <c r="P37" s="29">
        <v>45.35186625</v>
      </c>
      <c r="Q37" s="30"/>
      <c r="R37" s="31">
        <f t="shared" si="1"/>
        <v>1800</v>
      </c>
      <c r="S37" s="28">
        <v>353</v>
      </c>
      <c r="T37" s="32">
        <f t="shared" si="2"/>
        <v>808.26</v>
      </c>
      <c r="U37" s="33">
        <v>0.98</v>
      </c>
      <c r="V37" s="34">
        <v>27.491379310344829</v>
      </c>
      <c r="W37" s="34">
        <v>4.3650047036688644</v>
      </c>
      <c r="X37" s="30">
        <f t="shared" si="3"/>
        <v>0.3</v>
      </c>
      <c r="Y37" s="30">
        <f t="shared" si="4"/>
        <v>0</v>
      </c>
      <c r="Z37" s="35">
        <f t="shared" si="5"/>
        <v>559.83155999999997</v>
      </c>
      <c r="AA37" s="29">
        <f t="shared" si="6"/>
        <v>248.42844000000002</v>
      </c>
      <c r="AB37" s="36">
        <f t="shared" si="7"/>
        <v>0</v>
      </c>
      <c r="AC37" s="37" t="b">
        <v>1</v>
      </c>
      <c r="AD37" s="37" t="s">
        <v>50</v>
      </c>
      <c r="AE37" s="37"/>
      <c r="AF37" s="37" t="str">
        <f t="array" ref="AF37">INDEX('Deal Info'!D:D, MATCH(A37,'Deal Info'!A:A, 0))</f>
        <v>DoEV</v>
      </c>
      <c r="AG37" s="38" t="str">
        <f t="array" ref="AG37">INDEX('Deal Info'!G:G, MATCH(A37,'Deal Info'!A:A, 0))</f>
        <v>None</v>
      </c>
    </row>
    <row r="38" spans="1:33" ht="14.25" hidden="1" x14ac:dyDescent="0.2">
      <c r="A38" s="18" t="str">
        <f t="array" ref="A38">IF(G38='Room Info'!$B$1, INDEX('Room Info'!$A$2:$A2446, MATCH(B38,'Room Info'!$B$2:$B2446, 0)),IF(G38='Room Info'!$C$1, INDEX('Room Info'!$A$2:$A2446, MATCH(B38,'Room Info'!$C$2:$C2446, 0)),IF(G38='Room Info'!$D$1, INDEX('Room Info'!$A$2:$A2446, MATCH(B38,'Room Info'!$D$2:$D2446, 0)),IF(G38='Room Info'!$E$1, INDEX('Room Info'!$A$2:$A2446, MATCH(B38,'Room Info'!$E$2:$E2446, 0)),IF(G38='Room Info'!$F$1, INDEX('Room Info'!$A$2:$A2446, MATCH(B38,'Room Info'!$F$2:$F2446, 0)),IF(G38='Room Info'!$H$1, INDEX('Room Info'!$A$2:$A2446, MATCH(B38,'Room Info'!$H$2:$H2446, 0)),IF(G38='Room Info'!$G$1, INDEX('Room Info'!$A$2:$A2446, MATCH(B38,'Room Info'!$G$2:$G2446, 0)))))))))</f>
        <v>00goldimon</v>
      </c>
      <c r="B38" s="18" t="s">
        <v>52</v>
      </c>
      <c r="C38" s="19">
        <v>44835</v>
      </c>
      <c r="D38" s="19">
        <v>44865</v>
      </c>
      <c r="E38" s="21">
        <v>44835</v>
      </c>
      <c r="F38" s="22" t="s">
        <v>41</v>
      </c>
      <c r="G38" s="18" t="s">
        <v>53</v>
      </c>
      <c r="H38" s="23" t="s">
        <v>57</v>
      </c>
      <c r="I38" s="23" t="s">
        <v>37</v>
      </c>
      <c r="J38" s="39">
        <v>50</v>
      </c>
      <c r="K38" s="25">
        <v>882</v>
      </c>
      <c r="L38" s="26">
        <v>-1152.8599999999999</v>
      </c>
      <c r="M38" s="44">
        <v>1544</v>
      </c>
      <c r="N38" s="28">
        <f t="shared" si="0"/>
        <v>44100</v>
      </c>
      <c r="O38" s="18">
        <v>25048</v>
      </c>
      <c r="P38" s="29">
        <v>28.399092970000002</v>
      </c>
      <c r="Q38" s="30"/>
      <c r="R38" s="31">
        <f t="shared" si="1"/>
        <v>1544</v>
      </c>
      <c r="S38" s="28">
        <v>-1074</v>
      </c>
      <c r="T38" s="32">
        <f t="shared" si="2"/>
        <v>-682.8599999999999</v>
      </c>
      <c r="U38" s="33">
        <v>0.98</v>
      </c>
      <c r="V38" s="34">
        <v>27.491379310344829</v>
      </c>
      <c r="W38" s="34">
        <v>4.3650047036688644</v>
      </c>
      <c r="X38" s="30">
        <f t="shared" si="3"/>
        <v>0.3</v>
      </c>
      <c r="Y38" s="30">
        <f t="shared" si="4"/>
        <v>0</v>
      </c>
      <c r="Z38" s="35">
        <f t="shared" si="5"/>
        <v>-491.36316000000005</v>
      </c>
      <c r="AA38" s="29">
        <f t="shared" si="6"/>
        <v>-191.49683999999985</v>
      </c>
      <c r="AB38" s="36">
        <f t="shared" si="7"/>
        <v>0</v>
      </c>
      <c r="AC38" s="37" t="b">
        <v>1</v>
      </c>
      <c r="AD38" s="37" t="s">
        <v>50</v>
      </c>
      <c r="AE38" s="37"/>
      <c r="AF38" s="37" t="str">
        <f t="array" ref="AF38">INDEX('Deal Info'!D:D, MATCH(A38,'Deal Info'!A:A, 0))</f>
        <v>DoEV</v>
      </c>
      <c r="AG38" s="38" t="str">
        <f t="array" ref="AG38">INDEX('Deal Info'!G:G, MATCH(A38,'Deal Info'!A:A, 0))</f>
        <v>None</v>
      </c>
    </row>
    <row r="39" spans="1:33" ht="14.25" hidden="1" x14ac:dyDescent="0.2">
      <c r="A39" s="18" t="str">
        <f t="array" ref="A39">IF(G39='Room Info'!$B$1, INDEX('Room Info'!$A$2:$A2446, MATCH(B39,'Room Info'!$B$2:$B2446, 0)),IF(G39='Room Info'!$C$1, INDEX('Room Info'!$A$2:$A2446, MATCH(B39,'Room Info'!$C$2:$C2446, 0)),IF(G39='Room Info'!$D$1, INDEX('Room Info'!$A$2:$A2446, MATCH(B39,'Room Info'!$D$2:$D2446, 0)),IF(G39='Room Info'!$E$1, INDEX('Room Info'!$A$2:$A2446, MATCH(B39,'Room Info'!$E$2:$E2446, 0)),IF(G39='Room Info'!$F$1, INDEX('Room Info'!$A$2:$A2446, MATCH(B39,'Room Info'!$F$2:$F2446, 0)),IF(G39='Room Info'!$H$1, INDEX('Room Info'!$A$2:$A2446, MATCH(B39,'Room Info'!$H$2:$H2446, 0)),IF(G39='Room Info'!$G$1, INDEX('Room Info'!$A$2:$A2446, MATCH(B39,'Room Info'!$G$2:$G2446, 0)))))))))</f>
        <v>00goldimon</v>
      </c>
      <c r="B39" s="18" t="s">
        <v>52</v>
      </c>
      <c r="C39" s="19">
        <v>44835</v>
      </c>
      <c r="D39" s="19">
        <v>44865</v>
      </c>
      <c r="E39" s="21">
        <v>44835</v>
      </c>
      <c r="F39" s="22" t="s">
        <v>41</v>
      </c>
      <c r="G39" s="18" t="s">
        <v>53</v>
      </c>
      <c r="H39" s="23" t="s">
        <v>54</v>
      </c>
      <c r="I39" s="23" t="s">
        <v>37</v>
      </c>
      <c r="J39" s="39">
        <v>5</v>
      </c>
      <c r="K39" s="25">
        <v>26</v>
      </c>
      <c r="L39" s="26">
        <v>-3.4</v>
      </c>
      <c r="M39" s="43">
        <v>5</v>
      </c>
      <c r="N39" s="28">
        <f t="shared" si="0"/>
        <v>130</v>
      </c>
      <c r="O39" s="18">
        <v>291</v>
      </c>
      <c r="P39" s="29">
        <v>11.19230769</v>
      </c>
      <c r="Q39" s="30"/>
      <c r="R39" s="31">
        <f t="shared" si="1"/>
        <v>5</v>
      </c>
      <c r="S39" s="28">
        <v>-7</v>
      </c>
      <c r="T39" s="32">
        <f t="shared" si="2"/>
        <v>-5.4</v>
      </c>
      <c r="U39" s="33">
        <v>0.98</v>
      </c>
      <c r="V39" s="34">
        <v>27.491379310344829</v>
      </c>
      <c r="W39" s="34">
        <v>4.3650047036688644</v>
      </c>
      <c r="X39" s="30">
        <f t="shared" si="3"/>
        <v>0.3</v>
      </c>
      <c r="Y39" s="30">
        <f t="shared" si="4"/>
        <v>0</v>
      </c>
      <c r="Z39" s="35">
        <f t="shared" si="5"/>
        <v>-3.8424000000000005</v>
      </c>
      <c r="AA39" s="29">
        <f t="shared" si="6"/>
        <v>-1.5575999999999999</v>
      </c>
      <c r="AB39" s="36">
        <f t="shared" si="7"/>
        <v>0</v>
      </c>
      <c r="AC39" s="37" t="b">
        <v>1</v>
      </c>
      <c r="AD39" s="37" t="s">
        <v>50</v>
      </c>
      <c r="AE39" s="37"/>
      <c r="AF39" s="37" t="str">
        <f t="array" ref="AF39">INDEX('Deal Info'!D:D, MATCH(A39,'Deal Info'!A:A, 0))</f>
        <v>DoEV</v>
      </c>
      <c r="AG39" s="38" t="str">
        <f t="array" ref="AG39">INDEX('Deal Info'!G:G, MATCH(A39,'Deal Info'!A:A, 0))</f>
        <v>None</v>
      </c>
    </row>
    <row r="40" spans="1:33" ht="14.25" hidden="1" x14ac:dyDescent="0.2">
      <c r="A40" s="18" t="str">
        <f t="array" ref="A40">IF(G40='Room Info'!$B$1, INDEX('Room Info'!$A$2:$A2446, MATCH(B40,'Room Info'!$B$2:$B2446, 0)),IF(G40='Room Info'!$C$1, INDEX('Room Info'!$A$2:$A2446, MATCH(B40,'Room Info'!$C$2:$C2446, 0)),IF(G40='Room Info'!$D$1, INDEX('Room Info'!$A$2:$A2446, MATCH(B40,'Room Info'!$D$2:$D2446, 0)),IF(G40='Room Info'!$E$1, INDEX('Room Info'!$A$2:$A2446, MATCH(B40,'Room Info'!$E$2:$E2446, 0)),IF(G40='Room Info'!$F$1, INDEX('Room Info'!$A$2:$A2446, MATCH(B40,'Room Info'!$F$2:$F2446, 0)),IF(G40='Room Info'!$H$1, INDEX('Room Info'!$A$2:$A2446, MATCH(B40,'Room Info'!$H$2:$H2446, 0)),IF(G40='Room Info'!$G$1, INDEX('Room Info'!$A$2:$A2446, MATCH(B40,'Room Info'!$G$2:$G2446, 0)))))))))</f>
        <v>00goldimon</v>
      </c>
      <c r="B40" s="18" t="s">
        <v>58</v>
      </c>
      <c r="C40" s="19">
        <v>44866</v>
      </c>
      <c r="D40" s="19">
        <v>44895</v>
      </c>
      <c r="E40" s="21">
        <v>44866</v>
      </c>
      <c r="F40" s="22" t="s">
        <v>41</v>
      </c>
      <c r="G40" s="18" t="s">
        <v>53</v>
      </c>
      <c r="H40" s="23" t="s">
        <v>56</v>
      </c>
      <c r="I40" s="23" t="s">
        <v>37</v>
      </c>
      <c r="J40" s="39">
        <v>20</v>
      </c>
      <c r="K40" s="25">
        <v>337</v>
      </c>
      <c r="L40" s="26">
        <v>-533.74</v>
      </c>
      <c r="M40" s="43">
        <v>236</v>
      </c>
      <c r="N40" s="28">
        <f t="shared" si="0"/>
        <v>6740</v>
      </c>
      <c r="O40" s="18"/>
      <c r="P40" s="29">
        <v>0</v>
      </c>
      <c r="Q40" s="30"/>
      <c r="R40" s="31">
        <f t="shared" si="1"/>
        <v>236</v>
      </c>
      <c r="S40" s="28"/>
      <c r="T40" s="32">
        <f t="shared" si="2"/>
        <v>-297.74</v>
      </c>
      <c r="U40" s="33">
        <v>1.052</v>
      </c>
      <c r="V40" s="34">
        <v>17.516129032258064</v>
      </c>
      <c r="W40" s="34">
        <v>-27.403885819521179</v>
      </c>
      <c r="X40" s="30">
        <f t="shared" si="3"/>
        <v>0.3</v>
      </c>
      <c r="Y40" s="30">
        <f t="shared" si="4"/>
        <v>0</v>
      </c>
      <c r="Z40" s="35">
        <f t="shared" si="5"/>
        <v>-200.091656</v>
      </c>
      <c r="AA40" s="29">
        <f t="shared" si="6"/>
        <v>-97.648343999999994</v>
      </c>
      <c r="AB40" s="36">
        <f t="shared" si="7"/>
        <v>0</v>
      </c>
      <c r="AC40" s="37" t="b">
        <v>0</v>
      </c>
      <c r="AD40" s="37" t="s">
        <v>50</v>
      </c>
      <c r="AE40" s="37"/>
      <c r="AF40" s="37" t="str">
        <f t="array" ref="AF40">INDEX('Deal Info'!D:D, MATCH(A40,'Deal Info'!A:A, 0))</f>
        <v>DoEV</v>
      </c>
      <c r="AG40" s="38" t="str">
        <f t="array" ref="AG40">INDEX('Deal Info'!G:G, MATCH(A40,'Deal Info'!A:A, 0))</f>
        <v>None</v>
      </c>
    </row>
    <row r="41" spans="1:33" ht="14.25" hidden="1" x14ac:dyDescent="0.2">
      <c r="A41" s="18" t="str">
        <f t="array" ref="A41">IF(G41='Room Info'!$B$1, INDEX('Room Info'!$A$2:$A2446, MATCH(B41,'Room Info'!$B$2:$B2446, 0)),IF(G41='Room Info'!$C$1, INDEX('Room Info'!$A$2:$A2446, MATCH(B41,'Room Info'!$C$2:$C2446, 0)),IF(G41='Room Info'!$D$1, INDEX('Room Info'!$A$2:$A2446, MATCH(B41,'Room Info'!$D$2:$D2446, 0)),IF(G41='Room Info'!$E$1, INDEX('Room Info'!$A$2:$A2446, MATCH(B41,'Room Info'!$E$2:$E2446, 0)),IF(G41='Room Info'!$F$1, INDEX('Room Info'!$A$2:$A2446, MATCH(B41,'Room Info'!$F$2:$F2446, 0)),IF(G41='Room Info'!$H$1, INDEX('Room Info'!$A$2:$A2446, MATCH(B41,'Room Info'!$H$2:$H2446, 0)),IF(G41='Room Info'!$G$1, INDEX('Room Info'!$A$2:$A2446, MATCH(B41,'Room Info'!$G$2:$G2446, 0)))))))))</f>
        <v>00goldimon</v>
      </c>
      <c r="B41" s="18" t="s">
        <v>58</v>
      </c>
      <c r="C41" s="19">
        <v>44866</v>
      </c>
      <c r="D41" s="19">
        <v>44895</v>
      </c>
      <c r="E41" s="21">
        <v>44866</v>
      </c>
      <c r="F41" s="22" t="s">
        <v>41</v>
      </c>
      <c r="G41" s="18" t="s">
        <v>53</v>
      </c>
      <c r="H41" s="23" t="s">
        <v>54</v>
      </c>
      <c r="I41" s="23" t="s">
        <v>37</v>
      </c>
      <c r="J41" s="39">
        <v>5</v>
      </c>
      <c r="K41" s="25">
        <v>158</v>
      </c>
      <c r="L41" s="26">
        <v>-62.56</v>
      </c>
      <c r="M41" s="43">
        <v>28</v>
      </c>
      <c r="N41" s="28">
        <f t="shared" si="0"/>
        <v>790</v>
      </c>
      <c r="O41" s="18"/>
      <c r="P41" s="29">
        <v>0</v>
      </c>
      <c r="Q41" s="30"/>
      <c r="R41" s="31">
        <f t="shared" si="1"/>
        <v>28</v>
      </c>
      <c r="S41" s="28"/>
      <c r="T41" s="32">
        <f t="shared" si="2"/>
        <v>-34.56</v>
      </c>
      <c r="U41" s="33">
        <v>1.052</v>
      </c>
      <c r="V41" s="34">
        <v>17.516129032258064</v>
      </c>
      <c r="W41" s="34">
        <v>-27.403885819521179</v>
      </c>
      <c r="X41" s="30">
        <f t="shared" si="3"/>
        <v>0.3</v>
      </c>
      <c r="Y41" s="30">
        <f t="shared" si="4"/>
        <v>0</v>
      </c>
      <c r="Z41" s="35">
        <f t="shared" si="5"/>
        <v>-23.216064000000003</v>
      </c>
      <c r="AA41" s="29">
        <f t="shared" si="6"/>
        <v>-11.343936000000001</v>
      </c>
      <c r="AB41" s="36">
        <f t="shared" si="7"/>
        <v>0</v>
      </c>
      <c r="AC41" s="37" t="b">
        <v>0</v>
      </c>
      <c r="AD41" s="37" t="s">
        <v>50</v>
      </c>
      <c r="AE41" s="37"/>
      <c r="AF41" s="37" t="str">
        <f t="array" ref="AF41">INDEX('Deal Info'!D:D, MATCH(A41,'Deal Info'!A:A, 0))</f>
        <v>DoEV</v>
      </c>
      <c r="AG41" s="38" t="str">
        <f t="array" ref="AG41">INDEX('Deal Info'!G:G, MATCH(A41,'Deal Info'!A:A, 0))</f>
        <v>None</v>
      </c>
    </row>
    <row r="42" spans="1:33" ht="14.25" hidden="1" x14ac:dyDescent="0.2">
      <c r="A42" s="18" t="str">
        <f t="array" ref="A42">IF(G42='Room Info'!$B$1, INDEX('Room Info'!$A$2:$A2446, MATCH(B42,'Room Info'!$B$2:$B2446, 0)),IF(G42='Room Info'!$C$1, INDEX('Room Info'!$A$2:$A2446, MATCH(B42,'Room Info'!$C$2:$C2446, 0)),IF(G42='Room Info'!$D$1, INDEX('Room Info'!$A$2:$A2446, MATCH(B42,'Room Info'!$D$2:$D2446, 0)),IF(G42='Room Info'!$E$1, INDEX('Room Info'!$A$2:$A2446, MATCH(B42,'Room Info'!$E$2:$E2446, 0)),IF(G42='Room Info'!$F$1, INDEX('Room Info'!$A$2:$A2446, MATCH(B42,'Room Info'!$F$2:$F2446, 0)),IF(G42='Room Info'!$H$1, INDEX('Room Info'!$A$2:$A2446, MATCH(B42,'Room Info'!$H$2:$H2446, 0)),IF(G42='Room Info'!$G$1, INDEX('Room Info'!$A$2:$A2446, MATCH(B42,'Room Info'!$G$2:$G2446, 0)))))))))</f>
        <v>00goldimon</v>
      </c>
      <c r="B42" s="18" t="s">
        <v>58</v>
      </c>
      <c r="C42" s="19">
        <v>44866</v>
      </c>
      <c r="D42" s="19">
        <v>44895</v>
      </c>
      <c r="E42" s="21">
        <v>44866</v>
      </c>
      <c r="F42" s="22" t="s">
        <v>41</v>
      </c>
      <c r="G42" s="18" t="s">
        <v>53</v>
      </c>
      <c r="H42" s="23" t="s">
        <v>55</v>
      </c>
      <c r="I42" s="23" t="s">
        <v>37</v>
      </c>
      <c r="J42" s="39">
        <v>10</v>
      </c>
      <c r="K42" s="25">
        <v>98</v>
      </c>
      <c r="L42" s="26">
        <v>-77.61</v>
      </c>
      <c r="M42" s="43">
        <v>34</v>
      </c>
      <c r="N42" s="28">
        <f t="shared" si="0"/>
        <v>980</v>
      </c>
      <c r="O42" s="18"/>
      <c r="P42" s="29">
        <v>0</v>
      </c>
      <c r="Q42" s="30"/>
      <c r="R42" s="31">
        <f t="shared" si="1"/>
        <v>34</v>
      </c>
      <c r="S42" s="28"/>
      <c r="T42" s="32">
        <f t="shared" si="2"/>
        <v>-43.61</v>
      </c>
      <c r="U42" s="33">
        <v>1.052</v>
      </c>
      <c r="V42" s="34">
        <v>17.516129032258064</v>
      </c>
      <c r="W42" s="34">
        <v>-27.403885819521179</v>
      </c>
      <c r="X42" s="30">
        <f t="shared" si="3"/>
        <v>0.3</v>
      </c>
      <c r="Y42" s="30">
        <f t="shared" si="4"/>
        <v>0</v>
      </c>
      <c r="Z42" s="35">
        <f t="shared" si="5"/>
        <v>-29.316284</v>
      </c>
      <c r="AA42" s="29">
        <f t="shared" si="6"/>
        <v>-14.293716</v>
      </c>
      <c r="AB42" s="36">
        <f t="shared" si="7"/>
        <v>0</v>
      </c>
      <c r="AC42" s="37" t="b">
        <v>0</v>
      </c>
      <c r="AD42" s="37" t="s">
        <v>50</v>
      </c>
      <c r="AE42" s="37"/>
      <c r="AF42" s="37" t="str">
        <f t="array" ref="AF42">INDEX('Deal Info'!D:D, MATCH(A42,'Deal Info'!A:A, 0))</f>
        <v>DoEV</v>
      </c>
      <c r="AG42" s="38" t="str">
        <f t="array" ref="AG42">INDEX('Deal Info'!G:G, MATCH(A42,'Deal Info'!A:A, 0))</f>
        <v>None</v>
      </c>
    </row>
    <row r="43" spans="1:33" ht="14.25" hidden="1" x14ac:dyDescent="0.2">
      <c r="A43" s="18" t="str">
        <f t="array" ref="A43">IF(G43='Room Info'!$B$1, INDEX('Room Info'!$A$2:$A2446, MATCH(B43,'Room Info'!$B$2:$B2446, 0)),IF(G43='Room Info'!$C$1, INDEX('Room Info'!$A$2:$A2446, MATCH(B43,'Room Info'!$C$2:$C2446, 0)),IF(G43='Room Info'!$D$1, INDEX('Room Info'!$A$2:$A2446, MATCH(B43,'Room Info'!$D$2:$D2446, 0)),IF(G43='Room Info'!$E$1, INDEX('Room Info'!$A$2:$A2446, MATCH(B43,'Room Info'!$E$2:$E2446, 0)),IF(G43='Room Info'!$F$1, INDEX('Room Info'!$A$2:$A2446, MATCH(B43,'Room Info'!$F$2:$F2446, 0)),IF(G43='Room Info'!$H$1, INDEX('Room Info'!$A$2:$A2446, MATCH(B43,'Room Info'!$H$2:$H2446, 0)),IF(G43='Room Info'!$G$1, INDEX('Room Info'!$A$2:$A2446, MATCH(B43,'Room Info'!$G$2:$G2446, 0)))))))))</f>
        <v>00goldimon</v>
      </c>
      <c r="B43" s="18" t="s">
        <v>58</v>
      </c>
      <c r="C43" s="19">
        <v>44866</v>
      </c>
      <c r="D43" s="19">
        <v>44895</v>
      </c>
      <c r="E43" s="21">
        <v>44866</v>
      </c>
      <c r="F43" s="22" t="s">
        <v>41</v>
      </c>
      <c r="G43" s="18" t="s">
        <v>53</v>
      </c>
      <c r="H43" s="23" t="s">
        <v>59</v>
      </c>
      <c r="I43" s="23" t="s">
        <v>37</v>
      </c>
      <c r="J43" s="39">
        <v>100</v>
      </c>
      <c r="K43" s="25">
        <v>20</v>
      </c>
      <c r="L43" s="26">
        <v>-158.38</v>
      </c>
      <c r="M43" s="43">
        <v>70</v>
      </c>
      <c r="N43" s="28">
        <f t="shared" si="0"/>
        <v>2000</v>
      </c>
      <c r="O43" s="18"/>
      <c r="P43" s="29">
        <v>0</v>
      </c>
      <c r="Q43" s="30"/>
      <c r="R43" s="31">
        <f t="shared" si="1"/>
        <v>70</v>
      </c>
      <c r="S43" s="28"/>
      <c r="T43" s="32">
        <f t="shared" si="2"/>
        <v>-88.38</v>
      </c>
      <c r="U43" s="33">
        <v>1.052</v>
      </c>
      <c r="V43" s="34">
        <v>17.516129032258064</v>
      </c>
      <c r="W43" s="34">
        <v>-27.403885819521179</v>
      </c>
      <c r="X43" s="30">
        <f t="shared" si="3"/>
        <v>0.3</v>
      </c>
      <c r="Y43" s="30">
        <f t="shared" si="4"/>
        <v>0</v>
      </c>
      <c r="Z43" s="35">
        <f t="shared" si="5"/>
        <v>-59.395271999999999</v>
      </c>
      <c r="AA43" s="29">
        <f t="shared" si="6"/>
        <v>-28.984727999999997</v>
      </c>
      <c r="AB43" s="36">
        <f t="shared" si="7"/>
        <v>0</v>
      </c>
      <c r="AC43" s="37" t="b">
        <v>0</v>
      </c>
      <c r="AD43" s="37" t="s">
        <v>50</v>
      </c>
      <c r="AE43" s="37"/>
      <c r="AF43" s="37" t="str">
        <f t="array" ref="AF43">INDEX('Deal Info'!D:D, MATCH(A43,'Deal Info'!A:A, 0))</f>
        <v>DoEV</v>
      </c>
      <c r="AG43" s="38" t="str">
        <f t="array" ref="AG43">INDEX('Deal Info'!G:G, MATCH(A43,'Deal Info'!A:A, 0))</f>
        <v>None</v>
      </c>
    </row>
    <row r="44" spans="1:33" ht="14.25" hidden="1" x14ac:dyDescent="0.2">
      <c r="A44" s="18" t="str">
        <f t="array" ref="A44">IF(G44='Room Info'!$B$1, INDEX('Room Info'!$A$2:$A2446, MATCH(B44,'Room Info'!$B$2:$B2446, 0)),IF(G44='Room Info'!$C$1, INDEX('Room Info'!$A$2:$A2446, MATCH(B44,'Room Info'!$C$2:$C2446, 0)),IF(G44='Room Info'!$D$1, INDEX('Room Info'!$A$2:$A2446, MATCH(B44,'Room Info'!$D$2:$D2446, 0)),IF(G44='Room Info'!$E$1, INDEX('Room Info'!$A$2:$A2446, MATCH(B44,'Room Info'!$E$2:$E2446, 0)),IF(G44='Room Info'!$F$1, INDEX('Room Info'!$A$2:$A2446, MATCH(B44,'Room Info'!$F$2:$F2446, 0)),IF(G44='Room Info'!$H$1, INDEX('Room Info'!$A$2:$A2446, MATCH(B44,'Room Info'!$H$2:$H2446, 0)),IF(G44='Room Info'!$G$1, INDEX('Room Info'!$A$2:$A2446, MATCH(B44,'Room Info'!$G$2:$G2446, 0)))))))))</f>
        <v>00goldimon</v>
      </c>
      <c r="B44" s="18" t="s">
        <v>58</v>
      </c>
      <c r="C44" s="19">
        <v>44866</v>
      </c>
      <c r="D44" s="19">
        <v>44895</v>
      </c>
      <c r="E44" s="21">
        <v>44866</v>
      </c>
      <c r="F44" s="22" t="s">
        <v>41</v>
      </c>
      <c r="G44" s="18" t="s">
        <v>53</v>
      </c>
      <c r="H44" s="23" t="s">
        <v>57</v>
      </c>
      <c r="I44" s="23" t="s">
        <v>37</v>
      </c>
      <c r="J44" s="39">
        <v>50</v>
      </c>
      <c r="K44" s="25">
        <v>7</v>
      </c>
      <c r="L44" s="26">
        <v>-27.72</v>
      </c>
      <c r="M44" s="43">
        <v>12</v>
      </c>
      <c r="N44" s="28">
        <f t="shared" si="0"/>
        <v>350</v>
      </c>
      <c r="O44" s="18"/>
      <c r="P44" s="29">
        <v>0</v>
      </c>
      <c r="Q44" s="30"/>
      <c r="R44" s="31">
        <f t="shared" si="1"/>
        <v>12</v>
      </c>
      <c r="S44" s="28"/>
      <c r="T44" s="32">
        <f t="shared" si="2"/>
        <v>-15.719999999999999</v>
      </c>
      <c r="U44" s="33">
        <v>1.052</v>
      </c>
      <c r="V44" s="34">
        <v>17.516129032258064</v>
      </c>
      <c r="W44" s="34">
        <v>-27.403885819521179</v>
      </c>
      <c r="X44" s="30">
        <f t="shared" si="3"/>
        <v>0.3</v>
      </c>
      <c r="Y44" s="30">
        <f t="shared" si="4"/>
        <v>0</v>
      </c>
      <c r="Z44" s="35">
        <f t="shared" si="5"/>
        <v>-10.571567999999999</v>
      </c>
      <c r="AA44" s="29">
        <f t="shared" si="6"/>
        <v>-5.1484319999999997</v>
      </c>
      <c r="AB44" s="36">
        <f t="shared" si="7"/>
        <v>0</v>
      </c>
      <c r="AC44" s="37" t="b">
        <v>0</v>
      </c>
      <c r="AD44" s="37" t="s">
        <v>50</v>
      </c>
      <c r="AE44" s="37"/>
      <c r="AF44" s="37" t="str">
        <f t="array" ref="AF44">INDEX('Deal Info'!D:D, MATCH(A44,'Deal Info'!A:A, 0))</f>
        <v>DoEV</v>
      </c>
      <c r="AG44" s="38" t="str">
        <f t="array" ref="AG44">INDEX('Deal Info'!G:G, MATCH(A44,'Deal Info'!A:A, 0))</f>
        <v>None</v>
      </c>
    </row>
    <row r="45" spans="1:33" ht="14.25" hidden="1" x14ac:dyDescent="0.2">
      <c r="A45" s="18" t="str">
        <f t="array" ref="A45">IF(G45='Room Info'!$B$1, INDEX('Room Info'!$A$2:$A2446, MATCH(B45,'Room Info'!$B$2:$B2446, 0)),IF(G45='Room Info'!$C$1, INDEX('Room Info'!$A$2:$A2446, MATCH(B45,'Room Info'!$C$2:$C2446, 0)),IF(G45='Room Info'!$D$1, INDEX('Room Info'!$A$2:$A2446, MATCH(B45,'Room Info'!$D$2:$D2446, 0)),IF(G45='Room Info'!$E$1, INDEX('Room Info'!$A$2:$A2446, MATCH(B45,'Room Info'!$E$2:$E2446, 0)),IF(G45='Room Info'!$F$1, INDEX('Room Info'!$A$2:$A2446, MATCH(B45,'Room Info'!$F$2:$F2446, 0)),IF(G45='Room Info'!$H$1, INDEX('Room Info'!$A$2:$A2446, MATCH(B45,'Room Info'!$H$2:$H2446, 0)),IF(G45='Room Info'!$G$1, INDEX('Room Info'!$A$2:$A2446, MATCH(B45,'Room Info'!$G$2:$G2446, 0)))))))))</f>
        <v>Abcdf</v>
      </c>
      <c r="B45" s="18" t="s">
        <v>60</v>
      </c>
      <c r="C45" s="19">
        <v>44460</v>
      </c>
      <c r="D45" s="19">
        <v>44489</v>
      </c>
      <c r="E45" s="21">
        <v>44470</v>
      </c>
      <c r="F45" s="40" t="s">
        <v>34</v>
      </c>
      <c r="G45" s="18" t="s">
        <v>61</v>
      </c>
      <c r="H45" s="23" t="s">
        <v>62</v>
      </c>
      <c r="I45" s="23" t="s">
        <v>37</v>
      </c>
      <c r="J45" s="39">
        <v>10</v>
      </c>
      <c r="K45" s="25">
        <v>175</v>
      </c>
      <c r="L45" s="26">
        <v>-70</v>
      </c>
      <c r="M45" s="42">
        <v>9</v>
      </c>
      <c r="N45" s="28">
        <f t="shared" si="0"/>
        <v>1750</v>
      </c>
      <c r="O45" s="18">
        <v>12078</v>
      </c>
      <c r="P45" s="29">
        <v>69.017142860000007</v>
      </c>
      <c r="Q45" s="30"/>
      <c r="R45" s="31">
        <f t="shared" si="1"/>
        <v>9</v>
      </c>
      <c r="S45" s="28">
        <v>50</v>
      </c>
      <c r="T45" s="32">
        <f t="shared" si="2"/>
        <v>59</v>
      </c>
      <c r="U45" s="33">
        <v>1</v>
      </c>
      <c r="V45" s="34">
        <v>10</v>
      </c>
      <c r="W45" s="34">
        <v>8.1999999999999993</v>
      </c>
      <c r="X45" s="30">
        <f t="shared" si="3"/>
        <v>0.2</v>
      </c>
      <c r="Y45" s="30">
        <f t="shared" si="4"/>
        <v>0</v>
      </c>
      <c r="Z45" s="35">
        <f t="shared" si="5"/>
        <v>47.2</v>
      </c>
      <c r="AA45" s="29">
        <f t="shared" si="6"/>
        <v>11.8</v>
      </c>
      <c r="AB45" s="36">
        <f t="shared" si="7"/>
        <v>0</v>
      </c>
      <c r="AC45" s="37" t="b">
        <v>1</v>
      </c>
      <c r="AD45" s="37" t="s">
        <v>50</v>
      </c>
      <c r="AE45" s="37"/>
      <c r="AF45" s="37" t="str">
        <f t="array" ref="AF45">INDEX('Deal Info'!D:D, MATCH(A45,'Deal Info'!A:A, 0))</f>
        <v>DoEV2017</v>
      </c>
      <c r="AG45" s="38" t="str">
        <f t="array" ref="AG45">INDEX('Deal Info'!G:G, MATCH(A45,'Deal Info'!A:A, 0))</f>
        <v>None</v>
      </c>
    </row>
    <row r="46" spans="1:33" ht="14.25" hidden="1" x14ac:dyDescent="0.2">
      <c r="A46" s="18" t="str">
        <f t="array" ref="A46">IF(G46='Room Info'!$B$1, INDEX('Room Info'!$A$2:$A2446, MATCH(B46,'Room Info'!$B$2:$B2446, 0)),IF(G46='Room Info'!$C$1, INDEX('Room Info'!$A$2:$A2446, MATCH(B46,'Room Info'!$C$2:$C2446, 0)),IF(G46='Room Info'!$D$1, INDEX('Room Info'!$A$2:$A2446, MATCH(B46,'Room Info'!$D$2:$D2446, 0)),IF(G46='Room Info'!$E$1, INDEX('Room Info'!$A$2:$A2446, MATCH(B46,'Room Info'!$E$2:$E2446, 0)),IF(G46='Room Info'!$F$1, INDEX('Room Info'!$A$2:$A2446, MATCH(B46,'Room Info'!$F$2:$F2446, 0)),IF(G46='Room Info'!$H$1, INDEX('Room Info'!$A$2:$A2446, MATCH(B46,'Room Info'!$H$2:$H2446, 0)),IF(G46='Room Info'!$G$1, INDEX('Room Info'!$A$2:$A2446, MATCH(B46,'Room Info'!$G$2:$G2446, 0)))))))))</f>
        <v>Abcdf</v>
      </c>
      <c r="B46" s="18" t="s">
        <v>60</v>
      </c>
      <c r="C46" s="19">
        <v>44460</v>
      </c>
      <c r="D46" s="19">
        <v>44489</v>
      </c>
      <c r="E46" s="21">
        <v>44470</v>
      </c>
      <c r="F46" s="40" t="s">
        <v>34</v>
      </c>
      <c r="G46" s="18" t="s">
        <v>61</v>
      </c>
      <c r="H46" s="23" t="s">
        <v>63</v>
      </c>
      <c r="I46" s="23" t="s">
        <v>37</v>
      </c>
      <c r="J46" s="39">
        <v>10</v>
      </c>
      <c r="K46" s="25">
        <v>625</v>
      </c>
      <c r="L46" s="26">
        <v>58</v>
      </c>
      <c r="M46" s="42">
        <v>1</v>
      </c>
      <c r="N46" s="28">
        <f t="shared" si="0"/>
        <v>6250</v>
      </c>
      <c r="O46" s="18">
        <v>30306</v>
      </c>
      <c r="P46" s="29">
        <v>48.489600000000003</v>
      </c>
      <c r="Q46" s="30"/>
      <c r="R46" s="31">
        <f t="shared" si="1"/>
        <v>1</v>
      </c>
      <c r="S46" s="28">
        <v>22</v>
      </c>
      <c r="T46" s="32">
        <f t="shared" si="2"/>
        <v>23</v>
      </c>
      <c r="U46" s="33">
        <v>1</v>
      </c>
      <c r="V46" s="34">
        <v>10</v>
      </c>
      <c r="W46" s="34">
        <v>8.1999999999999993</v>
      </c>
      <c r="X46" s="30">
        <f t="shared" si="3"/>
        <v>0.2</v>
      </c>
      <c r="Y46" s="30">
        <f t="shared" si="4"/>
        <v>0</v>
      </c>
      <c r="Z46" s="35">
        <f t="shared" si="5"/>
        <v>18.399999999999999</v>
      </c>
      <c r="AA46" s="29">
        <f t="shared" si="6"/>
        <v>4.6000000000000005</v>
      </c>
      <c r="AB46" s="36">
        <f t="shared" si="7"/>
        <v>0</v>
      </c>
      <c r="AC46" s="37" t="b">
        <v>1</v>
      </c>
      <c r="AD46" s="37" t="s">
        <v>50</v>
      </c>
      <c r="AE46" s="37"/>
      <c r="AF46" s="37" t="str">
        <f t="array" ref="AF46">INDEX('Deal Info'!D:D, MATCH(A46,'Deal Info'!A:A, 0))</f>
        <v>DoEV2017</v>
      </c>
      <c r="AG46" s="38" t="str">
        <f t="array" ref="AG46">INDEX('Deal Info'!G:G, MATCH(A46,'Deal Info'!A:A, 0))</f>
        <v>None</v>
      </c>
    </row>
    <row r="47" spans="1:33" ht="14.25" hidden="1" x14ac:dyDescent="0.2">
      <c r="A47" s="18" t="str">
        <f t="array" ref="A47">IF(G47='Room Info'!$B$1, INDEX('Room Info'!$A$2:$A2446, MATCH(B47,'Room Info'!$B$2:$B2446, 0)),IF(G47='Room Info'!$C$1, INDEX('Room Info'!$A$2:$A2446, MATCH(B47,'Room Info'!$C$2:$C2446, 0)),IF(G47='Room Info'!$D$1, INDEX('Room Info'!$A$2:$A2446, MATCH(B47,'Room Info'!$D$2:$D2446, 0)),IF(G47='Room Info'!$E$1, INDEX('Room Info'!$A$2:$A2446, MATCH(B47,'Room Info'!$E$2:$E2446, 0)),IF(G47='Room Info'!$F$1, INDEX('Room Info'!$A$2:$A2446, MATCH(B47,'Room Info'!$F$2:$F2446, 0)),IF(G47='Room Info'!$H$1, INDEX('Room Info'!$A$2:$A2446, MATCH(B47,'Room Info'!$H$2:$H2446, 0)),IF(G47='Room Info'!$G$1, INDEX('Room Info'!$A$2:$A2446, MATCH(B47,'Room Info'!$G$2:$G2446, 0)))))))))</f>
        <v>Abcdf</v>
      </c>
      <c r="B47" s="18" t="s">
        <v>60</v>
      </c>
      <c r="C47" s="41">
        <v>44490</v>
      </c>
      <c r="D47" s="41">
        <v>44520</v>
      </c>
      <c r="E47" s="21">
        <v>44501</v>
      </c>
      <c r="F47" s="22" t="s">
        <v>34</v>
      </c>
      <c r="G47" s="18" t="s">
        <v>61</v>
      </c>
      <c r="H47" s="23" t="s">
        <v>64</v>
      </c>
      <c r="I47" s="23" t="s">
        <v>37</v>
      </c>
      <c r="J47" s="39">
        <v>10</v>
      </c>
      <c r="K47" s="25">
        <v>253</v>
      </c>
      <c r="L47" s="26">
        <v>45</v>
      </c>
      <c r="M47" s="42">
        <v>5</v>
      </c>
      <c r="N47" s="28">
        <f t="shared" si="0"/>
        <v>2530</v>
      </c>
      <c r="O47" s="18">
        <v>15636</v>
      </c>
      <c r="P47" s="29">
        <v>61.802371540000003</v>
      </c>
      <c r="Q47" s="30"/>
      <c r="R47" s="31">
        <f t="shared" si="1"/>
        <v>5</v>
      </c>
      <c r="S47" s="28">
        <v>60</v>
      </c>
      <c r="T47" s="32">
        <f t="shared" si="2"/>
        <v>65</v>
      </c>
      <c r="U47" s="33">
        <v>1</v>
      </c>
      <c r="V47" s="34">
        <v>16.99367088607595</v>
      </c>
      <c r="W47" s="34">
        <v>19.301303538175045</v>
      </c>
      <c r="X47" s="30">
        <f t="shared" si="3"/>
        <v>0.2</v>
      </c>
      <c r="Y47" s="30">
        <f t="shared" si="4"/>
        <v>0</v>
      </c>
      <c r="Z47" s="35">
        <f t="shared" si="5"/>
        <v>52</v>
      </c>
      <c r="AA47" s="29">
        <f t="shared" si="6"/>
        <v>13</v>
      </c>
      <c r="AB47" s="36">
        <f t="shared" si="7"/>
        <v>0</v>
      </c>
      <c r="AC47" s="37" t="b">
        <v>1</v>
      </c>
      <c r="AD47" s="37" t="s">
        <v>50</v>
      </c>
      <c r="AE47" s="37"/>
      <c r="AF47" s="37" t="str">
        <f t="array" ref="AF47">INDEX('Deal Info'!D:D, MATCH(A47,'Deal Info'!A:A, 0))</f>
        <v>DoEV2017</v>
      </c>
      <c r="AG47" s="38" t="str">
        <f t="array" ref="AG47">INDEX('Deal Info'!G:G, MATCH(A47,'Deal Info'!A:A, 0))</f>
        <v>None</v>
      </c>
    </row>
    <row r="48" spans="1:33" ht="14.25" hidden="1" x14ac:dyDescent="0.2">
      <c r="A48" s="18" t="str">
        <f t="array" ref="A48">IF(G48='Room Info'!$B$1, INDEX('Room Info'!$A$2:$A2446, MATCH(B48,'Room Info'!$B$2:$B2446, 0)),IF(G48='Room Info'!$C$1, INDEX('Room Info'!$A$2:$A2446, MATCH(B48,'Room Info'!$C$2:$C2446, 0)),IF(G48='Room Info'!$D$1, INDEX('Room Info'!$A$2:$A2446, MATCH(B48,'Room Info'!$D$2:$D2446, 0)),IF(G48='Room Info'!$E$1, INDEX('Room Info'!$A$2:$A2446, MATCH(B48,'Room Info'!$E$2:$E2446, 0)),IF(G48='Room Info'!$F$1, INDEX('Room Info'!$A$2:$A2446, MATCH(B48,'Room Info'!$F$2:$F2446, 0)),IF(G48='Room Info'!$H$1, INDEX('Room Info'!$A$2:$A2446, MATCH(B48,'Room Info'!$H$2:$H2446, 0)),IF(G48='Room Info'!$G$1, INDEX('Room Info'!$A$2:$A2446, MATCH(B48,'Room Info'!$G$2:$G2446, 0)))))))))</f>
        <v>Abcdf</v>
      </c>
      <c r="B48" s="18" t="s">
        <v>60</v>
      </c>
      <c r="C48" s="41">
        <v>44490</v>
      </c>
      <c r="D48" s="41">
        <v>44520</v>
      </c>
      <c r="E48" s="21">
        <v>44501</v>
      </c>
      <c r="F48" s="22" t="s">
        <v>34</v>
      </c>
      <c r="G48" s="18" t="s">
        <v>61</v>
      </c>
      <c r="H48" s="23" t="s">
        <v>65</v>
      </c>
      <c r="I48" s="23" t="s">
        <v>37</v>
      </c>
      <c r="J48" s="39">
        <v>25</v>
      </c>
      <c r="K48" s="25">
        <v>221</v>
      </c>
      <c r="L48" s="26">
        <v>-310</v>
      </c>
      <c r="M48" s="42">
        <v>0</v>
      </c>
      <c r="N48" s="28">
        <f t="shared" si="0"/>
        <v>5525</v>
      </c>
      <c r="O48" s="18">
        <v>16556</v>
      </c>
      <c r="P48" s="29">
        <v>74.914027149999995</v>
      </c>
      <c r="Q48" s="30"/>
      <c r="R48" s="31">
        <f t="shared" si="1"/>
        <v>0</v>
      </c>
      <c r="S48" s="28">
        <v>263</v>
      </c>
      <c r="T48" s="32">
        <f t="shared" si="2"/>
        <v>263</v>
      </c>
      <c r="U48" s="33">
        <v>1</v>
      </c>
      <c r="V48" s="34">
        <v>16.99367088607595</v>
      </c>
      <c r="W48" s="34">
        <v>19.301303538175045</v>
      </c>
      <c r="X48" s="30">
        <f t="shared" si="3"/>
        <v>0.2</v>
      </c>
      <c r="Y48" s="30">
        <f t="shared" si="4"/>
        <v>0</v>
      </c>
      <c r="Z48" s="35">
        <f t="shared" si="5"/>
        <v>210.4</v>
      </c>
      <c r="AA48" s="29">
        <f t="shared" si="6"/>
        <v>52.6</v>
      </c>
      <c r="AB48" s="36">
        <f t="shared" si="7"/>
        <v>0</v>
      </c>
      <c r="AC48" s="37" t="b">
        <v>1</v>
      </c>
      <c r="AD48" s="37" t="s">
        <v>50</v>
      </c>
      <c r="AE48" s="37"/>
      <c r="AF48" s="37" t="str">
        <f t="array" ref="AF48">INDEX('Deal Info'!D:D, MATCH(A48,'Deal Info'!A:A, 0))</f>
        <v>DoEV2017</v>
      </c>
      <c r="AG48" s="38" t="str">
        <f t="array" ref="AG48">INDEX('Deal Info'!G:G, MATCH(A48,'Deal Info'!A:A, 0))</f>
        <v>None</v>
      </c>
    </row>
    <row r="49" spans="1:33" ht="14.25" hidden="1" x14ac:dyDescent="0.2">
      <c r="A49" s="18" t="str">
        <f t="array" ref="A49">IF(G49='Room Info'!$B$1, INDEX('Room Info'!$A$2:$A2446, MATCH(B49,'Room Info'!$B$2:$B2446, 0)),IF(G49='Room Info'!$C$1, INDEX('Room Info'!$A$2:$A2446, MATCH(B49,'Room Info'!$C$2:$C2446, 0)),IF(G49='Room Info'!$D$1, INDEX('Room Info'!$A$2:$A2446, MATCH(B49,'Room Info'!$D$2:$D2446, 0)),IF(G49='Room Info'!$E$1, INDEX('Room Info'!$A$2:$A2446, MATCH(B49,'Room Info'!$E$2:$E2446, 0)),IF(G49='Room Info'!$F$1, INDEX('Room Info'!$A$2:$A2446, MATCH(B49,'Room Info'!$F$2:$F2446, 0)),IF(G49='Room Info'!$H$1, INDEX('Room Info'!$A$2:$A2446, MATCH(B49,'Room Info'!$H$2:$H2446, 0)),IF(G49='Room Info'!$G$1, INDEX('Room Info'!$A$2:$A2446, MATCH(B49,'Room Info'!$G$2:$G2446, 0)))))))))</f>
        <v>Abcdf</v>
      </c>
      <c r="B49" s="18" t="s">
        <v>60</v>
      </c>
      <c r="C49" s="41">
        <v>44521</v>
      </c>
      <c r="D49" s="41">
        <v>44550</v>
      </c>
      <c r="E49" s="21">
        <v>44531</v>
      </c>
      <c r="F49" s="22" t="s">
        <v>34</v>
      </c>
      <c r="G49" s="18" t="s">
        <v>61</v>
      </c>
      <c r="H49" s="23" t="s">
        <v>64</v>
      </c>
      <c r="I49" s="23" t="s">
        <v>37</v>
      </c>
      <c r="J49" s="39">
        <v>10</v>
      </c>
      <c r="K49" s="25">
        <v>127</v>
      </c>
      <c r="L49" s="26">
        <v>-90</v>
      </c>
      <c r="M49" s="42">
        <v>0</v>
      </c>
      <c r="N49" s="28">
        <f t="shared" si="0"/>
        <v>1270</v>
      </c>
      <c r="O49" s="18">
        <v>7588</v>
      </c>
      <c r="P49" s="29">
        <v>59.748031500000003</v>
      </c>
      <c r="Q49" s="30"/>
      <c r="R49" s="31">
        <f t="shared" si="1"/>
        <v>0</v>
      </c>
      <c r="S49" s="28">
        <v>39</v>
      </c>
      <c r="T49" s="32">
        <f t="shared" si="2"/>
        <v>39</v>
      </c>
      <c r="U49" s="33">
        <v>1</v>
      </c>
      <c r="V49" s="34">
        <v>13.09375</v>
      </c>
      <c r="W49" s="34">
        <v>3.5894988066825775</v>
      </c>
      <c r="X49" s="30">
        <f t="shared" si="3"/>
        <v>0.2</v>
      </c>
      <c r="Y49" s="30">
        <f t="shared" si="4"/>
        <v>0</v>
      </c>
      <c r="Z49" s="35">
        <f t="shared" si="5"/>
        <v>31.2</v>
      </c>
      <c r="AA49" s="29">
        <f t="shared" si="6"/>
        <v>7.8000000000000007</v>
      </c>
      <c r="AB49" s="36">
        <f t="shared" si="7"/>
        <v>0</v>
      </c>
      <c r="AC49" s="37" t="b">
        <v>1</v>
      </c>
      <c r="AD49" s="37" t="s">
        <v>50</v>
      </c>
      <c r="AE49" s="37"/>
      <c r="AF49" s="37" t="str">
        <f t="array" ref="AF49">INDEX('Deal Info'!D:D, MATCH(A49,'Deal Info'!A:A, 0))</f>
        <v>DoEV2017</v>
      </c>
      <c r="AG49" s="38" t="str">
        <f t="array" ref="AG49">INDEX('Deal Info'!G:G, MATCH(A49,'Deal Info'!A:A, 0))</f>
        <v>None</v>
      </c>
    </row>
    <row r="50" spans="1:33" ht="14.25" hidden="1" x14ac:dyDescent="0.2">
      <c r="A50" s="18" t="str">
        <f t="array" ref="A50">IF(G50='Room Info'!$B$1, INDEX('Room Info'!$A$2:$A2446, MATCH(B50,'Room Info'!$B$2:$B2446, 0)),IF(G50='Room Info'!$C$1, INDEX('Room Info'!$A$2:$A2446, MATCH(B50,'Room Info'!$C$2:$C2446, 0)),IF(G50='Room Info'!$D$1, INDEX('Room Info'!$A$2:$A2446, MATCH(B50,'Room Info'!$D$2:$D2446, 0)),IF(G50='Room Info'!$E$1, INDEX('Room Info'!$A$2:$A2446, MATCH(B50,'Room Info'!$E$2:$E2446, 0)),IF(G50='Room Info'!$F$1, INDEX('Room Info'!$A$2:$A2446, MATCH(B50,'Room Info'!$F$2:$F2446, 0)),IF(G50='Room Info'!$H$1, INDEX('Room Info'!$A$2:$A2446, MATCH(B50,'Room Info'!$H$2:$H2446, 0)),IF(G50='Room Info'!$G$1, INDEX('Room Info'!$A$2:$A2446, MATCH(B50,'Room Info'!$G$2:$G2446, 0)))))))))</f>
        <v>Abcdf</v>
      </c>
      <c r="B50" s="18" t="s">
        <v>60</v>
      </c>
      <c r="C50" s="41">
        <v>44521</v>
      </c>
      <c r="D50" s="41">
        <v>44550</v>
      </c>
      <c r="E50" s="21">
        <v>44531</v>
      </c>
      <c r="F50" s="22" t="s">
        <v>34</v>
      </c>
      <c r="G50" s="18" t="s">
        <v>61</v>
      </c>
      <c r="H50" s="23" t="s">
        <v>65</v>
      </c>
      <c r="I50" s="23" t="s">
        <v>37</v>
      </c>
      <c r="J50" s="39">
        <v>25</v>
      </c>
      <c r="K50" s="25">
        <v>33</v>
      </c>
      <c r="L50" s="26">
        <v>-310</v>
      </c>
      <c r="M50" s="42">
        <v>0</v>
      </c>
      <c r="N50" s="28">
        <f t="shared" si="0"/>
        <v>825</v>
      </c>
      <c r="O50" s="18">
        <v>1810</v>
      </c>
      <c r="P50" s="29">
        <v>54.848484849999998</v>
      </c>
      <c r="Q50" s="30"/>
      <c r="R50" s="31">
        <f t="shared" si="1"/>
        <v>0</v>
      </c>
      <c r="S50" s="28">
        <v>8</v>
      </c>
      <c r="T50" s="32">
        <f t="shared" si="2"/>
        <v>8</v>
      </c>
      <c r="U50" s="33">
        <v>1</v>
      </c>
      <c r="V50" s="34">
        <v>13.09375</v>
      </c>
      <c r="W50" s="34">
        <v>3.5894988066825775</v>
      </c>
      <c r="X50" s="30">
        <f t="shared" si="3"/>
        <v>0.2</v>
      </c>
      <c r="Y50" s="30">
        <f t="shared" si="4"/>
        <v>0</v>
      </c>
      <c r="Z50" s="35">
        <f t="shared" si="5"/>
        <v>6.4</v>
      </c>
      <c r="AA50" s="29">
        <f t="shared" si="6"/>
        <v>1.6</v>
      </c>
      <c r="AB50" s="36">
        <f t="shared" si="7"/>
        <v>0</v>
      </c>
      <c r="AC50" s="37" t="b">
        <v>1</v>
      </c>
      <c r="AD50" s="37" t="s">
        <v>50</v>
      </c>
      <c r="AE50" s="37"/>
      <c r="AF50" s="37" t="str">
        <f t="array" ref="AF50">INDEX('Deal Info'!D:D, MATCH(A50,'Deal Info'!A:A, 0))</f>
        <v>DoEV2017</v>
      </c>
      <c r="AG50" s="38" t="str">
        <f t="array" ref="AG50">INDEX('Deal Info'!G:G, MATCH(A50,'Deal Info'!A:A, 0))</f>
        <v>None</v>
      </c>
    </row>
    <row r="51" spans="1:33" ht="14.25" x14ac:dyDescent="0.2">
      <c r="A51" s="18" t="str">
        <f t="array" ref="A51">IF(G51='Room Info'!$B$1, INDEX('Room Info'!$A$2:$A2446, MATCH(B51,'Room Info'!$B$2:$B2446, 0)),IF(G51='Room Info'!$C$1, INDEX('Room Info'!$A$2:$A2446, MATCH(B51,'Room Info'!$C$2:$C2446, 0)),IF(G51='Room Info'!$D$1, INDEX('Room Info'!$A$2:$A2446, MATCH(B51,'Room Info'!$D$2:$D2446, 0)),IF(G51='Room Info'!$E$1, INDEX('Room Info'!$A$2:$A2446, MATCH(B51,'Room Info'!$E$2:$E2446, 0)),IF(G51='Room Info'!$F$1, INDEX('Room Info'!$A$2:$A2446, MATCH(B51,'Room Info'!$F$2:$F2446, 0)),IF(G51='Room Info'!$H$1, INDEX('Room Info'!$A$2:$A2446, MATCH(B51,'Room Info'!$H$2:$H2446, 0)),IF(G51='Room Info'!$G$1, INDEX('Room Info'!$A$2:$A2446, MATCH(B51,'Room Info'!$G$2:$G2446, 0)))))))))</f>
        <v>Freedoom</v>
      </c>
      <c r="B51" s="45" t="s">
        <v>110</v>
      </c>
      <c r="C51" s="46">
        <v>44551</v>
      </c>
      <c r="D51" s="46">
        <v>44592</v>
      </c>
      <c r="E51" s="47">
        <v>44562</v>
      </c>
      <c r="F51" s="48" t="s">
        <v>41</v>
      </c>
      <c r="G51" s="65" t="s">
        <v>61</v>
      </c>
      <c r="H51" s="49" t="s">
        <v>111</v>
      </c>
      <c r="I51" s="49" t="s">
        <v>37</v>
      </c>
      <c r="J51" s="50">
        <v>50</v>
      </c>
      <c r="K51" s="51">
        <v>1</v>
      </c>
      <c r="L51" s="52">
        <v>50</v>
      </c>
      <c r="M51" s="53">
        <v>0</v>
      </c>
      <c r="N51" s="28">
        <f>K51*J51</f>
        <v>50</v>
      </c>
      <c r="O51" s="54">
        <v>-335</v>
      </c>
      <c r="P51" s="29">
        <v>-335</v>
      </c>
      <c r="Q51" s="55"/>
      <c r="R51" s="31">
        <f>M51+Q51</f>
        <v>0</v>
      </c>
      <c r="S51" s="56">
        <v>-35</v>
      </c>
      <c r="T51" s="32">
        <f>R51+S51+IF(F51="Without EV deal",L51,0)</f>
        <v>15</v>
      </c>
      <c r="U51" s="57">
        <v>1</v>
      </c>
      <c r="V51" s="58"/>
      <c r="W51" s="58"/>
      <c r="X51" s="30">
        <f>IF(AF51="DoEV",IF(AND(V51&lt;20,W51&lt;55),0.3,0)+IF(AND(V51&lt;20,W51&gt;=55,W51&lt;105),0.23,0)+IF(AND(V51&lt;20,W51&gt;=105),0.17,0)+IF(AND(V51&gt;=20,V51&lt;40,W51&lt;45),0.3,0)+IF(AND(V51&gt;=20,V51&lt;40,W51&gt;=45,W51&lt;95),0.23,0)+IF(AND(V51&gt;=20,V51&lt;40,W51&gt;=95),0.17,0)+IF(AND(V51&gt;=40,V51&lt;75,W51&lt;35),0.3,0)+IF(AND(V51&gt;=40,V51&lt;75,W51&gt;=35,W51&lt;75),0.23,0)+IF(AND(V51&gt;=40,V51&lt;75,W51&gt;=75,W51&lt;120),0.17,0)+IF(AND(V51&gt;=40,V51&lt;75,W51&gt;=120),0.12,0)+IF(AND(V51&gt;=75,V51&lt;175,W51&lt;35),0.3,0)+IF(AND(V51&gt;=75,V51&lt;=175,W51&gt;=35,W51&lt;65),0.23,0)+IF(AND(V51&gt;=75,V51&lt;=175,W51&gt;=65,W51&lt;110),0.17,0)+IF(AND(V51&gt;=75,V51&lt;=175,W51&gt;=110),0.12,0)+IF(AND(V51&gt;175,W51&lt;25),0.3,0)+IF(AND(V51&gt;175,W51&gt;=25,W51&lt;55),0.23,0)+IF(AND(V51&gt;175,W51&gt;=55,W51&lt;95),0.17,0)+IF(AND(V51&gt;175,W51&gt;=95),0.12,0),
IF(AF51="Fix15",0.15,
IF(AF51="Fix11.25",0.1125,
IF(AF51="Fix10",0.1,
IF(AF51="Fix9",0.09,
IF(AF51="DoEV2017",IF(AND(W51&lt;74),0.2,0)+IF(AND(W51&gt;=74),0.17,0),
IF(AF51="SF",IF(AND(V51&lt;20,W51&lt;89),0.3,0)+IF(AND(V51&lt;20,W51&gt;=89),0.25,0)+IF(AND(V51&gt;=20,V51&lt;40,W51&lt;74),0.3,0)+IF(AND(V51&gt;=20,V51&lt;40,W51&gt;=75),0.22,0)+IF(AND(V51&gt;=40,V51&lt;75,W51&lt;75),0.26,0)+IF(AND(V51&gt;=40,V51&lt;75,W51&gt;=75),0.22,0)+IF(V51&gt;=75,0.22,0),
IF(AF51="DoEVold",IF(AND(V51&lt;40,W51&lt;35),0.35,0)+IF(AND(V51&lt;40,W51&gt;=35,W51&lt;75),0.25,0)+IF(AND(V51&lt;40,W51&gt;=75),0.17,0)+IF(AND(V51&gt;=40,V51&lt;75,W51&lt;25),0.35,0)+IF(AND(V51&gt;=40,V51&lt;75,W51&gt;=25,W51&lt;65),0.25,0)+IF(AND(V51&gt;=40,V51&lt;75,W51&gt;=65,W51&lt;100),0.17,0)+IF(AND(V51&gt;=40,V51&lt;75,W51&gt;=100),0.1,0)+IF(AND(V51&gt;=75,W51&lt;25),0.35,0)+IF(AND(V51&gt;=75,W51&gt;=25,W51&lt;60),0.25,0)+IF(AND(V51&gt;=75,W51&gt;=60,W51&lt;95),0.17,0)+IF(AND(V51&gt;=75,W51&gt;=95),0.1,0),
IF(AF51="DoEVold15",IF(AND(V51&lt;=40,W51&lt;35),0.35,0)+IF(AND(V51&lt;=40,W51&gt;=35,W51&lt;75),0.25,0)+IF(AND(V51&lt;=40,W51&gt;=75,W51&lt;120),0.17,0)+IF(AND(V51&lt;=40,W51&gt;=120),0.15,0)+IF(AND(V51&gt;40,V51&lt;75,W51&lt;25),0.35,0)+IF(AND(V51&gt;=40,V51&lt;75,W51&gt;=25,W51&lt;65),0.25,0)+IF(AND(V51&gt;=40,V51&lt;75,W51&gt;=65,W51&lt;100),0.17,0)+IF(AND(V51&gt;=40,V51&lt;75,W51&gt;=100),0.1,0)+IF(AND(V51&gt;=75,W51&lt;25),0.35,0)+IF(AND(V51&gt;=75,W51&gt;=25,W51&lt;60),0.25,0)+IF(AND(V51&gt;=75,W51&gt;=60,W51&lt;95),0.17,0)+IF(AND(V51&gt;=75,W51&gt;=95),0.1,0),
IF(AF51="DoEVba",IF(AND(V51&lt;20,W51&lt;105),0.2,0)+IF(AND(V51&lt;20,W51&gt;=105),0.15,0)+IF(AND(V51&gt;=20,V51&lt;40,W51&lt;95),0.2,0)+IF(AND(V51&gt;=20,V51&lt;40,W51&gt;=95,W51&lt;150),0.15,0)+IF(AND(V51&gt;=20,V51&lt;40,W51&gt;=150),0.12,0)+IF(AND(V51&gt;=40,V51&lt;75,W51&lt;75),0.2,0)+IF(AND(V51&gt;=40,V51&lt;75,W51&gt;=75,W51&lt;120),0.15,0)+IF(AND(V51&gt;=40,V51&lt;75,W51&gt;=120),0.12,0)+IF(AND(V51&gt;=75,V51&lt;175,W51&lt;65),0.2,0)+IF(AND(V51&gt;=75,V51&lt;175,W51&gt;=65,W51&lt;110),0.15,0)+IF(AND(V51&gt;=75,V51&lt;175,W51&gt;=110),0.12,0)+IF(AND(V51&gt;=175,W51&lt;55),0.2,0)+IF(AND(V51&gt;=175,W51&gt;=55,W51&lt;95),0.15,0)+IF(AND(V51&gt;=175,W51&gt;=95),0.12,0),
IF(AF51="DoEVku",IF(AND(V51&lt;20,W51&lt;55),0.23,0)+IF(AND(V51&lt;20,W51&gt;=55,W51&lt;105),0.2,0)+IF(AND(V51&lt;20,W51&gt;=105),0.17,0)+IF(AND(V51&gt;=20,V51&lt;40,W51&lt;45),0.23,0)+IF(AND(V51&gt;=20,V51&lt;40,W51&gt;=45,W51&lt;95),0.2,0)+IF(AND(V51&gt;=20,V51&lt;40,W51&gt;=95,W51&lt;=150),0.17,0)+IF(AND(V51&gt;=20,V51&lt;40,W51&gt;=150),0.12,0)+IF(AND(V51&gt;=40,V51&lt;75,W51&lt;35),0.23,0)+IF(AND(V51&gt;=40,V51&lt;75,W51&gt;=35,W51&lt;75),0.2,0)+IF(AND(V51&gt;=40,V51&lt;75,W51&gt;=75,W51&lt;120),0.17,0)+IF(AND(V51&gt;=40,V51&lt;75,W51&gt;=120),0.12,0)+IF(AND(V51&gt;=75,V51&lt;175,W51&lt;35),0.23,0)+IF(AND(V51&gt;=75,V51&lt;=175,W51&gt;=35,W51&lt;65),0.2,0)+IF(AND(V51&gt;=75,V51&lt;=175,W51&gt;=65,W51&lt;110),0.17,0)+IF(AND(V51&gt;=75,V51&lt;=175,W51&gt;=110),0.12,0)+IF(AND(V51&gt;175,W51&lt;25),0.23,0)+IF(AND(V51&gt;175,W51&gt;=25,W51&lt;55),0.2,0)+IF(AND(V51&gt;175,W51&gt;=55,W51&lt;95),0.17,0)+IF(AND(V51&gt;175,W51&gt;=95),0.12,0),
IF(AF51="DoEVs1",IF(AND(V51&lt;20,W51&lt;55),0.3,0)+IF(AND(V51&lt;20,W51&gt;=55,W51&lt;105),0.23,0)+IF(AND(V51&lt;20,W51&gt;=105),0.17,0)+IF(AND(V51&gt;=20,V51&lt;40,W51&lt;45),0.3,0)+IF(AND(V51&gt;=20,V51&lt;40,W51&gt;=45,W51&lt;95),0.23,0)+IF(AND(V51&gt;=20,V51&lt;40,W51&gt;=95,W51&lt;=150),0.17,0)+IF(AND(V51&gt;=20,V51&lt;40,W51&gt;=150),0.12,0)+IF(AND(V51&gt;=40,V51&lt;75,W51&lt;35),0.3,0)+IF(AND(V51&gt;=40,V51&lt;75,W51&gt;=35,W51&lt;75),0.23,0)+IF(AND(V51&gt;=40,V51&lt;75,W51&gt;=75,W51&lt;120),0.17,0)+IF(AND(V51&gt;=40,V51&lt;75,W51&gt;=120),0.12,0)+IF(AND(V51&gt;=75,V51&lt;175,W51&lt;35),0.3,0)+IF(AND(V51&gt;=75,V51&lt;=175,W51&gt;=35,W51&lt;65),0.23,0)+IF(AND(V51&gt;=75,V51&lt;=175,W51&gt;=65,W51&lt;110),0.17,0)+IF(AND(V51&gt;=75,V51&lt;=175,W51&gt;=110),0.12,0)+IF(AND(V51&gt;175,W51&lt;25),0.3,0)+IF(AND(V51&gt;175,W51&gt;=25,W51&lt;55),0.23,0)+IF(AND(V51&gt;175,W51&gt;=55,W51&lt;95),0.17,0)+IF(AND(V51&gt;175,W51&gt;=95),0.12,0),
IF(AF51="DoEVsu",IF(AND(V51&lt;20,W51&lt;55),0.3,0)+IF(AND(V51&lt;20,W51&gt;=55,W51&lt;105),0.23,0)+IF(AND(V51&lt;20,W51&gt;=105),0.17,0)+IF(AND(V51&gt;=20,V51&lt;40,W51&lt;45),0.3,0)+IF(AND(V51&gt;=20,V51&lt;40,W51&gt;=45,W51&lt;95),0.23,0)+IF(AND(V51&gt;=20,V51&lt;40,W51&gt;=95,W51&lt;=250),0.17,0)+IF(AND(V51&gt;=20,V51&lt;40,W51&gt;=250),0.12,0)+IF(AND(V51&gt;=40,V51&lt;75,W51&lt;35),0.3,0)+IF(AND(V51&gt;=40,V51&lt;75,W51&gt;=35,W51&lt;75),0.23,0)+IF(AND(V51&gt;=40,V51&lt;75,W51&gt;=75,W51&lt;120),0.17,0)+IF(AND(V51&gt;=40,V51&lt;75,W51&gt;=120),0.12,0)+IF(AND(V51&gt;=75,V51&lt;175,W51&lt;35),0.3,0)+IF(AND(V51&gt;=75,V51&lt;=175,W51&gt;=35,W51&lt;65),0.23,0)+IF(AND(V51&gt;=75,V51&lt;=175,W51&gt;=65,W51&lt;110),0.17,0)+IF(AND(V51&gt;=75,V51&lt;=175,W51&gt;=110),0.12,0)+IF(AND(V51&gt;175,W51&lt;25),0.3,0)+IF(AND(V51&gt;175,W51&gt;=25,W51&lt;55),0.23,0)+IF(AND(V51&gt;175,W51&gt;=55,W51&lt;95),0.17,0)+IF(AND(V51&gt;175,W51&gt;=95),0.12,0),
IF(AF51="DoEVni",IF(AND(V51&lt;20,W51&lt;55),0.3,0)+IF(AND(V51&lt;20,W51&gt;=55,W51&lt;105),0.23,0)+IF(AND(V51&lt;20,W51&gt;=105),0.17,0)+IF(AND(V51&gt;=20,V51&lt;40,W51&lt;45),0.3,0)+IF(AND(V51&gt;=20,V51&lt;40,W51&gt;=45,W51&lt;95),0.23,0)+IF(AND(V51&gt;=20,V51&lt;40,W51&gt;=95,W51&lt;=200),0.17,0)+IF(AND(V51&gt;=20,V51&lt;40,W51&gt;=200),0.12,0)+IF(AND(V51&gt;=40,V51&lt;75,W51&lt;35),0.3,0)+IF(AND(V51&gt;=40,V51&lt;75,W51&gt;=35,W51&lt;75),0.23,0)+IF(AND(V51&gt;=40,V51&lt;75,W51&gt;=75,W51&lt;120),0.17,0)+IF(AND(V51&gt;=40,V51&lt;75,W51&gt;=120),0.12,0)+IF(AND(V51&gt;=75,V51&lt;175,W51&lt;35),0.3,0)+IF(AND(V51&gt;=75,V51&lt;=175,W51&gt;=35,W51&lt;65),0.23,0)+IF(AND(V51&gt;=75,V51&lt;=175,W51&gt;=65,W51&lt;110),0.17,0)+IF(AND(V51&gt;=75,V51&lt;=175,W51&gt;=110),0.12,0)+IF(AND(V51&gt;175,W51&lt;25),0.3,0)+IF(AND(V51&gt;175,W51&gt;=25,W51&lt;55),0.23,0)+IF(AND(V51&gt;175,W51&gt;=55,W51&lt;95),0.17,0)+IF(AND(V51&gt;175,W51&gt;=95),0.12,0),
IF(AF51="DoEVLo",IF(AND(V51&lt;20,W51&lt;55),0.25,0)+IF(AND(V51&lt;20,W51&gt;=55,W51&lt;105),0.2,0)+IF(AND(V51&lt;20,W51&gt;=105),0.15,0)+IF(AND(V51&gt;=20,V51&lt;40,W51&lt;45),0.25,0)+IF(AND(V51&gt;=20,V51&lt;40,W51&gt;=45,W51&lt;95),0.2,0)+IF(AND(V51&gt;=20,V51&lt;40,W51&gt;=95),0.15,0)+IF(AND(V51&gt;=40,V51&lt;75,W51&lt;35),0.25,0)+IF(AND(V51&gt;=40,V51&lt;75,W51&gt;=35,W51&lt;75),0.2,0)+IF(AND(V51&gt;=40,V51&lt;75,W51&gt;=75,W51&lt;120),0.15,0)+IF(AND(V51&gt;=40,V51&lt;75,W51&gt;=120),0.1,0)+IF(AND(V51&gt;=75,V51&lt;175,W51&lt;35),0.25,0)+IF(AND(V51&gt;=75,V51&lt;=175,W51&gt;=35,W51&lt;65),0.2,0)+IF(AND(V51&gt;=75,V51&lt;=175,W51&gt;=65,W51&lt;110),0.15,0)+IF(AND(V51&gt;=75,V51&lt;=175,W51&gt;=110),0.1,0)+IF(AND(V51&gt;175,W51&lt;25),0.25,0)+IF(AND(V51&gt;175,W51&gt;=25,W51&lt;55),0.2,0)+IF(AND(V51&gt;175,W51&gt;=55,W51&lt;95),0.15,0)+IF(AND(V51&gt;175,W51&gt;=95),0.1,0))))))))))))))))</f>
        <v>0.35</v>
      </c>
      <c r="Y51" s="30">
        <f>IF(AG51="None",0,IF(AG51="Fix5",0.05,IF(AG51="Fix3.75",0.0375,IF(AG51="Fix10",0.1,IF(AG51="Fix3",0.03,0)))))</f>
        <v>0</v>
      </c>
      <c r="Z51" s="59">
        <v>42</v>
      </c>
      <c r="AA51" s="60">
        <v>9</v>
      </c>
      <c r="AB51" s="36">
        <f>IF(AD51="EUR",((T51-R51)*Y51)*U51+(R51*Y51),(T51*Y51))</f>
        <v>0</v>
      </c>
      <c r="AC51" s="37" t="b">
        <v>1</v>
      </c>
      <c r="AD51" s="61" t="s">
        <v>38</v>
      </c>
      <c r="AE51" s="61" t="s">
        <v>38</v>
      </c>
      <c r="AF51" s="37" t="str">
        <f t="array" ref="AF51">INDEX('Deal Info'!D:D, MATCH(A51,'Deal Info'!A:A, 0))</f>
        <v>DoEVold</v>
      </c>
      <c r="AG51" s="38" t="str">
        <f t="array" ref="AG51">INDEX('Deal Info'!G:G, MATCH(A51,'Deal Info'!A:A, 0))</f>
        <v>None</v>
      </c>
    </row>
    <row r="52" spans="1:33" ht="14.25" x14ac:dyDescent="0.2">
      <c r="A52" s="18" t="str">
        <f t="array" ref="A52">IF(G52='Room Info'!$B$1, INDEX('Room Info'!$A$2:$A2446, MATCH(B52,'Room Info'!$B$2:$B2446, 0)),IF(G52='Room Info'!$C$1, INDEX('Room Info'!$A$2:$A2446, MATCH(B52,'Room Info'!$C$2:$C2446, 0)),IF(G52='Room Info'!$D$1, INDEX('Room Info'!$A$2:$A2446, MATCH(B52,'Room Info'!$D$2:$D2446, 0)),IF(G52='Room Info'!$E$1, INDEX('Room Info'!$A$2:$A2446, MATCH(B52,'Room Info'!$E$2:$E2446, 0)),IF(G52='Room Info'!$F$1, INDEX('Room Info'!$A$2:$A2446, MATCH(B52,'Room Info'!$F$2:$F2446, 0)),IF(G52='Room Info'!$H$1, INDEX('Room Info'!$A$2:$A2446, MATCH(B52,'Room Info'!$H$2:$H2446, 0)),IF(G52='Room Info'!$G$1, INDEX('Room Info'!$A$2:$A2446, MATCH(B52,'Room Info'!$G$2:$G2446, 0)))))))))</f>
        <v>Fedorovi4</v>
      </c>
      <c r="B52" s="65" t="s">
        <v>91</v>
      </c>
      <c r="C52" s="46">
        <v>44551</v>
      </c>
      <c r="D52" s="46">
        <v>44581</v>
      </c>
      <c r="E52" s="47">
        <v>44562</v>
      </c>
      <c r="F52" s="129" t="s">
        <v>34</v>
      </c>
      <c r="G52" s="54" t="s">
        <v>61</v>
      </c>
      <c r="H52" s="49" t="s">
        <v>65</v>
      </c>
      <c r="I52" s="49" t="s">
        <v>37</v>
      </c>
      <c r="J52" s="50">
        <v>25</v>
      </c>
      <c r="K52" s="51">
        <v>506</v>
      </c>
      <c r="L52" s="52">
        <v>-368</v>
      </c>
      <c r="M52" s="62">
        <v>240</v>
      </c>
      <c r="N52" s="28">
        <f>K52*J52</f>
        <v>12650</v>
      </c>
      <c r="O52" s="54">
        <v>22513</v>
      </c>
      <c r="P52" s="29">
        <v>44.492094860000002</v>
      </c>
      <c r="Q52" s="55"/>
      <c r="R52" s="31">
        <f>M52+Q52</f>
        <v>240</v>
      </c>
      <c r="S52" s="56">
        <v>-108</v>
      </c>
      <c r="T52" s="32">
        <f>R52+S52+IF(F52="Without EV deal",L52,0)</f>
        <v>132</v>
      </c>
      <c r="U52" s="33">
        <v>1</v>
      </c>
      <c r="V52" s="58">
        <v>25</v>
      </c>
      <c r="W52" s="58">
        <v>5.28</v>
      </c>
      <c r="X52" s="30">
        <f>IF(AF52="DoEV",IF(AND(V52&lt;20,W52&lt;55),0.3,0)+IF(AND(V52&lt;20,W52&gt;=55,W52&lt;105),0.23,0)+IF(AND(V52&lt;20,W52&gt;=105),0.17,0)+IF(AND(V52&gt;=20,V52&lt;40,W52&lt;45),0.3,0)+IF(AND(V52&gt;=20,V52&lt;40,W52&gt;=45,W52&lt;95),0.23,0)+IF(AND(V52&gt;=20,V52&lt;40,W52&gt;=95),0.17,0)+IF(AND(V52&gt;=40,V52&lt;75,W52&lt;35),0.3,0)+IF(AND(V52&gt;=40,V52&lt;75,W52&gt;=35,W52&lt;75),0.23,0)+IF(AND(V52&gt;=40,V52&lt;75,W52&gt;=75,W52&lt;120),0.17,0)+IF(AND(V52&gt;=40,V52&lt;75,W52&gt;=120),0.12,0)+IF(AND(V52&gt;=75,V52&lt;175,W52&lt;35),0.3,0)+IF(AND(V52&gt;=75,V52&lt;=175,W52&gt;=35,W52&lt;65),0.23,0)+IF(AND(V52&gt;=75,V52&lt;=175,W52&gt;=65,W52&lt;110),0.17,0)+IF(AND(V52&gt;=75,V52&lt;=175,W52&gt;=110),0.12,0)+IF(AND(V52&gt;175,W52&lt;25),0.3,0)+IF(AND(V52&gt;175,W52&gt;=25,W52&lt;55),0.23,0)+IF(AND(V52&gt;175,W52&gt;=55,W52&lt;95),0.17,0)+IF(AND(V52&gt;175,W52&gt;=95),0.12,0),
IF(AF52="Fix15",0.15,
IF(AF52="Fix11.25",0.1125,
IF(AF52="Fix10",0.1,
IF(AF52="Fix9",0.09,
IF(AF52="DoEV2017",IF(AND(W52&lt;74),0.2,0)+IF(AND(W52&gt;=74),0.17,0),
IF(AF52="SF",IF(AND(V52&lt;20,W52&lt;89),0.3,0)+IF(AND(V52&lt;20,W52&gt;=89),0.25,0)+IF(AND(V52&gt;=20,V52&lt;40,W52&lt;74),0.3,0)+IF(AND(V52&gt;=20,V52&lt;40,W52&gt;=75),0.22,0)+IF(AND(V52&gt;=40,V52&lt;75,W52&lt;75),0.26,0)+IF(AND(V52&gt;=40,V52&lt;75,W52&gt;=75),0.22,0)+IF(V52&gt;=75,0.22,0),
IF(AF52="DoEVold",IF(AND(V52&lt;40,W52&lt;35),0.35,0)+IF(AND(V52&lt;40,W52&gt;=35,W52&lt;75),0.25,0)+IF(AND(V52&lt;40,W52&gt;=75),0.17,0)+IF(AND(V52&gt;=40,V52&lt;75,W52&lt;25),0.35,0)+IF(AND(V52&gt;=40,V52&lt;75,W52&gt;=25,W52&lt;65),0.25,0)+IF(AND(V52&gt;=40,V52&lt;75,W52&gt;=65,W52&lt;100),0.17,0)+IF(AND(V52&gt;=40,V52&lt;75,W52&gt;=100),0.1,0)+IF(AND(V52&gt;=75,W52&lt;25),0.35,0)+IF(AND(V52&gt;=75,W52&gt;=25,W52&lt;60),0.25,0)+IF(AND(V52&gt;=75,W52&gt;=60,W52&lt;95),0.17,0)+IF(AND(V52&gt;=75,W52&gt;=95),0.1,0),
IF(AF52="DoEVold15",IF(AND(V52&lt;=40,W52&lt;35),0.35,0)+IF(AND(V52&lt;=40,W52&gt;=35,W52&lt;75),0.25,0)+IF(AND(V52&lt;=40,W52&gt;=75,W52&lt;120),0.17,0)+IF(AND(V52&lt;=40,W52&gt;=120),0.15,0)+IF(AND(V52&gt;40,V52&lt;75,W52&lt;25),0.35,0)+IF(AND(V52&gt;=40,V52&lt;75,W52&gt;=25,W52&lt;65),0.25,0)+IF(AND(V52&gt;=40,V52&lt;75,W52&gt;=65,W52&lt;100),0.17,0)+IF(AND(V52&gt;=40,V52&lt;75,W52&gt;=100),0.1,0)+IF(AND(V52&gt;=75,W52&lt;25),0.35,0)+IF(AND(V52&gt;=75,W52&gt;=25,W52&lt;60),0.25,0)+IF(AND(V52&gt;=75,W52&gt;=60,W52&lt;95),0.17,0)+IF(AND(V52&gt;=75,W52&gt;=95),0.1,0),
IF(AF52="DoEVba",IF(AND(V52&lt;20,W52&lt;105),0.2,0)+IF(AND(V52&lt;20,W52&gt;=105),0.15,0)+IF(AND(V52&gt;=20,V52&lt;40,W52&lt;95),0.2,0)+IF(AND(V52&gt;=20,V52&lt;40,W52&gt;=95,W52&lt;150),0.15,0)+IF(AND(V52&gt;=20,V52&lt;40,W52&gt;=150),0.12,0)+IF(AND(V52&gt;=40,V52&lt;75,W52&lt;75),0.2,0)+IF(AND(V52&gt;=40,V52&lt;75,W52&gt;=75,W52&lt;120),0.15,0)+IF(AND(V52&gt;=40,V52&lt;75,W52&gt;=120),0.12,0)+IF(AND(V52&gt;=75,V52&lt;175,W52&lt;65),0.2,0)+IF(AND(V52&gt;=75,V52&lt;175,W52&gt;=65,W52&lt;110),0.15,0)+IF(AND(V52&gt;=75,V52&lt;175,W52&gt;=110),0.12,0)+IF(AND(V52&gt;=175,W52&lt;55),0.2,0)+IF(AND(V52&gt;=175,W52&gt;=55,W52&lt;95),0.15,0)+IF(AND(V52&gt;=175,W52&gt;=95),0.12,0),
IF(AF52="DoEVku",IF(AND(V52&lt;20,W52&lt;55),0.23,0)+IF(AND(V52&lt;20,W52&gt;=55,W52&lt;105),0.2,0)+IF(AND(V52&lt;20,W52&gt;=105),0.17,0)+IF(AND(V52&gt;=20,V52&lt;40,W52&lt;45),0.23,0)+IF(AND(V52&gt;=20,V52&lt;40,W52&gt;=45,W52&lt;95),0.2,0)+IF(AND(V52&gt;=20,V52&lt;40,W52&gt;=95,W52&lt;=150),0.17,0)+IF(AND(V52&gt;=20,V52&lt;40,W52&gt;=150),0.12,0)+IF(AND(V52&gt;=40,V52&lt;75,W52&lt;35),0.23,0)+IF(AND(V52&gt;=40,V52&lt;75,W52&gt;=35,W52&lt;75),0.2,0)+IF(AND(V52&gt;=40,V52&lt;75,W52&gt;=75,W52&lt;120),0.17,0)+IF(AND(V52&gt;=40,V52&lt;75,W52&gt;=120),0.12,0)+IF(AND(V52&gt;=75,V52&lt;175,W52&lt;35),0.23,0)+IF(AND(V52&gt;=75,V52&lt;=175,W52&gt;=35,W52&lt;65),0.2,0)+IF(AND(V52&gt;=75,V52&lt;=175,W52&gt;=65,W52&lt;110),0.17,0)+IF(AND(V52&gt;=75,V52&lt;=175,W52&gt;=110),0.12,0)+IF(AND(V52&gt;175,W52&lt;25),0.23,0)+IF(AND(V52&gt;175,W52&gt;=25,W52&lt;55),0.2,0)+IF(AND(V52&gt;175,W52&gt;=55,W52&lt;95),0.17,0)+IF(AND(V52&gt;175,W52&gt;=95),0.12,0),
IF(AF52="DoEVs1",IF(AND(V52&lt;20,W52&lt;55),0.3,0)+IF(AND(V52&lt;20,W52&gt;=55,W52&lt;105),0.23,0)+IF(AND(V52&lt;20,W52&gt;=105),0.17,0)+IF(AND(V52&gt;=20,V52&lt;40,W52&lt;45),0.3,0)+IF(AND(V52&gt;=20,V52&lt;40,W52&gt;=45,W52&lt;95),0.23,0)+IF(AND(V52&gt;=20,V52&lt;40,W52&gt;=95,W52&lt;=150),0.17,0)+IF(AND(V52&gt;=20,V52&lt;40,W52&gt;=150),0.12,0)+IF(AND(V52&gt;=40,V52&lt;75,W52&lt;35),0.3,0)+IF(AND(V52&gt;=40,V52&lt;75,W52&gt;=35,W52&lt;75),0.23,0)+IF(AND(V52&gt;=40,V52&lt;75,W52&gt;=75,W52&lt;120),0.17,0)+IF(AND(V52&gt;=40,V52&lt;75,W52&gt;=120),0.12,0)+IF(AND(V52&gt;=75,V52&lt;175,W52&lt;35),0.3,0)+IF(AND(V52&gt;=75,V52&lt;=175,W52&gt;=35,W52&lt;65),0.23,0)+IF(AND(V52&gt;=75,V52&lt;=175,W52&gt;=65,W52&lt;110),0.17,0)+IF(AND(V52&gt;=75,V52&lt;=175,W52&gt;=110),0.12,0)+IF(AND(V52&gt;175,W52&lt;25),0.3,0)+IF(AND(V52&gt;175,W52&gt;=25,W52&lt;55),0.23,0)+IF(AND(V52&gt;175,W52&gt;=55,W52&lt;95),0.17,0)+IF(AND(V52&gt;175,W52&gt;=95),0.12,0),
IF(AF52="DoEVsu",IF(AND(V52&lt;20,W52&lt;55),0.3,0)+IF(AND(V52&lt;20,W52&gt;=55,W52&lt;105),0.23,0)+IF(AND(V52&lt;20,W52&gt;=105),0.17,0)+IF(AND(V52&gt;=20,V52&lt;40,W52&lt;45),0.3,0)+IF(AND(V52&gt;=20,V52&lt;40,W52&gt;=45,W52&lt;95),0.23,0)+IF(AND(V52&gt;=20,V52&lt;40,W52&gt;=95,W52&lt;=250),0.17,0)+IF(AND(V52&gt;=20,V52&lt;40,W52&gt;=250),0.12,0)+IF(AND(V52&gt;=40,V52&lt;75,W52&lt;35),0.3,0)+IF(AND(V52&gt;=40,V52&lt;75,W52&gt;=35,W52&lt;75),0.23,0)+IF(AND(V52&gt;=40,V52&lt;75,W52&gt;=75,W52&lt;120),0.17,0)+IF(AND(V52&gt;=40,V52&lt;75,W52&gt;=120),0.12,0)+IF(AND(V52&gt;=75,V52&lt;175,W52&lt;35),0.3,0)+IF(AND(V52&gt;=75,V52&lt;=175,W52&gt;=35,W52&lt;65),0.23,0)+IF(AND(V52&gt;=75,V52&lt;=175,W52&gt;=65,W52&lt;110),0.17,0)+IF(AND(V52&gt;=75,V52&lt;=175,W52&gt;=110),0.12,0)+IF(AND(V52&gt;175,W52&lt;25),0.3,0)+IF(AND(V52&gt;175,W52&gt;=25,W52&lt;55),0.23,0)+IF(AND(V52&gt;175,W52&gt;=55,W52&lt;95),0.17,0)+IF(AND(V52&gt;175,W52&gt;=95),0.12,0),
IF(AF52="DoEVni",IF(AND(V52&lt;20,W52&lt;55),0.3,0)+IF(AND(V52&lt;20,W52&gt;=55,W52&lt;105),0.23,0)+IF(AND(V52&lt;20,W52&gt;=105),0.17,0)+IF(AND(V52&gt;=20,V52&lt;40,W52&lt;45),0.3,0)+IF(AND(V52&gt;=20,V52&lt;40,W52&gt;=45,W52&lt;95),0.23,0)+IF(AND(V52&gt;=20,V52&lt;40,W52&gt;=95,W52&lt;=200),0.17,0)+IF(AND(V52&gt;=20,V52&lt;40,W52&gt;=200),0.12,0)+IF(AND(V52&gt;=40,V52&lt;75,W52&lt;35),0.3,0)+IF(AND(V52&gt;=40,V52&lt;75,W52&gt;=35,W52&lt;75),0.23,0)+IF(AND(V52&gt;=40,V52&lt;75,W52&gt;=75,W52&lt;120),0.17,0)+IF(AND(V52&gt;=40,V52&lt;75,W52&gt;=120),0.12,0)+IF(AND(V52&gt;=75,V52&lt;175,W52&lt;35),0.3,0)+IF(AND(V52&gt;=75,V52&lt;=175,W52&gt;=35,W52&lt;65),0.23,0)+IF(AND(V52&gt;=75,V52&lt;=175,W52&gt;=65,W52&lt;110),0.17,0)+IF(AND(V52&gt;=75,V52&lt;=175,W52&gt;=110),0.12,0)+IF(AND(V52&gt;175,W52&lt;25),0.3,0)+IF(AND(V52&gt;175,W52&gt;=25,W52&lt;55),0.23,0)+IF(AND(V52&gt;175,W52&gt;=55,W52&lt;95),0.17,0)+IF(AND(V52&gt;175,W52&gt;=95),0.12,0),
IF(AF52="DoEVLo",IF(AND(V52&lt;20,W52&lt;55),0.25,0)+IF(AND(V52&lt;20,W52&gt;=55,W52&lt;105),0.2,0)+IF(AND(V52&lt;20,W52&gt;=105),0.15,0)+IF(AND(V52&gt;=20,V52&lt;40,W52&lt;45),0.25,0)+IF(AND(V52&gt;=20,V52&lt;40,W52&gt;=45,W52&lt;95),0.2,0)+IF(AND(V52&gt;=20,V52&lt;40,W52&gt;=95),0.15,0)+IF(AND(V52&gt;=40,V52&lt;75,W52&lt;35),0.25,0)+IF(AND(V52&gt;=40,V52&lt;75,W52&gt;=35,W52&lt;75),0.2,0)+IF(AND(V52&gt;=40,V52&lt;75,W52&gt;=75,W52&lt;120),0.15,0)+IF(AND(V52&gt;=40,V52&lt;75,W52&gt;=120),0.1,0)+IF(AND(V52&gt;=75,V52&lt;175,W52&lt;35),0.25,0)+IF(AND(V52&gt;=75,V52&lt;=175,W52&gt;=35,W52&lt;65),0.2,0)+IF(AND(V52&gt;=75,V52&lt;=175,W52&gt;=65,W52&lt;110),0.15,0)+IF(AND(V52&gt;=75,V52&lt;=175,W52&gt;=110),0.1,0)+IF(AND(V52&gt;175,W52&lt;25),0.25,0)+IF(AND(V52&gt;175,W52&gt;=25,W52&lt;55),0.2,0)+IF(AND(V52&gt;175,W52&gt;=55,W52&lt;95),0.15,0)+IF(AND(V52&gt;175,W52&gt;=95),0.1,0))))))))))))))))</f>
        <v>0.3</v>
      </c>
      <c r="Y52" s="30">
        <f>IF(AG52="None",0,IF(AG52="Fix5",0.05,IF(AG52="Fix3.75",0.0375,IF(AG52="Fix10",0.1,IF(AG52="Fix3",0.03,0)))))</f>
        <v>0</v>
      </c>
      <c r="Z52" s="59">
        <f>T52-AA52-AB52</f>
        <v>92.4</v>
      </c>
      <c r="AA52" s="60">
        <f>IF(AD52="EUR",((T52-R52)*X52)*U52+(R52*X52),(T52*X52))</f>
        <v>39.6</v>
      </c>
      <c r="AB52" s="36">
        <f>IF(AD52="EUR",((T52-R52)*Y52)*U52+(R52*Y52),(T52*Y52))</f>
        <v>0</v>
      </c>
      <c r="AC52" s="37" t="b">
        <v>1</v>
      </c>
      <c r="AD52" s="61" t="s">
        <v>38</v>
      </c>
      <c r="AE52" s="61" t="s">
        <v>38</v>
      </c>
      <c r="AF52" s="37" t="str">
        <f t="array" ref="AF52">INDEX('Deal Info'!D:D, MATCH(A52,'Deal Info'!A:A, 0))</f>
        <v>SF</v>
      </c>
      <c r="AG52" s="38" t="str">
        <f t="array" ref="AG52">INDEX('Deal Info'!G:G, MATCH(A52,'Deal Info'!A:A, 0))</f>
        <v>None</v>
      </c>
    </row>
    <row r="53" spans="1:33" ht="14.25" hidden="1" x14ac:dyDescent="0.2">
      <c r="A53" s="18" t="str">
        <f t="array" ref="A53">IF(G53='Room Info'!$B$1, INDEX('Room Info'!$A$2:$A2446, MATCH(B53,'Room Info'!$B$2:$B2446, 0)),IF(G53='Room Info'!$C$1, INDEX('Room Info'!$A$2:$A2446, MATCH(B53,'Room Info'!$C$2:$C2446, 0)),IF(G53='Room Info'!$D$1, INDEX('Room Info'!$A$2:$A2446, MATCH(B53,'Room Info'!$D$2:$D2446, 0)),IF(G53='Room Info'!$E$1, INDEX('Room Info'!$A$2:$A2446, MATCH(B53,'Room Info'!$E$2:$E2446, 0)),IF(G53='Room Info'!$F$1, INDEX('Room Info'!$A$2:$A2446, MATCH(B53,'Room Info'!$F$2:$F2446, 0)),IF(G53='Room Info'!$H$1, INDEX('Room Info'!$A$2:$A2446, MATCH(B53,'Room Info'!$H$2:$H2446, 0)),IF(G53='Room Info'!$G$1, INDEX('Room Info'!$A$2:$A2446, MATCH(B53,'Room Info'!$G$2:$G2446, 0)))))))))</f>
        <v>Abcdf</v>
      </c>
      <c r="B53" s="18" t="s">
        <v>60</v>
      </c>
      <c r="C53" s="41">
        <v>44713</v>
      </c>
      <c r="D53" s="41">
        <v>44742</v>
      </c>
      <c r="E53" s="21">
        <v>44713</v>
      </c>
      <c r="F53" s="22" t="s">
        <v>41</v>
      </c>
      <c r="G53" s="18" t="s">
        <v>69</v>
      </c>
      <c r="H53" s="23" t="s">
        <v>40</v>
      </c>
      <c r="I53" s="23" t="s">
        <v>37</v>
      </c>
      <c r="J53" s="39">
        <v>10</v>
      </c>
      <c r="K53" s="25">
        <v>352</v>
      </c>
      <c r="L53" s="26">
        <v>750</v>
      </c>
      <c r="M53" s="42">
        <v>418</v>
      </c>
      <c r="N53" s="28">
        <f>K53*J53</f>
        <v>3520</v>
      </c>
      <c r="O53" s="18"/>
      <c r="P53" s="29">
        <v>0</v>
      </c>
      <c r="Q53" s="30"/>
      <c r="R53" s="31">
        <f>M53+Q53</f>
        <v>418</v>
      </c>
      <c r="S53" s="28"/>
      <c r="T53" s="32">
        <f>R53+S53+IF(F53="Without EV deal",L53,0)</f>
        <v>1168</v>
      </c>
      <c r="U53" s="33">
        <v>1.0209999999999999</v>
      </c>
      <c r="V53" s="34">
        <v>15.374762808349146</v>
      </c>
      <c r="W53" s="34">
        <v>60.553779697624186</v>
      </c>
      <c r="X53" s="30">
        <f>IF(AF53="DoEV",IF(AND(V53&lt;20,W53&lt;55),0.3,0)+IF(AND(V53&lt;20,W53&gt;=55,W53&lt;105),0.23,0)+IF(AND(V53&lt;20,W53&gt;=105),0.17,0)+IF(AND(V53&gt;=20,V53&lt;40,W53&lt;45),0.3,0)+IF(AND(V53&gt;=20,V53&lt;40,W53&gt;=45,W53&lt;95),0.23,0)+IF(AND(V53&gt;=20,V53&lt;40,W53&gt;=95),0.17,0)+IF(AND(V53&gt;=40,V53&lt;75,W53&lt;35),0.3,0)+IF(AND(V53&gt;=40,V53&lt;75,W53&gt;=35,W53&lt;75),0.23,0)+IF(AND(V53&gt;=40,V53&lt;75,W53&gt;=75,W53&lt;120),0.17,0)+IF(AND(V53&gt;=40,V53&lt;75,W53&gt;=120),0.12,0)+IF(AND(V53&gt;=75,V53&lt;175,W53&lt;35),0.3,0)+IF(AND(V53&gt;=75,V53&lt;=175,W53&gt;=35,W53&lt;65),0.23,0)+IF(AND(V53&gt;=75,V53&lt;=175,W53&gt;=65,W53&lt;110),0.17,0)+IF(AND(V53&gt;=75,V53&lt;=175,W53&gt;=110),0.12,0)+IF(AND(V53&gt;175,W53&lt;25),0.3,0)+IF(AND(V53&gt;175,W53&gt;=25,W53&lt;55),0.23,0)+IF(AND(V53&gt;175,W53&gt;=55,W53&lt;95),0.17,0)+IF(AND(V53&gt;175,W53&gt;=95),0.12,0),
IF(AF53="Fix15",0.15,
IF(AF53="Fix11.25",0.1125,
IF(AF53="Fix10",0.1,
IF(AF53="Fix9",0.09,
IF(AF53="DoEV2017",IF(AND(W53&lt;74),0.2,0)+IF(AND(W53&gt;=74),0.17,0),
IF(AF53="SF",IF(AND(V53&lt;20,W53&lt;89),0.3,0)+IF(AND(V53&lt;20,W53&gt;=89),0.25,0)+IF(AND(V53&gt;=20,V53&lt;40,W53&lt;74),0.3,0)+IF(AND(V53&gt;=20,V53&lt;40,W53&gt;=75),0.22,0)+IF(AND(V53&gt;=40,V53&lt;75,W53&lt;75),0.26,0)+IF(AND(V53&gt;=40,V53&lt;75,W53&gt;=75),0.22,0)+IF(V53&gt;=75,0.22,0),
IF(AF53="DoEVold",IF(AND(V53&lt;40,W53&lt;35),0.35,0)+IF(AND(V53&lt;40,W53&gt;=35,W53&lt;75),0.25,0)+IF(AND(V53&lt;40,W53&gt;=75),0.17,0)+IF(AND(V53&gt;=40,V53&lt;75,W53&lt;25),0.35,0)+IF(AND(V53&gt;=40,V53&lt;75,W53&gt;=25,W53&lt;65),0.25,0)+IF(AND(V53&gt;=40,V53&lt;75,W53&gt;=65,W53&lt;100),0.17,0)+IF(AND(V53&gt;=40,V53&lt;75,W53&gt;=100),0.1,0)+IF(AND(V53&gt;=75,W53&lt;25),0.35,0)+IF(AND(V53&gt;=75,W53&gt;=25,W53&lt;60),0.25,0)+IF(AND(V53&gt;=75,W53&gt;=60,W53&lt;95),0.17,0)+IF(AND(V53&gt;=75,W53&gt;=95),0.1,0),
IF(AF53="DoEVold15",IF(AND(V53&lt;=40,W53&lt;35),0.35,0)+IF(AND(V53&lt;=40,W53&gt;=35,W53&lt;75),0.25,0)+IF(AND(V53&lt;=40,W53&gt;=75,W53&lt;120),0.17,0)+IF(AND(V53&lt;=40,W53&gt;=120),0.15,0)+IF(AND(V53&gt;40,V53&lt;75,W53&lt;25),0.35,0)+IF(AND(V53&gt;=40,V53&lt;75,W53&gt;=25,W53&lt;65),0.25,0)+IF(AND(V53&gt;=40,V53&lt;75,W53&gt;=65,W53&lt;100),0.17,0)+IF(AND(V53&gt;=40,V53&lt;75,W53&gt;=100),0.1,0)+IF(AND(V53&gt;=75,W53&lt;25),0.35,0)+IF(AND(V53&gt;=75,W53&gt;=25,W53&lt;60),0.25,0)+IF(AND(V53&gt;=75,W53&gt;=60,W53&lt;95),0.17,0)+IF(AND(V53&gt;=75,W53&gt;=95),0.1,0),
IF(AF53="DoEVba",IF(AND(V53&lt;20,W53&lt;105),0.2,0)+IF(AND(V53&lt;20,W53&gt;=105),0.15,0)+IF(AND(V53&gt;=20,V53&lt;40,W53&lt;95),0.2,0)+IF(AND(V53&gt;=20,V53&lt;40,W53&gt;=95,W53&lt;150),0.15,0)+IF(AND(V53&gt;=20,V53&lt;40,W53&gt;=150),0.12,0)+IF(AND(V53&gt;=40,V53&lt;75,W53&lt;75),0.2,0)+IF(AND(V53&gt;=40,V53&lt;75,W53&gt;=75,W53&lt;120),0.15,0)+IF(AND(V53&gt;=40,V53&lt;75,W53&gt;=120),0.12,0)+IF(AND(V53&gt;=75,V53&lt;175,W53&lt;65),0.2,0)+IF(AND(V53&gt;=75,V53&lt;175,W53&gt;=65,W53&lt;110),0.15,0)+IF(AND(V53&gt;=75,V53&lt;175,W53&gt;=110),0.12,0)+IF(AND(V53&gt;=175,W53&lt;55),0.2,0)+IF(AND(V53&gt;=175,W53&gt;=55,W53&lt;95),0.15,0)+IF(AND(V53&gt;=175,W53&gt;=95),0.12,0),
IF(AF53="DoEVku",IF(AND(V53&lt;20,W53&lt;55),0.23,0)+IF(AND(V53&lt;20,W53&gt;=55,W53&lt;105),0.2,0)+IF(AND(V53&lt;20,W53&gt;=105),0.17,0)+IF(AND(V53&gt;=20,V53&lt;40,W53&lt;45),0.23,0)+IF(AND(V53&gt;=20,V53&lt;40,W53&gt;=45,W53&lt;95),0.2,0)+IF(AND(V53&gt;=20,V53&lt;40,W53&gt;=95,W53&lt;=150),0.17,0)+IF(AND(V53&gt;=20,V53&lt;40,W53&gt;=150),0.12,0)+IF(AND(V53&gt;=40,V53&lt;75,W53&lt;35),0.23,0)+IF(AND(V53&gt;=40,V53&lt;75,W53&gt;=35,W53&lt;75),0.2,0)+IF(AND(V53&gt;=40,V53&lt;75,W53&gt;=75,W53&lt;120),0.17,0)+IF(AND(V53&gt;=40,V53&lt;75,W53&gt;=120),0.12,0)+IF(AND(V53&gt;=75,V53&lt;175,W53&lt;35),0.23,0)+IF(AND(V53&gt;=75,V53&lt;=175,W53&gt;=35,W53&lt;65),0.2,0)+IF(AND(V53&gt;=75,V53&lt;=175,W53&gt;=65,W53&lt;110),0.17,0)+IF(AND(V53&gt;=75,V53&lt;=175,W53&gt;=110),0.12,0)+IF(AND(V53&gt;175,W53&lt;25),0.23,0)+IF(AND(V53&gt;175,W53&gt;=25,W53&lt;55),0.2,0)+IF(AND(V53&gt;175,W53&gt;=55,W53&lt;95),0.17,0)+IF(AND(V53&gt;175,W53&gt;=95),0.12,0),
IF(AF53="DoEVs1",IF(AND(V53&lt;20,W53&lt;55),0.3,0)+IF(AND(V53&lt;20,W53&gt;=55,W53&lt;105),0.23,0)+IF(AND(V53&lt;20,W53&gt;=105),0.17,0)+IF(AND(V53&gt;=20,V53&lt;40,W53&lt;45),0.3,0)+IF(AND(V53&gt;=20,V53&lt;40,W53&gt;=45,W53&lt;95),0.23,0)+IF(AND(V53&gt;=20,V53&lt;40,W53&gt;=95,W53&lt;=150),0.17,0)+IF(AND(V53&gt;=20,V53&lt;40,W53&gt;=150),0.12,0)+IF(AND(V53&gt;=40,V53&lt;75,W53&lt;35),0.3,0)+IF(AND(V53&gt;=40,V53&lt;75,W53&gt;=35,W53&lt;75),0.23,0)+IF(AND(V53&gt;=40,V53&lt;75,W53&gt;=75,W53&lt;120),0.17,0)+IF(AND(V53&gt;=40,V53&lt;75,W53&gt;=120),0.12,0)+IF(AND(V53&gt;=75,V53&lt;175,W53&lt;35),0.3,0)+IF(AND(V53&gt;=75,V53&lt;=175,W53&gt;=35,W53&lt;65),0.23,0)+IF(AND(V53&gt;=75,V53&lt;=175,W53&gt;=65,W53&lt;110),0.17,0)+IF(AND(V53&gt;=75,V53&lt;=175,W53&gt;=110),0.12,0)+IF(AND(V53&gt;175,W53&lt;25),0.3,0)+IF(AND(V53&gt;175,W53&gt;=25,W53&lt;55),0.23,0)+IF(AND(V53&gt;175,W53&gt;=55,W53&lt;95),0.17,0)+IF(AND(V53&gt;175,W53&gt;=95),0.12,0),
IF(AF53="DoEVsu",IF(AND(V53&lt;20,W53&lt;55),0.3,0)+IF(AND(V53&lt;20,W53&gt;=55,W53&lt;105),0.23,0)+IF(AND(V53&lt;20,W53&gt;=105),0.17,0)+IF(AND(V53&gt;=20,V53&lt;40,W53&lt;45),0.3,0)+IF(AND(V53&gt;=20,V53&lt;40,W53&gt;=45,W53&lt;95),0.23,0)+IF(AND(V53&gt;=20,V53&lt;40,W53&gt;=95,W53&lt;=250),0.17,0)+IF(AND(V53&gt;=20,V53&lt;40,W53&gt;=250),0.12,0)+IF(AND(V53&gt;=40,V53&lt;75,W53&lt;35),0.3,0)+IF(AND(V53&gt;=40,V53&lt;75,W53&gt;=35,W53&lt;75),0.23,0)+IF(AND(V53&gt;=40,V53&lt;75,W53&gt;=75,W53&lt;120),0.17,0)+IF(AND(V53&gt;=40,V53&lt;75,W53&gt;=120),0.12,0)+IF(AND(V53&gt;=75,V53&lt;175,W53&lt;35),0.3,0)+IF(AND(V53&gt;=75,V53&lt;=175,W53&gt;=35,W53&lt;65),0.23,0)+IF(AND(V53&gt;=75,V53&lt;=175,W53&gt;=65,W53&lt;110),0.17,0)+IF(AND(V53&gt;=75,V53&lt;=175,W53&gt;=110),0.12,0)+IF(AND(V53&gt;175,W53&lt;25),0.3,0)+IF(AND(V53&gt;175,W53&gt;=25,W53&lt;55),0.23,0)+IF(AND(V53&gt;175,W53&gt;=55,W53&lt;95),0.17,0)+IF(AND(V53&gt;175,W53&gt;=95),0.12,0),
IF(AF53="DoEVni",IF(AND(V53&lt;20,W53&lt;55),0.3,0)+IF(AND(V53&lt;20,W53&gt;=55,W53&lt;105),0.23,0)+IF(AND(V53&lt;20,W53&gt;=105),0.17,0)+IF(AND(V53&gt;=20,V53&lt;40,W53&lt;45),0.3,0)+IF(AND(V53&gt;=20,V53&lt;40,W53&gt;=45,W53&lt;95),0.23,0)+IF(AND(V53&gt;=20,V53&lt;40,W53&gt;=95,W53&lt;=200),0.17,0)+IF(AND(V53&gt;=20,V53&lt;40,W53&gt;=200),0.12,0)+IF(AND(V53&gt;=40,V53&lt;75,W53&lt;35),0.3,0)+IF(AND(V53&gt;=40,V53&lt;75,W53&gt;=35,W53&lt;75),0.23,0)+IF(AND(V53&gt;=40,V53&lt;75,W53&gt;=75,W53&lt;120),0.17,0)+IF(AND(V53&gt;=40,V53&lt;75,W53&gt;=120),0.12,0)+IF(AND(V53&gt;=75,V53&lt;175,W53&lt;35),0.3,0)+IF(AND(V53&gt;=75,V53&lt;=175,W53&gt;=35,W53&lt;65),0.23,0)+IF(AND(V53&gt;=75,V53&lt;=175,W53&gt;=65,W53&lt;110),0.17,0)+IF(AND(V53&gt;=75,V53&lt;=175,W53&gt;=110),0.12,0)+IF(AND(V53&gt;175,W53&lt;25),0.3,0)+IF(AND(V53&gt;175,W53&gt;=25,W53&lt;55),0.23,0)+IF(AND(V53&gt;175,W53&gt;=55,W53&lt;95),0.17,0)+IF(AND(V53&gt;175,W53&gt;=95),0.12,0),
IF(AF53="DoEVLo",IF(AND(V53&lt;20,W53&lt;55),0.25,0)+IF(AND(V53&lt;20,W53&gt;=55,W53&lt;105),0.2,0)+IF(AND(V53&lt;20,W53&gt;=105),0.15,0)+IF(AND(V53&gt;=20,V53&lt;40,W53&lt;45),0.25,0)+IF(AND(V53&gt;=20,V53&lt;40,W53&gt;=45,W53&lt;95),0.2,0)+IF(AND(V53&gt;=20,V53&lt;40,W53&gt;=95),0.15,0)+IF(AND(V53&gt;=40,V53&lt;75,W53&lt;35),0.25,0)+IF(AND(V53&gt;=40,V53&lt;75,W53&gt;=35,W53&lt;75),0.2,0)+IF(AND(V53&gt;=40,V53&lt;75,W53&gt;=75,W53&lt;120),0.15,0)+IF(AND(V53&gt;=40,V53&lt;75,W53&gt;=120),0.1,0)+IF(AND(V53&gt;=75,V53&lt;175,W53&lt;35),0.25,0)+IF(AND(V53&gt;=75,V53&lt;=175,W53&gt;=35,W53&lt;65),0.2,0)+IF(AND(V53&gt;=75,V53&lt;=175,W53&gt;=65,W53&lt;110),0.15,0)+IF(AND(V53&gt;=75,V53&lt;=175,W53&gt;=110),0.1,0)+IF(AND(V53&gt;175,W53&lt;25),0.25,0)+IF(AND(V53&gt;175,W53&gt;=25,W53&lt;55),0.2,0)+IF(AND(V53&gt;175,W53&gt;=55,W53&lt;95),0.15,0)+IF(AND(V53&gt;175,W53&gt;=95),0.1,0))))))))))))))))</f>
        <v>0.2</v>
      </c>
      <c r="Y53" s="30">
        <f>IF(AG53="None",0,IF(AG53="Fix5",0.05,IF(AG53="Fix3.75",0.0375,IF(AG53="Fix10",0.1,IF(AG53="Fix3",0.03,0)))))</f>
        <v>0</v>
      </c>
      <c r="Z53" s="35">
        <f>T53-AA53-AB53</f>
        <v>931.25</v>
      </c>
      <c r="AA53" s="29">
        <f>IF(AD53="EUR",((T53-R53)*X53)*U53+(R53*X53),(T53*X53))</f>
        <v>236.75</v>
      </c>
      <c r="AB53" s="36">
        <f>IF(AD53="EUR",((T53-R53)*Y53)*U53+(R53*Y53),(T53*Y53))</f>
        <v>0</v>
      </c>
      <c r="AC53" s="37" t="b">
        <v>1</v>
      </c>
      <c r="AD53" s="37" t="s">
        <v>50</v>
      </c>
      <c r="AE53" s="37"/>
      <c r="AF53" s="37" t="str">
        <f t="array" ref="AF53">INDEX('Deal Info'!D:D, MATCH(A53,'Deal Info'!A:A, 0))</f>
        <v>DoEV2017</v>
      </c>
      <c r="AG53" s="38" t="str">
        <f t="array" ref="AG53">INDEX('Deal Info'!G:G, MATCH(A53,'Deal Info'!A:A, 0))</f>
        <v>None</v>
      </c>
    </row>
    <row r="54" spans="1:33" ht="14.25" hidden="1" x14ac:dyDescent="0.2">
      <c r="A54" s="18" t="str">
        <f t="array" ref="A54">IF(G54='Room Info'!$B$1, INDEX('Room Info'!$A$2:$A2446, MATCH(B54,'Room Info'!$B$2:$B2446, 0)),IF(G54='Room Info'!$C$1, INDEX('Room Info'!$A$2:$A2446, MATCH(B54,'Room Info'!$C$2:$C2446, 0)),IF(G54='Room Info'!$D$1, INDEX('Room Info'!$A$2:$A2446, MATCH(B54,'Room Info'!$D$2:$D2446, 0)),IF(G54='Room Info'!$E$1, INDEX('Room Info'!$A$2:$A2446, MATCH(B54,'Room Info'!$E$2:$E2446, 0)),IF(G54='Room Info'!$F$1, INDEX('Room Info'!$A$2:$A2446, MATCH(B54,'Room Info'!$F$2:$F2446, 0)),IF(G54='Room Info'!$H$1, INDEX('Room Info'!$A$2:$A2446, MATCH(B54,'Room Info'!$H$2:$H2446, 0)),IF(G54='Room Info'!$G$1, INDEX('Room Info'!$A$2:$A2446, MATCH(B54,'Room Info'!$G$2:$G2446, 0)))))))))</f>
        <v>Abcdf</v>
      </c>
      <c r="B54" s="18" t="s">
        <v>60</v>
      </c>
      <c r="C54" s="41">
        <v>44713</v>
      </c>
      <c r="D54" s="41">
        <v>44742</v>
      </c>
      <c r="E54" s="21">
        <v>44713</v>
      </c>
      <c r="F54" s="40" t="s">
        <v>41</v>
      </c>
      <c r="G54" s="18" t="s">
        <v>69</v>
      </c>
      <c r="H54" s="23" t="s">
        <v>70</v>
      </c>
      <c r="I54" s="23" t="s">
        <v>37</v>
      </c>
      <c r="J54" s="39">
        <v>100</v>
      </c>
      <c r="K54" s="25">
        <v>2</v>
      </c>
      <c r="L54" s="26">
        <v>-200</v>
      </c>
      <c r="M54" s="42">
        <v>0</v>
      </c>
      <c r="N54" s="28">
        <f>K54*J54</f>
        <v>200</v>
      </c>
      <c r="O54" s="18"/>
      <c r="P54" s="29">
        <v>0</v>
      </c>
      <c r="Q54" s="30"/>
      <c r="R54" s="31">
        <f>M54+Q54</f>
        <v>0</v>
      </c>
      <c r="S54" s="28"/>
      <c r="T54" s="32">
        <f>R54+S54+IF(F54="Without EV deal",L54,0)</f>
        <v>-200</v>
      </c>
      <c r="U54" s="33">
        <v>1.0209999999999999</v>
      </c>
      <c r="V54" s="34">
        <v>15.374762808349146</v>
      </c>
      <c r="W54" s="34">
        <v>60.553779697624186</v>
      </c>
      <c r="X54" s="30">
        <f>IF(AF54="DoEV",IF(AND(V54&lt;20,W54&lt;55),0.3,0)+IF(AND(V54&lt;20,W54&gt;=55,W54&lt;105),0.23,0)+IF(AND(V54&lt;20,W54&gt;=105),0.17,0)+IF(AND(V54&gt;=20,V54&lt;40,W54&lt;45),0.3,0)+IF(AND(V54&gt;=20,V54&lt;40,W54&gt;=45,W54&lt;95),0.23,0)+IF(AND(V54&gt;=20,V54&lt;40,W54&gt;=95),0.17,0)+IF(AND(V54&gt;=40,V54&lt;75,W54&lt;35),0.3,0)+IF(AND(V54&gt;=40,V54&lt;75,W54&gt;=35,W54&lt;75),0.23,0)+IF(AND(V54&gt;=40,V54&lt;75,W54&gt;=75,W54&lt;120),0.17,0)+IF(AND(V54&gt;=40,V54&lt;75,W54&gt;=120),0.12,0)+IF(AND(V54&gt;=75,V54&lt;175,W54&lt;35),0.3,0)+IF(AND(V54&gt;=75,V54&lt;=175,W54&gt;=35,W54&lt;65),0.23,0)+IF(AND(V54&gt;=75,V54&lt;=175,W54&gt;=65,W54&lt;110),0.17,0)+IF(AND(V54&gt;=75,V54&lt;=175,W54&gt;=110),0.12,0)+IF(AND(V54&gt;175,W54&lt;25),0.3,0)+IF(AND(V54&gt;175,W54&gt;=25,W54&lt;55),0.23,0)+IF(AND(V54&gt;175,W54&gt;=55,W54&lt;95),0.17,0)+IF(AND(V54&gt;175,W54&gt;=95),0.12,0),
IF(AF54="Fix15",0.15,
IF(AF54="Fix11.25",0.1125,
IF(AF54="Fix10",0.1,
IF(AF54="Fix9",0.09,
IF(AF54="DoEV2017",IF(AND(W54&lt;74),0.2,0)+IF(AND(W54&gt;=74),0.17,0),
IF(AF54="SF",IF(AND(V54&lt;20,W54&lt;89),0.3,0)+IF(AND(V54&lt;20,W54&gt;=89),0.25,0)+IF(AND(V54&gt;=20,V54&lt;40,W54&lt;74),0.3,0)+IF(AND(V54&gt;=20,V54&lt;40,W54&gt;=75),0.22,0)+IF(AND(V54&gt;=40,V54&lt;75,W54&lt;75),0.26,0)+IF(AND(V54&gt;=40,V54&lt;75,W54&gt;=75),0.22,0)+IF(V54&gt;=75,0.22,0),
IF(AF54="DoEVold",IF(AND(V54&lt;40,W54&lt;35),0.35,0)+IF(AND(V54&lt;40,W54&gt;=35,W54&lt;75),0.25,0)+IF(AND(V54&lt;40,W54&gt;=75),0.17,0)+IF(AND(V54&gt;=40,V54&lt;75,W54&lt;25),0.35,0)+IF(AND(V54&gt;=40,V54&lt;75,W54&gt;=25,W54&lt;65),0.25,0)+IF(AND(V54&gt;=40,V54&lt;75,W54&gt;=65,W54&lt;100),0.17,0)+IF(AND(V54&gt;=40,V54&lt;75,W54&gt;=100),0.1,0)+IF(AND(V54&gt;=75,W54&lt;25),0.35,0)+IF(AND(V54&gt;=75,W54&gt;=25,W54&lt;60),0.25,0)+IF(AND(V54&gt;=75,W54&gt;=60,W54&lt;95),0.17,0)+IF(AND(V54&gt;=75,W54&gt;=95),0.1,0),
IF(AF54="DoEVold15",IF(AND(V54&lt;=40,W54&lt;35),0.35,0)+IF(AND(V54&lt;=40,W54&gt;=35,W54&lt;75),0.25,0)+IF(AND(V54&lt;=40,W54&gt;=75,W54&lt;120),0.17,0)+IF(AND(V54&lt;=40,W54&gt;=120),0.15,0)+IF(AND(V54&gt;40,V54&lt;75,W54&lt;25),0.35,0)+IF(AND(V54&gt;=40,V54&lt;75,W54&gt;=25,W54&lt;65),0.25,0)+IF(AND(V54&gt;=40,V54&lt;75,W54&gt;=65,W54&lt;100),0.17,0)+IF(AND(V54&gt;=40,V54&lt;75,W54&gt;=100),0.1,0)+IF(AND(V54&gt;=75,W54&lt;25),0.35,0)+IF(AND(V54&gt;=75,W54&gt;=25,W54&lt;60),0.25,0)+IF(AND(V54&gt;=75,W54&gt;=60,W54&lt;95),0.17,0)+IF(AND(V54&gt;=75,W54&gt;=95),0.1,0),
IF(AF54="DoEVba",IF(AND(V54&lt;20,W54&lt;105),0.2,0)+IF(AND(V54&lt;20,W54&gt;=105),0.15,0)+IF(AND(V54&gt;=20,V54&lt;40,W54&lt;95),0.2,0)+IF(AND(V54&gt;=20,V54&lt;40,W54&gt;=95,W54&lt;150),0.15,0)+IF(AND(V54&gt;=20,V54&lt;40,W54&gt;=150),0.12,0)+IF(AND(V54&gt;=40,V54&lt;75,W54&lt;75),0.2,0)+IF(AND(V54&gt;=40,V54&lt;75,W54&gt;=75,W54&lt;120),0.15,0)+IF(AND(V54&gt;=40,V54&lt;75,W54&gt;=120),0.12,0)+IF(AND(V54&gt;=75,V54&lt;175,W54&lt;65),0.2,0)+IF(AND(V54&gt;=75,V54&lt;175,W54&gt;=65,W54&lt;110),0.15,0)+IF(AND(V54&gt;=75,V54&lt;175,W54&gt;=110),0.12,0)+IF(AND(V54&gt;=175,W54&lt;55),0.2,0)+IF(AND(V54&gt;=175,W54&gt;=55,W54&lt;95),0.15,0)+IF(AND(V54&gt;=175,W54&gt;=95),0.12,0),
IF(AF54="DoEVku",IF(AND(V54&lt;20,W54&lt;55),0.23,0)+IF(AND(V54&lt;20,W54&gt;=55,W54&lt;105),0.2,0)+IF(AND(V54&lt;20,W54&gt;=105),0.17,0)+IF(AND(V54&gt;=20,V54&lt;40,W54&lt;45),0.23,0)+IF(AND(V54&gt;=20,V54&lt;40,W54&gt;=45,W54&lt;95),0.2,0)+IF(AND(V54&gt;=20,V54&lt;40,W54&gt;=95,W54&lt;=150),0.17,0)+IF(AND(V54&gt;=20,V54&lt;40,W54&gt;=150),0.12,0)+IF(AND(V54&gt;=40,V54&lt;75,W54&lt;35),0.23,0)+IF(AND(V54&gt;=40,V54&lt;75,W54&gt;=35,W54&lt;75),0.2,0)+IF(AND(V54&gt;=40,V54&lt;75,W54&gt;=75,W54&lt;120),0.17,0)+IF(AND(V54&gt;=40,V54&lt;75,W54&gt;=120),0.12,0)+IF(AND(V54&gt;=75,V54&lt;175,W54&lt;35),0.23,0)+IF(AND(V54&gt;=75,V54&lt;=175,W54&gt;=35,W54&lt;65),0.2,0)+IF(AND(V54&gt;=75,V54&lt;=175,W54&gt;=65,W54&lt;110),0.17,0)+IF(AND(V54&gt;=75,V54&lt;=175,W54&gt;=110),0.12,0)+IF(AND(V54&gt;175,W54&lt;25),0.23,0)+IF(AND(V54&gt;175,W54&gt;=25,W54&lt;55),0.2,0)+IF(AND(V54&gt;175,W54&gt;=55,W54&lt;95),0.17,0)+IF(AND(V54&gt;175,W54&gt;=95),0.12,0),
IF(AF54="DoEVs1",IF(AND(V54&lt;20,W54&lt;55),0.3,0)+IF(AND(V54&lt;20,W54&gt;=55,W54&lt;105),0.23,0)+IF(AND(V54&lt;20,W54&gt;=105),0.17,0)+IF(AND(V54&gt;=20,V54&lt;40,W54&lt;45),0.3,0)+IF(AND(V54&gt;=20,V54&lt;40,W54&gt;=45,W54&lt;95),0.23,0)+IF(AND(V54&gt;=20,V54&lt;40,W54&gt;=95,W54&lt;=150),0.17,0)+IF(AND(V54&gt;=20,V54&lt;40,W54&gt;=150),0.12,0)+IF(AND(V54&gt;=40,V54&lt;75,W54&lt;35),0.3,0)+IF(AND(V54&gt;=40,V54&lt;75,W54&gt;=35,W54&lt;75),0.23,0)+IF(AND(V54&gt;=40,V54&lt;75,W54&gt;=75,W54&lt;120),0.17,0)+IF(AND(V54&gt;=40,V54&lt;75,W54&gt;=120),0.12,0)+IF(AND(V54&gt;=75,V54&lt;175,W54&lt;35),0.3,0)+IF(AND(V54&gt;=75,V54&lt;=175,W54&gt;=35,W54&lt;65),0.23,0)+IF(AND(V54&gt;=75,V54&lt;=175,W54&gt;=65,W54&lt;110),0.17,0)+IF(AND(V54&gt;=75,V54&lt;=175,W54&gt;=110),0.12,0)+IF(AND(V54&gt;175,W54&lt;25),0.3,0)+IF(AND(V54&gt;175,W54&gt;=25,W54&lt;55),0.23,0)+IF(AND(V54&gt;175,W54&gt;=55,W54&lt;95),0.17,0)+IF(AND(V54&gt;175,W54&gt;=95),0.12,0),
IF(AF54="DoEVsu",IF(AND(V54&lt;20,W54&lt;55),0.3,0)+IF(AND(V54&lt;20,W54&gt;=55,W54&lt;105),0.23,0)+IF(AND(V54&lt;20,W54&gt;=105),0.17,0)+IF(AND(V54&gt;=20,V54&lt;40,W54&lt;45),0.3,0)+IF(AND(V54&gt;=20,V54&lt;40,W54&gt;=45,W54&lt;95),0.23,0)+IF(AND(V54&gt;=20,V54&lt;40,W54&gt;=95,W54&lt;=250),0.17,0)+IF(AND(V54&gt;=20,V54&lt;40,W54&gt;=250),0.12,0)+IF(AND(V54&gt;=40,V54&lt;75,W54&lt;35),0.3,0)+IF(AND(V54&gt;=40,V54&lt;75,W54&gt;=35,W54&lt;75),0.23,0)+IF(AND(V54&gt;=40,V54&lt;75,W54&gt;=75,W54&lt;120),0.17,0)+IF(AND(V54&gt;=40,V54&lt;75,W54&gt;=120),0.12,0)+IF(AND(V54&gt;=75,V54&lt;175,W54&lt;35),0.3,0)+IF(AND(V54&gt;=75,V54&lt;=175,W54&gt;=35,W54&lt;65),0.23,0)+IF(AND(V54&gt;=75,V54&lt;=175,W54&gt;=65,W54&lt;110),0.17,0)+IF(AND(V54&gt;=75,V54&lt;=175,W54&gt;=110),0.12,0)+IF(AND(V54&gt;175,W54&lt;25),0.3,0)+IF(AND(V54&gt;175,W54&gt;=25,W54&lt;55),0.23,0)+IF(AND(V54&gt;175,W54&gt;=55,W54&lt;95),0.17,0)+IF(AND(V54&gt;175,W54&gt;=95),0.12,0),
IF(AF54="DoEVni",IF(AND(V54&lt;20,W54&lt;55),0.3,0)+IF(AND(V54&lt;20,W54&gt;=55,W54&lt;105),0.23,0)+IF(AND(V54&lt;20,W54&gt;=105),0.17,0)+IF(AND(V54&gt;=20,V54&lt;40,W54&lt;45),0.3,0)+IF(AND(V54&gt;=20,V54&lt;40,W54&gt;=45,W54&lt;95),0.23,0)+IF(AND(V54&gt;=20,V54&lt;40,W54&gt;=95,W54&lt;=200),0.17,0)+IF(AND(V54&gt;=20,V54&lt;40,W54&gt;=200),0.12,0)+IF(AND(V54&gt;=40,V54&lt;75,W54&lt;35),0.3,0)+IF(AND(V54&gt;=40,V54&lt;75,W54&gt;=35,W54&lt;75),0.23,0)+IF(AND(V54&gt;=40,V54&lt;75,W54&gt;=75,W54&lt;120),0.17,0)+IF(AND(V54&gt;=40,V54&lt;75,W54&gt;=120),0.12,0)+IF(AND(V54&gt;=75,V54&lt;175,W54&lt;35),0.3,0)+IF(AND(V54&gt;=75,V54&lt;=175,W54&gt;=35,W54&lt;65),0.23,0)+IF(AND(V54&gt;=75,V54&lt;=175,W54&gt;=65,W54&lt;110),0.17,0)+IF(AND(V54&gt;=75,V54&lt;=175,W54&gt;=110),0.12,0)+IF(AND(V54&gt;175,W54&lt;25),0.3,0)+IF(AND(V54&gt;175,W54&gt;=25,W54&lt;55),0.23,0)+IF(AND(V54&gt;175,W54&gt;=55,W54&lt;95),0.17,0)+IF(AND(V54&gt;175,W54&gt;=95),0.12,0),
IF(AF54="DoEVLo",IF(AND(V54&lt;20,W54&lt;55),0.25,0)+IF(AND(V54&lt;20,W54&gt;=55,W54&lt;105),0.2,0)+IF(AND(V54&lt;20,W54&gt;=105),0.15,0)+IF(AND(V54&gt;=20,V54&lt;40,W54&lt;45),0.25,0)+IF(AND(V54&gt;=20,V54&lt;40,W54&gt;=45,W54&lt;95),0.2,0)+IF(AND(V54&gt;=20,V54&lt;40,W54&gt;=95),0.15,0)+IF(AND(V54&gt;=40,V54&lt;75,W54&lt;35),0.25,0)+IF(AND(V54&gt;=40,V54&lt;75,W54&gt;=35,W54&lt;75),0.2,0)+IF(AND(V54&gt;=40,V54&lt;75,W54&gt;=75,W54&lt;120),0.15,0)+IF(AND(V54&gt;=40,V54&lt;75,W54&gt;=120),0.1,0)+IF(AND(V54&gt;=75,V54&lt;175,W54&lt;35),0.25,0)+IF(AND(V54&gt;=75,V54&lt;=175,W54&gt;=35,W54&lt;65),0.2,0)+IF(AND(V54&gt;=75,V54&lt;=175,W54&gt;=65,W54&lt;110),0.15,0)+IF(AND(V54&gt;=75,V54&lt;=175,W54&gt;=110),0.1,0)+IF(AND(V54&gt;175,W54&lt;25),0.25,0)+IF(AND(V54&gt;175,W54&gt;=25,W54&lt;55),0.2,0)+IF(AND(V54&gt;175,W54&gt;=55,W54&lt;95),0.15,0)+IF(AND(V54&gt;175,W54&gt;=95),0.1,0))))))))))))))))</f>
        <v>0.2</v>
      </c>
      <c r="Y54" s="30">
        <f>IF(AG54="None",0,IF(AG54="Fix5",0.05,IF(AG54="Fix3.75",0.0375,IF(AG54="Fix10",0.1,IF(AG54="Fix3",0.03,0)))))</f>
        <v>0</v>
      </c>
      <c r="Z54" s="35">
        <f>T54-AA54-AB54</f>
        <v>-159.16</v>
      </c>
      <c r="AA54" s="29">
        <f>IF(AD54="EUR",((T54-R54)*X54)*U54+(R54*X54),(T54*X54))</f>
        <v>-40.839999999999996</v>
      </c>
      <c r="AB54" s="36">
        <f>IF(AD54="EUR",((T54-R54)*Y54)*U54+(R54*Y54),(T54*Y54))</f>
        <v>0</v>
      </c>
      <c r="AC54" s="37" t="b">
        <v>1</v>
      </c>
      <c r="AD54" s="37" t="s">
        <v>50</v>
      </c>
      <c r="AE54" s="37"/>
      <c r="AF54" s="37" t="str">
        <f t="array" ref="AF54">INDEX('Deal Info'!D:D, MATCH(A54,'Deal Info'!A:A, 0))</f>
        <v>DoEV2017</v>
      </c>
      <c r="AG54" s="38" t="str">
        <f t="array" ref="AG54">INDEX('Deal Info'!G:G, MATCH(A54,'Deal Info'!A:A, 0))</f>
        <v>None</v>
      </c>
    </row>
    <row r="55" spans="1:33" ht="14.25" hidden="1" x14ac:dyDescent="0.2">
      <c r="A55" s="18" t="str">
        <f t="array" ref="A55">IF(G55='Room Info'!$B$1, INDEX('Room Info'!$A$2:$A2446, MATCH(B55,'Room Info'!$B$2:$B2446, 0)),IF(G55='Room Info'!$C$1, INDEX('Room Info'!$A$2:$A2446, MATCH(B55,'Room Info'!$C$2:$C2446, 0)),IF(G55='Room Info'!$D$1, INDEX('Room Info'!$A$2:$A2446, MATCH(B55,'Room Info'!$D$2:$D2446, 0)),IF(G55='Room Info'!$E$1, INDEX('Room Info'!$A$2:$A2446, MATCH(B55,'Room Info'!$E$2:$E2446, 0)),IF(G55='Room Info'!$F$1, INDEX('Room Info'!$A$2:$A2446, MATCH(B55,'Room Info'!$F$2:$F2446, 0)),IF(G55='Room Info'!$H$1, INDEX('Room Info'!$A$2:$A2446, MATCH(B55,'Room Info'!$H$2:$H2446, 0)),IF(G55='Room Info'!$G$1, INDEX('Room Info'!$A$2:$A2446, MATCH(B55,'Room Info'!$G$2:$G2446, 0)))))))))</f>
        <v>Abcdf</v>
      </c>
      <c r="B55" s="18" t="s">
        <v>60</v>
      </c>
      <c r="C55" s="41">
        <v>44713</v>
      </c>
      <c r="D55" s="41">
        <v>44742</v>
      </c>
      <c r="E55" s="21">
        <v>44713</v>
      </c>
      <c r="F55" s="40" t="s">
        <v>41</v>
      </c>
      <c r="G55" s="18" t="s">
        <v>69</v>
      </c>
      <c r="H55" s="23" t="s">
        <v>71</v>
      </c>
      <c r="I55" s="23" t="s">
        <v>37</v>
      </c>
      <c r="J55" s="39">
        <v>20</v>
      </c>
      <c r="K55" s="25">
        <v>455</v>
      </c>
      <c r="L55" s="26">
        <v>140</v>
      </c>
      <c r="M55" s="42">
        <v>0</v>
      </c>
      <c r="N55" s="28">
        <f>K55*J55</f>
        <v>9100</v>
      </c>
      <c r="O55" s="18">
        <v>11830</v>
      </c>
      <c r="P55" s="29">
        <v>26</v>
      </c>
      <c r="Q55" s="30"/>
      <c r="R55" s="31">
        <f>M55+Q55</f>
        <v>0</v>
      </c>
      <c r="S55" s="28"/>
      <c r="T55" s="32">
        <f>R55+S55+IF(F55="Without EV deal",L55,0)</f>
        <v>140</v>
      </c>
      <c r="U55" s="33">
        <v>1.0209999999999999</v>
      </c>
      <c r="V55" s="34">
        <v>15.374762808349146</v>
      </c>
      <c r="W55" s="34">
        <v>60.553779697624186</v>
      </c>
      <c r="X55" s="30">
        <f>IF(AF55="DoEV",IF(AND(V55&lt;20,W55&lt;55),0.3,0)+IF(AND(V55&lt;20,W55&gt;=55,W55&lt;105),0.23,0)+IF(AND(V55&lt;20,W55&gt;=105),0.17,0)+IF(AND(V55&gt;=20,V55&lt;40,W55&lt;45),0.3,0)+IF(AND(V55&gt;=20,V55&lt;40,W55&gt;=45,W55&lt;95),0.23,0)+IF(AND(V55&gt;=20,V55&lt;40,W55&gt;=95),0.17,0)+IF(AND(V55&gt;=40,V55&lt;75,W55&lt;35),0.3,0)+IF(AND(V55&gt;=40,V55&lt;75,W55&gt;=35,W55&lt;75),0.23,0)+IF(AND(V55&gt;=40,V55&lt;75,W55&gt;=75,W55&lt;120),0.17,0)+IF(AND(V55&gt;=40,V55&lt;75,W55&gt;=120),0.12,0)+IF(AND(V55&gt;=75,V55&lt;175,W55&lt;35),0.3,0)+IF(AND(V55&gt;=75,V55&lt;=175,W55&gt;=35,W55&lt;65),0.23,0)+IF(AND(V55&gt;=75,V55&lt;=175,W55&gt;=65,W55&lt;110),0.17,0)+IF(AND(V55&gt;=75,V55&lt;=175,W55&gt;=110),0.12,0)+IF(AND(V55&gt;175,W55&lt;25),0.3,0)+IF(AND(V55&gt;175,W55&gt;=25,W55&lt;55),0.23,0)+IF(AND(V55&gt;175,W55&gt;=55,W55&lt;95),0.17,0)+IF(AND(V55&gt;175,W55&gt;=95),0.12,0),
IF(AF55="Fix15",0.15,
IF(AF55="Fix11.25",0.1125,
IF(AF55="Fix10",0.1,
IF(AF55="Fix9",0.09,
IF(AF55="DoEV2017",IF(AND(W55&lt;74),0.2,0)+IF(AND(W55&gt;=74),0.17,0),
IF(AF55="SF",IF(AND(V55&lt;20,W55&lt;89),0.3,0)+IF(AND(V55&lt;20,W55&gt;=89),0.25,0)+IF(AND(V55&gt;=20,V55&lt;40,W55&lt;74),0.3,0)+IF(AND(V55&gt;=20,V55&lt;40,W55&gt;=75),0.22,0)+IF(AND(V55&gt;=40,V55&lt;75,W55&lt;75),0.26,0)+IF(AND(V55&gt;=40,V55&lt;75,W55&gt;=75),0.22,0)+IF(V55&gt;=75,0.22,0),
IF(AF55="DoEVold",IF(AND(V55&lt;40,W55&lt;35),0.35,0)+IF(AND(V55&lt;40,W55&gt;=35,W55&lt;75),0.25,0)+IF(AND(V55&lt;40,W55&gt;=75),0.17,0)+IF(AND(V55&gt;=40,V55&lt;75,W55&lt;25),0.35,0)+IF(AND(V55&gt;=40,V55&lt;75,W55&gt;=25,W55&lt;65),0.25,0)+IF(AND(V55&gt;=40,V55&lt;75,W55&gt;=65,W55&lt;100),0.17,0)+IF(AND(V55&gt;=40,V55&lt;75,W55&gt;=100),0.1,0)+IF(AND(V55&gt;=75,W55&lt;25),0.35,0)+IF(AND(V55&gt;=75,W55&gt;=25,W55&lt;60),0.25,0)+IF(AND(V55&gt;=75,W55&gt;=60,W55&lt;95),0.17,0)+IF(AND(V55&gt;=75,W55&gt;=95),0.1,0),
IF(AF55="DoEVold15",IF(AND(V55&lt;=40,W55&lt;35),0.35,0)+IF(AND(V55&lt;=40,W55&gt;=35,W55&lt;75),0.25,0)+IF(AND(V55&lt;=40,W55&gt;=75,W55&lt;120),0.17,0)+IF(AND(V55&lt;=40,W55&gt;=120),0.15,0)+IF(AND(V55&gt;40,V55&lt;75,W55&lt;25),0.35,0)+IF(AND(V55&gt;=40,V55&lt;75,W55&gt;=25,W55&lt;65),0.25,0)+IF(AND(V55&gt;=40,V55&lt;75,W55&gt;=65,W55&lt;100),0.17,0)+IF(AND(V55&gt;=40,V55&lt;75,W55&gt;=100),0.1,0)+IF(AND(V55&gt;=75,W55&lt;25),0.35,0)+IF(AND(V55&gt;=75,W55&gt;=25,W55&lt;60),0.25,0)+IF(AND(V55&gt;=75,W55&gt;=60,W55&lt;95),0.17,0)+IF(AND(V55&gt;=75,W55&gt;=95),0.1,0),
IF(AF55="DoEVba",IF(AND(V55&lt;20,W55&lt;105),0.2,0)+IF(AND(V55&lt;20,W55&gt;=105),0.15,0)+IF(AND(V55&gt;=20,V55&lt;40,W55&lt;95),0.2,0)+IF(AND(V55&gt;=20,V55&lt;40,W55&gt;=95,W55&lt;150),0.15,0)+IF(AND(V55&gt;=20,V55&lt;40,W55&gt;=150),0.12,0)+IF(AND(V55&gt;=40,V55&lt;75,W55&lt;75),0.2,0)+IF(AND(V55&gt;=40,V55&lt;75,W55&gt;=75,W55&lt;120),0.15,0)+IF(AND(V55&gt;=40,V55&lt;75,W55&gt;=120),0.12,0)+IF(AND(V55&gt;=75,V55&lt;175,W55&lt;65),0.2,0)+IF(AND(V55&gt;=75,V55&lt;175,W55&gt;=65,W55&lt;110),0.15,0)+IF(AND(V55&gt;=75,V55&lt;175,W55&gt;=110),0.12,0)+IF(AND(V55&gt;=175,W55&lt;55),0.2,0)+IF(AND(V55&gt;=175,W55&gt;=55,W55&lt;95),0.15,0)+IF(AND(V55&gt;=175,W55&gt;=95),0.12,0),
IF(AF55="DoEVku",IF(AND(V55&lt;20,W55&lt;55),0.23,0)+IF(AND(V55&lt;20,W55&gt;=55,W55&lt;105),0.2,0)+IF(AND(V55&lt;20,W55&gt;=105),0.17,0)+IF(AND(V55&gt;=20,V55&lt;40,W55&lt;45),0.23,0)+IF(AND(V55&gt;=20,V55&lt;40,W55&gt;=45,W55&lt;95),0.2,0)+IF(AND(V55&gt;=20,V55&lt;40,W55&gt;=95,W55&lt;=150),0.17,0)+IF(AND(V55&gt;=20,V55&lt;40,W55&gt;=150),0.12,0)+IF(AND(V55&gt;=40,V55&lt;75,W55&lt;35),0.23,0)+IF(AND(V55&gt;=40,V55&lt;75,W55&gt;=35,W55&lt;75),0.2,0)+IF(AND(V55&gt;=40,V55&lt;75,W55&gt;=75,W55&lt;120),0.17,0)+IF(AND(V55&gt;=40,V55&lt;75,W55&gt;=120),0.12,0)+IF(AND(V55&gt;=75,V55&lt;175,W55&lt;35),0.23,0)+IF(AND(V55&gt;=75,V55&lt;=175,W55&gt;=35,W55&lt;65),0.2,0)+IF(AND(V55&gt;=75,V55&lt;=175,W55&gt;=65,W55&lt;110),0.17,0)+IF(AND(V55&gt;=75,V55&lt;=175,W55&gt;=110),0.12,0)+IF(AND(V55&gt;175,W55&lt;25),0.23,0)+IF(AND(V55&gt;175,W55&gt;=25,W55&lt;55),0.2,0)+IF(AND(V55&gt;175,W55&gt;=55,W55&lt;95),0.17,0)+IF(AND(V55&gt;175,W55&gt;=95),0.12,0),
IF(AF55="DoEVs1",IF(AND(V55&lt;20,W55&lt;55),0.3,0)+IF(AND(V55&lt;20,W55&gt;=55,W55&lt;105),0.23,0)+IF(AND(V55&lt;20,W55&gt;=105),0.17,0)+IF(AND(V55&gt;=20,V55&lt;40,W55&lt;45),0.3,0)+IF(AND(V55&gt;=20,V55&lt;40,W55&gt;=45,W55&lt;95),0.23,0)+IF(AND(V55&gt;=20,V55&lt;40,W55&gt;=95,W55&lt;=150),0.17,0)+IF(AND(V55&gt;=20,V55&lt;40,W55&gt;=150),0.12,0)+IF(AND(V55&gt;=40,V55&lt;75,W55&lt;35),0.3,0)+IF(AND(V55&gt;=40,V55&lt;75,W55&gt;=35,W55&lt;75),0.23,0)+IF(AND(V55&gt;=40,V55&lt;75,W55&gt;=75,W55&lt;120),0.17,0)+IF(AND(V55&gt;=40,V55&lt;75,W55&gt;=120),0.12,0)+IF(AND(V55&gt;=75,V55&lt;175,W55&lt;35),0.3,0)+IF(AND(V55&gt;=75,V55&lt;=175,W55&gt;=35,W55&lt;65),0.23,0)+IF(AND(V55&gt;=75,V55&lt;=175,W55&gt;=65,W55&lt;110),0.17,0)+IF(AND(V55&gt;=75,V55&lt;=175,W55&gt;=110),0.12,0)+IF(AND(V55&gt;175,W55&lt;25),0.3,0)+IF(AND(V55&gt;175,W55&gt;=25,W55&lt;55),0.23,0)+IF(AND(V55&gt;175,W55&gt;=55,W55&lt;95),0.17,0)+IF(AND(V55&gt;175,W55&gt;=95),0.12,0),
IF(AF55="DoEVsu",IF(AND(V55&lt;20,W55&lt;55),0.3,0)+IF(AND(V55&lt;20,W55&gt;=55,W55&lt;105),0.23,0)+IF(AND(V55&lt;20,W55&gt;=105),0.17,0)+IF(AND(V55&gt;=20,V55&lt;40,W55&lt;45),0.3,0)+IF(AND(V55&gt;=20,V55&lt;40,W55&gt;=45,W55&lt;95),0.23,0)+IF(AND(V55&gt;=20,V55&lt;40,W55&gt;=95,W55&lt;=250),0.17,0)+IF(AND(V55&gt;=20,V55&lt;40,W55&gt;=250),0.12,0)+IF(AND(V55&gt;=40,V55&lt;75,W55&lt;35),0.3,0)+IF(AND(V55&gt;=40,V55&lt;75,W55&gt;=35,W55&lt;75),0.23,0)+IF(AND(V55&gt;=40,V55&lt;75,W55&gt;=75,W55&lt;120),0.17,0)+IF(AND(V55&gt;=40,V55&lt;75,W55&gt;=120),0.12,0)+IF(AND(V55&gt;=75,V55&lt;175,W55&lt;35),0.3,0)+IF(AND(V55&gt;=75,V55&lt;=175,W55&gt;=35,W55&lt;65),0.23,0)+IF(AND(V55&gt;=75,V55&lt;=175,W55&gt;=65,W55&lt;110),0.17,0)+IF(AND(V55&gt;=75,V55&lt;=175,W55&gt;=110),0.12,0)+IF(AND(V55&gt;175,W55&lt;25),0.3,0)+IF(AND(V55&gt;175,W55&gt;=25,W55&lt;55),0.23,0)+IF(AND(V55&gt;175,W55&gt;=55,W55&lt;95),0.17,0)+IF(AND(V55&gt;175,W55&gt;=95),0.12,0),
IF(AF55="DoEVni",IF(AND(V55&lt;20,W55&lt;55),0.3,0)+IF(AND(V55&lt;20,W55&gt;=55,W55&lt;105),0.23,0)+IF(AND(V55&lt;20,W55&gt;=105),0.17,0)+IF(AND(V55&gt;=20,V55&lt;40,W55&lt;45),0.3,0)+IF(AND(V55&gt;=20,V55&lt;40,W55&gt;=45,W55&lt;95),0.23,0)+IF(AND(V55&gt;=20,V55&lt;40,W55&gt;=95,W55&lt;=200),0.17,0)+IF(AND(V55&gt;=20,V55&lt;40,W55&gt;=200),0.12,0)+IF(AND(V55&gt;=40,V55&lt;75,W55&lt;35),0.3,0)+IF(AND(V55&gt;=40,V55&lt;75,W55&gt;=35,W55&lt;75),0.23,0)+IF(AND(V55&gt;=40,V55&lt;75,W55&gt;=75,W55&lt;120),0.17,0)+IF(AND(V55&gt;=40,V55&lt;75,W55&gt;=120),0.12,0)+IF(AND(V55&gt;=75,V55&lt;175,W55&lt;35),0.3,0)+IF(AND(V55&gt;=75,V55&lt;=175,W55&gt;=35,W55&lt;65),0.23,0)+IF(AND(V55&gt;=75,V55&lt;=175,W55&gt;=65,W55&lt;110),0.17,0)+IF(AND(V55&gt;=75,V55&lt;=175,W55&gt;=110),0.12,0)+IF(AND(V55&gt;175,W55&lt;25),0.3,0)+IF(AND(V55&gt;175,W55&gt;=25,W55&lt;55),0.23,0)+IF(AND(V55&gt;175,W55&gt;=55,W55&lt;95),0.17,0)+IF(AND(V55&gt;175,W55&gt;=95),0.12,0),
IF(AF55="DoEVLo",IF(AND(V55&lt;20,W55&lt;55),0.25,0)+IF(AND(V55&lt;20,W55&gt;=55,W55&lt;105),0.2,0)+IF(AND(V55&lt;20,W55&gt;=105),0.15,0)+IF(AND(V55&gt;=20,V55&lt;40,W55&lt;45),0.25,0)+IF(AND(V55&gt;=20,V55&lt;40,W55&gt;=45,W55&lt;95),0.2,0)+IF(AND(V55&gt;=20,V55&lt;40,W55&gt;=95),0.15,0)+IF(AND(V55&gt;=40,V55&lt;75,W55&lt;35),0.25,0)+IF(AND(V55&gt;=40,V55&lt;75,W55&gt;=35,W55&lt;75),0.2,0)+IF(AND(V55&gt;=40,V55&lt;75,W55&gt;=75,W55&lt;120),0.15,0)+IF(AND(V55&gt;=40,V55&lt;75,W55&gt;=120),0.1,0)+IF(AND(V55&gt;=75,V55&lt;175,W55&lt;35),0.25,0)+IF(AND(V55&gt;=75,V55&lt;=175,W55&gt;=35,W55&lt;65),0.2,0)+IF(AND(V55&gt;=75,V55&lt;=175,W55&gt;=65,W55&lt;110),0.15,0)+IF(AND(V55&gt;=75,V55&lt;=175,W55&gt;=110),0.1,0)+IF(AND(V55&gt;175,W55&lt;25),0.25,0)+IF(AND(V55&gt;175,W55&gt;=25,W55&lt;55),0.2,0)+IF(AND(V55&gt;175,W55&gt;=55,W55&lt;95),0.15,0)+IF(AND(V55&gt;175,W55&gt;=95),0.1,0))))))))))))))))</f>
        <v>0.2</v>
      </c>
      <c r="Y55" s="30">
        <f>IF(AG55="None",0,IF(AG55="Fix5",0.05,IF(AG55="Fix3.75",0.0375,IF(AG55="Fix10",0.1,IF(AG55="Fix3",0.03,0)))))</f>
        <v>0</v>
      </c>
      <c r="Z55" s="35">
        <f>T55-AA55-AB55</f>
        <v>111.41200000000001</v>
      </c>
      <c r="AA55" s="29">
        <f>IF(AD55="EUR",((T55-R55)*X55)*U55+(R55*X55),(T55*X55))</f>
        <v>28.587999999999997</v>
      </c>
      <c r="AB55" s="36">
        <f>IF(AD55="EUR",((T55-R55)*Y55)*U55+(R55*Y55),(T55*Y55))</f>
        <v>0</v>
      </c>
      <c r="AC55" s="37" t="b">
        <v>1</v>
      </c>
      <c r="AD55" s="37" t="s">
        <v>50</v>
      </c>
      <c r="AE55" s="37"/>
      <c r="AF55" s="37" t="str">
        <f t="array" ref="AF55">INDEX('Deal Info'!D:D, MATCH(A55,'Deal Info'!A:A, 0))</f>
        <v>DoEV2017</v>
      </c>
      <c r="AG55" s="38" t="str">
        <f t="array" ref="AG55">INDEX('Deal Info'!G:G, MATCH(A55,'Deal Info'!A:A, 0))</f>
        <v>None</v>
      </c>
    </row>
    <row r="56" spans="1:33" ht="14.25" hidden="1" x14ac:dyDescent="0.2">
      <c r="A56" s="18" t="str">
        <f t="array" ref="A56">IF(G56='Room Info'!$B$1, INDEX('Room Info'!$A$2:$A2446, MATCH(B56,'Room Info'!$B$2:$B2446, 0)),IF(G56='Room Info'!$C$1, INDEX('Room Info'!$A$2:$A2446, MATCH(B56,'Room Info'!$C$2:$C2446, 0)),IF(G56='Room Info'!$D$1, INDEX('Room Info'!$A$2:$A2446, MATCH(B56,'Room Info'!$D$2:$D2446, 0)),IF(G56='Room Info'!$E$1, INDEX('Room Info'!$A$2:$A2446, MATCH(B56,'Room Info'!$E$2:$E2446, 0)),IF(G56='Room Info'!$F$1, INDEX('Room Info'!$A$2:$A2446, MATCH(B56,'Room Info'!$F$2:$F2446, 0)),IF(G56='Room Info'!$H$1, INDEX('Room Info'!$A$2:$A2446, MATCH(B56,'Room Info'!$H$2:$H2446, 0)),IF(G56='Room Info'!$G$1, INDEX('Room Info'!$A$2:$A2446, MATCH(B56,'Room Info'!$G$2:$G2446, 0)))))))))</f>
        <v>Abcdf</v>
      </c>
      <c r="B56" s="18" t="s">
        <v>60</v>
      </c>
      <c r="C56" s="19">
        <v>44713</v>
      </c>
      <c r="D56" s="19">
        <v>44742</v>
      </c>
      <c r="E56" s="21">
        <v>44713</v>
      </c>
      <c r="F56" s="40" t="s">
        <v>41</v>
      </c>
      <c r="G56" s="18" t="s">
        <v>69</v>
      </c>
      <c r="H56" s="23" t="s">
        <v>39</v>
      </c>
      <c r="I56" s="23" t="s">
        <v>37</v>
      </c>
      <c r="J56" s="39">
        <v>5</v>
      </c>
      <c r="K56" s="25">
        <v>197</v>
      </c>
      <c r="L56" s="26">
        <v>260</v>
      </c>
      <c r="M56" s="42">
        <v>1</v>
      </c>
      <c r="N56" s="28">
        <f>K56*J56</f>
        <v>985</v>
      </c>
      <c r="O56" s="18"/>
      <c r="P56" s="29">
        <v>0</v>
      </c>
      <c r="Q56" s="30"/>
      <c r="R56" s="31">
        <f>M56+Q56</f>
        <v>1</v>
      </c>
      <c r="S56" s="28"/>
      <c r="T56" s="32">
        <f>R56+S56+IF(F56="Without EV deal",L56,0)</f>
        <v>261</v>
      </c>
      <c r="U56" s="33">
        <v>1.0209999999999999</v>
      </c>
      <c r="V56" s="34">
        <v>15.374762808349146</v>
      </c>
      <c r="W56" s="34">
        <v>60.553779697624186</v>
      </c>
      <c r="X56" s="30">
        <f>IF(AF56="DoEV",IF(AND(V56&lt;20,W56&lt;55),0.3,0)+IF(AND(V56&lt;20,W56&gt;=55,W56&lt;105),0.23,0)+IF(AND(V56&lt;20,W56&gt;=105),0.17,0)+IF(AND(V56&gt;=20,V56&lt;40,W56&lt;45),0.3,0)+IF(AND(V56&gt;=20,V56&lt;40,W56&gt;=45,W56&lt;95),0.23,0)+IF(AND(V56&gt;=20,V56&lt;40,W56&gt;=95),0.17,0)+IF(AND(V56&gt;=40,V56&lt;75,W56&lt;35),0.3,0)+IF(AND(V56&gt;=40,V56&lt;75,W56&gt;=35,W56&lt;75),0.23,0)+IF(AND(V56&gt;=40,V56&lt;75,W56&gt;=75,W56&lt;120),0.17,0)+IF(AND(V56&gt;=40,V56&lt;75,W56&gt;=120),0.12,0)+IF(AND(V56&gt;=75,V56&lt;175,W56&lt;35),0.3,0)+IF(AND(V56&gt;=75,V56&lt;=175,W56&gt;=35,W56&lt;65),0.23,0)+IF(AND(V56&gt;=75,V56&lt;=175,W56&gt;=65,W56&lt;110),0.17,0)+IF(AND(V56&gt;=75,V56&lt;=175,W56&gt;=110),0.12,0)+IF(AND(V56&gt;175,W56&lt;25),0.3,0)+IF(AND(V56&gt;175,W56&gt;=25,W56&lt;55),0.23,0)+IF(AND(V56&gt;175,W56&gt;=55,W56&lt;95),0.17,0)+IF(AND(V56&gt;175,W56&gt;=95),0.12,0),
IF(AF56="Fix15",0.15,
IF(AF56="Fix11.25",0.1125,
IF(AF56="Fix10",0.1,
IF(AF56="Fix9",0.09,
IF(AF56="DoEV2017",IF(AND(W56&lt;74),0.2,0)+IF(AND(W56&gt;=74),0.17,0),
IF(AF56="SF",IF(AND(V56&lt;20,W56&lt;89),0.3,0)+IF(AND(V56&lt;20,W56&gt;=89),0.25,0)+IF(AND(V56&gt;=20,V56&lt;40,W56&lt;74),0.3,0)+IF(AND(V56&gt;=20,V56&lt;40,W56&gt;=75),0.22,0)+IF(AND(V56&gt;=40,V56&lt;75,W56&lt;75),0.26,0)+IF(AND(V56&gt;=40,V56&lt;75,W56&gt;=75),0.22,0)+IF(V56&gt;=75,0.22,0),
IF(AF56="DoEVold",IF(AND(V56&lt;40,W56&lt;35),0.35,0)+IF(AND(V56&lt;40,W56&gt;=35,W56&lt;75),0.25,0)+IF(AND(V56&lt;40,W56&gt;=75),0.17,0)+IF(AND(V56&gt;=40,V56&lt;75,W56&lt;25),0.35,0)+IF(AND(V56&gt;=40,V56&lt;75,W56&gt;=25,W56&lt;65),0.25,0)+IF(AND(V56&gt;=40,V56&lt;75,W56&gt;=65,W56&lt;100),0.17,0)+IF(AND(V56&gt;=40,V56&lt;75,W56&gt;=100),0.1,0)+IF(AND(V56&gt;=75,W56&lt;25),0.35,0)+IF(AND(V56&gt;=75,W56&gt;=25,W56&lt;60),0.25,0)+IF(AND(V56&gt;=75,W56&gt;=60,W56&lt;95),0.17,0)+IF(AND(V56&gt;=75,W56&gt;=95),0.1,0),
IF(AF56="DoEVold15",IF(AND(V56&lt;=40,W56&lt;35),0.35,0)+IF(AND(V56&lt;=40,W56&gt;=35,W56&lt;75),0.25,0)+IF(AND(V56&lt;=40,W56&gt;=75,W56&lt;120),0.17,0)+IF(AND(V56&lt;=40,W56&gt;=120),0.15,0)+IF(AND(V56&gt;40,V56&lt;75,W56&lt;25),0.35,0)+IF(AND(V56&gt;=40,V56&lt;75,W56&gt;=25,W56&lt;65),0.25,0)+IF(AND(V56&gt;=40,V56&lt;75,W56&gt;=65,W56&lt;100),0.17,0)+IF(AND(V56&gt;=40,V56&lt;75,W56&gt;=100),0.1,0)+IF(AND(V56&gt;=75,W56&lt;25),0.35,0)+IF(AND(V56&gt;=75,W56&gt;=25,W56&lt;60),0.25,0)+IF(AND(V56&gt;=75,W56&gt;=60,W56&lt;95),0.17,0)+IF(AND(V56&gt;=75,W56&gt;=95),0.1,0),
IF(AF56="DoEVba",IF(AND(V56&lt;20,W56&lt;105),0.2,0)+IF(AND(V56&lt;20,W56&gt;=105),0.15,0)+IF(AND(V56&gt;=20,V56&lt;40,W56&lt;95),0.2,0)+IF(AND(V56&gt;=20,V56&lt;40,W56&gt;=95,W56&lt;150),0.15,0)+IF(AND(V56&gt;=20,V56&lt;40,W56&gt;=150),0.12,0)+IF(AND(V56&gt;=40,V56&lt;75,W56&lt;75),0.2,0)+IF(AND(V56&gt;=40,V56&lt;75,W56&gt;=75,W56&lt;120),0.15,0)+IF(AND(V56&gt;=40,V56&lt;75,W56&gt;=120),0.12,0)+IF(AND(V56&gt;=75,V56&lt;175,W56&lt;65),0.2,0)+IF(AND(V56&gt;=75,V56&lt;175,W56&gt;=65,W56&lt;110),0.15,0)+IF(AND(V56&gt;=75,V56&lt;175,W56&gt;=110),0.12,0)+IF(AND(V56&gt;=175,W56&lt;55),0.2,0)+IF(AND(V56&gt;=175,W56&gt;=55,W56&lt;95),0.15,0)+IF(AND(V56&gt;=175,W56&gt;=95),0.12,0),
IF(AF56="DoEVku",IF(AND(V56&lt;20,W56&lt;55),0.23,0)+IF(AND(V56&lt;20,W56&gt;=55,W56&lt;105),0.2,0)+IF(AND(V56&lt;20,W56&gt;=105),0.17,0)+IF(AND(V56&gt;=20,V56&lt;40,W56&lt;45),0.23,0)+IF(AND(V56&gt;=20,V56&lt;40,W56&gt;=45,W56&lt;95),0.2,0)+IF(AND(V56&gt;=20,V56&lt;40,W56&gt;=95,W56&lt;=150),0.17,0)+IF(AND(V56&gt;=20,V56&lt;40,W56&gt;=150),0.12,0)+IF(AND(V56&gt;=40,V56&lt;75,W56&lt;35),0.23,0)+IF(AND(V56&gt;=40,V56&lt;75,W56&gt;=35,W56&lt;75),0.2,0)+IF(AND(V56&gt;=40,V56&lt;75,W56&gt;=75,W56&lt;120),0.17,0)+IF(AND(V56&gt;=40,V56&lt;75,W56&gt;=120),0.12,0)+IF(AND(V56&gt;=75,V56&lt;175,W56&lt;35),0.23,0)+IF(AND(V56&gt;=75,V56&lt;=175,W56&gt;=35,W56&lt;65),0.2,0)+IF(AND(V56&gt;=75,V56&lt;=175,W56&gt;=65,W56&lt;110),0.17,0)+IF(AND(V56&gt;=75,V56&lt;=175,W56&gt;=110),0.12,0)+IF(AND(V56&gt;175,W56&lt;25),0.23,0)+IF(AND(V56&gt;175,W56&gt;=25,W56&lt;55),0.2,0)+IF(AND(V56&gt;175,W56&gt;=55,W56&lt;95),0.17,0)+IF(AND(V56&gt;175,W56&gt;=95),0.12,0),
IF(AF56="DoEVs1",IF(AND(V56&lt;20,W56&lt;55),0.3,0)+IF(AND(V56&lt;20,W56&gt;=55,W56&lt;105),0.23,0)+IF(AND(V56&lt;20,W56&gt;=105),0.17,0)+IF(AND(V56&gt;=20,V56&lt;40,W56&lt;45),0.3,0)+IF(AND(V56&gt;=20,V56&lt;40,W56&gt;=45,W56&lt;95),0.23,0)+IF(AND(V56&gt;=20,V56&lt;40,W56&gt;=95,W56&lt;=150),0.17,0)+IF(AND(V56&gt;=20,V56&lt;40,W56&gt;=150),0.12,0)+IF(AND(V56&gt;=40,V56&lt;75,W56&lt;35),0.3,0)+IF(AND(V56&gt;=40,V56&lt;75,W56&gt;=35,W56&lt;75),0.23,0)+IF(AND(V56&gt;=40,V56&lt;75,W56&gt;=75,W56&lt;120),0.17,0)+IF(AND(V56&gt;=40,V56&lt;75,W56&gt;=120),0.12,0)+IF(AND(V56&gt;=75,V56&lt;175,W56&lt;35),0.3,0)+IF(AND(V56&gt;=75,V56&lt;=175,W56&gt;=35,W56&lt;65),0.23,0)+IF(AND(V56&gt;=75,V56&lt;=175,W56&gt;=65,W56&lt;110),0.17,0)+IF(AND(V56&gt;=75,V56&lt;=175,W56&gt;=110),0.12,0)+IF(AND(V56&gt;175,W56&lt;25),0.3,0)+IF(AND(V56&gt;175,W56&gt;=25,W56&lt;55),0.23,0)+IF(AND(V56&gt;175,W56&gt;=55,W56&lt;95),0.17,0)+IF(AND(V56&gt;175,W56&gt;=95),0.12,0),
IF(AF56="DoEVsu",IF(AND(V56&lt;20,W56&lt;55),0.3,0)+IF(AND(V56&lt;20,W56&gt;=55,W56&lt;105),0.23,0)+IF(AND(V56&lt;20,W56&gt;=105),0.17,0)+IF(AND(V56&gt;=20,V56&lt;40,W56&lt;45),0.3,0)+IF(AND(V56&gt;=20,V56&lt;40,W56&gt;=45,W56&lt;95),0.23,0)+IF(AND(V56&gt;=20,V56&lt;40,W56&gt;=95,W56&lt;=250),0.17,0)+IF(AND(V56&gt;=20,V56&lt;40,W56&gt;=250),0.12,0)+IF(AND(V56&gt;=40,V56&lt;75,W56&lt;35),0.3,0)+IF(AND(V56&gt;=40,V56&lt;75,W56&gt;=35,W56&lt;75),0.23,0)+IF(AND(V56&gt;=40,V56&lt;75,W56&gt;=75,W56&lt;120),0.17,0)+IF(AND(V56&gt;=40,V56&lt;75,W56&gt;=120),0.12,0)+IF(AND(V56&gt;=75,V56&lt;175,W56&lt;35),0.3,0)+IF(AND(V56&gt;=75,V56&lt;=175,W56&gt;=35,W56&lt;65),0.23,0)+IF(AND(V56&gt;=75,V56&lt;=175,W56&gt;=65,W56&lt;110),0.17,0)+IF(AND(V56&gt;=75,V56&lt;=175,W56&gt;=110),0.12,0)+IF(AND(V56&gt;175,W56&lt;25),0.3,0)+IF(AND(V56&gt;175,W56&gt;=25,W56&lt;55),0.23,0)+IF(AND(V56&gt;175,W56&gt;=55,W56&lt;95),0.17,0)+IF(AND(V56&gt;175,W56&gt;=95),0.12,0),
IF(AF56="DoEVni",IF(AND(V56&lt;20,W56&lt;55),0.3,0)+IF(AND(V56&lt;20,W56&gt;=55,W56&lt;105),0.23,0)+IF(AND(V56&lt;20,W56&gt;=105),0.17,0)+IF(AND(V56&gt;=20,V56&lt;40,W56&lt;45),0.3,0)+IF(AND(V56&gt;=20,V56&lt;40,W56&gt;=45,W56&lt;95),0.23,0)+IF(AND(V56&gt;=20,V56&lt;40,W56&gt;=95,W56&lt;=200),0.17,0)+IF(AND(V56&gt;=20,V56&lt;40,W56&gt;=200),0.12,0)+IF(AND(V56&gt;=40,V56&lt;75,W56&lt;35),0.3,0)+IF(AND(V56&gt;=40,V56&lt;75,W56&gt;=35,W56&lt;75),0.23,0)+IF(AND(V56&gt;=40,V56&lt;75,W56&gt;=75,W56&lt;120),0.17,0)+IF(AND(V56&gt;=40,V56&lt;75,W56&gt;=120),0.12,0)+IF(AND(V56&gt;=75,V56&lt;175,W56&lt;35),0.3,0)+IF(AND(V56&gt;=75,V56&lt;=175,W56&gt;=35,W56&lt;65),0.23,0)+IF(AND(V56&gt;=75,V56&lt;=175,W56&gt;=65,W56&lt;110),0.17,0)+IF(AND(V56&gt;=75,V56&lt;=175,W56&gt;=110),0.12,0)+IF(AND(V56&gt;175,W56&lt;25),0.3,0)+IF(AND(V56&gt;175,W56&gt;=25,W56&lt;55),0.23,0)+IF(AND(V56&gt;175,W56&gt;=55,W56&lt;95),0.17,0)+IF(AND(V56&gt;175,W56&gt;=95),0.12,0),
IF(AF56="DoEVLo",IF(AND(V56&lt;20,W56&lt;55),0.25,0)+IF(AND(V56&lt;20,W56&gt;=55,W56&lt;105),0.2,0)+IF(AND(V56&lt;20,W56&gt;=105),0.15,0)+IF(AND(V56&gt;=20,V56&lt;40,W56&lt;45),0.25,0)+IF(AND(V56&gt;=20,V56&lt;40,W56&gt;=45,W56&lt;95),0.2,0)+IF(AND(V56&gt;=20,V56&lt;40,W56&gt;=95),0.15,0)+IF(AND(V56&gt;=40,V56&lt;75,W56&lt;35),0.25,0)+IF(AND(V56&gt;=40,V56&lt;75,W56&gt;=35,W56&lt;75),0.2,0)+IF(AND(V56&gt;=40,V56&lt;75,W56&gt;=75,W56&lt;120),0.15,0)+IF(AND(V56&gt;=40,V56&lt;75,W56&gt;=120),0.1,0)+IF(AND(V56&gt;=75,V56&lt;175,W56&lt;35),0.25,0)+IF(AND(V56&gt;=75,V56&lt;=175,W56&gt;=35,W56&lt;65),0.2,0)+IF(AND(V56&gt;=75,V56&lt;=175,W56&gt;=65,W56&lt;110),0.15,0)+IF(AND(V56&gt;=75,V56&lt;=175,W56&gt;=110),0.1,0)+IF(AND(V56&gt;175,W56&lt;25),0.25,0)+IF(AND(V56&gt;175,W56&gt;=25,W56&lt;55),0.2,0)+IF(AND(V56&gt;175,W56&gt;=55,W56&lt;95),0.15,0)+IF(AND(V56&gt;175,W56&gt;=95),0.1,0))))))))))))))))</f>
        <v>0.2</v>
      </c>
      <c r="Y56" s="30">
        <f>IF(AG56="None",0,IF(AG56="Fix5",0.05,IF(AG56="Fix3.75",0.0375,IF(AG56="Fix10",0.1,IF(AG56="Fix3",0.03,0)))))</f>
        <v>0</v>
      </c>
      <c r="Z56" s="35">
        <f>T56-AA56-AB56</f>
        <v>207.708</v>
      </c>
      <c r="AA56" s="29">
        <f>IF(AD56="EUR",((T56-R56)*X56)*U56+(R56*X56),(T56*X56))</f>
        <v>53.292000000000002</v>
      </c>
      <c r="AB56" s="36">
        <f>IF(AD56="EUR",((T56-R56)*Y56)*U56+(R56*Y56),(T56*Y56))</f>
        <v>0</v>
      </c>
      <c r="AC56" s="37" t="b">
        <v>1</v>
      </c>
      <c r="AD56" s="37" t="s">
        <v>50</v>
      </c>
      <c r="AE56" s="37"/>
      <c r="AF56" s="37" t="str">
        <f t="array" ref="AF56">INDEX('Deal Info'!D:D, MATCH(A56,'Deal Info'!A:A, 0))</f>
        <v>DoEV2017</v>
      </c>
      <c r="AG56" s="38" t="str">
        <f t="array" ref="AG56">INDEX('Deal Info'!G:G, MATCH(A56,'Deal Info'!A:A, 0))</f>
        <v>None</v>
      </c>
    </row>
    <row r="57" spans="1:33" ht="14.25" hidden="1" x14ac:dyDescent="0.2">
      <c r="A57" s="18" t="str">
        <f t="array" ref="A57">IF(G57='Room Info'!$B$1, INDEX('Room Info'!$A$2:$A2446, MATCH(B57,'Room Info'!$B$2:$B2446, 0)),IF(G57='Room Info'!$C$1, INDEX('Room Info'!$A$2:$A2446, MATCH(B57,'Room Info'!$C$2:$C2446, 0)),IF(G57='Room Info'!$D$1, INDEX('Room Info'!$A$2:$A2446, MATCH(B57,'Room Info'!$D$2:$D2446, 0)),IF(G57='Room Info'!$E$1, INDEX('Room Info'!$A$2:$A2446, MATCH(B57,'Room Info'!$E$2:$E2446, 0)),IF(G57='Room Info'!$F$1, INDEX('Room Info'!$A$2:$A2446, MATCH(B57,'Room Info'!$F$2:$F2446, 0)),IF(G57='Room Info'!$H$1, INDEX('Room Info'!$A$2:$A2446, MATCH(B57,'Room Info'!$H$2:$H2446, 0)),IF(G57='Room Info'!$G$1, INDEX('Room Info'!$A$2:$A2446, MATCH(B57,'Room Info'!$G$2:$G2446, 0)))))))))</f>
        <v>Abcdf</v>
      </c>
      <c r="B57" s="18" t="s">
        <v>60</v>
      </c>
      <c r="C57" s="19">
        <v>44713</v>
      </c>
      <c r="D57" s="19">
        <v>44742</v>
      </c>
      <c r="E57" s="21">
        <v>44713</v>
      </c>
      <c r="F57" s="40" t="s">
        <v>41</v>
      </c>
      <c r="G57" s="18" t="s">
        <v>69</v>
      </c>
      <c r="H57" s="23" t="s">
        <v>72</v>
      </c>
      <c r="I57" s="23" t="s">
        <v>37</v>
      </c>
      <c r="J57" s="39">
        <v>50</v>
      </c>
      <c r="K57" s="25">
        <v>48</v>
      </c>
      <c r="L57" s="26">
        <v>-300</v>
      </c>
      <c r="M57" s="42">
        <v>2</v>
      </c>
      <c r="N57" s="28">
        <f>K57*J57</f>
        <v>2400</v>
      </c>
      <c r="O57" s="18"/>
      <c r="P57" s="29">
        <v>0</v>
      </c>
      <c r="Q57" s="30"/>
      <c r="R57" s="31">
        <f>M57+Q57</f>
        <v>2</v>
      </c>
      <c r="S57" s="28"/>
      <c r="T57" s="32">
        <f>R57+S57+IF(F57="Without EV deal",L57,0)</f>
        <v>-298</v>
      </c>
      <c r="U57" s="33">
        <v>1.0209999999999999</v>
      </c>
      <c r="V57" s="34">
        <v>15.374762808349146</v>
      </c>
      <c r="W57" s="34">
        <v>60.553779697624186</v>
      </c>
      <c r="X57" s="30">
        <f>IF(AF57="DoEV",IF(AND(V57&lt;20,W57&lt;55),0.3,0)+IF(AND(V57&lt;20,W57&gt;=55,W57&lt;105),0.23,0)+IF(AND(V57&lt;20,W57&gt;=105),0.17,0)+IF(AND(V57&gt;=20,V57&lt;40,W57&lt;45),0.3,0)+IF(AND(V57&gt;=20,V57&lt;40,W57&gt;=45,W57&lt;95),0.23,0)+IF(AND(V57&gt;=20,V57&lt;40,W57&gt;=95),0.17,0)+IF(AND(V57&gt;=40,V57&lt;75,W57&lt;35),0.3,0)+IF(AND(V57&gt;=40,V57&lt;75,W57&gt;=35,W57&lt;75),0.23,0)+IF(AND(V57&gt;=40,V57&lt;75,W57&gt;=75,W57&lt;120),0.17,0)+IF(AND(V57&gt;=40,V57&lt;75,W57&gt;=120),0.12,0)+IF(AND(V57&gt;=75,V57&lt;175,W57&lt;35),0.3,0)+IF(AND(V57&gt;=75,V57&lt;=175,W57&gt;=35,W57&lt;65),0.23,0)+IF(AND(V57&gt;=75,V57&lt;=175,W57&gt;=65,W57&lt;110),0.17,0)+IF(AND(V57&gt;=75,V57&lt;=175,W57&gt;=110),0.12,0)+IF(AND(V57&gt;175,W57&lt;25),0.3,0)+IF(AND(V57&gt;175,W57&gt;=25,W57&lt;55),0.23,0)+IF(AND(V57&gt;175,W57&gt;=55,W57&lt;95),0.17,0)+IF(AND(V57&gt;175,W57&gt;=95),0.12,0),
IF(AF57="Fix15",0.15,
IF(AF57="Fix11.25",0.1125,
IF(AF57="Fix10",0.1,
IF(AF57="Fix9",0.09,
IF(AF57="DoEV2017",IF(AND(W57&lt;74),0.2,0)+IF(AND(W57&gt;=74),0.17,0),
IF(AF57="SF",IF(AND(V57&lt;20,W57&lt;89),0.3,0)+IF(AND(V57&lt;20,W57&gt;=89),0.25,0)+IF(AND(V57&gt;=20,V57&lt;40,W57&lt;74),0.3,0)+IF(AND(V57&gt;=20,V57&lt;40,W57&gt;=75),0.22,0)+IF(AND(V57&gt;=40,V57&lt;75,W57&lt;75),0.26,0)+IF(AND(V57&gt;=40,V57&lt;75,W57&gt;=75),0.22,0)+IF(V57&gt;=75,0.22,0),
IF(AF57="DoEVold",IF(AND(V57&lt;40,W57&lt;35),0.35,0)+IF(AND(V57&lt;40,W57&gt;=35,W57&lt;75),0.25,0)+IF(AND(V57&lt;40,W57&gt;=75),0.17,0)+IF(AND(V57&gt;=40,V57&lt;75,W57&lt;25),0.35,0)+IF(AND(V57&gt;=40,V57&lt;75,W57&gt;=25,W57&lt;65),0.25,0)+IF(AND(V57&gt;=40,V57&lt;75,W57&gt;=65,W57&lt;100),0.17,0)+IF(AND(V57&gt;=40,V57&lt;75,W57&gt;=100),0.1,0)+IF(AND(V57&gt;=75,W57&lt;25),0.35,0)+IF(AND(V57&gt;=75,W57&gt;=25,W57&lt;60),0.25,0)+IF(AND(V57&gt;=75,W57&gt;=60,W57&lt;95),0.17,0)+IF(AND(V57&gt;=75,W57&gt;=95),0.1,0),
IF(AF57="DoEVold15",IF(AND(V57&lt;=40,W57&lt;35),0.35,0)+IF(AND(V57&lt;=40,W57&gt;=35,W57&lt;75),0.25,0)+IF(AND(V57&lt;=40,W57&gt;=75,W57&lt;120),0.17,0)+IF(AND(V57&lt;=40,W57&gt;=120),0.15,0)+IF(AND(V57&gt;40,V57&lt;75,W57&lt;25),0.35,0)+IF(AND(V57&gt;=40,V57&lt;75,W57&gt;=25,W57&lt;65),0.25,0)+IF(AND(V57&gt;=40,V57&lt;75,W57&gt;=65,W57&lt;100),0.17,0)+IF(AND(V57&gt;=40,V57&lt;75,W57&gt;=100),0.1,0)+IF(AND(V57&gt;=75,W57&lt;25),0.35,0)+IF(AND(V57&gt;=75,W57&gt;=25,W57&lt;60),0.25,0)+IF(AND(V57&gt;=75,W57&gt;=60,W57&lt;95),0.17,0)+IF(AND(V57&gt;=75,W57&gt;=95),0.1,0),
IF(AF57="DoEVba",IF(AND(V57&lt;20,W57&lt;105),0.2,0)+IF(AND(V57&lt;20,W57&gt;=105),0.15,0)+IF(AND(V57&gt;=20,V57&lt;40,W57&lt;95),0.2,0)+IF(AND(V57&gt;=20,V57&lt;40,W57&gt;=95,W57&lt;150),0.15,0)+IF(AND(V57&gt;=20,V57&lt;40,W57&gt;=150),0.12,0)+IF(AND(V57&gt;=40,V57&lt;75,W57&lt;75),0.2,0)+IF(AND(V57&gt;=40,V57&lt;75,W57&gt;=75,W57&lt;120),0.15,0)+IF(AND(V57&gt;=40,V57&lt;75,W57&gt;=120),0.12,0)+IF(AND(V57&gt;=75,V57&lt;175,W57&lt;65),0.2,0)+IF(AND(V57&gt;=75,V57&lt;175,W57&gt;=65,W57&lt;110),0.15,0)+IF(AND(V57&gt;=75,V57&lt;175,W57&gt;=110),0.12,0)+IF(AND(V57&gt;=175,W57&lt;55),0.2,0)+IF(AND(V57&gt;=175,W57&gt;=55,W57&lt;95),0.15,0)+IF(AND(V57&gt;=175,W57&gt;=95),0.12,0),
IF(AF57="DoEVku",IF(AND(V57&lt;20,W57&lt;55),0.23,0)+IF(AND(V57&lt;20,W57&gt;=55,W57&lt;105),0.2,0)+IF(AND(V57&lt;20,W57&gt;=105),0.17,0)+IF(AND(V57&gt;=20,V57&lt;40,W57&lt;45),0.23,0)+IF(AND(V57&gt;=20,V57&lt;40,W57&gt;=45,W57&lt;95),0.2,0)+IF(AND(V57&gt;=20,V57&lt;40,W57&gt;=95,W57&lt;=150),0.17,0)+IF(AND(V57&gt;=20,V57&lt;40,W57&gt;=150),0.12,0)+IF(AND(V57&gt;=40,V57&lt;75,W57&lt;35),0.23,0)+IF(AND(V57&gt;=40,V57&lt;75,W57&gt;=35,W57&lt;75),0.2,0)+IF(AND(V57&gt;=40,V57&lt;75,W57&gt;=75,W57&lt;120),0.17,0)+IF(AND(V57&gt;=40,V57&lt;75,W57&gt;=120),0.12,0)+IF(AND(V57&gt;=75,V57&lt;175,W57&lt;35),0.23,0)+IF(AND(V57&gt;=75,V57&lt;=175,W57&gt;=35,W57&lt;65),0.2,0)+IF(AND(V57&gt;=75,V57&lt;=175,W57&gt;=65,W57&lt;110),0.17,0)+IF(AND(V57&gt;=75,V57&lt;=175,W57&gt;=110),0.12,0)+IF(AND(V57&gt;175,W57&lt;25),0.23,0)+IF(AND(V57&gt;175,W57&gt;=25,W57&lt;55),0.2,0)+IF(AND(V57&gt;175,W57&gt;=55,W57&lt;95),0.17,0)+IF(AND(V57&gt;175,W57&gt;=95),0.12,0),
IF(AF57="DoEVs1",IF(AND(V57&lt;20,W57&lt;55),0.3,0)+IF(AND(V57&lt;20,W57&gt;=55,W57&lt;105),0.23,0)+IF(AND(V57&lt;20,W57&gt;=105),0.17,0)+IF(AND(V57&gt;=20,V57&lt;40,W57&lt;45),0.3,0)+IF(AND(V57&gt;=20,V57&lt;40,W57&gt;=45,W57&lt;95),0.23,0)+IF(AND(V57&gt;=20,V57&lt;40,W57&gt;=95,W57&lt;=150),0.17,0)+IF(AND(V57&gt;=20,V57&lt;40,W57&gt;=150),0.12,0)+IF(AND(V57&gt;=40,V57&lt;75,W57&lt;35),0.3,0)+IF(AND(V57&gt;=40,V57&lt;75,W57&gt;=35,W57&lt;75),0.23,0)+IF(AND(V57&gt;=40,V57&lt;75,W57&gt;=75,W57&lt;120),0.17,0)+IF(AND(V57&gt;=40,V57&lt;75,W57&gt;=120),0.12,0)+IF(AND(V57&gt;=75,V57&lt;175,W57&lt;35),0.3,0)+IF(AND(V57&gt;=75,V57&lt;=175,W57&gt;=35,W57&lt;65),0.23,0)+IF(AND(V57&gt;=75,V57&lt;=175,W57&gt;=65,W57&lt;110),0.17,0)+IF(AND(V57&gt;=75,V57&lt;=175,W57&gt;=110),0.12,0)+IF(AND(V57&gt;175,W57&lt;25),0.3,0)+IF(AND(V57&gt;175,W57&gt;=25,W57&lt;55),0.23,0)+IF(AND(V57&gt;175,W57&gt;=55,W57&lt;95),0.17,0)+IF(AND(V57&gt;175,W57&gt;=95),0.12,0),
IF(AF57="DoEVsu",IF(AND(V57&lt;20,W57&lt;55),0.3,0)+IF(AND(V57&lt;20,W57&gt;=55,W57&lt;105),0.23,0)+IF(AND(V57&lt;20,W57&gt;=105),0.17,0)+IF(AND(V57&gt;=20,V57&lt;40,W57&lt;45),0.3,0)+IF(AND(V57&gt;=20,V57&lt;40,W57&gt;=45,W57&lt;95),0.23,0)+IF(AND(V57&gt;=20,V57&lt;40,W57&gt;=95,W57&lt;=250),0.17,0)+IF(AND(V57&gt;=20,V57&lt;40,W57&gt;=250),0.12,0)+IF(AND(V57&gt;=40,V57&lt;75,W57&lt;35),0.3,0)+IF(AND(V57&gt;=40,V57&lt;75,W57&gt;=35,W57&lt;75),0.23,0)+IF(AND(V57&gt;=40,V57&lt;75,W57&gt;=75,W57&lt;120),0.17,0)+IF(AND(V57&gt;=40,V57&lt;75,W57&gt;=120),0.12,0)+IF(AND(V57&gt;=75,V57&lt;175,W57&lt;35),0.3,0)+IF(AND(V57&gt;=75,V57&lt;=175,W57&gt;=35,W57&lt;65),0.23,0)+IF(AND(V57&gt;=75,V57&lt;=175,W57&gt;=65,W57&lt;110),0.17,0)+IF(AND(V57&gt;=75,V57&lt;=175,W57&gt;=110),0.12,0)+IF(AND(V57&gt;175,W57&lt;25),0.3,0)+IF(AND(V57&gt;175,W57&gt;=25,W57&lt;55),0.23,0)+IF(AND(V57&gt;175,W57&gt;=55,W57&lt;95),0.17,0)+IF(AND(V57&gt;175,W57&gt;=95),0.12,0),
IF(AF57="DoEVni",IF(AND(V57&lt;20,W57&lt;55),0.3,0)+IF(AND(V57&lt;20,W57&gt;=55,W57&lt;105),0.23,0)+IF(AND(V57&lt;20,W57&gt;=105),0.17,0)+IF(AND(V57&gt;=20,V57&lt;40,W57&lt;45),0.3,0)+IF(AND(V57&gt;=20,V57&lt;40,W57&gt;=45,W57&lt;95),0.23,0)+IF(AND(V57&gt;=20,V57&lt;40,W57&gt;=95,W57&lt;=200),0.17,0)+IF(AND(V57&gt;=20,V57&lt;40,W57&gt;=200),0.12,0)+IF(AND(V57&gt;=40,V57&lt;75,W57&lt;35),0.3,0)+IF(AND(V57&gt;=40,V57&lt;75,W57&gt;=35,W57&lt;75),0.23,0)+IF(AND(V57&gt;=40,V57&lt;75,W57&gt;=75,W57&lt;120),0.17,0)+IF(AND(V57&gt;=40,V57&lt;75,W57&gt;=120),0.12,0)+IF(AND(V57&gt;=75,V57&lt;175,W57&lt;35),0.3,0)+IF(AND(V57&gt;=75,V57&lt;=175,W57&gt;=35,W57&lt;65),0.23,0)+IF(AND(V57&gt;=75,V57&lt;=175,W57&gt;=65,W57&lt;110),0.17,0)+IF(AND(V57&gt;=75,V57&lt;=175,W57&gt;=110),0.12,0)+IF(AND(V57&gt;175,W57&lt;25),0.3,0)+IF(AND(V57&gt;175,W57&gt;=25,W57&lt;55),0.23,0)+IF(AND(V57&gt;175,W57&gt;=55,W57&lt;95),0.17,0)+IF(AND(V57&gt;175,W57&gt;=95),0.12,0),
IF(AF57="DoEVLo",IF(AND(V57&lt;20,W57&lt;55),0.25,0)+IF(AND(V57&lt;20,W57&gt;=55,W57&lt;105),0.2,0)+IF(AND(V57&lt;20,W57&gt;=105),0.15,0)+IF(AND(V57&gt;=20,V57&lt;40,W57&lt;45),0.25,0)+IF(AND(V57&gt;=20,V57&lt;40,W57&gt;=45,W57&lt;95),0.2,0)+IF(AND(V57&gt;=20,V57&lt;40,W57&gt;=95),0.15,0)+IF(AND(V57&gt;=40,V57&lt;75,W57&lt;35),0.25,0)+IF(AND(V57&gt;=40,V57&lt;75,W57&gt;=35,W57&lt;75),0.2,0)+IF(AND(V57&gt;=40,V57&lt;75,W57&gt;=75,W57&lt;120),0.15,0)+IF(AND(V57&gt;=40,V57&lt;75,W57&gt;=120),0.1,0)+IF(AND(V57&gt;=75,V57&lt;175,W57&lt;35),0.25,0)+IF(AND(V57&gt;=75,V57&lt;=175,W57&gt;=35,W57&lt;65),0.2,0)+IF(AND(V57&gt;=75,V57&lt;=175,W57&gt;=65,W57&lt;110),0.15,0)+IF(AND(V57&gt;=75,V57&lt;=175,W57&gt;=110),0.1,0)+IF(AND(V57&gt;175,W57&lt;25),0.25,0)+IF(AND(V57&gt;175,W57&gt;=25,W57&lt;55),0.2,0)+IF(AND(V57&gt;175,W57&gt;=55,W57&lt;95),0.15,0)+IF(AND(V57&gt;175,W57&gt;=95),0.1,0))))))))))))))))</f>
        <v>0.2</v>
      </c>
      <c r="Y57" s="30">
        <f>IF(AG57="None",0,IF(AG57="Fix5",0.05,IF(AG57="Fix3.75",0.0375,IF(AG57="Fix10",0.1,IF(AG57="Fix3",0.03,0)))))</f>
        <v>0</v>
      </c>
      <c r="Z57" s="35">
        <f>T57-AA57-AB57</f>
        <v>-237.14000000000001</v>
      </c>
      <c r="AA57" s="29">
        <f>IF(AD57="EUR",((T57-R57)*X57)*U57+(R57*X57),(T57*X57))</f>
        <v>-60.859999999999992</v>
      </c>
      <c r="AB57" s="36">
        <f>IF(AD57="EUR",((T57-R57)*Y57)*U57+(R57*Y57),(T57*Y57))</f>
        <v>0</v>
      </c>
      <c r="AC57" s="37" t="b">
        <v>1</v>
      </c>
      <c r="AD57" s="37" t="s">
        <v>50</v>
      </c>
      <c r="AE57" s="37"/>
      <c r="AF57" s="37" t="str">
        <f t="array" ref="AF57">INDEX('Deal Info'!D:D, MATCH(A57,'Deal Info'!A:A, 0))</f>
        <v>DoEV2017</v>
      </c>
      <c r="AG57" s="38" t="str">
        <f t="array" ref="AG57">INDEX('Deal Info'!G:G, MATCH(A57,'Deal Info'!A:A, 0))</f>
        <v>None</v>
      </c>
    </row>
    <row r="58" spans="1:33" ht="14.25" hidden="1" x14ac:dyDescent="0.2">
      <c r="A58" s="18" t="str">
        <f t="array" ref="A58">IF(G58='Room Info'!$B$1, INDEX('Room Info'!$A$2:$A2446, MATCH(B58,'Room Info'!$B$2:$B2446, 0)),IF(G58='Room Info'!$C$1, INDEX('Room Info'!$A$2:$A2446, MATCH(B58,'Room Info'!$C$2:$C2446, 0)),IF(G58='Room Info'!$D$1, INDEX('Room Info'!$A$2:$A2446, MATCH(B58,'Room Info'!$D$2:$D2446, 0)),IF(G58='Room Info'!$E$1, INDEX('Room Info'!$A$2:$A2446, MATCH(B58,'Room Info'!$E$2:$E2446, 0)),IF(G58='Room Info'!$F$1, INDEX('Room Info'!$A$2:$A2446, MATCH(B58,'Room Info'!$F$2:$F2446, 0)),IF(G58='Room Info'!$H$1, INDEX('Room Info'!$A$2:$A2446, MATCH(B58,'Room Info'!$H$2:$H2446, 0)),IF(G58='Room Info'!$G$1, INDEX('Room Info'!$A$2:$A2446, MATCH(B58,'Room Info'!$G$2:$G2446, 0)))))))))</f>
        <v>Abcdf</v>
      </c>
      <c r="B58" s="18" t="s">
        <v>60</v>
      </c>
      <c r="C58" s="19">
        <v>44774</v>
      </c>
      <c r="D58" s="19">
        <v>44804</v>
      </c>
      <c r="E58" s="21">
        <v>44774</v>
      </c>
      <c r="F58" s="40" t="s">
        <v>41</v>
      </c>
      <c r="G58" s="18" t="s">
        <v>69</v>
      </c>
      <c r="H58" s="23" t="s">
        <v>73</v>
      </c>
      <c r="I58" s="23" t="s">
        <v>74</v>
      </c>
      <c r="J58" s="39">
        <v>100</v>
      </c>
      <c r="K58" s="25">
        <v>1</v>
      </c>
      <c r="L58" s="26">
        <v>-100</v>
      </c>
      <c r="M58" s="42">
        <v>19</v>
      </c>
      <c r="N58" s="28">
        <f>K58*J58</f>
        <v>100</v>
      </c>
      <c r="O58" s="18">
        <v>7</v>
      </c>
      <c r="P58" s="29">
        <v>7</v>
      </c>
      <c r="Q58" s="30"/>
      <c r="R58" s="31">
        <f>M58+Q58</f>
        <v>19</v>
      </c>
      <c r="S58" s="28"/>
      <c r="T58" s="32">
        <f>R58+S58+IF(F58="Without EV deal",L58,0)</f>
        <v>-81</v>
      </c>
      <c r="U58" s="33">
        <v>1.004</v>
      </c>
      <c r="V58" s="34">
        <v>20.633266533066131</v>
      </c>
      <c r="W58" s="34">
        <v>-151.89063714063715</v>
      </c>
      <c r="X58" s="30">
        <f>IF(AF58="DoEV",IF(AND(V58&lt;20,W58&lt;55),0.3,0)+IF(AND(V58&lt;20,W58&gt;=55,W58&lt;105),0.23,0)+IF(AND(V58&lt;20,W58&gt;=105),0.17,0)+IF(AND(V58&gt;=20,V58&lt;40,W58&lt;45),0.3,0)+IF(AND(V58&gt;=20,V58&lt;40,W58&gt;=45,W58&lt;95),0.23,0)+IF(AND(V58&gt;=20,V58&lt;40,W58&gt;=95),0.17,0)+IF(AND(V58&gt;=40,V58&lt;75,W58&lt;35),0.3,0)+IF(AND(V58&gt;=40,V58&lt;75,W58&gt;=35,W58&lt;75),0.23,0)+IF(AND(V58&gt;=40,V58&lt;75,W58&gt;=75,W58&lt;120),0.17,0)+IF(AND(V58&gt;=40,V58&lt;75,W58&gt;=120),0.12,0)+IF(AND(V58&gt;=75,V58&lt;175,W58&lt;35),0.3,0)+IF(AND(V58&gt;=75,V58&lt;=175,W58&gt;=35,W58&lt;65),0.23,0)+IF(AND(V58&gt;=75,V58&lt;=175,W58&gt;=65,W58&lt;110),0.17,0)+IF(AND(V58&gt;=75,V58&lt;=175,W58&gt;=110),0.12,0)+IF(AND(V58&gt;175,W58&lt;25),0.3,0)+IF(AND(V58&gt;175,W58&gt;=25,W58&lt;55),0.23,0)+IF(AND(V58&gt;175,W58&gt;=55,W58&lt;95),0.17,0)+IF(AND(V58&gt;175,W58&gt;=95),0.12,0),
IF(AF58="Fix15",0.15,
IF(AF58="Fix11.25",0.1125,
IF(AF58="Fix10",0.1,
IF(AF58="Fix9",0.09,
IF(AF58="DoEV2017",IF(AND(W58&lt;74),0.2,0)+IF(AND(W58&gt;=74),0.17,0),
IF(AF58="SF",IF(AND(V58&lt;20,W58&lt;89),0.3,0)+IF(AND(V58&lt;20,W58&gt;=89),0.25,0)+IF(AND(V58&gt;=20,V58&lt;40,W58&lt;74),0.3,0)+IF(AND(V58&gt;=20,V58&lt;40,W58&gt;=75),0.22,0)+IF(AND(V58&gt;=40,V58&lt;75,W58&lt;75),0.26,0)+IF(AND(V58&gt;=40,V58&lt;75,W58&gt;=75),0.22,0)+IF(V58&gt;=75,0.22,0),
IF(AF58="DoEVold",IF(AND(V58&lt;40,W58&lt;35),0.35,0)+IF(AND(V58&lt;40,W58&gt;=35,W58&lt;75),0.25,0)+IF(AND(V58&lt;40,W58&gt;=75),0.17,0)+IF(AND(V58&gt;=40,V58&lt;75,W58&lt;25),0.35,0)+IF(AND(V58&gt;=40,V58&lt;75,W58&gt;=25,W58&lt;65),0.25,0)+IF(AND(V58&gt;=40,V58&lt;75,W58&gt;=65,W58&lt;100),0.17,0)+IF(AND(V58&gt;=40,V58&lt;75,W58&gt;=100),0.1,0)+IF(AND(V58&gt;=75,W58&lt;25),0.35,0)+IF(AND(V58&gt;=75,W58&gt;=25,W58&lt;60),0.25,0)+IF(AND(V58&gt;=75,W58&gt;=60,W58&lt;95),0.17,0)+IF(AND(V58&gt;=75,W58&gt;=95),0.1,0),
IF(AF58="DoEVold15",IF(AND(V58&lt;=40,W58&lt;35),0.35,0)+IF(AND(V58&lt;=40,W58&gt;=35,W58&lt;75),0.25,0)+IF(AND(V58&lt;=40,W58&gt;=75,W58&lt;120),0.17,0)+IF(AND(V58&lt;=40,W58&gt;=120),0.15,0)+IF(AND(V58&gt;40,V58&lt;75,W58&lt;25),0.35,0)+IF(AND(V58&gt;=40,V58&lt;75,W58&gt;=25,W58&lt;65),0.25,0)+IF(AND(V58&gt;=40,V58&lt;75,W58&gt;=65,W58&lt;100),0.17,0)+IF(AND(V58&gt;=40,V58&lt;75,W58&gt;=100),0.1,0)+IF(AND(V58&gt;=75,W58&lt;25),0.35,0)+IF(AND(V58&gt;=75,W58&gt;=25,W58&lt;60),0.25,0)+IF(AND(V58&gt;=75,W58&gt;=60,W58&lt;95),0.17,0)+IF(AND(V58&gt;=75,W58&gt;=95),0.1,0),
IF(AF58="DoEVba",IF(AND(V58&lt;20,W58&lt;105),0.2,0)+IF(AND(V58&lt;20,W58&gt;=105),0.15,0)+IF(AND(V58&gt;=20,V58&lt;40,W58&lt;95),0.2,0)+IF(AND(V58&gt;=20,V58&lt;40,W58&gt;=95,W58&lt;150),0.15,0)+IF(AND(V58&gt;=20,V58&lt;40,W58&gt;=150),0.12,0)+IF(AND(V58&gt;=40,V58&lt;75,W58&lt;75),0.2,0)+IF(AND(V58&gt;=40,V58&lt;75,W58&gt;=75,W58&lt;120),0.15,0)+IF(AND(V58&gt;=40,V58&lt;75,W58&gt;=120),0.12,0)+IF(AND(V58&gt;=75,V58&lt;175,W58&lt;65),0.2,0)+IF(AND(V58&gt;=75,V58&lt;175,W58&gt;=65,W58&lt;110),0.15,0)+IF(AND(V58&gt;=75,V58&lt;175,W58&gt;=110),0.12,0)+IF(AND(V58&gt;=175,W58&lt;55),0.2,0)+IF(AND(V58&gt;=175,W58&gt;=55,W58&lt;95),0.15,0)+IF(AND(V58&gt;=175,W58&gt;=95),0.12,0),
IF(AF58="DoEVku",IF(AND(V58&lt;20,W58&lt;55),0.23,0)+IF(AND(V58&lt;20,W58&gt;=55,W58&lt;105),0.2,0)+IF(AND(V58&lt;20,W58&gt;=105),0.17,0)+IF(AND(V58&gt;=20,V58&lt;40,W58&lt;45),0.23,0)+IF(AND(V58&gt;=20,V58&lt;40,W58&gt;=45,W58&lt;95),0.2,0)+IF(AND(V58&gt;=20,V58&lt;40,W58&gt;=95,W58&lt;=150),0.17,0)+IF(AND(V58&gt;=20,V58&lt;40,W58&gt;=150),0.12,0)+IF(AND(V58&gt;=40,V58&lt;75,W58&lt;35),0.23,0)+IF(AND(V58&gt;=40,V58&lt;75,W58&gt;=35,W58&lt;75),0.2,0)+IF(AND(V58&gt;=40,V58&lt;75,W58&gt;=75,W58&lt;120),0.17,0)+IF(AND(V58&gt;=40,V58&lt;75,W58&gt;=120),0.12,0)+IF(AND(V58&gt;=75,V58&lt;175,W58&lt;35),0.23,0)+IF(AND(V58&gt;=75,V58&lt;=175,W58&gt;=35,W58&lt;65),0.2,0)+IF(AND(V58&gt;=75,V58&lt;=175,W58&gt;=65,W58&lt;110),0.17,0)+IF(AND(V58&gt;=75,V58&lt;=175,W58&gt;=110),0.12,0)+IF(AND(V58&gt;175,W58&lt;25),0.23,0)+IF(AND(V58&gt;175,W58&gt;=25,W58&lt;55),0.2,0)+IF(AND(V58&gt;175,W58&gt;=55,W58&lt;95),0.17,0)+IF(AND(V58&gt;175,W58&gt;=95),0.12,0),
IF(AF58="DoEVs1",IF(AND(V58&lt;20,W58&lt;55),0.3,0)+IF(AND(V58&lt;20,W58&gt;=55,W58&lt;105),0.23,0)+IF(AND(V58&lt;20,W58&gt;=105),0.17,0)+IF(AND(V58&gt;=20,V58&lt;40,W58&lt;45),0.3,0)+IF(AND(V58&gt;=20,V58&lt;40,W58&gt;=45,W58&lt;95),0.23,0)+IF(AND(V58&gt;=20,V58&lt;40,W58&gt;=95,W58&lt;=150),0.17,0)+IF(AND(V58&gt;=20,V58&lt;40,W58&gt;=150),0.12,0)+IF(AND(V58&gt;=40,V58&lt;75,W58&lt;35),0.3,0)+IF(AND(V58&gt;=40,V58&lt;75,W58&gt;=35,W58&lt;75),0.23,0)+IF(AND(V58&gt;=40,V58&lt;75,W58&gt;=75,W58&lt;120),0.17,0)+IF(AND(V58&gt;=40,V58&lt;75,W58&gt;=120),0.12,0)+IF(AND(V58&gt;=75,V58&lt;175,W58&lt;35),0.3,0)+IF(AND(V58&gt;=75,V58&lt;=175,W58&gt;=35,W58&lt;65),0.23,0)+IF(AND(V58&gt;=75,V58&lt;=175,W58&gt;=65,W58&lt;110),0.17,0)+IF(AND(V58&gt;=75,V58&lt;=175,W58&gt;=110),0.12,0)+IF(AND(V58&gt;175,W58&lt;25),0.3,0)+IF(AND(V58&gt;175,W58&gt;=25,W58&lt;55),0.23,0)+IF(AND(V58&gt;175,W58&gt;=55,W58&lt;95),0.17,0)+IF(AND(V58&gt;175,W58&gt;=95),0.12,0),
IF(AF58="DoEVsu",IF(AND(V58&lt;20,W58&lt;55),0.3,0)+IF(AND(V58&lt;20,W58&gt;=55,W58&lt;105),0.23,0)+IF(AND(V58&lt;20,W58&gt;=105),0.17,0)+IF(AND(V58&gt;=20,V58&lt;40,W58&lt;45),0.3,0)+IF(AND(V58&gt;=20,V58&lt;40,W58&gt;=45,W58&lt;95),0.23,0)+IF(AND(V58&gt;=20,V58&lt;40,W58&gt;=95,W58&lt;=250),0.17,0)+IF(AND(V58&gt;=20,V58&lt;40,W58&gt;=250),0.12,0)+IF(AND(V58&gt;=40,V58&lt;75,W58&lt;35),0.3,0)+IF(AND(V58&gt;=40,V58&lt;75,W58&gt;=35,W58&lt;75),0.23,0)+IF(AND(V58&gt;=40,V58&lt;75,W58&gt;=75,W58&lt;120),0.17,0)+IF(AND(V58&gt;=40,V58&lt;75,W58&gt;=120),0.12,0)+IF(AND(V58&gt;=75,V58&lt;175,W58&lt;35),0.3,0)+IF(AND(V58&gt;=75,V58&lt;=175,W58&gt;=35,W58&lt;65),0.23,0)+IF(AND(V58&gt;=75,V58&lt;=175,W58&gt;=65,W58&lt;110),0.17,0)+IF(AND(V58&gt;=75,V58&lt;=175,W58&gt;=110),0.12,0)+IF(AND(V58&gt;175,W58&lt;25),0.3,0)+IF(AND(V58&gt;175,W58&gt;=25,W58&lt;55),0.23,0)+IF(AND(V58&gt;175,W58&gt;=55,W58&lt;95),0.17,0)+IF(AND(V58&gt;175,W58&gt;=95),0.12,0),
IF(AF58="DoEVni",IF(AND(V58&lt;20,W58&lt;55),0.3,0)+IF(AND(V58&lt;20,W58&gt;=55,W58&lt;105),0.23,0)+IF(AND(V58&lt;20,W58&gt;=105),0.17,0)+IF(AND(V58&gt;=20,V58&lt;40,W58&lt;45),0.3,0)+IF(AND(V58&gt;=20,V58&lt;40,W58&gt;=45,W58&lt;95),0.23,0)+IF(AND(V58&gt;=20,V58&lt;40,W58&gt;=95,W58&lt;=200),0.17,0)+IF(AND(V58&gt;=20,V58&lt;40,W58&gt;=200),0.12,0)+IF(AND(V58&gt;=40,V58&lt;75,W58&lt;35),0.3,0)+IF(AND(V58&gt;=40,V58&lt;75,W58&gt;=35,W58&lt;75),0.23,0)+IF(AND(V58&gt;=40,V58&lt;75,W58&gt;=75,W58&lt;120),0.17,0)+IF(AND(V58&gt;=40,V58&lt;75,W58&gt;=120),0.12,0)+IF(AND(V58&gt;=75,V58&lt;175,W58&lt;35),0.3,0)+IF(AND(V58&gt;=75,V58&lt;=175,W58&gt;=35,W58&lt;65),0.23,0)+IF(AND(V58&gt;=75,V58&lt;=175,W58&gt;=65,W58&lt;110),0.17,0)+IF(AND(V58&gt;=75,V58&lt;=175,W58&gt;=110),0.12,0)+IF(AND(V58&gt;175,W58&lt;25),0.3,0)+IF(AND(V58&gt;175,W58&gt;=25,W58&lt;55),0.23,0)+IF(AND(V58&gt;175,W58&gt;=55,W58&lt;95),0.17,0)+IF(AND(V58&gt;175,W58&gt;=95),0.12,0),
IF(AF58="DoEVLo",IF(AND(V58&lt;20,W58&lt;55),0.25,0)+IF(AND(V58&lt;20,W58&gt;=55,W58&lt;105),0.2,0)+IF(AND(V58&lt;20,W58&gt;=105),0.15,0)+IF(AND(V58&gt;=20,V58&lt;40,W58&lt;45),0.25,0)+IF(AND(V58&gt;=20,V58&lt;40,W58&gt;=45,W58&lt;95),0.2,0)+IF(AND(V58&gt;=20,V58&lt;40,W58&gt;=95),0.15,0)+IF(AND(V58&gt;=40,V58&lt;75,W58&lt;35),0.25,0)+IF(AND(V58&gt;=40,V58&lt;75,W58&gt;=35,W58&lt;75),0.2,0)+IF(AND(V58&gt;=40,V58&lt;75,W58&gt;=75,W58&lt;120),0.15,0)+IF(AND(V58&gt;=40,V58&lt;75,W58&gt;=120),0.1,0)+IF(AND(V58&gt;=75,V58&lt;175,W58&lt;35),0.25,0)+IF(AND(V58&gt;=75,V58&lt;=175,W58&gt;=35,W58&lt;65),0.2,0)+IF(AND(V58&gt;=75,V58&lt;=175,W58&gt;=65,W58&lt;110),0.15,0)+IF(AND(V58&gt;=75,V58&lt;=175,W58&gt;=110),0.1,0)+IF(AND(V58&gt;175,W58&lt;25),0.25,0)+IF(AND(V58&gt;175,W58&gt;=25,W58&lt;55),0.2,0)+IF(AND(V58&gt;175,W58&gt;=55,W58&lt;95),0.15,0)+IF(AND(V58&gt;175,W58&gt;=95),0.1,0))))))))))))))))</f>
        <v>0.2</v>
      </c>
      <c r="Y58" s="30">
        <f>IF(AG58="None",0,IF(AG58="Fix5",0.05,IF(AG58="Fix3.75",0.0375,IF(AG58="Fix10",0.1,IF(AG58="Fix3",0.03,0)))))</f>
        <v>0</v>
      </c>
      <c r="Z58" s="35">
        <f>T58-AA58-AB58</f>
        <v>-64.72</v>
      </c>
      <c r="AA58" s="29">
        <f>IF(AD58="EUR",((T58-R58)*X58)*U58+(R58*X58),(T58*X58))</f>
        <v>-16.279999999999998</v>
      </c>
      <c r="AB58" s="36">
        <f>IF(AD58="EUR",((T58-R58)*Y58)*U58+(R58*Y58),(T58*Y58))</f>
        <v>0</v>
      </c>
      <c r="AC58" s="37" t="b">
        <v>0</v>
      </c>
      <c r="AD58" s="37" t="s">
        <v>50</v>
      </c>
      <c r="AE58" s="37"/>
      <c r="AF58" s="37" t="str">
        <f t="array" ref="AF58">INDEX('Deal Info'!D:D, MATCH(A58,'Deal Info'!A:A, 0))</f>
        <v>DoEV2017</v>
      </c>
      <c r="AG58" s="38" t="str">
        <f t="array" ref="AG58">INDEX('Deal Info'!G:G, MATCH(A58,'Deal Info'!A:A, 0))</f>
        <v>None</v>
      </c>
    </row>
    <row r="59" spans="1:33" ht="14.25" hidden="1" x14ac:dyDescent="0.2">
      <c r="A59" s="18" t="str">
        <f t="array" ref="A59">IF(G59='Room Info'!$B$1, INDEX('Room Info'!$A$2:$A2446, MATCH(B59,'Room Info'!$B$2:$B2446, 0)),IF(G59='Room Info'!$C$1, INDEX('Room Info'!$A$2:$A2446, MATCH(B59,'Room Info'!$C$2:$C2446, 0)),IF(G59='Room Info'!$D$1, INDEX('Room Info'!$A$2:$A2446, MATCH(B59,'Room Info'!$D$2:$D2446, 0)),IF(G59='Room Info'!$E$1, INDEX('Room Info'!$A$2:$A2446, MATCH(B59,'Room Info'!$E$2:$E2446, 0)),IF(G59='Room Info'!$F$1, INDEX('Room Info'!$A$2:$A2446, MATCH(B59,'Room Info'!$F$2:$F2446, 0)),IF(G59='Room Info'!$H$1, INDEX('Room Info'!$A$2:$A2446, MATCH(B59,'Room Info'!$H$2:$H2446, 0)),IF(G59='Room Info'!$G$1, INDEX('Room Info'!$A$2:$A2446, MATCH(B59,'Room Info'!$G$2:$G2446, 0)))))))))</f>
        <v>Abcdf</v>
      </c>
      <c r="B59" s="18" t="s">
        <v>60</v>
      </c>
      <c r="C59" s="19">
        <v>44774</v>
      </c>
      <c r="D59" s="19">
        <v>44804</v>
      </c>
      <c r="E59" s="21">
        <v>44774</v>
      </c>
      <c r="F59" s="40" t="s">
        <v>41</v>
      </c>
      <c r="G59" s="18" t="s">
        <v>69</v>
      </c>
      <c r="H59" s="23" t="s">
        <v>75</v>
      </c>
      <c r="I59" s="23" t="s">
        <v>74</v>
      </c>
      <c r="J59" s="39">
        <v>20</v>
      </c>
      <c r="K59" s="25">
        <v>2332</v>
      </c>
      <c r="L59" s="26">
        <v>-2640</v>
      </c>
      <c r="M59" s="42">
        <v>1515</v>
      </c>
      <c r="N59" s="28">
        <f>K59*J59</f>
        <v>46640</v>
      </c>
      <c r="O59" s="18">
        <v>16324</v>
      </c>
      <c r="P59" s="29">
        <v>7</v>
      </c>
      <c r="Q59" s="30"/>
      <c r="R59" s="31">
        <f>M59+Q59</f>
        <v>1515</v>
      </c>
      <c r="S59" s="28"/>
      <c r="T59" s="32">
        <f>R59+S59+IF(F59="Without EV deal",L59,0)</f>
        <v>-1125</v>
      </c>
      <c r="U59" s="33">
        <v>1.004</v>
      </c>
      <c r="V59" s="34">
        <v>20.633266533066131</v>
      </c>
      <c r="W59" s="34">
        <v>-151.89063714063715</v>
      </c>
      <c r="X59" s="30">
        <f>IF(AF59="DoEV",IF(AND(V59&lt;20,W59&lt;55),0.3,0)+IF(AND(V59&lt;20,W59&gt;=55,W59&lt;105),0.23,0)+IF(AND(V59&lt;20,W59&gt;=105),0.17,0)+IF(AND(V59&gt;=20,V59&lt;40,W59&lt;45),0.3,0)+IF(AND(V59&gt;=20,V59&lt;40,W59&gt;=45,W59&lt;95),0.23,0)+IF(AND(V59&gt;=20,V59&lt;40,W59&gt;=95),0.17,0)+IF(AND(V59&gt;=40,V59&lt;75,W59&lt;35),0.3,0)+IF(AND(V59&gt;=40,V59&lt;75,W59&gt;=35,W59&lt;75),0.23,0)+IF(AND(V59&gt;=40,V59&lt;75,W59&gt;=75,W59&lt;120),0.17,0)+IF(AND(V59&gt;=40,V59&lt;75,W59&gt;=120),0.12,0)+IF(AND(V59&gt;=75,V59&lt;175,W59&lt;35),0.3,0)+IF(AND(V59&gt;=75,V59&lt;=175,W59&gt;=35,W59&lt;65),0.23,0)+IF(AND(V59&gt;=75,V59&lt;=175,W59&gt;=65,W59&lt;110),0.17,0)+IF(AND(V59&gt;=75,V59&lt;=175,W59&gt;=110),0.12,0)+IF(AND(V59&gt;175,W59&lt;25),0.3,0)+IF(AND(V59&gt;175,W59&gt;=25,W59&lt;55),0.23,0)+IF(AND(V59&gt;175,W59&gt;=55,W59&lt;95),0.17,0)+IF(AND(V59&gt;175,W59&gt;=95),0.12,0),
IF(AF59="Fix15",0.15,
IF(AF59="Fix11.25",0.1125,
IF(AF59="Fix10",0.1,
IF(AF59="Fix9",0.09,
IF(AF59="DoEV2017",IF(AND(W59&lt;74),0.2,0)+IF(AND(W59&gt;=74),0.17,0),
IF(AF59="SF",IF(AND(V59&lt;20,W59&lt;89),0.3,0)+IF(AND(V59&lt;20,W59&gt;=89),0.25,0)+IF(AND(V59&gt;=20,V59&lt;40,W59&lt;74),0.3,0)+IF(AND(V59&gt;=20,V59&lt;40,W59&gt;=75),0.22,0)+IF(AND(V59&gt;=40,V59&lt;75,W59&lt;75),0.26,0)+IF(AND(V59&gt;=40,V59&lt;75,W59&gt;=75),0.22,0)+IF(V59&gt;=75,0.22,0),
IF(AF59="DoEVold",IF(AND(V59&lt;40,W59&lt;35),0.35,0)+IF(AND(V59&lt;40,W59&gt;=35,W59&lt;75),0.25,0)+IF(AND(V59&lt;40,W59&gt;=75),0.17,0)+IF(AND(V59&gt;=40,V59&lt;75,W59&lt;25),0.35,0)+IF(AND(V59&gt;=40,V59&lt;75,W59&gt;=25,W59&lt;65),0.25,0)+IF(AND(V59&gt;=40,V59&lt;75,W59&gt;=65,W59&lt;100),0.17,0)+IF(AND(V59&gt;=40,V59&lt;75,W59&gt;=100),0.1,0)+IF(AND(V59&gt;=75,W59&lt;25),0.35,0)+IF(AND(V59&gt;=75,W59&gt;=25,W59&lt;60),0.25,0)+IF(AND(V59&gt;=75,W59&gt;=60,W59&lt;95),0.17,0)+IF(AND(V59&gt;=75,W59&gt;=95),0.1,0),
IF(AF59="DoEVold15",IF(AND(V59&lt;=40,W59&lt;35),0.35,0)+IF(AND(V59&lt;=40,W59&gt;=35,W59&lt;75),0.25,0)+IF(AND(V59&lt;=40,W59&gt;=75,W59&lt;120),0.17,0)+IF(AND(V59&lt;=40,W59&gt;=120),0.15,0)+IF(AND(V59&gt;40,V59&lt;75,W59&lt;25),0.35,0)+IF(AND(V59&gt;=40,V59&lt;75,W59&gt;=25,W59&lt;65),0.25,0)+IF(AND(V59&gt;=40,V59&lt;75,W59&gt;=65,W59&lt;100),0.17,0)+IF(AND(V59&gt;=40,V59&lt;75,W59&gt;=100),0.1,0)+IF(AND(V59&gt;=75,W59&lt;25),0.35,0)+IF(AND(V59&gt;=75,W59&gt;=25,W59&lt;60),0.25,0)+IF(AND(V59&gt;=75,W59&gt;=60,W59&lt;95),0.17,0)+IF(AND(V59&gt;=75,W59&gt;=95),0.1,0),
IF(AF59="DoEVba",IF(AND(V59&lt;20,W59&lt;105),0.2,0)+IF(AND(V59&lt;20,W59&gt;=105),0.15,0)+IF(AND(V59&gt;=20,V59&lt;40,W59&lt;95),0.2,0)+IF(AND(V59&gt;=20,V59&lt;40,W59&gt;=95,W59&lt;150),0.15,0)+IF(AND(V59&gt;=20,V59&lt;40,W59&gt;=150),0.12,0)+IF(AND(V59&gt;=40,V59&lt;75,W59&lt;75),0.2,0)+IF(AND(V59&gt;=40,V59&lt;75,W59&gt;=75,W59&lt;120),0.15,0)+IF(AND(V59&gt;=40,V59&lt;75,W59&gt;=120),0.12,0)+IF(AND(V59&gt;=75,V59&lt;175,W59&lt;65),0.2,0)+IF(AND(V59&gt;=75,V59&lt;175,W59&gt;=65,W59&lt;110),0.15,0)+IF(AND(V59&gt;=75,V59&lt;175,W59&gt;=110),0.12,0)+IF(AND(V59&gt;=175,W59&lt;55),0.2,0)+IF(AND(V59&gt;=175,W59&gt;=55,W59&lt;95),0.15,0)+IF(AND(V59&gt;=175,W59&gt;=95),0.12,0),
IF(AF59="DoEVku",IF(AND(V59&lt;20,W59&lt;55),0.23,0)+IF(AND(V59&lt;20,W59&gt;=55,W59&lt;105),0.2,0)+IF(AND(V59&lt;20,W59&gt;=105),0.17,0)+IF(AND(V59&gt;=20,V59&lt;40,W59&lt;45),0.23,0)+IF(AND(V59&gt;=20,V59&lt;40,W59&gt;=45,W59&lt;95),0.2,0)+IF(AND(V59&gt;=20,V59&lt;40,W59&gt;=95,W59&lt;=150),0.17,0)+IF(AND(V59&gt;=20,V59&lt;40,W59&gt;=150),0.12,0)+IF(AND(V59&gt;=40,V59&lt;75,W59&lt;35),0.23,0)+IF(AND(V59&gt;=40,V59&lt;75,W59&gt;=35,W59&lt;75),0.2,0)+IF(AND(V59&gt;=40,V59&lt;75,W59&gt;=75,W59&lt;120),0.17,0)+IF(AND(V59&gt;=40,V59&lt;75,W59&gt;=120),0.12,0)+IF(AND(V59&gt;=75,V59&lt;175,W59&lt;35),0.23,0)+IF(AND(V59&gt;=75,V59&lt;=175,W59&gt;=35,W59&lt;65),0.2,0)+IF(AND(V59&gt;=75,V59&lt;=175,W59&gt;=65,W59&lt;110),0.17,0)+IF(AND(V59&gt;=75,V59&lt;=175,W59&gt;=110),0.12,0)+IF(AND(V59&gt;175,W59&lt;25),0.23,0)+IF(AND(V59&gt;175,W59&gt;=25,W59&lt;55),0.2,0)+IF(AND(V59&gt;175,W59&gt;=55,W59&lt;95),0.17,0)+IF(AND(V59&gt;175,W59&gt;=95),0.12,0),
IF(AF59="DoEVs1",IF(AND(V59&lt;20,W59&lt;55),0.3,0)+IF(AND(V59&lt;20,W59&gt;=55,W59&lt;105),0.23,0)+IF(AND(V59&lt;20,W59&gt;=105),0.17,0)+IF(AND(V59&gt;=20,V59&lt;40,W59&lt;45),0.3,0)+IF(AND(V59&gt;=20,V59&lt;40,W59&gt;=45,W59&lt;95),0.23,0)+IF(AND(V59&gt;=20,V59&lt;40,W59&gt;=95,W59&lt;=150),0.17,0)+IF(AND(V59&gt;=20,V59&lt;40,W59&gt;=150),0.12,0)+IF(AND(V59&gt;=40,V59&lt;75,W59&lt;35),0.3,0)+IF(AND(V59&gt;=40,V59&lt;75,W59&gt;=35,W59&lt;75),0.23,0)+IF(AND(V59&gt;=40,V59&lt;75,W59&gt;=75,W59&lt;120),0.17,0)+IF(AND(V59&gt;=40,V59&lt;75,W59&gt;=120),0.12,0)+IF(AND(V59&gt;=75,V59&lt;175,W59&lt;35),0.3,0)+IF(AND(V59&gt;=75,V59&lt;=175,W59&gt;=35,W59&lt;65),0.23,0)+IF(AND(V59&gt;=75,V59&lt;=175,W59&gt;=65,W59&lt;110),0.17,0)+IF(AND(V59&gt;=75,V59&lt;=175,W59&gt;=110),0.12,0)+IF(AND(V59&gt;175,W59&lt;25),0.3,0)+IF(AND(V59&gt;175,W59&gt;=25,W59&lt;55),0.23,0)+IF(AND(V59&gt;175,W59&gt;=55,W59&lt;95),0.17,0)+IF(AND(V59&gt;175,W59&gt;=95),0.12,0),
IF(AF59="DoEVsu",IF(AND(V59&lt;20,W59&lt;55),0.3,0)+IF(AND(V59&lt;20,W59&gt;=55,W59&lt;105),0.23,0)+IF(AND(V59&lt;20,W59&gt;=105),0.17,0)+IF(AND(V59&gt;=20,V59&lt;40,W59&lt;45),0.3,0)+IF(AND(V59&gt;=20,V59&lt;40,W59&gt;=45,W59&lt;95),0.23,0)+IF(AND(V59&gt;=20,V59&lt;40,W59&gt;=95,W59&lt;=250),0.17,0)+IF(AND(V59&gt;=20,V59&lt;40,W59&gt;=250),0.12,0)+IF(AND(V59&gt;=40,V59&lt;75,W59&lt;35),0.3,0)+IF(AND(V59&gt;=40,V59&lt;75,W59&gt;=35,W59&lt;75),0.23,0)+IF(AND(V59&gt;=40,V59&lt;75,W59&gt;=75,W59&lt;120),0.17,0)+IF(AND(V59&gt;=40,V59&lt;75,W59&gt;=120),0.12,0)+IF(AND(V59&gt;=75,V59&lt;175,W59&lt;35),0.3,0)+IF(AND(V59&gt;=75,V59&lt;=175,W59&gt;=35,W59&lt;65),0.23,0)+IF(AND(V59&gt;=75,V59&lt;=175,W59&gt;=65,W59&lt;110),0.17,0)+IF(AND(V59&gt;=75,V59&lt;=175,W59&gt;=110),0.12,0)+IF(AND(V59&gt;175,W59&lt;25),0.3,0)+IF(AND(V59&gt;175,W59&gt;=25,W59&lt;55),0.23,0)+IF(AND(V59&gt;175,W59&gt;=55,W59&lt;95),0.17,0)+IF(AND(V59&gt;175,W59&gt;=95),0.12,0),
IF(AF59="DoEVni",IF(AND(V59&lt;20,W59&lt;55),0.3,0)+IF(AND(V59&lt;20,W59&gt;=55,W59&lt;105),0.23,0)+IF(AND(V59&lt;20,W59&gt;=105),0.17,0)+IF(AND(V59&gt;=20,V59&lt;40,W59&lt;45),0.3,0)+IF(AND(V59&gt;=20,V59&lt;40,W59&gt;=45,W59&lt;95),0.23,0)+IF(AND(V59&gt;=20,V59&lt;40,W59&gt;=95,W59&lt;=200),0.17,0)+IF(AND(V59&gt;=20,V59&lt;40,W59&gt;=200),0.12,0)+IF(AND(V59&gt;=40,V59&lt;75,W59&lt;35),0.3,0)+IF(AND(V59&gt;=40,V59&lt;75,W59&gt;=35,W59&lt;75),0.23,0)+IF(AND(V59&gt;=40,V59&lt;75,W59&gt;=75,W59&lt;120),0.17,0)+IF(AND(V59&gt;=40,V59&lt;75,W59&gt;=120),0.12,0)+IF(AND(V59&gt;=75,V59&lt;175,W59&lt;35),0.3,0)+IF(AND(V59&gt;=75,V59&lt;=175,W59&gt;=35,W59&lt;65),0.23,0)+IF(AND(V59&gt;=75,V59&lt;=175,W59&gt;=65,W59&lt;110),0.17,0)+IF(AND(V59&gt;=75,V59&lt;=175,W59&gt;=110),0.12,0)+IF(AND(V59&gt;175,W59&lt;25),0.3,0)+IF(AND(V59&gt;175,W59&gt;=25,W59&lt;55),0.23,0)+IF(AND(V59&gt;175,W59&gt;=55,W59&lt;95),0.17,0)+IF(AND(V59&gt;175,W59&gt;=95),0.12,0),
IF(AF59="DoEVLo",IF(AND(V59&lt;20,W59&lt;55),0.25,0)+IF(AND(V59&lt;20,W59&gt;=55,W59&lt;105),0.2,0)+IF(AND(V59&lt;20,W59&gt;=105),0.15,0)+IF(AND(V59&gt;=20,V59&lt;40,W59&lt;45),0.25,0)+IF(AND(V59&gt;=20,V59&lt;40,W59&gt;=45,W59&lt;95),0.2,0)+IF(AND(V59&gt;=20,V59&lt;40,W59&gt;=95),0.15,0)+IF(AND(V59&gt;=40,V59&lt;75,W59&lt;35),0.25,0)+IF(AND(V59&gt;=40,V59&lt;75,W59&gt;=35,W59&lt;75),0.2,0)+IF(AND(V59&gt;=40,V59&lt;75,W59&gt;=75,W59&lt;120),0.15,0)+IF(AND(V59&gt;=40,V59&lt;75,W59&gt;=120),0.1,0)+IF(AND(V59&gt;=75,V59&lt;175,W59&lt;35),0.25,0)+IF(AND(V59&gt;=75,V59&lt;=175,W59&gt;=35,W59&lt;65),0.2,0)+IF(AND(V59&gt;=75,V59&lt;=175,W59&gt;=65,W59&lt;110),0.15,0)+IF(AND(V59&gt;=75,V59&lt;=175,W59&gt;=110),0.1,0)+IF(AND(V59&gt;175,W59&lt;25),0.25,0)+IF(AND(V59&gt;175,W59&gt;=25,W59&lt;55),0.2,0)+IF(AND(V59&gt;175,W59&gt;=55,W59&lt;95),0.15,0)+IF(AND(V59&gt;175,W59&gt;=95),0.1,0))))))))))))))))</f>
        <v>0.2</v>
      </c>
      <c r="Y59" s="30">
        <f>IF(AG59="None",0,IF(AG59="Fix5",0.05,IF(AG59="Fix3.75",0.0375,IF(AG59="Fix10",0.1,IF(AG59="Fix3",0.03,0)))))</f>
        <v>0</v>
      </c>
      <c r="Z59" s="35">
        <f>T59-AA59-AB59</f>
        <v>-897.88800000000003</v>
      </c>
      <c r="AA59" s="29">
        <f>IF(AD59="EUR",((T59-R59)*X59)*U59+(R59*X59),(T59*X59))</f>
        <v>-227.11199999999997</v>
      </c>
      <c r="AB59" s="36">
        <f>IF(AD59="EUR",((T59-R59)*Y59)*U59+(R59*Y59),(T59*Y59))</f>
        <v>0</v>
      </c>
      <c r="AC59" s="37" t="b">
        <v>0</v>
      </c>
      <c r="AD59" s="37" t="s">
        <v>50</v>
      </c>
      <c r="AE59" s="37"/>
      <c r="AF59" s="37" t="str">
        <f t="array" ref="AF59">INDEX('Deal Info'!D:D, MATCH(A59,'Deal Info'!A:A, 0))</f>
        <v>DoEV2017</v>
      </c>
      <c r="AG59" s="38" t="str">
        <f t="array" ref="AG59">INDEX('Deal Info'!G:G, MATCH(A59,'Deal Info'!A:A, 0))</f>
        <v>None</v>
      </c>
    </row>
    <row r="60" spans="1:33" ht="14.25" hidden="1" x14ac:dyDescent="0.2">
      <c r="A60" s="18" t="str">
        <f t="array" ref="A60">IF(G60='Room Info'!$B$1, INDEX('Room Info'!$A$2:$A2446, MATCH(B60,'Room Info'!$B$2:$B2446, 0)),IF(G60='Room Info'!$C$1, INDEX('Room Info'!$A$2:$A2446, MATCH(B60,'Room Info'!$C$2:$C2446, 0)),IF(G60='Room Info'!$D$1, INDEX('Room Info'!$A$2:$A2446, MATCH(B60,'Room Info'!$D$2:$D2446, 0)),IF(G60='Room Info'!$E$1, INDEX('Room Info'!$A$2:$A2446, MATCH(B60,'Room Info'!$E$2:$E2446, 0)),IF(G60='Room Info'!$F$1, INDEX('Room Info'!$A$2:$A2446, MATCH(B60,'Room Info'!$F$2:$F2446, 0)),IF(G60='Room Info'!$H$1, INDEX('Room Info'!$A$2:$A2446, MATCH(B60,'Room Info'!$H$2:$H2446, 0)),IF(G60='Room Info'!$G$1, INDEX('Room Info'!$A$2:$A2446, MATCH(B60,'Room Info'!$G$2:$G2446, 0)))))))))</f>
        <v>Abcdf</v>
      </c>
      <c r="B60" s="18" t="s">
        <v>60</v>
      </c>
      <c r="C60" s="19">
        <v>44774</v>
      </c>
      <c r="D60" s="19">
        <v>44804</v>
      </c>
      <c r="E60" s="21">
        <v>44774</v>
      </c>
      <c r="F60" s="40" t="s">
        <v>41</v>
      </c>
      <c r="G60" s="18" t="s">
        <v>69</v>
      </c>
      <c r="H60" s="23" t="s">
        <v>71</v>
      </c>
      <c r="I60" s="23" t="s">
        <v>37</v>
      </c>
      <c r="J60" s="39">
        <v>20</v>
      </c>
      <c r="K60" s="25">
        <v>112</v>
      </c>
      <c r="L60" s="26">
        <v>60</v>
      </c>
      <c r="M60" s="42">
        <v>0</v>
      </c>
      <c r="N60" s="28">
        <f>K60*J60</f>
        <v>2240</v>
      </c>
      <c r="O60" s="18">
        <v>2576</v>
      </c>
      <c r="P60" s="29">
        <v>23</v>
      </c>
      <c r="Q60" s="30"/>
      <c r="R60" s="31">
        <f>M60+Q60</f>
        <v>0</v>
      </c>
      <c r="S60" s="28"/>
      <c r="T60" s="32">
        <f>R60+S60+IF(F60="Without EV deal",L60,0)</f>
        <v>60</v>
      </c>
      <c r="U60" s="33">
        <v>1.004</v>
      </c>
      <c r="V60" s="34">
        <v>20.633266533066131</v>
      </c>
      <c r="W60" s="34">
        <v>-151.89063714063715</v>
      </c>
      <c r="X60" s="30">
        <f>IF(AF60="DoEV",IF(AND(V60&lt;20,W60&lt;55),0.3,0)+IF(AND(V60&lt;20,W60&gt;=55,W60&lt;105),0.23,0)+IF(AND(V60&lt;20,W60&gt;=105),0.17,0)+IF(AND(V60&gt;=20,V60&lt;40,W60&lt;45),0.3,0)+IF(AND(V60&gt;=20,V60&lt;40,W60&gt;=45,W60&lt;95),0.23,0)+IF(AND(V60&gt;=20,V60&lt;40,W60&gt;=95),0.17,0)+IF(AND(V60&gt;=40,V60&lt;75,W60&lt;35),0.3,0)+IF(AND(V60&gt;=40,V60&lt;75,W60&gt;=35,W60&lt;75),0.23,0)+IF(AND(V60&gt;=40,V60&lt;75,W60&gt;=75,W60&lt;120),0.17,0)+IF(AND(V60&gt;=40,V60&lt;75,W60&gt;=120),0.12,0)+IF(AND(V60&gt;=75,V60&lt;175,W60&lt;35),0.3,0)+IF(AND(V60&gt;=75,V60&lt;=175,W60&gt;=35,W60&lt;65),0.23,0)+IF(AND(V60&gt;=75,V60&lt;=175,W60&gt;=65,W60&lt;110),0.17,0)+IF(AND(V60&gt;=75,V60&lt;=175,W60&gt;=110),0.12,0)+IF(AND(V60&gt;175,W60&lt;25),0.3,0)+IF(AND(V60&gt;175,W60&gt;=25,W60&lt;55),0.23,0)+IF(AND(V60&gt;175,W60&gt;=55,W60&lt;95),0.17,0)+IF(AND(V60&gt;175,W60&gt;=95),0.12,0),
IF(AF60="Fix15",0.15,
IF(AF60="Fix11.25",0.1125,
IF(AF60="Fix10",0.1,
IF(AF60="Fix9",0.09,
IF(AF60="DoEV2017",IF(AND(W60&lt;74),0.2,0)+IF(AND(W60&gt;=74),0.17,0),
IF(AF60="SF",IF(AND(V60&lt;20,W60&lt;89),0.3,0)+IF(AND(V60&lt;20,W60&gt;=89),0.25,0)+IF(AND(V60&gt;=20,V60&lt;40,W60&lt;74),0.3,0)+IF(AND(V60&gt;=20,V60&lt;40,W60&gt;=75),0.22,0)+IF(AND(V60&gt;=40,V60&lt;75,W60&lt;75),0.26,0)+IF(AND(V60&gt;=40,V60&lt;75,W60&gt;=75),0.22,0)+IF(V60&gt;=75,0.22,0),
IF(AF60="DoEVold",IF(AND(V60&lt;40,W60&lt;35),0.35,0)+IF(AND(V60&lt;40,W60&gt;=35,W60&lt;75),0.25,0)+IF(AND(V60&lt;40,W60&gt;=75),0.17,0)+IF(AND(V60&gt;=40,V60&lt;75,W60&lt;25),0.35,0)+IF(AND(V60&gt;=40,V60&lt;75,W60&gt;=25,W60&lt;65),0.25,0)+IF(AND(V60&gt;=40,V60&lt;75,W60&gt;=65,W60&lt;100),0.17,0)+IF(AND(V60&gt;=40,V60&lt;75,W60&gt;=100),0.1,0)+IF(AND(V60&gt;=75,W60&lt;25),0.35,0)+IF(AND(V60&gt;=75,W60&gt;=25,W60&lt;60),0.25,0)+IF(AND(V60&gt;=75,W60&gt;=60,W60&lt;95),0.17,0)+IF(AND(V60&gt;=75,W60&gt;=95),0.1,0),
IF(AF60="DoEVold15",IF(AND(V60&lt;=40,W60&lt;35),0.35,0)+IF(AND(V60&lt;=40,W60&gt;=35,W60&lt;75),0.25,0)+IF(AND(V60&lt;=40,W60&gt;=75,W60&lt;120),0.17,0)+IF(AND(V60&lt;=40,W60&gt;=120),0.15,0)+IF(AND(V60&gt;40,V60&lt;75,W60&lt;25),0.35,0)+IF(AND(V60&gt;=40,V60&lt;75,W60&gt;=25,W60&lt;65),0.25,0)+IF(AND(V60&gt;=40,V60&lt;75,W60&gt;=65,W60&lt;100),0.17,0)+IF(AND(V60&gt;=40,V60&lt;75,W60&gt;=100),0.1,0)+IF(AND(V60&gt;=75,W60&lt;25),0.35,0)+IF(AND(V60&gt;=75,W60&gt;=25,W60&lt;60),0.25,0)+IF(AND(V60&gt;=75,W60&gt;=60,W60&lt;95),0.17,0)+IF(AND(V60&gt;=75,W60&gt;=95),0.1,0),
IF(AF60="DoEVba",IF(AND(V60&lt;20,W60&lt;105),0.2,0)+IF(AND(V60&lt;20,W60&gt;=105),0.15,0)+IF(AND(V60&gt;=20,V60&lt;40,W60&lt;95),0.2,0)+IF(AND(V60&gt;=20,V60&lt;40,W60&gt;=95,W60&lt;150),0.15,0)+IF(AND(V60&gt;=20,V60&lt;40,W60&gt;=150),0.12,0)+IF(AND(V60&gt;=40,V60&lt;75,W60&lt;75),0.2,0)+IF(AND(V60&gt;=40,V60&lt;75,W60&gt;=75,W60&lt;120),0.15,0)+IF(AND(V60&gt;=40,V60&lt;75,W60&gt;=120),0.12,0)+IF(AND(V60&gt;=75,V60&lt;175,W60&lt;65),0.2,0)+IF(AND(V60&gt;=75,V60&lt;175,W60&gt;=65,W60&lt;110),0.15,0)+IF(AND(V60&gt;=75,V60&lt;175,W60&gt;=110),0.12,0)+IF(AND(V60&gt;=175,W60&lt;55),0.2,0)+IF(AND(V60&gt;=175,W60&gt;=55,W60&lt;95),0.15,0)+IF(AND(V60&gt;=175,W60&gt;=95),0.12,0),
IF(AF60="DoEVku",IF(AND(V60&lt;20,W60&lt;55),0.23,0)+IF(AND(V60&lt;20,W60&gt;=55,W60&lt;105),0.2,0)+IF(AND(V60&lt;20,W60&gt;=105),0.17,0)+IF(AND(V60&gt;=20,V60&lt;40,W60&lt;45),0.23,0)+IF(AND(V60&gt;=20,V60&lt;40,W60&gt;=45,W60&lt;95),0.2,0)+IF(AND(V60&gt;=20,V60&lt;40,W60&gt;=95,W60&lt;=150),0.17,0)+IF(AND(V60&gt;=20,V60&lt;40,W60&gt;=150),0.12,0)+IF(AND(V60&gt;=40,V60&lt;75,W60&lt;35),0.23,0)+IF(AND(V60&gt;=40,V60&lt;75,W60&gt;=35,W60&lt;75),0.2,0)+IF(AND(V60&gt;=40,V60&lt;75,W60&gt;=75,W60&lt;120),0.17,0)+IF(AND(V60&gt;=40,V60&lt;75,W60&gt;=120),0.12,0)+IF(AND(V60&gt;=75,V60&lt;175,W60&lt;35),0.23,0)+IF(AND(V60&gt;=75,V60&lt;=175,W60&gt;=35,W60&lt;65),0.2,0)+IF(AND(V60&gt;=75,V60&lt;=175,W60&gt;=65,W60&lt;110),0.17,0)+IF(AND(V60&gt;=75,V60&lt;=175,W60&gt;=110),0.12,0)+IF(AND(V60&gt;175,W60&lt;25),0.23,0)+IF(AND(V60&gt;175,W60&gt;=25,W60&lt;55),0.2,0)+IF(AND(V60&gt;175,W60&gt;=55,W60&lt;95),0.17,0)+IF(AND(V60&gt;175,W60&gt;=95),0.12,0),
IF(AF60="DoEVs1",IF(AND(V60&lt;20,W60&lt;55),0.3,0)+IF(AND(V60&lt;20,W60&gt;=55,W60&lt;105),0.23,0)+IF(AND(V60&lt;20,W60&gt;=105),0.17,0)+IF(AND(V60&gt;=20,V60&lt;40,W60&lt;45),0.3,0)+IF(AND(V60&gt;=20,V60&lt;40,W60&gt;=45,W60&lt;95),0.23,0)+IF(AND(V60&gt;=20,V60&lt;40,W60&gt;=95,W60&lt;=150),0.17,0)+IF(AND(V60&gt;=20,V60&lt;40,W60&gt;=150),0.12,0)+IF(AND(V60&gt;=40,V60&lt;75,W60&lt;35),0.3,0)+IF(AND(V60&gt;=40,V60&lt;75,W60&gt;=35,W60&lt;75),0.23,0)+IF(AND(V60&gt;=40,V60&lt;75,W60&gt;=75,W60&lt;120),0.17,0)+IF(AND(V60&gt;=40,V60&lt;75,W60&gt;=120),0.12,0)+IF(AND(V60&gt;=75,V60&lt;175,W60&lt;35),0.3,0)+IF(AND(V60&gt;=75,V60&lt;=175,W60&gt;=35,W60&lt;65),0.23,0)+IF(AND(V60&gt;=75,V60&lt;=175,W60&gt;=65,W60&lt;110),0.17,0)+IF(AND(V60&gt;=75,V60&lt;=175,W60&gt;=110),0.12,0)+IF(AND(V60&gt;175,W60&lt;25),0.3,0)+IF(AND(V60&gt;175,W60&gt;=25,W60&lt;55),0.23,0)+IF(AND(V60&gt;175,W60&gt;=55,W60&lt;95),0.17,0)+IF(AND(V60&gt;175,W60&gt;=95),0.12,0),
IF(AF60="DoEVsu",IF(AND(V60&lt;20,W60&lt;55),0.3,0)+IF(AND(V60&lt;20,W60&gt;=55,W60&lt;105),0.23,0)+IF(AND(V60&lt;20,W60&gt;=105),0.17,0)+IF(AND(V60&gt;=20,V60&lt;40,W60&lt;45),0.3,0)+IF(AND(V60&gt;=20,V60&lt;40,W60&gt;=45,W60&lt;95),0.23,0)+IF(AND(V60&gt;=20,V60&lt;40,W60&gt;=95,W60&lt;=250),0.17,0)+IF(AND(V60&gt;=20,V60&lt;40,W60&gt;=250),0.12,0)+IF(AND(V60&gt;=40,V60&lt;75,W60&lt;35),0.3,0)+IF(AND(V60&gt;=40,V60&lt;75,W60&gt;=35,W60&lt;75),0.23,0)+IF(AND(V60&gt;=40,V60&lt;75,W60&gt;=75,W60&lt;120),0.17,0)+IF(AND(V60&gt;=40,V60&lt;75,W60&gt;=120),0.12,0)+IF(AND(V60&gt;=75,V60&lt;175,W60&lt;35),0.3,0)+IF(AND(V60&gt;=75,V60&lt;=175,W60&gt;=35,W60&lt;65),0.23,0)+IF(AND(V60&gt;=75,V60&lt;=175,W60&gt;=65,W60&lt;110),0.17,0)+IF(AND(V60&gt;=75,V60&lt;=175,W60&gt;=110),0.12,0)+IF(AND(V60&gt;175,W60&lt;25),0.3,0)+IF(AND(V60&gt;175,W60&gt;=25,W60&lt;55),0.23,0)+IF(AND(V60&gt;175,W60&gt;=55,W60&lt;95),0.17,0)+IF(AND(V60&gt;175,W60&gt;=95),0.12,0),
IF(AF60="DoEVni",IF(AND(V60&lt;20,W60&lt;55),0.3,0)+IF(AND(V60&lt;20,W60&gt;=55,W60&lt;105),0.23,0)+IF(AND(V60&lt;20,W60&gt;=105),0.17,0)+IF(AND(V60&gt;=20,V60&lt;40,W60&lt;45),0.3,0)+IF(AND(V60&gt;=20,V60&lt;40,W60&gt;=45,W60&lt;95),0.23,0)+IF(AND(V60&gt;=20,V60&lt;40,W60&gt;=95,W60&lt;=200),0.17,0)+IF(AND(V60&gt;=20,V60&lt;40,W60&gt;=200),0.12,0)+IF(AND(V60&gt;=40,V60&lt;75,W60&lt;35),0.3,0)+IF(AND(V60&gt;=40,V60&lt;75,W60&gt;=35,W60&lt;75),0.23,0)+IF(AND(V60&gt;=40,V60&lt;75,W60&gt;=75,W60&lt;120),0.17,0)+IF(AND(V60&gt;=40,V60&lt;75,W60&gt;=120),0.12,0)+IF(AND(V60&gt;=75,V60&lt;175,W60&lt;35),0.3,0)+IF(AND(V60&gt;=75,V60&lt;=175,W60&gt;=35,W60&lt;65),0.23,0)+IF(AND(V60&gt;=75,V60&lt;=175,W60&gt;=65,W60&lt;110),0.17,0)+IF(AND(V60&gt;=75,V60&lt;=175,W60&gt;=110),0.12,0)+IF(AND(V60&gt;175,W60&lt;25),0.3,0)+IF(AND(V60&gt;175,W60&gt;=25,W60&lt;55),0.23,0)+IF(AND(V60&gt;175,W60&gt;=55,W60&lt;95),0.17,0)+IF(AND(V60&gt;175,W60&gt;=95),0.12,0),
IF(AF60="DoEVLo",IF(AND(V60&lt;20,W60&lt;55),0.25,0)+IF(AND(V60&lt;20,W60&gt;=55,W60&lt;105),0.2,0)+IF(AND(V60&lt;20,W60&gt;=105),0.15,0)+IF(AND(V60&gt;=20,V60&lt;40,W60&lt;45),0.25,0)+IF(AND(V60&gt;=20,V60&lt;40,W60&gt;=45,W60&lt;95),0.2,0)+IF(AND(V60&gt;=20,V60&lt;40,W60&gt;=95),0.15,0)+IF(AND(V60&gt;=40,V60&lt;75,W60&lt;35),0.25,0)+IF(AND(V60&gt;=40,V60&lt;75,W60&gt;=35,W60&lt;75),0.2,0)+IF(AND(V60&gt;=40,V60&lt;75,W60&gt;=75,W60&lt;120),0.15,0)+IF(AND(V60&gt;=40,V60&lt;75,W60&gt;=120),0.1,0)+IF(AND(V60&gt;=75,V60&lt;175,W60&lt;35),0.25,0)+IF(AND(V60&gt;=75,V60&lt;=175,W60&gt;=35,W60&lt;65),0.2,0)+IF(AND(V60&gt;=75,V60&lt;=175,W60&gt;=65,W60&lt;110),0.15,0)+IF(AND(V60&gt;=75,V60&lt;=175,W60&gt;=110),0.1,0)+IF(AND(V60&gt;175,W60&lt;25),0.25,0)+IF(AND(V60&gt;175,W60&gt;=25,W60&lt;55),0.2,0)+IF(AND(V60&gt;175,W60&gt;=55,W60&lt;95),0.15,0)+IF(AND(V60&gt;175,W60&gt;=95),0.1,0))))))))))))))))</f>
        <v>0.2</v>
      </c>
      <c r="Y60" s="30">
        <f>IF(AG60="None",0,IF(AG60="Fix5",0.05,IF(AG60="Fix3.75",0.0375,IF(AG60="Fix10",0.1,IF(AG60="Fix3",0.03,0)))))</f>
        <v>0</v>
      </c>
      <c r="Z60" s="35">
        <f>T60-AA60-AB60</f>
        <v>47.951999999999998</v>
      </c>
      <c r="AA60" s="29">
        <f>IF(AD60="EUR",((T60-R60)*X60)*U60+(R60*X60),(T60*X60))</f>
        <v>12.048</v>
      </c>
      <c r="AB60" s="36">
        <f>IF(AD60="EUR",((T60-R60)*Y60)*U60+(R60*Y60),(T60*Y60))</f>
        <v>0</v>
      </c>
      <c r="AC60" s="37" t="b">
        <v>0</v>
      </c>
      <c r="AD60" s="37" t="s">
        <v>50</v>
      </c>
      <c r="AE60" s="37"/>
      <c r="AF60" s="37" t="str">
        <f t="array" ref="AF60">INDEX('Deal Info'!D:D, MATCH(A60,'Deal Info'!A:A, 0))</f>
        <v>DoEV2017</v>
      </c>
      <c r="AG60" s="38" t="str">
        <f t="array" ref="AG60">INDEX('Deal Info'!G:G, MATCH(A60,'Deal Info'!A:A, 0))</f>
        <v>None</v>
      </c>
    </row>
    <row r="61" spans="1:33" ht="14.25" hidden="1" x14ac:dyDescent="0.2">
      <c r="A61" s="18" t="str">
        <f t="array" ref="A61">IF(G61='Room Info'!$B$1, INDEX('Room Info'!$A$2:$A2446, MATCH(B61,'Room Info'!$B$2:$B2446, 0)),IF(G61='Room Info'!$C$1, INDEX('Room Info'!$A$2:$A2446, MATCH(B61,'Room Info'!$C$2:$C2446, 0)),IF(G61='Room Info'!$D$1, INDEX('Room Info'!$A$2:$A2446, MATCH(B61,'Room Info'!$D$2:$D2446, 0)),IF(G61='Room Info'!$E$1, INDEX('Room Info'!$A$2:$A2446, MATCH(B61,'Room Info'!$E$2:$E2446, 0)),IF(G61='Room Info'!$F$1, INDEX('Room Info'!$A$2:$A2446, MATCH(B61,'Room Info'!$F$2:$F2446, 0)),IF(G61='Room Info'!$H$1, INDEX('Room Info'!$A$2:$A2446, MATCH(B61,'Room Info'!$H$2:$H2446, 0)),IF(G61='Room Info'!$G$1, INDEX('Room Info'!$A$2:$A2446, MATCH(B61,'Room Info'!$G$2:$G2446, 0)))))))))</f>
        <v>Abcdf</v>
      </c>
      <c r="B61" s="18" t="s">
        <v>60</v>
      </c>
      <c r="C61" s="19">
        <v>44774</v>
      </c>
      <c r="D61" s="19">
        <v>44804</v>
      </c>
      <c r="E61" s="21">
        <v>44774</v>
      </c>
      <c r="F61" s="40" t="s">
        <v>41</v>
      </c>
      <c r="G61" s="18" t="s">
        <v>69</v>
      </c>
      <c r="H61" s="23" t="s">
        <v>76</v>
      </c>
      <c r="I61" s="23" t="s">
        <v>74</v>
      </c>
      <c r="J61" s="39">
        <v>50</v>
      </c>
      <c r="K61" s="25">
        <v>36</v>
      </c>
      <c r="L61" s="26">
        <v>150</v>
      </c>
      <c r="M61" s="42">
        <v>32</v>
      </c>
      <c r="N61" s="28">
        <f>K61*J61</f>
        <v>1800</v>
      </c>
      <c r="O61" s="18">
        <v>252</v>
      </c>
      <c r="P61" s="29">
        <v>7</v>
      </c>
      <c r="Q61" s="30"/>
      <c r="R61" s="31">
        <f>M61+Q61</f>
        <v>32</v>
      </c>
      <c r="S61" s="28"/>
      <c r="T61" s="32">
        <f>R61+S61+IF(F61="Without EV deal",L61,0)</f>
        <v>182</v>
      </c>
      <c r="U61" s="33">
        <v>1.004</v>
      </c>
      <c r="V61" s="34">
        <v>20.633266533066131</v>
      </c>
      <c r="W61" s="34">
        <v>-151.89063714063715</v>
      </c>
      <c r="X61" s="30">
        <f>IF(AF61="DoEV",IF(AND(V61&lt;20,W61&lt;55),0.3,0)+IF(AND(V61&lt;20,W61&gt;=55,W61&lt;105),0.23,0)+IF(AND(V61&lt;20,W61&gt;=105),0.17,0)+IF(AND(V61&gt;=20,V61&lt;40,W61&lt;45),0.3,0)+IF(AND(V61&gt;=20,V61&lt;40,W61&gt;=45,W61&lt;95),0.23,0)+IF(AND(V61&gt;=20,V61&lt;40,W61&gt;=95),0.17,0)+IF(AND(V61&gt;=40,V61&lt;75,W61&lt;35),0.3,0)+IF(AND(V61&gt;=40,V61&lt;75,W61&gt;=35,W61&lt;75),0.23,0)+IF(AND(V61&gt;=40,V61&lt;75,W61&gt;=75,W61&lt;120),0.17,0)+IF(AND(V61&gt;=40,V61&lt;75,W61&gt;=120),0.12,0)+IF(AND(V61&gt;=75,V61&lt;175,W61&lt;35),0.3,0)+IF(AND(V61&gt;=75,V61&lt;=175,W61&gt;=35,W61&lt;65),0.23,0)+IF(AND(V61&gt;=75,V61&lt;=175,W61&gt;=65,W61&lt;110),0.17,0)+IF(AND(V61&gt;=75,V61&lt;=175,W61&gt;=110),0.12,0)+IF(AND(V61&gt;175,W61&lt;25),0.3,0)+IF(AND(V61&gt;175,W61&gt;=25,W61&lt;55),0.23,0)+IF(AND(V61&gt;175,W61&gt;=55,W61&lt;95),0.17,0)+IF(AND(V61&gt;175,W61&gt;=95),0.12,0),
IF(AF61="Fix15",0.15,
IF(AF61="Fix11.25",0.1125,
IF(AF61="Fix10",0.1,
IF(AF61="Fix9",0.09,
IF(AF61="DoEV2017",IF(AND(W61&lt;74),0.2,0)+IF(AND(W61&gt;=74),0.17,0),
IF(AF61="SF",IF(AND(V61&lt;20,W61&lt;89),0.3,0)+IF(AND(V61&lt;20,W61&gt;=89),0.25,0)+IF(AND(V61&gt;=20,V61&lt;40,W61&lt;74),0.3,0)+IF(AND(V61&gt;=20,V61&lt;40,W61&gt;=75),0.22,0)+IF(AND(V61&gt;=40,V61&lt;75,W61&lt;75),0.26,0)+IF(AND(V61&gt;=40,V61&lt;75,W61&gt;=75),0.22,0)+IF(V61&gt;=75,0.22,0),
IF(AF61="DoEVold",IF(AND(V61&lt;40,W61&lt;35),0.35,0)+IF(AND(V61&lt;40,W61&gt;=35,W61&lt;75),0.25,0)+IF(AND(V61&lt;40,W61&gt;=75),0.17,0)+IF(AND(V61&gt;=40,V61&lt;75,W61&lt;25),0.35,0)+IF(AND(V61&gt;=40,V61&lt;75,W61&gt;=25,W61&lt;65),0.25,0)+IF(AND(V61&gt;=40,V61&lt;75,W61&gt;=65,W61&lt;100),0.17,0)+IF(AND(V61&gt;=40,V61&lt;75,W61&gt;=100),0.1,0)+IF(AND(V61&gt;=75,W61&lt;25),0.35,0)+IF(AND(V61&gt;=75,W61&gt;=25,W61&lt;60),0.25,0)+IF(AND(V61&gt;=75,W61&gt;=60,W61&lt;95),0.17,0)+IF(AND(V61&gt;=75,W61&gt;=95),0.1,0),
IF(AF61="DoEVold15",IF(AND(V61&lt;=40,W61&lt;35),0.35,0)+IF(AND(V61&lt;=40,W61&gt;=35,W61&lt;75),0.25,0)+IF(AND(V61&lt;=40,W61&gt;=75,W61&lt;120),0.17,0)+IF(AND(V61&lt;=40,W61&gt;=120),0.15,0)+IF(AND(V61&gt;40,V61&lt;75,W61&lt;25),0.35,0)+IF(AND(V61&gt;=40,V61&lt;75,W61&gt;=25,W61&lt;65),0.25,0)+IF(AND(V61&gt;=40,V61&lt;75,W61&gt;=65,W61&lt;100),0.17,0)+IF(AND(V61&gt;=40,V61&lt;75,W61&gt;=100),0.1,0)+IF(AND(V61&gt;=75,W61&lt;25),0.35,0)+IF(AND(V61&gt;=75,W61&gt;=25,W61&lt;60),0.25,0)+IF(AND(V61&gt;=75,W61&gt;=60,W61&lt;95),0.17,0)+IF(AND(V61&gt;=75,W61&gt;=95),0.1,0),
IF(AF61="DoEVba",IF(AND(V61&lt;20,W61&lt;105),0.2,0)+IF(AND(V61&lt;20,W61&gt;=105),0.15,0)+IF(AND(V61&gt;=20,V61&lt;40,W61&lt;95),0.2,0)+IF(AND(V61&gt;=20,V61&lt;40,W61&gt;=95,W61&lt;150),0.15,0)+IF(AND(V61&gt;=20,V61&lt;40,W61&gt;=150),0.12,0)+IF(AND(V61&gt;=40,V61&lt;75,W61&lt;75),0.2,0)+IF(AND(V61&gt;=40,V61&lt;75,W61&gt;=75,W61&lt;120),0.15,0)+IF(AND(V61&gt;=40,V61&lt;75,W61&gt;=120),0.12,0)+IF(AND(V61&gt;=75,V61&lt;175,W61&lt;65),0.2,0)+IF(AND(V61&gt;=75,V61&lt;175,W61&gt;=65,W61&lt;110),0.15,0)+IF(AND(V61&gt;=75,V61&lt;175,W61&gt;=110),0.12,0)+IF(AND(V61&gt;=175,W61&lt;55),0.2,0)+IF(AND(V61&gt;=175,W61&gt;=55,W61&lt;95),0.15,0)+IF(AND(V61&gt;=175,W61&gt;=95),0.12,0),
IF(AF61="DoEVku",IF(AND(V61&lt;20,W61&lt;55),0.23,0)+IF(AND(V61&lt;20,W61&gt;=55,W61&lt;105),0.2,0)+IF(AND(V61&lt;20,W61&gt;=105),0.17,0)+IF(AND(V61&gt;=20,V61&lt;40,W61&lt;45),0.23,0)+IF(AND(V61&gt;=20,V61&lt;40,W61&gt;=45,W61&lt;95),0.2,0)+IF(AND(V61&gt;=20,V61&lt;40,W61&gt;=95,W61&lt;=150),0.17,0)+IF(AND(V61&gt;=20,V61&lt;40,W61&gt;=150),0.12,0)+IF(AND(V61&gt;=40,V61&lt;75,W61&lt;35),0.23,0)+IF(AND(V61&gt;=40,V61&lt;75,W61&gt;=35,W61&lt;75),0.2,0)+IF(AND(V61&gt;=40,V61&lt;75,W61&gt;=75,W61&lt;120),0.17,0)+IF(AND(V61&gt;=40,V61&lt;75,W61&gt;=120),0.12,0)+IF(AND(V61&gt;=75,V61&lt;175,W61&lt;35),0.23,0)+IF(AND(V61&gt;=75,V61&lt;=175,W61&gt;=35,W61&lt;65),0.2,0)+IF(AND(V61&gt;=75,V61&lt;=175,W61&gt;=65,W61&lt;110),0.17,0)+IF(AND(V61&gt;=75,V61&lt;=175,W61&gt;=110),0.12,0)+IF(AND(V61&gt;175,W61&lt;25),0.23,0)+IF(AND(V61&gt;175,W61&gt;=25,W61&lt;55),0.2,0)+IF(AND(V61&gt;175,W61&gt;=55,W61&lt;95),0.17,0)+IF(AND(V61&gt;175,W61&gt;=95),0.12,0),
IF(AF61="DoEVs1",IF(AND(V61&lt;20,W61&lt;55),0.3,0)+IF(AND(V61&lt;20,W61&gt;=55,W61&lt;105),0.23,0)+IF(AND(V61&lt;20,W61&gt;=105),0.17,0)+IF(AND(V61&gt;=20,V61&lt;40,W61&lt;45),0.3,0)+IF(AND(V61&gt;=20,V61&lt;40,W61&gt;=45,W61&lt;95),0.23,0)+IF(AND(V61&gt;=20,V61&lt;40,W61&gt;=95,W61&lt;=150),0.17,0)+IF(AND(V61&gt;=20,V61&lt;40,W61&gt;=150),0.12,0)+IF(AND(V61&gt;=40,V61&lt;75,W61&lt;35),0.3,0)+IF(AND(V61&gt;=40,V61&lt;75,W61&gt;=35,W61&lt;75),0.23,0)+IF(AND(V61&gt;=40,V61&lt;75,W61&gt;=75,W61&lt;120),0.17,0)+IF(AND(V61&gt;=40,V61&lt;75,W61&gt;=120),0.12,0)+IF(AND(V61&gt;=75,V61&lt;175,W61&lt;35),0.3,0)+IF(AND(V61&gt;=75,V61&lt;=175,W61&gt;=35,W61&lt;65),0.23,0)+IF(AND(V61&gt;=75,V61&lt;=175,W61&gt;=65,W61&lt;110),0.17,0)+IF(AND(V61&gt;=75,V61&lt;=175,W61&gt;=110),0.12,0)+IF(AND(V61&gt;175,W61&lt;25),0.3,0)+IF(AND(V61&gt;175,W61&gt;=25,W61&lt;55),0.23,0)+IF(AND(V61&gt;175,W61&gt;=55,W61&lt;95),0.17,0)+IF(AND(V61&gt;175,W61&gt;=95),0.12,0),
IF(AF61="DoEVsu",IF(AND(V61&lt;20,W61&lt;55),0.3,0)+IF(AND(V61&lt;20,W61&gt;=55,W61&lt;105),0.23,0)+IF(AND(V61&lt;20,W61&gt;=105),0.17,0)+IF(AND(V61&gt;=20,V61&lt;40,W61&lt;45),0.3,0)+IF(AND(V61&gt;=20,V61&lt;40,W61&gt;=45,W61&lt;95),0.23,0)+IF(AND(V61&gt;=20,V61&lt;40,W61&gt;=95,W61&lt;=250),0.17,0)+IF(AND(V61&gt;=20,V61&lt;40,W61&gt;=250),0.12,0)+IF(AND(V61&gt;=40,V61&lt;75,W61&lt;35),0.3,0)+IF(AND(V61&gt;=40,V61&lt;75,W61&gt;=35,W61&lt;75),0.23,0)+IF(AND(V61&gt;=40,V61&lt;75,W61&gt;=75,W61&lt;120),0.17,0)+IF(AND(V61&gt;=40,V61&lt;75,W61&gt;=120),0.12,0)+IF(AND(V61&gt;=75,V61&lt;175,W61&lt;35),0.3,0)+IF(AND(V61&gt;=75,V61&lt;=175,W61&gt;=35,W61&lt;65),0.23,0)+IF(AND(V61&gt;=75,V61&lt;=175,W61&gt;=65,W61&lt;110),0.17,0)+IF(AND(V61&gt;=75,V61&lt;=175,W61&gt;=110),0.12,0)+IF(AND(V61&gt;175,W61&lt;25),0.3,0)+IF(AND(V61&gt;175,W61&gt;=25,W61&lt;55),0.23,0)+IF(AND(V61&gt;175,W61&gt;=55,W61&lt;95),0.17,0)+IF(AND(V61&gt;175,W61&gt;=95),0.12,0),
IF(AF61="DoEVni",IF(AND(V61&lt;20,W61&lt;55),0.3,0)+IF(AND(V61&lt;20,W61&gt;=55,W61&lt;105),0.23,0)+IF(AND(V61&lt;20,W61&gt;=105),0.17,0)+IF(AND(V61&gt;=20,V61&lt;40,W61&lt;45),0.3,0)+IF(AND(V61&gt;=20,V61&lt;40,W61&gt;=45,W61&lt;95),0.23,0)+IF(AND(V61&gt;=20,V61&lt;40,W61&gt;=95,W61&lt;=200),0.17,0)+IF(AND(V61&gt;=20,V61&lt;40,W61&gt;=200),0.12,0)+IF(AND(V61&gt;=40,V61&lt;75,W61&lt;35),0.3,0)+IF(AND(V61&gt;=40,V61&lt;75,W61&gt;=35,W61&lt;75),0.23,0)+IF(AND(V61&gt;=40,V61&lt;75,W61&gt;=75,W61&lt;120),0.17,0)+IF(AND(V61&gt;=40,V61&lt;75,W61&gt;=120),0.12,0)+IF(AND(V61&gt;=75,V61&lt;175,W61&lt;35),0.3,0)+IF(AND(V61&gt;=75,V61&lt;=175,W61&gt;=35,W61&lt;65),0.23,0)+IF(AND(V61&gt;=75,V61&lt;=175,W61&gt;=65,W61&lt;110),0.17,0)+IF(AND(V61&gt;=75,V61&lt;=175,W61&gt;=110),0.12,0)+IF(AND(V61&gt;175,W61&lt;25),0.3,0)+IF(AND(V61&gt;175,W61&gt;=25,W61&lt;55),0.23,0)+IF(AND(V61&gt;175,W61&gt;=55,W61&lt;95),0.17,0)+IF(AND(V61&gt;175,W61&gt;=95),0.12,0),
IF(AF61="DoEVLo",IF(AND(V61&lt;20,W61&lt;55),0.25,0)+IF(AND(V61&lt;20,W61&gt;=55,W61&lt;105),0.2,0)+IF(AND(V61&lt;20,W61&gt;=105),0.15,0)+IF(AND(V61&gt;=20,V61&lt;40,W61&lt;45),0.25,0)+IF(AND(V61&gt;=20,V61&lt;40,W61&gt;=45,W61&lt;95),0.2,0)+IF(AND(V61&gt;=20,V61&lt;40,W61&gt;=95),0.15,0)+IF(AND(V61&gt;=40,V61&lt;75,W61&lt;35),0.25,0)+IF(AND(V61&gt;=40,V61&lt;75,W61&gt;=35,W61&lt;75),0.2,0)+IF(AND(V61&gt;=40,V61&lt;75,W61&gt;=75,W61&lt;120),0.15,0)+IF(AND(V61&gt;=40,V61&lt;75,W61&gt;=120),0.1,0)+IF(AND(V61&gt;=75,V61&lt;175,W61&lt;35),0.25,0)+IF(AND(V61&gt;=75,V61&lt;=175,W61&gt;=35,W61&lt;65),0.2,0)+IF(AND(V61&gt;=75,V61&lt;=175,W61&gt;=65,W61&lt;110),0.15,0)+IF(AND(V61&gt;=75,V61&lt;=175,W61&gt;=110),0.1,0)+IF(AND(V61&gt;175,W61&lt;25),0.25,0)+IF(AND(V61&gt;175,W61&gt;=25,W61&lt;55),0.2,0)+IF(AND(V61&gt;175,W61&gt;=55,W61&lt;95),0.15,0)+IF(AND(V61&gt;175,W61&gt;=95),0.1,0))))))))))))))))</f>
        <v>0.2</v>
      </c>
      <c r="Y61" s="30">
        <f>IF(AG61="None",0,IF(AG61="Fix5",0.05,IF(AG61="Fix3.75",0.0375,IF(AG61="Fix10",0.1,IF(AG61="Fix3",0.03,0)))))</f>
        <v>0</v>
      </c>
      <c r="Z61" s="35">
        <f>T61-AA61-AB61</f>
        <v>145.47999999999999</v>
      </c>
      <c r="AA61" s="29">
        <f>IF(AD61="EUR",((T61-R61)*X61)*U61+(R61*X61),(T61*X61))</f>
        <v>36.520000000000003</v>
      </c>
      <c r="AB61" s="36">
        <f>IF(AD61="EUR",((T61-R61)*Y61)*U61+(R61*Y61),(T61*Y61))</f>
        <v>0</v>
      </c>
      <c r="AC61" s="37" t="b">
        <v>0</v>
      </c>
      <c r="AD61" s="37" t="s">
        <v>50</v>
      </c>
      <c r="AE61" s="37"/>
      <c r="AF61" s="37" t="str">
        <f t="array" ref="AF61">INDEX('Deal Info'!D:D, MATCH(A61,'Deal Info'!A:A, 0))</f>
        <v>DoEV2017</v>
      </c>
      <c r="AG61" s="38" t="str">
        <f t="array" ref="AG61">INDEX('Deal Info'!G:G, MATCH(A61,'Deal Info'!A:A, 0))</f>
        <v>None</v>
      </c>
    </row>
    <row r="62" spans="1:33" ht="14.25" hidden="1" x14ac:dyDescent="0.2">
      <c r="A62" s="18" t="str">
        <f t="array" ref="A62">IF(G62='Room Info'!$B$1, INDEX('Room Info'!$A$2:$A2446, MATCH(B62,'Room Info'!$B$2:$B2446, 0)),IF(G62='Room Info'!$C$1, INDEX('Room Info'!$A$2:$A2446, MATCH(B62,'Room Info'!$C$2:$C2446, 0)),IF(G62='Room Info'!$D$1, INDEX('Room Info'!$A$2:$A2446, MATCH(B62,'Room Info'!$D$2:$D2446, 0)),IF(G62='Room Info'!$E$1, INDEX('Room Info'!$A$2:$A2446, MATCH(B62,'Room Info'!$E$2:$E2446, 0)),IF(G62='Room Info'!$F$1, INDEX('Room Info'!$A$2:$A2446, MATCH(B62,'Room Info'!$F$2:$F2446, 0)),IF(G62='Room Info'!$H$1, INDEX('Room Info'!$A$2:$A2446, MATCH(B62,'Room Info'!$H$2:$H2446, 0)),IF(G62='Room Info'!$G$1, INDEX('Room Info'!$A$2:$A2446, MATCH(B62,'Room Info'!$G$2:$G2446, 0)))))))))</f>
        <v>Abcdf</v>
      </c>
      <c r="B62" s="18" t="s">
        <v>60</v>
      </c>
      <c r="C62" s="19">
        <v>44774</v>
      </c>
      <c r="D62" s="19">
        <v>44804</v>
      </c>
      <c r="E62" s="21">
        <v>44774</v>
      </c>
      <c r="F62" s="40" t="s">
        <v>41</v>
      </c>
      <c r="G62" s="18" t="s">
        <v>69</v>
      </c>
      <c r="H62" s="23" t="s">
        <v>72</v>
      </c>
      <c r="I62" s="23" t="s">
        <v>37</v>
      </c>
      <c r="J62" s="39">
        <v>50</v>
      </c>
      <c r="K62" s="25">
        <v>14</v>
      </c>
      <c r="L62" s="26">
        <v>-100</v>
      </c>
      <c r="M62" s="42">
        <v>13</v>
      </c>
      <c r="N62" s="28">
        <f>K62*J62</f>
        <v>700</v>
      </c>
      <c r="O62" s="18">
        <v>322</v>
      </c>
      <c r="P62" s="29">
        <v>23</v>
      </c>
      <c r="Q62" s="30"/>
      <c r="R62" s="31">
        <f>M62+Q62</f>
        <v>13</v>
      </c>
      <c r="S62" s="28"/>
      <c r="T62" s="32">
        <f>R62+S62+IF(F62="Without EV deal",L62,0)</f>
        <v>-87</v>
      </c>
      <c r="U62" s="33">
        <v>1.004</v>
      </c>
      <c r="V62" s="34">
        <v>20.633266533066131</v>
      </c>
      <c r="W62" s="34">
        <v>-151.89063714063715</v>
      </c>
      <c r="X62" s="30">
        <f>IF(AF62="DoEV",IF(AND(V62&lt;20,W62&lt;55),0.3,0)+IF(AND(V62&lt;20,W62&gt;=55,W62&lt;105),0.23,0)+IF(AND(V62&lt;20,W62&gt;=105),0.17,0)+IF(AND(V62&gt;=20,V62&lt;40,W62&lt;45),0.3,0)+IF(AND(V62&gt;=20,V62&lt;40,W62&gt;=45,W62&lt;95),0.23,0)+IF(AND(V62&gt;=20,V62&lt;40,W62&gt;=95),0.17,0)+IF(AND(V62&gt;=40,V62&lt;75,W62&lt;35),0.3,0)+IF(AND(V62&gt;=40,V62&lt;75,W62&gt;=35,W62&lt;75),0.23,0)+IF(AND(V62&gt;=40,V62&lt;75,W62&gt;=75,W62&lt;120),0.17,0)+IF(AND(V62&gt;=40,V62&lt;75,W62&gt;=120),0.12,0)+IF(AND(V62&gt;=75,V62&lt;175,W62&lt;35),0.3,0)+IF(AND(V62&gt;=75,V62&lt;=175,W62&gt;=35,W62&lt;65),0.23,0)+IF(AND(V62&gt;=75,V62&lt;=175,W62&gt;=65,W62&lt;110),0.17,0)+IF(AND(V62&gt;=75,V62&lt;=175,W62&gt;=110),0.12,0)+IF(AND(V62&gt;175,W62&lt;25),0.3,0)+IF(AND(V62&gt;175,W62&gt;=25,W62&lt;55),0.23,0)+IF(AND(V62&gt;175,W62&gt;=55,W62&lt;95),0.17,0)+IF(AND(V62&gt;175,W62&gt;=95),0.12,0),
IF(AF62="Fix15",0.15,
IF(AF62="Fix11.25",0.1125,
IF(AF62="Fix10",0.1,
IF(AF62="Fix9",0.09,
IF(AF62="DoEV2017",IF(AND(W62&lt;74),0.2,0)+IF(AND(W62&gt;=74),0.17,0),
IF(AF62="SF",IF(AND(V62&lt;20,W62&lt;89),0.3,0)+IF(AND(V62&lt;20,W62&gt;=89),0.25,0)+IF(AND(V62&gt;=20,V62&lt;40,W62&lt;74),0.3,0)+IF(AND(V62&gt;=20,V62&lt;40,W62&gt;=75),0.22,0)+IF(AND(V62&gt;=40,V62&lt;75,W62&lt;75),0.26,0)+IF(AND(V62&gt;=40,V62&lt;75,W62&gt;=75),0.22,0)+IF(V62&gt;=75,0.22,0),
IF(AF62="DoEVold",IF(AND(V62&lt;40,W62&lt;35),0.35,0)+IF(AND(V62&lt;40,W62&gt;=35,W62&lt;75),0.25,0)+IF(AND(V62&lt;40,W62&gt;=75),0.17,0)+IF(AND(V62&gt;=40,V62&lt;75,W62&lt;25),0.35,0)+IF(AND(V62&gt;=40,V62&lt;75,W62&gt;=25,W62&lt;65),0.25,0)+IF(AND(V62&gt;=40,V62&lt;75,W62&gt;=65,W62&lt;100),0.17,0)+IF(AND(V62&gt;=40,V62&lt;75,W62&gt;=100),0.1,0)+IF(AND(V62&gt;=75,W62&lt;25),0.35,0)+IF(AND(V62&gt;=75,W62&gt;=25,W62&lt;60),0.25,0)+IF(AND(V62&gt;=75,W62&gt;=60,W62&lt;95),0.17,0)+IF(AND(V62&gt;=75,W62&gt;=95),0.1,0),
IF(AF62="DoEVold15",IF(AND(V62&lt;=40,W62&lt;35),0.35,0)+IF(AND(V62&lt;=40,W62&gt;=35,W62&lt;75),0.25,0)+IF(AND(V62&lt;=40,W62&gt;=75,W62&lt;120),0.17,0)+IF(AND(V62&lt;=40,W62&gt;=120),0.15,0)+IF(AND(V62&gt;40,V62&lt;75,W62&lt;25),0.35,0)+IF(AND(V62&gt;=40,V62&lt;75,W62&gt;=25,W62&lt;65),0.25,0)+IF(AND(V62&gt;=40,V62&lt;75,W62&gt;=65,W62&lt;100),0.17,0)+IF(AND(V62&gt;=40,V62&lt;75,W62&gt;=100),0.1,0)+IF(AND(V62&gt;=75,W62&lt;25),0.35,0)+IF(AND(V62&gt;=75,W62&gt;=25,W62&lt;60),0.25,0)+IF(AND(V62&gt;=75,W62&gt;=60,W62&lt;95),0.17,0)+IF(AND(V62&gt;=75,W62&gt;=95),0.1,0),
IF(AF62="DoEVba",IF(AND(V62&lt;20,W62&lt;105),0.2,0)+IF(AND(V62&lt;20,W62&gt;=105),0.15,0)+IF(AND(V62&gt;=20,V62&lt;40,W62&lt;95),0.2,0)+IF(AND(V62&gt;=20,V62&lt;40,W62&gt;=95,W62&lt;150),0.15,0)+IF(AND(V62&gt;=20,V62&lt;40,W62&gt;=150),0.12,0)+IF(AND(V62&gt;=40,V62&lt;75,W62&lt;75),0.2,0)+IF(AND(V62&gt;=40,V62&lt;75,W62&gt;=75,W62&lt;120),0.15,0)+IF(AND(V62&gt;=40,V62&lt;75,W62&gt;=120),0.12,0)+IF(AND(V62&gt;=75,V62&lt;175,W62&lt;65),0.2,0)+IF(AND(V62&gt;=75,V62&lt;175,W62&gt;=65,W62&lt;110),0.15,0)+IF(AND(V62&gt;=75,V62&lt;175,W62&gt;=110),0.12,0)+IF(AND(V62&gt;=175,W62&lt;55),0.2,0)+IF(AND(V62&gt;=175,W62&gt;=55,W62&lt;95),0.15,0)+IF(AND(V62&gt;=175,W62&gt;=95),0.12,0),
IF(AF62="DoEVku",IF(AND(V62&lt;20,W62&lt;55),0.23,0)+IF(AND(V62&lt;20,W62&gt;=55,W62&lt;105),0.2,0)+IF(AND(V62&lt;20,W62&gt;=105),0.17,0)+IF(AND(V62&gt;=20,V62&lt;40,W62&lt;45),0.23,0)+IF(AND(V62&gt;=20,V62&lt;40,W62&gt;=45,W62&lt;95),0.2,0)+IF(AND(V62&gt;=20,V62&lt;40,W62&gt;=95,W62&lt;=150),0.17,0)+IF(AND(V62&gt;=20,V62&lt;40,W62&gt;=150),0.12,0)+IF(AND(V62&gt;=40,V62&lt;75,W62&lt;35),0.23,0)+IF(AND(V62&gt;=40,V62&lt;75,W62&gt;=35,W62&lt;75),0.2,0)+IF(AND(V62&gt;=40,V62&lt;75,W62&gt;=75,W62&lt;120),0.17,0)+IF(AND(V62&gt;=40,V62&lt;75,W62&gt;=120),0.12,0)+IF(AND(V62&gt;=75,V62&lt;175,W62&lt;35),0.23,0)+IF(AND(V62&gt;=75,V62&lt;=175,W62&gt;=35,W62&lt;65),0.2,0)+IF(AND(V62&gt;=75,V62&lt;=175,W62&gt;=65,W62&lt;110),0.17,0)+IF(AND(V62&gt;=75,V62&lt;=175,W62&gt;=110),0.12,0)+IF(AND(V62&gt;175,W62&lt;25),0.23,0)+IF(AND(V62&gt;175,W62&gt;=25,W62&lt;55),0.2,0)+IF(AND(V62&gt;175,W62&gt;=55,W62&lt;95),0.17,0)+IF(AND(V62&gt;175,W62&gt;=95),0.12,0),
IF(AF62="DoEVs1",IF(AND(V62&lt;20,W62&lt;55),0.3,0)+IF(AND(V62&lt;20,W62&gt;=55,W62&lt;105),0.23,0)+IF(AND(V62&lt;20,W62&gt;=105),0.17,0)+IF(AND(V62&gt;=20,V62&lt;40,W62&lt;45),0.3,0)+IF(AND(V62&gt;=20,V62&lt;40,W62&gt;=45,W62&lt;95),0.23,0)+IF(AND(V62&gt;=20,V62&lt;40,W62&gt;=95,W62&lt;=150),0.17,0)+IF(AND(V62&gt;=20,V62&lt;40,W62&gt;=150),0.12,0)+IF(AND(V62&gt;=40,V62&lt;75,W62&lt;35),0.3,0)+IF(AND(V62&gt;=40,V62&lt;75,W62&gt;=35,W62&lt;75),0.23,0)+IF(AND(V62&gt;=40,V62&lt;75,W62&gt;=75,W62&lt;120),0.17,0)+IF(AND(V62&gt;=40,V62&lt;75,W62&gt;=120),0.12,0)+IF(AND(V62&gt;=75,V62&lt;175,W62&lt;35),0.3,0)+IF(AND(V62&gt;=75,V62&lt;=175,W62&gt;=35,W62&lt;65),0.23,0)+IF(AND(V62&gt;=75,V62&lt;=175,W62&gt;=65,W62&lt;110),0.17,0)+IF(AND(V62&gt;=75,V62&lt;=175,W62&gt;=110),0.12,0)+IF(AND(V62&gt;175,W62&lt;25),0.3,0)+IF(AND(V62&gt;175,W62&gt;=25,W62&lt;55),0.23,0)+IF(AND(V62&gt;175,W62&gt;=55,W62&lt;95),0.17,0)+IF(AND(V62&gt;175,W62&gt;=95),0.12,0),
IF(AF62="DoEVsu",IF(AND(V62&lt;20,W62&lt;55),0.3,0)+IF(AND(V62&lt;20,W62&gt;=55,W62&lt;105),0.23,0)+IF(AND(V62&lt;20,W62&gt;=105),0.17,0)+IF(AND(V62&gt;=20,V62&lt;40,W62&lt;45),0.3,0)+IF(AND(V62&gt;=20,V62&lt;40,W62&gt;=45,W62&lt;95),0.23,0)+IF(AND(V62&gt;=20,V62&lt;40,W62&gt;=95,W62&lt;=250),0.17,0)+IF(AND(V62&gt;=20,V62&lt;40,W62&gt;=250),0.12,0)+IF(AND(V62&gt;=40,V62&lt;75,W62&lt;35),0.3,0)+IF(AND(V62&gt;=40,V62&lt;75,W62&gt;=35,W62&lt;75),0.23,0)+IF(AND(V62&gt;=40,V62&lt;75,W62&gt;=75,W62&lt;120),0.17,0)+IF(AND(V62&gt;=40,V62&lt;75,W62&gt;=120),0.12,0)+IF(AND(V62&gt;=75,V62&lt;175,W62&lt;35),0.3,0)+IF(AND(V62&gt;=75,V62&lt;=175,W62&gt;=35,W62&lt;65),0.23,0)+IF(AND(V62&gt;=75,V62&lt;=175,W62&gt;=65,W62&lt;110),0.17,0)+IF(AND(V62&gt;=75,V62&lt;=175,W62&gt;=110),0.12,0)+IF(AND(V62&gt;175,W62&lt;25),0.3,0)+IF(AND(V62&gt;175,W62&gt;=25,W62&lt;55),0.23,0)+IF(AND(V62&gt;175,W62&gt;=55,W62&lt;95),0.17,0)+IF(AND(V62&gt;175,W62&gt;=95),0.12,0),
IF(AF62="DoEVni",IF(AND(V62&lt;20,W62&lt;55),0.3,0)+IF(AND(V62&lt;20,W62&gt;=55,W62&lt;105),0.23,0)+IF(AND(V62&lt;20,W62&gt;=105),0.17,0)+IF(AND(V62&gt;=20,V62&lt;40,W62&lt;45),0.3,0)+IF(AND(V62&gt;=20,V62&lt;40,W62&gt;=45,W62&lt;95),0.23,0)+IF(AND(V62&gt;=20,V62&lt;40,W62&gt;=95,W62&lt;=200),0.17,0)+IF(AND(V62&gt;=20,V62&lt;40,W62&gt;=200),0.12,0)+IF(AND(V62&gt;=40,V62&lt;75,W62&lt;35),0.3,0)+IF(AND(V62&gt;=40,V62&lt;75,W62&gt;=35,W62&lt;75),0.23,0)+IF(AND(V62&gt;=40,V62&lt;75,W62&gt;=75,W62&lt;120),0.17,0)+IF(AND(V62&gt;=40,V62&lt;75,W62&gt;=120),0.12,0)+IF(AND(V62&gt;=75,V62&lt;175,W62&lt;35),0.3,0)+IF(AND(V62&gt;=75,V62&lt;=175,W62&gt;=35,W62&lt;65),0.23,0)+IF(AND(V62&gt;=75,V62&lt;=175,W62&gt;=65,W62&lt;110),0.17,0)+IF(AND(V62&gt;=75,V62&lt;=175,W62&gt;=110),0.12,0)+IF(AND(V62&gt;175,W62&lt;25),0.3,0)+IF(AND(V62&gt;175,W62&gt;=25,W62&lt;55),0.23,0)+IF(AND(V62&gt;175,W62&gt;=55,W62&lt;95),0.17,0)+IF(AND(V62&gt;175,W62&gt;=95),0.12,0),
IF(AF62="DoEVLo",IF(AND(V62&lt;20,W62&lt;55),0.25,0)+IF(AND(V62&lt;20,W62&gt;=55,W62&lt;105),0.2,0)+IF(AND(V62&lt;20,W62&gt;=105),0.15,0)+IF(AND(V62&gt;=20,V62&lt;40,W62&lt;45),0.25,0)+IF(AND(V62&gt;=20,V62&lt;40,W62&gt;=45,W62&lt;95),0.2,0)+IF(AND(V62&gt;=20,V62&lt;40,W62&gt;=95),0.15,0)+IF(AND(V62&gt;=40,V62&lt;75,W62&lt;35),0.25,0)+IF(AND(V62&gt;=40,V62&lt;75,W62&gt;=35,W62&lt;75),0.2,0)+IF(AND(V62&gt;=40,V62&lt;75,W62&gt;=75,W62&lt;120),0.15,0)+IF(AND(V62&gt;=40,V62&lt;75,W62&gt;=120),0.1,0)+IF(AND(V62&gt;=75,V62&lt;175,W62&lt;35),0.25,0)+IF(AND(V62&gt;=75,V62&lt;=175,W62&gt;=35,W62&lt;65),0.2,0)+IF(AND(V62&gt;=75,V62&lt;=175,W62&gt;=65,W62&lt;110),0.15,0)+IF(AND(V62&gt;=75,V62&lt;=175,W62&gt;=110),0.1,0)+IF(AND(V62&gt;175,W62&lt;25),0.25,0)+IF(AND(V62&gt;175,W62&gt;=25,W62&lt;55),0.2,0)+IF(AND(V62&gt;175,W62&gt;=55,W62&lt;95),0.15,0)+IF(AND(V62&gt;175,W62&gt;=95),0.1,0))))))))))))))))</f>
        <v>0.2</v>
      </c>
      <c r="Y62" s="30">
        <f>IF(AG62="None",0,IF(AG62="Fix5",0.05,IF(AG62="Fix3.75",0.0375,IF(AG62="Fix10",0.1,IF(AG62="Fix3",0.03,0)))))</f>
        <v>0</v>
      </c>
      <c r="Z62" s="35">
        <f>T62-AA62-AB62</f>
        <v>-69.52000000000001</v>
      </c>
      <c r="AA62" s="29">
        <f>IF(AD62="EUR",((T62-R62)*X62)*U62+(R62*X62),(T62*X62))</f>
        <v>-17.479999999999997</v>
      </c>
      <c r="AB62" s="36">
        <f>IF(AD62="EUR",((T62-R62)*Y62)*U62+(R62*Y62),(T62*Y62))</f>
        <v>0</v>
      </c>
      <c r="AC62" s="37" t="b">
        <v>0</v>
      </c>
      <c r="AD62" s="37" t="s">
        <v>50</v>
      </c>
      <c r="AE62" s="37"/>
      <c r="AF62" s="37" t="str">
        <f t="array" ref="AF62">INDEX('Deal Info'!D:D, MATCH(A62,'Deal Info'!A:A, 0))</f>
        <v>DoEV2017</v>
      </c>
      <c r="AG62" s="38" t="str">
        <f t="array" ref="AG62">INDEX('Deal Info'!G:G, MATCH(A62,'Deal Info'!A:A, 0))</f>
        <v>None</v>
      </c>
    </row>
    <row r="63" spans="1:33" ht="14.25" hidden="1" x14ac:dyDescent="0.2">
      <c r="A63" s="18" t="str">
        <f t="array" ref="A63">IF(G63='Room Info'!$B$1, INDEX('Room Info'!$A$2:$A2446, MATCH(B63,'Room Info'!$B$2:$B2446, 0)),IF(G63='Room Info'!$C$1, INDEX('Room Info'!$A$2:$A2446, MATCH(B63,'Room Info'!$C$2:$C2446, 0)),IF(G63='Room Info'!$D$1, INDEX('Room Info'!$A$2:$A2446, MATCH(B63,'Room Info'!$D$2:$D2446, 0)),IF(G63='Room Info'!$E$1, INDEX('Room Info'!$A$2:$A2446, MATCH(B63,'Room Info'!$E$2:$E2446, 0)),IF(G63='Room Info'!$F$1, INDEX('Room Info'!$A$2:$A2446, MATCH(B63,'Room Info'!$F$2:$F2446, 0)),IF(G63='Room Info'!$H$1, INDEX('Room Info'!$A$2:$A2446, MATCH(B63,'Room Info'!$H$2:$H2446, 0)),IF(G63='Room Info'!$G$1, INDEX('Room Info'!$A$2:$A2446, MATCH(B63,'Room Info'!$G$2:$G2446, 0)))))))))</f>
        <v>Abcdf</v>
      </c>
      <c r="B63" s="18" t="s">
        <v>60</v>
      </c>
      <c r="C63" s="41">
        <v>44805</v>
      </c>
      <c r="D63" s="41">
        <v>44834</v>
      </c>
      <c r="E63" s="21">
        <v>44805</v>
      </c>
      <c r="F63" s="40" t="s">
        <v>41</v>
      </c>
      <c r="G63" s="18" t="s">
        <v>69</v>
      </c>
      <c r="H63" s="23" t="s">
        <v>77</v>
      </c>
      <c r="I63" s="23" t="s">
        <v>74</v>
      </c>
      <c r="J63" s="39">
        <v>10</v>
      </c>
      <c r="K63" s="25">
        <v>196</v>
      </c>
      <c r="L63" s="26">
        <v>-180</v>
      </c>
      <c r="M63" s="42">
        <v>65</v>
      </c>
      <c r="N63" s="28">
        <f>K63*J63</f>
        <v>1960</v>
      </c>
      <c r="O63" s="18">
        <v>1372</v>
      </c>
      <c r="P63" s="29">
        <v>7</v>
      </c>
      <c r="Q63" s="30"/>
      <c r="R63" s="31">
        <f>M63+Q63</f>
        <v>65</v>
      </c>
      <c r="S63" s="28"/>
      <c r="T63" s="32">
        <f>R63+S63+IF(F63="Without EV deal",L63,0)</f>
        <v>-115</v>
      </c>
      <c r="U63" s="33">
        <v>1</v>
      </c>
      <c r="V63" s="34">
        <v>10</v>
      </c>
      <c r="W63" s="34">
        <v>-7.4</v>
      </c>
      <c r="X63" s="30">
        <f>IF(AF63="DoEV",IF(AND(V63&lt;20,W63&lt;55),0.3,0)+IF(AND(V63&lt;20,W63&gt;=55,W63&lt;105),0.23,0)+IF(AND(V63&lt;20,W63&gt;=105),0.17,0)+IF(AND(V63&gt;=20,V63&lt;40,W63&lt;45),0.3,0)+IF(AND(V63&gt;=20,V63&lt;40,W63&gt;=45,W63&lt;95),0.23,0)+IF(AND(V63&gt;=20,V63&lt;40,W63&gt;=95),0.17,0)+IF(AND(V63&gt;=40,V63&lt;75,W63&lt;35),0.3,0)+IF(AND(V63&gt;=40,V63&lt;75,W63&gt;=35,W63&lt;75),0.23,0)+IF(AND(V63&gt;=40,V63&lt;75,W63&gt;=75,W63&lt;120),0.17,0)+IF(AND(V63&gt;=40,V63&lt;75,W63&gt;=120),0.12,0)+IF(AND(V63&gt;=75,V63&lt;175,W63&lt;35),0.3,0)+IF(AND(V63&gt;=75,V63&lt;=175,W63&gt;=35,W63&lt;65),0.23,0)+IF(AND(V63&gt;=75,V63&lt;=175,W63&gt;=65,W63&lt;110),0.17,0)+IF(AND(V63&gt;=75,V63&lt;=175,W63&gt;=110),0.12,0)+IF(AND(V63&gt;175,W63&lt;25),0.3,0)+IF(AND(V63&gt;175,W63&gt;=25,W63&lt;55),0.23,0)+IF(AND(V63&gt;175,W63&gt;=55,W63&lt;95),0.17,0)+IF(AND(V63&gt;175,W63&gt;=95),0.12,0),
IF(AF63="Fix15",0.15,
IF(AF63="Fix11.25",0.1125,
IF(AF63="Fix10",0.1,
IF(AF63="Fix9",0.09,
IF(AF63="DoEV2017",IF(AND(W63&lt;74),0.2,0)+IF(AND(W63&gt;=74),0.17,0),
IF(AF63="SF",IF(AND(V63&lt;20,W63&lt;89),0.3,0)+IF(AND(V63&lt;20,W63&gt;=89),0.25,0)+IF(AND(V63&gt;=20,V63&lt;40,W63&lt;74),0.3,0)+IF(AND(V63&gt;=20,V63&lt;40,W63&gt;=75),0.22,0)+IF(AND(V63&gt;=40,V63&lt;75,W63&lt;75),0.26,0)+IF(AND(V63&gt;=40,V63&lt;75,W63&gt;=75),0.22,0)+IF(V63&gt;=75,0.22,0),
IF(AF63="DoEVold",IF(AND(V63&lt;40,W63&lt;35),0.35,0)+IF(AND(V63&lt;40,W63&gt;=35,W63&lt;75),0.25,0)+IF(AND(V63&lt;40,W63&gt;=75),0.17,0)+IF(AND(V63&gt;=40,V63&lt;75,W63&lt;25),0.35,0)+IF(AND(V63&gt;=40,V63&lt;75,W63&gt;=25,W63&lt;65),0.25,0)+IF(AND(V63&gt;=40,V63&lt;75,W63&gt;=65,W63&lt;100),0.17,0)+IF(AND(V63&gt;=40,V63&lt;75,W63&gt;=100),0.1,0)+IF(AND(V63&gt;=75,W63&lt;25),0.35,0)+IF(AND(V63&gt;=75,W63&gt;=25,W63&lt;60),0.25,0)+IF(AND(V63&gt;=75,W63&gt;=60,W63&lt;95),0.17,0)+IF(AND(V63&gt;=75,W63&gt;=95),0.1,0),
IF(AF63="DoEVold15",IF(AND(V63&lt;=40,W63&lt;35),0.35,0)+IF(AND(V63&lt;=40,W63&gt;=35,W63&lt;75),0.25,0)+IF(AND(V63&lt;=40,W63&gt;=75,W63&lt;120),0.17,0)+IF(AND(V63&lt;=40,W63&gt;=120),0.15,0)+IF(AND(V63&gt;40,V63&lt;75,W63&lt;25),0.35,0)+IF(AND(V63&gt;=40,V63&lt;75,W63&gt;=25,W63&lt;65),0.25,0)+IF(AND(V63&gt;=40,V63&lt;75,W63&gt;=65,W63&lt;100),0.17,0)+IF(AND(V63&gt;=40,V63&lt;75,W63&gt;=100),0.1,0)+IF(AND(V63&gt;=75,W63&lt;25),0.35,0)+IF(AND(V63&gt;=75,W63&gt;=25,W63&lt;60),0.25,0)+IF(AND(V63&gt;=75,W63&gt;=60,W63&lt;95),0.17,0)+IF(AND(V63&gt;=75,W63&gt;=95),0.1,0),
IF(AF63="DoEVba",IF(AND(V63&lt;20,W63&lt;105),0.2,0)+IF(AND(V63&lt;20,W63&gt;=105),0.15,0)+IF(AND(V63&gt;=20,V63&lt;40,W63&lt;95),0.2,0)+IF(AND(V63&gt;=20,V63&lt;40,W63&gt;=95,W63&lt;150),0.15,0)+IF(AND(V63&gt;=20,V63&lt;40,W63&gt;=150),0.12,0)+IF(AND(V63&gt;=40,V63&lt;75,W63&lt;75),0.2,0)+IF(AND(V63&gt;=40,V63&lt;75,W63&gt;=75,W63&lt;120),0.15,0)+IF(AND(V63&gt;=40,V63&lt;75,W63&gt;=120),0.12,0)+IF(AND(V63&gt;=75,V63&lt;175,W63&lt;65),0.2,0)+IF(AND(V63&gt;=75,V63&lt;175,W63&gt;=65,W63&lt;110),0.15,0)+IF(AND(V63&gt;=75,V63&lt;175,W63&gt;=110),0.12,0)+IF(AND(V63&gt;=175,W63&lt;55),0.2,0)+IF(AND(V63&gt;=175,W63&gt;=55,W63&lt;95),0.15,0)+IF(AND(V63&gt;=175,W63&gt;=95),0.12,0),
IF(AF63="DoEVku",IF(AND(V63&lt;20,W63&lt;55),0.23,0)+IF(AND(V63&lt;20,W63&gt;=55,W63&lt;105),0.2,0)+IF(AND(V63&lt;20,W63&gt;=105),0.17,0)+IF(AND(V63&gt;=20,V63&lt;40,W63&lt;45),0.23,0)+IF(AND(V63&gt;=20,V63&lt;40,W63&gt;=45,W63&lt;95),0.2,0)+IF(AND(V63&gt;=20,V63&lt;40,W63&gt;=95,W63&lt;=150),0.17,0)+IF(AND(V63&gt;=20,V63&lt;40,W63&gt;=150),0.12,0)+IF(AND(V63&gt;=40,V63&lt;75,W63&lt;35),0.23,0)+IF(AND(V63&gt;=40,V63&lt;75,W63&gt;=35,W63&lt;75),0.2,0)+IF(AND(V63&gt;=40,V63&lt;75,W63&gt;=75,W63&lt;120),0.17,0)+IF(AND(V63&gt;=40,V63&lt;75,W63&gt;=120),0.12,0)+IF(AND(V63&gt;=75,V63&lt;175,W63&lt;35),0.23,0)+IF(AND(V63&gt;=75,V63&lt;=175,W63&gt;=35,W63&lt;65),0.2,0)+IF(AND(V63&gt;=75,V63&lt;=175,W63&gt;=65,W63&lt;110),0.17,0)+IF(AND(V63&gt;=75,V63&lt;=175,W63&gt;=110),0.12,0)+IF(AND(V63&gt;175,W63&lt;25),0.23,0)+IF(AND(V63&gt;175,W63&gt;=25,W63&lt;55),0.2,0)+IF(AND(V63&gt;175,W63&gt;=55,W63&lt;95),0.17,0)+IF(AND(V63&gt;175,W63&gt;=95),0.12,0),
IF(AF63="DoEVs1",IF(AND(V63&lt;20,W63&lt;55),0.3,0)+IF(AND(V63&lt;20,W63&gt;=55,W63&lt;105),0.23,0)+IF(AND(V63&lt;20,W63&gt;=105),0.17,0)+IF(AND(V63&gt;=20,V63&lt;40,W63&lt;45),0.3,0)+IF(AND(V63&gt;=20,V63&lt;40,W63&gt;=45,W63&lt;95),0.23,0)+IF(AND(V63&gt;=20,V63&lt;40,W63&gt;=95,W63&lt;=150),0.17,0)+IF(AND(V63&gt;=20,V63&lt;40,W63&gt;=150),0.12,0)+IF(AND(V63&gt;=40,V63&lt;75,W63&lt;35),0.3,0)+IF(AND(V63&gt;=40,V63&lt;75,W63&gt;=35,W63&lt;75),0.23,0)+IF(AND(V63&gt;=40,V63&lt;75,W63&gt;=75,W63&lt;120),0.17,0)+IF(AND(V63&gt;=40,V63&lt;75,W63&gt;=120),0.12,0)+IF(AND(V63&gt;=75,V63&lt;175,W63&lt;35),0.3,0)+IF(AND(V63&gt;=75,V63&lt;=175,W63&gt;=35,W63&lt;65),0.23,0)+IF(AND(V63&gt;=75,V63&lt;=175,W63&gt;=65,W63&lt;110),0.17,0)+IF(AND(V63&gt;=75,V63&lt;=175,W63&gt;=110),0.12,0)+IF(AND(V63&gt;175,W63&lt;25),0.3,0)+IF(AND(V63&gt;175,W63&gt;=25,W63&lt;55),0.23,0)+IF(AND(V63&gt;175,W63&gt;=55,W63&lt;95),0.17,0)+IF(AND(V63&gt;175,W63&gt;=95),0.12,0),
IF(AF63="DoEVsu",IF(AND(V63&lt;20,W63&lt;55),0.3,0)+IF(AND(V63&lt;20,W63&gt;=55,W63&lt;105),0.23,0)+IF(AND(V63&lt;20,W63&gt;=105),0.17,0)+IF(AND(V63&gt;=20,V63&lt;40,W63&lt;45),0.3,0)+IF(AND(V63&gt;=20,V63&lt;40,W63&gt;=45,W63&lt;95),0.23,0)+IF(AND(V63&gt;=20,V63&lt;40,W63&gt;=95,W63&lt;=250),0.17,0)+IF(AND(V63&gt;=20,V63&lt;40,W63&gt;=250),0.12,0)+IF(AND(V63&gt;=40,V63&lt;75,W63&lt;35),0.3,0)+IF(AND(V63&gt;=40,V63&lt;75,W63&gt;=35,W63&lt;75),0.23,0)+IF(AND(V63&gt;=40,V63&lt;75,W63&gt;=75,W63&lt;120),0.17,0)+IF(AND(V63&gt;=40,V63&lt;75,W63&gt;=120),0.12,0)+IF(AND(V63&gt;=75,V63&lt;175,W63&lt;35),0.3,0)+IF(AND(V63&gt;=75,V63&lt;=175,W63&gt;=35,W63&lt;65),0.23,0)+IF(AND(V63&gt;=75,V63&lt;=175,W63&gt;=65,W63&lt;110),0.17,0)+IF(AND(V63&gt;=75,V63&lt;=175,W63&gt;=110),0.12,0)+IF(AND(V63&gt;175,W63&lt;25),0.3,0)+IF(AND(V63&gt;175,W63&gt;=25,W63&lt;55),0.23,0)+IF(AND(V63&gt;175,W63&gt;=55,W63&lt;95),0.17,0)+IF(AND(V63&gt;175,W63&gt;=95),0.12,0),
IF(AF63="DoEVni",IF(AND(V63&lt;20,W63&lt;55),0.3,0)+IF(AND(V63&lt;20,W63&gt;=55,W63&lt;105),0.23,0)+IF(AND(V63&lt;20,W63&gt;=105),0.17,0)+IF(AND(V63&gt;=20,V63&lt;40,W63&lt;45),0.3,0)+IF(AND(V63&gt;=20,V63&lt;40,W63&gt;=45,W63&lt;95),0.23,0)+IF(AND(V63&gt;=20,V63&lt;40,W63&gt;=95,W63&lt;=200),0.17,0)+IF(AND(V63&gt;=20,V63&lt;40,W63&gt;=200),0.12,0)+IF(AND(V63&gt;=40,V63&lt;75,W63&lt;35),0.3,0)+IF(AND(V63&gt;=40,V63&lt;75,W63&gt;=35,W63&lt;75),0.23,0)+IF(AND(V63&gt;=40,V63&lt;75,W63&gt;=75,W63&lt;120),0.17,0)+IF(AND(V63&gt;=40,V63&lt;75,W63&gt;=120),0.12,0)+IF(AND(V63&gt;=75,V63&lt;175,W63&lt;35),0.3,0)+IF(AND(V63&gt;=75,V63&lt;=175,W63&gt;=35,W63&lt;65),0.23,0)+IF(AND(V63&gt;=75,V63&lt;=175,W63&gt;=65,W63&lt;110),0.17,0)+IF(AND(V63&gt;=75,V63&lt;=175,W63&gt;=110),0.12,0)+IF(AND(V63&gt;175,W63&lt;25),0.3,0)+IF(AND(V63&gt;175,W63&gt;=25,W63&lt;55),0.23,0)+IF(AND(V63&gt;175,W63&gt;=55,W63&lt;95),0.17,0)+IF(AND(V63&gt;175,W63&gt;=95),0.12,0),
IF(AF63="DoEVLo",IF(AND(V63&lt;20,W63&lt;55),0.25,0)+IF(AND(V63&lt;20,W63&gt;=55,W63&lt;105),0.2,0)+IF(AND(V63&lt;20,W63&gt;=105),0.15,0)+IF(AND(V63&gt;=20,V63&lt;40,W63&lt;45),0.25,0)+IF(AND(V63&gt;=20,V63&lt;40,W63&gt;=45,W63&lt;95),0.2,0)+IF(AND(V63&gt;=20,V63&lt;40,W63&gt;=95),0.15,0)+IF(AND(V63&gt;=40,V63&lt;75,W63&lt;35),0.25,0)+IF(AND(V63&gt;=40,V63&lt;75,W63&gt;=35,W63&lt;75),0.2,0)+IF(AND(V63&gt;=40,V63&lt;75,W63&gt;=75,W63&lt;120),0.15,0)+IF(AND(V63&gt;=40,V63&lt;75,W63&gt;=120),0.1,0)+IF(AND(V63&gt;=75,V63&lt;175,W63&lt;35),0.25,0)+IF(AND(V63&gt;=75,V63&lt;=175,W63&gt;=35,W63&lt;65),0.2,0)+IF(AND(V63&gt;=75,V63&lt;=175,W63&gt;=65,W63&lt;110),0.15,0)+IF(AND(V63&gt;=75,V63&lt;=175,W63&gt;=110),0.1,0)+IF(AND(V63&gt;175,W63&lt;25),0.25,0)+IF(AND(V63&gt;175,W63&gt;=25,W63&lt;55),0.2,0)+IF(AND(V63&gt;175,W63&gt;=55,W63&lt;95),0.15,0)+IF(AND(V63&gt;175,W63&gt;=95),0.1,0))))))))))))))))</f>
        <v>0.2</v>
      </c>
      <c r="Y63" s="30">
        <f>IF(AG63="None",0,IF(AG63="Fix5",0.05,IF(AG63="Fix3.75",0.0375,IF(AG63="Fix10",0.1,IF(AG63="Fix3",0.03,0)))))</f>
        <v>0</v>
      </c>
      <c r="Z63" s="35">
        <f>T63-AA63-AB63</f>
        <v>-92</v>
      </c>
      <c r="AA63" s="29">
        <f>IF(AD63="EUR",((T63-R63)*X63)*U63+(R63*X63),(T63*X63))</f>
        <v>-23</v>
      </c>
      <c r="AB63" s="36">
        <f>IF(AD63="EUR",((T63-R63)*Y63)*U63+(R63*Y63),(T63*Y63))</f>
        <v>0</v>
      </c>
      <c r="AC63" s="37" t="b">
        <v>0</v>
      </c>
      <c r="AD63" s="37" t="s">
        <v>50</v>
      </c>
      <c r="AE63" s="37"/>
      <c r="AF63" s="37" t="str">
        <f t="array" ref="AF63">INDEX('Deal Info'!D:D, MATCH(A63,'Deal Info'!A:A, 0))</f>
        <v>DoEV2017</v>
      </c>
      <c r="AG63" s="38" t="str">
        <f t="array" ref="AG63">INDEX('Deal Info'!G:G, MATCH(A63,'Deal Info'!A:A, 0))</f>
        <v>None</v>
      </c>
    </row>
    <row r="64" spans="1:33" ht="14.25" hidden="1" x14ac:dyDescent="0.2">
      <c r="A64" s="18" t="str">
        <f t="array" ref="A64">IF(G64='Room Info'!$B$1, INDEX('Room Info'!$A$2:$A2446, MATCH(B64,'Room Info'!$B$2:$B2446, 0)),IF(G64='Room Info'!$C$1, INDEX('Room Info'!$A$2:$A2446, MATCH(B64,'Room Info'!$C$2:$C2446, 0)),IF(G64='Room Info'!$D$1, INDEX('Room Info'!$A$2:$A2446, MATCH(B64,'Room Info'!$D$2:$D2446, 0)),IF(G64='Room Info'!$E$1, INDEX('Room Info'!$A$2:$A2446, MATCH(B64,'Room Info'!$E$2:$E2446, 0)),IF(G64='Room Info'!$F$1, INDEX('Room Info'!$A$2:$A2446, MATCH(B64,'Room Info'!$F$2:$F2446, 0)),IF(G64='Room Info'!$H$1, INDEX('Room Info'!$A$2:$A2446, MATCH(B64,'Room Info'!$H$2:$H2446, 0)),IF(G64='Room Info'!$G$1, INDEX('Room Info'!$A$2:$A2446, MATCH(B64,'Room Info'!$G$2:$G2446, 0)))))))))</f>
        <v>Abcdf</v>
      </c>
      <c r="B64" s="18" t="s">
        <v>60</v>
      </c>
      <c r="C64" s="41">
        <v>44805</v>
      </c>
      <c r="D64" s="41">
        <v>44834</v>
      </c>
      <c r="E64" s="21">
        <v>44805</v>
      </c>
      <c r="F64" s="40" t="s">
        <v>41</v>
      </c>
      <c r="G64" s="18" t="s">
        <v>69</v>
      </c>
      <c r="H64" s="23" t="s">
        <v>40</v>
      </c>
      <c r="I64" s="23" t="s">
        <v>37</v>
      </c>
      <c r="J64" s="39">
        <v>10</v>
      </c>
      <c r="K64" s="25">
        <v>70</v>
      </c>
      <c r="L64" s="26">
        <v>40</v>
      </c>
      <c r="M64" s="42">
        <v>1</v>
      </c>
      <c r="N64" s="28">
        <f>K64*J64</f>
        <v>700</v>
      </c>
      <c r="O64" s="18">
        <v>3772</v>
      </c>
      <c r="P64" s="29">
        <v>53.885714290000003</v>
      </c>
      <c r="Q64" s="30"/>
      <c r="R64" s="31">
        <f>M64+Q64</f>
        <v>1</v>
      </c>
      <c r="S64" s="28"/>
      <c r="T64" s="32">
        <f>R64+S64+IF(F64="Without EV deal",L64,0)</f>
        <v>41</v>
      </c>
      <c r="U64" s="33">
        <v>1</v>
      </c>
      <c r="V64" s="34">
        <v>10</v>
      </c>
      <c r="W64" s="34">
        <v>-7.4</v>
      </c>
      <c r="X64" s="30">
        <f>IF(AF64="DoEV",IF(AND(V64&lt;20,W64&lt;55),0.3,0)+IF(AND(V64&lt;20,W64&gt;=55,W64&lt;105),0.23,0)+IF(AND(V64&lt;20,W64&gt;=105),0.17,0)+IF(AND(V64&gt;=20,V64&lt;40,W64&lt;45),0.3,0)+IF(AND(V64&gt;=20,V64&lt;40,W64&gt;=45,W64&lt;95),0.23,0)+IF(AND(V64&gt;=20,V64&lt;40,W64&gt;=95),0.17,0)+IF(AND(V64&gt;=40,V64&lt;75,W64&lt;35),0.3,0)+IF(AND(V64&gt;=40,V64&lt;75,W64&gt;=35,W64&lt;75),0.23,0)+IF(AND(V64&gt;=40,V64&lt;75,W64&gt;=75,W64&lt;120),0.17,0)+IF(AND(V64&gt;=40,V64&lt;75,W64&gt;=120),0.12,0)+IF(AND(V64&gt;=75,V64&lt;175,W64&lt;35),0.3,0)+IF(AND(V64&gt;=75,V64&lt;=175,W64&gt;=35,W64&lt;65),0.23,0)+IF(AND(V64&gt;=75,V64&lt;=175,W64&gt;=65,W64&lt;110),0.17,0)+IF(AND(V64&gt;=75,V64&lt;=175,W64&gt;=110),0.12,0)+IF(AND(V64&gt;175,W64&lt;25),0.3,0)+IF(AND(V64&gt;175,W64&gt;=25,W64&lt;55),0.23,0)+IF(AND(V64&gt;175,W64&gt;=55,W64&lt;95),0.17,0)+IF(AND(V64&gt;175,W64&gt;=95),0.12,0),
IF(AF64="Fix15",0.15,
IF(AF64="Fix11.25",0.1125,
IF(AF64="Fix10",0.1,
IF(AF64="Fix9",0.09,
IF(AF64="DoEV2017",IF(AND(W64&lt;74),0.2,0)+IF(AND(W64&gt;=74),0.17,0),
IF(AF64="SF",IF(AND(V64&lt;20,W64&lt;89),0.3,0)+IF(AND(V64&lt;20,W64&gt;=89),0.25,0)+IF(AND(V64&gt;=20,V64&lt;40,W64&lt;74),0.3,0)+IF(AND(V64&gt;=20,V64&lt;40,W64&gt;=75),0.22,0)+IF(AND(V64&gt;=40,V64&lt;75,W64&lt;75),0.26,0)+IF(AND(V64&gt;=40,V64&lt;75,W64&gt;=75),0.22,0)+IF(V64&gt;=75,0.22,0),
IF(AF64="DoEVold",IF(AND(V64&lt;40,W64&lt;35),0.35,0)+IF(AND(V64&lt;40,W64&gt;=35,W64&lt;75),0.25,0)+IF(AND(V64&lt;40,W64&gt;=75),0.17,0)+IF(AND(V64&gt;=40,V64&lt;75,W64&lt;25),0.35,0)+IF(AND(V64&gt;=40,V64&lt;75,W64&gt;=25,W64&lt;65),0.25,0)+IF(AND(V64&gt;=40,V64&lt;75,W64&gt;=65,W64&lt;100),0.17,0)+IF(AND(V64&gt;=40,V64&lt;75,W64&gt;=100),0.1,0)+IF(AND(V64&gt;=75,W64&lt;25),0.35,0)+IF(AND(V64&gt;=75,W64&gt;=25,W64&lt;60),0.25,0)+IF(AND(V64&gt;=75,W64&gt;=60,W64&lt;95),0.17,0)+IF(AND(V64&gt;=75,W64&gt;=95),0.1,0),
IF(AF64="DoEVold15",IF(AND(V64&lt;=40,W64&lt;35),0.35,0)+IF(AND(V64&lt;=40,W64&gt;=35,W64&lt;75),0.25,0)+IF(AND(V64&lt;=40,W64&gt;=75,W64&lt;120),0.17,0)+IF(AND(V64&lt;=40,W64&gt;=120),0.15,0)+IF(AND(V64&gt;40,V64&lt;75,W64&lt;25),0.35,0)+IF(AND(V64&gt;=40,V64&lt;75,W64&gt;=25,W64&lt;65),0.25,0)+IF(AND(V64&gt;=40,V64&lt;75,W64&gt;=65,W64&lt;100),0.17,0)+IF(AND(V64&gt;=40,V64&lt;75,W64&gt;=100),0.1,0)+IF(AND(V64&gt;=75,W64&lt;25),0.35,0)+IF(AND(V64&gt;=75,W64&gt;=25,W64&lt;60),0.25,0)+IF(AND(V64&gt;=75,W64&gt;=60,W64&lt;95),0.17,0)+IF(AND(V64&gt;=75,W64&gt;=95),0.1,0),
IF(AF64="DoEVba",IF(AND(V64&lt;20,W64&lt;105),0.2,0)+IF(AND(V64&lt;20,W64&gt;=105),0.15,0)+IF(AND(V64&gt;=20,V64&lt;40,W64&lt;95),0.2,0)+IF(AND(V64&gt;=20,V64&lt;40,W64&gt;=95,W64&lt;150),0.15,0)+IF(AND(V64&gt;=20,V64&lt;40,W64&gt;=150),0.12,0)+IF(AND(V64&gt;=40,V64&lt;75,W64&lt;75),0.2,0)+IF(AND(V64&gt;=40,V64&lt;75,W64&gt;=75,W64&lt;120),0.15,0)+IF(AND(V64&gt;=40,V64&lt;75,W64&gt;=120),0.12,0)+IF(AND(V64&gt;=75,V64&lt;175,W64&lt;65),0.2,0)+IF(AND(V64&gt;=75,V64&lt;175,W64&gt;=65,W64&lt;110),0.15,0)+IF(AND(V64&gt;=75,V64&lt;175,W64&gt;=110),0.12,0)+IF(AND(V64&gt;=175,W64&lt;55),0.2,0)+IF(AND(V64&gt;=175,W64&gt;=55,W64&lt;95),0.15,0)+IF(AND(V64&gt;=175,W64&gt;=95),0.12,0),
IF(AF64="DoEVku",IF(AND(V64&lt;20,W64&lt;55),0.23,0)+IF(AND(V64&lt;20,W64&gt;=55,W64&lt;105),0.2,0)+IF(AND(V64&lt;20,W64&gt;=105),0.17,0)+IF(AND(V64&gt;=20,V64&lt;40,W64&lt;45),0.23,0)+IF(AND(V64&gt;=20,V64&lt;40,W64&gt;=45,W64&lt;95),0.2,0)+IF(AND(V64&gt;=20,V64&lt;40,W64&gt;=95,W64&lt;=150),0.17,0)+IF(AND(V64&gt;=20,V64&lt;40,W64&gt;=150),0.12,0)+IF(AND(V64&gt;=40,V64&lt;75,W64&lt;35),0.23,0)+IF(AND(V64&gt;=40,V64&lt;75,W64&gt;=35,W64&lt;75),0.2,0)+IF(AND(V64&gt;=40,V64&lt;75,W64&gt;=75,W64&lt;120),0.17,0)+IF(AND(V64&gt;=40,V64&lt;75,W64&gt;=120),0.12,0)+IF(AND(V64&gt;=75,V64&lt;175,W64&lt;35),0.23,0)+IF(AND(V64&gt;=75,V64&lt;=175,W64&gt;=35,W64&lt;65),0.2,0)+IF(AND(V64&gt;=75,V64&lt;=175,W64&gt;=65,W64&lt;110),0.17,0)+IF(AND(V64&gt;=75,V64&lt;=175,W64&gt;=110),0.12,0)+IF(AND(V64&gt;175,W64&lt;25),0.23,0)+IF(AND(V64&gt;175,W64&gt;=25,W64&lt;55),0.2,0)+IF(AND(V64&gt;175,W64&gt;=55,W64&lt;95),0.17,0)+IF(AND(V64&gt;175,W64&gt;=95),0.12,0),
IF(AF64="DoEVs1",IF(AND(V64&lt;20,W64&lt;55),0.3,0)+IF(AND(V64&lt;20,W64&gt;=55,W64&lt;105),0.23,0)+IF(AND(V64&lt;20,W64&gt;=105),0.17,0)+IF(AND(V64&gt;=20,V64&lt;40,W64&lt;45),0.3,0)+IF(AND(V64&gt;=20,V64&lt;40,W64&gt;=45,W64&lt;95),0.23,0)+IF(AND(V64&gt;=20,V64&lt;40,W64&gt;=95,W64&lt;=150),0.17,0)+IF(AND(V64&gt;=20,V64&lt;40,W64&gt;=150),0.12,0)+IF(AND(V64&gt;=40,V64&lt;75,W64&lt;35),0.3,0)+IF(AND(V64&gt;=40,V64&lt;75,W64&gt;=35,W64&lt;75),0.23,0)+IF(AND(V64&gt;=40,V64&lt;75,W64&gt;=75,W64&lt;120),0.17,0)+IF(AND(V64&gt;=40,V64&lt;75,W64&gt;=120),0.12,0)+IF(AND(V64&gt;=75,V64&lt;175,W64&lt;35),0.3,0)+IF(AND(V64&gt;=75,V64&lt;=175,W64&gt;=35,W64&lt;65),0.23,0)+IF(AND(V64&gt;=75,V64&lt;=175,W64&gt;=65,W64&lt;110),0.17,0)+IF(AND(V64&gt;=75,V64&lt;=175,W64&gt;=110),0.12,0)+IF(AND(V64&gt;175,W64&lt;25),0.3,0)+IF(AND(V64&gt;175,W64&gt;=25,W64&lt;55),0.23,0)+IF(AND(V64&gt;175,W64&gt;=55,W64&lt;95),0.17,0)+IF(AND(V64&gt;175,W64&gt;=95),0.12,0),
IF(AF64="DoEVsu",IF(AND(V64&lt;20,W64&lt;55),0.3,0)+IF(AND(V64&lt;20,W64&gt;=55,W64&lt;105),0.23,0)+IF(AND(V64&lt;20,W64&gt;=105),0.17,0)+IF(AND(V64&gt;=20,V64&lt;40,W64&lt;45),0.3,0)+IF(AND(V64&gt;=20,V64&lt;40,W64&gt;=45,W64&lt;95),0.23,0)+IF(AND(V64&gt;=20,V64&lt;40,W64&gt;=95,W64&lt;=250),0.17,0)+IF(AND(V64&gt;=20,V64&lt;40,W64&gt;=250),0.12,0)+IF(AND(V64&gt;=40,V64&lt;75,W64&lt;35),0.3,0)+IF(AND(V64&gt;=40,V64&lt;75,W64&gt;=35,W64&lt;75),0.23,0)+IF(AND(V64&gt;=40,V64&lt;75,W64&gt;=75,W64&lt;120),0.17,0)+IF(AND(V64&gt;=40,V64&lt;75,W64&gt;=120),0.12,0)+IF(AND(V64&gt;=75,V64&lt;175,W64&lt;35),0.3,0)+IF(AND(V64&gt;=75,V64&lt;=175,W64&gt;=35,W64&lt;65),0.23,0)+IF(AND(V64&gt;=75,V64&lt;=175,W64&gt;=65,W64&lt;110),0.17,0)+IF(AND(V64&gt;=75,V64&lt;=175,W64&gt;=110),0.12,0)+IF(AND(V64&gt;175,W64&lt;25),0.3,0)+IF(AND(V64&gt;175,W64&gt;=25,W64&lt;55),0.23,0)+IF(AND(V64&gt;175,W64&gt;=55,W64&lt;95),0.17,0)+IF(AND(V64&gt;175,W64&gt;=95),0.12,0),
IF(AF64="DoEVni",IF(AND(V64&lt;20,W64&lt;55),0.3,0)+IF(AND(V64&lt;20,W64&gt;=55,W64&lt;105),0.23,0)+IF(AND(V64&lt;20,W64&gt;=105),0.17,0)+IF(AND(V64&gt;=20,V64&lt;40,W64&lt;45),0.3,0)+IF(AND(V64&gt;=20,V64&lt;40,W64&gt;=45,W64&lt;95),0.23,0)+IF(AND(V64&gt;=20,V64&lt;40,W64&gt;=95,W64&lt;=200),0.17,0)+IF(AND(V64&gt;=20,V64&lt;40,W64&gt;=200),0.12,0)+IF(AND(V64&gt;=40,V64&lt;75,W64&lt;35),0.3,0)+IF(AND(V64&gt;=40,V64&lt;75,W64&gt;=35,W64&lt;75),0.23,0)+IF(AND(V64&gt;=40,V64&lt;75,W64&gt;=75,W64&lt;120),0.17,0)+IF(AND(V64&gt;=40,V64&lt;75,W64&gt;=120),0.12,0)+IF(AND(V64&gt;=75,V64&lt;175,W64&lt;35),0.3,0)+IF(AND(V64&gt;=75,V64&lt;=175,W64&gt;=35,W64&lt;65),0.23,0)+IF(AND(V64&gt;=75,V64&lt;=175,W64&gt;=65,W64&lt;110),0.17,0)+IF(AND(V64&gt;=75,V64&lt;=175,W64&gt;=110),0.12,0)+IF(AND(V64&gt;175,W64&lt;25),0.3,0)+IF(AND(V64&gt;175,W64&gt;=25,W64&lt;55),0.23,0)+IF(AND(V64&gt;175,W64&gt;=55,W64&lt;95),0.17,0)+IF(AND(V64&gt;175,W64&gt;=95),0.12,0),
IF(AF64="DoEVLo",IF(AND(V64&lt;20,W64&lt;55),0.25,0)+IF(AND(V64&lt;20,W64&gt;=55,W64&lt;105),0.2,0)+IF(AND(V64&lt;20,W64&gt;=105),0.15,0)+IF(AND(V64&gt;=20,V64&lt;40,W64&lt;45),0.25,0)+IF(AND(V64&gt;=20,V64&lt;40,W64&gt;=45,W64&lt;95),0.2,0)+IF(AND(V64&gt;=20,V64&lt;40,W64&gt;=95),0.15,0)+IF(AND(V64&gt;=40,V64&lt;75,W64&lt;35),0.25,0)+IF(AND(V64&gt;=40,V64&lt;75,W64&gt;=35,W64&lt;75),0.2,0)+IF(AND(V64&gt;=40,V64&lt;75,W64&gt;=75,W64&lt;120),0.15,0)+IF(AND(V64&gt;=40,V64&lt;75,W64&gt;=120),0.1,0)+IF(AND(V64&gt;=75,V64&lt;175,W64&lt;35),0.25,0)+IF(AND(V64&gt;=75,V64&lt;=175,W64&gt;=35,W64&lt;65),0.2,0)+IF(AND(V64&gt;=75,V64&lt;=175,W64&gt;=65,W64&lt;110),0.15,0)+IF(AND(V64&gt;=75,V64&lt;=175,W64&gt;=110),0.1,0)+IF(AND(V64&gt;175,W64&lt;25),0.25,0)+IF(AND(V64&gt;175,W64&gt;=25,W64&lt;55),0.2,0)+IF(AND(V64&gt;175,W64&gt;=55,W64&lt;95),0.15,0)+IF(AND(V64&gt;175,W64&gt;=95),0.1,0))))))))))))))))</f>
        <v>0.2</v>
      </c>
      <c r="Y64" s="30">
        <f>IF(AG64="None",0,IF(AG64="Fix5",0.05,IF(AG64="Fix3.75",0.0375,IF(AG64="Fix10",0.1,IF(AG64="Fix3",0.03,0)))))</f>
        <v>0</v>
      </c>
      <c r="Z64" s="35">
        <f>T64-AA64-AB64</f>
        <v>32.799999999999997</v>
      </c>
      <c r="AA64" s="29">
        <f>IF(AD64="EUR",((T64-R64)*X64)*U64+(R64*X64),(T64*X64))</f>
        <v>8.1999999999999993</v>
      </c>
      <c r="AB64" s="36">
        <f>IF(AD64="EUR",((T64-R64)*Y64)*U64+(R64*Y64),(T64*Y64))</f>
        <v>0</v>
      </c>
      <c r="AC64" s="37" t="b">
        <v>0</v>
      </c>
      <c r="AD64" s="37" t="s">
        <v>50</v>
      </c>
      <c r="AE64" s="37"/>
      <c r="AF64" s="37" t="str">
        <f t="array" ref="AF64">INDEX('Deal Info'!D:D, MATCH(A64,'Deal Info'!A:A, 0))</f>
        <v>DoEV2017</v>
      </c>
      <c r="AG64" s="38" t="str">
        <f t="array" ref="AG64">INDEX('Deal Info'!G:G, MATCH(A64,'Deal Info'!A:A, 0))</f>
        <v>None</v>
      </c>
    </row>
    <row r="65" spans="1:33" ht="14.25" hidden="1" x14ac:dyDescent="0.2">
      <c r="A65" s="18" t="str">
        <f t="array" ref="A65">IF(G65='Room Info'!$B$1, INDEX('Room Info'!$A$2:$A2446, MATCH(B65,'Room Info'!$B$2:$B2446, 0)),IF(G65='Room Info'!$C$1, INDEX('Room Info'!$A$2:$A2446, MATCH(B65,'Room Info'!$C$2:$C2446, 0)),IF(G65='Room Info'!$D$1, INDEX('Room Info'!$A$2:$A2446, MATCH(B65,'Room Info'!$D$2:$D2446, 0)),IF(G65='Room Info'!$E$1, INDEX('Room Info'!$A$2:$A2446, MATCH(B65,'Room Info'!$E$2:$E2446, 0)),IF(G65='Room Info'!$F$1, INDEX('Room Info'!$A$2:$A2446, MATCH(B65,'Room Info'!$F$2:$F2446, 0)),IF(G65='Room Info'!$H$1, INDEX('Room Info'!$A$2:$A2446, MATCH(B65,'Room Info'!$H$2:$H2446, 0)),IF(G65='Room Info'!$G$1, INDEX('Room Info'!$A$2:$A2446, MATCH(B65,'Room Info'!$G$2:$G2446, 0)))))))))</f>
        <v>Abcdf</v>
      </c>
      <c r="B65" s="18" t="s">
        <v>78</v>
      </c>
      <c r="C65" s="41">
        <v>44927</v>
      </c>
      <c r="D65" s="41">
        <v>44957</v>
      </c>
      <c r="E65" s="21">
        <v>44927</v>
      </c>
      <c r="F65" s="40" t="s">
        <v>41</v>
      </c>
      <c r="G65" s="18" t="s">
        <v>53</v>
      </c>
      <c r="H65" s="23" t="s">
        <v>55</v>
      </c>
      <c r="I65" s="23" t="s">
        <v>37</v>
      </c>
      <c r="J65" s="39">
        <v>10</v>
      </c>
      <c r="K65" s="25">
        <v>495</v>
      </c>
      <c r="L65" s="26">
        <v>-172</v>
      </c>
      <c r="M65" s="27"/>
      <c r="N65" s="28">
        <f>K65*J65</f>
        <v>4950</v>
      </c>
      <c r="O65" s="18">
        <v>20295</v>
      </c>
      <c r="P65" s="29">
        <v>41</v>
      </c>
      <c r="Q65" s="30"/>
      <c r="R65" s="31">
        <f>M65+Q65</f>
        <v>0</v>
      </c>
      <c r="S65" s="28"/>
      <c r="T65" s="32">
        <f>R65+S65+IF(F65="Without EV deal",L65,0)</f>
        <v>-172</v>
      </c>
      <c r="U65" s="33">
        <v>1.075</v>
      </c>
      <c r="V65" s="34">
        <v>10</v>
      </c>
      <c r="W65" s="34">
        <v>0.1</v>
      </c>
      <c r="X65" s="30">
        <f>IF(AF65="DoEV",IF(AND(V65&lt;20,W65&lt;55),0.3,0)+IF(AND(V65&lt;20,W65&gt;=55,W65&lt;105),0.23,0)+IF(AND(V65&lt;20,W65&gt;=105),0.17,0)+IF(AND(V65&gt;=20,V65&lt;40,W65&lt;45),0.3,0)+IF(AND(V65&gt;=20,V65&lt;40,W65&gt;=45,W65&lt;95),0.23,0)+IF(AND(V65&gt;=20,V65&lt;40,W65&gt;=95),0.17,0)+IF(AND(V65&gt;=40,V65&lt;75,W65&lt;35),0.3,0)+IF(AND(V65&gt;=40,V65&lt;75,W65&gt;=35,W65&lt;75),0.23,0)+IF(AND(V65&gt;=40,V65&lt;75,W65&gt;=75,W65&lt;120),0.17,0)+IF(AND(V65&gt;=40,V65&lt;75,W65&gt;=120),0.12,0)+IF(AND(V65&gt;=75,V65&lt;175,W65&lt;35),0.3,0)+IF(AND(V65&gt;=75,V65&lt;=175,W65&gt;=35,W65&lt;65),0.23,0)+IF(AND(V65&gt;=75,V65&lt;=175,W65&gt;=65,W65&lt;110),0.17,0)+IF(AND(V65&gt;=75,V65&lt;=175,W65&gt;=110),0.12,0)+IF(AND(V65&gt;175,W65&lt;25),0.3,0)+IF(AND(V65&gt;175,W65&gt;=25,W65&lt;55),0.23,0)+IF(AND(V65&gt;175,W65&gt;=55,W65&lt;95),0.17,0)+IF(AND(V65&gt;175,W65&gt;=95),0.12,0),
IF(AF65="Fix15",0.15,
IF(AF65="Fix11.25",0.1125,
IF(AF65="Fix10",0.1,
IF(AF65="Fix9",0.09,
IF(AF65="DoEV2017",IF(AND(W65&lt;74),0.2,0)+IF(AND(W65&gt;=74),0.17,0),
IF(AF65="SF",IF(AND(V65&lt;20,W65&lt;89),0.3,0)+IF(AND(V65&lt;20,W65&gt;=89),0.25,0)+IF(AND(V65&gt;=20,V65&lt;40,W65&lt;74),0.3,0)+IF(AND(V65&gt;=20,V65&lt;40,W65&gt;=75),0.22,0)+IF(AND(V65&gt;=40,V65&lt;75,W65&lt;75),0.26,0)+IF(AND(V65&gt;=40,V65&lt;75,W65&gt;=75),0.22,0)+IF(V65&gt;=75,0.22,0),
IF(AF65="DoEVold",IF(AND(V65&lt;40,W65&lt;35),0.35,0)+IF(AND(V65&lt;40,W65&gt;=35,W65&lt;75),0.25,0)+IF(AND(V65&lt;40,W65&gt;=75),0.17,0)+IF(AND(V65&gt;=40,V65&lt;75,W65&lt;25),0.35,0)+IF(AND(V65&gt;=40,V65&lt;75,W65&gt;=25,W65&lt;65),0.25,0)+IF(AND(V65&gt;=40,V65&lt;75,W65&gt;=65,W65&lt;100),0.17,0)+IF(AND(V65&gt;=40,V65&lt;75,W65&gt;=100),0.1,0)+IF(AND(V65&gt;=75,W65&lt;25),0.35,0)+IF(AND(V65&gt;=75,W65&gt;=25,W65&lt;60),0.25,0)+IF(AND(V65&gt;=75,W65&gt;=60,W65&lt;95),0.17,0)+IF(AND(V65&gt;=75,W65&gt;=95),0.1,0),
IF(AF65="DoEVold15",IF(AND(V65&lt;=40,W65&lt;35),0.35,0)+IF(AND(V65&lt;=40,W65&gt;=35,W65&lt;75),0.25,0)+IF(AND(V65&lt;=40,W65&gt;=75,W65&lt;120),0.17,0)+IF(AND(V65&lt;=40,W65&gt;=120),0.15,0)+IF(AND(V65&gt;40,V65&lt;75,W65&lt;25),0.35,0)+IF(AND(V65&gt;=40,V65&lt;75,W65&gt;=25,W65&lt;65),0.25,0)+IF(AND(V65&gt;=40,V65&lt;75,W65&gt;=65,W65&lt;100),0.17,0)+IF(AND(V65&gt;=40,V65&lt;75,W65&gt;=100),0.1,0)+IF(AND(V65&gt;=75,W65&lt;25),0.35,0)+IF(AND(V65&gt;=75,W65&gt;=25,W65&lt;60),0.25,0)+IF(AND(V65&gt;=75,W65&gt;=60,W65&lt;95),0.17,0)+IF(AND(V65&gt;=75,W65&gt;=95),0.1,0),
IF(AF65="DoEVba",IF(AND(V65&lt;20,W65&lt;105),0.2,0)+IF(AND(V65&lt;20,W65&gt;=105),0.15,0)+IF(AND(V65&gt;=20,V65&lt;40,W65&lt;95),0.2,0)+IF(AND(V65&gt;=20,V65&lt;40,W65&gt;=95,W65&lt;150),0.15,0)+IF(AND(V65&gt;=20,V65&lt;40,W65&gt;=150),0.12,0)+IF(AND(V65&gt;=40,V65&lt;75,W65&lt;75),0.2,0)+IF(AND(V65&gt;=40,V65&lt;75,W65&gt;=75,W65&lt;120),0.15,0)+IF(AND(V65&gt;=40,V65&lt;75,W65&gt;=120),0.12,0)+IF(AND(V65&gt;=75,V65&lt;175,W65&lt;65),0.2,0)+IF(AND(V65&gt;=75,V65&lt;175,W65&gt;=65,W65&lt;110),0.15,0)+IF(AND(V65&gt;=75,V65&lt;175,W65&gt;=110),0.12,0)+IF(AND(V65&gt;=175,W65&lt;55),0.2,0)+IF(AND(V65&gt;=175,W65&gt;=55,W65&lt;95),0.15,0)+IF(AND(V65&gt;=175,W65&gt;=95),0.12,0),
IF(AF65="DoEVku",IF(AND(V65&lt;20,W65&lt;55),0.23,0)+IF(AND(V65&lt;20,W65&gt;=55,W65&lt;105),0.2,0)+IF(AND(V65&lt;20,W65&gt;=105),0.17,0)+IF(AND(V65&gt;=20,V65&lt;40,W65&lt;45),0.23,0)+IF(AND(V65&gt;=20,V65&lt;40,W65&gt;=45,W65&lt;95),0.2,0)+IF(AND(V65&gt;=20,V65&lt;40,W65&gt;=95,W65&lt;=150),0.17,0)+IF(AND(V65&gt;=20,V65&lt;40,W65&gt;=150),0.12,0)+IF(AND(V65&gt;=40,V65&lt;75,W65&lt;35),0.23,0)+IF(AND(V65&gt;=40,V65&lt;75,W65&gt;=35,W65&lt;75),0.2,0)+IF(AND(V65&gt;=40,V65&lt;75,W65&gt;=75,W65&lt;120),0.17,0)+IF(AND(V65&gt;=40,V65&lt;75,W65&gt;=120),0.12,0)+IF(AND(V65&gt;=75,V65&lt;175,W65&lt;35),0.23,0)+IF(AND(V65&gt;=75,V65&lt;=175,W65&gt;=35,W65&lt;65),0.2,0)+IF(AND(V65&gt;=75,V65&lt;=175,W65&gt;=65,W65&lt;110),0.17,0)+IF(AND(V65&gt;=75,V65&lt;=175,W65&gt;=110),0.12,0)+IF(AND(V65&gt;175,W65&lt;25),0.23,0)+IF(AND(V65&gt;175,W65&gt;=25,W65&lt;55),0.2,0)+IF(AND(V65&gt;175,W65&gt;=55,W65&lt;95),0.17,0)+IF(AND(V65&gt;175,W65&gt;=95),0.12,0),
IF(AF65="DoEVs1",IF(AND(V65&lt;20,W65&lt;55),0.3,0)+IF(AND(V65&lt;20,W65&gt;=55,W65&lt;105),0.23,0)+IF(AND(V65&lt;20,W65&gt;=105),0.17,0)+IF(AND(V65&gt;=20,V65&lt;40,W65&lt;45),0.3,0)+IF(AND(V65&gt;=20,V65&lt;40,W65&gt;=45,W65&lt;95),0.23,0)+IF(AND(V65&gt;=20,V65&lt;40,W65&gt;=95,W65&lt;=150),0.17,0)+IF(AND(V65&gt;=20,V65&lt;40,W65&gt;=150),0.12,0)+IF(AND(V65&gt;=40,V65&lt;75,W65&lt;35),0.3,0)+IF(AND(V65&gt;=40,V65&lt;75,W65&gt;=35,W65&lt;75),0.23,0)+IF(AND(V65&gt;=40,V65&lt;75,W65&gt;=75,W65&lt;120),0.17,0)+IF(AND(V65&gt;=40,V65&lt;75,W65&gt;=120),0.12,0)+IF(AND(V65&gt;=75,V65&lt;175,W65&lt;35),0.3,0)+IF(AND(V65&gt;=75,V65&lt;=175,W65&gt;=35,W65&lt;65),0.23,0)+IF(AND(V65&gt;=75,V65&lt;=175,W65&gt;=65,W65&lt;110),0.17,0)+IF(AND(V65&gt;=75,V65&lt;=175,W65&gt;=110),0.12,0)+IF(AND(V65&gt;175,W65&lt;25),0.3,0)+IF(AND(V65&gt;175,W65&gt;=25,W65&lt;55),0.23,0)+IF(AND(V65&gt;175,W65&gt;=55,W65&lt;95),0.17,0)+IF(AND(V65&gt;175,W65&gt;=95),0.12,0),
IF(AF65="DoEVsu",IF(AND(V65&lt;20,W65&lt;55),0.3,0)+IF(AND(V65&lt;20,W65&gt;=55,W65&lt;105),0.23,0)+IF(AND(V65&lt;20,W65&gt;=105),0.17,0)+IF(AND(V65&gt;=20,V65&lt;40,W65&lt;45),0.3,0)+IF(AND(V65&gt;=20,V65&lt;40,W65&gt;=45,W65&lt;95),0.23,0)+IF(AND(V65&gt;=20,V65&lt;40,W65&gt;=95,W65&lt;=250),0.17,0)+IF(AND(V65&gt;=20,V65&lt;40,W65&gt;=250),0.12,0)+IF(AND(V65&gt;=40,V65&lt;75,W65&lt;35),0.3,0)+IF(AND(V65&gt;=40,V65&lt;75,W65&gt;=35,W65&lt;75),0.23,0)+IF(AND(V65&gt;=40,V65&lt;75,W65&gt;=75,W65&lt;120),0.17,0)+IF(AND(V65&gt;=40,V65&lt;75,W65&gt;=120),0.12,0)+IF(AND(V65&gt;=75,V65&lt;175,W65&lt;35),0.3,0)+IF(AND(V65&gt;=75,V65&lt;=175,W65&gt;=35,W65&lt;65),0.23,0)+IF(AND(V65&gt;=75,V65&lt;=175,W65&gt;=65,W65&lt;110),0.17,0)+IF(AND(V65&gt;=75,V65&lt;=175,W65&gt;=110),0.12,0)+IF(AND(V65&gt;175,W65&lt;25),0.3,0)+IF(AND(V65&gt;175,W65&gt;=25,W65&lt;55),0.23,0)+IF(AND(V65&gt;175,W65&gt;=55,W65&lt;95),0.17,0)+IF(AND(V65&gt;175,W65&gt;=95),0.12,0),
IF(AF65="DoEVni",IF(AND(V65&lt;20,W65&lt;55),0.3,0)+IF(AND(V65&lt;20,W65&gt;=55,W65&lt;105),0.23,0)+IF(AND(V65&lt;20,W65&gt;=105),0.17,0)+IF(AND(V65&gt;=20,V65&lt;40,W65&lt;45),0.3,0)+IF(AND(V65&gt;=20,V65&lt;40,W65&gt;=45,W65&lt;95),0.23,0)+IF(AND(V65&gt;=20,V65&lt;40,W65&gt;=95,W65&lt;=200),0.17,0)+IF(AND(V65&gt;=20,V65&lt;40,W65&gt;=200),0.12,0)+IF(AND(V65&gt;=40,V65&lt;75,W65&lt;35),0.3,0)+IF(AND(V65&gt;=40,V65&lt;75,W65&gt;=35,W65&lt;75),0.23,0)+IF(AND(V65&gt;=40,V65&lt;75,W65&gt;=75,W65&lt;120),0.17,0)+IF(AND(V65&gt;=40,V65&lt;75,W65&gt;=120),0.12,0)+IF(AND(V65&gt;=75,V65&lt;175,W65&lt;35),0.3,0)+IF(AND(V65&gt;=75,V65&lt;=175,W65&gt;=35,W65&lt;65),0.23,0)+IF(AND(V65&gt;=75,V65&lt;=175,W65&gt;=65,W65&lt;110),0.17,0)+IF(AND(V65&gt;=75,V65&lt;=175,W65&gt;=110),0.12,0)+IF(AND(V65&gt;175,W65&lt;25),0.3,0)+IF(AND(V65&gt;175,W65&gt;=25,W65&lt;55),0.23,0)+IF(AND(V65&gt;175,W65&gt;=55,W65&lt;95),0.17,0)+IF(AND(V65&gt;175,W65&gt;=95),0.12,0),
IF(AF65="DoEVLo",IF(AND(V65&lt;20,W65&lt;55),0.25,0)+IF(AND(V65&lt;20,W65&gt;=55,W65&lt;105),0.2,0)+IF(AND(V65&lt;20,W65&gt;=105),0.15,0)+IF(AND(V65&gt;=20,V65&lt;40,W65&lt;45),0.25,0)+IF(AND(V65&gt;=20,V65&lt;40,W65&gt;=45,W65&lt;95),0.2,0)+IF(AND(V65&gt;=20,V65&lt;40,W65&gt;=95),0.15,0)+IF(AND(V65&gt;=40,V65&lt;75,W65&lt;35),0.25,0)+IF(AND(V65&gt;=40,V65&lt;75,W65&gt;=35,W65&lt;75),0.2,0)+IF(AND(V65&gt;=40,V65&lt;75,W65&gt;=75,W65&lt;120),0.15,0)+IF(AND(V65&gt;=40,V65&lt;75,W65&gt;=120),0.1,0)+IF(AND(V65&gt;=75,V65&lt;175,W65&lt;35),0.25,0)+IF(AND(V65&gt;=75,V65&lt;=175,W65&gt;=35,W65&lt;65),0.2,0)+IF(AND(V65&gt;=75,V65&lt;=175,W65&gt;=65,W65&lt;110),0.15,0)+IF(AND(V65&gt;=75,V65&lt;=175,W65&gt;=110),0.1,0)+IF(AND(V65&gt;175,W65&lt;25),0.25,0)+IF(AND(V65&gt;175,W65&gt;=25,W65&lt;55),0.2,0)+IF(AND(V65&gt;175,W65&gt;=55,W65&lt;95),0.15,0)+IF(AND(V65&gt;175,W65&gt;=95),0.1,0))))))))))))))))</f>
        <v>0.2</v>
      </c>
      <c r="Y65" s="30">
        <f>IF(AG65="None",0,IF(AG65="Fix5",0.05,IF(AG65="Fix3.75",0.0375,IF(AG65="Fix10",0.1,IF(AG65="Fix3",0.03,0)))))</f>
        <v>0</v>
      </c>
      <c r="Z65" s="35">
        <f>T65-AA65-AB65</f>
        <v>-135.02000000000001</v>
      </c>
      <c r="AA65" s="29">
        <f>IF(AD65="EUR",((T65-R65)*X65)*U65+(R65*X65),(T65*X65))</f>
        <v>-36.979999999999997</v>
      </c>
      <c r="AB65" s="36">
        <f>IF(AD65="EUR",((T65-R65)*Y65)*U65+(R65*Y65),(T65*Y65))</f>
        <v>0</v>
      </c>
      <c r="AC65" s="37" t="b">
        <v>0</v>
      </c>
      <c r="AD65" s="37" t="s">
        <v>50</v>
      </c>
      <c r="AE65" s="37"/>
      <c r="AF65" s="37" t="str">
        <f t="array" ref="AF65">INDEX('Deal Info'!D:D, MATCH(A65,'Deal Info'!A:A, 0))</f>
        <v>DoEV2017</v>
      </c>
      <c r="AG65" s="38" t="str">
        <f t="array" ref="AG65">INDEX('Deal Info'!G:G, MATCH(A65,'Deal Info'!A:A, 0))</f>
        <v>None</v>
      </c>
    </row>
    <row r="66" spans="1:33" ht="14.25" hidden="1" x14ac:dyDescent="0.2">
      <c r="A66" s="18" t="str">
        <f t="array" ref="A66">IF(G66='Room Info'!$B$1, INDEX('Room Info'!$A$2:$A2446, MATCH(B66,'Room Info'!$B$2:$B2446, 0)),IF(G66='Room Info'!$C$1, INDEX('Room Info'!$A$2:$A2446, MATCH(B66,'Room Info'!$C$2:$C2446, 0)),IF(G66='Room Info'!$D$1, INDEX('Room Info'!$A$2:$A2446, MATCH(B66,'Room Info'!$D$2:$D2446, 0)),IF(G66='Room Info'!$E$1, INDEX('Room Info'!$A$2:$A2446, MATCH(B66,'Room Info'!$E$2:$E2446, 0)),IF(G66='Room Info'!$F$1, INDEX('Room Info'!$A$2:$A2446, MATCH(B66,'Room Info'!$F$2:$F2446, 0)),IF(G66='Room Info'!$H$1, INDEX('Room Info'!$A$2:$A2446, MATCH(B66,'Room Info'!$H$2:$H2446, 0)),IF(G66='Room Info'!$G$1, INDEX('Room Info'!$A$2:$A2446, MATCH(B66,'Room Info'!$G$2:$G2446, 0)))))))))</f>
        <v>prodoman</v>
      </c>
      <c r="B66" s="18" t="s">
        <v>79</v>
      </c>
      <c r="C66" s="41">
        <v>44657</v>
      </c>
      <c r="D66" s="41">
        <v>44681</v>
      </c>
      <c r="E66" s="21">
        <v>44652</v>
      </c>
      <c r="F66" s="40" t="s">
        <v>41</v>
      </c>
      <c r="G66" s="18" t="s">
        <v>80</v>
      </c>
      <c r="H66" s="23" t="s">
        <v>40</v>
      </c>
      <c r="I66" s="23" t="s">
        <v>81</v>
      </c>
      <c r="J66" s="39">
        <v>10</v>
      </c>
      <c r="K66" s="25">
        <v>6439</v>
      </c>
      <c r="L66" s="26">
        <v>-1393</v>
      </c>
      <c r="M66" s="42">
        <v>2144</v>
      </c>
      <c r="N66" s="28">
        <f>K66*J66</f>
        <v>64390</v>
      </c>
      <c r="O66" s="18">
        <v>75577</v>
      </c>
      <c r="P66" s="29">
        <v>11.737381579999999</v>
      </c>
      <c r="Q66" s="30"/>
      <c r="R66" s="31">
        <f>M66+Q66</f>
        <v>2144</v>
      </c>
      <c r="S66" s="63"/>
      <c r="T66" s="32">
        <f>R66+S66+IF(F66="Without EV deal",L66,0)</f>
        <v>751</v>
      </c>
      <c r="U66" s="33">
        <v>1</v>
      </c>
      <c r="V66" s="34">
        <v>10</v>
      </c>
      <c r="W66" s="34">
        <v>75.099999999999994</v>
      </c>
      <c r="X66" s="30">
        <f>IF(AF66="DoEV",IF(AND(V66&lt;20,W66&lt;55),0.3,0)+IF(AND(V66&lt;20,W66&gt;=55,W66&lt;105),0.23,0)+IF(AND(V66&lt;20,W66&gt;=105),0.17,0)+IF(AND(V66&gt;=20,V66&lt;40,W66&lt;45),0.3,0)+IF(AND(V66&gt;=20,V66&lt;40,W66&gt;=45,W66&lt;95),0.23,0)+IF(AND(V66&gt;=20,V66&lt;40,W66&gt;=95),0.17,0)+IF(AND(V66&gt;=40,V66&lt;75,W66&lt;35),0.3,0)+IF(AND(V66&gt;=40,V66&lt;75,W66&gt;=35,W66&lt;75),0.23,0)+IF(AND(V66&gt;=40,V66&lt;75,W66&gt;=75,W66&lt;120),0.17,0)+IF(AND(V66&gt;=40,V66&lt;75,W66&gt;=120),0.12,0)+IF(AND(V66&gt;=75,V66&lt;175,W66&lt;35),0.3,0)+IF(AND(V66&gt;=75,V66&lt;=175,W66&gt;=35,W66&lt;65),0.23,0)+IF(AND(V66&gt;=75,V66&lt;=175,W66&gt;=65,W66&lt;110),0.17,0)+IF(AND(V66&gt;=75,V66&lt;=175,W66&gt;=110),0.12,0)+IF(AND(V66&gt;175,W66&lt;25),0.3,0)+IF(AND(V66&gt;175,W66&gt;=25,W66&lt;55),0.23,0)+IF(AND(V66&gt;175,W66&gt;=55,W66&lt;95),0.17,0)+IF(AND(V66&gt;175,W66&gt;=95),0.12,0),
IF(AF66="Fix15",0.15,
IF(AF66="Fix11.25",0.1125,
IF(AF66="Fix10",0.1,
IF(AF66="Fix9",0.09,
IF(AF66="DoEV2017",IF(AND(W66&lt;74),0.2,0)+IF(AND(W66&gt;=74),0.17,0),
IF(AF66="SF",IF(AND(V66&lt;20,W66&lt;89),0.3,0)+IF(AND(V66&lt;20,W66&gt;=89),0.25,0)+IF(AND(V66&gt;=20,V66&lt;40,W66&lt;74),0.3,0)+IF(AND(V66&gt;=20,V66&lt;40,W66&gt;=75),0.22,0)+IF(AND(V66&gt;=40,V66&lt;75,W66&lt;75),0.26,0)+IF(AND(V66&gt;=40,V66&lt;75,W66&gt;=75),0.22,0)+IF(V66&gt;=75,0.22,0),
IF(AF66="DoEVold",IF(AND(V66&lt;40,W66&lt;35),0.35,0)+IF(AND(V66&lt;40,W66&gt;=35,W66&lt;75),0.25,0)+IF(AND(V66&lt;40,W66&gt;=75),0.17,0)+IF(AND(V66&gt;=40,V66&lt;75,W66&lt;25),0.35,0)+IF(AND(V66&gt;=40,V66&lt;75,W66&gt;=25,W66&lt;65),0.25,0)+IF(AND(V66&gt;=40,V66&lt;75,W66&gt;=65,W66&lt;100),0.17,0)+IF(AND(V66&gt;=40,V66&lt;75,W66&gt;=100),0.1,0)+IF(AND(V66&gt;=75,W66&lt;25),0.35,0)+IF(AND(V66&gt;=75,W66&gt;=25,W66&lt;60),0.25,0)+IF(AND(V66&gt;=75,W66&gt;=60,W66&lt;95),0.17,0)+IF(AND(V66&gt;=75,W66&gt;=95),0.1,0),
IF(AF66="DoEVold15",IF(AND(V66&lt;=40,W66&lt;35),0.35,0)+IF(AND(V66&lt;=40,W66&gt;=35,W66&lt;75),0.25,0)+IF(AND(V66&lt;=40,W66&gt;=75,W66&lt;120),0.17,0)+IF(AND(V66&lt;=40,W66&gt;=120),0.15,0)+IF(AND(V66&gt;40,V66&lt;75,W66&lt;25),0.35,0)+IF(AND(V66&gt;=40,V66&lt;75,W66&gt;=25,W66&lt;65),0.25,0)+IF(AND(V66&gt;=40,V66&lt;75,W66&gt;=65,W66&lt;100),0.17,0)+IF(AND(V66&gt;=40,V66&lt;75,W66&gt;=100),0.1,0)+IF(AND(V66&gt;=75,W66&lt;25),0.35,0)+IF(AND(V66&gt;=75,W66&gt;=25,W66&lt;60),0.25,0)+IF(AND(V66&gt;=75,W66&gt;=60,W66&lt;95),0.17,0)+IF(AND(V66&gt;=75,W66&gt;=95),0.1,0),
IF(AF66="DoEVba",IF(AND(V66&lt;20,W66&lt;105),0.2,0)+IF(AND(V66&lt;20,W66&gt;=105),0.15,0)+IF(AND(V66&gt;=20,V66&lt;40,W66&lt;95),0.2,0)+IF(AND(V66&gt;=20,V66&lt;40,W66&gt;=95,W66&lt;150),0.15,0)+IF(AND(V66&gt;=20,V66&lt;40,W66&gt;=150),0.12,0)+IF(AND(V66&gt;=40,V66&lt;75,W66&lt;75),0.2,0)+IF(AND(V66&gt;=40,V66&lt;75,W66&gt;=75,W66&lt;120),0.15,0)+IF(AND(V66&gt;=40,V66&lt;75,W66&gt;=120),0.12,0)+IF(AND(V66&gt;=75,V66&lt;175,W66&lt;65),0.2,0)+IF(AND(V66&gt;=75,V66&lt;175,W66&gt;=65,W66&lt;110),0.15,0)+IF(AND(V66&gt;=75,V66&lt;175,W66&gt;=110),0.12,0)+IF(AND(V66&gt;=175,W66&lt;55),0.2,0)+IF(AND(V66&gt;=175,W66&gt;=55,W66&lt;95),0.15,0)+IF(AND(V66&gt;=175,W66&gt;=95),0.12,0),
IF(AF66="DoEVku",IF(AND(V66&lt;20,W66&lt;55),0.23,0)+IF(AND(V66&lt;20,W66&gt;=55,W66&lt;105),0.2,0)+IF(AND(V66&lt;20,W66&gt;=105),0.17,0)+IF(AND(V66&gt;=20,V66&lt;40,W66&lt;45),0.23,0)+IF(AND(V66&gt;=20,V66&lt;40,W66&gt;=45,W66&lt;95),0.2,0)+IF(AND(V66&gt;=20,V66&lt;40,W66&gt;=95,W66&lt;=150),0.17,0)+IF(AND(V66&gt;=20,V66&lt;40,W66&gt;=150),0.12,0)+IF(AND(V66&gt;=40,V66&lt;75,W66&lt;35),0.23,0)+IF(AND(V66&gt;=40,V66&lt;75,W66&gt;=35,W66&lt;75),0.2,0)+IF(AND(V66&gt;=40,V66&lt;75,W66&gt;=75,W66&lt;120),0.17,0)+IF(AND(V66&gt;=40,V66&lt;75,W66&gt;=120),0.12,0)+IF(AND(V66&gt;=75,V66&lt;175,W66&lt;35),0.23,0)+IF(AND(V66&gt;=75,V66&lt;=175,W66&gt;=35,W66&lt;65),0.2,0)+IF(AND(V66&gt;=75,V66&lt;=175,W66&gt;=65,W66&lt;110),0.17,0)+IF(AND(V66&gt;=75,V66&lt;=175,W66&gt;=110),0.12,0)+IF(AND(V66&gt;175,W66&lt;25),0.23,0)+IF(AND(V66&gt;175,W66&gt;=25,W66&lt;55),0.2,0)+IF(AND(V66&gt;175,W66&gt;=55,W66&lt;95),0.17,0)+IF(AND(V66&gt;175,W66&gt;=95),0.12,0),
IF(AF66="DoEVs1",IF(AND(V66&lt;20,W66&lt;55),0.3,0)+IF(AND(V66&lt;20,W66&gt;=55,W66&lt;105),0.23,0)+IF(AND(V66&lt;20,W66&gt;=105),0.17,0)+IF(AND(V66&gt;=20,V66&lt;40,W66&lt;45),0.3,0)+IF(AND(V66&gt;=20,V66&lt;40,W66&gt;=45,W66&lt;95),0.23,0)+IF(AND(V66&gt;=20,V66&lt;40,W66&gt;=95,W66&lt;=150),0.17,0)+IF(AND(V66&gt;=20,V66&lt;40,W66&gt;=150),0.12,0)+IF(AND(V66&gt;=40,V66&lt;75,W66&lt;35),0.3,0)+IF(AND(V66&gt;=40,V66&lt;75,W66&gt;=35,W66&lt;75),0.23,0)+IF(AND(V66&gt;=40,V66&lt;75,W66&gt;=75,W66&lt;120),0.17,0)+IF(AND(V66&gt;=40,V66&lt;75,W66&gt;=120),0.12,0)+IF(AND(V66&gt;=75,V66&lt;175,W66&lt;35),0.3,0)+IF(AND(V66&gt;=75,V66&lt;=175,W66&gt;=35,W66&lt;65),0.23,0)+IF(AND(V66&gt;=75,V66&lt;=175,W66&gt;=65,W66&lt;110),0.17,0)+IF(AND(V66&gt;=75,V66&lt;=175,W66&gt;=110),0.12,0)+IF(AND(V66&gt;175,W66&lt;25),0.3,0)+IF(AND(V66&gt;175,W66&gt;=25,W66&lt;55),0.23,0)+IF(AND(V66&gt;175,W66&gt;=55,W66&lt;95),0.17,0)+IF(AND(V66&gt;175,W66&gt;=95),0.12,0),
IF(AF66="DoEVsu",IF(AND(V66&lt;20,W66&lt;55),0.3,0)+IF(AND(V66&lt;20,W66&gt;=55,W66&lt;105),0.23,0)+IF(AND(V66&lt;20,W66&gt;=105),0.17,0)+IF(AND(V66&gt;=20,V66&lt;40,W66&lt;45),0.3,0)+IF(AND(V66&gt;=20,V66&lt;40,W66&gt;=45,W66&lt;95),0.23,0)+IF(AND(V66&gt;=20,V66&lt;40,W66&gt;=95,W66&lt;=250),0.17,0)+IF(AND(V66&gt;=20,V66&lt;40,W66&gt;=250),0.12,0)+IF(AND(V66&gt;=40,V66&lt;75,W66&lt;35),0.3,0)+IF(AND(V66&gt;=40,V66&lt;75,W66&gt;=35,W66&lt;75),0.23,0)+IF(AND(V66&gt;=40,V66&lt;75,W66&gt;=75,W66&lt;120),0.17,0)+IF(AND(V66&gt;=40,V66&lt;75,W66&gt;=120),0.12,0)+IF(AND(V66&gt;=75,V66&lt;175,W66&lt;35),0.3,0)+IF(AND(V66&gt;=75,V66&lt;=175,W66&gt;=35,W66&lt;65),0.23,0)+IF(AND(V66&gt;=75,V66&lt;=175,W66&gt;=65,W66&lt;110),0.17,0)+IF(AND(V66&gt;=75,V66&lt;=175,W66&gt;=110),0.12,0)+IF(AND(V66&gt;175,W66&lt;25),0.3,0)+IF(AND(V66&gt;175,W66&gt;=25,W66&lt;55),0.23,0)+IF(AND(V66&gt;175,W66&gt;=55,W66&lt;95),0.17,0)+IF(AND(V66&gt;175,W66&gt;=95),0.12,0),
IF(AF66="DoEVni",IF(AND(V66&lt;20,W66&lt;55),0.3,0)+IF(AND(V66&lt;20,W66&gt;=55,W66&lt;105),0.23,0)+IF(AND(V66&lt;20,W66&gt;=105),0.17,0)+IF(AND(V66&gt;=20,V66&lt;40,W66&lt;45),0.3,0)+IF(AND(V66&gt;=20,V66&lt;40,W66&gt;=45,W66&lt;95),0.23,0)+IF(AND(V66&gt;=20,V66&lt;40,W66&gt;=95,W66&lt;=200),0.17,0)+IF(AND(V66&gt;=20,V66&lt;40,W66&gt;=200),0.12,0)+IF(AND(V66&gt;=40,V66&lt;75,W66&lt;35),0.3,0)+IF(AND(V66&gt;=40,V66&lt;75,W66&gt;=35,W66&lt;75),0.23,0)+IF(AND(V66&gt;=40,V66&lt;75,W66&gt;=75,W66&lt;120),0.17,0)+IF(AND(V66&gt;=40,V66&lt;75,W66&gt;=120),0.12,0)+IF(AND(V66&gt;=75,V66&lt;175,W66&lt;35),0.3,0)+IF(AND(V66&gt;=75,V66&lt;=175,W66&gt;=35,W66&lt;65),0.23,0)+IF(AND(V66&gt;=75,V66&lt;=175,W66&gt;=65,W66&lt;110),0.17,0)+IF(AND(V66&gt;=75,V66&lt;=175,W66&gt;=110),0.12,0)+IF(AND(V66&gt;175,W66&lt;25),0.3,0)+IF(AND(V66&gt;175,W66&gt;=25,W66&lt;55),0.23,0)+IF(AND(V66&gt;175,W66&gt;=55,W66&lt;95),0.17,0)+IF(AND(V66&gt;175,W66&gt;=95),0.12,0),
IF(AF66="DoEVLo",IF(AND(V66&lt;20,W66&lt;55),0.25,0)+IF(AND(V66&lt;20,W66&gt;=55,W66&lt;105),0.2,0)+IF(AND(V66&lt;20,W66&gt;=105),0.15,0)+IF(AND(V66&gt;=20,V66&lt;40,W66&lt;45),0.25,0)+IF(AND(V66&gt;=20,V66&lt;40,W66&gt;=45,W66&lt;95),0.2,0)+IF(AND(V66&gt;=20,V66&lt;40,W66&gt;=95),0.15,0)+IF(AND(V66&gt;=40,V66&lt;75,W66&lt;35),0.25,0)+IF(AND(V66&gt;=40,V66&lt;75,W66&gt;=35,W66&lt;75),0.2,0)+IF(AND(V66&gt;=40,V66&lt;75,W66&gt;=75,W66&lt;120),0.15,0)+IF(AND(V66&gt;=40,V66&lt;75,W66&gt;=120),0.1,0)+IF(AND(V66&gt;=75,V66&lt;175,W66&lt;35),0.25,0)+IF(AND(V66&gt;=75,V66&lt;=175,W66&gt;=35,W66&lt;65),0.2,0)+IF(AND(V66&gt;=75,V66&lt;=175,W66&gt;=65,W66&lt;110),0.15,0)+IF(AND(V66&gt;=75,V66&lt;=175,W66&gt;=110),0.1,0)+IF(AND(V66&gt;175,W66&lt;25),0.25,0)+IF(AND(V66&gt;175,W66&gt;=25,W66&lt;55),0.2,0)+IF(AND(V66&gt;175,W66&gt;=55,W66&lt;95),0.15,0)+IF(AND(V66&gt;175,W66&gt;=95),0.1,0))))))))))))))))</f>
        <v>0.23</v>
      </c>
      <c r="Y66" s="30">
        <f>IF(AG66="None",0,IF(AG66="Fix5",0.05,IF(AG66="Fix3.75",0.0375,IF(AG66="Fix10",0.1,IF(AG66="Fix3",0.03,0)))))</f>
        <v>0</v>
      </c>
      <c r="Z66" s="35">
        <f>T66-AA66-AB66</f>
        <v>578.27</v>
      </c>
      <c r="AA66" s="29">
        <f>IF(AD66="EUR",((T66-R66)*X66)*U66+(R66*X66),(T66*X66))</f>
        <v>172.73000000000002</v>
      </c>
      <c r="AB66" s="36">
        <f>IF(AD66="EUR",((T66-R66)*Y66)*U66+(R66*Y66),(T66*Y66))</f>
        <v>0</v>
      </c>
      <c r="AC66" s="37" t="b">
        <v>1</v>
      </c>
      <c r="AD66" s="37" t="s">
        <v>38</v>
      </c>
      <c r="AE66" s="37" t="s">
        <v>38</v>
      </c>
      <c r="AF66" s="37" t="str">
        <f t="array" ref="AF66">INDEX('Deal Info'!D:D, MATCH(A66,'Deal Info'!A:A, 0))</f>
        <v>DoEV</v>
      </c>
      <c r="AG66" s="38" t="str">
        <f t="array" ref="AG66">INDEX('Deal Info'!G:G, MATCH(A66,'Deal Info'!A:A, 0))</f>
        <v>None</v>
      </c>
    </row>
    <row r="67" spans="1:33" ht="14.25" hidden="1" x14ac:dyDescent="0.2">
      <c r="A67" s="18" t="str">
        <f t="array" ref="A67">IF(G67='Room Info'!$B$1, INDEX('Room Info'!$A$2:$A2446, MATCH(B67,'Room Info'!$B$2:$B2446, 0)),IF(G67='Room Info'!$C$1, INDEX('Room Info'!$A$2:$A2446, MATCH(B67,'Room Info'!$C$2:$C2446, 0)),IF(G67='Room Info'!$D$1, INDEX('Room Info'!$A$2:$A2446, MATCH(B67,'Room Info'!$D$2:$D2446, 0)),IF(G67='Room Info'!$E$1, INDEX('Room Info'!$A$2:$A2446, MATCH(B67,'Room Info'!$E$2:$E2446, 0)),IF(G67='Room Info'!$F$1, INDEX('Room Info'!$A$2:$A2446, MATCH(B67,'Room Info'!$F$2:$F2446, 0)),IF(G67='Room Info'!$H$1, INDEX('Room Info'!$A$2:$A2446, MATCH(B67,'Room Info'!$H$2:$H2446, 0)),IF(G67='Room Info'!$G$1, INDEX('Room Info'!$A$2:$A2446, MATCH(B67,'Room Info'!$G$2:$G2446, 0)))))))))</f>
        <v>prodoman</v>
      </c>
      <c r="B67" s="18" t="s">
        <v>79</v>
      </c>
      <c r="C67" s="41">
        <v>44682</v>
      </c>
      <c r="D67" s="41">
        <v>44712</v>
      </c>
      <c r="E67" s="21">
        <v>44682</v>
      </c>
      <c r="F67" s="40" t="s">
        <v>41</v>
      </c>
      <c r="G67" s="18" t="s">
        <v>80</v>
      </c>
      <c r="H67" s="23" t="s">
        <v>71</v>
      </c>
      <c r="I67" s="23" t="s">
        <v>81</v>
      </c>
      <c r="J67" s="39">
        <v>20</v>
      </c>
      <c r="K67" s="25">
        <v>3906</v>
      </c>
      <c r="L67" s="26">
        <v>-4880</v>
      </c>
      <c r="M67" s="42">
        <v>4037</v>
      </c>
      <c r="N67" s="28">
        <f>K67*J67</f>
        <v>78120</v>
      </c>
      <c r="O67" s="18">
        <v>12689</v>
      </c>
      <c r="P67" s="29">
        <v>3.24859191</v>
      </c>
      <c r="Q67" s="30"/>
      <c r="R67" s="31">
        <f>M67+Q67</f>
        <v>4037</v>
      </c>
      <c r="S67" s="63"/>
      <c r="T67" s="32">
        <f>R67+S67+IF(F67="Without EV deal",L67,0)</f>
        <v>-843</v>
      </c>
      <c r="U67" s="33">
        <v>1</v>
      </c>
      <c r="V67" s="34">
        <v>18.24397638423488</v>
      </c>
      <c r="W67" s="64">
        <v>61.26</v>
      </c>
      <c r="X67" s="30">
        <f>IF(AF67="DoEV",IF(AND(V67&lt;20,W67&lt;55),0.3,0)+IF(AND(V67&lt;20,W67&gt;=55,W67&lt;105),0.23,0)+IF(AND(V67&lt;20,W67&gt;=105),0.17,0)+IF(AND(V67&gt;=20,V67&lt;40,W67&lt;45),0.3,0)+IF(AND(V67&gt;=20,V67&lt;40,W67&gt;=45,W67&lt;95),0.23,0)+IF(AND(V67&gt;=20,V67&lt;40,W67&gt;=95),0.17,0)+IF(AND(V67&gt;=40,V67&lt;75,W67&lt;35),0.3,0)+IF(AND(V67&gt;=40,V67&lt;75,W67&gt;=35,W67&lt;75),0.23,0)+IF(AND(V67&gt;=40,V67&lt;75,W67&gt;=75,W67&lt;120),0.17,0)+IF(AND(V67&gt;=40,V67&lt;75,W67&gt;=120),0.12,0)+IF(AND(V67&gt;=75,V67&lt;175,W67&lt;35),0.3,0)+IF(AND(V67&gt;=75,V67&lt;=175,W67&gt;=35,W67&lt;65),0.23,0)+IF(AND(V67&gt;=75,V67&lt;=175,W67&gt;=65,W67&lt;110),0.17,0)+IF(AND(V67&gt;=75,V67&lt;=175,W67&gt;=110),0.12,0)+IF(AND(V67&gt;175,W67&lt;25),0.3,0)+IF(AND(V67&gt;175,W67&gt;=25,W67&lt;55),0.23,0)+IF(AND(V67&gt;175,W67&gt;=55,W67&lt;95),0.17,0)+IF(AND(V67&gt;175,W67&gt;=95),0.12,0),
IF(AF67="Fix15",0.15,
IF(AF67="Fix11.25",0.1125,
IF(AF67="Fix10",0.1,
IF(AF67="Fix9",0.09,
IF(AF67="DoEV2017",IF(AND(W67&lt;74),0.2,0)+IF(AND(W67&gt;=74),0.17,0),
IF(AF67="SF",IF(AND(V67&lt;20,W67&lt;89),0.3,0)+IF(AND(V67&lt;20,W67&gt;=89),0.25,0)+IF(AND(V67&gt;=20,V67&lt;40,W67&lt;74),0.3,0)+IF(AND(V67&gt;=20,V67&lt;40,W67&gt;=75),0.22,0)+IF(AND(V67&gt;=40,V67&lt;75,W67&lt;75),0.26,0)+IF(AND(V67&gt;=40,V67&lt;75,W67&gt;=75),0.22,0)+IF(V67&gt;=75,0.22,0),
IF(AF67="DoEVold",IF(AND(V67&lt;40,W67&lt;35),0.35,0)+IF(AND(V67&lt;40,W67&gt;=35,W67&lt;75),0.25,0)+IF(AND(V67&lt;40,W67&gt;=75),0.17,0)+IF(AND(V67&gt;=40,V67&lt;75,W67&lt;25),0.35,0)+IF(AND(V67&gt;=40,V67&lt;75,W67&gt;=25,W67&lt;65),0.25,0)+IF(AND(V67&gt;=40,V67&lt;75,W67&gt;=65,W67&lt;100),0.17,0)+IF(AND(V67&gt;=40,V67&lt;75,W67&gt;=100),0.1,0)+IF(AND(V67&gt;=75,W67&lt;25),0.35,0)+IF(AND(V67&gt;=75,W67&gt;=25,W67&lt;60),0.25,0)+IF(AND(V67&gt;=75,W67&gt;=60,W67&lt;95),0.17,0)+IF(AND(V67&gt;=75,W67&gt;=95),0.1,0),
IF(AF67="DoEVold15",IF(AND(V67&lt;=40,W67&lt;35),0.35,0)+IF(AND(V67&lt;=40,W67&gt;=35,W67&lt;75),0.25,0)+IF(AND(V67&lt;=40,W67&gt;=75,W67&lt;120),0.17,0)+IF(AND(V67&lt;=40,W67&gt;=120),0.15,0)+IF(AND(V67&gt;40,V67&lt;75,W67&lt;25),0.35,0)+IF(AND(V67&gt;=40,V67&lt;75,W67&gt;=25,W67&lt;65),0.25,0)+IF(AND(V67&gt;=40,V67&lt;75,W67&gt;=65,W67&lt;100),0.17,0)+IF(AND(V67&gt;=40,V67&lt;75,W67&gt;=100),0.1,0)+IF(AND(V67&gt;=75,W67&lt;25),0.35,0)+IF(AND(V67&gt;=75,W67&gt;=25,W67&lt;60),0.25,0)+IF(AND(V67&gt;=75,W67&gt;=60,W67&lt;95),0.17,0)+IF(AND(V67&gt;=75,W67&gt;=95),0.1,0),
IF(AF67="DoEVba",IF(AND(V67&lt;20,W67&lt;105),0.2,0)+IF(AND(V67&lt;20,W67&gt;=105),0.15,0)+IF(AND(V67&gt;=20,V67&lt;40,W67&lt;95),0.2,0)+IF(AND(V67&gt;=20,V67&lt;40,W67&gt;=95,W67&lt;150),0.15,0)+IF(AND(V67&gt;=20,V67&lt;40,W67&gt;=150),0.12,0)+IF(AND(V67&gt;=40,V67&lt;75,W67&lt;75),0.2,0)+IF(AND(V67&gt;=40,V67&lt;75,W67&gt;=75,W67&lt;120),0.15,0)+IF(AND(V67&gt;=40,V67&lt;75,W67&gt;=120),0.12,0)+IF(AND(V67&gt;=75,V67&lt;175,W67&lt;65),0.2,0)+IF(AND(V67&gt;=75,V67&lt;175,W67&gt;=65,W67&lt;110),0.15,0)+IF(AND(V67&gt;=75,V67&lt;175,W67&gt;=110),0.12,0)+IF(AND(V67&gt;=175,W67&lt;55),0.2,0)+IF(AND(V67&gt;=175,W67&gt;=55,W67&lt;95),0.15,0)+IF(AND(V67&gt;=175,W67&gt;=95),0.12,0),
IF(AF67="DoEVku",IF(AND(V67&lt;20,W67&lt;55),0.23,0)+IF(AND(V67&lt;20,W67&gt;=55,W67&lt;105),0.2,0)+IF(AND(V67&lt;20,W67&gt;=105),0.17,0)+IF(AND(V67&gt;=20,V67&lt;40,W67&lt;45),0.23,0)+IF(AND(V67&gt;=20,V67&lt;40,W67&gt;=45,W67&lt;95),0.2,0)+IF(AND(V67&gt;=20,V67&lt;40,W67&gt;=95,W67&lt;=150),0.17,0)+IF(AND(V67&gt;=20,V67&lt;40,W67&gt;=150),0.12,0)+IF(AND(V67&gt;=40,V67&lt;75,W67&lt;35),0.23,0)+IF(AND(V67&gt;=40,V67&lt;75,W67&gt;=35,W67&lt;75),0.2,0)+IF(AND(V67&gt;=40,V67&lt;75,W67&gt;=75,W67&lt;120),0.17,0)+IF(AND(V67&gt;=40,V67&lt;75,W67&gt;=120),0.12,0)+IF(AND(V67&gt;=75,V67&lt;175,W67&lt;35),0.23,0)+IF(AND(V67&gt;=75,V67&lt;=175,W67&gt;=35,W67&lt;65),0.2,0)+IF(AND(V67&gt;=75,V67&lt;=175,W67&gt;=65,W67&lt;110),0.17,0)+IF(AND(V67&gt;=75,V67&lt;=175,W67&gt;=110),0.12,0)+IF(AND(V67&gt;175,W67&lt;25),0.23,0)+IF(AND(V67&gt;175,W67&gt;=25,W67&lt;55),0.2,0)+IF(AND(V67&gt;175,W67&gt;=55,W67&lt;95),0.17,0)+IF(AND(V67&gt;175,W67&gt;=95),0.12,0),
IF(AF67="DoEVs1",IF(AND(V67&lt;20,W67&lt;55),0.3,0)+IF(AND(V67&lt;20,W67&gt;=55,W67&lt;105),0.23,0)+IF(AND(V67&lt;20,W67&gt;=105),0.17,0)+IF(AND(V67&gt;=20,V67&lt;40,W67&lt;45),0.3,0)+IF(AND(V67&gt;=20,V67&lt;40,W67&gt;=45,W67&lt;95),0.23,0)+IF(AND(V67&gt;=20,V67&lt;40,W67&gt;=95,W67&lt;=150),0.17,0)+IF(AND(V67&gt;=20,V67&lt;40,W67&gt;=150),0.12,0)+IF(AND(V67&gt;=40,V67&lt;75,W67&lt;35),0.3,0)+IF(AND(V67&gt;=40,V67&lt;75,W67&gt;=35,W67&lt;75),0.23,0)+IF(AND(V67&gt;=40,V67&lt;75,W67&gt;=75,W67&lt;120),0.17,0)+IF(AND(V67&gt;=40,V67&lt;75,W67&gt;=120),0.12,0)+IF(AND(V67&gt;=75,V67&lt;175,W67&lt;35),0.3,0)+IF(AND(V67&gt;=75,V67&lt;=175,W67&gt;=35,W67&lt;65),0.23,0)+IF(AND(V67&gt;=75,V67&lt;=175,W67&gt;=65,W67&lt;110),0.17,0)+IF(AND(V67&gt;=75,V67&lt;=175,W67&gt;=110),0.12,0)+IF(AND(V67&gt;175,W67&lt;25),0.3,0)+IF(AND(V67&gt;175,W67&gt;=25,W67&lt;55),0.23,0)+IF(AND(V67&gt;175,W67&gt;=55,W67&lt;95),0.17,0)+IF(AND(V67&gt;175,W67&gt;=95),0.12,0),
IF(AF67="DoEVsu",IF(AND(V67&lt;20,W67&lt;55),0.3,0)+IF(AND(V67&lt;20,W67&gt;=55,W67&lt;105),0.23,0)+IF(AND(V67&lt;20,W67&gt;=105),0.17,0)+IF(AND(V67&gt;=20,V67&lt;40,W67&lt;45),0.3,0)+IF(AND(V67&gt;=20,V67&lt;40,W67&gt;=45,W67&lt;95),0.23,0)+IF(AND(V67&gt;=20,V67&lt;40,W67&gt;=95,W67&lt;=250),0.17,0)+IF(AND(V67&gt;=20,V67&lt;40,W67&gt;=250),0.12,0)+IF(AND(V67&gt;=40,V67&lt;75,W67&lt;35),0.3,0)+IF(AND(V67&gt;=40,V67&lt;75,W67&gt;=35,W67&lt;75),0.23,0)+IF(AND(V67&gt;=40,V67&lt;75,W67&gt;=75,W67&lt;120),0.17,0)+IF(AND(V67&gt;=40,V67&lt;75,W67&gt;=120),0.12,0)+IF(AND(V67&gt;=75,V67&lt;175,W67&lt;35),0.3,0)+IF(AND(V67&gt;=75,V67&lt;=175,W67&gt;=35,W67&lt;65),0.23,0)+IF(AND(V67&gt;=75,V67&lt;=175,W67&gt;=65,W67&lt;110),0.17,0)+IF(AND(V67&gt;=75,V67&lt;=175,W67&gt;=110),0.12,0)+IF(AND(V67&gt;175,W67&lt;25),0.3,0)+IF(AND(V67&gt;175,W67&gt;=25,W67&lt;55),0.23,0)+IF(AND(V67&gt;175,W67&gt;=55,W67&lt;95),0.17,0)+IF(AND(V67&gt;175,W67&gt;=95),0.12,0),
IF(AF67="DoEVni",IF(AND(V67&lt;20,W67&lt;55),0.3,0)+IF(AND(V67&lt;20,W67&gt;=55,W67&lt;105),0.23,0)+IF(AND(V67&lt;20,W67&gt;=105),0.17,0)+IF(AND(V67&gt;=20,V67&lt;40,W67&lt;45),0.3,0)+IF(AND(V67&gt;=20,V67&lt;40,W67&gt;=45,W67&lt;95),0.23,0)+IF(AND(V67&gt;=20,V67&lt;40,W67&gt;=95,W67&lt;=200),0.17,0)+IF(AND(V67&gt;=20,V67&lt;40,W67&gt;=200),0.12,0)+IF(AND(V67&gt;=40,V67&lt;75,W67&lt;35),0.3,0)+IF(AND(V67&gt;=40,V67&lt;75,W67&gt;=35,W67&lt;75),0.23,0)+IF(AND(V67&gt;=40,V67&lt;75,W67&gt;=75,W67&lt;120),0.17,0)+IF(AND(V67&gt;=40,V67&lt;75,W67&gt;=120),0.12,0)+IF(AND(V67&gt;=75,V67&lt;175,W67&lt;35),0.3,0)+IF(AND(V67&gt;=75,V67&lt;=175,W67&gt;=35,W67&lt;65),0.23,0)+IF(AND(V67&gt;=75,V67&lt;=175,W67&gt;=65,W67&lt;110),0.17,0)+IF(AND(V67&gt;=75,V67&lt;=175,W67&gt;=110),0.12,0)+IF(AND(V67&gt;175,W67&lt;25),0.3,0)+IF(AND(V67&gt;175,W67&gt;=25,W67&lt;55),0.23,0)+IF(AND(V67&gt;175,W67&gt;=55,W67&lt;95),0.17,0)+IF(AND(V67&gt;175,W67&gt;=95),0.12,0),
IF(AF67="DoEVLo",IF(AND(V67&lt;20,W67&lt;55),0.25,0)+IF(AND(V67&lt;20,W67&gt;=55,W67&lt;105),0.2,0)+IF(AND(V67&lt;20,W67&gt;=105),0.15,0)+IF(AND(V67&gt;=20,V67&lt;40,W67&lt;45),0.25,0)+IF(AND(V67&gt;=20,V67&lt;40,W67&gt;=45,W67&lt;95),0.2,0)+IF(AND(V67&gt;=20,V67&lt;40,W67&gt;=95),0.15,0)+IF(AND(V67&gt;=40,V67&lt;75,W67&lt;35),0.25,0)+IF(AND(V67&gt;=40,V67&lt;75,W67&gt;=35,W67&lt;75),0.2,0)+IF(AND(V67&gt;=40,V67&lt;75,W67&gt;=75,W67&lt;120),0.15,0)+IF(AND(V67&gt;=40,V67&lt;75,W67&gt;=120),0.1,0)+IF(AND(V67&gt;=75,V67&lt;175,W67&lt;35),0.25,0)+IF(AND(V67&gt;=75,V67&lt;=175,W67&gt;=35,W67&lt;65),0.2,0)+IF(AND(V67&gt;=75,V67&lt;=175,W67&gt;=65,W67&lt;110),0.15,0)+IF(AND(V67&gt;=75,V67&lt;=175,W67&gt;=110),0.1,0)+IF(AND(V67&gt;175,W67&lt;25),0.25,0)+IF(AND(V67&gt;175,W67&gt;=25,W67&lt;55),0.2,0)+IF(AND(V67&gt;175,W67&gt;=55,W67&lt;95),0.15,0)+IF(AND(V67&gt;175,W67&gt;=95),0.1,0))))))))))))))))</f>
        <v>0.23</v>
      </c>
      <c r="Y67" s="30">
        <f>IF(AG67="None",0,IF(AG67="Fix5",0.05,IF(AG67="Fix3.75",0.0375,IF(AG67="Fix10",0.1,IF(AG67="Fix3",0.03,0)))))</f>
        <v>0</v>
      </c>
      <c r="Z67" s="35">
        <f>T67-AA67-AB67</f>
        <v>-649.11</v>
      </c>
      <c r="AA67" s="29">
        <f>IF(AD67="EUR",((T67-R67)*X67)*U67+(R67*X67),(T67*X67))</f>
        <v>-193.89000000000001</v>
      </c>
      <c r="AB67" s="36">
        <f>IF(AD67="EUR",((T67-R67)*Y67)*U67+(R67*Y67),(T67*Y67))</f>
        <v>0</v>
      </c>
      <c r="AC67" s="37" t="b">
        <v>1</v>
      </c>
      <c r="AD67" s="37" t="s">
        <v>38</v>
      </c>
      <c r="AE67" s="37" t="s">
        <v>38</v>
      </c>
      <c r="AF67" s="37" t="str">
        <f t="array" ref="AF67">INDEX('Deal Info'!D:D, MATCH(A67,'Deal Info'!A:A, 0))</f>
        <v>DoEV</v>
      </c>
      <c r="AG67" s="38" t="str">
        <f t="array" ref="AG67">INDEX('Deal Info'!G:G, MATCH(A67,'Deal Info'!A:A, 0))</f>
        <v>None</v>
      </c>
    </row>
    <row r="68" spans="1:33" ht="14.25" hidden="1" x14ac:dyDescent="0.2">
      <c r="A68" s="18" t="str">
        <f t="array" ref="A68">IF(G68='Room Info'!$B$1, INDEX('Room Info'!$A$2:$A2446, MATCH(B68,'Room Info'!$B$2:$B2446, 0)),IF(G68='Room Info'!$C$1, INDEX('Room Info'!$A$2:$A2446, MATCH(B68,'Room Info'!$C$2:$C2446, 0)),IF(G68='Room Info'!$D$1, INDEX('Room Info'!$A$2:$A2446, MATCH(B68,'Room Info'!$D$2:$D2446, 0)),IF(G68='Room Info'!$E$1, INDEX('Room Info'!$A$2:$A2446, MATCH(B68,'Room Info'!$E$2:$E2446, 0)),IF(G68='Room Info'!$F$1, INDEX('Room Info'!$A$2:$A2446, MATCH(B68,'Room Info'!$F$2:$F2446, 0)),IF(G68='Room Info'!$H$1, INDEX('Room Info'!$A$2:$A2446, MATCH(B68,'Room Info'!$H$2:$H2446, 0)),IF(G68='Room Info'!$G$1, INDEX('Room Info'!$A$2:$A2446, MATCH(B68,'Room Info'!$G$2:$G2446, 0)))))))))</f>
        <v>prodoman</v>
      </c>
      <c r="B68" s="18" t="s">
        <v>79</v>
      </c>
      <c r="C68" s="41">
        <v>44682</v>
      </c>
      <c r="D68" s="41">
        <v>44712</v>
      </c>
      <c r="E68" s="21">
        <v>44682</v>
      </c>
      <c r="F68" s="40" t="s">
        <v>41</v>
      </c>
      <c r="G68" s="18" t="s">
        <v>80</v>
      </c>
      <c r="H68" s="23" t="s">
        <v>40</v>
      </c>
      <c r="I68" s="23" t="s">
        <v>81</v>
      </c>
      <c r="J68" s="39">
        <v>10</v>
      </c>
      <c r="K68" s="25">
        <v>2201</v>
      </c>
      <c r="L68" s="26">
        <v>-370</v>
      </c>
      <c r="M68" s="42">
        <v>1138</v>
      </c>
      <c r="N68" s="28">
        <f>K68*J68</f>
        <v>22010</v>
      </c>
      <c r="O68" s="18">
        <v>46501</v>
      </c>
      <c r="P68" s="29">
        <v>21.127214899999998</v>
      </c>
      <c r="Q68" s="30"/>
      <c r="R68" s="31">
        <f>M68+Q68</f>
        <v>1138</v>
      </c>
      <c r="S68" s="63"/>
      <c r="T68" s="32">
        <f>R68+S68+IF(F68="Without EV deal",L68,0)</f>
        <v>768</v>
      </c>
      <c r="U68" s="33">
        <v>1</v>
      </c>
      <c r="V68" s="34">
        <v>18.24397638423488</v>
      </c>
      <c r="W68" s="64">
        <v>61.26</v>
      </c>
      <c r="X68" s="30">
        <f>IF(AF68="DoEV",IF(AND(V68&lt;20,W68&lt;55),0.3,0)+IF(AND(V68&lt;20,W68&gt;=55,W68&lt;105),0.23,0)+IF(AND(V68&lt;20,W68&gt;=105),0.17,0)+IF(AND(V68&gt;=20,V68&lt;40,W68&lt;45),0.3,0)+IF(AND(V68&gt;=20,V68&lt;40,W68&gt;=45,W68&lt;95),0.23,0)+IF(AND(V68&gt;=20,V68&lt;40,W68&gt;=95),0.17,0)+IF(AND(V68&gt;=40,V68&lt;75,W68&lt;35),0.3,0)+IF(AND(V68&gt;=40,V68&lt;75,W68&gt;=35,W68&lt;75),0.23,0)+IF(AND(V68&gt;=40,V68&lt;75,W68&gt;=75,W68&lt;120),0.17,0)+IF(AND(V68&gt;=40,V68&lt;75,W68&gt;=120),0.12,0)+IF(AND(V68&gt;=75,V68&lt;175,W68&lt;35),0.3,0)+IF(AND(V68&gt;=75,V68&lt;=175,W68&gt;=35,W68&lt;65),0.23,0)+IF(AND(V68&gt;=75,V68&lt;=175,W68&gt;=65,W68&lt;110),0.17,0)+IF(AND(V68&gt;=75,V68&lt;=175,W68&gt;=110),0.12,0)+IF(AND(V68&gt;175,W68&lt;25),0.3,0)+IF(AND(V68&gt;175,W68&gt;=25,W68&lt;55),0.23,0)+IF(AND(V68&gt;175,W68&gt;=55,W68&lt;95),0.17,0)+IF(AND(V68&gt;175,W68&gt;=95),0.12,0),
IF(AF68="Fix15",0.15,
IF(AF68="Fix11.25",0.1125,
IF(AF68="Fix10",0.1,
IF(AF68="Fix9",0.09,
IF(AF68="DoEV2017",IF(AND(W68&lt;74),0.2,0)+IF(AND(W68&gt;=74),0.17,0),
IF(AF68="SF",IF(AND(V68&lt;20,W68&lt;89),0.3,0)+IF(AND(V68&lt;20,W68&gt;=89),0.25,0)+IF(AND(V68&gt;=20,V68&lt;40,W68&lt;74),0.3,0)+IF(AND(V68&gt;=20,V68&lt;40,W68&gt;=75),0.22,0)+IF(AND(V68&gt;=40,V68&lt;75,W68&lt;75),0.26,0)+IF(AND(V68&gt;=40,V68&lt;75,W68&gt;=75),0.22,0)+IF(V68&gt;=75,0.22,0),
IF(AF68="DoEVold",IF(AND(V68&lt;40,W68&lt;35),0.35,0)+IF(AND(V68&lt;40,W68&gt;=35,W68&lt;75),0.25,0)+IF(AND(V68&lt;40,W68&gt;=75),0.17,0)+IF(AND(V68&gt;=40,V68&lt;75,W68&lt;25),0.35,0)+IF(AND(V68&gt;=40,V68&lt;75,W68&gt;=25,W68&lt;65),0.25,0)+IF(AND(V68&gt;=40,V68&lt;75,W68&gt;=65,W68&lt;100),0.17,0)+IF(AND(V68&gt;=40,V68&lt;75,W68&gt;=100),0.1,0)+IF(AND(V68&gt;=75,W68&lt;25),0.35,0)+IF(AND(V68&gt;=75,W68&gt;=25,W68&lt;60),0.25,0)+IF(AND(V68&gt;=75,W68&gt;=60,W68&lt;95),0.17,0)+IF(AND(V68&gt;=75,W68&gt;=95),0.1,0),
IF(AF68="DoEVold15",IF(AND(V68&lt;=40,W68&lt;35),0.35,0)+IF(AND(V68&lt;=40,W68&gt;=35,W68&lt;75),0.25,0)+IF(AND(V68&lt;=40,W68&gt;=75,W68&lt;120),0.17,0)+IF(AND(V68&lt;=40,W68&gt;=120),0.15,0)+IF(AND(V68&gt;40,V68&lt;75,W68&lt;25),0.35,0)+IF(AND(V68&gt;=40,V68&lt;75,W68&gt;=25,W68&lt;65),0.25,0)+IF(AND(V68&gt;=40,V68&lt;75,W68&gt;=65,W68&lt;100),0.17,0)+IF(AND(V68&gt;=40,V68&lt;75,W68&gt;=100),0.1,0)+IF(AND(V68&gt;=75,W68&lt;25),0.35,0)+IF(AND(V68&gt;=75,W68&gt;=25,W68&lt;60),0.25,0)+IF(AND(V68&gt;=75,W68&gt;=60,W68&lt;95),0.17,0)+IF(AND(V68&gt;=75,W68&gt;=95),0.1,0),
IF(AF68="DoEVba",IF(AND(V68&lt;20,W68&lt;105),0.2,0)+IF(AND(V68&lt;20,W68&gt;=105),0.15,0)+IF(AND(V68&gt;=20,V68&lt;40,W68&lt;95),0.2,0)+IF(AND(V68&gt;=20,V68&lt;40,W68&gt;=95,W68&lt;150),0.15,0)+IF(AND(V68&gt;=20,V68&lt;40,W68&gt;=150),0.12,0)+IF(AND(V68&gt;=40,V68&lt;75,W68&lt;75),0.2,0)+IF(AND(V68&gt;=40,V68&lt;75,W68&gt;=75,W68&lt;120),0.15,0)+IF(AND(V68&gt;=40,V68&lt;75,W68&gt;=120),0.12,0)+IF(AND(V68&gt;=75,V68&lt;175,W68&lt;65),0.2,0)+IF(AND(V68&gt;=75,V68&lt;175,W68&gt;=65,W68&lt;110),0.15,0)+IF(AND(V68&gt;=75,V68&lt;175,W68&gt;=110),0.12,0)+IF(AND(V68&gt;=175,W68&lt;55),0.2,0)+IF(AND(V68&gt;=175,W68&gt;=55,W68&lt;95),0.15,0)+IF(AND(V68&gt;=175,W68&gt;=95),0.12,0),
IF(AF68="DoEVku",IF(AND(V68&lt;20,W68&lt;55),0.23,0)+IF(AND(V68&lt;20,W68&gt;=55,W68&lt;105),0.2,0)+IF(AND(V68&lt;20,W68&gt;=105),0.17,0)+IF(AND(V68&gt;=20,V68&lt;40,W68&lt;45),0.23,0)+IF(AND(V68&gt;=20,V68&lt;40,W68&gt;=45,W68&lt;95),0.2,0)+IF(AND(V68&gt;=20,V68&lt;40,W68&gt;=95,W68&lt;=150),0.17,0)+IF(AND(V68&gt;=20,V68&lt;40,W68&gt;=150),0.12,0)+IF(AND(V68&gt;=40,V68&lt;75,W68&lt;35),0.23,0)+IF(AND(V68&gt;=40,V68&lt;75,W68&gt;=35,W68&lt;75),0.2,0)+IF(AND(V68&gt;=40,V68&lt;75,W68&gt;=75,W68&lt;120),0.17,0)+IF(AND(V68&gt;=40,V68&lt;75,W68&gt;=120),0.12,0)+IF(AND(V68&gt;=75,V68&lt;175,W68&lt;35),0.23,0)+IF(AND(V68&gt;=75,V68&lt;=175,W68&gt;=35,W68&lt;65),0.2,0)+IF(AND(V68&gt;=75,V68&lt;=175,W68&gt;=65,W68&lt;110),0.17,0)+IF(AND(V68&gt;=75,V68&lt;=175,W68&gt;=110),0.12,0)+IF(AND(V68&gt;175,W68&lt;25),0.23,0)+IF(AND(V68&gt;175,W68&gt;=25,W68&lt;55),0.2,0)+IF(AND(V68&gt;175,W68&gt;=55,W68&lt;95),0.17,0)+IF(AND(V68&gt;175,W68&gt;=95),0.12,0),
IF(AF68="DoEVs1",IF(AND(V68&lt;20,W68&lt;55),0.3,0)+IF(AND(V68&lt;20,W68&gt;=55,W68&lt;105),0.23,0)+IF(AND(V68&lt;20,W68&gt;=105),0.17,0)+IF(AND(V68&gt;=20,V68&lt;40,W68&lt;45),0.3,0)+IF(AND(V68&gt;=20,V68&lt;40,W68&gt;=45,W68&lt;95),0.23,0)+IF(AND(V68&gt;=20,V68&lt;40,W68&gt;=95,W68&lt;=150),0.17,0)+IF(AND(V68&gt;=20,V68&lt;40,W68&gt;=150),0.12,0)+IF(AND(V68&gt;=40,V68&lt;75,W68&lt;35),0.3,0)+IF(AND(V68&gt;=40,V68&lt;75,W68&gt;=35,W68&lt;75),0.23,0)+IF(AND(V68&gt;=40,V68&lt;75,W68&gt;=75,W68&lt;120),0.17,0)+IF(AND(V68&gt;=40,V68&lt;75,W68&gt;=120),0.12,0)+IF(AND(V68&gt;=75,V68&lt;175,W68&lt;35),0.3,0)+IF(AND(V68&gt;=75,V68&lt;=175,W68&gt;=35,W68&lt;65),0.23,0)+IF(AND(V68&gt;=75,V68&lt;=175,W68&gt;=65,W68&lt;110),0.17,0)+IF(AND(V68&gt;=75,V68&lt;=175,W68&gt;=110),0.12,0)+IF(AND(V68&gt;175,W68&lt;25),0.3,0)+IF(AND(V68&gt;175,W68&gt;=25,W68&lt;55),0.23,0)+IF(AND(V68&gt;175,W68&gt;=55,W68&lt;95),0.17,0)+IF(AND(V68&gt;175,W68&gt;=95),0.12,0),
IF(AF68="DoEVsu",IF(AND(V68&lt;20,W68&lt;55),0.3,0)+IF(AND(V68&lt;20,W68&gt;=55,W68&lt;105),0.23,0)+IF(AND(V68&lt;20,W68&gt;=105),0.17,0)+IF(AND(V68&gt;=20,V68&lt;40,W68&lt;45),0.3,0)+IF(AND(V68&gt;=20,V68&lt;40,W68&gt;=45,W68&lt;95),0.23,0)+IF(AND(V68&gt;=20,V68&lt;40,W68&gt;=95,W68&lt;=250),0.17,0)+IF(AND(V68&gt;=20,V68&lt;40,W68&gt;=250),0.12,0)+IF(AND(V68&gt;=40,V68&lt;75,W68&lt;35),0.3,0)+IF(AND(V68&gt;=40,V68&lt;75,W68&gt;=35,W68&lt;75),0.23,0)+IF(AND(V68&gt;=40,V68&lt;75,W68&gt;=75,W68&lt;120),0.17,0)+IF(AND(V68&gt;=40,V68&lt;75,W68&gt;=120),0.12,0)+IF(AND(V68&gt;=75,V68&lt;175,W68&lt;35),0.3,0)+IF(AND(V68&gt;=75,V68&lt;=175,W68&gt;=35,W68&lt;65),0.23,0)+IF(AND(V68&gt;=75,V68&lt;=175,W68&gt;=65,W68&lt;110),0.17,0)+IF(AND(V68&gt;=75,V68&lt;=175,W68&gt;=110),0.12,0)+IF(AND(V68&gt;175,W68&lt;25),0.3,0)+IF(AND(V68&gt;175,W68&gt;=25,W68&lt;55),0.23,0)+IF(AND(V68&gt;175,W68&gt;=55,W68&lt;95),0.17,0)+IF(AND(V68&gt;175,W68&gt;=95),0.12,0),
IF(AF68="DoEVni",IF(AND(V68&lt;20,W68&lt;55),0.3,0)+IF(AND(V68&lt;20,W68&gt;=55,W68&lt;105),0.23,0)+IF(AND(V68&lt;20,W68&gt;=105),0.17,0)+IF(AND(V68&gt;=20,V68&lt;40,W68&lt;45),0.3,0)+IF(AND(V68&gt;=20,V68&lt;40,W68&gt;=45,W68&lt;95),0.23,0)+IF(AND(V68&gt;=20,V68&lt;40,W68&gt;=95,W68&lt;=200),0.17,0)+IF(AND(V68&gt;=20,V68&lt;40,W68&gt;=200),0.12,0)+IF(AND(V68&gt;=40,V68&lt;75,W68&lt;35),0.3,0)+IF(AND(V68&gt;=40,V68&lt;75,W68&gt;=35,W68&lt;75),0.23,0)+IF(AND(V68&gt;=40,V68&lt;75,W68&gt;=75,W68&lt;120),0.17,0)+IF(AND(V68&gt;=40,V68&lt;75,W68&gt;=120),0.12,0)+IF(AND(V68&gt;=75,V68&lt;175,W68&lt;35),0.3,0)+IF(AND(V68&gt;=75,V68&lt;=175,W68&gt;=35,W68&lt;65),0.23,0)+IF(AND(V68&gt;=75,V68&lt;=175,W68&gt;=65,W68&lt;110),0.17,0)+IF(AND(V68&gt;=75,V68&lt;=175,W68&gt;=110),0.12,0)+IF(AND(V68&gt;175,W68&lt;25),0.3,0)+IF(AND(V68&gt;175,W68&gt;=25,W68&lt;55),0.23,0)+IF(AND(V68&gt;175,W68&gt;=55,W68&lt;95),0.17,0)+IF(AND(V68&gt;175,W68&gt;=95),0.12,0),
IF(AF68="DoEVLo",IF(AND(V68&lt;20,W68&lt;55),0.25,0)+IF(AND(V68&lt;20,W68&gt;=55,W68&lt;105),0.2,0)+IF(AND(V68&lt;20,W68&gt;=105),0.15,0)+IF(AND(V68&gt;=20,V68&lt;40,W68&lt;45),0.25,0)+IF(AND(V68&gt;=20,V68&lt;40,W68&gt;=45,W68&lt;95),0.2,0)+IF(AND(V68&gt;=20,V68&lt;40,W68&gt;=95),0.15,0)+IF(AND(V68&gt;=40,V68&lt;75,W68&lt;35),0.25,0)+IF(AND(V68&gt;=40,V68&lt;75,W68&gt;=35,W68&lt;75),0.2,0)+IF(AND(V68&gt;=40,V68&lt;75,W68&gt;=75,W68&lt;120),0.15,0)+IF(AND(V68&gt;=40,V68&lt;75,W68&gt;=120),0.1,0)+IF(AND(V68&gt;=75,V68&lt;175,W68&lt;35),0.25,0)+IF(AND(V68&gt;=75,V68&lt;=175,W68&gt;=35,W68&lt;65),0.2,0)+IF(AND(V68&gt;=75,V68&lt;=175,W68&gt;=65,W68&lt;110),0.15,0)+IF(AND(V68&gt;=75,V68&lt;=175,W68&gt;=110),0.1,0)+IF(AND(V68&gt;175,W68&lt;25),0.25,0)+IF(AND(V68&gt;175,W68&gt;=25,W68&lt;55),0.2,0)+IF(AND(V68&gt;175,W68&gt;=55,W68&lt;95),0.15,0)+IF(AND(V68&gt;175,W68&gt;=95),0.1,0))))))))))))))))</f>
        <v>0.23</v>
      </c>
      <c r="Y68" s="30">
        <f>IF(AG68="None",0,IF(AG68="Fix5",0.05,IF(AG68="Fix3.75",0.0375,IF(AG68="Fix10",0.1,IF(AG68="Fix3",0.03,0)))))</f>
        <v>0</v>
      </c>
      <c r="Z68" s="35">
        <f>T68-AA68-AB68</f>
        <v>591.36</v>
      </c>
      <c r="AA68" s="29">
        <f>IF(AD68="EUR",((T68-R68)*X68)*U68+(R68*X68),(T68*X68))</f>
        <v>176.64000000000001</v>
      </c>
      <c r="AB68" s="36">
        <f>IF(AD68="EUR",((T68-R68)*Y68)*U68+(R68*Y68),(T68*Y68))</f>
        <v>0</v>
      </c>
      <c r="AC68" s="37" t="b">
        <v>1</v>
      </c>
      <c r="AD68" s="37" t="s">
        <v>38</v>
      </c>
      <c r="AE68" s="37" t="s">
        <v>38</v>
      </c>
      <c r="AF68" s="37" t="str">
        <f t="array" ref="AF68">INDEX('Deal Info'!D:D, MATCH(A68,'Deal Info'!A:A, 0))</f>
        <v>DoEV</v>
      </c>
      <c r="AG68" s="38" t="str">
        <f t="array" ref="AG68">INDEX('Deal Info'!G:G, MATCH(A68,'Deal Info'!A:A, 0))</f>
        <v>None</v>
      </c>
    </row>
    <row r="69" spans="1:33" ht="14.25" hidden="1" x14ac:dyDescent="0.2">
      <c r="A69" s="18" t="str">
        <f t="array" ref="A69">IF(G69='Room Info'!$B$1, INDEX('Room Info'!$A$2:$A2446, MATCH(B69,'Room Info'!$B$2:$B2446, 0)),IF(G69='Room Info'!$C$1, INDEX('Room Info'!$A$2:$A2446, MATCH(B69,'Room Info'!$C$2:$C2446, 0)),IF(G69='Room Info'!$D$1, INDEX('Room Info'!$A$2:$A2446, MATCH(B69,'Room Info'!$D$2:$D2446, 0)),IF(G69='Room Info'!$E$1, INDEX('Room Info'!$A$2:$A2446, MATCH(B69,'Room Info'!$E$2:$E2446, 0)),IF(G69='Room Info'!$F$1, INDEX('Room Info'!$A$2:$A2446, MATCH(B69,'Room Info'!$F$2:$F2446, 0)),IF(G69='Room Info'!$H$1, INDEX('Room Info'!$A$2:$A2446, MATCH(B69,'Room Info'!$H$2:$H2446, 0)),IF(G69='Room Info'!$G$1, INDEX('Room Info'!$A$2:$A2446, MATCH(B69,'Room Info'!$G$2:$G2446, 0)))))))))</f>
        <v>prodoman</v>
      </c>
      <c r="B69" s="18" t="s">
        <v>79</v>
      </c>
      <c r="C69" s="41">
        <v>44713</v>
      </c>
      <c r="D69" s="41">
        <v>44742</v>
      </c>
      <c r="E69" s="21">
        <v>44713</v>
      </c>
      <c r="F69" s="40" t="s">
        <v>41</v>
      </c>
      <c r="G69" s="18" t="s">
        <v>80</v>
      </c>
      <c r="H69" s="23" t="s">
        <v>71</v>
      </c>
      <c r="I69" s="23" t="s">
        <v>81</v>
      </c>
      <c r="J69" s="39">
        <v>20</v>
      </c>
      <c r="K69" s="25">
        <v>6427</v>
      </c>
      <c r="L69" s="26">
        <v>-4580</v>
      </c>
      <c r="M69" s="42">
        <v>6890</v>
      </c>
      <c r="N69" s="28">
        <f>K69*J69</f>
        <v>128540</v>
      </c>
      <c r="O69" s="18">
        <v>55430</v>
      </c>
      <c r="P69" s="29">
        <v>8.6245526679999998</v>
      </c>
      <c r="Q69" s="30"/>
      <c r="R69" s="31">
        <f>M69+Q69</f>
        <v>6890</v>
      </c>
      <c r="S69" s="63"/>
      <c r="T69" s="32">
        <f>R69+S69+IF(F69="Without EV deal",L69,0)</f>
        <v>2310</v>
      </c>
      <c r="U69" s="33">
        <v>1</v>
      </c>
      <c r="V69" s="34">
        <v>18.24397638423488</v>
      </c>
      <c r="W69" s="64">
        <v>61.26</v>
      </c>
      <c r="X69" s="30">
        <f>IF(AF69="DoEV",IF(AND(V69&lt;20,W69&lt;55),0.3,0)+IF(AND(V69&lt;20,W69&gt;=55,W69&lt;105),0.23,0)+IF(AND(V69&lt;20,W69&gt;=105),0.17,0)+IF(AND(V69&gt;=20,V69&lt;40,W69&lt;45),0.3,0)+IF(AND(V69&gt;=20,V69&lt;40,W69&gt;=45,W69&lt;95),0.23,0)+IF(AND(V69&gt;=20,V69&lt;40,W69&gt;=95),0.17,0)+IF(AND(V69&gt;=40,V69&lt;75,W69&lt;35),0.3,0)+IF(AND(V69&gt;=40,V69&lt;75,W69&gt;=35,W69&lt;75),0.23,0)+IF(AND(V69&gt;=40,V69&lt;75,W69&gt;=75,W69&lt;120),0.17,0)+IF(AND(V69&gt;=40,V69&lt;75,W69&gt;=120),0.12,0)+IF(AND(V69&gt;=75,V69&lt;175,W69&lt;35),0.3,0)+IF(AND(V69&gt;=75,V69&lt;=175,W69&gt;=35,W69&lt;65),0.23,0)+IF(AND(V69&gt;=75,V69&lt;=175,W69&gt;=65,W69&lt;110),0.17,0)+IF(AND(V69&gt;=75,V69&lt;=175,W69&gt;=110),0.12,0)+IF(AND(V69&gt;175,W69&lt;25),0.3,0)+IF(AND(V69&gt;175,W69&gt;=25,W69&lt;55),0.23,0)+IF(AND(V69&gt;175,W69&gt;=55,W69&lt;95),0.17,0)+IF(AND(V69&gt;175,W69&gt;=95),0.12,0),
IF(AF69="Fix15",0.15,
IF(AF69="Fix11.25",0.1125,
IF(AF69="Fix10",0.1,
IF(AF69="Fix9",0.09,
IF(AF69="DoEV2017",IF(AND(W69&lt;74),0.2,0)+IF(AND(W69&gt;=74),0.17,0),
IF(AF69="SF",IF(AND(V69&lt;20,W69&lt;89),0.3,0)+IF(AND(V69&lt;20,W69&gt;=89),0.25,0)+IF(AND(V69&gt;=20,V69&lt;40,W69&lt;74),0.3,0)+IF(AND(V69&gt;=20,V69&lt;40,W69&gt;=75),0.22,0)+IF(AND(V69&gt;=40,V69&lt;75,W69&lt;75),0.26,0)+IF(AND(V69&gt;=40,V69&lt;75,W69&gt;=75),0.22,0)+IF(V69&gt;=75,0.22,0),
IF(AF69="DoEVold",IF(AND(V69&lt;40,W69&lt;35),0.35,0)+IF(AND(V69&lt;40,W69&gt;=35,W69&lt;75),0.25,0)+IF(AND(V69&lt;40,W69&gt;=75),0.17,0)+IF(AND(V69&gt;=40,V69&lt;75,W69&lt;25),0.35,0)+IF(AND(V69&gt;=40,V69&lt;75,W69&gt;=25,W69&lt;65),0.25,0)+IF(AND(V69&gt;=40,V69&lt;75,W69&gt;=65,W69&lt;100),0.17,0)+IF(AND(V69&gt;=40,V69&lt;75,W69&gt;=100),0.1,0)+IF(AND(V69&gt;=75,W69&lt;25),0.35,0)+IF(AND(V69&gt;=75,W69&gt;=25,W69&lt;60),0.25,0)+IF(AND(V69&gt;=75,W69&gt;=60,W69&lt;95),0.17,0)+IF(AND(V69&gt;=75,W69&gt;=95),0.1,0),
IF(AF69="DoEVold15",IF(AND(V69&lt;=40,W69&lt;35),0.35,0)+IF(AND(V69&lt;=40,W69&gt;=35,W69&lt;75),0.25,0)+IF(AND(V69&lt;=40,W69&gt;=75,W69&lt;120),0.17,0)+IF(AND(V69&lt;=40,W69&gt;=120),0.15,0)+IF(AND(V69&gt;40,V69&lt;75,W69&lt;25),0.35,0)+IF(AND(V69&gt;=40,V69&lt;75,W69&gt;=25,W69&lt;65),0.25,0)+IF(AND(V69&gt;=40,V69&lt;75,W69&gt;=65,W69&lt;100),0.17,0)+IF(AND(V69&gt;=40,V69&lt;75,W69&gt;=100),0.1,0)+IF(AND(V69&gt;=75,W69&lt;25),0.35,0)+IF(AND(V69&gt;=75,W69&gt;=25,W69&lt;60),0.25,0)+IF(AND(V69&gt;=75,W69&gt;=60,W69&lt;95),0.17,0)+IF(AND(V69&gt;=75,W69&gt;=95),0.1,0),
IF(AF69="DoEVba",IF(AND(V69&lt;20,W69&lt;105),0.2,0)+IF(AND(V69&lt;20,W69&gt;=105),0.15,0)+IF(AND(V69&gt;=20,V69&lt;40,W69&lt;95),0.2,0)+IF(AND(V69&gt;=20,V69&lt;40,W69&gt;=95,W69&lt;150),0.15,0)+IF(AND(V69&gt;=20,V69&lt;40,W69&gt;=150),0.12,0)+IF(AND(V69&gt;=40,V69&lt;75,W69&lt;75),0.2,0)+IF(AND(V69&gt;=40,V69&lt;75,W69&gt;=75,W69&lt;120),0.15,0)+IF(AND(V69&gt;=40,V69&lt;75,W69&gt;=120),0.12,0)+IF(AND(V69&gt;=75,V69&lt;175,W69&lt;65),0.2,0)+IF(AND(V69&gt;=75,V69&lt;175,W69&gt;=65,W69&lt;110),0.15,0)+IF(AND(V69&gt;=75,V69&lt;175,W69&gt;=110),0.12,0)+IF(AND(V69&gt;=175,W69&lt;55),0.2,0)+IF(AND(V69&gt;=175,W69&gt;=55,W69&lt;95),0.15,0)+IF(AND(V69&gt;=175,W69&gt;=95),0.12,0),
IF(AF69="DoEVku",IF(AND(V69&lt;20,W69&lt;55),0.23,0)+IF(AND(V69&lt;20,W69&gt;=55,W69&lt;105),0.2,0)+IF(AND(V69&lt;20,W69&gt;=105),0.17,0)+IF(AND(V69&gt;=20,V69&lt;40,W69&lt;45),0.23,0)+IF(AND(V69&gt;=20,V69&lt;40,W69&gt;=45,W69&lt;95),0.2,0)+IF(AND(V69&gt;=20,V69&lt;40,W69&gt;=95,W69&lt;=150),0.17,0)+IF(AND(V69&gt;=20,V69&lt;40,W69&gt;=150),0.12,0)+IF(AND(V69&gt;=40,V69&lt;75,W69&lt;35),0.23,0)+IF(AND(V69&gt;=40,V69&lt;75,W69&gt;=35,W69&lt;75),0.2,0)+IF(AND(V69&gt;=40,V69&lt;75,W69&gt;=75,W69&lt;120),0.17,0)+IF(AND(V69&gt;=40,V69&lt;75,W69&gt;=120),0.12,0)+IF(AND(V69&gt;=75,V69&lt;175,W69&lt;35),0.23,0)+IF(AND(V69&gt;=75,V69&lt;=175,W69&gt;=35,W69&lt;65),0.2,0)+IF(AND(V69&gt;=75,V69&lt;=175,W69&gt;=65,W69&lt;110),0.17,0)+IF(AND(V69&gt;=75,V69&lt;=175,W69&gt;=110),0.12,0)+IF(AND(V69&gt;175,W69&lt;25),0.23,0)+IF(AND(V69&gt;175,W69&gt;=25,W69&lt;55),0.2,0)+IF(AND(V69&gt;175,W69&gt;=55,W69&lt;95),0.17,0)+IF(AND(V69&gt;175,W69&gt;=95),0.12,0),
IF(AF69="DoEVs1",IF(AND(V69&lt;20,W69&lt;55),0.3,0)+IF(AND(V69&lt;20,W69&gt;=55,W69&lt;105),0.23,0)+IF(AND(V69&lt;20,W69&gt;=105),0.17,0)+IF(AND(V69&gt;=20,V69&lt;40,W69&lt;45),0.3,0)+IF(AND(V69&gt;=20,V69&lt;40,W69&gt;=45,W69&lt;95),0.23,0)+IF(AND(V69&gt;=20,V69&lt;40,W69&gt;=95,W69&lt;=150),0.17,0)+IF(AND(V69&gt;=20,V69&lt;40,W69&gt;=150),0.12,0)+IF(AND(V69&gt;=40,V69&lt;75,W69&lt;35),0.3,0)+IF(AND(V69&gt;=40,V69&lt;75,W69&gt;=35,W69&lt;75),0.23,0)+IF(AND(V69&gt;=40,V69&lt;75,W69&gt;=75,W69&lt;120),0.17,0)+IF(AND(V69&gt;=40,V69&lt;75,W69&gt;=120),0.12,0)+IF(AND(V69&gt;=75,V69&lt;175,W69&lt;35),0.3,0)+IF(AND(V69&gt;=75,V69&lt;=175,W69&gt;=35,W69&lt;65),0.23,0)+IF(AND(V69&gt;=75,V69&lt;=175,W69&gt;=65,W69&lt;110),0.17,0)+IF(AND(V69&gt;=75,V69&lt;=175,W69&gt;=110),0.12,0)+IF(AND(V69&gt;175,W69&lt;25),0.3,0)+IF(AND(V69&gt;175,W69&gt;=25,W69&lt;55),0.23,0)+IF(AND(V69&gt;175,W69&gt;=55,W69&lt;95),0.17,0)+IF(AND(V69&gt;175,W69&gt;=95),0.12,0),
IF(AF69="DoEVsu",IF(AND(V69&lt;20,W69&lt;55),0.3,0)+IF(AND(V69&lt;20,W69&gt;=55,W69&lt;105),0.23,0)+IF(AND(V69&lt;20,W69&gt;=105),0.17,0)+IF(AND(V69&gt;=20,V69&lt;40,W69&lt;45),0.3,0)+IF(AND(V69&gt;=20,V69&lt;40,W69&gt;=45,W69&lt;95),0.23,0)+IF(AND(V69&gt;=20,V69&lt;40,W69&gt;=95,W69&lt;=250),0.17,0)+IF(AND(V69&gt;=20,V69&lt;40,W69&gt;=250),0.12,0)+IF(AND(V69&gt;=40,V69&lt;75,W69&lt;35),0.3,0)+IF(AND(V69&gt;=40,V69&lt;75,W69&gt;=35,W69&lt;75),0.23,0)+IF(AND(V69&gt;=40,V69&lt;75,W69&gt;=75,W69&lt;120),0.17,0)+IF(AND(V69&gt;=40,V69&lt;75,W69&gt;=120),0.12,0)+IF(AND(V69&gt;=75,V69&lt;175,W69&lt;35),0.3,0)+IF(AND(V69&gt;=75,V69&lt;=175,W69&gt;=35,W69&lt;65),0.23,0)+IF(AND(V69&gt;=75,V69&lt;=175,W69&gt;=65,W69&lt;110),0.17,0)+IF(AND(V69&gt;=75,V69&lt;=175,W69&gt;=110),0.12,0)+IF(AND(V69&gt;175,W69&lt;25),0.3,0)+IF(AND(V69&gt;175,W69&gt;=25,W69&lt;55),0.23,0)+IF(AND(V69&gt;175,W69&gt;=55,W69&lt;95),0.17,0)+IF(AND(V69&gt;175,W69&gt;=95),0.12,0),
IF(AF69="DoEVni",IF(AND(V69&lt;20,W69&lt;55),0.3,0)+IF(AND(V69&lt;20,W69&gt;=55,W69&lt;105),0.23,0)+IF(AND(V69&lt;20,W69&gt;=105),0.17,0)+IF(AND(V69&gt;=20,V69&lt;40,W69&lt;45),0.3,0)+IF(AND(V69&gt;=20,V69&lt;40,W69&gt;=45,W69&lt;95),0.23,0)+IF(AND(V69&gt;=20,V69&lt;40,W69&gt;=95,W69&lt;=200),0.17,0)+IF(AND(V69&gt;=20,V69&lt;40,W69&gt;=200),0.12,0)+IF(AND(V69&gt;=40,V69&lt;75,W69&lt;35),0.3,0)+IF(AND(V69&gt;=40,V69&lt;75,W69&gt;=35,W69&lt;75),0.23,0)+IF(AND(V69&gt;=40,V69&lt;75,W69&gt;=75,W69&lt;120),0.17,0)+IF(AND(V69&gt;=40,V69&lt;75,W69&gt;=120),0.12,0)+IF(AND(V69&gt;=75,V69&lt;175,W69&lt;35),0.3,0)+IF(AND(V69&gt;=75,V69&lt;=175,W69&gt;=35,W69&lt;65),0.23,0)+IF(AND(V69&gt;=75,V69&lt;=175,W69&gt;=65,W69&lt;110),0.17,0)+IF(AND(V69&gt;=75,V69&lt;=175,W69&gt;=110),0.12,0)+IF(AND(V69&gt;175,W69&lt;25),0.3,0)+IF(AND(V69&gt;175,W69&gt;=25,W69&lt;55),0.23,0)+IF(AND(V69&gt;175,W69&gt;=55,W69&lt;95),0.17,0)+IF(AND(V69&gt;175,W69&gt;=95),0.12,0),
IF(AF69="DoEVLo",IF(AND(V69&lt;20,W69&lt;55),0.25,0)+IF(AND(V69&lt;20,W69&gt;=55,W69&lt;105),0.2,0)+IF(AND(V69&lt;20,W69&gt;=105),0.15,0)+IF(AND(V69&gt;=20,V69&lt;40,W69&lt;45),0.25,0)+IF(AND(V69&gt;=20,V69&lt;40,W69&gt;=45,W69&lt;95),0.2,0)+IF(AND(V69&gt;=20,V69&lt;40,W69&gt;=95),0.15,0)+IF(AND(V69&gt;=40,V69&lt;75,W69&lt;35),0.25,0)+IF(AND(V69&gt;=40,V69&lt;75,W69&gt;=35,W69&lt;75),0.2,0)+IF(AND(V69&gt;=40,V69&lt;75,W69&gt;=75,W69&lt;120),0.15,0)+IF(AND(V69&gt;=40,V69&lt;75,W69&gt;=120),0.1,0)+IF(AND(V69&gt;=75,V69&lt;175,W69&lt;35),0.25,0)+IF(AND(V69&gt;=75,V69&lt;=175,W69&gt;=35,W69&lt;65),0.2,0)+IF(AND(V69&gt;=75,V69&lt;=175,W69&gt;=65,W69&lt;110),0.15,0)+IF(AND(V69&gt;=75,V69&lt;=175,W69&gt;=110),0.1,0)+IF(AND(V69&gt;175,W69&lt;25),0.25,0)+IF(AND(V69&gt;175,W69&gt;=25,W69&lt;55),0.2,0)+IF(AND(V69&gt;175,W69&gt;=55,W69&lt;95),0.15,0)+IF(AND(V69&gt;175,W69&gt;=95),0.1,0))))))))))))))))</f>
        <v>0.23</v>
      </c>
      <c r="Y69" s="30">
        <f>IF(AG69="None",0,IF(AG69="Fix5",0.05,IF(AG69="Fix3.75",0.0375,IF(AG69="Fix10",0.1,IF(AG69="Fix3",0.03,0)))))</f>
        <v>0</v>
      </c>
      <c r="Z69" s="35">
        <f>T69-AA69-AB69</f>
        <v>1778.6999999999998</v>
      </c>
      <c r="AA69" s="29">
        <f>IF(AD69="EUR",((T69-R69)*X69)*U69+(R69*X69),(T69*X69))</f>
        <v>531.30000000000007</v>
      </c>
      <c r="AB69" s="36">
        <f>IF(AD69="EUR",((T69-R69)*Y69)*U69+(R69*Y69),(T69*Y69))</f>
        <v>0</v>
      </c>
      <c r="AC69" s="37" t="b">
        <v>1</v>
      </c>
      <c r="AD69" s="37" t="s">
        <v>38</v>
      </c>
      <c r="AE69" s="37" t="s">
        <v>38</v>
      </c>
      <c r="AF69" s="37" t="str">
        <f t="array" ref="AF69">INDEX('Deal Info'!D:D, MATCH(A69,'Deal Info'!A:A, 0))</f>
        <v>DoEV</v>
      </c>
      <c r="AG69" s="38" t="str">
        <f t="array" ref="AG69">INDEX('Deal Info'!G:G, MATCH(A69,'Deal Info'!A:A, 0))</f>
        <v>None</v>
      </c>
    </row>
    <row r="70" spans="1:33" ht="14.25" hidden="1" x14ac:dyDescent="0.2">
      <c r="A70" s="18" t="str">
        <f t="array" ref="A70">IF(G70='Room Info'!$B$1, INDEX('Room Info'!$A$2:$A2446, MATCH(B70,'Room Info'!$B$2:$B2446, 0)),IF(G70='Room Info'!$C$1, INDEX('Room Info'!$A$2:$A2446, MATCH(B70,'Room Info'!$C$2:$C2446, 0)),IF(G70='Room Info'!$D$1, INDEX('Room Info'!$A$2:$A2446, MATCH(B70,'Room Info'!$D$2:$D2446, 0)),IF(G70='Room Info'!$E$1, INDEX('Room Info'!$A$2:$A2446, MATCH(B70,'Room Info'!$E$2:$E2446, 0)),IF(G70='Room Info'!$F$1, INDEX('Room Info'!$A$2:$A2446, MATCH(B70,'Room Info'!$F$2:$F2446, 0)),IF(G70='Room Info'!$H$1, INDEX('Room Info'!$A$2:$A2446, MATCH(B70,'Room Info'!$H$2:$H2446, 0)),IF(G70='Room Info'!$G$1, INDEX('Room Info'!$A$2:$A2446, MATCH(B70,'Room Info'!$G$2:$G2446, 0)))))))))</f>
        <v>prodoman</v>
      </c>
      <c r="B70" s="18" t="s">
        <v>79</v>
      </c>
      <c r="C70" s="41">
        <v>44743</v>
      </c>
      <c r="D70" s="41">
        <v>44773</v>
      </c>
      <c r="E70" s="21">
        <v>44743</v>
      </c>
      <c r="F70" s="40" t="s">
        <v>41</v>
      </c>
      <c r="G70" s="18" t="s">
        <v>80</v>
      </c>
      <c r="H70" s="23" t="s">
        <v>71</v>
      </c>
      <c r="I70" s="23" t="s">
        <v>81</v>
      </c>
      <c r="J70" s="39">
        <v>20</v>
      </c>
      <c r="K70" s="25">
        <v>7523</v>
      </c>
      <c r="L70" s="26">
        <v>-220</v>
      </c>
      <c r="M70" s="42">
        <v>6700</v>
      </c>
      <c r="N70" s="28">
        <f>K70*J70</f>
        <v>150460</v>
      </c>
      <c r="O70" s="18">
        <v>119819</v>
      </c>
      <c r="P70" s="29">
        <v>15.92702379</v>
      </c>
      <c r="Q70" s="30"/>
      <c r="R70" s="31">
        <f>M70+Q70</f>
        <v>6700</v>
      </c>
      <c r="S70" s="63"/>
      <c r="T70" s="32">
        <f>R70+S70+IF(F70="Without EV deal",L70,0)</f>
        <v>6480</v>
      </c>
      <c r="U70" s="33">
        <v>1</v>
      </c>
      <c r="V70" s="34">
        <v>20</v>
      </c>
      <c r="W70" s="34">
        <v>324</v>
      </c>
      <c r="X70" s="30">
        <f>IF(AF70="DoEV",IF(AND(V70&lt;20,W70&lt;55),0.3,0)+IF(AND(V70&lt;20,W70&gt;=55,W70&lt;105),0.23,0)+IF(AND(V70&lt;20,W70&gt;=105),0.17,0)+IF(AND(V70&gt;=20,V70&lt;40,W70&lt;45),0.3,0)+IF(AND(V70&gt;=20,V70&lt;40,W70&gt;=45,W70&lt;95),0.23,0)+IF(AND(V70&gt;=20,V70&lt;40,W70&gt;=95),0.17,0)+IF(AND(V70&gt;=40,V70&lt;75,W70&lt;35),0.3,0)+IF(AND(V70&gt;=40,V70&lt;75,W70&gt;=35,W70&lt;75),0.23,0)+IF(AND(V70&gt;=40,V70&lt;75,W70&gt;=75,W70&lt;120),0.17,0)+IF(AND(V70&gt;=40,V70&lt;75,W70&gt;=120),0.12,0)+IF(AND(V70&gt;=75,V70&lt;175,W70&lt;35),0.3,0)+IF(AND(V70&gt;=75,V70&lt;=175,W70&gt;=35,W70&lt;65),0.23,0)+IF(AND(V70&gt;=75,V70&lt;=175,W70&gt;=65,W70&lt;110),0.17,0)+IF(AND(V70&gt;=75,V70&lt;=175,W70&gt;=110),0.12,0)+IF(AND(V70&gt;175,W70&lt;25),0.3,0)+IF(AND(V70&gt;175,W70&gt;=25,W70&lt;55),0.23,0)+IF(AND(V70&gt;175,W70&gt;=55,W70&lt;95),0.17,0)+IF(AND(V70&gt;175,W70&gt;=95),0.12,0),
IF(AF70="Fix15",0.15,
IF(AF70="Fix11.25",0.1125,
IF(AF70="Fix10",0.1,
IF(AF70="Fix9",0.09,
IF(AF70="DoEV2017",IF(AND(W70&lt;74),0.2,0)+IF(AND(W70&gt;=74),0.17,0),
IF(AF70="SF",IF(AND(V70&lt;20,W70&lt;89),0.3,0)+IF(AND(V70&lt;20,W70&gt;=89),0.25,0)+IF(AND(V70&gt;=20,V70&lt;40,W70&lt;74),0.3,0)+IF(AND(V70&gt;=20,V70&lt;40,W70&gt;=75),0.22,0)+IF(AND(V70&gt;=40,V70&lt;75,W70&lt;75),0.26,0)+IF(AND(V70&gt;=40,V70&lt;75,W70&gt;=75),0.22,0)+IF(V70&gt;=75,0.22,0),
IF(AF70="DoEVold",IF(AND(V70&lt;40,W70&lt;35),0.35,0)+IF(AND(V70&lt;40,W70&gt;=35,W70&lt;75),0.25,0)+IF(AND(V70&lt;40,W70&gt;=75),0.17,0)+IF(AND(V70&gt;=40,V70&lt;75,W70&lt;25),0.35,0)+IF(AND(V70&gt;=40,V70&lt;75,W70&gt;=25,W70&lt;65),0.25,0)+IF(AND(V70&gt;=40,V70&lt;75,W70&gt;=65,W70&lt;100),0.17,0)+IF(AND(V70&gt;=40,V70&lt;75,W70&gt;=100),0.1,0)+IF(AND(V70&gt;=75,W70&lt;25),0.35,0)+IF(AND(V70&gt;=75,W70&gt;=25,W70&lt;60),0.25,0)+IF(AND(V70&gt;=75,W70&gt;=60,W70&lt;95),0.17,0)+IF(AND(V70&gt;=75,W70&gt;=95),0.1,0),
IF(AF70="DoEVold15",IF(AND(V70&lt;=40,W70&lt;35),0.35,0)+IF(AND(V70&lt;=40,W70&gt;=35,W70&lt;75),0.25,0)+IF(AND(V70&lt;=40,W70&gt;=75,W70&lt;120),0.17,0)+IF(AND(V70&lt;=40,W70&gt;=120),0.15,0)+IF(AND(V70&gt;40,V70&lt;75,W70&lt;25),0.35,0)+IF(AND(V70&gt;=40,V70&lt;75,W70&gt;=25,W70&lt;65),0.25,0)+IF(AND(V70&gt;=40,V70&lt;75,W70&gt;=65,W70&lt;100),0.17,0)+IF(AND(V70&gt;=40,V70&lt;75,W70&gt;=100),0.1,0)+IF(AND(V70&gt;=75,W70&lt;25),0.35,0)+IF(AND(V70&gt;=75,W70&gt;=25,W70&lt;60),0.25,0)+IF(AND(V70&gt;=75,W70&gt;=60,W70&lt;95),0.17,0)+IF(AND(V70&gt;=75,W70&gt;=95),0.1,0),
IF(AF70="DoEVba",IF(AND(V70&lt;20,W70&lt;105),0.2,0)+IF(AND(V70&lt;20,W70&gt;=105),0.15,0)+IF(AND(V70&gt;=20,V70&lt;40,W70&lt;95),0.2,0)+IF(AND(V70&gt;=20,V70&lt;40,W70&gt;=95,W70&lt;150),0.15,0)+IF(AND(V70&gt;=20,V70&lt;40,W70&gt;=150),0.12,0)+IF(AND(V70&gt;=40,V70&lt;75,W70&lt;75),0.2,0)+IF(AND(V70&gt;=40,V70&lt;75,W70&gt;=75,W70&lt;120),0.15,0)+IF(AND(V70&gt;=40,V70&lt;75,W70&gt;=120),0.12,0)+IF(AND(V70&gt;=75,V70&lt;175,W70&lt;65),0.2,0)+IF(AND(V70&gt;=75,V70&lt;175,W70&gt;=65,W70&lt;110),0.15,0)+IF(AND(V70&gt;=75,V70&lt;175,W70&gt;=110),0.12,0)+IF(AND(V70&gt;=175,W70&lt;55),0.2,0)+IF(AND(V70&gt;=175,W70&gt;=55,W70&lt;95),0.15,0)+IF(AND(V70&gt;=175,W70&gt;=95),0.12,0),
IF(AF70="DoEVku",IF(AND(V70&lt;20,W70&lt;55),0.23,0)+IF(AND(V70&lt;20,W70&gt;=55,W70&lt;105),0.2,0)+IF(AND(V70&lt;20,W70&gt;=105),0.17,0)+IF(AND(V70&gt;=20,V70&lt;40,W70&lt;45),0.23,0)+IF(AND(V70&gt;=20,V70&lt;40,W70&gt;=45,W70&lt;95),0.2,0)+IF(AND(V70&gt;=20,V70&lt;40,W70&gt;=95,W70&lt;=150),0.17,0)+IF(AND(V70&gt;=20,V70&lt;40,W70&gt;=150),0.12,0)+IF(AND(V70&gt;=40,V70&lt;75,W70&lt;35),0.23,0)+IF(AND(V70&gt;=40,V70&lt;75,W70&gt;=35,W70&lt;75),0.2,0)+IF(AND(V70&gt;=40,V70&lt;75,W70&gt;=75,W70&lt;120),0.17,0)+IF(AND(V70&gt;=40,V70&lt;75,W70&gt;=120),0.12,0)+IF(AND(V70&gt;=75,V70&lt;175,W70&lt;35),0.23,0)+IF(AND(V70&gt;=75,V70&lt;=175,W70&gt;=35,W70&lt;65),0.2,0)+IF(AND(V70&gt;=75,V70&lt;=175,W70&gt;=65,W70&lt;110),0.17,0)+IF(AND(V70&gt;=75,V70&lt;=175,W70&gt;=110),0.12,0)+IF(AND(V70&gt;175,W70&lt;25),0.23,0)+IF(AND(V70&gt;175,W70&gt;=25,W70&lt;55),0.2,0)+IF(AND(V70&gt;175,W70&gt;=55,W70&lt;95),0.17,0)+IF(AND(V70&gt;175,W70&gt;=95),0.12,0),
IF(AF70="DoEVs1",IF(AND(V70&lt;20,W70&lt;55),0.3,0)+IF(AND(V70&lt;20,W70&gt;=55,W70&lt;105),0.23,0)+IF(AND(V70&lt;20,W70&gt;=105),0.17,0)+IF(AND(V70&gt;=20,V70&lt;40,W70&lt;45),0.3,0)+IF(AND(V70&gt;=20,V70&lt;40,W70&gt;=45,W70&lt;95),0.23,0)+IF(AND(V70&gt;=20,V70&lt;40,W70&gt;=95,W70&lt;=150),0.17,0)+IF(AND(V70&gt;=20,V70&lt;40,W70&gt;=150),0.12,0)+IF(AND(V70&gt;=40,V70&lt;75,W70&lt;35),0.3,0)+IF(AND(V70&gt;=40,V70&lt;75,W70&gt;=35,W70&lt;75),0.23,0)+IF(AND(V70&gt;=40,V70&lt;75,W70&gt;=75,W70&lt;120),0.17,0)+IF(AND(V70&gt;=40,V70&lt;75,W70&gt;=120),0.12,0)+IF(AND(V70&gt;=75,V70&lt;175,W70&lt;35),0.3,0)+IF(AND(V70&gt;=75,V70&lt;=175,W70&gt;=35,W70&lt;65),0.23,0)+IF(AND(V70&gt;=75,V70&lt;=175,W70&gt;=65,W70&lt;110),0.17,0)+IF(AND(V70&gt;=75,V70&lt;=175,W70&gt;=110),0.12,0)+IF(AND(V70&gt;175,W70&lt;25),0.3,0)+IF(AND(V70&gt;175,W70&gt;=25,W70&lt;55),0.23,0)+IF(AND(V70&gt;175,W70&gt;=55,W70&lt;95),0.17,0)+IF(AND(V70&gt;175,W70&gt;=95),0.12,0),
IF(AF70="DoEVsu",IF(AND(V70&lt;20,W70&lt;55),0.3,0)+IF(AND(V70&lt;20,W70&gt;=55,W70&lt;105),0.23,0)+IF(AND(V70&lt;20,W70&gt;=105),0.17,0)+IF(AND(V70&gt;=20,V70&lt;40,W70&lt;45),0.3,0)+IF(AND(V70&gt;=20,V70&lt;40,W70&gt;=45,W70&lt;95),0.23,0)+IF(AND(V70&gt;=20,V70&lt;40,W70&gt;=95,W70&lt;=250),0.17,0)+IF(AND(V70&gt;=20,V70&lt;40,W70&gt;=250),0.12,0)+IF(AND(V70&gt;=40,V70&lt;75,W70&lt;35),0.3,0)+IF(AND(V70&gt;=40,V70&lt;75,W70&gt;=35,W70&lt;75),0.23,0)+IF(AND(V70&gt;=40,V70&lt;75,W70&gt;=75,W70&lt;120),0.17,0)+IF(AND(V70&gt;=40,V70&lt;75,W70&gt;=120),0.12,0)+IF(AND(V70&gt;=75,V70&lt;175,W70&lt;35),0.3,0)+IF(AND(V70&gt;=75,V70&lt;=175,W70&gt;=35,W70&lt;65),0.23,0)+IF(AND(V70&gt;=75,V70&lt;=175,W70&gt;=65,W70&lt;110),0.17,0)+IF(AND(V70&gt;=75,V70&lt;=175,W70&gt;=110),0.12,0)+IF(AND(V70&gt;175,W70&lt;25),0.3,0)+IF(AND(V70&gt;175,W70&gt;=25,W70&lt;55),0.23,0)+IF(AND(V70&gt;175,W70&gt;=55,W70&lt;95),0.17,0)+IF(AND(V70&gt;175,W70&gt;=95),0.12,0),
IF(AF70="DoEVni",IF(AND(V70&lt;20,W70&lt;55),0.3,0)+IF(AND(V70&lt;20,W70&gt;=55,W70&lt;105),0.23,0)+IF(AND(V70&lt;20,W70&gt;=105),0.17,0)+IF(AND(V70&gt;=20,V70&lt;40,W70&lt;45),0.3,0)+IF(AND(V70&gt;=20,V70&lt;40,W70&gt;=45,W70&lt;95),0.23,0)+IF(AND(V70&gt;=20,V70&lt;40,W70&gt;=95,W70&lt;=200),0.17,0)+IF(AND(V70&gt;=20,V70&lt;40,W70&gt;=200),0.12,0)+IF(AND(V70&gt;=40,V70&lt;75,W70&lt;35),0.3,0)+IF(AND(V70&gt;=40,V70&lt;75,W70&gt;=35,W70&lt;75),0.23,0)+IF(AND(V70&gt;=40,V70&lt;75,W70&gt;=75,W70&lt;120),0.17,0)+IF(AND(V70&gt;=40,V70&lt;75,W70&gt;=120),0.12,0)+IF(AND(V70&gt;=75,V70&lt;175,W70&lt;35),0.3,0)+IF(AND(V70&gt;=75,V70&lt;=175,W70&gt;=35,W70&lt;65),0.23,0)+IF(AND(V70&gt;=75,V70&lt;=175,W70&gt;=65,W70&lt;110),0.17,0)+IF(AND(V70&gt;=75,V70&lt;=175,W70&gt;=110),0.12,0)+IF(AND(V70&gt;175,W70&lt;25),0.3,0)+IF(AND(V70&gt;175,W70&gt;=25,W70&lt;55),0.23,0)+IF(AND(V70&gt;175,W70&gt;=55,W70&lt;95),0.17,0)+IF(AND(V70&gt;175,W70&gt;=95),0.12,0),
IF(AF70="DoEVLo",IF(AND(V70&lt;20,W70&lt;55),0.25,0)+IF(AND(V70&lt;20,W70&gt;=55,W70&lt;105),0.2,0)+IF(AND(V70&lt;20,W70&gt;=105),0.15,0)+IF(AND(V70&gt;=20,V70&lt;40,W70&lt;45),0.25,0)+IF(AND(V70&gt;=20,V70&lt;40,W70&gt;=45,W70&lt;95),0.2,0)+IF(AND(V70&gt;=20,V70&lt;40,W70&gt;=95),0.15,0)+IF(AND(V70&gt;=40,V70&lt;75,W70&lt;35),0.25,0)+IF(AND(V70&gt;=40,V70&lt;75,W70&gt;=35,W70&lt;75),0.2,0)+IF(AND(V70&gt;=40,V70&lt;75,W70&gt;=75,W70&lt;120),0.15,0)+IF(AND(V70&gt;=40,V70&lt;75,W70&gt;=120),0.1,0)+IF(AND(V70&gt;=75,V70&lt;175,W70&lt;35),0.25,0)+IF(AND(V70&gt;=75,V70&lt;=175,W70&gt;=35,W70&lt;65),0.2,0)+IF(AND(V70&gt;=75,V70&lt;=175,W70&gt;=65,W70&lt;110),0.15,0)+IF(AND(V70&gt;=75,V70&lt;=175,W70&gt;=110),0.1,0)+IF(AND(V70&gt;175,W70&lt;25),0.25,0)+IF(AND(V70&gt;175,W70&gt;=25,W70&lt;55),0.2,0)+IF(AND(V70&gt;175,W70&gt;=55,W70&lt;95),0.15,0)+IF(AND(V70&gt;175,W70&gt;=95),0.1,0))))))))))))))))</f>
        <v>0.17</v>
      </c>
      <c r="Y70" s="30">
        <f>IF(AG70="None",0,IF(AG70="Fix5",0.05,IF(AG70="Fix3.75",0.0375,IF(AG70="Fix10",0.1,IF(AG70="Fix3",0.03,0)))))</f>
        <v>0</v>
      </c>
      <c r="Z70" s="35">
        <f>T70-AA70-AB70</f>
        <v>5378.4</v>
      </c>
      <c r="AA70" s="29">
        <f>IF(AD70="EUR",((T70-R70)*X70)*U70+(R70*X70),(T70*X70))</f>
        <v>1101.6000000000001</v>
      </c>
      <c r="AB70" s="36">
        <f>IF(AD70="EUR",((T70-R70)*Y70)*U70+(R70*Y70),(T70*Y70))</f>
        <v>0</v>
      </c>
      <c r="AC70" s="37" t="b">
        <v>1</v>
      </c>
      <c r="AD70" s="37" t="s">
        <v>38</v>
      </c>
      <c r="AE70" s="37" t="s">
        <v>38</v>
      </c>
      <c r="AF70" s="37" t="str">
        <f t="array" ref="AF70">INDEX('Deal Info'!D:D, MATCH(A70,'Deal Info'!A:A, 0))</f>
        <v>DoEV</v>
      </c>
      <c r="AG70" s="38" t="str">
        <f t="array" ref="AG70">INDEX('Deal Info'!G:G, MATCH(A70,'Deal Info'!A:A, 0))</f>
        <v>None</v>
      </c>
    </row>
    <row r="71" spans="1:33" ht="14.25" hidden="1" x14ac:dyDescent="0.2">
      <c r="A71" s="18" t="str">
        <f t="array" ref="A71">IF(G71='Room Info'!$B$1, INDEX('Room Info'!$A$2:$A2446, MATCH(B71,'Room Info'!$B$2:$B2446, 0)),IF(G71='Room Info'!$C$1, INDEX('Room Info'!$A$2:$A2446, MATCH(B71,'Room Info'!$C$2:$C2446, 0)),IF(G71='Room Info'!$D$1, INDEX('Room Info'!$A$2:$A2446, MATCH(B71,'Room Info'!$D$2:$D2446, 0)),IF(G71='Room Info'!$E$1, INDEX('Room Info'!$A$2:$A2446, MATCH(B71,'Room Info'!$E$2:$E2446, 0)),IF(G71='Room Info'!$F$1, INDEX('Room Info'!$A$2:$A2446, MATCH(B71,'Room Info'!$F$2:$F2446, 0)),IF(G71='Room Info'!$H$1, INDEX('Room Info'!$A$2:$A2446, MATCH(B71,'Room Info'!$H$2:$H2446, 0)),IF(G71='Room Info'!$G$1, INDEX('Room Info'!$A$2:$A2446, MATCH(B71,'Room Info'!$G$2:$G2446, 0)))))))))</f>
        <v>prodoman</v>
      </c>
      <c r="B71" s="18" t="s">
        <v>79</v>
      </c>
      <c r="C71" s="41">
        <v>44774</v>
      </c>
      <c r="D71" s="41">
        <v>44804</v>
      </c>
      <c r="E71" s="21">
        <v>44774</v>
      </c>
      <c r="F71" s="40" t="s">
        <v>41</v>
      </c>
      <c r="G71" s="18" t="s">
        <v>80</v>
      </c>
      <c r="H71" s="23" t="s">
        <v>72</v>
      </c>
      <c r="I71" s="23" t="s">
        <v>81</v>
      </c>
      <c r="J71" s="39">
        <v>50</v>
      </c>
      <c r="K71" s="25">
        <v>6140</v>
      </c>
      <c r="L71" s="26">
        <v>-8250</v>
      </c>
      <c r="M71" s="42">
        <v>14957</v>
      </c>
      <c r="N71" s="28">
        <f>K71*J71</f>
        <v>307000</v>
      </c>
      <c r="O71" s="18">
        <v>40077</v>
      </c>
      <c r="P71" s="29">
        <v>6.5271986970000002</v>
      </c>
      <c r="Q71" s="30"/>
      <c r="R71" s="31">
        <f>M71+Q71</f>
        <v>14957</v>
      </c>
      <c r="S71" s="63"/>
      <c r="T71" s="32">
        <f>R71+S71+IF(F71="Without EV deal",L71,0)</f>
        <v>6707</v>
      </c>
      <c r="U71" s="33">
        <v>1</v>
      </c>
      <c r="V71" s="34">
        <v>50</v>
      </c>
      <c r="W71" s="34">
        <v>134.13999999999999</v>
      </c>
      <c r="X71" s="30">
        <f>IF(AF71="DoEV",IF(AND(V71&lt;20,W71&lt;55),0.3,0)+IF(AND(V71&lt;20,W71&gt;=55,W71&lt;105),0.23,0)+IF(AND(V71&lt;20,W71&gt;=105),0.17,0)+IF(AND(V71&gt;=20,V71&lt;40,W71&lt;45),0.3,0)+IF(AND(V71&gt;=20,V71&lt;40,W71&gt;=45,W71&lt;95),0.23,0)+IF(AND(V71&gt;=20,V71&lt;40,W71&gt;=95),0.17,0)+IF(AND(V71&gt;=40,V71&lt;75,W71&lt;35),0.3,0)+IF(AND(V71&gt;=40,V71&lt;75,W71&gt;=35,W71&lt;75),0.23,0)+IF(AND(V71&gt;=40,V71&lt;75,W71&gt;=75,W71&lt;120),0.17,0)+IF(AND(V71&gt;=40,V71&lt;75,W71&gt;=120),0.12,0)+IF(AND(V71&gt;=75,V71&lt;175,W71&lt;35),0.3,0)+IF(AND(V71&gt;=75,V71&lt;=175,W71&gt;=35,W71&lt;65),0.23,0)+IF(AND(V71&gt;=75,V71&lt;=175,W71&gt;=65,W71&lt;110),0.17,0)+IF(AND(V71&gt;=75,V71&lt;=175,W71&gt;=110),0.12,0)+IF(AND(V71&gt;175,W71&lt;25),0.3,0)+IF(AND(V71&gt;175,W71&gt;=25,W71&lt;55),0.23,0)+IF(AND(V71&gt;175,W71&gt;=55,W71&lt;95),0.17,0)+IF(AND(V71&gt;175,W71&gt;=95),0.12,0),
IF(AF71="Fix15",0.15,
IF(AF71="Fix11.25",0.1125,
IF(AF71="Fix10",0.1,
IF(AF71="Fix9",0.09,
IF(AF71="DoEV2017",IF(AND(W71&lt;74),0.2,0)+IF(AND(W71&gt;=74),0.17,0),
IF(AF71="SF",IF(AND(V71&lt;20,W71&lt;89),0.3,0)+IF(AND(V71&lt;20,W71&gt;=89),0.25,0)+IF(AND(V71&gt;=20,V71&lt;40,W71&lt;74),0.3,0)+IF(AND(V71&gt;=20,V71&lt;40,W71&gt;=75),0.22,0)+IF(AND(V71&gt;=40,V71&lt;75,W71&lt;75),0.26,0)+IF(AND(V71&gt;=40,V71&lt;75,W71&gt;=75),0.22,0)+IF(V71&gt;=75,0.22,0),
IF(AF71="DoEVold",IF(AND(V71&lt;40,W71&lt;35),0.35,0)+IF(AND(V71&lt;40,W71&gt;=35,W71&lt;75),0.25,0)+IF(AND(V71&lt;40,W71&gt;=75),0.17,0)+IF(AND(V71&gt;=40,V71&lt;75,W71&lt;25),0.35,0)+IF(AND(V71&gt;=40,V71&lt;75,W71&gt;=25,W71&lt;65),0.25,0)+IF(AND(V71&gt;=40,V71&lt;75,W71&gt;=65,W71&lt;100),0.17,0)+IF(AND(V71&gt;=40,V71&lt;75,W71&gt;=100),0.1,0)+IF(AND(V71&gt;=75,W71&lt;25),0.35,0)+IF(AND(V71&gt;=75,W71&gt;=25,W71&lt;60),0.25,0)+IF(AND(V71&gt;=75,W71&gt;=60,W71&lt;95),0.17,0)+IF(AND(V71&gt;=75,W71&gt;=95),0.1,0),
IF(AF71="DoEVold15",IF(AND(V71&lt;=40,W71&lt;35),0.35,0)+IF(AND(V71&lt;=40,W71&gt;=35,W71&lt;75),0.25,0)+IF(AND(V71&lt;=40,W71&gt;=75,W71&lt;120),0.17,0)+IF(AND(V71&lt;=40,W71&gt;=120),0.15,0)+IF(AND(V71&gt;40,V71&lt;75,W71&lt;25),0.35,0)+IF(AND(V71&gt;=40,V71&lt;75,W71&gt;=25,W71&lt;65),0.25,0)+IF(AND(V71&gt;=40,V71&lt;75,W71&gt;=65,W71&lt;100),0.17,0)+IF(AND(V71&gt;=40,V71&lt;75,W71&gt;=100),0.1,0)+IF(AND(V71&gt;=75,W71&lt;25),0.35,0)+IF(AND(V71&gt;=75,W71&gt;=25,W71&lt;60),0.25,0)+IF(AND(V71&gt;=75,W71&gt;=60,W71&lt;95),0.17,0)+IF(AND(V71&gt;=75,W71&gt;=95),0.1,0),
IF(AF71="DoEVba",IF(AND(V71&lt;20,W71&lt;105),0.2,0)+IF(AND(V71&lt;20,W71&gt;=105),0.15,0)+IF(AND(V71&gt;=20,V71&lt;40,W71&lt;95),0.2,0)+IF(AND(V71&gt;=20,V71&lt;40,W71&gt;=95,W71&lt;150),0.15,0)+IF(AND(V71&gt;=20,V71&lt;40,W71&gt;=150),0.12,0)+IF(AND(V71&gt;=40,V71&lt;75,W71&lt;75),0.2,0)+IF(AND(V71&gt;=40,V71&lt;75,W71&gt;=75,W71&lt;120),0.15,0)+IF(AND(V71&gt;=40,V71&lt;75,W71&gt;=120),0.12,0)+IF(AND(V71&gt;=75,V71&lt;175,W71&lt;65),0.2,0)+IF(AND(V71&gt;=75,V71&lt;175,W71&gt;=65,W71&lt;110),0.15,0)+IF(AND(V71&gt;=75,V71&lt;175,W71&gt;=110),0.12,0)+IF(AND(V71&gt;=175,W71&lt;55),0.2,0)+IF(AND(V71&gt;=175,W71&gt;=55,W71&lt;95),0.15,0)+IF(AND(V71&gt;=175,W71&gt;=95),0.12,0),
IF(AF71="DoEVku",IF(AND(V71&lt;20,W71&lt;55),0.23,0)+IF(AND(V71&lt;20,W71&gt;=55,W71&lt;105),0.2,0)+IF(AND(V71&lt;20,W71&gt;=105),0.17,0)+IF(AND(V71&gt;=20,V71&lt;40,W71&lt;45),0.23,0)+IF(AND(V71&gt;=20,V71&lt;40,W71&gt;=45,W71&lt;95),0.2,0)+IF(AND(V71&gt;=20,V71&lt;40,W71&gt;=95,W71&lt;=150),0.17,0)+IF(AND(V71&gt;=20,V71&lt;40,W71&gt;=150),0.12,0)+IF(AND(V71&gt;=40,V71&lt;75,W71&lt;35),0.23,0)+IF(AND(V71&gt;=40,V71&lt;75,W71&gt;=35,W71&lt;75),0.2,0)+IF(AND(V71&gt;=40,V71&lt;75,W71&gt;=75,W71&lt;120),0.17,0)+IF(AND(V71&gt;=40,V71&lt;75,W71&gt;=120),0.12,0)+IF(AND(V71&gt;=75,V71&lt;175,W71&lt;35),0.23,0)+IF(AND(V71&gt;=75,V71&lt;=175,W71&gt;=35,W71&lt;65),0.2,0)+IF(AND(V71&gt;=75,V71&lt;=175,W71&gt;=65,W71&lt;110),0.17,0)+IF(AND(V71&gt;=75,V71&lt;=175,W71&gt;=110),0.12,0)+IF(AND(V71&gt;175,W71&lt;25),0.23,0)+IF(AND(V71&gt;175,W71&gt;=25,W71&lt;55),0.2,0)+IF(AND(V71&gt;175,W71&gt;=55,W71&lt;95),0.17,0)+IF(AND(V71&gt;175,W71&gt;=95),0.12,0),
IF(AF71="DoEVs1",IF(AND(V71&lt;20,W71&lt;55),0.3,0)+IF(AND(V71&lt;20,W71&gt;=55,W71&lt;105),0.23,0)+IF(AND(V71&lt;20,W71&gt;=105),0.17,0)+IF(AND(V71&gt;=20,V71&lt;40,W71&lt;45),0.3,0)+IF(AND(V71&gt;=20,V71&lt;40,W71&gt;=45,W71&lt;95),0.23,0)+IF(AND(V71&gt;=20,V71&lt;40,W71&gt;=95,W71&lt;=150),0.17,0)+IF(AND(V71&gt;=20,V71&lt;40,W71&gt;=150),0.12,0)+IF(AND(V71&gt;=40,V71&lt;75,W71&lt;35),0.3,0)+IF(AND(V71&gt;=40,V71&lt;75,W71&gt;=35,W71&lt;75),0.23,0)+IF(AND(V71&gt;=40,V71&lt;75,W71&gt;=75,W71&lt;120),0.17,0)+IF(AND(V71&gt;=40,V71&lt;75,W71&gt;=120),0.12,0)+IF(AND(V71&gt;=75,V71&lt;175,W71&lt;35),0.3,0)+IF(AND(V71&gt;=75,V71&lt;=175,W71&gt;=35,W71&lt;65),0.23,0)+IF(AND(V71&gt;=75,V71&lt;=175,W71&gt;=65,W71&lt;110),0.17,0)+IF(AND(V71&gt;=75,V71&lt;=175,W71&gt;=110),0.12,0)+IF(AND(V71&gt;175,W71&lt;25),0.3,0)+IF(AND(V71&gt;175,W71&gt;=25,W71&lt;55),0.23,0)+IF(AND(V71&gt;175,W71&gt;=55,W71&lt;95),0.17,0)+IF(AND(V71&gt;175,W71&gt;=95),0.12,0),
IF(AF71="DoEVsu",IF(AND(V71&lt;20,W71&lt;55),0.3,0)+IF(AND(V71&lt;20,W71&gt;=55,W71&lt;105),0.23,0)+IF(AND(V71&lt;20,W71&gt;=105),0.17,0)+IF(AND(V71&gt;=20,V71&lt;40,W71&lt;45),0.3,0)+IF(AND(V71&gt;=20,V71&lt;40,W71&gt;=45,W71&lt;95),0.23,0)+IF(AND(V71&gt;=20,V71&lt;40,W71&gt;=95,W71&lt;=250),0.17,0)+IF(AND(V71&gt;=20,V71&lt;40,W71&gt;=250),0.12,0)+IF(AND(V71&gt;=40,V71&lt;75,W71&lt;35),0.3,0)+IF(AND(V71&gt;=40,V71&lt;75,W71&gt;=35,W71&lt;75),0.23,0)+IF(AND(V71&gt;=40,V71&lt;75,W71&gt;=75,W71&lt;120),0.17,0)+IF(AND(V71&gt;=40,V71&lt;75,W71&gt;=120),0.12,0)+IF(AND(V71&gt;=75,V71&lt;175,W71&lt;35),0.3,0)+IF(AND(V71&gt;=75,V71&lt;=175,W71&gt;=35,W71&lt;65),0.23,0)+IF(AND(V71&gt;=75,V71&lt;=175,W71&gt;=65,W71&lt;110),0.17,0)+IF(AND(V71&gt;=75,V71&lt;=175,W71&gt;=110),0.12,0)+IF(AND(V71&gt;175,W71&lt;25),0.3,0)+IF(AND(V71&gt;175,W71&gt;=25,W71&lt;55),0.23,0)+IF(AND(V71&gt;175,W71&gt;=55,W71&lt;95),0.17,0)+IF(AND(V71&gt;175,W71&gt;=95),0.12,0),
IF(AF71="DoEVni",IF(AND(V71&lt;20,W71&lt;55),0.3,0)+IF(AND(V71&lt;20,W71&gt;=55,W71&lt;105),0.23,0)+IF(AND(V71&lt;20,W71&gt;=105),0.17,0)+IF(AND(V71&gt;=20,V71&lt;40,W71&lt;45),0.3,0)+IF(AND(V71&gt;=20,V71&lt;40,W71&gt;=45,W71&lt;95),0.23,0)+IF(AND(V71&gt;=20,V71&lt;40,W71&gt;=95,W71&lt;=200),0.17,0)+IF(AND(V71&gt;=20,V71&lt;40,W71&gt;=200),0.12,0)+IF(AND(V71&gt;=40,V71&lt;75,W71&lt;35),0.3,0)+IF(AND(V71&gt;=40,V71&lt;75,W71&gt;=35,W71&lt;75),0.23,0)+IF(AND(V71&gt;=40,V71&lt;75,W71&gt;=75,W71&lt;120),0.17,0)+IF(AND(V71&gt;=40,V71&lt;75,W71&gt;=120),0.12,0)+IF(AND(V71&gt;=75,V71&lt;175,W71&lt;35),0.3,0)+IF(AND(V71&gt;=75,V71&lt;=175,W71&gt;=35,W71&lt;65),0.23,0)+IF(AND(V71&gt;=75,V71&lt;=175,W71&gt;=65,W71&lt;110),0.17,0)+IF(AND(V71&gt;=75,V71&lt;=175,W71&gt;=110),0.12,0)+IF(AND(V71&gt;175,W71&lt;25),0.3,0)+IF(AND(V71&gt;175,W71&gt;=25,W71&lt;55),0.23,0)+IF(AND(V71&gt;175,W71&gt;=55,W71&lt;95),0.17,0)+IF(AND(V71&gt;175,W71&gt;=95),0.12,0),
IF(AF71="DoEVLo",IF(AND(V71&lt;20,W71&lt;55),0.25,0)+IF(AND(V71&lt;20,W71&gt;=55,W71&lt;105),0.2,0)+IF(AND(V71&lt;20,W71&gt;=105),0.15,0)+IF(AND(V71&gt;=20,V71&lt;40,W71&lt;45),0.25,0)+IF(AND(V71&gt;=20,V71&lt;40,W71&gt;=45,W71&lt;95),0.2,0)+IF(AND(V71&gt;=20,V71&lt;40,W71&gt;=95),0.15,0)+IF(AND(V71&gt;=40,V71&lt;75,W71&lt;35),0.25,0)+IF(AND(V71&gt;=40,V71&lt;75,W71&gt;=35,W71&lt;75),0.2,0)+IF(AND(V71&gt;=40,V71&lt;75,W71&gt;=75,W71&lt;120),0.15,0)+IF(AND(V71&gt;=40,V71&lt;75,W71&gt;=120),0.1,0)+IF(AND(V71&gt;=75,V71&lt;175,W71&lt;35),0.25,0)+IF(AND(V71&gt;=75,V71&lt;=175,W71&gt;=35,W71&lt;65),0.2,0)+IF(AND(V71&gt;=75,V71&lt;=175,W71&gt;=65,W71&lt;110),0.15,0)+IF(AND(V71&gt;=75,V71&lt;=175,W71&gt;=110),0.1,0)+IF(AND(V71&gt;175,W71&lt;25),0.25,0)+IF(AND(V71&gt;175,W71&gt;=25,W71&lt;55),0.2,0)+IF(AND(V71&gt;175,W71&gt;=55,W71&lt;95),0.15,0)+IF(AND(V71&gt;175,W71&gt;=95),0.1,0))))))))))))))))</f>
        <v>0.12</v>
      </c>
      <c r="Y71" s="30">
        <f>IF(AG71="None",0,IF(AG71="Fix5",0.05,IF(AG71="Fix3.75",0.0375,IF(AG71="Fix10",0.1,IF(AG71="Fix3",0.03,0)))))</f>
        <v>0</v>
      </c>
      <c r="Z71" s="35">
        <f>T71-AA71-AB71</f>
        <v>5902.16</v>
      </c>
      <c r="AA71" s="29">
        <f>IF(AD71="EUR",((T71-R71)*X71)*U71+(R71*X71),(T71*X71))</f>
        <v>804.83999999999992</v>
      </c>
      <c r="AB71" s="36">
        <f>IF(AD71="EUR",((T71-R71)*Y71)*U71+(R71*Y71),(T71*Y71))</f>
        <v>0</v>
      </c>
      <c r="AC71" s="37" t="b">
        <v>1</v>
      </c>
      <c r="AD71" s="37" t="s">
        <v>38</v>
      </c>
      <c r="AE71" s="37" t="s">
        <v>38</v>
      </c>
      <c r="AF71" s="37" t="str">
        <f t="array" ref="AF71">INDEX('Deal Info'!D:D, MATCH(A71,'Deal Info'!A:A, 0))</f>
        <v>DoEV</v>
      </c>
      <c r="AG71" s="38" t="str">
        <f t="array" ref="AG71">INDEX('Deal Info'!G:G, MATCH(A71,'Deal Info'!A:A, 0))</f>
        <v>None</v>
      </c>
    </row>
    <row r="72" spans="1:33" ht="14.25" hidden="1" x14ac:dyDescent="0.2">
      <c r="A72" s="18" t="str">
        <f t="array" ref="A72">IF(G72='Room Info'!$B$1, INDEX('Room Info'!$A$2:$A2446, MATCH(B72,'Room Info'!$B$2:$B2446, 0)),IF(G72='Room Info'!$C$1, INDEX('Room Info'!$A$2:$A2446, MATCH(B72,'Room Info'!$C$2:$C2446, 0)),IF(G72='Room Info'!$D$1, INDEX('Room Info'!$A$2:$A2446, MATCH(B72,'Room Info'!$D$2:$D2446, 0)),IF(G72='Room Info'!$E$1, INDEX('Room Info'!$A$2:$A2446, MATCH(B72,'Room Info'!$E$2:$E2446, 0)),IF(G72='Room Info'!$F$1, INDEX('Room Info'!$A$2:$A2446, MATCH(B72,'Room Info'!$F$2:$F2446, 0)),IF(G72='Room Info'!$H$1, INDEX('Room Info'!$A$2:$A2446, MATCH(B72,'Room Info'!$H$2:$H2446, 0)),IF(G72='Room Info'!$G$1, INDEX('Room Info'!$A$2:$A2446, MATCH(B72,'Room Info'!$G$2:$G2446, 0)))))))))</f>
        <v>prodoman</v>
      </c>
      <c r="B72" s="18" t="s">
        <v>79</v>
      </c>
      <c r="C72" s="41">
        <v>44805</v>
      </c>
      <c r="D72" s="41">
        <v>44834</v>
      </c>
      <c r="E72" s="21">
        <v>44805</v>
      </c>
      <c r="F72" s="40" t="s">
        <v>41</v>
      </c>
      <c r="G72" s="18" t="s">
        <v>80</v>
      </c>
      <c r="H72" s="23" t="s">
        <v>71</v>
      </c>
      <c r="I72" s="23" t="s">
        <v>81</v>
      </c>
      <c r="J72" s="39">
        <v>20</v>
      </c>
      <c r="K72" s="25">
        <v>7000</v>
      </c>
      <c r="L72" s="26">
        <v>-10295</v>
      </c>
      <c r="M72" s="42"/>
      <c r="N72" s="28">
        <f>K72*J72</f>
        <v>140000</v>
      </c>
      <c r="O72" s="18"/>
      <c r="P72" s="29">
        <v>0</v>
      </c>
      <c r="Q72" s="30"/>
      <c r="R72" s="31">
        <f>M72+Q72</f>
        <v>0</v>
      </c>
      <c r="S72" s="63"/>
      <c r="T72" s="32">
        <f>R72+S72+IF(F72="Without EV deal",L72,0)</f>
        <v>-10295</v>
      </c>
      <c r="U72" s="33">
        <v>1</v>
      </c>
      <c r="V72" s="34">
        <v>20</v>
      </c>
      <c r="W72" s="64">
        <v>12.82</v>
      </c>
      <c r="X72" s="30">
        <v>0.3</v>
      </c>
      <c r="Y72" s="30">
        <f>IF(AG72="None",0,IF(AG72="Fix5",0.05,IF(AG72="Fix3.75",0.0375,IF(AG72="Fix10",0.1,IF(AG72="Fix3",0.03,0)))))</f>
        <v>0</v>
      </c>
      <c r="Z72" s="35">
        <f>T72-AA72-AB72</f>
        <v>-7206.5</v>
      </c>
      <c r="AA72" s="29">
        <f>IF(AD72="EUR",((T72-R72)*X72)*U72+(R72*X72),(T72*X72))</f>
        <v>-3088.5</v>
      </c>
      <c r="AB72" s="36">
        <f>IF(AD72="EUR",((T72-R72)*Y72)*U72+(R72*Y72),(T72*Y72))</f>
        <v>0</v>
      </c>
      <c r="AC72" s="37" t="b">
        <v>0</v>
      </c>
      <c r="AD72" s="37" t="s">
        <v>38</v>
      </c>
      <c r="AE72" s="37" t="s">
        <v>38</v>
      </c>
      <c r="AF72" s="37" t="str">
        <f t="array" ref="AF72">INDEX('Deal Info'!D:D, MATCH(A72,'Deal Info'!A:A, 0))</f>
        <v>DoEV</v>
      </c>
      <c r="AG72" s="38" t="str">
        <f t="array" ref="AG72">INDEX('Deal Info'!G:G, MATCH(A72,'Deal Info'!A:A, 0))</f>
        <v>None</v>
      </c>
    </row>
    <row r="73" spans="1:33" ht="14.25" hidden="1" x14ac:dyDescent="0.2">
      <c r="A73" s="18" t="str">
        <f t="array" ref="A73">IF(G73='Room Info'!$B$1, INDEX('Room Info'!$A$2:$A2446, MATCH(B73,'Room Info'!$B$2:$B2446, 0)),IF(G73='Room Info'!$C$1, INDEX('Room Info'!$A$2:$A2446, MATCH(B73,'Room Info'!$C$2:$C2446, 0)),IF(G73='Room Info'!$D$1, INDEX('Room Info'!$A$2:$A2446, MATCH(B73,'Room Info'!$D$2:$D2446, 0)),IF(G73='Room Info'!$E$1, INDEX('Room Info'!$A$2:$A2446, MATCH(B73,'Room Info'!$E$2:$E2446, 0)),IF(G73='Room Info'!$F$1, INDEX('Room Info'!$A$2:$A2446, MATCH(B73,'Room Info'!$F$2:$F2446, 0)),IF(G73='Room Info'!$H$1, INDEX('Room Info'!$A$2:$A2446, MATCH(B73,'Room Info'!$H$2:$H2446, 0)),IF(G73='Room Info'!$G$1, INDEX('Room Info'!$A$2:$A2446, MATCH(B73,'Room Info'!$G$2:$G2446, 0)))))))))</f>
        <v>prodoman</v>
      </c>
      <c r="B73" s="18" t="s">
        <v>79</v>
      </c>
      <c r="C73" s="41">
        <v>44835</v>
      </c>
      <c r="D73" s="41">
        <v>44865</v>
      </c>
      <c r="E73" s="21">
        <v>44835</v>
      </c>
      <c r="F73" s="40" t="s">
        <v>41</v>
      </c>
      <c r="G73" s="18" t="s">
        <v>80</v>
      </c>
      <c r="H73" s="23" t="s">
        <v>71</v>
      </c>
      <c r="I73" s="23" t="s">
        <v>81</v>
      </c>
      <c r="J73" s="39">
        <v>20</v>
      </c>
      <c r="K73" s="25">
        <v>7714</v>
      </c>
      <c r="L73" s="26">
        <v>-4500</v>
      </c>
      <c r="M73" s="42">
        <v>8099</v>
      </c>
      <c r="N73" s="28">
        <f>K73*J73</f>
        <v>154280</v>
      </c>
      <c r="O73" s="18">
        <v>108010</v>
      </c>
      <c r="P73" s="29">
        <v>14.00181488</v>
      </c>
      <c r="Q73" s="30"/>
      <c r="R73" s="31">
        <f>M73+Q73</f>
        <v>8099</v>
      </c>
      <c r="S73" s="63"/>
      <c r="T73" s="32">
        <f>R73+S73+IF(F73="Without EV deal",L73,0)</f>
        <v>3599</v>
      </c>
      <c r="U73" s="33">
        <v>1</v>
      </c>
      <c r="V73" s="34">
        <v>20</v>
      </c>
      <c r="W73" s="64">
        <v>12.82</v>
      </c>
      <c r="X73" s="30">
        <v>0.3</v>
      </c>
      <c r="Y73" s="30">
        <f>IF(AG73="None",0,IF(AG73="Fix5",0.05,IF(AG73="Fix3.75",0.0375,IF(AG73="Fix10",0.1,IF(AG73="Fix3",0.03,0)))))</f>
        <v>0</v>
      </c>
      <c r="Z73" s="35">
        <f>T73-AA73-AB73</f>
        <v>2519.3000000000002</v>
      </c>
      <c r="AA73" s="29">
        <f>IF(AD73="EUR",((T73-R73)*X73)*U73+(R73*X73),(T73*X73))</f>
        <v>1079.7</v>
      </c>
      <c r="AB73" s="36">
        <f>IF(AD73="EUR",((T73-R73)*Y73)*U73+(R73*Y73),(T73*Y73))</f>
        <v>0</v>
      </c>
      <c r="AC73" s="37" t="b">
        <v>0</v>
      </c>
      <c r="AD73" s="37" t="s">
        <v>38</v>
      </c>
      <c r="AE73" s="37" t="s">
        <v>38</v>
      </c>
      <c r="AF73" s="37" t="str">
        <f t="array" ref="AF73">INDEX('Deal Info'!D:D, MATCH(A73,'Deal Info'!A:A, 0))</f>
        <v>DoEV</v>
      </c>
      <c r="AG73" s="38" t="str">
        <f t="array" ref="AG73">INDEX('Deal Info'!G:G, MATCH(A73,'Deal Info'!A:A, 0))</f>
        <v>None</v>
      </c>
    </row>
    <row r="74" spans="1:33" ht="14.25" hidden="1" x14ac:dyDescent="0.2">
      <c r="A74" s="18" t="str">
        <f t="array" ref="A74">IF(G74='Room Info'!$B$1, INDEX('Room Info'!$A$2:$A2446, MATCH(B74,'Room Info'!$B$2:$B2446, 0)),IF(G74='Room Info'!$C$1, INDEX('Room Info'!$A$2:$A2446, MATCH(B74,'Room Info'!$C$2:$C2446, 0)),IF(G74='Room Info'!$D$1, INDEX('Room Info'!$A$2:$A2446, MATCH(B74,'Room Info'!$D$2:$D2446, 0)),IF(G74='Room Info'!$E$1, INDEX('Room Info'!$A$2:$A2446, MATCH(B74,'Room Info'!$E$2:$E2446, 0)),IF(G74='Room Info'!$F$1, INDEX('Room Info'!$A$2:$A2446, MATCH(B74,'Room Info'!$F$2:$F2446, 0)),IF(G74='Room Info'!$H$1, INDEX('Room Info'!$A$2:$A2446, MATCH(B74,'Room Info'!$H$2:$H2446, 0)),IF(G74='Room Info'!$G$1, INDEX('Room Info'!$A$2:$A2446, MATCH(B74,'Room Info'!$G$2:$G2446, 0)))))))))</f>
        <v>prodoman</v>
      </c>
      <c r="B74" s="18" t="s">
        <v>79</v>
      </c>
      <c r="C74" s="41">
        <v>44866</v>
      </c>
      <c r="D74" s="41">
        <v>44895</v>
      </c>
      <c r="E74" s="21">
        <v>44866</v>
      </c>
      <c r="F74" s="40" t="s">
        <v>41</v>
      </c>
      <c r="G74" s="18" t="s">
        <v>80</v>
      </c>
      <c r="H74" s="23" t="s">
        <v>71</v>
      </c>
      <c r="I74" s="23" t="s">
        <v>81</v>
      </c>
      <c r="J74" s="39">
        <v>20</v>
      </c>
      <c r="K74" s="25">
        <v>6917</v>
      </c>
      <c r="L74" s="26">
        <v>500</v>
      </c>
      <c r="M74" s="42">
        <v>6965</v>
      </c>
      <c r="N74" s="28">
        <f>K74*J74</f>
        <v>138340</v>
      </c>
      <c r="O74" s="18">
        <v>142685</v>
      </c>
      <c r="P74" s="29">
        <v>20.628162499999998</v>
      </c>
      <c r="Q74" s="30"/>
      <c r="R74" s="31">
        <f>M74+Q74</f>
        <v>6965</v>
      </c>
      <c r="S74" s="63"/>
      <c r="T74" s="32">
        <f>R74+S74+IF(F74="Without EV deal",L74,0)</f>
        <v>7465</v>
      </c>
      <c r="U74" s="33">
        <v>1</v>
      </c>
      <c r="V74" s="34">
        <v>20</v>
      </c>
      <c r="W74" s="64">
        <v>12.82</v>
      </c>
      <c r="X74" s="30">
        <v>0.3</v>
      </c>
      <c r="Y74" s="30">
        <f>IF(AG74="None",0,IF(AG74="Fix5",0.05,IF(AG74="Fix3.75",0.0375,IF(AG74="Fix10",0.1,IF(AG74="Fix3",0.03,0)))))</f>
        <v>0</v>
      </c>
      <c r="Z74" s="35">
        <f>T74-AA74-AB74</f>
        <v>5225.5</v>
      </c>
      <c r="AA74" s="29">
        <f>IF(AD74="EUR",((T74-R74)*X74)*U74+(R74*X74),(T74*X74))</f>
        <v>2239.5</v>
      </c>
      <c r="AB74" s="36">
        <f>IF(AD74="EUR",((T74-R74)*Y74)*U74+(R74*Y74),(T74*Y74))</f>
        <v>0</v>
      </c>
      <c r="AC74" s="37" t="b">
        <v>0</v>
      </c>
      <c r="AD74" s="37" t="s">
        <v>38</v>
      </c>
      <c r="AE74" s="37" t="s">
        <v>38</v>
      </c>
      <c r="AF74" s="37" t="str">
        <f t="array" ref="AF74">INDEX('Deal Info'!D:D, MATCH(A74,'Deal Info'!A:A, 0))</f>
        <v>DoEV</v>
      </c>
      <c r="AG74" s="38" t="str">
        <f t="array" ref="AG74">INDEX('Deal Info'!G:G, MATCH(A74,'Deal Info'!A:A, 0))</f>
        <v>None</v>
      </c>
    </row>
    <row r="75" spans="1:33" ht="14.25" hidden="1" x14ac:dyDescent="0.2">
      <c r="A75" s="18" t="str">
        <f t="array" ref="A75">IF(G75='Room Info'!$B$1, INDEX('Room Info'!$A$2:$A2446, MATCH(B75,'Room Info'!$B$2:$B2446, 0)),IF(G75='Room Info'!$C$1, INDEX('Room Info'!$A$2:$A2446, MATCH(B75,'Room Info'!$C$2:$C2446, 0)),IF(G75='Room Info'!$D$1, INDEX('Room Info'!$A$2:$A2446, MATCH(B75,'Room Info'!$D$2:$D2446, 0)),IF(G75='Room Info'!$E$1, INDEX('Room Info'!$A$2:$A2446, MATCH(B75,'Room Info'!$E$2:$E2446, 0)),IF(G75='Room Info'!$F$1, INDEX('Room Info'!$A$2:$A2446, MATCH(B75,'Room Info'!$F$2:$F2446, 0)),IF(G75='Room Info'!$H$1, INDEX('Room Info'!$A$2:$A2446, MATCH(B75,'Room Info'!$H$2:$H2446, 0)),IF(G75='Room Info'!$G$1, INDEX('Room Info'!$A$2:$A2446, MATCH(B75,'Room Info'!$G$2:$G2446, 0)))))))))</f>
        <v>prodoman</v>
      </c>
      <c r="B75" s="18" t="s">
        <v>79</v>
      </c>
      <c r="C75" s="41">
        <v>44896</v>
      </c>
      <c r="D75" s="41">
        <v>44926</v>
      </c>
      <c r="E75" s="21">
        <v>44896</v>
      </c>
      <c r="F75" s="40" t="s">
        <v>41</v>
      </c>
      <c r="G75" s="18" t="s">
        <v>80</v>
      </c>
      <c r="H75" s="23" t="s">
        <v>71</v>
      </c>
      <c r="I75" s="23" t="s">
        <v>81</v>
      </c>
      <c r="J75" s="39">
        <v>20</v>
      </c>
      <c r="K75" s="25">
        <v>4098</v>
      </c>
      <c r="L75" s="26">
        <v>-1220</v>
      </c>
      <c r="M75" s="42">
        <v>3734</v>
      </c>
      <c r="N75" s="28">
        <f>K75*J75</f>
        <v>81960</v>
      </c>
      <c r="O75" s="18">
        <v>68536</v>
      </c>
      <c r="P75" s="29">
        <v>16.724255729999999</v>
      </c>
      <c r="Q75" s="30"/>
      <c r="R75" s="31">
        <f>M75+Q75</f>
        <v>3734</v>
      </c>
      <c r="S75" s="63"/>
      <c r="T75" s="32">
        <f>R75+S75+IF(F75="Without EV deal",L75,0)</f>
        <v>2514</v>
      </c>
      <c r="U75" s="33">
        <v>1</v>
      </c>
      <c r="V75" s="34">
        <v>30.912901723334887</v>
      </c>
      <c r="W75" s="34">
        <v>100.31410275726985</v>
      </c>
      <c r="X75" s="30">
        <v>0.17</v>
      </c>
      <c r="Y75" s="30">
        <f>IF(AG75="None",0,IF(AG75="Fix5",0.05,IF(AG75="Fix3.75",0.0375,IF(AG75="Fix10",0.1,IF(AG75="Fix3",0.03,0)))))</f>
        <v>0</v>
      </c>
      <c r="Z75" s="35">
        <f>T75-AA75-AB75</f>
        <v>2086.62</v>
      </c>
      <c r="AA75" s="29">
        <f>IF(AD75="EUR",((T75-R75)*X75)*U75+(R75*X75),(T75*X75))</f>
        <v>427.38000000000005</v>
      </c>
      <c r="AB75" s="36">
        <f>IF(AD75="EUR",((T75-R75)*Y75)*U75+(R75*Y75),(T75*Y75))</f>
        <v>0</v>
      </c>
      <c r="AC75" s="37" t="b">
        <v>0</v>
      </c>
      <c r="AD75" s="37" t="s">
        <v>38</v>
      </c>
      <c r="AE75" s="37" t="s">
        <v>38</v>
      </c>
      <c r="AF75" s="37" t="str">
        <f t="array" ref="AF75">INDEX('Deal Info'!D:D, MATCH(A75,'Deal Info'!A:A, 0))</f>
        <v>DoEV</v>
      </c>
      <c r="AG75" s="38" t="str">
        <f t="array" ref="AG75">INDEX('Deal Info'!G:G, MATCH(A75,'Deal Info'!A:A, 0))</f>
        <v>None</v>
      </c>
    </row>
    <row r="76" spans="1:33" ht="14.25" hidden="1" x14ac:dyDescent="0.2">
      <c r="A76" s="18" t="str">
        <f t="array" ref="A76">IF(G76='Room Info'!$B$1, INDEX('Room Info'!$A$2:$A2446, MATCH(B76,'Room Info'!$B$2:$B2446, 0)),IF(G76='Room Info'!$C$1, INDEX('Room Info'!$A$2:$A2446, MATCH(B76,'Room Info'!$C$2:$C2446, 0)),IF(G76='Room Info'!$D$1, INDEX('Room Info'!$A$2:$A2446, MATCH(B76,'Room Info'!$D$2:$D2446, 0)),IF(G76='Room Info'!$E$1, INDEX('Room Info'!$A$2:$A2446, MATCH(B76,'Room Info'!$E$2:$E2446, 0)),IF(G76='Room Info'!$F$1, INDEX('Room Info'!$A$2:$A2446, MATCH(B76,'Room Info'!$F$2:$F2446, 0)),IF(G76='Room Info'!$H$1, INDEX('Room Info'!$A$2:$A2446, MATCH(B76,'Room Info'!$H$2:$H2446, 0)),IF(G76='Room Info'!$G$1, INDEX('Room Info'!$A$2:$A2446, MATCH(B76,'Room Info'!$G$2:$G2446, 0)))))))))</f>
        <v>prodoman</v>
      </c>
      <c r="B76" s="18" t="s">
        <v>79</v>
      </c>
      <c r="C76" s="41">
        <v>44896</v>
      </c>
      <c r="D76" s="41">
        <v>44926</v>
      </c>
      <c r="E76" s="21">
        <v>44896</v>
      </c>
      <c r="F76" s="40" t="s">
        <v>41</v>
      </c>
      <c r="G76" s="18" t="s">
        <v>80</v>
      </c>
      <c r="H76" s="23" t="s">
        <v>72</v>
      </c>
      <c r="I76" s="23" t="s">
        <v>81</v>
      </c>
      <c r="J76" s="39">
        <v>50</v>
      </c>
      <c r="K76" s="25">
        <v>2343</v>
      </c>
      <c r="L76" s="26">
        <v>-4750</v>
      </c>
      <c r="M76" s="42">
        <v>5337</v>
      </c>
      <c r="N76" s="28">
        <f>K76*J76</f>
        <v>117150</v>
      </c>
      <c r="O76" s="18">
        <v>30175</v>
      </c>
      <c r="P76" s="29">
        <v>12.878787880000001</v>
      </c>
      <c r="Q76" s="30"/>
      <c r="R76" s="31">
        <f>M76+Q76</f>
        <v>5337</v>
      </c>
      <c r="S76" s="63"/>
      <c r="T76" s="32">
        <f>R76+S76+IF(F76="Without EV deal",L76,0)</f>
        <v>587</v>
      </c>
      <c r="U76" s="33">
        <v>1</v>
      </c>
      <c r="V76" s="34">
        <v>30.912901723334887</v>
      </c>
      <c r="W76" s="34">
        <v>100.31410275726985</v>
      </c>
      <c r="X76" s="30">
        <v>0.17</v>
      </c>
      <c r="Y76" s="30">
        <f>IF(AG76="None",0,IF(AG76="Fix5",0.05,IF(AG76="Fix3.75",0.0375,IF(AG76="Fix10",0.1,IF(AG76="Fix3",0.03,0)))))</f>
        <v>0</v>
      </c>
      <c r="Z76" s="35">
        <f>T76-AA76-AB76</f>
        <v>487.21</v>
      </c>
      <c r="AA76" s="29">
        <f>IF(AD76="EUR",((T76-R76)*X76)*U76+(R76*X76),(T76*X76))</f>
        <v>99.79</v>
      </c>
      <c r="AB76" s="36">
        <f>IF(AD76="EUR",((T76-R76)*Y76)*U76+(R76*Y76),(T76*Y76))</f>
        <v>0</v>
      </c>
      <c r="AC76" s="37" t="b">
        <v>0</v>
      </c>
      <c r="AD76" s="37" t="s">
        <v>38</v>
      </c>
      <c r="AE76" s="37" t="s">
        <v>38</v>
      </c>
      <c r="AF76" s="37" t="str">
        <f t="array" ref="AF76">INDEX('Deal Info'!D:D, MATCH(A76,'Deal Info'!A:A, 0))</f>
        <v>DoEV</v>
      </c>
      <c r="AG76" s="38" t="str">
        <f t="array" ref="AG76">INDEX('Deal Info'!G:G, MATCH(A76,'Deal Info'!A:A, 0))</f>
        <v>None</v>
      </c>
    </row>
    <row r="77" spans="1:33" ht="14.25" hidden="1" x14ac:dyDescent="0.2">
      <c r="A77" s="18" t="str">
        <f t="array" ref="A77">IF(G77='Room Info'!$B$1, INDEX('Room Info'!$A$2:$A2446, MATCH(B77,'Room Info'!$B$2:$B2446, 0)),IF(G77='Room Info'!$C$1, INDEX('Room Info'!$A$2:$A2446, MATCH(B77,'Room Info'!$C$2:$C2446, 0)),IF(G77='Room Info'!$D$1, INDEX('Room Info'!$A$2:$A2446, MATCH(B77,'Room Info'!$D$2:$D2446, 0)),IF(G77='Room Info'!$E$1, INDEX('Room Info'!$A$2:$A2446, MATCH(B77,'Room Info'!$E$2:$E2446, 0)),IF(G77='Room Info'!$F$1, INDEX('Room Info'!$A$2:$A2446, MATCH(B77,'Room Info'!$F$2:$F2446, 0)),IF(G77='Room Info'!$H$1, INDEX('Room Info'!$A$2:$A2446, MATCH(B77,'Room Info'!$H$2:$H2446, 0)),IF(G77='Room Info'!$G$1, INDEX('Room Info'!$A$2:$A2446, MATCH(B77,'Room Info'!$G$2:$G2446, 0)))))))))</f>
        <v>prodoman</v>
      </c>
      <c r="B77" s="18" t="s">
        <v>79</v>
      </c>
      <c r="C77" s="41">
        <v>44896</v>
      </c>
      <c r="D77" s="41">
        <v>44926</v>
      </c>
      <c r="E77" s="21">
        <v>44896</v>
      </c>
      <c r="F77" s="40" t="s">
        <v>41</v>
      </c>
      <c r="G77" s="18" t="s">
        <v>80</v>
      </c>
      <c r="H77" s="23"/>
      <c r="I77" s="23"/>
      <c r="J77" s="39"/>
      <c r="K77" s="25"/>
      <c r="L77" s="26"/>
      <c r="M77" s="42"/>
      <c r="N77" s="28"/>
      <c r="O77" s="18"/>
      <c r="P77" s="29"/>
      <c r="Q77" s="30"/>
      <c r="R77" s="31"/>
      <c r="S77" s="63"/>
      <c r="T77" s="32"/>
      <c r="U77" s="33"/>
      <c r="V77" s="34"/>
      <c r="W77" s="34"/>
      <c r="X77" s="30"/>
      <c r="Y77" s="30"/>
      <c r="Z77" s="35"/>
      <c r="AA77" s="60">
        <v>-4000</v>
      </c>
      <c r="AB77" s="36">
        <f>IF(AD77="EUR",((T77-R77)*Y77)*U77+(R77*Y77),(T77*Y77))</f>
        <v>0</v>
      </c>
      <c r="AC77" s="37" t="b">
        <v>0</v>
      </c>
      <c r="AD77" s="37" t="s">
        <v>38</v>
      </c>
      <c r="AE77" s="37" t="s">
        <v>38</v>
      </c>
      <c r="AF77" s="37" t="str">
        <f t="array" ref="AF77">INDEX('Deal Info'!D:D, MATCH(A77,'Deal Info'!A:A, 0))</f>
        <v>DoEV</v>
      </c>
      <c r="AG77" s="38" t="str">
        <f t="array" ref="AG77">INDEX('Deal Info'!G:G, MATCH(A77,'Deal Info'!A:A, 0))</f>
        <v>None</v>
      </c>
    </row>
    <row r="78" spans="1:33" ht="14.25" hidden="1" x14ac:dyDescent="0.2">
      <c r="A78" s="18" t="str">
        <f t="array" ref="A78">IF(G78='Room Info'!$B$1, INDEX('Room Info'!$A$2:$A2446, MATCH(B78,'Room Info'!$B$2:$B2446, 0)),IF(G78='Room Info'!$C$1, INDEX('Room Info'!$A$2:$A2446, MATCH(B78,'Room Info'!$C$2:$C2446, 0)),IF(G78='Room Info'!$D$1, INDEX('Room Info'!$A$2:$A2446, MATCH(B78,'Room Info'!$D$2:$D2446, 0)),IF(G78='Room Info'!$E$1, INDEX('Room Info'!$A$2:$A2446, MATCH(B78,'Room Info'!$E$2:$E2446, 0)),IF(G78='Room Info'!$F$1, INDEX('Room Info'!$A$2:$A2446, MATCH(B78,'Room Info'!$F$2:$F2446, 0)),IF(G78='Room Info'!$H$1, INDEX('Room Info'!$A$2:$A2446, MATCH(B78,'Room Info'!$H$2:$H2446, 0)),IF(G78='Room Info'!$G$1, INDEX('Room Info'!$A$2:$A2446, MATCH(B78,'Room Info'!$G$2:$G2446, 0)))))))))</f>
        <v>prodoman</v>
      </c>
      <c r="B78" s="18" t="s">
        <v>79</v>
      </c>
      <c r="C78" s="41">
        <v>44927</v>
      </c>
      <c r="D78" s="41">
        <v>44957</v>
      </c>
      <c r="E78" s="21">
        <v>44927</v>
      </c>
      <c r="F78" s="40" t="s">
        <v>41</v>
      </c>
      <c r="G78" s="18" t="s">
        <v>80</v>
      </c>
      <c r="H78" s="23" t="s">
        <v>71</v>
      </c>
      <c r="I78" s="23" t="s">
        <v>81</v>
      </c>
      <c r="J78" s="39">
        <v>20</v>
      </c>
      <c r="K78" s="25">
        <v>3075</v>
      </c>
      <c r="L78" s="26">
        <v>-120</v>
      </c>
      <c r="M78" s="42">
        <v>3115</v>
      </c>
      <c r="N78" s="28">
        <f>K78*J78</f>
        <v>61500</v>
      </c>
      <c r="O78" s="18">
        <v>39802</v>
      </c>
      <c r="P78" s="29">
        <v>12.943739839999999</v>
      </c>
      <c r="Q78" s="30"/>
      <c r="R78" s="31">
        <f>M78+Q78</f>
        <v>3115</v>
      </c>
      <c r="S78" s="63"/>
      <c r="T78" s="32">
        <f>R78+S78+IF(F78="Without EV deal",L78,0)</f>
        <v>2995</v>
      </c>
      <c r="U78" s="33">
        <v>1</v>
      </c>
      <c r="V78" s="34">
        <v>27.384162784996324</v>
      </c>
      <c r="W78" s="34">
        <v>96.333052820053709</v>
      </c>
      <c r="X78" s="30">
        <v>0.23</v>
      </c>
      <c r="Y78" s="30">
        <f>IF(AG78="None",0,IF(AG78="Fix5",0.05,IF(AG78="Fix3.75",0.0375,IF(AG78="Fix10",0.1,IF(AG78="Fix3",0.03,0)))))</f>
        <v>0</v>
      </c>
      <c r="Z78" s="35">
        <f>T78-AA78-AB78</f>
        <v>2306.15</v>
      </c>
      <c r="AA78" s="29">
        <f>IF(AD78="EUR",((T78-R78)*X78)*U78+(R78*X78),(T78*X78))</f>
        <v>688.85</v>
      </c>
      <c r="AB78" s="36">
        <f>IF(AD78="EUR",((T78-R78)*Y78)*U78+(R78*Y78),(T78*Y78))</f>
        <v>0</v>
      </c>
      <c r="AC78" s="37" t="b">
        <v>0</v>
      </c>
      <c r="AD78" s="37" t="s">
        <v>38</v>
      </c>
      <c r="AE78" s="37" t="s">
        <v>38</v>
      </c>
      <c r="AF78" s="37" t="str">
        <f t="array" ref="AF78">INDEX('Deal Info'!D:D, MATCH(A78,'Deal Info'!A:A, 0))</f>
        <v>DoEV</v>
      </c>
      <c r="AG78" s="38" t="str">
        <f t="array" ref="AG78">INDEX('Deal Info'!G:G, MATCH(A78,'Deal Info'!A:A, 0))</f>
        <v>None</v>
      </c>
    </row>
    <row r="79" spans="1:33" ht="14.25" hidden="1" x14ac:dyDescent="0.2">
      <c r="A79" s="18" t="str">
        <f t="array" ref="A79">IF(G79='Room Info'!$B$1, INDEX('Room Info'!$A$2:$A2446, MATCH(B79,'Room Info'!$B$2:$B2446, 0)),IF(G79='Room Info'!$C$1, INDEX('Room Info'!$A$2:$A2446, MATCH(B79,'Room Info'!$C$2:$C2446, 0)),IF(G79='Room Info'!$D$1, INDEX('Room Info'!$A$2:$A2446, MATCH(B79,'Room Info'!$D$2:$D2446, 0)),IF(G79='Room Info'!$E$1, INDEX('Room Info'!$A$2:$A2446, MATCH(B79,'Room Info'!$E$2:$E2446, 0)),IF(G79='Room Info'!$F$1, INDEX('Room Info'!$A$2:$A2446, MATCH(B79,'Room Info'!$F$2:$F2446, 0)),IF(G79='Room Info'!$H$1, INDEX('Room Info'!$A$2:$A2446, MATCH(B79,'Room Info'!$H$2:$H2446, 0)),IF(G79='Room Info'!$G$1, INDEX('Room Info'!$A$2:$A2446, MATCH(B79,'Room Info'!$G$2:$G2446, 0)))))))))</f>
        <v>prodoman</v>
      </c>
      <c r="B79" s="18" t="s">
        <v>79</v>
      </c>
      <c r="C79" s="41">
        <v>44927</v>
      </c>
      <c r="D79" s="41">
        <v>44957</v>
      </c>
      <c r="E79" s="21">
        <v>44927</v>
      </c>
      <c r="F79" s="40" t="s">
        <v>41</v>
      </c>
      <c r="G79" s="18" t="s">
        <v>80</v>
      </c>
      <c r="H79" s="23" t="s">
        <v>72</v>
      </c>
      <c r="I79" s="23" t="s">
        <v>81</v>
      </c>
      <c r="J79" s="39">
        <v>50</v>
      </c>
      <c r="K79" s="25">
        <v>1004</v>
      </c>
      <c r="L79" s="26">
        <v>-2900</v>
      </c>
      <c r="M79" s="42">
        <v>2543</v>
      </c>
      <c r="N79" s="28">
        <f>K79*J79</f>
        <v>50200</v>
      </c>
      <c r="O79" s="18">
        <v>13604</v>
      </c>
      <c r="P79" s="29">
        <v>13.5498008</v>
      </c>
      <c r="Q79" s="30"/>
      <c r="R79" s="31">
        <f>M79+Q79</f>
        <v>2543</v>
      </c>
      <c r="S79" s="63"/>
      <c r="T79" s="32">
        <f>R79+S79+IF(F79="Without EV deal",L79,0)</f>
        <v>-357</v>
      </c>
      <c r="U79" s="33">
        <v>1</v>
      </c>
      <c r="V79" s="34">
        <v>27.384162784996324</v>
      </c>
      <c r="W79" s="34">
        <v>96.333052820053709</v>
      </c>
      <c r="X79" s="30">
        <v>0.23</v>
      </c>
      <c r="Y79" s="30">
        <f>IF(AG79="None",0,IF(AG79="Fix5",0.05,IF(AG79="Fix3.75",0.0375,IF(AG79="Fix10",0.1,IF(AG79="Fix3",0.03,0)))))</f>
        <v>0</v>
      </c>
      <c r="Z79" s="35">
        <f>T79-AA79-AB79</f>
        <v>-274.89</v>
      </c>
      <c r="AA79" s="29">
        <f>IF(AD79="EUR",((T79-R79)*X79)*U79+(R79*X79),(T79*X79))</f>
        <v>-82.11</v>
      </c>
      <c r="AB79" s="36">
        <f>IF(AD79="EUR",((T79-R79)*Y79)*U79+(R79*Y79),(T79*Y79))</f>
        <v>0</v>
      </c>
      <c r="AC79" s="37" t="b">
        <v>0</v>
      </c>
      <c r="AD79" s="37" t="s">
        <v>38</v>
      </c>
      <c r="AE79" s="37" t="s">
        <v>38</v>
      </c>
      <c r="AF79" s="37" t="str">
        <f t="array" ref="AF79">INDEX('Deal Info'!D:D, MATCH(A79,'Deal Info'!A:A, 0))</f>
        <v>DoEV</v>
      </c>
      <c r="AG79" s="38" t="str">
        <f t="array" ref="AG79">INDEX('Deal Info'!G:G, MATCH(A79,'Deal Info'!A:A, 0))</f>
        <v>None</v>
      </c>
    </row>
    <row r="80" spans="1:33" ht="14.25" hidden="1" x14ac:dyDescent="0.2">
      <c r="A80" s="18" t="str">
        <f t="array" ref="A80">IF(G80='Room Info'!$B$1, INDEX('Room Info'!$A$2:$A2446, MATCH(B80,'Room Info'!$B$2:$B2446, 0)),IF(G80='Room Info'!$C$1, INDEX('Room Info'!$A$2:$A2446, MATCH(B80,'Room Info'!$C$2:$C2446, 0)),IF(G80='Room Info'!$D$1, INDEX('Room Info'!$A$2:$A2446, MATCH(B80,'Room Info'!$D$2:$D2446, 0)),IF(G80='Room Info'!$E$1, INDEX('Room Info'!$A$2:$A2446, MATCH(B80,'Room Info'!$E$2:$E2446, 0)),IF(G80='Room Info'!$F$1, INDEX('Room Info'!$A$2:$A2446, MATCH(B80,'Room Info'!$F$2:$F2446, 0)),IF(G80='Room Info'!$H$1, INDEX('Room Info'!$A$2:$A2446, MATCH(B80,'Room Info'!$H$2:$H2446, 0)),IF(G80='Room Info'!$G$1, INDEX('Room Info'!$A$2:$A2446, MATCH(B80,'Room Info'!$G$2:$G2446, 0)))))))))</f>
        <v>AlexanderDSL</v>
      </c>
      <c r="B80" s="54" t="s">
        <v>82</v>
      </c>
      <c r="C80" s="46">
        <v>44217</v>
      </c>
      <c r="D80" s="46">
        <v>44247</v>
      </c>
      <c r="E80" s="47">
        <v>44228</v>
      </c>
      <c r="F80" s="45" t="s">
        <v>34</v>
      </c>
      <c r="G80" s="54" t="s">
        <v>35</v>
      </c>
      <c r="H80" s="49" t="s">
        <v>83</v>
      </c>
      <c r="I80" s="49" t="s">
        <v>37</v>
      </c>
      <c r="J80" s="50">
        <v>10</v>
      </c>
      <c r="K80" s="51">
        <v>15</v>
      </c>
      <c r="L80" s="52">
        <v>-30</v>
      </c>
      <c r="M80" s="53">
        <v>8</v>
      </c>
      <c r="N80" s="28">
        <f>K80*J80</f>
        <v>150</v>
      </c>
      <c r="O80" s="54">
        <v>2156</v>
      </c>
      <c r="P80" s="29">
        <v>143.7333333</v>
      </c>
      <c r="Q80" s="55"/>
      <c r="R80" s="31">
        <f>M80+Q80</f>
        <v>8</v>
      </c>
      <c r="S80" s="56">
        <v>26</v>
      </c>
      <c r="T80" s="32">
        <f>R80+S80+IF(F80="Without EV deal",L80,0)</f>
        <v>34</v>
      </c>
      <c r="U80" s="33">
        <v>1</v>
      </c>
      <c r="V80" s="58"/>
      <c r="W80" s="58"/>
      <c r="X80" s="30">
        <f>IF(AF80="DoEV",IF(AND(V80&lt;20,W80&lt;55),0.3,0)+IF(AND(V80&lt;20,W80&gt;=55,W80&lt;105),0.23,0)+IF(AND(V80&lt;20,W80&gt;=105),0.17,0)+IF(AND(V80&gt;=20,V80&lt;40,W80&lt;45),0.3,0)+IF(AND(V80&gt;=20,V80&lt;40,W80&gt;=45,W80&lt;95),0.23,0)+IF(AND(V80&gt;=20,V80&lt;40,W80&gt;=95),0.17,0)+IF(AND(V80&gt;=40,V80&lt;75,W80&lt;35),0.3,0)+IF(AND(V80&gt;=40,V80&lt;75,W80&gt;=35,W80&lt;75),0.23,0)+IF(AND(V80&gt;=40,V80&lt;75,W80&gt;=75,W80&lt;120),0.17,0)+IF(AND(V80&gt;=40,V80&lt;75,W80&gt;=120),0.12,0)+IF(AND(V80&gt;=75,V80&lt;175,W80&lt;35),0.3,0)+IF(AND(V80&gt;=75,V80&lt;=175,W80&gt;=35,W80&lt;65),0.23,0)+IF(AND(V80&gt;=75,V80&lt;=175,W80&gt;=65,W80&lt;110),0.17,0)+IF(AND(V80&gt;=75,V80&lt;=175,W80&gt;=110),0.12,0)+IF(AND(V80&gt;175,W80&lt;25),0.3,0)+IF(AND(V80&gt;175,W80&gt;=25,W80&lt;55),0.23,0)+IF(AND(V80&gt;175,W80&gt;=55,W80&lt;95),0.17,0)+IF(AND(V80&gt;175,W80&gt;=95),0.12,0),
IF(AF80="Fix15",0.15,
IF(AF80="Fix11.25",0.1125,
IF(AF80="Fix10",0.1,
IF(AF80="Fix9",0.09,
IF(AF80="DoEV2017",IF(AND(W80&lt;74),0.2,0)+IF(AND(W80&gt;=74),0.17,0),
IF(AF80="SF",IF(AND(V80&lt;20,W80&lt;89),0.3,0)+IF(AND(V80&lt;20,W80&gt;=89),0.25,0)+IF(AND(V80&gt;=20,V80&lt;40,W80&lt;74),0.3,0)+IF(AND(V80&gt;=20,V80&lt;40,W80&gt;=75),0.22,0)+IF(AND(V80&gt;=40,V80&lt;75,W80&lt;75),0.26,0)+IF(AND(V80&gt;=40,V80&lt;75,W80&gt;=75),0.22,0)+IF(V80&gt;=75,0.22,0),
IF(AF80="DoEVold",IF(AND(V80&lt;40,W80&lt;35),0.35,0)+IF(AND(V80&lt;40,W80&gt;=35,W80&lt;75),0.25,0)+IF(AND(V80&lt;40,W80&gt;=75),0.17,0)+IF(AND(V80&gt;=40,V80&lt;75,W80&lt;25),0.35,0)+IF(AND(V80&gt;=40,V80&lt;75,W80&gt;=25,W80&lt;65),0.25,0)+IF(AND(V80&gt;=40,V80&lt;75,W80&gt;=65,W80&lt;100),0.17,0)+IF(AND(V80&gt;=40,V80&lt;75,W80&gt;=100),0.1,0)+IF(AND(V80&gt;=75,W80&lt;25),0.35,0)+IF(AND(V80&gt;=75,W80&gt;=25,W80&lt;60),0.25,0)+IF(AND(V80&gt;=75,W80&gt;=60,W80&lt;95),0.17,0)+IF(AND(V80&gt;=75,W80&gt;=95),0.1,0),
IF(AF80="DoEVold15",IF(AND(V80&lt;=40,W80&lt;35),0.35,0)+IF(AND(V80&lt;=40,W80&gt;=35,W80&lt;75),0.25,0)+IF(AND(V80&lt;=40,W80&gt;=75,W80&lt;120),0.17,0)+IF(AND(V80&lt;=40,W80&gt;=120),0.15,0)+IF(AND(V80&gt;40,V80&lt;75,W80&lt;25),0.35,0)+IF(AND(V80&gt;=40,V80&lt;75,W80&gt;=25,W80&lt;65),0.25,0)+IF(AND(V80&gt;=40,V80&lt;75,W80&gt;=65,W80&lt;100),0.17,0)+IF(AND(V80&gt;=40,V80&lt;75,W80&gt;=100),0.1,0)+IF(AND(V80&gt;=75,W80&lt;25),0.35,0)+IF(AND(V80&gt;=75,W80&gt;=25,W80&lt;60),0.25,0)+IF(AND(V80&gt;=75,W80&gt;=60,W80&lt;95),0.17,0)+IF(AND(V80&gt;=75,W80&gt;=95),0.1,0),
IF(AF80="DoEVba",IF(AND(V80&lt;20,W80&lt;105),0.2,0)+IF(AND(V80&lt;20,W80&gt;=105),0.15,0)+IF(AND(V80&gt;=20,V80&lt;40,W80&lt;95),0.2,0)+IF(AND(V80&gt;=20,V80&lt;40,W80&gt;=95,W80&lt;150),0.15,0)+IF(AND(V80&gt;=20,V80&lt;40,W80&gt;=150),0.12,0)+IF(AND(V80&gt;=40,V80&lt;75,W80&lt;75),0.2,0)+IF(AND(V80&gt;=40,V80&lt;75,W80&gt;=75,W80&lt;120),0.15,0)+IF(AND(V80&gt;=40,V80&lt;75,W80&gt;=120),0.12,0)+IF(AND(V80&gt;=75,V80&lt;175,W80&lt;65),0.2,0)+IF(AND(V80&gt;=75,V80&lt;175,W80&gt;=65,W80&lt;110),0.15,0)+IF(AND(V80&gt;=75,V80&lt;175,W80&gt;=110),0.12,0)+IF(AND(V80&gt;=175,W80&lt;55),0.2,0)+IF(AND(V80&gt;=175,W80&gt;=55,W80&lt;95),0.15,0)+IF(AND(V80&gt;=175,W80&gt;=95),0.12,0),
IF(AF80="DoEVku",IF(AND(V80&lt;20,W80&lt;55),0.23,0)+IF(AND(V80&lt;20,W80&gt;=55,W80&lt;105),0.2,0)+IF(AND(V80&lt;20,W80&gt;=105),0.17,0)+IF(AND(V80&gt;=20,V80&lt;40,W80&lt;45),0.23,0)+IF(AND(V80&gt;=20,V80&lt;40,W80&gt;=45,W80&lt;95),0.2,0)+IF(AND(V80&gt;=20,V80&lt;40,W80&gt;=95,W80&lt;=150),0.17,0)+IF(AND(V80&gt;=20,V80&lt;40,W80&gt;=150),0.12,0)+IF(AND(V80&gt;=40,V80&lt;75,W80&lt;35),0.23,0)+IF(AND(V80&gt;=40,V80&lt;75,W80&gt;=35,W80&lt;75),0.2,0)+IF(AND(V80&gt;=40,V80&lt;75,W80&gt;=75,W80&lt;120),0.17,0)+IF(AND(V80&gt;=40,V80&lt;75,W80&gt;=120),0.12,0)+IF(AND(V80&gt;=75,V80&lt;175,W80&lt;35),0.23,0)+IF(AND(V80&gt;=75,V80&lt;=175,W80&gt;=35,W80&lt;65),0.2,0)+IF(AND(V80&gt;=75,V80&lt;=175,W80&gt;=65,W80&lt;110),0.17,0)+IF(AND(V80&gt;=75,V80&lt;=175,W80&gt;=110),0.12,0)+IF(AND(V80&gt;175,W80&lt;25),0.23,0)+IF(AND(V80&gt;175,W80&gt;=25,W80&lt;55),0.2,0)+IF(AND(V80&gt;175,W80&gt;=55,W80&lt;95),0.17,0)+IF(AND(V80&gt;175,W80&gt;=95),0.12,0),
IF(AF80="DoEVs1",IF(AND(V80&lt;20,W80&lt;55),0.3,0)+IF(AND(V80&lt;20,W80&gt;=55,W80&lt;105),0.23,0)+IF(AND(V80&lt;20,W80&gt;=105),0.17,0)+IF(AND(V80&gt;=20,V80&lt;40,W80&lt;45),0.3,0)+IF(AND(V80&gt;=20,V80&lt;40,W80&gt;=45,W80&lt;95),0.23,0)+IF(AND(V80&gt;=20,V80&lt;40,W80&gt;=95,W80&lt;=150),0.17,0)+IF(AND(V80&gt;=20,V80&lt;40,W80&gt;=150),0.12,0)+IF(AND(V80&gt;=40,V80&lt;75,W80&lt;35),0.3,0)+IF(AND(V80&gt;=40,V80&lt;75,W80&gt;=35,W80&lt;75),0.23,0)+IF(AND(V80&gt;=40,V80&lt;75,W80&gt;=75,W80&lt;120),0.17,0)+IF(AND(V80&gt;=40,V80&lt;75,W80&gt;=120),0.12,0)+IF(AND(V80&gt;=75,V80&lt;175,W80&lt;35),0.3,0)+IF(AND(V80&gt;=75,V80&lt;=175,W80&gt;=35,W80&lt;65),0.23,0)+IF(AND(V80&gt;=75,V80&lt;=175,W80&gt;=65,W80&lt;110),0.17,0)+IF(AND(V80&gt;=75,V80&lt;=175,W80&gt;=110),0.12,0)+IF(AND(V80&gt;175,W80&lt;25),0.3,0)+IF(AND(V80&gt;175,W80&gt;=25,W80&lt;55),0.23,0)+IF(AND(V80&gt;175,W80&gt;=55,W80&lt;95),0.17,0)+IF(AND(V80&gt;175,W80&gt;=95),0.12,0),
IF(AF80="DoEVsu",IF(AND(V80&lt;20,W80&lt;55),0.3,0)+IF(AND(V80&lt;20,W80&gt;=55,W80&lt;105),0.23,0)+IF(AND(V80&lt;20,W80&gt;=105),0.17,0)+IF(AND(V80&gt;=20,V80&lt;40,W80&lt;45),0.3,0)+IF(AND(V80&gt;=20,V80&lt;40,W80&gt;=45,W80&lt;95),0.23,0)+IF(AND(V80&gt;=20,V80&lt;40,W80&gt;=95,W80&lt;=250),0.17,0)+IF(AND(V80&gt;=20,V80&lt;40,W80&gt;=250),0.12,0)+IF(AND(V80&gt;=40,V80&lt;75,W80&lt;35),0.3,0)+IF(AND(V80&gt;=40,V80&lt;75,W80&gt;=35,W80&lt;75),0.23,0)+IF(AND(V80&gt;=40,V80&lt;75,W80&gt;=75,W80&lt;120),0.17,0)+IF(AND(V80&gt;=40,V80&lt;75,W80&gt;=120),0.12,0)+IF(AND(V80&gt;=75,V80&lt;175,W80&lt;35),0.3,0)+IF(AND(V80&gt;=75,V80&lt;=175,W80&gt;=35,W80&lt;65),0.23,0)+IF(AND(V80&gt;=75,V80&lt;=175,W80&gt;=65,W80&lt;110),0.17,0)+IF(AND(V80&gt;=75,V80&lt;=175,W80&gt;=110),0.12,0)+IF(AND(V80&gt;175,W80&lt;25),0.3,0)+IF(AND(V80&gt;175,W80&gt;=25,W80&lt;55),0.23,0)+IF(AND(V80&gt;175,W80&gt;=55,W80&lt;95),0.17,0)+IF(AND(V80&gt;175,W80&gt;=95),0.12,0),
IF(AF80="DoEVni",IF(AND(V80&lt;20,W80&lt;55),0.3,0)+IF(AND(V80&lt;20,W80&gt;=55,W80&lt;105),0.23,0)+IF(AND(V80&lt;20,W80&gt;=105),0.17,0)+IF(AND(V80&gt;=20,V80&lt;40,W80&lt;45),0.3,0)+IF(AND(V80&gt;=20,V80&lt;40,W80&gt;=45,W80&lt;95),0.23,0)+IF(AND(V80&gt;=20,V80&lt;40,W80&gt;=95,W80&lt;=200),0.17,0)+IF(AND(V80&gt;=20,V80&lt;40,W80&gt;=200),0.12,0)+IF(AND(V80&gt;=40,V80&lt;75,W80&lt;35),0.3,0)+IF(AND(V80&gt;=40,V80&lt;75,W80&gt;=35,W80&lt;75),0.23,0)+IF(AND(V80&gt;=40,V80&lt;75,W80&gt;=75,W80&lt;120),0.17,0)+IF(AND(V80&gt;=40,V80&lt;75,W80&gt;=120),0.12,0)+IF(AND(V80&gt;=75,V80&lt;175,W80&lt;35),0.3,0)+IF(AND(V80&gt;=75,V80&lt;=175,W80&gt;=35,W80&lt;65),0.23,0)+IF(AND(V80&gt;=75,V80&lt;=175,W80&gt;=65,W80&lt;110),0.17,0)+IF(AND(V80&gt;=75,V80&lt;=175,W80&gt;=110),0.12,0)+IF(AND(V80&gt;175,W80&lt;25),0.3,0)+IF(AND(V80&gt;175,W80&gt;=25,W80&lt;55),0.23,0)+IF(AND(V80&gt;175,W80&gt;=55,W80&lt;95),0.17,0)+IF(AND(V80&gt;175,W80&gt;=95),0.12,0),
IF(AF80="DoEVLo",IF(AND(V80&lt;20,W80&lt;55),0.25,0)+IF(AND(V80&lt;20,W80&gt;=55,W80&lt;105),0.2,0)+IF(AND(V80&lt;20,W80&gt;=105),0.15,0)+IF(AND(V80&gt;=20,V80&lt;40,W80&lt;45),0.25,0)+IF(AND(V80&gt;=20,V80&lt;40,W80&gt;=45,W80&lt;95),0.2,0)+IF(AND(V80&gt;=20,V80&lt;40,W80&gt;=95),0.15,0)+IF(AND(V80&gt;=40,V80&lt;75,W80&lt;35),0.25,0)+IF(AND(V80&gt;=40,V80&lt;75,W80&gt;=35,W80&lt;75),0.2,0)+IF(AND(V80&gt;=40,V80&lt;75,W80&gt;=75,W80&lt;120),0.15,0)+IF(AND(V80&gt;=40,V80&lt;75,W80&gt;=120),0.1,0)+IF(AND(V80&gt;=75,V80&lt;175,W80&lt;35),0.25,0)+IF(AND(V80&gt;=75,V80&lt;=175,W80&gt;=35,W80&lt;65),0.2,0)+IF(AND(V80&gt;=75,V80&lt;=175,W80&gt;=65,W80&lt;110),0.15,0)+IF(AND(V80&gt;=75,V80&lt;=175,W80&gt;=110),0.1,0)+IF(AND(V80&gt;175,W80&lt;25),0.25,0)+IF(AND(V80&gt;175,W80&gt;=25,W80&lt;55),0.2,0)+IF(AND(V80&gt;175,W80&gt;=55,W80&lt;95),0.15,0)+IF(AND(V80&gt;175,W80&gt;=95),0.1,0))))))))))))))))</f>
        <v>0.15</v>
      </c>
      <c r="Y80" s="30">
        <f>IF(AG80="None",0,IF(AG80="Fix5",0.05,IF(AG80="Fix3.75",0.0375,IF(AG80="Fix10",0.1,IF(AG80="Fix3",0.03,0)))))</f>
        <v>0.05</v>
      </c>
      <c r="Z80" s="35">
        <f>T80-AA80-AB80</f>
        <v>27.2</v>
      </c>
      <c r="AA80" s="29">
        <f>IF(AD80="EUR",((T80-R80)*X80)*U80+(R80*X80),(T80*X80))</f>
        <v>5.0999999999999996</v>
      </c>
      <c r="AB80" s="36">
        <f>IF(AD80="EUR",((T80-R80)*Y80)*U80+(R80*Y80),(T80*Y80))</f>
        <v>1.7000000000000002</v>
      </c>
      <c r="AC80" s="37" t="b">
        <v>1</v>
      </c>
      <c r="AD80" s="37" t="s">
        <v>38</v>
      </c>
      <c r="AE80" s="37" t="s">
        <v>38</v>
      </c>
      <c r="AF80" s="37" t="str">
        <f t="array" ref="AF80">INDEX('Deal Info'!D:D, MATCH(A80,'Deal Info'!A:A, 0))</f>
        <v>Fix15</v>
      </c>
      <c r="AG80" s="38" t="str">
        <f t="array" ref="AG80">INDEX('Deal Info'!G:G, MATCH(A80,'Deal Info'!A:A, 0))</f>
        <v>Fix5</v>
      </c>
    </row>
    <row r="81" spans="1:33" ht="14.25" hidden="1" x14ac:dyDescent="0.2">
      <c r="A81" s="18" t="str">
        <f t="array" ref="A81">IF(G81='Room Info'!$B$1, INDEX('Room Info'!$A$2:$A2446, MATCH(B81,'Room Info'!$B$2:$B2446, 0)),IF(G81='Room Info'!$C$1, INDEX('Room Info'!$A$2:$A2446, MATCH(B81,'Room Info'!$C$2:$C2446, 0)),IF(G81='Room Info'!$D$1, INDEX('Room Info'!$A$2:$A2446, MATCH(B81,'Room Info'!$D$2:$D2446, 0)),IF(G81='Room Info'!$E$1, INDEX('Room Info'!$A$2:$A2446, MATCH(B81,'Room Info'!$E$2:$E2446, 0)),IF(G81='Room Info'!$F$1, INDEX('Room Info'!$A$2:$A2446, MATCH(B81,'Room Info'!$F$2:$F2446, 0)),IF(G81='Room Info'!$H$1, INDEX('Room Info'!$A$2:$A2446, MATCH(B81,'Room Info'!$H$2:$H2446, 0)),IF(G81='Room Info'!$G$1, INDEX('Room Info'!$A$2:$A2446, MATCH(B81,'Room Info'!$G$2:$G2446, 0)))))))))</f>
        <v>AlexanderDSL</v>
      </c>
      <c r="B81" s="54" t="s">
        <v>82</v>
      </c>
      <c r="C81" s="46">
        <v>44217</v>
      </c>
      <c r="D81" s="46">
        <v>44247</v>
      </c>
      <c r="E81" s="47">
        <v>44228</v>
      </c>
      <c r="F81" s="45" t="s">
        <v>34</v>
      </c>
      <c r="G81" s="54" t="s">
        <v>35</v>
      </c>
      <c r="H81" s="49" t="s">
        <v>46</v>
      </c>
      <c r="I81" s="49" t="s">
        <v>37</v>
      </c>
      <c r="J81" s="50">
        <v>25</v>
      </c>
      <c r="K81" s="51">
        <v>332</v>
      </c>
      <c r="L81" s="52">
        <v>200</v>
      </c>
      <c r="M81" s="53">
        <v>329</v>
      </c>
      <c r="N81" s="28">
        <f>K81*J81</f>
        <v>8300</v>
      </c>
      <c r="O81" s="54">
        <v>17620</v>
      </c>
      <c r="P81" s="29">
        <v>53.072289159999997</v>
      </c>
      <c r="Q81" s="55"/>
      <c r="R81" s="31">
        <f>M81+Q81</f>
        <v>329</v>
      </c>
      <c r="S81" s="56">
        <v>263</v>
      </c>
      <c r="T81" s="32">
        <f>R81+S81+IF(F81="Without EV deal",L81,0)</f>
        <v>592</v>
      </c>
      <c r="U81" s="33">
        <v>1</v>
      </c>
      <c r="V81" s="58"/>
      <c r="W81" s="58"/>
      <c r="X81" s="30">
        <f>IF(AF81="DoEV",IF(AND(V81&lt;20,W81&lt;55),0.3,0)+IF(AND(V81&lt;20,W81&gt;=55,W81&lt;105),0.23,0)+IF(AND(V81&lt;20,W81&gt;=105),0.17,0)+IF(AND(V81&gt;=20,V81&lt;40,W81&lt;45),0.3,0)+IF(AND(V81&gt;=20,V81&lt;40,W81&gt;=45,W81&lt;95),0.23,0)+IF(AND(V81&gt;=20,V81&lt;40,W81&gt;=95),0.17,0)+IF(AND(V81&gt;=40,V81&lt;75,W81&lt;35),0.3,0)+IF(AND(V81&gt;=40,V81&lt;75,W81&gt;=35,W81&lt;75),0.23,0)+IF(AND(V81&gt;=40,V81&lt;75,W81&gt;=75,W81&lt;120),0.17,0)+IF(AND(V81&gt;=40,V81&lt;75,W81&gt;=120),0.12,0)+IF(AND(V81&gt;=75,V81&lt;175,W81&lt;35),0.3,0)+IF(AND(V81&gt;=75,V81&lt;=175,W81&gt;=35,W81&lt;65),0.23,0)+IF(AND(V81&gt;=75,V81&lt;=175,W81&gt;=65,W81&lt;110),0.17,0)+IF(AND(V81&gt;=75,V81&lt;=175,W81&gt;=110),0.12,0)+IF(AND(V81&gt;175,W81&lt;25),0.3,0)+IF(AND(V81&gt;175,W81&gt;=25,W81&lt;55),0.23,0)+IF(AND(V81&gt;175,W81&gt;=55,W81&lt;95),0.17,0)+IF(AND(V81&gt;175,W81&gt;=95),0.12,0),
IF(AF81="Fix15",0.15,
IF(AF81="Fix11.25",0.1125,
IF(AF81="Fix10",0.1,
IF(AF81="Fix9",0.09,
IF(AF81="DoEV2017",IF(AND(W81&lt;74),0.2,0)+IF(AND(W81&gt;=74),0.17,0),
IF(AF81="SF",IF(AND(V81&lt;20,W81&lt;89),0.3,0)+IF(AND(V81&lt;20,W81&gt;=89),0.25,0)+IF(AND(V81&gt;=20,V81&lt;40,W81&lt;74),0.3,0)+IF(AND(V81&gt;=20,V81&lt;40,W81&gt;=75),0.22,0)+IF(AND(V81&gt;=40,V81&lt;75,W81&lt;75),0.26,0)+IF(AND(V81&gt;=40,V81&lt;75,W81&gt;=75),0.22,0)+IF(V81&gt;=75,0.22,0),
IF(AF81="DoEVold",IF(AND(V81&lt;40,W81&lt;35),0.35,0)+IF(AND(V81&lt;40,W81&gt;=35,W81&lt;75),0.25,0)+IF(AND(V81&lt;40,W81&gt;=75),0.17,0)+IF(AND(V81&gt;=40,V81&lt;75,W81&lt;25),0.35,0)+IF(AND(V81&gt;=40,V81&lt;75,W81&gt;=25,W81&lt;65),0.25,0)+IF(AND(V81&gt;=40,V81&lt;75,W81&gt;=65,W81&lt;100),0.17,0)+IF(AND(V81&gt;=40,V81&lt;75,W81&gt;=100),0.1,0)+IF(AND(V81&gt;=75,W81&lt;25),0.35,0)+IF(AND(V81&gt;=75,W81&gt;=25,W81&lt;60),0.25,0)+IF(AND(V81&gt;=75,W81&gt;=60,W81&lt;95),0.17,0)+IF(AND(V81&gt;=75,W81&gt;=95),0.1,0),
IF(AF81="DoEVold15",IF(AND(V81&lt;=40,W81&lt;35),0.35,0)+IF(AND(V81&lt;=40,W81&gt;=35,W81&lt;75),0.25,0)+IF(AND(V81&lt;=40,W81&gt;=75,W81&lt;120),0.17,0)+IF(AND(V81&lt;=40,W81&gt;=120),0.15,0)+IF(AND(V81&gt;40,V81&lt;75,W81&lt;25),0.35,0)+IF(AND(V81&gt;=40,V81&lt;75,W81&gt;=25,W81&lt;65),0.25,0)+IF(AND(V81&gt;=40,V81&lt;75,W81&gt;=65,W81&lt;100),0.17,0)+IF(AND(V81&gt;=40,V81&lt;75,W81&gt;=100),0.1,0)+IF(AND(V81&gt;=75,W81&lt;25),0.35,0)+IF(AND(V81&gt;=75,W81&gt;=25,W81&lt;60),0.25,0)+IF(AND(V81&gt;=75,W81&gt;=60,W81&lt;95),0.17,0)+IF(AND(V81&gt;=75,W81&gt;=95),0.1,0),
IF(AF81="DoEVba",IF(AND(V81&lt;20,W81&lt;105),0.2,0)+IF(AND(V81&lt;20,W81&gt;=105),0.15,0)+IF(AND(V81&gt;=20,V81&lt;40,W81&lt;95),0.2,0)+IF(AND(V81&gt;=20,V81&lt;40,W81&gt;=95,W81&lt;150),0.15,0)+IF(AND(V81&gt;=20,V81&lt;40,W81&gt;=150),0.12,0)+IF(AND(V81&gt;=40,V81&lt;75,W81&lt;75),0.2,0)+IF(AND(V81&gt;=40,V81&lt;75,W81&gt;=75,W81&lt;120),0.15,0)+IF(AND(V81&gt;=40,V81&lt;75,W81&gt;=120),0.12,0)+IF(AND(V81&gt;=75,V81&lt;175,W81&lt;65),0.2,0)+IF(AND(V81&gt;=75,V81&lt;175,W81&gt;=65,W81&lt;110),0.15,0)+IF(AND(V81&gt;=75,V81&lt;175,W81&gt;=110),0.12,0)+IF(AND(V81&gt;=175,W81&lt;55),0.2,0)+IF(AND(V81&gt;=175,W81&gt;=55,W81&lt;95),0.15,0)+IF(AND(V81&gt;=175,W81&gt;=95),0.12,0),
IF(AF81="DoEVku",IF(AND(V81&lt;20,W81&lt;55),0.23,0)+IF(AND(V81&lt;20,W81&gt;=55,W81&lt;105),0.2,0)+IF(AND(V81&lt;20,W81&gt;=105),0.17,0)+IF(AND(V81&gt;=20,V81&lt;40,W81&lt;45),0.23,0)+IF(AND(V81&gt;=20,V81&lt;40,W81&gt;=45,W81&lt;95),0.2,0)+IF(AND(V81&gt;=20,V81&lt;40,W81&gt;=95,W81&lt;=150),0.17,0)+IF(AND(V81&gt;=20,V81&lt;40,W81&gt;=150),0.12,0)+IF(AND(V81&gt;=40,V81&lt;75,W81&lt;35),0.23,0)+IF(AND(V81&gt;=40,V81&lt;75,W81&gt;=35,W81&lt;75),0.2,0)+IF(AND(V81&gt;=40,V81&lt;75,W81&gt;=75,W81&lt;120),0.17,0)+IF(AND(V81&gt;=40,V81&lt;75,W81&gt;=120),0.12,0)+IF(AND(V81&gt;=75,V81&lt;175,W81&lt;35),0.23,0)+IF(AND(V81&gt;=75,V81&lt;=175,W81&gt;=35,W81&lt;65),0.2,0)+IF(AND(V81&gt;=75,V81&lt;=175,W81&gt;=65,W81&lt;110),0.17,0)+IF(AND(V81&gt;=75,V81&lt;=175,W81&gt;=110),0.12,0)+IF(AND(V81&gt;175,W81&lt;25),0.23,0)+IF(AND(V81&gt;175,W81&gt;=25,W81&lt;55),0.2,0)+IF(AND(V81&gt;175,W81&gt;=55,W81&lt;95),0.17,0)+IF(AND(V81&gt;175,W81&gt;=95),0.12,0),
IF(AF81="DoEVs1",IF(AND(V81&lt;20,W81&lt;55),0.3,0)+IF(AND(V81&lt;20,W81&gt;=55,W81&lt;105),0.23,0)+IF(AND(V81&lt;20,W81&gt;=105),0.17,0)+IF(AND(V81&gt;=20,V81&lt;40,W81&lt;45),0.3,0)+IF(AND(V81&gt;=20,V81&lt;40,W81&gt;=45,W81&lt;95),0.23,0)+IF(AND(V81&gt;=20,V81&lt;40,W81&gt;=95,W81&lt;=150),0.17,0)+IF(AND(V81&gt;=20,V81&lt;40,W81&gt;=150),0.12,0)+IF(AND(V81&gt;=40,V81&lt;75,W81&lt;35),0.3,0)+IF(AND(V81&gt;=40,V81&lt;75,W81&gt;=35,W81&lt;75),0.23,0)+IF(AND(V81&gt;=40,V81&lt;75,W81&gt;=75,W81&lt;120),0.17,0)+IF(AND(V81&gt;=40,V81&lt;75,W81&gt;=120),0.12,0)+IF(AND(V81&gt;=75,V81&lt;175,W81&lt;35),0.3,0)+IF(AND(V81&gt;=75,V81&lt;=175,W81&gt;=35,W81&lt;65),0.23,0)+IF(AND(V81&gt;=75,V81&lt;=175,W81&gt;=65,W81&lt;110),0.17,0)+IF(AND(V81&gt;=75,V81&lt;=175,W81&gt;=110),0.12,0)+IF(AND(V81&gt;175,W81&lt;25),0.3,0)+IF(AND(V81&gt;175,W81&gt;=25,W81&lt;55),0.23,0)+IF(AND(V81&gt;175,W81&gt;=55,W81&lt;95),0.17,0)+IF(AND(V81&gt;175,W81&gt;=95),0.12,0),
IF(AF81="DoEVsu",IF(AND(V81&lt;20,W81&lt;55),0.3,0)+IF(AND(V81&lt;20,W81&gt;=55,W81&lt;105),0.23,0)+IF(AND(V81&lt;20,W81&gt;=105),0.17,0)+IF(AND(V81&gt;=20,V81&lt;40,W81&lt;45),0.3,0)+IF(AND(V81&gt;=20,V81&lt;40,W81&gt;=45,W81&lt;95),0.23,0)+IF(AND(V81&gt;=20,V81&lt;40,W81&gt;=95,W81&lt;=250),0.17,0)+IF(AND(V81&gt;=20,V81&lt;40,W81&gt;=250),0.12,0)+IF(AND(V81&gt;=40,V81&lt;75,W81&lt;35),0.3,0)+IF(AND(V81&gt;=40,V81&lt;75,W81&gt;=35,W81&lt;75),0.23,0)+IF(AND(V81&gt;=40,V81&lt;75,W81&gt;=75,W81&lt;120),0.17,0)+IF(AND(V81&gt;=40,V81&lt;75,W81&gt;=120),0.12,0)+IF(AND(V81&gt;=75,V81&lt;175,W81&lt;35),0.3,0)+IF(AND(V81&gt;=75,V81&lt;=175,W81&gt;=35,W81&lt;65),0.23,0)+IF(AND(V81&gt;=75,V81&lt;=175,W81&gt;=65,W81&lt;110),0.17,0)+IF(AND(V81&gt;=75,V81&lt;=175,W81&gt;=110),0.12,0)+IF(AND(V81&gt;175,W81&lt;25),0.3,0)+IF(AND(V81&gt;175,W81&gt;=25,W81&lt;55),0.23,0)+IF(AND(V81&gt;175,W81&gt;=55,W81&lt;95),0.17,0)+IF(AND(V81&gt;175,W81&gt;=95),0.12,0),
IF(AF81="DoEVni",IF(AND(V81&lt;20,W81&lt;55),0.3,0)+IF(AND(V81&lt;20,W81&gt;=55,W81&lt;105),0.23,0)+IF(AND(V81&lt;20,W81&gt;=105),0.17,0)+IF(AND(V81&gt;=20,V81&lt;40,W81&lt;45),0.3,0)+IF(AND(V81&gt;=20,V81&lt;40,W81&gt;=45,W81&lt;95),0.23,0)+IF(AND(V81&gt;=20,V81&lt;40,W81&gt;=95,W81&lt;=200),0.17,0)+IF(AND(V81&gt;=20,V81&lt;40,W81&gt;=200),0.12,0)+IF(AND(V81&gt;=40,V81&lt;75,W81&lt;35),0.3,0)+IF(AND(V81&gt;=40,V81&lt;75,W81&gt;=35,W81&lt;75),0.23,0)+IF(AND(V81&gt;=40,V81&lt;75,W81&gt;=75,W81&lt;120),0.17,0)+IF(AND(V81&gt;=40,V81&lt;75,W81&gt;=120),0.12,0)+IF(AND(V81&gt;=75,V81&lt;175,W81&lt;35),0.3,0)+IF(AND(V81&gt;=75,V81&lt;=175,W81&gt;=35,W81&lt;65),0.23,0)+IF(AND(V81&gt;=75,V81&lt;=175,W81&gt;=65,W81&lt;110),0.17,0)+IF(AND(V81&gt;=75,V81&lt;=175,W81&gt;=110),0.12,0)+IF(AND(V81&gt;175,W81&lt;25),0.3,0)+IF(AND(V81&gt;175,W81&gt;=25,W81&lt;55),0.23,0)+IF(AND(V81&gt;175,W81&gt;=55,W81&lt;95),0.17,0)+IF(AND(V81&gt;175,W81&gt;=95),0.12,0),
IF(AF81="DoEVLo",IF(AND(V81&lt;20,W81&lt;55),0.25,0)+IF(AND(V81&lt;20,W81&gt;=55,W81&lt;105),0.2,0)+IF(AND(V81&lt;20,W81&gt;=105),0.15,0)+IF(AND(V81&gt;=20,V81&lt;40,W81&lt;45),0.25,0)+IF(AND(V81&gt;=20,V81&lt;40,W81&gt;=45,W81&lt;95),0.2,0)+IF(AND(V81&gt;=20,V81&lt;40,W81&gt;=95),0.15,0)+IF(AND(V81&gt;=40,V81&lt;75,W81&lt;35),0.25,0)+IF(AND(V81&gt;=40,V81&lt;75,W81&gt;=35,W81&lt;75),0.2,0)+IF(AND(V81&gt;=40,V81&lt;75,W81&gt;=75,W81&lt;120),0.15,0)+IF(AND(V81&gt;=40,V81&lt;75,W81&gt;=120),0.1,0)+IF(AND(V81&gt;=75,V81&lt;175,W81&lt;35),0.25,0)+IF(AND(V81&gt;=75,V81&lt;=175,W81&gt;=35,W81&lt;65),0.2,0)+IF(AND(V81&gt;=75,V81&lt;=175,W81&gt;=65,W81&lt;110),0.15,0)+IF(AND(V81&gt;=75,V81&lt;=175,W81&gt;=110),0.1,0)+IF(AND(V81&gt;175,W81&lt;25),0.25,0)+IF(AND(V81&gt;175,W81&gt;=25,W81&lt;55),0.2,0)+IF(AND(V81&gt;175,W81&gt;=55,W81&lt;95),0.15,0)+IF(AND(V81&gt;175,W81&gt;=95),0.1,0))))))))))))))))</f>
        <v>0.15</v>
      </c>
      <c r="Y81" s="30">
        <f>IF(AG81="None",0,IF(AG81="Fix5",0.05,IF(AG81="Fix3.75",0.0375,IF(AG81="Fix10",0.1,IF(AG81="Fix3",0.03,0)))))</f>
        <v>0.05</v>
      </c>
      <c r="Z81" s="35">
        <f>T81-AA81-AB81</f>
        <v>473.59999999999997</v>
      </c>
      <c r="AA81" s="29">
        <f>IF(AD81="EUR",((T81-R81)*X81)*U81+(R81*X81),(T81*X81))</f>
        <v>88.8</v>
      </c>
      <c r="AB81" s="36">
        <f>IF(AD81="EUR",((T81-R81)*Y81)*U81+(R81*Y81),(T81*Y81))</f>
        <v>29.6</v>
      </c>
      <c r="AC81" s="37" t="b">
        <v>1</v>
      </c>
      <c r="AD81" s="37" t="s">
        <v>38</v>
      </c>
      <c r="AE81" s="37" t="s">
        <v>38</v>
      </c>
      <c r="AF81" s="37" t="str">
        <f t="array" ref="AF81">INDEX('Deal Info'!D:D, MATCH(A81,'Deal Info'!A:A, 0))</f>
        <v>Fix15</v>
      </c>
      <c r="AG81" s="38" t="str">
        <f t="array" ref="AG81">INDEX('Deal Info'!G:G, MATCH(A81,'Deal Info'!A:A, 0))</f>
        <v>Fix5</v>
      </c>
    </row>
    <row r="82" spans="1:33" ht="14.25" hidden="1" x14ac:dyDescent="0.2">
      <c r="A82" s="18" t="str">
        <f t="array" ref="A82">IF(G82='Room Info'!$B$1, INDEX('Room Info'!$A$2:$A2446, MATCH(B82,'Room Info'!$B$2:$B2446, 0)),IF(G82='Room Info'!$C$1, INDEX('Room Info'!$A$2:$A2446, MATCH(B82,'Room Info'!$C$2:$C2446, 0)),IF(G82='Room Info'!$D$1, INDEX('Room Info'!$A$2:$A2446, MATCH(B82,'Room Info'!$D$2:$D2446, 0)),IF(G82='Room Info'!$E$1, INDEX('Room Info'!$A$2:$A2446, MATCH(B82,'Room Info'!$E$2:$E2446, 0)),IF(G82='Room Info'!$F$1, INDEX('Room Info'!$A$2:$A2446, MATCH(B82,'Room Info'!$F$2:$F2446, 0)),IF(G82='Room Info'!$H$1, INDEX('Room Info'!$A$2:$A2446, MATCH(B82,'Room Info'!$H$2:$H2446, 0)),IF(G82='Room Info'!$G$1, INDEX('Room Info'!$A$2:$A2446, MATCH(B82,'Room Info'!$G$2:$G2446, 0)))))))))</f>
        <v>AlexanderDSL</v>
      </c>
      <c r="B82" s="54" t="s">
        <v>82</v>
      </c>
      <c r="C82" s="46">
        <v>44217</v>
      </c>
      <c r="D82" s="46">
        <v>44247</v>
      </c>
      <c r="E82" s="47">
        <v>44228</v>
      </c>
      <c r="F82" s="45" t="s">
        <v>34</v>
      </c>
      <c r="G82" s="54" t="s">
        <v>35</v>
      </c>
      <c r="H82" s="49" t="s">
        <v>72</v>
      </c>
      <c r="I82" s="49" t="s">
        <v>37</v>
      </c>
      <c r="J82" s="50">
        <v>50</v>
      </c>
      <c r="K82" s="51">
        <v>3383</v>
      </c>
      <c r="L82" s="52">
        <v>-850</v>
      </c>
      <c r="M82" s="53">
        <v>6560</v>
      </c>
      <c r="N82" s="28">
        <f>K82*J82</f>
        <v>169150</v>
      </c>
      <c r="O82" s="54">
        <v>80626</v>
      </c>
      <c r="P82" s="29">
        <v>23.83269288</v>
      </c>
      <c r="Q82" s="55"/>
      <c r="R82" s="31">
        <f>M82+Q82</f>
        <v>6560</v>
      </c>
      <c r="S82" s="56">
        <v>-3805</v>
      </c>
      <c r="T82" s="32">
        <f>R82+S82+IF(F82="Without EV deal",L82,0)</f>
        <v>2755</v>
      </c>
      <c r="U82" s="33">
        <v>1</v>
      </c>
      <c r="V82" s="58"/>
      <c r="W82" s="58"/>
      <c r="X82" s="30">
        <f>IF(AF82="DoEV",IF(AND(V82&lt;20,W82&lt;55),0.3,0)+IF(AND(V82&lt;20,W82&gt;=55,W82&lt;105),0.23,0)+IF(AND(V82&lt;20,W82&gt;=105),0.17,0)+IF(AND(V82&gt;=20,V82&lt;40,W82&lt;45),0.3,0)+IF(AND(V82&gt;=20,V82&lt;40,W82&gt;=45,W82&lt;95),0.23,0)+IF(AND(V82&gt;=20,V82&lt;40,W82&gt;=95),0.17,0)+IF(AND(V82&gt;=40,V82&lt;75,W82&lt;35),0.3,0)+IF(AND(V82&gt;=40,V82&lt;75,W82&gt;=35,W82&lt;75),0.23,0)+IF(AND(V82&gt;=40,V82&lt;75,W82&gt;=75,W82&lt;120),0.17,0)+IF(AND(V82&gt;=40,V82&lt;75,W82&gt;=120),0.12,0)+IF(AND(V82&gt;=75,V82&lt;175,W82&lt;35),0.3,0)+IF(AND(V82&gt;=75,V82&lt;=175,W82&gt;=35,W82&lt;65),0.23,0)+IF(AND(V82&gt;=75,V82&lt;=175,W82&gt;=65,W82&lt;110),0.17,0)+IF(AND(V82&gt;=75,V82&lt;=175,W82&gt;=110),0.12,0)+IF(AND(V82&gt;175,W82&lt;25),0.3,0)+IF(AND(V82&gt;175,W82&gt;=25,W82&lt;55),0.23,0)+IF(AND(V82&gt;175,W82&gt;=55,W82&lt;95),0.17,0)+IF(AND(V82&gt;175,W82&gt;=95),0.12,0),
IF(AF82="Fix15",0.15,
IF(AF82="Fix11.25",0.1125,
IF(AF82="Fix10",0.1,
IF(AF82="Fix9",0.09,
IF(AF82="DoEV2017",IF(AND(W82&lt;74),0.2,0)+IF(AND(W82&gt;=74),0.17,0),
IF(AF82="SF",IF(AND(V82&lt;20,W82&lt;89),0.3,0)+IF(AND(V82&lt;20,W82&gt;=89),0.25,0)+IF(AND(V82&gt;=20,V82&lt;40,W82&lt;74),0.3,0)+IF(AND(V82&gt;=20,V82&lt;40,W82&gt;=75),0.22,0)+IF(AND(V82&gt;=40,V82&lt;75,W82&lt;75),0.26,0)+IF(AND(V82&gt;=40,V82&lt;75,W82&gt;=75),0.22,0)+IF(V82&gt;=75,0.22,0),
IF(AF82="DoEVold",IF(AND(V82&lt;40,W82&lt;35),0.35,0)+IF(AND(V82&lt;40,W82&gt;=35,W82&lt;75),0.25,0)+IF(AND(V82&lt;40,W82&gt;=75),0.17,0)+IF(AND(V82&gt;=40,V82&lt;75,W82&lt;25),0.35,0)+IF(AND(V82&gt;=40,V82&lt;75,W82&gt;=25,W82&lt;65),0.25,0)+IF(AND(V82&gt;=40,V82&lt;75,W82&gt;=65,W82&lt;100),0.17,0)+IF(AND(V82&gt;=40,V82&lt;75,W82&gt;=100),0.1,0)+IF(AND(V82&gt;=75,W82&lt;25),0.35,0)+IF(AND(V82&gt;=75,W82&gt;=25,W82&lt;60),0.25,0)+IF(AND(V82&gt;=75,W82&gt;=60,W82&lt;95),0.17,0)+IF(AND(V82&gt;=75,W82&gt;=95),0.1,0),
IF(AF82="DoEVold15",IF(AND(V82&lt;=40,W82&lt;35),0.35,0)+IF(AND(V82&lt;=40,W82&gt;=35,W82&lt;75),0.25,0)+IF(AND(V82&lt;=40,W82&gt;=75,W82&lt;120),0.17,0)+IF(AND(V82&lt;=40,W82&gt;=120),0.15,0)+IF(AND(V82&gt;40,V82&lt;75,W82&lt;25),0.35,0)+IF(AND(V82&gt;=40,V82&lt;75,W82&gt;=25,W82&lt;65),0.25,0)+IF(AND(V82&gt;=40,V82&lt;75,W82&gt;=65,W82&lt;100),0.17,0)+IF(AND(V82&gt;=40,V82&lt;75,W82&gt;=100),0.1,0)+IF(AND(V82&gt;=75,W82&lt;25),0.35,0)+IF(AND(V82&gt;=75,W82&gt;=25,W82&lt;60),0.25,0)+IF(AND(V82&gt;=75,W82&gt;=60,W82&lt;95),0.17,0)+IF(AND(V82&gt;=75,W82&gt;=95),0.1,0),
IF(AF82="DoEVba",IF(AND(V82&lt;20,W82&lt;105),0.2,0)+IF(AND(V82&lt;20,W82&gt;=105),0.15,0)+IF(AND(V82&gt;=20,V82&lt;40,W82&lt;95),0.2,0)+IF(AND(V82&gt;=20,V82&lt;40,W82&gt;=95,W82&lt;150),0.15,0)+IF(AND(V82&gt;=20,V82&lt;40,W82&gt;=150),0.12,0)+IF(AND(V82&gt;=40,V82&lt;75,W82&lt;75),0.2,0)+IF(AND(V82&gt;=40,V82&lt;75,W82&gt;=75,W82&lt;120),0.15,0)+IF(AND(V82&gt;=40,V82&lt;75,W82&gt;=120),0.12,0)+IF(AND(V82&gt;=75,V82&lt;175,W82&lt;65),0.2,0)+IF(AND(V82&gt;=75,V82&lt;175,W82&gt;=65,W82&lt;110),0.15,0)+IF(AND(V82&gt;=75,V82&lt;175,W82&gt;=110),0.12,0)+IF(AND(V82&gt;=175,W82&lt;55),0.2,0)+IF(AND(V82&gt;=175,W82&gt;=55,W82&lt;95),0.15,0)+IF(AND(V82&gt;=175,W82&gt;=95),0.12,0),
IF(AF82="DoEVku",IF(AND(V82&lt;20,W82&lt;55),0.23,0)+IF(AND(V82&lt;20,W82&gt;=55,W82&lt;105),0.2,0)+IF(AND(V82&lt;20,W82&gt;=105),0.17,0)+IF(AND(V82&gt;=20,V82&lt;40,W82&lt;45),0.23,0)+IF(AND(V82&gt;=20,V82&lt;40,W82&gt;=45,W82&lt;95),0.2,0)+IF(AND(V82&gt;=20,V82&lt;40,W82&gt;=95,W82&lt;=150),0.17,0)+IF(AND(V82&gt;=20,V82&lt;40,W82&gt;=150),0.12,0)+IF(AND(V82&gt;=40,V82&lt;75,W82&lt;35),0.23,0)+IF(AND(V82&gt;=40,V82&lt;75,W82&gt;=35,W82&lt;75),0.2,0)+IF(AND(V82&gt;=40,V82&lt;75,W82&gt;=75,W82&lt;120),0.17,0)+IF(AND(V82&gt;=40,V82&lt;75,W82&gt;=120),0.12,0)+IF(AND(V82&gt;=75,V82&lt;175,W82&lt;35),0.23,0)+IF(AND(V82&gt;=75,V82&lt;=175,W82&gt;=35,W82&lt;65),0.2,0)+IF(AND(V82&gt;=75,V82&lt;=175,W82&gt;=65,W82&lt;110),0.17,0)+IF(AND(V82&gt;=75,V82&lt;=175,W82&gt;=110),0.12,0)+IF(AND(V82&gt;175,W82&lt;25),0.23,0)+IF(AND(V82&gt;175,W82&gt;=25,W82&lt;55),0.2,0)+IF(AND(V82&gt;175,W82&gt;=55,W82&lt;95),0.17,0)+IF(AND(V82&gt;175,W82&gt;=95),0.12,0),
IF(AF82="DoEVs1",IF(AND(V82&lt;20,W82&lt;55),0.3,0)+IF(AND(V82&lt;20,W82&gt;=55,W82&lt;105),0.23,0)+IF(AND(V82&lt;20,W82&gt;=105),0.17,0)+IF(AND(V82&gt;=20,V82&lt;40,W82&lt;45),0.3,0)+IF(AND(V82&gt;=20,V82&lt;40,W82&gt;=45,W82&lt;95),0.23,0)+IF(AND(V82&gt;=20,V82&lt;40,W82&gt;=95,W82&lt;=150),0.17,0)+IF(AND(V82&gt;=20,V82&lt;40,W82&gt;=150),0.12,0)+IF(AND(V82&gt;=40,V82&lt;75,W82&lt;35),0.3,0)+IF(AND(V82&gt;=40,V82&lt;75,W82&gt;=35,W82&lt;75),0.23,0)+IF(AND(V82&gt;=40,V82&lt;75,W82&gt;=75,W82&lt;120),0.17,0)+IF(AND(V82&gt;=40,V82&lt;75,W82&gt;=120),0.12,0)+IF(AND(V82&gt;=75,V82&lt;175,W82&lt;35),0.3,0)+IF(AND(V82&gt;=75,V82&lt;=175,W82&gt;=35,W82&lt;65),0.23,0)+IF(AND(V82&gt;=75,V82&lt;=175,W82&gt;=65,W82&lt;110),0.17,0)+IF(AND(V82&gt;=75,V82&lt;=175,W82&gt;=110),0.12,0)+IF(AND(V82&gt;175,W82&lt;25),0.3,0)+IF(AND(V82&gt;175,W82&gt;=25,W82&lt;55),0.23,0)+IF(AND(V82&gt;175,W82&gt;=55,W82&lt;95),0.17,0)+IF(AND(V82&gt;175,W82&gt;=95),0.12,0),
IF(AF82="DoEVsu",IF(AND(V82&lt;20,W82&lt;55),0.3,0)+IF(AND(V82&lt;20,W82&gt;=55,W82&lt;105),0.23,0)+IF(AND(V82&lt;20,W82&gt;=105),0.17,0)+IF(AND(V82&gt;=20,V82&lt;40,W82&lt;45),0.3,0)+IF(AND(V82&gt;=20,V82&lt;40,W82&gt;=45,W82&lt;95),0.23,0)+IF(AND(V82&gt;=20,V82&lt;40,W82&gt;=95,W82&lt;=250),0.17,0)+IF(AND(V82&gt;=20,V82&lt;40,W82&gt;=250),0.12,0)+IF(AND(V82&gt;=40,V82&lt;75,W82&lt;35),0.3,0)+IF(AND(V82&gt;=40,V82&lt;75,W82&gt;=35,W82&lt;75),0.23,0)+IF(AND(V82&gt;=40,V82&lt;75,W82&gt;=75,W82&lt;120),0.17,0)+IF(AND(V82&gt;=40,V82&lt;75,W82&gt;=120),0.12,0)+IF(AND(V82&gt;=75,V82&lt;175,W82&lt;35),0.3,0)+IF(AND(V82&gt;=75,V82&lt;=175,W82&gt;=35,W82&lt;65),0.23,0)+IF(AND(V82&gt;=75,V82&lt;=175,W82&gt;=65,W82&lt;110),0.17,0)+IF(AND(V82&gt;=75,V82&lt;=175,W82&gt;=110),0.12,0)+IF(AND(V82&gt;175,W82&lt;25),0.3,0)+IF(AND(V82&gt;175,W82&gt;=25,W82&lt;55),0.23,0)+IF(AND(V82&gt;175,W82&gt;=55,W82&lt;95),0.17,0)+IF(AND(V82&gt;175,W82&gt;=95),0.12,0),
IF(AF82="DoEVni",IF(AND(V82&lt;20,W82&lt;55),0.3,0)+IF(AND(V82&lt;20,W82&gt;=55,W82&lt;105),0.23,0)+IF(AND(V82&lt;20,W82&gt;=105),0.17,0)+IF(AND(V82&gt;=20,V82&lt;40,W82&lt;45),0.3,0)+IF(AND(V82&gt;=20,V82&lt;40,W82&gt;=45,W82&lt;95),0.23,0)+IF(AND(V82&gt;=20,V82&lt;40,W82&gt;=95,W82&lt;=200),0.17,0)+IF(AND(V82&gt;=20,V82&lt;40,W82&gt;=200),0.12,0)+IF(AND(V82&gt;=40,V82&lt;75,W82&lt;35),0.3,0)+IF(AND(V82&gt;=40,V82&lt;75,W82&gt;=35,W82&lt;75),0.23,0)+IF(AND(V82&gt;=40,V82&lt;75,W82&gt;=75,W82&lt;120),0.17,0)+IF(AND(V82&gt;=40,V82&lt;75,W82&gt;=120),0.12,0)+IF(AND(V82&gt;=75,V82&lt;175,W82&lt;35),0.3,0)+IF(AND(V82&gt;=75,V82&lt;=175,W82&gt;=35,W82&lt;65),0.23,0)+IF(AND(V82&gt;=75,V82&lt;=175,W82&gt;=65,W82&lt;110),0.17,0)+IF(AND(V82&gt;=75,V82&lt;=175,W82&gt;=110),0.12,0)+IF(AND(V82&gt;175,W82&lt;25),0.3,0)+IF(AND(V82&gt;175,W82&gt;=25,W82&lt;55),0.23,0)+IF(AND(V82&gt;175,W82&gt;=55,W82&lt;95),0.17,0)+IF(AND(V82&gt;175,W82&gt;=95),0.12,0),
IF(AF82="DoEVLo",IF(AND(V82&lt;20,W82&lt;55),0.25,0)+IF(AND(V82&lt;20,W82&gt;=55,W82&lt;105),0.2,0)+IF(AND(V82&lt;20,W82&gt;=105),0.15,0)+IF(AND(V82&gt;=20,V82&lt;40,W82&lt;45),0.25,0)+IF(AND(V82&gt;=20,V82&lt;40,W82&gt;=45,W82&lt;95),0.2,0)+IF(AND(V82&gt;=20,V82&lt;40,W82&gt;=95),0.15,0)+IF(AND(V82&gt;=40,V82&lt;75,W82&lt;35),0.25,0)+IF(AND(V82&gt;=40,V82&lt;75,W82&gt;=35,W82&lt;75),0.2,0)+IF(AND(V82&gt;=40,V82&lt;75,W82&gt;=75,W82&lt;120),0.15,0)+IF(AND(V82&gt;=40,V82&lt;75,W82&gt;=120),0.1,0)+IF(AND(V82&gt;=75,V82&lt;175,W82&lt;35),0.25,0)+IF(AND(V82&gt;=75,V82&lt;=175,W82&gt;=35,W82&lt;65),0.2,0)+IF(AND(V82&gt;=75,V82&lt;=175,W82&gt;=65,W82&lt;110),0.15,0)+IF(AND(V82&gt;=75,V82&lt;=175,W82&gt;=110),0.1,0)+IF(AND(V82&gt;175,W82&lt;25),0.25,0)+IF(AND(V82&gt;175,W82&gt;=25,W82&lt;55),0.2,0)+IF(AND(V82&gt;175,W82&gt;=55,W82&lt;95),0.15,0)+IF(AND(V82&gt;175,W82&gt;=95),0.1,0))))))))))))))))</f>
        <v>0.15</v>
      </c>
      <c r="Y82" s="30">
        <f>IF(AG82="None",0,IF(AG82="Fix5",0.05,IF(AG82="Fix3.75",0.0375,IF(AG82="Fix10",0.1,IF(AG82="Fix3",0.03,0)))))</f>
        <v>0.05</v>
      </c>
      <c r="Z82" s="35">
        <f>T82-AA82-AB82</f>
        <v>2204</v>
      </c>
      <c r="AA82" s="29">
        <f>IF(AD82="EUR",((T82-R82)*X82)*U82+(R82*X82),(T82*X82))</f>
        <v>413.25</v>
      </c>
      <c r="AB82" s="36">
        <f>IF(AD82="EUR",((T82-R82)*Y82)*U82+(R82*Y82),(T82*Y82))</f>
        <v>137.75</v>
      </c>
      <c r="AC82" s="37" t="b">
        <v>1</v>
      </c>
      <c r="AD82" s="37" t="s">
        <v>38</v>
      </c>
      <c r="AE82" s="37" t="s">
        <v>38</v>
      </c>
      <c r="AF82" s="37" t="str">
        <f t="array" ref="AF82">INDEX('Deal Info'!D:D, MATCH(A82,'Deal Info'!A:A, 0))</f>
        <v>Fix15</v>
      </c>
      <c r="AG82" s="38" t="str">
        <f t="array" ref="AG82">INDEX('Deal Info'!G:G, MATCH(A82,'Deal Info'!A:A, 0))</f>
        <v>Fix5</v>
      </c>
    </row>
    <row r="83" spans="1:33" ht="14.25" hidden="1" x14ac:dyDescent="0.2">
      <c r="A83" s="18" t="str">
        <f t="array" ref="A83">IF(G83='Room Info'!$B$1, INDEX('Room Info'!$A$2:$A2446, MATCH(B83,'Room Info'!$B$2:$B2446, 0)),IF(G83='Room Info'!$C$1, INDEX('Room Info'!$A$2:$A2446, MATCH(B83,'Room Info'!$C$2:$C2446, 0)),IF(G83='Room Info'!$D$1, INDEX('Room Info'!$A$2:$A2446, MATCH(B83,'Room Info'!$D$2:$D2446, 0)),IF(G83='Room Info'!$E$1, INDEX('Room Info'!$A$2:$A2446, MATCH(B83,'Room Info'!$E$2:$E2446, 0)),IF(G83='Room Info'!$F$1, INDEX('Room Info'!$A$2:$A2446, MATCH(B83,'Room Info'!$F$2:$F2446, 0)),IF(G83='Room Info'!$H$1, INDEX('Room Info'!$A$2:$A2446, MATCH(B83,'Room Info'!$H$2:$H2446, 0)),IF(G83='Room Info'!$G$1, INDEX('Room Info'!$A$2:$A2446, MATCH(B83,'Room Info'!$G$2:$G2446, 0)))))))))</f>
        <v>AlexanderDSL</v>
      </c>
      <c r="B83" s="54" t="s">
        <v>82</v>
      </c>
      <c r="C83" s="46">
        <v>44217</v>
      </c>
      <c r="D83" s="46">
        <v>44247</v>
      </c>
      <c r="E83" s="47">
        <v>44228</v>
      </c>
      <c r="F83" s="45" t="s">
        <v>41</v>
      </c>
      <c r="G83" s="54" t="s">
        <v>35</v>
      </c>
      <c r="H83" s="49" t="s">
        <v>84</v>
      </c>
      <c r="I83" s="49" t="s">
        <v>44</v>
      </c>
      <c r="J83" s="50">
        <v>100</v>
      </c>
      <c r="K83" s="51">
        <v>2</v>
      </c>
      <c r="L83" s="52">
        <v>100</v>
      </c>
      <c r="M83" s="53">
        <v>6</v>
      </c>
      <c r="N83" s="28">
        <f>K83*J83</f>
        <v>200</v>
      </c>
      <c r="O83" s="65"/>
      <c r="P83" s="29">
        <v>0</v>
      </c>
      <c r="Q83" s="55"/>
      <c r="R83" s="31">
        <f>M83+Q83</f>
        <v>6</v>
      </c>
      <c r="S83" s="66"/>
      <c r="T83" s="32">
        <f>R83+S83+IF(F83="Without EV deal",L83,0)</f>
        <v>106</v>
      </c>
      <c r="U83" s="33">
        <v>1</v>
      </c>
      <c r="V83" s="58"/>
      <c r="W83" s="58"/>
      <c r="X83" s="30">
        <f>IF(AF83="DoEV",IF(AND(V83&lt;20,W83&lt;55),0.3,0)+IF(AND(V83&lt;20,W83&gt;=55,W83&lt;105),0.23,0)+IF(AND(V83&lt;20,W83&gt;=105),0.17,0)+IF(AND(V83&gt;=20,V83&lt;40,W83&lt;45),0.3,0)+IF(AND(V83&gt;=20,V83&lt;40,W83&gt;=45,W83&lt;95),0.23,0)+IF(AND(V83&gt;=20,V83&lt;40,W83&gt;=95),0.17,0)+IF(AND(V83&gt;=40,V83&lt;75,W83&lt;35),0.3,0)+IF(AND(V83&gt;=40,V83&lt;75,W83&gt;=35,W83&lt;75),0.23,0)+IF(AND(V83&gt;=40,V83&lt;75,W83&gt;=75,W83&lt;120),0.17,0)+IF(AND(V83&gt;=40,V83&lt;75,W83&gt;=120),0.12,0)+IF(AND(V83&gt;=75,V83&lt;175,W83&lt;35),0.3,0)+IF(AND(V83&gt;=75,V83&lt;=175,W83&gt;=35,W83&lt;65),0.23,0)+IF(AND(V83&gt;=75,V83&lt;=175,W83&gt;=65,W83&lt;110),0.17,0)+IF(AND(V83&gt;=75,V83&lt;=175,W83&gt;=110),0.12,0)+IF(AND(V83&gt;175,W83&lt;25),0.3,0)+IF(AND(V83&gt;175,W83&gt;=25,W83&lt;55),0.23,0)+IF(AND(V83&gt;175,W83&gt;=55,W83&lt;95),0.17,0)+IF(AND(V83&gt;175,W83&gt;=95),0.12,0),
IF(AF83="Fix15",0.15,
IF(AF83="Fix11.25",0.1125,
IF(AF83="Fix10",0.1,
IF(AF83="Fix9",0.09,
IF(AF83="DoEV2017",IF(AND(W83&lt;74),0.2,0)+IF(AND(W83&gt;=74),0.17,0),
IF(AF83="SF",IF(AND(V83&lt;20,W83&lt;89),0.3,0)+IF(AND(V83&lt;20,W83&gt;=89),0.25,0)+IF(AND(V83&gt;=20,V83&lt;40,W83&lt;74),0.3,0)+IF(AND(V83&gt;=20,V83&lt;40,W83&gt;=75),0.22,0)+IF(AND(V83&gt;=40,V83&lt;75,W83&lt;75),0.26,0)+IF(AND(V83&gt;=40,V83&lt;75,W83&gt;=75),0.22,0)+IF(V83&gt;=75,0.22,0),
IF(AF83="DoEVold",IF(AND(V83&lt;40,W83&lt;35),0.35,0)+IF(AND(V83&lt;40,W83&gt;=35,W83&lt;75),0.25,0)+IF(AND(V83&lt;40,W83&gt;=75),0.17,0)+IF(AND(V83&gt;=40,V83&lt;75,W83&lt;25),0.35,0)+IF(AND(V83&gt;=40,V83&lt;75,W83&gt;=25,W83&lt;65),0.25,0)+IF(AND(V83&gt;=40,V83&lt;75,W83&gt;=65,W83&lt;100),0.17,0)+IF(AND(V83&gt;=40,V83&lt;75,W83&gt;=100),0.1,0)+IF(AND(V83&gt;=75,W83&lt;25),0.35,0)+IF(AND(V83&gt;=75,W83&gt;=25,W83&lt;60),0.25,0)+IF(AND(V83&gt;=75,W83&gt;=60,W83&lt;95),0.17,0)+IF(AND(V83&gt;=75,W83&gt;=95),0.1,0),
IF(AF83="DoEVold15",IF(AND(V83&lt;=40,W83&lt;35),0.35,0)+IF(AND(V83&lt;=40,W83&gt;=35,W83&lt;75),0.25,0)+IF(AND(V83&lt;=40,W83&gt;=75,W83&lt;120),0.17,0)+IF(AND(V83&lt;=40,W83&gt;=120),0.15,0)+IF(AND(V83&gt;40,V83&lt;75,W83&lt;25),0.35,0)+IF(AND(V83&gt;=40,V83&lt;75,W83&gt;=25,W83&lt;65),0.25,0)+IF(AND(V83&gt;=40,V83&lt;75,W83&gt;=65,W83&lt;100),0.17,0)+IF(AND(V83&gt;=40,V83&lt;75,W83&gt;=100),0.1,0)+IF(AND(V83&gt;=75,W83&lt;25),0.35,0)+IF(AND(V83&gt;=75,W83&gt;=25,W83&lt;60),0.25,0)+IF(AND(V83&gt;=75,W83&gt;=60,W83&lt;95),0.17,0)+IF(AND(V83&gt;=75,W83&gt;=95),0.1,0),
IF(AF83="DoEVba",IF(AND(V83&lt;20,W83&lt;105),0.2,0)+IF(AND(V83&lt;20,W83&gt;=105),0.15,0)+IF(AND(V83&gt;=20,V83&lt;40,W83&lt;95),0.2,0)+IF(AND(V83&gt;=20,V83&lt;40,W83&gt;=95,W83&lt;150),0.15,0)+IF(AND(V83&gt;=20,V83&lt;40,W83&gt;=150),0.12,0)+IF(AND(V83&gt;=40,V83&lt;75,W83&lt;75),0.2,0)+IF(AND(V83&gt;=40,V83&lt;75,W83&gt;=75,W83&lt;120),0.15,0)+IF(AND(V83&gt;=40,V83&lt;75,W83&gt;=120),0.12,0)+IF(AND(V83&gt;=75,V83&lt;175,W83&lt;65),0.2,0)+IF(AND(V83&gt;=75,V83&lt;175,W83&gt;=65,W83&lt;110),0.15,0)+IF(AND(V83&gt;=75,V83&lt;175,W83&gt;=110),0.12,0)+IF(AND(V83&gt;=175,W83&lt;55),0.2,0)+IF(AND(V83&gt;=175,W83&gt;=55,W83&lt;95),0.15,0)+IF(AND(V83&gt;=175,W83&gt;=95),0.12,0),
IF(AF83="DoEVku",IF(AND(V83&lt;20,W83&lt;55),0.23,0)+IF(AND(V83&lt;20,W83&gt;=55,W83&lt;105),0.2,0)+IF(AND(V83&lt;20,W83&gt;=105),0.17,0)+IF(AND(V83&gt;=20,V83&lt;40,W83&lt;45),0.23,0)+IF(AND(V83&gt;=20,V83&lt;40,W83&gt;=45,W83&lt;95),0.2,0)+IF(AND(V83&gt;=20,V83&lt;40,W83&gt;=95,W83&lt;=150),0.17,0)+IF(AND(V83&gt;=20,V83&lt;40,W83&gt;=150),0.12,0)+IF(AND(V83&gt;=40,V83&lt;75,W83&lt;35),0.23,0)+IF(AND(V83&gt;=40,V83&lt;75,W83&gt;=35,W83&lt;75),0.2,0)+IF(AND(V83&gt;=40,V83&lt;75,W83&gt;=75,W83&lt;120),0.17,0)+IF(AND(V83&gt;=40,V83&lt;75,W83&gt;=120),0.12,0)+IF(AND(V83&gt;=75,V83&lt;175,W83&lt;35),0.23,0)+IF(AND(V83&gt;=75,V83&lt;=175,W83&gt;=35,W83&lt;65),0.2,0)+IF(AND(V83&gt;=75,V83&lt;=175,W83&gt;=65,W83&lt;110),0.17,0)+IF(AND(V83&gt;=75,V83&lt;=175,W83&gt;=110),0.12,0)+IF(AND(V83&gt;175,W83&lt;25),0.23,0)+IF(AND(V83&gt;175,W83&gt;=25,W83&lt;55),0.2,0)+IF(AND(V83&gt;175,W83&gt;=55,W83&lt;95),0.17,0)+IF(AND(V83&gt;175,W83&gt;=95),0.12,0),
IF(AF83="DoEVs1",IF(AND(V83&lt;20,W83&lt;55),0.3,0)+IF(AND(V83&lt;20,W83&gt;=55,W83&lt;105),0.23,0)+IF(AND(V83&lt;20,W83&gt;=105),0.17,0)+IF(AND(V83&gt;=20,V83&lt;40,W83&lt;45),0.3,0)+IF(AND(V83&gt;=20,V83&lt;40,W83&gt;=45,W83&lt;95),0.23,0)+IF(AND(V83&gt;=20,V83&lt;40,W83&gt;=95,W83&lt;=150),0.17,0)+IF(AND(V83&gt;=20,V83&lt;40,W83&gt;=150),0.12,0)+IF(AND(V83&gt;=40,V83&lt;75,W83&lt;35),0.3,0)+IF(AND(V83&gt;=40,V83&lt;75,W83&gt;=35,W83&lt;75),0.23,0)+IF(AND(V83&gt;=40,V83&lt;75,W83&gt;=75,W83&lt;120),0.17,0)+IF(AND(V83&gt;=40,V83&lt;75,W83&gt;=120),0.12,0)+IF(AND(V83&gt;=75,V83&lt;175,W83&lt;35),0.3,0)+IF(AND(V83&gt;=75,V83&lt;=175,W83&gt;=35,W83&lt;65),0.23,0)+IF(AND(V83&gt;=75,V83&lt;=175,W83&gt;=65,W83&lt;110),0.17,0)+IF(AND(V83&gt;=75,V83&lt;=175,W83&gt;=110),0.12,0)+IF(AND(V83&gt;175,W83&lt;25),0.3,0)+IF(AND(V83&gt;175,W83&gt;=25,W83&lt;55),0.23,0)+IF(AND(V83&gt;175,W83&gt;=55,W83&lt;95),0.17,0)+IF(AND(V83&gt;175,W83&gt;=95),0.12,0),
IF(AF83="DoEVsu",IF(AND(V83&lt;20,W83&lt;55),0.3,0)+IF(AND(V83&lt;20,W83&gt;=55,W83&lt;105),0.23,0)+IF(AND(V83&lt;20,W83&gt;=105),0.17,0)+IF(AND(V83&gt;=20,V83&lt;40,W83&lt;45),0.3,0)+IF(AND(V83&gt;=20,V83&lt;40,W83&gt;=45,W83&lt;95),0.23,0)+IF(AND(V83&gt;=20,V83&lt;40,W83&gt;=95,W83&lt;=250),0.17,0)+IF(AND(V83&gt;=20,V83&lt;40,W83&gt;=250),0.12,0)+IF(AND(V83&gt;=40,V83&lt;75,W83&lt;35),0.3,0)+IF(AND(V83&gt;=40,V83&lt;75,W83&gt;=35,W83&lt;75),0.23,0)+IF(AND(V83&gt;=40,V83&lt;75,W83&gt;=75,W83&lt;120),0.17,0)+IF(AND(V83&gt;=40,V83&lt;75,W83&gt;=120),0.12,0)+IF(AND(V83&gt;=75,V83&lt;175,W83&lt;35),0.3,0)+IF(AND(V83&gt;=75,V83&lt;=175,W83&gt;=35,W83&lt;65),0.23,0)+IF(AND(V83&gt;=75,V83&lt;=175,W83&gt;=65,W83&lt;110),0.17,0)+IF(AND(V83&gt;=75,V83&lt;=175,W83&gt;=110),0.12,0)+IF(AND(V83&gt;175,W83&lt;25),0.3,0)+IF(AND(V83&gt;175,W83&gt;=25,W83&lt;55),0.23,0)+IF(AND(V83&gt;175,W83&gt;=55,W83&lt;95),0.17,0)+IF(AND(V83&gt;175,W83&gt;=95),0.12,0),
IF(AF83="DoEVni",IF(AND(V83&lt;20,W83&lt;55),0.3,0)+IF(AND(V83&lt;20,W83&gt;=55,W83&lt;105),0.23,0)+IF(AND(V83&lt;20,W83&gt;=105),0.17,0)+IF(AND(V83&gt;=20,V83&lt;40,W83&lt;45),0.3,0)+IF(AND(V83&gt;=20,V83&lt;40,W83&gt;=45,W83&lt;95),0.23,0)+IF(AND(V83&gt;=20,V83&lt;40,W83&gt;=95,W83&lt;=200),0.17,0)+IF(AND(V83&gt;=20,V83&lt;40,W83&gt;=200),0.12,0)+IF(AND(V83&gt;=40,V83&lt;75,W83&lt;35),0.3,0)+IF(AND(V83&gt;=40,V83&lt;75,W83&gt;=35,W83&lt;75),0.23,0)+IF(AND(V83&gt;=40,V83&lt;75,W83&gt;=75,W83&lt;120),0.17,0)+IF(AND(V83&gt;=40,V83&lt;75,W83&gt;=120),0.12,0)+IF(AND(V83&gt;=75,V83&lt;175,W83&lt;35),0.3,0)+IF(AND(V83&gt;=75,V83&lt;=175,W83&gt;=35,W83&lt;65),0.23,0)+IF(AND(V83&gt;=75,V83&lt;=175,W83&gt;=65,W83&lt;110),0.17,0)+IF(AND(V83&gt;=75,V83&lt;=175,W83&gt;=110),0.12,0)+IF(AND(V83&gt;175,W83&lt;25),0.3,0)+IF(AND(V83&gt;175,W83&gt;=25,W83&lt;55),0.23,0)+IF(AND(V83&gt;175,W83&gt;=55,W83&lt;95),0.17,0)+IF(AND(V83&gt;175,W83&gt;=95),0.12,0),
IF(AF83="DoEVLo",IF(AND(V83&lt;20,W83&lt;55),0.25,0)+IF(AND(V83&lt;20,W83&gt;=55,W83&lt;105),0.2,0)+IF(AND(V83&lt;20,W83&gt;=105),0.15,0)+IF(AND(V83&gt;=20,V83&lt;40,W83&lt;45),0.25,0)+IF(AND(V83&gt;=20,V83&lt;40,W83&gt;=45,W83&lt;95),0.2,0)+IF(AND(V83&gt;=20,V83&lt;40,W83&gt;=95),0.15,0)+IF(AND(V83&gt;=40,V83&lt;75,W83&lt;35),0.25,0)+IF(AND(V83&gt;=40,V83&lt;75,W83&gt;=35,W83&lt;75),0.2,0)+IF(AND(V83&gt;=40,V83&lt;75,W83&gt;=75,W83&lt;120),0.15,0)+IF(AND(V83&gt;=40,V83&lt;75,W83&gt;=120),0.1,0)+IF(AND(V83&gt;=75,V83&lt;175,W83&lt;35),0.25,0)+IF(AND(V83&gt;=75,V83&lt;=175,W83&gt;=35,W83&lt;65),0.2,0)+IF(AND(V83&gt;=75,V83&lt;=175,W83&gt;=65,W83&lt;110),0.15,0)+IF(AND(V83&gt;=75,V83&lt;=175,W83&gt;=110),0.1,0)+IF(AND(V83&gt;175,W83&lt;25),0.25,0)+IF(AND(V83&gt;175,W83&gt;=25,W83&lt;55),0.2,0)+IF(AND(V83&gt;175,W83&gt;=55,W83&lt;95),0.15,0)+IF(AND(V83&gt;175,W83&gt;=95),0.1,0))))))))))))))))</f>
        <v>0.15</v>
      </c>
      <c r="Y83" s="30">
        <f>IF(AG83="None",0,IF(AG83="Fix5",0.05,IF(AG83="Fix3.75",0.0375,IF(AG83="Fix10",0.1,IF(AG83="Fix3",0.03,0)))))</f>
        <v>0.05</v>
      </c>
      <c r="Z83" s="35">
        <f>T83-AA83-AB83</f>
        <v>84.8</v>
      </c>
      <c r="AA83" s="29">
        <f>IF(AD83="EUR",((T83-R83)*X83)*U83+(R83*X83),(T83*X83))</f>
        <v>15.899999999999999</v>
      </c>
      <c r="AB83" s="36">
        <f>IF(AD83="EUR",((T83-R83)*Y83)*U83+(R83*Y83),(T83*Y83))</f>
        <v>5.3000000000000007</v>
      </c>
      <c r="AC83" s="37" t="b">
        <v>1</v>
      </c>
      <c r="AD83" s="37" t="s">
        <v>38</v>
      </c>
      <c r="AE83" s="37" t="s">
        <v>38</v>
      </c>
      <c r="AF83" s="37" t="str">
        <f t="array" ref="AF83">INDEX('Deal Info'!D:D, MATCH(A83,'Deal Info'!A:A, 0))</f>
        <v>Fix15</v>
      </c>
      <c r="AG83" s="38" t="str">
        <f t="array" ref="AG83">INDEX('Deal Info'!G:G, MATCH(A83,'Deal Info'!A:A, 0))</f>
        <v>Fix5</v>
      </c>
    </row>
    <row r="84" spans="1:33" ht="14.25" hidden="1" x14ac:dyDescent="0.2">
      <c r="A84" s="18" t="str">
        <f t="array" ref="A84">IF(G84='Room Info'!$B$1, INDEX('Room Info'!$A$2:$A2446, MATCH(B84,'Room Info'!$B$2:$B2446, 0)),IF(G84='Room Info'!$C$1, INDEX('Room Info'!$A$2:$A2446, MATCH(B84,'Room Info'!$C$2:$C2446, 0)),IF(G84='Room Info'!$D$1, INDEX('Room Info'!$A$2:$A2446, MATCH(B84,'Room Info'!$D$2:$D2446, 0)),IF(G84='Room Info'!$E$1, INDEX('Room Info'!$A$2:$A2446, MATCH(B84,'Room Info'!$E$2:$E2446, 0)),IF(G84='Room Info'!$F$1, INDEX('Room Info'!$A$2:$A2446, MATCH(B84,'Room Info'!$F$2:$F2446, 0)),IF(G84='Room Info'!$H$1, INDEX('Room Info'!$A$2:$A2446, MATCH(B84,'Room Info'!$H$2:$H2446, 0)),IF(G84='Room Info'!$G$1, INDEX('Room Info'!$A$2:$A2446, MATCH(B84,'Room Info'!$G$2:$G2446, 0)))))))))</f>
        <v>AlexanderDSL</v>
      </c>
      <c r="B84" s="54" t="s">
        <v>82</v>
      </c>
      <c r="C84" s="67">
        <v>44217</v>
      </c>
      <c r="D84" s="67">
        <v>44247</v>
      </c>
      <c r="E84" s="47">
        <v>44228</v>
      </c>
      <c r="F84" s="45" t="s">
        <v>41</v>
      </c>
      <c r="G84" s="54" t="s">
        <v>35</v>
      </c>
      <c r="H84" s="49" t="s">
        <v>85</v>
      </c>
      <c r="I84" s="49" t="s">
        <v>44</v>
      </c>
      <c r="J84" s="50">
        <v>50</v>
      </c>
      <c r="K84" s="51">
        <v>2</v>
      </c>
      <c r="L84" s="52">
        <v>-300</v>
      </c>
      <c r="M84" s="53">
        <v>6</v>
      </c>
      <c r="N84" s="28">
        <f>K84*J84</f>
        <v>100</v>
      </c>
      <c r="O84" s="65"/>
      <c r="P84" s="29">
        <v>0</v>
      </c>
      <c r="Q84" s="55"/>
      <c r="R84" s="31">
        <f>M84+Q84</f>
        <v>6</v>
      </c>
      <c r="S84" s="66"/>
      <c r="T84" s="32">
        <f>R84+S84+IF(F84="Without EV deal",L84,0)</f>
        <v>-294</v>
      </c>
      <c r="U84" s="33">
        <v>1</v>
      </c>
      <c r="V84" s="58"/>
      <c r="W84" s="58"/>
      <c r="X84" s="30">
        <f>IF(AF84="DoEV",IF(AND(V84&lt;20,W84&lt;55),0.3,0)+IF(AND(V84&lt;20,W84&gt;=55,W84&lt;105),0.23,0)+IF(AND(V84&lt;20,W84&gt;=105),0.17,0)+IF(AND(V84&gt;=20,V84&lt;40,W84&lt;45),0.3,0)+IF(AND(V84&gt;=20,V84&lt;40,W84&gt;=45,W84&lt;95),0.23,0)+IF(AND(V84&gt;=20,V84&lt;40,W84&gt;=95),0.17,0)+IF(AND(V84&gt;=40,V84&lt;75,W84&lt;35),0.3,0)+IF(AND(V84&gt;=40,V84&lt;75,W84&gt;=35,W84&lt;75),0.23,0)+IF(AND(V84&gt;=40,V84&lt;75,W84&gt;=75,W84&lt;120),0.17,0)+IF(AND(V84&gt;=40,V84&lt;75,W84&gt;=120),0.12,0)+IF(AND(V84&gt;=75,V84&lt;175,W84&lt;35),0.3,0)+IF(AND(V84&gt;=75,V84&lt;=175,W84&gt;=35,W84&lt;65),0.23,0)+IF(AND(V84&gt;=75,V84&lt;=175,W84&gt;=65,W84&lt;110),0.17,0)+IF(AND(V84&gt;=75,V84&lt;=175,W84&gt;=110),0.12,0)+IF(AND(V84&gt;175,W84&lt;25),0.3,0)+IF(AND(V84&gt;175,W84&gt;=25,W84&lt;55),0.23,0)+IF(AND(V84&gt;175,W84&gt;=55,W84&lt;95),0.17,0)+IF(AND(V84&gt;175,W84&gt;=95),0.12,0),
IF(AF84="Fix15",0.15,
IF(AF84="Fix11.25",0.1125,
IF(AF84="Fix10",0.1,
IF(AF84="Fix9",0.09,
IF(AF84="DoEV2017",IF(AND(W84&lt;74),0.2,0)+IF(AND(W84&gt;=74),0.17,0),
IF(AF84="SF",IF(AND(V84&lt;20,W84&lt;89),0.3,0)+IF(AND(V84&lt;20,W84&gt;=89),0.25,0)+IF(AND(V84&gt;=20,V84&lt;40,W84&lt;74),0.3,0)+IF(AND(V84&gt;=20,V84&lt;40,W84&gt;=75),0.22,0)+IF(AND(V84&gt;=40,V84&lt;75,W84&lt;75),0.26,0)+IF(AND(V84&gt;=40,V84&lt;75,W84&gt;=75),0.22,0)+IF(V84&gt;=75,0.22,0),
IF(AF84="DoEVold",IF(AND(V84&lt;40,W84&lt;35),0.35,0)+IF(AND(V84&lt;40,W84&gt;=35,W84&lt;75),0.25,0)+IF(AND(V84&lt;40,W84&gt;=75),0.17,0)+IF(AND(V84&gt;=40,V84&lt;75,W84&lt;25),0.35,0)+IF(AND(V84&gt;=40,V84&lt;75,W84&gt;=25,W84&lt;65),0.25,0)+IF(AND(V84&gt;=40,V84&lt;75,W84&gt;=65,W84&lt;100),0.17,0)+IF(AND(V84&gt;=40,V84&lt;75,W84&gt;=100),0.1,0)+IF(AND(V84&gt;=75,W84&lt;25),0.35,0)+IF(AND(V84&gt;=75,W84&gt;=25,W84&lt;60),0.25,0)+IF(AND(V84&gt;=75,W84&gt;=60,W84&lt;95),0.17,0)+IF(AND(V84&gt;=75,W84&gt;=95),0.1,0),
IF(AF84="DoEVold15",IF(AND(V84&lt;=40,W84&lt;35),0.35,0)+IF(AND(V84&lt;=40,W84&gt;=35,W84&lt;75),0.25,0)+IF(AND(V84&lt;=40,W84&gt;=75,W84&lt;120),0.17,0)+IF(AND(V84&lt;=40,W84&gt;=120),0.15,0)+IF(AND(V84&gt;40,V84&lt;75,W84&lt;25),0.35,0)+IF(AND(V84&gt;=40,V84&lt;75,W84&gt;=25,W84&lt;65),0.25,0)+IF(AND(V84&gt;=40,V84&lt;75,W84&gt;=65,W84&lt;100),0.17,0)+IF(AND(V84&gt;=40,V84&lt;75,W84&gt;=100),0.1,0)+IF(AND(V84&gt;=75,W84&lt;25),0.35,0)+IF(AND(V84&gt;=75,W84&gt;=25,W84&lt;60),0.25,0)+IF(AND(V84&gt;=75,W84&gt;=60,W84&lt;95),0.17,0)+IF(AND(V84&gt;=75,W84&gt;=95),0.1,0),
IF(AF84="DoEVba",IF(AND(V84&lt;20,W84&lt;105),0.2,0)+IF(AND(V84&lt;20,W84&gt;=105),0.15,0)+IF(AND(V84&gt;=20,V84&lt;40,W84&lt;95),0.2,0)+IF(AND(V84&gt;=20,V84&lt;40,W84&gt;=95,W84&lt;150),0.15,0)+IF(AND(V84&gt;=20,V84&lt;40,W84&gt;=150),0.12,0)+IF(AND(V84&gt;=40,V84&lt;75,W84&lt;75),0.2,0)+IF(AND(V84&gt;=40,V84&lt;75,W84&gt;=75,W84&lt;120),0.15,0)+IF(AND(V84&gt;=40,V84&lt;75,W84&gt;=120),0.12,0)+IF(AND(V84&gt;=75,V84&lt;175,W84&lt;65),0.2,0)+IF(AND(V84&gt;=75,V84&lt;175,W84&gt;=65,W84&lt;110),0.15,0)+IF(AND(V84&gt;=75,V84&lt;175,W84&gt;=110),0.12,0)+IF(AND(V84&gt;=175,W84&lt;55),0.2,0)+IF(AND(V84&gt;=175,W84&gt;=55,W84&lt;95),0.15,0)+IF(AND(V84&gt;=175,W84&gt;=95),0.12,0),
IF(AF84="DoEVku",IF(AND(V84&lt;20,W84&lt;55),0.23,0)+IF(AND(V84&lt;20,W84&gt;=55,W84&lt;105),0.2,0)+IF(AND(V84&lt;20,W84&gt;=105),0.17,0)+IF(AND(V84&gt;=20,V84&lt;40,W84&lt;45),0.23,0)+IF(AND(V84&gt;=20,V84&lt;40,W84&gt;=45,W84&lt;95),0.2,0)+IF(AND(V84&gt;=20,V84&lt;40,W84&gt;=95,W84&lt;=150),0.17,0)+IF(AND(V84&gt;=20,V84&lt;40,W84&gt;=150),0.12,0)+IF(AND(V84&gt;=40,V84&lt;75,W84&lt;35),0.23,0)+IF(AND(V84&gt;=40,V84&lt;75,W84&gt;=35,W84&lt;75),0.2,0)+IF(AND(V84&gt;=40,V84&lt;75,W84&gt;=75,W84&lt;120),0.17,0)+IF(AND(V84&gt;=40,V84&lt;75,W84&gt;=120),0.12,0)+IF(AND(V84&gt;=75,V84&lt;175,W84&lt;35),0.23,0)+IF(AND(V84&gt;=75,V84&lt;=175,W84&gt;=35,W84&lt;65),0.2,0)+IF(AND(V84&gt;=75,V84&lt;=175,W84&gt;=65,W84&lt;110),0.17,0)+IF(AND(V84&gt;=75,V84&lt;=175,W84&gt;=110),0.12,0)+IF(AND(V84&gt;175,W84&lt;25),0.23,0)+IF(AND(V84&gt;175,W84&gt;=25,W84&lt;55),0.2,0)+IF(AND(V84&gt;175,W84&gt;=55,W84&lt;95),0.17,0)+IF(AND(V84&gt;175,W84&gt;=95),0.12,0),
IF(AF84="DoEVs1",IF(AND(V84&lt;20,W84&lt;55),0.3,0)+IF(AND(V84&lt;20,W84&gt;=55,W84&lt;105),0.23,0)+IF(AND(V84&lt;20,W84&gt;=105),0.17,0)+IF(AND(V84&gt;=20,V84&lt;40,W84&lt;45),0.3,0)+IF(AND(V84&gt;=20,V84&lt;40,W84&gt;=45,W84&lt;95),0.23,0)+IF(AND(V84&gt;=20,V84&lt;40,W84&gt;=95,W84&lt;=150),0.17,0)+IF(AND(V84&gt;=20,V84&lt;40,W84&gt;=150),0.12,0)+IF(AND(V84&gt;=40,V84&lt;75,W84&lt;35),0.3,0)+IF(AND(V84&gt;=40,V84&lt;75,W84&gt;=35,W84&lt;75),0.23,0)+IF(AND(V84&gt;=40,V84&lt;75,W84&gt;=75,W84&lt;120),0.17,0)+IF(AND(V84&gt;=40,V84&lt;75,W84&gt;=120),0.12,0)+IF(AND(V84&gt;=75,V84&lt;175,W84&lt;35),0.3,0)+IF(AND(V84&gt;=75,V84&lt;=175,W84&gt;=35,W84&lt;65),0.23,0)+IF(AND(V84&gt;=75,V84&lt;=175,W84&gt;=65,W84&lt;110),0.17,0)+IF(AND(V84&gt;=75,V84&lt;=175,W84&gt;=110),0.12,0)+IF(AND(V84&gt;175,W84&lt;25),0.3,0)+IF(AND(V84&gt;175,W84&gt;=25,W84&lt;55),0.23,0)+IF(AND(V84&gt;175,W84&gt;=55,W84&lt;95),0.17,0)+IF(AND(V84&gt;175,W84&gt;=95),0.12,0),
IF(AF84="DoEVsu",IF(AND(V84&lt;20,W84&lt;55),0.3,0)+IF(AND(V84&lt;20,W84&gt;=55,W84&lt;105),0.23,0)+IF(AND(V84&lt;20,W84&gt;=105),0.17,0)+IF(AND(V84&gt;=20,V84&lt;40,W84&lt;45),0.3,0)+IF(AND(V84&gt;=20,V84&lt;40,W84&gt;=45,W84&lt;95),0.23,0)+IF(AND(V84&gt;=20,V84&lt;40,W84&gt;=95,W84&lt;=250),0.17,0)+IF(AND(V84&gt;=20,V84&lt;40,W84&gt;=250),0.12,0)+IF(AND(V84&gt;=40,V84&lt;75,W84&lt;35),0.3,0)+IF(AND(V84&gt;=40,V84&lt;75,W84&gt;=35,W84&lt;75),0.23,0)+IF(AND(V84&gt;=40,V84&lt;75,W84&gt;=75,W84&lt;120),0.17,0)+IF(AND(V84&gt;=40,V84&lt;75,W84&gt;=120),0.12,0)+IF(AND(V84&gt;=75,V84&lt;175,W84&lt;35),0.3,0)+IF(AND(V84&gt;=75,V84&lt;=175,W84&gt;=35,W84&lt;65),0.23,0)+IF(AND(V84&gt;=75,V84&lt;=175,W84&gt;=65,W84&lt;110),0.17,0)+IF(AND(V84&gt;=75,V84&lt;=175,W84&gt;=110),0.12,0)+IF(AND(V84&gt;175,W84&lt;25),0.3,0)+IF(AND(V84&gt;175,W84&gt;=25,W84&lt;55),0.23,0)+IF(AND(V84&gt;175,W84&gt;=55,W84&lt;95),0.17,0)+IF(AND(V84&gt;175,W84&gt;=95),0.12,0),
IF(AF84="DoEVni",IF(AND(V84&lt;20,W84&lt;55),0.3,0)+IF(AND(V84&lt;20,W84&gt;=55,W84&lt;105),0.23,0)+IF(AND(V84&lt;20,W84&gt;=105),0.17,0)+IF(AND(V84&gt;=20,V84&lt;40,W84&lt;45),0.3,0)+IF(AND(V84&gt;=20,V84&lt;40,W84&gt;=45,W84&lt;95),0.23,0)+IF(AND(V84&gt;=20,V84&lt;40,W84&gt;=95,W84&lt;=200),0.17,0)+IF(AND(V84&gt;=20,V84&lt;40,W84&gt;=200),0.12,0)+IF(AND(V84&gt;=40,V84&lt;75,W84&lt;35),0.3,0)+IF(AND(V84&gt;=40,V84&lt;75,W84&gt;=35,W84&lt;75),0.23,0)+IF(AND(V84&gt;=40,V84&lt;75,W84&gt;=75,W84&lt;120),0.17,0)+IF(AND(V84&gt;=40,V84&lt;75,W84&gt;=120),0.12,0)+IF(AND(V84&gt;=75,V84&lt;175,W84&lt;35),0.3,0)+IF(AND(V84&gt;=75,V84&lt;=175,W84&gt;=35,W84&lt;65),0.23,0)+IF(AND(V84&gt;=75,V84&lt;=175,W84&gt;=65,W84&lt;110),0.17,0)+IF(AND(V84&gt;=75,V84&lt;=175,W84&gt;=110),0.12,0)+IF(AND(V84&gt;175,W84&lt;25),0.3,0)+IF(AND(V84&gt;175,W84&gt;=25,W84&lt;55),0.23,0)+IF(AND(V84&gt;175,W84&gt;=55,W84&lt;95),0.17,0)+IF(AND(V84&gt;175,W84&gt;=95),0.12,0),
IF(AF84="DoEVLo",IF(AND(V84&lt;20,W84&lt;55),0.25,0)+IF(AND(V84&lt;20,W84&gt;=55,W84&lt;105),0.2,0)+IF(AND(V84&lt;20,W84&gt;=105),0.15,0)+IF(AND(V84&gt;=20,V84&lt;40,W84&lt;45),0.25,0)+IF(AND(V84&gt;=20,V84&lt;40,W84&gt;=45,W84&lt;95),0.2,0)+IF(AND(V84&gt;=20,V84&lt;40,W84&gt;=95),0.15,0)+IF(AND(V84&gt;=40,V84&lt;75,W84&lt;35),0.25,0)+IF(AND(V84&gt;=40,V84&lt;75,W84&gt;=35,W84&lt;75),0.2,0)+IF(AND(V84&gt;=40,V84&lt;75,W84&gt;=75,W84&lt;120),0.15,0)+IF(AND(V84&gt;=40,V84&lt;75,W84&gt;=120),0.1,0)+IF(AND(V84&gt;=75,V84&lt;175,W84&lt;35),0.25,0)+IF(AND(V84&gt;=75,V84&lt;=175,W84&gt;=35,W84&lt;65),0.2,0)+IF(AND(V84&gt;=75,V84&lt;=175,W84&gt;=65,W84&lt;110),0.15,0)+IF(AND(V84&gt;=75,V84&lt;=175,W84&gt;=110),0.1,0)+IF(AND(V84&gt;175,W84&lt;25),0.25,0)+IF(AND(V84&gt;175,W84&gt;=25,W84&lt;55),0.2,0)+IF(AND(V84&gt;175,W84&gt;=55,W84&lt;95),0.15,0)+IF(AND(V84&gt;175,W84&gt;=95),0.1,0))))))))))))))))</f>
        <v>0.15</v>
      </c>
      <c r="Y84" s="30">
        <f>IF(AG84="None",0,IF(AG84="Fix5",0.05,IF(AG84="Fix3.75",0.0375,IF(AG84="Fix10",0.1,IF(AG84="Fix3",0.03,0)))))</f>
        <v>0.05</v>
      </c>
      <c r="Z84" s="35">
        <f>T84-AA84-AB84</f>
        <v>-235.20000000000002</v>
      </c>
      <c r="AA84" s="29">
        <f>IF(AD84="EUR",((T84-R84)*X84)*U84+(R84*X84),(T84*X84))</f>
        <v>-44.1</v>
      </c>
      <c r="AB84" s="36">
        <f>IF(AD84="EUR",((T84-R84)*Y84)*U84+(R84*Y84),(T84*Y84))</f>
        <v>-14.700000000000001</v>
      </c>
      <c r="AC84" s="37" t="b">
        <v>1</v>
      </c>
      <c r="AD84" s="37" t="s">
        <v>38</v>
      </c>
      <c r="AE84" s="37" t="s">
        <v>38</v>
      </c>
      <c r="AF84" s="37" t="str">
        <f t="array" ref="AF84">INDEX('Deal Info'!D:D, MATCH(A84,'Deal Info'!A:A, 0))</f>
        <v>Fix15</v>
      </c>
      <c r="AG84" s="38" t="str">
        <f t="array" ref="AG84">INDEX('Deal Info'!G:G, MATCH(A84,'Deal Info'!A:A, 0))</f>
        <v>Fix5</v>
      </c>
    </row>
    <row r="85" spans="1:33" ht="14.25" hidden="1" x14ac:dyDescent="0.2">
      <c r="A85" s="18" t="str">
        <f t="array" ref="A85">IF(G85='Room Info'!$B$1, INDEX('Room Info'!$A$2:$A2446, MATCH(B85,'Room Info'!$B$2:$B2446, 0)),IF(G85='Room Info'!$C$1, INDEX('Room Info'!$A$2:$A2446, MATCH(B85,'Room Info'!$C$2:$C2446, 0)),IF(G85='Room Info'!$D$1, INDEX('Room Info'!$A$2:$A2446, MATCH(B85,'Room Info'!$D$2:$D2446, 0)),IF(G85='Room Info'!$E$1, INDEX('Room Info'!$A$2:$A2446, MATCH(B85,'Room Info'!$E$2:$E2446, 0)),IF(G85='Room Info'!$F$1, INDEX('Room Info'!$A$2:$A2446, MATCH(B85,'Room Info'!$F$2:$F2446, 0)),IF(G85='Room Info'!$H$1, INDEX('Room Info'!$A$2:$A2446, MATCH(B85,'Room Info'!$H$2:$H2446, 0)),IF(G85='Room Info'!$G$1, INDEX('Room Info'!$A$2:$A2446, MATCH(B85,'Room Info'!$G$2:$G2446, 0)))))))))</f>
        <v>AlexanderDSL</v>
      </c>
      <c r="B85" s="54" t="s">
        <v>82</v>
      </c>
      <c r="C85" s="67">
        <v>44248</v>
      </c>
      <c r="D85" s="67">
        <v>44275</v>
      </c>
      <c r="E85" s="47">
        <v>44256</v>
      </c>
      <c r="F85" s="45" t="s">
        <v>34</v>
      </c>
      <c r="G85" s="54" t="s">
        <v>35</v>
      </c>
      <c r="H85" s="49" t="s">
        <v>46</v>
      </c>
      <c r="I85" s="49" t="s">
        <v>37</v>
      </c>
      <c r="J85" s="50">
        <v>25</v>
      </c>
      <c r="K85" s="51">
        <v>1069</v>
      </c>
      <c r="L85" s="52">
        <v>-1450</v>
      </c>
      <c r="M85" s="53">
        <v>785</v>
      </c>
      <c r="N85" s="28">
        <f>K85*J85</f>
        <v>26725</v>
      </c>
      <c r="O85" s="54">
        <v>19568</v>
      </c>
      <c r="P85" s="29">
        <v>18.304957900000002</v>
      </c>
      <c r="Q85" s="55"/>
      <c r="R85" s="31">
        <f>M85+Q85</f>
        <v>785</v>
      </c>
      <c r="S85" s="56">
        <v>-907</v>
      </c>
      <c r="T85" s="32">
        <f>R85+S85+IF(F85="Without EV deal",L85,0)</f>
        <v>-122</v>
      </c>
      <c r="U85" s="33">
        <v>1</v>
      </c>
      <c r="V85" s="58"/>
      <c r="W85" s="58"/>
      <c r="X85" s="30">
        <f>IF(AF85="DoEV",IF(AND(V85&lt;20,W85&lt;55),0.3,0)+IF(AND(V85&lt;20,W85&gt;=55,W85&lt;105),0.23,0)+IF(AND(V85&lt;20,W85&gt;=105),0.17,0)+IF(AND(V85&gt;=20,V85&lt;40,W85&lt;45),0.3,0)+IF(AND(V85&gt;=20,V85&lt;40,W85&gt;=45,W85&lt;95),0.23,0)+IF(AND(V85&gt;=20,V85&lt;40,W85&gt;=95),0.17,0)+IF(AND(V85&gt;=40,V85&lt;75,W85&lt;35),0.3,0)+IF(AND(V85&gt;=40,V85&lt;75,W85&gt;=35,W85&lt;75),0.23,0)+IF(AND(V85&gt;=40,V85&lt;75,W85&gt;=75,W85&lt;120),0.17,0)+IF(AND(V85&gt;=40,V85&lt;75,W85&gt;=120),0.12,0)+IF(AND(V85&gt;=75,V85&lt;175,W85&lt;35),0.3,0)+IF(AND(V85&gt;=75,V85&lt;=175,W85&gt;=35,W85&lt;65),0.23,0)+IF(AND(V85&gt;=75,V85&lt;=175,W85&gt;=65,W85&lt;110),0.17,0)+IF(AND(V85&gt;=75,V85&lt;=175,W85&gt;=110),0.12,0)+IF(AND(V85&gt;175,W85&lt;25),0.3,0)+IF(AND(V85&gt;175,W85&gt;=25,W85&lt;55),0.23,0)+IF(AND(V85&gt;175,W85&gt;=55,W85&lt;95),0.17,0)+IF(AND(V85&gt;175,W85&gt;=95),0.12,0),
IF(AF85="Fix15",0.15,
IF(AF85="Fix11.25",0.1125,
IF(AF85="Fix10",0.1,
IF(AF85="Fix9",0.09,
IF(AF85="DoEV2017",IF(AND(W85&lt;74),0.2,0)+IF(AND(W85&gt;=74),0.17,0),
IF(AF85="SF",IF(AND(V85&lt;20,W85&lt;89),0.3,0)+IF(AND(V85&lt;20,W85&gt;=89),0.25,0)+IF(AND(V85&gt;=20,V85&lt;40,W85&lt;74),0.3,0)+IF(AND(V85&gt;=20,V85&lt;40,W85&gt;=75),0.22,0)+IF(AND(V85&gt;=40,V85&lt;75,W85&lt;75),0.26,0)+IF(AND(V85&gt;=40,V85&lt;75,W85&gt;=75),0.22,0)+IF(V85&gt;=75,0.22,0),
IF(AF85="DoEVold",IF(AND(V85&lt;40,W85&lt;35),0.35,0)+IF(AND(V85&lt;40,W85&gt;=35,W85&lt;75),0.25,0)+IF(AND(V85&lt;40,W85&gt;=75),0.17,0)+IF(AND(V85&gt;=40,V85&lt;75,W85&lt;25),0.35,0)+IF(AND(V85&gt;=40,V85&lt;75,W85&gt;=25,W85&lt;65),0.25,0)+IF(AND(V85&gt;=40,V85&lt;75,W85&gt;=65,W85&lt;100),0.17,0)+IF(AND(V85&gt;=40,V85&lt;75,W85&gt;=100),0.1,0)+IF(AND(V85&gt;=75,W85&lt;25),0.35,0)+IF(AND(V85&gt;=75,W85&gt;=25,W85&lt;60),0.25,0)+IF(AND(V85&gt;=75,W85&gt;=60,W85&lt;95),0.17,0)+IF(AND(V85&gt;=75,W85&gt;=95),0.1,0),
IF(AF85="DoEVold15",IF(AND(V85&lt;=40,W85&lt;35),0.35,0)+IF(AND(V85&lt;=40,W85&gt;=35,W85&lt;75),0.25,0)+IF(AND(V85&lt;=40,W85&gt;=75,W85&lt;120),0.17,0)+IF(AND(V85&lt;=40,W85&gt;=120),0.15,0)+IF(AND(V85&gt;40,V85&lt;75,W85&lt;25),0.35,0)+IF(AND(V85&gt;=40,V85&lt;75,W85&gt;=25,W85&lt;65),0.25,0)+IF(AND(V85&gt;=40,V85&lt;75,W85&gt;=65,W85&lt;100),0.17,0)+IF(AND(V85&gt;=40,V85&lt;75,W85&gt;=100),0.1,0)+IF(AND(V85&gt;=75,W85&lt;25),0.35,0)+IF(AND(V85&gt;=75,W85&gt;=25,W85&lt;60),0.25,0)+IF(AND(V85&gt;=75,W85&gt;=60,W85&lt;95),0.17,0)+IF(AND(V85&gt;=75,W85&gt;=95),0.1,0),
IF(AF85="DoEVba",IF(AND(V85&lt;20,W85&lt;105),0.2,0)+IF(AND(V85&lt;20,W85&gt;=105),0.15,0)+IF(AND(V85&gt;=20,V85&lt;40,W85&lt;95),0.2,0)+IF(AND(V85&gt;=20,V85&lt;40,W85&gt;=95,W85&lt;150),0.15,0)+IF(AND(V85&gt;=20,V85&lt;40,W85&gt;=150),0.12,0)+IF(AND(V85&gt;=40,V85&lt;75,W85&lt;75),0.2,0)+IF(AND(V85&gt;=40,V85&lt;75,W85&gt;=75,W85&lt;120),0.15,0)+IF(AND(V85&gt;=40,V85&lt;75,W85&gt;=120),0.12,0)+IF(AND(V85&gt;=75,V85&lt;175,W85&lt;65),0.2,0)+IF(AND(V85&gt;=75,V85&lt;175,W85&gt;=65,W85&lt;110),0.15,0)+IF(AND(V85&gt;=75,V85&lt;175,W85&gt;=110),0.12,0)+IF(AND(V85&gt;=175,W85&lt;55),0.2,0)+IF(AND(V85&gt;=175,W85&gt;=55,W85&lt;95),0.15,0)+IF(AND(V85&gt;=175,W85&gt;=95),0.12,0),
IF(AF85="DoEVku",IF(AND(V85&lt;20,W85&lt;55),0.23,0)+IF(AND(V85&lt;20,W85&gt;=55,W85&lt;105),0.2,0)+IF(AND(V85&lt;20,W85&gt;=105),0.17,0)+IF(AND(V85&gt;=20,V85&lt;40,W85&lt;45),0.23,0)+IF(AND(V85&gt;=20,V85&lt;40,W85&gt;=45,W85&lt;95),0.2,0)+IF(AND(V85&gt;=20,V85&lt;40,W85&gt;=95,W85&lt;=150),0.17,0)+IF(AND(V85&gt;=20,V85&lt;40,W85&gt;=150),0.12,0)+IF(AND(V85&gt;=40,V85&lt;75,W85&lt;35),0.23,0)+IF(AND(V85&gt;=40,V85&lt;75,W85&gt;=35,W85&lt;75),0.2,0)+IF(AND(V85&gt;=40,V85&lt;75,W85&gt;=75,W85&lt;120),0.17,0)+IF(AND(V85&gt;=40,V85&lt;75,W85&gt;=120),0.12,0)+IF(AND(V85&gt;=75,V85&lt;175,W85&lt;35),0.23,0)+IF(AND(V85&gt;=75,V85&lt;=175,W85&gt;=35,W85&lt;65),0.2,0)+IF(AND(V85&gt;=75,V85&lt;=175,W85&gt;=65,W85&lt;110),0.17,0)+IF(AND(V85&gt;=75,V85&lt;=175,W85&gt;=110),0.12,0)+IF(AND(V85&gt;175,W85&lt;25),0.23,0)+IF(AND(V85&gt;175,W85&gt;=25,W85&lt;55),0.2,0)+IF(AND(V85&gt;175,W85&gt;=55,W85&lt;95),0.17,0)+IF(AND(V85&gt;175,W85&gt;=95),0.12,0),
IF(AF85="DoEVs1",IF(AND(V85&lt;20,W85&lt;55),0.3,0)+IF(AND(V85&lt;20,W85&gt;=55,W85&lt;105),0.23,0)+IF(AND(V85&lt;20,W85&gt;=105),0.17,0)+IF(AND(V85&gt;=20,V85&lt;40,W85&lt;45),0.3,0)+IF(AND(V85&gt;=20,V85&lt;40,W85&gt;=45,W85&lt;95),0.23,0)+IF(AND(V85&gt;=20,V85&lt;40,W85&gt;=95,W85&lt;=150),0.17,0)+IF(AND(V85&gt;=20,V85&lt;40,W85&gt;=150),0.12,0)+IF(AND(V85&gt;=40,V85&lt;75,W85&lt;35),0.3,0)+IF(AND(V85&gt;=40,V85&lt;75,W85&gt;=35,W85&lt;75),0.23,0)+IF(AND(V85&gt;=40,V85&lt;75,W85&gt;=75,W85&lt;120),0.17,0)+IF(AND(V85&gt;=40,V85&lt;75,W85&gt;=120),0.12,0)+IF(AND(V85&gt;=75,V85&lt;175,W85&lt;35),0.3,0)+IF(AND(V85&gt;=75,V85&lt;=175,W85&gt;=35,W85&lt;65),0.23,0)+IF(AND(V85&gt;=75,V85&lt;=175,W85&gt;=65,W85&lt;110),0.17,0)+IF(AND(V85&gt;=75,V85&lt;=175,W85&gt;=110),0.12,0)+IF(AND(V85&gt;175,W85&lt;25),0.3,0)+IF(AND(V85&gt;175,W85&gt;=25,W85&lt;55),0.23,0)+IF(AND(V85&gt;175,W85&gt;=55,W85&lt;95),0.17,0)+IF(AND(V85&gt;175,W85&gt;=95),0.12,0),
IF(AF85="DoEVsu",IF(AND(V85&lt;20,W85&lt;55),0.3,0)+IF(AND(V85&lt;20,W85&gt;=55,W85&lt;105),0.23,0)+IF(AND(V85&lt;20,W85&gt;=105),0.17,0)+IF(AND(V85&gt;=20,V85&lt;40,W85&lt;45),0.3,0)+IF(AND(V85&gt;=20,V85&lt;40,W85&gt;=45,W85&lt;95),0.23,0)+IF(AND(V85&gt;=20,V85&lt;40,W85&gt;=95,W85&lt;=250),0.17,0)+IF(AND(V85&gt;=20,V85&lt;40,W85&gt;=250),0.12,0)+IF(AND(V85&gt;=40,V85&lt;75,W85&lt;35),0.3,0)+IF(AND(V85&gt;=40,V85&lt;75,W85&gt;=35,W85&lt;75),0.23,0)+IF(AND(V85&gt;=40,V85&lt;75,W85&gt;=75,W85&lt;120),0.17,0)+IF(AND(V85&gt;=40,V85&lt;75,W85&gt;=120),0.12,0)+IF(AND(V85&gt;=75,V85&lt;175,W85&lt;35),0.3,0)+IF(AND(V85&gt;=75,V85&lt;=175,W85&gt;=35,W85&lt;65),0.23,0)+IF(AND(V85&gt;=75,V85&lt;=175,W85&gt;=65,W85&lt;110),0.17,0)+IF(AND(V85&gt;=75,V85&lt;=175,W85&gt;=110),0.12,0)+IF(AND(V85&gt;175,W85&lt;25),0.3,0)+IF(AND(V85&gt;175,W85&gt;=25,W85&lt;55),0.23,0)+IF(AND(V85&gt;175,W85&gt;=55,W85&lt;95),0.17,0)+IF(AND(V85&gt;175,W85&gt;=95),0.12,0),
IF(AF85="DoEVni",IF(AND(V85&lt;20,W85&lt;55),0.3,0)+IF(AND(V85&lt;20,W85&gt;=55,W85&lt;105),0.23,0)+IF(AND(V85&lt;20,W85&gt;=105),0.17,0)+IF(AND(V85&gt;=20,V85&lt;40,W85&lt;45),0.3,0)+IF(AND(V85&gt;=20,V85&lt;40,W85&gt;=45,W85&lt;95),0.23,0)+IF(AND(V85&gt;=20,V85&lt;40,W85&gt;=95,W85&lt;=200),0.17,0)+IF(AND(V85&gt;=20,V85&lt;40,W85&gt;=200),0.12,0)+IF(AND(V85&gt;=40,V85&lt;75,W85&lt;35),0.3,0)+IF(AND(V85&gt;=40,V85&lt;75,W85&gt;=35,W85&lt;75),0.23,0)+IF(AND(V85&gt;=40,V85&lt;75,W85&gt;=75,W85&lt;120),0.17,0)+IF(AND(V85&gt;=40,V85&lt;75,W85&gt;=120),0.12,0)+IF(AND(V85&gt;=75,V85&lt;175,W85&lt;35),0.3,0)+IF(AND(V85&gt;=75,V85&lt;=175,W85&gt;=35,W85&lt;65),0.23,0)+IF(AND(V85&gt;=75,V85&lt;=175,W85&gt;=65,W85&lt;110),0.17,0)+IF(AND(V85&gt;=75,V85&lt;=175,W85&gt;=110),0.12,0)+IF(AND(V85&gt;175,W85&lt;25),0.3,0)+IF(AND(V85&gt;175,W85&gt;=25,W85&lt;55),0.23,0)+IF(AND(V85&gt;175,W85&gt;=55,W85&lt;95),0.17,0)+IF(AND(V85&gt;175,W85&gt;=95),0.12,0),
IF(AF85="DoEVLo",IF(AND(V85&lt;20,W85&lt;55),0.25,0)+IF(AND(V85&lt;20,W85&gt;=55,W85&lt;105),0.2,0)+IF(AND(V85&lt;20,W85&gt;=105),0.15,0)+IF(AND(V85&gt;=20,V85&lt;40,W85&lt;45),0.25,0)+IF(AND(V85&gt;=20,V85&lt;40,W85&gt;=45,W85&lt;95),0.2,0)+IF(AND(V85&gt;=20,V85&lt;40,W85&gt;=95),0.15,0)+IF(AND(V85&gt;=40,V85&lt;75,W85&lt;35),0.25,0)+IF(AND(V85&gt;=40,V85&lt;75,W85&gt;=35,W85&lt;75),0.2,0)+IF(AND(V85&gt;=40,V85&lt;75,W85&gt;=75,W85&lt;120),0.15,0)+IF(AND(V85&gt;=40,V85&lt;75,W85&gt;=120),0.1,0)+IF(AND(V85&gt;=75,V85&lt;175,W85&lt;35),0.25,0)+IF(AND(V85&gt;=75,V85&lt;=175,W85&gt;=35,W85&lt;65),0.2,0)+IF(AND(V85&gt;=75,V85&lt;=175,W85&gt;=65,W85&lt;110),0.15,0)+IF(AND(V85&gt;=75,V85&lt;=175,W85&gt;=110),0.1,0)+IF(AND(V85&gt;175,W85&lt;25),0.25,0)+IF(AND(V85&gt;175,W85&gt;=25,W85&lt;55),0.2,0)+IF(AND(V85&gt;175,W85&gt;=55,W85&lt;95),0.15,0)+IF(AND(V85&gt;175,W85&gt;=95),0.1,0))))))))))))))))</f>
        <v>0.15</v>
      </c>
      <c r="Y85" s="30">
        <f>IF(AG85="None",0,IF(AG85="Fix5",0.05,IF(AG85="Fix3.75",0.0375,IF(AG85="Fix10",0.1,IF(AG85="Fix3",0.03,0)))))</f>
        <v>0.05</v>
      </c>
      <c r="Z85" s="35">
        <f>T85-AA85-AB85</f>
        <v>-97.600000000000009</v>
      </c>
      <c r="AA85" s="29">
        <f>IF(AD85="EUR",((T85-R85)*X85)*U85+(R85*X85),(T85*X85))</f>
        <v>-18.3</v>
      </c>
      <c r="AB85" s="36">
        <f>IF(AD85="EUR",((T85-R85)*Y85)*U85+(R85*Y85),(T85*Y85))</f>
        <v>-6.1000000000000005</v>
      </c>
      <c r="AC85" s="37" t="b">
        <v>1</v>
      </c>
      <c r="AD85" s="37" t="s">
        <v>38</v>
      </c>
      <c r="AE85" s="37" t="s">
        <v>38</v>
      </c>
      <c r="AF85" s="37" t="str">
        <f t="array" ref="AF85">INDEX('Deal Info'!D:D, MATCH(A85,'Deal Info'!A:A, 0))</f>
        <v>Fix15</v>
      </c>
      <c r="AG85" s="38" t="str">
        <f t="array" ref="AG85">INDEX('Deal Info'!G:G, MATCH(A85,'Deal Info'!A:A, 0))</f>
        <v>Fix5</v>
      </c>
    </row>
    <row r="86" spans="1:33" ht="14.25" hidden="1" x14ac:dyDescent="0.2">
      <c r="A86" s="18" t="str">
        <f t="array" ref="A86">IF(G86='Room Info'!$B$1, INDEX('Room Info'!$A$2:$A2446, MATCH(B86,'Room Info'!$B$2:$B2446, 0)),IF(G86='Room Info'!$C$1, INDEX('Room Info'!$A$2:$A2446, MATCH(B86,'Room Info'!$C$2:$C2446, 0)),IF(G86='Room Info'!$D$1, INDEX('Room Info'!$A$2:$A2446, MATCH(B86,'Room Info'!$D$2:$D2446, 0)),IF(G86='Room Info'!$E$1, INDEX('Room Info'!$A$2:$A2446, MATCH(B86,'Room Info'!$E$2:$E2446, 0)),IF(G86='Room Info'!$F$1, INDEX('Room Info'!$A$2:$A2446, MATCH(B86,'Room Info'!$F$2:$F2446, 0)),IF(G86='Room Info'!$H$1, INDEX('Room Info'!$A$2:$A2446, MATCH(B86,'Room Info'!$H$2:$H2446, 0)),IF(G86='Room Info'!$G$1, INDEX('Room Info'!$A$2:$A2446, MATCH(B86,'Room Info'!$G$2:$G2446, 0)))))))))</f>
        <v>AlexanderDSL</v>
      </c>
      <c r="B86" s="54" t="s">
        <v>82</v>
      </c>
      <c r="C86" s="67">
        <v>44248</v>
      </c>
      <c r="D86" s="67">
        <v>44275</v>
      </c>
      <c r="E86" s="47">
        <v>44256</v>
      </c>
      <c r="F86" s="45" t="s">
        <v>34</v>
      </c>
      <c r="G86" s="54" t="s">
        <v>35</v>
      </c>
      <c r="H86" s="49" t="s">
        <v>72</v>
      </c>
      <c r="I86" s="49" t="s">
        <v>37</v>
      </c>
      <c r="J86" s="50">
        <v>50</v>
      </c>
      <c r="K86" s="51">
        <v>3025</v>
      </c>
      <c r="L86" s="52">
        <v>5000</v>
      </c>
      <c r="M86" s="53">
        <v>4425</v>
      </c>
      <c r="N86" s="28">
        <f>K86*J86</f>
        <v>151250</v>
      </c>
      <c r="O86" s="54">
        <v>78243</v>
      </c>
      <c r="P86" s="29">
        <v>25.865454549999999</v>
      </c>
      <c r="Q86" s="55"/>
      <c r="R86" s="31">
        <f>M86+Q86</f>
        <v>4425</v>
      </c>
      <c r="S86" s="56">
        <v>-3026</v>
      </c>
      <c r="T86" s="32">
        <f>R86+S86+IF(F86="Without EV deal",L86,0)</f>
        <v>1399</v>
      </c>
      <c r="U86" s="33">
        <v>1</v>
      </c>
      <c r="V86" s="58"/>
      <c r="W86" s="58"/>
      <c r="X86" s="30">
        <f>IF(AF86="DoEV",IF(AND(V86&lt;20,W86&lt;55),0.3,0)+IF(AND(V86&lt;20,W86&gt;=55,W86&lt;105),0.23,0)+IF(AND(V86&lt;20,W86&gt;=105),0.17,0)+IF(AND(V86&gt;=20,V86&lt;40,W86&lt;45),0.3,0)+IF(AND(V86&gt;=20,V86&lt;40,W86&gt;=45,W86&lt;95),0.23,0)+IF(AND(V86&gt;=20,V86&lt;40,W86&gt;=95),0.17,0)+IF(AND(V86&gt;=40,V86&lt;75,W86&lt;35),0.3,0)+IF(AND(V86&gt;=40,V86&lt;75,W86&gt;=35,W86&lt;75),0.23,0)+IF(AND(V86&gt;=40,V86&lt;75,W86&gt;=75,W86&lt;120),0.17,0)+IF(AND(V86&gt;=40,V86&lt;75,W86&gt;=120),0.12,0)+IF(AND(V86&gt;=75,V86&lt;175,W86&lt;35),0.3,0)+IF(AND(V86&gt;=75,V86&lt;=175,W86&gt;=35,W86&lt;65),0.23,0)+IF(AND(V86&gt;=75,V86&lt;=175,W86&gt;=65,W86&lt;110),0.17,0)+IF(AND(V86&gt;=75,V86&lt;=175,W86&gt;=110),0.12,0)+IF(AND(V86&gt;175,W86&lt;25),0.3,0)+IF(AND(V86&gt;175,W86&gt;=25,W86&lt;55),0.23,0)+IF(AND(V86&gt;175,W86&gt;=55,W86&lt;95),0.17,0)+IF(AND(V86&gt;175,W86&gt;=95),0.12,0),
IF(AF86="Fix15",0.15,
IF(AF86="Fix11.25",0.1125,
IF(AF86="Fix10",0.1,
IF(AF86="Fix9",0.09,
IF(AF86="DoEV2017",IF(AND(W86&lt;74),0.2,0)+IF(AND(W86&gt;=74),0.17,0),
IF(AF86="SF",IF(AND(V86&lt;20,W86&lt;89),0.3,0)+IF(AND(V86&lt;20,W86&gt;=89),0.25,0)+IF(AND(V86&gt;=20,V86&lt;40,W86&lt;74),0.3,0)+IF(AND(V86&gt;=20,V86&lt;40,W86&gt;=75),0.22,0)+IF(AND(V86&gt;=40,V86&lt;75,W86&lt;75),0.26,0)+IF(AND(V86&gt;=40,V86&lt;75,W86&gt;=75),0.22,0)+IF(V86&gt;=75,0.22,0),
IF(AF86="DoEVold",IF(AND(V86&lt;40,W86&lt;35),0.35,0)+IF(AND(V86&lt;40,W86&gt;=35,W86&lt;75),0.25,0)+IF(AND(V86&lt;40,W86&gt;=75),0.17,0)+IF(AND(V86&gt;=40,V86&lt;75,W86&lt;25),0.35,0)+IF(AND(V86&gt;=40,V86&lt;75,W86&gt;=25,W86&lt;65),0.25,0)+IF(AND(V86&gt;=40,V86&lt;75,W86&gt;=65,W86&lt;100),0.17,0)+IF(AND(V86&gt;=40,V86&lt;75,W86&gt;=100),0.1,0)+IF(AND(V86&gt;=75,W86&lt;25),0.35,0)+IF(AND(V86&gt;=75,W86&gt;=25,W86&lt;60),0.25,0)+IF(AND(V86&gt;=75,W86&gt;=60,W86&lt;95),0.17,0)+IF(AND(V86&gt;=75,W86&gt;=95),0.1,0),
IF(AF86="DoEVold15",IF(AND(V86&lt;=40,W86&lt;35),0.35,0)+IF(AND(V86&lt;=40,W86&gt;=35,W86&lt;75),0.25,0)+IF(AND(V86&lt;=40,W86&gt;=75,W86&lt;120),0.17,0)+IF(AND(V86&lt;=40,W86&gt;=120),0.15,0)+IF(AND(V86&gt;40,V86&lt;75,W86&lt;25),0.35,0)+IF(AND(V86&gt;=40,V86&lt;75,W86&gt;=25,W86&lt;65),0.25,0)+IF(AND(V86&gt;=40,V86&lt;75,W86&gt;=65,W86&lt;100),0.17,0)+IF(AND(V86&gt;=40,V86&lt;75,W86&gt;=100),0.1,0)+IF(AND(V86&gt;=75,W86&lt;25),0.35,0)+IF(AND(V86&gt;=75,W86&gt;=25,W86&lt;60),0.25,0)+IF(AND(V86&gt;=75,W86&gt;=60,W86&lt;95),0.17,0)+IF(AND(V86&gt;=75,W86&gt;=95),0.1,0),
IF(AF86="DoEVba",IF(AND(V86&lt;20,W86&lt;105),0.2,0)+IF(AND(V86&lt;20,W86&gt;=105),0.15,0)+IF(AND(V86&gt;=20,V86&lt;40,W86&lt;95),0.2,0)+IF(AND(V86&gt;=20,V86&lt;40,W86&gt;=95,W86&lt;150),0.15,0)+IF(AND(V86&gt;=20,V86&lt;40,W86&gt;=150),0.12,0)+IF(AND(V86&gt;=40,V86&lt;75,W86&lt;75),0.2,0)+IF(AND(V86&gt;=40,V86&lt;75,W86&gt;=75,W86&lt;120),0.15,0)+IF(AND(V86&gt;=40,V86&lt;75,W86&gt;=120),0.12,0)+IF(AND(V86&gt;=75,V86&lt;175,W86&lt;65),0.2,0)+IF(AND(V86&gt;=75,V86&lt;175,W86&gt;=65,W86&lt;110),0.15,0)+IF(AND(V86&gt;=75,V86&lt;175,W86&gt;=110),0.12,0)+IF(AND(V86&gt;=175,W86&lt;55),0.2,0)+IF(AND(V86&gt;=175,W86&gt;=55,W86&lt;95),0.15,0)+IF(AND(V86&gt;=175,W86&gt;=95),0.12,0),
IF(AF86="DoEVku",IF(AND(V86&lt;20,W86&lt;55),0.23,0)+IF(AND(V86&lt;20,W86&gt;=55,W86&lt;105),0.2,0)+IF(AND(V86&lt;20,W86&gt;=105),0.17,0)+IF(AND(V86&gt;=20,V86&lt;40,W86&lt;45),0.23,0)+IF(AND(V86&gt;=20,V86&lt;40,W86&gt;=45,W86&lt;95),0.2,0)+IF(AND(V86&gt;=20,V86&lt;40,W86&gt;=95,W86&lt;=150),0.17,0)+IF(AND(V86&gt;=20,V86&lt;40,W86&gt;=150),0.12,0)+IF(AND(V86&gt;=40,V86&lt;75,W86&lt;35),0.23,0)+IF(AND(V86&gt;=40,V86&lt;75,W86&gt;=35,W86&lt;75),0.2,0)+IF(AND(V86&gt;=40,V86&lt;75,W86&gt;=75,W86&lt;120),0.17,0)+IF(AND(V86&gt;=40,V86&lt;75,W86&gt;=120),0.12,0)+IF(AND(V86&gt;=75,V86&lt;175,W86&lt;35),0.23,0)+IF(AND(V86&gt;=75,V86&lt;=175,W86&gt;=35,W86&lt;65),0.2,0)+IF(AND(V86&gt;=75,V86&lt;=175,W86&gt;=65,W86&lt;110),0.17,0)+IF(AND(V86&gt;=75,V86&lt;=175,W86&gt;=110),0.12,0)+IF(AND(V86&gt;175,W86&lt;25),0.23,0)+IF(AND(V86&gt;175,W86&gt;=25,W86&lt;55),0.2,0)+IF(AND(V86&gt;175,W86&gt;=55,W86&lt;95),0.17,0)+IF(AND(V86&gt;175,W86&gt;=95),0.12,0),
IF(AF86="DoEVs1",IF(AND(V86&lt;20,W86&lt;55),0.3,0)+IF(AND(V86&lt;20,W86&gt;=55,W86&lt;105),0.23,0)+IF(AND(V86&lt;20,W86&gt;=105),0.17,0)+IF(AND(V86&gt;=20,V86&lt;40,W86&lt;45),0.3,0)+IF(AND(V86&gt;=20,V86&lt;40,W86&gt;=45,W86&lt;95),0.23,0)+IF(AND(V86&gt;=20,V86&lt;40,W86&gt;=95,W86&lt;=150),0.17,0)+IF(AND(V86&gt;=20,V86&lt;40,W86&gt;=150),0.12,0)+IF(AND(V86&gt;=40,V86&lt;75,W86&lt;35),0.3,0)+IF(AND(V86&gt;=40,V86&lt;75,W86&gt;=35,W86&lt;75),0.23,0)+IF(AND(V86&gt;=40,V86&lt;75,W86&gt;=75,W86&lt;120),0.17,0)+IF(AND(V86&gt;=40,V86&lt;75,W86&gt;=120),0.12,0)+IF(AND(V86&gt;=75,V86&lt;175,W86&lt;35),0.3,0)+IF(AND(V86&gt;=75,V86&lt;=175,W86&gt;=35,W86&lt;65),0.23,0)+IF(AND(V86&gt;=75,V86&lt;=175,W86&gt;=65,W86&lt;110),0.17,0)+IF(AND(V86&gt;=75,V86&lt;=175,W86&gt;=110),0.12,0)+IF(AND(V86&gt;175,W86&lt;25),0.3,0)+IF(AND(V86&gt;175,W86&gt;=25,W86&lt;55),0.23,0)+IF(AND(V86&gt;175,W86&gt;=55,W86&lt;95),0.17,0)+IF(AND(V86&gt;175,W86&gt;=95),0.12,0),
IF(AF86="DoEVsu",IF(AND(V86&lt;20,W86&lt;55),0.3,0)+IF(AND(V86&lt;20,W86&gt;=55,W86&lt;105),0.23,0)+IF(AND(V86&lt;20,W86&gt;=105),0.17,0)+IF(AND(V86&gt;=20,V86&lt;40,W86&lt;45),0.3,0)+IF(AND(V86&gt;=20,V86&lt;40,W86&gt;=45,W86&lt;95),0.23,0)+IF(AND(V86&gt;=20,V86&lt;40,W86&gt;=95,W86&lt;=250),0.17,0)+IF(AND(V86&gt;=20,V86&lt;40,W86&gt;=250),0.12,0)+IF(AND(V86&gt;=40,V86&lt;75,W86&lt;35),0.3,0)+IF(AND(V86&gt;=40,V86&lt;75,W86&gt;=35,W86&lt;75),0.23,0)+IF(AND(V86&gt;=40,V86&lt;75,W86&gt;=75,W86&lt;120),0.17,0)+IF(AND(V86&gt;=40,V86&lt;75,W86&gt;=120),0.12,0)+IF(AND(V86&gt;=75,V86&lt;175,W86&lt;35),0.3,0)+IF(AND(V86&gt;=75,V86&lt;=175,W86&gt;=35,W86&lt;65),0.23,0)+IF(AND(V86&gt;=75,V86&lt;=175,W86&gt;=65,W86&lt;110),0.17,0)+IF(AND(V86&gt;=75,V86&lt;=175,W86&gt;=110),0.12,0)+IF(AND(V86&gt;175,W86&lt;25),0.3,0)+IF(AND(V86&gt;175,W86&gt;=25,W86&lt;55),0.23,0)+IF(AND(V86&gt;175,W86&gt;=55,W86&lt;95),0.17,0)+IF(AND(V86&gt;175,W86&gt;=95),0.12,0),
IF(AF86="DoEVni",IF(AND(V86&lt;20,W86&lt;55),0.3,0)+IF(AND(V86&lt;20,W86&gt;=55,W86&lt;105),0.23,0)+IF(AND(V86&lt;20,W86&gt;=105),0.17,0)+IF(AND(V86&gt;=20,V86&lt;40,W86&lt;45),0.3,0)+IF(AND(V86&gt;=20,V86&lt;40,W86&gt;=45,W86&lt;95),0.23,0)+IF(AND(V86&gt;=20,V86&lt;40,W86&gt;=95,W86&lt;=200),0.17,0)+IF(AND(V86&gt;=20,V86&lt;40,W86&gt;=200),0.12,0)+IF(AND(V86&gt;=40,V86&lt;75,W86&lt;35),0.3,0)+IF(AND(V86&gt;=40,V86&lt;75,W86&gt;=35,W86&lt;75),0.23,0)+IF(AND(V86&gt;=40,V86&lt;75,W86&gt;=75,W86&lt;120),0.17,0)+IF(AND(V86&gt;=40,V86&lt;75,W86&gt;=120),0.12,0)+IF(AND(V86&gt;=75,V86&lt;175,W86&lt;35),0.3,0)+IF(AND(V86&gt;=75,V86&lt;=175,W86&gt;=35,W86&lt;65),0.23,0)+IF(AND(V86&gt;=75,V86&lt;=175,W86&gt;=65,W86&lt;110),0.17,0)+IF(AND(V86&gt;=75,V86&lt;=175,W86&gt;=110),0.12,0)+IF(AND(V86&gt;175,W86&lt;25),0.3,0)+IF(AND(V86&gt;175,W86&gt;=25,W86&lt;55),0.23,0)+IF(AND(V86&gt;175,W86&gt;=55,W86&lt;95),0.17,0)+IF(AND(V86&gt;175,W86&gt;=95),0.12,0),
IF(AF86="DoEVLo",IF(AND(V86&lt;20,W86&lt;55),0.25,0)+IF(AND(V86&lt;20,W86&gt;=55,W86&lt;105),0.2,0)+IF(AND(V86&lt;20,W86&gt;=105),0.15,0)+IF(AND(V86&gt;=20,V86&lt;40,W86&lt;45),0.25,0)+IF(AND(V86&gt;=20,V86&lt;40,W86&gt;=45,W86&lt;95),0.2,0)+IF(AND(V86&gt;=20,V86&lt;40,W86&gt;=95),0.15,0)+IF(AND(V86&gt;=40,V86&lt;75,W86&lt;35),0.25,0)+IF(AND(V86&gt;=40,V86&lt;75,W86&gt;=35,W86&lt;75),0.2,0)+IF(AND(V86&gt;=40,V86&lt;75,W86&gt;=75,W86&lt;120),0.15,0)+IF(AND(V86&gt;=40,V86&lt;75,W86&gt;=120),0.1,0)+IF(AND(V86&gt;=75,V86&lt;175,W86&lt;35),0.25,0)+IF(AND(V86&gt;=75,V86&lt;=175,W86&gt;=35,W86&lt;65),0.2,0)+IF(AND(V86&gt;=75,V86&lt;=175,W86&gt;=65,W86&lt;110),0.15,0)+IF(AND(V86&gt;=75,V86&lt;=175,W86&gt;=110),0.1,0)+IF(AND(V86&gt;175,W86&lt;25),0.25,0)+IF(AND(V86&gt;175,W86&gt;=25,W86&lt;55),0.2,0)+IF(AND(V86&gt;175,W86&gt;=55,W86&lt;95),0.15,0)+IF(AND(V86&gt;175,W86&gt;=95),0.1,0))))))))))))))))</f>
        <v>0.15</v>
      </c>
      <c r="Y86" s="30">
        <f>IF(AG86="None",0,IF(AG86="Fix5",0.05,IF(AG86="Fix3.75",0.0375,IF(AG86="Fix10",0.1,IF(AG86="Fix3",0.03,0)))))</f>
        <v>0.05</v>
      </c>
      <c r="Z86" s="35">
        <f>T86-AA86-AB86</f>
        <v>1119.2</v>
      </c>
      <c r="AA86" s="29">
        <f>IF(AD86="EUR",((T86-R86)*X86)*U86+(R86*X86),(T86*X86))</f>
        <v>209.85</v>
      </c>
      <c r="AB86" s="36">
        <f>IF(AD86="EUR",((T86-R86)*Y86)*U86+(R86*Y86),(T86*Y86))</f>
        <v>69.95</v>
      </c>
      <c r="AC86" s="37" t="b">
        <v>1</v>
      </c>
      <c r="AD86" s="37" t="s">
        <v>38</v>
      </c>
      <c r="AE86" s="37" t="s">
        <v>38</v>
      </c>
      <c r="AF86" s="37" t="str">
        <f t="array" ref="AF86">INDEX('Deal Info'!D:D, MATCH(A86,'Deal Info'!A:A, 0))</f>
        <v>Fix15</v>
      </c>
      <c r="AG86" s="38" t="str">
        <f t="array" ref="AG86">INDEX('Deal Info'!G:G, MATCH(A86,'Deal Info'!A:A, 0))</f>
        <v>Fix5</v>
      </c>
    </row>
    <row r="87" spans="1:33" ht="14.25" hidden="1" x14ac:dyDescent="0.2">
      <c r="A87" s="18" t="str">
        <f t="array" ref="A87">IF(G87='Room Info'!$B$1, INDEX('Room Info'!$A$2:$A2446, MATCH(B87,'Room Info'!$B$2:$B2446, 0)),IF(G87='Room Info'!$C$1, INDEX('Room Info'!$A$2:$A2446, MATCH(B87,'Room Info'!$C$2:$C2446, 0)),IF(G87='Room Info'!$D$1, INDEX('Room Info'!$A$2:$A2446, MATCH(B87,'Room Info'!$D$2:$D2446, 0)),IF(G87='Room Info'!$E$1, INDEX('Room Info'!$A$2:$A2446, MATCH(B87,'Room Info'!$E$2:$E2446, 0)),IF(G87='Room Info'!$F$1, INDEX('Room Info'!$A$2:$A2446, MATCH(B87,'Room Info'!$F$2:$F2446, 0)),IF(G87='Room Info'!$H$1, INDEX('Room Info'!$A$2:$A2446, MATCH(B87,'Room Info'!$H$2:$H2446, 0)),IF(G87='Room Info'!$G$1, INDEX('Room Info'!$A$2:$A2446, MATCH(B87,'Room Info'!$G$2:$G2446, 0)))))))))</f>
        <v>AlexanderDSL</v>
      </c>
      <c r="B87" s="54" t="s">
        <v>82</v>
      </c>
      <c r="C87" s="67">
        <v>44248</v>
      </c>
      <c r="D87" s="67">
        <v>44275</v>
      </c>
      <c r="E87" s="47">
        <v>44256</v>
      </c>
      <c r="F87" s="45" t="s">
        <v>41</v>
      </c>
      <c r="G87" s="54" t="s">
        <v>35</v>
      </c>
      <c r="H87" s="49" t="s">
        <v>86</v>
      </c>
      <c r="I87" s="49" t="s">
        <v>37</v>
      </c>
      <c r="J87" s="50">
        <v>5</v>
      </c>
      <c r="K87" s="51">
        <v>5</v>
      </c>
      <c r="L87" s="52">
        <v>5</v>
      </c>
      <c r="M87" s="53">
        <v>1</v>
      </c>
      <c r="N87" s="28">
        <f>K87*J87</f>
        <v>25</v>
      </c>
      <c r="O87" s="65"/>
      <c r="P87" s="29">
        <v>0</v>
      </c>
      <c r="Q87" s="55"/>
      <c r="R87" s="31">
        <f>M87+Q87</f>
        <v>1</v>
      </c>
      <c r="S87" s="66"/>
      <c r="T87" s="32">
        <f>R87+S87+IF(F87="Without EV deal",L87,0)</f>
        <v>6</v>
      </c>
      <c r="U87" s="33">
        <v>1</v>
      </c>
      <c r="V87" s="58"/>
      <c r="W87" s="58"/>
      <c r="X87" s="30">
        <f>IF(AF87="DoEV",IF(AND(V87&lt;20,W87&lt;55),0.3,0)+IF(AND(V87&lt;20,W87&gt;=55,W87&lt;105),0.23,0)+IF(AND(V87&lt;20,W87&gt;=105),0.17,0)+IF(AND(V87&gt;=20,V87&lt;40,W87&lt;45),0.3,0)+IF(AND(V87&gt;=20,V87&lt;40,W87&gt;=45,W87&lt;95),0.23,0)+IF(AND(V87&gt;=20,V87&lt;40,W87&gt;=95),0.17,0)+IF(AND(V87&gt;=40,V87&lt;75,W87&lt;35),0.3,0)+IF(AND(V87&gt;=40,V87&lt;75,W87&gt;=35,W87&lt;75),0.23,0)+IF(AND(V87&gt;=40,V87&lt;75,W87&gt;=75,W87&lt;120),0.17,0)+IF(AND(V87&gt;=40,V87&lt;75,W87&gt;=120),0.12,0)+IF(AND(V87&gt;=75,V87&lt;175,W87&lt;35),0.3,0)+IF(AND(V87&gt;=75,V87&lt;=175,W87&gt;=35,W87&lt;65),0.23,0)+IF(AND(V87&gt;=75,V87&lt;=175,W87&gt;=65,W87&lt;110),0.17,0)+IF(AND(V87&gt;=75,V87&lt;=175,W87&gt;=110),0.12,0)+IF(AND(V87&gt;175,W87&lt;25),0.3,0)+IF(AND(V87&gt;175,W87&gt;=25,W87&lt;55),0.23,0)+IF(AND(V87&gt;175,W87&gt;=55,W87&lt;95),0.17,0)+IF(AND(V87&gt;175,W87&gt;=95),0.12,0),
IF(AF87="Fix15",0.15,
IF(AF87="Fix11.25",0.1125,
IF(AF87="Fix10",0.1,
IF(AF87="Fix9",0.09,
IF(AF87="DoEV2017",IF(AND(W87&lt;74),0.2,0)+IF(AND(W87&gt;=74),0.17,0),
IF(AF87="SF",IF(AND(V87&lt;20,W87&lt;89),0.3,0)+IF(AND(V87&lt;20,W87&gt;=89),0.25,0)+IF(AND(V87&gt;=20,V87&lt;40,W87&lt;74),0.3,0)+IF(AND(V87&gt;=20,V87&lt;40,W87&gt;=75),0.22,0)+IF(AND(V87&gt;=40,V87&lt;75,W87&lt;75),0.26,0)+IF(AND(V87&gt;=40,V87&lt;75,W87&gt;=75),0.22,0)+IF(V87&gt;=75,0.22,0),
IF(AF87="DoEVold",IF(AND(V87&lt;40,W87&lt;35),0.35,0)+IF(AND(V87&lt;40,W87&gt;=35,W87&lt;75),0.25,0)+IF(AND(V87&lt;40,W87&gt;=75),0.17,0)+IF(AND(V87&gt;=40,V87&lt;75,W87&lt;25),0.35,0)+IF(AND(V87&gt;=40,V87&lt;75,W87&gt;=25,W87&lt;65),0.25,0)+IF(AND(V87&gt;=40,V87&lt;75,W87&gt;=65,W87&lt;100),0.17,0)+IF(AND(V87&gt;=40,V87&lt;75,W87&gt;=100),0.1,0)+IF(AND(V87&gt;=75,W87&lt;25),0.35,0)+IF(AND(V87&gt;=75,W87&gt;=25,W87&lt;60),0.25,0)+IF(AND(V87&gt;=75,W87&gt;=60,W87&lt;95),0.17,0)+IF(AND(V87&gt;=75,W87&gt;=95),0.1,0),
IF(AF87="DoEVold15",IF(AND(V87&lt;=40,W87&lt;35),0.35,0)+IF(AND(V87&lt;=40,W87&gt;=35,W87&lt;75),0.25,0)+IF(AND(V87&lt;=40,W87&gt;=75,W87&lt;120),0.17,0)+IF(AND(V87&lt;=40,W87&gt;=120),0.15,0)+IF(AND(V87&gt;40,V87&lt;75,W87&lt;25),0.35,0)+IF(AND(V87&gt;=40,V87&lt;75,W87&gt;=25,W87&lt;65),0.25,0)+IF(AND(V87&gt;=40,V87&lt;75,W87&gt;=65,W87&lt;100),0.17,0)+IF(AND(V87&gt;=40,V87&lt;75,W87&gt;=100),0.1,0)+IF(AND(V87&gt;=75,W87&lt;25),0.35,0)+IF(AND(V87&gt;=75,W87&gt;=25,W87&lt;60),0.25,0)+IF(AND(V87&gt;=75,W87&gt;=60,W87&lt;95),0.17,0)+IF(AND(V87&gt;=75,W87&gt;=95),0.1,0),
IF(AF87="DoEVba",IF(AND(V87&lt;20,W87&lt;105),0.2,0)+IF(AND(V87&lt;20,W87&gt;=105),0.15,0)+IF(AND(V87&gt;=20,V87&lt;40,W87&lt;95),0.2,0)+IF(AND(V87&gt;=20,V87&lt;40,W87&gt;=95,W87&lt;150),0.15,0)+IF(AND(V87&gt;=20,V87&lt;40,W87&gt;=150),0.12,0)+IF(AND(V87&gt;=40,V87&lt;75,W87&lt;75),0.2,0)+IF(AND(V87&gt;=40,V87&lt;75,W87&gt;=75,W87&lt;120),0.15,0)+IF(AND(V87&gt;=40,V87&lt;75,W87&gt;=120),0.12,0)+IF(AND(V87&gt;=75,V87&lt;175,W87&lt;65),0.2,0)+IF(AND(V87&gt;=75,V87&lt;175,W87&gt;=65,W87&lt;110),0.15,0)+IF(AND(V87&gt;=75,V87&lt;175,W87&gt;=110),0.12,0)+IF(AND(V87&gt;=175,W87&lt;55),0.2,0)+IF(AND(V87&gt;=175,W87&gt;=55,W87&lt;95),0.15,0)+IF(AND(V87&gt;=175,W87&gt;=95),0.12,0),
IF(AF87="DoEVku",IF(AND(V87&lt;20,W87&lt;55),0.23,0)+IF(AND(V87&lt;20,W87&gt;=55,W87&lt;105),0.2,0)+IF(AND(V87&lt;20,W87&gt;=105),0.17,0)+IF(AND(V87&gt;=20,V87&lt;40,W87&lt;45),0.23,0)+IF(AND(V87&gt;=20,V87&lt;40,W87&gt;=45,W87&lt;95),0.2,0)+IF(AND(V87&gt;=20,V87&lt;40,W87&gt;=95,W87&lt;=150),0.17,0)+IF(AND(V87&gt;=20,V87&lt;40,W87&gt;=150),0.12,0)+IF(AND(V87&gt;=40,V87&lt;75,W87&lt;35),0.23,0)+IF(AND(V87&gt;=40,V87&lt;75,W87&gt;=35,W87&lt;75),0.2,0)+IF(AND(V87&gt;=40,V87&lt;75,W87&gt;=75,W87&lt;120),0.17,0)+IF(AND(V87&gt;=40,V87&lt;75,W87&gt;=120),0.12,0)+IF(AND(V87&gt;=75,V87&lt;175,W87&lt;35),0.23,0)+IF(AND(V87&gt;=75,V87&lt;=175,W87&gt;=35,W87&lt;65),0.2,0)+IF(AND(V87&gt;=75,V87&lt;=175,W87&gt;=65,W87&lt;110),0.17,0)+IF(AND(V87&gt;=75,V87&lt;=175,W87&gt;=110),0.12,0)+IF(AND(V87&gt;175,W87&lt;25),0.23,0)+IF(AND(V87&gt;175,W87&gt;=25,W87&lt;55),0.2,0)+IF(AND(V87&gt;175,W87&gt;=55,W87&lt;95),0.17,0)+IF(AND(V87&gt;175,W87&gt;=95),0.12,0),
IF(AF87="DoEVs1",IF(AND(V87&lt;20,W87&lt;55),0.3,0)+IF(AND(V87&lt;20,W87&gt;=55,W87&lt;105),0.23,0)+IF(AND(V87&lt;20,W87&gt;=105),0.17,0)+IF(AND(V87&gt;=20,V87&lt;40,W87&lt;45),0.3,0)+IF(AND(V87&gt;=20,V87&lt;40,W87&gt;=45,W87&lt;95),0.23,0)+IF(AND(V87&gt;=20,V87&lt;40,W87&gt;=95,W87&lt;=150),0.17,0)+IF(AND(V87&gt;=20,V87&lt;40,W87&gt;=150),0.12,0)+IF(AND(V87&gt;=40,V87&lt;75,W87&lt;35),0.3,0)+IF(AND(V87&gt;=40,V87&lt;75,W87&gt;=35,W87&lt;75),0.23,0)+IF(AND(V87&gt;=40,V87&lt;75,W87&gt;=75,W87&lt;120),0.17,0)+IF(AND(V87&gt;=40,V87&lt;75,W87&gt;=120),0.12,0)+IF(AND(V87&gt;=75,V87&lt;175,W87&lt;35),0.3,0)+IF(AND(V87&gt;=75,V87&lt;=175,W87&gt;=35,W87&lt;65),0.23,0)+IF(AND(V87&gt;=75,V87&lt;=175,W87&gt;=65,W87&lt;110),0.17,0)+IF(AND(V87&gt;=75,V87&lt;=175,W87&gt;=110),0.12,0)+IF(AND(V87&gt;175,W87&lt;25),0.3,0)+IF(AND(V87&gt;175,W87&gt;=25,W87&lt;55),0.23,0)+IF(AND(V87&gt;175,W87&gt;=55,W87&lt;95),0.17,0)+IF(AND(V87&gt;175,W87&gt;=95),0.12,0),
IF(AF87="DoEVsu",IF(AND(V87&lt;20,W87&lt;55),0.3,0)+IF(AND(V87&lt;20,W87&gt;=55,W87&lt;105),0.23,0)+IF(AND(V87&lt;20,W87&gt;=105),0.17,0)+IF(AND(V87&gt;=20,V87&lt;40,W87&lt;45),0.3,0)+IF(AND(V87&gt;=20,V87&lt;40,W87&gt;=45,W87&lt;95),0.23,0)+IF(AND(V87&gt;=20,V87&lt;40,W87&gt;=95,W87&lt;=250),0.17,0)+IF(AND(V87&gt;=20,V87&lt;40,W87&gt;=250),0.12,0)+IF(AND(V87&gt;=40,V87&lt;75,W87&lt;35),0.3,0)+IF(AND(V87&gt;=40,V87&lt;75,W87&gt;=35,W87&lt;75),0.23,0)+IF(AND(V87&gt;=40,V87&lt;75,W87&gt;=75,W87&lt;120),0.17,0)+IF(AND(V87&gt;=40,V87&lt;75,W87&gt;=120),0.12,0)+IF(AND(V87&gt;=75,V87&lt;175,W87&lt;35),0.3,0)+IF(AND(V87&gt;=75,V87&lt;=175,W87&gt;=35,W87&lt;65),0.23,0)+IF(AND(V87&gt;=75,V87&lt;=175,W87&gt;=65,W87&lt;110),0.17,0)+IF(AND(V87&gt;=75,V87&lt;=175,W87&gt;=110),0.12,0)+IF(AND(V87&gt;175,W87&lt;25),0.3,0)+IF(AND(V87&gt;175,W87&gt;=25,W87&lt;55),0.23,0)+IF(AND(V87&gt;175,W87&gt;=55,W87&lt;95),0.17,0)+IF(AND(V87&gt;175,W87&gt;=95),0.12,0),
IF(AF87="DoEVni",IF(AND(V87&lt;20,W87&lt;55),0.3,0)+IF(AND(V87&lt;20,W87&gt;=55,W87&lt;105),0.23,0)+IF(AND(V87&lt;20,W87&gt;=105),0.17,0)+IF(AND(V87&gt;=20,V87&lt;40,W87&lt;45),0.3,0)+IF(AND(V87&gt;=20,V87&lt;40,W87&gt;=45,W87&lt;95),0.23,0)+IF(AND(V87&gt;=20,V87&lt;40,W87&gt;=95,W87&lt;=200),0.17,0)+IF(AND(V87&gt;=20,V87&lt;40,W87&gt;=200),0.12,0)+IF(AND(V87&gt;=40,V87&lt;75,W87&lt;35),0.3,0)+IF(AND(V87&gt;=40,V87&lt;75,W87&gt;=35,W87&lt;75),0.23,0)+IF(AND(V87&gt;=40,V87&lt;75,W87&gt;=75,W87&lt;120),0.17,0)+IF(AND(V87&gt;=40,V87&lt;75,W87&gt;=120),0.12,0)+IF(AND(V87&gt;=75,V87&lt;175,W87&lt;35),0.3,0)+IF(AND(V87&gt;=75,V87&lt;=175,W87&gt;=35,W87&lt;65),0.23,0)+IF(AND(V87&gt;=75,V87&lt;=175,W87&gt;=65,W87&lt;110),0.17,0)+IF(AND(V87&gt;=75,V87&lt;=175,W87&gt;=110),0.12,0)+IF(AND(V87&gt;175,W87&lt;25),0.3,0)+IF(AND(V87&gt;175,W87&gt;=25,W87&lt;55),0.23,0)+IF(AND(V87&gt;175,W87&gt;=55,W87&lt;95),0.17,0)+IF(AND(V87&gt;175,W87&gt;=95),0.12,0),
IF(AF87="DoEVLo",IF(AND(V87&lt;20,W87&lt;55),0.25,0)+IF(AND(V87&lt;20,W87&gt;=55,W87&lt;105),0.2,0)+IF(AND(V87&lt;20,W87&gt;=105),0.15,0)+IF(AND(V87&gt;=20,V87&lt;40,W87&lt;45),0.25,0)+IF(AND(V87&gt;=20,V87&lt;40,W87&gt;=45,W87&lt;95),0.2,0)+IF(AND(V87&gt;=20,V87&lt;40,W87&gt;=95),0.15,0)+IF(AND(V87&gt;=40,V87&lt;75,W87&lt;35),0.25,0)+IF(AND(V87&gt;=40,V87&lt;75,W87&gt;=35,W87&lt;75),0.2,0)+IF(AND(V87&gt;=40,V87&lt;75,W87&gt;=75,W87&lt;120),0.15,0)+IF(AND(V87&gt;=40,V87&lt;75,W87&gt;=120),0.1,0)+IF(AND(V87&gt;=75,V87&lt;175,W87&lt;35),0.25,0)+IF(AND(V87&gt;=75,V87&lt;=175,W87&gt;=35,W87&lt;65),0.2,0)+IF(AND(V87&gt;=75,V87&lt;=175,W87&gt;=65,W87&lt;110),0.15,0)+IF(AND(V87&gt;=75,V87&lt;=175,W87&gt;=110),0.1,0)+IF(AND(V87&gt;175,W87&lt;25),0.25,0)+IF(AND(V87&gt;175,W87&gt;=25,W87&lt;55),0.2,0)+IF(AND(V87&gt;175,W87&gt;=55,W87&lt;95),0.15,0)+IF(AND(V87&gt;175,W87&gt;=95),0.1,0))))))))))))))))</f>
        <v>0.15</v>
      </c>
      <c r="Y87" s="30">
        <f>IF(AG87="None",0,IF(AG87="Fix5",0.05,IF(AG87="Fix3.75",0.0375,IF(AG87="Fix10",0.1,IF(AG87="Fix3",0.03,0)))))</f>
        <v>0.05</v>
      </c>
      <c r="Z87" s="35">
        <f>T87-AA87-AB87</f>
        <v>4.8</v>
      </c>
      <c r="AA87" s="29">
        <f>IF(AD87="EUR",((T87-R87)*X87)*U87+(R87*X87),(T87*X87))</f>
        <v>0.89999999999999991</v>
      </c>
      <c r="AB87" s="36">
        <f>IF(AD87="EUR",((T87-R87)*Y87)*U87+(R87*Y87),(T87*Y87))</f>
        <v>0.30000000000000004</v>
      </c>
      <c r="AC87" s="37" t="b">
        <v>1</v>
      </c>
      <c r="AD87" s="37" t="s">
        <v>38</v>
      </c>
      <c r="AE87" s="37" t="s">
        <v>38</v>
      </c>
      <c r="AF87" s="37" t="str">
        <f t="array" ref="AF87">INDEX('Deal Info'!D:D, MATCH(A87,'Deal Info'!A:A, 0))</f>
        <v>Fix15</v>
      </c>
      <c r="AG87" s="38" t="str">
        <f t="array" ref="AG87">INDEX('Deal Info'!G:G, MATCH(A87,'Deal Info'!A:A, 0))</f>
        <v>Fix5</v>
      </c>
    </row>
    <row r="88" spans="1:33" ht="14.25" hidden="1" x14ac:dyDescent="0.2">
      <c r="A88" s="18" t="str">
        <f t="array" ref="A88">IF(G88='Room Info'!$B$1, INDEX('Room Info'!$A$2:$A2446, MATCH(B88,'Room Info'!$B$2:$B2446, 0)),IF(G88='Room Info'!$C$1, INDEX('Room Info'!$A$2:$A2446, MATCH(B88,'Room Info'!$C$2:$C2446, 0)),IF(G88='Room Info'!$D$1, INDEX('Room Info'!$A$2:$A2446, MATCH(B88,'Room Info'!$D$2:$D2446, 0)),IF(G88='Room Info'!$E$1, INDEX('Room Info'!$A$2:$A2446, MATCH(B88,'Room Info'!$E$2:$E2446, 0)),IF(G88='Room Info'!$F$1, INDEX('Room Info'!$A$2:$A2446, MATCH(B88,'Room Info'!$F$2:$F2446, 0)),IF(G88='Room Info'!$H$1, INDEX('Room Info'!$A$2:$A2446, MATCH(B88,'Room Info'!$H$2:$H2446, 0)),IF(G88='Room Info'!$G$1, INDEX('Room Info'!$A$2:$A2446, MATCH(B88,'Room Info'!$G$2:$G2446, 0)))))))))</f>
        <v>AlexanderDSL</v>
      </c>
      <c r="B88" s="54" t="s">
        <v>82</v>
      </c>
      <c r="C88" s="67">
        <v>44276</v>
      </c>
      <c r="D88" s="67">
        <v>44306</v>
      </c>
      <c r="E88" s="47">
        <v>44287</v>
      </c>
      <c r="F88" s="45" t="s">
        <v>34</v>
      </c>
      <c r="G88" s="54" t="s">
        <v>35</v>
      </c>
      <c r="H88" s="49" t="s">
        <v>46</v>
      </c>
      <c r="I88" s="49" t="s">
        <v>37</v>
      </c>
      <c r="J88" s="50">
        <v>25</v>
      </c>
      <c r="K88" s="51">
        <v>7097</v>
      </c>
      <c r="L88" s="52">
        <v>-975</v>
      </c>
      <c r="M88" s="53">
        <v>4438</v>
      </c>
      <c r="N88" s="28">
        <f>K88*J88</f>
        <v>177425</v>
      </c>
      <c r="O88" s="54">
        <v>226843</v>
      </c>
      <c r="P88" s="29">
        <v>31.963223899999999</v>
      </c>
      <c r="Q88" s="55"/>
      <c r="R88" s="31">
        <f>M88+Q88</f>
        <v>4438</v>
      </c>
      <c r="S88" s="56">
        <v>-1393</v>
      </c>
      <c r="T88" s="32">
        <f>R88+S88+IF(F88="Without EV deal",L88,0)</f>
        <v>3045</v>
      </c>
      <c r="U88" s="33">
        <v>1</v>
      </c>
      <c r="V88" s="58"/>
      <c r="W88" s="58"/>
      <c r="X88" s="30">
        <f>IF(AF88="DoEV",IF(AND(V88&lt;20,W88&lt;55),0.3,0)+IF(AND(V88&lt;20,W88&gt;=55,W88&lt;105),0.23,0)+IF(AND(V88&lt;20,W88&gt;=105),0.17,0)+IF(AND(V88&gt;=20,V88&lt;40,W88&lt;45),0.3,0)+IF(AND(V88&gt;=20,V88&lt;40,W88&gt;=45,W88&lt;95),0.23,0)+IF(AND(V88&gt;=20,V88&lt;40,W88&gt;=95),0.17,0)+IF(AND(V88&gt;=40,V88&lt;75,W88&lt;35),0.3,0)+IF(AND(V88&gt;=40,V88&lt;75,W88&gt;=35,W88&lt;75),0.23,0)+IF(AND(V88&gt;=40,V88&lt;75,W88&gt;=75,W88&lt;120),0.17,0)+IF(AND(V88&gt;=40,V88&lt;75,W88&gt;=120),0.12,0)+IF(AND(V88&gt;=75,V88&lt;175,W88&lt;35),0.3,0)+IF(AND(V88&gt;=75,V88&lt;=175,W88&gt;=35,W88&lt;65),0.23,0)+IF(AND(V88&gt;=75,V88&lt;=175,W88&gt;=65,W88&lt;110),0.17,0)+IF(AND(V88&gt;=75,V88&lt;=175,W88&gt;=110),0.12,0)+IF(AND(V88&gt;175,W88&lt;25),0.3,0)+IF(AND(V88&gt;175,W88&gt;=25,W88&lt;55),0.23,0)+IF(AND(V88&gt;175,W88&gt;=55,W88&lt;95),0.17,0)+IF(AND(V88&gt;175,W88&gt;=95),0.12,0),
IF(AF88="Fix15",0.15,
IF(AF88="Fix11.25",0.1125,
IF(AF88="Fix10",0.1,
IF(AF88="Fix9",0.09,
IF(AF88="DoEV2017",IF(AND(W88&lt;74),0.2,0)+IF(AND(W88&gt;=74),0.17,0),
IF(AF88="SF",IF(AND(V88&lt;20,W88&lt;89),0.3,0)+IF(AND(V88&lt;20,W88&gt;=89),0.25,0)+IF(AND(V88&gt;=20,V88&lt;40,W88&lt;74),0.3,0)+IF(AND(V88&gt;=20,V88&lt;40,W88&gt;=75),0.22,0)+IF(AND(V88&gt;=40,V88&lt;75,W88&lt;75),0.26,0)+IF(AND(V88&gt;=40,V88&lt;75,W88&gt;=75),0.22,0)+IF(V88&gt;=75,0.22,0),
IF(AF88="DoEVold",IF(AND(V88&lt;40,W88&lt;35),0.35,0)+IF(AND(V88&lt;40,W88&gt;=35,W88&lt;75),0.25,0)+IF(AND(V88&lt;40,W88&gt;=75),0.17,0)+IF(AND(V88&gt;=40,V88&lt;75,W88&lt;25),0.35,0)+IF(AND(V88&gt;=40,V88&lt;75,W88&gt;=25,W88&lt;65),0.25,0)+IF(AND(V88&gt;=40,V88&lt;75,W88&gt;=65,W88&lt;100),0.17,0)+IF(AND(V88&gt;=40,V88&lt;75,W88&gt;=100),0.1,0)+IF(AND(V88&gt;=75,W88&lt;25),0.35,0)+IF(AND(V88&gt;=75,W88&gt;=25,W88&lt;60),0.25,0)+IF(AND(V88&gt;=75,W88&gt;=60,W88&lt;95),0.17,0)+IF(AND(V88&gt;=75,W88&gt;=95),0.1,0),
IF(AF88="DoEVold15",IF(AND(V88&lt;=40,W88&lt;35),0.35,0)+IF(AND(V88&lt;=40,W88&gt;=35,W88&lt;75),0.25,0)+IF(AND(V88&lt;=40,W88&gt;=75,W88&lt;120),0.17,0)+IF(AND(V88&lt;=40,W88&gt;=120),0.15,0)+IF(AND(V88&gt;40,V88&lt;75,W88&lt;25),0.35,0)+IF(AND(V88&gt;=40,V88&lt;75,W88&gt;=25,W88&lt;65),0.25,0)+IF(AND(V88&gt;=40,V88&lt;75,W88&gt;=65,W88&lt;100),0.17,0)+IF(AND(V88&gt;=40,V88&lt;75,W88&gt;=100),0.1,0)+IF(AND(V88&gt;=75,W88&lt;25),0.35,0)+IF(AND(V88&gt;=75,W88&gt;=25,W88&lt;60),0.25,0)+IF(AND(V88&gt;=75,W88&gt;=60,W88&lt;95),0.17,0)+IF(AND(V88&gt;=75,W88&gt;=95),0.1,0),
IF(AF88="DoEVba",IF(AND(V88&lt;20,W88&lt;105),0.2,0)+IF(AND(V88&lt;20,W88&gt;=105),0.15,0)+IF(AND(V88&gt;=20,V88&lt;40,W88&lt;95),0.2,0)+IF(AND(V88&gt;=20,V88&lt;40,W88&gt;=95,W88&lt;150),0.15,0)+IF(AND(V88&gt;=20,V88&lt;40,W88&gt;=150),0.12,0)+IF(AND(V88&gt;=40,V88&lt;75,W88&lt;75),0.2,0)+IF(AND(V88&gt;=40,V88&lt;75,W88&gt;=75,W88&lt;120),0.15,0)+IF(AND(V88&gt;=40,V88&lt;75,W88&gt;=120),0.12,0)+IF(AND(V88&gt;=75,V88&lt;175,W88&lt;65),0.2,0)+IF(AND(V88&gt;=75,V88&lt;175,W88&gt;=65,W88&lt;110),0.15,0)+IF(AND(V88&gt;=75,V88&lt;175,W88&gt;=110),0.12,0)+IF(AND(V88&gt;=175,W88&lt;55),0.2,0)+IF(AND(V88&gt;=175,W88&gt;=55,W88&lt;95),0.15,0)+IF(AND(V88&gt;=175,W88&gt;=95),0.12,0),
IF(AF88="DoEVku",IF(AND(V88&lt;20,W88&lt;55),0.23,0)+IF(AND(V88&lt;20,W88&gt;=55,W88&lt;105),0.2,0)+IF(AND(V88&lt;20,W88&gt;=105),0.17,0)+IF(AND(V88&gt;=20,V88&lt;40,W88&lt;45),0.23,0)+IF(AND(V88&gt;=20,V88&lt;40,W88&gt;=45,W88&lt;95),0.2,0)+IF(AND(V88&gt;=20,V88&lt;40,W88&gt;=95,W88&lt;=150),0.17,0)+IF(AND(V88&gt;=20,V88&lt;40,W88&gt;=150),0.12,0)+IF(AND(V88&gt;=40,V88&lt;75,W88&lt;35),0.23,0)+IF(AND(V88&gt;=40,V88&lt;75,W88&gt;=35,W88&lt;75),0.2,0)+IF(AND(V88&gt;=40,V88&lt;75,W88&gt;=75,W88&lt;120),0.17,0)+IF(AND(V88&gt;=40,V88&lt;75,W88&gt;=120),0.12,0)+IF(AND(V88&gt;=75,V88&lt;175,W88&lt;35),0.23,0)+IF(AND(V88&gt;=75,V88&lt;=175,W88&gt;=35,W88&lt;65),0.2,0)+IF(AND(V88&gt;=75,V88&lt;=175,W88&gt;=65,W88&lt;110),0.17,0)+IF(AND(V88&gt;=75,V88&lt;=175,W88&gt;=110),0.12,0)+IF(AND(V88&gt;175,W88&lt;25),0.23,0)+IF(AND(V88&gt;175,W88&gt;=25,W88&lt;55),0.2,0)+IF(AND(V88&gt;175,W88&gt;=55,W88&lt;95),0.17,0)+IF(AND(V88&gt;175,W88&gt;=95),0.12,0),
IF(AF88="DoEVs1",IF(AND(V88&lt;20,W88&lt;55),0.3,0)+IF(AND(V88&lt;20,W88&gt;=55,W88&lt;105),0.23,0)+IF(AND(V88&lt;20,W88&gt;=105),0.17,0)+IF(AND(V88&gt;=20,V88&lt;40,W88&lt;45),0.3,0)+IF(AND(V88&gt;=20,V88&lt;40,W88&gt;=45,W88&lt;95),0.23,0)+IF(AND(V88&gt;=20,V88&lt;40,W88&gt;=95,W88&lt;=150),0.17,0)+IF(AND(V88&gt;=20,V88&lt;40,W88&gt;=150),0.12,0)+IF(AND(V88&gt;=40,V88&lt;75,W88&lt;35),0.3,0)+IF(AND(V88&gt;=40,V88&lt;75,W88&gt;=35,W88&lt;75),0.23,0)+IF(AND(V88&gt;=40,V88&lt;75,W88&gt;=75,W88&lt;120),0.17,0)+IF(AND(V88&gt;=40,V88&lt;75,W88&gt;=120),0.12,0)+IF(AND(V88&gt;=75,V88&lt;175,W88&lt;35),0.3,0)+IF(AND(V88&gt;=75,V88&lt;=175,W88&gt;=35,W88&lt;65),0.23,0)+IF(AND(V88&gt;=75,V88&lt;=175,W88&gt;=65,W88&lt;110),0.17,0)+IF(AND(V88&gt;=75,V88&lt;=175,W88&gt;=110),0.12,0)+IF(AND(V88&gt;175,W88&lt;25),0.3,0)+IF(AND(V88&gt;175,W88&gt;=25,W88&lt;55),0.23,0)+IF(AND(V88&gt;175,W88&gt;=55,W88&lt;95),0.17,0)+IF(AND(V88&gt;175,W88&gt;=95),0.12,0),
IF(AF88="DoEVsu",IF(AND(V88&lt;20,W88&lt;55),0.3,0)+IF(AND(V88&lt;20,W88&gt;=55,W88&lt;105),0.23,0)+IF(AND(V88&lt;20,W88&gt;=105),0.17,0)+IF(AND(V88&gt;=20,V88&lt;40,W88&lt;45),0.3,0)+IF(AND(V88&gt;=20,V88&lt;40,W88&gt;=45,W88&lt;95),0.23,0)+IF(AND(V88&gt;=20,V88&lt;40,W88&gt;=95,W88&lt;=250),0.17,0)+IF(AND(V88&gt;=20,V88&lt;40,W88&gt;=250),0.12,0)+IF(AND(V88&gt;=40,V88&lt;75,W88&lt;35),0.3,0)+IF(AND(V88&gt;=40,V88&lt;75,W88&gt;=35,W88&lt;75),0.23,0)+IF(AND(V88&gt;=40,V88&lt;75,W88&gt;=75,W88&lt;120),0.17,0)+IF(AND(V88&gt;=40,V88&lt;75,W88&gt;=120),0.12,0)+IF(AND(V88&gt;=75,V88&lt;175,W88&lt;35),0.3,0)+IF(AND(V88&gt;=75,V88&lt;=175,W88&gt;=35,W88&lt;65),0.23,0)+IF(AND(V88&gt;=75,V88&lt;=175,W88&gt;=65,W88&lt;110),0.17,0)+IF(AND(V88&gt;=75,V88&lt;=175,W88&gt;=110),0.12,0)+IF(AND(V88&gt;175,W88&lt;25),0.3,0)+IF(AND(V88&gt;175,W88&gt;=25,W88&lt;55),0.23,0)+IF(AND(V88&gt;175,W88&gt;=55,W88&lt;95),0.17,0)+IF(AND(V88&gt;175,W88&gt;=95),0.12,0),
IF(AF88="DoEVni",IF(AND(V88&lt;20,W88&lt;55),0.3,0)+IF(AND(V88&lt;20,W88&gt;=55,W88&lt;105),0.23,0)+IF(AND(V88&lt;20,W88&gt;=105),0.17,0)+IF(AND(V88&gt;=20,V88&lt;40,W88&lt;45),0.3,0)+IF(AND(V88&gt;=20,V88&lt;40,W88&gt;=45,W88&lt;95),0.23,0)+IF(AND(V88&gt;=20,V88&lt;40,W88&gt;=95,W88&lt;=200),0.17,0)+IF(AND(V88&gt;=20,V88&lt;40,W88&gt;=200),0.12,0)+IF(AND(V88&gt;=40,V88&lt;75,W88&lt;35),0.3,0)+IF(AND(V88&gt;=40,V88&lt;75,W88&gt;=35,W88&lt;75),0.23,0)+IF(AND(V88&gt;=40,V88&lt;75,W88&gt;=75,W88&lt;120),0.17,0)+IF(AND(V88&gt;=40,V88&lt;75,W88&gt;=120),0.12,0)+IF(AND(V88&gt;=75,V88&lt;175,W88&lt;35),0.3,0)+IF(AND(V88&gt;=75,V88&lt;=175,W88&gt;=35,W88&lt;65),0.23,0)+IF(AND(V88&gt;=75,V88&lt;=175,W88&gt;=65,W88&lt;110),0.17,0)+IF(AND(V88&gt;=75,V88&lt;=175,W88&gt;=110),0.12,0)+IF(AND(V88&gt;175,W88&lt;25),0.3,0)+IF(AND(V88&gt;175,W88&gt;=25,W88&lt;55),0.23,0)+IF(AND(V88&gt;175,W88&gt;=55,W88&lt;95),0.17,0)+IF(AND(V88&gt;175,W88&gt;=95),0.12,0),
IF(AF88="DoEVLo",IF(AND(V88&lt;20,W88&lt;55),0.25,0)+IF(AND(V88&lt;20,W88&gt;=55,W88&lt;105),0.2,0)+IF(AND(V88&lt;20,W88&gt;=105),0.15,0)+IF(AND(V88&gt;=20,V88&lt;40,W88&lt;45),0.25,0)+IF(AND(V88&gt;=20,V88&lt;40,W88&gt;=45,W88&lt;95),0.2,0)+IF(AND(V88&gt;=20,V88&lt;40,W88&gt;=95),0.15,0)+IF(AND(V88&gt;=40,V88&lt;75,W88&lt;35),0.25,0)+IF(AND(V88&gt;=40,V88&lt;75,W88&gt;=35,W88&lt;75),0.2,0)+IF(AND(V88&gt;=40,V88&lt;75,W88&gt;=75,W88&lt;120),0.15,0)+IF(AND(V88&gt;=40,V88&lt;75,W88&gt;=120),0.1,0)+IF(AND(V88&gt;=75,V88&lt;175,W88&lt;35),0.25,0)+IF(AND(V88&gt;=75,V88&lt;=175,W88&gt;=35,W88&lt;65),0.2,0)+IF(AND(V88&gt;=75,V88&lt;=175,W88&gt;=65,W88&lt;110),0.15,0)+IF(AND(V88&gt;=75,V88&lt;=175,W88&gt;=110),0.1,0)+IF(AND(V88&gt;175,W88&lt;25),0.25,0)+IF(AND(V88&gt;175,W88&gt;=25,W88&lt;55),0.2,0)+IF(AND(V88&gt;175,W88&gt;=55,W88&lt;95),0.15,0)+IF(AND(V88&gt;175,W88&gt;=95),0.1,0))))))))))))))))</f>
        <v>0.15</v>
      </c>
      <c r="Y88" s="30">
        <f>IF(AG88="None",0,IF(AG88="Fix5",0.05,IF(AG88="Fix3.75",0.0375,IF(AG88="Fix10",0.1,IF(AG88="Fix3",0.03,0)))))</f>
        <v>0.05</v>
      </c>
      <c r="Z88" s="35">
        <f>T88-AA88-AB88</f>
        <v>2436</v>
      </c>
      <c r="AA88" s="29">
        <f>IF(AD88="EUR",((T88-R88)*X88)*U88+(R88*X88),(T88*X88))</f>
        <v>456.75</v>
      </c>
      <c r="AB88" s="36">
        <f>IF(AD88="EUR",((T88-R88)*Y88)*U88+(R88*Y88),(T88*Y88))</f>
        <v>152.25</v>
      </c>
      <c r="AC88" s="37" t="b">
        <v>1</v>
      </c>
      <c r="AD88" s="37" t="s">
        <v>38</v>
      </c>
      <c r="AE88" s="37" t="s">
        <v>38</v>
      </c>
      <c r="AF88" s="37" t="str">
        <f t="array" ref="AF88">INDEX('Deal Info'!D:D, MATCH(A88,'Deal Info'!A:A, 0))</f>
        <v>Fix15</v>
      </c>
      <c r="AG88" s="38" t="str">
        <f t="array" ref="AG88">INDEX('Deal Info'!G:G, MATCH(A88,'Deal Info'!A:A, 0))</f>
        <v>Fix5</v>
      </c>
    </row>
    <row r="89" spans="1:33" ht="14.25" hidden="1" x14ac:dyDescent="0.2">
      <c r="A89" s="18" t="str">
        <f t="array" ref="A89">IF(G89='Room Info'!$B$1, INDEX('Room Info'!$A$2:$A2446, MATCH(B89,'Room Info'!$B$2:$B2446, 0)),IF(G89='Room Info'!$C$1, INDEX('Room Info'!$A$2:$A2446, MATCH(B89,'Room Info'!$C$2:$C2446, 0)),IF(G89='Room Info'!$D$1, INDEX('Room Info'!$A$2:$A2446, MATCH(B89,'Room Info'!$D$2:$D2446, 0)),IF(G89='Room Info'!$E$1, INDEX('Room Info'!$A$2:$A2446, MATCH(B89,'Room Info'!$E$2:$E2446, 0)),IF(G89='Room Info'!$F$1, INDEX('Room Info'!$A$2:$A2446, MATCH(B89,'Room Info'!$F$2:$F2446, 0)),IF(G89='Room Info'!$H$1, INDEX('Room Info'!$A$2:$A2446, MATCH(B89,'Room Info'!$H$2:$H2446, 0)),IF(G89='Room Info'!$G$1, INDEX('Room Info'!$A$2:$A2446, MATCH(B89,'Room Info'!$G$2:$G2446, 0)))))))))</f>
        <v>AlexanderDSL</v>
      </c>
      <c r="B89" s="54" t="s">
        <v>82</v>
      </c>
      <c r="C89" s="67">
        <v>44276</v>
      </c>
      <c r="D89" s="67">
        <v>44306</v>
      </c>
      <c r="E89" s="47">
        <v>44287</v>
      </c>
      <c r="F89" s="45" t="s">
        <v>34</v>
      </c>
      <c r="G89" s="54" t="s">
        <v>35</v>
      </c>
      <c r="H89" s="49" t="s">
        <v>72</v>
      </c>
      <c r="I89" s="49" t="s">
        <v>37</v>
      </c>
      <c r="J89" s="50">
        <v>50</v>
      </c>
      <c r="K89" s="51">
        <v>309</v>
      </c>
      <c r="L89" s="52">
        <v>-700</v>
      </c>
      <c r="M89" s="53">
        <v>387</v>
      </c>
      <c r="N89" s="28">
        <f>K89*J89</f>
        <v>15450</v>
      </c>
      <c r="O89" s="54">
        <v>13097</v>
      </c>
      <c r="P89" s="29">
        <v>42.385113269999998</v>
      </c>
      <c r="Q89" s="55"/>
      <c r="R89" s="31">
        <f>M89+Q89</f>
        <v>387</v>
      </c>
      <c r="S89" s="56">
        <v>177</v>
      </c>
      <c r="T89" s="32">
        <f>R89+S89+IF(F89="Without EV deal",L89,0)</f>
        <v>564</v>
      </c>
      <c r="U89" s="33">
        <v>1</v>
      </c>
      <c r="V89" s="58"/>
      <c r="W89" s="58"/>
      <c r="X89" s="30">
        <f>IF(AF89="DoEV",IF(AND(V89&lt;20,W89&lt;55),0.3,0)+IF(AND(V89&lt;20,W89&gt;=55,W89&lt;105),0.23,0)+IF(AND(V89&lt;20,W89&gt;=105),0.17,0)+IF(AND(V89&gt;=20,V89&lt;40,W89&lt;45),0.3,0)+IF(AND(V89&gt;=20,V89&lt;40,W89&gt;=45,W89&lt;95),0.23,0)+IF(AND(V89&gt;=20,V89&lt;40,W89&gt;=95),0.17,0)+IF(AND(V89&gt;=40,V89&lt;75,W89&lt;35),0.3,0)+IF(AND(V89&gt;=40,V89&lt;75,W89&gt;=35,W89&lt;75),0.23,0)+IF(AND(V89&gt;=40,V89&lt;75,W89&gt;=75,W89&lt;120),0.17,0)+IF(AND(V89&gt;=40,V89&lt;75,W89&gt;=120),0.12,0)+IF(AND(V89&gt;=75,V89&lt;175,W89&lt;35),0.3,0)+IF(AND(V89&gt;=75,V89&lt;=175,W89&gt;=35,W89&lt;65),0.23,0)+IF(AND(V89&gt;=75,V89&lt;=175,W89&gt;=65,W89&lt;110),0.17,0)+IF(AND(V89&gt;=75,V89&lt;=175,W89&gt;=110),0.12,0)+IF(AND(V89&gt;175,W89&lt;25),0.3,0)+IF(AND(V89&gt;175,W89&gt;=25,W89&lt;55),0.23,0)+IF(AND(V89&gt;175,W89&gt;=55,W89&lt;95),0.17,0)+IF(AND(V89&gt;175,W89&gt;=95),0.12,0),
IF(AF89="Fix15",0.15,
IF(AF89="Fix11.25",0.1125,
IF(AF89="Fix10",0.1,
IF(AF89="Fix9",0.09,
IF(AF89="DoEV2017",IF(AND(W89&lt;74),0.2,0)+IF(AND(W89&gt;=74),0.17,0),
IF(AF89="SF",IF(AND(V89&lt;20,W89&lt;89),0.3,0)+IF(AND(V89&lt;20,W89&gt;=89),0.25,0)+IF(AND(V89&gt;=20,V89&lt;40,W89&lt;74),0.3,0)+IF(AND(V89&gt;=20,V89&lt;40,W89&gt;=75),0.22,0)+IF(AND(V89&gt;=40,V89&lt;75,W89&lt;75),0.26,0)+IF(AND(V89&gt;=40,V89&lt;75,W89&gt;=75),0.22,0)+IF(V89&gt;=75,0.22,0),
IF(AF89="DoEVold",IF(AND(V89&lt;40,W89&lt;35),0.35,0)+IF(AND(V89&lt;40,W89&gt;=35,W89&lt;75),0.25,0)+IF(AND(V89&lt;40,W89&gt;=75),0.17,0)+IF(AND(V89&gt;=40,V89&lt;75,W89&lt;25),0.35,0)+IF(AND(V89&gt;=40,V89&lt;75,W89&gt;=25,W89&lt;65),0.25,0)+IF(AND(V89&gt;=40,V89&lt;75,W89&gt;=65,W89&lt;100),0.17,0)+IF(AND(V89&gt;=40,V89&lt;75,W89&gt;=100),0.1,0)+IF(AND(V89&gt;=75,W89&lt;25),0.35,0)+IF(AND(V89&gt;=75,W89&gt;=25,W89&lt;60),0.25,0)+IF(AND(V89&gt;=75,W89&gt;=60,W89&lt;95),0.17,0)+IF(AND(V89&gt;=75,W89&gt;=95),0.1,0),
IF(AF89="DoEVold15",IF(AND(V89&lt;=40,W89&lt;35),0.35,0)+IF(AND(V89&lt;=40,W89&gt;=35,W89&lt;75),0.25,0)+IF(AND(V89&lt;=40,W89&gt;=75,W89&lt;120),0.17,0)+IF(AND(V89&lt;=40,W89&gt;=120),0.15,0)+IF(AND(V89&gt;40,V89&lt;75,W89&lt;25),0.35,0)+IF(AND(V89&gt;=40,V89&lt;75,W89&gt;=25,W89&lt;65),0.25,0)+IF(AND(V89&gt;=40,V89&lt;75,W89&gt;=65,W89&lt;100),0.17,0)+IF(AND(V89&gt;=40,V89&lt;75,W89&gt;=100),0.1,0)+IF(AND(V89&gt;=75,W89&lt;25),0.35,0)+IF(AND(V89&gt;=75,W89&gt;=25,W89&lt;60),0.25,0)+IF(AND(V89&gt;=75,W89&gt;=60,W89&lt;95),0.17,0)+IF(AND(V89&gt;=75,W89&gt;=95),0.1,0),
IF(AF89="DoEVba",IF(AND(V89&lt;20,W89&lt;105),0.2,0)+IF(AND(V89&lt;20,W89&gt;=105),0.15,0)+IF(AND(V89&gt;=20,V89&lt;40,W89&lt;95),0.2,0)+IF(AND(V89&gt;=20,V89&lt;40,W89&gt;=95,W89&lt;150),0.15,0)+IF(AND(V89&gt;=20,V89&lt;40,W89&gt;=150),0.12,0)+IF(AND(V89&gt;=40,V89&lt;75,W89&lt;75),0.2,0)+IF(AND(V89&gt;=40,V89&lt;75,W89&gt;=75,W89&lt;120),0.15,0)+IF(AND(V89&gt;=40,V89&lt;75,W89&gt;=120),0.12,0)+IF(AND(V89&gt;=75,V89&lt;175,W89&lt;65),0.2,0)+IF(AND(V89&gt;=75,V89&lt;175,W89&gt;=65,W89&lt;110),0.15,0)+IF(AND(V89&gt;=75,V89&lt;175,W89&gt;=110),0.12,0)+IF(AND(V89&gt;=175,W89&lt;55),0.2,0)+IF(AND(V89&gt;=175,W89&gt;=55,W89&lt;95),0.15,0)+IF(AND(V89&gt;=175,W89&gt;=95),0.12,0),
IF(AF89="DoEVku",IF(AND(V89&lt;20,W89&lt;55),0.23,0)+IF(AND(V89&lt;20,W89&gt;=55,W89&lt;105),0.2,0)+IF(AND(V89&lt;20,W89&gt;=105),0.17,0)+IF(AND(V89&gt;=20,V89&lt;40,W89&lt;45),0.23,0)+IF(AND(V89&gt;=20,V89&lt;40,W89&gt;=45,W89&lt;95),0.2,0)+IF(AND(V89&gt;=20,V89&lt;40,W89&gt;=95,W89&lt;=150),0.17,0)+IF(AND(V89&gt;=20,V89&lt;40,W89&gt;=150),0.12,0)+IF(AND(V89&gt;=40,V89&lt;75,W89&lt;35),0.23,0)+IF(AND(V89&gt;=40,V89&lt;75,W89&gt;=35,W89&lt;75),0.2,0)+IF(AND(V89&gt;=40,V89&lt;75,W89&gt;=75,W89&lt;120),0.17,0)+IF(AND(V89&gt;=40,V89&lt;75,W89&gt;=120),0.12,0)+IF(AND(V89&gt;=75,V89&lt;175,W89&lt;35),0.23,0)+IF(AND(V89&gt;=75,V89&lt;=175,W89&gt;=35,W89&lt;65),0.2,0)+IF(AND(V89&gt;=75,V89&lt;=175,W89&gt;=65,W89&lt;110),0.17,0)+IF(AND(V89&gt;=75,V89&lt;=175,W89&gt;=110),0.12,0)+IF(AND(V89&gt;175,W89&lt;25),0.23,0)+IF(AND(V89&gt;175,W89&gt;=25,W89&lt;55),0.2,0)+IF(AND(V89&gt;175,W89&gt;=55,W89&lt;95),0.17,0)+IF(AND(V89&gt;175,W89&gt;=95),0.12,0),
IF(AF89="DoEVs1",IF(AND(V89&lt;20,W89&lt;55),0.3,0)+IF(AND(V89&lt;20,W89&gt;=55,W89&lt;105),0.23,0)+IF(AND(V89&lt;20,W89&gt;=105),0.17,0)+IF(AND(V89&gt;=20,V89&lt;40,W89&lt;45),0.3,0)+IF(AND(V89&gt;=20,V89&lt;40,W89&gt;=45,W89&lt;95),0.23,0)+IF(AND(V89&gt;=20,V89&lt;40,W89&gt;=95,W89&lt;=150),0.17,0)+IF(AND(V89&gt;=20,V89&lt;40,W89&gt;=150),0.12,0)+IF(AND(V89&gt;=40,V89&lt;75,W89&lt;35),0.3,0)+IF(AND(V89&gt;=40,V89&lt;75,W89&gt;=35,W89&lt;75),0.23,0)+IF(AND(V89&gt;=40,V89&lt;75,W89&gt;=75,W89&lt;120),0.17,0)+IF(AND(V89&gt;=40,V89&lt;75,W89&gt;=120),0.12,0)+IF(AND(V89&gt;=75,V89&lt;175,W89&lt;35),0.3,0)+IF(AND(V89&gt;=75,V89&lt;=175,W89&gt;=35,W89&lt;65),0.23,0)+IF(AND(V89&gt;=75,V89&lt;=175,W89&gt;=65,W89&lt;110),0.17,0)+IF(AND(V89&gt;=75,V89&lt;=175,W89&gt;=110),0.12,0)+IF(AND(V89&gt;175,W89&lt;25),0.3,0)+IF(AND(V89&gt;175,W89&gt;=25,W89&lt;55),0.23,0)+IF(AND(V89&gt;175,W89&gt;=55,W89&lt;95),0.17,0)+IF(AND(V89&gt;175,W89&gt;=95),0.12,0),
IF(AF89="DoEVsu",IF(AND(V89&lt;20,W89&lt;55),0.3,0)+IF(AND(V89&lt;20,W89&gt;=55,W89&lt;105),0.23,0)+IF(AND(V89&lt;20,W89&gt;=105),0.17,0)+IF(AND(V89&gt;=20,V89&lt;40,W89&lt;45),0.3,0)+IF(AND(V89&gt;=20,V89&lt;40,W89&gt;=45,W89&lt;95),0.23,0)+IF(AND(V89&gt;=20,V89&lt;40,W89&gt;=95,W89&lt;=250),0.17,0)+IF(AND(V89&gt;=20,V89&lt;40,W89&gt;=250),0.12,0)+IF(AND(V89&gt;=40,V89&lt;75,W89&lt;35),0.3,0)+IF(AND(V89&gt;=40,V89&lt;75,W89&gt;=35,W89&lt;75),0.23,0)+IF(AND(V89&gt;=40,V89&lt;75,W89&gt;=75,W89&lt;120),0.17,0)+IF(AND(V89&gt;=40,V89&lt;75,W89&gt;=120),0.12,0)+IF(AND(V89&gt;=75,V89&lt;175,W89&lt;35),0.3,0)+IF(AND(V89&gt;=75,V89&lt;=175,W89&gt;=35,W89&lt;65),0.23,0)+IF(AND(V89&gt;=75,V89&lt;=175,W89&gt;=65,W89&lt;110),0.17,0)+IF(AND(V89&gt;=75,V89&lt;=175,W89&gt;=110),0.12,0)+IF(AND(V89&gt;175,W89&lt;25),0.3,0)+IF(AND(V89&gt;175,W89&gt;=25,W89&lt;55),0.23,0)+IF(AND(V89&gt;175,W89&gt;=55,W89&lt;95),0.17,0)+IF(AND(V89&gt;175,W89&gt;=95),0.12,0),
IF(AF89="DoEVni",IF(AND(V89&lt;20,W89&lt;55),0.3,0)+IF(AND(V89&lt;20,W89&gt;=55,W89&lt;105),0.23,0)+IF(AND(V89&lt;20,W89&gt;=105),0.17,0)+IF(AND(V89&gt;=20,V89&lt;40,W89&lt;45),0.3,0)+IF(AND(V89&gt;=20,V89&lt;40,W89&gt;=45,W89&lt;95),0.23,0)+IF(AND(V89&gt;=20,V89&lt;40,W89&gt;=95,W89&lt;=200),0.17,0)+IF(AND(V89&gt;=20,V89&lt;40,W89&gt;=200),0.12,0)+IF(AND(V89&gt;=40,V89&lt;75,W89&lt;35),0.3,0)+IF(AND(V89&gt;=40,V89&lt;75,W89&gt;=35,W89&lt;75),0.23,0)+IF(AND(V89&gt;=40,V89&lt;75,W89&gt;=75,W89&lt;120),0.17,0)+IF(AND(V89&gt;=40,V89&lt;75,W89&gt;=120),0.12,0)+IF(AND(V89&gt;=75,V89&lt;175,W89&lt;35),0.3,0)+IF(AND(V89&gt;=75,V89&lt;=175,W89&gt;=35,W89&lt;65),0.23,0)+IF(AND(V89&gt;=75,V89&lt;=175,W89&gt;=65,W89&lt;110),0.17,0)+IF(AND(V89&gt;=75,V89&lt;=175,W89&gt;=110),0.12,0)+IF(AND(V89&gt;175,W89&lt;25),0.3,0)+IF(AND(V89&gt;175,W89&gt;=25,W89&lt;55),0.23,0)+IF(AND(V89&gt;175,W89&gt;=55,W89&lt;95),0.17,0)+IF(AND(V89&gt;175,W89&gt;=95),0.12,0),
IF(AF89="DoEVLo",IF(AND(V89&lt;20,W89&lt;55),0.25,0)+IF(AND(V89&lt;20,W89&gt;=55,W89&lt;105),0.2,0)+IF(AND(V89&lt;20,W89&gt;=105),0.15,0)+IF(AND(V89&gt;=20,V89&lt;40,W89&lt;45),0.25,0)+IF(AND(V89&gt;=20,V89&lt;40,W89&gt;=45,W89&lt;95),0.2,0)+IF(AND(V89&gt;=20,V89&lt;40,W89&gt;=95),0.15,0)+IF(AND(V89&gt;=40,V89&lt;75,W89&lt;35),0.25,0)+IF(AND(V89&gt;=40,V89&lt;75,W89&gt;=35,W89&lt;75),0.2,0)+IF(AND(V89&gt;=40,V89&lt;75,W89&gt;=75,W89&lt;120),0.15,0)+IF(AND(V89&gt;=40,V89&lt;75,W89&gt;=120),0.1,0)+IF(AND(V89&gt;=75,V89&lt;175,W89&lt;35),0.25,0)+IF(AND(V89&gt;=75,V89&lt;=175,W89&gt;=35,W89&lt;65),0.2,0)+IF(AND(V89&gt;=75,V89&lt;=175,W89&gt;=65,W89&lt;110),0.15,0)+IF(AND(V89&gt;=75,V89&lt;=175,W89&gt;=110),0.1,0)+IF(AND(V89&gt;175,W89&lt;25),0.25,0)+IF(AND(V89&gt;175,W89&gt;=25,W89&lt;55),0.2,0)+IF(AND(V89&gt;175,W89&gt;=55,W89&lt;95),0.15,0)+IF(AND(V89&gt;175,W89&gt;=95),0.1,0))))))))))))))))</f>
        <v>0.15</v>
      </c>
      <c r="Y89" s="30">
        <f>IF(AG89="None",0,IF(AG89="Fix5",0.05,IF(AG89="Fix3.75",0.0375,IF(AG89="Fix10",0.1,IF(AG89="Fix3",0.03,0)))))</f>
        <v>0.05</v>
      </c>
      <c r="Z89" s="35">
        <f>T89-AA89-AB89</f>
        <v>451.2</v>
      </c>
      <c r="AA89" s="29">
        <f>IF(AD89="EUR",((T89-R89)*X89)*U89+(R89*X89),(T89*X89))</f>
        <v>84.6</v>
      </c>
      <c r="AB89" s="36">
        <f>IF(AD89="EUR",((T89-R89)*Y89)*U89+(R89*Y89),(T89*Y89))</f>
        <v>28.200000000000003</v>
      </c>
      <c r="AC89" s="37" t="b">
        <v>1</v>
      </c>
      <c r="AD89" s="37" t="s">
        <v>38</v>
      </c>
      <c r="AE89" s="37" t="s">
        <v>38</v>
      </c>
      <c r="AF89" s="37" t="str">
        <f t="array" ref="AF89">INDEX('Deal Info'!D:D, MATCH(A89,'Deal Info'!A:A, 0))</f>
        <v>Fix15</v>
      </c>
      <c r="AG89" s="38" t="str">
        <f t="array" ref="AG89">INDEX('Deal Info'!G:G, MATCH(A89,'Deal Info'!A:A, 0))</f>
        <v>Fix5</v>
      </c>
    </row>
    <row r="90" spans="1:33" ht="14.25" hidden="1" x14ac:dyDescent="0.2">
      <c r="A90" s="18" t="str">
        <f t="array" ref="A90">IF(G90='Room Info'!$B$1, INDEX('Room Info'!$A$2:$A2446, MATCH(B90,'Room Info'!$B$2:$B2446, 0)),IF(G90='Room Info'!$C$1, INDEX('Room Info'!$A$2:$A2446, MATCH(B90,'Room Info'!$C$2:$C2446, 0)),IF(G90='Room Info'!$D$1, INDEX('Room Info'!$A$2:$A2446, MATCH(B90,'Room Info'!$D$2:$D2446, 0)),IF(G90='Room Info'!$E$1, INDEX('Room Info'!$A$2:$A2446, MATCH(B90,'Room Info'!$E$2:$E2446, 0)),IF(G90='Room Info'!$F$1, INDEX('Room Info'!$A$2:$A2446, MATCH(B90,'Room Info'!$F$2:$F2446, 0)),IF(G90='Room Info'!$H$1, INDEX('Room Info'!$A$2:$A2446, MATCH(B90,'Room Info'!$H$2:$H2446, 0)),IF(G90='Room Info'!$G$1, INDEX('Room Info'!$A$2:$A2446, MATCH(B90,'Room Info'!$G$2:$G2446, 0)))))))))</f>
        <v>AlexanderDSL</v>
      </c>
      <c r="B90" s="54" t="s">
        <v>82</v>
      </c>
      <c r="C90" s="67">
        <v>44276</v>
      </c>
      <c r="D90" s="67">
        <v>44306</v>
      </c>
      <c r="E90" s="47">
        <v>44287</v>
      </c>
      <c r="F90" s="45" t="s">
        <v>41</v>
      </c>
      <c r="G90" s="54" t="s">
        <v>35</v>
      </c>
      <c r="H90" s="49" t="s">
        <v>86</v>
      </c>
      <c r="I90" s="49" t="s">
        <v>37</v>
      </c>
      <c r="J90" s="50">
        <v>5</v>
      </c>
      <c r="K90" s="51">
        <v>22</v>
      </c>
      <c r="L90" s="52">
        <v>30</v>
      </c>
      <c r="M90" s="53">
        <v>3</v>
      </c>
      <c r="N90" s="28">
        <f>K90*J90</f>
        <v>110</v>
      </c>
      <c r="O90" s="65"/>
      <c r="P90" s="29">
        <v>0</v>
      </c>
      <c r="Q90" s="55"/>
      <c r="R90" s="31">
        <f>M90+Q90</f>
        <v>3</v>
      </c>
      <c r="S90" s="66"/>
      <c r="T90" s="32">
        <f>R90+S90+IF(F90="Without EV deal",L90,0)</f>
        <v>33</v>
      </c>
      <c r="U90" s="33">
        <v>1</v>
      </c>
      <c r="V90" s="58"/>
      <c r="W90" s="58"/>
      <c r="X90" s="30">
        <f>IF(AF90="DoEV",IF(AND(V90&lt;20,W90&lt;55),0.3,0)+IF(AND(V90&lt;20,W90&gt;=55,W90&lt;105),0.23,0)+IF(AND(V90&lt;20,W90&gt;=105),0.17,0)+IF(AND(V90&gt;=20,V90&lt;40,W90&lt;45),0.3,0)+IF(AND(V90&gt;=20,V90&lt;40,W90&gt;=45,W90&lt;95),0.23,0)+IF(AND(V90&gt;=20,V90&lt;40,W90&gt;=95),0.17,0)+IF(AND(V90&gt;=40,V90&lt;75,W90&lt;35),0.3,0)+IF(AND(V90&gt;=40,V90&lt;75,W90&gt;=35,W90&lt;75),0.23,0)+IF(AND(V90&gt;=40,V90&lt;75,W90&gt;=75,W90&lt;120),0.17,0)+IF(AND(V90&gt;=40,V90&lt;75,W90&gt;=120),0.12,0)+IF(AND(V90&gt;=75,V90&lt;175,W90&lt;35),0.3,0)+IF(AND(V90&gt;=75,V90&lt;=175,W90&gt;=35,W90&lt;65),0.23,0)+IF(AND(V90&gt;=75,V90&lt;=175,W90&gt;=65,W90&lt;110),0.17,0)+IF(AND(V90&gt;=75,V90&lt;=175,W90&gt;=110),0.12,0)+IF(AND(V90&gt;175,W90&lt;25),0.3,0)+IF(AND(V90&gt;175,W90&gt;=25,W90&lt;55),0.23,0)+IF(AND(V90&gt;175,W90&gt;=55,W90&lt;95),0.17,0)+IF(AND(V90&gt;175,W90&gt;=95),0.12,0),
IF(AF90="Fix15",0.15,
IF(AF90="Fix11.25",0.1125,
IF(AF90="Fix10",0.1,
IF(AF90="Fix9",0.09,
IF(AF90="DoEV2017",IF(AND(W90&lt;74),0.2,0)+IF(AND(W90&gt;=74),0.17,0),
IF(AF90="SF",IF(AND(V90&lt;20,W90&lt;89),0.3,0)+IF(AND(V90&lt;20,W90&gt;=89),0.25,0)+IF(AND(V90&gt;=20,V90&lt;40,W90&lt;74),0.3,0)+IF(AND(V90&gt;=20,V90&lt;40,W90&gt;=75),0.22,0)+IF(AND(V90&gt;=40,V90&lt;75,W90&lt;75),0.26,0)+IF(AND(V90&gt;=40,V90&lt;75,W90&gt;=75),0.22,0)+IF(V90&gt;=75,0.22,0),
IF(AF90="DoEVold",IF(AND(V90&lt;40,W90&lt;35),0.35,0)+IF(AND(V90&lt;40,W90&gt;=35,W90&lt;75),0.25,0)+IF(AND(V90&lt;40,W90&gt;=75),0.17,0)+IF(AND(V90&gt;=40,V90&lt;75,W90&lt;25),0.35,0)+IF(AND(V90&gt;=40,V90&lt;75,W90&gt;=25,W90&lt;65),0.25,0)+IF(AND(V90&gt;=40,V90&lt;75,W90&gt;=65,W90&lt;100),0.17,0)+IF(AND(V90&gt;=40,V90&lt;75,W90&gt;=100),0.1,0)+IF(AND(V90&gt;=75,W90&lt;25),0.35,0)+IF(AND(V90&gt;=75,W90&gt;=25,W90&lt;60),0.25,0)+IF(AND(V90&gt;=75,W90&gt;=60,W90&lt;95),0.17,0)+IF(AND(V90&gt;=75,W90&gt;=95),0.1,0),
IF(AF90="DoEVold15",IF(AND(V90&lt;=40,W90&lt;35),0.35,0)+IF(AND(V90&lt;=40,W90&gt;=35,W90&lt;75),0.25,0)+IF(AND(V90&lt;=40,W90&gt;=75,W90&lt;120),0.17,0)+IF(AND(V90&lt;=40,W90&gt;=120),0.15,0)+IF(AND(V90&gt;40,V90&lt;75,W90&lt;25),0.35,0)+IF(AND(V90&gt;=40,V90&lt;75,W90&gt;=25,W90&lt;65),0.25,0)+IF(AND(V90&gt;=40,V90&lt;75,W90&gt;=65,W90&lt;100),0.17,0)+IF(AND(V90&gt;=40,V90&lt;75,W90&gt;=100),0.1,0)+IF(AND(V90&gt;=75,W90&lt;25),0.35,0)+IF(AND(V90&gt;=75,W90&gt;=25,W90&lt;60),0.25,0)+IF(AND(V90&gt;=75,W90&gt;=60,W90&lt;95),0.17,0)+IF(AND(V90&gt;=75,W90&gt;=95),0.1,0),
IF(AF90="DoEVba",IF(AND(V90&lt;20,W90&lt;105),0.2,0)+IF(AND(V90&lt;20,W90&gt;=105),0.15,0)+IF(AND(V90&gt;=20,V90&lt;40,W90&lt;95),0.2,0)+IF(AND(V90&gt;=20,V90&lt;40,W90&gt;=95,W90&lt;150),0.15,0)+IF(AND(V90&gt;=20,V90&lt;40,W90&gt;=150),0.12,0)+IF(AND(V90&gt;=40,V90&lt;75,W90&lt;75),0.2,0)+IF(AND(V90&gt;=40,V90&lt;75,W90&gt;=75,W90&lt;120),0.15,0)+IF(AND(V90&gt;=40,V90&lt;75,W90&gt;=120),0.12,0)+IF(AND(V90&gt;=75,V90&lt;175,W90&lt;65),0.2,0)+IF(AND(V90&gt;=75,V90&lt;175,W90&gt;=65,W90&lt;110),0.15,0)+IF(AND(V90&gt;=75,V90&lt;175,W90&gt;=110),0.12,0)+IF(AND(V90&gt;=175,W90&lt;55),0.2,0)+IF(AND(V90&gt;=175,W90&gt;=55,W90&lt;95),0.15,0)+IF(AND(V90&gt;=175,W90&gt;=95),0.12,0),
IF(AF90="DoEVku",IF(AND(V90&lt;20,W90&lt;55),0.23,0)+IF(AND(V90&lt;20,W90&gt;=55,W90&lt;105),0.2,0)+IF(AND(V90&lt;20,W90&gt;=105),0.17,0)+IF(AND(V90&gt;=20,V90&lt;40,W90&lt;45),0.23,0)+IF(AND(V90&gt;=20,V90&lt;40,W90&gt;=45,W90&lt;95),0.2,0)+IF(AND(V90&gt;=20,V90&lt;40,W90&gt;=95,W90&lt;=150),0.17,0)+IF(AND(V90&gt;=20,V90&lt;40,W90&gt;=150),0.12,0)+IF(AND(V90&gt;=40,V90&lt;75,W90&lt;35),0.23,0)+IF(AND(V90&gt;=40,V90&lt;75,W90&gt;=35,W90&lt;75),0.2,0)+IF(AND(V90&gt;=40,V90&lt;75,W90&gt;=75,W90&lt;120),0.17,0)+IF(AND(V90&gt;=40,V90&lt;75,W90&gt;=120),0.12,0)+IF(AND(V90&gt;=75,V90&lt;175,W90&lt;35),0.23,0)+IF(AND(V90&gt;=75,V90&lt;=175,W90&gt;=35,W90&lt;65),0.2,0)+IF(AND(V90&gt;=75,V90&lt;=175,W90&gt;=65,W90&lt;110),0.17,0)+IF(AND(V90&gt;=75,V90&lt;=175,W90&gt;=110),0.12,0)+IF(AND(V90&gt;175,W90&lt;25),0.23,0)+IF(AND(V90&gt;175,W90&gt;=25,W90&lt;55),0.2,0)+IF(AND(V90&gt;175,W90&gt;=55,W90&lt;95),0.17,0)+IF(AND(V90&gt;175,W90&gt;=95),0.12,0),
IF(AF90="DoEVs1",IF(AND(V90&lt;20,W90&lt;55),0.3,0)+IF(AND(V90&lt;20,W90&gt;=55,W90&lt;105),0.23,0)+IF(AND(V90&lt;20,W90&gt;=105),0.17,0)+IF(AND(V90&gt;=20,V90&lt;40,W90&lt;45),0.3,0)+IF(AND(V90&gt;=20,V90&lt;40,W90&gt;=45,W90&lt;95),0.23,0)+IF(AND(V90&gt;=20,V90&lt;40,W90&gt;=95,W90&lt;=150),0.17,0)+IF(AND(V90&gt;=20,V90&lt;40,W90&gt;=150),0.12,0)+IF(AND(V90&gt;=40,V90&lt;75,W90&lt;35),0.3,0)+IF(AND(V90&gt;=40,V90&lt;75,W90&gt;=35,W90&lt;75),0.23,0)+IF(AND(V90&gt;=40,V90&lt;75,W90&gt;=75,W90&lt;120),0.17,0)+IF(AND(V90&gt;=40,V90&lt;75,W90&gt;=120),0.12,0)+IF(AND(V90&gt;=75,V90&lt;175,W90&lt;35),0.3,0)+IF(AND(V90&gt;=75,V90&lt;=175,W90&gt;=35,W90&lt;65),0.23,0)+IF(AND(V90&gt;=75,V90&lt;=175,W90&gt;=65,W90&lt;110),0.17,0)+IF(AND(V90&gt;=75,V90&lt;=175,W90&gt;=110),0.12,0)+IF(AND(V90&gt;175,W90&lt;25),0.3,0)+IF(AND(V90&gt;175,W90&gt;=25,W90&lt;55),0.23,0)+IF(AND(V90&gt;175,W90&gt;=55,W90&lt;95),0.17,0)+IF(AND(V90&gt;175,W90&gt;=95),0.12,0),
IF(AF90="DoEVsu",IF(AND(V90&lt;20,W90&lt;55),0.3,0)+IF(AND(V90&lt;20,W90&gt;=55,W90&lt;105),0.23,0)+IF(AND(V90&lt;20,W90&gt;=105),0.17,0)+IF(AND(V90&gt;=20,V90&lt;40,W90&lt;45),0.3,0)+IF(AND(V90&gt;=20,V90&lt;40,W90&gt;=45,W90&lt;95),0.23,0)+IF(AND(V90&gt;=20,V90&lt;40,W90&gt;=95,W90&lt;=250),0.17,0)+IF(AND(V90&gt;=20,V90&lt;40,W90&gt;=250),0.12,0)+IF(AND(V90&gt;=40,V90&lt;75,W90&lt;35),0.3,0)+IF(AND(V90&gt;=40,V90&lt;75,W90&gt;=35,W90&lt;75),0.23,0)+IF(AND(V90&gt;=40,V90&lt;75,W90&gt;=75,W90&lt;120),0.17,0)+IF(AND(V90&gt;=40,V90&lt;75,W90&gt;=120),0.12,0)+IF(AND(V90&gt;=75,V90&lt;175,W90&lt;35),0.3,0)+IF(AND(V90&gt;=75,V90&lt;=175,W90&gt;=35,W90&lt;65),0.23,0)+IF(AND(V90&gt;=75,V90&lt;=175,W90&gt;=65,W90&lt;110),0.17,0)+IF(AND(V90&gt;=75,V90&lt;=175,W90&gt;=110),0.12,0)+IF(AND(V90&gt;175,W90&lt;25),0.3,0)+IF(AND(V90&gt;175,W90&gt;=25,W90&lt;55),0.23,0)+IF(AND(V90&gt;175,W90&gt;=55,W90&lt;95),0.17,0)+IF(AND(V90&gt;175,W90&gt;=95),0.12,0),
IF(AF90="DoEVni",IF(AND(V90&lt;20,W90&lt;55),0.3,0)+IF(AND(V90&lt;20,W90&gt;=55,W90&lt;105),0.23,0)+IF(AND(V90&lt;20,W90&gt;=105),0.17,0)+IF(AND(V90&gt;=20,V90&lt;40,W90&lt;45),0.3,0)+IF(AND(V90&gt;=20,V90&lt;40,W90&gt;=45,W90&lt;95),0.23,0)+IF(AND(V90&gt;=20,V90&lt;40,W90&gt;=95,W90&lt;=200),0.17,0)+IF(AND(V90&gt;=20,V90&lt;40,W90&gt;=200),0.12,0)+IF(AND(V90&gt;=40,V90&lt;75,W90&lt;35),0.3,0)+IF(AND(V90&gt;=40,V90&lt;75,W90&gt;=35,W90&lt;75),0.23,0)+IF(AND(V90&gt;=40,V90&lt;75,W90&gt;=75,W90&lt;120),0.17,0)+IF(AND(V90&gt;=40,V90&lt;75,W90&gt;=120),0.12,0)+IF(AND(V90&gt;=75,V90&lt;175,W90&lt;35),0.3,0)+IF(AND(V90&gt;=75,V90&lt;=175,W90&gt;=35,W90&lt;65),0.23,0)+IF(AND(V90&gt;=75,V90&lt;=175,W90&gt;=65,W90&lt;110),0.17,0)+IF(AND(V90&gt;=75,V90&lt;=175,W90&gt;=110),0.12,0)+IF(AND(V90&gt;175,W90&lt;25),0.3,0)+IF(AND(V90&gt;175,W90&gt;=25,W90&lt;55),0.23,0)+IF(AND(V90&gt;175,W90&gt;=55,W90&lt;95),0.17,0)+IF(AND(V90&gt;175,W90&gt;=95),0.12,0),
IF(AF90="DoEVLo",IF(AND(V90&lt;20,W90&lt;55),0.25,0)+IF(AND(V90&lt;20,W90&gt;=55,W90&lt;105),0.2,0)+IF(AND(V90&lt;20,W90&gt;=105),0.15,0)+IF(AND(V90&gt;=20,V90&lt;40,W90&lt;45),0.25,0)+IF(AND(V90&gt;=20,V90&lt;40,W90&gt;=45,W90&lt;95),0.2,0)+IF(AND(V90&gt;=20,V90&lt;40,W90&gt;=95),0.15,0)+IF(AND(V90&gt;=40,V90&lt;75,W90&lt;35),0.25,0)+IF(AND(V90&gt;=40,V90&lt;75,W90&gt;=35,W90&lt;75),0.2,0)+IF(AND(V90&gt;=40,V90&lt;75,W90&gt;=75,W90&lt;120),0.15,0)+IF(AND(V90&gt;=40,V90&lt;75,W90&gt;=120),0.1,0)+IF(AND(V90&gt;=75,V90&lt;175,W90&lt;35),0.25,0)+IF(AND(V90&gt;=75,V90&lt;=175,W90&gt;=35,W90&lt;65),0.2,0)+IF(AND(V90&gt;=75,V90&lt;=175,W90&gt;=65,W90&lt;110),0.15,0)+IF(AND(V90&gt;=75,V90&lt;=175,W90&gt;=110),0.1,0)+IF(AND(V90&gt;175,W90&lt;25),0.25,0)+IF(AND(V90&gt;175,W90&gt;=25,W90&lt;55),0.2,0)+IF(AND(V90&gt;175,W90&gt;=55,W90&lt;95),0.15,0)+IF(AND(V90&gt;175,W90&gt;=95),0.1,0))))))))))))))))</f>
        <v>0.15</v>
      </c>
      <c r="Y90" s="30">
        <f>IF(AG90="None",0,IF(AG90="Fix5",0.05,IF(AG90="Fix3.75",0.0375,IF(AG90="Fix10",0.1,IF(AG90="Fix3",0.03,0)))))</f>
        <v>0.05</v>
      </c>
      <c r="Z90" s="35">
        <f>T90-AA90-AB90</f>
        <v>26.400000000000002</v>
      </c>
      <c r="AA90" s="29">
        <f>IF(AD90="EUR",((T90-R90)*X90)*U90+(R90*X90),(T90*X90))</f>
        <v>4.95</v>
      </c>
      <c r="AB90" s="36">
        <f>IF(AD90="EUR",((T90-R90)*Y90)*U90+(R90*Y90),(T90*Y90))</f>
        <v>1.6500000000000001</v>
      </c>
      <c r="AC90" s="37" t="b">
        <v>1</v>
      </c>
      <c r="AD90" s="37" t="s">
        <v>38</v>
      </c>
      <c r="AE90" s="37" t="s">
        <v>38</v>
      </c>
      <c r="AF90" s="37" t="str">
        <f t="array" ref="AF90">INDEX('Deal Info'!D:D, MATCH(A90,'Deal Info'!A:A, 0))</f>
        <v>Fix15</v>
      </c>
      <c r="AG90" s="38" t="str">
        <f t="array" ref="AG90">INDEX('Deal Info'!G:G, MATCH(A90,'Deal Info'!A:A, 0))</f>
        <v>Fix5</v>
      </c>
    </row>
    <row r="91" spans="1:33" ht="14.25" hidden="1" x14ac:dyDescent="0.2">
      <c r="A91" s="18" t="str">
        <f t="array" ref="A91">IF(G91='Room Info'!$B$1, INDEX('Room Info'!$A$2:$A2446, MATCH(B91,'Room Info'!$B$2:$B2446, 0)),IF(G91='Room Info'!$C$1, INDEX('Room Info'!$A$2:$A2446, MATCH(B91,'Room Info'!$C$2:$C2446, 0)),IF(G91='Room Info'!$D$1, INDEX('Room Info'!$A$2:$A2446, MATCH(B91,'Room Info'!$D$2:$D2446, 0)),IF(G91='Room Info'!$E$1, INDEX('Room Info'!$A$2:$A2446, MATCH(B91,'Room Info'!$E$2:$E2446, 0)),IF(G91='Room Info'!$F$1, INDEX('Room Info'!$A$2:$A2446, MATCH(B91,'Room Info'!$F$2:$F2446, 0)),IF(G91='Room Info'!$H$1, INDEX('Room Info'!$A$2:$A2446, MATCH(B91,'Room Info'!$H$2:$H2446, 0)),IF(G91='Room Info'!$G$1, INDEX('Room Info'!$A$2:$A2446, MATCH(B91,'Room Info'!$G$2:$G2446, 0)))))))))</f>
        <v>AlexanderDSL</v>
      </c>
      <c r="B91" s="54" t="s">
        <v>82</v>
      </c>
      <c r="C91" s="67">
        <v>44276</v>
      </c>
      <c r="D91" s="67">
        <v>44306</v>
      </c>
      <c r="E91" s="47">
        <v>44287</v>
      </c>
      <c r="F91" s="45" t="s">
        <v>41</v>
      </c>
      <c r="G91" s="54" t="s">
        <v>35</v>
      </c>
      <c r="H91" s="49" t="s">
        <v>85</v>
      </c>
      <c r="I91" s="49" t="s">
        <v>44</v>
      </c>
      <c r="J91" s="50">
        <v>50</v>
      </c>
      <c r="K91" s="51">
        <v>2</v>
      </c>
      <c r="L91" s="52">
        <v>200</v>
      </c>
      <c r="M91" s="53">
        <v>5</v>
      </c>
      <c r="N91" s="28">
        <f>K91*J91</f>
        <v>100</v>
      </c>
      <c r="O91" s="65"/>
      <c r="P91" s="29">
        <v>0</v>
      </c>
      <c r="Q91" s="55"/>
      <c r="R91" s="31">
        <f>M91+Q91</f>
        <v>5</v>
      </c>
      <c r="S91" s="66"/>
      <c r="T91" s="32">
        <f>R91+S91+IF(F91="Without EV deal",L91,0)</f>
        <v>205</v>
      </c>
      <c r="U91" s="33">
        <v>1</v>
      </c>
      <c r="V91" s="58"/>
      <c r="W91" s="58"/>
      <c r="X91" s="30">
        <f>IF(AF91="DoEV",IF(AND(V91&lt;20,W91&lt;55),0.3,0)+IF(AND(V91&lt;20,W91&gt;=55,W91&lt;105),0.23,0)+IF(AND(V91&lt;20,W91&gt;=105),0.17,0)+IF(AND(V91&gt;=20,V91&lt;40,W91&lt;45),0.3,0)+IF(AND(V91&gt;=20,V91&lt;40,W91&gt;=45,W91&lt;95),0.23,0)+IF(AND(V91&gt;=20,V91&lt;40,W91&gt;=95),0.17,0)+IF(AND(V91&gt;=40,V91&lt;75,W91&lt;35),0.3,0)+IF(AND(V91&gt;=40,V91&lt;75,W91&gt;=35,W91&lt;75),0.23,0)+IF(AND(V91&gt;=40,V91&lt;75,W91&gt;=75,W91&lt;120),0.17,0)+IF(AND(V91&gt;=40,V91&lt;75,W91&gt;=120),0.12,0)+IF(AND(V91&gt;=75,V91&lt;175,W91&lt;35),0.3,0)+IF(AND(V91&gt;=75,V91&lt;=175,W91&gt;=35,W91&lt;65),0.23,0)+IF(AND(V91&gt;=75,V91&lt;=175,W91&gt;=65,W91&lt;110),0.17,0)+IF(AND(V91&gt;=75,V91&lt;=175,W91&gt;=110),0.12,0)+IF(AND(V91&gt;175,W91&lt;25),0.3,0)+IF(AND(V91&gt;175,W91&gt;=25,W91&lt;55),0.23,0)+IF(AND(V91&gt;175,W91&gt;=55,W91&lt;95),0.17,0)+IF(AND(V91&gt;175,W91&gt;=95),0.12,0),
IF(AF91="Fix15",0.15,
IF(AF91="Fix11.25",0.1125,
IF(AF91="Fix10",0.1,
IF(AF91="Fix9",0.09,
IF(AF91="DoEV2017",IF(AND(W91&lt;74),0.2,0)+IF(AND(W91&gt;=74),0.17,0),
IF(AF91="SF",IF(AND(V91&lt;20,W91&lt;89),0.3,0)+IF(AND(V91&lt;20,W91&gt;=89),0.25,0)+IF(AND(V91&gt;=20,V91&lt;40,W91&lt;74),0.3,0)+IF(AND(V91&gt;=20,V91&lt;40,W91&gt;=75),0.22,0)+IF(AND(V91&gt;=40,V91&lt;75,W91&lt;75),0.26,0)+IF(AND(V91&gt;=40,V91&lt;75,W91&gt;=75),0.22,0)+IF(V91&gt;=75,0.22,0),
IF(AF91="DoEVold",IF(AND(V91&lt;40,W91&lt;35),0.35,0)+IF(AND(V91&lt;40,W91&gt;=35,W91&lt;75),0.25,0)+IF(AND(V91&lt;40,W91&gt;=75),0.17,0)+IF(AND(V91&gt;=40,V91&lt;75,W91&lt;25),0.35,0)+IF(AND(V91&gt;=40,V91&lt;75,W91&gt;=25,W91&lt;65),0.25,0)+IF(AND(V91&gt;=40,V91&lt;75,W91&gt;=65,W91&lt;100),0.17,0)+IF(AND(V91&gt;=40,V91&lt;75,W91&gt;=100),0.1,0)+IF(AND(V91&gt;=75,W91&lt;25),0.35,0)+IF(AND(V91&gt;=75,W91&gt;=25,W91&lt;60),0.25,0)+IF(AND(V91&gt;=75,W91&gt;=60,W91&lt;95),0.17,0)+IF(AND(V91&gt;=75,W91&gt;=95),0.1,0),
IF(AF91="DoEVold15",IF(AND(V91&lt;=40,W91&lt;35),0.35,0)+IF(AND(V91&lt;=40,W91&gt;=35,W91&lt;75),0.25,0)+IF(AND(V91&lt;=40,W91&gt;=75,W91&lt;120),0.17,0)+IF(AND(V91&lt;=40,W91&gt;=120),0.15,0)+IF(AND(V91&gt;40,V91&lt;75,W91&lt;25),0.35,0)+IF(AND(V91&gt;=40,V91&lt;75,W91&gt;=25,W91&lt;65),0.25,0)+IF(AND(V91&gt;=40,V91&lt;75,W91&gt;=65,W91&lt;100),0.17,0)+IF(AND(V91&gt;=40,V91&lt;75,W91&gt;=100),0.1,0)+IF(AND(V91&gt;=75,W91&lt;25),0.35,0)+IF(AND(V91&gt;=75,W91&gt;=25,W91&lt;60),0.25,0)+IF(AND(V91&gt;=75,W91&gt;=60,W91&lt;95),0.17,0)+IF(AND(V91&gt;=75,W91&gt;=95),0.1,0),
IF(AF91="DoEVba",IF(AND(V91&lt;20,W91&lt;105),0.2,0)+IF(AND(V91&lt;20,W91&gt;=105),0.15,0)+IF(AND(V91&gt;=20,V91&lt;40,W91&lt;95),0.2,0)+IF(AND(V91&gt;=20,V91&lt;40,W91&gt;=95,W91&lt;150),0.15,0)+IF(AND(V91&gt;=20,V91&lt;40,W91&gt;=150),0.12,0)+IF(AND(V91&gt;=40,V91&lt;75,W91&lt;75),0.2,0)+IF(AND(V91&gt;=40,V91&lt;75,W91&gt;=75,W91&lt;120),0.15,0)+IF(AND(V91&gt;=40,V91&lt;75,W91&gt;=120),0.12,0)+IF(AND(V91&gt;=75,V91&lt;175,W91&lt;65),0.2,0)+IF(AND(V91&gt;=75,V91&lt;175,W91&gt;=65,W91&lt;110),0.15,0)+IF(AND(V91&gt;=75,V91&lt;175,W91&gt;=110),0.12,0)+IF(AND(V91&gt;=175,W91&lt;55),0.2,0)+IF(AND(V91&gt;=175,W91&gt;=55,W91&lt;95),0.15,0)+IF(AND(V91&gt;=175,W91&gt;=95),0.12,0),
IF(AF91="DoEVku",IF(AND(V91&lt;20,W91&lt;55),0.23,0)+IF(AND(V91&lt;20,W91&gt;=55,W91&lt;105),0.2,0)+IF(AND(V91&lt;20,W91&gt;=105),0.17,0)+IF(AND(V91&gt;=20,V91&lt;40,W91&lt;45),0.23,0)+IF(AND(V91&gt;=20,V91&lt;40,W91&gt;=45,W91&lt;95),0.2,0)+IF(AND(V91&gt;=20,V91&lt;40,W91&gt;=95,W91&lt;=150),0.17,0)+IF(AND(V91&gt;=20,V91&lt;40,W91&gt;=150),0.12,0)+IF(AND(V91&gt;=40,V91&lt;75,W91&lt;35),0.23,0)+IF(AND(V91&gt;=40,V91&lt;75,W91&gt;=35,W91&lt;75),0.2,0)+IF(AND(V91&gt;=40,V91&lt;75,W91&gt;=75,W91&lt;120),0.17,0)+IF(AND(V91&gt;=40,V91&lt;75,W91&gt;=120),0.12,0)+IF(AND(V91&gt;=75,V91&lt;175,W91&lt;35),0.23,0)+IF(AND(V91&gt;=75,V91&lt;=175,W91&gt;=35,W91&lt;65),0.2,0)+IF(AND(V91&gt;=75,V91&lt;=175,W91&gt;=65,W91&lt;110),0.17,0)+IF(AND(V91&gt;=75,V91&lt;=175,W91&gt;=110),0.12,0)+IF(AND(V91&gt;175,W91&lt;25),0.23,0)+IF(AND(V91&gt;175,W91&gt;=25,W91&lt;55),0.2,0)+IF(AND(V91&gt;175,W91&gt;=55,W91&lt;95),0.17,0)+IF(AND(V91&gt;175,W91&gt;=95),0.12,0),
IF(AF91="DoEVs1",IF(AND(V91&lt;20,W91&lt;55),0.3,0)+IF(AND(V91&lt;20,W91&gt;=55,W91&lt;105),0.23,0)+IF(AND(V91&lt;20,W91&gt;=105),0.17,0)+IF(AND(V91&gt;=20,V91&lt;40,W91&lt;45),0.3,0)+IF(AND(V91&gt;=20,V91&lt;40,W91&gt;=45,W91&lt;95),0.23,0)+IF(AND(V91&gt;=20,V91&lt;40,W91&gt;=95,W91&lt;=150),0.17,0)+IF(AND(V91&gt;=20,V91&lt;40,W91&gt;=150),0.12,0)+IF(AND(V91&gt;=40,V91&lt;75,W91&lt;35),0.3,0)+IF(AND(V91&gt;=40,V91&lt;75,W91&gt;=35,W91&lt;75),0.23,0)+IF(AND(V91&gt;=40,V91&lt;75,W91&gt;=75,W91&lt;120),0.17,0)+IF(AND(V91&gt;=40,V91&lt;75,W91&gt;=120),0.12,0)+IF(AND(V91&gt;=75,V91&lt;175,W91&lt;35),0.3,0)+IF(AND(V91&gt;=75,V91&lt;=175,W91&gt;=35,W91&lt;65),0.23,0)+IF(AND(V91&gt;=75,V91&lt;=175,W91&gt;=65,W91&lt;110),0.17,0)+IF(AND(V91&gt;=75,V91&lt;=175,W91&gt;=110),0.12,0)+IF(AND(V91&gt;175,W91&lt;25),0.3,0)+IF(AND(V91&gt;175,W91&gt;=25,W91&lt;55),0.23,0)+IF(AND(V91&gt;175,W91&gt;=55,W91&lt;95),0.17,0)+IF(AND(V91&gt;175,W91&gt;=95),0.12,0),
IF(AF91="DoEVsu",IF(AND(V91&lt;20,W91&lt;55),0.3,0)+IF(AND(V91&lt;20,W91&gt;=55,W91&lt;105),0.23,0)+IF(AND(V91&lt;20,W91&gt;=105),0.17,0)+IF(AND(V91&gt;=20,V91&lt;40,W91&lt;45),0.3,0)+IF(AND(V91&gt;=20,V91&lt;40,W91&gt;=45,W91&lt;95),0.23,0)+IF(AND(V91&gt;=20,V91&lt;40,W91&gt;=95,W91&lt;=250),0.17,0)+IF(AND(V91&gt;=20,V91&lt;40,W91&gt;=250),0.12,0)+IF(AND(V91&gt;=40,V91&lt;75,W91&lt;35),0.3,0)+IF(AND(V91&gt;=40,V91&lt;75,W91&gt;=35,W91&lt;75),0.23,0)+IF(AND(V91&gt;=40,V91&lt;75,W91&gt;=75,W91&lt;120),0.17,0)+IF(AND(V91&gt;=40,V91&lt;75,W91&gt;=120),0.12,0)+IF(AND(V91&gt;=75,V91&lt;175,W91&lt;35),0.3,0)+IF(AND(V91&gt;=75,V91&lt;=175,W91&gt;=35,W91&lt;65),0.23,0)+IF(AND(V91&gt;=75,V91&lt;=175,W91&gt;=65,W91&lt;110),0.17,0)+IF(AND(V91&gt;=75,V91&lt;=175,W91&gt;=110),0.12,0)+IF(AND(V91&gt;175,W91&lt;25),0.3,0)+IF(AND(V91&gt;175,W91&gt;=25,W91&lt;55),0.23,0)+IF(AND(V91&gt;175,W91&gt;=55,W91&lt;95),0.17,0)+IF(AND(V91&gt;175,W91&gt;=95),0.12,0),
IF(AF91="DoEVni",IF(AND(V91&lt;20,W91&lt;55),0.3,0)+IF(AND(V91&lt;20,W91&gt;=55,W91&lt;105),0.23,0)+IF(AND(V91&lt;20,W91&gt;=105),0.17,0)+IF(AND(V91&gt;=20,V91&lt;40,W91&lt;45),0.3,0)+IF(AND(V91&gt;=20,V91&lt;40,W91&gt;=45,W91&lt;95),0.23,0)+IF(AND(V91&gt;=20,V91&lt;40,W91&gt;=95,W91&lt;=200),0.17,0)+IF(AND(V91&gt;=20,V91&lt;40,W91&gt;=200),0.12,0)+IF(AND(V91&gt;=40,V91&lt;75,W91&lt;35),0.3,0)+IF(AND(V91&gt;=40,V91&lt;75,W91&gt;=35,W91&lt;75),0.23,0)+IF(AND(V91&gt;=40,V91&lt;75,W91&gt;=75,W91&lt;120),0.17,0)+IF(AND(V91&gt;=40,V91&lt;75,W91&gt;=120),0.12,0)+IF(AND(V91&gt;=75,V91&lt;175,W91&lt;35),0.3,0)+IF(AND(V91&gt;=75,V91&lt;=175,W91&gt;=35,W91&lt;65),0.23,0)+IF(AND(V91&gt;=75,V91&lt;=175,W91&gt;=65,W91&lt;110),0.17,0)+IF(AND(V91&gt;=75,V91&lt;=175,W91&gt;=110),0.12,0)+IF(AND(V91&gt;175,W91&lt;25),0.3,0)+IF(AND(V91&gt;175,W91&gt;=25,W91&lt;55),0.23,0)+IF(AND(V91&gt;175,W91&gt;=55,W91&lt;95),0.17,0)+IF(AND(V91&gt;175,W91&gt;=95),0.12,0),
IF(AF91="DoEVLo",IF(AND(V91&lt;20,W91&lt;55),0.25,0)+IF(AND(V91&lt;20,W91&gt;=55,W91&lt;105),0.2,0)+IF(AND(V91&lt;20,W91&gt;=105),0.15,0)+IF(AND(V91&gt;=20,V91&lt;40,W91&lt;45),0.25,0)+IF(AND(V91&gt;=20,V91&lt;40,W91&gt;=45,W91&lt;95),0.2,0)+IF(AND(V91&gt;=20,V91&lt;40,W91&gt;=95),0.15,0)+IF(AND(V91&gt;=40,V91&lt;75,W91&lt;35),0.25,0)+IF(AND(V91&gt;=40,V91&lt;75,W91&gt;=35,W91&lt;75),0.2,0)+IF(AND(V91&gt;=40,V91&lt;75,W91&gt;=75,W91&lt;120),0.15,0)+IF(AND(V91&gt;=40,V91&lt;75,W91&gt;=120),0.1,0)+IF(AND(V91&gt;=75,V91&lt;175,W91&lt;35),0.25,0)+IF(AND(V91&gt;=75,V91&lt;=175,W91&gt;=35,W91&lt;65),0.2,0)+IF(AND(V91&gt;=75,V91&lt;=175,W91&gt;=65,W91&lt;110),0.15,0)+IF(AND(V91&gt;=75,V91&lt;=175,W91&gt;=110),0.1,0)+IF(AND(V91&gt;175,W91&lt;25),0.25,0)+IF(AND(V91&gt;175,W91&gt;=25,W91&lt;55),0.2,0)+IF(AND(V91&gt;175,W91&gt;=55,W91&lt;95),0.15,0)+IF(AND(V91&gt;175,W91&gt;=95),0.1,0))))))))))))))))</f>
        <v>0.15</v>
      </c>
      <c r="Y91" s="30">
        <f>IF(AG91="None",0,IF(AG91="Fix5",0.05,IF(AG91="Fix3.75",0.0375,IF(AG91="Fix10",0.1,IF(AG91="Fix3",0.03,0)))))</f>
        <v>0.05</v>
      </c>
      <c r="Z91" s="35">
        <f>T91-AA91-AB91</f>
        <v>164</v>
      </c>
      <c r="AA91" s="29">
        <f>IF(AD91="EUR",((T91-R91)*X91)*U91+(R91*X91),(T91*X91))</f>
        <v>30.75</v>
      </c>
      <c r="AB91" s="36">
        <f>IF(AD91="EUR",((T91-R91)*Y91)*U91+(R91*Y91),(T91*Y91))</f>
        <v>10.25</v>
      </c>
      <c r="AC91" s="37" t="b">
        <v>1</v>
      </c>
      <c r="AD91" s="37" t="s">
        <v>38</v>
      </c>
      <c r="AE91" s="37" t="s">
        <v>38</v>
      </c>
      <c r="AF91" s="37" t="str">
        <f t="array" ref="AF91">INDEX('Deal Info'!D:D, MATCH(A91,'Deal Info'!A:A, 0))</f>
        <v>Fix15</v>
      </c>
      <c r="AG91" s="38" t="str">
        <f t="array" ref="AG91">INDEX('Deal Info'!G:G, MATCH(A91,'Deal Info'!A:A, 0))</f>
        <v>Fix5</v>
      </c>
    </row>
    <row r="92" spans="1:33" ht="14.25" hidden="1" x14ac:dyDescent="0.2">
      <c r="A92" s="18" t="str">
        <f t="array" ref="A92">IF(G92='Room Info'!$B$1, INDEX('Room Info'!$A$2:$A2446, MATCH(B92,'Room Info'!$B$2:$B2446, 0)),IF(G92='Room Info'!$C$1, INDEX('Room Info'!$A$2:$A2446, MATCH(B92,'Room Info'!$C$2:$C2446, 0)),IF(G92='Room Info'!$D$1, INDEX('Room Info'!$A$2:$A2446, MATCH(B92,'Room Info'!$D$2:$D2446, 0)),IF(G92='Room Info'!$E$1, INDEX('Room Info'!$A$2:$A2446, MATCH(B92,'Room Info'!$E$2:$E2446, 0)),IF(G92='Room Info'!$F$1, INDEX('Room Info'!$A$2:$A2446, MATCH(B92,'Room Info'!$F$2:$F2446, 0)),IF(G92='Room Info'!$H$1, INDEX('Room Info'!$A$2:$A2446, MATCH(B92,'Room Info'!$H$2:$H2446, 0)),IF(G92='Room Info'!$G$1, INDEX('Room Info'!$A$2:$A2446, MATCH(B92,'Room Info'!$G$2:$G2446, 0)))))))))</f>
        <v>AlexanderDSL</v>
      </c>
      <c r="B92" s="54" t="s">
        <v>82</v>
      </c>
      <c r="C92" s="67">
        <v>44307</v>
      </c>
      <c r="D92" s="67">
        <v>44336</v>
      </c>
      <c r="E92" s="47">
        <v>44317</v>
      </c>
      <c r="F92" s="45" t="s">
        <v>34</v>
      </c>
      <c r="G92" s="54" t="s">
        <v>35</v>
      </c>
      <c r="H92" s="49" t="s">
        <v>83</v>
      </c>
      <c r="I92" s="49" t="s">
        <v>37</v>
      </c>
      <c r="J92" s="50">
        <v>10</v>
      </c>
      <c r="K92" s="51">
        <v>1</v>
      </c>
      <c r="L92" s="52">
        <v>-10</v>
      </c>
      <c r="M92" s="62"/>
      <c r="N92" s="28">
        <f>K92*J92</f>
        <v>10</v>
      </c>
      <c r="O92" s="54">
        <v>-272</v>
      </c>
      <c r="P92" s="29">
        <v>-272</v>
      </c>
      <c r="Q92" s="55"/>
      <c r="R92" s="31">
        <f>M92+Q92</f>
        <v>0</v>
      </c>
      <c r="S92" s="56">
        <v>-6</v>
      </c>
      <c r="T92" s="32">
        <f>R92+S92+IF(F92="Without EV deal",L92,0)</f>
        <v>-6</v>
      </c>
      <c r="U92" s="33">
        <v>1</v>
      </c>
      <c r="V92" s="58"/>
      <c r="W92" s="58"/>
      <c r="X92" s="30">
        <f>IF(AF92="DoEV",IF(AND(V92&lt;20,W92&lt;55),0.3,0)+IF(AND(V92&lt;20,W92&gt;=55,W92&lt;105),0.23,0)+IF(AND(V92&lt;20,W92&gt;=105),0.17,0)+IF(AND(V92&gt;=20,V92&lt;40,W92&lt;45),0.3,0)+IF(AND(V92&gt;=20,V92&lt;40,W92&gt;=45,W92&lt;95),0.23,0)+IF(AND(V92&gt;=20,V92&lt;40,W92&gt;=95),0.17,0)+IF(AND(V92&gt;=40,V92&lt;75,W92&lt;35),0.3,0)+IF(AND(V92&gt;=40,V92&lt;75,W92&gt;=35,W92&lt;75),0.23,0)+IF(AND(V92&gt;=40,V92&lt;75,W92&gt;=75,W92&lt;120),0.17,0)+IF(AND(V92&gt;=40,V92&lt;75,W92&gt;=120),0.12,0)+IF(AND(V92&gt;=75,V92&lt;175,W92&lt;35),0.3,0)+IF(AND(V92&gt;=75,V92&lt;=175,W92&gt;=35,W92&lt;65),0.23,0)+IF(AND(V92&gt;=75,V92&lt;=175,W92&gt;=65,W92&lt;110),0.17,0)+IF(AND(V92&gt;=75,V92&lt;=175,W92&gt;=110),0.12,0)+IF(AND(V92&gt;175,W92&lt;25),0.3,0)+IF(AND(V92&gt;175,W92&gt;=25,W92&lt;55),0.23,0)+IF(AND(V92&gt;175,W92&gt;=55,W92&lt;95),0.17,0)+IF(AND(V92&gt;175,W92&gt;=95),0.12,0),
IF(AF92="Fix15",0.15,
IF(AF92="Fix11.25",0.1125,
IF(AF92="Fix10",0.1,
IF(AF92="Fix9",0.09,
IF(AF92="DoEV2017",IF(AND(W92&lt;74),0.2,0)+IF(AND(W92&gt;=74),0.17,0),
IF(AF92="SF",IF(AND(V92&lt;20,W92&lt;89),0.3,0)+IF(AND(V92&lt;20,W92&gt;=89),0.25,0)+IF(AND(V92&gt;=20,V92&lt;40,W92&lt;74),0.3,0)+IF(AND(V92&gt;=20,V92&lt;40,W92&gt;=75),0.22,0)+IF(AND(V92&gt;=40,V92&lt;75,W92&lt;75),0.26,0)+IF(AND(V92&gt;=40,V92&lt;75,W92&gt;=75),0.22,0)+IF(V92&gt;=75,0.22,0),
IF(AF92="DoEVold",IF(AND(V92&lt;40,W92&lt;35),0.35,0)+IF(AND(V92&lt;40,W92&gt;=35,W92&lt;75),0.25,0)+IF(AND(V92&lt;40,W92&gt;=75),0.17,0)+IF(AND(V92&gt;=40,V92&lt;75,W92&lt;25),0.35,0)+IF(AND(V92&gt;=40,V92&lt;75,W92&gt;=25,W92&lt;65),0.25,0)+IF(AND(V92&gt;=40,V92&lt;75,W92&gt;=65,W92&lt;100),0.17,0)+IF(AND(V92&gt;=40,V92&lt;75,W92&gt;=100),0.1,0)+IF(AND(V92&gt;=75,W92&lt;25),0.35,0)+IF(AND(V92&gt;=75,W92&gt;=25,W92&lt;60),0.25,0)+IF(AND(V92&gt;=75,W92&gt;=60,W92&lt;95),0.17,0)+IF(AND(V92&gt;=75,W92&gt;=95),0.1,0),
IF(AF92="DoEVold15",IF(AND(V92&lt;=40,W92&lt;35),0.35,0)+IF(AND(V92&lt;=40,W92&gt;=35,W92&lt;75),0.25,0)+IF(AND(V92&lt;=40,W92&gt;=75,W92&lt;120),0.17,0)+IF(AND(V92&lt;=40,W92&gt;=120),0.15,0)+IF(AND(V92&gt;40,V92&lt;75,W92&lt;25),0.35,0)+IF(AND(V92&gt;=40,V92&lt;75,W92&gt;=25,W92&lt;65),0.25,0)+IF(AND(V92&gt;=40,V92&lt;75,W92&gt;=65,W92&lt;100),0.17,0)+IF(AND(V92&gt;=40,V92&lt;75,W92&gt;=100),0.1,0)+IF(AND(V92&gt;=75,W92&lt;25),0.35,0)+IF(AND(V92&gt;=75,W92&gt;=25,W92&lt;60),0.25,0)+IF(AND(V92&gt;=75,W92&gt;=60,W92&lt;95),0.17,0)+IF(AND(V92&gt;=75,W92&gt;=95),0.1,0),
IF(AF92="DoEVba",IF(AND(V92&lt;20,W92&lt;105),0.2,0)+IF(AND(V92&lt;20,W92&gt;=105),0.15,0)+IF(AND(V92&gt;=20,V92&lt;40,W92&lt;95),0.2,0)+IF(AND(V92&gt;=20,V92&lt;40,W92&gt;=95,W92&lt;150),0.15,0)+IF(AND(V92&gt;=20,V92&lt;40,W92&gt;=150),0.12,0)+IF(AND(V92&gt;=40,V92&lt;75,W92&lt;75),0.2,0)+IF(AND(V92&gt;=40,V92&lt;75,W92&gt;=75,W92&lt;120),0.15,0)+IF(AND(V92&gt;=40,V92&lt;75,W92&gt;=120),0.12,0)+IF(AND(V92&gt;=75,V92&lt;175,W92&lt;65),0.2,0)+IF(AND(V92&gt;=75,V92&lt;175,W92&gt;=65,W92&lt;110),0.15,0)+IF(AND(V92&gt;=75,V92&lt;175,W92&gt;=110),0.12,0)+IF(AND(V92&gt;=175,W92&lt;55),0.2,0)+IF(AND(V92&gt;=175,W92&gt;=55,W92&lt;95),0.15,0)+IF(AND(V92&gt;=175,W92&gt;=95),0.12,0),
IF(AF92="DoEVku",IF(AND(V92&lt;20,W92&lt;55),0.23,0)+IF(AND(V92&lt;20,W92&gt;=55,W92&lt;105),0.2,0)+IF(AND(V92&lt;20,W92&gt;=105),0.17,0)+IF(AND(V92&gt;=20,V92&lt;40,W92&lt;45),0.23,0)+IF(AND(V92&gt;=20,V92&lt;40,W92&gt;=45,W92&lt;95),0.2,0)+IF(AND(V92&gt;=20,V92&lt;40,W92&gt;=95,W92&lt;=150),0.17,0)+IF(AND(V92&gt;=20,V92&lt;40,W92&gt;=150),0.12,0)+IF(AND(V92&gt;=40,V92&lt;75,W92&lt;35),0.23,0)+IF(AND(V92&gt;=40,V92&lt;75,W92&gt;=35,W92&lt;75),0.2,0)+IF(AND(V92&gt;=40,V92&lt;75,W92&gt;=75,W92&lt;120),0.17,0)+IF(AND(V92&gt;=40,V92&lt;75,W92&gt;=120),0.12,0)+IF(AND(V92&gt;=75,V92&lt;175,W92&lt;35),0.23,0)+IF(AND(V92&gt;=75,V92&lt;=175,W92&gt;=35,W92&lt;65),0.2,0)+IF(AND(V92&gt;=75,V92&lt;=175,W92&gt;=65,W92&lt;110),0.17,0)+IF(AND(V92&gt;=75,V92&lt;=175,W92&gt;=110),0.12,0)+IF(AND(V92&gt;175,W92&lt;25),0.23,0)+IF(AND(V92&gt;175,W92&gt;=25,W92&lt;55),0.2,0)+IF(AND(V92&gt;175,W92&gt;=55,W92&lt;95),0.17,0)+IF(AND(V92&gt;175,W92&gt;=95),0.12,0),
IF(AF92="DoEVs1",IF(AND(V92&lt;20,W92&lt;55),0.3,0)+IF(AND(V92&lt;20,W92&gt;=55,W92&lt;105),0.23,0)+IF(AND(V92&lt;20,W92&gt;=105),0.17,0)+IF(AND(V92&gt;=20,V92&lt;40,W92&lt;45),0.3,0)+IF(AND(V92&gt;=20,V92&lt;40,W92&gt;=45,W92&lt;95),0.23,0)+IF(AND(V92&gt;=20,V92&lt;40,W92&gt;=95,W92&lt;=150),0.17,0)+IF(AND(V92&gt;=20,V92&lt;40,W92&gt;=150),0.12,0)+IF(AND(V92&gt;=40,V92&lt;75,W92&lt;35),0.3,0)+IF(AND(V92&gt;=40,V92&lt;75,W92&gt;=35,W92&lt;75),0.23,0)+IF(AND(V92&gt;=40,V92&lt;75,W92&gt;=75,W92&lt;120),0.17,0)+IF(AND(V92&gt;=40,V92&lt;75,W92&gt;=120),0.12,0)+IF(AND(V92&gt;=75,V92&lt;175,W92&lt;35),0.3,0)+IF(AND(V92&gt;=75,V92&lt;=175,W92&gt;=35,W92&lt;65),0.23,0)+IF(AND(V92&gt;=75,V92&lt;=175,W92&gt;=65,W92&lt;110),0.17,0)+IF(AND(V92&gt;=75,V92&lt;=175,W92&gt;=110),0.12,0)+IF(AND(V92&gt;175,W92&lt;25),0.3,0)+IF(AND(V92&gt;175,W92&gt;=25,W92&lt;55),0.23,0)+IF(AND(V92&gt;175,W92&gt;=55,W92&lt;95),0.17,0)+IF(AND(V92&gt;175,W92&gt;=95),0.12,0),
IF(AF92="DoEVsu",IF(AND(V92&lt;20,W92&lt;55),0.3,0)+IF(AND(V92&lt;20,W92&gt;=55,W92&lt;105),0.23,0)+IF(AND(V92&lt;20,W92&gt;=105),0.17,0)+IF(AND(V92&gt;=20,V92&lt;40,W92&lt;45),0.3,0)+IF(AND(V92&gt;=20,V92&lt;40,W92&gt;=45,W92&lt;95),0.23,0)+IF(AND(V92&gt;=20,V92&lt;40,W92&gt;=95,W92&lt;=250),0.17,0)+IF(AND(V92&gt;=20,V92&lt;40,W92&gt;=250),0.12,0)+IF(AND(V92&gt;=40,V92&lt;75,W92&lt;35),0.3,0)+IF(AND(V92&gt;=40,V92&lt;75,W92&gt;=35,W92&lt;75),0.23,0)+IF(AND(V92&gt;=40,V92&lt;75,W92&gt;=75,W92&lt;120),0.17,0)+IF(AND(V92&gt;=40,V92&lt;75,W92&gt;=120),0.12,0)+IF(AND(V92&gt;=75,V92&lt;175,W92&lt;35),0.3,0)+IF(AND(V92&gt;=75,V92&lt;=175,W92&gt;=35,W92&lt;65),0.23,0)+IF(AND(V92&gt;=75,V92&lt;=175,W92&gt;=65,W92&lt;110),0.17,0)+IF(AND(V92&gt;=75,V92&lt;=175,W92&gt;=110),0.12,0)+IF(AND(V92&gt;175,W92&lt;25),0.3,0)+IF(AND(V92&gt;175,W92&gt;=25,W92&lt;55),0.23,0)+IF(AND(V92&gt;175,W92&gt;=55,W92&lt;95),0.17,0)+IF(AND(V92&gt;175,W92&gt;=95),0.12,0),
IF(AF92="DoEVni",IF(AND(V92&lt;20,W92&lt;55),0.3,0)+IF(AND(V92&lt;20,W92&gt;=55,W92&lt;105),0.23,0)+IF(AND(V92&lt;20,W92&gt;=105),0.17,0)+IF(AND(V92&gt;=20,V92&lt;40,W92&lt;45),0.3,0)+IF(AND(V92&gt;=20,V92&lt;40,W92&gt;=45,W92&lt;95),0.23,0)+IF(AND(V92&gt;=20,V92&lt;40,W92&gt;=95,W92&lt;=200),0.17,0)+IF(AND(V92&gt;=20,V92&lt;40,W92&gt;=200),0.12,0)+IF(AND(V92&gt;=40,V92&lt;75,W92&lt;35),0.3,0)+IF(AND(V92&gt;=40,V92&lt;75,W92&gt;=35,W92&lt;75),0.23,0)+IF(AND(V92&gt;=40,V92&lt;75,W92&gt;=75,W92&lt;120),0.17,0)+IF(AND(V92&gt;=40,V92&lt;75,W92&gt;=120),0.12,0)+IF(AND(V92&gt;=75,V92&lt;175,W92&lt;35),0.3,0)+IF(AND(V92&gt;=75,V92&lt;=175,W92&gt;=35,W92&lt;65),0.23,0)+IF(AND(V92&gt;=75,V92&lt;=175,W92&gt;=65,W92&lt;110),0.17,0)+IF(AND(V92&gt;=75,V92&lt;=175,W92&gt;=110),0.12,0)+IF(AND(V92&gt;175,W92&lt;25),0.3,0)+IF(AND(V92&gt;175,W92&gt;=25,W92&lt;55),0.23,0)+IF(AND(V92&gt;175,W92&gt;=55,W92&lt;95),0.17,0)+IF(AND(V92&gt;175,W92&gt;=95),0.12,0),
IF(AF92="DoEVLo",IF(AND(V92&lt;20,W92&lt;55),0.25,0)+IF(AND(V92&lt;20,W92&gt;=55,W92&lt;105),0.2,0)+IF(AND(V92&lt;20,W92&gt;=105),0.15,0)+IF(AND(V92&gt;=20,V92&lt;40,W92&lt;45),0.25,0)+IF(AND(V92&gt;=20,V92&lt;40,W92&gt;=45,W92&lt;95),0.2,0)+IF(AND(V92&gt;=20,V92&lt;40,W92&gt;=95),0.15,0)+IF(AND(V92&gt;=40,V92&lt;75,W92&lt;35),0.25,0)+IF(AND(V92&gt;=40,V92&lt;75,W92&gt;=35,W92&lt;75),0.2,0)+IF(AND(V92&gt;=40,V92&lt;75,W92&gt;=75,W92&lt;120),0.15,0)+IF(AND(V92&gt;=40,V92&lt;75,W92&gt;=120),0.1,0)+IF(AND(V92&gt;=75,V92&lt;175,W92&lt;35),0.25,0)+IF(AND(V92&gt;=75,V92&lt;=175,W92&gt;=35,W92&lt;65),0.2,0)+IF(AND(V92&gt;=75,V92&lt;=175,W92&gt;=65,W92&lt;110),0.15,0)+IF(AND(V92&gt;=75,V92&lt;=175,W92&gt;=110),0.1,0)+IF(AND(V92&gt;175,W92&lt;25),0.25,0)+IF(AND(V92&gt;175,W92&gt;=25,W92&lt;55),0.2,0)+IF(AND(V92&gt;175,W92&gt;=55,W92&lt;95),0.15,0)+IF(AND(V92&gt;175,W92&gt;=95),0.1,0))))))))))))))))</f>
        <v>0.15</v>
      </c>
      <c r="Y92" s="30">
        <f>IF(AG92="None",0,IF(AG92="Fix5",0.05,IF(AG92="Fix3.75",0.0375,IF(AG92="Fix10",0.1,IF(AG92="Fix3",0.03,0)))))</f>
        <v>0.05</v>
      </c>
      <c r="Z92" s="35">
        <f>T92-AA92-AB92</f>
        <v>-4.8</v>
      </c>
      <c r="AA92" s="29">
        <f>IF(AD92="EUR",((T92-R92)*X92)*U92+(R92*X92),(T92*X92))</f>
        <v>-0.89999999999999991</v>
      </c>
      <c r="AB92" s="36">
        <f>IF(AD92="EUR",((T92-R92)*Y92)*U92+(R92*Y92),(T92*Y92))</f>
        <v>-0.30000000000000004</v>
      </c>
      <c r="AC92" s="37" t="b">
        <v>1</v>
      </c>
      <c r="AD92" s="37" t="s">
        <v>38</v>
      </c>
      <c r="AE92" s="37" t="s">
        <v>38</v>
      </c>
      <c r="AF92" s="37" t="str">
        <f t="array" ref="AF92">INDEX('Deal Info'!D:D, MATCH(A92,'Deal Info'!A:A, 0))</f>
        <v>Fix15</v>
      </c>
      <c r="AG92" s="38" t="str">
        <f t="array" ref="AG92">INDEX('Deal Info'!G:G, MATCH(A92,'Deal Info'!A:A, 0))</f>
        <v>Fix5</v>
      </c>
    </row>
    <row r="93" spans="1:33" ht="14.25" hidden="1" x14ac:dyDescent="0.2">
      <c r="A93" s="18" t="str">
        <f t="array" ref="A93">IF(G93='Room Info'!$B$1, INDEX('Room Info'!$A$2:$A2446, MATCH(B93,'Room Info'!$B$2:$B2446, 0)),IF(G93='Room Info'!$C$1, INDEX('Room Info'!$A$2:$A2446, MATCH(B93,'Room Info'!$C$2:$C2446, 0)),IF(G93='Room Info'!$D$1, INDEX('Room Info'!$A$2:$A2446, MATCH(B93,'Room Info'!$D$2:$D2446, 0)),IF(G93='Room Info'!$E$1, INDEX('Room Info'!$A$2:$A2446, MATCH(B93,'Room Info'!$E$2:$E2446, 0)),IF(G93='Room Info'!$F$1, INDEX('Room Info'!$A$2:$A2446, MATCH(B93,'Room Info'!$F$2:$F2446, 0)),IF(G93='Room Info'!$H$1, INDEX('Room Info'!$A$2:$A2446, MATCH(B93,'Room Info'!$H$2:$H2446, 0)),IF(G93='Room Info'!$G$1, INDEX('Room Info'!$A$2:$A2446, MATCH(B93,'Room Info'!$G$2:$G2446, 0)))))))))</f>
        <v>AlexanderDSL</v>
      </c>
      <c r="B93" s="54" t="s">
        <v>82</v>
      </c>
      <c r="C93" s="68">
        <v>44307</v>
      </c>
      <c r="D93" s="67">
        <v>44336</v>
      </c>
      <c r="E93" s="47">
        <v>44317</v>
      </c>
      <c r="F93" s="45" t="s">
        <v>34</v>
      </c>
      <c r="G93" s="54" t="s">
        <v>35</v>
      </c>
      <c r="H93" s="49" t="s">
        <v>46</v>
      </c>
      <c r="I93" s="49" t="s">
        <v>37</v>
      </c>
      <c r="J93" s="50">
        <v>25</v>
      </c>
      <c r="K93" s="51">
        <v>170</v>
      </c>
      <c r="L93" s="52">
        <v>-350</v>
      </c>
      <c r="M93" s="53">
        <v>128</v>
      </c>
      <c r="N93" s="28">
        <f>K93*J93</f>
        <v>4250</v>
      </c>
      <c r="O93" s="54">
        <v>3099</v>
      </c>
      <c r="P93" s="29">
        <v>18.229411760000001</v>
      </c>
      <c r="Q93" s="55"/>
      <c r="R93" s="31">
        <f>M93+Q93</f>
        <v>128</v>
      </c>
      <c r="S93" s="56">
        <v>-174</v>
      </c>
      <c r="T93" s="32">
        <f>R93+S93+IF(F93="Without EV deal",L93,0)</f>
        <v>-46</v>
      </c>
      <c r="U93" s="33">
        <v>1</v>
      </c>
      <c r="V93" s="58"/>
      <c r="W93" s="58"/>
      <c r="X93" s="30">
        <f>IF(AF93="DoEV",IF(AND(V93&lt;20,W93&lt;55),0.3,0)+IF(AND(V93&lt;20,W93&gt;=55,W93&lt;105),0.23,0)+IF(AND(V93&lt;20,W93&gt;=105),0.17,0)+IF(AND(V93&gt;=20,V93&lt;40,W93&lt;45),0.3,0)+IF(AND(V93&gt;=20,V93&lt;40,W93&gt;=45,W93&lt;95),0.23,0)+IF(AND(V93&gt;=20,V93&lt;40,W93&gt;=95),0.17,0)+IF(AND(V93&gt;=40,V93&lt;75,W93&lt;35),0.3,0)+IF(AND(V93&gt;=40,V93&lt;75,W93&gt;=35,W93&lt;75),0.23,0)+IF(AND(V93&gt;=40,V93&lt;75,W93&gt;=75,W93&lt;120),0.17,0)+IF(AND(V93&gt;=40,V93&lt;75,W93&gt;=120),0.12,0)+IF(AND(V93&gt;=75,V93&lt;175,W93&lt;35),0.3,0)+IF(AND(V93&gt;=75,V93&lt;=175,W93&gt;=35,W93&lt;65),0.23,0)+IF(AND(V93&gt;=75,V93&lt;=175,W93&gt;=65,W93&lt;110),0.17,0)+IF(AND(V93&gt;=75,V93&lt;=175,W93&gt;=110),0.12,0)+IF(AND(V93&gt;175,W93&lt;25),0.3,0)+IF(AND(V93&gt;175,W93&gt;=25,W93&lt;55),0.23,0)+IF(AND(V93&gt;175,W93&gt;=55,W93&lt;95),0.17,0)+IF(AND(V93&gt;175,W93&gt;=95),0.12,0),
IF(AF93="Fix15",0.15,
IF(AF93="Fix11.25",0.1125,
IF(AF93="Fix10",0.1,
IF(AF93="Fix9",0.09,
IF(AF93="DoEV2017",IF(AND(W93&lt;74),0.2,0)+IF(AND(W93&gt;=74),0.17,0),
IF(AF93="SF",IF(AND(V93&lt;20,W93&lt;89),0.3,0)+IF(AND(V93&lt;20,W93&gt;=89),0.25,0)+IF(AND(V93&gt;=20,V93&lt;40,W93&lt;74),0.3,0)+IF(AND(V93&gt;=20,V93&lt;40,W93&gt;=75),0.22,0)+IF(AND(V93&gt;=40,V93&lt;75,W93&lt;75),0.26,0)+IF(AND(V93&gt;=40,V93&lt;75,W93&gt;=75),0.22,0)+IF(V93&gt;=75,0.22,0),
IF(AF93="DoEVold",IF(AND(V93&lt;40,W93&lt;35),0.35,0)+IF(AND(V93&lt;40,W93&gt;=35,W93&lt;75),0.25,0)+IF(AND(V93&lt;40,W93&gt;=75),0.17,0)+IF(AND(V93&gt;=40,V93&lt;75,W93&lt;25),0.35,0)+IF(AND(V93&gt;=40,V93&lt;75,W93&gt;=25,W93&lt;65),0.25,0)+IF(AND(V93&gt;=40,V93&lt;75,W93&gt;=65,W93&lt;100),0.17,0)+IF(AND(V93&gt;=40,V93&lt;75,W93&gt;=100),0.1,0)+IF(AND(V93&gt;=75,W93&lt;25),0.35,0)+IF(AND(V93&gt;=75,W93&gt;=25,W93&lt;60),0.25,0)+IF(AND(V93&gt;=75,W93&gt;=60,W93&lt;95),0.17,0)+IF(AND(V93&gt;=75,W93&gt;=95),0.1,0),
IF(AF93="DoEVold15",IF(AND(V93&lt;=40,W93&lt;35),0.35,0)+IF(AND(V93&lt;=40,W93&gt;=35,W93&lt;75),0.25,0)+IF(AND(V93&lt;=40,W93&gt;=75,W93&lt;120),0.17,0)+IF(AND(V93&lt;=40,W93&gt;=120),0.15,0)+IF(AND(V93&gt;40,V93&lt;75,W93&lt;25),0.35,0)+IF(AND(V93&gt;=40,V93&lt;75,W93&gt;=25,W93&lt;65),0.25,0)+IF(AND(V93&gt;=40,V93&lt;75,W93&gt;=65,W93&lt;100),0.17,0)+IF(AND(V93&gt;=40,V93&lt;75,W93&gt;=100),0.1,0)+IF(AND(V93&gt;=75,W93&lt;25),0.35,0)+IF(AND(V93&gt;=75,W93&gt;=25,W93&lt;60),0.25,0)+IF(AND(V93&gt;=75,W93&gt;=60,W93&lt;95),0.17,0)+IF(AND(V93&gt;=75,W93&gt;=95),0.1,0),
IF(AF93="DoEVba",IF(AND(V93&lt;20,W93&lt;105),0.2,0)+IF(AND(V93&lt;20,W93&gt;=105),0.15,0)+IF(AND(V93&gt;=20,V93&lt;40,W93&lt;95),0.2,0)+IF(AND(V93&gt;=20,V93&lt;40,W93&gt;=95,W93&lt;150),0.15,0)+IF(AND(V93&gt;=20,V93&lt;40,W93&gt;=150),0.12,0)+IF(AND(V93&gt;=40,V93&lt;75,W93&lt;75),0.2,0)+IF(AND(V93&gt;=40,V93&lt;75,W93&gt;=75,W93&lt;120),0.15,0)+IF(AND(V93&gt;=40,V93&lt;75,W93&gt;=120),0.12,0)+IF(AND(V93&gt;=75,V93&lt;175,W93&lt;65),0.2,0)+IF(AND(V93&gt;=75,V93&lt;175,W93&gt;=65,W93&lt;110),0.15,0)+IF(AND(V93&gt;=75,V93&lt;175,W93&gt;=110),0.12,0)+IF(AND(V93&gt;=175,W93&lt;55),0.2,0)+IF(AND(V93&gt;=175,W93&gt;=55,W93&lt;95),0.15,0)+IF(AND(V93&gt;=175,W93&gt;=95),0.12,0),
IF(AF93="DoEVku",IF(AND(V93&lt;20,W93&lt;55),0.23,0)+IF(AND(V93&lt;20,W93&gt;=55,W93&lt;105),0.2,0)+IF(AND(V93&lt;20,W93&gt;=105),0.17,0)+IF(AND(V93&gt;=20,V93&lt;40,W93&lt;45),0.23,0)+IF(AND(V93&gt;=20,V93&lt;40,W93&gt;=45,W93&lt;95),0.2,0)+IF(AND(V93&gt;=20,V93&lt;40,W93&gt;=95,W93&lt;=150),0.17,0)+IF(AND(V93&gt;=20,V93&lt;40,W93&gt;=150),0.12,0)+IF(AND(V93&gt;=40,V93&lt;75,W93&lt;35),0.23,0)+IF(AND(V93&gt;=40,V93&lt;75,W93&gt;=35,W93&lt;75),0.2,0)+IF(AND(V93&gt;=40,V93&lt;75,W93&gt;=75,W93&lt;120),0.17,0)+IF(AND(V93&gt;=40,V93&lt;75,W93&gt;=120),0.12,0)+IF(AND(V93&gt;=75,V93&lt;175,W93&lt;35),0.23,0)+IF(AND(V93&gt;=75,V93&lt;=175,W93&gt;=35,W93&lt;65),0.2,0)+IF(AND(V93&gt;=75,V93&lt;=175,W93&gt;=65,W93&lt;110),0.17,0)+IF(AND(V93&gt;=75,V93&lt;=175,W93&gt;=110),0.12,0)+IF(AND(V93&gt;175,W93&lt;25),0.23,0)+IF(AND(V93&gt;175,W93&gt;=25,W93&lt;55),0.2,0)+IF(AND(V93&gt;175,W93&gt;=55,W93&lt;95),0.17,0)+IF(AND(V93&gt;175,W93&gt;=95),0.12,0),
IF(AF93="DoEVs1",IF(AND(V93&lt;20,W93&lt;55),0.3,0)+IF(AND(V93&lt;20,W93&gt;=55,W93&lt;105),0.23,0)+IF(AND(V93&lt;20,W93&gt;=105),0.17,0)+IF(AND(V93&gt;=20,V93&lt;40,W93&lt;45),0.3,0)+IF(AND(V93&gt;=20,V93&lt;40,W93&gt;=45,W93&lt;95),0.23,0)+IF(AND(V93&gt;=20,V93&lt;40,W93&gt;=95,W93&lt;=150),0.17,0)+IF(AND(V93&gt;=20,V93&lt;40,W93&gt;=150),0.12,0)+IF(AND(V93&gt;=40,V93&lt;75,W93&lt;35),0.3,0)+IF(AND(V93&gt;=40,V93&lt;75,W93&gt;=35,W93&lt;75),0.23,0)+IF(AND(V93&gt;=40,V93&lt;75,W93&gt;=75,W93&lt;120),0.17,0)+IF(AND(V93&gt;=40,V93&lt;75,W93&gt;=120),0.12,0)+IF(AND(V93&gt;=75,V93&lt;175,W93&lt;35),0.3,0)+IF(AND(V93&gt;=75,V93&lt;=175,W93&gt;=35,W93&lt;65),0.23,0)+IF(AND(V93&gt;=75,V93&lt;=175,W93&gt;=65,W93&lt;110),0.17,0)+IF(AND(V93&gt;=75,V93&lt;=175,W93&gt;=110),0.12,0)+IF(AND(V93&gt;175,W93&lt;25),0.3,0)+IF(AND(V93&gt;175,W93&gt;=25,W93&lt;55),0.23,0)+IF(AND(V93&gt;175,W93&gt;=55,W93&lt;95),0.17,0)+IF(AND(V93&gt;175,W93&gt;=95),0.12,0),
IF(AF93="DoEVsu",IF(AND(V93&lt;20,W93&lt;55),0.3,0)+IF(AND(V93&lt;20,W93&gt;=55,W93&lt;105),0.23,0)+IF(AND(V93&lt;20,W93&gt;=105),0.17,0)+IF(AND(V93&gt;=20,V93&lt;40,W93&lt;45),0.3,0)+IF(AND(V93&gt;=20,V93&lt;40,W93&gt;=45,W93&lt;95),0.23,0)+IF(AND(V93&gt;=20,V93&lt;40,W93&gt;=95,W93&lt;=250),0.17,0)+IF(AND(V93&gt;=20,V93&lt;40,W93&gt;=250),0.12,0)+IF(AND(V93&gt;=40,V93&lt;75,W93&lt;35),0.3,0)+IF(AND(V93&gt;=40,V93&lt;75,W93&gt;=35,W93&lt;75),0.23,0)+IF(AND(V93&gt;=40,V93&lt;75,W93&gt;=75,W93&lt;120),0.17,0)+IF(AND(V93&gt;=40,V93&lt;75,W93&gt;=120),0.12,0)+IF(AND(V93&gt;=75,V93&lt;175,W93&lt;35),0.3,0)+IF(AND(V93&gt;=75,V93&lt;=175,W93&gt;=35,W93&lt;65),0.23,0)+IF(AND(V93&gt;=75,V93&lt;=175,W93&gt;=65,W93&lt;110),0.17,0)+IF(AND(V93&gt;=75,V93&lt;=175,W93&gt;=110),0.12,0)+IF(AND(V93&gt;175,W93&lt;25),0.3,0)+IF(AND(V93&gt;175,W93&gt;=25,W93&lt;55),0.23,0)+IF(AND(V93&gt;175,W93&gt;=55,W93&lt;95),0.17,0)+IF(AND(V93&gt;175,W93&gt;=95),0.12,0),
IF(AF93="DoEVni",IF(AND(V93&lt;20,W93&lt;55),0.3,0)+IF(AND(V93&lt;20,W93&gt;=55,W93&lt;105),0.23,0)+IF(AND(V93&lt;20,W93&gt;=105),0.17,0)+IF(AND(V93&gt;=20,V93&lt;40,W93&lt;45),0.3,0)+IF(AND(V93&gt;=20,V93&lt;40,W93&gt;=45,W93&lt;95),0.23,0)+IF(AND(V93&gt;=20,V93&lt;40,W93&gt;=95,W93&lt;=200),0.17,0)+IF(AND(V93&gt;=20,V93&lt;40,W93&gt;=200),0.12,0)+IF(AND(V93&gt;=40,V93&lt;75,W93&lt;35),0.3,0)+IF(AND(V93&gt;=40,V93&lt;75,W93&gt;=35,W93&lt;75),0.23,0)+IF(AND(V93&gt;=40,V93&lt;75,W93&gt;=75,W93&lt;120),0.17,0)+IF(AND(V93&gt;=40,V93&lt;75,W93&gt;=120),0.12,0)+IF(AND(V93&gt;=75,V93&lt;175,W93&lt;35),0.3,0)+IF(AND(V93&gt;=75,V93&lt;=175,W93&gt;=35,W93&lt;65),0.23,0)+IF(AND(V93&gt;=75,V93&lt;=175,W93&gt;=65,W93&lt;110),0.17,0)+IF(AND(V93&gt;=75,V93&lt;=175,W93&gt;=110),0.12,0)+IF(AND(V93&gt;175,W93&lt;25),0.3,0)+IF(AND(V93&gt;175,W93&gt;=25,W93&lt;55),0.23,0)+IF(AND(V93&gt;175,W93&gt;=55,W93&lt;95),0.17,0)+IF(AND(V93&gt;175,W93&gt;=95),0.12,0),
IF(AF93="DoEVLo",IF(AND(V93&lt;20,W93&lt;55),0.25,0)+IF(AND(V93&lt;20,W93&gt;=55,W93&lt;105),0.2,0)+IF(AND(V93&lt;20,W93&gt;=105),0.15,0)+IF(AND(V93&gt;=20,V93&lt;40,W93&lt;45),0.25,0)+IF(AND(V93&gt;=20,V93&lt;40,W93&gt;=45,W93&lt;95),0.2,0)+IF(AND(V93&gt;=20,V93&lt;40,W93&gt;=95),0.15,0)+IF(AND(V93&gt;=40,V93&lt;75,W93&lt;35),0.25,0)+IF(AND(V93&gt;=40,V93&lt;75,W93&gt;=35,W93&lt;75),0.2,0)+IF(AND(V93&gt;=40,V93&lt;75,W93&gt;=75,W93&lt;120),0.15,0)+IF(AND(V93&gt;=40,V93&lt;75,W93&gt;=120),0.1,0)+IF(AND(V93&gt;=75,V93&lt;175,W93&lt;35),0.25,0)+IF(AND(V93&gt;=75,V93&lt;=175,W93&gt;=35,W93&lt;65),0.2,0)+IF(AND(V93&gt;=75,V93&lt;=175,W93&gt;=65,W93&lt;110),0.15,0)+IF(AND(V93&gt;=75,V93&lt;=175,W93&gt;=110),0.1,0)+IF(AND(V93&gt;175,W93&lt;25),0.25,0)+IF(AND(V93&gt;175,W93&gt;=25,W93&lt;55),0.2,0)+IF(AND(V93&gt;175,W93&gt;=55,W93&lt;95),0.15,0)+IF(AND(V93&gt;175,W93&gt;=95),0.1,0))))))))))))))))</f>
        <v>0.15</v>
      </c>
      <c r="Y93" s="30">
        <f>IF(AG93="None",0,IF(AG93="Fix5",0.05,IF(AG93="Fix3.75",0.0375,IF(AG93="Fix10",0.1,IF(AG93="Fix3",0.03,0)))))</f>
        <v>0.05</v>
      </c>
      <c r="Z93" s="35">
        <f>T93-AA93-AB93</f>
        <v>-36.800000000000004</v>
      </c>
      <c r="AA93" s="29">
        <f>IF(AD93="EUR",((T93-R93)*X93)*U93+(R93*X93),(T93*X93))</f>
        <v>-6.8999999999999995</v>
      </c>
      <c r="AB93" s="36">
        <f>IF(AD93="EUR",((T93-R93)*Y93)*U93+(R93*Y93),(T93*Y93))</f>
        <v>-2.3000000000000003</v>
      </c>
      <c r="AC93" s="37" t="b">
        <v>1</v>
      </c>
      <c r="AD93" s="37" t="s">
        <v>38</v>
      </c>
      <c r="AE93" s="37" t="s">
        <v>38</v>
      </c>
      <c r="AF93" s="37" t="str">
        <f t="array" ref="AF93">INDEX('Deal Info'!D:D, MATCH(A93,'Deal Info'!A:A, 0))</f>
        <v>Fix15</v>
      </c>
      <c r="AG93" s="38" t="str">
        <f t="array" ref="AG93">INDEX('Deal Info'!G:G, MATCH(A93,'Deal Info'!A:A, 0))</f>
        <v>Fix5</v>
      </c>
    </row>
    <row r="94" spans="1:33" ht="14.25" hidden="1" x14ac:dyDescent="0.2">
      <c r="A94" s="18" t="str">
        <f t="array" ref="A94">IF(G94='Room Info'!$B$1, INDEX('Room Info'!$A$2:$A2446, MATCH(B94,'Room Info'!$B$2:$B2446, 0)),IF(G94='Room Info'!$C$1, INDEX('Room Info'!$A$2:$A2446, MATCH(B94,'Room Info'!$C$2:$C2446, 0)),IF(G94='Room Info'!$D$1, INDEX('Room Info'!$A$2:$A2446, MATCH(B94,'Room Info'!$D$2:$D2446, 0)),IF(G94='Room Info'!$E$1, INDEX('Room Info'!$A$2:$A2446, MATCH(B94,'Room Info'!$E$2:$E2446, 0)),IF(G94='Room Info'!$F$1, INDEX('Room Info'!$A$2:$A2446, MATCH(B94,'Room Info'!$F$2:$F2446, 0)),IF(G94='Room Info'!$H$1, INDEX('Room Info'!$A$2:$A2446, MATCH(B94,'Room Info'!$H$2:$H2446, 0)),IF(G94='Room Info'!$G$1, INDEX('Room Info'!$A$2:$A2446, MATCH(B94,'Room Info'!$G$2:$G2446, 0)))))))))</f>
        <v>AlexanderDSL</v>
      </c>
      <c r="B94" s="54" t="s">
        <v>82</v>
      </c>
      <c r="C94" s="68">
        <v>44307</v>
      </c>
      <c r="D94" s="67">
        <v>44336</v>
      </c>
      <c r="E94" s="47">
        <v>44317</v>
      </c>
      <c r="F94" s="45" t="s">
        <v>34</v>
      </c>
      <c r="G94" s="54" t="s">
        <v>35</v>
      </c>
      <c r="H94" s="49" t="s">
        <v>72</v>
      </c>
      <c r="I94" s="49" t="s">
        <v>37</v>
      </c>
      <c r="J94" s="50">
        <v>50</v>
      </c>
      <c r="K94" s="51">
        <v>3021</v>
      </c>
      <c r="L94" s="52">
        <v>250</v>
      </c>
      <c r="M94" s="53">
        <v>4570</v>
      </c>
      <c r="N94" s="28">
        <f>K94*J94</f>
        <v>151050</v>
      </c>
      <c r="O94" s="54">
        <v>66771</v>
      </c>
      <c r="P94" s="29">
        <v>22.102284010000002</v>
      </c>
      <c r="Q94" s="55"/>
      <c r="R94" s="31">
        <f>M94+Q94</f>
        <v>4570</v>
      </c>
      <c r="S94" s="56">
        <v>-4251</v>
      </c>
      <c r="T94" s="32">
        <f>R94+S94+IF(F94="Without EV deal",L94,0)</f>
        <v>319</v>
      </c>
      <c r="U94" s="33">
        <v>1</v>
      </c>
      <c r="V94" s="58"/>
      <c r="W94" s="58"/>
      <c r="X94" s="30">
        <f>IF(AF94="DoEV",IF(AND(V94&lt;20,W94&lt;55),0.3,0)+IF(AND(V94&lt;20,W94&gt;=55,W94&lt;105),0.23,0)+IF(AND(V94&lt;20,W94&gt;=105),0.17,0)+IF(AND(V94&gt;=20,V94&lt;40,W94&lt;45),0.3,0)+IF(AND(V94&gt;=20,V94&lt;40,W94&gt;=45,W94&lt;95),0.23,0)+IF(AND(V94&gt;=20,V94&lt;40,W94&gt;=95),0.17,0)+IF(AND(V94&gt;=40,V94&lt;75,W94&lt;35),0.3,0)+IF(AND(V94&gt;=40,V94&lt;75,W94&gt;=35,W94&lt;75),0.23,0)+IF(AND(V94&gt;=40,V94&lt;75,W94&gt;=75,W94&lt;120),0.17,0)+IF(AND(V94&gt;=40,V94&lt;75,W94&gt;=120),0.12,0)+IF(AND(V94&gt;=75,V94&lt;175,W94&lt;35),0.3,0)+IF(AND(V94&gt;=75,V94&lt;=175,W94&gt;=35,W94&lt;65),0.23,0)+IF(AND(V94&gt;=75,V94&lt;=175,W94&gt;=65,W94&lt;110),0.17,0)+IF(AND(V94&gt;=75,V94&lt;=175,W94&gt;=110),0.12,0)+IF(AND(V94&gt;175,W94&lt;25),0.3,0)+IF(AND(V94&gt;175,W94&gt;=25,W94&lt;55),0.23,0)+IF(AND(V94&gt;175,W94&gt;=55,W94&lt;95),0.17,0)+IF(AND(V94&gt;175,W94&gt;=95),0.12,0),
IF(AF94="Fix15",0.15,
IF(AF94="Fix11.25",0.1125,
IF(AF94="Fix10",0.1,
IF(AF94="Fix9",0.09,
IF(AF94="DoEV2017",IF(AND(W94&lt;74),0.2,0)+IF(AND(W94&gt;=74),0.17,0),
IF(AF94="SF",IF(AND(V94&lt;20,W94&lt;89),0.3,0)+IF(AND(V94&lt;20,W94&gt;=89),0.25,0)+IF(AND(V94&gt;=20,V94&lt;40,W94&lt;74),0.3,0)+IF(AND(V94&gt;=20,V94&lt;40,W94&gt;=75),0.22,0)+IF(AND(V94&gt;=40,V94&lt;75,W94&lt;75),0.26,0)+IF(AND(V94&gt;=40,V94&lt;75,W94&gt;=75),0.22,0)+IF(V94&gt;=75,0.22,0),
IF(AF94="DoEVold",IF(AND(V94&lt;40,W94&lt;35),0.35,0)+IF(AND(V94&lt;40,W94&gt;=35,W94&lt;75),0.25,0)+IF(AND(V94&lt;40,W94&gt;=75),0.17,0)+IF(AND(V94&gt;=40,V94&lt;75,W94&lt;25),0.35,0)+IF(AND(V94&gt;=40,V94&lt;75,W94&gt;=25,W94&lt;65),0.25,0)+IF(AND(V94&gt;=40,V94&lt;75,W94&gt;=65,W94&lt;100),0.17,0)+IF(AND(V94&gt;=40,V94&lt;75,W94&gt;=100),0.1,0)+IF(AND(V94&gt;=75,W94&lt;25),0.35,0)+IF(AND(V94&gt;=75,W94&gt;=25,W94&lt;60),0.25,0)+IF(AND(V94&gt;=75,W94&gt;=60,W94&lt;95),0.17,0)+IF(AND(V94&gt;=75,W94&gt;=95),0.1,0),
IF(AF94="DoEVold15",IF(AND(V94&lt;=40,W94&lt;35),0.35,0)+IF(AND(V94&lt;=40,W94&gt;=35,W94&lt;75),0.25,0)+IF(AND(V94&lt;=40,W94&gt;=75,W94&lt;120),0.17,0)+IF(AND(V94&lt;=40,W94&gt;=120),0.15,0)+IF(AND(V94&gt;40,V94&lt;75,W94&lt;25),0.35,0)+IF(AND(V94&gt;=40,V94&lt;75,W94&gt;=25,W94&lt;65),0.25,0)+IF(AND(V94&gt;=40,V94&lt;75,W94&gt;=65,W94&lt;100),0.17,0)+IF(AND(V94&gt;=40,V94&lt;75,W94&gt;=100),0.1,0)+IF(AND(V94&gt;=75,W94&lt;25),0.35,0)+IF(AND(V94&gt;=75,W94&gt;=25,W94&lt;60),0.25,0)+IF(AND(V94&gt;=75,W94&gt;=60,W94&lt;95),0.17,0)+IF(AND(V94&gt;=75,W94&gt;=95),0.1,0),
IF(AF94="DoEVba",IF(AND(V94&lt;20,W94&lt;105),0.2,0)+IF(AND(V94&lt;20,W94&gt;=105),0.15,0)+IF(AND(V94&gt;=20,V94&lt;40,W94&lt;95),0.2,0)+IF(AND(V94&gt;=20,V94&lt;40,W94&gt;=95,W94&lt;150),0.15,0)+IF(AND(V94&gt;=20,V94&lt;40,W94&gt;=150),0.12,0)+IF(AND(V94&gt;=40,V94&lt;75,W94&lt;75),0.2,0)+IF(AND(V94&gt;=40,V94&lt;75,W94&gt;=75,W94&lt;120),0.15,0)+IF(AND(V94&gt;=40,V94&lt;75,W94&gt;=120),0.12,0)+IF(AND(V94&gt;=75,V94&lt;175,W94&lt;65),0.2,0)+IF(AND(V94&gt;=75,V94&lt;175,W94&gt;=65,W94&lt;110),0.15,0)+IF(AND(V94&gt;=75,V94&lt;175,W94&gt;=110),0.12,0)+IF(AND(V94&gt;=175,W94&lt;55),0.2,0)+IF(AND(V94&gt;=175,W94&gt;=55,W94&lt;95),0.15,0)+IF(AND(V94&gt;=175,W94&gt;=95),0.12,0),
IF(AF94="DoEVku",IF(AND(V94&lt;20,W94&lt;55),0.23,0)+IF(AND(V94&lt;20,W94&gt;=55,W94&lt;105),0.2,0)+IF(AND(V94&lt;20,W94&gt;=105),0.17,0)+IF(AND(V94&gt;=20,V94&lt;40,W94&lt;45),0.23,0)+IF(AND(V94&gt;=20,V94&lt;40,W94&gt;=45,W94&lt;95),0.2,0)+IF(AND(V94&gt;=20,V94&lt;40,W94&gt;=95,W94&lt;=150),0.17,0)+IF(AND(V94&gt;=20,V94&lt;40,W94&gt;=150),0.12,0)+IF(AND(V94&gt;=40,V94&lt;75,W94&lt;35),0.23,0)+IF(AND(V94&gt;=40,V94&lt;75,W94&gt;=35,W94&lt;75),0.2,0)+IF(AND(V94&gt;=40,V94&lt;75,W94&gt;=75,W94&lt;120),0.17,0)+IF(AND(V94&gt;=40,V94&lt;75,W94&gt;=120),0.12,0)+IF(AND(V94&gt;=75,V94&lt;175,W94&lt;35),0.23,0)+IF(AND(V94&gt;=75,V94&lt;=175,W94&gt;=35,W94&lt;65),0.2,0)+IF(AND(V94&gt;=75,V94&lt;=175,W94&gt;=65,W94&lt;110),0.17,0)+IF(AND(V94&gt;=75,V94&lt;=175,W94&gt;=110),0.12,0)+IF(AND(V94&gt;175,W94&lt;25),0.23,0)+IF(AND(V94&gt;175,W94&gt;=25,W94&lt;55),0.2,0)+IF(AND(V94&gt;175,W94&gt;=55,W94&lt;95),0.17,0)+IF(AND(V94&gt;175,W94&gt;=95),0.12,0),
IF(AF94="DoEVs1",IF(AND(V94&lt;20,W94&lt;55),0.3,0)+IF(AND(V94&lt;20,W94&gt;=55,W94&lt;105),0.23,0)+IF(AND(V94&lt;20,W94&gt;=105),0.17,0)+IF(AND(V94&gt;=20,V94&lt;40,W94&lt;45),0.3,0)+IF(AND(V94&gt;=20,V94&lt;40,W94&gt;=45,W94&lt;95),0.23,0)+IF(AND(V94&gt;=20,V94&lt;40,W94&gt;=95,W94&lt;=150),0.17,0)+IF(AND(V94&gt;=20,V94&lt;40,W94&gt;=150),0.12,0)+IF(AND(V94&gt;=40,V94&lt;75,W94&lt;35),0.3,0)+IF(AND(V94&gt;=40,V94&lt;75,W94&gt;=35,W94&lt;75),0.23,0)+IF(AND(V94&gt;=40,V94&lt;75,W94&gt;=75,W94&lt;120),0.17,0)+IF(AND(V94&gt;=40,V94&lt;75,W94&gt;=120),0.12,0)+IF(AND(V94&gt;=75,V94&lt;175,W94&lt;35),0.3,0)+IF(AND(V94&gt;=75,V94&lt;=175,W94&gt;=35,W94&lt;65),0.23,0)+IF(AND(V94&gt;=75,V94&lt;=175,W94&gt;=65,W94&lt;110),0.17,0)+IF(AND(V94&gt;=75,V94&lt;=175,W94&gt;=110),0.12,0)+IF(AND(V94&gt;175,W94&lt;25),0.3,0)+IF(AND(V94&gt;175,W94&gt;=25,W94&lt;55),0.23,0)+IF(AND(V94&gt;175,W94&gt;=55,W94&lt;95),0.17,0)+IF(AND(V94&gt;175,W94&gt;=95),0.12,0),
IF(AF94="DoEVsu",IF(AND(V94&lt;20,W94&lt;55),0.3,0)+IF(AND(V94&lt;20,W94&gt;=55,W94&lt;105),0.23,0)+IF(AND(V94&lt;20,W94&gt;=105),0.17,0)+IF(AND(V94&gt;=20,V94&lt;40,W94&lt;45),0.3,0)+IF(AND(V94&gt;=20,V94&lt;40,W94&gt;=45,W94&lt;95),0.23,0)+IF(AND(V94&gt;=20,V94&lt;40,W94&gt;=95,W94&lt;=250),0.17,0)+IF(AND(V94&gt;=20,V94&lt;40,W94&gt;=250),0.12,0)+IF(AND(V94&gt;=40,V94&lt;75,W94&lt;35),0.3,0)+IF(AND(V94&gt;=40,V94&lt;75,W94&gt;=35,W94&lt;75),0.23,0)+IF(AND(V94&gt;=40,V94&lt;75,W94&gt;=75,W94&lt;120),0.17,0)+IF(AND(V94&gt;=40,V94&lt;75,W94&gt;=120),0.12,0)+IF(AND(V94&gt;=75,V94&lt;175,W94&lt;35),0.3,0)+IF(AND(V94&gt;=75,V94&lt;=175,W94&gt;=35,W94&lt;65),0.23,0)+IF(AND(V94&gt;=75,V94&lt;=175,W94&gt;=65,W94&lt;110),0.17,0)+IF(AND(V94&gt;=75,V94&lt;=175,W94&gt;=110),0.12,0)+IF(AND(V94&gt;175,W94&lt;25),0.3,0)+IF(AND(V94&gt;175,W94&gt;=25,W94&lt;55),0.23,0)+IF(AND(V94&gt;175,W94&gt;=55,W94&lt;95),0.17,0)+IF(AND(V94&gt;175,W94&gt;=95),0.12,0),
IF(AF94="DoEVni",IF(AND(V94&lt;20,W94&lt;55),0.3,0)+IF(AND(V94&lt;20,W94&gt;=55,W94&lt;105),0.23,0)+IF(AND(V94&lt;20,W94&gt;=105),0.17,0)+IF(AND(V94&gt;=20,V94&lt;40,W94&lt;45),0.3,0)+IF(AND(V94&gt;=20,V94&lt;40,W94&gt;=45,W94&lt;95),0.23,0)+IF(AND(V94&gt;=20,V94&lt;40,W94&gt;=95,W94&lt;=200),0.17,0)+IF(AND(V94&gt;=20,V94&lt;40,W94&gt;=200),0.12,0)+IF(AND(V94&gt;=40,V94&lt;75,W94&lt;35),0.3,0)+IF(AND(V94&gt;=40,V94&lt;75,W94&gt;=35,W94&lt;75),0.23,0)+IF(AND(V94&gt;=40,V94&lt;75,W94&gt;=75,W94&lt;120),0.17,0)+IF(AND(V94&gt;=40,V94&lt;75,W94&gt;=120),0.12,0)+IF(AND(V94&gt;=75,V94&lt;175,W94&lt;35),0.3,0)+IF(AND(V94&gt;=75,V94&lt;=175,W94&gt;=35,W94&lt;65),0.23,0)+IF(AND(V94&gt;=75,V94&lt;=175,W94&gt;=65,W94&lt;110),0.17,0)+IF(AND(V94&gt;=75,V94&lt;=175,W94&gt;=110),0.12,0)+IF(AND(V94&gt;175,W94&lt;25),0.3,0)+IF(AND(V94&gt;175,W94&gt;=25,W94&lt;55),0.23,0)+IF(AND(V94&gt;175,W94&gt;=55,W94&lt;95),0.17,0)+IF(AND(V94&gt;175,W94&gt;=95),0.12,0),
IF(AF94="DoEVLo",IF(AND(V94&lt;20,W94&lt;55),0.25,0)+IF(AND(V94&lt;20,W94&gt;=55,W94&lt;105),0.2,0)+IF(AND(V94&lt;20,W94&gt;=105),0.15,0)+IF(AND(V94&gt;=20,V94&lt;40,W94&lt;45),0.25,0)+IF(AND(V94&gt;=20,V94&lt;40,W94&gt;=45,W94&lt;95),0.2,0)+IF(AND(V94&gt;=20,V94&lt;40,W94&gt;=95),0.15,0)+IF(AND(V94&gt;=40,V94&lt;75,W94&lt;35),0.25,0)+IF(AND(V94&gt;=40,V94&lt;75,W94&gt;=35,W94&lt;75),0.2,0)+IF(AND(V94&gt;=40,V94&lt;75,W94&gt;=75,W94&lt;120),0.15,0)+IF(AND(V94&gt;=40,V94&lt;75,W94&gt;=120),0.1,0)+IF(AND(V94&gt;=75,V94&lt;175,W94&lt;35),0.25,0)+IF(AND(V94&gt;=75,V94&lt;=175,W94&gt;=35,W94&lt;65),0.2,0)+IF(AND(V94&gt;=75,V94&lt;=175,W94&gt;=65,W94&lt;110),0.15,0)+IF(AND(V94&gt;=75,V94&lt;=175,W94&gt;=110),0.1,0)+IF(AND(V94&gt;175,W94&lt;25),0.25,0)+IF(AND(V94&gt;175,W94&gt;=25,W94&lt;55),0.2,0)+IF(AND(V94&gt;175,W94&gt;=55,W94&lt;95),0.15,0)+IF(AND(V94&gt;175,W94&gt;=95),0.1,0))))))))))))))))</f>
        <v>0.15</v>
      </c>
      <c r="Y94" s="30">
        <f>IF(AG94="None",0,IF(AG94="Fix5",0.05,IF(AG94="Fix3.75",0.0375,IF(AG94="Fix10",0.1,IF(AG94="Fix3",0.03,0)))))</f>
        <v>0.05</v>
      </c>
      <c r="Z94" s="35">
        <f>T94-AA94-AB94</f>
        <v>255.2</v>
      </c>
      <c r="AA94" s="29">
        <f>IF(AD94="EUR",((T94-R94)*X94)*U94+(R94*X94),(T94*X94))</f>
        <v>47.85</v>
      </c>
      <c r="AB94" s="36">
        <f>IF(AD94="EUR",((T94-R94)*Y94)*U94+(R94*Y94),(T94*Y94))</f>
        <v>15.950000000000001</v>
      </c>
      <c r="AC94" s="37" t="b">
        <v>1</v>
      </c>
      <c r="AD94" s="37" t="s">
        <v>38</v>
      </c>
      <c r="AE94" s="37" t="s">
        <v>38</v>
      </c>
      <c r="AF94" s="37" t="str">
        <f t="array" ref="AF94">INDEX('Deal Info'!D:D, MATCH(A94,'Deal Info'!A:A, 0))</f>
        <v>Fix15</v>
      </c>
      <c r="AG94" s="38" t="str">
        <f t="array" ref="AG94">INDEX('Deal Info'!G:G, MATCH(A94,'Deal Info'!A:A, 0))</f>
        <v>Fix5</v>
      </c>
    </row>
    <row r="95" spans="1:33" ht="14.25" hidden="1" x14ac:dyDescent="0.2">
      <c r="A95" s="18" t="str">
        <f t="array" ref="A95">IF(G95='Room Info'!$B$1, INDEX('Room Info'!$A$2:$A2446, MATCH(B95,'Room Info'!$B$2:$B2446, 0)),IF(G95='Room Info'!$C$1, INDEX('Room Info'!$A$2:$A2446, MATCH(B95,'Room Info'!$C$2:$C2446, 0)),IF(G95='Room Info'!$D$1, INDEX('Room Info'!$A$2:$A2446, MATCH(B95,'Room Info'!$D$2:$D2446, 0)),IF(G95='Room Info'!$E$1, INDEX('Room Info'!$A$2:$A2446, MATCH(B95,'Room Info'!$E$2:$E2446, 0)),IF(G95='Room Info'!$F$1, INDEX('Room Info'!$A$2:$A2446, MATCH(B95,'Room Info'!$F$2:$F2446, 0)),IF(G95='Room Info'!$H$1, INDEX('Room Info'!$A$2:$A2446, MATCH(B95,'Room Info'!$H$2:$H2446, 0)),IF(G95='Room Info'!$G$1, INDEX('Room Info'!$A$2:$A2446, MATCH(B95,'Room Info'!$G$2:$G2446, 0)))))))))</f>
        <v>AlexanderDSL</v>
      </c>
      <c r="B95" s="54" t="s">
        <v>82</v>
      </c>
      <c r="C95" s="68">
        <v>44337</v>
      </c>
      <c r="D95" s="68">
        <v>44367</v>
      </c>
      <c r="E95" s="47">
        <v>44348</v>
      </c>
      <c r="F95" s="45" t="s">
        <v>34</v>
      </c>
      <c r="G95" s="54" t="s">
        <v>35</v>
      </c>
      <c r="H95" s="49" t="s">
        <v>46</v>
      </c>
      <c r="I95" s="49" t="s">
        <v>37</v>
      </c>
      <c r="J95" s="50">
        <v>25</v>
      </c>
      <c r="K95" s="51">
        <v>4562</v>
      </c>
      <c r="L95" s="52">
        <v>300</v>
      </c>
      <c r="M95" s="53">
        <v>3016</v>
      </c>
      <c r="N95" s="28">
        <f>K95*J95</f>
        <v>114050</v>
      </c>
      <c r="O95" s="54">
        <v>154632</v>
      </c>
      <c r="P95" s="29">
        <v>33.895659799999997</v>
      </c>
      <c r="Q95" s="55"/>
      <c r="R95" s="31">
        <f>M95+Q95</f>
        <v>3016</v>
      </c>
      <c r="S95" s="56">
        <v>-61</v>
      </c>
      <c r="T95" s="32">
        <f>R95+S95+IF(F95="Without EV deal",L95,0)</f>
        <v>2955</v>
      </c>
      <c r="U95" s="33">
        <v>1</v>
      </c>
      <c r="V95" s="58"/>
      <c r="W95" s="58"/>
      <c r="X95" s="30">
        <f>IF(AF95="DoEV",IF(AND(V95&lt;20,W95&lt;55),0.3,0)+IF(AND(V95&lt;20,W95&gt;=55,W95&lt;105),0.23,0)+IF(AND(V95&lt;20,W95&gt;=105),0.17,0)+IF(AND(V95&gt;=20,V95&lt;40,W95&lt;45),0.3,0)+IF(AND(V95&gt;=20,V95&lt;40,W95&gt;=45,W95&lt;95),0.23,0)+IF(AND(V95&gt;=20,V95&lt;40,W95&gt;=95),0.17,0)+IF(AND(V95&gt;=40,V95&lt;75,W95&lt;35),0.3,0)+IF(AND(V95&gt;=40,V95&lt;75,W95&gt;=35,W95&lt;75),0.23,0)+IF(AND(V95&gt;=40,V95&lt;75,W95&gt;=75,W95&lt;120),0.17,0)+IF(AND(V95&gt;=40,V95&lt;75,W95&gt;=120),0.12,0)+IF(AND(V95&gt;=75,V95&lt;175,W95&lt;35),0.3,0)+IF(AND(V95&gt;=75,V95&lt;=175,W95&gt;=35,W95&lt;65),0.23,0)+IF(AND(V95&gt;=75,V95&lt;=175,W95&gt;=65,W95&lt;110),0.17,0)+IF(AND(V95&gt;=75,V95&lt;=175,W95&gt;=110),0.12,0)+IF(AND(V95&gt;175,W95&lt;25),0.3,0)+IF(AND(V95&gt;175,W95&gt;=25,W95&lt;55),0.23,0)+IF(AND(V95&gt;175,W95&gt;=55,W95&lt;95),0.17,0)+IF(AND(V95&gt;175,W95&gt;=95),0.12,0),
IF(AF95="Fix15",0.15,
IF(AF95="Fix11.25",0.1125,
IF(AF95="Fix10",0.1,
IF(AF95="Fix9",0.09,
IF(AF95="DoEV2017",IF(AND(W95&lt;74),0.2,0)+IF(AND(W95&gt;=74),0.17,0),
IF(AF95="SF",IF(AND(V95&lt;20,W95&lt;89),0.3,0)+IF(AND(V95&lt;20,W95&gt;=89),0.25,0)+IF(AND(V95&gt;=20,V95&lt;40,W95&lt;74),0.3,0)+IF(AND(V95&gt;=20,V95&lt;40,W95&gt;=75),0.22,0)+IF(AND(V95&gt;=40,V95&lt;75,W95&lt;75),0.26,0)+IF(AND(V95&gt;=40,V95&lt;75,W95&gt;=75),0.22,0)+IF(V95&gt;=75,0.22,0),
IF(AF95="DoEVold",IF(AND(V95&lt;40,W95&lt;35),0.35,0)+IF(AND(V95&lt;40,W95&gt;=35,W95&lt;75),0.25,0)+IF(AND(V95&lt;40,W95&gt;=75),0.17,0)+IF(AND(V95&gt;=40,V95&lt;75,W95&lt;25),0.35,0)+IF(AND(V95&gt;=40,V95&lt;75,W95&gt;=25,W95&lt;65),0.25,0)+IF(AND(V95&gt;=40,V95&lt;75,W95&gt;=65,W95&lt;100),0.17,0)+IF(AND(V95&gt;=40,V95&lt;75,W95&gt;=100),0.1,0)+IF(AND(V95&gt;=75,W95&lt;25),0.35,0)+IF(AND(V95&gt;=75,W95&gt;=25,W95&lt;60),0.25,0)+IF(AND(V95&gt;=75,W95&gt;=60,W95&lt;95),0.17,0)+IF(AND(V95&gt;=75,W95&gt;=95),0.1,0),
IF(AF95="DoEVold15",IF(AND(V95&lt;=40,W95&lt;35),0.35,0)+IF(AND(V95&lt;=40,W95&gt;=35,W95&lt;75),0.25,0)+IF(AND(V95&lt;=40,W95&gt;=75,W95&lt;120),0.17,0)+IF(AND(V95&lt;=40,W95&gt;=120),0.15,0)+IF(AND(V95&gt;40,V95&lt;75,W95&lt;25),0.35,0)+IF(AND(V95&gt;=40,V95&lt;75,W95&gt;=25,W95&lt;65),0.25,0)+IF(AND(V95&gt;=40,V95&lt;75,W95&gt;=65,W95&lt;100),0.17,0)+IF(AND(V95&gt;=40,V95&lt;75,W95&gt;=100),0.1,0)+IF(AND(V95&gt;=75,W95&lt;25),0.35,0)+IF(AND(V95&gt;=75,W95&gt;=25,W95&lt;60),0.25,0)+IF(AND(V95&gt;=75,W95&gt;=60,W95&lt;95),0.17,0)+IF(AND(V95&gt;=75,W95&gt;=95),0.1,0),
IF(AF95="DoEVba",IF(AND(V95&lt;20,W95&lt;105),0.2,0)+IF(AND(V95&lt;20,W95&gt;=105),0.15,0)+IF(AND(V95&gt;=20,V95&lt;40,W95&lt;95),0.2,0)+IF(AND(V95&gt;=20,V95&lt;40,W95&gt;=95,W95&lt;150),0.15,0)+IF(AND(V95&gt;=20,V95&lt;40,W95&gt;=150),0.12,0)+IF(AND(V95&gt;=40,V95&lt;75,W95&lt;75),0.2,0)+IF(AND(V95&gt;=40,V95&lt;75,W95&gt;=75,W95&lt;120),0.15,0)+IF(AND(V95&gt;=40,V95&lt;75,W95&gt;=120),0.12,0)+IF(AND(V95&gt;=75,V95&lt;175,W95&lt;65),0.2,0)+IF(AND(V95&gt;=75,V95&lt;175,W95&gt;=65,W95&lt;110),0.15,0)+IF(AND(V95&gt;=75,V95&lt;175,W95&gt;=110),0.12,0)+IF(AND(V95&gt;=175,W95&lt;55),0.2,0)+IF(AND(V95&gt;=175,W95&gt;=55,W95&lt;95),0.15,0)+IF(AND(V95&gt;=175,W95&gt;=95),0.12,0),
IF(AF95="DoEVku",IF(AND(V95&lt;20,W95&lt;55),0.23,0)+IF(AND(V95&lt;20,W95&gt;=55,W95&lt;105),0.2,0)+IF(AND(V95&lt;20,W95&gt;=105),0.17,0)+IF(AND(V95&gt;=20,V95&lt;40,W95&lt;45),0.23,0)+IF(AND(V95&gt;=20,V95&lt;40,W95&gt;=45,W95&lt;95),0.2,0)+IF(AND(V95&gt;=20,V95&lt;40,W95&gt;=95,W95&lt;=150),0.17,0)+IF(AND(V95&gt;=20,V95&lt;40,W95&gt;=150),0.12,0)+IF(AND(V95&gt;=40,V95&lt;75,W95&lt;35),0.23,0)+IF(AND(V95&gt;=40,V95&lt;75,W95&gt;=35,W95&lt;75),0.2,0)+IF(AND(V95&gt;=40,V95&lt;75,W95&gt;=75,W95&lt;120),0.17,0)+IF(AND(V95&gt;=40,V95&lt;75,W95&gt;=120),0.12,0)+IF(AND(V95&gt;=75,V95&lt;175,W95&lt;35),0.23,0)+IF(AND(V95&gt;=75,V95&lt;=175,W95&gt;=35,W95&lt;65),0.2,0)+IF(AND(V95&gt;=75,V95&lt;=175,W95&gt;=65,W95&lt;110),0.17,0)+IF(AND(V95&gt;=75,V95&lt;=175,W95&gt;=110),0.12,0)+IF(AND(V95&gt;175,W95&lt;25),0.23,0)+IF(AND(V95&gt;175,W95&gt;=25,W95&lt;55),0.2,0)+IF(AND(V95&gt;175,W95&gt;=55,W95&lt;95),0.17,0)+IF(AND(V95&gt;175,W95&gt;=95),0.12,0),
IF(AF95="DoEVs1",IF(AND(V95&lt;20,W95&lt;55),0.3,0)+IF(AND(V95&lt;20,W95&gt;=55,W95&lt;105),0.23,0)+IF(AND(V95&lt;20,W95&gt;=105),0.17,0)+IF(AND(V95&gt;=20,V95&lt;40,W95&lt;45),0.3,0)+IF(AND(V95&gt;=20,V95&lt;40,W95&gt;=45,W95&lt;95),0.23,0)+IF(AND(V95&gt;=20,V95&lt;40,W95&gt;=95,W95&lt;=150),0.17,0)+IF(AND(V95&gt;=20,V95&lt;40,W95&gt;=150),0.12,0)+IF(AND(V95&gt;=40,V95&lt;75,W95&lt;35),0.3,0)+IF(AND(V95&gt;=40,V95&lt;75,W95&gt;=35,W95&lt;75),0.23,0)+IF(AND(V95&gt;=40,V95&lt;75,W95&gt;=75,W95&lt;120),0.17,0)+IF(AND(V95&gt;=40,V95&lt;75,W95&gt;=120),0.12,0)+IF(AND(V95&gt;=75,V95&lt;175,W95&lt;35),0.3,0)+IF(AND(V95&gt;=75,V95&lt;=175,W95&gt;=35,W95&lt;65),0.23,0)+IF(AND(V95&gt;=75,V95&lt;=175,W95&gt;=65,W95&lt;110),0.17,0)+IF(AND(V95&gt;=75,V95&lt;=175,W95&gt;=110),0.12,0)+IF(AND(V95&gt;175,W95&lt;25),0.3,0)+IF(AND(V95&gt;175,W95&gt;=25,W95&lt;55),0.23,0)+IF(AND(V95&gt;175,W95&gt;=55,W95&lt;95),0.17,0)+IF(AND(V95&gt;175,W95&gt;=95),0.12,0),
IF(AF95="DoEVsu",IF(AND(V95&lt;20,W95&lt;55),0.3,0)+IF(AND(V95&lt;20,W95&gt;=55,W95&lt;105),0.23,0)+IF(AND(V95&lt;20,W95&gt;=105),0.17,0)+IF(AND(V95&gt;=20,V95&lt;40,W95&lt;45),0.3,0)+IF(AND(V95&gt;=20,V95&lt;40,W95&gt;=45,W95&lt;95),0.23,0)+IF(AND(V95&gt;=20,V95&lt;40,W95&gt;=95,W95&lt;=250),0.17,0)+IF(AND(V95&gt;=20,V95&lt;40,W95&gt;=250),0.12,0)+IF(AND(V95&gt;=40,V95&lt;75,W95&lt;35),0.3,0)+IF(AND(V95&gt;=40,V95&lt;75,W95&gt;=35,W95&lt;75),0.23,0)+IF(AND(V95&gt;=40,V95&lt;75,W95&gt;=75,W95&lt;120),0.17,0)+IF(AND(V95&gt;=40,V95&lt;75,W95&gt;=120),0.12,0)+IF(AND(V95&gt;=75,V95&lt;175,W95&lt;35),0.3,0)+IF(AND(V95&gt;=75,V95&lt;=175,W95&gt;=35,W95&lt;65),0.23,0)+IF(AND(V95&gt;=75,V95&lt;=175,W95&gt;=65,W95&lt;110),0.17,0)+IF(AND(V95&gt;=75,V95&lt;=175,W95&gt;=110),0.12,0)+IF(AND(V95&gt;175,W95&lt;25),0.3,0)+IF(AND(V95&gt;175,W95&gt;=25,W95&lt;55),0.23,0)+IF(AND(V95&gt;175,W95&gt;=55,W95&lt;95),0.17,0)+IF(AND(V95&gt;175,W95&gt;=95),0.12,0),
IF(AF95="DoEVni",IF(AND(V95&lt;20,W95&lt;55),0.3,0)+IF(AND(V95&lt;20,W95&gt;=55,W95&lt;105),0.23,0)+IF(AND(V95&lt;20,W95&gt;=105),0.17,0)+IF(AND(V95&gt;=20,V95&lt;40,W95&lt;45),0.3,0)+IF(AND(V95&gt;=20,V95&lt;40,W95&gt;=45,W95&lt;95),0.23,0)+IF(AND(V95&gt;=20,V95&lt;40,W95&gt;=95,W95&lt;=200),0.17,0)+IF(AND(V95&gt;=20,V95&lt;40,W95&gt;=200),0.12,0)+IF(AND(V95&gt;=40,V95&lt;75,W95&lt;35),0.3,0)+IF(AND(V95&gt;=40,V95&lt;75,W95&gt;=35,W95&lt;75),0.23,0)+IF(AND(V95&gt;=40,V95&lt;75,W95&gt;=75,W95&lt;120),0.17,0)+IF(AND(V95&gt;=40,V95&lt;75,W95&gt;=120),0.12,0)+IF(AND(V95&gt;=75,V95&lt;175,W95&lt;35),0.3,0)+IF(AND(V95&gt;=75,V95&lt;=175,W95&gt;=35,W95&lt;65),0.23,0)+IF(AND(V95&gt;=75,V95&lt;=175,W95&gt;=65,W95&lt;110),0.17,0)+IF(AND(V95&gt;=75,V95&lt;=175,W95&gt;=110),0.12,0)+IF(AND(V95&gt;175,W95&lt;25),0.3,0)+IF(AND(V95&gt;175,W95&gt;=25,W95&lt;55),0.23,0)+IF(AND(V95&gt;175,W95&gt;=55,W95&lt;95),0.17,0)+IF(AND(V95&gt;175,W95&gt;=95),0.12,0),
IF(AF95="DoEVLo",IF(AND(V95&lt;20,W95&lt;55),0.25,0)+IF(AND(V95&lt;20,W95&gt;=55,W95&lt;105),0.2,0)+IF(AND(V95&lt;20,W95&gt;=105),0.15,0)+IF(AND(V95&gt;=20,V95&lt;40,W95&lt;45),0.25,0)+IF(AND(V95&gt;=20,V95&lt;40,W95&gt;=45,W95&lt;95),0.2,0)+IF(AND(V95&gt;=20,V95&lt;40,W95&gt;=95),0.15,0)+IF(AND(V95&gt;=40,V95&lt;75,W95&lt;35),0.25,0)+IF(AND(V95&gt;=40,V95&lt;75,W95&gt;=35,W95&lt;75),0.2,0)+IF(AND(V95&gt;=40,V95&lt;75,W95&gt;=75,W95&lt;120),0.15,0)+IF(AND(V95&gt;=40,V95&lt;75,W95&gt;=120),0.1,0)+IF(AND(V95&gt;=75,V95&lt;175,W95&lt;35),0.25,0)+IF(AND(V95&gt;=75,V95&lt;=175,W95&gt;=35,W95&lt;65),0.2,0)+IF(AND(V95&gt;=75,V95&lt;=175,W95&gt;=65,W95&lt;110),0.15,0)+IF(AND(V95&gt;=75,V95&lt;=175,W95&gt;=110),0.1,0)+IF(AND(V95&gt;175,W95&lt;25),0.25,0)+IF(AND(V95&gt;175,W95&gt;=25,W95&lt;55),0.2,0)+IF(AND(V95&gt;175,W95&gt;=55,W95&lt;95),0.15,0)+IF(AND(V95&gt;175,W95&gt;=95),0.1,0))))))))))))))))</f>
        <v>0.15</v>
      </c>
      <c r="Y95" s="30">
        <f>IF(AG95="None",0,IF(AG95="Fix5",0.05,IF(AG95="Fix3.75",0.0375,IF(AG95="Fix10",0.1,IF(AG95="Fix3",0.03,0)))))</f>
        <v>0.05</v>
      </c>
      <c r="Z95" s="35">
        <f>T95-AA95-AB95</f>
        <v>2364</v>
      </c>
      <c r="AA95" s="29">
        <f>IF(AD95="EUR",((T95-R95)*X95)*U95+(R95*X95),(T95*X95))</f>
        <v>443.25</v>
      </c>
      <c r="AB95" s="36">
        <f>IF(AD95="EUR",((T95-R95)*Y95)*U95+(R95*Y95),(T95*Y95))</f>
        <v>147.75</v>
      </c>
      <c r="AC95" s="37" t="b">
        <v>1</v>
      </c>
      <c r="AD95" s="37" t="s">
        <v>38</v>
      </c>
      <c r="AE95" s="37" t="s">
        <v>38</v>
      </c>
      <c r="AF95" s="37" t="str">
        <f t="array" ref="AF95">INDEX('Deal Info'!D:D, MATCH(A95,'Deal Info'!A:A, 0))</f>
        <v>Fix15</v>
      </c>
      <c r="AG95" s="38" t="str">
        <f t="array" ref="AG95">INDEX('Deal Info'!G:G, MATCH(A95,'Deal Info'!A:A, 0))</f>
        <v>Fix5</v>
      </c>
    </row>
    <row r="96" spans="1:33" ht="14.25" hidden="1" x14ac:dyDescent="0.2">
      <c r="A96" s="18" t="str">
        <f t="array" ref="A96">IF(G96='Room Info'!$B$1, INDEX('Room Info'!$A$2:$A2446, MATCH(B96,'Room Info'!$B$2:$B2446, 0)),IF(G96='Room Info'!$C$1, INDEX('Room Info'!$A$2:$A2446, MATCH(B96,'Room Info'!$C$2:$C2446, 0)),IF(G96='Room Info'!$D$1, INDEX('Room Info'!$A$2:$A2446, MATCH(B96,'Room Info'!$D$2:$D2446, 0)),IF(G96='Room Info'!$E$1, INDEX('Room Info'!$A$2:$A2446, MATCH(B96,'Room Info'!$E$2:$E2446, 0)),IF(G96='Room Info'!$F$1, INDEX('Room Info'!$A$2:$A2446, MATCH(B96,'Room Info'!$F$2:$F2446, 0)),IF(G96='Room Info'!$H$1, INDEX('Room Info'!$A$2:$A2446, MATCH(B96,'Room Info'!$H$2:$H2446, 0)),IF(G96='Room Info'!$G$1, INDEX('Room Info'!$A$2:$A2446, MATCH(B96,'Room Info'!$G$2:$G2446, 0)))))))))</f>
        <v>AlexanderDSL</v>
      </c>
      <c r="B96" s="54" t="s">
        <v>82</v>
      </c>
      <c r="C96" s="68">
        <v>44337</v>
      </c>
      <c r="D96" s="68">
        <v>44367</v>
      </c>
      <c r="E96" s="47">
        <v>44348</v>
      </c>
      <c r="F96" s="45" t="s">
        <v>34</v>
      </c>
      <c r="G96" s="54" t="s">
        <v>35</v>
      </c>
      <c r="H96" s="49" t="s">
        <v>72</v>
      </c>
      <c r="I96" s="49" t="s">
        <v>37</v>
      </c>
      <c r="J96" s="50">
        <v>50</v>
      </c>
      <c r="K96" s="51">
        <v>979</v>
      </c>
      <c r="L96" s="52">
        <v>-3250</v>
      </c>
      <c r="M96" s="53">
        <v>1295</v>
      </c>
      <c r="N96" s="28">
        <f>K96*J96</f>
        <v>48950</v>
      </c>
      <c r="O96" s="54">
        <v>20855</v>
      </c>
      <c r="P96" s="29">
        <v>21.302349339999999</v>
      </c>
      <c r="Q96" s="55"/>
      <c r="R96" s="31">
        <f>M96+Q96</f>
        <v>1295</v>
      </c>
      <c r="S96" s="56">
        <v>-1134</v>
      </c>
      <c r="T96" s="32">
        <f>R96+S96+IF(F96="Without EV deal",L96,0)</f>
        <v>161</v>
      </c>
      <c r="U96" s="33">
        <v>1</v>
      </c>
      <c r="V96" s="58"/>
      <c r="W96" s="58"/>
      <c r="X96" s="30">
        <f>IF(AF96="DoEV",IF(AND(V96&lt;20,W96&lt;55),0.3,0)+IF(AND(V96&lt;20,W96&gt;=55,W96&lt;105),0.23,0)+IF(AND(V96&lt;20,W96&gt;=105),0.17,0)+IF(AND(V96&gt;=20,V96&lt;40,W96&lt;45),0.3,0)+IF(AND(V96&gt;=20,V96&lt;40,W96&gt;=45,W96&lt;95),0.23,0)+IF(AND(V96&gt;=20,V96&lt;40,W96&gt;=95),0.17,0)+IF(AND(V96&gt;=40,V96&lt;75,W96&lt;35),0.3,0)+IF(AND(V96&gt;=40,V96&lt;75,W96&gt;=35,W96&lt;75),0.23,0)+IF(AND(V96&gt;=40,V96&lt;75,W96&gt;=75,W96&lt;120),0.17,0)+IF(AND(V96&gt;=40,V96&lt;75,W96&gt;=120),0.12,0)+IF(AND(V96&gt;=75,V96&lt;175,W96&lt;35),0.3,0)+IF(AND(V96&gt;=75,V96&lt;=175,W96&gt;=35,W96&lt;65),0.23,0)+IF(AND(V96&gt;=75,V96&lt;=175,W96&gt;=65,W96&lt;110),0.17,0)+IF(AND(V96&gt;=75,V96&lt;=175,W96&gt;=110),0.12,0)+IF(AND(V96&gt;175,W96&lt;25),0.3,0)+IF(AND(V96&gt;175,W96&gt;=25,W96&lt;55),0.23,0)+IF(AND(V96&gt;175,W96&gt;=55,W96&lt;95),0.17,0)+IF(AND(V96&gt;175,W96&gt;=95),0.12,0),
IF(AF96="Fix15",0.15,
IF(AF96="Fix11.25",0.1125,
IF(AF96="Fix10",0.1,
IF(AF96="Fix9",0.09,
IF(AF96="DoEV2017",IF(AND(W96&lt;74),0.2,0)+IF(AND(W96&gt;=74),0.17,0),
IF(AF96="SF",IF(AND(V96&lt;20,W96&lt;89),0.3,0)+IF(AND(V96&lt;20,W96&gt;=89),0.25,0)+IF(AND(V96&gt;=20,V96&lt;40,W96&lt;74),0.3,0)+IF(AND(V96&gt;=20,V96&lt;40,W96&gt;=75),0.22,0)+IF(AND(V96&gt;=40,V96&lt;75,W96&lt;75),0.26,0)+IF(AND(V96&gt;=40,V96&lt;75,W96&gt;=75),0.22,0)+IF(V96&gt;=75,0.22,0),
IF(AF96="DoEVold",IF(AND(V96&lt;40,W96&lt;35),0.35,0)+IF(AND(V96&lt;40,W96&gt;=35,W96&lt;75),0.25,0)+IF(AND(V96&lt;40,W96&gt;=75),0.17,0)+IF(AND(V96&gt;=40,V96&lt;75,W96&lt;25),0.35,0)+IF(AND(V96&gt;=40,V96&lt;75,W96&gt;=25,W96&lt;65),0.25,0)+IF(AND(V96&gt;=40,V96&lt;75,W96&gt;=65,W96&lt;100),0.17,0)+IF(AND(V96&gt;=40,V96&lt;75,W96&gt;=100),0.1,0)+IF(AND(V96&gt;=75,W96&lt;25),0.35,0)+IF(AND(V96&gt;=75,W96&gt;=25,W96&lt;60),0.25,0)+IF(AND(V96&gt;=75,W96&gt;=60,W96&lt;95),0.17,0)+IF(AND(V96&gt;=75,W96&gt;=95),0.1,0),
IF(AF96="DoEVold15",IF(AND(V96&lt;=40,W96&lt;35),0.35,0)+IF(AND(V96&lt;=40,W96&gt;=35,W96&lt;75),0.25,0)+IF(AND(V96&lt;=40,W96&gt;=75,W96&lt;120),0.17,0)+IF(AND(V96&lt;=40,W96&gt;=120),0.15,0)+IF(AND(V96&gt;40,V96&lt;75,W96&lt;25),0.35,0)+IF(AND(V96&gt;=40,V96&lt;75,W96&gt;=25,W96&lt;65),0.25,0)+IF(AND(V96&gt;=40,V96&lt;75,W96&gt;=65,W96&lt;100),0.17,0)+IF(AND(V96&gt;=40,V96&lt;75,W96&gt;=100),0.1,0)+IF(AND(V96&gt;=75,W96&lt;25),0.35,0)+IF(AND(V96&gt;=75,W96&gt;=25,W96&lt;60),0.25,0)+IF(AND(V96&gt;=75,W96&gt;=60,W96&lt;95),0.17,0)+IF(AND(V96&gt;=75,W96&gt;=95),0.1,0),
IF(AF96="DoEVba",IF(AND(V96&lt;20,W96&lt;105),0.2,0)+IF(AND(V96&lt;20,W96&gt;=105),0.15,0)+IF(AND(V96&gt;=20,V96&lt;40,W96&lt;95),0.2,0)+IF(AND(V96&gt;=20,V96&lt;40,W96&gt;=95,W96&lt;150),0.15,0)+IF(AND(V96&gt;=20,V96&lt;40,W96&gt;=150),0.12,0)+IF(AND(V96&gt;=40,V96&lt;75,W96&lt;75),0.2,0)+IF(AND(V96&gt;=40,V96&lt;75,W96&gt;=75,W96&lt;120),0.15,0)+IF(AND(V96&gt;=40,V96&lt;75,W96&gt;=120),0.12,0)+IF(AND(V96&gt;=75,V96&lt;175,W96&lt;65),0.2,0)+IF(AND(V96&gt;=75,V96&lt;175,W96&gt;=65,W96&lt;110),0.15,0)+IF(AND(V96&gt;=75,V96&lt;175,W96&gt;=110),0.12,0)+IF(AND(V96&gt;=175,W96&lt;55),0.2,0)+IF(AND(V96&gt;=175,W96&gt;=55,W96&lt;95),0.15,0)+IF(AND(V96&gt;=175,W96&gt;=95),0.12,0),
IF(AF96="DoEVku",IF(AND(V96&lt;20,W96&lt;55),0.23,0)+IF(AND(V96&lt;20,W96&gt;=55,W96&lt;105),0.2,0)+IF(AND(V96&lt;20,W96&gt;=105),0.17,0)+IF(AND(V96&gt;=20,V96&lt;40,W96&lt;45),0.23,0)+IF(AND(V96&gt;=20,V96&lt;40,W96&gt;=45,W96&lt;95),0.2,0)+IF(AND(V96&gt;=20,V96&lt;40,W96&gt;=95,W96&lt;=150),0.17,0)+IF(AND(V96&gt;=20,V96&lt;40,W96&gt;=150),0.12,0)+IF(AND(V96&gt;=40,V96&lt;75,W96&lt;35),0.23,0)+IF(AND(V96&gt;=40,V96&lt;75,W96&gt;=35,W96&lt;75),0.2,0)+IF(AND(V96&gt;=40,V96&lt;75,W96&gt;=75,W96&lt;120),0.17,0)+IF(AND(V96&gt;=40,V96&lt;75,W96&gt;=120),0.12,0)+IF(AND(V96&gt;=75,V96&lt;175,W96&lt;35),0.23,0)+IF(AND(V96&gt;=75,V96&lt;=175,W96&gt;=35,W96&lt;65),0.2,0)+IF(AND(V96&gt;=75,V96&lt;=175,W96&gt;=65,W96&lt;110),0.17,0)+IF(AND(V96&gt;=75,V96&lt;=175,W96&gt;=110),0.12,0)+IF(AND(V96&gt;175,W96&lt;25),0.23,0)+IF(AND(V96&gt;175,W96&gt;=25,W96&lt;55),0.2,0)+IF(AND(V96&gt;175,W96&gt;=55,W96&lt;95),0.17,0)+IF(AND(V96&gt;175,W96&gt;=95),0.12,0),
IF(AF96="DoEVs1",IF(AND(V96&lt;20,W96&lt;55),0.3,0)+IF(AND(V96&lt;20,W96&gt;=55,W96&lt;105),0.23,0)+IF(AND(V96&lt;20,W96&gt;=105),0.17,0)+IF(AND(V96&gt;=20,V96&lt;40,W96&lt;45),0.3,0)+IF(AND(V96&gt;=20,V96&lt;40,W96&gt;=45,W96&lt;95),0.23,0)+IF(AND(V96&gt;=20,V96&lt;40,W96&gt;=95,W96&lt;=150),0.17,0)+IF(AND(V96&gt;=20,V96&lt;40,W96&gt;=150),0.12,0)+IF(AND(V96&gt;=40,V96&lt;75,W96&lt;35),0.3,0)+IF(AND(V96&gt;=40,V96&lt;75,W96&gt;=35,W96&lt;75),0.23,0)+IF(AND(V96&gt;=40,V96&lt;75,W96&gt;=75,W96&lt;120),0.17,0)+IF(AND(V96&gt;=40,V96&lt;75,W96&gt;=120),0.12,0)+IF(AND(V96&gt;=75,V96&lt;175,W96&lt;35),0.3,0)+IF(AND(V96&gt;=75,V96&lt;=175,W96&gt;=35,W96&lt;65),0.23,0)+IF(AND(V96&gt;=75,V96&lt;=175,W96&gt;=65,W96&lt;110),0.17,0)+IF(AND(V96&gt;=75,V96&lt;=175,W96&gt;=110),0.12,0)+IF(AND(V96&gt;175,W96&lt;25),0.3,0)+IF(AND(V96&gt;175,W96&gt;=25,W96&lt;55),0.23,0)+IF(AND(V96&gt;175,W96&gt;=55,W96&lt;95),0.17,0)+IF(AND(V96&gt;175,W96&gt;=95),0.12,0),
IF(AF96="DoEVsu",IF(AND(V96&lt;20,W96&lt;55),0.3,0)+IF(AND(V96&lt;20,W96&gt;=55,W96&lt;105),0.23,0)+IF(AND(V96&lt;20,W96&gt;=105),0.17,0)+IF(AND(V96&gt;=20,V96&lt;40,W96&lt;45),0.3,0)+IF(AND(V96&gt;=20,V96&lt;40,W96&gt;=45,W96&lt;95),0.23,0)+IF(AND(V96&gt;=20,V96&lt;40,W96&gt;=95,W96&lt;=250),0.17,0)+IF(AND(V96&gt;=20,V96&lt;40,W96&gt;=250),0.12,0)+IF(AND(V96&gt;=40,V96&lt;75,W96&lt;35),0.3,0)+IF(AND(V96&gt;=40,V96&lt;75,W96&gt;=35,W96&lt;75),0.23,0)+IF(AND(V96&gt;=40,V96&lt;75,W96&gt;=75,W96&lt;120),0.17,0)+IF(AND(V96&gt;=40,V96&lt;75,W96&gt;=120),0.12,0)+IF(AND(V96&gt;=75,V96&lt;175,W96&lt;35),0.3,0)+IF(AND(V96&gt;=75,V96&lt;=175,W96&gt;=35,W96&lt;65),0.23,0)+IF(AND(V96&gt;=75,V96&lt;=175,W96&gt;=65,W96&lt;110),0.17,0)+IF(AND(V96&gt;=75,V96&lt;=175,W96&gt;=110),0.12,0)+IF(AND(V96&gt;175,W96&lt;25),0.3,0)+IF(AND(V96&gt;175,W96&gt;=25,W96&lt;55),0.23,0)+IF(AND(V96&gt;175,W96&gt;=55,W96&lt;95),0.17,0)+IF(AND(V96&gt;175,W96&gt;=95),0.12,0),
IF(AF96="DoEVni",IF(AND(V96&lt;20,W96&lt;55),0.3,0)+IF(AND(V96&lt;20,W96&gt;=55,W96&lt;105),0.23,0)+IF(AND(V96&lt;20,W96&gt;=105),0.17,0)+IF(AND(V96&gt;=20,V96&lt;40,W96&lt;45),0.3,0)+IF(AND(V96&gt;=20,V96&lt;40,W96&gt;=45,W96&lt;95),0.23,0)+IF(AND(V96&gt;=20,V96&lt;40,W96&gt;=95,W96&lt;=200),0.17,0)+IF(AND(V96&gt;=20,V96&lt;40,W96&gt;=200),0.12,0)+IF(AND(V96&gt;=40,V96&lt;75,W96&lt;35),0.3,0)+IF(AND(V96&gt;=40,V96&lt;75,W96&gt;=35,W96&lt;75),0.23,0)+IF(AND(V96&gt;=40,V96&lt;75,W96&gt;=75,W96&lt;120),0.17,0)+IF(AND(V96&gt;=40,V96&lt;75,W96&gt;=120),0.12,0)+IF(AND(V96&gt;=75,V96&lt;175,W96&lt;35),0.3,0)+IF(AND(V96&gt;=75,V96&lt;=175,W96&gt;=35,W96&lt;65),0.23,0)+IF(AND(V96&gt;=75,V96&lt;=175,W96&gt;=65,W96&lt;110),0.17,0)+IF(AND(V96&gt;=75,V96&lt;=175,W96&gt;=110),0.12,0)+IF(AND(V96&gt;175,W96&lt;25),0.3,0)+IF(AND(V96&gt;175,W96&gt;=25,W96&lt;55),0.23,0)+IF(AND(V96&gt;175,W96&gt;=55,W96&lt;95),0.17,0)+IF(AND(V96&gt;175,W96&gt;=95),0.12,0),
IF(AF96="DoEVLo",IF(AND(V96&lt;20,W96&lt;55),0.25,0)+IF(AND(V96&lt;20,W96&gt;=55,W96&lt;105),0.2,0)+IF(AND(V96&lt;20,W96&gt;=105),0.15,0)+IF(AND(V96&gt;=20,V96&lt;40,W96&lt;45),0.25,0)+IF(AND(V96&gt;=20,V96&lt;40,W96&gt;=45,W96&lt;95),0.2,0)+IF(AND(V96&gt;=20,V96&lt;40,W96&gt;=95),0.15,0)+IF(AND(V96&gt;=40,V96&lt;75,W96&lt;35),0.25,0)+IF(AND(V96&gt;=40,V96&lt;75,W96&gt;=35,W96&lt;75),0.2,0)+IF(AND(V96&gt;=40,V96&lt;75,W96&gt;=75,W96&lt;120),0.15,0)+IF(AND(V96&gt;=40,V96&lt;75,W96&gt;=120),0.1,0)+IF(AND(V96&gt;=75,V96&lt;175,W96&lt;35),0.25,0)+IF(AND(V96&gt;=75,V96&lt;=175,W96&gt;=35,W96&lt;65),0.2,0)+IF(AND(V96&gt;=75,V96&lt;=175,W96&gt;=65,W96&lt;110),0.15,0)+IF(AND(V96&gt;=75,V96&lt;=175,W96&gt;=110),0.1,0)+IF(AND(V96&gt;175,W96&lt;25),0.25,0)+IF(AND(V96&gt;175,W96&gt;=25,W96&lt;55),0.2,0)+IF(AND(V96&gt;175,W96&gt;=55,W96&lt;95),0.15,0)+IF(AND(V96&gt;175,W96&gt;=95),0.1,0))))))))))))))))</f>
        <v>0.15</v>
      </c>
      <c r="Y96" s="30">
        <f>IF(AG96="None",0,IF(AG96="Fix5",0.05,IF(AG96="Fix3.75",0.0375,IF(AG96="Fix10",0.1,IF(AG96="Fix3",0.03,0)))))</f>
        <v>0.05</v>
      </c>
      <c r="Z96" s="35">
        <f>T96-AA96-AB96</f>
        <v>128.79999999999998</v>
      </c>
      <c r="AA96" s="29">
        <f>IF(AD96="EUR",((T96-R96)*X96)*U96+(R96*X96),(T96*X96))</f>
        <v>24.15</v>
      </c>
      <c r="AB96" s="36">
        <f>IF(AD96="EUR",((T96-R96)*Y96)*U96+(R96*Y96),(T96*Y96))</f>
        <v>8.0500000000000007</v>
      </c>
      <c r="AC96" s="37" t="b">
        <v>1</v>
      </c>
      <c r="AD96" s="37" t="s">
        <v>38</v>
      </c>
      <c r="AE96" s="37" t="s">
        <v>38</v>
      </c>
      <c r="AF96" s="37" t="str">
        <f t="array" ref="AF96">INDEX('Deal Info'!D:D, MATCH(A96,'Deal Info'!A:A, 0))</f>
        <v>Fix15</v>
      </c>
      <c r="AG96" s="38" t="str">
        <f t="array" ref="AG96">INDEX('Deal Info'!G:G, MATCH(A96,'Deal Info'!A:A, 0))</f>
        <v>Fix5</v>
      </c>
    </row>
    <row r="97" spans="1:33" ht="14.25" hidden="1" x14ac:dyDescent="0.2">
      <c r="A97" s="18" t="str">
        <f t="array" ref="A97">IF(G97='Room Info'!$B$1, INDEX('Room Info'!$A$2:$A2446, MATCH(B97,'Room Info'!$B$2:$B2446, 0)),IF(G97='Room Info'!$C$1, INDEX('Room Info'!$A$2:$A2446, MATCH(B97,'Room Info'!$C$2:$C2446, 0)),IF(G97='Room Info'!$D$1, INDEX('Room Info'!$A$2:$A2446, MATCH(B97,'Room Info'!$D$2:$D2446, 0)),IF(G97='Room Info'!$E$1, INDEX('Room Info'!$A$2:$A2446, MATCH(B97,'Room Info'!$E$2:$E2446, 0)),IF(G97='Room Info'!$F$1, INDEX('Room Info'!$A$2:$A2446, MATCH(B97,'Room Info'!$F$2:$F2446, 0)),IF(G97='Room Info'!$H$1, INDEX('Room Info'!$A$2:$A2446, MATCH(B97,'Room Info'!$H$2:$H2446, 0)),IF(G97='Room Info'!$G$1, INDEX('Room Info'!$A$2:$A2446, MATCH(B97,'Room Info'!$G$2:$G2446, 0)))))))))</f>
        <v>AlexanderDSL</v>
      </c>
      <c r="B97" s="54" t="s">
        <v>82</v>
      </c>
      <c r="C97" s="68">
        <v>44368</v>
      </c>
      <c r="D97" s="68">
        <v>44397</v>
      </c>
      <c r="E97" s="47">
        <v>44378</v>
      </c>
      <c r="F97" s="45" t="s">
        <v>34</v>
      </c>
      <c r="G97" s="54" t="s">
        <v>35</v>
      </c>
      <c r="H97" s="49" t="s">
        <v>46</v>
      </c>
      <c r="I97" s="49" t="s">
        <v>37</v>
      </c>
      <c r="J97" s="50">
        <v>25</v>
      </c>
      <c r="K97" s="51">
        <v>1044</v>
      </c>
      <c r="L97" s="52">
        <v>3150</v>
      </c>
      <c r="M97" s="53">
        <v>48</v>
      </c>
      <c r="N97" s="28">
        <f>K97*J97</f>
        <v>26100</v>
      </c>
      <c r="O97" s="54">
        <v>40921</v>
      </c>
      <c r="P97" s="29">
        <v>39.196360149999997</v>
      </c>
      <c r="Q97" s="55"/>
      <c r="R97" s="31">
        <f>M97+Q97</f>
        <v>48</v>
      </c>
      <c r="S97" s="56">
        <v>275</v>
      </c>
      <c r="T97" s="32">
        <f>R97+S97+IF(F97="Without EV deal",L97,0)</f>
        <v>323</v>
      </c>
      <c r="U97" s="33">
        <v>1</v>
      </c>
      <c r="V97" s="58"/>
      <c r="W97" s="58"/>
      <c r="X97" s="30">
        <f>IF(AF97="DoEV",IF(AND(V97&lt;20,W97&lt;55),0.3,0)+IF(AND(V97&lt;20,W97&gt;=55,W97&lt;105),0.23,0)+IF(AND(V97&lt;20,W97&gt;=105),0.17,0)+IF(AND(V97&gt;=20,V97&lt;40,W97&lt;45),0.3,0)+IF(AND(V97&gt;=20,V97&lt;40,W97&gt;=45,W97&lt;95),0.23,0)+IF(AND(V97&gt;=20,V97&lt;40,W97&gt;=95),0.17,0)+IF(AND(V97&gt;=40,V97&lt;75,W97&lt;35),0.3,0)+IF(AND(V97&gt;=40,V97&lt;75,W97&gt;=35,W97&lt;75),0.23,0)+IF(AND(V97&gt;=40,V97&lt;75,W97&gt;=75,W97&lt;120),0.17,0)+IF(AND(V97&gt;=40,V97&lt;75,W97&gt;=120),0.12,0)+IF(AND(V97&gt;=75,V97&lt;175,W97&lt;35),0.3,0)+IF(AND(V97&gt;=75,V97&lt;=175,W97&gt;=35,W97&lt;65),0.23,0)+IF(AND(V97&gt;=75,V97&lt;=175,W97&gt;=65,W97&lt;110),0.17,0)+IF(AND(V97&gt;=75,V97&lt;=175,W97&gt;=110),0.12,0)+IF(AND(V97&gt;175,W97&lt;25),0.3,0)+IF(AND(V97&gt;175,W97&gt;=25,W97&lt;55),0.23,0)+IF(AND(V97&gt;175,W97&gt;=55,W97&lt;95),0.17,0)+IF(AND(V97&gt;175,W97&gt;=95),0.12,0),
IF(AF97="Fix15",0.15,
IF(AF97="Fix11.25",0.1125,
IF(AF97="Fix10",0.1,
IF(AF97="Fix9",0.09,
IF(AF97="DoEV2017",IF(AND(W97&lt;74),0.2,0)+IF(AND(W97&gt;=74),0.17,0),
IF(AF97="SF",IF(AND(V97&lt;20,W97&lt;89),0.3,0)+IF(AND(V97&lt;20,W97&gt;=89),0.25,0)+IF(AND(V97&gt;=20,V97&lt;40,W97&lt;74),0.3,0)+IF(AND(V97&gt;=20,V97&lt;40,W97&gt;=75),0.22,0)+IF(AND(V97&gt;=40,V97&lt;75,W97&lt;75),0.26,0)+IF(AND(V97&gt;=40,V97&lt;75,W97&gt;=75),0.22,0)+IF(V97&gt;=75,0.22,0),
IF(AF97="DoEVold",IF(AND(V97&lt;40,W97&lt;35),0.35,0)+IF(AND(V97&lt;40,W97&gt;=35,W97&lt;75),0.25,0)+IF(AND(V97&lt;40,W97&gt;=75),0.17,0)+IF(AND(V97&gt;=40,V97&lt;75,W97&lt;25),0.35,0)+IF(AND(V97&gt;=40,V97&lt;75,W97&gt;=25,W97&lt;65),0.25,0)+IF(AND(V97&gt;=40,V97&lt;75,W97&gt;=65,W97&lt;100),0.17,0)+IF(AND(V97&gt;=40,V97&lt;75,W97&gt;=100),0.1,0)+IF(AND(V97&gt;=75,W97&lt;25),0.35,0)+IF(AND(V97&gt;=75,W97&gt;=25,W97&lt;60),0.25,0)+IF(AND(V97&gt;=75,W97&gt;=60,W97&lt;95),0.17,0)+IF(AND(V97&gt;=75,W97&gt;=95),0.1,0),
IF(AF97="DoEVold15",IF(AND(V97&lt;=40,W97&lt;35),0.35,0)+IF(AND(V97&lt;=40,W97&gt;=35,W97&lt;75),0.25,0)+IF(AND(V97&lt;=40,W97&gt;=75,W97&lt;120),0.17,0)+IF(AND(V97&lt;=40,W97&gt;=120),0.15,0)+IF(AND(V97&gt;40,V97&lt;75,W97&lt;25),0.35,0)+IF(AND(V97&gt;=40,V97&lt;75,W97&gt;=25,W97&lt;65),0.25,0)+IF(AND(V97&gt;=40,V97&lt;75,W97&gt;=65,W97&lt;100),0.17,0)+IF(AND(V97&gt;=40,V97&lt;75,W97&gt;=100),0.1,0)+IF(AND(V97&gt;=75,W97&lt;25),0.35,0)+IF(AND(V97&gt;=75,W97&gt;=25,W97&lt;60),0.25,0)+IF(AND(V97&gt;=75,W97&gt;=60,W97&lt;95),0.17,0)+IF(AND(V97&gt;=75,W97&gt;=95),0.1,0),
IF(AF97="DoEVba",IF(AND(V97&lt;20,W97&lt;105),0.2,0)+IF(AND(V97&lt;20,W97&gt;=105),0.15,0)+IF(AND(V97&gt;=20,V97&lt;40,W97&lt;95),0.2,0)+IF(AND(V97&gt;=20,V97&lt;40,W97&gt;=95,W97&lt;150),0.15,0)+IF(AND(V97&gt;=20,V97&lt;40,W97&gt;=150),0.12,0)+IF(AND(V97&gt;=40,V97&lt;75,W97&lt;75),0.2,0)+IF(AND(V97&gt;=40,V97&lt;75,W97&gt;=75,W97&lt;120),0.15,0)+IF(AND(V97&gt;=40,V97&lt;75,W97&gt;=120),0.12,0)+IF(AND(V97&gt;=75,V97&lt;175,W97&lt;65),0.2,0)+IF(AND(V97&gt;=75,V97&lt;175,W97&gt;=65,W97&lt;110),0.15,0)+IF(AND(V97&gt;=75,V97&lt;175,W97&gt;=110),0.12,0)+IF(AND(V97&gt;=175,W97&lt;55),0.2,0)+IF(AND(V97&gt;=175,W97&gt;=55,W97&lt;95),0.15,0)+IF(AND(V97&gt;=175,W97&gt;=95),0.12,0),
IF(AF97="DoEVku",IF(AND(V97&lt;20,W97&lt;55),0.23,0)+IF(AND(V97&lt;20,W97&gt;=55,W97&lt;105),0.2,0)+IF(AND(V97&lt;20,W97&gt;=105),0.17,0)+IF(AND(V97&gt;=20,V97&lt;40,W97&lt;45),0.23,0)+IF(AND(V97&gt;=20,V97&lt;40,W97&gt;=45,W97&lt;95),0.2,0)+IF(AND(V97&gt;=20,V97&lt;40,W97&gt;=95,W97&lt;=150),0.17,0)+IF(AND(V97&gt;=20,V97&lt;40,W97&gt;=150),0.12,0)+IF(AND(V97&gt;=40,V97&lt;75,W97&lt;35),0.23,0)+IF(AND(V97&gt;=40,V97&lt;75,W97&gt;=35,W97&lt;75),0.2,0)+IF(AND(V97&gt;=40,V97&lt;75,W97&gt;=75,W97&lt;120),0.17,0)+IF(AND(V97&gt;=40,V97&lt;75,W97&gt;=120),0.12,0)+IF(AND(V97&gt;=75,V97&lt;175,W97&lt;35),0.23,0)+IF(AND(V97&gt;=75,V97&lt;=175,W97&gt;=35,W97&lt;65),0.2,0)+IF(AND(V97&gt;=75,V97&lt;=175,W97&gt;=65,W97&lt;110),0.17,0)+IF(AND(V97&gt;=75,V97&lt;=175,W97&gt;=110),0.12,0)+IF(AND(V97&gt;175,W97&lt;25),0.23,0)+IF(AND(V97&gt;175,W97&gt;=25,W97&lt;55),0.2,0)+IF(AND(V97&gt;175,W97&gt;=55,W97&lt;95),0.17,0)+IF(AND(V97&gt;175,W97&gt;=95),0.12,0),
IF(AF97="DoEVs1",IF(AND(V97&lt;20,W97&lt;55),0.3,0)+IF(AND(V97&lt;20,W97&gt;=55,W97&lt;105),0.23,0)+IF(AND(V97&lt;20,W97&gt;=105),0.17,0)+IF(AND(V97&gt;=20,V97&lt;40,W97&lt;45),0.3,0)+IF(AND(V97&gt;=20,V97&lt;40,W97&gt;=45,W97&lt;95),0.23,0)+IF(AND(V97&gt;=20,V97&lt;40,W97&gt;=95,W97&lt;=150),0.17,0)+IF(AND(V97&gt;=20,V97&lt;40,W97&gt;=150),0.12,0)+IF(AND(V97&gt;=40,V97&lt;75,W97&lt;35),0.3,0)+IF(AND(V97&gt;=40,V97&lt;75,W97&gt;=35,W97&lt;75),0.23,0)+IF(AND(V97&gt;=40,V97&lt;75,W97&gt;=75,W97&lt;120),0.17,0)+IF(AND(V97&gt;=40,V97&lt;75,W97&gt;=120),0.12,0)+IF(AND(V97&gt;=75,V97&lt;175,W97&lt;35),0.3,0)+IF(AND(V97&gt;=75,V97&lt;=175,W97&gt;=35,W97&lt;65),0.23,0)+IF(AND(V97&gt;=75,V97&lt;=175,W97&gt;=65,W97&lt;110),0.17,0)+IF(AND(V97&gt;=75,V97&lt;=175,W97&gt;=110),0.12,0)+IF(AND(V97&gt;175,W97&lt;25),0.3,0)+IF(AND(V97&gt;175,W97&gt;=25,W97&lt;55),0.23,0)+IF(AND(V97&gt;175,W97&gt;=55,W97&lt;95),0.17,0)+IF(AND(V97&gt;175,W97&gt;=95),0.12,0),
IF(AF97="DoEVsu",IF(AND(V97&lt;20,W97&lt;55),0.3,0)+IF(AND(V97&lt;20,W97&gt;=55,W97&lt;105),0.23,0)+IF(AND(V97&lt;20,W97&gt;=105),0.17,0)+IF(AND(V97&gt;=20,V97&lt;40,W97&lt;45),0.3,0)+IF(AND(V97&gt;=20,V97&lt;40,W97&gt;=45,W97&lt;95),0.23,0)+IF(AND(V97&gt;=20,V97&lt;40,W97&gt;=95,W97&lt;=250),0.17,0)+IF(AND(V97&gt;=20,V97&lt;40,W97&gt;=250),0.12,0)+IF(AND(V97&gt;=40,V97&lt;75,W97&lt;35),0.3,0)+IF(AND(V97&gt;=40,V97&lt;75,W97&gt;=35,W97&lt;75),0.23,0)+IF(AND(V97&gt;=40,V97&lt;75,W97&gt;=75,W97&lt;120),0.17,0)+IF(AND(V97&gt;=40,V97&lt;75,W97&gt;=120),0.12,0)+IF(AND(V97&gt;=75,V97&lt;175,W97&lt;35),0.3,0)+IF(AND(V97&gt;=75,V97&lt;=175,W97&gt;=35,W97&lt;65),0.23,0)+IF(AND(V97&gt;=75,V97&lt;=175,W97&gt;=65,W97&lt;110),0.17,0)+IF(AND(V97&gt;=75,V97&lt;=175,W97&gt;=110),0.12,0)+IF(AND(V97&gt;175,W97&lt;25),0.3,0)+IF(AND(V97&gt;175,W97&gt;=25,W97&lt;55),0.23,0)+IF(AND(V97&gt;175,W97&gt;=55,W97&lt;95),0.17,0)+IF(AND(V97&gt;175,W97&gt;=95),0.12,0),
IF(AF97="DoEVni",IF(AND(V97&lt;20,W97&lt;55),0.3,0)+IF(AND(V97&lt;20,W97&gt;=55,W97&lt;105),0.23,0)+IF(AND(V97&lt;20,W97&gt;=105),0.17,0)+IF(AND(V97&gt;=20,V97&lt;40,W97&lt;45),0.3,0)+IF(AND(V97&gt;=20,V97&lt;40,W97&gt;=45,W97&lt;95),0.23,0)+IF(AND(V97&gt;=20,V97&lt;40,W97&gt;=95,W97&lt;=200),0.17,0)+IF(AND(V97&gt;=20,V97&lt;40,W97&gt;=200),0.12,0)+IF(AND(V97&gt;=40,V97&lt;75,W97&lt;35),0.3,0)+IF(AND(V97&gt;=40,V97&lt;75,W97&gt;=35,W97&lt;75),0.23,0)+IF(AND(V97&gt;=40,V97&lt;75,W97&gt;=75,W97&lt;120),0.17,0)+IF(AND(V97&gt;=40,V97&lt;75,W97&gt;=120),0.12,0)+IF(AND(V97&gt;=75,V97&lt;175,W97&lt;35),0.3,0)+IF(AND(V97&gt;=75,V97&lt;=175,W97&gt;=35,W97&lt;65),0.23,0)+IF(AND(V97&gt;=75,V97&lt;=175,W97&gt;=65,W97&lt;110),0.17,0)+IF(AND(V97&gt;=75,V97&lt;=175,W97&gt;=110),0.12,0)+IF(AND(V97&gt;175,W97&lt;25),0.3,0)+IF(AND(V97&gt;175,W97&gt;=25,W97&lt;55),0.23,0)+IF(AND(V97&gt;175,W97&gt;=55,W97&lt;95),0.17,0)+IF(AND(V97&gt;175,W97&gt;=95),0.12,0),
IF(AF97="DoEVLo",IF(AND(V97&lt;20,W97&lt;55),0.25,0)+IF(AND(V97&lt;20,W97&gt;=55,W97&lt;105),0.2,0)+IF(AND(V97&lt;20,W97&gt;=105),0.15,0)+IF(AND(V97&gt;=20,V97&lt;40,W97&lt;45),0.25,0)+IF(AND(V97&gt;=20,V97&lt;40,W97&gt;=45,W97&lt;95),0.2,0)+IF(AND(V97&gt;=20,V97&lt;40,W97&gt;=95),0.15,0)+IF(AND(V97&gt;=40,V97&lt;75,W97&lt;35),0.25,0)+IF(AND(V97&gt;=40,V97&lt;75,W97&gt;=35,W97&lt;75),0.2,0)+IF(AND(V97&gt;=40,V97&lt;75,W97&gt;=75,W97&lt;120),0.15,0)+IF(AND(V97&gt;=40,V97&lt;75,W97&gt;=120),0.1,0)+IF(AND(V97&gt;=75,V97&lt;175,W97&lt;35),0.25,0)+IF(AND(V97&gt;=75,V97&lt;=175,W97&gt;=35,W97&lt;65),0.2,0)+IF(AND(V97&gt;=75,V97&lt;=175,W97&gt;=65,W97&lt;110),0.15,0)+IF(AND(V97&gt;=75,V97&lt;=175,W97&gt;=110),0.1,0)+IF(AND(V97&gt;175,W97&lt;25),0.25,0)+IF(AND(V97&gt;175,W97&gt;=25,W97&lt;55),0.2,0)+IF(AND(V97&gt;175,W97&gt;=55,W97&lt;95),0.15,0)+IF(AND(V97&gt;175,W97&gt;=95),0.1,0))))))))))))))))</f>
        <v>0.15</v>
      </c>
      <c r="Y97" s="30">
        <f>IF(AG97="None",0,IF(AG97="Fix5",0.05,IF(AG97="Fix3.75",0.0375,IF(AG97="Fix10",0.1,IF(AG97="Fix3",0.03,0)))))</f>
        <v>0.05</v>
      </c>
      <c r="Z97" s="35">
        <f>T97-AA97-AB97</f>
        <v>258.40000000000003</v>
      </c>
      <c r="AA97" s="29">
        <f>IF(AD97="EUR",((T97-R97)*X97)*U97+(R97*X97),(T97*X97))</f>
        <v>48.449999999999996</v>
      </c>
      <c r="AB97" s="36">
        <f>IF(AD97="EUR",((T97-R97)*Y97)*U97+(R97*Y97),(T97*Y97))</f>
        <v>16.150000000000002</v>
      </c>
      <c r="AC97" s="37" t="b">
        <v>1</v>
      </c>
      <c r="AD97" s="37" t="s">
        <v>38</v>
      </c>
      <c r="AE97" s="37" t="s">
        <v>38</v>
      </c>
      <c r="AF97" s="37" t="str">
        <f t="array" ref="AF97">INDEX('Deal Info'!D:D, MATCH(A97,'Deal Info'!A:A, 0))</f>
        <v>Fix15</v>
      </c>
      <c r="AG97" s="38" t="str">
        <f t="array" ref="AG97">INDEX('Deal Info'!G:G, MATCH(A97,'Deal Info'!A:A, 0))</f>
        <v>Fix5</v>
      </c>
    </row>
    <row r="98" spans="1:33" ht="14.25" hidden="1" x14ac:dyDescent="0.2">
      <c r="A98" s="18" t="str">
        <f t="array" ref="A98">IF(G98='Room Info'!$B$1, INDEX('Room Info'!$A$2:$A2446, MATCH(B98,'Room Info'!$B$2:$B2446, 0)),IF(G98='Room Info'!$C$1, INDEX('Room Info'!$A$2:$A2446, MATCH(B98,'Room Info'!$C$2:$C2446, 0)),IF(G98='Room Info'!$D$1, INDEX('Room Info'!$A$2:$A2446, MATCH(B98,'Room Info'!$D$2:$D2446, 0)),IF(G98='Room Info'!$E$1, INDEX('Room Info'!$A$2:$A2446, MATCH(B98,'Room Info'!$E$2:$E2446, 0)),IF(G98='Room Info'!$F$1, INDEX('Room Info'!$A$2:$A2446, MATCH(B98,'Room Info'!$F$2:$F2446, 0)),IF(G98='Room Info'!$H$1, INDEX('Room Info'!$A$2:$A2446, MATCH(B98,'Room Info'!$H$2:$H2446, 0)),IF(G98='Room Info'!$G$1, INDEX('Room Info'!$A$2:$A2446, MATCH(B98,'Room Info'!$G$2:$G2446, 0)))))))))</f>
        <v>AlexanderDSL</v>
      </c>
      <c r="B98" s="54" t="s">
        <v>82</v>
      </c>
      <c r="C98" s="68">
        <v>44368</v>
      </c>
      <c r="D98" s="68">
        <v>44397</v>
      </c>
      <c r="E98" s="47">
        <v>44378</v>
      </c>
      <c r="F98" s="45" t="s">
        <v>34</v>
      </c>
      <c r="G98" s="54" t="s">
        <v>35</v>
      </c>
      <c r="H98" s="49" t="s">
        <v>72</v>
      </c>
      <c r="I98" s="49" t="s">
        <v>37</v>
      </c>
      <c r="J98" s="50">
        <v>50</v>
      </c>
      <c r="K98" s="51">
        <v>1901</v>
      </c>
      <c r="L98" s="52">
        <v>-1250</v>
      </c>
      <c r="M98" s="53">
        <v>174</v>
      </c>
      <c r="N98" s="28">
        <f>K98*J98</f>
        <v>95050</v>
      </c>
      <c r="O98" s="54">
        <v>52670</v>
      </c>
      <c r="P98" s="29">
        <v>27.706470280000001</v>
      </c>
      <c r="Q98" s="55"/>
      <c r="R98" s="31">
        <f>M98+Q98</f>
        <v>174</v>
      </c>
      <c r="S98" s="56">
        <v>-1022</v>
      </c>
      <c r="T98" s="32">
        <f>R98+S98+IF(F98="Without EV deal",L98,0)</f>
        <v>-848</v>
      </c>
      <c r="U98" s="33">
        <v>1</v>
      </c>
      <c r="V98" s="58"/>
      <c r="W98" s="58"/>
      <c r="X98" s="30">
        <f>IF(AF98="DoEV",IF(AND(V98&lt;20,W98&lt;55),0.3,0)+IF(AND(V98&lt;20,W98&gt;=55,W98&lt;105),0.23,0)+IF(AND(V98&lt;20,W98&gt;=105),0.17,0)+IF(AND(V98&gt;=20,V98&lt;40,W98&lt;45),0.3,0)+IF(AND(V98&gt;=20,V98&lt;40,W98&gt;=45,W98&lt;95),0.23,0)+IF(AND(V98&gt;=20,V98&lt;40,W98&gt;=95),0.17,0)+IF(AND(V98&gt;=40,V98&lt;75,W98&lt;35),0.3,0)+IF(AND(V98&gt;=40,V98&lt;75,W98&gt;=35,W98&lt;75),0.23,0)+IF(AND(V98&gt;=40,V98&lt;75,W98&gt;=75,W98&lt;120),0.17,0)+IF(AND(V98&gt;=40,V98&lt;75,W98&gt;=120),0.12,0)+IF(AND(V98&gt;=75,V98&lt;175,W98&lt;35),0.3,0)+IF(AND(V98&gt;=75,V98&lt;=175,W98&gt;=35,W98&lt;65),0.23,0)+IF(AND(V98&gt;=75,V98&lt;=175,W98&gt;=65,W98&lt;110),0.17,0)+IF(AND(V98&gt;=75,V98&lt;=175,W98&gt;=110),0.12,0)+IF(AND(V98&gt;175,W98&lt;25),0.3,0)+IF(AND(V98&gt;175,W98&gt;=25,W98&lt;55),0.23,0)+IF(AND(V98&gt;175,W98&gt;=55,W98&lt;95),0.17,0)+IF(AND(V98&gt;175,W98&gt;=95),0.12,0),
IF(AF98="Fix15",0.15,
IF(AF98="Fix11.25",0.1125,
IF(AF98="Fix10",0.1,
IF(AF98="Fix9",0.09,
IF(AF98="DoEV2017",IF(AND(W98&lt;74),0.2,0)+IF(AND(W98&gt;=74),0.17,0),
IF(AF98="SF",IF(AND(V98&lt;20,W98&lt;89),0.3,0)+IF(AND(V98&lt;20,W98&gt;=89),0.25,0)+IF(AND(V98&gt;=20,V98&lt;40,W98&lt;74),0.3,0)+IF(AND(V98&gt;=20,V98&lt;40,W98&gt;=75),0.22,0)+IF(AND(V98&gt;=40,V98&lt;75,W98&lt;75),0.26,0)+IF(AND(V98&gt;=40,V98&lt;75,W98&gt;=75),0.22,0)+IF(V98&gt;=75,0.22,0),
IF(AF98="DoEVold",IF(AND(V98&lt;40,W98&lt;35),0.35,0)+IF(AND(V98&lt;40,W98&gt;=35,W98&lt;75),0.25,0)+IF(AND(V98&lt;40,W98&gt;=75),0.17,0)+IF(AND(V98&gt;=40,V98&lt;75,W98&lt;25),0.35,0)+IF(AND(V98&gt;=40,V98&lt;75,W98&gt;=25,W98&lt;65),0.25,0)+IF(AND(V98&gt;=40,V98&lt;75,W98&gt;=65,W98&lt;100),0.17,0)+IF(AND(V98&gt;=40,V98&lt;75,W98&gt;=100),0.1,0)+IF(AND(V98&gt;=75,W98&lt;25),0.35,0)+IF(AND(V98&gt;=75,W98&gt;=25,W98&lt;60),0.25,0)+IF(AND(V98&gt;=75,W98&gt;=60,W98&lt;95),0.17,0)+IF(AND(V98&gt;=75,W98&gt;=95),0.1,0),
IF(AF98="DoEVold15",IF(AND(V98&lt;=40,W98&lt;35),0.35,0)+IF(AND(V98&lt;=40,W98&gt;=35,W98&lt;75),0.25,0)+IF(AND(V98&lt;=40,W98&gt;=75,W98&lt;120),0.17,0)+IF(AND(V98&lt;=40,W98&gt;=120),0.15,0)+IF(AND(V98&gt;40,V98&lt;75,W98&lt;25),0.35,0)+IF(AND(V98&gt;=40,V98&lt;75,W98&gt;=25,W98&lt;65),0.25,0)+IF(AND(V98&gt;=40,V98&lt;75,W98&gt;=65,W98&lt;100),0.17,0)+IF(AND(V98&gt;=40,V98&lt;75,W98&gt;=100),0.1,0)+IF(AND(V98&gt;=75,W98&lt;25),0.35,0)+IF(AND(V98&gt;=75,W98&gt;=25,W98&lt;60),0.25,0)+IF(AND(V98&gt;=75,W98&gt;=60,W98&lt;95),0.17,0)+IF(AND(V98&gt;=75,W98&gt;=95),0.1,0),
IF(AF98="DoEVba",IF(AND(V98&lt;20,W98&lt;105),0.2,0)+IF(AND(V98&lt;20,W98&gt;=105),0.15,0)+IF(AND(V98&gt;=20,V98&lt;40,W98&lt;95),0.2,0)+IF(AND(V98&gt;=20,V98&lt;40,W98&gt;=95,W98&lt;150),0.15,0)+IF(AND(V98&gt;=20,V98&lt;40,W98&gt;=150),0.12,0)+IF(AND(V98&gt;=40,V98&lt;75,W98&lt;75),0.2,0)+IF(AND(V98&gt;=40,V98&lt;75,W98&gt;=75,W98&lt;120),0.15,0)+IF(AND(V98&gt;=40,V98&lt;75,W98&gt;=120),0.12,0)+IF(AND(V98&gt;=75,V98&lt;175,W98&lt;65),0.2,0)+IF(AND(V98&gt;=75,V98&lt;175,W98&gt;=65,W98&lt;110),0.15,0)+IF(AND(V98&gt;=75,V98&lt;175,W98&gt;=110),0.12,0)+IF(AND(V98&gt;=175,W98&lt;55),0.2,0)+IF(AND(V98&gt;=175,W98&gt;=55,W98&lt;95),0.15,0)+IF(AND(V98&gt;=175,W98&gt;=95),0.12,0),
IF(AF98="DoEVku",IF(AND(V98&lt;20,W98&lt;55),0.23,0)+IF(AND(V98&lt;20,W98&gt;=55,W98&lt;105),0.2,0)+IF(AND(V98&lt;20,W98&gt;=105),0.17,0)+IF(AND(V98&gt;=20,V98&lt;40,W98&lt;45),0.23,0)+IF(AND(V98&gt;=20,V98&lt;40,W98&gt;=45,W98&lt;95),0.2,0)+IF(AND(V98&gt;=20,V98&lt;40,W98&gt;=95,W98&lt;=150),0.17,0)+IF(AND(V98&gt;=20,V98&lt;40,W98&gt;=150),0.12,0)+IF(AND(V98&gt;=40,V98&lt;75,W98&lt;35),0.23,0)+IF(AND(V98&gt;=40,V98&lt;75,W98&gt;=35,W98&lt;75),0.2,0)+IF(AND(V98&gt;=40,V98&lt;75,W98&gt;=75,W98&lt;120),0.17,0)+IF(AND(V98&gt;=40,V98&lt;75,W98&gt;=120),0.12,0)+IF(AND(V98&gt;=75,V98&lt;175,W98&lt;35),0.23,0)+IF(AND(V98&gt;=75,V98&lt;=175,W98&gt;=35,W98&lt;65),0.2,0)+IF(AND(V98&gt;=75,V98&lt;=175,W98&gt;=65,W98&lt;110),0.17,0)+IF(AND(V98&gt;=75,V98&lt;=175,W98&gt;=110),0.12,0)+IF(AND(V98&gt;175,W98&lt;25),0.23,0)+IF(AND(V98&gt;175,W98&gt;=25,W98&lt;55),0.2,0)+IF(AND(V98&gt;175,W98&gt;=55,W98&lt;95),0.17,0)+IF(AND(V98&gt;175,W98&gt;=95),0.12,0),
IF(AF98="DoEVs1",IF(AND(V98&lt;20,W98&lt;55),0.3,0)+IF(AND(V98&lt;20,W98&gt;=55,W98&lt;105),0.23,0)+IF(AND(V98&lt;20,W98&gt;=105),0.17,0)+IF(AND(V98&gt;=20,V98&lt;40,W98&lt;45),0.3,0)+IF(AND(V98&gt;=20,V98&lt;40,W98&gt;=45,W98&lt;95),0.23,0)+IF(AND(V98&gt;=20,V98&lt;40,W98&gt;=95,W98&lt;=150),0.17,0)+IF(AND(V98&gt;=20,V98&lt;40,W98&gt;=150),0.12,0)+IF(AND(V98&gt;=40,V98&lt;75,W98&lt;35),0.3,0)+IF(AND(V98&gt;=40,V98&lt;75,W98&gt;=35,W98&lt;75),0.23,0)+IF(AND(V98&gt;=40,V98&lt;75,W98&gt;=75,W98&lt;120),0.17,0)+IF(AND(V98&gt;=40,V98&lt;75,W98&gt;=120),0.12,0)+IF(AND(V98&gt;=75,V98&lt;175,W98&lt;35),0.3,0)+IF(AND(V98&gt;=75,V98&lt;=175,W98&gt;=35,W98&lt;65),0.23,0)+IF(AND(V98&gt;=75,V98&lt;=175,W98&gt;=65,W98&lt;110),0.17,0)+IF(AND(V98&gt;=75,V98&lt;=175,W98&gt;=110),0.12,0)+IF(AND(V98&gt;175,W98&lt;25),0.3,0)+IF(AND(V98&gt;175,W98&gt;=25,W98&lt;55),0.23,0)+IF(AND(V98&gt;175,W98&gt;=55,W98&lt;95),0.17,0)+IF(AND(V98&gt;175,W98&gt;=95),0.12,0),
IF(AF98="DoEVsu",IF(AND(V98&lt;20,W98&lt;55),0.3,0)+IF(AND(V98&lt;20,W98&gt;=55,W98&lt;105),0.23,0)+IF(AND(V98&lt;20,W98&gt;=105),0.17,0)+IF(AND(V98&gt;=20,V98&lt;40,W98&lt;45),0.3,0)+IF(AND(V98&gt;=20,V98&lt;40,W98&gt;=45,W98&lt;95),0.23,0)+IF(AND(V98&gt;=20,V98&lt;40,W98&gt;=95,W98&lt;=250),0.17,0)+IF(AND(V98&gt;=20,V98&lt;40,W98&gt;=250),0.12,0)+IF(AND(V98&gt;=40,V98&lt;75,W98&lt;35),0.3,0)+IF(AND(V98&gt;=40,V98&lt;75,W98&gt;=35,W98&lt;75),0.23,0)+IF(AND(V98&gt;=40,V98&lt;75,W98&gt;=75,W98&lt;120),0.17,0)+IF(AND(V98&gt;=40,V98&lt;75,W98&gt;=120),0.12,0)+IF(AND(V98&gt;=75,V98&lt;175,W98&lt;35),0.3,0)+IF(AND(V98&gt;=75,V98&lt;=175,W98&gt;=35,W98&lt;65),0.23,0)+IF(AND(V98&gt;=75,V98&lt;=175,W98&gt;=65,W98&lt;110),0.17,0)+IF(AND(V98&gt;=75,V98&lt;=175,W98&gt;=110),0.12,0)+IF(AND(V98&gt;175,W98&lt;25),0.3,0)+IF(AND(V98&gt;175,W98&gt;=25,W98&lt;55),0.23,0)+IF(AND(V98&gt;175,W98&gt;=55,W98&lt;95),0.17,0)+IF(AND(V98&gt;175,W98&gt;=95),0.12,0),
IF(AF98="DoEVni",IF(AND(V98&lt;20,W98&lt;55),0.3,0)+IF(AND(V98&lt;20,W98&gt;=55,W98&lt;105),0.23,0)+IF(AND(V98&lt;20,W98&gt;=105),0.17,0)+IF(AND(V98&gt;=20,V98&lt;40,W98&lt;45),0.3,0)+IF(AND(V98&gt;=20,V98&lt;40,W98&gt;=45,W98&lt;95),0.23,0)+IF(AND(V98&gt;=20,V98&lt;40,W98&gt;=95,W98&lt;=200),0.17,0)+IF(AND(V98&gt;=20,V98&lt;40,W98&gt;=200),0.12,0)+IF(AND(V98&gt;=40,V98&lt;75,W98&lt;35),0.3,0)+IF(AND(V98&gt;=40,V98&lt;75,W98&gt;=35,W98&lt;75),0.23,0)+IF(AND(V98&gt;=40,V98&lt;75,W98&gt;=75,W98&lt;120),0.17,0)+IF(AND(V98&gt;=40,V98&lt;75,W98&gt;=120),0.12,0)+IF(AND(V98&gt;=75,V98&lt;175,W98&lt;35),0.3,0)+IF(AND(V98&gt;=75,V98&lt;=175,W98&gt;=35,W98&lt;65),0.23,0)+IF(AND(V98&gt;=75,V98&lt;=175,W98&gt;=65,W98&lt;110),0.17,0)+IF(AND(V98&gt;=75,V98&lt;=175,W98&gt;=110),0.12,0)+IF(AND(V98&gt;175,W98&lt;25),0.3,0)+IF(AND(V98&gt;175,W98&gt;=25,W98&lt;55),0.23,0)+IF(AND(V98&gt;175,W98&gt;=55,W98&lt;95),0.17,0)+IF(AND(V98&gt;175,W98&gt;=95),0.12,0),
IF(AF98="DoEVLo",IF(AND(V98&lt;20,W98&lt;55),0.25,0)+IF(AND(V98&lt;20,W98&gt;=55,W98&lt;105),0.2,0)+IF(AND(V98&lt;20,W98&gt;=105),0.15,0)+IF(AND(V98&gt;=20,V98&lt;40,W98&lt;45),0.25,0)+IF(AND(V98&gt;=20,V98&lt;40,W98&gt;=45,W98&lt;95),0.2,0)+IF(AND(V98&gt;=20,V98&lt;40,W98&gt;=95),0.15,0)+IF(AND(V98&gt;=40,V98&lt;75,W98&lt;35),0.25,0)+IF(AND(V98&gt;=40,V98&lt;75,W98&gt;=35,W98&lt;75),0.2,0)+IF(AND(V98&gt;=40,V98&lt;75,W98&gt;=75,W98&lt;120),0.15,0)+IF(AND(V98&gt;=40,V98&lt;75,W98&gt;=120),0.1,0)+IF(AND(V98&gt;=75,V98&lt;175,W98&lt;35),0.25,0)+IF(AND(V98&gt;=75,V98&lt;=175,W98&gt;=35,W98&lt;65),0.2,0)+IF(AND(V98&gt;=75,V98&lt;=175,W98&gt;=65,W98&lt;110),0.15,0)+IF(AND(V98&gt;=75,V98&lt;=175,W98&gt;=110),0.1,0)+IF(AND(V98&gt;175,W98&lt;25),0.25,0)+IF(AND(V98&gt;175,W98&gt;=25,W98&lt;55),0.2,0)+IF(AND(V98&gt;175,W98&gt;=55,W98&lt;95),0.15,0)+IF(AND(V98&gt;175,W98&gt;=95),0.1,0))))))))))))))))</f>
        <v>0.15</v>
      </c>
      <c r="Y98" s="30">
        <f>IF(AG98="None",0,IF(AG98="Fix5",0.05,IF(AG98="Fix3.75",0.0375,IF(AG98="Fix10",0.1,IF(AG98="Fix3",0.03,0)))))</f>
        <v>0.05</v>
      </c>
      <c r="Z98" s="35">
        <f>T98-AA98-AB98</f>
        <v>-678.4</v>
      </c>
      <c r="AA98" s="29">
        <f>IF(AD98="EUR",((T98-R98)*X98)*U98+(R98*X98),(T98*X98))</f>
        <v>-127.19999999999999</v>
      </c>
      <c r="AB98" s="36">
        <f>IF(AD98="EUR",((T98-R98)*Y98)*U98+(R98*Y98),(T98*Y98))</f>
        <v>-42.400000000000006</v>
      </c>
      <c r="AC98" s="37" t="b">
        <v>1</v>
      </c>
      <c r="AD98" s="37" t="s">
        <v>38</v>
      </c>
      <c r="AE98" s="37" t="s">
        <v>38</v>
      </c>
      <c r="AF98" s="37" t="str">
        <f t="array" ref="AF98">INDEX('Deal Info'!D:D, MATCH(A98,'Deal Info'!A:A, 0))</f>
        <v>Fix15</v>
      </c>
      <c r="AG98" s="38" t="str">
        <f t="array" ref="AG98">INDEX('Deal Info'!G:G, MATCH(A98,'Deal Info'!A:A, 0))</f>
        <v>Fix5</v>
      </c>
    </row>
    <row r="99" spans="1:33" ht="14.25" hidden="1" x14ac:dyDescent="0.2">
      <c r="A99" s="18" t="str">
        <f t="array" ref="A99">IF(G99='Room Info'!$B$1, INDEX('Room Info'!$A$2:$A2446, MATCH(B99,'Room Info'!$B$2:$B2446, 0)),IF(G99='Room Info'!$C$1, INDEX('Room Info'!$A$2:$A2446, MATCH(B99,'Room Info'!$C$2:$C2446, 0)),IF(G99='Room Info'!$D$1, INDEX('Room Info'!$A$2:$A2446, MATCH(B99,'Room Info'!$D$2:$D2446, 0)),IF(G99='Room Info'!$E$1, INDEX('Room Info'!$A$2:$A2446, MATCH(B99,'Room Info'!$E$2:$E2446, 0)),IF(G99='Room Info'!$F$1, INDEX('Room Info'!$A$2:$A2446, MATCH(B99,'Room Info'!$F$2:$F2446, 0)),IF(G99='Room Info'!$H$1, INDEX('Room Info'!$A$2:$A2446, MATCH(B99,'Room Info'!$H$2:$H2446, 0)),IF(G99='Room Info'!$G$1, INDEX('Room Info'!$A$2:$A2446, MATCH(B99,'Room Info'!$G$2:$G2446, 0)))))))))</f>
        <v>AlexanderDSL</v>
      </c>
      <c r="B99" s="54" t="s">
        <v>82</v>
      </c>
      <c r="C99" s="46">
        <v>44368</v>
      </c>
      <c r="D99" s="68">
        <v>44397</v>
      </c>
      <c r="E99" s="47">
        <v>44378</v>
      </c>
      <c r="F99" s="45" t="s">
        <v>41</v>
      </c>
      <c r="G99" s="54" t="s">
        <v>35</v>
      </c>
      <c r="H99" s="49" t="s">
        <v>87</v>
      </c>
      <c r="I99" s="49" t="s">
        <v>44</v>
      </c>
      <c r="J99" s="50">
        <v>25</v>
      </c>
      <c r="K99" s="51">
        <v>1</v>
      </c>
      <c r="L99" s="52">
        <v>50</v>
      </c>
      <c r="M99" s="62"/>
      <c r="N99" s="28">
        <f>K99*J99</f>
        <v>25</v>
      </c>
      <c r="O99" s="65"/>
      <c r="P99" s="29">
        <v>0</v>
      </c>
      <c r="Q99" s="55"/>
      <c r="R99" s="31">
        <f>M99+Q99</f>
        <v>0</v>
      </c>
      <c r="S99" s="66"/>
      <c r="T99" s="32">
        <f>R99+S99+IF(F99="Without EV deal",L99,0)</f>
        <v>50</v>
      </c>
      <c r="U99" s="33">
        <v>1</v>
      </c>
      <c r="V99" s="58"/>
      <c r="W99" s="58"/>
      <c r="X99" s="30">
        <f>IF(AF99="DoEV",IF(AND(V99&lt;20,W99&lt;55),0.3,0)+IF(AND(V99&lt;20,W99&gt;=55,W99&lt;105),0.23,0)+IF(AND(V99&lt;20,W99&gt;=105),0.17,0)+IF(AND(V99&gt;=20,V99&lt;40,W99&lt;45),0.3,0)+IF(AND(V99&gt;=20,V99&lt;40,W99&gt;=45,W99&lt;95),0.23,0)+IF(AND(V99&gt;=20,V99&lt;40,W99&gt;=95),0.17,0)+IF(AND(V99&gt;=40,V99&lt;75,W99&lt;35),0.3,0)+IF(AND(V99&gt;=40,V99&lt;75,W99&gt;=35,W99&lt;75),0.23,0)+IF(AND(V99&gt;=40,V99&lt;75,W99&gt;=75,W99&lt;120),0.17,0)+IF(AND(V99&gt;=40,V99&lt;75,W99&gt;=120),0.12,0)+IF(AND(V99&gt;=75,V99&lt;175,W99&lt;35),0.3,0)+IF(AND(V99&gt;=75,V99&lt;=175,W99&gt;=35,W99&lt;65),0.23,0)+IF(AND(V99&gt;=75,V99&lt;=175,W99&gt;=65,W99&lt;110),0.17,0)+IF(AND(V99&gt;=75,V99&lt;=175,W99&gt;=110),0.12,0)+IF(AND(V99&gt;175,W99&lt;25),0.3,0)+IF(AND(V99&gt;175,W99&gt;=25,W99&lt;55),0.23,0)+IF(AND(V99&gt;175,W99&gt;=55,W99&lt;95),0.17,0)+IF(AND(V99&gt;175,W99&gt;=95),0.12,0),
IF(AF99="Fix15",0.15,
IF(AF99="Fix11.25",0.1125,
IF(AF99="Fix10",0.1,
IF(AF99="Fix9",0.09,
IF(AF99="DoEV2017",IF(AND(W99&lt;74),0.2,0)+IF(AND(W99&gt;=74),0.17,0),
IF(AF99="SF",IF(AND(V99&lt;20,W99&lt;89),0.3,0)+IF(AND(V99&lt;20,W99&gt;=89),0.25,0)+IF(AND(V99&gt;=20,V99&lt;40,W99&lt;74),0.3,0)+IF(AND(V99&gt;=20,V99&lt;40,W99&gt;=75),0.22,0)+IF(AND(V99&gt;=40,V99&lt;75,W99&lt;75),0.26,0)+IF(AND(V99&gt;=40,V99&lt;75,W99&gt;=75),0.22,0)+IF(V99&gt;=75,0.22,0),
IF(AF99="DoEVold",IF(AND(V99&lt;40,W99&lt;35),0.35,0)+IF(AND(V99&lt;40,W99&gt;=35,W99&lt;75),0.25,0)+IF(AND(V99&lt;40,W99&gt;=75),0.17,0)+IF(AND(V99&gt;=40,V99&lt;75,W99&lt;25),0.35,0)+IF(AND(V99&gt;=40,V99&lt;75,W99&gt;=25,W99&lt;65),0.25,0)+IF(AND(V99&gt;=40,V99&lt;75,W99&gt;=65,W99&lt;100),0.17,0)+IF(AND(V99&gt;=40,V99&lt;75,W99&gt;=100),0.1,0)+IF(AND(V99&gt;=75,W99&lt;25),0.35,0)+IF(AND(V99&gt;=75,W99&gt;=25,W99&lt;60),0.25,0)+IF(AND(V99&gt;=75,W99&gt;=60,W99&lt;95),0.17,0)+IF(AND(V99&gt;=75,W99&gt;=95),0.1,0),
IF(AF99="DoEVold15",IF(AND(V99&lt;=40,W99&lt;35),0.35,0)+IF(AND(V99&lt;=40,W99&gt;=35,W99&lt;75),0.25,0)+IF(AND(V99&lt;=40,W99&gt;=75,W99&lt;120),0.17,0)+IF(AND(V99&lt;=40,W99&gt;=120),0.15,0)+IF(AND(V99&gt;40,V99&lt;75,W99&lt;25),0.35,0)+IF(AND(V99&gt;=40,V99&lt;75,W99&gt;=25,W99&lt;65),0.25,0)+IF(AND(V99&gt;=40,V99&lt;75,W99&gt;=65,W99&lt;100),0.17,0)+IF(AND(V99&gt;=40,V99&lt;75,W99&gt;=100),0.1,0)+IF(AND(V99&gt;=75,W99&lt;25),0.35,0)+IF(AND(V99&gt;=75,W99&gt;=25,W99&lt;60),0.25,0)+IF(AND(V99&gt;=75,W99&gt;=60,W99&lt;95),0.17,0)+IF(AND(V99&gt;=75,W99&gt;=95),0.1,0),
IF(AF99="DoEVba",IF(AND(V99&lt;20,W99&lt;105),0.2,0)+IF(AND(V99&lt;20,W99&gt;=105),0.15,0)+IF(AND(V99&gt;=20,V99&lt;40,W99&lt;95),0.2,0)+IF(AND(V99&gt;=20,V99&lt;40,W99&gt;=95,W99&lt;150),0.15,0)+IF(AND(V99&gt;=20,V99&lt;40,W99&gt;=150),0.12,0)+IF(AND(V99&gt;=40,V99&lt;75,W99&lt;75),0.2,0)+IF(AND(V99&gt;=40,V99&lt;75,W99&gt;=75,W99&lt;120),0.15,0)+IF(AND(V99&gt;=40,V99&lt;75,W99&gt;=120),0.12,0)+IF(AND(V99&gt;=75,V99&lt;175,W99&lt;65),0.2,0)+IF(AND(V99&gt;=75,V99&lt;175,W99&gt;=65,W99&lt;110),0.15,0)+IF(AND(V99&gt;=75,V99&lt;175,W99&gt;=110),0.12,0)+IF(AND(V99&gt;=175,W99&lt;55),0.2,0)+IF(AND(V99&gt;=175,W99&gt;=55,W99&lt;95),0.15,0)+IF(AND(V99&gt;=175,W99&gt;=95),0.12,0),
IF(AF99="DoEVku",IF(AND(V99&lt;20,W99&lt;55),0.23,0)+IF(AND(V99&lt;20,W99&gt;=55,W99&lt;105),0.2,0)+IF(AND(V99&lt;20,W99&gt;=105),0.17,0)+IF(AND(V99&gt;=20,V99&lt;40,W99&lt;45),0.23,0)+IF(AND(V99&gt;=20,V99&lt;40,W99&gt;=45,W99&lt;95),0.2,0)+IF(AND(V99&gt;=20,V99&lt;40,W99&gt;=95,W99&lt;=150),0.17,0)+IF(AND(V99&gt;=20,V99&lt;40,W99&gt;=150),0.12,0)+IF(AND(V99&gt;=40,V99&lt;75,W99&lt;35),0.23,0)+IF(AND(V99&gt;=40,V99&lt;75,W99&gt;=35,W99&lt;75),0.2,0)+IF(AND(V99&gt;=40,V99&lt;75,W99&gt;=75,W99&lt;120),0.17,0)+IF(AND(V99&gt;=40,V99&lt;75,W99&gt;=120),0.12,0)+IF(AND(V99&gt;=75,V99&lt;175,W99&lt;35),0.23,0)+IF(AND(V99&gt;=75,V99&lt;=175,W99&gt;=35,W99&lt;65),0.2,0)+IF(AND(V99&gt;=75,V99&lt;=175,W99&gt;=65,W99&lt;110),0.17,0)+IF(AND(V99&gt;=75,V99&lt;=175,W99&gt;=110),0.12,0)+IF(AND(V99&gt;175,W99&lt;25),0.23,0)+IF(AND(V99&gt;175,W99&gt;=25,W99&lt;55),0.2,0)+IF(AND(V99&gt;175,W99&gt;=55,W99&lt;95),0.17,0)+IF(AND(V99&gt;175,W99&gt;=95),0.12,0),
IF(AF99="DoEVs1",IF(AND(V99&lt;20,W99&lt;55),0.3,0)+IF(AND(V99&lt;20,W99&gt;=55,W99&lt;105),0.23,0)+IF(AND(V99&lt;20,W99&gt;=105),0.17,0)+IF(AND(V99&gt;=20,V99&lt;40,W99&lt;45),0.3,0)+IF(AND(V99&gt;=20,V99&lt;40,W99&gt;=45,W99&lt;95),0.23,0)+IF(AND(V99&gt;=20,V99&lt;40,W99&gt;=95,W99&lt;=150),0.17,0)+IF(AND(V99&gt;=20,V99&lt;40,W99&gt;=150),0.12,0)+IF(AND(V99&gt;=40,V99&lt;75,W99&lt;35),0.3,0)+IF(AND(V99&gt;=40,V99&lt;75,W99&gt;=35,W99&lt;75),0.23,0)+IF(AND(V99&gt;=40,V99&lt;75,W99&gt;=75,W99&lt;120),0.17,0)+IF(AND(V99&gt;=40,V99&lt;75,W99&gt;=120),0.12,0)+IF(AND(V99&gt;=75,V99&lt;175,W99&lt;35),0.3,0)+IF(AND(V99&gt;=75,V99&lt;=175,W99&gt;=35,W99&lt;65),0.23,0)+IF(AND(V99&gt;=75,V99&lt;=175,W99&gt;=65,W99&lt;110),0.17,0)+IF(AND(V99&gt;=75,V99&lt;=175,W99&gt;=110),0.12,0)+IF(AND(V99&gt;175,W99&lt;25),0.3,0)+IF(AND(V99&gt;175,W99&gt;=25,W99&lt;55),0.23,0)+IF(AND(V99&gt;175,W99&gt;=55,W99&lt;95),0.17,0)+IF(AND(V99&gt;175,W99&gt;=95),0.12,0),
IF(AF99="DoEVsu",IF(AND(V99&lt;20,W99&lt;55),0.3,0)+IF(AND(V99&lt;20,W99&gt;=55,W99&lt;105),0.23,0)+IF(AND(V99&lt;20,W99&gt;=105),0.17,0)+IF(AND(V99&gt;=20,V99&lt;40,W99&lt;45),0.3,0)+IF(AND(V99&gt;=20,V99&lt;40,W99&gt;=45,W99&lt;95),0.23,0)+IF(AND(V99&gt;=20,V99&lt;40,W99&gt;=95,W99&lt;=250),0.17,0)+IF(AND(V99&gt;=20,V99&lt;40,W99&gt;=250),0.12,0)+IF(AND(V99&gt;=40,V99&lt;75,W99&lt;35),0.3,0)+IF(AND(V99&gt;=40,V99&lt;75,W99&gt;=35,W99&lt;75),0.23,0)+IF(AND(V99&gt;=40,V99&lt;75,W99&gt;=75,W99&lt;120),0.17,0)+IF(AND(V99&gt;=40,V99&lt;75,W99&gt;=120),0.12,0)+IF(AND(V99&gt;=75,V99&lt;175,W99&lt;35),0.3,0)+IF(AND(V99&gt;=75,V99&lt;=175,W99&gt;=35,W99&lt;65),0.23,0)+IF(AND(V99&gt;=75,V99&lt;=175,W99&gt;=65,W99&lt;110),0.17,0)+IF(AND(V99&gt;=75,V99&lt;=175,W99&gt;=110),0.12,0)+IF(AND(V99&gt;175,W99&lt;25),0.3,0)+IF(AND(V99&gt;175,W99&gt;=25,W99&lt;55),0.23,0)+IF(AND(V99&gt;175,W99&gt;=55,W99&lt;95),0.17,0)+IF(AND(V99&gt;175,W99&gt;=95),0.12,0),
IF(AF99="DoEVni",IF(AND(V99&lt;20,W99&lt;55),0.3,0)+IF(AND(V99&lt;20,W99&gt;=55,W99&lt;105),0.23,0)+IF(AND(V99&lt;20,W99&gt;=105),0.17,0)+IF(AND(V99&gt;=20,V99&lt;40,W99&lt;45),0.3,0)+IF(AND(V99&gt;=20,V99&lt;40,W99&gt;=45,W99&lt;95),0.23,0)+IF(AND(V99&gt;=20,V99&lt;40,W99&gt;=95,W99&lt;=200),0.17,0)+IF(AND(V99&gt;=20,V99&lt;40,W99&gt;=200),0.12,0)+IF(AND(V99&gt;=40,V99&lt;75,W99&lt;35),0.3,0)+IF(AND(V99&gt;=40,V99&lt;75,W99&gt;=35,W99&lt;75),0.23,0)+IF(AND(V99&gt;=40,V99&lt;75,W99&gt;=75,W99&lt;120),0.17,0)+IF(AND(V99&gt;=40,V99&lt;75,W99&gt;=120),0.12,0)+IF(AND(V99&gt;=75,V99&lt;175,W99&lt;35),0.3,0)+IF(AND(V99&gt;=75,V99&lt;=175,W99&gt;=35,W99&lt;65),0.23,0)+IF(AND(V99&gt;=75,V99&lt;=175,W99&gt;=65,W99&lt;110),0.17,0)+IF(AND(V99&gt;=75,V99&lt;=175,W99&gt;=110),0.12,0)+IF(AND(V99&gt;175,W99&lt;25),0.3,0)+IF(AND(V99&gt;175,W99&gt;=25,W99&lt;55),0.23,0)+IF(AND(V99&gt;175,W99&gt;=55,W99&lt;95),0.17,0)+IF(AND(V99&gt;175,W99&gt;=95),0.12,0),
IF(AF99="DoEVLo",IF(AND(V99&lt;20,W99&lt;55),0.25,0)+IF(AND(V99&lt;20,W99&gt;=55,W99&lt;105),0.2,0)+IF(AND(V99&lt;20,W99&gt;=105),0.15,0)+IF(AND(V99&gt;=20,V99&lt;40,W99&lt;45),0.25,0)+IF(AND(V99&gt;=20,V99&lt;40,W99&gt;=45,W99&lt;95),0.2,0)+IF(AND(V99&gt;=20,V99&lt;40,W99&gt;=95),0.15,0)+IF(AND(V99&gt;=40,V99&lt;75,W99&lt;35),0.25,0)+IF(AND(V99&gt;=40,V99&lt;75,W99&gt;=35,W99&lt;75),0.2,0)+IF(AND(V99&gt;=40,V99&lt;75,W99&gt;=75,W99&lt;120),0.15,0)+IF(AND(V99&gt;=40,V99&lt;75,W99&gt;=120),0.1,0)+IF(AND(V99&gt;=75,V99&lt;175,W99&lt;35),0.25,0)+IF(AND(V99&gt;=75,V99&lt;=175,W99&gt;=35,W99&lt;65),0.2,0)+IF(AND(V99&gt;=75,V99&lt;=175,W99&gt;=65,W99&lt;110),0.15,0)+IF(AND(V99&gt;=75,V99&lt;=175,W99&gt;=110),0.1,0)+IF(AND(V99&gt;175,W99&lt;25),0.25,0)+IF(AND(V99&gt;175,W99&gt;=25,W99&lt;55),0.2,0)+IF(AND(V99&gt;175,W99&gt;=55,W99&lt;95),0.15,0)+IF(AND(V99&gt;175,W99&gt;=95),0.1,0))))))))))))))))</f>
        <v>0.15</v>
      </c>
      <c r="Y99" s="30">
        <f>IF(AG99="None",0,IF(AG99="Fix5",0.05,IF(AG99="Fix3.75",0.0375,IF(AG99="Fix10",0.1,IF(AG99="Fix3",0.03,0)))))</f>
        <v>0.05</v>
      </c>
      <c r="Z99" s="35">
        <f>T99-AA99-AB99</f>
        <v>40</v>
      </c>
      <c r="AA99" s="29">
        <f>IF(AD99="EUR",((T99-R99)*X99)*U99+(R99*X99),(T99*X99))</f>
        <v>7.5</v>
      </c>
      <c r="AB99" s="36">
        <f>IF(AD99="EUR",((T99-R99)*Y99)*U99+(R99*Y99),(T99*Y99))</f>
        <v>2.5</v>
      </c>
      <c r="AC99" s="37" t="b">
        <v>1</v>
      </c>
      <c r="AD99" s="37" t="s">
        <v>38</v>
      </c>
      <c r="AE99" s="37" t="s">
        <v>38</v>
      </c>
      <c r="AF99" s="37" t="str">
        <f t="array" ref="AF99">INDEX('Deal Info'!D:D, MATCH(A99,'Deal Info'!A:A, 0))</f>
        <v>Fix15</v>
      </c>
      <c r="AG99" s="38" t="str">
        <f t="array" ref="AG99">INDEX('Deal Info'!G:G, MATCH(A99,'Deal Info'!A:A, 0))</f>
        <v>Fix5</v>
      </c>
    </row>
    <row r="100" spans="1:33" ht="14.25" hidden="1" x14ac:dyDescent="0.2">
      <c r="A100" s="18" t="str">
        <f t="array" ref="A100">IF(G100='Room Info'!$B$1, INDEX('Room Info'!$A$2:$A2446, MATCH(B100,'Room Info'!$B$2:$B2446, 0)),IF(G100='Room Info'!$C$1, INDEX('Room Info'!$A$2:$A2446, MATCH(B100,'Room Info'!$C$2:$C2446, 0)),IF(G100='Room Info'!$D$1, INDEX('Room Info'!$A$2:$A2446, MATCH(B100,'Room Info'!$D$2:$D2446, 0)),IF(G100='Room Info'!$E$1, INDEX('Room Info'!$A$2:$A2446, MATCH(B100,'Room Info'!$E$2:$E2446, 0)),IF(G100='Room Info'!$F$1, INDEX('Room Info'!$A$2:$A2446, MATCH(B100,'Room Info'!$F$2:$F2446, 0)),IF(G100='Room Info'!$H$1, INDEX('Room Info'!$A$2:$A2446, MATCH(B100,'Room Info'!$H$2:$H2446, 0)),IF(G100='Room Info'!$G$1, INDEX('Room Info'!$A$2:$A2446, MATCH(B100,'Room Info'!$G$2:$G2446, 0)))))))))</f>
        <v>AlexanderDSL</v>
      </c>
      <c r="B100" s="54" t="s">
        <v>82</v>
      </c>
      <c r="C100" s="46">
        <v>44398</v>
      </c>
      <c r="D100" s="46">
        <v>44428</v>
      </c>
      <c r="E100" s="47">
        <v>44409</v>
      </c>
      <c r="F100" s="45" t="s">
        <v>34</v>
      </c>
      <c r="G100" s="54" t="s">
        <v>35</v>
      </c>
      <c r="H100" s="49" t="s">
        <v>46</v>
      </c>
      <c r="I100" s="49" t="s">
        <v>37</v>
      </c>
      <c r="J100" s="50">
        <v>25</v>
      </c>
      <c r="K100" s="51">
        <v>1323</v>
      </c>
      <c r="L100" s="52">
        <v>875</v>
      </c>
      <c r="M100" s="53">
        <v>1105</v>
      </c>
      <c r="N100" s="28">
        <f>K100*J100</f>
        <v>33075</v>
      </c>
      <c r="O100" s="54">
        <v>67344</v>
      </c>
      <c r="P100" s="29">
        <v>50.902494330000003</v>
      </c>
      <c r="Q100" s="55"/>
      <c r="R100" s="31">
        <f>M100+Q100</f>
        <v>1105</v>
      </c>
      <c r="S100" s="56">
        <v>904</v>
      </c>
      <c r="T100" s="32">
        <f>R100+S100+IF(F100="Without EV deal",L100,0)</f>
        <v>2009</v>
      </c>
      <c r="U100" s="33">
        <v>1</v>
      </c>
      <c r="V100" s="58"/>
      <c r="W100" s="58"/>
      <c r="X100" s="30">
        <f>IF(AF100="DoEV",IF(AND(V100&lt;20,W100&lt;55),0.3,0)+IF(AND(V100&lt;20,W100&gt;=55,W100&lt;105),0.23,0)+IF(AND(V100&lt;20,W100&gt;=105),0.17,0)+IF(AND(V100&gt;=20,V100&lt;40,W100&lt;45),0.3,0)+IF(AND(V100&gt;=20,V100&lt;40,W100&gt;=45,W100&lt;95),0.23,0)+IF(AND(V100&gt;=20,V100&lt;40,W100&gt;=95),0.17,0)+IF(AND(V100&gt;=40,V100&lt;75,W100&lt;35),0.3,0)+IF(AND(V100&gt;=40,V100&lt;75,W100&gt;=35,W100&lt;75),0.23,0)+IF(AND(V100&gt;=40,V100&lt;75,W100&gt;=75,W100&lt;120),0.17,0)+IF(AND(V100&gt;=40,V100&lt;75,W100&gt;=120),0.12,0)+IF(AND(V100&gt;=75,V100&lt;175,W100&lt;35),0.3,0)+IF(AND(V100&gt;=75,V100&lt;=175,W100&gt;=35,W100&lt;65),0.23,0)+IF(AND(V100&gt;=75,V100&lt;=175,W100&gt;=65,W100&lt;110),0.17,0)+IF(AND(V100&gt;=75,V100&lt;=175,W100&gt;=110),0.12,0)+IF(AND(V100&gt;175,W100&lt;25),0.3,0)+IF(AND(V100&gt;175,W100&gt;=25,W100&lt;55),0.23,0)+IF(AND(V100&gt;175,W100&gt;=55,W100&lt;95),0.17,0)+IF(AND(V100&gt;175,W100&gt;=95),0.12,0),
IF(AF100="Fix15",0.15,
IF(AF100="Fix11.25",0.1125,
IF(AF100="Fix10",0.1,
IF(AF100="Fix9",0.09,
IF(AF100="DoEV2017",IF(AND(W100&lt;74),0.2,0)+IF(AND(W100&gt;=74),0.17,0),
IF(AF100="SF",IF(AND(V100&lt;20,W100&lt;89),0.3,0)+IF(AND(V100&lt;20,W100&gt;=89),0.25,0)+IF(AND(V100&gt;=20,V100&lt;40,W100&lt;74),0.3,0)+IF(AND(V100&gt;=20,V100&lt;40,W100&gt;=75),0.22,0)+IF(AND(V100&gt;=40,V100&lt;75,W100&lt;75),0.26,0)+IF(AND(V100&gt;=40,V100&lt;75,W100&gt;=75),0.22,0)+IF(V100&gt;=75,0.22,0),
IF(AF100="DoEVold",IF(AND(V100&lt;40,W100&lt;35),0.35,0)+IF(AND(V100&lt;40,W100&gt;=35,W100&lt;75),0.25,0)+IF(AND(V100&lt;40,W100&gt;=75),0.17,0)+IF(AND(V100&gt;=40,V100&lt;75,W100&lt;25),0.35,0)+IF(AND(V100&gt;=40,V100&lt;75,W100&gt;=25,W100&lt;65),0.25,0)+IF(AND(V100&gt;=40,V100&lt;75,W100&gt;=65,W100&lt;100),0.17,0)+IF(AND(V100&gt;=40,V100&lt;75,W100&gt;=100),0.1,0)+IF(AND(V100&gt;=75,W100&lt;25),0.35,0)+IF(AND(V100&gt;=75,W100&gt;=25,W100&lt;60),0.25,0)+IF(AND(V100&gt;=75,W100&gt;=60,W100&lt;95),0.17,0)+IF(AND(V100&gt;=75,W100&gt;=95),0.1,0),
IF(AF100="DoEVold15",IF(AND(V100&lt;=40,W100&lt;35),0.35,0)+IF(AND(V100&lt;=40,W100&gt;=35,W100&lt;75),0.25,0)+IF(AND(V100&lt;=40,W100&gt;=75,W100&lt;120),0.17,0)+IF(AND(V100&lt;=40,W100&gt;=120),0.15,0)+IF(AND(V100&gt;40,V100&lt;75,W100&lt;25),0.35,0)+IF(AND(V100&gt;=40,V100&lt;75,W100&gt;=25,W100&lt;65),0.25,0)+IF(AND(V100&gt;=40,V100&lt;75,W100&gt;=65,W100&lt;100),0.17,0)+IF(AND(V100&gt;=40,V100&lt;75,W100&gt;=100),0.1,0)+IF(AND(V100&gt;=75,W100&lt;25),0.35,0)+IF(AND(V100&gt;=75,W100&gt;=25,W100&lt;60),0.25,0)+IF(AND(V100&gt;=75,W100&gt;=60,W100&lt;95),0.17,0)+IF(AND(V100&gt;=75,W100&gt;=95),0.1,0),
IF(AF100="DoEVba",IF(AND(V100&lt;20,W100&lt;105),0.2,0)+IF(AND(V100&lt;20,W100&gt;=105),0.15,0)+IF(AND(V100&gt;=20,V100&lt;40,W100&lt;95),0.2,0)+IF(AND(V100&gt;=20,V100&lt;40,W100&gt;=95,W100&lt;150),0.15,0)+IF(AND(V100&gt;=20,V100&lt;40,W100&gt;=150),0.12,0)+IF(AND(V100&gt;=40,V100&lt;75,W100&lt;75),0.2,0)+IF(AND(V100&gt;=40,V100&lt;75,W100&gt;=75,W100&lt;120),0.15,0)+IF(AND(V100&gt;=40,V100&lt;75,W100&gt;=120),0.12,0)+IF(AND(V100&gt;=75,V100&lt;175,W100&lt;65),0.2,0)+IF(AND(V100&gt;=75,V100&lt;175,W100&gt;=65,W100&lt;110),0.15,0)+IF(AND(V100&gt;=75,V100&lt;175,W100&gt;=110),0.12,0)+IF(AND(V100&gt;=175,W100&lt;55),0.2,0)+IF(AND(V100&gt;=175,W100&gt;=55,W100&lt;95),0.15,0)+IF(AND(V100&gt;=175,W100&gt;=95),0.12,0),
IF(AF100="DoEVku",IF(AND(V100&lt;20,W100&lt;55),0.23,0)+IF(AND(V100&lt;20,W100&gt;=55,W100&lt;105),0.2,0)+IF(AND(V100&lt;20,W100&gt;=105),0.17,0)+IF(AND(V100&gt;=20,V100&lt;40,W100&lt;45),0.23,0)+IF(AND(V100&gt;=20,V100&lt;40,W100&gt;=45,W100&lt;95),0.2,0)+IF(AND(V100&gt;=20,V100&lt;40,W100&gt;=95,W100&lt;=150),0.17,0)+IF(AND(V100&gt;=20,V100&lt;40,W100&gt;=150),0.12,0)+IF(AND(V100&gt;=40,V100&lt;75,W100&lt;35),0.23,0)+IF(AND(V100&gt;=40,V100&lt;75,W100&gt;=35,W100&lt;75),0.2,0)+IF(AND(V100&gt;=40,V100&lt;75,W100&gt;=75,W100&lt;120),0.17,0)+IF(AND(V100&gt;=40,V100&lt;75,W100&gt;=120),0.12,0)+IF(AND(V100&gt;=75,V100&lt;175,W100&lt;35),0.23,0)+IF(AND(V100&gt;=75,V100&lt;=175,W100&gt;=35,W100&lt;65),0.2,0)+IF(AND(V100&gt;=75,V100&lt;=175,W100&gt;=65,W100&lt;110),0.17,0)+IF(AND(V100&gt;=75,V100&lt;=175,W100&gt;=110),0.12,0)+IF(AND(V100&gt;175,W100&lt;25),0.23,0)+IF(AND(V100&gt;175,W100&gt;=25,W100&lt;55),0.2,0)+IF(AND(V100&gt;175,W100&gt;=55,W100&lt;95),0.17,0)+IF(AND(V100&gt;175,W100&gt;=95),0.12,0),
IF(AF100="DoEVs1",IF(AND(V100&lt;20,W100&lt;55),0.3,0)+IF(AND(V100&lt;20,W100&gt;=55,W100&lt;105),0.23,0)+IF(AND(V100&lt;20,W100&gt;=105),0.17,0)+IF(AND(V100&gt;=20,V100&lt;40,W100&lt;45),0.3,0)+IF(AND(V100&gt;=20,V100&lt;40,W100&gt;=45,W100&lt;95),0.23,0)+IF(AND(V100&gt;=20,V100&lt;40,W100&gt;=95,W100&lt;=150),0.17,0)+IF(AND(V100&gt;=20,V100&lt;40,W100&gt;=150),0.12,0)+IF(AND(V100&gt;=40,V100&lt;75,W100&lt;35),0.3,0)+IF(AND(V100&gt;=40,V100&lt;75,W100&gt;=35,W100&lt;75),0.23,0)+IF(AND(V100&gt;=40,V100&lt;75,W100&gt;=75,W100&lt;120),0.17,0)+IF(AND(V100&gt;=40,V100&lt;75,W100&gt;=120),0.12,0)+IF(AND(V100&gt;=75,V100&lt;175,W100&lt;35),0.3,0)+IF(AND(V100&gt;=75,V100&lt;=175,W100&gt;=35,W100&lt;65),0.23,0)+IF(AND(V100&gt;=75,V100&lt;=175,W100&gt;=65,W100&lt;110),0.17,0)+IF(AND(V100&gt;=75,V100&lt;=175,W100&gt;=110),0.12,0)+IF(AND(V100&gt;175,W100&lt;25),0.3,0)+IF(AND(V100&gt;175,W100&gt;=25,W100&lt;55),0.23,0)+IF(AND(V100&gt;175,W100&gt;=55,W100&lt;95),0.17,0)+IF(AND(V100&gt;175,W100&gt;=95),0.12,0),
IF(AF100="DoEVsu",IF(AND(V100&lt;20,W100&lt;55),0.3,0)+IF(AND(V100&lt;20,W100&gt;=55,W100&lt;105),0.23,0)+IF(AND(V100&lt;20,W100&gt;=105),0.17,0)+IF(AND(V100&gt;=20,V100&lt;40,W100&lt;45),0.3,0)+IF(AND(V100&gt;=20,V100&lt;40,W100&gt;=45,W100&lt;95),0.23,0)+IF(AND(V100&gt;=20,V100&lt;40,W100&gt;=95,W100&lt;=250),0.17,0)+IF(AND(V100&gt;=20,V100&lt;40,W100&gt;=250),0.12,0)+IF(AND(V100&gt;=40,V100&lt;75,W100&lt;35),0.3,0)+IF(AND(V100&gt;=40,V100&lt;75,W100&gt;=35,W100&lt;75),0.23,0)+IF(AND(V100&gt;=40,V100&lt;75,W100&gt;=75,W100&lt;120),0.17,0)+IF(AND(V100&gt;=40,V100&lt;75,W100&gt;=120),0.12,0)+IF(AND(V100&gt;=75,V100&lt;175,W100&lt;35),0.3,0)+IF(AND(V100&gt;=75,V100&lt;=175,W100&gt;=35,W100&lt;65),0.23,0)+IF(AND(V100&gt;=75,V100&lt;=175,W100&gt;=65,W100&lt;110),0.17,0)+IF(AND(V100&gt;=75,V100&lt;=175,W100&gt;=110),0.12,0)+IF(AND(V100&gt;175,W100&lt;25),0.3,0)+IF(AND(V100&gt;175,W100&gt;=25,W100&lt;55),0.23,0)+IF(AND(V100&gt;175,W100&gt;=55,W100&lt;95),0.17,0)+IF(AND(V100&gt;175,W100&gt;=95),0.12,0),
IF(AF100="DoEVni",IF(AND(V100&lt;20,W100&lt;55),0.3,0)+IF(AND(V100&lt;20,W100&gt;=55,W100&lt;105),0.23,0)+IF(AND(V100&lt;20,W100&gt;=105),0.17,0)+IF(AND(V100&gt;=20,V100&lt;40,W100&lt;45),0.3,0)+IF(AND(V100&gt;=20,V100&lt;40,W100&gt;=45,W100&lt;95),0.23,0)+IF(AND(V100&gt;=20,V100&lt;40,W100&gt;=95,W100&lt;=200),0.17,0)+IF(AND(V100&gt;=20,V100&lt;40,W100&gt;=200),0.12,0)+IF(AND(V100&gt;=40,V100&lt;75,W100&lt;35),0.3,0)+IF(AND(V100&gt;=40,V100&lt;75,W100&gt;=35,W100&lt;75),0.23,0)+IF(AND(V100&gt;=40,V100&lt;75,W100&gt;=75,W100&lt;120),0.17,0)+IF(AND(V100&gt;=40,V100&lt;75,W100&gt;=120),0.12,0)+IF(AND(V100&gt;=75,V100&lt;175,W100&lt;35),0.3,0)+IF(AND(V100&gt;=75,V100&lt;=175,W100&gt;=35,W100&lt;65),0.23,0)+IF(AND(V100&gt;=75,V100&lt;=175,W100&gt;=65,W100&lt;110),0.17,0)+IF(AND(V100&gt;=75,V100&lt;=175,W100&gt;=110),0.12,0)+IF(AND(V100&gt;175,W100&lt;25),0.3,0)+IF(AND(V100&gt;175,W100&gt;=25,W100&lt;55),0.23,0)+IF(AND(V100&gt;175,W100&gt;=55,W100&lt;95),0.17,0)+IF(AND(V100&gt;175,W100&gt;=95),0.12,0),
IF(AF100="DoEVLo",IF(AND(V100&lt;20,W100&lt;55),0.25,0)+IF(AND(V100&lt;20,W100&gt;=55,W100&lt;105),0.2,0)+IF(AND(V100&lt;20,W100&gt;=105),0.15,0)+IF(AND(V100&gt;=20,V100&lt;40,W100&lt;45),0.25,0)+IF(AND(V100&gt;=20,V100&lt;40,W100&gt;=45,W100&lt;95),0.2,0)+IF(AND(V100&gt;=20,V100&lt;40,W100&gt;=95),0.15,0)+IF(AND(V100&gt;=40,V100&lt;75,W100&lt;35),0.25,0)+IF(AND(V100&gt;=40,V100&lt;75,W100&gt;=35,W100&lt;75),0.2,0)+IF(AND(V100&gt;=40,V100&lt;75,W100&gt;=75,W100&lt;120),0.15,0)+IF(AND(V100&gt;=40,V100&lt;75,W100&gt;=120),0.1,0)+IF(AND(V100&gt;=75,V100&lt;175,W100&lt;35),0.25,0)+IF(AND(V100&gt;=75,V100&lt;=175,W100&gt;=35,W100&lt;65),0.2,0)+IF(AND(V100&gt;=75,V100&lt;=175,W100&gt;=65,W100&lt;110),0.15,0)+IF(AND(V100&gt;=75,V100&lt;=175,W100&gt;=110),0.1,0)+IF(AND(V100&gt;175,W100&lt;25),0.25,0)+IF(AND(V100&gt;175,W100&gt;=25,W100&lt;55),0.2,0)+IF(AND(V100&gt;175,W100&gt;=55,W100&lt;95),0.15,0)+IF(AND(V100&gt;175,W100&gt;=95),0.1,0))))))))))))))))</f>
        <v>0.15</v>
      </c>
      <c r="Y100" s="30">
        <f>IF(AG100="None",0,IF(AG100="Fix5",0.05,IF(AG100="Fix3.75",0.0375,IF(AG100="Fix10",0.1,IF(AG100="Fix3",0.03,0)))))</f>
        <v>0.05</v>
      </c>
      <c r="Z100" s="35">
        <f>T100-AA100-AB100</f>
        <v>1607.2</v>
      </c>
      <c r="AA100" s="29">
        <f>IF(AD100="EUR",((T100-R100)*X100)*U100+(R100*X100),(T100*X100))</f>
        <v>301.34999999999997</v>
      </c>
      <c r="AB100" s="36">
        <f>IF(AD100="EUR",((T100-R100)*Y100)*U100+(R100*Y100),(T100*Y100))</f>
        <v>100.45</v>
      </c>
      <c r="AC100" s="37" t="b">
        <v>1</v>
      </c>
      <c r="AD100" s="37" t="s">
        <v>38</v>
      </c>
      <c r="AE100" s="37" t="s">
        <v>38</v>
      </c>
      <c r="AF100" s="37" t="str">
        <f t="array" ref="AF100">INDEX('Deal Info'!D:D, MATCH(A100,'Deal Info'!A:A, 0))</f>
        <v>Fix15</v>
      </c>
      <c r="AG100" s="38" t="str">
        <f t="array" ref="AG100">INDEX('Deal Info'!G:G, MATCH(A100,'Deal Info'!A:A, 0))</f>
        <v>Fix5</v>
      </c>
    </row>
    <row r="101" spans="1:33" ht="14.25" hidden="1" x14ac:dyDescent="0.2">
      <c r="A101" s="18" t="str">
        <f t="array" ref="A101">IF(G101='Room Info'!$B$1, INDEX('Room Info'!$A$2:$A2446, MATCH(B101,'Room Info'!$B$2:$B2446, 0)),IF(G101='Room Info'!$C$1, INDEX('Room Info'!$A$2:$A2446, MATCH(B101,'Room Info'!$C$2:$C2446, 0)),IF(G101='Room Info'!$D$1, INDEX('Room Info'!$A$2:$A2446, MATCH(B101,'Room Info'!$D$2:$D2446, 0)),IF(G101='Room Info'!$E$1, INDEX('Room Info'!$A$2:$A2446, MATCH(B101,'Room Info'!$E$2:$E2446, 0)),IF(G101='Room Info'!$F$1, INDEX('Room Info'!$A$2:$A2446, MATCH(B101,'Room Info'!$F$2:$F2446, 0)),IF(G101='Room Info'!$H$1, INDEX('Room Info'!$A$2:$A2446, MATCH(B101,'Room Info'!$H$2:$H2446, 0)),IF(G101='Room Info'!$G$1, INDEX('Room Info'!$A$2:$A2446, MATCH(B101,'Room Info'!$G$2:$G2446, 0)))))))))</f>
        <v>AlexanderDSL</v>
      </c>
      <c r="B101" s="54" t="s">
        <v>82</v>
      </c>
      <c r="C101" s="46">
        <v>44398</v>
      </c>
      <c r="D101" s="46">
        <v>44428</v>
      </c>
      <c r="E101" s="47">
        <v>44409</v>
      </c>
      <c r="F101" s="45" t="s">
        <v>34</v>
      </c>
      <c r="G101" s="54" t="s">
        <v>35</v>
      </c>
      <c r="H101" s="49" t="s">
        <v>72</v>
      </c>
      <c r="I101" s="49" t="s">
        <v>37</v>
      </c>
      <c r="J101" s="50">
        <v>50</v>
      </c>
      <c r="K101" s="51">
        <v>5105</v>
      </c>
      <c r="L101" s="52">
        <v>-50</v>
      </c>
      <c r="M101" s="53">
        <v>8536</v>
      </c>
      <c r="N101" s="28">
        <f>K101*J101</f>
        <v>255250</v>
      </c>
      <c r="O101" s="54">
        <v>167195</v>
      </c>
      <c r="P101" s="29">
        <v>32.751224290000003</v>
      </c>
      <c r="Q101" s="55"/>
      <c r="R101" s="31">
        <f>M101+Q101</f>
        <v>8536</v>
      </c>
      <c r="S101" s="56">
        <v>-1605</v>
      </c>
      <c r="T101" s="32">
        <f>R101+S101+IF(F101="Without EV deal",L101,0)</f>
        <v>6931</v>
      </c>
      <c r="U101" s="33">
        <v>1</v>
      </c>
      <c r="V101" s="58"/>
      <c r="W101" s="58"/>
      <c r="X101" s="30">
        <f>IF(AF101="DoEV",IF(AND(V101&lt;20,W101&lt;55),0.3,0)+IF(AND(V101&lt;20,W101&gt;=55,W101&lt;105),0.23,0)+IF(AND(V101&lt;20,W101&gt;=105),0.17,0)+IF(AND(V101&gt;=20,V101&lt;40,W101&lt;45),0.3,0)+IF(AND(V101&gt;=20,V101&lt;40,W101&gt;=45,W101&lt;95),0.23,0)+IF(AND(V101&gt;=20,V101&lt;40,W101&gt;=95),0.17,0)+IF(AND(V101&gt;=40,V101&lt;75,W101&lt;35),0.3,0)+IF(AND(V101&gt;=40,V101&lt;75,W101&gt;=35,W101&lt;75),0.23,0)+IF(AND(V101&gt;=40,V101&lt;75,W101&gt;=75,W101&lt;120),0.17,0)+IF(AND(V101&gt;=40,V101&lt;75,W101&gt;=120),0.12,0)+IF(AND(V101&gt;=75,V101&lt;175,W101&lt;35),0.3,0)+IF(AND(V101&gt;=75,V101&lt;=175,W101&gt;=35,W101&lt;65),0.23,0)+IF(AND(V101&gt;=75,V101&lt;=175,W101&gt;=65,W101&lt;110),0.17,0)+IF(AND(V101&gt;=75,V101&lt;=175,W101&gt;=110),0.12,0)+IF(AND(V101&gt;175,W101&lt;25),0.3,0)+IF(AND(V101&gt;175,W101&gt;=25,W101&lt;55),0.23,0)+IF(AND(V101&gt;175,W101&gt;=55,W101&lt;95),0.17,0)+IF(AND(V101&gt;175,W101&gt;=95),0.12,0),
IF(AF101="Fix15",0.15,
IF(AF101="Fix11.25",0.1125,
IF(AF101="Fix10",0.1,
IF(AF101="Fix9",0.09,
IF(AF101="DoEV2017",IF(AND(W101&lt;74),0.2,0)+IF(AND(W101&gt;=74),0.17,0),
IF(AF101="SF",IF(AND(V101&lt;20,W101&lt;89),0.3,0)+IF(AND(V101&lt;20,W101&gt;=89),0.25,0)+IF(AND(V101&gt;=20,V101&lt;40,W101&lt;74),0.3,0)+IF(AND(V101&gt;=20,V101&lt;40,W101&gt;=75),0.22,0)+IF(AND(V101&gt;=40,V101&lt;75,W101&lt;75),0.26,0)+IF(AND(V101&gt;=40,V101&lt;75,W101&gt;=75),0.22,0)+IF(V101&gt;=75,0.22,0),
IF(AF101="DoEVold",IF(AND(V101&lt;40,W101&lt;35),0.35,0)+IF(AND(V101&lt;40,W101&gt;=35,W101&lt;75),0.25,0)+IF(AND(V101&lt;40,W101&gt;=75),0.17,0)+IF(AND(V101&gt;=40,V101&lt;75,W101&lt;25),0.35,0)+IF(AND(V101&gt;=40,V101&lt;75,W101&gt;=25,W101&lt;65),0.25,0)+IF(AND(V101&gt;=40,V101&lt;75,W101&gt;=65,W101&lt;100),0.17,0)+IF(AND(V101&gt;=40,V101&lt;75,W101&gt;=100),0.1,0)+IF(AND(V101&gt;=75,W101&lt;25),0.35,0)+IF(AND(V101&gt;=75,W101&gt;=25,W101&lt;60),0.25,0)+IF(AND(V101&gt;=75,W101&gt;=60,W101&lt;95),0.17,0)+IF(AND(V101&gt;=75,W101&gt;=95),0.1,0),
IF(AF101="DoEVold15",IF(AND(V101&lt;=40,W101&lt;35),0.35,0)+IF(AND(V101&lt;=40,W101&gt;=35,W101&lt;75),0.25,0)+IF(AND(V101&lt;=40,W101&gt;=75,W101&lt;120),0.17,0)+IF(AND(V101&lt;=40,W101&gt;=120),0.15,0)+IF(AND(V101&gt;40,V101&lt;75,W101&lt;25),0.35,0)+IF(AND(V101&gt;=40,V101&lt;75,W101&gt;=25,W101&lt;65),0.25,0)+IF(AND(V101&gt;=40,V101&lt;75,W101&gt;=65,W101&lt;100),0.17,0)+IF(AND(V101&gt;=40,V101&lt;75,W101&gt;=100),0.1,0)+IF(AND(V101&gt;=75,W101&lt;25),0.35,0)+IF(AND(V101&gt;=75,W101&gt;=25,W101&lt;60),0.25,0)+IF(AND(V101&gt;=75,W101&gt;=60,W101&lt;95),0.17,0)+IF(AND(V101&gt;=75,W101&gt;=95),0.1,0),
IF(AF101="DoEVba",IF(AND(V101&lt;20,W101&lt;105),0.2,0)+IF(AND(V101&lt;20,W101&gt;=105),0.15,0)+IF(AND(V101&gt;=20,V101&lt;40,W101&lt;95),0.2,0)+IF(AND(V101&gt;=20,V101&lt;40,W101&gt;=95,W101&lt;150),0.15,0)+IF(AND(V101&gt;=20,V101&lt;40,W101&gt;=150),0.12,0)+IF(AND(V101&gt;=40,V101&lt;75,W101&lt;75),0.2,0)+IF(AND(V101&gt;=40,V101&lt;75,W101&gt;=75,W101&lt;120),0.15,0)+IF(AND(V101&gt;=40,V101&lt;75,W101&gt;=120),0.12,0)+IF(AND(V101&gt;=75,V101&lt;175,W101&lt;65),0.2,0)+IF(AND(V101&gt;=75,V101&lt;175,W101&gt;=65,W101&lt;110),0.15,0)+IF(AND(V101&gt;=75,V101&lt;175,W101&gt;=110),0.12,0)+IF(AND(V101&gt;=175,W101&lt;55),0.2,0)+IF(AND(V101&gt;=175,W101&gt;=55,W101&lt;95),0.15,0)+IF(AND(V101&gt;=175,W101&gt;=95),0.12,0),
IF(AF101="DoEVku",IF(AND(V101&lt;20,W101&lt;55),0.23,0)+IF(AND(V101&lt;20,W101&gt;=55,W101&lt;105),0.2,0)+IF(AND(V101&lt;20,W101&gt;=105),0.17,0)+IF(AND(V101&gt;=20,V101&lt;40,W101&lt;45),0.23,0)+IF(AND(V101&gt;=20,V101&lt;40,W101&gt;=45,W101&lt;95),0.2,0)+IF(AND(V101&gt;=20,V101&lt;40,W101&gt;=95,W101&lt;=150),0.17,0)+IF(AND(V101&gt;=20,V101&lt;40,W101&gt;=150),0.12,0)+IF(AND(V101&gt;=40,V101&lt;75,W101&lt;35),0.23,0)+IF(AND(V101&gt;=40,V101&lt;75,W101&gt;=35,W101&lt;75),0.2,0)+IF(AND(V101&gt;=40,V101&lt;75,W101&gt;=75,W101&lt;120),0.17,0)+IF(AND(V101&gt;=40,V101&lt;75,W101&gt;=120),0.12,0)+IF(AND(V101&gt;=75,V101&lt;175,W101&lt;35),0.23,0)+IF(AND(V101&gt;=75,V101&lt;=175,W101&gt;=35,W101&lt;65),0.2,0)+IF(AND(V101&gt;=75,V101&lt;=175,W101&gt;=65,W101&lt;110),0.17,0)+IF(AND(V101&gt;=75,V101&lt;=175,W101&gt;=110),0.12,0)+IF(AND(V101&gt;175,W101&lt;25),0.23,0)+IF(AND(V101&gt;175,W101&gt;=25,W101&lt;55),0.2,0)+IF(AND(V101&gt;175,W101&gt;=55,W101&lt;95),0.17,0)+IF(AND(V101&gt;175,W101&gt;=95),0.12,0),
IF(AF101="DoEVs1",IF(AND(V101&lt;20,W101&lt;55),0.3,0)+IF(AND(V101&lt;20,W101&gt;=55,W101&lt;105),0.23,0)+IF(AND(V101&lt;20,W101&gt;=105),0.17,0)+IF(AND(V101&gt;=20,V101&lt;40,W101&lt;45),0.3,0)+IF(AND(V101&gt;=20,V101&lt;40,W101&gt;=45,W101&lt;95),0.23,0)+IF(AND(V101&gt;=20,V101&lt;40,W101&gt;=95,W101&lt;=150),0.17,0)+IF(AND(V101&gt;=20,V101&lt;40,W101&gt;=150),0.12,0)+IF(AND(V101&gt;=40,V101&lt;75,W101&lt;35),0.3,0)+IF(AND(V101&gt;=40,V101&lt;75,W101&gt;=35,W101&lt;75),0.23,0)+IF(AND(V101&gt;=40,V101&lt;75,W101&gt;=75,W101&lt;120),0.17,0)+IF(AND(V101&gt;=40,V101&lt;75,W101&gt;=120),0.12,0)+IF(AND(V101&gt;=75,V101&lt;175,W101&lt;35),0.3,0)+IF(AND(V101&gt;=75,V101&lt;=175,W101&gt;=35,W101&lt;65),0.23,0)+IF(AND(V101&gt;=75,V101&lt;=175,W101&gt;=65,W101&lt;110),0.17,0)+IF(AND(V101&gt;=75,V101&lt;=175,W101&gt;=110),0.12,0)+IF(AND(V101&gt;175,W101&lt;25),0.3,0)+IF(AND(V101&gt;175,W101&gt;=25,W101&lt;55),0.23,0)+IF(AND(V101&gt;175,W101&gt;=55,W101&lt;95),0.17,0)+IF(AND(V101&gt;175,W101&gt;=95),0.12,0),
IF(AF101="DoEVsu",IF(AND(V101&lt;20,W101&lt;55),0.3,0)+IF(AND(V101&lt;20,W101&gt;=55,W101&lt;105),0.23,0)+IF(AND(V101&lt;20,W101&gt;=105),0.17,0)+IF(AND(V101&gt;=20,V101&lt;40,W101&lt;45),0.3,0)+IF(AND(V101&gt;=20,V101&lt;40,W101&gt;=45,W101&lt;95),0.23,0)+IF(AND(V101&gt;=20,V101&lt;40,W101&gt;=95,W101&lt;=250),0.17,0)+IF(AND(V101&gt;=20,V101&lt;40,W101&gt;=250),0.12,0)+IF(AND(V101&gt;=40,V101&lt;75,W101&lt;35),0.3,0)+IF(AND(V101&gt;=40,V101&lt;75,W101&gt;=35,W101&lt;75),0.23,0)+IF(AND(V101&gt;=40,V101&lt;75,W101&gt;=75,W101&lt;120),0.17,0)+IF(AND(V101&gt;=40,V101&lt;75,W101&gt;=120),0.12,0)+IF(AND(V101&gt;=75,V101&lt;175,W101&lt;35),0.3,0)+IF(AND(V101&gt;=75,V101&lt;=175,W101&gt;=35,W101&lt;65),0.23,0)+IF(AND(V101&gt;=75,V101&lt;=175,W101&gt;=65,W101&lt;110),0.17,0)+IF(AND(V101&gt;=75,V101&lt;=175,W101&gt;=110),0.12,0)+IF(AND(V101&gt;175,W101&lt;25),0.3,0)+IF(AND(V101&gt;175,W101&gt;=25,W101&lt;55),0.23,0)+IF(AND(V101&gt;175,W101&gt;=55,W101&lt;95),0.17,0)+IF(AND(V101&gt;175,W101&gt;=95),0.12,0),
IF(AF101="DoEVni",IF(AND(V101&lt;20,W101&lt;55),0.3,0)+IF(AND(V101&lt;20,W101&gt;=55,W101&lt;105),0.23,0)+IF(AND(V101&lt;20,W101&gt;=105),0.17,0)+IF(AND(V101&gt;=20,V101&lt;40,W101&lt;45),0.3,0)+IF(AND(V101&gt;=20,V101&lt;40,W101&gt;=45,W101&lt;95),0.23,0)+IF(AND(V101&gt;=20,V101&lt;40,W101&gt;=95,W101&lt;=200),0.17,0)+IF(AND(V101&gt;=20,V101&lt;40,W101&gt;=200),0.12,0)+IF(AND(V101&gt;=40,V101&lt;75,W101&lt;35),0.3,0)+IF(AND(V101&gt;=40,V101&lt;75,W101&gt;=35,W101&lt;75),0.23,0)+IF(AND(V101&gt;=40,V101&lt;75,W101&gt;=75,W101&lt;120),0.17,0)+IF(AND(V101&gt;=40,V101&lt;75,W101&gt;=120),0.12,0)+IF(AND(V101&gt;=75,V101&lt;175,W101&lt;35),0.3,0)+IF(AND(V101&gt;=75,V101&lt;=175,W101&gt;=35,W101&lt;65),0.23,0)+IF(AND(V101&gt;=75,V101&lt;=175,W101&gt;=65,W101&lt;110),0.17,0)+IF(AND(V101&gt;=75,V101&lt;=175,W101&gt;=110),0.12,0)+IF(AND(V101&gt;175,W101&lt;25),0.3,0)+IF(AND(V101&gt;175,W101&gt;=25,W101&lt;55),0.23,0)+IF(AND(V101&gt;175,W101&gt;=55,W101&lt;95),0.17,0)+IF(AND(V101&gt;175,W101&gt;=95),0.12,0),
IF(AF101="DoEVLo",IF(AND(V101&lt;20,W101&lt;55),0.25,0)+IF(AND(V101&lt;20,W101&gt;=55,W101&lt;105),0.2,0)+IF(AND(V101&lt;20,W101&gt;=105),0.15,0)+IF(AND(V101&gt;=20,V101&lt;40,W101&lt;45),0.25,0)+IF(AND(V101&gt;=20,V101&lt;40,W101&gt;=45,W101&lt;95),0.2,0)+IF(AND(V101&gt;=20,V101&lt;40,W101&gt;=95),0.15,0)+IF(AND(V101&gt;=40,V101&lt;75,W101&lt;35),0.25,0)+IF(AND(V101&gt;=40,V101&lt;75,W101&gt;=35,W101&lt;75),0.2,0)+IF(AND(V101&gt;=40,V101&lt;75,W101&gt;=75,W101&lt;120),0.15,0)+IF(AND(V101&gt;=40,V101&lt;75,W101&gt;=120),0.1,0)+IF(AND(V101&gt;=75,V101&lt;175,W101&lt;35),0.25,0)+IF(AND(V101&gt;=75,V101&lt;=175,W101&gt;=35,W101&lt;65),0.2,0)+IF(AND(V101&gt;=75,V101&lt;=175,W101&gt;=65,W101&lt;110),0.15,0)+IF(AND(V101&gt;=75,V101&lt;=175,W101&gt;=110),0.1,0)+IF(AND(V101&gt;175,W101&lt;25),0.25,0)+IF(AND(V101&gt;175,W101&gt;=25,W101&lt;55),0.2,0)+IF(AND(V101&gt;175,W101&gt;=55,W101&lt;95),0.15,0)+IF(AND(V101&gt;175,W101&gt;=95),0.1,0))))))))))))))))</f>
        <v>0.15</v>
      </c>
      <c r="Y101" s="30">
        <f>IF(AG101="None",0,IF(AG101="Fix5",0.05,IF(AG101="Fix3.75",0.0375,IF(AG101="Fix10",0.1,IF(AG101="Fix3",0.03,0)))))</f>
        <v>0.05</v>
      </c>
      <c r="Z101" s="35">
        <f>T101-AA101-AB101</f>
        <v>5544.8</v>
      </c>
      <c r="AA101" s="29">
        <f>IF(AD101="EUR",((T101-R101)*X101)*U101+(R101*X101),(T101*X101))</f>
        <v>1039.6499999999999</v>
      </c>
      <c r="AB101" s="36">
        <f>IF(AD101="EUR",((T101-R101)*Y101)*U101+(R101*Y101),(T101*Y101))</f>
        <v>346.55</v>
      </c>
      <c r="AC101" s="37" t="b">
        <v>1</v>
      </c>
      <c r="AD101" s="37" t="s">
        <v>38</v>
      </c>
      <c r="AE101" s="37" t="s">
        <v>38</v>
      </c>
      <c r="AF101" s="37" t="str">
        <f t="array" ref="AF101">INDEX('Deal Info'!D:D, MATCH(A101,'Deal Info'!A:A, 0))</f>
        <v>Fix15</v>
      </c>
      <c r="AG101" s="38" t="str">
        <f t="array" ref="AG101">INDEX('Deal Info'!G:G, MATCH(A101,'Deal Info'!A:A, 0))</f>
        <v>Fix5</v>
      </c>
    </row>
    <row r="102" spans="1:33" ht="14.25" hidden="1" x14ac:dyDescent="0.2">
      <c r="A102" s="18" t="str">
        <f t="array" ref="A102">IF(G102='Room Info'!$B$1, INDEX('Room Info'!$A$2:$A2446, MATCH(B102,'Room Info'!$B$2:$B2446, 0)),IF(G102='Room Info'!$C$1, INDEX('Room Info'!$A$2:$A2446, MATCH(B102,'Room Info'!$C$2:$C2446, 0)),IF(G102='Room Info'!$D$1, INDEX('Room Info'!$A$2:$A2446, MATCH(B102,'Room Info'!$D$2:$D2446, 0)),IF(G102='Room Info'!$E$1, INDEX('Room Info'!$A$2:$A2446, MATCH(B102,'Room Info'!$E$2:$E2446, 0)),IF(G102='Room Info'!$F$1, INDEX('Room Info'!$A$2:$A2446, MATCH(B102,'Room Info'!$F$2:$F2446, 0)),IF(G102='Room Info'!$H$1, INDEX('Room Info'!$A$2:$A2446, MATCH(B102,'Room Info'!$H$2:$H2446, 0)),IF(G102='Room Info'!$G$1, INDEX('Room Info'!$A$2:$A2446, MATCH(B102,'Room Info'!$G$2:$G2446, 0)))))))))</f>
        <v>AlexanderDSL</v>
      </c>
      <c r="B102" s="54" t="s">
        <v>82</v>
      </c>
      <c r="C102" s="46">
        <v>44398</v>
      </c>
      <c r="D102" s="46">
        <v>44428</v>
      </c>
      <c r="E102" s="47">
        <v>44409</v>
      </c>
      <c r="F102" s="45" t="s">
        <v>34</v>
      </c>
      <c r="G102" s="54" t="s">
        <v>35</v>
      </c>
      <c r="H102" s="49" t="s">
        <v>70</v>
      </c>
      <c r="I102" s="49" t="s">
        <v>37</v>
      </c>
      <c r="J102" s="50">
        <v>100</v>
      </c>
      <c r="K102" s="51">
        <v>6</v>
      </c>
      <c r="L102" s="52">
        <v>500</v>
      </c>
      <c r="M102" s="53">
        <v>17</v>
      </c>
      <c r="N102" s="28">
        <f>K102*J102</f>
        <v>600</v>
      </c>
      <c r="O102" s="54">
        <v>1373</v>
      </c>
      <c r="P102" s="29">
        <v>228.83333329999999</v>
      </c>
      <c r="Q102" s="55"/>
      <c r="R102" s="31">
        <f>M102+Q102</f>
        <v>17</v>
      </c>
      <c r="S102" s="56">
        <v>223</v>
      </c>
      <c r="T102" s="32">
        <f>R102+S102+IF(F102="Without EV deal",L102,0)</f>
        <v>240</v>
      </c>
      <c r="U102" s="33">
        <v>1</v>
      </c>
      <c r="V102" s="58"/>
      <c r="W102" s="58"/>
      <c r="X102" s="30">
        <f>IF(AF102="DoEV",IF(AND(V102&lt;20,W102&lt;55),0.3,0)+IF(AND(V102&lt;20,W102&gt;=55,W102&lt;105),0.23,0)+IF(AND(V102&lt;20,W102&gt;=105),0.17,0)+IF(AND(V102&gt;=20,V102&lt;40,W102&lt;45),0.3,0)+IF(AND(V102&gt;=20,V102&lt;40,W102&gt;=45,W102&lt;95),0.23,0)+IF(AND(V102&gt;=20,V102&lt;40,W102&gt;=95),0.17,0)+IF(AND(V102&gt;=40,V102&lt;75,W102&lt;35),0.3,0)+IF(AND(V102&gt;=40,V102&lt;75,W102&gt;=35,W102&lt;75),0.23,0)+IF(AND(V102&gt;=40,V102&lt;75,W102&gt;=75,W102&lt;120),0.17,0)+IF(AND(V102&gt;=40,V102&lt;75,W102&gt;=120),0.12,0)+IF(AND(V102&gt;=75,V102&lt;175,W102&lt;35),0.3,0)+IF(AND(V102&gt;=75,V102&lt;=175,W102&gt;=35,W102&lt;65),0.23,0)+IF(AND(V102&gt;=75,V102&lt;=175,W102&gt;=65,W102&lt;110),0.17,0)+IF(AND(V102&gt;=75,V102&lt;=175,W102&gt;=110),0.12,0)+IF(AND(V102&gt;175,W102&lt;25),0.3,0)+IF(AND(V102&gt;175,W102&gt;=25,W102&lt;55),0.23,0)+IF(AND(V102&gt;175,W102&gt;=55,W102&lt;95),0.17,0)+IF(AND(V102&gt;175,W102&gt;=95),0.12,0),
IF(AF102="Fix15",0.15,
IF(AF102="Fix11.25",0.1125,
IF(AF102="Fix10",0.1,
IF(AF102="Fix9",0.09,
IF(AF102="DoEV2017",IF(AND(W102&lt;74),0.2,0)+IF(AND(W102&gt;=74),0.17,0),
IF(AF102="SF",IF(AND(V102&lt;20,W102&lt;89),0.3,0)+IF(AND(V102&lt;20,W102&gt;=89),0.25,0)+IF(AND(V102&gt;=20,V102&lt;40,W102&lt;74),0.3,0)+IF(AND(V102&gt;=20,V102&lt;40,W102&gt;=75),0.22,0)+IF(AND(V102&gt;=40,V102&lt;75,W102&lt;75),0.26,0)+IF(AND(V102&gt;=40,V102&lt;75,W102&gt;=75),0.22,0)+IF(V102&gt;=75,0.22,0),
IF(AF102="DoEVold",IF(AND(V102&lt;40,W102&lt;35),0.35,0)+IF(AND(V102&lt;40,W102&gt;=35,W102&lt;75),0.25,0)+IF(AND(V102&lt;40,W102&gt;=75),0.17,0)+IF(AND(V102&gt;=40,V102&lt;75,W102&lt;25),0.35,0)+IF(AND(V102&gt;=40,V102&lt;75,W102&gt;=25,W102&lt;65),0.25,0)+IF(AND(V102&gt;=40,V102&lt;75,W102&gt;=65,W102&lt;100),0.17,0)+IF(AND(V102&gt;=40,V102&lt;75,W102&gt;=100),0.1,0)+IF(AND(V102&gt;=75,W102&lt;25),0.35,0)+IF(AND(V102&gt;=75,W102&gt;=25,W102&lt;60),0.25,0)+IF(AND(V102&gt;=75,W102&gt;=60,W102&lt;95),0.17,0)+IF(AND(V102&gt;=75,W102&gt;=95),0.1,0),
IF(AF102="DoEVold15",IF(AND(V102&lt;=40,W102&lt;35),0.35,0)+IF(AND(V102&lt;=40,W102&gt;=35,W102&lt;75),0.25,0)+IF(AND(V102&lt;=40,W102&gt;=75,W102&lt;120),0.17,0)+IF(AND(V102&lt;=40,W102&gt;=120),0.15,0)+IF(AND(V102&gt;40,V102&lt;75,W102&lt;25),0.35,0)+IF(AND(V102&gt;=40,V102&lt;75,W102&gt;=25,W102&lt;65),0.25,0)+IF(AND(V102&gt;=40,V102&lt;75,W102&gt;=65,W102&lt;100),0.17,0)+IF(AND(V102&gt;=40,V102&lt;75,W102&gt;=100),0.1,0)+IF(AND(V102&gt;=75,W102&lt;25),0.35,0)+IF(AND(V102&gt;=75,W102&gt;=25,W102&lt;60),0.25,0)+IF(AND(V102&gt;=75,W102&gt;=60,W102&lt;95),0.17,0)+IF(AND(V102&gt;=75,W102&gt;=95),0.1,0),
IF(AF102="DoEVba",IF(AND(V102&lt;20,W102&lt;105),0.2,0)+IF(AND(V102&lt;20,W102&gt;=105),0.15,0)+IF(AND(V102&gt;=20,V102&lt;40,W102&lt;95),0.2,0)+IF(AND(V102&gt;=20,V102&lt;40,W102&gt;=95,W102&lt;150),0.15,0)+IF(AND(V102&gt;=20,V102&lt;40,W102&gt;=150),0.12,0)+IF(AND(V102&gt;=40,V102&lt;75,W102&lt;75),0.2,0)+IF(AND(V102&gt;=40,V102&lt;75,W102&gt;=75,W102&lt;120),0.15,0)+IF(AND(V102&gt;=40,V102&lt;75,W102&gt;=120),0.12,0)+IF(AND(V102&gt;=75,V102&lt;175,W102&lt;65),0.2,0)+IF(AND(V102&gt;=75,V102&lt;175,W102&gt;=65,W102&lt;110),0.15,0)+IF(AND(V102&gt;=75,V102&lt;175,W102&gt;=110),0.12,0)+IF(AND(V102&gt;=175,W102&lt;55),0.2,0)+IF(AND(V102&gt;=175,W102&gt;=55,W102&lt;95),0.15,0)+IF(AND(V102&gt;=175,W102&gt;=95),0.12,0),
IF(AF102="DoEVku",IF(AND(V102&lt;20,W102&lt;55),0.23,0)+IF(AND(V102&lt;20,W102&gt;=55,W102&lt;105),0.2,0)+IF(AND(V102&lt;20,W102&gt;=105),0.17,0)+IF(AND(V102&gt;=20,V102&lt;40,W102&lt;45),0.23,0)+IF(AND(V102&gt;=20,V102&lt;40,W102&gt;=45,W102&lt;95),0.2,0)+IF(AND(V102&gt;=20,V102&lt;40,W102&gt;=95,W102&lt;=150),0.17,0)+IF(AND(V102&gt;=20,V102&lt;40,W102&gt;=150),0.12,0)+IF(AND(V102&gt;=40,V102&lt;75,W102&lt;35),0.23,0)+IF(AND(V102&gt;=40,V102&lt;75,W102&gt;=35,W102&lt;75),0.2,0)+IF(AND(V102&gt;=40,V102&lt;75,W102&gt;=75,W102&lt;120),0.17,0)+IF(AND(V102&gt;=40,V102&lt;75,W102&gt;=120),0.12,0)+IF(AND(V102&gt;=75,V102&lt;175,W102&lt;35),0.23,0)+IF(AND(V102&gt;=75,V102&lt;=175,W102&gt;=35,W102&lt;65),0.2,0)+IF(AND(V102&gt;=75,V102&lt;=175,W102&gt;=65,W102&lt;110),0.17,0)+IF(AND(V102&gt;=75,V102&lt;=175,W102&gt;=110),0.12,0)+IF(AND(V102&gt;175,W102&lt;25),0.23,0)+IF(AND(V102&gt;175,W102&gt;=25,W102&lt;55),0.2,0)+IF(AND(V102&gt;175,W102&gt;=55,W102&lt;95),0.17,0)+IF(AND(V102&gt;175,W102&gt;=95),0.12,0),
IF(AF102="DoEVs1",IF(AND(V102&lt;20,W102&lt;55),0.3,0)+IF(AND(V102&lt;20,W102&gt;=55,W102&lt;105),0.23,0)+IF(AND(V102&lt;20,W102&gt;=105),0.17,0)+IF(AND(V102&gt;=20,V102&lt;40,W102&lt;45),0.3,0)+IF(AND(V102&gt;=20,V102&lt;40,W102&gt;=45,W102&lt;95),0.23,0)+IF(AND(V102&gt;=20,V102&lt;40,W102&gt;=95,W102&lt;=150),0.17,0)+IF(AND(V102&gt;=20,V102&lt;40,W102&gt;=150),0.12,0)+IF(AND(V102&gt;=40,V102&lt;75,W102&lt;35),0.3,0)+IF(AND(V102&gt;=40,V102&lt;75,W102&gt;=35,W102&lt;75),0.23,0)+IF(AND(V102&gt;=40,V102&lt;75,W102&gt;=75,W102&lt;120),0.17,0)+IF(AND(V102&gt;=40,V102&lt;75,W102&gt;=120),0.12,0)+IF(AND(V102&gt;=75,V102&lt;175,W102&lt;35),0.3,0)+IF(AND(V102&gt;=75,V102&lt;=175,W102&gt;=35,W102&lt;65),0.23,0)+IF(AND(V102&gt;=75,V102&lt;=175,W102&gt;=65,W102&lt;110),0.17,0)+IF(AND(V102&gt;=75,V102&lt;=175,W102&gt;=110),0.12,0)+IF(AND(V102&gt;175,W102&lt;25),0.3,0)+IF(AND(V102&gt;175,W102&gt;=25,W102&lt;55),0.23,0)+IF(AND(V102&gt;175,W102&gt;=55,W102&lt;95),0.17,0)+IF(AND(V102&gt;175,W102&gt;=95),0.12,0),
IF(AF102="DoEVsu",IF(AND(V102&lt;20,W102&lt;55),0.3,0)+IF(AND(V102&lt;20,W102&gt;=55,W102&lt;105),0.23,0)+IF(AND(V102&lt;20,W102&gt;=105),0.17,0)+IF(AND(V102&gt;=20,V102&lt;40,W102&lt;45),0.3,0)+IF(AND(V102&gt;=20,V102&lt;40,W102&gt;=45,W102&lt;95),0.23,0)+IF(AND(V102&gt;=20,V102&lt;40,W102&gt;=95,W102&lt;=250),0.17,0)+IF(AND(V102&gt;=20,V102&lt;40,W102&gt;=250),0.12,0)+IF(AND(V102&gt;=40,V102&lt;75,W102&lt;35),0.3,0)+IF(AND(V102&gt;=40,V102&lt;75,W102&gt;=35,W102&lt;75),0.23,0)+IF(AND(V102&gt;=40,V102&lt;75,W102&gt;=75,W102&lt;120),0.17,0)+IF(AND(V102&gt;=40,V102&lt;75,W102&gt;=120),0.12,0)+IF(AND(V102&gt;=75,V102&lt;175,W102&lt;35),0.3,0)+IF(AND(V102&gt;=75,V102&lt;=175,W102&gt;=35,W102&lt;65),0.23,0)+IF(AND(V102&gt;=75,V102&lt;=175,W102&gt;=65,W102&lt;110),0.17,0)+IF(AND(V102&gt;=75,V102&lt;=175,W102&gt;=110),0.12,0)+IF(AND(V102&gt;175,W102&lt;25),0.3,0)+IF(AND(V102&gt;175,W102&gt;=25,W102&lt;55),0.23,0)+IF(AND(V102&gt;175,W102&gt;=55,W102&lt;95),0.17,0)+IF(AND(V102&gt;175,W102&gt;=95),0.12,0),
IF(AF102="DoEVni",IF(AND(V102&lt;20,W102&lt;55),0.3,0)+IF(AND(V102&lt;20,W102&gt;=55,W102&lt;105),0.23,0)+IF(AND(V102&lt;20,W102&gt;=105),0.17,0)+IF(AND(V102&gt;=20,V102&lt;40,W102&lt;45),0.3,0)+IF(AND(V102&gt;=20,V102&lt;40,W102&gt;=45,W102&lt;95),0.23,0)+IF(AND(V102&gt;=20,V102&lt;40,W102&gt;=95,W102&lt;=200),0.17,0)+IF(AND(V102&gt;=20,V102&lt;40,W102&gt;=200),0.12,0)+IF(AND(V102&gt;=40,V102&lt;75,W102&lt;35),0.3,0)+IF(AND(V102&gt;=40,V102&lt;75,W102&gt;=35,W102&lt;75),0.23,0)+IF(AND(V102&gt;=40,V102&lt;75,W102&gt;=75,W102&lt;120),0.17,0)+IF(AND(V102&gt;=40,V102&lt;75,W102&gt;=120),0.12,0)+IF(AND(V102&gt;=75,V102&lt;175,W102&lt;35),0.3,0)+IF(AND(V102&gt;=75,V102&lt;=175,W102&gt;=35,W102&lt;65),0.23,0)+IF(AND(V102&gt;=75,V102&lt;=175,W102&gt;=65,W102&lt;110),0.17,0)+IF(AND(V102&gt;=75,V102&lt;=175,W102&gt;=110),0.12,0)+IF(AND(V102&gt;175,W102&lt;25),0.3,0)+IF(AND(V102&gt;175,W102&gt;=25,W102&lt;55),0.23,0)+IF(AND(V102&gt;175,W102&gt;=55,W102&lt;95),0.17,0)+IF(AND(V102&gt;175,W102&gt;=95),0.12,0),
IF(AF102="DoEVLo",IF(AND(V102&lt;20,W102&lt;55),0.25,0)+IF(AND(V102&lt;20,W102&gt;=55,W102&lt;105),0.2,0)+IF(AND(V102&lt;20,W102&gt;=105),0.15,0)+IF(AND(V102&gt;=20,V102&lt;40,W102&lt;45),0.25,0)+IF(AND(V102&gt;=20,V102&lt;40,W102&gt;=45,W102&lt;95),0.2,0)+IF(AND(V102&gt;=20,V102&lt;40,W102&gt;=95),0.15,0)+IF(AND(V102&gt;=40,V102&lt;75,W102&lt;35),0.25,0)+IF(AND(V102&gt;=40,V102&lt;75,W102&gt;=35,W102&lt;75),0.2,0)+IF(AND(V102&gt;=40,V102&lt;75,W102&gt;=75,W102&lt;120),0.15,0)+IF(AND(V102&gt;=40,V102&lt;75,W102&gt;=120),0.1,0)+IF(AND(V102&gt;=75,V102&lt;175,W102&lt;35),0.25,0)+IF(AND(V102&gt;=75,V102&lt;=175,W102&gt;=35,W102&lt;65),0.2,0)+IF(AND(V102&gt;=75,V102&lt;=175,W102&gt;=65,W102&lt;110),0.15,0)+IF(AND(V102&gt;=75,V102&lt;=175,W102&gt;=110),0.1,0)+IF(AND(V102&gt;175,W102&lt;25),0.25,0)+IF(AND(V102&gt;175,W102&gt;=25,W102&lt;55),0.2,0)+IF(AND(V102&gt;175,W102&gt;=55,W102&lt;95),0.15,0)+IF(AND(V102&gt;175,W102&gt;=95),0.1,0))))))))))))))))</f>
        <v>0.15</v>
      </c>
      <c r="Y102" s="30">
        <f>IF(AG102="None",0,IF(AG102="Fix5",0.05,IF(AG102="Fix3.75",0.0375,IF(AG102="Fix10",0.1,IF(AG102="Fix3",0.03,0)))))</f>
        <v>0.05</v>
      </c>
      <c r="Z102" s="35">
        <f>T102-AA102-AB102</f>
        <v>192</v>
      </c>
      <c r="AA102" s="29">
        <f>IF(AD102="EUR",((T102-R102)*X102)*U102+(R102*X102),(T102*X102))</f>
        <v>36</v>
      </c>
      <c r="AB102" s="36">
        <f>IF(AD102="EUR",((T102-R102)*Y102)*U102+(R102*Y102),(T102*Y102))</f>
        <v>12</v>
      </c>
      <c r="AC102" s="37" t="b">
        <v>1</v>
      </c>
      <c r="AD102" s="37" t="s">
        <v>38</v>
      </c>
      <c r="AE102" s="37" t="s">
        <v>38</v>
      </c>
      <c r="AF102" s="37" t="str">
        <f t="array" ref="AF102">INDEX('Deal Info'!D:D, MATCH(A102,'Deal Info'!A:A, 0))</f>
        <v>Fix15</v>
      </c>
      <c r="AG102" s="38" t="str">
        <f t="array" ref="AG102">INDEX('Deal Info'!G:G, MATCH(A102,'Deal Info'!A:A, 0))</f>
        <v>Fix5</v>
      </c>
    </row>
    <row r="103" spans="1:33" ht="14.25" hidden="1" x14ac:dyDescent="0.2">
      <c r="A103" s="18" t="str">
        <f t="array" ref="A103">IF(G103='Room Info'!$B$1, INDEX('Room Info'!$A$2:$A2446, MATCH(B103,'Room Info'!$B$2:$B2446, 0)),IF(G103='Room Info'!$C$1, INDEX('Room Info'!$A$2:$A2446, MATCH(B103,'Room Info'!$C$2:$C2446, 0)),IF(G103='Room Info'!$D$1, INDEX('Room Info'!$A$2:$A2446, MATCH(B103,'Room Info'!$D$2:$D2446, 0)),IF(G103='Room Info'!$E$1, INDEX('Room Info'!$A$2:$A2446, MATCH(B103,'Room Info'!$E$2:$E2446, 0)),IF(G103='Room Info'!$F$1, INDEX('Room Info'!$A$2:$A2446, MATCH(B103,'Room Info'!$F$2:$F2446, 0)),IF(G103='Room Info'!$H$1, INDEX('Room Info'!$A$2:$A2446, MATCH(B103,'Room Info'!$H$2:$H2446, 0)),IF(G103='Room Info'!$G$1, INDEX('Room Info'!$A$2:$A2446, MATCH(B103,'Room Info'!$G$2:$G2446, 0)))))))))</f>
        <v>AlexanderDSL</v>
      </c>
      <c r="B103" s="54" t="s">
        <v>82</v>
      </c>
      <c r="C103" s="46">
        <v>44429</v>
      </c>
      <c r="D103" s="67">
        <v>44459</v>
      </c>
      <c r="E103" s="47">
        <v>44440</v>
      </c>
      <c r="F103" s="45" t="s">
        <v>34</v>
      </c>
      <c r="G103" s="54" t="s">
        <v>35</v>
      </c>
      <c r="H103" s="49" t="s">
        <v>40</v>
      </c>
      <c r="I103" s="49" t="s">
        <v>37</v>
      </c>
      <c r="J103" s="50">
        <v>10</v>
      </c>
      <c r="K103" s="51">
        <v>1</v>
      </c>
      <c r="L103" s="52">
        <v>-10</v>
      </c>
      <c r="M103" s="62"/>
      <c r="N103" s="28">
        <f>K103*J103</f>
        <v>10</v>
      </c>
      <c r="O103" s="54">
        <v>0</v>
      </c>
      <c r="P103" s="29">
        <v>0</v>
      </c>
      <c r="Q103" s="55"/>
      <c r="R103" s="31">
        <f>M103+Q103</f>
        <v>0</v>
      </c>
      <c r="S103" s="56">
        <v>-1</v>
      </c>
      <c r="T103" s="32">
        <f>R103+S103+IF(F103="Without EV deal",L103,0)</f>
        <v>-1</v>
      </c>
      <c r="U103" s="33">
        <v>1</v>
      </c>
      <c r="V103" s="58"/>
      <c r="W103" s="58"/>
      <c r="X103" s="30">
        <f>IF(AF103="DoEV",IF(AND(V103&lt;20,W103&lt;55),0.3,0)+IF(AND(V103&lt;20,W103&gt;=55,W103&lt;105),0.23,0)+IF(AND(V103&lt;20,W103&gt;=105),0.17,0)+IF(AND(V103&gt;=20,V103&lt;40,W103&lt;45),0.3,0)+IF(AND(V103&gt;=20,V103&lt;40,W103&gt;=45,W103&lt;95),0.23,0)+IF(AND(V103&gt;=20,V103&lt;40,W103&gt;=95),0.17,0)+IF(AND(V103&gt;=40,V103&lt;75,W103&lt;35),0.3,0)+IF(AND(V103&gt;=40,V103&lt;75,W103&gt;=35,W103&lt;75),0.23,0)+IF(AND(V103&gt;=40,V103&lt;75,W103&gt;=75,W103&lt;120),0.17,0)+IF(AND(V103&gt;=40,V103&lt;75,W103&gt;=120),0.12,0)+IF(AND(V103&gt;=75,V103&lt;175,W103&lt;35),0.3,0)+IF(AND(V103&gt;=75,V103&lt;=175,W103&gt;=35,W103&lt;65),0.23,0)+IF(AND(V103&gt;=75,V103&lt;=175,W103&gt;=65,W103&lt;110),0.17,0)+IF(AND(V103&gt;=75,V103&lt;=175,W103&gt;=110),0.12,0)+IF(AND(V103&gt;175,W103&lt;25),0.3,0)+IF(AND(V103&gt;175,W103&gt;=25,W103&lt;55),0.23,0)+IF(AND(V103&gt;175,W103&gt;=55,W103&lt;95),0.17,0)+IF(AND(V103&gt;175,W103&gt;=95),0.12,0),
IF(AF103="Fix15",0.15,
IF(AF103="Fix11.25",0.1125,
IF(AF103="Fix10",0.1,
IF(AF103="Fix9",0.09,
IF(AF103="DoEV2017",IF(AND(W103&lt;74),0.2,0)+IF(AND(W103&gt;=74),0.17,0),
IF(AF103="SF",IF(AND(V103&lt;20,W103&lt;89),0.3,0)+IF(AND(V103&lt;20,W103&gt;=89),0.25,0)+IF(AND(V103&gt;=20,V103&lt;40,W103&lt;74),0.3,0)+IF(AND(V103&gt;=20,V103&lt;40,W103&gt;=75),0.22,0)+IF(AND(V103&gt;=40,V103&lt;75,W103&lt;75),0.26,0)+IF(AND(V103&gt;=40,V103&lt;75,W103&gt;=75),0.22,0)+IF(V103&gt;=75,0.22,0),
IF(AF103="DoEVold",IF(AND(V103&lt;40,W103&lt;35),0.35,0)+IF(AND(V103&lt;40,W103&gt;=35,W103&lt;75),0.25,0)+IF(AND(V103&lt;40,W103&gt;=75),0.17,0)+IF(AND(V103&gt;=40,V103&lt;75,W103&lt;25),0.35,0)+IF(AND(V103&gt;=40,V103&lt;75,W103&gt;=25,W103&lt;65),0.25,0)+IF(AND(V103&gt;=40,V103&lt;75,W103&gt;=65,W103&lt;100),0.17,0)+IF(AND(V103&gt;=40,V103&lt;75,W103&gt;=100),0.1,0)+IF(AND(V103&gt;=75,W103&lt;25),0.35,0)+IF(AND(V103&gt;=75,W103&gt;=25,W103&lt;60),0.25,0)+IF(AND(V103&gt;=75,W103&gt;=60,W103&lt;95),0.17,0)+IF(AND(V103&gt;=75,W103&gt;=95),0.1,0),
IF(AF103="DoEVold15",IF(AND(V103&lt;=40,W103&lt;35),0.35,0)+IF(AND(V103&lt;=40,W103&gt;=35,W103&lt;75),0.25,0)+IF(AND(V103&lt;=40,W103&gt;=75,W103&lt;120),0.17,0)+IF(AND(V103&lt;=40,W103&gt;=120),0.15,0)+IF(AND(V103&gt;40,V103&lt;75,W103&lt;25),0.35,0)+IF(AND(V103&gt;=40,V103&lt;75,W103&gt;=25,W103&lt;65),0.25,0)+IF(AND(V103&gt;=40,V103&lt;75,W103&gt;=65,W103&lt;100),0.17,0)+IF(AND(V103&gt;=40,V103&lt;75,W103&gt;=100),0.1,0)+IF(AND(V103&gt;=75,W103&lt;25),0.35,0)+IF(AND(V103&gt;=75,W103&gt;=25,W103&lt;60),0.25,0)+IF(AND(V103&gt;=75,W103&gt;=60,W103&lt;95),0.17,0)+IF(AND(V103&gt;=75,W103&gt;=95),0.1,0),
IF(AF103="DoEVba",IF(AND(V103&lt;20,W103&lt;105),0.2,0)+IF(AND(V103&lt;20,W103&gt;=105),0.15,0)+IF(AND(V103&gt;=20,V103&lt;40,W103&lt;95),0.2,0)+IF(AND(V103&gt;=20,V103&lt;40,W103&gt;=95,W103&lt;150),0.15,0)+IF(AND(V103&gt;=20,V103&lt;40,W103&gt;=150),0.12,0)+IF(AND(V103&gt;=40,V103&lt;75,W103&lt;75),0.2,0)+IF(AND(V103&gt;=40,V103&lt;75,W103&gt;=75,W103&lt;120),0.15,0)+IF(AND(V103&gt;=40,V103&lt;75,W103&gt;=120),0.12,0)+IF(AND(V103&gt;=75,V103&lt;175,W103&lt;65),0.2,0)+IF(AND(V103&gt;=75,V103&lt;175,W103&gt;=65,W103&lt;110),0.15,0)+IF(AND(V103&gt;=75,V103&lt;175,W103&gt;=110),0.12,0)+IF(AND(V103&gt;=175,W103&lt;55),0.2,0)+IF(AND(V103&gt;=175,W103&gt;=55,W103&lt;95),0.15,0)+IF(AND(V103&gt;=175,W103&gt;=95),0.12,0),
IF(AF103="DoEVku",IF(AND(V103&lt;20,W103&lt;55),0.23,0)+IF(AND(V103&lt;20,W103&gt;=55,W103&lt;105),0.2,0)+IF(AND(V103&lt;20,W103&gt;=105),0.17,0)+IF(AND(V103&gt;=20,V103&lt;40,W103&lt;45),0.23,0)+IF(AND(V103&gt;=20,V103&lt;40,W103&gt;=45,W103&lt;95),0.2,0)+IF(AND(V103&gt;=20,V103&lt;40,W103&gt;=95,W103&lt;=150),0.17,0)+IF(AND(V103&gt;=20,V103&lt;40,W103&gt;=150),0.12,0)+IF(AND(V103&gt;=40,V103&lt;75,W103&lt;35),0.23,0)+IF(AND(V103&gt;=40,V103&lt;75,W103&gt;=35,W103&lt;75),0.2,0)+IF(AND(V103&gt;=40,V103&lt;75,W103&gt;=75,W103&lt;120),0.17,0)+IF(AND(V103&gt;=40,V103&lt;75,W103&gt;=120),0.12,0)+IF(AND(V103&gt;=75,V103&lt;175,W103&lt;35),0.23,0)+IF(AND(V103&gt;=75,V103&lt;=175,W103&gt;=35,W103&lt;65),0.2,0)+IF(AND(V103&gt;=75,V103&lt;=175,W103&gt;=65,W103&lt;110),0.17,0)+IF(AND(V103&gt;=75,V103&lt;=175,W103&gt;=110),0.12,0)+IF(AND(V103&gt;175,W103&lt;25),0.23,0)+IF(AND(V103&gt;175,W103&gt;=25,W103&lt;55),0.2,0)+IF(AND(V103&gt;175,W103&gt;=55,W103&lt;95),0.17,0)+IF(AND(V103&gt;175,W103&gt;=95),0.12,0),
IF(AF103="DoEVs1",IF(AND(V103&lt;20,W103&lt;55),0.3,0)+IF(AND(V103&lt;20,W103&gt;=55,W103&lt;105),0.23,0)+IF(AND(V103&lt;20,W103&gt;=105),0.17,0)+IF(AND(V103&gt;=20,V103&lt;40,W103&lt;45),0.3,0)+IF(AND(V103&gt;=20,V103&lt;40,W103&gt;=45,W103&lt;95),0.23,0)+IF(AND(V103&gt;=20,V103&lt;40,W103&gt;=95,W103&lt;=150),0.17,0)+IF(AND(V103&gt;=20,V103&lt;40,W103&gt;=150),0.12,0)+IF(AND(V103&gt;=40,V103&lt;75,W103&lt;35),0.3,0)+IF(AND(V103&gt;=40,V103&lt;75,W103&gt;=35,W103&lt;75),0.23,0)+IF(AND(V103&gt;=40,V103&lt;75,W103&gt;=75,W103&lt;120),0.17,0)+IF(AND(V103&gt;=40,V103&lt;75,W103&gt;=120),0.12,0)+IF(AND(V103&gt;=75,V103&lt;175,W103&lt;35),0.3,0)+IF(AND(V103&gt;=75,V103&lt;=175,W103&gt;=35,W103&lt;65),0.23,0)+IF(AND(V103&gt;=75,V103&lt;=175,W103&gt;=65,W103&lt;110),0.17,0)+IF(AND(V103&gt;=75,V103&lt;=175,W103&gt;=110),0.12,0)+IF(AND(V103&gt;175,W103&lt;25),0.3,0)+IF(AND(V103&gt;175,W103&gt;=25,W103&lt;55),0.23,0)+IF(AND(V103&gt;175,W103&gt;=55,W103&lt;95),0.17,0)+IF(AND(V103&gt;175,W103&gt;=95),0.12,0),
IF(AF103="DoEVsu",IF(AND(V103&lt;20,W103&lt;55),0.3,0)+IF(AND(V103&lt;20,W103&gt;=55,W103&lt;105),0.23,0)+IF(AND(V103&lt;20,W103&gt;=105),0.17,0)+IF(AND(V103&gt;=20,V103&lt;40,W103&lt;45),0.3,0)+IF(AND(V103&gt;=20,V103&lt;40,W103&gt;=45,W103&lt;95),0.23,0)+IF(AND(V103&gt;=20,V103&lt;40,W103&gt;=95,W103&lt;=250),0.17,0)+IF(AND(V103&gt;=20,V103&lt;40,W103&gt;=250),0.12,0)+IF(AND(V103&gt;=40,V103&lt;75,W103&lt;35),0.3,0)+IF(AND(V103&gt;=40,V103&lt;75,W103&gt;=35,W103&lt;75),0.23,0)+IF(AND(V103&gt;=40,V103&lt;75,W103&gt;=75,W103&lt;120),0.17,0)+IF(AND(V103&gt;=40,V103&lt;75,W103&gt;=120),0.12,0)+IF(AND(V103&gt;=75,V103&lt;175,W103&lt;35),0.3,0)+IF(AND(V103&gt;=75,V103&lt;=175,W103&gt;=35,W103&lt;65),0.23,0)+IF(AND(V103&gt;=75,V103&lt;=175,W103&gt;=65,W103&lt;110),0.17,0)+IF(AND(V103&gt;=75,V103&lt;=175,W103&gt;=110),0.12,0)+IF(AND(V103&gt;175,W103&lt;25),0.3,0)+IF(AND(V103&gt;175,W103&gt;=25,W103&lt;55),0.23,0)+IF(AND(V103&gt;175,W103&gt;=55,W103&lt;95),0.17,0)+IF(AND(V103&gt;175,W103&gt;=95),0.12,0),
IF(AF103="DoEVni",IF(AND(V103&lt;20,W103&lt;55),0.3,0)+IF(AND(V103&lt;20,W103&gt;=55,W103&lt;105),0.23,0)+IF(AND(V103&lt;20,W103&gt;=105),0.17,0)+IF(AND(V103&gt;=20,V103&lt;40,W103&lt;45),0.3,0)+IF(AND(V103&gt;=20,V103&lt;40,W103&gt;=45,W103&lt;95),0.23,0)+IF(AND(V103&gt;=20,V103&lt;40,W103&gt;=95,W103&lt;=200),0.17,0)+IF(AND(V103&gt;=20,V103&lt;40,W103&gt;=200),0.12,0)+IF(AND(V103&gt;=40,V103&lt;75,W103&lt;35),0.3,0)+IF(AND(V103&gt;=40,V103&lt;75,W103&gt;=35,W103&lt;75),0.23,0)+IF(AND(V103&gt;=40,V103&lt;75,W103&gt;=75,W103&lt;120),0.17,0)+IF(AND(V103&gt;=40,V103&lt;75,W103&gt;=120),0.12,0)+IF(AND(V103&gt;=75,V103&lt;175,W103&lt;35),0.3,0)+IF(AND(V103&gt;=75,V103&lt;=175,W103&gt;=35,W103&lt;65),0.23,0)+IF(AND(V103&gt;=75,V103&lt;=175,W103&gt;=65,W103&lt;110),0.17,0)+IF(AND(V103&gt;=75,V103&lt;=175,W103&gt;=110),0.12,0)+IF(AND(V103&gt;175,W103&lt;25),0.3,0)+IF(AND(V103&gt;175,W103&gt;=25,W103&lt;55),0.23,0)+IF(AND(V103&gt;175,W103&gt;=55,W103&lt;95),0.17,0)+IF(AND(V103&gt;175,W103&gt;=95),0.12,0),
IF(AF103="DoEVLo",IF(AND(V103&lt;20,W103&lt;55),0.25,0)+IF(AND(V103&lt;20,W103&gt;=55,W103&lt;105),0.2,0)+IF(AND(V103&lt;20,W103&gt;=105),0.15,0)+IF(AND(V103&gt;=20,V103&lt;40,W103&lt;45),0.25,0)+IF(AND(V103&gt;=20,V103&lt;40,W103&gt;=45,W103&lt;95),0.2,0)+IF(AND(V103&gt;=20,V103&lt;40,W103&gt;=95),0.15,0)+IF(AND(V103&gt;=40,V103&lt;75,W103&lt;35),0.25,0)+IF(AND(V103&gt;=40,V103&lt;75,W103&gt;=35,W103&lt;75),0.2,0)+IF(AND(V103&gt;=40,V103&lt;75,W103&gt;=75,W103&lt;120),0.15,0)+IF(AND(V103&gt;=40,V103&lt;75,W103&gt;=120),0.1,0)+IF(AND(V103&gt;=75,V103&lt;175,W103&lt;35),0.25,0)+IF(AND(V103&gt;=75,V103&lt;=175,W103&gt;=35,W103&lt;65),0.2,0)+IF(AND(V103&gt;=75,V103&lt;=175,W103&gt;=65,W103&lt;110),0.15,0)+IF(AND(V103&gt;=75,V103&lt;=175,W103&gt;=110),0.1,0)+IF(AND(V103&gt;175,W103&lt;25),0.25,0)+IF(AND(V103&gt;175,W103&gt;=25,W103&lt;55),0.2,0)+IF(AND(V103&gt;175,W103&gt;=55,W103&lt;95),0.15,0)+IF(AND(V103&gt;175,W103&gt;=95),0.1,0))))))))))))))))</f>
        <v>0.15</v>
      </c>
      <c r="Y103" s="30">
        <f>IF(AG103="None",0,IF(AG103="Fix5",0.05,IF(AG103="Fix3.75",0.0375,IF(AG103="Fix10",0.1,IF(AG103="Fix3",0.03,0)))))</f>
        <v>0.05</v>
      </c>
      <c r="Z103" s="35">
        <f>T103-AA103-AB103</f>
        <v>-0.79999999999999993</v>
      </c>
      <c r="AA103" s="29">
        <f>IF(AD103="EUR",((T103-R103)*X103)*U103+(R103*X103),(T103*X103))</f>
        <v>-0.15</v>
      </c>
      <c r="AB103" s="36">
        <f>IF(AD103="EUR",((T103-R103)*Y103)*U103+(R103*Y103),(T103*Y103))</f>
        <v>-0.05</v>
      </c>
      <c r="AC103" s="37" t="b">
        <v>1</v>
      </c>
      <c r="AD103" s="37" t="s">
        <v>38</v>
      </c>
      <c r="AE103" s="37" t="s">
        <v>38</v>
      </c>
      <c r="AF103" s="37" t="str">
        <f t="array" ref="AF103">INDEX('Deal Info'!D:D, MATCH(A103,'Deal Info'!A:A, 0))</f>
        <v>Fix15</v>
      </c>
      <c r="AG103" s="38" t="str">
        <f t="array" ref="AG103">INDEX('Deal Info'!G:G, MATCH(A103,'Deal Info'!A:A, 0))</f>
        <v>Fix5</v>
      </c>
    </row>
    <row r="104" spans="1:33" ht="14.25" hidden="1" x14ac:dyDescent="0.2">
      <c r="A104" s="18" t="str">
        <f t="array" ref="A104">IF(G104='Room Info'!$B$1, INDEX('Room Info'!$A$2:$A2446, MATCH(B104,'Room Info'!$B$2:$B2446, 0)),IF(G104='Room Info'!$C$1, INDEX('Room Info'!$A$2:$A2446, MATCH(B104,'Room Info'!$C$2:$C2446, 0)),IF(G104='Room Info'!$D$1, INDEX('Room Info'!$A$2:$A2446, MATCH(B104,'Room Info'!$D$2:$D2446, 0)),IF(G104='Room Info'!$E$1, INDEX('Room Info'!$A$2:$A2446, MATCH(B104,'Room Info'!$E$2:$E2446, 0)),IF(G104='Room Info'!$F$1, INDEX('Room Info'!$A$2:$A2446, MATCH(B104,'Room Info'!$F$2:$F2446, 0)),IF(G104='Room Info'!$H$1, INDEX('Room Info'!$A$2:$A2446, MATCH(B104,'Room Info'!$H$2:$H2446, 0)),IF(G104='Room Info'!$G$1, INDEX('Room Info'!$A$2:$A2446, MATCH(B104,'Room Info'!$G$2:$G2446, 0)))))))))</f>
        <v>AlexanderDSL</v>
      </c>
      <c r="B104" s="54" t="s">
        <v>82</v>
      </c>
      <c r="C104" s="67">
        <v>44429</v>
      </c>
      <c r="D104" s="67">
        <v>44459</v>
      </c>
      <c r="E104" s="47">
        <v>44440</v>
      </c>
      <c r="F104" s="45" t="s">
        <v>34</v>
      </c>
      <c r="G104" s="54" t="s">
        <v>35</v>
      </c>
      <c r="H104" s="49" t="s">
        <v>46</v>
      </c>
      <c r="I104" s="49" t="s">
        <v>37</v>
      </c>
      <c r="J104" s="50">
        <v>25</v>
      </c>
      <c r="K104" s="51">
        <v>6</v>
      </c>
      <c r="L104" s="52">
        <v>-25</v>
      </c>
      <c r="M104" s="53">
        <v>5</v>
      </c>
      <c r="N104" s="28">
        <f>K104*J104</f>
        <v>150</v>
      </c>
      <c r="O104" s="54">
        <v>-353</v>
      </c>
      <c r="P104" s="29">
        <v>-58.833333330000002</v>
      </c>
      <c r="Q104" s="55"/>
      <c r="R104" s="31">
        <f>M104+Q104</f>
        <v>5</v>
      </c>
      <c r="S104" s="56">
        <v>-26</v>
      </c>
      <c r="T104" s="32">
        <f>R104+S104+IF(F104="Without EV deal",L104,0)</f>
        <v>-21</v>
      </c>
      <c r="U104" s="33">
        <v>1</v>
      </c>
      <c r="V104" s="58"/>
      <c r="W104" s="58"/>
      <c r="X104" s="30">
        <f>IF(AF104="DoEV",IF(AND(V104&lt;20,W104&lt;55),0.3,0)+IF(AND(V104&lt;20,W104&gt;=55,W104&lt;105),0.23,0)+IF(AND(V104&lt;20,W104&gt;=105),0.17,0)+IF(AND(V104&gt;=20,V104&lt;40,W104&lt;45),0.3,0)+IF(AND(V104&gt;=20,V104&lt;40,W104&gt;=45,W104&lt;95),0.23,0)+IF(AND(V104&gt;=20,V104&lt;40,W104&gt;=95),0.17,0)+IF(AND(V104&gt;=40,V104&lt;75,W104&lt;35),0.3,0)+IF(AND(V104&gt;=40,V104&lt;75,W104&gt;=35,W104&lt;75),0.23,0)+IF(AND(V104&gt;=40,V104&lt;75,W104&gt;=75,W104&lt;120),0.17,0)+IF(AND(V104&gt;=40,V104&lt;75,W104&gt;=120),0.12,0)+IF(AND(V104&gt;=75,V104&lt;175,W104&lt;35),0.3,0)+IF(AND(V104&gt;=75,V104&lt;=175,W104&gt;=35,W104&lt;65),0.23,0)+IF(AND(V104&gt;=75,V104&lt;=175,W104&gt;=65,W104&lt;110),0.17,0)+IF(AND(V104&gt;=75,V104&lt;=175,W104&gt;=110),0.12,0)+IF(AND(V104&gt;175,W104&lt;25),0.3,0)+IF(AND(V104&gt;175,W104&gt;=25,W104&lt;55),0.23,0)+IF(AND(V104&gt;175,W104&gt;=55,W104&lt;95),0.17,0)+IF(AND(V104&gt;175,W104&gt;=95),0.12,0),
IF(AF104="Fix15",0.15,
IF(AF104="Fix11.25",0.1125,
IF(AF104="Fix10",0.1,
IF(AF104="Fix9",0.09,
IF(AF104="DoEV2017",IF(AND(W104&lt;74),0.2,0)+IF(AND(W104&gt;=74),0.17,0),
IF(AF104="SF",IF(AND(V104&lt;20,W104&lt;89),0.3,0)+IF(AND(V104&lt;20,W104&gt;=89),0.25,0)+IF(AND(V104&gt;=20,V104&lt;40,W104&lt;74),0.3,0)+IF(AND(V104&gt;=20,V104&lt;40,W104&gt;=75),0.22,0)+IF(AND(V104&gt;=40,V104&lt;75,W104&lt;75),0.26,0)+IF(AND(V104&gt;=40,V104&lt;75,W104&gt;=75),0.22,0)+IF(V104&gt;=75,0.22,0),
IF(AF104="DoEVold",IF(AND(V104&lt;40,W104&lt;35),0.35,0)+IF(AND(V104&lt;40,W104&gt;=35,W104&lt;75),0.25,0)+IF(AND(V104&lt;40,W104&gt;=75),0.17,0)+IF(AND(V104&gt;=40,V104&lt;75,W104&lt;25),0.35,0)+IF(AND(V104&gt;=40,V104&lt;75,W104&gt;=25,W104&lt;65),0.25,0)+IF(AND(V104&gt;=40,V104&lt;75,W104&gt;=65,W104&lt;100),0.17,0)+IF(AND(V104&gt;=40,V104&lt;75,W104&gt;=100),0.1,0)+IF(AND(V104&gt;=75,W104&lt;25),0.35,0)+IF(AND(V104&gt;=75,W104&gt;=25,W104&lt;60),0.25,0)+IF(AND(V104&gt;=75,W104&gt;=60,W104&lt;95),0.17,0)+IF(AND(V104&gt;=75,W104&gt;=95),0.1,0),
IF(AF104="DoEVold15",IF(AND(V104&lt;=40,W104&lt;35),0.35,0)+IF(AND(V104&lt;=40,W104&gt;=35,W104&lt;75),0.25,0)+IF(AND(V104&lt;=40,W104&gt;=75,W104&lt;120),0.17,0)+IF(AND(V104&lt;=40,W104&gt;=120),0.15,0)+IF(AND(V104&gt;40,V104&lt;75,W104&lt;25),0.35,0)+IF(AND(V104&gt;=40,V104&lt;75,W104&gt;=25,W104&lt;65),0.25,0)+IF(AND(V104&gt;=40,V104&lt;75,W104&gt;=65,W104&lt;100),0.17,0)+IF(AND(V104&gt;=40,V104&lt;75,W104&gt;=100),0.1,0)+IF(AND(V104&gt;=75,W104&lt;25),0.35,0)+IF(AND(V104&gt;=75,W104&gt;=25,W104&lt;60),0.25,0)+IF(AND(V104&gt;=75,W104&gt;=60,W104&lt;95),0.17,0)+IF(AND(V104&gt;=75,W104&gt;=95),0.1,0),
IF(AF104="DoEVba",IF(AND(V104&lt;20,W104&lt;105),0.2,0)+IF(AND(V104&lt;20,W104&gt;=105),0.15,0)+IF(AND(V104&gt;=20,V104&lt;40,W104&lt;95),0.2,0)+IF(AND(V104&gt;=20,V104&lt;40,W104&gt;=95,W104&lt;150),0.15,0)+IF(AND(V104&gt;=20,V104&lt;40,W104&gt;=150),0.12,0)+IF(AND(V104&gt;=40,V104&lt;75,W104&lt;75),0.2,0)+IF(AND(V104&gt;=40,V104&lt;75,W104&gt;=75,W104&lt;120),0.15,0)+IF(AND(V104&gt;=40,V104&lt;75,W104&gt;=120),0.12,0)+IF(AND(V104&gt;=75,V104&lt;175,W104&lt;65),0.2,0)+IF(AND(V104&gt;=75,V104&lt;175,W104&gt;=65,W104&lt;110),0.15,0)+IF(AND(V104&gt;=75,V104&lt;175,W104&gt;=110),0.12,0)+IF(AND(V104&gt;=175,W104&lt;55),0.2,0)+IF(AND(V104&gt;=175,W104&gt;=55,W104&lt;95),0.15,0)+IF(AND(V104&gt;=175,W104&gt;=95),0.12,0),
IF(AF104="DoEVku",IF(AND(V104&lt;20,W104&lt;55),0.23,0)+IF(AND(V104&lt;20,W104&gt;=55,W104&lt;105),0.2,0)+IF(AND(V104&lt;20,W104&gt;=105),0.17,0)+IF(AND(V104&gt;=20,V104&lt;40,W104&lt;45),0.23,0)+IF(AND(V104&gt;=20,V104&lt;40,W104&gt;=45,W104&lt;95),0.2,0)+IF(AND(V104&gt;=20,V104&lt;40,W104&gt;=95,W104&lt;=150),0.17,0)+IF(AND(V104&gt;=20,V104&lt;40,W104&gt;=150),0.12,0)+IF(AND(V104&gt;=40,V104&lt;75,W104&lt;35),0.23,0)+IF(AND(V104&gt;=40,V104&lt;75,W104&gt;=35,W104&lt;75),0.2,0)+IF(AND(V104&gt;=40,V104&lt;75,W104&gt;=75,W104&lt;120),0.17,0)+IF(AND(V104&gt;=40,V104&lt;75,W104&gt;=120),0.12,0)+IF(AND(V104&gt;=75,V104&lt;175,W104&lt;35),0.23,0)+IF(AND(V104&gt;=75,V104&lt;=175,W104&gt;=35,W104&lt;65),0.2,0)+IF(AND(V104&gt;=75,V104&lt;=175,W104&gt;=65,W104&lt;110),0.17,0)+IF(AND(V104&gt;=75,V104&lt;=175,W104&gt;=110),0.12,0)+IF(AND(V104&gt;175,W104&lt;25),0.23,0)+IF(AND(V104&gt;175,W104&gt;=25,W104&lt;55),0.2,0)+IF(AND(V104&gt;175,W104&gt;=55,W104&lt;95),0.17,0)+IF(AND(V104&gt;175,W104&gt;=95),0.12,0),
IF(AF104="DoEVs1",IF(AND(V104&lt;20,W104&lt;55),0.3,0)+IF(AND(V104&lt;20,W104&gt;=55,W104&lt;105),0.23,0)+IF(AND(V104&lt;20,W104&gt;=105),0.17,0)+IF(AND(V104&gt;=20,V104&lt;40,W104&lt;45),0.3,0)+IF(AND(V104&gt;=20,V104&lt;40,W104&gt;=45,W104&lt;95),0.23,0)+IF(AND(V104&gt;=20,V104&lt;40,W104&gt;=95,W104&lt;=150),0.17,0)+IF(AND(V104&gt;=20,V104&lt;40,W104&gt;=150),0.12,0)+IF(AND(V104&gt;=40,V104&lt;75,W104&lt;35),0.3,0)+IF(AND(V104&gt;=40,V104&lt;75,W104&gt;=35,W104&lt;75),0.23,0)+IF(AND(V104&gt;=40,V104&lt;75,W104&gt;=75,W104&lt;120),0.17,0)+IF(AND(V104&gt;=40,V104&lt;75,W104&gt;=120),0.12,0)+IF(AND(V104&gt;=75,V104&lt;175,W104&lt;35),0.3,0)+IF(AND(V104&gt;=75,V104&lt;=175,W104&gt;=35,W104&lt;65),0.23,0)+IF(AND(V104&gt;=75,V104&lt;=175,W104&gt;=65,W104&lt;110),0.17,0)+IF(AND(V104&gt;=75,V104&lt;=175,W104&gt;=110),0.12,0)+IF(AND(V104&gt;175,W104&lt;25),0.3,0)+IF(AND(V104&gt;175,W104&gt;=25,W104&lt;55),0.23,0)+IF(AND(V104&gt;175,W104&gt;=55,W104&lt;95),0.17,0)+IF(AND(V104&gt;175,W104&gt;=95),0.12,0),
IF(AF104="DoEVsu",IF(AND(V104&lt;20,W104&lt;55),0.3,0)+IF(AND(V104&lt;20,W104&gt;=55,W104&lt;105),0.23,0)+IF(AND(V104&lt;20,W104&gt;=105),0.17,0)+IF(AND(V104&gt;=20,V104&lt;40,W104&lt;45),0.3,0)+IF(AND(V104&gt;=20,V104&lt;40,W104&gt;=45,W104&lt;95),0.23,0)+IF(AND(V104&gt;=20,V104&lt;40,W104&gt;=95,W104&lt;=250),0.17,0)+IF(AND(V104&gt;=20,V104&lt;40,W104&gt;=250),0.12,0)+IF(AND(V104&gt;=40,V104&lt;75,W104&lt;35),0.3,0)+IF(AND(V104&gt;=40,V104&lt;75,W104&gt;=35,W104&lt;75),0.23,0)+IF(AND(V104&gt;=40,V104&lt;75,W104&gt;=75,W104&lt;120),0.17,0)+IF(AND(V104&gt;=40,V104&lt;75,W104&gt;=120),0.12,0)+IF(AND(V104&gt;=75,V104&lt;175,W104&lt;35),0.3,0)+IF(AND(V104&gt;=75,V104&lt;=175,W104&gt;=35,W104&lt;65),0.23,0)+IF(AND(V104&gt;=75,V104&lt;=175,W104&gt;=65,W104&lt;110),0.17,0)+IF(AND(V104&gt;=75,V104&lt;=175,W104&gt;=110),0.12,0)+IF(AND(V104&gt;175,W104&lt;25),0.3,0)+IF(AND(V104&gt;175,W104&gt;=25,W104&lt;55),0.23,0)+IF(AND(V104&gt;175,W104&gt;=55,W104&lt;95),0.17,0)+IF(AND(V104&gt;175,W104&gt;=95),0.12,0),
IF(AF104="DoEVni",IF(AND(V104&lt;20,W104&lt;55),0.3,0)+IF(AND(V104&lt;20,W104&gt;=55,W104&lt;105),0.23,0)+IF(AND(V104&lt;20,W104&gt;=105),0.17,0)+IF(AND(V104&gt;=20,V104&lt;40,W104&lt;45),0.3,0)+IF(AND(V104&gt;=20,V104&lt;40,W104&gt;=45,W104&lt;95),0.23,0)+IF(AND(V104&gt;=20,V104&lt;40,W104&gt;=95,W104&lt;=200),0.17,0)+IF(AND(V104&gt;=20,V104&lt;40,W104&gt;=200),0.12,0)+IF(AND(V104&gt;=40,V104&lt;75,W104&lt;35),0.3,0)+IF(AND(V104&gt;=40,V104&lt;75,W104&gt;=35,W104&lt;75),0.23,0)+IF(AND(V104&gt;=40,V104&lt;75,W104&gt;=75,W104&lt;120),0.17,0)+IF(AND(V104&gt;=40,V104&lt;75,W104&gt;=120),0.12,0)+IF(AND(V104&gt;=75,V104&lt;175,W104&lt;35),0.3,0)+IF(AND(V104&gt;=75,V104&lt;=175,W104&gt;=35,W104&lt;65),0.23,0)+IF(AND(V104&gt;=75,V104&lt;=175,W104&gt;=65,W104&lt;110),0.17,0)+IF(AND(V104&gt;=75,V104&lt;=175,W104&gt;=110),0.12,0)+IF(AND(V104&gt;175,W104&lt;25),0.3,0)+IF(AND(V104&gt;175,W104&gt;=25,W104&lt;55),0.23,0)+IF(AND(V104&gt;175,W104&gt;=55,W104&lt;95),0.17,0)+IF(AND(V104&gt;175,W104&gt;=95),0.12,0),
IF(AF104="DoEVLo",IF(AND(V104&lt;20,W104&lt;55),0.25,0)+IF(AND(V104&lt;20,W104&gt;=55,W104&lt;105),0.2,0)+IF(AND(V104&lt;20,W104&gt;=105),0.15,0)+IF(AND(V104&gt;=20,V104&lt;40,W104&lt;45),0.25,0)+IF(AND(V104&gt;=20,V104&lt;40,W104&gt;=45,W104&lt;95),0.2,0)+IF(AND(V104&gt;=20,V104&lt;40,W104&gt;=95),0.15,0)+IF(AND(V104&gt;=40,V104&lt;75,W104&lt;35),0.25,0)+IF(AND(V104&gt;=40,V104&lt;75,W104&gt;=35,W104&lt;75),0.2,0)+IF(AND(V104&gt;=40,V104&lt;75,W104&gt;=75,W104&lt;120),0.15,0)+IF(AND(V104&gt;=40,V104&lt;75,W104&gt;=120),0.1,0)+IF(AND(V104&gt;=75,V104&lt;175,W104&lt;35),0.25,0)+IF(AND(V104&gt;=75,V104&lt;=175,W104&gt;=35,W104&lt;65),0.2,0)+IF(AND(V104&gt;=75,V104&lt;=175,W104&gt;=65,W104&lt;110),0.15,0)+IF(AND(V104&gt;=75,V104&lt;=175,W104&gt;=110),0.1,0)+IF(AND(V104&gt;175,W104&lt;25),0.25,0)+IF(AND(V104&gt;175,W104&gt;=25,W104&lt;55),0.2,0)+IF(AND(V104&gt;175,W104&gt;=55,W104&lt;95),0.15,0)+IF(AND(V104&gt;175,W104&gt;=95),0.1,0))))))))))))))))</f>
        <v>0.15</v>
      </c>
      <c r="Y104" s="30">
        <f>IF(AG104="None",0,IF(AG104="Fix5",0.05,IF(AG104="Fix3.75",0.0375,IF(AG104="Fix10",0.1,IF(AG104="Fix3",0.03,0)))))</f>
        <v>0.05</v>
      </c>
      <c r="Z104" s="35">
        <f>T104-AA104-AB104</f>
        <v>-16.8</v>
      </c>
      <c r="AA104" s="29">
        <f>IF(AD104="EUR",((T104-R104)*X104)*U104+(R104*X104),(T104*X104))</f>
        <v>-3.15</v>
      </c>
      <c r="AB104" s="36">
        <f>IF(AD104="EUR",((T104-R104)*Y104)*U104+(R104*Y104),(T104*Y104))</f>
        <v>-1.05</v>
      </c>
      <c r="AC104" s="37" t="b">
        <v>1</v>
      </c>
      <c r="AD104" s="37" t="s">
        <v>38</v>
      </c>
      <c r="AE104" s="37" t="s">
        <v>38</v>
      </c>
      <c r="AF104" s="37" t="str">
        <f t="array" ref="AF104">INDEX('Deal Info'!D:D, MATCH(A104,'Deal Info'!A:A, 0))</f>
        <v>Fix15</v>
      </c>
      <c r="AG104" s="38" t="str">
        <f t="array" ref="AG104">INDEX('Deal Info'!G:G, MATCH(A104,'Deal Info'!A:A, 0))</f>
        <v>Fix5</v>
      </c>
    </row>
    <row r="105" spans="1:33" ht="14.25" hidden="1" x14ac:dyDescent="0.2">
      <c r="A105" s="18" t="str">
        <f t="array" ref="A105">IF(G105='Room Info'!$B$1, INDEX('Room Info'!$A$2:$A2446, MATCH(B105,'Room Info'!$B$2:$B2446, 0)),IF(G105='Room Info'!$C$1, INDEX('Room Info'!$A$2:$A2446, MATCH(B105,'Room Info'!$C$2:$C2446, 0)),IF(G105='Room Info'!$D$1, INDEX('Room Info'!$A$2:$A2446, MATCH(B105,'Room Info'!$D$2:$D2446, 0)),IF(G105='Room Info'!$E$1, INDEX('Room Info'!$A$2:$A2446, MATCH(B105,'Room Info'!$E$2:$E2446, 0)),IF(G105='Room Info'!$F$1, INDEX('Room Info'!$A$2:$A2446, MATCH(B105,'Room Info'!$F$2:$F2446, 0)),IF(G105='Room Info'!$H$1, INDEX('Room Info'!$A$2:$A2446, MATCH(B105,'Room Info'!$H$2:$H2446, 0)),IF(G105='Room Info'!$G$1, INDEX('Room Info'!$A$2:$A2446, MATCH(B105,'Room Info'!$G$2:$G2446, 0)))))))))</f>
        <v>AlexanderDSL</v>
      </c>
      <c r="B105" s="54" t="s">
        <v>82</v>
      </c>
      <c r="C105" s="67">
        <v>44429</v>
      </c>
      <c r="D105" s="67">
        <v>44459</v>
      </c>
      <c r="E105" s="47">
        <v>44440</v>
      </c>
      <c r="F105" s="45" t="s">
        <v>34</v>
      </c>
      <c r="G105" s="54" t="s">
        <v>35</v>
      </c>
      <c r="H105" s="49" t="s">
        <v>72</v>
      </c>
      <c r="I105" s="49" t="s">
        <v>37</v>
      </c>
      <c r="J105" s="50">
        <v>50</v>
      </c>
      <c r="K105" s="51">
        <v>4170</v>
      </c>
      <c r="L105" s="52">
        <v>-5650</v>
      </c>
      <c r="M105" s="53">
        <v>5926</v>
      </c>
      <c r="N105" s="28">
        <f>K105*J105</f>
        <v>208500</v>
      </c>
      <c r="O105" s="54">
        <v>112484</v>
      </c>
      <c r="P105" s="29">
        <v>26.974580339999999</v>
      </c>
      <c r="Q105" s="55"/>
      <c r="R105" s="31">
        <f>M105+Q105</f>
        <v>5926</v>
      </c>
      <c r="S105" s="56">
        <v>-3667</v>
      </c>
      <c r="T105" s="32">
        <f>R105+S105+IF(F105="Without EV deal",L105,0)</f>
        <v>2259</v>
      </c>
      <c r="U105" s="33">
        <v>1</v>
      </c>
      <c r="V105" s="58"/>
      <c r="W105" s="58"/>
      <c r="X105" s="30">
        <f>IF(AF105="DoEV",IF(AND(V105&lt;20,W105&lt;55),0.3,0)+IF(AND(V105&lt;20,W105&gt;=55,W105&lt;105),0.23,0)+IF(AND(V105&lt;20,W105&gt;=105),0.17,0)+IF(AND(V105&gt;=20,V105&lt;40,W105&lt;45),0.3,0)+IF(AND(V105&gt;=20,V105&lt;40,W105&gt;=45,W105&lt;95),0.23,0)+IF(AND(V105&gt;=20,V105&lt;40,W105&gt;=95),0.17,0)+IF(AND(V105&gt;=40,V105&lt;75,W105&lt;35),0.3,0)+IF(AND(V105&gt;=40,V105&lt;75,W105&gt;=35,W105&lt;75),0.23,0)+IF(AND(V105&gt;=40,V105&lt;75,W105&gt;=75,W105&lt;120),0.17,0)+IF(AND(V105&gt;=40,V105&lt;75,W105&gt;=120),0.12,0)+IF(AND(V105&gt;=75,V105&lt;175,W105&lt;35),0.3,0)+IF(AND(V105&gt;=75,V105&lt;=175,W105&gt;=35,W105&lt;65),0.23,0)+IF(AND(V105&gt;=75,V105&lt;=175,W105&gt;=65,W105&lt;110),0.17,0)+IF(AND(V105&gt;=75,V105&lt;=175,W105&gt;=110),0.12,0)+IF(AND(V105&gt;175,W105&lt;25),0.3,0)+IF(AND(V105&gt;175,W105&gt;=25,W105&lt;55),0.23,0)+IF(AND(V105&gt;175,W105&gt;=55,W105&lt;95),0.17,0)+IF(AND(V105&gt;175,W105&gt;=95),0.12,0),
IF(AF105="Fix15",0.15,
IF(AF105="Fix11.25",0.1125,
IF(AF105="Fix10",0.1,
IF(AF105="Fix9",0.09,
IF(AF105="DoEV2017",IF(AND(W105&lt;74),0.2,0)+IF(AND(W105&gt;=74),0.17,0),
IF(AF105="SF",IF(AND(V105&lt;20,W105&lt;89),0.3,0)+IF(AND(V105&lt;20,W105&gt;=89),0.25,0)+IF(AND(V105&gt;=20,V105&lt;40,W105&lt;74),0.3,0)+IF(AND(V105&gt;=20,V105&lt;40,W105&gt;=75),0.22,0)+IF(AND(V105&gt;=40,V105&lt;75,W105&lt;75),0.26,0)+IF(AND(V105&gt;=40,V105&lt;75,W105&gt;=75),0.22,0)+IF(V105&gt;=75,0.22,0),
IF(AF105="DoEVold",IF(AND(V105&lt;40,W105&lt;35),0.35,0)+IF(AND(V105&lt;40,W105&gt;=35,W105&lt;75),0.25,0)+IF(AND(V105&lt;40,W105&gt;=75),0.17,0)+IF(AND(V105&gt;=40,V105&lt;75,W105&lt;25),0.35,0)+IF(AND(V105&gt;=40,V105&lt;75,W105&gt;=25,W105&lt;65),0.25,0)+IF(AND(V105&gt;=40,V105&lt;75,W105&gt;=65,W105&lt;100),0.17,0)+IF(AND(V105&gt;=40,V105&lt;75,W105&gt;=100),0.1,0)+IF(AND(V105&gt;=75,W105&lt;25),0.35,0)+IF(AND(V105&gt;=75,W105&gt;=25,W105&lt;60),0.25,0)+IF(AND(V105&gt;=75,W105&gt;=60,W105&lt;95),0.17,0)+IF(AND(V105&gt;=75,W105&gt;=95),0.1,0),
IF(AF105="DoEVold15",IF(AND(V105&lt;=40,W105&lt;35),0.35,0)+IF(AND(V105&lt;=40,W105&gt;=35,W105&lt;75),0.25,0)+IF(AND(V105&lt;=40,W105&gt;=75,W105&lt;120),0.17,0)+IF(AND(V105&lt;=40,W105&gt;=120),0.15,0)+IF(AND(V105&gt;40,V105&lt;75,W105&lt;25),0.35,0)+IF(AND(V105&gt;=40,V105&lt;75,W105&gt;=25,W105&lt;65),0.25,0)+IF(AND(V105&gt;=40,V105&lt;75,W105&gt;=65,W105&lt;100),0.17,0)+IF(AND(V105&gt;=40,V105&lt;75,W105&gt;=100),0.1,0)+IF(AND(V105&gt;=75,W105&lt;25),0.35,0)+IF(AND(V105&gt;=75,W105&gt;=25,W105&lt;60),0.25,0)+IF(AND(V105&gt;=75,W105&gt;=60,W105&lt;95),0.17,0)+IF(AND(V105&gt;=75,W105&gt;=95),0.1,0),
IF(AF105="DoEVba",IF(AND(V105&lt;20,W105&lt;105),0.2,0)+IF(AND(V105&lt;20,W105&gt;=105),0.15,0)+IF(AND(V105&gt;=20,V105&lt;40,W105&lt;95),0.2,0)+IF(AND(V105&gt;=20,V105&lt;40,W105&gt;=95,W105&lt;150),0.15,0)+IF(AND(V105&gt;=20,V105&lt;40,W105&gt;=150),0.12,0)+IF(AND(V105&gt;=40,V105&lt;75,W105&lt;75),0.2,0)+IF(AND(V105&gt;=40,V105&lt;75,W105&gt;=75,W105&lt;120),0.15,0)+IF(AND(V105&gt;=40,V105&lt;75,W105&gt;=120),0.12,0)+IF(AND(V105&gt;=75,V105&lt;175,W105&lt;65),0.2,0)+IF(AND(V105&gt;=75,V105&lt;175,W105&gt;=65,W105&lt;110),0.15,0)+IF(AND(V105&gt;=75,V105&lt;175,W105&gt;=110),0.12,0)+IF(AND(V105&gt;=175,W105&lt;55),0.2,0)+IF(AND(V105&gt;=175,W105&gt;=55,W105&lt;95),0.15,0)+IF(AND(V105&gt;=175,W105&gt;=95),0.12,0),
IF(AF105="DoEVku",IF(AND(V105&lt;20,W105&lt;55),0.23,0)+IF(AND(V105&lt;20,W105&gt;=55,W105&lt;105),0.2,0)+IF(AND(V105&lt;20,W105&gt;=105),0.17,0)+IF(AND(V105&gt;=20,V105&lt;40,W105&lt;45),0.23,0)+IF(AND(V105&gt;=20,V105&lt;40,W105&gt;=45,W105&lt;95),0.2,0)+IF(AND(V105&gt;=20,V105&lt;40,W105&gt;=95,W105&lt;=150),0.17,0)+IF(AND(V105&gt;=20,V105&lt;40,W105&gt;=150),0.12,0)+IF(AND(V105&gt;=40,V105&lt;75,W105&lt;35),0.23,0)+IF(AND(V105&gt;=40,V105&lt;75,W105&gt;=35,W105&lt;75),0.2,0)+IF(AND(V105&gt;=40,V105&lt;75,W105&gt;=75,W105&lt;120),0.17,0)+IF(AND(V105&gt;=40,V105&lt;75,W105&gt;=120),0.12,0)+IF(AND(V105&gt;=75,V105&lt;175,W105&lt;35),0.23,0)+IF(AND(V105&gt;=75,V105&lt;=175,W105&gt;=35,W105&lt;65),0.2,0)+IF(AND(V105&gt;=75,V105&lt;=175,W105&gt;=65,W105&lt;110),0.17,0)+IF(AND(V105&gt;=75,V105&lt;=175,W105&gt;=110),0.12,0)+IF(AND(V105&gt;175,W105&lt;25),0.23,0)+IF(AND(V105&gt;175,W105&gt;=25,W105&lt;55),0.2,0)+IF(AND(V105&gt;175,W105&gt;=55,W105&lt;95),0.17,0)+IF(AND(V105&gt;175,W105&gt;=95),0.12,0),
IF(AF105="DoEVs1",IF(AND(V105&lt;20,W105&lt;55),0.3,0)+IF(AND(V105&lt;20,W105&gt;=55,W105&lt;105),0.23,0)+IF(AND(V105&lt;20,W105&gt;=105),0.17,0)+IF(AND(V105&gt;=20,V105&lt;40,W105&lt;45),0.3,0)+IF(AND(V105&gt;=20,V105&lt;40,W105&gt;=45,W105&lt;95),0.23,0)+IF(AND(V105&gt;=20,V105&lt;40,W105&gt;=95,W105&lt;=150),0.17,0)+IF(AND(V105&gt;=20,V105&lt;40,W105&gt;=150),0.12,0)+IF(AND(V105&gt;=40,V105&lt;75,W105&lt;35),0.3,0)+IF(AND(V105&gt;=40,V105&lt;75,W105&gt;=35,W105&lt;75),0.23,0)+IF(AND(V105&gt;=40,V105&lt;75,W105&gt;=75,W105&lt;120),0.17,0)+IF(AND(V105&gt;=40,V105&lt;75,W105&gt;=120),0.12,0)+IF(AND(V105&gt;=75,V105&lt;175,W105&lt;35),0.3,0)+IF(AND(V105&gt;=75,V105&lt;=175,W105&gt;=35,W105&lt;65),0.23,0)+IF(AND(V105&gt;=75,V105&lt;=175,W105&gt;=65,W105&lt;110),0.17,0)+IF(AND(V105&gt;=75,V105&lt;=175,W105&gt;=110),0.12,0)+IF(AND(V105&gt;175,W105&lt;25),0.3,0)+IF(AND(V105&gt;175,W105&gt;=25,W105&lt;55),0.23,0)+IF(AND(V105&gt;175,W105&gt;=55,W105&lt;95),0.17,0)+IF(AND(V105&gt;175,W105&gt;=95),0.12,0),
IF(AF105="DoEVsu",IF(AND(V105&lt;20,W105&lt;55),0.3,0)+IF(AND(V105&lt;20,W105&gt;=55,W105&lt;105),0.23,0)+IF(AND(V105&lt;20,W105&gt;=105),0.17,0)+IF(AND(V105&gt;=20,V105&lt;40,W105&lt;45),0.3,0)+IF(AND(V105&gt;=20,V105&lt;40,W105&gt;=45,W105&lt;95),0.23,0)+IF(AND(V105&gt;=20,V105&lt;40,W105&gt;=95,W105&lt;=250),0.17,0)+IF(AND(V105&gt;=20,V105&lt;40,W105&gt;=250),0.12,0)+IF(AND(V105&gt;=40,V105&lt;75,W105&lt;35),0.3,0)+IF(AND(V105&gt;=40,V105&lt;75,W105&gt;=35,W105&lt;75),0.23,0)+IF(AND(V105&gt;=40,V105&lt;75,W105&gt;=75,W105&lt;120),0.17,0)+IF(AND(V105&gt;=40,V105&lt;75,W105&gt;=120),0.12,0)+IF(AND(V105&gt;=75,V105&lt;175,W105&lt;35),0.3,0)+IF(AND(V105&gt;=75,V105&lt;=175,W105&gt;=35,W105&lt;65),0.23,0)+IF(AND(V105&gt;=75,V105&lt;=175,W105&gt;=65,W105&lt;110),0.17,0)+IF(AND(V105&gt;=75,V105&lt;=175,W105&gt;=110),0.12,0)+IF(AND(V105&gt;175,W105&lt;25),0.3,0)+IF(AND(V105&gt;175,W105&gt;=25,W105&lt;55),0.23,0)+IF(AND(V105&gt;175,W105&gt;=55,W105&lt;95),0.17,0)+IF(AND(V105&gt;175,W105&gt;=95),0.12,0),
IF(AF105="DoEVni",IF(AND(V105&lt;20,W105&lt;55),0.3,0)+IF(AND(V105&lt;20,W105&gt;=55,W105&lt;105),0.23,0)+IF(AND(V105&lt;20,W105&gt;=105),0.17,0)+IF(AND(V105&gt;=20,V105&lt;40,W105&lt;45),0.3,0)+IF(AND(V105&gt;=20,V105&lt;40,W105&gt;=45,W105&lt;95),0.23,0)+IF(AND(V105&gt;=20,V105&lt;40,W105&gt;=95,W105&lt;=200),0.17,0)+IF(AND(V105&gt;=20,V105&lt;40,W105&gt;=200),0.12,0)+IF(AND(V105&gt;=40,V105&lt;75,W105&lt;35),0.3,0)+IF(AND(V105&gt;=40,V105&lt;75,W105&gt;=35,W105&lt;75),0.23,0)+IF(AND(V105&gt;=40,V105&lt;75,W105&gt;=75,W105&lt;120),0.17,0)+IF(AND(V105&gt;=40,V105&lt;75,W105&gt;=120),0.12,0)+IF(AND(V105&gt;=75,V105&lt;175,W105&lt;35),0.3,0)+IF(AND(V105&gt;=75,V105&lt;=175,W105&gt;=35,W105&lt;65),0.23,0)+IF(AND(V105&gt;=75,V105&lt;=175,W105&gt;=65,W105&lt;110),0.17,0)+IF(AND(V105&gt;=75,V105&lt;=175,W105&gt;=110),0.12,0)+IF(AND(V105&gt;175,W105&lt;25),0.3,0)+IF(AND(V105&gt;175,W105&gt;=25,W105&lt;55),0.23,0)+IF(AND(V105&gt;175,W105&gt;=55,W105&lt;95),0.17,0)+IF(AND(V105&gt;175,W105&gt;=95),0.12,0),
IF(AF105="DoEVLo",IF(AND(V105&lt;20,W105&lt;55),0.25,0)+IF(AND(V105&lt;20,W105&gt;=55,W105&lt;105),0.2,0)+IF(AND(V105&lt;20,W105&gt;=105),0.15,0)+IF(AND(V105&gt;=20,V105&lt;40,W105&lt;45),0.25,0)+IF(AND(V105&gt;=20,V105&lt;40,W105&gt;=45,W105&lt;95),0.2,0)+IF(AND(V105&gt;=20,V105&lt;40,W105&gt;=95),0.15,0)+IF(AND(V105&gt;=40,V105&lt;75,W105&lt;35),0.25,0)+IF(AND(V105&gt;=40,V105&lt;75,W105&gt;=35,W105&lt;75),0.2,0)+IF(AND(V105&gt;=40,V105&lt;75,W105&gt;=75,W105&lt;120),0.15,0)+IF(AND(V105&gt;=40,V105&lt;75,W105&gt;=120),0.1,0)+IF(AND(V105&gt;=75,V105&lt;175,W105&lt;35),0.25,0)+IF(AND(V105&gt;=75,V105&lt;=175,W105&gt;=35,W105&lt;65),0.2,0)+IF(AND(V105&gt;=75,V105&lt;=175,W105&gt;=65,W105&lt;110),0.15,0)+IF(AND(V105&gt;=75,V105&lt;=175,W105&gt;=110),0.1,0)+IF(AND(V105&gt;175,W105&lt;25),0.25,0)+IF(AND(V105&gt;175,W105&gt;=25,W105&lt;55),0.2,0)+IF(AND(V105&gt;175,W105&gt;=55,W105&lt;95),0.15,0)+IF(AND(V105&gt;175,W105&gt;=95),0.1,0))))))))))))))))</f>
        <v>0.15</v>
      </c>
      <c r="Y105" s="30">
        <f>IF(AG105="None",0,IF(AG105="Fix5",0.05,IF(AG105="Fix3.75",0.0375,IF(AG105="Fix10",0.1,IF(AG105="Fix3",0.03,0)))))</f>
        <v>0.05</v>
      </c>
      <c r="Z105" s="35">
        <f>T105-AA105-AB105</f>
        <v>1807.2</v>
      </c>
      <c r="AA105" s="29">
        <f>IF(AD105="EUR",((T105-R105)*X105)*U105+(R105*X105),(T105*X105))</f>
        <v>338.84999999999997</v>
      </c>
      <c r="AB105" s="36">
        <f>IF(AD105="EUR",((T105-R105)*Y105)*U105+(R105*Y105),(T105*Y105))</f>
        <v>112.95</v>
      </c>
      <c r="AC105" s="37" t="b">
        <v>1</v>
      </c>
      <c r="AD105" s="37" t="s">
        <v>38</v>
      </c>
      <c r="AE105" s="37" t="s">
        <v>38</v>
      </c>
      <c r="AF105" s="37" t="str">
        <f t="array" ref="AF105">INDEX('Deal Info'!D:D, MATCH(A105,'Deal Info'!A:A, 0))</f>
        <v>Fix15</v>
      </c>
      <c r="AG105" s="38" t="str">
        <f t="array" ref="AG105">INDEX('Deal Info'!G:G, MATCH(A105,'Deal Info'!A:A, 0))</f>
        <v>Fix5</v>
      </c>
    </row>
    <row r="106" spans="1:33" ht="14.25" hidden="1" x14ac:dyDescent="0.2">
      <c r="A106" s="18" t="str">
        <f t="array" ref="A106">IF(G106='Room Info'!$B$1, INDEX('Room Info'!$A$2:$A2446, MATCH(B106,'Room Info'!$B$2:$B2446, 0)),IF(G106='Room Info'!$C$1, INDEX('Room Info'!$A$2:$A2446, MATCH(B106,'Room Info'!$C$2:$C2446, 0)),IF(G106='Room Info'!$D$1, INDEX('Room Info'!$A$2:$A2446, MATCH(B106,'Room Info'!$D$2:$D2446, 0)),IF(G106='Room Info'!$E$1, INDEX('Room Info'!$A$2:$A2446, MATCH(B106,'Room Info'!$E$2:$E2446, 0)),IF(G106='Room Info'!$F$1, INDEX('Room Info'!$A$2:$A2446, MATCH(B106,'Room Info'!$F$2:$F2446, 0)),IF(G106='Room Info'!$H$1, INDEX('Room Info'!$A$2:$A2446, MATCH(B106,'Room Info'!$H$2:$H2446, 0)),IF(G106='Room Info'!$G$1, INDEX('Room Info'!$A$2:$A2446, MATCH(B106,'Room Info'!$G$2:$G2446, 0)))))))))</f>
        <v>AlexanderDSL</v>
      </c>
      <c r="B106" s="54" t="s">
        <v>82</v>
      </c>
      <c r="C106" s="67">
        <v>44460</v>
      </c>
      <c r="D106" s="67">
        <v>44489</v>
      </c>
      <c r="E106" s="47">
        <v>44470</v>
      </c>
      <c r="F106" s="45" t="s">
        <v>34</v>
      </c>
      <c r="G106" s="54" t="s">
        <v>35</v>
      </c>
      <c r="H106" s="49" t="s">
        <v>40</v>
      </c>
      <c r="I106" s="49" t="s">
        <v>37</v>
      </c>
      <c r="J106" s="50">
        <v>10</v>
      </c>
      <c r="K106" s="51">
        <v>9</v>
      </c>
      <c r="L106" s="52">
        <v>20</v>
      </c>
      <c r="M106" s="53">
        <v>5</v>
      </c>
      <c r="N106" s="28">
        <f>K106*J106</f>
        <v>90</v>
      </c>
      <c r="O106" s="54">
        <v>1921</v>
      </c>
      <c r="P106" s="29">
        <v>213.44444440000001</v>
      </c>
      <c r="Q106" s="55"/>
      <c r="R106" s="31">
        <f>M106+Q106</f>
        <v>5</v>
      </c>
      <c r="S106" s="56">
        <v>28</v>
      </c>
      <c r="T106" s="32">
        <f>R106+S106+IF(F106="Without EV deal",L106,0)</f>
        <v>33</v>
      </c>
      <c r="U106" s="33">
        <v>1</v>
      </c>
      <c r="V106" s="58"/>
      <c r="W106" s="58"/>
      <c r="X106" s="30">
        <f>IF(AF106="DoEV",IF(AND(V106&lt;20,W106&lt;55),0.3,0)+IF(AND(V106&lt;20,W106&gt;=55,W106&lt;105),0.23,0)+IF(AND(V106&lt;20,W106&gt;=105),0.17,0)+IF(AND(V106&gt;=20,V106&lt;40,W106&lt;45),0.3,0)+IF(AND(V106&gt;=20,V106&lt;40,W106&gt;=45,W106&lt;95),0.23,0)+IF(AND(V106&gt;=20,V106&lt;40,W106&gt;=95),0.17,0)+IF(AND(V106&gt;=40,V106&lt;75,W106&lt;35),0.3,0)+IF(AND(V106&gt;=40,V106&lt;75,W106&gt;=35,W106&lt;75),0.23,0)+IF(AND(V106&gt;=40,V106&lt;75,W106&gt;=75,W106&lt;120),0.17,0)+IF(AND(V106&gt;=40,V106&lt;75,W106&gt;=120),0.12,0)+IF(AND(V106&gt;=75,V106&lt;175,W106&lt;35),0.3,0)+IF(AND(V106&gt;=75,V106&lt;=175,W106&gt;=35,W106&lt;65),0.23,0)+IF(AND(V106&gt;=75,V106&lt;=175,W106&gt;=65,W106&lt;110),0.17,0)+IF(AND(V106&gt;=75,V106&lt;=175,W106&gt;=110),0.12,0)+IF(AND(V106&gt;175,W106&lt;25),0.3,0)+IF(AND(V106&gt;175,W106&gt;=25,W106&lt;55),0.23,0)+IF(AND(V106&gt;175,W106&gt;=55,W106&lt;95),0.17,0)+IF(AND(V106&gt;175,W106&gt;=95),0.12,0),
IF(AF106="Fix15",0.15,
IF(AF106="Fix11.25",0.1125,
IF(AF106="Fix10",0.1,
IF(AF106="Fix9",0.09,
IF(AF106="DoEV2017",IF(AND(W106&lt;74),0.2,0)+IF(AND(W106&gt;=74),0.17,0),
IF(AF106="SF",IF(AND(V106&lt;20,W106&lt;89),0.3,0)+IF(AND(V106&lt;20,W106&gt;=89),0.25,0)+IF(AND(V106&gt;=20,V106&lt;40,W106&lt;74),0.3,0)+IF(AND(V106&gt;=20,V106&lt;40,W106&gt;=75),0.22,0)+IF(AND(V106&gt;=40,V106&lt;75,W106&lt;75),0.26,0)+IF(AND(V106&gt;=40,V106&lt;75,W106&gt;=75),0.22,0)+IF(V106&gt;=75,0.22,0),
IF(AF106="DoEVold",IF(AND(V106&lt;40,W106&lt;35),0.35,0)+IF(AND(V106&lt;40,W106&gt;=35,W106&lt;75),0.25,0)+IF(AND(V106&lt;40,W106&gt;=75),0.17,0)+IF(AND(V106&gt;=40,V106&lt;75,W106&lt;25),0.35,0)+IF(AND(V106&gt;=40,V106&lt;75,W106&gt;=25,W106&lt;65),0.25,0)+IF(AND(V106&gt;=40,V106&lt;75,W106&gt;=65,W106&lt;100),0.17,0)+IF(AND(V106&gt;=40,V106&lt;75,W106&gt;=100),0.1,0)+IF(AND(V106&gt;=75,W106&lt;25),0.35,0)+IF(AND(V106&gt;=75,W106&gt;=25,W106&lt;60),0.25,0)+IF(AND(V106&gt;=75,W106&gt;=60,W106&lt;95),0.17,0)+IF(AND(V106&gt;=75,W106&gt;=95),0.1,0),
IF(AF106="DoEVold15",IF(AND(V106&lt;=40,W106&lt;35),0.35,0)+IF(AND(V106&lt;=40,W106&gt;=35,W106&lt;75),0.25,0)+IF(AND(V106&lt;=40,W106&gt;=75,W106&lt;120),0.17,0)+IF(AND(V106&lt;=40,W106&gt;=120),0.15,0)+IF(AND(V106&gt;40,V106&lt;75,W106&lt;25),0.35,0)+IF(AND(V106&gt;=40,V106&lt;75,W106&gt;=25,W106&lt;65),0.25,0)+IF(AND(V106&gt;=40,V106&lt;75,W106&gt;=65,W106&lt;100),0.17,0)+IF(AND(V106&gt;=40,V106&lt;75,W106&gt;=100),0.1,0)+IF(AND(V106&gt;=75,W106&lt;25),0.35,0)+IF(AND(V106&gt;=75,W106&gt;=25,W106&lt;60),0.25,0)+IF(AND(V106&gt;=75,W106&gt;=60,W106&lt;95),0.17,0)+IF(AND(V106&gt;=75,W106&gt;=95),0.1,0),
IF(AF106="DoEVba",IF(AND(V106&lt;20,W106&lt;105),0.2,0)+IF(AND(V106&lt;20,W106&gt;=105),0.15,0)+IF(AND(V106&gt;=20,V106&lt;40,W106&lt;95),0.2,0)+IF(AND(V106&gt;=20,V106&lt;40,W106&gt;=95,W106&lt;150),0.15,0)+IF(AND(V106&gt;=20,V106&lt;40,W106&gt;=150),0.12,0)+IF(AND(V106&gt;=40,V106&lt;75,W106&lt;75),0.2,0)+IF(AND(V106&gt;=40,V106&lt;75,W106&gt;=75,W106&lt;120),0.15,0)+IF(AND(V106&gt;=40,V106&lt;75,W106&gt;=120),0.12,0)+IF(AND(V106&gt;=75,V106&lt;175,W106&lt;65),0.2,0)+IF(AND(V106&gt;=75,V106&lt;175,W106&gt;=65,W106&lt;110),0.15,0)+IF(AND(V106&gt;=75,V106&lt;175,W106&gt;=110),0.12,0)+IF(AND(V106&gt;=175,W106&lt;55),0.2,0)+IF(AND(V106&gt;=175,W106&gt;=55,W106&lt;95),0.15,0)+IF(AND(V106&gt;=175,W106&gt;=95),0.12,0),
IF(AF106="DoEVku",IF(AND(V106&lt;20,W106&lt;55),0.23,0)+IF(AND(V106&lt;20,W106&gt;=55,W106&lt;105),0.2,0)+IF(AND(V106&lt;20,W106&gt;=105),0.17,0)+IF(AND(V106&gt;=20,V106&lt;40,W106&lt;45),0.23,0)+IF(AND(V106&gt;=20,V106&lt;40,W106&gt;=45,W106&lt;95),0.2,0)+IF(AND(V106&gt;=20,V106&lt;40,W106&gt;=95,W106&lt;=150),0.17,0)+IF(AND(V106&gt;=20,V106&lt;40,W106&gt;=150),0.12,0)+IF(AND(V106&gt;=40,V106&lt;75,W106&lt;35),0.23,0)+IF(AND(V106&gt;=40,V106&lt;75,W106&gt;=35,W106&lt;75),0.2,0)+IF(AND(V106&gt;=40,V106&lt;75,W106&gt;=75,W106&lt;120),0.17,0)+IF(AND(V106&gt;=40,V106&lt;75,W106&gt;=120),0.12,0)+IF(AND(V106&gt;=75,V106&lt;175,W106&lt;35),0.23,0)+IF(AND(V106&gt;=75,V106&lt;=175,W106&gt;=35,W106&lt;65),0.2,0)+IF(AND(V106&gt;=75,V106&lt;=175,W106&gt;=65,W106&lt;110),0.17,0)+IF(AND(V106&gt;=75,V106&lt;=175,W106&gt;=110),0.12,0)+IF(AND(V106&gt;175,W106&lt;25),0.23,0)+IF(AND(V106&gt;175,W106&gt;=25,W106&lt;55),0.2,0)+IF(AND(V106&gt;175,W106&gt;=55,W106&lt;95),0.17,0)+IF(AND(V106&gt;175,W106&gt;=95),0.12,0),
IF(AF106="DoEVs1",IF(AND(V106&lt;20,W106&lt;55),0.3,0)+IF(AND(V106&lt;20,W106&gt;=55,W106&lt;105),0.23,0)+IF(AND(V106&lt;20,W106&gt;=105),0.17,0)+IF(AND(V106&gt;=20,V106&lt;40,W106&lt;45),0.3,0)+IF(AND(V106&gt;=20,V106&lt;40,W106&gt;=45,W106&lt;95),0.23,0)+IF(AND(V106&gt;=20,V106&lt;40,W106&gt;=95,W106&lt;=150),0.17,0)+IF(AND(V106&gt;=20,V106&lt;40,W106&gt;=150),0.12,0)+IF(AND(V106&gt;=40,V106&lt;75,W106&lt;35),0.3,0)+IF(AND(V106&gt;=40,V106&lt;75,W106&gt;=35,W106&lt;75),0.23,0)+IF(AND(V106&gt;=40,V106&lt;75,W106&gt;=75,W106&lt;120),0.17,0)+IF(AND(V106&gt;=40,V106&lt;75,W106&gt;=120),0.12,0)+IF(AND(V106&gt;=75,V106&lt;175,W106&lt;35),0.3,0)+IF(AND(V106&gt;=75,V106&lt;=175,W106&gt;=35,W106&lt;65),0.23,0)+IF(AND(V106&gt;=75,V106&lt;=175,W106&gt;=65,W106&lt;110),0.17,0)+IF(AND(V106&gt;=75,V106&lt;=175,W106&gt;=110),0.12,0)+IF(AND(V106&gt;175,W106&lt;25),0.3,0)+IF(AND(V106&gt;175,W106&gt;=25,W106&lt;55),0.23,0)+IF(AND(V106&gt;175,W106&gt;=55,W106&lt;95),0.17,0)+IF(AND(V106&gt;175,W106&gt;=95),0.12,0),
IF(AF106="DoEVsu",IF(AND(V106&lt;20,W106&lt;55),0.3,0)+IF(AND(V106&lt;20,W106&gt;=55,W106&lt;105),0.23,0)+IF(AND(V106&lt;20,W106&gt;=105),0.17,0)+IF(AND(V106&gt;=20,V106&lt;40,W106&lt;45),0.3,0)+IF(AND(V106&gt;=20,V106&lt;40,W106&gt;=45,W106&lt;95),0.23,0)+IF(AND(V106&gt;=20,V106&lt;40,W106&gt;=95,W106&lt;=250),0.17,0)+IF(AND(V106&gt;=20,V106&lt;40,W106&gt;=250),0.12,0)+IF(AND(V106&gt;=40,V106&lt;75,W106&lt;35),0.3,0)+IF(AND(V106&gt;=40,V106&lt;75,W106&gt;=35,W106&lt;75),0.23,0)+IF(AND(V106&gt;=40,V106&lt;75,W106&gt;=75,W106&lt;120),0.17,0)+IF(AND(V106&gt;=40,V106&lt;75,W106&gt;=120),0.12,0)+IF(AND(V106&gt;=75,V106&lt;175,W106&lt;35),0.3,0)+IF(AND(V106&gt;=75,V106&lt;=175,W106&gt;=35,W106&lt;65),0.23,0)+IF(AND(V106&gt;=75,V106&lt;=175,W106&gt;=65,W106&lt;110),0.17,0)+IF(AND(V106&gt;=75,V106&lt;=175,W106&gt;=110),0.12,0)+IF(AND(V106&gt;175,W106&lt;25),0.3,0)+IF(AND(V106&gt;175,W106&gt;=25,W106&lt;55),0.23,0)+IF(AND(V106&gt;175,W106&gt;=55,W106&lt;95),0.17,0)+IF(AND(V106&gt;175,W106&gt;=95),0.12,0),
IF(AF106="DoEVni",IF(AND(V106&lt;20,W106&lt;55),0.3,0)+IF(AND(V106&lt;20,W106&gt;=55,W106&lt;105),0.23,0)+IF(AND(V106&lt;20,W106&gt;=105),0.17,0)+IF(AND(V106&gt;=20,V106&lt;40,W106&lt;45),0.3,0)+IF(AND(V106&gt;=20,V106&lt;40,W106&gt;=45,W106&lt;95),0.23,0)+IF(AND(V106&gt;=20,V106&lt;40,W106&gt;=95,W106&lt;=200),0.17,0)+IF(AND(V106&gt;=20,V106&lt;40,W106&gt;=200),0.12,0)+IF(AND(V106&gt;=40,V106&lt;75,W106&lt;35),0.3,0)+IF(AND(V106&gt;=40,V106&lt;75,W106&gt;=35,W106&lt;75),0.23,0)+IF(AND(V106&gt;=40,V106&lt;75,W106&gt;=75,W106&lt;120),0.17,0)+IF(AND(V106&gt;=40,V106&lt;75,W106&gt;=120),0.12,0)+IF(AND(V106&gt;=75,V106&lt;175,W106&lt;35),0.3,0)+IF(AND(V106&gt;=75,V106&lt;=175,W106&gt;=35,W106&lt;65),0.23,0)+IF(AND(V106&gt;=75,V106&lt;=175,W106&gt;=65,W106&lt;110),0.17,0)+IF(AND(V106&gt;=75,V106&lt;=175,W106&gt;=110),0.12,0)+IF(AND(V106&gt;175,W106&lt;25),0.3,0)+IF(AND(V106&gt;175,W106&gt;=25,W106&lt;55),0.23,0)+IF(AND(V106&gt;175,W106&gt;=55,W106&lt;95),0.17,0)+IF(AND(V106&gt;175,W106&gt;=95),0.12,0),
IF(AF106="DoEVLo",IF(AND(V106&lt;20,W106&lt;55),0.25,0)+IF(AND(V106&lt;20,W106&gt;=55,W106&lt;105),0.2,0)+IF(AND(V106&lt;20,W106&gt;=105),0.15,0)+IF(AND(V106&gt;=20,V106&lt;40,W106&lt;45),0.25,0)+IF(AND(V106&gt;=20,V106&lt;40,W106&gt;=45,W106&lt;95),0.2,0)+IF(AND(V106&gt;=20,V106&lt;40,W106&gt;=95),0.15,0)+IF(AND(V106&gt;=40,V106&lt;75,W106&lt;35),0.25,0)+IF(AND(V106&gt;=40,V106&lt;75,W106&gt;=35,W106&lt;75),0.2,0)+IF(AND(V106&gt;=40,V106&lt;75,W106&gt;=75,W106&lt;120),0.15,0)+IF(AND(V106&gt;=40,V106&lt;75,W106&gt;=120),0.1,0)+IF(AND(V106&gt;=75,V106&lt;175,W106&lt;35),0.25,0)+IF(AND(V106&gt;=75,V106&lt;=175,W106&gt;=35,W106&lt;65),0.2,0)+IF(AND(V106&gt;=75,V106&lt;=175,W106&gt;=65,W106&lt;110),0.15,0)+IF(AND(V106&gt;=75,V106&lt;=175,W106&gt;=110),0.1,0)+IF(AND(V106&gt;175,W106&lt;25),0.25,0)+IF(AND(V106&gt;175,W106&gt;=25,W106&lt;55),0.2,0)+IF(AND(V106&gt;175,W106&gt;=55,W106&lt;95),0.15,0)+IF(AND(V106&gt;175,W106&gt;=95),0.1,0))))))))))))))))</f>
        <v>0.15</v>
      </c>
      <c r="Y106" s="30">
        <f>IF(AG106="None",0,IF(AG106="Fix5",0.05,IF(AG106="Fix3.75",0.0375,IF(AG106="Fix10",0.1,IF(AG106="Fix3",0.03,0)))))</f>
        <v>0.05</v>
      </c>
      <c r="Z106" s="35">
        <f>T106-AA106-AB106</f>
        <v>26.400000000000002</v>
      </c>
      <c r="AA106" s="29">
        <f>IF(AD106="EUR",((T106-R106)*X106)*U106+(R106*X106),(T106*X106))</f>
        <v>4.95</v>
      </c>
      <c r="AB106" s="36">
        <f>IF(AD106="EUR",((T106-R106)*Y106)*U106+(R106*Y106),(T106*Y106))</f>
        <v>1.6500000000000001</v>
      </c>
      <c r="AC106" s="37" t="b">
        <v>1</v>
      </c>
      <c r="AD106" s="37" t="s">
        <v>38</v>
      </c>
      <c r="AE106" s="37" t="s">
        <v>38</v>
      </c>
      <c r="AF106" s="37" t="str">
        <f t="array" ref="AF106">INDEX('Deal Info'!D:D, MATCH(A106,'Deal Info'!A:A, 0))</f>
        <v>Fix15</v>
      </c>
      <c r="AG106" s="38" t="str">
        <f t="array" ref="AG106">INDEX('Deal Info'!G:G, MATCH(A106,'Deal Info'!A:A, 0))</f>
        <v>Fix5</v>
      </c>
    </row>
    <row r="107" spans="1:33" ht="14.25" hidden="1" x14ac:dyDescent="0.2">
      <c r="A107" s="18" t="str">
        <f t="array" ref="A107">IF(G107='Room Info'!$B$1, INDEX('Room Info'!$A$2:$A2446, MATCH(B107,'Room Info'!$B$2:$B2446, 0)),IF(G107='Room Info'!$C$1, INDEX('Room Info'!$A$2:$A2446, MATCH(B107,'Room Info'!$C$2:$C2446, 0)),IF(G107='Room Info'!$D$1, INDEX('Room Info'!$A$2:$A2446, MATCH(B107,'Room Info'!$D$2:$D2446, 0)),IF(G107='Room Info'!$E$1, INDEX('Room Info'!$A$2:$A2446, MATCH(B107,'Room Info'!$E$2:$E2446, 0)),IF(G107='Room Info'!$F$1, INDEX('Room Info'!$A$2:$A2446, MATCH(B107,'Room Info'!$F$2:$F2446, 0)),IF(G107='Room Info'!$H$1, INDEX('Room Info'!$A$2:$A2446, MATCH(B107,'Room Info'!$H$2:$H2446, 0)),IF(G107='Room Info'!$G$1, INDEX('Room Info'!$A$2:$A2446, MATCH(B107,'Room Info'!$G$2:$G2446, 0)))))))))</f>
        <v>AlexanderDSL</v>
      </c>
      <c r="B107" s="54" t="s">
        <v>82</v>
      </c>
      <c r="C107" s="67">
        <v>44460</v>
      </c>
      <c r="D107" s="67">
        <v>44489</v>
      </c>
      <c r="E107" s="47">
        <v>44470</v>
      </c>
      <c r="F107" s="45" t="s">
        <v>34</v>
      </c>
      <c r="G107" s="54" t="s">
        <v>35</v>
      </c>
      <c r="H107" s="49" t="s">
        <v>72</v>
      </c>
      <c r="I107" s="49" t="s">
        <v>37</v>
      </c>
      <c r="J107" s="50">
        <v>50</v>
      </c>
      <c r="K107" s="51">
        <v>4158</v>
      </c>
      <c r="L107" s="52">
        <v>-11100</v>
      </c>
      <c r="M107" s="53">
        <v>9804</v>
      </c>
      <c r="N107" s="28">
        <f>K107*J107</f>
        <v>207900</v>
      </c>
      <c r="O107" s="54">
        <v>64825</v>
      </c>
      <c r="P107" s="29">
        <v>15.59042809</v>
      </c>
      <c r="Q107" s="55"/>
      <c r="R107" s="31">
        <f>M107+Q107</f>
        <v>9804</v>
      </c>
      <c r="S107" s="56">
        <v>-7838</v>
      </c>
      <c r="T107" s="32">
        <f>R107+S107+IF(F107="Without EV deal",L107,0)</f>
        <v>1966</v>
      </c>
      <c r="U107" s="33">
        <v>1</v>
      </c>
      <c r="V107" s="58"/>
      <c r="W107" s="58"/>
      <c r="X107" s="30">
        <f>IF(AF107="DoEV",IF(AND(V107&lt;20,W107&lt;55),0.3,0)+IF(AND(V107&lt;20,W107&gt;=55,W107&lt;105),0.23,0)+IF(AND(V107&lt;20,W107&gt;=105),0.17,0)+IF(AND(V107&gt;=20,V107&lt;40,W107&lt;45),0.3,0)+IF(AND(V107&gt;=20,V107&lt;40,W107&gt;=45,W107&lt;95),0.23,0)+IF(AND(V107&gt;=20,V107&lt;40,W107&gt;=95),0.17,0)+IF(AND(V107&gt;=40,V107&lt;75,W107&lt;35),0.3,0)+IF(AND(V107&gt;=40,V107&lt;75,W107&gt;=35,W107&lt;75),0.23,0)+IF(AND(V107&gt;=40,V107&lt;75,W107&gt;=75,W107&lt;120),0.17,0)+IF(AND(V107&gt;=40,V107&lt;75,W107&gt;=120),0.12,0)+IF(AND(V107&gt;=75,V107&lt;175,W107&lt;35),0.3,0)+IF(AND(V107&gt;=75,V107&lt;=175,W107&gt;=35,W107&lt;65),0.23,0)+IF(AND(V107&gt;=75,V107&lt;=175,W107&gt;=65,W107&lt;110),0.17,0)+IF(AND(V107&gt;=75,V107&lt;=175,W107&gt;=110),0.12,0)+IF(AND(V107&gt;175,W107&lt;25),0.3,0)+IF(AND(V107&gt;175,W107&gt;=25,W107&lt;55),0.23,0)+IF(AND(V107&gt;175,W107&gt;=55,W107&lt;95),0.17,0)+IF(AND(V107&gt;175,W107&gt;=95),0.12,0),
IF(AF107="Fix15",0.15,
IF(AF107="Fix11.25",0.1125,
IF(AF107="Fix10",0.1,
IF(AF107="Fix9",0.09,
IF(AF107="DoEV2017",IF(AND(W107&lt;74),0.2,0)+IF(AND(W107&gt;=74),0.17,0),
IF(AF107="SF",IF(AND(V107&lt;20,W107&lt;89),0.3,0)+IF(AND(V107&lt;20,W107&gt;=89),0.25,0)+IF(AND(V107&gt;=20,V107&lt;40,W107&lt;74),0.3,0)+IF(AND(V107&gt;=20,V107&lt;40,W107&gt;=75),0.22,0)+IF(AND(V107&gt;=40,V107&lt;75,W107&lt;75),0.26,0)+IF(AND(V107&gt;=40,V107&lt;75,W107&gt;=75),0.22,0)+IF(V107&gt;=75,0.22,0),
IF(AF107="DoEVold",IF(AND(V107&lt;40,W107&lt;35),0.35,0)+IF(AND(V107&lt;40,W107&gt;=35,W107&lt;75),0.25,0)+IF(AND(V107&lt;40,W107&gt;=75),0.17,0)+IF(AND(V107&gt;=40,V107&lt;75,W107&lt;25),0.35,0)+IF(AND(V107&gt;=40,V107&lt;75,W107&gt;=25,W107&lt;65),0.25,0)+IF(AND(V107&gt;=40,V107&lt;75,W107&gt;=65,W107&lt;100),0.17,0)+IF(AND(V107&gt;=40,V107&lt;75,W107&gt;=100),0.1,0)+IF(AND(V107&gt;=75,W107&lt;25),0.35,0)+IF(AND(V107&gt;=75,W107&gt;=25,W107&lt;60),0.25,0)+IF(AND(V107&gt;=75,W107&gt;=60,W107&lt;95),0.17,0)+IF(AND(V107&gt;=75,W107&gt;=95),0.1,0),
IF(AF107="DoEVold15",IF(AND(V107&lt;=40,W107&lt;35),0.35,0)+IF(AND(V107&lt;=40,W107&gt;=35,W107&lt;75),0.25,0)+IF(AND(V107&lt;=40,W107&gt;=75,W107&lt;120),0.17,0)+IF(AND(V107&lt;=40,W107&gt;=120),0.15,0)+IF(AND(V107&gt;40,V107&lt;75,W107&lt;25),0.35,0)+IF(AND(V107&gt;=40,V107&lt;75,W107&gt;=25,W107&lt;65),0.25,0)+IF(AND(V107&gt;=40,V107&lt;75,W107&gt;=65,W107&lt;100),0.17,0)+IF(AND(V107&gt;=40,V107&lt;75,W107&gt;=100),0.1,0)+IF(AND(V107&gt;=75,W107&lt;25),0.35,0)+IF(AND(V107&gt;=75,W107&gt;=25,W107&lt;60),0.25,0)+IF(AND(V107&gt;=75,W107&gt;=60,W107&lt;95),0.17,0)+IF(AND(V107&gt;=75,W107&gt;=95),0.1,0),
IF(AF107="DoEVba",IF(AND(V107&lt;20,W107&lt;105),0.2,0)+IF(AND(V107&lt;20,W107&gt;=105),0.15,0)+IF(AND(V107&gt;=20,V107&lt;40,W107&lt;95),0.2,0)+IF(AND(V107&gt;=20,V107&lt;40,W107&gt;=95,W107&lt;150),0.15,0)+IF(AND(V107&gt;=20,V107&lt;40,W107&gt;=150),0.12,0)+IF(AND(V107&gt;=40,V107&lt;75,W107&lt;75),0.2,0)+IF(AND(V107&gt;=40,V107&lt;75,W107&gt;=75,W107&lt;120),0.15,0)+IF(AND(V107&gt;=40,V107&lt;75,W107&gt;=120),0.12,0)+IF(AND(V107&gt;=75,V107&lt;175,W107&lt;65),0.2,0)+IF(AND(V107&gt;=75,V107&lt;175,W107&gt;=65,W107&lt;110),0.15,0)+IF(AND(V107&gt;=75,V107&lt;175,W107&gt;=110),0.12,0)+IF(AND(V107&gt;=175,W107&lt;55),0.2,0)+IF(AND(V107&gt;=175,W107&gt;=55,W107&lt;95),0.15,0)+IF(AND(V107&gt;=175,W107&gt;=95),0.12,0),
IF(AF107="DoEVku",IF(AND(V107&lt;20,W107&lt;55),0.23,0)+IF(AND(V107&lt;20,W107&gt;=55,W107&lt;105),0.2,0)+IF(AND(V107&lt;20,W107&gt;=105),0.17,0)+IF(AND(V107&gt;=20,V107&lt;40,W107&lt;45),0.23,0)+IF(AND(V107&gt;=20,V107&lt;40,W107&gt;=45,W107&lt;95),0.2,0)+IF(AND(V107&gt;=20,V107&lt;40,W107&gt;=95,W107&lt;=150),0.17,0)+IF(AND(V107&gt;=20,V107&lt;40,W107&gt;=150),0.12,0)+IF(AND(V107&gt;=40,V107&lt;75,W107&lt;35),0.23,0)+IF(AND(V107&gt;=40,V107&lt;75,W107&gt;=35,W107&lt;75),0.2,0)+IF(AND(V107&gt;=40,V107&lt;75,W107&gt;=75,W107&lt;120),0.17,0)+IF(AND(V107&gt;=40,V107&lt;75,W107&gt;=120),0.12,0)+IF(AND(V107&gt;=75,V107&lt;175,W107&lt;35),0.23,0)+IF(AND(V107&gt;=75,V107&lt;=175,W107&gt;=35,W107&lt;65),0.2,0)+IF(AND(V107&gt;=75,V107&lt;=175,W107&gt;=65,W107&lt;110),0.17,0)+IF(AND(V107&gt;=75,V107&lt;=175,W107&gt;=110),0.12,0)+IF(AND(V107&gt;175,W107&lt;25),0.23,0)+IF(AND(V107&gt;175,W107&gt;=25,W107&lt;55),0.2,0)+IF(AND(V107&gt;175,W107&gt;=55,W107&lt;95),0.17,0)+IF(AND(V107&gt;175,W107&gt;=95),0.12,0),
IF(AF107="DoEVs1",IF(AND(V107&lt;20,W107&lt;55),0.3,0)+IF(AND(V107&lt;20,W107&gt;=55,W107&lt;105),0.23,0)+IF(AND(V107&lt;20,W107&gt;=105),0.17,0)+IF(AND(V107&gt;=20,V107&lt;40,W107&lt;45),0.3,0)+IF(AND(V107&gt;=20,V107&lt;40,W107&gt;=45,W107&lt;95),0.23,0)+IF(AND(V107&gt;=20,V107&lt;40,W107&gt;=95,W107&lt;=150),0.17,0)+IF(AND(V107&gt;=20,V107&lt;40,W107&gt;=150),0.12,0)+IF(AND(V107&gt;=40,V107&lt;75,W107&lt;35),0.3,0)+IF(AND(V107&gt;=40,V107&lt;75,W107&gt;=35,W107&lt;75),0.23,0)+IF(AND(V107&gt;=40,V107&lt;75,W107&gt;=75,W107&lt;120),0.17,0)+IF(AND(V107&gt;=40,V107&lt;75,W107&gt;=120),0.12,0)+IF(AND(V107&gt;=75,V107&lt;175,W107&lt;35),0.3,0)+IF(AND(V107&gt;=75,V107&lt;=175,W107&gt;=35,W107&lt;65),0.23,0)+IF(AND(V107&gt;=75,V107&lt;=175,W107&gt;=65,W107&lt;110),0.17,0)+IF(AND(V107&gt;=75,V107&lt;=175,W107&gt;=110),0.12,0)+IF(AND(V107&gt;175,W107&lt;25),0.3,0)+IF(AND(V107&gt;175,W107&gt;=25,W107&lt;55),0.23,0)+IF(AND(V107&gt;175,W107&gt;=55,W107&lt;95),0.17,0)+IF(AND(V107&gt;175,W107&gt;=95),0.12,0),
IF(AF107="DoEVsu",IF(AND(V107&lt;20,W107&lt;55),0.3,0)+IF(AND(V107&lt;20,W107&gt;=55,W107&lt;105),0.23,0)+IF(AND(V107&lt;20,W107&gt;=105),0.17,0)+IF(AND(V107&gt;=20,V107&lt;40,W107&lt;45),0.3,0)+IF(AND(V107&gt;=20,V107&lt;40,W107&gt;=45,W107&lt;95),0.23,0)+IF(AND(V107&gt;=20,V107&lt;40,W107&gt;=95,W107&lt;=250),0.17,0)+IF(AND(V107&gt;=20,V107&lt;40,W107&gt;=250),0.12,0)+IF(AND(V107&gt;=40,V107&lt;75,W107&lt;35),0.3,0)+IF(AND(V107&gt;=40,V107&lt;75,W107&gt;=35,W107&lt;75),0.23,0)+IF(AND(V107&gt;=40,V107&lt;75,W107&gt;=75,W107&lt;120),0.17,0)+IF(AND(V107&gt;=40,V107&lt;75,W107&gt;=120),0.12,0)+IF(AND(V107&gt;=75,V107&lt;175,W107&lt;35),0.3,0)+IF(AND(V107&gt;=75,V107&lt;=175,W107&gt;=35,W107&lt;65),0.23,0)+IF(AND(V107&gt;=75,V107&lt;=175,W107&gt;=65,W107&lt;110),0.17,0)+IF(AND(V107&gt;=75,V107&lt;=175,W107&gt;=110),0.12,0)+IF(AND(V107&gt;175,W107&lt;25),0.3,0)+IF(AND(V107&gt;175,W107&gt;=25,W107&lt;55),0.23,0)+IF(AND(V107&gt;175,W107&gt;=55,W107&lt;95),0.17,0)+IF(AND(V107&gt;175,W107&gt;=95),0.12,0),
IF(AF107="DoEVni",IF(AND(V107&lt;20,W107&lt;55),0.3,0)+IF(AND(V107&lt;20,W107&gt;=55,W107&lt;105),0.23,0)+IF(AND(V107&lt;20,W107&gt;=105),0.17,0)+IF(AND(V107&gt;=20,V107&lt;40,W107&lt;45),0.3,0)+IF(AND(V107&gt;=20,V107&lt;40,W107&gt;=45,W107&lt;95),0.23,0)+IF(AND(V107&gt;=20,V107&lt;40,W107&gt;=95,W107&lt;=200),0.17,0)+IF(AND(V107&gt;=20,V107&lt;40,W107&gt;=200),0.12,0)+IF(AND(V107&gt;=40,V107&lt;75,W107&lt;35),0.3,0)+IF(AND(V107&gt;=40,V107&lt;75,W107&gt;=35,W107&lt;75),0.23,0)+IF(AND(V107&gt;=40,V107&lt;75,W107&gt;=75,W107&lt;120),0.17,0)+IF(AND(V107&gt;=40,V107&lt;75,W107&gt;=120),0.12,0)+IF(AND(V107&gt;=75,V107&lt;175,W107&lt;35),0.3,0)+IF(AND(V107&gt;=75,V107&lt;=175,W107&gt;=35,W107&lt;65),0.23,0)+IF(AND(V107&gt;=75,V107&lt;=175,W107&gt;=65,W107&lt;110),0.17,0)+IF(AND(V107&gt;=75,V107&lt;=175,W107&gt;=110),0.12,0)+IF(AND(V107&gt;175,W107&lt;25),0.3,0)+IF(AND(V107&gt;175,W107&gt;=25,W107&lt;55),0.23,0)+IF(AND(V107&gt;175,W107&gt;=55,W107&lt;95),0.17,0)+IF(AND(V107&gt;175,W107&gt;=95),0.12,0),
IF(AF107="DoEVLo",IF(AND(V107&lt;20,W107&lt;55),0.25,0)+IF(AND(V107&lt;20,W107&gt;=55,W107&lt;105),0.2,0)+IF(AND(V107&lt;20,W107&gt;=105),0.15,0)+IF(AND(V107&gt;=20,V107&lt;40,W107&lt;45),0.25,0)+IF(AND(V107&gt;=20,V107&lt;40,W107&gt;=45,W107&lt;95),0.2,0)+IF(AND(V107&gt;=20,V107&lt;40,W107&gt;=95),0.15,0)+IF(AND(V107&gt;=40,V107&lt;75,W107&lt;35),0.25,0)+IF(AND(V107&gt;=40,V107&lt;75,W107&gt;=35,W107&lt;75),0.2,0)+IF(AND(V107&gt;=40,V107&lt;75,W107&gt;=75,W107&lt;120),0.15,0)+IF(AND(V107&gt;=40,V107&lt;75,W107&gt;=120),0.1,0)+IF(AND(V107&gt;=75,V107&lt;175,W107&lt;35),0.25,0)+IF(AND(V107&gt;=75,V107&lt;=175,W107&gt;=35,W107&lt;65),0.2,0)+IF(AND(V107&gt;=75,V107&lt;=175,W107&gt;=65,W107&lt;110),0.15,0)+IF(AND(V107&gt;=75,V107&lt;=175,W107&gt;=110),0.1,0)+IF(AND(V107&gt;175,W107&lt;25),0.25,0)+IF(AND(V107&gt;175,W107&gt;=25,W107&lt;55),0.2,0)+IF(AND(V107&gt;175,W107&gt;=55,W107&lt;95),0.15,0)+IF(AND(V107&gt;175,W107&gt;=95),0.1,0))))))))))))))))</f>
        <v>0.15</v>
      </c>
      <c r="Y107" s="30">
        <f>IF(AG107="None",0,IF(AG107="Fix5",0.05,IF(AG107="Fix3.75",0.0375,IF(AG107="Fix10",0.1,IF(AG107="Fix3",0.03,0)))))</f>
        <v>0.05</v>
      </c>
      <c r="Z107" s="35">
        <f>T107-AA107-AB107</f>
        <v>1572.8</v>
      </c>
      <c r="AA107" s="29">
        <f>IF(AD107="EUR",((T107-R107)*X107)*U107+(R107*X107),(T107*X107))</f>
        <v>294.89999999999998</v>
      </c>
      <c r="AB107" s="36">
        <f>IF(AD107="EUR",((T107-R107)*Y107)*U107+(R107*Y107),(T107*Y107))</f>
        <v>98.300000000000011</v>
      </c>
      <c r="AC107" s="37" t="b">
        <v>1</v>
      </c>
      <c r="AD107" s="37" t="s">
        <v>38</v>
      </c>
      <c r="AE107" s="37" t="s">
        <v>38</v>
      </c>
      <c r="AF107" s="37" t="str">
        <f t="array" ref="AF107">INDEX('Deal Info'!D:D, MATCH(A107,'Deal Info'!A:A, 0))</f>
        <v>Fix15</v>
      </c>
      <c r="AG107" s="38" t="str">
        <f t="array" ref="AG107">INDEX('Deal Info'!G:G, MATCH(A107,'Deal Info'!A:A, 0))</f>
        <v>Fix5</v>
      </c>
    </row>
    <row r="108" spans="1:33" ht="14.25" hidden="1" x14ac:dyDescent="0.2">
      <c r="A108" s="18" t="str">
        <f t="array" ref="A108">IF(G108='Room Info'!$B$1, INDEX('Room Info'!$A$2:$A2446, MATCH(B108,'Room Info'!$B$2:$B2446, 0)),IF(G108='Room Info'!$C$1, INDEX('Room Info'!$A$2:$A2446, MATCH(B108,'Room Info'!$C$2:$C2446, 0)),IF(G108='Room Info'!$D$1, INDEX('Room Info'!$A$2:$A2446, MATCH(B108,'Room Info'!$D$2:$D2446, 0)),IF(G108='Room Info'!$E$1, INDEX('Room Info'!$A$2:$A2446, MATCH(B108,'Room Info'!$E$2:$E2446, 0)),IF(G108='Room Info'!$F$1, INDEX('Room Info'!$A$2:$A2446, MATCH(B108,'Room Info'!$F$2:$F2446, 0)),IF(G108='Room Info'!$H$1, INDEX('Room Info'!$A$2:$A2446, MATCH(B108,'Room Info'!$H$2:$H2446, 0)),IF(G108='Room Info'!$G$1, INDEX('Room Info'!$A$2:$A2446, MATCH(B108,'Room Info'!$G$2:$G2446, 0)))))))))</f>
        <v>AlexanderDSL</v>
      </c>
      <c r="B108" s="54" t="s">
        <v>82</v>
      </c>
      <c r="C108" s="67">
        <v>44460</v>
      </c>
      <c r="D108" s="67">
        <v>44489</v>
      </c>
      <c r="E108" s="47">
        <v>44470</v>
      </c>
      <c r="F108" s="45" t="s">
        <v>34</v>
      </c>
      <c r="G108" s="54" t="s">
        <v>35</v>
      </c>
      <c r="H108" s="49" t="s">
        <v>70</v>
      </c>
      <c r="I108" s="49" t="s">
        <v>37</v>
      </c>
      <c r="J108" s="50">
        <v>100</v>
      </c>
      <c r="K108" s="51">
        <v>4</v>
      </c>
      <c r="L108" s="52">
        <v>600</v>
      </c>
      <c r="M108" s="53">
        <v>16</v>
      </c>
      <c r="N108" s="28">
        <f>K108*J108</f>
        <v>400</v>
      </c>
      <c r="O108" s="54">
        <v>860</v>
      </c>
      <c r="P108" s="29">
        <v>215</v>
      </c>
      <c r="Q108" s="55"/>
      <c r="R108" s="31">
        <f>M108+Q108</f>
        <v>16</v>
      </c>
      <c r="S108" s="56">
        <v>139</v>
      </c>
      <c r="T108" s="32">
        <f>R108+S108+IF(F108="Without EV deal",L108,0)</f>
        <v>155</v>
      </c>
      <c r="U108" s="33">
        <v>1</v>
      </c>
      <c r="V108" s="58"/>
      <c r="W108" s="58"/>
      <c r="X108" s="30">
        <f>IF(AF108="DoEV",IF(AND(V108&lt;20,W108&lt;55),0.3,0)+IF(AND(V108&lt;20,W108&gt;=55,W108&lt;105),0.23,0)+IF(AND(V108&lt;20,W108&gt;=105),0.17,0)+IF(AND(V108&gt;=20,V108&lt;40,W108&lt;45),0.3,0)+IF(AND(V108&gt;=20,V108&lt;40,W108&gt;=45,W108&lt;95),0.23,0)+IF(AND(V108&gt;=20,V108&lt;40,W108&gt;=95),0.17,0)+IF(AND(V108&gt;=40,V108&lt;75,W108&lt;35),0.3,0)+IF(AND(V108&gt;=40,V108&lt;75,W108&gt;=35,W108&lt;75),0.23,0)+IF(AND(V108&gt;=40,V108&lt;75,W108&gt;=75,W108&lt;120),0.17,0)+IF(AND(V108&gt;=40,V108&lt;75,W108&gt;=120),0.12,0)+IF(AND(V108&gt;=75,V108&lt;175,W108&lt;35),0.3,0)+IF(AND(V108&gt;=75,V108&lt;=175,W108&gt;=35,W108&lt;65),0.23,0)+IF(AND(V108&gt;=75,V108&lt;=175,W108&gt;=65,W108&lt;110),0.17,0)+IF(AND(V108&gt;=75,V108&lt;=175,W108&gt;=110),0.12,0)+IF(AND(V108&gt;175,W108&lt;25),0.3,0)+IF(AND(V108&gt;175,W108&gt;=25,W108&lt;55),0.23,0)+IF(AND(V108&gt;175,W108&gt;=55,W108&lt;95),0.17,0)+IF(AND(V108&gt;175,W108&gt;=95),0.12,0),
IF(AF108="Fix15",0.15,
IF(AF108="Fix11.25",0.1125,
IF(AF108="Fix10",0.1,
IF(AF108="Fix9",0.09,
IF(AF108="DoEV2017",IF(AND(W108&lt;74),0.2,0)+IF(AND(W108&gt;=74),0.17,0),
IF(AF108="SF",IF(AND(V108&lt;20,W108&lt;89),0.3,0)+IF(AND(V108&lt;20,W108&gt;=89),0.25,0)+IF(AND(V108&gt;=20,V108&lt;40,W108&lt;74),0.3,0)+IF(AND(V108&gt;=20,V108&lt;40,W108&gt;=75),0.22,0)+IF(AND(V108&gt;=40,V108&lt;75,W108&lt;75),0.26,0)+IF(AND(V108&gt;=40,V108&lt;75,W108&gt;=75),0.22,0)+IF(V108&gt;=75,0.22,0),
IF(AF108="DoEVold",IF(AND(V108&lt;40,W108&lt;35),0.35,0)+IF(AND(V108&lt;40,W108&gt;=35,W108&lt;75),0.25,0)+IF(AND(V108&lt;40,W108&gt;=75),0.17,0)+IF(AND(V108&gt;=40,V108&lt;75,W108&lt;25),0.35,0)+IF(AND(V108&gt;=40,V108&lt;75,W108&gt;=25,W108&lt;65),0.25,0)+IF(AND(V108&gt;=40,V108&lt;75,W108&gt;=65,W108&lt;100),0.17,0)+IF(AND(V108&gt;=40,V108&lt;75,W108&gt;=100),0.1,0)+IF(AND(V108&gt;=75,W108&lt;25),0.35,0)+IF(AND(V108&gt;=75,W108&gt;=25,W108&lt;60),0.25,0)+IF(AND(V108&gt;=75,W108&gt;=60,W108&lt;95),0.17,0)+IF(AND(V108&gt;=75,W108&gt;=95),0.1,0),
IF(AF108="DoEVold15",IF(AND(V108&lt;=40,W108&lt;35),0.35,0)+IF(AND(V108&lt;=40,W108&gt;=35,W108&lt;75),0.25,0)+IF(AND(V108&lt;=40,W108&gt;=75,W108&lt;120),0.17,0)+IF(AND(V108&lt;=40,W108&gt;=120),0.15,0)+IF(AND(V108&gt;40,V108&lt;75,W108&lt;25),0.35,0)+IF(AND(V108&gt;=40,V108&lt;75,W108&gt;=25,W108&lt;65),0.25,0)+IF(AND(V108&gt;=40,V108&lt;75,W108&gt;=65,W108&lt;100),0.17,0)+IF(AND(V108&gt;=40,V108&lt;75,W108&gt;=100),0.1,0)+IF(AND(V108&gt;=75,W108&lt;25),0.35,0)+IF(AND(V108&gt;=75,W108&gt;=25,W108&lt;60),0.25,0)+IF(AND(V108&gt;=75,W108&gt;=60,W108&lt;95),0.17,0)+IF(AND(V108&gt;=75,W108&gt;=95),0.1,0),
IF(AF108="DoEVba",IF(AND(V108&lt;20,W108&lt;105),0.2,0)+IF(AND(V108&lt;20,W108&gt;=105),0.15,0)+IF(AND(V108&gt;=20,V108&lt;40,W108&lt;95),0.2,0)+IF(AND(V108&gt;=20,V108&lt;40,W108&gt;=95,W108&lt;150),0.15,0)+IF(AND(V108&gt;=20,V108&lt;40,W108&gt;=150),0.12,0)+IF(AND(V108&gt;=40,V108&lt;75,W108&lt;75),0.2,0)+IF(AND(V108&gt;=40,V108&lt;75,W108&gt;=75,W108&lt;120),0.15,0)+IF(AND(V108&gt;=40,V108&lt;75,W108&gt;=120),0.12,0)+IF(AND(V108&gt;=75,V108&lt;175,W108&lt;65),0.2,0)+IF(AND(V108&gt;=75,V108&lt;175,W108&gt;=65,W108&lt;110),0.15,0)+IF(AND(V108&gt;=75,V108&lt;175,W108&gt;=110),0.12,0)+IF(AND(V108&gt;=175,W108&lt;55),0.2,0)+IF(AND(V108&gt;=175,W108&gt;=55,W108&lt;95),0.15,0)+IF(AND(V108&gt;=175,W108&gt;=95),0.12,0),
IF(AF108="DoEVku",IF(AND(V108&lt;20,W108&lt;55),0.23,0)+IF(AND(V108&lt;20,W108&gt;=55,W108&lt;105),0.2,0)+IF(AND(V108&lt;20,W108&gt;=105),0.17,0)+IF(AND(V108&gt;=20,V108&lt;40,W108&lt;45),0.23,0)+IF(AND(V108&gt;=20,V108&lt;40,W108&gt;=45,W108&lt;95),0.2,0)+IF(AND(V108&gt;=20,V108&lt;40,W108&gt;=95,W108&lt;=150),0.17,0)+IF(AND(V108&gt;=20,V108&lt;40,W108&gt;=150),0.12,0)+IF(AND(V108&gt;=40,V108&lt;75,W108&lt;35),0.23,0)+IF(AND(V108&gt;=40,V108&lt;75,W108&gt;=35,W108&lt;75),0.2,0)+IF(AND(V108&gt;=40,V108&lt;75,W108&gt;=75,W108&lt;120),0.17,0)+IF(AND(V108&gt;=40,V108&lt;75,W108&gt;=120),0.12,0)+IF(AND(V108&gt;=75,V108&lt;175,W108&lt;35),0.23,0)+IF(AND(V108&gt;=75,V108&lt;=175,W108&gt;=35,W108&lt;65),0.2,0)+IF(AND(V108&gt;=75,V108&lt;=175,W108&gt;=65,W108&lt;110),0.17,0)+IF(AND(V108&gt;=75,V108&lt;=175,W108&gt;=110),0.12,0)+IF(AND(V108&gt;175,W108&lt;25),0.23,0)+IF(AND(V108&gt;175,W108&gt;=25,W108&lt;55),0.2,0)+IF(AND(V108&gt;175,W108&gt;=55,W108&lt;95),0.17,0)+IF(AND(V108&gt;175,W108&gt;=95),0.12,0),
IF(AF108="DoEVs1",IF(AND(V108&lt;20,W108&lt;55),0.3,0)+IF(AND(V108&lt;20,W108&gt;=55,W108&lt;105),0.23,0)+IF(AND(V108&lt;20,W108&gt;=105),0.17,0)+IF(AND(V108&gt;=20,V108&lt;40,W108&lt;45),0.3,0)+IF(AND(V108&gt;=20,V108&lt;40,W108&gt;=45,W108&lt;95),0.23,0)+IF(AND(V108&gt;=20,V108&lt;40,W108&gt;=95,W108&lt;=150),0.17,0)+IF(AND(V108&gt;=20,V108&lt;40,W108&gt;=150),0.12,0)+IF(AND(V108&gt;=40,V108&lt;75,W108&lt;35),0.3,0)+IF(AND(V108&gt;=40,V108&lt;75,W108&gt;=35,W108&lt;75),0.23,0)+IF(AND(V108&gt;=40,V108&lt;75,W108&gt;=75,W108&lt;120),0.17,0)+IF(AND(V108&gt;=40,V108&lt;75,W108&gt;=120),0.12,0)+IF(AND(V108&gt;=75,V108&lt;175,W108&lt;35),0.3,0)+IF(AND(V108&gt;=75,V108&lt;=175,W108&gt;=35,W108&lt;65),0.23,0)+IF(AND(V108&gt;=75,V108&lt;=175,W108&gt;=65,W108&lt;110),0.17,0)+IF(AND(V108&gt;=75,V108&lt;=175,W108&gt;=110),0.12,0)+IF(AND(V108&gt;175,W108&lt;25),0.3,0)+IF(AND(V108&gt;175,W108&gt;=25,W108&lt;55),0.23,0)+IF(AND(V108&gt;175,W108&gt;=55,W108&lt;95),0.17,0)+IF(AND(V108&gt;175,W108&gt;=95),0.12,0),
IF(AF108="DoEVsu",IF(AND(V108&lt;20,W108&lt;55),0.3,0)+IF(AND(V108&lt;20,W108&gt;=55,W108&lt;105),0.23,0)+IF(AND(V108&lt;20,W108&gt;=105),0.17,0)+IF(AND(V108&gt;=20,V108&lt;40,W108&lt;45),0.3,0)+IF(AND(V108&gt;=20,V108&lt;40,W108&gt;=45,W108&lt;95),0.23,0)+IF(AND(V108&gt;=20,V108&lt;40,W108&gt;=95,W108&lt;=250),0.17,0)+IF(AND(V108&gt;=20,V108&lt;40,W108&gt;=250),0.12,0)+IF(AND(V108&gt;=40,V108&lt;75,W108&lt;35),0.3,0)+IF(AND(V108&gt;=40,V108&lt;75,W108&gt;=35,W108&lt;75),0.23,0)+IF(AND(V108&gt;=40,V108&lt;75,W108&gt;=75,W108&lt;120),0.17,0)+IF(AND(V108&gt;=40,V108&lt;75,W108&gt;=120),0.12,0)+IF(AND(V108&gt;=75,V108&lt;175,W108&lt;35),0.3,0)+IF(AND(V108&gt;=75,V108&lt;=175,W108&gt;=35,W108&lt;65),0.23,0)+IF(AND(V108&gt;=75,V108&lt;=175,W108&gt;=65,W108&lt;110),0.17,0)+IF(AND(V108&gt;=75,V108&lt;=175,W108&gt;=110),0.12,0)+IF(AND(V108&gt;175,W108&lt;25),0.3,0)+IF(AND(V108&gt;175,W108&gt;=25,W108&lt;55),0.23,0)+IF(AND(V108&gt;175,W108&gt;=55,W108&lt;95),0.17,0)+IF(AND(V108&gt;175,W108&gt;=95),0.12,0),
IF(AF108="DoEVni",IF(AND(V108&lt;20,W108&lt;55),0.3,0)+IF(AND(V108&lt;20,W108&gt;=55,W108&lt;105),0.23,0)+IF(AND(V108&lt;20,W108&gt;=105),0.17,0)+IF(AND(V108&gt;=20,V108&lt;40,W108&lt;45),0.3,0)+IF(AND(V108&gt;=20,V108&lt;40,W108&gt;=45,W108&lt;95),0.23,0)+IF(AND(V108&gt;=20,V108&lt;40,W108&gt;=95,W108&lt;=200),0.17,0)+IF(AND(V108&gt;=20,V108&lt;40,W108&gt;=200),0.12,0)+IF(AND(V108&gt;=40,V108&lt;75,W108&lt;35),0.3,0)+IF(AND(V108&gt;=40,V108&lt;75,W108&gt;=35,W108&lt;75),0.23,0)+IF(AND(V108&gt;=40,V108&lt;75,W108&gt;=75,W108&lt;120),0.17,0)+IF(AND(V108&gt;=40,V108&lt;75,W108&gt;=120),0.12,0)+IF(AND(V108&gt;=75,V108&lt;175,W108&lt;35),0.3,0)+IF(AND(V108&gt;=75,V108&lt;=175,W108&gt;=35,W108&lt;65),0.23,0)+IF(AND(V108&gt;=75,V108&lt;=175,W108&gt;=65,W108&lt;110),0.17,0)+IF(AND(V108&gt;=75,V108&lt;=175,W108&gt;=110),0.12,0)+IF(AND(V108&gt;175,W108&lt;25),0.3,0)+IF(AND(V108&gt;175,W108&gt;=25,W108&lt;55),0.23,0)+IF(AND(V108&gt;175,W108&gt;=55,W108&lt;95),0.17,0)+IF(AND(V108&gt;175,W108&gt;=95),0.12,0),
IF(AF108="DoEVLo",IF(AND(V108&lt;20,W108&lt;55),0.25,0)+IF(AND(V108&lt;20,W108&gt;=55,W108&lt;105),0.2,0)+IF(AND(V108&lt;20,W108&gt;=105),0.15,0)+IF(AND(V108&gt;=20,V108&lt;40,W108&lt;45),0.25,0)+IF(AND(V108&gt;=20,V108&lt;40,W108&gt;=45,W108&lt;95),0.2,0)+IF(AND(V108&gt;=20,V108&lt;40,W108&gt;=95),0.15,0)+IF(AND(V108&gt;=40,V108&lt;75,W108&lt;35),0.25,0)+IF(AND(V108&gt;=40,V108&lt;75,W108&gt;=35,W108&lt;75),0.2,0)+IF(AND(V108&gt;=40,V108&lt;75,W108&gt;=75,W108&lt;120),0.15,0)+IF(AND(V108&gt;=40,V108&lt;75,W108&gt;=120),0.1,0)+IF(AND(V108&gt;=75,V108&lt;175,W108&lt;35),0.25,0)+IF(AND(V108&gt;=75,V108&lt;=175,W108&gt;=35,W108&lt;65),0.2,0)+IF(AND(V108&gt;=75,V108&lt;=175,W108&gt;=65,W108&lt;110),0.15,0)+IF(AND(V108&gt;=75,V108&lt;=175,W108&gt;=110),0.1,0)+IF(AND(V108&gt;175,W108&lt;25),0.25,0)+IF(AND(V108&gt;175,W108&gt;=25,W108&lt;55),0.2,0)+IF(AND(V108&gt;175,W108&gt;=55,W108&lt;95),0.15,0)+IF(AND(V108&gt;175,W108&gt;=95),0.1,0))))))))))))))))</f>
        <v>0.15</v>
      </c>
      <c r="Y108" s="30">
        <f>IF(AG108="None",0,IF(AG108="Fix5",0.05,IF(AG108="Fix3.75",0.0375,IF(AG108="Fix10",0.1,IF(AG108="Fix3",0.03,0)))))</f>
        <v>0.05</v>
      </c>
      <c r="Z108" s="35">
        <f>T108-AA108-AB108</f>
        <v>124</v>
      </c>
      <c r="AA108" s="29">
        <f>IF(AD108="EUR",((T108-R108)*X108)*U108+(R108*X108),(T108*X108))</f>
        <v>23.25</v>
      </c>
      <c r="AB108" s="36">
        <f>IF(AD108="EUR",((T108-R108)*Y108)*U108+(R108*Y108),(T108*Y108))</f>
        <v>7.75</v>
      </c>
      <c r="AC108" s="37" t="b">
        <v>1</v>
      </c>
      <c r="AD108" s="37" t="s">
        <v>38</v>
      </c>
      <c r="AE108" s="37" t="s">
        <v>38</v>
      </c>
      <c r="AF108" s="37" t="str">
        <f t="array" ref="AF108">INDEX('Deal Info'!D:D, MATCH(A108,'Deal Info'!A:A, 0))</f>
        <v>Fix15</v>
      </c>
      <c r="AG108" s="38" t="str">
        <f t="array" ref="AG108">INDEX('Deal Info'!G:G, MATCH(A108,'Deal Info'!A:A, 0))</f>
        <v>Fix5</v>
      </c>
    </row>
    <row r="109" spans="1:33" ht="14.25" hidden="1" x14ac:dyDescent="0.2">
      <c r="A109" s="18" t="str">
        <f t="array" ref="A109">IF(G109='Room Info'!$B$1, INDEX('Room Info'!$A$2:$A2446, MATCH(B109,'Room Info'!$B$2:$B2446, 0)),IF(G109='Room Info'!$C$1, INDEX('Room Info'!$A$2:$A2446, MATCH(B109,'Room Info'!$C$2:$C2446, 0)),IF(G109='Room Info'!$D$1, INDEX('Room Info'!$A$2:$A2446, MATCH(B109,'Room Info'!$D$2:$D2446, 0)),IF(G109='Room Info'!$E$1, INDEX('Room Info'!$A$2:$A2446, MATCH(B109,'Room Info'!$E$2:$E2446, 0)),IF(G109='Room Info'!$F$1, INDEX('Room Info'!$A$2:$A2446, MATCH(B109,'Room Info'!$F$2:$F2446, 0)),IF(G109='Room Info'!$H$1, INDEX('Room Info'!$A$2:$A2446, MATCH(B109,'Room Info'!$H$2:$H2446, 0)),IF(G109='Room Info'!$G$1, INDEX('Room Info'!$A$2:$A2446, MATCH(B109,'Room Info'!$G$2:$G2446, 0)))))))))</f>
        <v>AlexanderDSL</v>
      </c>
      <c r="B109" s="54" t="s">
        <v>82</v>
      </c>
      <c r="C109" s="67">
        <v>44490</v>
      </c>
      <c r="D109" s="67">
        <v>44520</v>
      </c>
      <c r="E109" s="47">
        <v>44501</v>
      </c>
      <c r="F109" s="45" t="s">
        <v>34</v>
      </c>
      <c r="G109" s="54" t="s">
        <v>35</v>
      </c>
      <c r="H109" s="49" t="s">
        <v>72</v>
      </c>
      <c r="I109" s="49" t="s">
        <v>37</v>
      </c>
      <c r="J109" s="50">
        <v>50</v>
      </c>
      <c r="K109" s="51">
        <v>3381</v>
      </c>
      <c r="L109" s="52">
        <v>2050</v>
      </c>
      <c r="M109" s="53">
        <v>4230</v>
      </c>
      <c r="N109" s="28">
        <f>K109*J109</f>
        <v>169050</v>
      </c>
      <c r="O109" s="54">
        <v>102060</v>
      </c>
      <c r="P109" s="29">
        <v>30.186335400000001</v>
      </c>
      <c r="Q109" s="55"/>
      <c r="R109" s="31">
        <f>M109+Q109</f>
        <v>4230</v>
      </c>
      <c r="S109" s="56">
        <v>-1286</v>
      </c>
      <c r="T109" s="32">
        <f>R109+S109+IF(F109="Without EV deal",L109,0)</f>
        <v>2944</v>
      </c>
      <c r="U109" s="33">
        <v>1</v>
      </c>
      <c r="V109" s="58"/>
      <c r="W109" s="58"/>
      <c r="X109" s="30">
        <f>IF(AF109="DoEV",IF(AND(V109&lt;20,W109&lt;55),0.3,0)+IF(AND(V109&lt;20,W109&gt;=55,W109&lt;105),0.23,0)+IF(AND(V109&lt;20,W109&gt;=105),0.17,0)+IF(AND(V109&gt;=20,V109&lt;40,W109&lt;45),0.3,0)+IF(AND(V109&gt;=20,V109&lt;40,W109&gt;=45,W109&lt;95),0.23,0)+IF(AND(V109&gt;=20,V109&lt;40,W109&gt;=95),0.17,0)+IF(AND(V109&gt;=40,V109&lt;75,W109&lt;35),0.3,0)+IF(AND(V109&gt;=40,V109&lt;75,W109&gt;=35,W109&lt;75),0.23,0)+IF(AND(V109&gt;=40,V109&lt;75,W109&gt;=75,W109&lt;120),0.17,0)+IF(AND(V109&gt;=40,V109&lt;75,W109&gt;=120),0.12,0)+IF(AND(V109&gt;=75,V109&lt;175,W109&lt;35),0.3,0)+IF(AND(V109&gt;=75,V109&lt;=175,W109&gt;=35,W109&lt;65),0.23,0)+IF(AND(V109&gt;=75,V109&lt;=175,W109&gt;=65,W109&lt;110),0.17,0)+IF(AND(V109&gt;=75,V109&lt;=175,W109&gt;=110),0.12,0)+IF(AND(V109&gt;175,W109&lt;25),0.3,0)+IF(AND(V109&gt;175,W109&gt;=25,W109&lt;55),0.23,0)+IF(AND(V109&gt;175,W109&gt;=55,W109&lt;95),0.17,0)+IF(AND(V109&gt;175,W109&gt;=95),0.12,0),
IF(AF109="Fix15",0.15,
IF(AF109="Fix11.25",0.1125,
IF(AF109="Fix10",0.1,
IF(AF109="Fix9",0.09,
IF(AF109="DoEV2017",IF(AND(W109&lt;74),0.2,0)+IF(AND(W109&gt;=74),0.17,0),
IF(AF109="SF",IF(AND(V109&lt;20,W109&lt;89),0.3,0)+IF(AND(V109&lt;20,W109&gt;=89),0.25,0)+IF(AND(V109&gt;=20,V109&lt;40,W109&lt;74),0.3,0)+IF(AND(V109&gt;=20,V109&lt;40,W109&gt;=75),0.22,0)+IF(AND(V109&gt;=40,V109&lt;75,W109&lt;75),0.26,0)+IF(AND(V109&gt;=40,V109&lt;75,W109&gt;=75),0.22,0)+IF(V109&gt;=75,0.22,0),
IF(AF109="DoEVold",IF(AND(V109&lt;40,W109&lt;35),0.35,0)+IF(AND(V109&lt;40,W109&gt;=35,W109&lt;75),0.25,0)+IF(AND(V109&lt;40,W109&gt;=75),0.17,0)+IF(AND(V109&gt;=40,V109&lt;75,W109&lt;25),0.35,0)+IF(AND(V109&gt;=40,V109&lt;75,W109&gt;=25,W109&lt;65),0.25,0)+IF(AND(V109&gt;=40,V109&lt;75,W109&gt;=65,W109&lt;100),0.17,0)+IF(AND(V109&gt;=40,V109&lt;75,W109&gt;=100),0.1,0)+IF(AND(V109&gt;=75,W109&lt;25),0.35,0)+IF(AND(V109&gt;=75,W109&gt;=25,W109&lt;60),0.25,0)+IF(AND(V109&gt;=75,W109&gt;=60,W109&lt;95),0.17,0)+IF(AND(V109&gt;=75,W109&gt;=95),0.1,0),
IF(AF109="DoEVold15",IF(AND(V109&lt;=40,W109&lt;35),0.35,0)+IF(AND(V109&lt;=40,W109&gt;=35,W109&lt;75),0.25,0)+IF(AND(V109&lt;=40,W109&gt;=75,W109&lt;120),0.17,0)+IF(AND(V109&lt;=40,W109&gt;=120),0.15,0)+IF(AND(V109&gt;40,V109&lt;75,W109&lt;25),0.35,0)+IF(AND(V109&gt;=40,V109&lt;75,W109&gt;=25,W109&lt;65),0.25,0)+IF(AND(V109&gt;=40,V109&lt;75,W109&gt;=65,W109&lt;100),0.17,0)+IF(AND(V109&gt;=40,V109&lt;75,W109&gt;=100),0.1,0)+IF(AND(V109&gt;=75,W109&lt;25),0.35,0)+IF(AND(V109&gt;=75,W109&gt;=25,W109&lt;60),0.25,0)+IF(AND(V109&gt;=75,W109&gt;=60,W109&lt;95),0.17,0)+IF(AND(V109&gt;=75,W109&gt;=95),0.1,0),
IF(AF109="DoEVba",IF(AND(V109&lt;20,W109&lt;105),0.2,0)+IF(AND(V109&lt;20,W109&gt;=105),0.15,0)+IF(AND(V109&gt;=20,V109&lt;40,W109&lt;95),0.2,0)+IF(AND(V109&gt;=20,V109&lt;40,W109&gt;=95,W109&lt;150),0.15,0)+IF(AND(V109&gt;=20,V109&lt;40,W109&gt;=150),0.12,0)+IF(AND(V109&gt;=40,V109&lt;75,W109&lt;75),0.2,0)+IF(AND(V109&gt;=40,V109&lt;75,W109&gt;=75,W109&lt;120),0.15,0)+IF(AND(V109&gt;=40,V109&lt;75,W109&gt;=120),0.12,0)+IF(AND(V109&gt;=75,V109&lt;175,W109&lt;65),0.2,0)+IF(AND(V109&gt;=75,V109&lt;175,W109&gt;=65,W109&lt;110),0.15,0)+IF(AND(V109&gt;=75,V109&lt;175,W109&gt;=110),0.12,0)+IF(AND(V109&gt;=175,W109&lt;55),0.2,0)+IF(AND(V109&gt;=175,W109&gt;=55,W109&lt;95),0.15,0)+IF(AND(V109&gt;=175,W109&gt;=95),0.12,0),
IF(AF109="DoEVku",IF(AND(V109&lt;20,W109&lt;55),0.23,0)+IF(AND(V109&lt;20,W109&gt;=55,W109&lt;105),0.2,0)+IF(AND(V109&lt;20,W109&gt;=105),0.17,0)+IF(AND(V109&gt;=20,V109&lt;40,W109&lt;45),0.23,0)+IF(AND(V109&gt;=20,V109&lt;40,W109&gt;=45,W109&lt;95),0.2,0)+IF(AND(V109&gt;=20,V109&lt;40,W109&gt;=95,W109&lt;=150),0.17,0)+IF(AND(V109&gt;=20,V109&lt;40,W109&gt;=150),0.12,0)+IF(AND(V109&gt;=40,V109&lt;75,W109&lt;35),0.23,0)+IF(AND(V109&gt;=40,V109&lt;75,W109&gt;=35,W109&lt;75),0.2,0)+IF(AND(V109&gt;=40,V109&lt;75,W109&gt;=75,W109&lt;120),0.17,0)+IF(AND(V109&gt;=40,V109&lt;75,W109&gt;=120),0.12,0)+IF(AND(V109&gt;=75,V109&lt;175,W109&lt;35),0.23,0)+IF(AND(V109&gt;=75,V109&lt;=175,W109&gt;=35,W109&lt;65),0.2,0)+IF(AND(V109&gt;=75,V109&lt;=175,W109&gt;=65,W109&lt;110),0.17,0)+IF(AND(V109&gt;=75,V109&lt;=175,W109&gt;=110),0.12,0)+IF(AND(V109&gt;175,W109&lt;25),0.23,0)+IF(AND(V109&gt;175,W109&gt;=25,W109&lt;55),0.2,0)+IF(AND(V109&gt;175,W109&gt;=55,W109&lt;95),0.17,0)+IF(AND(V109&gt;175,W109&gt;=95),0.12,0),
IF(AF109="DoEVs1",IF(AND(V109&lt;20,W109&lt;55),0.3,0)+IF(AND(V109&lt;20,W109&gt;=55,W109&lt;105),0.23,0)+IF(AND(V109&lt;20,W109&gt;=105),0.17,0)+IF(AND(V109&gt;=20,V109&lt;40,W109&lt;45),0.3,0)+IF(AND(V109&gt;=20,V109&lt;40,W109&gt;=45,W109&lt;95),0.23,0)+IF(AND(V109&gt;=20,V109&lt;40,W109&gt;=95,W109&lt;=150),0.17,0)+IF(AND(V109&gt;=20,V109&lt;40,W109&gt;=150),0.12,0)+IF(AND(V109&gt;=40,V109&lt;75,W109&lt;35),0.3,0)+IF(AND(V109&gt;=40,V109&lt;75,W109&gt;=35,W109&lt;75),0.23,0)+IF(AND(V109&gt;=40,V109&lt;75,W109&gt;=75,W109&lt;120),0.17,0)+IF(AND(V109&gt;=40,V109&lt;75,W109&gt;=120),0.12,0)+IF(AND(V109&gt;=75,V109&lt;175,W109&lt;35),0.3,0)+IF(AND(V109&gt;=75,V109&lt;=175,W109&gt;=35,W109&lt;65),0.23,0)+IF(AND(V109&gt;=75,V109&lt;=175,W109&gt;=65,W109&lt;110),0.17,0)+IF(AND(V109&gt;=75,V109&lt;=175,W109&gt;=110),0.12,0)+IF(AND(V109&gt;175,W109&lt;25),0.3,0)+IF(AND(V109&gt;175,W109&gt;=25,W109&lt;55),0.23,0)+IF(AND(V109&gt;175,W109&gt;=55,W109&lt;95),0.17,0)+IF(AND(V109&gt;175,W109&gt;=95),0.12,0),
IF(AF109="DoEVsu",IF(AND(V109&lt;20,W109&lt;55),0.3,0)+IF(AND(V109&lt;20,W109&gt;=55,W109&lt;105),0.23,0)+IF(AND(V109&lt;20,W109&gt;=105),0.17,0)+IF(AND(V109&gt;=20,V109&lt;40,W109&lt;45),0.3,0)+IF(AND(V109&gt;=20,V109&lt;40,W109&gt;=45,W109&lt;95),0.23,0)+IF(AND(V109&gt;=20,V109&lt;40,W109&gt;=95,W109&lt;=250),0.17,0)+IF(AND(V109&gt;=20,V109&lt;40,W109&gt;=250),0.12,0)+IF(AND(V109&gt;=40,V109&lt;75,W109&lt;35),0.3,0)+IF(AND(V109&gt;=40,V109&lt;75,W109&gt;=35,W109&lt;75),0.23,0)+IF(AND(V109&gt;=40,V109&lt;75,W109&gt;=75,W109&lt;120),0.17,0)+IF(AND(V109&gt;=40,V109&lt;75,W109&gt;=120),0.12,0)+IF(AND(V109&gt;=75,V109&lt;175,W109&lt;35),0.3,0)+IF(AND(V109&gt;=75,V109&lt;=175,W109&gt;=35,W109&lt;65),0.23,0)+IF(AND(V109&gt;=75,V109&lt;=175,W109&gt;=65,W109&lt;110),0.17,0)+IF(AND(V109&gt;=75,V109&lt;=175,W109&gt;=110),0.12,0)+IF(AND(V109&gt;175,W109&lt;25),0.3,0)+IF(AND(V109&gt;175,W109&gt;=25,W109&lt;55),0.23,0)+IF(AND(V109&gt;175,W109&gt;=55,W109&lt;95),0.17,0)+IF(AND(V109&gt;175,W109&gt;=95),0.12,0),
IF(AF109="DoEVni",IF(AND(V109&lt;20,W109&lt;55),0.3,0)+IF(AND(V109&lt;20,W109&gt;=55,W109&lt;105),0.23,0)+IF(AND(V109&lt;20,W109&gt;=105),0.17,0)+IF(AND(V109&gt;=20,V109&lt;40,W109&lt;45),0.3,0)+IF(AND(V109&gt;=20,V109&lt;40,W109&gt;=45,W109&lt;95),0.23,0)+IF(AND(V109&gt;=20,V109&lt;40,W109&gt;=95,W109&lt;=200),0.17,0)+IF(AND(V109&gt;=20,V109&lt;40,W109&gt;=200),0.12,0)+IF(AND(V109&gt;=40,V109&lt;75,W109&lt;35),0.3,0)+IF(AND(V109&gt;=40,V109&lt;75,W109&gt;=35,W109&lt;75),0.23,0)+IF(AND(V109&gt;=40,V109&lt;75,W109&gt;=75,W109&lt;120),0.17,0)+IF(AND(V109&gt;=40,V109&lt;75,W109&gt;=120),0.12,0)+IF(AND(V109&gt;=75,V109&lt;175,W109&lt;35),0.3,0)+IF(AND(V109&gt;=75,V109&lt;=175,W109&gt;=35,W109&lt;65),0.23,0)+IF(AND(V109&gt;=75,V109&lt;=175,W109&gt;=65,W109&lt;110),0.17,0)+IF(AND(V109&gt;=75,V109&lt;=175,W109&gt;=110),0.12,0)+IF(AND(V109&gt;175,W109&lt;25),0.3,0)+IF(AND(V109&gt;175,W109&gt;=25,W109&lt;55),0.23,0)+IF(AND(V109&gt;175,W109&gt;=55,W109&lt;95),0.17,0)+IF(AND(V109&gt;175,W109&gt;=95),0.12,0),
IF(AF109="DoEVLo",IF(AND(V109&lt;20,W109&lt;55),0.25,0)+IF(AND(V109&lt;20,W109&gt;=55,W109&lt;105),0.2,0)+IF(AND(V109&lt;20,W109&gt;=105),0.15,0)+IF(AND(V109&gt;=20,V109&lt;40,W109&lt;45),0.25,0)+IF(AND(V109&gt;=20,V109&lt;40,W109&gt;=45,W109&lt;95),0.2,0)+IF(AND(V109&gt;=20,V109&lt;40,W109&gt;=95),0.15,0)+IF(AND(V109&gt;=40,V109&lt;75,W109&lt;35),0.25,0)+IF(AND(V109&gt;=40,V109&lt;75,W109&gt;=35,W109&lt;75),0.2,0)+IF(AND(V109&gt;=40,V109&lt;75,W109&gt;=75,W109&lt;120),0.15,0)+IF(AND(V109&gt;=40,V109&lt;75,W109&gt;=120),0.1,0)+IF(AND(V109&gt;=75,V109&lt;175,W109&lt;35),0.25,0)+IF(AND(V109&gt;=75,V109&lt;=175,W109&gt;=35,W109&lt;65),0.2,0)+IF(AND(V109&gt;=75,V109&lt;=175,W109&gt;=65,W109&lt;110),0.15,0)+IF(AND(V109&gt;=75,V109&lt;=175,W109&gt;=110),0.1,0)+IF(AND(V109&gt;175,W109&lt;25),0.25,0)+IF(AND(V109&gt;175,W109&gt;=25,W109&lt;55),0.2,0)+IF(AND(V109&gt;175,W109&gt;=55,W109&lt;95),0.15,0)+IF(AND(V109&gt;175,W109&gt;=95),0.1,0))))))))))))))))</f>
        <v>0.15</v>
      </c>
      <c r="Y109" s="30">
        <f>IF(AG109="None",0,IF(AG109="Fix5",0.05,IF(AG109="Fix3.75",0.0375,IF(AG109="Fix10",0.1,IF(AG109="Fix3",0.03,0)))))</f>
        <v>0.05</v>
      </c>
      <c r="Z109" s="35">
        <f>T109-AA109-AB109</f>
        <v>2355.2000000000003</v>
      </c>
      <c r="AA109" s="29">
        <f>IF(AD109="EUR",((T109-R109)*X109)*U109+(R109*X109),(T109*X109))</f>
        <v>441.59999999999997</v>
      </c>
      <c r="AB109" s="36">
        <f>IF(AD109="EUR",((T109-R109)*Y109)*U109+(R109*Y109),(T109*Y109))</f>
        <v>147.20000000000002</v>
      </c>
      <c r="AC109" s="37" t="b">
        <v>1</v>
      </c>
      <c r="AD109" s="37" t="s">
        <v>38</v>
      </c>
      <c r="AE109" s="37" t="s">
        <v>38</v>
      </c>
      <c r="AF109" s="37" t="str">
        <f t="array" ref="AF109">INDEX('Deal Info'!D:D, MATCH(A109,'Deal Info'!A:A, 0))</f>
        <v>Fix15</v>
      </c>
      <c r="AG109" s="38" t="str">
        <f t="array" ref="AG109">INDEX('Deal Info'!G:G, MATCH(A109,'Deal Info'!A:A, 0))</f>
        <v>Fix5</v>
      </c>
    </row>
    <row r="110" spans="1:33" ht="14.25" hidden="1" x14ac:dyDescent="0.2">
      <c r="A110" s="18" t="str">
        <f t="array" ref="A110">IF(G110='Room Info'!$B$1, INDEX('Room Info'!$A$2:$A2446, MATCH(B110,'Room Info'!$B$2:$B2446, 0)),IF(G110='Room Info'!$C$1, INDEX('Room Info'!$A$2:$A2446, MATCH(B110,'Room Info'!$C$2:$C2446, 0)),IF(G110='Room Info'!$D$1, INDEX('Room Info'!$A$2:$A2446, MATCH(B110,'Room Info'!$D$2:$D2446, 0)),IF(G110='Room Info'!$E$1, INDEX('Room Info'!$A$2:$A2446, MATCH(B110,'Room Info'!$E$2:$E2446, 0)),IF(G110='Room Info'!$F$1, INDEX('Room Info'!$A$2:$A2446, MATCH(B110,'Room Info'!$F$2:$F2446, 0)),IF(G110='Room Info'!$H$1, INDEX('Room Info'!$A$2:$A2446, MATCH(B110,'Room Info'!$H$2:$H2446, 0)),IF(G110='Room Info'!$G$1, INDEX('Room Info'!$A$2:$A2446, MATCH(B110,'Room Info'!$G$2:$G2446, 0)))))))))</f>
        <v>AlexanderDSL</v>
      </c>
      <c r="B110" s="54" t="s">
        <v>82</v>
      </c>
      <c r="C110" s="67">
        <v>44490</v>
      </c>
      <c r="D110" s="67">
        <v>44520</v>
      </c>
      <c r="E110" s="47">
        <v>44501</v>
      </c>
      <c r="F110" s="45" t="s">
        <v>34</v>
      </c>
      <c r="G110" s="54" t="s">
        <v>35</v>
      </c>
      <c r="H110" s="49" t="s">
        <v>70</v>
      </c>
      <c r="I110" s="49" t="s">
        <v>37</v>
      </c>
      <c r="J110" s="50">
        <v>100</v>
      </c>
      <c r="K110" s="51">
        <v>2</v>
      </c>
      <c r="L110" s="52">
        <v>-200</v>
      </c>
      <c r="M110" s="53">
        <v>4</v>
      </c>
      <c r="N110" s="28">
        <f>K110*J110</f>
        <v>200</v>
      </c>
      <c r="O110" s="54">
        <v>-718</v>
      </c>
      <c r="P110" s="29">
        <v>-359</v>
      </c>
      <c r="Q110" s="55"/>
      <c r="R110" s="31">
        <f>M110+Q110</f>
        <v>4</v>
      </c>
      <c r="S110" s="56">
        <v>-145</v>
      </c>
      <c r="T110" s="32">
        <f>R110+S110+IF(F110="Without EV deal",L110,0)</f>
        <v>-141</v>
      </c>
      <c r="U110" s="33">
        <v>1</v>
      </c>
      <c r="V110" s="58"/>
      <c r="W110" s="58"/>
      <c r="X110" s="30">
        <f>IF(AF110="DoEV",IF(AND(V110&lt;20,W110&lt;55),0.3,0)+IF(AND(V110&lt;20,W110&gt;=55,W110&lt;105),0.23,0)+IF(AND(V110&lt;20,W110&gt;=105),0.17,0)+IF(AND(V110&gt;=20,V110&lt;40,W110&lt;45),0.3,0)+IF(AND(V110&gt;=20,V110&lt;40,W110&gt;=45,W110&lt;95),0.23,0)+IF(AND(V110&gt;=20,V110&lt;40,W110&gt;=95),0.17,0)+IF(AND(V110&gt;=40,V110&lt;75,W110&lt;35),0.3,0)+IF(AND(V110&gt;=40,V110&lt;75,W110&gt;=35,W110&lt;75),0.23,0)+IF(AND(V110&gt;=40,V110&lt;75,W110&gt;=75,W110&lt;120),0.17,0)+IF(AND(V110&gt;=40,V110&lt;75,W110&gt;=120),0.12,0)+IF(AND(V110&gt;=75,V110&lt;175,W110&lt;35),0.3,0)+IF(AND(V110&gt;=75,V110&lt;=175,W110&gt;=35,W110&lt;65),0.23,0)+IF(AND(V110&gt;=75,V110&lt;=175,W110&gt;=65,W110&lt;110),0.17,0)+IF(AND(V110&gt;=75,V110&lt;=175,W110&gt;=110),0.12,0)+IF(AND(V110&gt;175,W110&lt;25),0.3,0)+IF(AND(V110&gt;175,W110&gt;=25,W110&lt;55),0.23,0)+IF(AND(V110&gt;175,W110&gt;=55,W110&lt;95),0.17,0)+IF(AND(V110&gt;175,W110&gt;=95),0.12,0),
IF(AF110="Fix15",0.15,
IF(AF110="Fix11.25",0.1125,
IF(AF110="Fix10",0.1,
IF(AF110="Fix9",0.09,
IF(AF110="DoEV2017",IF(AND(W110&lt;74),0.2,0)+IF(AND(W110&gt;=74),0.17,0),
IF(AF110="SF",IF(AND(V110&lt;20,W110&lt;89),0.3,0)+IF(AND(V110&lt;20,W110&gt;=89),0.25,0)+IF(AND(V110&gt;=20,V110&lt;40,W110&lt;74),0.3,0)+IF(AND(V110&gt;=20,V110&lt;40,W110&gt;=75),0.22,0)+IF(AND(V110&gt;=40,V110&lt;75,W110&lt;75),0.26,0)+IF(AND(V110&gt;=40,V110&lt;75,W110&gt;=75),0.22,0)+IF(V110&gt;=75,0.22,0),
IF(AF110="DoEVold",IF(AND(V110&lt;40,W110&lt;35),0.35,0)+IF(AND(V110&lt;40,W110&gt;=35,W110&lt;75),0.25,0)+IF(AND(V110&lt;40,W110&gt;=75),0.17,0)+IF(AND(V110&gt;=40,V110&lt;75,W110&lt;25),0.35,0)+IF(AND(V110&gt;=40,V110&lt;75,W110&gt;=25,W110&lt;65),0.25,0)+IF(AND(V110&gt;=40,V110&lt;75,W110&gt;=65,W110&lt;100),0.17,0)+IF(AND(V110&gt;=40,V110&lt;75,W110&gt;=100),0.1,0)+IF(AND(V110&gt;=75,W110&lt;25),0.35,0)+IF(AND(V110&gt;=75,W110&gt;=25,W110&lt;60),0.25,0)+IF(AND(V110&gt;=75,W110&gt;=60,W110&lt;95),0.17,0)+IF(AND(V110&gt;=75,W110&gt;=95),0.1,0),
IF(AF110="DoEVold15",IF(AND(V110&lt;=40,W110&lt;35),0.35,0)+IF(AND(V110&lt;=40,W110&gt;=35,W110&lt;75),0.25,0)+IF(AND(V110&lt;=40,W110&gt;=75,W110&lt;120),0.17,0)+IF(AND(V110&lt;=40,W110&gt;=120),0.15,0)+IF(AND(V110&gt;40,V110&lt;75,W110&lt;25),0.35,0)+IF(AND(V110&gt;=40,V110&lt;75,W110&gt;=25,W110&lt;65),0.25,0)+IF(AND(V110&gt;=40,V110&lt;75,W110&gt;=65,W110&lt;100),0.17,0)+IF(AND(V110&gt;=40,V110&lt;75,W110&gt;=100),0.1,0)+IF(AND(V110&gt;=75,W110&lt;25),0.35,0)+IF(AND(V110&gt;=75,W110&gt;=25,W110&lt;60),0.25,0)+IF(AND(V110&gt;=75,W110&gt;=60,W110&lt;95),0.17,0)+IF(AND(V110&gt;=75,W110&gt;=95),0.1,0),
IF(AF110="DoEVba",IF(AND(V110&lt;20,W110&lt;105),0.2,0)+IF(AND(V110&lt;20,W110&gt;=105),0.15,0)+IF(AND(V110&gt;=20,V110&lt;40,W110&lt;95),0.2,0)+IF(AND(V110&gt;=20,V110&lt;40,W110&gt;=95,W110&lt;150),0.15,0)+IF(AND(V110&gt;=20,V110&lt;40,W110&gt;=150),0.12,0)+IF(AND(V110&gt;=40,V110&lt;75,W110&lt;75),0.2,0)+IF(AND(V110&gt;=40,V110&lt;75,W110&gt;=75,W110&lt;120),0.15,0)+IF(AND(V110&gt;=40,V110&lt;75,W110&gt;=120),0.12,0)+IF(AND(V110&gt;=75,V110&lt;175,W110&lt;65),0.2,0)+IF(AND(V110&gt;=75,V110&lt;175,W110&gt;=65,W110&lt;110),0.15,0)+IF(AND(V110&gt;=75,V110&lt;175,W110&gt;=110),0.12,0)+IF(AND(V110&gt;=175,W110&lt;55),0.2,0)+IF(AND(V110&gt;=175,W110&gt;=55,W110&lt;95),0.15,0)+IF(AND(V110&gt;=175,W110&gt;=95),0.12,0),
IF(AF110="DoEVku",IF(AND(V110&lt;20,W110&lt;55),0.23,0)+IF(AND(V110&lt;20,W110&gt;=55,W110&lt;105),0.2,0)+IF(AND(V110&lt;20,W110&gt;=105),0.17,0)+IF(AND(V110&gt;=20,V110&lt;40,W110&lt;45),0.23,0)+IF(AND(V110&gt;=20,V110&lt;40,W110&gt;=45,W110&lt;95),0.2,0)+IF(AND(V110&gt;=20,V110&lt;40,W110&gt;=95,W110&lt;=150),0.17,0)+IF(AND(V110&gt;=20,V110&lt;40,W110&gt;=150),0.12,0)+IF(AND(V110&gt;=40,V110&lt;75,W110&lt;35),0.23,0)+IF(AND(V110&gt;=40,V110&lt;75,W110&gt;=35,W110&lt;75),0.2,0)+IF(AND(V110&gt;=40,V110&lt;75,W110&gt;=75,W110&lt;120),0.17,0)+IF(AND(V110&gt;=40,V110&lt;75,W110&gt;=120),0.12,0)+IF(AND(V110&gt;=75,V110&lt;175,W110&lt;35),0.23,0)+IF(AND(V110&gt;=75,V110&lt;=175,W110&gt;=35,W110&lt;65),0.2,0)+IF(AND(V110&gt;=75,V110&lt;=175,W110&gt;=65,W110&lt;110),0.17,0)+IF(AND(V110&gt;=75,V110&lt;=175,W110&gt;=110),0.12,0)+IF(AND(V110&gt;175,W110&lt;25),0.23,0)+IF(AND(V110&gt;175,W110&gt;=25,W110&lt;55),0.2,0)+IF(AND(V110&gt;175,W110&gt;=55,W110&lt;95),0.17,0)+IF(AND(V110&gt;175,W110&gt;=95),0.12,0),
IF(AF110="DoEVs1",IF(AND(V110&lt;20,W110&lt;55),0.3,0)+IF(AND(V110&lt;20,W110&gt;=55,W110&lt;105),0.23,0)+IF(AND(V110&lt;20,W110&gt;=105),0.17,0)+IF(AND(V110&gt;=20,V110&lt;40,W110&lt;45),0.3,0)+IF(AND(V110&gt;=20,V110&lt;40,W110&gt;=45,W110&lt;95),0.23,0)+IF(AND(V110&gt;=20,V110&lt;40,W110&gt;=95,W110&lt;=150),0.17,0)+IF(AND(V110&gt;=20,V110&lt;40,W110&gt;=150),0.12,0)+IF(AND(V110&gt;=40,V110&lt;75,W110&lt;35),0.3,0)+IF(AND(V110&gt;=40,V110&lt;75,W110&gt;=35,W110&lt;75),0.23,0)+IF(AND(V110&gt;=40,V110&lt;75,W110&gt;=75,W110&lt;120),0.17,0)+IF(AND(V110&gt;=40,V110&lt;75,W110&gt;=120),0.12,0)+IF(AND(V110&gt;=75,V110&lt;175,W110&lt;35),0.3,0)+IF(AND(V110&gt;=75,V110&lt;=175,W110&gt;=35,W110&lt;65),0.23,0)+IF(AND(V110&gt;=75,V110&lt;=175,W110&gt;=65,W110&lt;110),0.17,0)+IF(AND(V110&gt;=75,V110&lt;=175,W110&gt;=110),0.12,0)+IF(AND(V110&gt;175,W110&lt;25),0.3,0)+IF(AND(V110&gt;175,W110&gt;=25,W110&lt;55),0.23,0)+IF(AND(V110&gt;175,W110&gt;=55,W110&lt;95),0.17,0)+IF(AND(V110&gt;175,W110&gt;=95),0.12,0),
IF(AF110="DoEVsu",IF(AND(V110&lt;20,W110&lt;55),0.3,0)+IF(AND(V110&lt;20,W110&gt;=55,W110&lt;105),0.23,0)+IF(AND(V110&lt;20,W110&gt;=105),0.17,0)+IF(AND(V110&gt;=20,V110&lt;40,W110&lt;45),0.3,0)+IF(AND(V110&gt;=20,V110&lt;40,W110&gt;=45,W110&lt;95),0.23,0)+IF(AND(V110&gt;=20,V110&lt;40,W110&gt;=95,W110&lt;=250),0.17,0)+IF(AND(V110&gt;=20,V110&lt;40,W110&gt;=250),0.12,0)+IF(AND(V110&gt;=40,V110&lt;75,W110&lt;35),0.3,0)+IF(AND(V110&gt;=40,V110&lt;75,W110&gt;=35,W110&lt;75),0.23,0)+IF(AND(V110&gt;=40,V110&lt;75,W110&gt;=75,W110&lt;120),0.17,0)+IF(AND(V110&gt;=40,V110&lt;75,W110&gt;=120),0.12,0)+IF(AND(V110&gt;=75,V110&lt;175,W110&lt;35),0.3,0)+IF(AND(V110&gt;=75,V110&lt;=175,W110&gt;=35,W110&lt;65),0.23,0)+IF(AND(V110&gt;=75,V110&lt;=175,W110&gt;=65,W110&lt;110),0.17,0)+IF(AND(V110&gt;=75,V110&lt;=175,W110&gt;=110),0.12,0)+IF(AND(V110&gt;175,W110&lt;25),0.3,0)+IF(AND(V110&gt;175,W110&gt;=25,W110&lt;55),0.23,0)+IF(AND(V110&gt;175,W110&gt;=55,W110&lt;95),0.17,0)+IF(AND(V110&gt;175,W110&gt;=95),0.12,0),
IF(AF110="DoEVni",IF(AND(V110&lt;20,W110&lt;55),0.3,0)+IF(AND(V110&lt;20,W110&gt;=55,W110&lt;105),0.23,0)+IF(AND(V110&lt;20,W110&gt;=105),0.17,0)+IF(AND(V110&gt;=20,V110&lt;40,W110&lt;45),0.3,0)+IF(AND(V110&gt;=20,V110&lt;40,W110&gt;=45,W110&lt;95),0.23,0)+IF(AND(V110&gt;=20,V110&lt;40,W110&gt;=95,W110&lt;=200),0.17,0)+IF(AND(V110&gt;=20,V110&lt;40,W110&gt;=200),0.12,0)+IF(AND(V110&gt;=40,V110&lt;75,W110&lt;35),0.3,0)+IF(AND(V110&gt;=40,V110&lt;75,W110&gt;=35,W110&lt;75),0.23,0)+IF(AND(V110&gt;=40,V110&lt;75,W110&gt;=75,W110&lt;120),0.17,0)+IF(AND(V110&gt;=40,V110&lt;75,W110&gt;=120),0.12,0)+IF(AND(V110&gt;=75,V110&lt;175,W110&lt;35),0.3,0)+IF(AND(V110&gt;=75,V110&lt;=175,W110&gt;=35,W110&lt;65),0.23,0)+IF(AND(V110&gt;=75,V110&lt;=175,W110&gt;=65,W110&lt;110),0.17,0)+IF(AND(V110&gt;=75,V110&lt;=175,W110&gt;=110),0.12,0)+IF(AND(V110&gt;175,W110&lt;25),0.3,0)+IF(AND(V110&gt;175,W110&gt;=25,W110&lt;55),0.23,0)+IF(AND(V110&gt;175,W110&gt;=55,W110&lt;95),0.17,0)+IF(AND(V110&gt;175,W110&gt;=95),0.12,0),
IF(AF110="DoEVLo",IF(AND(V110&lt;20,W110&lt;55),0.25,0)+IF(AND(V110&lt;20,W110&gt;=55,W110&lt;105),0.2,0)+IF(AND(V110&lt;20,W110&gt;=105),0.15,0)+IF(AND(V110&gt;=20,V110&lt;40,W110&lt;45),0.25,0)+IF(AND(V110&gt;=20,V110&lt;40,W110&gt;=45,W110&lt;95),0.2,0)+IF(AND(V110&gt;=20,V110&lt;40,W110&gt;=95),0.15,0)+IF(AND(V110&gt;=40,V110&lt;75,W110&lt;35),0.25,0)+IF(AND(V110&gt;=40,V110&lt;75,W110&gt;=35,W110&lt;75),0.2,0)+IF(AND(V110&gt;=40,V110&lt;75,W110&gt;=75,W110&lt;120),0.15,0)+IF(AND(V110&gt;=40,V110&lt;75,W110&gt;=120),0.1,0)+IF(AND(V110&gt;=75,V110&lt;175,W110&lt;35),0.25,0)+IF(AND(V110&gt;=75,V110&lt;=175,W110&gt;=35,W110&lt;65),0.2,0)+IF(AND(V110&gt;=75,V110&lt;=175,W110&gt;=65,W110&lt;110),0.15,0)+IF(AND(V110&gt;=75,V110&lt;=175,W110&gt;=110),0.1,0)+IF(AND(V110&gt;175,W110&lt;25),0.25,0)+IF(AND(V110&gt;175,W110&gt;=25,W110&lt;55),0.2,0)+IF(AND(V110&gt;175,W110&gt;=55,W110&lt;95),0.15,0)+IF(AND(V110&gt;175,W110&gt;=95),0.1,0))))))))))))))))</f>
        <v>0.15</v>
      </c>
      <c r="Y110" s="30">
        <f>IF(AG110="None",0,IF(AG110="Fix5",0.05,IF(AG110="Fix3.75",0.0375,IF(AG110="Fix10",0.1,IF(AG110="Fix3",0.03,0)))))</f>
        <v>0.05</v>
      </c>
      <c r="Z110" s="35">
        <f>T110-AA110-AB110</f>
        <v>-112.8</v>
      </c>
      <c r="AA110" s="29">
        <f>IF(AD110="EUR",((T110-R110)*X110)*U110+(R110*X110),(T110*X110))</f>
        <v>-21.15</v>
      </c>
      <c r="AB110" s="36">
        <f>IF(AD110="EUR",((T110-R110)*Y110)*U110+(R110*Y110),(T110*Y110))</f>
        <v>-7.0500000000000007</v>
      </c>
      <c r="AC110" s="37" t="b">
        <v>1</v>
      </c>
      <c r="AD110" s="37" t="s">
        <v>38</v>
      </c>
      <c r="AE110" s="37" t="s">
        <v>38</v>
      </c>
      <c r="AF110" s="37" t="str">
        <f t="array" ref="AF110">INDEX('Deal Info'!D:D, MATCH(A110,'Deal Info'!A:A, 0))</f>
        <v>Fix15</v>
      </c>
      <c r="AG110" s="38" t="str">
        <f t="array" ref="AG110">INDEX('Deal Info'!G:G, MATCH(A110,'Deal Info'!A:A, 0))</f>
        <v>Fix5</v>
      </c>
    </row>
    <row r="111" spans="1:33" ht="14.25" hidden="1" x14ac:dyDescent="0.2">
      <c r="A111" s="18" t="str">
        <f t="array" ref="A111">IF(G111='Room Info'!$B$1, INDEX('Room Info'!$A$2:$A2446, MATCH(B111,'Room Info'!$B$2:$B2446, 0)),IF(G111='Room Info'!$C$1, INDEX('Room Info'!$A$2:$A2446, MATCH(B111,'Room Info'!$C$2:$C2446, 0)),IF(G111='Room Info'!$D$1, INDEX('Room Info'!$A$2:$A2446, MATCH(B111,'Room Info'!$D$2:$D2446, 0)),IF(G111='Room Info'!$E$1, INDEX('Room Info'!$A$2:$A2446, MATCH(B111,'Room Info'!$E$2:$E2446, 0)),IF(G111='Room Info'!$F$1, INDEX('Room Info'!$A$2:$A2446, MATCH(B111,'Room Info'!$F$2:$F2446, 0)),IF(G111='Room Info'!$H$1, INDEX('Room Info'!$A$2:$A2446, MATCH(B111,'Room Info'!$H$2:$H2446, 0)),IF(G111='Room Info'!$G$1, INDEX('Room Info'!$A$2:$A2446, MATCH(B111,'Room Info'!$G$2:$G2446, 0)))))))))</f>
        <v>AlexanderDSL</v>
      </c>
      <c r="B111" s="54" t="s">
        <v>82</v>
      </c>
      <c r="C111" s="67">
        <v>44490</v>
      </c>
      <c r="D111" s="67">
        <v>44520</v>
      </c>
      <c r="E111" s="47">
        <v>44501</v>
      </c>
      <c r="F111" s="45" t="s">
        <v>41</v>
      </c>
      <c r="G111" s="54" t="s">
        <v>35</v>
      </c>
      <c r="H111" s="49" t="s">
        <v>88</v>
      </c>
      <c r="I111" s="49" t="s">
        <v>37</v>
      </c>
      <c r="J111" s="50">
        <v>250</v>
      </c>
      <c r="K111" s="51">
        <v>3</v>
      </c>
      <c r="L111" s="52">
        <v>-750</v>
      </c>
      <c r="M111" s="53">
        <v>16</v>
      </c>
      <c r="N111" s="28">
        <f>K111*J111</f>
        <v>750</v>
      </c>
      <c r="O111" s="65"/>
      <c r="P111" s="29">
        <v>0</v>
      </c>
      <c r="Q111" s="55"/>
      <c r="R111" s="31">
        <f>M111+Q111</f>
        <v>16</v>
      </c>
      <c r="S111" s="66"/>
      <c r="T111" s="32">
        <f>R111+S111+IF(F111="Without EV deal",L111,0)</f>
        <v>-734</v>
      </c>
      <c r="U111" s="33">
        <v>1</v>
      </c>
      <c r="V111" s="58"/>
      <c r="W111" s="58"/>
      <c r="X111" s="30">
        <f>IF(AF111="DoEV",IF(AND(V111&lt;20,W111&lt;55),0.3,0)+IF(AND(V111&lt;20,W111&gt;=55,W111&lt;105),0.23,0)+IF(AND(V111&lt;20,W111&gt;=105),0.17,0)+IF(AND(V111&gt;=20,V111&lt;40,W111&lt;45),0.3,0)+IF(AND(V111&gt;=20,V111&lt;40,W111&gt;=45,W111&lt;95),0.23,0)+IF(AND(V111&gt;=20,V111&lt;40,W111&gt;=95),0.17,0)+IF(AND(V111&gt;=40,V111&lt;75,W111&lt;35),0.3,0)+IF(AND(V111&gt;=40,V111&lt;75,W111&gt;=35,W111&lt;75),0.23,0)+IF(AND(V111&gt;=40,V111&lt;75,W111&gt;=75,W111&lt;120),0.17,0)+IF(AND(V111&gt;=40,V111&lt;75,W111&gt;=120),0.12,0)+IF(AND(V111&gt;=75,V111&lt;175,W111&lt;35),0.3,0)+IF(AND(V111&gt;=75,V111&lt;=175,W111&gt;=35,W111&lt;65),0.23,0)+IF(AND(V111&gt;=75,V111&lt;=175,W111&gt;=65,W111&lt;110),0.17,0)+IF(AND(V111&gt;=75,V111&lt;=175,W111&gt;=110),0.12,0)+IF(AND(V111&gt;175,W111&lt;25),0.3,0)+IF(AND(V111&gt;175,W111&gt;=25,W111&lt;55),0.23,0)+IF(AND(V111&gt;175,W111&gt;=55,W111&lt;95),0.17,0)+IF(AND(V111&gt;175,W111&gt;=95),0.12,0),
IF(AF111="Fix15",0.15,
IF(AF111="Fix11.25",0.1125,
IF(AF111="Fix10",0.1,
IF(AF111="Fix9",0.09,
IF(AF111="DoEV2017",IF(AND(W111&lt;74),0.2,0)+IF(AND(W111&gt;=74),0.17,0),
IF(AF111="SF",IF(AND(V111&lt;20,W111&lt;89),0.3,0)+IF(AND(V111&lt;20,W111&gt;=89),0.25,0)+IF(AND(V111&gt;=20,V111&lt;40,W111&lt;74),0.3,0)+IF(AND(V111&gt;=20,V111&lt;40,W111&gt;=75),0.22,0)+IF(AND(V111&gt;=40,V111&lt;75,W111&lt;75),0.26,0)+IF(AND(V111&gt;=40,V111&lt;75,W111&gt;=75),0.22,0)+IF(V111&gt;=75,0.22,0),
IF(AF111="DoEVold",IF(AND(V111&lt;40,W111&lt;35),0.35,0)+IF(AND(V111&lt;40,W111&gt;=35,W111&lt;75),0.25,0)+IF(AND(V111&lt;40,W111&gt;=75),0.17,0)+IF(AND(V111&gt;=40,V111&lt;75,W111&lt;25),0.35,0)+IF(AND(V111&gt;=40,V111&lt;75,W111&gt;=25,W111&lt;65),0.25,0)+IF(AND(V111&gt;=40,V111&lt;75,W111&gt;=65,W111&lt;100),0.17,0)+IF(AND(V111&gt;=40,V111&lt;75,W111&gt;=100),0.1,0)+IF(AND(V111&gt;=75,W111&lt;25),0.35,0)+IF(AND(V111&gt;=75,W111&gt;=25,W111&lt;60),0.25,0)+IF(AND(V111&gt;=75,W111&gt;=60,W111&lt;95),0.17,0)+IF(AND(V111&gt;=75,W111&gt;=95),0.1,0),
IF(AF111="DoEVold15",IF(AND(V111&lt;=40,W111&lt;35),0.35,0)+IF(AND(V111&lt;=40,W111&gt;=35,W111&lt;75),0.25,0)+IF(AND(V111&lt;=40,W111&gt;=75,W111&lt;120),0.17,0)+IF(AND(V111&lt;=40,W111&gt;=120),0.15,0)+IF(AND(V111&gt;40,V111&lt;75,W111&lt;25),0.35,0)+IF(AND(V111&gt;=40,V111&lt;75,W111&gt;=25,W111&lt;65),0.25,0)+IF(AND(V111&gt;=40,V111&lt;75,W111&gt;=65,W111&lt;100),0.17,0)+IF(AND(V111&gt;=40,V111&lt;75,W111&gt;=100),0.1,0)+IF(AND(V111&gt;=75,W111&lt;25),0.35,0)+IF(AND(V111&gt;=75,W111&gt;=25,W111&lt;60),0.25,0)+IF(AND(V111&gt;=75,W111&gt;=60,W111&lt;95),0.17,0)+IF(AND(V111&gt;=75,W111&gt;=95),0.1,0),
IF(AF111="DoEVba",IF(AND(V111&lt;20,W111&lt;105),0.2,0)+IF(AND(V111&lt;20,W111&gt;=105),0.15,0)+IF(AND(V111&gt;=20,V111&lt;40,W111&lt;95),0.2,0)+IF(AND(V111&gt;=20,V111&lt;40,W111&gt;=95,W111&lt;150),0.15,0)+IF(AND(V111&gt;=20,V111&lt;40,W111&gt;=150),0.12,0)+IF(AND(V111&gt;=40,V111&lt;75,W111&lt;75),0.2,0)+IF(AND(V111&gt;=40,V111&lt;75,W111&gt;=75,W111&lt;120),0.15,0)+IF(AND(V111&gt;=40,V111&lt;75,W111&gt;=120),0.12,0)+IF(AND(V111&gt;=75,V111&lt;175,W111&lt;65),0.2,0)+IF(AND(V111&gt;=75,V111&lt;175,W111&gt;=65,W111&lt;110),0.15,0)+IF(AND(V111&gt;=75,V111&lt;175,W111&gt;=110),0.12,0)+IF(AND(V111&gt;=175,W111&lt;55),0.2,0)+IF(AND(V111&gt;=175,W111&gt;=55,W111&lt;95),0.15,0)+IF(AND(V111&gt;=175,W111&gt;=95),0.12,0),
IF(AF111="DoEVku",IF(AND(V111&lt;20,W111&lt;55),0.23,0)+IF(AND(V111&lt;20,W111&gt;=55,W111&lt;105),0.2,0)+IF(AND(V111&lt;20,W111&gt;=105),0.17,0)+IF(AND(V111&gt;=20,V111&lt;40,W111&lt;45),0.23,0)+IF(AND(V111&gt;=20,V111&lt;40,W111&gt;=45,W111&lt;95),0.2,0)+IF(AND(V111&gt;=20,V111&lt;40,W111&gt;=95,W111&lt;=150),0.17,0)+IF(AND(V111&gt;=20,V111&lt;40,W111&gt;=150),0.12,0)+IF(AND(V111&gt;=40,V111&lt;75,W111&lt;35),0.23,0)+IF(AND(V111&gt;=40,V111&lt;75,W111&gt;=35,W111&lt;75),0.2,0)+IF(AND(V111&gt;=40,V111&lt;75,W111&gt;=75,W111&lt;120),0.17,0)+IF(AND(V111&gt;=40,V111&lt;75,W111&gt;=120),0.12,0)+IF(AND(V111&gt;=75,V111&lt;175,W111&lt;35),0.23,0)+IF(AND(V111&gt;=75,V111&lt;=175,W111&gt;=35,W111&lt;65),0.2,0)+IF(AND(V111&gt;=75,V111&lt;=175,W111&gt;=65,W111&lt;110),0.17,0)+IF(AND(V111&gt;=75,V111&lt;=175,W111&gt;=110),0.12,0)+IF(AND(V111&gt;175,W111&lt;25),0.23,0)+IF(AND(V111&gt;175,W111&gt;=25,W111&lt;55),0.2,0)+IF(AND(V111&gt;175,W111&gt;=55,W111&lt;95),0.17,0)+IF(AND(V111&gt;175,W111&gt;=95),0.12,0),
IF(AF111="DoEVs1",IF(AND(V111&lt;20,W111&lt;55),0.3,0)+IF(AND(V111&lt;20,W111&gt;=55,W111&lt;105),0.23,0)+IF(AND(V111&lt;20,W111&gt;=105),0.17,0)+IF(AND(V111&gt;=20,V111&lt;40,W111&lt;45),0.3,0)+IF(AND(V111&gt;=20,V111&lt;40,W111&gt;=45,W111&lt;95),0.23,0)+IF(AND(V111&gt;=20,V111&lt;40,W111&gt;=95,W111&lt;=150),0.17,0)+IF(AND(V111&gt;=20,V111&lt;40,W111&gt;=150),0.12,0)+IF(AND(V111&gt;=40,V111&lt;75,W111&lt;35),0.3,0)+IF(AND(V111&gt;=40,V111&lt;75,W111&gt;=35,W111&lt;75),0.23,0)+IF(AND(V111&gt;=40,V111&lt;75,W111&gt;=75,W111&lt;120),0.17,0)+IF(AND(V111&gt;=40,V111&lt;75,W111&gt;=120),0.12,0)+IF(AND(V111&gt;=75,V111&lt;175,W111&lt;35),0.3,0)+IF(AND(V111&gt;=75,V111&lt;=175,W111&gt;=35,W111&lt;65),0.23,0)+IF(AND(V111&gt;=75,V111&lt;=175,W111&gt;=65,W111&lt;110),0.17,0)+IF(AND(V111&gt;=75,V111&lt;=175,W111&gt;=110),0.12,0)+IF(AND(V111&gt;175,W111&lt;25),0.3,0)+IF(AND(V111&gt;175,W111&gt;=25,W111&lt;55),0.23,0)+IF(AND(V111&gt;175,W111&gt;=55,W111&lt;95),0.17,0)+IF(AND(V111&gt;175,W111&gt;=95),0.12,0),
IF(AF111="DoEVsu",IF(AND(V111&lt;20,W111&lt;55),0.3,0)+IF(AND(V111&lt;20,W111&gt;=55,W111&lt;105),0.23,0)+IF(AND(V111&lt;20,W111&gt;=105),0.17,0)+IF(AND(V111&gt;=20,V111&lt;40,W111&lt;45),0.3,0)+IF(AND(V111&gt;=20,V111&lt;40,W111&gt;=45,W111&lt;95),0.23,0)+IF(AND(V111&gt;=20,V111&lt;40,W111&gt;=95,W111&lt;=250),0.17,0)+IF(AND(V111&gt;=20,V111&lt;40,W111&gt;=250),0.12,0)+IF(AND(V111&gt;=40,V111&lt;75,W111&lt;35),0.3,0)+IF(AND(V111&gt;=40,V111&lt;75,W111&gt;=35,W111&lt;75),0.23,0)+IF(AND(V111&gt;=40,V111&lt;75,W111&gt;=75,W111&lt;120),0.17,0)+IF(AND(V111&gt;=40,V111&lt;75,W111&gt;=120),0.12,0)+IF(AND(V111&gt;=75,V111&lt;175,W111&lt;35),0.3,0)+IF(AND(V111&gt;=75,V111&lt;=175,W111&gt;=35,W111&lt;65),0.23,0)+IF(AND(V111&gt;=75,V111&lt;=175,W111&gt;=65,W111&lt;110),0.17,0)+IF(AND(V111&gt;=75,V111&lt;=175,W111&gt;=110),0.12,0)+IF(AND(V111&gt;175,W111&lt;25),0.3,0)+IF(AND(V111&gt;175,W111&gt;=25,W111&lt;55),0.23,0)+IF(AND(V111&gt;175,W111&gt;=55,W111&lt;95),0.17,0)+IF(AND(V111&gt;175,W111&gt;=95),0.12,0),
IF(AF111="DoEVni",IF(AND(V111&lt;20,W111&lt;55),0.3,0)+IF(AND(V111&lt;20,W111&gt;=55,W111&lt;105),0.23,0)+IF(AND(V111&lt;20,W111&gt;=105),0.17,0)+IF(AND(V111&gt;=20,V111&lt;40,W111&lt;45),0.3,0)+IF(AND(V111&gt;=20,V111&lt;40,W111&gt;=45,W111&lt;95),0.23,0)+IF(AND(V111&gt;=20,V111&lt;40,W111&gt;=95,W111&lt;=200),0.17,0)+IF(AND(V111&gt;=20,V111&lt;40,W111&gt;=200),0.12,0)+IF(AND(V111&gt;=40,V111&lt;75,W111&lt;35),0.3,0)+IF(AND(V111&gt;=40,V111&lt;75,W111&gt;=35,W111&lt;75),0.23,0)+IF(AND(V111&gt;=40,V111&lt;75,W111&gt;=75,W111&lt;120),0.17,0)+IF(AND(V111&gt;=40,V111&lt;75,W111&gt;=120),0.12,0)+IF(AND(V111&gt;=75,V111&lt;175,W111&lt;35),0.3,0)+IF(AND(V111&gt;=75,V111&lt;=175,W111&gt;=35,W111&lt;65),0.23,0)+IF(AND(V111&gt;=75,V111&lt;=175,W111&gt;=65,W111&lt;110),0.17,0)+IF(AND(V111&gt;=75,V111&lt;=175,W111&gt;=110),0.12,0)+IF(AND(V111&gt;175,W111&lt;25),0.3,0)+IF(AND(V111&gt;175,W111&gt;=25,W111&lt;55),0.23,0)+IF(AND(V111&gt;175,W111&gt;=55,W111&lt;95),0.17,0)+IF(AND(V111&gt;175,W111&gt;=95),0.12,0),
IF(AF111="DoEVLo",IF(AND(V111&lt;20,W111&lt;55),0.25,0)+IF(AND(V111&lt;20,W111&gt;=55,W111&lt;105),0.2,0)+IF(AND(V111&lt;20,W111&gt;=105),0.15,0)+IF(AND(V111&gt;=20,V111&lt;40,W111&lt;45),0.25,0)+IF(AND(V111&gt;=20,V111&lt;40,W111&gt;=45,W111&lt;95),0.2,0)+IF(AND(V111&gt;=20,V111&lt;40,W111&gt;=95),0.15,0)+IF(AND(V111&gt;=40,V111&lt;75,W111&lt;35),0.25,0)+IF(AND(V111&gt;=40,V111&lt;75,W111&gt;=35,W111&lt;75),0.2,0)+IF(AND(V111&gt;=40,V111&lt;75,W111&gt;=75,W111&lt;120),0.15,0)+IF(AND(V111&gt;=40,V111&lt;75,W111&gt;=120),0.1,0)+IF(AND(V111&gt;=75,V111&lt;175,W111&lt;35),0.25,0)+IF(AND(V111&gt;=75,V111&lt;=175,W111&gt;=35,W111&lt;65),0.2,0)+IF(AND(V111&gt;=75,V111&lt;=175,W111&gt;=65,W111&lt;110),0.15,0)+IF(AND(V111&gt;=75,V111&lt;=175,W111&gt;=110),0.1,0)+IF(AND(V111&gt;175,W111&lt;25),0.25,0)+IF(AND(V111&gt;175,W111&gt;=25,W111&lt;55),0.2,0)+IF(AND(V111&gt;175,W111&gt;=55,W111&lt;95),0.15,0)+IF(AND(V111&gt;175,W111&gt;=95),0.1,0))))))))))))))))</f>
        <v>0.15</v>
      </c>
      <c r="Y111" s="30">
        <f>IF(AG111="None",0,IF(AG111="Fix5",0.05,IF(AG111="Fix3.75",0.0375,IF(AG111="Fix10",0.1,IF(AG111="Fix3",0.03,0)))))</f>
        <v>0.05</v>
      </c>
      <c r="Z111" s="35">
        <f>T111-AA111-AB111</f>
        <v>-587.19999999999993</v>
      </c>
      <c r="AA111" s="29">
        <f>IF(AD111="EUR",((T111-R111)*X111)*U111+(R111*X111),(T111*X111))</f>
        <v>-110.1</v>
      </c>
      <c r="AB111" s="36">
        <f>IF(AD111="EUR",((T111-R111)*Y111)*U111+(R111*Y111),(T111*Y111))</f>
        <v>-36.700000000000003</v>
      </c>
      <c r="AC111" s="37" t="b">
        <v>1</v>
      </c>
      <c r="AD111" s="37" t="s">
        <v>38</v>
      </c>
      <c r="AE111" s="37" t="s">
        <v>38</v>
      </c>
      <c r="AF111" s="37" t="str">
        <f t="array" ref="AF111">INDEX('Deal Info'!D:D, MATCH(A111,'Deal Info'!A:A, 0))</f>
        <v>Fix15</v>
      </c>
      <c r="AG111" s="38" t="str">
        <f t="array" ref="AG111">INDEX('Deal Info'!G:G, MATCH(A111,'Deal Info'!A:A, 0))</f>
        <v>Fix5</v>
      </c>
    </row>
    <row r="112" spans="1:33" ht="14.25" hidden="1" x14ac:dyDescent="0.2">
      <c r="A112" s="18" t="str">
        <f t="array" ref="A112">IF(G112='Room Info'!$B$1, INDEX('Room Info'!$A$2:$A2446, MATCH(B112,'Room Info'!$B$2:$B2446, 0)),IF(G112='Room Info'!$C$1, INDEX('Room Info'!$A$2:$A2446, MATCH(B112,'Room Info'!$C$2:$C2446, 0)),IF(G112='Room Info'!$D$1, INDEX('Room Info'!$A$2:$A2446, MATCH(B112,'Room Info'!$D$2:$D2446, 0)),IF(G112='Room Info'!$E$1, INDEX('Room Info'!$A$2:$A2446, MATCH(B112,'Room Info'!$E$2:$E2446, 0)),IF(G112='Room Info'!$F$1, INDEX('Room Info'!$A$2:$A2446, MATCH(B112,'Room Info'!$F$2:$F2446, 0)),IF(G112='Room Info'!$H$1, INDEX('Room Info'!$A$2:$A2446, MATCH(B112,'Room Info'!$H$2:$H2446, 0)),IF(G112='Room Info'!$G$1, INDEX('Room Info'!$A$2:$A2446, MATCH(B112,'Room Info'!$G$2:$G2446, 0)))))))))</f>
        <v>AlexanderDSL</v>
      </c>
      <c r="B112" s="54" t="s">
        <v>82</v>
      </c>
      <c r="C112" s="67">
        <v>44521</v>
      </c>
      <c r="D112" s="67">
        <v>44550</v>
      </c>
      <c r="E112" s="47">
        <v>44531</v>
      </c>
      <c r="F112" s="45" t="s">
        <v>34</v>
      </c>
      <c r="G112" s="54" t="s">
        <v>35</v>
      </c>
      <c r="H112" s="49" t="s">
        <v>72</v>
      </c>
      <c r="I112" s="49" t="s">
        <v>37</v>
      </c>
      <c r="J112" s="50">
        <v>50</v>
      </c>
      <c r="K112" s="51">
        <v>4037</v>
      </c>
      <c r="L112" s="52">
        <v>-8800</v>
      </c>
      <c r="M112" s="53">
        <v>8775</v>
      </c>
      <c r="N112" s="28">
        <f>K112*J112</f>
        <v>201850</v>
      </c>
      <c r="O112" s="54">
        <v>37790</v>
      </c>
      <c r="P112" s="29">
        <v>9.3609115680000006</v>
      </c>
      <c r="Q112" s="55"/>
      <c r="R112" s="31">
        <f>M112+Q112</f>
        <v>8775</v>
      </c>
      <c r="S112" s="56">
        <v>-9386</v>
      </c>
      <c r="T112" s="32">
        <f>R112+S112+IF(F112="Without EV deal",L112,0)</f>
        <v>-611</v>
      </c>
      <c r="U112" s="33">
        <v>1</v>
      </c>
      <c r="V112" s="58"/>
      <c r="W112" s="58"/>
      <c r="X112" s="30">
        <f>IF(AF112="DoEV",IF(AND(V112&lt;20,W112&lt;55),0.3,0)+IF(AND(V112&lt;20,W112&gt;=55,W112&lt;105),0.23,0)+IF(AND(V112&lt;20,W112&gt;=105),0.17,0)+IF(AND(V112&gt;=20,V112&lt;40,W112&lt;45),0.3,0)+IF(AND(V112&gt;=20,V112&lt;40,W112&gt;=45,W112&lt;95),0.23,0)+IF(AND(V112&gt;=20,V112&lt;40,W112&gt;=95),0.17,0)+IF(AND(V112&gt;=40,V112&lt;75,W112&lt;35),0.3,0)+IF(AND(V112&gt;=40,V112&lt;75,W112&gt;=35,W112&lt;75),0.23,0)+IF(AND(V112&gt;=40,V112&lt;75,W112&gt;=75,W112&lt;120),0.17,0)+IF(AND(V112&gt;=40,V112&lt;75,W112&gt;=120),0.12,0)+IF(AND(V112&gt;=75,V112&lt;175,W112&lt;35),0.3,0)+IF(AND(V112&gt;=75,V112&lt;=175,W112&gt;=35,W112&lt;65),0.23,0)+IF(AND(V112&gt;=75,V112&lt;=175,W112&gt;=65,W112&lt;110),0.17,0)+IF(AND(V112&gt;=75,V112&lt;=175,W112&gt;=110),0.12,0)+IF(AND(V112&gt;175,W112&lt;25),0.3,0)+IF(AND(V112&gt;175,W112&gt;=25,W112&lt;55),0.23,0)+IF(AND(V112&gt;175,W112&gt;=55,W112&lt;95),0.17,0)+IF(AND(V112&gt;175,W112&gt;=95),0.12,0),
IF(AF112="Fix15",0.15,
IF(AF112="Fix11.25",0.1125,
IF(AF112="Fix10",0.1,
IF(AF112="Fix9",0.09,
IF(AF112="DoEV2017",IF(AND(W112&lt;74),0.2,0)+IF(AND(W112&gt;=74),0.17,0),
IF(AF112="SF",IF(AND(V112&lt;20,W112&lt;89),0.3,0)+IF(AND(V112&lt;20,W112&gt;=89),0.25,0)+IF(AND(V112&gt;=20,V112&lt;40,W112&lt;74),0.3,0)+IF(AND(V112&gt;=20,V112&lt;40,W112&gt;=75),0.22,0)+IF(AND(V112&gt;=40,V112&lt;75,W112&lt;75),0.26,0)+IF(AND(V112&gt;=40,V112&lt;75,W112&gt;=75),0.22,0)+IF(V112&gt;=75,0.22,0),
IF(AF112="DoEVold",IF(AND(V112&lt;40,W112&lt;35),0.35,0)+IF(AND(V112&lt;40,W112&gt;=35,W112&lt;75),0.25,0)+IF(AND(V112&lt;40,W112&gt;=75),0.17,0)+IF(AND(V112&gt;=40,V112&lt;75,W112&lt;25),0.35,0)+IF(AND(V112&gt;=40,V112&lt;75,W112&gt;=25,W112&lt;65),0.25,0)+IF(AND(V112&gt;=40,V112&lt;75,W112&gt;=65,W112&lt;100),0.17,0)+IF(AND(V112&gt;=40,V112&lt;75,W112&gt;=100),0.1,0)+IF(AND(V112&gt;=75,W112&lt;25),0.35,0)+IF(AND(V112&gt;=75,W112&gt;=25,W112&lt;60),0.25,0)+IF(AND(V112&gt;=75,W112&gt;=60,W112&lt;95),0.17,0)+IF(AND(V112&gt;=75,W112&gt;=95),0.1,0),
IF(AF112="DoEVold15",IF(AND(V112&lt;=40,W112&lt;35),0.35,0)+IF(AND(V112&lt;=40,W112&gt;=35,W112&lt;75),0.25,0)+IF(AND(V112&lt;=40,W112&gt;=75,W112&lt;120),0.17,0)+IF(AND(V112&lt;=40,W112&gt;=120),0.15,0)+IF(AND(V112&gt;40,V112&lt;75,W112&lt;25),0.35,0)+IF(AND(V112&gt;=40,V112&lt;75,W112&gt;=25,W112&lt;65),0.25,0)+IF(AND(V112&gt;=40,V112&lt;75,W112&gt;=65,W112&lt;100),0.17,0)+IF(AND(V112&gt;=40,V112&lt;75,W112&gt;=100),0.1,0)+IF(AND(V112&gt;=75,W112&lt;25),0.35,0)+IF(AND(V112&gt;=75,W112&gt;=25,W112&lt;60),0.25,0)+IF(AND(V112&gt;=75,W112&gt;=60,W112&lt;95),0.17,0)+IF(AND(V112&gt;=75,W112&gt;=95),0.1,0),
IF(AF112="DoEVba",IF(AND(V112&lt;20,W112&lt;105),0.2,0)+IF(AND(V112&lt;20,W112&gt;=105),0.15,0)+IF(AND(V112&gt;=20,V112&lt;40,W112&lt;95),0.2,0)+IF(AND(V112&gt;=20,V112&lt;40,W112&gt;=95,W112&lt;150),0.15,0)+IF(AND(V112&gt;=20,V112&lt;40,W112&gt;=150),0.12,0)+IF(AND(V112&gt;=40,V112&lt;75,W112&lt;75),0.2,0)+IF(AND(V112&gt;=40,V112&lt;75,W112&gt;=75,W112&lt;120),0.15,0)+IF(AND(V112&gt;=40,V112&lt;75,W112&gt;=120),0.12,0)+IF(AND(V112&gt;=75,V112&lt;175,W112&lt;65),0.2,0)+IF(AND(V112&gt;=75,V112&lt;175,W112&gt;=65,W112&lt;110),0.15,0)+IF(AND(V112&gt;=75,V112&lt;175,W112&gt;=110),0.12,0)+IF(AND(V112&gt;=175,W112&lt;55),0.2,0)+IF(AND(V112&gt;=175,W112&gt;=55,W112&lt;95),0.15,0)+IF(AND(V112&gt;=175,W112&gt;=95),0.12,0),
IF(AF112="DoEVku",IF(AND(V112&lt;20,W112&lt;55),0.23,0)+IF(AND(V112&lt;20,W112&gt;=55,W112&lt;105),0.2,0)+IF(AND(V112&lt;20,W112&gt;=105),0.17,0)+IF(AND(V112&gt;=20,V112&lt;40,W112&lt;45),0.23,0)+IF(AND(V112&gt;=20,V112&lt;40,W112&gt;=45,W112&lt;95),0.2,0)+IF(AND(V112&gt;=20,V112&lt;40,W112&gt;=95,W112&lt;=150),0.17,0)+IF(AND(V112&gt;=20,V112&lt;40,W112&gt;=150),0.12,0)+IF(AND(V112&gt;=40,V112&lt;75,W112&lt;35),0.23,0)+IF(AND(V112&gt;=40,V112&lt;75,W112&gt;=35,W112&lt;75),0.2,0)+IF(AND(V112&gt;=40,V112&lt;75,W112&gt;=75,W112&lt;120),0.17,0)+IF(AND(V112&gt;=40,V112&lt;75,W112&gt;=120),0.12,0)+IF(AND(V112&gt;=75,V112&lt;175,W112&lt;35),0.23,0)+IF(AND(V112&gt;=75,V112&lt;=175,W112&gt;=35,W112&lt;65),0.2,0)+IF(AND(V112&gt;=75,V112&lt;=175,W112&gt;=65,W112&lt;110),0.17,0)+IF(AND(V112&gt;=75,V112&lt;=175,W112&gt;=110),0.12,0)+IF(AND(V112&gt;175,W112&lt;25),0.23,0)+IF(AND(V112&gt;175,W112&gt;=25,W112&lt;55),0.2,0)+IF(AND(V112&gt;175,W112&gt;=55,W112&lt;95),0.17,0)+IF(AND(V112&gt;175,W112&gt;=95),0.12,0),
IF(AF112="DoEVs1",IF(AND(V112&lt;20,W112&lt;55),0.3,0)+IF(AND(V112&lt;20,W112&gt;=55,W112&lt;105),0.23,0)+IF(AND(V112&lt;20,W112&gt;=105),0.17,0)+IF(AND(V112&gt;=20,V112&lt;40,W112&lt;45),0.3,0)+IF(AND(V112&gt;=20,V112&lt;40,W112&gt;=45,W112&lt;95),0.23,0)+IF(AND(V112&gt;=20,V112&lt;40,W112&gt;=95,W112&lt;=150),0.17,0)+IF(AND(V112&gt;=20,V112&lt;40,W112&gt;=150),0.12,0)+IF(AND(V112&gt;=40,V112&lt;75,W112&lt;35),0.3,0)+IF(AND(V112&gt;=40,V112&lt;75,W112&gt;=35,W112&lt;75),0.23,0)+IF(AND(V112&gt;=40,V112&lt;75,W112&gt;=75,W112&lt;120),0.17,0)+IF(AND(V112&gt;=40,V112&lt;75,W112&gt;=120),0.12,0)+IF(AND(V112&gt;=75,V112&lt;175,W112&lt;35),0.3,0)+IF(AND(V112&gt;=75,V112&lt;=175,W112&gt;=35,W112&lt;65),0.23,0)+IF(AND(V112&gt;=75,V112&lt;=175,W112&gt;=65,W112&lt;110),0.17,0)+IF(AND(V112&gt;=75,V112&lt;=175,W112&gt;=110),0.12,0)+IF(AND(V112&gt;175,W112&lt;25),0.3,0)+IF(AND(V112&gt;175,W112&gt;=25,W112&lt;55),0.23,0)+IF(AND(V112&gt;175,W112&gt;=55,W112&lt;95),0.17,0)+IF(AND(V112&gt;175,W112&gt;=95),0.12,0),
IF(AF112="DoEVsu",IF(AND(V112&lt;20,W112&lt;55),0.3,0)+IF(AND(V112&lt;20,W112&gt;=55,W112&lt;105),0.23,0)+IF(AND(V112&lt;20,W112&gt;=105),0.17,0)+IF(AND(V112&gt;=20,V112&lt;40,W112&lt;45),0.3,0)+IF(AND(V112&gt;=20,V112&lt;40,W112&gt;=45,W112&lt;95),0.23,0)+IF(AND(V112&gt;=20,V112&lt;40,W112&gt;=95,W112&lt;=250),0.17,0)+IF(AND(V112&gt;=20,V112&lt;40,W112&gt;=250),0.12,0)+IF(AND(V112&gt;=40,V112&lt;75,W112&lt;35),0.3,0)+IF(AND(V112&gt;=40,V112&lt;75,W112&gt;=35,W112&lt;75),0.23,0)+IF(AND(V112&gt;=40,V112&lt;75,W112&gt;=75,W112&lt;120),0.17,0)+IF(AND(V112&gt;=40,V112&lt;75,W112&gt;=120),0.12,0)+IF(AND(V112&gt;=75,V112&lt;175,W112&lt;35),0.3,0)+IF(AND(V112&gt;=75,V112&lt;=175,W112&gt;=35,W112&lt;65),0.23,0)+IF(AND(V112&gt;=75,V112&lt;=175,W112&gt;=65,W112&lt;110),0.17,0)+IF(AND(V112&gt;=75,V112&lt;=175,W112&gt;=110),0.12,0)+IF(AND(V112&gt;175,W112&lt;25),0.3,0)+IF(AND(V112&gt;175,W112&gt;=25,W112&lt;55),0.23,0)+IF(AND(V112&gt;175,W112&gt;=55,W112&lt;95),0.17,0)+IF(AND(V112&gt;175,W112&gt;=95),0.12,0),
IF(AF112="DoEVni",IF(AND(V112&lt;20,W112&lt;55),0.3,0)+IF(AND(V112&lt;20,W112&gt;=55,W112&lt;105),0.23,0)+IF(AND(V112&lt;20,W112&gt;=105),0.17,0)+IF(AND(V112&gt;=20,V112&lt;40,W112&lt;45),0.3,0)+IF(AND(V112&gt;=20,V112&lt;40,W112&gt;=45,W112&lt;95),0.23,0)+IF(AND(V112&gt;=20,V112&lt;40,W112&gt;=95,W112&lt;=200),0.17,0)+IF(AND(V112&gt;=20,V112&lt;40,W112&gt;=200),0.12,0)+IF(AND(V112&gt;=40,V112&lt;75,W112&lt;35),0.3,0)+IF(AND(V112&gt;=40,V112&lt;75,W112&gt;=35,W112&lt;75),0.23,0)+IF(AND(V112&gt;=40,V112&lt;75,W112&gt;=75,W112&lt;120),0.17,0)+IF(AND(V112&gt;=40,V112&lt;75,W112&gt;=120),0.12,0)+IF(AND(V112&gt;=75,V112&lt;175,W112&lt;35),0.3,0)+IF(AND(V112&gt;=75,V112&lt;=175,W112&gt;=35,W112&lt;65),0.23,0)+IF(AND(V112&gt;=75,V112&lt;=175,W112&gt;=65,W112&lt;110),0.17,0)+IF(AND(V112&gt;=75,V112&lt;=175,W112&gt;=110),0.12,0)+IF(AND(V112&gt;175,W112&lt;25),0.3,0)+IF(AND(V112&gt;175,W112&gt;=25,W112&lt;55),0.23,0)+IF(AND(V112&gt;175,W112&gt;=55,W112&lt;95),0.17,0)+IF(AND(V112&gt;175,W112&gt;=95),0.12,0),
IF(AF112="DoEVLo",IF(AND(V112&lt;20,W112&lt;55),0.25,0)+IF(AND(V112&lt;20,W112&gt;=55,W112&lt;105),0.2,0)+IF(AND(V112&lt;20,W112&gt;=105),0.15,0)+IF(AND(V112&gt;=20,V112&lt;40,W112&lt;45),0.25,0)+IF(AND(V112&gt;=20,V112&lt;40,W112&gt;=45,W112&lt;95),0.2,0)+IF(AND(V112&gt;=20,V112&lt;40,W112&gt;=95),0.15,0)+IF(AND(V112&gt;=40,V112&lt;75,W112&lt;35),0.25,0)+IF(AND(V112&gt;=40,V112&lt;75,W112&gt;=35,W112&lt;75),0.2,0)+IF(AND(V112&gt;=40,V112&lt;75,W112&gt;=75,W112&lt;120),0.15,0)+IF(AND(V112&gt;=40,V112&lt;75,W112&gt;=120),0.1,0)+IF(AND(V112&gt;=75,V112&lt;175,W112&lt;35),0.25,0)+IF(AND(V112&gt;=75,V112&lt;=175,W112&gt;=35,W112&lt;65),0.2,0)+IF(AND(V112&gt;=75,V112&lt;=175,W112&gt;=65,W112&lt;110),0.15,0)+IF(AND(V112&gt;=75,V112&lt;=175,W112&gt;=110),0.1,0)+IF(AND(V112&gt;175,W112&lt;25),0.25,0)+IF(AND(V112&gt;175,W112&gt;=25,W112&lt;55),0.2,0)+IF(AND(V112&gt;175,W112&gt;=55,W112&lt;95),0.15,0)+IF(AND(V112&gt;175,W112&gt;=95),0.1,0))))))))))))))))</f>
        <v>0.15</v>
      </c>
      <c r="Y112" s="30">
        <f>IF(AG112="None",0,IF(AG112="Fix5",0.05,IF(AG112="Fix3.75",0.0375,IF(AG112="Fix10",0.1,IF(AG112="Fix3",0.03,0)))))</f>
        <v>0.05</v>
      </c>
      <c r="Z112" s="35">
        <f>T112-AA112-AB112</f>
        <v>-488.8</v>
      </c>
      <c r="AA112" s="29">
        <f>IF(AD112="EUR",((T112-R112)*X112)*U112+(R112*X112),(T112*X112))</f>
        <v>-91.649999999999991</v>
      </c>
      <c r="AB112" s="36">
        <f>IF(AD112="EUR",((T112-R112)*Y112)*U112+(R112*Y112),(T112*Y112))</f>
        <v>-30.55</v>
      </c>
      <c r="AC112" s="37" t="b">
        <v>1</v>
      </c>
      <c r="AD112" s="37" t="s">
        <v>38</v>
      </c>
      <c r="AE112" s="37" t="s">
        <v>38</v>
      </c>
      <c r="AF112" s="37" t="str">
        <f t="array" ref="AF112">INDEX('Deal Info'!D:D, MATCH(A112,'Deal Info'!A:A, 0))</f>
        <v>Fix15</v>
      </c>
      <c r="AG112" s="38" t="str">
        <f t="array" ref="AG112">INDEX('Deal Info'!G:G, MATCH(A112,'Deal Info'!A:A, 0))</f>
        <v>Fix5</v>
      </c>
    </row>
    <row r="113" spans="1:33" ht="14.25" hidden="1" x14ac:dyDescent="0.2">
      <c r="A113" s="18" t="str">
        <f t="array" ref="A113">IF(G113='Room Info'!$B$1, INDEX('Room Info'!$A$2:$A2446, MATCH(B113,'Room Info'!$B$2:$B2446, 0)),IF(G113='Room Info'!$C$1, INDEX('Room Info'!$A$2:$A2446, MATCH(B113,'Room Info'!$C$2:$C2446, 0)),IF(G113='Room Info'!$D$1, INDEX('Room Info'!$A$2:$A2446, MATCH(B113,'Room Info'!$D$2:$D2446, 0)),IF(G113='Room Info'!$E$1, INDEX('Room Info'!$A$2:$A2446, MATCH(B113,'Room Info'!$E$2:$E2446, 0)),IF(G113='Room Info'!$F$1, INDEX('Room Info'!$A$2:$A2446, MATCH(B113,'Room Info'!$F$2:$F2446, 0)),IF(G113='Room Info'!$H$1, INDEX('Room Info'!$A$2:$A2446, MATCH(B113,'Room Info'!$H$2:$H2446, 0)),IF(G113='Room Info'!$G$1, INDEX('Room Info'!$A$2:$A2446, MATCH(B113,'Room Info'!$G$2:$G2446, 0)))))))))</f>
        <v>AlexanderDSL</v>
      </c>
      <c r="B113" s="54" t="s">
        <v>82</v>
      </c>
      <c r="C113" s="68">
        <v>44551</v>
      </c>
      <c r="D113" s="68">
        <v>44581</v>
      </c>
      <c r="E113" s="47">
        <v>44562</v>
      </c>
      <c r="F113" s="45" t="s">
        <v>34</v>
      </c>
      <c r="G113" s="54" t="s">
        <v>35</v>
      </c>
      <c r="H113" s="49" t="s">
        <v>72</v>
      </c>
      <c r="I113" s="49" t="s">
        <v>37</v>
      </c>
      <c r="J113" s="50">
        <v>50</v>
      </c>
      <c r="K113" s="51">
        <v>4468</v>
      </c>
      <c r="L113" s="52">
        <v>-3250</v>
      </c>
      <c r="M113" s="53">
        <v>9175</v>
      </c>
      <c r="N113" s="28">
        <f>K113*J113</f>
        <v>223400</v>
      </c>
      <c r="O113" s="54">
        <v>125450</v>
      </c>
      <c r="P113" s="29">
        <v>28.077439569999999</v>
      </c>
      <c r="Q113" s="55"/>
      <c r="R113" s="31">
        <f>M113+Q113</f>
        <v>9175</v>
      </c>
      <c r="S113" s="56">
        <v>-2837</v>
      </c>
      <c r="T113" s="32">
        <f>R113+S113+IF(F113="Without EV deal",L113,0)</f>
        <v>6338</v>
      </c>
      <c r="U113" s="33">
        <v>1</v>
      </c>
      <c r="V113" s="58"/>
      <c r="W113" s="58"/>
      <c r="X113" s="30">
        <f>IF(AF113="DoEV",IF(AND(V113&lt;20,W113&lt;55),0.3,0)+IF(AND(V113&lt;20,W113&gt;=55,W113&lt;105),0.23,0)+IF(AND(V113&lt;20,W113&gt;=105),0.17,0)+IF(AND(V113&gt;=20,V113&lt;40,W113&lt;45),0.3,0)+IF(AND(V113&gt;=20,V113&lt;40,W113&gt;=45,W113&lt;95),0.23,0)+IF(AND(V113&gt;=20,V113&lt;40,W113&gt;=95),0.17,0)+IF(AND(V113&gt;=40,V113&lt;75,W113&lt;35),0.3,0)+IF(AND(V113&gt;=40,V113&lt;75,W113&gt;=35,W113&lt;75),0.23,0)+IF(AND(V113&gt;=40,V113&lt;75,W113&gt;=75,W113&lt;120),0.17,0)+IF(AND(V113&gt;=40,V113&lt;75,W113&gt;=120),0.12,0)+IF(AND(V113&gt;=75,V113&lt;175,W113&lt;35),0.3,0)+IF(AND(V113&gt;=75,V113&lt;=175,W113&gt;=35,W113&lt;65),0.23,0)+IF(AND(V113&gt;=75,V113&lt;=175,W113&gt;=65,W113&lt;110),0.17,0)+IF(AND(V113&gt;=75,V113&lt;=175,W113&gt;=110),0.12,0)+IF(AND(V113&gt;175,W113&lt;25),0.3,0)+IF(AND(V113&gt;175,W113&gt;=25,W113&lt;55),0.23,0)+IF(AND(V113&gt;175,W113&gt;=55,W113&lt;95),0.17,0)+IF(AND(V113&gt;175,W113&gt;=95),0.12,0),
IF(AF113="Fix15",0.15,
IF(AF113="Fix11.25",0.1125,
IF(AF113="Fix10",0.1,
IF(AF113="Fix9",0.09,
IF(AF113="DoEV2017",IF(AND(W113&lt;74),0.2,0)+IF(AND(W113&gt;=74),0.17,0),
IF(AF113="SF",IF(AND(V113&lt;20,W113&lt;89),0.3,0)+IF(AND(V113&lt;20,W113&gt;=89),0.25,0)+IF(AND(V113&gt;=20,V113&lt;40,W113&lt;74),0.3,0)+IF(AND(V113&gt;=20,V113&lt;40,W113&gt;=75),0.22,0)+IF(AND(V113&gt;=40,V113&lt;75,W113&lt;75),0.26,0)+IF(AND(V113&gt;=40,V113&lt;75,W113&gt;=75),0.22,0)+IF(V113&gt;=75,0.22,0),
IF(AF113="DoEVold",IF(AND(V113&lt;40,W113&lt;35),0.35,0)+IF(AND(V113&lt;40,W113&gt;=35,W113&lt;75),0.25,0)+IF(AND(V113&lt;40,W113&gt;=75),0.17,0)+IF(AND(V113&gt;=40,V113&lt;75,W113&lt;25),0.35,0)+IF(AND(V113&gt;=40,V113&lt;75,W113&gt;=25,W113&lt;65),0.25,0)+IF(AND(V113&gt;=40,V113&lt;75,W113&gt;=65,W113&lt;100),0.17,0)+IF(AND(V113&gt;=40,V113&lt;75,W113&gt;=100),0.1,0)+IF(AND(V113&gt;=75,W113&lt;25),0.35,0)+IF(AND(V113&gt;=75,W113&gt;=25,W113&lt;60),0.25,0)+IF(AND(V113&gt;=75,W113&gt;=60,W113&lt;95),0.17,0)+IF(AND(V113&gt;=75,W113&gt;=95),0.1,0),
IF(AF113="DoEVold15",IF(AND(V113&lt;=40,W113&lt;35),0.35,0)+IF(AND(V113&lt;=40,W113&gt;=35,W113&lt;75),0.25,0)+IF(AND(V113&lt;=40,W113&gt;=75,W113&lt;120),0.17,0)+IF(AND(V113&lt;=40,W113&gt;=120),0.15,0)+IF(AND(V113&gt;40,V113&lt;75,W113&lt;25),0.35,0)+IF(AND(V113&gt;=40,V113&lt;75,W113&gt;=25,W113&lt;65),0.25,0)+IF(AND(V113&gt;=40,V113&lt;75,W113&gt;=65,W113&lt;100),0.17,0)+IF(AND(V113&gt;=40,V113&lt;75,W113&gt;=100),0.1,0)+IF(AND(V113&gt;=75,W113&lt;25),0.35,0)+IF(AND(V113&gt;=75,W113&gt;=25,W113&lt;60),0.25,0)+IF(AND(V113&gt;=75,W113&gt;=60,W113&lt;95),0.17,0)+IF(AND(V113&gt;=75,W113&gt;=95),0.1,0),
IF(AF113="DoEVba",IF(AND(V113&lt;20,W113&lt;105),0.2,0)+IF(AND(V113&lt;20,W113&gt;=105),0.15,0)+IF(AND(V113&gt;=20,V113&lt;40,W113&lt;95),0.2,0)+IF(AND(V113&gt;=20,V113&lt;40,W113&gt;=95,W113&lt;150),0.15,0)+IF(AND(V113&gt;=20,V113&lt;40,W113&gt;=150),0.12,0)+IF(AND(V113&gt;=40,V113&lt;75,W113&lt;75),0.2,0)+IF(AND(V113&gt;=40,V113&lt;75,W113&gt;=75,W113&lt;120),0.15,0)+IF(AND(V113&gt;=40,V113&lt;75,W113&gt;=120),0.12,0)+IF(AND(V113&gt;=75,V113&lt;175,W113&lt;65),0.2,0)+IF(AND(V113&gt;=75,V113&lt;175,W113&gt;=65,W113&lt;110),0.15,0)+IF(AND(V113&gt;=75,V113&lt;175,W113&gt;=110),0.12,0)+IF(AND(V113&gt;=175,W113&lt;55),0.2,0)+IF(AND(V113&gt;=175,W113&gt;=55,W113&lt;95),0.15,0)+IF(AND(V113&gt;=175,W113&gt;=95),0.12,0),
IF(AF113="DoEVku",IF(AND(V113&lt;20,W113&lt;55),0.23,0)+IF(AND(V113&lt;20,W113&gt;=55,W113&lt;105),0.2,0)+IF(AND(V113&lt;20,W113&gt;=105),0.17,0)+IF(AND(V113&gt;=20,V113&lt;40,W113&lt;45),0.23,0)+IF(AND(V113&gt;=20,V113&lt;40,W113&gt;=45,W113&lt;95),0.2,0)+IF(AND(V113&gt;=20,V113&lt;40,W113&gt;=95,W113&lt;=150),0.17,0)+IF(AND(V113&gt;=20,V113&lt;40,W113&gt;=150),0.12,0)+IF(AND(V113&gt;=40,V113&lt;75,W113&lt;35),0.23,0)+IF(AND(V113&gt;=40,V113&lt;75,W113&gt;=35,W113&lt;75),0.2,0)+IF(AND(V113&gt;=40,V113&lt;75,W113&gt;=75,W113&lt;120),0.17,0)+IF(AND(V113&gt;=40,V113&lt;75,W113&gt;=120),0.12,0)+IF(AND(V113&gt;=75,V113&lt;175,W113&lt;35),0.23,0)+IF(AND(V113&gt;=75,V113&lt;=175,W113&gt;=35,W113&lt;65),0.2,0)+IF(AND(V113&gt;=75,V113&lt;=175,W113&gt;=65,W113&lt;110),0.17,0)+IF(AND(V113&gt;=75,V113&lt;=175,W113&gt;=110),0.12,0)+IF(AND(V113&gt;175,W113&lt;25),0.23,0)+IF(AND(V113&gt;175,W113&gt;=25,W113&lt;55),0.2,0)+IF(AND(V113&gt;175,W113&gt;=55,W113&lt;95),0.17,0)+IF(AND(V113&gt;175,W113&gt;=95),0.12,0),
IF(AF113="DoEVs1",IF(AND(V113&lt;20,W113&lt;55),0.3,0)+IF(AND(V113&lt;20,W113&gt;=55,W113&lt;105),0.23,0)+IF(AND(V113&lt;20,W113&gt;=105),0.17,0)+IF(AND(V113&gt;=20,V113&lt;40,W113&lt;45),0.3,0)+IF(AND(V113&gt;=20,V113&lt;40,W113&gt;=45,W113&lt;95),0.23,0)+IF(AND(V113&gt;=20,V113&lt;40,W113&gt;=95,W113&lt;=150),0.17,0)+IF(AND(V113&gt;=20,V113&lt;40,W113&gt;=150),0.12,0)+IF(AND(V113&gt;=40,V113&lt;75,W113&lt;35),0.3,0)+IF(AND(V113&gt;=40,V113&lt;75,W113&gt;=35,W113&lt;75),0.23,0)+IF(AND(V113&gt;=40,V113&lt;75,W113&gt;=75,W113&lt;120),0.17,0)+IF(AND(V113&gt;=40,V113&lt;75,W113&gt;=120),0.12,0)+IF(AND(V113&gt;=75,V113&lt;175,W113&lt;35),0.3,0)+IF(AND(V113&gt;=75,V113&lt;=175,W113&gt;=35,W113&lt;65),0.23,0)+IF(AND(V113&gt;=75,V113&lt;=175,W113&gt;=65,W113&lt;110),0.17,0)+IF(AND(V113&gt;=75,V113&lt;=175,W113&gt;=110),0.12,0)+IF(AND(V113&gt;175,W113&lt;25),0.3,0)+IF(AND(V113&gt;175,W113&gt;=25,W113&lt;55),0.23,0)+IF(AND(V113&gt;175,W113&gt;=55,W113&lt;95),0.17,0)+IF(AND(V113&gt;175,W113&gt;=95),0.12,0),
IF(AF113="DoEVsu",IF(AND(V113&lt;20,W113&lt;55),0.3,0)+IF(AND(V113&lt;20,W113&gt;=55,W113&lt;105),0.23,0)+IF(AND(V113&lt;20,W113&gt;=105),0.17,0)+IF(AND(V113&gt;=20,V113&lt;40,W113&lt;45),0.3,0)+IF(AND(V113&gt;=20,V113&lt;40,W113&gt;=45,W113&lt;95),0.23,0)+IF(AND(V113&gt;=20,V113&lt;40,W113&gt;=95,W113&lt;=250),0.17,0)+IF(AND(V113&gt;=20,V113&lt;40,W113&gt;=250),0.12,0)+IF(AND(V113&gt;=40,V113&lt;75,W113&lt;35),0.3,0)+IF(AND(V113&gt;=40,V113&lt;75,W113&gt;=35,W113&lt;75),0.23,0)+IF(AND(V113&gt;=40,V113&lt;75,W113&gt;=75,W113&lt;120),0.17,0)+IF(AND(V113&gt;=40,V113&lt;75,W113&gt;=120),0.12,0)+IF(AND(V113&gt;=75,V113&lt;175,W113&lt;35),0.3,0)+IF(AND(V113&gt;=75,V113&lt;=175,W113&gt;=35,W113&lt;65),0.23,0)+IF(AND(V113&gt;=75,V113&lt;=175,W113&gt;=65,W113&lt;110),0.17,0)+IF(AND(V113&gt;=75,V113&lt;=175,W113&gt;=110),0.12,0)+IF(AND(V113&gt;175,W113&lt;25),0.3,0)+IF(AND(V113&gt;175,W113&gt;=25,W113&lt;55),0.23,0)+IF(AND(V113&gt;175,W113&gt;=55,W113&lt;95),0.17,0)+IF(AND(V113&gt;175,W113&gt;=95),0.12,0),
IF(AF113="DoEVni",IF(AND(V113&lt;20,W113&lt;55),0.3,0)+IF(AND(V113&lt;20,W113&gt;=55,W113&lt;105),0.23,0)+IF(AND(V113&lt;20,W113&gt;=105),0.17,0)+IF(AND(V113&gt;=20,V113&lt;40,W113&lt;45),0.3,0)+IF(AND(V113&gt;=20,V113&lt;40,W113&gt;=45,W113&lt;95),0.23,0)+IF(AND(V113&gt;=20,V113&lt;40,W113&gt;=95,W113&lt;=200),0.17,0)+IF(AND(V113&gt;=20,V113&lt;40,W113&gt;=200),0.12,0)+IF(AND(V113&gt;=40,V113&lt;75,W113&lt;35),0.3,0)+IF(AND(V113&gt;=40,V113&lt;75,W113&gt;=35,W113&lt;75),0.23,0)+IF(AND(V113&gt;=40,V113&lt;75,W113&gt;=75,W113&lt;120),0.17,0)+IF(AND(V113&gt;=40,V113&lt;75,W113&gt;=120),0.12,0)+IF(AND(V113&gt;=75,V113&lt;175,W113&lt;35),0.3,0)+IF(AND(V113&gt;=75,V113&lt;=175,W113&gt;=35,W113&lt;65),0.23,0)+IF(AND(V113&gt;=75,V113&lt;=175,W113&gt;=65,W113&lt;110),0.17,0)+IF(AND(V113&gt;=75,V113&lt;=175,W113&gt;=110),0.12,0)+IF(AND(V113&gt;175,W113&lt;25),0.3,0)+IF(AND(V113&gt;175,W113&gt;=25,W113&lt;55),0.23,0)+IF(AND(V113&gt;175,W113&gt;=55,W113&lt;95),0.17,0)+IF(AND(V113&gt;175,W113&gt;=95),0.12,0),
IF(AF113="DoEVLo",IF(AND(V113&lt;20,W113&lt;55),0.25,0)+IF(AND(V113&lt;20,W113&gt;=55,W113&lt;105),0.2,0)+IF(AND(V113&lt;20,W113&gt;=105),0.15,0)+IF(AND(V113&gt;=20,V113&lt;40,W113&lt;45),0.25,0)+IF(AND(V113&gt;=20,V113&lt;40,W113&gt;=45,W113&lt;95),0.2,0)+IF(AND(V113&gt;=20,V113&lt;40,W113&gt;=95),0.15,0)+IF(AND(V113&gt;=40,V113&lt;75,W113&lt;35),0.25,0)+IF(AND(V113&gt;=40,V113&lt;75,W113&gt;=35,W113&lt;75),0.2,0)+IF(AND(V113&gt;=40,V113&lt;75,W113&gt;=75,W113&lt;120),0.15,0)+IF(AND(V113&gt;=40,V113&lt;75,W113&gt;=120),0.1,0)+IF(AND(V113&gt;=75,V113&lt;175,W113&lt;35),0.25,0)+IF(AND(V113&gt;=75,V113&lt;=175,W113&gt;=35,W113&lt;65),0.2,0)+IF(AND(V113&gt;=75,V113&lt;=175,W113&gt;=65,W113&lt;110),0.15,0)+IF(AND(V113&gt;=75,V113&lt;=175,W113&gt;=110),0.1,0)+IF(AND(V113&gt;175,W113&lt;25),0.25,0)+IF(AND(V113&gt;175,W113&gt;=25,W113&lt;55),0.2,0)+IF(AND(V113&gt;175,W113&gt;=55,W113&lt;95),0.15,0)+IF(AND(V113&gt;175,W113&gt;=95),0.1,0))))))))))))))))</f>
        <v>0.15</v>
      </c>
      <c r="Y113" s="30">
        <f>IF(AG113="None",0,IF(AG113="Fix5",0.05,IF(AG113="Fix3.75",0.0375,IF(AG113="Fix10",0.1,IF(AG113="Fix3",0.03,0)))))</f>
        <v>0.05</v>
      </c>
      <c r="Z113" s="35">
        <f>T113-AA113-AB113</f>
        <v>5070.4000000000005</v>
      </c>
      <c r="AA113" s="29">
        <f>IF(AD113="EUR",((T113-R113)*X113)*U113+(R113*X113),(T113*X113))</f>
        <v>950.69999999999993</v>
      </c>
      <c r="AB113" s="36">
        <f>IF(AD113="EUR",((T113-R113)*Y113)*U113+(R113*Y113),(T113*Y113))</f>
        <v>316.90000000000003</v>
      </c>
      <c r="AC113" s="37" t="b">
        <v>1</v>
      </c>
      <c r="AD113" s="37" t="s">
        <v>38</v>
      </c>
      <c r="AE113" s="37" t="s">
        <v>38</v>
      </c>
      <c r="AF113" s="37" t="str">
        <f t="array" ref="AF113">INDEX('Deal Info'!D:D, MATCH(A113,'Deal Info'!A:A, 0))</f>
        <v>Fix15</v>
      </c>
      <c r="AG113" s="38" t="str">
        <f t="array" ref="AG113">INDEX('Deal Info'!G:G, MATCH(A113,'Deal Info'!A:A, 0))</f>
        <v>Fix5</v>
      </c>
    </row>
    <row r="114" spans="1:33" ht="14.25" hidden="1" x14ac:dyDescent="0.2">
      <c r="A114" s="18" t="str">
        <f t="array" ref="A114">IF(G114='Room Info'!$B$1, INDEX('Room Info'!$A$2:$A2446, MATCH(B114,'Room Info'!$B$2:$B2446, 0)),IF(G114='Room Info'!$C$1, INDEX('Room Info'!$A$2:$A2446, MATCH(B114,'Room Info'!$C$2:$C2446, 0)),IF(G114='Room Info'!$D$1, INDEX('Room Info'!$A$2:$A2446, MATCH(B114,'Room Info'!$D$2:$D2446, 0)),IF(G114='Room Info'!$E$1, INDEX('Room Info'!$A$2:$A2446, MATCH(B114,'Room Info'!$E$2:$E2446, 0)),IF(G114='Room Info'!$F$1, INDEX('Room Info'!$A$2:$A2446, MATCH(B114,'Room Info'!$F$2:$F2446, 0)),IF(G114='Room Info'!$H$1, INDEX('Room Info'!$A$2:$A2446, MATCH(B114,'Room Info'!$H$2:$H2446, 0)),IF(G114='Room Info'!$G$1, INDEX('Room Info'!$A$2:$A2446, MATCH(B114,'Room Info'!$G$2:$G2446, 0)))))))))</f>
        <v>AlexanderDSL</v>
      </c>
      <c r="B114" s="54" t="s">
        <v>82</v>
      </c>
      <c r="C114" s="68">
        <v>44582</v>
      </c>
      <c r="D114" s="68">
        <v>44612</v>
      </c>
      <c r="E114" s="47">
        <v>44593</v>
      </c>
      <c r="F114" s="45" t="s">
        <v>34</v>
      </c>
      <c r="G114" s="54" t="s">
        <v>35</v>
      </c>
      <c r="H114" s="49" t="s">
        <v>72</v>
      </c>
      <c r="I114" s="49" t="s">
        <v>37</v>
      </c>
      <c r="J114" s="50">
        <v>50</v>
      </c>
      <c r="K114" s="51">
        <v>4767</v>
      </c>
      <c r="L114" s="52">
        <v>-6300</v>
      </c>
      <c r="M114" s="53">
        <v>14000</v>
      </c>
      <c r="N114" s="28">
        <f>K114*J114</f>
        <v>238350</v>
      </c>
      <c r="O114" s="54">
        <v>126592</v>
      </c>
      <c r="P114" s="29">
        <v>26.55590518</v>
      </c>
      <c r="Q114" s="55"/>
      <c r="R114" s="31">
        <f>M114+Q114</f>
        <v>14000</v>
      </c>
      <c r="S114" s="56">
        <v>-3315</v>
      </c>
      <c r="T114" s="32">
        <f>R114+S114+IF(F114="Without EV deal",L114,0)</f>
        <v>10685</v>
      </c>
      <c r="U114" s="33">
        <v>1</v>
      </c>
      <c r="V114" s="58"/>
      <c r="W114" s="58"/>
      <c r="X114" s="30">
        <f>IF(AF114="DoEV",IF(AND(V114&lt;20,W114&lt;55),0.3,0)+IF(AND(V114&lt;20,W114&gt;=55,W114&lt;105),0.23,0)+IF(AND(V114&lt;20,W114&gt;=105),0.17,0)+IF(AND(V114&gt;=20,V114&lt;40,W114&lt;45),0.3,0)+IF(AND(V114&gt;=20,V114&lt;40,W114&gt;=45,W114&lt;95),0.23,0)+IF(AND(V114&gt;=20,V114&lt;40,W114&gt;=95),0.17,0)+IF(AND(V114&gt;=40,V114&lt;75,W114&lt;35),0.3,0)+IF(AND(V114&gt;=40,V114&lt;75,W114&gt;=35,W114&lt;75),0.23,0)+IF(AND(V114&gt;=40,V114&lt;75,W114&gt;=75,W114&lt;120),0.17,0)+IF(AND(V114&gt;=40,V114&lt;75,W114&gt;=120),0.12,0)+IF(AND(V114&gt;=75,V114&lt;175,W114&lt;35),0.3,0)+IF(AND(V114&gt;=75,V114&lt;=175,W114&gt;=35,W114&lt;65),0.23,0)+IF(AND(V114&gt;=75,V114&lt;=175,W114&gt;=65,W114&lt;110),0.17,0)+IF(AND(V114&gt;=75,V114&lt;=175,W114&gt;=110),0.12,0)+IF(AND(V114&gt;175,W114&lt;25),0.3,0)+IF(AND(V114&gt;175,W114&gt;=25,W114&lt;55),0.23,0)+IF(AND(V114&gt;175,W114&gt;=55,W114&lt;95),0.17,0)+IF(AND(V114&gt;175,W114&gt;=95),0.12,0),
IF(AF114="Fix15",0.15,
IF(AF114="Fix11.25",0.1125,
IF(AF114="Fix10",0.1,
IF(AF114="Fix9",0.09,
IF(AF114="DoEV2017",IF(AND(W114&lt;74),0.2,0)+IF(AND(W114&gt;=74),0.17,0),
IF(AF114="SF",IF(AND(V114&lt;20,W114&lt;89),0.3,0)+IF(AND(V114&lt;20,W114&gt;=89),0.25,0)+IF(AND(V114&gt;=20,V114&lt;40,W114&lt;74),0.3,0)+IF(AND(V114&gt;=20,V114&lt;40,W114&gt;=75),0.22,0)+IF(AND(V114&gt;=40,V114&lt;75,W114&lt;75),0.26,0)+IF(AND(V114&gt;=40,V114&lt;75,W114&gt;=75),0.22,0)+IF(V114&gt;=75,0.22,0),
IF(AF114="DoEVold",IF(AND(V114&lt;40,W114&lt;35),0.35,0)+IF(AND(V114&lt;40,W114&gt;=35,W114&lt;75),0.25,0)+IF(AND(V114&lt;40,W114&gt;=75),0.17,0)+IF(AND(V114&gt;=40,V114&lt;75,W114&lt;25),0.35,0)+IF(AND(V114&gt;=40,V114&lt;75,W114&gt;=25,W114&lt;65),0.25,0)+IF(AND(V114&gt;=40,V114&lt;75,W114&gt;=65,W114&lt;100),0.17,0)+IF(AND(V114&gt;=40,V114&lt;75,W114&gt;=100),0.1,0)+IF(AND(V114&gt;=75,W114&lt;25),0.35,0)+IF(AND(V114&gt;=75,W114&gt;=25,W114&lt;60),0.25,0)+IF(AND(V114&gt;=75,W114&gt;=60,W114&lt;95),0.17,0)+IF(AND(V114&gt;=75,W114&gt;=95),0.1,0),
IF(AF114="DoEVold15",IF(AND(V114&lt;=40,W114&lt;35),0.35,0)+IF(AND(V114&lt;=40,W114&gt;=35,W114&lt;75),0.25,0)+IF(AND(V114&lt;=40,W114&gt;=75,W114&lt;120),0.17,0)+IF(AND(V114&lt;=40,W114&gt;=120),0.15,0)+IF(AND(V114&gt;40,V114&lt;75,W114&lt;25),0.35,0)+IF(AND(V114&gt;=40,V114&lt;75,W114&gt;=25,W114&lt;65),0.25,0)+IF(AND(V114&gt;=40,V114&lt;75,W114&gt;=65,W114&lt;100),0.17,0)+IF(AND(V114&gt;=40,V114&lt;75,W114&gt;=100),0.1,0)+IF(AND(V114&gt;=75,W114&lt;25),0.35,0)+IF(AND(V114&gt;=75,W114&gt;=25,W114&lt;60),0.25,0)+IF(AND(V114&gt;=75,W114&gt;=60,W114&lt;95),0.17,0)+IF(AND(V114&gt;=75,W114&gt;=95),0.1,0),
IF(AF114="DoEVba",IF(AND(V114&lt;20,W114&lt;105),0.2,0)+IF(AND(V114&lt;20,W114&gt;=105),0.15,0)+IF(AND(V114&gt;=20,V114&lt;40,W114&lt;95),0.2,0)+IF(AND(V114&gt;=20,V114&lt;40,W114&gt;=95,W114&lt;150),0.15,0)+IF(AND(V114&gt;=20,V114&lt;40,W114&gt;=150),0.12,0)+IF(AND(V114&gt;=40,V114&lt;75,W114&lt;75),0.2,0)+IF(AND(V114&gt;=40,V114&lt;75,W114&gt;=75,W114&lt;120),0.15,0)+IF(AND(V114&gt;=40,V114&lt;75,W114&gt;=120),0.12,0)+IF(AND(V114&gt;=75,V114&lt;175,W114&lt;65),0.2,0)+IF(AND(V114&gt;=75,V114&lt;175,W114&gt;=65,W114&lt;110),0.15,0)+IF(AND(V114&gt;=75,V114&lt;175,W114&gt;=110),0.12,0)+IF(AND(V114&gt;=175,W114&lt;55),0.2,0)+IF(AND(V114&gt;=175,W114&gt;=55,W114&lt;95),0.15,0)+IF(AND(V114&gt;=175,W114&gt;=95),0.12,0),
IF(AF114="DoEVku",IF(AND(V114&lt;20,W114&lt;55),0.23,0)+IF(AND(V114&lt;20,W114&gt;=55,W114&lt;105),0.2,0)+IF(AND(V114&lt;20,W114&gt;=105),0.17,0)+IF(AND(V114&gt;=20,V114&lt;40,W114&lt;45),0.23,0)+IF(AND(V114&gt;=20,V114&lt;40,W114&gt;=45,W114&lt;95),0.2,0)+IF(AND(V114&gt;=20,V114&lt;40,W114&gt;=95,W114&lt;=150),0.17,0)+IF(AND(V114&gt;=20,V114&lt;40,W114&gt;=150),0.12,0)+IF(AND(V114&gt;=40,V114&lt;75,W114&lt;35),0.23,0)+IF(AND(V114&gt;=40,V114&lt;75,W114&gt;=35,W114&lt;75),0.2,0)+IF(AND(V114&gt;=40,V114&lt;75,W114&gt;=75,W114&lt;120),0.17,0)+IF(AND(V114&gt;=40,V114&lt;75,W114&gt;=120),0.12,0)+IF(AND(V114&gt;=75,V114&lt;175,W114&lt;35),0.23,0)+IF(AND(V114&gt;=75,V114&lt;=175,W114&gt;=35,W114&lt;65),0.2,0)+IF(AND(V114&gt;=75,V114&lt;=175,W114&gt;=65,W114&lt;110),0.17,0)+IF(AND(V114&gt;=75,V114&lt;=175,W114&gt;=110),0.12,0)+IF(AND(V114&gt;175,W114&lt;25),0.23,0)+IF(AND(V114&gt;175,W114&gt;=25,W114&lt;55),0.2,0)+IF(AND(V114&gt;175,W114&gt;=55,W114&lt;95),0.17,0)+IF(AND(V114&gt;175,W114&gt;=95),0.12,0),
IF(AF114="DoEVs1",IF(AND(V114&lt;20,W114&lt;55),0.3,0)+IF(AND(V114&lt;20,W114&gt;=55,W114&lt;105),0.23,0)+IF(AND(V114&lt;20,W114&gt;=105),0.17,0)+IF(AND(V114&gt;=20,V114&lt;40,W114&lt;45),0.3,0)+IF(AND(V114&gt;=20,V114&lt;40,W114&gt;=45,W114&lt;95),0.23,0)+IF(AND(V114&gt;=20,V114&lt;40,W114&gt;=95,W114&lt;=150),0.17,0)+IF(AND(V114&gt;=20,V114&lt;40,W114&gt;=150),0.12,0)+IF(AND(V114&gt;=40,V114&lt;75,W114&lt;35),0.3,0)+IF(AND(V114&gt;=40,V114&lt;75,W114&gt;=35,W114&lt;75),0.23,0)+IF(AND(V114&gt;=40,V114&lt;75,W114&gt;=75,W114&lt;120),0.17,0)+IF(AND(V114&gt;=40,V114&lt;75,W114&gt;=120),0.12,0)+IF(AND(V114&gt;=75,V114&lt;175,W114&lt;35),0.3,0)+IF(AND(V114&gt;=75,V114&lt;=175,W114&gt;=35,W114&lt;65),0.23,0)+IF(AND(V114&gt;=75,V114&lt;=175,W114&gt;=65,W114&lt;110),0.17,0)+IF(AND(V114&gt;=75,V114&lt;=175,W114&gt;=110),0.12,0)+IF(AND(V114&gt;175,W114&lt;25),0.3,0)+IF(AND(V114&gt;175,W114&gt;=25,W114&lt;55),0.23,0)+IF(AND(V114&gt;175,W114&gt;=55,W114&lt;95),0.17,0)+IF(AND(V114&gt;175,W114&gt;=95),0.12,0),
IF(AF114="DoEVsu",IF(AND(V114&lt;20,W114&lt;55),0.3,0)+IF(AND(V114&lt;20,W114&gt;=55,W114&lt;105),0.23,0)+IF(AND(V114&lt;20,W114&gt;=105),0.17,0)+IF(AND(V114&gt;=20,V114&lt;40,W114&lt;45),0.3,0)+IF(AND(V114&gt;=20,V114&lt;40,W114&gt;=45,W114&lt;95),0.23,0)+IF(AND(V114&gt;=20,V114&lt;40,W114&gt;=95,W114&lt;=250),0.17,0)+IF(AND(V114&gt;=20,V114&lt;40,W114&gt;=250),0.12,0)+IF(AND(V114&gt;=40,V114&lt;75,W114&lt;35),0.3,0)+IF(AND(V114&gt;=40,V114&lt;75,W114&gt;=35,W114&lt;75),0.23,0)+IF(AND(V114&gt;=40,V114&lt;75,W114&gt;=75,W114&lt;120),0.17,0)+IF(AND(V114&gt;=40,V114&lt;75,W114&gt;=120),0.12,0)+IF(AND(V114&gt;=75,V114&lt;175,W114&lt;35),0.3,0)+IF(AND(V114&gt;=75,V114&lt;=175,W114&gt;=35,W114&lt;65),0.23,0)+IF(AND(V114&gt;=75,V114&lt;=175,W114&gt;=65,W114&lt;110),0.17,0)+IF(AND(V114&gt;=75,V114&lt;=175,W114&gt;=110),0.12,0)+IF(AND(V114&gt;175,W114&lt;25),0.3,0)+IF(AND(V114&gt;175,W114&gt;=25,W114&lt;55),0.23,0)+IF(AND(V114&gt;175,W114&gt;=55,W114&lt;95),0.17,0)+IF(AND(V114&gt;175,W114&gt;=95),0.12,0),
IF(AF114="DoEVni",IF(AND(V114&lt;20,W114&lt;55),0.3,0)+IF(AND(V114&lt;20,W114&gt;=55,W114&lt;105),0.23,0)+IF(AND(V114&lt;20,W114&gt;=105),0.17,0)+IF(AND(V114&gt;=20,V114&lt;40,W114&lt;45),0.3,0)+IF(AND(V114&gt;=20,V114&lt;40,W114&gt;=45,W114&lt;95),0.23,0)+IF(AND(V114&gt;=20,V114&lt;40,W114&gt;=95,W114&lt;=200),0.17,0)+IF(AND(V114&gt;=20,V114&lt;40,W114&gt;=200),0.12,0)+IF(AND(V114&gt;=40,V114&lt;75,W114&lt;35),0.3,0)+IF(AND(V114&gt;=40,V114&lt;75,W114&gt;=35,W114&lt;75),0.23,0)+IF(AND(V114&gt;=40,V114&lt;75,W114&gt;=75,W114&lt;120),0.17,0)+IF(AND(V114&gt;=40,V114&lt;75,W114&gt;=120),0.12,0)+IF(AND(V114&gt;=75,V114&lt;175,W114&lt;35),0.3,0)+IF(AND(V114&gt;=75,V114&lt;=175,W114&gt;=35,W114&lt;65),0.23,0)+IF(AND(V114&gt;=75,V114&lt;=175,W114&gt;=65,W114&lt;110),0.17,0)+IF(AND(V114&gt;=75,V114&lt;=175,W114&gt;=110),0.12,0)+IF(AND(V114&gt;175,W114&lt;25),0.3,0)+IF(AND(V114&gt;175,W114&gt;=25,W114&lt;55),0.23,0)+IF(AND(V114&gt;175,W114&gt;=55,W114&lt;95),0.17,0)+IF(AND(V114&gt;175,W114&gt;=95),0.12,0),
IF(AF114="DoEVLo",IF(AND(V114&lt;20,W114&lt;55),0.25,0)+IF(AND(V114&lt;20,W114&gt;=55,W114&lt;105),0.2,0)+IF(AND(V114&lt;20,W114&gt;=105),0.15,0)+IF(AND(V114&gt;=20,V114&lt;40,W114&lt;45),0.25,0)+IF(AND(V114&gt;=20,V114&lt;40,W114&gt;=45,W114&lt;95),0.2,0)+IF(AND(V114&gt;=20,V114&lt;40,W114&gt;=95),0.15,0)+IF(AND(V114&gt;=40,V114&lt;75,W114&lt;35),0.25,0)+IF(AND(V114&gt;=40,V114&lt;75,W114&gt;=35,W114&lt;75),0.2,0)+IF(AND(V114&gt;=40,V114&lt;75,W114&gt;=75,W114&lt;120),0.15,0)+IF(AND(V114&gt;=40,V114&lt;75,W114&gt;=120),0.1,0)+IF(AND(V114&gt;=75,V114&lt;175,W114&lt;35),0.25,0)+IF(AND(V114&gt;=75,V114&lt;=175,W114&gt;=35,W114&lt;65),0.2,0)+IF(AND(V114&gt;=75,V114&lt;=175,W114&gt;=65,W114&lt;110),0.15,0)+IF(AND(V114&gt;=75,V114&lt;=175,W114&gt;=110),0.1,0)+IF(AND(V114&gt;175,W114&lt;25),0.25,0)+IF(AND(V114&gt;175,W114&gt;=25,W114&lt;55),0.2,0)+IF(AND(V114&gt;175,W114&gt;=55,W114&lt;95),0.15,0)+IF(AND(V114&gt;175,W114&gt;=95),0.1,0))))))))))))))))</f>
        <v>0.15</v>
      </c>
      <c r="Y114" s="30">
        <f>IF(AG114="None",0,IF(AG114="Fix5",0.05,IF(AG114="Fix3.75",0.0375,IF(AG114="Fix10",0.1,IF(AG114="Fix3",0.03,0)))))</f>
        <v>0.05</v>
      </c>
      <c r="Z114" s="35">
        <f>T114-AA114-AB114</f>
        <v>8548</v>
      </c>
      <c r="AA114" s="29">
        <f>IF(AD114="EUR",((T114-R114)*X114)*U114+(R114*X114),(T114*X114))</f>
        <v>1602.75</v>
      </c>
      <c r="AB114" s="36">
        <f>IF(AD114="EUR",((T114-R114)*Y114)*U114+(R114*Y114),(T114*Y114))</f>
        <v>534.25</v>
      </c>
      <c r="AC114" s="37" t="b">
        <v>1</v>
      </c>
      <c r="AD114" s="37" t="s">
        <v>38</v>
      </c>
      <c r="AE114" s="37" t="s">
        <v>38</v>
      </c>
      <c r="AF114" s="37" t="str">
        <f t="array" ref="AF114">INDEX('Deal Info'!D:D, MATCH(A114,'Deal Info'!A:A, 0))</f>
        <v>Fix15</v>
      </c>
      <c r="AG114" s="38" t="str">
        <f t="array" ref="AG114">INDEX('Deal Info'!G:G, MATCH(A114,'Deal Info'!A:A, 0))</f>
        <v>Fix5</v>
      </c>
    </row>
    <row r="115" spans="1:33" ht="14.25" hidden="1" x14ac:dyDescent="0.2">
      <c r="A115" s="18" t="str">
        <f t="array" ref="A115">IF(G115='Room Info'!$B$1, INDEX('Room Info'!$A$2:$A2446, MATCH(B115,'Room Info'!$B$2:$B2446, 0)),IF(G115='Room Info'!$C$1, INDEX('Room Info'!$A$2:$A2446, MATCH(B115,'Room Info'!$C$2:$C2446, 0)),IF(G115='Room Info'!$D$1, INDEX('Room Info'!$A$2:$A2446, MATCH(B115,'Room Info'!$D$2:$D2446, 0)),IF(G115='Room Info'!$E$1, INDEX('Room Info'!$A$2:$A2446, MATCH(B115,'Room Info'!$E$2:$E2446, 0)),IF(G115='Room Info'!$F$1, INDEX('Room Info'!$A$2:$A2446, MATCH(B115,'Room Info'!$F$2:$F2446, 0)),IF(G115='Room Info'!$H$1, INDEX('Room Info'!$A$2:$A2446, MATCH(B115,'Room Info'!$H$2:$H2446, 0)),IF(G115='Room Info'!$G$1, INDEX('Room Info'!$A$2:$A2446, MATCH(B115,'Room Info'!$G$2:$G2446, 0)))))))))</f>
        <v>AlexanderDSL</v>
      </c>
      <c r="B115" s="54" t="s">
        <v>82</v>
      </c>
      <c r="C115" s="68">
        <v>44613</v>
      </c>
      <c r="D115" s="68">
        <v>44640</v>
      </c>
      <c r="E115" s="47">
        <v>44621</v>
      </c>
      <c r="F115" s="45" t="s">
        <v>34</v>
      </c>
      <c r="G115" s="54" t="s">
        <v>35</v>
      </c>
      <c r="H115" s="49" t="s">
        <v>72</v>
      </c>
      <c r="I115" s="49" t="s">
        <v>37</v>
      </c>
      <c r="J115" s="50">
        <v>50</v>
      </c>
      <c r="K115" s="51">
        <v>20</v>
      </c>
      <c r="L115" s="52">
        <v>-350</v>
      </c>
      <c r="M115" s="53">
        <v>16</v>
      </c>
      <c r="N115" s="28">
        <f>K115*J115</f>
        <v>1000</v>
      </c>
      <c r="O115" s="54">
        <v>1716</v>
      </c>
      <c r="P115" s="29">
        <v>85.8</v>
      </c>
      <c r="Q115" s="55"/>
      <c r="R115" s="31">
        <f>M115+Q115</f>
        <v>16</v>
      </c>
      <c r="S115" s="56">
        <v>94</v>
      </c>
      <c r="T115" s="32">
        <f>R115+S115+IF(F115="Without EV deal",L115,0)</f>
        <v>110</v>
      </c>
      <c r="U115" s="33">
        <v>1</v>
      </c>
      <c r="V115" s="58"/>
      <c r="W115" s="58"/>
      <c r="X115" s="30">
        <f>IF(AF115="DoEV",IF(AND(V115&lt;20,W115&lt;55),0.3,0)+IF(AND(V115&lt;20,W115&gt;=55,W115&lt;105),0.23,0)+IF(AND(V115&lt;20,W115&gt;=105),0.17,0)+IF(AND(V115&gt;=20,V115&lt;40,W115&lt;45),0.3,0)+IF(AND(V115&gt;=20,V115&lt;40,W115&gt;=45,W115&lt;95),0.23,0)+IF(AND(V115&gt;=20,V115&lt;40,W115&gt;=95),0.17,0)+IF(AND(V115&gt;=40,V115&lt;75,W115&lt;35),0.3,0)+IF(AND(V115&gt;=40,V115&lt;75,W115&gt;=35,W115&lt;75),0.23,0)+IF(AND(V115&gt;=40,V115&lt;75,W115&gt;=75,W115&lt;120),0.17,0)+IF(AND(V115&gt;=40,V115&lt;75,W115&gt;=120),0.12,0)+IF(AND(V115&gt;=75,V115&lt;175,W115&lt;35),0.3,0)+IF(AND(V115&gt;=75,V115&lt;=175,W115&gt;=35,W115&lt;65),0.23,0)+IF(AND(V115&gt;=75,V115&lt;=175,W115&gt;=65,W115&lt;110),0.17,0)+IF(AND(V115&gt;=75,V115&lt;=175,W115&gt;=110),0.12,0)+IF(AND(V115&gt;175,W115&lt;25),0.3,0)+IF(AND(V115&gt;175,W115&gt;=25,W115&lt;55),0.23,0)+IF(AND(V115&gt;175,W115&gt;=55,W115&lt;95),0.17,0)+IF(AND(V115&gt;175,W115&gt;=95),0.12,0),
IF(AF115="Fix15",0.15,
IF(AF115="Fix11.25",0.1125,
IF(AF115="Fix10",0.1,
IF(AF115="Fix9",0.09,
IF(AF115="DoEV2017",IF(AND(W115&lt;74),0.2,0)+IF(AND(W115&gt;=74),0.17,0),
IF(AF115="SF",IF(AND(V115&lt;20,W115&lt;89),0.3,0)+IF(AND(V115&lt;20,W115&gt;=89),0.25,0)+IF(AND(V115&gt;=20,V115&lt;40,W115&lt;74),0.3,0)+IF(AND(V115&gt;=20,V115&lt;40,W115&gt;=75),0.22,0)+IF(AND(V115&gt;=40,V115&lt;75,W115&lt;75),0.26,0)+IF(AND(V115&gt;=40,V115&lt;75,W115&gt;=75),0.22,0)+IF(V115&gt;=75,0.22,0),
IF(AF115="DoEVold",IF(AND(V115&lt;40,W115&lt;35),0.35,0)+IF(AND(V115&lt;40,W115&gt;=35,W115&lt;75),0.25,0)+IF(AND(V115&lt;40,W115&gt;=75),0.17,0)+IF(AND(V115&gt;=40,V115&lt;75,W115&lt;25),0.35,0)+IF(AND(V115&gt;=40,V115&lt;75,W115&gt;=25,W115&lt;65),0.25,0)+IF(AND(V115&gt;=40,V115&lt;75,W115&gt;=65,W115&lt;100),0.17,0)+IF(AND(V115&gt;=40,V115&lt;75,W115&gt;=100),0.1,0)+IF(AND(V115&gt;=75,W115&lt;25),0.35,0)+IF(AND(V115&gt;=75,W115&gt;=25,W115&lt;60),0.25,0)+IF(AND(V115&gt;=75,W115&gt;=60,W115&lt;95),0.17,0)+IF(AND(V115&gt;=75,W115&gt;=95),0.1,0),
IF(AF115="DoEVold15",IF(AND(V115&lt;=40,W115&lt;35),0.35,0)+IF(AND(V115&lt;=40,W115&gt;=35,W115&lt;75),0.25,0)+IF(AND(V115&lt;=40,W115&gt;=75,W115&lt;120),0.17,0)+IF(AND(V115&lt;=40,W115&gt;=120),0.15,0)+IF(AND(V115&gt;40,V115&lt;75,W115&lt;25),0.35,0)+IF(AND(V115&gt;=40,V115&lt;75,W115&gt;=25,W115&lt;65),0.25,0)+IF(AND(V115&gt;=40,V115&lt;75,W115&gt;=65,W115&lt;100),0.17,0)+IF(AND(V115&gt;=40,V115&lt;75,W115&gt;=100),0.1,0)+IF(AND(V115&gt;=75,W115&lt;25),0.35,0)+IF(AND(V115&gt;=75,W115&gt;=25,W115&lt;60),0.25,0)+IF(AND(V115&gt;=75,W115&gt;=60,W115&lt;95),0.17,0)+IF(AND(V115&gt;=75,W115&gt;=95),0.1,0),
IF(AF115="DoEVba",IF(AND(V115&lt;20,W115&lt;105),0.2,0)+IF(AND(V115&lt;20,W115&gt;=105),0.15,0)+IF(AND(V115&gt;=20,V115&lt;40,W115&lt;95),0.2,0)+IF(AND(V115&gt;=20,V115&lt;40,W115&gt;=95,W115&lt;150),0.15,0)+IF(AND(V115&gt;=20,V115&lt;40,W115&gt;=150),0.12,0)+IF(AND(V115&gt;=40,V115&lt;75,W115&lt;75),0.2,0)+IF(AND(V115&gt;=40,V115&lt;75,W115&gt;=75,W115&lt;120),0.15,0)+IF(AND(V115&gt;=40,V115&lt;75,W115&gt;=120),0.12,0)+IF(AND(V115&gt;=75,V115&lt;175,W115&lt;65),0.2,0)+IF(AND(V115&gt;=75,V115&lt;175,W115&gt;=65,W115&lt;110),0.15,0)+IF(AND(V115&gt;=75,V115&lt;175,W115&gt;=110),0.12,0)+IF(AND(V115&gt;=175,W115&lt;55),0.2,0)+IF(AND(V115&gt;=175,W115&gt;=55,W115&lt;95),0.15,0)+IF(AND(V115&gt;=175,W115&gt;=95),0.12,0),
IF(AF115="DoEVku",IF(AND(V115&lt;20,W115&lt;55),0.23,0)+IF(AND(V115&lt;20,W115&gt;=55,W115&lt;105),0.2,0)+IF(AND(V115&lt;20,W115&gt;=105),0.17,0)+IF(AND(V115&gt;=20,V115&lt;40,W115&lt;45),0.23,0)+IF(AND(V115&gt;=20,V115&lt;40,W115&gt;=45,W115&lt;95),0.2,0)+IF(AND(V115&gt;=20,V115&lt;40,W115&gt;=95,W115&lt;=150),0.17,0)+IF(AND(V115&gt;=20,V115&lt;40,W115&gt;=150),0.12,0)+IF(AND(V115&gt;=40,V115&lt;75,W115&lt;35),0.23,0)+IF(AND(V115&gt;=40,V115&lt;75,W115&gt;=35,W115&lt;75),0.2,0)+IF(AND(V115&gt;=40,V115&lt;75,W115&gt;=75,W115&lt;120),0.17,0)+IF(AND(V115&gt;=40,V115&lt;75,W115&gt;=120),0.12,0)+IF(AND(V115&gt;=75,V115&lt;175,W115&lt;35),0.23,0)+IF(AND(V115&gt;=75,V115&lt;=175,W115&gt;=35,W115&lt;65),0.2,0)+IF(AND(V115&gt;=75,V115&lt;=175,W115&gt;=65,W115&lt;110),0.17,0)+IF(AND(V115&gt;=75,V115&lt;=175,W115&gt;=110),0.12,0)+IF(AND(V115&gt;175,W115&lt;25),0.23,0)+IF(AND(V115&gt;175,W115&gt;=25,W115&lt;55),0.2,0)+IF(AND(V115&gt;175,W115&gt;=55,W115&lt;95),0.17,0)+IF(AND(V115&gt;175,W115&gt;=95),0.12,0),
IF(AF115="DoEVs1",IF(AND(V115&lt;20,W115&lt;55),0.3,0)+IF(AND(V115&lt;20,W115&gt;=55,W115&lt;105),0.23,0)+IF(AND(V115&lt;20,W115&gt;=105),0.17,0)+IF(AND(V115&gt;=20,V115&lt;40,W115&lt;45),0.3,0)+IF(AND(V115&gt;=20,V115&lt;40,W115&gt;=45,W115&lt;95),0.23,0)+IF(AND(V115&gt;=20,V115&lt;40,W115&gt;=95,W115&lt;=150),0.17,0)+IF(AND(V115&gt;=20,V115&lt;40,W115&gt;=150),0.12,0)+IF(AND(V115&gt;=40,V115&lt;75,W115&lt;35),0.3,0)+IF(AND(V115&gt;=40,V115&lt;75,W115&gt;=35,W115&lt;75),0.23,0)+IF(AND(V115&gt;=40,V115&lt;75,W115&gt;=75,W115&lt;120),0.17,0)+IF(AND(V115&gt;=40,V115&lt;75,W115&gt;=120),0.12,0)+IF(AND(V115&gt;=75,V115&lt;175,W115&lt;35),0.3,0)+IF(AND(V115&gt;=75,V115&lt;=175,W115&gt;=35,W115&lt;65),0.23,0)+IF(AND(V115&gt;=75,V115&lt;=175,W115&gt;=65,W115&lt;110),0.17,0)+IF(AND(V115&gt;=75,V115&lt;=175,W115&gt;=110),0.12,0)+IF(AND(V115&gt;175,W115&lt;25),0.3,0)+IF(AND(V115&gt;175,W115&gt;=25,W115&lt;55),0.23,0)+IF(AND(V115&gt;175,W115&gt;=55,W115&lt;95),0.17,0)+IF(AND(V115&gt;175,W115&gt;=95),0.12,0),
IF(AF115="DoEVsu",IF(AND(V115&lt;20,W115&lt;55),0.3,0)+IF(AND(V115&lt;20,W115&gt;=55,W115&lt;105),0.23,0)+IF(AND(V115&lt;20,W115&gt;=105),0.17,0)+IF(AND(V115&gt;=20,V115&lt;40,W115&lt;45),0.3,0)+IF(AND(V115&gt;=20,V115&lt;40,W115&gt;=45,W115&lt;95),0.23,0)+IF(AND(V115&gt;=20,V115&lt;40,W115&gt;=95,W115&lt;=250),0.17,0)+IF(AND(V115&gt;=20,V115&lt;40,W115&gt;=250),0.12,0)+IF(AND(V115&gt;=40,V115&lt;75,W115&lt;35),0.3,0)+IF(AND(V115&gt;=40,V115&lt;75,W115&gt;=35,W115&lt;75),0.23,0)+IF(AND(V115&gt;=40,V115&lt;75,W115&gt;=75,W115&lt;120),0.17,0)+IF(AND(V115&gt;=40,V115&lt;75,W115&gt;=120),0.12,0)+IF(AND(V115&gt;=75,V115&lt;175,W115&lt;35),0.3,0)+IF(AND(V115&gt;=75,V115&lt;=175,W115&gt;=35,W115&lt;65),0.23,0)+IF(AND(V115&gt;=75,V115&lt;=175,W115&gt;=65,W115&lt;110),0.17,0)+IF(AND(V115&gt;=75,V115&lt;=175,W115&gt;=110),0.12,0)+IF(AND(V115&gt;175,W115&lt;25),0.3,0)+IF(AND(V115&gt;175,W115&gt;=25,W115&lt;55),0.23,0)+IF(AND(V115&gt;175,W115&gt;=55,W115&lt;95),0.17,0)+IF(AND(V115&gt;175,W115&gt;=95),0.12,0),
IF(AF115="DoEVni",IF(AND(V115&lt;20,W115&lt;55),0.3,0)+IF(AND(V115&lt;20,W115&gt;=55,W115&lt;105),0.23,0)+IF(AND(V115&lt;20,W115&gt;=105),0.17,0)+IF(AND(V115&gt;=20,V115&lt;40,W115&lt;45),0.3,0)+IF(AND(V115&gt;=20,V115&lt;40,W115&gt;=45,W115&lt;95),0.23,0)+IF(AND(V115&gt;=20,V115&lt;40,W115&gt;=95,W115&lt;=200),0.17,0)+IF(AND(V115&gt;=20,V115&lt;40,W115&gt;=200),0.12,0)+IF(AND(V115&gt;=40,V115&lt;75,W115&lt;35),0.3,0)+IF(AND(V115&gt;=40,V115&lt;75,W115&gt;=35,W115&lt;75),0.23,0)+IF(AND(V115&gt;=40,V115&lt;75,W115&gt;=75,W115&lt;120),0.17,0)+IF(AND(V115&gt;=40,V115&lt;75,W115&gt;=120),0.12,0)+IF(AND(V115&gt;=75,V115&lt;175,W115&lt;35),0.3,0)+IF(AND(V115&gt;=75,V115&lt;=175,W115&gt;=35,W115&lt;65),0.23,0)+IF(AND(V115&gt;=75,V115&lt;=175,W115&gt;=65,W115&lt;110),0.17,0)+IF(AND(V115&gt;=75,V115&lt;=175,W115&gt;=110),0.12,0)+IF(AND(V115&gt;175,W115&lt;25),0.3,0)+IF(AND(V115&gt;175,W115&gt;=25,W115&lt;55),0.23,0)+IF(AND(V115&gt;175,W115&gt;=55,W115&lt;95),0.17,0)+IF(AND(V115&gt;175,W115&gt;=95),0.12,0),
IF(AF115="DoEVLo",IF(AND(V115&lt;20,W115&lt;55),0.25,0)+IF(AND(V115&lt;20,W115&gt;=55,W115&lt;105),0.2,0)+IF(AND(V115&lt;20,W115&gt;=105),0.15,0)+IF(AND(V115&gt;=20,V115&lt;40,W115&lt;45),0.25,0)+IF(AND(V115&gt;=20,V115&lt;40,W115&gt;=45,W115&lt;95),0.2,0)+IF(AND(V115&gt;=20,V115&lt;40,W115&gt;=95),0.15,0)+IF(AND(V115&gt;=40,V115&lt;75,W115&lt;35),0.25,0)+IF(AND(V115&gt;=40,V115&lt;75,W115&gt;=35,W115&lt;75),0.2,0)+IF(AND(V115&gt;=40,V115&lt;75,W115&gt;=75,W115&lt;120),0.15,0)+IF(AND(V115&gt;=40,V115&lt;75,W115&gt;=120),0.1,0)+IF(AND(V115&gt;=75,V115&lt;175,W115&lt;35),0.25,0)+IF(AND(V115&gt;=75,V115&lt;=175,W115&gt;=35,W115&lt;65),0.2,0)+IF(AND(V115&gt;=75,V115&lt;=175,W115&gt;=65,W115&lt;110),0.15,0)+IF(AND(V115&gt;=75,V115&lt;=175,W115&gt;=110),0.1,0)+IF(AND(V115&gt;175,W115&lt;25),0.25,0)+IF(AND(V115&gt;175,W115&gt;=25,W115&lt;55),0.2,0)+IF(AND(V115&gt;175,W115&gt;=55,W115&lt;95),0.15,0)+IF(AND(V115&gt;175,W115&gt;=95),0.1,0))))))))))))))))</f>
        <v>0.15</v>
      </c>
      <c r="Y115" s="30">
        <f>IF(AG115="None",0,IF(AG115="Fix5",0.05,IF(AG115="Fix3.75",0.0375,IF(AG115="Fix10",0.1,IF(AG115="Fix3",0.03,0)))))</f>
        <v>0.05</v>
      </c>
      <c r="Z115" s="35">
        <f>T115-AA115-AB115</f>
        <v>88</v>
      </c>
      <c r="AA115" s="29">
        <f>IF(AD115="EUR",((T115-R115)*X115)*U115+(R115*X115),(T115*X115))</f>
        <v>16.5</v>
      </c>
      <c r="AB115" s="36">
        <f>IF(AD115="EUR",((T115-R115)*Y115)*U115+(R115*Y115),(T115*Y115))</f>
        <v>5.5</v>
      </c>
      <c r="AC115" s="37" t="b">
        <v>1</v>
      </c>
      <c r="AD115" s="37" t="s">
        <v>38</v>
      </c>
      <c r="AE115" s="37" t="s">
        <v>38</v>
      </c>
      <c r="AF115" s="37" t="str">
        <f t="array" ref="AF115">INDEX('Deal Info'!D:D, MATCH(A115,'Deal Info'!A:A, 0))</f>
        <v>Fix15</v>
      </c>
      <c r="AG115" s="38" t="str">
        <f t="array" ref="AG115">INDEX('Deal Info'!G:G, MATCH(A115,'Deal Info'!A:A, 0))</f>
        <v>Fix5</v>
      </c>
    </row>
    <row r="116" spans="1:33" ht="14.25" hidden="1" x14ac:dyDescent="0.2">
      <c r="A116" s="18" t="str">
        <f t="array" ref="A116">IF(G116='Room Info'!$B$1, INDEX('Room Info'!$A$2:$A2446, MATCH(B116,'Room Info'!$B$2:$B2446, 0)),IF(G116='Room Info'!$C$1, INDEX('Room Info'!$A$2:$A2446, MATCH(B116,'Room Info'!$C$2:$C2446, 0)),IF(G116='Room Info'!$D$1, INDEX('Room Info'!$A$2:$A2446, MATCH(B116,'Room Info'!$D$2:$D2446, 0)),IF(G116='Room Info'!$E$1, INDEX('Room Info'!$A$2:$A2446, MATCH(B116,'Room Info'!$E$2:$E2446, 0)),IF(G116='Room Info'!$F$1, INDEX('Room Info'!$A$2:$A2446, MATCH(B116,'Room Info'!$F$2:$F2446, 0)),IF(G116='Room Info'!$H$1, INDEX('Room Info'!$A$2:$A2446, MATCH(B116,'Room Info'!$H$2:$H2446, 0)),IF(G116='Room Info'!$G$1, INDEX('Room Info'!$A$2:$A2446, MATCH(B116,'Room Info'!$G$2:$G2446, 0)))))))))</f>
        <v>AlexanderDSL</v>
      </c>
      <c r="B116" s="54" t="s">
        <v>82</v>
      </c>
      <c r="C116" s="68">
        <v>44613</v>
      </c>
      <c r="D116" s="68">
        <v>44640</v>
      </c>
      <c r="E116" s="47">
        <v>44621</v>
      </c>
      <c r="F116" s="45" t="s">
        <v>34</v>
      </c>
      <c r="G116" s="54" t="s">
        <v>35</v>
      </c>
      <c r="H116" s="49" t="s">
        <v>70</v>
      </c>
      <c r="I116" s="49" t="s">
        <v>37</v>
      </c>
      <c r="J116" s="50">
        <v>100</v>
      </c>
      <c r="K116" s="51">
        <v>1300</v>
      </c>
      <c r="L116" s="52">
        <v>-3400</v>
      </c>
      <c r="M116" s="53">
        <v>1734</v>
      </c>
      <c r="N116" s="28">
        <f>K116*J116</f>
        <v>130000</v>
      </c>
      <c r="O116" s="54">
        <v>66506</v>
      </c>
      <c r="P116" s="29">
        <v>51.158461539999998</v>
      </c>
      <c r="Q116" s="55"/>
      <c r="R116" s="31">
        <f>M116+Q116</f>
        <v>1734</v>
      </c>
      <c r="S116" s="56">
        <v>5309</v>
      </c>
      <c r="T116" s="32">
        <f>R116+S116+IF(F116="Without EV deal",L116,0)</f>
        <v>7043</v>
      </c>
      <c r="U116" s="33">
        <v>1</v>
      </c>
      <c r="V116" s="58"/>
      <c r="W116" s="58"/>
      <c r="X116" s="30">
        <f>IF(AF116="DoEV",IF(AND(V116&lt;20,W116&lt;55),0.3,0)+IF(AND(V116&lt;20,W116&gt;=55,W116&lt;105),0.23,0)+IF(AND(V116&lt;20,W116&gt;=105),0.17,0)+IF(AND(V116&gt;=20,V116&lt;40,W116&lt;45),0.3,0)+IF(AND(V116&gt;=20,V116&lt;40,W116&gt;=45,W116&lt;95),0.23,0)+IF(AND(V116&gt;=20,V116&lt;40,W116&gt;=95),0.17,0)+IF(AND(V116&gt;=40,V116&lt;75,W116&lt;35),0.3,0)+IF(AND(V116&gt;=40,V116&lt;75,W116&gt;=35,W116&lt;75),0.23,0)+IF(AND(V116&gt;=40,V116&lt;75,W116&gt;=75,W116&lt;120),0.17,0)+IF(AND(V116&gt;=40,V116&lt;75,W116&gt;=120),0.12,0)+IF(AND(V116&gt;=75,V116&lt;175,W116&lt;35),0.3,0)+IF(AND(V116&gt;=75,V116&lt;=175,W116&gt;=35,W116&lt;65),0.23,0)+IF(AND(V116&gt;=75,V116&lt;=175,W116&gt;=65,W116&lt;110),0.17,0)+IF(AND(V116&gt;=75,V116&lt;=175,W116&gt;=110),0.12,0)+IF(AND(V116&gt;175,W116&lt;25),0.3,0)+IF(AND(V116&gt;175,W116&gt;=25,W116&lt;55),0.23,0)+IF(AND(V116&gt;175,W116&gt;=55,W116&lt;95),0.17,0)+IF(AND(V116&gt;175,W116&gt;=95),0.12,0),
IF(AF116="Fix15",0.15,
IF(AF116="Fix11.25",0.1125,
IF(AF116="Fix10",0.1,
IF(AF116="Fix9",0.09,
IF(AF116="DoEV2017",IF(AND(W116&lt;74),0.2,0)+IF(AND(W116&gt;=74),0.17,0),
IF(AF116="SF",IF(AND(V116&lt;20,W116&lt;89),0.3,0)+IF(AND(V116&lt;20,W116&gt;=89),0.25,0)+IF(AND(V116&gt;=20,V116&lt;40,W116&lt;74),0.3,0)+IF(AND(V116&gt;=20,V116&lt;40,W116&gt;=75),0.22,0)+IF(AND(V116&gt;=40,V116&lt;75,W116&lt;75),0.26,0)+IF(AND(V116&gt;=40,V116&lt;75,W116&gt;=75),0.22,0)+IF(V116&gt;=75,0.22,0),
IF(AF116="DoEVold",IF(AND(V116&lt;40,W116&lt;35),0.35,0)+IF(AND(V116&lt;40,W116&gt;=35,W116&lt;75),0.25,0)+IF(AND(V116&lt;40,W116&gt;=75),0.17,0)+IF(AND(V116&gt;=40,V116&lt;75,W116&lt;25),0.35,0)+IF(AND(V116&gt;=40,V116&lt;75,W116&gt;=25,W116&lt;65),0.25,0)+IF(AND(V116&gt;=40,V116&lt;75,W116&gt;=65,W116&lt;100),0.17,0)+IF(AND(V116&gt;=40,V116&lt;75,W116&gt;=100),0.1,0)+IF(AND(V116&gt;=75,W116&lt;25),0.35,0)+IF(AND(V116&gt;=75,W116&gt;=25,W116&lt;60),0.25,0)+IF(AND(V116&gt;=75,W116&gt;=60,W116&lt;95),0.17,0)+IF(AND(V116&gt;=75,W116&gt;=95),0.1,0),
IF(AF116="DoEVold15",IF(AND(V116&lt;=40,W116&lt;35),0.35,0)+IF(AND(V116&lt;=40,W116&gt;=35,W116&lt;75),0.25,0)+IF(AND(V116&lt;=40,W116&gt;=75,W116&lt;120),0.17,0)+IF(AND(V116&lt;=40,W116&gt;=120),0.15,0)+IF(AND(V116&gt;40,V116&lt;75,W116&lt;25),0.35,0)+IF(AND(V116&gt;=40,V116&lt;75,W116&gt;=25,W116&lt;65),0.25,0)+IF(AND(V116&gt;=40,V116&lt;75,W116&gt;=65,W116&lt;100),0.17,0)+IF(AND(V116&gt;=40,V116&lt;75,W116&gt;=100),0.1,0)+IF(AND(V116&gt;=75,W116&lt;25),0.35,0)+IF(AND(V116&gt;=75,W116&gt;=25,W116&lt;60),0.25,0)+IF(AND(V116&gt;=75,W116&gt;=60,W116&lt;95),0.17,0)+IF(AND(V116&gt;=75,W116&gt;=95),0.1,0),
IF(AF116="DoEVba",IF(AND(V116&lt;20,W116&lt;105),0.2,0)+IF(AND(V116&lt;20,W116&gt;=105),0.15,0)+IF(AND(V116&gt;=20,V116&lt;40,W116&lt;95),0.2,0)+IF(AND(V116&gt;=20,V116&lt;40,W116&gt;=95,W116&lt;150),0.15,0)+IF(AND(V116&gt;=20,V116&lt;40,W116&gt;=150),0.12,0)+IF(AND(V116&gt;=40,V116&lt;75,W116&lt;75),0.2,0)+IF(AND(V116&gt;=40,V116&lt;75,W116&gt;=75,W116&lt;120),0.15,0)+IF(AND(V116&gt;=40,V116&lt;75,W116&gt;=120),0.12,0)+IF(AND(V116&gt;=75,V116&lt;175,W116&lt;65),0.2,0)+IF(AND(V116&gt;=75,V116&lt;175,W116&gt;=65,W116&lt;110),0.15,0)+IF(AND(V116&gt;=75,V116&lt;175,W116&gt;=110),0.12,0)+IF(AND(V116&gt;=175,W116&lt;55),0.2,0)+IF(AND(V116&gt;=175,W116&gt;=55,W116&lt;95),0.15,0)+IF(AND(V116&gt;=175,W116&gt;=95),0.12,0),
IF(AF116="DoEVku",IF(AND(V116&lt;20,W116&lt;55),0.23,0)+IF(AND(V116&lt;20,W116&gt;=55,W116&lt;105),0.2,0)+IF(AND(V116&lt;20,W116&gt;=105),0.17,0)+IF(AND(V116&gt;=20,V116&lt;40,W116&lt;45),0.23,0)+IF(AND(V116&gt;=20,V116&lt;40,W116&gt;=45,W116&lt;95),0.2,0)+IF(AND(V116&gt;=20,V116&lt;40,W116&gt;=95,W116&lt;=150),0.17,0)+IF(AND(V116&gt;=20,V116&lt;40,W116&gt;=150),0.12,0)+IF(AND(V116&gt;=40,V116&lt;75,W116&lt;35),0.23,0)+IF(AND(V116&gt;=40,V116&lt;75,W116&gt;=35,W116&lt;75),0.2,0)+IF(AND(V116&gt;=40,V116&lt;75,W116&gt;=75,W116&lt;120),0.17,0)+IF(AND(V116&gt;=40,V116&lt;75,W116&gt;=120),0.12,0)+IF(AND(V116&gt;=75,V116&lt;175,W116&lt;35),0.23,0)+IF(AND(V116&gt;=75,V116&lt;=175,W116&gt;=35,W116&lt;65),0.2,0)+IF(AND(V116&gt;=75,V116&lt;=175,W116&gt;=65,W116&lt;110),0.17,0)+IF(AND(V116&gt;=75,V116&lt;=175,W116&gt;=110),0.12,0)+IF(AND(V116&gt;175,W116&lt;25),0.23,0)+IF(AND(V116&gt;175,W116&gt;=25,W116&lt;55),0.2,0)+IF(AND(V116&gt;175,W116&gt;=55,W116&lt;95),0.17,0)+IF(AND(V116&gt;175,W116&gt;=95),0.12,0),
IF(AF116="DoEVs1",IF(AND(V116&lt;20,W116&lt;55),0.3,0)+IF(AND(V116&lt;20,W116&gt;=55,W116&lt;105),0.23,0)+IF(AND(V116&lt;20,W116&gt;=105),0.17,0)+IF(AND(V116&gt;=20,V116&lt;40,W116&lt;45),0.3,0)+IF(AND(V116&gt;=20,V116&lt;40,W116&gt;=45,W116&lt;95),0.23,0)+IF(AND(V116&gt;=20,V116&lt;40,W116&gt;=95,W116&lt;=150),0.17,0)+IF(AND(V116&gt;=20,V116&lt;40,W116&gt;=150),0.12,0)+IF(AND(V116&gt;=40,V116&lt;75,W116&lt;35),0.3,0)+IF(AND(V116&gt;=40,V116&lt;75,W116&gt;=35,W116&lt;75),0.23,0)+IF(AND(V116&gt;=40,V116&lt;75,W116&gt;=75,W116&lt;120),0.17,0)+IF(AND(V116&gt;=40,V116&lt;75,W116&gt;=120),0.12,0)+IF(AND(V116&gt;=75,V116&lt;175,W116&lt;35),0.3,0)+IF(AND(V116&gt;=75,V116&lt;=175,W116&gt;=35,W116&lt;65),0.23,0)+IF(AND(V116&gt;=75,V116&lt;=175,W116&gt;=65,W116&lt;110),0.17,0)+IF(AND(V116&gt;=75,V116&lt;=175,W116&gt;=110),0.12,0)+IF(AND(V116&gt;175,W116&lt;25),0.3,0)+IF(AND(V116&gt;175,W116&gt;=25,W116&lt;55),0.23,0)+IF(AND(V116&gt;175,W116&gt;=55,W116&lt;95),0.17,0)+IF(AND(V116&gt;175,W116&gt;=95),0.12,0),
IF(AF116="DoEVsu",IF(AND(V116&lt;20,W116&lt;55),0.3,0)+IF(AND(V116&lt;20,W116&gt;=55,W116&lt;105),0.23,0)+IF(AND(V116&lt;20,W116&gt;=105),0.17,0)+IF(AND(V116&gt;=20,V116&lt;40,W116&lt;45),0.3,0)+IF(AND(V116&gt;=20,V116&lt;40,W116&gt;=45,W116&lt;95),0.23,0)+IF(AND(V116&gt;=20,V116&lt;40,W116&gt;=95,W116&lt;=250),0.17,0)+IF(AND(V116&gt;=20,V116&lt;40,W116&gt;=250),0.12,0)+IF(AND(V116&gt;=40,V116&lt;75,W116&lt;35),0.3,0)+IF(AND(V116&gt;=40,V116&lt;75,W116&gt;=35,W116&lt;75),0.23,0)+IF(AND(V116&gt;=40,V116&lt;75,W116&gt;=75,W116&lt;120),0.17,0)+IF(AND(V116&gt;=40,V116&lt;75,W116&gt;=120),0.12,0)+IF(AND(V116&gt;=75,V116&lt;175,W116&lt;35),0.3,0)+IF(AND(V116&gt;=75,V116&lt;=175,W116&gt;=35,W116&lt;65),0.23,0)+IF(AND(V116&gt;=75,V116&lt;=175,W116&gt;=65,W116&lt;110),0.17,0)+IF(AND(V116&gt;=75,V116&lt;=175,W116&gt;=110),0.12,0)+IF(AND(V116&gt;175,W116&lt;25),0.3,0)+IF(AND(V116&gt;175,W116&gt;=25,W116&lt;55),0.23,0)+IF(AND(V116&gt;175,W116&gt;=55,W116&lt;95),0.17,0)+IF(AND(V116&gt;175,W116&gt;=95),0.12,0),
IF(AF116="DoEVni",IF(AND(V116&lt;20,W116&lt;55),0.3,0)+IF(AND(V116&lt;20,W116&gt;=55,W116&lt;105),0.23,0)+IF(AND(V116&lt;20,W116&gt;=105),0.17,0)+IF(AND(V116&gt;=20,V116&lt;40,W116&lt;45),0.3,0)+IF(AND(V116&gt;=20,V116&lt;40,W116&gt;=45,W116&lt;95),0.23,0)+IF(AND(V116&gt;=20,V116&lt;40,W116&gt;=95,W116&lt;=200),0.17,0)+IF(AND(V116&gt;=20,V116&lt;40,W116&gt;=200),0.12,0)+IF(AND(V116&gt;=40,V116&lt;75,W116&lt;35),0.3,0)+IF(AND(V116&gt;=40,V116&lt;75,W116&gt;=35,W116&lt;75),0.23,0)+IF(AND(V116&gt;=40,V116&lt;75,W116&gt;=75,W116&lt;120),0.17,0)+IF(AND(V116&gt;=40,V116&lt;75,W116&gt;=120),0.12,0)+IF(AND(V116&gt;=75,V116&lt;175,W116&lt;35),0.3,0)+IF(AND(V116&gt;=75,V116&lt;=175,W116&gt;=35,W116&lt;65),0.23,0)+IF(AND(V116&gt;=75,V116&lt;=175,W116&gt;=65,W116&lt;110),0.17,0)+IF(AND(V116&gt;=75,V116&lt;=175,W116&gt;=110),0.12,0)+IF(AND(V116&gt;175,W116&lt;25),0.3,0)+IF(AND(V116&gt;175,W116&gt;=25,W116&lt;55),0.23,0)+IF(AND(V116&gt;175,W116&gt;=55,W116&lt;95),0.17,0)+IF(AND(V116&gt;175,W116&gt;=95),0.12,0),
IF(AF116="DoEVLo",IF(AND(V116&lt;20,W116&lt;55),0.25,0)+IF(AND(V116&lt;20,W116&gt;=55,W116&lt;105),0.2,0)+IF(AND(V116&lt;20,W116&gt;=105),0.15,0)+IF(AND(V116&gt;=20,V116&lt;40,W116&lt;45),0.25,0)+IF(AND(V116&gt;=20,V116&lt;40,W116&gt;=45,W116&lt;95),0.2,0)+IF(AND(V116&gt;=20,V116&lt;40,W116&gt;=95),0.15,0)+IF(AND(V116&gt;=40,V116&lt;75,W116&lt;35),0.25,0)+IF(AND(V116&gt;=40,V116&lt;75,W116&gt;=35,W116&lt;75),0.2,0)+IF(AND(V116&gt;=40,V116&lt;75,W116&gt;=75,W116&lt;120),0.15,0)+IF(AND(V116&gt;=40,V116&lt;75,W116&gt;=120),0.1,0)+IF(AND(V116&gt;=75,V116&lt;175,W116&lt;35),0.25,0)+IF(AND(V116&gt;=75,V116&lt;=175,W116&gt;=35,W116&lt;65),0.2,0)+IF(AND(V116&gt;=75,V116&lt;=175,W116&gt;=65,W116&lt;110),0.15,0)+IF(AND(V116&gt;=75,V116&lt;=175,W116&gt;=110),0.1,0)+IF(AND(V116&gt;175,W116&lt;25),0.25,0)+IF(AND(V116&gt;175,W116&gt;=25,W116&lt;55),0.2,0)+IF(AND(V116&gt;175,W116&gt;=55,W116&lt;95),0.15,0)+IF(AND(V116&gt;175,W116&gt;=95),0.1,0))))))))))))))))</f>
        <v>0.15</v>
      </c>
      <c r="Y116" s="30">
        <f>IF(AG116="None",0,IF(AG116="Fix5",0.05,IF(AG116="Fix3.75",0.0375,IF(AG116="Fix10",0.1,IF(AG116="Fix3",0.03,0)))))</f>
        <v>0.05</v>
      </c>
      <c r="Z116" s="35">
        <f>T116-AA116-AB116</f>
        <v>5634.4000000000005</v>
      </c>
      <c r="AA116" s="29">
        <f>IF(AD116="EUR",((T116-R116)*X116)*U116+(R116*X116),(T116*X116))</f>
        <v>1056.45</v>
      </c>
      <c r="AB116" s="36">
        <f>IF(AD116="EUR",((T116-R116)*Y116)*U116+(R116*Y116),(T116*Y116))</f>
        <v>352.15000000000003</v>
      </c>
      <c r="AC116" s="37" t="b">
        <v>1</v>
      </c>
      <c r="AD116" s="37" t="s">
        <v>38</v>
      </c>
      <c r="AE116" s="37" t="s">
        <v>38</v>
      </c>
      <c r="AF116" s="37" t="str">
        <f t="array" ref="AF116">INDEX('Deal Info'!D:D, MATCH(A116,'Deal Info'!A:A, 0))</f>
        <v>Fix15</v>
      </c>
      <c r="AG116" s="38" t="str">
        <f t="array" ref="AG116">INDEX('Deal Info'!G:G, MATCH(A116,'Deal Info'!A:A, 0))</f>
        <v>Fix5</v>
      </c>
    </row>
    <row r="117" spans="1:33" ht="14.25" hidden="1" x14ac:dyDescent="0.2">
      <c r="A117" s="18" t="str">
        <f t="array" ref="A117">IF(G117='Room Info'!$B$1, INDEX('Room Info'!$A$2:$A2446, MATCH(B117,'Room Info'!$B$2:$B2446, 0)),IF(G117='Room Info'!$C$1, INDEX('Room Info'!$A$2:$A2446, MATCH(B117,'Room Info'!$C$2:$C2446, 0)),IF(G117='Room Info'!$D$1, INDEX('Room Info'!$A$2:$A2446, MATCH(B117,'Room Info'!$D$2:$D2446, 0)),IF(G117='Room Info'!$E$1, INDEX('Room Info'!$A$2:$A2446, MATCH(B117,'Room Info'!$E$2:$E2446, 0)),IF(G117='Room Info'!$F$1, INDEX('Room Info'!$A$2:$A2446, MATCH(B117,'Room Info'!$F$2:$F2446, 0)),IF(G117='Room Info'!$H$1, INDEX('Room Info'!$A$2:$A2446, MATCH(B117,'Room Info'!$H$2:$H2446, 0)),IF(G117='Room Info'!$G$1, INDEX('Room Info'!$A$2:$A2446, MATCH(B117,'Room Info'!$G$2:$G2446, 0)))))))))</f>
        <v>AlexanderDSL</v>
      </c>
      <c r="B117" s="54" t="s">
        <v>82</v>
      </c>
      <c r="C117" s="68">
        <v>44613</v>
      </c>
      <c r="D117" s="68">
        <v>44640</v>
      </c>
      <c r="E117" s="47">
        <v>44621</v>
      </c>
      <c r="F117" s="45" t="s">
        <v>41</v>
      </c>
      <c r="G117" s="54" t="s">
        <v>35</v>
      </c>
      <c r="H117" s="49" t="s">
        <v>45</v>
      </c>
      <c r="I117" s="49" t="s">
        <v>37</v>
      </c>
      <c r="J117" s="50">
        <v>0.25</v>
      </c>
      <c r="K117" s="51">
        <v>51</v>
      </c>
      <c r="L117" s="52">
        <v>-5</v>
      </c>
      <c r="M117" s="62"/>
      <c r="N117" s="28">
        <f>K117*J117</f>
        <v>12.75</v>
      </c>
      <c r="O117" s="65"/>
      <c r="P117" s="29">
        <v>0</v>
      </c>
      <c r="Q117" s="55"/>
      <c r="R117" s="31">
        <f>M117+Q117</f>
        <v>0</v>
      </c>
      <c r="S117" s="66"/>
      <c r="T117" s="32">
        <f>R117+S117+IF(F117="Without EV deal",L117,0)</f>
        <v>-5</v>
      </c>
      <c r="U117" s="33">
        <v>1</v>
      </c>
      <c r="V117" s="58"/>
      <c r="W117" s="58"/>
      <c r="X117" s="30">
        <f>IF(AF117="DoEV",IF(AND(V117&lt;20,W117&lt;55),0.3,0)+IF(AND(V117&lt;20,W117&gt;=55,W117&lt;105),0.23,0)+IF(AND(V117&lt;20,W117&gt;=105),0.17,0)+IF(AND(V117&gt;=20,V117&lt;40,W117&lt;45),0.3,0)+IF(AND(V117&gt;=20,V117&lt;40,W117&gt;=45,W117&lt;95),0.23,0)+IF(AND(V117&gt;=20,V117&lt;40,W117&gt;=95),0.17,0)+IF(AND(V117&gt;=40,V117&lt;75,W117&lt;35),0.3,0)+IF(AND(V117&gt;=40,V117&lt;75,W117&gt;=35,W117&lt;75),0.23,0)+IF(AND(V117&gt;=40,V117&lt;75,W117&gt;=75,W117&lt;120),0.17,0)+IF(AND(V117&gt;=40,V117&lt;75,W117&gt;=120),0.12,0)+IF(AND(V117&gt;=75,V117&lt;175,W117&lt;35),0.3,0)+IF(AND(V117&gt;=75,V117&lt;=175,W117&gt;=35,W117&lt;65),0.23,0)+IF(AND(V117&gt;=75,V117&lt;=175,W117&gt;=65,W117&lt;110),0.17,0)+IF(AND(V117&gt;=75,V117&lt;=175,W117&gt;=110),0.12,0)+IF(AND(V117&gt;175,W117&lt;25),0.3,0)+IF(AND(V117&gt;175,W117&gt;=25,W117&lt;55),0.23,0)+IF(AND(V117&gt;175,W117&gt;=55,W117&lt;95),0.17,0)+IF(AND(V117&gt;175,W117&gt;=95),0.12,0),
IF(AF117="Fix15",0.15,
IF(AF117="Fix11.25",0.1125,
IF(AF117="Fix10",0.1,
IF(AF117="Fix9",0.09,
IF(AF117="DoEV2017",IF(AND(W117&lt;74),0.2,0)+IF(AND(W117&gt;=74),0.17,0),
IF(AF117="SF",IF(AND(V117&lt;20,W117&lt;89),0.3,0)+IF(AND(V117&lt;20,W117&gt;=89),0.25,0)+IF(AND(V117&gt;=20,V117&lt;40,W117&lt;74),0.3,0)+IF(AND(V117&gt;=20,V117&lt;40,W117&gt;=75),0.22,0)+IF(AND(V117&gt;=40,V117&lt;75,W117&lt;75),0.26,0)+IF(AND(V117&gt;=40,V117&lt;75,W117&gt;=75),0.22,0)+IF(V117&gt;=75,0.22,0),
IF(AF117="DoEVold",IF(AND(V117&lt;40,W117&lt;35),0.35,0)+IF(AND(V117&lt;40,W117&gt;=35,W117&lt;75),0.25,0)+IF(AND(V117&lt;40,W117&gt;=75),0.17,0)+IF(AND(V117&gt;=40,V117&lt;75,W117&lt;25),0.35,0)+IF(AND(V117&gt;=40,V117&lt;75,W117&gt;=25,W117&lt;65),0.25,0)+IF(AND(V117&gt;=40,V117&lt;75,W117&gt;=65,W117&lt;100),0.17,0)+IF(AND(V117&gt;=40,V117&lt;75,W117&gt;=100),0.1,0)+IF(AND(V117&gt;=75,W117&lt;25),0.35,0)+IF(AND(V117&gt;=75,W117&gt;=25,W117&lt;60),0.25,0)+IF(AND(V117&gt;=75,W117&gt;=60,W117&lt;95),0.17,0)+IF(AND(V117&gt;=75,W117&gt;=95),0.1,0),
IF(AF117="DoEVold15",IF(AND(V117&lt;=40,W117&lt;35),0.35,0)+IF(AND(V117&lt;=40,W117&gt;=35,W117&lt;75),0.25,0)+IF(AND(V117&lt;=40,W117&gt;=75,W117&lt;120),0.17,0)+IF(AND(V117&lt;=40,W117&gt;=120),0.15,0)+IF(AND(V117&gt;40,V117&lt;75,W117&lt;25),0.35,0)+IF(AND(V117&gt;=40,V117&lt;75,W117&gt;=25,W117&lt;65),0.25,0)+IF(AND(V117&gt;=40,V117&lt;75,W117&gt;=65,W117&lt;100),0.17,0)+IF(AND(V117&gt;=40,V117&lt;75,W117&gt;=100),0.1,0)+IF(AND(V117&gt;=75,W117&lt;25),0.35,0)+IF(AND(V117&gt;=75,W117&gt;=25,W117&lt;60),0.25,0)+IF(AND(V117&gt;=75,W117&gt;=60,W117&lt;95),0.17,0)+IF(AND(V117&gt;=75,W117&gt;=95),0.1,0),
IF(AF117="DoEVba",IF(AND(V117&lt;20,W117&lt;105),0.2,0)+IF(AND(V117&lt;20,W117&gt;=105),0.15,0)+IF(AND(V117&gt;=20,V117&lt;40,W117&lt;95),0.2,0)+IF(AND(V117&gt;=20,V117&lt;40,W117&gt;=95,W117&lt;150),0.15,0)+IF(AND(V117&gt;=20,V117&lt;40,W117&gt;=150),0.12,0)+IF(AND(V117&gt;=40,V117&lt;75,W117&lt;75),0.2,0)+IF(AND(V117&gt;=40,V117&lt;75,W117&gt;=75,W117&lt;120),0.15,0)+IF(AND(V117&gt;=40,V117&lt;75,W117&gt;=120),0.12,0)+IF(AND(V117&gt;=75,V117&lt;175,W117&lt;65),0.2,0)+IF(AND(V117&gt;=75,V117&lt;175,W117&gt;=65,W117&lt;110),0.15,0)+IF(AND(V117&gt;=75,V117&lt;175,W117&gt;=110),0.12,0)+IF(AND(V117&gt;=175,W117&lt;55),0.2,0)+IF(AND(V117&gt;=175,W117&gt;=55,W117&lt;95),0.15,0)+IF(AND(V117&gt;=175,W117&gt;=95),0.12,0),
IF(AF117="DoEVku",IF(AND(V117&lt;20,W117&lt;55),0.23,0)+IF(AND(V117&lt;20,W117&gt;=55,W117&lt;105),0.2,0)+IF(AND(V117&lt;20,W117&gt;=105),0.17,0)+IF(AND(V117&gt;=20,V117&lt;40,W117&lt;45),0.23,0)+IF(AND(V117&gt;=20,V117&lt;40,W117&gt;=45,W117&lt;95),0.2,0)+IF(AND(V117&gt;=20,V117&lt;40,W117&gt;=95,W117&lt;=150),0.17,0)+IF(AND(V117&gt;=20,V117&lt;40,W117&gt;=150),0.12,0)+IF(AND(V117&gt;=40,V117&lt;75,W117&lt;35),0.23,0)+IF(AND(V117&gt;=40,V117&lt;75,W117&gt;=35,W117&lt;75),0.2,0)+IF(AND(V117&gt;=40,V117&lt;75,W117&gt;=75,W117&lt;120),0.17,0)+IF(AND(V117&gt;=40,V117&lt;75,W117&gt;=120),0.12,0)+IF(AND(V117&gt;=75,V117&lt;175,W117&lt;35),0.23,0)+IF(AND(V117&gt;=75,V117&lt;=175,W117&gt;=35,W117&lt;65),0.2,0)+IF(AND(V117&gt;=75,V117&lt;=175,W117&gt;=65,W117&lt;110),0.17,0)+IF(AND(V117&gt;=75,V117&lt;=175,W117&gt;=110),0.12,0)+IF(AND(V117&gt;175,W117&lt;25),0.23,0)+IF(AND(V117&gt;175,W117&gt;=25,W117&lt;55),0.2,0)+IF(AND(V117&gt;175,W117&gt;=55,W117&lt;95),0.17,0)+IF(AND(V117&gt;175,W117&gt;=95),0.12,0),
IF(AF117="DoEVs1",IF(AND(V117&lt;20,W117&lt;55),0.3,0)+IF(AND(V117&lt;20,W117&gt;=55,W117&lt;105),0.23,0)+IF(AND(V117&lt;20,W117&gt;=105),0.17,0)+IF(AND(V117&gt;=20,V117&lt;40,W117&lt;45),0.3,0)+IF(AND(V117&gt;=20,V117&lt;40,W117&gt;=45,W117&lt;95),0.23,0)+IF(AND(V117&gt;=20,V117&lt;40,W117&gt;=95,W117&lt;=150),0.17,0)+IF(AND(V117&gt;=20,V117&lt;40,W117&gt;=150),0.12,0)+IF(AND(V117&gt;=40,V117&lt;75,W117&lt;35),0.3,0)+IF(AND(V117&gt;=40,V117&lt;75,W117&gt;=35,W117&lt;75),0.23,0)+IF(AND(V117&gt;=40,V117&lt;75,W117&gt;=75,W117&lt;120),0.17,0)+IF(AND(V117&gt;=40,V117&lt;75,W117&gt;=120),0.12,0)+IF(AND(V117&gt;=75,V117&lt;175,W117&lt;35),0.3,0)+IF(AND(V117&gt;=75,V117&lt;=175,W117&gt;=35,W117&lt;65),0.23,0)+IF(AND(V117&gt;=75,V117&lt;=175,W117&gt;=65,W117&lt;110),0.17,0)+IF(AND(V117&gt;=75,V117&lt;=175,W117&gt;=110),0.12,0)+IF(AND(V117&gt;175,W117&lt;25),0.3,0)+IF(AND(V117&gt;175,W117&gt;=25,W117&lt;55),0.23,0)+IF(AND(V117&gt;175,W117&gt;=55,W117&lt;95),0.17,0)+IF(AND(V117&gt;175,W117&gt;=95),0.12,0),
IF(AF117="DoEVsu",IF(AND(V117&lt;20,W117&lt;55),0.3,0)+IF(AND(V117&lt;20,W117&gt;=55,W117&lt;105),0.23,0)+IF(AND(V117&lt;20,W117&gt;=105),0.17,0)+IF(AND(V117&gt;=20,V117&lt;40,W117&lt;45),0.3,0)+IF(AND(V117&gt;=20,V117&lt;40,W117&gt;=45,W117&lt;95),0.23,0)+IF(AND(V117&gt;=20,V117&lt;40,W117&gt;=95,W117&lt;=250),0.17,0)+IF(AND(V117&gt;=20,V117&lt;40,W117&gt;=250),0.12,0)+IF(AND(V117&gt;=40,V117&lt;75,W117&lt;35),0.3,0)+IF(AND(V117&gt;=40,V117&lt;75,W117&gt;=35,W117&lt;75),0.23,0)+IF(AND(V117&gt;=40,V117&lt;75,W117&gt;=75,W117&lt;120),0.17,0)+IF(AND(V117&gt;=40,V117&lt;75,W117&gt;=120),0.12,0)+IF(AND(V117&gt;=75,V117&lt;175,W117&lt;35),0.3,0)+IF(AND(V117&gt;=75,V117&lt;=175,W117&gt;=35,W117&lt;65),0.23,0)+IF(AND(V117&gt;=75,V117&lt;=175,W117&gt;=65,W117&lt;110),0.17,0)+IF(AND(V117&gt;=75,V117&lt;=175,W117&gt;=110),0.12,0)+IF(AND(V117&gt;175,W117&lt;25),0.3,0)+IF(AND(V117&gt;175,W117&gt;=25,W117&lt;55),0.23,0)+IF(AND(V117&gt;175,W117&gt;=55,W117&lt;95),0.17,0)+IF(AND(V117&gt;175,W117&gt;=95),0.12,0),
IF(AF117="DoEVni",IF(AND(V117&lt;20,W117&lt;55),0.3,0)+IF(AND(V117&lt;20,W117&gt;=55,W117&lt;105),0.23,0)+IF(AND(V117&lt;20,W117&gt;=105),0.17,0)+IF(AND(V117&gt;=20,V117&lt;40,W117&lt;45),0.3,0)+IF(AND(V117&gt;=20,V117&lt;40,W117&gt;=45,W117&lt;95),0.23,0)+IF(AND(V117&gt;=20,V117&lt;40,W117&gt;=95,W117&lt;=200),0.17,0)+IF(AND(V117&gt;=20,V117&lt;40,W117&gt;=200),0.12,0)+IF(AND(V117&gt;=40,V117&lt;75,W117&lt;35),0.3,0)+IF(AND(V117&gt;=40,V117&lt;75,W117&gt;=35,W117&lt;75),0.23,0)+IF(AND(V117&gt;=40,V117&lt;75,W117&gt;=75,W117&lt;120),0.17,0)+IF(AND(V117&gt;=40,V117&lt;75,W117&gt;=120),0.12,0)+IF(AND(V117&gt;=75,V117&lt;175,W117&lt;35),0.3,0)+IF(AND(V117&gt;=75,V117&lt;=175,W117&gt;=35,W117&lt;65),0.23,0)+IF(AND(V117&gt;=75,V117&lt;=175,W117&gt;=65,W117&lt;110),0.17,0)+IF(AND(V117&gt;=75,V117&lt;=175,W117&gt;=110),0.12,0)+IF(AND(V117&gt;175,W117&lt;25),0.3,0)+IF(AND(V117&gt;175,W117&gt;=25,W117&lt;55),0.23,0)+IF(AND(V117&gt;175,W117&gt;=55,W117&lt;95),0.17,0)+IF(AND(V117&gt;175,W117&gt;=95),0.12,0),
IF(AF117="DoEVLo",IF(AND(V117&lt;20,W117&lt;55),0.25,0)+IF(AND(V117&lt;20,W117&gt;=55,W117&lt;105),0.2,0)+IF(AND(V117&lt;20,W117&gt;=105),0.15,0)+IF(AND(V117&gt;=20,V117&lt;40,W117&lt;45),0.25,0)+IF(AND(V117&gt;=20,V117&lt;40,W117&gt;=45,W117&lt;95),0.2,0)+IF(AND(V117&gt;=20,V117&lt;40,W117&gt;=95),0.15,0)+IF(AND(V117&gt;=40,V117&lt;75,W117&lt;35),0.25,0)+IF(AND(V117&gt;=40,V117&lt;75,W117&gt;=35,W117&lt;75),0.2,0)+IF(AND(V117&gt;=40,V117&lt;75,W117&gt;=75,W117&lt;120),0.15,0)+IF(AND(V117&gt;=40,V117&lt;75,W117&gt;=120),0.1,0)+IF(AND(V117&gt;=75,V117&lt;175,W117&lt;35),0.25,0)+IF(AND(V117&gt;=75,V117&lt;=175,W117&gt;=35,W117&lt;65),0.2,0)+IF(AND(V117&gt;=75,V117&lt;=175,W117&gt;=65,W117&lt;110),0.15,0)+IF(AND(V117&gt;=75,V117&lt;=175,W117&gt;=110),0.1,0)+IF(AND(V117&gt;175,W117&lt;25),0.25,0)+IF(AND(V117&gt;175,W117&gt;=25,W117&lt;55),0.2,0)+IF(AND(V117&gt;175,W117&gt;=55,W117&lt;95),0.15,0)+IF(AND(V117&gt;175,W117&gt;=95),0.1,0))))))))))))))))</f>
        <v>0.15</v>
      </c>
      <c r="Y117" s="30">
        <f>IF(AG117="None",0,IF(AG117="Fix5",0.05,IF(AG117="Fix3.75",0.0375,IF(AG117="Fix10",0.1,IF(AG117="Fix3",0.03,0)))))</f>
        <v>0.05</v>
      </c>
      <c r="Z117" s="35">
        <f>T117-AA117-AB117</f>
        <v>-4</v>
      </c>
      <c r="AA117" s="29">
        <f>IF(AD117="EUR",((T117-R117)*X117)*U117+(R117*X117),(T117*X117))</f>
        <v>-0.75</v>
      </c>
      <c r="AB117" s="36">
        <f>IF(AD117="EUR",((T117-R117)*Y117)*U117+(R117*Y117),(T117*Y117))</f>
        <v>-0.25</v>
      </c>
      <c r="AC117" s="37" t="b">
        <v>1</v>
      </c>
      <c r="AD117" s="37" t="s">
        <v>38</v>
      </c>
      <c r="AE117" s="37" t="s">
        <v>38</v>
      </c>
      <c r="AF117" s="37" t="str">
        <f t="array" ref="AF117">INDEX('Deal Info'!D:D, MATCH(A117,'Deal Info'!A:A, 0))</f>
        <v>Fix15</v>
      </c>
      <c r="AG117" s="38" t="str">
        <f t="array" ref="AG117">INDEX('Deal Info'!G:G, MATCH(A117,'Deal Info'!A:A, 0))</f>
        <v>Fix5</v>
      </c>
    </row>
    <row r="118" spans="1:33" ht="14.25" hidden="1" x14ac:dyDescent="0.2">
      <c r="A118" s="18" t="str">
        <f t="array" ref="A118">IF(G118='Room Info'!$B$1, INDEX('Room Info'!$A$2:$A2446, MATCH(B118,'Room Info'!$B$2:$B2446, 0)),IF(G118='Room Info'!$C$1, INDEX('Room Info'!$A$2:$A2446, MATCH(B118,'Room Info'!$C$2:$C2446, 0)),IF(G118='Room Info'!$D$1, INDEX('Room Info'!$A$2:$A2446, MATCH(B118,'Room Info'!$D$2:$D2446, 0)),IF(G118='Room Info'!$E$1, INDEX('Room Info'!$A$2:$A2446, MATCH(B118,'Room Info'!$E$2:$E2446, 0)),IF(G118='Room Info'!$F$1, INDEX('Room Info'!$A$2:$A2446, MATCH(B118,'Room Info'!$F$2:$F2446, 0)),IF(G118='Room Info'!$H$1, INDEX('Room Info'!$A$2:$A2446, MATCH(B118,'Room Info'!$H$2:$H2446, 0)),IF(G118='Room Info'!$G$1, INDEX('Room Info'!$A$2:$A2446, MATCH(B118,'Room Info'!$G$2:$G2446, 0)))))))))</f>
        <v>AlexanderDSL</v>
      </c>
      <c r="B118" s="54" t="s">
        <v>82</v>
      </c>
      <c r="C118" s="68">
        <v>44641</v>
      </c>
      <c r="D118" s="68">
        <v>44671</v>
      </c>
      <c r="E118" s="47">
        <v>44652</v>
      </c>
      <c r="F118" s="45" t="s">
        <v>34</v>
      </c>
      <c r="G118" s="54" t="s">
        <v>35</v>
      </c>
      <c r="H118" s="49" t="s">
        <v>70</v>
      </c>
      <c r="I118" s="49" t="s">
        <v>37</v>
      </c>
      <c r="J118" s="50">
        <v>100</v>
      </c>
      <c r="K118" s="51">
        <v>2500</v>
      </c>
      <c r="L118" s="52">
        <v>-7500</v>
      </c>
      <c r="M118" s="53">
        <v>8804</v>
      </c>
      <c r="N118" s="28">
        <f>K118*J118</f>
        <v>250000</v>
      </c>
      <c r="O118" s="54">
        <v>47269</v>
      </c>
      <c r="P118" s="29">
        <v>18.907599999999999</v>
      </c>
      <c r="Q118" s="55"/>
      <c r="R118" s="31">
        <f>M118+Q118</f>
        <v>8804</v>
      </c>
      <c r="S118" s="56">
        <v>-3831</v>
      </c>
      <c r="T118" s="32">
        <f>R118+S118+IF(F118="Without EV deal",L118,0)</f>
        <v>4973</v>
      </c>
      <c r="U118" s="33">
        <v>1</v>
      </c>
      <c r="V118" s="58"/>
      <c r="W118" s="58"/>
      <c r="X118" s="30">
        <f>IF(AF118="DoEV",IF(AND(V118&lt;20,W118&lt;55),0.3,0)+IF(AND(V118&lt;20,W118&gt;=55,W118&lt;105),0.23,0)+IF(AND(V118&lt;20,W118&gt;=105),0.17,0)+IF(AND(V118&gt;=20,V118&lt;40,W118&lt;45),0.3,0)+IF(AND(V118&gt;=20,V118&lt;40,W118&gt;=45,W118&lt;95),0.23,0)+IF(AND(V118&gt;=20,V118&lt;40,W118&gt;=95),0.17,0)+IF(AND(V118&gt;=40,V118&lt;75,W118&lt;35),0.3,0)+IF(AND(V118&gt;=40,V118&lt;75,W118&gt;=35,W118&lt;75),0.23,0)+IF(AND(V118&gt;=40,V118&lt;75,W118&gt;=75,W118&lt;120),0.17,0)+IF(AND(V118&gt;=40,V118&lt;75,W118&gt;=120),0.12,0)+IF(AND(V118&gt;=75,V118&lt;175,W118&lt;35),0.3,0)+IF(AND(V118&gt;=75,V118&lt;=175,W118&gt;=35,W118&lt;65),0.23,0)+IF(AND(V118&gt;=75,V118&lt;=175,W118&gt;=65,W118&lt;110),0.17,0)+IF(AND(V118&gt;=75,V118&lt;=175,W118&gt;=110),0.12,0)+IF(AND(V118&gt;175,W118&lt;25),0.3,0)+IF(AND(V118&gt;175,W118&gt;=25,W118&lt;55),0.23,0)+IF(AND(V118&gt;175,W118&gt;=55,W118&lt;95),0.17,0)+IF(AND(V118&gt;175,W118&gt;=95),0.12,0),
IF(AF118="Fix15",0.15,
IF(AF118="Fix11.25",0.1125,
IF(AF118="Fix10",0.1,
IF(AF118="Fix9",0.09,
IF(AF118="DoEV2017",IF(AND(W118&lt;74),0.2,0)+IF(AND(W118&gt;=74),0.17,0),
IF(AF118="SF",IF(AND(V118&lt;20,W118&lt;89),0.3,0)+IF(AND(V118&lt;20,W118&gt;=89),0.25,0)+IF(AND(V118&gt;=20,V118&lt;40,W118&lt;74),0.3,0)+IF(AND(V118&gt;=20,V118&lt;40,W118&gt;=75),0.22,0)+IF(AND(V118&gt;=40,V118&lt;75,W118&lt;75),0.26,0)+IF(AND(V118&gt;=40,V118&lt;75,W118&gt;=75),0.22,0)+IF(V118&gt;=75,0.22,0),
IF(AF118="DoEVold",IF(AND(V118&lt;40,W118&lt;35),0.35,0)+IF(AND(V118&lt;40,W118&gt;=35,W118&lt;75),0.25,0)+IF(AND(V118&lt;40,W118&gt;=75),0.17,0)+IF(AND(V118&gt;=40,V118&lt;75,W118&lt;25),0.35,0)+IF(AND(V118&gt;=40,V118&lt;75,W118&gt;=25,W118&lt;65),0.25,0)+IF(AND(V118&gt;=40,V118&lt;75,W118&gt;=65,W118&lt;100),0.17,0)+IF(AND(V118&gt;=40,V118&lt;75,W118&gt;=100),0.1,0)+IF(AND(V118&gt;=75,W118&lt;25),0.35,0)+IF(AND(V118&gt;=75,W118&gt;=25,W118&lt;60),0.25,0)+IF(AND(V118&gt;=75,W118&gt;=60,W118&lt;95),0.17,0)+IF(AND(V118&gt;=75,W118&gt;=95),0.1,0),
IF(AF118="DoEVold15",IF(AND(V118&lt;=40,W118&lt;35),0.35,0)+IF(AND(V118&lt;=40,W118&gt;=35,W118&lt;75),0.25,0)+IF(AND(V118&lt;=40,W118&gt;=75,W118&lt;120),0.17,0)+IF(AND(V118&lt;=40,W118&gt;=120),0.15,0)+IF(AND(V118&gt;40,V118&lt;75,W118&lt;25),0.35,0)+IF(AND(V118&gt;=40,V118&lt;75,W118&gt;=25,W118&lt;65),0.25,0)+IF(AND(V118&gt;=40,V118&lt;75,W118&gt;=65,W118&lt;100),0.17,0)+IF(AND(V118&gt;=40,V118&lt;75,W118&gt;=100),0.1,0)+IF(AND(V118&gt;=75,W118&lt;25),0.35,0)+IF(AND(V118&gt;=75,W118&gt;=25,W118&lt;60),0.25,0)+IF(AND(V118&gt;=75,W118&gt;=60,W118&lt;95),0.17,0)+IF(AND(V118&gt;=75,W118&gt;=95),0.1,0),
IF(AF118="DoEVba",IF(AND(V118&lt;20,W118&lt;105),0.2,0)+IF(AND(V118&lt;20,W118&gt;=105),0.15,0)+IF(AND(V118&gt;=20,V118&lt;40,W118&lt;95),0.2,0)+IF(AND(V118&gt;=20,V118&lt;40,W118&gt;=95,W118&lt;150),0.15,0)+IF(AND(V118&gt;=20,V118&lt;40,W118&gt;=150),0.12,0)+IF(AND(V118&gt;=40,V118&lt;75,W118&lt;75),0.2,0)+IF(AND(V118&gt;=40,V118&lt;75,W118&gt;=75,W118&lt;120),0.15,0)+IF(AND(V118&gt;=40,V118&lt;75,W118&gt;=120),0.12,0)+IF(AND(V118&gt;=75,V118&lt;175,W118&lt;65),0.2,0)+IF(AND(V118&gt;=75,V118&lt;175,W118&gt;=65,W118&lt;110),0.15,0)+IF(AND(V118&gt;=75,V118&lt;175,W118&gt;=110),0.12,0)+IF(AND(V118&gt;=175,W118&lt;55),0.2,0)+IF(AND(V118&gt;=175,W118&gt;=55,W118&lt;95),0.15,0)+IF(AND(V118&gt;=175,W118&gt;=95),0.12,0),
IF(AF118="DoEVku",IF(AND(V118&lt;20,W118&lt;55),0.23,0)+IF(AND(V118&lt;20,W118&gt;=55,W118&lt;105),0.2,0)+IF(AND(V118&lt;20,W118&gt;=105),0.17,0)+IF(AND(V118&gt;=20,V118&lt;40,W118&lt;45),0.23,0)+IF(AND(V118&gt;=20,V118&lt;40,W118&gt;=45,W118&lt;95),0.2,0)+IF(AND(V118&gt;=20,V118&lt;40,W118&gt;=95,W118&lt;=150),0.17,0)+IF(AND(V118&gt;=20,V118&lt;40,W118&gt;=150),0.12,0)+IF(AND(V118&gt;=40,V118&lt;75,W118&lt;35),0.23,0)+IF(AND(V118&gt;=40,V118&lt;75,W118&gt;=35,W118&lt;75),0.2,0)+IF(AND(V118&gt;=40,V118&lt;75,W118&gt;=75,W118&lt;120),0.17,0)+IF(AND(V118&gt;=40,V118&lt;75,W118&gt;=120),0.12,0)+IF(AND(V118&gt;=75,V118&lt;175,W118&lt;35),0.23,0)+IF(AND(V118&gt;=75,V118&lt;=175,W118&gt;=35,W118&lt;65),0.2,0)+IF(AND(V118&gt;=75,V118&lt;=175,W118&gt;=65,W118&lt;110),0.17,0)+IF(AND(V118&gt;=75,V118&lt;=175,W118&gt;=110),0.12,0)+IF(AND(V118&gt;175,W118&lt;25),0.23,0)+IF(AND(V118&gt;175,W118&gt;=25,W118&lt;55),0.2,0)+IF(AND(V118&gt;175,W118&gt;=55,W118&lt;95),0.17,0)+IF(AND(V118&gt;175,W118&gt;=95),0.12,0),
IF(AF118="DoEVs1",IF(AND(V118&lt;20,W118&lt;55),0.3,0)+IF(AND(V118&lt;20,W118&gt;=55,W118&lt;105),0.23,0)+IF(AND(V118&lt;20,W118&gt;=105),0.17,0)+IF(AND(V118&gt;=20,V118&lt;40,W118&lt;45),0.3,0)+IF(AND(V118&gt;=20,V118&lt;40,W118&gt;=45,W118&lt;95),0.23,0)+IF(AND(V118&gt;=20,V118&lt;40,W118&gt;=95,W118&lt;=150),0.17,0)+IF(AND(V118&gt;=20,V118&lt;40,W118&gt;=150),0.12,0)+IF(AND(V118&gt;=40,V118&lt;75,W118&lt;35),0.3,0)+IF(AND(V118&gt;=40,V118&lt;75,W118&gt;=35,W118&lt;75),0.23,0)+IF(AND(V118&gt;=40,V118&lt;75,W118&gt;=75,W118&lt;120),0.17,0)+IF(AND(V118&gt;=40,V118&lt;75,W118&gt;=120),0.12,0)+IF(AND(V118&gt;=75,V118&lt;175,W118&lt;35),0.3,0)+IF(AND(V118&gt;=75,V118&lt;=175,W118&gt;=35,W118&lt;65),0.23,0)+IF(AND(V118&gt;=75,V118&lt;=175,W118&gt;=65,W118&lt;110),0.17,0)+IF(AND(V118&gt;=75,V118&lt;=175,W118&gt;=110),0.12,0)+IF(AND(V118&gt;175,W118&lt;25),0.3,0)+IF(AND(V118&gt;175,W118&gt;=25,W118&lt;55),0.23,0)+IF(AND(V118&gt;175,W118&gt;=55,W118&lt;95),0.17,0)+IF(AND(V118&gt;175,W118&gt;=95),0.12,0),
IF(AF118="DoEVsu",IF(AND(V118&lt;20,W118&lt;55),0.3,0)+IF(AND(V118&lt;20,W118&gt;=55,W118&lt;105),0.23,0)+IF(AND(V118&lt;20,W118&gt;=105),0.17,0)+IF(AND(V118&gt;=20,V118&lt;40,W118&lt;45),0.3,0)+IF(AND(V118&gt;=20,V118&lt;40,W118&gt;=45,W118&lt;95),0.23,0)+IF(AND(V118&gt;=20,V118&lt;40,W118&gt;=95,W118&lt;=250),0.17,0)+IF(AND(V118&gt;=20,V118&lt;40,W118&gt;=250),0.12,0)+IF(AND(V118&gt;=40,V118&lt;75,W118&lt;35),0.3,0)+IF(AND(V118&gt;=40,V118&lt;75,W118&gt;=35,W118&lt;75),0.23,0)+IF(AND(V118&gt;=40,V118&lt;75,W118&gt;=75,W118&lt;120),0.17,0)+IF(AND(V118&gt;=40,V118&lt;75,W118&gt;=120),0.12,0)+IF(AND(V118&gt;=75,V118&lt;175,W118&lt;35),0.3,0)+IF(AND(V118&gt;=75,V118&lt;=175,W118&gt;=35,W118&lt;65),0.23,0)+IF(AND(V118&gt;=75,V118&lt;=175,W118&gt;=65,W118&lt;110),0.17,0)+IF(AND(V118&gt;=75,V118&lt;=175,W118&gt;=110),0.12,0)+IF(AND(V118&gt;175,W118&lt;25),0.3,0)+IF(AND(V118&gt;175,W118&gt;=25,W118&lt;55),0.23,0)+IF(AND(V118&gt;175,W118&gt;=55,W118&lt;95),0.17,0)+IF(AND(V118&gt;175,W118&gt;=95),0.12,0),
IF(AF118="DoEVni",IF(AND(V118&lt;20,W118&lt;55),0.3,0)+IF(AND(V118&lt;20,W118&gt;=55,W118&lt;105),0.23,0)+IF(AND(V118&lt;20,W118&gt;=105),0.17,0)+IF(AND(V118&gt;=20,V118&lt;40,W118&lt;45),0.3,0)+IF(AND(V118&gt;=20,V118&lt;40,W118&gt;=45,W118&lt;95),0.23,0)+IF(AND(V118&gt;=20,V118&lt;40,W118&gt;=95,W118&lt;=200),0.17,0)+IF(AND(V118&gt;=20,V118&lt;40,W118&gt;=200),0.12,0)+IF(AND(V118&gt;=40,V118&lt;75,W118&lt;35),0.3,0)+IF(AND(V118&gt;=40,V118&lt;75,W118&gt;=35,W118&lt;75),0.23,0)+IF(AND(V118&gt;=40,V118&lt;75,W118&gt;=75,W118&lt;120),0.17,0)+IF(AND(V118&gt;=40,V118&lt;75,W118&gt;=120),0.12,0)+IF(AND(V118&gt;=75,V118&lt;175,W118&lt;35),0.3,0)+IF(AND(V118&gt;=75,V118&lt;=175,W118&gt;=35,W118&lt;65),0.23,0)+IF(AND(V118&gt;=75,V118&lt;=175,W118&gt;=65,W118&lt;110),0.17,0)+IF(AND(V118&gt;=75,V118&lt;=175,W118&gt;=110),0.12,0)+IF(AND(V118&gt;175,W118&lt;25),0.3,0)+IF(AND(V118&gt;175,W118&gt;=25,W118&lt;55),0.23,0)+IF(AND(V118&gt;175,W118&gt;=55,W118&lt;95),0.17,0)+IF(AND(V118&gt;175,W118&gt;=95),0.12,0),
IF(AF118="DoEVLo",IF(AND(V118&lt;20,W118&lt;55),0.25,0)+IF(AND(V118&lt;20,W118&gt;=55,W118&lt;105),0.2,0)+IF(AND(V118&lt;20,W118&gt;=105),0.15,0)+IF(AND(V118&gt;=20,V118&lt;40,W118&lt;45),0.25,0)+IF(AND(V118&gt;=20,V118&lt;40,W118&gt;=45,W118&lt;95),0.2,0)+IF(AND(V118&gt;=20,V118&lt;40,W118&gt;=95),0.15,0)+IF(AND(V118&gt;=40,V118&lt;75,W118&lt;35),0.25,0)+IF(AND(V118&gt;=40,V118&lt;75,W118&gt;=35,W118&lt;75),0.2,0)+IF(AND(V118&gt;=40,V118&lt;75,W118&gt;=75,W118&lt;120),0.15,0)+IF(AND(V118&gt;=40,V118&lt;75,W118&gt;=120),0.1,0)+IF(AND(V118&gt;=75,V118&lt;175,W118&lt;35),0.25,0)+IF(AND(V118&gt;=75,V118&lt;=175,W118&gt;=35,W118&lt;65),0.2,0)+IF(AND(V118&gt;=75,V118&lt;=175,W118&gt;=65,W118&lt;110),0.15,0)+IF(AND(V118&gt;=75,V118&lt;=175,W118&gt;=110),0.1,0)+IF(AND(V118&gt;175,W118&lt;25),0.25,0)+IF(AND(V118&gt;175,W118&gt;=25,W118&lt;55),0.2,0)+IF(AND(V118&gt;175,W118&gt;=55,W118&lt;95),0.15,0)+IF(AND(V118&gt;175,W118&gt;=95),0.1,0))))))))))))))))</f>
        <v>0.15</v>
      </c>
      <c r="Y118" s="30">
        <f>IF(AG118="None",0,IF(AG118="Fix5",0.05,IF(AG118="Fix3.75",0.0375,IF(AG118="Fix10",0.1,IF(AG118="Fix3",0.03,0)))))</f>
        <v>0.05</v>
      </c>
      <c r="Z118" s="35">
        <f>T118-AA118-AB118</f>
        <v>3978.4</v>
      </c>
      <c r="AA118" s="29">
        <f>IF(AD118="EUR",((T118-R118)*X118)*U118+(R118*X118),(T118*X118))</f>
        <v>745.94999999999993</v>
      </c>
      <c r="AB118" s="36">
        <f>IF(AD118="EUR",((T118-R118)*Y118)*U118+(R118*Y118),(T118*Y118))</f>
        <v>248.65</v>
      </c>
      <c r="AC118" s="37" t="b">
        <v>1</v>
      </c>
      <c r="AD118" s="37" t="s">
        <v>38</v>
      </c>
      <c r="AE118" s="37" t="s">
        <v>38</v>
      </c>
      <c r="AF118" s="37" t="str">
        <f t="array" ref="AF118">INDEX('Deal Info'!D:D, MATCH(A118,'Deal Info'!A:A, 0))</f>
        <v>Fix15</v>
      </c>
      <c r="AG118" s="38" t="str">
        <f t="array" ref="AG118">INDEX('Deal Info'!G:G, MATCH(A118,'Deal Info'!A:A, 0))</f>
        <v>Fix5</v>
      </c>
    </row>
    <row r="119" spans="1:33" ht="14.25" hidden="1" x14ac:dyDescent="0.2">
      <c r="A119" s="18" t="str">
        <f t="array" ref="A119">IF(G119='Room Info'!$B$1, INDEX('Room Info'!$A$2:$A2446, MATCH(B119,'Room Info'!$B$2:$B2446, 0)),IF(G119='Room Info'!$C$1, INDEX('Room Info'!$A$2:$A2446, MATCH(B119,'Room Info'!$C$2:$C2446, 0)),IF(G119='Room Info'!$D$1, INDEX('Room Info'!$A$2:$A2446, MATCH(B119,'Room Info'!$D$2:$D2446, 0)),IF(G119='Room Info'!$E$1, INDEX('Room Info'!$A$2:$A2446, MATCH(B119,'Room Info'!$E$2:$E2446, 0)),IF(G119='Room Info'!$F$1, INDEX('Room Info'!$A$2:$A2446, MATCH(B119,'Room Info'!$F$2:$F2446, 0)),IF(G119='Room Info'!$H$1, INDEX('Room Info'!$A$2:$A2446, MATCH(B119,'Room Info'!$H$2:$H2446, 0)),IF(G119='Room Info'!$G$1, INDEX('Room Info'!$A$2:$A2446, MATCH(B119,'Room Info'!$G$2:$G2446, 0)))))))))</f>
        <v>AlexanderDSL</v>
      </c>
      <c r="B119" s="54" t="s">
        <v>82</v>
      </c>
      <c r="C119" s="68">
        <v>44641</v>
      </c>
      <c r="D119" s="68">
        <v>44671</v>
      </c>
      <c r="E119" s="47">
        <v>44652</v>
      </c>
      <c r="F119" s="45" t="s">
        <v>41</v>
      </c>
      <c r="G119" s="54" t="s">
        <v>35</v>
      </c>
      <c r="H119" s="49" t="s">
        <v>39</v>
      </c>
      <c r="I119" s="49" t="s">
        <v>37</v>
      </c>
      <c r="J119" s="50">
        <v>5</v>
      </c>
      <c r="K119" s="51">
        <v>1</v>
      </c>
      <c r="L119" s="52">
        <v>-5</v>
      </c>
      <c r="M119" s="53">
        <v>1</v>
      </c>
      <c r="N119" s="28">
        <f>K119*J119</f>
        <v>5</v>
      </c>
      <c r="O119" s="65"/>
      <c r="P119" s="29">
        <v>0</v>
      </c>
      <c r="Q119" s="55"/>
      <c r="R119" s="31">
        <f>M119+Q119</f>
        <v>1</v>
      </c>
      <c r="S119" s="66"/>
      <c r="T119" s="32">
        <f>R119+S119+IF(F119="Without EV deal",L119,0)</f>
        <v>-4</v>
      </c>
      <c r="U119" s="33">
        <v>1</v>
      </c>
      <c r="V119" s="58"/>
      <c r="W119" s="58"/>
      <c r="X119" s="30">
        <f>IF(AF119="DoEV",IF(AND(V119&lt;20,W119&lt;55),0.3,0)+IF(AND(V119&lt;20,W119&gt;=55,W119&lt;105),0.23,0)+IF(AND(V119&lt;20,W119&gt;=105),0.17,0)+IF(AND(V119&gt;=20,V119&lt;40,W119&lt;45),0.3,0)+IF(AND(V119&gt;=20,V119&lt;40,W119&gt;=45,W119&lt;95),0.23,0)+IF(AND(V119&gt;=20,V119&lt;40,W119&gt;=95),0.17,0)+IF(AND(V119&gt;=40,V119&lt;75,W119&lt;35),0.3,0)+IF(AND(V119&gt;=40,V119&lt;75,W119&gt;=35,W119&lt;75),0.23,0)+IF(AND(V119&gt;=40,V119&lt;75,W119&gt;=75,W119&lt;120),0.17,0)+IF(AND(V119&gt;=40,V119&lt;75,W119&gt;=120),0.12,0)+IF(AND(V119&gt;=75,V119&lt;175,W119&lt;35),0.3,0)+IF(AND(V119&gt;=75,V119&lt;=175,W119&gt;=35,W119&lt;65),0.23,0)+IF(AND(V119&gt;=75,V119&lt;=175,W119&gt;=65,W119&lt;110),0.17,0)+IF(AND(V119&gt;=75,V119&lt;=175,W119&gt;=110),0.12,0)+IF(AND(V119&gt;175,W119&lt;25),0.3,0)+IF(AND(V119&gt;175,W119&gt;=25,W119&lt;55),0.23,0)+IF(AND(V119&gt;175,W119&gt;=55,W119&lt;95),0.17,0)+IF(AND(V119&gt;175,W119&gt;=95),0.12,0),
IF(AF119="Fix15",0.15,
IF(AF119="Fix11.25",0.1125,
IF(AF119="Fix10",0.1,
IF(AF119="Fix9",0.09,
IF(AF119="DoEV2017",IF(AND(W119&lt;74),0.2,0)+IF(AND(W119&gt;=74),0.17,0),
IF(AF119="SF",IF(AND(V119&lt;20,W119&lt;89),0.3,0)+IF(AND(V119&lt;20,W119&gt;=89),0.25,0)+IF(AND(V119&gt;=20,V119&lt;40,W119&lt;74),0.3,0)+IF(AND(V119&gt;=20,V119&lt;40,W119&gt;=75),0.22,0)+IF(AND(V119&gt;=40,V119&lt;75,W119&lt;75),0.26,0)+IF(AND(V119&gt;=40,V119&lt;75,W119&gt;=75),0.22,0)+IF(V119&gt;=75,0.22,0),
IF(AF119="DoEVold",IF(AND(V119&lt;40,W119&lt;35),0.35,0)+IF(AND(V119&lt;40,W119&gt;=35,W119&lt;75),0.25,0)+IF(AND(V119&lt;40,W119&gt;=75),0.17,0)+IF(AND(V119&gt;=40,V119&lt;75,W119&lt;25),0.35,0)+IF(AND(V119&gt;=40,V119&lt;75,W119&gt;=25,W119&lt;65),0.25,0)+IF(AND(V119&gt;=40,V119&lt;75,W119&gt;=65,W119&lt;100),0.17,0)+IF(AND(V119&gt;=40,V119&lt;75,W119&gt;=100),0.1,0)+IF(AND(V119&gt;=75,W119&lt;25),0.35,0)+IF(AND(V119&gt;=75,W119&gt;=25,W119&lt;60),0.25,0)+IF(AND(V119&gt;=75,W119&gt;=60,W119&lt;95),0.17,0)+IF(AND(V119&gt;=75,W119&gt;=95),0.1,0),
IF(AF119="DoEVold15",IF(AND(V119&lt;=40,W119&lt;35),0.35,0)+IF(AND(V119&lt;=40,W119&gt;=35,W119&lt;75),0.25,0)+IF(AND(V119&lt;=40,W119&gt;=75,W119&lt;120),0.17,0)+IF(AND(V119&lt;=40,W119&gt;=120),0.15,0)+IF(AND(V119&gt;40,V119&lt;75,W119&lt;25),0.35,0)+IF(AND(V119&gt;=40,V119&lt;75,W119&gt;=25,W119&lt;65),0.25,0)+IF(AND(V119&gt;=40,V119&lt;75,W119&gt;=65,W119&lt;100),0.17,0)+IF(AND(V119&gt;=40,V119&lt;75,W119&gt;=100),0.1,0)+IF(AND(V119&gt;=75,W119&lt;25),0.35,0)+IF(AND(V119&gt;=75,W119&gt;=25,W119&lt;60),0.25,0)+IF(AND(V119&gt;=75,W119&gt;=60,W119&lt;95),0.17,0)+IF(AND(V119&gt;=75,W119&gt;=95),0.1,0),
IF(AF119="DoEVba",IF(AND(V119&lt;20,W119&lt;105),0.2,0)+IF(AND(V119&lt;20,W119&gt;=105),0.15,0)+IF(AND(V119&gt;=20,V119&lt;40,W119&lt;95),0.2,0)+IF(AND(V119&gt;=20,V119&lt;40,W119&gt;=95,W119&lt;150),0.15,0)+IF(AND(V119&gt;=20,V119&lt;40,W119&gt;=150),0.12,0)+IF(AND(V119&gt;=40,V119&lt;75,W119&lt;75),0.2,0)+IF(AND(V119&gt;=40,V119&lt;75,W119&gt;=75,W119&lt;120),0.15,0)+IF(AND(V119&gt;=40,V119&lt;75,W119&gt;=120),0.12,0)+IF(AND(V119&gt;=75,V119&lt;175,W119&lt;65),0.2,0)+IF(AND(V119&gt;=75,V119&lt;175,W119&gt;=65,W119&lt;110),0.15,0)+IF(AND(V119&gt;=75,V119&lt;175,W119&gt;=110),0.12,0)+IF(AND(V119&gt;=175,W119&lt;55),0.2,0)+IF(AND(V119&gt;=175,W119&gt;=55,W119&lt;95),0.15,0)+IF(AND(V119&gt;=175,W119&gt;=95),0.12,0),
IF(AF119="DoEVku",IF(AND(V119&lt;20,W119&lt;55),0.23,0)+IF(AND(V119&lt;20,W119&gt;=55,W119&lt;105),0.2,0)+IF(AND(V119&lt;20,W119&gt;=105),0.17,0)+IF(AND(V119&gt;=20,V119&lt;40,W119&lt;45),0.23,0)+IF(AND(V119&gt;=20,V119&lt;40,W119&gt;=45,W119&lt;95),0.2,0)+IF(AND(V119&gt;=20,V119&lt;40,W119&gt;=95,W119&lt;=150),0.17,0)+IF(AND(V119&gt;=20,V119&lt;40,W119&gt;=150),0.12,0)+IF(AND(V119&gt;=40,V119&lt;75,W119&lt;35),0.23,0)+IF(AND(V119&gt;=40,V119&lt;75,W119&gt;=35,W119&lt;75),0.2,0)+IF(AND(V119&gt;=40,V119&lt;75,W119&gt;=75,W119&lt;120),0.17,0)+IF(AND(V119&gt;=40,V119&lt;75,W119&gt;=120),0.12,0)+IF(AND(V119&gt;=75,V119&lt;175,W119&lt;35),0.23,0)+IF(AND(V119&gt;=75,V119&lt;=175,W119&gt;=35,W119&lt;65),0.2,0)+IF(AND(V119&gt;=75,V119&lt;=175,W119&gt;=65,W119&lt;110),0.17,0)+IF(AND(V119&gt;=75,V119&lt;=175,W119&gt;=110),0.12,0)+IF(AND(V119&gt;175,W119&lt;25),0.23,0)+IF(AND(V119&gt;175,W119&gt;=25,W119&lt;55),0.2,0)+IF(AND(V119&gt;175,W119&gt;=55,W119&lt;95),0.17,0)+IF(AND(V119&gt;175,W119&gt;=95),0.12,0),
IF(AF119="DoEVs1",IF(AND(V119&lt;20,W119&lt;55),0.3,0)+IF(AND(V119&lt;20,W119&gt;=55,W119&lt;105),0.23,0)+IF(AND(V119&lt;20,W119&gt;=105),0.17,0)+IF(AND(V119&gt;=20,V119&lt;40,W119&lt;45),0.3,0)+IF(AND(V119&gt;=20,V119&lt;40,W119&gt;=45,W119&lt;95),0.23,0)+IF(AND(V119&gt;=20,V119&lt;40,W119&gt;=95,W119&lt;=150),0.17,0)+IF(AND(V119&gt;=20,V119&lt;40,W119&gt;=150),0.12,0)+IF(AND(V119&gt;=40,V119&lt;75,W119&lt;35),0.3,0)+IF(AND(V119&gt;=40,V119&lt;75,W119&gt;=35,W119&lt;75),0.23,0)+IF(AND(V119&gt;=40,V119&lt;75,W119&gt;=75,W119&lt;120),0.17,0)+IF(AND(V119&gt;=40,V119&lt;75,W119&gt;=120),0.12,0)+IF(AND(V119&gt;=75,V119&lt;175,W119&lt;35),0.3,0)+IF(AND(V119&gt;=75,V119&lt;=175,W119&gt;=35,W119&lt;65),0.23,0)+IF(AND(V119&gt;=75,V119&lt;=175,W119&gt;=65,W119&lt;110),0.17,0)+IF(AND(V119&gt;=75,V119&lt;=175,W119&gt;=110),0.12,0)+IF(AND(V119&gt;175,W119&lt;25),0.3,0)+IF(AND(V119&gt;175,W119&gt;=25,W119&lt;55),0.23,0)+IF(AND(V119&gt;175,W119&gt;=55,W119&lt;95),0.17,0)+IF(AND(V119&gt;175,W119&gt;=95),0.12,0),
IF(AF119="DoEVsu",IF(AND(V119&lt;20,W119&lt;55),0.3,0)+IF(AND(V119&lt;20,W119&gt;=55,W119&lt;105),0.23,0)+IF(AND(V119&lt;20,W119&gt;=105),0.17,0)+IF(AND(V119&gt;=20,V119&lt;40,W119&lt;45),0.3,0)+IF(AND(V119&gt;=20,V119&lt;40,W119&gt;=45,W119&lt;95),0.23,0)+IF(AND(V119&gt;=20,V119&lt;40,W119&gt;=95,W119&lt;=250),0.17,0)+IF(AND(V119&gt;=20,V119&lt;40,W119&gt;=250),0.12,0)+IF(AND(V119&gt;=40,V119&lt;75,W119&lt;35),0.3,0)+IF(AND(V119&gt;=40,V119&lt;75,W119&gt;=35,W119&lt;75),0.23,0)+IF(AND(V119&gt;=40,V119&lt;75,W119&gt;=75,W119&lt;120),0.17,0)+IF(AND(V119&gt;=40,V119&lt;75,W119&gt;=120),0.12,0)+IF(AND(V119&gt;=75,V119&lt;175,W119&lt;35),0.3,0)+IF(AND(V119&gt;=75,V119&lt;=175,W119&gt;=35,W119&lt;65),0.23,0)+IF(AND(V119&gt;=75,V119&lt;=175,W119&gt;=65,W119&lt;110),0.17,0)+IF(AND(V119&gt;=75,V119&lt;=175,W119&gt;=110),0.12,0)+IF(AND(V119&gt;175,W119&lt;25),0.3,0)+IF(AND(V119&gt;175,W119&gt;=25,W119&lt;55),0.23,0)+IF(AND(V119&gt;175,W119&gt;=55,W119&lt;95),0.17,0)+IF(AND(V119&gt;175,W119&gt;=95),0.12,0),
IF(AF119="DoEVni",IF(AND(V119&lt;20,W119&lt;55),0.3,0)+IF(AND(V119&lt;20,W119&gt;=55,W119&lt;105),0.23,0)+IF(AND(V119&lt;20,W119&gt;=105),0.17,0)+IF(AND(V119&gt;=20,V119&lt;40,W119&lt;45),0.3,0)+IF(AND(V119&gt;=20,V119&lt;40,W119&gt;=45,W119&lt;95),0.23,0)+IF(AND(V119&gt;=20,V119&lt;40,W119&gt;=95,W119&lt;=200),0.17,0)+IF(AND(V119&gt;=20,V119&lt;40,W119&gt;=200),0.12,0)+IF(AND(V119&gt;=40,V119&lt;75,W119&lt;35),0.3,0)+IF(AND(V119&gt;=40,V119&lt;75,W119&gt;=35,W119&lt;75),0.23,0)+IF(AND(V119&gt;=40,V119&lt;75,W119&gt;=75,W119&lt;120),0.17,0)+IF(AND(V119&gt;=40,V119&lt;75,W119&gt;=120),0.12,0)+IF(AND(V119&gt;=75,V119&lt;175,W119&lt;35),0.3,0)+IF(AND(V119&gt;=75,V119&lt;=175,W119&gt;=35,W119&lt;65),0.23,0)+IF(AND(V119&gt;=75,V119&lt;=175,W119&gt;=65,W119&lt;110),0.17,0)+IF(AND(V119&gt;=75,V119&lt;=175,W119&gt;=110),0.12,0)+IF(AND(V119&gt;175,W119&lt;25),0.3,0)+IF(AND(V119&gt;175,W119&gt;=25,W119&lt;55),0.23,0)+IF(AND(V119&gt;175,W119&gt;=55,W119&lt;95),0.17,0)+IF(AND(V119&gt;175,W119&gt;=95),0.12,0),
IF(AF119="DoEVLo",IF(AND(V119&lt;20,W119&lt;55),0.25,0)+IF(AND(V119&lt;20,W119&gt;=55,W119&lt;105),0.2,0)+IF(AND(V119&lt;20,W119&gt;=105),0.15,0)+IF(AND(V119&gt;=20,V119&lt;40,W119&lt;45),0.25,0)+IF(AND(V119&gt;=20,V119&lt;40,W119&gt;=45,W119&lt;95),0.2,0)+IF(AND(V119&gt;=20,V119&lt;40,W119&gt;=95),0.15,0)+IF(AND(V119&gt;=40,V119&lt;75,W119&lt;35),0.25,0)+IF(AND(V119&gt;=40,V119&lt;75,W119&gt;=35,W119&lt;75),0.2,0)+IF(AND(V119&gt;=40,V119&lt;75,W119&gt;=75,W119&lt;120),0.15,0)+IF(AND(V119&gt;=40,V119&lt;75,W119&gt;=120),0.1,0)+IF(AND(V119&gt;=75,V119&lt;175,W119&lt;35),0.25,0)+IF(AND(V119&gt;=75,V119&lt;=175,W119&gt;=35,W119&lt;65),0.2,0)+IF(AND(V119&gt;=75,V119&lt;=175,W119&gt;=65,W119&lt;110),0.15,0)+IF(AND(V119&gt;=75,V119&lt;=175,W119&gt;=110),0.1,0)+IF(AND(V119&gt;175,W119&lt;25),0.25,0)+IF(AND(V119&gt;175,W119&gt;=25,W119&lt;55),0.2,0)+IF(AND(V119&gt;175,W119&gt;=55,W119&lt;95),0.15,0)+IF(AND(V119&gt;175,W119&gt;=95),0.1,0))))))))))))))))</f>
        <v>0.15</v>
      </c>
      <c r="Y119" s="30">
        <f>IF(AG119="None",0,IF(AG119="Fix5",0.05,IF(AG119="Fix3.75",0.0375,IF(AG119="Fix10",0.1,IF(AG119="Fix3",0.03,0)))))</f>
        <v>0.05</v>
      </c>
      <c r="Z119" s="35">
        <f>T119-AA119-AB119</f>
        <v>-3.1999999999999997</v>
      </c>
      <c r="AA119" s="29">
        <f>IF(AD119="EUR",((T119-R119)*X119)*U119+(R119*X119),(T119*X119))</f>
        <v>-0.6</v>
      </c>
      <c r="AB119" s="36">
        <f>IF(AD119="EUR",((T119-R119)*Y119)*U119+(R119*Y119),(T119*Y119))</f>
        <v>-0.2</v>
      </c>
      <c r="AC119" s="37" t="b">
        <v>1</v>
      </c>
      <c r="AD119" s="37" t="s">
        <v>38</v>
      </c>
      <c r="AE119" s="37" t="s">
        <v>38</v>
      </c>
      <c r="AF119" s="37" t="str">
        <f t="array" ref="AF119">INDEX('Deal Info'!D:D, MATCH(A119,'Deal Info'!A:A, 0))</f>
        <v>Fix15</v>
      </c>
      <c r="AG119" s="38" t="str">
        <f t="array" ref="AG119">INDEX('Deal Info'!G:G, MATCH(A119,'Deal Info'!A:A, 0))</f>
        <v>Fix5</v>
      </c>
    </row>
    <row r="120" spans="1:33" ht="14.25" hidden="1" x14ac:dyDescent="0.2">
      <c r="A120" s="18" t="str">
        <f t="array" ref="A120">IF(G120='Room Info'!$B$1, INDEX('Room Info'!$A$2:$A2446, MATCH(B120,'Room Info'!$B$2:$B2446, 0)),IF(G120='Room Info'!$C$1, INDEX('Room Info'!$A$2:$A2446, MATCH(B120,'Room Info'!$C$2:$C2446, 0)),IF(G120='Room Info'!$D$1, INDEX('Room Info'!$A$2:$A2446, MATCH(B120,'Room Info'!$D$2:$D2446, 0)),IF(G120='Room Info'!$E$1, INDEX('Room Info'!$A$2:$A2446, MATCH(B120,'Room Info'!$E$2:$E2446, 0)),IF(G120='Room Info'!$F$1, INDEX('Room Info'!$A$2:$A2446, MATCH(B120,'Room Info'!$F$2:$F2446, 0)),IF(G120='Room Info'!$H$1, INDEX('Room Info'!$A$2:$A2446, MATCH(B120,'Room Info'!$H$2:$H2446, 0)),IF(G120='Room Info'!$G$1, INDEX('Room Info'!$A$2:$A2446, MATCH(B120,'Room Info'!$G$2:$G2446, 0)))))))))</f>
        <v>AlexanderDSL</v>
      </c>
      <c r="B120" s="54" t="s">
        <v>82</v>
      </c>
      <c r="C120" s="68">
        <v>44672</v>
      </c>
      <c r="D120" s="68">
        <v>44701</v>
      </c>
      <c r="E120" s="47">
        <v>44682</v>
      </c>
      <c r="F120" s="45" t="s">
        <v>34</v>
      </c>
      <c r="G120" s="54" t="s">
        <v>35</v>
      </c>
      <c r="H120" s="49" t="s">
        <v>72</v>
      </c>
      <c r="I120" s="49" t="s">
        <v>37</v>
      </c>
      <c r="J120" s="50">
        <v>50</v>
      </c>
      <c r="K120" s="51">
        <v>52</v>
      </c>
      <c r="L120" s="52">
        <v>150</v>
      </c>
      <c r="M120" s="53">
        <v>97</v>
      </c>
      <c r="N120" s="28">
        <f>K120*J120</f>
        <v>2600</v>
      </c>
      <c r="O120" s="54">
        <v>-896</v>
      </c>
      <c r="P120" s="29">
        <v>-17.23076923</v>
      </c>
      <c r="Q120" s="55"/>
      <c r="R120" s="31">
        <f>M120+Q120</f>
        <v>97</v>
      </c>
      <c r="S120" s="56">
        <v>-249</v>
      </c>
      <c r="T120" s="32">
        <f>R120+S120+IF(F120="Without EV deal",L120,0)</f>
        <v>-152</v>
      </c>
      <c r="U120" s="33">
        <v>1</v>
      </c>
      <c r="V120" s="58"/>
      <c r="W120" s="58"/>
      <c r="X120" s="30">
        <f>IF(AF120="DoEV",IF(AND(V120&lt;20,W120&lt;55),0.3,0)+IF(AND(V120&lt;20,W120&gt;=55,W120&lt;105),0.23,0)+IF(AND(V120&lt;20,W120&gt;=105),0.17,0)+IF(AND(V120&gt;=20,V120&lt;40,W120&lt;45),0.3,0)+IF(AND(V120&gt;=20,V120&lt;40,W120&gt;=45,W120&lt;95),0.23,0)+IF(AND(V120&gt;=20,V120&lt;40,W120&gt;=95),0.17,0)+IF(AND(V120&gt;=40,V120&lt;75,W120&lt;35),0.3,0)+IF(AND(V120&gt;=40,V120&lt;75,W120&gt;=35,W120&lt;75),0.23,0)+IF(AND(V120&gt;=40,V120&lt;75,W120&gt;=75,W120&lt;120),0.17,0)+IF(AND(V120&gt;=40,V120&lt;75,W120&gt;=120),0.12,0)+IF(AND(V120&gt;=75,V120&lt;175,W120&lt;35),0.3,0)+IF(AND(V120&gt;=75,V120&lt;=175,W120&gt;=35,W120&lt;65),0.23,0)+IF(AND(V120&gt;=75,V120&lt;=175,W120&gt;=65,W120&lt;110),0.17,0)+IF(AND(V120&gt;=75,V120&lt;=175,W120&gt;=110),0.12,0)+IF(AND(V120&gt;175,W120&lt;25),0.3,0)+IF(AND(V120&gt;175,W120&gt;=25,W120&lt;55),0.23,0)+IF(AND(V120&gt;175,W120&gt;=55,W120&lt;95),0.17,0)+IF(AND(V120&gt;175,W120&gt;=95),0.12,0),
IF(AF120="Fix15",0.15,
IF(AF120="Fix11.25",0.1125,
IF(AF120="Fix10",0.1,
IF(AF120="Fix9",0.09,
IF(AF120="DoEV2017",IF(AND(W120&lt;74),0.2,0)+IF(AND(W120&gt;=74),0.17,0),
IF(AF120="SF",IF(AND(V120&lt;20,W120&lt;89),0.3,0)+IF(AND(V120&lt;20,W120&gt;=89),0.25,0)+IF(AND(V120&gt;=20,V120&lt;40,W120&lt;74),0.3,0)+IF(AND(V120&gt;=20,V120&lt;40,W120&gt;=75),0.22,0)+IF(AND(V120&gt;=40,V120&lt;75,W120&lt;75),0.26,0)+IF(AND(V120&gt;=40,V120&lt;75,W120&gt;=75),0.22,0)+IF(V120&gt;=75,0.22,0),
IF(AF120="DoEVold",IF(AND(V120&lt;40,W120&lt;35),0.35,0)+IF(AND(V120&lt;40,W120&gt;=35,W120&lt;75),0.25,0)+IF(AND(V120&lt;40,W120&gt;=75),0.17,0)+IF(AND(V120&gt;=40,V120&lt;75,W120&lt;25),0.35,0)+IF(AND(V120&gt;=40,V120&lt;75,W120&gt;=25,W120&lt;65),0.25,0)+IF(AND(V120&gt;=40,V120&lt;75,W120&gt;=65,W120&lt;100),0.17,0)+IF(AND(V120&gt;=40,V120&lt;75,W120&gt;=100),0.1,0)+IF(AND(V120&gt;=75,W120&lt;25),0.35,0)+IF(AND(V120&gt;=75,W120&gt;=25,W120&lt;60),0.25,0)+IF(AND(V120&gt;=75,W120&gt;=60,W120&lt;95),0.17,0)+IF(AND(V120&gt;=75,W120&gt;=95),0.1,0),
IF(AF120="DoEVold15",IF(AND(V120&lt;=40,W120&lt;35),0.35,0)+IF(AND(V120&lt;=40,W120&gt;=35,W120&lt;75),0.25,0)+IF(AND(V120&lt;=40,W120&gt;=75,W120&lt;120),0.17,0)+IF(AND(V120&lt;=40,W120&gt;=120),0.15,0)+IF(AND(V120&gt;40,V120&lt;75,W120&lt;25),0.35,0)+IF(AND(V120&gt;=40,V120&lt;75,W120&gt;=25,W120&lt;65),0.25,0)+IF(AND(V120&gt;=40,V120&lt;75,W120&gt;=65,W120&lt;100),0.17,0)+IF(AND(V120&gt;=40,V120&lt;75,W120&gt;=100),0.1,0)+IF(AND(V120&gt;=75,W120&lt;25),0.35,0)+IF(AND(V120&gt;=75,W120&gt;=25,W120&lt;60),0.25,0)+IF(AND(V120&gt;=75,W120&gt;=60,W120&lt;95),0.17,0)+IF(AND(V120&gt;=75,W120&gt;=95),0.1,0),
IF(AF120="DoEVba",IF(AND(V120&lt;20,W120&lt;105),0.2,0)+IF(AND(V120&lt;20,W120&gt;=105),0.15,0)+IF(AND(V120&gt;=20,V120&lt;40,W120&lt;95),0.2,0)+IF(AND(V120&gt;=20,V120&lt;40,W120&gt;=95,W120&lt;150),0.15,0)+IF(AND(V120&gt;=20,V120&lt;40,W120&gt;=150),0.12,0)+IF(AND(V120&gt;=40,V120&lt;75,W120&lt;75),0.2,0)+IF(AND(V120&gt;=40,V120&lt;75,W120&gt;=75,W120&lt;120),0.15,0)+IF(AND(V120&gt;=40,V120&lt;75,W120&gt;=120),0.12,0)+IF(AND(V120&gt;=75,V120&lt;175,W120&lt;65),0.2,0)+IF(AND(V120&gt;=75,V120&lt;175,W120&gt;=65,W120&lt;110),0.15,0)+IF(AND(V120&gt;=75,V120&lt;175,W120&gt;=110),0.12,0)+IF(AND(V120&gt;=175,W120&lt;55),0.2,0)+IF(AND(V120&gt;=175,W120&gt;=55,W120&lt;95),0.15,0)+IF(AND(V120&gt;=175,W120&gt;=95),0.12,0),
IF(AF120="DoEVku",IF(AND(V120&lt;20,W120&lt;55),0.23,0)+IF(AND(V120&lt;20,W120&gt;=55,W120&lt;105),0.2,0)+IF(AND(V120&lt;20,W120&gt;=105),0.17,0)+IF(AND(V120&gt;=20,V120&lt;40,W120&lt;45),0.23,0)+IF(AND(V120&gt;=20,V120&lt;40,W120&gt;=45,W120&lt;95),0.2,0)+IF(AND(V120&gt;=20,V120&lt;40,W120&gt;=95,W120&lt;=150),0.17,0)+IF(AND(V120&gt;=20,V120&lt;40,W120&gt;=150),0.12,0)+IF(AND(V120&gt;=40,V120&lt;75,W120&lt;35),0.23,0)+IF(AND(V120&gt;=40,V120&lt;75,W120&gt;=35,W120&lt;75),0.2,0)+IF(AND(V120&gt;=40,V120&lt;75,W120&gt;=75,W120&lt;120),0.17,0)+IF(AND(V120&gt;=40,V120&lt;75,W120&gt;=120),0.12,0)+IF(AND(V120&gt;=75,V120&lt;175,W120&lt;35),0.23,0)+IF(AND(V120&gt;=75,V120&lt;=175,W120&gt;=35,W120&lt;65),0.2,0)+IF(AND(V120&gt;=75,V120&lt;=175,W120&gt;=65,W120&lt;110),0.17,0)+IF(AND(V120&gt;=75,V120&lt;=175,W120&gt;=110),0.12,0)+IF(AND(V120&gt;175,W120&lt;25),0.23,0)+IF(AND(V120&gt;175,W120&gt;=25,W120&lt;55),0.2,0)+IF(AND(V120&gt;175,W120&gt;=55,W120&lt;95),0.17,0)+IF(AND(V120&gt;175,W120&gt;=95),0.12,0),
IF(AF120="DoEVs1",IF(AND(V120&lt;20,W120&lt;55),0.3,0)+IF(AND(V120&lt;20,W120&gt;=55,W120&lt;105),0.23,0)+IF(AND(V120&lt;20,W120&gt;=105),0.17,0)+IF(AND(V120&gt;=20,V120&lt;40,W120&lt;45),0.3,0)+IF(AND(V120&gt;=20,V120&lt;40,W120&gt;=45,W120&lt;95),0.23,0)+IF(AND(V120&gt;=20,V120&lt;40,W120&gt;=95,W120&lt;=150),0.17,0)+IF(AND(V120&gt;=20,V120&lt;40,W120&gt;=150),0.12,0)+IF(AND(V120&gt;=40,V120&lt;75,W120&lt;35),0.3,0)+IF(AND(V120&gt;=40,V120&lt;75,W120&gt;=35,W120&lt;75),0.23,0)+IF(AND(V120&gt;=40,V120&lt;75,W120&gt;=75,W120&lt;120),0.17,0)+IF(AND(V120&gt;=40,V120&lt;75,W120&gt;=120),0.12,0)+IF(AND(V120&gt;=75,V120&lt;175,W120&lt;35),0.3,0)+IF(AND(V120&gt;=75,V120&lt;=175,W120&gt;=35,W120&lt;65),0.23,0)+IF(AND(V120&gt;=75,V120&lt;=175,W120&gt;=65,W120&lt;110),0.17,0)+IF(AND(V120&gt;=75,V120&lt;=175,W120&gt;=110),0.12,0)+IF(AND(V120&gt;175,W120&lt;25),0.3,0)+IF(AND(V120&gt;175,W120&gt;=25,W120&lt;55),0.23,0)+IF(AND(V120&gt;175,W120&gt;=55,W120&lt;95),0.17,0)+IF(AND(V120&gt;175,W120&gt;=95),0.12,0),
IF(AF120="DoEVsu",IF(AND(V120&lt;20,W120&lt;55),0.3,0)+IF(AND(V120&lt;20,W120&gt;=55,W120&lt;105),0.23,0)+IF(AND(V120&lt;20,W120&gt;=105),0.17,0)+IF(AND(V120&gt;=20,V120&lt;40,W120&lt;45),0.3,0)+IF(AND(V120&gt;=20,V120&lt;40,W120&gt;=45,W120&lt;95),0.23,0)+IF(AND(V120&gt;=20,V120&lt;40,W120&gt;=95,W120&lt;=250),0.17,0)+IF(AND(V120&gt;=20,V120&lt;40,W120&gt;=250),0.12,0)+IF(AND(V120&gt;=40,V120&lt;75,W120&lt;35),0.3,0)+IF(AND(V120&gt;=40,V120&lt;75,W120&gt;=35,W120&lt;75),0.23,0)+IF(AND(V120&gt;=40,V120&lt;75,W120&gt;=75,W120&lt;120),0.17,0)+IF(AND(V120&gt;=40,V120&lt;75,W120&gt;=120),0.12,0)+IF(AND(V120&gt;=75,V120&lt;175,W120&lt;35),0.3,0)+IF(AND(V120&gt;=75,V120&lt;=175,W120&gt;=35,W120&lt;65),0.23,0)+IF(AND(V120&gt;=75,V120&lt;=175,W120&gt;=65,W120&lt;110),0.17,0)+IF(AND(V120&gt;=75,V120&lt;=175,W120&gt;=110),0.12,0)+IF(AND(V120&gt;175,W120&lt;25),0.3,0)+IF(AND(V120&gt;175,W120&gt;=25,W120&lt;55),0.23,0)+IF(AND(V120&gt;175,W120&gt;=55,W120&lt;95),0.17,0)+IF(AND(V120&gt;175,W120&gt;=95),0.12,0),
IF(AF120="DoEVni",IF(AND(V120&lt;20,W120&lt;55),0.3,0)+IF(AND(V120&lt;20,W120&gt;=55,W120&lt;105),0.23,0)+IF(AND(V120&lt;20,W120&gt;=105),0.17,0)+IF(AND(V120&gt;=20,V120&lt;40,W120&lt;45),0.3,0)+IF(AND(V120&gt;=20,V120&lt;40,W120&gt;=45,W120&lt;95),0.23,0)+IF(AND(V120&gt;=20,V120&lt;40,W120&gt;=95,W120&lt;=200),0.17,0)+IF(AND(V120&gt;=20,V120&lt;40,W120&gt;=200),0.12,0)+IF(AND(V120&gt;=40,V120&lt;75,W120&lt;35),0.3,0)+IF(AND(V120&gt;=40,V120&lt;75,W120&gt;=35,W120&lt;75),0.23,0)+IF(AND(V120&gt;=40,V120&lt;75,W120&gt;=75,W120&lt;120),0.17,0)+IF(AND(V120&gt;=40,V120&lt;75,W120&gt;=120),0.12,0)+IF(AND(V120&gt;=75,V120&lt;175,W120&lt;35),0.3,0)+IF(AND(V120&gt;=75,V120&lt;=175,W120&gt;=35,W120&lt;65),0.23,0)+IF(AND(V120&gt;=75,V120&lt;=175,W120&gt;=65,W120&lt;110),0.17,0)+IF(AND(V120&gt;=75,V120&lt;=175,W120&gt;=110),0.12,0)+IF(AND(V120&gt;175,W120&lt;25),0.3,0)+IF(AND(V120&gt;175,W120&gt;=25,W120&lt;55),0.23,0)+IF(AND(V120&gt;175,W120&gt;=55,W120&lt;95),0.17,0)+IF(AND(V120&gt;175,W120&gt;=95),0.12,0),
IF(AF120="DoEVLo",IF(AND(V120&lt;20,W120&lt;55),0.25,0)+IF(AND(V120&lt;20,W120&gt;=55,W120&lt;105),0.2,0)+IF(AND(V120&lt;20,W120&gt;=105),0.15,0)+IF(AND(V120&gt;=20,V120&lt;40,W120&lt;45),0.25,0)+IF(AND(V120&gt;=20,V120&lt;40,W120&gt;=45,W120&lt;95),0.2,0)+IF(AND(V120&gt;=20,V120&lt;40,W120&gt;=95),0.15,0)+IF(AND(V120&gt;=40,V120&lt;75,W120&lt;35),0.25,0)+IF(AND(V120&gt;=40,V120&lt;75,W120&gt;=35,W120&lt;75),0.2,0)+IF(AND(V120&gt;=40,V120&lt;75,W120&gt;=75,W120&lt;120),0.15,0)+IF(AND(V120&gt;=40,V120&lt;75,W120&gt;=120),0.1,0)+IF(AND(V120&gt;=75,V120&lt;175,W120&lt;35),0.25,0)+IF(AND(V120&gt;=75,V120&lt;=175,W120&gt;=35,W120&lt;65),0.2,0)+IF(AND(V120&gt;=75,V120&lt;=175,W120&gt;=65,W120&lt;110),0.15,0)+IF(AND(V120&gt;=75,V120&lt;=175,W120&gt;=110),0.1,0)+IF(AND(V120&gt;175,W120&lt;25),0.25,0)+IF(AND(V120&gt;175,W120&gt;=25,W120&lt;55),0.2,0)+IF(AND(V120&gt;175,W120&gt;=55,W120&lt;95),0.15,0)+IF(AND(V120&gt;175,W120&gt;=95),0.1,0))))))))))))))))</f>
        <v>0.15</v>
      </c>
      <c r="Y120" s="30">
        <f>IF(AG120="None",0,IF(AG120="Fix5",0.05,IF(AG120="Fix3.75",0.0375,IF(AG120="Fix10",0.1,IF(AG120="Fix3",0.03,0)))))</f>
        <v>0.05</v>
      </c>
      <c r="Z120" s="35">
        <f>T120-AA120-AB120</f>
        <v>-121.6</v>
      </c>
      <c r="AA120" s="29">
        <f>IF(AD120="EUR",((T120-R120)*X120)*U120+(R120*X120),(T120*X120))</f>
        <v>-22.8</v>
      </c>
      <c r="AB120" s="36">
        <f>IF(AD120="EUR",((T120-R120)*Y120)*U120+(R120*Y120),(T120*Y120))</f>
        <v>-7.6000000000000005</v>
      </c>
      <c r="AC120" s="37" t="b">
        <v>1</v>
      </c>
      <c r="AD120" s="37" t="s">
        <v>38</v>
      </c>
      <c r="AE120" s="37" t="s">
        <v>38</v>
      </c>
      <c r="AF120" s="37" t="str">
        <f t="array" ref="AF120">INDEX('Deal Info'!D:D, MATCH(A120,'Deal Info'!A:A, 0))</f>
        <v>Fix15</v>
      </c>
      <c r="AG120" s="38" t="str">
        <f t="array" ref="AG120">INDEX('Deal Info'!G:G, MATCH(A120,'Deal Info'!A:A, 0))</f>
        <v>Fix5</v>
      </c>
    </row>
    <row r="121" spans="1:33" ht="14.25" hidden="1" x14ac:dyDescent="0.2">
      <c r="A121" s="18" t="str">
        <f t="array" ref="A121">IF(G121='Room Info'!$B$1, INDEX('Room Info'!$A$2:$A2446, MATCH(B121,'Room Info'!$B$2:$B2446, 0)),IF(G121='Room Info'!$C$1, INDEX('Room Info'!$A$2:$A2446, MATCH(B121,'Room Info'!$C$2:$C2446, 0)),IF(G121='Room Info'!$D$1, INDEX('Room Info'!$A$2:$A2446, MATCH(B121,'Room Info'!$D$2:$D2446, 0)),IF(G121='Room Info'!$E$1, INDEX('Room Info'!$A$2:$A2446, MATCH(B121,'Room Info'!$E$2:$E2446, 0)),IF(G121='Room Info'!$F$1, INDEX('Room Info'!$A$2:$A2446, MATCH(B121,'Room Info'!$F$2:$F2446, 0)),IF(G121='Room Info'!$H$1, INDEX('Room Info'!$A$2:$A2446, MATCH(B121,'Room Info'!$H$2:$H2446, 0)),IF(G121='Room Info'!$G$1, INDEX('Room Info'!$A$2:$A2446, MATCH(B121,'Room Info'!$G$2:$G2446, 0)))))))))</f>
        <v>AlexanderDSL</v>
      </c>
      <c r="B121" s="54" t="s">
        <v>82</v>
      </c>
      <c r="C121" s="68">
        <v>44672</v>
      </c>
      <c r="D121" s="68">
        <v>44701</v>
      </c>
      <c r="E121" s="47">
        <v>44682</v>
      </c>
      <c r="F121" s="45" t="s">
        <v>34</v>
      </c>
      <c r="G121" s="54" t="s">
        <v>35</v>
      </c>
      <c r="H121" s="49" t="s">
        <v>70</v>
      </c>
      <c r="I121" s="49" t="s">
        <v>37</v>
      </c>
      <c r="J121" s="50">
        <v>100</v>
      </c>
      <c r="K121" s="51">
        <v>4601</v>
      </c>
      <c r="L121" s="52">
        <v>-200</v>
      </c>
      <c r="M121" s="53">
        <v>14341</v>
      </c>
      <c r="N121" s="28">
        <f>K121*J121</f>
        <v>460100</v>
      </c>
      <c r="O121" s="54">
        <v>71768</v>
      </c>
      <c r="P121" s="29">
        <v>15.598348189999999</v>
      </c>
      <c r="Q121" s="55"/>
      <c r="R121" s="31">
        <f>M121+Q121</f>
        <v>14341</v>
      </c>
      <c r="S121" s="56">
        <v>-11124</v>
      </c>
      <c r="T121" s="32">
        <f>R121+S121+IF(F121="Without EV deal",L121,0)</f>
        <v>3217</v>
      </c>
      <c r="U121" s="33">
        <v>1</v>
      </c>
      <c r="V121" s="58"/>
      <c r="W121" s="58"/>
      <c r="X121" s="30">
        <f>IF(AF121="DoEV",IF(AND(V121&lt;20,W121&lt;55),0.3,0)+IF(AND(V121&lt;20,W121&gt;=55,W121&lt;105),0.23,0)+IF(AND(V121&lt;20,W121&gt;=105),0.17,0)+IF(AND(V121&gt;=20,V121&lt;40,W121&lt;45),0.3,0)+IF(AND(V121&gt;=20,V121&lt;40,W121&gt;=45,W121&lt;95),0.23,0)+IF(AND(V121&gt;=20,V121&lt;40,W121&gt;=95),0.17,0)+IF(AND(V121&gt;=40,V121&lt;75,W121&lt;35),0.3,0)+IF(AND(V121&gt;=40,V121&lt;75,W121&gt;=35,W121&lt;75),0.23,0)+IF(AND(V121&gt;=40,V121&lt;75,W121&gt;=75,W121&lt;120),0.17,0)+IF(AND(V121&gt;=40,V121&lt;75,W121&gt;=120),0.12,0)+IF(AND(V121&gt;=75,V121&lt;175,W121&lt;35),0.3,0)+IF(AND(V121&gt;=75,V121&lt;=175,W121&gt;=35,W121&lt;65),0.23,0)+IF(AND(V121&gt;=75,V121&lt;=175,W121&gt;=65,W121&lt;110),0.17,0)+IF(AND(V121&gt;=75,V121&lt;=175,W121&gt;=110),0.12,0)+IF(AND(V121&gt;175,W121&lt;25),0.3,0)+IF(AND(V121&gt;175,W121&gt;=25,W121&lt;55),0.23,0)+IF(AND(V121&gt;175,W121&gt;=55,W121&lt;95),0.17,0)+IF(AND(V121&gt;175,W121&gt;=95),0.12,0),
IF(AF121="Fix15",0.15,
IF(AF121="Fix11.25",0.1125,
IF(AF121="Fix10",0.1,
IF(AF121="Fix9",0.09,
IF(AF121="DoEV2017",IF(AND(W121&lt;74),0.2,0)+IF(AND(W121&gt;=74),0.17,0),
IF(AF121="SF",IF(AND(V121&lt;20,W121&lt;89),0.3,0)+IF(AND(V121&lt;20,W121&gt;=89),0.25,0)+IF(AND(V121&gt;=20,V121&lt;40,W121&lt;74),0.3,0)+IF(AND(V121&gt;=20,V121&lt;40,W121&gt;=75),0.22,0)+IF(AND(V121&gt;=40,V121&lt;75,W121&lt;75),0.26,0)+IF(AND(V121&gt;=40,V121&lt;75,W121&gt;=75),0.22,0)+IF(V121&gt;=75,0.22,0),
IF(AF121="DoEVold",IF(AND(V121&lt;40,W121&lt;35),0.35,0)+IF(AND(V121&lt;40,W121&gt;=35,W121&lt;75),0.25,0)+IF(AND(V121&lt;40,W121&gt;=75),0.17,0)+IF(AND(V121&gt;=40,V121&lt;75,W121&lt;25),0.35,0)+IF(AND(V121&gt;=40,V121&lt;75,W121&gt;=25,W121&lt;65),0.25,0)+IF(AND(V121&gt;=40,V121&lt;75,W121&gt;=65,W121&lt;100),0.17,0)+IF(AND(V121&gt;=40,V121&lt;75,W121&gt;=100),0.1,0)+IF(AND(V121&gt;=75,W121&lt;25),0.35,0)+IF(AND(V121&gt;=75,W121&gt;=25,W121&lt;60),0.25,0)+IF(AND(V121&gt;=75,W121&gt;=60,W121&lt;95),0.17,0)+IF(AND(V121&gt;=75,W121&gt;=95),0.1,0),
IF(AF121="DoEVold15",IF(AND(V121&lt;=40,W121&lt;35),0.35,0)+IF(AND(V121&lt;=40,W121&gt;=35,W121&lt;75),0.25,0)+IF(AND(V121&lt;=40,W121&gt;=75,W121&lt;120),0.17,0)+IF(AND(V121&lt;=40,W121&gt;=120),0.15,0)+IF(AND(V121&gt;40,V121&lt;75,W121&lt;25),0.35,0)+IF(AND(V121&gt;=40,V121&lt;75,W121&gt;=25,W121&lt;65),0.25,0)+IF(AND(V121&gt;=40,V121&lt;75,W121&gt;=65,W121&lt;100),0.17,0)+IF(AND(V121&gt;=40,V121&lt;75,W121&gt;=100),0.1,0)+IF(AND(V121&gt;=75,W121&lt;25),0.35,0)+IF(AND(V121&gt;=75,W121&gt;=25,W121&lt;60),0.25,0)+IF(AND(V121&gt;=75,W121&gt;=60,W121&lt;95),0.17,0)+IF(AND(V121&gt;=75,W121&gt;=95),0.1,0),
IF(AF121="DoEVba",IF(AND(V121&lt;20,W121&lt;105),0.2,0)+IF(AND(V121&lt;20,W121&gt;=105),0.15,0)+IF(AND(V121&gt;=20,V121&lt;40,W121&lt;95),0.2,0)+IF(AND(V121&gt;=20,V121&lt;40,W121&gt;=95,W121&lt;150),0.15,0)+IF(AND(V121&gt;=20,V121&lt;40,W121&gt;=150),0.12,0)+IF(AND(V121&gt;=40,V121&lt;75,W121&lt;75),0.2,0)+IF(AND(V121&gt;=40,V121&lt;75,W121&gt;=75,W121&lt;120),0.15,0)+IF(AND(V121&gt;=40,V121&lt;75,W121&gt;=120),0.12,0)+IF(AND(V121&gt;=75,V121&lt;175,W121&lt;65),0.2,0)+IF(AND(V121&gt;=75,V121&lt;175,W121&gt;=65,W121&lt;110),0.15,0)+IF(AND(V121&gt;=75,V121&lt;175,W121&gt;=110),0.12,0)+IF(AND(V121&gt;=175,W121&lt;55),0.2,0)+IF(AND(V121&gt;=175,W121&gt;=55,W121&lt;95),0.15,0)+IF(AND(V121&gt;=175,W121&gt;=95),0.12,0),
IF(AF121="DoEVku",IF(AND(V121&lt;20,W121&lt;55),0.23,0)+IF(AND(V121&lt;20,W121&gt;=55,W121&lt;105),0.2,0)+IF(AND(V121&lt;20,W121&gt;=105),0.17,0)+IF(AND(V121&gt;=20,V121&lt;40,W121&lt;45),0.23,0)+IF(AND(V121&gt;=20,V121&lt;40,W121&gt;=45,W121&lt;95),0.2,0)+IF(AND(V121&gt;=20,V121&lt;40,W121&gt;=95,W121&lt;=150),0.17,0)+IF(AND(V121&gt;=20,V121&lt;40,W121&gt;=150),0.12,0)+IF(AND(V121&gt;=40,V121&lt;75,W121&lt;35),0.23,0)+IF(AND(V121&gt;=40,V121&lt;75,W121&gt;=35,W121&lt;75),0.2,0)+IF(AND(V121&gt;=40,V121&lt;75,W121&gt;=75,W121&lt;120),0.17,0)+IF(AND(V121&gt;=40,V121&lt;75,W121&gt;=120),0.12,0)+IF(AND(V121&gt;=75,V121&lt;175,W121&lt;35),0.23,0)+IF(AND(V121&gt;=75,V121&lt;=175,W121&gt;=35,W121&lt;65),0.2,0)+IF(AND(V121&gt;=75,V121&lt;=175,W121&gt;=65,W121&lt;110),0.17,0)+IF(AND(V121&gt;=75,V121&lt;=175,W121&gt;=110),0.12,0)+IF(AND(V121&gt;175,W121&lt;25),0.23,0)+IF(AND(V121&gt;175,W121&gt;=25,W121&lt;55),0.2,0)+IF(AND(V121&gt;175,W121&gt;=55,W121&lt;95),0.17,0)+IF(AND(V121&gt;175,W121&gt;=95),0.12,0),
IF(AF121="DoEVs1",IF(AND(V121&lt;20,W121&lt;55),0.3,0)+IF(AND(V121&lt;20,W121&gt;=55,W121&lt;105),0.23,0)+IF(AND(V121&lt;20,W121&gt;=105),0.17,0)+IF(AND(V121&gt;=20,V121&lt;40,W121&lt;45),0.3,0)+IF(AND(V121&gt;=20,V121&lt;40,W121&gt;=45,W121&lt;95),0.23,0)+IF(AND(V121&gt;=20,V121&lt;40,W121&gt;=95,W121&lt;=150),0.17,0)+IF(AND(V121&gt;=20,V121&lt;40,W121&gt;=150),0.12,0)+IF(AND(V121&gt;=40,V121&lt;75,W121&lt;35),0.3,0)+IF(AND(V121&gt;=40,V121&lt;75,W121&gt;=35,W121&lt;75),0.23,0)+IF(AND(V121&gt;=40,V121&lt;75,W121&gt;=75,W121&lt;120),0.17,0)+IF(AND(V121&gt;=40,V121&lt;75,W121&gt;=120),0.12,0)+IF(AND(V121&gt;=75,V121&lt;175,W121&lt;35),0.3,0)+IF(AND(V121&gt;=75,V121&lt;=175,W121&gt;=35,W121&lt;65),0.23,0)+IF(AND(V121&gt;=75,V121&lt;=175,W121&gt;=65,W121&lt;110),0.17,0)+IF(AND(V121&gt;=75,V121&lt;=175,W121&gt;=110),0.12,0)+IF(AND(V121&gt;175,W121&lt;25),0.3,0)+IF(AND(V121&gt;175,W121&gt;=25,W121&lt;55),0.23,0)+IF(AND(V121&gt;175,W121&gt;=55,W121&lt;95),0.17,0)+IF(AND(V121&gt;175,W121&gt;=95),0.12,0),
IF(AF121="DoEVsu",IF(AND(V121&lt;20,W121&lt;55),0.3,0)+IF(AND(V121&lt;20,W121&gt;=55,W121&lt;105),0.23,0)+IF(AND(V121&lt;20,W121&gt;=105),0.17,0)+IF(AND(V121&gt;=20,V121&lt;40,W121&lt;45),0.3,0)+IF(AND(V121&gt;=20,V121&lt;40,W121&gt;=45,W121&lt;95),0.23,0)+IF(AND(V121&gt;=20,V121&lt;40,W121&gt;=95,W121&lt;=250),0.17,0)+IF(AND(V121&gt;=20,V121&lt;40,W121&gt;=250),0.12,0)+IF(AND(V121&gt;=40,V121&lt;75,W121&lt;35),0.3,0)+IF(AND(V121&gt;=40,V121&lt;75,W121&gt;=35,W121&lt;75),0.23,0)+IF(AND(V121&gt;=40,V121&lt;75,W121&gt;=75,W121&lt;120),0.17,0)+IF(AND(V121&gt;=40,V121&lt;75,W121&gt;=120),0.12,0)+IF(AND(V121&gt;=75,V121&lt;175,W121&lt;35),0.3,0)+IF(AND(V121&gt;=75,V121&lt;=175,W121&gt;=35,W121&lt;65),0.23,0)+IF(AND(V121&gt;=75,V121&lt;=175,W121&gt;=65,W121&lt;110),0.17,0)+IF(AND(V121&gt;=75,V121&lt;=175,W121&gt;=110),0.12,0)+IF(AND(V121&gt;175,W121&lt;25),0.3,0)+IF(AND(V121&gt;175,W121&gt;=25,W121&lt;55),0.23,0)+IF(AND(V121&gt;175,W121&gt;=55,W121&lt;95),0.17,0)+IF(AND(V121&gt;175,W121&gt;=95),0.12,0),
IF(AF121="DoEVni",IF(AND(V121&lt;20,W121&lt;55),0.3,0)+IF(AND(V121&lt;20,W121&gt;=55,W121&lt;105),0.23,0)+IF(AND(V121&lt;20,W121&gt;=105),0.17,0)+IF(AND(V121&gt;=20,V121&lt;40,W121&lt;45),0.3,0)+IF(AND(V121&gt;=20,V121&lt;40,W121&gt;=45,W121&lt;95),0.23,0)+IF(AND(V121&gt;=20,V121&lt;40,W121&gt;=95,W121&lt;=200),0.17,0)+IF(AND(V121&gt;=20,V121&lt;40,W121&gt;=200),0.12,0)+IF(AND(V121&gt;=40,V121&lt;75,W121&lt;35),0.3,0)+IF(AND(V121&gt;=40,V121&lt;75,W121&gt;=35,W121&lt;75),0.23,0)+IF(AND(V121&gt;=40,V121&lt;75,W121&gt;=75,W121&lt;120),0.17,0)+IF(AND(V121&gt;=40,V121&lt;75,W121&gt;=120),0.12,0)+IF(AND(V121&gt;=75,V121&lt;175,W121&lt;35),0.3,0)+IF(AND(V121&gt;=75,V121&lt;=175,W121&gt;=35,W121&lt;65),0.23,0)+IF(AND(V121&gt;=75,V121&lt;=175,W121&gt;=65,W121&lt;110),0.17,0)+IF(AND(V121&gt;=75,V121&lt;=175,W121&gt;=110),0.12,0)+IF(AND(V121&gt;175,W121&lt;25),0.3,0)+IF(AND(V121&gt;175,W121&gt;=25,W121&lt;55),0.23,0)+IF(AND(V121&gt;175,W121&gt;=55,W121&lt;95),0.17,0)+IF(AND(V121&gt;175,W121&gt;=95),0.12,0),
IF(AF121="DoEVLo",IF(AND(V121&lt;20,W121&lt;55),0.25,0)+IF(AND(V121&lt;20,W121&gt;=55,W121&lt;105),0.2,0)+IF(AND(V121&lt;20,W121&gt;=105),0.15,0)+IF(AND(V121&gt;=20,V121&lt;40,W121&lt;45),0.25,0)+IF(AND(V121&gt;=20,V121&lt;40,W121&gt;=45,W121&lt;95),0.2,0)+IF(AND(V121&gt;=20,V121&lt;40,W121&gt;=95),0.15,0)+IF(AND(V121&gt;=40,V121&lt;75,W121&lt;35),0.25,0)+IF(AND(V121&gt;=40,V121&lt;75,W121&gt;=35,W121&lt;75),0.2,0)+IF(AND(V121&gt;=40,V121&lt;75,W121&gt;=75,W121&lt;120),0.15,0)+IF(AND(V121&gt;=40,V121&lt;75,W121&gt;=120),0.1,0)+IF(AND(V121&gt;=75,V121&lt;175,W121&lt;35),0.25,0)+IF(AND(V121&gt;=75,V121&lt;=175,W121&gt;=35,W121&lt;65),0.2,0)+IF(AND(V121&gt;=75,V121&lt;=175,W121&gt;=65,W121&lt;110),0.15,0)+IF(AND(V121&gt;=75,V121&lt;=175,W121&gt;=110),0.1,0)+IF(AND(V121&gt;175,W121&lt;25),0.25,0)+IF(AND(V121&gt;175,W121&gt;=25,W121&lt;55),0.2,0)+IF(AND(V121&gt;175,W121&gt;=55,W121&lt;95),0.15,0)+IF(AND(V121&gt;175,W121&gt;=95),0.1,0))))))))))))))))</f>
        <v>0.15</v>
      </c>
      <c r="Y121" s="30">
        <f>IF(AG121="None",0,IF(AG121="Fix5",0.05,IF(AG121="Fix3.75",0.0375,IF(AG121="Fix10",0.1,IF(AG121="Fix3",0.03,0)))))</f>
        <v>0.05</v>
      </c>
      <c r="Z121" s="35">
        <f>T121-AA121-AB121</f>
        <v>2573.6</v>
      </c>
      <c r="AA121" s="29">
        <f>IF(AD121="EUR",((T121-R121)*X121)*U121+(R121*X121),(T121*X121))</f>
        <v>482.54999999999995</v>
      </c>
      <c r="AB121" s="36">
        <f>IF(AD121="EUR",((T121-R121)*Y121)*U121+(R121*Y121),(T121*Y121))</f>
        <v>160.85000000000002</v>
      </c>
      <c r="AC121" s="37" t="b">
        <v>1</v>
      </c>
      <c r="AD121" s="37" t="s">
        <v>38</v>
      </c>
      <c r="AE121" s="37" t="s">
        <v>38</v>
      </c>
      <c r="AF121" s="37" t="str">
        <f t="array" ref="AF121">INDEX('Deal Info'!D:D, MATCH(A121,'Deal Info'!A:A, 0))</f>
        <v>Fix15</v>
      </c>
      <c r="AG121" s="38" t="str">
        <f t="array" ref="AG121">INDEX('Deal Info'!G:G, MATCH(A121,'Deal Info'!A:A, 0))</f>
        <v>Fix5</v>
      </c>
    </row>
    <row r="122" spans="1:33" ht="14.25" hidden="1" x14ac:dyDescent="0.2">
      <c r="A122" s="18" t="str">
        <f t="array" ref="A122">IF(G122='Room Info'!$B$1, INDEX('Room Info'!$A$2:$A2446, MATCH(B122,'Room Info'!$B$2:$B2446, 0)),IF(G122='Room Info'!$C$1, INDEX('Room Info'!$A$2:$A2446, MATCH(B122,'Room Info'!$C$2:$C2446, 0)),IF(G122='Room Info'!$D$1, INDEX('Room Info'!$A$2:$A2446, MATCH(B122,'Room Info'!$D$2:$D2446, 0)),IF(G122='Room Info'!$E$1, INDEX('Room Info'!$A$2:$A2446, MATCH(B122,'Room Info'!$E$2:$E2446, 0)),IF(G122='Room Info'!$F$1, INDEX('Room Info'!$A$2:$A2446, MATCH(B122,'Room Info'!$F$2:$F2446, 0)),IF(G122='Room Info'!$H$1, INDEX('Room Info'!$A$2:$A2446, MATCH(B122,'Room Info'!$H$2:$H2446, 0)),IF(G122='Room Info'!$G$1, INDEX('Room Info'!$A$2:$A2446, MATCH(B122,'Room Info'!$G$2:$G2446, 0)))))))))</f>
        <v>AlexanderDSL</v>
      </c>
      <c r="B122" s="54" t="s">
        <v>82</v>
      </c>
      <c r="C122" s="68">
        <v>44672</v>
      </c>
      <c r="D122" s="68">
        <v>44701</v>
      </c>
      <c r="E122" s="47">
        <v>44682</v>
      </c>
      <c r="F122" s="45" t="s">
        <v>34</v>
      </c>
      <c r="G122" s="54" t="s">
        <v>35</v>
      </c>
      <c r="H122" s="49" t="s">
        <v>84</v>
      </c>
      <c r="I122" s="49" t="s">
        <v>44</v>
      </c>
      <c r="J122" s="50">
        <v>100</v>
      </c>
      <c r="K122" s="51">
        <v>68</v>
      </c>
      <c r="L122" s="52">
        <v>2200</v>
      </c>
      <c r="M122" s="53">
        <v>212</v>
      </c>
      <c r="N122" s="28">
        <f>K122*J122</f>
        <v>6800</v>
      </c>
      <c r="O122" s="54">
        <v>274</v>
      </c>
      <c r="P122" s="29">
        <v>4.0294117649999999</v>
      </c>
      <c r="Q122" s="55"/>
      <c r="R122" s="31">
        <f>M122+Q122</f>
        <v>212</v>
      </c>
      <c r="S122" s="56">
        <v>-284</v>
      </c>
      <c r="T122" s="32">
        <f>R122+S122+IF(F122="Without EV deal",L122,0)</f>
        <v>-72</v>
      </c>
      <c r="U122" s="33">
        <v>1</v>
      </c>
      <c r="V122" s="58"/>
      <c r="W122" s="58"/>
      <c r="X122" s="30">
        <f>IF(AF122="DoEV",IF(AND(V122&lt;20,W122&lt;55),0.3,0)+IF(AND(V122&lt;20,W122&gt;=55,W122&lt;105),0.23,0)+IF(AND(V122&lt;20,W122&gt;=105),0.17,0)+IF(AND(V122&gt;=20,V122&lt;40,W122&lt;45),0.3,0)+IF(AND(V122&gt;=20,V122&lt;40,W122&gt;=45,W122&lt;95),0.23,0)+IF(AND(V122&gt;=20,V122&lt;40,W122&gt;=95),0.17,0)+IF(AND(V122&gt;=40,V122&lt;75,W122&lt;35),0.3,0)+IF(AND(V122&gt;=40,V122&lt;75,W122&gt;=35,W122&lt;75),0.23,0)+IF(AND(V122&gt;=40,V122&lt;75,W122&gt;=75,W122&lt;120),0.17,0)+IF(AND(V122&gt;=40,V122&lt;75,W122&gt;=120),0.12,0)+IF(AND(V122&gt;=75,V122&lt;175,W122&lt;35),0.3,0)+IF(AND(V122&gt;=75,V122&lt;=175,W122&gt;=35,W122&lt;65),0.23,0)+IF(AND(V122&gt;=75,V122&lt;=175,W122&gt;=65,W122&lt;110),0.17,0)+IF(AND(V122&gt;=75,V122&lt;=175,W122&gt;=110),0.12,0)+IF(AND(V122&gt;175,W122&lt;25),0.3,0)+IF(AND(V122&gt;175,W122&gt;=25,W122&lt;55),0.23,0)+IF(AND(V122&gt;175,W122&gt;=55,W122&lt;95),0.17,0)+IF(AND(V122&gt;175,W122&gt;=95),0.12,0),
IF(AF122="Fix15",0.15,
IF(AF122="Fix11.25",0.1125,
IF(AF122="Fix10",0.1,
IF(AF122="Fix9",0.09,
IF(AF122="DoEV2017",IF(AND(W122&lt;74),0.2,0)+IF(AND(W122&gt;=74),0.17,0),
IF(AF122="SF",IF(AND(V122&lt;20,W122&lt;89),0.3,0)+IF(AND(V122&lt;20,W122&gt;=89),0.25,0)+IF(AND(V122&gt;=20,V122&lt;40,W122&lt;74),0.3,0)+IF(AND(V122&gt;=20,V122&lt;40,W122&gt;=75),0.22,0)+IF(AND(V122&gt;=40,V122&lt;75,W122&lt;75),0.26,0)+IF(AND(V122&gt;=40,V122&lt;75,W122&gt;=75),0.22,0)+IF(V122&gt;=75,0.22,0),
IF(AF122="DoEVold",IF(AND(V122&lt;40,W122&lt;35),0.35,0)+IF(AND(V122&lt;40,W122&gt;=35,W122&lt;75),0.25,0)+IF(AND(V122&lt;40,W122&gt;=75),0.17,0)+IF(AND(V122&gt;=40,V122&lt;75,W122&lt;25),0.35,0)+IF(AND(V122&gt;=40,V122&lt;75,W122&gt;=25,W122&lt;65),0.25,0)+IF(AND(V122&gt;=40,V122&lt;75,W122&gt;=65,W122&lt;100),0.17,0)+IF(AND(V122&gt;=40,V122&lt;75,W122&gt;=100),0.1,0)+IF(AND(V122&gt;=75,W122&lt;25),0.35,0)+IF(AND(V122&gt;=75,W122&gt;=25,W122&lt;60),0.25,0)+IF(AND(V122&gt;=75,W122&gt;=60,W122&lt;95),0.17,0)+IF(AND(V122&gt;=75,W122&gt;=95),0.1,0),
IF(AF122="DoEVold15",IF(AND(V122&lt;=40,W122&lt;35),0.35,0)+IF(AND(V122&lt;=40,W122&gt;=35,W122&lt;75),0.25,0)+IF(AND(V122&lt;=40,W122&gt;=75,W122&lt;120),0.17,0)+IF(AND(V122&lt;=40,W122&gt;=120),0.15,0)+IF(AND(V122&gt;40,V122&lt;75,W122&lt;25),0.35,0)+IF(AND(V122&gt;=40,V122&lt;75,W122&gt;=25,W122&lt;65),0.25,0)+IF(AND(V122&gt;=40,V122&lt;75,W122&gt;=65,W122&lt;100),0.17,0)+IF(AND(V122&gt;=40,V122&lt;75,W122&gt;=100),0.1,0)+IF(AND(V122&gt;=75,W122&lt;25),0.35,0)+IF(AND(V122&gt;=75,W122&gt;=25,W122&lt;60),0.25,0)+IF(AND(V122&gt;=75,W122&gt;=60,W122&lt;95),0.17,0)+IF(AND(V122&gt;=75,W122&gt;=95),0.1,0),
IF(AF122="DoEVba",IF(AND(V122&lt;20,W122&lt;105),0.2,0)+IF(AND(V122&lt;20,W122&gt;=105),0.15,0)+IF(AND(V122&gt;=20,V122&lt;40,W122&lt;95),0.2,0)+IF(AND(V122&gt;=20,V122&lt;40,W122&gt;=95,W122&lt;150),0.15,0)+IF(AND(V122&gt;=20,V122&lt;40,W122&gt;=150),0.12,0)+IF(AND(V122&gt;=40,V122&lt;75,W122&lt;75),0.2,0)+IF(AND(V122&gt;=40,V122&lt;75,W122&gt;=75,W122&lt;120),0.15,0)+IF(AND(V122&gt;=40,V122&lt;75,W122&gt;=120),0.12,0)+IF(AND(V122&gt;=75,V122&lt;175,W122&lt;65),0.2,0)+IF(AND(V122&gt;=75,V122&lt;175,W122&gt;=65,W122&lt;110),0.15,0)+IF(AND(V122&gt;=75,V122&lt;175,W122&gt;=110),0.12,0)+IF(AND(V122&gt;=175,W122&lt;55),0.2,0)+IF(AND(V122&gt;=175,W122&gt;=55,W122&lt;95),0.15,0)+IF(AND(V122&gt;=175,W122&gt;=95),0.12,0),
IF(AF122="DoEVku",IF(AND(V122&lt;20,W122&lt;55),0.23,0)+IF(AND(V122&lt;20,W122&gt;=55,W122&lt;105),0.2,0)+IF(AND(V122&lt;20,W122&gt;=105),0.17,0)+IF(AND(V122&gt;=20,V122&lt;40,W122&lt;45),0.23,0)+IF(AND(V122&gt;=20,V122&lt;40,W122&gt;=45,W122&lt;95),0.2,0)+IF(AND(V122&gt;=20,V122&lt;40,W122&gt;=95,W122&lt;=150),0.17,0)+IF(AND(V122&gt;=20,V122&lt;40,W122&gt;=150),0.12,0)+IF(AND(V122&gt;=40,V122&lt;75,W122&lt;35),0.23,0)+IF(AND(V122&gt;=40,V122&lt;75,W122&gt;=35,W122&lt;75),0.2,0)+IF(AND(V122&gt;=40,V122&lt;75,W122&gt;=75,W122&lt;120),0.17,0)+IF(AND(V122&gt;=40,V122&lt;75,W122&gt;=120),0.12,0)+IF(AND(V122&gt;=75,V122&lt;175,W122&lt;35),0.23,0)+IF(AND(V122&gt;=75,V122&lt;=175,W122&gt;=35,W122&lt;65),0.2,0)+IF(AND(V122&gt;=75,V122&lt;=175,W122&gt;=65,W122&lt;110),0.17,0)+IF(AND(V122&gt;=75,V122&lt;=175,W122&gt;=110),0.12,0)+IF(AND(V122&gt;175,W122&lt;25),0.23,0)+IF(AND(V122&gt;175,W122&gt;=25,W122&lt;55),0.2,0)+IF(AND(V122&gt;175,W122&gt;=55,W122&lt;95),0.17,0)+IF(AND(V122&gt;175,W122&gt;=95),0.12,0),
IF(AF122="DoEVs1",IF(AND(V122&lt;20,W122&lt;55),0.3,0)+IF(AND(V122&lt;20,W122&gt;=55,W122&lt;105),0.23,0)+IF(AND(V122&lt;20,W122&gt;=105),0.17,0)+IF(AND(V122&gt;=20,V122&lt;40,W122&lt;45),0.3,0)+IF(AND(V122&gt;=20,V122&lt;40,W122&gt;=45,W122&lt;95),0.23,0)+IF(AND(V122&gt;=20,V122&lt;40,W122&gt;=95,W122&lt;=150),0.17,0)+IF(AND(V122&gt;=20,V122&lt;40,W122&gt;=150),0.12,0)+IF(AND(V122&gt;=40,V122&lt;75,W122&lt;35),0.3,0)+IF(AND(V122&gt;=40,V122&lt;75,W122&gt;=35,W122&lt;75),0.23,0)+IF(AND(V122&gt;=40,V122&lt;75,W122&gt;=75,W122&lt;120),0.17,0)+IF(AND(V122&gt;=40,V122&lt;75,W122&gt;=120),0.12,0)+IF(AND(V122&gt;=75,V122&lt;175,W122&lt;35),0.3,0)+IF(AND(V122&gt;=75,V122&lt;=175,W122&gt;=35,W122&lt;65),0.23,0)+IF(AND(V122&gt;=75,V122&lt;=175,W122&gt;=65,W122&lt;110),0.17,0)+IF(AND(V122&gt;=75,V122&lt;=175,W122&gt;=110),0.12,0)+IF(AND(V122&gt;175,W122&lt;25),0.3,0)+IF(AND(V122&gt;175,W122&gt;=25,W122&lt;55),0.23,0)+IF(AND(V122&gt;175,W122&gt;=55,W122&lt;95),0.17,0)+IF(AND(V122&gt;175,W122&gt;=95),0.12,0),
IF(AF122="DoEVsu",IF(AND(V122&lt;20,W122&lt;55),0.3,0)+IF(AND(V122&lt;20,W122&gt;=55,W122&lt;105),0.23,0)+IF(AND(V122&lt;20,W122&gt;=105),0.17,0)+IF(AND(V122&gt;=20,V122&lt;40,W122&lt;45),0.3,0)+IF(AND(V122&gt;=20,V122&lt;40,W122&gt;=45,W122&lt;95),0.23,0)+IF(AND(V122&gt;=20,V122&lt;40,W122&gt;=95,W122&lt;=250),0.17,0)+IF(AND(V122&gt;=20,V122&lt;40,W122&gt;=250),0.12,0)+IF(AND(V122&gt;=40,V122&lt;75,W122&lt;35),0.3,0)+IF(AND(V122&gt;=40,V122&lt;75,W122&gt;=35,W122&lt;75),0.23,0)+IF(AND(V122&gt;=40,V122&lt;75,W122&gt;=75,W122&lt;120),0.17,0)+IF(AND(V122&gt;=40,V122&lt;75,W122&gt;=120),0.12,0)+IF(AND(V122&gt;=75,V122&lt;175,W122&lt;35),0.3,0)+IF(AND(V122&gt;=75,V122&lt;=175,W122&gt;=35,W122&lt;65),0.23,0)+IF(AND(V122&gt;=75,V122&lt;=175,W122&gt;=65,W122&lt;110),0.17,0)+IF(AND(V122&gt;=75,V122&lt;=175,W122&gt;=110),0.12,0)+IF(AND(V122&gt;175,W122&lt;25),0.3,0)+IF(AND(V122&gt;175,W122&gt;=25,W122&lt;55),0.23,0)+IF(AND(V122&gt;175,W122&gt;=55,W122&lt;95),0.17,0)+IF(AND(V122&gt;175,W122&gt;=95),0.12,0),
IF(AF122="DoEVni",IF(AND(V122&lt;20,W122&lt;55),0.3,0)+IF(AND(V122&lt;20,W122&gt;=55,W122&lt;105),0.23,0)+IF(AND(V122&lt;20,W122&gt;=105),0.17,0)+IF(AND(V122&gt;=20,V122&lt;40,W122&lt;45),0.3,0)+IF(AND(V122&gt;=20,V122&lt;40,W122&gt;=45,W122&lt;95),0.23,0)+IF(AND(V122&gt;=20,V122&lt;40,W122&gt;=95,W122&lt;=200),0.17,0)+IF(AND(V122&gt;=20,V122&lt;40,W122&gt;=200),0.12,0)+IF(AND(V122&gt;=40,V122&lt;75,W122&lt;35),0.3,0)+IF(AND(V122&gt;=40,V122&lt;75,W122&gt;=35,W122&lt;75),0.23,0)+IF(AND(V122&gt;=40,V122&lt;75,W122&gt;=75,W122&lt;120),0.17,0)+IF(AND(V122&gt;=40,V122&lt;75,W122&gt;=120),0.12,0)+IF(AND(V122&gt;=75,V122&lt;175,W122&lt;35),0.3,0)+IF(AND(V122&gt;=75,V122&lt;=175,W122&gt;=35,W122&lt;65),0.23,0)+IF(AND(V122&gt;=75,V122&lt;=175,W122&gt;=65,W122&lt;110),0.17,0)+IF(AND(V122&gt;=75,V122&lt;=175,W122&gt;=110),0.12,0)+IF(AND(V122&gt;175,W122&lt;25),0.3,0)+IF(AND(V122&gt;175,W122&gt;=25,W122&lt;55),0.23,0)+IF(AND(V122&gt;175,W122&gt;=55,W122&lt;95),0.17,0)+IF(AND(V122&gt;175,W122&gt;=95),0.12,0),
IF(AF122="DoEVLo",IF(AND(V122&lt;20,W122&lt;55),0.25,0)+IF(AND(V122&lt;20,W122&gt;=55,W122&lt;105),0.2,0)+IF(AND(V122&lt;20,W122&gt;=105),0.15,0)+IF(AND(V122&gt;=20,V122&lt;40,W122&lt;45),0.25,0)+IF(AND(V122&gt;=20,V122&lt;40,W122&gt;=45,W122&lt;95),0.2,0)+IF(AND(V122&gt;=20,V122&lt;40,W122&gt;=95),0.15,0)+IF(AND(V122&gt;=40,V122&lt;75,W122&lt;35),0.25,0)+IF(AND(V122&gt;=40,V122&lt;75,W122&gt;=35,W122&lt;75),0.2,0)+IF(AND(V122&gt;=40,V122&lt;75,W122&gt;=75,W122&lt;120),0.15,0)+IF(AND(V122&gt;=40,V122&lt;75,W122&gt;=120),0.1,0)+IF(AND(V122&gt;=75,V122&lt;175,W122&lt;35),0.25,0)+IF(AND(V122&gt;=75,V122&lt;=175,W122&gt;=35,W122&lt;65),0.2,0)+IF(AND(V122&gt;=75,V122&lt;=175,W122&gt;=65,W122&lt;110),0.15,0)+IF(AND(V122&gt;=75,V122&lt;=175,W122&gt;=110),0.1,0)+IF(AND(V122&gt;175,W122&lt;25),0.25,0)+IF(AND(V122&gt;175,W122&gt;=25,W122&lt;55),0.2,0)+IF(AND(V122&gt;175,W122&gt;=55,W122&lt;95),0.15,0)+IF(AND(V122&gt;175,W122&gt;=95),0.1,0))))))))))))))))</f>
        <v>0.15</v>
      </c>
      <c r="Y122" s="30">
        <f>IF(AG122="None",0,IF(AG122="Fix5",0.05,IF(AG122="Fix3.75",0.0375,IF(AG122="Fix10",0.1,IF(AG122="Fix3",0.03,0)))))</f>
        <v>0.05</v>
      </c>
      <c r="Z122" s="35">
        <f>T122-AA122-AB122</f>
        <v>-57.6</v>
      </c>
      <c r="AA122" s="29">
        <f>IF(AD122="EUR",((T122-R122)*X122)*U122+(R122*X122),(T122*X122))</f>
        <v>-10.799999999999999</v>
      </c>
      <c r="AB122" s="36">
        <f>IF(AD122="EUR",((T122-R122)*Y122)*U122+(R122*Y122),(T122*Y122))</f>
        <v>-3.6</v>
      </c>
      <c r="AC122" s="37" t="b">
        <v>1</v>
      </c>
      <c r="AD122" s="37" t="s">
        <v>38</v>
      </c>
      <c r="AE122" s="37" t="s">
        <v>38</v>
      </c>
      <c r="AF122" s="37" t="str">
        <f t="array" ref="AF122">INDEX('Deal Info'!D:D, MATCH(A122,'Deal Info'!A:A, 0))</f>
        <v>Fix15</v>
      </c>
      <c r="AG122" s="38" t="str">
        <f t="array" ref="AG122">INDEX('Deal Info'!G:G, MATCH(A122,'Deal Info'!A:A, 0))</f>
        <v>Fix5</v>
      </c>
    </row>
    <row r="123" spans="1:33" ht="14.25" hidden="1" x14ac:dyDescent="0.2">
      <c r="A123" s="18" t="str">
        <f t="array" ref="A123">IF(G123='Room Info'!$B$1, INDEX('Room Info'!$A$2:$A2446, MATCH(B123,'Room Info'!$B$2:$B2446, 0)),IF(G123='Room Info'!$C$1, INDEX('Room Info'!$A$2:$A2446, MATCH(B123,'Room Info'!$C$2:$C2446, 0)),IF(G123='Room Info'!$D$1, INDEX('Room Info'!$A$2:$A2446, MATCH(B123,'Room Info'!$D$2:$D2446, 0)),IF(G123='Room Info'!$E$1, INDEX('Room Info'!$A$2:$A2446, MATCH(B123,'Room Info'!$E$2:$E2446, 0)),IF(G123='Room Info'!$F$1, INDEX('Room Info'!$A$2:$A2446, MATCH(B123,'Room Info'!$F$2:$F2446, 0)),IF(G123='Room Info'!$H$1, INDEX('Room Info'!$A$2:$A2446, MATCH(B123,'Room Info'!$H$2:$H2446, 0)),IF(G123='Room Info'!$G$1, INDEX('Room Info'!$A$2:$A2446, MATCH(B123,'Room Info'!$G$2:$G2446, 0)))))))))</f>
        <v>AlexanderDSL</v>
      </c>
      <c r="B123" s="54" t="s">
        <v>82</v>
      </c>
      <c r="C123" s="68">
        <v>44702</v>
      </c>
      <c r="D123" s="68">
        <v>44732</v>
      </c>
      <c r="E123" s="47">
        <v>44713</v>
      </c>
      <c r="F123" s="45" t="s">
        <v>34</v>
      </c>
      <c r="G123" s="54" t="s">
        <v>35</v>
      </c>
      <c r="H123" s="49" t="s">
        <v>70</v>
      </c>
      <c r="I123" s="49" t="s">
        <v>37</v>
      </c>
      <c r="J123" s="50">
        <v>100</v>
      </c>
      <c r="K123" s="51">
        <v>1275</v>
      </c>
      <c r="L123" s="52">
        <v>-2700</v>
      </c>
      <c r="M123" s="53">
        <v>6950</v>
      </c>
      <c r="N123" s="28">
        <f>K123*J123</f>
        <v>127500</v>
      </c>
      <c r="O123" s="54">
        <v>30193</v>
      </c>
      <c r="P123" s="29">
        <v>23.68078431</v>
      </c>
      <c r="Q123" s="55"/>
      <c r="R123" s="31">
        <f>M123+Q123</f>
        <v>6950</v>
      </c>
      <c r="S123" s="56">
        <v>-1005</v>
      </c>
      <c r="T123" s="32">
        <f>R123+S123+IF(F123="Without EV deal",L123,0)</f>
        <v>5945</v>
      </c>
      <c r="U123" s="33">
        <v>1</v>
      </c>
      <c r="V123" s="58"/>
      <c r="W123" s="58"/>
      <c r="X123" s="30">
        <f>IF(AF123="DoEV",IF(AND(V123&lt;20,W123&lt;55),0.3,0)+IF(AND(V123&lt;20,W123&gt;=55,W123&lt;105),0.23,0)+IF(AND(V123&lt;20,W123&gt;=105),0.17,0)+IF(AND(V123&gt;=20,V123&lt;40,W123&lt;45),0.3,0)+IF(AND(V123&gt;=20,V123&lt;40,W123&gt;=45,W123&lt;95),0.23,0)+IF(AND(V123&gt;=20,V123&lt;40,W123&gt;=95),0.17,0)+IF(AND(V123&gt;=40,V123&lt;75,W123&lt;35),0.3,0)+IF(AND(V123&gt;=40,V123&lt;75,W123&gt;=35,W123&lt;75),0.23,0)+IF(AND(V123&gt;=40,V123&lt;75,W123&gt;=75,W123&lt;120),0.17,0)+IF(AND(V123&gt;=40,V123&lt;75,W123&gt;=120),0.12,0)+IF(AND(V123&gt;=75,V123&lt;175,W123&lt;35),0.3,0)+IF(AND(V123&gt;=75,V123&lt;=175,W123&gt;=35,W123&lt;65),0.23,0)+IF(AND(V123&gt;=75,V123&lt;=175,W123&gt;=65,W123&lt;110),0.17,0)+IF(AND(V123&gt;=75,V123&lt;=175,W123&gt;=110),0.12,0)+IF(AND(V123&gt;175,W123&lt;25),0.3,0)+IF(AND(V123&gt;175,W123&gt;=25,W123&lt;55),0.23,0)+IF(AND(V123&gt;175,W123&gt;=55,W123&lt;95),0.17,0)+IF(AND(V123&gt;175,W123&gt;=95),0.12,0),
IF(AF123="Fix15",0.15,
IF(AF123="Fix11.25",0.1125,
IF(AF123="Fix10",0.1,
IF(AF123="Fix9",0.09,
IF(AF123="DoEV2017",IF(AND(W123&lt;74),0.2,0)+IF(AND(W123&gt;=74),0.17,0),
IF(AF123="SF",IF(AND(V123&lt;20,W123&lt;89),0.3,0)+IF(AND(V123&lt;20,W123&gt;=89),0.25,0)+IF(AND(V123&gt;=20,V123&lt;40,W123&lt;74),0.3,0)+IF(AND(V123&gt;=20,V123&lt;40,W123&gt;=75),0.22,0)+IF(AND(V123&gt;=40,V123&lt;75,W123&lt;75),0.26,0)+IF(AND(V123&gt;=40,V123&lt;75,W123&gt;=75),0.22,0)+IF(V123&gt;=75,0.22,0),
IF(AF123="DoEVold",IF(AND(V123&lt;40,W123&lt;35),0.35,0)+IF(AND(V123&lt;40,W123&gt;=35,W123&lt;75),0.25,0)+IF(AND(V123&lt;40,W123&gt;=75),0.17,0)+IF(AND(V123&gt;=40,V123&lt;75,W123&lt;25),0.35,0)+IF(AND(V123&gt;=40,V123&lt;75,W123&gt;=25,W123&lt;65),0.25,0)+IF(AND(V123&gt;=40,V123&lt;75,W123&gt;=65,W123&lt;100),0.17,0)+IF(AND(V123&gt;=40,V123&lt;75,W123&gt;=100),0.1,0)+IF(AND(V123&gt;=75,W123&lt;25),0.35,0)+IF(AND(V123&gt;=75,W123&gt;=25,W123&lt;60),0.25,0)+IF(AND(V123&gt;=75,W123&gt;=60,W123&lt;95),0.17,0)+IF(AND(V123&gt;=75,W123&gt;=95),0.1,0),
IF(AF123="DoEVold15",IF(AND(V123&lt;=40,W123&lt;35),0.35,0)+IF(AND(V123&lt;=40,W123&gt;=35,W123&lt;75),0.25,0)+IF(AND(V123&lt;=40,W123&gt;=75,W123&lt;120),0.17,0)+IF(AND(V123&lt;=40,W123&gt;=120),0.15,0)+IF(AND(V123&gt;40,V123&lt;75,W123&lt;25),0.35,0)+IF(AND(V123&gt;=40,V123&lt;75,W123&gt;=25,W123&lt;65),0.25,0)+IF(AND(V123&gt;=40,V123&lt;75,W123&gt;=65,W123&lt;100),0.17,0)+IF(AND(V123&gt;=40,V123&lt;75,W123&gt;=100),0.1,0)+IF(AND(V123&gt;=75,W123&lt;25),0.35,0)+IF(AND(V123&gt;=75,W123&gt;=25,W123&lt;60),0.25,0)+IF(AND(V123&gt;=75,W123&gt;=60,W123&lt;95),0.17,0)+IF(AND(V123&gt;=75,W123&gt;=95),0.1,0),
IF(AF123="DoEVba",IF(AND(V123&lt;20,W123&lt;105),0.2,0)+IF(AND(V123&lt;20,W123&gt;=105),0.15,0)+IF(AND(V123&gt;=20,V123&lt;40,W123&lt;95),0.2,0)+IF(AND(V123&gt;=20,V123&lt;40,W123&gt;=95,W123&lt;150),0.15,0)+IF(AND(V123&gt;=20,V123&lt;40,W123&gt;=150),0.12,0)+IF(AND(V123&gt;=40,V123&lt;75,W123&lt;75),0.2,0)+IF(AND(V123&gt;=40,V123&lt;75,W123&gt;=75,W123&lt;120),0.15,0)+IF(AND(V123&gt;=40,V123&lt;75,W123&gt;=120),0.12,0)+IF(AND(V123&gt;=75,V123&lt;175,W123&lt;65),0.2,0)+IF(AND(V123&gt;=75,V123&lt;175,W123&gt;=65,W123&lt;110),0.15,0)+IF(AND(V123&gt;=75,V123&lt;175,W123&gt;=110),0.12,0)+IF(AND(V123&gt;=175,W123&lt;55),0.2,0)+IF(AND(V123&gt;=175,W123&gt;=55,W123&lt;95),0.15,0)+IF(AND(V123&gt;=175,W123&gt;=95),0.12,0),
IF(AF123="DoEVku",IF(AND(V123&lt;20,W123&lt;55),0.23,0)+IF(AND(V123&lt;20,W123&gt;=55,W123&lt;105),0.2,0)+IF(AND(V123&lt;20,W123&gt;=105),0.17,0)+IF(AND(V123&gt;=20,V123&lt;40,W123&lt;45),0.23,0)+IF(AND(V123&gt;=20,V123&lt;40,W123&gt;=45,W123&lt;95),0.2,0)+IF(AND(V123&gt;=20,V123&lt;40,W123&gt;=95,W123&lt;=150),0.17,0)+IF(AND(V123&gt;=20,V123&lt;40,W123&gt;=150),0.12,0)+IF(AND(V123&gt;=40,V123&lt;75,W123&lt;35),0.23,0)+IF(AND(V123&gt;=40,V123&lt;75,W123&gt;=35,W123&lt;75),0.2,0)+IF(AND(V123&gt;=40,V123&lt;75,W123&gt;=75,W123&lt;120),0.17,0)+IF(AND(V123&gt;=40,V123&lt;75,W123&gt;=120),0.12,0)+IF(AND(V123&gt;=75,V123&lt;175,W123&lt;35),0.23,0)+IF(AND(V123&gt;=75,V123&lt;=175,W123&gt;=35,W123&lt;65),0.2,0)+IF(AND(V123&gt;=75,V123&lt;=175,W123&gt;=65,W123&lt;110),0.17,0)+IF(AND(V123&gt;=75,V123&lt;=175,W123&gt;=110),0.12,0)+IF(AND(V123&gt;175,W123&lt;25),0.23,0)+IF(AND(V123&gt;175,W123&gt;=25,W123&lt;55),0.2,0)+IF(AND(V123&gt;175,W123&gt;=55,W123&lt;95),0.17,0)+IF(AND(V123&gt;175,W123&gt;=95),0.12,0),
IF(AF123="DoEVs1",IF(AND(V123&lt;20,W123&lt;55),0.3,0)+IF(AND(V123&lt;20,W123&gt;=55,W123&lt;105),0.23,0)+IF(AND(V123&lt;20,W123&gt;=105),0.17,0)+IF(AND(V123&gt;=20,V123&lt;40,W123&lt;45),0.3,0)+IF(AND(V123&gt;=20,V123&lt;40,W123&gt;=45,W123&lt;95),0.23,0)+IF(AND(V123&gt;=20,V123&lt;40,W123&gt;=95,W123&lt;=150),0.17,0)+IF(AND(V123&gt;=20,V123&lt;40,W123&gt;=150),0.12,0)+IF(AND(V123&gt;=40,V123&lt;75,W123&lt;35),0.3,0)+IF(AND(V123&gt;=40,V123&lt;75,W123&gt;=35,W123&lt;75),0.23,0)+IF(AND(V123&gt;=40,V123&lt;75,W123&gt;=75,W123&lt;120),0.17,0)+IF(AND(V123&gt;=40,V123&lt;75,W123&gt;=120),0.12,0)+IF(AND(V123&gt;=75,V123&lt;175,W123&lt;35),0.3,0)+IF(AND(V123&gt;=75,V123&lt;=175,W123&gt;=35,W123&lt;65),0.23,0)+IF(AND(V123&gt;=75,V123&lt;=175,W123&gt;=65,W123&lt;110),0.17,0)+IF(AND(V123&gt;=75,V123&lt;=175,W123&gt;=110),0.12,0)+IF(AND(V123&gt;175,W123&lt;25),0.3,0)+IF(AND(V123&gt;175,W123&gt;=25,W123&lt;55),0.23,0)+IF(AND(V123&gt;175,W123&gt;=55,W123&lt;95),0.17,0)+IF(AND(V123&gt;175,W123&gt;=95),0.12,0),
IF(AF123="DoEVsu",IF(AND(V123&lt;20,W123&lt;55),0.3,0)+IF(AND(V123&lt;20,W123&gt;=55,W123&lt;105),0.23,0)+IF(AND(V123&lt;20,W123&gt;=105),0.17,0)+IF(AND(V123&gt;=20,V123&lt;40,W123&lt;45),0.3,0)+IF(AND(V123&gt;=20,V123&lt;40,W123&gt;=45,W123&lt;95),0.23,0)+IF(AND(V123&gt;=20,V123&lt;40,W123&gt;=95,W123&lt;=250),0.17,0)+IF(AND(V123&gt;=20,V123&lt;40,W123&gt;=250),0.12,0)+IF(AND(V123&gt;=40,V123&lt;75,W123&lt;35),0.3,0)+IF(AND(V123&gt;=40,V123&lt;75,W123&gt;=35,W123&lt;75),0.23,0)+IF(AND(V123&gt;=40,V123&lt;75,W123&gt;=75,W123&lt;120),0.17,0)+IF(AND(V123&gt;=40,V123&lt;75,W123&gt;=120),0.12,0)+IF(AND(V123&gt;=75,V123&lt;175,W123&lt;35),0.3,0)+IF(AND(V123&gt;=75,V123&lt;=175,W123&gt;=35,W123&lt;65),0.23,0)+IF(AND(V123&gt;=75,V123&lt;=175,W123&gt;=65,W123&lt;110),0.17,0)+IF(AND(V123&gt;=75,V123&lt;=175,W123&gt;=110),0.12,0)+IF(AND(V123&gt;175,W123&lt;25),0.3,0)+IF(AND(V123&gt;175,W123&gt;=25,W123&lt;55),0.23,0)+IF(AND(V123&gt;175,W123&gt;=55,W123&lt;95),0.17,0)+IF(AND(V123&gt;175,W123&gt;=95),0.12,0),
IF(AF123="DoEVni",IF(AND(V123&lt;20,W123&lt;55),0.3,0)+IF(AND(V123&lt;20,W123&gt;=55,W123&lt;105),0.23,0)+IF(AND(V123&lt;20,W123&gt;=105),0.17,0)+IF(AND(V123&gt;=20,V123&lt;40,W123&lt;45),0.3,0)+IF(AND(V123&gt;=20,V123&lt;40,W123&gt;=45,W123&lt;95),0.23,0)+IF(AND(V123&gt;=20,V123&lt;40,W123&gt;=95,W123&lt;=200),0.17,0)+IF(AND(V123&gt;=20,V123&lt;40,W123&gt;=200),0.12,0)+IF(AND(V123&gt;=40,V123&lt;75,W123&lt;35),0.3,0)+IF(AND(V123&gt;=40,V123&lt;75,W123&gt;=35,W123&lt;75),0.23,0)+IF(AND(V123&gt;=40,V123&lt;75,W123&gt;=75,W123&lt;120),0.17,0)+IF(AND(V123&gt;=40,V123&lt;75,W123&gt;=120),0.12,0)+IF(AND(V123&gt;=75,V123&lt;175,W123&lt;35),0.3,0)+IF(AND(V123&gt;=75,V123&lt;=175,W123&gt;=35,W123&lt;65),0.23,0)+IF(AND(V123&gt;=75,V123&lt;=175,W123&gt;=65,W123&lt;110),0.17,0)+IF(AND(V123&gt;=75,V123&lt;=175,W123&gt;=110),0.12,0)+IF(AND(V123&gt;175,W123&lt;25),0.3,0)+IF(AND(V123&gt;175,W123&gt;=25,W123&lt;55),0.23,0)+IF(AND(V123&gt;175,W123&gt;=55,W123&lt;95),0.17,0)+IF(AND(V123&gt;175,W123&gt;=95),0.12,0),
IF(AF123="DoEVLo",IF(AND(V123&lt;20,W123&lt;55),0.25,0)+IF(AND(V123&lt;20,W123&gt;=55,W123&lt;105),0.2,0)+IF(AND(V123&lt;20,W123&gt;=105),0.15,0)+IF(AND(V123&gt;=20,V123&lt;40,W123&lt;45),0.25,0)+IF(AND(V123&gt;=20,V123&lt;40,W123&gt;=45,W123&lt;95),0.2,0)+IF(AND(V123&gt;=20,V123&lt;40,W123&gt;=95),0.15,0)+IF(AND(V123&gt;=40,V123&lt;75,W123&lt;35),0.25,0)+IF(AND(V123&gt;=40,V123&lt;75,W123&gt;=35,W123&lt;75),0.2,0)+IF(AND(V123&gt;=40,V123&lt;75,W123&gt;=75,W123&lt;120),0.15,0)+IF(AND(V123&gt;=40,V123&lt;75,W123&gt;=120),0.1,0)+IF(AND(V123&gt;=75,V123&lt;175,W123&lt;35),0.25,0)+IF(AND(V123&gt;=75,V123&lt;=175,W123&gt;=35,W123&lt;65),0.2,0)+IF(AND(V123&gt;=75,V123&lt;=175,W123&gt;=65,W123&lt;110),0.15,0)+IF(AND(V123&gt;=75,V123&lt;=175,W123&gt;=110),0.1,0)+IF(AND(V123&gt;175,W123&lt;25),0.25,0)+IF(AND(V123&gt;175,W123&gt;=25,W123&lt;55),0.2,0)+IF(AND(V123&gt;175,W123&gt;=55,W123&lt;95),0.15,0)+IF(AND(V123&gt;175,W123&gt;=95),0.1,0))))))))))))))))</f>
        <v>0.15</v>
      </c>
      <c r="Y123" s="30">
        <f>IF(AG123="None",0,IF(AG123="Fix5",0.05,IF(AG123="Fix3.75",0.0375,IF(AG123="Fix10",0.1,IF(AG123="Fix3",0.03,0)))))</f>
        <v>0.05</v>
      </c>
      <c r="Z123" s="35">
        <f>T123-AA123-AB123</f>
        <v>4756</v>
      </c>
      <c r="AA123" s="29">
        <f>IF(AD123="EUR",((T123-R123)*X123)*U123+(R123*X123),(T123*X123))</f>
        <v>891.75</v>
      </c>
      <c r="AB123" s="36">
        <f>IF(AD123="EUR",((T123-R123)*Y123)*U123+(R123*Y123),(T123*Y123))</f>
        <v>297.25</v>
      </c>
      <c r="AC123" s="37" t="b">
        <v>1</v>
      </c>
      <c r="AD123" s="37" t="s">
        <v>38</v>
      </c>
      <c r="AE123" s="37" t="s">
        <v>38</v>
      </c>
      <c r="AF123" s="37" t="str">
        <f t="array" ref="AF123">INDEX('Deal Info'!D:D, MATCH(A123,'Deal Info'!A:A, 0))</f>
        <v>Fix15</v>
      </c>
      <c r="AG123" s="38" t="str">
        <f t="array" ref="AG123">INDEX('Deal Info'!G:G, MATCH(A123,'Deal Info'!A:A, 0))</f>
        <v>Fix5</v>
      </c>
    </row>
    <row r="124" spans="1:33" ht="14.25" hidden="1" x14ac:dyDescent="0.2">
      <c r="A124" s="18" t="str">
        <f t="array" ref="A124">IF(G124='Room Info'!$B$1, INDEX('Room Info'!$A$2:$A2446, MATCH(B124,'Room Info'!$B$2:$B2446, 0)),IF(G124='Room Info'!$C$1, INDEX('Room Info'!$A$2:$A2446, MATCH(B124,'Room Info'!$C$2:$C2446, 0)),IF(G124='Room Info'!$D$1, INDEX('Room Info'!$A$2:$A2446, MATCH(B124,'Room Info'!$D$2:$D2446, 0)),IF(G124='Room Info'!$E$1, INDEX('Room Info'!$A$2:$A2446, MATCH(B124,'Room Info'!$E$2:$E2446, 0)),IF(G124='Room Info'!$F$1, INDEX('Room Info'!$A$2:$A2446, MATCH(B124,'Room Info'!$F$2:$F2446, 0)),IF(G124='Room Info'!$H$1, INDEX('Room Info'!$A$2:$A2446, MATCH(B124,'Room Info'!$H$2:$H2446, 0)),IF(G124='Room Info'!$G$1, INDEX('Room Info'!$A$2:$A2446, MATCH(B124,'Room Info'!$G$2:$G2446, 0)))))))))</f>
        <v>AlexanderDSL</v>
      </c>
      <c r="B124" s="54" t="s">
        <v>82</v>
      </c>
      <c r="C124" s="46">
        <v>44733</v>
      </c>
      <c r="D124" s="46">
        <v>44762</v>
      </c>
      <c r="E124" s="47">
        <v>44743</v>
      </c>
      <c r="F124" s="45" t="s">
        <v>34</v>
      </c>
      <c r="G124" s="54" t="s">
        <v>35</v>
      </c>
      <c r="H124" s="49" t="s">
        <v>70</v>
      </c>
      <c r="I124" s="49" t="s">
        <v>37</v>
      </c>
      <c r="J124" s="50">
        <v>100</v>
      </c>
      <c r="K124" s="51">
        <v>1700</v>
      </c>
      <c r="L124" s="52">
        <v>-3300</v>
      </c>
      <c r="M124" s="53">
        <v>2900</v>
      </c>
      <c r="N124" s="28">
        <f>K124*J124</f>
        <v>170000</v>
      </c>
      <c r="O124" s="54">
        <v>48559</v>
      </c>
      <c r="P124" s="29">
        <v>28.56411765</v>
      </c>
      <c r="Q124" s="55"/>
      <c r="R124" s="31">
        <f>M124+Q124</f>
        <v>2900</v>
      </c>
      <c r="S124" s="56">
        <v>-399</v>
      </c>
      <c r="T124" s="32">
        <f>R124+S124+IF(F124="Without EV deal",L124,0)</f>
        <v>2501</v>
      </c>
      <c r="U124" s="33">
        <v>1</v>
      </c>
      <c r="V124" s="58"/>
      <c r="W124" s="58"/>
      <c r="X124" s="30">
        <f>IF(AF124="DoEV",IF(AND(V124&lt;20,W124&lt;55),0.3,0)+IF(AND(V124&lt;20,W124&gt;=55,W124&lt;105),0.23,0)+IF(AND(V124&lt;20,W124&gt;=105),0.17,0)+IF(AND(V124&gt;=20,V124&lt;40,W124&lt;45),0.3,0)+IF(AND(V124&gt;=20,V124&lt;40,W124&gt;=45,W124&lt;95),0.23,0)+IF(AND(V124&gt;=20,V124&lt;40,W124&gt;=95),0.17,0)+IF(AND(V124&gt;=40,V124&lt;75,W124&lt;35),0.3,0)+IF(AND(V124&gt;=40,V124&lt;75,W124&gt;=35,W124&lt;75),0.23,0)+IF(AND(V124&gt;=40,V124&lt;75,W124&gt;=75,W124&lt;120),0.17,0)+IF(AND(V124&gt;=40,V124&lt;75,W124&gt;=120),0.12,0)+IF(AND(V124&gt;=75,V124&lt;175,W124&lt;35),0.3,0)+IF(AND(V124&gt;=75,V124&lt;=175,W124&gt;=35,W124&lt;65),0.23,0)+IF(AND(V124&gt;=75,V124&lt;=175,W124&gt;=65,W124&lt;110),0.17,0)+IF(AND(V124&gt;=75,V124&lt;=175,W124&gt;=110),0.12,0)+IF(AND(V124&gt;175,W124&lt;25),0.3,0)+IF(AND(V124&gt;175,W124&gt;=25,W124&lt;55),0.23,0)+IF(AND(V124&gt;175,W124&gt;=55,W124&lt;95),0.17,0)+IF(AND(V124&gt;175,W124&gt;=95),0.12,0),
IF(AF124="Fix15",0.15,
IF(AF124="Fix11.25",0.1125,
IF(AF124="Fix10",0.1,
IF(AF124="Fix9",0.09,
IF(AF124="DoEV2017",IF(AND(W124&lt;74),0.2,0)+IF(AND(W124&gt;=74),0.17,0),
IF(AF124="SF",IF(AND(V124&lt;20,W124&lt;89),0.3,0)+IF(AND(V124&lt;20,W124&gt;=89),0.25,0)+IF(AND(V124&gt;=20,V124&lt;40,W124&lt;74),0.3,0)+IF(AND(V124&gt;=20,V124&lt;40,W124&gt;=75),0.22,0)+IF(AND(V124&gt;=40,V124&lt;75,W124&lt;75),0.26,0)+IF(AND(V124&gt;=40,V124&lt;75,W124&gt;=75),0.22,0)+IF(V124&gt;=75,0.22,0),
IF(AF124="DoEVold",IF(AND(V124&lt;40,W124&lt;35),0.35,0)+IF(AND(V124&lt;40,W124&gt;=35,W124&lt;75),0.25,0)+IF(AND(V124&lt;40,W124&gt;=75),0.17,0)+IF(AND(V124&gt;=40,V124&lt;75,W124&lt;25),0.35,0)+IF(AND(V124&gt;=40,V124&lt;75,W124&gt;=25,W124&lt;65),0.25,0)+IF(AND(V124&gt;=40,V124&lt;75,W124&gt;=65,W124&lt;100),0.17,0)+IF(AND(V124&gt;=40,V124&lt;75,W124&gt;=100),0.1,0)+IF(AND(V124&gt;=75,W124&lt;25),0.35,0)+IF(AND(V124&gt;=75,W124&gt;=25,W124&lt;60),0.25,0)+IF(AND(V124&gt;=75,W124&gt;=60,W124&lt;95),0.17,0)+IF(AND(V124&gt;=75,W124&gt;=95),0.1,0),
IF(AF124="DoEVold15",IF(AND(V124&lt;=40,W124&lt;35),0.35,0)+IF(AND(V124&lt;=40,W124&gt;=35,W124&lt;75),0.25,0)+IF(AND(V124&lt;=40,W124&gt;=75,W124&lt;120),0.17,0)+IF(AND(V124&lt;=40,W124&gt;=120),0.15,0)+IF(AND(V124&gt;40,V124&lt;75,W124&lt;25),0.35,0)+IF(AND(V124&gt;=40,V124&lt;75,W124&gt;=25,W124&lt;65),0.25,0)+IF(AND(V124&gt;=40,V124&lt;75,W124&gt;=65,W124&lt;100),0.17,0)+IF(AND(V124&gt;=40,V124&lt;75,W124&gt;=100),0.1,0)+IF(AND(V124&gt;=75,W124&lt;25),0.35,0)+IF(AND(V124&gt;=75,W124&gt;=25,W124&lt;60),0.25,0)+IF(AND(V124&gt;=75,W124&gt;=60,W124&lt;95),0.17,0)+IF(AND(V124&gt;=75,W124&gt;=95),0.1,0),
IF(AF124="DoEVba",IF(AND(V124&lt;20,W124&lt;105),0.2,0)+IF(AND(V124&lt;20,W124&gt;=105),0.15,0)+IF(AND(V124&gt;=20,V124&lt;40,W124&lt;95),0.2,0)+IF(AND(V124&gt;=20,V124&lt;40,W124&gt;=95,W124&lt;150),0.15,0)+IF(AND(V124&gt;=20,V124&lt;40,W124&gt;=150),0.12,0)+IF(AND(V124&gt;=40,V124&lt;75,W124&lt;75),0.2,0)+IF(AND(V124&gt;=40,V124&lt;75,W124&gt;=75,W124&lt;120),0.15,0)+IF(AND(V124&gt;=40,V124&lt;75,W124&gt;=120),0.12,0)+IF(AND(V124&gt;=75,V124&lt;175,W124&lt;65),0.2,0)+IF(AND(V124&gt;=75,V124&lt;175,W124&gt;=65,W124&lt;110),0.15,0)+IF(AND(V124&gt;=75,V124&lt;175,W124&gt;=110),0.12,0)+IF(AND(V124&gt;=175,W124&lt;55),0.2,0)+IF(AND(V124&gt;=175,W124&gt;=55,W124&lt;95),0.15,0)+IF(AND(V124&gt;=175,W124&gt;=95),0.12,0),
IF(AF124="DoEVku",IF(AND(V124&lt;20,W124&lt;55),0.23,0)+IF(AND(V124&lt;20,W124&gt;=55,W124&lt;105),0.2,0)+IF(AND(V124&lt;20,W124&gt;=105),0.17,0)+IF(AND(V124&gt;=20,V124&lt;40,W124&lt;45),0.23,0)+IF(AND(V124&gt;=20,V124&lt;40,W124&gt;=45,W124&lt;95),0.2,0)+IF(AND(V124&gt;=20,V124&lt;40,W124&gt;=95,W124&lt;=150),0.17,0)+IF(AND(V124&gt;=20,V124&lt;40,W124&gt;=150),0.12,0)+IF(AND(V124&gt;=40,V124&lt;75,W124&lt;35),0.23,0)+IF(AND(V124&gt;=40,V124&lt;75,W124&gt;=35,W124&lt;75),0.2,0)+IF(AND(V124&gt;=40,V124&lt;75,W124&gt;=75,W124&lt;120),0.17,0)+IF(AND(V124&gt;=40,V124&lt;75,W124&gt;=120),0.12,0)+IF(AND(V124&gt;=75,V124&lt;175,W124&lt;35),0.23,0)+IF(AND(V124&gt;=75,V124&lt;=175,W124&gt;=35,W124&lt;65),0.2,0)+IF(AND(V124&gt;=75,V124&lt;=175,W124&gt;=65,W124&lt;110),0.17,0)+IF(AND(V124&gt;=75,V124&lt;=175,W124&gt;=110),0.12,0)+IF(AND(V124&gt;175,W124&lt;25),0.23,0)+IF(AND(V124&gt;175,W124&gt;=25,W124&lt;55),0.2,0)+IF(AND(V124&gt;175,W124&gt;=55,W124&lt;95),0.17,0)+IF(AND(V124&gt;175,W124&gt;=95),0.12,0),
IF(AF124="DoEVs1",IF(AND(V124&lt;20,W124&lt;55),0.3,0)+IF(AND(V124&lt;20,W124&gt;=55,W124&lt;105),0.23,0)+IF(AND(V124&lt;20,W124&gt;=105),0.17,0)+IF(AND(V124&gt;=20,V124&lt;40,W124&lt;45),0.3,0)+IF(AND(V124&gt;=20,V124&lt;40,W124&gt;=45,W124&lt;95),0.23,0)+IF(AND(V124&gt;=20,V124&lt;40,W124&gt;=95,W124&lt;=150),0.17,0)+IF(AND(V124&gt;=20,V124&lt;40,W124&gt;=150),0.12,0)+IF(AND(V124&gt;=40,V124&lt;75,W124&lt;35),0.3,0)+IF(AND(V124&gt;=40,V124&lt;75,W124&gt;=35,W124&lt;75),0.23,0)+IF(AND(V124&gt;=40,V124&lt;75,W124&gt;=75,W124&lt;120),0.17,0)+IF(AND(V124&gt;=40,V124&lt;75,W124&gt;=120),0.12,0)+IF(AND(V124&gt;=75,V124&lt;175,W124&lt;35),0.3,0)+IF(AND(V124&gt;=75,V124&lt;=175,W124&gt;=35,W124&lt;65),0.23,0)+IF(AND(V124&gt;=75,V124&lt;=175,W124&gt;=65,W124&lt;110),0.17,0)+IF(AND(V124&gt;=75,V124&lt;=175,W124&gt;=110),0.12,0)+IF(AND(V124&gt;175,W124&lt;25),0.3,0)+IF(AND(V124&gt;175,W124&gt;=25,W124&lt;55),0.23,0)+IF(AND(V124&gt;175,W124&gt;=55,W124&lt;95),0.17,0)+IF(AND(V124&gt;175,W124&gt;=95),0.12,0),
IF(AF124="DoEVsu",IF(AND(V124&lt;20,W124&lt;55),0.3,0)+IF(AND(V124&lt;20,W124&gt;=55,W124&lt;105),0.23,0)+IF(AND(V124&lt;20,W124&gt;=105),0.17,0)+IF(AND(V124&gt;=20,V124&lt;40,W124&lt;45),0.3,0)+IF(AND(V124&gt;=20,V124&lt;40,W124&gt;=45,W124&lt;95),0.23,0)+IF(AND(V124&gt;=20,V124&lt;40,W124&gt;=95,W124&lt;=250),0.17,0)+IF(AND(V124&gt;=20,V124&lt;40,W124&gt;=250),0.12,0)+IF(AND(V124&gt;=40,V124&lt;75,W124&lt;35),0.3,0)+IF(AND(V124&gt;=40,V124&lt;75,W124&gt;=35,W124&lt;75),0.23,0)+IF(AND(V124&gt;=40,V124&lt;75,W124&gt;=75,W124&lt;120),0.17,0)+IF(AND(V124&gt;=40,V124&lt;75,W124&gt;=120),0.12,0)+IF(AND(V124&gt;=75,V124&lt;175,W124&lt;35),0.3,0)+IF(AND(V124&gt;=75,V124&lt;=175,W124&gt;=35,W124&lt;65),0.23,0)+IF(AND(V124&gt;=75,V124&lt;=175,W124&gt;=65,W124&lt;110),0.17,0)+IF(AND(V124&gt;=75,V124&lt;=175,W124&gt;=110),0.12,0)+IF(AND(V124&gt;175,W124&lt;25),0.3,0)+IF(AND(V124&gt;175,W124&gt;=25,W124&lt;55),0.23,0)+IF(AND(V124&gt;175,W124&gt;=55,W124&lt;95),0.17,0)+IF(AND(V124&gt;175,W124&gt;=95),0.12,0),
IF(AF124="DoEVni",IF(AND(V124&lt;20,W124&lt;55),0.3,0)+IF(AND(V124&lt;20,W124&gt;=55,W124&lt;105),0.23,0)+IF(AND(V124&lt;20,W124&gt;=105),0.17,0)+IF(AND(V124&gt;=20,V124&lt;40,W124&lt;45),0.3,0)+IF(AND(V124&gt;=20,V124&lt;40,W124&gt;=45,W124&lt;95),0.23,0)+IF(AND(V124&gt;=20,V124&lt;40,W124&gt;=95,W124&lt;=200),0.17,0)+IF(AND(V124&gt;=20,V124&lt;40,W124&gt;=200),0.12,0)+IF(AND(V124&gt;=40,V124&lt;75,W124&lt;35),0.3,0)+IF(AND(V124&gt;=40,V124&lt;75,W124&gt;=35,W124&lt;75),0.23,0)+IF(AND(V124&gt;=40,V124&lt;75,W124&gt;=75,W124&lt;120),0.17,0)+IF(AND(V124&gt;=40,V124&lt;75,W124&gt;=120),0.12,0)+IF(AND(V124&gt;=75,V124&lt;175,W124&lt;35),0.3,0)+IF(AND(V124&gt;=75,V124&lt;=175,W124&gt;=35,W124&lt;65),0.23,0)+IF(AND(V124&gt;=75,V124&lt;=175,W124&gt;=65,W124&lt;110),0.17,0)+IF(AND(V124&gt;=75,V124&lt;=175,W124&gt;=110),0.12,0)+IF(AND(V124&gt;175,W124&lt;25),0.3,0)+IF(AND(V124&gt;175,W124&gt;=25,W124&lt;55),0.23,0)+IF(AND(V124&gt;175,W124&gt;=55,W124&lt;95),0.17,0)+IF(AND(V124&gt;175,W124&gt;=95),0.12,0),
IF(AF124="DoEVLo",IF(AND(V124&lt;20,W124&lt;55),0.25,0)+IF(AND(V124&lt;20,W124&gt;=55,W124&lt;105),0.2,0)+IF(AND(V124&lt;20,W124&gt;=105),0.15,0)+IF(AND(V124&gt;=20,V124&lt;40,W124&lt;45),0.25,0)+IF(AND(V124&gt;=20,V124&lt;40,W124&gt;=45,W124&lt;95),0.2,0)+IF(AND(V124&gt;=20,V124&lt;40,W124&gt;=95),0.15,0)+IF(AND(V124&gt;=40,V124&lt;75,W124&lt;35),0.25,0)+IF(AND(V124&gt;=40,V124&lt;75,W124&gt;=35,W124&lt;75),0.2,0)+IF(AND(V124&gt;=40,V124&lt;75,W124&gt;=75,W124&lt;120),0.15,0)+IF(AND(V124&gt;=40,V124&lt;75,W124&gt;=120),0.1,0)+IF(AND(V124&gt;=75,V124&lt;175,W124&lt;35),0.25,0)+IF(AND(V124&gt;=75,V124&lt;=175,W124&gt;=35,W124&lt;65),0.2,0)+IF(AND(V124&gt;=75,V124&lt;=175,W124&gt;=65,W124&lt;110),0.15,0)+IF(AND(V124&gt;=75,V124&lt;=175,W124&gt;=110),0.1,0)+IF(AND(V124&gt;175,W124&lt;25),0.25,0)+IF(AND(V124&gt;175,W124&gt;=25,W124&lt;55),0.2,0)+IF(AND(V124&gt;175,W124&gt;=55,W124&lt;95),0.15,0)+IF(AND(V124&gt;175,W124&gt;=95),0.1,0))))))))))))))))</f>
        <v>0.15</v>
      </c>
      <c r="Y124" s="30">
        <f>IF(AG124="None",0,IF(AG124="Fix5",0.05,IF(AG124="Fix3.75",0.0375,IF(AG124="Fix10",0.1,IF(AG124="Fix3",0.03,0)))))</f>
        <v>0.05</v>
      </c>
      <c r="Z124" s="35">
        <f>T124-AA124-AB124</f>
        <v>2000.8</v>
      </c>
      <c r="AA124" s="29">
        <f>IF(AD124="EUR",((T124-R124)*X124)*U124+(R124*X124),(T124*X124))</f>
        <v>375.15</v>
      </c>
      <c r="AB124" s="36">
        <f>IF(AD124="EUR",((T124-R124)*Y124)*U124+(R124*Y124),(T124*Y124))</f>
        <v>125.05000000000001</v>
      </c>
      <c r="AC124" s="37" t="b">
        <v>1</v>
      </c>
      <c r="AD124" s="37" t="s">
        <v>38</v>
      </c>
      <c r="AE124" s="37" t="s">
        <v>38</v>
      </c>
      <c r="AF124" s="37" t="str">
        <f t="array" ref="AF124">INDEX('Deal Info'!D:D, MATCH(A124,'Deal Info'!A:A, 0))</f>
        <v>Fix15</v>
      </c>
      <c r="AG124" s="38" t="str">
        <f t="array" ref="AG124">INDEX('Deal Info'!G:G, MATCH(A124,'Deal Info'!A:A, 0))</f>
        <v>Fix5</v>
      </c>
    </row>
    <row r="125" spans="1:33" ht="14.25" hidden="1" x14ac:dyDescent="0.2">
      <c r="A125" s="18" t="str">
        <f t="array" ref="A125">IF(G125='Room Info'!$B$1, INDEX('Room Info'!$A$2:$A2446, MATCH(B125,'Room Info'!$B$2:$B2446, 0)),IF(G125='Room Info'!$C$1, INDEX('Room Info'!$A$2:$A2446, MATCH(B125,'Room Info'!$C$2:$C2446, 0)),IF(G125='Room Info'!$D$1, INDEX('Room Info'!$A$2:$A2446, MATCH(B125,'Room Info'!$D$2:$D2446, 0)),IF(G125='Room Info'!$E$1, INDEX('Room Info'!$A$2:$A2446, MATCH(B125,'Room Info'!$E$2:$E2446, 0)),IF(G125='Room Info'!$F$1, INDEX('Room Info'!$A$2:$A2446, MATCH(B125,'Room Info'!$F$2:$F2446, 0)),IF(G125='Room Info'!$H$1, INDEX('Room Info'!$A$2:$A2446, MATCH(B125,'Room Info'!$H$2:$H2446, 0)),IF(G125='Room Info'!$G$1, INDEX('Room Info'!$A$2:$A2446, MATCH(B125,'Room Info'!$G$2:$G2446, 0)))))))))</f>
        <v>AlexanderDSL</v>
      </c>
      <c r="B125" s="54" t="s">
        <v>82</v>
      </c>
      <c r="C125" s="46">
        <v>44763</v>
      </c>
      <c r="D125" s="46">
        <v>44793</v>
      </c>
      <c r="E125" s="47">
        <v>44774</v>
      </c>
      <c r="F125" s="45" t="s">
        <v>34</v>
      </c>
      <c r="G125" s="54" t="s">
        <v>35</v>
      </c>
      <c r="H125" s="49" t="s">
        <v>70</v>
      </c>
      <c r="I125" s="49" t="s">
        <v>37</v>
      </c>
      <c r="J125" s="50">
        <v>100</v>
      </c>
      <c r="K125" s="51">
        <v>3500</v>
      </c>
      <c r="L125" s="52">
        <v>-12400</v>
      </c>
      <c r="M125" s="53">
        <v>16100</v>
      </c>
      <c r="N125" s="28">
        <f>K125*J125</f>
        <v>350000</v>
      </c>
      <c r="O125" s="54">
        <v>63286</v>
      </c>
      <c r="P125" s="29">
        <v>18.081714290000001</v>
      </c>
      <c r="Q125" s="55"/>
      <c r="R125" s="31">
        <f>M125+Q125</f>
        <v>16100</v>
      </c>
      <c r="S125" s="56">
        <v>-6748</v>
      </c>
      <c r="T125" s="32">
        <f>R125+S125+IF(F125="Without EV deal",L125,0)</f>
        <v>9352</v>
      </c>
      <c r="U125" s="33">
        <v>1</v>
      </c>
      <c r="V125" s="58"/>
      <c r="W125" s="58"/>
      <c r="X125" s="30">
        <f>IF(AF125="DoEV",IF(AND(V125&lt;20,W125&lt;55),0.3,0)+IF(AND(V125&lt;20,W125&gt;=55,W125&lt;105),0.23,0)+IF(AND(V125&lt;20,W125&gt;=105),0.17,0)+IF(AND(V125&gt;=20,V125&lt;40,W125&lt;45),0.3,0)+IF(AND(V125&gt;=20,V125&lt;40,W125&gt;=45,W125&lt;95),0.23,0)+IF(AND(V125&gt;=20,V125&lt;40,W125&gt;=95),0.17,0)+IF(AND(V125&gt;=40,V125&lt;75,W125&lt;35),0.3,0)+IF(AND(V125&gt;=40,V125&lt;75,W125&gt;=35,W125&lt;75),0.23,0)+IF(AND(V125&gt;=40,V125&lt;75,W125&gt;=75,W125&lt;120),0.17,0)+IF(AND(V125&gt;=40,V125&lt;75,W125&gt;=120),0.12,0)+IF(AND(V125&gt;=75,V125&lt;175,W125&lt;35),0.3,0)+IF(AND(V125&gt;=75,V125&lt;=175,W125&gt;=35,W125&lt;65),0.23,0)+IF(AND(V125&gt;=75,V125&lt;=175,W125&gt;=65,W125&lt;110),0.17,0)+IF(AND(V125&gt;=75,V125&lt;=175,W125&gt;=110),0.12,0)+IF(AND(V125&gt;175,W125&lt;25),0.3,0)+IF(AND(V125&gt;175,W125&gt;=25,W125&lt;55),0.23,0)+IF(AND(V125&gt;175,W125&gt;=55,W125&lt;95),0.17,0)+IF(AND(V125&gt;175,W125&gt;=95),0.12,0),
IF(AF125="Fix15",0.15,
IF(AF125="Fix11.25",0.1125,
IF(AF125="Fix10",0.1,
IF(AF125="Fix9",0.09,
IF(AF125="DoEV2017",IF(AND(W125&lt;74),0.2,0)+IF(AND(W125&gt;=74),0.17,0),
IF(AF125="SF",IF(AND(V125&lt;20,W125&lt;89),0.3,0)+IF(AND(V125&lt;20,W125&gt;=89),0.25,0)+IF(AND(V125&gt;=20,V125&lt;40,W125&lt;74),0.3,0)+IF(AND(V125&gt;=20,V125&lt;40,W125&gt;=75),0.22,0)+IF(AND(V125&gt;=40,V125&lt;75,W125&lt;75),0.26,0)+IF(AND(V125&gt;=40,V125&lt;75,W125&gt;=75),0.22,0)+IF(V125&gt;=75,0.22,0),
IF(AF125="DoEVold",IF(AND(V125&lt;40,W125&lt;35),0.35,0)+IF(AND(V125&lt;40,W125&gt;=35,W125&lt;75),0.25,0)+IF(AND(V125&lt;40,W125&gt;=75),0.17,0)+IF(AND(V125&gt;=40,V125&lt;75,W125&lt;25),0.35,0)+IF(AND(V125&gt;=40,V125&lt;75,W125&gt;=25,W125&lt;65),0.25,0)+IF(AND(V125&gt;=40,V125&lt;75,W125&gt;=65,W125&lt;100),0.17,0)+IF(AND(V125&gt;=40,V125&lt;75,W125&gt;=100),0.1,0)+IF(AND(V125&gt;=75,W125&lt;25),0.35,0)+IF(AND(V125&gt;=75,W125&gt;=25,W125&lt;60),0.25,0)+IF(AND(V125&gt;=75,W125&gt;=60,W125&lt;95),0.17,0)+IF(AND(V125&gt;=75,W125&gt;=95),0.1,0),
IF(AF125="DoEVold15",IF(AND(V125&lt;=40,W125&lt;35),0.35,0)+IF(AND(V125&lt;=40,W125&gt;=35,W125&lt;75),0.25,0)+IF(AND(V125&lt;=40,W125&gt;=75,W125&lt;120),0.17,0)+IF(AND(V125&lt;=40,W125&gt;=120),0.15,0)+IF(AND(V125&gt;40,V125&lt;75,W125&lt;25),0.35,0)+IF(AND(V125&gt;=40,V125&lt;75,W125&gt;=25,W125&lt;65),0.25,0)+IF(AND(V125&gt;=40,V125&lt;75,W125&gt;=65,W125&lt;100),0.17,0)+IF(AND(V125&gt;=40,V125&lt;75,W125&gt;=100),0.1,0)+IF(AND(V125&gt;=75,W125&lt;25),0.35,0)+IF(AND(V125&gt;=75,W125&gt;=25,W125&lt;60),0.25,0)+IF(AND(V125&gt;=75,W125&gt;=60,W125&lt;95),0.17,0)+IF(AND(V125&gt;=75,W125&gt;=95),0.1,0),
IF(AF125="DoEVba",IF(AND(V125&lt;20,W125&lt;105),0.2,0)+IF(AND(V125&lt;20,W125&gt;=105),0.15,0)+IF(AND(V125&gt;=20,V125&lt;40,W125&lt;95),0.2,0)+IF(AND(V125&gt;=20,V125&lt;40,W125&gt;=95,W125&lt;150),0.15,0)+IF(AND(V125&gt;=20,V125&lt;40,W125&gt;=150),0.12,0)+IF(AND(V125&gt;=40,V125&lt;75,W125&lt;75),0.2,0)+IF(AND(V125&gt;=40,V125&lt;75,W125&gt;=75,W125&lt;120),0.15,0)+IF(AND(V125&gt;=40,V125&lt;75,W125&gt;=120),0.12,0)+IF(AND(V125&gt;=75,V125&lt;175,W125&lt;65),0.2,0)+IF(AND(V125&gt;=75,V125&lt;175,W125&gt;=65,W125&lt;110),0.15,0)+IF(AND(V125&gt;=75,V125&lt;175,W125&gt;=110),0.12,0)+IF(AND(V125&gt;=175,W125&lt;55),0.2,0)+IF(AND(V125&gt;=175,W125&gt;=55,W125&lt;95),0.15,0)+IF(AND(V125&gt;=175,W125&gt;=95),0.12,0),
IF(AF125="DoEVku",IF(AND(V125&lt;20,W125&lt;55),0.23,0)+IF(AND(V125&lt;20,W125&gt;=55,W125&lt;105),0.2,0)+IF(AND(V125&lt;20,W125&gt;=105),0.17,0)+IF(AND(V125&gt;=20,V125&lt;40,W125&lt;45),0.23,0)+IF(AND(V125&gt;=20,V125&lt;40,W125&gt;=45,W125&lt;95),0.2,0)+IF(AND(V125&gt;=20,V125&lt;40,W125&gt;=95,W125&lt;=150),0.17,0)+IF(AND(V125&gt;=20,V125&lt;40,W125&gt;=150),0.12,0)+IF(AND(V125&gt;=40,V125&lt;75,W125&lt;35),0.23,0)+IF(AND(V125&gt;=40,V125&lt;75,W125&gt;=35,W125&lt;75),0.2,0)+IF(AND(V125&gt;=40,V125&lt;75,W125&gt;=75,W125&lt;120),0.17,0)+IF(AND(V125&gt;=40,V125&lt;75,W125&gt;=120),0.12,0)+IF(AND(V125&gt;=75,V125&lt;175,W125&lt;35),0.23,0)+IF(AND(V125&gt;=75,V125&lt;=175,W125&gt;=35,W125&lt;65),0.2,0)+IF(AND(V125&gt;=75,V125&lt;=175,W125&gt;=65,W125&lt;110),0.17,0)+IF(AND(V125&gt;=75,V125&lt;=175,W125&gt;=110),0.12,0)+IF(AND(V125&gt;175,W125&lt;25),0.23,0)+IF(AND(V125&gt;175,W125&gt;=25,W125&lt;55),0.2,0)+IF(AND(V125&gt;175,W125&gt;=55,W125&lt;95),0.17,0)+IF(AND(V125&gt;175,W125&gt;=95),0.12,0),
IF(AF125="DoEVs1",IF(AND(V125&lt;20,W125&lt;55),0.3,0)+IF(AND(V125&lt;20,W125&gt;=55,W125&lt;105),0.23,0)+IF(AND(V125&lt;20,W125&gt;=105),0.17,0)+IF(AND(V125&gt;=20,V125&lt;40,W125&lt;45),0.3,0)+IF(AND(V125&gt;=20,V125&lt;40,W125&gt;=45,W125&lt;95),0.23,0)+IF(AND(V125&gt;=20,V125&lt;40,W125&gt;=95,W125&lt;=150),0.17,0)+IF(AND(V125&gt;=20,V125&lt;40,W125&gt;=150),0.12,0)+IF(AND(V125&gt;=40,V125&lt;75,W125&lt;35),0.3,0)+IF(AND(V125&gt;=40,V125&lt;75,W125&gt;=35,W125&lt;75),0.23,0)+IF(AND(V125&gt;=40,V125&lt;75,W125&gt;=75,W125&lt;120),0.17,0)+IF(AND(V125&gt;=40,V125&lt;75,W125&gt;=120),0.12,0)+IF(AND(V125&gt;=75,V125&lt;175,W125&lt;35),0.3,0)+IF(AND(V125&gt;=75,V125&lt;=175,W125&gt;=35,W125&lt;65),0.23,0)+IF(AND(V125&gt;=75,V125&lt;=175,W125&gt;=65,W125&lt;110),0.17,0)+IF(AND(V125&gt;=75,V125&lt;=175,W125&gt;=110),0.12,0)+IF(AND(V125&gt;175,W125&lt;25),0.3,0)+IF(AND(V125&gt;175,W125&gt;=25,W125&lt;55),0.23,0)+IF(AND(V125&gt;175,W125&gt;=55,W125&lt;95),0.17,0)+IF(AND(V125&gt;175,W125&gt;=95),0.12,0),
IF(AF125="DoEVsu",IF(AND(V125&lt;20,W125&lt;55),0.3,0)+IF(AND(V125&lt;20,W125&gt;=55,W125&lt;105),0.23,0)+IF(AND(V125&lt;20,W125&gt;=105),0.17,0)+IF(AND(V125&gt;=20,V125&lt;40,W125&lt;45),0.3,0)+IF(AND(V125&gt;=20,V125&lt;40,W125&gt;=45,W125&lt;95),0.23,0)+IF(AND(V125&gt;=20,V125&lt;40,W125&gt;=95,W125&lt;=250),0.17,0)+IF(AND(V125&gt;=20,V125&lt;40,W125&gt;=250),0.12,0)+IF(AND(V125&gt;=40,V125&lt;75,W125&lt;35),0.3,0)+IF(AND(V125&gt;=40,V125&lt;75,W125&gt;=35,W125&lt;75),0.23,0)+IF(AND(V125&gt;=40,V125&lt;75,W125&gt;=75,W125&lt;120),0.17,0)+IF(AND(V125&gt;=40,V125&lt;75,W125&gt;=120),0.12,0)+IF(AND(V125&gt;=75,V125&lt;175,W125&lt;35),0.3,0)+IF(AND(V125&gt;=75,V125&lt;=175,W125&gt;=35,W125&lt;65),0.23,0)+IF(AND(V125&gt;=75,V125&lt;=175,W125&gt;=65,W125&lt;110),0.17,0)+IF(AND(V125&gt;=75,V125&lt;=175,W125&gt;=110),0.12,0)+IF(AND(V125&gt;175,W125&lt;25),0.3,0)+IF(AND(V125&gt;175,W125&gt;=25,W125&lt;55),0.23,0)+IF(AND(V125&gt;175,W125&gt;=55,W125&lt;95),0.17,0)+IF(AND(V125&gt;175,W125&gt;=95),0.12,0),
IF(AF125="DoEVni",IF(AND(V125&lt;20,W125&lt;55),0.3,0)+IF(AND(V125&lt;20,W125&gt;=55,W125&lt;105),0.23,0)+IF(AND(V125&lt;20,W125&gt;=105),0.17,0)+IF(AND(V125&gt;=20,V125&lt;40,W125&lt;45),0.3,0)+IF(AND(V125&gt;=20,V125&lt;40,W125&gt;=45,W125&lt;95),0.23,0)+IF(AND(V125&gt;=20,V125&lt;40,W125&gt;=95,W125&lt;=200),0.17,0)+IF(AND(V125&gt;=20,V125&lt;40,W125&gt;=200),0.12,0)+IF(AND(V125&gt;=40,V125&lt;75,W125&lt;35),0.3,0)+IF(AND(V125&gt;=40,V125&lt;75,W125&gt;=35,W125&lt;75),0.23,0)+IF(AND(V125&gt;=40,V125&lt;75,W125&gt;=75,W125&lt;120),0.17,0)+IF(AND(V125&gt;=40,V125&lt;75,W125&gt;=120),0.12,0)+IF(AND(V125&gt;=75,V125&lt;175,W125&lt;35),0.3,0)+IF(AND(V125&gt;=75,V125&lt;=175,W125&gt;=35,W125&lt;65),0.23,0)+IF(AND(V125&gt;=75,V125&lt;=175,W125&gt;=65,W125&lt;110),0.17,0)+IF(AND(V125&gt;=75,V125&lt;=175,W125&gt;=110),0.12,0)+IF(AND(V125&gt;175,W125&lt;25),0.3,0)+IF(AND(V125&gt;175,W125&gt;=25,W125&lt;55),0.23,0)+IF(AND(V125&gt;175,W125&gt;=55,W125&lt;95),0.17,0)+IF(AND(V125&gt;175,W125&gt;=95),0.12,0),
IF(AF125="DoEVLo",IF(AND(V125&lt;20,W125&lt;55),0.25,0)+IF(AND(V125&lt;20,W125&gt;=55,W125&lt;105),0.2,0)+IF(AND(V125&lt;20,W125&gt;=105),0.15,0)+IF(AND(V125&gt;=20,V125&lt;40,W125&lt;45),0.25,0)+IF(AND(V125&gt;=20,V125&lt;40,W125&gt;=45,W125&lt;95),0.2,0)+IF(AND(V125&gt;=20,V125&lt;40,W125&gt;=95),0.15,0)+IF(AND(V125&gt;=40,V125&lt;75,W125&lt;35),0.25,0)+IF(AND(V125&gt;=40,V125&lt;75,W125&gt;=35,W125&lt;75),0.2,0)+IF(AND(V125&gt;=40,V125&lt;75,W125&gt;=75,W125&lt;120),0.15,0)+IF(AND(V125&gt;=40,V125&lt;75,W125&gt;=120),0.1,0)+IF(AND(V125&gt;=75,V125&lt;175,W125&lt;35),0.25,0)+IF(AND(V125&gt;=75,V125&lt;=175,W125&gt;=35,W125&lt;65),0.2,0)+IF(AND(V125&gt;=75,V125&lt;=175,W125&gt;=65,W125&lt;110),0.15,0)+IF(AND(V125&gt;=75,V125&lt;=175,W125&gt;=110),0.1,0)+IF(AND(V125&gt;175,W125&lt;25),0.25,0)+IF(AND(V125&gt;175,W125&gt;=25,W125&lt;55),0.2,0)+IF(AND(V125&gt;175,W125&gt;=55,W125&lt;95),0.15,0)+IF(AND(V125&gt;175,W125&gt;=95),0.1,0))))))))))))))))</f>
        <v>0.15</v>
      </c>
      <c r="Y125" s="30">
        <f>IF(AG125="None",0,IF(AG125="Fix5",0.05,IF(AG125="Fix3.75",0.0375,IF(AG125="Fix10",0.1,IF(AG125="Fix3",0.03,0)))))</f>
        <v>0.05</v>
      </c>
      <c r="Z125" s="35">
        <f>T125-AA125-AB125</f>
        <v>7481.5999999999995</v>
      </c>
      <c r="AA125" s="29">
        <f>IF(AD125="EUR",((T125-R125)*X125)*U125+(R125*X125),(T125*X125))</f>
        <v>1402.8</v>
      </c>
      <c r="AB125" s="36">
        <f>IF(AD125="EUR",((T125-R125)*Y125)*U125+(R125*Y125),(T125*Y125))</f>
        <v>467.6</v>
      </c>
      <c r="AC125" s="37" t="b">
        <v>1</v>
      </c>
      <c r="AD125" s="37" t="s">
        <v>38</v>
      </c>
      <c r="AE125" s="37" t="s">
        <v>38</v>
      </c>
      <c r="AF125" s="37" t="str">
        <f t="array" ref="AF125">INDEX('Deal Info'!D:D, MATCH(A125,'Deal Info'!A:A, 0))</f>
        <v>Fix15</v>
      </c>
      <c r="AG125" s="38" t="str">
        <f t="array" ref="AG125">INDEX('Deal Info'!G:G, MATCH(A125,'Deal Info'!A:A, 0))</f>
        <v>Fix5</v>
      </c>
    </row>
    <row r="126" spans="1:33" ht="14.25" hidden="1" x14ac:dyDescent="0.2">
      <c r="A126" s="18" t="str">
        <f t="array" ref="A126">IF(G126='Room Info'!$B$1, INDEX('Room Info'!$A$2:$A2446, MATCH(B126,'Room Info'!$B$2:$B2446, 0)),IF(G126='Room Info'!$C$1, INDEX('Room Info'!$A$2:$A2446, MATCH(B126,'Room Info'!$C$2:$C2446, 0)),IF(G126='Room Info'!$D$1, INDEX('Room Info'!$A$2:$A2446, MATCH(B126,'Room Info'!$D$2:$D2446, 0)),IF(G126='Room Info'!$E$1, INDEX('Room Info'!$A$2:$A2446, MATCH(B126,'Room Info'!$E$2:$E2446, 0)),IF(G126='Room Info'!$F$1, INDEX('Room Info'!$A$2:$A2446, MATCH(B126,'Room Info'!$F$2:$F2446, 0)),IF(G126='Room Info'!$H$1, INDEX('Room Info'!$A$2:$A2446, MATCH(B126,'Room Info'!$H$2:$H2446, 0)),IF(G126='Room Info'!$G$1, INDEX('Room Info'!$A$2:$A2446, MATCH(B126,'Room Info'!$G$2:$G2446, 0)))))))))</f>
        <v>AlexanderDSL</v>
      </c>
      <c r="B126" s="54" t="s">
        <v>82</v>
      </c>
      <c r="C126" s="46">
        <v>44794</v>
      </c>
      <c r="D126" s="68">
        <v>44824</v>
      </c>
      <c r="E126" s="47">
        <v>44805</v>
      </c>
      <c r="F126" s="45" t="s">
        <v>34</v>
      </c>
      <c r="G126" s="54" t="s">
        <v>35</v>
      </c>
      <c r="H126" s="49" t="s">
        <v>70</v>
      </c>
      <c r="I126" s="49" t="s">
        <v>37</v>
      </c>
      <c r="J126" s="50">
        <v>100</v>
      </c>
      <c r="K126" s="51">
        <v>2801</v>
      </c>
      <c r="L126" s="52">
        <v>1100</v>
      </c>
      <c r="M126" s="53">
        <v>10200</v>
      </c>
      <c r="N126" s="28">
        <f>K126*J126</f>
        <v>280100</v>
      </c>
      <c r="O126" s="54">
        <v>61184</v>
      </c>
      <c r="P126" s="29">
        <v>21.84362728</v>
      </c>
      <c r="Q126" s="55"/>
      <c r="R126" s="31">
        <f>M126+Q126</f>
        <v>10200</v>
      </c>
      <c r="S126" s="56">
        <v>-3729</v>
      </c>
      <c r="T126" s="32">
        <f>R126+S126+IF(F126="Without EV deal",L126,0)</f>
        <v>6471</v>
      </c>
      <c r="U126" s="33">
        <v>1</v>
      </c>
      <c r="V126" s="58"/>
      <c r="W126" s="58"/>
      <c r="X126" s="30">
        <f>IF(AF126="DoEV",IF(AND(V126&lt;20,W126&lt;55),0.3,0)+IF(AND(V126&lt;20,W126&gt;=55,W126&lt;105),0.23,0)+IF(AND(V126&lt;20,W126&gt;=105),0.17,0)+IF(AND(V126&gt;=20,V126&lt;40,W126&lt;45),0.3,0)+IF(AND(V126&gt;=20,V126&lt;40,W126&gt;=45,W126&lt;95),0.23,0)+IF(AND(V126&gt;=20,V126&lt;40,W126&gt;=95),0.17,0)+IF(AND(V126&gt;=40,V126&lt;75,W126&lt;35),0.3,0)+IF(AND(V126&gt;=40,V126&lt;75,W126&gt;=35,W126&lt;75),0.23,0)+IF(AND(V126&gt;=40,V126&lt;75,W126&gt;=75,W126&lt;120),0.17,0)+IF(AND(V126&gt;=40,V126&lt;75,W126&gt;=120),0.12,0)+IF(AND(V126&gt;=75,V126&lt;175,W126&lt;35),0.3,0)+IF(AND(V126&gt;=75,V126&lt;=175,W126&gt;=35,W126&lt;65),0.23,0)+IF(AND(V126&gt;=75,V126&lt;=175,W126&gt;=65,W126&lt;110),0.17,0)+IF(AND(V126&gt;=75,V126&lt;=175,W126&gt;=110),0.12,0)+IF(AND(V126&gt;175,W126&lt;25),0.3,0)+IF(AND(V126&gt;175,W126&gt;=25,W126&lt;55),0.23,0)+IF(AND(V126&gt;175,W126&gt;=55,W126&lt;95),0.17,0)+IF(AND(V126&gt;175,W126&gt;=95),0.12,0),
IF(AF126="Fix15",0.15,
IF(AF126="Fix11.25",0.1125,
IF(AF126="Fix10",0.1,
IF(AF126="Fix9",0.09,
IF(AF126="DoEV2017",IF(AND(W126&lt;74),0.2,0)+IF(AND(W126&gt;=74),0.17,0),
IF(AF126="SF",IF(AND(V126&lt;20,W126&lt;89),0.3,0)+IF(AND(V126&lt;20,W126&gt;=89),0.25,0)+IF(AND(V126&gt;=20,V126&lt;40,W126&lt;74),0.3,0)+IF(AND(V126&gt;=20,V126&lt;40,W126&gt;=75),0.22,0)+IF(AND(V126&gt;=40,V126&lt;75,W126&lt;75),0.26,0)+IF(AND(V126&gt;=40,V126&lt;75,W126&gt;=75),0.22,0)+IF(V126&gt;=75,0.22,0),
IF(AF126="DoEVold",IF(AND(V126&lt;40,W126&lt;35),0.35,0)+IF(AND(V126&lt;40,W126&gt;=35,W126&lt;75),0.25,0)+IF(AND(V126&lt;40,W126&gt;=75),0.17,0)+IF(AND(V126&gt;=40,V126&lt;75,W126&lt;25),0.35,0)+IF(AND(V126&gt;=40,V126&lt;75,W126&gt;=25,W126&lt;65),0.25,0)+IF(AND(V126&gt;=40,V126&lt;75,W126&gt;=65,W126&lt;100),0.17,0)+IF(AND(V126&gt;=40,V126&lt;75,W126&gt;=100),0.1,0)+IF(AND(V126&gt;=75,W126&lt;25),0.35,0)+IF(AND(V126&gt;=75,W126&gt;=25,W126&lt;60),0.25,0)+IF(AND(V126&gt;=75,W126&gt;=60,W126&lt;95),0.17,0)+IF(AND(V126&gt;=75,W126&gt;=95),0.1,0),
IF(AF126="DoEVold15",IF(AND(V126&lt;=40,W126&lt;35),0.35,0)+IF(AND(V126&lt;=40,W126&gt;=35,W126&lt;75),0.25,0)+IF(AND(V126&lt;=40,W126&gt;=75,W126&lt;120),0.17,0)+IF(AND(V126&lt;=40,W126&gt;=120),0.15,0)+IF(AND(V126&gt;40,V126&lt;75,W126&lt;25),0.35,0)+IF(AND(V126&gt;=40,V126&lt;75,W126&gt;=25,W126&lt;65),0.25,0)+IF(AND(V126&gt;=40,V126&lt;75,W126&gt;=65,W126&lt;100),0.17,0)+IF(AND(V126&gt;=40,V126&lt;75,W126&gt;=100),0.1,0)+IF(AND(V126&gt;=75,W126&lt;25),0.35,0)+IF(AND(V126&gt;=75,W126&gt;=25,W126&lt;60),0.25,0)+IF(AND(V126&gt;=75,W126&gt;=60,W126&lt;95),0.17,0)+IF(AND(V126&gt;=75,W126&gt;=95),0.1,0),
IF(AF126="DoEVba",IF(AND(V126&lt;20,W126&lt;105),0.2,0)+IF(AND(V126&lt;20,W126&gt;=105),0.15,0)+IF(AND(V126&gt;=20,V126&lt;40,W126&lt;95),0.2,0)+IF(AND(V126&gt;=20,V126&lt;40,W126&gt;=95,W126&lt;150),0.15,0)+IF(AND(V126&gt;=20,V126&lt;40,W126&gt;=150),0.12,0)+IF(AND(V126&gt;=40,V126&lt;75,W126&lt;75),0.2,0)+IF(AND(V126&gt;=40,V126&lt;75,W126&gt;=75,W126&lt;120),0.15,0)+IF(AND(V126&gt;=40,V126&lt;75,W126&gt;=120),0.12,0)+IF(AND(V126&gt;=75,V126&lt;175,W126&lt;65),0.2,0)+IF(AND(V126&gt;=75,V126&lt;175,W126&gt;=65,W126&lt;110),0.15,0)+IF(AND(V126&gt;=75,V126&lt;175,W126&gt;=110),0.12,0)+IF(AND(V126&gt;=175,W126&lt;55),0.2,0)+IF(AND(V126&gt;=175,W126&gt;=55,W126&lt;95),0.15,0)+IF(AND(V126&gt;=175,W126&gt;=95),0.12,0),
IF(AF126="DoEVku",IF(AND(V126&lt;20,W126&lt;55),0.23,0)+IF(AND(V126&lt;20,W126&gt;=55,W126&lt;105),0.2,0)+IF(AND(V126&lt;20,W126&gt;=105),0.17,0)+IF(AND(V126&gt;=20,V126&lt;40,W126&lt;45),0.23,0)+IF(AND(V126&gt;=20,V126&lt;40,W126&gt;=45,W126&lt;95),0.2,0)+IF(AND(V126&gt;=20,V126&lt;40,W126&gt;=95,W126&lt;=150),0.17,0)+IF(AND(V126&gt;=20,V126&lt;40,W126&gt;=150),0.12,0)+IF(AND(V126&gt;=40,V126&lt;75,W126&lt;35),0.23,0)+IF(AND(V126&gt;=40,V126&lt;75,W126&gt;=35,W126&lt;75),0.2,0)+IF(AND(V126&gt;=40,V126&lt;75,W126&gt;=75,W126&lt;120),0.17,0)+IF(AND(V126&gt;=40,V126&lt;75,W126&gt;=120),0.12,0)+IF(AND(V126&gt;=75,V126&lt;175,W126&lt;35),0.23,0)+IF(AND(V126&gt;=75,V126&lt;=175,W126&gt;=35,W126&lt;65),0.2,0)+IF(AND(V126&gt;=75,V126&lt;=175,W126&gt;=65,W126&lt;110),0.17,0)+IF(AND(V126&gt;=75,V126&lt;=175,W126&gt;=110),0.12,0)+IF(AND(V126&gt;175,W126&lt;25),0.23,0)+IF(AND(V126&gt;175,W126&gt;=25,W126&lt;55),0.2,0)+IF(AND(V126&gt;175,W126&gt;=55,W126&lt;95),0.17,0)+IF(AND(V126&gt;175,W126&gt;=95),0.12,0),
IF(AF126="DoEVs1",IF(AND(V126&lt;20,W126&lt;55),0.3,0)+IF(AND(V126&lt;20,W126&gt;=55,W126&lt;105),0.23,0)+IF(AND(V126&lt;20,W126&gt;=105),0.17,0)+IF(AND(V126&gt;=20,V126&lt;40,W126&lt;45),0.3,0)+IF(AND(V126&gt;=20,V126&lt;40,W126&gt;=45,W126&lt;95),0.23,0)+IF(AND(V126&gt;=20,V126&lt;40,W126&gt;=95,W126&lt;=150),0.17,0)+IF(AND(V126&gt;=20,V126&lt;40,W126&gt;=150),0.12,0)+IF(AND(V126&gt;=40,V126&lt;75,W126&lt;35),0.3,0)+IF(AND(V126&gt;=40,V126&lt;75,W126&gt;=35,W126&lt;75),0.23,0)+IF(AND(V126&gt;=40,V126&lt;75,W126&gt;=75,W126&lt;120),0.17,0)+IF(AND(V126&gt;=40,V126&lt;75,W126&gt;=120),0.12,0)+IF(AND(V126&gt;=75,V126&lt;175,W126&lt;35),0.3,0)+IF(AND(V126&gt;=75,V126&lt;=175,W126&gt;=35,W126&lt;65),0.23,0)+IF(AND(V126&gt;=75,V126&lt;=175,W126&gt;=65,W126&lt;110),0.17,0)+IF(AND(V126&gt;=75,V126&lt;=175,W126&gt;=110),0.12,0)+IF(AND(V126&gt;175,W126&lt;25),0.3,0)+IF(AND(V126&gt;175,W126&gt;=25,W126&lt;55),0.23,0)+IF(AND(V126&gt;175,W126&gt;=55,W126&lt;95),0.17,0)+IF(AND(V126&gt;175,W126&gt;=95),0.12,0),
IF(AF126="DoEVsu",IF(AND(V126&lt;20,W126&lt;55),0.3,0)+IF(AND(V126&lt;20,W126&gt;=55,W126&lt;105),0.23,0)+IF(AND(V126&lt;20,W126&gt;=105),0.17,0)+IF(AND(V126&gt;=20,V126&lt;40,W126&lt;45),0.3,0)+IF(AND(V126&gt;=20,V126&lt;40,W126&gt;=45,W126&lt;95),0.23,0)+IF(AND(V126&gt;=20,V126&lt;40,W126&gt;=95,W126&lt;=250),0.17,0)+IF(AND(V126&gt;=20,V126&lt;40,W126&gt;=250),0.12,0)+IF(AND(V126&gt;=40,V126&lt;75,W126&lt;35),0.3,0)+IF(AND(V126&gt;=40,V126&lt;75,W126&gt;=35,W126&lt;75),0.23,0)+IF(AND(V126&gt;=40,V126&lt;75,W126&gt;=75,W126&lt;120),0.17,0)+IF(AND(V126&gt;=40,V126&lt;75,W126&gt;=120),0.12,0)+IF(AND(V126&gt;=75,V126&lt;175,W126&lt;35),0.3,0)+IF(AND(V126&gt;=75,V126&lt;=175,W126&gt;=35,W126&lt;65),0.23,0)+IF(AND(V126&gt;=75,V126&lt;=175,W126&gt;=65,W126&lt;110),0.17,0)+IF(AND(V126&gt;=75,V126&lt;=175,W126&gt;=110),0.12,0)+IF(AND(V126&gt;175,W126&lt;25),0.3,0)+IF(AND(V126&gt;175,W126&gt;=25,W126&lt;55),0.23,0)+IF(AND(V126&gt;175,W126&gt;=55,W126&lt;95),0.17,0)+IF(AND(V126&gt;175,W126&gt;=95),0.12,0),
IF(AF126="DoEVni",IF(AND(V126&lt;20,W126&lt;55),0.3,0)+IF(AND(V126&lt;20,W126&gt;=55,W126&lt;105),0.23,0)+IF(AND(V126&lt;20,W126&gt;=105),0.17,0)+IF(AND(V126&gt;=20,V126&lt;40,W126&lt;45),0.3,0)+IF(AND(V126&gt;=20,V126&lt;40,W126&gt;=45,W126&lt;95),0.23,0)+IF(AND(V126&gt;=20,V126&lt;40,W126&gt;=95,W126&lt;=200),0.17,0)+IF(AND(V126&gt;=20,V126&lt;40,W126&gt;=200),0.12,0)+IF(AND(V126&gt;=40,V126&lt;75,W126&lt;35),0.3,0)+IF(AND(V126&gt;=40,V126&lt;75,W126&gt;=35,W126&lt;75),0.23,0)+IF(AND(V126&gt;=40,V126&lt;75,W126&gt;=75,W126&lt;120),0.17,0)+IF(AND(V126&gt;=40,V126&lt;75,W126&gt;=120),0.12,0)+IF(AND(V126&gt;=75,V126&lt;175,W126&lt;35),0.3,0)+IF(AND(V126&gt;=75,V126&lt;=175,W126&gt;=35,W126&lt;65),0.23,0)+IF(AND(V126&gt;=75,V126&lt;=175,W126&gt;=65,W126&lt;110),0.17,0)+IF(AND(V126&gt;=75,V126&lt;=175,W126&gt;=110),0.12,0)+IF(AND(V126&gt;175,W126&lt;25),0.3,0)+IF(AND(V126&gt;175,W126&gt;=25,W126&lt;55),0.23,0)+IF(AND(V126&gt;175,W126&gt;=55,W126&lt;95),0.17,0)+IF(AND(V126&gt;175,W126&gt;=95),0.12,0),
IF(AF126="DoEVLo",IF(AND(V126&lt;20,W126&lt;55),0.25,0)+IF(AND(V126&lt;20,W126&gt;=55,W126&lt;105),0.2,0)+IF(AND(V126&lt;20,W126&gt;=105),0.15,0)+IF(AND(V126&gt;=20,V126&lt;40,W126&lt;45),0.25,0)+IF(AND(V126&gt;=20,V126&lt;40,W126&gt;=45,W126&lt;95),0.2,0)+IF(AND(V126&gt;=20,V126&lt;40,W126&gt;=95),0.15,0)+IF(AND(V126&gt;=40,V126&lt;75,W126&lt;35),0.25,0)+IF(AND(V126&gt;=40,V126&lt;75,W126&gt;=35,W126&lt;75),0.2,0)+IF(AND(V126&gt;=40,V126&lt;75,W126&gt;=75,W126&lt;120),0.15,0)+IF(AND(V126&gt;=40,V126&lt;75,W126&gt;=120),0.1,0)+IF(AND(V126&gt;=75,V126&lt;175,W126&lt;35),0.25,0)+IF(AND(V126&gt;=75,V126&lt;=175,W126&gt;=35,W126&lt;65),0.2,0)+IF(AND(V126&gt;=75,V126&lt;=175,W126&gt;=65,W126&lt;110),0.15,0)+IF(AND(V126&gt;=75,V126&lt;=175,W126&gt;=110),0.1,0)+IF(AND(V126&gt;175,W126&lt;25),0.25,0)+IF(AND(V126&gt;175,W126&gt;=25,W126&lt;55),0.2,0)+IF(AND(V126&gt;175,W126&gt;=55,W126&lt;95),0.15,0)+IF(AND(V126&gt;175,W126&gt;=95),0.1,0))))))))))))))))</f>
        <v>0.15</v>
      </c>
      <c r="Y126" s="30">
        <f>IF(AG126="None",0,IF(AG126="Fix5",0.05,IF(AG126="Fix3.75",0.0375,IF(AG126="Fix10",0.1,IF(AG126="Fix3",0.03,0)))))</f>
        <v>0.05</v>
      </c>
      <c r="Z126" s="35">
        <f>T126-AA126-AB126</f>
        <v>5176.8</v>
      </c>
      <c r="AA126" s="29">
        <f>IF(AD126="EUR",((T126-R126)*X126)*U126+(R126*X126),(T126*X126))</f>
        <v>970.65</v>
      </c>
      <c r="AB126" s="36">
        <f>IF(AD126="EUR",((T126-R126)*Y126)*U126+(R126*Y126),(T126*Y126))</f>
        <v>323.55</v>
      </c>
      <c r="AC126" s="37" t="b">
        <v>1</v>
      </c>
      <c r="AD126" s="37" t="s">
        <v>38</v>
      </c>
      <c r="AE126" s="37" t="s">
        <v>38</v>
      </c>
      <c r="AF126" s="37" t="str">
        <f t="array" ref="AF126">INDEX('Deal Info'!D:D, MATCH(A126,'Deal Info'!A:A, 0))</f>
        <v>Fix15</v>
      </c>
      <c r="AG126" s="38" t="str">
        <f t="array" ref="AG126">INDEX('Deal Info'!G:G, MATCH(A126,'Deal Info'!A:A, 0))</f>
        <v>Fix5</v>
      </c>
    </row>
    <row r="127" spans="1:33" ht="14.25" hidden="1" x14ac:dyDescent="0.2">
      <c r="A127" s="18" t="str">
        <f t="array" ref="A127">IF(G127='Room Info'!$B$1, INDEX('Room Info'!$A$2:$A2446, MATCH(B127,'Room Info'!$B$2:$B2446, 0)),IF(G127='Room Info'!$C$1, INDEX('Room Info'!$A$2:$A2446, MATCH(B127,'Room Info'!$C$2:$C2446, 0)),IF(G127='Room Info'!$D$1, INDEX('Room Info'!$A$2:$A2446, MATCH(B127,'Room Info'!$D$2:$D2446, 0)),IF(G127='Room Info'!$E$1, INDEX('Room Info'!$A$2:$A2446, MATCH(B127,'Room Info'!$E$2:$E2446, 0)),IF(G127='Room Info'!$F$1, INDEX('Room Info'!$A$2:$A2446, MATCH(B127,'Room Info'!$F$2:$F2446, 0)),IF(G127='Room Info'!$H$1, INDEX('Room Info'!$A$2:$A2446, MATCH(B127,'Room Info'!$H$2:$H2446, 0)),IF(G127='Room Info'!$G$1, INDEX('Room Info'!$A$2:$A2446, MATCH(B127,'Room Info'!$G$2:$G2446, 0)))))))))</f>
        <v>AlexanderDSL</v>
      </c>
      <c r="B127" s="54" t="s">
        <v>82</v>
      </c>
      <c r="C127" s="46">
        <v>44825</v>
      </c>
      <c r="D127" s="46">
        <v>44854</v>
      </c>
      <c r="E127" s="47">
        <v>44835</v>
      </c>
      <c r="F127" s="45" t="s">
        <v>34</v>
      </c>
      <c r="G127" s="54" t="s">
        <v>35</v>
      </c>
      <c r="H127" s="49" t="s">
        <v>70</v>
      </c>
      <c r="I127" s="49" t="s">
        <v>37</v>
      </c>
      <c r="J127" s="50">
        <v>100</v>
      </c>
      <c r="K127" s="51">
        <v>2800</v>
      </c>
      <c r="L127" s="52">
        <v>-3800</v>
      </c>
      <c r="M127" s="53">
        <v>10900</v>
      </c>
      <c r="N127" s="28">
        <f>K127*J127</f>
        <v>280000</v>
      </c>
      <c r="O127" s="54">
        <v>42419</v>
      </c>
      <c r="P127" s="29">
        <v>15.14964286</v>
      </c>
      <c r="Q127" s="55"/>
      <c r="R127" s="31">
        <f>M127+Q127</f>
        <v>10900</v>
      </c>
      <c r="S127" s="56">
        <v>-7136</v>
      </c>
      <c r="T127" s="32">
        <f>R127+S127+IF(F127="Without EV deal",L127,0)</f>
        <v>3764</v>
      </c>
      <c r="U127" s="33">
        <v>1</v>
      </c>
      <c r="V127" s="58"/>
      <c r="W127" s="58"/>
      <c r="X127" s="30">
        <f>IF(AF127="DoEV",IF(AND(V127&lt;20,W127&lt;55),0.3,0)+IF(AND(V127&lt;20,W127&gt;=55,W127&lt;105),0.23,0)+IF(AND(V127&lt;20,W127&gt;=105),0.17,0)+IF(AND(V127&gt;=20,V127&lt;40,W127&lt;45),0.3,0)+IF(AND(V127&gt;=20,V127&lt;40,W127&gt;=45,W127&lt;95),0.23,0)+IF(AND(V127&gt;=20,V127&lt;40,W127&gt;=95),0.17,0)+IF(AND(V127&gt;=40,V127&lt;75,W127&lt;35),0.3,0)+IF(AND(V127&gt;=40,V127&lt;75,W127&gt;=35,W127&lt;75),0.23,0)+IF(AND(V127&gt;=40,V127&lt;75,W127&gt;=75,W127&lt;120),0.17,0)+IF(AND(V127&gt;=40,V127&lt;75,W127&gt;=120),0.12,0)+IF(AND(V127&gt;=75,V127&lt;175,W127&lt;35),0.3,0)+IF(AND(V127&gt;=75,V127&lt;=175,W127&gt;=35,W127&lt;65),0.23,0)+IF(AND(V127&gt;=75,V127&lt;=175,W127&gt;=65,W127&lt;110),0.17,0)+IF(AND(V127&gt;=75,V127&lt;=175,W127&gt;=110),0.12,0)+IF(AND(V127&gt;175,W127&lt;25),0.3,0)+IF(AND(V127&gt;175,W127&gt;=25,W127&lt;55),0.23,0)+IF(AND(V127&gt;175,W127&gt;=55,W127&lt;95),0.17,0)+IF(AND(V127&gt;175,W127&gt;=95),0.12,0),
IF(AF127="Fix15",0.15,
IF(AF127="Fix11.25",0.1125,
IF(AF127="Fix10",0.1,
IF(AF127="Fix9",0.09,
IF(AF127="DoEV2017",IF(AND(W127&lt;74),0.2,0)+IF(AND(W127&gt;=74),0.17,0),
IF(AF127="SF",IF(AND(V127&lt;20,W127&lt;89),0.3,0)+IF(AND(V127&lt;20,W127&gt;=89),0.25,0)+IF(AND(V127&gt;=20,V127&lt;40,W127&lt;74),0.3,0)+IF(AND(V127&gt;=20,V127&lt;40,W127&gt;=75),0.22,0)+IF(AND(V127&gt;=40,V127&lt;75,W127&lt;75),0.26,0)+IF(AND(V127&gt;=40,V127&lt;75,W127&gt;=75),0.22,0)+IF(V127&gt;=75,0.22,0),
IF(AF127="DoEVold",IF(AND(V127&lt;40,W127&lt;35),0.35,0)+IF(AND(V127&lt;40,W127&gt;=35,W127&lt;75),0.25,0)+IF(AND(V127&lt;40,W127&gt;=75),0.17,0)+IF(AND(V127&gt;=40,V127&lt;75,W127&lt;25),0.35,0)+IF(AND(V127&gt;=40,V127&lt;75,W127&gt;=25,W127&lt;65),0.25,0)+IF(AND(V127&gt;=40,V127&lt;75,W127&gt;=65,W127&lt;100),0.17,0)+IF(AND(V127&gt;=40,V127&lt;75,W127&gt;=100),0.1,0)+IF(AND(V127&gt;=75,W127&lt;25),0.35,0)+IF(AND(V127&gt;=75,W127&gt;=25,W127&lt;60),0.25,0)+IF(AND(V127&gt;=75,W127&gt;=60,W127&lt;95),0.17,0)+IF(AND(V127&gt;=75,W127&gt;=95),0.1,0),
IF(AF127="DoEVold15",IF(AND(V127&lt;=40,W127&lt;35),0.35,0)+IF(AND(V127&lt;=40,W127&gt;=35,W127&lt;75),0.25,0)+IF(AND(V127&lt;=40,W127&gt;=75,W127&lt;120),0.17,0)+IF(AND(V127&lt;=40,W127&gt;=120),0.15,0)+IF(AND(V127&gt;40,V127&lt;75,W127&lt;25),0.35,0)+IF(AND(V127&gt;=40,V127&lt;75,W127&gt;=25,W127&lt;65),0.25,0)+IF(AND(V127&gt;=40,V127&lt;75,W127&gt;=65,W127&lt;100),0.17,0)+IF(AND(V127&gt;=40,V127&lt;75,W127&gt;=100),0.1,0)+IF(AND(V127&gt;=75,W127&lt;25),0.35,0)+IF(AND(V127&gt;=75,W127&gt;=25,W127&lt;60),0.25,0)+IF(AND(V127&gt;=75,W127&gt;=60,W127&lt;95),0.17,0)+IF(AND(V127&gt;=75,W127&gt;=95),0.1,0),
IF(AF127="DoEVba",IF(AND(V127&lt;20,W127&lt;105),0.2,0)+IF(AND(V127&lt;20,W127&gt;=105),0.15,0)+IF(AND(V127&gt;=20,V127&lt;40,W127&lt;95),0.2,0)+IF(AND(V127&gt;=20,V127&lt;40,W127&gt;=95,W127&lt;150),0.15,0)+IF(AND(V127&gt;=20,V127&lt;40,W127&gt;=150),0.12,0)+IF(AND(V127&gt;=40,V127&lt;75,W127&lt;75),0.2,0)+IF(AND(V127&gt;=40,V127&lt;75,W127&gt;=75,W127&lt;120),0.15,0)+IF(AND(V127&gt;=40,V127&lt;75,W127&gt;=120),0.12,0)+IF(AND(V127&gt;=75,V127&lt;175,W127&lt;65),0.2,0)+IF(AND(V127&gt;=75,V127&lt;175,W127&gt;=65,W127&lt;110),0.15,0)+IF(AND(V127&gt;=75,V127&lt;175,W127&gt;=110),0.12,0)+IF(AND(V127&gt;=175,W127&lt;55),0.2,0)+IF(AND(V127&gt;=175,W127&gt;=55,W127&lt;95),0.15,0)+IF(AND(V127&gt;=175,W127&gt;=95),0.12,0),
IF(AF127="DoEVku",IF(AND(V127&lt;20,W127&lt;55),0.23,0)+IF(AND(V127&lt;20,W127&gt;=55,W127&lt;105),0.2,0)+IF(AND(V127&lt;20,W127&gt;=105),0.17,0)+IF(AND(V127&gt;=20,V127&lt;40,W127&lt;45),0.23,0)+IF(AND(V127&gt;=20,V127&lt;40,W127&gt;=45,W127&lt;95),0.2,0)+IF(AND(V127&gt;=20,V127&lt;40,W127&gt;=95,W127&lt;=150),0.17,0)+IF(AND(V127&gt;=20,V127&lt;40,W127&gt;=150),0.12,0)+IF(AND(V127&gt;=40,V127&lt;75,W127&lt;35),0.23,0)+IF(AND(V127&gt;=40,V127&lt;75,W127&gt;=35,W127&lt;75),0.2,0)+IF(AND(V127&gt;=40,V127&lt;75,W127&gt;=75,W127&lt;120),0.17,0)+IF(AND(V127&gt;=40,V127&lt;75,W127&gt;=120),0.12,0)+IF(AND(V127&gt;=75,V127&lt;175,W127&lt;35),0.23,0)+IF(AND(V127&gt;=75,V127&lt;=175,W127&gt;=35,W127&lt;65),0.2,0)+IF(AND(V127&gt;=75,V127&lt;=175,W127&gt;=65,W127&lt;110),0.17,0)+IF(AND(V127&gt;=75,V127&lt;=175,W127&gt;=110),0.12,0)+IF(AND(V127&gt;175,W127&lt;25),0.23,0)+IF(AND(V127&gt;175,W127&gt;=25,W127&lt;55),0.2,0)+IF(AND(V127&gt;175,W127&gt;=55,W127&lt;95),0.17,0)+IF(AND(V127&gt;175,W127&gt;=95),0.12,0),
IF(AF127="DoEVs1",IF(AND(V127&lt;20,W127&lt;55),0.3,0)+IF(AND(V127&lt;20,W127&gt;=55,W127&lt;105),0.23,0)+IF(AND(V127&lt;20,W127&gt;=105),0.17,0)+IF(AND(V127&gt;=20,V127&lt;40,W127&lt;45),0.3,0)+IF(AND(V127&gt;=20,V127&lt;40,W127&gt;=45,W127&lt;95),0.23,0)+IF(AND(V127&gt;=20,V127&lt;40,W127&gt;=95,W127&lt;=150),0.17,0)+IF(AND(V127&gt;=20,V127&lt;40,W127&gt;=150),0.12,0)+IF(AND(V127&gt;=40,V127&lt;75,W127&lt;35),0.3,0)+IF(AND(V127&gt;=40,V127&lt;75,W127&gt;=35,W127&lt;75),0.23,0)+IF(AND(V127&gt;=40,V127&lt;75,W127&gt;=75,W127&lt;120),0.17,0)+IF(AND(V127&gt;=40,V127&lt;75,W127&gt;=120),0.12,0)+IF(AND(V127&gt;=75,V127&lt;175,W127&lt;35),0.3,0)+IF(AND(V127&gt;=75,V127&lt;=175,W127&gt;=35,W127&lt;65),0.23,0)+IF(AND(V127&gt;=75,V127&lt;=175,W127&gt;=65,W127&lt;110),0.17,0)+IF(AND(V127&gt;=75,V127&lt;=175,W127&gt;=110),0.12,0)+IF(AND(V127&gt;175,W127&lt;25),0.3,0)+IF(AND(V127&gt;175,W127&gt;=25,W127&lt;55),0.23,0)+IF(AND(V127&gt;175,W127&gt;=55,W127&lt;95),0.17,0)+IF(AND(V127&gt;175,W127&gt;=95),0.12,0),
IF(AF127="DoEVsu",IF(AND(V127&lt;20,W127&lt;55),0.3,0)+IF(AND(V127&lt;20,W127&gt;=55,W127&lt;105),0.23,0)+IF(AND(V127&lt;20,W127&gt;=105),0.17,0)+IF(AND(V127&gt;=20,V127&lt;40,W127&lt;45),0.3,0)+IF(AND(V127&gt;=20,V127&lt;40,W127&gt;=45,W127&lt;95),0.23,0)+IF(AND(V127&gt;=20,V127&lt;40,W127&gt;=95,W127&lt;=250),0.17,0)+IF(AND(V127&gt;=20,V127&lt;40,W127&gt;=250),0.12,0)+IF(AND(V127&gt;=40,V127&lt;75,W127&lt;35),0.3,0)+IF(AND(V127&gt;=40,V127&lt;75,W127&gt;=35,W127&lt;75),0.23,0)+IF(AND(V127&gt;=40,V127&lt;75,W127&gt;=75,W127&lt;120),0.17,0)+IF(AND(V127&gt;=40,V127&lt;75,W127&gt;=120),0.12,0)+IF(AND(V127&gt;=75,V127&lt;175,W127&lt;35),0.3,0)+IF(AND(V127&gt;=75,V127&lt;=175,W127&gt;=35,W127&lt;65),0.23,0)+IF(AND(V127&gt;=75,V127&lt;=175,W127&gt;=65,W127&lt;110),0.17,0)+IF(AND(V127&gt;=75,V127&lt;=175,W127&gt;=110),0.12,0)+IF(AND(V127&gt;175,W127&lt;25),0.3,0)+IF(AND(V127&gt;175,W127&gt;=25,W127&lt;55),0.23,0)+IF(AND(V127&gt;175,W127&gt;=55,W127&lt;95),0.17,0)+IF(AND(V127&gt;175,W127&gt;=95),0.12,0),
IF(AF127="DoEVni",IF(AND(V127&lt;20,W127&lt;55),0.3,0)+IF(AND(V127&lt;20,W127&gt;=55,W127&lt;105),0.23,0)+IF(AND(V127&lt;20,W127&gt;=105),0.17,0)+IF(AND(V127&gt;=20,V127&lt;40,W127&lt;45),0.3,0)+IF(AND(V127&gt;=20,V127&lt;40,W127&gt;=45,W127&lt;95),0.23,0)+IF(AND(V127&gt;=20,V127&lt;40,W127&gt;=95,W127&lt;=200),0.17,0)+IF(AND(V127&gt;=20,V127&lt;40,W127&gt;=200),0.12,0)+IF(AND(V127&gt;=40,V127&lt;75,W127&lt;35),0.3,0)+IF(AND(V127&gt;=40,V127&lt;75,W127&gt;=35,W127&lt;75),0.23,0)+IF(AND(V127&gt;=40,V127&lt;75,W127&gt;=75,W127&lt;120),0.17,0)+IF(AND(V127&gt;=40,V127&lt;75,W127&gt;=120),0.12,0)+IF(AND(V127&gt;=75,V127&lt;175,W127&lt;35),0.3,0)+IF(AND(V127&gt;=75,V127&lt;=175,W127&gt;=35,W127&lt;65),0.23,0)+IF(AND(V127&gt;=75,V127&lt;=175,W127&gt;=65,W127&lt;110),0.17,0)+IF(AND(V127&gt;=75,V127&lt;=175,W127&gt;=110),0.12,0)+IF(AND(V127&gt;175,W127&lt;25),0.3,0)+IF(AND(V127&gt;175,W127&gt;=25,W127&lt;55),0.23,0)+IF(AND(V127&gt;175,W127&gt;=55,W127&lt;95),0.17,0)+IF(AND(V127&gt;175,W127&gt;=95),0.12,0),
IF(AF127="DoEVLo",IF(AND(V127&lt;20,W127&lt;55),0.25,0)+IF(AND(V127&lt;20,W127&gt;=55,W127&lt;105),0.2,0)+IF(AND(V127&lt;20,W127&gt;=105),0.15,0)+IF(AND(V127&gt;=20,V127&lt;40,W127&lt;45),0.25,0)+IF(AND(V127&gt;=20,V127&lt;40,W127&gt;=45,W127&lt;95),0.2,0)+IF(AND(V127&gt;=20,V127&lt;40,W127&gt;=95),0.15,0)+IF(AND(V127&gt;=40,V127&lt;75,W127&lt;35),0.25,0)+IF(AND(V127&gt;=40,V127&lt;75,W127&gt;=35,W127&lt;75),0.2,0)+IF(AND(V127&gt;=40,V127&lt;75,W127&gt;=75,W127&lt;120),0.15,0)+IF(AND(V127&gt;=40,V127&lt;75,W127&gt;=120),0.1,0)+IF(AND(V127&gt;=75,V127&lt;175,W127&lt;35),0.25,0)+IF(AND(V127&gt;=75,V127&lt;=175,W127&gt;=35,W127&lt;65),0.2,0)+IF(AND(V127&gt;=75,V127&lt;=175,W127&gt;=65,W127&lt;110),0.15,0)+IF(AND(V127&gt;=75,V127&lt;=175,W127&gt;=110),0.1,0)+IF(AND(V127&gt;175,W127&lt;25),0.25,0)+IF(AND(V127&gt;175,W127&gt;=25,W127&lt;55),0.2,0)+IF(AND(V127&gt;175,W127&gt;=55,W127&lt;95),0.15,0)+IF(AND(V127&gt;175,W127&gt;=95),0.1,0))))))))))))))))</f>
        <v>0.15</v>
      </c>
      <c r="Y127" s="30">
        <f>IF(AG127="None",0,IF(AG127="Fix5",0.05,IF(AG127="Fix3.75",0.0375,IF(AG127="Fix10",0.1,IF(AG127="Fix3",0.03,0)))))</f>
        <v>0.05</v>
      </c>
      <c r="Z127" s="35">
        <f>T127-AA127-AB127</f>
        <v>3011.2000000000003</v>
      </c>
      <c r="AA127" s="29">
        <f>IF(AD127="EUR",((T127-R127)*X127)*U127+(R127*X127),(T127*X127))</f>
        <v>564.6</v>
      </c>
      <c r="AB127" s="36">
        <f>IF(AD127="EUR",((T127-R127)*Y127)*U127+(R127*Y127),(T127*Y127))</f>
        <v>188.20000000000002</v>
      </c>
      <c r="AC127" s="37" t="b">
        <v>1</v>
      </c>
      <c r="AD127" s="37" t="s">
        <v>38</v>
      </c>
      <c r="AE127" s="37" t="s">
        <v>38</v>
      </c>
      <c r="AF127" s="37" t="str">
        <f t="array" ref="AF127">INDEX('Deal Info'!D:D, MATCH(A127,'Deal Info'!A:A, 0))</f>
        <v>Fix15</v>
      </c>
      <c r="AG127" s="38" t="str">
        <f t="array" ref="AG127">INDEX('Deal Info'!G:G, MATCH(A127,'Deal Info'!A:A, 0))</f>
        <v>Fix5</v>
      </c>
    </row>
    <row r="128" spans="1:33" ht="14.25" hidden="1" x14ac:dyDescent="0.2">
      <c r="A128" s="18" t="str">
        <f t="array" ref="A128">IF(G128='Room Info'!$B$1, INDEX('Room Info'!$A$2:$A2446, MATCH(B128,'Room Info'!$B$2:$B2446, 0)),IF(G128='Room Info'!$C$1, INDEX('Room Info'!$A$2:$A2446, MATCH(B128,'Room Info'!$C$2:$C2446, 0)),IF(G128='Room Info'!$D$1, INDEX('Room Info'!$A$2:$A2446, MATCH(B128,'Room Info'!$D$2:$D2446, 0)),IF(G128='Room Info'!$E$1, INDEX('Room Info'!$A$2:$A2446, MATCH(B128,'Room Info'!$E$2:$E2446, 0)),IF(G128='Room Info'!$F$1, INDEX('Room Info'!$A$2:$A2446, MATCH(B128,'Room Info'!$F$2:$F2446, 0)),IF(G128='Room Info'!$H$1, INDEX('Room Info'!$A$2:$A2446, MATCH(B128,'Room Info'!$H$2:$H2446, 0)),IF(G128='Room Info'!$G$1, INDEX('Room Info'!$A$2:$A2446, MATCH(B128,'Room Info'!$G$2:$G2446, 0)))))))))</f>
        <v>AlexanderDSL</v>
      </c>
      <c r="B128" s="54" t="s">
        <v>82</v>
      </c>
      <c r="C128" s="46">
        <v>44855</v>
      </c>
      <c r="D128" s="68">
        <v>44885</v>
      </c>
      <c r="E128" s="47">
        <v>44866</v>
      </c>
      <c r="F128" s="45" t="s">
        <v>34</v>
      </c>
      <c r="G128" s="54" t="s">
        <v>35</v>
      </c>
      <c r="H128" s="49" t="s">
        <v>70</v>
      </c>
      <c r="I128" s="49" t="s">
        <v>37</v>
      </c>
      <c r="J128" s="50">
        <v>100</v>
      </c>
      <c r="K128" s="51">
        <v>1374</v>
      </c>
      <c r="L128" s="52">
        <v>-2800</v>
      </c>
      <c r="M128" s="53">
        <v>4520</v>
      </c>
      <c r="N128" s="28">
        <f>K128*J128</f>
        <v>137400</v>
      </c>
      <c r="O128" s="54">
        <v>19906</v>
      </c>
      <c r="P128" s="29">
        <v>14.48762737</v>
      </c>
      <c r="Q128" s="55"/>
      <c r="R128" s="31">
        <f>M128+Q128</f>
        <v>4520</v>
      </c>
      <c r="S128" s="56">
        <v>-3897</v>
      </c>
      <c r="T128" s="32">
        <f>R128+S128+IF(F128="Without EV deal",L128,0)</f>
        <v>623</v>
      </c>
      <c r="U128" s="33">
        <v>1</v>
      </c>
      <c r="V128" s="58"/>
      <c r="W128" s="58"/>
      <c r="X128" s="30">
        <f>IF(AF128="DoEV",IF(AND(V128&lt;20,W128&lt;55),0.3,0)+IF(AND(V128&lt;20,W128&gt;=55,W128&lt;105),0.23,0)+IF(AND(V128&lt;20,W128&gt;=105),0.17,0)+IF(AND(V128&gt;=20,V128&lt;40,W128&lt;45),0.3,0)+IF(AND(V128&gt;=20,V128&lt;40,W128&gt;=45,W128&lt;95),0.23,0)+IF(AND(V128&gt;=20,V128&lt;40,W128&gt;=95),0.17,0)+IF(AND(V128&gt;=40,V128&lt;75,W128&lt;35),0.3,0)+IF(AND(V128&gt;=40,V128&lt;75,W128&gt;=35,W128&lt;75),0.23,0)+IF(AND(V128&gt;=40,V128&lt;75,W128&gt;=75,W128&lt;120),0.17,0)+IF(AND(V128&gt;=40,V128&lt;75,W128&gt;=120),0.12,0)+IF(AND(V128&gt;=75,V128&lt;175,W128&lt;35),0.3,0)+IF(AND(V128&gt;=75,V128&lt;=175,W128&gt;=35,W128&lt;65),0.23,0)+IF(AND(V128&gt;=75,V128&lt;=175,W128&gt;=65,W128&lt;110),0.17,0)+IF(AND(V128&gt;=75,V128&lt;=175,W128&gt;=110),0.12,0)+IF(AND(V128&gt;175,W128&lt;25),0.3,0)+IF(AND(V128&gt;175,W128&gt;=25,W128&lt;55),0.23,0)+IF(AND(V128&gt;175,W128&gt;=55,W128&lt;95),0.17,0)+IF(AND(V128&gt;175,W128&gt;=95),0.12,0),
IF(AF128="Fix15",0.15,
IF(AF128="Fix11.25",0.1125,
IF(AF128="Fix10",0.1,
IF(AF128="Fix9",0.09,
IF(AF128="DoEV2017",IF(AND(W128&lt;74),0.2,0)+IF(AND(W128&gt;=74),0.17,0),
IF(AF128="SF",IF(AND(V128&lt;20,W128&lt;89),0.3,0)+IF(AND(V128&lt;20,W128&gt;=89),0.25,0)+IF(AND(V128&gt;=20,V128&lt;40,W128&lt;74),0.3,0)+IF(AND(V128&gt;=20,V128&lt;40,W128&gt;=75),0.22,0)+IF(AND(V128&gt;=40,V128&lt;75,W128&lt;75),0.26,0)+IF(AND(V128&gt;=40,V128&lt;75,W128&gt;=75),0.22,0)+IF(V128&gt;=75,0.22,0),
IF(AF128="DoEVold",IF(AND(V128&lt;40,W128&lt;35),0.35,0)+IF(AND(V128&lt;40,W128&gt;=35,W128&lt;75),0.25,0)+IF(AND(V128&lt;40,W128&gt;=75),0.17,0)+IF(AND(V128&gt;=40,V128&lt;75,W128&lt;25),0.35,0)+IF(AND(V128&gt;=40,V128&lt;75,W128&gt;=25,W128&lt;65),0.25,0)+IF(AND(V128&gt;=40,V128&lt;75,W128&gt;=65,W128&lt;100),0.17,0)+IF(AND(V128&gt;=40,V128&lt;75,W128&gt;=100),0.1,0)+IF(AND(V128&gt;=75,W128&lt;25),0.35,0)+IF(AND(V128&gt;=75,W128&gt;=25,W128&lt;60),0.25,0)+IF(AND(V128&gt;=75,W128&gt;=60,W128&lt;95),0.17,0)+IF(AND(V128&gt;=75,W128&gt;=95),0.1,0),
IF(AF128="DoEVold15",IF(AND(V128&lt;=40,W128&lt;35),0.35,0)+IF(AND(V128&lt;=40,W128&gt;=35,W128&lt;75),0.25,0)+IF(AND(V128&lt;=40,W128&gt;=75,W128&lt;120),0.17,0)+IF(AND(V128&lt;=40,W128&gt;=120),0.15,0)+IF(AND(V128&gt;40,V128&lt;75,W128&lt;25),0.35,0)+IF(AND(V128&gt;=40,V128&lt;75,W128&gt;=25,W128&lt;65),0.25,0)+IF(AND(V128&gt;=40,V128&lt;75,W128&gt;=65,W128&lt;100),0.17,0)+IF(AND(V128&gt;=40,V128&lt;75,W128&gt;=100),0.1,0)+IF(AND(V128&gt;=75,W128&lt;25),0.35,0)+IF(AND(V128&gt;=75,W128&gt;=25,W128&lt;60),0.25,0)+IF(AND(V128&gt;=75,W128&gt;=60,W128&lt;95),0.17,0)+IF(AND(V128&gt;=75,W128&gt;=95),0.1,0),
IF(AF128="DoEVba",IF(AND(V128&lt;20,W128&lt;105),0.2,0)+IF(AND(V128&lt;20,W128&gt;=105),0.15,0)+IF(AND(V128&gt;=20,V128&lt;40,W128&lt;95),0.2,0)+IF(AND(V128&gt;=20,V128&lt;40,W128&gt;=95,W128&lt;150),0.15,0)+IF(AND(V128&gt;=20,V128&lt;40,W128&gt;=150),0.12,0)+IF(AND(V128&gt;=40,V128&lt;75,W128&lt;75),0.2,0)+IF(AND(V128&gt;=40,V128&lt;75,W128&gt;=75,W128&lt;120),0.15,0)+IF(AND(V128&gt;=40,V128&lt;75,W128&gt;=120),0.12,0)+IF(AND(V128&gt;=75,V128&lt;175,W128&lt;65),0.2,0)+IF(AND(V128&gt;=75,V128&lt;175,W128&gt;=65,W128&lt;110),0.15,0)+IF(AND(V128&gt;=75,V128&lt;175,W128&gt;=110),0.12,0)+IF(AND(V128&gt;=175,W128&lt;55),0.2,0)+IF(AND(V128&gt;=175,W128&gt;=55,W128&lt;95),0.15,0)+IF(AND(V128&gt;=175,W128&gt;=95),0.12,0),
IF(AF128="DoEVku",IF(AND(V128&lt;20,W128&lt;55),0.23,0)+IF(AND(V128&lt;20,W128&gt;=55,W128&lt;105),0.2,0)+IF(AND(V128&lt;20,W128&gt;=105),0.17,0)+IF(AND(V128&gt;=20,V128&lt;40,W128&lt;45),0.23,0)+IF(AND(V128&gt;=20,V128&lt;40,W128&gt;=45,W128&lt;95),0.2,0)+IF(AND(V128&gt;=20,V128&lt;40,W128&gt;=95,W128&lt;=150),0.17,0)+IF(AND(V128&gt;=20,V128&lt;40,W128&gt;=150),0.12,0)+IF(AND(V128&gt;=40,V128&lt;75,W128&lt;35),0.23,0)+IF(AND(V128&gt;=40,V128&lt;75,W128&gt;=35,W128&lt;75),0.2,0)+IF(AND(V128&gt;=40,V128&lt;75,W128&gt;=75,W128&lt;120),0.17,0)+IF(AND(V128&gt;=40,V128&lt;75,W128&gt;=120),0.12,0)+IF(AND(V128&gt;=75,V128&lt;175,W128&lt;35),0.23,0)+IF(AND(V128&gt;=75,V128&lt;=175,W128&gt;=35,W128&lt;65),0.2,0)+IF(AND(V128&gt;=75,V128&lt;=175,W128&gt;=65,W128&lt;110),0.17,0)+IF(AND(V128&gt;=75,V128&lt;=175,W128&gt;=110),0.12,0)+IF(AND(V128&gt;175,W128&lt;25),0.23,0)+IF(AND(V128&gt;175,W128&gt;=25,W128&lt;55),0.2,0)+IF(AND(V128&gt;175,W128&gt;=55,W128&lt;95),0.17,0)+IF(AND(V128&gt;175,W128&gt;=95),0.12,0),
IF(AF128="DoEVs1",IF(AND(V128&lt;20,W128&lt;55),0.3,0)+IF(AND(V128&lt;20,W128&gt;=55,W128&lt;105),0.23,0)+IF(AND(V128&lt;20,W128&gt;=105),0.17,0)+IF(AND(V128&gt;=20,V128&lt;40,W128&lt;45),0.3,0)+IF(AND(V128&gt;=20,V128&lt;40,W128&gt;=45,W128&lt;95),0.23,0)+IF(AND(V128&gt;=20,V128&lt;40,W128&gt;=95,W128&lt;=150),0.17,0)+IF(AND(V128&gt;=20,V128&lt;40,W128&gt;=150),0.12,0)+IF(AND(V128&gt;=40,V128&lt;75,W128&lt;35),0.3,0)+IF(AND(V128&gt;=40,V128&lt;75,W128&gt;=35,W128&lt;75),0.23,0)+IF(AND(V128&gt;=40,V128&lt;75,W128&gt;=75,W128&lt;120),0.17,0)+IF(AND(V128&gt;=40,V128&lt;75,W128&gt;=120),0.12,0)+IF(AND(V128&gt;=75,V128&lt;175,W128&lt;35),0.3,0)+IF(AND(V128&gt;=75,V128&lt;=175,W128&gt;=35,W128&lt;65),0.23,0)+IF(AND(V128&gt;=75,V128&lt;=175,W128&gt;=65,W128&lt;110),0.17,0)+IF(AND(V128&gt;=75,V128&lt;=175,W128&gt;=110),0.12,0)+IF(AND(V128&gt;175,W128&lt;25),0.3,0)+IF(AND(V128&gt;175,W128&gt;=25,W128&lt;55),0.23,0)+IF(AND(V128&gt;175,W128&gt;=55,W128&lt;95),0.17,0)+IF(AND(V128&gt;175,W128&gt;=95),0.12,0),
IF(AF128="DoEVsu",IF(AND(V128&lt;20,W128&lt;55),0.3,0)+IF(AND(V128&lt;20,W128&gt;=55,W128&lt;105),0.23,0)+IF(AND(V128&lt;20,W128&gt;=105),0.17,0)+IF(AND(V128&gt;=20,V128&lt;40,W128&lt;45),0.3,0)+IF(AND(V128&gt;=20,V128&lt;40,W128&gt;=45,W128&lt;95),0.23,0)+IF(AND(V128&gt;=20,V128&lt;40,W128&gt;=95,W128&lt;=250),0.17,0)+IF(AND(V128&gt;=20,V128&lt;40,W128&gt;=250),0.12,0)+IF(AND(V128&gt;=40,V128&lt;75,W128&lt;35),0.3,0)+IF(AND(V128&gt;=40,V128&lt;75,W128&gt;=35,W128&lt;75),0.23,0)+IF(AND(V128&gt;=40,V128&lt;75,W128&gt;=75,W128&lt;120),0.17,0)+IF(AND(V128&gt;=40,V128&lt;75,W128&gt;=120),0.12,0)+IF(AND(V128&gt;=75,V128&lt;175,W128&lt;35),0.3,0)+IF(AND(V128&gt;=75,V128&lt;=175,W128&gt;=35,W128&lt;65),0.23,0)+IF(AND(V128&gt;=75,V128&lt;=175,W128&gt;=65,W128&lt;110),0.17,0)+IF(AND(V128&gt;=75,V128&lt;=175,W128&gt;=110),0.12,0)+IF(AND(V128&gt;175,W128&lt;25),0.3,0)+IF(AND(V128&gt;175,W128&gt;=25,W128&lt;55),0.23,0)+IF(AND(V128&gt;175,W128&gt;=55,W128&lt;95),0.17,0)+IF(AND(V128&gt;175,W128&gt;=95),0.12,0),
IF(AF128="DoEVni",IF(AND(V128&lt;20,W128&lt;55),0.3,0)+IF(AND(V128&lt;20,W128&gt;=55,W128&lt;105),0.23,0)+IF(AND(V128&lt;20,W128&gt;=105),0.17,0)+IF(AND(V128&gt;=20,V128&lt;40,W128&lt;45),0.3,0)+IF(AND(V128&gt;=20,V128&lt;40,W128&gt;=45,W128&lt;95),0.23,0)+IF(AND(V128&gt;=20,V128&lt;40,W128&gt;=95,W128&lt;=200),0.17,0)+IF(AND(V128&gt;=20,V128&lt;40,W128&gt;=200),0.12,0)+IF(AND(V128&gt;=40,V128&lt;75,W128&lt;35),0.3,0)+IF(AND(V128&gt;=40,V128&lt;75,W128&gt;=35,W128&lt;75),0.23,0)+IF(AND(V128&gt;=40,V128&lt;75,W128&gt;=75,W128&lt;120),0.17,0)+IF(AND(V128&gt;=40,V128&lt;75,W128&gt;=120),0.12,0)+IF(AND(V128&gt;=75,V128&lt;175,W128&lt;35),0.3,0)+IF(AND(V128&gt;=75,V128&lt;=175,W128&gt;=35,W128&lt;65),0.23,0)+IF(AND(V128&gt;=75,V128&lt;=175,W128&gt;=65,W128&lt;110),0.17,0)+IF(AND(V128&gt;=75,V128&lt;=175,W128&gt;=110),0.12,0)+IF(AND(V128&gt;175,W128&lt;25),0.3,0)+IF(AND(V128&gt;175,W128&gt;=25,W128&lt;55),0.23,0)+IF(AND(V128&gt;175,W128&gt;=55,W128&lt;95),0.17,0)+IF(AND(V128&gt;175,W128&gt;=95),0.12,0),
IF(AF128="DoEVLo",IF(AND(V128&lt;20,W128&lt;55),0.25,0)+IF(AND(V128&lt;20,W128&gt;=55,W128&lt;105),0.2,0)+IF(AND(V128&lt;20,W128&gt;=105),0.15,0)+IF(AND(V128&gt;=20,V128&lt;40,W128&lt;45),0.25,0)+IF(AND(V128&gt;=20,V128&lt;40,W128&gt;=45,W128&lt;95),0.2,0)+IF(AND(V128&gt;=20,V128&lt;40,W128&gt;=95),0.15,0)+IF(AND(V128&gt;=40,V128&lt;75,W128&lt;35),0.25,0)+IF(AND(V128&gt;=40,V128&lt;75,W128&gt;=35,W128&lt;75),0.2,0)+IF(AND(V128&gt;=40,V128&lt;75,W128&gt;=75,W128&lt;120),0.15,0)+IF(AND(V128&gt;=40,V128&lt;75,W128&gt;=120),0.1,0)+IF(AND(V128&gt;=75,V128&lt;175,W128&lt;35),0.25,0)+IF(AND(V128&gt;=75,V128&lt;=175,W128&gt;=35,W128&lt;65),0.2,0)+IF(AND(V128&gt;=75,V128&lt;=175,W128&gt;=65,W128&lt;110),0.15,0)+IF(AND(V128&gt;=75,V128&lt;=175,W128&gt;=110),0.1,0)+IF(AND(V128&gt;175,W128&lt;25),0.25,0)+IF(AND(V128&gt;175,W128&gt;=25,W128&lt;55),0.2,0)+IF(AND(V128&gt;175,W128&gt;=55,W128&lt;95),0.15,0)+IF(AND(V128&gt;175,W128&gt;=95),0.1,0))))))))))))))))</f>
        <v>0.15</v>
      </c>
      <c r="Y128" s="30">
        <f>IF(AG128="None",0,IF(AG128="Fix5",0.05,IF(AG128="Fix3.75",0.0375,IF(AG128="Fix10",0.1,IF(AG128="Fix3",0.03,0)))))</f>
        <v>0.05</v>
      </c>
      <c r="Z128" s="35">
        <f>T128-AA128-AB128</f>
        <v>498.4</v>
      </c>
      <c r="AA128" s="29">
        <f>IF(AD128="EUR",((T128-R128)*X128)*U128+(R128*X128),(T128*X128))</f>
        <v>93.45</v>
      </c>
      <c r="AB128" s="36">
        <f>IF(AD128="EUR",((T128-R128)*Y128)*U128+(R128*Y128),(T128*Y128))</f>
        <v>31.150000000000002</v>
      </c>
      <c r="AC128" s="37" t="b">
        <v>1</v>
      </c>
      <c r="AD128" s="37" t="s">
        <v>38</v>
      </c>
      <c r="AE128" s="37" t="s">
        <v>38</v>
      </c>
      <c r="AF128" s="37" t="str">
        <f t="array" ref="AF128">INDEX('Deal Info'!D:D, MATCH(A128,'Deal Info'!A:A, 0))</f>
        <v>Fix15</v>
      </c>
      <c r="AG128" s="38" t="str">
        <f t="array" ref="AG128">INDEX('Deal Info'!G:G, MATCH(A128,'Deal Info'!A:A, 0))</f>
        <v>Fix5</v>
      </c>
    </row>
    <row r="129" spans="1:33" ht="14.25" hidden="1" x14ac:dyDescent="0.2">
      <c r="A129" s="18" t="str">
        <f t="array" ref="A129">IF(G129='Room Info'!$B$1, INDEX('Room Info'!$A$2:$A2446, MATCH(B129,'Room Info'!$B$2:$B2446, 0)),IF(G129='Room Info'!$C$1, INDEX('Room Info'!$A$2:$A2446, MATCH(B129,'Room Info'!$C$2:$C2446, 0)),IF(G129='Room Info'!$D$1, INDEX('Room Info'!$A$2:$A2446, MATCH(B129,'Room Info'!$D$2:$D2446, 0)),IF(G129='Room Info'!$E$1, INDEX('Room Info'!$A$2:$A2446, MATCH(B129,'Room Info'!$E$2:$E2446, 0)),IF(G129='Room Info'!$F$1, INDEX('Room Info'!$A$2:$A2446, MATCH(B129,'Room Info'!$F$2:$F2446, 0)),IF(G129='Room Info'!$H$1, INDEX('Room Info'!$A$2:$A2446, MATCH(B129,'Room Info'!$H$2:$H2446, 0)),IF(G129='Room Info'!$G$1, INDEX('Room Info'!$A$2:$A2446, MATCH(B129,'Room Info'!$G$2:$G2446, 0)))))))))</f>
        <v>AlexanderDSL</v>
      </c>
      <c r="B129" s="54" t="s">
        <v>82</v>
      </c>
      <c r="C129" s="46">
        <v>44855</v>
      </c>
      <c r="D129" s="68">
        <v>44885</v>
      </c>
      <c r="E129" s="47">
        <v>44866</v>
      </c>
      <c r="F129" s="45" t="s">
        <v>34</v>
      </c>
      <c r="G129" s="54" t="s">
        <v>35</v>
      </c>
      <c r="H129" s="49" t="s">
        <v>84</v>
      </c>
      <c r="I129" s="49" t="s">
        <v>44</v>
      </c>
      <c r="J129" s="50">
        <v>100</v>
      </c>
      <c r="K129" s="51">
        <v>1620</v>
      </c>
      <c r="L129" s="52">
        <v>11600</v>
      </c>
      <c r="M129" s="53">
        <v>5330</v>
      </c>
      <c r="N129" s="28">
        <f>K129*J129</f>
        <v>162000</v>
      </c>
      <c r="O129" s="54">
        <v>13996</v>
      </c>
      <c r="P129" s="29">
        <v>8.6395061729999991</v>
      </c>
      <c r="Q129" s="55"/>
      <c r="R129" s="31">
        <f>M129+Q129</f>
        <v>5330</v>
      </c>
      <c r="S129" s="56">
        <v>-4622</v>
      </c>
      <c r="T129" s="32">
        <f>R129+S129+IF(F129="Without EV deal",L129,0)</f>
        <v>708</v>
      </c>
      <c r="U129" s="33">
        <v>1</v>
      </c>
      <c r="V129" s="58"/>
      <c r="W129" s="58"/>
      <c r="X129" s="30">
        <f>IF(AF129="DoEV",IF(AND(V129&lt;20,W129&lt;55),0.3,0)+IF(AND(V129&lt;20,W129&gt;=55,W129&lt;105),0.23,0)+IF(AND(V129&lt;20,W129&gt;=105),0.17,0)+IF(AND(V129&gt;=20,V129&lt;40,W129&lt;45),0.3,0)+IF(AND(V129&gt;=20,V129&lt;40,W129&gt;=45,W129&lt;95),0.23,0)+IF(AND(V129&gt;=20,V129&lt;40,W129&gt;=95),0.17,0)+IF(AND(V129&gt;=40,V129&lt;75,W129&lt;35),0.3,0)+IF(AND(V129&gt;=40,V129&lt;75,W129&gt;=35,W129&lt;75),0.23,0)+IF(AND(V129&gt;=40,V129&lt;75,W129&gt;=75,W129&lt;120),0.17,0)+IF(AND(V129&gt;=40,V129&lt;75,W129&gt;=120),0.12,0)+IF(AND(V129&gt;=75,V129&lt;175,W129&lt;35),0.3,0)+IF(AND(V129&gt;=75,V129&lt;=175,W129&gt;=35,W129&lt;65),0.23,0)+IF(AND(V129&gt;=75,V129&lt;=175,W129&gt;=65,W129&lt;110),0.17,0)+IF(AND(V129&gt;=75,V129&lt;=175,W129&gt;=110),0.12,0)+IF(AND(V129&gt;175,W129&lt;25),0.3,0)+IF(AND(V129&gt;175,W129&gt;=25,W129&lt;55),0.23,0)+IF(AND(V129&gt;175,W129&gt;=55,W129&lt;95),0.17,0)+IF(AND(V129&gt;175,W129&gt;=95),0.12,0),
IF(AF129="Fix15",0.15,
IF(AF129="Fix11.25",0.1125,
IF(AF129="Fix10",0.1,
IF(AF129="Fix9",0.09,
IF(AF129="DoEV2017",IF(AND(W129&lt;74),0.2,0)+IF(AND(W129&gt;=74),0.17,0),
IF(AF129="SF",IF(AND(V129&lt;20,W129&lt;89),0.3,0)+IF(AND(V129&lt;20,W129&gt;=89),0.25,0)+IF(AND(V129&gt;=20,V129&lt;40,W129&lt;74),0.3,0)+IF(AND(V129&gt;=20,V129&lt;40,W129&gt;=75),0.22,0)+IF(AND(V129&gt;=40,V129&lt;75,W129&lt;75),0.26,0)+IF(AND(V129&gt;=40,V129&lt;75,W129&gt;=75),0.22,0)+IF(V129&gt;=75,0.22,0),
IF(AF129="DoEVold",IF(AND(V129&lt;40,W129&lt;35),0.35,0)+IF(AND(V129&lt;40,W129&gt;=35,W129&lt;75),0.25,0)+IF(AND(V129&lt;40,W129&gt;=75),0.17,0)+IF(AND(V129&gt;=40,V129&lt;75,W129&lt;25),0.35,0)+IF(AND(V129&gt;=40,V129&lt;75,W129&gt;=25,W129&lt;65),0.25,0)+IF(AND(V129&gt;=40,V129&lt;75,W129&gt;=65,W129&lt;100),0.17,0)+IF(AND(V129&gt;=40,V129&lt;75,W129&gt;=100),0.1,0)+IF(AND(V129&gt;=75,W129&lt;25),0.35,0)+IF(AND(V129&gt;=75,W129&gt;=25,W129&lt;60),0.25,0)+IF(AND(V129&gt;=75,W129&gt;=60,W129&lt;95),0.17,0)+IF(AND(V129&gt;=75,W129&gt;=95),0.1,0),
IF(AF129="DoEVold15",IF(AND(V129&lt;=40,W129&lt;35),0.35,0)+IF(AND(V129&lt;=40,W129&gt;=35,W129&lt;75),0.25,0)+IF(AND(V129&lt;=40,W129&gt;=75,W129&lt;120),0.17,0)+IF(AND(V129&lt;=40,W129&gt;=120),0.15,0)+IF(AND(V129&gt;40,V129&lt;75,W129&lt;25),0.35,0)+IF(AND(V129&gt;=40,V129&lt;75,W129&gt;=25,W129&lt;65),0.25,0)+IF(AND(V129&gt;=40,V129&lt;75,W129&gt;=65,W129&lt;100),0.17,0)+IF(AND(V129&gt;=40,V129&lt;75,W129&gt;=100),0.1,0)+IF(AND(V129&gt;=75,W129&lt;25),0.35,0)+IF(AND(V129&gt;=75,W129&gt;=25,W129&lt;60),0.25,0)+IF(AND(V129&gt;=75,W129&gt;=60,W129&lt;95),0.17,0)+IF(AND(V129&gt;=75,W129&gt;=95),0.1,0),
IF(AF129="DoEVba",IF(AND(V129&lt;20,W129&lt;105),0.2,0)+IF(AND(V129&lt;20,W129&gt;=105),0.15,0)+IF(AND(V129&gt;=20,V129&lt;40,W129&lt;95),0.2,0)+IF(AND(V129&gt;=20,V129&lt;40,W129&gt;=95,W129&lt;150),0.15,0)+IF(AND(V129&gt;=20,V129&lt;40,W129&gt;=150),0.12,0)+IF(AND(V129&gt;=40,V129&lt;75,W129&lt;75),0.2,0)+IF(AND(V129&gt;=40,V129&lt;75,W129&gt;=75,W129&lt;120),0.15,0)+IF(AND(V129&gt;=40,V129&lt;75,W129&gt;=120),0.12,0)+IF(AND(V129&gt;=75,V129&lt;175,W129&lt;65),0.2,0)+IF(AND(V129&gt;=75,V129&lt;175,W129&gt;=65,W129&lt;110),0.15,0)+IF(AND(V129&gt;=75,V129&lt;175,W129&gt;=110),0.12,0)+IF(AND(V129&gt;=175,W129&lt;55),0.2,0)+IF(AND(V129&gt;=175,W129&gt;=55,W129&lt;95),0.15,0)+IF(AND(V129&gt;=175,W129&gt;=95),0.12,0),
IF(AF129="DoEVku",IF(AND(V129&lt;20,W129&lt;55),0.23,0)+IF(AND(V129&lt;20,W129&gt;=55,W129&lt;105),0.2,0)+IF(AND(V129&lt;20,W129&gt;=105),0.17,0)+IF(AND(V129&gt;=20,V129&lt;40,W129&lt;45),0.23,0)+IF(AND(V129&gt;=20,V129&lt;40,W129&gt;=45,W129&lt;95),0.2,0)+IF(AND(V129&gt;=20,V129&lt;40,W129&gt;=95,W129&lt;=150),0.17,0)+IF(AND(V129&gt;=20,V129&lt;40,W129&gt;=150),0.12,0)+IF(AND(V129&gt;=40,V129&lt;75,W129&lt;35),0.23,0)+IF(AND(V129&gt;=40,V129&lt;75,W129&gt;=35,W129&lt;75),0.2,0)+IF(AND(V129&gt;=40,V129&lt;75,W129&gt;=75,W129&lt;120),0.17,0)+IF(AND(V129&gt;=40,V129&lt;75,W129&gt;=120),0.12,0)+IF(AND(V129&gt;=75,V129&lt;175,W129&lt;35),0.23,0)+IF(AND(V129&gt;=75,V129&lt;=175,W129&gt;=35,W129&lt;65),0.2,0)+IF(AND(V129&gt;=75,V129&lt;=175,W129&gt;=65,W129&lt;110),0.17,0)+IF(AND(V129&gt;=75,V129&lt;=175,W129&gt;=110),0.12,0)+IF(AND(V129&gt;175,W129&lt;25),0.23,0)+IF(AND(V129&gt;175,W129&gt;=25,W129&lt;55),0.2,0)+IF(AND(V129&gt;175,W129&gt;=55,W129&lt;95),0.17,0)+IF(AND(V129&gt;175,W129&gt;=95),0.12,0),
IF(AF129="DoEVs1",IF(AND(V129&lt;20,W129&lt;55),0.3,0)+IF(AND(V129&lt;20,W129&gt;=55,W129&lt;105),0.23,0)+IF(AND(V129&lt;20,W129&gt;=105),0.17,0)+IF(AND(V129&gt;=20,V129&lt;40,W129&lt;45),0.3,0)+IF(AND(V129&gt;=20,V129&lt;40,W129&gt;=45,W129&lt;95),0.23,0)+IF(AND(V129&gt;=20,V129&lt;40,W129&gt;=95,W129&lt;=150),0.17,0)+IF(AND(V129&gt;=20,V129&lt;40,W129&gt;=150),0.12,0)+IF(AND(V129&gt;=40,V129&lt;75,W129&lt;35),0.3,0)+IF(AND(V129&gt;=40,V129&lt;75,W129&gt;=35,W129&lt;75),0.23,0)+IF(AND(V129&gt;=40,V129&lt;75,W129&gt;=75,W129&lt;120),0.17,0)+IF(AND(V129&gt;=40,V129&lt;75,W129&gt;=120),0.12,0)+IF(AND(V129&gt;=75,V129&lt;175,W129&lt;35),0.3,0)+IF(AND(V129&gt;=75,V129&lt;=175,W129&gt;=35,W129&lt;65),0.23,0)+IF(AND(V129&gt;=75,V129&lt;=175,W129&gt;=65,W129&lt;110),0.17,0)+IF(AND(V129&gt;=75,V129&lt;=175,W129&gt;=110),0.12,0)+IF(AND(V129&gt;175,W129&lt;25),0.3,0)+IF(AND(V129&gt;175,W129&gt;=25,W129&lt;55),0.23,0)+IF(AND(V129&gt;175,W129&gt;=55,W129&lt;95),0.17,0)+IF(AND(V129&gt;175,W129&gt;=95),0.12,0),
IF(AF129="DoEVsu",IF(AND(V129&lt;20,W129&lt;55),0.3,0)+IF(AND(V129&lt;20,W129&gt;=55,W129&lt;105),0.23,0)+IF(AND(V129&lt;20,W129&gt;=105),0.17,0)+IF(AND(V129&gt;=20,V129&lt;40,W129&lt;45),0.3,0)+IF(AND(V129&gt;=20,V129&lt;40,W129&gt;=45,W129&lt;95),0.23,0)+IF(AND(V129&gt;=20,V129&lt;40,W129&gt;=95,W129&lt;=250),0.17,0)+IF(AND(V129&gt;=20,V129&lt;40,W129&gt;=250),0.12,0)+IF(AND(V129&gt;=40,V129&lt;75,W129&lt;35),0.3,0)+IF(AND(V129&gt;=40,V129&lt;75,W129&gt;=35,W129&lt;75),0.23,0)+IF(AND(V129&gt;=40,V129&lt;75,W129&gt;=75,W129&lt;120),0.17,0)+IF(AND(V129&gt;=40,V129&lt;75,W129&gt;=120),0.12,0)+IF(AND(V129&gt;=75,V129&lt;175,W129&lt;35),0.3,0)+IF(AND(V129&gt;=75,V129&lt;=175,W129&gt;=35,W129&lt;65),0.23,0)+IF(AND(V129&gt;=75,V129&lt;=175,W129&gt;=65,W129&lt;110),0.17,0)+IF(AND(V129&gt;=75,V129&lt;=175,W129&gt;=110),0.12,0)+IF(AND(V129&gt;175,W129&lt;25),0.3,0)+IF(AND(V129&gt;175,W129&gt;=25,W129&lt;55),0.23,0)+IF(AND(V129&gt;175,W129&gt;=55,W129&lt;95),0.17,0)+IF(AND(V129&gt;175,W129&gt;=95),0.12,0),
IF(AF129="DoEVni",IF(AND(V129&lt;20,W129&lt;55),0.3,0)+IF(AND(V129&lt;20,W129&gt;=55,W129&lt;105),0.23,0)+IF(AND(V129&lt;20,W129&gt;=105),0.17,0)+IF(AND(V129&gt;=20,V129&lt;40,W129&lt;45),0.3,0)+IF(AND(V129&gt;=20,V129&lt;40,W129&gt;=45,W129&lt;95),0.23,0)+IF(AND(V129&gt;=20,V129&lt;40,W129&gt;=95,W129&lt;=200),0.17,0)+IF(AND(V129&gt;=20,V129&lt;40,W129&gt;=200),0.12,0)+IF(AND(V129&gt;=40,V129&lt;75,W129&lt;35),0.3,0)+IF(AND(V129&gt;=40,V129&lt;75,W129&gt;=35,W129&lt;75),0.23,0)+IF(AND(V129&gt;=40,V129&lt;75,W129&gt;=75,W129&lt;120),0.17,0)+IF(AND(V129&gt;=40,V129&lt;75,W129&gt;=120),0.12,0)+IF(AND(V129&gt;=75,V129&lt;175,W129&lt;35),0.3,0)+IF(AND(V129&gt;=75,V129&lt;=175,W129&gt;=35,W129&lt;65),0.23,0)+IF(AND(V129&gt;=75,V129&lt;=175,W129&gt;=65,W129&lt;110),0.17,0)+IF(AND(V129&gt;=75,V129&lt;=175,W129&gt;=110),0.12,0)+IF(AND(V129&gt;175,W129&lt;25),0.3,0)+IF(AND(V129&gt;175,W129&gt;=25,W129&lt;55),0.23,0)+IF(AND(V129&gt;175,W129&gt;=55,W129&lt;95),0.17,0)+IF(AND(V129&gt;175,W129&gt;=95),0.12,0),
IF(AF129="DoEVLo",IF(AND(V129&lt;20,W129&lt;55),0.25,0)+IF(AND(V129&lt;20,W129&gt;=55,W129&lt;105),0.2,0)+IF(AND(V129&lt;20,W129&gt;=105),0.15,0)+IF(AND(V129&gt;=20,V129&lt;40,W129&lt;45),0.25,0)+IF(AND(V129&gt;=20,V129&lt;40,W129&gt;=45,W129&lt;95),0.2,0)+IF(AND(V129&gt;=20,V129&lt;40,W129&gt;=95),0.15,0)+IF(AND(V129&gt;=40,V129&lt;75,W129&lt;35),0.25,0)+IF(AND(V129&gt;=40,V129&lt;75,W129&gt;=35,W129&lt;75),0.2,0)+IF(AND(V129&gt;=40,V129&lt;75,W129&gt;=75,W129&lt;120),0.15,0)+IF(AND(V129&gt;=40,V129&lt;75,W129&gt;=120),0.1,0)+IF(AND(V129&gt;=75,V129&lt;175,W129&lt;35),0.25,0)+IF(AND(V129&gt;=75,V129&lt;=175,W129&gt;=35,W129&lt;65),0.2,0)+IF(AND(V129&gt;=75,V129&lt;=175,W129&gt;=65,W129&lt;110),0.15,0)+IF(AND(V129&gt;=75,V129&lt;=175,W129&gt;=110),0.1,0)+IF(AND(V129&gt;175,W129&lt;25),0.25,0)+IF(AND(V129&gt;175,W129&gt;=25,W129&lt;55),0.2,0)+IF(AND(V129&gt;175,W129&gt;=55,W129&lt;95),0.15,0)+IF(AND(V129&gt;175,W129&gt;=95),0.1,0))))))))))))))))</f>
        <v>0.15</v>
      </c>
      <c r="Y129" s="30">
        <f>IF(AG129="None",0,IF(AG129="Fix5",0.05,IF(AG129="Fix3.75",0.0375,IF(AG129="Fix10",0.1,IF(AG129="Fix3",0.03,0)))))</f>
        <v>0.05</v>
      </c>
      <c r="Z129" s="35">
        <f>T129-AA129-AB129</f>
        <v>566.4</v>
      </c>
      <c r="AA129" s="29">
        <f>IF(AD129="EUR",((T129-R129)*X129)*U129+(R129*X129),(T129*X129))</f>
        <v>106.2</v>
      </c>
      <c r="AB129" s="36">
        <f>IF(AD129="EUR",((T129-R129)*Y129)*U129+(R129*Y129),(T129*Y129))</f>
        <v>35.4</v>
      </c>
      <c r="AC129" s="37" t="b">
        <v>1</v>
      </c>
      <c r="AD129" s="37" t="s">
        <v>38</v>
      </c>
      <c r="AE129" s="37" t="s">
        <v>38</v>
      </c>
      <c r="AF129" s="37" t="str">
        <f t="array" ref="AF129">INDEX('Deal Info'!D:D, MATCH(A129,'Deal Info'!A:A, 0))</f>
        <v>Fix15</v>
      </c>
      <c r="AG129" s="38" t="str">
        <f t="array" ref="AG129">INDEX('Deal Info'!G:G, MATCH(A129,'Deal Info'!A:A, 0))</f>
        <v>Fix5</v>
      </c>
    </row>
    <row r="130" spans="1:33" ht="14.25" hidden="1" x14ac:dyDescent="0.2">
      <c r="A130" s="18" t="str">
        <f t="array" ref="A130">IF(G130='Room Info'!$B$1, INDEX('Room Info'!$A$2:$A2446, MATCH(B130,'Room Info'!$B$2:$B2446, 0)),IF(G130='Room Info'!$C$1, INDEX('Room Info'!$A$2:$A2446, MATCH(B130,'Room Info'!$C$2:$C2446, 0)),IF(G130='Room Info'!$D$1, INDEX('Room Info'!$A$2:$A2446, MATCH(B130,'Room Info'!$D$2:$D2446, 0)),IF(G130='Room Info'!$E$1, INDEX('Room Info'!$A$2:$A2446, MATCH(B130,'Room Info'!$E$2:$E2446, 0)),IF(G130='Room Info'!$F$1, INDEX('Room Info'!$A$2:$A2446, MATCH(B130,'Room Info'!$F$2:$F2446, 0)),IF(G130='Room Info'!$H$1, INDEX('Room Info'!$A$2:$A2446, MATCH(B130,'Room Info'!$H$2:$H2446, 0)),IF(G130='Room Info'!$G$1, INDEX('Room Info'!$A$2:$A2446, MATCH(B130,'Room Info'!$G$2:$G2446, 0)))))))))</f>
        <v>AlexanderDSL</v>
      </c>
      <c r="B130" s="54" t="s">
        <v>82</v>
      </c>
      <c r="C130" s="46">
        <v>44886</v>
      </c>
      <c r="D130" s="68">
        <v>44915</v>
      </c>
      <c r="E130" s="47">
        <v>44896</v>
      </c>
      <c r="F130" s="45" t="s">
        <v>34</v>
      </c>
      <c r="G130" s="54" t="s">
        <v>35</v>
      </c>
      <c r="H130" s="49" t="s">
        <v>70</v>
      </c>
      <c r="I130" s="49" t="s">
        <v>37</v>
      </c>
      <c r="J130" s="50">
        <v>100</v>
      </c>
      <c r="K130" s="51">
        <v>1325</v>
      </c>
      <c r="L130" s="52">
        <v>-7900</v>
      </c>
      <c r="M130" s="53">
        <v>5176</v>
      </c>
      <c r="N130" s="28">
        <f>K130*J130</f>
        <v>132500</v>
      </c>
      <c r="O130" s="54">
        <v>5170</v>
      </c>
      <c r="P130" s="29">
        <v>3.901886792</v>
      </c>
      <c r="Q130" s="55"/>
      <c r="R130" s="31">
        <f>M130+Q130</f>
        <v>5176</v>
      </c>
      <c r="S130" s="56">
        <v>-6162</v>
      </c>
      <c r="T130" s="32">
        <f>R130+S130+IF(F130="Without EV deal",L130,0)</f>
        <v>-986</v>
      </c>
      <c r="U130" s="33">
        <v>1</v>
      </c>
      <c r="V130" s="58"/>
      <c r="W130" s="58"/>
      <c r="X130" s="30">
        <f>IF(AF130="DoEV",IF(AND(V130&lt;20,W130&lt;55),0.3,0)+IF(AND(V130&lt;20,W130&gt;=55,W130&lt;105),0.23,0)+IF(AND(V130&lt;20,W130&gt;=105),0.17,0)+IF(AND(V130&gt;=20,V130&lt;40,W130&lt;45),0.3,0)+IF(AND(V130&gt;=20,V130&lt;40,W130&gt;=45,W130&lt;95),0.23,0)+IF(AND(V130&gt;=20,V130&lt;40,W130&gt;=95),0.17,0)+IF(AND(V130&gt;=40,V130&lt;75,W130&lt;35),0.3,0)+IF(AND(V130&gt;=40,V130&lt;75,W130&gt;=35,W130&lt;75),0.23,0)+IF(AND(V130&gt;=40,V130&lt;75,W130&gt;=75,W130&lt;120),0.17,0)+IF(AND(V130&gt;=40,V130&lt;75,W130&gt;=120),0.12,0)+IF(AND(V130&gt;=75,V130&lt;175,W130&lt;35),0.3,0)+IF(AND(V130&gt;=75,V130&lt;=175,W130&gt;=35,W130&lt;65),0.23,0)+IF(AND(V130&gt;=75,V130&lt;=175,W130&gt;=65,W130&lt;110),0.17,0)+IF(AND(V130&gt;=75,V130&lt;=175,W130&gt;=110),0.12,0)+IF(AND(V130&gt;175,W130&lt;25),0.3,0)+IF(AND(V130&gt;175,W130&gt;=25,W130&lt;55),0.23,0)+IF(AND(V130&gt;175,W130&gt;=55,W130&lt;95),0.17,0)+IF(AND(V130&gt;175,W130&gt;=95),0.12,0),
IF(AF130="Fix15",0.15,
IF(AF130="Fix11.25",0.1125,
IF(AF130="Fix10",0.1,
IF(AF130="Fix9",0.09,
IF(AF130="DoEV2017",IF(AND(W130&lt;74),0.2,0)+IF(AND(W130&gt;=74),0.17,0),
IF(AF130="SF",IF(AND(V130&lt;20,W130&lt;89),0.3,0)+IF(AND(V130&lt;20,W130&gt;=89),0.25,0)+IF(AND(V130&gt;=20,V130&lt;40,W130&lt;74),0.3,0)+IF(AND(V130&gt;=20,V130&lt;40,W130&gt;=75),0.22,0)+IF(AND(V130&gt;=40,V130&lt;75,W130&lt;75),0.26,0)+IF(AND(V130&gt;=40,V130&lt;75,W130&gt;=75),0.22,0)+IF(V130&gt;=75,0.22,0),
IF(AF130="DoEVold",IF(AND(V130&lt;40,W130&lt;35),0.35,0)+IF(AND(V130&lt;40,W130&gt;=35,W130&lt;75),0.25,0)+IF(AND(V130&lt;40,W130&gt;=75),0.17,0)+IF(AND(V130&gt;=40,V130&lt;75,W130&lt;25),0.35,0)+IF(AND(V130&gt;=40,V130&lt;75,W130&gt;=25,W130&lt;65),0.25,0)+IF(AND(V130&gt;=40,V130&lt;75,W130&gt;=65,W130&lt;100),0.17,0)+IF(AND(V130&gt;=40,V130&lt;75,W130&gt;=100),0.1,0)+IF(AND(V130&gt;=75,W130&lt;25),0.35,0)+IF(AND(V130&gt;=75,W130&gt;=25,W130&lt;60),0.25,0)+IF(AND(V130&gt;=75,W130&gt;=60,W130&lt;95),0.17,0)+IF(AND(V130&gt;=75,W130&gt;=95),0.1,0),
IF(AF130="DoEVold15",IF(AND(V130&lt;=40,W130&lt;35),0.35,0)+IF(AND(V130&lt;=40,W130&gt;=35,W130&lt;75),0.25,0)+IF(AND(V130&lt;=40,W130&gt;=75,W130&lt;120),0.17,0)+IF(AND(V130&lt;=40,W130&gt;=120),0.15,0)+IF(AND(V130&gt;40,V130&lt;75,W130&lt;25),0.35,0)+IF(AND(V130&gt;=40,V130&lt;75,W130&gt;=25,W130&lt;65),0.25,0)+IF(AND(V130&gt;=40,V130&lt;75,W130&gt;=65,W130&lt;100),0.17,0)+IF(AND(V130&gt;=40,V130&lt;75,W130&gt;=100),0.1,0)+IF(AND(V130&gt;=75,W130&lt;25),0.35,0)+IF(AND(V130&gt;=75,W130&gt;=25,W130&lt;60),0.25,0)+IF(AND(V130&gt;=75,W130&gt;=60,W130&lt;95),0.17,0)+IF(AND(V130&gt;=75,W130&gt;=95),0.1,0),
IF(AF130="DoEVba",IF(AND(V130&lt;20,W130&lt;105),0.2,0)+IF(AND(V130&lt;20,W130&gt;=105),0.15,0)+IF(AND(V130&gt;=20,V130&lt;40,W130&lt;95),0.2,0)+IF(AND(V130&gt;=20,V130&lt;40,W130&gt;=95,W130&lt;150),0.15,0)+IF(AND(V130&gt;=20,V130&lt;40,W130&gt;=150),0.12,0)+IF(AND(V130&gt;=40,V130&lt;75,W130&lt;75),0.2,0)+IF(AND(V130&gt;=40,V130&lt;75,W130&gt;=75,W130&lt;120),0.15,0)+IF(AND(V130&gt;=40,V130&lt;75,W130&gt;=120),0.12,0)+IF(AND(V130&gt;=75,V130&lt;175,W130&lt;65),0.2,0)+IF(AND(V130&gt;=75,V130&lt;175,W130&gt;=65,W130&lt;110),0.15,0)+IF(AND(V130&gt;=75,V130&lt;175,W130&gt;=110),0.12,0)+IF(AND(V130&gt;=175,W130&lt;55),0.2,0)+IF(AND(V130&gt;=175,W130&gt;=55,W130&lt;95),0.15,0)+IF(AND(V130&gt;=175,W130&gt;=95),0.12,0),
IF(AF130="DoEVku",IF(AND(V130&lt;20,W130&lt;55),0.23,0)+IF(AND(V130&lt;20,W130&gt;=55,W130&lt;105),0.2,0)+IF(AND(V130&lt;20,W130&gt;=105),0.17,0)+IF(AND(V130&gt;=20,V130&lt;40,W130&lt;45),0.23,0)+IF(AND(V130&gt;=20,V130&lt;40,W130&gt;=45,W130&lt;95),0.2,0)+IF(AND(V130&gt;=20,V130&lt;40,W130&gt;=95,W130&lt;=150),0.17,0)+IF(AND(V130&gt;=20,V130&lt;40,W130&gt;=150),0.12,0)+IF(AND(V130&gt;=40,V130&lt;75,W130&lt;35),0.23,0)+IF(AND(V130&gt;=40,V130&lt;75,W130&gt;=35,W130&lt;75),0.2,0)+IF(AND(V130&gt;=40,V130&lt;75,W130&gt;=75,W130&lt;120),0.17,0)+IF(AND(V130&gt;=40,V130&lt;75,W130&gt;=120),0.12,0)+IF(AND(V130&gt;=75,V130&lt;175,W130&lt;35),0.23,0)+IF(AND(V130&gt;=75,V130&lt;=175,W130&gt;=35,W130&lt;65),0.2,0)+IF(AND(V130&gt;=75,V130&lt;=175,W130&gt;=65,W130&lt;110),0.17,0)+IF(AND(V130&gt;=75,V130&lt;=175,W130&gt;=110),0.12,0)+IF(AND(V130&gt;175,W130&lt;25),0.23,0)+IF(AND(V130&gt;175,W130&gt;=25,W130&lt;55),0.2,0)+IF(AND(V130&gt;175,W130&gt;=55,W130&lt;95),0.17,0)+IF(AND(V130&gt;175,W130&gt;=95),0.12,0),
IF(AF130="DoEVs1",IF(AND(V130&lt;20,W130&lt;55),0.3,0)+IF(AND(V130&lt;20,W130&gt;=55,W130&lt;105),0.23,0)+IF(AND(V130&lt;20,W130&gt;=105),0.17,0)+IF(AND(V130&gt;=20,V130&lt;40,W130&lt;45),0.3,0)+IF(AND(V130&gt;=20,V130&lt;40,W130&gt;=45,W130&lt;95),0.23,0)+IF(AND(V130&gt;=20,V130&lt;40,W130&gt;=95,W130&lt;=150),0.17,0)+IF(AND(V130&gt;=20,V130&lt;40,W130&gt;=150),0.12,0)+IF(AND(V130&gt;=40,V130&lt;75,W130&lt;35),0.3,0)+IF(AND(V130&gt;=40,V130&lt;75,W130&gt;=35,W130&lt;75),0.23,0)+IF(AND(V130&gt;=40,V130&lt;75,W130&gt;=75,W130&lt;120),0.17,0)+IF(AND(V130&gt;=40,V130&lt;75,W130&gt;=120),0.12,0)+IF(AND(V130&gt;=75,V130&lt;175,W130&lt;35),0.3,0)+IF(AND(V130&gt;=75,V130&lt;=175,W130&gt;=35,W130&lt;65),0.23,0)+IF(AND(V130&gt;=75,V130&lt;=175,W130&gt;=65,W130&lt;110),0.17,0)+IF(AND(V130&gt;=75,V130&lt;=175,W130&gt;=110),0.12,0)+IF(AND(V130&gt;175,W130&lt;25),0.3,0)+IF(AND(V130&gt;175,W130&gt;=25,W130&lt;55),0.23,0)+IF(AND(V130&gt;175,W130&gt;=55,W130&lt;95),0.17,0)+IF(AND(V130&gt;175,W130&gt;=95),0.12,0),
IF(AF130="DoEVsu",IF(AND(V130&lt;20,W130&lt;55),0.3,0)+IF(AND(V130&lt;20,W130&gt;=55,W130&lt;105),0.23,0)+IF(AND(V130&lt;20,W130&gt;=105),0.17,0)+IF(AND(V130&gt;=20,V130&lt;40,W130&lt;45),0.3,0)+IF(AND(V130&gt;=20,V130&lt;40,W130&gt;=45,W130&lt;95),0.23,0)+IF(AND(V130&gt;=20,V130&lt;40,W130&gt;=95,W130&lt;=250),0.17,0)+IF(AND(V130&gt;=20,V130&lt;40,W130&gt;=250),0.12,0)+IF(AND(V130&gt;=40,V130&lt;75,W130&lt;35),0.3,0)+IF(AND(V130&gt;=40,V130&lt;75,W130&gt;=35,W130&lt;75),0.23,0)+IF(AND(V130&gt;=40,V130&lt;75,W130&gt;=75,W130&lt;120),0.17,0)+IF(AND(V130&gt;=40,V130&lt;75,W130&gt;=120),0.12,0)+IF(AND(V130&gt;=75,V130&lt;175,W130&lt;35),0.3,0)+IF(AND(V130&gt;=75,V130&lt;=175,W130&gt;=35,W130&lt;65),0.23,0)+IF(AND(V130&gt;=75,V130&lt;=175,W130&gt;=65,W130&lt;110),0.17,0)+IF(AND(V130&gt;=75,V130&lt;=175,W130&gt;=110),0.12,0)+IF(AND(V130&gt;175,W130&lt;25),0.3,0)+IF(AND(V130&gt;175,W130&gt;=25,W130&lt;55),0.23,0)+IF(AND(V130&gt;175,W130&gt;=55,W130&lt;95),0.17,0)+IF(AND(V130&gt;175,W130&gt;=95),0.12,0),
IF(AF130="DoEVni",IF(AND(V130&lt;20,W130&lt;55),0.3,0)+IF(AND(V130&lt;20,W130&gt;=55,W130&lt;105),0.23,0)+IF(AND(V130&lt;20,W130&gt;=105),0.17,0)+IF(AND(V130&gt;=20,V130&lt;40,W130&lt;45),0.3,0)+IF(AND(V130&gt;=20,V130&lt;40,W130&gt;=45,W130&lt;95),0.23,0)+IF(AND(V130&gt;=20,V130&lt;40,W130&gt;=95,W130&lt;=200),0.17,0)+IF(AND(V130&gt;=20,V130&lt;40,W130&gt;=200),0.12,0)+IF(AND(V130&gt;=40,V130&lt;75,W130&lt;35),0.3,0)+IF(AND(V130&gt;=40,V130&lt;75,W130&gt;=35,W130&lt;75),0.23,0)+IF(AND(V130&gt;=40,V130&lt;75,W130&gt;=75,W130&lt;120),0.17,0)+IF(AND(V130&gt;=40,V130&lt;75,W130&gt;=120),0.12,0)+IF(AND(V130&gt;=75,V130&lt;175,W130&lt;35),0.3,0)+IF(AND(V130&gt;=75,V130&lt;=175,W130&gt;=35,W130&lt;65),0.23,0)+IF(AND(V130&gt;=75,V130&lt;=175,W130&gt;=65,W130&lt;110),0.17,0)+IF(AND(V130&gt;=75,V130&lt;=175,W130&gt;=110),0.12,0)+IF(AND(V130&gt;175,W130&lt;25),0.3,0)+IF(AND(V130&gt;175,W130&gt;=25,W130&lt;55),0.23,0)+IF(AND(V130&gt;175,W130&gt;=55,W130&lt;95),0.17,0)+IF(AND(V130&gt;175,W130&gt;=95),0.12,0),
IF(AF130="DoEVLo",IF(AND(V130&lt;20,W130&lt;55),0.25,0)+IF(AND(V130&lt;20,W130&gt;=55,W130&lt;105),0.2,0)+IF(AND(V130&lt;20,W130&gt;=105),0.15,0)+IF(AND(V130&gt;=20,V130&lt;40,W130&lt;45),0.25,0)+IF(AND(V130&gt;=20,V130&lt;40,W130&gt;=45,W130&lt;95),0.2,0)+IF(AND(V130&gt;=20,V130&lt;40,W130&gt;=95),0.15,0)+IF(AND(V130&gt;=40,V130&lt;75,W130&lt;35),0.25,0)+IF(AND(V130&gt;=40,V130&lt;75,W130&gt;=35,W130&lt;75),0.2,0)+IF(AND(V130&gt;=40,V130&lt;75,W130&gt;=75,W130&lt;120),0.15,0)+IF(AND(V130&gt;=40,V130&lt;75,W130&gt;=120),0.1,0)+IF(AND(V130&gt;=75,V130&lt;175,W130&lt;35),0.25,0)+IF(AND(V130&gt;=75,V130&lt;=175,W130&gt;=35,W130&lt;65),0.2,0)+IF(AND(V130&gt;=75,V130&lt;=175,W130&gt;=65,W130&lt;110),0.15,0)+IF(AND(V130&gt;=75,V130&lt;=175,W130&gt;=110),0.1,0)+IF(AND(V130&gt;175,W130&lt;25),0.25,0)+IF(AND(V130&gt;175,W130&gt;=25,W130&lt;55),0.2,0)+IF(AND(V130&gt;175,W130&gt;=55,W130&lt;95),0.15,0)+IF(AND(V130&gt;175,W130&gt;=95),0.1,0))))))))))))))))</f>
        <v>0.15</v>
      </c>
      <c r="Y130" s="30">
        <f>IF(AG130="None",0,IF(AG130="Fix5",0.05,IF(AG130="Fix3.75",0.0375,IF(AG130="Fix10",0.1,IF(AG130="Fix3",0.03,0)))))</f>
        <v>0.05</v>
      </c>
      <c r="Z130" s="35">
        <f>T130-AA130-AB130</f>
        <v>-788.80000000000007</v>
      </c>
      <c r="AA130" s="29">
        <f>IF(AD130="EUR",((T130-R130)*X130)*U130+(R130*X130),(T130*X130))</f>
        <v>-147.9</v>
      </c>
      <c r="AB130" s="36">
        <f>IF(AD130="EUR",((T130-R130)*Y130)*U130+(R130*Y130),(T130*Y130))</f>
        <v>-49.300000000000004</v>
      </c>
      <c r="AC130" s="37" t="b">
        <v>1</v>
      </c>
      <c r="AD130" s="37" t="s">
        <v>38</v>
      </c>
      <c r="AE130" s="37" t="s">
        <v>38</v>
      </c>
      <c r="AF130" s="37" t="str">
        <f t="array" ref="AF130">INDEX('Deal Info'!D:D, MATCH(A130,'Deal Info'!A:A, 0))</f>
        <v>Fix15</v>
      </c>
      <c r="AG130" s="38" t="str">
        <f t="array" ref="AG130">INDEX('Deal Info'!G:G, MATCH(A130,'Deal Info'!A:A, 0))</f>
        <v>Fix5</v>
      </c>
    </row>
    <row r="131" spans="1:33" ht="14.25" hidden="1" x14ac:dyDescent="0.2">
      <c r="A131" s="18" t="str">
        <f t="array" ref="A131">IF(G131='Room Info'!$B$1, INDEX('Room Info'!$A$2:$A2446, MATCH(B131,'Room Info'!$B$2:$B2446, 0)),IF(G131='Room Info'!$C$1, INDEX('Room Info'!$A$2:$A2446, MATCH(B131,'Room Info'!$C$2:$C2446, 0)),IF(G131='Room Info'!$D$1, INDEX('Room Info'!$A$2:$A2446, MATCH(B131,'Room Info'!$D$2:$D2446, 0)),IF(G131='Room Info'!$E$1, INDEX('Room Info'!$A$2:$A2446, MATCH(B131,'Room Info'!$E$2:$E2446, 0)),IF(G131='Room Info'!$F$1, INDEX('Room Info'!$A$2:$A2446, MATCH(B131,'Room Info'!$F$2:$F2446, 0)),IF(G131='Room Info'!$H$1, INDEX('Room Info'!$A$2:$A2446, MATCH(B131,'Room Info'!$H$2:$H2446, 0)),IF(G131='Room Info'!$G$1, INDEX('Room Info'!$A$2:$A2446, MATCH(B131,'Room Info'!$G$2:$G2446, 0)))))))))</f>
        <v>AlexanderDSL</v>
      </c>
      <c r="B131" s="54" t="s">
        <v>82</v>
      </c>
      <c r="C131" s="46">
        <v>44886</v>
      </c>
      <c r="D131" s="46">
        <v>44915</v>
      </c>
      <c r="E131" s="47">
        <v>44896</v>
      </c>
      <c r="F131" s="45" t="s">
        <v>34</v>
      </c>
      <c r="G131" s="54" t="s">
        <v>35</v>
      </c>
      <c r="H131" s="49" t="s">
        <v>84</v>
      </c>
      <c r="I131" s="49" t="s">
        <v>44</v>
      </c>
      <c r="J131" s="50">
        <v>100</v>
      </c>
      <c r="K131" s="51">
        <v>1875</v>
      </c>
      <c r="L131" s="52">
        <v>-1500</v>
      </c>
      <c r="M131" s="53">
        <v>7324</v>
      </c>
      <c r="N131" s="28">
        <f>K131*J131</f>
        <v>187500</v>
      </c>
      <c r="O131" s="54">
        <v>21342</v>
      </c>
      <c r="P131" s="29">
        <v>11.382400000000001</v>
      </c>
      <c r="Q131" s="55"/>
      <c r="R131" s="31">
        <f>M131+Q131</f>
        <v>7324</v>
      </c>
      <c r="S131" s="56">
        <v>-3423</v>
      </c>
      <c r="T131" s="32">
        <f>R131+S131+IF(F131="Without EV deal",L131,0)</f>
        <v>3901</v>
      </c>
      <c r="U131" s="33">
        <v>1</v>
      </c>
      <c r="V131" s="58"/>
      <c r="W131" s="58"/>
      <c r="X131" s="30">
        <f>IF(AF131="DoEV",IF(AND(V131&lt;20,W131&lt;55),0.3,0)+IF(AND(V131&lt;20,W131&gt;=55,W131&lt;105),0.23,0)+IF(AND(V131&lt;20,W131&gt;=105),0.17,0)+IF(AND(V131&gt;=20,V131&lt;40,W131&lt;45),0.3,0)+IF(AND(V131&gt;=20,V131&lt;40,W131&gt;=45,W131&lt;95),0.23,0)+IF(AND(V131&gt;=20,V131&lt;40,W131&gt;=95),0.17,0)+IF(AND(V131&gt;=40,V131&lt;75,W131&lt;35),0.3,0)+IF(AND(V131&gt;=40,V131&lt;75,W131&gt;=35,W131&lt;75),0.23,0)+IF(AND(V131&gt;=40,V131&lt;75,W131&gt;=75,W131&lt;120),0.17,0)+IF(AND(V131&gt;=40,V131&lt;75,W131&gt;=120),0.12,0)+IF(AND(V131&gt;=75,V131&lt;175,W131&lt;35),0.3,0)+IF(AND(V131&gt;=75,V131&lt;=175,W131&gt;=35,W131&lt;65),0.23,0)+IF(AND(V131&gt;=75,V131&lt;=175,W131&gt;=65,W131&lt;110),0.17,0)+IF(AND(V131&gt;=75,V131&lt;=175,W131&gt;=110),0.12,0)+IF(AND(V131&gt;175,W131&lt;25),0.3,0)+IF(AND(V131&gt;175,W131&gt;=25,W131&lt;55),0.23,0)+IF(AND(V131&gt;175,W131&gt;=55,W131&lt;95),0.17,0)+IF(AND(V131&gt;175,W131&gt;=95),0.12,0),
IF(AF131="Fix15",0.15,
IF(AF131="Fix11.25",0.1125,
IF(AF131="Fix10",0.1,
IF(AF131="Fix9",0.09,
IF(AF131="DoEV2017",IF(AND(W131&lt;74),0.2,0)+IF(AND(W131&gt;=74),0.17,0),
IF(AF131="SF",IF(AND(V131&lt;20,W131&lt;89),0.3,0)+IF(AND(V131&lt;20,W131&gt;=89),0.25,0)+IF(AND(V131&gt;=20,V131&lt;40,W131&lt;74),0.3,0)+IF(AND(V131&gt;=20,V131&lt;40,W131&gt;=75),0.22,0)+IF(AND(V131&gt;=40,V131&lt;75,W131&lt;75),0.26,0)+IF(AND(V131&gt;=40,V131&lt;75,W131&gt;=75),0.22,0)+IF(V131&gt;=75,0.22,0),
IF(AF131="DoEVold",IF(AND(V131&lt;40,W131&lt;35),0.35,0)+IF(AND(V131&lt;40,W131&gt;=35,W131&lt;75),0.25,0)+IF(AND(V131&lt;40,W131&gt;=75),0.17,0)+IF(AND(V131&gt;=40,V131&lt;75,W131&lt;25),0.35,0)+IF(AND(V131&gt;=40,V131&lt;75,W131&gt;=25,W131&lt;65),0.25,0)+IF(AND(V131&gt;=40,V131&lt;75,W131&gt;=65,W131&lt;100),0.17,0)+IF(AND(V131&gt;=40,V131&lt;75,W131&gt;=100),0.1,0)+IF(AND(V131&gt;=75,W131&lt;25),0.35,0)+IF(AND(V131&gt;=75,W131&gt;=25,W131&lt;60),0.25,0)+IF(AND(V131&gt;=75,W131&gt;=60,W131&lt;95),0.17,0)+IF(AND(V131&gt;=75,W131&gt;=95),0.1,0),
IF(AF131="DoEVold15",IF(AND(V131&lt;=40,W131&lt;35),0.35,0)+IF(AND(V131&lt;=40,W131&gt;=35,W131&lt;75),0.25,0)+IF(AND(V131&lt;=40,W131&gt;=75,W131&lt;120),0.17,0)+IF(AND(V131&lt;=40,W131&gt;=120),0.15,0)+IF(AND(V131&gt;40,V131&lt;75,W131&lt;25),0.35,0)+IF(AND(V131&gt;=40,V131&lt;75,W131&gt;=25,W131&lt;65),0.25,0)+IF(AND(V131&gt;=40,V131&lt;75,W131&gt;=65,W131&lt;100),0.17,0)+IF(AND(V131&gt;=40,V131&lt;75,W131&gt;=100),0.1,0)+IF(AND(V131&gt;=75,W131&lt;25),0.35,0)+IF(AND(V131&gt;=75,W131&gt;=25,W131&lt;60),0.25,0)+IF(AND(V131&gt;=75,W131&gt;=60,W131&lt;95),0.17,0)+IF(AND(V131&gt;=75,W131&gt;=95),0.1,0),
IF(AF131="DoEVba",IF(AND(V131&lt;20,W131&lt;105),0.2,0)+IF(AND(V131&lt;20,W131&gt;=105),0.15,0)+IF(AND(V131&gt;=20,V131&lt;40,W131&lt;95),0.2,0)+IF(AND(V131&gt;=20,V131&lt;40,W131&gt;=95,W131&lt;150),0.15,0)+IF(AND(V131&gt;=20,V131&lt;40,W131&gt;=150),0.12,0)+IF(AND(V131&gt;=40,V131&lt;75,W131&lt;75),0.2,0)+IF(AND(V131&gt;=40,V131&lt;75,W131&gt;=75,W131&lt;120),0.15,0)+IF(AND(V131&gt;=40,V131&lt;75,W131&gt;=120),0.12,0)+IF(AND(V131&gt;=75,V131&lt;175,W131&lt;65),0.2,0)+IF(AND(V131&gt;=75,V131&lt;175,W131&gt;=65,W131&lt;110),0.15,0)+IF(AND(V131&gt;=75,V131&lt;175,W131&gt;=110),0.12,0)+IF(AND(V131&gt;=175,W131&lt;55),0.2,0)+IF(AND(V131&gt;=175,W131&gt;=55,W131&lt;95),0.15,0)+IF(AND(V131&gt;=175,W131&gt;=95),0.12,0),
IF(AF131="DoEVku",IF(AND(V131&lt;20,W131&lt;55),0.23,0)+IF(AND(V131&lt;20,W131&gt;=55,W131&lt;105),0.2,0)+IF(AND(V131&lt;20,W131&gt;=105),0.17,0)+IF(AND(V131&gt;=20,V131&lt;40,W131&lt;45),0.23,0)+IF(AND(V131&gt;=20,V131&lt;40,W131&gt;=45,W131&lt;95),0.2,0)+IF(AND(V131&gt;=20,V131&lt;40,W131&gt;=95,W131&lt;=150),0.17,0)+IF(AND(V131&gt;=20,V131&lt;40,W131&gt;=150),0.12,0)+IF(AND(V131&gt;=40,V131&lt;75,W131&lt;35),0.23,0)+IF(AND(V131&gt;=40,V131&lt;75,W131&gt;=35,W131&lt;75),0.2,0)+IF(AND(V131&gt;=40,V131&lt;75,W131&gt;=75,W131&lt;120),0.17,0)+IF(AND(V131&gt;=40,V131&lt;75,W131&gt;=120),0.12,0)+IF(AND(V131&gt;=75,V131&lt;175,W131&lt;35),0.23,0)+IF(AND(V131&gt;=75,V131&lt;=175,W131&gt;=35,W131&lt;65),0.2,0)+IF(AND(V131&gt;=75,V131&lt;=175,W131&gt;=65,W131&lt;110),0.17,0)+IF(AND(V131&gt;=75,V131&lt;=175,W131&gt;=110),0.12,0)+IF(AND(V131&gt;175,W131&lt;25),0.23,0)+IF(AND(V131&gt;175,W131&gt;=25,W131&lt;55),0.2,0)+IF(AND(V131&gt;175,W131&gt;=55,W131&lt;95),0.17,0)+IF(AND(V131&gt;175,W131&gt;=95),0.12,0),
IF(AF131="DoEVs1",IF(AND(V131&lt;20,W131&lt;55),0.3,0)+IF(AND(V131&lt;20,W131&gt;=55,W131&lt;105),0.23,0)+IF(AND(V131&lt;20,W131&gt;=105),0.17,0)+IF(AND(V131&gt;=20,V131&lt;40,W131&lt;45),0.3,0)+IF(AND(V131&gt;=20,V131&lt;40,W131&gt;=45,W131&lt;95),0.23,0)+IF(AND(V131&gt;=20,V131&lt;40,W131&gt;=95,W131&lt;=150),0.17,0)+IF(AND(V131&gt;=20,V131&lt;40,W131&gt;=150),0.12,0)+IF(AND(V131&gt;=40,V131&lt;75,W131&lt;35),0.3,0)+IF(AND(V131&gt;=40,V131&lt;75,W131&gt;=35,W131&lt;75),0.23,0)+IF(AND(V131&gt;=40,V131&lt;75,W131&gt;=75,W131&lt;120),0.17,0)+IF(AND(V131&gt;=40,V131&lt;75,W131&gt;=120),0.12,0)+IF(AND(V131&gt;=75,V131&lt;175,W131&lt;35),0.3,0)+IF(AND(V131&gt;=75,V131&lt;=175,W131&gt;=35,W131&lt;65),0.23,0)+IF(AND(V131&gt;=75,V131&lt;=175,W131&gt;=65,W131&lt;110),0.17,0)+IF(AND(V131&gt;=75,V131&lt;=175,W131&gt;=110),0.12,0)+IF(AND(V131&gt;175,W131&lt;25),0.3,0)+IF(AND(V131&gt;175,W131&gt;=25,W131&lt;55),0.23,0)+IF(AND(V131&gt;175,W131&gt;=55,W131&lt;95),0.17,0)+IF(AND(V131&gt;175,W131&gt;=95),0.12,0),
IF(AF131="DoEVsu",IF(AND(V131&lt;20,W131&lt;55),0.3,0)+IF(AND(V131&lt;20,W131&gt;=55,W131&lt;105),0.23,0)+IF(AND(V131&lt;20,W131&gt;=105),0.17,0)+IF(AND(V131&gt;=20,V131&lt;40,W131&lt;45),0.3,0)+IF(AND(V131&gt;=20,V131&lt;40,W131&gt;=45,W131&lt;95),0.23,0)+IF(AND(V131&gt;=20,V131&lt;40,W131&gt;=95,W131&lt;=250),0.17,0)+IF(AND(V131&gt;=20,V131&lt;40,W131&gt;=250),0.12,0)+IF(AND(V131&gt;=40,V131&lt;75,W131&lt;35),0.3,0)+IF(AND(V131&gt;=40,V131&lt;75,W131&gt;=35,W131&lt;75),0.23,0)+IF(AND(V131&gt;=40,V131&lt;75,W131&gt;=75,W131&lt;120),0.17,0)+IF(AND(V131&gt;=40,V131&lt;75,W131&gt;=120),0.12,0)+IF(AND(V131&gt;=75,V131&lt;175,W131&lt;35),0.3,0)+IF(AND(V131&gt;=75,V131&lt;=175,W131&gt;=35,W131&lt;65),0.23,0)+IF(AND(V131&gt;=75,V131&lt;=175,W131&gt;=65,W131&lt;110),0.17,0)+IF(AND(V131&gt;=75,V131&lt;=175,W131&gt;=110),0.12,0)+IF(AND(V131&gt;175,W131&lt;25),0.3,0)+IF(AND(V131&gt;175,W131&gt;=25,W131&lt;55),0.23,0)+IF(AND(V131&gt;175,W131&gt;=55,W131&lt;95),0.17,0)+IF(AND(V131&gt;175,W131&gt;=95),0.12,0),
IF(AF131="DoEVni",IF(AND(V131&lt;20,W131&lt;55),0.3,0)+IF(AND(V131&lt;20,W131&gt;=55,W131&lt;105),0.23,0)+IF(AND(V131&lt;20,W131&gt;=105),0.17,0)+IF(AND(V131&gt;=20,V131&lt;40,W131&lt;45),0.3,0)+IF(AND(V131&gt;=20,V131&lt;40,W131&gt;=45,W131&lt;95),0.23,0)+IF(AND(V131&gt;=20,V131&lt;40,W131&gt;=95,W131&lt;=200),0.17,0)+IF(AND(V131&gt;=20,V131&lt;40,W131&gt;=200),0.12,0)+IF(AND(V131&gt;=40,V131&lt;75,W131&lt;35),0.3,0)+IF(AND(V131&gt;=40,V131&lt;75,W131&gt;=35,W131&lt;75),0.23,0)+IF(AND(V131&gt;=40,V131&lt;75,W131&gt;=75,W131&lt;120),0.17,0)+IF(AND(V131&gt;=40,V131&lt;75,W131&gt;=120),0.12,0)+IF(AND(V131&gt;=75,V131&lt;175,W131&lt;35),0.3,0)+IF(AND(V131&gt;=75,V131&lt;=175,W131&gt;=35,W131&lt;65),0.23,0)+IF(AND(V131&gt;=75,V131&lt;=175,W131&gt;=65,W131&lt;110),0.17,0)+IF(AND(V131&gt;=75,V131&lt;=175,W131&gt;=110),0.12,0)+IF(AND(V131&gt;175,W131&lt;25),0.3,0)+IF(AND(V131&gt;175,W131&gt;=25,W131&lt;55),0.23,0)+IF(AND(V131&gt;175,W131&gt;=55,W131&lt;95),0.17,0)+IF(AND(V131&gt;175,W131&gt;=95),0.12,0),
IF(AF131="DoEVLo",IF(AND(V131&lt;20,W131&lt;55),0.25,0)+IF(AND(V131&lt;20,W131&gt;=55,W131&lt;105),0.2,0)+IF(AND(V131&lt;20,W131&gt;=105),0.15,0)+IF(AND(V131&gt;=20,V131&lt;40,W131&lt;45),0.25,0)+IF(AND(V131&gt;=20,V131&lt;40,W131&gt;=45,W131&lt;95),0.2,0)+IF(AND(V131&gt;=20,V131&lt;40,W131&gt;=95),0.15,0)+IF(AND(V131&gt;=40,V131&lt;75,W131&lt;35),0.25,0)+IF(AND(V131&gt;=40,V131&lt;75,W131&gt;=35,W131&lt;75),0.2,0)+IF(AND(V131&gt;=40,V131&lt;75,W131&gt;=75,W131&lt;120),0.15,0)+IF(AND(V131&gt;=40,V131&lt;75,W131&gt;=120),0.1,0)+IF(AND(V131&gt;=75,V131&lt;175,W131&lt;35),0.25,0)+IF(AND(V131&gt;=75,V131&lt;=175,W131&gt;=35,W131&lt;65),0.2,0)+IF(AND(V131&gt;=75,V131&lt;=175,W131&gt;=65,W131&lt;110),0.15,0)+IF(AND(V131&gt;=75,V131&lt;=175,W131&gt;=110),0.1,0)+IF(AND(V131&gt;175,W131&lt;25),0.25,0)+IF(AND(V131&gt;175,W131&gt;=25,W131&lt;55),0.2,0)+IF(AND(V131&gt;175,W131&gt;=55,W131&lt;95),0.15,0)+IF(AND(V131&gt;175,W131&gt;=95),0.1,0))))))))))))))))</f>
        <v>0.15</v>
      </c>
      <c r="Y131" s="30">
        <f>IF(AG131="None",0,IF(AG131="Fix5",0.05,IF(AG131="Fix3.75",0.0375,IF(AG131="Fix10",0.1,IF(AG131="Fix3",0.03,0)))))</f>
        <v>0.05</v>
      </c>
      <c r="Z131" s="35">
        <f>T131-AA131-AB131</f>
        <v>3120.7999999999997</v>
      </c>
      <c r="AA131" s="29">
        <f>IF(AD131="EUR",((T131-R131)*X131)*U131+(R131*X131),(T131*X131))</f>
        <v>585.15</v>
      </c>
      <c r="AB131" s="36">
        <f>IF(AD131="EUR",((T131-R131)*Y131)*U131+(R131*Y131),(T131*Y131))</f>
        <v>195.05</v>
      </c>
      <c r="AC131" s="37" t="b">
        <v>1</v>
      </c>
      <c r="AD131" s="37" t="s">
        <v>38</v>
      </c>
      <c r="AE131" s="37" t="s">
        <v>38</v>
      </c>
      <c r="AF131" s="37" t="str">
        <f t="array" ref="AF131">INDEX('Deal Info'!D:D, MATCH(A131,'Deal Info'!A:A, 0))</f>
        <v>Fix15</v>
      </c>
      <c r="AG131" s="38" t="str">
        <f t="array" ref="AG131">INDEX('Deal Info'!G:G, MATCH(A131,'Deal Info'!A:A, 0))</f>
        <v>Fix5</v>
      </c>
    </row>
    <row r="132" spans="1:33" ht="14.25" hidden="1" x14ac:dyDescent="0.2">
      <c r="A132" s="18" t="str">
        <f t="array" ref="A132">IF(G132='Room Info'!$B$1, INDEX('Room Info'!$A$2:$A2446, MATCH(B132,'Room Info'!$B$2:$B2446, 0)),IF(G132='Room Info'!$C$1, INDEX('Room Info'!$A$2:$A2446, MATCH(B132,'Room Info'!$C$2:$C2446, 0)),IF(G132='Room Info'!$D$1, INDEX('Room Info'!$A$2:$A2446, MATCH(B132,'Room Info'!$D$2:$D2446, 0)),IF(G132='Room Info'!$E$1, INDEX('Room Info'!$A$2:$A2446, MATCH(B132,'Room Info'!$E$2:$E2446, 0)),IF(G132='Room Info'!$F$1, INDEX('Room Info'!$A$2:$A2446, MATCH(B132,'Room Info'!$F$2:$F2446, 0)),IF(G132='Room Info'!$H$1, INDEX('Room Info'!$A$2:$A2446, MATCH(B132,'Room Info'!$H$2:$H2446, 0)),IF(G132='Room Info'!$G$1, INDEX('Room Info'!$A$2:$A2446, MATCH(B132,'Room Info'!$G$2:$G2446, 0)))))))))</f>
        <v>AlexanderDSL</v>
      </c>
      <c r="B132" s="54" t="s">
        <v>82</v>
      </c>
      <c r="C132" s="67">
        <v>44916</v>
      </c>
      <c r="D132" s="67">
        <v>44946</v>
      </c>
      <c r="E132" s="47">
        <v>44927</v>
      </c>
      <c r="F132" s="45" t="s">
        <v>34</v>
      </c>
      <c r="G132" s="54" t="s">
        <v>35</v>
      </c>
      <c r="H132" s="49" t="s">
        <v>70</v>
      </c>
      <c r="I132" s="49" t="s">
        <v>37</v>
      </c>
      <c r="J132" s="50">
        <v>100</v>
      </c>
      <c r="K132" s="51">
        <v>1518</v>
      </c>
      <c r="L132" s="52">
        <v>-700</v>
      </c>
      <c r="M132" s="53">
        <v>2846</v>
      </c>
      <c r="N132" s="28">
        <f>K132*J132</f>
        <v>151800</v>
      </c>
      <c r="O132" s="54">
        <v>35748</v>
      </c>
      <c r="P132" s="29">
        <v>23.549407110000001</v>
      </c>
      <c r="Q132" s="55"/>
      <c r="R132" s="31">
        <f>M132+Q132</f>
        <v>2846</v>
      </c>
      <c r="S132" s="56">
        <v>-1205</v>
      </c>
      <c r="T132" s="32">
        <f>R132+S132+IF(F132="Without EV deal",L132,0)</f>
        <v>1641</v>
      </c>
      <c r="U132" s="33">
        <v>1</v>
      </c>
      <c r="V132" s="58"/>
      <c r="W132" s="58"/>
      <c r="X132" s="30">
        <f>IF(AF132="DoEV",IF(AND(V132&lt;20,W132&lt;55),0.3,0)+IF(AND(V132&lt;20,W132&gt;=55,W132&lt;105),0.23,0)+IF(AND(V132&lt;20,W132&gt;=105),0.17,0)+IF(AND(V132&gt;=20,V132&lt;40,W132&lt;45),0.3,0)+IF(AND(V132&gt;=20,V132&lt;40,W132&gt;=45,W132&lt;95),0.23,0)+IF(AND(V132&gt;=20,V132&lt;40,W132&gt;=95),0.17,0)+IF(AND(V132&gt;=40,V132&lt;75,W132&lt;35),0.3,0)+IF(AND(V132&gt;=40,V132&lt;75,W132&gt;=35,W132&lt;75),0.23,0)+IF(AND(V132&gt;=40,V132&lt;75,W132&gt;=75,W132&lt;120),0.17,0)+IF(AND(V132&gt;=40,V132&lt;75,W132&gt;=120),0.12,0)+IF(AND(V132&gt;=75,V132&lt;175,W132&lt;35),0.3,0)+IF(AND(V132&gt;=75,V132&lt;=175,W132&gt;=35,W132&lt;65),0.23,0)+IF(AND(V132&gt;=75,V132&lt;=175,W132&gt;=65,W132&lt;110),0.17,0)+IF(AND(V132&gt;=75,V132&lt;=175,W132&gt;=110),0.12,0)+IF(AND(V132&gt;175,W132&lt;25),0.3,0)+IF(AND(V132&gt;175,W132&gt;=25,W132&lt;55),0.23,0)+IF(AND(V132&gt;175,W132&gt;=55,W132&lt;95),0.17,0)+IF(AND(V132&gt;175,W132&gt;=95),0.12,0),
IF(AF132="Fix15",0.15,
IF(AF132="Fix11.25",0.1125,
IF(AF132="Fix10",0.1,
IF(AF132="Fix9",0.09,
IF(AF132="DoEV2017",IF(AND(W132&lt;74),0.2,0)+IF(AND(W132&gt;=74),0.17,0),
IF(AF132="SF",IF(AND(V132&lt;20,W132&lt;89),0.3,0)+IF(AND(V132&lt;20,W132&gt;=89),0.25,0)+IF(AND(V132&gt;=20,V132&lt;40,W132&lt;74),0.3,0)+IF(AND(V132&gt;=20,V132&lt;40,W132&gt;=75),0.22,0)+IF(AND(V132&gt;=40,V132&lt;75,W132&lt;75),0.26,0)+IF(AND(V132&gt;=40,V132&lt;75,W132&gt;=75),0.22,0)+IF(V132&gt;=75,0.22,0),
IF(AF132="DoEVold",IF(AND(V132&lt;40,W132&lt;35),0.35,0)+IF(AND(V132&lt;40,W132&gt;=35,W132&lt;75),0.25,0)+IF(AND(V132&lt;40,W132&gt;=75),0.17,0)+IF(AND(V132&gt;=40,V132&lt;75,W132&lt;25),0.35,0)+IF(AND(V132&gt;=40,V132&lt;75,W132&gt;=25,W132&lt;65),0.25,0)+IF(AND(V132&gt;=40,V132&lt;75,W132&gt;=65,W132&lt;100),0.17,0)+IF(AND(V132&gt;=40,V132&lt;75,W132&gt;=100),0.1,0)+IF(AND(V132&gt;=75,W132&lt;25),0.35,0)+IF(AND(V132&gt;=75,W132&gt;=25,W132&lt;60),0.25,0)+IF(AND(V132&gt;=75,W132&gt;=60,W132&lt;95),0.17,0)+IF(AND(V132&gt;=75,W132&gt;=95),0.1,0),
IF(AF132="DoEVold15",IF(AND(V132&lt;=40,W132&lt;35),0.35,0)+IF(AND(V132&lt;=40,W132&gt;=35,W132&lt;75),0.25,0)+IF(AND(V132&lt;=40,W132&gt;=75,W132&lt;120),0.17,0)+IF(AND(V132&lt;=40,W132&gt;=120),0.15,0)+IF(AND(V132&gt;40,V132&lt;75,W132&lt;25),0.35,0)+IF(AND(V132&gt;=40,V132&lt;75,W132&gt;=25,W132&lt;65),0.25,0)+IF(AND(V132&gt;=40,V132&lt;75,W132&gt;=65,W132&lt;100),0.17,0)+IF(AND(V132&gt;=40,V132&lt;75,W132&gt;=100),0.1,0)+IF(AND(V132&gt;=75,W132&lt;25),0.35,0)+IF(AND(V132&gt;=75,W132&gt;=25,W132&lt;60),0.25,0)+IF(AND(V132&gt;=75,W132&gt;=60,W132&lt;95),0.17,0)+IF(AND(V132&gt;=75,W132&gt;=95),0.1,0),
IF(AF132="DoEVba",IF(AND(V132&lt;20,W132&lt;105),0.2,0)+IF(AND(V132&lt;20,W132&gt;=105),0.15,0)+IF(AND(V132&gt;=20,V132&lt;40,W132&lt;95),0.2,0)+IF(AND(V132&gt;=20,V132&lt;40,W132&gt;=95,W132&lt;150),0.15,0)+IF(AND(V132&gt;=20,V132&lt;40,W132&gt;=150),0.12,0)+IF(AND(V132&gt;=40,V132&lt;75,W132&lt;75),0.2,0)+IF(AND(V132&gt;=40,V132&lt;75,W132&gt;=75,W132&lt;120),0.15,0)+IF(AND(V132&gt;=40,V132&lt;75,W132&gt;=120),0.12,0)+IF(AND(V132&gt;=75,V132&lt;175,W132&lt;65),0.2,0)+IF(AND(V132&gt;=75,V132&lt;175,W132&gt;=65,W132&lt;110),0.15,0)+IF(AND(V132&gt;=75,V132&lt;175,W132&gt;=110),0.12,0)+IF(AND(V132&gt;=175,W132&lt;55),0.2,0)+IF(AND(V132&gt;=175,W132&gt;=55,W132&lt;95),0.15,0)+IF(AND(V132&gt;=175,W132&gt;=95),0.12,0),
IF(AF132="DoEVku",IF(AND(V132&lt;20,W132&lt;55),0.23,0)+IF(AND(V132&lt;20,W132&gt;=55,W132&lt;105),0.2,0)+IF(AND(V132&lt;20,W132&gt;=105),0.17,0)+IF(AND(V132&gt;=20,V132&lt;40,W132&lt;45),0.23,0)+IF(AND(V132&gt;=20,V132&lt;40,W132&gt;=45,W132&lt;95),0.2,0)+IF(AND(V132&gt;=20,V132&lt;40,W132&gt;=95,W132&lt;=150),0.17,0)+IF(AND(V132&gt;=20,V132&lt;40,W132&gt;=150),0.12,0)+IF(AND(V132&gt;=40,V132&lt;75,W132&lt;35),0.23,0)+IF(AND(V132&gt;=40,V132&lt;75,W132&gt;=35,W132&lt;75),0.2,0)+IF(AND(V132&gt;=40,V132&lt;75,W132&gt;=75,W132&lt;120),0.17,0)+IF(AND(V132&gt;=40,V132&lt;75,W132&gt;=120),0.12,0)+IF(AND(V132&gt;=75,V132&lt;175,W132&lt;35),0.23,0)+IF(AND(V132&gt;=75,V132&lt;=175,W132&gt;=35,W132&lt;65),0.2,0)+IF(AND(V132&gt;=75,V132&lt;=175,W132&gt;=65,W132&lt;110),0.17,0)+IF(AND(V132&gt;=75,V132&lt;=175,W132&gt;=110),0.12,0)+IF(AND(V132&gt;175,W132&lt;25),0.23,0)+IF(AND(V132&gt;175,W132&gt;=25,W132&lt;55),0.2,0)+IF(AND(V132&gt;175,W132&gt;=55,W132&lt;95),0.17,0)+IF(AND(V132&gt;175,W132&gt;=95),0.12,0),
IF(AF132="DoEVs1",IF(AND(V132&lt;20,W132&lt;55),0.3,0)+IF(AND(V132&lt;20,W132&gt;=55,W132&lt;105),0.23,0)+IF(AND(V132&lt;20,W132&gt;=105),0.17,0)+IF(AND(V132&gt;=20,V132&lt;40,W132&lt;45),0.3,0)+IF(AND(V132&gt;=20,V132&lt;40,W132&gt;=45,W132&lt;95),0.23,0)+IF(AND(V132&gt;=20,V132&lt;40,W132&gt;=95,W132&lt;=150),0.17,0)+IF(AND(V132&gt;=20,V132&lt;40,W132&gt;=150),0.12,0)+IF(AND(V132&gt;=40,V132&lt;75,W132&lt;35),0.3,0)+IF(AND(V132&gt;=40,V132&lt;75,W132&gt;=35,W132&lt;75),0.23,0)+IF(AND(V132&gt;=40,V132&lt;75,W132&gt;=75,W132&lt;120),0.17,0)+IF(AND(V132&gt;=40,V132&lt;75,W132&gt;=120),0.12,0)+IF(AND(V132&gt;=75,V132&lt;175,W132&lt;35),0.3,0)+IF(AND(V132&gt;=75,V132&lt;=175,W132&gt;=35,W132&lt;65),0.23,0)+IF(AND(V132&gt;=75,V132&lt;=175,W132&gt;=65,W132&lt;110),0.17,0)+IF(AND(V132&gt;=75,V132&lt;=175,W132&gt;=110),0.12,0)+IF(AND(V132&gt;175,W132&lt;25),0.3,0)+IF(AND(V132&gt;175,W132&gt;=25,W132&lt;55),0.23,0)+IF(AND(V132&gt;175,W132&gt;=55,W132&lt;95),0.17,0)+IF(AND(V132&gt;175,W132&gt;=95),0.12,0),
IF(AF132="DoEVsu",IF(AND(V132&lt;20,W132&lt;55),0.3,0)+IF(AND(V132&lt;20,W132&gt;=55,W132&lt;105),0.23,0)+IF(AND(V132&lt;20,W132&gt;=105),0.17,0)+IF(AND(V132&gt;=20,V132&lt;40,W132&lt;45),0.3,0)+IF(AND(V132&gt;=20,V132&lt;40,W132&gt;=45,W132&lt;95),0.23,0)+IF(AND(V132&gt;=20,V132&lt;40,W132&gt;=95,W132&lt;=250),0.17,0)+IF(AND(V132&gt;=20,V132&lt;40,W132&gt;=250),0.12,0)+IF(AND(V132&gt;=40,V132&lt;75,W132&lt;35),0.3,0)+IF(AND(V132&gt;=40,V132&lt;75,W132&gt;=35,W132&lt;75),0.23,0)+IF(AND(V132&gt;=40,V132&lt;75,W132&gt;=75,W132&lt;120),0.17,0)+IF(AND(V132&gt;=40,V132&lt;75,W132&gt;=120),0.12,0)+IF(AND(V132&gt;=75,V132&lt;175,W132&lt;35),0.3,0)+IF(AND(V132&gt;=75,V132&lt;=175,W132&gt;=35,W132&lt;65),0.23,0)+IF(AND(V132&gt;=75,V132&lt;=175,W132&gt;=65,W132&lt;110),0.17,0)+IF(AND(V132&gt;=75,V132&lt;=175,W132&gt;=110),0.12,0)+IF(AND(V132&gt;175,W132&lt;25),0.3,0)+IF(AND(V132&gt;175,W132&gt;=25,W132&lt;55),0.23,0)+IF(AND(V132&gt;175,W132&gt;=55,W132&lt;95),0.17,0)+IF(AND(V132&gt;175,W132&gt;=95),0.12,0),
IF(AF132="DoEVni",IF(AND(V132&lt;20,W132&lt;55),0.3,0)+IF(AND(V132&lt;20,W132&gt;=55,W132&lt;105),0.23,0)+IF(AND(V132&lt;20,W132&gt;=105),0.17,0)+IF(AND(V132&gt;=20,V132&lt;40,W132&lt;45),0.3,0)+IF(AND(V132&gt;=20,V132&lt;40,W132&gt;=45,W132&lt;95),0.23,0)+IF(AND(V132&gt;=20,V132&lt;40,W132&gt;=95,W132&lt;=200),0.17,0)+IF(AND(V132&gt;=20,V132&lt;40,W132&gt;=200),0.12,0)+IF(AND(V132&gt;=40,V132&lt;75,W132&lt;35),0.3,0)+IF(AND(V132&gt;=40,V132&lt;75,W132&gt;=35,W132&lt;75),0.23,0)+IF(AND(V132&gt;=40,V132&lt;75,W132&gt;=75,W132&lt;120),0.17,0)+IF(AND(V132&gt;=40,V132&lt;75,W132&gt;=120),0.12,0)+IF(AND(V132&gt;=75,V132&lt;175,W132&lt;35),0.3,0)+IF(AND(V132&gt;=75,V132&lt;=175,W132&gt;=35,W132&lt;65),0.23,0)+IF(AND(V132&gt;=75,V132&lt;=175,W132&gt;=65,W132&lt;110),0.17,0)+IF(AND(V132&gt;=75,V132&lt;=175,W132&gt;=110),0.12,0)+IF(AND(V132&gt;175,W132&lt;25),0.3,0)+IF(AND(V132&gt;175,W132&gt;=25,W132&lt;55),0.23,0)+IF(AND(V132&gt;175,W132&gt;=55,W132&lt;95),0.17,0)+IF(AND(V132&gt;175,W132&gt;=95),0.12,0),
IF(AF132="DoEVLo",IF(AND(V132&lt;20,W132&lt;55),0.25,0)+IF(AND(V132&lt;20,W132&gt;=55,W132&lt;105),0.2,0)+IF(AND(V132&lt;20,W132&gt;=105),0.15,0)+IF(AND(V132&gt;=20,V132&lt;40,W132&lt;45),0.25,0)+IF(AND(V132&gt;=20,V132&lt;40,W132&gt;=45,W132&lt;95),0.2,0)+IF(AND(V132&gt;=20,V132&lt;40,W132&gt;=95),0.15,0)+IF(AND(V132&gt;=40,V132&lt;75,W132&lt;35),0.25,0)+IF(AND(V132&gt;=40,V132&lt;75,W132&gt;=35,W132&lt;75),0.2,0)+IF(AND(V132&gt;=40,V132&lt;75,W132&gt;=75,W132&lt;120),0.15,0)+IF(AND(V132&gt;=40,V132&lt;75,W132&gt;=120),0.1,0)+IF(AND(V132&gt;=75,V132&lt;175,W132&lt;35),0.25,0)+IF(AND(V132&gt;=75,V132&lt;=175,W132&gt;=35,W132&lt;65),0.2,0)+IF(AND(V132&gt;=75,V132&lt;=175,W132&gt;=65,W132&lt;110),0.15,0)+IF(AND(V132&gt;=75,V132&lt;=175,W132&gt;=110),0.1,0)+IF(AND(V132&gt;175,W132&lt;25),0.25,0)+IF(AND(V132&gt;175,W132&gt;=25,W132&lt;55),0.2,0)+IF(AND(V132&gt;175,W132&gt;=55,W132&lt;95),0.15,0)+IF(AND(V132&gt;175,W132&gt;=95),0.1,0))))))))))))))))</f>
        <v>0.15</v>
      </c>
      <c r="Y132" s="30">
        <f>IF(AG132="None",0,IF(AG132="Fix5",0.05,IF(AG132="Fix3.75",0.0375,IF(AG132="Fix10",0.1,IF(AG132="Fix3",0.03,0)))))</f>
        <v>0.05</v>
      </c>
      <c r="Z132" s="35">
        <f>T132-AA132-AB132</f>
        <v>1312.8</v>
      </c>
      <c r="AA132" s="29">
        <f>IF(AD132="EUR",((T132-R132)*X132)*U132+(R132*X132),(T132*X132))</f>
        <v>246.14999999999998</v>
      </c>
      <c r="AB132" s="36">
        <f>IF(AD132="EUR",((T132-R132)*Y132)*U132+(R132*Y132),(T132*Y132))</f>
        <v>82.050000000000011</v>
      </c>
      <c r="AC132" s="61" t="b">
        <v>1</v>
      </c>
      <c r="AD132" s="37" t="s">
        <v>38</v>
      </c>
      <c r="AE132" s="37" t="s">
        <v>38</v>
      </c>
      <c r="AF132" s="37" t="str">
        <f t="array" ref="AF132">INDEX('Deal Info'!D:D, MATCH(A132,'Deal Info'!A:A, 0))</f>
        <v>Fix15</v>
      </c>
      <c r="AG132" s="38" t="str">
        <f t="array" ref="AG132">INDEX('Deal Info'!G:G, MATCH(A132,'Deal Info'!A:A, 0))</f>
        <v>Fix5</v>
      </c>
    </row>
    <row r="133" spans="1:33" ht="14.25" hidden="1" x14ac:dyDescent="0.2">
      <c r="A133" s="18" t="str">
        <f t="array" ref="A133">IF(G133='Room Info'!$B$1, INDEX('Room Info'!$A$2:$A2446, MATCH(B133,'Room Info'!$B$2:$B2446, 0)),IF(G133='Room Info'!$C$1, INDEX('Room Info'!$A$2:$A2446, MATCH(B133,'Room Info'!$C$2:$C2446, 0)),IF(G133='Room Info'!$D$1, INDEX('Room Info'!$A$2:$A2446, MATCH(B133,'Room Info'!$D$2:$D2446, 0)),IF(G133='Room Info'!$E$1, INDEX('Room Info'!$A$2:$A2446, MATCH(B133,'Room Info'!$E$2:$E2446, 0)),IF(G133='Room Info'!$F$1, INDEX('Room Info'!$A$2:$A2446, MATCH(B133,'Room Info'!$F$2:$F2446, 0)),IF(G133='Room Info'!$H$1, INDEX('Room Info'!$A$2:$A2446, MATCH(B133,'Room Info'!$H$2:$H2446, 0)),IF(G133='Room Info'!$G$1, INDEX('Room Info'!$A$2:$A2446, MATCH(B133,'Room Info'!$G$2:$G2446, 0)))))))))</f>
        <v>AlexanderDSL</v>
      </c>
      <c r="B133" s="54" t="s">
        <v>82</v>
      </c>
      <c r="C133" s="67">
        <v>44916</v>
      </c>
      <c r="D133" s="67">
        <v>44946</v>
      </c>
      <c r="E133" s="47">
        <v>44927</v>
      </c>
      <c r="F133" s="45" t="s">
        <v>34</v>
      </c>
      <c r="G133" s="54" t="s">
        <v>35</v>
      </c>
      <c r="H133" s="49" t="s">
        <v>84</v>
      </c>
      <c r="I133" s="49" t="s">
        <v>44</v>
      </c>
      <c r="J133" s="50">
        <v>100</v>
      </c>
      <c r="K133" s="51">
        <v>1042</v>
      </c>
      <c r="L133" s="52">
        <v>-6100</v>
      </c>
      <c r="M133" s="53">
        <v>1954</v>
      </c>
      <c r="N133" s="28">
        <f>K133*J133</f>
        <v>104200</v>
      </c>
      <c r="O133" s="54">
        <v>-290</v>
      </c>
      <c r="P133" s="29">
        <v>-0.27831094049999999</v>
      </c>
      <c r="Q133" s="55"/>
      <c r="R133" s="31">
        <f>M133+Q133</f>
        <v>1954</v>
      </c>
      <c r="S133" s="56">
        <v>-5517</v>
      </c>
      <c r="T133" s="32">
        <f>R133+S133+IF(F133="Without EV deal",L133,0)</f>
        <v>-3563</v>
      </c>
      <c r="U133" s="33">
        <v>1</v>
      </c>
      <c r="V133" s="58"/>
      <c r="W133" s="58"/>
      <c r="X133" s="30">
        <f>IF(AF133="DoEV",IF(AND(V133&lt;20,W133&lt;55),0.3,0)+IF(AND(V133&lt;20,W133&gt;=55,W133&lt;105),0.23,0)+IF(AND(V133&lt;20,W133&gt;=105),0.17,0)+IF(AND(V133&gt;=20,V133&lt;40,W133&lt;45),0.3,0)+IF(AND(V133&gt;=20,V133&lt;40,W133&gt;=45,W133&lt;95),0.23,0)+IF(AND(V133&gt;=20,V133&lt;40,W133&gt;=95),0.17,0)+IF(AND(V133&gt;=40,V133&lt;75,W133&lt;35),0.3,0)+IF(AND(V133&gt;=40,V133&lt;75,W133&gt;=35,W133&lt;75),0.23,0)+IF(AND(V133&gt;=40,V133&lt;75,W133&gt;=75,W133&lt;120),0.17,0)+IF(AND(V133&gt;=40,V133&lt;75,W133&gt;=120),0.12,0)+IF(AND(V133&gt;=75,V133&lt;175,W133&lt;35),0.3,0)+IF(AND(V133&gt;=75,V133&lt;=175,W133&gt;=35,W133&lt;65),0.23,0)+IF(AND(V133&gt;=75,V133&lt;=175,W133&gt;=65,W133&lt;110),0.17,0)+IF(AND(V133&gt;=75,V133&lt;=175,W133&gt;=110),0.12,0)+IF(AND(V133&gt;175,W133&lt;25),0.3,0)+IF(AND(V133&gt;175,W133&gt;=25,W133&lt;55),0.23,0)+IF(AND(V133&gt;175,W133&gt;=55,W133&lt;95),0.17,0)+IF(AND(V133&gt;175,W133&gt;=95),0.12,0),
IF(AF133="Fix15",0.15,
IF(AF133="Fix11.25",0.1125,
IF(AF133="Fix10",0.1,
IF(AF133="Fix9",0.09,
IF(AF133="DoEV2017",IF(AND(W133&lt;74),0.2,0)+IF(AND(W133&gt;=74),0.17,0),
IF(AF133="SF",IF(AND(V133&lt;20,W133&lt;89),0.3,0)+IF(AND(V133&lt;20,W133&gt;=89),0.25,0)+IF(AND(V133&gt;=20,V133&lt;40,W133&lt;74),0.3,0)+IF(AND(V133&gt;=20,V133&lt;40,W133&gt;=75),0.22,0)+IF(AND(V133&gt;=40,V133&lt;75,W133&lt;75),0.26,0)+IF(AND(V133&gt;=40,V133&lt;75,W133&gt;=75),0.22,0)+IF(V133&gt;=75,0.22,0),
IF(AF133="DoEVold",IF(AND(V133&lt;40,W133&lt;35),0.35,0)+IF(AND(V133&lt;40,W133&gt;=35,W133&lt;75),0.25,0)+IF(AND(V133&lt;40,W133&gt;=75),0.17,0)+IF(AND(V133&gt;=40,V133&lt;75,W133&lt;25),0.35,0)+IF(AND(V133&gt;=40,V133&lt;75,W133&gt;=25,W133&lt;65),0.25,0)+IF(AND(V133&gt;=40,V133&lt;75,W133&gt;=65,W133&lt;100),0.17,0)+IF(AND(V133&gt;=40,V133&lt;75,W133&gt;=100),0.1,0)+IF(AND(V133&gt;=75,W133&lt;25),0.35,0)+IF(AND(V133&gt;=75,W133&gt;=25,W133&lt;60),0.25,0)+IF(AND(V133&gt;=75,W133&gt;=60,W133&lt;95),0.17,0)+IF(AND(V133&gt;=75,W133&gt;=95),0.1,0),
IF(AF133="DoEVold15",IF(AND(V133&lt;=40,W133&lt;35),0.35,0)+IF(AND(V133&lt;=40,W133&gt;=35,W133&lt;75),0.25,0)+IF(AND(V133&lt;=40,W133&gt;=75,W133&lt;120),0.17,0)+IF(AND(V133&lt;=40,W133&gt;=120),0.15,0)+IF(AND(V133&gt;40,V133&lt;75,W133&lt;25),0.35,0)+IF(AND(V133&gt;=40,V133&lt;75,W133&gt;=25,W133&lt;65),0.25,0)+IF(AND(V133&gt;=40,V133&lt;75,W133&gt;=65,W133&lt;100),0.17,0)+IF(AND(V133&gt;=40,V133&lt;75,W133&gt;=100),0.1,0)+IF(AND(V133&gt;=75,W133&lt;25),0.35,0)+IF(AND(V133&gt;=75,W133&gt;=25,W133&lt;60),0.25,0)+IF(AND(V133&gt;=75,W133&gt;=60,W133&lt;95),0.17,0)+IF(AND(V133&gt;=75,W133&gt;=95),0.1,0),
IF(AF133="DoEVba",IF(AND(V133&lt;20,W133&lt;105),0.2,0)+IF(AND(V133&lt;20,W133&gt;=105),0.15,0)+IF(AND(V133&gt;=20,V133&lt;40,W133&lt;95),0.2,0)+IF(AND(V133&gt;=20,V133&lt;40,W133&gt;=95,W133&lt;150),0.15,0)+IF(AND(V133&gt;=20,V133&lt;40,W133&gt;=150),0.12,0)+IF(AND(V133&gt;=40,V133&lt;75,W133&lt;75),0.2,0)+IF(AND(V133&gt;=40,V133&lt;75,W133&gt;=75,W133&lt;120),0.15,0)+IF(AND(V133&gt;=40,V133&lt;75,W133&gt;=120),0.12,0)+IF(AND(V133&gt;=75,V133&lt;175,W133&lt;65),0.2,0)+IF(AND(V133&gt;=75,V133&lt;175,W133&gt;=65,W133&lt;110),0.15,0)+IF(AND(V133&gt;=75,V133&lt;175,W133&gt;=110),0.12,0)+IF(AND(V133&gt;=175,W133&lt;55),0.2,0)+IF(AND(V133&gt;=175,W133&gt;=55,W133&lt;95),0.15,0)+IF(AND(V133&gt;=175,W133&gt;=95),0.12,0),
IF(AF133="DoEVku",IF(AND(V133&lt;20,W133&lt;55),0.23,0)+IF(AND(V133&lt;20,W133&gt;=55,W133&lt;105),0.2,0)+IF(AND(V133&lt;20,W133&gt;=105),0.17,0)+IF(AND(V133&gt;=20,V133&lt;40,W133&lt;45),0.23,0)+IF(AND(V133&gt;=20,V133&lt;40,W133&gt;=45,W133&lt;95),0.2,0)+IF(AND(V133&gt;=20,V133&lt;40,W133&gt;=95,W133&lt;=150),0.17,0)+IF(AND(V133&gt;=20,V133&lt;40,W133&gt;=150),0.12,0)+IF(AND(V133&gt;=40,V133&lt;75,W133&lt;35),0.23,0)+IF(AND(V133&gt;=40,V133&lt;75,W133&gt;=35,W133&lt;75),0.2,0)+IF(AND(V133&gt;=40,V133&lt;75,W133&gt;=75,W133&lt;120),0.17,0)+IF(AND(V133&gt;=40,V133&lt;75,W133&gt;=120),0.12,0)+IF(AND(V133&gt;=75,V133&lt;175,W133&lt;35),0.23,0)+IF(AND(V133&gt;=75,V133&lt;=175,W133&gt;=35,W133&lt;65),0.2,0)+IF(AND(V133&gt;=75,V133&lt;=175,W133&gt;=65,W133&lt;110),0.17,0)+IF(AND(V133&gt;=75,V133&lt;=175,W133&gt;=110),0.12,0)+IF(AND(V133&gt;175,W133&lt;25),0.23,0)+IF(AND(V133&gt;175,W133&gt;=25,W133&lt;55),0.2,0)+IF(AND(V133&gt;175,W133&gt;=55,W133&lt;95),0.17,0)+IF(AND(V133&gt;175,W133&gt;=95),0.12,0),
IF(AF133="DoEVs1",IF(AND(V133&lt;20,W133&lt;55),0.3,0)+IF(AND(V133&lt;20,W133&gt;=55,W133&lt;105),0.23,0)+IF(AND(V133&lt;20,W133&gt;=105),0.17,0)+IF(AND(V133&gt;=20,V133&lt;40,W133&lt;45),0.3,0)+IF(AND(V133&gt;=20,V133&lt;40,W133&gt;=45,W133&lt;95),0.23,0)+IF(AND(V133&gt;=20,V133&lt;40,W133&gt;=95,W133&lt;=150),0.17,0)+IF(AND(V133&gt;=20,V133&lt;40,W133&gt;=150),0.12,0)+IF(AND(V133&gt;=40,V133&lt;75,W133&lt;35),0.3,0)+IF(AND(V133&gt;=40,V133&lt;75,W133&gt;=35,W133&lt;75),0.23,0)+IF(AND(V133&gt;=40,V133&lt;75,W133&gt;=75,W133&lt;120),0.17,0)+IF(AND(V133&gt;=40,V133&lt;75,W133&gt;=120),0.12,0)+IF(AND(V133&gt;=75,V133&lt;175,W133&lt;35),0.3,0)+IF(AND(V133&gt;=75,V133&lt;=175,W133&gt;=35,W133&lt;65),0.23,0)+IF(AND(V133&gt;=75,V133&lt;=175,W133&gt;=65,W133&lt;110),0.17,0)+IF(AND(V133&gt;=75,V133&lt;=175,W133&gt;=110),0.12,0)+IF(AND(V133&gt;175,W133&lt;25),0.3,0)+IF(AND(V133&gt;175,W133&gt;=25,W133&lt;55),0.23,0)+IF(AND(V133&gt;175,W133&gt;=55,W133&lt;95),0.17,0)+IF(AND(V133&gt;175,W133&gt;=95),0.12,0),
IF(AF133="DoEVsu",IF(AND(V133&lt;20,W133&lt;55),0.3,0)+IF(AND(V133&lt;20,W133&gt;=55,W133&lt;105),0.23,0)+IF(AND(V133&lt;20,W133&gt;=105),0.17,0)+IF(AND(V133&gt;=20,V133&lt;40,W133&lt;45),0.3,0)+IF(AND(V133&gt;=20,V133&lt;40,W133&gt;=45,W133&lt;95),0.23,0)+IF(AND(V133&gt;=20,V133&lt;40,W133&gt;=95,W133&lt;=250),0.17,0)+IF(AND(V133&gt;=20,V133&lt;40,W133&gt;=250),0.12,0)+IF(AND(V133&gt;=40,V133&lt;75,W133&lt;35),0.3,0)+IF(AND(V133&gt;=40,V133&lt;75,W133&gt;=35,W133&lt;75),0.23,0)+IF(AND(V133&gt;=40,V133&lt;75,W133&gt;=75,W133&lt;120),0.17,0)+IF(AND(V133&gt;=40,V133&lt;75,W133&gt;=120),0.12,0)+IF(AND(V133&gt;=75,V133&lt;175,W133&lt;35),0.3,0)+IF(AND(V133&gt;=75,V133&lt;=175,W133&gt;=35,W133&lt;65),0.23,0)+IF(AND(V133&gt;=75,V133&lt;=175,W133&gt;=65,W133&lt;110),0.17,0)+IF(AND(V133&gt;=75,V133&lt;=175,W133&gt;=110),0.12,0)+IF(AND(V133&gt;175,W133&lt;25),0.3,0)+IF(AND(V133&gt;175,W133&gt;=25,W133&lt;55),0.23,0)+IF(AND(V133&gt;175,W133&gt;=55,W133&lt;95),0.17,0)+IF(AND(V133&gt;175,W133&gt;=95),0.12,0),
IF(AF133="DoEVni",IF(AND(V133&lt;20,W133&lt;55),0.3,0)+IF(AND(V133&lt;20,W133&gt;=55,W133&lt;105),0.23,0)+IF(AND(V133&lt;20,W133&gt;=105),0.17,0)+IF(AND(V133&gt;=20,V133&lt;40,W133&lt;45),0.3,0)+IF(AND(V133&gt;=20,V133&lt;40,W133&gt;=45,W133&lt;95),0.23,0)+IF(AND(V133&gt;=20,V133&lt;40,W133&gt;=95,W133&lt;=200),0.17,0)+IF(AND(V133&gt;=20,V133&lt;40,W133&gt;=200),0.12,0)+IF(AND(V133&gt;=40,V133&lt;75,W133&lt;35),0.3,0)+IF(AND(V133&gt;=40,V133&lt;75,W133&gt;=35,W133&lt;75),0.23,0)+IF(AND(V133&gt;=40,V133&lt;75,W133&gt;=75,W133&lt;120),0.17,0)+IF(AND(V133&gt;=40,V133&lt;75,W133&gt;=120),0.12,0)+IF(AND(V133&gt;=75,V133&lt;175,W133&lt;35),0.3,0)+IF(AND(V133&gt;=75,V133&lt;=175,W133&gt;=35,W133&lt;65),0.23,0)+IF(AND(V133&gt;=75,V133&lt;=175,W133&gt;=65,W133&lt;110),0.17,0)+IF(AND(V133&gt;=75,V133&lt;=175,W133&gt;=110),0.12,0)+IF(AND(V133&gt;175,W133&lt;25),0.3,0)+IF(AND(V133&gt;175,W133&gt;=25,W133&lt;55),0.23,0)+IF(AND(V133&gt;175,W133&gt;=55,W133&lt;95),0.17,0)+IF(AND(V133&gt;175,W133&gt;=95),0.12,0),
IF(AF133="DoEVLo",IF(AND(V133&lt;20,W133&lt;55),0.25,0)+IF(AND(V133&lt;20,W133&gt;=55,W133&lt;105),0.2,0)+IF(AND(V133&lt;20,W133&gt;=105),0.15,0)+IF(AND(V133&gt;=20,V133&lt;40,W133&lt;45),0.25,0)+IF(AND(V133&gt;=20,V133&lt;40,W133&gt;=45,W133&lt;95),0.2,0)+IF(AND(V133&gt;=20,V133&lt;40,W133&gt;=95),0.15,0)+IF(AND(V133&gt;=40,V133&lt;75,W133&lt;35),0.25,0)+IF(AND(V133&gt;=40,V133&lt;75,W133&gt;=35,W133&lt;75),0.2,0)+IF(AND(V133&gt;=40,V133&lt;75,W133&gt;=75,W133&lt;120),0.15,0)+IF(AND(V133&gt;=40,V133&lt;75,W133&gt;=120),0.1,0)+IF(AND(V133&gt;=75,V133&lt;175,W133&lt;35),0.25,0)+IF(AND(V133&gt;=75,V133&lt;=175,W133&gt;=35,W133&lt;65),0.2,0)+IF(AND(V133&gt;=75,V133&lt;=175,W133&gt;=65,W133&lt;110),0.15,0)+IF(AND(V133&gt;=75,V133&lt;=175,W133&gt;=110),0.1,0)+IF(AND(V133&gt;175,W133&lt;25),0.25,0)+IF(AND(V133&gt;175,W133&gt;=25,W133&lt;55),0.2,0)+IF(AND(V133&gt;175,W133&gt;=55,W133&lt;95),0.15,0)+IF(AND(V133&gt;175,W133&gt;=95),0.1,0))))))))))))))))</f>
        <v>0.15</v>
      </c>
      <c r="Y133" s="30">
        <f>IF(AG133="None",0,IF(AG133="Fix5",0.05,IF(AG133="Fix3.75",0.0375,IF(AG133="Fix10",0.1,IF(AG133="Fix3",0.03,0)))))</f>
        <v>0.05</v>
      </c>
      <c r="Z133" s="35">
        <f>T133-AA133-AB133</f>
        <v>-2850.4</v>
      </c>
      <c r="AA133" s="29">
        <f>IF(AD133="EUR",((T133-R133)*X133)*U133+(R133*X133),(T133*X133))</f>
        <v>-534.44999999999993</v>
      </c>
      <c r="AB133" s="36">
        <f>IF(AD133="EUR",((T133-R133)*Y133)*U133+(R133*Y133),(T133*Y133))</f>
        <v>-178.15</v>
      </c>
      <c r="AC133" s="61" t="b">
        <v>1</v>
      </c>
      <c r="AD133" s="37" t="s">
        <v>38</v>
      </c>
      <c r="AE133" s="37" t="s">
        <v>38</v>
      </c>
      <c r="AF133" s="37" t="str">
        <f t="array" ref="AF133">INDEX('Deal Info'!D:D, MATCH(A133,'Deal Info'!A:A, 0))</f>
        <v>Fix15</v>
      </c>
      <c r="AG133" s="38" t="str">
        <f t="array" ref="AG133">INDEX('Deal Info'!G:G, MATCH(A133,'Deal Info'!A:A, 0))</f>
        <v>Fix5</v>
      </c>
    </row>
    <row r="134" spans="1:33" ht="14.25" hidden="1" x14ac:dyDescent="0.2">
      <c r="A134" s="18" t="str">
        <f t="array" ref="A134">IF(G134='Room Info'!$B$1, INDEX('Room Info'!$A$2:$A2446, MATCH(B134,'Room Info'!$B$2:$B2446, 0)),IF(G134='Room Info'!$C$1, INDEX('Room Info'!$A$2:$A2446, MATCH(B134,'Room Info'!$C$2:$C2446, 0)),IF(G134='Room Info'!$D$1, INDEX('Room Info'!$A$2:$A2446, MATCH(B134,'Room Info'!$D$2:$D2446, 0)),IF(G134='Room Info'!$E$1, INDEX('Room Info'!$A$2:$A2446, MATCH(B134,'Room Info'!$E$2:$E2446, 0)),IF(G134='Room Info'!$F$1, INDEX('Room Info'!$A$2:$A2446, MATCH(B134,'Room Info'!$F$2:$F2446, 0)),IF(G134='Room Info'!$H$1, INDEX('Room Info'!$A$2:$A2446, MATCH(B134,'Room Info'!$H$2:$H2446, 0)),IF(G134='Room Info'!$G$1, INDEX('Room Info'!$A$2:$A2446, MATCH(B134,'Room Info'!$G$2:$G2446, 0)))))))))</f>
        <v>bbaltqq</v>
      </c>
      <c r="B134" s="54" t="s">
        <v>89</v>
      </c>
      <c r="C134" s="67">
        <v>44490</v>
      </c>
      <c r="D134" s="67">
        <v>44520</v>
      </c>
      <c r="E134" s="47">
        <v>44501</v>
      </c>
      <c r="F134" s="45" t="s">
        <v>34</v>
      </c>
      <c r="G134" s="54" t="s">
        <v>35</v>
      </c>
      <c r="H134" s="49" t="s">
        <v>40</v>
      </c>
      <c r="I134" s="49" t="s">
        <v>37</v>
      </c>
      <c r="J134" s="50">
        <v>10</v>
      </c>
      <c r="K134" s="51">
        <v>1</v>
      </c>
      <c r="L134" s="52">
        <v>-10</v>
      </c>
      <c r="M134" s="62"/>
      <c r="N134" s="28">
        <f>K134*J134</f>
        <v>10</v>
      </c>
      <c r="O134" s="54">
        <v>296</v>
      </c>
      <c r="P134" s="29">
        <v>296</v>
      </c>
      <c r="Q134" s="55"/>
      <c r="R134" s="31">
        <f>M134+Q134</f>
        <v>0</v>
      </c>
      <c r="S134" s="56">
        <v>5</v>
      </c>
      <c r="T134" s="32">
        <f>R134+S134+IF(F134="Without EV deal",L134,0)</f>
        <v>5</v>
      </c>
      <c r="U134" s="33">
        <v>1</v>
      </c>
      <c r="V134" s="69">
        <v>76.072594825420751</v>
      </c>
      <c r="W134" s="69">
        <v>175.2405058693391</v>
      </c>
      <c r="X134" s="30">
        <f>IF(AF134="DoEV",IF(AND(V134&lt;20,W134&lt;55),0.3,0)+IF(AND(V134&lt;20,W134&gt;=55,W134&lt;105),0.23,0)+IF(AND(V134&lt;20,W134&gt;=105),0.17,0)+IF(AND(V134&gt;=20,V134&lt;40,W134&lt;45),0.3,0)+IF(AND(V134&gt;=20,V134&lt;40,W134&gt;=45,W134&lt;95),0.23,0)+IF(AND(V134&gt;=20,V134&lt;40,W134&gt;=95),0.17,0)+IF(AND(V134&gt;=40,V134&lt;75,W134&lt;35),0.3,0)+IF(AND(V134&gt;=40,V134&lt;75,W134&gt;=35,W134&lt;75),0.23,0)+IF(AND(V134&gt;=40,V134&lt;75,W134&gt;=75,W134&lt;120),0.17,0)+IF(AND(V134&gt;=40,V134&lt;75,W134&gt;=120),0.12,0)+IF(AND(V134&gt;=75,V134&lt;175,W134&lt;35),0.3,0)+IF(AND(V134&gt;=75,V134&lt;=175,W134&gt;=35,W134&lt;65),0.23,0)+IF(AND(V134&gt;=75,V134&lt;=175,W134&gt;=65,W134&lt;110),0.17,0)+IF(AND(V134&gt;=75,V134&lt;=175,W134&gt;=110),0.12,0)+IF(AND(V134&gt;175,W134&lt;25),0.3,0)+IF(AND(V134&gt;175,W134&gt;=25,W134&lt;55),0.23,0)+IF(AND(V134&gt;175,W134&gt;=55,W134&lt;95),0.17,0)+IF(AND(V134&gt;175,W134&gt;=95),0.12,0),
IF(AF134="Fix15",0.15,
IF(AF134="Fix11.25",0.1125,
IF(AF134="Fix10",0.1,
IF(AF134="Fix9",0.09,
IF(AF134="DoEV2017",IF(AND(W134&lt;74),0.2,0)+IF(AND(W134&gt;=74),0.17,0),
IF(AF134="SF",IF(AND(V134&lt;20,W134&lt;89),0.3,0)+IF(AND(V134&lt;20,W134&gt;=89),0.25,0)+IF(AND(V134&gt;=20,V134&lt;40,W134&lt;74),0.3,0)+IF(AND(V134&gt;=20,V134&lt;40,W134&gt;=75),0.22,0)+IF(AND(V134&gt;=40,V134&lt;75,W134&lt;75),0.26,0)+IF(AND(V134&gt;=40,V134&lt;75,W134&gt;=75),0.22,0)+IF(V134&gt;=75,0.22,0),
IF(AF134="DoEVold",IF(AND(V134&lt;40,W134&lt;35),0.35,0)+IF(AND(V134&lt;40,W134&gt;=35,W134&lt;75),0.25,0)+IF(AND(V134&lt;40,W134&gt;=75),0.17,0)+IF(AND(V134&gt;=40,V134&lt;75,W134&lt;25),0.35,0)+IF(AND(V134&gt;=40,V134&lt;75,W134&gt;=25,W134&lt;65),0.25,0)+IF(AND(V134&gt;=40,V134&lt;75,W134&gt;=65,W134&lt;100),0.17,0)+IF(AND(V134&gt;=40,V134&lt;75,W134&gt;=100),0.1,0)+IF(AND(V134&gt;=75,W134&lt;25),0.35,0)+IF(AND(V134&gt;=75,W134&gt;=25,W134&lt;60),0.25,0)+IF(AND(V134&gt;=75,W134&gt;=60,W134&lt;95),0.17,0)+IF(AND(V134&gt;=75,W134&gt;=95),0.1,0),
IF(AF134="DoEVold15",IF(AND(V134&lt;=40,W134&lt;35),0.35,0)+IF(AND(V134&lt;=40,W134&gt;=35,W134&lt;75),0.25,0)+IF(AND(V134&lt;=40,W134&gt;=75,W134&lt;120),0.17,0)+IF(AND(V134&lt;=40,W134&gt;=120),0.15,0)+IF(AND(V134&gt;40,V134&lt;75,W134&lt;25),0.35,0)+IF(AND(V134&gt;=40,V134&lt;75,W134&gt;=25,W134&lt;65),0.25,0)+IF(AND(V134&gt;=40,V134&lt;75,W134&gt;=65,W134&lt;100),0.17,0)+IF(AND(V134&gt;=40,V134&lt;75,W134&gt;=100),0.1,0)+IF(AND(V134&gt;=75,W134&lt;25),0.35,0)+IF(AND(V134&gt;=75,W134&gt;=25,W134&lt;60),0.25,0)+IF(AND(V134&gt;=75,W134&gt;=60,W134&lt;95),0.17,0)+IF(AND(V134&gt;=75,W134&gt;=95),0.1,0),
IF(AF134="DoEVba",IF(AND(V134&lt;20,W134&lt;105),0.2,0)+IF(AND(V134&lt;20,W134&gt;=105),0.15,0)+IF(AND(V134&gt;=20,V134&lt;40,W134&lt;95),0.2,0)+IF(AND(V134&gt;=20,V134&lt;40,W134&gt;=95,W134&lt;150),0.15,0)+IF(AND(V134&gt;=20,V134&lt;40,W134&gt;=150),0.12,0)+IF(AND(V134&gt;=40,V134&lt;75,W134&lt;75),0.2,0)+IF(AND(V134&gt;=40,V134&lt;75,W134&gt;=75,W134&lt;120),0.15,0)+IF(AND(V134&gt;=40,V134&lt;75,W134&gt;=120),0.12,0)+IF(AND(V134&gt;=75,V134&lt;175,W134&lt;65),0.2,0)+IF(AND(V134&gt;=75,V134&lt;175,W134&gt;=65,W134&lt;110),0.15,0)+IF(AND(V134&gt;=75,V134&lt;175,W134&gt;=110),0.12,0)+IF(AND(V134&gt;=175,W134&lt;55),0.2,0)+IF(AND(V134&gt;=175,W134&gt;=55,W134&lt;95),0.15,0)+IF(AND(V134&gt;=175,W134&gt;=95),0.12,0),
IF(AF134="DoEVku",IF(AND(V134&lt;20,W134&lt;55),0.23,0)+IF(AND(V134&lt;20,W134&gt;=55,W134&lt;105),0.2,0)+IF(AND(V134&lt;20,W134&gt;=105),0.17,0)+IF(AND(V134&gt;=20,V134&lt;40,W134&lt;45),0.23,0)+IF(AND(V134&gt;=20,V134&lt;40,W134&gt;=45,W134&lt;95),0.2,0)+IF(AND(V134&gt;=20,V134&lt;40,W134&gt;=95,W134&lt;=150),0.17,0)+IF(AND(V134&gt;=20,V134&lt;40,W134&gt;=150),0.12,0)+IF(AND(V134&gt;=40,V134&lt;75,W134&lt;35),0.23,0)+IF(AND(V134&gt;=40,V134&lt;75,W134&gt;=35,W134&lt;75),0.2,0)+IF(AND(V134&gt;=40,V134&lt;75,W134&gt;=75,W134&lt;120),0.17,0)+IF(AND(V134&gt;=40,V134&lt;75,W134&gt;=120),0.12,0)+IF(AND(V134&gt;=75,V134&lt;175,W134&lt;35),0.23,0)+IF(AND(V134&gt;=75,V134&lt;=175,W134&gt;=35,W134&lt;65),0.2,0)+IF(AND(V134&gt;=75,V134&lt;=175,W134&gt;=65,W134&lt;110),0.17,0)+IF(AND(V134&gt;=75,V134&lt;=175,W134&gt;=110),0.12,0)+IF(AND(V134&gt;175,W134&lt;25),0.23,0)+IF(AND(V134&gt;175,W134&gt;=25,W134&lt;55),0.2,0)+IF(AND(V134&gt;175,W134&gt;=55,W134&lt;95),0.17,0)+IF(AND(V134&gt;175,W134&gt;=95),0.12,0),
IF(AF134="DoEVs1",IF(AND(V134&lt;20,W134&lt;55),0.3,0)+IF(AND(V134&lt;20,W134&gt;=55,W134&lt;105),0.23,0)+IF(AND(V134&lt;20,W134&gt;=105),0.17,0)+IF(AND(V134&gt;=20,V134&lt;40,W134&lt;45),0.3,0)+IF(AND(V134&gt;=20,V134&lt;40,W134&gt;=45,W134&lt;95),0.23,0)+IF(AND(V134&gt;=20,V134&lt;40,W134&gt;=95,W134&lt;=150),0.17,0)+IF(AND(V134&gt;=20,V134&lt;40,W134&gt;=150),0.12,0)+IF(AND(V134&gt;=40,V134&lt;75,W134&lt;35),0.3,0)+IF(AND(V134&gt;=40,V134&lt;75,W134&gt;=35,W134&lt;75),0.23,0)+IF(AND(V134&gt;=40,V134&lt;75,W134&gt;=75,W134&lt;120),0.17,0)+IF(AND(V134&gt;=40,V134&lt;75,W134&gt;=120),0.12,0)+IF(AND(V134&gt;=75,V134&lt;175,W134&lt;35),0.3,0)+IF(AND(V134&gt;=75,V134&lt;=175,W134&gt;=35,W134&lt;65),0.23,0)+IF(AND(V134&gt;=75,V134&lt;=175,W134&gt;=65,W134&lt;110),0.17,0)+IF(AND(V134&gt;=75,V134&lt;=175,W134&gt;=110),0.12,0)+IF(AND(V134&gt;175,W134&lt;25),0.3,0)+IF(AND(V134&gt;175,W134&gt;=25,W134&lt;55),0.23,0)+IF(AND(V134&gt;175,W134&gt;=55,W134&lt;95),0.17,0)+IF(AND(V134&gt;175,W134&gt;=95),0.12,0),
IF(AF134="DoEVsu",IF(AND(V134&lt;20,W134&lt;55),0.3,0)+IF(AND(V134&lt;20,W134&gt;=55,W134&lt;105),0.23,0)+IF(AND(V134&lt;20,W134&gt;=105),0.17,0)+IF(AND(V134&gt;=20,V134&lt;40,W134&lt;45),0.3,0)+IF(AND(V134&gt;=20,V134&lt;40,W134&gt;=45,W134&lt;95),0.23,0)+IF(AND(V134&gt;=20,V134&lt;40,W134&gt;=95,W134&lt;=250),0.17,0)+IF(AND(V134&gt;=20,V134&lt;40,W134&gt;=250),0.12,0)+IF(AND(V134&gt;=40,V134&lt;75,W134&lt;35),0.3,0)+IF(AND(V134&gt;=40,V134&lt;75,W134&gt;=35,W134&lt;75),0.23,0)+IF(AND(V134&gt;=40,V134&lt;75,W134&gt;=75,W134&lt;120),0.17,0)+IF(AND(V134&gt;=40,V134&lt;75,W134&gt;=120),0.12,0)+IF(AND(V134&gt;=75,V134&lt;175,W134&lt;35),0.3,0)+IF(AND(V134&gt;=75,V134&lt;=175,W134&gt;=35,W134&lt;65),0.23,0)+IF(AND(V134&gt;=75,V134&lt;=175,W134&gt;=65,W134&lt;110),0.17,0)+IF(AND(V134&gt;=75,V134&lt;=175,W134&gt;=110),0.12,0)+IF(AND(V134&gt;175,W134&lt;25),0.3,0)+IF(AND(V134&gt;175,W134&gt;=25,W134&lt;55),0.23,0)+IF(AND(V134&gt;175,W134&gt;=55,W134&lt;95),0.17,0)+IF(AND(V134&gt;175,W134&gt;=95),0.12,0),
IF(AF134="DoEVni",IF(AND(V134&lt;20,W134&lt;55),0.3,0)+IF(AND(V134&lt;20,W134&gt;=55,W134&lt;105),0.23,0)+IF(AND(V134&lt;20,W134&gt;=105),0.17,0)+IF(AND(V134&gt;=20,V134&lt;40,W134&lt;45),0.3,0)+IF(AND(V134&gt;=20,V134&lt;40,W134&gt;=45,W134&lt;95),0.23,0)+IF(AND(V134&gt;=20,V134&lt;40,W134&gt;=95,W134&lt;=200),0.17,0)+IF(AND(V134&gt;=20,V134&lt;40,W134&gt;=200),0.12,0)+IF(AND(V134&gt;=40,V134&lt;75,W134&lt;35),0.3,0)+IF(AND(V134&gt;=40,V134&lt;75,W134&gt;=35,W134&lt;75),0.23,0)+IF(AND(V134&gt;=40,V134&lt;75,W134&gt;=75,W134&lt;120),0.17,0)+IF(AND(V134&gt;=40,V134&lt;75,W134&gt;=120),0.12,0)+IF(AND(V134&gt;=75,V134&lt;175,W134&lt;35),0.3,0)+IF(AND(V134&gt;=75,V134&lt;=175,W134&gt;=35,W134&lt;65),0.23,0)+IF(AND(V134&gt;=75,V134&lt;=175,W134&gt;=65,W134&lt;110),0.17,0)+IF(AND(V134&gt;=75,V134&lt;=175,W134&gt;=110),0.12,0)+IF(AND(V134&gt;175,W134&lt;25),0.3,0)+IF(AND(V134&gt;175,W134&gt;=25,W134&lt;55),0.23,0)+IF(AND(V134&gt;175,W134&gt;=55,W134&lt;95),0.17,0)+IF(AND(V134&gt;175,W134&gt;=95),0.12,0),
IF(AF134="DoEVLo",IF(AND(V134&lt;20,W134&lt;55),0.25,0)+IF(AND(V134&lt;20,W134&gt;=55,W134&lt;105),0.2,0)+IF(AND(V134&lt;20,W134&gt;=105),0.15,0)+IF(AND(V134&gt;=20,V134&lt;40,W134&lt;45),0.25,0)+IF(AND(V134&gt;=20,V134&lt;40,W134&gt;=45,W134&lt;95),0.2,0)+IF(AND(V134&gt;=20,V134&lt;40,W134&gt;=95),0.15,0)+IF(AND(V134&gt;=40,V134&lt;75,W134&lt;35),0.25,0)+IF(AND(V134&gt;=40,V134&lt;75,W134&gt;=35,W134&lt;75),0.2,0)+IF(AND(V134&gt;=40,V134&lt;75,W134&gt;=75,W134&lt;120),0.15,0)+IF(AND(V134&gt;=40,V134&lt;75,W134&gt;=120),0.1,0)+IF(AND(V134&gt;=75,V134&lt;175,W134&lt;35),0.25,0)+IF(AND(V134&gt;=75,V134&lt;=175,W134&gt;=35,W134&lt;65),0.2,0)+IF(AND(V134&gt;=75,V134&lt;=175,W134&gt;=65,W134&lt;110),0.15,0)+IF(AND(V134&gt;=75,V134&lt;=175,W134&gt;=110),0.1,0)+IF(AND(V134&gt;175,W134&lt;25),0.25,0)+IF(AND(V134&gt;175,W134&gt;=25,W134&lt;55),0.2,0)+IF(AND(V134&gt;175,W134&gt;=55,W134&lt;95),0.15,0)+IF(AND(V134&gt;175,W134&gt;=95),0.1,0))))))))))))))))</f>
        <v>0.22</v>
      </c>
      <c r="Y134" s="30">
        <f>IF(AG134="None",0,IF(AG134="Fix5",0.05,IF(AG134="Fix3.75",0.0375,IF(AG134="Fix10",0.1,IF(AG134="Fix3",0.03,0)))))</f>
        <v>0</v>
      </c>
      <c r="Z134" s="35">
        <f>T134-AA134-AB134</f>
        <v>3.9</v>
      </c>
      <c r="AA134" s="29">
        <f>IF(AD134="EUR",((T134-R134)*X134)*U134+(R134*X134),(T134*X134))</f>
        <v>1.1000000000000001</v>
      </c>
      <c r="AB134" s="36">
        <f>IF(AD134="EUR",((T134-R134)*Y134)*U134+(R134*Y134),(T134*Y134))</f>
        <v>0</v>
      </c>
      <c r="AC134" s="37" t="b">
        <v>1</v>
      </c>
      <c r="AD134" s="37" t="s">
        <v>38</v>
      </c>
      <c r="AE134" s="37" t="s">
        <v>38</v>
      </c>
      <c r="AF134" s="37" t="str">
        <f t="array" ref="AF134">INDEX('Deal Info'!D:D, MATCH(A134,'Deal Info'!A:A, 0))</f>
        <v>SF</v>
      </c>
      <c r="AG134" s="38" t="str">
        <f t="array" ref="AG134">INDEX('Deal Info'!G:G, MATCH(A134,'Deal Info'!A:A, 0))</f>
        <v>None</v>
      </c>
    </row>
    <row r="135" spans="1:33" ht="14.25" hidden="1" x14ac:dyDescent="0.2">
      <c r="A135" s="18" t="str">
        <f t="array" ref="A135">IF(G135='Room Info'!$B$1, INDEX('Room Info'!$A$2:$A2446, MATCH(B135,'Room Info'!$B$2:$B2446, 0)),IF(G135='Room Info'!$C$1, INDEX('Room Info'!$A$2:$A2446, MATCH(B135,'Room Info'!$C$2:$C2446, 0)),IF(G135='Room Info'!$D$1, INDEX('Room Info'!$A$2:$A2446, MATCH(B135,'Room Info'!$D$2:$D2446, 0)),IF(G135='Room Info'!$E$1, INDEX('Room Info'!$A$2:$A2446, MATCH(B135,'Room Info'!$E$2:$E2446, 0)),IF(G135='Room Info'!$F$1, INDEX('Room Info'!$A$2:$A2446, MATCH(B135,'Room Info'!$F$2:$F2446, 0)),IF(G135='Room Info'!$H$1, INDEX('Room Info'!$A$2:$A2446, MATCH(B135,'Room Info'!$H$2:$H2446, 0)),IF(G135='Room Info'!$G$1, INDEX('Room Info'!$A$2:$A2446, MATCH(B135,'Room Info'!$G$2:$G2446, 0)))))))))</f>
        <v>bbaltqq</v>
      </c>
      <c r="B135" s="54" t="s">
        <v>89</v>
      </c>
      <c r="C135" s="67">
        <v>44490</v>
      </c>
      <c r="D135" s="67">
        <v>44520</v>
      </c>
      <c r="E135" s="47">
        <v>44501</v>
      </c>
      <c r="F135" s="45" t="s">
        <v>34</v>
      </c>
      <c r="G135" s="54" t="s">
        <v>35</v>
      </c>
      <c r="H135" s="49" t="s">
        <v>46</v>
      </c>
      <c r="I135" s="49" t="s">
        <v>37</v>
      </c>
      <c r="J135" s="50">
        <v>25</v>
      </c>
      <c r="K135" s="51">
        <v>13</v>
      </c>
      <c r="L135" s="52">
        <v>25</v>
      </c>
      <c r="M135" s="53">
        <v>13</v>
      </c>
      <c r="N135" s="28">
        <f>K135*J135</f>
        <v>325</v>
      </c>
      <c r="O135" s="54">
        <v>889</v>
      </c>
      <c r="P135" s="29">
        <v>68.38461538</v>
      </c>
      <c r="Q135" s="55"/>
      <c r="R135" s="31">
        <f>M135+Q135</f>
        <v>13</v>
      </c>
      <c r="S135" s="56">
        <v>21</v>
      </c>
      <c r="T135" s="32">
        <f>R135+S135+IF(F135="Without EV deal",L135,0)</f>
        <v>34</v>
      </c>
      <c r="U135" s="33">
        <v>1</v>
      </c>
      <c r="V135" s="69">
        <v>76.072594825420751</v>
      </c>
      <c r="W135" s="69">
        <v>175.2405058693391</v>
      </c>
      <c r="X135" s="30">
        <f>IF(AF135="DoEV",IF(AND(V135&lt;20,W135&lt;55),0.3,0)+IF(AND(V135&lt;20,W135&gt;=55,W135&lt;105),0.23,0)+IF(AND(V135&lt;20,W135&gt;=105),0.17,0)+IF(AND(V135&gt;=20,V135&lt;40,W135&lt;45),0.3,0)+IF(AND(V135&gt;=20,V135&lt;40,W135&gt;=45,W135&lt;95),0.23,0)+IF(AND(V135&gt;=20,V135&lt;40,W135&gt;=95),0.17,0)+IF(AND(V135&gt;=40,V135&lt;75,W135&lt;35),0.3,0)+IF(AND(V135&gt;=40,V135&lt;75,W135&gt;=35,W135&lt;75),0.23,0)+IF(AND(V135&gt;=40,V135&lt;75,W135&gt;=75,W135&lt;120),0.17,0)+IF(AND(V135&gt;=40,V135&lt;75,W135&gt;=120),0.12,0)+IF(AND(V135&gt;=75,V135&lt;175,W135&lt;35),0.3,0)+IF(AND(V135&gt;=75,V135&lt;=175,W135&gt;=35,W135&lt;65),0.23,0)+IF(AND(V135&gt;=75,V135&lt;=175,W135&gt;=65,W135&lt;110),0.17,0)+IF(AND(V135&gt;=75,V135&lt;=175,W135&gt;=110),0.12,0)+IF(AND(V135&gt;175,W135&lt;25),0.3,0)+IF(AND(V135&gt;175,W135&gt;=25,W135&lt;55),0.23,0)+IF(AND(V135&gt;175,W135&gt;=55,W135&lt;95),0.17,0)+IF(AND(V135&gt;175,W135&gt;=95),0.12,0),
IF(AF135="Fix15",0.15,
IF(AF135="Fix11.25",0.1125,
IF(AF135="Fix10",0.1,
IF(AF135="Fix9",0.09,
IF(AF135="DoEV2017",IF(AND(W135&lt;74),0.2,0)+IF(AND(W135&gt;=74),0.17,0),
IF(AF135="SF",IF(AND(V135&lt;20,W135&lt;89),0.3,0)+IF(AND(V135&lt;20,W135&gt;=89),0.25,0)+IF(AND(V135&gt;=20,V135&lt;40,W135&lt;74),0.3,0)+IF(AND(V135&gt;=20,V135&lt;40,W135&gt;=75),0.22,0)+IF(AND(V135&gt;=40,V135&lt;75,W135&lt;75),0.26,0)+IF(AND(V135&gt;=40,V135&lt;75,W135&gt;=75),0.22,0)+IF(V135&gt;=75,0.22,0),
IF(AF135="DoEVold",IF(AND(V135&lt;40,W135&lt;35),0.35,0)+IF(AND(V135&lt;40,W135&gt;=35,W135&lt;75),0.25,0)+IF(AND(V135&lt;40,W135&gt;=75),0.17,0)+IF(AND(V135&gt;=40,V135&lt;75,W135&lt;25),0.35,0)+IF(AND(V135&gt;=40,V135&lt;75,W135&gt;=25,W135&lt;65),0.25,0)+IF(AND(V135&gt;=40,V135&lt;75,W135&gt;=65,W135&lt;100),0.17,0)+IF(AND(V135&gt;=40,V135&lt;75,W135&gt;=100),0.1,0)+IF(AND(V135&gt;=75,W135&lt;25),0.35,0)+IF(AND(V135&gt;=75,W135&gt;=25,W135&lt;60),0.25,0)+IF(AND(V135&gt;=75,W135&gt;=60,W135&lt;95),0.17,0)+IF(AND(V135&gt;=75,W135&gt;=95),0.1,0),
IF(AF135="DoEVold15",IF(AND(V135&lt;=40,W135&lt;35),0.35,0)+IF(AND(V135&lt;=40,W135&gt;=35,W135&lt;75),0.25,0)+IF(AND(V135&lt;=40,W135&gt;=75,W135&lt;120),0.17,0)+IF(AND(V135&lt;=40,W135&gt;=120),0.15,0)+IF(AND(V135&gt;40,V135&lt;75,W135&lt;25),0.35,0)+IF(AND(V135&gt;=40,V135&lt;75,W135&gt;=25,W135&lt;65),0.25,0)+IF(AND(V135&gt;=40,V135&lt;75,W135&gt;=65,W135&lt;100),0.17,0)+IF(AND(V135&gt;=40,V135&lt;75,W135&gt;=100),0.1,0)+IF(AND(V135&gt;=75,W135&lt;25),0.35,0)+IF(AND(V135&gt;=75,W135&gt;=25,W135&lt;60),0.25,0)+IF(AND(V135&gt;=75,W135&gt;=60,W135&lt;95),0.17,0)+IF(AND(V135&gt;=75,W135&gt;=95),0.1,0),
IF(AF135="DoEVba",IF(AND(V135&lt;20,W135&lt;105),0.2,0)+IF(AND(V135&lt;20,W135&gt;=105),0.15,0)+IF(AND(V135&gt;=20,V135&lt;40,W135&lt;95),0.2,0)+IF(AND(V135&gt;=20,V135&lt;40,W135&gt;=95,W135&lt;150),0.15,0)+IF(AND(V135&gt;=20,V135&lt;40,W135&gt;=150),0.12,0)+IF(AND(V135&gt;=40,V135&lt;75,W135&lt;75),0.2,0)+IF(AND(V135&gt;=40,V135&lt;75,W135&gt;=75,W135&lt;120),0.15,0)+IF(AND(V135&gt;=40,V135&lt;75,W135&gt;=120),0.12,0)+IF(AND(V135&gt;=75,V135&lt;175,W135&lt;65),0.2,0)+IF(AND(V135&gt;=75,V135&lt;175,W135&gt;=65,W135&lt;110),0.15,0)+IF(AND(V135&gt;=75,V135&lt;175,W135&gt;=110),0.12,0)+IF(AND(V135&gt;=175,W135&lt;55),0.2,0)+IF(AND(V135&gt;=175,W135&gt;=55,W135&lt;95),0.15,0)+IF(AND(V135&gt;=175,W135&gt;=95),0.12,0),
IF(AF135="DoEVku",IF(AND(V135&lt;20,W135&lt;55),0.23,0)+IF(AND(V135&lt;20,W135&gt;=55,W135&lt;105),0.2,0)+IF(AND(V135&lt;20,W135&gt;=105),0.17,0)+IF(AND(V135&gt;=20,V135&lt;40,W135&lt;45),0.23,0)+IF(AND(V135&gt;=20,V135&lt;40,W135&gt;=45,W135&lt;95),0.2,0)+IF(AND(V135&gt;=20,V135&lt;40,W135&gt;=95,W135&lt;=150),0.17,0)+IF(AND(V135&gt;=20,V135&lt;40,W135&gt;=150),0.12,0)+IF(AND(V135&gt;=40,V135&lt;75,W135&lt;35),0.23,0)+IF(AND(V135&gt;=40,V135&lt;75,W135&gt;=35,W135&lt;75),0.2,0)+IF(AND(V135&gt;=40,V135&lt;75,W135&gt;=75,W135&lt;120),0.17,0)+IF(AND(V135&gt;=40,V135&lt;75,W135&gt;=120),0.12,0)+IF(AND(V135&gt;=75,V135&lt;175,W135&lt;35),0.23,0)+IF(AND(V135&gt;=75,V135&lt;=175,W135&gt;=35,W135&lt;65),0.2,0)+IF(AND(V135&gt;=75,V135&lt;=175,W135&gt;=65,W135&lt;110),0.17,0)+IF(AND(V135&gt;=75,V135&lt;=175,W135&gt;=110),0.12,0)+IF(AND(V135&gt;175,W135&lt;25),0.23,0)+IF(AND(V135&gt;175,W135&gt;=25,W135&lt;55),0.2,0)+IF(AND(V135&gt;175,W135&gt;=55,W135&lt;95),0.17,0)+IF(AND(V135&gt;175,W135&gt;=95),0.12,0),
IF(AF135="DoEVs1",IF(AND(V135&lt;20,W135&lt;55),0.3,0)+IF(AND(V135&lt;20,W135&gt;=55,W135&lt;105),0.23,0)+IF(AND(V135&lt;20,W135&gt;=105),0.17,0)+IF(AND(V135&gt;=20,V135&lt;40,W135&lt;45),0.3,0)+IF(AND(V135&gt;=20,V135&lt;40,W135&gt;=45,W135&lt;95),0.23,0)+IF(AND(V135&gt;=20,V135&lt;40,W135&gt;=95,W135&lt;=150),0.17,0)+IF(AND(V135&gt;=20,V135&lt;40,W135&gt;=150),0.12,0)+IF(AND(V135&gt;=40,V135&lt;75,W135&lt;35),0.3,0)+IF(AND(V135&gt;=40,V135&lt;75,W135&gt;=35,W135&lt;75),0.23,0)+IF(AND(V135&gt;=40,V135&lt;75,W135&gt;=75,W135&lt;120),0.17,0)+IF(AND(V135&gt;=40,V135&lt;75,W135&gt;=120),0.12,0)+IF(AND(V135&gt;=75,V135&lt;175,W135&lt;35),0.3,0)+IF(AND(V135&gt;=75,V135&lt;=175,W135&gt;=35,W135&lt;65),0.23,0)+IF(AND(V135&gt;=75,V135&lt;=175,W135&gt;=65,W135&lt;110),0.17,0)+IF(AND(V135&gt;=75,V135&lt;=175,W135&gt;=110),0.12,0)+IF(AND(V135&gt;175,W135&lt;25),0.3,0)+IF(AND(V135&gt;175,W135&gt;=25,W135&lt;55),0.23,0)+IF(AND(V135&gt;175,W135&gt;=55,W135&lt;95),0.17,0)+IF(AND(V135&gt;175,W135&gt;=95),0.12,0),
IF(AF135="DoEVsu",IF(AND(V135&lt;20,W135&lt;55),0.3,0)+IF(AND(V135&lt;20,W135&gt;=55,W135&lt;105),0.23,0)+IF(AND(V135&lt;20,W135&gt;=105),0.17,0)+IF(AND(V135&gt;=20,V135&lt;40,W135&lt;45),0.3,0)+IF(AND(V135&gt;=20,V135&lt;40,W135&gt;=45,W135&lt;95),0.23,0)+IF(AND(V135&gt;=20,V135&lt;40,W135&gt;=95,W135&lt;=250),0.17,0)+IF(AND(V135&gt;=20,V135&lt;40,W135&gt;=250),0.12,0)+IF(AND(V135&gt;=40,V135&lt;75,W135&lt;35),0.3,0)+IF(AND(V135&gt;=40,V135&lt;75,W135&gt;=35,W135&lt;75),0.23,0)+IF(AND(V135&gt;=40,V135&lt;75,W135&gt;=75,W135&lt;120),0.17,0)+IF(AND(V135&gt;=40,V135&lt;75,W135&gt;=120),0.12,0)+IF(AND(V135&gt;=75,V135&lt;175,W135&lt;35),0.3,0)+IF(AND(V135&gt;=75,V135&lt;=175,W135&gt;=35,W135&lt;65),0.23,0)+IF(AND(V135&gt;=75,V135&lt;=175,W135&gt;=65,W135&lt;110),0.17,0)+IF(AND(V135&gt;=75,V135&lt;=175,W135&gt;=110),0.12,0)+IF(AND(V135&gt;175,W135&lt;25),0.3,0)+IF(AND(V135&gt;175,W135&gt;=25,W135&lt;55),0.23,0)+IF(AND(V135&gt;175,W135&gt;=55,W135&lt;95),0.17,0)+IF(AND(V135&gt;175,W135&gt;=95),0.12,0),
IF(AF135="DoEVni",IF(AND(V135&lt;20,W135&lt;55),0.3,0)+IF(AND(V135&lt;20,W135&gt;=55,W135&lt;105),0.23,0)+IF(AND(V135&lt;20,W135&gt;=105),0.17,0)+IF(AND(V135&gt;=20,V135&lt;40,W135&lt;45),0.3,0)+IF(AND(V135&gt;=20,V135&lt;40,W135&gt;=45,W135&lt;95),0.23,0)+IF(AND(V135&gt;=20,V135&lt;40,W135&gt;=95,W135&lt;=200),0.17,0)+IF(AND(V135&gt;=20,V135&lt;40,W135&gt;=200),0.12,0)+IF(AND(V135&gt;=40,V135&lt;75,W135&lt;35),0.3,0)+IF(AND(V135&gt;=40,V135&lt;75,W135&gt;=35,W135&lt;75),0.23,0)+IF(AND(V135&gt;=40,V135&lt;75,W135&gt;=75,W135&lt;120),0.17,0)+IF(AND(V135&gt;=40,V135&lt;75,W135&gt;=120),0.12,0)+IF(AND(V135&gt;=75,V135&lt;175,W135&lt;35),0.3,0)+IF(AND(V135&gt;=75,V135&lt;=175,W135&gt;=35,W135&lt;65),0.23,0)+IF(AND(V135&gt;=75,V135&lt;=175,W135&gt;=65,W135&lt;110),0.17,0)+IF(AND(V135&gt;=75,V135&lt;=175,W135&gt;=110),0.12,0)+IF(AND(V135&gt;175,W135&lt;25),0.3,0)+IF(AND(V135&gt;175,W135&gt;=25,W135&lt;55),0.23,0)+IF(AND(V135&gt;175,W135&gt;=55,W135&lt;95),0.17,0)+IF(AND(V135&gt;175,W135&gt;=95),0.12,0),
IF(AF135="DoEVLo",IF(AND(V135&lt;20,W135&lt;55),0.25,0)+IF(AND(V135&lt;20,W135&gt;=55,W135&lt;105),0.2,0)+IF(AND(V135&lt;20,W135&gt;=105),0.15,0)+IF(AND(V135&gt;=20,V135&lt;40,W135&lt;45),0.25,0)+IF(AND(V135&gt;=20,V135&lt;40,W135&gt;=45,W135&lt;95),0.2,0)+IF(AND(V135&gt;=20,V135&lt;40,W135&gt;=95),0.15,0)+IF(AND(V135&gt;=40,V135&lt;75,W135&lt;35),0.25,0)+IF(AND(V135&gt;=40,V135&lt;75,W135&gt;=35,W135&lt;75),0.2,0)+IF(AND(V135&gt;=40,V135&lt;75,W135&gt;=75,W135&lt;120),0.15,0)+IF(AND(V135&gt;=40,V135&lt;75,W135&gt;=120),0.1,0)+IF(AND(V135&gt;=75,V135&lt;175,W135&lt;35),0.25,0)+IF(AND(V135&gt;=75,V135&lt;=175,W135&gt;=35,W135&lt;65),0.2,0)+IF(AND(V135&gt;=75,V135&lt;=175,W135&gt;=65,W135&lt;110),0.15,0)+IF(AND(V135&gt;=75,V135&lt;=175,W135&gt;=110),0.1,0)+IF(AND(V135&gt;175,W135&lt;25),0.25,0)+IF(AND(V135&gt;175,W135&gt;=25,W135&lt;55),0.2,0)+IF(AND(V135&gt;175,W135&gt;=55,W135&lt;95),0.15,0)+IF(AND(V135&gt;175,W135&gt;=95),0.1,0))))))))))))))))</f>
        <v>0.22</v>
      </c>
      <c r="Y135" s="30">
        <f>IF(AG135="None",0,IF(AG135="Fix5",0.05,IF(AG135="Fix3.75",0.0375,IF(AG135="Fix10",0.1,IF(AG135="Fix3",0.03,0)))))</f>
        <v>0</v>
      </c>
      <c r="Z135" s="35">
        <f>T135-AA135-AB135</f>
        <v>26.52</v>
      </c>
      <c r="AA135" s="29">
        <f>IF(AD135="EUR",((T135-R135)*X135)*U135+(R135*X135),(T135*X135))</f>
        <v>7.48</v>
      </c>
      <c r="AB135" s="36">
        <f>IF(AD135="EUR",((T135-R135)*Y135)*U135+(R135*Y135),(T135*Y135))</f>
        <v>0</v>
      </c>
      <c r="AC135" s="37" t="b">
        <v>1</v>
      </c>
      <c r="AD135" s="37" t="s">
        <v>38</v>
      </c>
      <c r="AE135" s="37" t="s">
        <v>38</v>
      </c>
      <c r="AF135" s="37" t="str">
        <f t="array" ref="AF135">INDEX('Deal Info'!D:D, MATCH(A135,'Deal Info'!A:A, 0))</f>
        <v>SF</v>
      </c>
      <c r="AG135" s="38" t="str">
        <f t="array" ref="AG135">INDEX('Deal Info'!G:G, MATCH(A135,'Deal Info'!A:A, 0))</f>
        <v>None</v>
      </c>
    </row>
    <row r="136" spans="1:33" ht="14.25" hidden="1" x14ac:dyDescent="0.2">
      <c r="A136" s="18" t="str">
        <f t="array" ref="A136">IF(G136='Room Info'!$B$1, INDEX('Room Info'!$A$2:$A2446, MATCH(B136,'Room Info'!$B$2:$B2446, 0)),IF(G136='Room Info'!$C$1, INDEX('Room Info'!$A$2:$A2446, MATCH(B136,'Room Info'!$C$2:$C2446, 0)),IF(G136='Room Info'!$D$1, INDEX('Room Info'!$A$2:$A2446, MATCH(B136,'Room Info'!$D$2:$D2446, 0)),IF(G136='Room Info'!$E$1, INDEX('Room Info'!$A$2:$A2446, MATCH(B136,'Room Info'!$E$2:$E2446, 0)),IF(G136='Room Info'!$F$1, INDEX('Room Info'!$A$2:$A2446, MATCH(B136,'Room Info'!$F$2:$F2446, 0)),IF(G136='Room Info'!$H$1, INDEX('Room Info'!$A$2:$A2446, MATCH(B136,'Room Info'!$H$2:$H2446, 0)),IF(G136='Room Info'!$G$1, INDEX('Room Info'!$A$2:$A2446, MATCH(B136,'Room Info'!$G$2:$G2446, 0)))))))))</f>
        <v>bbaltqq</v>
      </c>
      <c r="B136" s="54" t="s">
        <v>89</v>
      </c>
      <c r="C136" s="67">
        <v>44490</v>
      </c>
      <c r="D136" s="67">
        <v>44520</v>
      </c>
      <c r="E136" s="47">
        <v>44501</v>
      </c>
      <c r="F136" s="45" t="s">
        <v>34</v>
      </c>
      <c r="G136" s="54" t="s">
        <v>35</v>
      </c>
      <c r="H136" s="49" t="s">
        <v>72</v>
      </c>
      <c r="I136" s="49" t="s">
        <v>37</v>
      </c>
      <c r="J136" s="50">
        <v>50</v>
      </c>
      <c r="K136" s="51">
        <v>1880</v>
      </c>
      <c r="L136" s="52">
        <v>-950</v>
      </c>
      <c r="M136" s="53">
        <v>3872</v>
      </c>
      <c r="N136" s="28">
        <f>K136*J136</f>
        <v>94000</v>
      </c>
      <c r="O136" s="54">
        <v>26291</v>
      </c>
      <c r="P136" s="29">
        <v>13.98457447</v>
      </c>
      <c r="Q136" s="55"/>
      <c r="R136" s="31">
        <f>M136+Q136</f>
        <v>3872</v>
      </c>
      <c r="S136" s="56">
        <v>-3539</v>
      </c>
      <c r="T136" s="32">
        <f>R136+S136+IF(F136="Without EV deal",L136,0)</f>
        <v>333</v>
      </c>
      <c r="U136" s="33">
        <v>1</v>
      </c>
      <c r="V136" s="69">
        <v>76.072594825420751</v>
      </c>
      <c r="W136" s="69">
        <v>175.2405058693391</v>
      </c>
      <c r="X136" s="30">
        <f>IF(AF136="DoEV",IF(AND(V136&lt;20,W136&lt;55),0.3,0)+IF(AND(V136&lt;20,W136&gt;=55,W136&lt;105),0.23,0)+IF(AND(V136&lt;20,W136&gt;=105),0.17,0)+IF(AND(V136&gt;=20,V136&lt;40,W136&lt;45),0.3,0)+IF(AND(V136&gt;=20,V136&lt;40,W136&gt;=45,W136&lt;95),0.23,0)+IF(AND(V136&gt;=20,V136&lt;40,W136&gt;=95),0.17,0)+IF(AND(V136&gt;=40,V136&lt;75,W136&lt;35),0.3,0)+IF(AND(V136&gt;=40,V136&lt;75,W136&gt;=35,W136&lt;75),0.23,0)+IF(AND(V136&gt;=40,V136&lt;75,W136&gt;=75,W136&lt;120),0.17,0)+IF(AND(V136&gt;=40,V136&lt;75,W136&gt;=120),0.12,0)+IF(AND(V136&gt;=75,V136&lt;175,W136&lt;35),0.3,0)+IF(AND(V136&gt;=75,V136&lt;=175,W136&gt;=35,W136&lt;65),0.23,0)+IF(AND(V136&gt;=75,V136&lt;=175,W136&gt;=65,W136&lt;110),0.17,0)+IF(AND(V136&gt;=75,V136&lt;=175,W136&gt;=110),0.12,0)+IF(AND(V136&gt;175,W136&lt;25),0.3,0)+IF(AND(V136&gt;175,W136&gt;=25,W136&lt;55),0.23,0)+IF(AND(V136&gt;175,W136&gt;=55,W136&lt;95),0.17,0)+IF(AND(V136&gt;175,W136&gt;=95),0.12,0),
IF(AF136="Fix15",0.15,
IF(AF136="Fix11.25",0.1125,
IF(AF136="Fix10",0.1,
IF(AF136="Fix9",0.09,
IF(AF136="DoEV2017",IF(AND(W136&lt;74),0.2,0)+IF(AND(W136&gt;=74),0.17,0),
IF(AF136="SF",IF(AND(V136&lt;20,W136&lt;89),0.3,0)+IF(AND(V136&lt;20,W136&gt;=89),0.25,0)+IF(AND(V136&gt;=20,V136&lt;40,W136&lt;74),0.3,0)+IF(AND(V136&gt;=20,V136&lt;40,W136&gt;=75),0.22,0)+IF(AND(V136&gt;=40,V136&lt;75,W136&lt;75),0.26,0)+IF(AND(V136&gt;=40,V136&lt;75,W136&gt;=75),0.22,0)+IF(V136&gt;=75,0.22,0),
IF(AF136="DoEVold",IF(AND(V136&lt;40,W136&lt;35),0.35,0)+IF(AND(V136&lt;40,W136&gt;=35,W136&lt;75),0.25,0)+IF(AND(V136&lt;40,W136&gt;=75),0.17,0)+IF(AND(V136&gt;=40,V136&lt;75,W136&lt;25),0.35,0)+IF(AND(V136&gt;=40,V136&lt;75,W136&gt;=25,W136&lt;65),0.25,0)+IF(AND(V136&gt;=40,V136&lt;75,W136&gt;=65,W136&lt;100),0.17,0)+IF(AND(V136&gt;=40,V136&lt;75,W136&gt;=100),0.1,0)+IF(AND(V136&gt;=75,W136&lt;25),0.35,0)+IF(AND(V136&gt;=75,W136&gt;=25,W136&lt;60),0.25,0)+IF(AND(V136&gt;=75,W136&gt;=60,W136&lt;95),0.17,0)+IF(AND(V136&gt;=75,W136&gt;=95),0.1,0),
IF(AF136="DoEVold15",IF(AND(V136&lt;=40,W136&lt;35),0.35,0)+IF(AND(V136&lt;=40,W136&gt;=35,W136&lt;75),0.25,0)+IF(AND(V136&lt;=40,W136&gt;=75,W136&lt;120),0.17,0)+IF(AND(V136&lt;=40,W136&gt;=120),0.15,0)+IF(AND(V136&gt;40,V136&lt;75,W136&lt;25),0.35,0)+IF(AND(V136&gt;=40,V136&lt;75,W136&gt;=25,W136&lt;65),0.25,0)+IF(AND(V136&gt;=40,V136&lt;75,W136&gt;=65,W136&lt;100),0.17,0)+IF(AND(V136&gt;=40,V136&lt;75,W136&gt;=100),0.1,0)+IF(AND(V136&gt;=75,W136&lt;25),0.35,0)+IF(AND(V136&gt;=75,W136&gt;=25,W136&lt;60),0.25,0)+IF(AND(V136&gt;=75,W136&gt;=60,W136&lt;95),0.17,0)+IF(AND(V136&gt;=75,W136&gt;=95),0.1,0),
IF(AF136="DoEVba",IF(AND(V136&lt;20,W136&lt;105),0.2,0)+IF(AND(V136&lt;20,W136&gt;=105),0.15,0)+IF(AND(V136&gt;=20,V136&lt;40,W136&lt;95),0.2,0)+IF(AND(V136&gt;=20,V136&lt;40,W136&gt;=95,W136&lt;150),0.15,0)+IF(AND(V136&gt;=20,V136&lt;40,W136&gt;=150),0.12,0)+IF(AND(V136&gt;=40,V136&lt;75,W136&lt;75),0.2,0)+IF(AND(V136&gt;=40,V136&lt;75,W136&gt;=75,W136&lt;120),0.15,0)+IF(AND(V136&gt;=40,V136&lt;75,W136&gt;=120),0.12,0)+IF(AND(V136&gt;=75,V136&lt;175,W136&lt;65),0.2,0)+IF(AND(V136&gt;=75,V136&lt;175,W136&gt;=65,W136&lt;110),0.15,0)+IF(AND(V136&gt;=75,V136&lt;175,W136&gt;=110),0.12,0)+IF(AND(V136&gt;=175,W136&lt;55),0.2,0)+IF(AND(V136&gt;=175,W136&gt;=55,W136&lt;95),0.15,0)+IF(AND(V136&gt;=175,W136&gt;=95),0.12,0),
IF(AF136="DoEVku",IF(AND(V136&lt;20,W136&lt;55),0.23,0)+IF(AND(V136&lt;20,W136&gt;=55,W136&lt;105),0.2,0)+IF(AND(V136&lt;20,W136&gt;=105),0.17,0)+IF(AND(V136&gt;=20,V136&lt;40,W136&lt;45),0.23,0)+IF(AND(V136&gt;=20,V136&lt;40,W136&gt;=45,W136&lt;95),0.2,0)+IF(AND(V136&gt;=20,V136&lt;40,W136&gt;=95,W136&lt;=150),0.17,0)+IF(AND(V136&gt;=20,V136&lt;40,W136&gt;=150),0.12,0)+IF(AND(V136&gt;=40,V136&lt;75,W136&lt;35),0.23,0)+IF(AND(V136&gt;=40,V136&lt;75,W136&gt;=35,W136&lt;75),0.2,0)+IF(AND(V136&gt;=40,V136&lt;75,W136&gt;=75,W136&lt;120),0.17,0)+IF(AND(V136&gt;=40,V136&lt;75,W136&gt;=120),0.12,0)+IF(AND(V136&gt;=75,V136&lt;175,W136&lt;35),0.23,0)+IF(AND(V136&gt;=75,V136&lt;=175,W136&gt;=35,W136&lt;65),0.2,0)+IF(AND(V136&gt;=75,V136&lt;=175,W136&gt;=65,W136&lt;110),0.17,0)+IF(AND(V136&gt;=75,V136&lt;=175,W136&gt;=110),0.12,0)+IF(AND(V136&gt;175,W136&lt;25),0.23,0)+IF(AND(V136&gt;175,W136&gt;=25,W136&lt;55),0.2,0)+IF(AND(V136&gt;175,W136&gt;=55,W136&lt;95),0.17,0)+IF(AND(V136&gt;175,W136&gt;=95),0.12,0),
IF(AF136="DoEVs1",IF(AND(V136&lt;20,W136&lt;55),0.3,0)+IF(AND(V136&lt;20,W136&gt;=55,W136&lt;105),0.23,0)+IF(AND(V136&lt;20,W136&gt;=105),0.17,0)+IF(AND(V136&gt;=20,V136&lt;40,W136&lt;45),0.3,0)+IF(AND(V136&gt;=20,V136&lt;40,W136&gt;=45,W136&lt;95),0.23,0)+IF(AND(V136&gt;=20,V136&lt;40,W136&gt;=95,W136&lt;=150),0.17,0)+IF(AND(V136&gt;=20,V136&lt;40,W136&gt;=150),0.12,0)+IF(AND(V136&gt;=40,V136&lt;75,W136&lt;35),0.3,0)+IF(AND(V136&gt;=40,V136&lt;75,W136&gt;=35,W136&lt;75),0.23,0)+IF(AND(V136&gt;=40,V136&lt;75,W136&gt;=75,W136&lt;120),0.17,0)+IF(AND(V136&gt;=40,V136&lt;75,W136&gt;=120),0.12,0)+IF(AND(V136&gt;=75,V136&lt;175,W136&lt;35),0.3,0)+IF(AND(V136&gt;=75,V136&lt;=175,W136&gt;=35,W136&lt;65),0.23,0)+IF(AND(V136&gt;=75,V136&lt;=175,W136&gt;=65,W136&lt;110),0.17,0)+IF(AND(V136&gt;=75,V136&lt;=175,W136&gt;=110),0.12,0)+IF(AND(V136&gt;175,W136&lt;25),0.3,0)+IF(AND(V136&gt;175,W136&gt;=25,W136&lt;55),0.23,0)+IF(AND(V136&gt;175,W136&gt;=55,W136&lt;95),0.17,0)+IF(AND(V136&gt;175,W136&gt;=95),0.12,0),
IF(AF136="DoEVsu",IF(AND(V136&lt;20,W136&lt;55),0.3,0)+IF(AND(V136&lt;20,W136&gt;=55,W136&lt;105),0.23,0)+IF(AND(V136&lt;20,W136&gt;=105),0.17,0)+IF(AND(V136&gt;=20,V136&lt;40,W136&lt;45),0.3,0)+IF(AND(V136&gt;=20,V136&lt;40,W136&gt;=45,W136&lt;95),0.23,0)+IF(AND(V136&gt;=20,V136&lt;40,W136&gt;=95,W136&lt;=250),0.17,0)+IF(AND(V136&gt;=20,V136&lt;40,W136&gt;=250),0.12,0)+IF(AND(V136&gt;=40,V136&lt;75,W136&lt;35),0.3,0)+IF(AND(V136&gt;=40,V136&lt;75,W136&gt;=35,W136&lt;75),0.23,0)+IF(AND(V136&gt;=40,V136&lt;75,W136&gt;=75,W136&lt;120),0.17,0)+IF(AND(V136&gt;=40,V136&lt;75,W136&gt;=120),0.12,0)+IF(AND(V136&gt;=75,V136&lt;175,W136&lt;35),0.3,0)+IF(AND(V136&gt;=75,V136&lt;=175,W136&gt;=35,W136&lt;65),0.23,0)+IF(AND(V136&gt;=75,V136&lt;=175,W136&gt;=65,W136&lt;110),0.17,0)+IF(AND(V136&gt;=75,V136&lt;=175,W136&gt;=110),0.12,0)+IF(AND(V136&gt;175,W136&lt;25),0.3,0)+IF(AND(V136&gt;175,W136&gt;=25,W136&lt;55),0.23,0)+IF(AND(V136&gt;175,W136&gt;=55,W136&lt;95),0.17,0)+IF(AND(V136&gt;175,W136&gt;=95),0.12,0),
IF(AF136="DoEVni",IF(AND(V136&lt;20,W136&lt;55),0.3,0)+IF(AND(V136&lt;20,W136&gt;=55,W136&lt;105),0.23,0)+IF(AND(V136&lt;20,W136&gt;=105),0.17,0)+IF(AND(V136&gt;=20,V136&lt;40,W136&lt;45),0.3,0)+IF(AND(V136&gt;=20,V136&lt;40,W136&gt;=45,W136&lt;95),0.23,0)+IF(AND(V136&gt;=20,V136&lt;40,W136&gt;=95,W136&lt;=200),0.17,0)+IF(AND(V136&gt;=20,V136&lt;40,W136&gt;=200),0.12,0)+IF(AND(V136&gt;=40,V136&lt;75,W136&lt;35),0.3,0)+IF(AND(V136&gt;=40,V136&lt;75,W136&gt;=35,W136&lt;75),0.23,0)+IF(AND(V136&gt;=40,V136&lt;75,W136&gt;=75,W136&lt;120),0.17,0)+IF(AND(V136&gt;=40,V136&lt;75,W136&gt;=120),0.12,0)+IF(AND(V136&gt;=75,V136&lt;175,W136&lt;35),0.3,0)+IF(AND(V136&gt;=75,V136&lt;=175,W136&gt;=35,W136&lt;65),0.23,0)+IF(AND(V136&gt;=75,V136&lt;=175,W136&gt;=65,W136&lt;110),0.17,0)+IF(AND(V136&gt;=75,V136&lt;=175,W136&gt;=110),0.12,0)+IF(AND(V136&gt;175,W136&lt;25),0.3,0)+IF(AND(V136&gt;175,W136&gt;=25,W136&lt;55),0.23,0)+IF(AND(V136&gt;175,W136&gt;=55,W136&lt;95),0.17,0)+IF(AND(V136&gt;175,W136&gt;=95),0.12,0),
IF(AF136="DoEVLo",IF(AND(V136&lt;20,W136&lt;55),0.25,0)+IF(AND(V136&lt;20,W136&gt;=55,W136&lt;105),0.2,0)+IF(AND(V136&lt;20,W136&gt;=105),0.15,0)+IF(AND(V136&gt;=20,V136&lt;40,W136&lt;45),0.25,0)+IF(AND(V136&gt;=20,V136&lt;40,W136&gt;=45,W136&lt;95),0.2,0)+IF(AND(V136&gt;=20,V136&lt;40,W136&gt;=95),0.15,0)+IF(AND(V136&gt;=40,V136&lt;75,W136&lt;35),0.25,0)+IF(AND(V136&gt;=40,V136&lt;75,W136&gt;=35,W136&lt;75),0.2,0)+IF(AND(V136&gt;=40,V136&lt;75,W136&gt;=75,W136&lt;120),0.15,0)+IF(AND(V136&gt;=40,V136&lt;75,W136&gt;=120),0.1,0)+IF(AND(V136&gt;=75,V136&lt;175,W136&lt;35),0.25,0)+IF(AND(V136&gt;=75,V136&lt;=175,W136&gt;=35,W136&lt;65),0.2,0)+IF(AND(V136&gt;=75,V136&lt;=175,W136&gt;=65,W136&lt;110),0.15,0)+IF(AND(V136&gt;=75,V136&lt;=175,W136&gt;=110),0.1,0)+IF(AND(V136&gt;175,W136&lt;25),0.25,0)+IF(AND(V136&gt;175,W136&gt;=25,W136&lt;55),0.2,0)+IF(AND(V136&gt;175,W136&gt;=55,W136&lt;95),0.15,0)+IF(AND(V136&gt;175,W136&gt;=95),0.1,0))))))))))))))))</f>
        <v>0.22</v>
      </c>
      <c r="Y136" s="30">
        <f>IF(AG136="None",0,IF(AG136="Fix5",0.05,IF(AG136="Fix3.75",0.0375,IF(AG136="Fix10",0.1,IF(AG136="Fix3",0.03,0)))))</f>
        <v>0</v>
      </c>
      <c r="Z136" s="35">
        <f>T136-AA136-AB136</f>
        <v>259.74</v>
      </c>
      <c r="AA136" s="29">
        <f>IF(AD136="EUR",((T136-R136)*X136)*U136+(R136*X136),(T136*X136))</f>
        <v>73.260000000000005</v>
      </c>
      <c r="AB136" s="36">
        <f>IF(AD136="EUR",((T136-R136)*Y136)*U136+(R136*Y136),(T136*Y136))</f>
        <v>0</v>
      </c>
      <c r="AC136" s="37" t="b">
        <v>1</v>
      </c>
      <c r="AD136" s="37" t="s">
        <v>38</v>
      </c>
      <c r="AE136" s="37" t="s">
        <v>38</v>
      </c>
      <c r="AF136" s="37" t="str">
        <f t="array" ref="AF136">INDEX('Deal Info'!D:D, MATCH(A136,'Deal Info'!A:A, 0))</f>
        <v>SF</v>
      </c>
      <c r="AG136" s="38" t="str">
        <f t="array" ref="AG136">INDEX('Deal Info'!G:G, MATCH(A136,'Deal Info'!A:A, 0))</f>
        <v>None</v>
      </c>
    </row>
    <row r="137" spans="1:33" ht="14.25" hidden="1" x14ac:dyDescent="0.2">
      <c r="A137" s="18" t="str">
        <f t="array" ref="A137">IF(G137='Room Info'!$B$1, INDEX('Room Info'!$A$2:$A2446, MATCH(B137,'Room Info'!$B$2:$B2446, 0)),IF(G137='Room Info'!$C$1, INDEX('Room Info'!$A$2:$A2446, MATCH(B137,'Room Info'!$C$2:$C2446, 0)),IF(G137='Room Info'!$D$1, INDEX('Room Info'!$A$2:$A2446, MATCH(B137,'Room Info'!$D$2:$D2446, 0)),IF(G137='Room Info'!$E$1, INDEX('Room Info'!$A$2:$A2446, MATCH(B137,'Room Info'!$E$2:$E2446, 0)),IF(G137='Room Info'!$F$1, INDEX('Room Info'!$A$2:$A2446, MATCH(B137,'Room Info'!$F$2:$F2446, 0)),IF(G137='Room Info'!$H$1, INDEX('Room Info'!$A$2:$A2446, MATCH(B137,'Room Info'!$H$2:$H2446, 0)),IF(G137='Room Info'!$G$1, INDEX('Room Info'!$A$2:$A2446, MATCH(B137,'Room Info'!$G$2:$G2446, 0)))))))))</f>
        <v>bbaltqq</v>
      </c>
      <c r="B137" s="54" t="s">
        <v>89</v>
      </c>
      <c r="C137" s="68">
        <v>44490</v>
      </c>
      <c r="D137" s="46">
        <v>44520</v>
      </c>
      <c r="E137" s="47">
        <v>44501</v>
      </c>
      <c r="F137" s="45" t="s">
        <v>41</v>
      </c>
      <c r="G137" s="54" t="s">
        <v>35</v>
      </c>
      <c r="H137" s="49" t="s">
        <v>90</v>
      </c>
      <c r="I137" s="49" t="s">
        <v>44</v>
      </c>
      <c r="J137" s="50">
        <v>5</v>
      </c>
      <c r="K137" s="51">
        <v>1</v>
      </c>
      <c r="L137" s="52">
        <v>35</v>
      </c>
      <c r="M137" s="62"/>
      <c r="N137" s="28">
        <f>K137*J137</f>
        <v>5</v>
      </c>
      <c r="O137" s="54">
        <v>139</v>
      </c>
      <c r="P137" s="29">
        <v>139</v>
      </c>
      <c r="Q137" s="55"/>
      <c r="R137" s="31">
        <f>M137+Q137</f>
        <v>0</v>
      </c>
      <c r="S137" s="56"/>
      <c r="T137" s="32">
        <f>R137+S137+IF(F137="Without EV deal",L137,0)</f>
        <v>35</v>
      </c>
      <c r="U137" s="33">
        <v>1</v>
      </c>
      <c r="V137" s="69">
        <v>76.072594825420751</v>
      </c>
      <c r="W137" s="69">
        <v>175.2405058693391</v>
      </c>
      <c r="X137" s="30">
        <f>IF(AF137="DoEV",IF(AND(V137&lt;20,W137&lt;55),0.3,0)+IF(AND(V137&lt;20,W137&gt;=55,W137&lt;105),0.23,0)+IF(AND(V137&lt;20,W137&gt;=105),0.17,0)+IF(AND(V137&gt;=20,V137&lt;40,W137&lt;45),0.3,0)+IF(AND(V137&gt;=20,V137&lt;40,W137&gt;=45,W137&lt;95),0.23,0)+IF(AND(V137&gt;=20,V137&lt;40,W137&gt;=95),0.17,0)+IF(AND(V137&gt;=40,V137&lt;75,W137&lt;35),0.3,0)+IF(AND(V137&gt;=40,V137&lt;75,W137&gt;=35,W137&lt;75),0.23,0)+IF(AND(V137&gt;=40,V137&lt;75,W137&gt;=75,W137&lt;120),0.17,0)+IF(AND(V137&gt;=40,V137&lt;75,W137&gt;=120),0.12,0)+IF(AND(V137&gt;=75,V137&lt;175,W137&lt;35),0.3,0)+IF(AND(V137&gt;=75,V137&lt;=175,W137&gt;=35,W137&lt;65),0.23,0)+IF(AND(V137&gt;=75,V137&lt;=175,W137&gt;=65,W137&lt;110),0.17,0)+IF(AND(V137&gt;=75,V137&lt;=175,W137&gt;=110),0.12,0)+IF(AND(V137&gt;175,W137&lt;25),0.3,0)+IF(AND(V137&gt;175,W137&gt;=25,W137&lt;55),0.23,0)+IF(AND(V137&gt;175,W137&gt;=55,W137&lt;95),0.17,0)+IF(AND(V137&gt;175,W137&gt;=95),0.12,0),
IF(AF137="Fix15",0.15,
IF(AF137="Fix11.25",0.1125,
IF(AF137="Fix10",0.1,
IF(AF137="Fix9",0.09,
IF(AF137="DoEV2017",IF(AND(W137&lt;74),0.2,0)+IF(AND(W137&gt;=74),0.17,0),
IF(AF137="SF",IF(AND(V137&lt;20,W137&lt;89),0.3,0)+IF(AND(V137&lt;20,W137&gt;=89),0.25,0)+IF(AND(V137&gt;=20,V137&lt;40,W137&lt;74),0.3,0)+IF(AND(V137&gt;=20,V137&lt;40,W137&gt;=75),0.22,0)+IF(AND(V137&gt;=40,V137&lt;75,W137&lt;75),0.26,0)+IF(AND(V137&gt;=40,V137&lt;75,W137&gt;=75),0.22,0)+IF(V137&gt;=75,0.22,0),
IF(AF137="DoEVold",IF(AND(V137&lt;40,W137&lt;35),0.35,0)+IF(AND(V137&lt;40,W137&gt;=35,W137&lt;75),0.25,0)+IF(AND(V137&lt;40,W137&gt;=75),0.17,0)+IF(AND(V137&gt;=40,V137&lt;75,W137&lt;25),0.35,0)+IF(AND(V137&gt;=40,V137&lt;75,W137&gt;=25,W137&lt;65),0.25,0)+IF(AND(V137&gt;=40,V137&lt;75,W137&gt;=65,W137&lt;100),0.17,0)+IF(AND(V137&gt;=40,V137&lt;75,W137&gt;=100),0.1,0)+IF(AND(V137&gt;=75,W137&lt;25),0.35,0)+IF(AND(V137&gt;=75,W137&gt;=25,W137&lt;60),0.25,0)+IF(AND(V137&gt;=75,W137&gt;=60,W137&lt;95),0.17,0)+IF(AND(V137&gt;=75,W137&gt;=95),0.1,0),
IF(AF137="DoEVold15",IF(AND(V137&lt;=40,W137&lt;35),0.35,0)+IF(AND(V137&lt;=40,W137&gt;=35,W137&lt;75),0.25,0)+IF(AND(V137&lt;=40,W137&gt;=75,W137&lt;120),0.17,0)+IF(AND(V137&lt;=40,W137&gt;=120),0.15,0)+IF(AND(V137&gt;40,V137&lt;75,W137&lt;25),0.35,0)+IF(AND(V137&gt;=40,V137&lt;75,W137&gt;=25,W137&lt;65),0.25,0)+IF(AND(V137&gt;=40,V137&lt;75,W137&gt;=65,W137&lt;100),0.17,0)+IF(AND(V137&gt;=40,V137&lt;75,W137&gt;=100),0.1,0)+IF(AND(V137&gt;=75,W137&lt;25),0.35,0)+IF(AND(V137&gt;=75,W137&gt;=25,W137&lt;60),0.25,0)+IF(AND(V137&gt;=75,W137&gt;=60,W137&lt;95),0.17,0)+IF(AND(V137&gt;=75,W137&gt;=95),0.1,0),
IF(AF137="DoEVba",IF(AND(V137&lt;20,W137&lt;105),0.2,0)+IF(AND(V137&lt;20,W137&gt;=105),0.15,0)+IF(AND(V137&gt;=20,V137&lt;40,W137&lt;95),0.2,0)+IF(AND(V137&gt;=20,V137&lt;40,W137&gt;=95,W137&lt;150),0.15,0)+IF(AND(V137&gt;=20,V137&lt;40,W137&gt;=150),0.12,0)+IF(AND(V137&gt;=40,V137&lt;75,W137&lt;75),0.2,0)+IF(AND(V137&gt;=40,V137&lt;75,W137&gt;=75,W137&lt;120),0.15,0)+IF(AND(V137&gt;=40,V137&lt;75,W137&gt;=120),0.12,0)+IF(AND(V137&gt;=75,V137&lt;175,W137&lt;65),0.2,0)+IF(AND(V137&gt;=75,V137&lt;175,W137&gt;=65,W137&lt;110),0.15,0)+IF(AND(V137&gt;=75,V137&lt;175,W137&gt;=110),0.12,0)+IF(AND(V137&gt;=175,W137&lt;55),0.2,0)+IF(AND(V137&gt;=175,W137&gt;=55,W137&lt;95),0.15,0)+IF(AND(V137&gt;=175,W137&gt;=95),0.12,0),
IF(AF137="DoEVku",IF(AND(V137&lt;20,W137&lt;55),0.23,0)+IF(AND(V137&lt;20,W137&gt;=55,W137&lt;105),0.2,0)+IF(AND(V137&lt;20,W137&gt;=105),0.17,0)+IF(AND(V137&gt;=20,V137&lt;40,W137&lt;45),0.23,0)+IF(AND(V137&gt;=20,V137&lt;40,W137&gt;=45,W137&lt;95),0.2,0)+IF(AND(V137&gt;=20,V137&lt;40,W137&gt;=95,W137&lt;=150),0.17,0)+IF(AND(V137&gt;=20,V137&lt;40,W137&gt;=150),0.12,0)+IF(AND(V137&gt;=40,V137&lt;75,W137&lt;35),0.23,0)+IF(AND(V137&gt;=40,V137&lt;75,W137&gt;=35,W137&lt;75),0.2,0)+IF(AND(V137&gt;=40,V137&lt;75,W137&gt;=75,W137&lt;120),0.17,0)+IF(AND(V137&gt;=40,V137&lt;75,W137&gt;=120),0.12,0)+IF(AND(V137&gt;=75,V137&lt;175,W137&lt;35),0.23,0)+IF(AND(V137&gt;=75,V137&lt;=175,W137&gt;=35,W137&lt;65),0.2,0)+IF(AND(V137&gt;=75,V137&lt;=175,W137&gt;=65,W137&lt;110),0.17,0)+IF(AND(V137&gt;=75,V137&lt;=175,W137&gt;=110),0.12,0)+IF(AND(V137&gt;175,W137&lt;25),0.23,0)+IF(AND(V137&gt;175,W137&gt;=25,W137&lt;55),0.2,0)+IF(AND(V137&gt;175,W137&gt;=55,W137&lt;95),0.17,0)+IF(AND(V137&gt;175,W137&gt;=95),0.12,0),
IF(AF137="DoEVs1",IF(AND(V137&lt;20,W137&lt;55),0.3,0)+IF(AND(V137&lt;20,W137&gt;=55,W137&lt;105),0.23,0)+IF(AND(V137&lt;20,W137&gt;=105),0.17,0)+IF(AND(V137&gt;=20,V137&lt;40,W137&lt;45),0.3,0)+IF(AND(V137&gt;=20,V137&lt;40,W137&gt;=45,W137&lt;95),0.23,0)+IF(AND(V137&gt;=20,V137&lt;40,W137&gt;=95,W137&lt;=150),0.17,0)+IF(AND(V137&gt;=20,V137&lt;40,W137&gt;=150),0.12,0)+IF(AND(V137&gt;=40,V137&lt;75,W137&lt;35),0.3,0)+IF(AND(V137&gt;=40,V137&lt;75,W137&gt;=35,W137&lt;75),0.23,0)+IF(AND(V137&gt;=40,V137&lt;75,W137&gt;=75,W137&lt;120),0.17,0)+IF(AND(V137&gt;=40,V137&lt;75,W137&gt;=120),0.12,0)+IF(AND(V137&gt;=75,V137&lt;175,W137&lt;35),0.3,0)+IF(AND(V137&gt;=75,V137&lt;=175,W137&gt;=35,W137&lt;65),0.23,0)+IF(AND(V137&gt;=75,V137&lt;=175,W137&gt;=65,W137&lt;110),0.17,0)+IF(AND(V137&gt;=75,V137&lt;=175,W137&gt;=110),0.12,0)+IF(AND(V137&gt;175,W137&lt;25),0.3,0)+IF(AND(V137&gt;175,W137&gt;=25,W137&lt;55),0.23,0)+IF(AND(V137&gt;175,W137&gt;=55,W137&lt;95),0.17,0)+IF(AND(V137&gt;175,W137&gt;=95),0.12,0),
IF(AF137="DoEVsu",IF(AND(V137&lt;20,W137&lt;55),0.3,0)+IF(AND(V137&lt;20,W137&gt;=55,W137&lt;105),0.23,0)+IF(AND(V137&lt;20,W137&gt;=105),0.17,0)+IF(AND(V137&gt;=20,V137&lt;40,W137&lt;45),0.3,0)+IF(AND(V137&gt;=20,V137&lt;40,W137&gt;=45,W137&lt;95),0.23,0)+IF(AND(V137&gt;=20,V137&lt;40,W137&gt;=95,W137&lt;=250),0.17,0)+IF(AND(V137&gt;=20,V137&lt;40,W137&gt;=250),0.12,0)+IF(AND(V137&gt;=40,V137&lt;75,W137&lt;35),0.3,0)+IF(AND(V137&gt;=40,V137&lt;75,W137&gt;=35,W137&lt;75),0.23,0)+IF(AND(V137&gt;=40,V137&lt;75,W137&gt;=75,W137&lt;120),0.17,0)+IF(AND(V137&gt;=40,V137&lt;75,W137&gt;=120),0.12,0)+IF(AND(V137&gt;=75,V137&lt;175,W137&lt;35),0.3,0)+IF(AND(V137&gt;=75,V137&lt;=175,W137&gt;=35,W137&lt;65),0.23,0)+IF(AND(V137&gt;=75,V137&lt;=175,W137&gt;=65,W137&lt;110),0.17,0)+IF(AND(V137&gt;=75,V137&lt;=175,W137&gt;=110),0.12,0)+IF(AND(V137&gt;175,W137&lt;25),0.3,0)+IF(AND(V137&gt;175,W137&gt;=25,W137&lt;55),0.23,0)+IF(AND(V137&gt;175,W137&gt;=55,W137&lt;95),0.17,0)+IF(AND(V137&gt;175,W137&gt;=95),0.12,0),
IF(AF137="DoEVni",IF(AND(V137&lt;20,W137&lt;55),0.3,0)+IF(AND(V137&lt;20,W137&gt;=55,W137&lt;105),0.23,0)+IF(AND(V137&lt;20,W137&gt;=105),0.17,0)+IF(AND(V137&gt;=20,V137&lt;40,W137&lt;45),0.3,0)+IF(AND(V137&gt;=20,V137&lt;40,W137&gt;=45,W137&lt;95),0.23,0)+IF(AND(V137&gt;=20,V137&lt;40,W137&gt;=95,W137&lt;=200),0.17,0)+IF(AND(V137&gt;=20,V137&lt;40,W137&gt;=200),0.12,0)+IF(AND(V137&gt;=40,V137&lt;75,W137&lt;35),0.3,0)+IF(AND(V137&gt;=40,V137&lt;75,W137&gt;=35,W137&lt;75),0.23,0)+IF(AND(V137&gt;=40,V137&lt;75,W137&gt;=75,W137&lt;120),0.17,0)+IF(AND(V137&gt;=40,V137&lt;75,W137&gt;=120),0.12,0)+IF(AND(V137&gt;=75,V137&lt;175,W137&lt;35),0.3,0)+IF(AND(V137&gt;=75,V137&lt;=175,W137&gt;=35,W137&lt;65),0.23,0)+IF(AND(V137&gt;=75,V137&lt;=175,W137&gt;=65,W137&lt;110),0.17,0)+IF(AND(V137&gt;=75,V137&lt;=175,W137&gt;=110),0.12,0)+IF(AND(V137&gt;175,W137&lt;25),0.3,0)+IF(AND(V137&gt;175,W137&gt;=25,W137&lt;55),0.23,0)+IF(AND(V137&gt;175,W137&gt;=55,W137&lt;95),0.17,0)+IF(AND(V137&gt;175,W137&gt;=95),0.12,0),
IF(AF137="DoEVLo",IF(AND(V137&lt;20,W137&lt;55),0.25,0)+IF(AND(V137&lt;20,W137&gt;=55,W137&lt;105),0.2,0)+IF(AND(V137&lt;20,W137&gt;=105),0.15,0)+IF(AND(V137&gt;=20,V137&lt;40,W137&lt;45),0.25,0)+IF(AND(V137&gt;=20,V137&lt;40,W137&gt;=45,W137&lt;95),0.2,0)+IF(AND(V137&gt;=20,V137&lt;40,W137&gt;=95),0.15,0)+IF(AND(V137&gt;=40,V137&lt;75,W137&lt;35),0.25,0)+IF(AND(V137&gt;=40,V137&lt;75,W137&gt;=35,W137&lt;75),0.2,0)+IF(AND(V137&gt;=40,V137&lt;75,W137&gt;=75,W137&lt;120),0.15,0)+IF(AND(V137&gt;=40,V137&lt;75,W137&gt;=120),0.1,0)+IF(AND(V137&gt;=75,V137&lt;175,W137&lt;35),0.25,0)+IF(AND(V137&gt;=75,V137&lt;=175,W137&gt;=35,W137&lt;65),0.2,0)+IF(AND(V137&gt;=75,V137&lt;=175,W137&gt;=65,W137&lt;110),0.15,0)+IF(AND(V137&gt;=75,V137&lt;=175,W137&gt;=110),0.1,0)+IF(AND(V137&gt;175,W137&lt;25),0.25,0)+IF(AND(V137&gt;175,W137&gt;=25,W137&lt;55),0.2,0)+IF(AND(V137&gt;175,W137&gt;=55,W137&lt;95),0.15,0)+IF(AND(V137&gt;175,W137&gt;=95),0.1,0))))))))))))))))</f>
        <v>0.22</v>
      </c>
      <c r="Y137" s="30">
        <f>IF(AG137="None",0,IF(AG137="Fix5",0.05,IF(AG137="Fix3.75",0.0375,IF(AG137="Fix10",0.1,IF(AG137="Fix3",0.03,0)))))</f>
        <v>0</v>
      </c>
      <c r="Z137" s="35">
        <f>T137-AA137-AB137</f>
        <v>27.3</v>
      </c>
      <c r="AA137" s="29">
        <f>IF(AD137="EUR",((T137-R137)*X137)*U137+(R137*X137),(T137*X137))</f>
        <v>7.7</v>
      </c>
      <c r="AB137" s="36">
        <f>IF(AD137="EUR",((T137-R137)*Y137)*U137+(R137*Y137),(T137*Y137))</f>
        <v>0</v>
      </c>
      <c r="AC137" s="37" t="b">
        <v>1</v>
      </c>
      <c r="AD137" s="37" t="s">
        <v>38</v>
      </c>
      <c r="AE137" s="37" t="s">
        <v>38</v>
      </c>
      <c r="AF137" s="37" t="str">
        <f t="array" ref="AF137">INDEX('Deal Info'!D:D, MATCH(A137,'Deal Info'!A:A, 0))</f>
        <v>SF</v>
      </c>
      <c r="AG137" s="38" t="str">
        <f t="array" ref="AG137">INDEX('Deal Info'!G:G, MATCH(A137,'Deal Info'!A:A, 0))</f>
        <v>None</v>
      </c>
    </row>
    <row r="138" spans="1:33" ht="14.25" hidden="1" x14ac:dyDescent="0.2">
      <c r="A138" s="18" t="str">
        <f t="array" ref="A138">IF(G138='Room Info'!$B$1, INDEX('Room Info'!$A$2:$A2446, MATCH(B138,'Room Info'!$B$2:$B2446, 0)),IF(G138='Room Info'!$C$1, INDEX('Room Info'!$A$2:$A2446, MATCH(B138,'Room Info'!$C$2:$C2446, 0)),IF(G138='Room Info'!$D$1, INDEX('Room Info'!$A$2:$A2446, MATCH(B138,'Room Info'!$D$2:$D2446, 0)),IF(G138='Room Info'!$E$1, INDEX('Room Info'!$A$2:$A2446, MATCH(B138,'Room Info'!$E$2:$E2446, 0)),IF(G138='Room Info'!$F$1, INDEX('Room Info'!$A$2:$A2446, MATCH(B138,'Room Info'!$F$2:$F2446, 0)),IF(G138='Room Info'!$H$1, INDEX('Room Info'!$A$2:$A2446, MATCH(B138,'Room Info'!$H$2:$H2446, 0)),IF(G138='Room Info'!$G$1, INDEX('Room Info'!$A$2:$A2446, MATCH(B138,'Room Info'!$G$2:$G2446, 0)))))))))</f>
        <v>bbaltqq</v>
      </c>
      <c r="B138" s="54" t="s">
        <v>89</v>
      </c>
      <c r="C138" s="68">
        <v>44490</v>
      </c>
      <c r="D138" s="46">
        <v>44520</v>
      </c>
      <c r="E138" s="47">
        <v>44501</v>
      </c>
      <c r="F138" s="45" t="s">
        <v>41</v>
      </c>
      <c r="G138" s="54" t="s">
        <v>35</v>
      </c>
      <c r="H138" s="49" t="s">
        <v>39</v>
      </c>
      <c r="I138" s="49" t="s">
        <v>37</v>
      </c>
      <c r="J138" s="50">
        <v>5</v>
      </c>
      <c r="K138" s="51">
        <v>1</v>
      </c>
      <c r="L138" s="52">
        <v>5</v>
      </c>
      <c r="M138" s="62"/>
      <c r="N138" s="28">
        <f>K138*J138</f>
        <v>5</v>
      </c>
      <c r="O138" s="54">
        <v>140</v>
      </c>
      <c r="P138" s="29">
        <v>140</v>
      </c>
      <c r="Q138" s="55"/>
      <c r="R138" s="31">
        <f>M138+Q138</f>
        <v>0</v>
      </c>
      <c r="S138" s="56"/>
      <c r="T138" s="32">
        <f>R138+S138+IF(F138="Without EV deal",L138,0)</f>
        <v>5</v>
      </c>
      <c r="U138" s="33">
        <v>1</v>
      </c>
      <c r="V138" s="69">
        <v>76.072594825420751</v>
      </c>
      <c r="W138" s="69">
        <v>175.2405058693391</v>
      </c>
      <c r="X138" s="30">
        <f>IF(AF138="DoEV",IF(AND(V138&lt;20,W138&lt;55),0.3,0)+IF(AND(V138&lt;20,W138&gt;=55,W138&lt;105),0.23,0)+IF(AND(V138&lt;20,W138&gt;=105),0.17,0)+IF(AND(V138&gt;=20,V138&lt;40,W138&lt;45),0.3,0)+IF(AND(V138&gt;=20,V138&lt;40,W138&gt;=45,W138&lt;95),0.23,0)+IF(AND(V138&gt;=20,V138&lt;40,W138&gt;=95),0.17,0)+IF(AND(V138&gt;=40,V138&lt;75,W138&lt;35),0.3,0)+IF(AND(V138&gt;=40,V138&lt;75,W138&gt;=35,W138&lt;75),0.23,0)+IF(AND(V138&gt;=40,V138&lt;75,W138&gt;=75,W138&lt;120),0.17,0)+IF(AND(V138&gt;=40,V138&lt;75,W138&gt;=120),0.12,0)+IF(AND(V138&gt;=75,V138&lt;175,W138&lt;35),0.3,0)+IF(AND(V138&gt;=75,V138&lt;=175,W138&gt;=35,W138&lt;65),0.23,0)+IF(AND(V138&gt;=75,V138&lt;=175,W138&gt;=65,W138&lt;110),0.17,0)+IF(AND(V138&gt;=75,V138&lt;=175,W138&gt;=110),0.12,0)+IF(AND(V138&gt;175,W138&lt;25),0.3,0)+IF(AND(V138&gt;175,W138&gt;=25,W138&lt;55),0.23,0)+IF(AND(V138&gt;175,W138&gt;=55,W138&lt;95),0.17,0)+IF(AND(V138&gt;175,W138&gt;=95),0.12,0),
IF(AF138="Fix15",0.15,
IF(AF138="Fix11.25",0.1125,
IF(AF138="Fix10",0.1,
IF(AF138="Fix9",0.09,
IF(AF138="DoEV2017",IF(AND(W138&lt;74),0.2,0)+IF(AND(W138&gt;=74),0.17,0),
IF(AF138="SF",IF(AND(V138&lt;20,W138&lt;89),0.3,0)+IF(AND(V138&lt;20,W138&gt;=89),0.25,0)+IF(AND(V138&gt;=20,V138&lt;40,W138&lt;74),0.3,0)+IF(AND(V138&gt;=20,V138&lt;40,W138&gt;=75),0.22,0)+IF(AND(V138&gt;=40,V138&lt;75,W138&lt;75),0.26,0)+IF(AND(V138&gt;=40,V138&lt;75,W138&gt;=75),0.22,0)+IF(V138&gt;=75,0.22,0),
IF(AF138="DoEVold",IF(AND(V138&lt;40,W138&lt;35),0.35,0)+IF(AND(V138&lt;40,W138&gt;=35,W138&lt;75),0.25,0)+IF(AND(V138&lt;40,W138&gt;=75),0.17,0)+IF(AND(V138&gt;=40,V138&lt;75,W138&lt;25),0.35,0)+IF(AND(V138&gt;=40,V138&lt;75,W138&gt;=25,W138&lt;65),0.25,0)+IF(AND(V138&gt;=40,V138&lt;75,W138&gt;=65,W138&lt;100),0.17,0)+IF(AND(V138&gt;=40,V138&lt;75,W138&gt;=100),0.1,0)+IF(AND(V138&gt;=75,W138&lt;25),0.35,0)+IF(AND(V138&gt;=75,W138&gt;=25,W138&lt;60),0.25,0)+IF(AND(V138&gt;=75,W138&gt;=60,W138&lt;95),0.17,0)+IF(AND(V138&gt;=75,W138&gt;=95),0.1,0),
IF(AF138="DoEVold15",IF(AND(V138&lt;=40,W138&lt;35),0.35,0)+IF(AND(V138&lt;=40,W138&gt;=35,W138&lt;75),0.25,0)+IF(AND(V138&lt;=40,W138&gt;=75,W138&lt;120),0.17,0)+IF(AND(V138&lt;=40,W138&gt;=120),0.15,0)+IF(AND(V138&gt;40,V138&lt;75,W138&lt;25),0.35,0)+IF(AND(V138&gt;=40,V138&lt;75,W138&gt;=25,W138&lt;65),0.25,0)+IF(AND(V138&gt;=40,V138&lt;75,W138&gt;=65,W138&lt;100),0.17,0)+IF(AND(V138&gt;=40,V138&lt;75,W138&gt;=100),0.1,0)+IF(AND(V138&gt;=75,W138&lt;25),0.35,0)+IF(AND(V138&gt;=75,W138&gt;=25,W138&lt;60),0.25,0)+IF(AND(V138&gt;=75,W138&gt;=60,W138&lt;95),0.17,0)+IF(AND(V138&gt;=75,W138&gt;=95),0.1,0),
IF(AF138="DoEVba",IF(AND(V138&lt;20,W138&lt;105),0.2,0)+IF(AND(V138&lt;20,W138&gt;=105),0.15,0)+IF(AND(V138&gt;=20,V138&lt;40,W138&lt;95),0.2,0)+IF(AND(V138&gt;=20,V138&lt;40,W138&gt;=95,W138&lt;150),0.15,0)+IF(AND(V138&gt;=20,V138&lt;40,W138&gt;=150),0.12,0)+IF(AND(V138&gt;=40,V138&lt;75,W138&lt;75),0.2,0)+IF(AND(V138&gt;=40,V138&lt;75,W138&gt;=75,W138&lt;120),0.15,0)+IF(AND(V138&gt;=40,V138&lt;75,W138&gt;=120),0.12,0)+IF(AND(V138&gt;=75,V138&lt;175,W138&lt;65),0.2,0)+IF(AND(V138&gt;=75,V138&lt;175,W138&gt;=65,W138&lt;110),0.15,0)+IF(AND(V138&gt;=75,V138&lt;175,W138&gt;=110),0.12,0)+IF(AND(V138&gt;=175,W138&lt;55),0.2,0)+IF(AND(V138&gt;=175,W138&gt;=55,W138&lt;95),0.15,0)+IF(AND(V138&gt;=175,W138&gt;=95),0.12,0),
IF(AF138="DoEVku",IF(AND(V138&lt;20,W138&lt;55),0.23,0)+IF(AND(V138&lt;20,W138&gt;=55,W138&lt;105),0.2,0)+IF(AND(V138&lt;20,W138&gt;=105),0.17,0)+IF(AND(V138&gt;=20,V138&lt;40,W138&lt;45),0.23,0)+IF(AND(V138&gt;=20,V138&lt;40,W138&gt;=45,W138&lt;95),0.2,0)+IF(AND(V138&gt;=20,V138&lt;40,W138&gt;=95,W138&lt;=150),0.17,0)+IF(AND(V138&gt;=20,V138&lt;40,W138&gt;=150),0.12,0)+IF(AND(V138&gt;=40,V138&lt;75,W138&lt;35),0.23,0)+IF(AND(V138&gt;=40,V138&lt;75,W138&gt;=35,W138&lt;75),0.2,0)+IF(AND(V138&gt;=40,V138&lt;75,W138&gt;=75,W138&lt;120),0.17,0)+IF(AND(V138&gt;=40,V138&lt;75,W138&gt;=120),0.12,0)+IF(AND(V138&gt;=75,V138&lt;175,W138&lt;35),0.23,0)+IF(AND(V138&gt;=75,V138&lt;=175,W138&gt;=35,W138&lt;65),0.2,0)+IF(AND(V138&gt;=75,V138&lt;=175,W138&gt;=65,W138&lt;110),0.17,0)+IF(AND(V138&gt;=75,V138&lt;=175,W138&gt;=110),0.12,0)+IF(AND(V138&gt;175,W138&lt;25),0.23,0)+IF(AND(V138&gt;175,W138&gt;=25,W138&lt;55),0.2,0)+IF(AND(V138&gt;175,W138&gt;=55,W138&lt;95),0.17,0)+IF(AND(V138&gt;175,W138&gt;=95),0.12,0),
IF(AF138="DoEVs1",IF(AND(V138&lt;20,W138&lt;55),0.3,0)+IF(AND(V138&lt;20,W138&gt;=55,W138&lt;105),0.23,0)+IF(AND(V138&lt;20,W138&gt;=105),0.17,0)+IF(AND(V138&gt;=20,V138&lt;40,W138&lt;45),0.3,0)+IF(AND(V138&gt;=20,V138&lt;40,W138&gt;=45,W138&lt;95),0.23,0)+IF(AND(V138&gt;=20,V138&lt;40,W138&gt;=95,W138&lt;=150),0.17,0)+IF(AND(V138&gt;=20,V138&lt;40,W138&gt;=150),0.12,0)+IF(AND(V138&gt;=40,V138&lt;75,W138&lt;35),0.3,0)+IF(AND(V138&gt;=40,V138&lt;75,W138&gt;=35,W138&lt;75),0.23,0)+IF(AND(V138&gt;=40,V138&lt;75,W138&gt;=75,W138&lt;120),0.17,0)+IF(AND(V138&gt;=40,V138&lt;75,W138&gt;=120),0.12,0)+IF(AND(V138&gt;=75,V138&lt;175,W138&lt;35),0.3,0)+IF(AND(V138&gt;=75,V138&lt;=175,W138&gt;=35,W138&lt;65),0.23,0)+IF(AND(V138&gt;=75,V138&lt;=175,W138&gt;=65,W138&lt;110),0.17,0)+IF(AND(V138&gt;=75,V138&lt;=175,W138&gt;=110),0.12,0)+IF(AND(V138&gt;175,W138&lt;25),0.3,0)+IF(AND(V138&gt;175,W138&gt;=25,W138&lt;55),0.23,0)+IF(AND(V138&gt;175,W138&gt;=55,W138&lt;95),0.17,0)+IF(AND(V138&gt;175,W138&gt;=95),0.12,0),
IF(AF138="DoEVsu",IF(AND(V138&lt;20,W138&lt;55),0.3,0)+IF(AND(V138&lt;20,W138&gt;=55,W138&lt;105),0.23,0)+IF(AND(V138&lt;20,W138&gt;=105),0.17,0)+IF(AND(V138&gt;=20,V138&lt;40,W138&lt;45),0.3,0)+IF(AND(V138&gt;=20,V138&lt;40,W138&gt;=45,W138&lt;95),0.23,0)+IF(AND(V138&gt;=20,V138&lt;40,W138&gt;=95,W138&lt;=250),0.17,0)+IF(AND(V138&gt;=20,V138&lt;40,W138&gt;=250),0.12,0)+IF(AND(V138&gt;=40,V138&lt;75,W138&lt;35),0.3,0)+IF(AND(V138&gt;=40,V138&lt;75,W138&gt;=35,W138&lt;75),0.23,0)+IF(AND(V138&gt;=40,V138&lt;75,W138&gt;=75,W138&lt;120),0.17,0)+IF(AND(V138&gt;=40,V138&lt;75,W138&gt;=120),0.12,0)+IF(AND(V138&gt;=75,V138&lt;175,W138&lt;35),0.3,0)+IF(AND(V138&gt;=75,V138&lt;=175,W138&gt;=35,W138&lt;65),0.23,0)+IF(AND(V138&gt;=75,V138&lt;=175,W138&gt;=65,W138&lt;110),0.17,0)+IF(AND(V138&gt;=75,V138&lt;=175,W138&gt;=110),0.12,0)+IF(AND(V138&gt;175,W138&lt;25),0.3,0)+IF(AND(V138&gt;175,W138&gt;=25,W138&lt;55),0.23,0)+IF(AND(V138&gt;175,W138&gt;=55,W138&lt;95),0.17,0)+IF(AND(V138&gt;175,W138&gt;=95),0.12,0),
IF(AF138="DoEVni",IF(AND(V138&lt;20,W138&lt;55),0.3,0)+IF(AND(V138&lt;20,W138&gt;=55,W138&lt;105),0.23,0)+IF(AND(V138&lt;20,W138&gt;=105),0.17,0)+IF(AND(V138&gt;=20,V138&lt;40,W138&lt;45),0.3,0)+IF(AND(V138&gt;=20,V138&lt;40,W138&gt;=45,W138&lt;95),0.23,0)+IF(AND(V138&gt;=20,V138&lt;40,W138&gt;=95,W138&lt;=200),0.17,0)+IF(AND(V138&gt;=20,V138&lt;40,W138&gt;=200),0.12,0)+IF(AND(V138&gt;=40,V138&lt;75,W138&lt;35),0.3,0)+IF(AND(V138&gt;=40,V138&lt;75,W138&gt;=35,W138&lt;75),0.23,0)+IF(AND(V138&gt;=40,V138&lt;75,W138&gt;=75,W138&lt;120),0.17,0)+IF(AND(V138&gt;=40,V138&lt;75,W138&gt;=120),0.12,0)+IF(AND(V138&gt;=75,V138&lt;175,W138&lt;35),0.3,0)+IF(AND(V138&gt;=75,V138&lt;=175,W138&gt;=35,W138&lt;65),0.23,0)+IF(AND(V138&gt;=75,V138&lt;=175,W138&gt;=65,W138&lt;110),0.17,0)+IF(AND(V138&gt;=75,V138&lt;=175,W138&gt;=110),0.12,0)+IF(AND(V138&gt;175,W138&lt;25),0.3,0)+IF(AND(V138&gt;175,W138&gt;=25,W138&lt;55),0.23,0)+IF(AND(V138&gt;175,W138&gt;=55,W138&lt;95),0.17,0)+IF(AND(V138&gt;175,W138&gt;=95),0.12,0),
IF(AF138="DoEVLo",IF(AND(V138&lt;20,W138&lt;55),0.25,0)+IF(AND(V138&lt;20,W138&gt;=55,W138&lt;105),0.2,0)+IF(AND(V138&lt;20,W138&gt;=105),0.15,0)+IF(AND(V138&gt;=20,V138&lt;40,W138&lt;45),0.25,0)+IF(AND(V138&gt;=20,V138&lt;40,W138&gt;=45,W138&lt;95),0.2,0)+IF(AND(V138&gt;=20,V138&lt;40,W138&gt;=95),0.15,0)+IF(AND(V138&gt;=40,V138&lt;75,W138&lt;35),0.25,0)+IF(AND(V138&gt;=40,V138&lt;75,W138&gt;=35,W138&lt;75),0.2,0)+IF(AND(V138&gt;=40,V138&lt;75,W138&gt;=75,W138&lt;120),0.15,0)+IF(AND(V138&gt;=40,V138&lt;75,W138&gt;=120),0.1,0)+IF(AND(V138&gt;=75,V138&lt;175,W138&lt;35),0.25,0)+IF(AND(V138&gt;=75,V138&lt;=175,W138&gt;=35,W138&lt;65),0.2,0)+IF(AND(V138&gt;=75,V138&lt;=175,W138&gt;=65,W138&lt;110),0.15,0)+IF(AND(V138&gt;=75,V138&lt;=175,W138&gt;=110),0.1,0)+IF(AND(V138&gt;175,W138&lt;25),0.25,0)+IF(AND(V138&gt;175,W138&gt;=25,W138&lt;55),0.2,0)+IF(AND(V138&gt;175,W138&gt;=55,W138&lt;95),0.15,0)+IF(AND(V138&gt;175,W138&gt;=95),0.1,0))))))))))))))))</f>
        <v>0.22</v>
      </c>
      <c r="Y138" s="30">
        <f>IF(AG138="None",0,IF(AG138="Fix5",0.05,IF(AG138="Fix3.75",0.0375,IF(AG138="Fix10",0.1,IF(AG138="Fix3",0.03,0)))))</f>
        <v>0</v>
      </c>
      <c r="Z138" s="35">
        <f>T138-AA138-AB138</f>
        <v>3.9</v>
      </c>
      <c r="AA138" s="29">
        <f>IF(AD138="EUR",((T138-R138)*X138)*U138+(R138*X138),(T138*X138))</f>
        <v>1.1000000000000001</v>
      </c>
      <c r="AB138" s="36">
        <f>IF(AD138="EUR",((T138-R138)*Y138)*U138+(R138*Y138),(T138*Y138))</f>
        <v>0</v>
      </c>
      <c r="AC138" s="37" t="b">
        <v>1</v>
      </c>
      <c r="AD138" s="37" t="s">
        <v>38</v>
      </c>
      <c r="AE138" s="37" t="s">
        <v>38</v>
      </c>
      <c r="AF138" s="37" t="str">
        <f t="array" ref="AF138">INDEX('Deal Info'!D:D, MATCH(A138,'Deal Info'!A:A, 0))</f>
        <v>SF</v>
      </c>
      <c r="AG138" s="38" t="str">
        <f t="array" ref="AG138">INDEX('Deal Info'!G:G, MATCH(A138,'Deal Info'!A:A, 0))</f>
        <v>None</v>
      </c>
    </row>
    <row r="139" spans="1:33" ht="14.25" hidden="1" x14ac:dyDescent="0.2">
      <c r="A139" s="18" t="str">
        <f t="array" ref="A139">IF(G139='Room Info'!$B$1, INDEX('Room Info'!$A$2:$A2446, MATCH(B139,'Room Info'!$B$2:$B2446, 0)),IF(G139='Room Info'!$C$1, INDEX('Room Info'!$A$2:$A2446, MATCH(B139,'Room Info'!$C$2:$C2446, 0)),IF(G139='Room Info'!$D$1, INDEX('Room Info'!$A$2:$A2446, MATCH(B139,'Room Info'!$D$2:$D2446, 0)),IF(G139='Room Info'!$E$1, INDEX('Room Info'!$A$2:$A2446, MATCH(B139,'Room Info'!$E$2:$E2446, 0)),IF(G139='Room Info'!$F$1, INDEX('Room Info'!$A$2:$A2446, MATCH(B139,'Room Info'!$F$2:$F2446, 0)),IF(G139='Room Info'!$H$1, INDEX('Room Info'!$A$2:$A2446, MATCH(B139,'Room Info'!$H$2:$H2446, 0)),IF(G139='Room Info'!$G$1, INDEX('Room Info'!$A$2:$A2446, MATCH(B139,'Room Info'!$G$2:$G2446, 0)))))))))</f>
        <v>bbaltqq</v>
      </c>
      <c r="B139" s="54" t="s">
        <v>89</v>
      </c>
      <c r="C139" s="68">
        <v>44490</v>
      </c>
      <c r="D139" s="46">
        <v>44520</v>
      </c>
      <c r="E139" s="47">
        <v>44501</v>
      </c>
      <c r="F139" s="45" t="s">
        <v>41</v>
      </c>
      <c r="G139" s="54" t="s">
        <v>35</v>
      </c>
      <c r="H139" s="49" t="s">
        <v>70</v>
      </c>
      <c r="I139" s="49" t="s">
        <v>37</v>
      </c>
      <c r="J139" s="50">
        <v>100</v>
      </c>
      <c r="K139" s="51">
        <v>2085</v>
      </c>
      <c r="L139" s="52">
        <v>5700</v>
      </c>
      <c r="M139" s="53">
        <v>7219</v>
      </c>
      <c r="N139" s="28">
        <f>K139*J139</f>
        <v>208500</v>
      </c>
      <c r="O139" s="54">
        <v>62975</v>
      </c>
      <c r="P139" s="29">
        <v>30.203836930000001</v>
      </c>
      <c r="Q139" s="55"/>
      <c r="R139" s="31">
        <f>M139+Q139</f>
        <v>7219</v>
      </c>
      <c r="S139" s="56"/>
      <c r="T139" s="32">
        <f>R139+S139+IF(F139="Without EV deal",L139,0)</f>
        <v>12919</v>
      </c>
      <c r="U139" s="33">
        <v>1</v>
      </c>
      <c r="V139" s="69">
        <v>76.072594825420751</v>
      </c>
      <c r="W139" s="69">
        <v>175.2405058693391</v>
      </c>
      <c r="X139" s="30">
        <f>IF(AF139="DoEV",IF(AND(V139&lt;20,W139&lt;55),0.3,0)+IF(AND(V139&lt;20,W139&gt;=55,W139&lt;105),0.23,0)+IF(AND(V139&lt;20,W139&gt;=105),0.17,0)+IF(AND(V139&gt;=20,V139&lt;40,W139&lt;45),0.3,0)+IF(AND(V139&gt;=20,V139&lt;40,W139&gt;=45,W139&lt;95),0.23,0)+IF(AND(V139&gt;=20,V139&lt;40,W139&gt;=95),0.17,0)+IF(AND(V139&gt;=40,V139&lt;75,W139&lt;35),0.3,0)+IF(AND(V139&gt;=40,V139&lt;75,W139&gt;=35,W139&lt;75),0.23,0)+IF(AND(V139&gt;=40,V139&lt;75,W139&gt;=75,W139&lt;120),0.17,0)+IF(AND(V139&gt;=40,V139&lt;75,W139&gt;=120),0.12,0)+IF(AND(V139&gt;=75,V139&lt;175,W139&lt;35),0.3,0)+IF(AND(V139&gt;=75,V139&lt;=175,W139&gt;=35,W139&lt;65),0.23,0)+IF(AND(V139&gt;=75,V139&lt;=175,W139&gt;=65,W139&lt;110),0.17,0)+IF(AND(V139&gt;=75,V139&lt;=175,W139&gt;=110),0.12,0)+IF(AND(V139&gt;175,W139&lt;25),0.3,0)+IF(AND(V139&gt;175,W139&gt;=25,W139&lt;55),0.23,0)+IF(AND(V139&gt;175,W139&gt;=55,W139&lt;95),0.17,0)+IF(AND(V139&gt;175,W139&gt;=95),0.12,0),
IF(AF139="Fix15",0.15,
IF(AF139="Fix11.25",0.1125,
IF(AF139="Fix10",0.1,
IF(AF139="Fix9",0.09,
IF(AF139="DoEV2017",IF(AND(W139&lt;74),0.2,0)+IF(AND(W139&gt;=74),0.17,0),
IF(AF139="SF",IF(AND(V139&lt;20,W139&lt;89),0.3,0)+IF(AND(V139&lt;20,W139&gt;=89),0.25,0)+IF(AND(V139&gt;=20,V139&lt;40,W139&lt;74),0.3,0)+IF(AND(V139&gt;=20,V139&lt;40,W139&gt;=75),0.22,0)+IF(AND(V139&gt;=40,V139&lt;75,W139&lt;75),0.26,0)+IF(AND(V139&gt;=40,V139&lt;75,W139&gt;=75),0.22,0)+IF(V139&gt;=75,0.22,0),
IF(AF139="DoEVold",IF(AND(V139&lt;40,W139&lt;35),0.35,0)+IF(AND(V139&lt;40,W139&gt;=35,W139&lt;75),0.25,0)+IF(AND(V139&lt;40,W139&gt;=75),0.17,0)+IF(AND(V139&gt;=40,V139&lt;75,W139&lt;25),0.35,0)+IF(AND(V139&gt;=40,V139&lt;75,W139&gt;=25,W139&lt;65),0.25,0)+IF(AND(V139&gt;=40,V139&lt;75,W139&gt;=65,W139&lt;100),0.17,0)+IF(AND(V139&gt;=40,V139&lt;75,W139&gt;=100),0.1,0)+IF(AND(V139&gt;=75,W139&lt;25),0.35,0)+IF(AND(V139&gt;=75,W139&gt;=25,W139&lt;60),0.25,0)+IF(AND(V139&gt;=75,W139&gt;=60,W139&lt;95),0.17,0)+IF(AND(V139&gt;=75,W139&gt;=95),0.1,0),
IF(AF139="DoEVold15",IF(AND(V139&lt;=40,W139&lt;35),0.35,0)+IF(AND(V139&lt;=40,W139&gt;=35,W139&lt;75),0.25,0)+IF(AND(V139&lt;=40,W139&gt;=75,W139&lt;120),0.17,0)+IF(AND(V139&lt;=40,W139&gt;=120),0.15,0)+IF(AND(V139&gt;40,V139&lt;75,W139&lt;25),0.35,0)+IF(AND(V139&gt;=40,V139&lt;75,W139&gt;=25,W139&lt;65),0.25,0)+IF(AND(V139&gt;=40,V139&lt;75,W139&gt;=65,W139&lt;100),0.17,0)+IF(AND(V139&gt;=40,V139&lt;75,W139&gt;=100),0.1,0)+IF(AND(V139&gt;=75,W139&lt;25),0.35,0)+IF(AND(V139&gt;=75,W139&gt;=25,W139&lt;60),0.25,0)+IF(AND(V139&gt;=75,W139&gt;=60,W139&lt;95),0.17,0)+IF(AND(V139&gt;=75,W139&gt;=95),0.1,0),
IF(AF139="DoEVba",IF(AND(V139&lt;20,W139&lt;105),0.2,0)+IF(AND(V139&lt;20,W139&gt;=105),0.15,0)+IF(AND(V139&gt;=20,V139&lt;40,W139&lt;95),0.2,0)+IF(AND(V139&gt;=20,V139&lt;40,W139&gt;=95,W139&lt;150),0.15,0)+IF(AND(V139&gt;=20,V139&lt;40,W139&gt;=150),0.12,0)+IF(AND(V139&gt;=40,V139&lt;75,W139&lt;75),0.2,0)+IF(AND(V139&gt;=40,V139&lt;75,W139&gt;=75,W139&lt;120),0.15,0)+IF(AND(V139&gt;=40,V139&lt;75,W139&gt;=120),0.12,0)+IF(AND(V139&gt;=75,V139&lt;175,W139&lt;65),0.2,0)+IF(AND(V139&gt;=75,V139&lt;175,W139&gt;=65,W139&lt;110),0.15,0)+IF(AND(V139&gt;=75,V139&lt;175,W139&gt;=110),0.12,0)+IF(AND(V139&gt;=175,W139&lt;55),0.2,0)+IF(AND(V139&gt;=175,W139&gt;=55,W139&lt;95),0.15,0)+IF(AND(V139&gt;=175,W139&gt;=95),0.12,0),
IF(AF139="DoEVku",IF(AND(V139&lt;20,W139&lt;55),0.23,0)+IF(AND(V139&lt;20,W139&gt;=55,W139&lt;105),0.2,0)+IF(AND(V139&lt;20,W139&gt;=105),0.17,0)+IF(AND(V139&gt;=20,V139&lt;40,W139&lt;45),0.23,0)+IF(AND(V139&gt;=20,V139&lt;40,W139&gt;=45,W139&lt;95),0.2,0)+IF(AND(V139&gt;=20,V139&lt;40,W139&gt;=95,W139&lt;=150),0.17,0)+IF(AND(V139&gt;=20,V139&lt;40,W139&gt;=150),0.12,0)+IF(AND(V139&gt;=40,V139&lt;75,W139&lt;35),0.23,0)+IF(AND(V139&gt;=40,V139&lt;75,W139&gt;=35,W139&lt;75),0.2,0)+IF(AND(V139&gt;=40,V139&lt;75,W139&gt;=75,W139&lt;120),0.17,0)+IF(AND(V139&gt;=40,V139&lt;75,W139&gt;=120),0.12,0)+IF(AND(V139&gt;=75,V139&lt;175,W139&lt;35),0.23,0)+IF(AND(V139&gt;=75,V139&lt;=175,W139&gt;=35,W139&lt;65),0.2,0)+IF(AND(V139&gt;=75,V139&lt;=175,W139&gt;=65,W139&lt;110),0.17,0)+IF(AND(V139&gt;=75,V139&lt;=175,W139&gt;=110),0.12,0)+IF(AND(V139&gt;175,W139&lt;25),0.23,0)+IF(AND(V139&gt;175,W139&gt;=25,W139&lt;55),0.2,0)+IF(AND(V139&gt;175,W139&gt;=55,W139&lt;95),0.17,0)+IF(AND(V139&gt;175,W139&gt;=95),0.12,0),
IF(AF139="DoEVs1",IF(AND(V139&lt;20,W139&lt;55),0.3,0)+IF(AND(V139&lt;20,W139&gt;=55,W139&lt;105),0.23,0)+IF(AND(V139&lt;20,W139&gt;=105),0.17,0)+IF(AND(V139&gt;=20,V139&lt;40,W139&lt;45),0.3,0)+IF(AND(V139&gt;=20,V139&lt;40,W139&gt;=45,W139&lt;95),0.23,0)+IF(AND(V139&gt;=20,V139&lt;40,W139&gt;=95,W139&lt;=150),0.17,0)+IF(AND(V139&gt;=20,V139&lt;40,W139&gt;=150),0.12,0)+IF(AND(V139&gt;=40,V139&lt;75,W139&lt;35),0.3,0)+IF(AND(V139&gt;=40,V139&lt;75,W139&gt;=35,W139&lt;75),0.23,0)+IF(AND(V139&gt;=40,V139&lt;75,W139&gt;=75,W139&lt;120),0.17,0)+IF(AND(V139&gt;=40,V139&lt;75,W139&gt;=120),0.12,0)+IF(AND(V139&gt;=75,V139&lt;175,W139&lt;35),0.3,0)+IF(AND(V139&gt;=75,V139&lt;=175,W139&gt;=35,W139&lt;65),0.23,0)+IF(AND(V139&gt;=75,V139&lt;=175,W139&gt;=65,W139&lt;110),0.17,0)+IF(AND(V139&gt;=75,V139&lt;=175,W139&gt;=110),0.12,0)+IF(AND(V139&gt;175,W139&lt;25),0.3,0)+IF(AND(V139&gt;175,W139&gt;=25,W139&lt;55),0.23,0)+IF(AND(V139&gt;175,W139&gt;=55,W139&lt;95),0.17,0)+IF(AND(V139&gt;175,W139&gt;=95),0.12,0),
IF(AF139="DoEVsu",IF(AND(V139&lt;20,W139&lt;55),0.3,0)+IF(AND(V139&lt;20,W139&gt;=55,W139&lt;105),0.23,0)+IF(AND(V139&lt;20,W139&gt;=105),0.17,0)+IF(AND(V139&gt;=20,V139&lt;40,W139&lt;45),0.3,0)+IF(AND(V139&gt;=20,V139&lt;40,W139&gt;=45,W139&lt;95),0.23,0)+IF(AND(V139&gt;=20,V139&lt;40,W139&gt;=95,W139&lt;=250),0.17,0)+IF(AND(V139&gt;=20,V139&lt;40,W139&gt;=250),0.12,0)+IF(AND(V139&gt;=40,V139&lt;75,W139&lt;35),0.3,0)+IF(AND(V139&gt;=40,V139&lt;75,W139&gt;=35,W139&lt;75),0.23,0)+IF(AND(V139&gt;=40,V139&lt;75,W139&gt;=75,W139&lt;120),0.17,0)+IF(AND(V139&gt;=40,V139&lt;75,W139&gt;=120),0.12,0)+IF(AND(V139&gt;=75,V139&lt;175,W139&lt;35),0.3,0)+IF(AND(V139&gt;=75,V139&lt;=175,W139&gt;=35,W139&lt;65),0.23,0)+IF(AND(V139&gt;=75,V139&lt;=175,W139&gt;=65,W139&lt;110),0.17,0)+IF(AND(V139&gt;=75,V139&lt;=175,W139&gt;=110),0.12,0)+IF(AND(V139&gt;175,W139&lt;25),0.3,0)+IF(AND(V139&gt;175,W139&gt;=25,W139&lt;55),0.23,0)+IF(AND(V139&gt;175,W139&gt;=55,W139&lt;95),0.17,0)+IF(AND(V139&gt;175,W139&gt;=95),0.12,0),
IF(AF139="DoEVni",IF(AND(V139&lt;20,W139&lt;55),0.3,0)+IF(AND(V139&lt;20,W139&gt;=55,W139&lt;105),0.23,0)+IF(AND(V139&lt;20,W139&gt;=105),0.17,0)+IF(AND(V139&gt;=20,V139&lt;40,W139&lt;45),0.3,0)+IF(AND(V139&gt;=20,V139&lt;40,W139&gt;=45,W139&lt;95),0.23,0)+IF(AND(V139&gt;=20,V139&lt;40,W139&gt;=95,W139&lt;=200),0.17,0)+IF(AND(V139&gt;=20,V139&lt;40,W139&gt;=200),0.12,0)+IF(AND(V139&gt;=40,V139&lt;75,W139&lt;35),0.3,0)+IF(AND(V139&gt;=40,V139&lt;75,W139&gt;=35,W139&lt;75),0.23,0)+IF(AND(V139&gt;=40,V139&lt;75,W139&gt;=75,W139&lt;120),0.17,0)+IF(AND(V139&gt;=40,V139&lt;75,W139&gt;=120),0.12,0)+IF(AND(V139&gt;=75,V139&lt;175,W139&lt;35),0.3,0)+IF(AND(V139&gt;=75,V139&lt;=175,W139&gt;=35,W139&lt;65),0.23,0)+IF(AND(V139&gt;=75,V139&lt;=175,W139&gt;=65,W139&lt;110),0.17,0)+IF(AND(V139&gt;=75,V139&lt;=175,W139&gt;=110),0.12,0)+IF(AND(V139&gt;175,W139&lt;25),0.3,0)+IF(AND(V139&gt;175,W139&gt;=25,W139&lt;55),0.23,0)+IF(AND(V139&gt;175,W139&gt;=55,W139&lt;95),0.17,0)+IF(AND(V139&gt;175,W139&gt;=95),0.12,0),
IF(AF139="DoEVLo",IF(AND(V139&lt;20,W139&lt;55),0.25,0)+IF(AND(V139&lt;20,W139&gt;=55,W139&lt;105),0.2,0)+IF(AND(V139&lt;20,W139&gt;=105),0.15,0)+IF(AND(V139&gt;=20,V139&lt;40,W139&lt;45),0.25,0)+IF(AND(V139&gt;=20,V139&lt;40,W139&gt;=45,W139&lt;95),0.2,0)+IF(AND(V139&gt;=20,V139&lt;40,W139&gt;=95),0.15,0)+IF(AND(V139&gt;=40,V139&lt;75,W139&lt;35),0.25,0)+IF(AND(V139&gt;=40,V139&lt;75,W139&gt;=35,W139&lt;75),0.2,0)+IF(AND(V139&gt;=40,V139&lt;75,W139&gt;=75,W139&lt;120),0.15,0)+IF(AND(V139&gt;=40,V139&lt;75,W139&gt;=120),0.1,0)+IF(AND(V139&gt;=75,V139&lt;175,W139&lt;35),0.25,0)+IF(AND(V139&gt;=75,V139&lt;=175,W139&gt;=35,W139&lt;65),0.2,0)+IF(AND(V139&gt;=75,V139&lt;=175,W139&gt;=65,W139&lt;110),0.15,0)+IF(AND(V139&gt;=75,V139&lt;=175,W139&gt;=110),0.1,0)+IF(AND(V139&gt;175,W139&lt;25),0.25,0)+IF(AND(V139&gt;175,W139&gt;=25,W139&lt;55),0.2,0)+IF(AND(V139&gt;175,W139&gt;=55,W139&lt;95),0.15,0)+IF(AND(V139&gt;175,W139&gt;=95),0.1,0))))))))))))))))</f>
        <v>0.22</v>
      </c>
      <c r="Y139" s="30">
        <f>IF(AG139="None",0,IF(AG139="Fix5",0.05,IF(AG139="Fix3.75",0.0375,IF(AG139="Fix10",0.1,IF(AG139="Fix3",0.03,0)))))</f>
        <v>0</v>
      </c>
      <c r="Z139" s="35">
        <f>T139-AA139-AB139</f>
        <v>10076.82</v>
      </c>
      <c r="AA139" s="29">
        <f>IF(AD139="EUR",((T139-R139)*X139)*U139+(R139*X139),(T139*X139))</f>
        <v>2842.18</v>
      </c>
      <c r="AB139" s="36">
        <f>IF(AD139="EUR",((T139-R139)*Y139)*U139+(R139*Y139),(T139*Y139))</f>
        <v>0</v>
      </c>
      <c r="AC139" s="37" t="b">
        <v>1</v>
      </c>
      <c r="AD139" s="37" t="s">
        <v>38</v>
      </c>
      <c r="AE139" s="37" t="s">
        <v>38</v>
      </c>
      <c r="AF139" s="37" t="str">
        <f t="array" ref="AF139">INDEX('Deal Info'!D:D, MATCH(A139,'Deal Info'!A:A, 0))</f>
        <v>SF</v>
      </c>
      <c r="AG139" s="38" t="str">
        <f t="array" ref="AG139">INDEX('Deal Info'!G:G, MATCH(A139,'Deal Info'!A:A, 0))</f>
        <v>None</v>
      </c>
    </row>
    <row r="140" spans="1:33" ht="14.25" hidden="1" x14ac:dyDescent="0.2">
      <c r="A140" s="18" t="str">
        <f t="array" ref="A140">IF(G140='Room Info'!$B$1, INDEX('Room Info'!$A$2:$A2446, MATCH(B140,'Room Info'!$B$2:$B2446, 0)),IF(G140='Room Info'!$C$1, INDEX('Room Info'!$A$2:$A2446, MATCH(B140,'Room Info'!$C$2:$C2446, 0)),IF(G140='Room Info'!$D$1, INDEX('Room Info'!$A$2:$A2446, MATCH(B140,'Room Info'!$D$2:$D2446, 0)),IF(G140='Room Info'!$E$1, INDEX('Room Info'!$A$2:$A2446, MATCH(B140,'Room Info'!$E$2:$E2446, 0)),IF(G140='Room Info'!$F$1, INDEX('Room Info'!$A$2:$A2446, MATCH(B140,'Room Info'!$F$2:$F2446, 0)),IF(G140='Room Info'!$H$1, INDEX('Room Info'!$A$2:$A2446, MATCH(B140,'Room Info'!$H$2:$H2446, 0)),IF(G140='Room Info'!$G$1, INDEX('Room Info'!$A$2:$A2446, MATCH(B140,'Room Info'!$G$2:$G2446, 0)))))))))</f>
        <v>bbaltqq</v>
      </c>
      <c r="B140" s="54" t="s">
        <v>89</v>
      </c>
      <c r="C140" s="68">
        <v>44521</v>
      </c>
      <c r="D140" s="46">
        <v>44550</v>
      </c>
      <c r="E140" s="47">
        <v>44531</v>
      </c>
      <c r="F140" s="45" t="s">
        <v>41</v>
      </c>
      <c r="G140" s="54" t="s">
        <v>35</v>
      </c>
      <c r="H140" s="49" t="s">
        <v>70</v>
      </c>
      <c r="I140" s="49" t="s">
        <v>37</v>
      </c>
      <c r="J140" s="50">
        <v>100</v>
      </c>
      <c r="K140" s="51">
        <v>1844</v>
      </c>
      <c r="L140" s="52">
        <v>-14900</v>
      </c>
      <c r="M140" s="53">
        <v>6405</v>
      </c>
      <c r="N140" s="28">
        <f>K140*J140</f>
        <v>184400</v>
      </c>
      <c r="O140" s="54">
        <v>5532</v>
      </c>
      <c r="P140" s="29">
        <v>3</v>
      </c>
      <c r="Q140" s="55"/>
      <c r="R140" s="31">
        <f>M140+Q140</f>
        <v>6405</v>
      </c>
      <c r="S140" s="56"/>
      <c r="T140" s="32">
        <f>R140+S140+IF(F140="Without EV deal",L140,0)</f>
        <v>-8495</v>
      </c>
      <c r="U140" s="33">
        <v>1</v>
      </c>
      <c r="V140" s="69">
        <v>95.457682184569833</v>
      </c>
      <c r="W140" s="58">
        <v>22.68</v>
      </c>
      <c r="X140" s="30">
        <f>IF(AF140="DoEV",IF(AND(V140&lt;20,W140&lt;55),0.3,0)+IF(AND(V140&lt;20,W140&gt;=55,W140&lt;105),0.23,0)+IF(AND(V140&lt;20,W140&gt;=105),0.17,0)+IF(AND(V140&gt;=20,V140&lt;40,W140&lt;45),0.3,0)+IF(AND(V140&gt;=20,V140&lt;40,W140&gt;=45,W140&lt;95),0.23,0)+IF(AND(V140&gt;=20,V140&lt;40,W140&gt;=95),0.17,0)+IF(AND(V140&gt;=40,V140&lt;75,W140&lt;35),0.3,0)+IF(AND(V140&gt;=40,V140&lt;75,W140&gt;=35,W140&lt;75),0.23,0)+IF(AND(V140&gt;=40,V140&lt;75,W140&gt;=75,W140&lt;120),0.17,0)+IF(AND(V140&gt;=40,V140&lt;75,W140&gt;=120),0.12,0)+IF(AND(V140&gt;=75,V140&lt;175,W140&lt;35),0.3,0)+IF(AND(V140&gt;=75,V140&lt;=175,W140&gt;=35,W140&lt;65),0.23,0)+IF(AND(V140&gt;=75,V140&lt;=175,W140&gt;=65,W140&lt;110),0.17,0)+IF(AND(V140&gt;=75,V140&lt;=175,W140&gt;=110),0.12,0)+IF(AND(V140&gt;175,W140&lt;25),0.3,0)+IF(AND(V140&gt;175,W140&gt;=25,W140&lt;55),0.23,0)+IF(AND(V140&gt;175,W140&gt;=55,W140&lt;95),0.17,0)+IF(AND(V140&gt;175,W140&gt;=95),0.12,0),
IF(AF140="Fix15",0.15,
IF(AF140="Fix11.25",0.1125,
IF(AF140="Fix10",0.1,
IF(AF140="Fix9",0.09,
IF(AF140="DoEV2017",IF(AND(W140&lt;74),0.2,0)+IF(AND(W140&gt;=74),0.17,0),
IF(AF140="SF",IF(AND(V140&lt;20,W140&lt;89),0.3,0)+IF(AND(V140&lt;20,W140&gt;=89),0.25,0)+IF(AND(V140&gt;=20,V140&lt;40,W140&lt;74),0.3,0)+IF(AND(V140&gt;=20,V140&lt;40,W140&gt;=75),0.22,0)+IF(AND(V140&gt;=40,V140&lt;75,W140&lt;75),0.26,0)+IF(AND(V140&gt;=40,V140&lt;75,W140&gt;=75),0.22,0)+IF(V140&gt;=75,0.22,0),
IF(AF140="DoEVold",IF(AND(V140&lt;40,W140&lt;35),0.35,0)+IF(AND(V140&lt;40,W140&gt;=35,W140&lt;75),0.25,0)+IF(AND(V140&lt;40,W140&gt;=75),0.17,0)+IF(AND(V140&gt;=40,V140&lt;75,W140&lt;25),0.35,0)+IF(AND(V140&gt;=40,V140&lt;75,W140&gt;=25,W140&lt;65),0.25,0)+IF(AND(V140&gt;=40,V140&lt;75,W140&gt;=65,W140&lt;100),0.17,0)+IF(AND(V140&gt;=40,V140&lt;75,W140&gt;=100),0.1,0)+IF(AND(V140&gt;=75,W140&lt;25),0.35,0)+IF(AND(V140&gt;=75,W140&gt;=25,W140&lt;60),0.25,0)+IF(AND(V140&gt;=75,W140&gt;=60,W140&lt;95),0.17,0)+IF(AND(V140&gt;=75,W140&gt;=95),0.1,0),
IF(AF140="DoEVold15",IF(AND(V140&lt;=40,W140&lt;35),0.35,0)+IF(AND(V140&lt;=40,W140&gt;=35,W140&lt;75),0.25,0)+IF(AND(V140&lt;=40,W140&gt;=75,W140&lt;120),0.17,0)+IF(AND(V140&lt;=40,W140&gt;=120),0.15,0)+IF(AND(V140&gt;40,V140&lt;75,W140&lt;25),0.35,0)+IF(AND(V140&gt;=40,V140&lt;75,W140&gt;=25,W140&lt;65),0.25,0)+IF(AND(V140&gt;=40,V140&lt;75,W140&gt;=65,W140&lt;100),0.17,0)+IF(AND(V140&gt;=40,V140&lt;75,W140&gt;=100),0.1,0)+IF(AND(V140&gt;=75,W140&lt;25),0.35,0)+IF(AND(V140&gt;=75,W140&gt;=25,W140&lt;60),0.25,0)+IF(AND(V140&gt;=75,W140&gt;=60,W140&lt;95),0.17,0)+IF(AND(V140&gt;=75,W140&gt;=95),0.1,0),
IF(AF140="DoEVba",IF(AND(V140&lt;20,W140&lt;105),0.2,0)+IF(AND(V140&lt;20,W140&gt;=105),0.15,0)+IF(AND(V140&gt;=20,V140&lt;40,W140&lt;95),0.2,0)+IF(AND(V140&gt;=20,V140&lt;40,W140&gt;=95,W140&lt;150),0.15,0)+IF(AND(V140&gt;=20,V140&lt;40,W140&gt;=150),0.12,0)+IF(AND(V140&gt;=40,V140&lt;75,W140&lt;75),0.2,0)+IF(AND(V140&gt;=40,V140&lt;75,W140&gt;=75,W140&lt;120),0.15,0)+IF(AND(V140&gt;=40,V140&lt;75,W140&gt;=120),0.12,0)+IF(AND(V140&gt;=75,V140&lt;175,W140&lt;65),0.2,0)+IF(AND(V140&gt;=75,V140&lt;175,W140&gt;=65,W140&lt;110),0.15,0)+IF(AND(V140&gt;=75,V140&lt;175,W140&gt;=110),0.12,0)+IF(AND(V140&gt;=175,W140&lt;55),0.2,0)+IF(AND(V140&gt;=175,W140&gt;=55,W140&lt;95),0.15,0)+IF(AND(V140&gt;=175,W140&gt;=95),0.12,0),
IF(AF140="DoEVku",IF(AND(V140&lt;20,W140&lt;55),0.23,0)+IF(AND(V140&lt;20,W140&gt;=55,W140&lt;105),0.2,0)+IF(AND(V140&lt;20,W140&gt;=105),0.17,0)+IF(AND(V140&gt;=20,V140&lt;40,W140&lt;45),0.23,0)+IF(AND(V140&gt;=20,V140&lt;40,W140&gt;=45,W140&lt;95),0.2,0)+IF(AND(V140&gt;=20,V140&lt;40,W140&gt;=95,W140&lt;=150),0.17,0)+IF(AND(V140&gt;=20,V140&lt;40,W140&gt;=150),0.12,0)+IF(AND(V140&gt;=40,V140&lt;75,W140&lt;35),0.23,0)+IF(AND(V140&gt;=40,V140&lt;75,W140&gt;=35,W140&lt;75),0.2,0)+IF(AND(V140&gt;=40,V140&lt;75,W140&gt;=75,W140&lt;120),0.17,0)+IF(AND(V140&gt;=40,V140&lt;75,W140&gt;=120),0.12,0)+IF(AND(V140&gt;=75,V140&lt;175,W140&lt;35),0.23,0)+IF(AND(V140&gt;=75,V140&lt;=175,W140&gt;=35,W140&lt;65),0.2,0)+IF(AND(V140&gt;=75,V140&lt;=175,W140&gt;=65,W140&lt;110),0.17,0)+IF(AND(V140&gt;=75,V140&lt;=175,W140&gt;=110),0.12,0)+IF(AND(V140&gt;175,W140&lt;25),0.23,0)+IF(AND(V140&gt;175,W140&gt;=25,W140&lt;55),0.2,0)+IF(AND(V140&gt;175,W140&gt;=55,W140&lt;95),0.17,0)+IF(AND(V140&gt;175,W140&gt;=95),0.12,0),
IF(AF140="DoEVs1",IF(AND(V140&lt;20,W140&lt;55),0.3,0)+IF(AND(V140&lt;20,W140&gt;=55,W140&lt;105),0.23,0)+IF(AND(V140&lt;20,W140&gt;=105),0.17,0)+IF(AND(V140&gt;=20,V140&lt;40,W140&lt;45),0.3,0)+IF(AND(V140&gt;=20,V140&lt;40,W140&gt;=45,W140&lt;95),0.23,0)+IF(AND(V140&gt;=20,V140&lt;40,W140&gt;=95,W140&lt;=150),0.17,0)+IF(AND(V140&gt;=20,V140&lt;40,W140&gt;=150),0.12,0)+IF(AND(V140&gt;=40,V140&lt;75,W140&lt;35),0.3,0)+IF(AND(V140&gt;=40,V140&lt;75,W140&gt;=35,W140&lt;75),0.23,0)+IF(AND(V140&gt;=40,V140&lt;75,W140&gt;=75,W140&lt;120),0.17,0)+IF(AND(V140&gt;=40,V140&lt;75,W140&gt;=120),0.12,0)+IF(AND(V140&gt;=75,V140&lt;175,W140&lt;35),0.3,0)+IF(AND(V140&gt;=75,V140&lt;=175,W140&gt;=35,W140&lt;65),0.23,0)+IF(AND(V140&gt;=75,V140&lt;=175,W140&gt;=65,W140&lt;110),0.17,0)+IF(AND(V140&gt;=75,V140&lt;=175,W140&gt;=110),0.12,0)+IF(AND(V140&gt;175,W140&lt;25),0.3,0)+IF(AND(V140&gt;175,W140&gt;=25,W140&lt;55),0.23,0)+IF(AND(V140&gt;175,W140&gt;=55,W140&lt;95),0.17,0)+IF(AND(V140&gt;175,W140&gt;=95),0.12,0),
IF(AF140="DoEVsu",IF(AND(V140&lt;20,W140&lt;55),0.3,0)+IF(AND(V140&lt;20,W140&gt;=55,W140&lt;105),0.23,0)+IF(AND(V140&lt;20,W140&gt;=105),0.17,0)+IF(AND(V140&gt;=20,V140&lt;40,W140&lt;45),0.3,0)+IF(AND(V140&gt;=20,V140&lt;40,W140&gt;=45,W140&lt;95),0.23,0)+IF(AND(V140&gt;=20,V140&lt;40,W140&gt;=95,W140&lt;=250),0.17,0)+IF(AND(V140&gt;=20,V140&lt;40,W140&gt;=250),0.12,0)+IF(AND(V140&gt;=40,V140&lt;75,W140&lt;35),0.3,0)+IF(AND(V140&gt;=40,V140&lt;75,W140&gt;=35,W140&lt;75),0.23,0)+IF(AND(V140&gt;=40,V140&lt;75,W140&gt;=75,W140&lt;120),0.17,0)+IF(AND(V140&gt;=40,V140&lt;75,W140&gt;=120),0.12,0)+IF(AND(V140&gt;=75,V140&lt;175,W140&lt;35),0.3,0)+IF(AND(V140&gt;=75,V140&lt;=175,W140&gt;=35,W140&lt;65),0.23,0)+IF(AND(V140&gt;=75,V140&lt;=175,W140&gt;=65,W140&lt;110),0.17,0)+IF(AND(V140&gt;=75,V140&lt;=175,W140&gt;=110),0.12,0)+IF(AND(V140&gt;175,W140&lt;25),0.3,0)+IF(AND(V140&gt;175,W140&gt;=25,W140&lt;55),0.23,0)+IF(AND(V140&gt;175,W140&gt;=55,W140&lt;95),0.17,0)+IF(AND(V140&gt;175,W140&gt;=95),0.12,0),
IF(AF140="DoEVni",IF(AND(V140&lt;20,W140&lt;55),0.3,0)+IF(AND(V140&lt;20,W140&gt;=55,W140&lt;105),0.23,0)+IF(AND(V140&lt;20,W140&gt;=105),0.17,0)+IF(AND(V140&gt;=20,V140&lt;40,W140&lt;45),0.3,0)+IF(AND(V140&gt;=20,V140&lt;40,W140&gt;=45,W140&lt;95),0.23,0)+IF(AND(V140&gt;=20,V140&lt;40,W140&gt;=95,W140&lt;=200),0.17,0)+IF(AND(V140&gt;=20,V140&lt;40,W140&gt;=200),0.12,0)+IF(AND(V140&gt;=40,V140&lt;75,W140&lt;35),0.3,0)+IF(AND(V140&gt;=40,V140&lt;75,W140&gt;=35,W140&lt;75),0.23,0)+IF(AND(V140&gt;=40,V140&lt;75,W140&gt;=75,W140&lt;120),0.17,0)+IF(AND(V140&gt;=40,V140&lt;75,W140&gt;=120),0.12,0)+IF(AND(V140&gt;=75,V140&lt;175,W140&lt;35),0.3,0)+IF(AND(V140&gt;=75,V140&lt;=175,W140&gt;=35,W140&lt;65),0.23,0)+IF(AND(V140&gt;=75,V140&lt;=175,W140&gt;=65,W140&lt;110),0.17,0)+IF(AND(V140&gt;=75,V140&lt;=175,W140&gt;=110),0.12,0)+IF(AND(V140&gt;175,W140&lt;25),0.3,0)+IF(AND(V140&gt;175,W140&gt;=25,W140&lt;55),0.23,0)+IF(AND(V140&gt;175,W140&gt;=55,W140&lt;95),0.17,0)+IF(AND(V140&gt;175,W140&gt;=95),0.12,0),
IF(AF140="DoEVLo",IF(AND(V140&lt;20,W140&lt;55),0.25,0)+IF(AND(V140&lt;20,W140&gt;=55,W140&lt;105),0.2,0)+IF(AND(V140&lt;20,W140&gt;=105),0.15,0)+IF(AND(V140&gt;=20,V140&lt;40,W140&lt;45),0.25,0)+IF(AND(V140&gt;=20,V140&lt;40,W140&gt;=45,W140&lt;95),0.2,0)+IF(AND(V140&gt;=20,V140&lt;40,W140&gt;=95),0.15,0)+IF(AND(V140&gt;=40,V140&lt;75,W140&lt;35),0.25,0)+IF(AND(V140&gt;=40,V140&lt;75,W140&gt;=35,W140&lt;75),0.2,0)+IF(AND(V140&gt;=40,V140&lt;75,W140&gt;=75,W140&lt;120),0.15,0)+IF(AND(V140&gt;=40,V140&lt;75,W140&gt;=120),0.1,0)+IF(AND(V140&gt;=75,V140&lt;175,W140&lt;35),0.25,0)+IF(AND(V140&gt;=75,V140&lt;=175,W140&gt;=35,W140&lt;65),0.2,0)+IF(AND(V140&gt;=75,V140&lt;=175,W140&gt;=65,W140&lt;110),0.15,0)+IF(AND(V140&gt;=75,V140&lt;=175,W140&gt;=110),0.1,0)+IF(AND(V140&gt;175,W140&lt;25),0.25,0)+IF(AND(V140&gt;175,W140&gt;=25,W140&lt;55),0.2,0)+IF(AND(V140&gt;175,W140&gt;=55,W140&lt;95),0.15,0)+IF(AND(V140&gt;175,W140&gt;=95),0.1,0))))))))))))))))</f>
        <v>0.22</v>
      </c>
      <c r="Y140" s="30">
        <f>IF(AG140="None",0,IF(AG140="Fix5",0.05,IF(AG140="Fix3.75",0.0375,IF(AG140="Fix10",0.1,IF(AG140="Fix3",0.03,0)))))</f>
        <v>0</v>
      </c>
      <c r="Z140" s="35">
        <f>T140-AA140-AB140</f>
        <v>-6626.1</v>
      </c>
      <c r="AA140" s="29">
        <f>IF(AD140="EUR",((T140-R140)*X140)*U140+(R140*X140),(T140*X140))</f>
        <v>-1868.9</v>
      </c>
      <c r="AB140" s="36">
        <f>IF(AD140="EUR",((T140-R140)*Y140)*U140+(R140*Y140),(T140*Y140))</f>
        <v>0</v>
      </c>
      <c r="AC140" s="37" t="b">
        <v>1</v>
      </c>
      <c r="AD140" s="37" t="s">
        <v>38</v>
      </c>
      <c r="AE140" s="37" t="s">
        <v>38</v>
      </c>
      <c r="AF140" s="37" t="str">
        <f t="array" ref="AF140">INDEX('Deal Info'!D:D, MATCH(A140,'Deal Info'!A:A, 0))</f>
        <v>SF</v>
      </c>
      <c r="AG140" s="38" t="str">
        <f t="array" ref="AG140">INDEX('Deal Info'!G:G, MATCH(A140,'Deal Info'!A:A, 0))</f>
        <v>None</v>
      </c>
    </row>
    <row r="141" spans="1:33" ht="14.25" hidden="1" x14ac:dyDescent="0.2">
      <c r="A141" s="18" t="str">
        <f t="array" ref="A141">IF(G141='Room Info'!$B$1, INDEX('Room Info'!$A$2:$A2446, MATCH(B141,'Room Info'!$B$2:$B2446, 0)),IF(G141='Room Info'!$C$1, INDEX('Room Info'!$A$2:$A2446, MATCH(B141,'Room Info'!$C$2:$C2446, 0)),IF(G141='Room Info'!$D$1, INDEX('Room Info'!$A$2:$A2446, MATCH(B141,'Room Info'!$D$2:$D2446, 0)),IF(G141='Room Info'!$E$1, INDEX('Room Info'!$A$2:$A2446, MATCH(B141,'Room Info'!$E$2:$E2446, 0)),IF(G141='Room Info'!$F$1, INDEX('Room Info'!$A$2:$A2446, MATCH(B141,'Room Info'!$F$2:$F2446, 0)),IF(G141='Room Info'!$H$1, INDEX('Room Info'!$A$2:$A2446, MATCH(B141,'Room Info'!$H$2:$H2446, 0)),IF(G141='Room Info'!$G$1, INDEX('Room Info'!$A$2:$A2446, MATCH(B141,'Room Info'!$G$2:$G2446, 0)))))))))</f>
        <v>bbaltqq</v>
      </c>
      <c r="B141" s="54" t="s">
        <v>89</v>
      </c>
      <c r="C141" s="68">
        <v>44521</v>
      </c>
      <c r="D141" s="46">
        <v>44550</v>
      </c>
      <c r="E141" s="47">
        <v>44531</v>
      </c>
      <c r="F141" s="45" t="s">
        <v>41</v>
      </c>
      <c r="G141" s="54" t="s">
        <v>35</v>
      </c>
      <c r="H141" s="49" t="s">
        <v>46</v>
      </c>
      <c r="I141" s="49" t="s">
        <v>37</v>
      </c>
      <c r="J141" s="50">
        <v>25</v>
      </c>
      <c r="K141" s="51">
        <v>261</v>
      </c>
      <c r="L141" s="52">
        <v>-275</v>
      </c>
      <c r="M141" s="53">
        <v>272</v>
      </c>
      <c r="N141" s="28">
        <f>K141*J141</f>
        <v>6525</v>
      </c>
      <c r="O141" s="65"/>
      <c r="P141" s="29">
        <v>0</v>
      </c>
      <c r="Q141" s="55"/>
      <c r="R141" s="31">
        <f>M141+Q141</f>
        <v>272</v>
      </c>
      <c r="S141" s="66"/>
      <c r="T141" s="32">
        <f>R141+S141+IF(F141="Without EV deal",L141,0)</f>
        <v>-3</v>
      </c>
      <c r="U141" s="33">
        <v>1</v>
      </c>
      <c r="V141" s="69">
        <v>95.457682184569833</v>
      </c>
      <c r="W141" s="58">
        <v>22.68</v>
      </c>
      <c r="X141" s="30">
        <f>IF(AF141="DoEV",IF(AND(V141&lt;20,W141&lt;55),0.3,0)+IF(AND(V141&lt;20,W141&gt;=55,W141&lt;105),0.23,0)+IF(AND(V141&lt;20,W141&gt;=105),0.17,0)+IF(AND(V141&gt;=20,V141&lt;40,W141&lt;45),0.3,0)+IF(AND(V141&gt;=20,V141&lt;40,W141&gt;=45,W141&lt;95),0.23,0)+IF(AND(V141&gt;=20,V141&lt;40,W141&gt;=95),0.17,0)+IF(AND(V141&gt;=40,V141&lt;75,W141&lt;35),0.3,0)+IF(AND(V141&gt;=40,V141&lt;75,W141&gt;=35,W141&lt;75),0.23,0)+IF(AND(V141&gt;=40,V141&lt;75,W141&gt;=75,W141&lt;120),0.17,0)+IF(AND(V141&gt;=40,V141&lt;75,W141&gt;=120),0.12,0)+IF(AND(V141&gt;=75,V141&lt;175,W141&lt;35),0.3,0)+IF(AND(V141&gt;=75,V141&lt;=175,W141&gt;=35,W141&lt;65),0.23,0)+IF(AND(V141&gt;=75,V141&lt;=175,W141&gt;=65,W141&lt;110),0.17,0)+IF(AND(V141&gt;=75,V141&lt;=175,W141&gt;=110),0.12,0)+IF(AND(V141&gt;175,W141&lt;25),0.3,0)+IF(AND(V141&gt;175,W141&gt;=25,W141&lt;55),0.23,0)+IF(AND(V141&gt;175,W141&gt;=55,W141&lt;95),0.17,0)+IF(AND(V141&gt;175,W141&gt;=95),0.12,0),
IF(AF141="Fix15",0.15,
IF(AF141="Fix11.25",0.1125,
IF(AF141="Fix10",0.1,
IF(AF141="Fix9",0.09,
IF(AF141="DoEV2017",IF(AND(W141&lt;74),0.2,0)+IF(AND(W141&gt;=74),0.17,0),
IF(AF141="SF",IF(AND(V141&lt;20,W141&lt;89),0.3,0)+IF(AND(V141&lt;20,W141&gt;=89),0.25,0)+IF(AND(V141&gt;=20,V141&lt;40,W141&lt;74),0.3,0)+IF(AND(V141&gt;=20,V141&lt;40,W141&gt;=75),0.22,0)+IF(AND(V141&gt;=40,V141&lt;75,W141&lt;75),0.26,0)+IF(AND(V141&gt;=40,V141&lt;75,W141&gt;=75),0.22,0)+IF(V141&gt;=75,0.22,0),
IF(AF141="DoEVold",IF(AND(V141&lt;40,W141&lt;35),0.35,0)+IF(AND(V141&lt;40,W141&gt;=35,W141&lt;75),0.25,0)+IF(AND(V141&lt;40,W141&gt;=75),0.17,0)+IF(AND(V141&gt;=40,V141&lt;75,W141&lt;25),0.35,0)+IF(AND(V141&gt;=40,V141&lt;75,W141&gt;=25,W141&lt;65),0.25,0)+IF(AND(V141&gt;=40,V141&lt;75,W141&gt;=65,W141&lt;100),0.17,0)+IF(AND(V141&gt;=40,V141&lt;75,W141&gt;=100),0.1,0)+IF(AND(V141&gt;=75,W141&lt;25),0.35,0)+IF(AND(V141&gt;=75,W141&gt;=25,W141&lt;60),0.25,0)+IF(AND(V141&gt;=75,W141&gt;=60,W141&lt;95),0.17,0)+IF(AND(V141&gt;=75,W141&gt;=95),0.1,0),
IF(AF141="DoEVold15",IF(AND(V141&lt;=40,W141&lt;35),0.35,0)+IF(AND(V141&lt;=40,W141&gt;=35,W141&lt;75),0.25,0)+IF(AND(V141&lt;=40,W141&gt;=75,W141&lt;120),0.17,0)+IF(AND(V141&lt;=40,W141&gt;=120),0.15,0)+IF(AND(V141&gt;40,V141&lt;75,W141&lt;25),0.35,0)+IF(AND(V141&gt;=40,V141&lt;75,W141&gt;=25,W141&lt;65),0.25,0)+IF(AND(V141&gt;=40,V141&lt;75,W141&gt;=65,W141&lt;100),0.17,0)+IF(AND(V141&gt;=40,V141&lt;75,W141&gt;=100),0.1,0)+IF(AND(V141&gt;=75,W141&lt;25),0.35,0)+IF(AND(V141&gt;=75,W141&gt;=25,W141&lt;60),0.25,0)+IF(AND(V141&gt;=75,W141&gt;=60,W141&lt;95),0.17,0)+IF(AND(V141&gt;=75,W141&gt;=95),0.1,0),
IF(AF141="DoEVba",IF(AND(V141&lt;20,W141&lt;105),0.2,0)+IF(AND(V141&lt;20,W141&gt;=105),0.15,0)+IF(AND(V141&gt;=20,V141&lt;40,W141&lt;95),0.2,0)+IF(AND(V141&gt;=20,V141&lt;40,W141&gt;=95,W141&lt;150),0.15,0)+IF(AND(V141&gt;=20,V141&lt;40,W141&gt;=150),0.12,0)+IF(AND(V141&gt;=40,V141&lt;75,W141&lt;75),0.2,0)+IF(AND(V141&gt;=40,V141&lt;75,W141&gt;=75,W141&lt;120),0.15,0)+IF(AND(V141&gt;=40,V141&lt;75,W141&gt;=120),0.12,0)+IF(AND(V141&gt;=75,V141&lt;175,W141&lt;65),0.2,0)+IF(AND(V141&gt;=75,V141&lt;175,W141&gt;=65,W141&lt;110),0.15,0)+IF(AND(V141&gt;=75,V141&lt;175,W141&gt;=110),0.12,0)+IF(AND(V141&gt;=175,W141&lt;55),0.2,0)+IF(AND(V141&gt;=175,W141&gt;=55,W141&lt;95),0.15,0)+IF(AND(V141&gt;=175,W141&gt;=95),0.12,0),
IF(AF141="DoEVku",IF(AND(V141&lt;20,W141&lt;55),0.23,0)+IF(AND(V141&lt;20,W141&gt;=55,W141&lt;105),0.2,0)+IF(AND(V141&lt;20,W141&gt;=105),0.17,0)+IF(AND(V141&gt;=20,V141&lt;40,W141&lt;45),0.23,0)+IF(AND(V141&gt;=20,V141&lt;40,W141&gt;=45,W141&lt;95),0.2,0)+IF(AND(V141&gt;=20,V141&lt;40,W141&gt;=95,W141&lt;=150),0.17,0)+IF(AND(V141&gt;=20,V141&lt;40,W141&gt;=150),0.12,0)+IF(AND(V141&gt;=40,V141&lt;75,W141&lt;35),0.23,0)+IF(AND(V141&gt;=40,V141&lt;75,W141&gt;=35,W141&lt;75),0.2,0)+IF(AND(V141&gt;=40,V141&lt;75,W141&gt;=75,W141&lt;120),0.17,0)+IF(AND(V141&gt;=40,V141&lt;75,W141&gt;=120),0.12,0)+IF(AND(V141&gt;=75,V141&lt;175,W141&lt;35),0.23,0)+IF(AND(V141&gt;=75,V141&lt;=175,W141&gt;=35,W141&lt;65),0.2,0)+IF(AND(V141&gt;=75,V141&lt;=175,W141&gt;=65,W141&lt;110),0.17,0)+IF(AND(V141&gt;=75,V141&lt;=175,W141&gt;=110),0.12,0)+IF(AND(V141&gt;175,W141&lt;25),0.23,0)+IF(AND(V141&gt;175,W141&gt;=25,W141&lt;55),0.2,0)+IF(AND(V141&gt;175,W141&gt;=55,W141&lt;95),0.17,0)+IF(AND(V141&gt;175,W141&gt;=95),0.12,0),
IF(AF141="DoEVs1",IF(AND(V141&lt;20,W141&lt;55),0.3,0)+IF(AND(V141&lt;20,W141&gt;=55,W141&lt;105),0.23,0)+IF(AND(V141&lt;20,W141&gt;=105),0.17,0)+IF(AND(V141&gt;=20,V141&lt;40,W141&lt;45),0.3,0)+IF(AND(V141&gt;=20,V141&lt;40,W141&gt;=45,W141&lt;95),0.23,0)+IF(AND(V141&gt;=20,V141&lt;40,W141&gt;=95,W141&lt;=150),0.17,0)+IF(AND(V141&gt;=20,V141&lt;40,W141&gt;=150),0.12,0)+IF(AND(V141&gt;=40,V141&lt;75,W141&lt;35),0.3,0)+IF(AND(V141&gt;=40,V141&lt;75,W141&gt;=35,W141&lt;75),0.23,0)+IF(AND(V141&gt;=40,V141&lt;75,W141&gt;=75,W141&lt;120),0.17,0)+IF(AND(V141&gt;=40,V141&lt;75,W141&gt;=120),0.12,0)+IF(AND(V141&gt;=75,V141&lt;175,W141&lt;35),0.3,0)+IF(AND(V141&gt;=75,V141&lt;=175,W141&gt;=35,W141&lt;65),0.23,0)+IF(AND(V141&gt;=75,V141&lt;=175,W141&gt;=65,W141&lt;110),0.17,0)+IF(AND(V141&gt;=75,V141&lt;=175,W141&gt;=110),0.12,0)+IF(AND(V141&gt;175,W141&lt;25),0.3,0)+IF(AND(V141&gt;175,W141&gt;=25,W141&lt;55),0.23,0)+IF(AND(V141&gt;175,W141&gt;=55,W141&lt;95),0.17,0)+IF(AND(V141&gt;175,W141&gt;=95),0.12,0),
IF(AF141="DoEVsu",IF(AND(V141&lt;20,W141&lt;55),0.3,0)+IF(AND(V141&lt;20,W141&gt;=55,W141&lt;105),0.23,0)+IF(AND(V141&lt;20,W141&gt;=105),0.17,0)+IF(AND(V141&gt;=20,V141&lt;40,W141&lt;45),0.3,0)+IF(AND(V141&gt;=20,V141&lt;40,W141&gt;=45,W141&lt;95),0.23,0)+IF(AND(V141&gt;=20,V141&lt;40,W141&gt;=95,W141&lt;=250),0.17,0)+IF(AND(V141&gt;=20,V141&lt;40,W141&gt;=250),0.12,0)+IF(AND(V141&gt;=40,V141&lt;75,W141&lt;35),0.3,0)+IF(AND(V141&gt;=40,V141&lt;75,W141&gt;=35,W141&lt;75),0.23,0)+IF(AND(V141&gt;=40,V141&lt;75,W141&gt;=75,W141&lt;120),0.17,0)+IF(AND(V141&gt;=40,V141&lt;75,W141&gt;=120),0.12,0)+IF(AND(V141&gt;=75,V141&lt;175,W141&lt;35),0.3,0)+IF(AND(V141&gt;=75,V141&lt;=175,W141&gt;=35,W141&lt;65),0.23,0)+IF(AND(V141&gt;=75,V141&lt;=175,W141&gt;=65,W141&lt;110),0.17,0)+IF(AND(V141&gt;=75,V141&lt;=175,W141&gt;=110),0.12,0)+IF(AND(V141&gt;175,W141&lt;25),0.3,0)+IF(AND(V141&gt;175,W141&gt;=25,W141&lt;55),0.23,0)+IF(AND(V141&gt;175,W141&gt;=55,W141&lt;95),0.17,0)+IF(AND(V141&gt;175,W141&gt;=95),0.12,0),
IF(AF141="DoEVni",IF(AND(V141&lt;20,W141&lt;55),0.3,0)+IF(AND(V141&lt;20,W141&gt;=55,W141&lt;105),0.23,0)+IF(AND(V141&lt;20,W141&gt;=105),0.17,0)+IF(AND(V141&gt;=20,V141&lt;40,W141&lt;45),0.3,0)+IF(AND(V141&gt;=20,V141&lt;40,W141&gt;=45,W141&lt;95),0.23,0)+IF(AND(V141&gt;=20,V141&lt;40,W141&gt;=95,W141&lt;=200),0.17,0)+IF(AND(V141&gt;=20,V141&lt;40,W141&gt;=200),0.12,0)+IF(AND(V141&gt;=40,V141&lt;75,W141&lt;35),0.3,0)+IF(AND(V141&gt;=40,V141&lt;75,W141&gt;=35,W141&lt;75),0.23,0)+IF(AND(V141&gt;=40,V141&lt;75,W141&gt;=75,W141&lt;120),0.17,0)+IF(AND(V141&gt;=40,V141&lt;75,W141&gt;=120),0.12,0)+IF(AND(V141&gt;=75,V141&lt;175,W141&lt;35),0.3,0)+IF(AND(V141&gt;=75,V141&lt;=175,W141&gt;=35,W141&lt;65),0.23,0)+IF(AND(V141&gt;=75,V141&lt;=175,W141&gt;=65,W141&lt;110),0.17,0)+IF(AND(V141&gt;=75,V141&lt;=175,W141&gt;=110),0.12,0)+IF(AND(V141&gt;175,W141&lt;25),0.3,0)+IF(AND(V141&gt;175,W141&gt;=25,W141&lt;55),0.23,0)+IF(AND(V141&gt;175,W141&gt;=55,W141&lt;95),0.17,0)+IF(AND(V141&gt;175,W141&gt;=95),0.12,0),
IF(AF141="DoEVLo",IF(AND(V141&lt;20,W141&lt;55),0.25,0)+IF(AND(V141&lt;20,W141&gt;=55,W141&lt;105),0.2,0)+IF(AND(V141&lt;20,W141&gt;=105),0.15,0)+IF(AND(V141&gt;=20,V141&lt;40,W141&lt;45),0.25,0)+IF(AND(V141&gt;=20,V141&lt;40,W141&gt;=45,W141&lt;95),0.2,0)+IF(AND(V141&gt;=20,V141&lt;40,W141&gt;=95),0.15,0)+IF(AND(V141&gt;=40,V141&lt;75,W141&lt;35),0.25,0)+IF(AND(V141&gt;=40,V141&lt;75,W141&gt;=35,W141&lt;75),0.2,0)+IF(AND(V141&gt;=40,V141&lt;75,W141&gt;=75,W141&lt;120),0.15,0)+IF(AND(V141&gt;=40,V141&lt;75,W141&gt;=120),0.1,0)+IF(AND(V141&gt;=75,V141&lt;175,W141&lt;35),0.25,0)+IF(AND(V141&gt;=75,V141&lt;=175,W141&gt;=35,W141&lt;65),0.2,0)+IF(AND(V141&gt;=75,V141&lt;=175,W141&gt;=65,W141&lt;110),0.15,0)+IF(AND(V141&gt;=75,V141&lt;=175,W141&gt;=110),0.1,0)+IF(AND(V141&gt;175,W141&lt;25),0.25,0)+IF(AND(V141&gt;175,W141&gt;=25,W141&lt;55),0.2,0)+IF(AND(V141&gt;175,W141&gt;=55,W141&lt;95),0.15,0)+IF(AND(V141&gt;175,W141&gt;=95),0.1,0))))))))))))))))</f>
        <v>0.22</v>
      </c>
      <c r="Y141" s="30">
        <f>IF(AG141="None",0,IF(AG141="Fix5",0.05,IF(AG141="Fix3.75",0.0375,IF(AG141="Fix10",0.1,IF(AG141="Fix3",0.03,0)))))</f>
        <v>0</v>
      </c>
      <c r="Z141" s="35">
        <f>T141-AA141-AB141</f>
        <v>-2.34</v>
      </c>
      <c r="AA141" s="29">
        <f>IF(AD141="EUR",((T141-R141)*X141)*U141+(R141*X141),(T141*X141))</f>
        <v>-0.66</v>
      </c>
      <c r="AB141" s="36">
        <f>IF(AD141="EUR",((T141-R141)*Y141)*U141+(R141*Y141),(T141*Y141))</f>
        <v>0</v>
      </c>
      <c r="AC141" s="37" t="b">
        <v>1</v>
      </c>
      <c r="AD141" s="37" t="s">
        <v>38</v>
      </c>
      <c r="AE141" s="37" t="s">
        <v>38</v>
      </c>
      <c r="AF141" s="37" t="str">
        <f t="array" ref="AF141">INDEX('Deal Info'!D:D, MATCH(A141,'Deal Info'!A:A, 0))</f>
        <v>SF</v>
      </c>
      <c r="AG141" s="38" t="str">
        <f t="array" ref="AG141">INDEX('Deal Info'!G:G, MATCH(A141,'Deal Info'!A:A, 0))</f>
        <v>None</v>
      </c>
    </row>
    <row r="142" spans="1:33" ht="14.25" hidden="1" x14ac:dyDescent="0.2">
      <c r="A142" s="18" t="str">
        <f t="array" ref="A142">IF(G142='Room Info'!$B$1, INDEX('Room Info'!$A$2:$A2446, MATCH(B142,'Room Info'!$B$2:$B2446, 0)),IF(G142='Room Info'!$C$1, INDEX('Room Info'!$A$2:$A2446, MATCH(B142,'Room Info'!$C$2:$C2446, 0)),IF(G142='Room Info'!$D$1, INDEX('Room Info'!$A$2:$A2446, MATCH(B142,'Room Info'!$D$2:$D2446, 0)),IF(G142='Room Info'!$E$1, INDEX('Room Info'!$A$2:$A2446, MATCH(B142,'Room Info'!$E$2:$E2446, 0)),IF(G142='Room Info'!$F$1, INDEX('Room Info'!$A$2:$A2446, MATCH(B142,'Room Info'!$F$2:$F2446, 0)),IF(G142='Room Info'!$H$1, INDEX('Room Info'!$A$2:$A2446, MATCH(B142,'Room Info'!$H$2:$H2446, 0)),IF(G142='Room Info'!$G$1, INDEX('Room Info'!$A$2:$A2446, MATCH(B142,'Room Info'!$G$2:$G2446, 0)))))))))</f>
        <v>bbaltqq</v>
      </c>
      <c r="B142" s="54" t="s">
        <v>89</v>
      </c>
      <c r="C142" s="68">
        <v>44521</v>
      </c>
      <c r="D142" s="46">
        <v>44550</v>
      </c>
      <c r="E142" s="47">
        <v>44531</v>
      </c>
      <c r="F142" s="45" t="s">
        <v>41</v>
      </c>
      <c r="G142" s="54" t="s">
        <v>35</v>
      </c>
      <c r="H142" s="49" t="s">
        <v>72</v>
      </c>
      <c r="I142" s="49" t="s">
        <v>37</v>
      </c>
      <c r="J142" s="50">
        <v>50</v>
      </c>
      <c r="K142" s="51">
        <v>69</v>
      </c>
      <c r="L142" s="52">
        <v>-50</v>
      </c>
      <c r="M142" s="53">
        <v>143</v>
      </c>
      <c r="N142" s="28">
        <f>K142*J142</f>
        <v>3450</v>
      </c>
      <c r="O142" s="65"/>
      <c r="P142" s="29">
        <v>0</v>
      </c>
      <c r="Q142" s="55"/>
      <c r="R142" s="31">
        <f>M142+Q142</f>
        <v>143</v>
      </c>
      <c r="S142" s="66"/>
      <c r="T142" s="32">
        <f>R142+S142+IF(F142="Without EV deal",L142,0)</f>
        <v>93</v>
      </c>
      <c r="U142" s="33">
        <v>1</v>
      </c>
      <c r="V142" s="69">
        <v>95.457682184569833</v>
      </c>
      <c r="W142" s="58">
        <v>22.68</v>
      </c>
      <c r="X142" s="30">
        <f>IF(AF142="DoEV",IF(AND(V142&lt;20,W142&lt;55),0.3,0)+IF(AND(V142&lt;20,W142&gt;=55,W142&lt;105),0.23,0)+IF(AND(V142&lt;20,W142&gt;=105),0.17,0)+IF(AND(V142&gt;=20,V142&lt;40,W142&lt;45),0.3,0)+IF(AND(V142&gt;=20,V142&lt;40,W142&gt;=45,W142&lt;95),0.23,0)+IF(AND(V142&gt;=20,V142&lt;40,W142&gt;=95),0.17,0)+IF(AND(V142&gt;=40,V142&lt;75,W142&lt;35),0.3,0)+IF(AND(V142&gt;=40,V142&lt;75,W142&gt;=35,W142&lt;75),0.23,0)+IF(AND(V142&gt;=40,V142&lt;75,W142&gt;=75,W142&lt;120),0.17,0)+IF(AND(V142&gt;=40,V142&lt;75,W142&gt;=120),0.12,0)+IF(AND(V142&gt;=75,V142&lt;175,W142&lt;35),0.3,0)+IF(AND(V142&gt;=75,V142&lt;=175,W142&gt;=35,W142&lt;65),0.23,0)+IF(AND(V142&gt;=75,V142&lt;=175,W142&gt;=65,W142&lt;110),0.17,0)+IF(AND(V142&gt;=75,V142&lt;=175,W142&gt;=110),0.12,0)+IF(AND(V142&gt;175,W142&lt;25),0.3,0)+IF(AND(V142&gt;175,W142&gt;=25,W142&lt;55),0.23,0)+IF(AND(V142&gt;175,W142&gt;=55,W142&lt;95),0.17,0)+IF(AND(V142&gt;175,W142&gt;=95),0.12,0),
IF(AF142="Fix15",0.15,
IF(AF142="Fix11.25",0.1125,
IF(AF142="Fix10",0.1,
IF(AF142="Fix9",0.09,
IF(AF142="DoEV2017",IF(AND(W142&lt;74),0.2,0)+IF(AND(W142&gt;=74),0.17,0),
IF(AF142="SF",IF(AND(V142&lt;20,W142&lt;89),0.3,0)+IF(AND(V142&lt;20,W142&gt;=89),0.25,0)+IF(AND(V142&gt;=20,V142&lt;40,W142&lt;74),0.3,0)+IF(AND(V142&gt;=20,V142&lt;40,W142&gt;=75),0.22,0)+IF(AND(V142&gt;=40,V142&lt;75,W142&lt;75),0.26,0)+IF(AND(V142&gt;=40,V142&lt;75,W142&gt;=75),0.22,0)+IF(V142&gt;=75,0.22,0),
IF(AF142="DoEVold",IF(AND(V142&lt;40,W142&lt;35),0.35,0)+IF(AND(V142&lt;40,W142&gt;=35,W142&lt;75),0.25,0)+IF(AND(V142&lt;40,W142&gt;=75),0.17,0)+IF(AND(V142&gt;=40,V142&lt;75,W142&lt;25),0.35,0)+IF(AND(V142&gt;=40,V142&lt;75,W142&gt;=25,W142&lt;65),0.25,0)+IF(AND(V142&gt;=40,V142&lt;75,W142&gt;=65,W142&lt;100),0.17,0)+IF(AND(V142&gt;=40,V142&lt;75,W142&gt;=100),0.1,0)+IF(AND(V142&gt;=75,W142&lt;25),0.35,0)+IF(AND(V142&gt;=75,W142&gt;=25,W142&lt;60),0.25,0)+IF(AND(V142&gt;=75,W142&gt;=60,W142&lt;95),0.17,0)+IF(AND(V142&gt;=75,W142&gt;=95),0.1,0),
IF(AF142="DoEVold15",IF(AND(V142&lt;=40,W142&lt;35),0.35,0)+IF(AND(V142&lt;=40,W142&gt;=35,W142&lt;75),0.25,0)+IF(AND(V142&lt;=40,W142&gt;=75,W142&lt;120),0.17,0)+IF(AND(V142&lt;=40,W142&gt;=120),0.15,0)+IF(AND(V142&gt;40,V142&lt;75,W142&lt;25),0.35,0)+IF(AND(V142&gt;=40,V142&lt;75,W142&gt;=25,W142&lt;65),0.25,0)+IF(AND(V142&gt;=40,V142&lt;75,W142&gt;=65,W142&lt;100),0.17,0)+IF(AND(V142&gt;=40,V142&lt;75,W142&gt;=100),0.1,0)+IF(AND(V142&gt;=75,W142&lt;25),0.35,0)+IF(AND(V142&gt;=75,W142&gt;=25,W142&lt;60),0.25,0)+IF(AND(V142&gt;=75,W142&gt;=60,W142&lt;95),0.17,0)+IF(AND(V142&gt;=75,W142&gt;=95),0.1,0),
IF(AF142="DoEVba",IF(AND(V142&lt;20,W142&lt;105),0.2,0)+IF(AND(V142&lt;20,W142&gt;=105),0.15,0)+IF(AND(V142&gt;=20,V142&lt;40,W142&lt;95),0.2,0)+IF(AND(V142&gt;=20,V142&lt;40,W142&gt;=95,W142&lt;150),0.15,0)+IF(AND(V142&gt;=20,V142&lt;40,W142&gt;=150),0.12,0)+IF(AND(V142&gt;=40,V142&lt;75,W142&lt;75),0.2,0)+IF(AND(V142&gt;=40,V142&lt;75,W142&gt;=75,W142&lt;120),0.15,0)+IF(AND(V142&gt;=40,V142&lt;75,W142&gt;=120),0.12,0)+IF(AND(V142&gt;=75,V142&lt;175,W142&lt;65),0.2,0)+IF(AND(V142&gt;=75,V142&lt;175,W142&gt;=65,W142&lt;110),0.15,0)+IF(AND(V142&gt;=75,V142&lt;175,W142&gt;=110),0.12,0)+IF(AND(V142&gt;=175,W142&lt;55),0.2,0)+IF(AND(V142&gt;=175,W142&gt;=55,W142&lt;95),0.15,0)+IF(AND(V142&gt;=175,W142&gt;=95),0.12,0),
IF(AF142="DoEVku",IF(AND(V142&lt;20,W142&lt;55),0.23,0)+IF(AND(V142&lt;20,W142&gt;=55,W142&lt;105),0.2,0)+IF(AND(V142&lt;20,W142&gt;=105),0.17,0)+IF(AND(V142&gt;=20,V142&lt;40,W142&lt;45),0.23,0)+IF(AND(V142&gt;=20,V142&lt;40,W142&gt;=45,W142&lt;95),0.2,0)+IF(AND(V142&gt;=20,V142&lt;40,W142&gt;=95,W142&lt;=150),0.17,0)+IF(AND(V142&gt;=20,V142&lt;40,W142&gt;=150),0.12,0)+IF(AND(V142&gt;=40,V142&lt;75,W142&lt;35),0.23,0)+IF(AND(V142&gt;=40,V142&lt;75,W142&gt;=35,W142&lt;75),0.2,0)+IF(AND(V142&gt;=40,V142&lt;75,W142&gt;=75,W142&lt;120),0.17,0)+IF(AND(V142&gt;=40,V142&lt;75,W142&gt;=120),0.12,0)+IF(AND(V142&gt;=75,V142&lt;175,W142&lt;35),0.23,0)+IF(AND(V142&gt;=75,V142&lt;=175,W142&gt;=35,W142&lt;65),0.2,0)+IF(AND(V142&gt;=75,V142&lt;=175,W142&gt;=65,W142&lt;110),0.17,0)+IF(AND(V142&gt;=75,V142&lt;=175,W142&gt;=110),0.12,0)+IF(AND(V142&gt;175,W142&lt;25),0.23,0)+IF(AND(V142&gt;175,W142&gt;=25,W142&lt;55),0.2,0)+IF(AND(V142&gt;175,W142&gt;=55,W142&lt;95),0.17,0)+IF(AND(V142&gt;175,W142&gt;=95),0.12,0),
IF(AF142="DoEVs1",IF(AND(V142&lt;20,W142&lt;55),0.3,0)+IF(AND(V142&lt;20,W142&gt;=55,W142&lt;105),0.23,0)+IF(AND(V142&lt;20,W142&gt;=105),0.17,0)+IF(AND(V142&gt;=20,V142&lt;40,W142&lt;45),0.3,0)+IF(AND(V142&gt;=20,V142&lt;40,W142&gt;=45,W142&lt;95),0.23,0)+IF(AND(V142&gt;=20,V142&lt;40,W142&gt;=95,W142&lt;=150),0.17,0)+IF(AND(V142&gt;=20,V142&lt;40,W142&gt;=150),0.12,0)+IF(AND(V142&gt;=40,V142&lt;75,W142&lt;35),0.3,0)+IF(AND(V142&gt;=40,V142&lt;75,W142&gt;=35,W142&lt;75),0.23,0)+IF(AND(V142&gt;=40,V142&lt;75,W142&gt;=75,W142&lt;120),0.17,0)+IF(AND(V142&gt;=40,V142&lt;75,W142&gt;=120),0.12,0)+IF(AND(V142&gt;=75,V142&lt;175,W142&lt;35),0.3,0)+IF(AND(V142&gt;=75,V142&lt;=175,W142&gt;=35,W142&lt;65),0.23,0)+IF(AND(V142&gt;=75,V142&lt;=175,W142&gt;=65,W142&lt;110),0.17,0)+IF(AND(V142&gt;=75,V142&lt;=175,W142&gt;=110),0.12,0)+IF(AND(V142&gt;175,W142&lt;25),0.3,0)+IF(AND(V142&gt;175,W142&gt;=25,W142&lt;55),0.23,0)+IF(AND(V142&gt;175,W142&gt;=55,W142&lt;95),0.17,0)+IF(AND(V142&gt;175,W142&gt;=95),0.12,0),
IF(AF142="DoEVsu",IF(AND(V142&lt;20,W142&lt;55),0.3,0)+IF(AND(V142&lt;20,W142&gt;=55,W142&lt;105),0.23,0)+IF(AND(V142&lt;20,W142&gt;=105),0.17,0)+IF(AND(V142&gt;=20,V142&lt;40,W142&lt;45),0.3,0)+IF(AND(V142&gt;=20,V142&lt;40,W142&gt;=45,W142&lt;95),0.23,0)+IF(AND(V142&gt;=20,V142&lt;40,W142&gt;=95,W142&lt;=250),0.17,0)+IF(AND(V142&gt;=20,V142&lt;40,W142&gt;=250),0.12,0)+IF(AND(V142&gt;=40,V142&lt;75,W142&lt;35),0.3,0)+IF(AND(V142&gt;=40,V142&lt;75,W142&gt;=35,W142&lt;75),0.23,0)+IF(AND(V142&gt;=40,V142&lt;75,W142&gt;=75,W142&lt;120),0.17,0)+IF(AND(V142&gt;=40,V142&lt;75,W142&gt;=120),0.12,0)+IF(AND(V142&gt;=75,V142&lt;175,W142&lt;35),0.3,0)+IF(AND(V142&gt;=75,V142&lt;=175,W142&gt;=35,W142&lt;65),0.23,0)+IF(AND(V142&gt;=75,V142&lt;=175,W142&gt;=65,W142&lt;110),0.17,0)+IF(AND(V142&gt;=75,V142&lt;=175,W142&gt;=110),0.12,0)+IF(AND(V142&gt;175,W142&lt;25),0.3,0)+IF(AND(V142&gt;175,W142&gt;=25,W142&lt;55),0.23,0)+IF(AND(V142&gt;175,W142&gt;=55,W142&lt;95),0.17,0)+IF(AND(V142&gt;175,W142&gt;=95),0.12,0),
IF(AF142="DoEVni",IF(AND(V142&lt;20,W142&lt;55),0.3,0)+IF(AND(V142&lt;20,W142&gt;=55,W142&lt;105),0.23,0)+IF(AND(V142&lt;20,W142&gt;=105),0.17,0)+IF(AND(V142&gt;=20,V142&lt;40,W142&lt;45),0.3,0)+IF(AND(V142&gt;=20,V142&lt;40,W142&gt;=45,W142&lt;95),0.23,0)+IF(AND(V142&gt;=20,V142&lt;40,W142&gt;=95,W142&lt;=200),0.17,0)+IF(AND(V142&gt;=20,V142&lt;40,W142&gt;=200),0.12,0)+IF(AND(V142&gt;=40,V142&lt;75,W142&lt;35),0.3,0)+IF(AND(V142&gt;=40,V142&lt;75,W142&gt;=35,W142&lt;75),0.23,0)+IF(AND(V142&gt;=40,V142&lt;75,W142&gt;=75,W142&lt;120),0.17,0)+IF(AND(V142&gt;=40,V142&lt;75,W142&gt;=120),0.12,0)+IF(AND(V142&gt;=75,V142&lt;175,W142&lt;35),0.3,0)+IF(AND(V142&gt;=75,V142&lt;=175,W142&gt;=35,W142&lt;65),0.23,0)+IF(AND(V142&gt;=75,V142&lt;=175,W142&gt;=65,W142&lt;110),0.17,0)+IF(AND(V142&gt;=75,V142&lt;=175,W142&gt;=110),0.12,0)+IF(AND(V142&gt;175,W142&lt;25),0.3,0)+IF(AND(V142&gt;175,W142&gt;=25,W142&lt;55),0.23,0)+IF(AND(V142&gt;175,W142&gt;=55,W142&lt;95),0.17,0)+IF(AND(V142&gt;175,W142&gt;=95),0.12,0),
IF(AF142="DoEVLo",IF(AND(V142&lt;20,W142&lt;55),0.25,0)+IF(AND(V142&lt;20,W142&gt;=55,W142&lt;105),0.2,0)+IF(AND(V142&lt;20,W142&gt;=105),0.15,0)+IF(AND(V142&gt;=20,V142&lt;40,W142&lt;45),0.25,0)+IF(AND(V142&gt;=20,V142&lt;40,W142&gt;=45,W142&lt;95),0.2,0)+IF(AND(V142&gt;=20,V142&lt;40,W142&gt;=95),0.15,0)+IF(AND(V142&gt;=40,V142&lt;75,W142&lt;35),0.25,0)+IF(AND(V142&gt;=40,V142&lt;75,W142&gt;=35,W142&lt;75),0.2,0)+IF(AND(V142&gt;=40,V142&lt;75,W142&gt;=75,W142&lt;120),0.15,0)+IF(AND(V142&gt;=40,V142&lt;75,W142&gt;=120),0.1,0)+IF(AND(V142&gt;=75,V142&lt;175,W142&lt;35),0.25,0)+IF(AND(V142&gt;=75,V142&lt;=175,W142&gt;=35,W142&lt;65),0.2,0)+IF(AND(V142&gt;=75,V142&lt;=175,W142&gt;=65,W142&lt;110),0.15,0)+IF(AND(V142&gt;=75,V142&lt;=175,W142&gt;=110),0.1,0)+IF(AND(V142&gt;175,W142&lt;25),0.25,0)+IF(AND(V142&gt;175,W142&gt;=25,W142&lt;55),0.2,0)+IF(AND(V142&gt;175,W142&gt;=55,W142&lt;95),0.15,0)+IF(AND(V142&gt;175,W142&gt;=95),0.1,0))))))))))))))))</f>
        <v>0.22</v>
      </c>
      <c r="Y142" s="30">
        <f>IF(AG142="None",0,IF(AG142="Fix5",0.05,IF(AG142="Fix3.75",0.0375,IF(AG142="Fix10",0.1,IF(AG142="Fix3",0.03,0)))))</f>
        <v>0</v>
      </c>
      <c r="Z142" s="35">
        <f>T142-AA142-AB142</f>
        <v>72.539999999999992</v>
      </c>
      <c r="AA142" s="29">
        <f>IF(AD142="EUR",((T142-R142)*X142)*U142+(R142*X142),(T142*X142))</f>
        <v>20.46</v>
      </c>
      <c r="AB142" s="36">
        <f>IF(AD142="EUR",((T142-R142)*Y142)*U142+(R142*Y142),(T142*Y142))</f>
        <v>0</v>
      </c>
      <c r="AC142" s="37" t="b">
        <v>1</v>
      </c>
      <c r="AD142" s="37" t="s">
        <v>38</v>
      </c>
      <c r="AE142" s="37" t="s">
        <v>38</v>
      </c>
      <c r="AF142" s="37" t="str">
        <f t="array" ref="AF142">INDEX('Deal Info'!D:D, MATCH(A142,'Deal Info'!A:A, 0))</f>
        <v>SF</v>
      </c>
      <c r="AG142" s="38" t="str">
        <f t="array" ref="AG142">INDEX('Deal Info'!G:G, MATCH(A142,'Deal Info'!A:A, 0))</f>
        <v>None</v>
      </c>
    </row>
    <row r="143" spans="1:33" ht="14.25" hidden="1" x14ac:dyDescent="0.2">
      <c r="A143" s="18" t="str">
        <f t="array" ref="A143">IF(G143='Room Info'!$B$1, INDEX('Room Info'!$A$2:$A2446, MATCH(B143,'Room Info'!$B$2:$B2446, 0)),IF(G143='Room Info'!$C$1, INDEX('Room Info'!$A$2:$A2446, MATCH(B143,'Room Info'!$C$2:$C2446, 0)),IF(G143='Room Info'!$D$1, INDEX('Room Info'!$A$2:$A2446, MATCH(B143,'Room Info'!$D$2:$D2446, 0)),IF(G143='Room Info'!$E$1, INDEX('Room Info'!$A$2:$A2446, MATCH(B143,'Room Info'!$E$2:$E2446, 0)),IF(G143='Room Info'!$F$1, INDEX('Room Info'!$A$2:$A2446, MATCH(B143,'Room Info'!$F$2:$F2446, 0)),IF(G143='Room Info'!$H$1, INDEX('Room Info'!$A$2:$A2446, MATCH(B143,'Room Info'!$H$2:$H2446, 0)),IF(G143='Room Info'!$G$1, INDEX('Room Info'!$A$2:$A2446, MATCH(B143,'Room Info'!$G$2:$G2446, 0)))))))))</f>
        <v>bbaltqq</v>
      </c>
      <c r="B143" s="54" t="s">
        <v>89</v>
      </c>
      <c r="C143" s="68">
        <v>44521</v>
      </c>
      <c r="D143" s="46">
        <v>44550</v>
      </c>
      <c r="E143" s="47">
        <v>44531</v>
      </c>
      <c r="F143" s="45" t="s">
        <v>41</v>
      </c>
      <c r="G143" s="54" t="s">
        <v>35</v>
      </c>
      <c r="H143" s="49" t="s">
        <v>45</v>
      </c>
      <c r="I143" s="49" t="s">
        <v>37</v>
      </c>
      <c r="J143" s="50">
        <v>0.25</v>
      </c>
      <c r="K143" s="51">
        <v>2</v>
      </c>
      <c r="L143" s="52">
        <v>-0.5</v>
      </c>
      <c r="M143" s="62"/>
      <c r="N143" s="28">
        <f>K143*J143</f>
        <v>0.5</v>
      </c>
      <c r="O143" s="65"/>
      <c r="P143" s="29">
        <v>0</v>
      </c>
      <c r="Q143" s="55"/>
      <c r="R143" s="31">
        <f>M143+Q143</f>
        <v>0</v>
      </c>
      <c r="S143" s="66"/>
      <c r="T143" s="32">
        <f>R143+S143+IF(F143="Without EV deal",L143,0)</f>
        <v>-0.5</v>
      </c>
      <c r="U143" s="33">
        <v>1</v>
      </c>
      <c r="V143" s="69">
        <v>95.457682184569833</v>
      </c>
      <c r="W143" s="58">
        <v>22.68</v>
      </c>
      <c r="X143" s="30">
        <f>IF(AF143="DoEV",IF(AND(V143&lt;20,W143&lt;55),0.3,0)+IF(AND(V143&lt;20,W143&gt;=55,W143&lt;105),0.23,0)+IF(AND(V143&lt;20,W143&gt;=105),0.17,0)+IF(AND(V143&gt;=20,V143&lt;40,W143&lt;45),0.3,0)+IF(AND(V143&gt;=20,V143&lt;40,W143&gt;=45,W143&lt;95),0.23,0)+IF(AND(V143&gt;=20,V143&lt;40,W143&gt;=95),0.17,0)+IF(AND(V143&gt;=40,V143&lt;75,W143&lt;35),0.3,0)+IF(AND(V143&gt;=40,V143&lt;75,W143&gt;=35,W143&lt;75),0.23,0)+IF(AND(V143&gt;=40,V143&lt;75,W143&gt;=75,W143&lt;120),0.17,0)+IF(AND(V143&gt;=40,V143&lt;75,W143&gt;=120),0.12,0)+IF(AND(V143&gt;=75,V143&lt;175,W143&lt;35),0.3,0)+IF(AND(V143&gt;=75,V143&lt;=175,W143&gt;=35,W143&lt;65),0.23,0)+IF(AND(V143&gt;=75,V143&lt;=175,W143&gt;=65,W143&lt;110),0.17,0)+IF(AND(V143&gt;=75,V143&lt;=175,W143&gt;=110),0.12,0)+IF(AND(V143&gt;175,W143&lt;25),0.3,0)+IF(AND(V143&gt;175,W143&gt;=25,W143&lt;55),0.23,0)+IF(AND(V143&gt;175,W143&gt;=55,W143&lt;95),0.17,0)+IF(AND(V143&gt;175,W143&gt;=95),0.12,0),
IF(AF143="Fix15",0.15,
IF(AF143="Fix11.25",0.1125,
IF(AF143="Fix10",0.1,
IF(AF143="Fix9",0.09,
IF(AF143="DoEV2017",IF(AND(W143&lt;74),0.2,0)+IF(AND(W143&gt;=74),0.17,0),
IF(AF143="SF",IF(AND(V143&lt;20,W143&lt;89),0.3,0)+IF(AND(V143&lt;20,W143&gt;=89),0.25,0)+IF(AND(V143&gt;=20,V143&lt;40,W143&lt;74),0.3,0)+IF(AND(V143&gt;=20,V143&lt;40,W143&gt;=75),0.22,0)+IF(AND(V143&gt;=40,V143&lt;75,W143&lt;75),0.26,0)+IF(AND(V143&gt;=40,V143&lt;75,W143&gt;=75),0.22,0)+IF(V143&gt;=75,0.22,0),
IF(AF143="DoEVold",IF(AND(V143&lt;40,W143&lt;35),0.35,0)+IF(AND(V143&lt;40,W143&gt;=35,W143&lt;75),0.25,0)+IF(AND(V143&lt;40,W143&gt;=75),0.17,0)+IF(AND(V143&gt;=40,V143&lt;75,W143&lt;25),0.35,0)+IF(AND(V143&gt;=40,V143&lt;75,W143&gt;=25,W143&lt;65),0.25,0)+IF(AND(V143&gt;=40,V143&lt;75,W143&gt;=65,W143&lt;100),0.17,0)+IF(AND(V143&gt;=40,V143&lt;75,W143&gt;=100),0.1,0)+IF(AND(V143&gt;=75,W143&lt;25),0.35,0)+IF(AND(V143&gt;=75,W143&gt;=25,W143&lt;60),0.25,0)+IF(AND(V143&gt;=75,W143&gt;=60,W143&lt;95),0.17,0)+IF(AND(V143&gt;=75,W143&gt;=95),0.1,0),
IF(AF143="DoEVold15",IF(AND(V143&lt;=40,W143&lt;35),0.35,0)+IF(AND(V143&lt;=40,W143&gt;=35,W143&lt;75),0.25,0)+IF(AND(V143&lt;=40,W143&gt;=75,W143&lt;120),0.17,0)+IF(AND(V143&lt;=40,W143&gt;=120),0.15,0)+IF(AND(V143&gt;40,V143&lt;75,W143&lt;25),0.35,0)+IF(AND(V143&gt;=40,V143&lt;75,W143&gt;=25,W143&lt;65),0.25,0)+IF(AND(V143&gt;=40,V143&lt;75,W143&gt;=65,W143&lt;100),0.17,0)+IF(AND(V143&gt;=40,V143&lt;75,W143&gt;=100),0.1,0)+IF(AND(V143&gt;=75,W143&lt;25),0.35,0)+IF(AND(V143&gt;=75,W143&gt;=25,W143&lt;60),0.25,0)+IF(AND(V143&gt;=75,W143&gt;=60,W143&lt;95),0.17,0)+IF(AND(V143&gt;=75,W143&gt;=95),0.1,0),
IF(AF143="DoEVba",IF(AND(V143&lt;20,W143&lt;105),0.2,0)+IF(AND(V143&lt;20,W143&gt;=105),0.15,0)+IF(AND(V143&gt;=20,V143&lt;40,W143&lt;95),0.2,0)+IF(AND(V143&gt;=20,V143&lt;40,W143&gt;=95,W143&lt;150),0.15,0)+IF(AND(V143&gt;=20,V143&lt;40,W143&gt;=150),0.12,0)+IF(AND(V143&gt;=40,V143&lt;75,W143&lt;75),0.2,0)+IF(AND(V143&gt;=40,V143&lt;75,W143&gt;=75,W143&lt;120),0.15,0)+IF(AND(V143&gt;=40,V143&lt;75,W143&gt;=120),0.12,0)+IF(AND(V143&gt;=75,V143&lt;175,W143&lt;65),0.2,0)+IF(AND(V143&gt;=75,V143&lt;175,W143&gt;=65,W143&lt;110),0.15,0)+IF(AND(V143&gt;=75,V143&lt;175,W143&gt;=110),0.12,0)+IF(AND(V143&gt;=175,W143&lt;55),0.2,0)+IF(AND(V143&gt;=175,W143&gt;=55,W143&lt;95),0.15,0)+IF(AND(V143&gt;=175,W143&gt;=95),0.12,0),
IF(AF143="DoEVku",IF(AND(V143&lt;20,W143&lt;55),0.23,0)+IF(AND(V143&lt;20,W143&gt;=55,W143&lt;105),0.2,0)+IF(AND(V143&lt;20,W143&gt;=105),0.17,0)+IF(AND(V143&gt;=20,V143&lt;40,W143&lt;45),0.23,0)+IF(AND(V143&gt;=20,V143&lt;40,W143&gt;=45,W143&lt;95),0.2,0)+IF(AND(V143&gt;=20,V143&lt;40,W143&gt;=95,W143&lt;=150),0.17,0)+IF(AND(V143&gt;=20,V143&lt;40,W143&gt;=150),0.12,0)+IF(AND(V143&gt;=40,V143&lt;75,W143&lt;35),0.23,0)+IF(AND(V143&gt;=40,V143&lt;75,W143&gt;=35,W143&lt;75),0.2,0)+IF(AND(V143&gt;=40,V143&lt;75,W143&gt;=75,W143&lt;120),0.17,0)+IF(AND(V143&gt;=40,V143&lt;75,W143&gt;=120),0.12,0)+IF(AND(V143&gt;=75,V143&lt;175,W143&lt;35),0.23,0)+IF(AND(V143&gt;=75,V143&lt;=175,W143&gt;=35,W143&lt;65),0.2,0)+IF(AND(V143&gt;=75,V143&lt;=175,W143&gt;=65,W143&lt;110),0.17,0)+IF(AND(V143&gt;=75,V143&lt;=175,W143&gt;=110),0.12,0)+IF(AND(V143&gt;175,W143&lt;25),0.23,0)+IF(AND(V143&gt;175,W143&gt;=25,W143&lt;55),0.2,0)+IF(AND(V143&gt;175,W143&gt;=55,W143&lt;95),0.17,0)+IF(AND(V143&gt;175,W143&gt;=95),0.12,0),
IF(AF143="DoEVs1",IF(AND(V143&lt;20,W143&lt;55),0.3,0)+IF(AND(V143&lt;20,W143&gt;=55,W143&lt;105),0.23,0)+IF(AND(V143&lt;20,W143&gt;=105),0.17,0)+IF(AND(V143&gt;=20,V143&lt;40,W143&lt;45),0.3,0)+IF(AND(V143&gt;=20,V143&lt;40,W143&gt;=45,W143&lt;95),0.23,0)+IF(AND(V143&gt;=20,V143&lt;40,W143&gt;=95,W143&lt;=150),0.17,0)+IF(AND(V143&gt;=20,V143&lt;40,W143&gt;=150),0.12,0)+IF(AND(V143&gt;=40,V143&lt;75,W143&lt;35),0.3,0)+IF(AND(V143&gt;=40,V143&lt;75,W143&gt;=35,W143&lt;75),0.23,0)+IF(AND(V143&gt;=40,V143&lt;75,W143&gt;=75,W143&lt;120),0.17,0)+IF(AND(V143&gt;=40,V143&lt;75,W143&gt;=120),0.12,0)+IF(AND(V143&gt;=75,V143&lt;175,W143&lt;35),0.3,0)+IF(AND(V143&gt;=75,V143&lt;=175,W143&gt;=35,W143&lt;65),0.23,0)+IF(AND(V143&gt;=75,V143&lt;=175,W143&gt;=65,W143&lt;110),0.17,0)+IF(AND(V143&gt;=75,V143&lt;=175,W143&gt;=110),0.12,0)+IF(AND(V143&gt;175,W143&lt;25),0.3,0)+IF(AND(V143&gt;175,W143&gt;=25,W143&lt;55),0.23,0)+IF(AND(V143&gt;175,W143&gt;=55,W143&lt;95),0.17,0)+IF(AND(V143&gt;175,W143&gt;=95),0.12,0),
IF(AF143="DoEVsu",IF(AND(V143&lt;20,W143&lt;55),0.3,0)+IF(AND(V143&lt;20,W143&gt;=55,W143&lt;105),0.23,0)+IF(AND(V143&lt;20,W143&gt;=105),0.17,0)+IF(AND(V143&gt;=20,V143&lt;40,W143&lt;45),0.3,0)+IF(AND(V143&gt;=20,V143&lt;40,W143&gt;=45,W143&lt;95),0.23,0)+IF(AND(V143&gt;=20,V143&lt;40,W143&gt;=95,W143&lt;=250),0.17,0)+IF(AND(V143&gt;=20,V143&lt;40,W143&gt;=250),0.12,0)+IF(AND(V143&gt;=40,V143&lt;75,W143&lt;35),0.3,0)+IF(AND(V143&gt;=40,V143&lt;75,W143&gt;=35,W143&lt;75),0.23,0)+IF(AND(V143&gt;=40,V143&lt;75,W143&gt;=75,W143&lt;120),0.17,0)+IF(AND(V143&gt;=40,V143&lt;75,W143&gt;=120),0.12,0)+IF(AND(V143&gt;=75,V143&lt;175,W143&lt;35),0.3,0)+IF(AND(V143&gt;=75,V143&lt;=175,W143&gt;=35,W143&lt;65),0.23,0)+IF(AND(V143&gt;=75,V143&lt;=175,W143&gt;=65,W143&lt;110),0.17,0)+IF(AND(V143&gt;=75,V143&lt;=175,W143&gt;=110),0.12,0)+IF(AND(V143&gt;175,W143&lt;25),0.3,0)+IF(AND(V143&gt;175,W143&gt;=25,W143&lt;55),0.23,0)+IF(AND(V143&gt;175,W143&gt;=55,W143&lt;95),0.17,0)+IF(AND(V143&gt;175,W143&gt;=95),0.12,0),
IF(AF143="DoEVni",IF(AND(V143&lt;20,W143&lt;55),0.3,0)+IF(AND(V143&lt;20,W143&gt;=55,W143&lt;105),0.23,0)+IF(AND(V143&lt;20,W143&gt;=105),0.17,0)+IF(AND(V143&gt;=20,V143&lt;40,W143&lt;45),0.3,0)+IF(AND(V143&gt;=20,V143&lt;40,W143&gt;=45,W143&lt;95),0.23,0)+IF(AND(V143&gt;=20,V143&lt;40,W143&gt;=95,W143&lt;=200),0.17,0)+IF(AND(V143&gt;=20,V143&lt;40,W143&gt;=200),0.12,0)+IF(AND(V143&gt;=40,V143&lt;75,W143&lt;35),0.3,0)+IF(AND(V143&gt;=40,V143&lt;75,W143&gt;=35,W143&lt;75),0.23,0)+IF(AND(V143&gt;=40,V143&lt;75,W143&gt;=75,W143&lt;120),0.17,0)+IF(AND(V143&gt;=40,V143&lt;75,W143&gt;=120),0.12,0)+IF(AND(V143&gt;=75,V143&lt;175,W143&lt;35),0.3,0)+IF(AND(V143&gt;=75,V143&lt;=175,W143&gt;=35,W143&lt;65),0.23,0)+IF(AND(V143&gt;=75,V143&lt;=175,W143&gt;=65,W143&lt;110),0.17,0)+IF(AND(V143&gt;=75,V143&lt;=175,W143&gt;=110),0.12,0)+IF(AND(V143&gt;175,W143&lt;25),0.3,0)+IF(AND(V143&gt;175,W143&gt;=25,W143&lt;55),0.23,0)+IF(AND(V143&gt;175,W143&gt;=55,W143&lt;95),0.17,0)+IF(AND(V143&gt;175,W143&gt;=95),0.12,0),
IF(AF143="DoEVLo",IF(AND(V143&lt;20,W143&lt;55),0.25,0)+IF(AND(V143&lt;20,W143&gt;=55,W143&lt;105),0.2,0)+IF(AND(V143&lt;20,W143&gt;=105),0.15,0)+IF(AND(V143&gt;=20,V143&lt;40,W143&lt;45),0.25,0)+IF(AND(V143&gt;=20,V143&lt;40,W143&gt;=45,W143&lt;95),0.2,0)+IF(AND(V143&gt;=20,V143&lt;40,W143&gt;=95),0.15,0)+IF(AND(V143&gt;=40,V143&lt;75,W143&lt;35),0.25,0)+IF(AND(V143&gt;=40,V143&lt;75,W143&gt;=35,W143&lt;75),0.2,0)+IF(AND(V143&gt;=40,V143&lt;75,W143&gt;=75,W143&lt;120),0.15,0)+IF(AND(V143&gt;=40,V143&lt;75,W143&gt;=120),0.1,0)+IF(AND(V143&gt;=75,V143&lt;175,W143&lt;35),0.25,0)+IF(AND(V143&gt;=75,V143&lt;=175,W143&gt;=35,W143&lt;65),0.2,0)+IF(AND(V143&gt;=75,V143&lt;=175,W143&gt;=65,W143&lt;110),0.15,0)+IF(AND(V143&gt;=75,V143&lt;=175,W143&gt;=110),0.1,0)+IF(AND(V143&gt;175,W143&lt;25),0.25,0)+IF(AND(V143&gt;175,W143&gt;=25,W143&lt;55),0.2,0)+IF(AND(V143&gt;175,W143&gt;=55,W143&lt;95),0.15,0)+IF(AND(V143&gt;175,W143&gt;=95),0.1,0))))))))))))))))</f>
        <v>0.22</v>
      </c>
      <c r="Y143" s="30">
        <f>IF(AG143="None",0,IF(AG143="Fix5",0.05,IF(AG143="Fix3.75",0.0375,IF(AG143="Fix10",0.1,IF(AG143="Fix3",0.03,0)))))</f>
        <v>0</v>
      </c>
      <c r="Z143" s="35">
        <f>T143-AA143-AB143</f>
        <v>-0.39</v>
      </c>
      <c r="AA143" s="29">
        <f>IF(AD143="EUR",((T143-R143)*X143)*U143+(R143*X143),(T143*X143))</f>
        <v>-0.11</v>
      </c>
      <c r="AB143" s="36">
        <f>IF(AD143="EUR",((T143-R143)*Y143)*U143+(R143*Y143),(T143*Y143))</f>
        <v>0</v>
      </c>
      <c r="AC143" s="37" t="b">
        <v>1</v>
      </c>
      <c r="AD143" s="37" t="s">
        <v>38</v>
      </c>
      <c r="AE143" s="37" t="s">
        <v>38</v>
      </c>
      <c r="AF143" s="37" t="str">
        <f t="array" ref="AF143">INDEX('Deal Info'!D:D, MATCH(A143,'Deal Info'!A:A, 0))</f>
        <v>SF</v>
      </c>
      <c r="AG143" s="38" t="str">
        <f t="array" ref="AG143">INDEX('Deal Info'!G:G, MATCH(A143,'Deal Info'!A:A, 0))</f>
        <v>None</v>
      </c>
    </row>
    <row r="144" spans="1:33" ht="14.25" hidden="1" x14ac:dyDescent="0.2">
      <c r="A144" s="18" t="str">
        <f t="array" ref="A144">IF(G144='Room Info'!$B$1, INDEX('Room Info'!$A$2:$A2446, MATCH(B144,'Room Info'!$B$2:$B2446, 0)),IF(G144='Room Info'!$C$1, INDEX('Room Info'!$A$2:$A2446, MATCH(B144,'Room Info'!$C$2:$C2446, 0)),IF(G144='Room Info'!$D$1, INDEX('Room Info'!$A$2:$A2446, MATCH(B144,'Room Info'!$D$2:$D2446, 0)),IF(G144='Room Info'!$E$1, INDEX('Room Info'!$A$2:$A2446, MATCH(B144,'Room Info'!$E$2:$E2446, 0)),IF(G144='Room Info'!$F$1, INDEX('Room Info'!$A$2:$A2446, MATCH(B144,'Room Info'!$F$2:$F2446, 0)),IF(G144='Room Info'!$H$1, INDEX('Room Info'!$A$2:$A2446, MATCH(B144,'Room Info'!$H$2:$H2446, 0)),IF(G144='Room Info'!$G$1, INDEX('Room Info'!$A$2:$A2446, MATCH(B144,'Room Info'!$G$2:$G2446, 0)))))))))</f>
        <v>bbaltqq</v>
      </c>
      <c r="B144" s="54" t="s">
        <v>89</v>
      </c>
      <c r="C144" s="68">
        <v>44551</v>
      </c>
      <c r="D144" s="46">
        <v>44581</v>
      </c>
      <c r="E144" s="47">
        <v>44562</v>
      </c>
      <c r="F144" s="45" t="s">
        <v>41</v>
      </c>
      <c r="G144" s="54" t="s">
        <v>35</v>
      </c>
      <c r="H144" s="49" t="s">
        <v>45</v>
      </c>
      <c r="I144" s="49" t="s">
        <v>37</v>
      </c>
      <c r="J144" s="50">
        <v>0.25</v>
      </c>
      <c r="K144" s="51">
        <v>7</v>
      </c>
      <c r="L144" s="52">
        <v>0</v>
      </c>
      <c r="M144" s="53">
        <v>0</v>
      </c>
      <c r="N144" s="28">
        <f>K144*J144</f>
        <v>1.75</v>
      </c>
      <c r="O144" s="65"/>
      <c r="P144" s="29">
        <v>0</v>
      </c>
      <c r="Q144" s="55"/>
      <c r="R144" s="31">
        <f>M144+Q144</f>
        <v>0</v>
      </c>
      <c r="S144" s="66"/>
      <c r="T144" s="32">
        <f>R144+S144+IF(F144="Without EV deal",L144,0)</f>
        <v>0</v>
      </c>
      <c r="U144" s="33">
        <v>1</v>
      </c>
      <c r="V144" s="69">
        <v>95.457682184569833</v>
      </c>
      <c r="W144" s="58">
        <v>22.68</v>
      </c>
      <c r="X144" s="30">
        <f>IF(AF144="DoEV",IF(AND(V144&lt;20,W144&lt;55),0.3,0)+IF(AND(V144&lt;20,W144&gt;=55,W144&lt;105),0.23,0)+IF(AND(V144&lt;20,W144&gt;=105),0.17,0)+IF(AND(V144&gt;=20,V144&lt;40,W144&lt;45),0.3,0)+IF(AND(V144&gt;=20,V144&lt;40,W144&gt;=45,W144&lt;95),0.23,0)+IF(AND(V144&gt;=20,V144&lt;40,W144&gt;=95),0.17,0)+IF(AND(V144&gt;=40,V144&lt;75,W144&lt;35),0.3,0)+IF(AND(V144&gt;=40,V144&lt;75,W144&gt;=35,W144&lt;75),0.23,0)+IF(AND(V144&gt;=40,V144&lt;75,W144&gt;=75,W144&lt;120),0.17,0)+IF(AND(V144&gt;=40,V144&lt;75,W144&gt;=120),0.12,0)+IF(AND(V144&gt;=75,V144&lt;175,W144&lt;35),0.3,0)+IF(AND(V144&gt;=75,V144&lt;=175,W144&gt;=35,W144&lt;65),0.23,0)+IF(AND(V144&gt;=75,V144&lt;=175,W144&gt;=65,W144&lt;110),0.17,0)+IF(AND(V144&gt;=75,V144&lt;=175,W144&gt;=110),0.12,0)+IF(AND(V144&gt;175,W144&lt;25),0.3,0)+IF(AND(V144&gt;175,W144&gt;=25,W144&lt;55),0.23,0)+IF(AND(V144&gt;175,W144&gt;=55,W144&lt;95),0.17,0)+IF(AND(V144&gt;175,W144&gt;=95),0.12,0),
IF(AF144="Fix15",0.15,
IF(AF144="Fix11.25",0.1125,
IF(AF144="Fix10",0.1,
IF(AF144="Fix9",0.09,
IF(AF144="DoEV2017",IF(AND(W144&lt;74),0.2,0)+IF(AND(W144&gt;=74),0.17,0),
IF(AF144="SF",IF(AND(V144&lt;20,W144&lt;89),0.3,0)+IF(AND(V144&lt;20,W144&gt;=89),0.25,0)+IF(AND(V144&gt;=20,V144&lt;40,W144&lt;74),0.3,0)+IF(AND(V144&gt;=20,V144&lt;40,W144&gt;=75),0.22,0)+IF(AND(V144&gt;=40,V144&lt;75,W144&lt;75),0.26,0)+IF(AND(V144&gt;=40,V144&lt;75,W144&gt;=75),0.22,0)+IF(V144&gt;=75,0.22,0),
IF(AF144="DoEVold",IF(AND(V144&lt;40,W144&lt;35),0.35,0)+IF(AND(V144&lt;40,W144&gt;=35,W144&lt;75),0.25,0)+IF(AND(V144&lt;40,W144&gt;=75),0.17,0)+IF(AND(V144&gt;=40,V144&lt;75,W144&lt;25),0.35,0)+IF(AND(V144&gt;=40,V144&lt;75,W144&gt;=25,W144&lt;65),0.25,0)+IF(AND(V144&gt;=40,V144&lt;75,W144&gt;=65,W144&lt;100),0.17,0)+IF(AND(V144&gt;=40,V144&lt;75,W144&gt;=100),0.1,0)+IF(AND(V144&gt;=75,W144&lt;25),0.35,0)+IF(AND(V144&gt;=75,W144&gt;=25,W144&lt;60),0.25,0)+IF(AND(V144&gt;=75,W144&gt;=60,W144&lt;95),0.17,0)+IF(AND(V144&gt;=75,W144&gt;=95),0.1,0),
IF(AF144="DoEVold15",IF(AND(V144&lt;=40,W144&lt;35),0.35,0)+IF(AND(V144&lt;=40,W144&gt;=35,W144&lt;75),0.25,0)+IF(AND(V144&lt;=40,W144&gt;=75,W144&lt;120),0.17,0)+IF(AND(V144&lt;=40,W144&gt;=120),0.15,0)+IF(AND(V144&gt;40,V144&lt;75,W144&lt;25),0.35,0)+IF(AND(V144&gt;=40,V144&lt;75,W144&gt;=25,W144&lt;65),0.25,0)+IF(AND(V144&gt;=40,V144&lt;75,W144&gt;=65,W144&lt;100),0.17,0)+IF(AND(V144&gt;=40,V144&lt;75,W144&gt;=100),0.1,0)+IF(AND(V144&gt;=75,W144&lt;25),0.35,0)+IF(AND(V144&gt;=75,W144&gt;=25,W144&lt;60),0.25,0)+IF(AND(V144&gt;=75,W144&gt;=60,W144&lt;95),0.17,0)+IF(AND(V144&gt;=75,W144&gt;=95),0.1,0),
IF(AF144="DoEVba",IF(AND(V144&lt;20,W144&lt;105),0.2,0)+IF(AND(V144&lt;20,W144&gt;=105),0.15,0)+IF(AND(V144&gt;=20,V144&lt;40,W144&lt;95),0.2,0)+IF(AND(V144&gt;=20,V144&lt;40,W144&gt;=95,W144&lt;150),0.15,0)+IF(AND(V144&gt;=20,V144&lt;40,W144&gt;=150),0.12,0)+IF(AND(V144&gt;=40,V144&lt;75,W144&lt;75),0.2,0)+IF(AND(V144&gt;=40,V144&lt;75,W144&gt;=75,W144&lt;120),0.15,0)+IF(AND(V144&gt;=40,V144&lt;75,W144&gt;=120),0.12,0)+IF(AND(V144&gt;=75,V144&lt;175,W144&lt;65),0.2,0)+IF(AND(V144&gt;=75,V144&lt;175,W144&gt;=65,W144&lt;110),0.15,0)+IF(AND(V144&gt;=75,V144&lt;175,W144&gt;=110),0.12,0)+IF(AND(V144&gt;=175,W144&lt;55),0.2,0)+IF(AND(V144&gt;=175,W144&gt;=55,W144&lt;95),0.15,0)+IF(AND(V144&gt;=175,W144&gt;=95),0.12,0),
IF(AF144="DoEVku",IF(AND(V144&lt;20,W144&lt;55),0.23,0)+IF(AND(V144&lt;20,W144&gt;=55,W144&lt;105),0.2,0)+IF(AND(V144&lt;20,W144&gt;=105),0.17,0)+IF(AND(V144&gt;=20,V144&lt;40,W144&lt;45),0.23,0)+IF(AND(V144&gt;=20,V144&lt;40,W144&gt;=45,W144&lt;95),0.2,0)+IF(AND(V144&gt;=20,V144&lt;40,W144&gt;=95,W144&lt;=150),0.17,0)+IF(AND(V144&gt;=20,V144&lt;40,W144&gt;=150),0.12,0)+IF(AND(V144&gt;=40,V144&lt;75,W144&lt;35),0.23,0)+IF(AND(V144&gt;=40,V144&lt;75,W144&gt;=35,W144&lt;75),0.2,0)+IF(AND(V144&gt;=40,V144&lt;75,W144&gt;=75,W144&lt;120),0.17,0)+IF(AND(V144&gt;=40,V144&lt;75,W144&gt;=120),0.12,0)+IF(AND(V144&gt;=75,V144&lt;175,W144&lt;35),0.23,0)+IF(AND(V144&gt;=75,V144&lt;=175,W144&gt;=35,W144&lt;65),0.2,0)+IF(AND(V144&gt;=75,V144&lt;=175,W144&gt;=65,W144&lt;110),0.17,0)+IF(AND(V144&gt;=75,V144&lt;=175,W144&gt;=110),0.12,0)+IF(AND(V144&gt;175,W144&lt;25),0.23,0)+IF(AND(V144&gt;175,W144&gt;=25,W144&lt;55),0.2,0)+IF(AND(V144&gt;175,W144&gt;=55,W144&lt;95),0.17,0)+IF(AND(V144&gt;175,W144&gt;=95),0.12,0),
IF(AF144="DoEVs1",IF(AND(V144&lt;20,W144&lt;55),0.3,0)+IF(AND(V144&lt;20,W144&gt;=55,W144&lt;105),0.23,0)+IF(AND(V144&lt;20,W144&gt;=105),0.17,0)+IF(AND(V144&gt;=20,V144&lt;40,W144&lt;45),0.3,0)+IF(AND(V144&gt;=20,V144&lt;40,W144&gt;=45,W144&lt;95),0.23,0)+IF(AND(V144&gt;=20,V144&lt;40,W144&gt;=95,W144&lt;=150),0.17,0)+IF(AND(V144&gt;=20,V144&lt;40,W144&gt;=150),0.12,0)+IF(AND(V144&gt;=40,V144&lt;75,W144&lt;35),0.3,0)+IF(AND(V144&gt;=40,V144&lt;75,W144&gt;=35,W144&lt;75),0.23,0)+IF(AND(V144&gt;=40,V144&lt;75,W144&gt;=75,W144&lt;120),0.17,0)+IF(AND(V144&gt;=40,V144&lt;75,W144&gt;=120),0.12,0)+IF(AND(V144&gt;=75,V144&lt;175,W144&lt;35),0.3,0)+IF(AND(V144&gt;=75,V144&lt;=175,W144&gt;=35,W144&lt;65),0.23,0)+IF(AND(V144&gt;=75,V144&lt;=175,W144&gt;=65,W144&lt;110),0.17,0)+IF(AND(V144&gt;=75,V144&lt;=175,W144&gt;=110),0.12,0)+IF(AND(V144&gt;175,W144&lt;25),0.3,0)+IF(AND(V144&gt;175,W144&gt;=25,W144&lt;55),0.23,0)+IF(AND(V144&gt;175,W144&gt;=55,W144&lt;95),0.17,0)+IF(AND(V144&gt;175,W144&gt;=95),0.12,0),
IF(AF144="DoEVsu",IF(AND(V144&lt;20,W144&lt;55),0.3,0)+IF(AND(V144&lt;20,W144&gt;=55,W144&lt;105),0.23,0)+IF(AND(V144&lt;20,W144&gt;=105),0.17,0)+IF(AND(V144&gt;=20,V144&lt;40,W144&lt;45),0.3,0)+IF(AND(V144&gt;=20,V144&lt;40,W144&gt;=45,W144&lt;95),0.23,0)+IF(AND(V144&gt;=20,V144&lt;40,W144&gt;=95,W144&lt;=250),0.17,0)+IF(AND(V144&gt;=20,V144&lt;40,W144&gt;=250),0.12,0)+IF(AND(V144&gt;=40,V144&lt;75,W144&lt;35),0.3,0)+IF(AND(V144&gt;=40,V144&lt;75,W144&gt;=35,W144&lt;75),0.23,0)+IF(AND(V144&gt;=40,V144&lt;75,W144&gt;=75,W144&lt;120),0.17,0)+IF(AND(V144&gt;=40,V144&lt;75,W144&gt;=120),0.12,0)+IF(AND(V144&gt;=75,V144&lt;175,W144&lt;35),0.3,0)+IF(AND(V144&gt;=75,V144&lt;=175,W144&gt;=35,W144&lt;65),0.23,0)+IF(AND(V144&gt;=75,V144&lt;=175,W144&gt;=65,W144&lt;110),0.17,0)+IF(AND(V144&gt;=75,V144&lt;=175,W144&gt;=110),0.12,0)+IF(AND(V144&gt;175,W144&lt;25),0.3,0)+IF(AND(V144&gt;175,W144&gt;=25,W144&lt;55),0.23,0)+IF(AND(V144&gt;175,W144&gt;=55,W144&lt;95),0.17,0)+IF(AND(V144&gt;175,W144&gt;=95),0.12,0),
IF(AF144="DoEVni",IF(AND(V144&lt;20,W144&lt;55),0.3,0)+IF(AND(V144&lt;20,W144&gt;=55,W144&lt;105),0.23,0)+IF(AND(V144&lt;20,W144&gt;=105),0.17,0)+IF(AND(V144&gt;=20,V144&lt;40,W144&lt;45),0.3,0)+IF(AND(V144&gt;=20,V144&lt;40,W144&gt;=45,W144&lt;95),0.23,0)+IF(AND(V144&gt;=20,V144&lt;40,W144&gt;=95,W144&lt;=200),0.17,0)+IF(AND(V144&gt;=20,V144&lt;40,W144&gt;=200),0.12,0)+IF(AND(V144&gt;=40,V144&lt;75,W144&lt;35),0.3,0)+IF(AND(V144&gt;=40,V144&lt;75,W144&gt;=35,W144&lt;75),0.23,0)+IF(AND(V144&gt;=40,V144&lt;75,W144&gt;=75,W144&lt;120),0.17,0)+IF(AND(V144&gt;=40,V144&lt;75,W144&gt;=120),0.12,0)+IF(AND(V144&gt;=75,V144&lt;175,W144&lt;35),0.3,0)+IF(AND(V144&gt;=75,V144&lt;=175,W144&gt;=35,W144&lt;65),0.23,0)+IF(AND(V144&gt;=75,V144&lt;=175,W144&gt;=65,W144&lt;110),0.17,0)+IF(AND(V144&gt;=75,V144&lt;=175,W144&gt;=110),0.12,0)+IF(AND(V144&gt;175,W144&lt;25),0.3,0)+IF(AND(V144&gt;175,W144&gt;=25,W144&lt;55),0.23,0)+IF(AND(V144&gt;175,W144&gt;=55,W144&lt;95),0.17,0)+IF(AND(V144&gt;175,W144&gt;=95),0.12,0),
IF(AF144="DoEVLo",IF(AND(V144&lt;20,W144&lt;55),0.25,0)+IF(AND(V144&lt;20,W144&gt;=55,W144&lt;105),0.2,0)+IF(AND(V144&lt;20,W144&gt;=105),0.15,0)+IF(AND(V144&gt;=20,V144&lt;40,W144&lt;45),0.25,0)+IF(AND(V144&gt;=20,V144&lt;40,W144&gt;=45,W144&lt;95),0.2,0)+IF(AND(V144&gt;=20,V144&lt;40,W144&gt;=95),0.15,0)+IF(AND(V144&gt;=40,V144&lt;75,W144&lt;35),0.25,0)+IF(AND(V144&gt;=40,V144&lt;75,W144&gt;=35,W144&lt;75),0.2,0)+IF(AND(V144&gt;=40,V144&lt;75,W144&gt;=75,W144&lt;120),0.15,0)+IF(AND(V144&gt;=40,V144&lt;75,W144&gt;=120),0.1,0)+IF(AND(V144&gt;=75,V144&lt;175,W144&lt;35),0.25,0)+IF(AND(V144&gt;=75,V144&lt;=175,W144&gt;=35,W144&lt;65),0.2,0)+IF(AND(V144&gt;=75,V144&lt;=175,W144&gt;=65,W144&lt;110),0.15,0)+IF(AND(V144&gt;=75,V144&lt;=175,W144&gt;=110),0.1,0)+IF(AND(V144&gt;175,W144&lt;25),0.25,0)+IF(AND(V144&gt;175,W144&gt;=25,W144&lt;55),0.2,0)+IF(AND(V144&gt;175,W144&gt;=55,W144&lt;95),0.15,0)+IF(AND(V144&gt;175,W144&gt;=95),0.1,0))))))))))))))))</f>
        <v>0.22</v>
      </c>
      <c r="Y144" s="30">
        <f>IF(AG144="None",0,IF(AG144="Fix5",0.05,IF(AG144="Fix3.75",0.0375,IF(AG144="Fix10",0.1,IF(AG144="Fix3",0.03,0)))))</f>
        <v>0</v>
      </c>
      <c r="Z144" s="35">
        <f>T144-AA144-AB144</f>
        <v>0</v>
      </c>
      <c r="AA144" s="29">
        <f>IF(AD144="EUR",((T144-R144)*X144)*U144+(R144*X144),(T144*X144))</f>
        <v>0</v>
      </c>
      <c r="AB144" s="36">
        <f>IF(AD144="EUR",((T144-R144)*Y144)*U144+(R144*Y144),(T144*Y144))</f>
        <v>0</v>
      </c>
      <c r="AC144" s="37" t="b">
        <v>1</v>
      </c>
      <c r="AD144" s="37" t="s">
        <v>38</v>
      </c>
      <c r="AE144" s="37" t="s">
        <v>38</v>
      </c>
      <c r="AF144" s="37" t="str">
        <f t="array" ref="AF144">INDEX('Deal Info'!D:D, MATCH(A144,'Deal Info'!A:A, 0))</f>
        <v>SF</v>
      </c>
      <c r="AG144" s="38" t="str">
        <f t="array" ref="AG144">INDEX('Deal Info'!G:G, MATCH(A144,'Deal Info'!A:A, 0))</f>
        <v>None</v>
      </c>
    </row>
    <row r="145" spans="1:33" ht="14.25" hidden="1" x14ac:dyDescent="0.2">
      <c r="A145" s="18" t="str">
        <f t="array" ref="A145">IF(G145='Room Info'!$B$1, INDEX('Room Info'!$A$2:$A2446, MATCH(B145,'Room Info'!$B$2:$B2446, 0)),IF(G145='Room Info'!$C$1, INDEX('Room Info'!$A$2:$A2446, MATCH(B145,'Room Info'!$C$2:$C2446, 0)),IF(G145='Room Info'!$D$1, INDEX('Room Info'!$A$2:$A2446, MATCH(B145,'Room Info'!$D$2:$D2446, 0)),IF(G145='Room Info'!$E$1, INDEX('Room Info'!$A$2:$A2446, MATCH(B145,'Room Info'!$E$2:$E2446, 0)),IF(G145='Room Info'!$F$1, INDEX('Room Info'!$A$2:$A2446, MATCH(B145,'Room Info'!$F$2:$F2446, 0)),IF(G145='Room Info'!$H$1, INDEX('Room Info'!$A$2:$A2446, MATCH(B145,'Room Info'!$H$2:$H2446, 0)),IF(G145='Room Info'!$G$1, INDEX('Room Info'!$A$2:$A2446, MATCH(B145,'Room Info'!$G$2:$G2446, 0)))))))))</f>
        <v>bbaltqq</v>
      </c>
      <c r="B145" s="54" t="s">
        <v>89</v>
      </c>
      <c r="C145" s="46">
        <v>44551</v>
      </c>
      <c r="D145" s="46">
        <v>44581</v>
      </c>
      <c r="E145" s="47">
        <v>44562</v>
      </c>
      <c r="F145" s="45" t="s">
        <v>41</v>
      </c>
      <c r="G145" s="54" t="s">
        <v>35</v>
      </c>
      <c r="H145" s="49" t="s">
        <v>39</v>
      </c>
      <c r="I145" s="49" t="s">
        <v>37</v>
      </c>
      <c r="J145" s="50">
        <v>5</v>
      </c>
      <c r="K145" s="51">
        <v>1</v>
      </c>
      <c r="L145" s="52">
        <v>-5</v>
      </c>
      <c r="M145" s="53">
        <v>0</v>
      </c>
      <c r="N145" s="28">
        <f>K145*J145</f>
        <v>5</v>
      </c>
      <c r="O145" s="65"/>
      <c r="P145" s="29">
        <v>0</v>
      </c>
      <c r="Q145" s="55"/>
      <c r="R145" s="31">
        <f>M145+Q145</f>
        <v>0</v>
      </c>
      <c r="S145" s="66"/>
      <c r="T145" s="32">
        <f>R145+S145+IF(F145="Without EV deal",L145,0)</f>
        <v>-5</v>
      </c>
      <c r="U145" s="33">
        <v>1</v>
      </c>
      <c r="V145" s="69">
        <v>95.457682184569833</v>
      </c>
      <c r="W145" s="58">
        <v>22.68</v>
      </c>
      <c r="X145" s="30">
        <f>IF(AF145="DoEV",IF(AND(V145&lt;20,W145&lt;55),0.3,0)+IF(AND(V145&lt;20,W145&gt;=55,W145&lt;105),0.23,0)+IF(AND(V145&lt;20,W145&gt;=105),0.17,0)+IF(AND(V145&gt;=20,V145&lt;40,W145&lt;45),0.3,0)+IF(AND(V145&gt;=20,V145&lt;40,W145&gt;=45,W145&lt;95),0.23,0)+IF(AND(V145&gt;=20,V145&lt;40,W145&gt;=95),0.17,0)+IF(AND(V145&gt;=40,V145&lt;75,W145&lt;35),0.3,0)+IF(AND(V145&gt;=40,V145&lt;75,W145&gt;=35,W145&lt;75),0.23,0)+IF(AND(V145&gt;=40,V145&lt;75,W145&gt;=75,W145&lt;120),0.17,0)+IF(AND(V145&gt;=40,V145&lt;75,W145&gt;=120),0.12,0)+IF(AND(V145&gt;=75,V145&lt;175,W145&lt;35),0.3,0)+IF(AND(V145&gt;=75,V145&lt;=175,W145&gt;=35,W145&lt;65),0.23,0)+IF(AND(V145&gt;=75,V145&lt;=175,W145&gt;=65,W145&lt;110),0.17,0)+IF(AND(V145&gt;=75,V145&lt;=175,W145&gt;=110),0.12,0)+IF(AND(V145&gt;175,W145&lt;25),0.3,0)+IF(AND(V145&gt;175,W145&gt;=25,W145&lt;55),0.23,0)+IF(AND(V145&gt;175,W145&gt;=55,W145&lt;95),0.17,0)+IF(AND(V145&gt;175,W145&gt;=95),0.12,0),
IF(AF145="Fix15",0.15,
IF(AF145="Fix11.25",0.1125,
IF(AF145="Fix10",0.1,
IF(AF145="Fix9",0.09,
IF(AF145="DoEV2017",IF(AND(W145&lt;74),0.2,0)+IF(AND(W145&gt;=74),0.17,0),
IF(AF145="SF",IF(AND(V145&lt;20,W145&lt;89),0.3,0)+IF(AND(V145&lt;20,W145&gt;=89),0.25,0)+IF(AND(V145&gt;=20,V145&lt;40,W145&lt;74),0.3,0)+IF(AND(V145&gt;=20,V145&lt;40,W145&gt;=75),0.22,0)+IF(AND(V145&gt;=40,V145&lt;75,W145&lt;75),0.26,0)+IF(AND(V145&gt;=40,V145&lt;75,W145&gt;=75),0.22,0)+IF(V145&gt;=75,0.22,0),
IF(AF145="DoEVold",IF(AND(V145&lt;40,W145&lt;35),0.35,0)+IF(AND(V145&lt;40,W145&gt;=35,W145&lt;75),0.25,0)+IF(AND(V145&lt;40,W145&gt;=75),0.17,0)+IF(AND(V145&gt;=40,V145&lt;75,W145&lt;25),0.35,0)+IF(AND(V145&gt;=40,V145&lt;75,W145&gt;=25,W145&lt;65),0.25,0)+IF(AND(V145&gt;=40,V145&lt;75,W145&gt;=65,W145&lt;100),0.17,0)+IF(AND(V145&gt;=40,V145&lt;75,W145&gt;=100),0.1,0)+IF(AND(V145&gt;=75,W145&lt;25),0.35,0)+IF(AND(V145&gt;=75,W145&gt;=25,W145&lt;60),0.25,0)+IF(AND(V145&gt;=75,W145&gt;=60,W145&lt;95),0.17,0)+IF(AND(V145&gt;=75,W145&gt;=95),0.1,0),
IF(AF145="DoEVold15",IF(AND(V145&lt;=40,W145&lt;35),0.35,0)+IF(AND(V145&lt;=40,W145&gt;=35,W145&lt;75),0.25,0)+IF(AND(V145&lt;=40,W145&gt;=75,W145&lt;120),0.17,0)+IF(AND(V145&lt;=40,W145&gt;=120),0.15,0)+IF(AND(V145&gt;40,V145&lt;75,W145&lt;25),0.35,0)+IF(AND(V145&gt;=40,V145&lt;75,W145&gt;=25,W145&lt;65),0.25,0)+IF(AND(V145&gt;=40,V145&lt;75,W145&gt;=65,W145&lt;100),0.17,0)+IF(AND(V145&gt;=40,V145&lt;75,W145&gt;=100),0.1,0)+IF(AND(V145&gt;=75,W145&lt;25),0.35,0)+IF(AND(V145&gt;=75,W145&gt;=25,W145&lt;60),0.25,0)+IF(AND(V145&gt;=75,W145&gt;=60,W145&lt;95),0.17,0)+IF(AND(V145&gt;=75,W145&gt;=95),0.1,0),
IF(AF145="DoEVba",IF(AND(V145&lt;20,W145&lt;105),0.2,0)+IF(AND(V145&lt;20,W145&gt;=105),0.15,0)+IF(AND(V145&gt;=20,V145&lt;40,W145&lt;95),0.2,0)+IF(AND(V145&gt;=20,V145&lt;40,W145&gt;=95,W145&lt;150),0.15,0)+IF(AND(V145&gt;=20,V145&lt;40,W145&gt;=150),0.12,0)+IF(AND(V145&gt;=40,V145&lt;75,W145&lt;75),0.2,0)+IF(AND(V145&gt;=40,V145&lt;75,W145&gt;=75,W145&lt;120),0.15,0)+IF(AND(V145&gt;=40,V145&lt;75,W145&gt;=120),0.12,0)+IF(AND(V145&gt;=75,V145&lt;175,W145&lt;65),0.2,0)+IF(AND(V145&gt;=75,V145&lt;175,W145&gt;=65,W145&lt;110),0.15,0)+IF(AND(V145&gt;=75,V145&lt;175,W145&gt;=110),0.12,0)+IF(AND(V145&gt;=175,W145&lt;55),0.2,0)+IF(AND(V145&gt;=175,W145&gt;=55,W145&lt;95),0.15,0)+IF(AND(V145&gt;=175,W145&gt;=95),0.12,0),
IF(AF145="DoEVku",IF(AND(V145&lt;20,W145&lt;55),0.23,0)+IF(AND(V145&lt;20,W145&gt;=55,W145&lt;105),0.2,0)+IF(AND(V145&lt;20,W145&gt;=105),0.17,0)+IF(AND(V145&gt;=20,V145&lt;40,W145&lt;45),0.23,0)+IF(AND(V145&gt;=20,V145&lt;40,W145&gt;=45,W145&lt;95),0.2,0)+IF(AND(V145&gt;=20,V145&lt;40,W145&gt;=95,W145&lt;=150),0.17,0)+IF(AND(V145&gt;=20,V145&lt;40,W145&gt;=150),0.12,0)+IF(AND(V145&gt;=40,V145&lt;75,W145&lt;35),0.23,0)+IF(AND(V145&gt;=40,V145&lt;75,W145&gt;=35,W145&lt;75),0.2,0)+IF(AND(V145&gt;=40,V145&lt;75,W145&gt;=75,W145&lt;120),0.17,0)+IF(AND(V145&gt;=40,V145&lt;75,W145&gt;=120),0.12,0)+IF(AND(V145&gt;=75,V145&lt;175,W145&lt;35),0.23,0)+IF(AND(V145&gt;=75,V145&lt;=175,W145&gt;=35,W145&lt;65),0.2,0)+IF(AND(V145&gt;=75,V145&lt;=175,W145&gt;=65,W145&lt;110),0.17,0)+IF(AND(V145&gt;=75,V145&lt;=175,W145&gt;=110),0.12,0)+IF(AND(V145&gt;175,W145&lt;25),0.23,0)+IF(AND(V145&gt;175,W145&gt;=25,W145&lt;55),0.2,0)+IF(AND(V145&gt;175,W145&gt;=55,W145&lt;95),0.17,0)+IF(AND(V145&gt;175,W145&gt;=95),0.12,0),
IF(AF145="DoEVs1",IF(AND(V145&lt;20,W145&lt;55),0.3,0)+IF(AND(V145&lt;20,W145&gt;=55,W145&lt;105),0.23,0)+IF(AND(V145&lt;20,W145&gt;=105),0.17,0)+IF(AND(V145&gt;=20,V145&lt;40,W145&lt;45),0.3,0)+IF(AND(V145&gt;=20,V145&lt;40,W145&gt;=45,W145&lt;95),0.23,0)+IF(AND(V145&gt;=20,V145&lt;40,W145&gt;=95,W145&lt;=150),0.17,0)+IF(AND(V145&gt;=20,V145&lt;40,W145&gt;=150),0.12,0)+IF(AND(V145&gt;=40,V145&lt;75,W145&lt;35),0.3,0)+IF(AND(V145&gt;=40,V145&lt;75,W145&gt;=35,W145&lt;75),0.23,0)+IF(AND(V145&gt;=40,V145&lt;75,W145&gt;=75,W145&lt;120),0.17,0)+IF(AND(V145&gt;=40,V145&lt;75,W145&gt;=120),0.12,0)+IF(AND(V145&gt;=75,V145&lt;175,W145&lt;35),0.3,0)+IF(AND(V145&gt;=75,V145&lt;=175,W145&gt;=35,W145&lt;65),0.23,0)+IF(AND(V145&gt;=75,V145&lt;=175,W145&gt;=65,W145&lt;110),0.17,0)+IF(AND(V145&gt;=75,V145&lt;=175,W145&gt;=110),0.12,0)+IF(AND(V145&gt;175,W145&lt;25),0.3,0)+IF(AND(V145&gt;175,W145&gt;=25,W145&lt;55),0.23,0)+IF(AND(V145&gt;175,W145&gt;=55,W145&lt;95),0.17,0)+IF(AND(V145&gt;175,W145&gt;=95),0.12,0),
IF(AF145="DoEVsu",IF(AND(V145&lt;20,W145&lt;55),0.3,0)+IF(AND(V145&lt;20,W145&gt;=55,W145&lt;105),0.23,0)+IF(AND(V145&lt;20,W145&gt;=105),0.17,0)+IF(AND(V145&gt;=20,V145&lt;40,W145&lt;45),0.3,0)+IF(AND(V145&gt;=20,V145&lt;40,W145&gt;=45,W145&lt;95),0.23,0)+IF(AND(V145&gt;=20,V145&lt;40,W145&gt;=95,W145&lt;=250),0.17,0)+IF(AND(V145&gt;=20,V145&lt;40,W145&gt;=250),0.12,0)+IF(AND(V145&gt;=40,V145&lt;75,W145&lt;35),0.3,0)+IF(AND(V145&gt;=40,V145&lt;75,W145&gt;=35,W145&lt;75),0.23,0)+IF(AND(V145&gt;=40,V145&lt;75,W145&gt;=75,W145&lt;120),0.17,0)+IF(AND(V145&gt;=40,V145&lt;75,W145&gt;=120),0.12,0)+IF(AND(V145&gt;=75,V145&lt;175,W145&lt;35),0.3,0)+IF(AND(V145&gt;=75,V145&lt;=175,W145&gt;=35,W145&lt;65),0.23,0)+IF(AND(V145&gt;=75,V145&lt;=175,W145&gt;=65,W145&lt;110),0.17,0)+IF(AND(V145&gt;=75,V145&lt;=175,W145&gt;=110),0.12,0)+IF(AND(V145&gt;175,W145&lt;25),0.3,0)+IF(AND(V145&gt;175,W145&gt;=25,W145&lt;55),0.23,0)+IF(AND(V145&gt;175,W145&gt;=55,W145&lt;95),0.17,0)+IF(AND(V145&gt;175,W145&gt;=95),0.12,0),
IF(AF145="DoEVni",IF(AND(V145&lt;20,W145&lt;55),0.3,0)+IF(AND(V145&lt;20,W145&gt;=55,W145&lt;105),0.23,0)+IF(AND(V145&lt;20,W145&gt;=105),0.17,0)+IF(AND(V145&gt;=20,V145&lt;40,W145&lt;45),0.3,0)+IF(AND(V145&gt;=20,V145&lt;40,W145&gt;=45,W145&lt;95),0.23,0)+IF(AND(V145&gt;=20,V145&lt;40,W145&gt;=95,W145&lt;=200),0.17,0)+IF(AND(V145&gt;=20,V145&lt;40,W145&gt;=200),0.12,0)+IF(AND(V145&gt;=40,V145&lt;75,W145&lt;35),0.3,0)+IF(AND(V145&gt;=40,V145&lt;75,W145&gt;=35,W145&lt;75),0.23,0)+IF(AND(V145&gt;=40,V145&lt;75,W145&gt;=75,W145&lt;120),0.17,0)+IF(AND(V145&gt;=40,V145&lt;75,W145&gt;=120),0.12,0)+IF(AND(V145&gt;=75,V145&lt;175,W145&lt;35),0.3,0)+IF(AND(V145&gt;=75,V145&lt;=175,W145&gt;=35,W145&lt;65),0.23,0)+IF(AND(V145&gt;=75,V145&lt;=175,W145&gt;=65,W145&lt;110),0.17,0)+IF(AND(V145&gt;=75,V145&lt;=175,W145&gt;=110),0.12,0)+IF(AND(V145&gt;175,W145&lt;25),0.3,0)+IF(AND(V145&gt;175,W145&gt;=25,W145&lt;55),0.23,0)+IF(AND(V145&gt;175,W145&gt;=55,W145&lt;95),0.17,0)+IF(AND(V145&gt;175,W145&gt;=95),0.12,0),
IF(AF145="DoEVLo",IF(AND(V145&lt;20,W145&lt;55),0.25,0)+IF(AND(V145&lt;20,W145&gt;=55,W145&lt;105),0.2,0)+IF(AND(V145&lt;20,W145&gt;=105),0.15,0)+IF(AND(V145&gt;=20,V145&lt;40,W145&lt;45),0.25,0)+IF(AND(V145&gt;=20,V145&lt;40,W145&gt;=45,W145&lt;95),0.2,0)+IF(AND(V145&gt;=20,V145&lt;40,W145&gt;=95),0.15,0)+IF(AND(V145&gt;=40,V145&lt;75,W145&lt;35),0.25,0)+IF(AND(V145&gt;=40,V145&lt;75,W145&gt;=35,W145&lt;75),0.2,0)+IF(AND(V145&gt;=40,V145&lt;75,W145&gt;=75,W145&lt;120),0.15,0)+IF(AND(V145&gt;=40,V145&lt;75,W145&gt;=120),0.1,0)+IF(AND(V145&gt;=75,V145&lt;175,W145&lt;35),0.25,0)+IF(AND(V145&gt;=75,V145&lt;=175,W145&gt;=35,W145&lt;65),0.2,0)+IF(AND(V145&gt;=75,V145&lt;=175,W145&gt;=65,W145&lt;110),0.15,0)+IF(AND(V145&gt;=75,V145&lt;=175,W145&gt;=110),0.1,0)+IF(AND(V145&gt;175,W145&lt;25),0.25,0)+IF(AND(V145&gt;175,W145&gt;=25,W145&lt;55),0.2,0)+IF(AND(V145&gt;175,W145&gt;=55,W145&lt;95),0.15,0)+IF(AND(V145&gt;175,W145&gt;=95),0.1,0))))))))))))))))</f>
        <v>0.22</v>
      </c>
      <c r="Y145" s="30">
        <f>IF(AG145="None",0,IF(AG145="Fix5",0.05,IF(AG145="Fix3.75",0.0375,IF(AG145="Fix10",0.1,IF(AG145="Fix3",0.03,0)))))</f>
        <v>0</v>
      </c>
      <c r="Z145" s="35">
        <f>T145-AA145-AB145</f>
        <v>-3.9</v>
      </c>
      <c r="AA145" s="29">
        <f>IF(AD145="EUR",((T145-R145)*X145)*U145+(R145*X145),(T145*X145))</f>
        <v>-1.1000000000000001</v>
      </c>
      <c r="AB145" s="36">
        <f>IF(AD145="EUR",((T145-R145)*Y145)*U145+(R145*Y145),(T145*Y145))</f>
        <v>0</v>
      </c>
      <c r="AC145" s="37" t="b">
        <v>1</v>
      </c>
      <c r="AD145" s="37" t="s">
        <v>38</v>
      </c>
      <c r="AE145" s="37" t="s">
        <v>38</v>
      </c>
      <c r="AF145" s="37" t="str">
        <f t="array" ref="AF145">INDEX('Deal Info'!D:D, MATCH(A145,'Deal Info'!A:A, 0))</f>
        <v>SF</v>
      </c>
      <c r="AG145" s="38" t="str">
        <f t="array" ref="AG145">INDEX('Deal Info'!G:G, MATCH(A145,'Deal Info'!A:A, 0))</f>
        <v>None</v>
      </c>
    </row>
    <row r="146" spans="1:33" ht="14.25" hidden="1" x14ac:dyDescent="0.2">
      <c r="A146" s="18" t="str">
        <f t="array" ref="A146">IF(G146='Room Info'!$B$1, INDEX('Room Info'!$A$2:$A2446, MATCH(B146,'Room Info'!$B$2:$B2446, 0)),IF(G146='Room Info'!$C$1, INDEX('Room Info'!$A$2:$A2446, MATCH(B146,'Room Info'!$C$2:$C2446, 0)),IF(G146='Room Info'!$D$1, INDEX('Room Info'!$A$2:$A2446, MATCH(B146,'Room Info'!$D$2:$D2446, 0)),IF(G146='Room Info'!$E$1, INDEX('Room Info'!$A$2:$A2446, MATCH(B146,'Room Info'!$E$2:$E2446, 0)),IF(G146='Room Info'!$F$1, INDEX('Room Info'!$A$2:$A2446, MATCH(B146,'Room Info'!$F$2:$F2446, 0)),IF(G146='Room Info'!$H$1, INDEX('Room Info'!$A$2:$A2446, MATCH(B146,'Room Info'!$H$2:$H2446, 0)),IF(G146='Room Info'!$G$1, INDEX('Room Info'!$A$2:$A2446, MATCH(B146,'Room Info'!$G$2:$G2446, 0)))))))))</f>
        <v>bbaltqq</v>
      </c>
      <c r="B146" s="54" t="s">
        <v>89</v>
      </c>
      <c r="C146" s="68">
        <v>44551</v>
      </c>
      <c r="D146" s="46">
        <v>44581</v>
      </c>
      <c r="E146" s="47">
        <v>44562</v>
      </c>
      <c r="F146" s="45" t="s">
        <v>41</v>
      </c>
      <c r="G146" s="54" t="s">
        <v>35</v>
      </c>
      <c r="H146" s="49" t="s">
        <v>70</v>
      </c>
      <c r="I146" s="49" t="s">
        <v>37</v>
      </c>
      <c r="J146" s="50">
        <v>100</v>
      </c>
      <c r="K146" s="51">
        <v>1155</v>
      </c>
      <c r="L146" s="52">
        <v>-3200</v>
      </c>
      <c r="M146" s="53">
        <v>1750</v>
      </c>
      <c r="N146" s="28">
        <f>K146*J146</f>
        <v>115500</v>
      </c>
      <c r="O146" s="54">
        <v>15015</v>
      </c>
      <c r="P146" s="29">
        <v>13</v>
      </c>
      <c r="Q146" s="55"/>
      <c r="R146" s="31">
        <f>M146+Q146</f>
        <v>1750</v>
      </c>
      <c r="S146" s="56"/>
      <c r="T146" s="32">
        <f>R146+S146+IF(F146="Without EV deal",L146,0)</f>
        <v>-1450</v>
      </c>
      <c r="U146" s="33">
        <v>1</v>
      </c>
      <c r="V146" s="69">
        <v>95.457682184569833</v>
      </c>
      <c r="W146" s="58">
        <v>22.68</v>
      </c>
      <c r="X146" s="30">
        <f>IF(AF146="DoEV",IF(AND(V146&lt;20,W146&lt;55),0.3,0)+IF(AND(V146&lt;20,W146&gt;=55,W146&lt;105),0.23,0)+IF(AND(V146&lt;20,W146&gt;=105),0.17,0)+IF(AND(V146&gt;=20,V146&lt;40,W146&lt;45),0.3,0)+IF(AND(V146&gt;=20,V146&lt;40,W146&gt;=45,W146&lt;95),0.23,0)+IF(AND(V146&gt;=20,V146&lt;40,W146&gt;=95),0.17,0)+IF(AND(V146&gt;=40,V146&lt;75,W146&lt;35),0.3,0)+IF(AND(V146&gt;=40,V146&lt;75,W146&gt;=35,W146&lt;75),0.23,0)+IF(AND(V146&gt;=40,V146&lt;75,W146&gt;=75,W146&lt;120),0.17,0)+IF(AND(V146&gt;=40,V146&lt;75,W146&gt;=120),0.12,0)+IF(AND(V146&gt;=75,V146&lt;175,W146&lt;35),0.3,0)+IF(AND(V146&gt;=75,V146&lt;=175,W146&gt;=35,W146&lt;65),0.23,0)+IF(AND(V146&gt;=75,V146&lt;=175,W146&gt;=65,W146&lt;110),0.17,0)+IF(AND(V146&gt;=75,V146&lt;=175,W146&gt;=110),0.12,0)+IF(AND(V146&gt;175,W146&lt;25),0.3,0)+IF(AND(V146&gt;175,W146&gt;=25,W146&lt;55),0.23,0)+IF(AND(V146&gt;175,W146&gt;=55,W146&lt;95),0.17,0)+IF(AND(V146&gt;175,W146&gt;=95),0.12,0),
IF(AF146="Fix15",0.15,
IF(AF146="Fix11.25",0.1125,
IF(AF146="Fix10",0.1,
IF(AF146="Fix9",0.09,
IF(AF146="DoEV2017",IF(AND(W146&lt;74),0.2,0)+IF(AND(W146&gt;=74),0.17,0),
IF(AF146="SF",IF(AND(V146&lt;20,W146&lt;89),0.3,0)+IF(AND(V146&lt;20,W146&gt;=89),0.25,0)+IF(AND(V146&gt;=20,V146&lt;40,W146&lt;74),0.3,0)+IF(AND(V146&gt;=20,V146&lt;40,W146&gt;=75),0.22,0)+IF(AND(V146&gt;=40,V146&lt;75,W146&lt;75),0.26,0)+IF(AND(V146&gt;=40,V146&lt;75,W146&gt;=75),0.22,0)+IF(V146&gt;=75,0.22,0),
IF(AF146="DoEVold",IF(AND(V146&lt;40,W146&lt;35),0.35,0)+IF(AND(V146&lt;40,W146&gt;=35,W146&lt;75),0.25,0)+IF(AND(V146&lt;40,W146&gt;=75),0.17,0)+IF(AND(V146&gt;=40,V146&lt;75,W146&lt;25),0.35,0)+IF(AND(V146&gt;=40,V146&lt;75,W146&gt;=25,W146&lt;65),0.25,0)+IF(AND(V146&gt;=40,V146&lt;75,W146&gt;=65,W146&lt;100),0.17,0)+IF(AND(V146&gt;=40,V146&lt;75,W146&gt;=100),0.1,0)+IF(AND(V146&gt;=75,W146&lt;25),0.35,0)+IF(AND(V146&gt;=75,W146&gt;=25,W146&lt;60),0.25,0)+IF(AND(V146&gt;=75,W146&gt;=60,W146&lt;95),0.17,0)+IF(AND(V146&gt;=75,W146&gt;=95),0.1,0),
IF(AF146="DoEVold15",IF(AND(V146&lt;=40,W146&lt;35),0.35,0)+IF(AND(V146&lt;=40,W146&gt;=35,W146&lt;75),0.25,0)+IF(AND(V146&lt;=40,W146&gt;=75,W146&lt;120),0.17,0)+IF(AND(V146&lt;=40,W146&gt;=120),0.15,0)+IF(AND(V146&gt;40,V146&lt;75,W146&lt;25),0.35,0)+IF(AND(V146&gt;=40,V146&lt;75,W146&gt;=25,W146&lt;65),0.25,0)+IF(AND(V146&gt;=40,V146&lt;75,W146&gt;=65,W146&lt;100),0.17,0)+IF(AND(V146&gt;=40,V146&lt;75,W146&gt;=100),0.1,0)+IF(AND(V146&gt;=75,W146&lt;25),0.35,0)+IF(AND(V146&gt;=75,W146&gt;=25,W146&lt;60),0.25,0)+IF(AND(V146&gt;=75,W146&gt;=60,W146&lt;95),0.17,0)+IF(AND(V146&gt;=75,W146&gt;=95),0.1,0),
IF(AF146="DoEVba",IF(AND(V146&lt;20,W146&lt;105),0.2,0)+IF(AND(V146&lt;20,W146&gt;=105),0.15,0)+IF(AND(V146&gt;=20,V146&lt;40,W146&lt;95),0.2,0)+IF(AND(V146&gt;=20,V146&lt;40,W146&gt;=95,W146&lt;150),0.15,0)+IF(AND(V146&gt;=20,V146&lt;40,W146&gt;=150),0.12,0)+IF(AND(V146&gt;=40,V146&lt;75,W146&lt;75),0.2,0)+IF(AND(V146&gt;=40,V146&lt;75,W146&gt;=75,W146&lt;120),0.15,0)+IF(AND(V146&gt;=40,V146&lt;75,W146&gt;=120),0.12,0)+IF(AND(V146&gt;=75,V146&lt;175,W146&lt;65),0.2,0)+IF(AND(V146&gt;=75,V146&lt;175,W146&gt;=65,W146&lt;110),0.15,0)+IF(AND(V146&gt;=75,V146&lt;175,W146&gt;=110),0.12,0)+IF(AND(V146&gt;=175,W146&lt;55),0.2,0)+IF(AND(V146&gt;=175,W146&gt;=55,W146&lt;95),0.15,0)+IF(AND(V146&gt;=175,W146&gt;=95),0.12,0),
IF(AF146="DoEVku",IF(AND(V146&lt;20,W146&lt;55),0.23,0)+IF(AND(V146&lt;20,W146&gt;=55,W146&lt;105),0.2,0)+IF(AND(V146&lt;20,W146&gt;=105),0.17,0)+IF(AND(V146&gt;=20,V146&lt;40,W146&lt;45),0.23,0)+IF(AND(V146&gt;=20,V146&lt;40,W146&gt;=45,W146&lt;95),0.2,0)+IF(AND(V146&gt;=20,V146&lt;40,W146&gt;=95,W146&lt;=150),0.17,0)+IF(AND(V146&gt;=20,V146&lt;40,W146&gt;=150),0.12,0)+IF(AND(V146&gt;=40,V146&lt;75,W146&lt;35),0.23,0)+IF(AND(V146&gt;=40,V146&lt;75,W146&gt;=35,W146&lt;75),0.2,0)+IF(AND(V146&gt;=40,V146&lt;75,W146&gt;=75,W146&lt;120),0.17,0)+IF(AND(V146&gt;=40,V146&lt;75,W146&gt;=120),0.12,0)+IF(AND(V146&gt;=75,V146&lt;175,W146&lt;35),0.23,0)+IF(AND(V146&gt;=75,V146&lt;=175,W146&gt;=35,W146&lt;65),0.2,0)+IF(AND(V146&gt;=75,V146&lt;=175,W146&gt;=65,W146&lt;110),0.17,0)+IF(AND(V146&gt;=75,V146&lt;=175,W146&gt;=110),0.12,0)+IF(AND(V146&gt;175,W146&lt;25),0.23,0)+IF(AND(V146&gt;175,W146&gt;=25,W146&lt;55),0.2,0)+IF(AND(V146&gt;175,W146&gt;=55,W146&lt;95),0.17,0)+IF(AND(V146&gt;175,W146&gt;=95),0.12,0),
IF(AF146="DoEVs1",IF(AND(V146&lt;20,W146&lt;55),0.3,0)+IF(AND(V146&lt;20,W146&gt;=55,W146&lt;105),0.23,0)+IF(AND(V146&lt;20,W146&gt;=105),0.17,0)+IF(AND(V146&gt;=20,V146&lt;40,W146&lt;45),0.3,0)+IF(AND(V146&gt;=20,V146&lt;40,W146&gt;=45,W146&lt;95),0.23,0)+IF(AND(V146&gt;=20,V146&lt;40,W146&gt;=95,W146&lt;=150),0.17,0)+IF(AND(V146&gt;=20,V146&lt;40,W146&gt;=150),0.12,0)+IF(AND(V146&gt;=40,V146&lt;75,W146&lt;35),0.3,0)+IF(AND(V146&gt;=40,V146&lt;75,W146&gt;=35,W146&lt;75),0.23,0)+IF(AND(V146&gt;=40,V146&lt;75,W146&gt;=75,W146&lt;120),0.17,0)+IF(AND(V146&gt;=40,V146&lt;75,W146&gt;=120),0.12,0)+IF(AND(V146&gt;=75,V146&lt;175,W146&lt;35),0.3,0)+IF(AND(V146&gt;=75,V146&lt;=175,W146&gt;=35,W146&lt;65),0.23,0)+IF(AND(V146&gt;=75,V146&lt;=175,W146&gt;=65,W146&lt;110),0.17,0)+IF(AND(V146&gt;=75,V146&lt;=175,W146&gt;=110),0.12,0)+IF(AND(V146&gt;175,W146&lt;25),0.3,0)+IF(AND(V146&gt;175,W146&gt;=25,W146&lt;55),0.23,0)+IF(AND(V146&gt;175,W146&gt;=55,W146&lt;95),0.17,0)+IF(AND(V146&gt;175,W146&gt;=95),0.12,0),
IF(AF146="DoEVsu",IF(AND(V146&lt;20,W146&lt;55),0.3,0)+IF(AND(V146&lt;20,W146&gt;=55,W146&lt;105),0.23,0)+IF(AND(V146&lt;20,W146&gt;=105),0.17,0)+IF(AND(V146&gt;=20,V146&lt;40,W146&lt;45),0.3,0)+IF(AND(V146&gt;=20,V146&lt;40,W146&gt;=45,W146&lt;95),0.23,0)+IF(AND(V146&gt;=20,V146&lt;40,W146&gt;=95,W146&lt;=250),0.17,0)+IF(AND(V146&gt;=20,V146&lt;40,W146&gt;=250),0.12,0)+IF(AND(V146&gt;=40,V146&lt;75,W146&lt;35),0.3,0)+IF(AND(V146&gt;=40,V146&lt;75,W146&gt;=35,W146&lt;75),0.23,0)+IF(AND(V146&gt;=40,V146&lt;75,W146&gt;=75,W146&lt;120),0.17,0)+IF(AND(V146&gt;=40,V146&lt;75,W146&gt;=120),0.12,0)+IF(AND(V146&gt;=75,V146&lt;175,W146&lt;35),0.3,0)+IF(AND(V146&gt;=75,V146&lt;=175,W146&gt;=35,W146&lt;65),0.23,0)+IF(AND(V146&gt;=75,V146&lt;=175,W146&gt;=65,W146&lt;110),0.17,0)+IF(AND(V146&gt;=75,V146&lt;=175,W146&gt;=110),0.12,0)+IF(AND(V146&gt;175,W146&lt;25),0.3,0)+IF(AND(V146&gt;175,W146&gt;=25,W146&lt;55),0.23,0)+IF(AND(V146&gt;175,W146&gt;=55,W146&lt;95),0.17,0)+IF(AND(V146&gt;175,W146&gt;=95),0.12,0),
IF(AF146="DoEVni",IF(AND(V146&lt;20,W146&lt;55),0.3,0)+IF(AND(V146&lt;20,W146&gt;=55,W146&lt;105),0.23,0)+IF(AND(V146&lt;20,W146&gt;=105),0.17,0)+IF(AND(V146&gt;=20,V146&lt;40,W146&lt;45),0.3,0)+IF(AND(V146&gt;=20,V146&lt;40,W146&gt;=45,W146&lt;95),0.23,0)+IF(AND(V146&gt;=20,V146&lt;40,W146&gt;=95,W146&lt;=200),0.17,0)+IF(AND(V146&gt;=20,V146&lt;40,W146&gt;=200),0.12,0)+IF(AND(V146&gt;=40,V146&lt;75,W146&lt;35),0.3,0)+IF(AND(V146&gt;=40,V146&lt;75,W146&gt;=35,W146&lt;75),0.23,0)+IF(AND(V146&gt;=40,V146&lt;75,W146&gt;=75,W146&lt;120),0.17,0)+IF(AND(V146&gt;=40,V146&lt;75,W146&gt;=120),0.12,0)+IF(AND(V146&gt;=75,V146&lt;175,W146&lt;35),0.3,0)+IF(AND(V146&gt;=75,V146&lt;=175,W146&gt;=35,W146&lt;65),0.23,0)+IF(AND(V146&gt;=75,V146&lt;=175,W146&gt;=65,W146&lt;110),0.17,0)+IF(AND(V146&gt;=75,V146&lt;=175,W146&gt;=110),0.12,0)+IF(AND(V146&gt;175,W146&lt;25),0.3,0)+IF(AND(V146&gt;175,W146&gt;=25,W146&lt;55),0.23,0)+IF(AND(V146&gt;175,W146&gt;=55,W146&lt;95),0.17,0)+IF(AND(V146&gt;175,W146&gt;=95),0.12,0),
IF(AF146="DoEVLo",IF(AND(V146&lt;20,W146&lt;55),0.25,0)+IF(AND(V146&lt;20,W146&gt;=55,W146&lt;105),0.2,0)+IF(AND(V146&lt;20,W146&gt;=105),0.15,0)+IF(AND(V146&gt;=20,V146&lt;40,W146&lt;45),0.25,0)+IF(AND(V146&gt;=20,V146&lt;40,W146&gt;=45,W146&lt;95),0.2,0)+IF(AND(V146&gt;=20,V146&lt;40,W146&gt;=95),0.15,0)+IF(AND(V146&gt;=40,V146&lt;75,W146&lt;35),0.25,0)+IF(AND(V146&gt;=40,V146&lt;75,W146&gt;=35,W146&lt;75),0.2,0)+IF(AND(V146&gt;=40,V146&lt;75,W146&gt;=75,W146&lt;120),0.15,0)+IF(AND(V146&gt;=40,V146&lt;75,W146&gt;=120),0.1,0)+IF(AND(V146&gt;=75,V146&lt;175,W146&lt;35),0.25,0)+IF(AND(V146&gt;=75,V146&lt;=175,W146&gt;=35,W146&lt;65),0.2,0)+IF(AND(V146&gt;=75,V146&lt;=175,W146&gt;=65,W146&lt;110),0.15,0)+IF(AND(V146&gt;=75,V146&lt;=175,W146&gt;=110),0.1,0)+IF(AND(V146&gt;175,W146&lt;25),0.25,0)+IF(AND(V146&gt;175,W146&gt;=25,W146&lt;55),0.2,0)+IF(AND(V146&gt;175,W146&gt;=55,W146&lt;95),0.15,0)+IF(AND(V146&gt;175,W146&gt;=95),0.1,0))))))))))))))))</f>
        <v>0.22</v>
      </c>
      <c r="Y146" s="30">
        <f>IF(AG146="None",0,IF(AG146="Fix5",0.05,IF(AG146="Fix3.75",0.0375,IF(AG146="Fix10",0.1,IF(AG146="Fix3",0.03,0)))))</f>
        <v>0</v>
      </c>
      <c r="Z146" s="35">
        <f>T146-AA146-AB146</f>
        <v>-1131</v>
      </c>
      <c r="AA146" s="29">
        <f>IF(AD146="EUR",((T146-R146)*X146)*U146+(R146*X146),(T146*X146))</f>
        <v>-319</v>
      </c>
      <c r="AB146" s="36">
        <f>IF(AD146="EUR",((T146-R146)*Y146)*U146+(R146*Y146),(T146*Y146))</f>
        <v>0</v>
      </c>
      <c r="AC146" s="37" t="b">
        <v>1</v>
      </c>
      <c r="AD146" s="37" t="s">
        <v>38</v>
      </c>
      <c r="AE146" s="37" t="s">
        <v>38</v>
      </c>
      <c r="AF146" s="37" t="str">
        <f t="array" ref="AF146">INDEX('Deal Info'!D:D, MATCH(A146,'Deal Info'!A:A, 0))</f>
        <v>SF</v>
      </c>
      <c r="AG146" s="38" t="str">
        <f t="array" ref="AG146">INDEX('Deal Info'!G:G, MATCH(A146,'Deal Info'!A:A, 0))</f>
        <v>None</v>
      </c>
    </row>
    <row r="147" spans="1:33" ht="14.25" hidden="1" x14ac:dyDescent="0.2">
      <c r="A147" s="18" t="str">
        <f t="array" ref="A147">IF(G147='Room Info'!$B$1, INDEX('Room Info'!$A$2:$A2446, MATCH(B147,'Room Info'!$B$2:$B2446, 0)),IF(G147='Room Info'!$C$1, INDEX('Room Info'!$A$2:$A2446, MATCH(B147,'Room Info'!$C$2:$C2446, 0)),IF(G147='Room Info'!$D$1, INDEX('Room Info'!$A$2:$A2446, MATCH(B147,'Room Info'!$D$2:$D2446, 0)),IF(G147='Room Info'!$E$1, INDEX('Room Info'!$A$2:$A2446, MATCH(B147,'Room Info'!$E$2:$E2446, 0)),IF(G147='Room Info'!$F$1, INDEX('Room Info'!$A$2:$A2446, MATCH(B147,'Room Info'!$F$2:$F2446, 0)),IF(G147='Room Info'!$H$1, INDEX('Room Info'!$A$2:$A2446, MATCH(B147,'Room Info'!$H$2:$H2446, 0)),IF(G147='Room Info'!$G$1, INDEX('Room Info'!$A$2:$A2446, MATCH(B147,'Room Info'!$G$2:$G2446, 0)))))))))</f>
        <v>bbaltqq</v>
      </c>
      <c r="B147" s="54" t="s">
        <v>89</v>
      </c>
      <c r="C147" s="68">
        <v>44582</v>
      </c>
      <c r="D147" s="46">
        <v>44620</v>
      </c>
      <c r="E147" s="47">
        <v>44593</v>
      </c>
      <c r="F147" s="45" t="s">
        <v>41</v>
      </c>
      <c r="G147" s="54" t="s">
        <v>35</v>
      </c>
      <c r="H147" s="49" t="s">
        <v>39</v>
      </c>
      <c r="I147" s="49" t="s">
        <v>37</v>
      </c>
      <c r="J147" s="50">
        <v>5</v>
      </c>
      <c r="K147" s="51">
        <v>1</v>
      </c>
      <c r="L147" s="52">
        <v>5</v>
      </c>
      <c r="M147" s="62"/>
      <c r="N147" s="28">
        <f>K147*J147</f>
        <v>5</v>
      </c>
      <c r="O147" s="54">
        <v>659</v>
      </c>
      <c r="P147" s="29">
        <v>659</v>
      </c>
      <c r="Q147" s="55"/>
      <c r="R147" s="31">
        <f>M147+Q147</f>
        <v>0</v>
      </c>
      <c r="S147" s="56"/>
      <c r="T147" s="32">
        <f>R147+S147+IF(F147="Without EV deal",L147,0)</f>
        <v>5</v>
      </c>
      <c r="U147" s="33">
        <v>1</v>
      </c>
      <c r="V147" s="69">
        <v>95.457682184569833</v>
      </c>
      <c r="W147" s="58">
        <v>22.68</v>
      </c>
      <c r="X147" s="30">
        <f>IF(AF147="DoEV",IF(AND(V147&lt;20,W147&lt;55),0.3,0)+IF(AND(V147&lt;20,W147&gt;=55,W147&lt;105),0.23,0)+IF(AND(V147&lt;20,W147&gt;=105),0.17,0)+IF(AND(V147&gt;=20,V147&lt;40,W147&lt;45),0.3,0)+IF(AND(V147&gt;=20,V147&lt;40,W147&gt;=45,W147&lt;95),0.23,0)+IF(AND(V147&gt;=20,V147&lt;40,W147&gt;=95),0.17,0)+IF(AND(V147&gt;=40,V147&lt;75,W147&lt;35),0.3,0)+IF(AND(V147&gt;=40,V147&lt;75,W147&gt;=35,W147&lt;75),0.23,0)+IF(AND(V147&gt;=40,V147&lt;75,W147&gt;=75,W147&lt;120),0.17,0)+IF(AND(V147&gt;=40,V147&lt;75,W147&gt;=120),0.12,0)+IF(AND(V147&gt;=75,V147&lt;175,W147&lt;35),0.3,0)+IF(AND(V147&gt;=75,V147&lt;=175,W147&gt;=35,W147&lt;65),0.23,0)+IF(AND(V147&gt;=75,V147&lt;=175,W147&gt;=65,W147&lt;110),0.17,0)+IF(AND(V147&gt;=75,V147&lt;=175,W147&gt;=110),0.12,0)+IF(AND(V147&gt;175,W147&lt;25),0.3,0)+IF(AND(V147&gt;175,W147&gt;=25,W147&lt;55),0.23,0)+IF(AND(V147&gt;175,W147&gt;=55,W147&lt;95),0.17,0)+IF(AND(V147&gt;175,W147&gt;=95),0.12,0),
IF(AF147="Fix15",0.15,
IF(AF147="Fix11.25",0.1125,
IF(AF147="Fix10",0.1,
IF(AF147="Fix9",0.09,
IF(AF147="DoEV2017",IF(AND(W147&lt;74),0.2,0)+IF(AND(W147&gt;=74),0.17,0),
IF(AF147="SF",IF(AND(V147&lt;20,W147&lt;89),0.3,0)+IF(AND(V147&lt;20,W147&gt;=89),0.25,0)+IF(AND(V147&gt;=20,V147&lt;40,W147&lt;74),0.3,0)+IF(AND(V147&gt;=20,V147&lt;40,W147&gt;=75),0.22,0)+IF(AND(V147&gt;=40,V147&lt;75,W147&lt;75),0.26,0)+IF(AND(V147&gt;=40,V147&lt;75,W147&gt;=75),0.22,0)+IF(V147&gt;=75,0.22,0),
IF(AF147="DoEVold",IF(AND(V147&lt;40,W147&lt;35),0.35,0)+IF(AND(V147&lt;40,W147&gt;=35,W147&lt;75),0.25,0)+IF(AND(V147&lt;40,W147&gt;=75),0.17,0)+IF(AND(V147&gt;=40,V147&lt;75,W147&lt;25),0.35,0)+IF(AND(V147&gt;=40,V147&lt;75,W147&gt;=25,W147&lt;65),0.25,0)+IF(AND(V147&gt;=40,V147&lt;75,W147&gt;=65,W147&lt;100),0.17,0)+IF(AND(V147&gt;=40,V147&lt;75,W147&gt;=100),0.1,0)+IF(AND(V147&gt;=75,W147&lt;25),0.35,0)+IF(AND(V147&gt;=75,W147&gt;=25,W147&lt;60),0.25,0)+IF(AND(V147&gt;=75,W147&gt;=60,W147&lt;95),0.17,0)+IF(AND(V147&gt;=75,W147&gt;=95),0.1,0),
IF(AF147="DoEVold15",IF(AND(V147&lt;=40,W147&lt;35),0.35,0)+IF(AND(V147&lt;=40,W147&gt;=35,W147&lt;75),0.25,0)+IF(AND(V147&lt;=40,W147&gt;=75,W147&lt;120),0.17,0)+IF(AND(V147&lt;=40,W147&gt;=120),0.15,0)+IF(AND(V147&gt;40,V147&lt;75,W147&lt;25),0.35,0)+IF(AND(V147&gt;=40,V147&lt;75,W147&gt;=25,W147&lt;65),0.25,0)+IF(AND(V147&gt;=40,V147&lt;75,W147&gt;=65,W147&lt;100),0.17,0)+IF(AND(V147&gt;=40,V147&lt;75,W147&gt;=100),0.1,0)+IF(AND(V147&gt;=75,W147&lt;25),0.35,0)+IF(AND(V147&gt;=75,W147&gt;=25,W147&lt;60),0.25,0)+IF(AND(V147&gt;=75,W147&gt;=60,W147&lt;95),0.17,0)+IF(AND(V147&gt;=75,W147&gt;=95),0.1,0),
IF(AF147="DoEVba",IF(AND(V147&lt;20,W147&lt;105),0.2,0)+IF(AND(V147&lt;20,W147&gt;=105),0.15,0)+IF(AND(V147&gt;=20,V147&lt;40,W147&lt;95),0.2,0)+IF(AND(V147&gt;=20,V147&lt;40,W147&gt;=95,W147&lt;150),0.15,0)+IF(AND(V147&gt;=20,V147&lt;40,W147&gt;=150),0.12,0)+IF(AND(V147&gt;=40,V147&lt;75,W147&lt;75),0.2,0)+IF(AND(V147&gt;=40,V147&lt;75,W147&gt;=75,W147&lt;120),0.15,0)+IF(AND(V147&gt;=40,V147&lt;75,W147&gt;=120),0.12,0)+IF(AND(V147&gt;=75,V147&lt;175,W147&lt;65),0.2,0)+IF(AND(V147&gt;=75,V147&lt;175,W147&gt;=65,W147&lt;110),0.15,0)+IF(AND(V147&gt;=75,V147&lt;175,W147&gt;=110),0.12,0)+IF(AND(V147&gt;=175,W147&lt;55),0.2,0)+IF(AND(V147&gt;=175,W147&gt;=55,W147&lt;95),0.15,0)+IF(AND(V147&gt;=175,W147&gt;=95),0.12,0),
IF(AF147="DoEVku",IF(AND(V147&lt;20,W147&lt;55),0.23,0)+IF(AND(V147&lt;20,W147&gt;=55,W147&lt;105),0.2,0)+IF(AND(V147&lt;20,W147&gt;=105),0.17,0)+IF(AND(V147&gt;=20,V147&lt;40,W147&lt;45),0.23,0)+IF(AND(V147&gt;=20,V147&lt;40,W147&gt;=45,W147&lt;95),0.2,0)+IF(AND(V147&gt;=20,V147&lt;40,W147&gt;=95,W147&lt;=150),0.17,0)+IF(AND(V147&gt;=20,V147&lt;40,W147&gt;=150),0.12,0)+IF(AND(V147&gt;=40,V147&lt;75,W147&lt;35),0.23,0)+IF(AND(V147&gt;=40,V147&lt;75,W147&gt;=35,W147&lt;75),0.2,0)+IF(AND(V147&gt;=40,V147&lt;75,W147&gt;=75,W147&lt;120),0.17,0)+IF(AND(V147&gt;=40,V147&lt;75,W147&gt;=120),0.12,0)+IF(AND(V147&gt;=75,V147&lt;175,W147&lt;35),0.23,0)+IF(AND(V147&gt;=75,V147&lt;=175,W147&gt;=35,W147&lt;65),0.2,0)+IF(AND(V147&gt;=75,V147&lt;=175,W147&gt;=65,W147&lt;110),0.17,0)+IF(AND(V147&gt;=75,V147&lt;=175,W147&gt;=110),0.12,0)+IF(AND(V147&gt;175,W147&lt;25),0.23,0)+IF(AND(V147&gt;175,W147&gt;=25,W147&lt;55),0.2,0)+IF(AND(V147&gt;175,W147&gt;=55,W147&lt;95),0.17,0)+IF(AND(V147&gt;175,W147&gt;=95),0.12,0),
IF(AF147="DoEVs1",IF(AND(V147&lt;20,W147&lt;55),0.3,0)+IF(AND(V147&lt;20,W147&gt;=55,W147&lt;105),0.23,0)+IF(AND(V147&lt;20,W147&gt;=105),0.17,0)+IF(AND(V147&gt;=20,V147&lt;40,W147&lt;45),0.3,0)+IF(AND(V147&gt;=20,V147&lt;40,W147&gt;=45,W147&lt;95),0.23,0)+IF(AND(V147&gt;=20,V147&lt;40,W147&gt;=95,W147&lt;=150),0.17,0)+IF(AND(V147&gt;=20,V147&lt;40,W147&gt;=150),0.12,0)+IF(AND(V147&gt;=40,V147&lt;75,W147&lt;35),0.3,0)+IF(AND(V147&gt;=40,V147&lt;75,W147&gt;=35,W147&lt;75),0.23,0)+IF(AND(V147&gt;=40,V147&lt;75,W147&gt;=75,W147&lt;120),0.17,0)+IF(AND(V147&gt;=40,V147&lt;75,W147&gt;=120),0.12,0)+IF(AND(V147&gt;=75,V147&lt;175,W147&lt;35),0.3,0)+IF(AND(V147&gt;=75,V147&lt;=175,W147&gt;=35,W147&lt;65),0.23,0)+IF(AND(V147&gt;=75,V147&lt;=175,W147&gt;=65,W147&lt;110),0.17,0)+IF(AND(V147&gt;=75,V147&lt;=175,W147&gt;=110),0.12,0)+IF(AND(V147&gt;175,W147&lt;25),0.3,0)+IF(AND(V147&gt;175,W147&gt;=25,W147&lt;55),0.23,0)+IF(AND(V147&gt;175,W147&gt;=55,W147&lt;95),0.17,0)+IF(AND(V147&gt;175,W147&gt;=95),0.12,0),
IF(AF147="DoEVsu",IF(AND(V147&lt;20,W147&lt;55),0.3,0)+IF(AND(V147&lt;20,W147&gt;=55,W147&lt;105),0.23,0)+IF(AND(V147&lt;20,W147&gt;=105),0.17,0)+IF(AND(V147&gt;=20,V147&lt;40,W147&lt;45),0.3,0)+IF(AND(V147&gt;=20,V147&lt;40,W147&gt;=45,W147&lt;95),0.23,0)+IF(AND(V147&gt;=20,V147&lt;40,W147&gt;=95,W147&lt;=250),0.17,0)+IF(AND(V147&gt;=20,V147&lt;40,W147&gt;=250),0.12,0)+IF(AND(V147&gt;=40,V147&lt;75,W147&lt;35),0.3,0)+IF(AND(V147&gt;=40,V147&lt;75,W147&gt;=35,W147&lt;75),0.23,0)+IF(AND(V147&gt;=40,V147&lt;75,W147&gt;=75,W147&lt;120),0.17,0)+IF(AND(V147&gt;=40,V147&lt;75,W147&gt;=120),0.12,0)+IF(AND(V147&gt;=75,V147&lt;175,W147&lt;35),0.3,0)+IF(AND(V147&gt;=75,V147&lt;=175,W147&gt;=35,W147&lt;65),0.23,0)+IF(AND(V147&gt;=75,V147&lt;=175,W147&gt;=65,W147&lt;110),0.17,0)+IF(AND(V147&gt;=75,V147&lt;=175,W147&gt;=110),0.12,0)+IF(AND(V147&gt;175,W147&lt;25),0.3,0)+IF(AND(V147&gt;175,W147&gt;=25,W147&lt;55),0.23,0)+IF(AND(V147&gt;175,W147&gt;=55,W147&lt;95),0.17,0)+IF(AND(V147&gt;175,W147&gt;=95),0.12,0),
IF(AF147="DoEVni",IF(AND(V147&lt;20,W147&lt;55),0.3,0)+IF(AND(V147&lt;20,W147&gt;=55,W147&lt;105),0.23,0)+IF(AND(V147&lt;20,W147&gt;=105),0.17,0)+IF(AND(V147&gt;=20,V147&lt;40,W147&lt;45),0.3,0)+IF(AND(V147&gt;=20,V147&lt;40,W147&gt;=45,W147&lt;95),0.23,0)+IF(AND(V147&gt;=20,V147&lt;40,W147&gt;=95,W147&lt;=200),0.17,0)+IF(AND(V147&gt;=20,V147&lt;40,W147&gt;=200),0.12,0)+IF(AND(V147&gt;=40,V147&lt;75,W147&lt;35),0.3,0)+IF(AND(V147&gt;=40,V147&lt;75,W147&gt;=35,W147&lt;75),0.23,0)+IF(AND(V147&gt;=40,V147&lt;75,W147&gt;=75,W147&lt;120),0.17,0)+IF(AND(V147&gt;=40,V147&lt;75,W147&gt;=120),0.12,0)+IF(AND(V147&gt;=75,V147&lt;175,W147&lt;35),0.3,0)+IF(AND(V147&gt;=75,V147&lt;=175,W147&gt;=35,W147&lt;65),0.23,0)+IF(AND(V147&gt;=75,V147&lt;=175,W147&gt;=65,W147&lt;110),0.17,0)+IF(AND(V147&gt;=75,V147&lt;=175,W147&gt;=110),0.12,0)+IF(AND(V147&gt;175,W147&lt;25),0.3,0)+IF(AND(V147&gt;175,W147&gt;=25,W147&lt;55),0.23,0)+IF(AND(V147&gt;175,W147&gt;=55,W147&lt;95),0.17,0)+IF(AND(V147&gt;175,W147&gt;=95),0.12,0),
IF(AF147="DoEVLo",IF(AND(V147&lt;20,W147&lt;55),0.25,0)+IF(AND(V147&lt;20,W147&gt;=55,W147&lt;105),0.2,0)+IF(AND(V147&lt;20,W147&gt;=105),0.15,0)+IF(AND(V147&gt;=20,V147&lt;40,W147&lt;45),0.25,0)+IF(AND(V147&gt;=20,V147&lt;40,W147&gt;=45,W147&lt;95),0.2,0)+IF(AND(V147&gt;=20,V147&lt;40,W147&gt;=95),0.15,0)+IF(AND(V147&gt;=40,V147&lt;75,W147&lt;35),0.25,0)+IF(AND(V147&gt;=40,V147&lt;75,W147&gt;=35,W147&lt;75),0.2,0)+IF(AND(V147&gt;=40,V147&lt;75,W147&gt;=75,W147&lt;120),0.15,0)+IF(AND(V147&gt;=40,V147&lt;75,W147&gt;=120),0.1,0)+IF(AND(V147&gt;=75,V147&lt;175,W147&lt;35),0.25,0)+IF(AND(V147&gt;=75,V147&lt;=175,W147&gt;=35,W147&lt;65),0.2,0)+IF(AND(V147&gt;=75,V147&lt;=175,W147&gt;=65,W147&lt;110),0.15,0)+IF(AND(V147&gt;=75,V147&lt;=175,W147&gt;=110),0.1,0)+IF(AND(V147&gt;175,W147&lt;25),0.25,0)+IF(AND(V147&gt;175,W147&gt;=25,W147&lt;55),0.2,0)+IF(AND(V147&gt;175,W147&gt;=55,W147&lt;95),0.15,0)+IF(AND(V147&gt;175,W147&gt;=95),0.1,0))))))))))))))))</f>
        <v>0.22</v>
      </c>
      <c r="Y147" s="30">
        <f>IF(AG147="None",0,IF(AG147="Fix5",0.05,IF(AG147="Fix3.75",0.0375,IF(AG147="Fix10",0.1,IF(AG147="Fix3",0.03,0)))))</f>
        <v>0</v>
      </c>
      <c r="Z147" s="35">
        <f>T147-AA147-AB147</f>
        <v>3.9</v>
      </c>
      <c r="AA147" s="29">
        <f>IF(AD147="EUR",((T147-R147)*X147)*U147+(R147*X147),(T147*X147))</f>
        <v>1.1000000000000001</v>
      </c>
      <c r="AB147" s="36">
        <f>IF(AD147="EUR",((T147-R147)*Y147)*U147+(R147*Y147),(T147*Y147))</f>
        <v>0</v>
      </c>
      <c r="AC147" s="37" t="b">
        <v>1</v>
      </c>
      <c r="AD147" s="37" t="s">
        <v>38</v>
      </c>
      <c r="AE147" s="37" t="s">
        <v>38</v>
      </c>
      <c r="AF147" s="37" t="str">
        <f t="array" ref="AF147">INDEX('Deal Info'!D:D, MATCH(A147,'Deal Info'!A:A, 0))</f>
        <v>SF</v>
      </c>
      <c r="AG147" s="38" t="str">
        <f t="array" ref="AG147">INDEX('Deal Info'!G:G, MATCH(A147,'Deal Info'!A:A, 0))</f>
        <v>None</v>
      </c>
    </row>
    <row r="148" spans="1:33" ht="14.25" hidden="1" x14ac:dyDescent="0.2">
      <c r="A148" s="18" t="str">
        <f t="array" ref="A148">IF(G148='Room Info'!$B$1, INDEX('Room Info'!$A$2:$A2446, MATCH(B148,'Room Info'!$B$2:$B2446, 0)),IF(G148='Room Info'!$C$1, INDEX('Room Info'!$A$2:$A2446, MATCH(B148,'Room Info'!$C$2:$C2446, 0)),IF(G148='Room Info'!$D$1, INDEX('Room Info'!$A$2:$A2446, MATCH(B148,'Room Info'!$D$2:$D2446, 0)),IF(G148='Room Info'!$E$1, INDEX('Room Info'!$A$2:$A2446, MATCH(B148,'Room Info'!$E$2:$E2446, 0)),IF(G148='Room Info'!$F$1, INDEX('Room Info'!$A$2:$A2446, MATCH(B148,'Room Info'!$F$2:$F2446, 0)),IF(G148='Room Info'!$H$1, INDEX('Room Info'!$A$2:$A2446, MATCH(B148,'Room Info'!$H$2:$H2446, 0)),IF(G148='Room Info'!$G$1, INDEX('Room Info'!$A$2:$A2446, MATCH(B148,'Room Info'!$G$2:$G2446, 0)))))))))</f>
        <v>bbaltqq</v>
      </c>
      <c r="B148" s="54" t="s">
        <v>89</v>
      </c>
      <c r="C148" s="68">
        <v>44582</v>
      </c>
      <c r="D148" s="46">
        <v>44620</v>
      </c>
      <c r="E148" s="47">
        <v>44593</v>
      </c>
      <c r="F148" s="45" t="s">
        <v>41</v>
      </c>
      <c r="G148" s="54" t="s">
        <v>35</v>
      </c>
      <c r="H148" s="49" t="s">
        <v>70</v>
      </c>
      <c r="I148" s="49" t="s">
        <v>37</v>
      </c>
      <c r="J148" s="50">
        <v>100</v>
      </c>
      <c r="K148" s="51">
        <v>2669</v>
      </c>
      <c r="L148" s="52">
        <v>4300</v>
      </c>
      <c r="M148" s="53">
        <v>12257</v>
      </c>
      <c r="N148" s="28">
        <f>K148*J148</f>
        <v>266900</v>
      </c>
      <c r="O148" s="54">
        <v>8070</v>
      </c>
      <c r="P148" s="29">
        <v>3.0236043459999999</v>
      </c>
      <c r="Q148" s="55"/>
      <c r="R148" s="31">
        <f>M148+Q148</f>
        <v>12257</v>
      </c>
      <c r="S148" s="56"/>
      <c r="T148" s="32">
        <f>R148+S148+IF(F148="Without EV deal",L148,0)</f>
        <v>16557</v>
      </c>
      <c r="U148" s="33">
        <v>1</v>
      </c>
      <c r="V148" s="69">
        <v>95.457682184569833</v>
      </c>
      <c r="W148" s="58">
        <v>22.68</v>
      </c>
      <c r="X148" s="30">
        <f>IF(AF148="DoEV",IF(AND(V148&lt;20,W148&lt;55),0.3,0)+IF(AND(V148&lt;20,W148&gt;=55,W148&lt;105),0.23,0)+IF(AND(V148&lt;20,W148&gt;=105),0.17,0)+IF(AND(V148&gt;=20,V148&lt;40,W148&lt;45),0.3,0)+IF(AND(V148&gt;=20,V148&lt;40,W148&gt;=45,W148&lt;95),0.23,0)+IF(AND(V148&gt;=20,V148&lt;40,W148&gt;=95),0.17,0)+IF(AND(V148&gt;=40,V148&lt;75,W148&lt;35),0.3,0)+IF(AND(V148&gt;=40,V148&lt;75,W148&gt;=35,W148&lt;75),0.23,0)+IF(AND(V148&gt;=40,V148&lt;75,W148&gt;=75,W148&lt;120),0.17,0)+IF(AND(V148&gt;=40,V148&lt;75,W148&gt;=120),0.12,0)+IF(AND(V148&gt;=75,V148&lt;175,W148&lt;35),0.3,0)+IF(AND(V148&gt;=75,V148&lt;=175,W148&gt;=35,W148&lt;65),0.23,0)+IF(AND(V148&gt;=75,V148&lt;=175,W148&gt;=65,W148&lt;110),0.17,0)+IF(AND(V148&gt;=75,V148&lt;=175,W148&gt;=110),0.12,0)+IF(AND(V148&gt;175,W148&lt;25),0.3,0)+IF(AND(V148&gt;175,W148&gt;=25,W148&lt;55),0.23,0)+IF(AND(V148&gt;175,W148&gt;=55,W148&lt;95),0.17,0)+IF(AND(V148&gt;175,W148&gt;=95),0.12,0),
IF(AF148="Fix15",0.15,
IF(AF148="Fix11.25",0.1125,
IF(AF148="Fix10",0.1,
IF(AF148="Fix9",0.09,
IF(AF148="DoEV2017",IF(AND(W148&lt;74),0.2,0)+IF(AND(W148&gt;=74),0.17,0),
IF(AF148="SF",IF(AND(V148&lt;20,W148&lt;89),0.3,0)+IF(AND(V148&lt;20,W148&gt;=89),0.25,0)+IF(AND(V148&gt;=20,V148&lt;40,W148&lt;74),0.3,0)+IF(AND(V148&gt;=20,V148&lt;40,W148&gt;=75),0.22,0)+IF(AND(V148&gt;=40,V148&lt;75,W148&lt;75),0.26,0)+IF(AND(V148&gt;=40,V148&lt;75,W148&gt;=75),0.22,0)+IF(V148&gt;=75,0.22,0),
IF(AF148="DoEVold",IF(AND(V148&lt;40,W148&lt;35),0.35,0)+IF(AND(V148&lt;40,W148&gt;=35,W148&lt;75),0.25,0)+IF(AND(V148&lt;40,W148&gt;=75),0.17,0)+IF(AND(V148&gt;=40,V148&lt;75,W148&lt;25),0.35,0)+IF(AND(V148&gt;=40,V148&lt;75,W148&gt;=25,W148&lt;65),0.25,0)+IF(AND(V148&gt;=40,V148&lt;75,W148&gt;=65,W148&lt;100),0.17,0)+IF(AND(V148&gt;=40,V148&lt;75,W148&gt;=100),0.1,0)+IF(AND(V148&gt;=75,W148&lt;25),0.35,0)+IF(AND(V148&gt;=75,W148&gt;=25,W148&lt;60),0.25,0)+IF(AND(V148&gt;=75,W148&gt;=60,W148&lt;95),0.17,0)+IF(AND(V148&gt;=75,W148&gt;=95),0.1,0),
IF(AF148="DoEVold15",IF(AND(V148&lt;=40,W148&lt;35),0.35,0)+IF(AND(V148&lt;=40,W148&gt;=35,W148&lt;75),0.25,0)+IF(AND(V148&lt;=40,W148&gt;=75,W148&lt;120),0.17,0)+IF(AND(V148&lt;=40,W148&gt;=120),0.15,0)+IF(AND(V148&gt;40,V148&lt;75,W148&lt;25),0.35,0)+IF(AND(V148&gt;=40,V148&lt;75,W148&gt;=25,W148&lt;65),0.25,0)+IF(AND(V148&gt;=40,V148&lt;75,W148&gt;=65,W148&lt;100),0.17,0)+IF(AND(V148&gt;=40,V148&lt;75,W148&gt;=100),0.1,0)+IF(AND(V148&gt;=75,W148&lt;25),0.35,0)+IF(AND(V148&gt;=75,W148&gt;=25,W148&lt;60),0.25,0)+IF(AND(V148&gt;=75,W148&gt;=60,W148&lt;95),0.17,0)+IF(AND(V148&gt;=75,W148&gt;=95),0.1,0),
IF(AF148="DoEVba",IF(AND(V148&lt;20,W148&lt;105),0.2,0)+IF(AND(V148&lt;20,W148&gt;=105),0.15,0)+IF(AND(V148&gt;=20,V148&lt;40,W148&lt;95),0.2,0)+IF(AND(V148&gt;=20,V148&lt;40,W148&gt;=95,W148&lt;150),0.15,0)+IF(AND(V148&gt;=20,V148&lt;40,W148&gt;=150),0.12,0)+IF(AND(V148&gt;=40,V148&lt;75,W148&lt;75),0.2,0)+IF(AND(V148&gt;=40,V148&lt;75,W148&gt;=75,W148&lt;120),0.15,0)+IF(AND(V148&gt;=40,V148&lt;75,W148&gt;=120),0.12,0)+IF(AND(V148&gt;=75,V148&lt;175,W148&lt;65),0.2,0)+IF(AND(V148&gt;=75,V148&lt;175,W148&gt;=65,W148&lt;110),0.15,0)+IF(AND(V148&gt;=75,V148&lt;175,W148&gt;=110),0.12,0)+IF(AND(V148&gt;=175,W148&lt;55),0.2,0)+IF(AND(V148&gt;=175,W148&gt;=55,W148&lt;95),0.15,0)+IF(AND(V148&gt;=175,W148&gt;=95),0.12,0),
IF(AF148="DoEVku",IF(AND(V148&lt;20,W148&lt;55),0.23,0)+IF(AND(V148&lt;20,W148&gt;=55,W148&lt;105),0.2,0)+IF(AND(V148&lt;20,W148&gt;=105),0.17,0)+IF(AND(V148&gt;=20,V148&lt;40,W148&lt;45),0.23,0)+IF(AND(V148&gt;=20,V148&lt;40,W148&gt;=45,W148&lt;95),0.2,0)+IF(AND(V148&gt;=20,V148&lt;40,W148&gt;=95,W148&lt;=150),0.17,0)+IF(AND(V148&gt;=20,V148&lt;40,W148&gt;=150),0.12,0)+IF(AND(V148&gt;=40,V148&lt;75,W148&lt;35),0.23,0)+IF(AND(V148&gt;=40,V148&lt;75,W148&gt;=35,W148&lt;75),0.2,0)+IF(AND(V148&gt;=40,V148&lt;75,W148&gt;=75,W148&lt;120),0.17,0)+IF(AND(V148&gt;=40,V148&lt;75,W148&gt;=120),0.12,0)+IF(AND(V148&gt;=75,V148&lt;175,W148&lt;35),0.23,0)+IF(AND(V148&gt;=75,V148&lt;=175,W148&gt;=35,W148&lt;65),0.2,0)+IF(AND(V148&gt;=75,V148&lt;=175,W148&gt;=65,W148&lt;110),0.17,0)+IF(AND(V148&gt;=75,V148&lt;=175,W148&gt;=110),0.12,0)+IF(AND(V148&gt;175,W148&lt;25),0.23,0)+IF(AND(V148&gt;175,W148&gt;=25,W148&lt;55),0.2,0)+IF(AND(V148&gt;175,W148&gt;=55,W148&lt;95),0.17,0)+IF(AND(V148&gt;175,W148&gt;=95),0.12,0),
IF(AF148="DoEVs1",IF(AND(V148&lt;20,W148&lt;55),0.3,0)+IF(AND(V148&lt;20,W148&gt;=55,W148&lt;105),0.23,0)+IF(AND(V148&lt;20,W148&gt;=105),0.17,0)+IF(AND(V148&gt;=20,V148&lt;40,W148&lt;45),0.3,0)+IF(AND(V148&gt;=20,V148&lt;40,W148&gt;=45,W148&lt;95),0.23,0)+IF(AND(V148&gt;=20,V148&lt;40,W148&gt;=95,W148&lt;=150),0.17,0)+IF(AND(V148&gt;=20,V148&lt;40,W148&gt;=150),0.12,0)+IF(AND(V148&gt;=40,V148&lt;75,W148&lt;35),0.3,0)+IF(AND(V148&gt;=40,V148&lt;75,W148&gt;=35,W148&lt;75),0.23,0)+IF(AND(V148&gt;=40,V148&lt;75,W148&gt;=75,W148&lt;120),0.17,0)+IF(AND(V148&gt;=40,V148&lt;75,W148&gt;=120),0.12,0)+IF(AND(V148&gt;=75,V148&lt;175,W148&lt;35),0.3,0)+IF(AND(V148&gt;=75,V148&lt;=175,W148&gt;=35,W148&lt;65),0.23,0)+IF(AND(V148&gt;=75,V148&lt;=175,W148&gt;=65,W148&lt;110),0.17,0)+IF(AND(V148&gt;=75,V148&lt;=175,W148&gt;=110),0.12,0)+IF(AND(V148&gt;175,W148&lt;25),0.3,0)+IF(AND(V148&gt;175,W148&gt;=25,W148&lt;55),0.23,0)+IF(AND(V148&gt;175,W148&gt;=55,W148&lt;95),0.17,0)+IF(AND(V148&gt;175,W148&gt;=95),0.12,0),
IF(AF148="DoEVsu",IF(AND(V148&lt;20,W148&lt;55),0.3,0)+IF(AND(V148&lt;20,W148&gt;=55,W148&lt;105),0.23,0)+IF(AND(V148&lt;20,W148&gt;=105),0.17,0)+IF(AND(V148&gt;=20,V148&lt;40,W148&lt;45),0.3,0)+IF(AND(V148&gt;=20,V148&lt;40,W148&gt;=45,W148&lt;95),0.23,0)+IF(AND(V148&gt;=20,V148&lt;40,W148&gt;=95,W148&lt;=250),0.17,0)+IF(AND(V148&gt;=20,V148&lt;40,W148&gt;=250),0.12,0)+IF(AND(V148&gt;=40,V148&lt;75,W148&lt;35),0.3,0)+IF(AND(V148&gt;=40,V148&lt;75,W148&gt;=35,W148&lt;75),0.23,0)+IF(AND(V148&gt;=40,V148&lt;75,W148&gt;=75,W148&lt;120),0.17,0)+IF(AND(V148&gt;=40,V148&lt;75,W148&gt;=120),0.12,0)+IF(AND(V148&gt;=75,V148&lt;175,W148&lt;35),0.3,0)+IF(AND(V148&gt;=75,V148&lt;=175,W148&gt;=35,W148&lt;65),0.23,0)+IF(AND(V148&gt;=75,V148&lt;=175,W148&gt;=65,W148&lt;110),0.17,0)+IF(AND(V148&gt;=75,V148&lt;=175,W148&gt;=110),0.12,0)+IF(AND(V148&gt;175,W148&lt;25),0.3,0)+IF(AND(V148&gt;175,W148&gt;=25,W148&lt;55),0.23,0)+IF(AND(V148&gt;175,W148&gt;=55,W148&lt;95),0.17,0)+IF(AND(V148&gt;175,W148&gt;=95),0.12,0),
IF(AF148="DoEVni",IF(AND(V148&lt;20,W148&lt;55),0.3,0)+IF(AND(V148&lt;20,W148&gt;=55,W148&lt;105),0.23,0)+IF(AND(V148&lt;20,W148&gt;=105),0.17,0)+IF(AND(V148&gt;=20,V148&lt;40,W148&lt;45),0.3,0)+IF(AND(V148&gt;=20,V148&lt;40,W148&gt;=45,W148&lt;95),0.23,0)+IF(AND(V148&gt;=20,V148&lt;40,W148&gt;=95,W148&lt;=200),0.17,0)+IF(AND(V148&gt;=20,V148&lt;40,W148&gt;=200),0.12,0)+IF(AND(V148&gt;=40,V148&lt;75,W148&lt;35),0.3,0)+IF(AND(V148&gt;=40,V148&lt;75,W148&gt;=35,W148&lt;75),0.23,0)+IF(AND(V148&gt;=40,V148&lt;75,W148&gt;=75,W148&lt;120),0.17,0)+IF(AND(V148&gt;=40,V148&lt;75,W148&gt;=120),0.12,0)+IF(AND(V148&gt;=75,V148&lt;175,W148&lt;35),0.3,0)+IF(AND(V148&gt;=75,V148&lt;=175,W148&gt;=35,W148&lt;65),0.23,0)+IF(AND(V148&gt;=75,V148&lt;=175,W148&gt;=65,W148&lt;110),0.17,0)+IF(AND(V148&gt;=75,V148&lt;=175,W148&gt;=110),0.12,0)+IF(AND(V148&gt;175,W148&lt;25),0.3,0)+IF(AND(V148&gt;175,W148&gt;=25,W148&lt;55),0.23,0)+IF(AND(V148&gt;175,W148&gt;=55,W148&lt;95),0.17,0)+IF(AND(V148&gt;175,W148&gt;=95),0.12,0),
IF(AF148="DoEVLo",IF(AND(V148&lt;20,W148&lt;55),0.25,0)+IF(AND(V148&lt;20,W148&gt;=55,W148&lt;105),0.2,0)+IF(AND(V148&lt;20,W148&gt;=105),0.15,0)+IF(AND(V148&gt;=20,V148&lt;40,W148&lt;45),0.25,0)+IF(AND(V148&gt;=20,V148&lt;40,W148&gt;=45,W148&lt;95),0.2,0)+IF(AND(V148&gt;=20,V148&lt;40,W148&gt;=95),0.15,0)+IF(AND(V148&gt;=40,V148&lt;75,W148&lt;35),0.25,0)+IF(AND(V148&gt;=40,V148&lt;75,W148&gt;=35,W148&lt;75),0.2,0)+IF(AND(V148&gt;=40,V148&lt;75,W148&gt;=75,W148&lt;120),0.15,0)+IF(AND(V148&gt;=40,V148&lt;75,W148&gt;=120),0.1,0)+IF(AND(V148&gt;=75,V148&lt;175,W148&lt;35),0.25,0)+IF(AND(V148&gt;=75,V148&lt;=175,W148&gt;=35,W148&lt;65),0.2,0)+IF(AND(V148&gt;=75,V148&lt;=175,W148&gt;=65,W148&lt;110),0.15,0)+IF(AND(V148&gt;=75,V148&lt;=175,W148&gt;=110),0.1,0)+IF(AND(V148&gt;175,W148&lt;25),0.25,0)+IF(AND(V148&gt;175,W148&gt;=25,W148&lt;55),0.2,0)+IF(AND(V148&gt;175,W148&gt;=55,W148&lt;95),0.15,0)+IF(AND(V148&gt;175,W148&gt;=95),0.1,0))))))))))))))))</f>
        <v>0.22</v>
      </c>
      <c r="Y148" s="30">
        <f>IF(AG148="None",0,IF(AG148="Fix5",0.05,IF(AG148="Fix3.75",0.0375,IF(AG148="Fix10",0.1,IF(AG148="Fix3",0.03,0)))))</f>
        <v>0</v>
      </c>
      <c r="Z148" s="35">
        <f>T148-AA148-AB148</f>
        <v>12914.46</v>
      </c>
      <c r="AA148" s="29">
        <f>IF(AD148="EUR",((T148-R148)*X148)*U148+(R148*X148),(T148*X148))</f>
        <v>3642.54</v>
      </c>
      <c r="AB148" s="36">
        <f>IF(AD148="EUR",((T148-R148)*Y148)*U148+(R148*Y148),(T148*Y148))</f>
        <v>0</v>
      </c>
      <c r="AC148" s="37" t="b">
        <v>1</v>
      </c>
      <c r="AD148" s="37" t="s">
        <v>38</v>
      </c>
      <c r="AE148" s="37" t="s">
        <v>38</v>
      </c>
      <c r="AF148" s="37" t="str">
        <f t="array" ref="AF148">INDEX('Deal Info'!D:D, MATCH(A148,'Deal Info'!A:A, 0))</f>
        <v>SF</v>
      </c>
      <c r="AG148" s="38" t="str">
        <f t="array" ref="AG148">INDEX('Deal Info'!G:G, MATCH(A148,'Deal Info'!A:A, 0))</f>
        <v>None</v>
      </c>
    </row>
    <row r="149" spans="1:33" ht="14.25" hidden="1" x14ac:dyDescent="0.2">
      <c r="A149" s="18" t="str">
        <f t="array" ref="A149">IF(G149='Room Info'!$B$1, INDEX('Room Info'!$A$2:$A2446, MATCH(B149,'Room Info'!$B$2:$B2446, 0)),IF(G149='Room Info'!$C$1, INDEX('Room Info'!$A$2:$A2446, MATCH(B149,'Room Info'!$C$2:$C2446, 0)),IF(G149='Room Info'!$D$1, INDEX('Room Info'!$A$2:$A2446, MATCH(B149,'Room Info'!$D$2:$D2446, 0)),IF(G149='Room Info'!$E$1, INDEX('Room Info'!$A$2:$A2446, MATCH(B149,'Room Info'!$E$2:$E2446, 0)),IF(G149='Room Info'!$F$1, INDEX('Room Info'!$A$2:$A2446, MATCH(B149,'Room Info'!$F$2:$F2446, 0)),IF(G149='Room Info'!$H$1, INDEX('Room Info'!$A$2:$A2446, MATCH(B149,'Room Info'!$H$2:$H2446, 0)),IF(G149='Room Info'!$G$1, INDEX('Room Info'!$A$2:$A2446, MATCH(B149,'Room Info'!$G$2:$G2446, 0)))))))))</f>
        <v>bbaltqq</v>
      </c>
      <c r="B149" s="54" t="s">
        <v>89</v>
      </c>
      <c r="C149" s="68">
        <v>44582</v>
      </c>
      <c r="D149" s="46">
        <v>44620</v>
      </c>
      <c r="E149" s="47">
        <v>44593</v>
      </c>
      <c r="F149" s="45" t="s">
        <v>41</v>
      </c>
      <c r="G149" s="54" t="s">
        <v>35</v>
      </c>
      <c r="H149" s="49" t="s">
        <v>72</v>
      </c>
      <c r="I149" s="49" t="s">
        <v>37</v>
      </c>
      <c r="J149" s="50">
        <v>50</v>
      </c>
      <c r="K149" s="51">
        <v>70</v>
      </c>
      <c r="L149" s="52">
        <v>-400</v>
      </c>
      <c r="M149" s="53">
        <v>193</v>
      </c>
      <c r="N149" s="28">
        <f>K149*J149</f>
        <v>3500</v>
      </c>
      <c r="O149" s="54">
        <v>-840</v>
      </c>
      <c r="P149" s="29">
        <v>-12</v>
      </c>
      <c r="Q149" s="55"/>
      <c r="R149" s="31">
        <f>M149+Q149</f>
        <v>193</v>
      </c>
      <c r="S149" s="56"/>
      <c r="T149" s="32">
        <f>R149+S149+IF(F149="Without EV deal",L149,0)</f>
        <v>-207</v>
      </c>
      <c r="U149" s="33">
        <v>1</v>
      </c>
      <c r="V149" s="69">
        <v>95.457682184569833</v>
      </c>
      <c r="W149" s="58">
        <v>22.68</v>
      </c>
      <c r="X149" s="30">
        <f>IF(AF149="DoEV",IF(AND(V149&lt;20,W149&lt;55),0.3,0)+IF(AND(V149&lt;20,W149&gt;=55,W149&lt;105),0.23,0)+IF(AND(V149&lt;20,W149&gt;=105),0.17,0)+IF(AND(V149&gt;=20,V149&lt;40,W149&lt;45),0.3,0)+IF(AND(V149&gt;=20,V149&lt;40,W149&gt;=45,W149&lt;95),0.23,0)+IF(AND(V149&gt;=20,V149&lt;40,W149&gt;=95),0.17,0)+IF(AND(V149&gt;=40,V149&lt;75,W149&lt;35),0.3,0)+IF(AND(V149&gt;=40,V149&lt;75,W149&gt;=35,W149&lt;75),0.23,0)+IF(AND(V149&gt;=40,V149&lt;75,W149&gt;=75,W149&lt;120),0.17,0)+IF(AND(V149&gt;=40,V149&lt;75,W149&gt;=120),0.12,0)+IF(AND(V149&gt;=75,V149&lt;175,W149&lt;35),0.3,0)+IF(AND(V149&gt;=75,V149&lt;=175,W149&gt;=35,W149&lt;65),0.23,0)+IF(AND(V149&gt;=75,V149&lt;=175,W149&gt;=65,W149&lt;110),0.17,0)+IF(AND(V149&gt;=75,V149&lt;=175,W149&gt;=110),0.12,0)+IF(AND(V149&gt;175,W149&lt;25),0.3,0)+IF(AND(V149&gt;175,W149&gt;=25,W149&lt;55),0.23,0)+IF(AND(V149&gt;175,W149&gt;=55,W149&lt;95),0.17,0)+IF(AND(V149&gt;175,W149&gt;=95),0.12,0),
IF(AF149="Fix15",0.15,
IF(AF149="Fix11.25",0.1125,
IF(AF149="Fix10",0.1,
IF(AF149="Fix9",0.09,
IF(AF149="DoEV2017",IF(AND(W149&lt;74),0.2,0)+IF(AND(W149&gt;=74),0.17,0),
IF(AF149="SF",IF(AND(V149&lt;20,W149&lt;89),0.3,0)+IF(AND(V149&lt;20,W149&gt;=89),0.25,0)+IF(AND(V149&gt;=20,V149&lt;40,W149&lt;74),0.3,0)+IF(AND(V149&gt;=20,V149&lt;40,W149&gt;=75),0.22,0)+IF(AND(V149&gt;=40,V149&lt;75,W149&lt;75),0.26,0)+IF(AND(V149&gt;=40,V149&lt;75,W149&gt;=75),0.22,0)+IF(V149&gt;=75,0.22,0),
IF(AF149="DoEVold",IF(AND(V149&lt;40,W149&lt;35),0.35,0)+IF(AND(V149&lt;40,W149&gt;=35,W149&lt;75),0.25,0)+IF(AND(V149&lt;40,W149&gt;=75),0.17,0)+IF(AND(V149&gt;=40,V149&lt;75,W149&lt;25),0.35,0)+IF(AND(V149&gt;=40,V149&lt;75,W149&gt;=25,W149&lt;65),0.25,0)+IF(AND(V149&gt;=40,V149&lt;75,W149&gt;=65,W149&lt;100),0.17,0)+IF(AND(V149&gt;=40,V149&lt;75,W149&gt;=100),0.1,0)+IF(AND(V149&gt;=75,W149&lt;25),0.35,0)+IF(AND(V149&gt;=75,W149&gt;=25,W149&lt;60),0.25,0)+IF(AND(V149&gt;=75,W149&gt;=60,W149&lt;95),0.17,0)+IF(AND(V149&gt;=75,W149&gt;=95),0.1,0),
IF(AF149="DoEVold15",IF(AND(V149&lt;=40,W149&lt;35),0.35,0)+IF(AND(V149&lt;=40,W149&gt;=35,W149&lt;75),0.25,0)+IF(AND(V149&lt;=40,W149&gt;=75,W149&lt;120),0.17,0)+IF(AND(V149&lt;=40,W149&gt;=120),0.15,0)+IF(AND(V149&gt;40,V149&lt;75,W149&lt;25),0.35,0)+IF(AND(V149&gt;=40,V149&lt;75,W149&gt;=25,W149&lt;65),0.25,0)+IF(AND(V149&gt;=40,V149&lt;75,W149&gt;=65,W149&lt;100),0.17,0)+IF(AND(V149&gt;=40,V149&lt;75,W149&gt;=100),0.1,0)+IF(AND(V149&gt;=75,W149&lt;25),0.35,0)+IF(AND(V149&gt;=75,W149&gt;=25,W149&lt;60),0.25,0)+IF(AND(V149&gt;=75,W149&gt;=60,W149&lt;95),0.17,0)+IF(AND(V149&gt;=75,W149&gt;=95),0.1,0),
IF(AF149="DoEVba",IF(AND(V149&lt;20,W149&lt;105),0.2,0)+IF(AND(V149&lt;20,W149&gt;=105),0.15,0)+IF(AND(V149&gt;=20,V149&lt;40,W149&lt;95),0.2,0)+IF(AND(V149&gt;=20,V149&lt;40,W149&gt;=95,W149&lt;150),0.15,0)+IF(AND(V149&gt;=20,V149&lt;40,W149&gt;=150),0.12,0)+IF(AND(V149&gt;=40,V149&lt;75,W149&lt;75),0.2,0)+IF(AND(V149&gt;=40,V149&lt;75,W149&gt;=75,W149&lt;120),0.15,0)+IF(AND(V149&gt;=40,V149&lt;75,W149&gt;=120),0.12,0)+IF(AND(V149&gt;=75,V149&lt;175,W149&lt;65),0.2,0)+IF(AND(V149&gt;=75,V149&lt;175,W149&gt;=65,W149&lt;110),0.15,0)+IF(AND(V149&gt;=75,V149&lt;175,W149&gt;=110),0.12,0)+IF(AND(V149&gt;=175,W149&lt;55),0.2,0)+IF(AND(V149&gt;=175,W149&gt;=55,W149&lt;95),0.15,0)+IF(AND(V149&gt;=175,W149&gt;=95),0.12,0),
IF(AF149="DoEVku",IF(AND(V149&lt;20,W149&lt;55),0.23,0)+IF(AND(V149&lt;20,W149&gt;=55,W149&lt;105),0.2,0)+IF(AND(V149&lt;20,W149&gt;=105),0.17,0)+IF(AND(V149&gt;=20,V149&lt;40,W149&lt;45),0.23,0)+IF(AND(V149&gt;=20,V149&lt;40,W149&gt;=45,W149&lt;95),0.2,0)+IF(AND(V149&gt;=20,V149&lt;40,W149&gt;=95,W149&lt;=150),0.17,0)+IF(AND(V149&gt;=20,V149&lt;40,W149&gt;=150),0.12,0)+IF(AND(V149&gt;=40,V149&lt;75,W149&lt;35),0.23,0)+IF(AND(V149&gt;=40,V149&lt;75,W149&gt;=35,W149&lt;75),0.2,0)+IF(AND(V149&gt;=40,V149&lt;75,W149&gt;=75,W149&lt;120),0.17,0)+IF(AND(V149&gt;=40,V149&lt;75,W149&gt;=120),0.12,0)+IF(AND(V149&gt;=75,V149&lt;175,W149&lt;35),0.23,0)+IF(AND(V149&gt;=75,V149&lt;=175,W149&gt;=35,W149&lt;65),0.2,0)+IF(AND(V149&gt;=75,V149&lt;=175,W149&gt;=65,W149&lt;110),0.17,0)+IF(AND(V149&gt;=75,V149&lt;=175,W149&gt;=110),0.12,0)+IF(AND(V149&gt;175,W149&lt;25),0.23,0)+IF(AND(V149&gt;175,W149&gt;=25,W149&lt;55),0.2,0)+IF(AND(V149&gt;175,W149&gt;=55,W149&lt;95),0.17,0)+IF(AND(V149&gt;175,W149&gt;=95),0.12,0),
IF(AF149="DoEVs1",IF(AND(V149&lt;20,W149&lt;55),0.3,0)+IF(AND(V149&lt;20,W149&gt;=55,W149&lt;105),0.23,0)+IF(AND(V149&lt;20,W149&gt;=105),0.17,0)+IF(AND(V149&gt;=20,V149&lt;40,W149&lt;45),0.3,0)+IF(AND(V149&gt;=20,V149&lt;40,W149&gt;=45,W149&lt;95),0.23,0)+IF(AND(V149&gt;=20,V149&lt;40,W149&gt;=95,W149&lt;=150),0.17,0)+IF(AND(V149&gt;=20,V149&lt;40,W149&gt;=150),0.12,0)+IF(AND(V149&gt;=40,V149&lt;75,W149&lt;35),0.3,0)+IF(AND(V149&gt;=40,V149&lt;75,W149&gt;=35,W149&lt;75),0.23,0)+IF(AND(V149&gt;=40,V149&lt;75,W149&gt;=75,W149&lt;120),0.17,0)+IF(AND(V149&gt;=40,V149&lt;75,W149&gt;=120),0.12,0)+IF(AND(V149&gt;=75,V149&lt;175,W149&lt;35),0.3,0)+IF(AND(V149&gt;=75,V149&lt;=175,W149&gt;=35,W149&lt;65),0.23,0)+IF(AND(V149&gt;=75,V149&lt;=175,W149&gt;=65,W149&lt;110),0.17,0)+IF(AND(V149&gt;=75,V149&lt;=175,W149&gt;=110),0.12,0)+IF(AND(V149&gt;175,W149&lt;25),0.3,0)+IF(AND(V149&gt;175,W149&gt;=25,W149&lt;55),0.23,0)+IF(AND(V149&gt;175,W149&gt;=55,W149&lt;95),0.17,0)+IF(AND(V149&gt;175,W149&gt;=95),0.12,0),
IF(AF149="DoEVsu",IF(AND(V149&lt;20,W149&lt;55),0.3,0)+IF(AND(V149&lt;20,W149&gt;=55,W149&lt;105),0.23,0)+IF(AND(V149&lt;20,W149&gt;=105),0.17,0)+IF(AND(V149&gt;=20,V149&lt;40,W149&lt;45),0.3,0)+IF(AND(V149&gt;=20,V149&lt;40,W149&gt;=45,W149&lt;95),0.23,0)+IF(AND(V149&gt;=20,V149&lt;40,W149&gt;=95,W149&lt;=250),0.17,0)+IF(AND(V149&gt;=20,V149&lt;40,W149&gt;=250),0.12,0)+IF(AND(V149&gt;=40,V149&lt;75,W149&lt;35),0.3,0)+IF(AND(V149&gt;=40,V149&lt;75,W149&gt;=35,W149&lt;75),0.23,0)+IF(AND(V149&gt;=40,V149&lt;75,W149&gt;=75,W149&lt;120),0.17,0)+IF(AND(V149&gt;=40,V149&lt;75,W149&gt;=120),0.12,0)+IF(AND(V149&gt;=75,V149&lt;175,W149&lt;35),0.3,0)+IF(AND(V149&gt;=75,V149&lt;=175,W149&gt;=35,W149&lt;65),0.23,0)+IF(AND(V149&gt;=75,V149&lt;=175,W149&gt;=65,W149&lt;110),0.17,0)+IF(AND(V149&gt;=75,V149&lt;=175,W149&gt;=110),0.12,0)+IF(AND(V149&gt;175,W149&lt;25),0.3,0)+IF(AND(V149&gt;175,W149&gt;=25,W149&lt;55),0.23,0)+IF(AND(V149&gt;175,W149&gt;=55,W149&lt;95),0.17,0)+IF(AND(V149&gt;175,W149&gt;=95),0.12,0),
IF(AF149="DoEVni",IF(AND(V149&lt;20,W149&lt;55),0.3,0)+IF(AND(V149&lt;20,W149&gt;=55,W149&lt;105),0.23,0)+IF(AND(V149&lt;20,W149&gt;=105),0.17,0)+IF(AND(V149&gt;=20,V149&lt;40,W149&lt;45),0.3,0)+IF(AND(V149&gt;=20,V149&lt;40,W149&gt;=45,W149&lt;95),0.23,0)+IF(AND(V149&gt;=20,V149&lt;40,W149&gt;=95,W149&lt;=200),0.17,0)+IF(AND(V149&gt;=20,V149&lt;40,W149&gt;=200),0.12,0)+IF(AND(V149&gt;=40,V149&lt;75,W149&lt;35),0.3,0)+IF(AND(V149&gt;=40,V149&lt;75,W149&gt;=35,W149&lt;75),0.23,0)+IF(AND(V149&gt;=40,V149&lt;75,W149&gt;=75,W149&lt;120),0.17,0)+IF(AND(V149&gt;=40,V149&lt;75,W149&gt;=120),0.12,0)+IF(AND(V149&gt;=75,V149&lt;175,W149&lt;35),0.3,0)+IF(AND(V149&gt;=75,V149&lt;=175,W149&gt;=35,W149&lt;65),0.23,0)+IF(AND(V149&gt;=75,V149&lt;=175,W149&gt;=65,W149&lt;110),0.17,0)+IF(AND(V149&gt;=75,V149&lt;=175,W149&gt;=110),0.12,0)+IF(AND(V149&gt;175,W149&lt;25),0.3,0)+IF(AND(V149&gt;175,W149&gt;=25,W149&lt;55),0.23,0)+IF(AND(V149&gt;175,W149&gt;=55,W149&lt;95),0.17,0)+IF(AND(V149&gt;175,W149&gt;=95),0.12,0),
IF(AF149="DoEVLo",IF(AND(V149&lt;20,W149&lt;55),0.25,0)+IF(AND(V149&lt;20,W149&gt;=55,W149&lt;105),0.2,0)+IF(AND(V149&lt;20,W149&gt;=105),0.15,0)+IF(AND(V149&gt;=20,V149&lt;40,W149&lt;45),0.25,0)+IF(AND(V149&gt;=20,V149&lt;40,W149&gt;=45,W149&lt;95),0.2,0)+IF(AND(V149&gt;=20,V149&lt;40,W149&gt;=95),0.15,0)+IF(AND(V149&gt;=40,V149&lt;75,W149&lt;35),0.25,0)+IF(AND(V149&gt;=40,V149&lt;75,W149&gt;=35,W149&lt;75),0.2,0)+IF(AND(V149&gt;=40,V149&lt;75,W149&gt;=75,W149&lt;120),0.15,0)+IF(AND(V149&gt;=40,V149&lt;75,W149&gt;=120),0.1,0)+IF(AND(V149&gt;=75,V149&lt;175,W149&lt;35),0.25,0)+IF(AND(V149&gt;=75,V149&lt;=175,W149&gt;=35,W149&lt;65),0.2,0)+IF(AND(V149&gt;=75,V149&lt;=175,W149&gt;=65,W149&lt;110),0.15,0)+IF(AND(V149&gt;=75,V149&lt;=175,W149&gt;=110),0.1,0)+IF(AND(V149&gt;175,W149&lt;25),0.25,0)+IF(AND(V149&gt;175,W149&gt;=25,W149&lt;55),0.2,0)+IF(AND(V149&gt;175,W149&gt;=55,W149&lt;95),0.15,0)+IF(AND(V149&gt;175,W149&gt;=95),0.1,0))))))))))))))))</f>
        <v>0.22</v>
      </c>
      <c r="Y149" s="30">
        <f>IF(AG149="None",0,IF(AG149="Fix5",0.05,IF(AG149="Fix3.75",0.0375,IF(AG149="Fix10",0.1,IF(AG149="Fix3",0.03,0)))))</f>
        <v>0</v>
      </c>
      <c r="Z149" s="35">
        <f>T149-AA149-AB149</f>
        <v>-161.46</v>
      </c>
      <c r="AA149" s="29">
        <f>IF(AD149="EUR",((T149-R149)*X149)*U149+(R149*X149),(T149*X149))</f>
        <v>-45.54</v>
      </c>
      <c r="AB149" s="36">
        <f>IF(AD149="EUR",((T149-R149)*Y149)*U149+(R149*Y149),(T149*Y149))</f>
        <v>0</v>
      </c>
      <c r="AC149" s="37" t="b">
        <v>1</v>
      </c>
      <c r="AD149" s="37" t="s">
        <v>38</v>
      </c>
      <c r="AE149" s="37" t="s">
        <v>38</v>
      </c>
      <c r="AF149" s="37" t="str">
        <f t="array" ref="AF149">INDEX('Deal Info'!D:D, MATCH(A149,'Deal Info'!A:A, 0))</f>
        <v>SF</v>
      </c>
      <c r="AG149" s="38" t="str">
        <f t="array" ref="AG149">INDEX('Deal Info'!G:G, MATCH(A149,'Deal Info'!A:A, 0))</f>
        <v>None</v>
      </c>
    </row>
    <row r="150" spans="1:33" ht="14.25" hidden="1" x14ac:dyDescent="0.2">
      <c r="A150" s="18" t="str">
        <f t="array" ref="A150">IF(G150='Room Info'!$B$1, INDEX('Room Info'!$A$2:$A2446, MATCH(B150,'Room Info'!$B$2:$B2446, 0)),IF(G150='Room Info'!$C$1, INDEX('Room Info'!$A$2:$A2446, MATCH(B150,'Room Info'!$C$2:$C2446, 0)),IF(G150='Room Info'!$D$1, INDEX('Room Info'!$A$2:$A2446, MATCH(B150,'Room Info'!$D$2:$D2446, 0)),IF(G150='Room Info'!$E$1, INDEX('Room Info'!$A$2:$A2446, MATCH(B150,'Room Info'!$E$2:$E2446, 0)),IF(G150='Room Info'!$F$1, INDEX('Room Info'!$A$2:$A2446, MATCH(B150,'Room Info'!$F$2:$F2446, 0)),IF(G150='Room Info'!$H$1, INDEX('Room Info'!$A$2:$A2446, MATCH(B150,'Room Info'!$H$2:$H2446, 0)),IF(G150='Room Info'!$G$1, INDEX('Room Info'!$A$2:$A2446, MATCH(B150,'Room Info'!$G$2:$G2446, 0)))))))))</f>
        <v>bbaltqq</v>
      </c>
      <c r="B150" s="54" t="s">
        <v>89</v>
      </c>
      <c r="C150" s="46">
        <v>44621</v>
      </c>
      <c r="D150" s="46">
        <v>44651</v>
      </c>
      <c r="E150" s="47">
        <v>44621</v>
      </c>
      <c r="F150" s="45" t="s">
        <v>41</v>
      </c>
      <c r="G150" s="54" t="s">
        <v>35</v>
      </c>
      <c r="H150" s="49" t="s">
        <v>70</v>
      </c>
      <c r="I150" s="49" t="s">
        <v>37</v>
      </c>
      <c r="J150" s="50">
        <v>100</v>
      </c>
      <c r="K150" s="51">
        <v>2</v>
      </c>
      <c r="L150" s="52">
        <v>0</v>
      </c>
      <c r="M150" s="53">
        <v>65</v>
      </c>
      <c r="N150" s="28">
        <f>K150*J150</f>
        <v>200</v>
      </c>
      <c r="O150" s="65"/>
      <c r="P150" s="29">
        <v>0</v>
      </c>
      <c r="Q150" s="55"/>
      <c r="R150" s="31">
        <f>M150+Q150</f>
        <v>65</v>
      </c>
      <c r="S150" s="66"/>
      <c r="T150" s="32">
        <f>R150+S150+IF(F150="Without EV deal",L150,0)</f>
        <v>65</v>
      </c>
      <c r="U150" s="33">
        <v>1</v>
      </c>
      <c r="V150" s="69">
        <v>75</v>
      </c>
      <c r="W150" s="69">
        <v>1.6666666666666667</v>
      </c>
      <c r="X150" s="30">
        <f>IF(AF150="DoEV",IF(AND(V150&lt;20,W150&lt;55),0.3,0)+IF(AND(V150&lt;20,W150&gt;=55,W150&lt;105),0.23,0)+IF(AND(V150&lt;20,W150&gt;=105),0.17,0)+IF(AND(V150&gt;=20,V150&lt;40,W150&lt;45),0.3,0)+IF(AND(V150&gt;=20,V150&lt;40,W150&gt;=45,W150&lt;95),0.23,0)+IF(AND(V150&gt;=20,V150&lt;40,W150&gt;=95),0.17,0)+IF(AND(V150&gt;=40,V150&lt;75,W150&lt;35),0.3,0)+IF(AND(V150&gt;=40,V150&lt;75,W150&gt;=35,W150&lt;75),0.23,0)+IF(AND(V150&gt;=40,V150&lt;75,W150&gt;=75,W150&lt;120),0.17,0)+IF(AND(V150&gt;=40,V150&lt;75,W150&gt;=120),0.12,0)+IF(AND(V150&gt;=75,V150&lt;175,W150&lt;35),0.3,0)+IF(AND(V150&gt;=75,V150&lt;=175,W150&gt;=35,W150&lt;65),0.23,0)+IF(AND(V150&gt;=75,V150&lt;=175,W150&gt;=65,W150&lt;110),0.17,0)+IF(AND(V150&gt;=75,V150&lt;=175,W150&gt;=110),0.12,0)+IF(AND(V150&gt;175,W150&lt;25),0.3,0)+IF(AND(V150&gt;175,W150&gt;=25,W150&lt;55),0.23,0)+IF(AND(V150&gt;175,W150&gt;=55,W150&lt;95),0.17,0)+IF(AND(V150&gt;175,W150&gt;=95),0.12,0),
IF(AF150="Fix15",0.15,
IF(AF150="Fix11.25",0.1125,
IF(AF150="Fix10",0.1,
IF(AF150="Fix9",0.09,
IF(AF150="DoEV2017",IF(AND(W150&lt;74),0.2,0)+IF(AND(W150&gt;=74),0.17,0),
IF(AF150="SF",IF(AND(V150&lt;20,W150&lt;89),0.3,0)+IF(AND(V150&lt;20,W150&gt;=89),0.25,0)+IF(AND(V150&gt;=20,V150&lt;40,W150&lt;74),0.3,0)+IF(AND(V150&gt;=20,V150&lt;40,W150&gt;=75),0.22,0)+IF(AND(V150&gt;=40,V150&lt;75,W150&lt;75),0.26,0)+IF(AND(V150&gt;=40,V150&lt;75,W150&gt;=75),0.22,0)+IF(V150&gt;=75,0.22,0),
IF(AF150="DoEVold",IF(AND(V150&lt;40,W150&lt;35),0.35,0)+IF(AND(V150&lt;40,W150&gt;=35,W150&lt;75),0.25,0)+IF(AND(V150&lt;40,W150&gt;=75),0.17,0)+IF(AND(V150&gt;=40,V150&lt;75,W150&lt;25),0.35,0)+IF(AND(V150&gt;=40,V150&lt;75,W150&gt;=25,W150&lt;65),0.25,0)+IF(AND(V150&gt;=40,V150&lt;75,W150&gt;=65,W150&lt;100),0.17,0)+IF(AND(V150&gt;=40,V150&lt;75,W150&gt;=100),0.1,0)+IF(AND(V150&gt;=75,W150&lt;25),0.35,0)+IF(AND(V150&gt;=75,W150&gt;=25,W150&lt;60),0.25,0)+IF(AND(V150&gt;=75,W150&gt;=60,W150&lt;95),0.17,0)+IF(AND(V150&gt;=75,W150&gt;=95),0.1,0),
IF(AF150="DoEVold15",IF(AND(V150&lt;=40,W150&lt;35),0.35,0)+IF(AND(V150&lt;=40,W150&gt;=35,W150&lt;75),0.25,0)+IF(AND(V150&lt;=40,W150&gt;=75,W150&lt;120),0.17,0)+IF(AND(V150&lt;=40,W150&gt;=120),0.15,0)+IF(AND(V150&gt;40,V150&lt;75,W150&lt;25),0.35,0)+IF(AND(V150&gt;=40,V150&lt;75,W150&gt;=25,W150&lt;65),0.25,0)+IF(AND(V150&gt;=40,V150&lt;75,W150&gt;=65,W150&lt;100),0.17,0)+IF(AND(V150&gt;=40,V150&lt;75,W150&gt;=100),0.1,0)+IF(AND(V150&gt;=75,W150&lt;25),0.35,0)+IF(AND(V150&gt;=75,W150&gt;=25,W150&lt;60),0.25,0)+IF(AND(V150&gt;=75,W150&gt;=60,W150&lt;95),0.17,0)+IF(AND(V150&gt;=75,W150&gt;=95),0.1,0),
IF(AF150="DoEVba",IF(AND(V150&lt;20,W150&lt;105),0.2,0)+IF(AND(V150&lt;20,W150&gt;=105),0.15,0)+IF(AND(V150&gt;=20,V150&lt;40,W150&lt;95),0.2,0)+IF(AND(V150&gt;=20,V150&lt;40,W150&gt;=95,W150&lt;150),0.15,0)+IF(AND(V150&gt;=20,V150&lt;40,W150&gt;=150),0.12,0)+IF(AND(V150&gt;=40,V150&lt;75,W150&lt;75),0.2,0)+IF(AND(V150&gt;=40,V150&lt;75,W150&gt;=75,W150&lt;120),0.15,0)+IF(AND(V150&gt;=40,V150&lt;75,W150&gt;=120),0.12,0)+IF(AND(V150&gt;=75,V150&lt;175,W150&lt;65),0.2,0)+IF(AND(V150&gt;=75,V150&lt;175,W150&gt;=65,W150&lt;110),0.15,0)+IF(AND(V150&gt;=75,V150&lt;175,W150&gt;=110),0.12,0)+IF(AND(V150&gt;=175,W150&lt;55),0.2,0)+IF(AND(V150&gt;=175,W150&gt;=55,W150&lt;95),0.15,0)+IF(AND(V150&gt;=175,W150&gt;=95),0.12,0),
IF(AF150="DoEVku",IF(AND(V150&lt;20,W150&lt;55),0.23,0)+IF(AND(V150&lt;20,W150&gt;=55,W150&lt;105),0.2,0)+IF(AND(V150&lt;20,W150&gt;=105),0.17,0)+IF(AND(V150&gt;=20,V150&lt;40,W150&lt;45),0.23,0)+IF(AND(V150&gt;=20,V150&lt;40,W150&gt;=45,W150&lt;95),0.2,0)+IF(AND(V150&gt;=20,V150&lt;40,W150&gt;=95,W150&lt;=150),0.17,0)+IF(AND(V150&gt;=20,V150&lt;40,W150&gt;=150),0.12,0)+IF(AND(V150&gt;=40,V150&lt;75,W150&lt;35),0.23,0)+IF(AND(V150&gt;=40,V150&lt;75,W150&gt;=35,W150&lt;75),0.2,0)+IF(AND(V150&gt;=40,V150&lt;75,W150&gt;=75,W150&lt;120),0.17,0)+IF(AND(V150&gt;=40,V150&lt;75,W150&gt;=120),0.12,0)+IF(AND(V150&gt;=75,V150&lt;175,W150&lt;35),0.23,0)+IF(AND(V150&gt;=75,V150&lt;=175,W150&gt;=35,W150&lt;65),0.2,0)+IF(AND(V150&gt;=75,V150&lt;=175,W150&gt;=65,W150&lt;110),0.17,0)+IF(AND(V150&gt;=75,V150&lt;=175,W150&gt;=110),0.12,0)+IF(AND(V150&gt;175,W150&lt;25),0.23,0)+IF(AND(V150&gt;175,W150&gt;=25,W150&lt;55),0.2,0)+IF(AND(V150&gt;175,W150&gt;=55,W150&lt;95),0.17,0)+IF(AND(V150&gt;175,W150&gt;=95),0.12,0),
IF(AF150="DoEVs1",IF(AND(V150&lt;20,W150&lt;55),0.3,0)+IF(AND(V150&lt;20,W150&gt;=55,W150&lt;105),0.23,0)+IF(AND(V150&lt;20,W150&gt;=105),0.17,0)+IF(AND(V150&gt;=20,V150&lt;40,W150&lt;45),0.3,0)+IF(AND(V150&gt;=20,V150&lt;40,W150&gt;=45,W150&lt;95),0.23,0)+IF(AND(V150&gt;=20,V150&lt;40,W150&gt;=95,W150&lt;=150),0.17,0)+IF(AND(V150&gt;=20,V150&lt;40,W150&gt;=150),0.12,0)+IF(AND(V150&gt;=40,V150&lt;75,W150&lt;35),0.3,0)+IF(AND(V150&gt;=40,V150&lt;75,W150&gt;=35,W150&lt;75),0.23,0)+IF(AND(V150&gt;=40,V150&lt;75,W150&gt;=75,W150&lt;120),0.17,0)+IF(AND(V150&gt;=40,V150&lt;75,W150&gt;=120),0.12,0)+IF(AND(V150&gt;=75,V150&lt;175,W150&lt;35),0.3,0)+IF(AND(V150&gt;=75,V150&lt;=175,W150&gt;=35,W150&lt;65),0.23,0)+IF(AND(V150&gt;=75,V150&lt;=175,W150&gt;=65,W150&lt;110),0.17,0)+IF(AND(V150&gt;=75,V150&lt;=175,W150&gt;=110),0.12,0)+IF(AND(V150&gt;175,W150&lt;25),0.3,0)+IF(AND(V150&gt;175,W150&gt;=25,W150&lt;55),0.23,0)+IF(AND(V150&gt;175,W150&gt;=55,W150&lt;95),0.17,0)+IF(AND(V150&gt;175,W150&gt;=95),0.12,0),
IF(AF150="DoEVsu",IF(AND(V150&lt;20,W150&lt;55),0.3,0)+IF(AND(V150&lt;20,W150&gt;=55,W150&lt;105),0.23,0)+IF(AND(V150&lt;20,W150&gt;=105),0.17,0)+IF(AND(V150&gt;=20,V150&lt;40,W150&lt;45),0.3,0)+IF(AND(V150&gt;=20,V150&lt;40,W150&gt;=45,W150&lt;95),0.23,0)+IF(AND(V150&gt;=20,V150&lt;40,W150&gt;=95,W150&lt;=250),0.17,0)+IF(AND(V150&gt;=20,V150&lt;40,W150&gt;=250),0.12,0)+IF(AND(V150&gt;=40,V150&lt;75,W150&lt;35),0.3,0)+IF(AND(V150&gt;=40,V150&lt;75,W150&gt;=35,W150&lt;75),0.23,0)+IF(AND(V150&gt;=40,V150&lt;75,W150&gt;=75,W150&lt;120),0.17,0)+IF(AND(V150&gt;=40,V150&lt;75,W150&gt;=120),0.12,0)+IF(AND(V150&gt;=75,V150&lt;175,W150&lt;35),0.3,0)+IF(AND(V150&gt;=75,V150&lt;=175,W150&gt;=35,W150&lt;65),0.23,0)+IF(AND(V150&gt;=75,V150&lt;=175,W150&gt;=65,W150&lt;110),0.17,0)+IF(AND(V150&gt;=75,V150&lt;=175,W150&gt;=110),0.12,0)+IF(AND(V150&gt;175,W150&lt;25),0.3,0)+IF(AND(V150&gt;175,W150&gt;=25,W150&lt;55),0.23,0)+IF(AND(V150&gt;175,W150&gt;=55,W150&lt;95),0.17,0)+IF(AND(V150&gt;175,W150&gt;=95),0.12,0),
IF(AF150="DoEVni",IF(AND(V150&lt;20,W150&lt;55),0.3,0)+IF(AND(V150&lt;20,W150&gt;=55,W150&lt;105),0.23,0)+IF(AND(V150&lt;20,W150&gt;=105),0.17,0)+IF(AND(V150&gt;=20,V150&lt;40,W150&lt;45),0.3,0)+IF(AND(V150&gt;=20,V150&lt;40,W150&gt;=45,W150&lt;95),0.23,0)+IF(AND(V150&gt;=20,V150&lt;40,W150&gt;=95,W150&lt;=200),0.17,0)+IF(AND(V150&gt;=20,V150&lt;40,W150&gt;=200),0.12,0)+IF(AND(V150&gt;=40,V150&lt;75,W150&lt;35),0.3,0)+IF(AND(V150&gt;=40,V150&lt;75,W150&gt;=35,W150&lt;75),0.23,0)+IF(AND(V150&gt;=40,V150&lt;75,W150&gt;=75,W150&lt;120),0.17,0)+IF(AND(V150&gt;=40,V150&lt;75,W150&gt;=120),0.12,0)+IF(AND(V150&gt;=75,V150&lt;175,W150&lt;35),0.3,0)+IF(AND(V150&gt;=75,V150&lt;=175,W150&gt;=35,W150&lt;65),0.23,0)+IF(AND(V150&gt;=75,V150&lt;=175,W150&gt;=65,W150&lt;110),0.17,0)+IF(AND(V150&gt;=75,V150&lt;=175,W150&gt;=110),0.12,0)+IF(AND(V150&gt;175,W150&lt;25),0.3,0)+IF(AND(V150&gt;175,W150&gt;=25,W150&lt;55),0.23,0)+IF(AND(V150&gt;175,W150&gt;=55,W150&lt;95),0.17,0)+IF(AND(V150&gt;175,W150&gt;=95),0.12,0),
IF(AF150="DoEVLo",IF(AND(V150&lt;20,W150&lt;55),0.25,0)+IF(AND(V150&lt;20,W150&gt;=55,W150&lt;105),0.2,0)+IF(AND(V150&lt;20,W150&gt;=105),0.15,0)+IF(AND(V150&gt;=20,V150&lt;40,W150&lt;45),0.25,0)+IF(AND(V150&gt;=20,V150&lt;40,W150&gt;=45,W150&lt;95),0.2,0)+IF(AND(V150&gt;=20,V150&lt;40,W150&gt;=95),0.15,0)+IF(AND(V150&gt;=40,V150&lt;75,W150&lt;35),0.25,0)+IF(AND(V150&gt;=40,V150&lt;75,W150&gt;=35,W150&lt;75),0.2,0)+IF(AND(V150&gt;=40,V150&lt;75,W150&gt;=75,W150&lt;120),0.15,0)+IF(AND(V150&gt;=40,V150&lt;75,W150&gt;=120),0.1,0)+IF(AND(V150&gt;=75,V150&lt;175,W150&lt;35),0.25,0)+IF(AND(V150&gt;=75,V150&lt;=175,W150&gt;=35,W150&lt;65),0.2,0)+IF(AND(V150&gt;=75,V150&lt;=175,W150&gt;=65,W150&lt;110),0.15,0)+IF(AND(V150&gt;=75,V150&lt;=175,W150&gt;=110),0.1,0)+IF(AND(V150&gt;175,W150&lt;25),0.25,0)+IF(AND(V150&gt;175,W150&gt;=25,W150&lt;55),0.2,0)+IF(AND(V150&gt;175,W150&gt;=55,W150&lt;95),0.15,0)+IF(AND(V150&gt;175,W150&gt;=95),0.1,0))))))))))))))))</f>
        <v>0.22</v>
      </c>
      <c r="Y150" s="30">
        <f>IF(AG150="None",0,IF(AG150="Fix5",0.05,IF(AG150="Fix3.75",0.0375,IF(AG150="Fix10",0.1,IF(AG150="Fix3",0.03,0)))))</f>
        <v>0</v>
      </c>
      <c r="Z150" s="35">
        <f>T150-AA150-AB150</f>
        <v>50.7</v>
      </c>
      <c r="AA150" s="29">
        <f>IF(AD150="EUR",((T150-R150)*X150)*U150+(R150*X150),(T150*X150))</f>
        <v>14.3</v>
      </c>
      <c r="AB150" s="36">
        <f>IF(AD150="EUR",((T150-R150)*Y150)*U150+(R150*Y150),(T150*Y150))</f>
        <v>0</v>
      </c>
      <c r="AC150" s="37" t="b">
        <v>1</v>
      </c>
      <c r="AD150" s="37" t="s">
        <v>38</v>
      </c>
      <c r="AE150" s="37" t="s">
        <v>38</v>
      </c>
      <c r="AF150" s="37" t="str">
        <f t="array" ref="AF150">INDEX('Deal Info'!D:D, MATCH(A150,'Deal Info'!A:A, 0))</f>
        <v>SF</v>
      </c>
      <c r="AG150" s="38" t="str">
        <f t="array" ref="AG150">INDEX('Deal Info'!G:G, MATCH(A150,'Deal Info'!A:A, 0))</f>
        <v>None</v>
      </c>
    </row>
    <row r="151" spans="1:33" ht="14.25" hidden="1" x14ac:dyDescent="0.2">
      <c r="A151" s="18" t="str">
        <f t="array" ref="A151">IF(G151='Room Info'!$B$1, INDEX('Room Info'!$A$2:$A2446, MATCH(B151,'Room Info'!$B$2:$B2446, 0)),IF(G151='Room Info'!$C$1, INDEX('Room Info'!$A$2:$A2446, MATCH(B151,'Room Info'!$C$2:$C2446, 0)),IF(G151='Room Info'!$D$1, INDEX('Room Info'!$A$2:$A2446, MATCH(B151,'Room Info'!$D$2:$D2446, 0)),IF(G151='Room Info'!$E$1, INDEX('Room Info'!$A$2:$A2446, MATCH(B151,'Room Info'!$E$2:$E2446, 0)),IF(G151='Room Info'!$F$1, INDEX('Room Info'!$A$2:$A2446, MATCH(B151,'Room Info'!$F$2:$F2446, 0)),IF(G151='Room Info'!$H$1, INDEX('Room Info'!$A$2:$A2446, MATCH(B151,'Room Info'!$H$2:$H2446, 0)),IF(G151='Room Info'!$G$1, INDEX('Room Info'!$A$2:$A2446, MATCH(B151,'Room Info'!$G$2:$G2446, 0)))))))))</f>
        <v>bbaltqq</v>
      </c>
      <c r="B151" s="54" t="s">
        <v>89</v>
      </c>
      <c r="C151" s="68">
        <v>44621</v>
      </c>
      <c r="D151" s="46">
        <v>44651</v>
      </c>
      <c r="E151" s="47">
        <v>44621</v>
      </c>
      <c r="F151" s="45" t="s">
        <v>41</v>
      </c>
      <c r="G151" s="54" t="s">
        <v>35</v>
      </c>
      <c r="H151" s="49" t="s">
        <v>46</v>
      </c>
      <c r="I151" s="49" t="s">
        <v>37</v>
      </c>
      <c r="J151" s="50">
        <v>25</v>
      </c>
      <c r="K151" s="51">
        <v>1</v>
      </c>
      <c r="L151" s="52">
        <v>50</v>
      </c>
      <c r="M151" s="53">
        <v>10</v>
      </c>
      <c r="N151" s="28">
        <f>K151*J151</f>
        <v>25</v>
      </c>
      <c r="O151" s="65"/>
      <c r="P151" s="29">
        <v>0</v>
      </c>
      <c r="Q151" s="55"/>
      <c r="R151" s="31">
        <f>M151+Q151</f>
        <v>10</v>
      </c>
      <c r="S151" s="66"/>
      <c r="T151" s="32">
        <f>R151+S151+IF(F151="Without EV deal",L151,0)</f>
        <v>60</v>
      </c>
      <c r="U151" s="33">
        <v>1</v>
      </c>
      <c r="V151" s="69">
        <v>75</v>
      </c>
      <c r="W151" s="69">
        <v>1.6666666666666667</v>
      </c>
      <c r="X151" s="30">
        <f>IF(AF151="DoEV",IF(AND(V151&lt;20,W151&lt;55),0.3,0)+IF(AND(V151&lt;20,W151&gt;=55,W151&lt;105),0.23,0)+IF(AND(V151&lt;20,W151&gt;=105),0.17,0)+IF(AND(V151&gt;=20,V151&lt;40,W151&lt;45),0.3,0)+IF(AND(V151&gt;=20,V151&lt;40,W151&gt;=45,W151&lt;95),0.23,0)+IF(AND(V151&gt;=20,V151&lt;40,W151&gt;=95),0.17,0)+IF(AND(V151&gt;=40,V151&lt;75,W151&lt;35),0.3,0)+IF(AND(V151&gt;=40,V151&lt;75,W151&gt;=35,W151&lt;75),0.23,0)+IF(AND(V151&gt;=40,V151&lt;75,W151&gt;=75,W151&lt;120),0.17,0)+IF(AND(V151&gt;=40,V151&lt;75,W151&gt;=120),0.12,0)+IF(AND(V151&gt;=75,V151&lt;175,W151&lt;35),0.3,0)+IF(AND(V151&gt;=75,V151&lt;=175,W151&gt;=35,W151&lt;65),0.23,0)+IF(AND(V151&gt;=75,V151&lt;=175,W151&gt;=65,W151&lt;110),0.17,0)+IF(AND(V151&gt;=75,V151&lt;=175,W151&gt;=110),0.12,0)+IF(AND(V151&gt;175,W151&lt;25),0.3,0)+IF(AND(V151&gt;175,W151&gt;=25,W151&lt;55),0.23,0)+IF(AND(V151&gt;175,W151&gt;=55,W151&lt;95),0.17,0)+IF(AND(V151&gt;175,W151&gt;=95),0.12,0),
IF(AF151="Fix15",0.15,
IF(AF151="Fix11.25",0.1125,
IF(AF151="Fix10",0.1,
IF(AF151="Fix9",0.09,
IF(AF151="DoEV2017",IF(AND(W151&lt;74),0.2,0)+IF(AND(W151&gt;=74),0.17,0),
IF(AF151="SF",IF(AND(V151&lt;20,W151&lt;89),0.3,0)+IF(AND(V151&lt;20,W151&gt;=89),0.25,0)+IF(AND(V151&gt;=20,V151&lt;40,W151&lt;74),0.3,0)+IF(AND(V151&gt;=20,V151&lt;40,W151&gt;=75),0.22,0)+IF(AND(V151&gt;=40,V151&lt;75,W151&lt;75),0.26,0)+IF(AND(V151&gt;=40,V151&lt;75,W151&gt;=75),0.22,0)+IF(V151&gt;=75,0.22,0),
IF(AF151="DoEVold",IF(AND(V151&lt;40,W151&lt;35),0.35,0)+IF(AND(V151&lt;40,W151&gt;=35,W151&lt;75),0.25,0)+IF(AND(V151&lt;40,W151&gt;=75),0.17,0)+IF(AND(V151&gt;=40,V151&lt;75,W151&lt;25),0.35,0)+IF(AND(V151&gt;=40,V151&lt;75,W151&gt;=25,W151&lt;65),0.25,0)+IF(AND(V151&gt;=40,V151&lt;75,W151&gt;=65,W151&lt;100),0.17,0)+IF(AND(V151&gt;=40,V151&lt;75,W151&gt;=100),0.1,0)+IF(AND(V151&gt;=75,W151&lt;25),0.35,0)+IF(AND(V151&gt;=75,W151&gt;=25,W151&lt;60),0.25,0)+IF(AND(V151&gt;=75,W151&gt;=60,W151&lt;95),0.17,0)+IF(AND(V151&gt;=75,W151&gt;=95),0.1,0),
IF(AF151="DoEVold15",IF(AND(V151&lt;=40,W151&lt;35),0.35,0)+IF(AND(V151&lt;=40,W151&gt;=35,W151&lt;75),0.25,0)+IF(AND(V151&lt;=40,W151&gt;=75,W151&lt;120),0.17,0)+IF(AND(V151&lt;=40,W151&gt;=120),0.15,0)+IF(AND(V151&gt;40,V151&lt;75,W151&lt;25),0.35,0)+IF(AND(V151&gt;=40,V151&lt;75,W151&gt;=25,W151&lt;65),0.25,0)+IF(AND(V151&gt;=40,V151&lt;75,W151&gt;=65,W151&lt;100),0.17,0)+IF(AND(V151&gt;=40,V151&lt;75,W151&gt;=100),0.1,0)+IF(AND(V151&gt;=75,W151&lt;25),0.35,0)+IF(AND(V151&gt;=75,W151&gt;=25,W151&lt;60),0.25,0)+IF(AND(V151&gt;=75,W151&gt;=60,W151&lt;95),0.17,0)+IF(AND(V151&gt;=75,W151&gt;=95),0.1,0),
IF(AF151="DoEVba",IF(AND(V151&lt;20,W151&lt;105),0.2,0)+IF(AND(V151&lt;20,W151&gt;=105),0.15,0)+IF(AND(V151&gt;=20,V151&lt;40,W151&lt;95),0.2,0)+IF(AND(V151&gt;=20,V151&lt;40,W151&gt;=95,W151&lt;150),0.15,0)+IF(AND(V151&gt;=20,V151&lt;40,W151&gt;=150),0.12,0)+IF(AND(V151&gt;=40,V151&lt;75,W151&lt;75),0.2,0)+IF(AND(V151&gt;=40,V151&lt;75,W151&gt;=75,W151&lt;120),0.15,0)+IF(AND(V151&gt;=40,V151&lt;75,W151&gt;=120),0.12,0)+IF(AND(V151&gt;=75,V151&lt;175,W151&lt;65),0.2,0)+IF(AND(V151&gt;=75,V151&lt;175,W151&gt;=65,W151&lt;110),0.15,0)+IF(AND(V151&gt;=75,V151&lt;175,W151&gt;=110),0.12,0)+IF(AND(V151&gt;=175,W151&lt;55),0.2,0)+IF(AND(V151&gt;=175,W151&gt;=55,W151&lt;95),0.15,0)+IF(AND(V151&gt;=175,W151&gt;=95),0.12,0),
IF(AF151="DoEVku",IF(AND(V151&lt;20,W151&lt;55),0.23,0)+IF(AND(V151&lt;20,W151&gt;=55,W151&lt;105),0.2,0)+IF(AND(V151&lt;20,W151&gt;=105),0.17,0)+IF(AND(V151&gt;=20,V151&lt;40,W151&lt;45),0.23,0)+IF(AND(V151&gt;=20,V151&lt;40,W151&gt;=45,W151&lt;95),0.2,0)+IF(AND(V151&gt;=20,V151&lt;40,W151&gt;=95,W151&lt;=150),0.17,0)+IF(AND(V151&gt;=20,V151&lt;40,W151&gt;=150),0.12,0)+IF(AND(V151&gt;=40,V151&lt;75,W151&lt;35),0.23,0)+IF(AND(V151&gt;=40,V151&lt;75,W151&gt;=35,W151&lt;75),0.2,0)+IF(AND(V151&gt;=40,V151&lt;75,W151&gt;=75,W151&lt;120),0.17,0)+IF(AND(V151&gt;=40,V151&lt;75,W151&gt;=120),0.12,0)+IF(AND(V151&gt;=75,V151&lt;175,W151&lt;35),0.23,0)+IF(AND(V151&gt;=75,V151&lt;=175,W151&gt;=35,W151&lt;65),0.2,0)+IF(AND(V151&gt;=75,V151&lt;=175,W151&gt;=65,W151&lt;110),0.17,0)+IF(AND(V151&gt;=75,V151&lt;=175,W151&gt;=110),0.12,0)+IF(AND(V151&gt;175,W151&lt;25),0.23,0)+IF(AND(V151&gt;175,W151&gt;=25,W151&lt;55),0.2,0)+IF(AND(V151&gt;175,W151&gt;=55,W151&lt;95),0.17,0)+IF(AND(V151&gt;175,W151&gt;=95),0.12,0),
IF(AF151="DoEVs1",IF(AND(V151&lt;20,W151&lt;55),0.3,0)+IF(AND(V151&lt;20,W151&gt;=55,W151&lt;105),0.23,0)+IF(AND(V151&lt;20,W151&gt;=105),0.17,0)+IF(AND(V151&gt;=20,V151&lt;40,W151&lt;45),0.3,0)+IF(AND(V151&gt;=20,V151&lt;40,W151&gt;=45,W151&lt;95),0.23,0)+IF(AND(V151&gt;=20,V151&lt;40,W151&gt;=95,W151&lt;=150),0.17,0)+IF(AND(V151&gt;=20,V151&lt;40,W151&gt;=150),0.12,0)+IF(AND(V151&gt;=40,V151&lt;75,W151&lt;35),0.3,0)+IF(AND(V151&gt;=40,V151&lt;75,W151&gt;=35,W151&lt;75),0.23,0)+IF(AND(V151&gt;=40,V151&lt;75,W151&gt;=75,W151&lt;120),0.17,0)+IF(AND(V151&gt;=40,V151&lt;75,W151&gt;=120),0.12,0)+IF(AND(V151&gt;=75,V151&lt;175,W151&lt;35),0.3,0)+IF(AND(V151&gt;=75,V151&lt;=175,W151&gt;=35,W151&lt;65),0.23,0)+IF(AND(V151&gt;=75,V151&lt;=175,W151&gt;=65,W151&lt;110),0.17,0)+IF(AND(V151&gt;=75,V151&lt;=175,W151&gt;=110),0.12,0)+IF(AND(V151&gt;175,W151&lt;25),0.3,0)+IF(AND(V151&gt;175,W151&gt;=25,W151&lt;55),0.23,0)+IF(AND(V151&gt;175,W151&gt;=55,W151&lt;95),0.17,0)+IF(AND(V151&gt;175,W151&gt;=95),0.12,0),
IF(AF151="DoEVsu",IF(AND(V151&lt;20,W151&lt;55),0.3,0)+IF(AND(V151&lt;20,W151&gt;=55,W151&lt;105),0.23,0)+IF(AND(V151&lt;20,W151&gt;=105),0.17,0)+IF(AND(V151&gt;=20,V151&lt;40,W151&lt;45),0.3,0)+IF(AND(V151&gt;=20,V151&lt;40,W151&gt;=45,W151&lt;95),0.23,0)+IF(AND(V151&gt;=20,V151&lt;40,W151&gt;=95,W151&lt;=250),0.17,0)+IF(AND(V151&gt;=20,V151&lt;40,W151&gt;=250),0.12,0)+IF(AND(V151&gt;=40,V151&lt;75,W151&lt;35),0.3,0)+IF(AND(V151&gt;=40,V151&lt;75,W151&gt;=35,W151&lt;75),0.23,0)+IF(AND(V151&gt;=40,V151&lt;75,W151&gt;=75,W151&lt;120),0.17,0)+IF(AND(V151&gt;=40,V151&lt;75,W151&gt;=120),0.12,0)+IF(AND(V151&gt;=75,V151&lt;175,W151&lt;35),0.3,0)+IF(AND(V151&gt;=75,V151&lt;=175,W151&gt;=35,W151&lt;65),0.23,0)+IF(AND(V151&gt;=75,V151&lt;=175,W151&gt;=65,W151&lt;110),0.17,0)+IF(AND(V151&gt;=75,V151&lt;=175,W151&gt;=110),0.12,0)+IF(AND(V151&gt;175,W151&lt;25),0.3,0)+IF(AND(V151&gt;175,W151&gt;=25,W151&lt;55),0.23,0)+IF(AND(V151&gt;175,W151&gt;=55,W151&lt;95),0.17,0)+IF(AND(V151&gt;175,W151&gt;=95),0.12,0),
IF(AF151="DoEVni",IF(AND(V151&lt;20,W151&lt;55),0.3,0)+IF(AND(V151&lt;20,W151&gt;=55,W151&lt;105),0.23,0)+IF(AND(V151&lt;20,W151&gt;=105),0.17,0)+IF(AND(V151&gt;=20,V151&lt;40,W151&lt;45),0.3,0)+IF(AND(V151&gt;=20,V151&lt;40,W151&gt;=45,W151&lt;95),0.23,0)+IF(AND(V151&gt;=20,V151&lt;40,W151&gt;=95,W151&lt;=200),0.17,0)+IF(AND(V151&gt;=20,V151&lt;40,W151&gt;=200),0.12,0)+IF(AND(V151&gt;=40,V151&lt;75,W151&lt;35),0.3,0)+IF(AND(V151&gt;=40,V151&lt;75,W151&gt;=35,W151&lt;75),0.23,0)+IF(AND(V151&gt;=40,V151&lt;75,W151&gt;=75,W151&lt;120),0.17,0)+IF(AND(V151&gt;=40,V151&lt;75,W151&gt;=120),0.12,0)+IF(AND(V151&gt;=75,V151&lt;175,W151&lt;35),0.3,0)+IF(AND(V151&gt;=75,V151&lt;=175,W151&gt;=35,W151&lt;65),0.23,0)+IF(AND(V151&gt;=75,V151&lt;=175,W151&gt;=65,W151&lt;110),0.17,0)+IF(AND(V151&gt;=75,V151&lt;=175,W151&gt;=110),0.12,0)+IF(AND(V151&gt;175,W151&lt;25),0.3,0)+IF(AND(V151&gt;175,W151&gt;=25,W151&lt;55),0.23,0)+IF(AND(V151&gt;175,W151&gt;=55,W151&lt;95),0.17,0)+IF(AND(V151&gt;175,W151&gt;=95),0.12,0),
IF(AF151="DoEVLo",IF(AND(V151&lt;20,W151&lt;55),0.25,0)+IF(AND(V151&lt;20,W151&gt;=55,W151&lt;105),0.2,0)+IF(AND(V151&lt;20,W151&gt;=105),0.15,0)+IF(AND(V151&gt;=20,V151&lt;40,W151&lt;45),0.25,0)+IF(AND(V151&gt;=20,V151&lt;40,W151&gt;=45,W151&lt;95),0.2,0)+IF(AND(V151&gt;=20,V151&lt;40,W151&gt;=95),0.15,0)+IF(AND(V151&gt;=40,V151&lt;75,W151&lt;35),0.25,0)+IF(AND(V151&gt;=40,V151&lt;75,W151&gt;=35,W151&lt;75),0.2,0)+IF(AND(V151&gt;=40,V151&lt;75,W151&gt;=75,W151&lt;120),0.15,0)+IF(AND(V151&gt;=40,V151&lt;75,W151&gt;=120),0.1,0)+IF(AND(V151&gt;=75,V151&lt;175,W151&lt;35),0.25,0)+IF(AND(V151&gt;=75,V151&lt;=175,W151&gt;=35,W151&lt;65),0.2,0)+IF(AND(V151&gt;=75,V151&lt;=175,W151&gt;=65,W151&lt;110),0.15,0)+IF(AND(V151&gt;=75,V151&lt;=175,W151&gt;=110),0.1,0)+IF(AND(V151&gt;175,W151&lt;25),0.25,0)+IF(AND(V151&gt;175,W151&gt;=25,W151&lt;55),0.2,0)+IF(AND(V151&gt;175,W151&gt;=55,W151&lt;95),0.15,0)+IF(AND(V151&gt;175,W151&gt;=95),0.1,0))))))))))))))))</f>
        <v>0.22</v>
      </c>
      <c r="Y151" s="30">
        <f>IF(AG151="None",0,IF(AG151="Fix5",0.05,IF(AG151="Fix3.75",0.0375,IF(AG151="Fix10",0.1,IF(AG151="Fix3",0.03,0)))))</f>
        <v>0</v>
      </c>
      <c r="Z151" s="35">
        <f>T151-AA151-AB151</f>
        <v>46.8</v>
      </c>
      <c r="AA151" s="29">
        <f>IF(AD151="EUR",((T151-R151)*X151)*U151+(R151*X151),(T151*X151))</f>
        <v>13.2</v>
      </c>
      <c r="AB151" s="36">
        <f>IF(AD151="EUR",((T151-R151)*Y151)*U151+(R151*Y151),(T151*Y151))</f>
        <v>0</v>
      </c>
      <c r="AC151" s="37" t="b">
        <v>1</v>
      </c>
      <c r="AD151" s="37" t="s">
        <v>38</v>
      </c>
      <c r="AE151" s="37" t="s">
        <v>38</v>
      </c>
      <c r="AF151" s="37" t="str">
        <f t="array" ref="AF151">INDEX('Deal Info'!D:D, MATCH(A151,'Deal Info'!A:A, 0))</f>
        <v>SF</v>
      </c>
      <c r="AG151" s="38" t="str">
        <f t="array" ref="AG151">INDEX('Deal Info'!G:G, MATCH(A151,'Deal Info'!A:A, 0))</f>
        <v>None</v>
      </c>
    </row>
    <row r="152" spans="1:33" ht="14.25" hidden="1" x14ac:dyDescent="0.2">
      <c r="A152" s="18" t="str">
        <f t="array" ref="A152">IF(G152='Room Info'!$B$1, INDEX('Room Info'!$A$2:$A2446, MATCH(B152,'Room Info'!$B$2:$B2446, 0)),IF(G152='Room Info'!$C$1, INDEX('Room Info'!$A$2:$A2446, MATCH(B152,'Room Info'!$C$2:$C2446, 0)),IF(G152='Room Info'!$D$1, INDEX('Room Info'!$A$2:$A2446, MATCH(B152,'Room Info'!$D$2:$D2446, 0)),IF(G152='Room Info'!$E$1, INDEX('Room Info'!$A$2:$A2446, MATCH(B152,'Room Info'!$E$2:$E2446, 0)),IF(G152='Room Info'!$F$1, INDEX('Room Info'!$A$2:$A2446, MATCH(B152,'Room Info'!$F$2:$F2446, 0)),IF(G152='Room Info'!$H$1, INDEX('Room Info'!$A$2:$A2446, MATCH(B152,'Room Info'!$H$2:$H2446, 0)),IF(G152='Room Info'!$G$1, INDEX('Room Info'!$A$2:$A2446, MATCH(B152,'Room Info'!$G$2:$G2446, 0)))))))))</f>
        <v>bbaltqq</v>
      </c>
      <c r="B152" s="54" t="s">
        <v>89</v>
      </c>
      <c r="C152" s="46">
        <v>44682</v>
      </c>
      <c r="D152" s="46">
        <v>44712</v>
      </c>
      <c r="E152" s="47">
        <v>44682</v>
      </c>
      <c r="F152" s="45" t="s">
        <v>41</v>
      </c>
      <c r="G152" s="54" t="s">
        <v>35</v>
      </c>
      <c r="H152" s="49" t="s">
        <v>72</v>
      </c>
      <c r="I152" s="49" t="s">
        <v>37</v>
      </c>
      <c r="J152" s="50">
        <v>50</v>
      </c>
      <c r="K152" s="51">
        <v>192</v>
      </c>
      <c r="L152" s="52">
        <v>-750</v>
      </c>
      <c r="M152" s="53">
        <v>481</v>
      </c>
      <c r="N152" s="28">
        <f>K152*J152</f>
        <v>9600</v>
      </c>
      <c r="O152" s="54">
        <v>3668</v>
      </c>
      <c r="P152" s="29">
        <v>19.104166670000001</v>
      </c>
      <c r="Q152" s="55"/>
      <c r="R152" s="31">
        <f>M152+Q152</f>
        <v>481</v>
      </c>
      <c r="S152" s="56"/>
      <c r="T152" s="32">
        <f>R152+S152+IF(F152="Without EV deal",L152,0)</f>
        <v>-269</v>
      </c>
      <c r="U152" s="33">
        <v>1</v>
      </c>
      <c r="V152" s="69">
        <v>95.441595441595439</v>
      </c>
      <c r="W152" s="69">
        <v>9.7546567164179105</v>
      </c>
      <c r="X152" s="30">
        <f>IF(AF152="DoEV",IF(AND(V152&lt;20,W152&lt;55),0.3,0)+IF(AND(V152&lt;20,W152&gt;=55,W152&lt;105),0.23,0)+IF(AND(V152&lt;20,W152&gt;=105),0.17,0)+IF(AND(V152&gt;=20,V152&lt;40,W152&lt;45),0.3,0)+IF(AND(V152&gt;=20,V152&lt;40,W152&gt;=45,W152&lt;95),0.23,0)+IF(AND(V152&gt;=20,V152&lt;40,W152&gt;=95),0.17,0)+IF(AND(V152&gt;=40,V152&lt;75,W152&lt;35),0.3,0)+IF(AND(V152&gt;=40,V152&lt;75,W152&gt;=35,W152&lt;75),0.23,0)+IF(AND(V152&gt;=40,V152&lt;75,W152&gt;=75,W152&lt;120),0.17,0)+IF(AND(V152&gt;=40,V152&lt;75,W152&gt;=120),0.12,0)+IF(AND(V152&gt;=75,V152&lt;175,W152&lt;35),0.3,0)+IF(AND(V152&gt;=75,V152&lt;=175,W152&gt;=35,W152&lt;65),0.23,0)+IF(AND(V152&gt;=75,V152&lt;=175,W152&gt;=65,W152&lt;110),0.17,0)+IF(AND(V152&gt;=75,V152&lt;=175,W152&gt;=110),0.12,0)+IF(AND(V152&gt;175,W152&lt;25),0.3,0)+IF(AND(V152&gt;175,W152&gt;=25,W152&lt;55),0.23,0)+IF(AND(V152&gt;175,W152&gt;=55,W152&lt;95),0.17,0)+IF(AND(V152&gt;175,W152&gt;=95),0.12,0),
IF(AF152="Fix15",0.15,
IF(AF152="Fix11.25",0.1125,
IF(AF152="Fix10",0.1,
IF(AF152="Fix9",0.09,
IF(AF152="DoEV2017",IF(AND(W152&lt;74),0.2,0)+IF(AND(W152&gt;=74),0.17,0),
IF(AF152="SF",IF(AND(V152&lt;20,W152&lt;89),0.3,0)+IF(AND(V152&lt;20,W152&gt;=89),0.25,0)+IF(AND(V152&gt;=20,V152&lt;40,W152&lt;74),0.3,0)+IF(AND(V152&gt;=20,V152&lt;40,W152&gt;=75),0.22,0)+IF(AND(V152&gt;=40,V152&lt;75,W152&lt;75),0.26,0)+IF(AND(V152&gt;=40,V152&lt;75,W152&gt;=75),0.22,0)+IF(V152&gt;=75,0.22,0),
IF(AF152="DoEVold",IF(AND(V152&lt;40,W152&lt;35),0.35,0)+IF(AND(V152&lt;40,W152&gt;=35,W152&lt;75),0.25,0)+IF(AND(V152&lt;40,W152&gt;=75),0.17,0)+IF(AND(V152&gt;=40,V152&lt;75,W152&lt;25),0.35,0)+IF(AND(V152&gt;=40,V152&lt;75,W152&gt;=25,W152&lt;65),0.25,0)+IF(AND(V152&gt;=40,V152&lt;75,W152&gt;=65,W152&lt;100),0.17,0)+IF(AND(V152&gt;=40,V152&lt;75,W152&gt;=100),0.1,0)+IF(AND(V152&gt;=75,W152&lt;25),0.35,0)+IF(AND(V152&gt;=75,W152&gt;=25,W152&lt;60),0.25,0)+IF(AND(V152&gt;=75,W152&gt;=60,W152&lt;95),0.17,0)+IF(AND(V152&gt;=75,W152&gt;=95),0.1,0),
IF(AF152="DoEVold15",IF(AND(V152&lt;=40,W152&lt;35),0.35,0)+IF(AND(V152&lt;=40,W152&gt;=35,W152&lt;75),0.25,0)+IF(AND(V152&lt;=40,W152&gt;=75,W152&lt;120),0.17,0)+IF(AND(V152&lt;=40,W152&gt;=120),0.15,0)+IF(AND(V152&gt;40,V152&lt;75,W152&lt;25),0.35,0)+IF(AND(V152&gt;=40,V152&lt;75,W152&gt;=25,W152&lt;65),0.25,0)+IF(AND(V152&gt;=40,V152&lt;75,W152&gt;=65,W152&lt;100),0.17,0)+IF(AND(V152&gt;=40,V152&lt;75,W152&gt;=100),0.1,0)+IF(AND(V152&gt;=75,W152&lt;25),0.35,0)+IF(AND(V152&gt;=75,W152&gt;=25,W152&lt;60),0.25,0)+IF(AND(V152&gt;=75,W152&gt;=60,W152&lt;95),0.17,0)+IF(AND(V152&gt;=75,W152&gt;=95),0.1,0),
IF(AF152="DoEVba",IF(AND(V152&lt;20,W152&lt;105),0.2,0)+IF(AND(V152&lt;20,W152&gt;=105),0.15,0)+IF(AND(V152&gt;=20,V152&lt;40,W152&lt;95),0.2,0)+IF(AND(V152&gt;=20,V152&lt;40,W152&gt;=95,W152&lt;150),0.15,0)+IF(AND(V152&gt;=20,V152&lt;40,W152&gt;=150),0.12,0)+IF(AND(V152&gt;=40,V152&lt;75,W152&lt;75),0.2,0)+IF(AND(V152&gt;=40,V152&lt;75,W152&gt;=75,W152&lt;120),0.15,0)+IF(AND(V152&gt;=40,V152&lt;75,W152&gt;=120),0.12,0)+IF(AND(V152&gt;=75,V152&lt;175,W152&lt;65),0.2,0)+IF(AND(V152&gt;=75,V152&lt;175,W152&gt;=65,W152&lt;110),0.15,0)+IF(AND(V152&gt;=75,V152&lt;175,W152&gt;=110),0.12,0)+IF(AND(V152&gt;=175,W152&lt;55),0.2,0)+IF(AND(V152&gt;=175,W152&gt;=55,W152&lt;95),0.15,0)+IF(AND(V152&gt;=175,W152&gt;=95),0.12,0),
IF(AF152="DoEVku",IF(AND(V152&lt;20,W152&lt;55),0.23,0)+IF(AND(V152&lt;20,W152&gt;=55,W152&lt;105),0.2,0)+IF(AND(V152&lt;20,W152&gt;=105),0.17,0)+IF(AND(V152&gt;=20,V152&lt;40,W152&lt;45),0.23,0)+IF(AND(V152&gt;=20,V152&lt;40,W152&gt;=45,W152&lt;95),0.2,0)+IF(AND(V152&gt;=20,V152&lt;40,W152&gt;=95,W152&lt;=150),0.17,0)+IF(AND(V152&gt;=20,V152&lt;40,W152&gt;=150),0.12,0)+IF(AND(V152&gt;=40,V152&lt;75,W152&lt;35),0.23,0)+IF(AND(V152&gt;=40,V152&lt;75,W152&gt;=35,W152&lt;75),0.2,0)+IF(AND(V152&gt;=40,V152&lt;75,W152&gt;=75,W152&lt;120),0.17,0)+IF(AND(V152&gt;=40,V152&lt;75,W152&gt;=120),0.12,0)+IF(AND(V152&gt;=75,V152&lt;175,W152&lt;35),0.23,0)+IF(AND(V152&gt;=75,V152&lt;=175,W152&gt;=35,W152&lt;65),0.2,0)+IF(AND(V152&gt;=75,V152&lt;=175,W152&gt;=65,W152&lt;110),0.17,0)+IF(AND(V152&gt;=75,V152&lt;=175,W152&gt;=110),0.12,0)+IF(AND(V152&gt;175,W152&lt;25),0.23,0)+IF(AND(V152&gt;175,W152&gt;=25,W152&lt;55),0.2,0)+IF(AND(V152&gt;175,W152&gt;=55,W152&lt;95),0.17,0)+IF(AND(V152&gt;175,W152&gt;=95),0.12,0),
IF(AF152="DoEVs1",IF(AND(V152&lt;20,W152&lt;55),0.3,0)+IF(AND(V152&lt;20,W152&gt;=55,W152&lt;105),0.23,0)+IF(AND(V152&lt;20,W152&gt;=105),0.17,0)+IF(AND(V152&gt;=20,V152&lt;40,W152&lt;45),0.3,0)+IF(AND(V152&gt;=20,V152&lt;40,W152&gt;=45,W152&lt;95),0.23,0)+IF(AND(V152&gt;=20,V152&lt;40,W152&gt;=95,W152&lt;=150),0.17,0)+IF(AND(V152&gt;=20,V152&lt;40,W152&gt;=150),0.12,0)+IF(AND(V152&gt;=40,V152&lt;75,W152&lt;35),0.3,0)+IF(AND(V152&gt;=40,V152&lt;75,W152&gt;=35,W152&lt;75),0.23,0)+IF(AND(V152&gt;=40,V152&lt;75,W152&gt;=75,W152&lt;120),0.17,0)+IF(AND(V152&gt;=40,V152&lt;75,W152&gt;=120),0.12,0)+IF(AND(V152&gt;=75,V152&lt;175,W152&lt;35),0.3,0)+IF(AND(V152&gt;=75,V152&lt;=175,W152&gt;=35,W152&lt;65),0.23,0)+IF(AND(V152&gt;=75,V152&lt;=175,W152&gt;=65,W152&lt;110),0.17,0)+IF(AND(V152&gt;=75,V152&lt;=175,W152&gt;=110),0.12,0)+IF(AND(V152&gt;175,W152&lt;25),0.3,0)+IF(AND(V152&gt;175,W152&gt;=25,W152&lt;55),0.23,0)+IF(AND(V152&gt;175,W152&gt;=55,W152&lt;95),0.17,0)+IF(AND(V152&gt;175,W152&gt;=95),0.12,0),
IF(AF152="DoEVsu",IF(AND(V152&lt;20,W152&lt;55),0.3,0)+IF(AND(V152&lt;20,W152&gt;=55,W152&lt;105),0.23,0)+IF(AND(V152&lt;20,W152&gt;=105),0.17,0)+IF(AND(V152&gt;=20,V152&lt;40,W152&lt;45),0.3,0)+IF(AND(V152&gt;=20,V152&lt;40,W152&gt;=45,W152&lt;95),0.23,0)+IF(AND(V152&gt;=20,V152&lt;40,W152&gt;=95,W152&lt;=250),0.17,0)+IF(AND(V152&gt;=20,V152&lt;40,W152&gt;=250),0.12,0)+IF(AND(V152&gt;=40,V152&lt;75,W152&lt;35),0.3,0)+IF(AND(V152&gt;=40,V152&lt;75,W152&gt;=35,W152&lt;75),0.23,0)+IF(AND(V152&gt;=40,V152&lt;75,W152&gt;=75,W152&lt;120),0.17,0)+IF(AND(V152&gt;=40,V152&lt;75,W152&gt;=120),0.12,0)+IF(AND(V152&gt;=75,V152&lt;175,W152&lt;35),0.3,0)+IF(AND(V152&gt;=75,V152&lt;=175,W152&gt;=35,W152&lt;65),0.23,0)+IF(AND(V152&gt;=75,V152&lt;=175,W152&gt;=65,W152&lt;110),0.17,0)+IF(AND(V152&gt;=75,V152&lt;=175,W152&gt;=110),0.12,0)+IF(AND(V152&gt;175,W152&lt;25),0.3,0)+IF(AND(V152&gt;175,W152&gt;=25,W152&lt;55),0.23,0)+IF(AND(V152&gt;175,W152&gt;=55,W152&lt;95),0.17,0)+IF(AND(V152&gt;175,W152&gt;=95),0.12,0),
IF(AF152="DoEVni",IF(AND(V152&lt;20,W152&lt;55),0.3,0)+IF(AND(V152&lt;20,W152&gt;=55,W152&lt;105),0.23,0)+IF(AND(V152&lt;20,W152&gt;=105),0.17,0)+IF(AND(V152&gt;=20,V152&lt;40,W152&lt;45),0.3,0)+IF(AND(V152&gt;=20,V152&lt;40,W152&gt;=45,W152&lt;95),0.23,0)+IF(AND(V152&gt;=20,V152&lt;40,W152&gt;=95,W152&lt;=200),0.17,0)+IF(AND(V152&gt;=20,V152&lt;40,W152&gt;=200),0.12,0)+IF(AND(V152&gt;=40,V152&lt;75,W152&lt;35),0.3,0)+IF(AND(V152&gt;=40,V152&lt;75,W152&gt;=35,W152&lt;75),0.23,0)+IF(AND(V152&gt;=40,V152&lt;75,W152&gt;=75,W152&lt;120),0.17,0)+IF(AND(V152&gt;=40,V152&lt;75,W152&gt;=120),0.12,0)+IF(AND(V152&gt;=75,V152&lt;175,W152&lt;35),0.3,0)+IF(AND(V152&gt;=75,V152&lt;=175,W152&gt;=35,W152&lt;65),0.23,0)+IF(AND(V152&gt;=75,V152&lt;=175,W152&gt;=65,W152&lt;110),0.17,0)+IF(AND(V152&gt;=75,V152&lt;=175,W152&gt;=110),0.12,0)+IF(AND(V152&gt;175,W152&lt;25),0.3,0)+IF(AND(V152&gt;175,W152&gt;=25,W152&lt;55),0.23,0)+IF(AND(V152&gt;175,W152&gt;=55,W152&lt;95),0.17,0)+IF(AND(V152&gt;175,W152&gt;=95),0.12,0),
IF(AF152="DoEVLo",IF(AND(V152&lt;20,W152&lt;55),0.25,0)+IF(AND(V152&lt;20,W152&gt;=55,W152&lt;105),0.2,0)+IF(AND(V152&lt;20,W152&gt;=105),0.15,0)+IF(AND(V152&gt;=20,V152&lt;40,W152&lt;45),0.25,0)+IF(AND(V152&gt;=20,V152&lt;40,W152&gt;=45,W152&lt;95),0.2,0)+IF(AND(V152&gt;=20,V152&lt;40,W152&gt;=95),0.15,0)+IF(AND(V152&gt;=40,V152&lt;75,W152&lt;35),0.25,0)+IF(AND(V152&gt;=40,V152&lt;75,W152&gt;=35,W152&lt;75),0.2,0)+IF(AND(V152&gt;=40,V152&lt;75,W152&gt;=75,W152&lt;120),0.15,0)+IF(AND(V152&gt;=40,V152&lt;75,W152&gt;=120),0.1,0)+IF(AND(V152&gt;=75,V152&lt;175,W152&lt;35),0.25,0)+IF(AND(V152&gt;=75,V152&lt;=175,W152&gt;=35,W152&lt;65),0.2,0)+IF(AND(V152&gt;=75,V152&lt;=175,W152&gt;=65,W152&lt;110),0.15,0)+IF(AND(V152&gt;=75,V152&lt;=175,W152&gt;=110),0.1,0)+IF(AND(V152&gt;175,W152&lt;25),0.25,0)+IF(AND(V152&gt;175,W152&gt;=25,W152&lt;55),0.2,0)+IF(AND(V152&gt;175,W152&gt;=55,W152&lt;95),0.15,0)+IF(AND(V152&gt;175,W152&gt;=95),0.1,0))))))))))))))))</f>
        <v>0.22</v>
      </c>
      <c r="Y152" s="30">
        <f>IF(AG152="None",0,IF(AG152="Fix5",0.05,IF(AG152="Fix3.75",0.0375,IF(AG152="Fix10",0.1,IF(AG152="Fix3",0.03,0)))))</f>
        <v>0</v>
      </c>
      <c r="Z152" s="35">
        <f>T152-AA152-AB152</f>
        <v>-209.82</v>
      </c>
      <c r="AA152" s="29">
        <f>IF(AD152="EUR",((T152-R152)*X152)*U152+(R152*X152),(T152*X152))</f>
        <v>-59.18</v>
      </c>
      <c r="AB152" s="36">
        <f>IF(AD152="EUR",((T152-R152)*Y152)*U152+(R152*Y152),(T152*Y152))</f>
        <v>0</v>
      </c>
      <c r="AC152" s="37" t="b">
        <v>1</v>
      </c>
      <c r="AD152" s="37" t="s">
        <v>38</v>
      </c>
      <c r="AE152" s="37" t="s">
        <v>38</v>
      </c>
      <c r="AF152" s="37" t="str">
        <f t="array" ref="AF152">INDEX('Deal Info'!D:D, MATCH(A152,'Deal Info'!A:A, 0))</f>
        <v>SF</v>
      </c>
      <c r="AG152" s="38" t="str">
        <f t="array" ref="AG152">INDEX('Deal Info'!G:G, MATCH(A152,'Deal Info'!A:A, 0))</f>
        <v>None</v>
      </c>
    </row>
    <row r="153" spans="1:33" ht="14.25" hidden="1" x14ac:dyDescent="0.2">
      <c r="A153" s="18" t="str">
        <f t="array" ref="A153">IF(G153='Room Info'!$B$1, INDEX('Room Info'!$A$2:$A2446, MATCH(B153,'Room Info'!$B$2:$B2446, 0)),IF(G153='Room Info'!$C$1, INDEX('Room Info'!$A$2:$A2446, MATCH(B153,'Room Info'!$C$2:$C2446, 0)),IF(G153='Room Info'!$D$1, INDEX('Room Info'!$A$2:$A2446, MATCH(B153,'Room Info'!$D$2:$D2446, 0)),IF(G153='Room Info'!$E$1, INDEX('Room Info'!$A$2:$A2446, MATCH(B153,'Room Info'!$E$2:$E2446, 0)),IF(G153='Room Info'!$F$1, INDEX('Room Info'!$A$2:$A2446, MATCH(B153,'Room Info'!$F$2:$F2446, 0)),IF(G153='Room Info'!$H$1, INDEX('Room Info'!$A$2:$A2446, MATCH(B153,'Room Info'!$H$2:$H2446, 0)),IF(G153='Room Info'!$G$1, INDEX('Room Info'!$A$2:$A2446, MATCH(B153,'Room Info'!$G$2:$G2446, 0)))))))))</f>
        <v>bbaltqq</v>
      </c>
      <c r="B153" s="54" t="s">
        <v>89</v>
      </c>
      <c r="C153" s="67">
        <v>44682</v>
      </c>
      <c r="D153" s="67">
        <v>44712</v>
      </c>
      <c r="E153" s="47">
        <v>44682</v>
      </c>
      <c r="F153" s="45" t="s">
        <v>41</v>
      </c>
      <c r="G153" s="54" t="s">
        <v>35</v>
      </c>
      <c r="H153" s="49" t="s">
        <v>70</v>
      </c>
      <c r="I153" s="49" t="s">
        <v>37</v>
      </c>
      <c r="J153" s="50">
        <v>100</v>
      </c>
      <c r="K153" s="51">
        <v>1914</v>
      </c>
      <c r="L153" s="52">
        <v>-6800</v>
      </c>
      <c r="M153" s="53">
        <v>8000</v>
      </c>
      <c r="N153" s="28">
        <f>K153*J153</f>
        <v>191400</v>
      </c>
      <c r="O153" s="54">
        <v>18072</v>
      </c>
      <c r="P153" s="29">
        <v>9.4420062700000003</v>
      </c>
      <c r="Q153" s="55"/>
      <c r="R153" s="31">
        <f>M153+Q153</f>
        <v>8000</v>
      </c>
      <c r="S153" s="56"/>
      <c r="T153" s="32">
        <f>R153+S153+IF(F153="Without EV deal",L153,0)</f>
        <v>1200</v>
      </c>
      <c r="U153" s="33">
        <v>1</v>
      </c>
      <c r="V153" s="69">
        <v>95.441595441595439</v>
      </c>
      <c r="W153" s="69">
        <v>9.7546567164179105</v>
      </c>
      <c r="X153" s="30">
        <f>IF(AF153="DoEV",IF(AND(V153&lt;20,W153&lt;55),0.3,0)+IF(AND(V153&lt;20,W153&gt;=55,W153&lt;105),0.23,0)+IF(AND(V153&lt;20,W153&gt;=105),0.17,0)+IF(AND(V153&gt;=20,V153&lt;40,W153&lt;45),0.3,0)+IF(AND(V153&gt;=20,V153&lt;40,W153&gt;=45,W153&lt;95),0.23,0)+IF(AND(V153&gt;=20,V153&lt;40,W153&gt;=95),0.17,0)+IF(AND(V153&gt;=40,V153&lt;75,W153&lt;35),0.3,0)+IF(AND(V153&gt;=40,V153&lt;75,W153&gt;=35,W153&lt;75),0.23,0)+IF(AND(V153&gt;=40,V153&lt;75,W153&gt;=75,W153&lt;120),0.17,0)+IF(AND(V153&gt;=40,V153&lt;75,W153&gt;=120),0.12,0)+IF(AND(V153&gt;=75,V153&lt;175,W153&lt;35),0.3,0)+IF(AND(V153&gt;=75,V153&lt;=175,W153&gt;=35,W153&lt;65),0.23,0)+IF(AND(V153&gt;=75,V153&lt;=175,W153&gt;=65,W153&lt;110),0.17,0)+IF(AND(V153&gt;=75,V153&lt;=175,W153&gt;=110),0.12,0)+IF(AND(V153&gt;175,W153&lt;25),0.3,0)+IF(AND(V153&gt;175,W153&gt;=25,W153&lt;55),0.23,0)+IF(AND(V153&gt;175,W153&gt;=55,W153&lt;95),0.17,0)+IF(AND(V153&gt;175,W153&gt;=95),0.12,0),
IF(AF153="Fix15",0.15,
IF(AF153="Fix11.25",0.1125,
IF(AF153="Fix10",0.1,
IF(AF153="Fix9",0.09,
IF(AF153="DoEV2017",IF(AND(W153&lt;74),0.2,0)+IF(AND(W153&gt;=74),0.17,0),
IF(AF153="SF",IF(AND(V153&lt;20,W153&lt;89),0.3,0)+IF(AND(V153&lt;20,W153&gt;=89),0.25,0)+IF(AND(V153&gt;=20,V153&lt;40,W153&lt;74),0.3,0)+IF(AND(V153&gt;=20,V153&lt;40,W153&gt;=75),0.22,0)+IF(AND(V153&gt;=40,V153&lt;75,W153&lt;75),0.26,0)+IF(AND(V153&gt;=40,V153&lt;75,W153&gt;=75),0.22,0)+IF(V153&gt;=75,0.22,0),
IF(AF153="DoEVold",IF(AND(V153&lt;40,W153&lt;35),0.35,0)+IF(AND(V153&lt;40,W153&gt;=35,W153&lt;75),0.25,0)+IF(AND(V153&lt;40,W153&gt;=75),0.17,0)+IF(AND(V153&gt;=40,V153&lt;75,W153&lt;25),0.35,0)+IF(AND(V153&gt;=40,V153&lt;75,W153&gt;=25,W153&lt;65),0.25,0)+IF(AND(V153&gt;=40,V153&lt;75,W153&gt;=65,W153&lt;100),0.17,0)+IF(AND(V153&gt;=40,V153&lt;75,W153&gt;=100),0.1,0)+IF(AND(V153&gt;=75,W153&lt;25),0.35,0)+IF(AND(V153&gt;=75,W153&gt;=25,W153&lt;60),0.25,0)+IF(AND(V153&gt;=75,W153&gt;=60,W153&lt;95),0.17,0)+IF(AND(V153&gt;=75,W153&gt;=95),0.1,0),
IF(AF153="DoEVold15",IF(AND(V153&lt;=40,W153&lt;35),0.35,0)+IF(AND(V153&lt;=40,W153&gt;=35,W153&lt;75),0.25,0)+IF(AND(V153&lt;=40,W153&gt;=75,W153&lt;120),0.17,0)+IF(AND(V153&lt;=40,W153&gt;=120),0.15,0)+IF(AND(V153&gt;40,V153&lt;75,W153&lt;25),0.35,0)+IF(AND(V153&gt;=40,V153&lt;75,W153&gt;=25,W153&lt;65),0.25,0)+IF(AND(V153&gt;=40,V153&lt;75,W153&gt;=65,W153&lt;100),0.17,0)+IF(AND(V153&gt;=40,V153&lt;75,W153&gt;=100),0.1,0)+IF(AND(V153&gt;=75,W153&lt;25),0.35,0)+IF(AND(V153&gt;=75,W153&gt;=25,W153&lt;60),0.25,0)+IF(AND(V153&gt;=75,W153&gt;=60,W153&lt;95),0.17,0)+IF(AND(V153&gt;=75,W153&gt;=95),0.1,0),
IF(AF153="DoEVba",IF(AND(V153&lt;20,W153&lt;105),0.2,0)+IF(AND(V153&lt;20,W153&gt;=105),0.15,0)+IF(AND(V153&gt;=20,V153&lt;40,W153&lt;95),0.2,0)+IF(AND(V153&gt;=20,V153&lt;40,W153&gt;=95,W153&lt;150),0.15,0)+IF(AND(V153&gt;=20,V153&lt;40,W153&gt;=150),0.12,0)+IF(AND(V153&gt;=40,V153&lt;75,W153&lt;75),0.2,0)+IF(AND(V153&gt;=40,V153&lt;75,W153&gt;=75,W153&lt;120),0.15,0)+IF(AND(V153&gt;=40,V153&lt;75,W153&gt;=120),0.12,0)+IF(AND(V153&gt;=75,V153&lt;175,W153&lt;65),0.2,0)+IF(AND(V153&gt;=75,V153&lt;175,W153&gt;=65,W153&lt;110),0.15,0)+IF(AND(V153&gt;=75,V153&lt;175,W153&gt;=110),0.12,0)+IF(AND(V153&gt;=175,W153&lt;55),0.2,0)+IF(AND(V153&gt;=175,W153&gt;=55,W153&lt;95),0.15,0)+IF(AND(V153&gt;=175,W153&gt;=95),0.12,0),
IF(AF153="DoEVku",IF(AND(V153&lt;20,W153&lt;55),0.23,0)+IF(AND(V153&lt;20,W153&gt;=55,W153&lt;105),0.2,0)+IF(AND(V153&lt;20,W153&gt;=105),0.17,0)+IF(AND(V153&gt;=20,V153&lt;40,W153&lt;45),0.23,0)+IF(AND(V153&gt;=20,V153&lt;40,W153&gt;=45,W153&lt;95),0.2,0)+IF(AND(V153&gt;=20,V153&lt;40,W153&gt;=95,W153&lt;=150),0.17,0)+IF(AND(V153&gt;=20,V153&lt;40,W153&gt;=150),0.12,0)+IF(AND(V153&gt;=40,V153&lt;75,W153&lt;35),0.23,0)+IF(AND(V153&gt;=40,V153&lt;75,W153&gt;=35,W153&lt;75),0.2,0)+IF(AND(V153&gt;=40,V153&lt;75,W153&gt;=75,W153&lt;120),0.17,0)+IF(AND(V153&gt;=40,V153&lt;75,W153&gt;=120),0.12,0)+IF(AND(V153&gt;=75,V153&lt;175,W153&lt;35),0.23,0)+IF(AND(V153&gt;=75,V153&lt;=175,W153&gt;=35,W153&lt;65),0.2,0)+IF(AND(V153&gt;=75,V153&lt;=175,W153&gt;=65,W153&lt;110),0.17,0)+IF(AND(V153&gt;=75,V153&lt;=175,W153&gt;=110),0.12,0)+IF(AND(V153&gt;175,W153&lt;25),0.23,0)+IF(AND(V153&gt;175,W153&gt;=25,W153&lt;55),0.2,0)+IF(AND(V153&gt;175,W153&gt;=55,W153&lt;95),0.17,0)+IF(AND(V153&gt;175,W153&gt;=95),0.12,0),
IF(AF153="DoEVs1",IF(AND(V153&lt;20,W153&lt;55),0.3,0)+IF(AND(V153&lt;20,W153&gt;=55,W153&lt;105),0.23,0)+IF(AND(V153&lt;20,W153&gt;=105),0.17,0)+IF(AND(V153&gt;=20,V153&lt;40,W153&lt;45),0.3,0)+IF(AND(V153&gt;=20,V153&lt;40,W153&gt;=45,W153&lt;95),0.23,0)+IF(AND(V153&gt;=20,V153&lt;40,W153&gt;=95,W153&lt;=150),0.17,0)+IF(AND(V153&gt;=20,V153&lt;40,W153&gt;=150),0.12,0)+IF(AND(V153&gt;=40,V153&lt;75,W153&lt;35),0.3,0)+IF(AND(V153&gt;=40,V153&lt;75,W153&gt;=35,W153&lt;75),0.23,0)+IF(AND(V153&gt;=40,V153&lt;75,W153&gt;=75,W153&lt;120),0.17,0)+IF(AND(V153&gt;=40,V153&lt;75,W153&gt;=120),0.12,0)+IF(AND(V153&gt;=75,V153&lt;175,W153&lt;35),0.3,0)+IF(AND(V153&gt;=75,V153&lt;=175,W153&gt;=35,W153&lt;65),0.23,0)+IF(AND(V153&gt;=75,V153&lt;=175,W153&gt;=65,W153&lt;110),0.17,0)+IF(AND(V153&gt;=75,V153&lt;=175,W153&gt;=110),0.12,0)+IF(AND(V153&gt;175,W153&lt;25),0.3,0)+IF(AND(V153&gt;175,W153&gt;=25,W153&lt;55),0.23,0)+IF(AND(V153&gt;175,W153&gt;=55,W153&lt;95),0.17,0)+IF(AND(V153&gt;175,W153&gt;=95),0.12,0),
IF(AF153="DoEVsu",IF(AND(V153&lt;20,W153&lt;55),0.3,0)+IF(AND(V153&lt;20,W153&gt;=55,W153&lt;105),0.23,0)+IF(AND(V153&lt;20,W153&gt;=105),0.17,0)+IF(AND(V153&gt;=20,V153&lt;40,W153&lt;45),0.3,0)+IF(AND(V153&gt;=20,V153&lt;40,W153&gt;=45,W153&lt;95),0.23,0)+IF(AND(V153&gt;=20,V153&lt;40,W153&gt;=95,W153&lt;=250),0.17,0)+IF(AND(V153&gt;=20,V153&lt;40,W153&gt;=250),0.12,0)+IF(AND(V153&gt;=40,V153&lt;75,W153&lt;35),0.3,0)+IF(AND(V153&gt;=40,V153&lt;75,W153&gt;=35,W153&lt;75),0.23,0)+IF(AND(V153&gt;=40,V153&lt;75,W153&gt;=75,W153&lt;120),0.17,0)+IF(AND(V153&gt;=40,V153&lt;75,W153&gt;=120),0.12,0)+IF(AND(V153&gt;=75,V153&lt;175,W153&lt;35),0.3,0)+IF(AND(V153&gt;=75,V153&lt;=175,W153&gt;=35,W153&lt;65),0.23,0)+IF(AND(V153&gt;=75,V153&lt;=175,W153&gt;=65,W153&lt;110),0.17,0)+IF(AND(V153&gt;=75,V153&lt;=175,W153&gt;=110),0.12,0)+IF(AND(V153&gt;175,W153&lt;25),0.3,0)+IF(AND(V153&gt;175,W153&gt;=25,W153&lt;55),0.23,0)+IF(AND(V153&gt;175,W153&gt;=55,W153&lt;95),0.17,0)+IF(AND(V153&gt;175,W153&gt;=95),0.12,0),
IF(AF153="DoEVni",IF(AND(V153&lt;20,W153&lt;55),0.3,0)+IF(AND(V153&lt;20,W153&gt;=55,W153&lt;105),0.23,0)+IF(AND(V153&lt;20,W153&gt;=105),0.17,0)+IF(AND(V153&gt;=20,V153&lt;40,W153&lt;45),0.3,0)+IF(AND(V153&gt;=20,V153&lt;40,W153&gt;=45,W153&lt;95),0.23,0)+IF(AND(V153&gt;=20,V153&lt;40,W153&gt;=95,W153&lt;=200),0.17,0)+IF(AND(V153&gt;=20,V153&lt;40,W153&gt;=200),0.12,0)+IF(AND(V153&gt;=40,V153&lt;75,W153&lt;35),0.3,0)+IF(AND(V153&gt;=40,V153&lt;75,W153&gt;=35,W153&lt;75),0.23,0)+IF(AND(V153&gt;=40,V153&lt;75,W153&gt;=75,W153&lt;120),0.17,0)+IF(AND(V153&gt;=40,V153&lt;75,W153&gt;=120),0.12,0)+IF(AND(V153&gt;=75,V153&lt;175,W153&lt;35),0.3,0)+IF(AND(V153&gt;=75,V153&lt;=175,W153&gt;=35,W153&lt;65),0.23,0)+IF(AND(V153&gt;=75,V153&lt;=175,W153&gt;=65,W153&lt;110),0.17,0)+IF(AND(V153&gt;=75,V153&lt;=175,W153&gt;=110),0.12,0)+IF(AND(V153&gt;175,W153&lt;25),0.3,0)+IF(AND(V153&gt;175,W153&gt;=25,W153&lt;55),0.23,0)+IF(AND(V153&gt;175,W153&gt;=55,W153&lt;95),0.17,0)+IF(AND(V153&gt;175,W153&gt;=95),0.12,0),
IF(AF153="DoEVLo",IF(AND(V153&lt;20,W153&lt;55),0.25,0)+IF(AND(V153&lt;20,W153&gt;=55,W153&lt;105),0.2,0)+IF(AND(V153&lt;20,W153&gt;=105),0.15,0)+IF(AND(V153&gt;=20,V153&lt;40,W153&lt;45),0.25,0)+IF(AND(V153&gt;=20,V153&lt;40,W153&gt;=45,W153&lt;95),0.2,0)+IF(AND(V153&gt;=20,V153&lt;40,W153&gt;=95),0.15,0)+IF(AND(V153&gt;=40,V153&lt;75,W153&lt;35),0.25,0)+IF(AND(V153&gt;=40,V153&lt;75,W153&gt;=35,W153&lt;75),0.2,0)+IF(AND(V153&gt;=40,V153&lt;75,W153&gt;=75,W153&lt;120),0.15,0)+IF(AND(V153&gt;=40,V153&lt;75,W153&gt;=120),0.1,0)+IF(AND(V153&gt;=75,V153&lt;175,W153&lt;35),0.25,0)+IF(AND(V153&gt;=75,V153&lt;=175,W153&gt;=35,W153&lt;65),0.2,0)+IF(AND(V153&gt;=75,V153&lt;=175,W153&gt;=65,W153&lt;110),0.15,0)+IF(AND(V153&gt;=75,V153&lt;=175,W153&gt;=110),0.1,0)+IF(AND(V153&gt;175,W153&lt;25),0.25,0)+IF(AND(V153&gt;175,W153&gt;=25,W153&lt;55),0.2,0)+IF(AND(V153&gt;175,W153&gt;=55,W153&lt;95),0.15,0)+IF(AND(V153&gt;175,W153&gt;=95),0.1,0))))))))))))))))</f>
        <v>0.22</v>
      </c>
      <c r="Y153" s="30">
        <f>IF(AG153="None",0,IF(AG153="Fix5",0.05,IF(AG153="Fix3.75",0.0375,IF(AG153="Fix10",0.1,IF(AG153="Fix3",0.03,0)))))</f>
        <v>0</v>
      </c>
      <c r="Z153" s="35">
        <f>T153-AA153-AB153</f>
        <v>936</v>
      </c>
      <c r="AA153" s="29">
        <f>IF(AD153="EUR",((T153-R153)*X153)*U153+(R153*X153),(T153*X153))</f>
        <v>264</v>
      </c>
      <c r="AB153" s="36">
        <f>IF(AD153="EUR",((T153-R153)*Y153)*U153+(R153*Y153),(T153*Y153))</f>
        <v>0</v>
      </c>
      <c r="AC153" s="37" t="b">
        <v>1</v>
      </c>
      <c r="AD153" s="37" t="s">
        <v>38</v>
      </c>
      <c r="AE153" s="37" t="s">
        <v>38</v>
      </c>
      <c r="AF153" s="37" t="str">
        <f t="array" ref="AF153">INDEX('Deal Info'!D:D, MATCH(A153,'Deal Info'!A:A, 0))</f>
        <v>SF</v>
      </c>
      <c r="AG153" s="38" t="str">
        <f t="array" ref="AG153">INDEX('Deal Info'!G:G, MATCH(A153,'Deal Info'!A:A, 0))</f>
        <v>None</v>
      </c>
    </row>
    <row r="154" spans="1:33" ht="14.25" hidden="1" x14ac:dyDescent="0.2">
      <c r="A154" s="18" t="str">
        <f t="array" ref="A154">IF(G154='Room Info'!$B$1, INDEX('Room Info'!$A$2:$A2446, MATCH(B154,'Room Info'!$B$2:$B2446, 0)),IF(G154='Room Info'!$C$1, INDEX('Room Info'!$A$2:$A2446, MATCH(B154,'Room Info'!$C$2:$C2446, 0)),IF(G154='Room Info'!$D$1, INDEX('Room Info'!$A$2:$A2446, MATCH(B154,'Room Info'!$D$2:$D2446, 0)),IF(G154='Room Info'!$E$1, INDEX('Room Info'!$A$2:$A2446, MATCH(B154,'Room Info'!$E$2:$E2446, 0)),IF(G154='Room Info'!$F$1, INDEX('Room Info'!$A$2:$A2446, MATCH(B154,'Room Info'!$F$2:$F2446, 0)),IF(G154='Room Info'!$H$1, INDEX('Room Info'!$A$2:$A2446, MATCH(B154,'Room Info'!$H$2:$H2446, 0)),IF(G154='Room Info'!$G$1, INDEX('Room Info'!$A$2:$A2446, MATCH(B154,'Room Info'!$G$2:$G2446, 0)))))))))</f>
        <v>bbaltqq</v>
      </c>
      <c r="B154" s="54" t="s">
        <v>89</v>
      </c>
      <c r="C154" s="67">
        <v>44713</v>
      </c>
      <c r="D154" s="67">
        <v>44742</v>
      </c>
      <c r="E154" s="47">
        <v>44713</v>
      </c>
      <c r="F154" s="45" t="s">
        <v>41</v>
      </c>
      <c r="G154" s="54" t="s">
        <v>35</v>
      </c>
      <c r="H154" s="49" t="s">
        <v>70</v>
      </c>
      <c r="I154" s="49" t="s">
        <v>37</v>
      </c>
      <c r="J154" s="50">
        <v>100</v>
      </c>
      <c r="K154" s="51">
        <v>1800</v>
      </c>
      <c r="L154" s="52">
        <v>-6400</v>
      </c>
      <c r="M154" s="53">
        <v>7334</v>
      </c>
      <c r="N154" s="28">
        <f>K154*J154</f>
        <v>180000</v>
      </c>
      <c r="O154" s="54">
        <v>6651</v>
      </c>
      <c r="P154" s="29">
        <v>3.6949999999999998</v>
      </c>
      <c r="Q154" s="55"/>
      <c r="R154" s="31">
        <f>M154+Q154</f>
        <v>7334</v>
      </c>
      <c r="S154" s="56"/>
      <c r="T154" s="32">
        <f>R154+S154+IF(F154="Without EV deal",L154,0)</f>
        <v>934</v>
      </c>
      <c r="U154" s="33">
        <v>1</v>
      </c>
      <c r="V154" s="69">
        <v>93.859649122807014</v>
      </c>
      <c r="W154" s="69">
        <v>2.6635514018691588</v>
      </c>
      <c r="X154" s="30">
        <f>IF(AF154="DoEV",IF(AND(V154&lt;20,W154&lt;55),0.3,0)+IF(AND(V154&lt;20,W154&gt;=55,W154&lt;105),0.23,0)+IF(AND(V154&lt;20,W154&gt;=105),0.17,0)+IF(AND(V154&gt;=20,V154&lt;40,W154&lt;45),0.3,0)+IF(AND(V154&gt;=20,V154&lt;40,W154&gt;=45,W154&lt;95),0.23,0)+IF(AND(V154&gt;=20,V154&lt;40,W154&gt;=95),0.17,0)+IF(AND(V154&gt;=40,V154&lt;75,W154&lt;35),0.3,0)+IF(AND(V154&gt;=40,V154&lt;75,W154&gt;=35,W154&lt;75),0.23,0)+IF(AND(V154&gt;=40,V154&lt;75,W154&gt;=75,W154&lt;120),0.17,0)+IF(AND(V154&gt;=40,V154&lt;75,W154&gt;=120),0.12,0)+IF(AND(V154&gt;=75,V154&lt;175,W154&lt;35),0.3,0)+IF(AND(V154&gt;=75,V154&lt;=175,W154&gt;=35,W154&lt;65),0.23,0)+IF(AND(V154&gt;=75,V154&lt;=175,W154&gt;=65,W154&lt;110),0.17,0)+IF(AND(V154&gt;=75,V154&lt;=175,W154&gt;=110),0.12,0)+IF(AND(V154&gt;175,W154&lt;25),0.3,0)+IF(AND(V154&gt;175,W154&gt;=25,W154&lt;55),0.23,0)+IF(AND(V154&gt;175,W154&gt;=55,W154&lt;95),0.17,0)+IF(AND(V154&gt;175,W154&gt;=95),0.12,0),
IF(AF154="Fix15",0.15,
IF(AF154="Fix11.25",0.1125,
IF(AF154="Fix10",0.1,
IF(AF154="Fix9",0.09,
IF(AF154="DoEV2017",IF(AND(W154&lt;74),0.2,0)+IF(AND(W154&gt;=74),0.17,0),
IF(AF154="SF",IF(AND(V154&lt;20,W154&lt;89),0.3,0)+IF(AND(V154&lt;20,W154&gt;=89),0.25,0)+IF(AND(V154&gt;=20,V154&lt;40,W154&lt;74),0.3,0)+IF(AND(V154&gt;=20,V154&lt;40,W154&gt;=75),0.22,0)+IF(AND(V154&gt;=40,V154&lt;75,W154&lt;75),0.26,0)+IF(AND(V154&gt;=40,V154&lt;75,W154&gt;=75),0.22,0)+IF(V154&gt;=75,0.22,0),
IF(AF154="DoEVold",IF(AND(V154&lt;40,W154&lt;35),0.35,0)+IF(AND(V154&lt;40,W154&gt;=35,W154&lt;75),0.25,0)+IF(AND(V154&lt;40,W154&gt;=75),0.17,0)+IF(AND(V154&gt;=40,V154&lt;75,W154&lt;25),0.35,0)+IF(AND(V154&gt;=40,V154&lt;75,W154&gt;=25,W154&lt;65),0.25,0)+IF(AND(V154&gt;=40,V154&lt;75,W154&gt;=65,W154&lt;100),0.17,0)+IF(AND(V154&gt;=40,V154&lt;75,W154&gt;=100),0.1,0)+IF(AND(V154&gt;=75,W154&lt;25),0.35,0)+IF(AND(V154&gt;=75,W154&gt;=25,W154&lt;60),0.25,0)+IF(AND(V154&gt;=75,W154&gt;=60,W154&lt;95),0.17,0)+IF(AND(V154&gt;=75,W154&gt;=95),0.1,0),
IF(AF154="DoEVold15",IF(AND(V154&lt;=40,W154&lt;35),0.35,0)+IF(AND(V154&lt;=40,W154&gt;=35,W154&lt;75),0.25,0)+IF(AND(V154&lt;=40,W154&gt;=75,W154&lt;120),0.17,0)+IF(AND(V154&lt;=40,W154&gt;=120),0.15,0)+IF(AND(V154&gt;40,V154&lt;75,W154&lt;25),0.35,0)+IF(AND(V154&gt;=40,V154&lt;75,W154&gt;=25,W154&lt;65),0.25,0)+IF(AND(V154&gt;=40,V154&lt;75,W154&gt;=65,W154&lt;100),0.17,0)+IF(AND(V154&gt;=40,V154&lt;75,W154&gt;=100),0.1,0)+IF(AND(V154&gt;=75,W154&lt;25),0.35,0)+IF(AND(V154&gt;=75,W154&gt;=25,W154&lt;60),0.25,0)+IF(AND(V154&gt;=75,W154&gt;=60,W154&lt;95),0.17,0)+IF(AND(V154&gt;=75,W154&gt;=95),0.1,0),
IF(AF154="DoEVba",IF(AND(V154&lt;20,W154&lt;105),0.2,0)+IF(AND(V154&lt;20,W154&gt;=105),0.15,0)+IF(AND(V154&gt;=20,V154&lt;40,W154&lt;95),0.2,0)+IF(AND(V154&gt;=20,V154&lt;40,W154&gt;=95,W154&lt;150),0.15,0)+IF(AND(V154&gt;=20,V154&lt;40,W154&gt;=150),0.12,0)+IF(AND(V154&gt;=40,V154&lt;75,W154&lt;75),0.2,0)+IF(AND(V154&gt;=40,V154&lt;75,W154&gt;=75,W154&lt;120),0.15,0)+IF(AND(V154&gt;=40,V154&lt;75,W154&gt;=120),0.12,0)+IF(AND(V154&gt;=75,V154&lt;175,W154&lt;65),0.2,0)+IF(AND(V154&gt;=75,V154&lt;175,W154&gt;=65,W154&lt;110),0.15,0)+IF(AND(V154&gt;=75,V154&lt;175,W154&gt;=110),0.12,0)+IF(AND(V154&gt;=175,W154&lt;55),0.2,0)+IF(AND(V154&gt;=175,W154&gt;=55,W154&lt;95),0.15,0)+IF(AND(V154&gt;=175,W154&gt;=95),0.12,0),
IF(AF154="DoEVku",IF(AND(V154&lt;20,W154&lt;55),0.23,0)+IF(AND(V154&lt;20,W154&gt;=55,W154&lt;105),0.2,0)+IF(AND(V154&lt;20,W154&gt;=105),0.17,0)+IF(AND(V154&gt;=20,V154&lt;40,W154&lt;45),0.23,0)+IF(AND(V154&gt;=20,V154&lt;40,W154&gt;=45,W154&lt;95),0.2,0)+IF(AND(V154&gt;=20,V154&lt;40,W154&gt;=95,W154&lt;=150),0.17,0)+IF(AND(V154&gt;=20,V154&lt;40,W154&gt;=150),0.12,0)+IF(AND(V154&gt;=40,V154&lt;75,W154&lt;35),0.23,0)+IF(AND(V154&gt;=40,V154&lt;75,W154&gt;=35,W154&lt;75),0.2,0)+IF(AND(V154&gt;=40,V154&lt;75,W154&gt;=75,W154&lt;120),0.17,0)+IF(AND(V154&gt;=40,V154&lt;75,W154&gt;=120),0.12,0)+IF(AND(V154&gt;=75,V154&lt;175,W154&lt;35),0.23,0)+IF(AND(V154&gt;=75,V154&lt;=175,W154&gt;=35,W154&lt;65),0.2,0)+IF(AND(V154&gt;=75,V154&lt;=175,W154&gt;=65,W154&lt;110),0.17,0)+IF(AND(V154&gt;=75,V154&lt;=175,W154&gt;=110),0.12,0)+IF(AND(V154&gt;175,W154&lt;25),0.23,0)+IF(AND(V154&gt;175,W154&gt;=25,W154&lt;55),0.2,0)+IF(AND(V154&gt;175,W154&gt;=55,W154&lt;95),0.17,0)+IF(AND(V154&gt;175,W154&gt;=95),0.12,0),
IF(AF154="DoEVs1",IF(AND(V154&lt;20,W154&lt;55),0.3,0)+IF(AND(V154&lt;20,W154&gt;=55,W154&lt;105),0.23,0)+IF(AND(V154&lt;20,W154&gt;=105),0.17,0)+IF(AND(V154&gt;=20,V154&lt;40,W154&lt;45),0.3,0)+IF(AND(V154&gt;=20,V154&lt;40,W154&gt;=45,W154&lt;95),0.23,0)+IF(AND(V154&gt;=20,V154&lt;40,W154&gt;=95,W154&lt;=150),0.17,0)+IF(AND(V154&gt;=20,V154&lt;40,W154&gt;=150),0.12,0)+IF(AND(V154&gt;=40,V154&lt;75,W154&lt;35),0.3,0)+IF(AND(V154&gt;=40,V154&lt;75,W154&gt;=35,W154&lt;75),0.23,0)+IF(AND(V154&gt;=40,V154&lt;75,W154&gt;=75,W154&lt;120),0.17,0)+IF(AND(V154&gt;=40,V154&lt;75,W154&gt;=120),0.12,0)+IF(AND(V154&gt;=75,V154&lt;175,W154&lt;35),0.3,0)+IF(AND(V154&gt;=75,V154&lt;=175,W154&gt;=35,W154&lt;65),0.23,0)+IF(AND(V154&gt;=75,V154&lt;=175,W154&gt;=65,W154&lt;110),0.17,0)+IF(AND(V154&gt;=75,V154&lt;=175,W154&gt;=110),0.12,0)+IF(AND(V154&gt;175,W154&lt;25),0.3,0)+IF(AND(V154&gt;175,W154&gt;=25,W154&lt;55),0.23,0)+IF(AND(V154&gt;175,W154&gt;=55,W154&lt;95),0.17,0)+IF(AND(V154&gt;175,W154&gt;=95),0.12,0),
IF(AF154="DoEVsu",IF(AND(V154&lt;20,W154&lt;55),0.3,0)+IF(AND(V154&lt;20,W154&gt;=55,W154&lt;105),0.23,0)+IF(AND(V154&lt;20,W154&gt;=105),0.17,0)+IF(AND(V154&gt;=20,V154&lt;40,W154&lt;45),0.3,0)+IF(AND(V154&gt;=20,V154&lt;40,W154&gt;=45,W154&lt;95),0.23,0)+IF(AND(V154&gt;=20,V154&lt;40,W154&gt;=95,W154&lt;=250),0.17,0)+IF(AND(V154&gt;=20,V154&lt;40,W154&gt;=250),0.12,0)+IF(AND(V154&gt;=40,V154&lt;75,W154&lt;35),0.3,0)+IF(AND(V154&gt;=40,V154&lt;75,W154&gt;=35,W154&lt;75),0.23,0)+IF(AND(V154&gt;=40,V154&lt;75,W154&gt;=75,W154&lt;120),0.17,0)+IF(AND(V154&gt;=40,V154&lt;75,W154&gt;=120),0.12,0)+IF(AND(V154&gt;=75,V154&lt;175,W154&lt;35),0.3,0)+IF(AND(V154&gt;=75,V154&lt;=175,W154&gt;=35,W154&lt;65),0.23,0)+IF(AND(V154&gt;=75,V154&lt;=175,W154&gt;=65,W154&lt;110),0.17,0)+IF(AND(V154&gt;=75,V154&lt;=175,W154&gt;=110),0.12,0)+IF(AND(V154&gt;175,W154&lt;25),0.3,0)+IF(AND(V154&gt;175,W154&gt;=25,W154&lt;55),0.23,0)+IF(AND(V154&gt;175,W154&gt;=55,W154&lt;95),0.17,0)+IF(AND(V154&gt;175,W154&gt;=95),0.12,0),
IF(AF154="DoEVni",IF(AND(V154&lt;20,W154&lt;55),0.3,0)+IF(AND(V154&lt;20,W154&gt;=55,W154&lt;105),0.23,0)+IF(AND(V154&lt;20,W154&gt;=105),0.17,0)+IF(AND(V154&gt;=20,V154&lt;40,W154&lt;45),0.3,0)+IF(AND(V154&gt;=20,V154&lt;40,W154&gt;=45,W154&lt;95),0.23,0)+IF(AND(V154&gt;=20,V154&lt;40,W154&gt;=95,W154&lt;=200),0.17,0)+IF(AND(V154&gt;=20,V154&lt;40,W154&gt;=200),0.12,0)+IF(AND(V154&gt;=40,V154&lt;75,W154&lt;35),0.3,0)+IF(AND(V154&gt;=40,V154&lt;75,W154&gt;=35,W154&lt;75),0.23,0)+IF(AND(V154&gt;=40,V154&lt;75,W154&gt;=75,W154&lt;120),0.17,0)+IF(AND(V154&gt;=40,V154&lt;75,W154&gt;=120),0.12,0)+IF(AND(V154&gt;=75,V154&lt;175,W154&lt;35),0.3,0)+IF(AND(V154&gt;=75,V154&lt;=175,W154&gt;=35,W154&lt;65),0.23,0)+IF(AND(V154&gt;=75,V154&lt;=175,W154&gt;=65,W154&lt;110),0.17,0)+IF(AND(V154&gt;=75,V154&lt;=175,W154&gt;=110),0.12,0)+IF(AND(V154&gt;175,W154&lt;25),0.3,0)+IF(AND(V154&gt;175,W154&gt;=25,W154&lt;55),0.23,0)+IF(AND(V154&gt;175,W154&gt;=55,W154&lt;95),0.17,0)+IF(AND(V154&gt;175,W154&gt;=95),0.12,0),
IF(AF154="DoEVLo",IF(AND(V154&lt;20,W154&lt;55),0.25,0)+IF(AND(V154&lt;20,W154&gt;=55,W154&lt;105),0.2,0)+IF(AND(V154&lt;20,W154&gt;=105),0.15,0)+IF(AND(V154&gt;=20,V154&lt;40,W154&lt;45),0.25,0)+IF(AND(V154&gt;=20,V154&lt;40,W154&gt;=45,W154&lt;95),0.2,0)+IF(AND(V154&gt;=20,V154&lt;40,W154&gt;=95),0.15,0)+IF(AND(V154&gt;=40,V154&lt;75,W154&lt;35),0.25,0)+IF(AND(V154&gt;=40,V154&lt;75,W154&gt;=35,W154&lt;75),0.2,0)+IF(AND(V154&gt;=40,V154&lt;75,W154&gt;=75,W154&lt;120),0.15,0)+IF(AND(V154&gt;=40,V154&lt;75,W154&gt;=120),0.1,0)+IF(AND(V154&gt;=75,V154&lt;175,W154&lt;35),0.25,0)+IF(AND(V154&gt;=75,V154&lt;=175,W154&gt;=35,W154&lt;65),0.2,0)+IF(AND(V154&gt;=75,V154&lt;=175,W154&gt;=65,W154&lt;110),0.15,0)+IF(AND(V154&gt;=75,V154&lt;=175,W154&gt;=110),0.1,0)+IF(AND(V154&gt;175,W154&lt;25),0.25,0)+IF(AND(V154&gt;175,W154&gt;=25,W154&lt;55),0.2,0)+IF(AND(V154&gt;175,W154&gt;=55,W154&lt;95),0.15,0)+IF(AND(V154&gt;175,W154&gt;=95),0.1,0))))))))))))))))</f>
        <v>0.22</v>
      </c>
      <c r="Y154" s="30">
        <f>IF(AG154="None",0,IF(AG154="Fix5",0.05,IF(AG154="Fix3.75",0.0375,IF(AG154="Fix10",0.1,IF(AG154="Fix3",0.03,0)))))</f>
        <v>0</v>
      </c>
      <c r="Z154" s="35">
        <f>T154-AA154-AB154</f>
        <v>728.52</v>
      </c>
      <c r="AA154" s="29">
        <f>IF(AD154="EUR",((T154-R154)*X154)*U154+(R154*X154),(T154*X154))</f>
        <v>205.48</v>
      </c>
      <c r="AB154" s="36">
        <f>IF(AD154="EUR",((T154-R154)*Y154)*U154+(R154*Y154),(T154*Y154))</f>
        <v>0</v>
      </c>
      <c r="AC154" s="37" t="b">
        <v>1</v>
      </c>
      <c r="AD154" s="37" t="s">
        <v>38</v>
      </c>
      <c r="AE154" s="37" t="s">
        <v>38</v>
      </c>
      <c r="AF154" s="37" t="str">
        <f t="array" ref="AF154">INDEX('Deal Info'!D:D, MATCH(A154,'Deal Info'!A:A, 0))</f>
        <v>SF</v>
      </c>
      <c r="AG154" s="38" t="str">
        <f t="array" ref="AG154">INDEX('Deal Info'!G:G, MATCH(A154,'Deal Info'!A:A, 0))</f>
        <v>None</v>
      </c>
    </row>
    <row r="155" spans="1:33" ht="14.25" hidden="1" x14ac:dyDescent="0.2">
      <c r="A155" s="18" t="str">
        <f t="array" ref="A155">IF(G155='Room Info'!$B$1, INDEX('Room Info'!$A$2:$A2446, MATCH(B155,'Room Info'!$B$2:$B2446, 0)),IF(G155='Room Info'!$C$1, INDEX('Room Info'!$A$2:$A2446, MATCH(B155,'Room Info'!$C$2:$C2446, 0)),IF(G155='Room Info'!$D$1, INDEX('Room Info'!$A$2:$A2446, MATCH(B155,'Room Info'!$D$2:$D2446, 0)),IF(G155='Room Info'!$E$1, INDEX('Room Info'!$A$2:$A2446, MATCH(B155,'Room Info'!$E$2:$E2446, 0)),IF(G155='Room Info'!$F$1, INDEX('Room Info'!$A$2:$A2446, MATCH(B155,'Room Info'!$F$2:$F2446, 0)),IF(G155='Room Info'!$H$1, INDEX('Room Info'!$A$2:$A2446, MATCH(B155,'Room Info'!$H$2:$H2446, 0)),IF(G155='Room Info'!$G$1, INDEX('Room Info'!$A$2:$A2446, MATCH(B155,'Room Info'!$G$2:$G2446, 0)))))))))</f>
        <v>bbaltqq</v>
      </c>
      <c r="B155" s="54" t="s">
        <v>89</v>
      </c>
      <c r="C155" s="67">
        <v>44713</v>
      </c>
      <c r="D155" s="67">
        <v>44742</v>
      </c>
      <c r="E155" s="47">
        <v>44713</v>
      </c>
      <c r="F155" s="45" t="s">
        <v>41</v>
      </c>
      <c r="G155" s="54" t="s">
        <v>35</v>
      </c>
      <c r="H155" s="49" t="s">
        <v>72</v>
      </c>
      <c r="I155" s="49" t="s">
        <v>37</v>
      </c>
      <c r="J155" s="50">
        <v>50</v>
      </c>
      <c r="K155" s="51">
        <v>252</v>
      </c>
      <c r="L155" s="52">
        <v>-1300</v>
      </c>
      <c r="M155" s="53">
        <v>616</v>
      </c>
      <c r="N155" s="28">
        <f>K155*J155</f>
        <v>12600</v>
      </c>
      <c r="O155" s="54">
        <v>1854</v>
      </c>
      <c r="P155" s="29">
        <v>7.3571428570000004</v>
      </c>
      <c r="Q155" s="55"/>
      <c r="R155" s="31">
        <f>M155+Q155</f>
        <v>616</v>
      </c>
      <c r="S155" s="56"/>
      <c r="T155" s="32">
        <f>R155+S155+IF(F155="Without EV deal",L155,0)</f>
        <v>-684</v>
      </c>
      <c r="U155" s="33">
        <v>1</v>
      </c>
      <c r="V155" s="69">
        <v>93.859649122807014</v>
      </c>
      <c r="W155" s="69">
        <v>2.6635514018691588</v>
      </c>
      <c r="X155" s="30">
        <f>IF(AF155="DoEV",IF(AND(V155&lt;20,W155&lt;55),0.3,0)+IF(AND(V155&lt;20,W155&gt;=55,W155&lt;105),0.23,0)+IF(AND(V155&lt;20,W155&gt;=105),0.17,0)+IF(AND(V155&gt;=20,V155&lt;40,W155&lt;45),0.3,0)+IF(AND(V155&gt;=20,V155&lt;40,W155&gt;=45,W155&lt;95),0.23,0)+IF(AND(V155&gt;=20,V155&lt;40,W155&gt;=95),0.17,0)+IF(AND(V155&gt;=40,V155&lt;75,W155&lt;35),0.3,0)+IF(AND(V155&gt;=40,V155&lt;75,W155&gt;=35,W155&lt;75),0.23,0)+IF(AND(V155&gt;=40,V155&lt;75,W155&gt;=75,W155&lt;120),0.17,0)+IF(AND(V155&gt;=40,V155&lt;75,W155&gt;=120),0.12,0)+IF(AND(V155&gt;=75,V155&lt;175,W155&lt;35),0.3,0)+IF(AND(V155&gt;=75,V155&lt;=175,W155&gt;=35,W155&lt;65),0.23,0)+IF(AND(V155&gt;=75,V155&lt;=175,W155&gt;=65,W155&lt;110),0.17,0)+IF(AND(V155&gt;=75,V155&lt;=175,W155&gt;=110),0.12,0)+IF(AND(V155&gt;175,W155&lt;25),0.3,0)+IF(AND(V155&gt;175,W155&gt;=25,W155&lt;55),0.23,0)+IF(AND(V155&gt;175,W155&gt;=55,W155&lt;95),0.17,0)+IF(AND(V155&gt;175,W155&gt;=95),0.12,0),
IF(AF155="Fix15",0.15,
IF(AF155="Fix11.25",0.1125,
IF(AF155="Fix10",0.1,
IF(AF155="Fix9",0.09,
IF(AF155="DoEV2017",IF(AND(W155&lt;74),0.2,0)+IF(AND(W155&gt;=74),0.17,0),
IF(AF155="SF",IF(AND(V155&lt;20,W155&lt;89),0.3,0)+IF(AND(V155&lt;20,W155&gt;=89),0.25,0)+IF(AND(V155&gt;=20,V155&lt;40,W155&lt;74),0.3,0)+IF(AND(V155&gt;=20,V155&lt;40,W155&gt;=75),0.22,0)+IF(AND(V155&gt;=40,V155&lt;75,W155&lt;75),0.26,0)+IF(AND(V155&gt;=40,V155&lt;75,W155&gt;=75),0.22,0)+IF(V155&gt;=75,0.22,0),
IF(AF155="DoEVold",IF(AND(V155&lt;40,W155&lt;35),0.35,0)+IF(AND(V155&lt;40,W155&gt;=35,W155&lt;75),0.25,0)+IF(AND(V155&lt;40,W155&gt;=75),0.17,0)+IF(AND(V155&gt;=40,V155&lt;75,W155&lt;25),0.35,0)+IF(AND(V155&gt;=40,V155&lt;75,W155&gt;=25,W155&lt;65),0.25,0)+IF(AND(V155&gt;=40,V155&lt;75,W155&gt;=65,W155&lt;100),0.17,0)+IF(AND(V155&gt;=40,V155&lt;75,W155&gt;=100),0.1,0)+IF(AND(V155&gt;=75,W155&lt;25),0.35,0)+IF(AND(V155&gt;=75,W155&gt;=25,W155&lt;60),0.25,0)+IF(AND(V155&gt;=75,W155&gt;=60,W155&lt;95),0.17,0)+IF(AND(V155&gt;=75,W155&gt;=95),0.1,0),
IF(AF155="DoEVold15",IF(AND(V155&lt;=40,W155&lt;35),0.35,0)+IF(AND(V155&lt;=40,W155&gt;=35,W155&lt;75),0.25,0)+IF(AND(V155&lt;=40,W155&gt;=75,W155&lt;120),0.17,0)+IF(AND(V155&lt;=40,W155&gt;=120),0.15,0)+IF(AND(V155&gt;40,V155&lt;75,W155&lt;25),0.35,0)+IF(AND(V155&gt;=40,V155&lt;75,W155&gt;=25,W155&lt;65),0.25,0)+IF(AND(V155&gt;=40,V155&lt;75,W155&gt;=65,W155&lt;100),0.17,0)+IF(AND(V155&gt;=40,V155&lt;75,W155&gt;=100),0.1,0)+IF(AND(V155&gt;=75,W155&lt;25),0.35,0)+IF(AND(V155&gt;=75,W155&gt;=25,W155&lt;60),0.25,0)+IF(AND(V155&gt;=75,W155&gt;=60,W155&lt;95),0.17,0)+IF(AND(V155&gt;=75,W155&gt;=95),0.1,0),
IF(AF155="DoEVba",IF(AND(V155&lt;20,W155&lt;105),0.2,0)+IF(AND(V155&lt;20,W155&gt;=105),0.15,0)+IF(AND(V155&gt;=20,V155&lt;40,W155&lt;95),0.2,0)+IF(AND(V155&gt;=20,V155&lt;40,W155&gt;=95,W155&lt;150),0.15,0)+IF(AND(V155&gt;=20,V155&lt;40,W155&gt;=150),0.12,0)+IF(AND(V155&gt;=40,V155&lt;75,W155&lt;75),0.2,0)+IF(AND(V155&gt;=40,V155&lt;75,W155&gt;=75,W155&lt;120),0.15,0)+IF(AND(V155&gt;=40,V155&lt;75,W155&gt;=120),0.12,0)+IF(AND(V155&gt;=75,V155&lt;175,W155&lt;65),0.2,0)+IF(AND(V155&gt;=75,V155&lt;175,W155&gt;=65,W155&lt;110),0.15,0)+IF(AND(V155&gt;=75,V155&lt;175,W155&gt;=110),0.12,0)+IF(AND(V155&gt;=175,W155&lt;55),0.2,0)+IF(AND(V155&gt;=175,W155&gt;=55,W155&lt;95),0.15,0)+IF(AND(V155&gt;=175,W155&gt;=95),0.12,0),
IF(AF155="DoEVku",IF(AND(V155&lt;20,W155&lt;55),0.23,0)+IF(AND(V155&lt;20,W155&gt;=55,W155&lt;105),0.2,0)+IF(AND(V155&lt;20,W155&gt;=105),0.17,0)+IF(AND(V155&gt;=20,V155&lt;40,W155&lt;45),0.23,0)+IF(AND(V155&gt;=20,V155&lt;40,W155&gt;=45,W155&lt;95),0.2,0)+IF(AND(V155&gt;=20,V155&lt;40,W155&gt;=95,W155&lt;=150),0.17,0)+IF(AND(V155&gt;=20,V155&lt;40,W155&gt;=150),0.12,0)+IF(AND(V155&gt;=40,V155&lt;75,W155&lt;35),0.23,0)+IF(AND(V155&gt;=40,V155&lt;75,W155&gt;=35,W155&lt;75),0.2,0)+IF(AND(V155&gt;=40,V155&lt;75,W155&gt;=75,W155&lt;120),0.17,0)+IF(AND(V155&gt;=40,V155&lt;75,W155&gt;=120),0.12,0)+IF(AND(V155&gt;=75,V155&lt;175,W155&lt;35),0.23,0)+IF(AND(V155&gt;=75,V155&lt;=175,W155&gt;=35,W155&lt;65),0.2,0)+IF(AND(V155&gt;=75,V155&lt;=175,W155&gt;=65,W155&lt;110),0.17,0)+IF(AND(V155&gt;=75,V155&lt;=175,W155&gt;=110),0.12,0)+IF(AND(V155&gt;175,W155&lt;25),0.23,0)+IF(AND(V155&gt;175,W155&gt;=25,W155&lt;55),0.2,0)+IF(AND(V155&gt;175,W155&gt;=55,W155&lt;95),0.17,0)+IF(AND(V155&gt;175,W155&gt;=95),0.12,0),
IF(AF155="DoEVs1",IF(AND(V155&lt;20,W155&lt;55),0.3,0)+IF(AND(V155&lt;20,W155&gt;=55,W155&lt;105),0.23,0)+IF(AND(V155&lt;20,W155&gt;=105),0.17,0)+IF(AND(V155&gt;=20,V155&lt;40,W155&lt;45),0.3,0)+IF(AND(V155&gt;=20,V155&lt;40,W155&gt;=45,W155&lt;95),0.23,0)+IF(AND(V155&gt;=20,V155&lt;40,W155&gt;=95,W155&lt;=150),0.17,0)+IF(AND(V155&gt;=20,V155&lt;40,W155&gt;=150),0.12,0)+IF(AND(V155&gt;=40,V155&lt;75,W155&lt;35),0.3,0)+IF(AND(V155&gt;=40,V155&lt;75,W155&gt;=35,W155&lt;75),0.23,0)+IF(AND(V155&gt;=40,V155&lt;75,W155&gt;=75,W155&lt;120),0.17,0)+IF(AND(V155&gt;=40,V155&lt;75,W155&gt;=120),0.12,0)+IF(AND(V155&gt;=75,V155&lt;175,W155&lt;35),0.3,0)+IF(AND(V155&gt;=75,V155&lt;=175,W155&gt;=35,W155&lt;65),0.23,0)+IF(AND(V155&gt;=75,V155&lt;=175,W155&gt;=65,W155&lt;110),0.17,0)+IF(AND(V155&gt;=75,V155&lt;=175,W155&gt;=110),0.12,0)+IF(AND(V155&gt;175,W155&lt;25),0.3,0)+IF(AND(V155&gt;175,W155&gt;=25,W155&lt;55),0.23,0)+IF(AND(V155&gt;175,W155&gt;=55,W155&lt;95),0.17,0)+IF(AND(V155&gt;175,W155&gt;=95),0.12,0),
IF(AF155="DoEVsu",IF(AND(V155&lt;20,W155&lt;55),0.3,0)+IF(AND(V155&lt;20,W155&gt;=55,W155&lt;105),0.23,0)+IF(AND(V155&lt;20,W155&gt;=105),0.17,0)+IF(AND(V155&gt;=20,V155&lt;40,W155&lt;45),0.3,0)+IF(AND(V155&gt;=20,V155&lt;40,W155&gt;=45,W155&lt;95),0.23,0)+IF(AND(V155&gt;=20,V155&lt;40,W155&gt;=95,W155&lt;=250),0.17,0)+IF(AND(V155&gt;=20,V155&lt;40,W155&gt;=250),0.12,0)+IF(AND(V155&gt;=40,V155&lt;75,W155&lt;35),0.3,0)+IF(AND(V155&gt;=40,V155&lt;75,W155&gt;=35,W155&lt;75),0.23,0)+IF(AND(V155&gt;=40,V155&lt;75,W155&gt;=75,W155&lt;120),0.17,0)+IF(AND(V155&gt;=40,V155&lt;75,W155&gt;=120),0.12,0)+IF(AND(V155&gt;=75,V155&lt;175,W155&lt;35),0.3,0)+IF(AND(V155&gt;=75,V155&lt;=175,W155&gt;=35,W155&lt;65),0.23,0)+IF(AND(V155&gt;=75,V155&lt;=175,W155&gt;=65,W155&lt;110),0.17,0)+IF(AND(V155&gt;=75,V155&lt;=175,W155&gt;=110),0.12,0)+IF(AND(V155&gt;175,W155&lt;25),0.3,0)+IF(AND(V155&gt;175,W155&gt;=25,W155&lt;55),0.23,0)+IF(AND(V155&gt;175,W155&gt;=55,W155&lt;95),0.17,0)+IF(AND(V155&gt;175,W155&gt;=95),0.12,0),
IF(AF155="DoEVni",IF(AND(V155&lt;20,W155&lt;55),0.3,0)+IF(AND(V155&lt;20,W155&gt;=55,W155&lt;105),0.23,0)+IF(AND(V155&lt;20,W155&gt;=105),0.17,0)+IF(AND(V155&gt;=20,V155&lt;40,W155&lt;45),0.3,0)+IF(AND(V155&gt;=20,V155&lt;40,W155&gt;=45,W155&lt;95),0.23,0)+IF(AND(V155&gt;=20,V155&lt;40,W155&gt;=95,W155&lt;=200),0.17,0)+IF(AND(V155&gt;=20,V155&lt;40,W155&gt;=200),0.12,0)+IF(AND(V155&gt;=40,V155&lt;75,W155&lt;35),0.3,0)+IF(AND(V155&gt;=40,V155&lt;75,W155&gt;=35,W155&lt;75),0.23,0)+IF(AND(V155&gt;=40,V155&lt;75,W155&gt;=75,W155&lt;120),0.17,0)+IF(AND(V155&gt;=40,V155&lt;75,W155&gt;=120),0.12,0)+IF(AND(V155&gt;=75,V155&lt;175,W155&lt;35),0.3,0)+IF(AND(V155&gt;=75,V155&lt;=175,W155&gt;=35,W155&lt;65),0.23,0)+IF(AND(V155&gt;=75,V155&lt;=175,W155&gt;=65,W155&lt;110),0.17,0)+IF(AND(V155&gt;=75,V155&lt;=175,W155&gt;=110),0.12,0)+IF(AND(V155&gt;175,W155&lt;25),0.3,0)+IF(AND(V155&gt;175,W155&gt;=25,W155&lt;55),0.23,0)+IF(AND(V155&gt;175,W155&gt;=55,W155&lt;95),0.17,0)+IF(AND(V155&gt;175,W155&gt;=95),0.12,0),
IF(AF155="DoEVLo",IF(AND(V155&lt;20,W155&lt;55),0.25,0)+IF(AND(V155&lt;20,W155&gt;=55,W155&lt;105),0.2,0)+IF(AND(V155&lt;20,W155&gt;=105),0.15,0)+IF(AND(V155&gt;=20,V155&lt;40,W155&lt;45),0.25,0)+IF(AND(V155&gt;=20,V155&lt;40,W155&gt;=45,W155&lt;95),0.2,0)+IF(AND(V155&gt;=20,V155&lt;40,W155&gt;=95),0.15,0)+IF(AND(V155&gt;=40,V155&lt;75,W155&lt;35),0.25,0)+IF(AND(V155&gt;=40,V155&lt;75,W155&gt;=35,W155&lt;75),0.2,0)+IF(AND(V155&gt;=40,V155&lt;75,W155&gt;=75,W155&lt;120),0.15,0)+IF(AND(V155&gt;=40,V155&lt;75,W155&gt;=120),0.1,0)+IF(AND(V155&gt;=75,V155&lt;175,W155&lt;35),0.25,0)+IF(AND(V155&gt;=75,V155&lt;=175,W155&gt;=35,W155&lt;65),0.2,0)+IF(AND(V155&gt;=75,V155&lt;=175,W155&gt;=65,W155&lt;110),0.15,0)+IF(AND(V155&gt;=75,V155&lt;=175,W155&gt;=110),0.1,0)+IF(AND(V155&gt;175,W155&lt;25),0.25,0)+IF(AND(V155&gt;175,W155&gt;=25,W155&lt;55),0.2,0)+IF(AND(V155&gt;175,W155&gt;=55,W155&lt;95),0.15,0)+IF(AND(V155&gt;175,W155&gt;=95),0.1,0))))))))))))))))</f>
        <v>0.22</v>
      </c>
      <c r="Y155" s="30">
        <f>IF(AG155="None",0,IF(AG155="Fix5",0.05,IF(AG155="Fix3.75",0.0375,IF(AG155="Fix10",0.1,IF(AG155="Fix3",0.03,0)))))</f>
        <v>0</v>
      </c>
      <c r="Z155" s="35">
        <f>T155-AA155-AB155</f>
        <v>-533.52</v>
      </c>
      <c r="AA155" s="29">
        <f>IF(AD155="EUR",((T155-R155)*X155)*U155+(R155*X155),(T155*X155))</f>
        <v>-150.47999999999999</v>
      </c>
      <c r="AB155" s="36">
        <f>IF(AD155="EUR",((T155-R155)*Y155)*U155+(R155*Y155),(T155*Y155))</f>
        <v>0</v>
      </c>
      <c r="AC155" s="37" t="b">
        <v>1</v>
      </c>
      <c r="AD155" s="37" t="s">
        <v>38</v>
      </c>
      <c r="AE155" s="37" t="s">
        <v>38</v>
      </c>
      <c r="AF155" s="37" t="str">
        <f t="array" ref="AF155">INDEX('Deal Info'!D:D, MATCH(A155,'Deal Info'!A:A, 0))</f>
        <v>SF</v>
      </c>
      <c r="AG155" s="38" t="str">
        <f t="array" ref="AG155">INDEX('Deal Info'!G:G, MATCH(A155,'Deal Info'!A:A, 0))</f>
        <v>None</v>
      </c>
    </row>
    <row r="156" spans="1:33" ht="14.25" hidden="1" x14ac:dyDescent="0.2">
      <c r="A156" s="18" t="str">
        <f t="array" ref="A156">IF(G156='Room Info'!$B$1, INDEX('Room Info'!$A$2:$A2446, MATCH(B156,'Room Info'!$B$2:$B2446, 0)),IF(G156='Room Info'!$C$1, INDEX('Room Info'!$A$2:$A2446, MATCH(B156,'Room Info'!$C$2:$C2446, 0)),IF(G156='Room Info'!$D$1, INDEX('Room Info'!$A$2:$A2446, MATCH(B156,'Room Info'!$D$2:$D2446, 0)),IF(G156='Room Info'!$E$1, INDEX('Room Info'!$A$2:$A2446, MATCH(B156,'Room Info'!$E$2:$E2446, 0)),IF(G156='Room Info'!$F$1, INDEX('Room Info'!$A$2:$A2446, MATCH(B156,'Room Info'!$F$2:$F2446, 0)),IF(G156='Room Info'!$H$1, INDEX('Room Info'!$A$2:$A2446, MATCH(B156,'Room Info'!$H$2:$H2446, 0)),IF(G156='Room Info'!$G$1, INDEX('Room Info'!$A$2:$A2446, MATCH(B156,'Room Info'!$G$2:$G2446, 0)))))))))</f>
        <v>bbaltqq</v>
      </c>
      <c r="B156" s="54" t="s">
        <v>89</v>
      </c>
      <c r="C156" s="67">
        <v>44743</v>
      </c>
      <c r="D156" s="67">
        <v>44773</v>
      </c>
      <c r="E156" s="47">
        <v>44743</v>
      </c>
      <c r="F156" s="45" t="s">
        <v>41</v>
      </c>
      <c r="G156" s="54" t="s">
        <v>35</v>
      </c>
      <c r="H156" s="49" t="s">
        <v>70</v>
      </c>
      <c r="I156" s="49" t="s">
        <v>37</v>
      </c>
      <c r="J156" s="50">
        <v>100</v>
      </c>
      <c r="K156" s="51">
        <v>3</v>
      </c>
      <c r="L156" s="52">
        <v>-300</v>
      </c>
      <c r="M156" s="53">
        <v>11</v>
      </c>
      <c r="N156" s="28">
        <f>K156*J156</f>
        <v>300</v>
      </c>
      <c r="O156" s="54">
        <v>-1500</v>
      </c>
      <c r="P156" s="29">
        <v>-500</v>
      </c>
      <c r="Q156" s="55"/>
      <c r="R156" s="31">
        <f>M156+Q156</f>
        <v>11</v>
      </c>
      <c r="S156" s="56"/>
      <c r="T156" s="32">
        <f>R156+S156+IF(F156="Without EV deal",L156,0)</f>
        <v>-289</v>
      </c>
      <c r="U156" s="33">
        <v>1</v>
      </c>
      <c r="V156" s="69">
        <v>50.019933554817278</v>
      </c>
      <c r="W156" s="69">
        <v>-18.492627523910734</v>
      </c>
      <c r="X156" s="30">
        <f>IF(AF156="DoEV",IF(AND(V156&lt;20,W156&lt;55),0.3,0)+IF(AND(V156&lt;20,W156&gt;=55,W156&lt;105),0.23,0)+IF(AND(V156&lt;20,W156&gt;=105),0.17,0)+IF(AND(V156&gt;=20,V156&lt;40,W156&lt;45),0.3,0)+IF(AND(V156&gt;=20,V156&lt;40,W156&gt;=45,W156&lt;95),0.23,0)+IF(AND(V156&gt;=20,V156&lt;40,W156&gt;=95),0.17,0)+IF(AND(V156&gt;=40,V156&lt;75,W156&lt;35),0.3,0)+IF(AND(V156&gt;=40,V156&lt;75,W156&gt;=35,W156&lt;75),0.23,0)+IF(AND(V156&gt;=40,V156&lt;75,W156&gt;=75,W156&lt;120),0.17,0)+IF(AND(V156&gt;=40,V156&lt;75,W156&gt;=120),0.12,0)+IF(AND(V156&gt;=75,V156&lt;175,W156&lt;35),0.3,0)+IF(AND(V156&gt;=75,V156&lt;=175,W156&gt;=35,W156&lt;65),0.23,0)+IF(AND(V156&gt;=75,V156&lt;=175,W156&gt;=65,W156&lt;110),0.17,0)+IF(AND(V156&gt;=75,V156&lt;=175,W156&gt;=110),0.12,0)+IF(AND(V156&gt;175,W156&lt;25),0.3,0)+IF(AND(V156&gt;175,W156&gt;=25,W156&lt;55),0.23,0)+IF(AND(V156&gt;175,W156&gt;=55,W156&lt;95),0.17,0)+IF(AND(V156&gt;175,W156&gt;=95),0.12,0),
IF(AF156="Fix15",0.15,
IF(AF156="Fix11.25",0.1125,
IF(AF156="Fix10",0.1,
IF(AF156="Fix9",0.09,
IF(AF156="DoEV2017",IF(AND(W156&lt;74),0.2,0)+IF(AND(W156&gt;=74),0.17,0),
IF(AF156="SF",IF(AND(V156&lt;20,W156&lt;89),0.3,0)+IF(AND(V156&lt;20,W156&gt;=89),0.25,0)+IF(AND(V156&gt;=20,V156&lt;40,W156&lt;74),0.3,0)+IF(AND(V156&gt;=20,V156&lt;40,W156&gt;=75),0.22,0)+IF(AND(V156&gt;=40,V156&lt;75,W156&lt;75),0.26,0)+IF(AND(V156&gt;=40,V156&lt;75,W156&gt;=75),0.22,0)+IF(V156&gt;=75,0.22,0),
IF(AF156="DoEVold",IF(AND(V156&lt;40,W156&lt;35),0.35,0)+IF(AND(V156&lt;40,W156&gt;=35,W156&lt;75),0.25,0)+IF(AND(V156&lt;40,W156&gt;=75),0.17,0)+IF(AND(V156&gt;=40,V156&lt;75,W156&lt;25),0.35,0)+IF(AND(V156&gt;=40,V156&lt;75,W156&gt;=25,W156&lt;65),0.25,0)+IF(AND(V156&gt;=40,V156&lt;75,W156&gt;=65,W156&lt;100),0.17,0)+IF(AND(V156&gt;=40,V156&lt;75,W156&gt;=100),0.1,0)+IF(AND(V156&gt;=75,W156&lt;25),0.35,0)+IF(AND(V156&gt;=75,W156&gt;=25,W156&lt;60),0.25,0)+IF(AND(V156&gt;=75,W156&gt;=60,W156&lt;95),0.17,0)+IF(AND(V156&gt;=75,W156&gt;=95),0.1,0),
IF(AF156="DoEVold15",IF(AND(V156&lt;=40,W156&lt;35),0.35,0)+IF(AND(V156&lt;=40,W156&gt;=35,W156&lt;75),0.25,0)+IF(AND(V156&lt;=40,W156&gt;=75,W156&lt;120),0.17,0)+IF(AND(V156&lt;=40,W156&gt;=120),0.15,0)+IF(AND(V156&gt;40,V156&lt;75,W156&lt;25),0.35,0)+IF(AND(V156&gt;=40,V156&lt;75,W156&gt;=25,W156&lt;65),0.25,0)+IF(AND(V156&gt;=40,V156&lt;75,W156&gt;=65,W156&lt;100),0.17,0)+IF(AND(V156&gt;=40,V156&lt;75,W156&gt;=100),0.1,0)+IF(AND(V156&gt;=75,W156&lt;25),0.35,0)+IF(AND(V156&gt;=75,W156&gt;=25,W156&lt;60),0.25,0)+IF(AND(V156&gt;=75,W156&gt;=60,W156&lt;95),0.17,0)+IF(AND(V156&gt;=75,W156&gt;=95),0.1,0),
IF(AF156="DoEVba",IF(AND(V156&lt;20,W156&lt;105),0.2,0)+IF(AND(V156&lt;20,W156&gt;=105),0.15,0)+IF(AND(V156&gt;=20,V156&lt;40,W156&lt;95),0.2,0)+IF(AND(V156&gt;=20,V156&lt;40,W156&gt;=95,W156&lt;150),0.15,0)+IF(AND(V156&gt;=20,V156&lt;40,W156&gt;=150),0.12,0)+IF(AND(V156&gt;=40,V156&lt;75,W156&lt;75),0.2,0)+IF(AND(V156&gt;=40,V156&lt;75,W156&gt;=75,W156&lt;120),0.15,0)+IF(AND(V156&gt;=40,V156&lt;75,W156&gt;=120),0.12,0)+IF(AND(V156&gt;=75,V156&lt;175,W156&lt;65),0.2,0)+IF(AND(V156&gt;=75,V156&lt;175,W156&gt;=65,W156&lt;110),0.15,0)+IF(AND(V156&gt;=75,V156&lt;175,W156&gt;=110),0.12,0)+IF(AND(V156&gt;=175,W156&lt;55),0.2,0)+IF(AND(V156&gt;=175,W156&gt;=55,W156&lt;95),0.15,0)+IF(AND(V156&gt;=175,W156&gt;=95),0.12,0),
IF(AF156="DoEVku",IF(AND(V156&lt;20,W156&lt;55),0.23,0)+IF(AND(V156&lt;20,W156&gt;=55,W156&lt;105),0.2,0)+IF(AND(V156&lt;20,W156&gt;=105),0.17,0)+IF(AND(V156&gt;=20,V156&lt;40,W156&lt;45),0.23,0)+IF(AND(V156&gt;=20,V156&lt;40,W156&gt;=45,W156&lt;95),0.2,0)+IF(AND(V156&gt;=20,V156&lt;40,W156&gt;=95,W156&lt;=150),0.17,0)+IF(AND(V156&gt;=20,V156&lt;40,W156&gt;=150),0.12,0)+IF(AND(V156&gt;=40,V156&lt;75,W156&lt;35),0.23,0)+IF(AND(V156&gt;=40,V156&lt;75,W156&gt;=35,W156&lt;75),0.2,0)+IF(AND(V156&gt;=40,V156&lt;75,W156&gt;=75,W156&lt;120),0.17,0)+IF(AND(V156&gt;=40,V156&lt;75,W156&gt;=120),0.12,0)+IF(AND(V156&gt;=75,V156&lt;175,W156&lt;35),0.23,0)+IF(AND(V156&gt;=75,V156&lt;=175,W156&gt;=35,W156&lt;65),0.2,0)+IF(AND(V156&gt;=75,V156&lt;=175,W156&gt;=65,W156&lt;110),0.17,0)+IF(AND(V156&gt;=75,V156&lt;=175,W156&gt;=110),0.12,0)+IF(AND(V156&gt;175,W156&lt;25),0.23,0)+IF(AND(V156&gt;175,W156&gt;=25,W156&lt;55),0.2,0)+IF(AND(V156&gt;175,W156&gt;=55,W156&lt;95),0.17,0)+IF(AND(V156&gt;175,W156&gt;=95),0.12,0),
IF(AF156="DoEVs1",IF(AND(V156&lt;20,W156&lt;55),0.3,0)+IF(AND(V156&lt;20,W156&gt;=55,W156&lt;105),0.23,0)+IF(AND(V156&lt;20,W156&gt;=105),0.17,0)+IF(AND(V156&gt;=20,V156&lt;40,W156&lt;45),0.3,0)+IF(AND(V156&gt;=20,V156&lt;40,W156&gt;=45,W156&lt;95),0.23,0)+IF(AND(V156&gt;=20,V156&lt;40,W156&gt;=95,W156&lt;=150),0.17,0)+IF(AND(V156&gt;=20,V156&lt;40,W156&gt;=150),0.12,0)+IF(AND(V156&gt;=40,V156&lt;75,W156&lt;35),0.3,0)+IF(AND(V156&gt;=40,V156&lt;75,W156&gt;=35,W156&lt;75),0.23,0)+IF(AND(V156&gt;=40,V156&lt;75,W156&gt;=75,W156&lt;120),0.17,0)+IF(AND(V156&gt;=40,V156&lt;75,W156&gt;=120),0.12,0)+IF(AND(V156&gt;=75,V156&lt;175,W156&lt;35),0.3,0)+IF(AND(V156&gt;=75,V156&lt;=175,W156&gt;=35,W156&lt;65),0.23,0)+IF(AND(V156&gt;=75,V156&lt;=175,W156&gt;=65,W156&lt;110),0.17,0)+IF(AND(V156&gt;=75,V156&lt;=175,W156&gt;=110),0.12,0)+IF(AND(V156&gt;175,W156&lt;25),0.3,0)+IF(AND(V156&gt;175,W156&gt;=25,W156&lt;55),0.23,0)+IF(AND(V156&gt;175,W156&gt;=55,W156&lt;95),0.17,0)+IF(AND(V156&gt;175,W156&gt;=95),0.12,0),
IF(AF156="DoEVsu",IF(AND(V156&lt;20,W156&lt;55),0.3,0)+IF(AND(V156&lt;20,W156&gt;=55,W156&lt;105),0.23,0)+IF(AND(V156&lt;20,W156&gt;=105),0.17,0)+IF(AND(V156&gt;=20,V156&lt;40,W156&lt;45),0.3,0)+IF(AND(V156&gt;=20,V156&lt;40,W156&gt;=45,W156&lt;95),0.23,0)+IF(AND(V156&gt;=20,V156&lt;40,W156&gt;=95,W156&lt;=250),0.17,0)+IF(AND(V156&gt;=20,V156&lt;40,W156&gt;=250),0.12,0)+IF(AND(V156&gt;=40,V156&lt;75,W156&lt;35),0.3,0)+IF(AND(V156&gt;=40,V156&lt;75,W156&gt;=35,W156&lt;75),0.23,0)+IF(AND(V156&gt;=40,V156&lt;75,W156&gt;=75,W156&lt;120),0.17,0)+IF(AND(V156&gt;=40,V156&lt;75,W156&gt;=120),0.12,0)+IF(AND(V156&gt;=75,V156&lt;175,W156&lt;35),0.3,0)+IF(AND(V156&gt;=75,V156&lt;=175,W156&gt;=35,W156&lt;65),0.23,0)+IF(AND(V156&gt;=75,V156&lt;=175,W156&gt;=65,W156&lt;110),0.17,0)+IF(AND(V156&gt;=75,V156&lt;=175,W156&gt;=110),0.12,0)+IF(AND(V156&gt;175,W156&lt;25),0.3,0)+IF(AND(V156&gt;175,W156&gt;=25,W156&lt;55),0.23,0)+IF(AND(V156&gt;175,W156&gt;=55,W156&lt;95),0.17,0)+IF(AND(V156&gt;175,W156&gt;=95),0.12,0),
IF(AF156="DoEVni",IF(AND(V156&lt;20,W156&lt;55),0.3,0)+IF(AND(V156&lt;20,W156&gt;=55,W156&lt;105),0.23,0)+IF(AND(V156&lt;20,W156&gt;=105),0.17,0)+IF(AND(V156&gt;=20,V156&lt;40,W156&lt;45),0.3,0)+IF(AND(V156&gt;=20,V156&lt;40,W156&gt;=45,W156&lt;95),0.23,0)+IF(AND(V156&gt;=20,V156&lt;40,W156&gt;=95,W156&lt;=200),0.17,0)+IF(AND(V156&gt;=20,V156&lt;40,W156&gt;=200),0.12,0)+IF(AND(V156&gt;=40,V156&lt;75,W156&lt;35),0.3,0)+IF(AND(V156&gt;=40,V156&lt;75,W156&gt;=35,W156&lt;75),0.23,0)+IF(AND(V156&gt;=40,V156&lt;75,W156&gt;=75,W156&lt;120),0.17,0)+IF(AND(V156&gt;=40,V156&lt;75,W156&gt;=120),0.12,0)+IF(AND(V156&gt;=75,V156&lt;175,W156&lt;35),0.3,0)+IF(AND(V156&gt;=75,V156&lt;=175,W156&gt;=35,W156&lt;65),0.23,0)+IF(AND(V156&gt;=75,V156&lt;=175,W156&gt;=65,W156&lt;110),0.17,0)+IF(AND(V156&gt;=75,V156&lt;=175,W156&gt;=110),0.12,0)+IF(AND(V156&gt;175,W156&lt;25),0.3,0)+IF(AND(V156&gt;175,W156&gt;=25,W156&lt;55),0.23,0)+IF(AND(V156&gt;175,W156&gt;=55,W156&lt;95),0.17,0)+IF(AND(V156&gt;175,W156&gt;=95),0.12,0),
IF(AF156="DoEVLo",IF(AND(V156&lt;20,W156&lt;55),0.25,0)+IF(AND(V156&lt;20,W156&gt;=55,W156&lt;105),0.2,0)+IF(AND(V156&lt;20,W156&gt;=105),0.15,0)+IF(AND(V156&gt;=20,V156&lt;40,W156&lt;45),0.25,0)+IF(AND(V156&gt;=20,V156&lt;40,W156&gt;=45,W156&lt;95),0.2,0)+IF(AND(V156&gt;=20,V156&lt;40,W156&gt;=95),0.15,0)+IF(AND(V156&gt;=40,V156&lt;75,W156&lt;35),0.25,0)+IF(AND(V156&gt;=40,V156&lt;75,W156&gt;=35,W156&lt;75),0.2,0)+IF(AND(V156&gt;=40,V156&lt;75,W156&gt;=75,W156&lt;120),0.15,0)+IF(AND(V156&gt;=40,V156&lt;75,W156&gt;=120),0.1,0)+IF(AND(V156&gt;=75,V156&lt;175,W156&lt;35),0.25,0)+IF(AND(V156&gt;=75,V156&lt;=175,W156&gt;=35,W156&lt;65),0.2,0)+IF(AND(V156&gt;=75,V156&lt;=175,W156&gt;=65,W156&lt;110),0.15,0)+IF(AND(V156&gt;=75,V156&lt;=175,W156&gt;=110),0.1,0)+IF(AND(V156&gt;175,W156&lt;25),0.25,0)+IF(AND(V156&gt;175,W156&gt;=25,W156&lt;55),0.2,0)+IF(AND(V156&gt;175,W156&gt;=55,W156&lt;95),0.15,0)+IF(AND(V156&gt;175,W156&gt;=95),0.1,0))))))))))))))))</f>
        <v>0.26</v>
      </c>
      <c r="Y156" s="30">
        <f>IF(AG156="None",0,IF(AG156="Fix5",0.05,IF(AG156="Fix3.75",0.0375,IF(AG156="Fix10",0.1,IF(AG156="Fix3",0.03,0)))))</f>
        <v>0</v>
      </c>
      <c r="Z156" s="35">
        <f>T156-AA156-AB156</f>
        <v>-213.86</v>
      </c>
      <c r="AA156" s="29">
        <f>IF(AD156="EUR",((T156-R156)*X156)*U156+(R156*X156),(T156*X156))</f>
        <v>-75.14</v>
      </c>
      <c r="AB156" s="36">
        <f>IF(AD156="EUR",((T156-R156)*Y156)*U156+(R156*Y156),(T156*Y156))</f>
        <v>0</v>
      </c>
      <c r="AC156" s="37" t="b">
        <v>0</v>
      </c>
      <c r="AD156" s="37" t="s">
        <v>38</v>
      </c>
      <c r="AE156" s="37" t="s">
        <v>38</v>
      </c>
      <c r="AF156" s="37" t="str">
        <f t="array" ref="AF156">INDEX('Deal Info'!D:D, MATCH(A156,'Deal Info'!A:A, 0))</f>
        <v>SF</v>
      </c>
      <c r="AG156" s="38" t="str">
        <f t="array" ref="AG156">INDEX('Deal Info'!G:G, MATCH(A156,'Deal Info'!A:A, 0))</f>
        <v>None</v>
      </c>
    </row>
    <row r="157" spans="1:33" ht="14.25" hidden="1" x14ac:dyDescent="0.2">
      <c r="A157" s="18" t="str">
        <f t="array" ref="A157">IF(G157='Room Info'!$B$1, INDEX('Room Info'!$A$2:$A2446, MATCH(B157,'Room Info'!$B$2:$B2446, 0)),IF(G157='Room Info'!$C$1, INDEX('Room Info'!$A$2:$A2446, MATCH(B157,'Room Info'!$C$2:$C2446, 0)),IF(G157='Room Info'!$D$1, INDEX('Room Info'!$A$2:$A2446, MATCH(B157,'Room Info'!$D$2:$D2446, 0)),IF(G157='Room Info'!$E$1, INDEX('Room Info'!$A$2:$A2446, MATCH(B157,'Room Info'!$E$2:$E2446, 0)),IF(G157='Room Info'!$F$1, INDEX('Room Info'!$A$2:$A2446, MATCH(B157,'Room Info'!$F$2:$F2446, 0)),IF(G157='Room Info'!$H$1, INDEX('Room Info'!$A$2:$A2446, MATCH(B157,'Room Info'!$H$2:$H2446, 0)),IF(G157='Room Info'!$G$1, INDEX('Room Info'!$A$2:$A2446, MATCH(B157,'Room Info'!$G$2:$G2446, 0)))))))))</f>
        <v>bbaltqq</v>
      </c>
      <c r="B157" s="54" t="s">
        <v>89</v>
      </c>
      <c r="C157" s="46">
        <v>44743</v>
      </c>
      <c r="D157" s="46">
        <v>44773</v>
      </c>
      <c r="E157" s="47">
        <v>44743</v>
      </c>
      <c r="F157" s="45" t="s">
        <v>41</v>
      </c>
      <c r="G157" s="54" t="s">
        <v>35</v>
      </c>
      <c r="H157" s="49" t="s">
        <v>72</v>
      </c>
      <c r="I157" s="49" t="s">
        <v>37</v>
      </c>
      <c r="J157" s="50">
        <v>50</v>
      </c>
      <c r="K157" s="51">
        <v>3005</v>
      </c>
      <c r="L157" s="52">
        <v>-7250</v>
      </c>
      <c r="M157" s="53">
        <v>6593</v>
      </c>
      <c r="N157" s="28">
        <f>K157*J157</f>
        <v>150250</v>
      </c>
      <c r="O157" s="54">
        <v>52432</v>
      </c>
      <c r="P157" s="29">
        <v>17.448252910000001</v>
      </c>
      <c r="Q157" s="55"/>
      <c r="R157" s="31">
        <f>M157+Q157</f>
        <v>6593</v>
      </c>
      <c r="S157" s="56"/>
      <c r="T157" s="32">
        <f>R157+S157+IF(F157="Without EV deal",L157,0)</f>
        <v>-657</v>
      </c>
      <c r="U157" s="33">
        <v>1</v>
      </c>
      <c r="V157" s="69">
        <v>50.019933554817278</v>
      </c>
      <c r="W157" s="69">
        <v>-18.492627523910734</v>
      </c>
      <c r="X157" s="30">
        <f>IF(AF157="DoEV",IF(AND(V157&lt;20,W157&lt;55),0.3,0)+IF(AND(V157&lt;20,W157&gt;=55,W157&lt;105),0.23,0)+IF(AND(V157&lt;20,W157&gt;=105),0.17,0)+IF(AND(V157&gt;=20,V157&lt;40,W157&lt;45),0.3,0)+IF(AND(V157&gt;=20,V157&lt;40,W157&gt;=45,W157&lt;95),0.23,0)+IF(AND(V157&gt;=20,V157&lt;40,W157&gt;=95),0.17,0)+IF(AND(V157&gt;=40,V157&lt;75,W157&lt;35),0.3,0)+IF(AND(V157&gt;=40,V157&lt;75,W157&gt;=35,W157&lt;75),0.23,0)+IF(AND(V157&gt;=40,V157&lt;75,W157&gt;=75,W157&lt;120),0.17,0)+IF(AND(V157&gt;=40,V157&lt;75,W157&gt;=120),0.12,0)+IF(AND(V157&gt;=75,V157&lt;175,W157&lt;35),0.3,0)+IF(AND(V157&gt;=75,V157&lt;=175,W157&gt;=35,W157&lt;65),0.23,0)+IF(AND(V157&gt;=75,V157&lt;=175,W157&gt;=65,W157&lt;110),0.17,0)+IF(AND(V157&gt;=75,V157&lt;=175,W157&gt;=110),0.12,0)+IF(AND(V157&gt;175,W157&lt;25),0.3,0)+IF(AND(V157&gt;175,W157&gt;=25,W157&lt;55),0.23,0)+IF(AND(V157&gt;175,W157&gt;=55,W157&lt;95),0.17,0)+IF(AND(V157&gt;175,W157&gt;=95),0.12,0),
IF(AF157="Fix15",0.15,
IF(AF157="Fix11.25",0.1125,
IF(AF157="Fix10",0.1,
IF(AF157="Fix9",0.09,
IF(AF157="DoEV2017",IF(AND(W157&lt;74),0.2,0)+IF(AND(W157&gt;=74),0.17,0),
IF(AF157="SF",IF(AND(V157&lt;20,W157&lt;89),0.3,0)+IF(AND(V157&lt;20,W157&gt;=89),0.25,0)+IF(AND(V157&gt;=20,V157&lt;40,W157&lt;74),0.3,0)+IF(AND(V157&gt;=20,V157&lt;40,W157&gt;=75),0.22,0)+IF(AND(V157&gt;=40,V157&lt;75,W157&lt;75),0.26,0)+IF(AND(V157&gt;=40,V157&lt;75,W157&gt;=75),0.22,0)+IF(V157&gt;=75,0.22,0),
IF(AF157="DoEVold",IF(AND(V157&lt;40,W157&lt;35),0.35,0)+IF(AND(V157&lt;40,W157&gt;=35,W157&lt;75),0.25,0)+IF(AND(V157&lt;40,W157&gt;=75),0.17,0)+IF(AND(V157&gt;=40,V157&lt;75,W157&lt;25),0.35,0)+IF(AND(V157&gt;=40,V157&lt;75,W157&gt;=25,W157&lt;65),0.25,0)+IF(AND(V157&gt;=40,V157&lt;75,W157&gt;=65,W157&lt;100),0.17,0)+IF(AND(V157&gt;=40,V157&lt;75,W157&gt;=100),0.1,0)+IF(AND(V157&gt;=75,W157&lt;25),0.35,0)+IF(AND(V157&gt;=75,W157&gt;=25,W157&lt;60),0.25,0)+IF(AND(V157&gt;=75,W157&gt;=60,W157&lt;95),0.17,0)+IF(AND(V157&gt;=75,W157&gt;=95),0.1,0),
IF(AF157="DoEVold15",IF(AND(V157&lt;=40,W157&lt;35),0.35,0)+IF(AND(V157&lt;=40,W157&gt;=35,W157&lt;75),0.25,0)+IF(AND(V157&lt;=40,W157&gt;=75,W157&lt;120),0.17,0)+IF(AND(V157&lt;=40,W157&gt;=120),0.15,0)+IF(AND(V157&gt;40,V157&lt;75,W157&lt;25),0.35,0)+IF(AND(V157&gt;=40,V157&lt;75,W157&gt;=25,W157&lt;65),0.25,0)+IF(AND(V157&gt;=40,V157&lt;75,W157&gt;=65,W157&lt;100),0.17,0)+IF(AND(V157&gt;=40,V157&lt;75,W157&gt;=100),0.1,0)+IF(AND(V157&gt;=75,W157&lt;25),0.35,0)+IF(AND(V157&gt;=75,W157&gt;=25,W157&lt;60),0.25,0)+IF(AND(V157&gt;=75,W157&gt;=60,W157&lt;95),0.17,0)+IF(AND(V157&gt;=75,W157&gt;=95),0.1,0),
IF(AF157="DoEVba",IF(AND(V157&lt;20,W157&lt;105),0.2,0)+IF(AND(V157&lt;20,W157&gt;=105),0.15,0)+IF(AND(V157&gt;=20,V157&lt;40,W157&lt;95),0.2,0)+IF(AND(V157&gt;=20,V157&lt;40,W157&gt;=95,W157&lt;150),0.15,0)+IF(AND(V157&gt;=20,V157&lt;40,W157&gt;=150),0.12,0)+IF(AND(V157&gt;=40,V157&lt;75,W157&lt;75),0.2,0)+IF(AND(V157&gt;=40,V157&lt;75,W157&gt;=75,W157&lt;120),0.15,0)+IF(AND(V157&gt;=40,V157&lt;75,W157&gt;=120),0.12,0)+IF(AND(V157&gt;=75,V157&lt;175,W157&lt;65),0.2,0)+IF(AND(V157&gt;=75,V157&lt;175,W157&gt;=65,W157&lt;110),0.15,0)+IF(AND(V157&gt;=75,V157&lt;175,W157&gt;=110),0.12,0)+IF(AND(V157&gt;=175,W157&lt;55),0.2,0)+IF(AND(V157&gt;=175,W157&gt;=55,W157&lt;95),0.15,0)+IF(AND(V157&gt;=175,W157&gt;=95),0.12,0),
IF(AF157="DoEVku",IF(AND(V157&lt;20,W157&lt;55),0.23,0)+IF(AND(V157&lt;20,W157&gt;=55,W157&lt;105),0.2,0)+IF(AND(V157&lt;20,W157&gt;=105),0.17,0)+IF(AND(V157&gt;=20,V157&lt;40,W157&lt;45),0.23,0)+IF(AND(V157&gt;=20,V157&lt;40,W157&gt;=45,W157&lt;95),0.2,0)+IF(AND(V157&gt;=20,V157&lt;40,W157&gt;=95,W157&lt;=150),0.17,0)+IF(AND(V157&gt;=20,V157&lt;40,W157&gt;=150),0.12,0)+IF(AND(V157&gt;=40,V157&lt;75,W157&lt;35),0.23,0)+IF(AND(V157&gt;=40,V157&lt;75,W157&gt;=35,W157&lt;75),0.2,0)+IF(AND(V157&gt;=40,V157&lt;75,W157&gt;=75,W157&lt;120),0.17,0)+IF(AND(V157&gt;=40,V157&lt;75,W157&gt;=120),0.12,0)+IF(AND(V157&gt;=75,V157&lt;175,W157&lt;35),0.23,0)+IF(AND(V157&gt;=75,V157&lt;=175,W157&gt;=35,W157&lt;65),0.2,0)+IF(AND(V157&gt;=75,V157&lt;=175,W157&gt;=65,W157&lt;110),0.17,0)+IF(AND(V157&gt;=75,V157&lt;=175,W157&gt;=110),0.12,0)+IF(AND(V157&gt;175,W157&lt;25),0.23,0)+IF(AND(V157&gt;175,W157&gt;=25,W157&lt;55),0.2,0)+IF(AND(V157&gt;175,W157&gt;=55,W157&lt;95),0.17,0)+IF(AND(V157&gt;175,W157&gt;=95),0.12,0),
IF(AF157="DoEVs1",IF(AND(V157&lt;20,W157&lt;55),0.3,0)+IF(AND(V157&lt;20,W157&gt;=55,W157&lt;105),0.23,0)+IF(AND(V157&lt;20,W157&gt;=105),0.17,0)+IF(AND(V157&gt;=20,V157&lt;40,W157&lt;45),0.3,0)+IF(AND(V157&gt;=20,V157&lt;40,W157&gt;=45,W157&lt;95),0.23,0)+IF(AND(V157&gt;=20,V157&lt;40,W157&gt;=95,W157&lt;=150),0.17,0)+IF(AND(V157&gt;=20,V157&lt;40,W157&gt;=150),0.12,0)+IF(AND(V157&gt;=40,V157&lt;75,W157&lt;35),0.3,0)+IF(AND(V157&gt;=40,V157&lt;75,W157&gt;=35,W157&lt;75),0.23,0)+IF(AND(V157&gt;=40,V157&lt;75,W157&gt;=75,W157&lt;120),0.17,0)+IF(AND(V157&gt;=40,V157&lt;75,W157&gt;=120),0.12,0)+IF(AND(V157&gt;=75,V157&lt;175,W157&lt;35),0.3,0)+IF(AND(V157&gt;=75,V157&lt;=175,W157&gt;=35,W157&lt;65),0.23,0)+IF(AND(V157&gt;=75,V157&lt;=175,W157&gt;=65,W157&lt;110),0.17,0)+IF(AND(V157&gt;=75,V157&lt;=175,W157&gt;=110),0.12,0)+IF(AND(V157&gt;175,W157&lt;25),0.3,0)+IF(AND(V157&gt;175,W157&gt;=25,W157&lt;55),0.23,0)+IF(AND(V157&gt;175,W157&gt;=55,W157&lt;95),0.17,0)+IF(AND(V157&gt;175,W157&gt;=95),0.12,0),
IF(AF157="DoEVsu",IF(AND(V157&lt;20,W157&lt;55),0.3,0)+IF(AND(V157&lt;20,W157&gt;=55,W157&lt;105),0.23,0)+IF(AND(V157&lt;20,W157&gt;=105),0.17,0)+IF(AND(V157&gt;=20,V157&lt;40,W157&lt;45),0.3,0)+IF(AND(V157&gt;=20,V157&lt;40,W157&gt;=45,W157&lt;95),0.23,0)+IF(AND(V157&gt;=20,V157&lt;40,W157&gt;=95,W157&lt;=250),0.17,0)+IF(AND(V157&gt;=20,V157&lt;40,W157&gt;=250),0.12,0)+IF(AND(V157&gt;=40,V157&lt;75,W157&lt;35),0.3,0)+IF(AND(V157&gt;=40,V157&lt;75,W157&gt;=35,W157&lt;75),0.23,0)+IF(AND(V157&gt;=40,V157&lt;75,W157&gt;=75,W157&lt;120),0.17,0)+IF(AND(V157&gt;=40,V157&lt;75,W157&gt;=120),0.12,0)+IF(AND(V157&gt;=75,V157&lt;175,W157&lt;35),0.3,0)+IF(AND(V157&gt;=75,V157&lt;=175,W157&gt;=35,W157&lt;65),0.23,0)+IF(AND(V157&gt;=75,V157&lt;=175,W157&gt;=65,W157&lt;110),0.17,0)+IF(AND(V157&gt;=75,V157&lt;=175,W157&gt;=110),0.12,0)+IF(AND(V157&gt;175,W157&lt;25),0.3,0)+IF(AND(V157&gt;175,W157&gt;=25,W157&lt;55),0.23,0)+IF(AND(V157&gt;175,W157&gt;=55,W157&lt;95),0.17,0)+IF(AND(V157&gt;175,W157&gt;=95),0.12,0),
IF(AF157="DoEVni",IF(AND(V157&lt;20,W157&lt;55),0.3,0)+IF(AND(V157&lt;20,W157&gt;=55,W157&lt;105),0.23,0)+IF(AND(V157&lt;20,W157&gt;=105),0.17,0)+IF(AND(V157&gt;=20,V157&lt;40,W157&lt;45),0.3,0)+IF(AND(V157&gt;=20,V157&lt;40,W157&gt;=45,W157&lt;95),0.23,0)+IF(AND(V157&gt;=20,V157&lt;40,W157&gt;=95,W157&lt;=200),0.17,0)+IF(AND(V157&gt;=20,V157&lt;40,W157&gt;=200),0.12,0)+IF(AND(V157&gt;=40,V157&lt;75,W157&lt;35),0.3,0)+IF(AND(V157&gt;=40,V157&lt;75,W157&gt;=35,W157&lt;75),0.23,0)+IF(AND(V157&gt;=40,V157&lt;75,W157&gt;=75,W157&lt;120),0.17,0)+IF(AND(V157&gt;=40,V157&lt;75,W157&gt;=120),0.12,0)+IF(AND(V157&gt;=75,V157&lt;175,W157&lt;35),0.3,0)+IF(AND(V157&gt;=75,V157&lt;=175,W157&gt;=35,W157&lt;65),0.23,0)+IF(AND(V157&gt;=75,V157&lt;=175,W157&gt;=65,W157&lt;110),0.17,0)+IF(AND(V157&gt;=75,V157&lt;=175,W157&gt;=110),0.12,0)+IF(AND(V157&gt;175,W157&lt;25),0.3,0)+IF(AND(V157&gt;175,W157&gt;=25,W157&lt;55),0.23,0)+IF(AND(V157&gt;175,W157&gt;=55,W157&lt;95),0.17,0)+IF(AND(V157&gt;175,W157&gt;=95),0.12,0),
IF(AF157="DoEVLo",IF(AND(V157&lt;20,W157&lt;55),0.25,0)+IF(AND(V157&lt;20,W157&gt;=55,W157&lt;105),0.2,0)+IF(AND(V157&lt;20,W157&gt;=105),0.15,0)+IF(AND(V157&gt;=20,V157&lt;40,W157&lt;45),0.25,0)+IF(AND(V157&gt;=20,V157&lt;40,W157&gt;=45,W157&lt;95),0.2,0)+IF(AND(V157&gt;=20,V157&lt;40,W157&gt;=95),0.15,0)+IF(AND(V157&gt;=40,V157&lt;75,W157&lt;35),0.25,0)+IF(AND(V157&gt;=40,V157&lt;75,W157&gt;=35,W157&lt;75),0.2,0)+IF(AND(V157&gt;=40,V157&lt;75,W157&gt;=75,W157&lt;120),0.15,0)+IF(AND(V157&gt;=40,V157&lt;75,W157&gt;=120),0.1,0)+IF(AND(V157&gt;=75,V157&lt;175,W157&lt;35),0.25,0)+IF(AND(V157&gt;=75,V157&lt;=175,W157&gt;=35,W157&lt;65),0.2,0)+IF(AND(V157&gt;=75,V157&lt;=175,W157&gt;=65,W157&lt;110),0.15,0)+IF(AND(V157&gt;=75,V157&lt;=175,W157&gt;=110),0.1,0)+IF(AND(V157&gt;175,W157&lt;25),0.25,0)+IF(AND(V157&gt;175,W157&gt;=25,W157&lt;55),0.2,0)+IF(AND(V157&gt;175,W157&gt;=55,W157&lt;95),0.15,0)+IF(AND(V157&gt;175,W157&gt;=95),0.1,0))))))))))))))))</f>
        <v>0.26</v>
      </c>
      <c r="Y157" s="30">
        <f>IF(AG157="None",0,IF(AG157="Fix5",0.05,IF(AG157="Fix3.75",0.0375,IF(AG157="Fix10",0.1,IF(AG157="Fix3",0.03,0)))))</f>
        <v>0</v>
      </c>
      <c r="Z157" s="35">
        <f>T157-AA157-AB157</f>
        <v>-486.18</v>
      </c>
      <c r="AA157" s="29">
        <f>IF(AD157="EUR",((T157-R157)*X157)*U157+(R157*X157),(T157*X157))</f>
        <v>-170.82</v>
      </c>
      <c r="AB157" s="36">
        <f>IF(AD157="EUR",((T157-R157)*Y157)*U157+(R157*Y157),(T157*Y157))</f>
        <v>0</v>
      </c>
      <c r="AC157" s="37" t="b">
        <v>0</v>
      </c>
      <c r="AD157" s="37" t="s">
        <v>38</v>
      </c>
      <c r="AE157" s="37" t="s">
        <v>38</v>
      </c>
      <c r="AF157" s="37" t="str">
        <f t="array" ref="AF157">INDEX('Deal Info'!D:D, MATCH(A157,'Deal Info'!A:A, 0))</f>
        <v>SF</v>
      </c>
      <c r="AG157" s="38" t="str">
        <f t="array" ref="AG157">INDEX('Deal Info'!G:G, MATCH(A157,'Deal Info'!A:A, 0))</f>
        <v>None</v>
      </c>
    </row>
    <row r="158" spans="1:33" ht="14.25" hidden="1" x14ac:dyDescent="0.2">
      <c r="A158" s="18" t="str">
        <f t="array" ref="A158">IF(G158='Room Info'!$B$1, INDEX('Room Info'!$A$2:$A2446, MATCH(B158,'Room Info'!$B$2:$B2446, 0)),IF(G158='Room Info'!$C$1, INDEX('Room Info'!$A$2:$A2446, MATCH(B158,'Room Info'!$C$2:$C2446, 0)),IF(G158='Room Info'!$D$1, INDEX('Room Info'!$A$2:$A2446, MATCH(B158,'Room Info'!$D$2:$D2446, 0)),IF(G158='Room Info'!$E$1, INDEX('Room Info'!$A$2:$A2446, MATCH(B158,'Room Info'!$E$2:$E2446, 0)),IF(G158='Room Info'!$F$1, INDEX('Room Info'!$A$2:$A2446, MATCH(B158,'Room Info'!$F$2:$F2446, 0)),IF(G158='Room Info'!$H$1, INDEX('Room Info'!$A$2:$A2446, MATCH(B158,'Room Info'!$H$2:$H2446, 0)),IF(G158='Room Info'!$G$1, INDEX('Room Info'!$A$2:$A2446, MATCH(B158,'Room Info'!$G$2:$G2446, 0)))))))))</f>
        <v>bbaltqq</v>
      </c>
      <c r="B158" s="54" t="s">
        <v>89</v>
      </c>
      <c r="C158" s="46">
        <v>44743</v>
      </c>
      <c r="D158" s="46">
        <v>44773</v>
      </c>
      <c r="E158" s="47">
        <v>44743</v>
      </c>
      <c r="F158" s="45" t="s">
        <v>41</v>
      </c>
      <c r="G158" s="54" t="s">
        <v>35</v>
      </c>
      <c r="H158" s="49" t="s">
        <v>39</v>
      </c>
      <c r="I158" s="49" t="s">
        <v>37</v>
      </c>
      <c r="J158" s="50">
        <v>5</v>
      </c>
      <c r="K158" s="51">
        <v>2</v>
      </c>
      <c r="L158" s="52">
        <v>20</v>
      </c>
      <c r="M158" s="53">
        <v>1</v>
      </c>
      <c r="N158" s="28">
        <f>K158*J158</f>
        <v>10</v>
      </c>
      <c r="O158" s="54">
        <v>1200</v>
      </c>
      <c r="P158" s="29">
        <v>600</v>
      </c>
      <c r="Q158" s="55"/>
      <c r="R158" s="31">
        <f>M158+Q158</f>
        <v>1</v>
      </c>
      <c r="S158" s="56"/>
      <c r="T158" s="32">
        <f>R158+S158+IF(F158="Without EV deal",L158,0)</f>
        <v>21</v>
      </c>
      <c r="U158" s="33">
        <v>1</v>
      </c>
      <c r="V158" s="69">
        <v>50.019933554817278</v>
      </c>
      <c r="W158" s="69">
        <v>-18.492627523910734</v>
      </c>
      <c r="X158" s="30">
        <f>IF(AF158="DoEV",IF(AND(V158&lt;20,W158&lt;55),0.3,0)+IF(AND(V158&lt;20,W158&gt;=55,W158&lt;105),0.23,0)+IF(AND(V158&lt;20,W158&gt;=105),0.17,0)+IF(AND(V158&gt;=20,V158&lt;40,W158&lt;45),0.3,0)+IF(AND(V158&gt;=20,V158&lt;40,W158&gt;=45,W158&lt;95),0.23,0)+IF(AND(V158&gt;=20,V158&lt;40,W158&gt;=95),0.17,0)+IF(AND(V158&gt;=40,V158&lt;75,W158&lt;35),0.3,0)+IF(AND(V158&gt;=40,V158&lt;75,W158&gt;=35,W158&lt;75),0.23,0)+IF(AND(V158&gt;=40,V158&lt;75,W158&gt;=75,W158&lt;120),0.17,0)+IF(AND(V158&gt;=40,V158&lt;75,W158&gt;=120),0.12,0)+IF(AND(V158&gt;=75,V158&lt;175,W158&lt;35),0.3,0)+IF(AND(V158&gt;=75,V158&lt;=175,W158&gt;=35,W158&lt;65),0.23,0)+IF(AND(V158&gt;=75,V158&lt;=175,W158&gt;=65,W158&lt;110),0.17,0)+IF(AND(V158&gt;=75,V158&lt;=175,W158&gt;=110),0.12,0)+IF(AND(V158&gt;175,W158&lt;25),0.3,0)+IF(AND(V158&gt;175,W158&gt;=25,W158&lt;55),0.23,0)+IF(AND(V158&gt;175,W158&gt;=55,W158&lt;95),0.17,0)+IF(AND(V158&gt;175,W158&gt;=95),0.12,0),
IF(AF158="Fix15",0.15,
IF(AF158="Fix11.25",0.1125,
IF(AF158="Fix10",0.1,
IF(AF158="Fix9",0.09,
IF(AF158="DoEV2017",IF(AND(W158&lt;74),0.2,0)+IF(AND(W158&gt;=74),0.17,0),
IF(AF158="SF",IF(AND(V158&lt;20,W158&lt;89),0.3,0)+IF(AND(V158&lt;20,W158&gt;=89),0.25,0)+IF(AND(V158&gt;=20,V158&lt;40,W158&lt;74),0.3,0)+IF(AND(V158&gt;=20,V158&lt;40,W158&gt;=75),0.22,0)+IF(AND(V158&gt;=40,V158&lt;75,W158&lt;75),0.26,0)+IF(AND(V158&gt;=40,V158&lt;75,W158&gt;=75),0.22,0)+IF(V158&gt;=75,0.22,0),
IF(AF158="DoEVold",IF(AND(V158&lt;40,W158&lt;35),0.35,0)+IF(AND(V158&lt;40,W158&gt;=35,W158&lt;75),0.25,0)+IF(AND(V158&lt;40,W158&gt;=75),0.17,0)+IF(AND(V158&gt;=40,V158&lt;75,W158&lt;25),0.35,0)+IF(AND(V158&gt;=40,V158&lt;75,W158&gt;=25,W158&lt;65),0.25,0)+IF(AND(V158&gt;=40,V158&lt;75,W158&gt;=65,W158&lt;100),0.17,0)+IF(AND(V158&gt;=40,V158&lt;75,W158&gt;=100),0.1,0)+IF(AND(V158&gt;=75,W158&lt;25),0.35,0)+IF(AND(V158&gt;=75,W158&gt;=25,W158&lt;60),0.25,0)+IF(AND(V158&gt;=75,W158&gt;=60,W158&lt;95),0.17,0)+IF(AND(V158&gt;=75,W158&gt;=95),0.1,0),
IF(AF158="DoEVold15",IF(AND(V158&lt;=40,W158&lt;35),0.35,0)+IF(AND(V158&lt;=40,W158&gt;=35,W158&lt;75),0.25,0)+IF(AND(V158&lt;=40,W158&gt;=75,W158&lt;120),0.17,0)+IF(AND(V158&lt;=40,W158&gt;=120),0.15,0)+IF(AND(V158&gt;40,V158&lt;75,W158&lt;25),0.35,0)+IF(AND(V158&gt;=40,V158&lt;75,W158&gt;=25,W158&lt;65),0.25,0)+IF(AND(V158&gt;=40,V158&lt;75,W158&gt;=65,W158&lt;100),0.17,0)+IF(AND(V158&gt;=40,V158&lt;75,W158&gt;=100),0.1,0)+IF(AND(V158&gt;=75,W158&lt;25),0.35,0)+IF(AND(V158&gt;=75,W158&gt;=25,W158&lt;60),0.25,0)+IF(AND(V158&gt;=75,W158&gt;=60,W158&lt;95),0.17,0)+IF(AND(V158&gt;=75,W158&gt;=95),0.1,0),
IF(AF158="DoEVba",IF(AND(V158&lt;20,W158&lt;105),0.2,0)+IF(AND(V158&lt;20,W158&gt;=105),0.15,0)+IF(AND(V158&gt;=20,V158&lt;40,W158&lt;95),0.2,0)+IF(AND(V158&gt;=20,V158&lt;40,W158&gt;=95,W158&lt;150),0.15,0)+IF(AND(V158&gt;=20,V158&lt;40,W158&gt;=150),0.12,0)+IF(AND(V158&gt;=40,V158&lt;75,W158&lt;75),0.2,0)+IF(AND(V158&gt;=40,V158&lt;75,W158&gt;=75,W158&lt;120),0.15,0)+IF(AND(V158&gt;=40,V158&lt;75,W158&gt;=120),0.12,0)+IF(AND(V158&gt;=75,V158&lt;175,W158&lt;65),0.2,0)+IF(AND(V158&gt;=75,V158&lt;175,W158&gt;=65,W158&lt;110),0.15,0)+IF(AND(V158&gt;=75,V158&lt;175,W158&gt;=110),0.12,0)+IF(AND(V158&gt;=175,W158&lt;55),0.2,0)+IF(AND(V158&gt;=175,W158&gt;=55,W158&lt;95),0.15,0)+IF(AND(V158&gt;=175,W158&gt;=95),0.12,0),
IF(AF158="DoEVku",IF(AND(V158&lt;20,W158&lt;55),0.23,0)+IF(AND(V158&lt;20,W158&gt;=55,W158&lt;105),0.2,0)+IF(AND(V158&lt;20,W158&gt;=105),0.17,0)+IF(AND(V158&gt;=20,V158&lt;40,W158&lt;45),0.23,0)+IF(AND(V158&gt;=20,V158&lt;40,W158&gt;=45,W158&lt;95),0.2,0)+IF(AND(V158&gt;=20,V158&lt;40,W158&gt;=95,W158&lt;=150),0.17,0)+IF(AND(V158&gt;=20,V158&lt;40,W158&gt;=150),0.12,0)+IF(AND(V158&gt;=40,V158&lt;75,W158&lt;35),0.23,0)+IF(AND(V158&gt;=40,V158&lt;75,W158&gt;=35,W158&lt;75),0.2,0)+IF(AND(V158&gt;=40,V158&lt;75,W158&gt;=75,W158&lt;120),0.17,0)+IF(AND(V158&gt;=40,V158&lt;75,W158&gt;=120),0.12,0)+IF(AND(V158&gt;=75,V158&lt;175,W158&lt;35),0.23,0)+IF(AND(V158&gt;=75,V158&lt;=175,W158&gt;=35,W158&lt;65),0.2,0)+IF(AND(V158&gt;=75,V158&lt;=175,W158&gt;=65,W158&lt;110),0.17,0)+IF(AND(V158&gt;=75,V158&lt;=175,W158&gt;=110),0.12,0)+IF(AND(V158&gt;175,W158&lt;25),0.23,0)+IF(AND(V158&gt;175,W158&gt;=25,W158&lt;55),0.2,0)+IF(AND(V158&gt;175,W158&gt;=55,W158&lt;95),0.17,0)+IF(AND(V158&gt;175,W158&gt;=95),0.12,0),
IF(AF158="DoEVs1",IF(AND(V158&lt;20,W158&lt;55),0.3,0)+IF(AND(V158&lt;20,W158&gt;=55,W158&lt;105),0.23,0)+IF(AND(V158&lt;20,W158&gt;=105),0.17,0)+IF(AND(V158&gt;=20,V158&lt;40,W158&lt;45),0.3,0)+IF(AND(V158&gt;=20,V158&lt;40,W158&gt;=45,W158&lt;95),0.23,0)+IF(AND(V158&gt;=20,V158&lt;40,W158&gt;=95,W158&lt;=150),0.17,0)+IF(AND(V158&gt;=20,V158&lt;40,W158&gt;=150),0.12,0)+IF(AND(V158&gt;=40,V158&lt;75,W158&lt;35),0.3,0)+IF(AND(V158&gt;=40,V158&lt;75,W158&gt;=35,W158&lt;75),0.23,0)+IF(AND(V158&gt;=40,V158&lt;75,W158&gt;=75,W158&lt;120),0.17,0)+IF(AND(V158&gt;=40,V158&lt;75,W158&gt;=120),0.12,0)+IF(AND(V158&gt;=75,V158&lt;175,W158&lt;35),0.3,0)+IF(AND(V158&gt;=75,V158&lt;=175,W158&gt;=35,W158&lt;65),0.23,0)+IF(AND(V158&gt;=75,V158&lt;=175,W158&gt;=65,W158&lt;110),0.17,0)+IF(AND(V158&gt;=75,V158&lt;=175,W158&gt;=110),0.12,0)+IF(AND(V158&gt;175,W158&lt;25),0.3,0)+IF(AND(V158&gt;175,W158&gt;=25,W158&lt;55),0.23,0)+IF(AND(V158&gt;175,W158&gt;=55,W158&lt;95),0.17,0)+IF(AND(V158&gt;175,W158&gt;=95),0.12,0),
IF(AF158="DoEVsu",IF(AND(V158&lt;20,W158&lt;55),0.3,0)+IF(AND(V158&lt;20,W158&gt;=55,W158&lt;105),0.23,0)+IF(AND(V158&lt;20,W158&gt;=105),0.17,0)+IF(AND(V158&gt;=20,V158&lt;40,W158&lt;45),0.3,0)+IF(AND(V158&gt;=20,V158&lt;40,W158&gt;=45,W158&lt;95),0.23,0)+IF(AND(V158&gt;=20,V158&lt;40,W158&gt;=95,W158&lt;=250),0.17,0)+IF(AND(V158&gt;=20,V158&lt;40,W158&gt;=250),0.12,0)+IF(AND(V158&gt;=40,V158&lt;75,W158&lt;35),0.3,0)+IF(AND(V158&gt;=40,V158&lt;75,W158&gt;=35,W158&lt;75),0.23,0)+IF(AND(V158&gt;=40,V158&lt;75,W158&gt;=75,W158&lt;120),0.17,0)+IF(AND(V158&gt;=40,V158&lt;75,W158&gt;=120),0.12,0)+IF(AND(V158&gt;=75,V158&lt;175,W158&lt;35),0.3,0)+IF(AND(V158&gt;=75,V158&lt;=175,W158&gt;=35,W158&lt;65),0.23,0)+IF(AND(V158&gt;=75,V158&lt;=175,W158&gt;=65,W158&lt;110),0.17,0)+IF(AND(V158&gt;=75,V158&lt;=175,W158&gt;=110),0.12,0)+IF(AND(V158&gt;175,W158&lt;25),0.3,0)+IF(AND(V158&gt;175,W158&gt;=25,W158&lt;55),0.23,0)+IF(AND(V158&gt;175,W158&gt;=55,W158&lt;95),0.17,0)+IF(AND(V158&gt;175,W158&gt;=95),0.12,0),
IF(AF158="DoEVni",IF(AND(V158&lt;20,W158&lt;55),0.3,0)+IF(AND(V158&lt;20,W158&gt;=55,W158&lt;105),0.23,0)+IF(AND(V158&lt;20,W158&gt;=105),0.17,0)+IF(AND(V158&gt;=20,V158&lt;40,W158&lt;45),0.3,0)+IF(AND(V158&gt;=20,V158&lt;40,W158&gt;=45,W158&lt;95),0.23,0)+IF(AND(V158&gt;=20,V158&lt;40,W158&gt;=95,W158&lt;=200),0.17,0)+IF(AND(V158&gt;=20,V158&lt;40,W158&gt;=200),0.12,0)+IF(AND(V158&gt;=40,V158&lt;75,W158&lt;35),0.3,0)+IF(AND(V158&gt;=40,V158&lt;75,W158&gt;=35,W158&lt;75),0.23,0)+IF(AND(V158&gt;=40,V158&lt;75,W158&gt;=75,W158&lt;120),0.17,0)+IF(AND(V158&gt;=40,V158&lt;75,W158&gt;=120),0.12,0)+IF(AND(V158&gt;=75,V158&lt;175,W158&lt;35),0.3,0)+IF(AND(V158&gt;=75,V158&lt;=175,W158&gt;=35,W158&lt;65),0.23,0)+IF(AND(V158&gt;=75,V158&lt;=175,W158&gt;=65,W158&lt;110),0.17,0)+IF(AND(V158&gt;=75,V158&lt;=175,W158&gt;=110),0.12,0)+IF(AND(V158&gt;175,W158&lt;25),0.3,0)+IF(AND(V158&gt;175,W158&gt;=25,W158&lt;55),0.23,0)+IF(AND(V158&gt;175,W158&gt;=55,W158&lt;95),0.17,0)+IF(AND(V158&gt;175,W158&gt;=95),0.12,0),
IF(AF158="DoEVLo",IF(AND(V158&lt;20,W158&lt;55),0.25,0)+IF(AND(V158&lt;20,W158&gt;=55,W158&lt;105),0.2,0)+IF(AND(V158&lt;20,W158&gt;=105),0.15,0)+IF(AND(V158&gt;=20,V158&lt;40,W158&lt;45),0.25,0)+IF(AND(V158&gt;=20,V158&lt;40,W158&gt;=45,W158&lt;95),0.2,0)+IF(AND(V158&gt;=20,V158&lt;40,W158&gt;=95),0.15,0)+IF(AND(V158&gt;=40,V158&lt;75,W158&lt;35),0.25,0)+IF(AND(V158&gt;=40,V158&lt;75,W158&gt;=35,W158&lt;75),0.2,0)+IF(AND(V158&gt;=40,V158&lt;75,W158&gt;=75,W158&lt;120),0.15,0)+IF(AND(V158&gt;=40,V158&lt;75,W158&gt;=120),0.1,0)+IF(AND(V158&gt;=75,V158&lt;175,W158&lt;35),0.25,0)+IF(AND(V158&gt;=75,V158&lt;=175,W158&gt;=35,W158&lt;65),0.2,0)+IF(AND(V158&gt;=75,V158&lt;=175,W158&gt;=65,W158&lt;110),0.15,0)+IF(AND(V158&gt;=75,V158&lt;=175,W158&gt;=110),0.1,0)+IF(AND(V158&gt;175,W158&lt;25),0.25,0)+IF(AND(V158&gt;175,W158&gt;=25,W158&lt;55),0.2,0)+IF(AND(V158&gt;175,W158&gt;=55,W158&lt;95),0.15,0)+IF(AND(V158&gt;175,W158&gt;=95),0.1,0))))))))))))))))</f>
        <v>0.26</v>
      </c>
      <c r="Y158" s="30">
        <f>IF(AG158="None",0,IF(AG158="Fix5",0.05,IF(AG158="Fix3.75",0.0375,IF(AG158="Fix10",0.1,IF(AG158="Fix3",0.03,0)))))</f>
        <v>0</v>
      </c>
      <c r="Z158" s="35">
        <f>T158-AA158-AB158</f>
        <v>15.54</v>
      </c>
      <c r="AA158" s="29">
        <f>IF(AD158="EUR",((T158-R158)*X158)*U158+(R158*X158),(T158*X158))</f>
        <v>5.46</v>
      </c>
      <c r="AB158" s="36">
        <f>IF(AD158="EUR",((T158-R158)*Y158)*U158+(R158*Y158),(T158*Y158))</f>
        <v>0</v>
      </c>
      <c r="AC158" s="37" t="b">
        <v>0</v>
      </c>
      <c r="AD158" s="37" t="s">
        <v>38</v>
      </c>
      <c r="AE158" s="37" t="s">
        <v>38</v>
      </c>
      <c r="AF158" s="37" t="str">
        <f t="array" ref="AF158">INDEX('Deal Info'!D:D, MATCH(A158,'Deal Info'!A:A, 0))</f>
        <v>SF</v>
      </c>
      <c r="AG158" s="38" t="str">
        <f t="array" ref="AG158">INDEX('Deal Info'!G:G, MATCH(A158,'Deal Info'!A:A, 0))</f>
        <v>None</v>
      </c>
    </row>
    <row r="159" spans="1:33" ht="14.25" hidden="1" x14ac:dyDescent="0.2">
      <c r="A159" s="18" t="str">
        <f t="array" ref="A159">IF(G159='Room Info'!$B$1, INDEX('Room Info'!$A$2:$A2446, MATCH(B159,'Room Info'!$B$2:$B2446, 0)),IF(G159='Room Info'!$C$1, INDEX('Room Info'!$A$2:$A2446, MATCH(B159,'Room Info'!$C$2:$C2446, 0)),IF(G159='Room Info'!$D$1, INDEX('Room Info'!$A$2:$A2446, MATCH(B159,'Room Info'!$D$2:$D2446, 0)),IF(G159='Room Info'!$E$1, INDEX('Room Info'!$A$2:$A2446, MATCH(B159,'Room Info'!$E$2:$E2446, 0)),IF(G159='Room Info'!$F$1, INDEX('Room Info'!$A$2:$A2446, MATCH(B159,'Room Info'!$F$2:$F2446, 0)),IF(G159='Room Info'!$H$1, INDEX('Room Info'!$A$2:$A2446, MATCH(B159,'Room Info'!$H$2:$H2446, 0)),IF(G159='Room Info'!$G$1, INDEX('Room Info'!$A$2:$A2446, MATCH(B159,'Room Info'!$G$2:$G2446, 0)))))))))</f>
        <v>bbaltqq</v>
      </c>
      <c r="B159" s="54" t="s">
        <v>89</v>
      </c>
      <c r="C159" s="46">
        <v>44774</v>
      </c>
      <c r="D159" s="46">
        <v>44804</v>
      </c>
      <c r="E159" s="47">
        <v>44774</v>
      </c>
      <c r="F159" s="45" t="s">
        <v>41</v>
      </c>
      <c r="G159" s="54" t="s">
        <v>35</v>
      </c>
      <c r="H159" s="49" t="s">
        <v>85</v>
      </c>
      <c r="I159" s="49" t="s">
        <v>44</v>
      </c>
      <c r="J159" s="50">
        <v>50</v>
      </c>
      <c r="K159" s="51">
        <v>2</v>
      </c>
      <c r="L159" s="52">
        <v>-100</v>
      </c>
      <c r="M159" s="53">
        <v>4</v>
      </c>
      <c r="N159" s="28">
        <f>K159*J159</f>
        <v>100</v>
      </c>
      <c r="O159" s="65"/>
      <c r="P159" s="29">
        <v>0</v>
      </c>
      <c r="Q159" s="55"/>
      <c r="R159" s="31">
        <f>M159+Q159</f>
        <v>4</v>
      </c>
      <c r="S159" s="66"/>
      <c r="T159" s="32">
        <f>R159+S159+IF(F159="Without EV deal",L159,0)</f>
        <v>-96</v>
      </c>
      <c r="U159" s="33">
        <v>1</v>
      </c>
      <c r="V159" s="69">
        <v>49.884806973848072</v>
      </c>
      <c r="W159" s="69">
        <v>-25.759345940210945</v>
      </c>
      <c r="X159" s="30">
        <f>IF(AF159="DoEV",IF(AND(V159&lt;20,W159&lt;55),0.3,0)+IF(AND(V159&lt;20,W159&gt;=55,W159&lt;105),0.23,0)+IF(AND(V159&lt;20,W159&gt;=105),0.17,0)+IF(AND(V159&gt;=20,V159&lt;40,W159&lt;45),0.3,0)+IF(AND(V159&gt;=20,V159&lt;40,W159&gt;=45,W159&lt;95),0.23,0)+IF(AND(V159&gt;=20,V159&lt;40,W159&gt;=95),0.17,0)+IF(AND(V159&gt;=40,V159&lt;75,W159&lt;35),0.3,0)+IF(AND(V159&gt;=40,V159&lt;75,W159&gt;=35,W159&lt;75),0.23,0)+IF(AND(V159&gt;=40,V159&lt;75,W159&gt;=75,W159&lt;120),0.17,0)+IF(AND(V159&gt;=40,V159&lt;75,W159&gt;=120),0.12,0)+IF(AND(V159&gt;=75,V159&lt;175,W159&lt;35),0.3,0)+IF(AND(V159&gt;=75,V159&lt;=175,W159&gt;=35,W159&lt;65),0.23,0)+IF(AND(V159&gt;=75,V159&lt;=175,W159&gt;=65,W159&lt;110),0.17,0)+IF(AND(V159&gt;=75,V159&lt;=175,W159&gt;=110),0.12,0)+IF(AND(V159&gt;175,W159&lt;25),0.3,0)+IF(AND(V159&gt;175,W159&gt;=25,W159&lt;55),0.23,0)+IF(AND(V159&gt;175,W159&gt;=55,W159&lt;95),0.17,0)+IF(AND(V159&gt;175,W159&gt;=95),0.12,0),
IF(AF159="Fix15",0.15,
IF(AF159="Fix11.25",0.1125,
IF(AF159="Fix10",0.1,
IF(AF159="Fix9",0.09,
IF(AF159="DoEV2017",IF(AND(W159&lt;74),0.2,0)+IF(AND(W159&gt;=74),0.17,0),
IF(AF159="SF",IF(AND(V159&lt;20,W159&lt;89),0.3,0)+IF(AND(V159&lt;20,W159&gt;=89),0.25,0)+IF(AND(V159&gt;=20,V159&lt;40,W159&lt;74),0.3,0)+IF(AND(V159&gt;=20,V159&lt;40,W159&gt;=75),0.22,0)+IF(AND(V159&gt;=40,V159&lt;75,W159&lt;75),0.26,0)+IF(AND(V159&gt;=40,V159&lt;75,W159&gt;=75),0.22,0)+IF(V159&gt;=75,0.22,0),
IF(AF159="DoEVold",IF(AND(V159&lt;40,W159&lt;35),0.35,0)+IF(AND(V159&lt;40,W159&gt;=35,W159&lt;75),0.25,0)+IF(AND(V159&lt;40,W159&gt;=75),0.17,0)+IF(AND(V159&gt;=40,V159&lt;75,W159&lt;25),0.35,0)+IF(AND(V159&gt;=40,V159&lt;75,W159&gt;=25,W159&lt;65),0.25,0)+IF(AND(V159&gt;=40,V159&lt;75,W159&gt;=65,W159&lt;100),0.17,0)+IF(AND(V159&gt;=40,V159&lt;75,W159&gt;=100),0.1,0)+IF(AND(V159&gt;=75,W159&lt;25),0.35,0)+IF(AND(V159&gt;=75,W159&gt;=25,W159&lt;60),0.25,0)+IF(AND(V159&gt;=75,W159&gt;=60,W159&lt;95),0.17,0)+IF(AND(V159&gt;=75,W159&gt;=95),0.1,0),
IF(AF159="DoEVold15",IF(AND(V159&lt;=40,W159&lt;35),0.35,0)+IF(AND(V159&lt;=40,W159&gt;=35,W159&lt;75),0.25,0)+IF(AND(V159&lt;=40,W159&gt;=75,W159&lt;120),0.17,0)+IF(AND(V159&lt;=40,W159&gt;=120),0.15,0)+IF(AND(V159&gt;40,V159&lt;75,W159&lt;25),0.35,0)+IF(AND(V159&gt;=40,V159&lt;75,W159&gt;=25,W159&lt;65),0.25,0)+IF(AND(V159&gt;=40,V159&lt;75,W159&gt;=65,W159&lt;100),0.17,0)+IF(AND(V159&gt;=40,V159&lt;75,W159&gt;=100),0.1,0)+IF(AND(V159&gt;=75,W159&lt;25),0.35,0)+IF(AND(V159&gt;=75,W159&gt;=25,W159&lt;60),0.25,0)+IF(AND(V159&gt;=75,W159&gt;=60,W159&lt;95),0.17,0)+IF(AND(V159&gt;=75,W159&gt;=95),0.1,0),
IF(AF159="DoEVba",IF(AND(V159&lt;20,W159&lt;105),0.2,0)+IF(AND(V159&lt;20,W159&gt;=105),0.15,0)+IF(AND(V159&gt;=20,V159&lt;40,W159&lt;95),0.2,0)+IF(AND(V159&gt;=20,V159&lt;40,W159&gt;=95,W159&lt;150),0.15,0)+IF(AND(V159&gt;=20,V159&lt;40,W159&gt;=150),0.12,0)+IF(AND(V159&gt;=40,V159&lt;75,W159&lt;75),0.2,0)+IF(AND(V159&gt;=40,V159&lt;75,W159&gt;=75,W159&lt;120),0.15,0)+IF(AND(V159&gt;=40,V159&lt;75,W159&gt;=120),0.12,0)+IF(AND(V159&gt;=75,V159&lt;175,W159&lt;65),0.2,0)+IF(AND(V159&gt;=75,V159&lt;175,W159&gt;=65,W159&lt;110),0.15,0)+IF(AND(V159&gt;=75,V159&lt;175,W159&gt;=110),0.12,0)+IF(AND(V159&gt;=175,W159&lt;55),0.2,0)+IF(AND(V159&gt;=175,W159&gt;=55,W159&lt;95),0.15,0)+IF(AND(V159&gt;=175,W159&gt;=95),0.12,0),
IF(AF159="DoEVku",IF(AND(V159&lt;20,W159&lt;55),0.23,0)+IF(AND(V159&lt;20,W159&gt;=55,W159&lt;105),0.2,0)+IF(AND(V159&lt;20,W159&gt;=105),0.17,0)+IF(AND(V159&gt;=20,V159&lt;40,W159&lt;45),0.23,0)+IF(AND(V159&gt;=20,V159&lt;40,W159&gt;=45,W159&lt;95),0.2,0)+IF(AND(V159&gt;=20,V159&lt;40,W159&gt;=95,W159&lt;=150),0.17,0)+IF(AND(V159&gt;=20,V159&lt;40,W159&gt;=150),0.12,0)+IF(AND(V159&gt;=40,V159&lt;75,W159&lt;35),0.23,0)+IF(AND(V159&gt;=40,V159&lt;75,W159&gt;=35,W159&lt;75),0.2,0)+IF(AND(V159&gt;=40,V159&lt;75,W159&gt;=75,W159&lt;120),0.17,0)+IF(AND(V159&gt;=40,V159&lt;75,W159&gt;=120),0.12,0)+IF(AND(V159&gt;=75,V159&lt;175,W159&lt;35),0.23,0)+IF(AND(V159&gt;=75,V159&lt;=175,W159&gt;=35,W159&lt;65),0.2,0)+IF(AND(V159&gt;=75,V159&lt;=175,W159&gt;=65,W159&lt;110),0.17,0)+IF(AND(V159&gt;=75,V159&lt;=175,W159&gt;=110),0.12,0)+IF(AND(V159&gt;175,W159&lt;25),0.23,0)+IF(AND(V159&gt;175,W159&gt;=25,W159&lt;55),0.2,0)+IF(AND(V159&gt;175,W159&gt;=55,W159&lt;95),0.17,0)+IF(AND(V159&gt;175,W159&gt;=95),0.12,0),
IF(AF159="DoEVs1",IF(AND(V159&lt;20,W159&lt;55),0.3,0)+IF(AND(V159&lt;20,W159&gt;=55,W159&lt;105),0.23,0)+IF(AND(V159&lt;20,W159&gt;=105),0.17,0)+IF(AND(V159&gt;=20,V159&lt;40,W159&lt;45),0.3,0)+IF(AND(V159&gt;=20,V159&lt;40,W159&gt;=45,W159&lt;95),0.23,0)+IF(AND(V159&gt;=20,V159&lt;40,W159&gt;=95,W159&lt;=150),0.17,0)+IF(AND(V159&gt;=20,V159&lt;40,W159&gt;=150),0.12,0)+IF(AND(V159&gt;=40,V159&lt;75,W159&lt;35),0.3,0)+IF(AND(V159&gt;=40,V159&lt;75,W159&gt;=35,W159&lt;75),0.23,0)+IF(AND(V159&gt;=40,V159&lt;75,W159&gt;=75,W159&lt;120),0.17,0)+IF(AND(V159&gt;=40,V159&lt;75,W159&gt;=120),0.12,0)+IF(AND(V159&gt;=75,V159&lt;175,W159&lt;35),0.3,0)+IF(AND(V159&gt;=75,V159&lt;=175,W159&gt;=35,W159&lt;65),0.23,0)+IF(AND(V159&gt;=75,V159&lt;=175,W159&gt;=65,W159&lt;110),0.17,0)+IF(AND(V159&gt;=75,V159&lt;=175,W159&gt;=110),0.12,0)+IF(AND(V159&gt;175,W159&lt;25),0.3,0)+IF(AND(V159&gt;175,W159&gt;=25,W159&lt;55),0.23,0)+IF(AND(V159&gt;175,W159&gt;=55,W159&lt;95),0.17,0)+IF(AND(V159&gt;175,W159&gt;=95),0.12,0),
IF(AF159="DoEVsu",IF(AND(V159&lt;20,W159&lt;55),0.3,0)+IF(AND(V159&lt;20,W159&gt;=55,W159&lt;105),0.23,0)+IF(AND(V159&lt;20,W159&gt;=105),0.17,0)+IF(AND(V159&gt;=20,V159&lt;40,W159&lt;45),0.3,0)+IF(AND(V159&gt;=20,V159&lt;40,W159&gt;=45,W159&lt;95),0.23,0)+IF(AND(V159&gt;=20,V159&lt;40,W159&gt;=95,W159&lt;=250),0.17,0)+IF(AND(V159&gt;=20,V159&lt;40,W159&gt;=250),0.12,0)+IF(AND(V159&gt;=40,V159&lt;75,W159&lt;35),0.3,0)+IF(AND(V159&gt;=40,V159&lt;75,W159&gt;=35,W159&lt;75),0.23,0)+IF(AND(V159&gt;=40,V159&lt;75,W159&gt;=75,W159&lt;120),0.17,0)+IF(AND(V159&gt;=40,V159&lt;75,W159&gt;=120),0.12,0)+IF(AND(V159&gt;=75,V159&lt;175,W159&lt;35),0.3,0)+IF(AND(V159&gt;=75,V159&lt;=175,W159&gt;=35,W159&lt;65),0.23,0)+IF(AND(V159&gt;=75,V159&lt;=175,W159&gt;=65,W159&lt;110),0.17,0)+IF(AND(V159&gt;=75,V159&lt;=175,W159&gt;=110),0.12,0)+IF(AND(V159&gt;175,W159&lt;25),0.3,0)+IF(AND(V159&gt;175,W159&gt;=25,W159&lt;55),0.23,0)+IF(AND(V159&gt;175,W159&gt;=55,W159&lt;95),0.17,0)+IF(AND(V159&gt;175,W159&gt;=95),0.12,0),
IF(AF159="DoEVni",IF(AND(V159&lt;20,W159&lt;55),0.3,0)+IF(AND(V159&lt;20,W159&gt;=55,W159&lt;105),0.23,0)+IF(AND(V159&lt;20,W159&gt;=105),0.17,0)+IF(AND(V159&gt;=20,V159&lt;40,W159&lt;45),0.3,0)+IF(AND(V159&gt;=20,V159&lt;40,W159&gt;=45,W159&lt;95),0.23,0)+IF(AND(V159&gt;=20,V159&lt;40,W159&gt;=95,W159&lt;=200),0.17,0)+IF(AND(V159&gt;=20,V159&lt;40,W159&gt;=200),0.12,0)+IF(AND(V159&gt;=40,V159&lt;75,W159&lt;35),0.3,0)+IF(AND(V159&gt;=40,V159&lt;75,W159&gt;=35,W159&lt;75),0.23,0)+IF(AND(V159&gt;=40,V159&lt;75,W159&gt;=75,W159&lt;120),0.17,0)+IF(AND(V159&gt;=40,V159&lt;75,W159&gt;=120),0.12,0)+IF(AND(V159&gt;=75,V159&lt;175,W159&lt;35),0.3,0)+IF(AND(V159&gt;=75,V159&lt;=175,W159&gt;=35,W159&lt;65),0.23,0)+IF(AND(V159&gt;=75,V159&lt;=175,W159&gt;=65,W159&lt;110),0.17,0)+IF(AND(V159&gt;=75,V159&lt;=175,W159&gt;=110),0.12,0)+IF(AND(V159&gt;175,W159&lt;25),0.3,0)+IF(AND(V159&gt;175,W159&gt;=25,W159&lt;55),0.23,0)+IF(AND(V159&gt;175,W159&gt;=55,W159&lt;95),0.17,0)+IF(AND(V159&gt;175,W159&gt;=95),0.12,0),
IF(AF159="DoEVLo",IF(AND(V159&lt;20,W159&lt;55),0.25,0)+IF(AND(V159&lt;20,W159&gt;=55,W159&lt;105),0.2,0)+IF(AND(V159&lt;20,W159&gt;=105),0.15,0)+IF(AND(V159&gt;=20,V159&lt;40,W159&lt;45),0.25,0)+IF(AND(V159&gt;=20,V159&lt;40,W159&gt;=45,W159&lt;95),0.2,0)+IF(AND(V159&gt;=20,V159&lt;40,W159&gt;=95),0.15,0)+IF(AND(V159&gt;=40,V159&lt;75,W159&lt;35),0.25,0)+IF(AND(V159&gt;=40,V159&lt;75,W159&gt;=35,W159&lt;75),0.2,0)+IF(AND(V159&gt;=40,V159&lt;75,W159&gt;=75,W159&lt;120),0.15,0)+IF(AND(V159&gt;=40,V159&lt;75,W159&gt;=120),0.1,0)+IF(AND(V159&gt;=75,V159&lt;175,W159&lt;35),0.25,0)+IF(AND(V159&gt;=75,V159&lt;=175,W159&gt;=35,W159&lt;65),0.2,0)+IF(AND(V159&gt;=75,V159&lt;=175,W159&gt;=65,W159&lt;110),0.15,0)+IF(AND(V159&gt;=75,V159&lt;=175,W159&gt;=110),0.1,0)+IF(AND(V159&gt;175,W159&lt;25),0.25,0)+IF(AND(V159&gt;175,W159&gt;=25,W159&lt;55),0.2,0)+IF(AND(V159&gt;175,W159&gt;=55,W159&lt;95),0.15,0)+IF(AND(V159&gt;175,W159&gt;=95),0.1,0))))))))))))))))</f>
        <v>0.26</v>
      </c>
      <c r="Y159" s="30">
        <f>IF(AG159="None",0,IF(AG159="Fix5",0.05,IF(AG159="Fix3.75",0.0375,IF(AG159="Fix10",0.1,IF(AG159="Fix3",0.03,0)))))</f>
        <v>0</v>
      </c>
      <c r="Z159" s="35">
        <f>T159-AA159-AB159</f>
        <v>-71.039999999999992</v>
      </c>
      <c r="AA159" s="29">
        <f>IF(AD159="EUR",((T159-R159)*X159)*U159+(R159*X159),(T159*X159))</f>
        <v>-24.96</v>
      </c>
      <c r="AB159" s="36">
        <f>IF(AD159="EUR",((T159-R159)*Y159)*U159+(R159*Y159),(T159*Y159))</f>
        <v>0</v>
      </c>
      <c r="AC159" s="37" t="b">
        <v>0</v>
      </c>
      <c r="AD159" s="37" t="s">
        <v>38</v>
      </c>
      <c r="AE159" s="37" t="s">
        <v>38</v>
      </c>
      <c r="AF159" s="37" t="str">
        <f t="array" ref="AF159">INDEX('Deal Info'!D:D, MATCH(A159,'Deal Info'!A:A, 0))</f>
        <v>SF</v>
      </c>
      <c r="AG159" s="38" t="str">
        <f t="array" ref="AG159">INDEX('Deal Info'!G:G, MATCH(A159,'Deal Info'!A:A, 0))</f>
        <v>None</v>
      </c>
    </row>
    <row r="160" spans="1:33" ht="14.25" hidden="1" x14ac:dyDescent="0.2">
      <c r="A160" s="18" t="str">
        <f t="array" ref="A160">IF(G160='Room Info'!$B$1, INDEX('Room Info'!$A$2:$A2446, MATCH(B160,'Room Info'!$B$2:$B2446, 0)),IF(G160='Room Info'!$C$1, INDEX('Room Info'!$A$2:$A2446, MATCH(B160,'Room Info'!$C$2:$C2446, 0)),IF(G160='Room Info'!$D$1, INDEX('Room Info'!$A$2:$A2446, MATCH(B160,'Room Info'!$D$2:$D2446, 0)),IF(G160='Room Info'!$E$1, INDEX('Room Info'!$A$2:$A2446, MATCH(B160,'Room Info'!$E$2:$E2446, 0)),IF(G160='Room Info'!$F$1, INDEX('Room Info'!$A$2:$A2446, MATCH(B160,'Room Info'!$F$2:$F2446, 0)),IF(G160='Room Info'!$H$1, INDEX('Room Info'!$A$2:$A2446, MATCH(B160,'Room Info'!$H$2:$H2446, 0)),IF(G160='Room Info'!$G$1, INDEX('Room Info'!$A$2:$A2446, MATCH(B160,'Room Info'!$G$2:$G2446, 0)))))))))</f>
        <v>bbaltqq</v>
      </c>
      <c r="B160" s="54" t="s">
        <v>89</v>
      </c>
      <c r="C160" s="46">
        <v>44774</v>
      </c>
      <c r="D160" s="46">
        <v>44804</v>
      </c>
      <c r="E160" s="47">
        <v>44774</v>
      </c>
      <c r="F160" s="45" t="s">
        <v>41</v>
      </c>
      <c r="G160" s="54" t="s">
        <v>35</v>
      </c>
      <c r="H160" s="49" t="s">
        <v>72</v>
      </c>
      <c r="I160" s="49" t="s">
        <v>37</v>
      </c>
      <c r="J160" s="50">
        <v>50</v>
      </c>
      <c r="K160" s="51">
        <v>3196</v>
      </c>
      <c r="L160" s="52">
        <v>-7850</v>
      </c>
      <c r="M160" s="53">
        <v>6737</v>
      </c>
      <c r="N160" s="28">
        <f>K160*J160</f>
        <v>159800</v>
      </c>
      <c r="O160" s="54">
        <v>30227</v>
      </c>
      <c r="P160" s="29">
        <v>9.4577597000000004</v>
      </c>
      <c r="Q160" s="55"/>
      <c r="R160" s="31">
        <f>M160+Q160</f>
        <v>6737</v>
      </c>
      <c r="S160" s="56"/>
      <c r="T160" s="32">
        <f>R160+S160+IF(F160="Without EV deal",L160,0)</f>
        <v>-1113</v>
      </c>
      <c r="U160" s="33">
        <v>1</v>
      </c>
      <c r="V160" s="69">
        <v>49.884806973848072</v>
      </c>
      <c r="W160" s="69">
        <v>-25.759345940210945</v>
      </c>
      <c r="X160" s="30">
        <f>IF(AF160="DoEV",IF(AND(V160&lt;20,W160&lt;55),0.3,0)+IF(AND(V160&lt;20,W160&gt;=55,W160&lt;105),0.23,0)+IF(AND(V160&lt;20,W160&gt;=105),0.17,0)+IF(AND(V160&gt;=20,V160&lt;40,W160&lt;45),0.3,0)+IF(AND(V160&gt;=20,V160&lt;40,W160&gt;=45,W160&lt;95),0.23,0)+IF(AND(V160&gt;=20,V160&lt;40,W160&gt;=95),0.17,0)+IF(AND(V160&gt;=40,V160&lt;75,W160&lt;35),0.3,0)+IF(AND(V160&gt;=40,V160&lt;75,W160&gt;=35,W160&lt;75),0.23,0)+IF(AND(V160&gt;=40,V160&lt;75,W160&gt;=75,W160&lt;120),0.17,0)+IF(AND(V160&gt;=40,V160&lt;75,W160&gt;=120),0.12,0)+IF(AND(V160&gt;=75,V160&lt;175,W160&lt;35),0.3,0)+IF(AND(V160&gt;=75,V160&lt;=175,W160&gt;=35,W160&lt;65),0.23,0)+IF(AND(V160&gt;=75,V160&lt;=175,W160&gt;=65,W160&lt;110),0.17,0)+IF(AND(V160&gt;=75,V160&lt;=175,W160&gt;=110),0.12,0)+IF(AND(V160&gt;175,W160&lt;25),0.3,0)+IF(AND(V160&gt;175,W160&gt;=25,W160&lt;55),0.23,0)+IF(AND(V160&gt;175,W160&gt;=55,W160&lt;95),0.17,0)+IF(AND(V160&gt;175,W160&gt;=95),0.12,0),
IF(AF160="Fix15",0.15,
IF(AF160="Fix11.25",0.1125,
IF(AF160="Fix10",0.1,
IF(AF160="Fix9",0.09,
IF(AF160="DoEV2017",IF(AND(W160&lt;74),0.2,0)+IF(AND(W160&gt;=74),0.17,0),
IF(AF160="SF",IF(AND(V160&lt;20,W160&lt;89),0.3,0)+IF(AND(V160&lt;20,W160&gt;=89),0.25,0)+IF(AND(V160&gt;=20,V160&lt;40,W160&lt;74),0.3,0)+IF(AND(V160&gt;=20,V160&lt;40,W160&gt;=75),0.22,0)+IF(AND(V160&gt;=40,V160&lt;75,W160&lt;75),0.26,0)+IF(AND(V160&gt;=40,V160&lt;75,W160&gt;=75),0.22,0)+IF(V160&gt;=75,0.22,0),
IF(AF160="DoEVold",IF(AND(V160&lt;40,W160&lt;35),0.35,0)+IF(AND(V160&lt;40,W160&gt;=35,W160&lt;75),0.25,0)+IF(AND(V160&lt;40,W160&gt;=75),0.17,0)+IF(AND(V160&gt;=40,V160&lt;75,W160&lt;25),0.35,0)+IF(AND(V160&gt;=40,V160&lt;75,W160&gt;=25,W160&lt;65),0.25,0)+IF(AND(V160&gt;=40,V160&lt;75,W160&gt;=65,W160&lt;100),0.17,0)+IF(AND(V160&gt;=40,V160&lt;75,W160&gt;=100),0.1,0)+IF(AND(V160&gt;=75,W160&lt;25),0.35,0)+IF(AND(V160&gt;=75,W160&gt;=25,W160&lt;60),0.25,0)+IF(AND(V160&gt;=75,W160&gt;=60,W160&lt;95),0.17,0)+IF(AND(V160&gt;=75,W160&gt;=95),0.1,0),
IF(AF160="DoEVold15",IF(AND(V160&lt;=40,W160&lt;35),0.35,0)+IF(AND(V160&lt;=40,W160&gt;=35,W160&lt;75),0.25,0)+IF(AND(V160&lt;=40,W160&gt;=75,W160&lt;120),0.17,0)+IF(AND(V160&lt;=40,W160&gt;=120),0.15,0)+IF(AND(V160&gt;40,V160&lt;75,W160&lt;25),0.35,0)+IF(AND(V160&gt;=40,V160&lt;75,W160&gt;=25,W160&lt;65),0.25,0)+IF(AND(V160&gt;=40,V160&lt;75,W160&gt;=65,W160&lt;100),0.17,0)+IF(AND(V160&gt;=40,V160&lt;75,W160&gt;=100),0.1,0)+IF(AND(V160&gt;=75,W160&lt;25),0.35,0)+IF(AND(V160&gt;=75,W160&gt;=25,W160&lt;60),0.25,0)+IF(AND(V160&gt;=75,W160&gt;=60,W160&lt;95),0.17,0)+IF(AND(V160&gt;=75,W160&gt;=95),0.1,0),
IF(AF160="DoEVba",IF(AND(V160&lt;20,W160&lt;105),0.2,0)+IF(AND(V160&lt;20,W160&gt;=105),0.15,0)+IF(AND(V160&gt;=20,V160&lt;40,W160&lt;95),0.2,0)+IF(AND(V160&gt;=20,V160&lt;40,W160&gt;=95,W160&lt;150),0.15,0)+IF(AND(V160&gt;=20,V160&lt;40,W160&gt;=150),0.12,0)+IF(AND(V160&gt;=40,V160&lt;75,W160&lt;75),0.2,0)+IF(AND(V160&gt;=40,V160&lt;75,W160&gt;=75,W160&lt;120),0.15,0)+IF(AND(V160&gt;=40,V160&lt;75,W160&gt;=120),0.12,0)+IF(AND(V160&gt;=75,V160&lt;175,W160&lt;65),0.2,0)+IF(AND(V160&gt;=75,V160&lt;175,W160&gt;=65,W160&lt;110),0.15,0)+IF(AND(V160&gt;=75,V160&lt;175,W160&gt;=110),0.12,0)+IF(AND(V160&gt;=175,W160&lt;55),0.2,0)+IF(AND(V160&gt;=175,W160&gt;=55,W160&lt;95),0.15,0)+IF(AND(V160&gt;=175,W160&gt;=95),0.12,0),
IF(AF160="DoEVku",IF(AND(V160&lt;20,W160&lt;55),0.23,0)+IF(AND(V160&lt;20,W160&gt;=55,W160&lt;105),0.2,0)+IF(AND(V160&lt;20,W160&gt;=105),0.17,0)+IF(AND(V160&gt;=20,V160&lt;40,W160&lt;45),0.23,0)+IF(AND(V160&gt;=20,V160&lt;40,W160&gt;=45,W160&lt;95),0.2,0)+IF(AND(V160&gt;=20,V160&lt;40,W160&gt;=95,W160&lt;=150),0.17,0)+IF(AND(V160&gt;=20,V160&lt;40,W160&gt;=150),0.12,0)+IF(AND(V160&gt;=40,V160&lt;75,W160&lt;35),0.23,0)+IF(AND(V160&gt;=40,V160&lt;75,W160&gt;=35,W160&lt;75),0.2,0)+IF(AND(V160&gt;=40,V160&lt;75,W160&gt;=75,W160&lt;120),0.17,0)+IF(AND(V160&gt;=40,V160&lt;75,W160&gt;=120),0.12,0)+IF(AND(V160&gt;=75,V160&lt;175,W160&lt;35),0.23,0)+IF(AND(V160&gt;=75,V160&lt;=175,W160&gt;=35,W160&lt;65),0.2,0)+IF(AND(V160&gt;=75,V160&lt;=175,W160&gt;=65,W160&lt;110),0.17,0)+IF(AND(V160&gt;=75,V160&lt;=175,W160&gt;=110),0.12,0)+IF(AND(V160&gt;175,W160&lt;25),0.23,0)+IF(AND(V160&gt;175,W160&gt;=25,W160&lt;55),0.2,0)+IF(AND(V160&gt;175,W160&gt;=55,W160&lt;95),0.17,0)+IF(AND(V160&gt;175,W160&gt;=95),0.12,0),
IF(AF160="DoEVs1",IF(AND(V160&lt;20,W160&lt;55),0.3,0)+IF(AND(V160&lt;20,W160&gt;=55,W160&lt;105),0.23,0)+IF(AND(V160&lt;20,W160&gt;=105),0.17,0)+IF(AND(V160&gt;=20,V160&lt;40,W160&lt;45),0.3,0)+IF(AND(V160&gt;=20,V160&lt;40,W160&gt;=45,W160&lt;95),0.23,0)+IF(AND(V160&gt;=20,V160&lt;40,W160&gt;=95,W160&lt;=150),0.17,0)+IF(AND(V160&gt;=20,V160&lt;40,W160&gt;=150),0.12,0)+IF(AND(V160&gt;=40,V160&lt;75,W160&lt;35),0.3,0)+IF(AND(V160&gt;=40,V160&lt;75,W160&gt;=35,W160&lt;75),0.23,0)+IF(AND(V160&gt;=40,V160&lt;75,W160&gt;=75,W160&lt;120),0.17,0)+IF(AND(V160&gt;=40,V160&lt;75,W160&gt;=120),0.12,0)+IF(AND(V160&gt;=75,V160&lt;175,W160&lt;35),0.3,0)+IF(AND(V160&gt;=75,V160&lt;=175,W160&gt;=35,W160&lt;65),0.23,0)+IF(AND(V160&gt;=75,V160&lt;=175,W160&gt;=65,W160&lt;110),0.17,0)+IF(AND(V160&gt;=75,V160&lt;=175,W160&gt;=110),0.12,0)+IF(AND(V160&gt;175,W160&lt;25),0.3,0)+IF(AND(V160&gt;175,W160&gt;=25,W160&lt;55),0.23,0)+IF(AND(V160&gt;175,W160&gt;=55,W160&lt;95),0.17,0)+IF(AND(V160&gt;175,W160&gt;=95),0.12,0),
IF(AF160="DoEVsu",IF(AND(V160&lt;20,W160&lt;55),0.3,0)+IF(AND(V160&lt;20,W160&gt;=55,W160&lt;105),0.23,0)+IF(AND(V160&lt;20,W160&gt;=105),0.17,0)+IF(AND(V160&gt;=20,V160&lt;40,W160&lt;45),0.3,0)+IF(AND(V160&gt;=20,V160&lt;40,W160&gt;=45,W160&lt;95),0.23,0)+IF(AND(V160&gt;=20,V160&lt;40,W160&gt;=95,W160&lt;=250),0.17,0)+IF(AND(V160&gt;=20,V160&lt;40,W160&gt;=250),0.12,0)+IF(AND(V160&gt;=40,V160&lt;75,W160&lt;35),0.3,0)+IF(AND(V160&gt;=40,V160&lt;75,W160&gt;=35,W160&lt;75),0.23,0)+IF(AND(V160&gt;=40,V160&lt;75,W160&gt;=75,W160&lt;120),0.17,0)+IF(AND(V160&gt;=40,V160&lt;75,W160&gt;=120),0.12,0)+IF(AND(V160&gt;=75,V160&lt;175,W160&lt;35),0.3,0)+IF(AND(V160&gt;=75,V160&lt;=175,W160&gt;=35,W160&lt;65),0.23,0)+IF(AND(V160&gt;=75,V160&lt;=175,W160&gt;=65,W160&lt;110),0.17,0)+IF(AND(V160&gt;=75,V160&lt;=175,W160&gt;=110),0.12,0)+IF(AND(V160&gt;175,W160&lt;25),0.3,0)+IF(AND(V160&gt;175,W160&gt;=25,W160&lt;55),0.23,0)+IF(AND(V160&gt;175,W160&gt;=55,W160&lt;95),0.17,0)+IF(AND(V160&gt;175,W160&gt;=95),0.12,0),
IF(AF160="DoEVni",IF(AND(V160&lt;20,W160&lt;55),0.3,0)+IF(AND(V160&lt;20,W160&gt;=55,W160&lt;105),0.23,0)+IF(AND(V160&lt;20,W160&gt;=105),0.17,0)+IF(AND(V160&gt;=20,V160&lt;40,W160&lt;45),0.3,0)+IF(AND(V160&gt;=20,V160&lt;40,W160&gt;=45,W160&lt;95),0.23,0)+IF(AND(V160&gt;=20,V160&lt;40,W160&gt;=95,W160&lt;=200),0.17,0)+IF(AND(V160&gt;=20,V160&lt;40,W160&gt;=200),0.12,0)+IF(AND(V160&gt;=40,V160&lt;75,W160&lt;35),0.3,0)+IF(AND(V160&gt;=40,V160&lt;75,W160&gt;=35,W160&lt;75),0.23,0)+IF(AND(V160&gt;=40,V160&lt;75,W160&gt;=75,W160&lt;120),0.17,0)+IF(AND(V160&gt;=40,V160&lt;75,W160&gt;=120),0.12,0)+IF(AND(V160&gt;=75,V160&lt;175,W160&lt;35),0.3,0)+IF(AND(V160&gt;=75,V160&lt;=175,W160&gt;=35,W160&lt;65),0.23,0)+IF(AND(V160&gt;=75,V160&lt;=175,W160&gt;=65,W160&lt;110),0.17,0)+IF(AND(V160&gt;=75,V160&lt;=175,W160&gt;=110),0.12,0)+IF(AND(V160&gt;175,W160&lt;25),0.3,0)+IF(AND(V160&gt;175,W160&gt;=25,W160&lt;55),0.23,0)+IF(AND(V160&gt;175,W160&gt;=55,W160&lt;95),0.17,0)+IF(AND(V160&gt;175,W160&gt;=95),0.12,0),
IF(AF160="DoEVLo",IF(AND(V160&lt;20,W160&lt;55),0.25,0)+IF(AND(V160&lt;20,W160&gt;=55,W160&lt;105),0.2,0)+IF(AND(V160&lt;20,W160&gt;=105),0.15,0)+IF(AND(V160&gt;=20,V160&lt;40,W160&lt;45),0.25,0)+IF(AND(V160&gt;=20,V160&lt;40,W160&gt;=45,W160&lt;95),0.2,0)+IF(AND(V160&gt;=20,V160&lt;40,W160&gt;=95),0.15,0)+IF(AND(V160&gt;=40,V160&lt;75,W160&lt;35),0.25,0)+IF(AND(V160&gt;=40,V160&lt;75,W160&gt;=35,W160&lt;75),0.2,0)+IF(AND(V160&gt;=40,V160&lt;75,W160&gt;=75,W160&lt;120),0.15,0)+IF(AND(V160&gt;=40,V160&lt;75,W160&gt;=120),0.1,0)+IF(AND(V160&gt;=75,V160&lt;175,W160&lt;35),0.25,0)+IF(AND(V160&gt;=75,V160&lt;=175,W160&gt;=35,W160&lt;65),0.2,0)+IF(AND(V160&gt;=75,V160&lt;=175,W160&gt;=65,W160&lt;110),0.15,0)+IF(AND(V160&gt;=75,V160&lt;=175,W160&gt;=110),0.1,0)+IF(AND(V160&gt;175,W160&lt;25),0.25,0)+IF(AND(V160&gt;175,W160&gt;=25,W160&lt;55),0.2,0)+IF(AND(V160&gt;175,W160&gt;=55,W160&lt;95),0.15,0)+IF(AND(V160&gt;175,W160&gt;=95),0.1,0))))))))))))))))</f>
        <v>0.26</v>
      </c>
      <c r="Y160" s="30">
        <f>IF(AG160="None",0,IF(AG160="Fix5",0.05,IF(AG160="Fix3.75",0.0375,IF(AG160="Fix10",0.1,IF(AG160="Fix3",0.03,0)))))</f>
        <v>0</v>
      </c>
      <c r="Z160" s="35">
        <f>T160-AA160-AB160</f>
        <v>-823.62</v>
      </c>
      <c r="AA160" s="29">
        <f>IF(AD160="EUR",((T160-R160)*X160)*U160+(R160*X160),(T160*X160))</f>
        <v>-289.38</v>
      </c>
      <c r="AB160" s="36">
        <f>IF(AD160="EUR",((T160-R160)*Y160)*U160+(R160*Y160),(T160*Y160))</f>
        <v>0</v>
      </c>
      <c r="AC160" s="37" t="b">
        <v>0</v>
      </c>
      <c r="AD160" s="37" t="s">
        <v>38</v>
      </c>
      <c r="AE160" s="37" t="s">
        <v>38</v>
      </c>
      <c r="AF160" s="37" t="str">
        <f t="array" ref="AF160">INDEX('Deal Info'!D:D, MATCH(A160,'Deal Info'!A:A, 0))</f>
        <v>SF</v>
      </c>
      <c r="AG160" s="38" t="str">
        <f t="array" ref="AG160">INDEX('Deal Info'!G:G, MATCH(A160,'Deal Info'!A:A, 0))</f>
        <v>None</v>
      </c>
    </row>
    <row r="161" spans="1:33" ht="14.25" hidden="1" x14ac:dyDescent="0.2">
      <c r="A161" s="18" t="str">
        <f t="array" ref="A161">IF(G161='Room Info'!$B$1, INDEX('Room Info'!$A$2:$A2446, MATCH(B161,'Room Info'!$B$2:$B2446, 0)),IF(G161='Room Info'!$C$1, INDEX('Room Info'!$A$2:$A2446, MATCH(B161,'Room Info'!$C$2:$C2446, 0)),IF(G161='Room Info'!$D$1, INDEX('Room Info'!$A$2:$A2446, MATCH(B161,'Room Info'!$D$2:$D2446, 0)),IF(G161='Room Info'!$E$1, INDEX('Room Info'!$A$2:$A2446, MATCH(B161,'Room Info'!$E$2:$E2446, 0)),IF(G161='Room Info'!$F$1, INDEX('Room Info'!$A$2:$A2446, MATCH(B161,'Room Info'!$F$2:$F2446, 0)),IF(G161='Room Info'!$H$1, INDEX('Room Info'!$A$2:$A2446, MATCH(B161,'Room Info'!$H$2:$H2446, 0)),IF(G161='Room Info'!$G$1, INDEX('Room Info'!$A$2:$A2446, MATCH(B161,'Room Info'!$G$2:$G2446, 0)))))))))</f>
        <v>bbaltqq</v>
      </c>
      <c r="B161" s="54" t="s">
        <v>89</v>
      </c>
      <c r="C161" s="46">
        <v>44774</v>
      </c>
      <c r="D161" s="46">
        <v>44804</v>
      </c>
      <c r="E161" s="47">
        <v>44774</v>
      </c>
      <c r="F161" s="45" t="s">
        <v>41</v>
      </c>
      <c r="G161" s="54" t="s">
        <v>35</v>
      </c>
      <c r="H161" s="49" t="s">
        <v>39</v>
      </c>
      <c r="I161" s="49" t="s">
        <v>37</v>
      </c>
      <c r="J161" s="50">
        <v>5</v>
      </c>
      <c r="K161" s="51">
        <v>1</v>
      </c>
      <c r="L161" s="52">
        <v>10</v>
      </c>
      <c r="M161" s="62"/>
      <c r="N161" s="28">
        <f>K161*J161</f>
        <v>5</v>
      </c>
      <c r="O161" s="65"/>
      <c r="P161" s="29">
        <v>0</v>
      </c>
      <c r="Q161" s="55"/>
      <c r="R161" s="31">
        <f>M161+Q161</f>
        <v>0</v>
      </c>
      <c r="S161" s="66"/>
      <c r="T161" s="32">
        <f>R161+S161+IF(F161="Without EV deal",L161,0)</f>
        <v>10</v>
      </c>
      <c r="U161" s="33">
        <v>1</v>
      </c>
      <c r="V161" s="69">
        <v>49.884806973848072</v>
      </c>
      <c r="W161" s="69">
        <v>-25.759345940210945</v>
      </c>
      <c r="X161" s="30">
        <f>IF(AF161="DoEV",IF(AND(V161&lt;20,W161&lt;55),0.3,0)+IF(AND(V161&lt;20,W161&gt;=55,W161&lt;105),0.23,0)+IF(AND(V161&lt;20,W161&gt;=105),0.17,0)+IF(AND(V161&gt;=20,V161&lt;40,W161&lt;45),0.3,0)+IF(AND(V161&gt;=20,V161&lt;40,W161&gt;=45,W161&lt;95),0.23,0)+IF(AND(V161&gt;=20,V161&lt;40,W161&gt;=95),0.17,0)+IF(AND(V161&gt;=40,V161&lt;75,W161&lt;35),0.3,0)+IF(AND(V161&gt;=40,V161&lt;75,W161&gt;=35,W161&lt;75),0.23,0)+IF(AND(V161&gt;=40,V161&lt;75,W161&gt;=75,W161&lt;120),0.17,0)+IF(AND(V161&gt;=40,V161&lt;75,W161&gt;=120),0.12,0)+IF(AND(V161&gt;=75,V161&lt;175,W161&lt;35),0.3,0)+IF(AND(V161&gt;=75,V161&lt;=175,W161&gt;=35,W161&lt;65),0.23,0)+IF(AND(V161&gt;=75,V161&lt;=175,W161&gt;=65,W161&lt;110),0.17,0)+IF(AND(V161&gt;=75,V161&lt;=175,W161&gt;=110),0.12,0)+IF(AND(V161&gt;175,W161&lt;25),0.3,0)+IF(AND(V161&gt;175,W161&gt;=25,W161&lt;55),0.23,0)+IF(AND(V161&gt;175,W161&gt;=55,W161&lt;95),0.17,0)+IF(AND(V161&gt;175,W161&gt;=95),0.12,0),
IF(AF161="Fix15",0.15,
IF(AF161="Fix11.25",0.1125,
IF(AF161="Fix10",0.1,
IF(AF161="Fix9",0.09,
IF(AF161="DoEV2017",IF(AND(W161&lt;74),0.2,0)+IF(AND(W161&gt;=74),0.17,0),
IF(AF161="SF",IF(AND(V161&lt;20,W161&lt;89),0.3,0)+IF(AND(V161&lt;20,W161&gt;=89),0.25,0)+IF(AND(V161&gt;=20,V161&lt;40,W161&lt;74),0.3,0)+IF(AND(V161&gt;=20,V161&lt;40,W161&gt;=75),0.22,0)+IF(AND(V161&gt;=40,V161&lt;75,W161&lt;75),0.26,0)+IF(AND(V161&gt;=40,V161&lt;75,W161&gt;=75),0.22,0)+IF(V161&gt;=75,0.22,0),
IF(AF161="DoEVold",IF(AND(V161&lt;40,W161&lt;35),0.35,0)+IF(AND(V161&lt;40,W161&gt;=35,W161&lt;75),0.25,0)+IF(AND(V161&lt;40,W161&gt;=75),0.17,0)+IF(AND(V161&gt;=40,V161&lt;75,W161&lt;25),0.35,0)+IF(AND(V161&gt;=40,V161&lt;75,W161&gt;=25,W161&lt;65),0.25,0)+IF(AND(V161&gt;=40,V161&lt;75,W161&gt;=65,W161&lt;100),0.17,0)+IF(AND(V161&gt;=40,V161&lt;75,W161&gt;=100),0.1,0)+IF(AND(V161&gt;=75,W161&lt;25),0.35,0)+IF(AND(V161&gt;=75,W161&gt;=25,W161&lt;60),0.25,0)+IF(AND(V161&gt;=75,W161&gt;=60,W161&lt;95),0.17,0)+IF(AND(V161&gt;=75,W161&gt;=95),0.1,0),
IF(AF161="DoEVold15",IF(AND(V161&lt;=40,W161&lt;35),0.35,0)+IF(AND(V161&lt;=40,W161&gt;=35,W161&lt;75),0.25,0)+IF(AND(V161&lt;=40,W161&gt;=75,W161&lt;120),0.17,0)+IF(AND(V161&lt;=40,W161&gt;=120),0.15,0)+IF(AND(V161&gt;40,V161&lt;75,W161&lt;25),0.35,0)+IF(AND(V161&gt;=40,V161&lt;75,W161&gt;=25,W161&lt;65),0.25,0)+IF(AND(V161&gt;=40,V161&lt;75,W161&gt;=65,W161&lt;100),0.17,0)+IF(AND(V161&gt;=40,V161&lt;75,W161&gt;=100),0.1,0)+IF(AND(V161&gt;=75,W161&lt;25),0.35,0)+IF(AND(V161&gt;=75,W161&gt;=25,W161&lt;60),0.25,0)+IF(AND(V161&gt;=75,W161&gt;=60,W161&lt;95),0.17,0)+IF(AND(V161&gt;=75,W161&gt;=95),0.1,0),
IF(AF161="DoEVba",IF(AND(V161&lt;20,W161&lt;105),0.2,0)+IF(AND(V161&lt;20,W161&gt;=105),0.15,0)+IF(AND(V161&gt;=20,V161&lt;40,W161&lt;95),0.2,0)+IF(AND(V161&gt;=20,V161&lt;40,W161&gt;=95,W161&lt;150),0.15,0)+IF(AND(V161&gt;=20,V161&lt;40,W161&gt;=150),0.12,0)+IF(AND(V161&gt;=40,V161&lt;75,W161&lt;75),0.2,0)+IF(AND(V161&gt;=40,V161&lt;75,W161&gt;=75,W161&lt;120),0.15,0)+IF(AND(V161&gt;=40,V161&lt;75,W161&gt;=120),0.12,0)+IF(AND(V161&gt;=75,V161&lt;175,W161&lt;65),0.2,0)+IF(AND(V161&gt;=75,V161&lt;175,W161&gt;=65,W161&lt;110),0.15,0)+IF(AND(V161&gt;=75,V161&lt;175,W161&gt;=110),0.12,0)+IF(AND(V161&gt;=175,W161&lt;55),0.2,0)+IF(AND(V161&gt;=175,W161&gt;=55,W161&lt;95),0.15,0)+IF(AND(V161&gt;=175,W161&gt;=95),0.12,0),
IF(AF161="DoEVku",IF(AND(V161&lt;20,W161&lt;55),0.23,0)+IF(AND(V161&lt;20,W161&gt;=55,W161&lt;105),0.2,0)+IF(AND(V161&lt;20,W161&gt;=105),0.17,0)+IF(AND(V161&gt;=20,V161&lt;40,W161&lt;45),0.23,0)+IF(AND(V161&gt;=20,V161&lt;40,W161&gt;=45,W161&lt;95),0.2,0)+IF(AND(V161&gt;=20,V161&lt;40,W161&gt;=95,W161&lt;=150),0.17,0)+IF(AND(V161&gt;=20,V161&lt;40,W161&gt;=150),0.12,0)+IF(AND(V161&gt;=40,V161&lt;75,W161&lt;35),0.23,0)+IF(AND(V161&gt;=40,V161&lt;75,W161&gt;=35,W161&lt;75),0.2,0)+IF(AND(V161&gt;=40,V161&lt;75,W161&gt;=75,W161&lt;120),0.17,0)+IF(AND(V161&gt;=40,V161&lt;75,W161&gt;=120),0.12,0)+IF(AND(V161&gt;=75,V161&lt;175,W161&lt;35),0.23,0)+IF(AND(V161&gt;=75,V161&lt;=175,W161&gt;=35,W161&lt;65),0.2,0)+IF(AND(V161&gt;=75,V161&lt;=175,W161&gt;=65,W161&lt;110),0.17,0)+IF(AND(V161&gt;=75,V161&lt;=175,W161&gt;=110),0.12,0)+IF(AND(V161&gt;175,W161&lt;25),0.23,0)+IF(AND(V161&gt;175,W161&gt;=25,W161&lt;55),0.2,0)+IF(AND(V161&gt;175,W161&gt;=55,W161&lt;95),0.17,0)+IF(AND(V161&gt;175,W161&gt;=95),0.12,0),
IF(AF161="DoEVs1",IF(AND(V161&lt;20,W161&lt;55),0.3,0)+IF(AND(V161&lt;20,W161&gt;=55,W161&lt;105),0.23,0)+IF(AND(V161&lt;20,W161&gt;=105),0.17,0)+IF(AND(V161&gt;=20,V161&lt;40,W161&lt;45),0.3,0)+IF(AND(V161&gt;=20,V161&lt;40,W161&gt;=45,W161&lt;95),0.23,0)+IF(AND(V161&gt;=20,V161&lt;40,W161&gt;=95,W161&lt;=150),0.17,0)+IF(AND(V161&gt;=20,V161&lt;40,W161&gt;=150),0.12,0)+IF(AND(V161&gt;=40,V161&lt;75,W161&lt;35),0.3,0)+IF(AND(V161&gt;=40,V161&lt;75,W161&gt;=35,W161&lt;75),0.23,0)+IF(AND(V161&gt;=40,V161&lt;75,W161&gt;=75,W161&lt;120),0.17,0)+IF(AND(V161&gt;=40,V161&lt;75,W161&gt;=120),0.12,0)+IF(AND(V161&gt;=75,V161&lt;175,W161&lt;35),0.3,0)+IF(AND(V161&gt;=75,V161&lt;=175,W161&gt;=35,W161&lt;65),0.23,0)+IF(AND(V161&gt;=75,V161&lt;=175,W161&gt;=65,W161&lt;110),0.17,0)+IF(AND(V161&gt;=75,V161&lt;=175,W161&gt;=110),0.12,0)+IF(AND(V161&gt;175,W161&lt;25),0.3,0)+IF(AND(V161&gt;175,W161&gt;=25,W161&lt;55),0.23,0)+IF(AND(V161&gt;175,W161&gt;=55,W161&lt;95),0.17,0)+IF(AND(V161&gt;175,W161&gt;=95),0.12,0),
IF(AF161="DoEVsu",IF(AND(V161&lt;20,W161&lt;55),0.3,0)+IF(AND(V161&lt;20,W161&gt;=55,W161&lt;105),0.23,0)+IF(AND(V161&lt;20,W161&gt;=105),0.17,0)+IF(AND(V161&gt;=20,V161&lt;40,W161&lt;45),0.3,0)+IF(AND(V161&gt;=20,V161&lt;40,W161&gt;=45,W161&lt;95),0.23,0)+IF(AND(V161&gt;=20,V161&lt;40,W161&gt;=95,W161&lt;=250),0.17,0)+IF(AND(V161&gt;=20,V161&lt;40,W161&gt;=250),0.12,0)+IF(AND(V161&gt;=40,V161&lt;75,W161&lt;35),0.3,0)+IF(AND(V161&gt;=40,V161&lt;75,W161&gt;=35,W161&lt;75),0.23,0)+IF(AND(V161&gt;=40,V161&lt;75,W161&gt;=75,W161&lt;120),0.17,0)+IF(AND(V161&gt;=40,V161&lt;75,W161&gt;=120),0.12,0)+IF(AND(V161&gt;=75,V161&lt;175,W161&lt;35),0.3,0)+IF(AND(V161&gt;=75,V161&lt;=175,W161&gt;=35,W161&lt;65),0.23,0)+IF(AND(V161&gt;=75,V161&lt;=175,W161&gt;=65,W161&lt;110),0.17,0)+IF(AND(V161&gt;=75,V161&lt;=175,W161&gt;=110),0.12,0)+IF(AND(V161&gt;175,W161&lt;25),0.3,0)+IF(AND(V161&gt;175,W161&gt;=25,W161&lt;55),0.23,0)+IF(AND(V161&gt;175,W161&gt;=55,W161&lt;95),0.17,0)+IF(AND(V161&gt;175,W161&gt;=95),0.12,0),
IF(AF161="DoEVni",IF(AND(V161&lt;20,W161&lt;55),0.3,0)+IF(AND(V161&lt;20,W161&gt;=55,W161&lt;105),0.23,0)+IF(AND(V161&lt;20,W161&gt;=105),0.17,0)+IF(AND(V161&gt;=20,V161&lt;40,W161&lt;45),0.3,0)+IF(AND(V161&gt;=20,V161&lt;40,W161&gt;=45,W161&lt;95),0.23,0)+IF(AND(V161&gt;=20,V161&lt;40,W161&gt;=95,W161&lt;=200),0.17,0)+IF(AND(V161&gt;=20,V161&lt;40,W161&gt;=200),0.12,0)+IF(AND(V161&gt;=40,V161&lt;75,W161&lt;35),0.3,0)+IF(AND(V161&gt;=40,V161&lt;75,W161&gt;=35,W161&lt;75),0.23,0)+IF(AND(V161&gt;=40,V161&lt;75,W161&gt;=75,W161&lt;120),0.17,0)+IF(AND(V161&gt;=40,V161&lt;75,W161&gt;=120),0.12,0)+IF(AND(V161&gt;=75,V161&lt;175,W161&lt;35),0.3,0)+IF(AND(V161&gt;=75,V161&lt;=175,W161&gt;=35,W161&lt;65),0.23,0)+IF(AND(V161&gt;=75,V161&lt;=175,W161&gt;=65,W161&lt;110),0.17,0)+IF(AND(V161&gt;=75,V161&lt;=175,W161&gt;=110),0.12,0)+IF(AND(V161&gt;175,W161&lt;25),0.3,0)+IF(AND(V161&gt;175,W161&gt;=25,W161&lt;55),0.23,0)+IF(AND(V161&gt;175,W161&gt;=55,W161&lt;95),0.17,0)+IF(AND(V161&gt;175,W161&gt;=95),0.12,0),
IF(AF161="DoEVLo",IF(AND(V161&lt;20,W161&lt;55),0.25,0)+IF(AND(V161&lt;20,W161&gt;=55,W161&lt;105),0.2,0)+IF(AND(V161&lt;20,W161&gt;=105),0.15,0)+IF(AND(V161&gt;=20,V161&lt;40,W161&lt;45),0.25,0)+IF(AND(V161&gt;=20,V161&lt;40,W161&gt;=45,W161&lt;95),0.2,0)+IF(AND(V161&gt;=20,V161&lt;40,W161&gt;=95),0.15,0)+IF(AND(V161&gt;=40,V161&lt;75,W161&lt;35),0.25,0)+IF(AND(V161&gt;=40,V161&lt;75,W161&gt;=35,W161&lt;75),0.2,0)+IF(AND(V161&gt;=40,V161&lt;75,W161&gt;=75,W161&lt;120),0.15,0)+IF(AND(V161&gt;=40,V161&lt;75,W161&gt;=120),0.1,0)+IF(AND(V161&gt;=75,V161&lt;175,W161&lt;35),0.25,0)+IF(AND(V161&gt;=75,V161&lt;=175,W161&gt;=35,W161&lt;65),0.2,0)+IF(AND(V161&gt;=75,V161&lt;=175,W161&gt;=65,W161&lt;110),0.15,0)+IF(AND(V161&gt;=75,V161&lt;=175,W161&gt;=110),0.1,0)+IF(AND(V161&gt;175,W161&lt;25),0.25,0)+IF(AND(V161&gt;175,W161&gt;=25,W161&lt;55),0.2,0)+IF(AND(V161&gt;175,W161&gt;=55,W161&lt;95),0.15,0)+IF(AND(V161&gt;175,W161&gt;=95),0.1,0))))))))))))))))</f>
        <v>0.26</v>
      </c>
      <c r="Y161" s="30">
        <f>IF(AG161="None",0,IF(AG161="Fix5",0.05,IF(AG161="Fix3.75",0.0375,IF(AG161="Fix10",0.1,IF(AG161="Fix3",0.03,0)))))</f>
        <v>0</v>
      </c>
      <c r="Z161" s="35">
        <f>T161-AA161-AB161</f>
        <v>7.4</v>
      </c>
      <c r="AA161" s="29">
        <f>IF(AD161="EUR",((T161-R161)*X161)*U161+(R161*X161),(T161*X161))</f>
        <v>2.6</v>
      </c>
      <c r="AB161" s="36">
        <f>IF(AD161="EUR",((T161-R161)*Y161)*U161+(R161*Y161),(T161*Y161))</f>
        <v>0</v>
      </c>
      <c r="AC161" s="37" t="b">
        <v>0</v>
      </c>
      <c r="AD161" s="37" t="s">
        <v>38</v>
      </c>
      <c r="AE161" s="37" t="s">
        <v>38</v>
      </c>
      <c r="AF161" s="37" t="str">
        <f t="array" ref="AF161">INDEX('Deal Info'!D:D, MATCH(A161,'Deal Info'!A:A, 0))</f>
        <v>SF</v>
      </c>
      <c r="AG161" s="38" t="str">
        <f t="array" ref="AG161">INDEX('Deal Info'!G:G, MATCH(A161,'Deal Info'!A:A, 0))</f>
        <v>None</v>
      </c>
    </row>
    <row r="162" spans="1:33" ht="14.25" hidden="1" x14ac:dyDescent="0.2">
      <c r="A162" s="18" t="str">
        <f t="array" ref="A162">IF(G162='Room Info'!$B$1, INDEX('Room Info'!$A$2:$A2446, MATCH(B162,'Room Info'!$B$2:$B2446, 0)),IF(G162='Room Info'!$C$1, INDEX('Room Info'!$A$2:$A2446, MATCH(B162,'Room Info'!$C$2:$C2446, 0)),IF(G162='Room Info'!$D$1, INDEX('Room Info'!$A$2:$A2446, MATCH(B162,'Room Info'!$D$2:$D2446, 0)),IF(G162='Room Info'!$E$1, INDEX('Room Info'!$A$2:$A2446, MATCH(B162,'Room Info'!$E$2:$E2446, 0)),IF(G162='Room Info'!$F$1, INDEX('Room Info'!$A$2:$A2446, MATCH(B162,'Room Info'!$F$2:$F2446, 0)),IF(G162='Room Info'!$H$1, INDEX('Room Info'!$A$2:$A2446, MATCH(B162,'Room Info'!$H$2:$H2446, 0)),IF(G162='Room Info'!$G$1, INDEX('Room Info'!$A$2:$A2446, MATCH(B162,'Room Info'!$G$2:$G2446, 0)))))))))</f>
        <v>bbaltqq</v>
      </c>
      <c r="B162" s="54" t="s">
        <v>89</v>
      </c>
      <c r="C162" s="46">
        <v>44774</v>
      </c>
      <c r="D162" s="46">
        <v>44804</v>
      </c>
      <c r="E162" s="47">
        <v>44774</v>
      </c>
      <c r="F162" s="45" t="s">
        <v>41</v>
      </c>
      <c r="G162" s="54" t="s">
        <v>35</v>
      </c>
      <c r="H162" s="49" t="s">
        <v>46</v>
      </c>
      <c r="I162" s="49" t="s">
        <v>37</v>
      </c>
      <c r="J162" s="50">
        <v>25</v>
      </c>
      <c r="K162" s="51">
        <v>13</v>
      </c>
      <c r="L162" s="52">
        <v>-100</v>
      </c>
      <c r="M162" s="53">
        <v>14</v>
      </c>
      <c r="N162" s="28">
        <f>K162*J162</f>
        <v>325</v>
      </c>
      <c r="O162" s="54">
        <v>741</v>
      </c>
      <c r="P162" s="29">
        <v>57</v>
      </c>
      <c r="Q162" s="55"/>
      <c r="R162" s="31">
        <f>M162+Q162</f>
        <v>14</v>
      </c>
      <c r="S162" s="56"/>
      <c r="T162" s="32">
        <f>R162+S162+IF(F162="Without EV deal",L162,0)</f>
        <v>-86</v>
      </c>
      <c r="U162" s="33">
        <v>1</v>
      </c>
      <c r="V162" s="69">
        <v>49.884806973848072</v>
      </c>
      <c r="W162" s="69">
        <v>-25.759345940210945</v>
      </c>
      <c r="X162" s="30">
        <f>IF(AF162="DoEV",IF(AND(V162&lt;20,W162&lt;55),0.3,0)+IF(AND(V162&lt;20,W162&gt;=55,W162&lt;105),0.23,0)+IF(AND(V162&lt;20,W162&gt;=105),0.17,0)+IF(AND(V162&gt;=20,V162&lt;40,W162&lt;45),0.3,0)+IF(AND(V162&gt;=20,V162&lt;40,W162&gt;=45,W162&lt;95),0.23,0)+IF(AND(V162&gt;=20,V162&lt;40,W162&gt;=95),0.17,0)+IF(AND(V162&gt;=40,V162&lt;75,W162&lt;35),0.3,0)+IF(AND(V162&gt;=40,V162&lt;75,W162&gt;=35,W162&lt;75),0.23,0)+IF(AND(V162&gt;=40,V162&lt;75,W162&gt;=75,W162&lt;120),0.17,0)+IF(AND(V162&gt;=40,V162&lt;75,W162&gt;=120),0.12,0)+IF(AND(V162&gt;=75,V162&lt;175,W162&lt;35),0.3,0)+IF(AND(V162&gt;=75,V162&lt;=175,W162&gt;=35,W162&lt;65),0.23,0)+IF(AND(V162&gt;=75,V162&lt;=175,W162&gt;=65,W162&lt;110),0.17,0)+IF(AND(V162&gt;=75,V162&lt;=175,W162&gt;=110),0.12,0)+IF(AND(V162&gt;175,W162&lt;25),0.3,0)+IF(AND(V162&gt;175,W162&gt;=25,W162&lt;55),0.23,0)+IF(AND(V162&gt;175,W162&gt;=55,W162&lt;95),0.17,0)+IF(AND(V162&gt;175,W162&gt;=95),0.12,0),
IF(AF162="Fix15",0.15,
IF(AF162="Fix11.25",0.1125,
IF(AF162="Fix10",0.1,
IF(AF162="Fix9",0.09,
IF(AF162="DoEV2017",IF(AND(W162&lt;74),0.2,0)+IF(AND(W162&gt;=74),0.17,0),
IF(AF162="SF",IF(AND(V162&lt;20,W162&lt;89),0.3,0)+IF(AND(V162&lt;20,W162&gt;=89),0.25,0)+IF(AND(V162&gt;=20,V162&lt;40,W162&lt;74),0.3,0)+IF(AND(V162&gt;=20,V162&lt;40,W162&gt;=75),0.22,0)+IF(AND(V162&gt;=40,V162&lt;75,W162&lt;75),0.26,0)+IF(AND(V162&gt;=40,V162&lt;75,W162&gt;=75),0.22,0)+IF(V162&gt;=75,0.22,0),
IF(AF162="DoEVold",IF(AND(V162&lt;40,W162&lt;35),0.35,0)+IF(AND(V162&lt;40,W162&gt;=35,W162&lt;75),0.25,0)+IF(AND(V162&lt;40,W162&gt;=75),0.17,0)+IF(AND(V162&gt;=40,V162&lt;75,W162&lt;25),0.35,0)+IF(AND(V162&gt;=40,V162&lt;75,W162&gt;=25,W162&lt;65),0.25,0)+IF(AND(V162&gt;=40,V162&lt;75,W162&gt;=65,W162&lt;100),0.17,0)+IF(AND(V162&gt;=40,V162&lt;75,W162&gt;=100),0.1,0)+IF(AND(V162&gt;=75,W162&lt;25),0.35,0)+IF(AND(V162&gt;=75,W162&gt;=25,W162&lt;60),0.25,0)+IF(AND(V162&gt;=75,W162&gt;=60,W162&lt;95),0.17,0)+IF(AND(V162&gt;=75,W162&gt;=95),0.1,0),
IF(AF162="DoEVold15",IF(AND(V162&lt;=40,W162&lt;35),0.35,0)+IF(AND(V162&lt;=40,W162&gt;=35,W162&lt;75),0.25,0)+IF(AND(V162&lt;=40,W162&gt;=75,W162&lt;120),0.17,0)+IF(AND(V162&lt;=40,W162&gt;=120),0.15,0)+IF(AND(V162&gt;40,V162&lt;75,W162&lt;25),0.35,0)+IF(AND(V162&gt;=40,V162&lt;75,W162&gt;=25,W162&lt;65),0.25,0)+IF(AND(V162&gt;=40,V162&lt;75,W162&gt;=65,W162&lt;100),0.17,0)+IF(AND(V162&gt;=40,V162&lt;75,W162&gt;=100),0.1,0)+IF(AND(V162&gt;=75,W162&lt;25),0.35,0)+IF(AND(V162&gt;=75,W162&gt;=25,W162&lt;60),0.25,0)+IF(AND(V162&gt;=75,W162&gt;=60,W162&lt;95),0.17,0)+IF(AND(V162&gt;=75,W162&gt;=95),0.1,0),
IF(AF162="DoEVba",IF(AND(V162&lt;20,W162&lt;105),0.2,0)+IF(AND(V162&lt;20,W162&gt;=105),0.15,0)+IF(AND(V162&gt;=20,V162&lt;40,W162&lt;95),0.2,0)+IF(AND(V162&gt;=20,V162&lt;40,W162&gt;=95,W162&lt;150),0.15,0)+IF(AND(V162&gt;=20,V162&lt;40,W162&gt;=150),0.12,0)+IF(AND(V162&gt;=40,V162&lt;75,W162&lt;75),0.2,0)+IF(AND(V162&gt;=40,V162&lt;75,W162&gt;=75,W162&lt;120),0.15,0)+IF(AND(V162&gt;=40,V162&lt;75,W162&gt;=120),0.12,0)+IF(AND(V162&gt;=75,V162&lt;175,W162&lt;65),0.2,0)+IF(AND(V162&gt;=75,V162&lt;175,W162&gt;=65,W162&lt;110),0.15,0)+IF(AND(V162&gt;=75,V162&lt;175,W162&gt;=110),0.12,0)+IF(AND(V162&gt;=175,W162&lt;55),0.2,0)+IF(AND(V162&gt;=175,W162&gt;=55,W162&lt;95),0.15,0)+IF(AND(V162&gt;=175,W162&gt;=95),0.12,0),
IF(AF162="DoEVku",IF(AND(V162&lt;20,W162&lt;55),0.23,0)+IF(AND(V162&lt;20,W162&gt;=55,W162&lt;105),0.2,0)+IF(AND(V162&lt;20,W162&gt;=105),0.17,0)+IF(AND(V162&gt;=20,V162&lt;40,W162&lt;45),0.23,0)+IF(AND(V162&gt;=20,V162&lt;40,W162&gt;=45,W162&lt;95),0.2,0)+IF(AND(V162&gt;=20,V162&lt;40,W162&gt;=95,W162&lt;=150),0.17,0)+IF(AND(V162&gt;=20,V162&lt;40,W162&gt;=150),0.12,0)+IF(AND(V162&gt;=40,V162&lt;75,W162&lt;35),0.23,0)+IF(AND(V162&gt;=40,V162&lt;75,W162&gt;=35,W162&lt;75),0.2,0)+IF(AND(V162&gt;=40,V162&lt;75,W162&gt;=75,W162&lt;120),0.17,0)+IF(AND(V162&gt;=40,V162&lt;75,W162&gt;=120),0.12,0)+IF(AND(V162&gt;=75,V162&lt;175,W162&lt;35),0.23,0)+IF(AND(V162&gt;=75,V162&lt;=175,W162&gt;=35,W162&lt;65),0.2,0)+IF(AND(V162&gt;=75,V162&lt;=175,W162&gt;=65,W162&lt;110),0.17,0)+IF(AND(V162&gt;=75,V162&lt;=175,W162&gt;=110),0.12,0)+IF(AND(V162&gt;175,W162&lt;25),0.23,0)+IF(AND(V162&gt;175,W162&gt;=25,W162&lt;55),0.2,0)+IF(AND(V162&gt;175,W162&gt;=55,W162&lt;95),0.17,0)+IF(AND(V162&gt;175,W162&gt;=95),0.12,0),
IF(AF162="DoEVs1",IF(AND(V162&lt;20,W162&lt;55),0.3,0)+IF(AND(V162&lt;20,W162&gt;=55,W162&lt;105),0.23,0)+IF(AND(V162&lt;20,W162&gt;=105),0.17,0)+IF(AND(V162&gt;=20,V162&lt;40,W162&lt;45),0.3,0)+IF(AND(V162&gt;=20,V162&lt;40,W162&gt;=45,W162&lt;95),0.23,0)+IF(AND(V162&gt;=20,V162&lt;40,W162&gt;=95,W162&lt;=150),0.17,0)+IF(AND(V162&gt;=20,V162&lt;40,W162&gt;=150),0.12,0)+IF(AND(V162&gt;=40,V162&lt;75,W162&lt;35),0.3,0)+IF(AND(V162&gt;=40,V162&lt;75,W162&gt;=35,W162&lt;75),0.23,0)+IF(AND(V162&gt;=40,V162&lt;75,W162&gt;=75,W162&lt;120),0.17,0)+IF(AND(V162&gt;=40,V162&lt;75,W162&gt;=120),0.12,0)+IF(AND(V162&gt;=75,V162&lt;175,W162&lt;35),0.3,0)+IF(AND(V162&gt;=75,V162&lt;=175,W162&gt;=35,W162&lt;65),0.23,0)+IF(AND(V162&gt;=75,V162&lt;=175,W162&gt;=65,W162&lt;110),0.17,0)+IF(AND(V162&gt;=75,V162&lt;=175,W162&gt;=110),0.12,0)+IF(AND(V162&gt;175,W162&lt;25),0.3,0)+IF(AND(V162&gt;175,W162&gt;=25,W162&lt;55),0.23,0)+IF(AND(V162&gt;175,W162&gt;=55,W162&lt;95),0.17,0)+IF(AND(V162&gt;175,W162&gt;=95),0.12,0),
IF(AF162="DoEVsu",IF(AND(V162&lt;20,W162&lt;55),0.3,0)+IF(AND(V162&lt;20,W162&gt;=55,W162&lt;105),0.23,0)+IF(AND(V162&lt;20,W162&gt;=105),0.17,0)+IF(AND(V162&gt;=20,V162&lt;40,W162&lt;45),0.3,0)+IF(AND(V162&gt;=20,V162&lt;40,W162&gt;=45,W162&lt;95),0.23,0)+IF(AND(V162&gt;=20,V162&lt;40,W162&gt;=95,W162&lt;=250),0.17,0)+IF(AND(V162&gt;=20,V162&lt;40,W162&gt;=250),0.12,0)+IF(AND(V162&gt;=40,V162&lt;75,W162&lt;35),0.3,0)+IF(AND(V162&gt;=40,V162&lt;75,W162&gt;=35,W162&lt;75),0.23,0)+IF(AND(V162&gt;=40,V162&lt;75,W162&gt;=75,W162&lt;120),0.17,0)+IF(AND(V162&gt;=40,V162&lt;75,W162&gt;=120),0.12,0)+IF(AND(V162&gt;=75,V162&lt;175,W162&lt;35),0.3,0)+IF(AND(V162&gt;=75,V162&lt;=175,W162&gt;=35,W162&lt;65),0.23,0)+IF(AND(V162&gt;=75,V162&lt;=175,W162&gt;=65,W162&lt;110),0.17,0)+IF(AND(V162&gt;=75,V162&lt;=175,W162&gt;=110),0.12,0)+IF(AND(V162&gt;175,W162&lt;25),0.3,0)+IF(AND(V162&gt;175,W162&gt;=25,W162&lt;55),0.23,0)+IF(AND(V162&gt;175,W162&gt;=55,W162&lt;95),0.17,0)+IF(AND(V162&gt;175,W162&gt;=95),0.12,0),
IF(AF162="DoEVni",IF(AND(V162&lt;20,W162&lt;55),0.3,0)+IF(AND(V162&lt;20,W162&gt;=55,W162&lt;105),0.23,0)+IF(AND(V162&lt;20,W162&gt;=105),0.17,0)+IF(AND(V162&gt;=20,V162&lt;40,W162&lt;45),0.3,0)+IF(AND(V162&gt;=20,V162&lt;40,W162&gt;=45,W162&lt;95),0.23,0)+IF(AND(V162&gt;=20,V162&lt;40,W162&gt;=95,W162&lt;=200),0.17,0)+IF(AND(V162&gt;=20,V162&lt;40,W162&gt;=200),0.12,0)+IF(AND(V162&gt;=40,V162&lt;75,W162&lt;35),0.3,0)+IF(AND(V162&gt;=40,V162&lt;75,W162&gt;=35,W162&lt;75),0.23,0)+IF(AND(V162&gt;=40,V162&lt;75,W162&gt;=75,W162&lt;120),0.17,0)+IF(AND(V162&gt;=40,V162&lt;75,W162&gt;=120),0.12,0)+IF(AND(V162&gt;=75,V162&lt;175,W162&lt;35),0.3,0)+IF(AND(V162&gt;=75,V162&lt;=175,W162&gt;=35,W162&lt;65),0.23,0)+IF(AND(V162&gt;=75,V162&lt;=175,W162&gt;=65,W162&lt;110),0.17,0)+IF(AND(V162&gt;=75,V162&lt;=175,W162&gt;=110),0.12,0)+IF(AND(V162&gt;175,W162&lt;25),0.3,0)+IF(AND(V162&gt;175,W162&gt;=25,W162&lt;55),0.23,0)+IF(AND(V162&gt;175,W162&gt;=55,W162&lt;95),0.17,0)+IF(AND(V162&gt;175,W162&gt;=95),0.12,0),
IF(AF162="DoEVLo",IF(AND(V162&lt;20,W162&lt;55),0.25,0)+IF(AND(V162&lt;20,W162&gt;=55,W162&lt;105),0.2,0)+IF(AND(V162&lt;20,W162&gt;=105),0.15,0)+IF(AND(V162&gt;=20,V162&lt;40,W162&lt;45),0.25,0)+IF(AND(V162&gt;=20,V162&lt;40,W162&gt;=45,W162&lt;95),0.2,0)+IF(AND(V162&gt;=20,V162&lt;40,W162&gt;=95),0.15,0)+IF(AND(V162&gt;=40,V162&lt;75,W162&lt;35),0.25,0)+IF(AND(V162&gt;=40,V162&lt;75,W162&gt;=35,W162&lt;75),0.2,0)+IF(AND(V162&gt;=40,V162&lt;75,W162&gt;=75,W162&lt;120),0.15,0)+IF(AND(V162&gt;=40,V162&lt;75,W162&gt;=120),0.1,0)+IF(AND(V162&gt;=75,V162&lt;175,W162&lt;35),0.25,0)+IF(AND(V162&gt;=75,V162&lt;=175,W162&gt;=35,W162&lt;65),0.2,0)+IF(AND(V162&gt;=75,V162&lt;=175,W162&gt;=65,W162&lt;110),0.15,0)+IF(AND(V162&gt;=75,V162&lt;=175,W162&gt;=110),0.1,0)+IF(AND(V162&gt;175,W162&lt;25),0.25,0)+IF(AND(V162&gt;175,W162&gt;=25,W162&lt;55),0.2,0)+IF(AND(V162&gt;175,W162&gt;=55,W162&lt;95),0.15,0)+IF(AND(V162&gt;175,W162&gt;=95),0.1,0))))))))))))))))</f>
        <v>0.26</v>
      </c>
      <c r="Y162" s="30">
        <f>IF(AG162="None",0,IF(AG162="Fix5",0.05,IF(AG162="Fix3.75",0.0375,IF(AG162="Fix10",0.1,IF(AG162="Fix3",0.03,0)))))</f>
        <v>0</v>
      </c>
      <c r="Z162" s="35">
        <f>T162-AA162-AB162</f>
        <v>-63.64</v>
      </c>
      <c r="AA162" s="29">
        <f>IF(AD162="EUR",((T162-R162)*X162)*U162+(R162*X162),(T162*X162))</f>
        <v>-22.36</v>
      </c>
      <c r="AB162" s="36">
        <f>IF(AD162="EUR",((T162-R162)*Y162)*U162+(R162*Y162),(T162*Y162))</f>
        <v>0</v>
      </c>
      <c r="AC162" s="37" t="b">
        <v>0</v>
      </c>
      <c r="AD162" s="37" t="s">
        <v>38</v>
      </c>
      <c r="AE162" s="37" t="s">
        <v>38</v>
      </c>
      <c r="AF162" s="37" t="str">
        <f t="array" ref="AF162">INDEX('Deal Info'!D:D, MATCH(A162,'Deal Info'!A:A, 0))</f>
        <v>SF</v>
      </c>
      <c r="AG162" s="38" t="str">
        <f t="array" ref="AG162">INDEX('Deal Info'!G:G, MATCH(A162,'Deal Info'!A:A, 0))</f>
        <v>None</v>
      </c>
    </row>
    <row r="163" spans="1:33" ht="14.25" hidden="1" x14ac:dyDescent="0.2">
      <c r="A163" s="18" t="str">
        <f t="array" ref="A163">IF(G163='Room Info'!$B$1, INDEX('Room Info'!$A$2:$A2446, MATCH(B163,'Room Info'!$B$2:$B2446, 0)),IF(G163='Room Info'!$C$1, INDEX('Room Info'!$A$2:$A2446, MATCH(B163,'Room Info'!$C$2:$C2446, 0)),IF(G163='Room Info'!$D$1, INDEX('Room Info'!$A$2:$A2446, MATCH(B163,'Room Info'!$D$2:$D2446, 0)),IF(G163='Room Info'!$E$1, INDEX('Room Info'!$A$2:$A2446, MATCH(B163,'Room Info'!$E$2:$E2446, 0)),IF(G163='Room Info'!$F$1, INDEX('Room Info'!$A$2:$A2446, MATCH(B163,'Room Info'!$F$2:$F2446, 0)),IF(G163='Room Info'!$H$1, INDEX('Room Info'!$A$2:$A2446, MATCH(B163,'Room Info'!$H$2:$H2446, 0)),IF(G163='Room Info'!$G$1, INDEX('Room Info'!$A$2:$A2446, MATCH(B163,'Room Info'!$G$2:$G2446, 0)))))))))</f>
        <v>bbaltqq</v>
      </c>
      <c r="B163" s="54" t="s">
        <v>89</v>
      </c>
      <c r="C163" s="46">
        <v>44805</v>
      </c>
      <c r="D163" s="46">
        <v>44834</v>
      </c>
      <c r="E163" s="47">
        <v>44805</v>
      </c>
      <c r="F163" s="45" t="s">
        <v>41</v>
      </c>
      <c r="G163" s="54" t="s">
        <v>35</v>
      </c>
      <c r="H163" s="49" t="s">
        <v>46</v>
      </c>
      <c r="I163" s="49" t="s">
        <v>37</v>
      </c>
      <c r="J163" s="50">
        <v>25</v>
      </c>
      <c r="K163" s="51">
        <v>166</v>
      </c>
      <c r="L163" s="52">
        <v>1125</v>
      </c>
      <c r="M163" s="53">
        <v>162</v>
      </c>
      <c r="N163" s="28">
        <f>K163*J163</f>
        <v>4150</v>
      </c>
      <c r="O163" s="54">
        <v>20167</v>
      </c>
      <c r="P163" s="29">
        <v>121.4879518</v>
      </c>
      <c r="Q163" s="55"/>
      <c r="R163" s="31">
        <f>M163+Q163</f>
        <v>162</v>
      </c>
      <c r="S163" s="56"/>
      <c r="T163" s="32">
        <f>R163+S163+IF(F163="Without EV deal",L163,0)</f>
        <v>1287</v>
      </c>
      <c r="U163" s="33">
        <v>1</v>
      </c>
      <c r="V163" s="69">
        <v>49.327063401978272</v>
      </c>
      <c r="W163" s="69">
        <v>-129.23939842209072</v>
      </c>
      <c r="X163" s="30">
        <f>IF(AF163="DoEV",IF(AND(V163&lt;20,W163&lt;55),0.3,0)+IF(AND(V163&lt;20,W163&gt;=55,W163&lt;105),0.23,0)+IF(AND(V163&lt;20,W163&gt;=105),0.17,0)+IF(AND(V163&gt;=20,V163&lt;40,W163&lt;45),0.3,0)+IF(AND(V163&gt;=20,V163&lt;40,W163&gt;=45,W163&lt;95),0.23,0)+IF(AND(V163&gt;=20,V163&lt;40,W163&gt;=95),0.17,0)+IF(AND(V163&gt;=40,V163&lt;75,W163&lt;35),0.3,0)+IF(AND(V163&gt;=40,V163&lt;75,W163&gt;=35,W163&lt;75),0.23,0)+IF(AND(V163&gt;=40,V163&lt;75,W163&gt;=75,W163&lt;120),0.17,0)+IF(AND(V163&gt;=40,V163&lt;75,W163&gt;=120),0.12,0)+IF(AND(V163&gt;=75,V163&lt;175,W163&lt;35),0.3,0)+IF(AND(V163&gt;=75,V163&lt;=175,W163&gt;=35,W163&lt;65),0.23,0)+IF(AND(V163&gt;=75,V163&lt;=175,W163&gt;=65,W163&lt;110),0.17,0)+IF(AND(V163&gt;=75,V163&lt;=175,W163&gt;=110),0.12,0)+IF(AND(V163&gt;175,W163&lt;25),0.3,0)+IF(AND(V163&gt;175,W163&gt;=25,W163&lt;55),0.23,0)+IF(AND(V163&gt;175,W163&gt;=55,W163&lt;95),0.17,0)+IF(AND(V163&gt;175,W163&gt;=95),0.12,0),
IF(AF163="Fix15",0.15,
IF(AF163="Fix11.25",0.1125,
IF(AF163="Fix10",0.1,
IF(AF163="Fix9",0.09,
IF(AF163="DoEV2017",IF(AND(W163&lt;74),0.2,0)+IF(AND(W163&gt;=74),0.17,0),
IF(AF163="SF",IF(AND(V163&lt;20,W163&lt;89),0.3,0)+IF(AND(V163&lt;20,W163&gt;=89),0.25,0)+IF(AND(V163&gt;=20,V163&lt;40,W163&lt;74),0.3,0)+IF(AND(V163&gt;=20,V163&lt;40,W163&gt;=75),0.22,0)+IF(AND(V163&gt;=40,V163&lt;75,W163&lt;75),0.26,0)+IF(AND(V163&gt;=40,V163&lt;75,W163&gt;=75),0.22,0)+IF(V163&gt;=75,0.22,0),
IF(AF163="DoEVold",IF(AND(V163&lt;40,W163&lt;35),0.35,0)+IF(AND(V163&lt;40,W163&gt;=35,W163&lt;75),0.25,0)+IF(AND(V163&lt;40,W163&gt;=75),0.17,0)+IF(AND(V163&gt;=40,V163&lt;75,W163&lt;25),0.35,0)+IF(AND(V163&gt;=40,V163&lt;75,W163&gt;=25,W163&lt;65),0.25,0)+IF(AND(V163&gt;=40,V163&lt;75,W163&gt;=65,W163&lt;100),0.17,0)+IF(AND(V163&gt;=40,V163&lt;75,W163&gt;=100),0.1,0)+IF(AND(V163&gt;=75,W163&lt;25),0.35,0)+IF(AND(V163&gt;=75,W163&gt;=25,W163&lt;60),0.25,0)+IF(AND(V163&gt;=75,W163&gt;=60,W163&lt;95),0.17,0)+IF(AND(V163&gt;=75,W163&gt;=95),0.1,0),
IF(AF163="DoEVold15",IF(AND(V163&lt;=40,W163&lt;35),0.35,0)+IF(AND(V163&lt;=40,W163&gt;=35,W163&lt;75),0.25,0)+IF(AND(V163&lt;=40,W163&gt;=75,W163&lt;120),0.17,0)+IF(AND(V163&lt;=40,W163&gt;=120),0.15,0)+IF(AND(V163&gt;40,V163&lt;75,W163&lt;25),0.35,0)+IF(AND(V163&gt;=40,V163&lt;75,W163&gt;=25,W163&lt;65),0.25,0)+IF(AND(V163&gt;=40,V163&lt;75,W163&gt;=65,W163&lt;100),0.17,0)+IF(AND(V163&gt;=40,V163&lt;75,W163&gt;=100),0.1,0)+IF(AND(V163&gt;=75,W163&lt;25),0.35,0)+IF(AND(V163&gt;=75,W163&gt;=25,W163&lt;60),0.25,0)+IF(AND(V163&gt;=75,W163&gt;=60,W163&lt;95),0.17,0)+IF(AND(V163&gt;=75,W163&gt;=95),0.1,0),
IF(AF163="DoEVba",IF(AND(V163&lt;20,W163&lt;105),0.2,0)+IF(AND(V163&lt;20,W163&gt;=105),0.15,0)+IF(AND(V163&gt;=20,V163&lt;40,W163&lt;95),0.2,0)+IF(AND(V163&gt;=20,V163&lt;40,W163&gt;=95,W163&lt;150),0.15,0)+IF(AND(V163&gt;=20,V163&lt;40,W163&gt;=150),0.12,0)+IF(AND(V163&gt;=40,V163&lt;75,W163&lt;75),0.2,0)+IF(AND(V163&gt;=40,V163&lt;75,W163&gt;=75,W163&lt;120),0.15,0)+IF(AND(V163&gt;=40,V163&lt;75,W163&gt;=120),0.12,0)+IF(AND(V163&gt;=75,V163&lt;175,W163&lt;65),0.2,0)+IF(AND(V163&gt;=75,V163&lt;175,W163&gt;=65,W163&lt;110),0.15,0)+IF(AND(V163&gt;=75,V163&lt;175,W163&gt;=110),0.12,0)+IF(AND(V163&gt;=175,W163&lt;55),0.2,0)+IF(AND(V163&gt;=175,W163&gt;=55,W163&lt;95),0.15,0)+IF(AND(V163&gt;=175,W163&gt;=95),0.12,0),
IF(AF163="DoEVku",IF(AND(V163&lt;20,W163&lt;55),0.23,0)+IF(AND(V163&lt;20,W163&gt;=55,W163&lt;105),0.2,0)+IF(AND(V163&lt;20,W163&gt;=105),0.17,0)+IF(AND(V163&gt;=20,V163&lt;40,W163&lt;45),0.23,0)+IF(AND(V163&gt;=20,V163&lt;40,W163&gt;=45,W163&lt;95),0.2,0)+IF(AND(V163&gt;=20,V163&lt;40,W163&gt;=95,W163&lt;=150),0.17,0)+IF(AND(V163&gt;=20,V163&lt;40,W163&gt;=150),0.12,0)+IF(AND(V163&gt;=40,V163&lt;75,W163&lt;35),0.23,0)+IF(AND(V163&gt;=40,V163&lt;75,W163&gt;=35,W163&lt;75),0.2,0)+IF(AND(V163&gt;=40,V163&lt;75,W163&gt;=75,W163&lt;120),0.17,0)+IF(AND(V163&gt;=40,V163&lt;75,W163&gt;=120),0.12,0)+IF(AND(V163&gt;=75,V163&lt;175,W163&lt;35),0.23,0)+IF(AND(V163&gt;=75,V163&lt;=175,W163&gt;=35,W163&lt;65),0.2,0)+IF(AND(V163&gt;=75,V163&lt;=175,W163&gt;=65,W163&lt;110),0.17,0)+IF(AND(V163&gt;=75,V163&lt;=175,W163&gt;=110),0.12,0)+IF(AND(V163&gt;175,W163&lt;25),0.23,0)+IF(AND(V163&gt;175,W163&gt;=25,W163&lt;55),0.2,0)+IF(AND(V163&gt;175,W163&gt;=55,W163&lt;95),0.17,0)+IF(AND(V163&gt;175,W163&gt;=95),0.12,0),
IF(AF163="DoEVs1",IF(AND(V163&lt;20,W163&lt;55),0.3,0)+IF(AND(V163&lt;20,W163&gt;=55,W163&lt;105),0.23,0)+IF(AND(V163&lt;20,W163&gt;=105),0.17,0)+IF(AND(V163&gt;=20,V163&lt;40,W163&lt;45),0.3,0)+IF(AND(V163&gt;=20,V163&lt;40,W163&gt;=45,W163&lt;95),0.23,0)+IF(AND(V163&gt;=20,V163&lt;40,W163&gt;=95,W163&lt;=150),0.17,0)+IF(AND(V163&gt;=20,V163&lt;40,W163&gt;=150),0.12,0)+IF(AND(V163&gt;=40,V163&lt;75,W163&lt;35),0.3,0)+IF(AND(V163&gt;=40,V163&lt;75,W163&gt;=35,W163&lt;75),0.23,0)+IF(AND(V163&gt;=40,V163&lt;75,W163&gt;=75,W163&lt;120),0.17,0)+IF(AND(V163&gt;=40,V163&lt;75,W163&gt;=120),0.12,0)+IF(AND(V163&gt;=75,V163&lt;175,W163&lt;35),0.3,0)+IF(AND(V163&gt;=75,V163&lt;=175,W163&gt;=35,W163&lt;65),0.23,0)+IF(AND(V163&gt;=75,V163&lt;=175,W163&gt;=65,W163&lt;110),0.17,0)+IF(AND(V163&gt;=75,V163&lt;=175,W163&gt;=110),0.12,0)+IF(AND(V163&gt;175,W163&lt;25),0.3,0)+IF(AND(V163&gt;175,W163&gt;=25,W163&lt;55),0.23,0)+IF(AND(V163&gt;175,W163&gt;=55,W163&lt;95),0.17,0)+IF(AND(V163&gt;175,W163&gt;=95),0.12,0),
IF(AF163="DoEVsu",IF(AND(V163&lt;20,W163&lt;55),0.3,0)+IF(AND(V163&lt;20,W163&gt;=55,W163&lt;105),0.23,0)+IF(AND(V163&lt;20,W163&gt;=105),0.17,0)+IF(AND(V163&gt;=20,V163&lt;40,W163&lt;45),0.3,0)+IF(AND(V163&gt;=20,V163&lt;40,W163&gt;=45,W163&lt;95),0.23,0)+IF(AND(V163&gt;=20,V163&lt;40,W163&gt;=95,W163&lt;=250),0.17,0)+IF(AND(V163&gt;=20,V163&lt;40,W163&gt;=250),0.12,0)+IF(AND(V163&gt;=40,V163&lt;75,W163&lt;35),0.3,0)+IF(AND(V163&gt;=40,V163&lt;75,W163&gt;=35,W163&lt;75),0.23,0)+IF(AND(V163&gt;=40,V163&lt;75,W163&gt;=75,W163&lt;120),0.17,0)+IF(AND(V163&gt;=40,V163&lt;75,W163&gt;=120),0.12,0)+IF(AND(V163&gt;=75,V163&lt;175,W163&lt;35),0.3,0)+IF(AND(V163&gt;=75,V163&lt;=175,W163&gt;=35,W163&lt;65),0.23,0)+IF(AND(V163&gt;=75,V163&lt;=175,W163&gt;=65,W163&lt;110),0.17,0)+IF(AND(V163&gt;=75,V163&lt;=175,W163&gt;=110),0.12,0)+IF(AND(V163&gt;175,W163&lt;25),0.3,0)+IF(AND(V163&gt;175,W163&gt;=25,W163&lt;55),0.23,0)+IF(AND(V163&gt;175,W163&gt;=55,W163&lt;95),0.17,0)+IF(AND(V163&gt;175,W163&gt;=95),0.12,0),
IF(AF163="DoEVni",IF(AND(V163&lt;20,W163&lt;55),0.3,0)+IF(AND(V163&lt;20,W163&gt;=55,W163&lt;105),0.23,0)+IF(AND(V163&lt;20,W163&gt;=105),0.17,0)+IF(AND(V163&gt;=20,V163&lt;40,W163&lt;45),0.3,0)+IF(AND(V163&gt;=20,V163&lt;40,W163&gt;=45,W163&lt;95),0.23,0)+IF(AND(V163&gt;=20,V163&lt;40,W163&gt;=95,W163&lt;=200),0.17,0)+IF(AND(V163&gt;=20,V163&lt;40,W163&gt;=200),0.12,0)+IF(AND(V163&gt;=40,V163&lt;75,W163&lt;35),0.3,0)+IF(AND(V163&gt;=40,V163&lt;75,W163&gt;=35,W163&lt;75),0.23,0)+IF(AND(V163&gt;=40,V163&lt;75,W163&gt;=75,W163&lt;120),0.17,0)+IF(AND(V163&gt;=40,V163&lt;75,W163&gt;=120),0.12,0)+IF(AND(V163&gt;=75,V163&lt;175,W163&lt;35),0.3,0)+IF(AND(V163&gt;=75,V163&lt;=175,W163&gt;=35,W163&lt;65),0.23,0)+IF(AND(V163&gt;=75,V163&lt;=175,W163&gt;=65,W163&lt;110),0.17,0)+IF(AND(V163&gt;=75,V163&lt;=175,W163&gt;=110),0.12,0)+IF(AND(V163&gt;175,W163&lt;25),0.3,0)+IF(AND(V163&gt;175,W163&gt;=25,W163&lt;55),0.23,0)+IF(AND(V163&gt;175,W163&gt;=55,W163&lt;95),0.17,0)+IF(AND(V163&gt;175,W163&gt;=95),0.12,0),
IF(AF163="DoEVLo",IF(AND(V163&lt;20,W163&lt;55),0.25,0)+IF(AND(V163&lt;20,W163&gt;=55,W163&lt;105),0.2,0)+IF(AND(V163&lt;20,W163&gt;=105),0.15,0)+IF(AND(V163&gt;=20,V163&lt;40,W163&lt;45),0.25,0)+IF(AND(V163&gt;=20,V163&lt;40,W163&gt;=45,W163&lt;95),0.2,0)+IF(AND(V163&gt;=20,V163&lt;40,W163&gt;=95),0.15,0)+IF(AND(V163&gt;=40,V163&lt;75,W163&lt;35),0.25,0)+IF(AND(V163&gt;=40,V163&lt;75,W163&gt;=35,W163&lt;75),0.2,0)+IF(AND(V163&gt;=40,V163&lt;75,W163&gt;=75,W163&lt;120),0.15,0)+IF(AND(V163&gt;=40,V163&lt;75,W163&gt;=120),0.1,0)+IF(AND(V163&gt;=75,V163&lt;175,W163&lt;35),0.25,0)+IF(AND(V163&gt;=75,V163&lt;=175,W163&gt;=35,W163&lt;65),0.2,0)+IF(AND(V163&gt;=75,V163&lt;=175,W163&gt;=65,W163&lt;110),0.15,0)+IF(AND(V163&gt;=75,V163&lt;=175,W163&gt;=110),0.1,0)+IF(AND(V163&gt;175,W163&lt;25),0.25,0)+IF(AND(V163&gt;175,W163&gt;=25,W163&lt;55),0.2,0)+IF(AND(V163&gt;175,W163&gt;=55,W163&lt;95),0.15,0)+IF(AND(V163&gt;175,W163&gt;=95),0.1,0))))))))))))))))</f>
        <v>0.26</v>
      </c>
      <c r="Y163" s="30">
        <f>IF(AG163="None",0,IF(AG163="Fix5",0.05,IF(AG163="Fix3.75",0.0375,IF(AG163="Fix10",0.1,IF(AG163="Fix3",0.03,0)))))</f>
        <v>0</v>
      </c>
      <c r="Z163" s="35">
        <f>T163-AA163-AB163</f>
        <v>952.38</v>
      </c>
      <c r="AA163" s="29">
        <f>IF(AD163="EUR",((T163-R163)*X163)*U163+(R163*X163),(T163*X163))</f>
        <v>334.62</v>
      </c>
      <c r="AB163" s="36">
        <f>IF(AD163="EUR",((T163-R163)*Y163)*U163+(R163*Y163),(T163*Y163))</f>
        <v>0</v>
      </c>
      <c r="AC163" s="37" t="b">
        <v>0</v>
      </c>
      <c r="AD163" s="37" t="s">
        <v>38</v>
      </c>
      <c r="AE163" s="37" t="s">
        <v>38</v>
      </c>
      <c r="AF163" s="37" t="str">
        <f t="array" ref="AF163">INDEX('Deal Info'!D:D, MATCH(A163,'Deal Info'!A:A, 0))</f>
        <v>SF</v>
      </c>
      <c r="AG163" s="38" t="str">
        <f t="array" ref="AG163">INDEX('Deal Info'!G:G, MATCH(A163,'Deal Info'!A:A, 0))</f>
        <v>None</v>
      </c>
    </row>
    <row r="164" spans="1:33" ht="14.25" hidden="1" x14ac:dyDescent="0.2">
      <c r="A164" s="18" t="str">
        <f t="array" ref="A164">IF(G164='Room Info'!$B$1, INDEX('Room Info'!$A$2:$A2446, MATCH(B164,'Room Info'!$B$2:$B2446, 0)),IF(G164='Room Info'!$C$1, INDEX('Room Info'!$A$2:$A2446, MATCH(B164,'Room Info'!$C$2:$C2446, 0)),IF(G164='Room Info'!$D$1, INDEX('Room Info'!$A$2:$A2446, MATCH(B164,'Room Info'!$D$2:$D2446, 0)),IF(G164='Room Info'!$E$1, INDEX('Room Info'!$A$2:$A2446, MATCH(B164,'Room Info'!$E$2:$E2446, 0)),IF(G164='Room Info'!$F$1, INDEX('Room Info'!$A$2:$A2446, MATCH(B164,'Room Info'!$F$2:$F2446, 0)),IF(G164='Room Info'!$H$1, INDEX('Room Info'!$A$2:$A2446, MATCH(B164,'Room Info'!$H$2:$H2446, 0)),IF(G164='Room Info'!$G$1, INDEX('Room Info'!$A$2:$A2446, MATCH(B164,'Room Info'!$G$2:$G2446, 0)))))))))</f>
        <v>bbaltqq</v>
      </c>
      <c r="B164" s="54" t="s">
        <v>89</v>
      </c>
      <c r="C164" s="46">
        <v>44805</v>
      </c>
      <c r="D164" s="46">
        <v>44834</v>
      </c>
      <c r="E164" s="47">
        <v>44805</v>
      </c>
      <c r="F164" s="45" t="s">
        <v>41</v>
      </c>
      <c r="G164" s="54" t="s">
        <v>35</v>
      </c>
      <c r="H164" s="49" t="s">
        <v>72</v>
      </c>
      <c r="I164" s="49" t="s">
        <v>37</v>
      </c>
      <c r="J164" s="50">
        <v>50</v>
      </c>
      <c r="K164" s="51">
        <v>6001</v>
      </c>
      <c r="L164" s="52">
        <v>-19400</v>
      </c>
      <c r="M164" s="53">
        <v>11738</v>
      </c>
      <c r="N164" s="28">
        <f>K164*J164</f>
        <v>300050</v>
      </c>
      <c r="O164" s="54">
        <v>-9735</v>
      </c>
      <c r="P164" s="29">
        <v>-1.6222296279999999</v>
      </c>
      <c r="Q164" s="55"/>
      <c r="R164" s="31">
        <f>M164+Q164</f>
        <v>11738</v>
      </c>
      <c r="S164" s="56"/>
      <c r="T164" s="32">
        <f>R164+S164+IF(F164="Without EV deal",L164,0)</f>
        <v>-7662</v>
      </c>
      <c r="U164" s="33">
        <v>1</v>
      </c>
      <c r="V164" s="69">
        <v>49.327063401978272</v>
      </c>
      <c r="W164" s="69">
        <v>-129.23939842209072</v>
      </c>
      <c r="X164" s="30">
        <f>IF(AF164="DoEV",IF(AND(V164&lt;20,W164&lt;55),0.3,0)+IF(AND(V164&lt;20,W164&gt;=55,W164&lt;105),0.23,0)+IF(AND(V164&lt;20,W164&gt;=105),0.17,0)+IF(AND(V164&gt;=20,V164&lt;40,W164&lt;45),0.3,0)+IF(AND(V164&gt;=20,V164&lt;40,W164&gt;=45,W164&lt;95),0.23,0)+IF(AND(V164&gt;=20,V164&lt;40,W164&gt;=95),0.17,0)+IF(AND(V164&gt;=40,V164&lt;75,W164&lt;35),0.3,0)+IF(AND(V164&gt;=40,V164&lt;75,W164&gt;=35,W164&lt;75),0.23,0)+IF(AND(V164&gt;=40,V164&lt;75,W164&gt;=75,W164&lt;120),0.17,0)+IF(AND(V164&gt;=40,V164&lt;75,W164&gt;=120),0.12,0)+IF(AND(V164&gt;=75,V164&lt;175,W164&lt;35),0.3,0)+IF(AND(V164&gt;=75,V164&lt;=175,W164&gt;=35,W164&lt;65),0.23,0)+IF(AND(V164&gt;=75,V164&lt;=175,W164&gt;=65,W164&lt;110),0.17,0)+IF(AND(V164&gt;=75,V164&lt;=175,W164&gt;=110),0.12,0)+IF(AND(V164&gt;175,W164&lt;25),0.3,0)+IF(AND(V164&gt;175,W164&gt;=25,W164&lt;55),0.23,0)+IF(AND(V164&gt;175,W164&gt;=55,W164&lt;95),0.17,0)+IF(AND(V164&gt;175,W164&gt;=95),0.12,0),
IF(AF164="Fix15",0.15,
IF(AF164="Fix11.25",0.1125,
IF(AF164="Fix10",0.1,
IF(AF164="Fix9",0.09,
IF(AF164="DoEV2017",IF(AND(W164&lt;74),0.2,0)+IF(AND(W164&gt;=74),0.17,0),
IF(AF164="SF",IF(AND(V164&lt;20,W164&lt;89),0.3,0)+IF(AND(V164&lt;20,W164&gt;=89),0.25,0)+IF(AND(V164&gt;=20,V164&lt;40,W164&lt;74),0.3,0)+IF(AND(V164&gt;=20,V164&lt;40,W164&gt;=75),0.22,0)+IF(AND(V164&gt;=40,V164&lt;75,W164&lt;75),0.26,0)+IF(AND(V164&gt;=40,V164&lt;75,W164&gt;=75),0.22,0)+IF(V164&gt;=75,0.22,0),
IF(AF164="DoEVold",IF(AND(V164&lt;40,W164&lt;35),0.35,0)+IF(AND(V164&lt;40,W164&gt;=35,W164&lt;75),0.25,0)+IF(AND(V164&lt;40,W164&gt;=75),0.17,0)+IF(AND(V164&gt;=40,V164&lt;75,W164&lt;25),0.35,0)+IF(AND(V164&gt;=40,V164&lt;75,W164&gt;=25,W164&lt;65),0.25,0)+IF(AND(V164&gt;=40,V164&lt;75,W164&gt;=65,W164&lt;100),0.17,0)+IF(AND(V164&gt;=40,V164&lt;75,W164&gt;=100),0.1,0)+IF(AND(V164&gt;=75,W164&lt;25),0.35,0)+IF(AND(V164&gt;=75,W164&gt;=25,W164&lt;60),0.25,0)+IF(AND(V164&gt;=75,W164&gt;=60,W164&lt;95),0.17,0)+IF(AND(V164&gt;=75,W164&gt;=95),0.1,0),
IF(AF164="DoEVold15",IF(AND(V164&lt;=40,W164&lt;35),0.35,0)+IF(AND(V164&lt;=40,W164&gt;=35,W164&lt;75),0.25,0)+IF(AND(V164&lt;=40,W164&gt;=75,W164&lt;120),0.17,0)+IF(AND(V164&lt;=40,W164&gt;=120),0.15,0)+IF(AND(V164&gt;40,V164&lt;75,W164&lt;25),0.35,0)+IF(AND(V164&gt;=40,V164&lt;75,W164&gt;=25,W164&lt;65),0.25,0)+IF(AND(V164&gt;=40,V164&lt;75,W164&gt;=65,W164&lt;100),0.17,0)+IF(AND(V164&gt;=40,V164&lt;75,W164&gt;=100),0.1,0)+IF(AND(V164&gt;=75,W164&lt;25),0.35,0)+IF(AND(V164&gt;=75,W164&gt;=25,W164&lt;60),0.25,0)+IF(AND(V164&gt;=75,W164&gt;=60,W164&lt;95),0.17,0)+IF(AND(V164&gt;=75,W164&gt;=95),0.1,0),
IF(AF164="DoEVba",IF(AND(V164&lt;20,W164&lt;105),0.2,0)+IF(AND(V164&lt;20,W164&gt;=105),0.15,0)+IF(AND(V164&gt;=20,V164&lt;40,W164&lt;95),0.2,0)+IF(AND(V164&gt;=20,V164&lt;40,W164&gt;=95,W164&lt;150),0.15,0)+IF(AND(V164&gt;=20,V164&lt;40,W164&gt;=150),0.12,0)+IF(AND(V164&gt;=40,V164&lt;75,W164&lt;75),0.2,0)+IF(AND(V164&gt;=40,V164&lt;75,W164&gt;=75,W164&lt;120),0.15,0)+IF(AND(V164&gt;=40,V164&lt;75,W164&gt;=120),0.12,0)+IF(AND(V164&gt;=75,V164&lt;175,W164&lt;65),0.2,0)+IF(AND(V164&gt;=75,V164&lt;175,W164&gt;=65,W164&lt;110),0.15,0)+IF(AND(V164&gt;=75,V164&lt;175,W164&gt;=110),0.12,0)+IF(AND(V164&gt;=175,W164&lt;55),0.2,0)+IF(AND(V164&gt;=175,W164&gt;=55,W164&lt;95),0.15,0)+IF(AND(V164&gt;=175,W164&gt;=95),0.12,0),
IF(AF164="DoEVku",IF(AND(V164&lt;20,W164&lt;55),0.23,0)+IF(AND(V164&lt;20,W164&gt;=55,W164&lt;105),0.2,0)+IF(AND(V164&lt;20,W164&gt;=105),0.17,0)+IF(AND(V164&gt;=20,V164&lt;40,W164&lt;45),0.23,0)+IF(AND(V164&gt;=20,V164&lt;40,W164&gt;=45,W164&lt;95),0.2,0)+IF(AND(V164&gt;=20,V164&lt;40,W164&gt;=95,W164&lt;=150),0.17,0)+IF(AND(V164&gt;=20,V164&lt;40,W164&gt;=150),0.12,0)+IF(AND(V164&gt;=40,V164&lt;75,W164&lt;35),0.23,0)+IF(AND(V164&gt;=40,V164&lt;75,W164&gt;=35,W164&lt;75),0.2,0)+IF(AND(V164&gt;=40,V164&lt;75,W164&gt;=75,W164&lt;120),0.17,0)+IF(AND(V164&gt;=40,V164&lt;75,W164&gt;=120),0.12,0)+IF(AND(V164&gt;=75,V164&lt;175,W164&lt;35),0.23,0)+IF(AND(V164&gt;=75,V164&lt;=175,W164&gt;=35,W164&lt;65),0.2,0)+IF(AND(V164&gt;=75,V164&lt;=175,W164&gt;=65,W164&lt;110),0.17,0)+IF(AND(V164&gt;=75,V164&lt;=175,W164&gt;=110),0.12,0)+IF(AND(V164&gt;175,W164&lt;25),0.23,0)+IF(AND(V164&gt;175,W164&gt;=25,W164&lt;55),0.2,0)+IF(AND(V164&gt;175,W164&gt;=55,W164&lt;95),0.17,0)+IF(AND(V164&gt;175,W164&gt;=95),0.12,0),
IF(AF164="DoEVs1",IF(AND(V164&lt;20,W164&lt;55),0.3,0)+IF(AND(V164&lt;20,W164&gt;=55,W164&lt;105),0.23,0)+IF(AND(V164&lt;20,W164&gt;=105),0.17,0)+IF(AND(V164&gt;=20,V164&lt;40,W164&lt;45),0.3,0)+IF(AND(V164&gt;=20,V164&lt;40,W164&gt;=45,W164&lt;95),0.23,0)+IF(AND(V164&gt;=20,V164&lt;40,W164&gt;=95,W164&lt;=150),0.17,0)+IF(AND(V164&gt;=20,V164&lt;40,W164&gt;=150),0.12,0)+IF(AND(V164&gt;=40,V164&lt;75,W164&lt;35),0.3,0)+IF(AND(V164&gt;=40,V164&lt;75,W164&gt;=35,W164&lt;75),0.23,0)+IF(AND(V164&gt;=40,V164&lt;75,W164&gt;=75,W164&lt;120),0.17,0)+IF(AND(V164&gt;=40,V164&lt;75,W164&gt;=120),0.12,0)+IF(AND(V164&gt;=75,V164&lt;175,W164&lt;35),0.3,0)+IF(AND(V164&gt;=75,V164&lt;=175,W164&gt;=35,W164&lt;65),0.23,0)+IF(AND(V164&gt;=75,V164&lt;=175,W164&gt;=65,W164&lt;110),0.17,0)+IF(AND(V164&gt;=75,V164&lt;=175,W164&gt;=110),0.12,0)+IF(AND(V164&gt;175,W164&lt;25),0.3,0)+IF(AND(V164&gt;175,W164&gt;=25,W164&lt;55),0.23,0)+IF(AND(V164&gt;175,W164&gt;=55,W164&lt;95),0.17,0)+IF(AND(V164&gt;175,W164&gt;=95),0.12,0),
IF(AF164="DoEVsu",IF(AND(V164&lt;20,W164&lt;55),0.3,0)+IF(AND(V164&lt;20,W164&gt;=55,W164&lt;105),0.23,0)+IF(AND(V164&lt;20,W164&gt;=105),0.17,0)+IF(AND(V164&gt;=20,V164&lt;40,W164&lt;45),0.3,0)+IF(AND(V164&gt;=20,V164&lt;40,W164&gt;=45,W164&lt;95),0.23,0)+IF(AND(V164&gt;=20,V164&lt;40,W164&gt;=95,W164&lt;=250),0.17,0)+IF(AND(V164&gt;=20,V164&lt;40,W164&gt;=250),0.12,0)+IF(AND(V164&gt;=40,V164&lt;75,W164&lt;35),0.3,0)+IF(AND(V164&gt;=40,V164&lt;75,W164&gt;=35,W164&lt;75),0.23,0)+IF(AND(V164&gt;=40,V164&lt;75,W164&gt;=75,W164&lt;120),0.17,0)+IF(AND(V164&gt;=40,V164&lt;75,W164&gt;=120),0.12,0)+IF(AND(V164&gt;=75,V164&lt;175,W164&lt;35),0.3,0)+IF(AND(V164&gt;=75,V164&lt;=175,W164&gt;=35,W164&lt;65),0.23,0)+IF(AND(V164&gt;=75,V164&lt;=175,W164&gt;=65,W164&lt;110),0.17,0)+IF(AND(V164&gt;=75,V164&lt;=175,W164&gt;=110),0.12,0)+IF(AND(V164&gt;175,W164&lt;25),0.3,0)+IF(AND(V164&gt;175,W164&gt;=25,W164&lt;55),0.23,0)+IF(AND(V164&gt;175,W164&gt;=55,W164&lt;95),0.17,0)+IF(AND(V164&gt;175,W164&gt;=95),0.12,0),
IF(AF164="DoEVni",IF(AND(V164&lt;20,W164&lt;55),0.3,0)+IF(AND(V164&lt;20,W164&gt;=55,W164&lt;105),0.23,0)+IF(AND(V164&lt;20,W164&gt;=105),0.17,0)+IF(AND(V164&gt;=20,V164&lt;40,W164&lt;45),0.3,0)+IF(AND(V164&gt;=20,V164&lt;40,W164&gt;=45,W164&lt;95),0.23,0)+IF(AND(V164&gt;=20,V164&lt;40,W164&gt;=95,W164&lt;=200),0.17,0)+IF(AND(V164&gt;=20,V164&lt;40,W164&gt;=200),0.12,0)+IF(AND(V164&gt;=40,V164&lt;75,W164&lt;35),0.3,0)+IF(AND(V164&gt;=40,V164&lt;75,W164&gt;=35,W164&lt;75),0.23,0)+IF(AND(V164&gt;=40,V164&lt;75,W164&gt;=75,W164&lt;120),0.17,0)+IF(AND(V164&gt;=40,V164&lt;75,W164&gt;=120),0.12,0)+IF(AND(V164&gt;=75,V164&lt;175,W164&lt;35),0.3,0)+IF(AND(V164&gt;=75,V164&lt;=175,W164&gt;=35,W164&lt;65),0.23,0)+IF(AND(V164&gt;=75,V164&lt;=175,W164&gt;=65,W164&lt;110),0.17,0)+IF(AND(V164&gt;=75,V164&lt;=175,W164&gt;=110),0.12,0)+IF(AND(V164&gt;175,W164&lt;25),0.3,0)+IF(AND(V164&gt;175,W164&gt;=25,W164&lt;55),0.23,0)+IF(AND(V164&gt;175,W164&gt;=55,W164&lt;95),0.17,0)+IF(AND(V164&gt;175,W164&gt;=95),0.12,0),
IF(AF164="DoEVLo",IF(AND(V164&lt;20,W164&lt;55),0.25,0)+IF(AND(V164&lt;20,W164&gt;=55,W164&lt;105),0.2,0)+IF(AND(V164&lt;20,W164&gt;=105),0.15,0)+IF(AND(V164&gt;=20,V164&lt;40,W164&lt;45),0.25,0)+IF(AND(V164&gt;=20,V164&lt;40,W164&gt;=45,W164&lt;95),0.2,0)+IF(AND(V164&gt;=20,V164&lt;40,W164&gt;=95),0.15,0)+IF(AND(V164&gt;=40,V164&lt;75,W164&lt;35),0.25,0)+IF(AND(V164&gt;=40,V164&lt;75,W164&gt;=35,W164&lt;75),0.2,0)+IF(AND(V164&gt;=40,V164&lt;75,W164&gt;=75,W164&lt;120),0.15,0)+IF(AND(V164&gt;=40,V164&lt;75,W164&gt;=120),0.1,0)+IF(AND(V164&gt;=75,V164&lt;175,W164&lt;35),0.25,0)+IF(AND(V164&gt;=75,V164&lt;=175,W164&gt;=35,W164&lt;65),0.2,0)+IF(AND(V164&gt;=75,V164&lt;=175,W164&gt;=65,W164&lt;110),0.15,0)+IF(AND(V164&gt;=75,V164&lt;=175,W164&gt;=110),0.1,0)+IF(AND(V164&gt;175,W164&lt;25),0.25,0)+IF(AND(V164&gt;175,W164&gt;=25,W164&lt;55),0.2,0)+IF(AND(V164&gt;175,W164&gt;=55,W164&lt;95),0.15,0)+IF(AND(V164&gt;175,W164&gt;=95),0.1,0))))))))))))))))</f>
        <v>0.26</v>
      </c>
      <c r="Y164" s="30">
        <f>IF(AG164="None",0,IF(AG164="Fix5",0.05,IF(AG164="Fix3.75",0.0375,IF(AG164="Fix10",0.1,IF(AG164="Fix3",0.03,0)))))</f>
        <v>0</v>
      </c>
      <c r="Z164" s="35">
        <f>T164-AA164-AB164</f>
        <v>-5669.88</v>
      </c>
      <c r="AA164" s="29">
        <f>IF(AD164="EUR",((T164-R164)*X164)*U164+(R164*X164),(T164*X164))</f>
        <v>-1992.1200000000001</v>
      </c>
      <c r="AB164" s="36">
        <f>IF(AD164="EUR",((T164-R164)*Y164)*U164+(R164*Y164),(T164*Y164))</f>
        <v>0</v>
      </c>
      <c r="AC164" s="37" t="b">
        <v>0</v>
      </c>
      <c r="AD164" s="37" t="s">
        <v>38</v>
      </c>
      <c r="AE164" s="37" t="s">
        <v>38</v>
      </c>
      <c r="AF164" s="37" t="str">
        <f t="array" ref="AF164">INDEX('Deal Info'!D:D, MATCH(A164,'Deal Info'!A:A, 0))</f>
        <v>SF</v>
      </c>
      <c r="AG164" s="38" t="str">
        <f t="array" ref="AG164">INDEX('Deal Info'!G:G, MATCH(A164,'Deal Info'!A:A, 0))</f>
        <v>None</v>
      </c>
    </row>
    <row r="165" spans="1:33" ht="14.25" hidden="1" x14ac:dyDescent="0.2">
      <c r="A165" s="18" t="str">
        <f t="array" ref="A165">IF(G165='Room Info'!$B$1, INDEX('Room Info'!$A$2:$A2446, MATCH(B165,'Room Info'!$B$2:$B2446, 0)),IF(G165='Room Info'!$C$1, INDEX('Room Info'!$A$2:$A2446, MATCH(B165,'Room Info'!$C$2:$C2446, 0)),IF(G165='Room Info'!$D$1, INDEX('Room Info'!$A$2:$A2446, MATCH(B165,'Room Info'!$D$2:$D2446, 0)),IF(G165='Room Info'!$E$1, INDEX('Room Info'!$A$2:$A2446, MATCH(B165,'Room Info'!$E$2:$E2446, 0)),IF(G165='Room Info'!$F$1, INDEX('Room Info'!$A$2:$A2446, MATCH(B165,'Room Info'!$F$2:$F2446, 0)),IF(G165='Room Info'!$H$1, INDEX('Room Info'!$A$2:$A2446, MATCH(B165,'Room Info'!$H$2:$H2446, 0)),IF(G165='Room Info'!$G$1, INDEX('Room Info'!$A$2:$A2446, MATCH(B165,'Room Info'!$G$2:$G2446, 0)))))))))</f>
        <v>bbaltqq</v>
      </c>
      <c r="B165" s="54" t="s">
        <v>89</v>
      </c>
      <c r="C165" s="46">
        <v>44835</v>
      </c>
      <c r="D165" s="46">
        <v>44854</v>
      </c>
      <c r="E165" s="47">
        <v>44835</v>
      </c>
      <c r="F165" s="45" t="s">
        <v>34</v>
      </c>
      <c r="G165" s="54" t="s">
        <v>35</v>
      </c>
      <c r="H165" s="49" t="s">
        <v>72</v>
      </c>
      <c r="I165" s="49" t="s">
        <v>37</v>
      </c>
      <c r="J165" s="50">
        <v>50</v>
      </c>
      <c r="K165" s="51">
        <v>2718</v>
      </c>
      <c r="L165" s="52">
        <v>-3400</v>
      </c>
      <c r="M165" s="53">
        <v>2949</v>
      </c>
      <c r="N165" s="28">
        <f>K165*J165</f>
        <v>135900</v>
      </c>
      <c r="O165" s="54">
        <v>37584</v>
      </c>
      <c r="P165" s="29">
        <v>13.827814569999999</v>
      </c>
      <c r="Q165" s="55"/>
      <c r="R165" s="31">
        <f>M165+Q165</f>
        <v>2949</v>
      </c>
      <c r="S165" s="56">
        <v>-5197</v>
      </c>
      <c r="T165" s="32">
        <f>R165+S165+IF(F165="Without EV deal",L165,0)</f>
        <v>-2248</v>
      </c>
      <c r="U165" s="33">
        <v>1</v>
      </c>
      <c r="V165" s="69">
        <v>48.872237359975777</v>
      </c>
      <c r="W165" s="69">
        <v>-77.221756233544994</v>
      </c>
      <c r="X165" s="30">
        <f>IF(AF165="DoEV",IF(AND(V165&lt;20,W165&lt;55),0.3,0)+IF(AND(V165&lt;20,W165&gt;=55,W165&lt;105),0.23,0)+IF(AND(V165&lt;20,W165&gt;=105),0.17,0)+IF(AND(V165&gt;=20,V165&lt;40,W165&lt;45),0.3,0)+IF(AND(V165&gt;=20,V165&lt;40,W165&gt;=45,W165&lt;95),0.23,0)+IF(AND(V165&gt;=20,V165&lt;40,W165&gt;=95),0.17,0)+IF(AND(V165&gt;=40,V165&lt;75,W165&lt;35),0.3,0)+IF(AND(V165&gt;=40,V165&lt;75,W165&gt;=35,W165&lt;75),0.23,0)+IF(AND(V165&gt;=40,V165&lt;75,W165&gt;=75,W165&lt;120),0.17,0)+IF(AND(V165&gt;=40,V165&lt;75,W165&gt;=120),0.12,0)+IF(AND(V165&gt;=75,V165&lt;175,W165&lt;35),0.3,0)+IF(AND(V165&gt;=75,V165&lt;=175,W165&gt;=35,W165&lt;65),0.23,0)+IF(AND(V165&gt;=75,V165&lt;=175,W165&gt;=65,W165&lt;110),0.17,0)+IF(AND(V165&gt;=75,V165&lt;=175,W165&gt;=110),0.12,0)+IF(AND(V165&gt;175,W165&lt;25),0.3,0)+IF(AND(V165&gt;175,W165&gt;=25,W165&lt;55),0.23,0)+IF(AND(V165&gt;175,W165&gt;=55,W165&lt;95),0.17,0)+IF(AND(V165&gt;175,W165&gt;=95),0.12,0),
IF(AF165="Fix15",0.15,
IF(AF165="Fix11.25",0.1125,
IF(AF165="Fix10",0.1,
IF(AF165="Fix9",0.09,
IF(AF165="DoEV2017",IF(AND(W165&lt;74),0.2,0)+IF(AND(W165&gt;=74),0.17,0),
IF(AF165="SF",IF(AND(V165&lt;20,W165&lt;89),0.3,0)+IF(AND(V165&lt;20,W165&gt;=89),0.25,0)+IF(AND(V165&gt;=20,V165&lt;40,W165&lt;74),0.3,0)+IF(AND(V165&gt;=20,V165&lt;40,W165&gt;=75),0.22,0)+IF(AND(V165&gt;=40,V165&lt;75,W165&lt;75),0.26,0)+IF(AND(V165&gt;=40,V165&lt;75,W165&gt;=75),0.22,0)+IF(V165&gt;=75,0.22,0),
IF(AF165="DoEVold",IF(AND(V165&lt;40,W165&lt;35),0.35,0)+IF(AND(V165&lt;40,W165&gt;=35,W165&lt;75),0.25,0)+IF(AND(V165&lt;40,W165&gt;=75),0.17,0)+IF(AND(V165&gt;=40,V165&lt;75,W165&lt;25),0.35,0)+IF(AND(V165&gt;=40,V165&lt;75,W165&gt;=25,W165&lt;65),0.25,0)+IF(AND(V165&gt;=40,V165&lt;75,W165&gt;=65,W165&lt;100),0.17,0)+IF(AND(V165&gt;=40,V165&lt;75,W165&gt;=100),0.1,0)+IF(AND(V165&gt;=75,W165&lt;25),0.35,0)+IF(AND(V165&gt;=75,W165&gt;=25,W165&lt;60),0.25,0)+IF(AND(V165&gt;=75,W165&gt;=60,W165&lt;95),0.17,0)+IF(AND(V165&gt;=75,W165&gt;=95),0.1,0),
IF(AF165="DoEVold15",IF(AND(V165&lt;=40,W165&lt;35),0.35,0)+IF(AND(V165&lt;=40,W165&gt;=35,W165&lt;75),0.25,0)+IF(AND(V165&lt;=40,W165&gt;=75,W165&lt;120),0.17,0)+IF(AND(V165&lt;=40,W165&gt;=120),0.15,0)+IF(AND(V165&gt;40,V165&lt;75,W165&lt;25),0.35,0)+IF(AND(V165&gt;=40,V165&lt;75,W165&gt;=25,W165&lt;65),0.25,0)+IF(AND(V165&gt;=40,V165&lt;75,W165&gt;=65,W165&lt;100),0.17,0)+IF(AND(V165&gt;=40,V165&lt;75,W165&gt;=100),0.1,0)+IF(AND(V165&gt;=75,W165&lt;25),0.35,0)+IF(AND(V165&gt;=75,W165&gt;=25,W165&lt;60),0.25,0)+IF(AND(V165&gt;=75,W165&gt;=60,W165&lt;95),0.17,0)+IF(AND(V165&gt;=75,W165&gt;=95),0.1,0),
IF(AF165="DoEVba",IF(AND(V165&lt;20,W165&lt;105),0.2,0)+IF(AND(V165&lt;20,W165&gt;=105),0.15,0)+IF(AND(V165&gt;=20,V165&lt;40,W165&lt;95),0.2,0)+IF(AND(V165&gt;=20,V165&lt;40,W165&gt;=95,W165&lt;150),0.15,0)+IF(AND(V165&gt;=20,V165&lt;40,W165&gt;=150),0.12,0)+IF(AND(V165&gt;=40,V165&lt;75,W165&lt;75),0.2,0)+IF(AND(V165&gt;=40,V165&lt;75,W165&gt;=75,W165&lt;120),0.15,0)+IF(AND(V165&gt;=40,V165&lt;75,W165&gt;=120),0.12,0)+IF(AND(V165&gt;=75,V165&lt;175,W165&lt;65),0.2,0)+IF(AND(V165&gt;=75,V165&lt;175,W165&gt;=65,W165&lt;110),0.15,0)+IF(AND(V165&gt;=75,V165&lt;175,W165&gt;=110),0.12,0)+IF(AND(V165&gt;=175,W165&lt;55),0.2,0)+IF(AND(V165&gt;=175,W165&gt;=55,W165&lt;95),0.15,0)+IF(AND(V165&gt;=175,W165&gt;=95),0.12,0),
IF(AF165="DoEVku",IF(AND(V165&lt;20,W165&lt;55),0.23,0)+IF(AND(V165&lt;20,W165&gt;=55,W165&lt;105),0.2,0)+IF(AND(V165&lt;20,W165&gt;=105),0.17,0)+IF(AND(V165&gt;=20,V165&lt;40,W165&lt;45),0.23,0)+IF(AND(V165&gt;=20,V165&lt;40,W165&gt;=45,W165&lt;95),0.2,0)+IF(AND(V165&gt;=20,V165&lt;40,W165&gt;=95,W165&lt;=150),0.17,0)+IF(AND(V165&gt;=20,V165&lt;40,W165&gt;=150),0.12,0)+IF(AND(V165&gt;=40,V165&lt;75,W165&lt;35),0.23,0)+IF(AND(V165&gt;=40,V165&lt;75,W165&gt;=35,W165&lt;75),0.2,0)+IF(AND(V165&gt;=40,V165&lt;75,W165&gt;=75,W165&lt;120),0.17,0)+IF(AND(V165&gt;=40,V165&lt;75,W165&gt;=120),0.12,0)+IF(AND(V165&gt;=75,V165&lt;175,W165&lt;35),0.23,0)+IF(AND(V165&gt;=75,V165&lt;=175,W165&gt;=35,W165&lt;65),0.2,0)+IF(AND(V165&gt;=75,V165&lt;=175,W165&gt;=65,W165&lt;110),0.17,0)+IF(AND(V165&gt;=75,V165&lt;=175,W165&gt;=110),0.12,0)+IF(AND(V165&gt;175,W165&lt;25),0.23,0)+IF(AND(V165&gt;175,W165&gt;=25,W165&lt;55),0.2,0)+IF(AND(V165&gt;175,W165&gt;=55,W165&lt;95),0.17,0)+IF(AND(V165&gt;175,W165&gt;=95),0.12,0),
IF(AF165="DoEVs1",IF(AND(V165&lt;20,W165&lt;55),0.3,0)+IF(AND(V165&lt;20,W165&gt;=55,W165&lt;105),0.23,0)+IF(AND(V165&lt;20,W165&gt;=105),0.17,0)+IF(AND(V165&gt;=20,V165&lt;40,W165&lt;45),0.3,0)+IF(AND(V165&gt;=20,V165&lt;40,W165&gt;=45,W165&lt;95),0.23,0)+IF(AND(V165&gt;=20,V165&lt;40,W165&gt;=95,W165&lt;=150),0.17,0)+IF(AND(V165&gt;=20,V165&lt;40,W165&gt;=150),0.12,0)+IF(AND(V165&gt;=40,V165&lt;75,W165&lt;35),0.3,0)+IF(AND(V165&gt;=40,V165&lt;75,W165&gt;=35,W165&lt;75),0.23,0)+IF(AND(V165&gt;=40,V165&lt;75,W165&gt;=75,W165&lt;120),0.17,0)+IF(AND(V165&gt;=40,V165&lt;75,W165&gt;=120),0.12,0)+IF(AND(V165&gt;=75,V165&lt;175,W165&lt;35),0.3,0)+IF(AND(V165&gt;=75,V165&lt;=175,W165&gt;=35,W165&lt;65),0.23,0)+IF(AND(V165&gt;=75,V165&lt;=175,W165&gt;=65,W165&lt;110),0.17,0)+IF(AND(V165&gt;=75,V165&lt;=175,W165&gt;=110),0.12,0)+IF(AND(V165&gt;175,W165&lt;25),0.3,0)+IF(AND(V165&gt;175,W165&gt;=25,W165&lt;55),0.23,0)+IF(AND(V165&gt;175,W165&gt;=55,W165&lt;95),0.17,0)+IF(AND(V165&gt;175,W165&gt;=95),0.12,0),
IF(AF165="DoEVsu",IF(AND(V165&lt;20,W165&lt;55),0.3,0)+IF(AND(V165&lt;20,W165&gt;=55,W165&lt;105),0.23,0)+IF(AND(V165&lt;20,W165&gt;=105),0.17,0)+IF(AND(V165&gt;=20,V165&lt;40,W165&lt;45),0.3,0)+IF(AND(V165&gt;=20,V165&lt;40,W165&gt;=45,W165&lt;95),0.23,0)+IF(AND(V165&gt;=20,V165&lt;40,W165&gt;=95,W165&lt;=250),0.17,0)+IF(AND(V165&gt;=20,V165&lt;40,W165&gt;=250),0.12,0)+IF(AND(V165&gt;=40,V165&lt;75,W165&lt;35),0.3,0)+IF(AND(V165&gt;=40,V165&lt;75,W165&gt;=35,W165&lt;75),0.23,0)+IF(AND(V165&gt;=40,V165&lt;75,W165&gt;=75,W165&lt;120),0.17,0)+IF(AND(V165&gt;=40,V165&lt;75,W165&gt;=120),0.12,0)+IF(AND(V165&gt;=75,V165&lt;175,W165&lt;35),0.3,0)+IF(AND(V165&gt;=75,V165&lt;=175,W165&gt;=35,W165&lt;65),0.23,0)+IF(AND(V165&gt;=75,V165&lt;=175,W165&gt;=65,W165&lt;110),0.17,0)+IF(AND(V165&gt;=75,V165&lt;=175,W165&gt;=110),0.12,0)+IF(AND(V165&gt;175,W165&lt;25),0.3,0)+IF(AND(V165&gt;175,W165&gt;=25,W165&lt;55),0.23,0)+IF(AND(V165&gt;175,W165&gt;=55,W165&lt;95),0.17,0)+IF(AND(V165&gt;175,W165&gt;=95),0.12,0),
IF(AF165="DoEVni",IF(AND(V165&lt;20,W165&lt;55),0.3,0)+IF(AND(V165&lt;20,W165&gt;=55,W165&lt;105),0.23,0)+IF(AND(V165&lt;20,W165&gt;=105),0.17,0)+IF(AND(V165&gt;=20,V165&lt;40,W165&lt;45),0.3,0)+IF(AND(V165&gt;=20,V165&lt;40,W165&gt;=45,W165&lt;95),0.23,0)+IF(AND(V165&gt;=20,V165&lt;40,W165&gt;=95,W165&lt;=200),0.17,0)+IF(AND(V165&gt;=20,V165&lt;40,W165&gt;=200),0.12,0)+IF(AND(V165&gt;=40,V165&lt;75,W165&lt;35),0.3,0)+IF(AND(V165&gt;=40,V165&lt;75,W165&gt;=35,W165&lt;75),0.23,0)+IF(AND(V165&gt;=40,V165&lt;75,W165&gt;=75,W165&lt;120),0.17,0)+IF(AND(V165&gt;=40,V165&lt;75,W165&gt;=120),0.12,0)+IF(AND(V165&gt;=75,V165&lt;175,W165&lt;35),0.3,0)+IF(AND(V165&gt;=75,V165&lt;=175,W165&gt;=35,W165&lt;65),0.23,0)+IF(AND(V165&gt;=75,V165&lt;=175,W165&gt;=65,W165&lt;110),0.17,0)+IF(AND(V165&gt;=75,V165&lt;=175,W165&gt;=110),0.12,0)+IF(AND(V165&gt;175,W165&lt;25),0.3,0)+IF(AND(V165&gt;175,W165&gt;=25,W165&lt;55),0.23,0)+IF(AND(V165&gt;175,W165&gt;=55,W165&lt;95),0.17,0)+IF(AND(V165&gt;175,W165&gt;=95),0.12,0),
IF(AF165="DoEVLo",IF(AND(V165&lt;20,W165&lt;55),0.25,0)+IF(AND(V165&lt;20,W165&gt;=55,W165&lt;105),0.2,0)+IF(AND(V165&lt;20,W165&gt;=105),0.15,0)+IF(AND(V165&gt;=20,V165&lt;40,W165&lt;45),0.25,0)+IF(AND(V165&gt;=20,V165&lt;40,W165&gt;=45,W165&lt;95),0.2,0)+IF(AND(V165&gt;=20,V165&lt;40,W165&gt;=95),0.15,0)+IF(AND(V165&gt;=40,V165&lt;75,W165&lt;35),0.25,0)+IF(AND(V165&gt;=40,V165&lt;75,W165&gt;=35,W165&lt;75),0.2,0)+IF(AND(V165&gt;=40,V165&lt;75,W165&gt;=75,W165&lt;120),0.15,0)+IF(AND(V165&gt;=40,V165&lt;75,W165&gt;=120),0.1,0)+IF(AND(V165&gt;=75,V165&lt;175,W165&lt;35),0.25,0)+IF(AND(V165&gt;=75,V165&lt;=175,W165&gt;=35,W165&lt;65),0.2,0)+IF(AND(V165&gt;=75,V165&lt;=175,W165&gt;=65,W165&lt;110),0.15,0)+IF(AND(V165&gt;=75,V165&lt;=175,W165&gt;=110),0.1,0)+IF(AND(V165&gt;175,W165&lt;25),0.25,0)+IF(AND(V165&gt;175,W165&gt;=25,W165&lt;55),0.2,0)+IF(AND(V165&gt;175,W165&gt;=55,W165&lt;95),0.15,0)+IF(AND(V165&gt;175,W165&gt;=95),0.1,0))))))))))))))))</f>
        <v>0.26</v>
      </c>
      <c r="Y165" s="30">
        <f>IF(AG165="None",0,IF(AG165="Fix5",0.05,IF(AG165="Fix3.75",0.0375,IF(AG165="Fix10",0.1,IF(AG165="Fix3",0.03,0)))))</f>
        <v>0</v>
      </c>
      <c r="Z165" s="35">
        <f>T165-AA165-AB165</f>
        <v>-1663.52</v>
      </c>
      <c r="AA165" s="29">
        <f>IF(AD165="EUR",((T165-R165)*X165)*U165+(R165*X165),(T165*X165))</f>
        <v>-584.48</v>
      </c>
      <c r="AB165" s="36">
        <f>IF(AD165="EUR",((T165-R165)*Y165)*U165+(R165*Y165),(T165*Y165))</f>
        <v>0</v>
      </c>
      <c r="AC165" s="37" t="b">
        <v>0</v>
      </c>
      <c r="AD165" s="37" t="s">
        <v>38</v>
      </c>
      <c r="AE165" s="37" t="s">
        <v>38</v>
      </c>
      <c r="AF165" s="37" t="str">
        <f t="array" ref="AF165">INDEX('Deal Info'!D:D, MATCH(A165,'Deal Info'!A:A, 0))</f>
        <v>SF</v>
      </c>
      <c r="AG165" s="38" t="str">
        <f t="array" ref="AG165">INDEX('Deal Info'!G:G, MATCH(A165,'Deal Info'!A:A, 0))</f>
        <v>None</v>
      </c>
    </row>
    <row r="166" spans="1:33" ht="14.25" hidden="1" x14ac:dyDescent="0.2">
      <c r="A166" s="18" t="str">
        <f t="array" ref="A166">IF(G166='Room Info'!$B$1, INDEX('Room Info'!$A$2:$A2446, MATCH(B166,'Room Info'!$B$2:$B2446, 0)),IF(G166='Room Info'!$C$1, INDEX('Room Info'!$A$2:$A2446, MATCH(B166,'Room Info'!$C$2:$C2446, 0)),IF(G166='Room Info'!$D$1, INDEX('Room Info'!$A$2:$A2446, MATCH(B166,'Room Info'!$D$2:$D2446, 0)),IF(G166='Room Info'!$E$1, INDEX('Room Info'!$A$2:$A2446, MATCH(B166,'Room Info'!$E$2:$E2446, 0)),IF(G166='Room Info'!$F$1, INDEX('Room Info'!$A$2:$A2446, MATCH(B166,'Room Info'!$F$2:$F2446, 0)),IF(G166='Room Info'!$H$1, INDEX('Room Info'!$A$2:$A2446, MATCH(B166,'Room Info'!$H$2:$H2446, 0)),IF(G166='Room Info'!$G$1, INDEX('Room Info'!$A$2:$A2446, MATCH(B166,'Room Info'!$G$2:$G2446, 0)))))))))</f>
        <v>bbaltqq</v>
      </c>
      <c r="B166" s="54" t="s">
        <v>89</v>
      </c>
      <c r="C166" s="46">
        <v>44835</v>
      </c>
      <c r="D166" s="46">
        <v>44854</v>
      </c>
      <c r="E166" s="47">
        <v>44835</v>
      </c>
      <c r="F166" s="45" t="s">
        <v>34</v>
      </c>
      <c r="G166" s="54" t="s">
        <v>35</v>
      </c>
      <c r="H166" s="49" t="s">
        <v>70</v>
      </c>
      <c r="I166" s="49" t="s">
        <v>37</v>
      </c>
      <c r="J166" s="50">
        <v>100</v>
      </c>
      <c r="K166" s="51">
        <v>145</v>
      </c>
      <c r="L166" s="52">
        <v>-3300</v>
      </c>
      <c r="M166" s="53">
        <v>262</v>
      </c>
      <c r="N166" s="28">
        <f>K166*J166</f>
        <v>14500</v>
      </c>
      <c r="O166" s="54">
        <v>-6194</v>
      </c>
      <c r="P166" s="29">
        <v>-42.717241379999997</v>
      </c>
      <c r="Q166" s="55"/>
      <c r="R166" s="31">
        <f>M166+Q166</f>
        <v>262</v>
      </c>
      <c r="S166" s="56">
        <v>-1942</v>
      </c>
      <c r="T166" s="32">
        <f>R166+S166+IF(F166="Without EV deal",L166,0)</f>
        <v>-1680</v>
      </c>
      <c r="U166" s="33">
        <v>1</v>
      </c>
      <c r="V166" s="69">
        <v>48.872237359975777</v>
      </c>
      <c r="W166" s="69">
        <v>-77.221756233544994</v>
      </c>
      <c r="X166" s="30">
        <f>IF(AF166="DoEV",IF(AND(V166&lt;20,W166&lt;55),0.3,0)+IF(AND(V166&lt;20,W166&gt;=55,W166&lt;105),0.23,0)+IF(AND(V166&lt;20,W166&gt;=105),0.17,0)+IF(AND(V166&gt;=20,V166&lt;40,W166&lt;45),0.3,0)+IF(AND(V166&gt;=20,V166&lt;40,W166&gt;=45,W166&lt;95),0.23,0)+IF(AND(V166&gt;=20,V166&lt;40,W166&gt;=95),0.17,0)+IF(AND(V166&gt;=40,V166&lt;75,W166&lt;35),0.3,0)+IF(AND(V166&gt;=40,V166&lt;75,W166&gt;=35,W166&lt;75),0.23,0)+IF(AND(V166&gt;=40,V166&lt;75,W166&gt;=75,W166&lt;120),0.17,0)+IF(AND(V166&gt;=40,V166&lt;75,W166&gt;=120),0.12,0)+IF(AND(V166&gt;=75,V166&lt;175,W166&lt;35),0.3,0)+IF(AND(V166&gt;=75,V166&lt;=175,W166&gt;=35,W166&lt;65),0.23,0)+IF(AND(V166&gt;=75,V166&lt;=175,W166&gt;=65,W166&lt;110),0.17,0)+IF(AND(V166&gt;=75,V166&lt;=175,W166&gt;=110),0.12,0)+IF(AND(V166&gt;175,W166&lt;25),0.3,0)+IF(AND(V166&gt;175,W166&gt;=25,W166&lt;55),0.23,0)+IF(AND(V166&gt;175,W166&gt;=55,W166&lt;95),0.17,0)+IF(AND(V166&gt;175,W166&gt;=95),0.12,0),
IF(AF166="Fix15",0.15,
IF(AF166="Fix11.25",0.1125,
IF(AF166="Fix10",0.1,
IF(AF166="Fix9",0.09,
IF(AF166="DoEV2017",IF(AND(W166&lt;74),0.2,0)+IF(AND(W166&gt;=74),0.17,0),
IF(AF166="SF",IF(AND(V166&lt;20,W166&lt;89),0.3,0)+IF(AND(V166&lt;20,W166&gt;=89),0.25,0)+IF(AND(V166&gt;=20,V166&lt;40,W166&lt;74),0.3,0)+IF(AND(V166&gt;=20,V166&lt;40,W166&gt;=75),0.22,0)+IF(AND(V166&gt;=40,V166&lt;75,W166&lt;75),0.26,0)+IF(AND(V166&gt;=40,V166&lt;75,W166&gt;=75),0.22,0)+IF(V166&gt;=75,0.22,0),
IF(AF166="DoEVold",IF(AND(V166&lt;40,W166&lt;35),0.35,0)+IF(AND(V166&lt;40,W166&gt;=35,W166&lt;75),0.25,0)+IF(AND(V166&lt;40,W166&gt;=75),0.17,0)+IF(AND(V166&gt;=40,V166&lt;75,W166&lt;25),0.35,0)+IF(AND(V166&gt;=40,V166&lt;75,W166&gt;=25,W166&lt;65),0.25,0)+IF(AND(V166&gt;=40,V166&lt;75,W166&gt;=65,W166&lt;100),0.17,0)+IF(AND(V166&gt;=40,V166&lt;75,W166&gt;=100),0.1,0)+IF(AND(V166&gt;=75,W166&lt;25),0.35,0)+IF(AND(V166&gt;=75,W166&gt;=25,W166&lt;60),0.25,0)+IF(AND(V166&gt;=75,W166&gt;=60,W166&lt;95),0.17,0)+IF(AND(V166&gt;=75,W166&gt;=95),0.1,0),
IF(AF166="DoEVold15",IF(AND(V166&lt;=40,W166&lt;35),0.35,0)+IF(AND(V166&lt;=40,W166&gt;=35,W166&lt;75),0.25,0)+IF(AND(V166&lt;=40,W166&gt;=75,W166&lt;120),0.17,0)+IF(AND(V166&lt;=40,W166&gt;=120),0.15,0)+IF(AND(V166&gt;40,V166&lt;75,W166&lt;25),0.35,0)+IF(AND(V166&gt;=40,V166&lt;75,W166&gt;=25,W166&lt;65),0.25,0)+IF(AND(V166&gt;=40,V166&lt;75,W166&gt;=65,W166&lt;100),0.17,0)+IF(AND(V166&gt;=40,V166&lt;75,W166&gt;=100),0.1,0)+IF(AND(V166&gt;=75,W166&lt;25),0.35,0)+IF(AND(V166&gt;=75,W166&gt;=25,W166&lt;60),0.25,0)+IF(AND(V166&gt;=75,W166&gt;=60,W166&lt;95),0.17,0)+IF(AND(V166&gt;=75,W166&gt;=95),0.1,0),
IF(AF166="DoEVba",IF(AND(V166&lt;20,W166&lt;105),0.2,0)+IF(AND(V166&lt;20,W166&gt;=105),0.15,0)+IF(AND(V166&gt;=20,V166&lt;40,W166&lt;95),0.2,0)+IF(AND(V166&gt;=20,V166&lt;40,W166&gt;=95,W166&lt;150),0.15,0)+IF(AND(V166&gt;=20,V166&lt;40,W166&gt;=150),0.12,0)+IF(AND(V166&gt;=40,V166&lt;75,W166&lt;75),0.2,0)+IF(AND(V166&gt;=40,V166&lt;75,W166&gt;=75,W166&lt;120),0.15,0)+IF(AND(V166&gt;=40,V166&lt;75,W166&gt;=120),0.12,0)+IF(AND(V166&gt;=75,V166&lt;175,W166&lt;65),0.2,0)+IF(AND(V166&gt;=75,V166&lt;175,W166&gt;=65,W166&lt;110),0.15,0)+IF(AND(V166&gt;=75,V166&lt;175,W166&gt;=110),0.12,0)+IF(AND(V166&gt;=175,W166&lt;55),0.2,0)+IF(AND(V166&gt;=175,W166&gt;=55,W166&lt;95),0.15,0)+IF(AND(V166&gt;=175,W166&gt;=95),0.12,0),
IF(AF166="DoEVku",IF(AND(V166&lt;20,W166&lt;55),0.23,0)+IF(AND(V166&lt;20,W166&gt;=55,W166&lt;105),0.2,0)+IF(AND(V166&lt;20,W166&gt;=105),0.17,0)+IF(AND(V166&gt;=20,V166&lt;40,W166&lt;45),0.23,0)+IF(AND(V166&gt;=20,V166&lt;40,W166&gt;=45,W166&lt;95),0.2,0)+IF(AND(V166&gt;=20,V166&lt;40,W166&gt;=95,W166&lt;=150),0.17,0)+IF(AND(V166&gt;=20,V166&lt;40,W166&gt;=150),0.12,0)+IF(AND(V166&gt;=40,V166&lt;75,W166&lt;35),0.23,0)+IF(AND(V166&gt;=40,V166&lt;75,W166&gt;=35,W166&lt;75),0.2,0)+IF(AND(V166&gt;=40,V166&lt;75,W166&gt;=75,W166&lt;120),0.17,0)+IF(AND(V166&gt;=40,V166&lt;75,W166&gt;=120),0.12,0)+IF(AND(V166&gt;=75,V166&lt;175,W166&lt;35),0.23,0)+IF(AND(V166&gt;=75,V166&lt;=175,W166&gt;=35,W166&lt;65),0.2,0)+IF(AND(V166&gt;=75,V166&lt;=175,W166&gt;=65,W166&lt;110),0.17,0)+IF(AND(V166&gt;=75,V166&lt;=175,W166&gt;=110),0.12,0)+IF(AND(V166&gt;175,W166&lt;25),0.23,0)+IF(AND(V166&gt;175,W166&gt;=25,W166&lt;55),0.2,0)+IF(AND(V166&gt;175,W166&gt;=55,W166&lt;95),0.17,0)+IF(AND(V166&gt;175,W166&gt;=95),0.12,0),
IF(AF166="DoEVs1",IF(AND(V166&lt;20,W166&lt;55),0.3,0)+IF(AND(V166&lt;20,W166&gt;=55,W166&lt;105),0.23,0)+IF(AND(V166&lt;20,W166&gt;=105),0.17,0)+IF(AND(V166&gt;=20,V166&lt;40,W166&lt;45),0.3,0)+IF(AND(V166&gt;=20,V166&lt;40,W166&gt;=45,W166&lt;95),0.23,0)+IF(AND(V166&gt;=20,V166&lt;40,W166&gt;=95,W166&lt;=150),0.17,0)+IF(AND(V166&gt;=20,V166&lt;40,W166&gt;=150),0.12,0)+IF(AND(V166&gt;=40,V166&lt;75,W166&lt;35),0.3,0)+IF(AND(V166&gt;=40,V166&lt;75,W166&gt;=35,W166&lt;75),0.23,0)+IF(AND(V166&gt;=40,V166&lt;75,W166&gt;=75,W166&lt;120),0.17,0)+IF(AND(V166&gt;=40,V166&lt;75,W166&gt;=120),0.12,0)+IF(AND(V166&gt;=75,V166&lt;175,W166&lt;35),0.3,0)+IF(AND(V166&gt;=75,V166&lt;=175,W166&gt;=35,W166&lt;65),0.23,0)+IF(AND(V166&gt;=75,V166&lt;=175,W166&gt;=65,W166&lt;110),0.17,0)+IF(AND(V166&gt;=75,V166&lt;=175,W166&gt;=110),0.12,0)+IF(AND(V166&gt;175,W166&lt;25),0.3,0)+IF(AND(V166&gt;175,W166&gt;=25,W166&lt;55),0.23,0)+IF(AND(V166&gt;175,W166&gt;=55,W166&lt;95),0.17,0)+IF(AND(V166&gt;175,W166&gt;=95),0.12,0),
IF(AF166="DoEVsu",IF(AND(V166&lt;20,W166&lt;55),0.3,0)+IF(AND(V166&lt;20,W166&gt;=55,W166&lt;105),0.23,0)+IF(AND(V166&lt;20,W166&gt;=105),0.17,0)+IF(AND(V166&gt;=20,V166&lt;40,W166&lt;45),0.3,0)+IF(AND(V166&gt;=20,V166&lt;40,W166&gt;=45,W166&lt;95),0.23,0)+IF(AND(V166&gt;=20,V166&lt;40,W166&gt;=95,W166&lt;=250),0.17,0)+IF(AND(V166&gt;=20,V166&lt;40,W166&gt;=250),0.12,0)+IF(AND(V166&gt;=40,V166&lt;75,W166&lt;35),0.3,0)+IF(AND(V166&gt;=40,V166&lt;75,W166&gt;=35,W166&lt;75),0.23,0)+IF(AND(V166&gt;=40,V166&lt;75,W166&gt;=75,W166&lt;120),0.17,0)+IF(AND(V166&gt;=40,V166&lt;75,W166&gt;=120),0.12,0)+IF(AND(V166&gt;=75,V166&lt;175,W166&lt;35),0.3,0)+IF(AND(V166&gt;=75,V166&lt;=175,W166&gt;=35,W166&lt;65),0.23,0)+IF(AND(V166&gt;=75,V166&lt;=175,W166&gt;=65,W166&lt;110),0.17,0)+IF(AND(V166&gt;=75,V166&lt;=175,W166&gt;=110),0.12,0)+IF(AND(V166&gt;175,W166&lt;25),0.3,0)+IF(AND(V166&gt;175,W166&gt;=25,W166&lt;55),0.23,0)+IF(AND(V166&gt;175,W166&gt;=55,W166&lt;95),0.17,0)+IF(AND(V166&gt;175,W166&gt;=95),0.12,0),
IF(AF166="DoEVni",IF(AND(V166&lt;20,W166&lt;55),0.3,0)+IF(AND(V166&lt;20,W166&gt;=55,W166&lt;105),0.23,0)+IF(AND(V166&lt;20,W166&gt;=105),0.17,0)+IF(AND(V166&gt;=20,V166&lt;40,W166&lt;45),0.3,0)+IF(AND(V166&gt;=20,V166&lt;40,W166&gt;=45,W166&lt;95),0.23,0)+IF(AND(V166&gt;=20,V166&lt;40,W166&gt;=95,W166&lt;=200),0.17,0)+IF(AND(V166&gt;=20,V166&lt;40,W166&gt;=200),0.12,0)+IF(AND(V166&gt;=40,V166&lt;75,W166&lt;35),0.3,0)+IF(AND(V166&gt;=40,V166&lt;75,W166&gt;=35,W166&lt;75),0.23,0)+IF(AND(V166&gt;=40,V166&lt;75,W166&gt;=75,W166&lt;120),0.17,0)+IF(AND(V166&gt;=40,V166&lt;75,W166&gt;=120),0.12,0)+IF(AND(V166&gt;=75,V166&lt;175,W166&lt;35),0.3,0)+IF(AND(V166&gt;=75,V166&lt;=175,W166&gt;=35,W166&lt;65),0.23,0)+IF(AND(V166&gt;=75,V166&lt;=175,W166&gt;=65,W166&lt;110),0.17,0)+IF(AND(V166&gt;=75,V166&lt;=175,W166&gt;=110),0.12,0)+IF(AND(V166&gt;175,W166&lt;25),0.3,0)+IF(AND(V166&gt;175,W166&gt;=25,W166&lt;55),0.23,0)+IF(AND(V166&gt;175,W166&gt;=55,W166&lt;95),0.17,0)+IF(AND(V166&gt;175,W166&gt;=95),0.12,0),
IF(AF166="DoEVLo",IF(AND(V166&lt;20,W166&lt;55),0.25,0)+IF(AND(V166&lt;20,W166&gt;=55,W166&lt;105),0.2,0)+IF(AND(V166&lt;20,W166&gt;=105),0.15,0)+IF(AND(V166&gt;=20,V166&lt;40,W166&lt;45),0.25,0)+IF(AND(V166&gt;=20,V166&lt;40,W166&gt;=45,W166&lt;95),0.2,0)+IF(AND(V166&gt;=20,V166&lt;40,W166&gt;=95),0.15,0)+IF(AND(V166&gt;=40,V166&lt;75,W166&lt;35),0.25,0)+IF(AND(V166&gt;=40,V166&lt;75,W166&gt;=35,W166&lt;75),0.2,0)+IF(AND(V166&gt;=40,V166&lt;75,W166&gt;=75,W166&lt;120),0.15,0)+IF(AND(V166&gt;=40,V166&lt;75,W166&gt;=120),0.1,0)+IF(AND(V166&gt;=75,V166&lt;175,W166&lt;35),0.25,0)+IF(AND(V166&gt;=75,V166&lt;=175,W166&gt;=35,W166&lt;65),0.2,0)+IF(AND(V166&gt;=75,V166&lt;=175,W166&gt;=65,W166&lt;110),0.15,0)+IF(AND(V166&gt;=75,V166&lt;=175,W166&gt;=110),0.1,0)+IF(AND(V166&gt;175,W166&lt;25),0.25,0)+IF(AND(V166&gt;175,W166&gt;=25,W166&lt;55),0.2,0)+IF(AND(V166&gt;175,W166&gt;=55,W166&lt;95),0.15,0)+IF(AND(V166&gt;175,W166&gt;=95),0.1,0))))))))))))))))</f>
        <v>0.26</v>
      </c>
      <c r="Y166" s="30">
        <f>IF(AG166="None",0,IF(AG166="Fix5",0.05,IF(AG166="Fix3.75",0.0375,IF(AG166="Fix10",0.1,IF(AG166="Fix3",0.03,0)))))</f>
        <v>0</v>
      </c>
      <c r="Z166" s="35">
        <f>T166-AA166-AB166</f>
        <v>-1243.2</v>
      </c>
      <c r="AA166" s="29">
        <f>IF(AD166="EUR",((T166-R166)*X166)*U166+(R166*X166),(T166*X166))</f>
        <v>-436.8</v>
      </c>
      <c r="AB166" s="36">
        <f>IF(AD166="EUR",((T166-R166)*Y166)*U166+(R166*Y166),(T166*Y166))</f>
        <v>0</v>
      </c>
      <c r="AC166" s="37" t="b">
        <v>0</v>
      </c>
      <c r="AD166" s="37" t="s">
        <v>38</v>
      </c>
      <c r="AE166" s="37" t="s">
        <v>38</v>
      </c>
      <c r="AF166" s="37" t="str">
        <f t="array" ref="AF166">INDEX('Deal Info'!D:D, MATCH(A166,'Deal Info'!A:A, 0))</f>
        <v>SF</v>
      </c>
      <c r="AG166" s="38" t="str">
        <f t="array" ref="AG166">INDEX('Deal Info'!G:G, MATCH(A166,'Deal Info'!A:A, 0))</f>
        <v>None</v>
      </c>
    </row>
    <row r="167" spans="1:33" ht="14.25" hidden="1" x14ac:dyDescent="0.2">
      <c r="A167" s="18" t="str">
        <f t="array" ref="A167">IF(G167='Room Info'!$B$1, INDEX('Room Info'!$A$2:$A2446, MATCH(B167,'Room Info'!$B$2:$B2446, 0)),IF(G167='Room Info'!$C$1, INDEX('Room Info'!$A$2:$A2446, MATCH(B167,'Room Info'!$C$2:$C2446, 0)),IF(G167='Room Info'!$D$1, INDEX('Room Info'!$A$2:$A2446, MATCH(B167,'Room Info'!$D$2:$D2446, 0)),IF(G167='Room Info'!$E$1, INDEX('Room Info'!$A$2:$A2446, MATCH(B167,'Room Info'!$E$2:$E2446, 0)),IF(G167='Room Info'!$F$1, INDEX('Room Info'!$A$2:$A2446, MATCH(B167,'Room Info'!$F$2:$F2446, 0)),IF(G167='Room Info'!$H$1, INDEX('Room Info'!$A$2:$A2446, MATCH(B167,'Room Info'!$H$2:$H2446, 0)),IF(G167='Room Info'!$G$1, INDEX('Room Info'!$A$2:$A2446, MATCH(B167,'Room Info'!$G$2:$G2446, 0)))))))))</f>
        <v>bbaltqq</v>
      </c>
      <c r="B167" s="54" t="s">
        <v>89</v>
      </c>
      <c r="C167" s="46">
        <v>44835</v>
      </c>
      <c r="D167" s="46">
        <v>44854</v>
      </c>
      <c r="E167" s="47">
        <v>44835</v>
      </c>
      <c r="F167" s="45" t="s">
        <v>41</v>
      </c>
      <c r="G167" s="54" t="s">
        <v>35</v>
      </c>
      <c r="H167" s="49" t="s">
        <v>46</v>
      </c>
      <c r="I167" s="49" t="s">
        <v>37</v>
      </c>
      <c r="J167" s="50">
        <v>25</v>
      </c>
      <c r="K167" s="51">
        <v>439</v>
      </c>
      <c r="L167" s="52">
        <v>-125</v>
      </c>
      <c r="M167" s="53">
        <v>328</v>
      </c>
      <c r="N167" s="28">
        <f>K167*J167</f>
        <v>10975</v>
      </c>
      <c r="O167" s="54">
        <v>4390</v>
      </c>
      <c r="P167" s="29">
        <v>10</v>
      </c>
      <c r="Q167" s="55"/>
      <c r="R167" s="31">
        <f>M167+Q167</f>
        <v>328</v>
      </c>
      <c r="S167" s="56"/>
      <c r="T167" s="32">
        <f>R167+S167+IF(F167="Without EV deal",L167,0)</f>
        <v>203</v>
      </c>
      <c r="U167" s="33">
        <v>1</v>
      </c>
      <c r="V167" s="69">
        <v>48.872237359975777</v>
      </c>
      <c r="W167" s="69">
        <v>-77.221756233544994</v>
      </c>
      <c r="X167" s="30">
        <f>IF(AF167="DoEV",IF(AND(V167&lt;20,W167&lt;55),0.3,0)+IF(AND(V167&lt;20,W167&gt;=55,W167&lt;105),0.23,0)+IF(AND(V167&lt;20,W167&gt;=105),0.17,0)+IF(AND(V167&gt;=20,V167&lt;40,W167&lt;45),0.3,0)+IF(AND(V167&gt;=20,V167&lt;40,W167&gt;=45,W167&lt;95),0.23,0)+IF(AND(V167&gt;=20,V167&lt;40,W167&gt;=95),0.17,0)+IF(AND(V167&gt;=40,V167&lt;75,W167&lt;35),0.3,0)+IF(AND(V167&gt;=40,V167&lt;75,W167&gt;=35,W167&lt;75),0.23,0)+IF(AND(V167&gt;=40,V167&lt;75,W167&gt;=75,W167&lt;120),0.17,0)+IF(AND(V167&gt;=40,V167&lt;75,W167&gt;=120),0.12,0)+IF(AND(V167&gt;=75,V167&lt;175,W167&lt;35),0.3,0)+IF(AND(V167&gt;=75,V167&lt;=175,W167&gt;=35,W167&lt;65),0.23,0)+IF(AND(V167&gt;=75,V167&lt;=175,W167&gt;=65,W167&lt;110),0.17,0)+IF(AND(V167&gt;=75,V167&lt;=175,W167&gt;=110),0.12,0)+IF(AND(V167&gt;175,W167&lt;25),0.3,0)+IF(AND(V167&gt;175,W167&gt;=25,W167&lt;55),0.23,0)+IF(AND(V167&gt;175,W167&gt;=55,W167&lt;95),0.17,0)+IF(AND(V167&gt;175,W167&gt;=95),0.12,0),
IF(AF167="Fix15",0.15,
IF(AF167="Fix11.25",0.1125,
IF(AF167="Fix10",0.1,
IF(AF167="Fix9",0.09,
IF(AF167="DoEV2017",IF(AND(W167&lt;74),0.2,0)+IF(AND(W167&gt;=74),0.17,0),
IF(AF167="SF",IF(AND(V167&lt;20,W167&lt;89),0.3,0)+IF(AND(V167&lt;20,W167&gt;=89),0.25,0)+IF(AND(V167&gt;=20,V167&lt;40,W167&lt;74),0.3,0)+IF(AND(V167&gt;=20,V167&lt;40,W167&gt;=75),0.22,0)+IF(AND(V167&gt;=40,V167&lt;75,W167&lt;75),0.26,0)+IF(AND(V167&gt;=40,V167&lt;75,W167&gt;=75),0.22,0)+IF(V167&gt;=75,0.22,0),
IF(AF167="DoEVold",IF(AND(V167&lt;40,W167&lt;35),0.35,0)+IF(AND(V167&lt;40,W167&gt;=35,W167&lt;75),0.25,0)+IF(AND(V167&lt;40,W167&gt;=75),0.17,0)+IF(AND(V167&gt;=40,V167&lt;75,W167&lt;25),0.35,0)+IF(AND(V167&gt;=40,V167&lt;75,W167&gt;=25,W167&lt;65),0.25,0)+IF(AND(V167&gt;=40,V167&lt;75,W167&gt;=65,W167&lt;100),0.17,0)+IF(AND(V167&gt;=40,V167&lt;75,W167&gt;=100),0.1,0)+IF(AND(V167&gt;=75,W167&lt;25),0.35,0)+IF(AND(V167&gt;=75,W167&gt;=25,W167&lt;60),0.25,0)+IF(AND(V167&gt;=75,W167&gt;=60,W167&lt;95),0.17,0)+IF(AND(V167&gt;=75,W167&gt;=95),0.1,0),
IF(AF167="DoEVold15",IF(AND(V167&lt;=40,W167&lt;35),0.35,0)+IF(AND(V167&lt;=40,W167&gt;=35,W167&lt;75),0.25,0)+IF(AND(V167&lt;=40,W167&gt;=75,W167&lt;120),0.17,0)+IF(AND(V167&lt;=40,W167&gt;=120),0.15,0)+IF(AND(V167&gt;40,V167&lt;75,W167&lt;25),0.35,0)+IF(AND(V167&gt;=40,V167&lt;75,W167&gt;=25,W167&lt;65),0.25,0)+IF(AND(V167&gt;=40,V167&lt;75,W167&gt;=65,W167&lt;100),0.17,0)+IF(AND(V167&gt;=40,V167&lt;75,W167&gt;=100),0.1,0)+IF(AND(V167&gt;=75,W167&lt;25),0.35,0)+IF(AND(V167&gt;=75,W167&gt;=25,W167&lt;60),0.25,0)+IF(AND(V167&gt;=75,W167&gt;=60,W167&lt;95),0.17,0)+IF(AND(V167&gt;=75,W167&gt;=95),0.1,0),
IF(AF167="DoEVba",IF(AND(V167&lt;20,W167&lt;105),0.2,0)+IF(AND(V167&lt;20,W167&gt;=105),0.15,0)+IF(AND(V167&gt;=20,V167&lt;40,W167&lt;95),0.2,0)+IF(AND(V167&gt;=20,V167&lt;40,W167&gt;=95,W167&lt;150),0.15,0)+IF(AND(V167&gt;=20,V167&lt;40,W167&gt;=150),0.12,0)+IF(AND(V167&gt;=40,V167&lt;75,W167&lt;75),0.2,0)+IF(AND(V167&gt;=40,V167&lt;75,W167&gt;=75,W167&lt;120),0.15,0)+IF(AND(V167&gt;=40,V167&lt;75,W167&gt;=120),0.12,0)+IF(AND(V167&gt;=75,V167&lt;175,W167&lt;65),0.2,0)+IF(AND(V167&gt;=75,V167&lt;175,W167&gt;=65,W167&lt;110),0.15,0)+IF(AND(V167&gt;=75,V167&lt;175,W167&gt;=110),0.12,0)+IF(AND(V167&gt;=175,W167&lt;55),0.2,0)+IF(AND(V167&gt;=175,W167&gt;=55,W167&lt;95),0.15,0)+IF(AND(V167&gt;=175,W167&gt;=95),0.12,0),
IF(AF167="DoEVku",IF(AND(V167&lt;20,W167&lt;55),0.23,0)+IF(AND(V167&lt;20,W167&gt;=55,W167&lt;105),0.2,0)+IF(AND(V167&lt;20,W167&gt;=105),0.17,0)+IF(AND(V167&gt;=20,V167&lt;40,W167&lt;45),0.23,0)+IF(AND(V167&gt;=20,V167&lt;40,W167&gt;=45,W167&lt;95),0.2,0)+IF(AND(V167&gt;=20,V167&lt;40,W167&gt;=95,W167&lt;=150),0.17,0)+IF(AND(V167&gt;=20,V167&lt;40,W167&gt;=150),0.12,0)+IF(AND(V167&gt;=40,V167&lt;75,W167&lt;35),0.23,0)+IF(AND(V167&gt;=40,V167&lt;75,W167&gt;=35,W167&lt;75),0.2,0)+IF(AND(V167&gt;=40,V167&lt;75,W167&gt;=75,W167&lt;120),0.17,0)+IF(AND(V167&gt;=40,V167&lt;75,W167&gt;=120),0.12,0)+IF(AND(V167&gt;=75,V167&lt;175,W167&lt;35),0.23,0)+IF(AND(V167&gt;=75,V167&lt;=175,W167&gt;=35,W167&lt;65),0.2,0)+IF(AND(V167&gt;=75,V167&lt;=175,W167&gt;=65,W167&lt;110),0.17,0)+IF(AND(V167&gt;=75,V167&lt;=175,W167&gt;=110),0.12,0)+IF(AND(V167&gt;175,W167&lt;25),0.23,0)+IF(AND(V167&gt;175,W167&gt;=25,W167&lt;55),0.2,0)+IF(AND(V167&gt;175,W167&gt;=55,W167&lt;95),0.17,0)+IF(AND(V167&gt;175,W167&gt;=95),0.12,0),
IF(AF167="DoEVs1",IF(AND(V167&lt;20,W167&lt;55),0.3,0)+IF(AND(V167&lt;20,W167&gt;=55,W167&lt;105),0.23,0)+IF(AND(V167&lt;20,W167&gt;=105),0.17,0)+IF(AND(V167&gt;=20,V167&lt;40,W167&lt;45),0.3,0)+IF(AND(V167&gt;=20,V167&lt;40,W167&gt;=45,W167&lt;95),0.23,0)+IF(AND(V167&gt;=20,V167&lt;40,W167&gt;=95,W167&lt;=150),0.17,0)+IF(AND(V167&gt;=20,V167&lt;40,W167&gt;=150),0.12,0)+IF(AND(V167&gt;=40,V167&lt;75,W167&lt;35),0.3,0)+IF(AND(V167&gt;=40,V167&lt;75,W167&gt;=35,W167&lt;75),0.23,0)+IF(AND(V167&gt;=40,V167&lt;75,W167&gt;=75,W167&lt;120),0.17,0)+IF(AND(V167&gt;=40,V167&lt;75,W167&gt;=120),0.12,0)+IF(AND(V167&gt;=75,V167&lt;175,W167&lt;35),0.3,0)+IF(AND(V167&gt;=75,V167&lt;=175,W167&gt;=35,W167&lt;65),0.23,0)+IF(AND(V167&gt;=75,V167&lt;=175,W167&gt;=65,W167&lt;110),0.17,0)+IF(AND(V167&gt;=75,V167&lt;=175,W167&gt;=110),0.12,0)+IF(AND(V167&gt;175,W167&lt;25),0.3,0)+IF(AND(V167&gt;175,W167&gt;=25,W167&lt;55),0.23,0)+IF(AND(V167&gt;175,W167&gt;=55,W167&lt;95),0.17,0)+IF(AND(V167&gt;175,W167&gt;=95),0.12,0),
IF(AF167="DoEVsu",IF(AND(V167&lt;20,W167&lt;55),0.3,0)+IF(AND(V167&lt;20,W167&gt;=55,W167&lt;105),0.23,0)+IF(AND(V167&lt;20,W167&gt;=105),0.17,0)+IF(AND(V167&gt;=20,V167&lt;40,W167&lt;45),0.3,0)+IF(AND(V167&gt;=20,V167&lt;40,W167&gt;=45,W167&lt;95),0.23,0)+IF(AND(V167&gt;=20,V167&lt;40,W167&gt;=95,W167&lt;=250),0.17,0)+IF(AND(V167&gt;=20,V167&lt;40,W167&gt;=250),0.12,0)+IF(AND(V167&gt;=40,V167&lt;75,W167&lt;35),0.3,0)+IF(AND(V167&gt;=40,V167&lt;75,W167&gt;=35,W167&lt;75),0.23,0)+IF(AND(V167&gt;=40,V167&lt;75,W167&gt;=75,W167&lt;120),0.17,0)+IF(AND(V167&gt;=40,V167&lt;75,W167&gt;=120),0.12,0)+IF(AND(V167&gt;=75,V167&lt;175,W167&lt;35),0.3,0)+IF(AND(V167&gt;=75,V167&lt;=175,W167&gt;=35,W167&lt;65),0.23,0)+IF(AND(V167&gt;=75,V167&lt;=175,W167&gt;=65,W167&lt;110),0.17,0)+IF(AND(V167&gt;=75,V167&lt;=175,W167&gt;=110),0.12,0)+IF(AND(V167&gt;175,W167&lt;25),0.3,0)+IF(AND(V167&gt;175,W167&gt;=25,W167&lt;55),0.23,0)+IF(AND(V167&gt;175,W167&gt;=55,W167&lt;95),0.17,0)+IF(AND(V167&gt;175,W167&gt;=95),0.12,0),
IF(AF167="DoEVni",IF(AND(V167&lt;20,W167&lt;55),0.3,0)+IF(AND(V167&lt;20,W167&gt;=55,W167&lt;105),0.23,0)+IF(AND(V167&lt;20,W167&gt;=105),0.17,0)+IF(AND(V167&gt;=20,V167&lt;40,W167&lt;45),0.3,0)+IF(AND(V167&gt;=20,V167&lt;40,W167&gt;=45,W167&lt;95),0.23,0)+IF(AND(V167&gt;=20,V167&lt;40,W167&gt;=95,W167&lt;=200),0.17,0)+IF(AND(V167&gt;=20,V167&lt;40,W167&gt;=200),0.12,0)+IF(AND(V167&gt;=40,V167&lt;75,W167&lt;35),0.3,0)+IF(AND(V167&gt;=40,V167&lt;75,W167&gt;=35,W167&lt;75),0.23,0)+IF(AND(V167&gt;=40,V167&lt;75,W167&gt;=75,W167&lt;120),0.17,0)+IF(AND(V167&gt;=40,V167&lt;75,W167&gt;=120),0.12,0)+IF(AND(V167&gt;=75,V167&lt;175,W167&lt;35),0.3,0)+IF(AND(V167&gt;=75,V167&lt;=175,W167&gt;=35,W167&lt;65),0.23,0)+IF(AND(V167&gt;=75,V167&lt;=175,W167&gt;=65,W167&lt;110),0.17,0)+IF(AND(V167&gt;=75,V167&lt;=175,W167&gt;=110),0.12,0)+IF(AND(V167&gt;175,W167&lt;25),0.3,0)+IF(AND(V167&gt;175,W167&gt;=25,W167&lt;55),0.23,0)+IF(AND(V167&gt;175,W167&gt;=55,W167&lt;95),0.17,0)+IF(AND(V167&gt;175,W167&gt;=95),0.12,0),
IF(AF167="DoEVLo",IF(AND(V167&lt;20,W167&lt;55),0.25,0)+IF(AND(V167&lt;20,W167&gt;=55,W167&lt;105),0.2,0)+IF(AND(V167&lt;20,W167&gt;=105),0.15,0)+IF(AND(V167&gt;=20,V167&lt;40,W167&lt;45),0.25,0)+IF(AND(V167&gt;=20,V167&lt;40,W167&gt;=45,W167&lt;95),0.2,0)+IF(AND(V167&gt;=20,V167&lt;40,W167&gt;=95),0.15,0)+IF(AND(V167&gt;=40,V167&lt;75,W167&lt;35),0.25,0)+IF(AND(V167&gt;=40,V167&lt;75,W167&gt;=35,W167&lt;75),0.2,0)+IF(AND(V167&gt;=40,V167&lt;75,W167&gt;=75,W167&lt;120),0.15,0)+IF(AND(V167&gt;=40,V167&lt;75,W167&gt;=120),0.1,0)+IF(AND(V167&gt;=75,V167&lt;175,W167&lt;35),0.25,0)+IF(AND(V167&gt;=75,V167&lt;=175,W167&gt;=35,W167&lt;65),0.2,0)+IF(AND(V167&gt;=75,V167&lt;=175,W167&gt;=65,W167&lt;110),0.15,0)+IF(AND(V167&gt;=75,V167&lt;=175,W167&gt;=110),0.1,0)+IF(AND(V167&gt;175,W167&lt;25),0.25,0)+IF(AND(V167&gt;175,W167&gt;=25,W167&lt;55),0.2,0)+IF(AND(V167&gt;175,W167&gt;=55,W167&lt;95),0.15,0)+IF(AND(V167&gt;175,W167&gt;=95),0.1,0))))))))))))))))</f>
        <v>0.26</v>
      </c>
      <c r="Y167" s="30">
        <f>IF(AG167="None",0,IF(AG167="Fix5",0.05,IF(AG167="Fix3.75",0.0375,IF(AG167="Fix10",0.1,IF(AG167="Fix3",0.03,0)))))</f>
        <v>0</v>
      </c>
      <c r="Z167" s="35">
        <f>T167-AA167-AB167</f>
        <v>150.22</v>
      </c>
      <c r="AA167" s="29">
        <f>IF(AD167="EUR",((T167-R167)*X167)*U167+(R167*X167),(T167*X167))</f>
        <v>52.78</v>
      </c>
      <c r="AB167" s="36">
        <f>IF(AD167="EUR",((T167-R167)*Y167)*U167+(R167*Y167),(T167*Y167))</f>
        <v>0</v>
      </c>
      <c r="AC167" s="37" t="b">
        <v>0</v>
      </c>
      <c r="AD167" s="37" t="s">
        <v>38</v>
      </c>
      <c r="AE167" s="37" t="s">
        <v>38</v>
      </c>
      <c r="AF167" s="37" t="str">
        <f t="array" ref="AF167">INDEX('Deal Info'!D:D, MATCH(A167,'Deal Info'!A:A, 0))</f>
        <v>SF</v>
      </c>
      <c r="AG167" s="38" t="str">
        <f t="array" ref="AG167">INDEX('Deal Info'!G:G, MATCH(A167,'Deal Info'!A:A, 0))</f>
        <v>None</v>
      </c>
    </row>
    <row r="168" spans="1:33" ht="14.25" hidden="1" x14ac:dyDescent="0.2">
      <c r="A168" s="18" t="str">
        <f t="array" ref="A168">IF(G168='Room Info'!$B$1, INDEX('Room Info'!$A$2:$A2446, MATCH(B168,'Room Info'!$B$2:$B2446, 0)),IF(G168='Room Info'!$C$1, INDEX('Room Info'!$A$2:$A2446, MATCH(B168,'Room Info'!$C$2:$C2446, 0)),IF(G168='Room Info'!$D$1, INDEX('Room Info'!$A$2:$A2446, MATCH(B168,'Room Info'!$D$2:$D2446, 0)),IF(G168='Room Info'!$E$1, INDEX('Room Info'!$A$2:$A2446, MATCH(B168,'Room Info'!$E$2:$E2446, 0)),IF(G168='Room Info'!$F$1, INDEX('Room Info'!$A$2:$A2446, MATCH(B168,'Room Info'!$F$2:$F2446, 0)),IF(G168='Room Info'!$H$1, INDEX('Room Info'!$A$2:$A2446, MATCH(B168,'Room Info'!$H$2:$H2446, 0)),IF(G168='Room Info'!$G$1, INDEX('Room Info'!$A$2:$A2446, MATCH(B168,'Room Info'!$G$2:$G2446, 0)))))))))</f>
        <v>bbaltqq</v>
      </c>
      <c r="B168" s="54" t="s">
        <v>89</v>
      </c>
      <c r="C168" s="46">
        <v>44835</v>
      </c>
      <c r="D168" s="46">
        <v>44854</v>
      </c>
      <c r="E168" s="47">
        <v>44835</v>
      </c>
      <c r="F168" s="45" t="s">
        <v>41</v>
      </c>
      <c r="G168" s="54" t="s">
        <v>35</v>
      </c>
      <c r="H168" s="49" t="s">
        <v>85</v>
      </c>
      <c r="I168" s="49" t="s">
        <v>44</v>
      </c>
      <c r="J168" s="50">
        <v>50</v>
      </c>
      <c r="K168" s="51">
        <v>1</v>
      </c>
      <c r="L168" s="52">
        <v>-50</v>
      </c>
      <c r="M168" s="53">
        <v>1</v>
      </c>
      <c r="N168" s="28">
        <f>K168*J168</f>
        <v>50</v>
      </c>
      <c r="O168" s="65"/>
      <c r="P168" s="29">
        <v>0</v>
      </c>
      <c r="Q168" s="55"/>
      <c r="R168" s="31">
        <f>M168+Q168</f>
        <v>1</v>
      </c>
      <c r="S168" s="66"/>
      <c r="T168" s="32">
        <f>R168+S168+IF(F168="Without EV deal",L168,0)</f>
        <v>-49</v>
      </c>
      <c r="U168" s="33">
        <v>1</v>
      </c>
      <c r="V168" s="69">
        <v>48.872237359975777</v>
      </c>
      <c r="W168" s="69">
        <v>-77.221756233544994</v>
      </c>
      <c r="X168" s="30">
        <f>IF(AF168="DoEV",IF(AND(V168&lt;20,W168&lt;55),0.3,0)+IF(AND(V168&lt;20,W168&gt;=55,W168&lt;105),0.23,0)+IF(AND(V168&lt;20,W168&gt;=105),0.17,0)+IF(AND(V168&gt;=20,V168&lt;40,W168&lt;45),0.3,0)+IF(AND(V168&gt;=20,V168&lt;40,W168&gt;=45,W168&lt;95),0.23,0)+IF(AND(V168&gt;=20,V168&lt;40,W168&gt;=95),0.17,0)+IF(AND(V168&gt;=40,V168&lt;75,W168&lt;35),0.3,0)+IF(AND(V168&gt;=40,V168&lt;75,W168&gt;=35,W168&lt;75),0.23,0)+IF(AND(V168&gt;=40,V168&lt;75,W168&gt;=75,W168&lt;120),0.17,0)+IF(AND(V168&gt;=40,V168&lt;75,W168&gt;=120),0.12,0)+IF(AND(V168&gt;=75,V168&lt;175,W168&lt;35),0.3,0)+IF(AND(V168&gt;=75,V168&lt;=175,W168&gt;=35,W168&lt;65),0.23,0)+IF(AND(V168&gt;=75,V168&lt;=175,W168&gt;=65,W168&lt;110),0.17,0)+IF(AND(V168&gt;=75,V168&lt;=175,W168&gt;=110),0.12,0)+IF(AND(V168&gt;175,W168&lt;25),0.3,0)+IF(AND(V168&gt;175,W168&gt;=25,W168&lt;55),0.23,0)+IF(AND(V168&gt;175,W168&gt;=55,W168&lt;95),0.17,0)+IF(AND(V168&gt;175,W168&gt;=95),0.12,0),
IF(AF168="Fix15",0.15,
IF(AF168="Fix11.25",0.1125,
IF(AF168="Fix10",0.1,
IF(AF168="Fix9",0.09,
IF(AF168="DoEV2017",IF(AND(W168&lt;74),0.2,0)+IF(AND(W168&gt;=74),0.17,0),
IF(AF168="SF",IF(AND(V168&lt;20,W168&lt;89),0.3,0)+IF(AND(V168&lt;20,W168&gt;=89),0.25,0)+IF(AND(V168&gt;=20,V168&lt;40,W168&lt;74),0.3,0)+IF(AND(V168&gt;=20,V168&lt;40,W168&gt;=75),0.22,0)+IF(AND(V168&gt;=40,V168&lt;75,W168&lt;75),0.26,0)+IF(AND(V168&gt;=40,V168&lt;75,W168&gt;=75),0.22,0)+IF(V168&gt;=75,0.22,0),
IF(AF168="DoEVold",IF(AND(V168&lt;40,W168&lt;35),0.35,0)+IF(AND(V168&lt;40,W168&gt;=35,W168&lt;75),0.25,0)+IF(AND(V168&lt;40,W168&gt;=75),0.17,0)+IF(AND(V168&gt;=40,V168&lt;75,W168&lt;25),0.35,0)+IF(AND(V168&gt;=40,V168&lt;75,W168&gt;=25,W168&lt;65),0.25,0)+IF(AND(V168&gt;=40,V168&lt;75,W168&gt;=65,W168&lt;100),0.17,0)+IF(AND(V168&gt;=40,V168&lt;75,W168&gt;=100),0.1,0)+IF(AND(V168&gt;=75,W168&lt;25),0.35,0)+IF(AND(V168&gt;=75,W168&gt;=25,W168&lt;60),0.25,0)+IF(AND(V168&gt;=75,W168&gt;=60,W168&lt;95),0.17,0)+IF(AND(V168&gt;=75,W168&gt;=95),0.1,0),
IF(AF168="DoEVold15",IF(AND(V168&lt;=40,W168&lt;35),0.35,0)+IF(AND(V168&lt;=40,W168&gt;=35,W168&lt;75),0.25,0)+IF(AND(V168&lt;=40,W168&gt;=75,W168&lt;120),0.17,0)+IF(AND(V168&lt;=40,W168&gt;=120),0.15,0)+IF(AND(V168&gt;40,V168&lt;75,W168&lt;25),0.35,0)+IF(AND(V168&gt;=40,V168&lt;75,W168&gt;=25,W168&lt;65),0.25,0)+IF(AND(V168&gt;=40,V168&lt;75,W168&gt;=65,W168&lt;100),0.17,0)+IF(AND(V168&gt;=40,V168&lt;75,W168&gt;=100),0.1,0)+IF(AND(V168&gt;=75,W168&lt;25),0.35,0)+IF(AND(V168&gt;=75,W168&gt;=25,W168&lt;60),0.25,0)+IF(AND(V168&gt;=75,W168&gt;=60,W168&lt;95),0.17,0)+IF(AND(V168&gt;=75,W168&gt;=95),0.1,0),
IF(AF168="DoEVba",IF(AND(V168&lt;20,W168&lt;105),0.2,0)+IF(AND(V168&lt;20,W168&gt;=105),0.15,0)+IF(AND(V168&gt;=20,V168&lt;40,W168&lt;95),0.2,0)+IF(AND(V168&gt;=20,V168&lt;40,W168&gt;=95,W168&lt;150),0.15,0)+IF(AND(V168&gt;=20,V168&lt;40,W168&gt;=150),0.12,0)+IF(AND(V168&gt;=40,V168&lt;75,W168&lt;75),0.2,0)+IF(AND(V168&gt;=40,V168&lt;75,W168&gt;=75,W168&lt;120),0.15,0)+IF(AND(V168&gt;=40,V168&lt;75,W168&gt;=120),0.12,0)+IF(AND(V168&gt;=75,V168&lt;175,W168&lt;65),0.2,0)+IF(AND(V168&gt;=75,V168&lt;175,W168&gt;=65,W168&lt;110),0.15,0)+IF(AND(V168&gt;=75,V168&lt;175,W168&gt;=110),0.12,0)+IF(AND(V168&gt;=175,W168&lt;55),0.2,0)+IF(AND(V168&gt;=175,W168&gt;=55,W168&lt;95),0.15,0)+IF(AND(V168&gt;=175,W168&gt;=95),0.12,0),
IF(AF168="DoEVku",IF(AND(V168&lt;20,W168&lt;55),0.23,0)+IF(AND(V168&lt;20,W168&gt;=55,W168&lt;105),0.2,0)+IF(AND(V168&lt;20,W168&gt;=105),0.17,0)+IF(AND(V168&gt;=20,V168&lt;40,W168&lt;45),0.23,0)+IF(AND(V168&gt;=20,V168&lt;40,W168&gt;=45,W168&lt;95),0.2,0)+IF(AND(V168&gt;=20,V168&lt;40,W168&gt;=95,W168&lt;=150),0.17,0)+IF(AND(V168&gt;=20,V168&lt;40,W168&gt;=150),0.12,0)+IF(AND(V168&gt;=40,V168&lt;75,W168&lt;35),0.23,0)+IF(AND(V168&gt;=40,V168&lt;75,W168&gt;=35,W168&lt;75),0.2,0)+IF(AND(V168&gt;=40,V168&lt;75,W168&gt;=75,W168&lt;120),0.17,0)+IF(AND(V168&gt;=40,V168&lt;75,W168&gt;=120),0.12,0)+IF(AND(V168&gt;=75,V168&lt;175,W168&lt;35),0.23,0)+IF(AND(V168&gt;=75,V168&lt;=175,W168&gt;=35,W168&lt;65),0.2,0)+IF(AND(V168&gt;=75,V168&lt;=175,W168&gt;=65,W168&lt;110),0.17,0)+IF(AND(V168&gt;=75,V168&lt;=175,W168&gt;=110),0.12,0)+IF(AND(V168&gt;175,W168&lt;25),0.23,0)+IF(AND(V168&gt;175,W168&gt;=25,W168&lt;55),0.2,0)+IF(AND(V168&gt;175,W168&gt;=55,W168&lt;95),0.17,0)+IF(AND(V168&gt;175,W168&gt;=95),0.12,0),
IF(AF168="DoEVs1",IF(AND(V168&lt;20,W168&lt;55),0.3,0)+IF(AND(V168&lt;20,W168&gt;=55,W168&lt;105),0.23,0)+IF(AND(V168&lt;20,W168&gt;=105),0.17,0)+IF(AND(V168&gt;=20,V168&lt;40,W168&lt;45),0.3,0)+IF(AND(V168&gt;=20,V168&lt;40,W168&gt;=45,W168&lt;95),0.23,0)+IF(AND(V168&gt;=20,V168&lt;40,W168&gt;=95,W168&lt;=150),0.17,0)+IF(AND(V168&gt;=20,V168&lt;40,W168&gt;=150),0.12,0)+IF(AND(V168&gt;=40,V168&lt;75,W168&lt;35),0.3,0)+IF(AND(V168&gt;=40,V168&lt;75,W168&gt;=35,W168&lt;75),0.23,0)+IF(AND(V168&gt;=40,V168&lt;75,W168&gt;=75,W168&lt;120),0.17,0)+IF(AND(V168&gt;=40,V168&lt;75,W168&gt;=120),0.12,0)+IF(AND(V168&gt;=75,V168&lt;175,W168&lt;35),0.3,0)+IF(AND(V168&gt;=75,V168&lt;=175,W168&gt;=35,W168&lt;65),0.23,0)+IF(AND(V168&gt;=75,V168&lt;=175,W168&gt;=65,W168&lt;110),0.17,0)+IF(AND(V168&gt;=75,V168&lt;=175,W168&gt;=110),0.12,0)+IF(AND(V168&gt;175,W168&lt;25),0.3,0)+IF(AND(V168&gt;175,W168&gt;=25,W168&lt;55),0.23,0)+IF(AND(V168&gt;175,W168&gt;=55,W168&lt;95),0.17,0)+IF(AND(V168&gt;175,W168&gt;=95),0.12,0),
IF(AF168="DoEVsu",IF(AND(V168&lt;20,W168&lt;55),0.3,0)+IF(AND(V168&lt;20,W168&gt;=55,W168&lt;105),0.23,0)+IF(AND(V168&lt;20,W168&gt;=105),0.17,0)+IF(AND(V168&gt;=20,V168&lt;40,W168&lt;45),0.3,0)+IF(AND(V168&gt;=20,V168&lt;40,W168&gt;=45,W168&lt;95),0.23,0)+IF(AND(V168&gt;=20,V168&lt;40,W168&gt;=95,W168&lt;=250),0.17,0)+IF(AND(V168&gt;=20,V168&lt;40,W168&gt;=250),0.12,0)+IF(AND(V168&gt;=40,V168&lt;75,W168&lt;35),0.3,0)+IF(AND(V168&gt;=40,V168&lt;75,W168&gt;=35,W168&lt;75),0.23,0)+IF(AND(V168&gt;=40,V168&lt;75,W168&gt;=75,W168&lt;120),0.17,0)+IF(AND(V168&gt;=40,V168&lt;75,W168&gt;=120),0.12,0)+IF(AND(V168&gt;=75,V168&lt;175,W168&lt;35),0.3,0)+IF(AND(V168&gt;=75,V168&lt;=175,W168&gt;=35,W168&lt;65),0.23,0)+IF(AND(V168&gt;=75,V168&lt;=175,W168&gt;=65,W168&lt;110),0.17,0)+IF(AND(V168&gt;=75,V168&lt;=175,W168&gt;=110),0.12,0)+IF(AND(V168&gt;175,W168&lt;25),0.3,0)+IF(AND(V168&gt;175,W168&gt;=25,W168&lt;55),0.23,0)+IF(AND(V168&gt;175,W168&gt;=55,W168&lt;95),0.17,0)+IF(AND(V168&gt;175,W168&gt;=95),0.12,0),
IF(AF168="DoEVni",IF(AND(V168&lt;20,W168&lt;55),0.3,0)+IF(AND(V168&lt;20,W168&gt;=55,W168&lt;105),0.23,0)+IF(AND(V168&lt;20,W168&gt;=105),0.17,0)+IF(AND(V168&gt;=20,V168&lt;40,W168&lt;45),0.3,0)+IF(AND(V168&gt;=20,V168&lt;40,W168&gt;=45,W168&lt;95),0.23,0)+IF(AND(V168&gt;=20,V168&lt;40,W168&gt;=95,W168&lt;=200),0.17,0)+IF(AND(V168&gt;=20,V168&lt;40,W168&gt;=200),0.12,0)+IF(AND(V168&gt;=40,V168&lt;75,W168&lt;35),0.3,0)+IF(AND(V168&gt;=40,V168&lt;75,W168&gt;=35,W168&lt;75),0.23,0)+IF(AND(V168&gt;=40,V168&lt;75,W168&gt;=75,W168&lt;120),0.17,0)+IF(AND(V168&gt;=40,V168&lt;75,W168&gt;=120),0.12,0)+IF(AND(V168&gt;=75,V168&lt;175,W168&lt;35),0.3,0)+IF(AND(V168&gt;=75,V168&lt;=175,W168&gt;=35,W168&lt;65),0.23,0)+IF(AND(V168&gt;=75,V168&lt;=175,W168&gt;=65,W168&lt;110),0.17,0)+IF(AND(V168&gt;=75,V168&lt;=175,W168&gt;=110),0.12,0)+IF(AND(V168&gt;175,W168&lt;25),0.3,0)+IF(AND(V168&gt;175,W168&gt;=25,W168&lt;55),0.23,0)+IF(AND(V168&gt;175,W168&gt;=55,W168&lt;95),0.17,0)+IF(AND(V168&gt;175,W168&gt;=95),0.12,0),
IF(AF168="DoEVLo",IF(AND(V168&lt;20,W168&lt;55),0.25,0)+IF(AND(V168&lt;20,W168&gt;=55,W168&lt;105),0.2,0)+IF(AND(V168&lt;20,W168&gt;=105),0.15,0)+IF(AND(V168&gt;=20,V168&lt;40,W168&lt;45),0.25,0)+IF(AND(V168&gt;=20,V168&lt;40,W168&gt;=45,W168&lt;95),0.2,0)+IF(AND(V168&gt;=20,V168&lt;40,W168&gt;=95),0.15,0)+IF(AND(V168&gt;=40,V168&lt;75,W168&lt;35),0.25,0)+IF(AND(V168&gt;=40,V168&lt;75,W168&gt;=35,W168&lt;75),0.2,0)+IF(AND(V168&gt;=40,V168&lt;75,W168&gt;=75,W168&lt;120),0.15,0)+IF(AND(V168&gt;=40,V168&lt;75,W168&gt;=120),0.1,0)+IF(AND(V168&gt;=75,V168&lt;175,W168&lt;35),0.25,0)+IF(AND(V168&gt;=75,V168&lt;=175,W168&gt;=35,W168&lt;65),0.2,0)+IF(AND(V168&gt;=75,V168&lt;=175,W168&gt;=65,W168&lt;110),0.15,0)+IF(AND(V168&gt;=75,V168&lt;=175,W168&gt;=110),0.1,0)+IF(AND(V168&gt;175,W168&lt;25),0.25,0)+IF(AND(V168&gt;175,W168&gt;=25,W168&lt;55),0.2,0)+IF(AND(V168&gt;175,W168&gt;=55,W168&lt;95),0.15,0)+IF(AND(V168&gt;175,W168&gt;=95),0.1,0))))))))))))))))</f>
        <v>0.26</v>
      </c>
      <c r="Y168" s="30">
        <f>IF(AG168="None",0,IF(AG168="Fix5",0.05,IF(AG168="Fix3.75",0.0375,IF(AG168="Fix10",0.1,IF(AG168="Fix3",0.03,0)))))</f>
        <v>0</v>
      </c>
      <c r="Z168" s="35">
        <f>T168-AA168-AB168</f>
        <v>-36.26</v>
      </c>
      <c r="AA168" s="29">
        <f>IF(AD168="EUR",((T168-R168)*X168)*U168+(R168*X168),(T168*X168))</f>
        <v>-12.74</v>
      </c>
      <c r="AB168" s="36">
        <f>IF(AD168="EUR",((T168-R168)*Y168)*U168+(R168*Y168),(T168*Y168))</f>
        <v>0</v>
      </c>
      <c r="AC168" s="37" t="b">
        <v>0</v>
      </c>
      <c r="AD168" s="37" t="s">
        <v>38</v>
      </c>
      <c r="AE168" s="37" t="s">
        <v>38</v>
      </c>
      <c r="AF168" s="37" t="str">
        <f t="array" ref="AF168">INDEX('Deal Info'!D:D, MATCH(A168,'Deal Info'!A:A, 0))</f>
        <v>SF</v>
      </c>
      <c r="AG168" s="38" t="str">
        <f t="array" ref="AG168">INDEX('Deal Info'!G:G, MATCH(A168,'Deal Info'!A:A, 0))</f>
        <v>None</v>
      </c>
    </row>
    <row r="169" spans="1:33" ht="14.25" hidden="1" x14ac:dyDescent="0.2">
      <c r="A169" s="18" t="str">
        <f t="array" ref="A169">IF(G169='Room Info'!$B$1, INDEX('Room Info'!$A$2:$A2446, MATCH(B169,'Room Info'!$B$2:$B2446, 0)),IF(G169='Room Info'!$C$1, INDEX('Room Info'!$A$2:$A2446, MATCH(B169,'Room Info'!$C$2:$C2446, 0)),IF(G169='Room Info'!$D$1, INDEX('Room Info'!$A$2:$A2446, MATCH(B169,'Room Info'!$D$2:$D2446, 0)),IF(G169='Room Info'!$E$1, INDEX('Room Info'!$A$2:$A2446, MATCH(B169,'Room Info'!$E$2:$E2446, 0)),IF(G169='Room Info'!$F$1, INDEX('Room Info'!$A$2:$A2446, MATCH(B169,'Room Info'!$F$2:$F2446, 0)),IF(G169='Room Info'!$H$1, INDEX('Room Info'!$A$2:$A2446, MATCH(B169,'Room Info'!$H$2:$H2446, 0)),IF(G169='Room Info'!$G$1, INDEX('Room Info'!$A$2:$A2446, MATCH(B169,'Room Info'!$G$2:$G2446, 0)))))))))</f>
        <v>bbaltqq</v>
      </c>
      <c r="B169" s="54" t="s">
        <v>89</v>
      </c>
      <c r="C169" s="46">
        <v>44855</v>
      </c>
      <c r="D169" s="46">
        <v>44885</v>
      </c>
      <c r="E169" s="47">
        <v>44866</v>
      </c>
      <c r="F169" s="45" t="s">
        <v>34</v>
      </c>
      <c r="G169" s="54" t="s">
        <v>35</v>
      </c>
      <c r="H169" s="49" t="s">
        <v>72</v>
      </c>
      <c r="I169" s="49" t="s">
        <v>37</v>
      </c>
      <c r="J169" s="50">
        <v>50</v>
      </c>
      <c r="K169" s="51">
        <v>2944</v>
      </c>
      <c r="L169" s="52">
        <v>-7550</v>
      </c>
      <c r="M169" s="53">
        <v>6233</v>
      </c>
      <c r="N169" s="28">
        <f>K169*J169</f>
        <v>147200</v>
      </c>
      <c r="O169" s="54">
        <v>36069</v>
      </c>
      <c r="P169" s="29">
        <v>12.25169837</v>
      </c>
      <c r="Q169" s="55"/>
      <c r="R169" s="31">
        <f>M169+Q169</f>
        <v>6233</v>
      </c>
      <c r="S169" s="56">
        <v>-6300</v>
      </c>
      <c r="T169" s="32">
        <f>R169+S169+IF(F169="Without EV deal",L169,0)</f>
        <v>-67</v>
      </c>
      <c r="U169" s="33">
        <v>1</v>
      </c>
      <c r="V169" s="69">
        <v>49.476222148320588</v>
      </c>
      <c r="W169" s="69">
        <v>5.0529322802890269</v>
      </c>
      <c r="X169" s="30">
        <f>IF(AF169="DoEV",IF(AND(V169&lt;20,W169&lt;55),0.3,0)+IF(AND(V169&lt;20,W169&gt;=55,W169&lt;105),0.23,0)+IF(AND(V169&lt;20,W169&gt;=105),0.17,0)+IF(AND(V169&gt;=20,V169&lt;40,W169&lt;45),0.3,0)+IF(AND(V169&gt;=20,V169&lt;40,W169&gt;=45,W169&lt;95),0.23,0)+IF(AND(V169&gt;=20,V169&lt;40,W169&gt;=95),0.17,0)+IF(AND(V169&gt;=40,V169&lt;75,W169&lt;35),0.3,0)+IF(AND(V169&gt;=40,V169&lt;75,W169&gt;=35,W169&lt;75),0.23,0)+IF(AND(V169&gt;=40,V169&lt;75,W169&gt;=75,W169&lt;120),0.17,0)+IF(AND(V169&gt;=40,V169&lt;75,W169&gt;=120),0.12,0)+IF(AND(V169&gt;=75,V169&lt;175,W169&lt;35),0.3,0)+IF(AND(V169&gt;=75,V169&lt;=175,W169&gt;=35,W169&lt;65),0.23,0)+IF(AND(V169&gt;=75,V169&lt;=175,W169&gt;=65,W169&lt;110),0.17,0)+IF(AND(V169&gt;=75,V169&lt;=175,W169&gt;=110),0.12,0)+IF(AND(V169&gt;175,W169&lt;25),0.3,0)+IF(AND(V169&gt;175,W169&gt;=25,W169&lt;55),0.23,0)+IF(AND(V169&gt;175,W169&gt;=55,W169&lt;95),0.17,0)+IF(AND(V169&gt;175,W169&gt;=95),0.12,0),
IF(AF169="Fix15",0.15,
IF(AF169="Fix11.25",0.1125,
IF(AF169="Fix10",0.1,
IF(AF169="Fix9",0.09,
IF(AF169="DoEV2017",IF(AND(W169&lt;74),0.2,0)+IF(AND(W169&gt;=74),0.17,0),
IF(AF169="SF",IF(AND(V169&lt;20,W169&lt;89),0.3,0)+IF(AND(V169&lt;20,W169&gt;=89),0.25,0)+IF(AND(V169&gt;=20,V169&lt;40,W169&lt;74),0.3,0)+IF(AND(V169&gt;=20,V169&lt;40,W169&gt;=75),0.22,0)+IF(AND(V169&gt;=40,V169&lt;75,W169&lt;75),0.26,0)+IF(AND(V169&gt;=40,V169&lt;75,W169&gt;=75),0.22,0)+IF(V169&gt;=75,0.22,0),
IF(AF169="DoEVold",IF(AND(V169&lt;40,W169&lt;35),0.35,0)+IF(AND(V169&lt;40,W169&gt;=35,W169&lt;75),0.25,0)+IF(AND(V169&lt;40,W169&gt;=75),0.17,0)+IF(AND(V169&gt;=40,V169&lt;75,W169&lt;25),0.35,0)+IF(AND(V169&gt;=40,V169&lt;75,W169&gt;=25,W169&lt;65),0.25,0)+IF(AND(V169&gt;=40,V169&lt;75,W169&gt;=65,W169&lt;100),0.17,0)+IF(AND(V169&gt;=40,V169&lt;75,W169&gt;=100),0.1,0)+IF(AND(V169&gt;=75,W169&lt;25),0.35,0)+IF(AND(V169&gt;=75,W169&gt;=25,W169&lt;60),0.25,0)+IF(AND(V169&gt;=75,W169&gt;=60,W169&lt;95),0.17,0)+IF(AND(V169&gt;=75,W169&gt;=95),0.1,0),
IF(AF169="DoEVold15",IF(AND(V169&lt;=40,W169&lt;35),0.35,0)+IF(AND(V169&lt;=40,W169&gt;=35,W169&lt;75),0.25,0)+IF(AND(V169&lt;=40,W169&gt;=75,W169&lt;120),0.17,0)+IF(AND(V169&lt;=40,W169&gt;=120),0.15,0)+IF(AND(V169&gt;40,V169&lt;75,W169&lt;25),0.35,0)+IF(AND(V169&gt;=40,V169&lt;75,W169&gt;=25,W169&lt;65),0.25,0)+IF(AND(V169&gt;=40,V169&lt;75,W169&gt;=65,W169&lt;100),0.17,0)+IF(AND(V169&gt;=40,V169&lt;75,W169&gt;=100),0.1,0)+IF(AND(V169&gt;=75,W169&lt;25),0.35,0)+IF(AND(V169&gt;=75,W169&gt;=25,W169&lt;60),0.25,0)+IF(AND(V169&gt;=75,W169&gt;=60,W169&lt;95),0.17,0)+IF(AND(V169&gt;=75,W169&gt;=95),0.1,0),
IF(AF169="DoEVba",IF(AND(V169&lt;20,W169&lt;105),0.2,0)+IF(AND(V169&lt;20,W169&gt;=105),0.15,0)+IF(AND(V169&gt;=20,V169&lt;40,W169&lt;95),0.2,0)+IF(AND(V169&gt;=20,V169&lt;40,W169&gt;=95,W169&lt;150),0.15,0)+IF(AND(V169&gt;=20,V169&lt;40,W169&gt;=150),0.12,0)+IF(AND(V169&gt;=40,V169&lt;75,W169&lt;75),0.2,0)+IF(AND(V169&gt;=40,V169&lt;75,W169&gt;=75,W169&lt;120),0.15,0)+IF(AND(V169&gt;=40,V169&lt;75,W169&gt;=120),0.12,0)+IF(AND(V169&gt;=75,V169&lt;175,W169&lt;65),0.2,0)+IF(AND(V169&gt;=75,V169&lt;175,W169&gt;=65,W169&lt;110),0.15,0)+IF(AND(V169&gt;=75,V169&lt;175,W169&gt;=110),0.12,0)+IF(AND(V169&gt;=175,W169&lt;55),0.2,0)+IF(AND(V169&gt;=175,W169&gt;=55,W169&lt;95),0.15,0)+IF(AND(V169&gt;=175,W169&gt;=95),0.12,0),
IF(AF169="DoEVku",IF(AND(V169&lt;20,W169&lt;55),0.23,0)+IF(AND(V169&lt;20,W169&gt;=55,W169&lt;105),0.2,0)+IF(AND(V169&lt;20,W169&gt;=105),0.17,0)+IF(AND(V169&gt;=20,V169&lt;40,W169&lt;45),0.23,0)+IF(AND(V169&gt;=20,V169&lt;40,W169&gt;=45,W169&lt;95),0.2,0)+IF(AND(V169&gt;=20,V169&lt;40,W169&gt;=95,W169&lt;=150),0.17,0)+IF(AND(V169&gt;=20,V169&lt;40,W169&gt;=150),0.12,0)+IF(AND(V169&gt;=40,V169&lt;75,W169&lt;35),0.23,0)+IF(AND(V169&gt;=40,V169&lt;75,W169&gt;=35,W169&lt;75),0.2,0)+IF(AND(V169&gt;=40,V169&lt;75,W169&gt;=75,W169&lt;120),0.17,0)+IF(AND(V169&gt;=40,V169&lt;75,W169&gt;=120),0.12,0)+IF(AND(V169&gt;=75,V169&lt;175,W169&lt;35),0.23,0)+IF(AND(V169&gt;=75,V169&lt;=175,W169&gt;=35,W169&lt;65),0.2,0)+IF(AND(V169&gt;=75,V169&lt;=175,W169&gt;=65,W169&lt;110),0.17,0)+IF(AND(V169&gt;=75,V169&lt;=175,W169&gt;=110),0.12,0)+IF(AND(V169&gt;175,W169&lt;25),0.23,0)+IF(AND(V169&gt;175,W169&gt;=25,W169&lt;55),0.2,0)+IF(AND(V169&gt;175,W169&gt;=55,W169&lt;95),0.17,0)+IF(AND(V169&gt;175,W169&gt;=95),0.12,0),
IF(AF169="DoEVs1",IF(AND(V169&lt;20,W169&lt;55),0.3,0)+IF(AND(V169&lt;20,W169&gt;=55,W169&lt;105),0.23,0)+IF(AND(V169&lt;20,W169&gt;=105),0.17,0)+IF(AND(V169&gt;=20,V169&lt;40,W169&lt;45),0.3,0)+IF(AND(V169&gt;=20,V169&lt;40,W169&gt;=45,W169&lt;95),0.23,0)+IF(AND(V169&gt;=20,V169&lt;40,W169&gt;=95,W169&lt;=150),0.17,0)+IF(AND(V169&gt;=20,V169&lt;40,W169&gt;=150),0.12,0)+IF(AND(V169&gt;=40,V169&lt;75,W169&lt;35),0.3,0)+IF(AND(V169&gt;=40,V169&lt;75,W169&gt;=35,W169&lt;75),0.23,0)+IF(AND(V169&gt;=40,V169&lt;75,W169&gt;=75,W169&lt;120),0.17,0)+IF(AND(V169&gt;=40,V169&lt;75,W169&gt;=120),0.12,0)+IF(AND(V169&gt;=75,V169&lt;175,W169&lt;35),0.3,0)+IF(AND(V169&gt;=75,V169&lt;=175,W169&gt;=35,W169&lt;65),0.23,0)+IF(AND(V169&gt;=75,V169&lt;=175,W169&gt;=65,W169&lt;110),0.17,0)+IF(AND(V169&gt;=75,V169&lt;=175,W169&gt;=110),0.12,0)+IF(AND(V169&gt;175,W169&lt;25),0.3,0)+IF(AND(V169&gt;175,W169&gt;=25,W169&lt;55),0.23,0)+IF(AND(V169&gt;175,W169&gt;=55,W169&lt;95),0.17,0)+IF(AND(V169&gt;175,W169&gt;=95),0.12,0),
IF(AF169="DoEVsu",IF(AND(V169&lt;20,W169&lt;55),0.3,0)+IF(AND(V169&lt;20,W169&gt;=55,W169&lt;105),0.23,0)+IF(AND(V169&lt;20,W169&gt;=105),0.17,0)+IF(AND(V169&gt;=20,V169&lt;40,W169&lt;45),0.3,0)+IF(AND(V169&gt;=20,V169&lt;40,W169&gt;=45,W169&lt;95),0.23,0)+IF(AND(V169&gt;=20,V169&lt;40,W169&gt;=95,W169&lt;=250),0.17,0)+IF(AND(V169&gt;=20,V169&lt;40,W169&gt;=250),0.12,0)+IF(AND(V169&gt;=40,V169&lt;75,W169&lt;35),0.3,0)+IF(AND(V169&gt;=40,V169&lt;75,W169&gt;=35,W169&lt;75),0.23,0)+IF(AND(V169&gt;=40,V169&lt;75,W169&gt;=75,W169&lt;120),0.17,0)+IF(AND(V169&gt;=40,V169&lt;75,W169&gt;=120),0.12,0)+IF(AND(V169&gt;=75,V169&lt;175,W169&lt;35),0.3,0)+IF(AND(V169&gt;=75,V169&lt;=175,W169&gt;=35,W169&lt;65),0.23,0)+IF(AND(V169&gt;=75,V169&lt;=175,W169&gt;=65,W169&lt;110),0.17,0)+IF(AND(V169&gt;=75,V169&lt;=175,W169&gt;=110),0.12,0)+IF(AND(V169&gt;175,W169&lt;25),0.3,0)+IF(AND(V169&gt;175,W169&gt;=25,W169&lt;55),0.23,0)+IF(AND(V169&gt;175,W169&gt;=55,W169&lt;95),0.17,0)+IF(AND(V169&gt;175,W169&gt;=95),0.12,0),
IF(AF169="DoEVni",IF(AND(V169&lt;20,W169&lt;55),0.3,0)+IF(AND(V169&lt;20,W169&gt;=55,W169&lt;105),0.23,0)+IF(AND(V169&lt;20,W169&gt;=105),0.17,0)+IF(AND(V169&gt;=20,V169&lt;40,W169&lt;45),0.3,0)+IF(AND(V169&gt;=20,V169&lt;40,W169&gt;=45,W169&lt;95),0.23,0)+IF(AND(V169&gt;=20,V169&lt;40,W169&gt;=95,W169&lt;=200),0.17,0)+IF(AND(V169&gt;=20,V169&lt;40,W169&gt;=200),0.12,0)+IF(AND(V169&gt;=40,V169&lt;75,W169&lt;35),0.3,0)+IF(AND(V169&gt;=40,V169&lt;75,W169&gt;=35,W169&lt;75),0.23,0)+IF(AND(V169&gt;=40,V169&lt;75,W169&gt;=75,W169&lt;120),0.17,0)+IF(AND(V169&gt;=40,V169&lt;75,W169&gt;=120),0.12,0)+IF(AND(V169&gt;=75,V169&lt;175,W169&lt;35),0.3,0)+IF(AND(V169&gt;=75,V169&lt;=175,W169&gt;=35,W169&lt;65),0.23,0)+IF(AND(V169&gt;=75,V169&lt;=175,W169&gt;=65,W169&lt;110),0.17,0)+IF(AND(V169&gt;=75,V169&lt;=175,W169&gt;=110),0.12,0)+IF(AND(V169&gt;175,W169&lt;25),0.3,0)+IF(AND(V169&gt;175,W169&gt;=25,W169&lt;55),0.23,0)+IF(AND(V169&gt;175,W169&gt;=55,W169&lt;95),0.17,0)+IF(AND(V169&gt;175,W169&gt;=95),0.12,0),
IF(AF169="DoEVLo",IF(AND(V169&lt;20,W169&lt;55),0.25,0)+IF(AND(V169&lt;20,W169&gt;=55,W169&lt;105),0.2,0)+IF(AND(V169&lt;20,W169&gt;=105),0.15,0)+IF(AND(V169&gt;=20,V169&lt;40,W169&lt;45),0.25,0)+IF(AND(V169&gt;=20,V169&lt;40,W169&gt;=45,W169&lt;95),0.2,0)+IF(AND(V169&gt;=20,V169&lt;40,W169&gt;=95),0.15,0)+IF(AND(V169&gt;=40,V169&lt;75,W169&lt;35),0.25,0)+IF(AND(V169&gt;=40,V169&lt;75,W169&gt;=35,W169&lt;75),0.2,0)+IF(AND(V169&gt;=40,V169&lt;75,W169&gt;=75,W169&lt;120),0.15,0)+IF(AND(V169&gt;=40,V169&lt;75,W169&gt;=120),0.1,0)+IF(AND(V169&gt;=75,V169&lt;175,W169&lt;35),0.25,0)+IF(AND(V169&gt;=75,V169&lt;=175,W169&gt;=35,W169&lt;65),0.2,0)+IF(AND(V169&gt;=75,V169&lt;=175,W169&gt;=65,W169&lt;110),0.15,0)+IF(AND(V169&gt;=75,V169&lt;=175,W169&gt;=110),0.1,0)+IF(AND(V169&gt;175,W169&lt;25),0.25,0)+IF(AND(V169&gt;175,W169&gt;=25,W169&lt;55),0.2,0)+IF(AND(V169&gt;175,W169&gt;=55,W169&lt;95),0.15,0)+IF(AND(V169&gt;175,W169&gt;=95),0.1,0))))))))))))))))</f>
        <v>0.26</v>
      </c>
      <c r="Y169" s="30">
        <f>IF(AG169="None",0,IF(AG169="Fix5",0.05,IF(AG169="Fix3.75",0.0375,IF(AG169="Fix10",0.1,IF(AG169="Fix3",0.03,0)))))</f>
        <v>0</v>
      </c>
      <c r="Z169" s="35">
        <f>T169-AA169-AB169</f>
        <v>-49.58</v>
      </c>
      <c r="AA169" s="29">
        <f>IF(AD169="EUR",((T169-R169)*X169)*U169+(R169*X169),(T169*X169))</f>
        <v>-17.420000000000002</v>
      </c>
      <c r="AB169" s="36">
        <f>IF(AD169="EUR",((T169-R169)*Y169)*U169+(R169*Y169),(T169*Y169))</f>
        <v>0</v>
      </c>
      <c r="AC169" s="37" t="b">
        <v>0</v>
      </c>
      <c r="AD169" s="37" t="s">
        <v>38</v>
      </c>
      <c r="AE169" s="37" t="s">
        <v>38</v>
      </c>
      <c r="AF169" s="37" t="str">
        <f t="array" ref="AF169">INDEX('Deal Info'!D:D, MATCH(A169,'Deal Info'!A:A, 0))</f>
        <v>SF</v>
      </c>
      <c r="AG169" s="38" t="str">
        <f t="array" ref="AG169">INDEX('Deal Info'!G:G, MATCH(A169,'Deal Info'!A:A, 0))</f>
        <v>None</v>
      </c>
    </row>
    <row r="170" spans="1:33" ht="14.25" hidden="1" x14ac:dyDescent="0.2">
      <c r="A170" s="18" t="str">
        <f t="array" ref="A170">IF(G170='Room Info'!$B$1, INDEX('Room Info'!$A$2:$A2446, MATCH(B170,'Room Info'!$B$2:$B2446, 0)),IF(G170='Room Info'!$C$1, INDEX('Room Info'!$A$2:$A2446, MATCH(B170,'Room Info'!$C$2:$C2446, 0)),IF(G170='Room Info'!$D$1, INDEX('Room Info'!$A$2:$A2446, MATCH(B170,'Room Info'!$D$2:$D2446, 0)),IF(G170='Room Info'!$E$1, INDEX('Room Info'!$A$2:$A2446, MATCH(B170,'Room Info'!$E$2:$E2446, 0)),IF(G170='Room Info'!$F$1, INDEX('Room Info'!$A$2:$A2446, MATCH(B170,'Room Info'!$F$2:$F2446, 0)),IF(G170='Room Info'!$H$1, INDEX('Room Info'!$A$2:$A2446, MATCH(B170,'Room Info'!$H$2:$H2446, 0)),IF(G170='Room Info'!$G$1, INDEX('Room Info'!$A$2:$A2446, MATCH(B170,'Room Info'!$G$2:$G2446, 0)))))))))</f>
        <v>bbaltqq</v>
      </c>
      <c r="B170" s="54" t="s">
        <v>89</v>
      </c>
      <c r="C170" s="46">
        <v>44855</v>
      </c>
      <c r="D170" s="46">
        <v>44885</v>
      </c>
      <c r="E170" s="47">
        <v>44866</v>
      </c>
      <c r="F170" s="45" t="s">
        <v>41</v>
      </c>
      <c r="G170" s="54" t="s">
        <v>35</v>
      </c>
      <c r="H170" s="49" t="s">
        <v>46</v>
      </c>
      <c r="I170" s="49" t="s">
        <v>37</v>
      </c>
      <c r="J170" s="50">
        <v>25</v>
      </c>
      <c r="K170" s="51">
        <v>63</v>
      </c>
      <c r="L170" s="52">
        <v>250</v>
      </c>
      <c r="M170" s="53">
        <v>67</v>
      </c>
      <c r="N170" s="28">
        <f>K170*J170</f>
        <v>1575</v>
      </c>
      <c r="O170" s="54">
        <v>4264</v>
      </c>
      <c r="P170" s="29">
        <v>67.682539680000005</v>
      </c>
      <c r="Q170" s="55"/>
      <c r="R170" s="31">
        <f>M170+Q170</f>
        <v>67</v>
      </c>
      <c r="S170" s="56"/>
      <c r="T170" s="32">
        <f>R170+S170+IF(F170="Without EV deal",L170,0)</f>
        <v>317</v>
      </c>
      <c r="U170" s="33">
        <v>1</v>
      </c>
      <c r="V170" s="69">
        <v>49.476222148320588</v>
      </c>
      <c r="W170" s="69">
        <v>5.0529322802890269</v>
      </c>
      <c r="X170" s="30">
        <f>IF(AF170="DoEV",IF(AND(V170&lt;20,W170&lt;55),0.3,0)+IF(AND(V170&lt;20,W170&gt;=55,W170&lt;105),0.23,0)+IF(AND(V170&lt;20,W170&gt;=105),0.17,0)+IF(AND(V170&gt;=20,V170&lt;40,W170&lt;45),0.3,0)+IF(AND(V170&gt;=20,V170&lt;40,W170&gt;=45,W170&lt;95),0.23,0)+IF(AND(V170&gt;=20,V170&lt;40,W170&gt;=95),0.17,0)+IF(AND(V170&gt;=40,V170&lt;75,W170&lt;35),0.3,0)+IF(AND(V170&gt;=40,V170&lt;75,W170&gt;=35,W170&lt;75),0.23,0)+IF(AND(V170&gt;=40,V170&lt;75,W170&gt;=75,W170&lt;120),0.17,0)+IF(AND(V170&gt;=40,V170&lt;75,W170&gt;=120),0.12,0)+IF(AND(V170&gt;=75,V170&lt;175,W170&lt;35),0.3,0)+IF(AND(V170&gt;=75,V170&lt;=175,W170&gt;=35,W170&lt;65),0.23,0)+IF(AND(V170&gt;=75,V170&lt;=175,W170&gt;=65,W170&lt;110),0.17,0)+IF(AND(V170&gt;=75,V170&lt;=175,W170&gt;=110),0.12,0)+IF(AND(V170&gt;175,W170&lt;25),0.3,0)+IF(AND(V170&gt;175,W170&gt;=25,W170&lt;55),0.23,0)+IF(AND(V170&gt;175,W170&gt;=55,W170&lt;95),0.17,0)+IF(AND(V170&gt;175,W170&gt;=95),0.12,0),
IF(AF170="Fix15",0.15,
IF(AF170="Fix11.25",0.1125,
IF(AF170="Fix10",0.1,
IF(AF170="Fix9",0.09,
IF(AF170="DoEV2017",IF(AND(W170&lt;74),0.2,0)+IF(AND(W170&gt;=74),0.17,0),
IF(AF170="SF",IF(AND(V170&lt;20,W170&lt;89),0.3,0)+IF(AND(V170&lt;20,W170&gt;=89),0.25,0)+IF(AND(V170&gt;=20,V170&lt;40,W170&lt;74),0.3,0)+IF(AND(V170&gt;=20,V170&lt;40,W170&gt;=75),0.22,0)+IF(AND(V170&gt;=40,V170&lt;75,W170&lt;75),0.26,0)+IF(AND(V170&gt;=40,V170&lt;75,W170&gt;=75),0.22,0)+IF(V170&gt;=75,0.22,0),
IF(AF170="DoEVold",IF(AND(V170&lt;40,W170&lt;35),0.35,0)+IF(AND(V170&lt;40,W170&gt;=35,W170&lt;75),0.25,0)+IF(AND(V170&lt;40,W170&gt;=75),0.17,0)+IF(AND(V170&gt;=40,V170&lt;75,W170&lt;25),0.35,0)+IF(AND(V170&gt;=40,V170&lt;75,W170&gt;=25,W170&lt;65),0.25,0)+IF(AND(V170&gt;=40,V170&lt;75,W170&gt;=65,W170&lt;100),0.17,0)+IF(AND(V170&gt;=40,V170&lt;75,W170&gt;=100),0.1,0)+IF(AND(V170&gt;=75,W170&lt;25),0.35,0)+IF(AND(V170&gt;=75,W170&gt;=25,W170&lt;60),0.25,0)+IF(AND(V170&gt;=75,W170&gt;=60,W170&lt;95),0.17,0)+IF(AND(V170&gt;=75,W170&gt;=95),0.1,0),
IF(AF170="DoEVold15",IF(AND(V170&lt;=40,W170&lt;35),0.35,0)+IF(AND(V170&lt;=40,W170&gt;=35,W170&lt;75),0.25,0)+IF(AND(V170&lt;=40,W170&gt;=75,W170&lt;120),0.17,0)+IF(AND(V170&lt;=40,W170&gt;=120),0.15,0)+IF(AND(V170&gt;40,V170&lt;75,W170&lt;25),0.35,0)+IF(AND(V170&gt;=40,V170&lt;75,W170&gt;=25,W170&lt;65),0.25,0)+IF(AND(V170&gt;=40,V170&lt;75,W170&gt;=65,W170&lt;100),0.17,0)+IF(AND(V170&gt;=40,V170&lt;75,W170&gt;=100),0.1,0)+IF(AND(V170&gt;=75,W170&lt;25),0.35,0)+IF(AND(V170&gt;=75,W170&gt;=25,W170&lt;60),0.25,0)+IF(AND(V170&gt;=75,W170&gt;=60,W170&lt;95),0.17,0)+IF(AND(V170&gt;=75,W170&gt;=95),0.1,0),
IF(AF170="DoEVba",IF(AND(V170&lt;20,W170&lt;105),0.2,0)+IF(AND(V170&lt;20,W170&gt;=105),0.15,0)+IF(AND(V170&gt;=20,V170&lt;40,W170&lt;95),0.2,0)+IF(AND(V170&gt;=20,V170&lt;40,W170&gt;=95,W170&lt;150),0.15,0)+IF(AND(V170&gt;=20,V170&lt;40,W170&gt;=150),0.12,0)+IF(AND(V170&gt;=40,V170&lt;75,W170&lt;75),0.2,0)+IF(AND(V170&gt;=40,V170&lt;75,W170&gt;=75,W170&lt;120),0.15,0)+IF(AND(V170&gt;=40,V170&lt;75,W170&gt;=120),0.12,0)+IF(AND(V170&gt;=75,V170&lt;175,W170&lt;65),0.2,0)+IF(AND(V170&gt;=75,V170&lt;175,W170&gt;=65,W170&lt;110),0.15,0)+IF(AND(V170&gt;=75,V170&lt;175,W170&gt;=110),0.12,0)+IF(AND(V170&gt;=175,W170&lt;55),0.2,0)+IF(AND(V170&gt;=175,W170&gt;=55,W170&lt;95),0.15,0)+IF(AND(V170&gt;=175,W170&gt;=95),0.12,0),
IF(AF170="DoEVku",IF(AND(V170&lt;20,W170&lt;55),0.23,0)+IF(AND(V170&lt;20,W170&gt;=55,W170&lt;105),0.2,0)+IF(AND(V170&lt;20,W170&gt;=105),0.17,0)+IF(AND(V170&gt;=20,V170&lt;40,W170&lt;45),0.23,0)+IF(AND(V170&gt;=20,V170&lt;40,W170&gt;=45,W170&lt;95),0.2,0)+IF(AND(V170&gt;=20,V170&lt;40,W170&gt;=95,W170&lt;=150),0.17,0)+IF(AND(V170&gt;=20,V170&lt;40,W170&gt;=150),0.12,0)+IF(AND(V170&gt;=40,V170&lt;75,W170&lt;35),0.23,0)+IF(AND(V170&gt;=40,V170&lt;75,W170&gt;=35,W170&lt;75),0.2,0)+IF(AND(V170&gt;=40,V170&lt;75,W170&gt;=75,W170&lt;120),0.17,0)+IF(AND(V170&gt;=40,V170&lt;75,W170&gt;=120),0.12,0)+IF(AND(V170&gt;=75,V170&lt;175,W170&lt;35),0.23,0)+IF(AND(V170&gt;=75,V170&lt;=175,W170&gt;=35,W170&lt;65),0.2,0)+IF(AND(V170&gt;=75,V170&lt;=175,W170&gt;=65,W170&lt;110),0.17,0)+IF(AND(V170&gt;=75,V170&lt;=175,W170&gt;=110),0.12,0)+IF(AND(V170&gt;175,W170&lt;25),0.23,0)+IF(AND(V170&gt;175,W170&gt;=25,W170&lt;55),0.2,0)+IF(AND(V170&gt;175,W170&gt;=55,W170&lt;95),0.17,0)+IF(AND(V170&gt;175,W170&gt;=95),0.12,0),
IF(AF170="DoEVs1",IF(AND(V170&lt;20,W170&lt;55),0.3,0)+IF(AND(V170&lt;20,W170&gt;=55,W170&lt;105),0.23,0)+IF(AND(V170&lt;20,W170&gt;=105),0.17,0)+IF(AND(V170&gt;=20,V170&lt;40,W170&lt;45),0.3,0)+IF(AND(V170&gt;=20,V170&lt;40,W170&gt;=45,W170&lt;95),0.23,0)+IF(AND(V170&gt;=20,V170&lt;40,W170&gt;=95,W170&lt;=150),0.17,0)+IF(AND(V170&gt;=20,V170&lt;40,W170&gt;=150),0.12,0)+IF(AND(V170&gt;=40,V170&lt;75,W170&lt;35),0.3,0)+IF(AND(V170&gt;=40,V170&lt;75,W170&gt;=35,W170&lt;75),0.23,0)+IF(AND(V170&gt;=40,V170&lt;75,W170&gt;=75,W170&lt;120),0.17,0)+IF(AND(V170&gt;=40,V170&lt;75,W170&gt;=120),0.12,0)+IF(AND(V170&gt;=75,V170&lt;175,W170&lt;35),0.3,0)+IF(AND(V170&gt;=75,V170&lt;=175,W170&gt;=35,W170&lt;65),0.23,0)+IF(AND(V170&gt;=75,V170&lt;=175,W170&gt;=65,W170&lt;110),0.17,0)+IF(AND(V170&gt;=75,V170&lt;=175,W170&gt;=110),0.12,0)+IF(AND(V170&gt;175,W170&lt;25),0.3,0)+IF(AND(V170&gt;175,W170&gt;=25,W170&lt;55),0.23,0)+IF(AND(V170&gt;175,W170&gt;=55,W170&lt;95),0.17,0)+IF(AND(V170&gt;175,W170&gt;=95),0.12,0),
IF(AF170="DoEVsu",IF(AND(V170&lt;20,W170&lt;55),0.3,0)+IF(AND(V170&lt;20,W170&gt;=55,W170&lt;105),0.23,0)+IF(AND(V170&lt;20,W170&gt;=105),0.17,0)+IF(AND(V170&gt;=20,V170&lt;40,W170&lt;45),0.3,0)+IF(AND(V170&gt;=20,V170&lt;40,W170&gt;=45,W170&lt;95),0.23,0)+IF(AND(V170&gt;=20,V170&lt;40,W170&gt;=95,W170&lt;=250),0.17,0)+IF(AND(V170&gt;=20,V170&lt;40,W170&gt;=250),0.12,0)+IF(AND(V170&gt;=40,V170&lt;75,W170&lt;35),0.3,0)+IF(AND(V170&gt;=40,V170&lt;75,W170&gt;=35,W170&lt;75),0.23,0)+IF(AND(V170&gt;=40,V170&lt;75,W170&gt;=75,W170&lt;120),0.17,0)+IF(AND(V170&gt;=40,V170&lt;75,W170&gt;=120),0.12,0)+IF(AND(V170&gt;=75,V170&lt;175,W170&lt;35),0.3,0)+IF(AND(V170&gt;=75,V170&lt;=175,W170&gt;=35,W170&lt;65),0.23,0)+IF(AND(V170&gt;=75,V170&lt;=175,W170&gt;=65,W170&lt;110),0.17,0)+IF(AND(V170&gt;=75,V170&lt;=175,W170&gt;=110),0.12,0)+IF(AND(V170&gt;175,W170&lt;25),0.3,0)+IF(AND(V170&gt;175,W170&gt;=25,W170&lt;55),0.23,0)+IF(AND(V170&gt;175,W170&gt;=55,W170&lt;95),0.17,0)+IF(AND(V170&gt;175,W170&gt;=95),0.12,0),
IF(AF170="DoEVni",IF(AND(V170&lt;20,W170&lt;55),0.3,0)+IF(AND(V170&lt;20,W170&gt;=55,W170&lt;105),0.23,0)+IF(AND(V170&lt;20,W170&gt;=105),0.17,0)+IF(AND(V170&gt;=20,V170&lt;40,W170&lt;45),0.3,0)+IF(AND(V170&gt;=20,V170&lt;40,W170&gt;=45,W170&lt;95),0.23,0)+IF(AND(V170&gt;=20,V170&lt;40,W170&gt;=95,W170&lt;=200),0.17,0)+IF(AND(V170&gt;=20,V170&lt;40,W170&gt;=200),0.12,0)+IF(AND(V170&gt;=40,V170&lt;75,W170&lt;35),0.3,0)+IF(AND(V170&gt;=40,V170&lt;75,W170&gt;=35,W170&lt;75),0.23,0)+IF(AND(V170&gt;=40,V170&lt;75,W170&gt;=75,W170&lt;120),0.17,0)+IF(AND(V170&gt;=40,V170&lt;75,W170&gt;=120),0.12,0)+IF(AND(V170&gt;=75,V170&lt;175,W170&lt;35),0.3,0)+IF(AND(V170&gt;=75,V170&lt;=175,W170&gt;=35,W170&lt;65),0.23,0)+IF(AND(V170&gt;=75,V170&lt;=175,W170&gt;=65,W170&lt;110),0.17,0)+IF(AND(V170&gt;=75,V170&lt;=175,W170&gt;=110),0.12,0)+IF(AND(V170&gt;175,W170&lt;25),0.3,0)+IF(AND(V170&gt;175,W170&gt;=25,W170&lt;55),0.23,0)+IF(AND(V170&gt;175,W170&gt;=55,W170&lt;95),0.17,0)+IF(AND(V170&gt;175,W170&gt;=95),0.12,0),
IF(AF170="DoEVLo",IF(AND(V170&lt;20,W170&lt;55),0.25,0)+IF(AND(V170&lt;20,W170&gt;=55,W170&lt;105),0.2,0)+IF(AND(V170&lt;20,W170&gt;=105),0.15,0)+IF(AND(V170&gt;=20,V170&lt;40,W170&lt;45),0.25,0)+IF(AND(V170&gt;=20,V170&lt;40,W170&gt;=45,W170&lt;95),0.2,0)+IF(AND(V170&gt;=20,V170&lt;40,W170&gt;=95),0.15,0)+IF(AND(V170&gt;=40,V170&lt;75,W170&lt;35),0.25,0)+IF(AND(V170&gt;=40,V170&lt;75,W170&gt;=35,W170&lt;75),0.2,0)+IF(AND(V170&gt;=40,V170&lt;75,W170&gt;=75,W170&lt;120),0.15,0)+IF(AND(V170&gt;=40,V170&lt;75,W170&gt;=120),0.1,0)+IF(AND(V170&gt;=75,V170&lt;175,W170&lt;35),0.25,0)+IF(AND(V170&gt;=75,V170&lt;=175,W170&gt;=35,W170&lt;65),0.2,0)+IF(AND(V170&gt;=75,V170&lt;=175,W170&gt;=65,W170&lt;110),0.15,0)+IF(AND(V170&gt;=75,V170&lt;=175,W170&gt;=110),0.1,0)+IF(AND(V170&gt;175,W170&lt;25),0.25,0)+IF(AND(V170&gt;175,W170&gt;=25,W170&lt;55),0.2,0)+IF(AND(V170&gt;175,W170&gt;=55,W170&lt;95),0.15,0)+IF(AND(V170&gt;175,W170&gt;=95),0.1,0))))))))))))))))</f>
        <v>0.26</v>
      </c>
      <c r="Y170" s="30">
        <f>IF(AG170="None",0,IF(AG170="Fix5",0.05,IF(AG170="Fix3.75",0.0375,IF(AG170="Fix10",0.1,IF(AG170="Fix3",0.03,0)))))</f>
        <v>0</v>
      </c>
      <c r="Z170" s="35">
        <f>T170-AA170-AB170</f>
        <v>234.57999999999998</v>
      </c>
      <c r="AA170" s="29">
        <f>IF(AD170="EUR",((T170-R170)*X170)*U170+(R170*X170),(T170*X170))</f>
        <v>82.42</v>
      </c>
      <c r="AB170" s="36">
        <f>IF(AD170="EUR",((T170-R170)*Y170)*U170+(R170*Y170),(T170*Y170))</f>
        <v>0</v>
      </c>
      <c r="AC170" s="37" t="b">
        <v>0</v>
      </c>
      <c r="AD170" s="37" t="s">
        <v>38</v>
      </c>
      <c r="AE170" s="37" t="s">
        <v>38</v>
      </c>
      <c r="AF170" s="37" t="str">
        <f t="array" ref="AF170">INDEX('Deal Info'!D:D, MATCH(A170,'Deal Info'!A:A, 0))</f>
        <v>SF</v>
      </c>
      <c r="AG170" s="38" t="str">
        <f t="array" ref="AG170">INDEX('Deal Info'!G:G, MATCH(A170,'Deal Info'!A:A, 0))</f>
        <v>None</v>
      </c>
    </row>
    <row r="171" spans="1:33" ht="14.25" hidden="1" x14ac:dyDescent="0.2">
      <c r="A171" s="18" t="str">
        <f t="array" ref="A171">IF(G171='Room Info'!$B$1, INDEX('Room Info'!$A$2:$A2446, MATCH(B171,'Room Info'!$B$2:$B2446, 0)),IF(G171='Room Info'!$C$1, INDEX('Room Info'!$A$2:$A2446, MATCH(B171,'Room Info'!$C$2:$C2446, 0)),IF(G171='Room Info'!$D$1, INDEX('Room Info'!$A$2:$A2446, MATCH(B171,'Room Info'!$D$2:$D2446, 0)),IF(G171='Room Info'!$E$1, INDEX('Room Info'!$A$2:$A2446, MATCH(B171,'Room Info'!$E$2:$E2446, 0)),IF(G171='Room Info'!$F$1, INDEX('Room Info'!$A$2:$A2446, MATCH(B171,'Room Info'!$F$2:$F2446, 0)),IF(G171='Room Info'!$H$1, INDEX('Room Info'!$A$2:$A2446, MATCH(B171,'Room Info'!$H$2:$H2446, 0)),IF(G171='Room Info'!$G$1, INDEX('Room Info'!$A$2:$A2446, MATCH(B171,'Room Info'!$G$2:$G2446, 0)))))))))</f>
        <v>bbaltqq</v>
      </c>
      <c r="B171" s="54" t="s">
        <v>89</v>
      </c>
      <c r="C171" s="46">
        <v>44886</v>
      </c>
      <c r="D171" s="46">
        <v>44915</v>
      </c>
      <c r="E171" s="47">
        <v>44896</v>
      </c>
      <c r="F171" s="45" t="s">
        <v>34</v>
      </c>
      <c r="G171" s="54" t="s">
        <v>35</v>
      </c>
      <c r="H171" s="49" t="s">
        <v>72</v>
      </c>
      <c r="I171" s="49" t="s">
        <v>37</v>
      </c>
      <c r="J171" s="50">
        <v>50</v>
      </c>
      <c r="K171" s="51">
        <v>673</v>
      </c>
      <c r="L171" s="52">
        <v>3950</v>
      </c>
      <c r="M171" s="53">
        <v>4459</v>
      </c>
      <c r="N171" s="28">
        <f>K171*J171</f>
        <v>33650</v>
      </c>
      <c r="O171" s="54">
        <v>33320</v>
      </c>
      <c r="P171" s="29">
        <v>49.509658250000001</v>
      </c>
      <c r="Q171" s="55"/>
      <c r="R171" s="31">
        <f>M171+Q171</f>
        <v>4459</v>
      </c>
      <c r="S171" s="56">
        <v>942</v>
      </c>
      <c r="T171" s="32">
        <f>R171+S171+IF(F171="Without EV deal",L171,0)</f>
        <v>5401</v>
      </c>
      <c r="U171" s="33">
        <v>1</v>
      </c>
      <c r="V171" s="69">
        <v>41.346960167714883</v>
      </c>
      <c r="W171" s="69">
        <v>154.59419444796552</v>
      </c>
      <c r="X171" s="30">
        <f>IF(AF171="DoEV",IF(AND(V171&lt;20,W171&lt;55),0.3,0)+IF(AND(V171&lt;20,W171&gt;=55,W171&lt;105),0.23,0)+IF(AND(V171&lt;20,W171&gt;=105),0.17,0)+IF(AND(V171&gt;=20,V171&lt;40,W171&lt;45),0.3,0)+IF(AND(V171&gt;=20,V171&lt;40,W171&gt;=45,W171&lt;95),0.23,0)+IF(AND(V171&gt;=20,V171&lt;40,W171&gt;=95),0.17,0)+IF(AND(V171&gt;=40,V171&lt;75,W171&lt;35),0.3,0)+IF(AND(V171&gt;=40,V171&lt;75,W171&gt;=35,W171&lt;75),0.23,0)+IF(AND(V171&gt;=40,V171&lt;75,W171&gt;=75,W171&lt;120),0.17,0)+IF(AND(V171&gt;=40,V171&lt;75,W171&gt;=120),0.12,0)+IF(AND(V171&gt;=75,V171&lt;175,W171&lt;35),0.3,0)+IF(AND(V171&gt;=75,V171&lt;=175,W171&gt;=35,W171&lt;65),0.23,0)+IF(AND(V171&gt;=75,V171&lt;=175,W171&gt;=65,W171&lt;110),0.17,0)+IF(AND(V171&gt;=75,V171&lt;=175,W171&gt;=110),0.12,0)+IF(AND(V171&gt;175,W171&lt;25),0.3,0)+IF(AND(V171&gt;175,W171&gt;=25,W171&lt;55),0.23,0)+IF(AND(V171&gt;175,W171&gt;=55,W171&lt;95),0.17,0)+IF(AND(V171&gt;175,W171&gt;=95),0.12,0),
IF(AF171="Fix15",0.15,
IF(AF171="Fix11.25",0.1125,
IF(AF171="Fix10",0.1,
IF(AF171="Fix9",0.09,
IF(AF171="DoEV2017",IF(AND(W171&lt;74),0.2,0)+IF(AND(W171&gt;=74),0.17,0),
IF(AF171="SF",IF(AND(V171&lt;20,W171&lt;89),0.3,0)+IF(AND(V171&lt;20,W171&gt;=89),0.25,0)+IF(AND(V171&gt;=20,V171&lt;40,W171&lt;74),0.3,0)+IF(AND(V171&gt;=20,V171&lt;40,W171&gt;=75),0.22,0)+IF(AND(V171&gt;=40,V171&lt;75,W171&lt;75),0.26,0)+IF(AND(V171&gt;=40,V171&lt;75,W171&gt;=75),0.22,0)+IF(V171&gt;=75,0.22,0),
IF(AF171="DoEVold",IF(AND(V171&lt;40,W171&lt;35),0.35,0)+IF(AND(V171&lt;40,W171&gt;=35,W171&lt;75),0.25,0)+IF(AND(V171&lt;40,W171&gt;=75),0.17,0)+IF(AND(V171&gt;=40,V171&lt;75,W171&lt;25),0.35,0)+IF(AND(V171&gt;=40,V171&lt;75,W171&gt;=25,W171&lt;65),0.25,0)+IF(AND(V171&gt;=40,V171&lt;75,W171&gt;=65,W171&lt;100),0.17,0)+IF(AND(V171&gt;=40,V171&lt;75,W171&gt;=100),0.1,0)+IF(AND(V171&gt;=75,W171&lt;25),0.35,0)+IF(AND(V171&gt;=75,W171&gt;=25,W171&lt;60),0.25,0)+IF(AND(V171&gt;=75,W171&gt;=60,W171&lt;95),0.17,0)+IF(AND(V171&gt;=75,W171&gt;=95),0.1,0),
IF(AF171="DoEVold15",IF(AND(V171&lt;=40,W171&lt;35),0.35,0)+IF(AND(V171&lt;=40,W171&gt;=35,W171&lt;75),0.25,0)+IF(AND(V171&lt;=40,W171&gt;=75,W171&lt;120),0.17,0)+IF(AND(V171&lt;=40,W171&gt;=120),0.15,0)+IF(AND(V171&gt;40,V171&lt;75,W171&lt;25),0.35,0)+IF(AND(V171&gt;=40,V171&lt;75,W171&gt;=25,W171&lt;65),0.25,0)+IF(AND(V171&gt;=40,V171&lt;75,W171&gt;=65,W171&lt;100),0.17,0)+IF(AND(V171&gt;=40,V171&lt;75,W171&gt;=100),0.1,0)+IF(AND(V171&gt;=75,W171&lt;25),0.35,0)+IF(AND(V171&gt;=75,W171&gt;=25,W171&lt;60),0.25,0)+IF(AND(V171&gt;=75,W171&gt;=60,W171&lt;95),0.17,0)+IF(AND(V171&gt;=75,W171&gt;=95),0.1,0),
IF(AF171="DoEVba",IF(AND(V171&lt;20,W171&lt;105),0.2,0)+IF(AND(V171&lt;20,W171&gt;=105),0.15,0)+IF(AND(V171&gt;=20,V171&lt;40,W171&lt;95),0.2,0)+IF(AND(V171&gt;=20,V171&lt;40,W171&gt;=95,W171&lt;150),0.15,0)+IF(AND(V171&gt;=20,V171&lt;40,W171&gt;=150),0.12,0)+IF(AND(V171&gt;=40,V171&lt;75,W171&lt;75),0.2,0)+IF(AND(V171&gt;=40,V171&lt;75,W171&gt;=75,W171&lt;120),0.15,0)+IF(AND(V171&gt;=40,V171&lt;75,W171&gt;=120),0.12,0)+IF(AND(V171&gt;=75,V171&lt;175,W171&lt;65),0.2,0)+IF(AND(V171&gt;=75,V171&lt;175,W171&gt;=65,W171&lt;110),0.15,0)+IF(AND(V171&gt;=75,V171&lt;175,W171&gt;=110),0.12,0)+IF(AND(V171&gt;=175,W171&lt;55),0.2,0)+IF(AND(V171&gt;=175,W171&gt;=55,W171&lt;95),0.15,0)+IF(AND(V171&gt;=175,W171&gt;=95),0.12,0),
IF(AF171="DoEVku",IF(AND(V171&lt;20,W171&lt;55),0.23,0)+IF(AND(V171&lt;20,W171&gt;=55,W171&lt;105),0.2,0)+IF(AND(V171&lt;20,W171&gt;=105),0.17,0)+IF(AND(V171&gt;=20,V171&lt;40,W171&lt;45),0.23,0)+IF(AND(V171&gt;=20,V171&lt;40,W171&gt;=45,W171&lt;95),0.2,0)+IF(AND(V171&gt;=20,V171&lt;40,W171&gt;=95,W171&lt;=150),0.17,0)+IF(AND(V171&gt;=20,V171&lt;40,W171&gt;=150),0.12,0)+IF(AND(V171&gt;=40,V171&lt;75,W171&lt;35),0.23,0)+IF(AND(V171&gt;=40,V171&lt;75,W171&gt;=35,W171&lt;75),0.2,0)+IF(AND(V171&gt;=40,V171&lt;75,W171&gt;=75,W171&lt;120),0.17,0)+IF(AND(V171&gt;=40,V171&lt;75,W171&gt;=120),0.12,0)+IF(AND(V171&gt;=75,V171&lt;175,W171&lt;35),0.23,0)+IF(AND(V171&gt;=75,V171&lt;=175,W171&gt;=35,W171&lt;65),0.2,0)+IF(AND(V171&gt;=75,V171&lt;=175,W171&gt;=65,W171&lt;110),0.17,0)+IF(AND(V171&gt;=75,V171&lt;=175,W171&gt;=110),0.12,0)+IF(AND(V171&gt;175,W171&lt;25),0.23,0)+IF(AND(V171&gt;175,W171&gt;=25,W171&lt;55),0.2,0)+IF(AND(V171&gt;175,W171&gt;=55,W171&lt;95),0.17,0)+IF(AND(V171&gt;175,W171&gt;=95),0.12,0),
IF(AF171="DoEVs1",IF(AND(V171&lt;20,W171&lt;55),0.3,0)+IF(AND(V171&lt;20,W171&gt;=55,W171&lt;105),0.23,0)+IF(AND(V171&lt;20,W171&gt;=105),0.17,0)+IF(AND(V171&gt;=20,V171&lt;40,W171&lt;45),0.3,0)+IF(AND(V171&gt;=20,V171&lt;40,W171&gt;=45,W171&lt;95),0.23,0)+IF(AND(V171&gt;=20,V171&lt;40,W171&gt;=95,W171&lt;=150),0.17,0)+IF(AND(V171&gt;=20,V171&lt;40,W171&gt;=150),0.12,0)+IF(AND(V171&gt;=40,V171&lt;75,W171&lt;35),0.3,0)+IF(AND(V171&gt;=40,V171&lt;75,W171&gt;=35,W171&lt;75),0.23,0)+IF(AND(V171&gt;=40,V171&lt;75,W171&gt;=75,W171&lt;120),0.17,0)+IF(AND(V171&gt;=40,V171&lt;75,W171&gt;=120),0.12,0)+IF(AND(V171&gt;=75,V171&lt;175,W171&lt;35),0.3,0)+IF(AND(V171&gt;=75,V171&lt;=175,W171&gt;=35,W171&lt;65),0.23,0)+IF(AND(V171&gt;=75,V171&lt;=175,W171&gt;=65,W171&lt;110),0.17,0)+IF(AND(V171&gt;=75,V171&lt;=175,W171&gt;=110),0.12,0)+IF(AND(V171&gt;175,W171&lt;25),0.3,0)+IF(AND(V171&gt;175,W171&gt;=25,W171&lt;55),0.23,0)+IF(AND(V171&gt;175,W171&gt;=55,W171&lt;95),0.17,0)+IF(AND(V171&gt;175,W171&gt;=95),0.12,0),
IF(AF171="DoEVsu",IF(AND(V171&lt;20,W171&lt;55),0.3,0)+IF(AND(V171&lt;20,W171&gt;=55,W171&lt;105),0.23,0)+IF(AND(V171&lt;20,W171&gt;=105),0.17,0)+IF(AND(V171&gt;=20,V171&lt;40,W171&lt;45),0.3,0)+IF(AND(V171&gt;=20,V171&lt;40,W171&gt;=45,W171&lt;95),0.23,0)+IF(AND(V171&gt;=20,V171&lt;40,W171&gt;=95,W171&lt;=250),0.17,0)+IF(AND(V171&gt;=20,V171&lt;40,W171&gt;=250),0.12,0)+IF(AND(V171&gt;=40,V171&lt;75,W171&lt;35),0.3,0)+IF(AND(V171&gt;=40,V171&lt;75,W171&gt;=35,W171&lt;75),0.23,0)+IF(AND(V171&gt;=40,V171&lt;75,W171&gt;=75,W171&lt;120),0.17,0)+IF(AND(V171&gt;=40,V171&lt;75,W171&gt;=120),0.12,0)+IF(AND(V171&gt;=75,V171&lt;175,W171&lt;35),0.3,0)+IF(AND(V171&gt;=75,V171&lt;=175,W171&gt;=35,W171&lt;65),0.23,0)+IF(AND(V171&gt;=75,V171&lt;=175,W171&gt;=65,W171&lt;110),0.17,0)+IF(AND(V171&gt;=75,V171&lt;=175,W171&gt;=110),0.12,0)+IF(AND(V171&gt;175,W171&lt;25),0.3,0)+IF(AND(V171&gt;175,W171&gt;=25,W171&lt;55),0.23,0)+IF(AND(V171&gt;175,W171&gt;=55,W171&lt;95),0.17,0)+IF(AND(V171&gt;175,W171&gt;=95),0.12,0),
IF(AF171="DoEVni",IF(AND(V171&lt;20,W171&lt;55),0.3,0)+IF(AND(V171&lt;20,W171&gt;=55,W171&lt;105),0.23,0)+IF(AND(V171&lt;20,W171&gt;=105),0.17,0)+IF(AND(V171&gt;=20,V171&lt;40,W171&lt;45),0.3,0)+IF(AND(V171&gt;=20,V171&lt;40,W171&gt;=45,W171&lt;95),0.23,0)+IF(AND(V171&gt;=20,V171&lt;40,W171&gt;=95,W171&lt;=200),0.17,0)+IF(AND(V171&gt;=20,V171&lt;40,W171&gt;=200),0.12,0)+IF(AND(V171&gt;=40,V171&lt;75,W171&lt;35),0.3,0)+IF(AND(V171&gt;=40,V171&lt;75,W171&gt;=35,W171&lt;75),0.23,0)+IF(AND(V171&gt;=40,V171&lt;75,W171&gt;=75,W171&lt;120),0.17,0)+IF(AND(V171&gt;=40,V171&lt;75,W171&gt;=120),0.12,0)+IF(AND(V171&gt;=75,V171&lt;175,W171&lt;35),0.3,0)+IF(AND(V171&gt;=75,V171&lt;=175,W171&gt;=35,W171&lt;65),0.23,0)+IF(AND(V171&gt;=75,V171&lt;=175,W171&gt;=65,W171&lt;110),0.17,0)+IF(AND(V171&gt;=75,V171&lt;=175,W171&gt;=110),0.12,0)+IF(AND(V171&gt;175,W171&lt;25),0.3,0)+IF(AND(V171&gt;175,W171&gt;=25,W171&lt;55),0.23,0)+IF(AND(V171&gt;175,W171&gt;=55,W171&lt;95),0.17,0)+IF(AND(V171&gt;175,W171&gt;=95),0.12,0),
IF(AF171="DoEVLo",IF(AND(V171&lt;20,W171&lt;55),0.25,0)+IF(AND(V171&lt;20,W171&gt;=55,W171&lt;105),0.2,0)+IF(AND(V171&lt;20,W171&gt;=105),0.15,0)+IF(AND(V171&gt;=20,V171&lt;40,W171&lt;45),0.25,0)+IF(AND(V171&gt;=20,V171&lt;40,W171&gt;=45,W171&lt;95),0.2,0)+IF(AND(V171&gt;=20,V171&lt;40,W171&gt;=95),0.15,0)+IF(AND(V171&gt;=40,V171&lt;75,W171&lt;35),0.25,0)+IF(AND(V171&gt;=40,V171&lt;75,W171&gt;=35,W171&lt;75),0.2,0)+IF(AND(V171&gt;=40,V171&lt;75,W171&gt;=75,W171&lt;120),0.15,0)+IF(AND(V171&gt;=40,V171&lt;75,W171&gt;=120),0.1,0)+IF(AND(V171&gt;=75,V171&lt;175,W171&lt;35),0.25,0)+IF(AND(V171&gt;=75,V171&lt;=175,W171&gt;=35,W171&lt;65),0.2,0)+IF(AND(V171&gt;=75,V171&lt;=175,W171&gt;=65,W171&lt;110),0.15,0)+IF(AND(V171&gt;=75,V171&lt;=175,W171&gt;=110),0.1,0)+IF(AND(V171&gt;175,W171&lt;25),0.25,0)+IF(AND(V171&gt;175,W171&gt;=25,W171&lt;55),0.2,0)+IF(AND(V171&gt;175,W171&gt;=55,W171&lt;95),0.15,0)+IF(AND(V171&gt;175,W171&gt;=95),0.1,0))))))))))))))))</f>
        <v>0.22</v>
      </c>
      <c r="Y171" s="30">
        <f>IF(AG171="None",0,IF(AG171="Fix5",0.05,IF(AG171="Fix3.75",0.0375,IF(AG171="Fix10",0.1,IF(AG171="Fix3",0.03,0)))))</f>
        <v>0</v>
      </c>
      <c r="Z171" s="35">
        <f>T171-AA171-AB171</f>
        <v>4212.78</v>
      </c>
      <c r="AA171" s="29">
        <f>IF(AD171="EUR",((T171-R171)*X171)*U171+(R171*X171),(T171*X171))</f>
        <v>1188.22</v>
      </c>
      <c r="AB171" s="36">
        <f>IF(AD171="EUR",((T171-R171)*Y171)*U171+(R171*Y171),(T171*Y171))</f>
        <v>0</v>
      </c>
      <c r="AC171" s="37" t="b">
        <v>0</v>
      </c>
      <c r="AD171" s="37" t="s">
        <v>38</v>
      </c>
      <c r="AE171" s="37" t="s">
        <v>38</v>
      </c>
      <c r="AF171" s="37" t="str">
        <f t="array" ref="AF171">INDEX('Deal Info'!D:D, MATCH(A171,'Deal Info'!A:A, 0))</f>
        <v>SF</v>
      </c>
      <c r="AG171" s="38" t="str">
        <f t="array" ref="AG171">INDEX('Deal Info'!G:G, MATCH(A171,'Deal Info'!A:A, 0))</f>
        <v>None</v>
      </c>
    </row>
    <row r="172" spans="1:33" ht="14.25" hidden="1" x14ac:dyDescent="0.2">
      <c r="A172" s="18" t="str">
        <f t="array" ref="A172">IF(G172='Room Info'!$B$1, INDEX('Room Info'!$A$2:$A2446, MATCH(B172,'Room Info'!$B$2:$B2446, 0)),IF(G172='Room Info'!$C$1, INDEX('Room Info'!$A$2:$A2446, MATCH(B172,'Room Info'!$C$2:$C2446, 0)),IF(G172='Room Info'!$D$1, INDEX('Room Info'!$A$2:$A2446, MATCH(B172,'Room Info'!$D$2:$D2446, 0)),IF(G172='Room Info'!$E$1, INDEX('Room Info'!$A$2:$A2446, MATCH(B172,'Room Info'!$E$2:$E2446, 0)),IF(G172='Room Info'!$F$1, INDEX('Room Info'!$A$2:$A2446, MATCH(B172,'Room Info'!$F$2:$F2446, 0)),IF(G172='Room Info'!$H$1, INDEX('Room Info'!$A$2:$A2446, MATCH(B172,'Room Info'!$H$2:$H2446, 0)),IF(G172='Room Info'!$G$1, INDEX('Room Info'!$A$2:$A2446, MATCH(B172,'Room Info'!$G$2:$G2446, 0)))))))))</f>
        <v>bbaltqq</v>
      </c>
      <c r="B172" s="54" t="s">
        <v>89</v>
      </c>
      <c r="C172" s="46">
        <v>44886</v>
      </c>
      <c r="D172" s="46">
        <v>44915</v>
      </c>
      <c r="E172" s="47">
        <v>44896</v>
      </c>
      <c r="F172" s="45" t="s">
        <v>41</v>
      </c>
      <c r="G172" s="54" t="s">
        <v>35</v>
      </c>
      <c r="H172" s="49" t="s">
        <v>46</v>
      </c>
      <c r="I172" s="49" t="s">
        <v>37</v>
      </c>
      <c r="J172" s="50">
        <v>25</v>
      </c>
      <c r="K172" s="51">
        <v>199</v>
      </c>
      <c r="L172" s="52">
        <v>125</v>
      </c>
      <c r="M172" s="53">
        <v>659</v>
      </c>
      <c r="N172" s="28">
        <f>K172*J172</f>
        <v>4975</v>
      </c>
      <c r="O172" s="54">
        <v>-2876</v>
      </c>
      <c r="P172" s="29">
        <v>-14.452261310000001</v>
      </c>
      <c r="Q172" s="55"/>
      <c r="R172" s="31">
        <f>M172+Q172</f>
        <v>659</v>
      </c>
      <c r="S172" s="56"/>
      <c r="T172" s="32">
        <f>R172+S172+IF(F172="Without EV deal",L172,0)</f>
        <v>784</v>
      </c>
      <c r="U172" s="33">
        <v>1</v>
      </c>
      <c r="V172" s="69">
        <v>41.346960167714883</v>
      </c>
      <c r="W172" s="69">
        <v>154.59419444796552</v>
      </c>
      <c r="X172" s="30">
        <f>IF(AF172="DoEV",IF(AND(V172&lt;20,W172&lt;55),0.3,0)+IF(AND(V172&lt;20,W172&gt;=55,W172&lt;105),0.23,0)+IF(AND(V172&lt;20,W172&gt;=105),0.17,0)+IF(AND(V172&gt;=20,V172&lt;40,W172&lt;45),0.3,0)+IF(AND(V172&gt;=20,V172&lt;40,W172&gt;=45,W172&lt;95),0.23,0)+IF(AND(V172&gt;=20,V172&lt;40,W172&gt;=95),0.17,0)+IF(AND(V172&gt;=40,V172&lt;75,W172&lt;35),0.3,0)+IF(AND(V172&gt;=40,V172&lt;75,W172&gt;=35,W172&lt;75),0.23,0)+IF(AND(V172&gt;=40,V172&lt;75,W172&gt;=75,W172&lt;120),0.17,0)+IF(AND(V172&gt;=40,V172&lt;75,W172&gt;=120),0.12,0)+IF(AND(V172&gt;=75,V172&lt;175,W172&lt;35),0.3,0)+IF(AND(V172&gt;=75,V172&lt;=175,W172&gt;=35,W172&lt;65),0.23,0)+IF(AND(V172&gt;=75,V172&lt;=175,W172&gt;=65,W172&lt;110),0.17,0)+IF(AND(V172&gt;=75,V172&lt;=175,W172&gt;=110),0.12,0)+IF(AND(V172&gt;175,W172&lt;25),0.3,0)+IF(AND(V172&gt;175,W172&gt;=25,W172&lt;55),0.23,0)+IF(AND(V172&gt;175,W172&gt;=55,W172&lt;95),0.17,0)+IF(AND(V172&gt;175,W172&gt;=95),0.12,0),
IF(AF172="Fix15",0.15,
IF(AF172="Fix11.25",0.1125,
IF(AF172="Fix10",0.1,
IF(AF172="Fix9",0.09,
IF(AF172="DoEV2017",IF(AND(W172&lt;74),0.2,0)+IF(AND(W172&gt;=74),0.17,0),
IF(AF172="SF",IF(AND(V172&lt;20,W172&lt;89),0.3,0)+IF(AND(V172&lt;20,W172&gt;=89),0.25,0)+IF(AND(V172&gt;=20,V172&lt;40,W172&lt;74),0.3,0)+IF(AND(V172&gt;=20,V172&lt;40,W172&gt;=75),0.22,0)+IF(AND(V172&gt;=40,V172&lt;75,W172&lt;75),0.26,0)+IF(AND(V172&gt;=40,V172&lt;75,W172&gt;=75),0.22,0)+IF(V172&gt;=75,0.22,0),
IF(AF172="DoEVold",IF(AND(V172&lt;40,W172&lt;35),0.35,0)+IF(AND(V172&lt;40,W172&gt;=35,W172&lt;75),0.25,0)+IF(AND(V172&lt;40,W172&gt;=75),0.17,0)+IF(AND(V172&gt;=40,V172&lt;75,W172&lt;25),0.35,0)+IF(AND(V172&gt;=40,V172&lt;75,W172&gt;=25,W172&lt;65),0.25,0)+IF(AND(V172&gt;=40,V172&lt;75,W172&gt;=65,W172&lt;100),0.17,0)+IF(AND(V172&gt;=40,V172&lt;75,W172&gt;=100),0.1,0)+IF(AND(V172&gt;=75,W172&lt;25),0.35,0)+IF(AND(V172&gt;=75,W172&gt;=25,W172&lt;60),0.25,0)+IF(AND(V172&gt;=75,W172&gt;=60,W172&lt;95),0.17,0)+IF(AND(V172&gt;=75,W172&gt;=95),0.1,0),
IF(AF172="DoEVold15",IF(AND(V172&lt;=40,W172&lt;35),0.35,0)+IF(AND(V172&lt;=40,W172&gt;=35,W172&lt;75),0.25,0)+IF(AND(V172&lt;=40,W172&gt;=75,W172&lt;120),0.17,0)+IF(AND(V172&lt;=40,W172&gt;=120),0.15,0)+IF(AND(V172&gt;40,V172&lt;75,W172&lt;25),0.35,0)+IF(AND(V172&gt;=40,V172&lt;75,W172&gt;=25,W172&lt;65),0.25,0)+IF(AND(V172&gt;=40,V172&lt;75,W172&gt;=65,W172&lt;100),0.17,0)+IF(AND(V172&gt;=40,V172&lt;75,W172&gt;=100),0.1,0)+IF(AND(V172&gt;=75,W172&lt;25),0.35,0)+IF(AND(V172&gt;=75,W172&gt;=25,W172&lt;60),0.25,0)+IF(AND(V172&gt;=75,W172&gt;=60,W172&lt;95),0.17,0)+IF(AND(V172&gt;=75,W172&gt;=95),0.1,0),
IF(AF172="DoEVba",IF(AND(V172&lt;20,W172&lt;105),0.2,0)+IF(AND(V172&lt;20,W172&gt;=105),0.15,0)+IF(AND(V172&gt;=20,V172&lt;40,W172&lt;95),0.2,0)+IF(AND(V172&gt;=20,V172&lt;40,W172&gt;=95,W172&lt;150),0.15,0)+IF(AND(V172&gt;=20,V172&lt;40,W172&gt;=150),0.12,0)+IF(AND(V172&gt;=40,V172&lt;75,W172&lt;75),0.2,0)+IF(AND(V172&gt;=40,V172&lt;75,W172&gt;=75,W172&lt;120),0.15,0)+IF(AND(V172&gt;=40,V172&lt;75,W172&gt;=120),0.12,0)+IF(AND(V172&gt;=75,V172&lt;175,W172&lt;65),0.2,0)+IF(AND(V172&gt;=75,V172&lt;175,W172&gt;=65,W172&lt;110),0.15,0)+IF(AND(V172&gt;=75,V172&lt;175,W172&gt;=110),0.12,0)+IF(AND(V172&gt;=175,W172&lt;55),0.2,0)+IF(AND(V172&gt;=175,W172&gt;=55,W172&lt;95),0.15,0)+IF(AND(V172&gt;=175,W172&gt;=95),0.12,0),
IF(AF172="DoEVku",IF(AND(V172&lt;20,W172&lt;55),0.23,0)+IF(AND(V172&lt;20,W172&gt;=55,W172&lt;105),0.2,0)+IF(AND(V172&lt;20,W172&gt;=105),0.17,0)+IF(AND(V172&gt;=20,V172&lt;40,W172&lt;45),0.23,0)+IF(AND(V172&gt;=20,V172&lt;40,W172&gt;=45,W172&lt;95),0.2,0)+IF(AND(V172&gt;=20,V172&lt;40,W172&gt;=95,W172&lt;=150),0.17,0)+IF(AND(V172&gt;=20,V172&lt;40,W172&gt;=150),0.12,0)+IF(AND(V172&gt;=40,V172&lt;75,W172&lt;35),0.23,0)+IF(AND(V172&gt;=40,V172&lt;75,W172&gt;=35,W172&lt;75),0.2,0)+IF(AND(V172&gt;=40,V172&lt;75,W172&gt;=75,W172&lt;120),0.17,0)+IF(AND(V172&gt;=40,V172&lt;75,W172&gt;=120),0.12,0)+IF(AND(V172&gt;=75,V172&lt;175,W172&lt;35),0.23,0)+IF(AND(V172&gt;=75,V172&lt;=175,W172&gt;=35,W172&lt;65),0.2,0)+IF(AND(V172&gt;=75,V172&lt;=175,W172&gt;=65,W172&lt;110),0.17,0)+IF(AND(V172&gt;=75,V172&lt;=175,W172&gt;=110),0.12,0)+IF(AND(V172&gt;175,W172&lt;25),0.23,0)+IF(AND(V172&gt;175,W172&gt;=25,W172&lt;55),0.2,0)+IF(AND(V172&gt;175,W172&gt;=55,W172&lt;95),0.17,0)+IF(AND(V172&gt;175,W172&gt;=95),0.12,0),
IF(AF172="DoEVs1",IF(AND(V172&lt;20,W172&lt;55),0.3,0)+IF(AND(V172&lt;20,W172&gt;=55,W172&lt;105),0.23,0)+IF(AND(V172&lt;20,W172&gt;=105),0.17,0)+IF(AND(V172&gt;=20,V172&lt;40,W172&lt;45),0.3,0)+IF(AND(V172&gt;=20,V172&lt;40,W172&gt;=45,W172&lt;95),0.23,0)+IF(AND(V172&gt;=20,V172&lt;40,W172&gt;=95,W172&lt;=150),0.17,0)+IF(AND(V172&gt;=20,V172&lt;40,W172&gt;=150),0.12,0)+IF(AND(V172&gt;=40,V172&lt;75,W172&lt;35),0.3,0)+IF(AND(V172&gt;=40,V172&lt;75,W172&gt;=35,W172&lt;75),0.23,0)+IF(AND(V172&gt;=40,V172&lt;75,W172&gt;=75,W172&lt;120),0.17,0)+IF(AND(V172&gt;=40,V172&lt;75,W172&gt;=120),0.12,0)+IF(AND(V172&gt;=75,V172&lt;175,W172&lt;35),0.3,0)+IF(AND(V172&gt;=75,V172&lt;=175,W172&gt;=35,W172&lt;65),0.23,0)+IF(AND(V172&gt;=75,V172&lt;=175,W172&gt;=65,W172&lt;110),0.17,0)+IF(AND(V172&gt;=75,V172&lt;=175,W172&gt;=110),0.12,0)+IF(AND(V172&gt;175,W172&lt;25),0.3,0)+IF(AND(V172&gt;175,W172&gt;=25,W172&lt;55),0.23,0)+IF(AND(V172&gt;175,W172&gt;=55,W172&lt;95),0.17,0)+IF(AND(V172&gt;175,W172&gt;=95),0.12,0),
IF(AF172="DoEVsu",IF(AND(V172&lt;20,W172&lt;55),0.3,0)+IF(AND(V172&lt;20,W172&gt;=55,W172&lt;105),0.23,0)+IF(AND(V172&lt;20,W172&gt;=105),0.17,0)+IF(AND(V172&gt;=20,V172&lt;40,W172&lt;45),0.3,0)+IF(AND(V172&gt;=20,V172&lt;40,W172&gt;=45,W172&lt;95),0.23,0)+IF(AND(V172&gt;=20,V172&lt;40,W172&gt;=95,W172&lt;=250),0.17,0)+IF(AND(V172&gt;=20,V172&lt;40,W172&gt;=250),0.12,0)+IF(AND(V172&gt;=40,V172&lt;75,W172&lt;35),0.3,0)+IF(AND(V172&gt;=40,V172&lt;75,W172&gt;=35,W172&lt;75),0.23,0)+IF(AND(V172&gt;=40,V172&lt;75,W172&gt;=75,W172&lt;120),0.17,0)+IF(AND(V172&gt;=40,V172&lt;75,W172&gt;=120),0.12,0)+IF(AND(V172&gt;=75,V172&lt;175,W172&lt;35),0.3,0)+IF(AND(V172&gt;=75,V172&lt;=175,W172&gt;=35,W172&lt;65),0.23,0)+IF(AND(V172&gt;=75,V172&lt;=175,W172&gt;=65,W172&lt;110),0.17,0)+IF(AND(V172&gt;=75,V172&lt;=175,W172&gt;=110),0.12,0)+IF(AND(V172&gt;175,W172&lt;25),0.3,0)+IF(AND(V172&gt;175,W172&gt;=25,W172&lt;55),0.23,0)+IF(AND(V172&gt;175,W172&gt;=55,W172&lt;95),0.17,0)+IF(AND(V172&gt;175,W172&gt;=95),0.12,0),
IF(AF172="DoEVni",IF(AND(V172&lt;20,W172&lt;55),0.3,0)+IF(AND(V172&lt;20,W172&gt;=55,W172&lt;105),0.23,0)+IF(AND(V172&lt;20,W172&gt;=105),0.17,0)+IF(AND(V172&gt;=20,V172&lt;40,W172&lt;45),0.3,0)+IF(AND(V172&gt;=20,V172&lt;40,W172&gt;=45,W172&lt;95),0.23,0)+IF(AND(V172&gt;=20,V172&lt;40,W172&gt;=95,W172&lt;=200),0.17,0)+IF(AND(V172&gt;=20,V172&lt;40,W172&gt;=200),0.12,0)+IF(AND(V172&gt;=40,V172&lt;75,W172&lt;35),0.3,0)+IF(AND(V172&gt;=40,V172&lt;75,W172&gt;=35,W172&lt;75),0.23,0)+IF(AND(V172&gt;=40,V172&lt;75,W172&gt;=75,W172&lt;120),0.17,0)+IF(AND(V172&gt;=40,V172&lt;75,W172&gt;=120),0.12,0)+IF(AND(V172&gt;=75,V172&lt;175,W172&lt;35),0.3,0)+IF(AND(V172&gt;=75,V172&lt;=175,W172&gt;=35,W172&lt;65),0.23,0)+IF(AND(V172&gt;=75,V172&lt;=175,W172&gt;=65,W172&lt;110),0.17,0)+IF(AND(V172&gt;=75,V172&lt;=175,W172&gt;=110),0.12,0)+IF(AND(V172&gt;175,W172&lt;25),0.3,0)+IF(AND(V172&gt;175,W172&gt;=25,W172&lt;55),0.23,0)+IF(AND(V172&gt;175,W172&gt;=55,W172&lt;95),0.17,0)+IF(AND(V172&gt;175,W172&gt;=95),0.12,0),
IF(AF172="DoEVLo",IF(AND(V172&lt;20,W172&lt;55),0.25,0)+IF(AND(V172&lt;20,W172&gt;=55,W172&lt;105),0.2,0)+IF(AND(V172&lt;20,W172&gt;=105),0.15,0)+IF(AND(V172&gt;=20,V172&lt;40,W172&lt;45),0.25,0)+IF(AND(V172&gt;=20,V172&lt;40,W172&gt;=45,W172&lt;95),0.2,0)+IF(AND(V172&gt;=20,V172&lt;40,W172&gt;=95),0.15,0)+IF(AND(V172&gt;=40,V172&lt;75,W172&lt;35),0.25,0)+IF(AND(V172&gt;=40,V172&lt;75,W172&gt;=35,W172&lt;75),0.2,0)+IF(AND(V172&gt;=40,V172&lt;75,W172&gt;=75,W172&lt;120),0.15,0)+IF(AND(V172&gt;=40,V172&lt;75,W172&gt;=120),0.1,0)+IF(AND(V172&gt;=75,V172&lt;175,W172&lt;35),0.25,0)+IF(AND(V172&gt;=75,V172&lt;=175,W172&gt;=35,W172&lt;65),0.2,0)+IF(AND(V172&gt;=75,V172&lt;=175,W172&gt;=65,W172&lt;110),0.15,0)+IF(AND(V172&gt;=75,V172&lt;=175,W172&gt;=110),0.1,0)+IF(AND(V172&gt;175,W172&lt;25),0.25,0)+IF(AND(V172&gt;175,W172&gt;=25,W172&lt;55),0.2,0)+IF(AND(V172&gt;175,W172&gt;=55,W172&lt;95),0.15,0)+IF(AND(V172&gt;175,W172&gt;=95),0.1,0))))))))))))))))</f>
        <v>0.22</v>
      </c>
      <c r="Y172" s="30">
        <f>IF(AG172="None",0,IF(AG172="Fix5",0.05,IF(AG172="Fix3.75",0.0375,IF(AG172="Fix10",0.1,IF(AG172="Fix3",0.03,0)))))</f>
        <v>0</v>
      </c>
      <c r="Z172" s="35">
        <f>T172-AA172-AB172</f>
        <v>611.52</v>
      </c>
      <c r="AA172" s="29">
        <f>IF(AD172="EUR",((T172-R172)*X172)*U172+(R172*X172),(T172*X172))</f>
        <v>172.48</v>
      </c>
      <c r="AB172" s="36">
        <f>IF(AD172="EUR",((T172-R172)*Y172)*U172+(R172*Y172),(T172*Y172))</f>
        <v>0</v>
      </c>
      <c r="AC172" s="37" t="b">
        <v>0</v>
      </c>
      <c r="AD172" s="37" t="s">
        <v>38</v>
      </c>
      <c r="AE172" s="37" t="s">
        <v>38</v>
      </c>
      <c r="AF172" s="37" t="str">
        <f t="array" ref="AF172">INDEX('Deal Info'!D:D, MATCH(A172,'Deal Info'!A:A, 0))</f>
        <v>SF</v>
      </c>
      <c r="AG172" s="38" t="str">
        <f t="array" ref="AG172">INDEX('Deal Info'!G:G, MATCH(A172,'Deal Info'!A:A, 0))</f>
        <v>None</v>
      </c>
    </row>
    <row r="173" spans="1:33" ht="14.25" hidden="1" x14ac:dyDescent="0.2">
      <c r="A173" s="18" t="str">
        <f t="array" ref="A173">IF(G173='Room Info'!$B$1, INDEX('Room Info'!$A$2:$A2446, MATCH(B173,'Room Info'!$B$2:$B2446, 0)),IF(G173='Room Info'!$C$1, INDEX('Room Info'!$A$2:$A2446, MATCH(B173,'Room Info'!$C$2:$C2446, 0)),IF(G173='Room Info'!$D$1, INDEX('Room Info'!$A$2:$A2446, MATCH(B173,'Room Info'!$D$2:$D2446, 0)),IF(G173='Room Info'!$E$1, INDEX('Room Info'!$A$2:$A2446, MATCH(B173,'Room Info'!$E$2:$E2446, 0)),IF(G173='Room Info'!$F$1, INDEX('Room Info'!$A$2:$A2446, MATCH(B173,'Room Info'!$F$2:$F2446, 0)),IF(G173='Room Info'!$H$1, INDEX('Room Info'!$A$2:$A2446, MATCH(B173,'Room Info'!$H$2:$H2446, 0)),IF(G173='Room Info'!$G$1, INDEX('Room Info'!$A$2:$A2446, MATCH(B173,'Room Info'!$G$2:$G2446, 0)))))))))</f>
        <v>bbaltqq</v>
      </c>
      <c r="B173" s="54" t="s">
        <v>89</v>
      </c>
      <c r="C173" s="67">
        <v>44886</v>
      </c>
      <c r="D173" s="67">
        <v>44915</v>
      </c>
      <c r="E173" s="47">
        <v>44896</v>
      </c>
      <c r="F173" s="45" t="s">
        <v>41</v>
      </c>
      <c r="G173" s="54" t="s">
        <v>35</v>
      </c>
      <c r="H173" s="49" t="s">
        <v>40</v>
      </c>
      <c r="I173" s="49" t="s">
        <v>37</v>
      </c>
      <c r="J173" s="50">
        <v>10</v>
      </c>
      <c r="K173" s="51">
        <v>82</v>
      </c>
      <c r="L173" s="52">
        <v>80</v>
      </c>
      <c r="M173" s="53">
        <v>127</v>
      </c>
      <c r="N173" s="28">
        <f>K173*J173</f>
        <v>820</v>
      </c>
      <c r="O173" s="54">
        <v>6276</v>
      </c>
      <c r="P173" s="29">
        <v>76.536585369999997</v>
      </c>
      <c r="Q173" s="55"/>
      <c r="R173" s="31">
        <f>M173+Q173</f>
        <v>127</v>
      </c>
      <c r="S173" s="56"/>
      <c r="T173" s="32">
        <f>R173+S173+IF(F173="Without EV deal",L173,0)</f>
        <v>207</v>
      </c>
      <c r="U173" s="33">
        <v>1</v>
      </c>
      <c r="V173" s="69">
        <v>41.346960167714883</v>
      </c>
      <c r="W173" s="69">
        <v>154.59419444796552</v>
      </c>
      <c r="X173" s="30">
        <f>IF(AF173="DoEV",IF(AND(V173&lt;20,W173&lt;55),0.3,0)+IF(AND(V173&lt;20,W173&gt;=55,W173&lt;105),0.23,0)+IF(AND(V173&lt;20,W173&gt;=105),0.17,0)+IF(AND(V173&gt;=20,V173&lt;40,W173&lt;45),0.3,0)+IF(AND(V173&gt;=20,V173&lt;40,W173&gt;=45,W173&lt;95),0.23,0)+IF(AND(V173&gt;=20,V173&lt;40,W173&gt;=95),0.17,0)+IF(AND(V173&gt;=40,V173&lt;75,W173&lt;35),0.3,0)+IF(AND(V173&gt;=40,V173&lt;75,W173&gt;=35,W173&lt;75),0.23,0)+IF(AND(V173&gt;=40,V173&lt;75,W173&gt;=75,W173&lt;120),0.17,0)+IF(AND(V173&gt;=40,V173&lt;75,W173&gt;=120),0.12,0)+IF(AND(V173&gt;=75,V173&lt;175,W173&lt;35),0.3,0)+IF(AND(V173&gt;=75,V173&lt;=175,W173&gt;=35,W173&lt;65),0.23,0)+IF(AND(V173&gt;=75,V173&lt;=175,W173&gt;=65,W173&lt;110),0.17,0)+IF(AND(V173&gt;=75,V173&lt;=175,W173&gt;=110),0.12,0)+IF(AND(V173&gt;175,W173&lt;25),0.3,0)+IF(AND(V173&gt;175,W173&gt;=25,W173&lt;55),0.23,0)+IF(AND(V173&gt;175,W173&gt;=55,W173&lt;95),0.17,0)+IF(AND(V173&gt;175,W173&gt;=95),0.12,0),
IF(AF173="Fix15",0.15,
IF(AF173="Fix11.25",0.1125,
IF(AF173="Fix10",0.1,
IF(AF173="Fix9",0.09,
IF(AF173="DoEV2017",IF(AND(W173&lt;74),0.2,0)+IF(AND(W173&gt;=74),0.17,0),
IF(AF173="SF",IF(AND(V173&lt;20,W173&lt;89),0.3,0)+IF(AND(V173&lt;20,W173&gt;=89),0.25,0)+IF(AND(V173&gt;=20,V173&lt;40,W173&lt;74),0.3,0)+IF(AND(V173&gt;=20,V173&lt;40,W173&gt;=75),0.22,0)+IF(AND(V173&gt;=40,V173&lt;75,W173&lt;75),0.26,0)+IF(AND(V173&gt;=40,V173&lt;75,W173&gt;=75),0.22,0)+IF(V173&gt;=75,0.22,0),
IF(AF173="DoEVold",IF(AND(V173&lt;40,W173&lt;35),0.35,0)+IF(AND(V173&lt;40,W173&gt;=35,W173&lt;75),0.25,0)+IF(AND(V173&lt;40,W173&gt;=75),0.17,0)+IF(AND(V173&gt;=40,V173&lt;75,W173&lt;25),0.35,0)+IF(AND(V173&gt;=40,V173&lt;75,W173&gt;=25,W173&lt;65),0.25,0)+IF(AND(V173&gt;=40,V173&lt;75,W173&gt;=65,W173&lt;100),0.17,0)+IF(AND(V173&gt;=40,V173&lt;75,W173&gt;=100),0.1,0)+IF(AND(V173&gt;=75,W173&lt;25),0.35,0)+IF(AND(V173&gt;=75,W173&gt;=25,W173&lt;60),0.25,0)+IF(AND(V173&gt;=75,W173&gt;=60,W173&lt;95),0.17,0)+IF(AND(V173&gt;=75,W173&gt;=95),0.1,0),
IF(AF173="DoEVold15",IF(AND(V173&lt;=40,W173&lt;35),0.35,0)+IF(AND(V173&lt;=40,W173&gt;=35,W173&lt;75),0.25,0)+IF(AND(V173&lt;=40,W173&gt;=75,W173&lt;120),0.17,0)+IF(AND(V173&lt;=40,W173&gt;=120),0.15,0)+IF(AND(V173&gt;40,V173&lt;75,W173&lt;25),0.35,0)+IF(AND(V173&gt;=40,V173&lt;75,W173&gt;=25,W173&lt;65),0.25,0)+IF(AND(V173&gt;=40,V173&lt;75,W173&gt;=65,W173&lt;100),0.17,0)+IF(AND(V173&gt;=40,V173&lt;75,W173&gt;=100),0.1,0)+IF(AND(V173&gt;=75,W173&lt;25),0.35,0)+IF(AND(V173&gt;=75,W173&gt;=25,W173&lt;60),0.25,0)+IF(AND(V173&gt;=75,W173&gt;=60,W173&lt;95),0.17,0)+IF(AND(V173&gt;=75,W173&gt;=95),0.1,0),
IF(AF173="DoEVba",IF(AND(V173&lt;20,W173&lt;105),0.2,0)+IF(AND(V173&lt;20,W173&gt;=105),0.15,0)+IF(AND(V173&gt;=20,V173&lt;40,W173&lt;95),0.2,0)+IF(AND(V173&gt;=20,V173&lt;40,W173&gt;=95,W173&lt;150),0.15,0)+IF(AND(V173&gt;=20,V173&lt;40,W173&gt;=150),0.12,0)+IF(AND(V173&gt;=40,V173&lt;75,W173&lt;75),0.2,0)+IF(AND(V173&gt;=40,V173&lt;75,W173&gt;=75,W173&lt;120),0.15,0)+IF(AND(V173&gt;=40,V173&lt;75,W173&gt;=120),0.12,0)+IF(AND(V173&gt;=75,V173&lt;175,W173&lt;65),0.2,0)+IF(AND(V173&gt;=75,V173&lt;175,W173&gt;=65,W173&lt;110),0.15,0)+IF(AND(V173&gt;=75,V173&lt;175,W173&gt;=110),0.12,0)+IF(AND(V173&gt;=175,W173&lt;55),0.2,0)+IF(AND(V173&gt;=175,W173&gt;=55,W173&lt;95),0.15,0)+IF(AND(V173&gt;=175,W173&gt;=95),0.12,0),
IF(AF173="DoEVku",IF(AND(V173&lt;20,W173&lt;55),0.23,0)+IF(AND(V173&lt;20,W173&gt;=55,W173&lt;105),0.2,0)+IF(AND(V173&lt;20,W173&gt;=105),0.17,0)+IF(AND(V173&gt;=20,V173&lt;40,W173&lt;45),0.23,0)+IF(AND(V173&gt;=20,V173&lt;40,W173&gt;=45,W173&lt;95),0.2,0)+IF(AND(V173&gt;=20,V173&lt;40,W173&gt;=95,W173&lt;=150),0.17,0)+IF(AND(V173&gt;=20,V173&lt;40,W173&gt;=150),0.12,0)+IF(AND(V173&gt;=40,V173&lt;75,W173&lt;35),0.23,0)+IF(AND(V173&gt;=40,V173&lt;75,W173&gt;=35,W173&lt;75),0.2,0)+IF(AND(V173&gt;=40,V173&lt;75,W173&gt;=75,W173&lt;120),0.17,0)+IF(AND(V173&gt;=40,V173&lt;75,W173&gt;=120),0.12,0)+IF(AND(V173&gt;=75,V173&lt;175,W173&lt;35),0.23,0)+IF(AND(V173&gt;=75,V173&lt;=175,W173&gt;=35,W173&lt;65),0.2,0)+IF(AND(V173&gt;=75,V173&lt;=175,W173&gt;=65,W173&lt;110),0.17,0)+IF(AND(V173&gt;=75,V173&lt;=175,W173&gt;=110),0.12,0)+IF(AND(V173&gt;175,W173&lt;25),0.23,0)+IF(AND(V173&gt;175,W173&gt;=25,W173&lt;55),0.2,0)+IF(AND(V173&gt;175,W173&gt;=55,W173&lt;95),0.17,0)+IF(AND(V173&gt;175,W173&gt;=95),0.12,0),
IF(AF173="DoEVs1",IF(AND(V173&lt;20,W173&lt;55),0.3,0)+IF(AND(V173&lt;20,W173&gt;=55,W173&lt;105),0.23,0)+IF(AND(V173&lt;20,W173&gt;=105),0.17,0)+IF(AND(V173&gt;=20,V173&lt;40,W173&lt;45),0.3,0)+IF(AND(V173&gt;=20,V173&lt;40,W173&gt;=45,W173&lt;95),0.23,0)+IF(AND(V173&gt;=20,V173&lt;40,W173&gt;=95,W173&lt;=150),0.17,0)+IF(AND(V173&gt;=20,V173&lt;40,W173&gt;=150),0.12,0)+IF(AND(V173&gt;=40,V173&lt;75,W173&lt;35),0.3,0)+IF(AND(V173&gt;=40,V173&lt;75,W173&gt;=35,W173&lt;75),0.23,0)+IF(AND(V173&gt;=40,V173&lt;75,W173&gt;=75,W173&lt;120),0.17,0)+IF(AND(V173&gt;=40,V173&lt;75,W173&gt;=120),0.12,0)+IF(AND(V173&gt;=75,V173&lt;175,W173&lt;35),0.3,0)+IF(AND(V173&gt;=75,V173&lt;=175,W173&gt;=35,W173&lt;65),0.23,0)+IF(AND(V173&gt;=75,V173&lt;=175,W173&gt;=65,W173&lt;110),0.17,0)+IF(AND(V173&gt;=75,V173&lt;=175,W173&gt;=110),0.12,0)+IF(AND(V173&gt;175,W173&lt;25),0.3,0)+IF(AND(V173&gt;175,W173&gt;=25,W173&lt;55),0.23,0)+IF(AND(V173&gt;175,W173&gt;=55,W173&lt;95),0.17,0)+IF(AND(V173&gt;175,W173&gt;=95),0.12,0),
IF(AF173="DoEVsu",IF(AND(V173&lt;20,W173&lt;55),0.3,0)+IF(AND(V173&lt;20,W173&gt;=55,W173&lt;105),0.23,0)+IF(AND(V173&lt;20,W173&gt;=105),0.17,0)+IF(AND(V173&gt;=20,V173&lt;40,W173&lt;45),0.3,0)+IF(AND(V173&gt;=20,V173&lt;40,W173&gt;=45,W173&lt;95),0.23,0)+IF(AND(V173&gt;=20,V173&lt;40,W173&gt;=95,W173&lt;=250),0.17,0)+IF(AND(V173&gt;=20,V173&lt;40,W173&gt;=250),0.12,0)+IF(AND(V173&gt;=40,V173&lt;75,W173&lt;35),0.3,0)+IF(AND(V173&gt;=40,V173&lt;75,W173&gt;=35,W173&lt;75),0.23,0)+IF(AND(V173&gt;=40,V173&lt;75,W173&gt;=75,W173&lt;120),0.17,0)+IF(AND(V173&gt;=40,V173&lt;75,W173&gt;=120),0.12,0)+IF(AND(V173&gt;=75,V173&lt;175,W173&lt;35),0.3,0)+IF(AND(V173&gt;=75,V173&lt;=175,W173&gt;=35,W173&lt;65),0.23,0)+IF(AND(V173&gt;=75,V173&lt;=175,W173&gt;=65,W173&lt;110),0.17,0)+IF(AND(V173&gt;=75,V173&lt;=175,W173&gt;=110),0.12,0)+IF(AND(V173&gt;175,W173&lt;25),0.3,0)+IF(AND(V173&gt;175,W173&gt;=25,W173&lt;55),0.23,0)+IF(AND(V173&gt;175,W173&gt;=55,W173&lt;95),0.17,0)+IF(AND(V173&gt;175,W173&gt;=95),0.12,0),
IF(AF173="DoEVni",IF(AND(V173&lt;20,W173&lt;55),0.3,0)+IF(AND(V173&lt;20,W173&gt;=55,W173&lt;105),0.23,0)+IF(AND(V173&lt;20,W173&gt;=105),0.17,0)+IF(AND(V173&gt;=20,V173&lt;40,W173&lt;45),0.3,0)+IF(AND(V173&gt;=20,V173&lt;40,W173&gt;=45,W173&lt;95),0.23,0)+IF(AND(V173&gt;=20,V173&lt;40,W173&gt;=95,W173&lt;=200),0.17,0)+IF(AND(V173&gt;=20,V173&lt;40,W173&gt;=200),0.12,0)+IF(AND(V173&gt;=40,V173&lt;75,W173&lt;35),0.3,0)+IF(AND(V173&gt;=40,V173&lt;75,W173&gt;=35,W173&lt;75),0.23,0)+IF(AND(V173&gt;=40,V173&lt;75,W173&gt;=75,W173&lt;120),0.17,0)+IF(AND(V173&gt;=40,V173&lt;75,W173&gt;=120),0.12,0)+IF(AND(V173&gt;=75,V173&lt;175,W173&lt;35),0.3,0)+IF(AND(V173&gt;=75,V173&lt;=175,W173&gt;=35,W173&lt;65),0.23,0)+IF(AND(V173&gt;=75,V173&lt;=175,W173&gt;=65,W173&lt;110),0.17,0)+IF(AND(V173&gt;=75,V173&lt;=175,W173&gt;=110),0.12,0)+IF(AND(V173&gt;175,W173&lt;25),0.3,0)+IF(AND(V173&gt;175,W173&gt;=25,W173&lt;55),0.23,0)+IF(AND(V173&gt;175,W173&gt;=55,W173&lt;95),0.17,0)+IF(AND(V173&gt;175,W173&gt;=95),0.12,0),
IF(AF173="DoEVLo",IF(AND(V173&lt;20,W173&lt;55),0.25,0)+IF(AND(V173&lt;20,W173&gt;=55,W173&lt;105),0.2,0)+IF(AND(V173&lt;20,W173&gt;=105),0.15,0)+IF(AND(V173&gt;=20,V173&lt;40,W173&lt;45),0.25,0)+IF(AND(V173&gt;=20,V173&lt;40,W173&gt;=45,W173&lt;95),0.2,0)+IF(AND(V173&gt;=20,V173&lt;40,W173&gt;=95),0.15,0)+IF(AND(V173&gt;=40,V173&lt;75,W173&lt;35),0.25,0)+IF(AND(V173&gt;=40,V173&lt;75,W173&gt;=35,W173&lt;75),0.2,0)+IF(AND(V173&gt;=40,V173&lt;75,W173&gt;=75,W173&lt;120),0.15,0)+IF(AND(V173&gt;=40,V173&lt;75,W173&gt;=120),0.1,0)+IF(AND(V173&gt;=75,V173&lt;175,W173&lt;35),0.25,0)+IF(AND(V173&gt;=75,V173&lt;=175,W173&gt;=35,W173&lt;65),0.2,0)+IF(AND(V173&gt;=75,V173&lt;=175,W173&gt;=65,W173&lt;110),0.15,0)+IF(AND(V173&gt;=75,V173&lt;=175,W173&gt;=110),0.1,0)+IF(AND(V173&gt;175,W173&lt;25),0.25,0)+IF(AND(V173&gt;175,W173&gt;=25,W173&lt;55),0.2,0)+IF(AND(V173&gt;175,W173&gt;=55,W173&lt;95),0.15,0)+IF(AND(V173&gt;175,W173&gt;=95),0.1,0))))))))))))))))</f>
        <v>0.22</v>
      </c>
      <c r="Y173" s="30">
        <f>IF(AG173="None",0,IF(AG173="Fix5",0.05,IF(AG173="Fix3.75",0.0375,IF(AG173="Fix10",0.1,IF(AG173="Fix3",0.03,0)))))</f>
        <v>0</v>
      </c>
      <c r="Z173" s="35">
        <f>T173-AA173-AB173</f>
        <v>161.46</v>
      </c>
      <c r="AA173" s="29">
        <f>IF(AD173="EUR",((T173-R173)*X173)*U173+(R173*X173),(T173*X173))</f>
        <v>45.54</v>
      </c>
      <c r="AB173" s="36">
        <f>IF(AD173="EUR",((T173-R173)*Y173)*U173+(R173*Y173),(T173*Y173))</f>
        <v>0</v>
      </c>
      <c r="AC173" s="37" t="b">
        <v>0</v>
      </c>
      <c r="AD173" s="37" t="s">
        <v>38</v>
      </c>
      <c r="AE173" s="37" t="s">
        <v>38</v>
      </c>
      <c r="AF173" s="37" t="str">
        <f t="array" ref="AF173">INDEX('Deal Info'!D:D, MATCH(A173,'Deal Info'!A:A, 0))</f>
        <v>SF</v>
      </c>
      <c r="AG173" s="38" t="str">
        <f t="array" ref="AG173">INDEX('Deal Info'!G:G, MATCH(A173,'Deal Info'!A:A, 0))</f>
        <v>None</v>
      </c>
    </row>
    <row r="174" spans="1:33" ht="14.25" hidden="1" x14ac:dyDescent="0.2">
      <c r="A174" s="18" t="str">
        <f t="array" ref="A174">IF(G174='Room Info'!$B$1, INDEX('Room Info'!$A$2:$A2446, MATCH(B174,'Room Info'!$B$2:$B2446, 0)),IF(G174='Room Info'!$C$1, INDEX('Room Info'!$A$2:$A2446, MATCH(B174,'Room Info'!$C$2:$C2446, 0)),IF(G174='Room Info'!$D$1, INDEX('Room Info'!$A$2:$A2446, MATCH(B174,'Room Info'!$D$2:$D2446, 0)),IF(G174='Room Info'!$E$1, INDEX('Room Info'!$A$2:$A2446, MATCH(B174,'Room Info'!$E$2:$E2446, 0)),IF(G174='Room Info'!$F$1, INDEX('Room Info'!$A$2:$A2446, MATCH(B174,'Room Info'!$F$2:$F2446, 0)),IF(G174='Room Info'!$H$1, INDEX('Room Info'!$A$2:$A2446, MATCH(B174,'Room Info'!$H$2:$H2446, 0)),IF(G174='Room Info'!$G$1, INDEX('Room Info'!$A$2:$A2446, MATCH(B174,'Room Info'!$G$2:$G2446, 0)))))))))</f>
        <v>bbaltqq</v>
      </c>
      <c r="B174" s="54" t="s">
        <v>89</v>
      </c>
      <c r="C174" s="67">
        <v>44916</v>
      </c>
      <c r="D174" s="67">
        <v>44946</v>
      </c>
      <c r="E174" s="47">
        <v>44927</v>
      </c>
      <c r="F174" s="45" t="s">
        <v>34</v>
      </c>
      <c r="G174" s="54" t="s">
        <v>35</v>
      </c>
      <c r="H174" s="49" t="s">
        <v>72</v>
      </c>
      <c r="I174" s="49" t="s">
        <v>37</v>
      </c>
      <c r="J174" s="50">
        <v>50</v>
      </c>
      <c r="K174" s="51">
        <v>2213</v>
      </c>
      <c r="L174" s="52">
        <v>-7000</v>
      </c>
      <c r="M174" s="53">
        <v>1346</v>
      </c>
      <c r="N174" s="28">
        <f>K174*J174</f>
        <v>110650</v>
      </c>
      <c r="O174" s="54">
        <v>30259</v>
      </c>
      <c r="P174" s="29">
        <v>13.67329417</v>
      </c>
      <c r="Q174" s="55"/>
      <c r="R174" s="31">
        <f>M174+Q174</f>
        <v>1346</v>
      </c>
      <c r="S174" s="56">
        <v>-4063</v>
      </c>
      <c r="T174" s="32">
        <f>R174+S174+IF(F174="Without EV deal",L174,0)</f>
        <v>-2717</v>
      </c>
      <c r="U174" s="33">
        <v>1</v>
      </c>
      <c r="V174" s="69">
        <v>49.824876515491695</v>
      </c>
      <c r="W174" s="69">
        <v>-57.963013698630135</v>
      </c>
      <c r="X174" s="30">
        <f>IF(AF174="DoEV",IF(AND(V174&lt;20,W174&lt;55),0.3,0)+IF(AND(V174&lt;20,W174&gt;=55,W174&lt;105),0.23,0)+IF(AND(V174&lt;20,W174&gt;=105),0.17,0)+IF(AND(V174&gt;=20,V174&lt;40,W174&lt;45),0.3,0)+IF(AND(V174&gt;=20,V174&lt;40,W174&gt;=45,W174&lt;95),0.23,0)+IF(AND(V174&gt;=20,V174&lt;40,W174&gt;=95),0.17,0)+IF(AND(V174&gt;=40,V174&lt;75,W174&lt;35),0.3,0)+IF(AND(V174&gt;=40,V174&lt;75,W174&gt;=35,W174&lt;75),0.23,0)+IF(AND(V174&gt;=40,V174&lt;75,W174&gt;=75,W174&lt;120),0.17,0)+IF(AND(V174&gt;=40,V174&lt;75,W174&gt;=120),0.12,0)+IF(AND(V174&gt;=75,V174&lt;175,W174&lt;35),0.3,0)+IF(AND(V174&gt;=75,V174&lt;=175,W174&gt;=35,W174&lt;65),0.23,0)+IF(AND(V174&gt;=75,V174&lt;=175,W174&gt;=65,W174&lt;110),0.17,0)+IF(AND(V174&gt;=75,V174&lt;=175,W174&gt;=110),0.12,0)+IF(AND(V174&gt;175,W174&lt;25),0.3,0)+IF(AND(V174&gt;175,W174&gt;=25,W174&lt;55),0.23,0)+IF(AND(V174&gt;175,W174&gt;=55,W174&lt;95),0.17,0)+IF(AND(V174&gt;175,W174&gt;=95),0.12,0),
IF(AF174="Fix15",0.15,
IF(AF174="Fix11.25",0.1125,
IF(AF174="Fix10",0.1,
IF(AF174="Fix9",0.09,
IF(AF174="DoEV2017",IF(AND(W174&lt;74),0.2,0)+IF(AND(W174&gt;=74),0.17,0),
IF(AF174="SF",IF(AND(V174&lt;20,W174&lt;89),0.3,0)+IF(AND(V174&lt;20,W174&gt;=89),0.25,0)+IF(AND(V174&gt;=20,V174&lt;40,W174&lt;74),0.3,0)+IF(AND(V174&gt;=20,V174&lt;40,W174&gt;=75),0.22,0)+IF(AND(V174&gt;=40,V174&lt;75,W174&lt;75),0.26,0)+IF(AND(V174&gt;=40,V174&lt;75,W174&gt;=75),0.22,0)+IF(V174&gt;=75,0.22,0),
IF(AF174="DoEVold",IF(AND(V174&lt;40,W174&lt;35),0.35,0)+IF(AND(V174&lt;40,W174&gt;=35,W174&lt;75),0.25,0)+IF(AND(V174&lt;40,W174&gt;=75),0.17,0)+IF(AND(V174&gt;=40,V174&lt;75,W174&lt;25),0.35,0)+IF(AND(V174&gt;=40,V174&lt;75,W174&gt;=25,W174&lt;65),0.25,0)+IF(AND(V174&gt;=40,V174&lt;75,W174&gt;=65,W174&lt;100),0.17,0)+IF(AND(V174&gt;=40,V174&lt;75,W174&gt;=100),0.1,0)+IF(AND(V174&gt;=75,W174&lt;25),0.35,0)+IF(AND(V174&gt;=75,W174&gt;=25,W174&lt;60),0.25,0)+IF(AND(V174&gt;=75,W174&gt;=60,W174&lt;95),0.17,0)+IF(AND(V174&gt;=75,W174&gt;=95),0.1,0),
IF(AF174="DoEVold15",IF(AND(V174&lt;=40,W174&lt;35),0.35,0)+IF(AND(V174&lt;=40,W174&gt;=35,W174&lt;75),0.25,0)+IF(AND(V174&lt;=40,W174&gt;=75,W174&lt;120),0.17,0)+IF(AND(V174&lt;=40,W174&gt;=120),0.15,0)+IF(AND(V174&gt;40,V174&lt;75,W174&lt;25),0.35,0)+IF(AND(V174&gt;=40,V174&lt;75,W174&gt;=25,W174&lt;65),0.25,0)+IF(AND(V174&gt;=40,V174&lt;75,W174&gt;=65,W174&lt;100),0.17,0)+IF(AND(V174&gt;=40,V174&lt;75,W174&gt;=100),0.1,0)+IF(AND(V174&gt;=75,W174&lt;25),0.35,0)+IF(AND(V174&gt;=75,W174&gt;=25,W174&lt;60),0.25,0)+IF(AND(V174&gt;=75,W174&gt;=60,W174&lt;95),0.17,0)+IF(AND(V174&gt;=75,W174&gt;=95),0.1,0),
IF(AF174="DoEVba",IF(AND(V174&lt;20,W174&lt;105),0.2,0)+IF(AND(V174&lt;20,W174&gt;=105),0.15,0)+IF(AND(V174&gt;=20,V174&lt;40,W174&lt;95),0.2,0)+IF(AND(V174&gt;=20,V174&lt;40,W174&gt;=95,W174&lt;150),0.15,0)+IF(AND(V174&gt;=20,V174&lt;40,W174&gt;=150),0.12,0)+IF(AND(V174&gt;=40,V174&lt;75,W174&lt;75),0.2,0)+IF(AND(V174&gt;=40,V174&lt;75,W174&gt;=75,W174&lt;120),0.15,0)+IF(AND(V174&gt;=40,V174&lt;75,W174&gt;=120),0.12,0)+IF(AND(V174&gt;=75,V174&lt;175,W174&lt;65),0.2,0)+IF(AND(V174&gt;=75,V174&lt;175,W174&gt;=65,W174&lt;110),0.15,0)+IF(AND(V174&gt;=75,V174&lt;175,W174&gt;=110),0.12,0)+IF(AND(V174&gt;=175,W174&lt;55),0.2,0)+IF(AND(V174&gt;=175,W174&gt;=55,W174&lt;95),0.15,0)+IF(AND(V174&gt;=175,W174&gt;=95),0.12,0),
IF(AF174="DoEVku",IF(AND(V174&lt;20,W174&lt;55),0.23,0)+IF(AND(V174&lt;20,W174&gt;=55,W174&lt;105),0.2,0)+IF(AND(V174&lt;20,W174&gt;=105),0.17,0)+IF(AND(V174&gt;=20,V174&lt;40,W174&lt;45),0.23,0)+IF(AND(V174&gt;=20,V174&lt;40,W174&gt;=45,W174&lt;95),0.2,0)+IF(AND(V174&gt;=20,V174&lt;40,W174&gt;=95,W174&lt;=150),0.17,0)+IF(AND(V174&gt;=20,V174&lt;40,W174&gt;=150),0.12,0)+IF(AND(V174&gt;=40,V174&lt;75,W174&lt;35),0.23,0)+IF(AND(V174&gt;=40,V174&lt;75,W174&gt;=35,W174&lt;75),0.2,0)+IF(AND(V174&gt;=40,V174&lt;75,W174&gt;=75,W174&lt;120),0.17,0)+IF(AND(V174&gt;=40,V174&lt;75,W174&gt;=120),0.12,0)+IF(AND(V174&gt;=75,V174&lt;175,W174&lt;35),0.23,0)+IF(AND(V174&gt;=75,V174&lt;=175,W174&gt;=35,W174&lt;65),0.2,0)+IF(AND(V174&gt;=75,V174&lt;=175,W174&gt;=65,W174&lt;110),0.17,0)+IF(AND(V174&gt;=75,V174&lt;=175,W174&gt;=110),0.12,0)+IF(AND(V174&gt;175,W174&lt;25),0.23,0)+IF(AND(V174&gt;175,W174&gt;=25,W174&lt;55),0.2,0)+IF(AND(V174&gt;175,W174&gt;=55,W174&lt;95),0.17,0)+IF(AND(V174&gt;175,W174&gt;=95),0.12,0),
IF(AF174="DoEVs1",IF(AND(V174&lt;20,W174&lt;55),0.3,0)+IF(AND(V174&lt;20,W174&gt;=55,W174&lt;105),0.23,0)+IF(AND(V174&lt;20,W174&gt;=105),0.17,0)+IF(AND(V174&gt;=20,V174&lt;40,W174&lt;45),0.3,0)+IF(AND(V174&gt;=20,V174&lt;40,W174&gt;=45,W174&lt;95),0.23,0)+IF(AND(V174&gt;=20,V174&lt;40,W174&gt;=95,W174&lt;=150),0.17,0)+IF(AND(V174&gt;=20,V174&lt;40,W174&gt;=150),0.12,0)+IF(AND(V174&gt;=40,V174&lt;75,W174&lt;35),0.3,0)+IF(AND(V174&gt;=40,V174&lt;75,W174&gt;=35,W174&lt;75),0.23,0)+IF(AND(V174&gt;=40,V174&lt;75,W174&gt;=75,W174&lt;120),0.17,0)+IF(AND(V174&gt;=40,V174&lt;75,W174&gt;=120),0.12,0)+IF(AND(V174&gt;=75,V174&lt;175,W174&lt;35),0.3,0)+IF(AND(V174&gt;=75,V174&lt;=175,W174&gt;=35,W174&lt;65),0.23,0)+IF(AND(V174&gt;=75,V174&lt;=175,W174&gt;=65,W174&lt;110),0.17,0)+IF(AND(V174&gt;=75,V174&lt;=175,W174&gt;=110),0.12,0)+IF(AND(V174&gt;175,W174&lt;25),0.3,0)+IF(AND(V174&gt;175,W174&gt;=25,W174&lt;55),0.23,0)+IF(AND(V174&gt;175,W174&gt;=55,W174&lt;95),0.17,0)+IF(AND(V174&gt;175,W174&gt;=95),0.12,0),
IF(AF174="DoEVsu",IF(AND(V174&lt;20,W174&lt;55),0.3,0)+IF(AND(V174&lt;20,W174&gt;=55,W174&lt;105),0.23,0)+IF(AND(V174&lt;20,W174&gt;=105),0.17,0)+IF(AND(V174&gt;=20,V174&lt;40,W174&lt;45),0.3,0)+IF(AND(V174&gt;=20,V174&lt;40,W174&gt;=45,W174&lt;95),0.23,0)+IF(AND(V174&gt;=20,V174&lt;40,W174&gt;=95,W174&lt;=250),0.17,0)+IF(AND(V174&gt;=20,V174&lt;40,W174&gt;=250),0.12,0)+IF(AND(V174&gt;=40,V174&lt;75,W174&lt;35),0.3,0)+IF(AND(V174&gt;=40,V174&lt;75,W174&gt;=35,W174&lt;75),0.23,0)+IF(AND(V174&gt;=40,V174&lt;75,W174&gt;=75,W174&lt;120),0.17,0)+IF(AND(V174&gt;=40,V174&lt;75,W174&gt;=120),0.12,0)+IF(AND(V174&gt;=75,V174&lt;175,W174&lt;35),0.3,0)+IF(AND(V174&gt;=75,V174&lt;=175,W174&gt;=35,W174&lt;65),0.23,0)+IF(AND(V174&gt;=75,V174&lt;=175,W174&gt;=65,W174&lt;110),0.17,0)+IF(AND(V174&gt;=75,V174&lt;=175,W174&gt;=110),0.12,0)+IF(AND(V174&gt;175,W174&lt;25),0.3,0)+IF(AND(V174&gt;175,W174&gt;=25,W174&lt;55),0.23,0)+IF(AND(V174&gt;175,W174&gt;=55,W174&lt;95),0.17,0)+IF(AND(V174&gt;175,W174&gt;=95),0.12,0),
IF(AF174="DoEVni",IF(AND(V174&lt;20,W174&lt;55),0.3,0)+IF(AND(V174&lt;20,W174&gt;=55,W174&lt;105),0.23,0)+IF(AND(V174&lt;20,W174&gt;=105),0.17,0)+IF(AND(V174&gt;=20,V174&lt;40,W174&lt;45),0.3,0)+IF(AND(V174&gt;=20,V174&lt;40,W174&gt;=45,W174&lt;95),0.23,0)+IF(AND(V174&gt;=20,V174&lt;40,W174&gt;=95,W174&lt;=200),0.17,0)+IF(AND(V174&gt;=20,V174&lt;40,W174&gt;=200),0.12,0)+IF(AND(V174&gt;=40,V174&lt;75,W174&lt;35),0.3,0)+IF(AND(V174&gt;=40,V174&lt;75,W174&gt;=35,W174&lt;75),0.23,0)+IF(AND(V174&gt;=40,V174&lt;75,W174&gt;=75,W174&lt;120),0.17,0)+IF(AND(V174&gt;=40,V174&lt;75,W174&gt;=120),0.12,0)+IF(AND(V174&gt;=75,V174&lt;175,W174&lt;35),0.3,0)+IF(AND(V174&gt;=75,V174&lt;=175,W174&gt;=35,W174&lt;65),0.23,0)+IF(AND(V174&gt;=75,V174&lt;=175,W174&gt;=65,W174&lt;110),0.17,0)+IF(AND(V174&gt;=75,V174&lt;=175,W174&gt;=110),0.12,0)+IF(AND(V174&gt;175,W174&lt;25),0.3,0)+IF(AND(V174&gt;175,W174&gt;=25,W174&lt;55),0.23,0)+IF(AND(V174&gt;175,W174&gt;=55,W174&lt;95),0.17,0)+IF(AND(V174&gt;175,W174&gt;=95),0.12,0),
IF(AF174="DoEVLo",IF(AND(V174&lt;20,W174&lt;55),0.25,0)+IF(AND(V174&lt;20,W174&gt;=55,W174&lt;105),0.2,0)+IF(AND(V174&lt;20,W174&gt;=105),0.15,0)+IF(AND(V174&gt;=20,V174&lt;40,W174&lt;45),0.25,0)+IF(AND(V174&gt;=20,V174&lt;40,W174&gt;=45,W174&lt;95),0.2,0)+IF(AND(V174&gt;=20,V174&lt;40,W174&gt;=95),0.15,0)+IF(AND(V174&gt;=40,V174&lt;75,W174&lt;35),0.25,0)+IF(AND(V174&gt;=40,V174&lt;75,W174&gt;=35,W174&lt;75),0.2,0)+IF(AND(V174&gt;=40,V174&lt;75,W174&gt;=75,W174&lt;120),0.15,0)+IF(AND(V174&gt;=40,V174&lt;75,W174&gt;=120),0.1,0)+IF(AND(V174&gt;=75,V174&lt;175,W174&lt;35),0.25,0)+IF(AND(V174&gt;=75,V174&lt;=175,W174&gt;=35,W174&lt;65),0.2,0)+IF(AND(V174&gt;=75,V174&lt;=175,W174&gt;=65,W174&lt;110),0.15,0)+IF(AND(V174&gt;=75,V174&lt;=175,W174&gt;=110),0.1,0)+IF(AND(V174&gt;175,W174&lt;25),0.25,0)+IF(AND(V174&gt;175,W174&gt;=25,W174&lt;55),0.2,0)+IF(AND(V174&gt;175,W174&gt;=55,W174&lt;95),0.15,0)+IF(AND(V174&gt;175,W174&gt;=95),0.1,0))))))))))))))))</f>
        <v>0.26</v>
      </c>
      <c r="Y174" s="30">
        <f>IF(AG174="None",0,IF(AG174="Fix5",0.05,IF(AG174="Fix3.75",0.0375,IF(AG174="Fix10",0.1,IF(AG174="Fix3",0.03,0)))))</f>
        <v>0</v>
      </c>
      <c r="Z174" s="35">
        <f>T174-AA174-AB174</f>
        <v>-2010.58</v>
      </c>
      <c r="AA174" s="29">
        <f>IF(AD174="EUR",((T174-R174)*X174)*U174+(R174*X174),(T174*X174))</f>
        <v>-706.42000000000007</v>
      </c>
      <c r="AB174" s="36">
        <f>IF(AD174="EUR",((T174-R174)*Y174)*U174+(R174*Y174),(T174*Y174))</f>
        <v>0</v>
      </c>
      <c r="AC174" s="37" t="b">
        <v>0</v>
      </c>
      <c r="AD174" s="37" t="s">
        <v>38</v>
      </c>
      <c r="AE174" s="37" t="s">
        <v>38</v>
      </c>
      <c r="AF174" s="37" t="str">
        <f t="array" ref="AF174">INDEX('Deal Info'!D:D, MATCH(A174,'Deal Info'!A:A, 0))</f>
        <v>SF</v>
      </c>
      <c r="AG174" s="38" t="str">
        <f t="array" ref="AG174">INDEX('Deal Info'!G:G, MATCH(A174,'Deal Info'!A:A, 0))</f>
        <v>None</v>
      </c>
    </row>
    <row r="175" spans="1:33" ht="14.25" hidden="1" x14ac:dyDescent="0.2">
      <c r="A175" s="18" t="str">
        <f t="array" ref="A175">IF(G175='Room Info'!$B$1, INDEX('Room Info'!$A$2:$A2446, MATCH(B175,'Room Info'!$B$2:$B2446, 0)),IF(G175='Room Info'!$C$1, INDEX('Room Info'!$A$2:$A2446, MATCH(B175,'Room Info'!$C$2:$C2446, 0)),IF(G175='Room Info'!$D$1, INDEX('Room Info'!$A$2:$A2446, MATCH(B175,'Room Info'!$D$2:$D2446, 0)),IF(G175='Room Info'!$E$1, INDEX('Room Info'!$A$2:$A2446, MATCH(B175,'Room Info'!$E$2:$E2446, 0)),IF(G175='Room Info'!$F$1, INDEX('Room Info'!$A$2:$A2446, MATCH(B175,'Room Info'!$F$2:$F2446, 0)),IF(G175='Room Info'!$H$1, INDEX('Room Info'!$A$2:$A2446, MATCH(B175,'Room Info'!$H$2:$H2446, 0)),IF(G175='Room Info'!$G$1, INDEX('Room Info'!$A$2:$A2446, MATCH(B175,'Room Info'!$G$2:$G2446, 0)))))))))</f>
        <v>bbaltqq</v>
      </c>
      <c r="B175" s="54" t="s">
        <v>89</v>
      </c>
      <c r="C175" s="67">
        <v>44916</v>
      </c>
      <c r="D175" s="67">
        <v>44946</v>
      </c>
      <c r="E175" s="47">
        <v>44927</v>
      </c>
      <c r="F175" s="45" t="s">
        <v>41</v>
      </c>
      <c r="G175" s="54" t="s">
        <v>35</v>
      </c>
      <c r="H175" s="49" t="s">
        <v>39</v>
      </c>
      <c r="I175" s="49" t="s">
        <v>37</v>
      </c>
      <c r="J175" s="50">
        <v>5</v>
      </c>
      <c r="K175" s="51">
        <v>2</v>
      </c>
      <c r="L175" s="52">
        <v>0</v>
      </c>
      <c r="M175" s="62"/>
      <c r="N175" s="28">
        <f>K175*J175</f>
        <v>10</v>
      </c>
      <c r="O175" s="65"/>
      <c r="P175" s="29">
        <v>0</v>
      </c>
      <c r="Q175" s="55"/>
      <c r="R175" s="31">
        <f>M175+Q175</f>
        <v>0</v>
      </c>
      <c r="S175" s="66"/>
      <c r="T175" s="32">
        <f>R175+S175+IF(F175="Without EV deal",L175,0)</f>
        <v>0</v>
      </c>
      <c r="U175" s="33">
        <v>1</v>
      </c>
      <c r="V175" s="69">
        <v>49.824876515491695</v>
      </c>
      <c r="W175" s="69">
        <v>-57.963013698630135</v>
      </c>
      <c r="X175" s="30">
        <f>IF(AF175="DoEV",IF(AND(V175&lt;20,W175&lt;55),0.3,0)+IF(AND(V175&lt;20,W175&gt;=55,W175&lt;105),0.23,0)+IF(AND(V175&lt;20,W175&gt;=105),0.17,0)+IF(AND(V175&gt;=20,V175&lt;40,W175&lt;45),0.3,0)+IF(AND(V175&gt;=20,V175&lt;40,W175&gt;=45,W175&lt;95),0.23,0)+IF(AND(V175&gt;=20,V175&lt;40,W175&gt;=95),0.17,0)+IF(AND(V175&gt;=40,V175&lt;75,W175&lt;35),0.3,0)+IF(AND(V175&gt;=40,V175&lt;75,W175&gt;=35,W175&lt;75),0.23,0)+IF(AND(V175&gt;=40,V175&lt;75,W175&gt;=75,W175&lt;120),0.17,0)+IF(AND(V175&gt;=40,V175&lt;75,W175&gt;=120),0.12,0)+IF(AND(V175&gt;=75,V175&lt;175,W175&lt;35),0.3,0)+IF(AND(V175&gt;=75,V175&lt;=175,W175&gt;=35,W175&lt;65),0.23,0)+IF(AND(V175&gt;=75,V175&lt;=175,W175&gt;=65,W175&lt;110),0.17,0)+IF(AND(V175&gt;=75,V175&lt;=175,W175&gt;=110),0.12,0)+IF(AND(V175&gt;175,W175&lt;25),0.3,0)+IF(AND(V175&gt;175,W175&gt;=25,W175&lt;55),0.23,0)+IF(AND(V175&gt;175,W175&gt;=55,W175&lt;95),0.17,0)+IF(AND(V175&gt;175,W175&gt;=95),0.12,0),
IF(AF175="Fix15",0.15,
IF(AF175="Fix11.25",0.1125,
IF(AF175="Fix10",0.1,
IF(AF175="Fix9",0.09,
IF(AF175="DoEV2017",IF(AND(W175&lt;74),0.2,0)+IF(AND(W175&gt;=74),0.17,0),
IF(AF175="SF",IF(AND(V175&lt;20,W175&lt;89),0.3,0)+IF(AND(V175&lt;20,W175&gt;=89),0.25,0)+IF(AND(V175&gt;=20,V175&lt;40,W175&lt;74),0.3,0)+IF(AND(V175&gt;=20,V175&lt;40,W175&gt;=75),0.22,0)+IF(AND(V175&gt;=40,V175&lt;75,W175&lt;75),0.26,0)+IF(AND(V175&gt;=40,V175&lt;75,W175&gt;=75),0.22,0)+IF(V175&gt;=75,0.22,0),
IF(AF175="DoEVold",IF(AND(V175&lt;40,W175&lt;35),0.35,0)+IF(AND(V175&lt;40,W175&gt;=35,W175&lt;75),0.25,0)+IF(AND(V175&lt;40,W175&gt;=75),0.17,0)+IF(AND(V175&gt;=40,V175&lt;75,W175&lt;25),0.35,0)+IF(AND(V175&gt;=40,V175&lt;75,W175&gt;=25,W175&lt;65),0.25,0)+IF(AND(V175&gt;=40,V175&lt;75,W175&gt;=65,W175&lt;100),0.17,0)+IF(AND(V175&gt;=40,V175&lt;75,W175&gt;=100),0.1,0)+IF(AND(V175&gt;=75,W175&lt;25),0.35,0)+IF(AND(V175&gt;=75,W175&gt;=25,W175&lt;60),0.25,0)+IF(AND(V175&gt;=75,W175&gt;=60,W175&lt;95),0.17,0)+IF(AND(V175&gt;=75,W175&gt;=95),0.1,0),
IF(AF175="DoEVold15",IF(AND(V175&lt;=40,W175&lt;35),0.35,0)+IF(AND(V175&lt;=40,W175&gt;=35,W175&lt;75),0.25,0)+IF(AND(V175&lt;=40,W175&gt;=75,W175&lt;120),0.17,0)+IF(AND(V175&lt;=40,W175&gt;=120),0.15,0)+IF(AND(V175&gt;40,V175&lt;75,W175&lt;25),0.35,0)+IF(AND(V175&gt;=40,V175&lt;75,W175&gt;=25,W175&lt;65),0.25,0)+IF(AND(V175&gt;=40,V175&lt;75,W175&gt;=65,W175&lt;100),0.17,0)+IF(AND(V175&gt;=40,V175&lt;75,W175&gt;=100),0.1,0)+IF(AND(V175&gt;=75,W175&lt;25),0.35,0)+IF(AND(V175&gt;=75,W175&gt;=25,W175&lt;60),0.25,0)+IF(AND(V175&gt;=75,W175&gt;=60,W175&lt;95),0.17,0)+IF(AND(V175&gt;=75,W175&gt;=95),0.1,0),
IF(AF175="DoEVba",IF(AND(V175&lt;20,W175&lt;105),0.2,0)+IF(AND(V175&lt;20,W175&gt;=105),0.15,0)+IF(AND(V175&gt;=20,V175&lt;40,W175&lt;95),0.2,0)+IF(AND(V175&gt;=20,V175&lt;40,W175&gt;=95,W175&lt;150),0.15,0)+IF(AND(V175&gt;=20,V175&lt;40,W175&gt;=150),0.12,0)+IF(AND(V175&gt;=40,V175&lt;75,W175&lt;75),0.2,0)+IF(AND(V175&gt;=40,V175&lt;75,W175&gt;=75,W175&lt;120),0.15,0)+IF(AND(V175&gt;=40,V175&lt;75,W175&gt;=120),0.12,0)+IF(AND(V175&gt;=75,V175&lt;175,W175&lt;65),0.2,0)+IF(AND(V175&gt;=75,V175&lt;175,W175&gt;=65,W175&lt;110),0.15,0)+IF(AND(V175&gt;=75,V175&lt;175,W175&gt;=110),0.12,0)+IF(AND(V175&gt;=175,W175&lt;55),0.2,0)+IF(AND(V175&gt;=175,W175&gt;=55,W175&lt;95),0.15,0)+IF(AND(V175&gt;=175,W175&gt;=95),0.12,0),
IF(AF175="DoEVku",IF(AND(V175&lt;20,W175&lt;55),0.23,0)+IF(AND(V175&lt;20,W175&gt;=55,W175&lt;105),0.2,0)+IF(AND(V175&lt;20,W175&gt;=105),0.17,0)+IF(AND(V175&gt;=20,V175&lt;40,W175&lt;45),0.23,0)+IF(AND(V175&gt;=20,V175&lt;40,W175&gt;=45,W175&lt;95),0.2,0)+IF(AND(V175&gt;=20,V175&lt;40,W175&gt;=95,W175&lt;=150),0.17,0)+IF(AND(V175&gt;=20,V175&lt;40,W175&gt;=150),0.12,0)+IF(AND(V175&gt;=40,V175&lt;75,W175&lt;35),0.23,0)+IF(AND(V175&gt;=40,V175&lt;75,W175&gt;=35,W175&lt;75),0.2,0)+IF(AND(V175&gt;=40,V175&lt;75,W175&gt;=75,W175&lt;120),0.17,0)+IF(AND(V175&gt;=40,V175&lt;75,W175&gt;=120),0.12,0)+IF(AND(V175&gt;=75,V175&lt;175,W175&lt;35),0.23,0)+IF(AND(V175&gt;=75,V175&lt;=175,W175&gt;=35,W175&lt;65),0.2,0)+IF(AND(V175&gt;=75,V175&lt;=175,W175&gt;=65,W175&lt;110),0.17,0)+IF(AND(V175&gt;=75,V175&lt;=175,W175&gt;=110),0.12,0)+IF(AND(V175&gt;175,W175&lt;25),0.23,0)+IF(AND(V175&gt;175,W175&gt;=25,W175&lt;55),0.2,0)+IF(AND(V175&gt;175,W175&gt;=55,W175&lt;95),0.17,0)+IF(AND(V175&gt;175,W175&gt;=95),0.12,0),
IF(AF175="DoEVs1",IF(AND(V175&lt;20,W175&lt;55),0.3,0)+IF(AND(V175&lt;20,W175&gt;=55,W175&lt;105),0.23,0)+IF(AND(V175&lt;20,W175&gt;=105),0.17,0)+IF(AND(V175&gt;=20,V175&lt;40,W175&lt;45),0.3,0)+IF(AND(V175&gt;=20,V175&lt;40,W175&gt;=45,W175&lt;95),0.23,0)+IF(AND(V175&gt;=20,V175&lt;40,W175&gt;=95,W175&lt;=150),0.17,0)+IF(AND(V175&gt;=20,V175&lt;40,W175&gt;=150),0.12,0)+IF(AND(V175&gt;=40,V175&lt;75,W175&lt;35),0.3,0)+IF(AND(V175&gt;=40,V175&lt;75,W175&gt;=35,W175&lt;75),0.23,0)+IF(AND(V175&gt;=40,V175&lt;75,W175&gt;=75,W175&lt;120),0.17,0)+IF(AND(V175&gt;=40,V175&lt;75,W175&gt;=120),0.12,0)+IF(AND(V175&gt;=75,V175&lt;175,W175&lt;35),0.3,0)+IF(AND(V175&gt;=75,V175&lt;=175,W175&gt;=35,W175&lt;65),0.23,0)+IF(AND(V175&gt;=75,V175&lt;=175,W175&gt;=65,W175&lt;110),0.17,0)+IF(AND(V175&gt;=75,V175&lt;=175,W175&gt;=110),0.12,0)+IF(AND(V175&gt;175,W175&lt;25),0.3,0)+IF(AND(V175&gt;175,W175&gt;=25,W175&lt;55),0.23,0)+IF(AND(V175&gt;175,W175&gt;=55,W175&lt;95),0.17,0)+IF(AND(V175&gt;175,W175&gt;=95),0.12,0),
IF(AF175="DoEVsu",IF(AND(V175&lt;20,W175&lt;55),0.3,0)+IF(AND(V175&lt;20,W175&gt;=55,W175&lt;105),0.23,0)+IF(AND(V175&lt;20,W175&gt;=105),0.17,0)+IF(AND(V175&gt;=20,V175&lt;40,W175&lt;45),0.3,0)+IF(AND(V175&gt;=20,V175&lt;40,W175&gt;=45,W175&lt;95),0.23,0)+IF(AND(V175&gt;=20,V175&lt;40,W175&gt;=95,W175&lt;=250),0.17,0)+IF(AND(V175&gt;=20,V175&lt;40,W175&gt;=250),0.12,0)+IF(AND(V175&gt;=40,V175&lt;75,W175&lt;35),0.3,0)+IF(AND(V175&gt;=40,V175&lt;75,W175&gt;=35,W175&lt;75),0.23,0)+IF(AND(V175&gt;=40,V175&lt;75,W175&gt;=75,W175&lt;120),0.17,0)+IF(AND(V175&gt;=40,V175&lt;75,W175&gt;=120),0.12,0)+IF(AND(V175&gt;=75,V175&lt;175,W175&lt;35),0.3,0)+IF(AND(V175&gt;=75,V175&lt;=175,W175&gt;=35,W175&lt;65),0.23,0)+IF(AND(V175&gt;=75,V175&lt;=175,W175&gt;=65,W175&lt;110),0.17,0)+IF(AND(V175&gt;=75,V175&lt;=175,W175&gt;=110),0.12,0)+IF(AND(V175&gt;175,W175&lt;25),0.3,0)+IF(AND(V175&gt;175,W175&gt;=25,W175&lt;55),0.23,0)+IF(AND(V175&gt;175,W175&gt;=55,W175&lt;95),0.17,0)+IF(AND(V175&gt;175,W175&gt;=95),0.12,0),
IF(AF175="DoEVni",IF(AND(V175&lt;20,W175&lt;55),0.3,0)+IF(AND(V175&lt;20,W175&gt;=55,W175&lt;105),0.23,0)+IF(AND(V175&lt;20,W175&gt;=105),0.17,0)+IF(AND(V175&gt;=20,V175&lt;40,W175&lt;45),0.3,0)+IF(AND(V175&gt;=20,V175&lt;40,W175&gt;=45,W175&lt;95),0.23,0)+IF(AND(V175&gt;=20,V175&lt;40,W175&gt;=95,W175&lt;=200),0.17,0)+IF(AND(V175&gt;=20,V175&lt;40,W175&gt;=200),0.12,0)+IF(AND(V175&gt;=40,V175&lt;75,W175&lt;35),0.3,0)+IF(AND(V175&gt;=40,V175&lt;75,W175&gt;=35,W175&lt;75),0.23,0)+IF(AND(V175&gt;=40,V175&lt;75,W175&gt;=75,W175&lt;120),0.17,0)+IF(AND(V175&gt;=40,V175&lt;75,W175&gt;=120),0.12,0)+IF(AND(V175&gt;=75,V175&lt;175,W175&lt;35),0.3,0)+IF(AND(V175&gt;=75,V175&lt;=175,W175&gt;=35,W175&lt;65),0.23,0)+IF(AND(V175&gt;=75,V175&lt;=175,W175&gt;=65,W175&lt;110),0.17,0)+IF(AND(V175&gt;=75,V175&lt;=175,W175&gt;=110),0.12,0)+IF(AND(V175&gt;175,W175&lt;25),0.3,0)+IF(AND(V175&gt;175,W175&gt;=25,W175&lt;55),0.23,0)+IF(AND(V175&gt;175,W175&gt;=55,W175&lt;95),0.17,0)+IF(AND(V175&gt;175,W175&gt;=95),0.12,0),
IF(AF175="DoEVLo",IF(AND(V175&lt;20,W175&lt;55),0.25,0)+IF(AND(V175&lt;20,W175&gt;=55,W175&lt;105),0.2,0)+IF(AND(V175&lt;20,W175&gt;=105),0.15,0)+IF(AND(V175&gt;=20,V175&lt;40,W175&lt;45),0.25,0)+IF(AND(V175&gt;=20,V175&lt;40,W175&gt;=45,W175&lt;95),0.2,0)+IF(AND(V175&gt;=20,V175&lt;40,W175&gt;=95),0.15,0)+IF(AND(V175&gt;=40,V175&lt;75,W175&lt;35),0.25,0)+IF(AND(V175&gt;=40,V175&lt;75,W175&gt;=35,W175&lt;75),0.2,0)+IF(AND(V175&gt;=40,V175&lt;75,W175&gt;=75,W175&lt;120),0.15,0)+IF(AND(V175&gt;=40,V175&lt;75,W175&gt;=120),0.1,0)+IF(AND(V175&gt;=75,V175&lt;175,W175&lt;35),0.25,0)+IF(AND(V175&gt;=75,V175&lt;=175,W175&gt;=35,W175&lt;65),0.2,0)+IF(AND(V175&gt;=75,V175&lt;=175,W175&gt;=65,W175&lt;110),0.15,0)+IF(AND(V175&gt;=75,V175&lt;=175,W175&gt;=110),0.1,0)+IF(AND(V175&gt;175,W175&lt;25),0.25,0)+IF(AND(V175&gt;175,W175&gt;=25,W175&lt;55),0.2,0)+IF(AND(V175&gt;175,W175&gt;=55,W175&lt;95),0.15,0)+IF(AND(V175&gt;175,W175&gt;=95),0.1,0))))))))))))))))</f>
        <v>0.26</v>
      </c>
      <c r="Y175" s="30">
        <f>IF(AG175="None",0,IF(AG175="Fix5",0.05,IF(AG175="Fix3.75",0.0375,IF(AG175="Fix10",0.1,IF(AG175="Fix3",0.03,0)))))</f>
        <v>0</v>
      </c>
      <c r="Z175" s="35">
        <f>T175-AA175-AB175</f>
        <v>0</v>
      </c>
      <c r="AA175" s="29">
        <f>IF(AD175="EUR",((T175-R175)*X175)*U175+(R175*X175),(T175*X175))</f>
        <v>0</v>
      </c>
      <c r="AB175" s="36">
        <f>IF(AD175="EUR",((T175-R175)*Y175)*U175+(R175*Y175),(T175*Y175))</f>
        <v>0</v>
      </c>
      <c r="AC175" s="37" t="b">
        <v>0</v>
      </c>
      <c r="AD175" s="37" t="s">
        <v>38</v>
      </c>
      <c r="AE175" s="37" t="s">
        <v>38</v>
      </c>
      <c r="AF175" s="37" t="str">
        <f t="array" ref="AF175">INDEX('Deal Info'!D:D, MATCH(A175,'Deal Info'!A:A, 0))</f>
        <v>SF</v>
      </c>
      <c r="AG175" s="38" t="str">
        <f t="array" ref="AG175">INDEX('Deal Info'!G:G, MATCH(A175,'Deal Info'!A:A, 0))</f>
        <v>None</v>
      </c>
    </row>
    <row r="176" spans="1:33" ht="14.25" hidden="1" x14ac:dyDescent="0.2">
      <c r="A176" s="18" t="str">
        <f t="array" ref="A176">IF(G176='Room Info'!$B$1, INDEX('Room Info'!$A$2:$A2446, MATCH(B176,'Room Info'!$B$2:$B2446, 0)),IF(G176='Room Info'!$C$1, INDEX('Room Info'!$A$2:$A2446, MATCH(B176,'Room Info'!$C$2:$C2446, 0)),IF(G176='Room Info'!$D$1, INDEX('Room Info'!$A$2:$A2446, MATCH(B176,'Room Info'!$D$2:$D2446, 0)),IF(G176='Room Info'!$E$1, INDEX('Room Info'!$A$2:$A2446, MATCH(B176,'Room Info'!$E$2:$E2446, 0)),IF(G176='Room Info'!$F$1, INDEX('Room Info'!$A$2:$A2446, MATCH(B176,'Room Info'!$F$2:$F2446, 0)),IF(G176='Room Info'!$H$1, INDEX('Room Info'!$A$2:$A2446, MATCH(B176,'Room Info'!$H$2:$H2446, 0)),IF(G176='Room Info'!$G$1, INDEX('Room Info'!$A$2:$A2446, MATCH(B176,'Room Info'!$G$2:$G2446, 0)))))))))</f>
        <v>bbaltqq</v>
      </c>
      <c r="B176" s="54" t="s">
        <v>89</v>
      </c>
      <c r="C176" s="67">
        <v>44916</v>
      </c>
      <c r="D176" s="67">
        <v>44946</v>
      </c>
      <c r="E176" s="47">
        <v>44927</v>
      </c>
      <c r="F176" s="45" t="s">
        <v>41</v>
      </c>
      <c r="G176" s="54" t="s">
        <v>35</v>
      </c>
      <c r="H176" s="49" t="s">
        <v>46</v>
      </c>
      <c r="I176" s="49" t="s">
        <v>37</v>
      </c>
      <c r="J176" s="50">
        <v>25</v>
      </c>
      <c r="K176" s="51">
        <v>12</v>
      </c>
      <c r="L176" s="52">
        <v>-175</v>
      </c>
      <c r="M176" s="53">
        <v>4</v>
      </c>
      <c r="N176" s="28">
        <f>K176*J176</f>
        <v>300</v>
      </c>
      <c r="O176" s="65"/>
      <c r="P176" s="29">
        <v>0</v>
      </c>
      <c r="Q176" s="55"/>
      <c r="R176" s="31">
        <f>M176+Q176</f>
        <v>4</v>
      </c>
      <c r="S176" s="66"/>
      <c r="T176" s="32">
        <f>R176+S176+IF(F176="Without EV deal",L176,0)</f>
        <v>-171</v>
      </c>
      <c r="U176" s="33">
        <v>1</v>
      </c>
      <c r="V176" s="69">
        <v>49.824876515491695</v>
      </c>
      <c r="W176" s="69">
        <v>-57.963013698630135</v>
      </c>
      <c r="X176" s="30">
        <f>IF(AF176="DoEV",IF(AND(V176&lt;20,W176&lt;55),0.3,0)+IF(AND(V176&lt;20,W176&gt;=55,W176&lt;105),0.23,0)+IF(AND(V176&lt;20,W176&gt;=105),0.17,0)+IF(AND(V176&gt;=20,V176&lt;40,W176&lt;45),0.3,0)+IF(AND(V176&gt;=20,V176&lt;40,W176&gt;=45,W176&lt;95),0.23,0)+IF(AND(V176&gt;=20,V176&lt;40,W176&gt;=95),0.17,0)+IF(AND(V176&gt;=40,V176&lt;75,W176&lt;35),0.3,0)+IF(AND(V176&gt;=40,V176&lt;75,W176&gt;=35,W176&lt;75),0.23,0)+IF(AND(V176&gt;=40,V176&lt;75,W176&gt;=75,W176&lt;120),0.17,0)+IF(AND(V176&gt;=40,V176&lt;75,W176&gt;=120),0.12,0)+IF(AND(V176&gt;=75,V176&lt;175,W176&lt;35),0.3,0)+IF(AND(V176&gt;=75,V176&lt;=175,W176&gt;=35,W176&lt;65),0.23,0)+IF(AND(V176&gt;=75,V176&lt;=175,W176&gt;=65,W176&lt;110),0.17,0)+IF(AND(V176&gt;=75,V176&lt;=175,W176&gt;=110),0.12,0)+IF(AND(V176&gt;175,W176&lt;25),0.3,0)+IF(AND(V176&gt;175,W176&gt;=25,W176&lt;55),0.23,0)+IF(AND(V176&gt;175,W176&gt;=55,W176&lt;95),0.17,0)+IF(AND(V176&gt;175,W176&gt;=95),0.12,0),
IF(AF176="Fix15",0.15,
IF(AF176="Fix11.25",0.1125,
IF(AF176="Fix10",0.1,
IF(AF176="Fix9",0.09,
IF(AF176="DoEV2017",IF(AND(W176&lt;74),0.2,0)+IF(AND(W176&gt;=74),0.17,0),
IF(AF176="SF",IF(AND(V176&lt;20,W176&lt;89),0.3,0)+IF(AND(V176&lt;20,W176&gt;=89),0.25,0)+IF(AND(V176&gt;=20,V176&lt;40,W176&lt;74),0.3,0)+IF(AND(V176&gt;=20,V176&lt;40,W176&gt;=75),0.22,0)+IF(AND(V176&gt;=40,V176&lt;75,W176&lt;75),0.26,0)+IF(AND(V176&gt;=40,V176&lt;75,W176&gt;=75),0.22,0)+IF(V176&gt;=75,0.22,0),
IF(AF176="DoEVold",IF(AND(V176&lt;40,W176&lt;35),0.35,0)+IF(AND(V176&lt;40,W176&gt;=35,W176&lt;75),0.25,0)+IF(AND(V176&lt;40,W176&gt;=75),0.17,0)+IF(AND(V176&gt;=40,V176&lt;75,W176&lt;25),0.35,0)+IF(AND(V176&gt;=40,V176&lt;75,W176&gt;=25,W176&lt;65),0.25,0)+IF(AND(V176&gt;=40,V176&lt;75,W176&gt;=65,W176&lt;100),0.17,0)+IF(AND(V176&gt;=40,V176&lt;75,W176&gt;=100),0.1,0)+IF(AND(V176&gt;=75,W176&lt;25),0.35,0)+IF(AND(V176&gt;=75,W176&gt;=25,W176&lt;60),0.25,0)+IF(AND(V176&gt;=75,W176&gt;=60,W176&lt;95),0.17,0)+IF(AND(V176&gt;=75,W176&gt;=95),0.1,0),
IF(AF176="DoEVold15",IF(AND(V176&lt;=40,W176&lt;35),0.35,0)+IF(AND(V176&lt;=40,W176&gt;=35,W176&lt;75),0.25,0)+IF(AND(V176&lt;=40,W176&gt;=75,W176&lt;120),0.17,0)+IF(AND(V176&lt;=40,W176&gt;=120),0.15,0)+IF(AND(V176&gt;40,V176&lt;75,W176&lt;25),0.35,0)+IF(AND(V176&gt;=40,V176&lt;75,W176&gt;=25,W176&lt;65),0.25,0)+IF(AND(V176&gt;=40,V176&lt;75,W176&gt;=65,W176&lt;100),0.17,0)+IF(AND(V176&gt;=40,V176&lt;75,W176&gt;=100),0.1,0)+IF(AND(V176&gt;=75,W176&lt;25),0.35,0)+IF(AND(V176&gt;=75,W176&gt;=25,W176&lt;60),0.25,0)+IF(AND(V176&gt;=75,W176&gt;=60,W176&lt;95),0.17,0)+IF(AND(V176&gt;=75,W176&gt;=95),0.1,0),
IF(AF176="DoEVba",IF(AND(V176&lt;20,W176&lt;105),0.2,0)+IF(AND(V176&lt;20,W176&gt;=105),0.15,0)+IF(AND(V176&gt;=20,V176&lt;40,W176&lt;95),0.2,0)+IF(AND(V176&gt;=20,V176&lt;40,W176&gt;=95,W176&lt;150),0.15,0)+IF(AND(V176&gt;=20,V176&lt;40,W176&gt;=150),0.12,0)+IF(AND(V176&gt;=40,V176&lt;75,W176&lt;75),0.2,0)+IF(AND(V176&gt;=40,V176&lt;75,W176&gt;=75,W176&lt;120),0.15,0)+IF(AND(V176&gt;=40,V176&lt;75,W176&gt;=120),0.12,0)+IF(AND(V176&gt;=75,V176&lt;175,W176&lt;65),0.2,0)+IF(AND(V176&gt;=75,V176&lt;175,W176&gt;=65,W176&lt;110),0.15,0)+IF(AND(V176&gt;=75,V176&lt;175,W176&gt;=110),0.12,0)+IF(AND(V176&gt;=175,W176&lt;55),0.2,0)+IF(AND(V176&gt;=175,W176&gt;=55,W176&lt;95),0.15,0)+IF(AND(V176&gt;=175,W176&gt;=95),0.12,0),
IF(AF176="DoEVku",IF(AND(V176&lt;20,W176&lt;55),0.23,0)+IF(AND(V176&lt;20,W176&gt;=55,W176&lt;105),0.2,0)+IF(AND(V176&lt;20,W176&gt;=105),0.17,0)+IF(AND(V176&gt;=20,V176&lt;40,W176&lt;45),0.23,0)+IF(AND(V176&gt;=20,V176&lt;40,W176&gt;=45,W176&lt;95),0.2,0)+IF(AND(V176&gt;=20,V176&lt;40,W176&gt;=95,W176&lt;=150),0.17,0)+IF(AND(V176&gt;=20,V176&lt;40,W176&gt;=150),0.12,0)+IF(AND(V176&gt;=40,V176&lt;75,W176&lt;35),0.23,0)+IF(AND(V176&gt;=40,V176&lt;75,W176&gt;=35,W176&lt;75),0.2,0)+IF(AND(V176&gt;=40,V176&lt;75,W176&gt;=75,W176&lt;120),0.17,0)+IF(AND(V176&gt;=40,V176&lt;75,W176&gt;=120),0.12,0)+IF(AND(V176&gt;=75,V176&lt;175,W176&lt;35),0.23,0)+IF(AND(V176&gt;=75,V176&lt;=175,W176&gt;=35,W176&lt;65),0.2,0)+IF(AND(V176&gt;=75,V176&lt;=175,W176&gt;=65,W176&lt;110),0.17,0)+IF(AND(V176&gt;=75,V176&lt;=175,W176&gt;=110),0.12,0)+IF(AND(V176&gt;175,W176&lt;25),0.23,0)+IF(AND(V176&gt;175,W176&gt;=25,W176&lt;55),0.2,0)+IF(AND(V176&gt;175,W176&gt;=55,W176&lt;95),0.17,0)+IF(AND(V176&gt;175,W176&gt;=95),0.12,0),
IF(AF176="DoEVs1",IF(AND(V176&lt;20,W176&lt;55),0.3,0)+IF(AND(V176&lt;20,W176&gt;=55,W176&lt;105),0.23,0)+IF(AND(V176&lt;20,W176&gt;=105),0.17,0)+IF(AND(V176&gt;=20,V176&lt;40,W176&lt;45),0.3,0)+IF(AND(V176&gt;=20,V176&lt;40,W176&gt;=45,W176&lt;95),0.23,0)+IF(AND(V176&gt;=20,V176&lt;40,W176&gt;=95,W176&lt;=150),0.17,0)+IF(AND(V176&gt;=20,V176&lt;40,W176&gt;=150),0.12,0)+IF(AND(V176&gt;=40,V176&lt;75,W176&lt;35),0.3,0)+IF(AND(V176&gt;=40,V176&lt;75,W176&gt;=35,W176&lt;75),0.23,0)+IF(AND(V176&gt;=40,V176&lt;75,W176&gt;=75,W176&lt;120),0.17,0)+IF(AND(V176&gt;=40,V176&lt;75,W176&gt;=120),0.12,0)+IF(AND(V176&gt;=75,V176&lt;175,W176&lt;35),0.3,0)+IF(AND(V176&gt;=75,V176&lt;=175,W176&gt;=35,W176&lt;65),0.23,0)+IF(AND(V176&gt;=75,V176&lt;=175,W176&gt;=65,W176&lt;110),0.17,0)+IF(AND(V176&gt;=75,V176&lt;=175,W176&gt;=110),0.12,0)+IF(AND(V176&gt;175,W176&lt;25),0.3,0)+IF(AND(V176&gt;175,W176&gt;=25,W176&lt;55),0.23,0)+IF(AND(V176&gt;175,W176&gt;=55,W176&lt;95),0.17,0)+IF(AND(V176&gt;175,W176&gt;=95),0.12,0),
IF(AF176="DoEVsu",IF(AND(V176&lt;20,W176&lt;55),0.3,0)+IF(AND(V176&lt;20,W176&gt;=55,W176&lt;105),0.23,0)+IF(AND(V176&lt;20,W176&gt;=105),0.17,0)+IF(AND(V176&gt;=20,V176&lt;40,W176&lt;45),0.3,0)+IF(AND(V176&gt;=20,V176&lt;40,W176&gt;=45,W176&lt;95),0.23,0)+IF(AND(V176&gt;=20,V176&lt;40,W176&gt;=95,W176&lt;=250),0.17,0)+IF(AND(V176&gt;=20,V176&lt;40,W176&gt;=250),0.12,0)+IF(AND(V176&gt;=40,V176&lt;75,W176&lt;35),0.3,0)+IF(AND(V176&gt;=40,V176&lt;75,W176&gt;=35,W176&lt;75),0.23,0)+IF(AND(V176&gt;=40,V176&lt;75,W176&gt;=75,W176&lt;120),0.17,0)+IF(AND(V176&gt;=40,V176&lt;75,W176&gt;=120),0.12,0)+IF(AND(V176&gt;=75,V176&lt;175,W176&lt;35),0.3,0)+IF(AND(V176&gt;=75,V176&lt;=175,W176&gt;=35,W176&lt;65),0.23,0)+IF(AND(V176&gt;=75,V176&lt;=175,W176&gt;=65,W176&lt;110),0.17,0)+IF(AND(V176&gt;=75,V176&lt;=175,W176&gt;=110),0.12,0)+IF(AND(V176&gt;175,W176&lt;25),0.3,0)+IF(AND(V176&gt;175,W176&gt;=25,W176&lt;55),0.23,0)+IF(AND(V176&gt;175,W176&gt;=55,W176&lt;95),0.17,0)+IF(AND(V176&gt;175,W176&gt;=95),0.12,0),
IF(AF176="DoEVni",IF(AND(V176&lt;20,W176&lt;55),0.3,0)+IF(AND(V176&lt;20,W176&gt;=55,W176&lt;105),0.23,0)+IF(AND(V176&lt;20,W176&gt;=105),0.17,0)+IF(AND(V176&gt;=20,V176&lt;40,W176&lt;45),0.3,0)+IF(AND(V176&gt;=20,V176&lt;40,W176&gt;=45,W176&lt;95),0.23,0)+IF(AND(V176&gt;=20,V176&lt;40,W176&gt;=95,W176&lt;=200),0.17,0)+IF(AND(V176&gt;=20,V176&lt;40,W176&gt;=200),0.12,0)+IF(AND(V176&gt;=40,V176&lt;75,W176&lt;35),0.3,0)+IF(AND(V176&gt;=40,V176&lt;75,W176&gt;=35,W176&lt;75),0.23,0)+IF(AND(V176&gt;=40,V176&lt;75,W176&gt;=75,W176&lt;120),0.17,0)+IF(AND(V176&gt;=40,V176&lt;75,W176&gt;=120),0.12,0)+IF(AND(V176&gt;=75,V176&lt;175,W176&lt;35),0.3,0)+IF(AND(V176&gt;=75,V176&lt;=175,W176&gt;=35,W176&lt;65),0.23,0)+IF(AND(V176&gt;=75,V176&lt;=175,W176&gt;=65,W176&lt;110),0.17,0)+IF(AND(V176&gt;=75,V176&lt;=175,W176&gt;=110),0.12,0)+IF(AND(V176&gt;175,W176&lt;25),0.3,0)+IF(AND(V176&gt;175,W176&gt;=25,W176&lt;55),0.23,0)+IF(AND(V176&gt;175,W176&gt;=55,W176&lt;95),0.17,0)+IF(AND(V176&gt;175,W176&gt;=95),0.12,0),
IF(AF176="DoEVLo",IF(AND(V176&lt;20,W176&lt;55),0.25,0)+IF(AND(V176&lt;20,W176&gt;=55,W176&lt;105),0.2,0)+IF(AND(V176&lt;20,W176&gt;=105),0.15,0)+IF(AND(V176&gt;=20,V176&lt;40,W176&lt;45),0.25,0)+IF(AND(V176&gt;=20,V176&lt;40,W176&gt;=45,W176&lt;95),0.2,0)+IF(AND(V176&gt;=20,V176&lt;40,W176&gt;=95),0.15,0)+IF(AND(V176&gt;=40,V176&lt;75,W176&lt;35),0.25,0)+IF(AND(V176&gt;=40,V176&lt;75,W176&gt;=35,W176&lt;75),0.2,0)+IF(AND(V176&gt;=40,V176&lt;75,W176&gt;=75,W176&lt;120),0.15,0)+IF(AND(V176&gt;=40,V176&lt;75,W176&gt;=120),0.1,0)+IF(AND(V176&gt;=75,V176&lt;175,W176&lt;35),0.25,0)+IF(AND(V176&gt;=75,V176&lt;=175,W176&gt;=35,W176&lt;65),0.2,0)+IF(AND(V176&gt;=75,V176&lt;=175,W176&gt;=65,W176&lt;110),0.15,0)+IF(AND(V176&gt;=75,V176&lt;=175,W176&gt;=110),0.1,0)+IF(AND(V176&gt;175,W176&lt;25),0.25,0)+IF(AND(V176&gt;175,W176&gt;=25,W176&lt;55),0.2,0)+IF(AND(V176&gt;175,W176&gt;=55,W176&lt;95),0.15,0)+IF(AND(V176&gt;175,W176&gt;=95),0.1,0))))))))))))))))</f>
        <v>0.26</v>
      </c>
      <c r="Y176" s="30">
        <f>IF(AG176="None",0,IF(AG176="Fix5",0.05,IF(AG176="Fix3.75",0.0375,IF(AG176="Fix10",0.1,IF(AG176="Fix3",0.03,0)))))</f>
        <v>0</v>
      </c>
      <c r="Z176" s="35">
        <f>T176-AA176-AB176</f>
        <v>-126.53999999999999</v>
      </c>
      <c r="AA176" s="29">
        <f>IF(AD176="EUR",((T176-R176)*X176)*U176+(R176*X176),(T176*X176))</f>
        <v>-44.46</v>
      </c>
      <c r="AB176" s="36">
        <f>IF(AD176="EUR",((T176-R176)*Y176)*U176+(R176*Y176),(T176*Y176))</f>
        <v>0</v>
      </c>
      <c r="AC176" s="37" t="b">
        <v>0</v>
      </c>
      <c r="AD176" s="37" t="s">
        <v>38</v>
      </c>
      <c r="AE176" s="37" t="s">
        <v>38</v>
      </c>
      <c r="AF176" s="37" t="str">
        <f t="array" ref="AF176">INDEX('Deal Info'!D:D, MATCH(A176,'Deal Info'!A:A, 0))</f>
        <v>SF</v>
      </c>
      <c r="AG176" s="38" t="str">
        <f t="array" ref="AG176">INDEX('Deal Info'!G:G, MATCH(A176,'Deal Info'!A:A, 0))</f>
        <v>None</v>
      </c>
    </row>
    <row r="177" spans="1:33" ht="14.25" hidden="1" x14ac:dyDescent="0.2">
      <c r="A177" s="18" t="str">
        <f t="array" ref="A177">IF(G177='Room Info'!$B$1, INDEX('Room Info'!$A$2:$A2446, MATCH(B177,'Room Info'!$B$2:$B2446, 0)),IF(G177='Room Info'!$C$1, INDEX('Room Info'!$A$2:$A2446, MATCH(B177,'Room Info'!$C$2:$C2446, 0)),IF(G177='Room Info'!$D$1, INDEX('Room Info'!$A$2:$A2446, MATCH(B177,'Room Info'!$D$2:$D2446, 0)),IF(G177='Room Info'!$E$1, INDEX('Room Info'!$A$2:$A2446, MATCH(B177,'Room Info'!$E$2:$E2446, 0)),IF(G177='Room Info'!$F$1, INDEX('Room Info'!$A$2:$A2446, MATCH(B177,'Room Info'!$F$2:$F2446, 0)),IF(G177='Room Info'!$H$1, INDEX('Room Info'!$A$2:$A2446, MATCH(B177,'Room Info'!$H$2:$H2446, 0)),IF(G177='Room Info'!$G$1, INDEX('Room Info'!$A$2:$A2446, MATCH(B177,'Room Info'!$G$2:$G2446, 0)))))))))</f>
        <v>Fedorovi4</v>
      </c>
      <c r="B177" s="54" t="s">
        <v>91</v>
      </c>
      <c r="C177" s="46">
        <v>44368</v>
      </c>
      <c r="D177" s="46">
        <v>44397</v>
      </c>
      <c r="E177" s="47">
        <v>44378</v>
      </c>
      <c r="F177" s="45" t="s">
        <v>34</v>
      </c>
      <c r="G177" s="54" t="s">
        <v>61</v>
      </c>
      <c r="H177" s="49" t="s">
        <v>63</v>
      </c>
      <c r="I177" s="49" t="s">
        <v>37</v>
      </c>
      <c r="J177" s="50">
        <v>10</v>
      </c>
      <c r="K177" s="51">
        <v>1033</v>
      </c>
      <c r="L177" s="52">
        <v>-554</v>
      </c>
      <c r="M177" s="53">
        <v>100</v>
      </c>
      <c r="N177" s="28">
        <f>K177*J177</f>
        <v>10330</v>
      </c>
      <c r="O177" s="54">
        <v>22907</v>
      </c>
      <c r="P177" s="29">
        <v>22.175217809999999</v>
      </c>
      <c r="Q177" s="55"/>
      <c r="R177" s="31">
        <f>M177+Q177</f>
        <v>100</v>
      </c>
      <c r="S177" s="56">
        <v>-494</v>
      </c>
      <c r="T177" s="32">
        <f>R177+S177+IF(F177="Without EV deal",L177,0)</f>
        <v>-394</v>
      </c>
      <c r="U177" s="33">
        <v>1</v>
      </c>
      <c r="V177" s="69">
        <v>10</v>
      </c>
      <c r="W177" s="58">
        <v>13</v>
      </c>
      <c r="X177" s="30">
        <f>IF(AF177="DoEV",IF(AND(V177&lt;20,W177&lt;55),0.3,0)+IF(AND(V177&lt;20,W177&gt;=55,W177&lt;105),0.23,0)+IF(AND(V177&lt;20,W177&gt;=105),0.17,0)+IF(AND(V177&gt;=20,V177&lt;40,W177&lt;45),0.3,0)+IF(AND(V177&gt;=20,V177&lt;40,W177&gt;=45,W177&lt;95),0.23,0)+IF(AND(V177&gt;=20,V177&lt;40,W177&gt;=95),0.17,0)+IF(AND(V177&gt;=40,V177&lt;75,W177&lt;35),0.3,0)+IF(AND(V177&gt;=40,V177&lt;75,W177&gt;=35,W177&lt;75),0.23,0)+IF(AND(V177&gt;=40,V177&lt;75,W177&gt;=75,W177&lt;120),0.17,0)+IF(AND(V177&gt;=40,V177&lt;75,W177&gt;=120),0.12,0)+IF(AND(V177&gt;=75,V177&lt;175,W177&lt;35),0.3,0)+IF(AND(V177&gt;=75,V177&lt;=175,W177&gt;=35,W177&lt;65),0.23,0)+IF(AND(V177&gt;=75,V177&lt;=175,W177&gt;=65,W177&lt;110),0.17,0)+IF(AND(V177&gt;=75,V177&lt;=175,W177&gt;=110),0.12,0)+IF(AND(V177&gt;175,W177&lt;25),0.3,0)+IF(AND(V177&gt;175,W177&gt;=25,W177&lt;55),0.23,0)+IF(AND(V177&gt;175,W177&gt;=55,W177&lt;95),0.17,0)+IF(AND(V177&gt;175,W177&gt;=95),0.12,0),
IF(AF177="Fix15",0.15,
IF(AF177="Fix11.25",0.1125,
IF(AF177="Fix10",0.1,
IF(AF177="Fix9",0.09,
IF(AF177="DoEV2017",IF(AND(W177&lt;74),0.2,0)+IF(AND(W177&gt;=74),0.17,0),
IF(AF177="SF",IF(AND(V177&lt;20,W177&lt;89),0.3,0)+IF(AND(V177&lt;20,W177&gt;=89),0.25,0)+IF(AND(V177&gt;=20,V177&lt;40,W177&lt;74),0.3,0)+IF(AND(V177&gt;=20,V177&lt;40,W177&gt;=75),0.22,0)+IF(AND(V177&gt;=40,V177&lt;75,W177&lt;75),0.26,0)+IF(AND(V177&gt;=40,V177&lt;75,W177&gt;=75),0.22,0)+IF(V177&gt;=75,0.22,0),
IF(AF177="DoEVold",IF(AND(V177&lt;40,W177&lt;35),0.35,0)+IF(AND(V177&lt;40,W177&gt;=35,W177&lt;75),0.25,0)+IF(AND(V177&lt;40,W177&gt;=75),0.17,0)+IF(AND(V177&gt;=40,V177&lt;75,W177&lt;25),0.35,0)+IF(AND(V177&gt;=40,V177&lt;75,W177&gt;=25,W177&lt;65),0.25,0)+IF(AND(V177&gt;=40,V177&lt;75,W177&gt;=65,W177&lt;100),0.17,0)+IF(AND(V177&gt;=40,V177&lt;75,W177&gt;=100),0.1,0)+IF(AND(V177&gt;=75,W177&lt;25),0.35,0)+IF(AND(V177&gt;=75,W177&gt;=25,W177&lt;60),0.25,0)+IF(AND(V177&gt;=75,W177&gt;=60,W177&lt;95),0.17,0)+IF(AND(V177&gt;=75,W177&gt;=95),0.1,0),
IF(AF177="DoEVold15",IF(AND(V177&lt;=40,W177&lt;35),0.35,0)+IF(AND(V177&lt;=40,W177&gt;=35,W177&lt;75),0.25,0)+IF(AND(V177&lt;=40,W177&gt;=75,W177&lt;120),0.17,0)+IF(AND(V177&lt;=40,W177&gt;=120),0.15,0)+IF(AND(V177&gt;40,V177&lt;75,W177&lt;25),0.35,0)+IF(AND(V177&gt;=40,V177&lt;75,W177&gt;=25,W177&lt;65),0.25,0)+IF(AND(V177&gt;=40,V177&lt;75,W177&gt;=65,W177&lt;100),0.17,0)+IF(AND(V177&gt;=40,V177&lt;75,W177&gt;=100),0.1,0)+IF(AND(V177&gt;=75,W177&lt;25),0.35,0)+IF(AND(V177&gt;=75,W177&gt;=25,W177&lt;60),0.25,0)+IF(AND(V177&gt;=75,W177&gt;=60,W177&lt;95),0.17,0)+IF(AND(V177&gt;=75,W177&gt;=95),0.1,0),
IF(AF177="DoEVba",IF(AND(V177&lt;20,W177&lt;105),0.2,0)+IF(AND(V177&lt;20,W177&gt;=105),0.15,0)+IF(AND(V177&gt;=20,V177&lt;40,W177&lt;95),0.2,0)+IF(AND(V177&gt;=20,V177&lt;40,W177&gt;=95,W177&lt;150),0.15,0)+IF(AND(V177&gt;=20,V177&lt;40,W177&gt;=150),0.12,0)+IF(AND(V177&gt;=40,V177&lt;75,W177&lt;75),0.2,0)+IF(AND(V177&gt;=40,V177&lt;75,W177&gt;=75,W177&lt;120),0.15,0)+IF(AND(V177&gt;=40,V177&lt;75,W177&gt;=120),0.12,0)+IF(AND(V177&gt;=75,V177&lt;175,W177&lt;65),0.2,0)+IF(AND(V177&gt;=75,V177&lt;175,W177&gt;=65,W177&lt;110),0.15,0)+IF(AND(V177&gt;=75,V177&lt;175,W177&gt;=110),0.12,0)+IF(AND(V177&gt;=175,W177&lt;55),0.2,0)+IF(AND(V177&gt;=175,W177&gt;=55,W177&lt;95),0.15,0)+IF(AND(V177&gt;=175,W177&gt;=95),0.12,0),
IF(AF177="DoEVku",IF(AND(V177&lt;20,W177&lt;55),0.23,0)+IF(AND(V177&lt;20,W177&gt;=55,W177&lt;105),0.2,0)+IF(AND(V177&lt;20,W177&gt;=105),0.17,0)+IF(AND(V177&gt;=20,V177&lt;40,W177&lt;45),0.23,0)+IF(AND(V177&gt;=20,V177&lt;40,W177&gt;=45,W177&lt;95),0.2,0)+IF(AND(V177&gt;=20,V177&lt;40,W177&gt;=95,W177&lt;=150),0.17,0)+IF(AND(V177&gt;=20,V177&lt;40,W177&gt;=150),0.12,0)+IF(AND(V177&gt;=40,V177&lt;75,W177&lt;35),0.23,0)+IF(AND(V177&gt;=40,V177&lt;75,W177&gt;=35,W177&lt;75),0.2,0)+IF(AND(V177&gt;=40,V177&lt;75,W177&gt;=75,W177&lt;120),0.17,0)+IF(AND(V177&gt;=40,V177&lt;75,W177&gt;=120),0.12,0)+IF(AND(V177&gt;=75,V177&lt;175,W177&lt;35),0.23,0)+IF(AND(V177&gt;=75,V177&lt;=175,W177&gt;=35,W177&lt;65),0.2,0)+IF(AND(V177&gt;=75,V177&lt;=175,W177&gt;=65,W177&lt;110),0.17,0)+IF(AND(V177&gt;=75,V177&lt;=175,W177&gt;=110),0.12,0)+IF(AND(V177&gt;175,W177&lt;25),0.23,0)+IF(AND(V177&gt;175,W177&gt;=25,W177&lt;55),0.2,0)+IF(AND(V177&gt;175,W177&gt;=55,W177&lt;95),0.17,0)+IF(AND(V177&gt;175,W177&gt;=95),0.12,0),
IF(AF177="DoEVs1",IF(AND(V177&lt;20,W177&lt;55),0.3,0)+IF(AND(V177&lt;20,W177&gt;=55,W177&lt;105),0.23,0)+IF(AND(V177&lt;20,W177&gt;=105),0.17,0)+IF(AND(V177&gt;=20,V177&lt;40,W177&lt;45),0.3,0)+IF(AND(V177&gt;=20,V177&lt;40,W177&gt;=45,W177&lt;95),0.23,0)+IF(AND(V177&gt;=20,V177&lt;40,W177&gt;=95,W177&lt;=150),0.17,0)+IF(AND(V177&gt;=20,V177&lt;40,W177&gt;=150),0.12,0)+IF(AND(V177&gt;=40,V177&lt;75,W177&lt;35),0.3,0)+IF(AND(V177&gt;=40,V177&lt;75,W177&gt;=35,W177&lt;75),0.23,0)+IF(AND(V177&gt;=40,V177&lt;75,W177&gt;=75,W177&lt;120),0.17,0)+IF(AND(V177&gt;=40,V177&lt;75,W177&gt;=120),0.12,0)+IF(AND(V177&gt;=75,V177&lt;175,W177&lt;35),0.3,0)+IF(AND(V177&gt;=75,V177&lt;=175,W177&gt;=35,W177&lt;65),0.23,0)+IF(AND(V177&gt;=75,V177&lt;=175,W177&gt;=65,W177&lt;110),0.17,0)+IF(AND(V177&gt;=75,V177&lt;=175,W177&gt;=110),0.12,0)+IF(AND(V177&gt;175,W177&lt;25),0.3,0)+IF(AND(V177&gt;175,W177&gt;=25,W177&lt;55),0.23,0)+IF(AND(V177&gt;175,W177&gt;=55,W177&lt;95),0.17,0)+IF(AND(V177&gt;175,W177&gt;=95),0.12,0),
IF(AF177="DoEVsu",IF(AND(V177&lt;20,W177&lt;55),0.3,0)+IF(AND(V177&lt;20,W177&gt;=55,W177&lt;105),0.23,0)+IF(AND(V177&lt;20,W177&gt;=105),0.17,0)+IF(AND(V177&gt;=20,V177&lt;40,W177&lt;45),0.3,0)+IF(AND(V177&gt;=20,V177&lt;40,W177&gt;=45,W177&lt;95),0.23,0)+IF(AND(V177&gt;=20,V177&lt;40,W177&gt;=95,W177&lt;=250),0.17,0)+IF(AND(V177&gt;=20,V177&lt;40,W177&gt;=250),0.12,0)+IF(AND(V177&gt;=40,V177&lt;75,W177&lt;35),0.3,0)+IF(AND(V177&gt;=40,V177&lt;75,W177&gt;=35,W177&lt;75),0.23,0)+IF(AND(V177&gt;=40,V177&lt;75,W177&gt;=75,W177&lt;120),0.17,0)+IF(AND(V177&gt;=40,V177&lt;75,W177&gt;=120),0.12,0)+IF(AND(V177&gt;=75,V177&lt;175,W177&lt;35),0.3,0)+IF(AND(V177&gt;=75,V177&lt;=175,W177&gt;=35,W177&lt;65),0.23,0)+IF(AND(V177&gt;=75,V177&lt;=175,W177&gt;=65,W177&lt;110),0.17,0)+IF(AND(V177&gt;=75,V177&lt;=175,W177&gt;=110),0.12,0)+IF(AND(V177&gt;175,W177&lt;25),0.3,0)+IF(AND(V177&gt;175,W177&gt;=25,W177&lt;55),0.23,0)+IF(AND(V177&gt;175,W177&gt;=55,W177&lt;95),0.17,0)+IF(AND(V177&gt;175,W177&gt;=95),0.12,0),
IF(AF177="DoEVni",IF(AND(V177&lt;20,W177&lt;55),0.3,0)+IF(AND(V177&lt;20,W177&gt;=55,W177&lt;105),0.23,0)+IF(AND(V177&lt;20,W177&gt;=105),0.17,0)+IF(AND(V177&gt;=20,V177&lt;40,W177&lt;45),0.3,0)+IF(AND(V177&gt;=20,V177&lt;40,W177&gt;=45,W177&lt;95),0.23,0)+IF(AND(V177&gt;=20,V177&lt;40,W177&gt;=95,W177&lt;=200),0.17,0)+IF(AND(V177&gt;=20,V177&lt;40,W177&gt;=200),0.12,0)+IF(AND(V177&gt;=40,V177&lt;75,W177&lt;35),0.3,0)+IF(AND(V177&gt;=40,V177&lt;75,W177&gt;=35,W177&lt;75),0.23,0)+IF(AND(V177&gt;=40,V177&lt;75,W177&gt;=75,W177&lt;120),0.17,0)+IF(AND(V177&gt;=40,V177&lt;75,W177&gt;=120),0.12,0)+IF(AND(V177&gt;=75,V177&lt;175,W177&lt;35),0.3,0)+IF(AND(V177&gt;=75,V177&lt;=175,W177&gt;=35,W177&lt;65),0.23,0)+IF(AND(V177&gt;=75,V177&lt;=175,W177&gt;=65,W177&lt;110),0.17,0)+IF(AND(V177&gt;=75,V177&lt;=175,W177&gt;=110),0.12,0)+IF(AND(V177&gt;175,W177&lt;25),0.3,0)+IF(AND(V177&gt;175,W177&gt;=25,W177&lt;55),0.23,0)+IF(AND(V177&gt;175,W177&gt;=55,W177&lt;95),0.17,0)+IF(AND(V177&gt;175,W177&gt;=95),0.12,0),
IF(AF177="DoEVLo",IF(AND(V177&lt;20,W177&lt;55),0.25,0)+IF(AND(V177&lt;20,W177&gt;=55,W177&lt;105),0.2,0)+IF(AND(V177&lt;20,W177&gt;=105),0.15,0)+IF(AND(V177&gt;=20,V177&lt;40,W177&lt;45),0.25,0)+IF(AND(V177&gt;=20,V177&lt;40,W177&gt;=45,W177&lt;95),0.2,0)+IF(AND(V177&gt;=20,V177&lt;40,W177&gt;=95),0.15,0)+IF(AND(V177&gt;=40,V177&lt;75,W177&lt;35),0.25,0)+IF(AND(V177&gt;=40,V177&lt;75,W177&gt;=35,W177&lt;75),0.2,0)+IF(AND(V177&gt;=40,V177&lt;75,W177&gt;=75,W177&lt;120),0.15,0)+IF(AND(V177&gt;=40,V177&lt;75,W177&gt;=120),0.1,0)+IF(AND(V177&gt;=75,V177&lt;175,W177&lt;35),0.25,0)+IF(AND(V177&gt;=75,V177&lt;=175,W177&gt;=35,W177&lt;65),0.2,0)+IF(AND(V177&gt;=75,V177&lt;=175,W177&gt;=65,W177&lt;110),0.15,0)+IF(AND(V177&gt;=75,V177&lt;=175,W177&gt;=110),0.1,0)+IF(AND(V177&gt;175,W177&lt;25),0.25,0)+IF(AND(V177&gt;175,W177&gt;=25,W177&lt;55),0.2,0)+IF(AND(V177&gt;175,W177&gt;=55,W177&lt;95),0.15,0)+IF(AND(V177&gt;175,W177&gt;=95),0.1,0))))))))))))))))</f>
        <v>0.3</v>
      </c>
      <c r="Y177" s="30">
        <f>IF(AG177="None",0,IF(AG177="Fix5",0.05,IF(AG177="Fix3.75",0.0375,IF(AG177="Fix10",0.1,IF(AG177="Fix3",0.03,0)))))</f>
        <v>0</v>
      </c>
      <c r="Z177" s="35">
        <f>T177-AA177-AB177</f>
        <v>-275.8</v>
      </c>
      <c r="AA177" s="29">
        <f>IF(AD177="EUR",((T177-R177)*X177)*U177+(R177*X177),(T177*X177))</f>
        <v>-118.19999999999999</v>
      </c>
      <c r="AB177" s="36">
        <f>IF(AD177="EUR",((T177-R177)*Y177)*U177+(R177*Y177),(T177*Y177))</f>
        <v>0</v>
      </c>
      <c r="AC177" s="37" t="b">
        <v>1</v>
      </c>
      <c r="AD177" s="37" t="s">
        <v>38</v>
      </c>
      <c r="AE177" s="37" t="s">
        <v>38</v>
      </c>
      <c r="AF177" s="37" t="str">
        <f t="array" ref="AF177">INDEX('Deal Info'!D:D, MATCH(A177,'Deal Info'!A:A, 0))</f>
        <v>SF</v>
      </c>
      <c r="AG177" s="38" t="str">
        <f t="array" ref="AG177">INDEX('Deal Info'!G:G, MATCH(A177,'Deal Info'!A:A, 0))</f>
        <v>None</v>
      </c>
    </row>
    <row r="178" spans="1:33" ht="14.25" hidden="1" x14ac:dyDescent="0.2">
      <c r="A178" s="18" t="str">
        <f t="array" ref="A178">IF(G178='Room Info'!$B$1, INDEX('Room Info'!$A$2:$A2446, MATCH(B178,'Room Info'!$B$2:$B2446, 0)),IF(G178='Room Info'!$C$1, INDEX('Room Info'!$A$2:$A2446, MATCH(B178,'Room Info'!$C$2:$C2446, 0)),IF(G178='Room Info'!$D$1, INDEX('Room Info'!$A$2:$A2446, MATCH(B178,'Room Info'!$D$2:$D2446, 0)),IF(G178='Room Info'!$E$1, INDEX('Room Info'!$A$2:$A2446, MATCH(B178,'Room Info'!$E$2:$E2446, 0)),IF(G178='Room Info'!$F$1, INDEX('Room Info'!$A$2:$A2446, MATCH(B178,'Room Info'!$F$2:$F2446, 0)),IF(G178='Room Info'!$H$1, INDEX('Room Info'!$A$2:$A2446, MATCH(B178,'Room Info'!$H$2:$H2446, 0)),IF(G178='Room Info'!$G$1, INDEX('Room Info'!$A$2:$A2446, MATCH(B178,'Room Info'!$G$2:$G2446, 0)))))))))</f>
        <v>Fedorovi4</v>
      </c>
      <c r="B178" s="54" t="s">
        <v>91</v>
      </c>
      <c r="C178" s="46">
        <v>44368</v>
      </c>
      <c r="D178" s="46">
        <v>44397</v>
      </c>
      <c r="E178" s="47">
        <v>44378</v>
      </c>
      <c r="F178" s="45" t="s">
        <v>41</v>
      </c>
      <c r="G178" s="54" t="s">
        <v>61</v>
      </c>
      <c r="H178" s="49" t="s">
        <v>92</v>
      </c>
      <c r="I178" s="49" t="s">
        <v>68</v>
      </c>
      <c r="J178" s="50">
        <v>10</v>
      </c>
      <c r="K178" s="51">
        <v>4</v>
      </c>
      <c r="L178" s="52">
        <v>0</v>
      </c>
      <c r="M178" s="53">
        <v>0</v>
      </c>
      <c r="N178" s="28">
        <f>K178*J178</f>
        <v>40</v>
      </c>
      <c r="O178" s="54">
        <v>-178</v>
      </c>
      <c r="P178" s="29">
        <v>-44.5</v>
      </c>
      <c r="Q178" s="55"/>
      <c r="R178" s="31">
        <f>M178+Q178</f>
        <v>0</v>
      </c>
      <c r="S178" s="56"/>
      <c r="T178" s="32">
        <f>R178+S178+IF(F178="Without EV deal",L178,0)</f>
        <v>0</v>
      </c>
      <c r="U178" s="33">
        <v>1</v>
      </c>
      <c r="V178" s="69">
        <v>10</v>
      </c>
      <c r="W178" s="58">
        <v>13</v>
      </c>
      <c r="X178" s="30">
        <f>IF(AF178="DoEV",IF(AND(V178&lt;20,W178&lt;55),0.3,0)+IF(AND(V178&lt;20,W178&gt;=55,W178&lt;105),0.23,0)+IF(AND(V178&lt;20,W178&gt;=105),0.17,0)+IF(AND(V178&gt;=20,V178&lt;40,W178&lt;45),0.3,0)+IF(AND(V178&gt;=20,V178&lt;40,W178&gt;=45,W178&lt;95),0.23,0)+IF(AND(V178&gt;=20,V178&lt;40,W178&gt;=95),0.17,0)+IF(AND(V178&gt;=40,V178&lt;75,W178&lt;35),0.3,0)+IF(AND(V178&gt;=40,V178&lt;75,W178&gt;=35,W178&lt;75),0.23,0)+IF(AND(V178&gt;=40,V178&lt;75,W178&gt;=75,W178&lt;120),0.17,0)+IF(AND(V178&gt;=40,V178&lt;75,W178&gt;=120),0.12,0)+IF(AND(V178&gt;=75,V178&lt;175,W178&lt;35),0.3,0)+IF(AND(V178&gt;=75,V178&lt;=175,W178&gt;=35,W178&lt;65),0.23,0)+IF(AND(V178&gt;=75,V178&lt;=175,W178&gt;=65,W178&lt;110),0.17,0)+IF(AND(V178&gt;=75,V178&lt;=175,W178&gt;=110),0.12,0)+IF(AND(V178&gt;175,W178&lt;25),0.3,0)+IF(AND(V178&gt;175,W178&gt;=25,W178&lt;55),0.23,0)+IF(AND(V178&gt;175,W178&gt;=55,W178&lt;95),0.17,0)+IF(AND(V178&gt;175,W178&gt;=95),0.12,0),
IF(AF178="Fix15",0.15,
IF(AF178="Fix11.25",0.1125,
IF(AF178="Fix10",0.1,
IF(AF178="Fix9",0.09,
IF(AF178="DoEV2017",IF(AND(W178&lt;74),0.2,0)+IF(AND(W178&gt;=74),0.17,0),
IF(AF178="SF",IF(AND(V178&lt;20,W178&lt;89),0.3,0)+IF(AND(V178&lt;20,W178&gt;=89),0.25,0)+IF(AND(V178&gt;=20,V178&lt;40,W178&lt;74),0.3,0)+IF(AND(V178&gt;=20,V178&lt;40,W178&gt;=75),0.22,0)+IF(AND(V178&gt;=40,V178&lt;75,W178&lt;75),0.26,0)+IF(AND(V178&gt;=40,V178&lt;75,W178&gt;=75),0.22,0)+IF(V178&gt;=75,0.22,0),
IF(AF178="DoEVold",IF(AND(V178&lt;40,W178&lt;35),0.35,0)+IF(AND(V178&lt;40,W178&gt;=35,W178&lt;75),0.25,0)+IF(AND(V178&lt;40,W178&gt;=75),0.17,0)+IF(AND(V178&gt;=40,V178&lt;75,W178&lt;25),0.35,0)+IF(AND(V178&gt;=40,V178&lt;75,W178&gt;=25,W178&lt;65),0.25,0)+IF(AND(V178&gt;=40,V178&lt;75,W178&gt;=65,W178&lt;100),0.17,0)+IF(AND(V178&gt;=40,V178&lt;75,W178&gt;=100),0.1,0)+IF(AND(V178&gt;=75,W178&lt;25),0.35,0)+IF(AND(V178&gt;=75,W178&gt;=25,W178&lt;60),0.25,0)+IF(AND(V178&gt;=75,W178&gt;=60,W178&lt;95),0.17,0)+IF(AND(V178&gt;=75,W178&gt;=95),0.1,0),
IF(AF178="DoEVold15",IF(AND(V178&lt;=40,W178&lt;35),0.35,0)+IF(AND(V178&lt;=40,W178&gt;=35,W178&lt;75),0.25,0)+IF(AND(V178&lt;=40,W178&gt;=75,W178&lt;120),0.17,0)+IF(AND(V178&lt;=40,W178&gt;=120),0.15,0)+IF(AND(V178&gt;40,V178&lt;75,W178&lt;25),0.35,0)+IF(AND(V178&gt;=40,V178&lt;75,W178&gt;=25,W178&lt;65),0.25,0)+IF(AND(V178&gt;=40,V178&lt;75,W178&gt;=65,W178&lt;100),0.17,0)+IF(AND(V178&gt;=40,V178&lt;75,W178&gt;=100),0.1,0)+IF(AND(V178&gt;=75,W178&lt;25),0.35,0)+IF(AND(V178&gt;=75,W178&gt;=25,W178&lt;60),0.25,0)+IF(AND(V178&gt;=75,W178&gt;=60,W178&lt;95),0.17,0)+IF(AND(V178&gt;=75,W178&gt;=95),0.1,0),
IF(AF178="DoEVba",IF(AND(V178&lt;20,W178&lt;105),0.2,0)+IF(AND(V178&lt;20,W178&gt;=105),0.15,0)+IF(AND(V178&gt;=20,V178&lt;40,W178&lt;95),0.2,0)+IF(AND(V178&gt;=20,V178&lt;40,W178&gt;=95,W178&lt;150),0.15,0)+IF(AND(V178&gt;=20,V178&lt;40,W178&gt;=150),0.12,0)+IF(AND(V178&gt;=40,V178&lt;75,W178&lt;75),0.2,0)+IF(AND(V178&gt;=40,V178&lt;75,W178&gt;=75,W178&lt;120),0.15,0)+IF(AND(V178&gt;=40,V178&lt;75,W178&gt;=120),0.12,0)+IF(AND(V178&gt;=75,V178&lt;175,W178&lt;65),0.2,0)+IF(AND(V178&gt;=75,V178&lt;175,W178&gt;=65,W178&lt;110),0.15,0)+IF(AND(V178&gt;=75,V178&lt;175,W178&gt;=110),0.12,0)+IF(AND(V178&gt;=175,W178&lt;55),0.2,0)+IF(AND(V178&gt;=175,W178&gt;=55,W178&lt;95),0.15,0)+IF(AND(V178&gt;=175,W178&gt;=95),0.12,0),
IF(AF178="DoEVku",IF(AND(V178&lt;20,W178&lt;55),0.23,0)+IF(AND(V178&lt;20,W178&gt;=55,W178&lt;105),0.2,0)+IF(AND(V178&lt;20,W178&gt;=105),0.17,0)+IF(AND(V178&gt;=20,V178&lt;40,W178&lt;45),0.23,0)+IF(AND(V178&gt;=20,V178&lt;40,W178&gt;=45,W178&lt;95),0.2,0)+IF(AND(V178&gt;=20,V178&lt;40,W178&gt;=95,W178&lt;=150),0.17,0)+IF(AND(V178&gt;=20,V178&lt;40,W178&gt;=150),0.12,0)+IF(AND(V178&gt;=40,V178&lt;75,W178&lt;35),0.23,0)+IF(AND(V178&gt;=40,V178&lt;75,W178&gt;=35,W178&lt;75),0.2,0)+IF(AND(V178&gt;=40,V178&lt;75,W178&gt;=75,W178&lt;120),0.17,0)+IF(AND(V178&gt;=40,V178&lt;75,W178&gt;=120),0.12,0)+IF(AND(V178&gt;=75,V178&lt;175,W178&lt;35),0.23,0)+IF(AND(V178&gt;=75,V178&lt;=175,W178&gt;=35,W178&lt;65),0.2,0)+IF(AND(V178&gt;=75,V178&lt;=175,W178&gt;=65,W178&lt;110),0.17,0)+IF(AND(V178&gt;=75,V178&lt;=175,W178&gt;=110),0.12,0)+IF(AND(V178&gt;175,W178&lt;25),0.23,0)+IF(AND(V178&gt;175,W178&gt;=25,W178&lt;55),0.2,0)+IF(AND(V178&gt;175,W178&gt;=55,W178&lt;95),0.17,0)+IF(AND(V178&gt;175,W178&gt;=95),0.12,0),
IF(AF178="DoEVs1",IF(AND(V178&lt;20,W178&lt;55),0.3,0)+IF(AND(V178&lt;20,W178&gt;=55,W178&lt;105),0.23,0)+IF(AND(V178&lt;20,W178&gt;=105),0.17,0)+IF(AND(V178&gt;=20,V178&lt;40,W178&lt;45),0.3,0)+IF(AND(V178&gt;=20,V178&lt;40,W178&gt;=45,W178&lt;95),0.23,0)+IF(AND(V178&gt;=20,V178&lt;40,W178&gt;=95,W178&lt;=150),0.17,0)+IF(AND(V178&gt;=20,V178&lt;40,W178&gt;=150),0.12,0)+IF(AND(V178&gt;=40,V178&lt;75,W178&lt;35),0.3,0)+IF(AND(V178&gt;=40,V178&lt;75,W178&gt;=35,W178&lt;75),0.23,0)+IF(AND(V178&gt;=40,V178&lt;75,W178&gt;=75,W178&lt;120),0.17,0)+IF(AND(V178&gt;=40,V178&lt;75,W178&gt;=120),0.12,0)+IF(AND(V178&gt;=75,V178&lt;175,W178&lt;35),0.3,0)+IF(AND(V178&gt;=75,V178&lt;=175,W178&gt;=35,W178&lt;65),0.23,0)+IF(AND(V178&gt;=75,V178&lt;=175,W178&gt;=65,W178&lt;110),0.17,0)+IF(AND(V178&gt;=75,V178&lt;=175,W178&gt;=110),0.12,0)+IF(AND(V178&gt;175,W178&lt;25),0.3,0)+IF(AND(V178&gt;175,W178&gt;=25,W178&lt;55),0.23,0)+IF(AND(V178&gt;175,W178&gt;=55,W178&lt;95),0.17,0)+IF(AND(V178&gt;175,W178&gt;=95),0.12,0),
IF(AF178="DoEVsu",IF(AND(V178&lt;20,W178&lt;55),0.3,0)+IF(AND(V178&lt;20,W178&gt;=55,W178&lt;105),0.23,0)+IF(AND(V178&lt;20,W178&gt;=105),0.17,0)+IF(AND(V178&gt;=20,V178&lt;40,W178&lt;45),0.3,0)+IF(AND(V178&gt;=20,V178&lt;40,W178&gt;=45,W178&lt;95),0.23,0)+IF(AND(V178&gt;=20,V178&lt;40,W178&gt;=95,W178&lt;=250),0.17,0)+IF(AND(V178&gt;=20,V178&lt;40,W178&gt;=250),0.12,0)+IF(AND(V178&gt;=40,V178&lt;75,W178&lt;35),0.3,0)+IF(AND(V178&gt;=40,V178&lt;75,W178&gt;=35,W178&lt;75),0.23,0)+IF(AND(V178&gt;=40,V178&lt;75,W178&gt;=75,W178&lt;120),0.17,0)+IF(AND(V178&gt;=40,V178&lt;75,W178&gt;=120),0.12,0)+IF(AND(V178&gt;=75,V178&lt;175,W178&lt;35),0.3,0)+IF(AND(V178&gt;=75,V178&lt;=175,W178&gt;=35,W178&lt;65),0.23,0)+IF(AND(V178&gt;=75,V178&lt;=175,W178&gt;=65,W178&lt;110),0.17,0)+IF(AND(V178&gt;=75,V178&lt;=175,W178&gt;=110),0.12,0)+IF(AND(V178&gt;175,W178&lt;25),0.3,0)+IF(AND(V178&gt;175,W178&gt;=25,W178&lt;55),0.23,0)+IF(AND(V178&gt;175,W178&gt;=55,W178&lt;95),0.17,0)+IF(AND(V178&gt;175,W178&gt;=95),0.12,0),
IF(AF178="DoEVni",IF(AND(V178&lt;20,W178&lt;55),0.3,0)+IF(AND(V178&lt;20,W178&gt;=55,W178&lt;105),0.23,0)+IF(AND(V178&lt;20,W178&gt;=105),0.17,0)+IF(AND(V178&gt;=20,V178&lt;40,W178&lt;45),0.3,0)+IF(AND(V178&gt;=20,V178&lt;40,W178&gt;=45,W178&lt;95),0.23,0)+IF(AND(V178&gt;=20,V178&lt;40,W178&gt;=95,W178&lt;=200),0.17,0)+IF(AND(V178&gt;=20,V178&lt;40,W178&gt;=200),0.12,0)+IF(AND(V178&gt;=40,V178&lt;75,W178&lt;35),0.3,0)+IF(AND(V178&gt;=40,V178&lt;75,W178&gt;=35,W178&lt;75),0.23,0)+IF(AND(V178&gt;=40,V178&lt;75,W178&gt;=75,W178&lt;120),0.17,0)+IF(AND(V178&gt;=40,V178&lt;75,W178&gt;=120),0.12,0)+IF(AND(V178&gt;=75,V178&lt;175,W178&lt;35),0.3,0)+IF(AND(V178&gt;=75,V178&lt;=175,W178&gt;=35,W178&lt;65),0.23,0)+IF(AND(V178&gt;=75,V178&lt;=175,W178&gt;=65,W178&lt;110),0.17,0)+IF(AND(V178&gt;=75,V178&lt;=175,W178&gt;=110),0.12,0)+IF(AND(V178&gt;175,W178&lt;25),0.3,0)+IF(AND(V178&gt;175,W178&gt;=25,W178&lt;55),0.23,0)+IF(AND(V178&gt;175,W178&gt;=55,W178&lt;95),0.17,0)+IF(AND(V178&gt;175,W178&gt;=95),0.12,0),
IF(AF178="DoEVLo",IF(AND(V178&lt;20,W178&lt;55),0.25,0)+IF(AND(V178&lt;20,W178&gt;=55,W178&lt;105),0.2,0)+IF(AND(V178&lt;20,W178&gt;=105),0.15,0)+IF(AND(V178&gt;=20,V178&lt;40,W178&lt;45),0.25,0)+IF(AND(V178&gt;=20,V178&lt;40,W178&gt;=45,W178&lt;95),0.2,0)+IF(AND(V178&gt;=20,V178&lt;40,W178&gt;=95),0.15,0)+IF(AND(V178&gt;=40,V178&lt;75,W178&lt;35),0.25,0)+IF(AND(V178&gt;=40,V178&lt;75,W178&gt;=35,W178&lt;75),0.2,0)+IF(AND(V178&gt;=40,V178&lt;75,W178&gt;=75,W178&lt;120),0.15,0)+IF(AND(V178&gt;=40,V178&lt;75,W178&gt;=120),0.1,0)+IF(AND(V178&gt;=75,V178&lt;175,W178&lt;35),0.25,0)+IF(AND(V178&gt;=75,V178&lt;=175,W178&gt;=35,W178&lt;65),0.2,0)+IF(AND(V178&gt;=75,V178&lt;=175,W178&gt;=65,W178&lt;110),0.15,0)+IF(AND(V178&gt;=75,V178&lt;=175,W178&gt;=110),0.1,0)+IF(AND(V178&gt;175,W178&lt;25),0.25,0)+IF(AND(V178&gt;175,W178&gt;=25,W178&lt;55),0.2,0)+IF(AND(V178&gt;175,W178&gt;=55,W178&lt;95),0.15,0)+IF(AND(V178&gt;175,W178&gt;=95),0.1,0))))))))))))))))</f>
        <v>0.3</v>
      </c>
      <c r="Y178" s="30">
        <f>IF(AG178="None",0,IF(AG178="Fix5",0.05,IF(AG178="Fix3.75",0.0375,IF(AG178="Fix10",0.1,IF(AG178="Fix3",0.03,0)))))</f>
        <v>0</v>
      </c>
      <c r="Z178" s="35">
        <f>T178-AA178-AB178</f>
        <v>0</v>
      </c>
      <c r="AA178" s="29">
        <f>IF(AD178="EUR",((T178-R178)*X178)*U178+(R178*X178),(T178*X178))</f>
        <v>0</v>
      </c>
      <c r="AB178" s="36">
        <f>IF(AD178="EUR",((T178-R178)*Y178)*U178+(R178*Y178),(T178*Y178))</f>
        <v>0</v>
      </c>
      <c r="AC178" s="37" t="b">
        <v>1</v>
      </c>
      <c r="AD178" s="37" t="s">
        <v>38</v>
      </c>
      <c r="AE178" s="37" t="s">
        <v>38</v>
      </c>
      <c r="AF178" s="37" t="str">
        <f t="array" ref="AF178">INDEX('Deal Info'!D:D, MATCH(A178,'Deal Info'!A:A, 0))</f>
        <v>SF</v>
      </c>
      <c r="AG178" s="38" t="str">
        <f t="array" ref="AG178">INDEX('Deal Info'!G:G, MATCH(A178,'Deal Info'!A:A, 0))</f>
        <v>None</v>
      </c>
    </row>
    <row r="179" spans="1:33" ht="14.25" hidden="1" x14ac:dyDescent="0.2">
      <c r="A179" s="18" t="str">
        <f t="array" ref="A179">IF(G179='Room Info'!$B$1, INDEX('Room Info'!$A$2:$A2446, MATCH(B179,'Room Info'!$B$2:$B2446, 0)),IF(G179='Room Info'!$C$1, INDEX('Room Info'!$A$2:$A2446, MATCH(B179,'Room Info'!$C$2:$C2446, 0)),IF(G179='Room Info'!$D$1, INDEX('Room Info'!$A$2:$A2446, MATCH(B179,'Room Info'!$D$2:$D2446, 0)),IF(G179='Room Info'!$E$1, INDEX('Room Info'!$A$2:$A2446, MATCH(B179,'Room Info'!$E$2:$E2446, 0)),IF(G179='Room Info'!$F$1, INDEX('Room Info'!$A$2:$A2446, MATCH(B179,'Room Info'!$F$2:$F2446, 0)),IF(G179='Room Info'!$H$1, INDEX('Room Info'!$A$2:$A2446, MATCH(B179,'Room Info'!$H$2:$H2446, 0)),IF(G179='Room Info'!$G$1, INDEX('Room Info'!$A$2:$A2446, MATCH(B179,'Room Info'!$G$2:$G2446, 0)))))))))</f>
        <v>Fedorovi4</v>
      </c>
      <c r="B179" s="54" t="s">
        <v>91</v>
      </c>
      <c r="C179" s="46">
        <v>44398</v>
      </c>
      <c r="D179" s="46">
        <v>44428</v>
      </c>
      <c r="E179" s="47">
        <v>44409</v>
      </c>
      <c r="F179" s="45" t="s">
        <v>34</v>
      </c>
      <c r="G179" s="54" t="s">
        <v>61</v>
      </c>
      <c r="H179" s="49" t="s">
        <v>63</v>
      </c>
      <c r="I179" s="49" t="s">
        <v>37</v>
      </c>
      <c r="J179" s="50">
        <v>10</v>
      </c>
      <c r="K179" s="51">
        <v>1286</v>
      </c>
      <c r="L179" s="52">
        <v>702</v>
      </c>
      <c r="M179" s="53">
        <v>255</v>
      </c>
      <c r="N179" s="28">
        <f>K179*J179</f>
        <v>12860</v>
      </c>
      <c r="O179" s="54">
        <v>85613</v>
      </c>
      <c r="P179" s="29">
        <v>66.573094870000006</v>
      </c>
      <c r="Q179" s="55"/>
      <c r="R179" s="31">
        <f>M179+Q179</f>
        <v>255</v>
      </c>
      <c r="S179" s="56">
        <v>399</v>
      </c>
      <c r="T179" s="32">
        <f>R179+S179+IF(F179="Without EV deal",L179,0)</f>
        <v>654</v>
      </c>
      <c r="U179" s="33">
        <v>1</v>
      </c>
      <c r="V179" s="69">
        <v>10</v>
      </c>
      <c r="W179" s="58">
        <v>13</v>
      </c>
      <c r="X179" s="30">
        <f>IF(AF179="DoEV",IF(AND(V179&lt;20,W179&lt;55),0.3,0)+IF(AND(V179&lt;20,W179&gt;=55,W179&lt;105),0.23,0)+IF(AND(V179&lt;20,W179&gt;=105),0.17,0)+IF(AND(V179&gt;=20,V179&lt;40,W179&lt;45),0.3,0)+IF(AND(V179&gt;=20,V179&lt;40,W179&gt;=45,W179&lt;95),0.23,0)+IF(AND(V179&gt;=20,V179&lt;40,W179&gt;=95),0.17,0)+IF(AND(V179&gt;=40,V179&lt;75,W179&lt;35),0.3,0)+IF(AND(V179&gt;=40,V179&lt;75,W179&gt;=35,W179&lt;75),0.23,0)+IF(AND(V179&gt;=40,V179&lt;75,W179&gt;=75,W179&lt;120),0.17,0)+IF(AND(V179&gt;=40,V179&lt;75,W179&gt;=120),0.12,0)+IF(AND(V179&gt;=75,V179&lt;175,W179&lt;35),0.3,0)+IF(AND(V179&gt;=75,V179&lt;=175,W179&gt;=35,W179&lt;65),0.23,0)+IF(AND(V179&gt;=75,V179&lt;=175,W179&gt;=65,W179&lt;110),0.17,0)+IF(AND(V179&gt;=75,V179&lt;=175,W179&gt;=110),0.12,0)+IF(AND(V179&gt;175,W179&lt;25),0.3,0)+IF(AND(V179&gt;175,W179&gt;=25,W179&lt;55),0.23,0)+IF(AND(V179&gt;175,W179&gt;=55,W179&lt;95),0.17,0)+IF(AND(V179&gt;175,W179&gt;=95),0.12,0),
IF(AF179="Fix15",0.15,
IF(AF179="Fix11.25",0.1125,
IF(AF179="Fix10",0.1,
IF(AF179="Fix9",0.09,
IF(AF179="DoEV2017",IF(AND(W179&lt;74),0.2,0)+IF(AND(W179&gt;=74),0.17,0),
IF(AF179="SF",IF(AND(V179&lt;20,W179&lt;89),0.3,0)+IF(AND(V179&lt;20,W179&gt;=89),0.25,0)+IF(AND(V179&gt;=20,V179&lt;40,W179&lt;74),0.3,0)+IF(AND(V179&gt;=20,V179&lt;40,W179&gt;=75),0.22,0)+IF(AND(V179&gt;=40,V179&lt;75,W179&lt;75),0.26,0)+IF(AND(V179&gt;=40,V179&lt;75,W179&gt;=75),0.22,0)+IF(V179&gt;=75,0.22,0),
IF(AF179="DoEVold",IF(AND(V179&lt;40,W179&lt;35),0.35,0)+IF(AND(V179&lt;40,W179&gt;=35,W179&lt;75),0.25,0)+IF(AND(V179&lt;40,W179&gt;=75),0.17,0)+IF(AND(V179&gt;=40,V179&lt;75,W179&lt;25),0.35,0)+IF(AND(V179&gt;=40,V179&lt;75,W179&gt;=25,W179&lt;65),0.25,0)+IF(AND(V179&gt;=40,V179&lt;75,W179&gt;=65,W179&lt;100),0.17,0)+IF(AND(V179&gt;=40,V179&lt;75,W179&gt;=100),0.1,0)+IF(AND(V179&gt;=75,W179&lt;25),0.35,0)+IF(AND(V179&gt;=75,W179&gt;=25,W179&lt;60),0.25,0)+IF(AND(V179&gt;=75,W179&gt;=60,W179&lt;95),0.17,0)+IF(AND(V179&gt;=75,W179&gt;=95),0.1,0),
IF(AF179="DoEVold15",IF(AND(V179&lt;=40,W179&lt;35),0.35,0)+IF(AND(V179&lt;=40,W179&gt;=35,W179&lt;75),0.25,0)+IF(AND(V179&lt;=40,W179&gt;=75,W179&lt;120),0.17,0)+IF(AND(V179&lt;=40,W179&gt;=120),0.15,0)+IF(AND(V179&gt;40,V179&lt;75,W179&lt;25),0.35,0)+IF(AND(V179&gt;=40,V179&lt;75,W179&gt;=25,W179&lt;65),0.25,0)+IF(AND(V179&gt;=40,V179&lt;75,W179&gt;=65,W179&lt;100),0.17,0)+IF(AND(V179&gt;=40,V179&lt;75,W179&gt;=100),0.1,0)+IF(AND(V179&gt;=75,W179&lt;25),0.35,0)+IF(AND(V179&gt;=75,W179&gt;=25,W179&lt;60),0.25,0)+IF(AND(V179&gt;=75,W179&gt;=60,W179&lt;95),0.17,0)+IF(AND(V179&gt;=75,W179&gt;=95),0.1,0),
IF(AF179="DoEVba",IF(AND(V179&lt;20,W179&lt;105),0.2,0)+IF(AND(V179&lt;20,W179&gt;=105),0.15,0)+IF(AND(V179&gt;=20,V179&lt;40,W179&lt;95),0.2,0)+IF(AND(V179&gt;=20,V179&lt;40,W179&gt;=95,W179&lt;150),0.15,0)+IF(AND(V179&gt;=20,V179&lt;40,W179&gt;=150),0.12,0)+IF(AND(V179&gt;=40,V179&lt;75,W179&lt;75),0.2,0)+IF(AND(V179&gt;=40,V179&lt;75,W179&gt;=75,W179&lt;120),0.15,0)+IF(AND(V179&gt;=40,V179&lt;75,W179&gt;=120),0.12,0)+IF(AND(V179&gt;=75,V179&lt;175,W179&lt;65),0.2,0)+IF(AND(V179&gt;=75,V179&lt;175,W179&gt;=65,W179&lt;110),0.15,0)+IF(AND(V179&gt;=75,V179&lt;175,W179&gt;=110),0.12,0)+IF(AND(V179&gt;=175,W179&lt;55),0.2,0)+IF(AND(V179&gt;=175,W179&gt;=55,W179&lt;95),0.15,0)+IF(AND(V179&gt;=175,W179&gt;=95),0.12,0),
IF(AF179="DoEVku",IF(AND(V179&lt;20,W179&lt;55),0.23,0)+IF(AND(V179&lt;20,W179&gt;=55,W179&lt;105),0.2,0)+IF(AND(V179&lt;20,W179&gt;=105),0.17,0)+IF(AND(V179&gt;=20,V179&lt;40,W179&lt;45),0.23,0)+IF(AND(V179&gt;=20,V179&lt;40,W179&gt;=45,W179&lt;95),0.2,0)+IF(AND(V179&gt;=20,V179&lt;40,W179&gt;=95,W179&lt;=150),0.17,0)+IF(AND(V179&gt;=20,V179&lt;40,W179&gt;=150),0.12,0)+IF(AND(V179&gt;=40,V179&lt;75,W179&lt;35),0.23,0)+IF(AND(V179&gt;=40,V179&lt;75,W179&gt;=35,W179&lt;75),0.2,0)+IF(AND(V179&gt;=40,V179&lt;75,W179&gt;=75,W179&lt;120),0.17,0)+IF(AND(V179&gt;=40,V179&lt;75,W179&gt;=120),0.12,0)+IF(AND(V179&gt;=75,V179&lt;175,W179&lt;35),0.23,0)+IF(AND(V179&gt;=75,V179&lt;=175,W179&gt;=35,W179&lt;65),0.2,0)+IF(AND(V179&gt;=75,V179&lt;=175,W179&gt;=65,W179&lt;110),0.17,0)+IF(AND(V179&gt;=75,V179&lt;=175,W179&gt;=110),0.12,0)+IF(AND(V179&gt;175,W179&lt;25),0.23,0)+IF(AND(V179&gt;175,W179&gt;=25,W179&lt;55),0.2,0)+IF(AND(V179&gt;175,W179&gt;=55,W179&lt;95),0.17,0)+IF(AND(V179&gt;175,W179&gt;=95),0.12,0),
IF(AF179="DoEVs1",IF(AND(V179&lt;20,W179&lt;55),0.3,0)+IF(AND(V179&lt;20,W179&gt;=55,W179&lt;105),0.23,0)+IF(AND(V179&lt;20,W179&gt;=105),0.17,0)+IF(AND(V179&gt;=20,V179&lt;40,W179&lt;45),0.3,0)+IF(AND(V179&gt;=20,V179&lt;40,W179&gt;=45,W179&lt;95),0.23,0)+IF(AND(V179&gt;=20,V179&lt;40,W179&gt;=95,W179&lt;=150),0.17,0)+IF(AND(V179&gt;=20,V179&lt;40,W179&gt;=150),0.12,0)+IF(AND(V179&gt;=40,V179&lt;75,W179&lt;35),0.3,0)+IF(AND(V179&gt;=40,V179&lt;75,W179&gt;=35,W179&lt;75),0.23,0)+IF(AND(V179&gt;=40,V179&lt;75,W179&gt;=75,W179&lt;120),0.17,0)+IF(AND(V179&gt;=40,V179&lt;75,W179&gt;=120),0.12,0)+IF(AND(V179&gt;=75,V179&lt;175,W179&lt;35),0.3,0)+IF(AND(V179&gt;=75,V179&lt;=175,W179&gt;=35,W179&lt;65),0.23,0)+IF(AND(V179&gt;=75,V179&lt;=175,W179&gt;=65,W179&lt;110),0.17,0)+IF(AND(V179&gt;=75,V179&lt;=175,W179&gt;=110),0.12,0)+IF(AND(V179&gt;175,W179&lt;25),0.3,0)+IF(AND(V179&gt;175,W179&gt;=25,W179&lt;55),0.23,0)+IF(AND(V179&gt;175,W179&gt;=55,W179&lt;95),0.17,0)+IF(AND(V179&gt;175,W179&gt;=95),0.12,0),
IF(AF179="DoEVsu",IF(AND(V179&lt;20,W179&lt;55),0.3,0)+IF(AND(V179&lt;20,W179&gt;=55,W179&lt;105),0.23,0)+IF(AND(V179&lt;20,W179&gt;=105),0.17,0)+IF(AND(V179&gt;=20,V179&lt;40,W179&lt;45),0.3,0)+IF(AND(V179&gt;=20,V179&lt;40,W179&gt;=45,W179&lt;95),0.23,0)+IF(AND(V179&gt;=20,V179&lt;40,W179&gt;=95,W179&lt;=250),0.17,0)+IF(AND(V179&gt;=20,V179&lt;40,W179&gt;=250),0.12,0)+IF(AND(V179&gt;=40,V179&lt;75,W179&lt;35),0.3,0)+IF(AND(V179&gt;=40,V179&lt;75,W179&gt;=35,W179&lt;75),0.23,0)+IF(AND(V179&gt;=40,V179&lt;75,W179&gt;=75,W179&lt;120),0.17,0)+IF(AND(V179&gt;=40,V179&lt;75,W179&gt;=120),0.12,0)+IF(AND(V179&gt;=75,V179&lt;175,W179&lt;35),0.3,0)+IF(AND(V179&gt;=75,V179&lt;=175,W179&gt;=35,W179&lt;65),0.23,0)+IF(AND(V179&gt;=75,V179&lt;=175,W179&gt;=65,W179&lt;110),0.17,0)+IF(AND(V179&gt;=75,V179&lt;=175,W179&gt;=110),0.12,0)+IF(AND(V179&gt;175,W179&lt;25),0.3,0)+IF(AND(V179&gt;175,W179&gt;=25,W179&lt;55),0.23,0)+IF(AND(V179&gt;175,W179&gt;=55,W179&lt;95),0.17,0)+IF(AND(V179&gt;175,W179&gt;=95),0.12,0),
IF(AF179="DoEVni",IF(AND(V179&lt;20,W179&lt;55),0.3,0)+IF(AND(V179&lt;20,W179&gt;=55,W179&lt;105),0.23,0)+IF(AND(V179&lt;20,W179&gt;=105),0.17,0)+IF(AND(V179&gt;=20,V179&lt;40,W179&lt;45),0.3,0)+IF(AND(V179&gt;=20,V179&lt;40,W179&gt;=45,W179&lt;95),0.23,0)+IF(AND(V179&gt;=20,V179&lt;40,W179&gt;=95,W179&lt;=200),0.17,0)+IF(AND(V179&gt;=20,V179&lt;40,W179&gt;=200),0.12,0)+IF(AND(V179&gt;=40,V179&lt;75,W179&lt;35),0.3,0)+IF(AND(V179&gt;=40,V179&lt;75,W179&gt;=35,W179&lt;75),0.23,0)+IF(AND(V179&gt;=40,V179&lt;75,W179&gt;=75,W179&lt;120),0.17,0)+IF(AND(V179&gt;=40,V179&lt;75,W179&gt;=120),0.12,0)+IF(AND(V179&gt;=75,V179&lt;175,W179&lt;35),0.3,0)+IF(AND(V179&gt;=75,V179&lt;=175,W179&gt;=35,W179&lt;65),0.23,0)+IF(AND(V179&gt;=75,V179&lt;=175,W179&gt;=65,W179&lt;110),0.17,0)+IF(AND(V179&gt;=75,V179&lt;=175,W179&gt;=110),0.12,0)+IF(AND(V179&gt;175,W179&lt;25),0.3,0)+IF(AND(V179&gt;175,W179&gt;=25,W179&lt;55),0.23,0)+IF(AND(V179&gt;175,W179&gt;=55,W179&lt;95),0.17,0)+IF(AND(V179&gt;175,W179&gt;=95),0.12,0),
IF(AF179="DoEVLo",IF(AND(V179&lt;20,W179&lt;55),0.25,0)+IF(AND(V179&lt;20,W179&gt;=55,W179&lt;105),0.2,0)+IF(AND(V179&lt;20,W179&gt;=105),0.15,0)+IF(AND(V179&gt;=20,V179&lt;40,W179&lt;45),0.25,0)+IF(AND(V179&gt;=20,V179&lt;40,W179&gt;=45,W179&lt;95),0.2,0)+IF(AND(V179&gt;=20,V179&lt;40,W179&gt;=95),0.15,0)+IF(AND(V179&gt;=40,V179&lt;75,W179&lt;35),0.25,0)+IF(AND(V179&gt;=40,V179&lt;75,W179&gt;=35,W179&lt;75),0.2,0)+IF(AND(V179&gt;=40,V179&lt;75,W179&gt;=75,W179&lt;120),0.15,0)+IF(AND(V179&gt;=40,V179&lt;75,W179&gt;=120),0.1,0)+IF(AND(V179&gt;=75,V179&lt;175,W179&lt;35),0.25,0)+IF(AND(V179&gt;=75,V179&lt;=175,W179&gt;=35,W179&lt;65),0.2,0)+IF(AND(V179&gt;=75,V179&lt;=175,W179&gt;=65,W179&lt;110),0.15,0)+IF(AND(V179&gt;=75,V179&lt;=175,W179&gt;=110),0.1,0)+IF(AND(V179&gt;175,W179&lt;25),0.25,0)+IF(AND(V179&gt;175,W179&gt;=25,W179&lt;55),0.2,0)+IF(AND(V179&gt;175,W179&gt;=55,W179&lt;95),0.15,0)+IF(AND(V179&gt;175,W179&gt;=95),0.1,0))))))))))))))))</f>
        <v>0.3</v>
      </c>
      <c r="Y179" s="30">
        <f>IF(AG179="None",0,IF(AG179="Fix5",0.05,IF(AG179="Fix3.75",0.0375,IF(AG179="Fix10",0.1,IF(AG179="Fix3",0.03,0)))))</f>
        <v>0</v>
      </c>
      <c r="Z179" s="35">
        <f>T179-AA179-AB179</f>
        <v>457.8</v>
      </c>
      <c r="AA179" s="29">
        <f>IF(AD179="EUR",((T179-R179)*X179)*U179+(R179*X179),(T179*X179))</f>
        <v>196.2</v>
      </c>
      <c r="AB179" s="36">
        <f>IF(AD179="EUR",((T179-R179)*Y179)*U179+(R179*Y179),(T179*Y179))</f>
        <v>0</v>
      </c>
      <c r="AC179" s="37" t="b">
        <v>1</v>
      </c>
      <c r="AD179" s="37" t="s">
        <v>38</v>
      </c>
      <c r="AE179" s="37" t="s">
        <v>38</v>
      </c>
      <c r="AF179" s="37" t="str">
        <f t="array" ref="AF179">INDEX('Deal Info'!D:D, MATCH(A179,'Deal Info'!A:A, 0))</f>
        <v>SF</v>
      </c>
      <c r="AG179" s="38" t="str">
        <f t="array" ref="AG179">INDEX('Deal Info'!G:G, MATCH(A179,'Deal Info'!A:A, 0))</f>
        <v>None</v>
      </c>
    </row>
    <row r="180" spans="1:33" ht="14.25" hidden="1" x14ac:dyDescent="0.2">
      <c r="A180" s="18" t="str">
        <f t="array" ref="A180">IF(G180='Room Info'!$B$1, INDEX('Room Info'!$A$2:$A2446, MATCH(B180,'Room Info'!$B$2:$B2446, 0)),IF(G180='Room Info'!$C$1, INDEX('Room Info'!$A$2:$A2446, MATCH(B180,'Room Info'!$C$2:$C2446, 0)),IF(G180='Room Info'!$D$1, INDEX('Room Info'!$A$2:$A2446, MATCH(B180,'Room Info'!$D$2:$D2446, 0)),IF(G180='Room Info'!$E$1, INDEX('Room Info'!$A$2:$A2446, MATCH(B180,'Room Info'!$E$2:$E2446, 0)),IF(G180='Room Info'!$F$1, INDEX('Room Info'!$A$2:$A2446, MATCH(B180,'Room Info'!$F$2:$F2446, 0)),IF(G180='Room Info'!$H$1, INDEX('Room Info'!$A$2:$A2446, MATCH(B180,'Room Info'!$H$2:$H2446, 0)),IF(G180='Room Info'!$G$1, INDEX('Room Info'!$A$2:$A2446, MATCH(B180,'Room Info'!$G$2:$G2446, 0)))))))))</f>
        <v>Fedorovi4</v>
      </c>
      <c r="B180" s="54" t="s">
        <v>91</v>
      </c>
      <c r="C180" s="46">
        <v>44429</v>
      </c>
      <c r="D180" s="46">
        <v>44459</v>
      </c>
      <c r="E180" s="47">
        <v>44440</v>
      </c>
      <c r="F180" s="45" t="s">
        <v>34</v>
      </c>
      <c r="G180" s="54" t="s">
        <v>61</v>
      </c>
      <c r="H180" s="49" t="s">
        <v>93</v>
      </c>
      <c r="I180" s="49" t="s">
        <v>37</v>
      </c>
      <c r="J180" s="50">
        <v>25</v>
      </c>
      <c r="K180" s="51">
        <v>371</v>
      </c>
      <c r="L180" s="52">
        <v>968</v>
      </c>
      <c r="M180" s="53">
        <v>15</v>
      </c>
      <c r="N180" s="28">
        <f>K180*J180</f>
        <v>9275</v>
      </c>
      <c r="O180" s="54">
        <v>28562</v>
      </c>
      <c r="P180" s="29">
        <v>76.986522910000005</v>
      </c>
      <c r="Q180" s="55"/>
      <c r="R180" s="31">
        <f>M180+Q180</f>
        <v>15</v>
      </c>
      <c r="S180" s="56">
        <v>470</v>
      </c>
      <c r="T180" s="32">
        <f>R180+S180+IF(F180="Without EV deal",L180,0)</f>
        <v>485</v>
      </c>
      <c r="U180" s="33">
        <v>1</v>
      </c>
      <c r="V180" s="69">
        <v>25</v>
      </c>
      <c r="W180" s="69">
        <v>19.399999999999999</v>
      </c>
      <c r="X180" s="30">
        <f>IF(AF180="DoEV",IF(AND(V180&lt;20,W180&lt;55),0.3,0)+IF(AND(V180&lt;20,W180&gt;=55,W180&lt;105),0.23,0)+IF(AND(V180&lt;20,W180&gt;=105),0.17,0)+IF(AND(V180&gt;=20,V180&lt;40,W180&lt;45),0.3,0)+IF(AND(V180&gt;=20,V180&lt;40,W180&gt;=45,W180&lt;95),0.23,0)+IF(AND(V180&gt;=20,V180&lt;40,W180&gt;=95),0.17,0)+IF(AND(V180&gt;=40,V180&lt;75,W180&lt;35),0.3,0)+IF(AND(V180&gt;=40,V180&lt;75,W180&gt;=35,W180&lt;75),0.23,0)+IF(AND(V180&gt;=40,V180&lt;75,W180&gt;=75,W180&lt;120),0.17,0)+IF(AND(V180&gt;=40,V180&lt;75,W180&gt;=120),0.12,0)+IF(AND(V180&gt;=75,V180&lt;175,W180&lt;35),0.3,0)+IF(AND(V180&gt;=75,V180&lt;=175,W180&gt;=35,W180&lt;65),0.23,0)+IF(AND(V180&gt;=75,V180&lt;=175,W180&gt;=65,W180&lt;110),0.17,0)+IF(AND(V180&gt;=75,V180&lt;=175,W180&gt;=110),0.12,0)+IF(AND(V180&gt;175,W180&lt;25),0.3,0)+IF(AND(V180&gt;175,W180&gt;=25,W180&lt;55),0.23,0)+IF(AND(V180&gt;175,W180&gt;=55,W180&lt;95),0.17,0)+IF(AND(V180&gt;175,W180&gt;=95),0.12,0),
IF(AF180="Fix15",0.15,
IF(AF180="Fix11.25",0.1125,
IF(AF180="Fix10",0.1,
IF(AF180="Fix9",0.09,
IF(AF180="DoEV2017",IF(AND(W180&lt;74),0.2,0)+IF(AND(W180&gt;=74),0.17,0),
IF(AF180="SF",IF(AND(V180&lt;20,W180&lt;89),0.3,0)+IF(AND(V180&lt;20,W180&gt;=89),0.25,0)+IF(AND(V180&gt;=20,V180&lt;40,W180&lt;74),0.3,0)+IF(AND(V180&gt;=20,V180&lt;40,W180&gt;=75),0.22,0)+IF(AND(V180&gt;=40,V180&lt;75,W180&lt;75),0.26,0)+IF(AND(V180&gt;=40,V180&lt;75,W180&gt;=75),0.22,0)+IF(V180&gt;=75,0.22,0),
IF(AF180="DoEVold",IF(AND(V180&lt;40,W180&lt;35),0.35,0)+IF(AND(V180&lt;40,W180&gt;=35,W180&lt;75),0.25,0)+IF(AND(V180&lt;40,W180&gt;=75),0.17,0)+IF(AND(V180&gt;=40,V180&lt;75,W180&lt;25),0.35,0)+IF(AND(V180&gt;=40,V180&lt;75,W180&gt;=25,W180&lt;65),0.25,0)+IF(AND(V180&gt;=40,V180&lt;75,W180&gt;=65,W180&lt;100),0.17,0)+IF(AND(V180&gt;=40,V180&lt;75,W180&gt;=100),0.1,0)+IF(AND(V180&gt;=75,W180&lt;25),0.35,0)+IF(AND(V180&gt;=75,W180&gt;=25,W180&lt;60),0.25,0)+IF(AND(V180&gt;=75,W180&gt;=60,W180&lt;95),0.17,0)+IF(AND(V180&gt;=75,W180&gt;=95),0.1,0),
IF(AF180="DoEVold15",IF(AND(V180&lt;=40,W180&lt;35),0.35,0)+IF(AND(V180&lt;=40,W180&gt;=35,W180&lt;75),0.25,0)+IF(AND(V180&lt;=40,W180&gt;=75,W180&lt;120),0.17,0)+IF(AND(V180&lt;=40,W180&gt;=120),0.15,0)+IF(AND(V180&gt;40,V180&lt;75,W180&lt;25),0.35,0)+IF(AND(V180&gt;=40,V180&lt;75,W180&gt;=25,W180&lt;65),0.25,0)+IF(AND(V180&gt;=40,V180&lt;75,W180&gt;=65,W180&lt;100),0.17,0)+IF(AND(V180&gt;=40,V180&lt;75,W180&gt;=100),0.1,0)+IF(AND(V180&gt;=75,W180&lt;25),0.35,0)+IF(AND(V180&gt;=75,W180&gt;=25,W180&lt;60),0.25,0)+IF(AND(V180&gt;=75,W180&gt;=60,W180&lt;95),0.17,0)+IF(AND(V180&gt;=75,W180&gt;=95),0.1,0),
IF(AF180="DoEVba",IF(AND(V180&lt;20,W180&lt;105),0.2,0)+IF(AND(V180&lt;20,W180&gt;=105),0.15,0)+IF(AND(V180&gt;=20,V180&lt;40,W180&lt;95),0.2,0)+IF(AND(V180&gt;=20,V180&lt;40,W180&gt;=95,W180&lt;150),0.15,0)+IF(AND(V180&gt;=20,V180&lt;40,W180&gt;=150),0.12,0)+IF(AND(V180&gt;=40,V180&lt;75,W180&lt;75),0.2,0)+IF(AND(V180&gt;=40,V180&lt;75,W180&gt;=75,W180&lt;120),0.15,0)+IF(AND(V180&gt;=40,V180&lt;75,W180&gt;=120),0.12,0)+IF(AND(V180&gt;=75,V180&lt;175,W180&lt;65),0.2,0)+IF(AND(V180&gt;=75,V180&lt;175,W180&gt;=65,W180&lt;110),0.15,0)+IF(AND(V180&gt;=75,V180&lt;175,W180&gt;=110),0.12,0)+IF(AND(V180&gt;=175,W180&lt;55),0.2,0)+IF(AND(V180&gt;=175,W180&gt;=55,W180&lt;95),0.15,0)+IF(AND(V180&gt;=175,W180&gt;=95),0.12,0),
IF(AF180="DoEVku",IF(AND(V180&lt;20,W180&lt;55),0.23,0)+IF(AND(V180&lt;20,W180&gt;=55,W180&lt;105),0.2,0)+IF(AND(V180&lt;20,W180&gt;=105),0.17,0)+IF(AND(V180&gt;=20,V180&lt;40,W180&lt;45),0.23,0)+IF(AND(V180&gt;=20,V180&lt;40,W180&gt;=45,W180&lt;95),0.2,0)+IF(AND(V180&gt;=20,V180&lt;40,W180&gt;=95,W180&lt;=150),0.17,0)+IF(AND(V180&gt;=20,V180&lt;40,W180&gt;=150),0.12,0)+IF(AND(V180&gt;=40,V180&lt;75,W180&lt;35),0.23,0)+IF(AND(V180&gt;=40,V180&lt;75,W180&gt;=35,W180&lt;75),0.2,0)+IF(AND(V180&gt;=40,V180&lt;75,W180&gt;=75,W180&lt;120),0.17,0)+IF(AND(V180&gt;=40,V180&lt;75,W180&gt;=120),0.12,0)+IF(AND(V180&gt;=75,V180&lt;175,W180&lt;35),0.23,0)+IF(AND(V180&gt;=75,V180&lt;=175,W180&gt;=35,W180&lt;65),0.2,0)+IF(AND(V180&gt;=75,V180&lt;=175,W180&gt;=65,W180&lt;110),0.17,0)+IF(AND(V180&gt;=75,V180&lt;=175,W180&gt;=110),0.12,0)+IF(AND(V180&gt;175,W180&lt;25),0.23,0)+IF(AND(V180&gt;175,W180&gt;=25,W180&lt;55),0.2,0)+IF(AND(V180&gt;175,W180&gt;=55,W180&lt;95),0.17,0)+IF(AND(V180&gt;175,W180&gt;=95),0.12,0),
IF(AF180="DoEVs1",IF(AND(V180&lt;20,W180&lt;55),0.3,0)+IF(AND(V180&lt;20,W180&gt;=55,W180&lt;105),0.23,0)+IF(AND(V180&lt;20,W180&gt;=105),0.17,0)+IF(AND(V180&gt;=20,V180&lt;40,W180&lt;45),0.3,0)+IF(AND(V180&gt;=20,V180&lt;40,W180&gt;=45,W180&lt;95),0.23,0)+IF(AND(V180&gt;=20,V180&lt;40,W180&gt;=95,W180&lt;=150),0.17,0)+IF(AND(V180&gt;=20,V180&lt;40,W180&gt;=150),0.12,0)+IF(AND(V180&gt;=40,V180&lt;75,W180&lt;35),0.3,0)+IF(AND(V180&gt;=40,V180&lt;75,W180&gt;=35,W180&lt;75),0.23,0)+IF(AND(V180&gt;=40,V180&lt;75,W180&gt;=75,W180&lt;120),0.17,0)+IF(AND(V180&gt;=40,V180&lt;75,W180&gt;=120),0.12,0)+IF(AND(V180&gt;=75,V180&lt;175,W180&lt;35),0.3,0)+IF(AND(V180&gt;=75,V180&lt;=175,W180&gt;=35,W180&lt;65),0.23,0)+IF(AND(V180&gt;=75,V180&lt;=175,W180&gt;=65,W180&lt;110),0.17,0)+IF(AND(V180&gt;=75,V180&lt;=175,W180&gt;=110),0.12,0)+IF(AND(V180&gt;175,W180&lt;25),0.3,0)+IF(AND(V180&gt;175,W180&gt;=25,W180&lt;55),0.23,0)+IF(AND(V180&gt;175,W180&gt;=55,W180&lt;95),0.17,0)+IF(AND(V180&gt;175,W180&gt;=95),0.12,0),
IF(AF180="DoEVsu",IF(AND(V180&lt;20,W180&lt;55),0.3,0)+IF(AND(V180&lt;20,W180&gt;=55,W180&lt;105),0.23,0)+IF(AND(V180&lt;20,W180&gt;=105),0.17,0)+IF(AND(V180&gt;=20,V180&lt;40,W180&lt;45),0.3,0)+IF(AND(V180&gt;=20,V180&lt;40,W180&gt;=45,W180&lt;95),0.23,0)+IF(AND(V180&gt;=20,V180&lt;40,W180&gt;=95,W180&lt;=250),0.17,0)+IF(AND(V180&gt;=20,V180&lt;40,W180&gt;=250),0.12,0)+IF(AND(V180&gt;=40,V180&lt;75,W180&lt;35),0.3,0)+IF(AND(V180&gt;=40,V180&lt;75,W180&gt;=35,W180&lt;75),0.23,0)+IF(AND(V180&gt;=40,V180&lt;75,W180&gt;=75,W180&lt;120),0.17,0)+IF(AND(V180&gt;=40,V180&lt;75,W180&gt;=120),0.12,0)+IF(AND(V180&gt;=75,V180&lt;175,W180&lt;35),0.3,0)+IF(AND(V180&gt;=75,V180&lt;=175,W180&gt;=35,W180&lt;65),0.23,0)+IF(AND(V180&gt;=75,V180&lt;=175,W180&gt;=65,W180&lt;110),0.17,0)+IF(AND(V180&gt;=75,V180&lt;=175,W180&gt;=110),0.12,0)+IF(AND(V180&gt;175,W180&lt;25),0.3,0)+IF(AND(V180&gt;175,W180&gt;=25,W180&lt;55),0.23,0)+IF(AND(V180&gt;175,W180&gt;=55,W180&lt;95),0.17,0)+IF(AND(V180&gt;175,W180&gt;=95),0.12,0),
IF(AF180="DoEVni",IF(AND(V180&lt;20,W180&lt;55),0.3,0)+IF(AND(V180&lt;20,W180&gt;=55,W180&lt;105),0.23,0)+IF(AND(V180&lt;20,W180&gt;=105),0.17,0)+IF(AND(V180&gt;=20,V180&lt;40,W180&lt;45),0.3,0)+IF(AND(V180&gt;=20,V180&lt;40,W180&gt;=45,W180&lt;95),0.23,0)+IF(AND(V180&gt;=20,V180&lt;40,W180&gt;=95,W180&lt;=200),0.17,0)+IF(AND(V180&gt;=20,V180&lt;40,W180&gt;=200),0.12,0)+IF(AND(V180&gt;=40,V180&lt;75,W180&lt;35),0.3,0)+IF(AND(V180&gt;=40,V180&lt;75,W180&gt;=35,W180&lt;75),0.23,0)+IF(AND(V180&gt;=40,V180&lt;75,W180&gt;=75,W180&lt;120),0.17,0)+IF(AND(V180&gt;=40,V180&lt;75,W180&gt;=120),0.12,0)+IF(AND(V180&gt;=75,V180&lt;175,W180&lt;35),0.3,0)+IF(AND(V180&gt;=75,V180&lt;=175,W180&gt;=35,W180&lt;65),0.23,0)+IF(AND(V180&gt;=75,V180&lt;=175,W180&gt;=65,W180&lt;110),0.17,0)+IF(AND(V180&gt;=75,V180&lt;=175,W180&gt;=110),0.12,0)+IF(AND(V180&gt;175,W180&lt;25),0.3,0)+IF(AND(V180&gt;175,W180&gt;=25,W180&lt;55),0.23,0)+IF(AND(V180&gt;175,W180&gt;=55,W180&lt;95),0.17,0)+IF(AND(V180&gt;175,W180&gt;=95),0.12,0),
IF(AF180="DoEVLo",IF(AND(V180&lt;20,W180&lt;55),0.25,0)+IF(AND(V180&lt;20,W180&gt;=55,W180&lt;105),0.2,0)+IF(AND(V180&lt;20,W180&gt;=105),0.15,0)+IF(AND(V180&gt;=20,V180&lt;40,W180&lt;45),0.25,0)+IF(AND(V180&gt;=20,V180&lt;40,W180&gt;=45,W180&lt;95),0.2,0)+IF(AND(V180&gt;=20,V180&lt;40,W180&gt;=95),0.15,0)+IF(AND(V180&gt;=40,V180&lt;75,W180&lt;35),0.25,0)+IF(AND(V180&gt;=40,V180&lt;75,W180&gt;=35,W180&lt;75),0.2,0)+IF(AND(V180&gt;=40,V180&lt;75,W180&gt;=75,W180&lt;120),0.15,0)+IF(AND(V180&gt;=40,V180&lt;75,W180&gt;=120),0.1,0)+IF(AND(V180&gt;=75,V180&lt;175,W180&lt;35),0.25,0)+IF(AND(V180&gt;=75,V180&lt;=175,W180&gt;=35,W180&lt;65),0.2,0)+IF(AND(V180&gt;=75,V180&lt;=175,W180&gt;=65,W180&lt;110),0.15,0)+IF(AND(V180&gt;=75,V180&lt;=175,W180&gt;=110),0.1,0)+IF(AND(V180&gt;175,W180&lt;25),0.25,0)+IF(AND(V180&gt;175,W180&gt;=25,W180&lt;55),0.2,0)+IF(AND(V180&gt;175,W180&gt;=55,W180&lt;95),0.15,0)+IF(AND(V180&gt;175,W180&gt;=95),0.1,0))))))))))))))))</f>
        <v>0.3</v>
      </c>
      <c r="Y180" s="30">
        <f>IF(AG180="None",0,IF(AG180="Fix5",0.05,IF(AG180="Fix3.75",0.0375,IF(AG180="Fix10",0.1,IF(AG180="Fix3",0.03,0)))))</f>
        <v>0</v>
      </c>
      <c r="Z180" s="35">
        <f>T180-AA180-AB180</f>
        <v>339.5</v>
      </c>
      <c r="AA180" s="29">
        <f>IF(AD180="EUR",((T180-R180)*X180)*U180+(R180*X180),(T180*X180))</f>
        <v>145.5</v>
      </c>
      <c r="AB180" s="36">
        <f>IF(AD180="EUR",((T180-R180)*Y180)*U180+(R180*Y180),(T180*Y180))</f>
        <v>0</v>
      </c>
      <c r="AC180" s="37" t="b">
        <v>1</v>
      </c>
      <c r="AD180" s="37" t="s">
        <v>38</v>
      </c>
      <c r="AE180" s="37" t="s">
        <v>38</v>
      </c>
      <c r="AF180" s="37" t="str">
        <f t="array" ref="AF180">INDEX('Deal Info'!D:D, MATCH(A180,'Deal Info'!A:A, 0))</f>
        <v>SF</v>
      </c>
      <c r="AG180" s="38" t="str">
        <f t="array" ref="AG180">INDEX('Deal Info'!G:G, MATCH(A180,'Deal Info'!A:A, 0))</f>
        <v>None</v>
      </c>
    </row>
    <row r="181" spans="1:33" ht="14.25" hidden="1" x14ac:dyDescent="0.2">
      <c r="A181" s="18" t="str">
        <f t="array" ref="A181">IF(G181='Room Info'!$B$1, INDEX('Room Info'!$A$2:$A2446, MATCH(B181,'Room Info'!$B$2:$B2446, 0)),IF(G181='Room Info'!$C$1, INDEX('Room Info'!$A$2:$A2446, MATCH(B181,'Room Info'!$C$2:$C2446, 0)),IF(G181='Room Info'!$D$1, INDEX('Room Info'!$A$2:$A2446, MATCH(B181,'Room Info'!$D$2:$D2446, 0)),IF(G181='Room Info'!$E$1, INDEX('Room Info'!$A$2:$A2446, MATCH(B181,'Room Info'!$E$2:$E2446, 0)),IF(G181='Room Info'!$F$1, INDEX('Room Info'!$A$2:$A2446, MATCH(B181,'Room Info'!$F$2:$F2446, 0)),IF(G181='Room Info'!$H$1, INDEX('Room Info'!$A$2:$A2446, MATCH(B181,'Room Info'!$H$2:$H2446, 0)),IF(G181='Room Info'!$G$1, INDEX('Room Info'!$A$2:$A2446, MATCH(B181,'Room Info'!$G$2:$G2446, 0)))))))))</f>
        <v>Fedorovi4</v>
      </c>
      <c r="B181" s="45" t="s">
        <v>91</v>
      </c>
      <c r="C181" s="46">
        <v>44460</v>
      </c>
      <c r="D181" s="46">
        <v>44489</v>
      </c>
      <c r="E181" s="47">
        <v>44470</v>
      </c>
      <c r="F181" s="45" t="s">
        <v>34</v>
      </c>
      <c r="G181" s="54" t="s">
        <v>61</v>
      </c>
      <c r="H181" s="49" t="s">
        <v>94</v>
      </c>
      <c r="I181" s="49" t="s">
        <v>37</v>
      </c>
      <c r="J181" s="50">
        <v>25</v>
      </c>
      <c r="K181" s="51">
        <v>313</v>
      </c>
      <c r="L181" s="52">
        <v>-758</v>
      </c>
      <c r="M181" s="53">
        <v>222</v>
      </c>
      <c r="N181" s="28">
        <f>K181*J181</f>
        <v>7825</v>
      </c>
      <c r="O181" s="54">
        <v>10414</v>
      </c>
      <c r="P181" s="29">
        <v>33.271565500000001</v>
      </c>
      <c r="Q181" s="55"/>
      <c r="R181" s="31">
        <f>M181+Q181</f>
        <v>222</v>
      </c>
      <c r="S181" s="56">
        <v>-300</v>
      </c>
      <c r="T181" s="32">
        <f>R181+S181+IF(F181="Without EV deal",L181,0)</f>
        <v>-78</v>
      </c>
      <c r="U181" s="33">
        <v>1</v>
      </c>
      <c r="V181" s="69">
        <v>25</v>
      </c>
      <c r="W181" s="69">
        <v>3.8</v>
      </c>
      <c r="X181" s="30">
        <f>IF(AF181="DoEV",IF(AND(V181&lt;20,W181&lt;55),0.3,0)+IF(AND(V181&lt;20,W181&gt;=55,W181&lt;105),0.23,0)+IF(AND(V181&lt;20,W181&gt;=105),0.17,0)+IF(AND(V181&gt;=20,V181&lt;40,W181&lt;45),0.3,0)+IF(AND(V181&gt;=20,V181&lt;40,W181&gt;=45,W181&lt;95),0.23,0)+IF(AND(V181&gt;=20,V181&lt;40,W181&gt;=95),0.17,0)+IF(AND(V181&gt;=40,V181&lt;75,W181&lt;35),0.3,0)+IF(AND(V181&gt;=40,V181&lt;75,W181&gt;=35,W181&lt;75),0.23,0)+IF(AND(V181&gt;=40,V181&lt;75,W181&gt;=75,W181&lt;120),0.17,0)+IF(AND(V181&gt;=40,V181&lt;75,W181&gt;=120),0.12,0)+IF(AND(V181&gt;=75,V181&lt;175,W181&lt;35),0.3,0)+IF(AND(V181&gt;=75,V181&lt;=175,W181&gt;=35,W181&lt;65),0.23,0)+IF(AND(V181&gt;=75,V181&lt;=175,W181&gt;=65,W181&lt;110),0.17,0)+IF(AND(V181&gt;=75,V181&lt;=175,W181&gt;=110),0.12,0)+IF(AND(V181&gt;175,W181&lt;25),0.3,0)+IF(AND(V181&gt;175,W181&gt;=25,W181&lt;55),0.23,0)+IF(AND(V181&gt;175,W181&gt;=55,W181&lt;95),0.17,0)+IF(AND(V181&gt;175,W181&gt;=95),0.12,0),
IF(AF181="Fix15",0.15,
IF(AF181="Fix11.25",0.1125,
IF(AF181="Fix10",0.1,
IF(AF181="Fix9",0.09,
IF(AF181="DoEV2017",IF(AND(W181&lt;74),0.2,0)+IF(AND(W181&gt;=74),0.17,0),
IF(AF181="SF",IF(AND(V181&lt;20,W181&lt;89),0.3,0)+IF(AND(V181&lt;20,W181&gt;=89),0.25,0)+IF(AND(V181&gt;=20,V181&lt;40,W181&lt;74),0.3,0)+IF(AND(V181&gt;=20,V181&lt;40,W181&gt;=75),0.22,0)+IF(AND(V181&gt;=40,V181&lt;75,W181&lt;75),0.26,0)+IF(AND(V181&gt;=40,V181&lt;75,W181&gt;=75),0.22,0)+IF(V181&gt;=75,0.22,0),
IF(AF181="DoEVold",IF(AND(V181&lt;40,W181&lt;35),0.35,0)+IF(AND(V181&lt;40,W181&gt;=35,W181&lt;75),0.25,0)+IF(AND(V181&lt;40,W181&gt;=75),0.17,0)+IF(AND(V181&gt;=40,V181&lt;75,W181&lt;25),0.35,0)+IF(AND(V181&gt;=40,V181&lt;75,W181&gt;=25,W181&lt;65),0.25,0)+IF(AND(V181&gt;=40,V181&lt;75,W181&gt;=65,W181&lt;100),0.17,0)+IF(AND(V181&gt;=40,V181&lt;75,W181&gt;=100),0.1,0)+IF(AND(V181&gt;=75,W181&lt;25),0.35,0)+IF(AND(V181&gt;=75,W181&gt;=25,W181&lt;60),0.25,0)+IF(AND(V181&gt;=75,W181&gt;=60,W181&lt;95),0.17,0)+IF(AND(V181&gt;=75,W181&gt;=95),0.1,0),
IF(AF181="DoEVold15",IF(AND(V181&lt;=40,W181&lt;35),0.35,0)+IF(AND(V181&lt;=40,W181&gt;=35,W181&lt;75),0.25,0)+IF(AND(V181&lt;=40,W181&gt;=75,W181&lt;120),0.17,0)+IF(AND(V181&lt;=40,W181&gt;=120),0.15,0)+IF(AND(V181&gt;40,V181&lt;75,W181&lt;25),0.35,0)+IF(AND(V181&gt;=40,V181&lt;75,W181&gt;=25,W181&lt;65),0.25,0)+IF(AND(V181&gt;=40,V181&lt;75,W181&gt;=65,W181&lt;100),0.17,0)+IF(AND(V181&gt;=40,V181&lt;75,W181&gt;=100),0.1,0)+IF(AND(V181&gt;=75,W181&lt;25),0.35,0)+IF(AND(V181&gt;=75,W181&gt;=25,W181&lt;60),0.25,0)+IF(AND(V181&gt;=75,W181&gt;=60,W181&lt;95),0.17,0)+IF(AND(V181&gt;=75,W181&gt;=95),0.1,0),
IF(AF181="DoEVba",IF(AND(V181&lt;20,W181&lt;105),0.2,0)+IF(AND(V181&lt;20,W181&gt;=105),0.15,0)+IF(AND(V181&gt;=20,V181&lt;40,W181&lt;95),0.2,0)+IF(AND(V181&gt;=20,V181&lt;40,W181&gt;=95,W181&lt;150),0.15,0)+IF(AND(V181&gt;=20,V181&lt;40,W181&gt;=150),0.12,0)+IF(AND(V181&gt;=40,V181&lt;75,W181&lt;75),0.2,0)+IF(AND(V181&gt;=40,V181&lt;75,W181&gt;=75,W181&lt;120),0.15,0)+IF(AND(V181&gt;=40,V181&lt;75,W181&gt;=120),0.12,0)+IF(AND(V181&gt;=75,V181&lt;175,W181&lt;65),0.2,0)+IF(AND(V181&gt;=75,V181&lt;175,W181&gt;=65,W181&lt;110),0.15,0)+IF(AND(V181&gt;=75,V181&lt;175,W181&gt;=110),0.12,0)+IF(AND(V181&gt;=175,W181&lt;55),0.2,0)+IF(AND(V181&gt;=175,W181&gt;=55,W181&lt;95),0.15,0)+IF(AND(V181&gt;=175,W181&gt;=95),0.12,0),
IF(AF181="DoEVku",IF(AND(V181&lt;20,W181&lt;55),0.23,0)+IF(AND(V181&lt;20,W181&gt;=55,W181&lt;105),0.2,0)+IF(AND(V181&lt;20,W181&gt;=105),0.17,0)+IF(AND(V181&gt;=20,V181&lt;40,W181&lt;45),0.23,0)+IF(AND(V181&gt;=20,V181&lt;40,W181&gt;=45,W181&lt;95),0.2,0)+IF(AND(V181&gt;=20,V181&lt;40,W181&gt;=95,W181&lt;=150),0.17,0)+IF(AND(V181&gt;=20,V181&lt;40,W181&gt;=150),0.12,0)+IF(AND(V181&gt;=40,V181&lt;75,W181&lt;35),0.23,0)+IF(AND(V181&gt;=40,V181&lt;75,W181&gt;=35,W181&lt;75),0.2,0)+IF(AND(V181&gt;=40,V181&lt;75,W181&gt;=75,W181&lt;120),0.17,0)+IF(AND(V181&gt;=40,V181&lt;75,W181&gt;=120),0.12,0)+IF(AND(V181&gt;=75,V181&lt;175,W181&lt;35),0.23,0)+IF(AND(V181&gt;=75,V181&lt;=175,W181&gt;=35,W181&lt;65),0.2,0)+IF(AND(V181&gt;=75,V181&lt;=175,W181&gt;=65,W181&lt;110),0.17,0)+IF(AND(V181&gt;=75,V181&lt;=175,W181&gt;=110),0.12,0)+IF(AND(V181&gt;175,W181&lt;25),0.23,0)+IF(AND(V181&gt;175,W181&gt;=25,W181&lt;55),0.2,0)+IF(AND(V181&gt;175,W181&gt;=55,W181&lt;95),0.17,0)+IF(AND(V181&gt;175,W181&gt;=95),0.12,0),
IF(AF181="DoEVs1",IF(AND(V181&lt;20,W181&lt;55),0.3,0)+IF(AND(V181&lt;20,W181&gt;=55,W181&lt;105),0.23,0)+IF(AND(V181&lt;20,W181&gt;=105),0.17,0)+IF(AND(V181&gt;=20,V181&lt;40,W181&lt;45),0.3,0)+IF(AND(V181&gt;=20,V181&lt;40,W181&gt;=45,W181&lt;95),0.23,0)+IF(AND(V181&gt;=20,V181&lt;40,W181&gt;=95,W181&lt;=150),0.17,0)+IF(AND(V181&gt;=20,V181&lt;40,W181&gt;=150),0.12,0)+IF(AND(V181&gt;=40,V181&lt;75,W181&lt;35),0.3,0)+IF(AND(V181&gt;=40,V181&lt;75,W181&gt;=35,W181&lt;75),0.23,0)+IF(AND(V181&gt;=40,V181&lt;75,W181&gt;=75,W181&lt;120),0.17,0)+IF(AND(V181&gt;=40,V181&lt;75,W181&gt;=120),0.12,0)+IF(AND(V181&gt;=75,V181&lt;175,W181&lt;35),0.3,0)+IF(AND(V181&gt;=75,V181&lt;=175,W181&gt;=35,W181&lt;65),0.23,0)+IF(AND(V181&gt;=75,V181&lt;=175,W181&gt;=65,W181&lt;110),0.17,0)+IF(AND(V181&gt;=75,V181&lt;=175,W181&gt;=110),0.12,0)+IF(AND(V181&gt;175,W181&lt;25),0.3,0)+IF(AND(V181&gt;175,W181&gt;=25,W181&lt;55),0.23,0)+IF(AND(V181&gt;175,W181&gt;=55,W181&lt;95),0.17,0)+IF(AND(V181&gt;175,W181&gt;=95),0.12,0),
IF(AF181="DoEVsu",IF(AND(V181&lt;20,W181&lt;55),0.3,0)+IF(AND(V181&lt;20,W181&gt;=55,W181&lt;105),0.23,0)+IF(AND(V181&lt;20,W181&gt;=105),0.17,0)+IF(AND(V181&gt;=20,V181&lt;40,W181&lt;45),0.3,0)+IF(AND(V181&gt;=20,V181&lt;40,W181&gt;=45,W181&lt;95),0.23,0)+IF(AND(V181&gt;=20,V181&lt;40,W181&gt;=95,W181&lt;=250),0.17,0)+IF(AND(V181&gt;=20,V181&lt;40,W181&gt;=250),0.12,0)+IF(AND(V181&gt;=40,V181&lt;75,W181&lt;35),0.3,0)+IF(AND(V181&gt;=40,V181&lt;75,W181&gt;=35,W181&lt;75),0.23,0)+IF(AND(V181&gt;=40,V181&lt;75,W181&gt;=75,W181&lt;120),0.17,0)+IF(AND(V181&gt;=40,V181&lt;75,W181&gt;=120),0.12,0)+IF(AND(V181&gt;=75,V181&lt;175,W181&lt;35),0.3,0)+IF(AND(V181&gt;=75,V181&lt;=175,W181&gt;=35,W181&lt;65),0.23,0)+IF(AND(V181&gt;=75,V181&lt;=175,W181&gt;=65,W181&lt;110),0.17,0)+IF(AND(V181&gt;=75,V181&lt;=175,W181&gt;=110),0.12,0)+IF(AND(V181&gt;175,W181&lt;25),0.3,0)+IF(AND(V181&gt;175,W181&gt;=25,W181&lt;55),0.23,0)+IF(AND(V181&gt;175,W181&gt;=55,W181&lt;95),0.17,0)+IF(AND(V181&gt;175,W181&gt;=95),0.12,0),
IF(AF181="DoEVni",IF(AND(V181&lt;20,W181&lt;55),0.3,0)+IF(AND(V181&lt;20,W181&gt;=55,W181&lt;105),0.23,0)+IF(AND(V181&lt;20,W181&gt;=105),0.17,0)+IF(AND(V181&gt;=20,V181&lt;40,W181&lt;45),0.3,0)+IF(AND(V181&gt;=20,V181&lt;40,W181&gt;=45,W181&lt;95),0.23,0)+IF(AND(V181&gt;=20,V181&lt;40,W181&gt;=95,W181&lt;=200),0.17,0)+IF(AND(V181&gt;=20,V181&lt;40,W181&gt;=200),0.12,0)+IF(AND(V181&gt;=40,V181&lt;75,W181&lt;35),0.3,0)+IF(AND(V181&gt;=40,V181&lt;75,W181&gt;=35,W181&lt;75),0.23,0)+IF(AND(V181&gt;=40,V181&lt;75,W181&gt;=75,W181&lt;120),0.17,0)+IF(AND(V181&gt;=40,V181&lt;75,W181&gt;=120),0.12,0)+IF(AND(V181&gt;=75,V181&lt;175,W181&lt;35),0.3,0)+IF(AND(V181&gt;=75,V181&lt;=175,W181&gt;=35,W181&lt;65),0.23,0)+IF(AND(V181&gt;=75,V181&lt;=175,W181&gt;=65,W181&lt;110),0.17,0)+IF(AND(V181&gt;=75,V181&lt;=175,W181&gt;=110),0.12,0)+IF(AND(V181&gt;175,W181&lt;25),0.3,0)+IF(AND(V181&gt;175,W181&gt;=25,W181&lt;55),0.23,0)+IF(AND(V181&gt;175,W181&gt;=55,W181&lt;95),0.17,0)+IF(AND(V181&gt;175,W181&gt;=95),0.12,0),
IF(AF181="DoEVLo",IF(AND(V181&lt;20,W181&lt;55),0.25,0)+IF(AND(V181&lt;20,W181&gt;=55,W181&lt;105),0.2,0)+IF(AND(V181&lt;20,W181&gt;=105),0.15,0)+IF(AND(V181&gt;=20,V181&lt;40,W181&lt;45),0.25,0)+IF(AND(V181&gt;=20,V181&lt;40,W181&gt;=45,W181&lt;95),0.2,0)+IF(AND(V181&gt;=20,V181&lt;40,W181&gt;=95),0.15,0)+IF(AND(V181&gt;=40,V181&lt;75,W181&lt;35),0.25,0)+IF(AND(V181&gt;=40,V181&lt;75,W181&gt;=35,W181&lt;75),0.2,0)+IF(AND(V181&gt;=40,V181&lt;75,W181&gt;=75,W181&lt;120),0.15,0)+IF(AND(V181&gt;=40,V181&lt;75,W181&gt;=120),0.1,0)+IF(AND(V181&gt;=75,V181&lt;175,W181&lt;35),0.25,0)+IF(AND(V181&gt;=75,V181&lt;=175,W181&gt;=35,W181&lt;65),0.2,0)+IF(AND(V181&gt;=75,V181&lt;=175,W181&gt;=65,W181&lt;110),0.15,0)+IF(AND(V181&gt;=75,V181&lt;=175,W181&gt;=110),0.1,0)+IF(AND(V181&gt;175,W181&lt;25),0.25,0)+IF(AND(V181&gt;175,W181&gt;=25,W181&lt;55),0.2,0)+IF(AND(V181&gt;175,W181&gt;=55,W181&lt;95),0.15,0)+IF(AND(V181&gt;175,W181&gt;=95),0.1,0))))))))))))))))</f>
        <v>0.3</v>
      </c>
      <c r="Y181" s="30">
        <f>IF(AG181="None",0,IF(AG181="Fix5",0.05,IF(AG181="Fix3.75",0.0375,IF(AG181="Fix10",0.1,IF(AG181="Fix3",0.03,0)))))</f>
        <v>0</v>
      </c>
      <c r="Z181" s="35">
        <f>T181-AA181-AB181</f>
        <v>-54.6</v>
      </c>
      <c r="AA181" s="29">
        <f>IF(AD181="EUR",((T181-R181)*X181)*U181+(R181*X181),(T181*X181))</f>
        <v>-23.4</v>
      </c>
      <c r="AB181" s="36">
        <f>IF(AD181="EUR",((T181-R181)*Y181)*U181+(R181*Y181),(T181*Y181))</f>
        <v>0</v>
      </c>
      <c r="AC181" s="37" t="b">
        <v>1</v>
      </c>
      <c r="AD181" s="37" t="s">
        <v>38</v>
      </c>
      <c r="AE181" s="37" t="s">
        <v>38</v>
      </c>
      <c r="AF181" s="37" t="str">
        <f t="array" ref="AF181">INDEX('Deal Info'!D:D, MATCH(A181,'Deal Info'!A:A, 0))</f>
        <v>SF</v>
      </c>
      <c r="AG181" s="38" t="str">
        <f t="array" ref="AG181">INDEX('Deal Info'!G:G, MATCH(A181,'Deal Info'!A:A, 0))</f>
        <v>None</v>
      </c>
    </row>
    <row r="182" spans="1:33" ht="14.25" hidden="1" x14ac:dyDescent="0.2">
      <c r="A182" s="18" t="str">
        <f t="array" ref="A182">IF(G182='Room Info'!$B$1, INDEX('Room Info'!$A$2:$A2446, MATCH(B182,'Room Info'!$B$2:$B2446, 0)),IF(G182='Room Info'!$C$1, INDEX('Room Info'!$A$2:$A2446, MATCH(B182,'Room Info'!$C$2:$C2446, 0)),IF(G182='Room Info'!$D$1, INDEX('Room Info'!$A$2:$A2446, MATCH(B182,'Room Info'!$D$2:$D2446, 0)),IF(G182='Room Info'!$E$1, INDEX('Room Info'!$A$2:$A2446, MATCH(B182,'Room Info'!$E$2:$E2446, 0)),IF(G182='Room Info'!$F$1, INDEX('Room Info'!$A$2:$A2446, MATCH(B182,'Room Info'!$F$2:$F2446, 0)),IF(G182='Room Info'!$H$1, INDEX('Room Info'!$A$2:$A2446, MATCH(B182,'Room Info'!$H$2:$H2446, 0)),IF(G182='Room Info'!$G$1, INDEX('Room Info'!$A$2:$A2446, MATCH(B182,'Room Info'!$G$2:$G2446, 0)))))))))</f>
        <v>Fedorovi4</v>
      </c>
      <c r="B182" s="45" t="s">
        <v>91</v>
      </c>
      <c r="C182" s="46">
        <v>44460</v>
      </c>
      <c r="D182" s="46">
        <v>44489</v>
      </c>
      <c r="E182" s="47">
        <v>44470</v>
      </c>
      <c r="F182" s="45" t="s">
        <v>34</v>
      </c>
      <c r="G182" s="54" t="s">
        <v>61</v>
      </c>
      <c r="H182" s="49" t="s">
        <v>93</v>
      </c>
      <c r="I182" s="49" t="s">
        <v>37</v>
      </c>
      <c r="J182" s="50">
        <v>25</v>
      </c>
      <c r="K182" s="51">
        <v>126</v>
      </c>
      <c r="L182" s="52">
        <v>-292</v>
      </c>
      <c r="M182" s="53">
        <v>3</v>
      </c>
      <c r="N182" s="28">
        <f>K182*J182</f>
        <v>3150</v>
      </c>
      <c r="O182" s="54">
        <v>9937</v>
      </c>
      <c r="P182" s="29">
        <v>78.865079370000004</v>
      </c>
      <c r="Q182" s="55"/>
      <c r="R182" s="31">
        <f>M182+Q182</f>
        <v>3</v>
      </c>
      <c r="S182" s="56">
        <v>170</v>
      </c>
      <c r="T182" s="32">
        <f>R182+S182+IF(F182="Without EV deal",L182,0)</f>
        <v>173</v>
      </c>
      <c r="U182" s="33">
        <v>1</v>
      </c>
      <c r="V182" s="69">
        <v>25</v>
      </c>
      <c r="W182" s="69">
        <v>3.8</v>
      </c>
      <c r="X182" s="30">
        <f>IF(AF182="DoEV",IF(AND(V182&lt;20,W182&lt;55),0.3,0)+IF(AND(V182&lt;20,W182&gt;=55,W182&lt;105),0.23,0)+IF(AND(V182&lt;20,W182&gt;=105),0.17,0)+IF(AND(V182&gt;=20,V182&lt;40,W182&lt;45),0.3,0)+IF(AND(V182&gt;=20,V182&lt;40,W182&gt;=45,W182&lt;95),0.23,0)+IF(AND(V182&gt;=20,V182&lt;40,W182&gt;=95),0.17,0)+IF(AND(V182&gt;=40,V182&lt;75,W182&lt;35),0.3,0)+IF(AND(V182&gt;=40,V182&lt;75,W182&gt;=35,W182&lt;75),0.23,0)+IF(AND(V182&gt;=40,V182&lt;75,W182&gt;=75,W182&lt;120),0.17,0)+IF(AND(V182&gt;=40,V182&lt;75,W182&gt;=120),0.12,0)+IF(AND(V182&gt;=75,V182&lt;175,W182&lt;35),0.3,0)+IF(AND(V182&gt;=75,V182&lt;=175,W182&gt;=35,W182&lt;65),0.23,0)+IF(AND(V182&gt;=75,V182&lt;=175,W182&gt;=65,W182&lt;110),0.17,0)+IF(AND(V182&gt;=75,V182&lt;=175,W182&gt;=110),0.12,0)+IF(AND(V182&gt;175,W182&lt;25),0.3,0)+IF(AND(V182&gt;175,W182&gt;=25,W182&lt;55),0.23,0)+IF(AND(V182&gt;175,W182&gt;=55,W182&lt;95),0.17,0)+IF(AND(V182&gt;175,W182&gt;=95),0.12,0),
IF(AF182="Fix15",0.15,
IF(AF182="Fix11.25",0.1125,
IF(AF182="Fix10",0.1,
IF(AF182="Fix9",0.09,
IF(AF182="DoEV2017",IF(AND(W182&lt;74),0.2,0)+IF(AND(W182&gt;=74),0.17,0),
IF(AF182="SF",IF(AND(V182&lt;20,W182&lt;89),0.3,0)+IF(AND(V182&lt;20,W182&gt;=89),0.25,0)+IF(AND(V182&gt;=20,V182&lt;40,W182&lt;74),0.3,0)+IF(AND(V182&gt;=20,V182&lt;40,W182&gt;=75),0.22,0)+IF(AND(V182&gt;=40,V182&lt;75,W182&lt;75),0.26,0)+IF(AND(V182&gt;=40,V182&lt;75,W182&gt;=75),0.22,0)+IF(V182&gt;=75,0.22,0),
IF(AF182="DoEVold",IF(AND(V182&lt;40,W182&lt;35),0.35,0)+IF(AND(V182&lt;40,W182&gt;=35,W182&lt;75),0.25,0)+IF(AND(V182&lt;40,W182&gt;=75),0.17,0)+IF(AND(V182&gt;=40,V182&lt;75,W182&lt;25),0.35,0)+IF(AND(V182&gt;=40,V182&lt;75,W182&gt;=25,W182&lt;65),0.25,0)+IF(AND(V182&gt;=40,V182&lt;75,W182&gt;=65,W182&lt;100),0.17,0)+IF(AND(V182&gt;=40,V182&lt;75,W182&gt;=100),0.1,0)+IF(AND(V182&gt;=75,W182&lt;25),0.35,0)+IF(AND(V182&gt;=75,W182&gt;=25,W182&lt;60),0.25,0)+IF(AND(V182&gt;=75,W182&gt;=60,W182&lt;95),0.17,0)+IF(AND(V182&gt;=75,W182&gt;=95),0.1,0),
IF(AF182="DoEVold15",IF(AND(V182&lt;=40,W182&lt;35),0.35,0)+IF(AND(V182&lt;=40,W182&gt;=35,W182&lt;75),0.25,0)+IF(AND(V182&lt;=40,W182&gt;=75,W182&lt;120),0.17,0)+IF(AND(V182&lt;=40,W182&gt;=120),0.15,0)+IF(AND(V182&gt;40,V182&lt;75,W182&lt;25),0.35,0)+IF(AND(V182&gt;=40,V182&lt;75,W182&gt;=25,W182&lt;65),0.25,0)+IF(AND(V182&gt;=40,V182&lt;75,W182&gt;=65,W182&lt;100),0.17,0)+IF(AND(V182&gt;=40,V182&lt;75,W182&gt;=100),0.1,0)+IF(AND(V182&gt;=75,W182&lt;25),0.35,0)+IF(AND(V182&gt;=75,W182&gt;=25,W182&lt;60),0.25,0)+IF(AND(V182&gt;=75,W182&gt;=60,W182&lt;95),0.17,0)+IF(AND(V182&gt;=75,W182&gt;=95),0.1,0),
IF(AF182="DoEVba",IF(AND(V182&lt;20,W182&lt;105),0.2,0)+IF(AND(V182&lt;20,W182&gt;=105),0.15,0)+IF(AND(V182&gt;=20,V182&lt;40,W182&lt;95),0.2,0)+IF(AND(V182&gt;=20,V182&lt;40,W182&gt;=95,W182&lt;150),0.15,0)+IF(AND(V182&gt;=20,V182&lt;40,W182&gt;=150),0.12,0)+IF(AND(V182&gt;=40,V182&lt;75,W182&lt;75),0.2,0)+IF(AND(V182&gt;=40,V182&lt;75,W182&gt;=75,W182&lt;120),0.15,0)+IF(AND(V182&gt;=40,V182&lt;75,W182&gt;=120),0.12,0)+IF(AND(V182&gt;=75,V182&lt;175,W182&lt;65),0.2,0)+IF(AND(V182&gt;=75,V182&lt;175,W182&gt;=65,W182&lt;110),0.15,0)+IF(AND(V182&gt;=75,V182&lt;175,W182&gt;=110),0.12,0)+IF(AND(V182&gt;=175,W182&lt;55),0.2,0)+IF(AND(V182&gt;=175,W182&gt;=55,W182&lt;95),0.15,0)+IF(AND(V182&gt;=175,W182&gt;=95),0.12,0),
IF(AF182="DoEVku",IF(AND(V182&lt;20,W182&lt;55),0.23,0)+IF(AND(V182&lt;20,W182&gt;=55,W182&lt;105),0.2,0)+IF(AND(V182&lt;20,W182&gt;=105),0.17,0)+IF(AND(V182&gt;=20,V182&lt;40,W182&lt;45),0.23,0)+IF(AND(V182&gt;=20,V182&lt;40,W182&gt;=45,W182&lt;95),0.2,0)+IF(AND(V182&gt;=20,V182&lt;40,W182&gt;=95,W182&lt;=150),0.17,0)+IF(AND(V182&gt;=20,V182&lt;40,W182&gt;=150),0.12,0)+IF(AND(V182&gt;=40,V182&lt;75,W182&lt;35),0.23,0)+IF(AND(V182&gt;=40,V182&lt;75,W182&gt;=35,W182&lt;75),0.2,0)+IF(AND(V182&gt;=40,V182&lt;75,W182&gt;=75,W182&lt;120),0.17,0)+IF(AND(V182&gt;=40,V182&lt;75,W182&gt;=120),0.12,0)+IF(AND(V182&gt;=75,V182&lt;175,W182&lt;35),0.23,0)+IF(AND(V182&gt;=75,V182&lt;=175,W182&gt;=35,W182&lt;65),0.2,0)+IF(AND(V182&gt;=75,V182&lt;=175,W182&gt;=65,W182&lt;110),0.17,0)+IF(AND(V182&gt;=75,V182&lt;=175,W182&gt;=110),0.12,0)+IF(AND(V182&gt;175,W182&lt;25),0.23,0)+IF(AND(V182&gt;175,W182&gt;=25,W182&lt;55),0.2,0)+IF(AND(V182&gt;175,W182&gt;=55,W182&lt;95),0.17,0)+IF(AND(V182&gt;175,W182&gt;=95),0.12,0),
IF(AF182="DoEVs1",IF(AND(V182&lt;20,W182&lt;55),0.3,0)+IF(AND(V182&lt;20,W182&gt;=55,W182&lt;105),0.23,0)+IF(AND(V182&lt;20,W182&gt;=105),0.17,0)+IF(AND(V182&gt;=20,V182&lt;40,W182&lt;45),0.3,0)+IF(AND(V182&gt;=20,V182&lt;40,W182&gt;=45,W182&lt;95),0.23,0)+IF(AND(V182&gt;=20,V182&lt;40,W182&gt;=95,W182&lt;=150),0.17,0)+IF(AND(V182&gt;=20,V182&lt;40,W182&gt;=150),0.12,0)+IF(AND(V182&gt;=40,V182&lt;75,W182&lt;35),0.3,0)+IF(AND(V182&gt;=40,V182&lt;75,W182&gt;=35,W182&lt;75),0.23,0)+IF(AND(V182&gt;=40,V182&lt;75,W182&gt;=75,W182&lt;120),0.17,0)+IF(AND(V182&gt;=40,V182&lt;75,W182&gt;=120),0.12,0)+IF(AND(V182&gt;=75,V182&lt;175,W182&lt;35),0.3,0)+IF(AND(V182&gt;=75,V182&lt;=175,W182&gt;=35,W182&lt;65),0.23,0)+IF(AND(V182&gt;=75,V182&lt;=175,W182&gt;=65,W182&lt;110),0.17,0)+IF(AND(V182&gt;=75,V182&lt;=175,W182&gt;=110),0.12,0)+IF(AND(V182&gt;175,W182&lt;25),0.3,0)+IF(AND(V182&gt;175,W182&gt;=25,W182&lt;55),0.23,0)+IF(AND(V182&gt;175,W182&gt;=55,W182&lt;95),0.17,0)+IF(AND(V182&gt;175,W182&gt;=95),0.12,0),
IF(AF182="DoEVsu",IF(AND(V182&lt;20,W182&lt;55),0.3,0)+IF(AND(V182&lt;20,W182&gt;=55,W182&lt;105),0.23,0)+IF(AND(V182&lt;20,W182&gt;=105),0.17,0)+IF(AND(V182&gt;=20,V182&lt;40,W182&lt;45),0.3,0)+IF(AND(V182&gt;=20,V182&lt;40,W182&gt;=45,W182&lt;95),0.23,0)+IF(AND(V182&gt;=20,V182&lt;40,W182&gt;=95,W182&lt;=250),0.17,0)+IF(AND(V182&gt;=20,V182&lt;40,W182&gt;=250),0.12,0)+IF(AND(V182&gt;=40,V182&lt;75,W182&lt;35),0.3,0)+IF(AND(V182&gt;=40,V182&lt;75,W182&gt;=35,W182&lt;75),0.23,0)+IF(AND(V182&gt;=40,V182&lt;75,W182&gt;=75,W182&lt;120),0.17,0)+IF(AND(V182&gt;=40,V182&lt;75,W182&gt;=120),0.12,0)+IF(AND(V182&gt;=75,V182&lt;175,W182&lt;35),0.3,0)+IF(AND(V182&gt;=75,V182&lt;=175,W182&gt;=35,W182&lt;65),0.23,0)+IF(AND(V182&gt;=75,V182&lt;=175,W182&gt;=65,W182&lt;110),0.17,0)+IF(AND(V182&gt;=75,V182&lt;=175,W182&gt;=110),0.12,0)+IF(AND(V182&gt;175,W182&lt;25),0.3,0)+IF(AND(V182&gt;175,W182&gt;=25,W182&lt;55),0.23,0)+IF(AND(V182&gt;175,W182&gt;=55,W182&lt;95),0.17,0)+IF(AND(V182&gt;175,W182&gt;=95),0.12,0),
IF(AF182="DoEVni",IF(AND(V182&lt;20,W182&lt;55),0.3,0)+IF(AND(V182&lt;20,W182&gt;=55,W182&lt;105),0.23,0)+IF(AND(V182&lt;20,W182&gt;=105),0.17,0)+IF(AND(V182&gt;=20,V182&lt;40,W182&lt;45),0.3,0)+IF(AND(V182&gt;=20,V182&lt;40,W182&gt;=45,W182&lt;95),0.23,0)+IF(AND(V182&gt;=20,V182&lt;40,W182&gt;=95,W182&lt;=200),0.17,0)+IF(AND(V182&gt;=20,V182&lt;40,W182&gt;=200),0.12,0)+IF(AND(V182&gt;=40,V182&lt;75,W182&lt;35),0.3,0)+IF(AND(V182&gt;=40,V182&lt;75,W182&gt;=35,W182&lt;75),0.23,0)+IF(AND(V182&gt;=40,V182&lt;75,W182&gt;=75,W182&lt;120),0.17,0)+IF(AND(V182&gt;=40,V182&lt;75,W182&gt;=120),0.12,0)+IF(AND(V182&gt;=75,V182&lt;175,W182&lt;35),0.3,0)+IF(AND(V182&gt;=75,V182&lt;=175,W182&gt;=35,W182&lt;65),0.23,0)+IF(AND(V182&gt;=75,V182&lt;=175,W182&gt;=65,W182&lt;110),0.17,0)+IF(AND(V182&gt;=75,V182&lt;=175,W182&gt;=110),0.12,0)+IF(AND(V182&gt;175,W182&lt;25),0.3,0)+IF(AND(V182&gt;175,W182&gt;=25,W182&lt;55),0.23,0)+IF(AND(V182&gt;175,W182&gt;=55,W182&lt;95),0.17,0)+IF(AND(V182&gt;175,W182&gt;=95),0.12,0),
IF(AF182="DoEVLo",IF(AND(V182&lt;20,W182&lt;55),0.25,0)+IF(AND(V182&lt;20,W182&gt;=55,W182&lt;105),0.2,0)+IF(AND(V182&lt;20,W182&gt;=105),0.15,0)+IF(AND(V182&gt;=20,V182&lt;40,W182&lt;45),0.25,0)+IF(AND(V182&gt;=20,V182&lt;40,W182&gt;=45,W182&lt;95),0.2,0)+IF(AND(V182&gt;=20,V182&lt;40,W182&gt;=95),0.15,0)+IF(AND(V182&gt;=40,V182&lt;75,W182&lt;35),0.25,0)+IF(AND(V182&gt;=40,V182&lt;75,W182&gt;=35,W182&lt;75),0.2,0)+IF(AND(V182&gt;=40,V182&lt;75,W182&gt;=75,W182&lt;120),0.15,0)+IF(AND(V182&gt;=40,V182&lt;75,W182&gt;=120),0.1,0)+IF(AND(V182&gt;=75,V182&lt;175,W182&lt;35),0.25,0)+IF(AND(V182&gt;=75,V182&lt;=175,W182&gt;=35,W182&lt;65),0.2,0)+IF(AND(V182&gt;=75,V182&lt;=175,W182&gt;=65,W182&lt;110),0.15,0)+IF(AND(V182&gt;=75,V182&lt;=175,W182&gt;=110),0.1,0)+IF(AND(V182&gt;175,W182&lt;25),0.25,0)+IF(AND(V182&gt;175,W182&gt;=25,W182&lt;55),0.2,0)+IF(AND(V182&gt;175,W182&gt;=55,W182&lt;95),0.15,0)+IF(AND(V182&gt;175,W182&gt;=95),0.1,0))))))))))))))))</f>
        <v>0.3</v>
      </c>
      <c r="Y182" s="30">
        <f>IF(AG182="None",0,IF(AG182="Fix5",0.05,IF(AG182="Fix3.75",0.0375,IF(AG182="Fix10",0.1,IF(AG182="Fix3",0.03,0)))))</f>
        <v>0</v>
      </c>
      <c r="Z182" s="35">
        <f>T182-AA182-AB182</f>
        <v>121.1</v>
      </c>
      <c r="AA182" s="29">
        <f>IF(AD182="EUR",((T182-R182)*X182)*U182+(R182*X182),(T182*X182))</f>
        <v>51.9</v>
      </c>
      <c r="AB182" s="36">
        <f>IF(AD182="EUR",((T182-R182)*Y182)*U182+(R182*Y182),(T182*Y182))</f>
        <v>0</v>
      </c>
      <c r="AC182" s="37" t="b">
        <v>1</v>
      </c>
      <c r="AD182" s="37" t="s">
        <v>38</v>
      </c>
      <c r="AE182" s="37" t="s">
        <v>38</v>
      </c>
      <c r="AF182" s="37" t="str">
        <f t="array" ref="AF182">INDEX('Deal Info'!D:D, MATCH(A182,'Deal Info'!A:A, 0))</f>
        <v>SF</v>
      </c>
      <c r="AG182" s="38" t="str">
        <f t="array" ref="AG182">INDEX('Deal Info'!G:G, MATCH(A182,'Deal Info'!A:A, 0))</f>
        <v>None</v>
      </c>
    </row>
    <row r="183" spans="1:33" ht="14.25" hidden="1" x14ac:dyDescent="0.2">
      <c r="A183" s="18" t="str">
        <f t="array" ref="A183">IF(G183='Room Info'!$B$1, INDEX('Room Info'!$A$2:$A2446, MATCH(B183,'Room Info'!$B$2:$B2446, 0)),IF(G183='Room Info'!$C$1, INDEX('Room Info'!$A$2:$A2446, MATCH(B183,'Room Info'!$C$2:$C2446, 0)),IF(G183='Room Info'!$D$1, INDEX('Room Info'!$A$2:$A2446, MATCH(B183,'Room Info'!$D$2:$D2446, 0)),IF(G183='Room Info'!$E$1, INDEX('Room Info'!$A$2:$A2446, MATCH(B183,'Room Info'!$E$2:$E2446, 0)),IF(G183='Room Info'!$F$1, INDEX('Room Info'!$A$2:$A2446, MATCH(B183,'Room Info'!$F$2:$F2446, 0)),IF(G183='Room Info'!$H$1, INDEX('Room Info'!$A$2:$A2446, MATCH(B183,'Room Info'!$H$2:$H2446, 0)),IF(G183='Room Info'!$G$1, INDEX('Room Info'!$A$2:$A2446, MATCH(B183,'Room Info'!$G$2:$G2446, 0)))))))))</f>
        <v>Fedorovi4</v>
      </c>
      <c r="B183" s="45" t="s">
        <v>91</v>
      </c>
      <c r="C183" s="46">
        <v>44490</v>
      </c>
      <c r="D183" s="46">
        <v>44520</v>
      </c>
      <c r="E183" s="47">
        <v>44501</v>
      </c>
      <c r="F183" s="45" t="s">
        <v>34</v>
      </c>
      <c r="G183" s="54" t="s">
        <v>61</v>
      </c>
      <c r="H183" s="49" t="s">
        <v>65</v>
      </c>
      <c r="I183" s="49" t="s">
        <v>37</v>
      </c>
      <c r="J183" s="50">
        <v>25</v>
      </c>
      <c r="K183" s="51">
        <v>1769</v>
      </c>
      <c r="L183" s="52">
        <v>2284</v>
      </c>
      <c r="M183" s="53">
        <v>375</v>
      </c>
      <c r="N183" s="28">
        <f>K183*J183</f>
        <v>44225</v>
      </c>
      <c r="O183" s="54">
        <v>105324</v>
      </c>
      <c r="P183" s="29">
        <v>59.538722440000001</v>
      </c>
      <c r="Q183" s="55"/>
      <c r="R183" s="31">
        <f>M183+Q183</f>
        <v>375</v>
      </c>
      <c r="S183" s="56">
        <v>892</v>
      </c>
      <c r="T183" s="32">
        <f>R183+S183+IF(F183="Without EV deal",L183,0)</f>
        <v>1267</v>
      </c>
      <c r="U183" s="33">
        <v>1</v>
      </c>
      <c r="V183" s="69">
        <v>25</v>
      </c>
      <c r="W183" s="69">
        <v>50.68</v>
      </c>
      <c r="X183" s="30">
        <f>IF(AF183="DoEV",IF(AND(V183&lt;20,W183&lt;55),0.3,0)+IF(AND(V183&lt;20,W183&gt;=55,W183&lt;105),0.23,0)+IF(AND(V183&lt;20,W183&gt;=105),0.17,0)+IF(AND(V183&gt;=20,V183&lt;40,W183&lt;45),0.3,0)+IF(AND(V183&gt;=20,V183&lt;40,W183&gt;=45,W183&lt;95),0.23,0)+IF(AND(V183&gt;=20,V183&lt;40,W183&gt;=95),0.17,0)+IF(AND(V183&gt;=40,V183&lt;75,W183&lt;35),0.3,0)+IF(AND(V183&gt;=40,V183&lt;75,W183&gt;=35,W183&lt;75),0.23,0)+IF(AND(V183&gt;=40,V183&lt;75,W183&gt;=75,W183&lt;120),0.17,0)+IF(AND(V183&gt;=40,V183&lt;75,W183&gt;=120),0.12,0)+IF(AND(V183&gt;=75,V183&lt;175,W183&lt;35),0.3,0)+IF(AND(V183&gt;=75,V183&lt;=175,W183&gt;=35,W183&lt;65),0.23,0)+IF(AND(V183&gt;=75,V183&lt;=175,W183&gt;=65,W183&lt;110),0.17,0)+IF(AND(V183&gt;=75,V183&lt;=175,W183&gt;=110),0.12,0)+IF(AND(V183&gt;175,W183&lt;25),0.3,0)+IF(AND(V183&gt;175,W183&gt;=25,W183&lt;55),0.23,0)+IF(AND(V183&gt;175,W183&gt;=55,W183&lt;95),0.17,0)+IF(AND(V183&gt;175,W183&gt;=95),0.12,0),
IF(AF183="Fix15",0.15,
IF(AF183="Fix11.25",0.1125,
IF(AF183="Fix10",0.1,
IF(AF183="Fix9",0.09,
IF(AF183="DoEV2017",IF(AND(W183&lt;74),0.2,0)+IF(AND(W183&gt;=74),0.17,0),
IF(AF183="SF",IF(AND(V183&lt;20,W183&lt;89),0.3,0)+IF(AND(V183&lt;20,W183&gt;=89),0.25,0)+IF(AND(V183&gt;=20,V183&lt;40,W183&lt;74),0.3,0)+IF(AND(V183&gt;=20,V183&lt;40,W183&gt;=75),0.22,0)+IF(AND(V183&gt;=40,V183&lt;75,W183&lt;75),0.26,0)+IF(AND(V183&gt;=40,V183&lt;75,W183&gt;=75),0.22,0)+IF(V183&gt;=75,0.22,0),
IF(AF183="DoEVold",IF(AND(V183&lt;40,W183&lt;35),0.35,0)+IF(AND(V183&lt;40,W183&gt;=35,W183&lt;75),0.25,0)+IF(AND(V183&lt;40,W183&gt;=75),0.17,0)+IF(AND(V183&gt;=40,V183&lt;75,W183&lt;25),0.35,0)+IF(AND(V183&gt;=40,V183&lt;75,W183&gt;=25,W183&lt;65),0.25,0)+IF(AND(V183&gt;=40,V183&lt;75,W183&gt;=65,W183&lt;100),0.17,0)+IF(AND(V183&gt;=40,V183&lt;75,W183&gt;=100),0.1,0)+IF(AND(V183&gt;=75,W183&lt;25),0.35,0)+IF(AND(V183&gt;=75,W183&gt;=25,W183&lt;60),0.25,0)+IF(AND(V183&gt;=75,W183&gt;=60,W183&lt;95),0.17,0)+IF(AND(V183&gt;=75,W183&gt;=95),0.1,0),
IF(AF183="DoEVold15",IF(AND(V183&lt;=40,W183&lt;35),0.35,0)+IF(AND(V183&lt;=40,W183&gt;=35,W183&lt;75),0.25,0)+IF(AND(V183&lt;=40,W183&gt;=75,W183&lt;120),0.17,0)+IF(AND(V183&lt;=40,W183&gt;=120),0.15,0)+IF(AND(V183&gt;40,V183&lt;75,W183&lt;25),0.35,0)+IF(AND(V183&gt;=40,V183&lt;75,W183&gt;=25,W183&lt;65),0.25,0)+IF(AND(V183&gt;=40,V183&lt;75,W183&gt;=65,W183&lt;100),0.17,0)+IF(AND(V183&gt;=40,V183&lt;75,W183&gt;=100),0.1,0)+IF(AND(V183&gt;=75,W183&lt;25),0.35,0)+IF(AND(V183&gt;=75,W183&gt;=25,W183&lt;60),0.25,0)+IF(AND(V183&gt;=75,W183&gt;=60,W183&lt;95),0.17,0)+IF(AND(V183&gt;=75,W183&gt;=95),0.1,0),
IF(AF183="DoEVba",IF(AND(V183&lt;20,W183&lt;105),0.2,0)+IF(AND(V183&lt;20,W183&gt;=105),0.15,0)+IF(AND(V183&gt;=20,V183&lt;40,W183&lt;95),0.2,0)+IF(AND(V183&gt;=20,V183&lt;40,W183&gt;=95,W183&lt;150),0.15,0)+IF(AND(V183&gt;=20,V183&lt;40,W183&gt;=150),0.12,0)+IF(AND(V183&gt;=40,V183&lt;75,W183&lt;75),0.2,0)+IF(AND(V183&gt;=40,V183&lt;75,W183&gt;=75,W183&lt;120),0.15,0)+IF(AND(V183&gt;=40,V183&lt;75,W183&gt;=120),0.12,0)+IF(AND(V183&gt;=75,V183&lt;175,W183&lt;65),0.2,0)+IF(AND(V183&gt;=75,V183&lt;175,W183&gt;=65,W183&lt;110),0.15,0)+IF(AND(V183&gt;=75,V183&lt;175,W183&gt;=110),0.12,0)+IF(AND(V183&gt;=175,W183&lt;55),0.2,0)+IF(AND(V183&gt;=175,W183&gt;=55,W183&lt;95),0.15,0)+IF(AND(V183&gt;=175,W183&gt;=95),0.12,0),
IF(AF183="DoEVku",IF(AND(V183&lt;20,W183&lt;55),0.23,0)+IF(AND(V183&lt;20,W183&gt;=55,W183&lt;105),0.2,0)+IF(AND(V183&lt;20,W183&gt;=105),0.17,0)+IF(AND(V183&gt;=20,V183&lt;40,W183&lt;45),0.23,0)+IF(AND(V183&gt;=20,V183&lt;40,W183&gt;=45,W183&lt;95),0.2,0)+IF(AND(V183&gt;=20,V183&lt;40,W183&gt;=95,W183&lt;=150),0.17,0)+IF(AND(V183&gt;=20,V183&lt;40,W183&gt;=150),0.12,0)+IF(AND(V183&gt;=40,V183&lt;75,W183&lt;35),0.23,0)+IF(AND(V183&gt;=40,V183&lt;75,W183&gt;=35,W183&lt;75),0.2,0)+IF(AND(V183&gt;=40,V183&lt;75,W183&gt;=75,W183&lt;120),0.17,0)+IF(AND(V183&gt;=40,V183&lt;75,W183&gt;=120),0.12,0)+IF(AND(V183&gt;=75,V183&lt;175,W183&lt;35),0.23,0)+IF(AND(V183&gt;=75,V183&lt;=175,W183&gt;=35,W183&lt;65),0.2,0)+IF(AND(V183&gt;=75,V183&lt;=175,W183&gt;=65,W183&lt;110),0.17,0)+IF(AND(V183&gt;=75,V183&lt;=175,W183&gt;=110),0.12,0)+IF(AND(V183&gt;175,W183&lt;25),0.23,0)+IF(AND(V183&gt;175,W183&gt;=25,W183&lt;55),0.2,0)+IF(AND(V183&gt;175,W183&gt;=55,W183&lt;95),0.17,0)+IF(AND(V183&gt;175,W183&gt;=95),0.12,0),
IF(AF183="DoEVs1",IF(AND(V183&lt;20,W183&lt;55),0.3,0)+IF(AND(V183&lt;20,W183&gt;=55,W183&lt;105),0.23,0)+IF(AND(V183&lt;20,W183&gt;=105),0.17,0)+IF(AND(V183&gt;=20,V183&lt;40,W183&lt;45),0.3,0)+IF(AND(V183&gt;=20,V183&lt;40,W183&gt;=45,W183&lt;95),0.23,0)+IF(AND(V183&gt;=20,V183&lt;40,W183&gt;=95,W183&lt;=150),0.17,0)+IF(AND(V183&gt;=20,V183&lt;40,W183&gt;=150),0.12,0)+IF(AND(V183&gt;=40,V183&lt;75,W183&lt;35),0.3,0)+IF(AND(V183&gt;=40,V183&lt;75,W183&gt;=35,W183&lt;75),0.23,0)+IF(AND(V183&gt;=40,V183&lt;75,W183&gt;=75,W183&lt;120),0.17,0)+IF(AND(V183&gt;=40,V183&lt;75,W183&gt;=120),0.12,0)+IF(AND(V183&gt;=75,V183&lt;175,W183&lt;35),0.3,0)+IF(AND(V183&gt;=75,V183&lt;=175,W183&gt;=35,W183&lt;65),0.23,0)+IF(AND(V183&gt;=75,V183&lt;=175,W183&gt;=65,W183&lt;110),0.17,0)+IF(AND(V183&gt;=75,V183&lt;=175,W183&gt;=110),0.12,0)+IF(AND(V183&gt;175,W183&lt;25),0.3,0)+IF(AND(V183&gt;175,W183&gt;=25,W183&lt;55),0.23,0)+IF(AND(V183&gt;175,W183&gt;=55,W183&lt;95),0.17,0)+IF(AND(V183&gt;175,W183&gt;=95),0.12,0),
IF(AF183="DoEVsu",IF(AND(V183&lt;20,W183&lt;55),0.3,0)+IF(AND(V183&lt;20,W183&gt;=55,W183&lt;105),0.23,0)+IF(AND(V183&lt;20,W183&gt;=105),0.17,0)+IF(AND(V183&gt;=20,V183&lt;40,W183&lt;45),0.3,0)+IF(AND(V183&gt;=20,V183&lt;40,W183&gt;=45,W183&lt;95),0.23,0)+IF(AND(V183&gt;=20,V183&lt;40,W183&gt;=95,W183&lt;=250),0.17,0)+IF(AND(V183&gt;=20,V183&lt;40,W183&gt;=250),0.12,0)+IF(AND(V183&gt;=40,V183&lt;75,W183&lt;35),0.3,0)+IF(AND(V183&gt;=40,V183&lt;75,W183&gt;=35,W183&lt;75),0.23,0)+IF(AND(V183&gt;=40,V183&lt;75,W183&gt;=75,W183&lt;120),0.17,0)+IF(AND(V183&gt;=40,V183&lt;75,W183&gt;=120),0.12,0)+IF(AND(V183&gt;=75,V183&lt;175,W183&lt;35),0.3,0)+IF(AND(V183&gt;=75,V183&lt;=175,W183&gt;=35,W183&lt;65),0.23,0)+IF(AND(V183&gt;=75,V183&lt;=175,W183&gt;=65,W183&lt;110),0.17,0)+IF(AND(V183&gt;=75,V183&lt;=175,W183&gt;=110),0.12,0)+IF(AND(V183&gt;175,W183&lt;25),0.3,0)+IF(AND(V183&gt;175,W183&gt;=25,W183&lt;55),0.23,0)+IF(AND(V183&gt;175,W183&gt;=55,W183&lt;95),0.17,0)+IF(AND(V183&gt;175,W183&gt;=95),0.12,0),
IF(AF183="DoEVni",IF(AND(V183&lt;20,W183&lt;55),0.3,0)+IF(AND(V183&lt;20,W183&gt;=55,W183&lt;105),0.23,0)+IF(AND(V183&lt;20,W183&gt;=105),0.17,0)+IF(AND(V183&gt;=20,V183&lt;40,W183&lt;45),0.3,0)+IF(AND(V183&gt;=20,V183&lt;40,W183&gt;=45,W183&lt;95),0.23,0)+IF(AND(V183&gt;=20,V183&lt;40,W183&gt;=95,W183&lt;=200),0.17,0)+IF(AND(V183&gt;=20,V183&lt;40,W183&gt;=200),0.12,0)+IF(AND(V183&gt;=40,V183&lt;75,W183&lt;35),0.3,0)+IF(AND(V183&gt;=40,V183&lt;75,W183&gt;=35,W183&lt;75),0.23,0)+IF(AND(V183&gt;=40,V183&lt;75,W183&gt;=75,W183&lt;120),0.17,0)+IF(AND(V183&gt;=40,V183&lt;75,W183&gt;=120),0.12,0)+IF(AND(V183&gt;=75,V183&lt;175,W183&lt;35),0.3,0)+IF(AND(V183&gt;=75,V183&lt;=175,W183&gt;=35,W183&lt;65),0.23,0)+IF(AND(V183&gt;=75,V183&lt;=175,W183&gt;=65,W183&lt;110),0.17,0)+IF(AND(V183&gt;=75,V183&lt;=175,W183&gt;=110),0.12,0)+IF(AND(V183&gt;175,W183&lt;25),0.3,0)+IF(AND(V183&gt;175,W183&gt;=25,W183&lt;55),0.23,0)+IF(AND(V183&gt;175,W183&gt;=55,W183&lt;95),0.17,0)+IF(AND(V183&gt;175,W183&gt;=95),0.12,0),
IF(AF183="DoEVLo",IF(AND(V183&lt;20,W183&lt;55),0.25,0)+IF(AND(V183&lt;20,W183&gt;=55,W183&lt;105),0.2,0)+IF(AND(V183&lt;20,W183&gt;=105),0.15,0)+IF(AND(V183&gt;=20,V183&lt;40,W183&lt;45),0.25,0)+IF(AND(V183&gt;=20,V183&lt;40,W183&gt;=45,W183&lt;95),0.2,0)+IF(AND(V183&gt;=20,V183&lt;40,W183&gt;=95),0.15,0)+IF(AND(V183&gt;=40,V183&lt;75,W183&lt;35),0.25,0)+IF(AND(V183&gt;=40,V183&lt;75,W183&gt;=35,W183&lt;75),0.2,0)+IF(AND(V183&gt;=40,V183&lt;75,W183&gt;=75,W183&lt;120),0.15,0)+IF(AND(V183&gt;=40,V183&lt;75,W183&gt;=120),0.1,0)+IF(AND(V183&gt;=75,V183&lt;175,W183&lt;35),0.25,0)+IF(AND(V183&gt;=75,V183&lt;=175,W183&gt;=35,W183&lt;65),0.2,0)+IF(AND(V183&gt;=75,V183&lt;=175,W183&gt;=65,W183&lt;110),0.15,0)+IF(AND(V183&gt;=75,V183&lt;=175,W183&gt;=110),0.1,0)+IF(AND(V183&gt;175,W183&lt;25),0.25,0)+IF(AND(V183&gt;175,W183&gt;=25,W183&lt;55),0.2,0)+IF(AND(V183&gt;175,W183&gt;=55,W183&lt;95),0.15,0)+IF(AND(V183&gt;175,W183&gt;=95),0.1,0))))))))))))))))</f>
        <v>0.3</v>
      </c>
      <c r="Y183" s="30">
        <f>IF(AG183="None",0,IF(AG183="Fix5",0.05,IF(AG183="Fix3.75",0.0375,IF(AG183="Fix10",0.1,IF(AG183="Fix3",0.03,0)))))</f>
        <v>0</v>
      </c>
      <c r="Z183" s="35">
        <f>T183-AA183-AB183</f>
        <v>886.90000000000009</v>
      </c>
      <c r="AA183" s="29">
        <f>IF(AD183="EUR",((T183-R183)*X183)*U183+(R183*X183),(T183*X183))</f>
        <v>380.09999999999997</v>
      </c>
      <c r="AB183" s="36">
        <f>IF(AD183="EUR",((T183-R183)*Y183)*U183+(R183*Y183),(T183*Y183))</f>
        <v>0</v>
      </c>
      <c r="AC183" s="37" t="b">
        <v>1</v>
      </c>
      <c r="AD183" s="37" t="s">
        <v>38</v>
      </c>
      <c r="AE183" s="37" t="s">
        <v>38</v>
      </c>
      <c r="AF183" s="37" t="str">
        <f t="array" ref="AF183">INDEX('Deal Info'!D:D, MATCH(A183,'Deal Info'!A:A, 0))</f>
        <v>SF</v>
      </c>
      <c r="AG183" s="38" t="str">
        <f t="array" ref="AG183">INDEX('Deal Info'!G:G, MATCH(A183,'Deal Info'!A:A, 0))</f>
        <v>None</v>
      </c>
    </row>
    <row r="184" spans="1:33" ht="14.25" hidden="1" x14ac:dyDescent="0.2">
      <c r="A184" s="18" t="str">
        <f t="array" ref="A184">IF(G184='Room Info'!$B$1, INDEX('Room Info'!$A$2:$A2446, MATCH(B184,'Room Info'!$B$2:$B2446, 0)),IF(G184='Room Info'!$C$1, INDEX('Room Info'!$A$2:$A2446, MATCH(B184,'Room Info'!$C$2:$C2446, 0)),IF(G184='Room Info'!$D$1, INDEX('Room Info'!$A$2:$A2446, MATCH(B184,'Room Info'!$D$2:$D2446, 0)),IF(G184='Room Info'!$E$1, INDEX('Room Info'!$A$2:$A2446, MATCH(B184,'Room Info'!$E$2:$E2446, 0)),IF(G184='Room Info'!$F$1, INDEX('Room Info'!$A$2:$A2446, MATCH(B184,'Room Info'!$F$2:$F2446, 0)),IF(G184='Room Info'!$H$1, INDEX('Room Info'!$A$2:$A2446, MATCH(B184,'Room Info'!$H$2:$H2446, 0)),IF(G184='Room Info'!$G$1, INDEX('Room Info'!$A$2:$A2446, MATCH(B184,'Room Info'!$G$2:$G2446, 0)))))))))</f>
        <v>Fedorovi4</v>
      </c>
      <c r="B184" s="54" t="s">
        <v>91</v>
      </c>
      <c r="C184" s="46">
        <v>44521</v>
      </c>
      <c r="D184" s="46">
        <v>44550</v>
      </c>
      <c r="E184" s="47">
        <v>44531</v>
      </c>
      <c r="F184" s="45" t="s">
        <v>34</v>
      </c>
      <c r="G184" s="54" t="s">
        <v>61</v>
      </c>
      <c r="H184" s="49" t="s">
        <v>65</v>
      </c>
      <c r="I184" s="49" t="s">
        <v>37</v>
      </c>
      <c r="J184" s="50">
        <v>25</v>
      </c>
      <c r="K184" s="51">
        <v>483</v>
      </c>
      <c r="L184" s="52">
        <v>226</v>
      </c>
      <c r="M184" s="53">
        <v>565</v>
      </c>
      <c r="N184" s="28">
        <f>K184*J184</f>
        <v>12075</v>
      </c>
      <c r="O184" s="54">
        <v>23119</v>
      </c>
      <c r="P184" s="29">
        <v>47.865424429999997</v>
      </c>
      <c r="Q184" s="55"/>
      <c r="R184" s="31">
        <f>M184+Q184</f>
        <v>565</v>
      </c>
      <c r="S184" s="56">
        <v>48</v>
      </c>
      <c r="T184" s="32">
        <f>R184+S184+IF(F184="Without EV deal",L184,0)</f>
        <v>613</v>
      </c>
      <c r="U184" s="33">
        <v>1</v>
      </c>
      <c r="V184" s="69">
        <v>25</v>
      </c>
      <c r="W184" s="69">
        <v>24.52</v>
      </c>
      <c r="X184" s="30">
        <f>IF(AF184="DoEV",IF(AND(V184&lt;20,W184&lt;55),0.3,0)+IF(AND(V184&lt;20,W184&gt;=55,W184&lt;105),0.23,0)+IF(AND(V184&lt;20,W184&gt;=105),0.17,0)+IF(AND(V184&gt;=20,V184&lt;40,W184&lt;45),0.3,0)+IF(AND(V184&gt;=20,V184&lt;40,W184&gt;=45,W184&lt;95),0.23,0)+IF(AND(V184&gt;=20,V184&lt;40,W184&gt;=95),0.17,0)+IF(AND(V184&gt;=40,V184&lt;75,W184&lt;35),0.3,0)+IF(AND(V184&gt;=40,V184&lt;75,W184&gt;=35,W184&lt;75),0.23,0)+IF(AND(V184&gt;=40,V184&lt;75,W184&gt;=75,W184&lt;120),0.17,0)+IF(AND(V184&gt;=40,V184&lt;75,W184&gt;=120),0.12,0)+IF(AND(V184&gt;=75,V184&lt;175,W184&lt;35),0.3,0)+IF(AND(V184&gt;=75,V184&lt;=175,W184&gt;=35,W184&lt;65),0.23,0)+IF(AND(V184&gt;=75,V184&lt;=175,W184&gt;=65,W184&lt;110),0.17,0)+IF(AND(V184&gt;=75,V184&lt;=175,W184&gt;=110),0.12,0)+IF(AND(V184&gt;175,W184&lt;25),0.3,0)+IF(AND(V184&gt;175,W184&gt;=25,W184&lt;55),0.23,0)+IF(AND(V184&gt;175,W184&gt;=55,W184&lt;95),0.17,0)+IF(AND(V184&gt;175,W184&gt;=95),0.12,0),
IF(AF184="Fix15",0.15,
IF(AF184="Fix11.25",0.1125,
IF(AF184="Fix10",0.1,
IF(AF184="Fix9",0.09,
IF(AF184="DoEV2017",IF(AND(W184&lt;74),0.2,0)+IF(AND(W184&gt;=74),0.17,0),
IF(AF184="SF",IF(AND(V184&lt;20,W184&lt;89),0.3,0)+IF(AND(V184&lt;20,W184&gt;=89),0.25,0)+IF(AND(V184&gt;=20,V184&lt;40,W184&lt;74),0.3,0)+IF(AND(V184&gt;=20,V184&lt;40,W184&gt;=75),0.22,0)+IF(AND(V184&gt;=40,V184&lt;75,W184&lt;75),0.26,0)+IF(AND(V184&gt;=40,V184&lt;75,W184&gt;=75),0.22,0)+IF(V184&gt;=75,0.22,0),
IF(AF184="DoEVold",IF(AND(V184&lt;40,W184&lt;35),0.35,0)+IF(AND(V184&lt;40,W184&gt;=35,W184&lt;75),0.25,0)+IF(AND(V184&lt;40,W184&gt;=75),0.17,0)+IF(AND(V184&gt;=40,V184&lt;75,W184&lt;25),0.35,0)+IF(AND(V184&gt;=40,V184&lt;75,W184&gt;=25,W184&lt;65),0.25,0)+IF(AND(V184&gt;=40,V184&lt;75,W184&gt;=65,W184&lt;100),0.17,0)+IF(AND(V184&gt;=40,V184&lt;75,W184&gt;=100),0.1,0)+IF(AND(V184&gt;=75,W184&lt;25),0.35,0)+IF(AND(V184&gt;=75,W184&gt;=25,W184&lt;60),0.25,0)+IF(AND(V184&gt;=75,W184&gt;=60,W184&lt;95),0.17,0)+IF(AND(V184&gt;=75,W184&gt;=95),0.1,0),
IF(AF184="DoEVold15",IF(AND(V184&lt;=40,W184&lt;35),0.35,0)+IF(AND(V184&lt;=40,W184&gt;=35,W184&lt;75),0.25,0)+IF(AND(V184&lt;=40,W184&gt;=75,W184&lt;120),0.17,0)+IF(AND(V184&lt;=40,W184&gt;=120),0.15,0)+IF(AND(V184&gt;40,V184&lt;75,W184&lt;25),0.35,0)+IF(AND(V184&gt;=40,V184&lt;75,W184&gt;=25,W184&lt;65),0.25,0)+IF(AND(V184&gt;=40,V184&lt;75,W184&gt;=65,W184&lt;100),0.17,0)+IF(AND(V184&gt;=40,V184&lt;75,W184&gt;=100),0.1,0)+IF(AND(V184&gt;=75,W184&lt;25),0.35,0)+IF(AND(V184&gt;=75,W184&gt;=25,W184&lt;60),0.25,0)+IF(AND(V184&gt;=75,W184&gt;=60,W184&lt;95),0.17,0)+IF(AND(V184&gt;=75,W184&gt;=95),0.1,0),
IF(AF184="DoEVba",IF(AND(V184&lt;20,W184&lt;105),0.2,0)+IF(AND(V184&lt;20,W184&gt;=105),0.15,0)+IF(AND(V184&gt;=20,V184&lt;40,W184&lt;95),0.2,0)+IF(AND(V184&gt;=20,V184&lt;40,W184&gt;=95,W184&lt;150),0.15,0)+IF(AND(V184&gt;=20,V184&lt;40,W184&gt;=150),0.12,0)+IF(AND(V184&gt;=40,V184&lt;75,W184&lt;75),0.2,0)+IF(AND(V184&gt;=40,V184&lt;75,W184&gt;=75,W184&lt;120),0.15,0)+IF(AND(V184&gt;=40,V184&lt;75,W184&gt;=120),0.12,0)+IF(AND(V184&gt;=75,V184&lt;175,W184&lt;65),0.2,0)+IF(AND(V184&gt;=75,V184&lt;175,W184&gt;=65,W184&lt;110),0.15,0)+IF(AND(V184&gt;=75,V184&lt;175,W184&gt;=110),0.12,0)+IF(AND(V184&gt;=175,W184&lt;55),0.2,0)+IF(AND(V184&gt;=175,W184&gt;=55,W184&lt;95),0.15,0)+IF(AND(V184&gt;=175,W184&gt;=95),0.12,0),
IF(AF184="DoEVku",IF(AND(V184&lt;20,W184&lt;55),0.23,0)+IF(AND(V184&lt;20,W184&gt;=55,W184&lt;105),0.2,0)+IF(AND(V184&lt;20,W184&gt;=105),0.17,0)+IF(AND(V184&gt;=20,V184&lt;40,W184&lt;45),0.23,0)+IF(AND(V184&gt;=20,V184&lt;40,W184&gt;=45,W184&lt;95),0.2,0)+IF(AND(V184&gt;=20,V184&lt;40,W184&gt;=95,W184&lt;=150),0.17,0)+IF(AND(V184&gt;=20,V184&lt;40,W184&gt;=150),0.12,0)+IF(AND(V184&gt;=40,V184&lt;75,W184&lt;35),0.23,0)+IF(AND(V184&gt;=40,V184&lt;75,W184&gt;=35,W184&lt;75),0.2,0)+IF(AND(V184&gt;=40,V184&lt;75,W184&gt;=75,W184&lt;120),0.17,0)+IF(AND(V184&gt;=40,V184&lt;75,W184&gt;=120),0.12,0)+IF(AND(V184&gt;=75,V184&lt;175,W184&lt;35),0.23,0)+IF(AND(V184&gt;=75,V184&lt;=175,W184&gt;=35,W184&lt;65),0.2,0)+IF(AND(V184&gt;=75,V184&lt;=175,W184&gt;=65,W184&lt;110),0.17,0)+IF(AND(V184&gt;=75,V184&lt;=175,W184&gt;=110),0.12,0)+IF(AND(V184&gt;175,W184&lt;25),0.23,0)+IF(AND(V184&gt;175,W184&gt;=25,W184&lt;55),0.2,0)+IF(AND(V184&gt;175,W184&gt;=55,W184&lt;95),0.17,0)+IF(AND(V184&gt;175,W184&gt;=95),0.12,0),
IF(AF184="DoEVs1",IF(AND(V184&lt;20,W184&lt;55),0.3,0)+IF(AND(V184&lt;20,W184&gt;=55,W184&lt;105),0.23,0)+IF(AND(V184&lt;20,W184&gt;=105),0.17,0)+IF(AND(V184&gt;=20,V184&lt;40,W184&lt;45),0.3,0)+IF(AND(V184&gt;=20,V184&lt;40,W184&gt;=45,W184&lt;95),0.23,0)+IF(AND(V184&gt;=20,V184&lt;40,W184&gt;=95,W184&lt;=150),0.17,0)+IF(AND(V184&gt;=20,V184&lt;40,W184&gt;=150),0.12,0)+IF(AND(V184&gt;=40,V184&lt;75,W184&lt;35),0.3,0)+IF(AND(V184&gt;=40,V184&lt;75,W184&gt;=35,W184&lt;75),0.23,0)+IF(AND(V184&gt;=40,V184&lt;75,W184&gt;=75,W184&lt;120),0.17,0)+IF(AND(V184&gt;=40,V184&lt;75,W184&gt;=120),0.12,0)+IF(AND(V184&gt;=75,V184&lt;175,W184&lt;35),0.3,0)+IF(AND(V184&gt;=75,V184&lt;=175,W184&gt;=35,W184&lt;65),0.23,0)+IF(AND(V184&gt;=75,V184&lt;=175,W184&gt;=65,W184&lt;110),0.17,0)+IF(AND(V184&gt;=75,V184&lt;=175,W184&gt;=110),0.12,0)+IF(AND(V184&gt;175,W184&lt;25),0.3,0)+IF(AND(V184&gt;175,W184&gt;=25,W184&lt;55),0.23,0)+IF(AND(V184&gt;175,W184&gt;=55,W184&lt;95),0.17,0)+IF(AND(V184&gt;175,W184&gt;=95),0.12,0),
IF(AF184="DoEVsu",IF(AND(V184&lt;20,W184&lt;55),0.3,0)+IF(AND(V184&lt;20,W184&gt;=55,W184&lt;105),0.23,0)+IF(AND(V184&lt;20,W184&gt;=105),0.17,0)+IF(AND(V184&gt;=20,V184&lt;40,W184&lt;45),0.3,0)+IF(AND(V184&gt;=20,V184&lt;40,W184&gt;=45,W184&lt;95),0.23,0)+IF(AND(V184&gt;=20,V184&lt;40,W184&gt;=95,W184&lt;=250),0.17,0)+IF(AND(V184&gt;=20,V184&lt;40,W184&gt;=250),0.12,0)+IF(AND(V184&gt;=40,V184&lt;75,W184&lt;35),0.3,0)+IF(AND(V184&gt;=40,V184&lt;75,W184&gt;=35,W184&lt;75),0.23,0)+IF(AND(V184&gt;=40,V184&lt;75,W184&gt;=75,W184&lt;120),0.17,0)+IF(AND(V184&gt;=40,V184&lt;75,W184&gt;=120),0.12,0)+IF(AND(V184&gt;=75,V184&lt;175,W184&lt;35),0.3,0)+IF(AND(V184&gt;=75,V184&lt;=175,W184&gt;=35,W184&lt;65),0.23,0)+IF(AND(V184&gt;=75,V184&lt;=175,W184&gt;=65,W184&lt;110),0.17,0)+IF(AND(V184&gt;=75,V184&lt;=175,W184&gt;=110),0.12,0)+IF(AND(V184&gt;175,W184&lt;25),0.3,0)+IF(AND(V184&gt;175,W184&gt;=25,W184&lt;55),0.23,0)+IF(AND(V184&gt;175,W184&gt;=55,W184&lt;95),0.17,0)+IF(AND(V184&gt;175,W184&gt;=95),0.12,0),
IF(AF184="DoEVni",IF(AND(V184&lt;20,W184&lt;55),0.3,0)+IF(AND(V184&lt;20,W184&gt;=55,W184&lt;105),0.23,0)+IF(AND(V184&lt;20,W184&gt;=105),0.17,0)+IF(AND(V184&gt;=20,V184&lt;40,W184&lt;45),0.3,0)+IF(AND(V184&gt;=20,V184&lt;40,W184&gt;=45,W184&lt;95),0.23,0)+IF(AND(V184&gt;=20,V184&lt;40,W184&gt;=95,W184&lt;=200),0.17,0)+IF(AND(V184&gt;=20,V184&lt;40,W184&gt;=200),0.12,0)+IF(AND(V184&gt;=40,V184&lt;75,W184&lt;35),0.3,0)+IF(AND(V184&gt;=40,V184&lt;75,W184&gt;=35,W184&lt;75),0.23,0)+IF(AND(V184&gt;=40,V184&lt;75,W184&gt;=75,W184&lt;120),0.17,0)+IF(AND(V184&gt;=40,V184&lt;75,W184&gt;=120),0.12,0)+IF(AND(V184&gt;=75,V184&lt;175,W184&lt;35),0.3,0)+IF(AND(V184&gt;=75,V184&lt;=175,W184&gt;=35,W184&lt;65),0.23,0)+IF(AND(V184&gt;=75,V184&lt;=175,W184&gt;=65,W184&lt;110),0.17,0)+IF(AND(V184&gt;=75,V184&lt;=175,W184&gt;=110),0.12,0)+IF(AND(V184&gt;175,W184&lt;25),0.3,0)+IF(AND(V184&gt;175,W184&gt;=25,W184&lt;55),0.23,0)+IF(AND(V184&gt;175,W184&gt;=55,W184&lt;95),0.17,0)+IF(AND(V184&gt;175,W184&gt;=95),0.12,0),
IF(AF184="DoEVLo",IF(AND(V184&lt;20,W184&lt;55),0.25,0)+IF(AND(V184&lt;20,W184&gt;=55,W184&lt;105),0.2,0)+IF(AND(V184&lt;20,W184&gt;=105),0.15,0)+IF(AND(V184&gt;=20,V184&lt;40,W184&lt;45),0.25,0)+IF(AND(V184&gt;=20,V184&lt;40,W184&gt;=45,W184&lt;95),0.2,0)+IF(AND(V184&gt;=20,V184&lt;40,W184&gt;=95),0.15,0)+IF(AND(V184&gt;=40,V184&lt;75,W184&lt;35),0.25,0)+IF(AND(V184&gt;=40,V184&lt;75,W184&gt;=35,W184&lt;75),0.2,0)+IF(AND(V184&gt;=40,V184&lt;75,W184&gt;=75,W184&lt;120),0.15,0)+IF(AND(V184&gt;=40,V184&lt;75,W184&gt;=120),0.1,0)+IF(AND(V184&gt;=75,V184&lt;175,W184&lt;35),0.25,0)+IF(AND(V184&gt;=75,V184&lt;=175,W184&gt;=35,W184&lt;65),0.2,0)+IF(AND(V184&gt;=75,V184&lt;=175,W184&gt;=65,W184&lt;110),0.15,0)+IF(AND(V184&gt;=75,V184&lt;=175,W184&gt;=110),0.1,0)+IF(AND(V184&gt;175,W184&lt;25),0.25,0)+IF(AND(V184&gt;175,W184&gt;=25,W184&lt;55),0.2,0)+IF(AND(V184&gt;175,W184&gt;=55,W184&lt;95),0.15,0)+IF(AND(V184&gt;175,W184&gt;=95),0.1,0))))))))))))))))</f>
        <v>0.3</v>
      </c>
      <c r="Y184" s="30">
        <f>IF(AG184="None",0,IF(AG184="Fix5",0.05,IF(AG184="Fix3.75",0.0375,IF(AG184="Fix10",0.1,IF(AG184="Fix3",0.03,0)))))</f>
        <v>0</v>
      </c>
      <c r="Z184" s="35">
        <f>T184-AA184-AB184</f>
        <v>429.1</v>
      </c>
      <c r="AA184" s="29">
        <f>IF(AD184="EUR",((T184-R184)*X184)*U184+(R184*X184),(T184*X184))</f>
        <v>183.9</v>
      </c>
      <c r="AB184" s="36">
        <f>IF(AD184="EUR",((T184-R184)*Y184)*U184+(R184*Y184),(T184*Y184))</f>
        <v>0</v>
      </c>
      <c r="AC184" s="37" t="b">
        <v>1</v>
      </c>
      <c r="AD184" s="37" t="s">
        <v>38</v>
      </c>
      <c r="AE184" s="37" t="s">
        <v>38</v>
      </c>
      <c r="AF184" s="37" t="str">
        <f t="array" ref="AF184">INDEX('Deal Info'!D:D, MATCH(A184,'Deal Info'!A:A, 0))</f>
        <v>SF</v>
      </c>
      <c r="AG184" s="38" t="str">
        <f t="array" ref="AG184">INDEX('Deal Info'!G:G, MATCH(A184,'Deal Info'!A:A, 0))</f>
        <v>None</v>
      </c>
    </row>
    <row r="185" spans="1:33" ht="14.25" x14ac:dyDescent="0.2">
      <c r="A185" s="18" t="str">
        <f t="array" ref="A185">IF(G185='Room Info'!$B$1, INDEX('Room Info'!$A$2:$A2446, MATCH(B185,'Room Info'!$B$2:$B2446, 0)),IF(G185='Room Info'!$C$1, INDEX('Room Info'!$A$2:$A2446, MATCH(B185,'Room Info'!$C$2:$C2446, 0)),IF(G185='Room Info'!$D$1, INDEX('Room Info'!$A$2:$A2446, MATCH(B185,'Room Info'!$D$2:$D2446, 0)),IF(G185='Room Info'!$E$1, INDEX('Room Info'!$A$2:$A2446, MATCH(B185,'Room Info'!$E$2:$E2446, 0)),IF(G185='Room Info'!$F$1, INDEX('Room Info'!$A$2:$A2446, MATCH(B185,'Room Info'!$F$2:$F2446, 0)),IF(G185='Room Info'!$H$1, INDEX('Room Info'!$A$2:$A2446, MATCH(B185,'Room Info'!$H$2:$H2446, 0)),IF(G185='Room Info'!$G$1, INDEX('Room Info'!$A$2:$A2446, MATCH(B185,'Room Info'!$G$2:$G2446, 0)))))))))</f>
        <v>Freedoom</v>
      </c>
      <c r="B185" s="45" t="s">
        <v>110</v>
      </c>
      <c r="C185" s="46">
        <v>44551</v>
      </c>
      <c r="D185" s="46">
        <v>44592</v>
      </c>
      <c r="E185" s="47">
        <v>44562</v>
      </c>
      <c r="F185" s="48" t="s">
        <v>49</v>
      </c>
      <c r="G185" s="65" t="s">
        <v>61</v>
      </c>
      <c r="H185" s="49" t="s">
        <v>65</v>
      </c>
      <c r="I185" s="49" t="s">
        <v>37</v>
      </c>
      <c r="J185" s="50">
        <v>25</v>
      </c>
      <c r="K185" s="123">
        <v>122</v>
      </c>
      <c r="L185" s="52">
        <v>-750</v>
      </c>
      <c r="M185" s="53">
        <v>1</v>
      </c>
      <c r="N185" s="28">
        <f>K185*J185</f>
        <v>3050</v>
      </c>
      <c r="O185" s="54">
        <v>9594</v>
      </c>
      <c r="P185" s="29">
        <v>78.639344260000001</v>
      </c>
      <c r="Q185" s="55"/>
      <c r="R185" s="31">
        <f>M185+Q185</f>
        <v>1</v>
      </c>
      <c r="S185" s="56">
        <v>156</v>
      </c>
      <c r="T185" s="32">
        <f>R185+S185+IF(F185="Without EV deal",L185,0)</f>
        <v>157</v>
      </c>
      <c r="U185" s="57">
        <v>1</v>
      </c>
      <c r="V185" s="58"/>
      <c r="W185" s="58"/>
      <c r="X185" s="30">
        <f>IF(AF185="DoEV",IF(AND(V185&lt;20,W185&lt;55),0.3,0)+IF(AND(V185&lt;20,W185&gt;=55,W185&lt;105),0.23,0)+IF(AND(V185&lt;20,W185&gt;=105),0.17,0)+IF(AND(V185&gt;=20,V185&lt;40,W185&lt;45),0.3,0)+IF(AND(V185&gt;=20,V185&lt;40,W185&gt;=45,W185&lt;95),0.23,0)+IF(AND(V185&gt;=20,V185&lt;40,W185&gt;=95),0.17,0)+IF(AND(V185&gt;=40,V185&lt;75,W185&lt;35),0.3,0)+IF(AND(V185&gt;=40,V185&lt;75,W185&gt;=35,W185&lt;75),0.23,0)+IF(AND(V185&gt;=40,V185&lt;75,W185&gt;=75,W185&lt;120),0.17,0)+IF(AND(V185&gt;=40,V185&lt;75,W185&gt;=120),0.12,0)+IF(AND(V185&gt;=75,V185&lt;175,W185&lt;35),0.3,0)+IF(AND(V185&gt;=75,V185&lt;=175,W185&gt;=35,W185&lt;65),0.23,0)+IF(AND(V185&gt;=75,V185&lt;=175,W185&gt;=65,W185&lt;110),0.17,0)+IF(AND(V185&gt;=75,V185&lt;=175,W185&gt;=110),0.12,0)+IF(AND(V185&gt;175,W185&lt;25),0.3,0)+IF(AND(V185&gt;175,W185&gt;=25,W185&lt;55),0.23,0)+IF(AND(V185&gt;175,W185&gt;=55,W185&lt;95),0.17,0)+IF(AND(V185&gt;175,W185&gt;=95),0.12,0),
IF(AF185="Fix15",0.15,
IF(AF185="Fix11.25",0.1125,
IF(AF185="Fix10",0.1,
IF(AF185="Fix9",0.09,
IF(AF185="DoEV2017",IF(AND(W185&lt;74),0.2,0)+IF(AND(W185&gt;=74),0.17,0),
IF(AF185="SF",IF(AND(V185&lt;20,W185&lt;89),0.3,0)+IF(AND(V185&lt;20,W185&gt;=89),0.25,0)+IF(AND(V185&gt;=20,V185&lt;40,W185&lt;74),0.3,0)+IF(AND(V185&gt;=20,V185&lt;40,W185&gt;=75),0.22,0)+IF(AND(V185&gt;=40,V185&lt;75,W185&lt;75),0.26,0)+IF(AND(V185&gt;=40,V185&lt;75,W185&gt;=75),0.22,0)+IF(V185&gt;=75,0.22,0),
IF(AF185="DoEVold",IF(AND(V185&lt;40,W185&lt;35),0.35,0)+IF(AND(V185&lt;40,W185&gt;=35,W185&lt;75),0.25,0)+IF(AND(V185&lt;40,W185&gt;=75),0.17,0)+IF(AND(V185&gt;=40,V185&lt;75,W185&lt;25),0.35,0)+IF(AND(V185&gt;=40,V185&lt;75,W185&gt;=25,W185&lt;65),0.25,0)+IF(AND(V185&gt;=40,V185&lt;75,W185&gt;=65,W185&lt;100),0.17,0)+IF(AND(V185&gt;=40,V185&lt;75,W185&gt;=100),0.1,0)+IF(AND(V185&gt;=75,W185&lt;25),0.35,0)+IF(AND(V185&gt;=75,W185&gt;=25,W185&lt;60),0.25,0)+IF(AND(V185&gt;=75,W185&gt;=60,W185&lt;95),0.17,0)+IF(AND(V185&gt;=75,W185&gt;=95),0.1,0),
IF(AF185="DoEVold15",IF(AND(V185&lt;=40,W185&lt;35),0.35,0)+IF(AND(V185&lt;=40,W185&gt;=35,W185&lt;75),0.25,0)+IF(AND(V185&lt;=40,W185&gt;=75,W185&lt;120),0.17,0)+IF(AND(V185&lt;=40,W185&gt;=120),0.15,0)+IF(AND(V185&gt;40,V185&lt;75,W185&lt;25),0.35,0)+IF(AND(V185&gt;=40,V185&lt;75,W185&gt;=25,W185&lt;65),0.25,0)+IF(AND(V185&gt;=40,V185&lt;75,W185&gt;=65,W185&lt;100),0.17,0)+IF(AND(V185&gt;=40,V185&lt;75,W185&gt;=100),0.1,0)+IF(AND(V185&gt;=75,W185&lt;25),0.35,0)+IF(AND(V185&gt;=75,W185&gt;=25,W185&lt;60),0.25,0)+IF(AND(V185&gt;=75,W185&gt;=60,W185&lt;95),0.17,0)+IF(AND(V185&gt;=75,W185&gt;=95),0.1,0),
IF(AF185="DoEVba",IF(AND(V185&lt;20,W185&lt;105),0.2,0)+IF(AND(V185&lt;20,W185&gt;=105),0.15,0)+IF(AND(V185&gt;=20,V185&lt;40,W185&lt;95),0.2,0)+IF(AND(V185&gt;=20,V185&lt;40,W185&gt;=95,W185&lt;150),0.15,0)+IF(AND(V185&gt;=20,V185&lt;40,W185&gt;=150),0.12,0)+IF(AND(V185&gt;=40,V185&lt;75,W185&lt;75),0.2,0)+IF(AND(V185&gt;=40,V185&lt;75,W185&gt;=75,W185&lt;120),0.15,0)+IF(AND(V185&gt;=40,V185&lt;75,W185&gt;=120),0.12,0)+IF(AND(V185&gt;=75,V185&lt;175,W185&lt;65),0.2,0)+IF(AND(V185&gt;=75,V185&lt;175,W185&gt;=65,W185&lt;110),0.15,0)+IF(AND(V185&gt;=75,V185&lt;175,W185&gt;=110),0.12,0)+IF(AND(V185&gt;=175,W185&lt;55),0.2,0)+IF(AND(V185&gt;=175,W185&gt;=55,W185&lt;95),0.15,0)+IF(AND(V185&gt;=175,W185&gt;=95),0.12,0),
IF(AF185="DoEVku",IF(AND(V185&lt;20,W185&lt;55),0.23,0)+IF(AND(V185&lt;20,W185&gt;=55,W185&lt;105),0.2,0)+IF(AND(V185&lt;20,W185&gt;=105),0.17,0)+IF(AND(V185&gt;=20,V185&lt;40,W185&lt;45),0.23,0)+IF(AND(V185&gt;=20,V185&lt;40,W185&gt;=45,W185&lt;95),0.2,0)+IF(AND(V185&gt;=20,V185&lt;40,W185&gt;=95,W185&lt;=150),0.17,0)+IF(AND(V185&gt;=20,V185&lt;40,W185&gt;=150),0.12,0)+IF(AND(V185&gt;=40,V185&lt;75,W185&lt;35),0.23,0)+IF(AND(V185&gt;=40,V185&lt;75,W185&gt;=35,W185&lt;75),0.2,0)+IF(AND(V185&gt;=40,V185&lt;75,W185&gt;=75,W185&lt;120),0.17,0)+IF(AND(V185&gt;=40,V185&lt;75,W185&gt;=120),0.12,0)+IF(AND(V185&gt;=75,V185&lt;175,W185&lt;35),0.23,0)+IF(AND(V185&gt;=75,V185&lt;=175,W185&gt;=35,W185&lt;65),0.2,0)+IF(AND(V185&gt;=75,V185&lt;=175,W185&gt;=65,W185&lt;110),0.17,0)+IF(AND(V185&gt;=75,V185&lt;=175,W185&gt;=110),0.12,0)+IF(AND(V185&gt;175,W185&lt;25),0.23,0)+IF(AND(V185&gt;175,W185&gt;=25,W185&lt;55),0.2,0)+IF(AND(V185&gt;175,W185&gt;=55,W185&lt;95),0.17,0)+IF(AND(V185&gt;175,W185&gt;=95),0.12,0),
IF(AF185="DoEVs1",IF(AND(V185&lt;20,W185&lt;55),0.3,0)+IF(AND(V185&lt;20,W185&gt;=55,W185&lt;105),0.23,0)+IF(AND(V185&lt;20,W185&gt;=105),0.17,0)+IF(AND(V185&gt;=20,V185&lt;40,W185&lt;45),0.3,0)+IF(AND(V185&gt;=20,V185&lt;40,W185&gt;=45,W185&lt;95),0.23,0)+IF(AND(V185&gt;=20,V185&lt;40,W185&gt;=95,W185&lt;=150),0.17,0)+IF(AND(V185&gt;=20,V185&lt;40,W185&gt;=150),0.12,0)+IF(AND(V185&gt;=40,V185&lt;75,W185&lt;35),0.3,0)+IF(AND(V185&gt;=40,V185&lt;75,W185&gt;=35,W185&lt;75),0.23,0)+IF(AND(V185&gt;=40,V185&lt;75,W185&gt;=75,W185&lt;120),0.17,0)+IF(AND(V185&gt;=40,V185&lt;75,W185&gt;=120),0.12,0)+IF(AND(V185&gt;=75,V185&lt;175,W185&lt;35),0.3,0)+IF(AND(V185&gt;=75,V185&lt;=175,W185&gt;=35,W185&lt;65),0.23,0)+IF(AND(V185&gt;=75,V185&lt;=175,W185&gt;=65,W185&lt;110),0.17,0)+IF(AND(V185&gt;=75,V185&lt;=175,W185&gt;=110),0.12,0)+IF(AND(V185&gt;175,W185&lt;25),0.3,0)+IF(AND(V185&gt;175,W185&gt;=25,W185&lt;55),0.23,0)+IF(AND(V185&gt;175,W185&gt;=55,W185&lt;95),0.17,0)+IF(AND(V185&gt;175,W185&gt;=95),0.12,0),
IF(AF185="DoEVsu",IF(AND(V185&lt;20,W185&lt;55),0.3,0)+IF(AND(V185&lt;20,W185&gt;=55,W185&lt;105),0.23,0)+IF(AND(V185&lt;20,W185&gt;=105),0.17,0)+IF(AND(V185&gt;=20,V185&lt;40,W185&lt;45),0.3,0)+IF(AND(V185&gt;=20,V185&lt;40,W185&gt;=45,W185&lt;95),0.23,0)+IF(AND(V185&gt;=20,V185&lt;40,W185&gt;=95,W185&lt;=250),0.17,0)+IF(AND(V185&gt;=20,V185&lt;40,W185&gt;=250),0.12,0)+IF(AND(V185&gt;=40,V185&lt;75,W185&lt;35),0.3,0)+IF(AND(V185&gt;=40,V185&lt;75,W185&gt;=35,W185&lt;75),0.23,0)+IF(AND(V185&gt;=40,V185&lt;75,W185&gt;=75,W185&lt;120),0.17,0)+IF(AND(V185&gt;=40,V185&lt;75,W185&gt;=120),0.12,0)+IF(AND(V185&gt;=75,V185&lt;175,W185&lt;35),0.3,0)+IF(AND(V185&gt;=75,V185&lt;=175,W185&gt;=35,W185&lt;65),0.23,0)+IF(AND(V185&gt;=75,V185&lt;=175,W185&gt;=65,W185&lt;110),0.17,0)+IF(AND(V185&gt;=75,V185&lt;=175,W185&gt;=110),0.12,0)+IF(AND(V185&gt;175,W185&lt;25),0.3,0)+IF(AND(V185&gt;175,W185&gt;=25,W185&lt;55),0.23,0)+IF(AND(V185&gt;175,W185&gt;=55,W185&lt;95),0.17,0)+IF(AND(V185&gt;175,W185&gt;=95),0.12,0),
IF(AF185="DoEVni",IF(AND(V185&lt;20,W185&lt;55),0.3,0)+IF(AND(V185&lt;20,W185&gt;=55,W185&lt;105),0.23,0)+IF(AND(V185&lt;20,W185&gt;=105),0.17,0)+IF(AND(V185&gt;=20,V185&lt;40,W185&lt;45),0.3,0)+IF(AND(V185&gt;=20,V185&lt;40,W185&gt;=45,W185&lt;95),0.23,0)+IF(AND(V185&gt;=20,V185&lt;40,W185&gt;=95,W185&lt;=200),0.17,0)+IF(AND(V185&gt;=20,V185&lt;40,W185&gt;=200),0.12,0)+IF(AND(V185&gt;=40,V185&lt;75,W185&lt;35),0.3,0)+IF(AND(V185&gt;=40,V185&lt;75,W185&gt;=35,W185&lt;75),0.23,0)+IF(AND(V185&gt;=40,V185&lt;75,W185&gt;=75,W185&lt;120),0.17,0)+IF(AND(V185&gt;=40,V185&lt;75,W185&gt;=120),0.12,0)+IF(AND(V185&gt;=75,V185&lt;175,W185&lt;35),0.3,0)+IF(AND(V185&gt;=75,V185&lt;=175,W185&gt;=35,W185&lt;65),0.23,0)+IF(AND(V185&gt;=75,V185&lt;=175,W185&gt;=65,W185&lt;110),0.17,0)+IF(AND(V185&gt;=75,V185&lt;=175,W185&gt;=110),0.12,0)+IF(AND(V185&gt;175,W185&lt;25),0.3,0)+IF(AND(V185&gt;175,W185&gt;=25,W185&lt;55),0.23,0)+IF(AND(V185&gt;175,W185&gt;=55,W185&lt;95),0.17,0)+IF(AND(V185&gt;175,W185&gt;=95),0.12,0),
IF(AF185="DoEVLo",IF(AND(V185&lt;20,W185&lt;55),0.25,0)+IF(AND(V185&lt;20,W185&gt;=55,W185&lt;105),0.2,0)+IF(AND(V185&lt;20,W185&gt;=105),0.15,0)+IF(AND(V185&gt;=20,V185&lt;40,W185&lt;45),0.25,0)+IF(AND(V185&gt;=20,V185&lt;40,W185&gt;=45,W185&lt;95),0.2,0)+IF(AND(V185&gt;=20,V185&lt;40,W185&gt;=95),0.15,0)+IF(AND(V185&gt;=40,V185&lt;75,W185&lt;35),0.25,0)+IF(AND(V185&gt;=40,V185&lt;75,W185&gt;=35,W185&lt;75),0.2,0)+IF(AND(V185&gt;=40,V185&lt;75,W185&gt;=75,W185&lt;120),0.15,0)+IF(AND(V185&gt;=40,V185&lt;75,W185&gt;=120),0.1,0)+IF(AND(V185&gt;=75,V185&lt;175,W185&lt;35),0.25,0)+IF(AND(V185&gt;=75,V185&lt;=175,W185&gt;=35,W185&lt;65),0.2,0)+IF(AND(V185&gt;=75,V185&lt;=175,W185&gt;=65,W185&lt;110),0.15,0)+IF(AND(V185&gt;=75,V185&lt;=175,W185&gt;=110),0.1,0)+IF(AND(V185&gt;175,W185&lt;25),0.25,0)+IF(AND(V185&gt;175,W185&gt;=25,W185&lt;55),0.2,0)+IF(AND(V185&gt;175,W185&gt;=55,W185&lt;95),0.15,0)+IF(AND(V185&gt;175,W185&gt;=95),0.1,0))))))))))))))))</f>
        <v>0.35</v>
      </c>
      <c r="Y185" s="30">
        <f>IF(AG185="None",0,IF(AG185="Fix5",0.05,IF(AG185="Fix3.75",0.0375,IF(AG185="Fix10",0.1,IF(AG185="Fix3",0.03,0)))))</f>
        <v>0</v>
      </c>
      <c r="Z185" s="59">
        <v>131</v>
      </c>
      <c r="AA185" s="60">
        <v>27</v>
      </c>
      <c r="AB185" s="36">
        <f>IF(AD185="EUR",((T185-R185)*Y185)*U185+(R185*Y185),(T185*Y185))</f>
        <v>0</v>
      </c>
      <c r="AC185" s="37" t="b">
        <v>1</v>
      </c>
      <c r="AD185" s="61" t="s">
        <v>38</v>
      </c>
      <c r="AE185" s="61" t="s">
        <v>38</v>
      </c>
      <c r="AF185" s="37" t="str">
        <f t="array" ref="AF185">INDEX('Deal Info'!D:D, MATCH(A185,'Deal Info'!A:A, 0))</f>
        <v>DoEVold</v>
      </c>
      <c r="AG185" s="38" t="str">
        <f t="array" ref="AG185">INDEX('Deal Info'!G:G, MATCH(A185,'Deal Info'!A:A, 0))</f>
        <v>None</v>
      </c>
    </row>
    <row r="186" spans="1:33" ht="14.25" x14ac:dyDescent="0.2">
      <c r="A186" s="18" t="str">
        <f t="array" ref="A186">IF(G186='Room Info'!$B$1, INDEX('Room Info'!$A$2:$A2446, MATCH(B186,'Room Info'!$B$2:$B2446, 0)),IF(G186='Room Info'!$C$1, INDEX('Room Info'!$A$2:$A2446, MATCH(B186,'Room Info'!$C$2:$C2446, 0)),IF(G186='Room Info'!$D$1, INDEX('Room Info'!$A$2:$A2446, MATCH(B186,'Room Info'!$D$2:$D2446, 0)),IF(G186='Room Info'!$E$1, INDEX('Room Info'!$A$2:$A2446, MATCH(B186,'Room Info'!$E$2:$E2446, 0)),IF(G186='Room Info'!$F$1, INDEX('Room Info'!$A$2:$A2446, MATCH(B186,'Room Info'!$F$2:$F2446, 0)),IF(G186='Room Info'!$H$1, INDEX('Room Info'!$A$2:$A2446, MATCH(B186,'Room Info'!$H$2:$H2446, 0)),IF(G186='Room Info'!$G$1, INDEX('Room Info'!$A$2:$A2446, MATCH(B186,'Room Info'!$G$2:$G2446, 0)))))))))</f>
        <v>Abcdf</v>
      </c>
      <c r="B186" s="130" t="s">
        <v>60</v>
      </c>
      <c r="C186" s="41">
        <v>44551</v>
      </c>
      <c r="D186" s="41">
        <v>44581</v>
      </c>
      <c r="E186" s="47">
        <v>44562</v>
      </c>
      <c r="F186" s="22" t="s">
        <v>34</v>
      </c>
      <c r="G186" s="130" t="s">
        <v>61</v>
      </c>
      <c r="H186" s="81" t="s">
        <v>64</v>
      </c>
      <c r="I186" s="81" t="s">
        <v>37</v>
      </c>
      <c r="J186" s="154">
        <v>10</v>
      </c>
      <c r="K186" s="88">
        <v>165</v>
      </c>
      <c r="L186" s="89">
        <v>-113</v>
      </c>
      <c r="M186" s="121">
        <v>0</v>
      </c>
      <c r="N186" s="28">
        <f>K186*J186</f>
        <v>1650</v>
      </c>
      <c r="O186" s="130">
        <v>10603</v>
      </c>
      <c r="P186" s="29">
        <v>64.260606060000001</v>
      </c>
      <c r="Q186" s="78"/>
      <c r="R186" s="31">
        <f>M186+Q186</f>
        <v>0</v>
      </c>
      <c r="S186" s="119">
        <v>45</v>
      </c>
      <c r="T186" s="32">
        <f>R186+S186+IF(F186="Without EV deal",L186,0)</f>
        <v>45</v>
      </c>
      <c r="U186" s="33">
        <v>1</v>
      </c>
      <c r="V186" s="64">
        <v>10</v>
      </c>
      <c r="W186" s="64">
        <v>4.5</v>
      </c>
      <c r="X186" s="30">
        <f>IF(AF186="DoEV",IF(AND(V186&lt;20,W186&lt;55),0.3,0)+IF(AND(V186&lt;20,W186&gt;=55,W186&lt;105),0.23,0)+IF(AND(V186&lt;20,W186&gt;=105),0.17,0)+IF(AND(V186&gt;=20,V186&lt;40,W186&lt;45),0.3,0)+IF(AND(V186&gt;=20,V186&lt;40,W186&gt;=45,W186&lt;95),0.23,0)+IF(AND(V186&gt;=20,V186&lt;40,W186&gt;=95),0.17,0)+IF(AND(V186&gt;=40,V186&lt;75,W186&lt;35),0.3,0)+IF(AND(V186&gt;=40,V186&lt;75,W186&gt;=35,W186&lt;75),0.23,0)+IF(AND(V186&gt;=40,V186&lt;75,W186&gt;=75,W186&lt;120),0.17,0)+IF(AND(V186&gt;=40,V186&lt;75,W186&gt;=120),0.12,0)+IF(AND(V186&gt;=75,V186&lt;175,W186&lt;35),0.3,0)+IF(AND(V186&gt;=75,V186&lt;=175,W186&gt;=35,W186&lt;65),0.23,0)+IF(AND(V186&gt;=75,V186&lt;=175,W186&gt;=65,W186&lt;110),0.17,0)+IF(AND(V186&gt;=75,V186&lt;=175,W186&gt;=110),0.12,0)+IF(AND(V186&gt;175,W186&lt;25),0.3,0)+IF(AND(V186&gt;175,W186&gt;=25,W186&lt;55),0.23,0)+IF(AND(V186&gt;175,W186&gt;=55,W186&lt;95),0.17,0)+IF(AND(V186&gt;175,W186&gt;=95),0.12,0),
IF(AF186="Fix15",0.15,
IF(AF186="Fix11.25",0.1125,
IF(AF186="Fix10",0.1,
IF(AF186="Fix9",0.09,
IF(AF186="DoEV2017",IF(AND(W186&lt;74),0.2,0)+IF(AND(W186&gt;=74),0.17,0),
IF(AF186="SF",IF(AND(V186&lt;20,W186&lt;89),0.3,0)+IF(AND(V186&lt;20,W186&gt;=89),0.25,0)+IF(AND(V186&gt;=20,V186&lt;40,W186&lt;74),0.3,0)+IF(AND(V186&gt;=20,V186&lt;40,W186&gt;=75),0.22,0)+IF(AND(V186&gt;=40,V186&lt;75,W186&lt;75),0.26,0)+IF(AND(V186&gt;=40,V186&lt;75,W186&gt;=75),0.22,0)+IF(V186&gt;=75,0.22,0),
IF(AF186="DoEVold",IF(AND(V186&lt;40,W186&lt;35),0.35,0)+IF(AND(V186&lt;40,W186&gt;=35,W186&lt;75),0.25,0)+IF(AND(V186&lt;40,W186&gt;=75),0.17,0)+IF(AND(V186&gt;=40,V186&lt;75,W186&lt;25),0.35,0)+IF(AND(V186&gt;=40,V186&lt;75,W186&gt;=25,W186&lt;65),0.25,0)+IF(AND(V186&gt;=40,V186&lt;75,W186&gt;=65,W186&lt;100),0.17,0)+IF(AND(V186&gt;=40,V186&lt;75,W186&gt;=100),0.1,0)+IF(AND(V186&gt;=75,W186&lt;25),0.35,0)+IF(AND(V186&gt;=75,W186&gt;=25,W186&lt;60),0.25,0)+IF(AND(V186&gt;=75,W186&gt;=60,W186&lt;95),0.17,0)+IF(AND(V186&gt;=75,W186&gt;=95),0.1,0),
IF(AF186="DoEVold15",IF(AND(V186&lt;=40,W186&lt;35),0.35,0)+IF(AND(V186&lt;=40,W186&gt;=35,W186&lt;75),0.25,0)+IF(AND(V186&lt;=40,W186&gt;=75,W186&lt;120),0.17,0)+IF(AND(V186&lt;=40,W186&gt;=120),0.15,0)+IF(AND(V186&gt;40,V186&lt;75,W186&lt;25),0.35,0)+IF(AND(V186&gt;=40,V186&lt;75,W186&gt;=25,W186&lt;65),0.25,0)+IF(AND(V186&gt;=40,V186&lt;75,W186&gt;=65,W186&lt;100),0.17,0)+IF(AND(V186&gt;=40,V186&lt;75,W186&gt;=100),0.1,0)+IF(AND(V186&gt;=75,W186&lt;25),0.35,0)+IF(AND(V186&gt;=75,W186&gt;=25,W186&lt;60),0.25,0)+IF(AND(V186&gt;=75,W186&gt;=60,W186&lt;95),0.17,0)+IF(AND(V186&gt;=75,W186&gt;=95),0.1,0),
IF(AF186="DoEVba",IF(AND(V186&lt;20,W186&lt;105),0.2,0)+IF(AND(V186&lt;20,W186&gt;=105),0.15,0)+IF(AND(V186&gt;=20,V186&lt;40,W186&lt;95),0.2,0)+IF(AND(V186&gt;=20,V186&lt;40,W186&gt;=95,W186&lt;150),0.15,0)+IF(AND(V186&gt;=20,V186&lt;40,W186&gt;=150),0.12,0)+IF(AND(V186&gt;=40,V186&lt;75,W186&lt;75),0.2,0)+IF(AND(V186&gt;=40,V186&lt;75,W186&gt;=75,W186&lt;120),0.15,0)+IF(AND(V186&gt;=40,V186&lt;75,W186&gt;=120),0.12,0)+IF(AND(V186&gt;=75,V186&lt;175,W186&lt;65),0.2,0)+IF(AND(V186&gt;=75,V186&lt;175,W186&gt;=65,W186&lt;110),0.15,0)+IF(AND(V186&gt;=75,V186&lt;175,W186&gt;=110),0.12,0)+IF(AND(V186&gt;=175,W186&lt;55),0.2,0)+IF(AND(V186&gt;=175,W186&gt;=55,W186&lt;95),0.15,0)+IF(AND(V186&gt;=175,W186&gt;=95),0.12,0),
IF(AF186="DoEVku",IF(AND(V186&lt;20,W186&lt;55),0.23,0)+IF(AND(V186&lt;20,W186&gt;=55,W186&lt;105),0.2,0)+IF(AND(V186&lt;20,W186&gt;=105),0.17,0)+IF(AND(V186&gt;=20,V186&lt;40,W186&lt;45),0.23,0)+IF(AND(V186&gt;=20,V186&lt;40,W186&gt;=45,W186&lt;95),0.2,0)+IF(AND(V186&gt;=20,V186&lt;40,W186&gt;=95,W186&lt;=150),0.17,0)+IF(AND(V186&gt;=20,V186&lt;40,W186&gt;=150),0.12,0)+IF(AND(V186&gt;=40,V186&lt;75,W186&lt;35),0.23,0)+IF(AND(V186&gt;=40,V186&lt;75,W186&gt;=35,W186&lt;75),0.2,0)+IF(AND(V186&gt;=40,V186&lt;75,W186&gt;=75,W186&lt;120),0.17,0)+IF(AND(V186&gt;=40,V186&lt;75,W186&gt;=120),0.12,0)+IF(AND(V186&gt;=75,V186&lt;175,W186&lt;35),0.23,0)+IF(AND(V186&gt;=75,V186&lt;=175,W186&gt;=35,W186&lt;65),0.2,0)+IF(AND(V186&gt;=75,V186&lt;=175,W186&gt;=65,W186&lt;110),0.17,0)+IF(AND(V186&gt;=75,V186&lt;=175,W186&gt;=110),0.12,0)+IF(AND(V186&gt;175,W186&lt;25),0.23,0)+IF(AND(V186&gt;175,W186&gt;=25,W186&lt;55),0.2,0)+IF(AND(V186&gt;175,W186&gt;=55,W186&lt;95),0.17,0)+IF(AND(V186&gt;175,W186&gt;=95),0.12,0),
IF(AF186="DoEVs1",IF(AND(V186&lt;20,W186&lt;55),0.3,0)+IF(AND(V186&lt;20,W186&gt;=55,W186&lt;105),0.23,0)+IF(AND(V186&lt;20,W186&gt;=105),0.17,0)+IF(AND(V186&gt;=20,V186&lt;40,W186&lt;45),0.3,0)+IF(AND(V186&gt;=20,V186&lt;40,W186&gt;=45,W186&lt;95),0.23,0)+IF(AND(V186&gt;=20,V186&lt;40,W186&gt;=95,W186&lt;=150),0.17,0)+IF(AND(V186&gt;=20,V186&lt;40,W186&gt;=150),0.12,0)+IF(AND(V186&gt;=40,V186&lt;75,W186&lt;35),0.3,0)+IF(AND(V186&gt;=40,V186&lt;75,W186&gt;=35,W186&lt;75),0.23,0)+IF(AND(V186&gt;=40,V186&lt;75,W186&gt;=75,W186&lt;120),0.17,0)+IF(AND(V186&gt;=40,V186&lt;75,W186&gt;=120),0.12,0)+IF(AND(V186&gt;=75,V186&lt;175,W186&lt;35),0.3,0)+IF(AND(V186&gt;=75,V186&lt;=175,W186&gt;=35,W186&lt;65),0.23,0)+IF(AND(V186&gt;=75,V186&lt;=175,W186&gt;=65,W186&lt;110),0.17,0)+IF(AND(V186&gt;=75,V186&lt;=175,W186&gt;=110),0.12,0)+IF(AND(V186&gt;175,W186&lt;25),0.3,0)+IF(AND(V186&gt;175,W186&gt;=25,W186&lt;55),0.23,0)+IF(AND(V186&gt;175,W186&gt;=55,W186&lt;95),0.17,0)+IF(AND(V186&gt;175,W186&gt;=95),0.12,0),
IF(AF186="DoEVsu",IF(AND(V186&lt;20,W186&lt;55),0.3,0)+IF(AND(V186&lt;20,W186&gt;=55,W186&lt;105),0.23,0)+IF(AND(V186&lt;20,W186&gt;=105),0.17,0)+IF(AND(V186&gt;=20,V186&lt;40,W186&lt;45),0.3,0)+IF(AND(V186&gt;=20,V186&lt;40,W186&gt;=45,W186&lt;95),0.23,0)+IF(AND(V186&gt;=20,V186&lt;40,W186&gt;=95,W186&lt;=250),0.17,0)+IF(AND(V186&gt;=20,V186&lt;40,W186&gt;=250),0.12,0)+IF(AND(V186&gt;=40,V186&lt;75,W186&lt;35),0.3,0)+IF(AND(V186&gt;=40,V186&lt;75,W186&gt;=35,W186&lt;75),0.23,0)+IF(AND(V186&gt;=40,V186&lt;75,W186&gt;=75,W186&lt;120),0.17,0)+IF(AND(V186&gt;=40,V186&lt;75,W186&gt;=120),0.12,0)+IF(AND(V186&gt;=75,V186&lt;175,W186&lt;35),0.3,0)+IF(AND(V186&gt;=75,V186&lt;=175,W186&gt;=35,W186&lt;65),0.23,0)+IF(AND(V186&gt;=75,V186&lt;=175,W186&gt;=65,W186&lt;110),0.17,0)+IF(AND(V186&gt;=75,V186&lt;=175,W186&gt;=110),0.12,0)+IF(AND(V186&gt;175,W186&lt;25),0.3,0)+IF(AND(V186&gt;175,W186&gt;=25,W186&lt;55),0.23,0)+IF(AND(V186&gt;175,W186&gt;=55,W186&lt;95),0.17,0)+IF(AND(V186&gt;175,W186&gt;=95),0.12,0),
IF(AF186="DoEVni",IF(AND(V186&lt;20,W186&lt;55),0.3,0)+IF(AND(V186&lt;20,W186&gt;=55,W186&lt;105),0.23,0)+IF(AND(V186&lt;20,W186&gt;=105),0.17,0)+IF(AND(V186&gt;=20,V186&lt;40,W186&lt;45),0.3,0)+IF(AND(V186&gt;=20,V186&lt;40,W186&gt;=45,W186&lt;95),0.23,0)+IF(AND(V186&gt;=20,V186&lt;40,W186&gt;=95,W186&lt;=200),0.17,0)+IF(AND(V186&gt;=20,V186&lt;40,W186&gt;=200),0.12,0)+IF(AND(V186&gt;=40,V186&lt;75,W186&lt;35),0.3,0)+IF(AND(V186&gt;=40,V186&lt;75,W186&gt;=35,W186&lt;75),0.23,0)+IF(AND(V186&gt;=40,V186&lt;75,W186&gt;=75,W186&lt;120),0.17,0)+IF(AND(V186&gt;=40,V186&lt;75,W186&gt;=120),0.12,0)+IF(AND(V186&gt;=75,V186&lt;175,W186&lt;35),0.3,0)+IF(AND(V186&gt;=75,V186&lt;=175,W186&gt;=35,W186&lt;65),0.23,0)+IF(AND(V186&gt;=75,V186&lt;=175,W186&gt;=65,W186&lt;110),0.17,0)+IF(AND(V186&gt;=75,V186&lt;=175,W186&gt;=110),0.12,0)+IF(AND(V186&gt;175,W186&lt;25),0.3,0)+IF(AND(V186&gt;175,W186&gt;=25,W186&lt;55),0.23,0)+IF(AND(V186&gt;175,W186&gt;=55,W186&lt;95),0.17,0)+IF(AND(V186&gt;175,W186&gt;=95),0.12,0),
IF(AF186="DoEVLo",IF(AND(V186&lt;20,W186&lt;55),0.25,0)+IF(AND(V186&lt;20,W186&gt;=55,W186&lt;105),0.2,0)+IF(AND(V186&lt;20,W186&gt;=105),0.15,0)+IF(AND(V186&gt;=20,V186&lt;40,W186&lt;45),0.25,0)+IF(AND(V186&gt;=20,V186&lt;40,W186&gt;=45,W186&lt;95),0.2,0)+IF(AND(V186&gt;=20,V186&lt;40,W186&gt;=95),0.15,0)+IF(AND(V186&gt;=40,V186&lt;75,W186&lt;35),0.25,0)+IF(AND(V186&gt;=40,V186&lt;75,W186&gt;=35,W186&lt;75),0.2,0)+IF(AND(V186&gt;=40,V186&lt;75,W186&gt;=75,W186&lt;120),0.15,0)+IF(AND(V186&gt;=40,V186&lt;75,W186&gt;=120),0.1,0)+IF(AND(V186&gt;=75,V186&lt;175,W186&lt;35),0.25,0)+IF(AND(V186&gt;=75,V186&lt;=175,W186&gt;=35,W186&lt;65),0.2,0)+IF(AND(V186&gt;=75,V186&lt;=175,W186&gt;=65,W186&lt;110),0.15,0)+IF(AND(V186&gt;=75,V186&lt;=175,W186&gt;=110),0.1,0)+IF(AND(V186&gt;175,W186&lt;25),0.25,0)+IF(AND(V186&gt;175,W186&gt;=25,W186&lt;55),0.2,0)+IF(AND(V186&gt;175,W186&gt;=55,W186&lt;95),0.15,0)+IF(AND(V186&gt;175,W186&gt;=95),0.1,0))))))))))))))))</f>
        <v>0.2</v>
      </c>
      <c r="Y186" s="30">
        <f>IF(AG186="None",0,IF(AG186="Fix5",0.05,IF(AG186="Fix3.75",0.0375,IF(AG186="Fix10",0.1,IF(AG186="Fix3",0.03,0)))))</f>
        <v>0</v>
      </c>
      <c r="Z186" s="59">
        <f>T186-AA186-AB186</f>
        <v>36</v>
      </c>
      <c r="AA186" s="60">
        <f>IF(AD186="EUR",((T186-R186)*X186)*U186+(R186*X186),(T186*X186))</f>
        <v>9</v>
      </c>
      <c r="AB186" s="36">
        <f>IF(AD186="EUR",((T186-R186)*Y186)*U186+(R186*Y186),(T186*Y186))</f>
        <v>0</v>
      </c>
      <c r="AC186" s="37" t="b">
        <v>1</v>
      </c>
      <c r="AD186" s="61" t="s">
        <v>50</v>
      </c>
      <c r="AE186" s="61"/>
      <c r="AF186" s="37" t="str">
        <f t="array" ref="AF186">INDEX('Deal Info'!D:D, MATCH(A186,'Deal Info'!A:A, 0))</f>
        <v>DoEV2017</v>
      </c>
      <c r="AG186" s="38" t="str">
        <f t="array" ref="AG186">INDEX('Deal Info'!G:G, MATCH(A186,'Deal Info'!A:A, 0))</f>
        <v>None</v>
      </c>
    </row>
    <row r="187" spans="1:33" ht="14.25" hidden="1" x14ac:dyDescent="0.2">
      <c r="A187" s="18" t="str">
        <f t="array" ref="A187">IF(G187='Room Info'!$B$1, INDEX('Room Info'!$A$2:$A2446, MATCH(B187,'Room Info'!$B$2:$B2446, 0)),IF(G187='Room Info'!$C$1, INDEX('Room Info'!$A$2:$A2446, MATCH(B187,'Room Info'!$C$2:$C2446, 0)),IF(G187='Room Info'!$D$1, INDEX('Room Info'!$A$2:$A2446, MATCH(B187,'Room Info'!$D$2:$D2446, 0)),IF(G187='Room Info'!$E$1, INDEX('Room Info'!$A$2:$A2446, MATCH(B187,'Room Info'!$E$2:$E2446, 0)),IF(G187='Room Info'!$F$1, INDEX('Room Info'!$A$2:$A2446, MATCH(B187,'Room Info'!$F$2:$F2446, 0)),IF(G187='Room Info'!$H$1, INDEX('Room Info'!$A$2:$A2446, MATCH(B187,'Room Info'!$H$2:$H2446, 0)),IF(G187='Room Info'!$G$1, INDEX('Room Info'!$A$2:$A2446, MATCH(B187,'Room Info'!$G$2:$G2446, 0)))))))))</f>
        <v>Fedorovi4</v>
      </c>
      <c r="B187" s="54" t="s">
        <v>96</v>
      </c>
      <c r="C187" s="46">
        <v>44641</v>
      </c>
      <c r="D187" s="46">
        <v>44671</v>
      </c>
      <c r="E187" s="47">
        <v>44652</v>
      </c>
      <c r="F187" s="45" t="s">
        <v>34</v>
      </c>
      <c r="G187" s="54" t="s">
        <v>35</v>
      </c>
      <c r="H187" s="49" t="s">
        <v>46</v>
      </c>
      <c r="I187" s="49" t="s">
        <v>37</v>
      </c>
      <c r="J187" s="50">
        <v>25</v>
      </c>
      <c r="K187" s="51">
        <v>99</v>
      </c>
      <c r="L187" s="52">
        <v>-100</v>
      </c>
      <c r="M187" s="53">
        <v>48</v>
      </c>
      <c r="N187" s="28">
        <f>K187*J187</f>
        <v>2475</v>
      </c>
      <c r="O187" s="54">
        <v>-428</v>
      </c>
      <c r="P187" s="29">
        <v>-4.323232323</v>
      </c>
      <c r="Q187" s="55"/>
      <c r="R187" s="31">
        <f>M187+Q187</f>
        <v>48</v>
      </c>
      <c r="S187" s="56">
        <v>-170</v>
      </c>
      <c r="T187" s="32">
        <f>R187+S187+IF(F187="Without EV deal",L187,0)</f>
        <v>-122</v>
      </c>
      <c r="U187" s="33">
        <v>1</v>
      </c>
      <c r="V187" s="69">
        <v>25</v>
      </c>
      <c r="W187" s="58">
        <v>1.34</v>
      </c>
      <c r="X187" s="30">
        <f>IF(AF187="DoEV",IF(AND(V187&lt;20,W187&lt;55),0.3,0)+IF(AND(V187&lt;20,W187&gt;=55,W187&lt;105),0.23,0)+IF(AND(V187&lt;20,W187&gt;=105),0.17,0)+IF(AND(V187&gt;=20,V187&lt;40,W187&lt;45),0.3,0)+IF(AND(V187&gt;=20,V187&lt;40,W187&gt;=45,W187&lt;95),0.23,0)+IF(AND(V187&gt;=20,V187&lt;40,W187&gt;=95),0.17,0)+IF(AND(V187&gt;=40,V187&lt;75,W187&lt;35),0.3,0)+IF(AND(V187&gt;=40,V187&lt;75,W187&gt;=35,W187&lt;75),0.23,0)+IF(AND(V187&gt;=40,V187&lt;75,W187&gt;=75,W187&lt;120),0.17,0)+IF(AND(V187&gt;=40,V187&lt;75,W187&gt;=120),0.12,0)+IF(AND(V187&gt;=75,V187&lt;175,W187&lt;35),0.3,0)+IF(AND(V187&gt;=75,V187&lt;=175,W187&gt;=35,W187&lt;65),0.23,0)+IF(AND(V187&gt;=75,V187&lt;=175,W187&gt;=65,W187&lt;110),0.17,0)+IF(AND(V187&gt;=75,V187&lt;=175,W187&gt;=110),0.12,0)+IF(AND(V187&gt;175,W187&lt;25),0.3,0)+IF(AND(V187&gt;175,W187&gt;=25,W187&lt;55),0.23,0)+IF(AND(V187&gt;175,W187&gt;=55,W187&lt;95),0.17,0)+IF(AND(V187&gt;175,W187&gt;=95),0.12,0),
IF(AF187="Fix15",0.15,
IF(AF187="Fix11.25",0.1125,
IF(AF187="Fix10",0.1,
IF(AF187="Fix9",0.09,
IF(AF187="DoEV2017",IF(AND(W187&lt;74),0.2,0)+IF(AND(W187&gt;=74),0.17,0),
IF(AF187="SF",IF(AND(V187&lt;20,W187&lt;89),0.3,0)+IF(AND(V187&lt;20,W187&gt;=89),0.25,0)+IF(AND(V187&gt;=20,V187&lt;40,W187&lt;74),0.3,0)+IF(AND(V187&gt;=20,V187&lt;40,W187&gt;=75),0.22,0)+IF(AND(V187&gt;=40,V187&lt;75,W187&lt;75),0.26,0)+IF(AND(V187&gt;=40,V187&lt;75,W187&gt;=75),0.22,0)+IF(V187&gt;=75,0.22,0),
IF(AF187="DoEVold",IF(AND(V187&lt;40,W187&lt;35),0.35,0)+IF(AND(V187&lt;40,W187&gt;=35,W187&lt;75),0.25,0)+IF(AND(V187&lt;40,W187&gt;=75),0.17,0)+IF(AND(V187&gt;=40,V187&lt;75,W187&lt;25),0.35,0)+IF(AND(V187&gt;=40,V187&lt;75,W187&gt;=25,W187&lt;65),0.25,0)+IF(AND(V187&gt;=40,V187&lt;75,W187&gt;=65,W187&lt;100),0.17,0)+IF(AND(V187&gt;=40,V187&lt;75,W187&gt;=100),0.1,0)+IF(AND(V187&gt;=75,W187&lt;25),0.35,0)+IF(AND(V187&gt;=75,W187&gt;=25,W187&lt;60),0.25,0)+IF(AND(V187&gt;=75,W187&gt;=60,W187&lt;95),0.17,0)+IF(AND(V187&gt;=75,W187&gt;=95),0.1,0),
IF(AF187="DoEVold15",IF(AND(V187&lt;=40,W187&lt;35),0.35,0)+IF(AND(V187&lt;=40,W187&gt;=35,W187&lt;75),0.25,0)+IF(AND(V187&lt;=40,W187&gt;=75,W187&lt;120),0.17,0)+IF(AND(V187&lt;=40,W187&gt;=120),0.15,0)+IF(AND(V187&gt;40,V187&lt;75,W187&lt;25),0.35,0)+IF(AND(V187&gt;=40,V187&lt;75,W187&gt;=25,W187&lt;65),0.25,0)+IF(AND(V187&gt;=40,V187&lt;75,W187&gt;=65,W187&lt;100),0.17,0)+IF(AND(V187&gt;=40,V187&lt;75,W187&gt;=100),0.1,0)+IF(AND(V187&gt;=75,W187&lt;25),0.35,0)+IF(AND(V187&gt;=75,W187&gt;=25,W187&lt;60),0.25,0)+IF(AND(V187&gt;=75,W187&gt;=60,W187&lt;95),0.17,0)+IF(AND(V187&gt;=75,W187&gt;=95),0.1,0),
IF(AF187="DoEVba",IF(AND(V187&lt;20,W187&lt;105),0.2,0)+IF(AND(V187&lt;20,W187&gt;=105),0.15,0)+IF(AND(V187&gt;=20,V187&lt;40,W187&lt;95),0.2,0)+IF(AND(V187&gt;=20,V187&lt;40,W187&gt;=95,W187&lt;150),0.15,0)+IF(AND(V187&gt;=20,V187&lt;40,W187&gt;=150),0.12,0)+IF(AND(V187&gt;=40,V187&lt;75,W187&lt;75),0.2,0)+IF(AND(V187&gt;=40,V187&lt;75,W187&gt;=75,W187&lt;120),0.15,0)+IF(AND(V187&gt;=40,V187&lt;75,W187&gt;=120),0.12,0)+IF(AND(V187&gt;=75,V187&lt;175,W187&lt;65),0.2,0)+IF(AND(V187&gt;=75,V187&lt;175,W187&gt;=65,W187&lt;110),0.15,0)+IF(AND(V187&gt;=75,V187&lt;175,W187&gt;=110),0.12,0)+IF(AND(V187&gt;=175,W187&lt;55),0.2,0)+IF(AND(V187&gt;=175,W187&gt;=55,W187&lt;95),0.15,0)+IF(AND(V187&gt;=175,W187&gt;=95),0.12,0),
IF(AF187="DoEVku",IF(AND(V187&lt;20,W187&lt;55),0.23,0)+IF(AND(V187&lt;20,W187&gt;=55,W187&lt;105),0.2,0)+IF(AND(V187&lt;20,W187&gt;=105),0.17,0)+IF(AND(V187&gt;=20,V187&lt;40,W187&lt;45),0.23,0)+IF(AND(V187&gt;=20,V187&lt;40,W187&gt;=45,W187&lt;95),0.2,0)+IF(AND(V187&gt;=20,V187&lt;40,W187&gt;=95,W187&lt;=150),0.17,0)+IF(AND(V187&gt;=20,V187&lt;40,W187&gt;=150),0.12,0)+IF(AND(V187&gt;=40,V187&lt;75,W187&lt;35),0.23,0)+IF(AND(V187&gt;=40,V187&lt;75,W187&gt;=35,W187&lt;75),0.2,0)+IF(AND(V187&gt;=40,V187&lt;75,W187&gt;=75,W187&lt;120),0.17,0)+IF(AND(V187&gt;=40,V187&lt;75,W187&gt;=120),0.12,0)+IF(AND(V187&gt;=75,V187&lt;175,W187&lt;35),0.23,0)+IF(AND(V187&gt;=75,V187&lt;=175,W187&gt;=35,W187&lt;65),0.2,0)+IF(AND(V187&gt;=75,V187&lt;=175,W187&gt;=65,W187&lt;110),0.17,0)+IF(AND(V187&gt;=75,V187&lt;=175,W187&gt;=110),0.12,0)+IF(AND(V187&gt;175,W187&lt;25),0.23,0)+IF(AND(V187&gt;175,W187&gt;=25,W187&lt;55),0.2,0)+IF(AND(V187&gt;175,W187&gt;=55,W187&lt;95),0.17,0)+IF(AND(V187&gt;175,W187&gt;=95),0.12,0),
IF(AF187="DoEVs1",IF(AND(V187&lt;20,W187&lt;55),0.3,0)+IF(AND(V187&lt;20,W187&gt;=55,W187&lt;105),0.23,0)+IF(AND(V187&lt;20,W187&gt;=105),0.17,0)+IF(AND(V187&gt;=20,V187&lt;40,W187&lt;45),0.3,0)+IF(AND(V187&gt;=20,V187&lt;40,W187&gt;=45,W187&lt;95),0.23,0)+IF(AND(V187&gt;=20,V187&lt;40,W187&gt;=95,W187&lt;=150),0.17,0)+IF(AND(V187&gt;=20,V187&lt;40,W187&gt;=150),0.12,0)+IF(AND(V187&gt;=40,V187&lt;75,W187&lt;35),0.3,0)+IF(AND(V187&gt;=40,V187&lt;75,W187&gt;=35,W187&lt;75),0.23,0)+IF(AND(V187&gt;=40,V187&lt;75,W187&gt;=75,W187&lt;120),0.17,0)+IF(AND(V187&gt;=40,V187&lt;75,W187&gt;=120),0.12,0)+IF(AND(V187&gt;=75,V187&lt;175,W187&lt;35),0.3,0)+IF(AND(V187&gt;=75,V187&lt;=175,W187&gt;=35,W187&lt;65),0.23,0)+IF(AND(V187&gt;=75,V187&lt;=175,W187&gt;=65,W187&lt;110),0.17,0)+IF(AND(V187&gt;=75,V187&lt;=175,W187&gt;=110),0.12,0)+IF(AND(V187&gt;175,W187&lt;25),0.3,0)+IF(AND(V187&gt;175,W187&gt;=25,W187&lt;55),0.23,0)+IF(AND(V187&gt;175,W187&gt;=55,W187&lt;95),0.17,0)+IF(AND(V187&gt;175,W187&gt;=95),0.12,0),
IF(AF187="DoEVsu",IF(AND(V187&lt;20,W187&lt;55),0.3,0)+IF(AND(V187&lt;20,W187&gt;=55,W187&lt;105),0.23,0)+IF(AND(V187&lt;20,W187&gt;=105),0.17,0)+IF(AND(V187&gt;=20,V187&lt;40,W187&lt;45),0.3,0)+IF(AND(V187&gt;=20,V187&lt;40,W187&gt;=45,W187&lt;95),0.23,0)+IF(AND(V187&gt;=20,V187&lt;40,W187&gt;=95,W187&lt;=250),0.17,0)+IF(AND(V187&gt;=20,V187&lt;40,W187&gt;=250),0.12,0)+IF(AND(V187&gt;=40,V187&lt;75,W187&lt;35),0.3,0)+IF(AND(V187&gt;=40,V187&lt;75,W187&gt;=35,W187&lt;75),0.23,0)+IF(AND(V187&gt;=40,V187&lt;75,W187&gt;=75,W187&lt;120),0.17,0)+IF(AND(V187&gt;=40,V187&lt;75,W187&gt;=120),0.12,0)+IF(AND(V187&gt;=75,V187&lt;175,W187&lt;35),0.3,0)+IF(AND(V187&gt;=75,V187&lt;=175,W187&gt;=35,W187&lt;65),0.23,0)+IF(AND(V187&gt;=75,V187&lt;=175,W187&gt;=65,W187&lt;110),0.17,0)+IF(AND(V187&gt;=75,V187&lt;=175,W187&gt;=110),0.12,0)+IF(AND(V187&gt;175,W187&lt;25),0.3,0)+IF(AND(V187&gt;175,W187&gt;=25,W187&lt;55),0.23,0)+IF(AND(V187&gt;175,W187&gt;=55,W187&lt;95),0.17,0)+IF(AND(V187&gt;175,W187&gt;=95),0.12,0),
IF(AF187="DoEVni",IF(AND(V187&lt;20,W187&lt;55),0.3,0)+IF(AND(V187&lt;20,W187&gt;=55,W187&lt;105),0.23,0)+IF(AND(V187&lt;20,W187&gt;=105),0.17,0)+IF(AND(V187&gt;=20,V187&lt;40,W187&lt;45),0.3,0)+IF(AND(V187&gt;=20,V187&lt;40,W187&gt;=45,W187&lt;95),0.23,0)+IF(AND(V187&gt;=20,V187&lt;40,W187&gt;=95,W187&lt;=200),0.17,0)+IF(AND(V187&gt;=20,V187&lt;40,W187&gt;=200),0.12,0)+IF(AND(V187&gt;=40,V187&lt;75,W187&lt;35),0.3,0)+IF(AND(V187&gt;=40,V187&lt;75,W187&gt;=35,W187&lt;75),0.23,0)+IF(AND(V187&gt;=40,V187&lt;75,W187&gt;=75,W187&lt;120),0.17,0)+IF(AND(V187&gt;=40,V187&lt;75,W187&gt;=120),0.12,0)+IF(AND(V187&gt;=75,V187&lt;175,W187&lt;35),0.3,0)+IF(AND(V187&gt;=75,V187&lt;=175,W187&gt;=35,W187&lt;65),0.23,0)+IF(AND(V187&gt;=75,V187&lt;=175,W187&gt;=65,W187&lt;110),0.17,0)+IF(AND(V187&gt;=75,V187&lt;=175,W187&gt;=110),0.12,0)+IF(AND(V187&gt;175,W187&lt;25),0.3,0)+IF(AND(V187&gt;175,W187&gt;=25,W187&lt;55),0.23,0)+IF(AND(V187&gt;175,W187&gt;=55,W187&lt;95),0.17,0)+IF(AND(V187&gt;175,W187&gt;=95),0.12,0),
IF(AF187="DoEVLo",IF(AND(V187&lt;20,W187&lt;55),0.25,0)+IF(AND(V187&lt;20,W187&gt;=55,W187&lt;105),0.2,0)+IF(AND(V187&lt;20,W187&gt;=105),0.15,0)+IF(AND(V187&gt;=20,V187&lt;40,W187&lt;45),0.25,0)+IF(AND(V187&gt;=20,V187&lt;40,W187&gt;=45,W187&lt;95),0.2,0)+IF(AND(V187&gt;=20,V187&lt;40,W187&gt;=95),0.15,0)+IF(AND(V187&gt;=40,V187&lt;75,W187&lt;35),0.25,0)+IF(AND(V187&gt;=40,V187&lt;75,W187&gt;=35,W187&lt;75),0.2,0)+IF(AND(V187&gt;=40,V187&lt;75,W187&gt;=75,W187&lt;120),0.15,0)+IF(AND(V187&gt;=40,V187&lt;75,W187&gt;=120),0.1,0)+IF(AND(V187&gt;=75,V187&lt;175,W187&lt;35),0.25,0)+IF(AND(V187&gt;=75,V187&lt;=175,W187&gt;=35,W187&lt;65),0.2,0)+IF(AND(V187&gt;=75,V187&lt;=175,W187&gt;=65,W187&lt;110),0.15,0)+IF(AND(V187&gt;=75,V187&lt;=175,W187&gt;=110),0.1,0)+IF(AND(V187&gt;175,W187&lt;25),0.25,0)+IF(AND(V187&gt;175,W187&gt;=25,W187&lt;55),0.2,0)+IF(AND(V187&gt;175,W187&gt;=55,W187&lt;95),0.15,0)+IF(AND(V187&gt;175,W187&gt;=95),0.1,0))))))))))))))))</f>
        <v>0.3</v>
      </c>
      <c r="Y187" s="30">
        <f>IF(AG187="None",0,IF(AG187="Fix5",0.05,IF(AG187="Fix3.75",0.0375,IF(AG187="Fix10",0.1,IF(AG187="Fix3",0.03,0)))))</f>
        <v>0</v>
      </c>
      <c r="Z187" s="35">
        <f>T187-AA187-AB187</f>
        <v>-85.4</v>
      </c>
      <c r="AA187" s="29">
        <f>IF(AD187="EUR",((T187-R187)*X187)*U187+(R187*X187),(T187*X187))</f>
        <v>-36.6</v>
      </c>
      <c r="AB187" s="36">
        <f>IF(AD187="EUR",((T187-R187)*Y187)*U187+(R187*Y187),(T187*Y187))</f>
        <v>0</v>
      </c>
      <c r="AC187" s="37" t="b">
        <v>1</v>
      </c>
      <c r="AD187" s="37" t="s">
        <v>38</v>
      </c>
      <c r="AE187" s="37" t="s">
        <v>38</v>
      </c>
      <c r="AF187" s="37" t="str">
        <f t="array" ref="AF187">INDEX('Deal Info'!D:D, MATCH(A187,'Deal Info'!A:A, 0))</f>
        <v>SF</v>
      </c>
      <c r="AG187" s="38" t="str">
        <f t="array" ref="AG187">INDEX('Deal Info'!G:G, MATCH(A187,'Deal Info'!A:A, 0))</f>
        <v>None</v>
      </c>
    </row>
    <row r="188" spans="1:33" ht="14.25" hidden="1" x14ac:dyDescent="0.2">
      <c r="A188" s="18" t="str">
        <f t="array" ref="A188">IF(G188='Room Info'!$B$1, INDEX('Room Info'!$A$2:$A2446, MATCH(B188,'Room Info'!$B$2:$B2446, 0)),IF(G188='Room Info'!$C$1, INDEX('Room Info'!$A$2:$A2446, MATCH(B188,'Room Info'!$C$2:$C2446, 0)),IF(G188='Room Info'!$D$1, INDEX('Room Info'!$A$2:$A2446, MATCH(B188,'Room Info'!$D$2:$D2446, 0)),IF(G188='Room Info'!$E$1, INDEX('Room Info'!$A$2:$A2446, MATCH(B188,'Room Info'!$E$2:$E2446, 0)),IF(G188='Room Info'!$F$1, INDEX('Room Info'!$A$2:$A2446, MATCH(B188,'Room Info'!$F$2:$F2446, 0)),IF(G188='Room Info'!$H$1, INDEX('Room Info'!$A$2:$A2446, MATCH(B188,'Room Info'!$H$2:$H2446, 0)),IF(G188='Room Info'!$G$1, INDEX('Room Info'!$A$2:$A2446, MATCH(B188,'Room Info'!$G$2:$G2446, 0)))))))))</f>
        <v>Fedorovi4</v>
      </c>
      <c r="B188" s="54" t="s">
        <v>96</v>
      </c>
      <c r="C188" s="46">
        <v>44672</v>
      </c>
      <c r="D188" s="46">
        <v>44701</v>
      </c>
      <c r="E188" s="47">
        <v>44682</v>
      </c>
      <c r="F188" s="45" t="s">
        <v>34</v>
      </c>
      <c r="G188" s="54" t="s">
        <v>35</v>
      </c>
      <c r="H188" s="49" t="s">
        <v>46</v>
      </c>
      <c r="I188" s="49" t="s">
        <v>37</v>
      </c>
      <c r="J188" s="50">
        <v>25</v>
      </c>
      <c r="K188" s="51">
        <v>58</v>
      </c>
      <c r="L188" s="52">
        <v>0</v>
      </c>
      <c r="M188" s="53">
        <v>1</v>
      </c>
      <c r="N188" s="28">
        <f>K188*J188</f>
        <v>1450</v>
      </c>
      <c r="O188" s="54">
        <v>6005</v>
      </c>
      <c r="P188" s="29">
        <v>103.53448280000001</v>
      </c>
      <c r="Q188" s="55"/>
      <c r="R188" s="31">
        <f>M188+Q188</f>
        <v>1</v>
      </c>
      <c r="S188" s="56">
        <v>188</v>
      </c>
      <c r="T188" s="32">
        <f>R188+S188+IF(F188="Without EV deal",L188,0)</f>
        <v>189</v>
      </c>
      <c r="U188" s="33">
        <v>1</v>
      </c>
      <c r="V188" s="69">
        <v>25</v>
      </c>
      <c r="W188" s="58">
        <v>1.34</v>
      </c>
      <c r="X188" s="30">
        <f>IF(AF188="DoEV",IF(AND(V188&lt;20,W188&lt;55),0.3,0)+IF(AND(V188&lt;20,W188&gt;=55,W188&lt;105),0.23,0)+IF(AND(V188&lt;20,W188&gt;=105),0.17,0)+IF(AND(V188&gt;=20,V188&lt;40,W188&lt;45),0.3,0)+IF(AND(V188&gt;=20,V188&lt;40,W188&gt;=45,W188&lt;95),0.23,0)+IF(AND(V188&gt;=20,V188&lt;40,W188&gt;=95),0.17,0)+IF(AND(V188&gt;=40,V188&lt;75,W188&lt;35),0.3,0)+IF(AND(V188&gt;=40,V188&lt;75,W188&gt;=35,W188&lt;75),0.23,0)+IF(AND(V188&gt;=40,V188&lt;75,W188&gt;=75,W188&lt;120),0.17,0)+IF(AND(V188&gt;=40,V188&lt;75,W188&gt;=120),0.12,0)+IF(AND(V188&gt;=75,V188&lt;175,W188&lt;35),0.3,0)+IF(AND(V188&gt;=75,V188&lt;=175,W188&gt;=35,W188&lt;65),0.23,0)+IF(AND(V188&gt;=75,V188&lt;=175,W188&gt;=65,W188&lt;110),0.17,0)+IF(AND(V188&gt;=75,V188&lt;=175,W188&gt;=110),0.12,0)+IF(AND(V188&gt;175,W188&lt;25),0.3,0)+IF(AND(V188&gt;175,W188&gt;=25,W188&lt;55),0.23,0)+IF(AND(V188&gt;175,W188&gt;=55,W188&lt;95),0.17,0)+IF(AND(V188&gt;175,W188&gt;=95),0.12,0),
IF(AF188="Fix15",0.15,
IF(AF188="Fix11.25",0.1125,
IF(AF188="Fix10",0.1,
IF(AF188="Fix9",0.09,
IF(AF188="DoEV2017",IF(AND(W188&lt;74),0.2,0)+IF(AND(W188&gt;=74),0.17,0),
IF(AF188="SF",IF(AND(V188&lt;20,W188&lt;89),0.3,0)+IF(AND(V188&lt;20,W188&gt;=89),0.25,0)+IF(AND(V188&gt;=20,V188&lt;40,W188&lt;74),0.3,0)+IF(AND(V188&gt;=20,V188&lt;40,W188&gt;=75),0.22,0)+IF(AND(V188&gt;=40,V188&lt;75,W188&lt;75),0.26,0)+IF(AND(V188&gt;=40,V188&lt;75,W188&gt;=75),0.22,0)+IF(V188&gt;=75,0.22,0),
IF(AF188="DoEVold",IF(AND(V188&lt;40,W188&lt;35),0.35,0)+IF(AND(V188&lt;40,W188&gt;=35,W188&lt;75),0.25,0)+IF(AND(V188&lt;40,W188&gt;=75),0.17,0)+IF(AND(V188&gt;=40,V188&lt;75,W188&lt;25),0.35,0)+IF(AND(V188&gt;=40,V188&lt;75,W188&gt;=25,W188&lt;65),0.25,0)+IF(AND(V188&gt;=40,V188&lt;75,W188&gt;=65,W188&lt;100),0.17,0)+IF(AND(V188&gt;=40,V188&lt;75,W188&gt;=100),0.1,0)+IF(AND(V188&gt;=75,W188&lt;25),0.35,0)+IF(AND(V188&gt;=75,W188&gt;=25,W188&lt;60),0.25,0)+IF(AND(V188&gt;=75,W188&gt;=60,W188&lt;95),0.17,0)+IF(AND(V188&gt;=75,W188&gt;=95),0.1,0),
IF(AF188="DoEVold15",IF(AND(V188&lt;=40,W188&lt;35),0.35,0)+IF(AND(V188&lt;=40,W188&gt;=35,W188&lt;75),0.25,0)+IF(AND(V188&lt;=40,W188&gt;=75,W188&lt;120),0.17,0)+IF(AND(V188&lt;=40,W188&gt;=120),0.15,0)+IF(AND(V188&gt;40,V188&lt;75,W188&lt;25),0.35,0)+IF(AND(V188&gt;=40,V188&lt;75,W188&gt;=25,W188&lt;65),0.25,0)+IF(AND(V188&gt;=40,V188&lt;75,W188&gt;=65,W188&lt;100),0.17,0)+IF(AND(V188&gt;=40,V188&lt;75,W188&gt;=100),0.1,0)+IF(AND(V188&gt;=75,W188&lt;25),0.35,0)+IF(AND(V188&gt;=75,W188&gt;=25,W188&lt;60),0.25,0)+IF(AND(V188&gt;=75,W188&gt;=60,W188&lt;95),0.17,0)+IF(AND(V188&gt;=75,W188&gt;=95),0.1,0),
IF(AF188="DoEVba",IF(AND(V188&lt;20,W188&lt;105),0.2,0)+IF(AND(V188&lt;20,W188&gt;=105),0.15,0)+IF(AND(V188&gt;=20,V188&lt;40,W188&lt;95),0.2,0)+IF(AND(V188&gt;=20,V188&lt;40,W188&gt;=95,W188&lt;150),0.15,0)+IF(AND(V188&gt;=20,V188&lt;40,W188&gt;=150),0.12,0)+IF(AND(V188&gt;=40,V188&lt;75,W188&lt;75),0.2,0)+IF(AND(V188&gt;=40,V188&lt;75,W188&gt;=75,W188&lt;120),0.15,0)+IF(AND(V188&gt;=40,V188&lt;75,W188&gt;=120),0.12,0)+IF(AND(V188&gt;=75,V188&lt;175,W188&lt;65),0.2,0)+IF(AND(V188&gt;=75,V188&lt;175,W188&gt;=65,W188&lt;110),0.15,0)+IF(AND(V188&gt;=75,V188&lt;175,W188&gt;=110),0.12,0)+IF(AND(V188&gt;=175,W188&lt;55),0.2,0)+IF(AND(V188&gt;=175,W188&gt;=55,W188&lt;95),0.15,0)+IF(AND(V188&gt;=175,W188&gt;=95),0.12,0),
IF(AF188="DoEVku",IF(AND(V188&lt;20,W188&lt;55),0.23,0)+IF(AND(V188&lt;20,W188&gt;=55,W188&lt;105),0.2,0)+IF(AND(V188&lt;20,W188&gt;=105),0.17,0)+IF(AND(V188&gt;=20,V188&lt;40,W188&lt;45),0.23,0)+IF(AND(V188&gt;=20,V188&lt;40,W188&gt;=45,W188&lt;95),0.2,0)+IF(AND(V188&gt;=20,V188&lt;40,W188&gt;=95,W188&lt;=150),0.17,0)+IF(AND(V188&gt;=20,V188&lt;40,W188&gt;=150),0.12,0)+IF(AND(V188&gt;=40,V188&lt;75,W188&lt;35),0.23,0)+IF(AND(V188&gt;=40,V188&lt;75,W188&gt;=35,W188&lt;75),0.2,0)+IF(AND(V188&gt;=40,V188&lt;75,W188&gt;=75,W188&lt;120),0.17,0)+IF(AND(V188&gt;=40,V188&lt;75,W188&gt;=120),0.12,0)+IF(AND(V188&gt;=75,V188&lt;175,W188&lt;35),0.23,0)+IF(AND(V188&gt;=75,V188&lt;=175,W188&gt;=35,W188&lt;65),0.2,0)+IF(AND(V188&gt;=75,V188&lt;=175,W188&gt;=65,W188&lt;110),0.17,0)+IF(AND(V188&gt;=75,V188&lt;=175,W188&gt;=110),0.12,0)+IF(AND(V188&gt;175,W188&lt;25),0.23,0)+IF(AND(V188&gt;175,W188&gt;=25,W188&lt;55),0.2,0)+IF(AND(V188&gt;175,W188&gt;=55,W188&lt;95),0.17,0)+IF(AND(V188&gt;175,W188&gt;=95),0.12,0),
IF(AF188="DoEVs1",IF(AND(V188&lt;20,W188&lt;55),0.3,0)+IF(AND(V188&lt;20,W188&gt;=55,W188&lt;105),0.23,0)+IF(AND(V188&lt;20,W188&gt;=105),0.17,0)+IF(AND(V188&gt;=20,V188&lt;40,W188&lt;45),0.3,0)+IF(AND(V188&gt;=20,V188&lt;40,W188&gt;=45,W188&lt;95),0.23,0)+IF(AND(V188&gt;=20,V188&lt;40,W188&gt;=95,W188&lt;=150),0.17,0)+IF(AND(V188&gt;=20,V188&lt;40,W188&gt;=150),0.12,0)+IF(AND(V188&gt;=40,V188&lt;75,W188&lt;35),0.3,0)+IF(AND(V188&gt;=40,V188&lt;75,W188&gt;=35,W188&lt;75),0.23,0)+IF(AND(V188&gt;=40,V188&lt;75,W188&gt;=75,W188&lt;120),0.17,0)+IF(AND(V188&gt;=40,V188&lt;75,W188&gt;=120),0.12,0)+IF(AND(V188&gt;=75,V188&lt;175,W188&lt;35),0.3,0)+IF(AND(V188&gt;=75,V188&lt;=175,W188&gt;=35,W188&lt;65),0.23,0)+IF(AND(V188&gt;=75,V188&lt;=175,W188&gt;=65,W188&lt;110),0.17,0)+IF(AND(V188&gt;=75,V188&lt;=175,W188&gt;=110),0.12,0)+IF(AND(V188&gt;175,W188&lt;25),0.3,0)+IF(AND(V188&gt;175,W188&gt;=25,W188&lt;55),0.23,0)+IF(AND(V188&gt;175,W188&gt;=55,W188&lt;95),0.17,0)+IF(AND(V188&gt;175,W188&gt;=95),0.12,0),
IF(AF188="DoEVsu",IF(AND(V188&lt;20,W188&lt;55),0.3,0)+IF(AND(V188&lt;20,W188&gt;=55,W188&lt;105),0.23,0)+IF(AND(V188&lt;20,W188&gt;=105),0.17,0)+IF(AND(V188&gt;=20,V188&lt;40,W188&lt;45),0.3,0)+IF(AND(V188&gt;=20,V188&lt;40,W188&gt;=45,W188&lt;95),0.23,0)+IF(AND(V188&gt;=20,V188&lt;40,W188&gt;=95,W188&lt;=250),0.17,0)+IF(AND(V188&gt;=20,V188&lt;40,W188&gt;=250),0.12,0)+IF(AND(V188&gt;=40,V188&lt;75,W188&lt;35),0.3,0)+IF(AND(V188&gt;=40,V188&lt;75,W188&gt;=35,W188&lt;75),0.23,0)+IF(AND(V188&gt;=40,V188&lt;75,W188&gt;=75,W188&lt;120),0.17,0)+IF(AND(V188&gt;=40,V188&lt;75,W188&gt;=120),0.12,0)+IF(AND(V188&gt;=75,V188&lt;175,W188&lt;35),0.3,0)+IF(AND(V188&gt;=75,V188&lt;=175,W188&gt;=35,W188&lt;65),0.23,0)+IF(AND(V188&gt;=75,V188&lt;=175,W188&gt;=65,W188&lt;110),0.17,0)+IF(AND(V188&gt;=75,V188&lt;=175,W188&gt;=110),0.12,0)+IF(AND(V188&gt;175,W188&lt;25),0.3,0)+IF(AND(V188&gt;175,W188&gt;=25,W188&lt;55),0.23,0)+IF(AND(V188&gt;175,W188&gt;=55,W188&lt;95),0.17,0)+IF(AND(V188&gt;175,W188&gt;=95),0.12,0),
IF(AF188="DoEVni",IF(AND(V188&lt;20,W188&lt;55),0.3,0)+IF(AND(V188&lt;20,W188&gt;=55,W188&lt;105),0.23,0)+IF(AND(V188&lt;20,W188&gt;=105),0.17,0)+IF(AND(V188&gt;=20,V188&lt;40,W188&lt;45),0.3,0)+IF(AND(V188&gt;=20,V188&lt;40,W188&gt;=45,W188&lt;95),0.23,0)+IF(AND(V188&gt;=20,V188&lt;40,W188&gt;=95,W188&lt;=200),0.17,0)+IF(AND(V188&gt;=20,V188&lt;40,W188&gt;=200),0.12,0)+IF(AND(V188&gt;=40,V188&lt;75,W188&lt;35),0.3,0)+IF(AND(V188&gt;=40,V188&lt;75,W188&gt;=35,W188&lt;75),0.23,0)+IF(AND(V188&gt;=40,V188&lt;75,W188&gt;=75,W188&lt;120),0.17,0)+IF(AND(V188&gt;=40,V188&lt;75,W188&gt;=120),0.12,0)+IF(AND(V188&gt;=75,V188&lt;175,W188&lt;35),0.3,0)+IF(AND(V188&gt;=75,V188&lt;=175,W188&gt;=35,W188&lt;65),0.23,0)+IF(AND(V188&gt;=75,V188&lt;=175,W188&gt;=65,W188&lt;110),0.17,0)+IF(AND(V188&gt;=75,V188&lt;=175,W188&gt;=110),0.12,0)+IF(AND(V188&gt;175,W188&lt;25),0.3,0)+IF(AND(V188&gt;175,W188&gt;=25,W188&lt;55),0.23,0)+IF(AND(V188&gt;175,W188&gt;=55,W188&lt;95),0.17,0)+IF(AND(V188&gt;175,W188&gt;=95),0.12,0),
IF(AF188="DoEVLo",IF(AND(V188&lt;20,W188&lt;55),0.25,0)+IF(AND(V188&lt;20,W188&gt;=55,W188&lt;105),0.2,0)+IF(AND(V188&lt;20,W188&gt;=105),0.15,0)+IF(AND(V188&gt;=20,V188&lt;40,W188&lt;45),0.25,0)+IF(AND(V188&gt;=20,V188&lt;40,W188&gt;=45,W188&lt;95),0.2,0)+IF(AND(V188&gt;=20,V188&lt;40,W188&gt;=95),0.15,0)+IF(AND(V188&gt;=40,V188&lt;75,W188&lt;35),0.25,0)+IF(AND(V188&gt;=40,V188&lt;75,W188&gt;=35,W188&lt;75),0.2,0)+IF(AND(V188&gt;=40,V188&lt;75,W188&gt;=75,W188&lt;120),0.15,0)+IF(AND(V188&gt;=40,V188&lt;75,W188&gt;=120),0.1,0)+IF(AND(V188&gt;=75,V188&lt;175,W188&lt;35),0.25,0)+IF(AND(V188&gt;=75,V188&lt;=175,W188&gt;=35,W188&lt;65),0.2,0)+IF(AND(V188&gt;=75,V188&lt;=175,W188&gt;=65,W188&lt;110),0.15,0)+IF(AND(V188&gt;=75,V188&lt;=175,W188&gt;=110),0.1,0)+IF(AND(V188&gt;175,W188&lt;25),0.25,0)+IF(AND(V188&gt;175,W188&gt;=25,W188&lt;55),0.2,0)+IF(AND(V188&gt;175,W188&gt;=55,W188&lt;95),0.15,0)+IF(AND(V188&gt;175,W188&gt;=95),0.1,0))))))))))))))))</f>
        <v>0.3</v>
      </c>
      <c r="Y188" s="30">
        <f>IF(AG188="None",0,IF(AG188="Fix5",0.05,IF(AG188="Fix3.75",0.0375,IF(AG188="Fix10",0.1,IF(AG188="Fix3",0.03,0)))))</f>
        <v>0</v>
      </c>
      <c r="Z188" s="35">
        <f>T188-AA188-AB188</f>
        <v>132.30000000000001</v>
      </c>
      <c r="AA188" s="29">
        <f>IF(AD188="EUR",((T188-R188)*X188)*U188+(R188*X188),(T188*X188))</f>
        <v>56.699999999999996</v>
      </c>
      <c r="AB188" s="36">
        <f>IF(AD188="EUR",((T188-R188)*Y188)*U188+(R188*Y188),(T188*Y188))</f>
        <v>0</v>
      </c>
      <c r="AC188" s="37" t="b">
        <v>1</v>
      </c>
      <c r="AD188" s="37" t="s">
        <v>38</v>
      </c>
      <c r="AE188" s="37" t="s">
        <v>38</v>
      </c>
      <c r="AF188" s="37" t="str">
        <f t="array" ref="AF188">INDEX('Deal Info'!D:D, MATCH(A188,'Deal Info'!A:A, 0))</f>
        <v>SF</v>
      </c>
      <c r="AG188" s="38" t="str">
        <f t="array" ref="AG188">INDEX('Deal Info'!G:G, MATCH(A188,'Deal Info'!A:A, 0))</f>
        <v>None</v>
      </c>
    </row>
    <row r="189" spans="1:33" ht="14.25" hidden="1" x14ac:dyDescent="0.2">
      <c r="A189" s="18" t="str">
        <f t="array" ref="A189">IF(G189='Room Info'!$B$1, INDEX('Room Info'!$A$2:$A2446, MATCH(B189,'Room Info'!$B$2:$B2446, 0)),IF(G189='Room Info'!$C$1, INDEX('Room Info'!$A$2:$A2446, MATCH(B189,'Room Info'!$C$2:$C2446, 0)),IF(G189='Room Info'!$D$1, INDEX('Room Info'!$A$2:$A2446, MATCH(B189,'Room Info'!$D$2:$D2446, 0)),IF(G189='Room Info'!$E$1, INDEX('Room Info'!$A$2:$A2446, MATCH(B189,'Room Info'!$E$2:$E2446, 0)),IF(G189='Room Info'!$F$1, INDEX('Room Info'!$A$2:$A2446, MATCH(B189,'Room Info'!$F$2:$F2446, 0)),IF(G189='Room Info'!$H$1, INDEX('Room Info'!$A$2:$A2446, MATCH(B189,'Room Info'!$H$2:$H2446, 0)),IF(G189='Room Info'!$G$1, INDEX('Room Info'!$A$2:$A2446, MATCH(B189,'Room Info'!$G$2:$G2446, 0)))))))))</f>
        <v>Fedorovi4</v>
      </c>
      <c r="B189" s="54" t="s">
        <v>96</v>
      </c>
      <c r="C189" s="46">
        <v>44702</v>
      </c>
      <c r="D189" s="46">
        <v>44732</v>
      </c>
      <c r="E189" s="47">
        <v>44713</v>
      </c>
      <c r="F189" s="45" t="s">
        <v>34</v>
      </c>
      <c r="G189" s="54" t="s">
        <v>35</v>
      </c>
      <c r="H189" s="49" t="s">
        <v>46</v>
      </c>
      <c r="I189" s="49" t="s">
        <v>37</v>
      </c>
      <c r="J189" s="50">
        <v>25</v>
      </c>
      <c r="K189" s="51">
        <v>595</v>
      </c>
      <c r="L189" s="52">
        <v>-75</v>
      </c>
      <c r="M189" s="53">
        <v>559</v>
      </c>
      <c r="N189" s="28">
        <f>K189*J189</f>
        <v>14875</v>
      </c>
      <c r="O189" s="54">
        <v>23984</v>
      </c>
      <c r="P189" s="29">
        <v>40.309243700000003</v>
      </c>
      <c r="Q189" s="55"/>
      <c r="R189" s="31">
        <f>M189+Q189</f>
        <v>559</v>
      </c>
      <c r="S189" s="56">
        <v>186</v>
      </c>
      <c r="T189" s="32">
        <f>R189+S189+IF(F189="Without EV deal",L189,0)</f>
        <v>745</v>
      </c>
      <c r="U189" s="33">
        <v>1</v>
      </c>
      <c r="V189" s="69">
        <v>25</v>
      </c>
      <c r="W189" s="69">
        <v>29.8</v>
      </c>
      <c r="X189" s="30">
        <f>IF(AF189="DoEV",IF(AND(V189&lt;20,W189&lt;55),0.3,0)+IF(AND(V189&lt;20,W189&gt;=55,W189&lt;105),0.23,0)+IF(AND(V189&lt;20,W189&gt;=105),0.17,0)+IF(AND(V189&gt;=20,V189&lt;40,W189&lt;45),0.3,0)+IF(AND(V189&gt;=20,V189&lt;40,W189&gt;=45,W189&lt;95),0.23,0)+IF(AND(V189&gt;=20,V189&lt;40,W189&gt;=95),0.17,0)+IF(AND(V189&gt;=40,V189&lt;75,W189&lt;35),0.3,0)+IF(AND(V189&gt;=40,V189&lt;75,W189&gt;=35,W189&lt;75),0.23,0)+IF(AND(V189&gt;=40,V189&lt;75,W189&gt;=75,W189&lt;120),0.17,0)+IF(AND(V189&gt;=40,V189&lt;75,W189&gt;=120),0.12,0)+IF(AND(V189&gt;=75,V189&lt;175,W189&lt;35),0.3,0)+IF(AND(V189&gt;=75,V189&lt;=175,W189&gt;=35,W189&lt;65),0.23,0)+IF(AND(V189&gt;=75,V189&lt;=175,W189&gt;=65,W189&lt;110),0.17,0)+IF(AND(V189&gt;=75,V189&lt;=175,W189&gt;=110),0.12,0)+IF(AND(V189&gt;175,W189&lt;25),0.3,0)+IF(AND(V189&gt;175,W189&gt;=25,W189&lt;55),0.23,0)+IF(AND(V189&gt;175,W189&gt;=55,W189&lt;95),0.17,0)+IF(AND(V189&gt;175,W189&gt;=95),0.12,0),
IF(AF189="Fix15",0.15,
IF(AF189="Fix11.25",0.1125,
IF(AF189="Fix10",0.1,
IF(AF189="Fix9",0.09,
IF(AF189="DoEV2017",IF(AND(W189&lt;74),0.2,0)+IF(AND(W189&gt;=74),0.17,0),
IF(AF189="SF",IF(AND(V189&lt;20,W189&lt;89),0.3,0)+IF(AND(V189&lt;20,W189&gt;=89),0.25,0)+IF(AND(V189&gt;=20,V189&lt;40,W189&lt;74),0.3,0)+IF(AND(V189&gt;=20,V189&lt;40,W189&gt;=75),0.22,0)+IF(AND(V189&gt;=40,V189&lt;75,W189&lt;75),0.26,0)+IF(AND(V189&gt;=40,V189&lt;75,W189&gt;=75),0.22,0)+IF(V189&gt;=75,0.22,0),
IF(AF189="DoEVold",IF(AND(V189&lt;40,W189&lt;35),0.35,0)+IF(AND(V189&lt;40,W189&gt;=35,W189&lt;75),0.25,0)+IF(AND(V189&lt;40,W189&gt;=75),0.17,0)+IF(AND(V189&gt;=40,V189&lt;75,W189&lt;25),0.35,0)+IF(AND(V189&gt;=40,V189&lt;75,W189&gt;=25,W189&lt;65),0.25,0)+IF(AND(V189&gt;=40,V189&lt;75,W189&gt;=65,W189&lt;100),0.17,0)+IF(AND(V189&gt;=40,V189&lt;75,W189&gt;=100),0.1,0)+IF(AND(V189&gt;=75,W189&lt;25),0.35,0)+IF(AND(V189&gt;=75,W189&gt;=25,W189&lt;60),0.25,0)+IF(AND(V189&gt;=75,W189&gt;=60,W189&lt;95),0.17,0)+IF(AND(V189&gt;=75,W189&gt;=95),0.1,0),
IF(AF189="DoEVold15",IF(AND(V189&lt;=40,W189&lt;35),0.35,0)+IF(AND(V189&lt;=40,W189&gt;=35,W189&lt;75),0.25,0)+IF(AND(V189&lt;=40,W189&gt;=75,W189&lt;120),0.17,0)+IF(AND(V189&lt;=40,W189&gt;=120),0.15,0)+IF(AND(V189&gt;40,V189&lt;75,W189&lt;25),0.35,0)+IF(AND(V189&gt;=40,V189&lt;75,W189&gt;=25,W189&lt;65),0.25,0)+IF(AND(V189&gt;=40,V189&lt;75,W189&gt;=65,W189&lt;100),0.17,0)+IF(AND(V189&gt;=40,V189&lt;75,W189&gt;=100),0.1,0)+IF(AND(V189&gt;=75,W189&lt;25),0.35,0)+IF(AND(V189&gt;=75,W189&gt;=25,W189&lt;60),0.25,0)+IF(AND(V189&gt;=75,W189&gt;=60,W189&lt;95),0.17,0)+IF(AND(V189&gt;=75,W189&gt;=95),0.1,0),
IF(AF189="DoEVba",IF(AND(V189&lt;20,W189&lt;105),0.2,0)+IF(AND(V189&lt;20,W189&gt;=105),0.15,0)+IF(AND(V189&gt;=20,V189&lt;40,W189&lt;95),0.2,0)+IF(AND(V189&gt;=20,V189&lt;40,W189&gt;=95,W189&lt;150),0.15,0)+IF(AND(V189&gt;=20,V189&lt;40,W189&gt;=150),0.12,0)+IF(AND(V189&gt;=40,V189&lt;75,W189&lt;75),0.2,0)+IF(AND(V189&gt;=40,V189&lt;75,W189&gt;=75,W189&lt;120),0.15,0)+IF(AND(V189&gt;=40,V189&lt;75,W189&gt;=120),0.12,0)+IF(AND(V189&gt;=75,V189&lt;175,W189&lt;65),0.2,0)+IF(AND(V189&gt;=75,V189&lt;175,W189&gt;=65,W189&lt;110),0.15,0)+IF(AND(V189&gt;=75,V189&lt;175,W189&gt;=110),0.12,0)+IF(AND(V189&gt;=175,W189&lt;55),0.2,0)+IF(AND(V189&gt;=175,W189&gt;=55,W189&lt;95),0.15,0)+IF(AND(V189&gt;=175,W189&gt;=95),0.12,0),
IF(AF189="DoEVku",IF(AND(V189&lt;20,W189&lt;55),0.23,0)+IF(AND(V189&lt;20,W189&gt;=55,W189&lt;105),0.2,0)+IF(AND(V189&lt;20,W189&gt;=105),0.17,0)+IF(AND(V189&gt;=20,V189&lt;40,W189&lt;45),0.23,0)+IF(AND(V189&gt;=20,V189&lt;40,W189&gt;=45,W189&lt;95),0.2,0)+IF(AND(V189&gt;=20,V189&lt;40,W189&gt;=95,W189&lt;=150),0.17,0)+IF(AND(V189&gt;=20,V189&lt;40,W189&gt;=150),0.12,0)+IF(AND(V189&gt;=40,V189&lt;75,W189&lt;35),0.23,0)+IF(AND(V189&gt;=40,V189&lt;75,W189&gt;=35,W189&lt;75),0.2,0)+IF(AND(V189&gt;=40,V189&lt;75,W189&gt;=75,W189&lt;120),0.17,0)+IF(AND(V189&gt;=40,V189&lt;75,W189&gt;=120),0.12,0)+IF(AND(V189&gt;=75,V189&lt;175,W189&lt;35),0.23,0)+IF(AND(V189&gt;=75,V189&lt;=175,W189&gt;=35,W189&lt;65),0.2,0)+IF(AND(V189&gt;=75,V189&lt;=175,W189&gt;=65,W189&lt;110),0.17,0)+IF(AND(V189&gt;=75,V189&lt;=175,W189&gt;=110),0.12,0)+IF(AND(V189&gt;175,W189&lt;25),0.23,0)+IF(AND(V189&gt;175,W189&gt;=25,W189&lt;55),0.2,0)+IF(AND(V189&gt;175,W189&gt;=55,W189&lt;95),0.17,0)+IF(AND(V189&gt;175,W189&gt;=95),0.12,0),
IF(AF189="DoEVs1",IF(AND(V189&lt;20,W189&lt;55),0.3,0)+IF(AND(V189&lt;20,W189&gt;=55,W189&lt;105),0.23,0)+IF(AND(V189&lt;20,W189&gt;=105),0.17,0)+IF(AND(V189&gt;=20,V189&lt;40,W189&lt;45),0.3,0)+IF(AND(V189&gt;=20,V189&lt;40,W189&gt;=45,W189&lt;95),0.23,0)+IF(AND(V189&gt;=20,V189&lt;40,W189&gt;=95,W189&lt;=150),0.17,0)+IF(AND(V189&gt;=20,V189&lt;40,W189&gt;=150),0.12,0)+IF(AND(V189&gt;=40,V189&lt;75,W189&lt;35),0.3,0)+IF(AND(V189&gt;=40,V189&lt;75,W189&gt;=35,W189&lt;75),0.23,0)+IF(AND(V189&gt;=40,V189&lt;75,W189&gt;=75,W189&lt;120),0.17,0)+IF(AND(V189&gt;=40,V189&lt;75,W189&gt;=120),0.12,0)+IF(AND(V189&gt;=75,V189&lt;175,W189&lt;35),0.3,0)+IF(AND(V189&gt;=75,V189&lt;=175,W189&gt;=35,W189&lt;65),0.23,0)+IF(AND(V189&gt;=75,V189&lt;=175,W189&gt;=65,W189&lt;110),0.17,0)+IF(AND(V189&gt;=75,V189&lt;=175,W189&gt;=110),0.12,0)+IF(AND(V189&gt;175,W189&lt;25),0.3,0)+IF(AND(V189&gt;175,W189&gt;=25,W189&lt;55),0.23,0)+IF(AND(V189&gt;175,W189&gt;=55,W189&lt;95),0.17,0)+IF(AND(V189&gt;175,W189&gt;=95),0.12,0),
IF(AF189="DoEVsu",IF(AND(V189&lt;20,W189&lt;55),0.3,0)+IF(AND(V189&lt;20,W189&gt;=55,W189&lt;105),0.23,0)+IF(AND(V189&lt;20,W189&gt;=105),0.17,0)+IF(AND(V189&gt;=20,V189&lt;40,W189&lt;45),0.3,0)+IF(AND(V189&gt;=20,V189&lt;40,W189&gt;=45,W189&lt;95),0.23,0)+IF(AND(V189&gt;=20,V189&lt;40,W189&gt;=95,W189&lt;=250),0.17,0)+IF(AND(V189&gt;=20,V189&lt;40,W189&gt;=250),0.12,0)+IF(AND(V189&gt;=40,V189&lt;75,W189&lt;35),0.3,0)+IF(AND(V189&gt;=40,V189&lt;75,W189&gt;=35,W189&lt;75),0.23,0)+IF(AND(V189&gt;=40,V189&lt;75,W189&gt;=75,W189&lt;120),0.17,0)+IF(AND(V189&gt;=40,V189&lt;75,W189&gt;=120),0.12,0)+IF(AND(V189&gt;=75,V189&lt;175,W189&lt;35),0.3,0)+IF(AND(V189&gt;=75,V189&lt;=175,W189&gt;=35,W189&lt;65),0.23,0)+IF(AND(V189&gt;=75,V189&lt;=175,W189&gt;=65,W189&lt;110),0.17,0)+IF(AND(V189&gt;=75,V189&lt;=175,W189&gt;=110),0.12,0)+IF(AND(V189&gt;175,W189&lt;25),0.3,0)+IF(AND(V189&gt;175,W189&gt;=25,W189&lt;55),0.23,0)+IF(AND(V189&gt;175,W189&gt;=55,W189&lt;95),0.17,0)+IF(AND(V189&gt;175,W189&gt;=95),0.12,0),
IF(AF189="DoEVni",IF(AND(V189&lt;20,W189&lt;55),0.3,0)+IF(AND(V189&lt;20,W189&gt;=55,W189&lt;105),0.23,0)+IF(AND(V189&lt;20,W189&gt;=105),0.17,0)+IF(AND(V189&gt;=20,V189&lt;40,W189&lt;45),0.3,0)+IF(AND(V189&gt;=20,V189&lt;40,W189&gt;=45,W189&lt;95),0.23,0)+IF(AND(V189&gt;=20,V189&lt;40,W189&gt;=95,W189&lt;=200),0.17,0)+IF(AND(V189&gt;=20,V189&lt;40,W189&gt;=200),0.12,0)+IF(AND(V189&gt;=40,V189&lt;75,W189&lt;35),0.3,0)+IF(AND(V189&gt;=40,V189&lt;75,W189&gt;=35,W189&lt;75),0.23,0)+IF(AND(V189&gt;=40,V189&lt;75,W189&gt;=75,W189&lt;120),0.17,0)+IF(AND(V189&gt;=40,V189&lt;75,W189&gt;=120),0.12,0)+IF(AND(V189&gt;=75,V189&lt;175,W189&lt;35),0.3,0)+IF(AND(V189&gt;=75,V189&lt;=175,W189&gt;=35,W189&lt;65),0.23,0)+IF(AND(V189&gt;=75,V189&lt;=175,W189&gt;=65,W189&lt;110),0.17,0)+IF(AND(V189&gt;=75,V189&lt;=175,W189&gt;=110),0.12,0)+IF(AND(V189&gt;175,W189&lt;25),0.3,0)+IF(AND(V189&gt;175,W189&gt;=25,W189&lt;55),0.23,0)+IF(AND(V189&gt;175,W189&gt;=55,W189&lt;95),0.17,0)+IF(AND(V189&gt;175,W189&gt;=95),0.12,0),
IF(AF189="DoEVLo",IF(AND(V189&lt;20,W189&lt;55),0.25,0)+IF(AND(V189&lt;20,W189&gt;=55,W189&lt;105),0.2,0)+IF(AND(V189&lt;20,W189&gt;=105),0.15,0)+IF(AND(V189&gt;=20,V189&lt;40,W189&lt;45),0.25,0)+IF(AND(V189&gt;=20,V189&lt;40,W189&gt;=45,W189&lt;95),0.2,0)+IF(AND(V189&gt;=20,V189&lt;40,W189&gt;=95),0.15,0)+IF(AND(V189&gt;=40,V189&lt;75,W189&lt;35),0.25,0)+IF(AND(V189&gt;=40,V189&lt;75,W189&gt;=35,W189&lt;75),0.2,0)+IF(AND(V189&gt;=40,V189&lt;75,W189&gt;=75,W189&lt;120),0.15,0)+IF(AND(V189&gt;=40,V189&lt;75,W189&gt;=120),0.1,0)+IF(AND(V189&gt;=75,V189&lt;175,W189&lt;35),0.25,0)+IF(AND(V189&gt;=75,V189&lt;=175,W189&gt;=35,W189&lt;65),0.2,0)+IF(AND(V189&gt;=75,V189&lt;=175,W189&gt;=65,W189&lt;110),0.15,0)+IF(AND(V189&gt;=75,V189&lt;=175,W189&gt;=110),0.1,0)+IF(AND(V189&gt;175,W189&lt;25),0.25,0)+IF(AND(V189&gt;175,W189&gt;=25,W189&lt;55),0.2,0)+IF(AND(V189&gt;175,W189&gt;=55,W189&lt;95),0.15,0)+IF(AND(V189&gt;175,W189&gt;=95),0.1,0))))))))))))))))</f>
        <v>0.3</v>
      </c>
      <c r="Y189" s="30">
        <f>IF(AG189="None",0,IF(AG189="Fix5",0.05,IF(AG189="Fix3.75",0.0375,IF(AG189="Fix10",0.1,IF(AG189="Fix3",0.03,0)))))</f>
        <v>0</v>
      </c>
      <c r="Z189" s="35">
        <f>T189-AA189-AB189</f>
        <v>521.5</v>
      </c>
      <c r="AA189" s="29">
        <f>IF(AD189="EUR",((T189-R189)*X189)*U189+(R189*X189),(T189*X189))</f>
        <v>223.5</v>
      </c>
      <c r="AB189" s="36">
        <f>IF(AD189="EUR",((T189-R189)*Y189)*U189+(R189*Y189),(T189*Y189))</f>
        <v>0</v>
      </c>
      <c r="AC189" s="37" t="b">
        <v>1</v>
      </c>
      <c r="AD189" s="37" t="s">
        <v>38</v>
      </c>
      <c r="AE189" s="37" t="s">
        <v>38</v>
      </c>
      <c r="AF189" s="37" t="str">
        <f t="array" ref="AF189">INDEX('Deal Info'!D:D, MATCH(A189,'Deal Info'!A:A, 0))</f>
        <v>SF</v>
      </c>
      <c r="AG189" s="38" t="str">
        <f t="array" ref="AG189">INDEX('Deal Info'!G:G, MATCH(A189,'Deal Info'!A:A, 0))</f>
        <v>None</v>
      </c>
    </row>
    <row r="190" spans="1:33" ht="14.25" hidden="1" x14ac:dyDescent="0.2">
      <c r="A190" s="18" t="str">
        <f t="array" ref="A190">IF(G190='Room Info'!$B$1, INDEX('Room Info'!$A$2:$A2446, MATCH(B190,'Room Info'!$B$2:$B2446, 0)),IF(G190='Room Info'!$C$1, INDEX('Room Info'!$A$2:$A2446, MATCH(B190,'Room Info'!$C$2:$C2446, 0)),IF(G190='Room Info'!$D$1, INDEX('Room Info'!$A$2:$A2446, MATCH(B190,'Room Info'!$D$2:$D2446, 0)),IF(G190='Room Info'!$E$1, INDEX('Room Info'!$A$2:$A2446, MATCH(B190,'Room Info'!$E$2:$E2446, 0)),IF(G190='Room Info'!$F$1, INDEX('Room Info'!$A$2:$A2446, MATCH(B190,'Room Info'!$F$2:$F2446, 0)),IF(G190='Room Info'!$H$1, INDEX('Room Info'!$A$2:$A2446, MATCH(B190,'Room Info'!$H$2:$H2446, 0)),IF(G190='Room Info'!$G$1, INDEX('Room Info'!$A$2:$A2446, MATCH(B190,'Room Info'!$G$2:$G2446, 0)))))))))</f>
        <v>Fedorovi4</v>
      </c>
      <c r="B190" s="54" t="s">
        <v>96</v>
      </c>
      <c r="C190" s="46">
        <v>44733</v>
      </c>
      <c r="D190" s="46">
        <v>44762</v>
      </c>
      <c r="E190" s="47">
        <v>44743</v>
      </c>
      <c r="F190" s="45" t="s">
        <v>34</v>
      </c>
      <c r="G190" s="54" t="s">
        <v>35</v>
      </c>
      <c r="H190" s="49" t="s">
        <v>46</v>
      </c>
      <c r="I190" s="49" t="s">
        <v>37</v>
      </c>
      <c r="J190" s="50">
        <v>25</v>
      </c>
      <c r="K190" s="51">
        <v>520</v>
      </c>
      <c r="L190" s="52">
        <v>-450</v>
      </c>
      <c r="M190" s="53">
        <v>460</v>
      </c>
      <c r="N190" s="28">
        <f>K190*J190</f>
        <v>13000</v>
      </c>
      <c r="O190" s="54">
        <v>9772</v>
      </c>
      <c r="P190" s="29">
        <v>18.792307690000001</v>
      </c>
      <c r="Q190" s="55"/>
      <c r="R190" s="31">
        <f>M190+Q190</f>
        <v>460</v>
      </c>
      <c r="S190" s="56">
        <v>-396</v>
      </c>
      <c r="T190" s="32">
        <f>R190+S190+IF(F190="Without EV deal",L190,0)</f>
        <v>64</v>
      </c>
      <c r="U190" s="33">
        <v>1</v>
      </c>
      <c r="V190" s="69">
        <v>25</v>
      </c>
      <c r="W190" s="69">
        <v>2.56</v>
      </c>
      <c r="X190" s="30">
        <f>IF(AF190="DoEV",IF(AND(V190&lt;20,W190&lt;55),0.3,0)+IF(AND(V190&lt;20,W190&gt;=55,W190&lt;105),0.23,0)+IF(AND(V190&lt;20,W190&gt;=105),0.17,0)+IF(AND(V190&gt;=20,V190&lt;40,W190&lt;45),0.3,0)+IF(AND(V190&gt;=20,V190&lt;40,W190&gt;=45,W190&lt;95),0.23,0)+IF(AND(V190&gt;=20,V190&lt;40,W190&gt;=95),0.17,0)+IF(AND(V190&gt;=40,V190&lt;75,W190&lt;35),0.3,0)+IF(AND(V190&gt;=40,V190&lt;75,W190&gt;=35,W190&lt;75),0.23,0)+IF(AND(V190&gt;=40,V190&lt;75,W190&gt;=75,W190&lt;120),0.17,0)+IF(AND(V190&gt;=40,V190&lt;75,W190&gt;=120),0.12,0)+IF(AND(V190&gt;=75,V190&lt;175,W190&lt;35),0.3,0)+IF(AND(V190&gt;=75,V190&lt;=175,W190&gt;=35,W190&lt;65),0.23,0)+IF(AND(V190&gt;=75,V190&lt;=175,W190&gt;=65,W190&lt;110),0.17,0)+IF(AND(V190&gt;=75,V190&lt;=175,W190&gt;=110),0.12,0)+IF(AND(V190&gt;175,W190&lt;25),0.3,0)+IF(AND(V190&gt;175,W190&gt;=25,W190&lt;55),0.23,0)+IF(AND(V190&gt;175,W190&gt;=55,W190&lt;95),0.17,0)+IF(AND(V190&gt;175,W190&gt;=95),0.12,0),
IF(AF190="Fix15",0.15,
IF(AF190="Fix11.25",0.1125,
IF(AF190="Fix10",0.1,
IF(AF190="Fix9",0.09,
IF(AF190="DoEV2017",IF(AND(W190&lt;74),0.2,0)+IF(AND(W190&gt;=74),0.17,0),
IF(AF190="SF",IF(AND(V190&lt;20,W190&lt;89),0.3,0)+IF(AND(V190&lt;20,W190&gt;=89),0.25,0)+IF(AND(V190&gt;=20,V190&lt;40,W190&lt;74),0.3,0)+IF(AND(V190&gt;=20,V190&lt;40,W190&gt;=75),0.22,0)+IF(AND(V190&gt;=40,V190&lt;75,W190&lt;75),0.26,0)+IF(AND(V190&gt;=40,V190&lt;75,W190&gt;=75),0.22,0)+IF(V190&gt;=75,0.22,0),
IF(AF190="DoEVold",IF(AND(V190&lt;40,W190&lt;35),0.35,0)+IF(AND(V190&lt;40,W190&gt;=35,W190&lt;75),0.25,0)+IF(AND(V190&lt;40,W190&gt;=75),0.17,0)+IF(AND(V190&gt;=40,V190&lt;75,W190&lt;25),0.35,0)+IF(AND(V190&gt;=40,V190&lt;75,W190&gt;=25,W190&lt;65),0.25,0)+IF(AND(V190&gt;=40,V190&lt;75,W190&gt;=65,W190&lt;100),0.17,0)+IF(AND(V190&gt;=40,V190&lt;75,W190&gt;=100),0.1,0)+IF(AND(V190&gt;=75,W190&lt;25),0.35,0)+IF(AND(V190&gt;=75,W190&gt;=25,W190&lt;60),0.25,0)+IF(AND(V190&gt;=75,W190&gt;=60,W190&lt;95),0.17,0)+IF(AND(V190&gt;=75,W190&gt;=95),0.1,0),
IF(AF190="DoEVold15",IF(AND(V190&lt;=40,W190&lt;35),0.35,0)+IF(AND(V190&lt;=40,W190&gt;=35,W190&lt;75),0.25,0)+IF(AND(V190&lt;=40,W190&gt;=75,W190&lt;120),0.17,0)+IF(AND(V190&lt;=40,W190&gt;=120),0.15,0)+IF(AND(V190&gt;40,V190&lt;75,W190&lt;25),0.35,0)+IF(AND(V190&gt;=40,V190&lt;75,W190&gt;=25,W190&lt;65),0.25,0)+IF(AND(V190&gt;=40,V190&lt;75,W190&gt;=65,W190&lt;100),0.17,0)+IF(AND(V190&gt;=40,V190&lt;75,W190&gt;=100),0.1,0)+IF(AND(V190&gt;=75,W190&lt;25),0.35,0)+IF(AND(V190&gt;=75,W190&gt;=25,W190&lt;60),0.25,0)+IF(AND(V190&gt;=75,W190&gt;=60,W190&lt;95),0.17,0)+IF(AND(V190&gt;=75,W190&gt;=95),0.1,0),
IF(AF190="DoEVba",IF(AND(V190&lt;20,W190&lt;105),0.2,0)+IF(AND(V190&lt;20,W190&gt;=105),0.15,0)+IF(AND(V190&gt;=20,V190&lt;40,W190&lt;95),0.2,0)+IF(AND(V190&gt;=20,V190&lt;40,W190&gt;=95,W190&lt;150),0.15,0)+IF(AND(V190&gt;=20,V190&lt;40,W190&gt;=150),0.12,0)+IF(AND(V190&gt;=40,V190&lt;75,W190&lt;75),0.2,0)+IF(AND(V190&gt;=40,V190&lt;75,W190&gt;=75,W190&lt;120),0.15,0)+IF(AND(V190&gt;=40,V190&lt;75,W190&gt;=120),0.12,0)+IF(AND(V190&gt;=75,V190&lt;175,W190&lt;65),0.2,0)+IF(AND(V190&gt;=75,V190&lt;175,W190&gt;=65,W190&lt;110),0.15,0)+IF(AND(V190&gt;=75,V190&lt;175,W190&gt;=110),0.12,0)+IF(AND(V190&gt;=175,W190&lt;55),0.2,0)+IF(AND(V190&gt;=175,W190&gt;=55,W190&lt;95),0.15,0)+IF(AND(V190&gt;=175,W190&gt;=95),0.12,0),
IF(AF190="DoEVku",IF(AND(V190&lt;20,W190&lt;55),0.23,0)+IF(AND(V190&lt;20,W190&gt;=55,W190&lt;105),0.2,0)+IF(AND(V190&lt;20,W190&gt;=105),0.17,0)+IF(AND(V190&gt;=20,V190&lt;40,W190&lt;45),0.23,0)+IF(AND(V190&gt;=20,V190&lt;40,W190&gt;=45,W190&lt;95),0.2,0)+IF(AND(V190&gt;=20,V190&lt;40,W190&gt;=95,W190&lt;=150),0.17,0)+IF(AND(V190&gt;=20,V190&lt;40,W190&gt;=150),0.12,0)+IF(AND(V190&gt;=40,V190&lt;75,W190&lt;35),0.23,0)+IF(AND(V190&gt;=40,V190&lt;75,W190&gt;=35,W190&lt;75),0.2,0)+IF(AND(V190&gt;=40,V190&lt;75,W190&gt;=75,W190&lt;120),0.17,0)+IF(AND(V190&gt;=40,V190&lt;75,W190&gt;=120),0.12,0)+IF(AND(V190&gt;=75,V190&lt;175,W190&lt;35),0.23,0)+IF(AND(V190&gt;=75,V190&lt;=175,W190&gt;=35,W190&lt;65),0.2,0)+IF(AND(V190&gt;=75,V190&lt;=175,W190&gt;=65,W190&lt;110),0.17,0)+IF(AND(V190&gt;=75,V190&lt;=175,W190&gt;=110),0.12,0)+IF(AND(V190&gt;175,W190&lt;25),0.23,0)+IF(AND(V190&gt;175,W190&gt;=25,W190&lt;55),0.2,0)+IF(AND(V190&gt;175,W190&gt;=55,W190&lt;95),0.17,0)+IF(AND(V190&gt;175,W190&gt;=95),0.12,0),
IF(AF190="DoEVs1",IF(AND(V190&lt;20,W190&lt;55),0.3,0)+IF(AND(V190&lt;20,W190&gt;=55,W190&lt;105),0.23,0)+IF(AND(V190&lt;20,W190&gt;=105),0.17,0)+IF(AND(V190&gt;=20,V190&lt;40,W190&lt;45),0.3,0)+IF(AND(V190&gt;=20,V190&lt;40,W190&gt;=45,W190&lt;95),0.23,0)+IF(AND(V190&gt;=20,V190&lt;40,W190&gt;=95,W190&lt;=150),0.17,0)+IF(AND(V190&gt;=20,V190&lt;40,W190&gt;=150),0.12,0)+IF(AND(V190&gt;=40,V190&lt;75,W190&lt;35),0.3,0)+IF(AND(V190&gt;=40,V190&lt;75,W190&gt;=35,W190&lt;75),0.23,0)+IF(AND(V190&gt;=40,V190&lt;75,W190&gt;=75,W190&lt;120),0.17,0)+IF(AND(V190&gt;=40,V190&lt;75,W190&gt;=120),0.12,0)+IF(AND(V190&gt;=75,V190&lt;175,W190&lt;35),0.3,0)+IF(AND(V190&gt;=75,V190&lt;=175,W190&gt;=35,W190&lt;65),0.23,0)+IF(AND(V190&gt;=75,V190&lt;=175,W190&gt;=65,W190&lt;110),0.17,0)+IF(AND(V190&gt;=75,V190&lt;=175,W190&gt;=110),0.12,0)+IF(AND(V190&gt;175,W190&lt;25),0.3,0)+IF(AND(V190&gt;175,W190&gt;=25,W190&lt;55),0.23,0)+IF(AND(V190&gt;175,W190&gt;=55,W190&lt;95),0.17,0)+IF(AND(V190&gt;175,W190&gt;=95),0.12,0),
IF(AF190="DoEVsu",IF(AND(V190&lt;20,W190&lt;55),0.3,0)+IF(AND(V190&lt;20,W190&gt;=55,W190&lt;105),0.23,0)+IF(AND(V190&lt;20,W190&gt;=105),0.17,0)+IF(AND(V190&gt;=20,V190&lt;40,W190&lt;45),0.3,0)+IF(AND(V190&gt;=20,V190&lt;40,W190&gt;=45,W190&lt;95),0.23,0)+IF(AND(V190&gt;=20,V190&lt;40,W190&gt;=95,W190&lt;=250),0.17,0)+IF(AND(V190&gt;=20,V190&lt;40,W190&gt;=250),0.12,0)+IF(AND(V190&gt;=40,V190&lt;75,W190&lt;35),0.3,0)+IF(AND(V190&gt;=40,V190&lt;75,W190&gt;=35,W190&lt;75),0.23,0)+IF(AND(V190&gt;=40,V190&lt;75,W190&gt;=75,W190&lt;120),0.17,0)+IF(AND(V190&gt;=40,V190&lt;75,W190&gt;=120),0.12,0)+IF(AND(V190&gt;=75,V190&lt;175,W190&lt;35),0.3,0)+IF(AND(V190&gt;=75,V190&lt;=175,W190&gt;=35,W190&lt;65),0.23,0)+IF(AND(V190&gt;=75,V190&lt;=175,W190&gt;=65,W190&lt;110),0.17,0)+IF(AND(V190&gt;=75,V190&lt;=175,W190&gt;=110),0.12,0)+IF(AND(V190&gt;175,W190&lt;25),0.3,0)+IF(AND(V190&gt;175,W190&gt;=25,W190&lt;55),0.23,0)+IF(AND(V190&gt;175,W190&gt;=55,W190&lt;95),0.17,0)+IF(AND(V190&gt;175,W190&gt;=95),0.12,0),
IF(AF190="DoEVni",IF(AND(V190&lt;20,W190&lt;55),0.3,0)+IF(AND(V190&lt;20,W190&gt;=55,W190&lt;105),0.23,0)+IF(AND(V190&lt;20,W190&gt;=105),0.17,0)+IF(AND(V190&gt;=20,V190&lt;40,W190&lt;45),0.3,0)+IF(AND(V190&gt;=20,V190&lt;40,W190&gt;=45,W190&lt;95),0.23,0)+IF(AND(V190&gt;=20,V190&lt;40,W190&gt;=95,W190&lt;=200),0.17,0)+IF(AND(V190&gt;=20,V190&lt;40,W190&gt;=200),0.12,0)+IF(AND(V190&gt;=40,V190&lt;75,W190&lt;35),0.3,0)+IF(AND(V190&gt;=40,V190&lt;75,W190&gt;=35,W190&lt;75),0.23,0)+IF(AND(V190&gt;=40,V190&lt;75,W190&gt;=75,W190&lt;120),0.17,0)+IF(AND(V190&gt;=40,V190&lt;75,W190&gt;=120),0.12,0)+IF(AND(V190&gt;=75,V190&lt;175,W190&lt;35),0.3,0)+IF(AND(V190&gt;=75,V190&lt;=175,W190&gt;=35,W190&lt;65),0.23,0)+IF(AND(V190&gt;=75,V190&lt;=175,W190&gt;=65,W190&lt;110),0.17,0)+IF(AND(V190&gt;=75,V190&lt;=175,W190&gt;=110),0.12,0)+IF(AND(V190&gt;175,W190&lt;25),0.3,0)+IF(AND(V190&gt;175,W190&gt;=25,W190&lt;55),0.23,0)+IF(AND(V190&gt;175,W190&gt;=55,W190&lt;95),0.17,0)+IF(AND(V190&gt;175,W190&gt;=95),0.12,0),
IF(AF190="DoEVLo",IF(AND(V190&lt;20,W190&lt;55),0.25,0)+IF(AND(V190&lt;20,W190&gt;=55,W190&lt;105),0.2,0)+IF(AND(V190&lt;20,W190&gt;=105),0.15,0)+IF(AND(V190&gt;=20,V190&lt;40,W190&lt;45),0.25,0)+IF(AND(V190&gt;=20,V190&lt;40,W190&gt;=45,W190&lt;95),0.2,0)+IF(AND(V190&gt;=20,V190&lt;40,W190&gt;=95),0.15,0)+IF(AND(V190&gt;=40,V190&lt;75,W190&lt;35),0.25,0)+IF(AND(V190&gt;=40,V190&lt;75,W190&gt;=35,W190&lt;75),0.2,0)+IF(AND(V190&gt;=40,V190&lt;75,W190&gt;=75,W190&lt;120),0.15,0)+IF(AND(V190&gt;=40,V190&lt;75,W190&gt;=120),0.1,0)+IF(AND(V190&gt;=75,V190&lt;175,W190&lt;35),0.25,0)+IF(AND(V190&gt;=75,V190&lt;=175,W190&gt;=35,W190&lt;65),0.2,0)+IF(AND(V190&gt;=75,V190&lt;=175,W190&gt;=65,W190&lt;110),0.15,0)+IF(AND(V190&gt;=75,V190&lt;=175,W190&gt;=110),0.1,0)+IF(AND(V190&gt;175,W190&lt;25),0.25,0)+IF(AND(V190&gt;175,W190&gt;=25,W190&lt;55),0.2,0)+IF(AND(V190&gt;175,W190&gt;=55,W190&lt;95),0.15,0)+IF(AND(V190&gt;175,W190&gt;=95),0.1,0))))))))))))))))</f>
        <v>0.3</v>
      </c>
      <c r="Y190" s="30">
        <f>IF(AG190="None",0,IF(AG190="Fix5",0.05,IF(AG190="Fix3.75",0.0375,IF(AG190="Fix10",0.1,IF(AG190="Fix3",0.03,0)))))</f>
        <v>0</v>
      </c>
      <c r="Z190" s="35">
        <f>T190-AA190-AB190</f>
        <v>44.8</v>
      </c>
      <c r="AA190" s="29">
        <f>IF(AD190="EUR",((T190-R190)*X190)*U190+(R190*X190),(T190*X190))</f>
        <v>19.2</v>
      </c>
      <c r="AB190" s="36">
        <f>IF(AD190="EUR",((T190-R190)*Y190)*U190+(R190*Y190),(T190*Y190))</f>
        <v>0</v>
      </c>
      <c r="AC190" s="37" t="b">
        <v>1</v>
      </c>
      <c r="AD190" s="37" t="s">
        <v>38</v>
      </c>
      <c r="AE190" s="37" t="s">
        <v>38</v>
      </c>
      <c r="AF190" s="37" t="str">
        <f t="array" ref="AF190">INDEX('Deal Info'!D:D, MATCH(A190,'Deal Info'!A:A, 0))</f>
        <v>SF</v>
      </c>
      <c r="AG190" s="38" t="str">
        <f t="array" ref="AG190">INDEX('Deal Info'!G:G, MATCH(A190,'Deal Info'!A:A, 0))</f>
        <v>None</v>
      </c>
    </row>
    <row r="191" spans="1:33" ht="14.25" hidden="1" x14ac:dyDescent="0.2">
      <c r="A191" s="18" t="str">
        <f t="array" ref="A191">IF(G191='Room Info'!$B$1, INDEX('Room Info'!$A$2:$A2446, MATCH(B191,'Room Info'!$B$2:$B2446, 0)),IF(G191='Room Info'!$C$1, INDEX('Room Info'!$A$2:$A2446, MATCH(B191,'Room Info'!$C$2:$C2446, 0)),IF(G191='Room Info'!$D$1, INDEX('Room Info'!$A$2:$A2446, MATCH(B191,'Room Info'!$D$2:$D2446, 0)),IF(G191='Room Info'!$E$1, INDEX('Room Info'!$A$2:$A2446, MATCH(B191,'Room Info'!$E$2:$E2446, 0)),IF(G191='Room Info'!$F$1, INDEX('Room Info'!$A$2:$A2446, MATCH(B191,'Room Info'!$F$2:$F2446, 0)),IF(G191='Room Info'!$H$1, INDEX('Room Info'!$A$2:$A2446, MATCH(B191,'Room Info'!$H$2:$H2446, 0)),IF(G191='Room Info'!$G$1, INDEX('Room Info'!$A$2:$A2446, MATCH(B191,'Room Info'!$G$2:$G2446, 0)))))))))</f>
        <v>Fedorovi4</v>
      </c>
      <c r="B191" s="54" t="s">
        <v>96</v>
      </c>
      <c r="C191" s="46">
        <v>44763</v>
      </c>
      <c r="D191" s="46">
        <v>44793</v>
      </c>
      <c r="E191" s="47">
        <v>44774</v>
      </c>
      <c r="F191" s="45" t="s">
        <v>34</v>
      </c>
      <c r="G191" s="54" t="s">
        <v>35</v>
      </c>
      <c r="H191" s="49" t="s">
        <v>46</v>
      </c>
      <c r="I191" s="49" t="s">
        <v>37</v>
      </c>
      <c r="J191" s="50">
        <v>25</v>
      </c>
      <c r="K191" s="51">
        <v>998</v>
      </c>
      <c r="L191" s="52">
        <v>-2100</v>
      </c>
      <c r="M191" s="53">
        <v>909</v>
      </c>
      <c r="N191" s="28">
        <f>K191*J191</f>
        <v>24950</v>
      </c>
      <c r="O191" s="54">
        <v>15715</v>
      </c>
      <c r="P191" s="29">
        <v>15.74649299</v>
      </c>
      <c r="Q191" s="55"/>
      <c r="R191" s="31">
        <f>M191+Q191</f>
        <v>909</v>
      </c>
      <c r="S191" s="56">
        <v>-848</v>
      </c>
      <c r="T191" s="32">
        <f>R191+S191+IF(F191="Without EV deal",L191,0)</f>
        <v>61</v>
      </c>
      <c r="U191" s="33">
        <v>1</v>
      </c>
      <c r="V191" s="69">
        <v>25</v>
      </c>
      <c r="W191" s="69">
        <v>2.44</v>
      </c>
      <c r="X191" s="30">
        <f>IF(AF191="DoEV",IF(AND(V191&lt;20,W191&lt;55),0.3,0)+IF(AND(V191&lt;20,W191&gt;=55,W191&lt;105),0.23,0)+IF(AND(V191&lt;20,W191&gt;=105),0.17,0)+IF(AND(V191&gt;=20,V191&lt;40,W191&lt;45),0.3,0)+IF(AND(V191&gt;=20,V191&lt;40,W191&gt;=45,W191&lt;95),0.23,0)+IF(AND(V191&gt;=20,V191&lt;40,W191&gt;=95),0.17,0)+IF(AND(V191&gt;=40,V191&lt;75,W191&lt;35),0.3,0)+IF(AND(V191&gt;=40,V191&lt;75,W191&gt;=35,W191&lt;75),0.23,0)+IF(AND(V191&gt;=40,V191&lt;75,W191&gt;=75,W191&lt;120),0.17,0)+IF(AND(V191&gt;=40,V191&lt;75,W191&gt;=120),0.12,0)+IF(AND(V191&gt;=75,V191&lt;175,W191&lt;35),0.3,0)+IF(AND(V191&gt;=75,V191&lt;=175,W191&gt;=35,W191&lt;65),0.23,0)+IF(AND(V191&gt;=75,V191&lt;=175,W191&gt;=65,W191&lt;110),0.17,0)+IF(AND(V191&gt;=75,V191&lt;=175,W191&gt;=110),0.12,0)+IF(AND(V191&gt;175,W191&lt;25),0.3,0)+IF(AND(V191&gt;175,W191&gt;=25,W191&lt;55),0.23,0)+IF(AND(V191&gt;175,W191&gt;=55,W191&lt;95),0.17,0)+IF(AND(V191&gt;175,W191&gt;=95),0.12,0),
IF(AF191="Fix15",0.15,
IF(AF191="Fix11.25",0.1125,
IF(AF191="Fix10",0.1,
IF(AF191="Fix9",0.09,
IF(AF191="DoEV2017",IF(AND(W191&lt;74),0.2,0)+IF(AND(W191&gt;=74),0.17,0),
IF(AF191="SF",IF(AND(V191&lt;20,W191&lt;89),0.3,0)+IF(AND(V191&lt;20,W191&gt;=89),0.25,0)+IF(AND(V191&gt;=20,V191&lt;40,W191&lt;74),0.3,0)+IF(AND(V191&gt;=20,V191&lt;40,W191&gt;=75),0.22,0)+IF(AND(V191&gt;=40,V191&lt;75,W191&lt;75),0.26,0)+IF(AND(V191&gt;=40,V191&lt;75,W191&gt;=75),0.22,0)+IF(V191&gt;=75,0.22,0),
IF(AF191="DoEVold",IF(AND(V191&lt;40,W191&lt;35),0.35,0)+IF(AND(V191&lt;40,W191&gt;=35,W191&lt;75),0.25,0)+IF(AND(V191&lt;40,W191&gt;=75),0.17,0)+IF(AND(V191&gt;=40,V191&lt;75,W191&lt;25),0.35,0)+IF(AND(V191&gt;=40,V191&lt;75,W191&gt;=25,W191&lt;65),0.25,0)+IF(AND(V191&gt;=40,V191&lt;75,W191&gt;=65,W191&lt;100),0.17,0)+IF(AND(V191&gt;=40,V191&lt;75,W191&gt;=100),0.1,0)+IF(AND(V191&gt;=75,W191&lt;25),0.35,0)+IF(AND(V191&gt;=75,W191&gt;=25,W191&lt;60),0.25,0)+IF(AND(V191&gt;=75,W191&gt;=60,W191&lt;95),0.17,0)+IF(AND(V191&gt;=75,W191&gt;=95),0.1,0),
IF(AF191="DoEVold15",IF(AND(V191&lt;=40,W191&lt;35),0.35,0)+IF(AND(V191&lt;=40,W191&gt;=35,W191&lt;75),0.25,0)+IF(AND(V191&lt;=40,W191&gt;=75,W191&lt;120),0.17,0)+IF(AND(V191&lt;=40,W191&gt;=120),0.15,0)+IF(AND(V191&gt;40,V191&lt;75,W191&lt;25),0.35,0)+IF(AND(V191&gt;=40,V191&lt;75,W191&gt;=25,W191&lt;65),0.25,0)+IF(AND(V191&gt;=40,V191&lt;75,W191&gt;=65,W191&lt;100),0.17,0)+IF(AND(V191&gt;=40,V191&lt;75,W191&gt;=100),0.1,0)+IF(AND(V191&gt;=75,W191&lt;25),0.35,0)+IF(AND(V191&gt;=75,W191&gt;=25,W191&lt;60),0.25,0)+IF(AND(V191&gt;=75,W191&gt;=60,W191&lt;95),0.17,0)+IF(AND(V191&gt;=75,W191&gt;=95),0.1,0),
IF(AF191="DoEVba",IF(AND(V191&lt;20,W191&lt;105),0.2,0)+IF(AND(V191&lt;20,W191&gt;=105),0.15,0)+IF(AND(V191&gt;=20,V191&lt;40,W191&lt;95),0.2,0)+IF(AND(V191&gt;=20,V191&lt;40,W191&gt;=95,W191&lt;150),0.15,0)+IF(AND(V191&gt;=20,V191&lt;40,W191&gt;=150),0.12,0)+IF(AND(V191&gt;=40,V191&lt;75,W191&lt;75),0.2,0)+IF(AND(V191&gt;=40,V191&lt;75,W191&gt;=75,W191&lt;120),0.15,0)+IF(AND(V191&gt;=40,V191&lt;75,W191&gt;=120),0.12,0)+IF(AND(V191&gt;=75,V191&lt;175,W191&lt;65),0.2,0)+IF(AND(V191&gt;=75,V191&lt;175,W191&gt;=65,W191&lt;110),0.15,0)+IF(AND(V191&gt;=75,V191&lt;175,W191&gt;=110),0.12,0)+IF(AND(V191&gt;=175,W191&lt;55),0.2,0)+IF(AND(V191&gt;=175,W191&gt;=55,W191&lt;95),0.15,0)+IF(AND(V191&gt;=175,W191&gt;=95),0.12,0),
IF(AF191="DoEVku",IF(AND(V191&lt;20,W191&lt;55),0.23,0)+IF(AND(V191&lt;20,W191&gt;=55,W191&lt;105),0.2,0)+IF(AND(V191&lt;20,W191&gt;=105),0.17,0)+IF(AND(V191&gt;=20,V191&lt;40,W191&lt;45),0.23,0)+IF(AND(V191&gt;=20,V191&lt;40,W191&gt;=45,W191&lt;95),0.2,0)+IF(AND(V191&gt;=20,V191&lt;40,W191&gt;=95,W191&lt;=150),0.17,0)+IF(AND(V191&gt;=20,V191&lt;40,W191&gt;=150),0.12,0)+IF(AND(V191&gt;=40,V191&lt;75,W191&lt;35),0.23,0)+IF(AND(V191&gt;=40,V191&lt;75,W191&gt;=35,W191&lt;75),0.2,0)+IF(AND(V191&gt;=40,V191&lt;75,W191&gt;=75,W191&lt;120),0.17,0)+IF(AND(V191&gt;=40,V191&lt;75,W191&gt;=120),0.12,0)+IF(AND(V191&gt;=75,V191&lt;175,W191&lt;35),0.23,0)+IF(AND(V191&gt;=75,V191&lt;=175,W191&gt;=35,W191&lt;65),0.2,0)+IF(AND(V191&gt;=75,V191&lt;=175,W191&gt;=65,W191&lt;110),0.17,0)+IF(AND(V191&gt;=75,V191&lt;=175,W191&gt;=110),0.12,0)+IF(AND(V191&gt;175,W191&lt;25),0.23,0)+IF(AND(V191&gt;175,W191&gt;=25,W191&lt;55),0.2,0)+IF(AND(V191&gt;175,W191&gt;=55,W191&lt;95),0.17,0)+IF(AND(V191&gt;175,W191&gt;=95),0.12,0),
IF(AF191="DoEVs1",IF(AND(V191&lt;20,W191&lt;55),0.3,0)+IF(AND(V191&lt;20,W191&gt;=55,W191&lt;105),0.23,0)+IF(AND(V191&lt;20,W191&gt;=105),0.17,0)+IF(AND(V191&gt;=20,V191&lt;40,W191&lt;45),0.3,0)+IF(AND(V191&gt;=20,V191&lt;40,W191&gt;=45,W191&lt;95),0.23,0)+IF(AND(V191&gt;=20,V191&lt;40,W191&gt;=95,W191&lt;=150),0.17,0)+IF(AND(V191&gt;=20,V191&lt;40,W191&gt;=150),0.12,0)+IF(AND(V191&gt;=40,V191&lt;75,W191&lt;35),0.3,0)+IF(AND(V191&gt;=40,V191&lt;75,W191&gt;=35,W191&lt;75),0.23,0)+IF(AND(V191&gt;=40,V191&lt;75,W191&gt;=75,W191&lt;120),0.17,0)+IF(AND(V191&gt;=40,V191&lt;75,W191&gt;=120),0.12,0)+IF(AND(V191&gt;=75,V191&lt;175,W191&lt;35),0.3,0)+IF(AND(V191&gt;=75,V191&lt;=175,W191&gt;=35,W191&lt;65),0.23,0)+IF(AND(V191&gt;=75,V191&lt;=175,W191&gt;=65,W191&lt;110),0.17,0)+IF(AND(V191&gt;=75,V191&lt;=175,W191&gt;=110),0.12,0)+IF(AND(V191&gt;175,W191&lt;25),0.3,0)+IF(AND(V191&gt;175,W191&gt;=25,W191&lt;55),0.23,0)+IF(AND(V191&gt;175,W191&gt;=55,W191&lt;95),0.17,0)+IF(AND(V191&gt;175,W191&gt;=95),0.12,0),
IF(AF191="DoEVsu",IF(AND(V191&lt;20,W191&lt;55),0.3,0)+IF(AND(V191&lt;20,W191&gt;=55,W191&lt;105),0.23,0)+IF(AND(V191&lt;20,W191&gt;=105),0.17,0)+IF(AND(V191&gt;=20,V191&lt;40,W191&lt;45),0.3,0)+IF(AND(V191&gt;=20,V191&lt;40,W191&gt;=45,W191&lt;95),0.23,0)+IF(AND(V191&gt;=20,V191&lt;40,W191&gt;=95,W191&lt;=250),0.17,0)+IF(AND(V191&gt;=20,V191&lt;40,W191&gt;=250),0.12,0)+IF(AND(V191&gt;=40,V191&lt;75,W191&lt;35),0.3,0)+IF(AND(V191&gt;=40,V191&lt;75,W191&gt;=35,W191&lt;75),0.23,0)+IF(AND(V191&gt;=40,V191&lt;75,W191&gt;=75,W191&lt;120),0.17,0)+IF(AND(V191&gt;=40,V191&lt;75,W191&gt;=120),0.12,0)+IF(AND(V191&gt;=75,V191&lt;175,W191&lt;35),0.3,0)+IF(AND(V191&gt;=75,V191&lt;=175,W191&gt;=35,W191&lt;65),0.23,0)+IF(AND(V191&gt;=75,V191&lt;=175,W191&gt;=65,W191&lt;110),0.17,0)+IF(AND(V191&gt;=75,V191&lt;=175,W191&gt;=110),0.12,0)+IF(AND(V191&gt;175,W191&lt;25),0.3,0)+IF(AND(V191&gt;175,W191&gt;=25,W191&lt;55),0.23,0)+IF(AND(V191&gt;175,W191&gt;=55,W191&lt;95),0.17,0)+IF(AND(V191&gt;175,W191&gt;=95),0.12,0),
IF(AF191="DoEVni",IF(AND(V191&lt;20,W191&lt;55),0.3,0)+IF(AND(V191&lt;20,W191&gt;=55,W191&lt;105),0.23,0)+IF(AND(V191&lt;20,W191&gt;=105),0.17,0)+IF(AND(V191&gt;=20,V191&lt;40,W191&lt;45),0.3,0)+IF(AND(V191&gt;=20,V191&lt;40,W191&gt;=45,W191&lt;95),0.23,0)+IF(AND(V191&gt;=20,V191&lt;40,W191&gt;=95,W191&lt;=200),0.17,0)+IF(AND(V191&gt;=20,V191&lt;40,W191&gt;=200),0.12,0)+IF(AND(V191&gt;=40,V191&lt;75,W191&lt;35),0.3,0)+IF(AND(V191&gt;=40,V191&lt;75,W191&gt;=35,W191&lt;75),0.23,0)+IF(AND(V191&gt;=40,V191&lt;75,W191&gt;=75,W191&lt;120),0.17,0)+IF(AND(V191&gt;=40,V191&lt;75,W191&gt;=120),0.12,0)+IF(AND(V191&gt;=75,V191&lt;175,W191&lt;35),0.3,0)+IF(AND(V191&gt;=75,V191&lt;=175,W191&gt;=35,W191&lt;65),0.23,0)+IF(AND(V191&gt;=75,V191&lt;=175,W191&gt;=65,W191&lt;110),0.17,0)+IF(AND(V191&gt;=75,V191&lt;=175,W191&gt;=110),0.12,0)+IF(AND(V191&gt;175,W191&lt;25),0.3,0)+IF(AND(V191&gt;175,W191&gt;=25,W191&lt;55),0.23,0)+IF(AND(V191&gt;175,W191&gt;=55,W191&lt;95),0.17,0)+IF(AND(V191&gt;175,W191&gt;=95),0.12,0),
IF(AF191="DoEVLo",IF(AND(V191&lt;20,W191&lt;55),0.25,0)+IF(AND(V191&lt;20,W191&gt;=55,W191&lt;105),0.2,0)+IF(AND(V191&lt;20,W191&gt;=105),0.15,0)+IF(AND(V191&gt;=20,V191&lt;40,W191&lt;45),0.25,0)+IF(AND(V191&gt;=20,V191&lt;40,W191&gt;=45,W191&lt;95),0.2,0)+IF(AND(V191&gt;=20,V191&lt;40,W191&gt;=95),0.15,0)+IF(AND(V191&gt;=40,V191&lt;75,W191&lt;35),0.25,0)+IF(AND(V191&gt;=40,V191&lt;75,W191&gt;=35,W191&lt;75),0.2,0)+IF(AND(V191&gt;=40,V191&lt;75,W191&gt;=75,W191&lt;120),0.15,0)+IF(AND(V191&gt;=40,V191&lt;75,W191&gt;=120),0.1,0)+IF(AND(V191&gt;=75,V191&lt;175,W191&lt;35),0.25,0)+IF(AND(V191&gt;=75,V191&lt;=175,W191&gt;=35,W191&lt;65),0.2,0)+IF(AND(V191&gt;=75,V191&lt;=175,W191&gt;=65,W191&lt;110),0.15,0)+IF(AND(V191&gt;=75,V191&lt;=175,W191&gt;=110),0.1,0)+IF(AND(V191&gt;175,W191&lt;25),0.25,0)+IF(AND(V191&gt;175,W191&gt;=25,W191&lt;55),0.2,0)+IF(AND(V191&gt;175,W191&gt;=55,W191&lt;95),0.15,0)+IF(AND(V191&gt;175,W191&gt;=95),0.1,0))))))))))))))))</f>
        <v>0.3</v>
      </c>
      <c r="Y191" s="30">
        <f>IF(AG191="None",0,IF(AG191="Fix5",0.05,IF(AG191="Fix3.75",0.0375,IF(AG191="Fix10",0.1,IF(AG191="Fix3",0.03,0)))))</f>
        <v>0</v>
      </c>
      <c r="Z191" s="35">
        <f>T191-AA191-AB191</f>
        <v>42.7</v>
      </c>
      <c r="AA191" s="29">
        <f>IF(AD191="EUR",((T191-R191)*X191)*U191+(R191*X191),(T191*X191))</f>
        <v>18.3</v>
      </c>
      <c r="AB191" s="36">
        <f>IF(AD191="EUR",((T191-R191)*Y191)*U191+(R191*Y191),(T191*Y191))</f>
        <v>0</v>
      </c>
      <c r="AC191" s="37" t="b">
        <v>1</v>
      </c>
      <c r="AD191" s="37" t="s">
        <v>38</v>
      </c>
      <c r="AE191" s="37" t="s">
        <v>38</v>
      </c>
      <c r="AF191" s="37" t="str">
        <f t="array" ref="AF191">INDEX('Deal Info'!D:D, MATCH(A191,'Deal Info'!A:A, 0))</f>
        <v>SF</v>
      </c>
      <c r="AG191" s="38" t="str">
        <f t="array" ref="AG191">INDEX('Deal Info'!G:G, MATCH(A191,'Deal Info'!A:A, 0))</f>
        <v>None</v>
      </c>
    </row>
    <row r="192" spans="1:33" ht="14.25" hidden="1" x14ac:dyDescent="0.2">
      <c r="A192" s="18" t="str">
        <f t="array" ref="A192">IF(G192='Room Info'!$B$1, INDEX('Room Info'!$A$2:$A2446, MATCH(B192,'Room Info'!$B$2:$B2446, 0)),IF(G192='Room Info'!$C$1, INDEX('Room Info'!$A$2:$A2446, MATCH(B192,'Room Info'!$C$2:$C2446, 0)),IF(G192='Room Info'!$D$1, INDEX('Room Info'!$A$2:$A2446, MATCH(B192,'Room Info'!$D$2:$D2446, 0)),IF(G192='Room Info'!$E$1, INDEX('Room Info'!$A$2:$A2446, MATCH(B192,'Room Info'!$E$2:$E2446, 0)),IF(G192='Room Info'!$F$1, INDEX('Room Info'!$A$2:$A2446, MATCH(B192,'Room Info'!$F$2:$F2446, 0)),IF(G192='Room Info'!$H$1, INDEX('Room Info'!$A$2:$A2446, MATCH(B192,'Room Info'!$H$2:$H2446, 0)),IF(G192='Room Info'!$G$1, INDEX('Room Info'!$A$2:$A2446, MATCH(B192,'Room Info'!$G$2:$G2446, 0)))))))))</f>
        <v>Fedorovi4</v>
      </c>
      <c r="B192" s="54" t="s">
        <v>96</v>
      </c>
      <c r="C192" s="46">
        <v>44794</v>
      </c>
      <c r="D192" s="46">
        <v>44824</v>
      </c>
      <c r="E192" s="47">
        <v>44805</v>
      </c>
      <c r="F192" s="45" t="s">
        <v>34</v>
      </c>
      <c r="G192" s="54" t="s">
        <v>35</v>
      </c>
      <c r="H192" s="49" t="s">
        <v>46</v>
      </c>
      <c r="I192" s="49" t="s">
        <v>37</v>
      </c>
      <c r="J192" s="50">
        <v>25</v>
      </c>
      <c r="K192" s="51">
        <v>1600</v>
      </c>
      <c r="L192" s="52">
        <v>-1475</v>
      </c>
      <c r="M192" s="53">
        <v>1437</v>
      </c>
      <c r="N192" s="28">
        <f>K192*J192</f>
        <v>40000</v>
      </c>
      <c r="O192" s="54">
        <v>37627</v>
      </c>
      <c r="P192" s="29">
        <v>23.516874999999999</v>
      </c>
      <c r="Q192" s="55"/>
      <c r="R192" s="31">
        <f>M192+Q192</f>
        <v>1437</v>
      </c>
      <c r="S192" s="56">
        <v>-839</v>
      </c>
      <c r="T192" s="32">
        <f>R192+S192+IF(F192="Without EV deal",L192,0)</f>
        <v>598</v>
      </c>
      <c r="U192" s="33">
        <v>1</v>
      </c>
      <c r="V192" s="69">
        <v>25.037359900373598</v>
      </c>
      <c r="W192" s="69">
        <v>32.351653817458342</v>
      </c>
      <c r="X192" s="30">
        <f>IF(AF192="DoEV",IF(AND(V192&lt;20,W192&lt;55),0.3,0)+IF(AND(V192&lt;20,W192&gt;=55,W192&lt;105),0.23,0)+IF(AND(V192&lt;20,W192&gt;=105),0.17,0)+IF(AND(V192&gt;=20,V192&lt;40,W192&lt;45),0.3,0)+IF(AND(V192&gt;=20,V192&lt;40,W192&gt;=45,W192&lt;95),0.23,0)+IF(AND(V192&gt;=20,V192&lt;40,W192&gt;=95),0.17,0)+IF(AND(V192&gt;=40,V192&lt;75,W192&lt;35),0.3,0)+IF(AND(V192&gt;=40,V192&lt;75,W192&gt;=35,W192&lt;75),0.23,0)+IF(AND(V192&gt;=40,V192&lt;75,W192&gt;=75,W192&lt;120),0.17,0)+IF(AND(V192&gt;=40,V192&lt;75,W192&gt;=120),0.12,0)+IF(AND(V192&gt;=75,V192&lt;175,W192&lt;35),0.3,0)+IF(AND(V192&gt;=75,V192&lt;=175,W192&gt;=35,W192&lt;65),0.23,0)+IF(AND(V192&gt;=75,V192&lt;=175,W192&gt;=65,W192&lt;110),0.17,0)+IF(AND(V192&gt;=75,V192&lt;=175,W192&gt;=110),0.12,0)+IF(AND(V192&gt;175,W192&lt;25),0.3,0)+IF(AND(V192&gt;175,W192&gt;=25,W192&lt;55),0.23,0)+IF(AND(V192&gt;175,W192&gt;=55,W192&lt;95),0.17,0)+IF(AND(V192&gt;175,W192&gt;=95),0.12,0),
IF(AF192="Fix15",0.15,
IF(AF192="Fix11.25",0.1125,
IF(AF192="Fix10",0.1,
IF(AF192="Fix9",0.09,
IF(AF192="DoEV2017",IF(AND(W192&lt;74),0.2,0)+IF(AND(W192&gt;=74),0.17,0),
IF(AF192="SF",IF(AND(V192&lt;20,W192&lt;89),0.3,0)+IF(AND(V192&lt;20,W192&gt;=89),0.25,0)+IF(AND(V192&gt;=20,V192&lt;40,W192&lt;74),0.3,0)+IF(AND(V192&gt;=20,V192&lt;40,W192&gt;=75),0.22,0)+IF(AND(V192&gt;=40,V192&lt;75,W192&lt;75),0.26,0)+IF(AND(V192&gt;=40,V192&lt;75,W192&gt;=75),0.22,0)+IF(V192&gt;=75,0.22,0),
IF(AF192="DoEVold",IF(AND(V192&lt;40,W192&lt;35),0.35,0)+IF(AND(V192&lt;40,W192&gt;=35,W192&lt;75),0.25,0)+IF(AND(V192&lt;40,W192&gt;=75),0.17,0)+IF(AND(V192&gt;=40,V192&lt;75,W192&lt;25),0.35,0)+IF(AND(V192&gt;=40,V192&lt;75,W192&gt;=25,W192&lt;65),0.25,0)+IF(AND(V192&gt;=40,V192&lt;75,W192&gt;=65,W192&lt;100),0.17,0)+IF(AND(V192&gt;=40,V192&lt;75,W192&gt;=100),0.1,0)+IF(AND(V192&gt;=75,W192&lt;25),0.35,0)+IF(AND(V192&gt;=75,W192&gt;=25,W192&lt;60),0.25,0)+IF(AND(V192&gt;=75,W192&gt;=60,W192&lt;95),0.17,0)+IF(AND(V192&gt;=75,W192&gt;=95),0.1,0),
IF(AF192="DoEVold15",IF(AND(V192&lt;=40,W192&lt;35),0.35,0)+IF(AND(V192&lt;=40,W192&gt;=35,W192&lt;75),0.25,0)+IF(AND(V192&lt;=40,W192&gt;=75,W192&lt;120),0.17,0)+IF(AND(V192&lt;=40,W192&gt;=120),0.15,0)+IF(AND(V192&gt;40,V192&lt;75,W192&lt;25),0.35,0)+IF(AND(V192&gt;=40,V192&lt;75,W192&gt;=25,W192&lt;65),0.25,0)+IF(AND(V192&gt;=40,V192&lt;75,W192&gt;=65,W192&lt;100),0.17,0)+IF(AND(V192&gt;=40,V192&lt;75,W192&gt;=100),0.1,0)+IF(AND(V192&gt;=75,W192&lt;25),0.35,0)+IF(AND(V192&gt;=75,W192&gt;=25,W192&lt;60),0.25,0)+IF(AND(V192&gt;=75,W192&gt;=60,W192&lt;95),0.17,0)+IF(AND(V192&gt;=75,W192&gt;=95),0.1,0),
IF(AF192="DoEVba",IF(AND(V192&lt;20,W192&lt;105),0.2,0)+IF(AND(V192&lt;20,W192&gt;=105),0.15,0)+IF(AND(V192&gt;=20,V192&lt;40,W192&lt;95),0.2,0)+IF(AND(V192&gt;=20,V192&lt;40,W192&gt;=95,W192&lt;150),0.15,0)+IF(AND(V192&gt;=20,V192&lt;40,W192&gt;=150),0.12,0)+IF(AND(V192&gt;=40,V192&lt;75,W192&lt;75),0.2,0)+IF(AND(V192&gt;=40,V192&lt;75,W192&gt;=75,W192&lt;120),0.15,0)+IF(AND(V192&gt;=40,V192&lt;75,W192&gt;=120),0.12,0)+IF(AND(V192&gt;=75,V192&lt;175,W192&lt;65),0.2,0)+IF(AND(V192&gt;=75,V192&lt;175,W192&gt;=65,W192&lt;110),0.15,0)+IF(AND(V192&gt;=75,V192&lt;175,W192&gt;=110),0.12,0)+IF(AND(V192&gt;=175,W192&lt;55),0.2,0)+IF(AND(V192&gt;=175,W192&gt;=55,W192&lt;95),0.15,0)+IF(AND(V192&gt;=175,W192&gt;=95),0.12,0),
IF(AF192="DoEVku",IF(AND(V192&lt;20,W192&lt;55),0.23,0)+IF(AND(V192&lt;20,W192&gt;=55,W192&lt;105),0.2,0)+IF(AND(V192&lt;20,W192&gt;=105),0.17,0)+IF(AND(V192&gt;=20,V192&lt;40,W192&lt;45),0.23,0)+IF(AND(V192&gt;=20,V192&lt;40,W192&gt;=45,W192&lt;95),0.2,0)+IF(AND(V192&gt;=20,V192&lt;40,W192&gt;=95,W192&lt;=150),0.17,0)+IF(AND(V192&gt;=20,V192&lt;40,W192&gt;=150),0.12,0)+IF(AND(V192&gt;=40,V192&lt;75,W192&lt;35),0.23,0)+IF(AND(V192&gt;=40,V192&lt;75,W192&gt;=35,W192&lt;75),0.2,0)+IF(AND(V192&gt;=40,V192&lt;75,W192&gt;=75,W192&lt;120),0.17,0)+IF(AND(V192&gt;=40,V192&lt;75,W192&gt;=120),0.12,0)+IF(AND(V192&gt;=75,V192&lt;175,W192&lt;35),0.23,0)+IF(AND(V192&gt;=75,V192&lt;=175,W192&gt;=35,W192&lt;65),0.2,0)+IF(AND(V192&gt;=75,V192&lt;=175,W192&gt;=65,W192&lt;110),0.17,0)+IF(AND(V192&gt;=75,V192&lt;=175,W192&gt;=110),0.12,0)+IF(AND(V192&gt;175,W192&lt;25),0.23,0)+IF(AND(V192&gt;175,W192&gt;=25,W192&lt;55),0.2,0)+IF(AND(V192&gt;175,W192&gt;=55,W192&lt;95),0.17,0)+IF(AND(V192&gt;175,W192&gt;=95),0.12,0),
IF(AF192="DoEVs1",IF(AND(V192&lt;20,W192&lt;55),0.3,0)+IF(AND(V192&lt;20,W192&gt;=55,W192&lt;105),0.23,0)+IF(AND(V192&lt;20,W192&gt;=105),0.17,0)+IF(AND(V192&gt;=20,V192&lt;40,W192&lt;45),0.3,0)+IF(AND(V192&gt;=20,V192&lt;40,W192&gt;=45,W192&lt;95),0.23,0)+IF(AND(V192&gt;=20,V192&lt;40,W192&gt;=95,W192&lt;=150),0.17,0)+IF(AND(V192&gt;=20,V192&lt;40,W192&gt;=150),0.12,0)+IF(AND(V192&gt;=40,V192&lt;75,W192&lt;35),0.3,0)+IF(AND(V192&gt;=40,V192&lt;75,W192&gt;=35,W192&lt;75),0.23,0)+IF(AND(V192&gt;=40,V192&lt;75,W192&gt;=75,W192&lt;120),0.17,0)+IF(AND(V192&gt;=40,V192&lt;75,W192&gt;=120),0.12,0)+IF(AND(V192&gt;=75,V192&lt;175,W192&lt;35),0.3,0)+IF(AND(V192&gt;=75,V192&lt;=175,W192&gt;=35,W192&lt;65),0.23,0)+IF(AND(V192&gt;=75,V192&lt;=175,W192&gt;=65,W192&lt;110),0.17,0)+IF(AND(V192&gt;=75,V192&lt;=175,W192&gt;=110),0.12,0)+IF(AND(V192&gt;175,W192&lt;25),0.3,0)+IF(AND(V192&gt;175,W192&gt;=25,W192&lt;55),0.23,0)+IF(AND(V192&gt;175,W192&gt;=55,W192&lt;95),0.17,0)+IF(AND(V192&gt;175,W192&gt;=95),0.12,0),
IF(AF192="DoEVsu",IF(AND(V192&lt;20,W192&lt;55),0.3,0)+IF(AND(V192&lt;20,W192&gt;=55,W192&lt;105),0.23,0)+IF(AND(V192&lt;20,W192&gt;=105),0.17,0)+IF(AND(V192&gt;=20,V192&lt;40,W192&lt;45),0.3,0)+IF(AND(V192&gt;=20,V192&lt;40,W192&gt;=45,W192&lt;95),0.23,0)+IF(AND(V192&gt;=20,V192&lt;40,W192&gt;=95,W192&lt;=250),0.17,0)+IF(AND(V192&gt;=20,V192&lt;40,W192&gt;=250),0.12,0)+IF(AND(V192&gt;=40,V192&lt;75,W192&lt;35),0.3,0)+IF(AND(V192&gt;=40,V192&lt;75,W192&gt;=35,W192&lt;75),0.23,0)+IF(AND(V192&gt;=40,V192&lt;75,W192&gt;=75,W192&lt;120),0.17,0)+IF(AND(V192&gt;=40,V192&lt;75,W192&gt;=120),0.12,0)+IF(AND(V192&gt;=75,V192&lt;175,W192&lt;35),0.3,0)+IF(AND(V192&gt;=75,V192&lt;=175,W192&gt;=35,W192&lt;65),0.23,0)+IF(AND(V192&gt;=75,V192&lt;=175,W192&gt;=65,W192&lt;110),0.17,0)+IF(AND(V192&gt;=75,V192&lt;=175,W192&gt;=110),0.12,0)+IF(AND(V192&gt;175,W192&lt;25),0.3,0)+IF(AND(V192&gt;175,W192&gt;=25,W192&lt;55),0.23,0)+IF(AND(V192&gt;175,W192&gt;=55,W192&lt;95),0.17,0)+IF(AND(V192&gt;175,W192&gt;=95),0.12,0),
IF(AF192="DoEVni",IF(AND(V192&lt;20,W192&lt;55),0.3,0)+IF(AND(V192&lt;20,W192&gt;=55,W192&lt;105),0.23,0)+IF(AND(V192&lt;20,W192&gt;=105),0.17,0)+IF(AND(V192&gt;=20,V192&lt;40,W192&lt;45),0.3,0)+IF(AND(V192&gt;=20,V192&lt;40,W192&gt;=45,W192&lt;95),0.23,0)+IF(AND(V192&gt;=20,V192&lt;40,W192&gt;=95,W192&lt;=200),0.17,0)+IF(AND(V192&gt;=20,V192&lt;40,W192&gt;=200),0.12,0)+IF(AND(V192&gt;=40,V192&lt;75,W192&lt;35),0.3,0)+IF(AND(V192&gt;=40,V192&lt;75,W192&gt;=35,W192&lt;75),0.23,0)+IF(AND(V192&gt;=40,V192&lt;75,W192&gt;=75,W192&lt;120),0.17,0)+IF(AND(V192&gt;=40,V192&lt;75,W192&gt;=120),0.12,0)+IF(AND(V192&gt;=75,V192&lt;175,W192&lt;35),0.3,0)+IF(AND(V192&gt;=75,V192&lt;=175,W192&gt;=35,W192&lt;65),0.23,0)+IF(AND(V192&gt;=75,V192&lt;=175,W192&gt;=65,W192&lt;110),0.17,0)+IF(AND(V192&gt;=75,V192&lt;=175,W192&gt;=110),0.12,0)+IF(AND(V192&gt;175,W192&lt;25),0.3,0)+IF(AND(V192&gt;175,W192&gt;=25,W192&lt;55),0.23,0)+IF(AND(V192&gt;175,W192&gt;=55,W192&lt;95),0.17,0)+IF(AND(V192&gt;175,W192&gt;=95),0.12,0),
IF(AF192="DoEVLo",IF(AND(V192&lt;20,W192&lt;55),0.25,0)+IF(AND(V192&lt;20,W192&gt;=55,W192&lt;105),0.2,0)+IF(AND(V192&lt;20,W192&gt;=105),0.15,0)+IF(AND(V192&gt;=20,V192&lt;40,W192&lt;45),0.25,0)+IF(AND(V192&gt;=20,V192&lt;40,W192&gt;=45,W192&lt;95),0.2,0)+IF(AND(V192&gt;=20,V192&lt;40,W192&gt;=95),0.15,0)+IF(AND(V192&gt;=40,V192&lt;75,W192&lt;35),0.25,0)+IF(AND(V192&gt;=40,V192&lt;75,W192&gt;=35,W192&lt;75),0.2,0)+IF(AND(V192&gt;=40,V192&lt;75,W192&gt;=75,W192&lt;120),0.15,0)+IF(AND(V192&gt;=40,V192&lt;75,W192&gt;=120),0.1,0)+IF(AND(V192&gt;=75,V192&lt;175,W192&lt;35),0.25,0)+IF(AND(V192&gt;=75,V192&lt;=175,W192&gt;=35,W192&lt;65),0.2,0)+IF(AND(V192&gt;=75,V192&lt;=175,W192&gt;=65,W192&lt;110),0.15,0)+IF(AND(V192&gt;=75,V192&lt;=175,W192&gt;=110),0.1,0)+IF(AND(V192&gt;175,W192&lt;25),0.25,0)+IF(AND(V192&gt;175,W192&gt;=25,W192&lt;55),0.2,0)+IF(AND(V192&gt;175,W192&gt;=55,W192&lt;95),0.15,0)+IF(AND(V192&gt;175,W192&gt;=95),0.1,0))))))))))))))))</f>
        <v>0.3</v>
      </c>
      <c r="Y192" s="30">
        <f>IF(AG192="None",0,IF(AG192="Fix5",0.05,IF(AG192="Fix3.75",0.0375,IF(AG192="Fix10",0.1,IF(AG192="Fix3",0.03,0)))))</f>
        <v>0</v>
      </c>
      <c r="Z192" s="35">
        <f>T192-AA192-AB192</f>
        <v>418.6</v>
      </c>
      <c r="AA192" s="29">
        <f>IF(AD192="EUR",((T192-R192)*X192)*U192+(R192*X192),(T192*X192))</f>
        <v>179.4</v>
      </c>
      <c r="AB192" s="36">
        <f>IF(AD192="EUR",((T192-R192)*Y192)*U192+(R192*Y192),(T192*Y192))</f>
        <v>0</v>
      </c>
      <c r="AC192" s="37" t="b">
        <v>1</v>
      </c>
      <c r="AD192" s="37" t="s">
        <v>38</v>
      </c>
      <c r="AE192" s="37" t="s">
        <v>38</v>
      </c>
      <c r="AF192" s="37" t="str">
        <f t="array" ref="AF192">INDEX('Deal Info'!D:D, MATCH(A192,'Deal Info'!A:A, 0))</f>
        <v>SF</v>
      </c>
      <c r="AG192" s="38" t="str">
        <f t="array" ref="AG192">INDEX('Deal Info'!G:G, MATCH(A192,'Deal Info'!A:A, 0))</f>
        <v>None</v>
      </c>
    </row>
    <row r="193" spans="1:33" ht="14.25" hidden="1" x14ac:dyDescent="0.2">
      <c r="A193" s="18" t="str">
        <f t="array" ref="A193">IF(G193='Room Info'!$B$1, INDEX('Room Info'!$A$2:$A2446, MATCH(B193,'Room Info'!$B$2:$B2446, 0)),IF(G193='Room Info'!$C$1, INDEX('Room Info'!$A$2:$A2446, MATCH(B193,'Room Info'!$C$2:$C2446, 0)),IF(G193='Room Info'!$D$1, INDEX('Room Info'!$A$2:$A2446, MATCH(B193,'Room Info'!$D$2:$D2446, 0)),IF(G193='Room Info'!$E$1, INDEX('Room Info'!$A$2:$A2446, MATCH(B193,'Room Info'!$E$2:$E2446, 0)),IF(G193='Room Info'!$F$1, INDEX('Room Info'!$A$2:$A2446, MATCH(B193,'Room Info'!$F$2:$F2446, 0)),IF(G193='Room Info'!$H$1, INDEX('Room Info'!$A$2:$A2446, MATCH(B193,'Room Info'!$H$2:$H2446, 0)),IF(G193='Room Info'!$G$1, INDEX('Room Info'!$A$2:$A2446, MATCH(B193,'Room Info'!$G$2:$G2446, 0)))))))))</f>
        <v>Fedorovi4</v>
      </c>
      <c r="B193" s="54" t="s">
        <v>96</v>
      </c>
      <c r="C193" s="46">
        <v>44794</v>
      </c>
      <c r="D193" s="46">
        <v>44824</v>
      </c>
      <c r="E193" s="47">
        <v>44805</v>
      </c>
      <c r="F193" s="45" t="s">
        <v>41</v>
      </c>
      <c r="G193" s="54" t="s">
        <v>35</v>
      </c>
      <c r="H193" s="49" t="s">
        <v>39</v>
      </c>
      <c r="I193" s="49" t="s">
        <v>37</v>
      </c>
      <c r="J193" s="50">
        <v>5</v>
      </c>
      <c r="K193" s="51">
        <v>1</v>
      </c>
      <c r="L193" s="52">
        <v>10</v>
      </c>
      <c r="M193" s="62"/>
      <c r="N193" s="28">
        <f>K193*J193</f>
        <v>5</v>
      </c>
      <c r="O193" s="65"/>
      <c r="P193" s="29">
        <v>0</v>
      </c>
      <c r="Q193" s="55"/>
      <c r="R193" s="31">
        <f>M193+Q193</f>
        <v>0</v>
      </c>
      <c r="S193" s="66"/>
      <c r="T193" s="32">
        <f>R193+S193+IF(F193="Without EV deal",L193,0)</f>
        <v>10</v>
      </c>
      <c r="U193" s="33">
        <v>1</v>
      </c>
      <c r="V193" s="69">
        <v>25.037359900373598</v>
      </c>
      <c r="W193" s="69">
        <v>32.351653817458342</v>
      </c>
      <c r="X193" s="30">
        <f>IF(AF193="DoEV",IF(AND(V193&lt;20,W193&lt;55),0.3,0)+IF(AND(V193&lt;20,W193&gt;=55,W193&lt;105),0.23,0)+IF(AND(V193&lt;20,W193&gt;=105),0.17,0)+IF(AND(V193&gt;=20,V193&lt;40,W193&lt;45),0.3,0)+IF(AND(V193&gt;=20,V193&lt;40,W193&gt;=45,W193&lt;95),0.23,0)+IF(AND(V193&gt;=20,V193&lt;40,W193&gt;=95),0.17,0)+IF(AND(V193&gt;=40,V193&lt;75,W193&lt;35),0.3,0)+IF(AND(V193&gt;=40,V193&lt;75,W193&gt;=35,W193&lt;75),0.23,0)+IF(AND(V193&gt;=40,V193&lt;75,W193&gt;=75,W193&lt;120),0.17,0)+IF(AND(V193&gt;=40,V193&lt;75,W193&gt;=120),0.12,0)+IF(AND(V193&gt;=75,V193&lt;175,W193&lt;35),0.3,0)+IF(AND(V193&gt;=75,V193&lt;=175,W193&gt;=35,W193&lt;65),0.23,0)+IF(AND(V193&gt;=75,V193&lt;=175,W193&gt;=65,W193&lt;110),0.17,0)+IF(AND(V193&gt;=75,V193&lt;=175,W193&gt;=110),0.12,0)+IF(AND(V193&gt;175,W193&lt;25),0.3,0)+IF(AND(V193&gt;175,W193&gt;=25,W193&lt;55),0.23,0)+IF(AND(V193&gt;175,W193&gt;=55,W193&lt;95),0.17,0)+IF(AND(V193&gt;175,W193&gt;=95),0.12,0),
IF(AF193="Fix15",0.15,
IF(AF193="Fix11.25",0.1125,
IF(AF193="Fix10",0.1,
IF(AF193="Fix9",0.09,
IF(AF193="DoEV2017",IF(AND(W193&lt;74),0.2,0)+IF(AND(W193&gt;=74),0.17,0),
IF(AF193="SF",IF(AND(V193&lt;20,W193&lt;89),0.3,0)+IF(AND(V193&lt;20,W193&gt;=89),0.25,0)+IF(AND(V193&gt;=20,V193&lt;40,W193&lt;74),0.3,0)+IF(AND(V193&gt;=20,V193&lt;40,W193&gt;=75),0.22,0)+IF(AND(V193&gt;=40,V193&lt;75,W193&lt;75),0.26,0)+IF(AND(V193&gt;=40,V193&lt;75,W193&gt;=75),0.22,0)+IF(V193&gt;=75,0.22,0),
IF(AF193="DoEVold",IF(AND(V193&lt;40,W193&lt;35),0.35,0)+IF(AND(V193&lt;40,W193&gt;=35,W193&lt;75),0.25,0)+IF(AND(V193&lt;40,W193&gt;=75),0.17,0)+IF(AND(V193&gt;=40,V193&lt;75,W193&lt;25),0.35,0)+IF(AND(V193&gt;=40,V193&lt;75,W193&gt;=25,W193&lt;65),0.25,0)+IF(AND(V193&gt;=40,V193&lt;75,W193&gt;=65,W193&lt;100),0.17,0)+IF(AND(V193&gt;=40,V193&lt;75,W193&gt;=100),0.1,0)+IF(AND(V193&gt;=75,W193&lt;25),0.35,0)+IF(AND(V193&gt;=75,W193&gt;=25,W193&lt;60),0.25,0)+IF(AND(V193&gt;=75,W193&gt;=60,W193&lt;95),0.17,0)+IF(AND(V193&gt;=75,W193&gt;=95),0.1,0),
IF(AF193="DoEVold15",IF(AND(V193&lt;=40,W193&lt;35),0.35,0)+IF(AND(V193&lt;=40,W193&gt;=35,W193&lt;75),0.25,0)+IF(AND(V193&lt;=40,W193&gt;=75,W193&lt;120),0.17,0)+IF(AND(V193&lt;=40,W193&gt;=120),0.15,0)+IF(AND(V193&gt;40,V193&lt;75,W193&lt;25),0.35,0)+IF(AND(V193&gt;=40,V193&lt;75,W193&gt;=25,W193&lt;65),0.25,0)+IF(AND(V193&gt;=40,V193&lt;75,W193&gt;=65,W193&lt;100),0.17,0)+IF(AND(V193&gt;=40,V193&lt;75,W193&gt;=100),0.1,0)+IF(AND(V193&gt;=75,W193&lt;25),0.35,0)+IF(AND(V193&gt;=75,W193&gt;=25,W193&lt;60),0.25,0)+IF(AND(V193&gt;=75,W193&gt;=60,W193&lt;95),0.17,0)+IF(AND(V193&gt;=75,W193&gt;=95),0.1,0),
IF(AF193="DoEVba",IF(AND(V193&lt;20,W193&lt;105),0.2,0)+IF(AND(V193&lt;20,W193&gt;=105),0.15,0)+IF(AND(V193&gt;=20,V193&lt;40,W193&lt;95),0.2,0)+IF(AND(V193&gt;=20,V193&lt;40,W193&gt;=95,W193&lt;150),0.15,0)+IF(AND(V193&gt;=20,V193&lt;40,W193&gt;=150),0.12,0)+IF(AND(V193&gt;=40,V193&lt;75,W193&lt;75),0.2,0)+IF(AND(V193&gt;=40,V193&lt;75,W193&gt;=75,W193&lt;120),0.15,0)+IF(AND(V193&gt;=40,V193&lt;75,W193&gt;=120),0.12,0)+IF(AND(V193&gt;=75,V193&lt;175,W193&lt;65),0.2,0)+IF(AND(V193&gt;=75,V193&lt;175,W193&gt;=65,W193&lt;110),0.15,0)+IF(AND(V193&gt;=75,V193&lt;175,W193&gt;=110),0.12,0)+IF(AND(V193&gt;=175,W193&lt;55),0.2,0)+IF(AND(V193&gt;=175,W193&gt;=55,W193&lt;95),0.15,0)+IF(AND(V193&gt;=175,W193&gt;=95),0.12,0),
IF(AF193="DoEVku",IF(AND(V193&lt;20,W193&lt;55),0.23,0)+IF(AND(V193&lt;20,W193&gt;=55,W193&lt;105),0.2,0)+IF(AND(V193&lt;20,W193&gt;=105),0.17,0)+IF(AND(V193&gt;=20,V193&lt;40,W193&lt;45),0.23,0)+IF(AND(V193&gt;=20,V193&lt;40,W193&gt;=45,W193&lt;95),0.2,0)+IF(AND(V193&gt;=20,V193&lt;40,W193&gt;=95,W193&lt;=150),0.17,0)+IF(AND(V193&gt;=20,V193&lt;40,W193&gt;=150),0.12,0)+IF(AND(V193&gt;=40,V193&lt;75,W193&lt;35),0.23,0)+IF(AND(V193&gt;=40,V193&lt;75,W193&gt;=35,W193&lt;75),0.2,0)+IF(AND(V193&gt;=40,V193&lt;75,W193&gt;=75,W193&lt;120),0.17,0)+IF(AND(V193&gt;=40,V193&lt;75,W193&gt;=120),0.12,0)+IF(AND(V193&gt;=75,V193&lt;175,W193&lt;35),0.23,0)+IF(AND(V193&gt;=75,V193&lt;=175,W193&gt;=35,W193&lt;65),0.2,0)+IF(AND(V193&gt;=75,V193&lt;=175,W193&gt;=65,W193&lt;110),0.17,0)+IF(AND(V193&gt;=75,V193&lt;=175,W193&gt;=110),0.12,0)+IF(AND(V193&gt;175,W193&lt;25),0.23,0)+IF(AND(V193&gt;175,W193&gt;=25,W193&lt;55),0.2,0)+IF(AND(V193&gt;175,W193&gt;=55,W193&lt;95),0.17,0)+IF(AND(V193&gt;175,W193&gt;=95),0.12,0),
IF(AF193="DoEVs1",IF(AND(V193&lt;20,W193&lt;55),0.3,0)+IF(AND(V193&lt;20,W193&gt;=55,W193&lt;105),0.23,0)+IF(AND(V193&lt;20,W193&gt;=105),0.17,0)+IF(AND(V193&gt;=20,V193&lt;40,W193&lt;45),0.3,0)+IF(AND(V193&gt;=20,V193&lt;40,W193&gt;=45,W193&lt;95),0.23,0)+IF(AND(V193&gt;=20,V193&lt;40,W193&gt;=95,W193&lt;=150),0.17,0)+IF(AND(V193&gt;=20,V193&lt;40,W193&gt;=150),0.12,0)+IF(AND(V193&gt;=40,V193&lt;75,W193&lt;35),0.3,0)+IF(AND(V193&gt;=40,V193&lt;75,W193&gt;=35,W193&lt;75),0.23,0)+IF(AND(V193&gt;=40,V193&lt;75,W193&gt;=75,W193&lt;120),0.17,0)+IF(AND(V193&gt;=40,V193&lt;75,W193&gt;=120),0.12,0)+IF(AND(V193&gt;=75,V193&lt;175,W193&lt;35),0.3,0)+IF(AND(V193&gt;=75,V193&lt;=175,W193&gt;=35,W193&lt;65),0.23,0)+IF(AND(V193&gt;=75,V193&lt;=175,W193&gt;=65,W193&lt;110),0.17,0)+IF(AND(V193&gt;=75,V193&lt;=175,W193&gt;=110),0.12,0)+IF(AND(V193&gt;175,W193&lt;25),0.3,0)+IF(AND(V193&gt;175,W193&gt;=25,W193&lt;55),0.23,0)+IF(AND(V193&gt;175,W193&gt;=55,W193&lt;95),0.17,0)+IF(AND(V193&gt;175,W193&gt;=95),0.12,0),
IF(AF193="DoEVsu",IF(AND(V193&lt;20,W193&lt;55),0.3,0)+IF(AND(V193&lt;20,W193&gt;=55,W193&lt;105),0.23,0)+IF(AND(V193&lt;20,W193&gt;=105),0.17,0)+IF(AND(V193&gt;=20,V193&lt;40,W193&lt;45),0.3,0)+IF(AND(V193&gt;=20,V193&lt;40,W193&gt;=45,W193&lt;95),0.23,0)+IF(AND(V193&gt;=20,V193&lt;40,W193&gt;=95,W193&lt;=250),0.17,0)+IF(AND(V193&gt;=20,V193&lt;40,W193&gt;=250),0.12,0)+IF(AND(V193&gt;=40,V193&lt;75,W193&lt;35),0.3,0)+IF(AND(V193&gt;=40,V193&lt;75,W193&gt;=35,W193&lt;75),0.23,0)+IF(AND(V193&gt;=40,V193&lt;75,W193&gt;=75,W193&lt;120),0.17,0)+IF(AND(V193&gt;=40,V193&lt;75,W193&gt;=120),0.12,0)+IF(AND(V193&gt;=75,V193&lt;175,W193&lt;35),0.3,0)+IF(AND(V193&gt;=75,V193&lt;=175,W193&gt;=35,W193&lt;65),0.23,0)+IF(AND(V193&gt;=75,V193&lt;=175,W193&gt;=65,W193&lt;110),0.17,0)+IF(AND(V193&gt;=75,V193&lt;=175,W193&gt;=110),0.12,0)+IF(AND(V193&gt;175,W193&lt;25),0.3,0)+IF(AND(V193&gt;175,W193&gt;=25,W193&lt;55),0.23,0)+IF(AND(V193&gt;175,W193&gt;=55,W193&lt;95),0.17,0)+IF(AND(V193&gt;175,W193&gt;=95),0.12,0),
IF(AF193="DoEVni",IF(AND(V193&lt;20,W193&lt;55),0.3,0)+IF(AND(V193&lt;20,W193&gt;=55,W193&lt;105),0.23,0)+IF(AND(V193&lt;20,W193&gt;=105),0.17,0)+IF(AND(V193&gt;=20,V193&lt;40,W193&lt;45),0.3,0)+IF(AND(V193&gt;=20,V193&lt;40,W193&gt;=45,W193&lt;95),0.23,0)+IF(AND(V193&gt;=20,V193&lt;40,W193&gt;=95,W193&lt;=200),0.17,0)+IF(AND(V193&gt;=20,V193&lt;40,W193&gt;=200),0.12,0)+IF(AND(V193&gt;=40,V193&lt;75,W193&lt;35),0.3,0)+IF(AND(V193&gt;=40,V193&lt;75,W193&gt;=35,W193&lt;75),0.23,0)+IF(AND(V193&gt;=40,V193&lt;75,W193&gt;=75,W193&lt;120),0.17,0)+IF(AND(V193&gt;=40,V193&lt;75,W193&gt;=120),0.12,0)+IF(AND(V193&gt;=75,V193&lt;175,W193&lt;35),0.3,0)+IF(AND(V193&gt;=75,V193&lt;=175,W193&gt;=35,W193&lt;65),0.23,0)+IF(AND(V193&gt;=75,V193&lt;=175,W193&gt;=65,W193&lt;110),0.17,0)+IF(AND(V193&gt;=75,V193&lt;=175,W193&gt;=110),0.12,0)+IF(AND(V193&gt;175,W193&lt;25),0.3,0)+IF(AND(V193&gt;175,W193&gt;=25,W193&lt;55),0.23,0)+IF(AND(V193&gt;175,W193&gt;=55,W193&lt;95),0.17,0)+IF(AND(V193&gt;175,W193&gt;=95),0.12,0),
IF(AF193="DoEVLo",IF(AND(V193&lt;20,W193&lt;55),0.25,0)+IF(AND(V193&lt;20,W193&gt;=55,W193&lt;105),0.2,0)+IF(AND(V193&lt;20,W193&gt;=105),0.15,0)+IF(AND(V193&gt;=20,V193&lt;40,W193&lt;45),0.25,0)+IF(AND(V193&gt;=20,V193&lt;40,W193&gt;=45,W193&lt;95),0.2,0)+IF(AND(V193&gt;=20,V193&lt;40,W193&gt;=95),0.15,0)+IF(AND(V193&gt;=40,V193&lt;75,W193&lt;35),0.25,0)+IF(AND(V193&gt;=40,V193&lt;75,W193&gt;=35,W193&lt;75),0.2,0)+IF(AND(V193&gt;=40,V193&lt;75,W193&gt;=75,W193&lt;120),0.15,0)+IF(AND(V193&gt;=40,V193&lt;75,W193&gt;=120),0.1,0)+IF(AND(V193&gt;=75,V193&lt;175,W193&lt;35),0.25,0)+IF(AND(V193&gt;=75,V193&lt;=175,W193&gt;=35,W193&lt;65),0.2,0)+IF(AND(V193&gt;=75,V193&lt;=175,W193&gt;=65,W193&lt;110),0.15,0)+IF(AND(V193&gt;=75,V193&lt;=175,W193&gt;=110),0.1,0)+IF(AND(V193&gt;175,W193&lt;25),0.25,0)+IF(AND(V193&gt;175,W193&gt;=25,W193&lt;55),0.2,0)+IF(AND(V193&gt;175,W193&gt;=55,W193&lt;95),0.15,0)+IF(AND(V193&gt;175,W193&gt;=95),0.1,0))))))))))))))))</f>
        <v>0.3</v>
      </c>
      <c r="Y193" s="30">
        <f>IF(AG193="None",0,IF(AG193="Fix5",0.05,IF(AG193="Fix3.75",0.0375,IF(AG193="Fix10",0.1,IF(AG193="Fix3",0.03,0)))))</f>
        <v>0</v>
      </c>
      <c r="Z193" s="35">
        <f>T193-AA193-AB193</f>
        <v>7</v>
      </c>
      <c r="AA193" s="29">
        <f>IF(AD193="EUR",((T193-R193)*X193)*U193+(R193*X193),(T193*X193))</f>
        <v>3</v>
      </c>
      <c r="AB193" s="36">
        <f>IF(AD193="EUR",((T193-R193)*Y193)*U193+(R193*Y193),(T193*Y193))</f>
        <v>0</v>
      </c>
      <c r="AC193" s="37" t="b">
        <v>1</v>
      </c>
      <c r="AD193" s="37" t="s">
        <v>38</v>
      </c>
      <c r="AE193" s="37" t="s">
        <v>38</v>
      </c>
      <c r="AF193" s="37" t="str">
        <f t="array" ref="AF193">INDEX('Deal Info'!D:D, MATCH(A193,'Deal Info'!A:A, 0))</f>
        <v>SF</v>
      </c>
      <c r="AG193" s="38" t="str">
        <f t="array" ref="AG193">INDEX('Deal Info'!G:G, MATCH(A193,'Deal Info'!A:A, 0))</f>
        <v>None</v>
      </c>
    </row>
    <row r="194" spans="1:33" ht="14.25" hidden="1" x14ac:dyDescent="0.2">
      <c r="A194" s="18" t="str">
        <f t="array" ref="A194">IF(G194='Room Info'!$B$1, INDEX('Room Info'!$A$2:$A2446, MATCH(B194,'Room Info'!$B$2:$B2446, 0)),IF(G194='Room Info'!$C$1, INDEX('Room Info'!$A$2:$A2446, MATCH(B194,'Room Info'!$C$2:$C2446, 0)),IF(G194='Room Info'!$D$1, INDEX('Room Info'!$A$2:$A2446, MATCH(B194,'Room Info'!$D$2:$D2446, 0)),IF(G194='Room Info'!$E$1, INDEX('Room Info'!$A$2:$A2446, MATCH(B194,'Room Info'!$E$2:$E2446, 0)),IF(G194='Room Info'!$F$1, INDEX('Room Info'!$A$2:$A2446, MATCH(B194,'Room Info'!$F$2:$F2446, 0)),IF(G194='Room Info'!$H$1, INDEX('Room Info'!$A$2:$A2446, MATCH(B194,'Room Info'!$H$2:$H2446, 0)),IF(G194='Room Info'!$G$1, INDEX('Room Info'!$A$2:$A2446, MATCH(B194,'Room Info'!$G$2:$G2446, 0)))))))))</f>
        <v>Fedorovi4</v>
      </c>
      <c r="B194" s="54" t="s">
        <v>96</v>
      </c>
      <c r="C194" s="46">
        <v>44794</v>
      </c>
      <c r="D194" s="46">
        <v>44824</v>
      </c>
      <c r="E194" s="47">
        <v>44805</v>
      </c>
      <c r="F194" s="45" t="s">
        <v>41</v>
      </c>
      <c r="G194" s="54" t="s">
        <v>35</v>
      </c>
      <c r="H194" s="49" t="s">
        <v>90</v>
      </c>
      <c r="I194" s="49" t="s">
        <v>44</v>
      </c>
      <c r="J194" s="50">
        <v>5</v>
      </c>
      <c r="K194" s="51">
        <v>1</v>
      </c>
      <c r="L194" s="52">
        <v>-5</v>
      </c>
      <c r="M194" s="62"/>
      <c r="N194" s="28">
        <f>K194*J194</f>
        <v>5</v>
      </c>
      <c r="O194" s="65"/>
      <c r="P194" s="29">
        <v>0</v>
      </c>
      <c r="Q194" s="55"/>
      <c r="R194" s="31">
        <f>M194+Q194</f>
        <v>0</v>
      </c>
      <c r="S194" s="66"/>
      <c r="T194" s="32">
        <f>R194+S194+IF(F194="Without EV deal",L194,0)</f>
        <v>-5</v>
      </c>
      <c r="U194" s="33">
        <v>1</v>
      </c>
      <c r="V194" s="69">
        <v>25.037359900373598</v>
      </c>
      <c r="W194" s="69">
        <v>32.351653817458342</v>
      </c>
      <c r="X194" s="30">
        <f>IF(AF194="DoEV",IF(AND(V194&lt;20,W194&lt;55),0.3,0)+IF(AND(V194&lt;20,W194&gt;=55,W194&lt;105),0.23,0)+IF(AND(V194&lt;20,W194&gt;=105),0.17,0)+IF(AND(V194&gt;=20,V194&lt;40,W194&lt;45),0.3,0)+IF(AND(V194&gt;=20,V194&lt;40,W194&gt;=45,W194&lt;95),0.23,0)+IF(AND(V194&gt;=20,V194&lt;40,W194&gt;=95),0.17,0)+IF(AND(V194&gt;=40,V194&lt;75,W194&lt;35),0.3,0)+IF(AND(V194&gt;=40,V194&lt;75,W194&gt;=35,W194&lt;75),0.23,0)+IF(AND(V194&gt;=40,V194&lt;75,W194&gt;=75,W194&lt;120),0.17,0)+IF(AND(V194&gt;=40,V194&lt;75,W194&gt;=120),0.12,0)+IF(AND(V194&gt;=75,V194&lt;175,W194&lt;35),0.3,0)+IF(AND(V194&gt;=75,V194&lt;=175,W194&gt;=35,W194&lt;65),0.23,0)+IF(AND(V194&gt;=75,V194&lt;=175,W194&gt;=65,W194&lt;110),0.17,0)+IF(AND(V194&gt;=75,V194&lt;=175,W194&gt;=110),0.12,0)+IF(AND(V194&gt;175,W194&lt;25),0.3,0)+IF(AND(V194&gt;175,W194&gt;=25,W194&lt;55),0.23,0)+IF(AND(V194&gt;175,W194&gt;=55,W194&lt;95),0.17,0)+IF(AND(V194&gt;175,W194&gt;=95),0.12,0),
IF(AF194="Fix15",0.15,
IF(AF194="Fix11.25",0.1125,
IF(AF194="Fix10",0.1,
IF(AF194="Fix9",0.09,
IF(AF194="DoEV2017",IF(AND(W194&lt;74),0.2,0)+IF(AND(W194&gt;=74),0.17,0),
IF(AF194="SF",IF(AND(V194&lt;20,W194&lt;89),0.3,0)+IF(AND(V194&lt;20,W194&gt;=89),0.25,0)+IF(AND(V194&gt;=20,V194&lt;40,W194&lt;74),0.3,0)+IF(AND(V194&gt;=20,V194&lt;40,W194&gt;=75),0.22,0)+IF(AND(V194&gt;=40,V194&lt;75,W194&lt;75),0.26,0)+IF(AND(V194&gt;=40,V194&lt;75,W194&gt;=75),0.22,0)+IF(V194&gt;=75,0.22,0),
IF(AF194="DoEVold",IF(AND(V194&lt;40,W194&lt;35),0.35,0)+IF(AND(V194&lt;40,W194&gt;=35,W194&lt;75),0.25,0)+IF(AND(V194&lt;40,W194&gt;=75),0.17,0)+IF(AND(V194&gt;=40,V194&lt;75,W194&lt;25),0.35,0)+IF(AND(V194&gt;=40,V194&lt;75,W194&gt;=25,W194&lt;65),0.25,0)+IF(AND(V194&gt;=40,V194&lt;75,W194&gt;=65,W194&lt;100),0.17,0)+IF(AND(V194&gt;=40,V194&lt;75,W194&gt;=100),0.1,0)+IF(AND(V194&gt;=75,W194&lt;25),0.35,0)+IF(AND(V194&gt;=75,W194&gt;=25,W194&lt;60),0.25,0)+IF(AND(V194&gt;=75,W194&gt;=60,W194&lt;95),0.17,0)+IF(AND(V194&gt;=75,W194&gt;=95),0.1,0),
IF(AF194="DoEVold15",IF(AND(V194&lt;=40,W194&lt;35),0.35,0)+IF(AND(V194&lt;=40,W194&gt;=35,W194&lt;75),0.25,0)+IF(AND(V194&lt;=40,W194&gt;=75,W194&lt;120),0.17,0)+IF(AND(V194&lt;=40,W194&gt;=120),0.15,0)+IF(AND(V194&gt;40,V194&lt;75,W194&lt;25),0.35,0)+IF(AND(V194&gt;=40,V194&lt;75,W194&gt;=25,W194&lt;65),0.25,0)+IF(AND(V194&gt;=40,V194&lt;75,W194&gt;=65,W194&lt;100),0.17,0)+IF(AND(V194&gt;=40,V194&lt;75,W194&gt;=100),0.1,0)+IF(AND(V194&gt;=75,W194&lt;25),0.35,0)+IF(AND(V194&gt;=75,W194&gt;=25,W194&lt;60),0.25,0)+IF(AND(V194&gt;=75,W194&gt;=60,W194&lt;95),0.17,0)+IF(AND(V194&gt;=75,W194&gt;=95),0.1,0),
IF(AF194="DoEVba",IF(AND(V194&lt;20,W194&lt;105),0.2,0)+IF(AND(V194&lt;20,W194&gt;=105),0.15,0)+IF(AND(V194&gt;=20,V194&lt;40,W194&lt;95),0.2,0)+IF(AND(V194&gt;=20,V194&lt;40,W194&gt;=95,W194&lt;150),0.15,0)+IF(AND(V194&gt;=20,V194&lt;40,W194&gt;=150),0.12,0)+IF(AND(V194&gt;=40,V194&lt;75,W194&lt;75),0.2,0)+IF(AND(V194&gt;=40,V194&lt;75,W194&gt;=75,W194&lt;120),0.15,0)+IF(AND(V194&gt;=40,V194&lt;75,W194&gt;=120),0.12,0)+IF(AND(V194&gt;=75,V194&lt;175,W194&lt;65),0.2,0)+IF(AND(V194&gt;=75,V194&lt;175,W194&gt;=65,W194&lt;110),0.15,0)+IF(AND(V194&gt;=75,V194&lt;175,W194&gt;=110),0.12,0)+IF(AND(V194&gt;=175,W194&lt;55),0.2,0)+IF(AND(V194&gt;=175,W194&gt;=55,W194&lt;95),0.15,0)+IF(AND(V194&gt;=175,W194&gt;=95),0.12,0),
IF(AF194="DoEVku",IF(AND(V194&lt;20,W194&lt;55),0.23,0)+IF(AND(V194&lt;20,W194&gt;=55,W194&lt;105),0.2,0)+IF(AND(V194&lt;20,W194&gt;=105),0.17,0)+IF(AND(V194&gt;=20,V194&lt;40,W194&lt;45),0.23,0)+IF(AND(V194&gt;=20,V194&lt;40,W194&gt;=45,W194&lt;95),0.2,0)+IF(AND(V194&gt;=20,V194&lt;40,W194&gt;=95,W194&lt;=150),0.17,0)+IF(AND(V194&gt;=20,V194&lt;40,W194&gt;=150),0.12,0)+IF(AND(V194&gt;=40,V194&lt;75,W194&lt;35),0.23,0)+IF(AND(V194&gt;=40,V194&lt;75,W194&gt;=35,W194&lt;75),0.2,0)+IF(AND(V194&gt;=40,V194&lt;75,W194&gt;=75,W194&lt;120),0.17,0)+IF(AND(V194&gt;=40,V194&lt;75,W194&gt;=120),0.12,0)+IF(AND(V194&gt;=75,V194&lt;175,W194&lt;35),0.23,0)+IF(AND(V194&gt;=75,V194&lt;=175,W194&gt;=35,W194&lt;65),0.2,0)+IF(AND(V194&gt;=75,V194&lt;=175,W194&gt;=65,W194&lt;110),0.17,0)+IF(AND(V194&gt;=75,V194&lt;=175,W194&gt;=110),0.12,0)+IF(AND(V194&gt;175,W194&lt;25),0.23,0)+IF(AND(V194&gt;175,W194&gt;=25,W194&lt;55),0.2,0)+IF(AND(V194&gt;175,W194&gt;=55,W194&lt;95),0.17,0)+IF(AND(V194&gt;175,W194&gt;=95),0.12,0),
IF(AF194="DoEVs1",IF(AND(V194&lt;20,W194&lt;55),0.3,0)+IF(AND(V194&lt;20,W194&gt;=55,W194&lt;105),0.23,0)+IF(AND(V194&lt;20,W194&gt;=105),0.17,0)+IF(AND(V194&gt;=20,V194&lt;40,W194&lt;45),0.3,0)+IF(AND(V194&gt;=20,V194&lt;40,W194&gt;=45,W194&lt;95),0.23,0)+IF(AND(V194&gt;=20,V194&lt;40,W194&gt;=95,W194&lt;=150),0.17,0)+IF(AND(V194&gt;=20,V194&lt;40,W194&gt;=150),0.12,0)+IF(AND(V194&gt;=40,V194&lt;75,W194&lt;35),0.3,0)+IF(AND(V194&gt;=40,V194&lt;75,W194&gt;=35,W194&lt;75),0.23,0)+IF(AND(V194&gt;=40,V194&lt;75,W194&gt;=75,W194&lt;120),0.17,0)+IF(AND(V194&gt;=40,V194&lt;75,W194&gt;=120),0.12,0)+IF(AND(V194&gt;=75,V194&lt;175,W194&lt;35),0.3,0)+IF(AND(V194&gt;=75,V194&lt;=175,W194&gt;=35,W194&lt;65),0.23,0)+IF(AND(V194&gt;=75,V194&lt;=175,W194&gt;=65,W194&lt;110),0.17,0)+IF(AND(V194&gt;=75,V194&lt;=175,W194&gt;=110),0.12,0)+IF(AND(V194&gt;175,W194&lt;25),0.3,0)+IF(AND(V194&gt;175,W194&gt;=25,W194&lt;55),0.23,0)+IF(AND(V194&gt;175,W194&gt;=55,W194&lt;95),0.17,0)+IF(AND(V194&gt;175,W194&gt;=95),0.12,0),
IF(AF194="DoEVsu",IF(AND(V194&lt;20,W194&lt;55),0.3,0)+IF(AND(V194&lt;20,W194&gt;=55,W194&lt;105),0.23,0)+IF(AND(V194&lt;20,W194&gt;=105),0.17,0)+IF(AND(V194&gt;=20,V194&lt;40,W194&lt;45),0.3,0)+IF(AND(V194&gt;=20,V194&lt;40,W194&gt;=45,W194&lt;95),0.23,0)+IF(AND(V194&gt;=20,V194&lt;40,W194&gt;=95,W194&lt;=250),0.17,0)+IF(AND(V194&gt;=20,V194&lt;40,W194&gt;=250),0.12,0)+IF(AND(V194&gt;=40,V194&lt;75,W194&lt;35),0.3,0)+IF(AND(V194&gt;=40,V194&lt;75,W194&gt;=35,W194&lt;75),0.23,0)+IF(AND(V194&gt;=40,V194&lt;75,W194&gt;=75,W194&lt;120),0.17,0)+IF(AND(V194&gt;=40,V194&lt;75,W194&gt;=120),0.12,0)+IF(AND(V194&gt;=75,V194&lt;175,W194&lt;35),0.3,0)+IF(AND(V194&gt;=75,V194&lt;=175,W194&gt;=35,W194&lt;65),0.23,0)+IF(AND(V194&gt;=75,V194&lt;=175,W194&gt;=65,W194&lt;110),0.17,0)+IF(AND(V194&gt;=75,V194&lt;=175,W194&gt;=110),0.12,0)+IF(AND(V194&gt;175,W194&lt;25),0.3,0)+IF(AND(V194&gt;175,W194&gt;=25,W194&lt;55),0.23,0)+IF(AND(V194&gt;175,W194&gt;=55,W194&lt;95),0.17,0)+IF(AND(V194&gt;175,W194&gt;=95),0.12,0),
IF(AF194="DoEVni",IF(AND(V194&lt;20,W194&lt;55),0.3,0)+IF(AND(V194&lt;20,W194&gt;=55,W194&lt;105),0.23,0)+IF(AND(V194&lt;20,W194&gt;=105),0.17,0)+IF(AND(V194&gt;=20,V194&lt;40,W194&lt;45),0.3,0)+IF(AND(V194&gt;=20,V194&lt;40,W194&gt;=45,W194&lt;95),0.23,0)+IF(AND(V194&gt;=20,V194&lt;40,W194&gt;=95,W194&lt;=200),0.17,0)+IF(AND(V194&gt;=20,V194&lt;40,W194&gt;=200),0.12,0)+IF(AND(V194&gt;=40,V194&lt;75,W194&lt;35),0.3,0)+IF(AND(V194&gt;=40,V194&lt;75,W194&gt;=35,W194&lt;75),0.23,0)+IF(AND(V194&gt;=40,V194&lt;75,W194&gt;=75,W194&lt;120),0.17,0)+IF(AND(V194&gt;=40,V194&lt;75,W194&gt;=120),0.12,0)+IF(AND(V194&gt;=75,V194&lt;175,W194&lt;35),0.3,0)+IF(AND(V194&gt;=75,V194&lt;=175,W194&gt;=35,W194&lt;65),0.23,0)+IF(AND(V194&gt;=75,V194&lt;=175,W194&gt;=65,W194&lt;110),0.17,0)+IF(AND(V194&gt;=75,V194&lt;=175,W194&gt;=110),0.12,0)+IF(AND(V194&gt;175,W194&lt;25),0.3,0)+IF(AND(V194&gt;175,W194&gt;=25,W194&lt;55),0.23,0)+IF(AND(V194&gt;175,W194&gt;=55,W194&lt;95),0.17,0)+IF(AND(V194&gt;175,W194&gt;=95),0.12,0),
IF(AF194="DoEVLo",IF(AND(V194&lt;20,W194&lt;55),0.25,0)+IF(AND(V194&lt;20,W194&gt;=55,W194&lt;105),0.2,0)+IF(AND(V194&lt;20,W194&gt;=105),0.15,0)+IF(AND(V194&gt;=20,V194&lt;40,W194&lt;45),0.25,0)+IF(AND(V194&gt;=20,V194&lt;40,W194&gt;=45,W194&lt;95),0.2,0)+IF(AND(V194&gt;=20,V194&lt;40,W194&gt;=95),0.15,0)+IF(AND(V194&gt;=40,V194&lt;75,W194&lt;35),0.25,0)+IF(AND(V194&gt;=40,V194&lt;75,W194&gt;=35,W194&lt;75),0.2,0)+IF(AND(V194&gt;=40,V194&lt;75,W194&gt;=75,W194&lt;120),0.15,0)+IF(AND(V194&gt;=40,V194&lt;75,W194&gt;=120),0.1,0)+IF(AND(V194&gt;=75,V194&lt;175,W194&lt;35),0.25,0)+IF(AND(V194&gt;=75,V194&lt;=175,W194&gt;=35,W194&lt;65),0.2,0)+IF(AND(V194&gt;=75,V194&lt;=175,W194&gt;=65,W194&lt;110),0.15,0)+IF(AND(V194&gt;=75,V194&lt;=175,W194&gt;=110),0.1,0)+IF(AND(V194&gt;175,W194&lt;25),0.25,0)+IF(AND(V194&gt;175,W194&gt;=25,W194&lt;55),0.2,0)+IF(AND(V194&gt;175,W194&gt;=55,W194&lt;95),0.15,0)+IF(AND(V194&gt;175,W194&gt;=95),0.1,0))))))))))))))))</f>
        <v>0.3</v>
      </c>
      <c r="Y194" s="30">
        <f>IF(AG194="None",0,IF(AG194="Fix5",0.05,IF(AG194="Fix3.75",0.0375,IF(AG194="Fix10",0.1,IF(AG194="Fix3",0.03,0)))))</f>
        <v>0</v>
      </c>
      <c r="Z194" s="35">
        <f>T194-AA194-AB194</f>
        <v>-3.5</v>
      </c>
      <c r="AA194" s="29">
        <f>IF(AD194="EUR",((T194-R194)*X194)*U194+(R194*X194),(T194*X194))</f>
        <v>-1.5</v>
      </c>
      <c r="AB194" s="36">
        <f>IF(AD194="EUR",((T194-R194)*Y194)*U194+(R194*Y194),(T194*Y194))</f>
        <v>0</v>
      </c>
      <c r="AC194" s="37" t="b">
        <v>1</v>
      </c>
      <c r="AD194" s="37" t="s">
        <v>38</v>
      </c>
      <c r="AE194" s="37" t="s">
        <v>38</v>
      </c>
      <c r="AF194" s="37" t="str">
        <f t="array" ref="AF194">INDEX('Deal Info'!D:D, MATCH(A194,'Deal Info'!A:A, 0))</f>
        <v>SF</v>
      </c>
      <c r="AG194" s="38" t="str">
        <f t="array" ref="AG194">INDEX('Deal Info'!G:G, MATCH(A194,'Deal Info'!A:A, 0))</f>
        <v>None</v>
      </c>
    </row>
    <row r="195" spans="1:33" ht="14.25" hidden="1" x14ac:dyDescent="0.2">
      <c r="A195" s="18" t="str">
        <f t="array" ref="A195">IF(G195='Room Info'!$B$1, INDEX('Room Info'!$A$2:$A2446, MATCH(B195,'Room Info'!$B$2:$B2446, 0)),IF(G195='Room Info'!$C$1, INDEX('Room Info'!$A$2:$A2446, MATCH(B195,'Room Info'!$C$2:$C2446, 0)),IF(G195='Room Info'!$D$1, INDEX('Room Info'!$A$2:$A2446, MATCH(B195,'Room Info'!$D$2:$D2446, 0)),IF(G195='Room Info'!$E$1, INDEX('Room Info'!$A$2:$A2446, MATCH(B195,'Room Info'!$E$2:$E2446, 0)),IF(G195='Room Info'!$F$1, INDEX('Room Info'!$A$2:$A2446, MATCH(B195,'Room Info'!$F$2:$F2446, 0)),IF(G195='Room Info'!$H$1, INDEX('Room Info'!$A$2:$A2446, MATCH(B195,'Room Info'!$H$2:$H2446, 0)),IF(G195='Room Info'!$G$1, INDEX('Room Info'!$A$2:$A2446, MATCH(B195,'Room Info'!$G$2:$G2446, 0)))))))))</f>
        <v>Fedorovi4</v>
      </c>
      <c r="B195" s="54" t="s">
        <v>96</v>
      </c>
      <c r="C195" s="46">
        <v>44794</v>
      </c>
      <c r="D195" s="46">
        <v>44824</v>
      </c>
      <c r="E195" s="47">
        <v>44805</v>
      </c>
      <c r="F195" s="45" t="s">
        <v>41</v>
      </c>
      <c r="G195" s="54" t="s">
        <v>35</v>
      </c>
      <c r="H195" s="49" t="s">
        <v>72</v>
      </c>
      <c r="I195" s="49" t="s">
        <v>37</v>
      </c>
      <c r="J195" s="50">
        <v>50</v>
      </c>
      <c r="K195" s="51">
        <v>4</v>
      </c>
      <c r="L195" s="52">
        <v>200</v>
      </c>
      <c r="M195" s="53">
        <v>7</v>
      </c>
      <c r="N195" s="28">
        <f>K195*J195</f>
        <v>200</v>
      </c>
      <c r="O195" s="65"/>
      <c r="P195" s="29">
        <v>0</v>
      </c>
      <c r="Q195" s="55"/>
      <c r="R195" s="31">
        <f>M195+Q195</f>
        <v>7</v>
      </c>
      <c r="S195" s="66"/>
      <c r="T195" s="32">
        <f>R195+S195+IF(F195="Without EV deal",L195,0)</f>
        <v>207</v>
      </c>
      <c r="U195" s="33">
        <v>1</v>
      </c>
      <c r="V195" s="69">
        <v>25.037359900373598</v>
      </c>
      <c r="W195" s="69">
        <v>32.351653817458342</v>
      </c>
      <c r="X195" s="30">
        <f>IF(AF195="DoEV",IF(AND(V195&lt;20,W195&lt;55),0.3,0)+IF(AND(V195&lt;20,W195&gt;=55,W195&lt;105),0.23,0)+IF(AND(V195&lt;20,W195&gt;=105),0.17,0)+IF(AND(V195&gt;=20,V195&lt;40,W195&lt;45),0.3,0)+IF(AND(V195&gt;=20,V195&lt;40,W195&gt;=45,W195&lt;95),0.23,0)+IF(AND(V195&gt;=20,V195&lt;40,W195&gt;=95),0.17,0)+IF(AND(V195&gt;=40,V195&lt;75,W195&lt;35),0.3,0)+IF(AND(V195&gt;=40,V195&lt;75,W195&gt;=35,W195&lt;75),0.23,0)+IF(AND(V195&gt;=40,V195&lt;75,W195&gt;=75,W195&lt;120),0.17,0)+IF(AND(V195&gt;=40,V195&lt;75,W195&gt;=120),0.12,0)+IF(AND(V195&gt;=75,V195&lt;175,W195&lt;35),0.3,0)+IF(AND(V195&gt;=75,V195&lt;=175,W195&gt;=35,W195&lt;65),0.23,0)+IF(AND(V195&gt;=75,V195&lt;=175,W195&gt;=65,W195&lt;110),0.17,0)+IF(AND(V195&gt;=75,V195&lt;=175,W195&gt;=110),0.12,0)+IF(AND(V195&gt;175,W195&lt;25),0.3,0)+IF(AND(V195&gt;175,W195&gt;=25,W195&lt;55),0.23,0)+IF(AND(V195&gt;175,W195&gt;=55,W195&lt;95),0.17,0)+IF(AND(V195&gt;175,W195&gt;=95),0.12,0),
IF(AF195="Fix15",0.15,
IF(AF195="Fix11.25",0.1125,
IF(AF195="Fix10",0.1,
IF(AF195="Fix9",0.09,
IF(AF195="DoEV2017",IF(AND(W195&lt;74),0.2,0)+IF(AND(W195&gt;=74),0.17,0),
IF(AF195="SF",IF(AND(V195&lt;20,W195&lt;89),0.3,0)+IF(AND(V195&lt;20,W195&gt;=89),0.25,0)+IF(AND(V195&gt;=20,V195&lt;40,W195&lt;74),0.3,0)+IF(AND(V195&gt;=20,V195&lt;40,W195&gt;=75),0.22,0)+IF(AND(V195&gt;=40,V195&lt;75,W195&lt;75),0.26,0)+IF(AND(V195&gt;=40,V195&lt;75,W195&gt;=75),0.22,0)+IF(V195&gt;=75,0.22,0),
IF(AF195="DoEVold",IF(AND(V195&lt;40,W195&lt;35),0.35,0)+IF(AND(V195&lt;40,W195&gt;=35,W195&lt;75),0.25,0)+IF(AND(V195&lt;40,W195&gt;=75),0.17,0)+IF(AND(V195&gt;=40,V195&lt;75,W195&lt;25),0.35,0)+IF(AND(V195&gt;=40,V195&lt;75,W195&gt;=25,W195&lt;65),0.25,0)+IF(AND(V195&gt;=40,V195&lt;75,W195&gt;=65,W195&lt;100),0.17,0)+IF(AND(V195&gt;=40,V195&lt;75,W195&gt;=100),0.1,0)+IF(AND(V195&gt;=75,W195&lt;25),0.35,0)+IF(AND(V195&gt;=75,W195&gt;=25,W195&lt;60),0.25,0)+IF(AND(V195&gt;=75,W195&gt;=60,W195&lt;95),0.17,0)+IF(AND(V195&gt;=75,W195&gt;=95),0.1,0),
IF(AF195="DoEVold15",IF(AND(V195&lt;=40,W195&lt;35),0.35,0)+IF(AND(V195&lt;=40,W195&gt;=35,W195&lt;75),0.25,0)+IF(AND(V195&lt;=40,W195&gt;=75,W195&lt;120),0.17,0)+IF(AND(V195&lt;=40,W195&gt;=120),0.15,0)+IF(AND(V195&gt;40,V195&lt;75,W195&lt;25),0.35,0)+IF(AND(V195&gt;=40,V195&lt;75,W195&gt;=25,W195&lt;65),0.25,0)+IF(AND(V195&gt;=40,V195&lt;75,W195&gt;=65,W195&lt;100),0.17,0)+IF(AND(V195&gt;=40,V195&lt;75,W195&gt;=100),0.1,0)+IF(AND(V195&gt;=75,W195&lt;25),0.35,0)+IF(AND(V195&gt;=75,W195&gt;=25,W195&lt;60),0.25,0)+IF(AND(V195&gt;=75,W195&gt;=60,W195&lt;95),0.17,0)+IF(AND(V195&gt;=75,W195&gt;=95),0.1,0),
IF(AF195="DoEVba",IF(AND(V195&lt;20,W195&lt;105),0.2,0)+IF(AND(V195&lt;20,W195&gt;=105),0.15,0)+IF(AND(V195&gt;=20,V195&lt;40,W195&lt;95),0.2,0)+IF(AND(V195&gt;=20,V195&lt;40,W195&gt;=95,W195&lt;150),0.15,0)+IF(AND(V195&gt;=20,V195&lt;40,W195&gt;=150),0.12,0)+IF(AND(V195&gt;=40,V195&lt;75,W195&lt;75),0.2,0)+IF(AND(V195&gt;=40,V195&lt;75,W195&gt;=75,W195&lt;120),0.15,0)+IF(AND(V195&gt;=40,V195&lt;75,W195&gt;=120),0.12,0)+IF(AND(V195&gt;=75,V195&lt;175,W195&lt;65),0.2,0)+IF(AND(V195&gt;=75,V195&lt;175,W195&gt;=65,W195&lt;110),0.15,0)+IF(AND(V195&gt;=75,V195&lt;175,W195&gt;=110),0.12,0)+IF(AND(V195&gt;=175,W195&lt;55),0.2,0)+IF(AND(V195&gt;=175,W195&gt;=55,W195&lt;95),0.15,0)+IF(AND(V195&gt;=175,W195&gt;=95),0.12,0),
IF(AF195="DoEVku",IF(AND(V195&lt;20,W195&lt;55),0.23,0)+IF(AND(V195&lt;20,W195&gt;=55,W195&lt;105),0.2,0)+IF(AND(V195&lt;20,W195&gt;=105),0.17,0)+IF(AND(V195&gt;=20,V195&lt;40,W195&lt;45),0.23,0)+IF(AND(V195&gt;=20,V195&lt;40,W195&gt;=45,W195&lt;95),0.2,0)+IF(AND(V195&gt;=20,V195&lt;40,W195&gt;=95,W195&lt;=150),0.17,0)+IF(AND(V195&gt;=20,V195&lt;40,W195&gt;=150),0.12,0)+IF(AND(V195&gt;=40,V195&lt;75,W195&lt;35),0.23,0)+IF(AND(V195&gt;=40,V195&lt;75,W195&gt;=35,W195&lt;75),0.2,0)+IF(AND(V195&gt;=40,V195&lt;75,W195&gt;=75,W195&lt;120),0.17,0)+IF(AND(V195&gt;=40,V195&lt;75,W195&gt;=120),0.12,0)+IF(AND(V195&gt;=75,V195&lt;175,W195&lt;35),0.23,0)+IF(AND(V195&gt;=75,V195&lt;=175,W195&gt;=35,W195&lt;65),0.2,0)+IF(AND(V195&gt;=75,V195&lt;=175,W195&gt;=65,W195&lt;110),0.17,0)+IF(AND(V195&gt;=75,V195&lt;=175,W195&gt;=110),0.12,0)+IF(AND(V195&gt;175,W195&lt;25),0.23,0)+IF(AND(V195&gt;175,W195&gt;=25,W195&lt;55),0.2,0)+IF(AND(V195&gt;175,W195&gt;=55,W195&lt;95),0.17,0)+IF(AND(V195&gt;175,W195&gt;=95),0.12,0),
IF(AF195="DoEVs1",IF(AND(V195&lt;20,W195&lt;55),0.3,0)+IF(AND(V195&lt;20,W195&gt;=55,W195&lt;105),0.23,0)+IF(AND(V195&lt;20,W195&gt;=105),0.17,0)+IF(AND(V195&gt;=20,V195&lt;40,W195&lt;45),0.3,0)+IF(AND(V195&gt;=20,V195&lt;40,W195&gt;=45,W195&lt;95),0.23,0)+IF(AND(V195&gt;=20,V195&lt;40,W195&gt;=95,W195&lt;=150),0.17,0)+IF(AND(V195&gt;=20,V195&lt;40,W195&gt;=150),0.12,0)+IF(AND(V195&gt;=40,V195&lt;75,W195&lt;35),0.3,0)+IF(AND(V195&gt;=40,V195&lt;75,W195&gt;=35,W195&lt;75),0.23,0)+IF(AND(V195&gt;=40,V195&lt;75,W195&gt;=75,W195&lt;120),0.17,0)+IF(AND(V195&gt;=40,V195&lt;75,W195&gt;=120),0.12,0)+IF(AND(V195&gt;=75,V195&lt;175,W195&lt;35),0.3,0)+IF(AND(V195&gt;=75,V195&lt;=175,W195&gt;=35,W195&lt;65),0.23,0)+IF(AND(V195&gt;=75,V195&lt;=175,W195&gt;=65,W195&lt;110),0.17,0)+IF(AND(V195&gt;=75,V195&lt;=175,W195&gt;=110),0.12,0)+IF(AND(V195&gt;175,W195&lt;25),0.3,0)+IF(AND(V195&gt;175,W195&gt;=25,W195&lt;55),0.23,0)+IF(AND(V195&gt;175,W195&gt;=55,W195&lt;95),0.17,0)+IF(AND(V195&gt;175,W195&gt;=95),0.12,0),
IF(AF195="DoEVsu",IF(AND(V195&lt;20,W195&lt;55),0.3,0)+IF(AND(V195&lt;20,W195&gt;=55,W195&lt;105),0.23,0)+IF(AND(V195&lt;20,W195&gt;=105),0.17,0)+IF(AND(V195&gt;=20,V195&lt;40,W195&lt;45),0.3,0)+IF(AND(V195&gt;=20,V195&lt;40,W195&gt;=45,W195&lt;95),0.23,0)+IF(AND(V195&gt;=20,V195&lt;40,W195&gt;=95,W195&lt;=250),0.17,0)+IF(AND(V195&gt;=20,V195&lt;40,W195&gt;=250),0.12,0)+IF(AND(V195&gt;=40,V195&lt;75,W195&lt;35),0.3,0)+IF(AND(V195&gt;=40,V195&lt;75,W195&gt;=35,W195&lt;75),0.23,0)+IF(AND(V195&gt;=40,V195&lt;75,W195&gt;=75,W195&lt;120),0.17,0)+IF(AND(V195&gt;=40,V195&lt;75,W195&gt;=120),0.12,0)+IF(AND(V195&gt;=75,V195&lt;175,W195&lt;35),0.3,0)+IF(AND(V195&gt;=75,V195&lt;=175,W195&gt;=35,W195&lt;65),0.23,0)+IF(AND(V195&gt;=75,V195&lt;=175,W195&gt;=65,W195&lt;110),0.17,0)+IF(AND(V195&gt;=75,V195&lt;=175,W195&gt;=110),0.12,0)+IF(AND(V195&gt;175,W195&lt;25),0.3,0)+IF(AND(V195&gt;175,W195&gt;=25,W195&lt;55),0.23,0)+IF(AND(V195&gt;175,W195&gt;=55,W195&lt;95),0.17,0)+IF(AND(V195&gt;175,W195&gt;=95),0.12,0),
IF(AF195="DoEVni",IF(AND(V195&lt;20,W195&lt;55),0.3,0)+IF(AND(V195&lt;20,W195&gt;=55,W195&lt;105),0.23,0)+IF(AND(V195&lt;20,W195&gt;=105),0.17,0)+IF(AND(V195&gt;=20,V195&lt;40,W195&lt;45),0.3,0)+IF(AND(V195&gt;=20,V195&lt;40,W195&gt;=45,W195&lt;95),0.23,0)+IF(AND(V195&gt;=20,V195&lt;40,W195&gt;=95,W195&lt;=200),0.17,0)+IF(AND(V195&gt;=20,V195&lt;40,W195&gt;=200),0.12,0)+IF(AND(V195&gt;=40,V195&lt;75,W195&lt;35),0.3,0)+IF(AND(V195&gt;=40,V195&lt;75,W195&gt;=35,W195&lt;75),0.23,0)+IF(AND(V195&gt;=40,V195&lt;75,W195&gt;=75,W195&lt;120),0.17,0)+IF(AND(V195&gt;=40,V195&lt;75,W195&gt;=120),0.12,0)+IF(AND(V195&gt;=75,V195&lt;175,W195&lt;35),0.3,0)+IF(AND(V195&gt;=75,V195&lt;=175,W195&gt;=35,W195&lt;65),0.23,0)+IF(AND(V195&gt;=75,V195&lt;=175,W195&gt;=65,W195&lt;110),0.17,0)+IF(AND(V195&gt;=75,V195&lt;=175,W195&gt;=110),0.12,0)+IF(AND(V195&gt;175,W195&lt;25),0.3,0)+IF(AND(V195&gt;175,W195&gt;=25,W195&lt;55),0.23,0)+IF(AND(V195&gt;175,W195&gt;=55,W195&lt;95),0.17,0)+IF(AND(V195&gt;175,W195&gt;=95),0.12,0),
IF(AF195="DoEVLo",IF(AND(V195&lt;20,W195&lt;55),0.25,0)+IF(AND(V195&lt;20,W195&gt;=55,W195&lt;105),0.2,0)+IF(AND(V195&lt;20,W195&gt;=105),0.15,0)+IF(AND(V195&gt;=20,V195&lt;40,W195&lt;45),0.25,0)+IF(AND(V195&gt;=20,V195&lt;40,W195&gt;=45,W195&lt;95),0.2,0)+IF(AND(V195&gt;=20,V195&lt;40,W195&gt;=95),0.15,0)+IF(AND(V195&gt;=40,V195&lt;75,W195&lt;35),0.25,0)+IF(AND(V195&gt;=40,V195&lt;75,W195&gt;=35,W195&lt;75),0.2,0)+IF(AND(V195&gt;=40,V195&lt;75,W195&gt;=75,W195&lt;120),0.15,0)+IF(AND(V195&gt;=40,V195&lt;75,W195&gt;=120),0.1,0)+IF(AND(V195&gt;=75,V195&lt;175,W195&lt;35),0.25,0)+IF(AND(V195&gt;=75,V195&lt;=175,W195&gt;=35,W195&lt;65),0.2,0)+IF(AND(V195&gt;=75,V195&lt;=175,W195&gt;=65,W195&lt;110),0.15,0)+IF(AND(V195&gt;=75,V195&lt;=175,W195&gt;=110),0.1,0)+IF(AND(V195&gt;175,W195&lt;25),0.25,0)+IF(AND(V195&gt;175,W195&gt;=25,W195&lt;55),0.2,0)+IF(AND(V195&gt;175,W195&gt;=55,W195&lt;95),0.15,0)+IF(AND(V195&gt;175,W195&gt;=95),0.1,0))))))))))))))))</f>
        <v>0.3</v>
      </c>
      <c r="Y195" s="30">
        <f>IF(AG195="None",0,IF(AG195="Fix5",0.05,IF(AG195="Fix3.75",0.0375,IF(AG195="Fix10",0.1,IF(AG195="Fix3",0.03,0)))))</f>
        <v>0</v>
      </c>
      <c r="Z195" s="35">
        <f>T195-AA195-AB195</f>
        <v>144.9</v>
      </c>
      <c r="AA195" s="29">
        <f>IF(AD195="EUR",((T195-R195)*X195)*U195+(R195*X195),(T195*X195))</f>
        <v>62.099999999999994</v>
      </c>
      <c r="AB195" s="36">
        <f>IF(AD195="EUR",((T195-R195)*Y195)*U195+(R195*Y195),(T195*Y195))</f>
        <v>0</v>
      </c>
      <c r="AC195" s="37" t="b">
        <v>1</v>
      </c>
      <c r="AD195" s="37" t="s">
        <v>38</v>
      </c>
      <c r="AE195" s="37" t="s">
        <v>38</v>
      </c>
      <c r="AF195" s="37" t="str">
        <f t="array" ref="AF195">INDEX('Deal Info'!D:D, MATCH(A195,'Deal Info'!A:A, 0))</f>
        <v>SF</v>
      </c>
      <c r="AG195" s="38" t="str">
        <f t="array" ref="AG195">INDEX('Deal Info'!G:G, MATCH(A195,'Deal Info'!A:A, 0))</f>
        <v>None</v>
      </c>
    </row>
    <row r="196" spans="1:33" ht="14.25" hidden="1" x14ac:dyDescent="0.2">
      <c r="A196" s="18" t="str">
        <f t="array" ref="A196">IF(G196='Room Info'!$B$1, INDEX('Room Info'!$A$2:$A2446, MATCH(B196,'Room Info'!$B$2:$B2446, 0)),IF(G196='Room Info'!$C$1, INDEX('Room Info'!$A$2:$A2446, MATCH(B196,'Room Info'!$C$2:$C2446, 0)),IF(G196='Room Info'!$D$1, INDEX('Room Info'!$A$2:$A2446, MATCH(B196,'Room Info'!$D$2:$D2446, 0)),IF(G196='Room Info'!$E$1, INDEX('Room Info'!$A$2:$A2446, MATCH(B196,'Room Info'!$E$2:$E2446, 0)),IF(G196='Room Info'!$F$1, INDEX('Room Info'!$A$2:$A2446, MATCH(B196,'Room Info'!$F$2:$F2446, 0)),IF(G196='Room Info'!$H$1, INDEX('Room Info'!$A$2:$A2446, MATCH(B196,'Room Info'!$H$2:$H2446, 0)),IF(G196='Room Info'!$G$1, INDEX('Room Info'!$A$2:$A2446, MATCH(B196,'Room Info'!$G$2:$G2446, 0)))))))))</f>
        <v>Fedorovi4</v>
      </c>
      <c r="B196" s="54" t="s">
        <v>96</v>
      </c>
      <c r="C196" s="46">
        <v>44825</v>
      </c>
      <c r="D196" s="46">
        <v>44854</v>
      </c>
      <c r="E196" s="47">
        <v>44835</v>
      </c>
      <c r="F196" s="45" t="s">
        <v>34</v>
      </c>
      <c r="G196" s="54" t="s">
        <v>35</v>
      </c>
      <c r="H196" s="49" t="s">
        <v>46</v>
      </c>
      <c r="I196" s="49" t="s">
        <v>37</v>
      </c>
      <c r="J196" s="50">
        <v>25</v>
      </c>
      <c r="K196" s="51">
        <v>931</v>
      </c>
      <c r="L196" s="52">
        <v>-2100</v>
      </c>
      <c r="M196" s="53">
        <v>976</v>
      </c>
      <c r="N196" s="28">
        <f>K196*J196</f>
        <v>23275</v>
      </c>
      <c r="O196" s="54">
        <v>6159</v>
      </c>
      <c r="P196" s="29">
        <v>6.6154672400000001</v>
      </c>
      <c r="Q196" s="55"/>
      <c r="R196" s="31">
        <f>M196+Q196</f>
        <v>976</v>
      </c>
      <c r="S196" s="56">
        <v>-1152</v>
      </c>
      <c r="T196" s="32">
        <f>R196+S196+IF(F196="Without EV deal",L196,0)</f>
        <v>-176</v>
      </c>
      <c r="U196" s="33">
        <v>1</v>
      </c>
      <c r="V196" s="69">
        <v>30.191489361702128</v>
      </c>
      <c r="W196" s="69">
        <v>16.892177589852007</v>
      </c>
      <c r="X196" s="30">
        <f>IF(AF196="DoEV",IF(AND(V196&lt;20,W196&lt;55),0.3,0)+IF(AND(V196&lt;20,W196&gt;=55,W196&lt;105),0.23,0)+IF(AND(V196&lt;20,W196&gt;=105),0.17,0)+IF(AND(V196&gt;=20,V196&lt;40,W196&lt;45),0.3,0)+IF(AND(V196&gt;=20,V196&lt;40,W196&gt;=45,W196&lt;95),0.23,0)+IF(AND(V196&gt;=20,V196&lt;40,W196&gt;=95),0.17,0)+IF(AND(V196&gt;=40,V196&lt;75,W196&lt;35),0.3,0)+IF(AND(V196&gt;=40,V196&lt;75,W196&gt;=35,W196&lt;75),0.23,0)+IF(AND(V196&gt;=40,V196&lt;75,W196&gt;=75,W196&lt;120),0.17,0)+IF(AND(V196&gt;=40,V196&lt;75,W196&gt;=120),0.12,0)+IF(AND(V196&gt;=75,V196&lt;175,W196&lt;35),0.3,0)+IF(AND(V196&gt;=75,V196&lt;=175,W196&gt;=35,W196&lt;65),0.23,0)+IF(AND(V196&gt;=75,V196&lt;=175,W196&gt;=65,W196&lt;110),0.17,0)+IF(AND(V196&gt;=75,V196&lt;=175,W196&gt;=110),0.12,0)+IF(AND(V196&gt;175,W196&lt;25),0.3,0)+IF(AND(V196&gt;175,W196&gt;=25,W196&lt;55),0.23,0)+IF(AND(V196&gt;175,W196&gt;=55,W196&lt;95),0.17,0)+IF(AND(V196&gt;175,W196&gt;=95),0.12,0),
IF(AF196="Fix15",0.15,
IF(AF196="Fix11.25",0.1125,
IF(AF196="Fix10",0.1,
IF(AF196="Fix9",0.09,
IF(AF196="DoEV2017",IF(AND(W196&lt;74),0.2,0)+IF(AND(W196&gt;=74),0.17,0),
IF(AF196="SF",IF(AND(V196&lt;20,W196&lt;89),0.3,0)+IF(AND(V196&lt;20,W196&gt;=89),0.25,0)+IF(AND(V196&gt;=20,V196&lt;40,W196&lt;74),0.3,0)+IF(AND(V196&gt;=20,V196&lt;40,W196&gt;=75),0.22,0)+IF(AND(V196&gt;=40,V196&lt;75,W196&lt;75),0.26,0)+IF(AND(V196&gt;=40,V196&lt;75,W196&gt;=75),0.22,0)+IF(V196&gt;=75,0.22,0),
IF(AF196="DoEVold",IF(AND(V196&lt;40,W196&lt;35),0.35,0)+IF(AND(V196&lt;40,W196&gt;=35,W196&lt;75),0.25,0)+IF(AND(V196&lt;40,W196&gt;=75),0.17,0)+IF(AND(V196&gt;=40,V196&lt;75,W196&lt;25),0.35,0)+IF(AND(V196&gt;=40,V196&lt;75,W196&gt;=25,W196&lt;65),0.25,0)+IF(AND(V196&gt;=40,V196&lt;75,W196&gt;=65,W196&lt;100),0.17,0)+IF(AND(V196&gt;=40,V196&lt;75,W196&gt;=100),0.1,0)+IF(AND(V196&gt;=75,W196&lt;25),0.35,0)+IF(AND(V196&gt;=75,W196&gt;=25,W196&lt;60),0.25,0)+IF(AND(V196&gt;=75,W196&gt;=60,W196&lt;95),0.17,0)+IF(AND(V196&gt;=75,W196&gt;=95),0.1,0),
IF(AF196="DoEVold15",IF(AND(V196&lt;=40,W196&lt;35),0.35,0)+IF(AND(V196&lt;=40,W196&gt;=35,W196&lt;75),0.25,0)+IF(AND(V196&lt;=40,W196&gt;=75,W196&lt;120),0.17,0)+IF(AND(V196&lt;=40,W196&gt;=120),0.15,0)+IF(AND(V196&gt;40,V196&lt;75,W196&lt;25),0.35,0)+IF(AND(V196&gt;=40,V196&lt;75,W196&gt;=25,W196&lt;65),0.25,0)+IF(AND(V196&gt;=40,V196&lt;75,W196&gt;=65,W196&lt;100),0.17,0)+IF(AND(V196&gt;=40,V196&lt;75,W196&gt;=100),0.1,0)+IF(AND(V196&gt;=75,W196&lt;25),0.35,0)+IF(AND(V196&gt;=75,W196&gt;=25,W196&lt;60),0.25,0)+IF(AND(V196&gt;=75,W196&gt;=60,W196&lt;95),0.17,0)+IF(AND(V196&gt;=75,W196&gt;=95),0.1,0),
IF(AF196="DoEVba",IF(AND(V196&lt;20,W196&lt;105),0.2,0)+IF(AND(V196&lt;20,W196&gt;=105),0.15,0)+IF(AND(V196&gt;=20,V196&lt;40,W196&lt;95),0.2,0)+IF(AND(V196&gt;=20,V196&lt;40,W196&gt;=95,W196&lt;150),0.15,0)+IF(AND(V196&gt;=20,V196&lt;40,W196&gt;=150),0.12,0)+IF(AND(V196&gt;=40,V196&lt;75,W196&lt;75),0.2,0)+IF(AND(V196&gt;=40,V196&lt;75,W196&gt;=75,W196&lt;120),0.15,0)+IF(AND(V196&gt;=40,V196&lt;75,W196&gt;=120),0.12,0)+IF(AND(V196&gt;=75,V196&lt;175,W196&lt;65),0.2,0)+IF(AND(V196&gt;=75,V196&lt;175,W196&gt;=65,W196&lt;110),0.15,0)+IF(AND(V196&gt;=75,V196&lt;175,W196&gt;=110),0.12,0)+IF(AND(V196&gt;=175,W196&lt;55),0.2,0)+IF(AND(V196&gt;=175,W196&gt;=55,W196&lt;95),0.15,0)+IF(AND(V196&gt;=175,W196&gt;=95),0.12,0),
IF(AF196="DoEVku",IF(AND(V196&lt;20,W196&lt;55),0.23,0)+IF(AND(V196&lt;20,W196&gt;=55,W196&lt;105),0.2,0)+IF(AND(V196&lt;20,W196&gt;=105),0.17,0)+IF(AND(V196&gt;=20,V196&lt;40,W196&lt;45),0.23,0)+IF(AND(V196&gt;=20,V196&lt;40,W196&gt;=45,W196&lt;95),0.2,0)+IF(AND(V196&gt;=20,V196&lt;40,W196&gt;=95,W196&lt;=150),0.17,0)+IF(AND(V196&gt;=20,V196&lt;40,W196&gt;=150),0.12,0)+IF(AND(V196&gt;=40,V196&lt;75,W196&lt;35),0.23,0)+IF(AND(V196&gt;=40,V196&lt;75,W196&gt;=35,W196&lt;75),0.2,0)+IF(AND(V196&gt;=40,V196&lt;75,W196&gt;=75,W196&lt;120),0.17,0)+IF(AND(V196&gt;=40,V196&lt;75,W196&gt;=120),0.12,0)+IF(AND(V196&gt;=75,V196&lt;175,W196&lt;35),0.23,0)+IF(AND(V196&gt;=75,V196&lt;=175,W196&gt;=35,W196&lt;65),0.2,0)+IF(AND(V196&gt;=75,V196&lt;=175,W196&gt;=65,W196&lt;110),0.17,0)+IF(AND(V196&gt;=75,V196&lt;=175,W196&gt;=110),0.12,0)+IF(AND(V196&gt;175,W196&lt;25),0.23,0)+IF(AND(V196&gt;175,W196&gt;=25,W196&lt;55),0.2,0)+IF(AND(V196&gt;175,W196&gt;=55,W196&lt;95),0.17,0)+IF(AND(V196&gt;175,W196&gt;=95),0.12,0),
IF(AF196="DoEVs1",IF(AND(V196&lt;20,W196&lt;55),0.3,0)+IF(AND(V196&lt;20,W196&gt;=55,W196&lt;105),0.23,0)+IF(AND(V196&lt;20,W196&gt;=105),0.17,0)+IF(AND(V196&gt;=20,V196&lt;40,W196&lt;45),0.3,0)+IF(AND(V196&gt;=20,V196&lt;40,W196&gt;=45,W196&lt;95),0.23,0)+IF(AND(V196&gt;=20,V196&lt;40,W196&gt;=95,W196&lt;=150),0.17,0)+IF(AND(V196&gt;=20,V196&lt;40,W196&gt;=150),0.12,0)+IF(AND(V196&gt;=40,V196&lt;75,W196&lt;35),0.3,0)+IF(AND(V196&gt;=40,V196&lt;75,W196&gt;=35,W196&lt;75),0.23,0)+IF(AND(V196&gt;=40,V196&lt;75,W196&gt;=75,W196&lt;120),0.17,0)+IF(AND(V196&gt;=40,V196&lt;75,W196&gt;=120),0.12,0)+IF(AND(V196&gt;=75,V196&lt;175,W196&lt;35),0.3,0)+IF(AND(V196&gt;=75,V196&lt;=175,W196&gt;=35,W196&lt;65),0.23,0)+IF(AND(V196&gt;=75,V196&lt;=175,W196&gt;=65,W196&lt;110),0.17,0)+IF(AND(V196&gt;=75,V196&lt;=175,W196&gt;=110),0.12,0)+IF(AND(V196&gt;175,W196&lt;25),0.3,0)+IF(AND(V196&gt;175,W196&gt;=25,W196&lt;55),0.23,0)+IF(AND(V196&gt;175,W196&gt;=55,W196&lt;95),0.17,0)+IF(AND(V196&gt;175,W196&gt;=95),0.12,0),
IF(AF196="DoEVsu",IF(AND(V196&lt;20,W196&lt;55),0.3,0)+IF(AND(V196&lt;20,W196&gt;=55,W196&lt;105),0.23,0)+IF(AND(V196&lt;20,W196&gt;=105),0.17,0)+IF(AND(V196&gt;=20,V196&lt;40,W196&lt;45),0.3,0)+IF(AND(V196&gt;=20,V196&lt;40,W196&gt;=45,W196&lt;95),0.23,0)+IF(AND(V196&gt;=20,V196&lt;40,W196&gt;=95,W196&lt;=250),0.17,0)+IF(AND(V196&gt;=20,V196&lt;40,W196&gt;=250),0.12,0)+IF(AND(V196&gt;=40,V196&lt;75,W196&lt;35),0.3,0)+IF(AND(V196&gt;=40,V196&lt;75,W196&gt;=35,W196&lt;75),0.23,0)+IF(AND(V196&gt;=40,V196&lt;75,W196&gt;=75,W196&lt;120),0.17,0)+IF(AND(V196&gt;=40,V196&lt;75,W196&gt;=120),0.12,0)+IF(AND(V196&gt;=75,V196&lt;175,W196&lt;35),0.3,0)+IF(AND(V196&gt;=75,V196&lt;=175,W196&gt;=35,W196&lt;65),0.23,0)+IF(AND(V196&gt;=75,V196&lt;=175,W196&gt;=65,W196&lt;110),0.17,0)+IF(AND(V196&gt;=75,V196&lt;=175,W196&gt;=110),0.12,0)+IF(AND(V196&gt;175,W196&lt;25),0.3,0)+IF(AND(V196&gt;175,W196&gt;=25,W196&lt;55),0.23,0)+IF(AND(V196&gt;175,W196&gt;=55,W196&lt;95),0.17,0)+IF(AND(V196&gt;175,W196&gt;=95),0.12,0),
IF(AF196="DoEVni",IF(AND(V196&lt;20,W196&lt;55),0.3,0)+IF(AND(V196&lt;20,W196&gt;=55,W196&lt;105),0.23,0)+IF(AND(V196&lt;20,W196&gt;=105),0.17,0)+IF(AND(V196&gt;=20,V196&lt;40,W196&lt;45),0.3,0)+IF(AND(V196&gt;=20,V196&lt;40,W196&gt;=45,W196&lt;95),0.23,0)+IF(AND(V196&gt;=20,V196&lt;40,W196&gt;=95,W196&lt;=200),0.17,0)+IF(AND(V196&gt;=20,V196&lt;40,W196&gt;=200),0.12,0)+IF(AND(V196&gt;=40,V196&lt;75,W196&lt;35),0.3,0)+IF(AND(V196&gt;=40,V196&lt;75,W196&gt;=35,W196&lt;75),0.23,0)+IF(AND(V196&gt;=40,V196&lt;75,W196&gt;=75,W196&lt;120),0.17,0)+IF(AND(V196&gt;=40,V196&lt;75,W196&gt;=120),0.12,0)+IF(AND(V196&gt;=75,V196&lt;175,W196&lt;35),0.3,0)+IF(AND(V196&gt;=75,V196&lt;=175,W196&gt;=35,W196&lt;65),0.23,0)+IF(AND(V196&gt;=75,V196&lt;=175,W196&gt;=65,W196&lt;110),0.17,0)+IF(AND(V196&gt;=75,V196&lt;=175,W196&gt;=110),0.12,0)+IF(AND(V196&gt;175,W196&lt;25),0.3,0)+IF(AND(V196&gt;175,W196&gt;=25,W196&lt;55),0.23,0)+IF(AND(V196&gt;175,W196&gt;=55,W196&lt;95),0.17,0)+IF(AND(V196&gt;175,W196&gt;=95),0.12,0),
IF(AF196="DoEVLo",IF(AND(V196&lt;20,W196&lt;55),0.25,0)+IF(AND(V196&lt;20,W196&gt;=55,W196&lt;105),0.2,0)+IF(AND(V196&lt;20,W196&gt;=105),0.15,0)+IF(AND(V196&gt;=20,V196&lt;40,W196&lt;45),0.25,0)+IF(AND(V196&gt;=20,V196&lt;40,W196&gt;=45,W196&lt;95),0.2,0)+IF(AND(V196&gt;=20,V196&lt;40,W196&gt;=95),0.15,0)+IF(AND(V196&gt;=40,V196&lt;75,W196&lt;35),0.25,0)+IF(AND(V196&gt;=40,V196&lt;75,W196&gt;=35,W196&lt;75),0.2,0)+IF(AND(V196&gt;=40,V196&lt;75,W196&gt;=75,W196&lt;120),0.15,0)+IF(AND(V196&gt;=40,V196&lt;75,W196&gt;=120),0.1,0)+IF(AND(V196&gt;=75,V196&lt;175,W196&lt;35),0.25,0)+IF(AND(V196&gt;=75,V196&lt;=175,W196&gt;=35,W196&lt;65),0.2,0)+IF(AND(V196&gt;=75,V196&lt;=175,W196&gt;=65,W196&lt;110),0.15,0)+IF(AND(V196&gt;=75,V196&lt;=175,W196&gt;=110),0.1,0)+IF(AND(V196&gt;175,W196&lt;25),0.25,0)+IF(AND(V196&gt;175,W196&gt;=25,W196&lt;55),0.2,0)+IF(AND(V196&gt;175,W196&gt;=55,W196&lt;95),0.15,0)+IF(AND(V196&gt;175,W196&gt;=95),0.1,0))))))))))))))))</f>
        <v>0.3</v>
      </c>
      <c r="Y196" s="30">
        <f>IF(AG196="None",0,IF(AG196="Fix5",0.05,IF(AG196="Fix3.75",0.0375,IF(AG196="Fix10",0.1,IF(AG196="Fix3",0.03,0)))))</f>
        <v>0</v>
      </c>
      <c r="Z196" s="35">
        <f>T196-AA196-AB196</f>
        <v>-123.2</v>
      </c>
      <c r="AA196" s="29">
        <f>IF(AD196="EUR",((T196-R196)*X196)*U196+(R196*X196),(T196*X196))</f>
        <v>-52.8</v>
      </c>
      <c r="AB196" s="36">
        <f>IF(AD196="EUR",((T196-R196)*Y196)*U196+(R196*Y196),(T196*Y196))</f>
        <v>0</v>
      </c>
      <c r="AC196" s="37" t="b">
        <v>1</v>
      </c>
      <c r="AD196" s="37" t="s">
        <v>38</v>
      </c>
      <c r="AE196" s="37" t="s">
        <v>38</v>
      </c>
      <c r="AF196" s="37" t="str">
        <f t="array" ref="AF196">INDEX('Deal Info'!D:D, MATCH(A196,'Deal Info'!A:A, 0))</f>
        <v>SF</v>
      </c>
      <c r="AG196" s="38" t="str">
        <f t="array" ref="AG196">INDEX('Deal Info'!G:G, MATCH(A196,'Deal Info'!A:A, 0))</f>
        <v>None</v>
      </c>
    </row>
    <row r="197" spans="1:33" ht="14.25" hidden="1" x14ac:dyDescent="0.2">
      <c r="A197" s="18" t="str">
        <f t="array" ref="A197">IF(G197='Room Info'!$B$1, INDEX('Room Info'!$A$2:$A2446, MATCH(B197,'Room Info'!$B$2:$B2446, 0)),IF(G197='Room Info'!$C$1, INDEX('Room Info'!$A$2:$A2446, MATCH(B197,'Room Info'!$C$2:$C2446, 0)),IF(G197='Room Info'!$D$1, INDEX('Room Info'!$A$2:$A2446, MATCH(B197,'Room Info'!$D$2:$D2446, 0)),IF(G197='Room Info'!$E$1, INDEX('Room Info'!$A$2:$A2446, MATCH(B197,'Room Info'!$E$2:$E2446, 0)),IF(G197='Room Info'!$F$1, INDEX('Room Info'!$A$2:$A2446, MATCH(B197,'Room Info'!$F$2:$F2446, 0)),IF(G197='Room Info'!$H$1, INDEX('Room Info'!$A$2:$A2446, MATCH(B197,'Room Info'!$H$2:$H2446, 0)),IF(G197='Room Info'!$G$1, INDEX('Room Info'!$A$2:$A2446, MATCH(B197,'Room Info'!$G$2:$G2446, 0)))))))))</f>
        <v>Fedorovi4</v>
      </c>
      <c r="B197" s="45" t="s">
        <v>96</v>
      </c>
      <c r="C197" s="67">
        <v>44825</v>
      </c>
      <c r="D197" s="67">
        <v>44854</v>
      </c>
      <c r="E197" s="47">
        <v>44835</v>
      </c>
      <c r="F197" s="48" t="s">
        <v>34</v>
      </c>
      <c r="G197" s="45" t="s">
        <v>35</v>
      </c>
      <c r="H197" s="49" t="s">
        <v>72</v>
      </c>
      <c r="I197" s="49" t="s">
        <v>37</v>
      </c>
      <c r="J197" s="74">
        <v>50</v>
      </c>
      <c r="K197" s="75">
        <v>244</v>
      </c>
      <c r="L197" s="72">
        <v>1600</v>
      </c>
      <c r="M197" s="53">
        <v>514</v>
      </c>
      <c r="N197" s="28">
        <f>K197*J197</f>
        <v>12200</v>
      </c>
      <c r="O197" s="45">
        <v>9942</v>
      </c>
      <c r="P197" s="29">
        <v>40.74590164</v>
      </c>
      <c r="Q197" s="55"/>
      <c r="R197" s="31">
        <f>M197+Q197</f>
        <v>514</v>
      </c>
      <c r="S197" s="73">
        <v>172</v>
      </c>
      <c r="T197" s="32">
        <f>R197+S197+IF(F197="Without EV deal",L197,0)</f>
        <v>686</v>
      </c>
      <c r="U197" s="33">
        <v>1</v>
      </c>
      <c r="V197" s="69">
        <v>30.191489361702128</v>
      </c>
      <c r="W197" s="69">
        <v>16.892177589852007</v>
      </c>
      <c r="X197" s="30">
        <f>IF(AF197="DoEV",IF(AND(V197&lt;20,W197&lt;55),0.3,0)+IF(AND(V197&lt;20,W197&gt;=55,W197&lt;105),0.23,0)+IF(AND(V197&lt;20,W197&gt;=105),0.17,0)+IF(AND(V197&gt;=20,V197&lt;40,W197&lt;45),0.3,0)+IF(AND(V197&gt;=20,V197&lt;40,W197&gt;=45,W197&lt;95),0.23,0)+IF(AND(V197&gt;=20,V197&lt;40,W197&gt;=95),0.17,0)+IF(AND(V197&gt;=40,V197&lt;75,W197&lt;35),0.3,0)+IF(AND(V197&gt;=40,V197&lt;75,W197&gt;=35,W197&lt;75),0.23,0)+IF(AND(V197&gt;=40,V197&lt;75,W197&gt;=75,W197&lt;120),0.17,0)+IF(AND(V197&gt;=40,V197&lt;75,W197&gt;=120),0.12,0)+IF(AND(V197&gt;=75,V197&lt;175,W197&lt;35),0.3,0)+IF(AND(V197&gt;=75,V197&lt;=175,W197&gt;=35,W197&lt;65),0.23,0)+IF(AND(V197&gt;=75,V197&lt;=175,W197&gt;=65,W197&lt;110),0.17,0)+IF(AND(V197&gt;=75,V197&lt;=175,W197&gt;=110),0.12,0)+IF(AND(V197&gt;175,W197&lt;25),0.3,0)+IF(AND(V197&gt;175,W197&gt;=25,W197&lt;55),0.23,0)+IF(AND(V197&gt;175,W197&gt;=55,W197&lt;95),0.17,0)+IF(AND(V197&gt;175,W197&gt;=95),0.12,0),
IF(AF197="Fix15",0.15,
IF(AF197="Fix11.25",0.1125,
IF(AF197="Fix10",0.1,
IF(AF197="Fix9",0.09,
IF(AF197="DoEV2017",IF(AND(W197&lt;74),0.2,0)+IF(AND(W197&gt;=74),0.17,0),
IF(AF197="SF",IF(AND(V197&lt;20,W197&lt;89),0.3,0)+IF(AND(V197&lt;20,W197&gt;=89),0.25,0)+IF(AND(V197&gt;=20,V197&lt;40,W197&lt;74),0.3,0)+IF(AND(V197&gt;=20,V197&lt;40,W197&gt;=75),0.22,0)+IF(AND(V197&gt;=40,V197&lt;75,W197&lt;75),0.26,0)+IF(AND(V197&gt;=40,V197&lt;75,W197&gt;=75),0.22,0)+IF(V197&gt;=75,0.22,0),
IF(AF197="DoEVold",IF(AND(V197&lt;40,W197&lt;35),0.35,0)+IF(AND(V197&lt;40,W197&gt;=35,W197&lt;75),0.25,0)+IF(AND(V197&lt;40,W197&gt;=75),0.17,0)+IF(AND(V197&gt;=40,V197&lt;75,W197&lt;25),0.35,0)+IF(AND(V197&gt;=40,V197&lt;75,W197&gt;=25,W197&lt;65),0.25,0)+IF(AND(V197&gt;=40,V197&lt;75,W197&gt;=65,W197&lt;100),0.17,0)+IF(AND(V197&gt;=40,V197&lt;75,W197&gt;=100),0.1,0)+IF(AND(V197&gt;=75,W197&lt;25),0.35,0)+IF(AND(V197&gt;=75,W197&gt;=25,W197&lt;60),0.25,0)+IF(AND(V197&gt;=75,W197&gt;=60,W197&lt;95),0.17,0)+IF(AND(V197&gt;=75,W197&gt;=95),0.1,0),
IF(AF197="DoEVold15",IF(AND(V197&lt;=40,W197&lt;35),0.35,0)+IF(AND(V197&lt;=40,W197&gt;=35,W197&lt;75),0.25,0)+IF(AND(V197&lt;=40,W197&gt;=75,W197&lt;120),0.17,0)+IF(AND(V197&lt;=40,W197&gt;=120),0.15,0)+IF(AND(V197&gt;40,V197&lt;75,W197&lt;25),0.35,0)+IF(AND(V197&gt;=40,V197&lt;75,W197&gt;=25,W197&lt;65),0.25,0)+IF(AND(V197&gt;=40,V197&lt;75,W197&gt;=65,W197&lt;100),0.17,0)+IF(AND(V197&gt;=40,V197&lt;75,W197&gt;=100),0.1,0)+IF(AND(V197&gt;=75,W197&lt;25),0.35,0)+IF(AND(V197&gt;=75,W197&gt;=25,W197&lt;60),0.25,0)+IF(AND(V197&gt;=75,W197&gt;=60,W197&lt;95),0.17,0)+IF(AND(V197&gt;=75,W197&gt;=95),0.1,0),
IF(AF197="DoEVba",IF(AND(V197&lt;20,W197&lt;105),0.2,0)+IF(AND(V197&lt;20,W197&gt;=105),0.15,0)+IF(AND(V197&gt;=20,V197&lt;40,W197&lt;95),0.2,0)+IF(AND(V197&gt;=20,V197&lt;40,W197&gt;=95,W197&lt;150),0.15,0)+IF(AND(V197&gt;=20,V197&lt;40,W197&gt;=150),0.12,0)+IF(AND(V197&gt;=40,V197&lt;75,W197&lt;75),0.2,0)+IF(AND(V197&gt;=40,V197&lt;75,W197&gt;=75,W197&lt;120),0.15,0)+IF(AND(V197&gt;=40,V197&lt;75,W197&gt;=120),0.12,0)+IF(AND(V197&gt;=75,V197&lt;175,W197&lt;65),0.2,0)+IF(AND(V197&gt;=75,V197&lt;175,W197&gt;=65,W197&lt;110),0.15,0)+IF(AND(V197&gt;=75,V197&lt;175,W197&gt;=110),0.12,0)+IF(AND(V197&gt;=175,W197&lt;55),0.2,0)+IF(AND(V197&gt;=175,W197&gt;=55,W197&lt;95),0.15,0)+IF(AND(V197&gt;=175,W197&gt;=95),0.12,0),
IF(AF197="DoEVku",IF(AND(V197&lt;20,W197&lt;55),0.23,0)+IF(AND(V197&lt;20,W197&gt;=55,W197&lt;105),0.2,0)+IF(AND(V197&lt;20,W197&gt;=105),0.17,0)+IF(AND(V197&gt;=20,V197&lt;40,W197&lt;45),0.23,0)+IF(AND(V197&gt;=20,V197&lt;40,W197&gt;=45,W197&lt;95),0.2,0)+IF(AND(V197&gt;=20,V197&lt;40,W197&gt;=95,W197&lt;=150),0.17,0)+IF(AND(V197&gt;=20,V197&lt;40,W197&gt;=150),0.12,0)+IF(AND(V197&gt;=40,V197&lt;75,W197&lt;35),0.23,0)+IF(AND(V197&gt;=40,V197&lt;75,W197&gt;=35,W197&lt;75),0.2,0)+IF(AND(V197&gt;=40,V197&lt;75,W197&gt;=75,W197&lt;120),0.17,0)+IF(AND(V197&gt;=40,V197&lt;75,W197&gt;=120),0.12,0)+IF(AND(V197&gt;=75,V197&lt;175,W197&lt;35),0.23,0)+IF(AND(V197&gt;=75,V197&lt;=175,W197&gt;=35,W197&lt;65),0.2,0)+IF(AND(V197&gt;=75,V197&lt;=175,W197&gt;=65,W197&lt;110),0.17,0)+IF(AND(V197&gt;=75,V197&lt;=175,W197&gt;=110),0.12,0)+IF(AND(V197&gt;175,W197&lt;25),0.23,0)+IF(AND(V197&gt;175,W197&gt;=25,W197&lt;55),0.2,0)+IF(AND(V197&gt;175,W197&gt;=55,W197&lt;95),0.17,0)+IF(AND(V197&gt;175,W197&gt;=95),0.12,0),
IF(AF197="DoEVs1",IF(AND(V197&lt;20,W197&lt;55),0.3,0)+IF(AND(V197&lt;20,W197&gt;=55,W197&lt;105),0.23,0)+IF(AND(V197&lt;20,W197&gt;=105),0.17,0)+IF(AND(V197&gt;=20,V197&lt;40,W197&lt;45),0.3,0)+IF(AND(V197&gt;=20,V197&lt;40,W197&gt;=45,W197&lt;95),0.23,0)+IF(AND(V197&gt;=20,V197&lt;40,W197&gt;=95,W197&lt;=150),0.17,0)+IF(AND(V197&gt;=20,V197&lt;40,W197&gt;=150),0.12,0)+IF(AND(V197&gt;=40,V197&lt;75,W197&lt;35),0.3,0)+IF(AND(V197&gt;=40,V197&lt;75,W197&gt;=35,W197&lt;75),0.23,0)+IF(AND(V197&gt;=40,V197&lt;75,W197&gt;=75,W197&lt;120),0.17,0)+IF(AND(V197&gt;=40,V197&lt;75,W197&gt;=120),0.12,0)+IF(AND(V197&gt;=75,V197&lt;175,W197&lt;35),0.3,0)+IF(AND(V197&gt;=75,V197&lt;=175,W197&gt;=35,W197&lt;65),0.23,0)+IF(AND(V197&gt;=75,V197&lt;=175,W197&gt;=65,W197&lt;110),0.17,0)+IF(AND(V197&gt;=75,V197&lt;=175,W197&gt;=110),0.12,0)+IF(AND(V197&gt;175,W197&lt;25),0.3,0)+IF(AND(V197&gt;175,W197&gt;=25,W197&lt;55),0.23,0)+IF(AND(V197&gt;175,W197&gt;=55,W197&lt;95),0.17,0)+IF(AND(V197&gt;175,W197&gt;=95),0.12,0),
IF(AF197="DoEVsu",IF(AND(V197&lt;20,W197&lt;55),0.3,0)+IF(AND(V197&lt;20,W197&gt;=55,W197&lt;105),0.23,0)+IF(AND(V197&lt;20,W197&gt;=105),0.17,0)+IF(AND(V197&gt;=20,V197&lt;40,W197&lt;45),0.3,0)+IF(AND(V197&gt;=20,V197&lt;40,W197&gt;=45,W197&lt;95),0.23,0)+IF(AND(V197&gt;=20,V197&lt;40,W197&gt;=95,W197&lt;=250),0.17,0)+IF(AND(V197&gt;=20,V197&lt;40,W197&gt;=250),0.12,0)+IF(AND(V197&gt;=40,V197&lt;75,W197&lt;35),0.3,0)+IF(AND(V197&gt;=40,V197&lt;75,W197&gt;=35,W197&lt;75),0.23,0)+IF(AND(V197&gt;=40,V197&lt;75,W197&gt;=75,W197&lt;120),0.17,0)+IF(AND(V197&gt;=40,V197&lt;75,W197&gt;=120),0.12,0)+IF(AND(V197&gt;=75,V197&lt;175,W197&lt;35),0.3,0)+IF(AND(V197&gt;=75,V197&lt;=175,W197&gt;=35,W197&lt;65),0.23,0)+IF(AND(V197&gt;=75,V197&lt;=175,W197&gt;=65,W197&lt;110),0.17,0)+IF(AND(V197&gt;=75,V197&lt;=175,W197&gt;=110),0.12,0)+IF(AND(V197&gt;175,W197&lt;25),0.3,0)+IF(AND(V197&gt;175,W197&gt;=25,W197&lt;55),0.23,0)+IF(AND(V197&gt;175,W197&gt;=55,W197&lt;95),0.17,0)+IF(AND(V197&gt;175,W197&gt;=95),0.12,0),
IF(AF197="DoEVni",IF(AND(V197&lt;20,W197&lt;55),0.3,0)+IF(AND(V197&lt;20,W197&gt;=55,W197&lt;105),0.23,0)+IF(AND(V197&lt;20,W197&gt;=105),0.17,0)+IF(AND(V197&gt;=20,V197&lt;40,W197&lt;45),0.3,0)+IF(AND(V197&gt;=20,V197&lt;40,W197&gt;=45,W197&lt;95),0.23,0)+IF(AND(V197&gt;=20,V197&lt;40,W197&gt;=95,W197&lt;=200),0.17,0)+IF(AND(V197&gt;=20,V197&lt;40,W197&gt;=200),0.12,0)+IF(AND(V197&gt;=40,V197&lt;75,W197&lt;35),0.3,0)+IF(AND(V197&gt;=40,V197&lt;75,W197&gt;=35,W197&lt;75),0.23,0)+IF(AND(V197&gt;=40,V197&lt;75,W197&gt;=75,W197&lt;120),0.17,0)+IF(AND(V197&gt;=40,V197&lt;75,W197&gt;=120),0.12,0)+IF(AND(V197&gt;=75,V197&lt;175,W197&lt;35),0.3,0)+IF(AND(V197&gt;=75,V197&lt;=175,W197&gt;=35,W197&lt;65),0.23,0)+IF(AND(V197&gt;=75,V197&lt;=175,W197&gt;=65,W197&lt;110),0.17,0)+IF(AND(V197&gt;=75,V197&lt;=175,W197&gt;=110),0.12,0)+IF(AND(V197&gt;175,W197&lt;25),0.3,0)+IF(AND(V197&gt;175,W197&gt;=25,W197&lt;55),0.23,0)+IF(AND(V197&gt;175,W197&gt;=55,W197&lt;95),0.17,0)+IF(AND(V197&gt;175,W197&gt;=95),0.12,0),
IF(AF197="DoEVLo",IF(AND(V197&lt;20,W197&lt;55),0.25,0)+IF(AND(V197&lt;20,W197&gt;=55,W197&lt;105),0.2,0)+IF(AND(V197&lt;20,W197&gt;=105),0.15,0)+IF(AND(V197&gt;=20,V197&lt;40,W197&lt;45),0.25,0)+IF(AND(V197&gt;=20,V197&lt;40,W197&gt;=45,W197&lt;95),0.2,0)+IF(AND(V197&gt;=20,V197&lt;40,W197&gt;=95),0.15,0)+IF(AND(V197&gt;=40,V197&lt;75,W197&lt;35),0.25,0)+IF(AND(V197&gt;=40,V197&lt;75,W197&gt;=35,W197&lt;75),0.2,0)+IF(AND(V197&gt;=40,V197&lt;75,W197&gt;=75,W197&lt;120),0.15,0)+IF(AND(V197&gt;=40,V197&lt;75,W197&gt;=120),0.1,0)+IF(AND(V197&gt;=75,V197&lt;175,W197&lt;35),0.25,0)+IF(AND(V197&gt;=75,V197&lt;=175,W197&gt;=35,W197&lt;65),0.2,0)+IF(AND(V197&gt;=75,V197&lt;=175,W197&gt;=65,W197&lt;110),0.15,0)+IF(AND(V197&gt;=75,V197&lt;=175,W197&gt;=110),0.1,0)+IF(AND(V197&gt;175,W197&lt;25),0.25,0)+IF(AND(V197&gt;175,W197&gt;=25,W197&lt;55),0.2,0)+IF(AND(V197&gt;175,W197&gt;=55,W197&lt;95),0.15,0)+IF(AND(V197&gt;175,W197&gt;=95),0.1,0))))))))))))))))</f>
        <v>0.3</v>
      </c>
      <c r="Y197" s="30">
        <f>IF(AG197="None",0,IF(AG197="Fix5",0.05,IF(AG197="Fix3.75",0.0375,IF(AG197="Fix10",0.1,IF(AG197="Fix3",0.03,0)))))</f>
        <v>0</v>
      </c>
      <c r="Z197" s="35">
        <f>T197-AA197-AB197</f>
        <v>480.20000000000005</v>
      </c>
      <c r="AA197" s="29">
        <f>IF(AD197="EUR",((T197-R197)*X197)*U197+(R197*X197),(T197*X197))</f>
        <v>205.79999999999998</v>
      </c>
      <c r="AB197" s="36">
        <f>IF(AD197="EUR",((T197-R197)*Y197)*U197+(R197*Y197),(T197*Y197))</f>
        <v>0</v>
      </c>
      <c r="AC197" s="37" t="b">
        <v>1</v>
      </c>
      <c r="AD197" s="37" t="s">
        <v>38</v>
      </c>
      <c r="AE197" s="37" t="s">
        <v>38</v>
      </c>
      <c r="AF197" s="37" t="str">
        <f t="array" ref="AF197">INDEX('Deal Info'!D:D, MATCH(A197,'Deal Info'!A:A, 0))</f>
        <v>SF</v>
      </c>
      <c r="AG197" s="38" t="str">
        <f t="array" ref="AG197">INDEX('Deal Info'!G:G, MATCH(A197,'Deal Info'!A:A, 0))</f>
        <v>None</v>
      </c>
    </row>
    <row r="198" spans="1:33" ht="14.25" hidden="1" x14ac:dyDescent="0.2">
      <c r="A198" s="18" t="str">
        <f t="array" ref="A198">IF(G198='Room Info'!$B$1, INDEX('Room Info'!$A$2:$A2446, MATCH(B198,'Room Info'!$B$2:$B2446, 0)),IF(G198='Room Info'!$C$1, INDEX('Room Info'!$A$2:$A2446, MATCH(B198,'Room Info'!$C$2:$C2446, 0)),IF(G198='Room Info'!$D$1, INDEX('Room Info'!$A$2:$A2446, MATCH(B198,'Room Info'!$D$2:$D2446, 0)),IF(G198='Room Info'!$E$1, INDEX('Room Info'!$A$2:$A2446, MATCH(B198,'Room Info'!$E$2:$E2446, 0)),IF(G198='Room Info'!$F$1, INDEX('Room Info'!$A$2:$A2446, MATCH(B198,'Room Info'!$F$2:$F2446, 0)),IF(G198='Room Info'!$H$1, INDEX('Room Info'!$A$2:$A2446, MATCH(B198,'Room Info'!$H$2:$H2446, 0)),IF(G198='Room Info'!$G$1, INDEX('Room Info'!$A$2:$A2446, MATCH(B198,'Room Info'!$G$2:$G2446, 0)))))))))</f>
        <v>Fedorovi4</v>
      </c>
      <c r="B198" s="45" t="s">
        <v>96</v>
      </c>
      <c r="C198" s="67">
        <v>44855</v>
      </c>
      <c r="D198" s="67">
        <v>44885</v>
      </c>
      <c r="E198" s="47">
        <v>44866</v>
      </c>
      <c r="F198" s="48" t="s">
        <v>34</v>
      </c>
      <c r="G198" s="45" t="s">
        <v>35</v>
      </c>
      <c r="H198" s="49" t="s">
        <v>46</v>
      </c>
      <c r="I198" s="49" t="s">
        <v>37</v>
      </c>
      <c r="J198" s="74">
        <v>25</v>
      </c>
      <c r="K198" s="75">
        <v>640</v>
      </c>
      <c r="L198" s="72">
        <v>-1250</v>
      </c>
      <c r="M198" s="76">
        <v>250</v>
      </c>
      <c r="N198" s="28">
        <f>K198*J198</f>
        <v>16000</v>
      </c>
      <c r="O198" s="45">
        <v>9856</v>
      </c>
      <c r="P198" s="29">
        <v>15.4</v>
      </c>
      <c r="Q198" s="55"/>
      <c r="R198" s="31">
        <f>M198+Q198</f>
        <v>250</v>
      </c>
      <c r="S198" s="73">
        <v>-591</v>
      </c>
      <c r="T198" s="32">
        <f>R198+S198+IF(F198="Without EV deal",L198,0)</f>
        <v>-341</v>
      </c>
      <c r="U198" s="33">
        <v>1</v>
      </c>
      <c r="V198" s="69">
        <v>25</v>
      </c>
      <c r="W198" s="69">
        <v>-13.64</v>
      </c>
      <c r="X198" s="30">
        <f>IF(AF198="DoEV",IF(AND(V198&lt;20,W198&lt;55),0.3,0)+IF(AND(V198&lt;20,W198&gt;=55,W198&lt;105),0.23,0)+IF(AND(V198&lt;20,W198&gt;=105),0.17,0)+IF(AND(V198&gt;=20,V198&lt;40,W198&lt;45),0.3,0)+IF(AND(V198&gt;=20,V198&lt;40,W198&gt;=45,W198&lt;95),0.23,0)+IF(AND(V198&gt;=20,V198&lt;40,W198&gt;=95),0.17,0)+IF(AND(V198&gt;=40,V198&lt;75,W198&lt;35),0.3,0)+IF(AND(V198&gt;=40,V198&lt;75,W198&gt;=35,W198&lt;75),0.23,0)+IF(AND(V198&gt;=40,V198&lt;75,W198&gt;=75,W198&lt;120),0.17,0)+IF(AND(V198&gt;=40,V198&lt;75,W198&gt;=120),0.12,0)+IF(AND(V198&gt;=75,V198&lt;175,W198&lt;35),0.3,0)+IF(AND(V198&gt;=75,V198&lt;=175,W198&gt;=35,W198&lt;65),0.23,0)+IF(AND(V198&gt;=75,V198&lt;=175,W198&gt;=65,W198&lt;110),0.17,0)+IF(AND(V198&gt;=75,V198&lt;=175,W198&gt;=110),0.12,0)+IF(AND(V198&gt;175,W198&lt;25),0.3,0)+IF(AND(V198&gt;175,W198&gt;=25,W198&lt;55),0.23,0)+IF(AND(V198&gt;175,W198&gt;=55,W198&lt;95),0.17,0)+IF(AND(V198&gt;175,W198&gt;=95),0.12,0),
IF(AF198="Fix15",0.15,
IF(AF198="Fix11.25",0.1125,
IF(AF198="Fix10",0.1,
IF(AF198="Fix9",0.09,
IF(AF198="DoEV2017",IF(AND(W198&lt;74),0.2,0)+IF(AND(W198&gt;=74),0.17,0),
IF(AF198="SF",IF(AND(V198&lt;20,W198&lt;89),0.3,0)+IF(AND(V198&lt;20,W198&gt;=89),0.25,0)+IF(AND(V198&gt;=20,V198&lt;40,W198&lt;74),0.3,0)+IF(AND(V198&gt;=20,V198&lt;40,W198&gt;=75),0.22,0)+IF(AND(V198&gt;=40,V198&lt;75,W198&lt;75),0.26,0)+IF(AND(V198&gt;=40,V198&lt;75,W198&gt;=75),0.22,0)+IF(V198&gt;=75,0.22,0),
IF(AF198="DoEVold",IF(AND(V198&lt;40,W198&lt;35),0.35,0)+IF(AND(V198&lt;40,W198&gt;=35,W198&lt;75),0.25,0)+IF(AND(V198&lt;40,W198&gt;=75),0.17,0)+IF(AND(V198&gt;=40,V198&lt;75,W198&lt;25),0.35,0)+IF(AND(V198&gt;=40,V198&lt;75,W198&gt;=25,W198&lt;65),0.25,0)+IF(AND(V198&gt;=40,V198&lt;75,W198&gt;=65,W198&lt;100),0.17,0)+IF(AND(V198&gt;=40,V198&lt;75,W198&gt;=100),0.1,0)+IF(AND(V198&gt;=75,W198&lt;25),0.35,0)+IF(AND(V198&gt;=75,W198&gt;=25,W198&lt;60),0.25,0)+IF(AND(V198&gt;=75,W198&gt;=60,W198&lt;95),0.17,0)+IF(AND(V198&gt;=75,W198&gt;=95),0.1,0),
IF(AF198="DoEVold15",IF(AND(V198&lt;=40,W198&lt;35),0.35,0)+IF(AND(V198&lt;=40,W198&gt;=35,W198&lt;75),0.25,0)+IF(AND(V198&lt;=40,W198&gt;=75,W198&lt;120),0.17,0)+IF(AND(V198&lt;=40,W198&gt;=120),0.15,0)+IF(AND(V198&gt;40,V198&lt;75,W198&lt;25),0.35,0)+IF(AND(V198&gt;=40,V198&lt;75,W198&gt;=25,W198&lt;65),0.25,0)+IF(AND(V198&gt;=40,V198&lt;75,W198&gt;=65,W198&lt;100),0.17,0)+IF(AND(V198&gt;=40,V198&lt;75,W198&gt;=100),0.1,0)+IF(AND(V198&gt;=75,W198&lt;25),0.35,0)+IF(AND(V198&gt;=75,W198&gt;=25,W198&lt;60),0.25,0)+IF(AND(V198&gt;=75,W198&gt;=60,W198&lt;95),0.17,0)+IF(AND(V198&gt;=75,W198&gt;=95),0.1,0),
IF(AF198="DoEVba",IF(AND(V198&lt;20,W198&lt;105),0.2,0)+IF(AND(V198&lt;20,W198&gt;=105),0.15,0)+IF(AND(V198&gt;=20,V198&lt;40,W198&lt;95),0.2,0)+IF(AND(V198&gt;=20,V198&lt;40,W198&gt;=95,W198&lt;150),0.15,0)+IF(AND(V198&gt;=20,V198&lt;40,W198&gt;=150),0.12,0)+IF(AND(V198&gt;=40,V198&lt;75,W198&lt;75),0.2,0)+IF(AND(V198&gt;=40,V198&lt;75,W198&gt;=75,W198&lt;120),0.15,0)+IF(AND(V198&gt;=40,V198&lt;75,W198&gt;=120),0.12,0)+IF(AND(V198&gt;=75,V198&lt;175,W198&lt;65),0.2,0)+IF(AND(V198&gt;=75,V198&lt;175,W198&gt;=65,W198&lt;110),0.15,0)+IF(AND(V198&gt;=75,V198&lt;175,W198&gt;=110),0.12,0)+IF(AND(V198&gt;=175,W198&lt;55),0.2,0)+IF(AND(V198&gt;=175,W198&gt;=55,W198&lt;95),0.15,0)+IF(AND(V198&gt;=175,W198&gt;=95),0.12,0),
IF(AF198="DoEVku",IF(AND(V198&lt;20,W198&lt;55),0.23,0)+IF(AND(V198&lt;20,W198&gt;=55,W198&lt;105),0.2,0)+IF(AND(V198&lt;20,W198&gt;=105),0.17,0)+IF(AND(V198&gt;=20,V198&lt;40,W198&lt;45),0.23,0)+IF(AND(V198&gt;=20,V198&lt;40,W198&gt;=45,W198&lt;95),0.2,0)+IF(AND(V198&gt;=20,V198&lt;40,W198&gt;=95,W198&lt;=150),0.17,0)+IF(AND(V198&gt;=20,V198&lt;40,W198&gt;=150),0.12,0)+IF(AND(V198&gt;=40,V198&lt;75,W198&lt;35),0.23,0)+IF(AND(V198&gt;=40,V198&lt;75,W198&gt;=35,W198&lt;75),0.2,0)+IF(AND(V198&gt;=40,V198&lt;75,W198&gt;=75,W198&lt;120),0.17,0)+IF(AND(V198&gt;=40,V198&lt;75,W198&gt;=120),0.12,0)+IF(AND(V198&gt;=75,V198&lt;175,W198&lt;35),0.23,0)+IF(AND(V198&gt;=75,V198&lt;=175,W198&gt;=35,W198&lt;65),0.2,0)+IF(AND(V198&gt;=75,V198&lt;=175,W198&gt;=65,W198&lt;110),0.17,0)+IF(AND(V198&gt;=75,V198&lt;=175,W198&gt;=110),0.12,0)+IF(AND(V198&gt;175,W198&lt;25),0.23,0)+IF(AND(V198&gt;175,W198&gt;=25,W198&lt;55),0.2,0)+IF(AND(V198&gt;175,W198&gt;=55,W198&lt;95),0.17,0)+IF(AND(V198&gt;175,W198&gt;=95),0.12,0),
IF(AF198="DoEVs1",IF(AND(V198&lt;20,W198&lt;55),0.3,0)+IF(AND(V198&lt;20,W198&gt;=55,W198&lt;105),0.23,0)+IF(AND(V198&lt;20,W198&gt;=105),0.17,0)+IF(AND(V198&gt;=20,V198&lt;40,W198&lt;45),0.3,0)+IF(AND(V198&gt;=20,V198&lt;40,W198&gt;=45,W198&lt;95),0.23,0)+IF(AND(V198&gt;=20,V198&lt;40,W198&gt;=95,W198&lt;=150),0.17,0)+IF(AND(V198&gt;=20,V198&lt;40,W198&gt;=150),0.12,0)+IF(AND(V198&gt;=40,V198&lt;75,W198&lt;35),0.3,0)+IF(AND(V198&gt;=40,V198&lt;75,W198&gt;=35,W198&lt;75),0.23,0)+IF(AND(V198&gt;=40,V198&lt;75,W198&gt;=75,W198&lt;120),0.17,0)+IF(AND(V198&gt;=40,V198&lt;75,W198&gt;=120),0.12,0)+IF(AND(V198&gt;=75,V198&lt;175,W198&lt;35),0.3,0)+IF(AND(V198&gt;=75,V198&lt;=175,W198&gt;=35,W198&lt;65),0.23,0)+IF(AND(V198&gt;=75,V198&lt;=175,W198&gt;=65,W198&lt;110),0.17,0)+IF(AND(V198&gt;=75,V198&lt;=175,W198&gt;=110),0.12,0)+IF(AND(V198&gt;175,W198&lt;25),0.3,0)+IF(AND(V198&gt;175,W198&gt;=25,W198&lt;55),0.23,0)+IF(AND(V198&gt;175,W198&gt;=55,W198&lt;95),0.17,0)+IF(AND(V198&gt;175,W198&gt;=95),0.12,0),
IF(AF198="DoEVsu",IF(AND(V198&lt;20,W198&lt;55),0.3,0)+IF(AND(V198&lt;20,W198&gt;=55,W198&lt;105),0.23,0)+IF(AND(V198&lt;20,W198&gt;=105),0.17,0)+IF(AND(V198&gt;=20,V198&lt;40,W198&lt;45),0.3,0)+IF(AND(V198&gt;=20,V198&lt;40,W198&gt;=45,W198&lt;95),0.23,0)+IF(AND(V198&gt;=20,V198&lt;40,W198&gt;=95,W198&lt;=250),0.17,0)+IF(AND(V198&gt;=20,V198&lt;40,W198&gt;=250),0.12,0)+IF(AND(V198&gt;=40,V198&lt;75,W198&lt;35),0.3,0)+IF(AND(V198&gt;=40,V198&lt;75,W198&gt;=35,W198&lt;75),0.23,0)+IF(AND(V198&gt;=40,V198&lt;75,W198&gt;=75,W198&lt;120),0.17,0)+IF(AND(V198&gt;=40,V198&lt;75,W198&gt;=120),0.12,0)+IF(AND(V198&gt;=75,V198&lt;175,W198&lt;35),0.3,0)+IF(AND(V198&gt;=75,V198&lt;=175,W198&gt;=35,W198&lt;65),0.23,0)+IF(AND(V198&gt;=75,V198&lt;=175,W198&gt;=65,W198&lt;110),0.17,0)+IF(AND(V198&gt;=75,V198&lt;=175,W198&gt;=110),0.12,0)+IF(AND(V198&gt;175,W198&lt;25),0.3,0)+IF(AND(V198&gt;175,W198&gt;=25,W198&lt;55),0.23,0)+IF(AND(V198&gt;175,W198&gt;=55,W198&lt;95),0.17,0)+IF(AND(V198&gt;175,W198&gt;=95),0.12,0),
IF(AF198="DoEVni",IF(AND(V198&lt;20,W198&lt;55),0.3,0)+IF(AND(V198&lt;20,W198&gt;=55,W198&lt;105),0.23,0)+IF(AND(V198&lt;20,W198&gt;=105),0.17,0)+IF(AND(V198&gt;=20,V198&lt;40,W198&lt;45),0.3,0)+IF(AND(V198&gt;=20,V198&lt;40,W198&gt;=45,W198&lt;95),0.23,0)+IF(AND(V198&gt;=20,V198&lt;40,W198&gt;=95,W198&lt;=200),0.17,0)+IF(AND(V198&gt;=20,V198&lt;40,W198&gt;=200),0.12,0)+IF(AND(V198&gt;=40,V198&lt;75,W198&lt;35),0.3,0)+IF(AND(V198&gt;=40,V198&lt;75,W198&gt;=35,W198&lt;75),0.23,0)+IF(AND(V198&gt;=40,V198&lt;75,W198&gt;=75,W198&lt;120),0.17,0)+IF(AND(V198&gt;=40,V198&lt;75,W198&gt;=120),0.12,0)+IF(AND(V198&gt;=75,V198&lt;175,W198&lt;35),0.3,0)+IF(AND(V198&gt;=75,V198&lt;=175,W198&gt;=35,W198&lt;65),0.23,0)+IF(AND(V198&gt;=75,V198&lt;=175,W198&gt;=65,W198&lt;110),0.17,0)+IF(AND(V198&gt;=75,V198&lt;=175,W198&gt;=110),0.12,0)+IF(AND(V198&gt;175,W198&lt;25),0.3,0)+IF(AND(V198&gt;175,W198&gt;=25,W198&lt;55),0.23,0)+IF(AND(V198&gt;175,W198&gt;=55,W198&lt;95),0.17,0)+IF(AND(V198&gt;175,W198&gt;=95),0.12,0),
IF(AF198="DoEVLo",IF(AND(V198&lt;20,W198&lt;55),0.25,0)+IF(AND(V198&lt;20,W198&gt;=55,W198&lt;105),0.2,0)+IF(AND(V198&lt;20,W198&gt;=105),0.15,0)+IF(AND(V198&gt;=20,V198&lt;40,W198&lt;45),0.25,0)+IF(AND(V198&gt;=20,V198&lt;40,W198&gt;=45,W198&lt;95),0.2,0)+IF(AND(V198&gt;=20,V198&lt;40,W198&gt;=95),0.15,0)+IF(AND(V198&gt;=40,V198&lt;75,W198&lt;35),0.25,0)+IF(AND(V198&gt;=40,V198&lt;75,W198&gt;=35,W198&lt;75),0.2,0)+IF(AND(V198&gt;=40,V198&lt;75,W198&gt;=75,W198&lt;120),0.15,0)+IF(AND(V198&gt;=40,V198&lt;75,W198&gt;=120),0.1,0)+IF(AND(V198&gt;=75,V198&lt;175,W198&lt;35),0.25,0)+IF(AND(V198&gt;=75,V198&lt;=175,W198&gt;=35,W198&lt;65),0.2,0)+IF(AND(V198&gt;=75,V198&lt;=175,W198&gt;=65,W198&lt;110),0.15,0)+IF(AND(V198&gt;=75,V198&lt;=175,W198&gt;=110),0.1,0)+IF(AND(V198&gt;175,W198&lt;25),0.25,0)+IF(AND(V198&gt;175,W198&gt;=25,W198&lt;55),0.2,0)+IF(AND(V198&gt;175,W198&gt;=55,W198&lt;95),0.15,0)+IF(AND(V198&gt;175,W198&gt;=95),0.1,0))))))))))))))))</f>
        <v>0.3</v>
      </c>
      <c r="Y198" s="30">
        <f>IF(AG198="None",0,IF(AG198="Fix5",0.05,IF(AG198="Fix3.75",0.0375,IF(AG198="Fix10",0.1,IF(AG198="Fix3",0.03,0)))))</f>
        <v>0</v>
      </c>
      <c r="Z198" s="35">
        <f>T198-AA198-AB198</f>
        <v>-238.7</v>
      </c>
      <c r="AA198" s="29">
        <f>IF(AD198="EUR",((T198-R198)*X198)*U198+(R198*X198),(T198*X198))</f>
        <v>-102.3</v>
      </c>
      <c r="AB198" s="36">
        <f>IF(AD198="EUR",((T198-R198)*Y198)*U198+(R198*Y198),(T198*Y198))</f>
        <v>0</v>
      </c>
      <c r="AC198" s="37" t="b">
        <v>0</v>
      </c>
      <c r="AD198" s="37" t="s">
        <v>38</v>
      </c>
      <c r="AE198" s="37" t="s">
        <v>38</v>
      </c>
      <c r="AF198" s="37" t="str">
        <f t="array" ref="AF198">INDEX('Deal Info'!D:D, MATCH(A198,'Deal Info'!A:A, 0))</f>
        <v>SF</v>
      </c>
      <c r="AG198" s="38" t="str">
        <f t="array" ref="AG198">INDEX('Deal Info'!G:G, MATCH(A198,'Deal Info'!A:A, 0))</f>
        <v>None</v>
      </c>
    </row>
    <row r="199" spans="1:33" ht="14.25" hidden="1" x14ac:dyDescent="0.2">
      <c r="A199" s="18" t="str">
        <f t="array" ref="A199">IF(G199='Room Info'!$B$1, INDEX('Room Info'!$A$2:$A2446, MATCH(B199,'Room Info'!$B$2:$B2446, 0)),IF(G199='Room Info'!$C$1, INDEX('Room Info'!$A$2:$A2446, MATCH(B199,'Room Info'!$C$2:$C2446, 0)),IF(G199='Room Info'!$D$1, INDEX('Room Info'!$A$2:$A2446, MATCH(B199,'Room Info'!$D$2:$D2446, 0)),IF(G199='Room Info'!$E$1, INDEX('Room Info'!$A$2:$A2446, MATCH(B199,'Room Info'!$E$2:$E2446, 0)),IF(G199='Room Info'!$F$1, INDEX('Room Info'!$A$2:$A2446, MATCH(B199,'Room Info'!$F$2:$F2446, 0)),IF(G199='Room Info'!$H$1, INDEX('Room Info'!$A$2:$A2446, MATCH(B199,'Room Info'!$H$2:$H2446, 0)),IF(G199='Room Info'!$G$1, INDEX('Room Info'!$A$2:$A2446, MATCH(B199,'Room Info'!$G$2:$G2446, 0)))))))))</f>
        <v>Fedorovi4</v>
      </c>
      <c r="B199" s="45" t="s">
        <v>96</v>
      </c>
      <c r="C199" s="67">
        <v>44886</v>
      </c>
      <c r="D199" s="67">
        <v>44915</v>
      </c>
      <c r="E199" s="47">
        <v>44896</v>
      </c>
      <c r="F199" s="48" t="s">
        <v>34</v>
      </c>
      <c r="G199" s="45" t="s">
        <v>35</v>
      </c>
      <c r="H199" s="49" t="s">
        <v>46</v>
      </c>
      <c r="I199" s="49" t="s">
        <v>37</v>
      </c>
      <c r="J199" s="74">
        <v>25</v>
      </c>
      <c r="K199" s="75">
        <v>3</v>
      </c>
      <c r="L199" s="72">
        <v>100</v>
      </c>
      <c r="M199" s="53">
        <v>3</v>
      </c>
      <c r="N199" s="28">
        <f>K199*J199</f>
        <v>75</v>
      </c>
      <c r="O199" s="45">
        <v>356</v>
      </c>
      <c r="P199" s="29">
        <v>118.66666669999999</v>
      </c>
      <c r="Q199" s="55"/>
      <c r="R199" s="31">
        <f>M199+Q199</f>
        <v>3</v>
      </c>
      <c r="S199" s="73">
        <v>12</v>
      </c>
      <c r="T199" s="32">
        <f>R199+S199+IF(F199="Without EV deal",L199,0)</f>
        <v>15</v>
      </c>
      <c r="U199" s="33">
        <v>1</v>
      </c>
      <c r="V199" s="69">
        <v>49.767801857585141</v>
      </c>
      <c r="W199" s="69">
        <v>-4.8023017107309487</v>
      </c>
      <c r="X199" s="30">
        <f>IF(AF199="DoEV",IF(AND(V199&lt;20,W199&lt;55),0.3,0)+IF(AND(V199&lt;20,W199&gt;=55,W199&lt;105),0.23,0)+IF(AND(V199&lt;20,W199&gt;=105),0.17,0)+IF(AND(V199&gt;=20,V199&lt;40,W199&lt;45),0.3,0)+IF(AND(V199&gt;=20,V199&lt;40,W199&gt;=45,W199&lt;95),0.23,0)+IF(AND(V199&gt;=20,V199&lt;40,W199&gt;=95),0.17,0)+IF(AND(V199&gt;=40,V199&lt;75,W199&lt;35),0.3,0)+IF(AND(V199&gt;=40,V199&lt;75,W199&gt;=35,W199&lt;75),0.23,0)+IF(AND(V199&gt;=40,V199&lt;75,W199&gt;=75,W199&lt;120),0.17,0)+IF(AND(V199&gt;=40,V199&lt;75,W199&gt;=120),0.12,0)+IF(AND(V199&gt;=75,V199&lt;175,W199&lt;35),0.3,0)+IF(AND(V199&gt;=75,V199&lt;=175,W199&gt;=35,W199&lt;65),0.23,0)+IF(AND(V199&gt;=75,V199&lt;=175,W199&gt;=65,W199&lt;110),0.17,0)+IF(AND(V199&gt;=75,V199&lt;=175,W199&gt;=110),0.12,0)+IF(AND(V199&gt;175,W199&lt;25),0.3,0)+IF(AND(V199&gt;175,W199&gt;=25,W199&lt;55),0.23,0)+IF(AND(V199&gt;175,W199&gt;=55,W199&lt;95),0.17,0)+IF(AND(V199&gt;175,W199&gt;=95),0.12,0),
IF(AF199="Fix15",0.15,
IF(AF199="Fix11.25",0.1125,
IF(AF199="Fix10",0.1,
IF(AF199="Fix9",0.09,
IF(AF199="DoEV2017",IF(AND(W199&lt;74),0.2,0)+IF(AND(W199&gt;=74),0.17,0),
IF(AF199="SF",IF(AND(V199&lt;20,W199&lt;89),0.3,0)+IF(AND(V199&lt;20,W199&gt;=89),0.25,0)+IF(AND(V199&gt;=20,V199&lt;40,W199&lt;74),0.3,0)+IF(AND(V199&gt;=20,V199&lt;40,W199&gt;=75),0.22,0)+IF(AND(V199&gt;=40,V199&lt;75,W199&lt;75),0.26,0)+IF(AND(V199&gt;=40,V199&lt;75,W199&gt;=75),0.22,0)+IF(V199&gt;=75,0.22,0),
IF(AF199="DoEVold",IF(AND(V199&lt;40,W199&lt;35),0.35,0)+IF(AND(V199&lt;40,W199&gt;=35,W199&lt;75),0.25,0)+IF(AND(V199&lt;40,W199&gt;=75),0.17,0)+IF(AND(V199&gt;=40,V199&lt;75,W199&lt;25),0.35,0)+IF(AND(V199&gt;=40,V199&lt;75,W199&gt;=25,W199&lt;65),0.25,0)+IF(AND(V199&gt;=40,V199&lt;75,W199&gt;=65,W199&lt;100),0.17,0)+IF(AND(V199&gt;=40,V199&lt;75,W199&gt;=100),0.1,0)+IF(AND(V199&gt;=75,W199&lt;25),0.35,0)+IF(AND(V199&gt;=75,W199&gt;=25,W199&lt;60),0.25,0)+IF(AND(V199&gt;=75,W199&gt;=60,W199&lt;95),0.17,0)+IF(AND(V199&gt;=75,W199&gt;=95),0.1,0),
IF(AF199="DoEVold15",IF(AND(V199&lt;=40,W199&lt;35),0.35,0)+IF(AND(V199&lt;=40,W199&gt;=35,W199&lt;75),0.25,0)+IF(AND(V199&lt;=40,W199&gt;=75,W199&lt;120),0.17,0)+IF(AND(V199&lt;=40,W199&gt;=120),0.15,0)+IF(AND(V199&gt;40,V199&lt;75,W199&lt;25),0.35,0)+IF(AND(V199&gt;=40,V199&lt;75,W199&gt;=25,W199&lt;65),0.25,0)+IF(AND(V199&gt;=40,V199&lt;75,W199&gt;=65,W199&lt;100),0.17,0)+IF(AND(V199&gt;=40,V199&lt;75,W199&gt;=100),0.1,0)+IF(AND(V199&gt;=75,W199&lt;25),0.35,0)+IF(AND(V199&gt;=75,W199&gt;=25,W199&lt;60),0.25,0)+IF(AND(V199&gt;=75,W199&gt;=60,W199&lt;95),0.17,0)+IF(AND(V199&gt;=75,W199&gt;=95),0.1,0),
IF(AF199="DoEVba",IF(AND(V199&lt;20,W199&lt;105),0.2,0)+IF(AND(V199&lt;20,W199&gt;=105),0.15,0)+IF(AND(V199&gt;=20,V199&lt;40,W199&lt;95),0.2,0)+IF(AND(V199&gt;=20,V199&lt;40,W199&gt;=95,W199&lt;150),0.15,0)+IF(AND(V199&gt;=20,V199&lt;40,W199&gt;=150),0.12,0)+IF(AND(V199&gt;=40,V199&lt;75,W199&lt;75),0.2,0)+IF(AND(V199&gt;=40,V199&lt;75,W199&gt;=75,W199&lt;120),0.15,0)+IF(AND(V199&gt;=40,V199&lt;75,W199&gt;=120),0.12,0)+IF(AND(V199&gt;=75,V199&lt;175,W199&lt;65),0.2,0)+IF(AND(V199&gt;=75,V199&lt;175,W199&gt;=65,W199&lt;110),0.15,0)+IF(AND(V199&gt;=75,V199&lt;175,W199&gt;=110),0.12,0)+IF(AND(V199&gt;=175,W199&lt;55),0.2,0)+IF(AND(V199&gt;=175,W199&gt;=55,W199&lt;95),0.15,0)+IF(AND(V199&gt;=175,W199&gt;=95),0.12,0),
IF(AF199="DoEVku",IF(AND(V199&lt;20,W199&lt;55),0.23,0)+IF(AND(V199&lt;20,W199&gt;=55,W199&lt;105),0.2,0)+IF(AND(V199&lt;20,W199&gt;=105),0.17,0)+IF(AND(V199&gt;=20,V199&lt;40,W199&lt;45),0.23,0)+IF(AND(V199&gt;=20,V199&lt;40,W199&gt;=45,W199&lt;95),0.2,0)+IF(AND(V199&gt;=20,V199&lt;40,W199&gt;=95,W199&lt;=150),0.17,0)+IF(AND(V199&gt;=20,V199&lt;40,W199&gt;=150),0.12,0)+IF(AND(V199&gt;=40,V199&lt;75,W199&lt;35),0.23,0)+IF(AND(V199&gt;=40,V199&lt;75,W199&gt;=35,W199&lt;75),0.2,0)+IF(AND(V199&gt;=40,V199&lt;75,W199&gt;=75,W199&lt;120),0.17,0)+IF(AND(V199&gt;=40,V199&lt;75,W199&gt;=120),0.12,0)+IF(AND(V199&gt;=75,V199&lt;175,W199&lt;35),0.23,0)+IF(AND(V199&gt;=75,V199&lt;=175,W199&gt;=35,W199&lt;65),0.2,0)+IF(AND(V199&gt;=75,V199&lt;=175,W199&gt;=65,W199&lt;110),0.17,0)+IF(AND(V199&gt;=75,V199&lt;=175,W199&gt;=110),0.12,0)+IF(AND(V199&gt;175,W199&lt;25),0.23,0)+IF(AND(V199&gt;175,W199&gt;=25,W199&lt;55),0.2,0)+IF(AND(V199&gt;175,W199&gt;=55,W199&lt;95),0.17,0)+IF(AND(V199&gt;175,W199&gt;=95),0.12,0),
IF(AF199="DoEVs1",IF(AND(V199&lt;20,W199&lt;55),0.3,0)+IF(AND(V199&lt;20,W199&gt;=55,W199&lt;105),0.23,0)+IF(AND(V199&lt;20,W199&gt;=105),0.17,0)+IF(AND(V199&gt;=20,V199&lt;40,W199&lt;45),0.3,0)+IF(AND(V199&gt;=20,V199&lt;40,W199&gt;=45,W199&lt;95),0.23,0)+IF(AND(V199&gt;=20,V199&lt;40,W199&gt;=95,W199&lt;=150),0.17,0)+IF(AND(V199&gt;=20,V199&lt;40,W199&gt;=150),0.12,0)+IF(AND(V199&gt;=40,V199&lt;75,W199&lt;35),0.3,0)+IF(AND(V199&gt;=40,V199&lt;75,W199&gt;=35,W199&lt;75),0.23,0)+IF(AND(V199&gt;=40,V199&lt;75,W199&gt;=75,W199&lt;120),0.17,0)+IF(AND(V199&gt;=40,V199&lt;75,W199&gt;=120),0.12,0)+IF(AND(V199&gt;=75,V199&lt;175,W199&lt;35),0.3,0)+IF(AND(V199&gt;=75,V199&lt;=175,W199&gt;=35,W199&lt;65),0.23,0)+IF(AND(V199&gt;=75,V199&lt;=175,W199&gt;=65,W199&lt;110),0.17,0)+IF(AND(V199&gt;=75,V199&lt;=175,W199&gt;=110),0.12,0)+IF(AND(V199&gt;175,W199&lt;25),0.3,0)+IF(AND(V199&gt;175,W199&gt;=25,W199&lt;55),0.23,0)+IF(AND(V199&gt;175,W199&gt;=55,W199&lt;95),0.17,0)+IF(AND(V199&gt;175,W199&gt;=95),0.12,0),
IF(AF199="DoEVsu",IF(AND(V199&lt;20,W199&lt;55),0.3,0)+IF(AND(V199&lt;20,W199&gt;=55,W199&lt;105),0.23,0)+IF(AND(V199&lt;20,W199&gt;=105),0.17,0)+IF(AND(V199&gt;=20,V199&lt;40,W199&lt;45),0.3,0)+IF(AND(V199&gt;=20,V199&lt;40,W199&gt;=45,W199&lt;95),0.23,0)+IF(AND(V199&gt;=20,V199&lt;40,W199&gt;=95,W199&lt;=250),0.17,0)+IF(AND(V199&gt;=20,V199&lt;40,W199&gt;=250),0.12,0)+IF(AND(V199&gt;=40,V199&lt;75,W199&lt;35),0.3,0)+IF(AND(V199&gt;=40,V199&lt;75,W199&gt;=35,W199&lt;75),0.23,0)+IF(AND(V199&gt;=40,V199&lt;75,W199&gt;=75,W199&lt;120),0.17,0)+IF(AND(V199&gt;=40,V199&lt;75,W199&gt;=120),0.12,0)+IF(AND(V199&gt;=75,V199&lt;175,W199&lt;35),0.3,0)+IF(AND(V199&gt;=75,V199&lt;=175,W199&gt;=35,W199&lt;65),0.23,0)+IF(AND(V199&gt;=75,V199&lt;=175,W199&gt;=65,W199&lt;110),0.17,0)+IF(AND(V199&gt;=75,V199&lt;=175,W199&gt;=110),0.12,0)+IF(AND(V199&gt;175,W199&lt;25),0.3,0)+IF(AND(V199&gt;175,W199&gt;=25,W199&lt;55),0.23,0)+IF(AND(V199&gt;175,W199&gt;=55,W199&lt;95),0.17,0)+IF(AND(V199&gt;175,W199&gt;=95),0.12,0),
IF(AF199="DoEVni",IF(AND(V199&lt;20,W199&lt;55),0.3,0)+IF(AND(V199&lt;20,W199&gt;=55,W199&lt;105),0.23,0)+IF(AND(V199&lt;20,W199&gt;=105),0.17,0)+IF(AND(V199&gt;=20,V199&lt;40,W199&lt;45),0.3,0)+IF(AND(V199&gt;=20,V199&lt;40,W199&gt;=45,W199&lt;95),0.23,0)+IF(AND(V199&gt;=20,V199&lt;40,W199&gt;=95,W199&lt;=200),0.17,0)+IF(AND(V199&gt;=20,V199&lt;40,W199&gt;=200),0.12,0)+IF(AND(V199&gt;=40,V199&lt;75,W199&lt;35),0.3,0)+IF(AND(V199&gt;=40,V199&lt;75,W199&gt;=35,W199&lt;75),0.23,0)+IF(AND(V199&gt;=40,V199&lt;75,W199&gt;=75,W199&lt;120),0.17,0)+IF(AND(V199&gt;=40,V199&lt;75,W199&gt;=120),0.12,0)+IF(AND(V199&gt;=75,V199&lt;175,W199&lt;35),0.3,0)+IF(AND(V199&gt;=75,V199&lt;=175,W199&gt;=35,W199&lt;65),0.23,0)+IF(AND(V199&gt;=75,V199&lt;=175,W199&gt;=65,W199&lt;110),0.17,0)+IF(AND(V199&gt;=75,V199&lt;=175,W199&gt;=110),0.12,0)+IF(AND(V199&gt;175,W199&lt;25),0.3,0)+IF(AND(V199&gt;175,W199&gt;=25,W199&lt;55),0.23,0)+IF(AND(V199&gt;175,W199&gt;=55,W199&lt;95),0.17,0)+IF(AND(V199&gt;175,W199&gt;=95),0.12,0),
IF(AF199="DoEVLo",IF(AND(V199&lt;20,W199&lt;55),0.25,0)+IF(AND(V199&lt;20,W199&gt;=55,W199&lt;105),0.2,0)+IF(AND(V199&lt;20,W199&gt;=105),0.15,0)+IF(AND(V199&gt;=20,V199&lt;40,W199&lt;45),0.25,0)+IF(AND(V199&gt;=20,V199&lt;40,W199&gt;=45,W199&lt;95),0.2,0)+IF(AND(V199&gt;=20,V199&lt;40,W199&gt;=95),0.15,0)+IF(AND(V199&gt;=40,V199&lt;75,W199&lt;35),0.25,0)+IF(AND(V199&gt;=40,V199&lt;75,W199&gt;=35,W199&lt;75),0.2,0)+IF(AND(V199&gt;=40,V199&lt;75,W199&gt;=75,W199&lt;120),0.15,0)+IF(AND(V199&gt;=40,V199&lt;75,W199&gt;=120),0.1,0)+IF(AND(V199&gt;=75,V199&lt;175,W199&lt;35),0.25,0)+IF(AND(V199&gt;=75,V199&lt;=175,W199&gt;=35,W199&lt;65),0.2,0)+IF(AND(V199&gt;=75,V199&lt;=175,W199&gt;=65,W199&lt;110),0.15,0)+IF(AND(V199&gt;=75,V199&lt;=175,W199&gt;=110),0.1,0)+IF(AND(V199&gt;175,W199&lt;25),0.25,0)+IF(AND(V199&gt;175,W199&gt;=25,W199&lt;55),0.2,0)+IF(AND(V199&gt;175,W199&gt;=55,W199&lt;95),0.15,0)+IF(AND(V199&gt;175,W199&gt;=95),0.1,0))))))))))))))))</f>
        <v>0.26</v>
      </c>
      <c r="Y199" s="30">
        <f>IF(AG199="None",0,IF(AG199="Fix5",0.05,IF(AG199="Fix3.75",0.0375,IF(AG199="Fix10",0.1,IF(AG199="Fix3",0.03,0)))))</f>
        <v>0</v>
      </c>
      <c r="Z199" s="35">
        <f>T199-AA199-AB199</f>
        <v>11.1</v>
      </c>
      <c r="AA199" s="29">
        <f>IF(AD199="EUR",((T199-R199)*X199)*U199+(R199*X199),(T199*X199))</f>
        <v>3.9000000000000004</v>
      </c>
      <c r="AB199" s="36">
        <f>IF(AD199="EUR",((T199-R199)*Y199)*U199+(R199*Y199),(T199*Y199))</f>
        <v>0</v>
      </c>
      <c r="AC199" s="37" t="b">
        <v>0</v>
      </c>
      <c r="AD199" s="37" t="s">
        <v>38</v>
      </c>
      <c r="AE199" s="37" t="s">
        <v>38</v>
      </c>
      <c r="AF199" s="37" t="str">
        <f t="array" ref="AF199">INDEX('Deal Info'!D:D, MATCH(A199,'Deal Info'!A:A, 0))</f>
        <v>SF</v>
      </c>
      <c r="AG199" s="38" t="str">
        <f t="array" ref="AG199">INDEX('Deal Info'!G:G, MATCH(A199,'Deal Info'!A:A, 0))</f>
        <v>None</v>
      </c>
    </row>
    <row r="200" spans="1:33" ht="14.25" hidden="1" x14ac:dyDescent="0.2">
      <c r="A200" s="18" t="str">
        <f t="array" ref="A200">IF(G200='Room Info'!$B$1, INDEX('Room Info'!$A$2:$A2446, MATCH(B200,'Room Info'!$B$2:$B2446, 0)),IF(G200='Room Info'!$C$1, INDEX('Room Info'!$A$2:$A2446, MATCH(B200,'Room Info'!$C$2:$C2446, 0)),IF(G200='Room Info'!$D$1, INDEX('Room Info'!$A$2:$A2446, MATCH(B200,'Room Info'!$D$2:$D2446, 0)),IF(G200='Room Info'!$E$1, INDEX('Room Info'!$A$2:$A2446, MATCH(B200,'Room Info'!$E$2:$E2446, 0)),IF(G200='Room Info'!$F$1, INDEX('Room Info'!$A$2:$A2446, MATCH(B200,'Room Info'!$F$2:$F2446, 0)),IF(G200='Room Info'!$H$1, INDEX('Room Info'!$A$2:$A2446, MATCH(B200,'Room Info'!$H$2:$H2446, 0)),IF(G200='Room Info'!$G$1, INDEX('Room Info'!$A$2:$A2446, MATCH(B200,'Room Info'!$G$2:$G2446, 0)))))))))</f>
        <v>Fedorovi4</v>
      </c>
      <c r="B200" s="45" t="s">
        <v>96</v>
      </c>
      <c r="C200" s="77">
        <v>44886</v>
      </c>
      <c r="D200" s="77">
        <v>44915</v>
      </c>
      <c r="E200" s="47">
        <v>44896</v>
      </c>
      <c r="F200" s="48" t="s">
        <v>34</v>
      </c>
      <c r="G200" s="45" t="s">
        <v>35</v>
      </c>
      <c r="H200" s="49" t="s">
        <v>72</v>
      </c>
      <c r="I200" s="49" t="s">
        <v>37</v>
      </c>
      <c r="J200" s="74">
        <v>50</v>
      </c>
      <c r="K200" s="75">
        <v>320</v>
      </c>
      <c r="L200" s="72">
        <v>5400</v>
      </c>
      <c r="M200" s="76">
        <v>592</v>
      </c>
      <c r="N200" s="28">
        <f>K200*J200</f>
        <v>16000</v>
      </c>
      <c r="O200" s="45">
        <v>1882</v>
      </c>
      <c r="P200" s="29">
        <v>5.8812499999999996</v>
      </c>
      <c r="Q200" s="55"/>
      <c r="R200" s="31">
        <f>M200+Q200</f>
        <v>592</v>
      </c>
      <c r="S200" s="73">
        <v>-846</v>
      </c>
      <c r="T200" s="32">
        <f>R200+S200+IF(F200="Without EV deal",L200,0)</f>
        <v>-254</v>
      </c>
      <c r="U200" s="33">
        <v>1</v>
      </c>
      <c r="V200" s="69">
        <v>49.767801857585141</v>
      </c>
      <c r="W200" s="69">
        <v>-4.8023017107309487</v>
      </c>
      <c r="X200" s="30">
        <f>IF(AF200="DoEV",IF(AND(V200&lt;20,W200&lt;55),0.3,0)+IF(AND(V200&lt;20,W200&gt;=55,W200&lt;105),0.23,0)+IF(AND(V200&lt;20,W200&gt;=105),0.17,0)+IF(AND(V200&gt;=20,V200&lt;40,W200&lt;45),0.3,0)+IF(AND(V200&gt;=20,V200&lt;40,W200&gt;=45,W200&lt;95),0.23,0)+IF(AND(V200&gt;=20,V200&lt;40,W200&gt;=95),0.17,0)+IF(AND(V200&gt;=40,V200&lt;75,W200&lt;35),0.3,0)+IF(AND(V200&gt;=40,V200&lt;75,W200&gt;=35,W200&lt;75),0.23,0)+IF(AND(V200&gt;=40,V200&lt;75,W200&gt;=75,W200&lt;120),0.17,0)+IF(AND(V200&gt;=40,V200&lt;75,W200&gt;=120),0.12,0)+IF(AND(V200&gt;=75,V200&lt;175,W200&lt;35),0.3,0)+IF(AND(V200&gt;=75,V200&lt;=175,W200&gt;=35,W200&lt;65),0.23,0)+IF(AND(V200&gt;=75,V200&lt;=175,W200&gt;=65,W200&lt;110),0.17,0)+IF(AND(V200&gt;=75,V200&lt;=175,W200&gt;=110),0.12,0)+IF(AND(V200&gt;175,W200&lt;25),0.3,0)+IF(AND(V200&gt;175,W200&gt;=25,W200&lt;55),0.23,0)+IF(AND(V200&gt;175,W200&gt;=55,W200&lt;95),0.17,0)+IF(AND(V200&gt;175,W200&gt;=95),0.12,0),
IF(AF200="Fix15",0.15,
IF(AF200="Fix11.25",0.1125,
IF(AF200="Fix10",0.1,
IF(AF200="Fix9",0.09,
IF(AF200="DoEV2017",IF(AND(W200&lt;74),0.2,0)+IF(AND(W200&gt;=74),0.17,0),
IF(AF200="SF",IF(AND(V200&lt;20,W200&lt;89),0.3,0)+IF(AND(V200&lt;20,W200&gt;=89),0.25,0)+IF(AND(V200&gt;=20,V200&lt;40,W200&lt;74),0.3,0)+IF(AND(V200&gt;=20,V200&lt;40,W200&gt;=75),0.22,0)+IF(AND(V200&gt;=40,V200&lt;75,W200&lt;75),0.26,0)+IF(AND(V200&gt;=40,V200&lt;75,W200&gt;=75),0.22,0)+IF(V200&gt;=75,0.22,0),
IF(AF200="DoEVold",IF(AND(V200&lt;40,W200&lt;35),0.35,0)+IF(AND(V200&lt;40,W200&gt;=35,W200&lt;75),0.25,0)+IF(AND(V200&lt;40,W200&gt;=75),0.17,0)+IF(AND(V200&gt;=40,V200&lt;75,W200&lt;25),0.35,0)+IF(AND(V200&gt;=40,V200&lt;75,W200&gt;=25,W200&lt;65),0.25,0)+IF(AND(V200&gt;=40,V200&lt;75,W200&gt;=65,W200&lt;100),0.17,0)+IF(AND(V200&gt;=40,V200&lt;75,W200&gt;=100),0.1,0)+IF(AND(V200&gt;=75,W200&lt;25),0.35,0)+IF(AND(V200&gt;=75,W200&gt;=25,W200&lt;60),0.25,0)+IF(AND(V200&gt;=75,W200&gt;=60,W200&lt;95),0.17,0)+IF(AND(V200&gt;=75,W200&gt;=95),0.1,0),
IF(AF200="DoEVold15",IF(AND(V200&lt;=40,W200&lt;35),0.35,0)+IF(AND(V200&lt;=40,W200&gt;=35,W200&lt;75),0.25,0)+IF(AND(V200&lt;=40,W200&gt;=75,W200&lt;120),0.17,0)+IF(AND(V200&lt;=40,W200&gt;=120),0.15,0)+IF(AND(V200&gt;40,V200&lt;75,W200&lt;25),0.35,0)+IF(AND(V200&gt;=40,V200&lt;75,W200&gt;=25,W200&lt;65),0.25,0)+IF(AND(V200&gt;=40,V200&lt;75,W200&gt;=65,W200&lt;100),0.17,0)+IF(AND(V200&gt;=40,V200&lt;75,W200&gt;=100),0.1,0)+IF(AND(V200&gt;=75,W200&lt;25),0.35,0)+IF(AND(V200&gt;=75,W200&gt;=25,W200&lt;60),0.25,0)+IF(AND(V200&gt;=75,W200&gt;=60,W200&lt;95),0.17,0)+IF(AND(V200&gt;=75,W200&gt;=95),0.1,0),
IF(AF200="DoEVba",IF(AND(V200&lt;20,W200&lt;105),0.2,0)+IF(AND(V200&lt;20,W200&gt;=105),0.15,0)+IF(AND(V200&gt;=20,V200&lt;40,W200&lt;95),0.2,0)+IF(AND(V200&gt;=20,V200&lt;40,W200&gt;=95,W200&lt;150),0.15,0)+IF(AND(V200&gt;=20,V200&lt;40,W200&gt;=150),0.12,0)+IF(AND(V200&gt;=40,V200&lt;75,W200&lt;75),0.2,0)+IF(AND(V200&gt;=40,V200&lt;75,W200&gt;=75,W200&lt;120),0.15,0)+IF(AND(V200&gt;=40,V200&lt;75,W200&gt;=120),0.12,0)+IF(AND(V200&gt;=75,V200&lt;175,W200&lt;65),0.2,0)+IF(AND(V200&gt;=75,V200&lt;175,W200&gt;=65,W200&lt;110),0.15,0)+IF(AND(V200&gt;=75,V200&lt;175,W200&gt;=110),0.12,0)+IF(AND(V200&gt;=175,W200&lt;55),0.2,0)+IF(AND(V200&gt;=175,W200&gt;=55,W200&lt;95),0.15,0)+IF(AND(V200&gt;=175,W200&gt;=95),0.12,0),
IF(AF200="DoEVku",IF(AND(V200&lt;20,W200&lt;55),0.23,0)+IF(AND(V200&lt;20,W200&gt;=55,W200&lt;105),0.2,0)+IF(AND(V200&lt;20,W200&gt;=105),0.17,0)+IF(AND(V200&gt;=20,V200&lt;40,W200&lt;45),0.23,0)+IF(AND(V200&gt;=20,V200&lt;40,W200&gt;=45,W200&lt;95),0.2,0)+IF(AND(V200&gt;=20,V200&lt;40,W200&gt;=95,W200&lt;=150),0.17,0)+IF(AND(V200&gt;=20,V200&lt;40,W200&gt;=150),0.12,0)+IF(AND(V200&gt;=40,V200&lt;75,W200&lt;35),0.23,0)+IF(AND(V200&gt;=40,V200&lt;75,W200&gt;=35,W200&lt;75),0.2,0)+IF(AND(V200&gt;=40,V200&lt;75,W200&gt;=75,W200&lt;120),0.17,0)+IF(AND(V200&gt;=40,V200&lt;75,W200&gt;=120),0.12,0)+IF(AND(V200&gt;=75,V200&lt;175,W200&lt;35),0.23,0)+IF(AND(V200&gt;=75,V200&lt;=175,W200&gt;=35,W200&lt;65),0.2,0)+IF(AND(V200&gt;=75,V200&lt;=175,W200&gt;=65,W200&lt;110),0.17,0)+IF(AND(V200&gt;=75,V200&lt;=175,W200&gt;=110),0.12,0)+IF(AND(V200&gt;175,W200&lt;25),0.23,0)+IF(AND(V200&gt;175,W200&gt;=25,W200&lt;55),0.2,0)+IF(AND(V200&gt;175,W200&gt;=55,W200&lt;95),0.17,0)+IF(AND(V200&gt;175,W200&gt;=95),0.12,0),
IF(AF200="DoEVs1",IF(AND(V200&lt;20,W200&lt;55),0.3,0)+IF(AND(V200&lt;20,W200&gt;=55,W200&lt;105),0.23,0)+IF(AND(V200&lt;20,W200&gt;=105),0.17,0)+IF(AND(V200&gt;=20,V200&lt;40,W200&lt;45),0.3,0)+IF(AND(V200&gt;=20,V200&lt;40,W200&gt;=45,W200&lt;95),0.23,0)+IF(AND(V200&gt;=20,V200&lt;40,W200&gt;=95,W200&lt;=150),0.17,0)+IF(AND(V200&gt;=20,V200&lt;40,W200&gt;=150),0.12,0)+IF(AND(V200&gt;=40,V200&lt;75,W200&lt;35),0.3,0)+IF(AND(V200&gt;=40,V200&lt;75,W200&gt;=35,W200&lt;75),0.23,0)+IF(AND(V200&gt;=40,V200&lt;75,W200&gt;=75,W200&lt;120),0.17,0)+IF(AND(V200&gt;=40,V200&lt;75,W200&gt;=120),0.12,0)+IF(AND(V200&gt;=75,V200&lt;175,W200&lt;35),0.3,0)+IF(AND(V200&gt;=75,V200&lt;=175,W200&gt;=35,W200&lt;65),0.23,0)+IF(AND(V200&gt;=75,V200&lt;=175,W200&gt;=65,W200&lt;110),0.17,0)+IF(AND(V200&gt;=75,V200&lt;=175,W200&gt;=110),0.12,0)+IF(AND(V200&gt;175,W200&lt;25),0.3,0)+IF(AND(V200&gt;175,W200&gt;=25,W200&lt;55),0.23,0)+IF(AND(V200&gt;175,W200&gt;=55,W200&lt;95),0.17,0)+IF(AND(V200&gt;175,W200&gt;=95),0.12,0),
IF(AF200="DoEVsu",IF(AND(V200&lt;20,W200&lt;55),0.3,0)+IF(AND(V200&lt;20,W200&gt;=55,W200&lt;105),0.23,0)+IF(AND(V200&lt;20,W200&gt;=105),0.17,0)+IF(AND(V200&gt;=20,V200&lt;40,W200&lt;45),0.3,0)+IF(AND(V200&gt;=20,V200&lt;40,W200&gt;=45,W200&lt;95),0.23,0)+IF(AND(V200&gt;=20,V200&lt;40,W200&gt;=95,W200&lt;=250),0.17,0)+IF(AND(V200&gt;=20,V200&lt;40,W200&gt;=250),0.12,0)+IF(AND(V200&gt;=40,V200&lt;75,W200&lt;35),0.3,0)+IF(AND(V200&gt;=40,V200&lt;75,W200&gt;=35,W200&lt;75),0.23,0)+IF(AND(V200&gt;=40,V200&lt;75,W200&gt;=75,W200&lt;120),0.17,0)+IF(AND(V200&gt;=40,V200&lt;75,W200&gt;=120),0.12,0)+IF(AND(V200&gt;=75,V200&lt;175,W200&lt;35),0.3,0)+IF(AND(V200&gt;=75,V200&lt;=175,W200&gt;=35,W200&lt;65),0.23,0)+IF(AND(V200&gt;=75,V200&lt;=175,W200&gt;=65,W200&lt;110),0.17,0)+IF(AND(V200&gt;=75,V200&lt;=175,W200&gt;=110),0.12,0)+IF(AND(V200&gt;175,W200&lt;25),0.3,0)+IF(AND(V200&gt;175,W200&gt;=25,W200&lt;55),0.23,0)+IF(AND(V200&gt;175,W200&gt;=55,W200&lt;95),0.17,0)+IF(AND(V200&gt;175,W200&gt;=95),0.12,0),
IF(AF200="DoEVni",IF(AND(V200&lt;20,W200&lt;55),0.3,0)+IF(AND(V200&lt;20,W200&gt;=55,W200&lt;105),0.23,0)+IF(AND(V200&lt;20,W200&gt;=105),0.17,0)+IF(AND(V200&gt;=20,V200&lt;40,W200&lt;45),0.3,0)+IF(AND(V200&gt;=20,V200&lt;40,W200&gt;=45,W200&lt;95),0.23,0)+IF(AND(V200&gt;=20,V200&lt;40,W200&gt;=95,W200&lt;=200),0.17,0)+IF(AND(V200&gt;=20,V200&lt;40,W200&gt;=200),0.12,0)+IF(AND(V200&gt;=40,V200&lt;75,W200&lt;35),0.3,0)+IF(AND(V200&gt;=40,V200&lt;75,W200&gt;=35,W200&lt;75),0.23,0)+IF(AND(V200&gt;=40,V200&lt;75,W200&gt;=75,W200&lt;120),0.17,0)+IF(AND(V200&gt;=40,V200&lt;75,W200&gt;=120),0.12,0)+IF(AND(V200&gt;=75,V200&lt;175,W200&lt;35),0.3,0)+IF(AND(V200&gt;=75,V200&lt;=175,W200&gt;=35,W200&lt;65),0.23,0)+IF(AND(V200&gt;=75,V200&lt;=175,W200&gt;=65,W200&lt;110),0.17,0)+IF(AND(V200&gt;=75,V200&lt;=175,W200&gt;=110),0.12,0)+IF(AND(V200&gt;175,W200&lt;25),0.3,0)+IF(AND(V200&gt;175,W200&gt;=25,W200&lt;55),0.23,0)+IF(AND(V200&gt;175,W200&gt;=55,W200&lt;95),0.17,0)+IF(AND(V200&gt;175,W200&gt;=95),0.12,0),
IF(AF200="DoEVLo",IF(AND(V200&lt;20,W200&lt;55),0.25,0)+IF(AND(V200&lt;20,W200&gt;=55,W200&lt;105),0.2,0)+IF(AND(V200&lt;20,W200&gt;=105),0.15,0)+IF(AND(V200&gt;=20,V200&lt;40,W200&lt;45),0.25,0)+IF(AND(V200&gt;=20,V200&lt;40,W200&gt;=45,W200&lt;95),0.2,0)+IF(AND(V200&gt;=20,V200&lt;40,W200&gt;=95),0.15,0)+IF(AND(V200&gt;=40,V200&lt;75,W200&lt;35),0.25,0)+IF(AND(V200&gt;=40,V200&lt;75,W200&gt;=35,W200&lt;75),0.2,0)+IF(AND(V200&gt;=40,V200&lt;75,W200&gt;=75,W200&lt;120),0.15,0)+IF(AND(V200&gt;=40,V200&lt;75,W200&gt;=120),0.1,0)+IF(AND(V200&gt;=75,V200&lt;175,W200&lt;35),0.25,0)+IF(AND(V200&gt;=75,V200&lt;=175,W200&gt;=35,W200&lt;65),0.2,0)+IF(AND(V200&gt;=75,V200&lt;=175,W200&gt;=65,W200&lt;110),0.15,0)+IF(AND(V200&gt;=75,V200&lt;=175,W200&gt;=110),0.1,0)+IF(AND(V200&gt;175,W200&lt;25),0.25,0)+IF(AND(V200&gt;175,W200&gt;=25,W200&lt;55),0.2,0)+IF(AND(V200&gt;175,W200&gt;=55,W200&lt;95),0.15,0)+IF(AND(V200&gt;175,W200&gt;=95),0.1,0))))))))))))))))</f>
        <v>0.26</v>
      </c>
      <c r="Y200" s="30">
        <f>IF(AG200="None",0,IF(AG200="Fix5",0.05,IF(AG200="Fix3.75",0.0375,IF(AG200="Fix10",0.1,IF(AG200="Fix3",0.03,0)))))</f>
        <v>0</v>
      </c>
      <c r="Z200" s="35">
        <f>T200-AA200-AB200</f>
        <v>-187.95999999999998</v>
      </c>
      <c r="AA200" s="29">
        <f>IF(AD200="EUR",((T200-R200)*X200)*U200+(R200*X200),(T200*X200))</f>
        <v>-66.040000000000006</v>
      </c>
      <c r="AB200" s="36">
        <f>IF(AD200="EUR",((T200-R200)*Y200)*U200+(R200*Y200),(T200*Y200))</f>
        <v>0</v>
      </c>
      <c r="AC200" s="37" t="b">
        <v>0</v>
      </c>
      <c r="AD200" s="37" t="s">
        <v>38</v>
      </c>
      <c r="AE200" s="37" t="s">
        <v>38</v>
      </c>
      <c r="AF200" s="37" t="str">
        <f t="array" ref="AF200">INDEX('Deal Info'!D:D, MATCH(A200,'Deal Info'!A:A, 0))</f>
        <v>SF</v>
      </c>
      <c r="AG200" s="38" t="str">
        <f t="array" ref="AG200">INDEX('Deal Info'!G:G, MATCH(A200,'Deal Info'!A:A, 0))</f>
        <v>None</v>
      </c>
    </row>
    <row r="201" spans="1:33" ht="14.25" hidden="1" x14ac:dyDescent="0.2">
      <c r="A201" s="18" t="str">
        <f t="array" ref="A201">IF(G201='Room Info'!$B$1, INDEX('Room Info'!$A$2:$A2446, MATCH(B201,'Room Info'!$B$2:$B2446, 0)),IF(G201='Room Info'!$C$1, INDEX('Room Info'!$A$2:$A2446, MATCH(B201,'Room Info'!$C$2:$C2446, 0)),IF(G201='Room Info'!$D$1, INDEX('Room Info'!$A$2:$A2446, MATCH(B201,'Room Info'!$D$2:$D2446, 0)),IF(G201='Room Info'!$E$1, INDEX('Room Info'!$A$2:$A2446, MATCH(B201,'Room Info'!$E$2:$E2446, 0)),IF(G201='Room Info'!$F$1, INDEX('Room Info'!$A$2:$A2446, MATCH(B201,'Room Info'!$F$2:$F2446, 0)),IF(G201='Room Info'!$H$1, INDEX('Room Info'!$A$2:$A2446, MATCH(B201,'Room Info'!$H$2:$H2446, 0)),IF(G201='Room Info'!$G$1, INDEX('Room Info'!$A$2:$A2446, MATCH(B201,'Room Info'!$G$2:$G2446, 0)))))))))</f>
        <v>Fedorovi4</v>
      </c>
      <c r="B201" s="45" t="s">
        <v>96</v>
      </c>
      <c r="C201" s="77">
        <v>44916</v>
      </c>
      <c r="D201" s="77">
        <v>44946</v>
      </c>
      <c r="E201" s="47">
        <v>44927</v>
      </c>
      <c r="F201" s="48" t="s">
        <v>34</v>
      </c>
      <c r="G201" s="45" t="s">
        <v>35</v>
      </c>
      <c r="H201" s="49" t="s">
        <v>46</v>
      </c>
      <c r="I201" s="49" t="s">
        <v>37</v>
      </c>
      <c r="J201" s="74">
        <v>25</v>
      </c>
      <c r="K201" s="75">
        <v>3</v>
      </c>
      <c r="L201" s="72">
        <v>-75</v>
      </c>
      <c r="M201" s="76">
        <v>2</v>
      </c>
      <c r="N201" s="28">
        <f>K201*J201</f>
        <v>75</v>
      </c>
      <c r="O201" s="45">
        <v>794</v>
      </c>
      <c r="P201" s="29">
        <v>264.66666670000001</v>
      </c>
      <c r="Q201" s="55"/>
      <c r="R201" s="31">
        <f>M201+Q201</f>
        <v>2</v>
      </c>
      <c r="S201" s="73">
        <v>32</v>
      </c>
      <c r="T201" s="32">
        <f>R201+S201+IF(F201="Without EV deal",L201,0)</f>
        <v>34</v>
      </c>
      <c r="U201" s="33">
        <v>1</v>
      </c>
      <c r="V201" s="69">
        <v>49.647887323943664</v>
      </c>
      <c r="W201" s="69">
        <v>-6.0022695035460991</v>
      </c>
      <c r="X201" s="30">
        <f>IF(AF201="DoEV",IF(AND(V201&lt;20,W201&lt;55),0.3,0)+IF(AND(V201&lt;20,W201&gt;=55,W201&lt;105),0.23,0)+IF(AND(V201&lt;20,W201&gt;=105),0.17,0)+IF(AND(V201&gt;=20,V201&lt;40,W201&lt;45),0.3,0)+IF(AND(V201&gt;=20,V201&lt;40,W201&gt;=45,W201&lt;95),0.23,0)+IF(AND(V201&gt;=20,V201&lt;40,W201&gt;=95),0.17,0)+IF(AND(V201&gt;=40,V201&lt;75,W201&lt;35),0.3,0)+IF(AND(V201&gt;=40,V201&lt;75,W201&gt;=35,W201&lt;75),0.23,0)+IF(AND(V201&gt;=40,V201&lt;75,W201&gt;=75,W201&lt;120),0.17,0)+IF(AND(V201&gt;=40,V201&lt;75,W201&gt;=120),0.12,0)+IF(AND(V201&gt;=75,V201&lt;175,W201&lt;35),0.3,0)+IF(AND(V201&gt;=75,V201&lt;=175,W201&gt;=35,W201&lt;65),0.23,0)+IF(AND(V201&gt;=75,V201&lt;=175,W201&gt;=65,W201&lt;110),0.17,0)+IF(AND(V201&gt;=75,V201&lt;=175,W201&gt;=110),0.12,0)+IF(AND(V201&gt;175,W201&lt;25),0.3,0)+IF(AND(V201&gt;175,W201&gt;=25,W201&lt;55),0.23,0)+IF(AND(V201&gt;175,W201&gt;=55,W201&lt;95),0.17,0)+IF(AND(V201&gt;175,W201&gt;=95),0.12,0),
IF(AF201="Fix15",0.15,
IF(AF201="Fix11.25",0.1125,
IF(AF201="Fix10",0.1,
IF(AF201="Fix9",0.09,
IF(AF201="DoEV2017",IF(AND(W201&lt;74),0.2,0)+IF(AND(W201&gt;=74),0.17,0),
IF(AF201="SF",IF(AND(V201&lt;20,W201&lt;89),0.3,0)+IF(AND(V201&lt;20,W201&gt;=89),0.25,0)+IF(AND(V201&gt;=20,V201&lt;40,W201&lt;74),0.3,0)+IF(AND(V201&gt;=20,V201&lt;40,W201&gt;=75),0.22,0)+IF(AND(V201&gt;=40,V201&lt;75,W201&lt;75),0.26,0)+IF(AND(V201&gt;=40,V201&lt;75,W201&gt;=75),0.22,0)+IF(V201&gt;=75,0.22,0),
IF(AF201="DoEVold",IF(AND(V201&lt;40,W201&lt;35),0.35,0)+IF(AND(V201&lt;40,W201&gt;=35,W201&lt;75),0.25,0)+IF(AND(V201&lt;40,W201&gt;=75),0.17,0)+IF(AND(V201&gt;=40,V201&lt;75,W201&lt;25),0.35,0)+IF(AND(V201&gt;=40,V201&lt;75,W201&gt;=25,W201&lt;65),0.25,0)+IF(AND(V201&gt;=40,V201&lt;75,W201&gt;=65,W201&lt;100),0.17,0)+IF(AND(V201&gt;=40,V201&lt;75,W201&gt;=100),0.1,0)+IF(AND(V201&gt;=75,W201&lt;25),0.35,0)+IF(AND(V201&gt;=75,W201&gt;=25,W201&lt;60),0.25,0)+IF(AND(V201&gt;=75,W201&gt;=60,W201&lt;95),0.17,0)+IF(AND(V201&gt;=75,W201&gt;=95),0.1,0),
IF(AF201="DoEVold15",IF(AND(V201&lt;=40,W201&lt;35),0.35,0)+IF(AND(V201&lt;=40,W201&gt;=35,W201&lt;75),0.25,0)+IF(AND(V201&lt;=40,W201&gt;=75,W201&lt;120),0.17,0)+IF(AND(V201&lt;=40,W201&gt;=120),0.15,0)+IF(AND(V201&gt;40,V201&lt;75,W201&lt;25),0.35,0)+IF(AND(V201&gt;=40,V201&lt;75,W201&gt;=25,W201&lt;65),0.25,0)+IF(AND(V201&gt;=40,V201&lt;75,W201&gt;=65,W201&lt;100),0.17,0)+IF(AND(V201&gt;=40,V201&lt;75,W201&gt;=100),0.1,0)+IF(AND(V201&gt;=75,W201&lt;25),0.35,0)+IF(AND(V201&gt;=75,W201&gt;=25,W201&lt;60),0.25,0)+IF(AND(V201&gt;=75,W201&gt;=60,W201&lt;95),0.17,0)+IF(AND(V201&gt;=75,W201&gt;=95),0.1,0),
IF(AF201="DoEVba",IF(AND(V201&lt;20,W201&lt;105),0.2,0)+IF(AND(V201&lt;20,W201&gt;=105),0.15,0)+IF(AND(V201&gt;=20,V201&lt;40,W201&lt;95),0.2,0)+IF(AND(V201&gt;=20,V201&lt;40,W201&gt;=95,W201&lt;150),0.15,0)+IF(AND(V201&gt;=20,V201&lt;40,W201&gt;=150),0.12,0)+IF(AND(V201&gt;=40,V201&lt;75,W201&lt;75),0.2,0)+IF(AND(V201&gt;=40,V201&lt;75,W201&gt;=75,W201&lt;120),0.15,0)+IF(AND(V201&gt;=40,V201&lt;75,W201&gt;=120),0.12,0)+IF(AND(V201&gt;=75,V201&lt;175,W201&lt;65),0.2,0)+IF(AND(V201&gt;=75,V201&lt;175,W201&gt;=65,W201&lt;110),0.15,0)+IF(AND(V201&gt;=75,V201&lt;175,W201&gt;=110),0.12,0)+IF(AND(V201&gt;=175,W201&lt;55),0.2,0)+IF(AND(V201&gt;=175,W201&gt;=55,W201&lt;95),0.15,0)+IF(AND(V201&gt;=175,W201&gt;=95),0.12,0),
IF(AF201="DoEVku",IF(AND(V201&lt;20,W201&lt;55),0.23,0)+IF(AND(V201&lt;20,W201&gt;=55,W201&lt;105),0.2,0)+IF(AND(V201&lt;20,W201&gt;=105),0.17,0)+IF(AND(V201&gt;=20,V201&lt;40,W201&lt;45),0.23,0)+IF(AND(V201&gt;=20,V201&lt;40,W201&gt;=45,W201&lt;95),0.2,0)+IF(AND(V201&gt;=20,V201&lt;40,W201&gt;=95,W201&lt;=150),0.17,0)+IF(AND(V201&gt;=20,V201&lt;40,W201&gt;=150),0.12,0)+IF(AND(V201&gt;=40,V201&lt;75,W201&lt;35),0.23,0)+IF(AND(V201&gt;=40,V201&lt;75,W201&gt;=35,W201&lt;75),0.2,0)+IF(AND(V201&gt;=40,V201&lt;75,W201&gt;=75,W201&lt;120),0.17,0)+IF(AND(V201&gt;=40,V201&lt;75,W201&gt;=120),0.12,0)+IF(AND(V201&gt;=75,V201&lt;175,W201&lt;35),0.23,0)+IF(AND(V201&gt;=75,V201&lt;=175,W201&gt;=35,W201&lt;65),0.2,0)+IF(AND(V201&gt;=75,V201&lt;=175,W201&gt;=65,W201&lt;110),0.17,0)+IF(AND(V201&gt;=75,V201&lt;=175,W201&gt;=110),0.12,0)+IF(AND(V201&gt;175,W201&lt;25),0.23,0)+IF(AND(V201&gt;175,W201&gt;=25,W201&lt;55),0.2,0)+IF(AND(V201&gt;175,W201&gt;=55,W201&lt;95),0.17,0)+IF(AND(V201&gt;175,W201&gt;=95),0.12,0),
IF(AF201="DoEVs1",IF(AND(V201&lt;20,W201&lt;55),0.3,0)+IF(AND(V201&lt;20,W201&gt;=55,W201&lt;105),0.23,0)+IF(AND(V201&lt;20,W201&gt;=105),0.17,0)+IF(AND(V201&gt;=20,V201&lt;40,W201&lt;45),0.3,0)+IF(AND(V201&gt;=20,V201&lt;40,W201&gt;=45,W201&lt;95),0.23,0)+IF(AND(V201&gt;=20,V201&lt;40,W201&gt;=95,W201&lt;=150),0.17,0)+IF(AND(V201&gt;=20,V201&lt;40,W201&gt;=150),0.12,0)+IF(AND(V201&gt;=40,V201&lt;75,W201&lt;35),0.3,0)+IF(AND(V201&gt;=40,V201&lt;75,W201&gt;=35,W201&lt;75),0.23,0)+IF(AND(V201&gt;=40,V201&lt;75,W201&gt;=75,W201&lt;120),0.17,0)+IF(AND(V201&gt;=40,V201&lt;75,W201&gt;=120),0.12,0)+IF(AND(V201&gt;=75,V201&lt;175,W201&lt;35),0.3,0)+IF(AND(V201&gt;=75,V201&lt;=175,W201&gt;=35,W201&lt;65),0.23,0)+IF(AND(V201&gt;=75,V201&lt;=175,W201&gt;=65,W201&lt;110),0.17,0)+IF(AND(V201&gt;=75,V201&lt;=175,W201&gt;=110),0.12,0)+IF(AND(V201&gt;175,W201&lt;25),0.3,0)+IF(AND(V201&gt;175,W201&gt;=25,W201&lt;55),0.23,0)+IF(AND(V201&gt;175,W201&gt;=55,W201&lt;95),0.17,0)+IF(AND(V201&gt;175,W201&gt;=95),0.12,0),
IF(AF201="DoEVsu",IF(AND(V201&lt;20,W201&lt;55),0.3,0)+IF(AND(V201&lt;20,W201&gt;=55,W201&lt;105),0.23,0)+IF(AND(V201&lt;20,W201&gt;=105),0.17,0)+IF(AND(V201&gt;=20,V201&lt;40,W201&lt;45),0.3,0)+IF(AND(V201&gt;=20,V201&lt;40,W201&gt;=45,W201&lt;95),0.23,0)+IF(AND(V201&gt;=20,V201&lt;40,W201&gt;=95,W201&lt;=250),0.17,0)+IF(AND(V201&gt;=20,V201&lt;40,W201&gt;=250),0.12,0)+IF(AND(V201&gt;=40,V201&lt;75,W201&lt;35),0.3,0)+IF(AND(V201&gt;=40,V201&lt;75,W201&gt;=35,W201&lt;75),0.23,0)+IF(AND(V201&gt;=40,V201&lt;75,W201&gt;=75,W201&lt;120),0.17,0)+IF(AND(V201&gt;=40,V201&lt;75,W201&gt;=120),0.12,0)+IF(AND(V201&gt;=75,V201&lt;175,W201&lt;35),0.3,0)+IF(AND(V201&gt;=75,V201&lt;=175,W201&gt;=35,W201&lt;65),0.23,0)+IF(AND(V201&gt;=75,V201&lt;=175,W201&gt;=65,W201&lt;110),0.17,0)+IF(AND(V201&gt;=75,V201&lt;=175,W201&gt;=110),0.12,0)+IF(AND(V201&gt;175,W201&lt;25),0.3,0)+IF(AND(V201&gt;175,W201&gt;=25,W201&lt;55),0.23,0)+IF(AND(V201&gt;175,W201&gt;=55,W201&lt;95),0.17,0)+IF(AND(V201&gt;175,W201&gt;=95),0.12,0),
IF(AF201="DoEVni",IF(AND(V201&lt;20,W201&lt;55),0.3,0)+IF(AND(V201&lt;20,W201&gt;=55,W201&lt;105),0.23,0)+IF(AND(V201&lt;20,W201&gt;=105),0.17,0)+IF(AND(V201&gt;=20,V201&lt;40,W201&lt;45),0.3,0)+IF(AND(V201&gt;=20,V201&lt;40,W201&gt;=45,W201&lt;95),0.23,0)+IF(AND(V201&gt;=20,V201&lt;40,W201&gt;=95,W201&lt;=200),0.17,0)+IF(AND(V201&gt;=20,V201&lt;40,W201&gt;=200),0.12,0)+IF(AND(V201&gt;=40,V201&lt;75,W201&lt;35),0.3,0)+IF(AND(V201&gt;=40,V201&lt;75,W201&gt;=35,W201&lt;75),0.23,0)+IF(AND(V201&gt;=40,V201&lt;75,W201&gt;=75,W201&lt;120),0.17,0)+IF(AND(V201&gt;=40,V201&lt;75,W201&gt;=120),0.12,0)+IF(AND(V201&gt;=75,V201&lt;175,W201&lt;35),0.3,0)+IF(AND(V201&gt;=75,V201&lt;=175,W201&gt;=35,W201&lt;65),0.23,0)+IF(AND(V201&gt;=75,V201&lt;=175,W201&gt;=65,W201&lt;110),0.17,0)+IF(AND(V201&gt;=75,V201&lt;=175,W201&gt;=110),0.12,0)+IF(AND(V201&gt;175,W201&lt;25),0.3,0)+IF(AND(V201&gt;175,W201&gt;=25,W201&lt;55),0.23,0)+IF(AND(V201&gt;175,W201&gt;=55,W201&lt;95),0.17,0)+IF(AND(V201&gt;175,W201&gt;=95),0.12,0),
IF(AF201="DoEVLo",IF(AND(V201&lt;20,W201&lt;55),0.25,0)+IF(AND(V201&lt;20,W201&gt;=55,W201&lt;105),0.2,0)+IF(AND(V201&lt;20,W201&gt;=105),0.15,0)+IF(AND(V201&gt;=20,V201&lt;40,W201&lt;45),0.25,0)+IF(AND(V201&gt;=20,V201&lt;40,W201&gt;=45,W201&lt;95),0.2,0)+IF(AND(V201&gt;=20,V201&lt;40,W201&gt;=95),0.15,0)+IF(AND(V201&gt;=40,V201&lt;75,W201&lt;35),0.25,0)+IF(AND(V201&gt;=40,V201&lt;75,W201&gt;=35,W201&lt;75),0.2,0)+IF(AND(V201&gt;=40,V201&lt;75,W201&gt;=75,W201&lt;120),0.15,0)+IF(AND(V201&gt;=40,V201&lt;75,W201&gt;=120),0.1,0)+IF(AND(V201&gt;=75,V201&lt;175,W201&lt;35),0.25,0)+IF(AND(V201&gt;=75,V201&lt;=175,W201&gt;=35,W201&lt;65),0.2,0)+IF(AND(V201&gt;=75,V201&lt;=175,W201&gt;=65,W201&lt;110),0.15,0)+IF(AND(V201&gt;=75,V201&lt;=175,W201&gt;=110),0.1,0)+IF(AND(V201&gt;175,W201&lt;25),0.25,0)+IF(AND(V201&gt;175,W201&gt;=25,W201&lt;55),0.2,0)+IF(AND(V201&gt;175,W201&gt;=55,W201&lt;95),0.15,0)+IF(AND(V201&gt;175,W201&gt;=95),0.1,0))))))))))))))))</f>
        <v>0.26</v>
      </c>
      <c r="Y201" s="30">
        <f>IF(AG201="None",0,IF(AG201="Fix5",0.05,IF(AG201="Fix3.75",0.0375,IF(AG201="Fix10",0.1,IF(AG201="Fix3",0.03,0)))))</f>
        <v>0</v>
      </c>
      <c r="Z201" s="35">
        <f>T201-AA201-AB201</f>
        <v>25.16</v>
      </c>
      <c r="AA201" s="29">
        <f>IF(AD201="EUR",((T201-R201)*X201)*U201+(R201*X201),(T201*X201))</f>
        <v>8.84</v>
      </c>
      <c r="AB201" s="36">
        <f>IF(AD201="EUR",((T201-R201)*Y201)*U201+(R201*Y201),(T201*Y201))</f>
        <v>0</v>
      </c>
      <c r="AC201" s="37" t="b">
        <v>0</v>
      </c>
      <c r="AD201" s="37" t="s">
        <v>38</v>
      </c>
      <c r="AE201" s="37" t="s">
        <v>38</v>
      </c>
      <c r="AF201" s="37" t="str">
        <f t="array" ref="AF201">INDEX('Deal Info'!D:D, MATCH(A201,'Deal Info'!A:A, 0))</f>
        <v>SF</v>
      </c>
      <c r="AG201" s="38" t="str">
        <f t="array" ref="AG201">INDEX('Deal Info'!G:G, MATCH(A201,'Deal Info'!A:A, 0))</f>
        <v>None</v>
      </c>
    </row>
    <row r="202" spans="1:33" ht="14.25" hidden="1" x14ac:dyDescent="0.2">
      <c r="A202" s="18" t="str">
        <f t="array" ref="A202">IF(G202='Room Info'!$B$1, INDEX('Room Info'!$A$2:$A2446, MATCH(B202,'Room Info'!$B$2:$B2446, 0)),IF(G202='Room Info'!$C$1, INDEX('Room Info'!$A$2:$A2446, MATCH(B202,'Room Info'!$C$2:$C2446, 0)),IF(G202='Room Info'!$D$1, INDEX('Room Info'!$A$2:$A2446, MATCH(B202,'Room Info'!$D$2:$D2446, 0)),IF(G202='Room Info'!$E$1, INDEX('Room Info'!$A$2:$A2446, MATCH(B202,'Room Info'!$E$2:$E2446, 0)),IF(G202='Room Info'!$F$1, INDEX('Room Info'!$A$2:$A2446, MATCH(B202,'Room Info'!$F$2:$F2446, 0)),IF(G202='Room Info'!$H$1, INDEX('Room Info'!$A$2:$A2446, MATCH(B202,'Room Info'!$H$2:$H2446, 0)),IF(G202='Room Info'!$G$1, INDEX('Room Info'!$A$2:$A2446, MATCH(B202,'Room Info'!$G$2:$G2446, 0)))))))))</f>
        <v>Fedorovi4</v>
      </c>
      <c r="B202" s="45" t="s">
        <v>96</v>
      </c>
      <c r="C202" s="77">
        <v>44916</v>
      </c>
      <c r="D202" s="77">
        <v>44946</v>
      </c>
      <c r="E202" s="47">
        <v>44927</v>
      </c>
      <c r="F202" s="48" t="s">
        <v>34</v>
      </c>
      <c r="G202" s="45" t="s">
        <v>35</v>
      </c>
      <c r="H202" s="49" t="s">
        <v>72</v>
      </c>
      <c r="I202" s="49" t="s">
        <v>37</v>
      </c>
      <c r="J202" s="74">
        <v>50</v>
      </c>
      <c r="K202" s="75">
        <v>210</v>
      </c>
      <c r="L202" s="72">
        <v>-1400</v>
      </c>
      <c r="M202" s="76">
        <v>288</v>
      </c>
      <c r="N202" s="28">
        <f>K202*J202</f>
        <v>10500</v>
      </c>
      <c r="O202" s="45">
        <v>339</v>
      </c>
      <c r="P202" s="29">
        <v>1.614285714</v>
      </c>
      <c r="Q202" s="55"/>
      <c r="R202" s="31">
        <f>M202+Q202</f>
        <v>288</v>
      </c>
      <c r="S202" s="73">
        <v>-620</v>
      </c>
      <c r="T202" s="32">
        <f>R202+S202+IF(F202="Without EV deal",L202,0)</f>
        <v>-332</v>
      </c>
      <c r="U202" s="33">
        <v>1</v>
      </c>
      <c r="V202" s="69">
        <v>49.647887323943664</v>
      </c>
      <c r="W202" s="69">
        <v>-6.0022695035460991</v>
      </c>
      <c r="X202" s="30">
        <f>IF(AF202="DoEV",IF(AND(V202&lt;20,W202&lt;55),0.3,0)+IF(AND(V202&lt;20,W202&gt;=55,W202&lt;105),0.23,0)+IF(AND(V202&lt;20,W202&gt;=105),0.17,0)+IF(AND(V202&gt;=20,V202&lt;40,W202&lt;45),0.3,0)+IF(AND(V202&gt;=20,V202&lt;40,W202&gt;=45,W202&lt;95),0.23,0)+IF(AND(V202&gt;=20,V202&lt;40,W202&gt;=95),0.17,0)+IF(AND(V202&gt;=40,V202&lt;75,W202&lt;35),0.3,0)+IF(AND(V202&gt;=40,V202&lt;75,W202&gt;=35,W202&lt;75),0.23,0)+IF(AND(V202&gt;=40,V202&lt;75,W202&gt;=75,W202&lt;120),0.17,0)+IF(AND(V202&gt;=40,V202&lt;75,W202&gt;=120),0.12,0)+IF(AND(V202&gt;=75,V202&lt;175,W202&lt;35),0.3,0)+IF(AND(V202&gt;=75,V202&lt;=175,W202&gt;=35,W202&lt;65),0.23,0)+IF(AND(V202&gt;=75,V202&lt;=175,W202&gt;=65,W202&lt;110),0.17,0)+IF(AND(V202&gt;=75,V202&lt;=175,W202&gt;=110),0.12,0)+IF(AND(V202&gt;175,W202&lt;25),0.3,0)+IF(AND(V202&gt;175,W202&gt;=25,W202&lt;55),0.23,0)+IF(AND(V202&gt;175,W202&gt;=55,W202&lt;95),0.17,0)+IF(AND(V202&gt;175,W202&gt;=95),0.12,0),
IF(AF202="Fix15",0.15,
IF(AF202="Fix11.25",0.1125,
IF(AF202="Fix10",0.1,
IF(AF202="Fix9",0.09,
IF(AF202="DoEV2017",IF(AND(W202&lt;74),0.2,0)+IF(AND(W202&gt;=74),0.17,0),
IF(AF202="SF",IF(AND(V202&lt;20,W202&lt;89),0.3,0)+IF(AND(V202&lt;20,W202&gt;=89),0.25,0)+IF(AND(V202&gt;=20,V202&lt;40,W202&lt;74),0.3,0)+IF(AND(V202&gt;=20,V202&lt;40,W202&gt;=75),0.22,0)+IF(AND(V202&gt;=40,V202&lt;75,W202&lt;75),0.26,0)+IF(AND(V202&gt;=40,V202&lt;75,W202&gt;=75),0.22,0)+IF(V202&gt;=75,0.22,0),
IF(AF202="DoEVold",IF(AND(V202&lt;40,W202&lt;35),0.35,0)+IF(AND(V202&lt;40,W202&gt;=35,W202&lt;75),0.25,0)+IF(AND(V202&lt;40,W202&gt;=75),0.17,0)+IF(AND(V202&gt;=40,V202&lt;75,W202&lt;25),0.35,0)+IF(AND(V202&gt;=40,V202&lt;75,W202&gt;=25,W202&lt;65),0.25,0)+IF(AND(V202&gt;=40,V202&lt;75,W202&gt;=65,W202&lt;100),0.17,0)+IF(AND(V202&gt;=40,V202&lt;75,W202&gt;=100),0.1,0)+IF(AND(V202&gt;=75,W202&lt;25),0.35,0)+IF(AND(V202&gt;=75,W202&gt;=25,W202&lt;60),0.25,0)+IF(AND(V202&gt;=75,W202&gt;=60,W202&lt;95),0.17,0)+IF(AND(V202&gt;=75,W202&gt;=95),0.1,0),
IF(AF202="DoEVold15",IF(AND(V202&lt;=40,W202&lt;35),0.35,0)+IF(AND(V202&lt;=40,W202&gt;=35,W202&lt;75),0.25,0)+IF(AND(V202&lt;=40,W202&gt;=75,W202&lt;120),0.17,0)+IF(AND(V202&lt;=40,W202&gt;=120),0.15,0)+IF(AND(V202&gt;40,V202&lt;75,W202&lt;25),0.35,0)+IF(AND(V202&gt;=40,V202&lt;75,W202&gt;=25,W202&lt;65),0.25,0)+IF(AND(V202&gt;=40,V202&lt;75,W202&gt;=65,W202&lt;100),0.17,0)+IF(AND(V202&gt;=40,V202&lt;75,W202&gt;=100),0.1,0)+IF(AND(V202&gt;=75,W202&lt;25),0.35,0)+IF(AND(V202&gt;=75,W202&gt;=25,W202&lt;60),0.25,0)+IF(AND(V202&gt;=75,W202&gt;=60,W202&lt;95),0.17,0)+IF(AND(V202&gt;=75,W202&gt;=95),0.1,0),
IF(AF202="DoEVba",IF(AND(V202&lt;20,W202&lt;105),0.2,0)+IF(AND(V202&lt;20,W202&gt;=105),0.15,0)+IF(AND(V202&gt;=20,V202&lt;40,W202&lt;95),0.2,0)+IF(AND(V202&gt;=20,V202&lt;40,W202&gt;=95,W202&lt;150),0.15,0)+IF(AND(V202&gt;=20,V202&lt;40,W202&gt;=150),0.12,0)+IF(AND(V202&gt;=40,V202&lt;75,W202&lt;75),0.2,0)+IF(AND(V202&gt;=40,V202&lt;75,W202&gt;=75,W202&lt;120),0.15,0)+IF(AND(V202&gt;=40,V202&lt;75,W202&gt;=120),0.12,0)+IF(AND(V202&gt;=75,V202&lt;175,W202&lt;65),0.2,0)+IF(AND(V202&gt;=75,V202&lt;175,W202&gt;=65,W202&lt;110),0.15,0)+IF(AND(V202&gt;=75,V202&lt;175,W202&gt;=110),0.12,0)+IF(AND(V202&gt;=175,W202&lt;55),0.2,0)+IF(AND(V202&gt;=175,W202&gt;=55,W202&lt;95),0.15,0)+IF(AND(V202&gt;=175,W202&gt;=95),0.12,0),
IF(AF202="DoEVku",IF(AND(V202&lt;20,W202&lt;55),0.23,0)+IF(AND(V202&lt;20,W202&gt;=55,W202&lt;105),0.2,0)+IF(AND(V202&lt;20,W202&gt;=105),0.17,0)+IF(AND(V202&gt;=20,V202&lt;40,W202&lt;45),0.23,0)+IF(AND(V202&gt;=20,V202&lt;40,W202&gt;=45,W202&lt;95),0.2,0)+IF(AND(V202&gt;=20,V202&lt;40,W202&gt;=95,W202&lt;=150),0.17,0)+IF(AND(V202&gt;=20,V202&lt;40,W202&gt;=150),0.12,0)+IF(AND(V202&gt;=40,V202&lt;75,W202&lt;35),0.23,0)+IF(AND(V202&gt;=40,V202&lt;75,W202&gt;=35,W202&lt;75),0.2,0)+IF(AND(V202&gt;=40,V202&lt;75,W202&gt;=75,W202&lt;120),0.17,0)+IF(AND(V202&gt;=40,V202&lt;75,W202&gt;=120),0.12,0)+IF(AND(V202&gt;=75,V202&lt;175,W202&lt;35),0.23,0)+IF(AND(V202&gt;=75,V202&lt;=175,W202&gt;=35,W202&lt;65),0.2,0)+IF(AND(V202&gt;=75,V202&lt;=175,W202&gt;=65,W202&lt;110),0.17,0)+IF(AND(V202&gt;=75,V202&lt;=175,W202&gt;=110),0.12,0)+IF(AND(V202&gt;175,W202&lt;25),0.23,0)+IF(AND(V202&gt;175,W202&gt;=25,W202&lt;55),0.2,0)+IF(AND(V202&gt;175,W202&gt;=55,W202&lt;95),0.17,0)+IF(AND(V202&gt;175,W202&gt;=95),0.12,0),
IF(AF202="DoEVs1",IF(AND(V202&lt;20,W202&lt;55),0.3,0)+IF(AND(V202&lt;20,W202&gt;=55,W202&lt;105),0.23,0)+IF(AND(V202&lt;20,W202&gt;=105),0.17,0)+IF(AND(V202&gt;=20,V202&lt;40,W202&lt;45),0.3,0)+IF(AND(V202&gt;=20,V202&lt;40,W202&gt;=45,W202&lt;95),0.23,0)+IF(AND(V202&gt;=20,V202&lt;40,W202&gt;=95,W202&lt;=150),0.17,0)+IF(AND(V202&gt;=20,V202&lt;40,W202&gt;=150),0.12,0)+IF(AND(V202&gt;=40,V202&lt;75,W202&lt;35),0.3,0)+IF(AND(V202&gt;=40,V202&lt;75,W202&gt;=35,W202&lt;75),0.23,0)+IF(AND(V202&gt;=40,V202&lt;75,W202&gt;=75,W202&lt;120),0.17,0)+IF(AND(V202&gt;=40,V202&lt;75,W202&gt;=120),0.12,0)+IF(AND(V202&gt;=75,V202&lt;175,W202&lt;35),0.3,0)+IF(AND(V202&gt;=75,V202&lt;=175,W202&gt;=35,W202&lt;65),0.23,0)+IF(AND(V202&gt;=75,V202&lt;=175,W202&gt;=65,W202&lt;110),0.17,0)+IF(AND(V202&gt;=75,V202&lt;=175,W202&gt;=110),0.12,0)+IF(AND(V202&gt;175,W202&lt;25),0.3,0)+IF(AND(V202&gt;175,W202&gt;=25,W202&lt;55),0.23,0)+IF(AND(V202&gt;175,W202&gt;=55,W202&lt;95),0.17,0)+IF(AND(V202&gt;175,W202&gt;=95),0.12,0),
IF(AF202="DoEVsu",IF(AND(V202&lt;20,W202&lt;55),0.3,0)+IF(AND(V202&lt;20,W202&gt;=55,W202&lt;105),0.23,0)+IF(AND(V202&lt;20,W202&gt;=105),0.17,0)+IF(AND(V202&gt;=20,V202&lt;40,W202&lt;45),0.3,0)+IF(AND(V202&gt;=20,V202&lt;40,W202&gt;=45,W202&lt;95),0.23,0)+IF(AND(V202&gt;=20,V202&lt;40,W202&gt;=95,W202&lt;=250),0.17,0)+IF(AND(V202&gt;=20,V202&lt;40,W202&gt;=250),0.12,0)+IF(AND(V202&gt;=40,V202&lt;75,W202&lt;35),0.3,0)+IF(AND(V202&gt;=40,V202&lt;75,W202&gt;=35,W202&lt;75),0.23,0)+IF(AND(V202&gt;=40,V202&lt;75,W202&gt;=75,W202&lt;120),0.17,0)+IF(AND(V202&gt;=40,V202&lt;75,W202&gt;=120),0.12,0)+IF(AND(V202&gt;=75,V202&lt;175,W202&lt;35),0.3,0)+IF(AND(V202&gt;=75,V202&lt;=175,W202&gt;=35,W202&lt;65),0.23,0)+IF(AND(V202&gt;=75,V202&lt;=175,W202&gt;=65,W202&lt;110),0.17,0)+IF(AND(V202&gt;=75,V202&lt;=175,W202&gt;=110),0.12,0)+IF(AND(V202&gt;175,W202&lt;25),0.3,0)+IF(AND(V202&gt;175,W202&gt;=25,W202&lt;55),0.23,0)+IF(AND(V202&gt;175,W202&gt;=55,W202&lt;95),0.17,0)+IF(AND(V202&gt;175,W202&gt;=95),0.12,0),
IF(AF202="DoEVni",IF(AND(V202&lt;20,W202&lt;55),0.3,0)+IF(AND(V202&lt;20,W202&gt;=55,W202&lt;105),0.23,0)+IF(AND(V202&lt;20,W202&gt;=105),0.17,0)+IF(AND(V202&gt;=20,V202&lt;40,W202&lt;45),0.3,0)+IF(AND(V202&gt;=20,V202&lt;40,W202&gt;=45,W202&lt;95),0.23,0)+IF(AND(V202&gt;=20,V202&lt;40,W202&gt;=95,W202&lt;=200),0.17,0)+IF(AND(V202&gt;=20,V202&lt;40,W202&gt;=200),0.12,0)+IF(AND(V202&gt;=40,V202&lt;75,W202&lt;35),0.3,0)+IF(AND(V202&gt;=40,V202&lt;75,W202&gt;=35,W202&lt;75),0.23,0)+IF(AND(V202&gt;=40,V202&lt;75,W202&gt;=75,W202&lt;120),0.17,0)+IF(AND(V202&gt;=40,V202&lt;75,W202&gt;=120),0.12,0)+IF(AND(V202&gt;=75,V202&lt;175,W202&lt;35),0.3,0)+IF(AND(V202&gt;=75,V202&lt;=175,W202&gt;=35,W202&lt;65),0.23,0)+IF(AND(V202&gt;=75,V202&lt;=175,W202&gt;=65,W202&lt;110),0.17,0)+IF(AND(V202&gt;=75,V202&lt;=175,W202&gt;=110),0.12,0)+IF(AND(V202&gt;175,W202&lt;25),0.3,0)+IF(AND(V202&gt;175,W202&gt;=25,W202&lt;55),0.23,0)+IF(AND(V202&gt;175,W202&gt;=55,W202&lt;95),0.17,0)+IF(AND(V202&gt;175,W202&gt;=95),0.12,0),
IF(AF202="DoEVLo",IF(AND(V202&lt;20,W202&lt;55),0.25,0)+IF(AND(V202&lt;20,W202&gt;=55,W202&lt;105),0.2,0)+IF(AND(V202&lt;20,W202&gt;=105),0.15,0)+IF(AND(V202&gt;=20,V202&lt;40,W202&lt;45),0.25,0)+IF(AND(V202&gt;=20,V202&lt;40,W202&gt;=45,W202&lt;95),0.2,0)+IF(AND(V202&gt;=20,V202&lt;40,W202&gt;=95),0.15,0)+IF(AND(V202&gt;=40,V202&lt;75,W202&lt;35),0.25,0)+IF(AND(V202&gt;=40,V202&lt;75,W202&gt;=35,W202&lt;75),0.2,0)+IF(AND(V202&gt;=40,V202&lt;75,W202&gt;=75,W202&lt;120),0.15,0)+IF(AND(V202&gt;=40,V202&lt;75,W202&gt;=120),0.1,0)+IF(AND(V202&gt;=75,V202&lt;175,W202&lt;35),0.25,0)+IF(AND(V202&gt;=75,V202&lt;=175,W202&gt;=35,W202&lt;65),0.2,0)+IF(AND(V202&gt;=75,V202&lt;=175,W202&gt;=65,W202&lt;110),0.15,0)+IF(AND(V202&gt;=75,V202&lt;=175,W202&gt;=110),0.1,0)+IF(AND(V202&gt;175,W202&lt;25),0.25,0)+IF(AND(V202&gt;175,W202&gt;=25,W202&lt;55),0.2,0)+IF(AND(V202&gt;175,W202&gt;=55,W202&lt;95),0.15,0)+IF(AND(V202&gt;175,W202&gt;=95),0.1,0))))))))))))))))</f>
        <v>0.26</v>
      </c>
      <c r="Y202" s="30">
        <f>IF(AG202="None",0,IF(AG202="Fix5",0.05,IF(AG202="Fix3.75",0.0375,IF(AG202="Fix10",0.1,IF(AG202="Fix3",0.03,0)))))</f>
        <v>0</v>
      </c>
      <c r="Z202" s="35">
        <f>T202-AA202-AB202</f>
        <v>-245.68</v>
      </c>
      <c r="AA202" s="29">
        <f>IF(AD202="EUR",((T202-R202)*X202)*U202+(R202*X202),(T202*X202))</f>
        <v>-86.320000000000007</v>
      </c>
      <c r="AB202" s="36">
        <f>IF(AD202="EUR",((T202-R202)*Y202)*U202+(R202*Y202),(T202*Y202))</f>
        <v>0</v>
      </c>
      <c r="AC202" s="37" t="b">
        <v>0</v>
      </c>
      <c r="AD202" s="37" t="s">
        <v>38</v>
      </c>
      <c r="AE202" s="37" t="s">
        <v>38</v>
      </c>
      <c r="AF202" s="37" t="str">
        <f t="array" ref="AF202">INDEX('Deal Info'!D:D, MATCH(A202,'Deal Info'!A:A, 0))</f>
        <v>SF</v>
      </c>
      <c r="AG202" s="38" t="str">
        <f t="array" ref="AG202">INDEX('Deal Info'!G:G, MATCH(A202,'Deal Info'!A:A, 0))</f>
        <v>None</v>
      </c>
    </row>
    <row r="203" spans="1:33" ht="14.25" hidden="1" x14ac:dyDescent="0.2">
      <c r="A203" s="18" t="str">
        <f t="array" ref="A203">IF(G203='Room Info'!$B$1, INDEX('Room Info'!$A$2:$A2446, MATCH(B203,'Room Info'!$B$2:$B2446, 0)),IF(G203='Room Info'!$C$1, INDEX('Room Info'!$A$2:$A2446, MATCH(B203,'Room Info'!$C$2:$C2446, 0)),IF(G203='Room Info'!$D$1, INDEX('Room Info'!$A$2:$A2446, MATCH(B203,'Room Info'!$D$2:$D2446, 0)),IF(G203='Room Info'!$E$1, INDEX('Room Info'!$A$2:$A2446, MATCH(B203,'Room Info'!$E$2:$E2446, 0)),IF(G203='Room Info'!$F$1, INDEX('Room Info'!$A$2:$A2446, MATCH(B203,'Room Info'!$F$2:$F2446, 0)),IF(G203='Room Info'!$H$1, INDEX('Room Info'!$A$2:$A2446, MATCH(B203,'Room Info'!$H$2:$H2446, 0)),IF(G203='Room Info'!$G$1, INDEX('Room Info'!$A$2:$A2446, MATCH(B203,'Room Info'!$G$2:$G2446, 0)))))))))</f>
        <v>Lo4io</v>
      </c>
      <c r="B203" s="45" t="s">
        <v>97</v>
      </c>
      <c r="C203" s="77">
        <v>44672</v>
      </c>
      <c r="D203" s="77">
        <v>44701</v>
      </c>
      <c r="E203" s="47">
        <v>44682</v>
      </c>
      <c r="F203" s="48" t="s">
        <v>34</v>
      </c>
      <c r="G203" s="45" t="s">
        <v>80</v>
      </c>
      <c r="H203" s="49" t="s">
        <v>71</v>
      </c>
      <c r="I203" s="49" t="s">
        <v>81</v>
      </c>
      <c r="J203" s="74">
        <v>20</v>
      </c>
      <c r="K203" s="75">
        <v>3731</v>
      </c>
      <c r="L203" s="72">
        <v>-1820</v>
      </c>
      <c r="M203" s="76">
        <v>4122</v>
      </c>
      <c r="N203" s="28">
        <f>K203*J203</f>
        <v>74620</v>
      </c>
      <c r="O203" s="45">
        <v>32609</v>
      </c>
      <c r="P203" s="29">
        <v>8.7400160810000003</v>
      </c>
      <c r="Q203" s="55"/>
      <c r="R203" s="31">
        <f>M203+Q203</f>
        <v>4122</v>
      </c>
      <c r="S203" s="73">
        <v>-3503</v>
      </c>
      <c r="T203" s="32">
        <f>R203+S203+IF(F203="Without EV deal",L203,0)</f>
        <v>619</v>
      </c>
      <c r="U203" s="57">
        <v>1</v>
      </c>
      <c r="V203" s="69">
        <v>27.072653884964684</v>
      </c>
      <c r="W203" s="69">
        <v>68.039136755003909</v>
      </c>
      <c r="X203" s="30">
        <f>IF(AF203="DoEV",IF(AND(V203&lt;20,W203&lt;55),0.3,0)+IF(AND(V203&lt;20,W203&gt;=55,W203&lt;105),0.23,0)+IF(AND(V203&lt;20,W203&gt;=105),0.17,0)+IF(AND(V203&gt;=20,V203&lt;40,W203&lt;45),0.3,0)+IF(AND(V203&gt;=20,V203&lt;40,W203&gt;=45,W203&lt;95),0.23,0)+IF(AND(V203&gt;=20,V203&lt;40,W203&gt;=95),0.17,0)+IF(AND(V203&gt;=40,V203&lt;75,W203&lt;35),0.3,0)+IF(AND(V203&gt;=40,V203&lt;75,W203&gt;=35,W203&lt;75),0.23,0)+IF(AND(V203&gt;=40,V203&lt;75,W203&gt;=75,W203&lt;120),0.17,0)+IF(AND(V203&gt;=40,V203&lt;75,W203&gt;=120),0.12,0)+IF(AND(V203&gt;=75,V203&lt;175,W203&lt;35),0.3,0)+IF(AND(V203&gt;=75,V203&lt;=175,W203&gt;=35,W203&lt;65),0.23,0)+IF(AND(V203&gt;=75,V203&lt;=175,W203&gt;=65,W203&lt;110),0.17,0)+IF(AND(V203&gt;=75,V203&lt;=175,W203&gt;=110),0.12,0)+IF(AND(V203&gt;175,W203&lt;25),0.3,0)+IF(AND(V203&gt;175,W203&gt;=25,W203&lt;55),0.23,0)+IF(AND(V203&gt;175,W203&gt;=55,W203&lt;95),0.17,0)+IF(AND(V203&gt;175,W203&gt;=95),0.12,0),
IF(AF203="Fix15",0.15,
IF(AF203="Fix11.25",0.1125,
IF(AF203="Fix10",0.1,
IF(AF203="Fix9",0.09,
IF(AF203="DoEV2017",IF(AND(W203&lt;74),0.2,0)+IF(AND(W203&gt;=74),0.17,0),
IF(AF203="SF",IF(AND(V203&lt;20,W203&lt;89),0.3,0)+IF(AND(V203&lt;20,W203&gt;=89),0.25,0)+IF(AND(V203&gt;=20,V203&lt;40,W203&lt;74),0.3,0)+IF(AND(V203&gt;=20,V203&lt;40,W203&gt;=75),0.22,0)+IF(AND(V203&gt;=40,V203&lt;75,W203&lt;75),0.26,0)+IF(AND(V203&gt;=40,V203&lt;75,W203&gt;=75),0.22,0)+IF(V203&gt;=75,0.22,0),
IF(AF203="DoEVold",IF(AND(V203&lt;40,W203&lt;35),0.35,0)+IF(AND(V203&lt;40,W203&gt;=35,W203&lt;75),0.25,0)+IF(AND(V203&lt;40,W203&gt;=75),0.17,0)+IF(AND(V203&gt;=40,V203&lt;75,W203&lt;25),0.35,0)+IF(AND(V203&gt;=40,V203&lt;75,W203&gt;=25,W203&lt;65),0.25,0)+IF(AND(V203&gt;=40,V203&lt;75,W203&gt;=65,W203&lt;100),0.17,0)+IF(AND(V203&gt;=40,V203&lt;75,W203&gt;=100),0.1,0)+IF(AND(V203&gt;=75,W203&lt;25),0.35,0)+IF(AND(V203&gt;=75,W203&gt;=25,W203&lt;60),0.25,0)+IF(AND(V203&gt;=75,W203&gt;=60,W203&lt;95),0.17,0)+IF(AND(V203&gt;=75,W203&gt;=95),0.1,0),
IF(AF203="DoEVold15",IF(AND(V203&lt;=40,W203&lt;35),0.35,0)+IF(AND(V203&lt;=40,W203&gt;=35,W203&lt;75),0.25,0)+IF(AND(V203&lt;=40,W203&gt;=75,W203&lt;120),0.17,0)+IF(AND(V203&lt;=40,W203&gt;=120),0.15,0)+IF(AND(V203&gt;40,V203&lt;75,W203&lt;25),0.35,0)+IF(AND(V203&gt;=40,V203&lt;75,W203&gt;=25,W203&lt;65),0.25,0)+IF(AND(V203&gt;=40,V203&lt;75,W203&gt;=65,W203&lt;100),0.17,0)+IF(AND(V203&gt;=40,V203&lt;75,W203&gt;=100),0.1,0)+IF(AND(V203&gt;=75,W203&lt;25),0.35,0)+IF(AND(V203&gt;=75,W203&gt;=25,W203&lt;60),0.25,0)+IF(AND(V203&gt;=75,W203&gt;=60,W203&lt;95),0.17,0)+IF(AND(V203&gt;=75,W203&gt;=95),0.1,0),
IF(AF203="DoEVba",IF(AND(V203&lt;20,W203&lt;105),0.2,0)+IF(AND(V203&lt;20,W203&gt;=105),0.15,0)+IF(AND(V203&gt;=20,V203&lt;40,W203&lt;95),0.2,0)+IF(AND(V203&gt;=20,V203&lt;40,W203&gt;=95,W203&lt;150),0.15,0)+IF(AND(V203&gt;=20,V203&lt;40,W203&gt;=150),0.12,0)+IF(AND(V203&gt;=40,V203&lt;75,W203&lt;75),0.2,0)+IF(AND(V203&gt;=40,V203&lt;75,W203&gt;=75,W203&lt;120),0.15,0)+IF(AND(V203&gt;=40,V203&lt;75,W203&gt;=120),0.12,0)+IF(AND(V203&gt;=75,V203&lt;175,W203&lt;65),0.2,0)+IF(AND(V203&gt;=75,V203&lt;175,W203&gt;=65,W203&lt;110),0.15,0)+IF(AND(V203&gt;=75,V203&lt;175,W203&gt;=110),0.12,0)+IF(AND(V203&gt;=175,W203&lt;55),0.2,0)+IF(AND(V203&gt;=175,W203&gt;=55,W203&lt;95),0.15,0)+IF(AND(V203&gt;=175,W203&gt;=95),0.12,0),
IF(AF203="DoEVku",IF(AND(V203&lt;20,W203&lt;55),0.23,0)+IF(AND(V203&lt;20,W203&gt;=55,W203&lt;105),0.2,0)+IF(AND(V203&lt;20,W203&gt;=105),0.17,0)+IF(AND(V203&gt;=20,V203&lt;40,W203&lt;45),0.23,0)+IF(AND(V203&gt;=20,V203&lt;40,W203&gt;=45,W203&lt;95),0.2,0)+IF(AND(V203&gt;=20,V203&lt;40,W203&gt;=95,W203&lt;=150),0.17,0)+IF(AND(V203&gt;=20,V203&lt;40,W203&gt;=150),0.12,0)+IF(AND(V203&gt;=40,V203&lt;75,W203&lt;35),0.23,0)+IF(AND(V203&gt;=40,V203&lt;75,W203&gt;=35,W203&lt;75),0.2,0)+IF(AND(V203&gt;=40,V203&lt;75,W203&gt;=75,W203&lt;120),0.17,0)+IF(AND(V203&gt;=40,V203&lt;75,W203&gt;=120),0.12,0)+IF(AND(V203&gt;=75,V203&lt;175,W203&lt;35),0.23,0)+IF(AND(V203&gt;=75,V203&lt;=175,W203&gt;=35,W203&lt;65),0.2,0)+IF(AND(V203&gt;=75,V203&lt;=175,W203&gt;=65,W203&lt;110),0.17,0)+IF(AND(V203&gt;=75,V203&lt;=175,W203&gt;=110),0.12,0)+IF(AND(V203&gt;175,W203&lt;25),0.23,0)+IF(AND(V203&gt;175,W203&gt;=25,W203&lt;55),0.2,0)+IF(AND(V203&gt;175,W203&gt;=55,W203&lt;95),0.17,0)+IF(AND(V203&gt;175,W203&gt;=95),0.12,0),
IF(AF203="DoEVs1",IF(AND(V203&lt;20,W203&lt;55),0.3,0)+IF(AND(V203&lt;20,W203&gt;=55,W203&lt;105),0.23,0)+IF(AND(V203&lt;20,W203&gt;=105),0.17,0)+IF(AND(V203&gt;=20,V203&lt;40,W203&lt;45),0.3,0)+IF(AND(V203&gt;=20,V203&lt;40,W203&gt;=45,W203&lt;95),0.23,0)+IF(AND(V203&gt;=20,V203&lt;40,W203&gt;=95,W203&lt;=150),0.17,0)+IF(AND(V203&gt;=20,V203&lt;40,W203&gt;=150),0.12,0)+IF(AND(V203&gt;=40,V203&lt;75,W203&lt;35),0.3,0)+IF(AND(V203&gt;=40,V203&lt;75,W203&gt;=35,W203&lt;75),0.23,0)+IF(AND(V203&gt;=40,V203&lt;75,W203&gt;=75,W203&lt;120),0.17,0)+IF(AND(V203&gt;=40,V203&lt;75,W203&gt;=120),0.12,0)+IF(AND(V203&gt;=75,V203&lt;175,W203&lt;35),0.3,0)+IF(AND(V203&gt;=75,V203&lt;=175,W203&gt;=35,W203&lt;65),0.23,0)+IF(AND(V203&gt;=75,V203&lt;=175,W203&gt;=65,W203&lt;110),0.17,0)+IF(AND(V203&gt;=75,V203&lt;=175,W203&gt;=110),0.12,0)+IF(AND(V203&gt;175,W203&lt;25),0.3,0)+IF(AND(V203&gt;175,W203&gt;=25,W203&lt;55),0.23,0)+IF(AND(V203&gt;175,W203&gt;=55,W203&lt;95),0.17,0)+IF(AND(V203&gt;175,W203&gt;=95),0.12,0),
IF(AF203="DoEVsu",IF(AND(V203&lt;20,W203&lt;55),0.3,0)+IF(AND(V203&lt;20,W203&gt;=55,W203&lt;105),0.23,0)+IF(AND(V203&lt;20,W203&gt;=105),0.17,0)+IF(AND(V203&gt;=20,V203&lt;40,W203&lt;45),0.3,0)+IF(AND(V203&gt;=20,V203&lt;40,W203&gt;=45,W203&lt;95),0.23,0)+IF(AND(V203&gt;=20,V203&lt;40,W203&gt;=95,W203&lt;=250),0.17,0)+IF(AND(V203&gt;=20,V203&lt;40,W203&gt;=250),0.12,0)+IF(AND(V203&gt;=40,V203&lt;75,W203&lt;35),0.3,0)+IF(AND(V203&gt;=40,V203&lt;75,W203&gt;=35,W203&lt;75),0.23,0)+IF(AND(V203&gt;=40,V203&lt;75,W203&gt;=75,W203&lt;120),0.17,0)+IF(AND(V203&gt;=40,V203&lt;75,W203&gt;=120),0.12,0)+IF(AND(V203&gt;=75,V203&lt;175,W203&lt;35),0.3,0)+IF(AND(V203&gt;=75,V203&lt;=175,W203&gt;=35,W203&lt;65),0.23,0)+IF(AND(V203&gt;=75,V203&lt;=175,W203&gt;=65,W203&lt;110),0.17,0)+IF(AND(V203&gt;=75,V203&lt;=175,W203&gt;=110),0.12,0)+IF(AND(V203&gt;175,W203&lt;25),0.3,0)+IF(AND(V203&gt;175,W203&gt;=25,W203&lt;55),0.23,0)+IF(AND(V203&gt;175,W203&gt;=55,W203&lt;95),0.17,0)+IF(AND(V203&gt;175,W203&gt;=95),0.12,0),
IF(AF203="DoEVni",IF(AND(V203&lt;20,W203&lt;55),0.3,0)+IF(AND(V203&lt;20,W203&gt;=55,W203&lt;105),0.23,0)+IF(AND(V203&lt;20,W203&gt;=105),0.17,0)+IF(AND(V203&gt;=20,V203&lt;40,W203&lt;45),0.3,0)+IF(AND(V203&gt;=20,V203&lt;40,W203&gt;=45,W203&lt;95),0.23,0)+IF(AND(V203&gt;=20,V203&lt;40,W203&gt;=95,W203&lt;=200),0.17,0)+IF(AND(V203&gt;=20,V203&lt;40,W203&gt;=200),0.12,0)+IF(AND(V203&gt;=40,V203&lt;75,W203&lt;35),0.3,0)+IF(AND(V203&gt;=40,V203&lt;75,W203&gt;=35,W203&lt;75),0.23,0)+IF(AND(V203&gt;=40,V203&lt;75,W203&gt;=75,W203&lt;120),0.17,0)+IF(AND(V203&gt;=40,V203&lt;75,W203&gt;=120),0.12,0)+IF(AND(V203&gt;=75,V203&lt;175,W203&lt;35),0.3,0)+IF(AND(V203&gt;=75,V203&lt;=175,W203&gt;=35,W203&lt;65),0.23,0)+IF(AND(V203&gt;=75,V203&lt;=175,W203&gt;=65,W203&lt;110),0.17,0)+IF(AND(V203&gt;=75,V203&lt;=175,W203&gt;=110),0.12,0)+IF(AND(V203&gt;175,W203&lt;25),0.3,0)+IF(AND(V203&gt;175,W203&gt;=25,W203&lt;55),0.23,0)+IF(AND(V203&gt;175,W203&gt;=55,W203&lt;95),0.17,0)+IF(AND(V203&gt;175,W203&gt;=95),0.12,0),
IF(AF203="DoEVLo",IF(AND(V203&lt;20,W203&lt;55),0.25,0)+IF(AND(V203&lt;20,W203&gt;=55,W203&lt;105),0.2,0)+IF(AND(V203&lt;20,W203&gt;=105),0.15,0)+IF(AND(V203&gt;=20,V203&lt;40,W203&lt;45),0.25,0)+IF(AND(V203&gt;=20,V203&lt;40,W203&gt;=45,W203&lt;95),0.2,0)+IF(AND(V203&gt;=20,V203&lt;40,W203&gt;=95),0.15,0)+IF(AND(V203&gt;=40,V203&lt;75,W203&lt;35),0.25,0)+IF(AND(V203&gt;=40,V203&lt;75,W203&gt;=35,W203&lt;75),0.2,0)+IF(AND(V203&gt;=40,V203&lt;75,W203&gt;=75,W203&lt;120),0.15,0)+IF(AND(V203&gt;=40,V203&lt;75,W203&gt;=120),0.1,0)+IF(AND(V203&gt;=75,V203&lt;175,W203&lt;35),0.25,0)+IF(AND(V203&gt;=75,V203&lt;=175,W203&gt;=35,W203&lt;65),0.2,0)+IF(AND(V203&gt;=75,V203&lt;=175,W203&gt;=65,W203&lt;110),0.15,0)+IF(AND(V203&gt;=75,V203&lt;=175,W203&gt;=110),0.1,0)+IF(AND(V203&gt;175,W203&lt;25),0.25,0)+IF(AND(V203&gt;175,W203&gt;=25,W203&lt;55),0.2,0)+IF(AND(V203&gt;175,W203&gt;=55,W203&lt;95),0.15,0)+IF(AND(V203&gt;175,W203&gt;=95),0.1,0))))))))))))))))</f>
        <v>0.2</v>
      </c>
      <c r="Y203" s="30">
        <f>IF(AG203="None",0,IF(AG203="Fix5",0.05,IF(AG203="Fix3.75",0.0375,IF(AG203="Fix10",0.1,IF(AG203="Fix3",0.03,0)))))</f>
        <v>0</v>
      </c>
      <c r="Z203" s="35">
        <f>T203-AA203-AB203</f>
        <v>495.2</v>
      </c>
      <c r="AA203" s="29">
        <f>IF(AD203="EUR",((T203-R203)*X203)*U203+(R203*X203),(T203*X203))</f>
        <v>123.80000000000001</v>
      </c>
      <c r="AB203" s="36">
        <f>IF(AD203="EUR",((T203-R203)*Y203)*U203+(R203*Y203),(T203*Y203))</f>
        <v>0</v>
      </c>
      <c r="AC203" s="37" t="b">
        <v>1</v>
      </c>
      <c r="AD203" s="37" t="s">
        <v>38</v>
      </c>
      <c r="AE203" s="37" t="s">
        <v>38</v>
      </c>
      <c r="AF203" s="37" t="str">
        <f t="array" ref="AF203">INDEX('Deal Info'!D:D, MATCH(A203,'Deal Info'!A:A, 0))</f>
        <v>DoEVLo</v>
      </c>
      <c r="AG203" s="38" t="str">
        <f t="array" ref="AG203">INDEX('Deal Info'!G:G, MATCH(A203,'Deal Info'!A:A, 0))</f>
        <v>None</v>
      </c>
    </row>
    <row r="204" spans="1:33" ht="14.25" hidden="1" x14ac:dyDescent="0.2">
      <c r="A204" s="18" t="str">
        <f t="array" ref="A204">IF(G204='Room Info'!$B$1, INDEX('Room Info'!$A$2:$A2446, MATCH(B204,'Room Info'!$B$2:$B2446, 0)),IF(G204='Room Info'!$C$1, INDEX('Room Info'!$A$2:$A2446, MATCH(B204,'Room Info'!$C$2:$C2446, 0)),IF(G204='Room Info'!$D$1, INDEX('Room Info'!$A$2:$A2446, MATCH(B204,'Room Info'!$D$2:$D2446, 0)),IF(G204='Room Info'!$E$1, INDEX('Room Info'!$A$2:$A2446, MATCH(B204,'Room Info'!$E$2:$E2446, 0)),IF(G204='Room Info'!$F$1, INDEX('Room Info'!$A$2:$A2446, MATCH(B204,'Room Info'!$F$2:$F2446, 0)),IF(G204='Room Info'!$H$1, INDEX('Room Info'!$A$2:$A2446, MATCH(B204,'Room Info'!$H$2:$H2446, 0)),IF(G204='Room Info'!$G$1, INDEX('Room Info'!$A$2:$A2446, MATCH(B204,'Room Info'!$G$2:$G2446, 0)))))))))</f>
        <v>Lo4io</v>
      </c>
      <c r="B204" s="45" t="s">
        <v>97</v>
      </c>
      <c r="C204" s="77">
        <v>44672</v>
      </c>
      <c r="D204" s="77">
        <v>44701</v>
      </c>
      <c r="E204" s="47">
        <v>44682</v>
      </c>
      <c r="F204" s="48" t="s">
        <v>34</v>
      </c>
      <c r="G204" s="45" t="s">
        <v>80</v>
      </c>
      <c r="H204" s="49" t="s">
        <v>72</v>
      </c>
      <c r="I204" s="49" t="s">
        <v>81</v>
      </c>
      <c r="J204" s="74">
        <v>50</v>
      </c>
      <c r="K204" s="75">
        <v>569</v>
      </c>
      <c r="L204" s="72">
        <v>-4250</v>
      </c>
      <c r="M204" s="76">
        <v>1727</v>
      </c>
      <c r="N204" s="28">
        <f>K204*J204</f>
        <v>28450</v>
      </c>
      <c r="O204" s="45">
        <v>2136</v>
      </c>
      <c r="P204" s="29">
        <v>3.7539543059999998</v>
      </c>
      <c r="Q204" s="55"/>
      <c r="R204" s="31">
        <f>M204+Q204</f>
        <v>1727</v>
      </c>
      <c r="S204" s="73">
        <v>-1744</v>
      </c>
      <c r="T204" s="32">
        <f>R204+S204+IF(F204="Without EV deal",L204,0)</f>
        <v>-17</v>
      </c>
      <c r="U204" s="57">
        <v>1</v>
      </c>
      <c r="V204" s="69">
        <v>27.072653884964684</v>
      </c>
      <c r="W204" s="69">
        <v>68.039136755003909</v>
      </c>
      <c r="X204" s="30">
        <f>IF(AF204="DoEV",IF(AND(V204&lt;20,W204&lt;55),0.3,0)+IF(AND(V204&lt;20,W204&gt;=55,W204&lt;105),0.23,0)+IF(AND(V204&lt;20,W204&gt;=105),0.17,0)+IF(AND(V204&gt;=20,V204&lt;40,W204&lt;45),0.3,0)+IF(AND(V204&gt;=20,V204&lt;40,W204&gt;=45,W204&lt;95),0.23,0)+IF(AND(V204&gt;=20,V204&lt;40,W204&gt;=95),0.17,0)+IF(AND(V204&gt;=40,V204&lt;75,W204&lt;35),0.3,0)+IF(AND(V204&gt;=40,V204&lt;75,W204&gt;=35,W204&lt;75),0.23,0)+IF(AND(V204&gt;=40,V204&lt;75,W204&gt;=75,W204&lt;120),0.17,0)+IF(AND(V204&gt;=40,V204&lt;75,W204&gt;=120),0.12,0)+IF(AND(V204&gt;=75,V204&lt;175,W204&lt;35),0.3,0)+IF(AND(V204&gt;=75,V204&lt;=175,W204&gt;=35,W204&lt;65),0.23,0)+IF(AND(V204&gt;=75,V204&lt;=175,W204&gt;=65,W204&lt;110),0.17,0)+IF(AND(V204&gt;=75,V204&lt;=175,W204&gt;=110),0.12,0)+IF(AND(V204&gt;175,W204&lt;25),0.3,0)+IF(AND(V204&gt;175,W204&gt;=25,W204&lt;55),0.23,0)+IF(AND(V204&gt;175,W204&gt;=55,W204&lt;95),0.17,0)+IF(AND(V204&gt;175,W204&gt;=95),0.12,0),
IF(AF204="Fix15",0.15,
IF(AF204="Fix11.25",0.1125,
IF(AF204="Fix10",0.1,
IF(AF204="Fix9",0.09,
IF(AF204="DoEV2017",IF(AND(W204&lt;74),0.2,0)+IF(AND(W204&gt;=74),0.17,0),
IF(AF204="SF",IF(AND(V204&lt;20,W204&lt;89),0.3,0)+IF(AND(V204&lt;20,W204&gt;=89),0.25,0)+IF(AND(V204&gt;=20,V204&lt;40,W204&lt;74),0.3,0)+IF(AND(V204&gt;=20,V204&lt;40,W204&gt;=75),0.22,0)+IF(AND(V204&gt;=40,V204&lt;75,W204&lt;75),0.26,0)+IF(AND(V204&gt;=40,V204&lt;75,W204&gt;=75),0.22,0)+IF(V204&gt;=75,0.22,0),
IF(AF204="DoEVold",IF(AND(V204&lt;40,W204&lt;35),0.35,0)+IF(AND(V204&lt;40,W204&gt;=35,W204&lt;75),0.25,0)+IF(AND(V204&lt;40,W204&gt;=75),0.17,0)+IF(AND(V204&gt;=40,V204&lt;75,W204&lt;25),0.35,0)+IF(AND(V204&gt;=40,V204&lt;75,W204&gt;=25,W204&lt;65),0.25,0)+IF(AND(V204&gt;=40,V204&lt;75,W204&gt;=65,W204&lt;100),0.17,0)+IF(AND(V204&gt;=40,V204&lt;75,W204&gt;=100),0.1,0)+IF(AND(V204&gt;=75,W204&lt;25),0.35,0)+IF(AND(V204&gt;=75,W204&gt;=25,W204&lt;60),0.25,0)+IF(AND(V204&gt;=75,W204&gt;=60,W204&lt;95),0.17,0)+IF(AND(V204&gt;=75,W204&gt;=95),0.1,0),
IF(AF204="DoEVold15",IF(AND(V204&lt;=40,W204&lt;35),0.35,0)+IF(AND(V204&lt;=40,W204&gt;=35,W204&lt;75),0.25,0)+IF(AND(V204&lt;=40,W204&gt;=75,W204&lt;120),0.17,0)+IF(AND(V204&lt;=40,W204&gt;=120),0.15,0)+IF(AND(V204&gt;40,V204&lt;75,W204&lt;25),0.35,0)+IF(AND(V204&gt;=40,V204&lt;75,W204&gt;=25,W204&lt;65),0.25,0)+IF(AND(V204&gt;=40,V204&lt;75,W204&gt;=65,W204&lt;100),0.17,0)+IF(AND(V204&gt;=40,V204&lt;75,W204&gt;=100),0.1,0)+IF(AND(V204&gt;=75,W204&lt;25),0.35,0)+IF(AND(V204&gt;=75,W204&gt;=25,W204&lt;60),0.25,0)+IF(AND(V204&gt;=75,W204&gt;=60,W204&lt;95),0.17,0)+IF(AND(V204&gt;=75,W204&gt;=95),0.1,0),
IF(AF204="DoEVba",IF(AND(V204&lt;20,W204&lt;105),0.2,0)+IF(AND(V204&lt;20,W204&gt;=105),0.15,0)+IF(AND(V204&gt;=20,V204&lt;40,W204&lt;95),0.2,0)+IF(AND(V204&gt;=20,V204&lt;40,W204&gt;=95,W204&lt;150),0.15,0)+IF(AND(V204&gt;=20,V204&lt;40,W204&gt;=150),0.12,0)+IF(AND(V204&gt;=40,V204&lt;75,W204&lt;75),0.2,0)+IF(AND(V204&gt;=40,V204&lt;75,W204&gt;=75,W204&lt;120),0.15,0)+IF(AND(V204&gt;=40,V204&lt;75,W204&gt;=120),0.12,0)+IF(AND(V204&gt;=75,V204&lt;175,W204&lt;65),0.2,0)+IF(AND(V204&gt;=75,V204&lt;175,W204&gt;=65,W204&lt;110),0.15,0)+IF(AND(V204&gt;=75,V204&lt;175,W204&gt;=110),0.12,0)+IF(AND(V204&gt;=175,W204&lt;55),0.2,0)+IF(AND(V204&gt;=175,W204&gt;=55,W204&lt;95),0.15,0)+IF(AND(V204&gt;=175,W204&gt;=95),0.12,0),
IF(AF204="DoEVku",IF(AND(V204&lt;20,W204&lt;55),0.23,0)+IF(AND(V204&lt;20,W204&gt;=55,W204&lt;105),0.2,0)+IF(AND(V204&lt;20,W204&gt;=105),0.17,0)+IF(AND(V204&gt;=20,V204&lt;40,W204&lt;45),0.23,0)+IF(AND(V204&gt;=20,V204&lt;40,W204&gt;=45,W204&lt;95),0.2,0)+IF(AND(V204&gt;=20,V204&lt;40,W204&gt;=95,W204&lt;=150),0.17,0)+IF(AND(V204&gt;=20,V204&lt;40,W204&gt;=150),0.12,0)+IF(AND(V204&gt;=40,V204&lt;75,W204&lt;35),0.23,0)+IF(AND(V204&gt;=40,V204&lt;75,W204&gt;=35,W204&lt;75),0.2,0)+IF(AND(V204&gt;=40,V204&lt;75,W204&gt;=75,W204&lt;120),0.17,0)+IF(AND(V204&gt;=40,V204&lt;75,W204&gt;=120),0.12,0)+IF(AND(V204&gt;=75,V204&lt;175,W204&lt;35),0.23,0)+IF(AND(V204&gt;=75,V204&lt;=175,W204&gt;=35,W204&lt;65),0.2,0)+IF(AND(V204&gt;=75,V204&lt;=175,W204&gt;=65,W204&lt;110),0.17,0)+IF(AND(V204&gt;=75,V204&lt;=175,W204&gt;=110),0.12,0)+IF(AND(V204&gt;175,W204&lt;25),0.23,0)+IF(AND(V204&gt;175,W204&gt;=25,W204&lt;55),0.2,0)+IF(AND(V204&gt;175,W204&gt;=55,W204&lt;95),0.17,0)+IF(AND(V204&gt;175,W204&gt;=95),0.12,0),
IF(AF204="DoEVs1",IF(AND(V204&lt;20,W204&lt;55),0.3,0)+IF(AND(V204&lt;20,W204&gt;=55,W204&lt;105),0.23,0)+IF(AND(V204&lt;20,W204&gt;=105),0.17,0)+IF(AND(V204&gt;=20,V204&lt;40,W204&lt;45),0.3,0)+IF(AND(V204&gt;=20,V204&lt;40,W204&gt;=45,W204&lt;95),0.23,0)+IF(AND(V204&gt;=20,V204&lt;40,W204&gt;=95,W204&lt;=150),0.17,0)+IF(AND(V204&gt;=20,V204&lt;40,W204&gt;=150),0.12,0)+IF(AND(V204&gt;=40,V204&lt;75,W204&lt;35),0.3,0)+IF(AND(V204&gt;=40,V204&lt;75,W204&gt;=35,W204&lt;75),0.23,0)+IF(AND(V204&gt;=40,V204&lt;75,W204&gt;=75,W204&lt;120),0.17,0)+IF(AND(V204&gt;=40,V204&lt;75,W204&gt;=120),0.12,0)+IF(AND(V204&gt;=75,V204&lt;175,W204&lt;35),0.3,0)+IF(AND(V204&gt;=75,V204&lt;=175,W204&gt;=35,W204&lt;65),0.23,0)+IF(AND(V204&gt;=75,V204&lt;=175,W204&gt;=65,W204&lt;110),0.17,0)+IF(AND(V204&gt;=75,V204&lt;=175,W204&gt;=110),0.12,0)+IF(AND(V204&gt;175,W204&lt;25),0.3,0)+IF(AND(V204&gt;175,W204&gt;=25,W204&lt;55),0.23,0)+IF(AND(V204&gt;175,W204&gt;=55,W204&lt;95),0.17,0)+IF(AND(V204&gt;175,W204&gt;=95),0.12,0),
IF(AF204="DoEVsu",IF(AND(V204&lt;20,W204&lt;55),0.3,0)+IF(AND(V204&lt;20,W204&gt;=55,W204&lt;105),0.23,0)+IF(AND(V204&lt;20,W204&gt;=105),0.17,0)+IF(AND(V204&gt;=20,V204&lt;40,W204&lt;45),0.3,0)+IF(AND(V204&gt;=20,V204&lt;40,W204&gt;=45,W204&lt;95),0.23,0)+IF(AND(V204&gt;=20,V204&lt;40,W204&gt;=95,W204&lt;=250),0.17,0)+IF(AND(V204&gt;=20,V204&lt;40,W204&gt;=250),0.12,0)+IF(AND(V204&gt;=40,V204&lt;75,W204&lt;35),0.3,0)+IF(AND(V204&gt;=40,V204&lt;75,W204&gt;=35,W204&lt;75),0.23,0)+IF(AND(V204&gt;=40,V204&lt;75,W204&gt;=75,W204&lt;120),0.17,0)+IF(AND(V204&gt;=40,V204&lt;75,W204&gt;=120),0.12,0)+IF(AND(V204&gt;=75,V204&lt;175,W204&lt;35),0.3,0)+IF(AND(V204&gt;=75,V204&lt;=175,W204&gt;=35,W204&lt;65),0.23,0)+IF(AND(V204&gt;=75,V204&lt;=175,W204&gt;=65,W204&lt;110),0.17,0)+IF(AND(V204&gt;=75,V204&lt;=175,W204&gt;=110),0.12,0)+IF(AND(V204&gt;175,W204&lt;25),0.3,0)+IF(AND(V204&gt;175,W204&gt;=25,W204&lt;55),0.23,0)+IF(AND(V204&gt;175,W204&gt;=55,W204&lt;95),0.17,0)+IF(AND(V204&gt;175,W204&gt;=95),0.12,0),
IF(AF204="DoEVni",IF(AND(V204&lt;20,W204&lt;55),0.3,0)+IF(AND(V204&lt;20,W204&gt;=55,W204&lt;105),0.23,0)+IF(AND(V204&lt;20,W204&gt;=105),0.17,0)+IF(AND(V204&gt;=20,V204&lt;40,W204&lt;45),0.3,0)+IF(AND(V204&gt;=20,V204&lt;40,W204&gt;=45,W204&lt;95),0.23,0)+IF(AND(V204&gt;=20,V204&lt;40,W204&gt;=95,W204&lt;=200),0.17,0)+IF(AND(V204&gt;=20,V204&lt;40,W204&gt;=200),0.12,0)+IF(AND(V204&gt;=40,V204&lt;75,W204&lt;35),0.3,0)+IF(AND(V204&gt;=40,V204&lt;75,W204&gt;=35,W204&lt;75),0.23,0)+IF(AND(V204&gt;=40,V204&lt;75,W204&gt;=75,W204&lt;120),0.17,0)+IF(AND(V204&gt;=40,V204&lt;75,W204&gt;=120),0.12,0)+IF(AND(V204&gt;=75,V204&lt;175,W204&lt;35),0.3,0)+IF(AND(V204&gt;=75,V204&lt;=175,W204&gt;=35,W204&lt;65),0.23,0)+IF(AND(V204&gt;=75,V204&lt;=175,W204&gt;=65,W204&lt;110),0.17,0)+IF(AND(V204&gt;=75,V204&lt;=175,W204&gt;=110),0.12,0)+IF(AND(V204&gt;175,W204&lt;25),0.3,0)+IF(AND(V204&gt;175,W204&gt;=25,W204&lt;55),0.23,0)+IF(AND(V204&gt;175,W204&gt;=55,W204&lt;95),0.17,0)+IF(AND(V204&gt;175,W204&gt;=95),0.12,0),
IF(AF204="DoEVLo",IF(AND(V204&lt;20,W204&lt;55),0.25,0)+IF(AND(V204&lt;20,W204&gt;=55,W204&lt;105),0.2,0)+IF(AND(V204&lt;20,W204&gt;=105),0.15,0)+IF(AND(V204&gt;=20,V204&lt;40,W204&lt;45),0.25,0)+IF(AND(V204&gt;=20,V204&lt;40,W204&gt;=45,W204&lt;95),0.2,0)+IF(AND(V204&gt;=20,V204&lt;40,W204&gt;=95),0.15,0)+IF(AND(V204&gt;=40,V204&lt;75,W204&lt;35),0.25,0)+IF(AND(V204&gt;=40,V204&lt;75,W204&gt;=35,W204&lt;75),0.2,0)+IF(AND(V204&gt;=40,V204&lt;75,W204&gt;=75,W204&lt;120),0.15,0)+IF(AND(V204&gt;=40,V204&lt;75,W204&gt;=120),0.1,0)+IF(AND(V204&gt;=75,V204&lt;175,W204&lt;35),0.25,0)+IF(AND(V204&gt;=75,V204&lt;=175,W204&gt;=35,W204&lt;65),0.2,0)+IF(AND(V204&gt;=75,V204&lt;=175,W204&gt;=65,W204&lt;110),0.15,0)+IF(AND(V204&gt;=75,V204&lt;=175,W204&gt;=110),0.1,0)+IF(AND(V204&gt;175,W204&lt;25),0.25,0)+IF(AND(V204&gt;175,W204&gt;=25,W204&lt;55),0.2,0)+IF(AND(V204&gt;175,W204&gt;=55,W204&lt;95),0.15,0)+IF(AND(V204&gt;175,W204&gt;=95),0.1,0))))))))))))))))</f>
        <v>0.2</v>
      </c>
      <c r="Y204" s="30">
        <f>IF(AG204="None",0,IF(AG204="Fix5",0.05,IF(AG204="Fix3.75",0.0375,IF(AG204="Fix10",0.1,IF(AG204="Fix3",0.03,0)))))</f>
        <v>0</v>
      </c>
      <c r="Z204" s="35">
        <f>T204-AA204-AB204</f>
        <v>-13.6</v>
      </c>
      <c r="AA204" s="29">
        <f>IF(AD204="EUR",((T204-R204)*X204)*U204+(R204*X204),(T204*X204))</f>
        <v>-3.4000000000000004</v>
      </c>
      <c r="AB204" s="36">
        <f>IF(AD204="EUR",((T204-R204)*Y204)*U204+(R204*Y204),(T204*Y204))</f>
        <v>0</v>
      </c>
      <c r="AC204" s="37" t="b">
        <v>1</v>
      </c>
      <c r="AD204" s="37" t="s">
        <v>38</v>
      </c>
      <c r="AE204" s="37" t="s">
        <v>38</v>
      </c>
      <c r="AF204" s="37" t="str">
        <f t="array" ref="AF204">INDEX('Deal Info'!D:D, MATCH(A204,'Deal Info'!A:A, 0))</f>
        <v>DoEVLo</v>
      </c>
      <c r="AG204" s="38" t="str">
        <f t="array" ref="AG204">INDEX('Deal Info'!G:G, MATCH(A204,'Deal Info'!A:A, 0))</f>
        <v>None</v>
      </c>
    </row>
    <row r="205" spans="1:33" ht="14.25" hidden="1" x14ac:dyDescent="0.2">
      <c r="A205" s="18" t="str">
        <f t="array" ref="A205">IF(G205='Room Info'!$B$1, INDEX('Room Info'!$A$2:$A2446, MATCH(B205,'Room Info'!$B$2:$B2446, 0)),IF(G205='Room Info'!$C$1, INDEX('Room Info'!$A$2:$A2446, MATCH(B205,'Room Info'!$C$2:$C2446, 0)),IF(G205='Room Info'!$D$1, INDEX('Room Info'!$A$2:$A2446, MATCH(B205,'Room Info'!$D$2:$D2446, 0)),IF(G205='Room Info'!$E$1, INDEX('Room Info'!$A$2:$A2446, MATCH(B205,'Room Info'!$E$2:$E2446, 0)),IF(G205='Room Info'!$F$1, INDEX('Room Info'!$A$2:$A2446, MATCH(B205,'Room Info'!$F$2:$F2446, 0)),IF(G205='Room Info'!$H$1, INDEX('Room Info'!$A$2:$A2446, MATCH(B205,'Room Info'!$H$2:$H2446, 0)),IF(G205='Room Info'!$G$1, INDEX('Room Info'!$A$2:$A2446, MATCH(B205,'Room Info'!$G$2:$G2446, 0)))))))))</f>
        <v>Lo4io</v>
      </c>
      <c r="B205" s="45" t="s">
        <v>97</v>
      </c>
      <c r="C205" s="77">
        <v>44672</v>
      </c>
      <c r="D205" s="77">
        <v>44701</v>
      </c>
      <c r="E205" s="47">
        <v>44682</v>
      </c>
      <c r="F205" s="48" t="s">
        <v>34</v>
      </c>
      <c r="G205" s="45" t="s">
        <v>80</v>
      </c>
      <c r="H205" s="49" t="s">
        <v>70</v>
      </c>
      <c r="I205" s="49" t="s">
        <v>81</v>
      </c>
      <c r="J205" s="74">
        <v>100</v>
      </c>
      <c r="K205" s="75">
        <v>1</v>
      </c>
      <c r="L205" s="72">
        <v>-100</v>
      </c>
      <c r="M205" s="76">
        <v>6</v>
      </c>
      <c r="N205" s="28">
        <f>K205*J205</f>
        <v>100</v>
      </c>
      <c r="O205" s="45">
        <v>182</v>
      </c>
      <c r="P205" s="29">
        <v>182</v>
      </c>
      <c r="Q205" s="55"/>
      <c r="R205" s="31">
        <f>M205+Q205</f>
        <v>6</v>
      </c>
      <c r="S205" s="73">
        <v>45</v>
      </c>
      <c r="T205" s="32">
        <f>R205+S205+IF(F205="Without EV deal",L205,0)</f>
        <v>51</v>
      </c>
      <c r="U205" s="57">
        <v>1</v>
      </c>
      <c r="V205" s="69">
        <v>27.072653884964684</v>
      </c>
      <c r="W205" s="69">
        <v>68.039136755003909</v>
      </c>
      <c r="X205" s="30">
        <f>IF(AF205="DoEV",IF(AND(V205&lt;20,W205&lt;55),0.3,0)+IF(AND(V205&lt;20,W205&gt;=55,W205&lt;105),0.23,0)+IF(AND(V205&lt;20,W205&gt;=105),0.17,0)+IF(AND(V205&gt;=20,V205&lt;40,W205&lt;45),0.3,0)+IF(AND(V205&gt;=20,V205&lt;40,W205&gt;=45,W205&lt;95),0.23,0)+IF(AND(V205&gt;=20,V205&lt;40,W205&gt;=95),0.17,0)+IF(AND(V205&gt;=40,V205&lt;75,W205&lt;35),0.3,0)+IF(AND(V205&gt;=40,V205&lt;75,W205&gt;=35,W205&lt;75),0.23,0)+IF(AND(V205&gt;=40,V205&lt;75,W205&gt;=75,W205&lt;120),0.17,0)+IF(AND(V205&gt;=40,V205&lt;75,W205&gt;=120),0.12,0)+IF(AND(V205&gt;=75,V205&lt;175,W205&lt;35),0.3,0)+IF(AND(V205&gt;=75,V205&lt;=175,W205&gt;=35,W205&lt;65),0.23,0)+IF(AND(V205&gt;=75,V205&lt;=175,W205&gt;=65,W205&lt;110),0.17,0)+IF(AND(V205&gt;=75,V205&lt;=175,W205&gt;=110),0.12,0)+IF(AND(V205&gt;175,W205&lt;25),0.3,0)+IF(AND(V205&gt;175,W205&gt;=25,W205&lt;55),0.23,0)+IF(AND(V205&gt;175,W205&gt;=55,W205&lt;95),0.17,0)+IF(AND(V205&gt;175,W205&gt;=95),0.12,0),
IF(AF205="Fix15",0.15,
IF(AF205="Fix11.25",0.1125,
IF(AF205="Fix10",0.1,
IF(AF205="Fix9",0.09,
IF(AF205="DoEV2017",IF(AND(W205&lt;74),0.2,0)+IF(AND(W205&gt;=74),0.17,0),
IF(AF205="SF",IF(AND(V205&lt;20,W205&lt;89),0.3,0)+IF(AND(V205&lt;20,W205&gt;=89),0.25,0)+IF(AND(V205&gt;=20,V205&lt;40,W205&lt;74),0.3,0)+IF(AND(V205&gt;=20,V205&lt;40,W205&gt;=75),0.22,0)+IF(AND(V205&gt;=40,V205&lt;75,W205&lt;75),0.26,0)+IF(AND(V205&gt;=40,V205&lt;75,W205&gt;=75),0.22,0)+IF(V205&gt;=75,0.22,0),
IF(AF205="DoEVold",IF(AND(V205&lt;40,W205&lt;35),0.35,0)+IF(AND(V205&lt;40,W205&gt;=35,W205&lt;75),0.25,0)+IF(AND(V205&lt;40,W205&gt;=75),0.17,0)+IF(AND(V205&gt;=40,V205&lt;75,W205&lt;25),0.35,0)+IF(AND(V205&gt;=40,V205&lt;75,W205&gt;=25,W205&lt;65),0.25,0)+IF(AND(V205&gt;=40,V205&lt;75,W205&gt;=65,W205&lt;100),0.17,0)+IF(AND(V205&gt;=40,V205&lt;75,W205&gt;=100),0.1,0)+IF(AND(V205&gt;=75,W205&lt;25),0.35,0)+IF(AND(V205&gt;=75,W205&gt;=25,W205&lt;60),0.25,0)+IF(AND(V205&gt;=75,W205&gt;=60,W205&lt;95),0.17,0)+IF(AND(V205&gt;=75,W205&gt;=95),0.1,0),
IF(AF205="DoEVold15",IF(AND(V205&lt;=40,W205&lt;35),0.35,0)+IF(AND(V205&lt;=40,W205&gt;=35,W205&lt;75),0.25,0)+IF(AND(V205&lt;=40,W205&gt;=75,W205&lt;120),0.17,0)+IF(AND(V205&lt;=40,W205&gt;=120),0.15,0)+IF(AND(V205&gt;40,V205&lt;75,W205&lt;25),0.35,0)+IF(AND(V205&gt;=40,V205&lt;75,W205&gt;=25,W205&lt;65),0.25,0)+IF(AND(V205&gt;=40,V205&lt;75,W205&gt;=65,W205&lt;100),0.17,0)+IF(AND(V205&gt;=40,V205&lt;75,W205&gt;=100),0.1,0)+IF(AND(V205&gt;=75,W205&lt;25),0.35,0)+IF(AND(V205&gt;=75,W205&gt;=25,W205&lt;60),0.25,0)+IF(AND(V205&gt;=75,W205&gt;=60,W205&lt;95),0.17,0)+IF(AND(V205&gt;=75,W205&gt;=95),0.1,0),
IF(AF205="DoEVba",IF(AND(V205&lt;20,W205&lt;105),0.2,0)+IF(AND(V205&lt;20,W205&gt;=105),0.15,0)+IF(AND(V205&gt;=20,V205&lt;40,W205&lt;95),0.2,0)+IF(AND(V205&gt;=20,V205&lt;40,W205&gt;=95,W205&lt;150),0.15,0)+IF(AND(V205&gt;=20,V205&lt;40,W205&gt;=150),0.12,0)+IF(AND(V205&gt;=40,V205&lt;75,W205&lt;75),0.2,0)+IF(AND(V205&gt;=40,V205&lt;75,W205&gt;=75,W205&lt;120),0.15,0)+IF(AND(V205&gt;=40,V205&lt;75,W205&gt;=120),0.12,0)+IF(AND(V205&gt;=75,V205&lt;175,W205&lt;65),0.2,0)+IF(AND(V205&gt;=75,V205&lt;175,W205&gt;=65,W205&lt;110),0.15,0)+IF(AND(V205&gt;=75,V205&lt;175,W205&gt;=110),0.12,0)+IF(AND(V205&gt;=175,W205&lt;55),0.2,0)+IF(AND(V205&gt;=175,W205&gt;=55,W205&lt;95),0.15,0)+IF(AND(V205&gt;=175,W205&gt;=95),0.12,0),
IF(AF205="DoEVku",IF(AND(V205&lt;20,W205&lt;55),0.23,0)+IF(AND(V205&lt;20,W205&gt;=55,W205&lt;105),0.2,0)+IF(AND(V205&lt;20,W205&gt;=105),0.17,0)+IF(AND(V205&gt;=20,V205&lt;40,W205&lt;45),0.23,0)+IF(AND(V205&gt;=20,V205&lt;40,W205&gt;=45,W205&lt;95),0.2,0)+IF(AND(V205&gt;=20,V205&lt;40,W205&gt;=95,W205&lt;=150),0.17,0)+IF(AND(V205&gt;=20,V205&lt;40,W205&gt;=150),0.12,0)+IF(AND(V205&gt;=40,V205&lt;75,W205&lt;35),0.23,0)+IF(AND(V205&gt;=40,V205&lt;75,W205&gt;=35,W205&lt;75),0.2,0)+IF(AND(V205&gt;=40,V205&lt;75,W205&gt;=75,W205&lt;120),0.17,0)+IF(AND(V205&gt;=40,V205&lt;75,W205&gt;=120),0.12,0)+IF(AND(V205&gt;=75,V205&lt;175,W205&lt;35),0.23,0)+IF(AND(V205&gt;=75,V205&lt;=175,W205&gt;=35,W205&lt;65),0.2,0)+IF(AND(V205&gt;=75,V205&lt;=175,W205&gt;=65,W205&lt;110),0.17,0)+IF(AND(V205&gt;=75,V205&lt;=175,W205&gt;=110),0.12,0)+IF(AND(V205&gt;175,W205&lt;25),0.23,0)+IF(AND(V205&gt;175,W205&gt;=25,W205&lt;55),0.2,0)+IF(AND(V205&gt;175,W205&gt;=55,W205&lt;95),0.17,0)+IF(AND(V205&gt;175,W205&gt;=95),0.12,0),
IF(AF205="DoEVs1",IF(AND(V205&lt;20,W205&lt;55),0.3,0)+IF(AND(V205&lt;20,W205&gt;=55,W205&lt;105),0.23,0)+IF(AND(V205&lt;20,W205&gt;=105),0.17,0)+IF(AND(V205&gt;=20,V205&lt;40,W205&lt;45),0.3,0)+IF(AND(V205&gt;=20,V205&lt;40,W205&gt;=45,W205&lt;95),0.23,0)+IF(AND(V205&gt;=20,V205&lt;40,W205&gt;=95,W205&lt;=150),0.17,0)+IF(AND(V205&gt;=20,V205&lt;40,W205&gt;=150),0.12,0)+IF(AND(V205&gt;=40,V205&lt;75,W205&lt;35),0.3,0)+IF(AND(V205&gt;=40,V205&lt;75,W205&gt;=35,W205&lt;75),0.23,0)+IF(AND(V205&gt;=40,V205&lt;75,W205&gt;=75,W205&lt;120),0.17,0)+IF(AND(V205&gt;=40,V205&lt;75,W205&gt;=120),0.12,0)+IF(AND(V205&gt;=75,V205&lt;175,W205&lt;35),0.3,0)+IF(AND(V205&gt;=75,V205&lt;=175,W205&gt;=35,W205&lt;65),0.23,0)+IF(AND(V205&gt;=75,V205&lt;=175,W205&gt;=65,W205&lt;110),0.17,0)+IF(AND(V205&gt;=75,V205&lt;=175,W205&gt;=110),0.12,0)+IF(AND(V205&gt;175,W205&lt;25),0.3,0)+IF(AND(V205&gt;175,W205&gt;=25,W205&lt;55),0.23,0)+IF(AND(V205&gt;175,W205&gt;=55,W205&lt;95),0.17,0)+IF(AND(V205&gt;175,W205&gt;=95),0.12,0),
IF(AF205="DoEVsu",IF(AND(V205&lt;20,W205&lt;55),0.3,0)+IF(AND(V205&lt;20,W205&gt;=55,W205&lt;105),0.23,0)+IF(AND(V205&lt;20,W205&gt;=105),0.17,0)+IF(AND(V205&gt;=20,V205&lt;40,W205&lt;45),0.3,0)+IF(AND(V205&gt;=20,V205&lt;40,W205&gt;=45,W205&lt;95),0.23,0)+IF(AND(V205&gt;=20,V205&lt;40,W205&gt;=95,W205&lt;=250),0.17,0)+IF(AND(V205&gt;=20,V205&lt;40,W205&gt;=250),0.12,0)+IF(AND(V205&gt;=40,V205&lt;75,W205&lt;35),0.3,0)+IF(AND(V205&gt;=40,V205&lt;75,W205&gt;=35,W205&lt;75),0.23,0)+IF(AND(V205&gt;=40,V205&lt;75,W205&gt;=75,W205&lt;120),0.17,0)+IF(AND(V205&gt;=40,V205&lt;75,W205&gt;=120),0.12,0)+IF(AND(V205&gt;=75,V205&lt;175,W205&lt;35),0.3,0)+IF(AND(V205&gt;=75,V205&lt;=175,W205&gt;=35,W205&lt;65),0.23,0)+IF(AND(V205&gt;=75,V205&lt;=175,W205&gt;=65,W205&lt;110),0.17,0)+IF(AND(V205&gt;=75,V205&lt;=175,W205&gt;=110),0.12,0)+IF(AND(V205&gt;175,W205&lt;25),0.3,0)+IF(AND(V205&gt;175,W205&gt;=25,W205&lt;55),0.23,0)+IF(AND(V205&gt;175,W205&gt;=55,W205&lt;95),0.17,0)+IF(AND(V205&gt;175,W205&gt;=95),0.12,0),
IF(AF205="DoEVni",IF(AND(V205&lt;20,W205&lt;55),0.3,0)+IF(AND(V205&lt;20,W205&gt;=55,W205&lt;105),0.23,0)+IF(AND(V205&lt;20,W205&gt;=105),0.17,0)+IF(AND(V205&gt;=20,V205&lt;40,W205&lt;45),0.3,0)+IF(AND(V205&gt;=20,V205&lt;40,W205&gt;=45,W205&lt;95),0.23,0)+IF(AND(V205&gt;=20,V205&lt;40,W205&gt;=95,W205&lt;=200),0.17,0)+IF(AND(V205&gt;=20,V205&lt;40,W205&gt;=200),0.12,0)+IF(AND(V205&gt;=40,V205&lt;75,W205&lt;35),0.3,0)+IF(AND(V205&gt;=40,V205&lt;75,W205&gt;=35,W205&lt;75),0.23,0)+IF(AND(V205&gt;=40,V205&lt;75,W205&gt;=75,W205&lt;120),0.17,0)+IF(AND(V205&gt;=40,V205&lt;75,W205&gt;=120),0.12,0)+IF(AND(V205&gt;=75,V205&lt;175,W205&lt;35),0.3,0)+IF(AND(V205&gt;=75,V205&lt;=175,W205&gt;=35,W205&lt;65),0.23,0)+IF(AND(V205&gt;=75,V205&lt;=175,W205&gt;=65,W205&lt;110),0.17,0)+IF(AND(V205&gt;=75,V205&lt;=175,W205&gt;=110),0.12,0)+IF(AND(V205&gt;175,W205&lt;25),0.3,0)+IF(AND(V205&gt;175,W205&gt;=25,W205&lt;55),0.23,0)+IF(AND(V205&gt;175,W205&gt;=55,W205&lt;95),0.17,0)+IF(AND(V205&gt;175,W205&gt;=95),0.12,0),
IF(AF205="DoEVLo",IF(AND(V205&lt;20,W205&lt;55),0.25,0)+IF(AND(V205&lt;20,W205&gt;=55,W205&lt;105),0.2,0)+IF(AND(V205&lt;20,W205&gt;=105),0.15,0)+IF(AND(V205&gt;=20,V205&lt;40,W205&lt;45),0.25,0)+IF(AND(V205&gt;=20,V205&lt;40,W205&gt;=45,W205&lt;95),0.2,0)+IF(AND(V205&gt;=20,V205&lt;40,W205&gt;=95),0.15,0)+IF(AND(V205&gt;=40,V205&lt;75,W205&lt;35),0.25,0)+IF(AND(V205&gt;=40,V205&lt;75,W205&gt;=35,W205&lt;75),0.2,0)+IF(AND(V205&gt;=40,V205&lt;75,W205&gt;=75,W205&lt;120),0.15,0)+IF(AND(V205&gt;=40,V205&lt;75,W205&gt;=120),0.1,0)+IF(AND(V205&gt;=75,V205&lt;175,W205&lt;35),0.25,0)+IF(AND(V205&gt;=75,V205&lt;=175,W205&gt;=35,W205&lt;65),0.2,0)+IF(AND(V205&gt;=75,V205&lt;=175,W205&gt;=65,W205&lt;110),0.15,0)+IF(AND(V205&gt;=75,V205&lt;=175,W205&gt;=110),0.1,0)+IF(AND(V205&gt;175,W205&lt;25),0.25,0)+IF(AND(V205&gt;175,W205&gt;=25,W205&lt;55),0.2,0)+IF(AND(V205&gt;175,W205&gt;=55,W205&lt;95),0.15,0)+IF(AND(V205&gt;175,W205&gt;=95),0.1,0))))))))))))))))</f>
        <v>0.2</v>
      </c>
      <c r="Y205" s="30">
        <f>IF(AG205="None",0,IF(AG205="Fix5",0.05,IF(AG205="Fix3.75",0.0375,IF(AG205="Fix10",0.1,IF(AG205="Fix3",0.03,0)))))</f>
        <v>0</v>
      </c>
      <c r="Z205" s="35">
        <f>T205-AA205-AB205</f>
        <v>40.799999999999997</v>
      </c>
      <c r="AA205" s="29">
        <f>IF(AD205="EUR",((T205-R205)*X205)*U205+(R205*X205),(T205*X205))</f>
        <v>10.200000000000001</v>
      </c>
      <c r="AB205" s="36">
        <f>IF(AD205="EUR",((T205-R205)*Y205)*U205+(R205*Y205),(T205*Y205))</f>
        <v>0</v>
      </c>
      <c r="AC205" s="37" t="b">
        <v>1</v>
      </c>
      <c r="AD205" s="37" t="s">
        <v>38</v>
      </c>
      <c r="AE205" s="37" t="s">
        <v>38</v>
      </c>
      <c r="AF205" s="37" t="str">
        <f t="array" ref="AF205">INDEX('Deal Info'!D:D, MATCH(A205,'Deal Info'!A:A, 0))</f>
        <v>DoEVLo</v>
      </c>
      <c r="AG205" s="38" t="str">
        <f t="array" ref="AG205">INDEX('Deal Info'!G:G, MATCH(A205,'Deal Info'!A:A, 0))</f>
        <v>None</v>
      </c>
    </row>
    <row r="206" spans="1:33" ht="14.25" x14ac:dyDescent="0.2">
      <c r="A206" s="18" t="str">
        <f t="array" ref="A206">IF(G206='Room Info'!$B$1, INDEX('Room Info'!$A$2:$A2446, MATCH(B206,'Room Info'!$B$2:$B2446, 0)),IF(G206='Room Info'!$C$1, INDEX('Room Info'!$A$2:$A2446, MATCH(B206,'Room Info'!$C$2:$C2446, 0)),IF(G206='Room Info'!$D$1, INDEX('Room Info'!$A$2:$A2446, MATCH(B206,'Room Info'!$D$2:$D2446, 0)),IF(G206='Room Info'!$E$1, INDEX('Room Info'!$A$2:$A2446, MATCH(B206,'Room Info'!$E$2:$E2446, 0)),IF(G206='Room Info'!$F$1, INDEX('Room Info'!$A$2:$A2446, MATCH(B206,'Room Info'!$F$2:$F2446, 0)),IF(G206='Room Info'!$H$1, INDEX('Room Info'!$A$2:$A2446, MATCH(B206,'Room Info'!$H$2:$H2446, 0)),IF(G206='Room Info'!$G$1, INDEX('Room Info'!$A$2:$A2446, MATCH(B206,'Room Info'!$G$2:$G2446, 0)))))))))</f>
        <v>Freedoom</v>
      </c>
      <c r="B206" s="45" t="s">
        <v>110</v>
      </c>
      <c r="C206" s="46">
        <v>44551</v>
      </c>
      <c r="D206" s="46">
        <v>44592</v>
      </c>
      <c r="E206" s="47">
        <v>44562</v>
      </c>
      <c r="F206" s="48" t="s">
        <v>49</v>
      </c>
      <c r="G206" s="54" t="s">
        <v>61</v>
      </c>
      <c r="H206" s="49" t="s">
        <v>64</v>
      </c>
      <c r="I206" s="49" t="s">
        <v>37</v>
      </c>
      <c r="J206" s="50">
        <v>10</v>
      </c>
      <c r="K206" s="51">
        <v>1944</v>
      </c>
      <c r="L206" s="52">
        <v>-1260</v>
      </c>
      <c r="M206" s="53">
        <v>769</v>
      </c>
      <c r="N206" s="28">
        <f>K206*J206</f>
        <v>19440</v>
      </c>
      <c r="O206" s="54">
        <v>130093</v>
      </c>
      <c r="P206" s="29">
        <v>66.920267490000001</v>
      </c>
      <c r="Q206" s="55"/>
      <c r="R206" s="31">
        <f>M206+Q206</f>
        <v>769</v>
      </c>
      <c r="S206" s="56">
        <v>517</v>
      </c>
      <c r="T206" s="32">
        <f>R206+S206+IF(F206="Without EV deal",L206,0)</f>
        <v>1286</v>
      </c>
      <c r="U206" s="57">
        <v>1</v>
      </c>
      <c r="V206" s="58"/>
      <c r="W206" s="58"/>
      <c r="X206" s="78">
        <f>IF(AF206="DoEV",IF(AND(V206&lt;20,W206&lt;55),0.3,0)+IF(AND(V206&lt;20,W206&gt;=55,W206&lt;105),0.23,0)+IF(AND(V206&lt;20,W206&gt;=105),0.17,0)+IF(AND(V206&gt;=20,V206&lt;40,W206&lt;45),0.3,0)+IF(AND(V206&gt;=20,V206&lt;40,W206&gt;=45,W206&lt;95),0.23,0)+IF(AND(V206&gt;=20,V206&lt;40,W206&gt;=95),0.17,0)+IF(AND(V206&gt;=40,V206&lt;75,W206&lt;35),0.3,0)+IF(AND(V206&gt;=40,V206&lt;75,W206&gt;=35,W206&lt;75),0.23,0)+IF(AND(V206&gt;=40,V206&lt;75,W206&gt;=75,W206&lt;120),0.17,0)+IF(AND(V206&gt;=40,V206&lt;75,W206&gt;=120),0.12,0)+IF(AND(V206&gt;=75,V206&lt;175,W206&lt;35),0.3,0)+IF(AND(V206&gt;=75,V206&lt;=175,W206&gt;=35,W206&lt;65),0.23,0)+IF(AND(V206&gt;=75,V206&lt;=175,W206&gt;=65,W206&lt;110),0.17,0)+IF(AND(V206&gt;=75,V206&lt;=175,W206&gt;=110),0.12,0)+IF(AND(V206&gt;175,W206&lt;25),0.3,0)+IF(AND(V206&gt;175,W206&gt;=25,W206&lt;55),0.23,0)+IF(AND(V206&gt;175,W206&gt;=55,W206&lt;95),0.17,0)+IF(AND(V206&gt;175,W206&gt;=95),0.12,0),
IF(AF206="Fix15",0.15,
IF(AF206="Fix11.25",0.1125,
IF(AF206="Fix10",0.1,
IF(AF206="Fix9",0.09,
IF(AF206="DoEV2017",IF(AND(W206&lt;74),0.2,0)+IF(AND(W206&gt;=74),0.17,0),
IF(AF206="SF",IF(AND(V206&lt;20,W206&lt;89),0.3,0)+IF(AND(V206&lt;20,W206&gt;=89),0.25,0)+IF(AND(V206&gt;=20,V206&lt;40,W206&lt;74),0.3,0)+IF(AND(V206&gt;=20,V206&lt;40,W206&gt;=75),0.22,0)+IF(AND(V206&gt;=40,V206&lt;75,W206&lt;75),0.26,0)+IF(AND(V206&gt;=40,V206&lt;75,W206&gt;=75),0.22,0)+IF(V206&gt;=75,0.22,0),
IF(AF206="DoEVold",IF(AND(V206&lt;40,W206&lt;35),0.35,0)+IF(AND(V206&lt;40,W206&gt;=35,W206&lt;75),0.25,0)+IF(AND(V206&lt;40,W206&gt;=75),0.17,0)+IF(AND(V206&gt;=40,V206&lt;75,W206&lt;25),0.35,0)+IF(AND(V206&gt;=40,V206&lt;75,W206&gt;=25,W206&lt;65),0.25,0)+IF(AND(V206&gt;=40,V206&lt;75,W206&gt;=65,W206&lt;100),0.17,0)+IF(AND(V206&gt;=40,V206&lt;75,W206&gt;=100),0.1,0)+IF(AND(V206&gt;=75,W206&lt;25),0.35,0)+IF(AND(V206&gt;=75,W206&gt;=25,W206&lt;60),0.25,0)+IF(AND(V206&gt;=75,W206&gt;=60,W206&lt;95),0.17,0)+IF(AND(V206&gt;=75,W206&gt;=95),0.1,0),
IF(AF206="DoEVold15",IF(AND(V206&lt;=40,W206&lt;35),0.35,0)+IF(AND(V206&lt;=40,W206&gt;=35,W206&lt;75),0.25,0)+IF(AND(V206&lt;=40,W206&gt;=75,W206&lt;120),0.17,0)+IF(AND(V206&lt;=40,W206&gt;=120),0.15,0)+IF(AND(V206&gt;40,V206&lt;75,W206&lt;25),0.35,0)+IF(AND(V206&gt;=40,V206&lt;75,W206&gt;=25,W206&lt;65),0.25,0)+IF(AND(V206&gt;=40,V206&lt;75,W206&gt;=65,W206&lt;100),0.17,0)+IF(AND(V206&gt;=40,V206&lt;75,W206&gt;=100),0.1,0)+IF(AND(V206&gt;=75,W206&lt;25),0.35,0)+IF(AND(V206&gt;=75,W206&gt;=25,W206&lt;60),0.25,0)+IF(AND(V206&gt;=75,W206&gt;=60,W206&lt;95),0.17,0)+IF(AND(V206&gt;=75,W206&gt;=95),0.1,0),
IF(AF206="DoEVba",IF(AND(V206&lt;20,W206&lt;105),0.2,0)+IF(AND(V206&lt;20,W206&gt;=105),0.15,0)+IF(AND(V206&gt;=20,V206&lt;40,W206&lt;95),0.2,0)+IF(AND(V206&gt;=20,V206&lt;40,W206&gt;=95,W206&lt;150),0.15,0)+IF(AND(V206&gt;=20,V206&lt;40,W206&gt;=150),0.12,0)+IF(AND(V206&gt;=40,V206&lt;75,W206&lt;75),0.2,0)+IF(AND(V206&gt;=40,V206&lt;75,W206&gt;=75,W206&lt;120),0.15,0)+IF(AND(V206&gt;=40,V206&lt;75,W206&gt;=120),0.12,0)+IF(AND(V206&gt;=75,V206&lt;175,W206&lt;65),0.2,0)+IF(AND(V206&gt;=75,V206&lt;175,W206&gt;=65,W206&lt;110),0.15,0)+IF(AND(V206&gt;=75,V206&lt;175,W206&gt;=110),0.12,0)+IF(AND(V206&gt;=175,W206&lt;55),0.2,0)+IF(AND(V206&gt;=175,W206&gt;=55,W206&lt;95),0.15,0)+IF(AND(V206&gt;=175,W206&gt;=95),0.12,0),
IF(AF206="DoEVku",IF(AND(V206&lt;20,W206&lt;55),0.23,0)+IF(AND(V206&lt;20,W206&gt;=55,W206&lt;105),0.2,0)+IF(AND(V206&lt;20,W206&gt;=105),0.17,0)+IF(AND(V206&gt;=20,V206&lt;40,W206&lt;45),0.23,0)+IF(AND(V206&gt;=20,V206&lt;40,W206&gt;=45,W206&lt;95),0.2,0)+IF(AND(V206&gt;=20,V206&lt;40,W206&gt;=95,W206&lt;=150),0.17,0)+IF(AND(V206&gt;=20,V206&lt;40,W206&gt;=150),0.12,0)+IF(AND(V206&gt;=40,V206&lt;75,W206&lt;35),0.23,0)+IF(AND(V206&gt;=40,V206&lt;75,W206&gt;=35,W206&lt;75),0.2,0)+IF(AND(V206&gt;=40,V206&lt;75,W206&gt;=75,W206&lt;120),0.17,0)+IF(AND(V206&gt;=40,V206&lt;75,W206&gt;=120),0.12,0)+IF(AND(V206&gt;=75,V206&lt;175,W206&lt;35),0.23,0)+IF(AND(V206&gt;=75,V206&lt;=175,W206&gt;=35,W206&lt;65),0.2,0)+IF(AND(V206&gt;=75,V206&lt;=175,W206&gt;=65,W206&lt;110),0.17,0)+IF(AND(V206&gt;=75,V206&lt;=175,W206&gt;=110),0.12,0)+IF(AND(V206&gt;175,W206&lt;25),0.23,0)+IF(AND(V206&gt;175,W206&gt;=25,W206&lt;55),0.2,0)+IF(AND(V206&gt;175,W206&gt;=55,W206&lt;95),0.17,0)+IF(AND(V206&gt;175,W206&gt;=95),0.12,0),
IF(AF206="DoEVs1",IF(AND(V206&lt;20,W206&lt;55),0.3,0)+IF(AND(V206&lt;20,W206&gt;=55,W206&lt;105),0.23,0)+IF(AND(V206&lt;20,W206&gt;=105),0.17,0)+IF(AND(V206&gt;=20,V206&lt;40,W206&lt;45),0.3,0)+IF(AND(V206&gt;=20,V206&lt;40,W206&gt;=45,W206&lt;95),0.23,0)+IF(AND(V206&gt;=20,V206&lt;40,W206&gt;=95,W206&lt;=150),0.17,0)+IF(AND(V206&gt;=20,V206&lt;40,W206&gt;=150),0.12,0)+IF(AND(V206&gt;=40,V206&lt;75,W206&lt;35),0.3,0)+IF(AND(V206&gt;=40,V206&lt;75,W206&gt;=35,W206&lt;75),0.23,0)+IF(AND(V206&gt;=40,V206&lt;75,W206&gt;=75,W206&lt;120),0.17,0)+IF(AND(V206&gt;=40,V206&lt;75,W206&gt;=120),0.12,0)+IF(AND(V206&gt;=75,V206&lt;175,W206&lt;35),0.3,0)+IF(AND(V206&gt;=75,V206&lt;=175,W206&gt;=35,W206&lt;65),0.23,0)+IF(AND(V206&gt;=75,V206&lt;=175,W206&gt;=65,W206&lt;110),0.17,0)+IF(AND(V206&gt;=75,V206&lt;=175,W206&gt;=110),0.12,0)+IF(AND(V206&gt;175,W206&lt;25),0.3,0)+IF(AND(V206&gt;175,W206&gt;=25,W206&lt;55),0.23,0)+IF(AND(V206&gt;175,W206&gt;=55,W206&lt;95),0.17,0)+IF(AND(V206&gt;175,W206&gt;=95),0.12,0),
IF(AF206="DoEVsu",IF(AND(V206&lt;20,W206&lt;55),0.3,0)+IF(AND(V206&lt;20,W206&gt;=55,W206&lt;105),0.23,0)+IF(AND(V206&lt;20,W206&gt;=105),0.17,0)+IF(AND(V206&gt;=20,V206&lt;40,W206&lt;45),0.3,0)+IF(AND(V206&gt;=20,V206&lt;40,W206&gt;=45,W206&lt;95),0.23,0)+IF(AND(V206&gt;=20,V206&lt;40,W206&gt;=95,W206&lt;=250),0.17,0)+IF(AND(V206&gt;=20,V206&lt;40,W206&gt;=250),0.12,0)+IF(AND(V206&gt;=40,V206&lt;75,W206&lt;35),0.3,0)+IF(AND(V206&gt;=40,V206&lt;75,W206&gt;=35,W206&lt;75),0.23,0)+IF(AND(V206&gt;=40,V206&lt;75,W206&gt;=75,W206&lt;120),0.17,0)+IF(AND(V206&gt;=40,V206&lt;75,W206&gt;=120),0.12,0)+IF(AND(V206&gt;=75,V206&lt;175,W206&lt;35),0.3,0)+IF(AND(V206&gt;=75,V206&lt;=175,W206&gt;=35,W206&lt;65),0.23,0)+IF(AND(V206&gt;=75,V206&lt;=175,W206&gt;=65,W206&lt;110),0.17,0)+IF(AND(V206&gt;=75,V206&lt;=175,W206&gt;=110),0.12,0)+IF(AND(V206&gt;175,W206&lt;25),0.3,0)+IF(AND(V206&gt;175,W206&gt;=25,W206&lt;55),0.23,0)+IF(AND(V206&gt;175,W206&gt;=55,W206&lt;95),0.17,0)+IF(AND(V206&gt;175,W206&gt;=95),0.12,0),
IF(AF206="DoEVni",IF(AND(V206&lt;20,W206&lt;55),0.3,0)+IF(AND(V206&lt;20,W206&gt;=55,W206&lt;105),0.23,0)+IF(AND(V206&lt;20,W206&gt;=105),0.17,0)+IF(AND(V206&gt;=20,V206&lt;40,W206&lt;45),0.3,0)+IF(AND(V206&gt;=20,V206&lt;40,W206&gt;=45,W206&lt;95),0.23,0)+IF(AND(V206&gt;=20,V206&lt;40,W206&gt;=95,W206&lt;=200),0.17,0)+IF(AND(V206&gt;=20,V206&lt;40,W206&gt;=200),0.12,0)+IF(AND(V206&gt;=40,V206&lt;75,W206&lt;35),0.3,0)+IF(AND(V206&gt;=40,V206&lt;75,W206&gt;=35,W206&lt;75),0.23,0)+IF(AND(V206&gt;=40,V206&lt;75,W206&gt;=75,W206&lt;120),0.17,0)+IF(AND(V206&gt;=40,V206&lt;75,W206&gt;=120),0.12,0)+IF(AND(V206&gt;=75,V206&lt;175,W206&lt;35),0.3,0)+IF(AND(V206&gt;=75,V206&lt;=175,W206&gt;=35,W206&lt;65),0.23,0)+IF(AND(V206&gt;=75,V206&lt;=175,W206&gt;=65,W206&lt;110),0.17,0)+IF(AND(V206&gt;=75,V206&lt;=175,W206&gt;=110),0.12,0)+IF(AND(V206&gt;175,W206&lt;25),0.3,0)+IF(AND(V206&gt;175,W206&gt;=25,W206&lt;55),0.23,0)+IF(AND(V206&gt;175,W206&gt;=55,W206&lt;95),0.17,0)+IF(AND(V206&gt;175,W206&gt;=95),0.12,0),
IF(AF206="DoEVLo",IF(AND(V206&lt;20,W206&lt;55),0.25,0)+IF(AND(V206&lt;20,W206&gt;=55,W206&lt;105),0.2,0)+IF(AND(V206&lt;20,W206&gt;=105),0.15,0)+IF(AND(V206&gt;=20,V206&lt;40,W206&lt;45),0.25,0)+IF(AND(V206&gt;=20,V206&lt;40,W206&gt;=45,W206&lt;95),0.2,0)+IF(AND(V206&gt;=20,V206&lt;40,W206&gt;=95),0.15,0)+IF(AND(V206&gt;=40,V206&lt;75,W206&lt;35),0.25,0)+IF(AND(V206&gt;=40,V206&lt;75,W206&gt;=35,W206&lt;75),0.2,0)+IF(AND(V206&gt;=40,V206&lt;75,W206&gt;=75,W206&lt;120),0.15,0)+IF(AND(V206&gt;=40,V206&lt;75,W206&gt;=120),0.1,0)+IF(AND(V206&gt;=75,V206&lt;175,W206&lt;35),0.25,0)+IF(AND(V206&gt;=75,V206&lt;=175,W206&gt;=35,W206&lt;65),0.2,0)+IF(AND(V206&gt;=75,V206&lt;=175,W206&gt;=65,W206&lt;110),0.15,0)+IF(AND(V206&gt;=75,V206&lt;=175,W206&gt;=110),0.1,0)+IF(AND(V206&gt;175,W206&lt;25),0.25,0)+IF(AND(V206&gt;175,W206&gt;=25,W206&lt;55),0.2,0)+IF(AND(V206&gt;175,W206&gt;=55,W206&lt;95),0.15,0)+IF(AND(V206&gt;175,W206&gt;=95),0.1,0))))))))))))))))</f>
        <v>0.35</v>
      </c>
      <c r="Y206" s="30">
        <f>IF(AG206="None",0,IF(AG206="Fix5",0.05,IF(AG206="Fix3.75",0.0375,IF(AG206="Fix10",0.1,IF(AG206="Fix3",0.03,0)))))</f>
        <v>0</v>
      </c>
      <c r="Z206" s="35">
        <v>1067</v>
      </c>
      <c r="AA206" s="29">
        <v>219</v>
      </c>
      <c r="AB206" s="36">
        <f>IF(AD206="EUR",((T206-R206)*Y206)*U206+(R206*Y206),(T206*Y206))</f>
        <v>0</v>
      </c>
      <c r="AC206" s="37" t="b">
        <v>1</v>
      </c>
      <c r="AD206" s="61" t="s">
        <v>38</v>
      </c>
      <c r="AE206" s="61" t="s">
        <v>38</v>
      </c>
      <c r="AF206" s="37" t="str">
        <f t="array" ref="AF206">INDEX('Deal Info'!D:D, MATCH(A206,'Deal Info'!A:A, 0))</f>
        <v>DoEVold</v>
      </c>
      <c r="AG206" s="38" t="str">
        <f t="array" ref="AG206">INDEX('Deal Info'!G:G, MATCH(A206,'Deal Info'!A:A, 0))</f>
        <v>None</v>
      </c>
    </row>
    <row r="207" spans="1:33" ht="14.25" x14ac:dyDescent="0.2">
      <c r="A207" s="18" t="str">
        <f t="array" ref="A207">IF(G207='Room Info'!$B$1, INDEX('Room Info'!$A$2:$A2446, MATCH(B207,'Room Info'!$B$2:$B2446, 0)),IF(G207='Room Info'!$C$1, INDEX('Room Info'!$A$2:$A2446, MATCH(B207,'Room Info'!$C$2:$C2446, 0)),IF(G207='Room Info'!$D$1, INDEX('Room Info'!$A$2:$A2446, MATCH(B207,'Room Info'!$D$2:$D2446, 0)),IF(G207='Room Info'!$E$1, INDEX('Room Info'!$A$2:$A2446, MATCH(B207,'Room Info'!$E$2:$E2446, 0)),IF(G207='Room Info'!$F$1, INDEX('Room Info'!$A$2:$A2446, MATCH(B207,'Room Info'!$F$2:$F2446, 0)),IF(G207='Room Info'!$H$1, INDEX('Room Info'!$A$2:$A2446, MATCH(B207,'Room Info'!$H$2:$H2446, 0)),IF(G207='Room Info'!$G$1, INDEX('Room Info'!$A$2:$A2446, MATCH(B207,'Room Info'!$G$2:$G2446, 0)))))))))</f>
        <v>Fedorovi4</v>
      </c>
      <c r="B207" s="65" t="s">
        <v>91</v>
      </c>
      <c r="C207" s="46">
        <v>44582</v>
      </c>
      <c r="D207" s="46">
        <v>44612</v>
      </c>
      <c r="E207" s="47">
        <v>44593</v>
      </c>
      <c r="F207" s="45" t="s">
        <v>34</v>
      </c>
      <c r="G207" s="65" t="s">
        <v>61</v>
      </c>
      <c r="H207" s="49" t="s">
        <v>65</v>
      </c>
      <c r="I207" s="49" t="s">
        <v>37</v>
      </c>
      <c r="J207" s="50">
        <v>25</v>
      </c>
      <c r="K207" s="123">
        <v>1190</v>
      </c>
      <c r="L207" s="52">
        <v>-312</v>
      </c>
      <c r="M207" s="53">
        <v>633</v>
      </c>
      <c r="N207" s="28">
        <f>K207*J207</f>
        <v>29750</v>
      </c>
      <c r="O207" s="54">
        <v>50318</v>
      </c>
      <c r="P207" s="29">
        <v>42.284033610000002</v>
      </c>
      <c r="Q207" s="55"/>
      <c r="R207" s="31">
        <f>M207+Q207</f>
        <v>633</v>
      </c>
      <c r="S207" s="56">
        <v>-346</v>
      </c>
      <c r="T207" s="32">
        <f>R207+S207+IF(F207="Without EV deal",L207,0)</f>
        <v>287</v>
      </c>
      <c r="U207" s="33">
        <v>1</v>
      </c>
      <c r="V207" s="58">
        <v>25</v>
      </c>
      <c r="W207" s="58">
        <v>11.48</v>
      </c>
      <c r="X207" s="78">
        <f>IF(AF207="DoEV",IF(AND(V207&lt;20,W207&lt;55),0.3,0)+IF(AND(V207&lt;20,W207&gt;=55,W207&lt;105),0.23,0)+IF(AND(V207&lt;20,W207&gt;=105),0.17,0)+IF(AND(V207&gt;=20,V207&lt;40,W207&lt;45),0.3,0)+IF(AND(V207&gt;=20,V207&lt;40,W207&gt;=45,W207&lt;95),0.23,0)+IF(AND(V207&gt;=20,V207&lt;40,W207&gt;=95),0.17,0)+IF(AND(V207&gt;=40,V207&lt;75,W207&lt;35),0.3,0)+IF(AND(V207&gt;=40,V207&lt;75,W207&gt;=35,W207&lt;75),0.23,0)+IF(AND(V207&gt;=40,V207&lt;75,W207&gt;=75,W207&lt;120),0.17,0)+IF(AND(V207&gt;=40,V207&lt;75,W207&gt;=120),0.12,0)+IF(AND(V207&gt;=75,V207&lt;175,W207&lt;35),0.3,0)+IF(AND(V207&gt;=75,V207&lt;=175,W207&gt;=35,W207&lt;65),0.23,0)+IF(AND(V207&gt;=75,V207&lt;=175,W207&gt;=65,W207&lt;110),0.17,0)+IF(AND(V207&gt;=75,V207&lt;=175,W207&gt;=110),0.12,0)+IF(AND(V207&gt;175,W207&lt;25),0.3,0)+IF(AND(V207&gt;175,W207&gt;=25,W207&lt;55),0.23,0)+IF(AND(V207&gt;175,W207&gt;=55,W207&lt;95),0.17,0)+IF(AND(V207&gt;175,W207&gt;=95),0.12,0),
IF(AF207="Fix15",0.15,
IF(AF207="Fix11.25",0.1125,
IF(AF207="Fix10",0.1,
IF(AF207="Fix9",0.09,
IF(AF207="DoEV2017",IF(AND(W207&lt;74),0.2,0)+IF(AND(W207&gt;=74),0.17,0),
IF(AF207="SF",IF(AND(V207&lt;20,W207&lt;89),0.3,0)+IF(AND(V207&lt;20,W207&gt;=89),0.25,0)+IF(AND(V207&gt;=20,V207&lt;40,W207&lt;74),0.3,0)+IF(AND(V207&gt;=20,V207&lt;40,W207&gt;=75),0.22,0)+IF(AND(V207&gt;=40,V207&lt;75,W207&lt;75),0.26,0)+IF(AND(V207&gt;=40,V207&lt;75,W207&gt;=75),0.22,0)+IF(V207&gt;=75,0.22,0),
IF(AF207="DoEVold",IF(AND(V207&lt;40,W207&lt;35),0.35,0)+IF(AND(V207&lt;40,W207&gt;=35,W207&lt;75),0.25,0)+IF(AND(V207&lt;40,W207&gt;=75),0.17,0)+IF(AND(V207&gt;=40,V207&lt;75,W207&lt;25),0.35,0)+IF(AND(V207&gt;=40,V207&lt;75,W207&gt;=25,W207&lt;65),0.25,0)+IF(AND(V207&gt;=40,V207&lt;75,W207&gt;=65,W207&lt;100),0.17,0)+IF(AND(V207&gt;=40,V207&lt;75,W207&gt;=100),0.1,0)+IF(AND(V207&gt;=75,W207&lt;25),0.35,0)+IF(AND(V207&gt;=75,W207&gt;=25,W207&lt;60),0.25,0)+IF(AND(V207&gt;=75,W207&gt;=60,W207&lt;95),0.17,0)+IF(AND(V207&gt;=75,W207&gt;=95),0.1,0),
IF(AF207="DoEVold15",IF(AND(V207&lt;=40,W207&lt;35),0.35,0)+IF(AND(V207&lt;=40,W207&gt;=35,W207&lt;75),0.25,0)+IF(AND(V207&lt;=40,W207&gt;=75,W207&lt;120),0.17,0)+IF(AND(V207&lt;=40,W207&gt;=120),0.15,0)+IF(AND(V207&gt;40,V207&lt;75,W207&lt;25),0.35,0)+IF(AND(V207&gt;=40,V207&lt;75,W207&gt;=25,W207&lt;65),0.25,0)+IF(AND(V207&gt;=40,V207&lt;75,W207&gt;=65,W207&lt;100),0.17,0)+IF(AND(V207&gt;=40,V207&lt;75,W207&gt;=100),0.1,0)+IF(AND(V207&gt;=75,W207&lt;25),0.35,0)+IF(AND(V207&gt;=75,W207&gt;=25,W207&lt;60),0.25,0)+IF(AND(V207&gt;=75,W207&gt;=60,W207&lt;95),0.17,0)+IF(AND(V207&gt;=75,W207&gt;=95),0.1,0),
IF(AF207="DoEVba",IF(AND(V207&lt;20,W207&lt;105),0.2,0)+IF(AND(V207&lt;20,W207&gt;=105),0.15,0)+IF(AND(V207&gt;=20,V207&lt;40,W207&lt;95),0.2,0)+IF(AND(V207&gt;=20,V207&lt;40,W207&gt;=95,W207&lt;150),0.15,0)+IF(AND(V207&gt;=20,V207&lt;40,W207&gt;=150),0.12,0)+IF(AND(V207&gt;=40,V207&lt;75,W207&lt;75),0.2,0)+IF(AND(V207&gt;=40,V207&lt;75,W207&gt;=75,W207&lt;120),0.15,0)+IF(AND(V207&gt;=40,V207&lt;75,W207&gt;=120),0.12,0)+IF(AND(V207&gt;=75,V207&lt;175,W207&lt;65),0.2,0)+IF(AND(V207&gt;=75,V207&lt;175,W207&gt;=65,W207&lt;110),0.15,0)+IF(AND(V207&gt;=75,V207&lt;175,W207&gt;=110),0.12,0)+IF(AND(V207&gt;=175,W207&lt;55),0.2,0)+IF(AND(V207&gt;=175,W207&gt;=55,W207&lt;95),0.15,0)+IF(AND(V207&gt;=175,W207&gt;=95),0.12,0),
IF(AF207="DoEVku",IF(AND(V207&lt;20,W207&lt;55),0.23,0)+IF(AND(V207&lt;20,W207&gt;=55,W207&lt;105),0.2,0)+IF(AND(V207&lt;20,W207&gt;=105),0.17,0)+IF(AND(V207&gt;=20,V207&lt;40,W207&lt;45),0.23,0)+IF(AND(V207&gt;=20,V207&lt;40,W207&gt;=45,W207&lt;95),0.2,0)+IF(AND(V207&gt;=20,V207&lt;40,W207&gt;=95,W207&lt;=150),0.17,0)+IF(AND(V207&gt;=20,V207&lt;40,W207&gt;=150),0.12,0)+IF(AND(V207&gt;=40,V207&lt;75,W207&lt;35),0.23,0)+IF(AND(V207&gt;=40,V207&lt;75,W207&gt;=35,W207&lt;75),0.2,0)+IF(AND(V207&gt;=40,V207&lt;75,W207&gt;=75,W207&lt;120),0.17,0)+IF(AND(V207&gt;=40,V207&lt;75,W207&gt;=120),0.12,0)+IF(AND(V207&gt;=75,V207&lt;175,W207&lt;35),0.23,0)+IF(AND(V207&gt;=75,V207&lt;=175,W207&gt;=35,W207&lt;65),0.2,0)+IF(AND(V207&gt;=75,V207&lt;=175,W207&gt;=65,W207&lt;110),0.17,0)+IF(AND(V207&gt;=75,V207&lt;=175,W207&gt;=110),0.12,0)+IF(AND(V207&gt;175,W207&lt;25),0.23,0)+IF(AND(V207&gt;175,W207&gt;=25,W207&lt;55),0.2,0)+IF(AND(V207&gt;175,W207&gt;=55,W207&lt;95),0.17,0)+IF(AND(V207&gt;175,W207&gt;=95),0.12,0),
IF(AF207="DoEVs1",IF(AND(V207&lt;20,W207&lt;55),0.3,0)+IF(AND(V207&lt;20,W207&gt;=55,W207&lt;105),0.23,0)+IF(AND(V207&lt;20,W207&gt;=105),0.17,0)+IF(AND(V207&gt;=20,V207&lt;40,W207&lt;45),0.3,0)+IF(AND(V207&gt;=20,V207&lt;40,W207&gt;=45,W207&lt;95),0.23,0)+IF(AND(V207&gt;=20,V207&lt;40,W207&gt;=95,W207&lt;=150),0.17,0)+IF(AND(V207&gt;=20,V207&lt;40,W207&gt;=150),0.12,0)+IF(AND(V207&gt;=40,V207&lt;75,W207&lt;35),0.3,0)+IF(AND(V207&gt;=40,V207&lt;75,W207&gt;=35,W207&lt;75),0.23,0)+IF(AND(V207&gt;=40,V207&lt;75,W207&gt;=75,W207&lt;120),0.17,0)+IF(AND(V207&gt;=40,V207&lt;75,W207&gt;=120),0.12,0)+IF(AND(V207&gt;=75,V207&lt;175,W207&lt;35),0.3,0)+IF(AND(V207&gt;=75,V207&lt;=175,W207&gt;=35,W207&lt;65),0.23,0)+IF(AND(V207&gt;=75,V207&lt;=175,W207&gt;=65,W207&lt;110),0.17,0)+IF(AND(V207&gt;=75,V207&lt;=175,W207&gt;=110),0.12,0)+IF(AND(V207&gt;175,W207&lt;25),0.3,0)+IF(AND(V207&gt;175,W207&gt;=25,W207&lt;55),0.23,0)+IF(AND(V207&gt;175,W207&gt;=55,W207&lt;95),0.17,0)+IF(AND(V207&gt;175,W207&gt;=95),0.12,0),
IF(AF207="DoEVsu",IF(AND(V207&lt;20,W207&lt;55),0.3,0)+IF(AND(V207&lt;20,W207&gt;=55,W207&lt;105),0.23,0)+IF(AND(V207&lt;20,W207&gt;=105),0.17,0)+IF(AND(V207&gt;=20,V207&lt;40,W207&lt;45),0.3,0)+IF(AND(V207&gt;=20,V207&lt;40,W207&gt;=45,W207&lt;95),0.23,0)+IF(AND(V207&gt;=20,V207&lt;40,W207&gt;=95,W207&lt;=250),0.17,0)+IF(AND(V207&gt;=20,V207&lt;40,W207&gt;=250),0.12,0)+IF(AND(V207&gt;=40,V207&lt;75,W207&lt;35),0.3,0)+IF(AND(V207&gt;=40,V207&lt;75,W207&gt;=35,W207&lt;75),0.23,0)+IF(AND(V207&gt;=40,V207&lt;75,W207&gt;=75,W207&lt;120),0.17,0)+IF(AND(V207&gt;=40,V207&lt;75,W207&gt;=120),0.12,0)+IF(AND(V207&gt;=75,V207&lt;175,W207&lt;35),0.3,0)+IF(AND(V207&gt;=75,V207&lt;=175,W207&gt;=35,W207&lt;65),0.23,0)+IF(AND(V207&gt;=75,V207&lt;=175,W207&gt;=65,W207&lt;110),0.17,0)+IF(AND(V207&gt;=75,V207&lt;=175,W207&gt;=110),0.12,0)+IF(AND(V207&gt;175,W207&lt;25),0.3,0)+IF(AND(V207&gt;175,W207&gt;=25,W207&lt;55),0.23,0)+IF(AND(V207&gt;175,W207&gt;=55,W207&lt;95),0.17,0)+IF(AND(V207&gt;175,W207&gt;=95),0.12,0),
IF(AF207="DoEVni",IF(AND(V207&lt;20,W207&lt;55),0.3,0)+IF(AND(V207&lt;20,W207&gt;=55,W207&lt;105),0.23,0)+IF(AND(V207&lt;20,W207&gt;=105),0.17,0)+IF(AND(V207&gt;=20,V207&lt;40,W207&lt;45),0.3,0)+IF(AND(V207&gt;=20,V207&lt;40,W207&gt;=45,W207&lt;95),0.23,0)+IF(AND(V207&gt;=20,V207&lt;40,W207&gt;=95,W207&lt;=200),0.17,0)+IF(AND(V207&gt;=20,V207&lt;40,W207&gt;=200),0.12,0)+IF(AND(V207&gt;=40,V207&lt;75,W207&lt;35),0.3,0)+IF(AND(V207&gt;=40,V207&lt;75,W207&gt;=35,W207&lt;75),0.23,0)+IF(AND(V207&gt;=40,V207&lt;75,W207&gt;=75,W207&lt;120),0.17,0)+IF(AND(V207&gt;=40,V207&lt;75,W207&gt;=120),0.12,0)+IF(AND(V207&gt;=75,V207&lt;175,W207&lt;35),0.3,0)+IF(AND(V207&gt;=75,V207&lt;=175,W207&gt;=35,W207&lt;65),0.23,0)+IF(AND(V207&gt;=75,V207&lt;=175,W207&gt;=65,W207&lt;110),0.17,0)+IF(AND(V207&gt;=75,V207&lt;=175,W207&gt;=110),0.12,0)+IF(AND(V207&gt;175,W207&lt;25),0.3,0)+IF(AND(V207&gt;175,W207&gt;=25,W207&lt;55),0.23,0)+IF(AND(V207&gt;175,W207&gt;=55,W207&lt;95),0.17,0)+IF(AND(V207&gt;175,W207&gt;=95),0.12,0),
IF(AF207="DoEVLo",IF(AND(V207&lt;20,W207&lt;55),0.25,0)+IF(AND(V207&lt;20,W207&gt;=55,W207&lt;105),0.2,0)+IF(AND(V207&lt;20,W207&gt;=105),0.15,0)+IF(AND(V207&gt;=20,V207&lt;40,W207&lt;45),0.25,0)+IF(AND(V207&gt;=20,V207&lt;40,W207&gt;=45,W207&lt;95),0.2,0)+IF(AND(V207&gt;=20,V207&lt;40,W207&gt;=95),0.15,0)+IF(AND(V207&gt;=40,V207&lt;75,W207&lt;35),0.25,0)+IF(AND(V207&gt;=40,V207&lt;75,W207&gt;=35,W207&lt;75),0.2,0)+IF(AND(V207&gt;=40,V207&lt;75,W207&gt;=75,W207&lt;120),0.15,0)+IF(AND(V207&gt;=40,V207&lt;75,W207&gt;=120),0.1,0)+IF(AND(V207&gt;=75,V207&lt;175,W207&lt;35),0.25,0)+IF(AND(V207&gt;=75,V207&lt;=175,W207&gt;=35,W207&lt;65),0.2,0)+IF(AND(V207&gt;=75,V207&lt;=175,W207&gt;=65,W207&lt;110),0.15,0)+IF(AND(V207&gt;=75,V207&lt;=175,W207&gt;=110),0.1,0)+IF(AND(V207&gt;175,W207&lt;25),0.25,0)+IF(AND(V207&gt;175,W207&gt;=25,W207&lt;55),0.2,0)+IF(AND(V207&gt;175,W207&gt;=55,W207&lt;95),0.15,0)+IF(AND(V207&gt;175,W207&gt;=95),0.1,0))))))))))))))))</f>
        <v>0.3</v>
      </c>
      <c r="Y207" s="78">
        <f>IF(AG207="None",0,IF(AG207="Fix5",0.05,IF(AG207="Fix3.75",0.0375,IF(AG207="Fix10",0.1,IF(AG207="Fix3",0.03,0)))))</f>
        <v>0</v>
      </c>
      <c r="Z207" s="59">
        <f>T207-AA207-AB207</f>
        <v>200.9</v>
      </c>
      <c r="AA207" s="60">
        <f>IF(AD207="EUR",((T207-R207)*X207)*U207+(R207*X207),(T207*X207))</f>
        <v>86.1</v>
      </c>
      <c r="AB207" s="36">
        <f>IF(AD207="EUR",((T207-R207)*Y207)*U207+(R207*Y207),(T207*Y207))</f>
        <v>0</v>
      </c>
      <c r="AC207" s="37" t="b">
        <v>1</v>
      </c>
      <c r="AD207" s="61" t="s">
        <v>38</v>
      </c>
      <c r="AE207" s="61" t="s">
        <v>38</v>
      </c>
      <c r="AF207" s="37" t="str">
        <f t="array" ref="AF207">INDEX('Deal Info'!D:D, MATCH(A207,'Deal Info'!A:A, 0))</f>
        <v>SF</v>
      </c>
      <c r="AG207" s="38" t="str">
        <f t="array" ref="AG207">INDEX('Deal Info'!G:G, MATCH(A207,'Deal Info'!A:A, 0))</f>
        <v>None</v>
      </c>
    </row>
    <row r="208" spans="1:33" ht="14.25" hidden="1" x14ac:dyDescent="0.2">
      <c r="A208" s="18" t="str">
        <f t="array" ref="A208">IF(G208='Room Info'!$B$1, INDEX('Room Info'!$A$2:$A2446, MATCH(B208,'Room Info'!$B$2:$B2446, 0)),IF(G208='Room Info'!$C$1, INDEX('Room Info'!$A$2:$A2446, MATCH(B208,'Room Info'!$C$2:$C2446, 0)),IF(G208='Room Info'!$D$1, INDEX('Room Info'!$A$2:$A2446, MATCH(B208,'Room Info'!$D$2:$D2446, 0)),IF(G208='Room Info'!$E$1, INDEX('Room Info'!$A$2:$A2446, MATCH(B208,'Room Info'!$E$2:$E2446, 0)),IF(G208='Room Info'!$F$1, INDEX('Room Info'!$A$2:$A2446, MATCH(B208,'Room Info'!$F$2:$F2446, 0)),IF(G208='Room Info'!$H$1, INDEX('Room Info'!$A$2:$A2446, MATCH(B208,'Room Info'!$H$2:$H2446, 0)),IF(G208='Room Info'!$G$1, INDEX('Room Info'!$A$2:$A2446, MATCH(B208,'Room Info'!$G$2:$G2446, 0)))))))))</f>
        <v>Lo4io</v>
      </c>
      <c r="B208" s="45" t="s">
        <v>102</v>
      </c>
      <c r="C208" s="77">
        <v>44672</v>
      </c>
      <c r="D208" s="77">
        <v>44701</v>
      </c>
      <c r="E208" s="47">
        <v>44682</v>
      </c>
      <c r="F208" s="48" t="s">
        <v>34</v>
      </c>
      <c r="G208" s="45" t="s">
        <v>35</v>
      </c>
      <c r="H208" s="49" t="s">
        <v>46</v>
      </c>
      <c r="I208" s="49" t="s">
        <v>37</v>
      </c>
      <c r="J208" s="74">
        <v>25</v>
      </c>
      <c r="K208" s="75">
        <v>51</v>
      </c>
      <c r="L208" s="72">
        <v>175</v>
      </c>
      <c r="M208" s="53">
        <v>214</v>
      </c>
      <c r="N208" s="28">
        <f>K208*J208</f>
        <v>1275</v>
      </c>
      <c r="O208" s="45">
        <v>3448</v>
      </c>
      <c r="P208" s="29">
        <v>67.60784314</v>
      </c>
      <c r="Q208" s="55"/>
      <c r="R208" s="31">
        <f>M208+Q208</f>
        <v>214</v>
      </c>
      <c r="S208" s="73">
        <v>79</v>
      </c>
      <c r="T208" s="32">
        <f>R208+S208+IF(F208="Without EV deal",L208,0)</f>
        <v>293</v>
      </c>
      <c r="U208" s="57">
        <v>1</v>
      </c>
      <c r="V208" s="69">
        <v>27.072653884964684</v>
      </c>
      <c r="W208" s="69">
        <v>68.039136755003909</v>
      </c>
      <c r="X208" s="30">
        <f>IF(AF208="DoEV",IF(AND(V208&lt;20,W208&lt;55),0.3,0)+IF(AND(V208&lt;20,W208&gt;=55,W208&lt;105),0.23,0)+IF(AND(V208&lt;20,W208&gt;=105),0.17,0)+IF(AND(V208&gt;=20,V208&lt;40,W208&lt;45),0.3,0)+IF(AND(V208&gt;=20,V208&lt;40,W208&gt;=45,W208&lt;95),0.23,0)+IF(AND(V208&gt;=20,V208&lt;40,W208&gt;=95),0.17,0)+IF(AND(V208&gt;=40,V208&lt;75,W208&lt;35),0.3,0)+IF(AND(V208&gt;=40,V208&lt;75,W208&gt;=35,W208&lt;75),0.23,0)+IF(AND(V208&gt;=40,V208&lt;75,W208&gt;=75,W208&lt;120),0.17,0)+IF(AND(V208&gt;=40,V208&lt;75,W208&gt;=120),0.12,0)+IF(AND(V208&gt;=75,V208&lt;175,W208&lt;35),0.3,0)+IF(AND(V208&gt;=75,V208&lt;=175,W208&gt;=35,W208&lt;65),0.23,0)+IF(AND(V208&gt;=75,V208&lt;=175,W208&gt;=65,W208&lt;110),0.17,0)+IF(AND(V208&gt;=75,V208&lt;=175,W208&gt;=110),0.12,0)+IF(AND(V208&gt;175,W208&lt;25),0.3,0)+IF(AND(V208&gt;175,W208&gt;=25,W208&lt;55),0.23,0)+IF(AND(V208&gt;175,W208&gt;=55,W208&lt;95),0.17,0)+IF(AND(V208&gt;175,W208&gt;=95),0.12,0),
IF(AF208="Fix15",0.15,
IF(AF208="Fix11.25",0.1125,
IF(AF208="Fix10",0.1,
IF(AF208="Fix9",0.09,
IF(AF208="DoEV2017",IF(AND(W208&lt;74),0.2,0)+IF(AND(W208&gt;=74),0.17,0),
IF(AF208="SF",IF(AND(V208&lt;20,W208&lt;89),0.3,0)+IF(AND(V208&lt;20,W208&gt;=89),0.25,0)+IF(AND(V208&gt;=20,V208&lt;40,W208&lt;74),0.3,0)+IF(AND(V208&gt;=20,V208&lt;40,W208&gt;=75),0.22,0)+IF(AND(V208&gt;=40,V208&lt;75,W208&lt;75),0.26,0)+IF(AND(V208&gt;=40,V208&lt;75,W208&gt;=75),0.22,0)+IF(V208&gt;=75,0.22,0),
IF(AF208="DoEVold",IF(AND(V208&lt;40,W208&lt;35),0.35,0)+IF(AND(V208&lt;40,W208&gt;=35,W208&lt;75),0.25,0)+IF(AND(V208&lt;40,W208&gt;=75),0.17,0)+IF(AND(V208&gt;=40,V208&lt;75,W208&lt;25),0.35,0)+IF(AND(V208&gt;=40,V208&lt;75,W208&gt;=25,W208&lt;65),0.25,0)+IF(AND(V208&gt;=40,V208&lt;75,W208&gt;=65,W208&lt;100),0.17,0)+IF(AND(V208&gt;=40,V208&lt;75,W208&gt;=100),0.1,0)+IF(AND(V208&gt;=75,W208&lt;25),0.35,0)+IF(AND(V208&gt;=75,W208&gt;=25,W208&lt;60),0.25,0)+IF(AND(V208&gt;=75,W208&gt;=60,W208&lt;95),0.17,0)+IF(AND(V208&gt;=75,W208&gt;=95),0.1,0),
IF(AF208="DoEVold15",IF(AND(V208&lt;=40,W208&lt;35),0.35,0)+IF(AND(V208&lt;=40,W208&gt;=35,W208&lt;75),0.25,0)+IF(AND(V208&lt;=40,W208&gt;=75,W208&lt;120),0.17,0)+IF(AND(V208&lt;=40,W208&gt;=120),0.15,0)+IF(AND(V208&gt;40,V208&lt;75,W208&lt;25),0.35,0)+IF(AND(V208&gt;=40,V208&lt;75,W208&gt;=25,W208&lt;65),0.25,0)+IF(AND(V208&gt;=40,V208&lt;75,W208&gt;=65,W208&lt;100),0.17,0)+IF(AND(V208&gt;=40,V208&lt;75,W208&gt;=100),0.1,0)+IF(AND(V208&gt;=75,W208&lt;25),0.35,0)+IF(AND(V208&gt;=75,W208&gt;=25,W208&lt;60),0.25,0)+IF(AND(V208&gt;=75,W208&gt;=60,W208&lt;95),0.17,0)+IF(AND(V208&gt;=75,W208&gt;=95),0.1,0),
IF(AF208="DoEVba",IF(AND(V208&lt;20,W208&lt;105),0.2,0)+IF(AND(V208&lt;20,W208&gt;=105),0.15,0)+IF(AND(V208&gt;=20,V208&lt;40,W208&lt;95),0.2,0)+IF(AND(V208&gt;=20,V208&lt;40,W208&gt;=95,W208&lt;150),0.15,0)+IF(AND(V208&gt;=20,V208&lt;40,W208&gt;=150),0.12,0)+IF(AND(V208&gt;=40,V208&lt;75,W208&lt;75),0.2,0)+IF(AND(V208&gt;=40,V208&lt;75,W208&gt;=75,W208&lt;120),0.15,0)+IF(AND(V208&gt;=40,V208&lt;75,W208&gt;=120),0.12,0)+IF(AND(V208&gt;=75,V208&lt;175,W208&lt;65),0.2,0)+IF(AND(V208&gt;=75,V208&lt;175,W208&gt;=65,W208&lt;110),0.15,0)+IF(AND(V208&gt;=75,V208&lt;175,W208&gt;=110),0.12,0)+IF(AND(V208&gt;=175,W208&lt;55),0.2,0)+IF(AND(V208&gt;=175,W208&gt;=55,W208&lt;95),0.15,0)+IF(AND(V208&gt;=175,W208&gt;=95),0.12,0),
IF(AF208="DoEVku",IF(AND(V208&lt;20,W208&lt;55),0.23,0)+IF(AND(V208&lt;20,W208&gt;=55,W208&lt;105),0.2,0)+IF(AND(V208&lt;20,W208&gt;=105),0.17,0)+IF(AND(V208&gt;=20,V208&lt;40,W208&lt;45),0.23,0)+IF(AND(V208&gt;=20,V208&lt;40,W208&gt;=45,W208&lt;95),0.2,0)+IF(AND(V208&gt;=20,V208&lt;40,W208&gt;=95,W208&lt;=150),0.17,0)+IF(AND(V208&gt;=20,V208&lt;40,W208&gt;=150),0.12,0)+IF(AND(V208&gt;=40,V208&lt;75,W208&lt;35),0.23,0)+IF(AND(V208&gt;=40,V208&lt;75,W208&gt;=35,W208&lt;75),0.2,0)+IF(AND(V208&gt;=40,V208&lt;75,W208&gt;=75,W208&lt;120),0.17,0)+IF(AND(V208&gt;=40,V208&lt;75,W208&gt;=120),0.12,0)+IF(AND(V208&gt;=75,V208&lt;175,W208&lt;35),0.23,0)+IF(AND(V208&gt;=75,V208&lt;=175,W208&gt;=35,W208&lt;65),0.2,0)+IF(AND(V208&gt;=75,V208&lt;=175,W208&gt;=65,W208&lt;110),0.17,0)+IF(AND(V208&gt;=75,V208&lt;=175,W208&gt;=110),0.12,0)+IF(AND(V208&gt;175,W208&lt;25),0.23,0)+IF(AND(V208&gt;175,W208&gt;=25,W208&lt;55),0.2,0)+IF(AND(V208&gt;175,W208&gt;=55,W208&lt;95),0.17,0)+IF(AND(V208&gt;175,W208&gt;=95),0.12,0),
IF(AF208="DoEVs1",IF(AND(V208&lt;20,W208&lt;55),0.3,0)+IF(AND(V208&lt;20,W208&gt;=55,W208&lt;105),0.23,0)+IF(AND(V208&lt;20,W208&gt;=105),0.17,0)+IF(AND(V208&gt;=20,V208&lt;40,W208&lt;45),0.3,0)+IF(AND(V208&gt;=20,V208&lt;40,W208&gt;=45,W208&lt;95),0.23,0)+IF(AND(V208&gt;=20,V208&lt;40,W208&gt;=95,W208&lt;=150),0.17,0)+IF(AND(V208&gt;=20,V208&lt;40,W208&gt;=150),0.12,0)+IF(AND(V208&gt;=40,V208&lt;75,W208&lt;35),0.3,0)+IF(AND(V208&gt;=40,V208&lt;75,W208&gt;=35,W208&lt;75),0.23,0)+IF(AND(V208&gt;=40,V208&lt;75,W208&gt;=75,W208&lt;120),0.17,0)+IF(AND(V208&gt;=40,V208&lt;75,W208&gt;=120),0.12,0)+IF(AND(V208&gt;=75,V208&lt;175,W208&lt;35),0.3,0)+IF(AND(V208&gt;=75,V208&lt;=175,W208&gt;=35,W208&lt;65),0.23,0)+IF(AND(V208&gt;=75,V208&lt;=175,W208&gt;=65,W208&lt;110),0.17,0)+IF(AND(V208&gt;=75,V208&lt;=175,W208&gt;=110),0.12,0)+IF(AND(V208&gt;175,W208&lt;25),0.3,0)+IF(AND(V208&gt;175,W208&gt;=25,W208&lt;55),0.23,0)+IF(AND(V208&gt;175,W208&gt;=55,W208&lt;95),0.17,0)+IF(AND(V208&gt;175,W208&gt;=95),0.12,0),
IF(AF208="DoEVsu",IF(AND(V208&lt;20,W208&lt;55),0.3,0)+IF(AND(V208&lt;20,W208&gt;=55,W208&lt;105),0.23,0)+IF(AND(V208&lt;20,W208&gt;=105),0.17,0)+IF(AND(V208&gt;=20,V208&lt;40,W208&lt;45),0.3,0)+IF(AND(V208&gt;=20,V208&lt;40,W208&gt;=45,W208&lt;95),0.23,0)+IF(AND(V208&gt;=20,V208&lt;40,W208&gt;=95,W208&lt;=250),0.17,0)+IF(AND(V208&gt;=20,V208&lt;40,W208&gt;=250),0.12,0)+IF(AND(V208&gt;=40,V208&lt;75,W208&lt;35),0.3,0)+IF(AND(V208&gt;=40,V208&lt;75,W208&gt;=35,W208&lt;75),0.23,0)+IF(AND(V208&gt;=40,V208&lt;75,W208&gt;=75,W208&lt;120),0.17,0)+IF(AND(V208&gt;=40,V208&lt;75,W208&gt;=120),0.12,0)+IF(AND(V208&gt;=75,V208&lt;175,W208&lt;35),0.3,0)+IF(AND(V208&gt;=75,V208&lt;=175,W208&gt;=35,W208&lt;65),0.23,0)+IF(AND(V208&gt;=75,V208&lt;=175,W208&gt;=65,W208&lt;110),0.17,0)+IF(AND(V208&gt;=75,V208&lt;=175,W208&gt;=110),0.12,0)+IF(AND(V208&gt;175,W208&lt;25),0.3,0)+IF(AND(V208&gt;175,W208&gt;=25,W208&lt;55),0.23,0)+IF(AND(V208&gt;175,W208&gt;=55,W208&lt;95),0.17,0)+IF(AND(V208&gt;175,W208&gt;=95),0.12,0),
IF(AF208="DoEVni",IF(AND(V208&lt;20,W208&lt;55),0.3,0)+IF(AND(V208&lt;20,W208&gt;=55,W208&lt;105),0.23,0)+IF(AND(V208&lt;20,W208&gt;=105),0.17,0)+IF(AND(V208&gt;=20,V208&lt;40,W208&lt;45),0.3,0)+IF(AND(V208&gt;=20,V208&lt;40,W208&gt;=45,W208&lt;95),0.23,0)+IF(AND(V208&gt;=20,V208&lt;40,W208&gt;=95,W208&lt;=200),0.17,0)+IF(AND(V208&gt;=20,V208&lt;40,W208&gt;=200),0.12,0)+IF(AND(V208&gt;=40,V208&lt;75,W208&lt;35),0.3,0)+IF(AND(V208&gt;=40,V208&lt;75,W208&gt;=35,W208&lt;75),0.23,0)+IF(AND(V208&gt;=40,V208&lt;75,W208&gt;=75,W208&lt;120),0.17,0)+IF(AND(V208&gt;=40,V208&lt;75,W208&gt;=120),0.12,0)+IF(AND(V208&gt;=75,V208&lt;175,W208&lt;35),0.3,0)+IF(AND(V208&gt;=75,V208&lt;=175,W208&gt;=35,W208&lt;65),0.23,0)+IF(AND(V208&gt;=75,V208&lt;=175,W208&gt;=65,W208&lt;110),0.17,0)+IF(AND(V208&gt;=75,V208&lt;=175,W208&gt;=110),0.12,0)+IF(AND(V208&gt;175,W208&lt;25),0.3,0)+IF(AND(V208&gt;175,W208&gt;=25,W208&lt;55),0.23,0)+IF(AND(V208&gt;175,W208&gt;=55,W208&lt;95),0.17,0)+IF(AND(V208&gt;175,W208&gt;=95),0.12,0),
IF(AF208="DoEVLo",IF(AND(V208&lt;20,W208&lt;55),0.25,0)+IF(AND(V208&lt;20,W208&gt;=55,W208&lt;105),0.2,0)+IF(AND(V208&lt;20,W208&gt;=105),0.15,0)+IF(AND(V208&gt;=20,V208&lt;40,W208&lt;45),0.25,0)+IF(AND(V208&gt;=20,V208&lt;40,W208&gt;=45,W208&lt;95),0.2,0)+IF(AND(V208&gt;=20,V208&lt;40,W208&gt;=95),0.15,0)+IF(AND(V208&gt;=40,V208&lt;75,W208&lt;35),0.25,0)+IF(AND(V208&gt;=40,V208&lt;75,W208&gt;=35,W208&lt;75),0.2,0)+IF(AND(V208&gt;=40,V208&lt;75,W208&gt;=75,W208&lt;120),0.15,0)+IF(AND(V208&gt;=40,V208&lt;75,W208&gt;=120),0.1,0)+IF(AND(V208&gt;=75,V208&lt;175,W208&lt;35),0.25,0)+IF(AND(V208&gt;=75,V208&lt;=175,W208&gt;=35,W208&lt;65),0.2,0)+IF(AND(V208&gt;=75,V208&lt;=175,W208&gt;=65,W208&lt;110),0.15,0)+IF(AND(V208&gt;=75,V208&lt;=175,W208&gt;=110),0.1,0)+IF(AND(V208&gt;175,W208&lt;25),0.25,0)+IF(AND(V208&gt;175,W208&gt;=25,W208&lt;55),0.2,0)+IF(AND(V208&gt;175,W208&gt;=55,W208&lt;95),0.15,0)+IF(AND(V208&gt;175,W208&gt;=95),0.1,0))))))))))))))))</f>
        <v>0.2</v>
      </c>
      <c r="Y208" s="30">
        <f>IF(AG208="None",0,IF(AG208="Fix5",0.05,IF(AG208="Fix3.75",0.0375,IF(AG208="Fix10",0.1,IF(AG208="Fix3",0.03,0)))))</f>
        <v>0</v>
      </c>
      <c r="Z208" s="35">
        <f>T208-AA208-AB208</f>
        <v>234.4</v>
      </c>
      <c r="AA208" s="29">
        <f>IF(AD208="EUR",((T208-R208)*X208)*U208+(R208*X208),(T208*X208))</f>
        <v>58.6</v>
      </c>
      <c r="AB208" s="36">
        <f>IF(AD208="EUR",((T208-R208)*Y208)*U208+(R208*Y208),(T208*Y208))</f>
        <v>0</v>
      </c>
      <c r="AC208" s="37" t="b">
        <v>1</v>
      </c>
      <c r="AD208" s="37" t="s">
        <v>38</v>
      </c>
      <c r="AE208" s="37" t="s">
        <v>38</v>
      </c>
      <c r="AF208" s="37" t="str">
        <f t="array" ref="AF208">INDEX('Deal Info'!D:D, MATCH(A208,'Deal Info'!A:A, 0))</f>
        <v>DoEVLo</v>
      </c>
      <c r="AG208" s="38" t="str">
        <f t="array" ref="AG208">INDEX('Deal Info'!G:G, MATCH(A208,'Deal Info'!A:A, 0))</f>
        <v>None</v>
      </c>
    </row>
    <row r="209" spans="1:33" ht="14.25" hidden="1" x14ac:dyDescent="0.2">
      <c r="A209" s="18" t="str">
        <f t="array" ref="A209">IF(G209='Room Info'!$B$1, INDEX('Room Info'!$A$2:$A2446, MATCH(B209,'Room Info'!$B$2:$B2446, 0)),IF(G209='Room Info'!$C$1, INDEX('Room Info'!$A$2:$A2446, MATCH(B209,'Room Info'!$C$2:$C2446, 0)),IF(G209='Room Info'!$D$1, INDEX('Room Info'!$A$2:$A2446, MATCH(B209,'Room Info'!$D$2:$D2446, 0)),IF(G209='Room Info'!$E$1, INDEX('Room Info'!$A$2:$A2446, MATCH(B209,'Room Info'!$E$2:$E2446, 0)),IF(G209='Room Info'!$F$1, INDEX('Room Info'!$A$2:$A2446, MATCH(B209,'Room Info'!$F$2:$F2446, 0)),IF(G209='Room Info'!$H$1, INDEX('Room Info'!$A$2:$A2446, MATCH(B209,'Room Info'!$H$2:$H2446, 0)),IF(G209='Room Info'!$G$1, INDEX('Room Info'!$A$2:$A2446, MATCH(B209,'Room Info'!$G$2:$G2446, 0)))))))))</f>
        <v>Lo4io</v>
      </c>
      <c r="B209" s="45" t="s">
        <v>102</v>
      </c>
      <c r="C209" s="77">
        <v>44672</v>
      </c>
      <c r="D209" s="77">
        <v>44701</v>
      </c>
      <c r="E209" s="47">
        <v>44682</v>
      </c>
      <c r="F209" s="48" t="s">
        <v>34</v>
      </c>
      <c r="G209" s="45" t="s">
        <v>35</v>
      </c>
      <c r="H209" s="49" t="s">
        <v>72</v>
      </c>
      <c r="I209" s="49" t="s">
        <v>37</v>
      </c>
      <c r="J209" s="74">
        <v>50</v>
      </c>
      <c r="K209" s="75">
        <v>28</v>
      </c>
      <c r="L209" s="72">
        <v>0</v>
      </c>
      <c r="M209" s="53">
        <v>235</v>
      </c>
      <c r="N209" s="28">
        <f>K209*J209</f>
        <v>1400</v>
      </c>
      <c r="O209" s="45">
        <v>780</v>
      </c>
      <c r="P209" s="29">
        <v>27.85714286</v>
      </c>
      <c r="Q209" s="55"/>
      <c r="R209" s="31">
        <f>M209+Q209</f>
        <v>235</v>
      </c>
      <c r="S209" s="73">
        <v>-16</v>
      </c>
      <c r="T209" s="32">
        <f>R209+S209+IF(F209="Without EV deal",L209,0)</f>
        <v>219</v>
      </c>
      <c r="U209" s="57">
        <v>1</v>
      </c>
      <c r="V209" s="69">
        <v>27.072653884964684</v>
      </c>
      <c r="W209" s="69">
        <v>68.039136755003909</v>
      </c>
      <c r="X209" s="30">
        <f>IF(AF209="DoEV",IF(AND(V209&lt;20,W209&lt;55),0.3,0)+IF(AND(V209&lt;20,W209&gt;=55,W209&lt;105),0.23,0)+IF(AND(V209&lt;20,W209&gt;=105),0.17,0)+IF(AND(V209&gt;=20,V209&lt;40,W209&lt;45),0.3,0)+IF(AND(V209&gt;=20,V209&lt;40,W209&gt;=45,W209&lt;95),0.23,0)+IF(AND(V209&gt;=20,V209&lt;40,W209&gt;=95),0.17,0)+IF(AND(V209&gt;=40,V209&lt;75,W209&lt;35),0.3,0)+IF(AND(V209&gt;=40,V209&lt;75,W209&gt;=35,W209&lt;75),0.23,0)+IF(AND(V209&gt;=40,V209&lt;75,W209&gt;=75,W209&lt;120),0.17,0)+IF(AND(V209&gt;=40,V209&lt;75,W209&gt;=120),0.12,0)+IF(AND(V209&gt;=75,V209&lt;175,W209&lt;35),0.3,0)+IF(AND(V209&gt;=75,V209&lt;=175,W209&gt;=35,W209&lt;65),0.23,0)+IF(AND(V209&gt;=75,V209&lt;=175,W209&gt;=65,W209&lt;110),0.17,0)+IF(AND(V209&gt;=75,V209&lt;=175,W209&gt;=110),0.12,0)+IF(AND(V209&gt;175,W209&lt;25),0.3,0)+IF(AND(V209&gt;175,W209&gt;=25,W209&lt;55),0.23,0)+IF(AND(V209&gt;175,W209&gt;=55,W209&lt;95),0.17,0)+IF(AND(V209&gt;175,W209&gt;=95),0.12,0),
IF(AF209="Fix15",0.15,
IF(AF209="Fix11.25",0.1125,
IF(AF209="Fix10",0.1,
IF(AF209="Fix9",0.09,
IF(AF209="DoEV2017",IF(AND(W209&lt;74),0.2,0)+IF(AND(W209&gt;=74),0.17,0),
IF(AF209="SF",IF(AND(V209&lt;20,W209&lt;89),0.3,0)+IF(AND(V209&lt;20,W209&gt;=89),0.25,0)+IF(AND(V209&gt;=20,V209&lt;40,W209&lt;74),0.3,0)+IF(AND(V209&gt;=20,V209&lt;40,W209&gt;=75),0.22,0)+IF(AND(V209&gt;=40,V209&lt;75,W209&lt;75),0.26,0)+IF(AND(V209&gt;=40,V209&lt;75,W209&gt;=75),0.22,0)+IF(V209&gt;=75,0.22,0),
IF(AF209="DoEVold",IF(AND(V209&lt;40,W209&lt;35),0.35,0)+IF(AND(V209&lt;40,W209&gt;=35,W209&lt;75),0.25,0)+IF(AND(V209&lt;40,W209&gt;=75),0.17,0)+IF(AND(V209&gt;=40,V209&lt;75,W209&lt;25),0.35,0)+IF(AND(V209&gt;=40,V209&lt;75,W209&gt;=25,W209&lt;65),0.25,0)+IF(AND(V209&gt;=40,V209&lt;75,W209&gt;=65,W209&lt;100),0.17,0)+IF(AND(V209&gt;=40,V209&lt;75,W209&gt;=100),0.1,0)+IF(AND(V209&gt;=75,W209&lt;25),0.35,0)+IF(AND(V209&gt;=75,W209&gt;=25,W209&lt;60),0.25,0)+IF(AND(V209&gt;=75,W209&gt;=60,W209&lt;95),0.17,0)+IF(AND(V209&gt;=75,W209&gt;=95),0.1,0),
IF(AF209="DoEVold15",IF(AND(V209&lt;=40,W209&lt;35),0.35,0)+IF(AND(V209&lt;=40,W209&gt;=35,W209&lt;75),0.25,0)+IF(AND(V209&lt;=40,W209&gt;=75,W209&lt;120),0.17,0)+IF(AND(V209&lt;=40,W209&gt;=120),0.15,0)+IF(AND(V209&gt;40,V209&lt;75,W209&lt;25),0.35,0)+IF(AND(V209&gt;=40,V209&lt;75,W209&gt;=25,W209&lt;65),0.25,0)+IF(AND(V209&gt;=40,V209&lt;75,W209&gt;=65,W209&lt;100),0.17,0)+IF(AND(V209&gt;=40,V209&lt;75,W209&gt;=100),0.1,0)+IF(AND(V209&gt;=75,W209&lt;25),0.35,0)+IF(AND(V209&gt;=75,W209&gt;=25,W209&lt;60),0.25,0)+IF(AND(V209&gt;=75,W209&gt;=60,W209&lt;95),0.17,0)+IF(AND(V209&gt;=75,W209&gt;=95),0.1,0),
IF(AF209="DoEVba",IF(AND(V209&lt;20,W209&lt;105),0.2,0)+IF(AND(V209&lt;20,W209&gt;=105),0.15,0)+IF(AND(V209&gt;=20,V209&lt;40,W209&lt;95),0.2,0)+IF(AND(V209&gt;=20,V209&lt;40,W209&gt;=95,W209&lt;150),0.15,0)+IF(AND(V209&gt;=20,V209&lt;40,W209&gt;=150),0.12,0)+IF(AND(V209&gt;=40,V209&lt;75,W209&lt;75),0.2,0)+IF(AND(V209&gt;=40,V209&lt;75,W209&gt;=75,W209&lt;120),0.15,0)+IF(AND(V209&gt;=40,V209&lt;75,W209&gt;=120),0.12,0)+IF(AND(V209&gt;=75,V209&lt;175,W209&lt;65),0.2,0)+IF(AND(V209&gt;=75,V209&lt;175,W209&gt;=65,W209&lt;110),0.15,0)+IF(AND(V209&gt;=75,V209&lt;175,W209&gt;=110),0.12,0)+IF(AND(V209&gt;=175,W209&lt;55),0.2,0)+IF(AND(V209&gt;=175,W209&gt;=55,W209&lt;95),0.15,0)+IF(AND(V209&gt;=175,W209&gt;=95),0.12,0),
IF(AF209="DoEVku",IF(AND(V209&lt;20,W209&lt;55),0.23,0)+IF(AND(V209&lt;20,W209&gt;=55,W209&lt;105),0.2,0)+IF(AND(V209&lt;20,W209&gt;=105),0.17,0)+IF(AND(V209&gt;=20,V209&lt;40,W209&lt;45),0.23,0)+IF(AND(V209&gt;=20,V209&lt;40,W209&gt;=45,W209&lt;95),0.2,0)+IF(AND(V209&gt;=20,V209&lt;40,W209&gt;=95,W209&lt;=150),0.17,0)+IF(AND(V209&gt;=20,V209&lt;40,W209&gt;=150),0.12,0)+IF(AND(V209&gt;=40,V209&lt;75,W209&lt;35),0.23,0)+IF(AND(V209&gt;=40,V209&lt;75,W209&gt;=35,W209&lt;75),0.2,0)+IF(AND(V209&gt;=40,V209&lt;75,W209&gt;=75,W209&lt;120),0.17,0)+IF(AND(V209&gt;=40,V209&lt;75,W209&gt;=120),0.12,0)+IF(AND(V209&gt;=75,V209&lt;175,W209&lt;35),0.23,0)+IF(AND(V209&gt;=75,V209&lt;=175,W209&gt;=35,W209&lt;65),0.2,0)+IF(AND(V209&gt;=75,V209&lt;=175,W209&gt;=65,W209&lt;110),0.17,0)+IF(AND(V209&gt;=75,V209&lt;=175,W209&gt;=110),0.12,0)+IF(AND(V209&gt;175,W209&lt;25),0.23,0)+IF(AND(V209&gt;175,W209&gt;=25,W209&lt;55),0.2,0)+IF(AND(V209&gt;175,W209&gt;=55,W209&lt;95),0.17,0)+IF(AND(V209&gt;175,W209&gt;=95),0.12,0),
IF(AF209="DoEVs1",IF(AND(V209&lt;20,W209&lt;55),0.3,0)+IF(AND(V209&lt;20,W209&gt;=55,W209&lt;105),0.23,0)+IF(AND(V209&lt;20,W209&gt;=105),0.17,0)+IF(AND(V209&gt;=20,V209&lt;40,W209&lt;45),0.3,0)+IF(AND(V209&gt;=20,V209&lt;40,W209&gt;=45,W209&lt;95),0.23,0)+IF(AND(V209&gt;=20,V209&lt;40,W209&gt;=95,W209&lt;=150),0.17,0)+IF(AND(V209&gt;=20,V209&lt;40,W209&gt;=150),0.12,0)+IF(AND(V209&gt;=40,V209&lt;75,W209&lt;35),0.3,0)+IF(AND(V209&gt;=40,V209&lt;75,W209&gt;=35,W209&lt;75),0.23,0)+IF(AND(V209&gt;=40,V209&lt;75,W209&gt;=75,W209&lt;120),0.17,0)+IF(AND(V209&gt;=40,V209&lt;75,W209&gt;=120),0.12,0)+IF(AND(V209&gt;=75,V209&lt;175,W209&lt;35),0.3,0)+IF(AND(V209&gt;=75,V209&lt;=175,W209&gt;=35,W209&lt;65),0.23,0)+IF(AND(V209&gt;=75,V209&lt;=175,W209&gt;=65,W209&lt;110),0.17,0)+IF(AND(V209&gt;=75,V209&lt;=175,W209&gt;=110),0.12,0)+IF(AND(V209&gt;175,W209&lt;25),0.3,0)+IF(AND(V209&gt;175,W209&gt;=25,W209&lt;55),0.23,0)+IF(AND(V209&gt;175,W209&gt;=55,W209&lt;95),0.17,0)+IF(AND(V209&gt;175,W209&gt;=95),0.12,0),
IF(AF209="DoEVsu",IF(AND(V209&lt;20,W209&lt;55),0.3,0)+IF(AND(V209&lt;20,W209&gt;=55,W209&lt;105),0.23,0)+IF(AND(V209&lt;20,W209&gt;=105),0.17,0)+IF(AND(V209&gt;=20,V209&lt;40,W209&lt;45),0.3,0)+IF(AND(V209&gt;=20,V209&lt;40,W209&gt;=45,W209&lt;95),0.23,0)+IF(AND(V209&gt;=20,V209&lt;40,W209&gt;=95,W209&lt;=250),0.17,0)+IF(AND(V209&gt;=20,V209&lt;40,W209&gt;=250),0.12,0)+IF(AND(V209&gt;=40,V209&lt;75,W209&lt;35),0.3,0)+IF(AND(V209&gt;=40,V209&lt;75,W209&gt;=35,W209&lt;75),0.23,0)+IF(AND(V209&gt;=40,V209&lt;75,W209&gt;=75,W209&lt;120),0.17,0)+IF(AND(V209&gt;=40,V209&lt;75,W209&gt;=120),0.12,0)+IF(AND(V209&gt;=75,V209&lt;175,W209&lt;35),0.3,0)+IF(AND(V209&gt;=75,V209&lt;=175,W209&gt;=35,W209&lt;65),0.23,0)+IF(AND(V209&gt;=75,V209&lt;=175,W209&gt;=65,W209&lt;110),0.17,0)+IF(AND(V209&gt;=75,V209&lt;=175,W209&gt;=110),0.12,0)+IF(AND(V209&gt;175,W209&lt;25),0.3,0)+IF(AND(V209&gt;175,W209&gt;=25,W209&lt;55),0.23,0)+IF(AND(V209&gt;175,W209&gt;=55,W209&lt;95),0.17,0)+IF(AND(V209&gt;175,W209&gt;=95),0.12,0),
IF(AF209="DoEVni",IF(AND(V209&lt;20,W209&lt;55),0.3,0)+IF(AND(V209&lt;20,W209&gt;=55,W209&lt;105),0.23,0)+IF(AND(V209&lt;20,W209&gt;=105),0.17,0)+IF(AND(V209&gt;=20,V209&lt;40,W209&lt;45),0.3,0)+IF(AND(V209&gt;=20,V209&lt;40,W209&gt;=45,W209&lt;95),0.23,0)+IF(AND(V209&gt;=20,V209&lt;40,W209&gt;=95,W209&lt;=200),0.17,0)+IF(AND(V209&gt;=20,V209&lt;40,W209&gt;=200),0.12,0)+IF(AND(V209&gt;=40,V209&lt;75,W209&lt;35),0.3,0)+IF(AND(V209&gt;=40,V209&lt;75,W209&gt;=35,W209&lt;75),0.23,0)+IF(AND(V209&gt;=40,V209&lt;75,W209&gt;=75,W209&lt;120),0.17,0)+IF(AND(V209&gt;=40,V209&lt;75,W209&gt;=120),0.12,0)+IF(AND(V209&gt;=75,V209&lt;175,W209&lt;35),0.3,0)+IF(AND(V209&gt;=75,V209&lt;=175,W209&gt;=35,W209&lt;65),0.23,0)+IF(AND(V209&gt;=75,V209&lt;=175,W209&gt;=65,W209&lt;110),0.17,0)+IF(AND(V209&gt;=75,V209&lt;=175,W209&gt;=110),0.12,0)+IF(AND(V209&gt;175,W209&lt;25),0.3,0)+IF(AND(V209&gt;175,W209&gt;=25,W209&lt;55),0.23,0)+IF(AND(V209&gt;175,W209&gt;=55,W209&lt;95),0.17,0)+IF(AND(V209&gt;175,W209&gt;=95),0.12,0),
IF(AF209="DoEVLo",IF(AND(V209&lt;20,W209&lt;55),0.25,0)+IF(AND(V209&lt;20,W209&gt;=55,W209&lt;105),0.2,0)+IF(AND(V209&lt;20,W209&gt;=105),0.15,0)+IF(AND(V209&gt;=20,V209&lt;40,W209&lt;45),0.25,0)+IF(AND(V209&gt;=20,V209&lt;40,W209&gt;=45,W209&lt;95),0.2,0)+IF(AND(V209&gt;=20,V209&lt;40,W209&gt;=95),0.15,0)+IF(AND(V209&gt;=40,V209&lt;75,W209&lt;35),0.25,0)+IF(AND(V209&gt;=40,V209&lt;75,W209&gt;=35,W209&lt;75),0.2,0)+IF(AND(V209&gt;=40,V209&lt;75,W209&gt;=75,W209&lt;120),0.15,0)+IF(AND(V209&gt;=40,V209&lt;75,W209&gt;=120),0.1,0)+IF(AND(V209&gt;=75,V209&lt;175,W209&lt;35),0.25,0)+IF(AND(V209&gt;=75,V209&lt;=175,W209&gt;=35,W209&lt;65),0.2,0)+IF(AND(V209&gt;=75,V209&lt;=175,W209&gt;=65,W209&lt;110),0.15,0)+IF(AND(V209&gt;=75,V209&lt;=175,W209&gt;=110),0.1,0)+IF(AND(V209&gt;175,W209&lt;25),0.25,0)+IF(AND(V209&gt;175,W209&gt;=25,W209&lt;55),0.2,0)+IF(AND(V209&gt;175,W209&gt;=55,W209&lt;95),0.15,0)+IF(AND(V209&gt;175,W209&gt;=95),0.1,0))))))))))))))))</f>
        <v>0.2</v>
      </c>
      <c r="Y209" s="30">
        <f>IF(AG209="None",0,IF(AG209="Fix5",0.05,IF(AG209="Fix3.75",0.0375,IF(AG209="Fix10",0.1,IF(AG209="Fix3",0.03,0)))))</f>
        <v>0</v>
      </c>
      <c r="Z209" s="35">
        <f>T209-AA209-AB209</f>
        <v>175.2</v>
      </c>
      <c r="AA209" s="29">
        <f>IF(AD209="EUR",((T209-R209)*X209)*U209+(R209*X209),(T209*X209))</f>
        <v>43.800000000000004</v>
      </c>
      <c r="AB209" s="36">
        <f>IF(AD209="EUR",((T209-R209)*Y209)*U209+(R209*Y209),(T209*Y209))</f>
        <v>0</v>
      </c>
      <c r="AC209" s="37" t="b">
        <v>1</v>
      </c>
      <c r="AD209" s="37" t="s">
        <v>38</v>
      </c>
      <c r="AE209" s="37" t="s">
        <v>38</v>
      </c>
      <c r="AF209" s="37" t="str">
        <f t="array" ref="AF209">INDEX('Deal Info'!D:D, MATCH(A209,'Deal Info'!A:A, 0))</f>
        <v>DoEVLo</v>
      </c>
      <c r="AG209" s="38" t="str">
        <f t="array" ref="AG209">INDEX('Deal Info'!G:G, MATCH(A209,'Deal Info'!A:A, 0))</f>
        <v>None</v>
      </c>
    </row>
    <row r="210" spans="1:33" ht="14.25" x14ac:dyDescent="0.2">
      <c r="A210" s="18" t="str">
        <f t="array" ref="A210">IF(G210='Room Info'!$B$1, INDEX('Room Info'!$A$2:$A2446, MATCH(B210,'Room Info'!$B$2:$B2446, 0)),IF(G210='Room Info'!$C$1, INDEX('Room Info'!$A$2:$A2446, MATCH(B210,'Room Info'!$C$2:$C2446, 0)),IF(G210='Room Info'!$D$1, INDEX('Room Info'!$A$2:$A2446, MATCH(B210,'Room Info'!$D$2:$D2446, 0)),IF(G210='Room Info'!$E$1, INDEX('Room Info'!$A$2:$A2446, MATCH(B210,'Room Info'!$E$2:$E2446, 0)),IF(G210='Room Info'!$F$1, INDEX('Room Info'!$A$2:$A2446, MATCH(B210,'Room Info'!$F$2:$F2446, 0)),IF(G210='Room Info'!$H$1, INDEX('Room Info'!$A$2:$A2446, MATCH(B210,'Room Info'!$H$2:$H2446, 0)),IF(G210='Room Info'!$G$1, INDEX('Room Info'!$A$2:$A2446, MATCH(B210,'Room Info'!$G$2:$G2446, 0)))))))))</f>
        <v>Freedoom</v>
      </c>
      <c r="B210" s="45" t="s">
        <v>110</v>
      </c>
      <c r="C210" s="46">
        <v>44621</v>
      </c>
      <c r="D210" s="46">
        <v>44651</v>
      </c>
      <c r="E210" s="47">
        <v>44621</v>
      </c>
      <c r="F210" s="133" t="s">
        <v>49</v>
      </c>
      <c r="G210" s="129" t="s">
        <v>61</v>
      </c>
      <c r="H210" s="49" t="s">
        <v>65</v>
      </c>
      <c r="I210" s="49" t="s">
        <v>37</v>
      </c>
      <c r="J210" s="70">
        <v>25</v>
      </c>
      <c r="K210" s="71">
        <v>537</v>
      </c>
      <c r="L210" s="52">
        <v>-925</v>
      </c>
      <c r="M210" s="53">
        <v>8</v>
      </c>
      <c r="N210" s="28">
        <f>K210*J210</f>
        <v>13425</v>
      </c>
      <c r="O210" s="54">
        <v>37822</v>
      </c>
      <c r="P210" s="29">
        <v>70.432029799999995</v>
      </c>
      <c r="Q210" s="55"/>
      <c r="R210" s="31">
        <f>M210+Q210</f>
        <v>8</v>
      </c>
      <c r="S210" s="56">
        <v>516</v>
      </c>
      <c r="T210" s="32">
        <f>R210+S210+IF(F210="Without EV deal",L210,0)</f>
        <v>524</v>
      </c>
      <c r="U210" s="57">
        <v>1</v>
      </c>
      <c r="V210" s="58"/>
      <c r="W210" s="58"/>
      <c r="X210" s="78">
        <f>IF(AF210="DoEV",IF(AND(V210&lt;20,W210&lt;55),0.3,0)+IF(AND(V210&lt;20,W210&gt;=55,W210&lt;105),0.23,0)+IF(AND(V210&lt;20,W210&gt;=105),0.17,0)+IF(AND(V210&gt;=20,V210&lt;40,W210&lt;45),0.3,0)+IF(AND(V210&gt;=20,V210&lt;40,W210&gt;=45,W210&lt;95),0.23,0)+IF(AND(V210&gt;=20,V210&lt;40,W210&gt;=95),0.17,0)+IF(AND(V210&gt;=40,V210&lt;75,W210&lt;35),0.3,0)+IF(AND(V210&gt;=40,V210&lt;75,W210&gt;=35,W210&lt;75),0.23,0)+IF(AND(V210&gt;=40,V210&lt;75,W210&gt;=75,W210&lt;120),0.17,0)+IF(AND(V210&gt;=40,V210&lt;75,W210&gt;=120),0.12,0)+IF(AND(V210&gt;=75,V210&lt;175,W210&lt;35),0.3,0)+IF(AND(V210&gt;=75,V210&lt;=175,W210&gt;=35,W210&lt;65),0.23,0)+IF(AND(V210&gt;=75,V210&lt;=175,W210&gt;=65,W210&lt;110),0.17,0)+IF(AND(V210&gt;=75,V210&lt;=175,W210&gt;=110),0.12,0)+IF(AND(V210&gt;175,W210&lt;25),0.3,0)+IF(AND(V210&gt;175,W210&gt;=25,W210&lt;55),0.23,0)+IF(AND(V210&gt;175,W210&gt;=55,W210&lt;95),0.17,0)+IF(AND(V210&gt;175,W210&gt;=95),0.12,0),
IF(AF210="Fix15",0.15,
IF(AF210="Fix11.25",0.1125,
IF(AF210="Fix10",0.1,
IF(AF210="Fix9",0.09,
IF(AF210="DoEV2017",IF(AND(W210&lt;74),0.2,0)+IF(AND(W210&gt;=74),0.17,0),
IF(AF210="SF",IF(AND(V210&lt;20,W210&lt;89),0.3,0)+IF(AND(V210&lt;20,W210&gt;=89),0.25,0)+IF(AND(V210&gt;=20,V210&lt;40,W210&lt;74),0.3,0)+IF(AND(V210&gt;=20,V210&lt;40,W210&gt;=75),0.22,0)+IF(AND(V210&gt;=40,V210&lt;75,W210&lt;75),0.26,0)+IF(AND(V210&gt;=40,V210&lt;75,W210&gt;=75),0.22,0)+IF(V210&gt;=75,0.22,0),
IF(AF210="DoEVold",IF(AND(V210&lt;40,W210&lt;35),0.35,0)+IF(AND(V210&lt;40,W210&gt;=35,W210&lt;75),0.25,0)+IF(AND(V210&lt;40,W210&gt;=75),0.17,0)+IF(AND(V210&gt;=40,V210&lt;75,W210&lt;25),0.35,0)+IF(AND(V210&gt;=40,V210&lt;75,W210&gt;=25,W210&lt;65),0.25,0)+IF(AND(V210&gt;=40,V210&lt;75,W210&gt;=65,W210&lt;100),0.17,0)+IF(AND(V210&gt;=40,V210&lt;75,W210&gt;=100),0.1,0)+IF(AND(V210&gt;=75,W210&lt;25),0.35,0)+IF(AND(V210&gt;=75,W210&gt;=25,W210&lt;60),0.25,0)+IF(AND(V210&gt;=75,W210&gt;=60,W210&lt;95),0.17,0)+IF(AND(V210&gt;=75,W210&gt;=95),0.1,0),
IF(AF210="DoEVold15",IF(AND(V210&lt;=40,W210&lt;35),0.35,0)+IF(AND(V210&lt;=40,W210&gt;=35,W210&lt;75),0.25,0)+IF(AND(V210&lt;=40,W210&gt;=75,W210&lt;120),0.17,0)+IF(AND(V210&lt;=40,W210&gt;=120),0.15,0)+IF(AND(V210&gt;40,V210&lt;75,W210&lt;25),0.35,0)+IF(AND(V210&gt;=40,V210&lt;75,W210&gt;=25,W210&lt;65),0.25,0)+IF(AND(V210&gt;=40,V210&lt;75,W210&gt;=65,W210&lt;100),0.17,0)+IF(AND(V210&gt;=40,V210&lt;75,W210&gt;=100),0.1,0)+IF(AND(V210&gt;=75,W210&lt;25),0.35,0)+IF(AND(V210&gt;=75,W210&gt;=25,W210&lt;60),0.25,0)+IF(AND(V210&gt;=75,W210&gt;=60,W210&lt;95),0.17,0)+IF(AND(V210&gt;=75,W210&gt;=95),0.1,0),
IF(AF210="DoEVba",IF(AND(V210&lt;20,W210&lt;105),0.2,0)+IF(AND(V210&lt;20,W210&gt;=105),0.15,0)+IF(AND(V210&gt;=20,V210&lt;40,W210&lt;95),0.2,0)+IF(AND(V210&gt;=20,V210&lt;40,W210&gt;=95,W210&lt;150),0.15,0)+IF(AND(V210&gt;=20,V210&lt;40,W210&gt;=150),0.12,0)+IF(AND(V210&gt;=40,V210&lt;75,W210&lt;75),0.2,0)+IF(AND(V210&gt;=40,V210&lt;75,W210&gt;=75,W210&lt;120),0.15,0)+IF(AND(V210&gt;=40,V210&lt;75,W210&gt;=120),0.12,0)+IF(AND(V210&gt;=75,V210&lt;175,W210&lt;65),0.2,0)+IF(AND(V210&gt;=75,V210&lt;175,W210&gt;=65,W210&lt;110),0.15,0)+IF(AND(V210&gt;=75,V210&lt;175,W210&gt;=110),0.12,0)+IF(AND(V210&gt;=175,W210&lt;55),0.2,0)+IF(AND(V210&gt;=175,W210&gt;=55,W210&lt;95),0.15,0)+IF(AND(V210&gt;=175,W210&gt;=95),0.12,0),
IF(AF210="DoEVku",IF(AND(V210&lt;20,W210&lt;55),0.23,0)+IF(AND(V210&lt;20,W210&gt;=55,W210&lt;105),0.2,0)+IF(AND(V210&lt;20,W210&gt;=105),0.17,0)+IF(AND(V210&gt;=20,V210&lt;40,W210&lt;45),0.23,0)+IF(AND(V210&gt;=20,V210&lt;40,W210&gt;=45,W210&lt;95),0.2,0)+IF(AND(V210&gt;=20,V210&lt;40,W210&gt;=95,W210&lt;=150),0.17,0)+IF(AND(V210&gt;=20,V210&lt;40,W210&gt;=150),0.12,0)+IF(AND(V210&gt;=40,V210&lt;75,W210&lt;35),0.23,0)+IF(AND(V210&gt;=40,V210&lt;75,W210&gt;=35,W210&lt;75),0.2,0)+IF(AND(V210&gt;=40,V210&lt;75,W210&gt;=75,W210&lt;120),0.17,0)+IF(AND(V210&gt;=40,V210&lt;75,W210&gt;=120),0.12,0)+IF(AND(V210&gt;=75,V210&lt;175,W210&lt;35),0.23,0)+IF(AND(V210&gt;=75,V210&lt;=175,W210&gt;=35,W210&lt;65),0.2,0)+IF(AND(V210&gt;=75,V210&lt;=175,W210&gt;=65,W210&lt;110),0.17,0)+IF(AND(V210&gt;=75,V210&lt;=175,W210&gt;=110),0.12,0)+IF(AND(V210&gt;175,W210&lt;25),0.23,0)+IF(AND(V210&gt;175,W210&gt;=25,W210&lt;55),0.2,0)+IF(AND(V210&gt;175,W210&gt;=55,W210&lt;95),0.17,0)+IF(AND(V210&gt;175,W210&gt;=95),0.12,0),
IF(AF210="DoEVs1",IF(AND(V210&lt;20,W210&lt;55),0.3,0)+IF(AND(V210&lt;20,W210&gt;=55,W210&lt;105),0.23,0)+IF(AND(V210&lt;20,W210&gt;=105),0.17,0)+IF(AND(V210&gt;=20,V210&lt;40,W210&lt;45),0.3,0)+IF(AND(V210&gt;=20,V210&lt;40,W210&gt;=45,W210&lt;95),0.23,0)+IF(AND(V210&gt;=20,V210&lt;40,W210&gt;=95,W210&lt;=150),0.17,0)+IF(AND(V210&gt;=20,V210&lt;40,W210&gt;=150),0.12,0)+IF(AND(V210&gt;=40,V210&lt;75,W210&lt;35),0.3,0)+IF(AND(V210&gt;=40,V210&lt;75,W210&gt;=35,W210&lt;75),0.23,0)+IF(AND(V210&gt;=40,V210&lt;75,W210&gt;=75,W210&lt;120),0.17,0)+IF(AND(V210&gt;=40,V210&lt;75,W210&gt;=120),0.12,0)+IF(AND(V210&gt;=75,V210&lt;175,W210&lt;35),0.3,0)+IF(AND(V210&gt;=75,V210&lt;=175,W210&gt;=35,W210&lt;65),0.23,0)+IF(AND(V210&gt;=75,V210&lt;=175,W210&gt;=65,W210&lt;110),0.17,0)+IF(AND(V210&gt;=75,V210&lt;=175,W210&gt;=110),0.12,0)+IF(AND(V210&gt;175,W210&lt;25),0.3,0)+IF(AND(V210&gt;175,W210&gt;=25,W210&lt;55),0.23,0)+IF(AND(V210&gt;175,W210&gt;=55,W210&lt;95),0.17,0)+IF(AND(V210&gt;175,W210&gt;=95),0.12,0),
IF(AF210="DoEVsu",IF(AND(V210&lt;20,W210&lt;55),0.3,0)+IF(AND(V210&lt;20,W210&gt;=55,W210&lt;105),0.23,0)+IF(AND(V210&lt;20,W210&gt;=105),0.17,0)+IF(AND(V210&gt;=20,V210&lt;40,W210&lt;45),0.3,0)+IF(AND(V210&gt;=20,V210&lt;40,W210&gt;=45,W210&lt;95),0.23,0)+IF(AND(V210&gt;=20,V210&lt;40,W210&gt;=95,W210&lt;=250),0.17,0)+IF(AND(V210&gt;=20,V210&lt;40,W210&gt;=250),0.12,0)+IF(AND(V210&gt;=40,V210&lt;75,W210&lt;35),0.3,0)+IF(AND(V210&gt;=40,V210&lt;75,W210&gt;=35,W210&lt;75),0.23,0)+IF(AND(V210&gt;=40,V210&lt;75,W210&gt;=75,W210&lt;120),0.17,0)+IF(AND(V210&gt;=40,V210&lt;75,W210&gt;=120),0.12,0)+IF(AND(V210&gt;=75,V210&lt;175,W210&lt;35),0.3,0)+IF(AND(V210&gt;=75,V210&lt;=175,W210&gt;=35,W210&lt;65),0.23,0)+IF(AND(V210&gt;=75,V210&lt;=175,W210&gt;=65,W210&lt;110),0.17,0)+IF(AND(V210&gt;=75,V210&lt;=175,W210&gt;=110),0.12,0)+IF(AND(V210&gt;175,W210&lt;25),0.3,0)+IF(AND(V210&gt;175,W210&gt;=25,W210&lt;55),0.23,0)+IF(AND(V210&gt;175,W210&gt;=55,W210&lt;95),0.17,0)+IF(AND(V210&gt;175,W210&gt;=95),0.12,0),
IF(AF210="DoEVni",IF(AND(V210&lt;20,W210&lt;55),0.3,0)+IF(AND(V210&lt;20,W210&gt;=55,W210&lt;105),0.23,0)+IF(AND(V210&lt;20,W210&gt;=105),0.17,0)+IF(AND(V210&gt;=20,V210&lt;40,W210&lt;45),0.3,0)+IF(AND(V210&gt;=20,V210&lt;40,W210&gt;=45,W210&lt;95),0.23,0)+IF(AND(V210&gt;=20,V210&lt;40,W210&gt;=95,W210&lt;=200),0.17,0)+IF(AND(V210&gt;=20,V210&lt;40,W210&gt;=200),0.12,0)+IF(AND(V210&gt;=40,V210&lt;75,W210&lt;35),0.3,0)+IF(AND(V210&gt;=40,V210&lt;75,W210&gt;=35,W210&lt;75),0.23,0)+IF(AND(V210&gt;=40,V210&lt;75,W210&gt;=75,W210&lt;120),0.17,0)+IF(AND(V210&gt;=40,V210&lt;75,W210&gt;=120),0.12,0)+IF(AND(V210&gt;=75,V210&lt;175,W210&lt;35),0.3,0)+IF(AND(V210&gt;=75,V210&lt;=175,W210&gt;=35,W210&lt;65),0.23,0)+IF(AND(V210&gt;=75,V210&lt;=175,W210&gt;=65,W210&lt;110),0.17,0)+IF(AND(V210&gt;=75,V210&lt;=175,W210&gt;=110),0.12,0)+IF(AND(V210&gt;175,W210&lt;25),0.3,0)+IF(AND(V210&gt;175,W210&gt;=25,W210&lt;55),0.23,0)+IF(AND(V210&gt;175,W210&gt;=55,W210&lt;95),0.17,0)+IF(AND(V210&gt;175,W210&gt;=95),0.12,0),
IF(AF210="DoEVLo",IF(AND(V210&lt;20,W210&lt;55),0.25,0)+IF(AND(V210&lt;20,W210&gt;=55,W210&lt;105),0.2,0)+IF(AND(V210&lt;20,W210&gt;=105),0.15,0)+IF(AND(V210&gt;=20,V210&lt;40,W210&lt;45),0.25,0)+IF(AND(V210&gt;=20,V210&lt;40,W210&gt;=45,W210&lt;95),0.2,0)+IF(AND(V210&gt;=20,V210&lt;40,W210&gt;=95),0.15,0)+IF(AND(V210&gt;=40,V210&lt;75,W210&lt;35),0.25,0)+IF(AND(V210&gt;=40,V210&lt;75,W210&gt;=35,W210&lt;75),0.2,0)+IF(AND(V210&gt;=40,V210&lt;75,W210&gt;=75,W210&lt;120),0.15,0)+IF(AND(V210&gt;=40,V210&lt;75,W210&gt;=120),0.1,0)+IF(AND(V210&gt;=75,V210&lt;175,W210&lt;35),0.25,0)+IF(AND(V210&gt;=75,V210&lt;=175,W210&gt;=35,W210&lt;65),0.2,0)+IF(AND(V210&gt;=75,V210&lt;=175,W210&gt;=65,W210&lt;110),0.15,0)+IF(AND(V210&gt;=75,V210&lt;=175,W210&gt;=110),0.1,0)+IF(AND(V210&gt;175,W210&lt;25),0.25,0)+IF(AND(V210&gt;175,W210&gt;=25,W210&lt;55),0.2,0)+IF(AND(V210&gt;175,W210&gt;=55,W210&lt;95),0.15,0)+IF(AND(V210&gt;175,W210&gt;=95),0.1,0))))))))))))))))</f>
        <v>0.35</v>
      </c>
      <c r="Y210" s="78">
        <f>IF(AG210="None",0,IF(AG210="Fix5",0.05,IF(AG210="Fix3.75",0.0375,IF(AG210="Fix10",0.1,IF(AG210="Fix3",0.03,0)))))</f>
        <v>0</v>
      </c>
      <c r="Z210" s="59">
        <v>435</v>
      </c>
      <c r="AA210" s="60">
        <v>89</v>
      </c>
      <c r="AB210" s="36">
        <f>IF(AD210="EUR",((T210-R210)*Y210)*U210+(R210*Y210),(T210*Y210))</f>
        <v>0</v>
      </c>
      <c r="AC210" s="37" t="b">
        <v>1</v>
      </c>
      <c r="AD210" s="61" t="s">
        <v>38</v>
      </c>
      <c r="AE210" s="61" t="s">
        <v>38</v>
      </c>
      <c r="AF210" s="37" t="str">
        <f t="array" ref="AF210">INDEX('Deal Info'!D:D, MATCH(A210,'Deal Info'!A:A, 0))</f>
        <v>DoEVold</v>
      </c>
      <c r="AG210" s="38" t="str">
        <f t="array" ref="AG210">INDEX('Deal Info'!G:G, MATCH(A210,'Deal Info'!A:A, 0))</f>
        <v>None</v>
      </c>
    </row>
    <row r="211" spans="1:33" ht="14.25" hidden="1" x14ac:dyDescent="0.2">
      <c r="A211" s="18" t="str">
        <f t="array" ref="A211">IF(G211='Room Info'!$B$1, INDEX('Room Info'!$A$2:$A2446, MATCH(B211,'Room Info'!$B$2:$B2446, 0)),IF(G211='Room Info'!$C$1, INDEX('Room Info'!$A$2:$A2446, MATCH(B211,'Room Info'!$C$2:$C2446, 0)),IF(G211='Room Info'!$D$1, INDEX('Room Info'!$A$2:$A2446, MATCH(B211,'Room Info'!$D$2:$D2446, 0)),IF(G211='Room Info'!$E$1, INDEX('Room Info'!$A$2:$A2446, MATCH(B211,'Room Info'!$E$2:$E2446, 0)),IF(G211='Room Info'!$F$1, INDEX('Room Info'!$A$2:$A2446, MATCH(B211,'Room Info'!$F$2:$F2446, 0)),IF(G211='Room Info'!$H$1, INDEX('Room Info'!$A$2:$A2446, MATCH(B211,'Room Info'!$H$2:$H2446, 0)),IF(G211='Room Info'!$G$1, INDEX('Room Info'!$A$2:$A2446, MATCH(B211,'Room Info'!$G$2:$G2446, 0)))))))))</f>
        <v>Lo4io</v>
      </c>
      <c r="B211" s="45" t="s">
        <v>102</v>
      </c>
      <c r="C211" s="77">
        <v>44702</v>
      </c>
      <c r="D211" s="77">
        <v>44732</v>
      </c>
      <c r="E211" s="47">
        <v>44713</v>
      </c>
      <c r="F211" s="48" t="s">
        <v>34</v>
      </c>
      <c r="G211" s="45" t="s">
        <v>80</v>
      </c>
      <c r="H211" s="49" t="s">
        <v>72</v>
      </c>
      <c r="I211" s="49" t="s">
        <v>81</v>
      </c>
      <c r="J211" s="74">
        <v>50</v>
      </c>
      <c r="K211" s="75">
        <v>747</v>
      </c>
      <c r="L211" s="72">
        <v>-3200</v>
      </c>
      <c r="M211" s="76">
        <v>2280</v>
      </c>
      <c r="N211" s="28">
        <f>K211*J211</f>
        <v>37350</v>
      </c>
      <c r="O211" s="45">
        <v>15417</v>
      </c>
      <c r="P211" s="29">
        <v>20.63855422</v>
      </c>
      <c r="Q211" s="55"/>
      <c r="R211" s="31">
        <f>M211+Q211</f>
        <v>2280</v>
      </c>
      <c r="S211" s="73">
        <v>-457</v>
      </c>
      <c r="T211" s="32">
        <f>R211+S211+IF(F211="Without EV deal",L211,0)</f>
        <v>1823</v>
      </c>
      <c r="U211" s="57">
        <v>1</v>
      </c>
      <c r="V211" s="69">
        <v>48.608649415101027</v>
      </c>
      <c r="W211" s="69">
        <v>89.099369188696443</v>
      </c>
      <c r="X211" s="30">
        <f>IF(AF211="DoEV",IF(AND(V211&lt;20,W211&lt;55),0.3,0)+IF(AND(V211&lt;20,W211&gt;=55,W211&lt;105),0.23,0)+IF(AND(V211&lt;20,W211&gt;=105),0.17,0)+IF(AND(V211&gt;=20,V211&lt;40,W211&lt;45),0.3,0)+IF(AND(V211&gt;=20,V211&lt;40,W211&gt;=45,W211&lt;95),0.23,0)+IF(AND(V211&gt;=20,V211&lt;40,W211&gt;=95),0.17,0)+IF(AND(V211&gt;=40,V211&lt;75,W211&lt;35),0.3,0)+IF(AND(V211&gt;=40,V211&lt;75,W211&gt;=35,W211&lt;75),0.23,0)+IF(AND(V211&gt;=40,V211&lt;75,W211&gt;=75,W211&lt;120),0.17,0)+IF(AND(V211&gt;=40,V211&lt;75,W211&gt;=120),0.12,0)+IF(AND(V211&gt;=75,V211&lt;175,W211&lt;35),0.3,0)+IF(AND(V211&gt;=75,V211&lt;=175,W211&gt;=35,W211&lt;65),0.23,0)+IF(AND(V211&gt;=75,V211&lt;=175,W211&gt;=65,W211&lt;110),0.17,0)+IF(AND(V211&gt;=75,V211&lt;=175,W211&gt;=110),0.12,0)+IF(AND(V211&gt;175,W211&lt;25),0.3,0)+IF(AND(V211&gt;175,W211&gt;=25,W211&lt;55),0.23,0)+IF(AND(V211&gt;175,W211&gt;=55,W211&lt;95),0.17,0)+IF(AND(V211&gt;175,W211&gt;=95),0.12,0),
IF(AF211="Fix15",0.15,
IF(AF211="Fix11.25",0.1125,
IF(AF211="Fix10",0.1,
IF(AF211="Fix9",0.09,
IF(AF211="DoEV2017",IF(AND(W211&lt;74),0.2,0)+IF(AND(W211&gt;=74),0.17,0),
IF(AF211="SF",IF(AND(V211&lt;20,W211&lt;89),0.3,0)+IF(AND(V211&lt;20,W211&gt;=89),0.25,0)+IF(AND(V211&gt;=20,V211&lt;40,W211&lt;74),0.3,0)+IF(AND(V211&gt;=20,V211&lt;40,W211&gt;=75),0.22,0)+IF(AND(V211&gt;=40,V211&lt;75,W211&lt;75),0.26,0)+IF(AND(V211&gt;=40,V211&lt;75,W211&gt;=75),0.22,0)+IF(V211&gt;=75,0.22,0),
IF(AF211="DoEVold",IF(AND(V211&lt;40,W211&lt;35),0.35,0)+IF(AND(V211&lt;40,W211&gt;=35,W211&lt;75),0.25,0)+IF(AND(V211&lt;40,W211&gt;=75),0.17,0)+IF(AND(V211&gt;=40,V211&lt;75,W211&lt;25),0.35,0)+IF(AND(V211&gt;=40,V211&lt;75,W211&gt;=25,W211&lt;65),0.25,0)+IF(AND(V211&gt;=40,V211&lt;75,W211&gt;=65,W211&lt;100),0.17,0)+IF(AND(V211&gt;=40,V211&lt;75,W211&gt;=100),0.1,0)+IF(AND(V211&gt;=75,W211&lt;25),0.35,0)+IF(AND(V211&gt;=75,W211&gt;=25,W211&lt;60),0.25,0)+IF(AND(V211&gt;=75,W211&gt;=60,W211&lt;95),0.17,0)+IF(AND(V211&gt;=75,W211&gt;=95),0.1,0),
IF(AF211="DoEVold15",IF(AND(V211&lt;=40,W211&lt;35),0.35,0)+IF(AND(V211&lt;=40,W211&gt;=35,W211&lt;75),0.25,0)+IF(AND(V211&lt;=40,W211&gt;=75,W211&lt;120),0.17,0)+IF(AND(V211&lt;=40,W211&gt;=120),0.15,0)+IF(AND(V211&gt;40,V211&lt;75,W211&lt;25),0.35,0)+IF(AND(V211&gt;=40,V211&lt;75,W211&gt;=25,W211&lt;65),0.25,0)+IF(AND(V211&gt;=40,V211&lt;75,W211&gt;=65,W211&lt;100),0.17,0)+IF(AND(V211&gt;=40,V211&lt;75,W211&gt;=100),0.1,0)+IF(AND(V211&gt;=75,W211&lt;25),0.35,0)+IF(AND(V211&gt;=75,W211&gt;=25,W211&lt;60),0.25,0)+IF(AND(V211&gt;=75,W211&gt;=60,W211&lt;95),0.17,0)+IF(AND(V211&gt;=75,W211&gt;=95),0.1,0),
IF(AF211="DoEVba",IF(AND(V211&lt;20,W211&lt;105),0.2,0)+IF(AND(V211&lt;20,W211&gt;=105),0.15,0)+IF(AND(V211&gt;=20,V211&lt;40,W211&lt;95),0.2,0)+IF(AND(V211&gt;=20,V211&lt;40,W211&gt;=95,W211&lt;150),0.15,0)+IF(AND(V211&gt;=20,V211&lt;40,W211&gt;=150),0.12,0)+IF(AND(V211&gt;=40,V211&lt;75,W211&lt;75),0.2,0)+IF(AND(V211&gt;=40,V211&lt;75,W211&gt;=75,W211&lt;120),0.15,0)+IF(AND(V211&gt;=40,V211&lt;75,W211&gt;=120),0.12,0)+IF(AND(V211&gt;=75,V211&lt;175,W211&lt;65),0.2,0)+IF(AND(V211&gt;=75,V211&lt;175,W211&gt;=65,W211&lt;110),0.15,0)+IF(AND(V211&gt;=75,V211&lt;175,W211&gt;=110),0.12,0)+IF(AND(V211&gt;=175,W211&lt;55),0.2,0)+IF(AND(V211&gt;=175,W211&gt;=55,W211&lt;95),0.15,0)+IF(AND(V211&gt;=175,W211&gt;=95),0.12,0),
IF(AF211="DoEVku",IF(AND(V211&lt;20,W211&lt;55),0.23,0)+IF(AND(V211&lt;20,W211&gt;=55,W211&lt;105),0.2,0)+IF(AND(V211&lt;20,W211&gt;=105),0.17,0)+IF(AND(V211&gt;=20,V211&lt;40,W211&lt;45),0.23,0)+IF(AND(V211&gt;=20,V211&lt;40,W211&gt;=45,W211&lt;95),0.2,0)+IF(AND(V211&gt;=20,V211&lt;40,W211&gt;=95,W211&lt;=150),0.17,0)+IF(AND(V211&gt;=20,V211&lt;40,W211&gt;=150),0.12,0)+IF(AND(V211&gt;=40,V211&lt;75,W211&lt;35),0.23,0)+IF(AND(V211&gt;=40,V211&lt;75,W211&gt;=35,W211&lt;75),0.2,0)+IF(AND(V211&gt;=40,V211&lt;75,W211&gt;=75,W211&lt;120),0.17,0)+IF(AND(V211&gt;=40,V211&lt;75,W211&gt;=120),0.12,0)+IF(AND(V211&gt;=75,V211&lt;175,W211&lt;35),0.23,0)+IF(AND(V211&gt;=75,V211&lt;=175,W211&gt;=35,W211&lt;65),0.2,0)+IF(AND(V211&gt;=75,V211&lt;=175,W211&gt;=65,W211&lt;110),0.17,0)+IF(AND(V211&gt;=75,V211&lt;=175,W211&gt;=110),0.12,0)+IF(AND(V211&gt;175,W211&lt;25),0.23,0)+IF(AND(V211&gt;175,W211&gt;=25,W211&lt;55),0.2,0)+IF(AND(V211&gt;175,W211&gt;=55,W211&lt;95),0.17,0)+IF(AND(V211&gt;175,W211&gt;=95),0.12,0),
IF(AF211="DoEVs1",IF(AND(V211&lt;20,W211&lt;55),0.3,0)+IF(AND(V211&lt;20,W211&gt;=55,W211&lt;105),0.23,0)+IF(AND(V211&lt;20,W211&gt;=105),0.17,0)+IF(AND(V211&gt;=20,V211&lt;40,W211&lt;45),0.3,0)+IF(AND(V211&gt;=20,V211&lt;40,W211&gt;=45,W211&lt;95),0.23,0)+IF(AND(V211&gt;=20,V211&lt;40,W211&gt;=95,W211&lt;=150),0.17,0)+IF(AND(V211&gt;=20,V211&lt;40,W211&gt;=150),0.12,0)+IF(AND(V211&gt;=40,V211&lt;75,W211&lt;35),0.3,0)+IF(AND(V211&gt;=40,V211&lt;75,W211&gt;=35,W211&lt;75),0.23,0)+IF(AND(V211&gt;=40,V211&lt;75,W211&gt;=75,W211&lt;120),0.17,0)+IF(AND(V211&gt;=40,V211&lt;75,W211&gt;=120),0.12,0)+IF(AND(V211&gt;=75,V211&lt;175,W211&lt;35),0.3,0)+IF(AND(V211&gt;=75,V211&lt;=175,W211&gt;=35,W211&lt;65),0.23,0)+IF(AND(V211&gt;=75,V211&lt;=175,W211&gt;=65,W211&lt;110),0.17,0)+IF(AND(V211&gt;=75,V211&lt;=175,W211&gt;=110),0.12,0)+IF(AND(V211&gt;175,W211&lt;25),0.3,0)+IF(AND(V211&gt;175,W211&gt;=25,W211&lt;55),0.23,0)+IF(AND(V211&gt;175,W211&gt;=55,W211&lt;95),0.17,0)+IF(AND(V211&gt;175,W211&gt;=95),0.12,0),
IF(AF211="DoEVsu",IF(AND(V211&lt;20,W211&lt;55),0.3,0)+IF(AND(V211&lt;20,W211&gt;=55,W211&lt;105),0.23,0)+IF(AND(V211&lt;20,W211&gt;=105),0.17,0)+IF(AND(V211&gt;=20,V211&lt;40,W211&lt;45),0.3,0)+IF(AND(V211&gt;=20,V211&lt;40,W211&gt;=45,W211&lt;95),0.23,0)+IF(AND(V211&gt;=20,V211&lt;40,W211&gt;=95,W211&lt;=250),0.17,0)+IF(AND(V211&gt;=20,V211&lt;40,W211&gt;=250),0.12,0)+IF(AND(V211&gt;=40,V211&lt;75,W211&lt;35),0.3,0)+IF(AND(V211&gt;=40,V211&lt;75,W211&gt;=35,W211&lt;75),0.23,0)+IF(AND(V211&gt;=40,V211&lt;75,W211&gt;=75,W211&lt;120),0.17,0)+IF(AND(V211&gt;=40,V211&lt;75,W211&gt;=120),0.12,0)+IF(AND(V211&gt;=75,V211&lt;175,W211&lt;35),0.3,0)+IF(AND(V211&gt;=75,V211&lt;=175,W211&gt;=35,W211&lt;65),0.23,0)+IF(AND(V211&gt;=75,V211&lt;=175,W211&gt;=65,W211&lt;110),0.17,0)+IF(AND(V211&gt;=75,V211&lt;=175,W211&gt;=110),0.12,0)+IF(AND(V211&gt;175,W211&lt;25),0.3,0)+IF(AND(V211&gt;175,W211&gt;=25,W211&lt;55),0.23,0)+IF(AND(V211&gt;175,W211&gt;=55,W211&lt;95),0.17,0)+IF(AND(V211&gt;175,W211&gt;=95),0.12,0),
IF(AF211="DoEVni",IF(AND(V211&lt;20,W211&lt;55),0.3,0)+IF(AND(V211&lt;20,W211&gt;=55,W211&lt;105),0.23,0)+IF(AND(V211&lt;20,W211&gt;=105),0.17,0)+IF(AND(V211&gt;=20,V211&lt;40,W211&lt;45),0.3,0)+IF(AND(V211&gt;=20,V211&lt;40,W211&gt;=45,W211&lt;95),0.23,0)+IF(AND(V211&gt;=20,V211&lt;40,W211&gt;=95,W211&lt;=200),0.17,0)+IF(AND(V211&gt;=20,V211&lt;40,W211&gt;=200),0.12,0)+IF(AND(V211&gt;=40,V211&lt;75,W211&lt;35),0.3,0)+IF(AND(V211&gt;=40,V211&lt;75,W211&gt;=35,W211&lt;75),0.23,0)+IF(AND(V211&gt;=40,V211&lt;75,W211&gt;=75,W211&lt;120),0.17,0)+IF(AND(V211&gt;=40,V211&lt;75,W211&gt;=120),0.12,0)+IF(AND(V211&gt;=75,V211&lt;175,W211&lt;35),0.3,0)+IF(AND(V211&gt;=75,V211&lt;=175,W211&gt;=35,W211&lt;65),0.23,0)+IF(AND(V211&gt;=75,V211&lt;=175,W211&gt;=65,W211&lt;110),0.17,0)+IF(AND(V211&gt;=75,V211&lt;=175,W211&gt;=110),0.12,0)+IF(AND(V211&gt;175,W211&lt;25),0.3,0)+IF(AND(V211&gt;175,W211&gt;=25,W211&lt;55),0.23,0)+IF(AND(V211&gt;175,W211&gt;=55,W211&lt;95),0.17,0)+IF(AND(V211&gt;175,W211&gt;=95),0.12,0),
IF(AF211="DoEVLo",IF(AND(V211&lt;20,W211&lt;55),0.25,0)+IF(AND(V211&lt;20,W211&gt;=55,W211&lt;105),0.2,0)+IF(AND(V211&lt;20,W211&gt;=105),0.15,0)+IF(AND(V211&gt;=20,V211&lt;40,W211&lt;45),0.25,0)+IF(AND(V211&gt;=20,V211&lt;40,W211&gt;=45,W211&lt;95),0.2,0)+IF(AND(V211&gt;=20,V211&lt;40,W211&gt;=95),0.15,0)+IF(AND(V211&gt;=40,V211&lt;75,W211&lt;35),0.25,0)+IF(AND(V211&gt;=40,V211&lt;75,W211&gt;=35,W211&lt;75),0.2,0)+IF(AND(V211&gt;=40,V211&lt;75,W211&gt;=75,W211&lt;120),0.15,0)+IF(AND(V211&gt;=40,V211&lt;75,W211&gt;=120),0.1,0)+IF(AND(V211&gt;=75,V211&lt;175,W211&lt;35),0.25,0)+IF(AND(V211&gt;=75,V211&lt;=175,W211&gt;=35,W211&lt;65),0.2,0)+IF(AND(V211&gt;=75,V211&lt;=175,W211&gt;=65,W211&lt;110),0.15,0)+IF(AND(V211&gt;=75,V211&lt;=175,W211&gt;=110),0.1,0)+IF(AND(V211&gt;175,W211&lt;25),0.25,0)+IF(AND(V211&gt;175,W211&gt;=25,W211&lt;55),0.2,0)+IF(AND(V211&gt;175,W211&gt;=55,W211&lt;95),0.15,0)+IF(AND(V211&gt;175,W211&gt;=95),0.1,0))))))))))))))))</f>
        <v>0.15</v>
      </c>
      <c r="Y211" s="30">
        <f>IF(AG211="None",0,IF(AG211="Fix5",0.05,IF(AG211="Fix3.75",0.0375,IF(AG211="Fix10",0.1,IF(AG211="Fix3",0.03,0)))))</f>
        <v>0</v>
      </c>
      <c r="Z211" s="35">
        <f>T211-AA211-AB211</f>
        <v>1549.55</v>
      </c>
      <c r="AA211" s="29">
        <f>IF(AD211="EUR",((T211-R211)*X211)*U211+(R211*X211),(T211*X211))</f>
        <v>273.45</v>
      </c>
      <c r="AB211" s="36">
        <f>IF(AD211="EUR",((T211-R211)*Y211)*U211+(R211*Y211),(T211*Y211))</f>
        <v>0</v>
      </c>
      <c r="AC211" s="37" t="b">
        <v>1</v>
      </c>
      <c r="AD211" s="37" t="s">
        <v>38</v>
      </c>
      <c r="AE211" s="37" t="s">
        <v>38</v>
      </c>
      <c r="AF211" s="37" t="str">
        <f t="array" ref="AF211">INDEX('Deal Info'!D:D, MATCH(A211,'Deal Info'!A:A, 0))</f>
        <v>DoEVLo</v>
      </c>
      <c r="AG211" s="38" t="str">
        <f t="array" ref="AG211">INDEX('Deal Info'!G:G, MATCH(A211,'Deal Info'!A:A, 0))</f>
        <v>None</v>
      </c>
    </row>
    <row r="212" spans="1:33" ht="14.25" hidden="1" x14ac:dyDescent="0.2">
      <c r="A212" s="18" t="str">
        <f t="array" ref="A212">IF(G212='Room Info'!$B$1, INDEX('Room Info'!$A$2:$A2446, MATCH(B212,'Room Info'!$B$2:$B2446, 0)),IF(G212='Room Info'!$C$1, INDEX('Room Info'!$A$2:$A2446, MATCH(B212,'Room Info'!$C$2:$C2446, 0)),IF(G212='Room Info'!$D$1, INDEX('Room Info'!$A$2:$A2446, MATCH(B212,'Room Info'!$D$2:$D2446, 0)),IF(G212='Room Info'!$E$1, INDEX('Room Info'!$A$2:$A2446, MATCH(B212,'Room Info'!$E$2:$E2446, 0)),IF(G212='Room Info'!$F$1, INDEX('Room Info'!$A$2:$A2446, MATCH(B212,'Room Info'!$F$2:$F2446, 0)),IF(G212='Room Info'!$H$1, INDEX('Room Info'!$A$2:$A2446, MATCH(B212,'Room Info'!$H$2:$H2446, 0)),IF(G212='Room Info'!$G$1, INDEX('Room Info'!$A$2:$A2446, MATCH(B212,'Room Info'!$G$2:$G2446, 0)))))))))</f>
        <v>Lo4io</v>
      </c>
      <c r="B212" s="45" t="s">
        <v>102</v>
      </c>
      <c r="C212" s="77">
        <v>44702</v>
      </c>
      <c r="D212" s="77">
        <v>44732</v>
      </c>
      <c r="E212" s="47">
        <v>44713</v>
      </c>
      <c r="F212" s="48" t="s">
        <v>34</v>
      </c>
      <c r="G212" s="45" t="s">
        <v>35</v>
      </c>
      <c r="H212" s="49" t="s">
        <v>46</v>
      </c>
      <c r="I212" s="49" t="s">
        <v>37</v>
      </c>
      <c r="J212" s="74">
        <v>25</v>
      </c>
      <c r="K212" s="75">
        <v>157</v>
      </c>
      <c r="L212" s="72">
        <v>-625</v>
      </c>
      <c r="M212" s="76">
        <v>35</v>
      </c>
      <c r="N212" s="28">
        <f>K212*J212</f>
        <v>3925</v>
      </c>
      <c r="O212" s="45">
        <v>6020</v>
      </c>
      <c r="P212" s="29">
        <v>38.343949039999998</v>
      </c>
      <c r="Q212" s="55"/>
      <c r="R212" s="31">
        <f>M212+Q212</f>
        <v>35</v>
      </c>
      <c r="S212" s="73">
        <v>35</v>
      </c>
      <c r="T212" s="32">
        <f>R212+S212+IF(F212="Without EV deal",L212,0)</f>
        <v>70</v>
      </c>
      <c r="U212" s="57">
        <v>1</v>
      </c>
      <c r="V212" s="69">
        <v>48.608649415101027</v>
      </c>
      <c r="W212" s="69">
        <v>89.099369188696443</v>
      </c>
      <c r="X212" s="30">
        <f>IF(AF212="DoEV",IF(AND(V212&lt;20,W212&lt;55),0.3,0)+IF(AND(V212&lt;20,W212&gt;=55,W212&lt;105),0.23,0)+IF(AND(V212&lt;20,W212&gt;=105),0.17,0)+IF(AND(V212&gt;=20,V212&lt;40,W212&lt;45),0.3,0)+IF(AND(V212&gt;=20,V212&lt;40,W212&gt;=45,W212&lt;95),0.23,0)+IF(AND(V212&gt;=20,V212&lt;40,W212&gt;=95),0.17,0)+IF(AND(V212&gt;=40,V212&lt;75,W212&lt;35),0.3,0)+IF(AND(V212&gt;=40,V212&lt;75,W212&gt;=35,W212&lt;75),0.23,0)+IF(AND(V212&gt;=40,V212&lt;75,W212&gt;=75,W212&lt;120),0.17,0)+IF(AND(V212&gt;=40,V212&lt;75,W212&gt;=120),0.12,0)+IF(AND(V212&gt;=75,V212&lt;175,W212&lt;35),0.3,0)+IF(AND(V212&gt;=75,V212&lt;=175,W212&gt;=35,W212&lt;65),0.23,0)+IF(AND(V212&gt;=75,V212&lt;=175,W212&gt;=65,W212&lt;110),0.17,0)+IF(AND(V212&gt;=75,V212&lt;=175,W212&gt;=110),0.12,0)+IF(AND(V212&gt;175,W212&lt;25),0.3,0)+IF(AND(V212&gt;175,W212&gt;=25,W212&lt;55),0.23,0)+IF(AND(V212&gt;175,W212&gt;=55,W212&lt;95),0.17,0)+IF(AND(V212&gt;175,W212&gt;=95),0.12,0),
IF(AF212="Fix15",0.15,
IF(AF212="Fix11.25",0.1125,
IF(AF212="Fix10",0.1,
IF(AF212="Fix9",0.09,
IF(AF212="DoEV2017",IF(AND(W212&lt;74),0.2,0)+IF(AND(W212&gt;=74),0.17,0),
IF(AF212="SF",IF(AND(V212&lt;20,W212&lt;89),0.3,0)+IF(AND(V212&lt;20,W212&gt;=89),0.25,0)+IF(AND(V212&gt;=20,V212&lt;40,W212&lt;74),0.3,0)+IF(AND(V212&gt;=20,V212&lt;40,W212&gt;=75),0.22,0)+IF(AND(V212&gt;=40,V212&lt;75,W212&lt;75),0.26,0)+IF(AND(V212&gt;=40,V212&lt;75,W212&gt;=75),0.22,0)+IF(V212&gt;=75,0.22,0),
IF(AF212="DoEVold",IF(AND(V212&lt;40,W212&lt;35),0.35,0)+IF(AND(V212&lt;40,W212&gt;=35,W212&lt;75),0.25,0)+IF(AND(V212&lt;40,W212&gt;=75),0.17,0)+IF(AND(V212&gt;=40,V212&lt;75,W212&lt;25),0.35,0)+IF(AND(V212&gt;=40,V212&lt;75,W212&gt;=25,W212&lt;65),0.25,0)+IF(AND(V212&gt;=40,V212&lt;75,W212&gt;=65,W212&lt;100),0.17,0)+IF(AND(V212&gt;=40,V212&lt;75,W212&gt;=100),0.1,0)+IF(AND(V212&gt;=75,W212&lt;25),0.35,0)+IF(AND(V212&gt;=75,W212&gt;=25,W212&lt;60),0.25,0)+IF(AND(V212&gt;=75,W212&gt;=60,W212&lt;95),0.17,0)+IF(AND(V212&gt;=75,W212&gt;=95),0.1,0),
IF(AF212="DoEVold15",IF(AND(V212&lt;=40,W212&lt;35),0.35,0)+IF(AND(V212&lt;=40,W212&gt;=35,W212&lt;75),0.25,0)+IF(AND(V212&lt;=40,W212&gt;=75,W212&lt;120),0.17,0)+IF(AND(V212&lt;=40,W212&gt;=120),0.15,0)+IF(AND(V212&gt;40,V212&lt;75,W212&lt;25),0.35,0)+IF(AND(V212&gt;=40,V212&lt;75,W212&gt;=25,W212&lt;65),0.25,0)+IF(AND(V212&gt;=40,V212&lt;75,W212&gt;=65,W212&lt;100),0.17,0)+IF(AND(V212&gt;=40,V212&lt;75,W212&gt;=100),0.1,0)+IF(AND(V212&gt;=75,W212&lt;25),0.35,0)+IF(AND(V212&gt;=75,W212&gt;=25,W212&lt;60),0.25,0)+IF(AND(V212&gt;=75,W212&gt;=60,W212&lt;95),0.17,0)+IF(AND(V212&gt;=75,W212&gt;=95),0.1,0),
IF(AF212="DoEVba",IF(AND(V212&lt;20,W212&lt;105),0.2,0)+IF(AND(V212&lt;20,W212&gt;=105),0.15,0)+IF(AND(V212&gt;=20,V212&lt;40,W212&lt;95),0.2,0)+IF(AND(V212&gt;=20,V212&lt;40,W212&gt;=95,W212&lt;150),0.15,0)+IF(AND(V212&gt;=20,V212&lt;40,W212&gt;=150),0.12,0)+IF(AND(V212&gt;=40,V212&lt;75,W212&lt;75),0.2,0)+IF(AND(V212&gt;=40,V212&lt;75,W212&gt;=75,W212&lt;120),0.15,0)+IF(AND(V212&gt;=40,V212&lt;75,W212&gt;=120),0.12,0)+IF(AND(V212&gt;=75,V212&lt;175,W212&lt;65),0.2,0)+IF(AND(V212&gt;=75,V212&lt;175,W212&gt;=65,W212&lt;110),0.15,0)+IF(AND(V212&gt;=75,V212&lt;175,W212&gt;=110),0.12,0)+IF(AND(V212&gt;=175,W212&lt;55),0.2,0)+IF(AND(V212&gt;=175,W212&gt;=55,W212&lt;95),0.15,0)+IF(AND(V212&gt;=175,W212&gt;=95),0.12,0),
IF(AF212="DoEVku",IF(AND(V212&lt;20,W212&lt;55),0.23,0)+IF(AND(V212&lt;20,W212&gt;=55,W212&lt;105),0.2,0)+IF(AND(V212&lt;20,W212&gt;=105),0.17,0)+IF(AND(V212&gt;=20,V212&lt;40,W212&lt;45),0.23,0)+IF(AND(V212&gt;=20,V212&lt;40,W212&gt;=45,W212&lt;95),0.2,0)+IF(AND(V212&gt;=20,V212&lt;40,W212&gt;=95,W212&lt;=150),0.17,0)+IF(AND(V212&gt;=20,V212&lt;40,W212&gt;=150),0.12,0)+IF(AND(V212&gt;=40,V212&lt;75,W212&lt;35),0.23,0)+IF(AND(V212&gt;=40,V212&lt;75,W212&gt;=35,W212&lt;75),0.2,0)+IF(AND(V212&gt;=40,V212&lt;75,W212&gt;=75,W212&lt;120),0.17,0)+IF(AND(V212&gt;=40,V212&lt;75,W212&gt;=120),0.12,0)+IF(AND(V212&gt;=75,V212&lt;175,W212&lt;35),0.23,0)+IF(AND(V212&gt;=75,V212&lt;=175,W212&gt;=35,W212&lt;65),0.2,0)+IF(AND(V212&gt;=75,V212&lt;=175,W212&gt;=65,W212&lt;110),0.17,0)+IF(AND(V212&gt;=75,V212&lt;=175,W212&gt;=110),0.12,0)+IF(AND(V212&gt;175,W212&lt;25),0.23,0)+IF(AND(V212&gt;175,W212&gt;=25,W212&lt;55),0.2,0)+IF(AND(V212&gt;175,W212&gt;=55,W212&lt;95),0.17,0)+IF(AND(V212&gt;175,W212&gt;=95),0.12,0),
IF(AF212="DoEVs1",IF(AND(V212&lt;20,W212&lt;55),0.3,0)+IF(AND(V212&lt;20,W212&gt;=55,W212&lt;105),0.23,0)+IF(AND(V212&lt;20,W212&gt;=105),0.17,0)+IF(AND(V212&gt;=20,V212&lt;40,W212&lt;45),0.3,0)+IF(AND(V212&gt;=20,V212&lt;40,W212&gt;=45,W212&lt;95),0.23,0)+IF(AND(V212&gt;=20,V212&lt;40,W212&gt;=95,W212&lt;=150),0.17,0)+IF(AND(V212&gt;=20,V212&lt;40,W212&gt;=150),0.12,0)+IF(AND(V212&gt;=40,V212&lt;75,W212&lt;35),0.3,0)+IF(AND(V212&gt;=40,V212&lt;75,W212&gt;=35,W212&lt;75),0.23,0)+IF(AND(V212&gt;=40,V212&lt;75,W212&gt;=75,W212&lt;120),0.17,0)+IF(AND(V212&gt;=40,V212&lt;75,W212&gt;=120),0.12,0)+IF(AND(V212&gt;=75,V212&lt;175,W212&lt;35),0.3,0)+IF(AND(V212&gt;=75,V212&lt;=175,W212&gt;=35,W212&lt;65),0.23,0)+IF(AND(V212&gt;=75,V212&lt;=175,W212&gt;=65,W212&lt;110),0.17,0)+IF(AND(V212&gt;=75,V212&lt;=175,W212&gt;=110),0.12,0)+IF(AND(V212&gt;175,W212&lt;25),0.3,0)+IF(AND(V212&gt;175,W212&gt;=25,W212&lt;55),0.23,0)+IF(AND(V212&gt;175,W212&gt;=55,W212&lt;95),0.17,0)+IF(AND(V212&gt;175,W212&gt;=95),0.12,0),
IF(AF212="DoEVsu",IF(AND(V212&lt;20,W212&lt;55),0.3,0)+IF(AND(V212&lt;20,W212&gt;=55,W212&lt;105),0.23,0)+IF(AND(V212&lt;20,W212&gt;=105),0.17,0)+IF(AND(V212&gt;=20,V212&lt;40,W212&lt;45),0.3,0)+IF(AND(V212&gt;=20,V212&lt;40,W212&gt;=45,W212&lt;95),0.23,0)+IF(AND(V212&gt;=20,V212&lt;40,W212&gt;=95,W212&lt;=250),0.17,0)+IF(AND(V212&gt;=20,V212&lt;40,W212&gt;=250),0.12,0)+IF(AND(V212&gt;=40,V212&lt;75,W212&lt;35),0.3,0)+IF(AND(V212&gt;=40,V212&lt;75,W212&gt;=35,W212&lt;75),0.23,0)+IF(AND(V212&gt;=40,V212&lt;75,W212&gt;=75,W212&lt;120),0.17,0)+IF(AND(V212&gt;=40,V212&lt;75,W212&gt;=120),0.12,0)+IF(AND(V212&gt;=75,V212&lt;175,W212&lt;35),0.3,0)+IF(AND(V212&gt;=75,V212&lt;=175,W212&gt;=35,W212&lt;65),0.23,0)+IF(AND(V212&gt;=75,V212&lt;=175,W212&gt;=65,W212&lt;110),0.17,0)+IF(AND(V212&gt;=75,V212&lt;=175,W212&gt;=110),0.12,0)+IF(AND(V212&gt;175,W212&lt;25),0.3,0)+IF(AND(V212&gt;175,W212&gt;=25,W212&lt;55),0.23,0)+IF(AND(V212&gt;175,W212&gt;=55,W212&lt;95),0.17,0)+IF(AND(V212&gt;175,W212&gt;=95),0.12,0),
IF(AF212="DoEVni",IF(AND(V212&lt;20,W212&lt;55),0.3,0)+IF(AND(V212&lt;20,W212&gt;=55,W212&lt;105),0.23,0)+IF(AND(V212&lt;20,W212&gt;=105),0.17,0)+IF(AND(V212&gt;=20,V212&lt;40,W212&lt;45),0.3,0)+IF(AND(V212&gt;=20,V212&lt;40,W212&gt;=45,W212&lt;95),0.23,0)+IF(AND(V212&gt;=20,V212&lt;40,W212&gt;=95,W212&lt;=200),0.17,0)+IF(AND(V212&gt;=20,V212&lt;40,W212&gt;=200),0.12,0)+IF(AND(V212&gt;=40,V212&lt;75,W212&lt;35),0.3,0)+IF(AND(V212&gt;=40,V212&lt;75,W212&gt;=35,W212&lt;75),0.23,0)+IF(AND(V212&gt;=40,V212&lt;75,W212&gt;=75,W212&lt;120),0.17,0)+IF(AND(V212&gt;=40,V212&lt;75,W212&gt;=120),0.12,0)+IF(AND(V212&gt;=75,V212&lt;175,W212&lt;35),0.3,0)+IF(AND(V212&gt;=75,V212&lt;=175,W212&gt;=35,W212&lt;65),0.23,0)+IF(AND(V212&gt;=75,V212&lt;=175,W212&gt;=65,W212&lt;110),0.17,0)+IF(AND(V212&gt;=75,V212&lt;=175,W212&gt;=110),0.12,0)+IF(AND(V212&gt;175,W212&lt;25),0.3,0)+IF(AND(V212&gt;175,W212&gt;=25,W212&lt;55),0.23,0)+IF(AND(V212&gt;175,W212&gt;=55,W212&lt;95),0.17,0)+IF(AND(V212&gt;175,W212&gt;=95),0.12,0),
IF(AF212="DoEVLo",IF(AND(V212&lt;20,W212&lt;55),0.25,0)+IF(AND(V212&lt;20,W212&gt;=55,W212&lt;105),0.2,0)+IF(AND(V212&lt;20,W212&gt;=105),0.15,0)+IF(AND(V212&gt;=20,V212&lt;40,W212&lt;45),0.25,0)+IF(AND(V212&gt;=20,V212&lt;40,W212&gt;=45,W212&lt;95),0.2,0)+IF(AND(V212&gt;=20,V212&lt;40,W212&gt;=95),0.15,0)+IF(AND(V212&gt;=40,V212&lt;75,W212&lt;35),0.25,0)+IF(AND(V212&gt;=40,V212&lt;75,W212&gt;=35,W212&lt;75),0.2,0)+IF(AND(V212&gt;=40,V212&lt;75,W212&gt;=75,W212&lt;120),0.15,0)+IF(AND(V212&gt;=40,V212&lt;75,W212&gt;=120),0.1,0)+IF(AND(V212&gt;=75,V212&lt;175,W212&lt;35),0.25,0)+IF(AND(V212&gt;=75,V212&lt;=175,W212&gt;=35,W212&lt;65),0.2,0)+IF(AND(V212&gt;=75,V212&lt;=175,W212&gt;=65,W212&lt;110),0.15,0)+IF(AND(V212&gt;=75,V212&lt;=175,W212&gt;=110),0.1,0)+IF(AND(V212&gt;175,W212&lt;25),0.25,0)+IF(AND(V212&gt;175,W212&gt;=25,W212&lt;55),0.2,0)+IF(AND(V212&gt;175,W212&gt;=55,W212&lt;95),0.15,0)+IF(AND(V212&gt;175,W212&gt;=95),0.1,0))))))))))))))))</f>
        <v>0.15</v>
      </c>
      <c r="Y212" s="30">
        <f>IF(AG212="None",0,IF(AG212="Fix5",0.05,IF(AG212="Fix3.75",0.0375,IF(AG212="Fix10",0.1,IF(AG212="Fix3",0.03,0)))))</f>
        <v>0</v>
      </c>
      <c r="Z212" s="35">
        <f>T212-AA212-AB212</f>
        <v>59.5</v>
      </c>
      <c r="AA212" s="29">
        <f>IF(AD212="EUR",((T212-R212)*X212)*U212+(R212*X212),(T212*X212))</f>
        <v>10.5</v>
      </c>
      <c r="AB212" s="36">
        <f>IF(AD212="EUR",((T212-R212)*Y212)*U212+(R212*Y212),(T212*Y212))</f>
        <v>0</v>
      </c>
      <c r="AC212" s="37" t="b">
        <v>1</v>
      </c>
      <c r="AD212" s="37" t="s">
        <v>38</v>
      </c>
      <c r="AE212" s="37" t="s">
        <v>38</v>
      </c>
      <c r="AF212" s="37" t="str">
        <f t="array" ref="AF212">INDEX('Deal Info'!D:D, MATCH(A212,'Deal Info'!A:A, 0))</f>
        <v>DoEVLo</v>
      </c>
      <c r="AG212" s="38" t="str">
        <f t="array" ref="AG212">INDEX('Deal Info'!G:G, MATCH(A212,'Deal Info'!A:A, 0))</f>
        <v>None</v>
      </c>
    </row>
    <row r="213" spans="1:33" ht="14.25" hidden="1" x14ac:dyDescent="0.2">
      <c r="A213" s="18" t="str">
        <f t="array" ref="A213">IF(G213='Room Info'!$B$1, INDEX('Room Info'!$A$2:$A2446, MATCH(B213,'Room Info'!$B$2:$B2446, 0)),IF(G213='Room Info'!$C$1, INDEX('Room Info'!$A$2:$A2446, MATCH(B213,'Room Info'!$C$2:$C2446, 0)),IF(G213='Room Info'!$D$1, INDEX('Room Info'!$A$2:$A2446, MATCH(B213,'Room Info'!$D$2:$D2446, 0)),IF(G213='Room Info'!$E$1, INDEX('Room Info'!$A$2:$A2446, MATCH(B213,'Room Info'!$E$2:$E2446, 0)),IF(G213='Room Info'!$F$1, INDEX('Room Info'!$A$2:$A2446, MATCH(B213,'Room Info'!$F$2:$F2446, 0)),IF(G213='Room Info'!$H$1, INDEX('Room Info'!$A$2:$A2446, MATCH(B213,'Room Info'!$H$2:$H2446, 0)),IF(G213='Room Info'!$G$1, INDEX('Room Info'!$A$2:$A2446, MATCH(B213,'Room Info'!$G$2:$G2446, 0)))))))))</f>
        <v>Lo4io</v>
      </c>
      <c r="B213" s="45" t="s">
        <v>102</v>
      </c>
      <c r="C213" s="77">
        <v>44702</v>
      </c>
      <c r="D213" s="77">
        <v>44732</v>
      </c>
      <c r="E213" s="47">
        <v>44713</v>
      </c>
      <c r="F213" s="48" t="s">
        <v>34</v>
      </c>
      <c r="G213" s="45" t="s">
        <v>35</v>
      </c>
      <c r="H213" s="49" t="s">
        <v>72</v>
      </c>
      <c r="I213" s="49" t="s">
        <v>37</v>
      </c>
      <c r="J213" s="74">
        <v>50</v>
      </c>
      <c r="K213" s="75">
        <v>253</v>
      </c>
      <c r="L213" s="72">
        <v>-850</v>
      </c>
      <c r="M213" s="76">
        <v>115</v>
      </c>
      <c r="N213" s="28">
        <f>K213*J213</f>
        <v>12650</v>
      </c>
      <c r="O213" s="45">
        <v>11376</v>
      </c>
      <c r="P213" s="29">
        <v>44.964426879999998</v>
      </c>
      <c r="Q213" s="55"/>
      <c r="R213" s="31">
        <f>M213+Q213</f>
        <v>115</v>
      </c>
      <c r="S213" s="73">
        <v>267</v>
      </c>
      <c r="T213" s="32">
        <f>R213+S213+IF(F213="Without EV deal",L213,0)</f>
        <v>382</v>
      </c>
      <c r="U213" s="57">
        <v>1</v>
      </c>
      <c r="V213" s="69">
        <v>48.608649415101027</v>
      </c>
      <c r="W213" s="69">
        <v>89.099369188696443</v>
      </c>
      <c r="X213" s="30">
        <f>IF(AF213="DoEV",IF(AND(V213&lt;20,W213&lt;55),0.3,0)+IF(AND(V213&lt;20,W213&gt;=55,W213&lt;105),0.23,0)+IF(AND(V213&lt;20,W213&gt;=105),0.17,0)+IF(AND(V213&gt;=20,V213&lt;40,W213&lt;45),0.3,0)+IF(AND(V213&gt;=20,V213&lt;40,W213&gt;=45,W213&lt;95),0.23,0)+IF(AND(V213&gt;=20,V213&lt;40,W213&gt;=95),0.17,0)+IF(AND(V213&gt;=40,V213&lt;75,W213&lt;35),0.3,0)+IF(AND(V213&gt;=40,V213&lt;75,W213&gt;=35,W213&lt;75),0.23,0)+IF(AND(V213&gt;=40,V213&lt;75,W213&gt;=75,W213&lt;120),0.17,0)+IF(AND(V213&gt;=40,V213&lt;75,W213&gt;=120),0.12,0)+IF(AND(V213&gt;=75,V213&lt;175,W213&lt;35),0.3,0)+IF(AND(V213&gt;=75,V213&lt;=175,W213&gt;=35,W213&lt;65),0.23,0)+IF(AND(V213&gt;=75,V213&lt;=175,W213&gt;=65,W213&lt;110),0.17,0)+IF(AND(V213&gt;=75,V213&lt;=175,W213&gt;=110),0.12,0)+IF(AND(V213&gt;175,W213&lt;25),0.3,0)+IF(AND(V213&gt;175,W213&gt;=25,W213&lt;55),0.23,0)+IF(AND(V213&gt;175,W213&gt;=55,W213&lt;95),0.17,0)+IF(AND(V213&gt;175,W213&gt;=95),0.12,0),
IF(AF213="Fix15",0.15,
IF(AF213="Fix11.25",0.1125,
IF(AF213="Fix10",0.1,
IF(AF213="Fix9",0.09,
IF(AF213="DoEV2017",IF(AND(W213&lt;74),0.2,0)+IF(AND(W213&gt;=74),0.17,0),
IF(AF213="SF",IF(AND(V213&lt;20,W213&lt;89),0.3,0)+IF(AND(V213&lt;20,W213&gt;=89),0.25,0)+IF(AND(V213&gt;=20,V213&lt;40,W213&lt;74),0.3,0)+IF(AND(V213&gt;=20,V213&lt;40,W213&gt;=75),0.22,0)+IF(AND(V213&gt;=40,V213&lt;75,W213&lt;75),0.26,0)+IF(AND(V213&gt;=40,V213&lt;75,W213&gt;=75),0.22,0)+IF(V213&gt;=75,0.22,0),
IF(AF213="DoEVold",IF(AND(V213&lt;40,W213&lt;35),0.35,0)+IF(AND(V213&lt;40,W213&gt;=35,W213&lt;75),0.25,0)+IF(AND(V213&lt;40,W213&gt;=75),0.17,0)+IF(AND(V213&gt;=40,V213&lt;75,W213&lt;25),0.35,0)+IF(AND(V213&gt;=40,V213&lt;75,W213&gt;=25,W213&lt;65),0.25,0)+IF(AND(V213&gt;=40,V213&lt;75,W213&gt;=65,W213&lt;100),0.17,0)+IF(AND(V213&gt;=40,V213&lt;75,W213&gt;=100),0.1,0)+IF(AND(V213&gt;=75,W213&lt;25),0.35,0)+IF(AND(V213&gt;=75,W213&gt;=25,W213&lt;60),0.25,0)+IF(AND(V213&gt;=75,W213&gt;=60,W213&lt;95),0.17,0)+IF(AND(V213&gt;=75,W213&gt;=95),0.1,0),
IF(AF213="DoEVold15",IF(AND(V213&lt;=40,W213&lt;35),0.35,0)+IF(AND(V213&lt;=40,W213&gt;=35,W213&lt;75),0.25,0)+IF(AND(V213&lt;=40,W213&gt;=75,W213&lt;120),0.17,0)+IF(AND(V213&lt;=40,W213&gt;=120),0.15,0)+IF(AND(V213&gt;40,V213&lt;75,W213&lt;25),0.35,0)+IF(AND(V213&gt;=40,V213&lt;75,W213&gt;=25,W213&lt;65),0.25,0)+IF(AND(V213&gt;=40,V213&lt;75,W213&gt;=65,W213&lt;100),0.17,0)+IF(AND(V213&gt;=40,V213&lt;75,W213&gt;=100),0.1,0)+IF(AND(V213&gt;=75,W213&lt;25),0.35,0)+IF(AND(V213&gt;=75,W213&gt;=25,W213&lt;60),0.25,0)+IF(AND(V213&gt;=75,W213&gt;=60,W213&lt;95),0.17,0)+IF(AND(V213&gt;=75,W213&gt;=95),0.1,0),
IF(AF213="DoEVba",IF(AND(V213&lt;20,W213&lt;105),0.2,0)+IF(AND(V213&lt;20,W213&gt;=105),0.15,0)+IF(AND(V213&gt;=20,V213&lt;40,W213&lt;95),0.2,0)+IF(AND(V213&gt;=20,V213&lt;40,W213&gt;=95,W213&lt;150),0.15,0)+IF(AND(V213&gt;=20,V213&lt;40,W213&gt;=150),0.12,0)+IF(AND(V213&gt;=40,V213&lt;75,W213&lt;75),0.2,0)+IF(AND(V213&gt;=40,V213&lt;75,W213&gt;=75,W213&lt;120),0.15,0)+IF(AND(V213&gt;=40,V213&lt;75,W213&gt;=120),0.12,0)+IF(AND(V213&gt;=75,V213&lt;175,W213&lt;65),0.2,0)+IF(AND(V213&gt;=75,V213&lt;175,W213&gt;=65,W213&lt;110),0.15,0)+IF(AND(V213&gt;=75,V213&lt;175,W213&gt;=110),0.12,0)+IF(AND(V213&gt;=175,W213&lt;55),0.2,0)+IF(AND(V213&gt;=175,W213&gt;=55,W213&lt;95),0.15,0)+IF(AND(V213&gt;=175,W213&gt;=95),0.12,0),
IF(AF213="DoEVku",IF(AND(V213&lt;20,W213&lt;55),0.23,0)+IF(AND(V213&lt;20,W213&gt;=55,W213&lt;105),0.2,0)+IF(AND(V213&lt;20,W213&gt;=105),0.17,0)+IF(AND(V213&gt;=20,V213&lt;40,W213&lt;45),0.23,0)+IF(AND(V213&gt;=20,V213&lt;40,W213&gt;=45,W213&lt;95),0.2,0)+IF(AND(V213&gt;=20,V213&lt;40,W213&gt;=95,W213&lt;=150),0.17,0)+IF(AND(V213&gt;=20,V213&lt;40,W213&gt;=150),0.12,0)+IF(AND(V213&gt;=40,V213&lt;75,W213&lt;35),0.23,0)+IF(AND(V213&gt;=40,V213&lt;75,W213&gt;=35,W213&lt;75),0.2,0)+IF(AND(V213&gt;=40,V213&lt;75,W213&gt;=75,W213&lt;120),0.17,0)+IF(AND(V213&gt;=40,V213&lt;75,W213&gt;=120),0.12,0)+IF(AND(V213&gt;=75,V213&lt;175,W213&lt;35),0.23,0)+IF(AND(V213&gt;=75,V213&lt;=175,W213&gt;=35,W213&lt;65),0.2,0)+IF(AND(V213&gt;=75,V213&lt;=175,W213&gt;=65,W213&lt;110),0.17,0)+IF(AND(V213&gt;=75,V213&lt;=175,W213&gt;=110),0.12,0)+IF(AND(V213&gt;175,W213&lt;25),0.23,0)+IF(AND(V213&gt;175,W213&gt;=25,W213&lt;55),0.2,0)+IF(AND(V213&gt;175,W213&gt;=55,W213&lt;95),0.17,0)+IF(AND(V213&gt;175,W213&gt;=95),0.12,0),
IF(AF213="DoEVs1",IF(AND(V213&lt;20,W213&lt;55),0.3,0)+IF(AND(V213&lt;20,W213&gt;=55,W213&lt;105),0.23,0)+IF(AND(V213&lt;20,W213&gt;=105),0.17,0)+IF(AND(V213&gt;=20,V213&lt;40,W213&lt;45),0.3,0)+IF(AND(V213&gt;=20,V213&lt;40,W213&gt;=45,W213&lt;95),0.23,0)+IF(AND(V213&gt;=20,V213&lt;40,W213&gt;=95,W213&lt;=150),0.17,0)+IF(AND(V213&gt;=20,V213&lt;40,W213&gt;=150),0.12,0)+IF(AND(V213&gt;=40,V213&lt;75,W213&lt;35),0.3,0)+IF(AND(V213&gt;=40,V213&lt;75,W213&gt;=35,W213&lt;75),0.23,0)+IF(AND(V213&gt;=40,V213&lt;75,W213&gt;=75,W213&lt;120),0.17,0)+IF(AND(V213&gt;=40,V213&lt;75,W213&gt;=120),0.12,0)+IF(AND(V213&gt;=75,V213&lt;175,W213&lt;35),0.3,0)+IF(AND(V213&gt;=75,V213&lt;=175,W213&gt;=35,W213&lt;65),0.23,0)+IF(AND(V213&gt;=75,V213&lt;=175,W213&gt;=65,W213&lt;110),0.17,0)+IF(AND(V213&gt;=75,V213&lt;=175,W213&gt;=110),0.12,0)+IF(AND(V213&gt;175,W213&lt;25),0.3,0)+IF(AND(V213&gt;175,W213&gt;=25,W213&lt;55),0.23,0)+IF(AND(V213&gt;175,W213&gt;=55,W213&lt;95),0.17,0)+IF(AND(V213&gt;175,W213&gt;=95),0.12,0),
IF(AF213="DoEVsu",IF(AND(V213&lt;20,W213&lt;55),0.3,0)+IF(AND(V213&lt;20,W213&gt;=55,W213&lt;105),0.23,0)+IF(AND(V213&lt;20,W213&gt;=105),0.17,0)+IF(AND(V213&gt;=20,V213&lt;40,W213&lt;45),0.3,0)+IF(AND(V213&gt;=20,V213&lt;40,W213&gt;=45,W213&lt;95),0.23,0)+IF(AND(V213&gt;=20,V213&lt;40,W213&gt;=95,W213&lt;=250),0.17,0)+IF(AND(V213&gt;=20,V213&lt;40,W213&gt;=250),0.12,0)+IF(AND(V213&gt;=40,V213&lt;75,W213&lt;35),0.3,0)+IF(AND(V213&gt;=40,V213&lt;75,W213&gt;=35,W213&lt;75),0.23,0)+IF(AND(V213&gt;=40,V213&lt;75,W213&gt;=75,W213&lt;120),0.17,0)+IF(AND(V213&gt;=40,V213&lt;75,W213&gt;=120),0.12,0)+IF(AND(V213&gt;=75,V213&lt;175,W213&lt;35),0.3,0)+IF(AND(V213&gt;=75,V213&lt;=175,W213&gt;=35,W213&lt;65),0.23,0)+IF(AND(V213&gt;=75,V213&lt;=175,W213&gt;=65,W213&lt;110),0.17,0)+IF(AND(V213&gt;=75,V213&lt;=175,W213&gt;=110),0.12,0)+IF(AND(V213&gt;175,W213&lt;25),0.3,0)+IF(AND(V213&gt;175,W213&gt;=25,W213&lt;55),0.23,0)+IF(AND(V213&gt;175,W213&gt;=55,W213&lt;95),0.17,0)+IF(AND(V213&gt;175,W213&gt;=95),0.12,0),
IF(AF213="DoEVni",IF(AND(V213&lt;20,W213&lt;55),0.3,0)+IF(AND(V213&lt;20,W213&gt;=55,W213&lt;105),0.23,0)+IF(AND(V213&lt;20,W213&gt;=105),0.17,0)+IF(AND(V213&gt;=20,V213&lt;40,W213&lt;45),0.3,0)+IF(AND(V213&gt;=20,V213&lt;40,W213&gt;=45,W213&lt;95),0.23,0)+IF(AND(V213&gt;=20,V213&lt;40,W213&gt;=95,W213&lt;=200),0.17,0)+IF(AND(V213&gt;=20,V213&lt;40,W213&gt;=200),0.12,0)+IF(AND(V213&gt;=40,V213&lt;75,W213&lt;35),0.3,0)+IF(AND(V213&gt;=40,V213&lt;75,W213&gt;=35,W213&lt;75),0.23,0)+IF(AND(V213&gt;=40,V213&lt;75,W213&gt;=75,W213&lt;120),0.17,0)+IF(AND(V213&gt;=40,V213&lt;75,W213&gt;=120),0.12,0)+IF(AND(V213&gt;=75,V213&lt;175,W213&lt;35),0.3,0)+IF(AND(V213&gt;=75,V213&lt;=175,W213&gt;=35,W213&lt;65),0.23,0)+IF(AND(V213&gt;=75,V213&lt;=175,W213&gt;=65,W213&lt;110),0.17,0)+IF(AND(V213&gt;=75,V213&lt;=175,W213&gt;=110),0.12,0)+IF(AND(V213&gt;175,W213&lt;25),0.3,0)+IF(AND(V213&gt;175,W213&gt;=25,W213&lt;55),0.23,0)+IF(AND(V213&gt;175,W213&gt;=55,W213&lt;95),0.17,0)+IF(AND(V213&gt;175,W213&gt;=95),0.12,0),
IF(AF213="DoEVLo",IF(AND(V213&lt;20,W213&lt;55),0.25,0)+IF(AND(V213&lt;20,W213&gt;=55,W213&lt;105),0.2,0)+IF(AND(V213&lt;20,W213&gt;=105),0.15,0)+IF(AND(V213&gt;=20,V213&lt;40,W213&lt;45),0.25,0)+IF(AND(V213&gt;=20,V213&lt;40,W213&gt;=45,W213&lt;95),0.2,0)+IF(AND(V213&gt;=20,V213&lt;40,W213&gt;=95),0.15,0)+IF(AND(V213&gt;=40,V213&lt;75,W213&lt;35),0.25,0)+IF(AND(V213&gt;=40,V213&lt;75,W213&gt;=35,W213&lt;75),0.2,0)+IF(AND(V213&gt;=40,V213&lt;75,W213&gt;=75,W213&lt;120),0.15,0)+IF(AND(V213&gt;=40,V213&lt;75,W213&gt;=120),0.1,0)+IF(AND(V213&gt;=75,V213&lt;175,W213&lt;35),0.25,0)+IF(AND(V213&gt;=75,V213&lt;=175,W213&gt;=35,W213&lt;65),0.2,0)+IF(AND(V213&gt;=75,V213&lt;=175,W213&gt;=65,W213&lt;110),0.15,0)+IF(AND(V213&gt;=75,V213&lt;=175,W213&gt;=110),0.1,0)+IF(AND(V213&gt;175,W213&lt;25),0.25,0)+IF(AND(V213&gt;175,W213&gt;=25,W213&lt;55),0.2,0)+IF(AND(V213&gt;175,W213&gt;=55,W213&lt;95),0.15,0)+IF(AND(V213&gt;175,W213&gt;=95),0.1,0))))))))))))))))</f>
        <v>0.15</v>
      </c>
      <c r="Y213" s="30">
        <f>IF(AG213="None",0,IF(AG213="Fix5",0.05,IF(AG213="Fix3.75",0.0375,IF(AG213="Fix10",0.1,IF(AG213="Fix3",0.03,0)))))</f>
        <v>0</v>
      </c>
      <c r="Z213" s="35">
        <f>T213-AA213-AB213</f>
        <v>324.7</v>
      </c>
      <c r="AA213" s="29">
        <f>IF(AD213="EUR",((T213-R213)*X213)*U213+(R213*X213),(T213*X213))</f>
        <v>57.3</v>
      </c>
      <c r="AB213" s="36">
        <f>IF(AD213="EUR",((T213-R213)*Y213)*U213+(R213*Y213),(T213*Y213))</f>
        <v>0</v>
      </c>
      <c r="AC213" s="37" t="b">
        <v>1</v>
      </c>
      <c r="AD213" s="37" t="s">
        <v>38</v>
      </c>
      <c r="AE213" s="37" t="s">
        <v>38</v>
      </c>
      <c r="AF213" s="37" t="str">
        <f t="array" ref="AF213">INDEX('Deal Info'!D:D, MATCH(A213,'Deal Info'!A:A, 0))</f>
        <v>DoEVLo</v>
      </c>
      <c r="AG213" s="38" t="str">
        <f t="array" ref="AG213">INDEX('Deal Info'!G:G, MATCH(A213,'Deal Info'!A:A, 0))</f>
        <v>None</v>
      </c>
    </row>
    <row r="214" spans="1:33" ht="14.25" hidden="1" x14ac:dyDescent="0.2">
      <c r="A214" s="18" t="str">
        <f t="array" ref="A214">IF(G214='Room Info'!$B$1, INDEX('Room Info'!$A$2:$A2446, MATCH(B214,'Room Info'!$B$2:$B2446, 0)),IF(G214='Room Info'!$C$1, INDEX('Room Info'!$A$2:$A2446, MATCH(B214,'Room Info'!$C$2:$C2446, 0)),IF(G214='Room Info'!$D$1, INDEX('Room Info'!$A$2:$A2446, MATCH(B214,'Room Info'!$D$2:$D2446, 0)),IF(G214='Room Info'!$E$1, INDEX('Room Info'!$A$2:$A2446, MATCH(B214,'Room Info'!$E$2:$E2446, 0)),IF(G214='Room Info'!$F$1, INDEX('Room Info'!$A$2:$A2446, MATCH(B214,'Room Info'!$F$2:$F2446, 0)),IF(G214='Room Info'!$H$1, INDEX('Room Info'!$A$2:$A2446, MATCH(B214,'Room Info'!$H$2:$H2446, 0)),IF(G214='Room Info'!$G$1, INDEX('Room Info'!$A$2:$A2446, MATCH(B214,'Room Info'!$G$2:$G2446, 0)))))))))</f>
        <v>Lo4io</v>
      </c>
      <c r="B214" s="45" t="s">
        <v>102</v>
      </c>
      <c r="C214" s="77">
        <v>44733</v>
      </c>
      <c r="D214" s="77">
        <v>44762</v>
      </c>
      <c r="E214" s="47">
        <v>44743</v>
      </c>
      <c r="F214" s="48" t="s">
        <v>34</v>
      </c>
      <c r="G214" s="45" t="s">
        <v>35</v>
      </c>
      <c r="H214" s="49" t="s">
        <v>72</v>
      </c>
      <c r="I214" s="49" t="s">
        <v>37</v>
      </c>
      <c r="J214" s="74">
        <v>50</v>
      </c>
      <c r="K214" s="75">
        <v>125</v>
      </c>
      <c r="L214" s="72">
        <v>-150</v>
      </c>
      <c r="M214" s="76">
        <v>75</v>
      </c>
      <c r="N214" s="28">
        <f>K214*J214</f>
        <v>6250</v>
      </c>
      <c r="O214" s="45">
        <v>13797</v>
      </c>
      <c r="P214" s="29">
        <v>110.376</v>
      </c>
      <c r="Q214" s="55"/>
      <c r="R214" s="31">
        <f>M214+Q214</f>
        <v>75</v>
      </c>
      <c r="S214" s="73">
        <v>867</v>
      </c>
      <c r="T214" s="32">
        <f>R214+S214+IF(F214="Without EV deal",L214,0)</f>
        <v>942</v>
      </c>
      <c r="U214" s="57">
        <v>1</v>
      </c>
      <c r="V214" s="69">
        <v>82.061705989110706</v>
      </c>
      <c r="W214" s="69">
        <v>38.190773177636238</v>
      </c>
      <c r="X214" s="30">
        <f>IF(AF214="DoEV",IF(AND(V214&lt;20,W214&lt;55),0.3,0)+IF(AND(V214&lt;20,W214&gt;=55,W214&lt;105),0.23,0)+IF(AND(V214&lt;20,W214&gt;=105),0.17,0)+IF(AND(V214&gt;=20,V214&lt;40,W214&lt;45),0.3,0)+IF(AND(V214&gt;=20,V214&lt;40,W214&gt;=45,W214&lt;95),0.23,0)+IF(AND(V214&gt;=20,V214&lt;40,W214&gt;=95),0.17,0)+IF(AND(V214&gt;=40,V214&lt;75,W214&lt;35),0.3,0)+IF(AND(V214&gt;=40,V214&lt;75,W214&gt;=35,W214&lt;75),0.23,0)+IF(AND(V214&gt;=40,V214&lt;75,W214&gt;=75,W214&lt;120),0.17,0)+IF(AND(V214&gt;=40,V214&lt;75,W214&gt;=120),0.12,0)+IF(AND(V214&gt;=75,V214&lt;175,W214&lt;35),0.3,0)+IF(AND(V214&gt;=75,V214&lt;=175,W214&gt;=35,W214&lt;65),0.23,0)+IF(AND(V214&gt;=75,V214&lt;=175,W214&gt;=65,W214&lt;110),0.17,0)+IF(AND(V214&gt;=75,V214&lt;=175,W214&gt;=110),0.12,0)+IF(AND(V214&gt;175,W214&lt;25),0.3,0)+IF(AND(V214&gt;175,W214&gt;=25,W214&lt;55),0.23,0)+IF(AND(V214&gt;175,W214&gt;=55,W214&lt;95),0.17,0)+IF(AND(V214&gt;175,W214&gt;=95),0.12,0),
IF(AF214="Fix15",0.15,
IF(AF214="Fix11.25",0.1125,
IF(AF214="Fix10",0.1,
IF(AF214="Fix9",0.09,
IF(AF214="DoEV2017",IF(AND(W214&lt;74),0.2,0)+IF(AND(W214&gt;=74),0.17,0),
IF(AF214="SF",IF(AND(V214&lt;20,W214&lt;89),0.3,0)+IF(AND(V214&lt;20,W214&gt;=89),0.25,0)+IF(AND(V214&gt;=20,V214&lt;40,W214&lt;74),0.3,0)+IF(AND(V214&gt;=20,V214&lt;40,W214&gt;=75),0.22,0)+IF(AND(V214&gt;=40,V214&lt;75,W214&lt;75),0.26,0)+IF(AND(V214&gt;=40,V214&lt;75,W214&gt;=75),0.22,0)+IF(V214&gt;=75,0.22,0),
IF(AF214="DoEVold",IF(AND(V214&lt;40,W214&lt;35),0.35,0)+IF(AND(V214&lt;40,W214&gt;=35,W214&lt;75),0.25,0)+IF(AND(V214&lt;40,W214&gt;=75),0.17,0)+IF(AND(V214&gt;=40,V214&lt;75,W214&lt;25),0.35,0)+IF(AND(V214&gt;=40,V214&lt;75,W214&gt;=25,W214&lt;65),0.25,0)+IF(AND(V214&gt;=40,V214&lt;75,W214&gt;=65,W214&lt;100),0.17,0)+IF(AND(V214&gt;=40,V214&lt;75,W214&gt;=100),0.1,0)+IF(AND(V214&gt;=75,W214&lt;25),0.35,0)+IF(AND(V214&gt;=75,W214&gt;=25,W214&lt;60),0.25,0)+IF(AND(V214&gt;=75,W214&gt;=60,W214&lt;95),0.17,0)+IF(AND(V214&gt;=75,W214&gt;=95),0.1,0),
IF(AF214="DoEVold15",IF(AND(V214&lt;=40,W214&lt;35),0.35,0)+IF(AND(V214&lt;=40,W214&gt;=35,W214&lt;75),0.25,0)+IF(AND(V214&lt;=40,W214&gt;=75,W214&lt;120),0.17,0)+IF(AND(V214&lt;=40,W214&gt;=120),0.15,0)+IF(AND(V214&gt;40,V214&lt;75,W214&lt;25),0.35,0)+IF(AND(V214&gt;=40,V214&lt;75,W214&gt;=25,W214&lt;65),0.25,0)+IF(AND(V214&gt;=40,V214&lt;75,W214&gt;=65,W214&lt;100),0.17,0)+IF(AND(V214&gt;=40,V214&lt;75,W214&gt;=100),0.1,0)+IF(AND(V214&gt;=75,W214&lt;25),0.35,0)+IF(AND(V214&gt;=75,W214&gt;=25,W214&lt;60),0.25,0)+IF(AND(V214&gt;=75,W214&gt;=60,W214&lt;95),0.17,0)+IF(AND(V214&gt;=75,W214&gt;=95),0.1,0),
IF(AF214="DoEVba",IF(AND(V214&lt;20,W214&lt;105),0.2,0)+IF(AND(V214&lt;20,W214&gt;=105),0.15,0)+IF(AND(V214&gt;=20,V214&lt;40,W214&lt;95),0.2,0)+IF(AND(V214&gt;=20,V214&lt;40,W214&gt;=95,W214&lt;150),0.15,0)+IF(AND(V214&gt;=20,V214&lt;40,W214&gt;=150),0.12,0)+IF(AND(V214&gt;=40,V214&lt;75,W214&lt;75),0.2,0)+IF(AND(V214&gt;=40,V214&lt;75,W214&gt;=75,W214&lt;120),0.15,0)+IF(AND(V214&gt;=40,V214&lt;75,W214&gt;=120),0.12,0)+IF(AND(V214&gt;=75,V214&lt;175,W214&lt;65),0.2,0)+IF(AND(V214&gt;=75,V214&lt;175,W214&gt;=65,W214&lt;110),0.15,0)+IF(AND(V214&gt;=75,V214&lt;175,W214&gt;=110),0.12,0)+IF(AND(V214&gt;=175,W214&lt;55),0.2,0)+IF(AND(V214&gt;=175,W214&gt;=55,W214&lt;95),0.15,0)+IF(AND(V214&gt;=175,W214&gt;=95),0.12,0),
IF(AF214="DoEVku",IF(AND(V214&lt;20,W214&lt;55),0.23,0)+IF(AND(V214&lt;20,W214&gt;=55,W214&lt;105),0.2,0)+IF(AND(V214&lt;20,W214&gt;=105),0.17,0)+IF(AND(V214&gt;=20,V214&lt;40,W214&lt;45),0.23,0)+IF(AND(V214&gt;=20,V214&lt;40,W214&gt;=45,W214&lt;95),0.2,0)+IF(AND(V214&gt;=20,V214&lt;40,W214&gt;=95,W214&lt;=150),0.17,0)+IF(AND(V214&gt;=20,V214&lt;40,W214&gt;=150),0.12,0)+IF(AND(V214&gt;=40,V214&lt;75,W214&lt;35),0.23,0)+IF(AND(V214&gt;=40,V214&lt;75,W214&gt;=35,W214&lt;75),0.2,0)+IF(AND(V214&gt;=40,V214&lt;75,W214&gt;=75,W214&lt;120),0.17,0)+IF(AND(V214&gt;=40,V214&lt;75,W214&gt;=120),0.12,0)+IF(AND(V214&gt;=75,V214&lt;175,W214&lt;35),0.23,0)+IF(AND(V214&gt;=75,V214&lt;=175,W214&gt;=35,W214&lt;65),0.2,0)+IF(AND(V214&gt;=75,V214&lt;=175,W214&gt;=65,W214&lt;110),0.17,0)+IF(AND(V214&gt;=75,V214&lt;=175,W214&gt;=110),0.12,0)+IF(AND(V214&gt;175,W214&lt;25),0.23,0)+IF(AND(V214&gt;175,W214&gt;=25,W214&lt;55),0.2,0)+IF(AND(V214&gt;175,W214&gt;=55,W214&lt;95),0.17,0)+IF(AND(V214&gt;175,W214&gt;=95),0.12,0),
IF(AF214="DoEVs1",IF(AND(V214&lt;20,W214&lt;55),0.3,0)+IF(AND(V214&lt;20,W214&gt;=55,W214&lt;105),0.23,0)+IF(AND(V214&lt;20,W214&gt;=105),0.17,0)+IF(AND(V214&gt;=20,V214&lt;40,W214&lt;45),0.3,0)+IF(AND(V214&gt;=20,V214&lt;40,W214&gt;=45,W214&lt;95),0.23,0)+IF(AND(V214&gt;=20,V214&lt;40,W214&gt;=95,W214&lt;=150),0.17,0)+IF(AND(V214&gt;=20,V214&lt;40,W214&gt;=150),0.12,0)+IF(AND(V214&gt;=40,V214&lt;75,W214&lt;35),0.3,0)+IF(AND(V214&gt;=40,V214&lt;75,W214&gt;=35,W214&lt;75),0.23,0)+IF(AND(V214&gt;=40,V214&lt;75,W214&gt;=75,W214&lt;120),0.17,0)+IF(AND(V214&gt;=40,V214&lt;75,W214&gt;=120),0.12,0)+IF(AND(V214&gt;=75,V214&lt;175,W214&lt;35),0.3,0)+IF(AND(V214&gt;=75,V214&lt;=175,W214&gt;=35,W214&lt;65),0.23,0)+IF(AND(V214&gt;=75,V214&lt;=175,W214&gt;=65,W214&lt;110),0.17,0)+IF(AND(V214&gt;=75,V214&lt;=175,W214&gt;=110),0.12,0)+IF(AND(V214&gt;175,W214&lt;25),0.3,0)+IF(AND(V214&gt;175,W214&gt;=25,W214&lt;55),0.23,0)+IF(AND(V214&gt;175,W214&gt;=55,W214&lt;95),0.17,0)+IF(AND(V214&gt;175,W214&gt;=95),0.12,0),
IF(AF214="DoEVsu",IF(AND(V214&lt;20,W214&lt;55),0.3,0)+IF(AND(V214&lt;20,W214&gt;=55,W214&lt;105),0.23,0)+IF(AND(V214&lt;20,W214&gt;=105),0.17,0)+IF(AND(V214&gt;=20,V214&lt;40,W214&lt;45),0.3,0)+IF(AND(V214&gt;=20,V214&lt;40,W214&gt;=45,W214&lt;95),0.23,0)+IF(AND(V214&gt;=20,V214&lt;40,W214&gt;=95,W214&lt;=250),0.17,0)+IF(AND(V214&gt;=20,V214&lt;40,W214&gt;=250),0.12,0)+IF(AND(V214&gt;=40,V214&lt;75,W214&lt;35),0.3,0)+IF(AND(V214&gt;=40,V214&lt;75,W214&gt;=35,W214&lt;75),0.23,0)+IF(AND(V214&gt;=40,V214&lt;75,W214&gt;=75,W214&lt;120),0.17,0)+IF(AND(V214&gt;=40,V214&lt;75,W214&gt;=120),0.12,0)+IF(AND(V214&gt;=75,V214&lt;175,W214&lt;35),0.3,0)+IF(AND(V214&gt;=75,V214&lt;=175,W214&gt;=35,W214&lt;65),0.23,0)+IF(AND(V214&gt;=75,V214&lt;=175,W214&gt;=65,W214&lt;110),0.17,0)+IF(AND(V214&gt;=75,V214&lt;=175,W214&gt;=110),0.12,0)+IF(AND(V214&gt;175,W214&lt;25),0.3,0)+IF(AND(V214&gt;175,W214&gt;=25,W214&lt;55),0.23,0)+IF(AND(V214&gt;175,W214&gt;=55,W214&lt;95),0.17,0)+IF(AND(V214&gt;175,W214&gt;=95),0.12,0),
IF(AF214="DoEVni",IF(AND(V214&lt;20,W214&lt;55),0.3,0)+IF(AND(V214&lt;20,W214&gt;=55,W214&lt;105),0.23,0)+IF(AND(V214&lt;20,W214&gt;=105),0.17,0)+IF(AND(V214&gt;=20,V214&lt;40,W214&lt;45),0.3,0)+IF(AND(V214&gt;=20,V214&lt;40,W214&gt;=45,W214&lt;95),0.23,0)+IF(AND(V214&gt;=20,V214&lt;40,W214&gt;=95,W214&lt;=200),0.17,0)+IF(AND(V214&gt;=20,V214&lt;40,W214&gt;=200),0.12,0)+IF(AND(V214&gt;=40,V214&lt;75,W214&lt;35),0.3,0)+IF(AND(V214&gt;=40,V214&lt;75,W214&gt;=35,W214&lt;75),0.23,0)+IF(AND(V214&gt;=40,V214&lt;75,W214&gt;=75,W214&lt;120),0.17,0)+IF(AND(V214&gt;=40,V214&lt;75,W214&gt;=120),0.12,0)+IF(AND(V214&gt;=75,V214&lt;175,W214&lt;35),0.3,0)+IF(AND(V214&gt;=75,V214&lt;=175,W214&gt;=35,W214&lt;65),0.23,0)+IF(AND(V214&gt;=75,V214&lt;=175,W214&gt;=65,W214&lt;110),0.17,0)+IF(AND(V214&gt;=75,V214&lt;=175,W214&gt;=110),0.12,0)+IF(AND(V214&gt;175,W214&lt;25),0.3,0)+IF(AND(V214&gt;175,W214&gt;=25,W214&lt;55),0.23,0)+IF(AND(V214&gt;175,W214&gt;=55,W214&lt;95),0.17,0)+IF(AND(V214&gt;175,W214&gt;=95),0.12,0),
IF(AF214="DoEVLo",IF(AND(V214&lt;20,W214&lt;55),0.25,0)+IF(AND(V214&lt;20,W214&gt;=55,W214&lt;105),0.2,0)+IF(AND(V214&lt;20,W214&gt;=105),0.15,0)+IF(AND(V214&gt;=20,V214&lt;40,W214&lt;45),0.25,0)+IF(AND(V214&gt;=20,V214&lt;40,W214&gt;=45,W214&lt;95),0.2,0)+IF(AND(V214&gt;=20,V214&lt;40,W214&gt;=95),0.15,0)+IF(AND(V214&gt;=40,V214&lt;75,W214&lt;35),0.25,0)+IF(AND(V214&gt;=40,V214&lt;75,W214&gt;=35,W214&lt;75),0.2,0)+IF(AND(V214&gt;=40,V214&lt;75,W214&gt;=75,W214&lt;120),0.15,0)+IF(AND(V214&gt;=40,V214&lt;75,W214&gt;=120),0.1,0)+IF(AND(V214&gt;=75,V214&lt;175,W214&lt;35),0.25,0)+IF(AND(V214&gt;=75,V214&lt;=175,W214&gt;=35,W214&lt;65),0.2,0)+IF(AND(V214&gt;=75,V214&lt;=175,W214&gt;=65,W214&lt;110),0.15,0)+IF(AND(V214&gt;=75,V214&lt;=175,W214&gt;=110),0.1,0)+IF(AND(V214&gt;175,W214&lt;25),0.25,0)+IF(AND(V214&gt;175,W214&gt;=25,W214&lt;55),0.2,0)+IF(AND(V214&gt;175,W214&gt;=55,W214&lt;95),0.15,0)+IF(AND(V214&gt;175,W214&gt;=95),0.1,0))))))))))))))))</f>
        <v>0.2</v>
      </c>
      <c r="Y214" s="30">
        <f>IF(AG214="None",0,IF(AG214="Fix5",0.05,IF(AG214="Fix3.75",0.0375,IF(AG214="Fix10",0.1,IF(AG214="Fix3",0.03,0)))))</f>
        <v>0</v>
      </c>
      <c r="Z214" s="35">
        <f>T214-AA214-AB214</f>
        <v>753.6</v>
      </c>
      <c r="AA214" s="29">
        <f>IF(AD214="EUR",((T214-R214)*X214)*U214+(R214*X214),(T214*X214))</f>
        <v>188.4</v>
      </c>
      <c r="AB214" s="36">
        <f>IF(AD214="EUR",((T214-R214)*Y214)*U214+(R214*Y214),(T214*Y214))</f>
        <v>0</v>
      </c>
      <c r="AC214" s="37" t="b">
        <v>1</v>
      </c>
      <c r="AD214" s="37" t="s">
        <v>38</v>
      </c>
      <c r="AE214" s="37" t="s">
        <v>38</v>
      </c>
      <c r="AF214" s="37" t="str">
        <f t="array" ref="AF214">INDEX('Deal Info'!D:D, MATCH(A214,'Deal Info'!A:A, 0))</f>
        <v>DoEVLo</v>
      </c>
      <c r="AG214" s="38" t="str">
        <f t="array" ref="AG214">INDEX('Deal Info'!G:G, MATCH(A214,'Deal Info'!A:A, 0))</f>
        <v>None</v>
      </c>
    </row>
    <row r="215" spans="1:33" ht="14.25" hidden="1" x14ac:dyDescent="0.2">
      <c r="A215" s="18" t="str">
        <f t="array" ref="A215">IF(G215='Room Info'!$B$1, INDEX('Room Info'!$A$2:$A2446, MATCH(B215,'Room Info'!$B$2:$B2446, 0)),IF(G215='Room Info'!$C$1, INDEX('Room Info'!$A$2:$A2446, MATCH(B215,'Room Info'!$C$2:$C2446, 0)),IF(G215='Room Info'!$D$1, INDEX('Room Info'!$A$2:$A2446, MATCH(B215,'Room Info'!$D$2:$D2446, 0)),IF(G215='Room Info'!$E$1, INDEX('Room Info'!$A$2:$A2446, MATCH(B215,'Room Info'!$E$2:$E2446, 0)),IF(G215='Room Info'!$F$1, INDEX('Room Info'!$A$2:$A2446, MATCH(B215,'Room Info'!$F$2:$F2446, 0)),IF(G215='Room Info'!$H$1, INDEX('Room Info'!$A$2:$A2446, MATCH(B215,'Room Info'!$H$2:$H2446, 0)),IF(G215='Room Info'!$G$1, INDEX('Room Info'!$A$2:$A2446, MATCH(B215,'Room Info'!$G$2:$G2446, 0)))))))))</f>
        <v>Lo4io</v>
      </c>
      <c r="B215" s="45" t="s">
        <v>97</v>
      </c>
      <c r="C215" s="77">
        <v>44733</v>
      </c>
      <c r="D215" s="77">
        <v>44762</v>
      </c>
      <c r="E215" s="47">
        <v>44743</v>
      </c>
      <c r="F215" s="48" t="s">
        <v>34</v>
      </c>
      <c r="G215" s="45" t="s">
        <v>80</v>
      </c>
      <c r="H215" s="49" t="s">
        <v>71</v>
      </c>
      <c r="I215" s="49" t="s">
        <v>81</v>
      </c>
      <c r="J215" s="74">
        <v>20</v>
      </c>
      <c r="K215" s="75">
        <v>9</v>
      </c>
      <c r="L215" s="72">
        <v>40</v>
      </c>
      <c r="M215" s="79"/>
      <c r="N215" s="28">
        <f>K215*J215</f>
        <v>180</v>
      </c>
      <c r="O215" s="45">
        <v>-312</v>
      </c>
      <c r="P215" s="29">
        <v>-34.666666669999998</v>
      </c>
      <c r="Q215" s="55"/>
      <c r="R215" s="31">
        <f>M215+Q215</f>
        <v>0</v>
      </c>
      <c r="S215" s="73">
        <v>-31</v>
      </c>
      <c r="T215" s="32">
        <f>R215+S215+IF(F215="Without EV deal",L215,0)</f>
        <v>-31</v>
      </c>
      <c r="U215" s="57">
        <v>1</v>
      </c>
      <c r="V215" s="69">
        <v>82.061705989110706</v>
      </c>
      <c r="W215" s="69">
        <v>38.190773177636238</v>
      </c>
      <c r="X215" s="30">
        <f>IF(AF215="DoEV",IF(AND(V215&lt;20,W215&lt;55),0.3,0)+IF(AND(V215&lt;20,W215&gt;=55,W215&lt;105),0.23,0)+IF(AND(V215&lt;20,W215&gt;=105),0.17,0)+IF(AND(V215&gt;=20,V215&lt;40,W215&lt;45),0.3,0)+IF(AND(V215&gt;=20,V215&lt;40,W215&gt;=45,W215&lt;95),0.23,0)+IF(AND(V215&gt;=20,V215&lt;40,W215&gt;=95),0.17,0)+IF(AND(V215&gt;=40,V215&lt;75,W215&lt;35),0.3,0)+IF(AND(V215&gt;=40,V215&lt;75,W215&gt;=35,W215&lt;75),0.23,0)+IF(AND(V215&gt;=40,V215&lt;75,W215&gt;=75,W215&lt;120),0.17,0)+IF(AND(V215&gt;=40,V215&lt;75,W215&gt;=120),0.12,0)+IF(AND(V215&gt;=75,V215&lt;175,W215&lt;35),0.3,0)+IF(AND(V215&gt;=75,V215&lt;=175,W215&gt;=35,W215&lt;65),0.23,0)+IF(AND(V215&gt;=75,V215&lt;=175,W215&gt;=65,W215&lt;110),0.17,0)+IF(AND(V215&gt;=75,V215&lt;=175,W215&gt;=110),0.12,0)+IF(AND(V215&gt;175,W215&lt;25),0.3,0)+IF(AND(V215&gt;175,W215&gt;=25,W215&lt;55),0.23,0)+IF(AND(V215&gt;175,W215&gt;=55,W215&lt;95),0.17,0)+IF(AND(V215&gt;175,W215&gt;=95),0.12,0),
IF(AF215="Fix15",0.15,
IF(AF215="Fix11.25",0.1125,
IF(AF215="Fix10",0.1,
IF(AF215="Fix9",0.09,
IF(AF215="DoEV2017",IF(AND(W215&lt;74),0.2,0)+IF(AND(W215&gt;=74),0.17,0),
IF(AF215="SF",IF(AND(V215&lt;20,W215&lt;89),0.3,0)+IF(AND(V215&lt;20,W215&gt;=89),0.25,0)+IF(AND(V215&gt;=20,V215&lt;40,W215&lt;74),0.3,0)+IF(AND(V215&gt;=20,V215&lt;40,W215&gt;=75),0.22,0)+IF(AND(V215&gt;=40,V215&lt;75,W215&lt;75),0.26,0)+IF(AND(V215&gt;=40,V215&lt;75,W215&gt;=75),0.22,0)+IF(V215&gt;=75,0.22,0),
IF(AF215="DoEVold",IF(AND(V215&lt;40,W215&lt;35),0.35,0)+IF(AND(V215&lt;40,W215&gt;=35,W215&lt;75),0.25,0)+IF(AND(V215&lt;40,W215&gt;=75),0.17,0)+IF(AND(V215&gt;=40,V215&lt;75,W215&lt;25),0.35,0)+IF(AND(V215&gt;=40,V215&lt;75,W215&gt;=25,W215&lt;65),0.25,0)+IF(AND(V215&gt;=40,V215&lt;75,W215&gt;=65,W215&lt;100),0.17,0)+IF(AND(V215&gt;=40,V215&lt;75,W215&gt;=100),0.1,0)+IF(AND(V215&gt;=75,W215&lt;25),0.35,0)+IF(AND(V215&gt;=75,W215&gt;=25,W215&lt;60),0.25,0)+IF(AND(V215&gt;=75,W215&gt;=60,W215&lt;95),0.17,0)+IF(AND(V215&gt;=75,W215&gt;=95),0.1,0),
IF(AF215="DoEVold15",IF(AND(V215&lt;=40,W215&lt;35),0.35,0)+IF(AND(V215&lt;=40,W215&gt;=35,W215&lt;75),0.25,0)+IF(AND(V215&lt;=40,W215&gt;=75,W215&lt;120),0.17,0)+IF(AND(V215&lt;=40,W215&gt;=120),0.15,0)+IF(AND(V215&gt;40,V215&lt;75,W215&lt;25),0.35,0)+IF(AND(V215&gt;=40,V215&lt;75,W215&gt;=25,W215&lt;65),0.25,0)+IF(AND(V215&gt;=40,V215&lt;75,W215&gt;=65,W215&lt;100),0.17,0)+IF(AND(V215&gt;=40,V215&lt;75,W215&gt;=100),0.1,0)+IF(AND(V215&gt;=75,W215&lt;25),0.35,0)+IF(AND(V215&gt;=75,W215&gt;=25,W215&lt;60),0.25,0)+IF(AND(V215&gt;=75,W215&gt;=60,W215&lt;95),0.17,0)+IF(AND(V215&gt;=75,W215&gt;=95),0.1,0),
IF(AF215="DoEVba",IF(AND(V215&lt;20,W215&lt;105),0.2,0)+IF(AND(V215&lt;20,W215&gt;=105),0.15,0)+IF(AND(V215&gt;=20,V215&lt;40,W215&lt;95),0.2,0)+IF(AND(V215&gt;=20,V215&lt;40,W215&gt;=95,W215&lt;150),0.15,0)+IF(AND(V215&gt;=20,V215&lt;40,W215&gt;=150),0.12,0)+IF(AND(V215&gt;=40,V215&lt;75,W215&lt;75),0.2,0)+IF(AND(V215&gt;=40,V215&lt;75,W215&gt;=75,W215&lt;120),0.15,0)+IF(AND(V215&gt;=40,V215&lt;75,W215&gt;=120),0.12,0)+IF(AND(V215&gt;=75,V215&lt;175,W215&lt;65),0.2,0)+IF(AND(V215&gt;=75,V215&lt;175,W215&gt;=65,W215&lt;110),0.15,0)+IF(AND(V215&gt;=75,V215&lt;175,W215&gt;=110),0.12,0)+IF(AND(V215&gt;=175,W215&lt;55),0.2,0)+IF(AND(V215&gt;=175,W215&gt;=55,W215&lt;95),0.15,0)+IF(AND(V215&gt;=175,W215&gt;=95),0.12,0),
IF(AF215="DoEVku",IF(AND(V215&lt;20,W215&lt;55),0.23,0)+IF(AND(V215&lt;20,W215&gt;=55,W215&lt;105),0.2,0)+IF(AND(V215&lt;20,W215&gt;=105),0.17,0)+IF(AND(V215&gt;=20,V215&lt;40,W215&lt;45),0.23,0)+IF(AND(V215&gt;=20,V215&lt;40,W215&gt;=45,W215&lt;95),0.2,0)+IF(AND(V215&gt;=20,V215&lt;40,W215&gt;=95,W215&lt;=150),0.17,0)+IF(AND(V215&gt;=20,V215&lt;40,W215&gt;=150),0.12,0)+IF(AND(V215&gt;=40,V215&lt;75,W215&lt;35),0.23,0)+IF(AND(V215&gt;=40,V215&lt;75,W215&gt;=35,W215&lt;75),0.2,0)+IF(AND(V215&gt;=40,V215&lt;75,W215&gt;=75,W215&lt;120),0.17,0)+IF(AND(V215&gt;=40,V215&lt;75,W215&gt;=120),0.12,0)+IF(AND(V215&gt;=75,V215&lt;175,W215&lt;35),0.23,0)+IF(AND(V215&gt;=75,V215&lt;=175,W215&gt;=35,W215&lt;65),0.2,0)+IF(AND(V215&gt;=75,V215&lt;=175,W215&gt;=65,W215&lt;110),0.17,0)+IF(AND(V215&gt;=75,V215&lt;=175,W215&gt;=110),0.12,0)+IF(AND(V215&gt;175,W215&lt;25),0.23,0)+IF(AND(V215&gt;175,W215&gt;=25,W215&lt;55),0.2,0)+IF(AND(V215&gt;175,W215&gt;=55,W215&lt;95),0.17,0)+IF(AND(V215&gt;175,W215&gt;=95),0.12,0),
IF(AF215="DoEVs1",IF(AND(V215&lt;20,W215&lt;55),0.3,0)+IF(AND(V215&lt;20,W215&gt;=55,W215&lt;105),0.23,0)+IF(AND(V215&lt;20,W215&gt;=105),0.17,0)+IF(AND(V215&gt;=20,V215&lt;40,W215&lt;45),0.3,0)+IF(AND(V215&gt;=20,V215&lt;40,W215&gt;=45,W215&lt;95),0.23,0)+IF(AND(V215&gt;=20,V215&lt;40,W215&gt;=95,W215&lt;=150),0.17,0)+IF(AND(V215&gt;=20,V215&lt;40,W215&gt;=150),0.12,0)+IF(AND(V215&gt;=40,V215&lt;75,W215&lt;35),0.3,0)+IF(AND(V215&gt;=40,V215&lt;75,W215&gt;=35,W215&lt;75),0.23,0)+IF(AND(V215&gt;=40,V215&lt;75,W215&gt;=75,W215&lt;120),0.17,0)+IF(AND(V215&gt;=40,V215&lt;75,W215&gt;=120),0.12,0)+IF(AND(V215&gt;=75,V215&lt;175,W215&lt;35),0.3,0)+IF(AND(V215&gt;=75,V215&lt;=175,W215&gt;=35,W215&lt;65),0.23,0)+IF(AND(V215&gt;=75,V215&lt;=175,W215&gt;=65,W215&lt;110),0.17,0)+IF(AND(V215&gt;=75,V215&lt;=175,W215&gt;=110),0.12,0)+IF(AND(V215&gt;175,W215&lt;25),0.3,0)+IF(AND(V215&gt;175,W215&gt;=25,W215&lt;55),0.23,0)+IF(AND(V215&gt;175,W215&gt;=55,W215&lt;95),0.17,0)+IF(AND(V215&gt;175,W215&gt;=95),0.12,0),
IF(AF215="DoEVsu",IF(AND(V215&lt;20,W215&lt;55),0.3,0)+IF(AND(V215&lt;20,W215&gt;=55,W215&lt;105),0.23,0)+IF(AND(V215&lt;20,W215&gt;=105),0.17,0)+IF(AND(V215&gt;=20,V215&lt;40,W215&lt;45),0.3,0)+IF(AND(V215&gt;=20,V215&lt;40,W215&gt;=45,W215&lt;95),0.23,0)+IF(AND(V215&gt;=20,V215&lt;40,W215&gt;=95,W215&lt;=250),0.17,0)+IF(AND(V215&gt;=20,V215&lt;40,W215&gt;=250),0.12,0)+IF(AND(V215&gt;=40,V215&lt;75,W215&lt;35),0.3,0)+IF(AND(V215&gt;=40,V215&lt;75,W215&gt;=35,W215&lt;75),0.23,0)+IF(AND(V215&gt;=40,V215&lt;75,W215&gt;=75,W215&lt;120),0.17,0)+IF(AND(V215&gt;=40,V215&lt;75,W215&gt;=120),0.12,0)+IF(AND(V215&gt;=75,V215&lt;175,W215&lt;35),0.3,0)+IF(AND(V215&gt;=75,V215&lt;=175,W215&gt;=35,W215&lt;65),0.23,0)+IF(AND(V215&gt;=75,V215&lt;=175,W215&gt;=65,W215&lt;110),0.17,0)+IF(AND(V215&gt;=75,V215&lt;=175,W215&gt;=110),0.12,0)+IF(AND(V215&gt;175,W215&lt;25),0.3,0)+IF(AND(V215&gt;175,W215&gt;=25,W215&lt;55),0.23,0)+IF(AND(V215&gt;175,W215&gt;=55,W215&lt;95),0.17,0)+IF(AND(V215&gt;175,W215&gt;=95),0.12,0),
IF(AF215="DoEVni",IF(AND(V215&lt;20,W215&lt;55),0.3,0)+IF(AND(V215&lt;20,W215&gt;=55,W215&lt;105),0.23,0)+IF(AND(V215&lt;20,W215&gt;=105),0.17,0)+IF(AND(V215&gt;=20,V215&lt;40,W215&lt;45),0.3,0)+IF(AND(V215&gt;=20,V215&lt;40,W215&gt;=45,W215&lt;95),0.23,0)+IF(AND(V215&gt;=20,V215&lt;40,W215&gt;=95,W215&lt;=200),0.17,0)+IF(AND(V215&gt;=20,V215&lt;40,W215&gt;=200),0.12,0)+IF(AND(V215&gt;=40,V215&lt;75,W215&lt;35),0.3,0)+IF(AND(V215&gt;=40,V215&lt;75,W215&gt;=35,W215&lt;75),0.23,0)+IF(AND(V215&gt;=40,V215&lt;75,W215&gt;=75,W215&lt;120),0.17,0)+IF(AND(V215&gt;=40,V215&lt;75,W215&gt;=120),0.12,0)+IF(AND(V215&gt;=75,V215&lt;175,W215&lt;35),0.3,0)+IF(AND(V215&gt;=75,V215&lt;=175,W215&gt;=35,W215&lt;65),0.23,0)+IF(AND(V215&gt;=75,V215&lt;=175,W215&gt;=65,W215&lt;110),0.17,0)+IF(AND(V215&gt;=75,V215&lt;=175,W215&gt;=110),0.12,0)+IF(AND(V215&gt;175,W215&lt;25),0.3,0)+IF(AND(V215&gt;175,W215&gt;=25,W215&lt;55),0.23,0)+IF(AND(V215&gt;175,W215&gt;=55,W215&lt;95),0.17,0)+IF(AND(V215&gt;175,W215&gt;=95),0.12,0),
IF(AF215="DoEVLo",IF(AND(V215&lt;20,W215&lt;55),0.25,0)+IF(AND(V215&lt;20,W215&gt;=55,W215&lt;105),0.2,0)+IF(AND(V215&lt;20,W215&gt;=105),0.15,0)+IF(AND(V215&gt;=20,V215&lt;40,W215&lt;45),0.25,0)+IF(AND(V215&gt;=20,V215&lt;40,W215&gt;=45,W215&lt;95),0.2,0)+IF(AND(V215&gt;=20,V215&lt;40,W215&gt;=95),0.15,0)+IF(AND(V215&gt;=40,V215&lt;75,W215&lt;35),0.25,0)+IF(AND(V215&gt;=40,V215&lt;75,W215&gt;=35,W215&lt;75),0.2,0)+IF(AND(V215&gt;=40,V215&lt;75,W215&gt;=75,W215&lt;120),0.15,0)+IF(AND(V215&gt;=40,V215&lt;75,W215&gt;=120),0.1,0)+IF(AND(V215&gt;=75,V215&lt;175,W215&lt;35),0.25,0)+IF(AND(V215&gt;=75,V215&lt;=175,W215&gt;=35,W215&lt;65),0.2,0)+IF(AND(V215&gt;=75,V215&lt;=175,W215&gt;=65,W215&lt;110),0.15,0)+IF(AND(V215&gt;=75,V215&lt;=175,W215&gt;=110),0.1,0)+IF(AND(V215&gt;175,W215&lt;25),0.25,0)+IF(AND(V215&gt;175,W215&gt;=25,W215&lt;55),0.2,0)+IF(AND(V215&gt;175,W215&gt;=55,W215&lt;95),0.15,0)+IF(AND(V215&gt;175,W215&gt;=95),0.1,0))))))))))))))))</f>
        <v>0.2</v>
      </c>
      <c r="Y215" s="30">
        <f>IF(AG215="None",0,IF(AG215="Fix5",0.05,IF(AG215="Fix3.75",0.0375,IF(AG215="Fix10",0.1,IF(AG215="Fix3",0.03,0)))))</f>
        <v>0</v>
      </c>
      <c r="Z215" s="35">
        <f>T215-AA215-AB215</f>
        <v>-24.8</v>
      </c>
      <c r="AA215" s="29">
        <f>IF(AD215="EUR",((T215-R215)*X215)*U215+(R215*X215),(T215*X215))</f>
        <v>-6.2</v>
      </c>
      <c r="AB215" s="36">
        <f>IF(AD215="EUR",((T215-R215)*Y215)*U215+(R215*Y215),(T215*Y215))</f>
        <v>0</v>
      </c>
      <c r="AC215" s="37" t="b">
        <v>1</v>
      </c>
      <c r="AD215" s="37" t="s">
        <v>38</v>
      </c>
      <c r="AE215" s="37" t="s">
        <v>38</v>
      </c>
      <c r="AF215" s="37" t="str">
        <f t="array" ref="AF215">INDEX('Deal Info'!D:D, MATCH(A215,'Deal Info'!A:A, 0))</f>
        <v>DoEVLo</v>
      </c>
      <c r="AG215" s="38" t="str">
        <f t="array" ref="AG215">INDEX('Deal Info'!G:G, MATCH(A215,'Deal Info'!A:A, 0))</f>
        <v>None</v>
      </c>
    </row>
    <row r="216" spans="1:33" ht="14.25" hidden="1" x14ac:dyDescent="0.2">
      <c r="A216" s="18" t="str">
        <f t="array" ref="A216">IF(G216='Room Info'!$B$1, INDEX('Room Info'!$A$2:$A2446, MATCH(B216,'Room Info'!$B$2:$B2446, 0)),IF(G216='Room Info'!$C$1, INDEX('Room Info'!$A$2:$A2446, MATCH(B216,'Room Info'!$C$2:$C2446, 0)),IF(G216='Room Info'!$D$1, INDEX('Room Info'!$A$2:$A2446, MATCH(B216,'Room Info'!$D$2:$D2446, 0)),IF(G216='Room Info'!$E$1, INDEX('Room Info'!$A$2:$A2446, MATCH(B216,'Room Info'!$E$2:$E2446, 0)),IF(G216='Room Info'!$F$1, INDEX('Room Info'!$A$2:$A2446, MATCH(B216,'Room Info'!$F$2:$F2446, 0)),IF(G216='Room Info'!$H$1, INDEX('Room Info'!$A$2:$A2446, MATCH(B216,'Room Info'!$H$2:$H2446, 0)),IF(G216='Room Info'!$G$1, INDEX('Room Info'!$A$2:$A2446, MATCH(B216,'Room Info'!$G$2:$G2446, 0)))))))))</f>
        <v>Lo4io</v>
      </c>
      <c r="B216" s="45" t="s">
        <v>97</v>
      </c>
      <c r="C216" s="77">
        <v>44733</v>
      </c>
      <c r="D216" s="77">
        <v>44762</v>
      </c>
      <c r="E216" s="47">
        <v>44743</v>
      </c>
      <c r="F216" s="48" t="s">
        <v>34</v>
      </c>
      <c r="G216" s="45" t="s">
        <v>80</v>
      </c>
      <c r="H216" s="49" t="s">
        <v>72</v>
      </c>
      <c r="I216" s="49" t="s">
        <v>81</v>
      </c>
      <c r="J216" s="74">
        <v>50</v>
      </c>
      <c r="K216" s="75">
        <v>689</v>
      </c>
      <c r="L216" s="72">
        <v>-3400</v>
      </c>
      <c r="M216" s="76">
        <v>1502</v>
      </c>
      <c r="N216" s="28">
        <f>K216*J216</f>
        <v>34450</v>
      </c>
      <c r="O216" s="45">
        <v>16792</v>
      </c>
      <c r="P216" s="29">
        <v>24.371552980000001</v>
      </c>
      <c r="Q216" s="55"/>
      <c r="R216" s="31">
        <f>M216+Q216</f>
        <v>1502</v>
      </c>
      <c r="S216" s="73">
        <v>-180</v>
      </c>
      <c r="T216" s="32">
        <f>R216+S216+IF(F216="Without EV deal",L216,0)</f>
        <v>1322</v>
      </c>
      <c r="U216" s="57">
        <v>1</v>
      </c>
      <c r="V216" s="69">
        <v>82.061705989110706</v>
      </c>
      <c r="W216" s="69">
        <v>38.190773177636238</v>
      </c>
      <c r="X216" s="30">
        <f>IF(AF216="DoEV",IF(AND(V216&lt;20,W216&lt;55),0.3,0)+IF(AND(V216&lt;20,W216&gt;=55,W216&lt;105),0.23,0)+IF(AND(V216&lt;20,W216&gt;=105),0.17,0)+IF(AND(V216&gt;=20,V216&lt;40,W216&lt;45),0.3,0)+IF(AND(V216&gt;=20,V216&lt;40,W216&gt;=45,W216&lt;95),0.23,0)+IF(AND(V216&gt;=20,V216&lt;40,W216&gt;=95),0.17,0)+IF(AND(V216&gt;=40,V216&lt;75,W216&lt;35),0.3,0)+IF(AND(V216&gt;=40,V216&lt;75,W216&gt;=35,W216&lt;75),0.23,0)+IF(AND(V216&gt;=40,V216&lt;75,W216&gt;=75,W216&lt;120),0.17,0)+IF(AND(V216&gt;=40,V216&lt;75,W216&gt;=120),0.12,0)+IF(AND(V216&gt;=75,V216&lt;175,W216&lt;35),0.3,0)+IF(AND(V216&gt;=75,V216&lt;=175,W216&gt;=35,W216&lt;65),0.23,0)+IF(AND(V216&gt;=75,V216&lt;=175,W216&gt;=65,W216&lt;110),0.17,0)+IF(AND(V216&gt;=75,V216&lt;=175,W216&gt;=110),0.12,0)+IF(AND(V216&gt;175,W216&lt;25),0.3,0)+IF(AND(V216&gt;175,W216&gt;=25,W216&lt;55),0.23,0)+IF(AND(V216&gt;175,W216&gt;=55,W216&lt;95),0.17,0)+IF(AND(V216&gt;175,W216&gt;=95),0.12,0),
IF(AF216="Fix15",0.15,
IF(AF216="Fix11.25",0.1125,
IF(AF216="Fix10",0.1,
IF(AF216="Fix9",0.09,
IF(AF216="DoEV2017",IF(AND(W216&lt;74),0.2,0)+IF(AND(W216&gt;=74),0.17,0),
IF(AF216="SF",IF(AND(V216&lt;20,W216&lt;89),0.3,0)+IF(AND(V216&lt;20,W216&gt;=89),0.25,0)+IF(AND(V216&gt;=20,V216&lt;40,W216&lt;74),0.3,0)+IF(AND(V216&gt;=20,V216&lt;40,W216&gt;=75),0.22,0)+IF(AND(V216&gt;=40,V216&lt;75,W216&lt;75),0.26,0)+IF(AND(V216&gt;=40,V216&lt;75,W216&gt;=75),0.22,0)+IF(V216&gt;=75,0.22,0),
IF(AF216="DoEVold",IF(AND(V216&lt;40,W216&lt;35),0.35,0)+IF(AND(V216&lt;40,W216&gt;=35,W216&lt;75),0.25,0)+IF(AND(V216&lt;40,W216&gt;=75),0.17,0)+IF(AND(V216&gt;=40,V216&lt;75,W216&lt;25),0.35,0)+IF(AND(V216&gt;=40,V216&lt;75,W216&gt;=25,W216&lt;65),0.25,0)+IF(AND(V216&gt;=40,V216&lt;75,W216&gt;=65,W216&lt;100),0.17,0)+IF(AND(V216&gt;=40,V216&lt;75,W216&gt;=100),0.1,0)+IF(AND(V216&gt;=75,W216&lt;25),0.35,0)+IF(AND(V216&gt;=75,W216&gt;=25,W216&lt;60),0.25,0)+IF(AND(V216&gt;=75,W216&gt;=60,W216&lt;95),0.17,0)+IF(AND(V216&gt;=75,W216&gt;=95),0.1,0),
IF(AF216="DoEVold15",IF(AND(V216&lt;=40,W216&lt;35),0.35,0)+IF(AND(V216&lt;=40,W216&gt;=35,W216&lt;75),0.25,0)+IF(AND(V216&lt;=40,W216&gt;=75,W216&lt;120),0.17,0)+IF(AND(V216&lt;=40,W216&gt;=120),0.15,0)+IF(AND(V216&gt;40,V216&lt;75,W216&lt;25),0.35,0)+IF(AND(V216&gt;=40,V216&lt;75,W216&gt;=25,W216&lt;65),0.25,0)+IF(AND(V216&gt;=40,V216&lt;75,W216&gt;=65,W216&lt;100),0.17,0)+IF(AND(V216&gt;=40,V216&lt;75,W216&gt;=100),0.1,0)+IF(AND(V216&gt;=75,W216&lt;25),0.35,0)+IF(AND(V216&gt;=75,W216&gt;=25,W216&lt;60),0.25,0)+IF(AND(V216&gt;=75,W216&gt;=60,W216&lt;95),0.17,0)+IF(AND(V216&gt;=75,W216&gt;=95),0.1,0),
IF(AF216="DoEVba",IF(AND(V216&lt;20,W216&lt;105),0.2,0)+IF(AND(V216&lt;20,W216&gt;=105),0.15,0)+IF(AND(V216&gt;=20,V216&lt;40,W216&lt;95),0.2,0)+IF(AND(V216&gt;=20,V216&lt;40,W216&gt;=95,W216&lt;150),0.15,0)+IF(AND(V216&gt;=20,V216&lt;40,W216&gt;=150),0.12,0)+IF(AND(V216&gt;=40,V216&lt;75,W216&lt;75),0.2,0)+IF(AND(V216&gt;=40,V216&lt;75,W216&gt;=75,W216&lt;120),0.15,0)+IF(AND(V216&gt;=40,V216&lt;75,W216&gt;=120),0.12,0)+IF(AND(V216&gt;=75,V216&lt;175,W216&lt;65),0.2,0)+IF(AND(V216&gt;=75,V216&lt;175,W216&gt;=65,W216&lt;110),0.15,0)+IF(AND(V216&gt;=75,V216&lt;175,W216&gt;=110),0.12,0)+IF(AND(V216&gt;=175,W216&lt;55),0.2,0)+IF(AND(V216&gt;=175,W216&gt;=55,W216&lt;95),0.15,0)+IF(AND(V216&gt;=175,W216&gt;=95),0.12,0),
IF(AF216="DoEVku",IF(AND(V216&lt;20,W216&lt;55),0.23,0)+IF(AND(V216&lt;20,W216&gt;=55,W216&lt;105),0.2,0)+IF(AND(V216&lt;20,W216&gt;=105),0.17,0)+IF(AND(V216&gt;=20,V216&lt;40,W216&lt;45),0.23,0)+IF(AND(V216&gt;=20,V216&lt;40,W216&gt;=45,W216&lt;95),0.2,0)+IF(AND(V216&gt;=20,V216&lt;40,W216&gt;=95,W216&lt;=150),0.17,0)+IF(AND(V216&gt;=20,V216&lt;40,W216&gt;=150),0.12,0)+IF(AND(V216&gt;=40,V216&lt;75,W216&lt;35),0.23,0)+IF(AND(V216&gt;=40,V216&lt;75,W216&gt;=35,W216&lt;75),0.2,0)+IF(AND(V216&gt;=40,V216&lt;75,W216&gt;=75,W216&lt;120),0.17,0)+IF(AND(V216&gt;=40,V216&lt;75,W216&gt;=120),0.12,0)+IF(AND(V216&gt;=75,V216&lt;175,W216&lt;35),0.23,0)+IF(AND(V216&gt;=75,V216&lt;=175,W216&gt;=35,W216&lt;65),0.2,0)+IF(AND(V216&gt;=75,V216&lt;=175,W216&gt;=65,W216&lt;110),0.17,0)+IF(AND(V216&gt;=75,V216&lt;=175,W216&gt;=110),0.12,0)+IF(AND(V216&gt;175,W216&lt;25),0.23,0)+IF(AND(V216&gt;175,W216&gt;=25,W216&lt;55),0.2,0)+IF(AND(V216&gt;175,W216&gt;=55,W216&lt;95),0.17,0)+IF(AND(V216&gt;175,W216&gt;=95),0.12,0),
IF(AF216="DoEVs1",IF(AND(V216&lt;20,W216&lt;55),0.3,0)+IF(AND(V216&lt;20,W216&gt;=55,W216&lt;105),0.23,0)+IF(AND(V216&lt;20,W216&gt;=105),0.17,0)+IF(AND(V216&gt;=20,V216&lt;40,W216&lt;45),0.3,0)+IF(AND(V216&gt;=20,V216&lt;40,W216&gt;=45,W216&lt;95),0.23,0)+IF(AND(V216&gt;=20,V216&lt;40,W216&gt;=95,W216&lt;=150),0.17,0)+IF(AND(V216&gt;=20,V216&lt;40,W216&gt;=150),0.12,0)+IF(AND(V216&gt;=40,V216&lt;75,W216&lt;35),0.3,0)+IF(AND(V216&gt;=40,V216&lt;75,W216&gt;=35,W216&lt;75),0.23,0)+IF(AND(V216&gt;=40,V216&lt;75,W216&gt;=75,W216&lt;120),0.17,0)+IF(AND(V216&gt;=40,V216&lt;75,W216&gt;=120),0.12,0)+IF(AND(V216&gt;=75,V216&lt;175,W216&lt;35),0.3,0)+IF(AND(V216&gt;=75,V216&lt;=175,W216&gt;=35,W216&lt;65),0.23,0)+IF(AND(V216&gt;=75,V216&lt;=175,W216&gt;=65,W216&lt;110),0.17,0)+IF(AND(V216&gt;=75,V216&lt;=175,W216&gt;=110),0.12,0)+IF(AND(V216&gt;175,W216&lt;25),0.3,0)+IF(AND(V216&gt;175,W216&gt;=25,W216&lt;55),0.23,0)+IF(AND(V216&gt;175,W216&gt;=55,W216&lt;95),0.17,0)+IF(AND(V216&gt;175,W216&gt;=95),0.12,0),
IF(AF216="DoEVsu",IF(AND(V216&lt;20,W216&lt;55),0.3,0)+IF(AND(V216&lt;20,W216&gt;=55,W216&lt;105),0.23,0)+IF(AND(V216&lt;20,W216&gt;=105),0.17,0)+IF(AND(V216&gt;=20,V216&lt;40,W216&lt;45),0.3,0)+IF(AND(V216&gt;=20,V216&lt;40,W216&gt;=45,W216&lt;95),0.23,0)+IF(AND(V216&gt;=20,V216&lt;40,W216&gt;=95,W216&lt;=250),0.17,0)+IF(AND(V216&gt;=20,V216&lt;40,W216&gt;=250),0.12,0)+IF(AND(V216&gt;=40,V216&lt;75,W216&lt;35),0.3,0)+IF(AND(V216&gt;=40,V216&lt;75,W216&gt;=35,W216&lt;75),0.23,0)+IF(AND(V216&gt;=40,V216&lt;75,W216&gt;=75,W216&lt;120),0.17,0)+IF(AND(V216&gt;=40,V216&lt;75,W216&gt;=120),0.12,0)+IF(AND(V216&gt;=75,V216&lt;175,W216&lt;35),0.3,0)+IF(AND(V216&gt;=75,V216&lt;=175,W216&gt;=35,W216&lt;65),0.23,0)+IF(AND(V216&gt;=75,V216&lt;=175,W216&gt;=65,W216&lt;110),0.17,0)+IF(AND(V216&gt;=75,V216&lt;=175,W216&gt;=110),0.12,0)+IF(AND(V216&gt;175,W216&lt;25),0.3,0)+IF(AND(V216&gt;175,W216&gt;=25,W216&lt;55),0.23,0)+IF(AND(V216&gt;175,W216&gt;=55,W216&lt;95),0.17,0)+IF(AND(V216&gt;175,W216&gt;=95),0.12,0),
IF(AF216="DoEVni",IF(AND(V216&lt;20,W216&lt;55),0.3,0)+IF(AND(V216&lt;20,W216&gt;=55,W216&lt;105),0.23,0)+IF(AND(V216&lt;20,W216&gt;=105),0.17,0)+IF(AND(V216&gt;=20,V216&lt;40,W216&lt;45),0.3,0)+IF(AND(V216&gt;=20,V216&lt;40,W216&gt;=45,W216&lt;95),0.23,0)+IF(AND(V216&gt;=20,V216&lt;40,W216&gt;=95,W216&lt;=200),0.17,0)+IF(AND(V216&gt;=20,V216&lt;40,W216&gt;=200),0.12,0)+IF(AND(V216&gt;=40,V216&lt;75,W216&lt;35),0.3,0)+IF(AND(V216&gt;=40,V216&lt;75,W216&gt;=35,W216&lt;75),0.23,0)+IF(AND(V216&gt;=40,V216&lt;75,W216&gt;=75,W216&lt;120),0.17,0)+IF(AND(V216&gt;=40,V216&lt;75,W216&gt;=120),0.12,0)+IF(AND(V216&gt;=75,V216&lt;175,W216&lt;35),0.3,0)+IF(AND(V216&gt;=75,V216&lt;=175,W216&gt;=35,W216&lt;65),0.23,0)+IF(AND(V216&gt;=75,V216&lt;=175,W216&gt;=65,W216&lt;110),0.17,0)+IF(AND(V216&gt;=75,V216&lt;=175,W216&gt;=110),0.12,0)+IF(AND(V216&gt;175,W216&lt;25),0.3,0)+IF(AND(V216&gt;175,W216&gt;=25,W216&lt;55),0.23,0)+IF(AND(V216&gt;175,W216&gt;=55,W216&lt;95),0.17,0)+IF(AND(V216&gt;175,W216&gt;=95),0.12,0),
IF(AF216="DoEVLo",IF(AND(V216&lt;20,W216&lt;55),0.25,0)+IF(AND(V216&lt;20,W216&gt;=55,W216&lt;105),0.2,0)+IF(AND(V216&lt;20,W216&gt;=105),0.15,0)+IF(AND(V216&gt;=20,V216&lt;40,W216&lt;45),0.25,0)+IF(AND(V216&gt;=20,V216&lt;40,W216&gt;=45,W216&lt;95),0.2,0)+IF(AND(V216&gt;=20,V216&lt;40,W216&gt;=95),0.15,0)+IF(AND(V216&gt;=40,V216&lt;75,W216&lt;35),0.25,0)+IF(AND(V216&gt;=40,V216&lt;75,W216&gt;=35,W216&lt;75),0.2,0)+IF(AND(V216&gt;=40,V216&lt;75,W216&gt;=75,W216&lt;120),0.15,0)+IF(AND(V216&gt;=40,V216&lt;75,W216&gt;=120),0.1,0)+IF(AND(V216&gt;=75,V216&lt;175,W216&lt;35),0.25,0)+IF(AND(V216&gt;=75,V216&lt;=175,W216&gt;=35,W216&lt;65),0.2,0)+IF(AND(V216&gt;=75,V216&lt;=175,W216&gt;=65,W216&lt;110),0.15,0)+IF(AND(V216&gt;=75,V216&lt;=175,W216&gt;=110),0.1,0)+IF(AND(V216&gt;175,W216&lt;25),0.25,0)+IF(AND(V216&gt;175,W216&gt;=25,W216&lt;55),0.2,0)+IF(AND(V216&gt;175,W216&gt;=55,W216&lt;95),0.15,0)+IF(AND(V216&gt;175,W216&gt;=95),0.1,0))))))))))))))))</f>
        <v>0.2</v>
      </c>
      <c r="Y216" s="30">
        <f>IF(AG216="None",0,IF(AG216="Fix5",0.05,IF(AG216="Fix3.75",0.0375,IF(AG216="Fix10",0.1,IF(AG216="Fix3",0.03,0)))))</f>
        <v>0</v>
      </c>
      <c r="Z216" s="35">
        <f>T216-AA216-AB216</f>
        <v>1057.5999999999999</v>
      </c>
      <c r="AA216" s="29">
        <f>IF(AD216="EUR",((T216-R216)*X216)*U216+(R216*X216),(T216*X216))</f>
        <v>264.40000000000003</v>
      </c>
      <c r="AB216" s="36">
        <f>IF(AD216="EUR",((T216-R216)*Y216)*U216+(R216*Y216),(T216*Y216))</f>
        <v>0</v>
      </c>
      <c r="AC216" s="37" t="b">
        <v>1</v>
      </c>
      <c r="AD216" s="37" t="s">
        <v>38</v>
      </c>
      <c r="AE216" s="37" t="s">
        <v>38</v>
      </c>
      <c r="AF216" s="37" t="str">
        <f t="array" ref="AF216">INDEX('Deal Info'!D:D, MATCH(A216,'Deal Info'!A:A, 0))</f>
        <v>DoEVLo</v>
      </c>
      <c r="AG216" s="38" t="str">
        <f t="array" ref="AG216">INDEX('Deal Info'!G:G, MATCH(A216,'Deal Info'!A:A, 0))</f>
        <v>None</v>
      </c>
    </row>
    <row r="217" spans="1:33" ht="14.25" x14ac:dyDescent="0.2">
      <c r="A217" s="18" t="str">
        <f t="array" ref="A217">IF(G217='Room Info'!$B$1, INDEX('Room Info'!$A$2:$A2446, MATCH(B217,'Room Info'!$B$2:$B2446, 0)),IF(G217='Room Info'!$C$1, INDEX('Room Info'!$A$2:$A2446, MATCH(B217,'Room Info'!$C$2:$C2446, 0)),IF(G217='Room Info'!$D$1, INDEX('Room Info'!$A$2:$A2446, MATCH(B217,'Room Info'!$D$2:$D2446, 0)),IF(G217='Room Info'!$E$1, INDEX('Room Info'!$A$2:$A2446, MATCH(B217,'Room Info'!$E$2:$E2446, 0)),IF(G217='Room Info'!$F$1, INDEX('Room Info'!$A$2:$A2446, MATCH(B217,'Room Info'!$F$2:$F2446, 0)),IF(G217='Room Info'!$H$1, INDEX('Room Info'!$A$2:$A2446, MATCH(B217,'Room Info'!$H$2:$H2446, 0)),IF(G217='Room Info'!$G$1, INDEX('Room Info'!$A$2:$A2446, MATCH(B217,'Room Info'!$G$2:$G2446, 0)))))))))</f>
        <v>Abcdf</v>
      </c>
      <c r="B217" s="130" t="s">
        <v>60</v>
      </c>
      <c r="C217" s="41">
        <v>44613</v>
      </c>
      <c r="D217" s="41">
        <v>44641</v>
      </c>
      <c r="E217" s="47">
        <v>44621</v>
      </c>
      <c r="F217" s="22" t="s">
        <v>34</v>
      </c>
      <c r="G217" s="130" t="s">
        <v>61</v>
      </c>
      <c r="H217" s="81" t="s">
        <v>64</v>
      </c>
      <c r="I217" s="81" t="s">
        <v>37</v>
      </c>
      <c r="J217" s="154">
        <v>10</v>
      </c>
      <c r="K217" s="88">
        <v>78</v>
      </c>
      <c r="L217" s="89">
        <v>-177</v>
      </c>
      <c r="M217" s="121">
        <v>0</v>
      </c>
      <c r="N217" s="28">
        <f>K217*J217</f>
        <v>780</v>
      </c>
      <c r="O217" s="130">
        <v>8167</v>
      </c>
      <c r="P217" s="29">
        <v>104.7051282</v>
      </c>
      <c r="Q217" s="78"/>
      <c r="R217" s="31">
        <f>M217+Q217</f>
        <v>0</v>
      </c>
      <c r="S217" s="119">
        <v>78</v>
      </c>
      <c r="T217" s="32">
        <f>R217+S217+IF(F217="Without EV deal",L217,0)</f>
        <v>78</v>
      </c>
      <c r="U217" s="33">
        <v>1</v>
      </c>
      <c r="V217" s="64">
        <v>10</v>
      </c>
      <c r="W217" s="64">
        <v>7.8</v>
      </c>
      <c r="X217" s="30">
        <f>IF(AF217="DoEV",IF(AND(V217&lt;20,W217&lt;55),0.3,0)+IF(AND(V217&lt;20,W217&gt;=55,W217&lt;105),0.23,0)+IF(AND(V217&lt;20,W217&gt;=105),0.17,0)+IF(AND(V217&gt;=20,V217&lt;40,W217&lt;45),0.3,0)+IF(AND(V217&gt;=20,V217&lt;40,W217&gt;=45,W217&lt;95),0.23,0)+IF(AND(V217&gt;=20,V217&lt;40,W217&gt;=95),0.17,0)+IF(AND(V217&gt;=40,V217&lt;75,W217&lt;35),0.3,0)+IF(AND(V217&gt;=40,V217&lt;75,W217&gt;=35,W217&lt;75),0.23,0)+IF(AND(V217&gt;=40,V217&lt;75,W217&gt;=75,W217&lt;120),0.17,0)+IF(AND(V217&gt;=40,V217&lt;75,W217&gt;=120),0.12,0)+IF(AND(V217&gt;=75,V217&lt;175,W217&lt;35),0.3,0)+IF(AND(V217&gt;=75,V217&lt;=175,W217&gt;=35,W217&lt;65),0.23,0)+IF(AND(V217&gt;=75,V217&lt;=175,W217&gt;=65,W217&lt;110),0.17,0)+IF(AND(V217&gt;=75,V217&lt;=175,W217&gt;=110),0.12,0)+IF(AND(V217&gt;175,W217&lt;25),0.3,0)+IF(AND(V217&gt;175,W217&gt;=25,W217&lt;55),0.23,0)+IF(AND(V217&gt;175,W217&gt;=55,W217&lt;95),0.17,0)+IF(AND(V217&gt;175,W217&gt;=95),0.12,0),
IF(AF217="Fix15",0.15,
IF(AF217="Fix11.25",0.1125,
IF(AF217="Fix10",0.1,
IF(AF217="Fix9",0.09,
IF(AF217="DoEV2017",IF(AND(W217&lt;74),0.2,0)+IF(AND(W217&gt;=74),0.17,0),
IF(AF217="SF",IF(AND(V217&lt;20,W217&lt;89),0.3,0)+IF(AND(V217&lt;20,W217&gt;=89),0.25,0)+IF(AND(V217&gt;=20,V217&lt;40,W217&lt;74),0.3,0)+IF(AND(V217&gt;=20,V217&lt;40,W217&gt;=75),0.22,0)+IF(AND(V217&gt;=40,V217&lt;75,W217&lt;75),0.26,0)+IF(AND(V217&gt;=40,V217&lt;75,W217&gt;=75),0.22,0)+IF(V217&gt;=75,0.22,0),
IF(AF217="DoEVold",IF(AND(V217&lt;40,W217&lt;35),0.35,0)+IF(AND(V217&lt;40,W217&gt;=35,W217&lt;75),0.25,0)+IF(AND(V217&lt;40,W217&gt;=75),0.17,0)+IF(AND(V217&gt;=40,V217&lt;75,W217&lt;25),0.35,0)+IF(AND(V217&gt;=40,V217&lt;75,W217&gt;=25,W217&lt;65),0.25,0)+IF(AND(V217&gt;=40,V217&lt;75,W217&gt;=65,W217&lt;100),0.17,0)+IF(AND(V217&gt;=40,V217&lt;75,W217&gt;=100),0.1,0)+IF(AND(V217&gt;=75,W217&lt;25),0.35,0)+IF(AND(V217&gt;=75,W217&gt;=25,W217&lt;60),0.25,0)+IF(AND(V217&gt;=75,W217&gt;=60,W217&lt;95),0.17,0)+IF(AND(V217&gt;=75,W217&gt;=95),0.1,0),
IF(AF217="DoEVold15",IF(AND(V217&lt;=40,W217&lt;35),0.35,0)+IF(AND(V217&lt;=40,W217&gt;=35,W217&lt;75),0.25,0)+IF(AND(V217&lt;=40,W217&gt;=75,W217&lt;120),0.17,0)+IF(AND(V217&lt;=40,W217&gt;=120),0.15,0)+IF(AND(V217&gt;40,V217&lt;75,W217&lt;25),0.35,0)+IF(AND(V217&gt;=40,V217&lt;75,W217&gt;=25,W217&lt;65),0.25,0)+IF(AND(V217&gt;=40,V217&lt;75,W217&gt;=65,W217&lt;100),0.17,0)+IF(AND(V217&gt;=40,V217&lt;75,W217&gt;=100),0.1,0)+IF(AND(V217&gt;=75,W217&lt;25),0.35,0)+IF(AND(V217&gt;=75,W217&gt;=25,W217&lt;60),0.25,0)+IF(AND(V217&gt;=75,W217&gt;=60,W217&lt;95),0.17,0)+IF(AND(V217&gt;=75,W217&gt;=95),0.1,0),
IF(AF217="DoEVba",IF(AND(V217&lt;20,W217&lt;105),0.2,0)+IF(AND(V217&lt;20,W217&gt;=105),0.15,0)+IF(AND(V217&gt;=20,V217&lt;40,W217&lt;95),0.2,0)+IF(AND(V217&gt;=20,V217&lt;40,W217&gt;=95,W217&lt;150),0.15,0)+IF(AND(V217&gt;=20,V217&lt;40,W217&gt;=150),0.12,0)+IF(AND(V217&gt;=40,V217&lt;75,W217&lt;75),0.2,0)+IF(AND(V217&gt;=40,V217&lt;75,W217&gt;=75,W217&lt;120),0.15,0)+IF(AND(V217&gt;=40,V217&lt;75,W217&gt;=120),0.12,0)+IF(AND(V217&gt;=75,V217&lt;175,W217&lt;65),0.2,0)+IF(AND(V217&gt;=75,V217&lt;175,W217&gt;=65,W217&lt;110),0.15,0)+IF(AND(V217&gt;=75,V217&lt;175,W217&gt;=110),0.12,0)+IF(AND(V217&gt;=175,W217&lt;55),0.2,0)+IF(AND(V217&gt;=175,W217&gt;=55,W217&lt;95),0.15,0)+IF(AND(V217&gt;=175,W217&gt;=95),0.12,0),
IF(AF217="DoEVku",IF(AND(V217&lt;20,W217&lt;55),0.23,0)+IF(AND(V217&lt;20,W217&gt;=55,W217&lt;105),0.2,0)+IF(AND(V217&lt;20,W217&gt;=105),0.17,0)+IF(AND(V217&gt;=20,V217&lt;40,W217&lt;45),0.23,0)+IF(AND(V217&gt;=20,V217&lt;40,W217&gt;=45,W217&lt;95),0.2,0)+IF(AND(V217&gt;=20,V217&lt;40,W217&gt;=95,W217&lt;=150),0.17,0)+IF(AND(V217&gt;=20,V217&lt;40,W217&gt;=150),0.12,0)+IF(AND(V217&gt;=40,V217&lt;75,W217&lt;35),0.23,0)+IF(AND(V217&gt;=40,V217&lt;75,W217&gt;=35,W217&lt;75),0.2,0)+IF(AND(V217&gt;=40,V217&lt;75,W217&gt;=75,W217&lt;120),0.17,0)+IF(AND(V217&gt;=40,V217&lt;75,W217&gt;=120),0.12,0)+IF(AND(V217&gt;=75,V217&lt;175,W217&lt;35),0.23,0)+IF(AND(V217&gt;=75,V217&lt;=175,W217&gt;=35,W217&lt;65),0.2,0)+IF(AND(V217&gt;=75,V217&lt;=175,W217&gt;=65,W217&lt;110),0.17,0)+IF(AND(V217&gt;=75,V217&lt;=175,W217&gt;=110),0.12,0)+IF(AND(V217&gt;175,W217&lt;25),0.23,0)+IF(AND(V217&gt;175,W217&gt;=25,W217&lt;55),0.2,0)+IF(AND(V217&gt;175,W217&gt;=55,W217&lt;95),0.17,0)+IF(AND(V217&gt;175,W217&gt;=95),0.12,0),
IF(AF217="DoEVs1",IF(AND(V217&lt;20,W217&lt;55),0.3,0)+IF(AND(V217&lt;20,W217&gt;=55,W217&lt;105),0.23,0)+IF(AND(V217&lt;20,W217&gt;=105),0.17,0)+IF(AND(V217&gt;=20,V217&lt;40,W217&lt;45),0.3,0)+IF(AND(V217&gt;=20,V217&lt;40,W217&gt;=45,W217&lt;95),0.23,0)+IF(AND(V217&gt;=20,V217&lt;40,W217&gt;=95,W217&lt;=150),0.17,0)+IF(AND(V217&gt;=20,V217&lt;40,W217&gt;=150),0.12,0)+IF(AND(V217&gt;=40,V217&lt;75,W217&lt;35),0.3,0)+IF(AND(V217&gt;=40,V217&lt;75,W217&gt;=35,W217&lt;75),0.23,0)+IF(AND(V217&gt;=40,V217&lt;75,W217&gt;=75,W217&lt;120),0.17,0)+IF(AND(V217&gt;=40,V217&lt;75,W217&gt;=120),0.12,0)+IF(AND(V217&gt;=75,V217&lt;175,W217&lt;35),0.3,0)+IF(AND(V217&gt;=75,V217&lt;=175,W217&gt;=35,W217&lt;65),0.23,0)+IF(AND(V217&gt;=75,V217&lt;=175,W217&gt;=65,W217&lt;110),0.17,0)+IF(AND(V217&gt;=75,V217&lt;=175,W217&gt;=110),0.12,0)+IF(AND(V217&gt;175,W217&lt;25),0.3,0)+IF(AND(V217&gt;175,W217&gt;=25,W217&lt;55),0.23,0)+IF(AND(V217&gt;175,W217&gt;=55,W217&lt;95),0.17,0)+IF(AND(V217&gt;175,W217&gt;=95),0.12,0),
IF(AF217="DoEVsu",IF(AND(V217&lt;20,W217&lt;55),0.3,0)+IF(AND(V217&lt;20,W217&gt;=55,W217&lt;105),0.23,0)+IF(AND(V217&lt;20,W217&gt;=105),0.17,0)+IF(AND(V217&gt;=20,V217&lt;40,W217&lt;45),0.3,0)+IF(AND(V217&gt;=20,V217&lt;40,W217&gt;=45,W217&lt;95),0.23,0)+IF(AND(V217&gt;=20,V217&lt;40,W217&gt;=95,W217&lt;=250),0.17,0)+IF(AND(V217&gt;=20,V217&lt;40,W217&gt;=250),0.12,0)+IF(AND(V217&gt;=40,V217&lt;75,W217&lt;35),0.3,0)+IF(AND(V217&gt;=40,V217&lt;75,W217&gt;=35,W217&lt;75),0.23,0)+IF(AND(V217&gt;=40,V217&lt;75,W217&gt;=75,W217&lt;120),0.17,0)+IF(AND(V217&gt;=40,V217&lt;75,W217&gt;=120),0.12,0)+IF(AND(V217&gt;=75,V217&lt;175,W217&lt;35),0.3,0)+IF(AND(V217&gt;=75,V217&lt;=175,W217&gt;=35,W217&lt;65),0.23,0)+IF(AND(V217&gt;=75,V217&lt;=175,W217&gt;=65,W217&lt;110),0.17,0)+IF(AND(V217&gt;=75,V217&lt;=175,W217&gt;=110),0.12,0)+IF(AND(V217&gt;175,W217&lt;25),0.3,0)+IF(AND(V217&gt;175,W217&gt;=25,W217&lt;55),0.23,0)+IF(AND(V217&gt;175,W217&gt;=55,W217&lt;95),0.17,0)+IF(AND(V217&gt;175,W217&gt;=95),0.12,0),
IF(AF217="DoEVni",IF(AND(V217&lt;20,W217&lt;55),0.3,0)+IF(AND(V217&lt;20,W217&gt;=55,W217&lt;105),0.23,0)+IF(AND(V217&lt;20,W217&gt;=105),0.17,0)+IF(AND(V217&gt;=20,V217&lt;40,W217&lt;45),0.3,0)+IF(AND(V217&gt;=20,V217&lt;40,W217&gt;=45,W217&lt;95),0.23,0)+IF(AND(V217&gt;=20,V217&lt;40,W217&gt;=95,W217&lt;=200),0.17,0)+IF(AND(V217&gt;=20,V217&lt;40,W217&gt;=200),0.12,0)+IF(AND(V217&gt;=40,V217&lt;75,W217&lt;35),0.3,0)+IF(AND(V217&gt;=40,V217&lt;75,W217&gt;=35,W217&lt;75),0.23,0)+IF(AND(V217&gt;=40,V217&lt;75,W217&gt;=75,W217&lt;120),0.17,0)+IF(AND(V217&gt;=40,V217&lt;75,W217&gt;=120),0.12,0)+IF(AND(V217&gt;=75,V217&lt;175,W217&lt;35),0.3,0)+IF(AND(V217&gt;=75,V217&lt;=175,W217&gt;=35,W217&lt;65),0.23,0)+IF(AND(V217&gt;=75,V217&lt;=175,W217&gt;=65,W217&lt;110),0.17,0)+IF(AND(V217&gt;=75,V217&lt;=175,W217&gt;=110),0.12,0)+IF(AND(V217&gt;175,W217&lt;25),0.3,0)+IF(AND(V217&gt;175,W217&gt;=25,W217&lt;55),0.23,0)+IF(AND(V217&gt;175,W217&gt;=55,W217&lt;95),0.17,0)+IF(AND(V217&gt;175,W217&gt;=95),0.12,0),
IF(AF217="DoEVLo",IF(AND(V217&lt;20,W217&lt;55),0.25,0)+IF(AND(V217&lt;20,W217&gt;=55,W217&lt;105),0.2,0)+IF(AND(V217&lt;20,W217&gt;=105),0.15,0)+IF(AND(V217&gt;=20,V217&lt;40,W217&lt;45),0.25,0)+IF(AND(V217&gt;=20,V217&lt;40,W217&gt;=45,W217&lt;95),0.2,0)+IF(AND(V217&gt;=20,V217&lt;40,W217&gt;=95),0.15,0)+IF(AND(V217&gt;=40,V217&lt;75,W217&lt;35),0.25,0)+IF(AND(V217&gt;=40,V217&lt;75,W217&gt;=35,W217&lt;75),0.2,0)+IF(AND(V217&gt;=40,V217&lt;75,W217&gt;=75,W217&lt;120),0.15,0)+IF(AND(V217&gt;=40,V217&lt;75,W217&gt;=120),0.1,0)+IF(AND(V217&gt;=75,V217&lt;175,W217&lt;35),0.25,0)+IF(AND(V217&gt;=75,V217&lt;=175,W217&gt;=35,W217&lt;65),0.2,0)+IF(AND(V217&gt;=75,V217&lt;=175,W217&gt;=65,W217&lt;110),0.15,0)+IF(AND(V217&gt;=75,V217&lt;=175,W217&gt;=110),0.1,0)+IF(AND(V217&gt;175,W217&lt;25),0.25,0)+IF(AND(V217&gt;175,W217&gt;=25,W217&lt;55),0.2,0)+IF(AND(V217&gt;175,W217&gt;=55,W217&lt;95),0.15,0)+IF(AND(V217&gt;175,W217&gt;=95),0.1,0))))))))))))))))</f>
        <v>0.2</v>
      </c>
      <c r="Y217" s="30">
        <f>IF(AG217="None",0,IF(AG217="Fix5",0.05,IF(AG217="Fix3.75",0.0375,IF(AG217="Fix10",0.1,IF(AG217="Fix3",0.03,0)))))</f>
        <v>0</v>
      </c>
      <c r="Z217" s="59">
        <f>T217-AA217-AB217</f>
        <v>62.4</v>
      </c>
      <c r="AA217" s="60">
        <f>IF(AD217="EUR",((T217-R217)*X217)*U217+(R217*X217),(T217*X217))</f>
        <v>15.600000000000001</v>
      </c>
      <c r="AB217" s="36">
        <f>IF(AD217="EUR",((T217-R217)*Y217)*U217+(R217*Y217),(T217*Y217))</f>
        <v>0</v>
      </c>
      <c r="AC217" s="37" t="b">
        <v>1</v>
      </c>
      <c r="AD217" s="61" t="s">
        <v>50</v>
      </c>
      <c r="AE217" s="61"/>
      <c r="AF217" s="37" t="str">
        <f t="array" ref="AF217">INDEX('Deal Info'!D:D, MATCH(A217,'Deal Info'!A:A, 0))</f>
        <v>DoEV2017</v>
      </c>
      <c r="AG217" s="38" t="str">
        <f t="array" ref="AG217">INDEX('Deal Info'!G:G, MATCH(A217,'Deal Info'!A:A, 0))</f>
        <v>None</v>
      </c>
    </row>
    <row r="218" spans="1:33" ht="14.25" x14ac:dyDescent="0.2">
      <c r="A218" s="18" t="str">
        <f t="array" ref="A218">IF(G218='Room Info'!$B$1, INDEX('Room Info'!$A$2:$A2446, MATCH(B218,'Room Info'!$B$2:$B2446, 0)),IF(G218='Room Info'!$C$1, INDEX('Room Info'!$A$2:$A2446, MATCH(B218,'Room Info'!$C$2:$C2446, 0)),IF(G218='Room Info'!$D$1, INDEX('Room Info'!$A$2:$A2446, MATCH(B218,'Room Info'!$D$2:$D2446, 0)),IF(G218='Room Info'!$E$1, INDEX('Room Info'!$A$2:$A2446, MATCH(B218,'Room Info'!$E$2:$E2446, 0)),IF(G218='Room Info'!$F$1, INDEX('Room Info'!$A$2:$A2446, MATCH(B218,'Room Info'!$F$2:$F2446, 0)),IF(G218='Room Info'!$H$1, INDEX('Room Info'!$A$2:$A2446, MATCH(B218,'Room Info'!$H$2:$H2446, 0)),IF(G218='Room Info'!$G$1, INDEX('Room Info'!$A$2:$A2446, MATCH(B218,'Room Info'!$G$2:$G2446, 0)))))))))</f>
        <v>Freedoom</v>
      </c>
      <c r="B218" s="45" t="s">
        <v>110</v>
      </c>
      <c r="C218" s="46">
        <v>44621</v>
      </c>
      <c r="D218" s="46">
        <v>44651</v>
      </c>
      <c r="E218" s="47">
        <v>44621</v>
      </c>
      <c r="F218" s="48" t="s">
        <v>49</v>
      </c>
      <c r="G218" s="129" t="s">
        <v>61</v>
      </c>
      <c r="H218" s="49" t="s">
        <v>64</v>
      </c>
      <c r="I218" s="49" t="s">
        <v>37</v>
      </c>
      <c r="J218" s="50">
        <v>10</v>
      </c>
      <c r="K218" s="51">
        <v>588</v>
      </c>
      <c r="L218" s="52">
        <v>40</v>
      </c>
      <c r="M218" s="53">
        <v>317</v>
      </c>
      <c r="N218" s="28">
        <f>K218*J218</f>
        <v>5880</v>
      </c>
      <c r="O218" s="54">
        <v>50266</v>
      </c>
      <c r="P218" s="29">
        <v>85.486394559999994</v>
      </c>
      <c r="Q218" s="55"/>
      <c r="R218" s="31">
        <f>M218+Q218</f>
        <v>317</v>
      </c>
      <c r="S218" s="56">
        <v>386</v>
      </c>
      <c r="T218" s="32">
        <f>R218+S218+IF(F218="Without EV deal",L218,0)</f>
        <v>703</v>
      </c>
      <c r="U218" s="57">
        <v>1</v>
      </c>
      <c r="V218" s="58"/>
      <c r="W218" s="58"/>
      <c r="X218" s="30">
        <f>IF(AF218="DoEV",IF(AND(V218&lt;20,W218&lt;55),0.3,0)+IF(AND(V218&lt;20,W218&gt;=55,W218&lt;105),0.23,0)+IF(AND(V218&lt;20,W218&gt;=105),0.17,0)+IF(AND(V218&gt;=20,V218&lt;40,W218&lt;45),0.3,0)+IF(AND(V218&gt;=20,V218&lt;40,W218&gt;=45,W218&lt;95),0.23,0)+IF(AND(V218&gt;=20,V218&lt;40,W218&gt;=95),0.17,0)+IF(AND(V218&gt;=40,V218&lt;75,W218&lt;35),0.3,0)+IF(AND(V218&gt;=40,V218&lt;75,W218&gt;=35,W218&lt;75),0.23,0)+IF(AND(V218&gt;=40,V218&lt;75,W218&gt;=75,W218&lt;120),0.17,0)+IF(AND(V218&gt;=40,V218&lt;75,W218&gt;=120),0.12,0)+IF(AND(V218&gt;=75,V218&lt;175,W218&lt;35),0.3,0)+IF(AND(V218&gt;=75,V218&lt;=175,W218&gt;=35,W218&lt;65),0.23,0)+IF(AND(V218&gt;=75,V218&lt;=175,W218&gt;=65,W218&lt;110),0.17,0)+IF(AND(V218&gt;=75,V218&lt;=175,W218&gt;=110),0.12,0)+IF(AND(V218&gt;175,W218&lt;25),0.3,0)+IF(AND(V218&gt;175,W218&gt;=25,W218&lt;55),0.23,0)+IF(AND(V218&gt;175,W218&gt;=55,W218&lt;95),0.17,0)+IF(AND(V218&gt;175,W218&gt;=95),0.12,0),
IF(AF218="Fix15",0.15,
IF(AF218="Fix11.25",0.1125,
IF(AF218="Fix10",0.1,
IF(AF218="Fix9",0.09,
IF(AF218="DoEV2017",IF(AND(W218&lt;74),0.2,0)+IF(AND(W218&gt;=74),0.17,0),
IF(AF218="SF",IF(AND(V218&lt;20,W218&lt;89),0.3,0)+IF(AND(V218&lt;20,W218&gt;=89),0.25,0)+IF(AND(V218&gt;=20,V218&lt;40,W218&lt;74),0.3,0)+IF(AND(V218&gt;=20,V218&lt;40,W218&gt;=75),0.22,0)+IF(AND(V218&gt;=40,V218&lt;75,W218&lt;75),0.26,0)+IF(AND(V218&gt;=40,V218&lt;75,W218&gt;=75),0.22,0)+IF(V218&gt;=75,0.22,0),
IF(AF218="DoEVold",IF(AND(V218&lt;40,W218&lt;35),0.35,0)+IF(AND(V218&lt;40,W218&gt;=35,W218&lt;75),0.25,0)+IF(AND(V218&lt;40,W218&gt;=75),0.17,0)+IF(AND(V218&gt;=40,V218&lt;75,W218&lt;25),0.35,0)+IF(AND(V218&gt;=40,V218&lt;75,W218&gt;=25,W218&lt;65),0.25,0)+IF(AND(V218&gt;=40,V218&lt;75,W218&gt;=65,W218&lt;100),0.17,0)+IF(AND(V218&gt;=40,V218&lt;75,W218&gt;=100),0.1,0)+IF(AND(V218&gt;=75,W218&lt;25),0.35,0)+IF(AND(V218&gt;=75,W218&gt;=25,W218&lt;60),0.25,0)+IF(AND(V218&gt;=75,W218&gt;=60,W218&lt;95),0.17,0)+IF(AND(V218&gt;=75,W218&gt;=95),0.1,0),
IF(AF218="DoEVold15",IF(AND(V218&lt;=40,W218&lt;35),0.35,0)+IF(AND(V218&lt;=40,W218&gt;=35,W218&lt;75),0.25,0)+IF(AND(V218&lt;=40,W218&gt;=75,W218&lt;120),0.17,0)+IF(AND(V218&lt;=40,W218&gt;=120),0.15,0)+IF(AND(V218&gt;40,V218&lt;75,W218&lt;25),0.35,0)+IF(AND(V218&gt;=40,V218&lt;75,W218&gt;=25,W218&lt;65),0.25,0)+IF(AND(V218&gt;=40,V218&lt;75,W218&gt;=65,W218&lt;100),0.17,0)+IF(AND(V218&gt;=40,V218&lt;75,W218&gt;=100),0.1,0)+IF(AND(V218&gt;=75,W218&lt;25),0.35,0)+IF(AND(V218&gt;=75,W218&gt;=25,W218&lt;60),0.25,0)+IF(AND(V218&gt;=75,W218&gt;=60,W218&lt;95),0.17,0)+IF(AND(V218&gt;=75,W218&gt;=95),0.1,0),
IF(AF218="DoEVba",IF(AND(V218&lt;20,W218&lt;105),0.2,0)+IF(AND(V218&lt;20,W218&gt;=105),0.15,0)+IF(AND(V218&gt;=20,V218&lt;40,W218&lt;95),0.2,0)+IF(AND(V218&gt;=20,V218&lt;40,W218&gt;=95,W218&lt;150),0.15,0)+IF(AND(V218&gt;=20,V218&lt;40,W218&gt;=150),0.12,0)+IF(AND(V218&gt;=40,V218&lt;75,W218&lt;75),0.2,0)+IF(AND(V218&gt;=40,V218&lt;75,W218&gt;=75,W218&lt;120),0.15,0)+IF(AND(V218&gt;=40,V218&lt;75,W218&gt;=120),0.12,0)+IF(AND(V218&gt;=75,V218&lt;175,W218&lt;65),0.2,0)+IF(AND(V218&gt;=75,V218&lt;175,W218&gt;=65,W218&lt;110),0.15,0)+IF(AND(V218&gt;=75,V218&lt;175,W218&gt;=110),0.12,0)+IF(AND(V218&gt;=175,W218&lt;55),0.2,0)+IF(AND(V218&gt;=175,W218&gt;=55,W218&lt;95),0.15,0)+IF(AND(V218&gt;=175,W218&gt;=95),0.12,0),
IF(AF218="DoEVku",IF(AND(V218&lt;20,W218&lt;55),0.23,0)+IF(AND(V218&lt;20,W218&gt;=55,W218&lt;105),0.2,0)+IF(AND(V218&lt;20,W218&gt;=105),0.17,0)+IF(AND(V218&gt;=20,V218&lt;40,W218&lt;45),0.23,0)+IF(AND(V218&gt;=20,V218&lt;40,W218&gt;=45,W218&lt;95),0.2,0)+IF(AND(V218&gt;=20,V218&lt;40,W218&gt;=95,W218&lt;=150),0.17,0)+IF(AND(V218&gt;=20,V218&lt;40,W218&gt;=150),0.12,0)+IF(AND(V218&gt;=40,V218&lt;75,W218&lt;35),0.23,0)+IF(AND(V218&gt;=40,V218&lt;75,W218&gt;=35,W218&lt;75),0.2,0)+IF(AND(V218&gt;=40,V218&lt;75,W218&gt;=75,W218&lt;120),0.17,0)+IF(AND(V218&gt;=40,V218&lt;75,W218&gt;=120),0.12,0)+IF(AND(V218&gt;=75,V218&lt;175,W218&lt;35),0.23,0)+IF(AND(V218&gt;=75,V218&lt;=175,W218&gt;=35,W218&lt;65),0.2,0)+IF(AND(V218&gt;=75,V218&lt;=175,W218&gt;=65,W218&lt;110),0.17,0)+IF(AND(V218&gt;=75,V218&lt;=175,W218&gt;=110),0.12,0)+IF(AND(V218&gt;175,W218&lt;25),0.23,0)+IF(AND(V218&gt;175,W218&gt;=25,W218&lt;55),0.2,0)+IF(AND(V218&gt;175,W218&gt;=55,W218&lt;95),0.17,0)+IF(AND(V218&gt;175,W218&gt;=95),0.12,0),
IF(AF218="DoEVs1",IF(AND(V218&lt;20,W218&lt;55),0.3,0)+IF(AND(V218&lt;20,W218&gt;=55,W218&lt;105),0.23,0)+IF(AND(V218&lt;20,W218&gt;=105),0.17,0)+IF(AND(V218&gt;=20,V218&lt;40,W218&lt;45),0.3,0)+IF(AND(V218&gt;=20,V218&lt;40,W218&gt;=45,W218&lt;95),0.23,0)+IF(AND(V218&gt;=20,V218&lt;40,W218&gt;=95,W218&lt;=150),0.17,0)+IF(AND(V218&gt;=20,V218&lt;40,W218&gt;=150),0.12,0)+IF(AND(V218&gt;=40,V218&lt;75,W218&lt;35),0.3,0)+IF(AND(V218&gt;=40,V218&lt;75,W218&gt;=35,W218&lt;75),0.23,0)+IF(AND(V218&gt;=40,V218&lt;75,W218&gt;=75,W218&lt;120),0.17,0)+IF(AND(V218&gt;=40,V218&lt;75,W218&gt;=120),0.12,0)+IF(AND(V218&gt;=75,V218&lt;175,W218&lt;35),0.3,0)+IF(AND(V218&gt;=75,V218&lt;=175,W218&gt;=35,W218&lt;65),0.23,0)+IF(AND(V218&gt;=75,V218&lt;=175,W218&gt;=65,W218&lt;110),0.17,0)+IF(AND(V218&gt;=75,V218&lt;=175,W218&gt;=110),0.12,0)+IF(AND(V218&gt;175,W218&lt;25),0.3,0)+IF(AND(V218&gt;175,W218&gt;=25,W218&lt;55),0.23,0)+IF(AND(V218&gt;175,W218&gt;=55,W218&lt;95),0.17,0)+IF(AND(V218&gt;175,W218&gt;=95),0.12,0),
IF(AF218="DoEVsu",IF(AND(V218&lt;20,W218&lt;55),0.3,0)+IF(AND(V218&lt;20,W218&gt;=55,W218&lt;105),0.23,0)+IF(AND(V218&lt;20,W218&gt;=105),0.17,0)+IF(AND(V218&gt;=20,V218&lt;40,W218&lt;45),0.3,0)+IF(AND(V218&gt;=20,V218&lt;40,W218&gt;=45,W218&lt;95),0.23,0)+IF(AND(V218&gt;=20,V218&lt;40,W218&gt;=95,W218&lt;=250),0.17,0)+IF(AND(V218&gt;=20,V218&lt;40,W218&gt;=250),0.12,0)+IF(AND(V218&gt;=40,V218&lt;75,W218&lt;35),0.3,0)+IF(AND(V218&gt;=40,V218&lt;75,W218&gt;=35,W218&lt;75),0.23,0)+IF(AND(V218&gt;=40,V218&lt;75,W218&gt;=75,W218&lt;120),0.17,0)+IF(AND(V218&gt;=40,V218&lt;75,W218&gt;=120),0.12,0)+IF(AND(V218&gt;=75,V218&lt;175,W218&lt;35),0.3,0)+IF(AND(V218&gt;=75,V218&lt;=175,W218&gt;=35,W218&lt;65),0.23,0)+IF(AND(V218&gt;=75,V218&lt;=175,W218&gt;=65,W218&lt;110),0.17,0)+IF(AND(V218&gt;=75,V218&lt;=175,W218&gt;=110),0.12,0)+IF(AND(V218&gt;175,W218&lt;25),0.3,0)+IF(AND(V218&gt;175,W218&gt;=25,W218&lt;55),0.23,0)+IF(AND(V218&gt;175,W218&gt;=55,W218&lt;95),0.17,0)+IF(AND(V218&gt;175,W218&gt;=95),0.12,0),
IF(AF218="DoEVni",IF(AND(V218&lt;20,W218&lt;55),0.3,0)+IF(AND(V218&lt;20,W218&gt;=55,W218&lt;105),0.23,0)+IF(AND(V218&lt;20,W218&gt;=105),0.17,0)+IF(AND(V218&gt;=20,V218&lt;40,W218&lt;45),0.3,0)+IF(AND(V218&gt;=20,V218&lt;40,W218&gt;=45,W218&lt;95),0.23,0)+IF(AND(V218&gt;=20,V218&lt;40,W218&gt;=95,W218&lt;=200),0.17,0)+IF(AND(V218&gt;=20,V218&lt;40,W218&gt;=200),0.12,0)+IF(AND(V218&gt;=40,V218&lt;75,W218&lt;35),0.3,0)+IF(AND(V218&gt;=40,V218&lt;75,W218&gt;=35,W218&lt;75),0.23,0)+IF(AND(V218&gt;=40,V218&lt;75,W218&gt;=75,W218&lt;120),0.17,0)+IF(AND(V218&gt;=40,V218&lt;75,W218&gt;=120),0.12,0)+IF(AND(V218&gt;=75,V218&lt;175,W218&lt;35),0.3,0)+IF(AND(V218&gt;=75,V218&lt;=175,W218&gt;=35,W218&lt;65),0.23,0)+IF(AND(V218&gt;=75,V218&lt;=175,W218&gt;=65,W218&lt;110),0.17,0)+IF(AND(V218&gt;=75,V218&lt;=175,W218&gt;=110),0.12,0)+IF(AND(V218&gt;175,W218&lt;25),0.3,0)+IF(AND(V218&gt;175,W218&gt;=25,W218&lt;55),0.23,0)+IF(AND(V218&gt;175,W218&gt;=55,W218&lt;95),0.17,0)+IF(AND(V218&gt;175,W218&gt;=95),0.12,0),
IF(AF218="DoEVLo",IF(AND(V218&lt;20,W218&lt;55),0.25,0)+IF(AND(V218&lt;20,W218&gt;=55,W218&lt;105),0.2,0)+IF(AND(V218&lt;20,W218&gt;=105),0.15,0)+IF(AND(V218&gt;=20,V218&lt;40,W218&lt;45),0.25,0)+IF(AND(V218&gt;=20,V218&lt;40,W218&gt;=45,W218&lt;95),0.2,0)+IF(AND(V218&gt;=20,V218&lt;40,W218&gt;=95),0.15,0)+IF(AND(V218&gt;=40,V218&lt;75,W218&lt;35),0.25,0)+IF(AND(V218&gt;=40,V218&lt;75,W218&gt;=35,W218&lt;75),0.2,0)+IF(AND(V218&gt;=40,V218&lt;75,W218&gt;=75,W218&lt;120),0.15,0)+IF(AND(V218&gt;=40,V218&lt;75,W218&gt;=120),0.1,0)+IF(AND(V218&gt;=75,V218&lt;175,W218&lt;35),0.25,0)+IF(AND(V218&gt;=75,V218&lt;=175,W218&gt;=35,W218&lt;65),0.2,0)+IF(AND(V218&gt;=75,V218&lt;=175,W218&gt;=65,W218&lt;110),0.15,0)+IF(AND(V218&gt;=75,V218&lt;=175,W218&gt;=110),0.1,0)+IF(AND(V218&gt;175,W218&lt;25),0.25,0)+IF(AND(V218&gt;175,W218&gt;=25,W218&lt;55),0.2,0)+IF(AND(V218&gt;175,W218&gt;=55,W218&lt;95),0.15,0)+IF(AND(V218&gt;175,W218&gt;=95),0.1,0))))))))))))))))</f>
        <v>0.35</v>
      </c>
      <c r="Y218" s="30">
        <f>IF(AG218="None",0,IF(AG218="Fix5",0.05,IF(AG218="Fix3.75",0.0375,IF(AG218="Fix10",0.1,IF(AG218="Fix3",0.03,0)))))</f>
        <v>0</v>
      </c>
      <c r="Z218" s="59">
        <v>583</v>
      </c>
      <c r="AA218" s="60">
        <v>120</v>
      </c>
      <c r="AB218" s="36">
        <f>IF(AD218="EUR",((T218-R218)*Y218)*U218+(R218*Y218),(T218*Y218))</f>
        <v>0</v>
      </c>
      <c r="AC218" s="37" t="b">
        <v>1</v>
      </c>
      <c r="AD218" s="61" t="s">
        <v>38</v>
      </c>
      <c r="AE218" s="61" t="s">
        <v>38</v>
      </c>
      <c r="AF218" s="37" t="str">
        <f t="array" ref="AF218">INDEX('Deal Info'!D:D, MATCH(A218,'Deal Info'!A:A, 0))</f>
        <v>DoEVold</v>
      </c>
      <c r="AG218" s="38" t="str">
        <f t="array" ref="AG218">INDEX('Deal Info'!G:G, MATCH(A218,'Deal Info'!A:A, 0))</f>
        <v>None</v>
      </c>
    </row>
    <row r="219" spans="1:33" ht="14.25" x14ac:dyDescent="0.2">
      <c r="A219" s="18" t="s">
        <v>98</v>
      </c>
      <c r="B219" s="45" t="s">
        <v>99</v>
      </c>
      <c r="C219" s="46">
        <v>44652</v>
      </c>
      <c r="D219" s="46">
        <v>44681</v>
      </c>
      <c r="E219" s="47">
        <v>44652</v>
      </c>
      <c r="F219" s="48" t="s">
        <v>41</v>
      </c>
      <c r="G219" s="45" t="s">
        <v>61</v>
      </c>
      <c r="H219" s="49" t="s">
        <v>105</v>
      </c>
      <c r="I219" s="49" t="s">
        <v>37</v>
      </c>
      <c r="J219" s="50">
        <v>50</v>
      </c>
      <c r="K219" s="123">
        <v>1559</v>
      </c>
      <c r="L219" s="52">
        <v>-4600</v>
      </c>
      <c r="M219" s="53">
        <v>0</v>
      </c>
      <c r="N219" s="28">
        <f>K219*J219</f>
        <v>77950</v>
      </c>
      <c r="O219" s="54">
        <v>7897</v>
      </c>
      <c r="P219" s="29">
        <v>5.0654265550000002</v>
      </c>
      <c r="Q219" s="55"/>
      <c r="R219" s="31">
        <f>M219+Q219</f>
        <v>0</v>
      </c>
      <c r="S219" s="56"/>
      <c r="T219" s="32">
        <f>R219+S219+IF(F219="Without EV deal",L219,0)</f>
        <v>-4600</v>
      </c>
      <c r="U219" s="57">
        <v>1.0549999999999999</v>
      </c>
      <c r="V219" s="58"/>
      <c r="W219" s="58"/>
      <c r="X219" s="30">
        <v>0.25</v>
      </c>
      <c r="Y219" s="30">
        <f>IF(AG219="None",0,IF(AG219="Fix5",0.05, IF(AG219="Fix6.25",0.0625,IF(AG219="Fix3.75",0.0375,IF(AG219="Fix10",0.1,IF(AG219="Fix3",0.03,0))))))</f>
        <v>0</v>
      </c>
      <c r="Z219" s="59">
        <f>T219-AA219-AB219</f>
        <v>-3386.75</v>
      </c>
      <c r="AA219" s="60">
        <f>IF(AD219="EUR",((T219-R219)*X219)*U219+(R219*X219),(T219*X219))</f>
        <v>-1213.25</v>
      </c>
      <c r="AB219" s="36">
        <f>IF(AD219="EUR",((T219-R219)*Y219)*U219+(R219*Y219),(T219*Y219))</f>
        <v>0</v>
      </c>
      <c r="AC219" s="37" t="b">
        <v>1</v>
      </c>
      <c r="AD219" s="61" t="s">
        <v>50</v>
      </c>
      <c r="AE219" s="61"/>
      <c r="AF219" s="37" t="str">
        <f t="array" ref="AF219">INDEX('Deal Info'!D:D, MATCH(A219,'Deal Info'!A:A, 0))</f>
        <v>DoEVold</v>
      </c>
      <c r="AG219" s="38" t="str">
        <f t="array" ref="AG219">INDEX('Deal Info'!G:G, MATCH(A219,'Deal Info'!A:A, 0))</f>
        <v>None</v>
      </c>
    </row>
    <row r="220" spans="1:33" ht="14.25" hidden="1" x14ac:dyDescent="0.2">
      <c r="A220" s="18" t="str">
        <f t="array" ref="A220">IF(G220='Room Info'!$B$1, INDEX('Room Info'!$A$2:$A2446, MATCH(B220,'Room Info'!$B$2:$B2446, 0)),IF(G220='Room Info'!$C$1, INDEX('Room Info'!$A$2:$A2446, MATCH(B220,'Room Info'!$C$2:$C2446, 0)),IF(G220='Room Info'!$D$1, INDEX('Room Info'!$A$2:$A2446, MATCH(B220,'Room Info'!$D$2:$D2446, 0)),IF(G220='Room Info'!$E$1, INDEX('Room Info'!$A$2:$A2446, MATCH(B220,'Room Info'!$E$2:$E2446, 0)),IF(G220='Room Info'!$F$1, INDEX('Room Info'!$A$2:$A2446, MATCH(B220,'Room Info'!$F$2:$F2446, 0)),IF(G220='Room Info'!$H$1, INDEX('Room Info'!$A$2:$A2446, MATCH(B220,'Room Info'!$H$2:$H2446, 0)),IF(G220='Room Info'!$G$1, INDEX('Room Info'!$A$2:$A2446, MATCH(B220,'Room Info'!$G$2:$G2446, 0)))))))))</f>
        <v>Lo4io</v>
      </c>
      <c r="B220" s="45" t="s">
        <v>97</v>
      </c>
      <c r="C220" s="46">
        <v>44763</v>
      </c>
      <c r="D220" s="46">
        <v>44793</v>
      </c>
      <c r="E220" s="47">
        <v>44774</v>
      </c>
      <c r="F220" s="48" t="s">
        <v>34</v>
      </c>
      <c r="G220" s="54" t="s">
        <v>80</v>
      </c>
      <c r="H220" s="49" t="s">
        <v>72</v>
      </c>
      <c r="I220" s="49" t="s">
        <v>81</v>
      </c>
      <c r="J220" s="74">
        <v>50</v>
      </c>
      <c r="K220" s="75">
        <v>1158</v>
      </c>
      <c r="L220" s="72">
        <v>-4600</v>
      </c>
      <c r="M220" s="53">
        <v>3660</v>
      </c>
      <c r="N220" s="28">
        <f>K220*J220</f>
        <v>57900</v>
      </c>
      <c r="O220" s="45">
        <v>7805</v>
      </c>
      <c r="P220" s="29">
        <v>6.740069085</v>
      </c>
      <c r="Q220" s="55"/>
      <c r="R220" s="31">
        <f>M220+Q220</f>
        <v>3660</v>
      </c>
      <c r="S220" s="73">
        <v>-3075</v>
      </c>
      <c r="T220" s="32">
        <f>R220+S220+IF(F220="Without EV deal",L220,0)</f>
        <v>585</v>
      </c>
      <c r="U220" s="57">
        <v>1</v>
      </c>
      <c r="V220" s="69">
        <v>72.441895562933894</v>
      </c>
      <c r="W220" s="69">
        <v>7.6889208333333334</v>
      </c>
      <c r="X220" s="30">
        <f>IF(AF220="DoEV",IF(AND(V220&lt;20,W220&lt;55),0.3,0)+IF(AND(V220&lt;20,W220&gt;=55,W220&lt;105),0.23,0)+IF(AND(V220&lt;20,W220&gt;=105),0.17,0)+IF(AND(V220&gt;=20,V220&lt;40,W220&lt;45),0.3,0)+IF(AND(V220&gt;=20,V220&lt;40,W220&gt;=45,W220&lt;95),0.23,0)+IF(AND(V220&gt;=20,V220&lt;40,W220&gt;=95),0.17,0)+IF(AND(V220&gt;=40,V220&lt;75,W220&lt;35),0.3,0)+IF(AND(V220&gt;=40,V220&lt;75,W220&gt;=35,W220&lt;75),0.23,0)+IF(AND(V220&gt;=40,V220&lt;75,W220&gt;=75,W220&lt;120),0.17,0)+IF(AND(V220&gt;=40,V220&lt;75,W220&gt;=120),0.12,0)+IF(AND(V220&gt;=75,V220&lt;175,W220&lt;35),0.3,0)+IF(AND(V220&gt;=75,V220&lt;=175,W220&gt;=35,W220&lt;65),0.23,0)+IF(AND(V220&gt;=75,V220&lt;=175,W220&gt;=65,W220&lt;110),0.17,0)+IF(AND(V220&gt;=75,V220&lt;=175,W220&gt;=110),0.12,0)+IF(AND(V220&gt;175,W220&lt;25),0.3,0)+IF(AND(V220&gt;175,W220&gt;=25,W220&lt;55),0.23,0)+IF(AND(V220&gt;175,W220&gt;=55,W220&lt;95),0.17,0)+IF(AND(V220&gt;175,W220&gt;=95),0.12,0),
IF(AF220="Fix15",0.15,
IF(AF220="Fix11.25",0.1125,
IF(AF220="Fix10",0.1,
IF(AF220="Fix9",0.09,
IF(AF220="DoEV2017",IF(AND(W220&lt;74),0.2,0)+IF(AND(W220&gt;=74),0.17,0),
IF(AF220="SF",IF(AND(V220&lt;20,W220&lt;89),0.3,0)+IF(AND(V220&lt;20,W220&gt;=89),0.25,0)+IF(AND(V220&gt;=20,V220&lt;40,W220&lt;74),0.3,0)+IF(AND(V220&gt;=20,V220&lt;40,W220&gt;=75),0.22,0)+IF(AND(V220&gt;=40,V220&lt;75,W220&lt;75),0.26,0)+IF(AND(V220&gt;=40,V220&lt;75,W220&gt;=75),0.22,0)+IF(V220&gt;=75,0.22,0),
IF(AF220="DoEVold",IF(AND(V220&lt;40,W220&lt;35),0.35,0)+IF(AND(V220&lt;40,W220&gt;=35,W220&lt;75),0.25,0)+IF(AND(V220&lt;40,W220&gt;=75),0.17,0)+IF(AND(V220&gt;=40,V220&lt;75,W220&lt;25),0.35,0)+IF(AND(V220&gt;=40,V220&lt;75,W220&gt;=25,W220&lt;65),0.25,0)+IF(AND(V220&gt;=40,V220&lt;75,W220&gt;=65,W220&lt;100),0.17,0)+IF(AND(V220&gt;=40,V220&lt;75,W220&gt;=100),0.1,0)+IF(AND(V220&gt;=75,W220&lt;25),0.35,0)+IF(AND(V220&gt;=75,W220&gt;=25,W220&lt;60),0.25,0)+IF(AND(V220&gt;=75,W220&gt;=60,W220&lt;95),0.17,0)+IF(AND(V220&gt;=75,W220&gt;=95),0.1,0),
IF(AF220="DoEVold15",IF(AND(V220&lt;=40,W220&lt;35),0.35,0)+IF(AND(V220&lt;=40,W220&gt;=35,W220&lt;75),0.25,0)+IF(AND(V220&lt;=40,W220&gt;=75,W220&lt;120),0.17,0)+IF(AND(V220&lt;=40,W220&gt;=120),0.15,0)+IF(AND(V220&gt;40,V220&lt;75,W220&lt;25),0.35,0)+IF(AND(V220&gt;=40,V220&lt;75,W220&gt;=25,W220&lt;65),0.25,0)+IF(AND(V220&gt;=40,V220&lt;75,W220&gt;=65,W220&lt;100),0.17,0)+IF(AND(V220&gt;=40,V220&lt;75,W220&gt;=100),0.1,0)+IF(AND(V220&gt;=75,W220&lt;25),0.35,0)+IF(AND(V220&gt;=75,W220&gt;=25,W220&lt;60),0.25,0)+IF(AND(V220&gt;=75,W220&gt;=60,W220&lt;95),0.17,0)+IF(AND(V220&gt;=75,W220&gt;=95),0.1,0),
IF(AF220="DoEVba",IF(AND(V220&lt;20,W220&lt;105),0.2,0)+IF(AND(V220&lt;20,W220&gt;=105),0.15,0)+IF(AND(V220&gt;=20,V220&lt;40,W220&lt;95),0.2,0)+IF(AND(V220&gt;=20,V220&lt;40,W220&gt;=95,W220&lt;150),0.15,0)+IF(AND(V220&gt;=20,V220&lt;40,W220&gt;=150),0.12,0)+IF(AND(V220&gt;=40,V220&lt;75,W220&lt;75),0.2,0)+IF(AND(V220&gt;=40,V220&lt;75,W220&gt;=75,W220&lt;120),0.15,0)+IF(AND(V220&gt;=40,V220&lt;75,W220&gt;=120),0.12,0)+IF(AND(V220&gt;=75,V220&lt;175,W220&lt;65),0.2,0)+IF(AND(V220&gt;=75,V220&lt;175,W220&gt;=65,W220&lt;110),0.15,0)+IF(AND(V220&gt;=75,V220&lt;175,W220&gt;=110),0.12,0)+IF(AND(V220&gt;=175,W220&lt;55),0.2,0)+IF(AND(V220&gt;=175,W220&gt;=55,W220&lt;95),0.15,0)+IF(AND(V220&gt;=175,W220&gt;=95),0.12,0),
IF(AF220="DoEVku",IF(AND(V220&lt;20,W220&lt;55),0.23,0)+IF(AND(V220&lt;20,W220&gt;=55,W220&lt;105),0.2,0)+IF(AND(V220&lt;20,W220&gt;=105),0.17,0)+IF(AND(V220&gt;=20,V220&lt;40,W220&lt;45),0.23,0)+IF(AND(V220&gt;=20,V220&lt;40,W220&gt;=45,W220&lt;95),0.2,0)+IF(AND(V220&gt;=20,V220&lt;40,W220&gt;=95,W220&lt;=150),0.17,0)+IF(AND(V220&gt;=20,V220&lt;40,W220&gt;=150),0.12,0)+IF(AND(V220&gt;=40,V220&lt;75,W220&lt;35),0.23,0)+IF(AND(V220&gt;=40,V220&lt;75,W220&gt;=35,W220&lt;75),0.2,0)+IF(AND(V220&gt;=40,V220&lt;75,W220&gt;=75,W220&lt;120),0.17,0)+IF(AND(V220&gt;=40,V220&lt;75,W220&gt;=120),0.12,0)+IF(AND(V220&gt;=75,V220&lt;175,W220&lt;35),0.23,0)+IF(AND(V220&gt;=75,V220&lt;=175,W220&gt;=35,W220&lt;65),0.2,0)+IF(AND(V220&gt;=75,V220&lt;=175,W220&gt;=65,W220&lt;110),0.17,0)+IF(AND(V220&gt;=75,V220&lt;=175,W220&gt;=110),0.12,0)+IF(AND(V220&gt;175,W220&lt;25),0.23,0)+IF(AND(V220&gt;175,W220&gt;=25,W220&lt;55),0.2,0)+IF(AND(V220&gt;175,W220&gt;=55,W220&lt;95),0.17,0)+IF(AND(V220&gt;175,W220&gt;=95),0.12,0),
IF(AF220="DoEVs1",IF(AND(V220&lt;20,W220&lt;55),0.3,0)+IF(AND(V220&lt;20,W220&gt;=55,W220&lt;105),0.23,0)+IF(AND(V220&lt;20,W220&gt;=105),0.17,0)+IF(AND(V220&gt;=20,V220&lt;40,W220&lt;45),0.3,0)+IF(AND(V220&gt;=20,V220&lt;40,W220&gt;=45,W220&lt;95),0.23,0)+IF(AND(V220&gt;=20,V220&lt;40,W220&gt;=95,W220&lt;=150),0.17,0)+IF(AND(V220&gt;=20,V220&lt;40,W220&gt;=150),0.12,0)+IF(AND(V220&gt;=40,V220&lt;75,W220&lt;35),0.3,0)+IF(AND(V220&gt;=40,V220&lt;75,W220&gt;=35,W220&lt;75),0.23,0)+IF(AND(V220&gt;=40,V220&lt;75,W220&gt;=75,W220&lt;120),0.17,0)+IF(AND(V220&gt;=40,V220&lt;75,W220&gt;=120),0.12,0)+IF(AND(V220&gt;=75,V220&lt;175,W220&lt;35),0.3,0)+IF(AND(V220&gt;=75,V220&lt;=175,W220&gt;=35,W220&lt;65),0.23,0)+IF(AND(V220&gt;=75,V220&lt;=175,W220&gt;=65,W220&lt;110),0.17,0)+IF(AND(V220&gt;=75,V220&lt;=175,W220&gt;=110),0.12,0)+IF(AND(V220&gt;175,W220&lt;25),0.3,0)+IF(AND(V220&gt;175,W220&gt;=25,W220&lt;55),0.23,0)+IF(AND(V220&gt;175,W220&gt;=55,W220&lt;95),0.17,0)+IF(AND(V220&gt;175,W220&gt;=95),0.12,0),
IF(AF220="DoEVsu",IF(AND(V220&lt;20,W220&lt;55),0.3,0)+IF(AND(V220&lt;20,W220&gt;=55,W220&lt;105),0.23,0)+IF(AND(V220&lt;20,W220&gt;=105),0.17,0)+IF(AND(V220&gt;=20,V220&lt;40,W220&lt;45),0.3,0)+IF(AND(V220&gt;=20,V220&lt;40,W220&gt;=45,W220&lt;95),0.23,0)+IF(AND(V220&gt;=20,V220&lt;40,W220&gt;=95,W220&lt;=250),0.17,0)+IF(AND(V220&gt;=20,V220&lt;40,W220&gt;=250),0.12,0)+IF(AND(V220&gt;=40,V220&lt;75,W220&lt;35),0.3,0)+IF(AND(V220&gt;=40,V220&lt;75,W220&gt;=35,W220&lt;75),0.23,0)+IF(AND(V220&gt;=40,V220&lt;75,W220&gt;=75,W220&lt;120),0.17,0)+IF(AND(V220&gt;=40,V220&lt;75,W220&gt;=120),0.12,0)+IF(AND(V220&gt;=75,V220&lt;175,W220&lt;35),0.3,0)+IF(AND(V220&gt;=75,V220&lt;=175,W220&gt;=35,W220&lt;65),0.23,0)+IF(AND(V220&gt;=75,V220&lt;=175,W220&gt;=65,W220&lt;110),0.17,0)+IF(AND(V220&gt;=75,V220&lt;=175,W220&gt;=110),0.12,0)+IF(AND(V220&gt;175,W220&lt;25),0.3,0)+IF(AND(V220&gt;175,W220&gt;=25,W220&lt;55),0.23,0)+IF(AND(V220&gt;175,W220&gt;=55,W220&lt;95),0.17,0)+IF(AND(V220&gt;175,W220&gt;=95),0.12,0),
IF(AF220="DoEVni",IF(AND(V220&lt;20,W220&lt;55),0.3,0)+IF(AND(V220&lt;20,W220&gt;=55,W220&lt;105),0.23,0)+IF(AND(V220&lt;20,W220&gt;=105),0.17,0)+IF(AND(V220&gt;=20,V220&lt;40,W220&lt;45),0.3,0)+IF(AND(V220&gt;=20,V220&lt;40,W220&gt;=45,W220&lt;95),0.23,0)+IF(AND(V220&gt;=20,V220&lt;40,W220&gt;=95,W220&lt;=200),0.17,0)+IF(AND(V220&gt;=20,V220&lt;40,W220&gt;=200),0.12,0)+IF(AND(V220&gt;=40,V220&lt;75,W220&lt;35),0.3,0)+IF(AND(V220&gt;=40,V220&lt;75,W220&gt;=35,W220&lt;75),0.23,0)+IF(AND(V220&gt;=40,V220&lt;75,W220&gt;=75,W220&lt;120),0.17,0)+IF(AND(V220&gt;=40,V220&lt;75,W220&gt;=120),0.12,0)+IF(AND(V220&gt;=75,V220&lt;175,W220&lt;35),0.3,0)+IF(AND(V220&gt;=75,V220&lt;=175,W220&gt;=35,W220&lt;65),0.23,0)+IF(AND(V220&gt;=75,V220&lt;=175,W220&gt;=65,W220&lt;110),0.17,0)+IF(AND(V220&gt;=75,V220&lt;=175,W220&gt;=110),0.12,0)+IF(AND(V220&gt;175,W220&lt;25),0.3,0)+IF(AND(V220&gt;175,W220&gt;=25,W220&lt;55),0.23,0)+IF(AND(V220&gt;175,W220&gt;=55,W220&lt;95),0.17,0)+IF(AND(V220&gt;175,W220&gt;=95),0.12,0),
IF(AF220="DoEVLo",IF(AND(V220&lt;20,W220&lt;55),0.25,0)+IF(AND(V220&lt;20,W220&gt;=55,W220&lt;105),0.2,0)+IF(AND(V220&lt;20,W220&gt;=105),0.15,0)+IF(AND(V220&gt;=20,V220&lt;40,W220&lt;45),0.25,0)+IF(AND(V220&gt;=20,V220&lt;40,W220&gt;=45,W220&lt;95),0.2,0)+IF(AND(V220&gt;=20,V220&lt;40,W220&gt;=95),0.15,0)+IF(AND(V220&gt;=40,V220&lt;75,W220&lt;35),0.25,0)+IF(AND(V220&gt;=40,V220&lt;75,W220&gt;=35,W220&lt;75),0.2,0)+IF(AND(V220&gt;=40,V220&lt;75,W220&gt;=75,W220&lt;120),0.15,0)+IF(AND(V220&gt;=40,V220&lt;75,W220&gt;=120),0.1,0)+IF(AND(V220&gt;=75,V220&lt;175,W220&lt;35),0.25,0)+IF(AND(V220&gt;=75,V220&lt;=175,W220&gt;=35,W220&lt;65),0.2,0)+IF(AND(V220&gt;=75,V220&lt;=175,W220&gt;=65,W220&lt;110),0.15,0)+IF(AND(V220&gt;=75,V220&lt;=175,W220&gt;=110),0.1,0)+IF(AND(V220&gt;175,W220&lt;25),0.25,0)+IF(AND(V220&gt;175,W220&gt;=25,W220&lt;55),0.2,0)+IF(AND(V220&gt;175,W220&gt;=55,W220&lt;95),0.15,0)+IF(AND(V220&gt;175,W220&gt;=95),0.1,0))))))))))))))))</f>
        <v>0.25</v>
      </c>
      <c r="Y220" s="30">
        <f>IF(AG220="None",0,IF(AG220="Fix5",0.05,IF(AG220="Fix3.75",0.0375,IF(AG220="Fix10",0.1,IF(AG220="Fix3",0.03,0)))))</f>
        <v>0</v>
      </c>
      <c r="Z220" s="35">
        <f>T220-AA220-AB220</f>
        <v>438.75</v>
      </c>
      <c r="AA220" s="29">
        <f>IF(AD220="EUR",((T220-R220)*X220)*U220+(R220*X220),(T220*X220))</f>
        <v>146.25</v>
      </c>
      <c r="AB220" s="36">
        <f>IF(AD220="EUR",((T220-R220)*Y220)*U220+(R220*Y220),(T220*Y220))</f>
        <v>0</v>
      </c>
      <c r="AC220" s="37" t="b">
        <v>1</v>
      </c>
      <c r="AD220" s="37" t="s">
        <v>38</v>
      </c>
      <c r="AE220" s="37" t="s">
        <v>38</v>
      </c>
      <c r="AF220" s="37" t="str">
        <f t="array" ref="AF220">INDEX('Deal Info'!D:D, MATCH(A220,'Deal Info'!A:A, 0))</f>
        <v>DoEVLo</v>
      </c>
      <c r="AG220" s="38" t="str">
        <f t="array" ref="AG220">INDEX('Deal Info'!G:G, MATCH(A220,'Deal Info'!A:A, 0))</f>
        <v>None</v>
      </c>
    </row>
    <row r="221" spans="1:33" ht="14.25" hidden="1" x14ac:dyDescent="0.2">
      <c r="A221" s="18" t="str">
        <f t="array" ref="A221">IF(G221='Room Info'!$B$1, INDEX('Room Info'!$A$2:$A2446, MATCH(B221,'Room Info'!$B$2:$B2446, 0)),IF(G221='Room Info'!$C$1, INDEX('Room Info'!$A$2:$A2446, MATCH(B221,'Room Info'!$C$2:$C2446, 0)),IF(G221='Room Info'!$D$1, INDEX('Room Info'!$A$2:$A2446, MATCH(B221,'Room Info'!$D$2:$D2446, 0)),IF(G221='Room Info'!$E$1, INDEX('Room Info'!$A$2:$A2446, MATCH(B221,'Room Info'!$E$2:$E2446, 0)),IF(G221='Room Info'!$F$1, INDEX('Room Info'!$A$2:$A2446, MATCH(B221,'Room Info'!$F$2:$F2446, 0)),IF(G221='Room Info'!$H$1, INDEX('Room Info'!$A$2:$A2446, MATCH(B221,'Room Info'!$H$2:$H2446, 0)),IF(G221='Room Info'!$G$1, INDEX('Room Info'!$A$2:$A2446, MATCH(B221,'Room Info'!$G$2:$G2446, 0)))))))))</f>
        <v>Lo4io</v>
      </c>
      <c r="B221" s="45" t="s">
        <v>102</v>
      </c>
      <c r="C221" s="46">
        <v>44763</v>
      </c>
      <c r="D221" s="46">
        <v>44793</v>
      </c>
      <c r="E221" s="47">
        <v>44774</v>
      </c>
      <c r="F221" s="48" t="s">
        <v>34</v>
      </c>
      <c r="G221" s="54" t="s">
        <v>35</v>
      </c>
      <c r="H221" s="49" t="s">
        <v>72</v>
      </c>
      <c r="I221" s="49" t="s">
        <v>37</v>
      </c>
      <c r="J221" s="74">
        <v>50</v>
      </c>
      <c r="K221" s="75">
        <v>93</v>
      </c>
      <c r="L221" s="72">
        <v>-650</v>
      </c>
      <c r="M221" s="62"/>
      <c r="N221" s="28">
        <f>K221*J221</f>
        <v>4650</v>
      </c>
      <c r="O221" s="45">
        <v>-2110</v>
      </c>
      <c r="P221" s="29">
        <v>-22.688172040000001</v>
      </c>
      <c r="Q221" s="55"/>
      <c r="R221" s="31">
        <f>M221+Q221</f>
        <v>0</v>
      </c>
      <c r="S221" s="73">
        <v>-489</v>
      </c>
      <c r="T221" s="32">
        <f>R221+S221+IF(F221="Without EV deal",L221,0)</f>
        <v>-489</v>
      </c>
      <c r="U221" s="57">
        <v>1</v>
      </c>
      <c r="V221" s="69">
        <v>72.441895562933894</v>
      </c>
      <c r="W221" s="69">
        <v>7.6889208333333334</v>
      </c>
      <c r="X221" s="30">
        <f>IF(AF221="DoEV",IF(AND(V221&lt;20,W221&lt;55),0.3,0)+IF(AND(V221&lt;20,W221&gt;=55,W221&lt;105),0.23,0)+IF(AND(V221&lt;20,W221&gt;=105),0.17,0)+IF(AND(V221&gt;=20,V221&lt;40,W221&lt;45),0.3,0)+IF(AND(V221&gt;=20,V221&lt;40,W221&gt;=45,W221&lt;95),0.23,0)+IF(AND(V221&gt;=20,V221&lt;40,W221&gt;=95),0.17,0)+IF(AND(V221&gt;=40,V221&lt;75,W221&lt;35),0.3,0)+IF(AND(V221&gt;=40,V221&lt;75,W221&gt;=35,W221&lt;75),0.23,0)+IF(AND(V221&gt;=40,V221&lt;75,W221&gt;=75,W221&lt;120),0.17,0)+IF(AND(V221&gt;=40,V221&lt;75,W221&gt;=120),0.12,0)+IF(AND(V221&gt;=75,V221&lt;175,W221&lt;35),0.3,0)+IF(AND(V221&gt;=75,V221&lt;=175,W221&gt;=35,W221&lt;65),0.23,0)+IF(AND(V221&gt;=75,V221&lt;=175,W221&gt;=65,W221&lt;110),0.17,0)+IF(AND(V221&gt;=75,V221&lt;=175,W221&gt;=110),0.12,0)+IF(AND(V221&gt;175,W221&lt;25),0.3,0)+IF(AND(V221&gt;175,W221&gt;=25,W221&lt;55),0.23,0)+IF(AND(V221&gt;175,W221&gt;=55,W221&lt;95),0.17,0)+IF(AND(V221&gt;175,W221&gt;=95),0.12,0),
IF(AF221="Fix15",0.15,
IF(AF221="Fix11.25",0.1125,
IF(AF221="Fix10",0.1,
IF(AF221="Fix9",0.09,
IF(AF221="DoEV2017",IF(AND(W221&lt;74),0.2,0)+IF(AND(W221&gt;=74),0.17,0),
IF(AF221="SF",IF(AND(V221&lt;20,W221&lt;89),0.3,0)+IF(AND(V221&lt;20,W221&gt;=89),0.25,0)+IF(AND(V221&gt;=20,V221&lt;40,W221&lt;74),0.3,0)+IF(AND(V221&gt;=20,V221&lt;40,W221&gt;=75),0.22,0)+IF(AND(V221&gt;=40,V221&lt;75,W221&lt;75),0.26,0)+IF(AND(V221&gt;=40,V221&lt;75,W221&gt;=75),0.22,0)+IF(V221&gt;=75,0.22,0),
IF(AF221="DoEVold",IF(AND(V221&lt;40,W221&lt;35),0.35,0)+IF(AND(V221&lt;40,W221&gt;=35,W221&lt;75),0.25,0)+IF(AND(V221&lt;40,W221&gt;=75),0.17,0)+IF(AND(V221&gt;=40,V221&lt;75,W221&lt;25),0.35,0)+IF(AND(V221&gt;=40,V221&lt;75,W221&gt;=25,W221&lt;65),0.25,0)+IF(AND(V221&gt;=40,V221&lt;75,W221&gt;=65,W221&lt;100),0.17,0)+IF(AND(V221&gt;=40,V221&lt;75,W221&gt;=100),0.1,0)+IF(AND(V221&gt;=75,W221&lt;25),0.35,0)+IF(AND(V221&gt;=75,W221&gt;=25,W221&lt;60),0.25,0)+IF(AND(V221&gt;=75,W221&gt;=60,W221&lt;95),0.17,0)+IF(AND(V221&gt;=75,W221&gt;=95),0.1,0),
IF(AF221="DoEVold15",IF(AND(V221&lt;=40,W221&lt;35),0.35,0)+IF(AND(V221&lt;=40,W221&gt;=35,W221&lt;75),0.25,0)+IF(AND(V221&lt;=40,W221&gt;=75,W221&lt;120),0.17,0)+IF(AND(V221&lt;=40,W221&gt;=120),0.15,0)+IF(AND(V221&gt;40,V221&lt;75,W221&lt;25),0.35,0)+IF(AND(V221&gt;=40,V221&lt;75,W221&gt;=25,W221&lt;65),0.25,0)+IF(AND(V221&gt;=40,V221&lt;75,W221&gt;=65,W221&lt;100),0.17,0)+IF(AND(V221&gt;=40,V221&lt;75,W221&gt;=100),0.1,0)+IF(AND(V221&gt;=75,W221&lt;25),0.35,0)+IF(AND(V221&gt;=75,W221&gt;=25,W221&lt;60),0.25,0)+IF(AND(V221&gt;=75,W221&gt;=60,W221&lt;95),0.17,0)+IF(AND(V221&gt;=75,W221&gt;=95),0.1,0),
IF(AF221="DoEVba",IF(AND(V221&lt;20,W221&lt;105),0.2,0)+IF(AND(V221&lt;20,W221&gt;=105),0.15,0)+IF(AND(V221&gt;=20,V221&lt;40,W221&lt;95),0.2,0)+IF(AND(V221&gt;=20,V221&lt;40,W221&gt;=95,W221&lt;150),0.15,0)+IF(AND(V221&gt;=20,V221&lt;40,W221&gt;=150),0.12,0)+IF(AND(V221&gt;=40,V221&lt;75,W221&lt;75),0.2,0)+IF(AND(V221&gt;=40,V221&lt;75,W221&gt;=75,W221&lt;120),0.15,0)+IF(AND(V221&gt;=40,V221&lt;75,W221&gt;=120),0.12,0)+IF(AND(V221&gt;=75,V221&lt;175,W221&lt;65),0.2,0)+IF(AND(V221&gt;=75,V221&lt;175,W221&gt;=65,W221&lt;110),0.15,0)+IF(AND(V221&gt;=75,V221&lt;175,W221&gt;=110),0.12,0)+IF(AND(V221&gt;=175,W221&lt;55),0.2,0)+IF(AND(V221&gt;=175,W221&gt;=55,W221&lt;95),0.15,0)+IF(AND(V221&gt;=175,W221&gt;=95),0.12,0),
IF(AF221="DoEVku",IF(AND(V221&lt;20,W221&lt;55),0.23,0)+IF(AND(V221&lt;20,W221&gt;=55,W221&lt;105),0.2,0)+IF(AND(V221&lt;20,W221&gt;=105),0.17,0)+IF(AND(V221&gt;=20,V221&lt;40,W221&lt;45),0.23,0)+IF(AND(V221&gt;=20,V221&lt;40,W221&gt;=45,W221&lt;95),0.2,0)+IF(AND(V221&gt;=20,V221&lt;40,W221&gt;=95,W221&lt;=150),0.17,0)+IF(AND(V221&gt;=20,V221&lt;40,W221&gt;=150),0.12,0)+IF(AND(V221&gt;=40,V221&lt;75,W221&lt;35),0.23,0)+IF(AND(V221&gt;=40,V221&lt;75,W221&gt;=35,W221&lt;75),0.2,0)+IF(AND(V221&gt;=40,V221&lt;75,W221&gt;=75,W221&lt;120),0.17,0)+IF(AND(V221&gt;=40,V221&lt;75,W221&gt;=120),0.12,0)+IF(AND(V221&gt;=75,V221&lt;175,W221&lt;35),0.23,0)+IF(AND(V221&gt;=75,V221&lt;=175,W221&gt;=35,W221&lt;65),0.2,0)+IF(AND(V221&gt;=75,V221&lt;=175,W221&gt;=65,W221&lt;110),0.17,0)+IF(AND(V221&gt;=75,V221&lt;=175,W221&gt;=110),0.12,0)+IF(AND(V221&gt;175,W221&lt;25),0.23,0)+IF(AND(V221&gt;175,W221&gt;=25,W221&lt;55),0.2,0)+IF(AND(V221&gt;175,W221&gt;=55,W221&lt;95),0.17,0)+IF(AND(V221&gt;175,W221&gt;=95),0.12,0),
IF(AF221="DoEVs1",IF(AND(V221&lt;20,W221&lt;55),0.3,0)+IF(AND(V221&lt;20,W221&gt;=55,W221&lt;105),0.23,0)+IF(AND(V221&lt;20,W221&gt;=105),0.17,0)+IF(AND(V221&gt;=20,V221&lt;40,W221&lt;45),0.3,0)+IF(AND(V221&gt;=20,V221&lt;40,W221&gt;=45,W221&lt;95),0.23,0)+IF(AND(V221&gt;=20,V221&lt;40,W221&gt;=95,W221&lt;=150),0.17,0)+IF(AND(V221&gt;=20,V221&lt;40,W221&gt;=150),0.12,0)+IF(AND(V221&gt;=40,V221&lt;75,W221&lt;35),0.3,0)+IF(AND(V221&gt;=40,V221&lt;75,W221&gt;=35,W221&lt;75),0.23,0)+IF(AND(V221&gt;=40,V221&lt;75,W221&gt;=75,W221&lt;120),0.17,0)+IF(AND(V221&gt;=40,V221&lt;75,W221&gt;=120),0.12,0)+IF(AND(V221&gt;=75,V221&lt;175,W221&lt;35),0.3,0)+IF(AND(V221&gt;=75,V221&lt;=175,W221&gt;=35,W221&lt;65),0.23,0)+IF(AND(V221&gt;=75,V221&lt;=175,W221&gt;=65,W221&lt;110),0.17,0)+IF(AND(V221&gt;=75,V221&lt;=175,W221&gt;=110),0.12,0)+IF(AND(V221&gt;175,W221&lt;25),0.3,0)+IF(AND(V221&gt;175,W221&gt;=25,W221&lt;55),0.23,0)+IF(AND(V221&gt;175,W221&gt;=55,W221&lt;95),0.17,0)+IF(AND(V221&gt;175,W221&gt;=95),0.12,0),
IF(AF221="DoEVsu",IF(AND(V221&lt;20,W221&lt;55),0.3,0)+IF(AND(V221&lt;20,W221&gt;=55,W221&lt;105),0.23,0)+IF(AND(V221&lt;20,W221&gt;=105),0.17,0)+IF(AND(V221&gt;=20,V221&lt;40,W221&lt;45),0.3,0)+IF(AND(V221&gt;=20,V221&lt;40,W221&gt;=45,W221&lt;95),0.23,0)+IF(AND(V221&gt;=20,V221&lt;40,W221&gt;=95,W221&lt;=250),0.17,0)+IF(AND(V221&gt;=20,V221&lt;40,W221&gt;=250),0.12,0)+IF(AND(V221&gt;=40,V221&lt;75,W221&lt;35),0.3,0)+IF(AND(V221&gt;=40,V221&lt;75,W221&gt;=35,W221&lt;75),0.23,0)+IF(AND(V221&gt;=40,V221&lt;75,W221&gt;=75,W221&lt;120),0.17,0)+IF(AND(V221&gt;=40,V221&lt;75,W221&gt;=120),0.12,0)+IF(AND(V221&gt;=75,V221&lt;175,W221&lt;35),0.3,0)+IF(AND(V221&gt;=75,V221&lt;=175,W221&gt;=35,W221&lt;65),0.23,0)+IF(AND(V221&gt;=75,V221&lt;=175,W221&gt;=65,W221&lt;110),0.17,0)+IF(AND(V221&gt;=75,V221&lt;=175,W221&gt;=110),0.12,0)+IF(AND(V221&gt;175,W221&lt;25),0.3,0)+IF(AND(V221&gt;175,W221&gt;=25,W221&lt;55),0.23,0)+IF(AND(V221&gt;175,W221&gt;=55,W221&lt;95),0.17,0)+IF(AND(V221&gt;175,W221&gt;=95),0.12,0),
IF(AF221="DoEVni",IF(AND(V221&lt;20,W221&lt;55),0.3,0)+IF(AND(V221&lt;20,W221&gt;=55,W221&lt;105),0.23,0)+IF(AND(V221&lt;20,W221&gt;=105),0.17,0)+IF(AND(V221&gt;=20,V221&lt;40,W221&lt;45),0.3,0)+IF(AND(V221&gt;=20,V221&lt;40,W221&gt;=45,W221&lt;95),0.23,0)+IF(AND(V221&gt;=20,V221&lt;40,W221&gt;=95,W221&lt;=200),0.17,0)+IF(AND(V221&gt;=20,V221&lt;40,W221&gt;=200),0.12,0)+IF(AND(V221&gt;=40,V221&lt;75,W221&lt;35),0.3,0)+IF(AND(V221&gt;=40,V221&lt;75,W221&gt;=35,W221&lt;75),0.23,0)+IF(AND(V221&gt;=40,V221&lt;75,W221&gt;=75,W221&lt;120),0.17,0)+IF(AND(V221&gt;=40,V221&lt;75,W221&gt;=120),0.12,0)+IF(AND(V221&gt;=75,V221&lt;175,W221&lt;35),0.3,0)+IF(AND(V221&gt;=75,V221&lt;=175,W221&gt;=35,W221&lt;65),0.23,0)+IF(AND(V221&gt;=75,V221&lt;=175,W221&gt;=65,W221&lt;110),0.17,0)+IF(AND(V221&gt;=75,V221&lt;=175,W221&gt;=110),0.12,0)+IF(AND(V221&gt;175,W221&lt;25),0.3,0)+IF(AND(V221&gt;175,W221&gt;=25,W221&lt;55),0.23,0)+IF(AND(V221&gt;175,W221&gt;=55,W221&lt;95),0.17,0)+IF(AND(V221&gt;175,W221&gt;=95),0.12,0),
IF(AF221="DoEVLo",IF(AND(V221&lt;20,W221&lt;55),0.25,0)+IF(AND(V221&lt;20,W221&gt;=55,W221&lt;105),0.2,0)+IF(AND(V221&lt;20,W221&gt;=105),0.15,0)+IF(AND(V221&gt;=20,V221&lt;40,W221&lt;45),0.25,0)+IF(AND(V221&gt;=20,V221&lt;40,W221&gt;=45,W221&lt;95),0.2,0)+IF(AND(V221&gt;=20,V221&lt;40,W221&gt;=95),0.15,0)+IF(AND(V221&gt;=40,V221&lt;75,W221&lt;35),0.25,0)+IF(AND(V221&gt;=40,V221&lt;75,W221&gt;=35,W221&lt;75),0.2,0)+IF(AND(V221&gt;=40,V221&lt;75,W221&gt;=75,W221&lt;120),0.15,0)+IF(AND(V221&gt;=40,V221&lt;75,W221&gt;=120),0.1,0)+IF(AND(V221&gt;=75,V221&lt;175,W221&lt;35),0.25,0)+IF(AND(V221&gt;=75,V221&lt;=175,W221&gt;=35,W221&lt;65),0.2,0)+IF(AND(V221&gt;=75,V221&lt;=175,W221&gt;=65,W221&lt;110),0.15,0)+IF(AND(V221&gt;=75,V221&lt;=175,W221&gt;=110),0.1,0)+IF(AND(V221&gt;175,W221&lt;25),0.25,0)+IF(AND(V221&gt;175,W221&gt;=25,W221&lt;55),0.2,0)+IF(AND(V221&gt;175,W221&gt;=55,W221&lt;95),0.15,0)+IF(AND(V221&gt;175,W221&gt;=95),0.1,0))))))))))))))))</f>
        <v>0.25</v>
      </c>
      <c r="Y221" s="30">
        <f>IF(AG221="None",0,IF(AG221="Fix5",0.05,IF(AG221="Fix3.75",0.0375,IF(AG221="Fix10",0.1,IF(AG221="Fix3",0.03,0)))))</f>
        <v>0</v>
      </c>
      <c r="Z221" s="35">
        <f>T221-AA221-AB221</f>
        <v>-366.75</v>
      </c>
      <c r="AA221" s="29">
        <f>IF(AD221="EUR",((T221-R221)*X221)*U221+(R221*X221),(T221*X221))</f>
        <v>-122.25</v>
      </c>
      <c r="AB221" s="36">
        <f>IF(AD221="EUR",((T221-R221)*Y221)*U221+(R221*Y221),(T221*Y221))</f>
        <v>0</v>
      </c>
      <c r="AC221" s="37" t="b">
        <v>1</v>
      </c>
      <c r="AD221" s="37" t="s">
        <v>38</v>
      </c>
      <c r="AE221" s="37" t="s">
        <v>38</v>
      </c>
      <c r="AF221" s="37" t="str">
        <f t="array" ref="AF221">INDEX('Deal Info'!D:D, MATCH(A221,'Deal Info'!A:A, 0))</f>
        <v>DoEVLo</v>
      </c>
      <c r="AG221" s="38" t="str">
        <f t="array" ref="AG221">INDEX('Deal Info'!G:G, MATCH(A221,'Deal Info'!A:A, 0))</f>
        <v>None</v>
      </c>
    </row>
    <row r="222" spans="1:33" ht="14.25" x14ac:dyDescent="0.2">
      <c r="A222" s="18" t="s">
        <v>98</v>
      </c>
      <c r="B222" s="45" t="s">
        <v>99</v>
      </c>
      <c r="C222" s="46">
        <v>44652</v>
      </c>
      <c r="D222" s="46">
        <v>44681</v>
      </c>
      <c r="E222" s="47">
        <v>44652</v>
      </c>
      <c r="F222" s="48" t="s">
        <v>41</v>
      </c>
      <c r="G222" s="45" t="s">
        <v>61</v>
      </c>
      <c r="H222" s="49" t="s">
        <v>139</v>
      </c>
      <c r="I222" s="49" t="s">
        <v>37</v>
      </c>
      <c r="J222" s="50">
        <v>25</v>
      </c>
      <c r="K222" s="123">
        <v>687</v>
      </c>
      <c r="L222" s="52">
        <v>-1350</v>
      </c>
      <c r="M222" s="53">
        <v>817</v>
      </c>
      <c r="N222" s="28">
        <f>K222*J222</f>
        <v>17175</v>
      </c>
      <c r="O222" s="54">
        <v>16976</v>
      </c>
      <c r="P222" s="29">
        <v>24.710334790000001</v>
      </c>
      <c r="Q222" s="55"/>
      <c r="R222" s="31">
        <f>M222+Q222</f>
        <v>817</v>
      </c>
      <c r="S222" s="56"/>
      <c r="T222" s="32">
        <f>R222+S222+IF(F222="Without EV deal",L222,0)</f>
        <v>-533</v>
      </c>
      <c r="U222" s="57">
        <v>1.0549999999999999</v>
      </c>
      <c r="V222" s="58"/>
      <c r="W222" s="58"/>
      <c r="X222" s="30">
        <v>0.25</v>
      </c>
      <c r="Y222" s="30">
        <f>IF(AG222="None",0,IF(AG222="Fix5",0.05, IF(AG222="Fix6.25",0.0625,IF(AG222="Fix3.75",0.0375,IF(AG222="Fix10",0.1,IF(AG222="Fix3",0.03,0))))))</f>
        <v>0</v>
      </c>
      <c r="Z222" s="59">
        <f>T222-AA222-AB222</f>
        <v>-381.1875</v>
      </c>
      <c r="AA222" s="60">
        <f>IF(AD222="EUR",((T222-R222)*X222)*U222+(R222*X222),(T222*X222))</f>
        <v>-151.8125</v>
      </c>
      <c r="AB222" s="36">
        <f>IF(AD222="EUR",((T222-R222)*Y222)*U222+(R222*Y222),(T222*Y222))</f>
        <v>0</v>
      </c>
      <c r="AC222" s="37" t="b">
        <v>1</v>
      </c>
      <c r="AD222" s="61" t="s">
        <v>50</v>
      </c>
      <c r="AE222" s="61"/>
      <c r="AF222" s="37" t="str">
        <f t="array" ref="AF222">INDEX('Deal Info'!D:D, MATCH(A222,'Deal Info'!A:A, 0))</f>
        <v>DoEVold</v>
      </c>
      <c r="AG222" s="38" t="str">
        <f t="array" ref="AG222">INDEX('Deal Info'!G:G, MATCH(A222,'Deal Info'!A:A, 0))</f>
        <v>None</v>
      </c>
    </row>
    <row r="223" spans="1:33" ht="14.25" x14ac:dyDescent="0.2">
      <c r="A223" s="18" t="str">
        <f t="array" ref="A223">IF(G223='Room Info'!$B$1, INDEX('Room Info'!$A$2:$A2446, MATCH(B223,'Room Info'!$B$2:$B2446, 0)),IF(G223='Room Info'!$C$1, INDEX('Room Info'!$A$2:$A2446, MATCH(B223,'Room Info'!$C$2:$C2446, 0)),IF(G223='Room Info'!$D$1, INDEX('Room Info'!$A$2:$A2446, MATCH(B223,'Room Info'!$D$2:$D2446, 0)),IF(G223='Room Info'!$E$1, INDEX('Room Info'!$A$2:$A2446, MATCH(B223,'Room Info'!$E$2:$E2446, 0)),IF(G223='Room Info'!$F$1, INDEX('Room Info'!$A$2:$A2446, MATCH(B223,'Room Info'!$F$2:$F2446, 0)),IF(G223='Room Info'!$H$1, INDEX('Room Info'!$A$2:$A2446, MATCH(B223,'Room Info'!$H$2:$H2446, 0)),IF(G223='Room Info'!$G$1, INDEX('Room Info'!$A$2:$A2446, MATCH(B223,'Room Info'!$G$2:$G2446, 0)))))))))</f>
        <v>Freedoom</v>
      </c>
      <c r="B223" s="45" t="s">
        <v>110</v>
      </c>
      <c r="C223" s="46">
        <v>44652</v>
      </c>
      <c r="D223" s="46">
        <v>44681</v>
      </c>
      <c r="E223" s="47">
        <v>44652</v>
      </c>
      <c r="F223" s="48" t="s">
        <v>49</v>
      </c>
      <c r="G223" s="45" t="s">
        <v>61</v>
      </c>
      <c r="H223" s="49" t="s">
        <v>65</v>
      </c>
      <c r="I223" s="49" t="s">
        <v>37</v>
      </c>
      <c r="J223" s="70">
        <v>25</v>
      </c>
      <c r="K223" s="71">
        <v>805</v>
      </c>
      <c r="L223" s="52">
        <v>-1550</v>
      </c>
      <c r="M223" s="53">
        <v>65</v>
      </c>
      <c r="N223" s="28">
        <f>K223*J223</f>
        <v>20125</v>
      </c>
      <c r="O223" s="54">
        <v>57825</v>
      </c>
      <c r="P223" s="29">
        <v>71.832298140000006</v>
      </c>
      <c r="Q223" s="55"/>
      <c r="R223" s="31">
        <f>M223+Q223</f>
        <v>65</v>
      </c>
      <c r="S223" s="56">
        <v>806</v>
      </c>
      <c r="T223" s="32">
        <f>R223+S223+IF(F223="Without EV deal",L223,0)</f>
        <v>871</v>
      </c>
      <c r="U223" s="57">
        <v>1</v>
      </c>
      <c r="V223" s="58"/>
      <c r="W223" s="58"/>
      <c r="X223" s="30">
        <f>IF(AF223="DoEV",IF(AND(V223&lt;20,W223&lt;55),0.3,0)+IF(AND(V223&lt;20,W223&gt;=55,W223&lt;105),0.23,0)+IF(AND(V223&lt;20,W223&gt;=105),0.17,0)+IF(AND(V223&gt;=20,V223&lt;40,W223&lt;45),0.3,0)+IF(AND(V223&gt;=20,V223&lt;40,W223&gt;=45,W223&lt;95),0.23,0)+IF(AND(V223&gt;=20,V223&lt;40,W223&gt;=95),0.17,0)+IF(AND(V223&gt;=40,V223&lt;75,W223&lt;35),0.3,0)+IF(AND(V223&gt;=40,V223&lt;75,W223&gt;=35,W223&lt;75),0.23,0)+IF(AND(V223&gt;=40,V223&lt;75,W223&gt;=75,W223&lt;120),0.17,0)+IF(AND(V223&gt;=40,V223&lt;75,W223&gt;=120),0.12,0)+IF(AND(V223&gt;=75,V223&lt;175,W223&lt;35),0.3,0)+IF(AND(V223&gt;=75,V223&lt;=175,W223&gt;=35,W223&lt;65),0.23,0)+IF(AND(V223&gt;=75,V223&lt;=175,W223&gt;=65,W223&lt;110),0.17,0)+IF(AND(V223&gt;=75,V223&lt;=175,W223&gt;=110),0.12,0)+IF(AND(V223&gt;175,W223&lt;25),0.3,0)+IF(AND(V223&gt;175,W223&gt;=25,W223&lt;55),0.23,0)+IF(AND(V223&gt;175,W223&gt;=55,W223&lt;95),0.17,0)+IF(AND(V223&gt;175,W223&gt;=95),0.12,0),
IF(AF223="Fix15",0.15,
IF(AF223="Fix11.25",0.1125,
IF(AF223="Fix10",0.1,
IF(AF223="Fix9",0.09,
IF(AF223="DoEV2017",IF(AND(W223&lt;74),0.2,0)+IF(AND(W223&gt;=74),0.17,0),
IF(AF223="SF",IF(AND(V223&lt;20,W223&lt;89),0.3,0)+IF(AND(V223&lt;20,W223&gt;=89),0.25,0)+IF(AND(V223&gt;=20,V223&lt;40,W223&lt;74),0.3,0)+IF(AND(V223&gt;=20,V223&lt;40,W223&gt;=75),0.22,0)+IF(AND(V223&gt;=40,V223&lt;75,W223&lt;75),0.26,0)+IF(AND(V223&gt;=40,V223&lt;75,W223&gt;=75),0.22,0)+IF(V223&gt;=75,0.22,0),
IF(AF223="DoEVold",IF(AND(V223&lt;40,W223&lt;35),0.35,0)+IF(AND(V223&lt;40,W223&gt;=35,W223&lt;75),0.25,0)+IF(AND(V223&lt;40,W223&gt;=75),0.17,0)+IF(AND(V223&gt;=40,V223&lt;75,W223&lt;25),0.35,0)+IF(AND(V223&gt;=40,V223&lt;75,W223&gt;=25,W223&lt;65),0.25,0)+IF(AND(V223&gt;=40,V223&lt;75,W223&gt;=65,W223&lt;100),0.17,0)+IF(AND(V223&gt;=40,V223&lt;75,W223&gt;=100),0.1,0)+IF(AND(V223&gt;=75,W223&lt;25),0.35,0)+IF(AND(V223&gt;=75,W223&gt;=25,W223&lt;60),0.25,0)+IF(AND(V223&gt;=75,W223&gt;=60,W223&lt;95),0.17,0)+IF(AND(V223&gt;=75,W223&gt;=95),0.1,0),
IF(AF223="DoEVold15",IF(AND(V223&lt;=40,W223&lt;35),0.35,0)+IF(AND(V223&lt;=40,W223&gt;=35,W223&lt;75),0.25,0)+IF(AND(V223&lt;=40,W223&gt;=75,W223&lt;120),0.17,0)+IF(AND(V223&lt;=40,W223&gt;=120),0.15,0)+IF(AND(V223&gt;40,V223&lt;75,W223&lt;25),0.35,0)+IF(AND(V223&gt;=40,V223&lt;75,W223&gt;=25,W223&lt;65),0.25,0)+IF(AND(V223&gt;=40,V223&lt;75,W223&gt;=65,W223&lt;100),0.17,0)+IF(AND(V223&gt;=40,V223&lt;75,W223&gt;=100),0.1,0)+IF(AND(V223&gt;=75,W223&lt;25),0.35,0)+IF(AND(V223&gt;=75,W223&gt;=25,W223&lt;60),0.25,0)+IF(AND(V223&gt;=75,W223&gt;=60,W223&lt;95),0.17,0)+IF(AND(V223&gt;=75,W223&gt;=95),0.1,0),
IF(AF223="DoEVba",IF(AND(V223&lt;20,W223&lt;105),0.2,0)+IF(AND(V223&lt;20,W223&gt;=105),0.15,0)+IF(AND(V223&gt;=20,V223&lt;40,W223&lt;95),0.2,0)+IF(AND(V223&gt;=20,V223&lt;40,W223&gt;=95,W223&lt;150),0.15,0)+IF(AND(V223&gt;=20,V223&lt;40,W223&gt;=150),0.12,0)+IF(AND(V223&gt;=40,V223&lt;75,W223&lt;75),0.2,0)+IF(AND(V223&gt;=40,V223&lt;75,W223&gt;=75,W223&lt;120),0.15,0)+IF(AND(V223&gt;=40,V223&lt;75,W223&gt;=120),0.12,0)+IF(AND(V223&gt;=75,V223&lt;175,W223&lt;65),0.2,0)+IF(AND(V223&gt;=75,V223&lt;175,W223&gt;=65,W223&lt;110),0.15,0)+IF(AND(V223&gt;=75,V223&lt;175,W223&gt;=110),0.12,0)+IF(AND(V223&gt;=175,W223&lt;55),0.2,0)+IF(AND(V223&gt;=175,W223&gt;=55,W223&lt;95),0.15,0)+IF(AND(V223&gt;=175,W223&gt;=95),0.12,0),
IF(AF223="DoEVku",IF(AND(V223&lt;20,W223&lt;55),0.23,0)+IF(AND(V223&lt;20,W223&gt;=55,W223&lt;105),0.2,0)+IF(AND(V223&lt;20,W223&gt;=105),0.17,0)+IF(AND(V223&gt;=20,V223&lt;40,W223&lt;45),0.23,0)+IF(AND(V223&gt;=20,V223&lt;40,W223&gt;=45,W223&lt;95),0.2,0)+IF(AND(V223&gt;=20,V223&lt;40,W223&gt;=95,W223&lt;=150),0.17,0)+IF(AND(V223&gt;=20,V223&lt;40,W223&gt;=150),0.12,0)+IF(AND(V223&gt;=40,V223&lt;75,W223&lt;35),0.23,0)+IF(AND(V223&gt;=40,V223&lt;75,W223&gt;=35,W223&lt;75),0.2,0)+IF(AND(V223&gt;=40,V223&lt;75,W223&gt;=75,W223&lt;120),0.17,0)+IF(AND(V223&gt;=40,V223&lt;75,W223&gt;=120),0.12,0)+IF(AND(V223&gt;=75,V223&lt;175,W223&lt;35),0.23,0)+IF(AND(V223&gt;=75,V223&lt;=175,W223&gt;=35,W223&lt;65),0.2,0)+IF(AND(V223&gt;=75,V223&lt;=175,W223&gt;=65,W223&lt;110),0.17,0)+IF(AND(V223&gt;=75,V223&lt;=175,W223&gt;=110),0.12,0)+IF(AND(V223&gt;175,W223&lt;25),0.23,0)+IF(AND(V223&gt;175,W223&gt;=25,W223&lt;55),0.2,0)+IF(AND(V223&gt;175,W223&gt;=55,W223&lt;95),0.17,0)+IF(AND(V223&gt;175,W223&gt;=95),0.12,0),
IF(AF223="DoEVs1",IF(AND(V223&lt;20,W223&lt;55),0.3,0)+IF(AND(V223&lt;20,W223&gt;=55,W223&lt;105),0.23,0)+IF(AND(V223&lt;20,W223&gt;=105),0.17,0)+IF(AND(V223&gt;=20,V223&lt;40,W223&lt;45),0.3,0)+IF(AND(V223&gt;=20,V223&lt;40,W223&gt;=45,W223&lt;95),0.23,0)+IF(AND(V223&gt;=20,V223&lt;40,W223&gt;=95,W223&lt;=150),0.17,0)+IF(AND(V223&gt;=20,V223&lt;40,W223&gt;=150),0.12,0)+IF(AND(V223&gt;=40,V223&lt;75,W223&lt;35),0.3,0)+IF(AND(V223&gt;=40,V223&lt;75,W223&gt;=35,W223&lt;75),0.23,0)+IF(AND(V223&gt;=40,V223&lt;75,W223&gt;=75,W223&lt;120),0.17,0)+IF(AND(V223&gt;=40,V223&lt;75,W223&gt;=120),0.12,0)+IF(AND(V223&gt;=75,V223&lt;175,W223&lt;35),0.3,0)+IF(AND(V223&gt;=75,V223&lt;=175,W223&gt;=35,W223&lt;65),0.23,0)+IF(AND(V223&gt;=75,V223&lt;=175,W223&gt;=65,W223&lt;110),0.17,0)+IF(AND(V223&gt;=75,V223&lt;=175,W223&gt;=110),0.12,0)+IF(AND(V223&gt;175,W223&lt;25),0.3,0)+IF(AND(V223&gt;175,W223&gt;=25,W223&lt;55),0.23,0)+IF(AND(V223&gt;175,W223&gt;=55,W223&lt;95),0.17,0)+IF(AND(V223&gt;175,W223&gt;=95),0.12,0),
IF(AF223="DoEVsu",IF(AND(V223&lt;20,W223&lt;55),0.3,0)+IF(AND(V223&lt;20,W223&gt;=55,W223&lt;105),0.23,0)+IF(AND(V223&lt;20,W223&gt;=105),0.17,0)+IF(AND(V223&gt;=20,V223&lt;40,W223&lt;45),0.3,0)+IF(AND(V223&gt;=20,V223&lt;40,W223&gt;=45,W223&lt;95),0.23,0)+IF(AND(V223&gt;=20,V223&lt;40,W223&gt;=95,W223&lt;=250),0.17,0)+IF(AND(V223&gt;=20,V223&lt;40,W223&gt;=250),0.12,0)+IF(AND(V223&gt;=40,V223&lt;75,W223&lt;35),0.3,0)+IF(AND(V223&gt;=40,V223&lt;75,W223&gt;=35,W223&lt;75),0.23,0)+IF(AND(V223&gt;=40,V223&lt;75,W223&gt;=75,W223&lt;120),0.17,0)+IF(AND(V223&gt;=40,V223&lt;75,W223&gt;=120),0.12,0)+IF(AND(V223&gt;=75,V223&lt;175,W223&lt;35),0.3,0)+IF(AND(V223&gt;=75,V223&lt;=175,W223&gt;=35,W223&lt;65),0.23,0)+IF(AND(V223&gt;=75,V223&lt;=175,W223&gt;=65,W223&lt;110),0.17,0)+IF(AND(V223&gt;=75,V223&lt;=175,W223&gt;=110),0.12,0)+IF(AND(V223&gt;175,W223&lt;25),0.3,0)+IF(AND(V223&gt;175,W223&gt;=25,W223&lt;55),0.23,0)+IF(AND(V223&gt;175,W223&gt;=55,W223&lt;95),0.17,0)+IF(AND(V223&gt;175,W223&gt;=95),0.12,0),
IF(AF223="DoEVni",IF(AND(V223&lt;20,W223&lt;55),0.3,0)+IF(AND(V223&lt;20,W223&gt;=55,W223&lt;105),0.23,0)+IF(AND(V223&lt;20,W223&gt;=105),0.17,0)+IF(AND(V223&gt;=20,V223&lt;40,W223&lt;45),0.3,0)+IF(AND(V223&gt;=20,V223&lt;40,W223&gt;=45,W223&lt;95),0.23,0)+IF(AND(V223&gt;=20,V223&lt;40,W223&gt;=95,W223&lt;=200),0.17,0)+IF(AND(V223&gt;=20,V223&lt;40,W223&gt;=200),0.12,0)+IF(AND(V223&gt;=40,V223&lt;75,W223&lt;35),0.3,0)+IF(AND(V223&gt;=40,V223&lt;75,W223&gt;=35,W223&lt;75),0.23,0)+IF(AND(V223&gt;=40,V223&lt;75,W223&gt;=75,W223&lt;120),0.17,0)+IF(AND(V223&gt;=40,V223&lt;75,W223&gt;=120),0.12,0)+IF(AND(V223&gt;=75,V223&lt;175,W223&lt;35),0.3,0)+IF(AND(V223&gt;=75,V223&lt;=175,W223&gt;=35,W223&lt;65),0.23,0)+IF(AND(V223&gt;=75,V223&lt;=175,W223&gt;=65,W223&lt;110),0.17,0)+IF(AND(V223&gt;=75,V223&lt;=175,W223&gt;=110),0.12,0)+IF(AND(V223&gt;175,W223&lt;25),0.3,0)+IF(AND(V223&gt;175,W223&gt;=25,W223&lt;55),0.23,0)+IF(AND(V223&gt;175,W223&gt;=55,W223&lt;95),0.17,0)+IF(AND(V223&gt;175,W223&gt;=95),0.12,0),
IF(AF223="DoEVLo",IF(AND(V223&lt;20,W223&lt;55),0.25,0)+IF(AND(V223&lt;20,W223&gt;=55,W223&lt;105),0.2,0)+IF(AND(V223&lt;20,W223&gt;=105),0.15,0)+IF(AND(V223&gt;=20,V223&lt;40,W223&lt;45),0.25,0)+IF(AND(V223&gt;=20,V223&lt;40,W223&gt;=45,W223&lt;95),0.2,0)+IF(AND(V223&gt;=20,V223&lt;40,W223&gt;=95),0.15,0)+IF(AND(V223&gt;=40,V223&lt;75,W223&lt;35),0.25,0)+IF(AND(V223&gt;=40,V223&lt;75,W223&gt;=35,W223&lt;75),0.2,0)+IF(AND(V223&gt;=40,V223&lt;75,W223&gt;=75,W223&lt;120),0.15,0)+IF(AND(V223&gt;=40,V223&lt;75,W223&gt;=120),0.1,0)+IF(AND(V223&gt;=75,V223&lt;175,W223&lt;35),0.25,0)+IF(AND(V223&gt;=75,V223&lt;=175,W223&gt;=35,W223&lt;65),0.2,0)+IF(AND(V223&gt;=75,V223&lt;=175,W223&gt;=65,W223&lt;110),0.15,0)+IF(AND(V223&gt;=75,V223&lt;=175,W223&gt;=110),0.1,0)+IF(AND(V223&gt;175,W223&lt;25),0.25,0)+IF(AND(V223&gt;175,W223&gt;=25,W223&lt;55),0.2,0)+IF(AND(V223&gt;175,W223&gt;=55,W223&lt;95),0.15,0)+IF(AND(V223&gt;175,W223&gt;=95),0.1,0))))))))))))))))</f>
        <v>0.35</v>
      </c>
      <c r="Y223" s="30">
        <f>IF(AG223="None",0,IF(AG223="Fix5",0.05,IF(AG223="Fix3.75",0.0375,IF(AG223="Fix10",0.1,IF(AG223="Fix3",0.03,0)))))</f>
        <v>0</v>
      </c>
      <c r="Z223" s="59">
        <v>653</v>
      </c>
      <c r="AA223" s="60">
        <v>218</v>
      </c>
      <c r="AB223" s="36">
        <f>IF(AD223="EUR",((T223-R223)*Y223)*U223+(R223*Y223),(T223*Y223))</f>
        <v>0</v>
      </c>
      <c r="AC223" s="37" t="b">
        <v>1</v>
      </c>
      <c r="AD223" s="61" t="s">
        <v>38</v>
      </c>
      <c r="AE223" s="61" t="s">
        <v>38</v>
      </c>
      <c r="AF223" s="37" t="str">
        <f t="array" ref="AF223">INDEX('Deal Info'!D:D, MATCH(A223,'Deal Info'!A:A, 0))</f>
        <v>DoEVold</v>
      </c>
      <c r="AG223" s="38" t="str">
        <f t="array" ref="AG223">INDEX('Deal Info'!G:G, MATCH(A223,'Deal Info'!A:A, 0))</f>
        <v>None</v>
      </c>
    </row>
    <row r="224" spans="1:33" ht="14.25" x14ac:dyDescent="0.2">
      <c r="A224" s="18" t="s">
        <v>98</v>
      </c>
      <c r="B224" s="45" t="s">
        <v>99</v>
      </c>
      <c r="C224" s="46">
        <v>44652</v>
      </c>
      <c r="D224" s="46">
        <v>44681</v>
      </c>
      <c r="E224" s="47">
        <v>44652</v>
      </c>
      <c r="F224" s="48" t="s">
        <v>41</v>
      </c>
      <c r="G224" s="129" t="s">
        <v>61</v>
      </c>
      <c r="H224" s="49" t="s">
        <v>203</v>
      </c>
      <c r="I224" s="49" t="s">
        <v>37</v>
      </c>
      <c r="J224" s="50">
        <v>10</v>
      </c>
      <c r="K224" s="51">
        <v>2</v>
      </c>
      <c r="L224" s="52">
        <v>30</v>
      </c>
      <c r="M224" s="53">
        <v>83</v>
      </c>
      <c r="N224" s="28">
        <f>K224*J224</f>
        <v>20</v>
      </c>
      <c r="O224" s="54">
        <v>49</v>
      </c>
      <c r="P224" s="29">
        <v>24.5</v>
      </c>
      <c r="Q224" s="55"/>
      <c r="R224" s="31">
        <f>M224+Q224</f>
        <v>83</v>
      </c>
      <c r="S224" s="56"/>
      <c r="T224" s="32">
        <f>R224+S224+IF(F224="Without EV deal",L224,0)</f>
        <v>113</v>
      </c>
      <c r="U224" s="57">
        <v>1.0549999999999999</v>
      </c>
      <c r="V224" s="58"/>
      <c r="W224" s="58"/>
      <c r="X224" s="30">
        <v>0.25</v>
      </c>
      <c r="Y224" s="30">
        <f>IF(AG224="None",0,IF(AG224="Fix5",0.05, IF(AG224="Fix6.25",0.0625,IF(AG224="Fix3.75",0.0375,IF(AG224="Fix10",0.1,IF(AG224="Fix3",0.03,0))))))</f>
        <v>0</v>
      </c>
      <c r="Z224" s="59">
        <f>T224-AA224-AB224</f>
        <v>84.337500000000006</v>
      </c>
      <c r="AA224" s="60">
        <f>IF(AD224="EUR",((T224-R224)*X224)*U224+(R224*X224),(T224*X224))</f>
        <v>28.662500000000001</v>
      </c>
      <c r="AB224" s="36">
        <f>IF(AD224="EUR",((T224-R224)*Y224)*U224+(R224*Y224),(T224*Y224))</f>
        <v>0</v>
      </c>
      <c r="AC224" s="37" t="b">
        <v>1</v>
      </c>
      <c r="AD224" s="61" t="s">
        <v>50</v>
      </c>
      <c r="AE224" s="61"/>
      <c r="AF224" s="37" t="str">
        <f t="array" ref="AF224">INDEX('Deal Info'!D:D, MATCH(A224,'Deal Info'!A:A, 0))</f>
        <v>DoEVold</v>
      </c>
      <c r="AG224" s="38" t="str">
        <f t="array" ref="AG224">INDEX('Deal Info'!G:G, MATCH(A224,'Deal Info'!A:A, 0))</f>
        <v>None</v>
      </c>
    </row>
    <row r="225" spans="1:33" ht="14.25" x14ac:dyDescent="0.2">
      <c r="A225" s="18" t="str">
        <f t="array" ref="A225">IF(G225='Room Info'!$B$1, INDEX('Room Info'!$A$2:$A2446, MATCH(B225,'Room Info'!$B$2:$B2446, 0)),IF(G225='Room Info'!$C$1, INDEX('Room Info'!$A$2:$A2446, MATCH(B225,'Room Info'!$C$2:$C2446, 0)),IF(G225='Room Info'!$D$1, INDEX('Room Info'!$A$2:$A2446, MATCH(B225,'Room Info'!$D$2:$D2446, 0)),IF(G225='Room Info'!$E$1, INDEX('Room Info'!$A$2:$A2446, MATCH(B225,'Room Info'!$E$2:$E2446, 0)),IF(G225='Room Info'!$F$1, INDEX('Room Info'!$A$2:$A2446, MATCH(B225,'Room Info'!$F$2:$F2446, 0)),IF(G225='Room Info'!$H$1, INDEX('Room Info'!$A$2:$A2446, MATCH(B225,'Room Info'!$H$2:$H2446, 0)),IF(G225='Room Info'!$G$1, INDEX('Room Info'!$A$2:$A2446, MATCH(B225,'Room Info'!$G$2:$G2446, 0)))))))))</f>
        <v>Freedoom</v>
      </c>
      <c r="B225" s="45" t="s">
        <v>110</v>
      </c>
      <c r="C225" s="46">
        <v>44652</v>
      </c>
      <c r="D225" s="46">
        <v>44681</v>
      </c>
      <c r="E225" s="47">
        <v>44652</v>
      </c>
      <c r="F225" s="133" t="s">
        <v>49</v>
      </c>
      <c r="G225" s="45" t="s">
        <v>61</v>
      </c>
      <c r="H225" s="110" t="s">
        <v>64</v>
      </c>
      <c r="I225" s="49" t="s">
        <v>37</v>
      </c>
      <c r="J225" s="70">
        <v>10</v>
      </c>
      <c r="K225" s="71">
        <v>133</v>
      </c>
      <c r="L225" s="52">
        <v>-170</v>
      </c>
      <c r="M225" s="53">
        <v>370</v>
      </c>
      <c r="N225" s="28">
        <f>K225*J225</f>
        <v>1330</v>
      </c>
      <c r="O225" s="54">
        <v>7749</v>
      </c>
      <c r="P225" s="29">
        <v>58.263157890000002</v>
      </c>
      <c r="Q225" s="55"/>
      <c r="R225" s="31">
        <f>M225+Q225</f>
        <v>370</v>
      </c>
      <c r="S225" s="56">
        <v>21</v>
      </c>
      <c r="T225" s="32">
        <f>R225+S225+IF(F225="Without EV deal",L225,0)</f>
        <v>391</v>
      </c>
      <c r="U225" s="57">
        <v>1</v>
      </c>
      <c r="V225" s="58"/>
      <c r="W225" s="58"/>
      <c r="X225" s="30">
        <f>IF(AF225="DoEV",IF(AND(V225&lt;20,W225&lt;55),0.3,0)+IF(AND(V225&lt;20,W225&gt;=55,W225&lt;105),0.23,0)+IF(AND(V225&lt;20,W225&gt;=105),0.17,0)+IF(AND(V225&gt;=20,V225&lt;40,W225&lt;45),0.3,0)+IF(AND(V225&gt;=20,V225&lt;40,W225&gt;=45,W225&lt;95),0.23,0)+IF(AND(V225&gt;=20,V225&lt;40,W225&gt;=95),0.17,0)+IF(AND(V225&gt;=40,V225&lt;75,W225&lt;35),0.3,0)+IF(AND(V225&gt;=40,V225&lt;75,W225&gt;=35,W225&lt;75),0.23,0)+IF(AND(V225&gt;=40,V225&lt;75,W225&gt;=75,W225&lt;120),0.17,0)+IF(AND(V225&gt;=40,V225&lt;75,W225&gt;=120),0.12,0)+IF(AND(V225&gt;=75,V225&lt;175,W225&lt;35),0.3,0)+IF(AND(V225&gt;=75,V225&lt;=175,W225&gt;=35,W225&lt;65),0.23,0)+IF(AND(V225&gt;=75,V225&lt;=175,W225&gt;=65,W225&lt;110),0.17,0)+IF(AND(V225&gt;=75,V225&lt;=175,W225&gt;=110),0.12,0)+IF(AND(V225&gt;175,W225&lt;25),0.3,0)+IF(AND(V225&gt;175,W225&gt;=25,W225&lt;55),0.23,0)+IF(AND(V225&gt;175,W225&gt;=55,W225&lt;95),0.17,0)+IF(AND(V225&gt;175,W225&gt;=95),0.12,0),
IF(AF225="Fix15",0.15,
IF(AF225="Fix11.25",0.1125,
IF(AF225="Fix10",0.1,
IF(AF225="Fix9",0.09,
IF(AF225="DoEV2017",IF(AND(W225&lt;74),0.2,0)+IF(AND(W225&gt;=74),0.17,0),
IF(AF225="SF",IF(AND(V225&lt;20,W225&lt;89),0.3,0)+IF(AND(V225&lt;20,W225&gt;=89),0.25,0)+IF(AND(V225&gt;=20,V225&lt;40,W225&lt;74),0.3,0)+IF(AND(V225&gt;=20,V225&lt;40,W225&gt;=75),0.22,0)+IF(AND(V225&gt;=40,V225&lt;75,W225&lt;75),0.26,0)+IF(AND(V225&gt;=40,V225&lt;75,W225&gt;=75),0.22,0)+IF(V225&gt;=75,0.22,0),
IF(AF225="DoEVold",IF(AND(V225&lt;40,W225&lt;35),0.35,0)+IF(AND(V225&lt;40,W225&gt;=35,W225&lt;75),0.25,0)+IF(AND(V225&lt;40,W225&gt;=75),0.17,0)+IF(AND(V225&gt;=40,V225&lt;75,W225&lt;25),0.35,0)+IF(AND(V225&gt;=40,V225&lt;75,W225&gt;=25,W225&lt;65),0.25,0)+IF(AND(V225&gt;=40,V225&lt;75,W225&gt;=65,W225&lt;100),0.17,0)+IF(AND(V225&gt;=40,V225&lt;75,W225&gt;=100),0.1,0)+IF(AND(V225&gt;=75,W225&lt;25),0.35,0)+IF(AND(V225&gt;=75,W225&gt;=25,W225&lt;60),0.25,0)+IF(AND(V225&gt;=75,W225&gt;=60,W225&lt;95),0.17,0)+IF(AND(V225&gt;=75,W225&gt;=95),0.1,0),
IF(AF225="DoEVold15",IF(AND(V225&lt;=40,W225&lt;35),0.35,0)+IF(AND(V225&lt;=40,W225&gt;=35,W225&lt;75),0.25,0)+IF(AND(V225&lt;=40,W225&gt;=75,W225&lt;120),0.17,0)+IF(AND(V225&lt;=40,W225&gt;=120),0.15,0)+IF(AND(V225&gt;40,V225&lt;75,W225&lt;25),0.35,0)+IF(AND(V225&gt;=40,V225&lt;75,W225&gt;=25,W225&lt;65),0.25,0)+IF(AND(V225&gt;=40,V225&lt;75,W225&gt;=65,W225&lt;100),0.17,0)+IF(AND(V225&gt;=40,V225&lt;75,W225&gt;=100),0.1,0)+IF(AND(V225&gt;=75,W225&lt;25),0.35,0)+IF(AND(V225&gt;=75,W225&gt;=25,W225&lt;60),0.25,0)+IF(AND(V225&gt;=75,W225&gt;=60,W225&lt;95),0.17,0)+IF(AND(V225&gt;=75,W225&gt;=95),0.1,0),
IF(AF225="DoEVba",IF(AND(V225&lt;20,W225&lt;105),0.2,0)+IF(AND(V225&lt;20,W225&gt;=105),0.15,0)+IF(AND(V225&gt;=20,V225&lt;40,W225&lt;95),0.2,0)+IF(AND(V225&gt;=20,V225&lt;40,W225&gt;=95,W225&lt;150),0.15,0)+IF(AND(V225&gt;=20,V225&lt;40,W225&gt;=150),0.12,0)+IF(AND(V225&gt;=40,V225&lt;75,W225&lt;75),0.2,0)+IF(AND(V225&gt;=40,V225&lt;75,W225&gt;=75,W225&lt;120),0.15,0)+IF(AND(V225&gt;=40,V225&lt;75,W225&gt;=120),0.12,0)+IF(AND(V225&gt;=75,V225&lt;175,W225&lt;65),0.2,0)+IF(AND(V225&gt;=75,V225&lt;175,W225&gt;=65,W225&lt;110),0.15,0)+IF(AND(V225&gt;=75,V225&lt;175,W225&gt;=110),0.12,0)+IF(AND(V225&gt;=175,W225&lt;55),0.2,0)+IF(AND(V225&gt;=175,W225&gt;=55,W225&lt;95),0.15,0)+IF(AND(V225&gt;=175,W225&gt;=95),0.12,0),
IF(AF225="DoEVku",IF(AND(V225&lt;20,W225&lt;55),0.23,0)+IF(AND(V225&lt;20,W225&gt;=55,W225&lt;105),0.2,0)+IF(AND(V225&lt;20,W225&gt;=105),0.17,0)+IF(AND(V225&gt;=20,V225&lt;40,W225&lt;45),0.23,0)+IF(AND(V225&gt;=20,V225&lt;40,W225&gt;=45,W225&lt;95),0.2,0)+IF(AND(V225&gt;=20,V225&lt;40,W225&gt;=95,W225&lt;=150),0.17,0)+IF(AND(V225&gt;=20,V225&lt;40,W225&gt;=150),0.12,0)+IF(AND(V225&gt;=40,V225&lt;75,W225&lt;35),0.23,0)+IF(AND(V225&gt;=40,V225&lt;75,W225&gt;=35,W225&lt;75),0.2,0)+IF(AND(V225&gt;=40,V225&lt;75,W225&gt;=75,W225&lt;120),0.17,0)+IF(AND(V225&gt;=40,V225&lt;75,W225&gt;=120),0.12,0)+IF(AND(V225&gt;=75,V225&lt;175,W225&lt;35),0.23,0)+IF(AND(V225&gt;=75,V225&lt;=175,W225&gt;=35,W225&lt;65),0.2,0)+IF(AND(V225&gt;=75,V225&lt;=175,W225&gt;=65,W225&lt;110),0.17,0)+IF(AND(V225&gt;=75,V225&lt;=175,W225&gt;=110),0.12,0)+IF(AND(V225&gt;175,W225&lt;25),0.23,0)+IF(AND(V225&gt;175,W225&gt;=25,W225&lt;55),0.2,0)+IF(AND(V225&gt;175,W225&gt;=55,W225&lt;95),0.17,0)+IF(AND(V225&gt;175,W225&gt;=95),0.12,0),
IF(AF225="DoEVs1",IF(AND(V225&lt;20,W225&lt;55),0.3,0)+IF(AND(V225&lt;20,W225&gt;=55,W225&lt;105),0.23,0)+IF(AND(V225&lt;20,W225&gt;=105),0.17,0)+IF(AND(V225&gt;=20,V225&lt;40,W225&lt;45),0.3,0)+IF(AND(V225&gt;=20,V225&lt;40,W225&gt;=45,W225&lt;95),0.23,0)+IF(AND(V225&gt;=20,V225&lt;40,W225&gt;=95,W225&lt;=150),0.17,0)+IF(AND(V225&gt;=20,V225&lt;40,W225&gt;=150),0.12,0)+IF(AND(V225&gt;=40,V225&lt;75,W225&lt;35),0.3,0)+IF(AND(V225&gt;=40,V225&lt;75,W225&gt;=35,W225&lt;75),0.23,0)+IF(AND(V225&gt;=40,V225&lt;75,W225&gt;=75,W225&lt;120),0.17,0)+IF(AND(V225&gt;=40,V225&lt;75,W225&gt;=120),0.12,0)+IF(AND(V225&gt;=75,V225&lt;175,W225&lt;35),0.3,0)+IF(AND(V225&gt;=75,V225&lt;=175,W225&gt;=35,W225&lt;65),0.23,0)+IF(AND(V225&gt;=75,V225&lt;=175,W225&gt;=65,W225&lt;110),0.17,0)+IF(AND(V225&gt;=75,V225&lt;=175,W225&gt;=110),0.12,0)+IF(AND(V225&gt;175,W225&lt;25),0.3,0)+IF(AND(V225&gt;175,W225&gt;=25,W225&lt;55),0.23,0)+IF(AND(V225&gt;175,W225&gt;=55,W225&lt;95),0.17,0)+IF(AND(V225&gt;175,W225&gt;=95),0.12,0),
IF(AF225="DoEVsu",IF(AND(V225&lt;20,W225&lt;55),0.3,0)+IF(AND(V225&lt;20,W225&gt;=55,W225&lt;105),0.23,0)+IF(AND(V225&lt;20,W225&gt;=105),0.17,0)+IF(AND(V225&gt;=20,V225&lt;40,W225&lt;45),0.3,0)+IF(AND(V225&gt;=20,V225&lt;40,W225&gt;=45,W225&lt;95),0.23,0)+IF(AND(V225&gt;=20,V225&lt;40,W225&gt;=95,W225&lt;=250),0.17,0)+IF(AND(V225&gt;=20,V225&lt;40,W225&gt;=250),0.12,0)+IF(AND(V225&gt;=40,V225&lt;75,W225&lt;35),0.3,0)+IF(AND(V225&gt;=40,V225&lt;75,W225&gt;=35,W225&lt;75),0.23,0)+IF(AND(V225&gt;=40,V225&lt;75,W225&gt;=75,W225&lt;120),0.17,0)+IF(AND(V225&gt;=40,V225&lt;75,W225&gt;=120),0.12,0)+IF(AND(V225&gt;=75,V225&lt;175,W225&lt;35),0.3,0)+IF(AND(V225&gt;=75,V225&lt;=175,W225&gt;=35,W225&lt;65),0.23,0)+IF(AND(V225&gt;=75,V225&lt;=175,W225&gt;=65,W225&lt;110),0.17,0)+IF(AND(V225&gt;=75,V225&lt;=175,W225&gt;=110),0.12,0)+IF(AND(V225&gt;175,W225&lt;25),0.3,0)+IF(AND(V225&gt;175,W225&gt;=25,W225&lt;55),0.23,0)+IF(AND(V225&gt;175,W225&gt;=55,W225&lt;95),0.17,0)+IF(AND(V225&gt;175,W225&gt;=95),0.12,0),
IF(AF225="DoEVni",IF(AND(V225&lt;20,W225&lt;55),0.3,0)+IF(AND(V225&lt;20,W225&gt;=55,W225&lt;105),0.23,0)+IF(AND(V225&lt;20,W225&gt;=105),0.17,0)+IF(AND(V225&gt;=20,V225&lt;40,W225&lt;45),0.3,0)+IF(AND(V225&gt;=20,V225&lt;40,W225&gt;=45,W225&lt;95),0.23,0)+IF(AND(V225&gt;=20,V225&lt;40,W225&gt;=95,W225&lt;=200),0.17,0)+IF(AND(V225&gt;=20,V225&lt;40,W225&gt;=200),0.12,0)+IF(AND(V225&gt;=40,V225&lt;75,W225&lt;35),0.3,0)+IF(AND(V225&gt;=40,V225&lt;75,W225&gt;=35,W225&lt;75),0.23,0)+IF(AND(V225&gt;=40,V225&lt;75,W225&gt;=75,W225&lt;120),0.17,0)+IF(AND(V225&gt;=40,V225&lt;75,W225&gt;=120),0.12,0)+IF(AND(V225&gt;=75,V225&lt;175,W225&lt;35),0.3,0)+IF(AND(V225&gt;=75,V225&lt;=175,W225&gt;=35,W225&lt;65),0.23,0)+IF(AND(V225&gt;=75,V225&lt;=175,W225&gt;=65,W225&lt;110),0.17,0)+IF(AND(V225&gt;=75,V225&lt;=175,W225&gt;=110),0.12,0)+IF(AND(V225&gt;175,W225&lt;25),0.3,0)+IF(AND(V225&gt;175,W225&gt;=25,W225&lt;55),0.23,0)+IF(AND(V225&gt;175,W225&gt;=55,W225&lt;95),0.17,0)+IF(AND(V225&gt;175,W225&gt;=95),0.12,0),
IF(AF225="DoEVLo",IF(AND(V225&lt;20,W225&lt;55),0.25,0)+IF(AND(V225&lt;20,W225&gt;=55,W225&lt;105),0.2,0)+IF(AND(V225&lt;20,W225&gt;=105),0.15,0)+IF(AND(V225&gt;=20,V225&lt;40,W225&lt;45),0.25,0)+IF(AND(V225&gt;=20,V225&lt;40,W225&gt;=45,W225&lt;95),0.2,0)+IF(AND(V225&gt;=20,V225&lt;40,W225&gt;=95),0.15,0)+IF(AND(V225&gt;=40,V225&lt;75,W225&lt;35),0.25,0)+IF(AND(V225&gt;=40,V225&lt;75,W225&gt;=35,W225&lt;75),0.2,0)+IF(AND(V225&gt;=40,V225&lt;75,W225&gt;=75,W225&lt;120),0.15,0)+IF(AND(V225&gt;=40,V225&lt;75,W225&gt;=120),0.1,0)+IF(AND(V225&gt;=75,V225&lt;175,W225&lt;35),0.25,0)+IF(AND(V225&gt;=75,V225&lt;=175,W225&gt;=35,W225&lt;65),0.2,0)+IF(AND(V225&gt;=75,V225&lt;=175,W225&gt;=65,W225&lt;110),0.15,0)+IF(AND(V225&gt;=75,V225&lt;=175,W225&gt;=110),0.1,0)+IF(AND(V225&gt;175,W225&lt;25),0.25,0)+IF(AND(V225&gt;175,W225&gt;=25,W225&lt;55),0.2,0)+IF(AND(V225&gt;175,W225&gt;=55,W225&lt;95),0.15,0)+IF(AND(V225&gt;175,W225&gt;=95),0.1,0))))))))))))))))</f>
        <v>0.35</v>
      </c>
      <c r="Y225" s="30">
        <f>IF(AG225="None",0,IF(AG225="Fix5",0.05,IF(AG225="Fix3.75",0.0375,IF(AG225="Fix10",0.1,IF(AG225="Fix3",0.03,0)))))</f>
        <v>0</v>
      </c>
      <c r="Z225" s="35">
        <v>294</v>
      </c>
      <c r="AA225" s="29">
        <v>98</v>
      </c>
      <c r="AB225" s="36">
        <f>IF(AD225="EUR",((T225-R225)*Y225)*U225+(R225*Y225),(T225*Y225))</f>
        <v>0</v>
      </c>
      <c r="AC225" s="37" t="b">
        <v>1</v>
      </c>
      <c r="AD225" s="82" t="s">
        <v>38</v>
      </c>
      <c r="AE225" s="82" t="s">
        <v>38</v>
      </c>
      <c r="AF225" s="83" t="str">
        <f t="array" ref="AF225">INDEX('Deal Info'!D:D, MATCH(A225,'Deal Info'!A:A, 0))</f>
        <v>DoEVold</v>
      </c>
      <c r="AG225" s="84" t="str">
        <f t="array" ref="AG225">INDEX('Deal Info'!G:G, MATCH(A225,'Deal Info'!A:A, 0))</f>
        <v>None</v>
      </c>
    </row>
    <row r="226" spans="1:33" ht="14.25" x14ac:dyDescent="0.2">
      <c r="A226" s="18" t="s">
        <v>98</v>
      </c>
      <c r="B226" s="129" t="s">
        <v>99</v>
      </c>
      <c r="C226" s="111">
        <v>44682</v>
      </c>
      <c r="D226" s="111">
        <v>44697</v>
      </c>
      <c r="E226" s="21">
        <v>44682</v>
      </c>
      <c r="F226" s="133" t="s">
        <v>41</v>
      </c>
      <c r="G226" s="65" t="s">
        <v>61</v>
      </c>
      <c r="H226" s="110" t="s">
        <v>67</v>
      </c>
      <c r="I226" s="110" t="s">
        <v>37</v>
      </c>
      <c r="J226" s="50">
        <v>500</v>
      </c>
      <c r="K226" s="123">
        <v>1</v>
      </c>
      <c r="L226" s="113">
        <v>500</v>
      </c>
      <c r="M226" s="62">
        <v>9</v>
      </c>
      <c r="N226" s="28">
        <f>K226*J226</f>
        <v>500</v>
      </c>
      <c r="O226" s="65">
        <v>-221</v>
      </c>
      <c r="P226" s="29">
        <v>-221</v>
      </c>
      <c r="Q226" s="103"/>
      <c r="R226" s="31">
        <f>M226+Q226</f>
        <v>9</v>
      </c>
      <c r="S226" s="66"/>
      <c r="T226" s="32">
        <f>R226+S226+IF(F226="Without EV deal",L226,0)</f>
        <v>509</v>
      </c>
      <c r="U226" s="114">
        <v>1.07</v>
      </c>
      <c r="V226" s="69"/>
      <c r="W226" s="69"/>
      <c r="X226" s="30">
        <v>0.25</v>
      </c>
      <c r="Y226" s="30">
        <f>IF(AG226="None",0,IF(AG226="Fix5",0.05, IF(AG226="Fix6.25",0.0625,IF(AG226="Fix3.75",0.0375,IF(AG226="Fix10",0.1,IF(AG226="Fix3",0.03,0))))))</f>
        <v>0</v>
      </c>
      <c r="Z226" s="35">
        <f>T226-AA226-AB226</f>
        <v>373</v>
      </c>
      <c r="AA226" s="29">
        <f>IF(AD226="EUR",((T226-R226)*X226)*U226+(R226*X226),(T226*X226))</f>
        <v>136</v>
      </c>
      <c r="AB226" s="36">
        <f>IF(AD226="EUR",((T226-R226)*Y226)*U226+(R226*Y226),(T226*Y226))</f>
        <v>0</v>
      </c>
      <c r="AC226" s="61" t="b">
        <v>1</v>
      </c>
      <c r="AD226" s="82" t="s">
        <v>50</v>
      </c>
      <c r="AE226" s="83"/>
      <c r="AF226" s="83" t="str">
        <f t="array" ref="AF226">INDEX('Deal Info'!D:D, MATCH(A226,'Deal Info'!A:A, 0))</f>
        <v>DoEVold</v>
      </c>
      <c r="AG226" s="84" t="str">
        <f t="array" ref="AG226">INDEX('Deal Info'!G:G, MATCH(A226,'Deal Info'!A:A, 0))</f>
        <v>None</v>
      </c>
    </row>
    <row r="227" spans="1:33" ht="14.25" x14ac:dyDescent="0.2">
      <c r="A227" s="18" t="s">
        <v>98</v>
      </c>
      <c r="B227" s="45" t="s">
        <v>99</v>
      </c>
      <c r="C227" s="136">
        <v>44682</v>
      </c>
      <c r="D227" s="136">
        <v>44697</v>
      </c>
      <c r="E227" s="47">
        <v>44682</v>
      </c>
      <c r="F227" s="48" t="s">
        <v>41</v>
      </c>
      <c r="G227" s="45" t="s">
        <v>61</v>
      </c>
      <c r="H227" s="100" t="s">
        <v>105</v>
      </c>
      <c r="I227" s="110" t="s">
        <v>37</v>
      </c>
      <c r="J227" s="74">
        <v>50</v>
      </c>
      <c r="K227" s="134">
        <v>567</v>
      </c>
      <c r="L227" s="135">
        <v>-3050</v>
      </c>
      <c r="M227" s="79">
        <v>0</v>
      </c>
      <c r="N227" s="28">
        <f>K227*J227</f>
        <v>28350</v>
      </c>
      <c r="O227" s="129">
        <v>8000</v>
      </c>
      <c r="P227" s="29">
        <v>14.109347440000001</v>
      </c>
      <c r="Q227" s="55"/>
      <c r="R227" s="31">
        <f>M227+Q227</f>
        <v>0</v>
      </c>
      <c r="S227" s="97"/>
      <c r="T227" s="32">
        <f>R227+S227+IF(F227="Without EV deal",L227,0)</f>
        <v>-3050</v>
      </c>
      <c r="U227" s="57">
        <v>1.07</v>
      </c>
      <c r="V227" s="69"/>
      <c r="W227" s="69"/>
      <c r="X227" s="30">
        <v>0.25</v>
      </c>
      <c r="Y227" s="30">
        <f>IF(AG227="None",0,IF(AG227="Fix5",0.05, IF(AG227="Fix6.25",0.0625,IF(AG227="Fix3.75",0.0375,IF(AG227="Fix10",0.1,IF(AG227="Fix3",0.03,0))))))</f>
        <v>0</v>
      </c>
      <c r="Z227" s="35">
        <f>T227-AA227-AB227</f>
        <v>-2234.125</v>
      </c>
      <c r="AA227" s="29">
        <f>IF(AD227="EUR",((T227-R227)*X227)*U227+(R227*X227),(T227*X227))</f>
        <v>-815.875</v>
      </c>
      <c r="AB227" s="36">
        <f>IF(AD227="EUR",((T227-R227)*Y227)*U227+(R227*Y227),(T227*Y227))</f>
        <v>0</v>
      </c>
      <c r="AC227" s="61" t="b">
        <v>1</v>
      </c>
      <c r="AD227" s="82" t="s">
        <v>50</v>
      </c>
      <c r="AE227" s="83"/>
      <c r="AF227" s="83" t="str">
        <f t="array" ref="AF227">INDEX('Deal Info'!D:D, MATCH(A227,'Deal Info'!A:A, 0))</f>
        <v>DoEVold</v>
      </c>
      <c r="AG227" s="84" t="str">
        <f t="array" ref="AG227">INDEX('Deal Info'!G:G, MATCH(A227,'Deal Info'!A:A, 0))</f>
        <v>None</v>
      </c>
    </row>
    <row r="228" spans="1:33" ht="14.25" hidden="1" x14ac:dyDescent="0.2">
      <c r="A228" s="18" t="str">
        <f t="array" ref="A228">IF(G228='Room Info'!$B$1, INDEX('Room Info'!$A$2:$A2446, MATCH(B228,'Room Info'!$B$2:$B2446, 0)),IF(G228='Room Info'!$C$1, INDEX('Room Info'!$A$2:$A2446, MATCH(B228,'Room Info'!$C$2:$C2446, 0)),IF(G228='Room Info'!$D$1, INDEX('Room Info'!$A$2:$A2446, MATCH(B228,'Room Info'!$D$2:$D2446, 0)),IF(G228='Room Info'!$E$1, INDEX('Room Info'!$A$2:$A2446, MATCH(B228,'Room Info'!$E$2:$E2446, 0)),IF(G228='Room Info'!$F$1, INDEX('Room Info'!$A$2:$A2446, MATCH(B228,'Room Info'!$F$2:$F2446, 0)),IF(G228='Room Info'!$H$1, INDEX('Room Info'!$A$2:$A2446, MATCH(B228,'Room Info'!$H$2:$H2446, 0)),IF(G228='Room Info'!$G$1, INDEX('Room Info'!$A$2:$A2446, MATCH(B228,'Room Info'!$G$2:$G2446, 0)))))))))</f>
        <v>Lo4io</v>
      </c>
      <c r="B228" s="45" t="s">
        <v>102</v>
      </c>
      <c r="C228" s="92">
        <v>44825</v>
      </c>
      <c r="D228" s="92">
        <v>44854</v>
      </c>
      <c r="E228" s="47">
        <v>44835</v>
      </c>
      <c r="F228" s="48" t="s">
        <v>34</v>
      </c>
      <c r="G228" s="45" t="s">
        <v>35</v>
      </c>
      <c r="H228" s="49" t="s">
        <v>46</v>
      </c>
      <c r="I228" s="49" t="s">
        <v>37</v>
      </c>
      <c r="J228" s="70">
        <v>25</v>
      </c>
      <c r="K228" s="71">
        <v>67</v>
      </c>
      <c r="L228" s="72">
        <v>-150</v>
      </c>
      <c r="M228" s="79"/>
      <c r="N228" s="28">
        <f>K228*J228</f>
        <v>1675</v>
      </c>
      <c r="O228" s="45">
        <v>4430</v>
      </c>
      <c r="P228" s="29">
        <v>66.119402989999998</v>
      </c>
      <c r="Q228" s="55"/>
      <c r="R228" s="31">
        <f>M228+Q228</f>
        <v>0</v>
      </c>
      <c r="S228" s="73">
        <v>98</v>
      </c>
      <c r="T228" s="32">
        <f>R228+S228+IF(F228="Without EV deal",L228,0)</f>
        <v>98</v>
      </c>
      <c r="U228" s="57">
        <v>1</v>
      </c>
      <c r="V228" s="69">
        <v>46.543296089385478</v>
      </c>
      <c r="W228" s="69">
        <v>67.528522130532622</v>
      </c>
      <c r="X228" s="30">
        <f>IF(AF228="DoEV",IF(AND(V228&lt;20,W228&lt;55),0.3,0)+IF(AND(V228&lt;20,W228&gt;=55,W228&lt;105),0.23,0)+IF(AND(V228&lt;20,W228&gt;=105),0.17,0)+IF(AND(V228&gt;=20,V228&lt;40,W228&lt;45),0.3,0)+IF(AND(V228&gt;=20,V228&lt;40,W228&gt;=45,W228&lt;95),0.23,0)+IF(AND(V228&gt;=20,V228&lt;40,W228&gt;=95),0.17,0)+IF(AND(V228&gt;=40,V228&lt;75,W228&lt;35),0.3,0)+IF(AND(V228&gt;=40,V228&lt;75,W228&gt;=35,W228&lt;75),0.23,0)+IF(AND(V228&gt;=40,V228&lt;75,W228&gt;=75,W228&lt;120),0.17,0)+IF(AND(V228&gt;=40,V228&lt;75,W228&gt;=120),0.12,0)+IF(AND(V228&gt;=75,V228&lt;175,W228&lt;35),0.3,0)+IF(AND(V228&gt;=75,V228&lt;=175,W228&gt;=35,W228&lt;65),0.23,0)+IF(AND(V228&gt;=75,V228&lt;=175,W228&gt;=65,W228&lt;110),0.17,0)+IF(AND(V228&gt;=75,V228&lt;=175,W228&gt;=110),0.12,0)+IF(AND(V228&gt;175,W228&lt;25),0.3,0)+IF(AND(V228&gt;175,W228&gt;=25,W228&lt;55),0.23,0)+IF(AND(V228&gt;175,W228&gt;=55,W228&lt;95),0.17,0)+IF(AND(V228&gt;175,W228&gt;=95),0.12,0),
IF(AF228="Fix15",0.15,
IF(AF228="Fix11.25",0.1125,
IF(AF228="Fix10",0.1,
IF(AF228="Fix9",0.09,
IF(AF228="DoEV2017",IF(AND(W228&lt;74),0.2,0)+IF(AND(W228&gt;=74),0.17,0),
IF(AF228="SF",IF(AND(V228&lt;20,W228&lt;89),0.3,0)+IF(AND(V228&lt;20,W228&gt;=89),0.25,0)+IF(AND(V228&gt;=20,V228&lt;40,W228&lt;74),0.3,0)+IF(AND(V228&gt;=20,V228&lt;40,W228&gt;=75),0.22,0)+IF(AND(V228&gt;=40,V228&lt;75,W228&lt;75),0.26,0)+IF(AND(V228&gt;=40,V228&lt;75,W228&gt;=75),0.22,0)+IF(V228&gt;=75,0.22,0),
IF(AF228="DoEVold",IF(AND(V228&lt;40,W228&lt;35),0.35,0)+IF(AND(V228&lt;40,W228&gt;=35,W228&lt;75),0.25,0)+IF(AND(V228&lt;40,W228&gt;=75),0.17,0)+IF(AND(V228&gt;=40,V228&lt;75,W228&lt;25),0.35,0)+IF(AND(V228&gt;=40,V228&lt;75,W228&gt;=25,W228&lt;65),0.25,0)+IF(AND(V228&gt;=40,V228&lt;75,W228&gt;=65,W228&lt;100),0.17,0)+IF(AND(V228&gt;=40,V228&lt;75,W228&gt;=100),0.1,0)+IF(AND(V228&gt;=75,W228&lt;25),0.35,0)+IF(AND(V228&gt;=75,W228&gt;=25,W228&lt;60),0.25,0)+IF(AND(V228&gt;=75,W228&gt;=60,W228&lt;95),0.17,0)+IF(AND(V228&gt;=75,W228&gt;=95),0.1,0),
IF(AF228="DoEVold15",IF(AND(V228&lt;=40,W228&lt;35),0.35,0)+IF(AND(V228&lt;=40,W228&gt;=35,W228&lt;75),0.25,0)+IF(AND(V228&lt;=40,W228&gt;=75,W228&lt;120),0.17,0)+IF(AND(V228&lt;=40,W228&gt;=120),0.15,0)+IF(AND(V228&gt;40,V228&lt;75,W228&lt;25),0.35,0)+IF(AND(V228&gt;=40,V228&lt;75,W228&gt;=25,W228&lt;65),0.25,0)+IF(AND(V228&gt;=40,V228&lt;75,W228&gt;=65,W228&lt;100),0.17,0)+IF(AND(V228&gt;=40,V228&lt;75,W228&gt;=100),0.1,0)+IF(AND(V228&gt;=75,W228&lt;25),0.35,0)+IF(AND(V228&gt;=75,W228&gt;=25,W228&lt;60),0.25,0)+IF(AND(V228&gt;=75,W228&gt;=60,W228&lt;95),0.17,0)+IF(AND(V228&gt;=75,W228&gt;=95),0.1,0),
IF(AF228="DoEVba",IF(AND(V228&lt;20,W228&lt;105),0.2,0)+IF(AND(V228&lt;20,W228&gt;=105),0.15,0)+IF(AND(V228&gt;=20,V228&lt;40,W228&lt;95),0.2,0)+IF(AND(V228&gt;=20,V228&lt;40,W228&gt;=95,W228&lt;150),0.15,0)+IF(AND(V228&gt;=20,V228&lt;40,W228&gt;=150),0.12,0)+IF(AND(V228&gt;=40,V228&lt;75,W228&lt;75),0.2,0)+IF(AND(V228&gt;=40,V228&lt;75,W228&gt;=75,W228&lt;120),0.15,0)+IF(AND(V228&gt;=40,V228&lt;75,W228&gt;=120),0.12,0)+IF(AND(V228&gt;=75,V228&lt;175,W228&lt;65),0.2,0)+IF(AND(V228&gt;=75,V228&lt;175,W228&gt;=65,W228&lt;110),0.15,0)+IF(AND(V228&gt;=75,V228&lt;175,W228&gt;=110),0.12,0)+IF(AND(V228&gt;=175,W228&lt;55),0.2,0)+IF(AND(V228&gt;=175,W228&gt;=55,W228&lt;95),0.15,0)+IF(AND(V228&gt;=175,W228&gt;=95),0.12,0),
IF(AF228="DoEVku",IF(AND(V228&lt;20,W228&lt;55),0.23,0)+IF(AND(V228&lt;20,W228&gt;=55,W228&lt;105),0.2,0)+IF(AND(V228&lt;20,W228&gt;=105),0.17,0)+IF(AND(V228&gt;=20,V228&lt;40,W228&lt;45),0.23,0)+IF(AND(V228&gt;=20,V228&lt;40,W228&gt;=45,W228&lt;95),0.2,0)+IF(AND(V228&gt;=20,V228&lt;40,W228&gt;=95,W228&lt;=150),0.17,0)+IF(AND(V228&gt;=20,V228&lt;40,W228&gt;=150),0.12,0)+IF(AND(V228&gt;=40,V228&lt;75,W228&lt;35),0.23,0)+IF(AND(V228&gt;=40,V228&lt;75,W228&gt;=35,W228&lt;75),0.2,0)+IF(AND(V228&gt;=40,V228&lt;75,W228&gt;=75,W228&lt;120),0.17,0)+IF(AND(V228&gt;=40,V228&lt;75,W228&gt;=120),0.12,0)+IF(AND(V228&gt;=75,V228&lt;175,W228&lt;35),0.23,0)+IF(AND(V228&gt;=75,V228&lt;=175,W228&gt;=35,W228&lt;65),0.2,0)+IF(AND(V228&gt;=75,V228&lt;=175,W228&gt;=65,W228&lt;110),0.17,0)+IF(AND(V228&gt;=75,V228&lt;=175,W228&gt;=110),0.12,0)+IF(AND(V228&gt;175,W228&lt;25),0.23,0)+IF(AND(V228&gt;175,W228&gt;=25,W228&lt;55),0.2,0)+IF(AND(V228&gt;175,W228&gt;=55,W228&lt;95),0.17,0)+IF(AND(V228&gt;175,W228&gt;=95),0.12,0),
IF(AF228="DoEVs1",IF(AND(V228&lt;20,W228&lt;55),0.3,0)+IF(AND(V228&lt;20,W228&gt;=55,W228&lt;105),0.23,0)+IF(AND(V228&lt;20,W228&gt;=105),0.17,0)+IF(AND(V228&gt;=20,V228&lt;40,W228&lt;45),0.3,0)+IF(AND(V228&gt;=20,V228&lt;40,W228&gt;=45,W228&lt;95),0.23,0)+IF(AND(V228&gt;=20,V228&lt;40,W228&gt;=95,W228&lt;=150),0.17,0)+IF(AND(V228&gt;=20,V228&lt;40,W228&gt;=150),0.12,0)+IF(AND(V228&gt;=40,V228&lt;75,W228&lt;35),0.3,0)+IF(AND(V228&gt;=40,V228&lt;75,W228&gt;=35,W228&lt;75),0.23,0)+IF(AND(V228&gt;=40,V228&lt;75,W228&gt;=75,W228&lt;120),0.17,0)+IF(AND(V228&gt;=40,V228&lt;75,W228&gt;=120),0.12,0)+IF(AND(V228&gt;=75,V228&lt;175,W228&lt;35),0.3,0)+IF(AND(V228&gt;=75,V228&lt;=175,W228&gt;=35,W228&lt;65),0.23,0)+IF(AND(V228&gt;=75,V228&lt;=175,W228&gt;=65,W228&lt;110),0.17,0)+IF(AND(V228&gt;=75,V228&lt;=175,W228&gt;=110),0.12,0)+IF(AND(V228&gt;175,W228&lt;25),0.3,0)+IF(AND(V228&gt;175,W228&gt;=25,W228&lt;55),0.23,0)+IF(AND(V228&gt;175,W228&gt;=55,W228&lt;95),0.17,0)+IF(AND(V228&gt;175,W228&gt;=95),0.12,0),
IF(AF228="DoEVsu",IF(AND(V228&lt;20,W228&lt;55),0.3,0)+IF(AND(V228&lt;20,W228&gt;=55,W228&lt;105),0.23,0)+IF(AND(V228&lt;20,W228&gt;=105),0.17,0)+IF(AND(V228&gt;=20,V228&lt;40,W228&lt;45),0.3,0)+IF(AND(V228&gt;=20,V228&lt;40,W228&gt;=45,W228&lt;95),0.23,0)+IF(AND(V228&gt;=20,V228&lt;40,W228&gt;=95,W228&lt;=250),0.17,0)+IF(AND(V228&gt;=20,V228&lt;40,W228&gt;=250),0.12,0)+IF(AND(V228&gt;=40,V228&lt;75,W228&lt;35),0.3,0)+IF(AND(V228&gt;=40,V228&lt;75,W228&gt;=35,W228&lt;75),0.23,0)+IF(AND(V228&gt;=40,V228&lt;75,W228&gt;=75,W228&lt;120),0.17,0)+IF(AND(V228&gt;=40,V228&lt;75,W228&gt;=120),0.12,0)+IF(AND(V228&gt;=75,V228&lt;175,W228&lt;35),0.3,0)+IF(AND(V228&gt;=75,V228&lt;=175,W228&gt;=35,W228&lt;65),0.23,0)+IF(AND(V228&gt;=75,V228&lt;=175,W228&gt;=65,W228&lt;110),0.17,0)+IF(AND(V228&gt;=75,V228&lt;=175,W228&gt;=110),0.12,0)+IF(AND(V228&gt;175,W228&lt;25),0.3,0)+IF(AND(V228&gt;175,W228&gt;=25,W228&lt;55),0.23,0)+IF(AND(V228&gt;175,W228&gt;=55,W228&lt;95),0.17,0)+IF(AND(V228&gt;175,W228&gt;=95),0.12,0),
IF(AF228="DoEVni",IF(AND(V228&lt;20,W228&lt;55),0.3,0)+IF(AND(V228&lt;20,W228&gt;=55,W228&lt;105),0.23,0)+IF(AND(V228&lt;20,W228&gt;=105),0.17,0)+IF(AND(V228&gt;=20,V228&lt;40,W228&lt;45),0.3,0)+IF(AND(V228&gt;=20,V228&lt;40,W228&gt;=45,W228&lt;95),0.23,0)+IF(AND(V228&gt;=20,V228&lt;40,W228&gt;=95,W228&lt;=200),0.17,0)+IF(AND(V228&gt;=20,V228&lt;40,W228&gt;=200),0.12,0)+IF(AND(V228&gt;=40,V228&lt;75,W228&lt;35),0.3,0)+IF(AND(V228&gt;=40,V228&lt;75,W228&gt;=35,W228&lt;75),0.23,0)+IF(AND(V228&gt;=40,V228&lt;75,W228&gt;=75,W228&lt;120),0.17,0)+IF(AND(V228&gt;=40,V228&lt;75,W228&gt;=120),0.12,0)+IF(AND(V228&gt;=75,V228&lt;175,W228&lt;35),0.3,0)+IF(AND(V228&gt;=75,V228&lt;=175,W228&gt;=35,W228&lt;65),0.23,0)+IF(AND(V228&gt;=75,V228&lt;=175,W228&gt;=65,W228&lt;110),0.17,0)+IF(AND(V228&gt;=75,V228&lt;=175,W228&gt;=110),0.12,0)+IF(AND(V228&gt;175,W228&lt;25),0.3,0)+IF(AND(V228&gt;175,W228&gt;=25,W228&lt;55),0.23,0)+IF(AND(V228&gt;175,W228&gt;=55,W228&lt;95),0.17,0)+IF(AND(V228&gt;175,W228&gt;=95),0.12,0),
IF(AF228="DoEVLo",IF(AND(V228&lt;20,W228&lt;55),0.25,0)+IF(AND(V228&lt;20,W228&gt;=55,W228&lt;105),0.2,0)+IF(AND(V228&lt;20,W228&gt;=105),0.15,0)+IF(AND(V228&gt;=20,V228&lt;40,W228&lt;45),0.25,0)+IF(AND(V228&gt;=20,V228&lt;40,W228&gt;=45,W228&lt;95),0.2,0)+IF(AND(V228&gt;=20,V228&lt;40,W228&gt;=95),0.15,0)+IF(AND(V228&gt;=40,V228&lt;75,W228&lt;35),0.25,0)+IF(AND(V228&gt;=40,V228&lt;75,W228&gt;=35,W228&lt;75),0.2,0)+IF(AND(V228&gt;=40,V228&lt;75,W228&gt;=75,W228&lt;120),0.15,0)+IF(AND(V228&gt;=40,V228&lt;75,W228&gt;=120),0.1,0)+IF(AND(V228&gt;=75,V228&lt;175,W228&lt;35),0.25,0)+IF(AND(V228&gt;=75,V228&lt;=175,W228&gt;=35,W228&lt;65),0.2,0)+IF(AND(V228&gt;=75,V228&lt;=175,W228&gt;=65,W228&lt;110),0.15,0)+IF(AND(V228&gt;=75,V228&lt;=175,W228&gt;=110),0.1,0)+IF(AND(V228&gt;175,W228&lt;25),0.25,0)+IF(AND(V228&gt;175,W228&gt;=25,W228&lt;55),0.2,0)+IF(AND(V228&gt;175,W228&gt;=55,W228&lt;95),0.15,0)+IF(AND(V228&gt;175,W228&gt;=95),0.1,0))))))))))))))))</f>
        <v>0.2</v>
      </c>
      <c r="Y228" s="30">
        <f>IF(AG228="None",0,IF(AG228="Fix5",0.05,IF(AG228="Fix3.75",0.0375,IF(AG228="Fix10",0.1,IF(AG228="Fix3",0.03,0)))))</f>
        <v>0</v>
      </c>
      <c r="Z228" s="35">
        <f>T228-AA228-AB228</f>
        <v>78.400000000000006</v>
      </c>
      <c r="AA228" s="29">
        <f>IF(AD228="EUR",((T228-R228)*X228)*U228+(R228*X228),(T228*X228))</f>
        <v>19.600000000000001</v>
      </c>
      <c r="AB228" s="36">
        <f>IF(AD228="EUR",((T228-R228)*Y228)*U228+(R228*Y228),(T228*Y228))</f>
        <v>0</v>
      </c>
      <c r="AC228" s="37" t="b">
        <v>1</v>
      </c>
      <c r="AD228" s="37" t="s">
        <v>38</v>
      </c>
      <c r="AE228" s="37" t="s">
        <v>38</v>
      </c>
      <c r="AF228" s="37" t="str">
        <f t="array" ref="AF228">INDEX('Deal Info'!D:D, MATCH(A228,'Deal Info'!A:A, 0))</f>
        <v>DoEVLo</v>
      </c>
      <c r="AG228" s="38" t="str">
        <f t="array" ref="AG228">INDEX('Deal Info'!G:G, MATCH(A228,'Deal Info'!A:A, 0))</f>
        <v>None</v>
      </c>
    </row>
    <row r="229" spans="1:33" ht="28.5" x14ac:dyDescent="0.2">
      <c r="A229" s="18" t="s">
        <v>98</v>
      </c>
      <c r="B229" s="45" t="s">
        <v>99</v>
      </c>
      <c r="C229" s="46">
        <v>44682</v>
      </c>
      <c r="D229" s="46">
        <v>44697</v>
      </c>
      <c r="E229" s="47">
        <v>44682</v>
      </c>
      <c r="F229" s="129" t="s">
        <v>41</v>
      </c>
      <c r="G229" s="65" t="s">
        <v>61</v>
      </c>
      <c r="H229" s="49" t="s">
        <v>106</v>
      </c>
      <c r="I229" s="49" t="s">
        <v>37</v>
      </c>
      <c r="J229" s="50">
        <v>50</v>
      </c>
      <c r="K229" s="51">
        <v>186</v>
      </c>
      <c r="L229" s="52">
        <v>-1850</v>
      </c>
      <c r="M229" s="53">
        <v>168</v>
      </c>
      <c r="N229" s="28">
        <f>K229*J229</f>
        <v>9300</v>
      </c>
      <c r="O229" s="54">
        <v>2355</v>
      </c>
      <c r="P229" s="29">
        <v>12.661290320000001</v>
      </c>
      <c r="Q229" s="55"/>
      <c r="R229" s="31">
        <f>M229+Q229</f>
        <v>168</v>
      </c>
      <c r="S229" s="56"/>
      <c r="T229" s="32">
        <f>R229+S229+IF(F229="Without EV deal",L229,0)</f>
        <v>-1682</v>
      </c>
      <c r="U229" s="57">
        <v>1.07</v>
      </c>
      <c r="V229" s="58"/>
      <c r="W229" s="58"/>
      <c r="X229" s="78">
        <v>0.25</v>
      </c>
      <c r="Y229" s="30">
        <f>IF(AG229="None",0,IF(AG229="Fix5",0.05, IF(AG229="Fix6.25",0.0625,IF(AG229="Fix3.75",0.0375,IF(AG229="Fix10",0.1,IF(AG229="Fix3",0.03,0))))))</f>
        <v>0</v>
      </c>
      <c r="Z229" s="35">
        <f>T229-AA229-AB229</f>
        <v>-1229.125</v>
      </c>
      <c r="AA229" s="29">
        <f>IF(AD229="EUR",((T229-R229)*X229)*U229+(R229*X229),(T229*X229))</f>
        <v>-452.87500000000006</v>
      </c>
      <c r="AB229" s="36">
        <f>IF(AD229="EUR",((T229-R229)*Y229)*U229+(R229*Y229),(T229*Y229))</f>
        <v>0</v>
      </c>
      <c r="AC229" s="37" t="b">
        <v>1</v>
      </c>
      <c r="AD229" s="61" t="s">
        <v>50</v>
      </c>
      <c r="AE229" s="61"/>
      <c r="AF229" s="37" t="str">
        <f t="array" ref="AF229">INDEX('Deal Info'!D:D, MATCH(A229,'Deal Info'!A:A, 0))</f>
        <v>DoEVold</v>
      </c>
      <c r="AG229" s="38" t="str">
        <f t="array" ref="AG229">INDEX('Deal Info'!G:G, MATCH(A229,'Deal Info'!A:A, 0))</f>
        <v>None</v>
      </c>
    </row>
    <row r="230" spans="1:33" ht="14.25" x14ac:dyDescent="0.2">
      <c r="A230" s="18" t="str">
        <f t="array" ref="A230">IF(G230='Room Info'!$B$1, INDEX('Room Info'!$A$2:$A2446, MATCH(B230,'Room Info'!$B$2:$B2446, 0)),IF(G230='Room Info'!$C$1, INDEX('Room Info'!$A$2:$A2446, MATCH(B230,'Room Info'!$C$2:$C2446, 0)),IF(G230='Room Info'!$D$1, INDEX('Room Info'!$A$2:$A2446, MATCH(B230,'Room Info'!$D$2:$D2446, 0)),IF(G230='Room Info'!$E$1, INDEX('Room Info'!$A$2:$A2446, MATCH(B230,'Room Info'!$E$2:$E2446, 0)),IF(G230='Room Info'!$F$1, INDEX('Room Info'!$A$2:$A2446, MATCH(B230,'Room Info'!$F$2:$F2446, 0)),IF(G230='Room Info'!$H$1, INDEX('Room Info'!$A$2:$A2446, MATCH(B230,'Room Info'!$H$2:$H2446, 0)),IF(G230='Room Info'!$G$1, INDEX('Room Info'!$A$2:$A2446, MATCH(B230,'Room Info'!$G$2:$G2446, 0)))))))))</f>
        <v>Lo4io</v>
      </c>
      <c r="B230" s="45" t="s">
        <v>107</v>
      </c>
      <c r="C230" s="77">
        <v>44672</v>
      </c>
      <c r="D230" s="77">
        <v>44701</v>
      </c>
      <c r="E230" s="47">
        <v>44682</v>
      </c>
      <c r="F230" s="48" t="s">
        <v>34</v>
      </c>
      <c r="G230" s="45" t="s">
        <v>61</v>
      </c>
      <c r="H230" s="110" t="s">
        <v>112</v>
      </c>
      <c r="I230" s="49" t="s">
        <v>37</v>
      </c>
      <c r="J230" s="74">
        <v>50</v>
      </c>
      <c r="K230" s="75">
        <v>557</v>
      </c>
      <c r="L230" s="72">
        <v>475</v>
      </c>
      <c r="M230" s="76">
        <v>200</v>
      </c>
      <c r="N230" s="28">
        <f>K230*J230</f>
        <v>27850</v>
      </c>
      <c r="O230" s="45">
        <v>31649</v>
      </c>
      <c r="P230" s="29">
        <v>56.820466789999998</v>
      </c>
      <c r="Q230" s="55"/>
      <c r="R230" s="31">
        <f>M230+Q230</f>
        <v>200</v>
      </c>
      <c r="S230" s="73">
        <v>388</v>
      </c>
      <c r="T230" s="32">
        <f>R230+S230+IF(F230="Without EV deal",L230,0)</f>
        <v>588</v>
      </c>
      <c r="U230" s="57">
        <v>1.0549999999999999</v>
      </c>
      <c r="V230" s="58">
        <v>27.072653884964684</v>
      </c>
      <c r="W230" s="58">
        <v>68.039136755003909</v>
      </c>
      <c r="X230" s="78">
        <f>IF(AF230="DoEV",IF(AND(V230&lt;20,W230&lt;55),0.3,0)+IF(AND(V230&lt;20,W230&gt;=55,W230&lt;105),0.23,0)+IF(AND(V230&lt;20,W230&gt;=105),0.17,0)+IF(AND(V230&gt;=20,V230&lt;40,W230&lt;45),0.3,0)+IF(AND(V230&gt;=20,V230&lt;40,W230&gt;=45,W230&lt;95),0.23,0)+IF(AND(V230&gt;=20,V230&lt;40,W230&gt;=95),0.17,0)+IF(AND(V230&gt;=40,V230&lt;75,W230&lt;35),0.3,0)+IF(AND(V230&gt;=40,V230&lt;75,W230&gt;=35,W230&lt;75),0.23,0)+IF(AND(V230&gt;=40,V230&lt;75,W230&gt;=75,W230&lt;120),0.17,0)+IF(AND(V230&gt;=40,V230&lt;75,W230&gt;=120),0.12,0)+IF(AND(V230&gt;=75,V230&lt;175,W230&lt;35),0.3,0)+IF(AND(V230&gt;=75,V230&lt;=175,W230&gt;=35,W230&lt;65),0.23,0)+IF(AND(V230&gt;=75,V230&lt;=175,W230&gt;=65,W230&lt;110),0.17,0)+IF(AND(V230&gt;=75,V230&lt;=175,W230&gt;=110),0.12,0)+IF(AND(V230&gt;175,W230&lt;25),0.3,0)+IF(AND(V230&gt;175,W230&gt;=25,W230&lt;55),0.23,0)+IF(AND(V230&gt;175,W230&gt;=55,W230&lt;95),0.17,0)+IF(AND(V230&gt;175,W230&gt;=95),0.12,0),
IF(AF230="Fix15",0.15,
IF(AF230="Fix11.25",0.1125,
IF(AF230="Fix10",0.1,
IF(AF230="Fix9",0.09,
IF(AF230="DoEV2017",IF(AND(W230&lt;74),0.2,0)+IF(AND(W230&gt;=74),0.17,0),
IF(AF230="SF",IF(AND(V230&lt;20,W230&lt;89),0.3,0)+IF(AND(V230&lt;20,W230&gt;=89),0.25,0)+IF(AND(V230&gt;=20,V230&lt;40,W230&lt;74),0.3,0)+IF(AND(V230&gt;=20,V230&lt;40,W230&gt;=75),0.22,0)+IF(AND(V230&gt;=40,V230&lt;75,W230&lt;75),0.26,0)+IF(AND(V230&gt;=40,V230&lt;75,W230&gt;=75),0.22,0)+IF(V230&gt;=75,0.22,0),
IF(AF230="DoEVold",IF(AND(V230&lt;40,W230&lt;35),0.35,0)+IF(AND(V230&lt;40,W230&gt;=35,W230&lt;75),0.25,0)+IF(AND(V230&lt;40,W230&gt;=75),0.17,0)+IF(AND(V230&gt;=40,V230&lt;75,W230&lt;25),0.35,0)+IF(AND(V230&gt;=40,V230&lt;75,W230&gt;=25,W230&lt;65),0.25,0)+IF(AND(V230&gt;=40,V230&lt;75,W230&gt;=65,W230&lt;100),0.17,0)+IF(AND(V230&gt;=40,V230&lt;75,W230&gt;=100),0.1,0)+IF(AND(V230&gt;=75,W230&lt;25),0.35,0)+IF(AND(V230&gt;=75,W230&gt;=25,W230&lt;60),0.25,0)+IF(AND(V230&gt;=75,W230&gt;=60,W230&lt;95),0.17,0)+IF(AND(V230&gt;=75,W230&gt;=95),0.1,0),
IF(AF230="DoEVold15",IF(AND(V230&lt;=40,W230&lt;35),0.35,0)+IF(AND(V230&lt;=40,W230&gt;=35,W230&lt;75),0.25,0)+IF(AND(V230&lt;=40,W230&gt;=75,W230&lt;120),0.17,0)+IF(AND(V230&lt;=40,W230&gt;=120),0.15,0)+IF(AND(V230&gt;40,V230&lt;75,W230&lt;25),0.35,0)+IF(AND(V230&gt;=40,V230&lt;75,W230&gt;=25,W230&lt;65),0.25,0)+IF(AND(V230&gt;=40,V230&lt;75,W230&gt;=65,W230&lt;100),0.17,0)+IF(AND(V230&gt;=40,V230&lt;75,W230&gt;=100),0.1,0)+IF(AND(V230&gt;=75,W230&lt;25),0.35,0)+IF(AND(V230&gt;=75,W230&gt;=25,W230&lt;60),0.25,0)+IF(AND(V230&gt;=75,W230&gt;=60,W230&lt;95),0.17,0)+IF(AND(V230&gt;=75,W230&gt;=95),0.1,0),
IF(AF230="DoEVba",IF(AND(V230&lt;20,W230&lt;105),0.2,0)+IF(AND(V230&lt;20,W230&gt;=105),0.15,0)+IF(AND(V230&gt;=20,V230&lt;40,W230&lt;95),0.2,0)+IF(AND(V230&gt;=20,V230&lt;40,W230&gt;=95,W230&lt;150),0.15,0)+IF(AND(V230&gt;=20,V230&lt;40,W230&gt;=150),0.12,0)+IF(AND(V230&gt;=40,V230&lt;75,W230&lt;75),0.2,0)+IF(AND(V230&gt;=40,V230&lt;75,W230&gt;=75,W230&lt;120),0.15,0)+IF(AND(V230&gt;=40,V230&lt;75,W230&gt;=120),0.12,0)+IF(AND(V230&gt;=75,V230&lt;175,W230&lt;65),0.2,0)+IF(AND(V230&gt;=75,V230&lt;175,W230&gt;=65,W230&lt;110),0.15,0)+IF(AND(V230&gt;=75,V230&lt;175,W230&gt;=110),0.12,0)+IF(AND(V230&gt;=175,W230&lt;55),0.2,0)+IF(AND(V230&gt;=175,W230&gt;=55,W230&lt;95),0.15,0)+IF(AND(V230&gt;=175,W230&gt;=95),0.12,0),
IF(AF230="DoEVku",IF(AND(V230&lt;20,W230&lt;55),0.23,0)+IF(AND(V230&lt;20,W230&gt;=55,W230&lt;105),0.2,0)+IF(AND(V230&lt;20,W230&gt;=105),0.17,0)+IF(AND(V230&gt;=20,V230&lt;40,W230&lt;45),0.23,0)+IF(AND(V230&gt;=20,V230&lt;40,W230&gt;=45,W230&lt;95),0.2,0)+IF(AND(V230&gt;=20,V230&lt;40,W230&gt;=95,W230&lt;=150),0.17,0)+IF(AND(V230&gt;=20,V230&lt;40,W230&gt;=150),0.12,0)+IF(AND(V230&gt;=40,V230&lt;75,W230&lt;35),0.23,0)+IF(AND(V230&gt;=40,V230&lt;75,W230&gt;=35,W230&lt;75),0.2,0)+IF(AND(V230&gt;=40,V230&lt;75,W230&gt;=75,W230&lt;120),0.17,0)+IF(AND(V230&gt;=40,V230&lt;75,W230&gt;=120),0.12,0)+IF(AND(V230&gt;=75,V230&lt;175,W230&lt;35),0.23,0)+IF(AND(V230&gt;=75,V230&lt;=175,W230&gt;=35,W230&lt;65),0.2,0)+IF(AND(V230&gt;=75,V230&lt;=175,W230&gt;=65,W230&lt;110),0.17,0)+IF(AND(V230&gt;=75,V230&lt;=175,W230&gt;=110),0.12,0)+IF(AND(V230&gt;175,W230&lt;25),0.23,0)+IF(AND(V230&gt;175,W230&gt;=25,W230&lt;55),0.2,0)+IF(AND(V230&gt;175,W230&gt;=55,W230&lt;95),0.17,0)+IF(AND(V230&gt;175,W230&gt;=95),0.12,0),
IF(AF230="DoEVs1",IF(AND(V230&lt;20,W230&lt;55),0.3,0)+IF(AND(V230&lt;20,W230&gt;=55,W230&lt;105),0.23,0)+IF(AND(V230&lt;20,W230&gt;=105),0.17,0)+IF(AND(V230&gt;=20,V230&lt;40,W230&lt;45),0.3,0)+IF(AND(V230&gt;=20,V230&lt;40,W230&gt;=45,W230&lt;95),0.23,0)+IF(AND(V230&gt;=20,V230&lt;40,W230&gt;=95,W230&lt;=150),0.17,0)+IF(AND(V230&gt;=20,V230&lt;40,W230&gt;=150),0.12,0)+IF(AND(V230&gt;=40,V230&lt;75,W230&lt;35),0.3,0)+IF(AND(V230&gt;=40,V230&lt;75,W230&gt;=35,W230&lt;75),0.23,0)+IF(AND(V230&gt;=40,V230&lt;75,W230&gt;=75,W230&lt;120),0.17,0)+IF(AND(V230&gt;=40,V230&lt;75,W230&gt;=120),0.12,0)+IF(AND(V230&gt;=75,V230&lt;175,W230&lt;35),0.3,0)+IF(AND(V230&gt;=75,V230&lt;=175,W230&gt;=35,W230&lt;65),0.23,0)+IF(AND(V230&gt;=75,V230&lt;=175,W230&gt;=65,W230&lt;110),0.17,0)+IF(AND(V230&gt;=75,V230&lt;=175,W230&gt;=110),0.12,0)+IF(AND(V230&gt;175,W230&lt;25),0.3,0)+IF(AND(V230&gt;175,W230&gt;=25,W230&lt;55),0.23,0)+IF(AND(V230&gt;175,W230&gt;=55,W230&lt;95),0.17,0)+IF(AND(V230&gt;175,W230&gt;=95),0.12,0),
IF(AF230="DoEVsu",IF(AND(V230&lt;20,W230&lt;55),0.3,0)+IF(AND(V230&lt;20,W230&gt;=55,W230&lt;105),0.23,0)+IF(AND(V230&lt;20,W230&gt;=105),0.17,0)+IF(AND(V230&gt;=20,V230&lt;40,W230&lt;45),0.3,0)+IF(AND(V230&gt;=20,V230&lt;40,W230&gt;=45,W230&lt;95),0.23,0)+IF(AND(V230&gt;=20,V230&lt;40,W230&gt;=95,W230&lt;=250),0.17,0)+IF(AND(V230&gt;=20,V230&lt;40,W230&gt;=250),0.12,0)+IF(AND(V230&gt;=40,V230&lt;75,W230&lt;35),0.3,0)+IF(AND(V230&gt;=40,V230&lt;75,W230&gt;=35,W230&lt;75),0.23,0)+IF(AND(V230&gt;=40,V230&lt;75,W230&gt;=75,W230&lt;120),0.17,0)+IF(AND(V230&gt;=40,V230&lt;75,W230&gt;=120),0.12,0)+IF(AND(V230&gt;=75,V230&lt;175,W230&lt;35),0.3,0)+IF(AND(V230&gt;=75,V230&lt;=175,W230&gt;=35,W230&lt;65),0.23,0)+IF(AND(V230&gt;=75,V230&lt;=175,W230&gt;=65,W230&lt;110),0.17,0)+IF(AND(V230&gt;=75,V230&lt;=175,W230&gt;=110),0.12,0)+IF(AND(V230&gt;175,W230&lt;25),0.3,0)+IF(AND(V230&gt;175,W230&gt;=25,W230&lt;55),0.23,0)+IF(AND(V230&gt;175,W230&gt;=55,W230&lt;95),0.17,0)+IF(AND(V230&gt;175,W230&gt;=95),0.12,0),
IF(AF230="DoEVni",IF(AND(V230&lt;20,W230&lt;55),0.3,0)+IF(AND(V230&lt;20,W230&gt;=55,W230&lt;105),0.23,0)+IF(AND(V230&lt;20,W230&gt;=105),0.17,0)+IF(AND(V230&gt;=20,V230&lt;40,W230&lt;45),0.3,0)+IF(AND(V230&gt;=20,V230&lt;40,W230&gt;=45,W230&lt;95),0.23,0)+IF(AND(V230&gt;=20,V230&lt;40,W230&gt;=95,W230&lt;=200),0.17,0)+IF(AND(V230&gt;=20,V230&lt;40,W230&gt;=200),0.12,0)+IF(AND(V230&gt;=40,V230&lt;75,W230&lt;35),0.3,0)+IF(AND(V230&gt;=40,V230&lt;75,W230&gt;=35,W230&lt;75),0.23,0)+IF(AND(V230&gt;=40,V230&lt;75,W230&gt;=75,W230&lt;120),0.17,0)+IF(AND(V230&gt;=40,V230&lt;75,W230&gt;=120),0.12,0)+IF(AND(V230&gt;=75,V230&lt;175,W230&lt;35),0.3,0)+IF(AND(V230&gt;=75,V230&lt;=175,W230&gt;=35,W230&lt;65),0.23,0)+IF(AND(V230&gt;=75,V230&lt;=175,W230&gt;=65,W230&lt;110),0.17,0)+IF(AND(V230&gt;=75,V230&lt;=175,W230&gt;=110),0.12,0)+IF(AND(V230&gt;175,W230&lt;25),0.3,0)+IF(AND(V230&gt;175,W230&gt;=25,W230&lt;55),0.23,0)+IF(AND(V230&gt;175,W230&gt;=55,W230&lt;95),0.17,0)+IF(AND(V230&gt;175,W230&gt;=95),0.12,0),
IF(AF230="DoEVLo",IF(AND(V230&lt;20,W230&lt;55),0.25,0)+IF(AND(V230&lt;20,W230&gt;=55,W230&lt;105),0.2,0)+IF(AND(V230&lt;20,W230&gt;=105),0.15,0)+IF(AND(V230&gt;=20,V230&lt;40,W230&lt;45),0.25,0)+IF(AND(V230&gt;=20,V230&lt;40,W230&gt;=45,W230&lt;95),0.2,0)+IF(AND(V230&gt;=20,V230&lt;40,W230&gt;=95),0.15,0)+IF(AND(V230&gt;=40,V230&lt;75,W230&lt;35),0.25,0)+IF(AND(V230&gt;=40,V230&lt;75,W230&gt;=35,W230&lt;75),0.2,0)+IF(AND(V230&gt;=40,V230&lt;75,W230&gt;=75,W230&lt;120),0.15,0)+IF(AND(V230&gt;=40,V230&lt;75,W230&gt;=120),0.1,0)+IF(AND(V230&gt;=75,V230&lt;175,W230&lt;35),0.25,0)+IF(AND(V230&gt;=75,V230&lt;=175,W230&gt;=35,W230&lt;65),0.2,0)+IF(AND(V230&gt;=75,V230&lt;=175,W230&gt;=65,W230&lt;110),0.15,0)+IF(AND(V230&gt;=75,V230&lt;=175,W230&gt;=110),0.1,0)+IF(AND(V230&gt;175,W230&lt;25),0.25,0)+IF(AND(V230&gt;175,W230&gt;=25,W230&lt;55),0.2,0)+IF(AND(V230&gt;175,W230&gt;=55,W230&lt;95),0.15,0)+IF(AND(V230&gt;175,W230&gt;=95),0.1,0))))))))))))))))</f>
        <v>0.2</v>
      </c>
      <c r="Y230" s="30">
        <f>IF(AG230="None",0,IF(AG230="Fix5",0.05,IF(AG230="Fix3.75",0.0375,IF(AG230="Fix10",0.1,IF(AG230="Fix3",0.03,0)))))</f>
        <v>0</v>
      </c>
      <c r="Z230" s="35">
        <f>T230-AA230-AB230</f>
        <v>466.13200000000001</v>
      </c>
      <c r="AA230" s="29">
        <f>IF(AD230="EUR",((T230-R230)*X230)*U230+(R230*X230),(T230*X230))</f>
        <v>121.86800000000001</v>
      </c>
      <c r="AB230" s="36">
        <f>IF(AD230="EUR",((T230-R230)*Y230)*U230+(R230*Y230),(T230*Y230))</f>
        <v>0</v>
      </c>
      <c r="AC230" s="37" t="b">
        <v>1</v>
      </c>
      <c r="AD230" s="61" t="s">
        <v>50</v>
      </c>
      <c r="AE230" s="61"/>
      <c r="AF230" s="37" t="str">
        <f t="array" ref="AF230">INDEX('Deal Info'!D:D, MATCH(A230,'Deal Info'!A:A, 0))</f>
        <v>DoEVLo</v>
      </c>
      <c r="AG230" s="38" t="str">
        <f t="array" ref="AG230">INDEX('Deal Info'!G:G, MATCH(A230,'Deal Info'!A:A, 0))</f>
        <v>None</v>
      </c>
    </row>
    <row r="231" spans="1:33" ht="28.5" x14ac:dyDescent="0.2">
      <c r="A231" s="18" t="s">
        <v>98</v>
      </c>
      <c r="B231" s="45" t="s">
        <v>99</v>
      </c>
      <c r="C231" s="46">
        <v>44698</v>
      </c>
      <c r="D231" s="46">
        <v>44712</v>
      </c>
      <c r="E231" s="47">
        <v>44682</v>
      </c>
      <c r="F231" s="133" t="s">
        <v>49</v>
      </c>
      <c r="G231" s="54" t="s">
        <v>61</v>
      </c>
      <c r="H231" s="49" t="s">
        <v>112</v>
      </c>
      <c r="I231" s="49" t="s">
        <v>37</v>
      </c>
      <c r="J231" s="50">
        <v>50</v>
      </c>
      <c r="K231" s="51">
        <v>850</v>
      </c>
      <c r="L231" s="52">
        <v>-1735</v>
      </c>
      <c r="M231" s="53">
        <v>766</v>
      </c>
      <c r="N231" s="28">
        <f>K231*J231</f>
        <v>42500</v>
      </c>
      <c r="O231" s="54">
        <v>43413</v>
      </c>
      <c r="P231" s="29">
        <v>51.074117649999998</v>
      </c>
      <c r="Q231" s="55"/>
      <c r="R231" s="31">
        <f>M231+Q231</f>
        <v>766</v>
      </c>
      <c r="S231" s="56">
        <v>39</v>
      </c>
      <c r="T231" s="32">
        <f>R231+S231+IF(F231="Without EV deal",L231,0)</f>
        <v>805</v>
      </c>
      <c r="U231" s="57">
        <v>1.07</v>
      </c>
      <c r="V231" s="58"/>
      <c r="W231" s="58"/>
      <c r="X231" s="78">
        <v>0.25</v>
      </c>
      <c r="Y231" s="30">
        <f>IF(AG231="None",0,IF(AG231="Fix5",0.05, IF(AG231="Fix6.25",0.0625,IF(AG231="Fix3.75",0.0375,IF(AG231="Fix10",0.1,IF(AG231="Fix3",0.03,0))))))</f>
        <v>0</v>
      </c>
      <c r="Z231" s="35">
        <f>T231-AA231-AB231</f>
        <v>603.0675</v>
      </c>
      <c r="AA231" s="29">
        <f>IF(AD231="EUR",((T231-R231)*X231)*U231+(R231*X231),(T231*X231))</f>
        <v>201.9325</v>
      </c>
      <c r="AB231" s="36">
        <f>IF(AD231="EUR",((T231-R231)*Y231)*U231+(R231*Y231),(T231*Y231))</f>
        <v>0</v>
      </c>
      <c r="AC231" s="37" t="b">
        <v>1</v>
      </c>
      <c r="AD231" s="61" t="s">
        <v>50</v>
      </c>
      <c r="AE231" s="61"/>
      <c r="AF231" s="37" t="str">
        <f t="array" ref="AF231">INDEX('Deal Info'!D:D, MATCH(A231,'Deal Info'!A:A, 0))</f>
        <v>DoEVold</v>
      </c>
      <c r="AG231" s="38" t="str">
        <f t="array" ref="AG231">INDEX('Deal Info'!G:G, MATCH(A231,'Deal Info'!A:A, 0))</f>
        <v>None</v>
      </c>
    </row>
    <row r="232" spans="1:33" ht="14.25" hidden="1" x14ac:dyDescent="0.2">
      <c r="A232" s="18" t="str">
        <f t="array" ref="A232">IF(G232='Room Info'!$B$1, INDEX('Room Info'!$A$2:$A2446, MATCH(B232,'Room Info'!$B$2:$B2446, 0)),IF(G232='Room Info'!$C$1, INDEX('Room Info'!$A$2:$A2446, MATCH(B232,'Room Info'!$C$2:$C2446, 0)),IF(G232='Room Info'!$D$1, INDEX('Room Info'!$A$2:$A2446, MATCH(B232,'Room Info'!$D$2:$D2446, 0)),IF(G232='Room Info'!$E$1, INDEX('Room Info'!$A$2:$A2446, MATCH(B232,'Room Info'!$E$2:$E2446, 0)),IF(G232='Room Info'!$F$1, INDEX('Room Info'!$A$2:$A2446, MATCH(B232,'Room Info'!$F$2:$F2446, 0)),IF(G232='Room Info'!$H$1, INDEX('Room Info'!$A$2:$A2446, MATCH(B232,'Room Info'!$H$2:$H2446, 0)),IF(G232='Room Info'!$G$1, INDEX('Room Info'!$A$2:$A2446, MATCH(B232,'Room Info'!$G$2:$G2446, 0)))))))))</f>
        <v>Lo4io</v>
      </c>
      <c r="B232" s="45" t="s">
        <v>102</v>
      </c>
      <c r="C232" s="92">
        <v>44855</v>
      </c>
      <c r="D232" s="92">
        <v>44885</v>
      </c>
      <c r="E232" s="47">
        <v>44866</v>
      </c>
      <c r="F232" s="48" t="s">
        <v>34</v>
      </c>
      <c r="G232" s="45" t="s">
        <v>35</v>
      </c>
      <c r="H232" s="49" t="s">
        <v>46</v>
      </c>
      <c r="I232" s="49" t="s">
        <v>37</v>
      </c>
      <c r="J232" s="70">
        <v>25</v>
      </c>
      <c r="K232" s="71">
        <v>110</v>
      </c>
      <c r="L232" s="72">
        <v>575</v>
      </c>
      <c r="M232" s="76">
        <v>26</v>
      </c>
      <c r="N232" s="28">
        <f>K232*J232</f>
        <v>2750</v>
      </c>
      <c r="O232" s="45">
        <v>7648</v>
      </c>
      <c r="P232" s="29">
        <v>69.527272730000007</v>
      </c>
      <c r="Q232" s="55"/>
      <c r="R232" s="31">
        <f>M232+Q232</f>
        <v>26</v>
      </c>
      <c r="S232" s="73">
        <v>192</v>
      </c>
      <c r="T232" s="32">
        <f>R232+S232+IF(F232="Without EV deal",L232,0)</f>
        <v>218</v>
      </c>
      <c r="U232" s="57">
        <v>1</v>
      </c>
      <c r="V232" s="69">
        <v>25</v>
      </c>
      <c r="W232" s="69">
        <v>55.32</v>
      </c>
      <c r="X232" s="30">
        <f>IF(AF232="DoEV",IF(AND(V232&lt;20,W232&lt;55),0.3,0)+IF(AND(V232&lt;20,W232&gt;=55,W232&lt;105),0.23,0)+IF(AND(V232&lt;20,W232&gt;=105),0.17,0)+IF(AND(V232&gt;=20,V232&lt;40,W232&lt;45),0.3,0)+IF(AND(V232&gt;=20,V232&lt;40,W232&gt;=45,W232&lt;95),0.23,0)+IF(AND(V232&gt;=20,V232&lt;40,W232&gt;=95),0.17,0)+IF(AND(V232&gt;=40,V232&lt;75,W232&lt;35),0.3,0)+IF(AND(V232&gt;=40,V232&lt;75,W232&gt;=35,W232&lt;75),0.23,0)+IF(AND(V232&gt;=40,V232&lt;75,W232&gt;=75,W232&lt;120),0.17,0)+IF(AND(V232&gt;=40,V232&lt;75,W232&gt;=120),0.12,0)+IF(AND(V232&gt;=75,V232&lt;175,W232&lt;35),0.3,0)+IF(AND(V232&gt;=75,V232&lt;=175,W232&gt;=35,W232&lt;65),0.23,0)+IF(AND(V232&gt;=75,V232&lt;=175,W232&gt;=65,W232&lt;110),0.17,0)+IF(AND(V232&gt;=75,V232&lt;=175,W232&gt;=110),0.12,0)+IF(AND(V232&gt;175,W232&lt;25),0.3,0)+IF(AND(V232&gt;175,W232&gt;=25,W232&lt;55),0.23,0)+IF(AND(V232&gt;175,W232&gt;=55,W232&lt;95),0.17,0)+IF(AND(V232&gt;175,W232&gt;=95),0.12,0),
IF(AF232="Fix15",0.15,
IF(AF232="Fix11.25",0.1125,
IF(AF232="Fix10",0.1,
IF(AF232="Fix9",0.09,
IF(AF232="DoEV2017",IF(AND(W232&lt;74),0.2,0)+IF(AND(W232&gt;=74),0.17,0),
IF(AF232="SF",IF(AND(V232&lt;20,W232&lt;89),0.3,0)+IF(AND(V232&lt;20,W232&gt;=89),0.25,0)+IF(AND(V232&gt;=20,V232&lt;40,W232&lt;74),0.3,0)+IF(AND(V232&gt;=20,V232&lt;40,W232&gt;=75),0.22,0)+IF(AND(V232&gt;=40,V232&lt;75,W232&lt;75),0.26,0)+IF(AND(V232&gt;=40,V232&lt;75,W232&gt;=75),0.22,0)+IF(V232&gt;=75,0.22,0),
IF(AF232="DoEVold",IF(AND(V232&lt;40,W232&lt;35),0.35,0)+IF(AND(V232&lt;40,W232&gt;=35,W232&lt;75),0.25,0)+IF(AND(V232&lt;40,W232&gt;=75),0.17,0)+IF(AND(V232&gt;=40,V232&lt;75,W232&lt;25),0.35,0)+IF(AND(V232&gt;=40,V232&lt;75,W232&gt;=25,W232&lt;65),0.25,0)+IF(AND(V232&gt;=40,V232&lt;75,W232&gt;=65,W232&lt;100),0.17,0)+IF(AND(V232&gt;=40,V232&lt;75,W232&gt;=100),0.1,0)+IF(AND(V232&gt;=75,W232&lt;25),0.35,0)+IF(AND(V232&gt;=75,W232&gt;=25,W232&lt;60),0.25,0)+IF(AND(V232&gt;=75,W232&gt;=60,W232&lt;95),0.17,0)+IF(AND(V232&gt;=75,W232&gt;=95),0.1,0),
IF(AF232="DoEVold15",IF(AND(V232&lt;=40,W232&lt;35),0.35,0)+IF(AND(V232&lt;=40,W232&gt;=35,W232&lt;75),0.25,0)+IF(AND(V232&lt;=40,W232&gt;=75,W232&lt;120),0.17,0)+IF(AND(V232&lt;=40,W232&gt;=120),0.15,0)+IF(AND(V232&gt;40,V232&lt;75,W232&lt;25),0.35,0)+IF(AND(V232&gt;=40,V232&lt;75,W232&gt;=25,W232&lt;65),0.25,0)+IF(AND(V232&gt;=40,V232&lt;75,W232&gt;=65,W232&lt;100),0.17,0)+IF(AND(V232&gt;=40,V232&lt;75,W232&gt;=100),0.1,0)+IF(AND(V232&gt;=75,W232&lt;25),0.35,0)+IF(AND(V232&gt;=75,W232&gt;=25,W232&lt;60),0.25,0)+IF(AND(V232&gt;=75,W232&gt;=60,W232&lt;95),0.17,0)+IF(AND(V232&gt;=75,W232&gt;=95),0.1,0),
IF(AF232="DoEVba",IF(AND(V232&lt;20,W232&lt;105),0.2,0)+IF(AND(V232&lt;20,W232&gt;=105),0.15,0)+IF(AND(V232&gt;=20,V232&lt;40,W232&lt;95),0.2,0)+IF(AND(V232&gt;=20,V232&lt;40,W232&gt;=95,W232&lt;150),0.15,0)+IF(AND(V232&gt;=20,V232&lt;40,W232&gt;=150),0.12,0)+IF(AND(V232&gt;=40,V232&lt;75,W232&lt;75),0.2,0)+IF(AND(V232&gt;=40,V232&lt;75,W232&gt;=75,W232&lt;120),0.15,0)+IF(AND(V232&gt;=40,V232&lt;75,W232&gt;=120),0.12,0)+IF(AND(V232&gt;=75,V232&lt;175,W232&lt;65),0.2,0)+IF(AND(V232&gt;=75,V232&lt;175,W232&gt;=65,W232&lt;110),0.15,0)+IF(AND(V232&gt;=75,V232&lt;175,W232&gt;=110),0.12,0)+IF(AND(V232&gt;=175,W232&lt;55),0.2,0)+IF(AND(V232&gt;=175,W232&gt;=55,W232&lt;95),0.15,0)+IF(AND(V232&gt;=175,W232&gt;=95),0.12,0),
IF(AF232="DoEVku",IF(AND(V232&lt;20,W232&lt;55),0.23,0)+IF(AND(V232&lt;20,W232&gt;=55,W232&lt;105),0.2,0)+IF(AND(V232&lt;20,W232&gt;=105),0.17,0)+IF(AND(V232&gt;=20,V232&lt;40,W232&lt;45),0.23,0)+IF(AND(V232&gt;=20,V232&lt;40,W232&gt;=45,W232&lt;95),0.2,0)+IF(AND(V232&gt;=20,V232&lt;40,W232&gt;=95,W232&lt;=150),0.17,0)+IF(AND(V232&gt;=20,V232&lt;40,W232&gt;=150),0.12,0)+IF(AND(V232&gt;=40,V232&lt;75,W232&lt;35),0.23,0)+IF(AND(V232&gt;=40,V232&lt;75,W232&gt;=35,W232&lt;75),0.2,0)+IF(AND(V232&gt;=40,V232&lt;75,W232&gt;=75,W232&lt;120),0.17,0)+IF(AND(V232&gt;=40,V232&lt;75,W232&gt;=120),0.12,0)+IF(AND(V232&gt;=75,V232&lt;175,W232&lt;35),0.23,0)+IF(AND(V232&gt;=75,V232&lt;=175,W232&gt;=35,W232&lt;65),0.2,0)+IF(AND(V232&gt;=75,V232&lt;=175,W232&gt;=65,W232&lt;110),0.17,0)+IF(AND(V232&gt;=75,V232&lt;=175,W232&gt;=110),0.12,0)+IF(AND(V232&gt;175,W232&lt;25),0.23,0)+IF(AND(V232&gt;175,W232&gt;=25,W232&lt;55),0.2,0)+IF(AND(V232&gt;175,W232&gt;=55,W232&lt;95),0.17,0)+IF(AND(V232&gt;175,W232&gt;=95),0.12,0),
IF(AF232="DoEVs1",IF(AND(V232&lt;20,W232&lt;55),0.3,0)+IF(AND(V232&lt;20,W232&gt;=55,W232&lt;105),0.23,0)+IF(AND(V232&lt;20,W232&gt;=105),0.17,0)+IF(AND(V232&gt;=20,V232&lt;40,W232&lt;45),0.3,0)+IF(AND(V232&gt;=20,V232&lt;40,W232&gt;=45,W232&lt;95),0.23,0)+IF(AND(V232&gt;=20,V232&lt;40,W232&gt;=95,W232&lt;=150),0.17,0)+IF(AND(V232&gt;=20,V232&lt;40,W232&gt;=150),0.12,0)+IF(AND(V232&gt;=40,V232&lt;75,W232&lt;35),0.3,0)+IF(AND(V232&gt;=40,V232&lt;75,W232&gt;=35,W232&lt;75),0.23,0)+IF(AND(V232&gt;=40,V232&lt;75,W232&gt;=75,W232&lt;120),0.17,0)+IF(AND(V232&gt;=40,V232&lt;75,W232&gt;=120),0.12,0)+IF(AND(V232&gt;=75,V232&lt;175,W232&lt;35),0.3,0)+IF(AND(V232&gt;=75,V232&lt;=175,W232&gt;=35,W232&lt;65),0.23,0)+IF(AND(V232&gt;=75,V232&lt;=175,W232&gt;=65,W232&lt;110),0.17,0)+IF(AND(V232&gt;=75,V232&lt;=175,W232&gt;=110),0.12,0)+IF(AND(V232&gt;175,W232&lt;25),0.3,0)+IF(AND(V232&gt;175,W232&gt;=25,W232&lt;55),0.23,0)+IF(AND(V232&gt;175,W232&gt;=55,W232&lt;95),0.17,0)+IF(AND(V232&gt;175,W232&gt;=95),0.12,0),
IF(AF232="DoEVsu",IF(AND(V232&lt;20,W232&lt;55),0.3,0)+IF(AND(V232&lt;20,W232&gt;=55,W232&lt;105),0.23,0)+IF(AND(V232&lt;20,W232&gt;=105),0.17,0)+IF(AND(V232&gt;=20,V232&lt;40,W232&lt;45),0.3,0)+IF(AND(V232&gt;=20,V232&lt;40,W232&gt;=45,W232&lt;95),0.23,0)+IF(AND(V232&gt;=20,V232&lt;40,W232&gt;=95,W232&lt;=250),0.17,0)+IF(AND(V232&gt;=20,V232&lt;40,W232&gt;=250),0.12,0)+IF(AND(V232&gt;=40,V232&lt;75,W232&lt;35),0.3,0)+IF(AND(V232&gt;=40,V232&lt;75,W232&gt;=35,W232&lt;75),0.23,0)+IF(AND(V232&gt;=40,V232&lt;75,W232&gt;=75,W232&lt;120),0.17,0)+IF(AND(V232&gt;=40,V232&lt;75,W232&gt;=120),0.12,0)+IF(AND(V232&gt;=75,V232&lt;175,W232&lt;35),0.3,0)+IF(AND(V232&gt;=75,V232&lt;=175,W232&gt;=35,W232&lt;65),0.23,0)+IF(AND(V232&gt;=75,V232&lt;=175,W232&gt;=65,W232&lt;110),0.17,0)+IF(AND(V232&gt;=75,V232&lt;=175,W232&gt;=110),0.12,0)+IF(AND(V232&gt;175,W232&lt;25),0.3,0)+IF(AND(V232&gt;175,W232&gt;=25,W232&lt;55),0.23,0)+IF(AND(V232&gt;175,W232&gt;=55,W232&lt;95),0.17,0)+IF(AND(V232&gt;175,W232&gt;=95),0.12,0),
IF(AF232="DoEVni",IF(AND(V232&lt;20,W232&lt;55),0.3,0)+IF(AND(V232&lt;20,W232&gt;=55,W232&lt;105),0.23,0)+IF(AND(V232&lt;20,W232&gt;=105),0.17,0)+IF(AND(V232&gt;=20,V232&lt;40,W232&lt;45),0.3,0)+IF(AND(V232&gt;=20,V232&lt;40,W232&gt;=45,W232&lt;95),0.23,0)+IF(AND(V232&gt;=20,V232&lt;40,W232&gt;=95,W232&lt;=200),0.17,0)+IF(AND(V232&gt;=20,V232&lt;40,W232&gt;=200),0.12,0)+IF(AND(V232&gt;=40,V232&lt;75,W232&lt;35),0.3,0)+IF(AND(V232&gt;=40,V232&lt;75,W232&gt;=35,W232&lt;75),0.23,0)+IF(AND(V232&gt;=40,V232&lt;75,W232&gt;=75,W232&lt;120),0.17,0)+IF(AND(V232&gt;=40,V232&lt;75,W232&gt;=120),0.12,0)+IF(AND(V232&gt;=75,V232&lt;175,W232&lt;35),0.3,0)+IF(AND(V232&gt;=75,V232&lt;=175,W232&gt;=35,W232&lt;65),0.23,0)+IF(AND(V232&gt;=75,V232&lt;=175,W232&gt;=65,W232&lt;110),0.17,0)+IF(AND(V232&gt;=75,V232&lt;=175,W232&gt;=110),0.12,0)+IF(AND(V232&gt;175,W232&lt;25),0.3,0)+IF(AND(V232&gt;175,W232&gt;=25,W232&lt;55),0.23,0)+IF(AND(V232&gt;175,W232&gt;=55,W232&lt;95),0.17,0)+IF(AND(V232&gt;175,W232&gt;=95),0.12,0),
IF(AF232="DoEVLo",IF(AND(V232&lt;20,W232&lt;55),0.25,0)+IF(AND(V232&lt;20,W232&gt;=55,W232&lt;105),0.2,0)+IF(AND(V232&lt;20,W232&gt;=105),0.15,0)+IF(AND(V232&gt;=20,V232&lt;40,W232&lt;45),0.25,0)+IF(AND(V232&gt;=20,V232&lt;40,W232&gt;=45,W232&lt;95),0.2,0)+IF(AND(V232&gt;=20,V232&lt;40,W232&gt;=95),0.15,0)+IF(AND(V232&gt;=40,V232&lt;75,W232&lt;35),0.25,0)+IF(AND(V232&gt;=40,V232&lt;75,W232&gt;=35,W232&lt;75),0.2,0)+IF(AND(V232&gt;=40,V232&lt;75,W232&gt;=75,W232&lt;120),0.15,0)+IF(AND(V232&gt;=40,V232&lt;75,W232&gt;=120),0.1,0)+IF(AND(V232&gt;=75,V232&lt;175,W232&lt;35),0.25,0)+IF(AND(V232&gt;=75,V232&lt;=175,W232&gt;=35,W232&lt;65),0.2,0)+IF(AND(V232&gt;=75,V232&lt;=175,W232&gt;=65,W232&lt;110),0.15,0)+IF(AND(V232&gt;=75,V232&lt;=175,W232&gt;=110),0.1,0)+IF(AND(V232&gt;175,W232&lt;25),0.25,0)+IF(AND(V232&gt;175,W232&gt;=25,W232&lt;55),0.2,0)+IF(AND(V232&gt;175,W232&gt;=55,W232&lt;95),0.15,0)+IF(AND(V232&gt;175,W232&gt;=95),0.1,0))))))))))))))))</f>
        <v>0.2</v>
      </c>
      <c r="Y232" s="30">
        <f>IF(AG232="None",0,IF(AG232="Fix5",0.05,IF(AG232="Fix3.75",0.0375,IF(AG232="Fix10",0.1,IF(AG232="Fix3",0.03,0)))))</f>
        <v>0</v>
      </c>
      <c r="Z232" s="35">
        <f>T232-AA232-AB232</f>
        <v>174.4</v>
      </c>
      <c r="AA232" s="29">
        <f>IF(AD232="EUR",((T232-R232)*X232)*U232+(R232*X232),(T232*X232))</f>
        <v>43.6</v>
      </c>
      <c r="AB232" s="36">
        <f>IF(AD232="EUR",((T232-R232)*Y232)*U232+(R232*Y232),(T232*Y232))</f>
        <v>0</v>
      </c>
      <c r="AC232" s="37" t="b">
        <v>1</v>
      </c>
      <c r="AD232" s="37" t="s">
        <v>38</v>
      </c>
      <c r="AE232" s="37" t="s">
        <v>38</v>
      </c>
      <c r="AF232" s="37" t="str">
        <f t="array" ref="AF232">INDEX('Deal Info'!D:D, MATCH(A232,'Deal Info'!A:A, 0))</f>
        <v>DoEVLo</v>
      </c>
      <c r="AG232" s="38" t="str">
        <f t="array" ref="AG232">INDEX('Deal Info'!G:G, MATCH(A232,'Deal Info'!A:A, 0))</f>
        <v>None</v>
      </c>
    </row>
    <row r="233" spans="1:33" ht="14.25" hidden="1" x14ac:dyDescent="0.2">
      <c r="A233" s="18" t="str">
        <f t="array" ref="A233">IF(G233='Room Info'!$B$1, INDEX('Room Info'!$A$2:$A2446, MATCH(B233,'Room Info'!$B$2:$B2446, 0)),IF(G233='Room Info'!$C$1, INDEX('Room Info'!$A$2:$A2446, MATCH(B233,'Room Info'!$C$2:$C2446, 0)),IF(G233='Room Info'!$D$1, INDEX('Room Info'!$A$2:$A2446, MATCH(B233,'Room Info'!$D$2:$D2446, 0)),IF(G233='Room Info'!$E$1, INDEX('Room Info'!$A$2:$A2446, MATCH(B233,'Room Info'!$E$2:$E2446, 0)),IF(G233='Room Info'!$F$1, INDEX('Room Info'!$A$2:$A2446, MATCH(B233,'Room Info'!$F$2:$F2446, 0)),IF(G233='Room Info'!$H$1, INDEX('Room Info'!$A$2:$A2446, MATCH(B233,'Room Info'!$H$2:$H2446, 0)),IF(G233='Room Info'!$G$1, INDEX('Room Info'!$A$2:$A2446, MATCH(B233,'Room Info'!$G$2:$G2446, 0)))))))))</f>
        <v>Lo4io</v>
      </c>
      <c r="B233" s="45" t="s">
        <v>102</v>
      </c>
      <c r="C233" s="92">
        <v>44855</v>
      </c>
      <c r="D233" s="92">
        <v>44885</v>
      </c>
      <c r="E233" s="47">
        <v>44866</v>
      </c>
      <c r="F233" s="48" t="s">
        <v>41</v>
      </c>
      <c r="G233" s="45" t="s">
        <v>35</v>
      </c>
      <c r="H233" s="49" t="s">
        <v>87</v>
      </c>
      <c r="I233" s="49" t="s">
        <v>44</v>
      </c>
      <c r="J233" s="70">
        <v>25</v>
      </c>
      <c r="K233" s="71">
        <v>360</v>
      </c>
      <c r="L233" s="72">
        <v>675</v>
      </c>
      <c r="M233" s="76">
        <v>85</v>
      </c>
      <c r="N233" s="28">
        <f>K233*J233</f>
        <v>9000</v>
      </c>
      <c r="O233" s="45">
        <v>9360</v>
      </c>
      <c r="P233" s="29">
        <v>26</v>
      </c>
      <c r="Q233" s="55"/>
      <c r="R233" s="31">
        <f>M233+Q233</f>
        <v>85</v>
      </c>
      <c r="S233" s="73"/>
      <c r="T233" s="32">
        <f>R233+S233+IF(F233="Without EV deal",L233,0)</f>
        <v>760</v>
      </c>
      <c r="U233" s="57">
        <v>1</v>
      </c>
      <c r="V233" s="69">
        <v>25</v>
      </c>
      <c r="W233" s="69">
        <v>55.32</v>
      </c>
      <c r="X233" s="30">
        <f>IF(AF233="DoEV",IF(AND(V233&lt;20,W233&lt;55),0.3,0)+IF(AND(V233&lt;20,W233&gt;=55,W233&lt;105),0.23,0)+IF(AND(V233&lt;20,W233&gt;=105),0.17,0)+IF(AND(V233&gt;=20,V233&lt;40,W233&lt;45),0.3,0)+IF(AND(V233&gt;=20,V233&lt;40,W233&gt;=45,W233&lt;95),0.23,0)+IF(AND(V233&gt;=20,V233&lt;40,W233&gt;=95),0.17,0)+IF(AND(V233&gt;=40,V233&lt;75,W233&lt;35),0.3,0)+IF(AND(V233&gt;=40,V233&lt;75,W233&gt;=35,W233&lt;75),0.23,0)+IF(AND(V233&gt;=40,V233&lt;75,W233&gt;=75,W233&lt;120),0.17,0)+IF(AND(V233&gt;=40,V233&lt;75,W233&gt;=120),0.12,0)+IF(AND(V233&gt;=75,V233&lt;175,W233&lt;35),0.3,0)+IF(AND(V233&gt;=75,V233&lt;=175,W233&gt;=35,W233&lt;65),0.23,0)+IF(AND(V233&gt;=75,V233&lt;=175,W233&gt;=65,W233&lt;110),0.17,0)+IF(AND(V233&gt;=75,V233&lt;=175,W233&gt;=110),0.12,0)+IF(AND(V233&gt;175,W233&lt;25),0.3,0)+IF(AND(V233&gt;175,W233&gt;=25,W233&lt;55),0.23,0)+IF(AND(V233&gt;175,W233&gt;=55,W233&lt;95),0.17,0)+IF(AND(V233&gt;175,W233&gt;=95),0.12,0),
IF(AF233="Fix15",0.15,
IF(AF233="Fix11.25",0.1125,
IF(AF233="Fix10",0.1,
IF(AF233="Fix9",0.09,
IF(AF233="DoEV2017",IF(AND(W233&lt;74),0.2,0)+IF(AND(W233&gt;=74),0.17,0),
IF(AF233="SF",IF(AND(V233&lt;20,W233&lt;89),0.3,0)+IF(AND(V233&lt;20,W233&gt;=89),0.25,0)+IF(AND(V233&gt;=20,V233&lt;40,W233&lt;74),0.3,0)+IF(AND(V233&gt;=20,V233&lt;40,W233&gt;=75),0.22,0)+IF(AND(V233&gt;=40,V233&lt;75,W233&lt;75),0.26,0)+IF(AND(V233&gt;=40,V233&lt;75,W233&gt;=75),0.22,0)+IF(V233&gt;=75,0.22,0),
IF(AF233="DoEVold",IF(AND(V233&lt;40,W233&lt;35),0.35,0)+IF(AND(V233&lt;40,W233&gt;=35,W233&lt;75),0.25,0)+IF(AND(V233&lt;40,W233&gt;=75),0.17,0)+IF(AND(V233&gt;=40,V233&lt;75,W233&lt;25),0.35,0)+IF(AND(V233&gt;=40,V233&lt;75,W233&gt;=25,W233&lt;65),0.25,0)+IF(AND(V233&gt;=40,V233&lt;75,W233&gt;=65,W233&lt;100),0.17,0)+IF(AND(V233&gt;=40,V233&lt;75,W233&gt;=100),0.1,0)+IF(AND(V233&gt;=75,W233&lt;25),0.35,0)+IF(AND(V233&gt;=75,W233&gt;=25,W233&lt;60),0.25,0)+IF(AND(V233&gt;=75,W233&gt;=60,W233&lt;95),0.17,0)+IF(AND(V233&gt;=75,W233&gt;=95),0.1,0),
IF(AF233="DoEVold15",IF(AND(V233&lt;=40,W233&lt;35),0.35,0)+IF(AND(V233&lt;=40,W233&gt;=35,W233&lt;75),0.25,0)+IF(AND(V233&lt;=40,W233&gt;=75,W233&lt;120),0.17,0)+IF(AND(V233&lt;=40,W233&gt;=120),0.15,0)+IF(AND(V233&gt;40,V233&lt;75,W233&lt;25),0.35,0)+IF(AND(V233&gt;=40,V233&lt;75,W233&gt;=25,W233&lt;65),0.25,0)+IF(AND(V233&gt;=40,V233&lt;75,W233&gt;=65,W233&lt;100),0.17,0)+IF(AND(V233&gt;=40,V233&lt;75,W233&gt;=100),0.1,0)+IF(AND(V233&gt;=75,W233&lt;25),0.35,0)+IF(AND(V233&gt;=75,W233&gt;=25,W233&lt;60),0.25,0)+IF(AND(V233&gt;=75,W233&gt;=60,W233&lt;95),0.17,0)+IF(AND(V233&gt;=75,W233&gt;=95),0.1,0),
IF(AF233="DoEVba",IF(AND(V233&lt;20,W233&lt;105),0.2,0)+IF(AND(V233&lt;20,W233&gt;=105),0.15,0)+IF(AND(V233&gt;=20,V233&lt;40,W233&lt;95),0.2,0)+IF(AND(V233&gt;=20,V233&lt;40,W233&gt;=95,W233&lt;150),0.15,0)+IF(AND(V233&gt;=20,V233&lt;40,W233&gt;=150),0.12,0)+IF(AND(V233&gt;=40,V233&lt;75,W233&lt;75),0.2,0)+IF(AND(V233&gt;=40,V233&lt;75,W233&gt;=75,W233&lt;120),0.15,0)+IF(AND(V233&gt;=40,V233&lt;75,W233&gt;=120),0.12,0)+IF(AND(V233&gt;=75,V233&lt;175,W233&lt;65),0.2,0)+IF(AND(V233&gt;=75,V233&lt;175,W233&gt;=65,W233&lt;110),0.15,0)+IF(AND(V233&gt;=75,V233&lt;175,W233&gt;=110),0.12,0)+IF(AND(V233&gt;=175,W233&lt;55),0.2,0)+IF(AND(V233&gt;=175,W233&gt;=55,W233&lt;95),0.15,0)+IF(AND(V233&gt;=175,W233&gt;=95),0.12,0),
IF(AF233="DoEVku",IF(AND(V233&lt;20,W233&lt;55),0.23,0)+IF(AND(V233&lt;20,W233&gt;=55,W233&lt;105),0.2,0)+IF(AND(V233&lt;20,W233&gt;=105),0.17,0)+IF(AND(V233&gt;=20,V233&lt;40,W233&lt;45),0.23,0)+IF(AND(V233&gt;=20,V233&lt;40,W233&gt;=45,W233&lt;95),0.2,0)+IF(AND(V233&gt;=20,V233&lt;40,W233&gt;=95,W233&lt;=150),0.17,0)+IF(AND(V233&gt;=20,V233&lt;40,W233&gt;=150),0.12,0)+IF(AND(V233&gt;=40,V233&lt;75,W233&lt;35),0.23,0)+IF(AND(V233&gt;=40,V233&lt;75,W233&gt;=35,W233&lt;75),0.2,0)+IF(AND(V233&gt;=40,V233&lt;75,W233&gt;=75,W233&lt;120),0.17,0)+IF(AND(V233&gt;=40,V233&lt;75,W233&gt;=120),0.12,0)+IF(AND(V233&gt;=75,V233&lt;175,W233&lt;35),0.23,0)+IF(AND(V233&gt;=75,V233&lt;=175,W233&gt;=35,W233&lt;65),0.2,0)+IF(AND(V233&gt;=75,V233&lt;=175,W233&gt;=65,W233&lt;110),0.17,0)+IF(AND(V233&gt;=75,V233&lt;=175,W233&gt;=110),0.12,0)+IF(AND(V233&gt;175,W233&lt;25),0.23,0)+IF(AND(V233&gt;175,W233&gt;=25,W233&lt;55),0.2,0)+IF(AND(V233&gt;175,W233&gt;=55,W233&lt;95),0.17,0)+IF(AND(V233&gt;175,W233&gt;=95),0.12,0),
IF(AF233="DoEVs1",IF(AND(V233&lt;20,W233&lt;55),0.3,0)+IF(AND(V233&lt;20,W233&gt;=55,W233&lt;105),0.23,0)+IF(AND(V233&lt;20,W233&gt;=105),0.17,0)+IF(AND(V233&gt;=20,V233&lt;40,W233&lt;45),0.3,0)+IF(AND(V233&gt;=20,V233&lt;40,W233&gt;=45,W233&lt;95),0.23,0)+IF(AND(V233&gt;=20,V233&lt;40,W233&gt;=95,W233&lt;=150),0.17,0)+IF(AND(V233&gt;=20,V233&lt;40,W233&gt;=150),0.12,0)+IF(AND(V233&gt;=40,V233&lt;75,W233&lt;35),0.3,0)+IF(AND(V233&gt;=40,V233&lt;75,W233&gt;=35,W233&lt;75),0.23,0)+IF(AND(V233&gt;=40,V233&lt;75,W233&gt;=75,W233&lt;120),0.17,0)+IF(AND(V233&gt;=40,V233&lt;75,W233&gt;=120),0.12,0)+IF(AND(V233&gt;=75,V233&lt;175,W233&lt;35),0.3,0)+IF(AND(V233&gt;=75,V233&lt;=175,W233&gt;=35,W233&lt;65),0.23,0)+IF(AND(V233&gt;=75,V233&lt;=175,W233&gt;=65,W233&lt;110),0.17,0)+IF(AND(V233&gt;=75,V233&lt;=175,W233&gt;=110),0.12,0)+IF(AND(V233&gt;175,W233&lt;25),0.3,0)+IF(AND(V233&gt;175,W233&gt;=25,W233&lt;55),0.23,0)+IF(AND(V233&gt;175,W233&gt;=55,W233&lt;95),0.17,0)+IF(AND(V233&gt;175,W233&gt;=95),0.12,0),
IF(AF233="DoEVsu",IF(AND(V233&lt;20,W233&lt;55),0.3,0)+IF(AND(V233&lt;20,W233&gt;=55,W233&lt;105),0.23,0)+IF(AND(V233&lt;20,W233&gt;=105),0.17,0)+IF(AND(V233&gt;=20,V233&lt;40,W233&lt;45),0.3,0)+IF(AND(V233&gt;=20,V233&lt;40,W233&gt;=45,W233&lt;95),0.23,0)+IF(AND(V233&gt;=20,V233&lt;40,W233&gt;=95,W233&lt;=250),0.17,0)+IF(AND(V233&gt;=20,V233&lt;40,W233&gt;=250),0.12,0)+IF(AND(V233&gt;=40,V233&lt;75,W233&lt;35),0.3,0)+IF(AND(V233&gt;=40,V233&lt;75,W233&gt;=35,W233&lt;75),0.23,0)+IF(AND(V233&gt;=40,V233&lt;75,W233&gt;=75,W233&lt;120),0.17,0)+IF(AND(V233&gt;=40,V233&lt;75,W233&gt;=120),0.12,0)+IF(AND(V233&gt;=75,V233&lt;175,W233&lt;35),0.3,0)+IF(AND(V233&gt;=75,V233&lt;=175,W233&gt;=35,W233&lt;65),0.23,0)+IF(AND(V233&gt;=75,V233&lt;=175,W233&gt;=65,W233&lt;110),0.17,0)+IF(AND(V233&gt;=75,V233&lt;=175,W233&gt;=110),0.12,0)+IF(AND(V233&gt;175,W233&lt;25),0.3,0)+IF(AND(V233&gt;175,W233&gt;=25,W233&lt;55),0.23,0)+IF(AND(V233&gt;175,W233&gt;=55,W233&lt;95),0.17,0)+IF(AND(V233&gt;175,W233&gt;=95),0.12,0),
IF(AF233="DoEVni",IF(AND(V233&lt;20,W233&lt;55),0.3,0)+IF(AND(V233&lt;20,W233&gt;=55,W233&lt;105),0.23,0)+IF(AND(V233&lt;20,W233&gt;=105),0.17,0)+IF(AND(V233&gt;=20,V233&lt;40,W233&lt;45),0.3,0)+IF(AND(V233&gt;=20,V233&lt;40,W233&gt;=45,W233&lt;95),0.23,0)+IF(AND(V233&gt;=20,V233&lt;40,W233&gt;=95,W233&lt;=200),0.17,0)+IF(AND(V233&gt;=20,V233&lt;40,W233&gt;=200),0.12,0)+IF(AND(V233&gt;=40,V233&lt;75,W233&lt;35),0.3,0)+IF(AND(V233&gt;=40,V233&lt;75,W233&gt;=35,W233&lt;75),0.23,0)+IF(AND(V233&gt;=40,V233&lt;75,W233&gt;=75,W233&lt;120),0.17,0)+IF(AND(V233&gt;=40,V233&lt;75,W233&gt;=120),0.12,0)+IF(AND(V233&gt;=75,V233&lt;175,W233&lt;35),0.3,0)+IF(AND(V233&gt;=75,V233&lt;=175,W233&gt;=35,W233&lt;65),0.23,0)+IF(AND(V233&gt;=75,V233&lt;=175,W233&gt;=65,W233&lt;110),0.17,0)+IF(AND(V233&gt;=75,V233&lt;=175,W233&gt;=110),0.12,0)+IF(AND(V233&gt;175,W233&lt;25),0.3,0)+IF(AND(V233&gt;175,W233&gt;=25,W233&lt;55),0.23,0)+IF(AND(V233&gt;175,W233&gt;=55,W233&lt;95),0.17,0)+IF(AND(V233&gt;175,W233&gt;=95),0.12,0),
IF(AF233="DoEVLo",IF(AND(V233&lt;20,W233&lt;55),0.25,0)+IF(AND(V233&lt;20,W233&gt;=55,W233&lt;105),0.2,0)+IF(AND(V233&lt;20,W233&gt;=105),0.15,0)+IF(AND(V233&gt;=20,V233&lt;40,W233&lt;45),0.25,0)+IF(AND(V233&gt;=20,V233&lt;40,W233&gt;=45,W233&lt;95),0.2,0)+IF(AND(V233&gt;=20,V233&lt;40,W233&gt;=95),0.15,0)+IF(AND(V233&gt;=40,V233&lt;75,W233&lt;35),0.25,0)+IF(AND(V233&gt;=40,V233&lt;75,W233&gt;=35,W233&lt;75),0.2,0)+IF(AND(V233&gt;=40,V233&lt;75,W233&gt;=75,W233&lt;120),0.15,0)+IF(AND(V233&gt;=40,V233&lt;75,W233&gt;=120),0.1,0)+IF(AND(V233&gt;=75,V233&lt;175,W233&lt;35),0.25,0)+IF(AND(V233&gt;=75,V233&lt;=175,W233&gt;=35,W233&lt;65),0.2,0)+IF(AND(V233&gt;=75,V233&lt;=175,W233&gt;=65,W233&lt;110),0.15,0)+IF(AND(V233&gt;=75,V233&lt;=175,W233&gt;=110),0.1,0)+IF(AND(V233&gt;175,W233&lt;25),0.25,0)+IF(AND(V233&gt;175,W233&gt;=25,W233&lt;55),0.2,0)+IF(AND(V233&gt;175,W233&gt;=55,W233&lt;95),0.15,0)+IF(AND(V233&gt;175,W233&gt;=95),0.1,0))))))))))))))))</f>
        <v>0.2</v>
      </c>
      <c r="Y233" s="30">
        <f>IF(AG233="None",0,IF(AG233="Fix5",0.05,IF(AG233="Fix3.75",0.0375,IF(AG233="Fix10",0.1,IF(AG233="Fix3",0.03,0)))))</f>
        <v>0</v>
      </c>
      <c r="Z233" s="35">
        <f>T233-AA233-AB233</f>
        <v>608</v>
      </c>
      <c r="AA233" s="29">
        <f>IF(AD233="EUR",((T233-R233)*X233)*U233+(R233*X233),(T233*X233))</f>
        <v>152</v>
      </c>
      <c r="AB233" s="36">
        <f>IF(AD233="EUR",((T233-R233)*Y233)*U233+(R233*Y233),(T233*Y233))</f>
        <v>0</v>
      </c>
      <c r="AC233" s="37" t="b">
        <v>1</v>
      </c>
      <c r="AD233" s="37" t="s">
        <v>38</v>
      </c>
      <c r="AE233" s="37" t="s">
        <v>38</v>
      </c>
      <c r="AF233" s="37" t="str">
        <f t="array" ref="AF233">INDEX('Deal Info'!D:D, MATCH(A233,'Deal Info'!A:A, 0))</f>
        <v>DoEVLo</v>
      </c>
      <c r="AG233" s="38" t="str">
        <f t="array" ref="AG233">INDEX('Deal Info'!G:G, MATCH(A233,'Deal Info'!A:A, 0))</f>
        <v>None</v>
      </c>
    </row>
    <row r="234" spans="1:33" ht="14.25" x14ac:dyDescent="0.2">
      <c r="A234" s="18" t="s">
        <v>98</v>
      </c>
      <c r="B234" s="45" t="s">
        <v>99</v>
      </c>
      <c r="C234" s="136">
        <v>44682</v>
      </c>
      <c r="D234" s="136">
        <v>44697</v>
      </c>
      <c r="E234" s="47">
        <v>44682</v>
      </c>
      <c r="F234" s="48" t="s">
        <v>41</v>
      </c>
      <c r="G234" s="129" t="s">
        <v>61</v>
      </c>
      <c r="H234" s="49" t="s">
        <v>134</v>
      </c>
      <c r="I234" s="49" t="s">
        <v>37</v>
      </c>
      <c r="J234" s="74">
        <v>250</v>
      </c>
      <c r="K234" s="134">
        <v>3</v>
      </c>
      <c r="L234" s="135">
        <v>250</v>
      </c>
      <c r="M234" s="79">
        <v>14</v>
      </c>
      <c r="N234" s="28">
        <f>K234*J234</f>
        <v>750</v>
      </c>
      <c r="O234" s="129">
        <v>-495</v>
      </c>
      <c r="P234" s="29">
        <v>-165</v>
      </c>
      <c r="Q234" s="55"/>
      <c r="R234" s="31">
        <f>M234+Q234</f>
        <v>14</v>
      </c>
      <c r="S234" s="97"/>
      <c r="T234" s="32">
        <f>R234+S234+IF(F234="Without EV deal",L234,0)</f>
        <v>264</v>
      </c>
      <c r="U234" s="57">
        <v>1.07</v>
      </c>
      <c r="V234" s="69"/>
      <c r="W234" s="69"/>
      <c r="X234" s="30">
        <v>0.25</v>
      </c>
      <c r="Y234" s="30">
        <f>IF(AG234="None",0,IF(AG234="Fix5",0.05, IF(AG234="Fix6.25",0.0625,IF(AG234="Fix3.75",0.0375,IF(AG234="Fix10",0.1,IF(AG234="Fix3",0.03,0))))))</f>
        <v>0</v>
      </c>
      <c r="Z234" s="35">
        <f>T234-AA234-AB234</f>
        <v>193.625</v>
      </c>
      <c r="AA234" s="29">
        <f>IF(AD234="EUR",((T234-R234)*X234)*U234+(R234*X234),(T234*X234))</f>
        <v>70.375</v>
      </c>
      <c r="AB234" s="36">
        <f>IF(AD234="EUR",((T234-R234)*Y234)*U234+(R234*Y234),(T234*Y234))</f>
        <v>0</v>
      </c>
      <c r="AC234" s="37" t="b">
        <v>1</v>
      </c>
      <c r="AD234" s="61" t="s">
        <v>50</v>
      </c>
      <c r="AE234" s="61"/>
      <c r="AF234" s="37" t="str">
        <f t="array" ref="AF234">INDEX('Deal Info'!D:D, MATCH(A234,'Deal Info'!A:A, 0))</f>
        <v>DoEVold</v>
      </c>
      <c r="AG234" s="38" t="str">
        <f t="array" ref="AG234">INDEX('Deal Info'!G:G, MATCH(A234,'Deal Info'!A:A, 0))</f>
        <v>None</v>
      </c>
    </row>
    <row r="235" spans="1:33" ht="14.25" x14ac:dyDescent="0.2">
      <c r="A235" s="18" t="s">
        <v>98</v>
      </c>
      <c r="B235" s="45" t="s">
        <v>99</v>
      </c>
      <c r="C235" s="136">
        <v>44682</v>
      </c>
      <c r="D235" s="136">
        <v>44697</v>
      </c>
      <c r="E235" s="47">
        <v>44682</v>
      </c>
      <c r="F235" s="48" t="s">
        <v>41</v>
      </c>
      <c r="G235" s="45" t="s">
        <v>61</v>
      </c>
      <c r="H235" s="100" t="s">
        <v>139</v>
      </c>
      <c r="I235" s="49" t="s">
        <v>37</v>
      </c>
      <c r="J235" s="74">
        <v>25</v>
      </c>
      <c r="K235" s="134">
        <v>915</v>
      </c>
      <c r="L235" s="135">
        <v>1000</v>
      </c>
      <c r="M235" s="79">
        <v>496</v>
      </c>
      <c r="N235" s="28">
        <f>K235*J235</f>
        <v>22875</v>
      </c>
      <c r="O235" s="129">
        <v>26164</v>
      </c>
      <c r="P235" s="29">
        <v>28.594535520000001</v>
      </c>
      <c r="Q235" s="55"/>
      <c r="R235" s="31">
        <f>M235+Q235</f>
        <v>496</v>
      </c>
      <c r="S235" s="97"/>
      <c r="T235" s="32">
        <f>R235+S235+IF(F235="Without EV deal",L235,0)</f>
        <v>1496</v>
      </c>
      <c r="U235" s="57">
        <v>1.07</v>
      </c>
      <c r="V235" s="58"/>
      <c r="W235" s="58"/>
      <c r="X235" s="78">
        <v>0.25</v>
      </c>
      <c r="Y235" s="30">
        <f>IF(AG235="None",0,IF(AG235="Fix5",0.05, IF(AG235="Fix6.25",0.0625,IF(AG235="Fix3.75",0.0375,IF(AG235="Fix10",0.1,IF(AG235="Fix3",0.03,0))))))</f>
        <v>0</v>
      </c>
      <c r="Z235" s="35">
        <f>T235-AA235-AB235</f>
        <v>1104.5</v>
      </c>
      <c r="AA235" s="29">
        <f>IF(AD235="EUR",((T235-R235)*X235)*U235+(R235*X235),(T235*X235))</f>
        <v>391.5</v>
      </c>
      <c r="AB235" s="36">
        <f>IF(AD235="EUR",((T235-R235)*Y235)*U235+(R235*Y235),(T235*Y235))</f>
        <v>0</v>
      </c>
      <c r="AC235" s="37" t="b">
        <v>1</v>
      </c>
      <c r="AD235" s="83" t="s">
        <v>50</v>
      </c>
      <c r="AE235" s="83"/>
      <c r="AF235" s="37" t="str">
        <f t="array" ref="AF235">INDEX('Deal Info'!D:D, MATCH(A235,'Deal Info'!A:A, 0))</f>
        <v>DoEVold</v>
      </c>
      <c r="AG235" s="38" t="str">
        <f t="array" ref="AG235">INDEX('Deal Info'!G:G, MATCH(A235,'Deal Info'!A:A, 0))</f>
        <v>None</v>
      </c>
    </row>
    <row r="236" spans="1:33" ht="14.25" x14ac:dyDescent="0.2">
      <c r="A236" s="18" t="s">
        <v>98</v>
      </c>
      <c r="B236" s="45" t="s">
        <v>99</v>
      </c>
      <c r="C236" s="111">
        <v>44682</v>
      </c>
      <c r="D236" s="111">
        <v>44697</v>
      </c>
      <c r="E236" s="47">
        <v>44682</v>
      </c>
      <c r="F236" s="129" t="s">
        <v>41</v>
      </c>
      <c r="G236" s="65" t="s">
        <v>61</v>
      </c>
      <c r="H236" s="49" t="s">
        <v>140</v>
      </c>
      <c r="I236" s="49" t="s">
        <v>37</v>
      </c>
      <c r="J236" s="50">
        <v>25</v>
      </c>
      <c r="K236" s="123">
        <v>1932</v>
      </c>
      <c r="L236" s="113">
        <v>-2550</v>
      </c>
      <c r="M236" s="62">
        <v>1242</v>
      </c>
      <c r="N236" s="28">
        <f>K236*J236</f>
        <v>48300</v>
      </c>
      <c r="O236" s="65">
        <v>39207</v>
      </c>
      <c r="P236" s="29">
        <v>20.293478260000001</v>
      </c>
      <c r="Q236" s="55"/>
      <c r="R236" s="31">
        <f>M236+Q236</f>
        <v>1242</v>
      </c>
      <c r="S236" s="66"/>
      <c r="T236" s="32">
        <f>R236+S236+IF(F236="Without EV deal",L236,0)</f>
        <v>-1308</v>
      </c>
      <c r="U236" s="57">
        <v>1.07</v>
      </c>
      <c r="V236" s="69"/>
      <c r="W236" s="69"/>
      <c r="X236" s="30">
        <v>0.25</v>
      </c>
      <c r="Y236" s="30">
        <f>IF(AG236="None",0,IF(AG236="Fix5",0.05, IF(AG236="Fix6.25",0.0625,IF(AG236="Fix3.75",0.0375,IF(AG236="Fix10",0.1,IF(AG236="Fix3",0.03,0))))))</f>
        <v>0</v>
      </c>
      <c r="Z236" s="35">
        <f>T236-AA236-AB236</f>
        <v>-936.375</v>
      </c>
      <c r="AA236" s="29">
        <f>IF(AD236="EUR",((T236-R236)*X236)*U236+(R236*X236),(T236*X236))</f>
        <v>-371.625</v>
      </c>
      <c r="AB236" s="36">
        <f>IF(AD236="EUR",((T236-R236)*Y236)*U236+(R236*Y236),(T236*Y236))</f>
        <v>0</v>
      </c>
      <c r="AC236" s="37" t="b">
        <v>1</v>
      </c>
      <c r="AD236" s="61" t="s">
        <v>50</v>
      </c>
      <c r="AE236" s="61"/>
      <c r="AF236" s="37" t="str">
        <f t="array" ref="AF236">INDEX('Deal Info'!D:D, MATCH(A236,'Deal Info'!A:A, 0))</f>
        <v>DoEVold</v>
      </c>
      <c r="AG236" s="38" t="str">
        <f t="array" ref="AG236">INDEX('Deal Info'!G:G, MATCH(A236,'Deal Info'!A:A, 0))</f>
        <v>None</v>
      </c>
    </row>
    <row r="237" spans="1:33" ht="14.25" hidden="1" x14ac:dyDescent="0.2">
      <c r="A237" s="18" t="str">
        <f t="array" ref="A237">IF(G237='Room Info'!$B$1, INDEX('Room Info'!$A$2:$A2446, MATCH(B237,'Room Info'!$B$2:$B2446, 0)),IF(G237='Room Info'!$C$1, INDEX('Room Info'!$A$2:$A2446, MATCH(B237,'Room Info'!$C$2:$C2446, 0)),IF(G237='Room Info'!$D$1, INDEX('Room Info'!$A$2:$A2446, MATCH(B237,'Room Info'!$D$2:$D2446, 0)),IF(G237='Room Info'!$E$1, INDEX('Room Info'!$A$2:$A2446, MATCH(B237,'Room Info'!$E$2:$E2446, 0)),IF(G237='Room Info'!$F$1, INDEX('Room Info'!$A$2:$A2446, MATCH(B237,'Room Info'!$F$2:$F2446, 0)),IF(G237='Room Info'!$H$1, INDEX('Room Info'!$A$2:$A2446, MATCH(B237,'Room Info'!$H$2:$H2446, 0)),IF(G237='Room Info'!$G$1, INDEX('Room Info'!$A$2:$A2446, MATCH(B237,'Room Info'!$G$2:$G2446, 0)))))))))</f>
        <v>Lo4io</v>
      </c>
      <c r="B237" s="45" t="s">
        <v>102</v>
      </c>
      <c r="C237" s="92">
        <v>44886</v>
      </c>
      <c r="D237" s="92">
        <v>44915</v>
      </c>
      <c r="E237" s="47">
        <v>44896</v>
      </c>
      <c r="F237" s="48" t="s">
        <v>34</v>
      </c>
      <c r="G237" s="45" t="s">
        <v>35</v>
      </c>
      <c r="H237" s="49" t="s">
        <v>46</v>
      </c>
      <c r="I237" s="49" t="s">
        <v>37</v>
      </c>
      <c r="J237" s="70">
        <v>25</v>
      </c>
      <c r="K237" s="71">
        <v>379</v>
      </c>
      <c r="L237" s="94">
        <v>-100</v>
      </c>
      <c r="M237" s="76">
        <v>373</v>
      </c>
      <c r="N237" s="28">
        <f>K237*J237</f>
        <v>9475</v>
      </c>
      <c r="O237" s="58">
        <v>13363</v>
      </c>
      <c r="P237" s="29">
        <v>35.258575200000003</v>
      </c>
      <c r="Q237" s="55"/>
      <c r="R237" s="31">
        <f>M237+Q237</f>
        <v>373</v>
      </c>
      <c r="S237" s="95">
        <v>14</v>
      </c>
      <c r="T237" s="32">
        <f>R237+S237+IF(F237="Without EV deal",L237,0)</f>
        <v>387</v>
      </c>
      <c r="U237" s="57">
        <v>1</v>
      </c>
      <c r="V237" s="69">
        <v>59.405092313261733</v>
      </c>
      <c r="W237" s="69">
        <v>25.570198460257167</v>
      </c>
      <c r="X237" s="30">
        <f>IF(AF237="DoEV",IF(AND(V237&lt;20,W237&lt;55),0.3,0)+IF(AND(V237&lt;20,W237&gt;=55,W237&lt;105),0.23,0)+IF(AND(V237&lt;20,W237&gt;=105),0.17,0)+IF(AND(V237&gt;=20,V237&lt;40,W237&lt;45),0.3,0)+IF(AND(V237&gt;=20,V237&lt;40,W237&gt;=45,W237&lt;95),0.23,0)+IF(AND(V237&gt;=20,V237&lt;40,W237&gt;=95),0.17,0)+IF(AND(V237&gt;=40,V237&lt;75,W237&lt;35),0.3,0)+IF(AND(V237&gt;=40,V237&lt;75,W237&gt;=35,W237&lt;75),0.23,0)+IF(AND(V237&gt;=40,V237&lt;75,W237&gt;=75,W237&lt;120),0.17,0)+IF(AND(V237&gt;=40,V237&lt;75,W237&gt;=120),0.12,0)+IF(AND(V237&gt;=75,V237&lt;175,W237&lt;35),0.3,0)+IF(AND(V237&gt;=75,V237&lt;=175,W237&gt;=35,W237&lt;65),0.23,0)+IF(AND(V237&gt;=75,V237&lt;=175,W237&gt;=65,W237&lt;110),0.17,0)+IF(AND(V237&gt;=75,V237&lt;=175,W237&gt;=110),0.12,0)+IF(AND(V237&gt;175,W237&lt;25),0.3,0)+IF(AND(V237&gt;175,W237&gt;=25,W237&lt;55),0.23,0)+IF(AND(V237&gt;175,W237&gt;=55,W237&lt;95),0.17,0)+IF(AND(V237&gt;175,W237&gt;=95),0.12,0),
IF(AF237="Fix15",0.15,
IF(AF237="Fix11.25",0.1125,
IF(AF237="Fix10",0.1,
IF(AF237="Fix9",0.09,
IF(AF237="DoEV2017",IF(AND(W237&lt;74),0.2,0)+IF(AND(W237&gt;=74),0.17,0),
IF(AF237="SF",IF(AND(V237&lt;20,W237&lt;89),0.3,0)+IF(AND(V237&lt;20,W237&gt;=89),0.25,0)+IF(AND(V237&gt;=20,V237&lt;40,W237&lt;74),0.3,0)+IF(AND(V237&gt;=20,V237&lt;40,W237&gt;=75),0.22,0)+IF(AND(V237&gt;=40,V237&lt;75,W237&lt;75),0.26,0)+IF(AND(V237&gt;=40,V237&lt;75,W237&gt;=75),0.22,0)+IF(V237&gt;=75,0.22,0),
IF(AF237="DoEVold",IF(AND(V237&lt;40,W237&lt;35),0.35,0)+IF(AND(V237&lt;40,W237&gt;=35,W237&lt;75),0.25,0)+IF(AND(V237&lt;40,W237&gt;=75),0.17,0)+IF(AND(V237&gt;=40,V237&lt;75,W237&lt;25),0.35,0)+IF(AND(V237&gt;=40,V237&lt;75,W237&gt;=25,W237&lt;65),0.25,0)+IF(AND(V237&gt;=40,V237&lt;75,W237&gt;=65,W237&lt;100),0.17,0)+IF(AND(V237&gt;=40,V237&lt;75,W237&gt;=100),0.1,0)+IF(AND(V237&gt;=75,W237&lt;25),0.35,0)+IF(AND(V237&gt;=75,W237&gt;=25,W237&lt;60),0.25,0)+IF(AND(V237&gt;=75,W237&gt;=60,W237&lt;95),0.17,0)+IF(AND(V237&gt;=75,W237&gt;=95),0.1,0),
IF(AF237="DoEVold15",IF(AND(V237&lt;=40,W237&lt;35),0.35,0)+IF(AND(V237&lt;=40,W237&gt;=35,W237&lt;75),0.25,0)+IF(AND(V237&lt;=40,W237&gt;=75,W237&lt;120),0.17,0)+IF(AND(V237&lt;=40,W237&gt;=120),0.15,0)+IF(AND(V237&gt;40,V237&lt;75,W237&lt;25),0.35,0)+IF(AND(V237&gt;=40,V237&lt;75,W237&gt;=25,W237&lt;65),0.25,0)+IF(AND(V237&gt;=40,V237&lt;75,W237&gt;=65,W237&lt;100),0.17,0)+IF(AND(V237&gt;=40,V237&lt;75,W237&gt;=100),0.1,0)+IF(AND(V237&gt;=75,W237&lt;25),0.35,0)+IF(AND(V237&gt;=75,W237&gt;=25,W237&lt;60),0.25,0)+IF(AND(V237&gt;=75,W237&gt;=60,W237&lt;95),0.17,0)+IF(AND(V237&gt;=75,W237&gt;=95),0.1,0),
IF(AF237="DoEVba",IF(AND(V237&lt;20,W237&lt;105),0.2,0)+IF(AND(V237&lt;20,W237&gt;=105),0.15,0)+IF(AND(V237&gt;=20,V237&lt;40,W237&lt;95),0.2,0)+IF(AND(V237&gt;=20,V237&lt;40,W237&gt;=95,W237&lt;150),0.15,0)+IF(AND(V237&gt;=20,V237&lt;40,W237&gt;=150),0.12,0)+IF(AND(V237&gt;=40,V237&lt;75,W237&lt;75),0.2,0)+IF(AND(V237&gt;=40,V237&lt;75,W237&gt;=75,W237&lt;120),0.15,0)+IF(AND(V237&gt;=40,V237&lt;75,W237&gt;=120),0.12,0)+IF(AND(V237&gt;=75,V237&lt;175,W237&lt;65),0.2,0)+IF(AND(V237&gt;=75,V237&lt;175,W237&gt;=65,W237&lt;110),0.15,0)+IF(AND(V237&gt;=75,V237&lt;175,W237&gt;=110),0.12,0)+IF(AND(V237&gt;=175,W237&lt;55),0.2,0)+IF(AND(V237&gt;=175,W237&gt;=55,W237&lt;95),0.15,0)+IF(AND(V237&gt;=175,W237&gt;=95),0.12,0),
IF(AF237="DoEVku",IF(AND(V237&lt;20,W237&lt;55),0.23,0)+IF(AND(V237&lt;20,W237&gt;=55,W237&lt;105),0.2,0)+IF(AND(V237&lt;20,W237&gt;=105),0.17,0)+IF(AND(V237&gt;=20,V237&lt;40,W237&lt;45),0.23,0)+IF(AND(V237&gt;=20,V237&lt;40,W237&gt;=45,W237&lt;95),0.2,0)+IF(AND(V237&gt;=20,V237&lt;40,W237&gt;=95,W237&lt;=150),0.17,0)+IF(AND(V237&gt;=20,V237&lt;40,W237&gt;=150),0.12,0)+IF(AND(V237&gt;=40,V237&lt;75,W237&lt;35),0.23,0)+IF(AND(V237&gt;=40,V237&lt;75,W237&gt;=35,W237&lt;75),0.2,0)+IF(AND(V237&gt;=40,V237&lt;75,W237&gt;=75,W237&lt;120),0.17,0)+IF(AND(V237&gt;=40,V237&lt;75,W237&gt;=120),0.12,0)+IF(AND(V237&gt;=75,V237&lt;175,W237&lt;35),0.23,0)+IF(AND(V237&gt;=75,V237&lt;=175,W237&gt;=35,W237&lt;65),0.2,0)+IF(AND(V237&gt;=75,V237&lt;=175,W237&gt;=65,W237&lt;110),0.17,0)+IF(AND(V237&gt;=75,V237&lt;=175,W237&gt;=110),0.12,0)+IF(AND(V237&gt;175,W237&lt;25),0.23,0)+IF(AND(V237&gt;175,W237&gt;=25,W237&lt;55),0.2,0)+IF(AND(V237&gt;175,W237&gt;=55,W237&lt;95),0.17,0)+IF(AND(V237&gt;175,W237&gt;=95),0.12,0),
IF(AF237="DoEVs1",IF(AND(V237&lt;20,W237&lt;55),0.3,0)+IF(AND(V237&lt;20,W237&gt;=55,W237&lt;105),0.23,0)+IF(AND(V237&lt;20,W237&gt;=105),0.17,0)+IF(AND(V237&gt;=20,V237&lt;40,W237&lt;45),0.3,0)+IF(AND(V237&gt;=20,V237&lt;40,W237&gt;=45,W237&lt;95),0.23,0)+IF(AND(V237&gt;=20,V237&lt;40,W237&gt;=95,W237&lt;=150),0.17,0)+IF(AND(V237&gt;=20,V237&lt;40,W237&gt;=150),0.12,0)+IF(AND(V237&gt;=40,V237&lt;75,W237&lt;35),0.3,0)+IF(AND(V237&gt;=40,V237&lt;75,W237&gt;=35,W237&lt;75),0.23,0)+IF(AND(V237&gt;=40,V237&lt;75,W237&gt;=75,W237&lt;120),0.17,0)+IF(AND(V237&gt;=40,V237&lt;75,W237&gt;=120),0.12,0)+IF(AND(V237&gt;=75,V237&lt;175,W237&lt;35),0.3,0)+IF(AND(V237&gt;=75,V237&lt;=175,W237&gt;=35,W237&lt;65),0.23,0)+IF(AND(V237&gt;=75,V237&lt;=175,W237&gt;=65,W237&lt;110),0.17,0)+IF(AND(V237&gt;=75,V237&lt;=175,W237&gt;=110),0.12,0)+IF(AND(V237&gt;175,W237&lt;25),0.3,0)+IF(AND(V237&gt;175,W237&gt;=25,W237&lt;55),0.23,0)+IF(AND(V237&gt;175,W237&gt;=55,W237&lt;95),0.17,0)+IF(AND(V237&gt;175,W237&gt;=95),0.12,0),
IF(AF237="DoEVsu",IF(AND(V237&lt;20,W237&lt;55),0.3,0)+IF(AND(V237&lt;20,W237&gt;=55,W237&lt;105),0.23,0)+IF(AND(V237&lt;20,W237&gt;=105),0.17,0)+IF(AND(V237&gt;=20,V237&lt;40,W237&lt;45),0.3,0)+IF(AND(V237&gt;=20,V237&lt;40,W237&gt;=45,W237&lt;95),0.23,0)+IF(AND(V237&gt;=20,V237&lt;40,W237&gt;=95,W237&lt;=250),0.17,0)+IF(AND(V237&gt;=20,V237&lt;40,W237&gt;=250),0.12,0)+IF(AND(V237&gt;=40,V237&lt;75,W237&lt;35),0.3,0)+IF(AND(V237&gt;=40,V237&lt;75,W237&gt;=35,W237&lt;75),0.23,0)+IF(AND(V237&gt;=40,V237&lt;75,W237&gt;=75,W237&lt;120),0.17,0)+IF(AND(V237&gt;=40,V237&lt;75,W237&gt;=120),0.12,0)+IF(AND(V237&gt;=75,V237&lt;175,W237&lt;35),0.3,0)+IF(AND(V237&gt;=75,V237&lt;=175,W237&gt;=35,W237&lt;65),0.23,0)+IF(AND(V237&gt;=75,V237&lt;=175,W237&gt;=65,W237&lt;110),0.17,0)+IF(AND(V237&gt;=75,V237&lt;=175,W237&gt;=110),0.12,0)+IF(AND(V237&gt;175,W237&lt;25),0.3,0)+IF(AND(V237&gt;175,W237&gt;=25,W237&lt;55),0.23,0)+IF(AND(V237&gt;175,W237&gt;=55,W237&lt;95),0.17,0)+IF(AND(V237&gt;175,W237&gt;=95),0.12,0),
IF(AF237="DoEVni",IF(AND(V237&lt;20,W237&lt;55),0.3,0)+IF(AND(V237&lt;20,W237&gt;=55,W237&lt;105),0.23,0)+IF(AND(V237&lt;20,W237&gt;=105),0.17,0)+IF(AND(V237&gt;=20,V237&lt;40,W237&lt;45),0.3,0)+IF(AND(V237&gt;=20,V237&lt;40,W237&gt;=45,W237&lt;95),0.23,0)+IF(AND(V237&gt;=20,V237&lt;40,W237&gt;=95,W237&lt;=200),0.17,0)+IF(AND(V237&gt;=20,V237&lt;40,W237&gt;=200),0.12,0)+IF(AND(V237&gt;=40,V237&lt;75,W237&lt;35),0.3,0)+IF(AND(V237&gt;=40,V237&lt;75,W237&gt;=35,W237&lt;75),0.23,0)+IF(AND(V237&gt;=40,V237&lt;75,W237&gt;=75,W237&lt;120),0.17,0)+IF(AND(V237&gt;=40,V237&lt;75,W237&gt;=120),0.12,0)+IF(AND(V237&gt;=75,V237&lt;175,W237&lt;35),0.3,0)+IF(AND(V237&gt;=75,V237&lt;=175,W237&gt;=35,W237&lt;65),0.23,0)+IF(AND(V237&gt;=75,V237&lt;=175,W237&gt;=65,W237&lt;110),0.17,0)+IF(AND(V237&gt;=75,V237&lt;=175,W237&gt;=110),0.12,0)+IF(AND(V237&gt;175,W237&lt;25),0.3,0)+IF(AND(V237&gt;175,W237&gt;=25,W237&lt;55),0.23,0)+IF(AND(V237&gt;175,W237&gt;=55,W237&lt;95),0.17,0)+IF(AND(V237&gt;175,W237&gt;=95),0.12,0),
IF(AF237="DoEVLo",IF(AND(V237&lt;20,W237&lt;55),0.25,0)+IF(AND(V237&lt;20,W237&gt;=55,W237&lt;105),0.2,0)+IF(AND(V237&lt;20,W237&gt;=105),0.15,0)+IF(AND(V237&gt;=20,V237&lt;40,W237&lt;45),0.25,0)+IF(AND(V237&gt;=20,V237&lt;40,W237&gt;=45,W237&lt;95),0.2,0)+IF(AND(V237&gt;=20,V237&lt;40,W237&gt;=95),0.15,0)+IF(AND(V237&gt;=40,V237&lt;75,W237&lt;35),0.25,0)+IF(AND(V237&gt;=40,V237&lt;75,W237&gt;=35,W237&lt;75),0.2,0)+IF(AND(V237&gt;=40,V237&lt;75,W237&gt;=75,W237&lt;120),0.15,0)+IF(AND(V237&gt;=40,V237&lt;75,W237&gt;=120),0.1,0)+IF(AND(V237&gt;=75,V237&lt;175,W237&lt;35),0.25,0)+IF(AND(V237&gt;=75,V237&lt;=175,W237&gt;=35,W237&lt;65),0.2,0)+IF(AND(V237&gt;=75,V237&lt;=175,W237&gt;=65,W237&lt;110),0.15,0)+IF(AND(V237&gt;=75,V237&lt;=175,W237&gt;=110),0.1,0)+IF(AND(V237&gt;175,W237&lt;25),0.25,0)+IF(AND(V237&gt;175,W237&gt;=25,W237&lt;55),0.2,0)+IF(AND(V237&gt;175,W237&gt;=55,W237&lt;95),0.15,0)+IF(AND(V237&gt;175,W237&gt;=95),0.1,0))))))))))))))))</f>
        <v>0.25</v>
      </c>
      <c r="Y237" s="30">
        <f>IF(AG237="None",0,IF(AG237="Fix5",0.05,IF(AG237="Fix3.75",0.0375,IF(AG237="Fix10",0.1,IF(AG237="Fix3",0.03,0)))))</f>
        <v>0</v>
      </c>
      <c r="Z237" s="35">
        <f>T237-AA237-AB237</f>
        <v>290.25</v>
      </c>
      <c r="AA237" s="29">
        <f>IF(AD237="EUR",((T237-R237)*X237)*U237+(R237*X237),(T237*X237))</f>
        <v>96.75</v>
      </c>
      <c r="AB237" s="36">
        <f>IF(AD237="EUR",((T237-R237)*Y237)*U237+(R237*Y237),(T237*Y237))</f>
        <v>0</v>
      </c>
      <c r="AC237" s="37" t="b">
        <v>1</v>
      </c>
      <c r="AD237" s="37" t="s">
        <v>38</v>
      </c>
      <c r="AE237" s="37" t="s">
        <v>38</v>
      </c>
      <c r="AF237" s="37" t="str">
        <f t="array" ref="AF237">INDEX('Deal Info'!D:D, MATCH(A237,'Deal Info'!A:A, 0))</f>
        <v>DoEVLo</v>
      </c>
      <c r="AG237" s="38" t="str">
        <f t="array" ref="AG237">INDEX('Deal Info'!G:G, MATCH(A237,'Deal Info'!A:A, 0))</f>
        <v>None</v>
      </c>
    </row>
    <row r="238" spans="1:33" ht="14.25" hidden="1" x14ac:dyDescent="0.2">
      <c r="A238" s="18" t="str">
        <f t="array" ref="A238">IF(G238='Room Info'!$B$1, INDEX('Room Info'!$A$2:$A2446, MATCH(B238,'Room Info'!$B$2:$B2446, 0)),IF(G238='Room Info'!$C$1, INDEX('Room Info'!$A$2:$A2446, MATCH(B238,'Room Info'!$C$2:$C2446, 0)),IF(G238='Room Info'!$D$1, INDEX('Room Info'!$A$2:$A2446, MATCH(B238,'Room Info'!$D$2:$D2446, 0)),IF(G238='Room Info'!$E$1, INDEX('Room Info'!$A$2:$A2446, MATCH(B238,'Room Info'!$E$2:$E2446, 0)),IF(G238='Room Info'!$F$1, INDEX('Room Info'!$A$2:$A2446, MATCH(B238,'Room Info'!$F$2:$F2446, 0)),IF(G238='Room Info'!$H$1, INDEX('Room Info'!$A$2:$A2446, MATCH(B238,'Room Info'!$H$2:$H2446, 0)),IF(G238='Room Info'!$G$1, INDEX('Room Info'!$A$2:$A2446, MATCH(B238,'Room Info'!$G$2:$G2446, 0)))))))))</f>
        <v>Lo4io</v>
      </c>
      <c r="B238" s="45" t="s">
        <v>102</v>
      </c>
      <c r="C238" s="92">
        <v>44886</v>
      </c>
      <c r="D238" s="92">
        <v>44915</v>
      </c>
      <c r="E238" s="47">
        <v>44896</v>
      </c>
      <c r="F238" s="48" t="s">
        <v>34</v>
      </c>
      <c r="G238" s="45" t="s">
        <v>35</v>
      </c>
      <c r="H238" s="49" t="s">
        <v>72</v>
      </c>
      <c r="I238" s="49" t="s">
        <v>37</v>
      </c>
      <c r="J238" s="70">
        <v>50</v>
      </c>
      <c r="K238" s="71">
        <v>9</v>
      </c>
      <c r="L238" s="94">
        <v>0</v>
      </c>
      <c r="M238" s="76">
        <v>18</v>
      </c>
      <c r="N238" s="28">
        <f>K238*J238</f>
        <v>450</v>
      </c>
      <c r="O238" s="58">
        <v>1834</v>
      </c>
      <c r="P238" s="29">
        <v>203.7777778</v>
      </c>
      <c r="Q238" s="55"/>
      <c r="R238" s="31">
        <f>M238+Q238</f>
        <v>18</v>
      </c>
      <c r="S238" s="95">
        <v>141</v>
      </c>
      <c r="T238" s="32">
        <f>R238+S238+IF(F238="Without EV deal",L238,0)</f>
        <v>159</v>
      </c>
      <c r="U238" s="57">
        <v>1</v>
      </c>
      <c r="V238" s="69">
        <v>59.405092313261733</v>
      </c>
      <c r="W238" s="69">
        <v>25.570198460257167</v>
      </c>
      <c r="X238" s="30">
        <f>IF(AF238="DoEV",IF(AND(V238&lt;20,W238&lt;55),0.3,0)+IF(AND(V238&lt;20,W238&gt;=55,W238&lt;105),0.23,0)+IF(AND(V238&lt;20,W238&gt;=105),0.17,0)+IF(AND(V238&gt;=20,V238&lt;40,W238&lt;45),0.3,0)+IF(AND(V238&gt;=20,V238&lt;40,W238&gt;=45,W238&lt;95),0.23,0)+IF(AND(V238&gt;=20,V238&lt;40,W238&gt;=95),0.17,0)+IF(AND(V238&gt;=40,V238&lt;75,W238&lt;35),0.3,0)+IF(AND(V238&gt;=40,V238&lt;75,W238&gt;=35,W238&lt;75),0.23,0)+IF(AND(V238&gt;=40,V238&lt;75,W238&gt;=75,W238&lt;120),0.17,0)+IF(AND(V238&gt;=40,V238&lt;75,W238&gt;=120),0.12,0)+IF(AND(V238&gt;=75,V238&lt;175,W238&lt;35),0.3,0)+IF(AND(V238&gt;=75,V238&lt;=175,W238&gt;=35,W238&lt;65),0.23,0)+IF(AND(V238&gt;=75,V238&lt;=175,W238&gt;=65,W238&lt;110),0.17,0)+IF(AND(V238&gt;=75,V238&lt;=175,W238&gt;=110),0.12,0)+IF(AND(V238&gt;175,W238&lt;25),0.3,0)+IF(AND(V238&gt;175,W238&gt;=25,W238&lt;55),0.23,0)+IF(AND(V238&gt;175,W238&gt;=55,W238&lt;95),0.17,0)+IF(AND(V238&gt;175,W238&gt;=95),0.12,0),
IF(AF238="Fix15",0.15,
IF(AF238="Fix11.25",0.1125,
IF(AF238="Fix10",0.1,
IF(AF238="Fix9",0.09,
IF(AF238="DoEV2017",IF(AND(W238&lt;74),0.2,0)+IF(AND(W238&gt;=74),0.17,0),
IF(AF238="SF",IF(AND(V238&lt;20,W238&lt;89),0.3,0)+IF(AND(V238&lt;20,W238&gt;=89),0.25,0)+IF(AND(V238&gt;=20,V238&lt;40,W238&lt;74),0.3,0)+IF(AND(V238&gt;=20,V238&lt;40,W238&gt;=75),0.22,0)+IF(AND(V238&gt;=40,V238&lt;75,W238&lt;75),0.26,0)+IF(AND(V238&gt;=40,V238&lt;75,W238&gt;=75),0.22,0)+IF(V238&gt;=75,0.22,0),
IF(AF238="DoEVold",IF(AND(V238&lt;40,W238&lt;35),0.35,0)+IF(AND(V238&lt;40,W238&gt;=35,W238&lt;75),0.25,0)+IF(AND(V238&lt;40,W238&gt;=75),0.17,0)+IF(AND(V238&gt;=40,V238&lt;75,W238&lt;25),0.35,0)+IF(AND(V238&gt;=40,V238&lt;75,W238&gt;=25,W238&lt;65),0.25,0)+IF(AND(V238&gt;=40,V238&lt;75,W238&gt;=65,W238&lt;100),0.17,0)+IF(AND(V238&gt;=40,V238&lt;75,W238&gt;=100),0.1,0)+IF(AND(V238&gt;=75,W238&lt;25),0.35,0)+IF(AND(V238&gt;=75,W238&gt;=25,W238&lt;60),0.25,0)+IF(AND(V238&gt;=75,W238&gt;=60,W238&lt;95),0.17,0)+IF(AND(V238&gt;=75,W238&gt;=95),0.1,0),
IF(AF238="DoEVold15",IF(AND(V238&lt;=40,W238&lt;35),0.35,0)+IF(AND(V238&lt;=40,W238&gt;=35,W238&lt;75),0.25,0)+IF(AND(V238&lt;=40,W238&gt;=75,W238&lt;120),0.17,0)+IF(AND(V238&lt;=40,W238&gt;=120),0.15,0)+IF(AND(V238&gt;40,V238&lt;75,W238&lt;25),0.35,0)+IF(AND(V238&gt;=40,V238&lt;75,W238&gt;=25,W238&lt;65),0.25,0)+IF(AND(V238&gt;=40,V238&lt;75,W238&gt;=65,W238&lt;100),0.17,0)+IF(AND(V238&gt;=40,V238&lt;75,W238&gt;=100),0.1,0)+IF(AND(V238&gt;=75,W238&lt;25),0.35,0)+IF(AND(V238&gt;=75,W238&gt;=25,W238&lt;60),0.25,0)+IF(AND(V238&gt;=75,W238&gt;=60,W238&lt;95),0.17,0)+IF(AND(V238&gt;=75,W238&gt;=95),0.1,0),
IF(AF238="DoEVba",IF(AND(V238&lt;20,W238&lt;105),0.2,0)+IF(AND(V238&lt;20,W238&gt;=105),0.15,0)+IF(AND(V238&gt;=20,V238&lt;40,W238&lt;95),0.2,0)+IF(AND(V238&gt;=20,V238&lt;40,W238&gt;=95,W238&lt;150),0.15,0)+IF(AND(V238&gt;=20,V238&lt;40,W238&gt;=150),0.12,0)+IF(AND(V238&gt;=40,V238&lt;75,W238&lt;75),0.2,0)+IF(AND(V238&gt;=40,V238&lt;75,W238&gt;=75,W238&lt;120),0.15,0)+IF(AND(V238&gt;=40,V238&lt;75,W238&gt;=120),0.12,0)+IF(AND(V238&gt;=75,V238&lt;175,W238&lt;65),0.2,0)+IF(AND(V238&gt;=75,V238&lt;175,W238&gt;=65,W238&lt;110),0.15,0)+IF(AND(V238&gt;=75,V238&lt;175,W238&gt;=110),0.12,0)+IF(AND(V238&gt;=175,W238&lt;55),0.2,0)+IF(AND(V238&gt;=175,W238&gt;=55,W238&lt;95),0.15,0)+IF(AND(V238&gt;=175,W238&gt;=95),0.12,0),
IF(AF238="DoEVku",IF(AND(V238&lt;20,W238&lt;55),0.23,0)+IF(AND(V238&lt;20,W238&gt;=55,W238&lt;105),0.2,0)+IF(AND(V238&lt;20,W238&gt;=105),0.17,0)+IF(AND(V238&gt;=20,V238&lt;40,W238&lt;45),0.23,0)+IF(AND(V238&gt;=20,V238&lt;40,W238&gt;=45,W238&lt;95),0.2,0)+IF(AND(V238&gt;=20,V238&lt;40,W238&gt;=95,W238&lt;=150),0.17,0)+IF(AND(V238&gt;=20,V238&lt;40,W238&gt;=150),0.12,0)+IF(AND(V238&gt;=40,V238&lt;75,W238&lt;35),0.23,0)+IF(AND(V238&gt;=40,V238&lt;75,W238&gt;=35,W238&lt;75),0.2,0)+IF(AND(V238&gt;=40,V238&lt;75,W238&gt;=75,W238&lt;120),0.17,0)+IF(AND(V238&gt;=40,V238&lt;75,W238&gt;=120),0.12,0)+IF(AND(V238&gt;=75,V238&lt;175,W238&lt;35),0.23,0)+IF(AND(V238&gt;=75,V238&lt;=175,W238&gt;=35,W238&lt;65),0.2,0)+IF(AND(V238&gt;=75,V238&lt;=175,W238&gt;=65,W238&lt;110),0.17,0)+IF(AND(V238&gt;=75,V238&lt;=175,W238&gt;=110),0.12,0)+IF(AND(V238&gt;175,W238&lt;25),0.23,0)+IF(AND(V238&gt;175,W238&gt;=25,W238&lt;55),0.2,0)+IF(AND(V238&gt;175,W238&gt;=55,W238&lt;95),0.17,0)+IF(AND(V238&gt;175,W238&gt;=95),0.12,0),
IF(AF238="DoEVs1",IF(AND(V238&lt;20,W238&lt;55),0.3,0)+IF(AND(V238&lt;20,W238&gt;=55,W238&lt;105),0.23,0)+IF(AND(V238&lt;20,W238&gt;=105),0.17,0)+IF(AND(V238&gt;=20,V238&lt;40,W238&lt;45),0.3,0)+IF(AND(V238&gt;=20,V238&lt;40,W238&gt;=45,W238&lt;95),0.23,0)+IF(AND(V238&gt;=20,V238&lt;40,W238&gt;=95,W238&lt;=150),0.17,0)+IF(AND(V238&gt;=20,V238&lt;40,W238&gt;=150),0.12,0)+IF(AND(V238&gt;=40,V238&lt;75,W238&lt;35),0.3,0)+IF(AND(V238&gt;=40,V238&lt;75,W238&gt;=35,W238&lt;75),0.23,0)+IF(AND(V238&gt;=40,V238&lt;75,W238&gt;=75,W238&lt;120),0.17,0)+IF(AND(V238&gt;=40,V238&lt;75,W238&gt;=120),0.12,0)+IF(AND(V238&gt;=75,V238&lt;175,W238&lt;35),0.3,0)+IF(AND(V238&gt;=75,V238&lt;=175,W238&gt;=35,W238&lt;65),0.23,0)+IF(AND(V238&gt;=75,V238&lt;=175,W238&gt;=65,W238&lt;110),0.17,0)+IF(AND(V238&gt;=75,V238&lt;=175,W238&gt;=110),0.12,0)+IF(AND(V238&gt;175,W238&lt;25),0.3,0)+IF(AND(V238&gt;175,W238&gt;=25,W238&lt;55),0.23,0)+IF(AND(V238&gt;175,W238&gt;=55,W238&lt;95),0.17,0)+IF(AND(V238&gt;175,W238&gt;=95),0.12,0),
IF(AF238="DoEVsu",IF(AND(V238&lt;20,W238&lt;55),0.3,0)+IF(AND(V238&lt;20,W238&gt;=55,W238&lt;105),0.23,0)+IF(AND(V238&lt;20,W238&gt;=105),0.17,0)+IF(AND(V238&gt;=20,V238&lt;40,W238&lt;45),0.3,0)+IF(AND(V238&gt;=20,V238&lt;40,W238&gt;=45,W238&lt;95),0.23,0)+IF(AND(V238&gt;=20,V238&lt;40,W238&gt;=95,W238&lt;=250),0.17,0)+IF(AND(V238&gt;=20,V238&lt;40,W238&gt;=250),0.12,0)+IF(AND(V238&gt;=40,V238&lt;75,W238&lt;35),0.3,0)+IF(AND(V238&gt;=40,V238&lt;75,W238&gt;=35,W238&lt;75),0.23,0)+IF(AND(V238&gt;=40,V238&lt;75,W238&gt;=75,W238&lt;120),0.17,0)+IF(AND(V238&gt;=40,V238&lt;75,W238&gt;=120),0.12,0)+IF(AND(V238&gt;=75,V238&lt;175,W238&lt;35),0.3,0)+IF(AND(V238&gt;=75,V238&lt;=175,W238&gt;=35,W238&lt;65),0.23,0)+IF(AND(V238&gt;=75,V238&lt;=175,W238&gt;=65,W238&lt;110),0.17,0)+IF(AND(V238&gt;=75,V238&lt;=175,W238&gt;=110),0.12,0)+IF(AND(V238&gt;175,W238&lt;25),0.3,0)+IF(AND(V238&gt;175,W238&gt;=25,W238&lt;55),0.23,0)+IF(AND(V238&gt;175,W238&gt;=55,W238&lt;95),0.17,0)+IF(AND(V238&gt;175,W238&gt;=95),0.12,0),
IF(AF238="DoEVni",IF(AND(V238&lt;20,W238&lt;55),0.3,0)+IF(AND(V238&lt;20,W238&gt;=55,W238&lt;105),0.23,0)+IF(AND(V238&lt;20,W238&gt;=105),0.17,0)+IF(AND(V238&gt;=20,V238&lt;40,W238&lt;45),0.3,0)+IF(AND(V238&gt;=20,V238&lt;40,W238&gt;=45,W238&lt;95),0.23,0)+IF(AND(V238&gt;=20,V238&lt;40,W238&gt;=95,W238&lt;=200),0.17,0)+IF(AND(V238&gt;=20,V238&lt;40,W238&gt;=200),0.12,0)+IF(AND(V238&gt;=40,V238&lt;75,W238&lt;35),0.3,0)+IF(AND(V238&gt;=40,V238&lt;75,W238&gt;=35,W238&lt;75),0.23,0)+IF(AND(V238&gt;=40,V238&lt;75,W238&gt;=75,W238&lt;120),0.17,0)+IF(AND(V238&gt;=40,V238&lt;75,W238&gt;=120),0.12,0)+IF(AND(V238&gt;=75,V238&lt;175,W238&lt;35),0.3,0)+IF(AND(V238&gt;=75,V238&lt;=175,W238&gt;=35,W238&lt;65),0.23,0)+IF(AND(V238&gt;=75,V238&lt;=175,W238&gt;=65,W238&lt;110),0.17,0)+IF(AND(V238&gt;=75,V238&lt;=175,W238&gt;=110),0.12,0)+IF(AND(V238&gt;175,W238&lt;25),0.3,0)+IF(AND(V238&gt;175,W238&gt;=25,W238&lt;55),0.23,0)+IF(AND(V238&gt;175,W238&gt;=55,W238&lt;95),0.17,0)+IF(AND(V238&gt;175,W238&gt;=95),0.12,0),
IF(AF238="DoEVLo",IF(AND(V238&lt;20,W238&lt;55),0.25,0)+IF(AND(V238&lt;20,W238&gt;=55,W238&lt;105),0.2,0)+IF(AND(V238&lt;20,W238&gt;=105),0.15,0)+IF(AND(V238&gt;=20,V238&lt;40,W238&lt;45),0.25,0)+IF(AND(V238&gt;=20,V238&lt;40,W238&gt;=45,W238&lt;95),0.2,0)+IF(AND(V238&gt;=20,V238&lt;40,W238&gt;=95),0.15,0)+IF(AND(V238&gt;=40,V238&lt;75,W238&lt;35),0.25,0)+IF(AND(V238&gt;=40,V238&lt;75,W238&gt;=35,W238&lt;75),0.2,0)+IF(AND(V238&gt;=40,V238&lt;75,W238&gt;=75,W238&lt;120),0.15,0)+IF(AND(V238&gt;=40,V238&lt;75,W238&gt;=120),0.1,0)+IF(AND(V238&gt;=75,V238&lt;175,W238&lt;35),0.25,0)+IF(AND(V238&gt;=75,V238&lt;=175,W238&gt;=35,W238&lt;65),0.2,0)+IF(AND(V238&gt;=75,V238&lt;=175,W238&gt;=65,W238&lt;110),0.15,0)+IF(AND(V238&gt;=75,V238&lt;=175,W238&gt;=110),0.1,0)+IF(AND(V238&gt;175,W238&lt;25),0.25,0)+IF(AND(V238&gt;175,W238&gt;=25,W238&lt;55),0.2,0)+IF(AND(V238&gt;175,W238&gt;=55,W238&lt;95),0.15,0)+IF(AND(V238&gt;175,W238&gt;=95),0.1,0))))))))))))))))</f>
        <v>0.25</v>
      </c>
      <c r="Y238" s="30">
        <f>IF(AG238="None",0,IF(AG238="Fix5",0.05,IF(AG238="Fix3.75",0.0375,IF(AG238="Fix10",0.1,IF(AG238="Fix3",0.03,0)))))</f>
        <v>0</v>
      </c>
      <c r="Z238" s="35">
        <f>T238-AA238-AB238</f>
        <v>119.25</v>
      </c>
      <c r="AA238" s="29">
        <f>IF(AD238="EUR",((T238-R238)*X238)*U238+(R238*X238),(T238*X238))</f>
        <v>39.75</v>
      </c>
      <c r="AB238" s="36">
        <f>IF(AD238="EUR",((T238-R238)*Y238)*U238+(R238*Y238),(T238*Y238))</f>
        <v>0</v>
      </c>
      <c r="AC238" s="37" t="b">
        <v>1</v>
      </c>
      <c r="AD238" s="37" t="s">
        <v>38</v>
      </c>
      <c r="AE238" s="37" t="s">
        <v>38</v>
      </c>
      <c r="AF238" s="37" t="str">
        <f t="array" ref="AF238">INDEX('Deal Info'!D:D, MATCH(A238,'Deal Info'!A:A, 0))</f>
        <v>DoEVLo</v>
      </c>
      <c r="AG238" s="38" t="str">
        <f t="array" ref="AG238">INDEX('Deal Info'!G:G, MATCH(A238,'Deal Info'!A:A, 0))</f>
        <v>None</v>
      </c>
    </row>
    <row r="239" spans="1:33" ht="14.25" hidden="1" x14ac:dyDescent="0.2">
      <c r="A239" s="18" t="str">
        <f t="array" ref="A239">IF(G239='Room Info'!$B$1, INDEX('Room Info'!$A$2:$A2446, MATCH(B239,'Room Info'!$B$2:$B2446, 0)),IF(G239='Room Info'!$C$1, INDEX('Room Info'!$A$2:$A2446, MATCH(B239,'Room Info'!$C$2:$C2446, 0)),IF(G239='Room Info'!$D$1, INDEX('Room Info'!$A$2:$A2446, MATCH(B239,'Room Info'!$D$2:$D2446, 0)),IF(G239='Room Info'!$E$1, INDEX('Room Info'!$A$2:$A2446, MATCH(B239,'Room Info'!$E$2:$E2446, 0)),IF(G239='Room Info'!$F$1, INDEX('Room Info'!$A$2:$A2446, MATCH(B239,'Room Info'!$F$2:$F2446, 0)),IF(G239='Room Info'!$H$1, INDEX('Room Info'!$A$2:$A2446, MATCH(B239,'Room Info'!$H$2:$H2446, 0)),IF(G239='Room Info'!$G$1, INDEX('Room Info'!$A$2:$A2446, MATCH(B239,'Room Info'!$G$2:$G2446, 0)))))))))</f>
        <v>Lo4io</v>
      </c>
      <c r="B239" s="45" t="s">
        <v>102</v>
      </c>
      <c r="C239" s="92">
        <v>44886</v>
      </c>
      <c r="D239" s="92">
        <v>44915</v>
      </c>
      <c r="E239" s="47">
        <v>44896</v>
      </c>
      <c r="F239" s="48" t="s">
        <v>34</v>
      </c>
      <c r="G239" s="45" t="s">
        <v>35</v>
      </c>
      <c r="H239" s="49" t="s">
        <v>85</v>
      </c>
      <c r="I239" s="49" t="s">
        <v>44</v>
      </c>
      <c r="J239" s="70">
        <v>50</v>
      </c>
      <c r="K239" s="71">
        <v>3892</v>
      </c>
      <c r="L239" s="94">
        <v>-10250</v>
      </c>
      <c r="M239" s="76">
        <v>7664</v>
      </c>
      <c r="N239" s="28">
        <f>K239*J239</f>
        <v>194600</v>
      </c>
      <c r="O239" s="58">
        <v>33334</v>
      </c>
      <c r="P239" s="29">
        <v>8.5647482010000004</v>
      </c>
      <c r="Q239" s="55"/>
      <c r="R239" s="31">
        <f>M239+Q239</f>
        <v>7664</v>
      </c>
      <c r="S239" s="95">
        <v>-7280</v>
      </c>
      <c r="T239" s="32">
        <f>R239+S239+IF(F239="Without EV deal",L239,0)</f>
        <v>384</v>
      </c>
      <c r="U239" s="57">
        <v>1</v>
      </c>
      <c r="V239" s="69">
        <v>59.405092313261733</v>
      </c>
      <c r="W239" s="69">
        <v>25.570198460257167</v>
      </c>
      <c r="X239" s="30">
        <f>IF(AF239="DoEV",IF(AND(V239&lt;20,W239&lt;55),0.3,0)+IF(AND(V239&lt;20,W239&gt;=55,W239&lt;105),0.23,0)+IF(AND(V239&lt;20,W239&gt;=105),0.17,0)+IF(AND(V239&gt;=20,V239&lt;40,W239&lt;45),0.3,0)+IF(AND(V239&gt;=20,V239&lt;40,W239&gt;=45,W239&lt;95),0.23,0)+IF(AND(V239&gt;=20,V239&lt;40,W239&gt;=95),0.17,0)+IF(AND(V239&gt;=40,V239&lt;75,W239&lt;35),0.3,0)+IF(AND(V239&gt;=40,V239&lt;75,W239&gt;=35,W239&lt;75),0.23,0)+IF(AND(V239&gt;=40,V239&lt;75,W239&gt;=75,W239&lt;120),0.17,0)+IF(AND(V239&gt;=40,V239&lt;75,W239&gt;=120),0.12,0)+IF(AND(V239&gt;=75,V239&lt;175,W239&lt;35),0.3,0)+IF(AND(V239&gt;=75,V239&lt;=175,W239&gt;=35,W239&lt;65),0.23,0)+IF(AND(V239&gt;=75,V239&lt;=175,W239&gt;=65,W239&lt;110),0.17,0)+IF(AND(V239&gt;=75,V239&lt;=175,W239&gt;=110),0.12,0)+IF(AND(V239&gt;175,W239&lt;25),0.3,0)+IF(AND(V239&gt;175,W239&gt;=25,W239&lt;55),0.23,0)+IF(AND(V239&gt;175,W239&gt;=55,W239&lt;95),0.17,0)+IF(AND(V239&gt;175,W239&gt;=95),0.12,0),
IF(AF239="Fix15",0.15,
IF(AF239="Fix11.25",0.1125,
IF(AF239="Fix10",0.1,
IF(AF239="Fix9",0.09,
IF(AF239="DoEV2017",IF(AND(W239&lt;74),0.2,0)+IF(AND(W239&gt;=74),0.17,0),
IF(AF239="SF",IF(AND(V239&lt;20,W239&lt;89),0.3,0)+IF(AND(V239&lt;20,W239&gt;=89),0.25,0)+IF(AND(V239&gt;=20,V239&lt;40,W239&lt;74),0.3,0)+IF(AND(V239&gt;=20,V239&lt;40,W239&gt;=75),0.22,0)+IF(AND(V239&gt;=40,V239&lt;75,W239&lt;75),0.26,0)+IF(AND(V239&gt;=40,V239&lt;75,W239&gt;=75),0.22,0)+IF(V239&gt;=75,0.22,0),
IF(AF239="DoEVold",IF(AND(V239&lt;40,W239&lt;35),0.35,0)+IF(AND(V239&lt;40,W239&gt;=35,W239&lt;75),0.25,0)+IF(AND(V239&lt;40,W239&gt;=75),0.17,0)+IF(AND(V239&gt;=40,V239&lt;75,W239&lt;25),0.35,0)+IF(AND(V239&gt;=40,V239&lt;75,W239&gt;=25,W239&lt;65),0.25,0)+IF(AND(V239&gt;=40,V239&lt;75,W239&gt;=65,W239&lt;100),0.17,0)+IF(AND(V239&gt;=40,V239&lt;75,W239&gt;=100),0.1,0)+IF(AND(V239&gt;=75,W239&lt;25),0.35,0)+IF(AND(V239&gt;=75,W239&gt;=25,W239&lt;60),0.25,0)+IF(AND(V239&gt;=75,W239&gt;=60,W239&lt;95),0.17,0)+IF(AND(V239&gt;=75,W239&gt;=95),0.1,0),
IF(AF239="DoEVold15",IF(AND(V239&lt;=40,W239&lt;35),0.35,0)+IF(AND(V239&lt;=40,W239&gt;=35,W239&lt;75),0.25,0)+IF(AND(V239&lt;=40,W239&gt;=75,W239&lt;120),0.17,0)+IF(AND(V239&lt;=40,W239&gt;=120),0.15,0)+IF(AND(V239&gt;40,V239&lt;75,W239&lt;25),0.35,0)+IF(AND(V239&gt;=40,V239&lt;75,W239&gt;=25,W239&lt;65),0.25,0)+IF(AND(V239&gt;=40,V239&lt;75,W239&gt;=65,W239&lt;100),0.17,0)+IF(AND(V239&gt;=40,V239&lt;75,W239&gt;=100),0.1,0)+IF(AND(V239&gt;=75,W239&lt;25),0.35,0)+IF(AND(V239&gt;=75,W239&gt;=25,W239&lt;60),0.25,0)+IF(AND(V239&gt;=75,W239&gt;=60,W239&lt;95),0.17,0)+IF(AND(V239&gt;=75,W239&gt;=95),0.1,0),
IF(AF239="DoEVba",IF(AND(V239&lt;20,W239&lt;105),0.2,0)+IF(AND(V239&lt;20,W239&gt;=105),0.15,0)+IF(AND(V239&gt;=20,V239&lt;40,W239&lt;95),0.2,0)+IF(AND(V239&gt;=20,V239&lt;40,W239&gt;=95,W239&lt;150),0.15,0)+IF(AND(V239&gt;=20,V239&lt;40,W239&gt;=150),0.12,0)+IF(AND(V239&gt;=40,V239&lt;75,W239&lt;75),0.2,0)+IF(AND(V239&gt;=40,V239&lt;75,W239&gt;=75,W239&lt;120),0.15,0)+IF(AND(V239&gt;=40,V239&lt;75,W239&gt;=120),0.12,0)+IF(AND(V239&gt;=75,V239&lt;175,W239&lt;65),0.2,0)+IF(AND(V239&gt;=75,V239&lt;175,W239&gt;=65,W239&lt;110),0.15,0)+IF(AND(V239&gt;=75,V239&lt;175,W239&gt;=110),0.12,0)+IF(AND(V239&gt;=175,W239&lt;55),0.2,0)+IF(AND(V239&gt;=175,W239&gt;=55,W239&lt;95),0.15,0)+IF(AND(V239&gt;=175,W239&gt;=95),0.12,0),
IF(AF239="DoEVku",IF(AND(V239&lt;20,W239&lt;55),0.23,0)+IF(AND(V239&lt;20,W239&gt;=55,W239&lt;105),0.2,0)+IF(AND(V239&lt;20,W239&gt;=105),0.17,0)+IF(AND(V239&gt;=20,V239&lt;40,W239&lt;45),0.23,0)+IF(AND(V239&gt;=20,V239&lt;40,W239&gt;=45,W239&lt;95),0.2,0)+IF(AND(V239&gt;=20,V239&lt;40,W239&gt;=95,W239&lt;=150),0.17,0)+IF(AND(V239&gt;=20,V239&lt;40,W239&gt;=150),0.12,0)+IF(AND(V239&gt;=40,V239&lt;75,W239&lt;35),0.23,0)+IF(AND(V239&gt;=40,V239&lt;75,W239&gt;=35,W239&lt;75),0.2,0)+IF(AND(V239&gt;=40,V239&lt;75,W239&gt;=75,W239&lt;120),0.17,0)+IF(AND(V239&gt;=40,V239&lt;75,W239&gt;=120),0.12,0)+IF(AND(V239&gt;=75,V239&lt;175,W239&lt;35),0.23,0)+IF(AND(V239&gt;=75,V239&lt;=175,W239&gt;=35,W239&lt;65),0.2,0)+IF(AND(V239&gt;=75,V239&lt;=175,W239&gt;=65,W239&lt;110),0.17,0)+IF(AND(V239&gt;=75,V239&lt;=175,W239&gt;=110),0.12,0)+IF(AND(V239&gt;175,W239&lt;25),0.23,0)+IF(AND(V239&gt;175,W239&gt;=25,W239&lt;55),0.2,0)+IF(AND(V239&gt;175,W239&gt;=55,W239&lt;95),0.17,0)+IF(AND(V239&gt;175,W239&gt;=95),0.12,0),
IF(AF239="DoEVs1",IF(AND(V239&lt;20,W239&lt;55),0.3,0)+IF(AND(V239&lt;20,W239&gt;=55,W239&lt;105),0.23,0)+IF(AND(V239&lt;20,W239&gt;=105),0.17,0)+IF(AND(V239&gt;=20,V239&lt;40,W239&lt;45),0.3,0)+IF(AND(V239&gt;=20,V239&lt;40,W239&gt;=45,W239&lt;95),0.23,0)+IF(AND(V239&gt;=20,V239&lt;40,W239&gt;=95,W239&lt;=150),0.17,0)+IF(AND(V239&gt;=20,V239&lt;40,W239&gt;=150),0.12,0)+IF(AND(V239&gt;=40,V239&lt;75,W239&lt;35),0.3,0)+IF(AND(V239&gt;=40,V239&lt;75,W239&gt;=35,W239&lt;75),0.23,0)+IF(AND(V239&gt;=40,V239&lt;75,W239&gt;=75,W239&lt;120),0.17,0)+IF(AND(V239&gt;=40,V239&lt;75,W239&gt;=120),0.12,0)+IF(AND(V239&gt;=75,V239&lt;175,W239&lt;35),0.3,0)+IF(AND(V239&gt;=75,V239&lt;=175,W239&gt;=35,W239&lt;65),0.23,0)+IF(AND(V239&gt;=75,V239&lt;=175,W239&gt;=65,W239&lt;110),0.17,0)+IF(AND(V239&gt;=75,V239&lt;=175,W239&gt;=110),0.12,0)+IF(AND(V239&gt;175,W239&lt;25),0.3,0)+IF(AND(V239&gt;175,W239&gt;=25,W239&lt;55),0.23,0)+IF(AND(V239&gt;175,W239&gt;=55,W239&lt;95),0.17,0)+IF(AND(V239&gt;175,W239&gt;=95),0.12,0),
IF(AF239="DoEVsu",IF(AND(V239&lt;20,W239&lt;55),0.3,0)+IF(AND(V239&lt;20,W239&gt;=55,W239&lt;105),0.23,0)+IF(AND(V239&lt;20,W239&gt;=105),0.17,0)+IF(AND(V239&gt;=20,V239&lt;40,W239&lt;45),0.3,0)+IF(AND(V239&gt;=20,V239&lt;40,W239&gt;=45,W239&lt;95),0.23,0)+IF(AND(V239&gt;=20,V239&lt;40,W239&gt;=95,W239&lt;=250),0.17,0)+IF(AND(V239&gt;=20,V239&lt;40,W239&gt;=250),0.12,0)+IF(AND(V239&gt;=40,V239&lt;75,W239&lt;35),0.3,0)+IF(AND(V239&gt;=40,V239&lt;75,W239&gt;=35,W239&lt;75),0.23,0)+IF(AND(V239&gt;=40,V239&lt;75,W239&gt;=75,W239&lt;120),0.17,0)+IF(AND(V239&gt;=40,V239&lt;75,W239&gt;=120),0.12,0)+IF(AND(V239&gt;=75,V239&lt;175,W239&lt;35),0.3,0)+IF(AND(V239&gt;=75,V239&lt;=175,W239&gt;=35,W239&lt;65),0.23,0)+IF(AND(V239&gt;=75,V239&lt;=175,W239&gt;=65,W239&lt;110),0.17,0)+IF(AND(V239&gt;=75,V239&lt;=175,W239&gt;=110),0.12,0)+IF(AND(V239&gt;175,W239&lt;25),0.3,0)+IF(AND(V239&gt;175,W239&gt;=25,W239&lt;55),0.23,0)+IF(AND(V239&gt;175,W239&gt;=55,W239&lt;95),0.17,0)+IF(AND(V239&gt;175,W239&gt;=95),0.12,0),
IF(AF239="DoEVni",IF(AND(V239&lt;20,W239&lt;55),0.3,0)+IF(AND(V239&lt;20,W239&gt;=55,W239&lt;105),0.23,0)+IF(AND(V239&lt;20,W239&gt;=105),0.17,0)+IF(AND(V239&gt;=20,V239&lt;40,W239&lt;45),0.3,0)+IF(AND(V239&gt;=20,V239&lt;40,W239&gt;=45,W239&lt;95),0.23,0)+IF(AND(V239&gt;=20,V239&lt;40,W239&gt;=95,W239&lt;=200),0.17,0)+IF(AND(V239&gt;=20,V239&lt;40,W239&gt;=200),0.12,0)+IF(AND(V239&gt;=40,V239&lt;75,W239&lt;35),0.3,0)+IF(AND(V239&gt;=40,V239&lt;75,W239&gt;=35,W239&lt;75),0.23,0)+IF(AND(V239&gt;=40,V239&lt;75,W239&gt;=75,W239&lt;120),0.17,0)+IF(AND(V239&gt;=40,V239&lt;75,W239&gt;=120),0.12,0)+IF(AND(V239&gt;=75,V239&lt;175,W239&lt;35),0.3,0)+IF(AND(V239&gt;=75,V239&lt;=175,W239&gt;=35,W239&lt;65),0.23,0)+IF(AND(V239&gt;=75,V239&lt;=175,W239&gt;=65,W239&lt;110),0.17,0)+IF(AND(V239&gt;=75,V239&lt;=175,W239&gt;=110),0.12,0)+IF(AND(V239&gt;175,W239&lt;25),0.3,0)+IF(AND(V239&gt;175,W239&gt;=25,W239&lt;55),0.23,0)+IF(AND(V239&gt;175,W239&gt;=55,W239&lt;95),0.17,0)+IF(AND(V239&gt;175,W239&gt;=95),0.12,0),
IF(AF239="DoEVLo",IF(AND(V239&lt;20,W239&lt;55),0.25,0)+IF(AND(V239&lt;20,W239&gt;=55,W239&lt;105),0.2,0)+IF(AND(V239&lt;20,W239&gt;=105),0.15,0)+IF(AND(V239&gt;=20,V239&lt;40,W239&lt;45),0.25,0)+IF(AND(V239&gt;=20,V239&lt;40,W239&gt;=45,W239&lt;95),0.2,0)+IF(AND(V239&gt;=20,V239&lt;40,W239&gt;=95),0.15,0)+IF(AND(V239&gt;=40,V239&lt;75,W239&lt;35),0.25,0)+IF(AND(V239&gt;=40,V239&lt;75,W239&gt;=35,W239&lt;75),0.2,0)+IF(AND(V239&gt;=40,V239&lt;75,W239&gt;=75,W239&lt;120),0.15,0)+IF(AND(V239&gt;=40,V239&lt;75,W239&gt;=120),0.1,0)+IF(AND(V239&gt;=75,V239&lt;175,W239&lt;35),0.25,0)+IF(AND(V239&gt;=75,V239&lt;=175,W239&gt;=35,W239&lt;65),0.2,0)+IF(AND(V239&gt;=75,V239&lt;=175,W239&gt;=65,W239&lt;110),0.15,0)+IF(AND(V239&gt;=75,V239&lt;=175,W239&gt;=110),0.1,0)+IF(AND(V239&gt;175,W239&lt;25),0.25,0)+IF(AND(V239&gt;175,W239&gt;=25,W239&lt;55),0.2,0)+IF(AND(V239&gt;175,W239&gt;=55,W239&lt;95),0.15,0)+IF(AND(V239&gt;175,W239&gt;=95),0.1,0))))))))))))))))</f>
        <v>0.25</v>
      </c>
      <c r="Y239" s="30">
        <f>IF(AG239="None",0,IF(AG239="Fix5",0.05,IF(AG239="Fix3.75",0.0375,IF(AG239="Fix10",0.1,IF(AG239="Fix3",0.03,0)))))</f>
        <v>0</v>
      </c>
      <c r="Z239" s="35">
        <f>T239-AA239-AB239</f>
        <v>288</v>
      </c>
      <c r="AA239" s="29">
        <f>IF(AD239="EUR",((T239-R239)*X239)*U239+(R239*X239),(T239*X239))</f>
        <v>96</v>
      </c>
      <c r="AB239" s="36">
        <f>IF(AD239="EUR",((T239-R239)*Y239)*U239+(R239*Y239),(T239*Y239))</f>
        <v>0</v>
      </c>
      <c r="AC239" s="37" t="b">
        <v>1</v>
      </c>
      <c r="AD239" s="37" t="s">
        <v>38</v>
      </c>
      <c r="AE239" s="37" t="s">
        <v>38</v>
      </c>
      <c r="AF239" s="37" t="str">
        <f t="array" ref="AF239">INDEX('Deal Info'!D:D, MATCH(A239,'Deal Info'!A:A, 0))</f>
        <v>DoEVLo</v>
      </c>
      <c r="AG239" s="38" t="str">
        <f t="array" ref="AG239">INDEX('Deal Info'!G:G, MATCH(A239,'Deal Info'!A:A, 0))</f>
        <v>None</v>
      </c>
    </row>
    <row r="240" spans="1:33" ht="14.25" hidden="1" x14ac:dyDescent="0.2">
      <c r="A240" s="18" t="str">
        <f t="array" ref="A240">IF(G240='Room Info'!$B$1, INDEX('Room Info'!$A$2:$A2446, MATCH(B240,'Room Info'!$B$2:$B2446, 0)),IF(G240='Room Info'!$C$1, INDEX('Room Info'!$A$2:$A2446, MATCH(B240,'Room Info'!$C$2:$C2446, 0)),IF(G240='Room Info'!$D$1, INDEX('Room Info'!$A$2:$A2446, MATCH(B240,'Room Info'!$D$2:$D2446, 0)),IF(G240='Room Info'!$E$1, INDEX('Room Info'!$A$2:$A2446, MATCH(B240,'Room Info'!$E$2:$E2446, 0)),IF(G240='Room Info'!$F$1, INDEX('Room Info'!$A$2:$A2446, MATCH(B240,'Room Info'!$F$2:$F2446, 0)),IF(G240='Room Info'!$H$1, INDEX('Room Info'!$A$2:$A2446, MATCH(B240,'Room Info'!$H$2:$H2446, 0)),IF(G240='Room Info'!$G$1, INDEX('Room Info'!$A$2:$A2446, MATCH(B240,'Room Info'!$G$2:$G2446, 0)))))))))</f>
        <v>Lo4io</v>
      </c>
      <c r="B240" s="45" t="s">
        <v>102</v>
      </c>
      <c r="C240" s="92">
        <v>44886</v>
      </c>
      <c r="D240" s="92">
        <v>44915</v>
      </c>
      <c r="E240" s="47">
        <v>44896</v>
      </c>
      <c r="F240" s="48" t="s">
        <v>34</v>
      </c>
      <c r="G240" s="45" t="s">
        <v>35</v>
      </c>
      <c r="H240" s="49" t="s">
        <v>70</v>
      </c>
      <c r="I240" s="49" t="s">
        <v>37</v>
      </c>
      <c r="J240" s="70">
        <v>100</v>
      </c>
      <c r="K240" s="71">
        <v>731</v>
      </c>
      <c r="L240" s="94">
        <v>-2300</v>
      </c>
      <c r="M240" s="76">
        <v>2399</v>
      </c>
      <c r="N240" s="28">
        <f>K240*J240</f>
        <v>73100</v>
      </c>
      <c r="O240" s="58">
        <v>12441</v>
      </c>
      <c r="P240" s="29">
        <v>17.01915185</v>
      </c>
      <c r="Q240" s="55"/>
      <c r="R240" s="31">
        <f>M240+Q240</f>
        <v>2399</v>
      </c>
      <c r="S240" s="95">
        <v>-1606</v>
      </c>
      <c r="T240" s="32">
        <f>R240+S240+IF(F240="Without EV deal",L240,0)</f>
        <v>793</v>
      </c>
      <c r="U240" s="57">
        <v>1</v>
      </c>
      <c r="V240" s="69">
        <v>59.405092313261733</v>
      </c>
      <c r="W240" s="69">
        <v>25.570198460257167</v>
      </c>
      <c r="X240" s="30">
        <f>IF(AF240="DoEV",IF(AND(V240&lt;20,W240&lt;55),0.3,0)+IF(AND(V240&lt;20,W240&gt;=55,W240&lt;105),0.23,0)+IF(AND(V240&lt;20,W240&gt;=105),0.17,0)+IF(AND(V240&gt;=20,V240&lt;40,W240&lt;45),0.3,0)+IF(AND(V240&gt;=20,V240&lt;40,W240&gt;=45,W240&lt;95),0.23,0)+IF(AND(V240&gt;=20,V240&lt;40,W240&gt;=95),0.17,0)+IF(AND(V240&gt;=40,V240&lt;75,W240&lt;35),0.3,0)+IF(AND(V240&gt;=40,V240&lt;75,W240&gt;=35,W240&lt;75),0.23,0)+IF(AND(V240&gt;=40,V240&lt;75,W240&gt;=75,W240&lt;120),0.17,0)+IF(AND(V240&gt;=40,V240&lt;75,W240&gt;=120),0.12,0)+IF(AND(V240&gt;=75,V240&lt;175,W240&lt;35),0.3,0)+IF(AND(V240&gt;=75,V240&lt;=175,W240&gt;=35,W240&lt;65),0.23,0)+IF(AND(V240&gt;=75,V240&lt;=175,W240&gt;=65,W240&lt;110),0.17,0)+IF(AND(V240&gt;=75,V240&lt;=175,W240&gt;=110),0.12,0)+IF(AND(V240&gt;175,W240&lt;25),0.3,0)+IF(AND(V240&gt;175,W240&gt;=25,W240&lt;55),0.23,0)+IF(AND(V240&gt;175,W240&gt;=55,W240&lt;95),0.17,0)+IF(AND(V240&gt;175,W240&gt;=95),0.12,0),
IF(AF240="Fix15",0.15,
IF(AF240="Fix11.25",0.1125,
IF(AF240="Fix10",0.1,
IF(AF240="Fix9",0.09,
IF(AF240="DoEV2017",IF(AND(W240&lt;74),0.2,0)+IF(AND(W240&gt;=74),0.17,0),
IF(AF240="SF",IF(AND(V240&lt;20,W240&lt;89),0.3,0)+IF(AND(V240&lt;20,W240&gt;=89),0.25,0)+IF(AND(V240&gt;=20,V240&lt;40,W240&lt;74),0.3,0)+IF(AND(V240&gt;=20,V240&lt;40,W240&gt;=75),0.22,0)+IF(AND(V240&gt;=40,V240&lt;75,W240&lt;75),0.26,0)+IF(AND(V240&gt;=40,V240&lt;75,W240&gt;=75),0.22,0)+IF(V240&gt;=75,0.22,0),
IF(AF240="DoEVold",IF(AND(V240&lt;40,W240&lt;35),0.35,0)+IF(AND(V240&lt;40,W240&gt;=35,W240&lt;75),0.25,0)+IF(AND(V240&lt;40,W240&gt;=75),0.17,0)+IF(AND(V240&gt;=40,V240&lt;75,W240&lt;25),0.35,0)+IF(AND(V240&gt;=40,V240&lt;75,W240&gt;=25,W240&lt;65),0.25,0)+IF(AND(V240&gt;=40,V240&lt;75,W240&gt;=65,W240&lt;100),0.17,0)+IF(AND(V240&gt;=40,V240&lt;75,W240&gt;=100),0.1,0)+IF(AND(V240&gt;=75,W240&lt;25),0.35,0)+IF(AND(V240&gt;=75,W240&gt;=25,W240&lt;60),0.25,0)+IF(AND(V240&gt;=75,W240&gt;=60,W240&lt;95),0.17,0)+IF(AND(V240&gt;=75,W240&gt;=95),0.1,0),
IF(AF240="DoEVold15",IF(AND(V240&lt;=40,W240&lt;35),0.35,0)+IF(AND(V240&lt;=40,W240&gt;=35,W240&lt;75),0.25,0)+IF(AND(V240&lt;=40,W240&gt;=75,W240&lt;120),0.17,0)+IF(AND(V240&lt;=40,W240&gt;=120),0.15,0)+IF(AND(V240&gt;40,V240&lt;75,W240&lt;25),0.35,0)+IF(AND(V240&gt;=40,V240&lt;75,W240&gt;=25,W240&lt;65),0.25,0)+IF(AND(V240&gt;=40,V240&lt;75,W240&gt;=65,W240&lt;100),0.17,0)+IF(AND(V240&gt;=40,V240&lt;75,W240&gt;=100),0.1,0)+IF(AND(V240&gt;=75,W240&lt;25),0.35,0)+IF(AND(V240&gt;=75,W240&gt;=25,W240&lt;60),0.25,0)+IF(AND(V240&gt;=75,W240&gt;=60,W240&lt;95),0.17,0)+IF(AND(V240&gt;=75,W240&gt;=95),0.1,0),
IF(AF240="DoEVba",IF(AND(V240&lt;20,W240&lt;105),0.2,0)+IF(AND(V240&lt;20,W240&gt;=105),0.15,0)+IF(AND(V240&gt;=20,V240&lt;40,W240&lt;95),0.2,0)+IF(AND(V240&gt;=20,V240&lt;40,W240&gt;=95,W240&lt;150),0.15,0)+IF(AND(V240&gt;=20,V240&lt;40,W240&gt;=150),0.12,0)+IF(AND(V240&gt;=40,V240&lt;75,W240&lt;75),0.2,0)+IF(AND(V240&gt;=40,V240&lt;75,W240&gt;=75,W240&lt;120),0.15,0)+IF(AND(V240&gt;=40,V240&lt;75,W240&gt;=120),0.12,0)+IF(AND(V240&gt;=75,V240&lt;175,W240&lt;65),0.2,0)+IF(AND(V240&gt;=75,V240&lt;175,W240&gt;=65,W240&lt;110),0.15,0)+IF(AND(V240&gt;=75,V240&lt;175,W240&gt;=110),0.12,0)+IF(AND(V240&gt;=175,W240&lt;55),0.2,0)+IF(AND(V240&gt;=175,W240&gt;=55,W240&lt;95),0.15,0)+IF(AND(V240&gt;=175,W240&gt;=95),0.12,0),
IF(AF240="DoEVku",IF(AND(V240&lt;20,W240&lt;55),0.23,0)+IF(AND(V240&lt;20,W240&gt;=55,W240&lt;105),0.2,0)+IF(AND(V240&lt;20,W240&gt;=105),0.17,0)+IF(AND(V240&gt;=20,V240&lt;40,W240&lt;45),0.23,0)+IF(AND(V240&gt;=20,V240&lt;40,W240&gt;=45,W240&lt;95),0.2,0)+IF(AND(V240&gt;=20,V240&lt;40,W240&gt;=95,W240&lt;=150),0.17,0)+IF(AND(V240&gt;=20,V240&lt;40,W240&gt;=150),0.12,0)+IF(AND(V240&gt;=40,V240&lt;75,W240&lt;35),0.23,0)+IF(AND(V240&gt;=40,V240&lt;75,W240&gt;=35,W240&lt;75),0.2,0)+IF(AND(V240&gt;=40,V240&lt;75,W240&gt;=75,W240&lt;120),0.17,0)+IF(AND(V240&gt;=40,V240&lt;75,W240&gt;=120),0.12,0)+IF(AND(V240&gt;=75,V240&lt;175,W240&lt;35),0.23,0)+IF(AND(V240&gt;=75,V240&lt;=175,W240&gt;=35,W240&lt;65),0.2,0)+IF(AND(V240&gt;=75,V240&lt;=175,W240&gt;=65,W240&lt;110),0.17,0)+IF(AND(V240&gt;=75,V240&lt;=175,W240&gt;=110),0.12,0)+IF(AND(V240&gt;175,W240&lt;25),0.23,0)+IF(AND(V240&gt;175,W240&gt;=25,W240&lt;55),0.2,0)+IF(AND(V240&gt;175,W240&gt;=55,W240&lt;95),0.17,0)+IF(AND(V240&gt;175,W240&gt;=95),0.12,0),
IF(AF240="DoEVs1",IF(AND(V240&lt;20,W240&lt;55),0.3,0)+IF(AND(V240&lt;20,W240&gt;=55,W240&lt;105),0.23,0)+IF(AND(V240&lt;20,W240&gt;=105),0.17,0)+IF(AND(V240&gt;=20,V240&lt;40,W240&lt;45),0.3,0)+IF(AND(V240&gt;=20,V240&lt;40,W240&gt;=45,W240&lt;95),0.23,0)+IF(AND(V240&gt;=20,V240&lt;40,W240&gt;=95,W240&lt;=150),0.17,0)+IF(AND(V240&gt;=20,V240&lt;40,W240&gt;=150),0.12,0)+IF(AND(V240&gt;=40,V240&lt;75,W240&lt;35),0.3,0)+IF(AND(V240&gt;=40,V240&lt;75,W240&gt;=35,W240&lt;75),0.23,0)+IF(AND(V240&gt;=40,V240&lt;75,W240&gt;=75,W240&lt;120),0.17,0)+IF(AND(V240&gt;=40,V240&lt;75,W240&gt;=120),0.12,0)+IF(AND(V240&gt;=75,V240&lt;175,W240&lt;35),0.3,0)+IF(AND(V240&gt;=75,V240&lt;=175,W240&gt;=35,W240&lt;65),0.23,0)+IF(AND(V240&gt;=75,V240&lt;=175,W240&gt;=65,W240&lt;110),0.17,0)+IF(AND(V240&gt;=75,V240&lt;=175,W240&gt;=110),0.12,0)+IF(AND(V240&gt;175,W240&lt;25),0.3,0)+IF(AND(V240&gt;175,W240&gt;=25,W240&lt;55),0.23,0)+IF(AND(V240&gt;175,W240&gt;=55,W240&lt;95),0.17,0)+IF(AND(V240&gt;175,W240&gt;=95),0.12,0),
IF(AF240="DoEVsu",IF(AND(V240&lt;20,W240&lt;55),0.3,0)+IF(AND(V240&lt;20,W240&gt;=55,W240&lt;105),0.23,0)+IF(AND(V240&lt;20,W240&gt;=105),0.17,0)+IF(AND(V240&gt;=20,V240&lt;40,W240&lt;45),0.3,0)+IF(AND(V240&gt;=20,V240&lt;40,W240&gt;=45,W240&lt;95),0.23,0)+IF(AND(V240&gt;=20,V240&lt;40,W240&gt;=95,W240&lt;=250),0.17,0)+IF(AND(V240&gt;=20,V240&lt;40,W240&gt;=250),0.12,0)+IF(AND(V240&gt;=40,V240&lt;75,W240&lt;35),0.3,0)+IF(AND(V240&gt;=40,V240&lt;75,W240&gt;=35,W240&lt;75),0.23,0)+IF(AND(V240&gt;=40,V240&lt;75,W240&gt;=75,W240&lt;120),0.17,0)+IF(AND(V240&gt;=40,V240&lt;75,W240&gt;=120),0.12,0)+IF(AND(V240&gt;=75,V240&lt;175,W240&lt;35),0.3,0)+IF(AND(V240&gt;=75,V240&lt;=175,W240&gt;=35,W240&lt;65),0.23,0)+IF(AND(V240&gt;=75,V240&lt;=175,W240&gt;=65,W240&lt;110),0.17,0)+IF(AND(V240&gt;=75,V240&lt;=175,W240&gt;=110),0.12,0)+IF(AND(V240&gt;175,W240&lt;25),0.3,0)+IF(AND(V240&gt;175,W240&gt;=25,W240&lt;55),0.23,0)+IF(AND(V240&gt;175,W240&gt;=55,W240&lt;95),0.17,0)+IF(AND(V240&gt;175,W240&gt;=95),0.12,0),
IF(AF240="DoEVni",IF(AND(V240&lt;20,W240&lt;55),0.3,0)+IF(AND(V240&lt;20,W240&gt;=55,W240&lt;105),0.23,0)+IF(AND(V240&lt;20,W240&gt;=105),0.17,0)+IF(AND(V240&gt;=20,V240&lt;40,W240&lt;45),0.3,0)+IF(AND(V240&gt;=20,V240&lt;40,W240&gt;=45,W240&lt;95),0.23,0)+IF(AND(V240&gt;=20,V240&lt;40,W240&gt;=95,W240&lt;=200),0.17,0)+IF(AND(V240&gt;=20,V240&lt;40,W240&gt;=200),0.12,0)+IF(AND(V240&gt;=40,V240&lt;75,W240&lt;35),0.3,0)+IF(AND(V240&gt;=40,V240&lt;75,W240&gt;=35,W240&lt;75),0.23,0)+IF(AND(V240&gt;=40,V240&lt;75,W240&gt;=75,W240&lt;120),0.17,0)+IF(AND(V240&gt;=40,V240&lt;75,W240&gt;=120),0.12,0)+IF(AND(V240&gt;=75,V240&lt;175,W240&lt;35),0.3,0)+IF(AND(V240&gt;=75,V240&lt;=175,W240&gt;=35,W240&lt;65),0.23,0)+IF(AND(V240&gt;=75,V240&lt;=175,W240&gt;=65,W240&lt;110),0.17,0)+IF(AND(V240&gt;=75,V240&lt;=175,W240&gt;=110),0.12,0)+IF(AND(V240&gt;175,W240&lt;25),0.3,0)+IF(AND(V240&gt;175,W240&gt;=25,W240&lt;55),0.23,0)+IF(AND(V240&gt;175,W240&gt;=55,W240&lt;95),0.17,0)+IF(AND(V240&gt;175,W240&gt;=95),0.12,0),
IF(AF240="DoEVLo",IF(AND(V240&lt;20,W240&lt;55),0.25,0)+IF(AND(V240&lt;20,W240&gt;=55,W240&lt;105),0.2,0)+IF(AND(V240&lt;20,W240&gt;=105),0.15,0)+IF(AND(V240&gt;=20,V240&lt;40,W240&lt;45),0.25,0)+IF(AND(V240&gt;=20,V240&lt;40,W240&gt;=45,W240&lt;95),0.2,0)+IF(AND(V240&gt;=20,V240&lt;40,W240&gt;=95),0.15,0)+IF(AND(V240&gt;=40,V240&lt;75,W240&lt;35),0.25,0)+IF(AND(V240&gt;=40,V240&lt;75,W240&gt;=35,W240&lt;75),0.2,0)+IF(AND(V240&gt;=40,V240&lt;75,W240&gt;=75,W240&lt;120),0.15,0)+IF(AND(V240&gt;=40,V240&lt;75,W240&gt;=120),0.1,0)+IF(AND(V240&gt;=75,V240&lt;175,W240&lt;35),0.25,0)+IF(AND(V240&gt;=75,V240&lt;=175,W240&gt;=35,W240&lt;65),0.2,0)+IF(AND(V240&gt;=75,V240&lt;=175,W240&gt;=65,W240&lt;110),0.15,0)+IF(AND(V240&gt;=75,V240&lt;=175,W240&gt;=110),0.1,0)+IF(AND(V240&gt;175,W240&lt;25),0.25,0)+IF(AND(V240&gt;175,W240&gt;=25,W240&lt;55),0.2,0)+IF(AND(V240&gt;175,W240&gt;=55,W240&lt;95),0.15,0)+IF(AND(V240&gt;175,W240&gt;=95),0.1,0))))))))))))))))</f>
        <v>0.25</v>
      </c>
      <c r="Y240" s="30">
        <f>IF(AG240="None",0,IF(AG240="Fix5",0.05,IF(AG240="Fix3.75",0.0375,IF(AG240="Fix10",0.1,IF(AG240="Fix3",0.03,0)))))</f>
        <v>0</v>
      </c>
      <c r="Z240" s="35">
        <f>T240-AA240-AB240</f>
        <v>594.75</v>
      </c>
      <c r="AA240" s="29">
        <f>IF(AD240="EUR",((T240-R240)*X240)*U240+(R240*X240),(T240*X240))</f>
        <v>198.25</v>
      </c>
      <c r="AB240" s="36">
        <f>IF(AD240="EUR",((T240-R240)*Y240)*U240+(R240*Y240),(T240*Y240))</f>
        <v>0</v>
      </c>
      <c r="AC240" s="37" t="b">
        <v>1</v>
      </c>
      <c r="AD240" s="37" t="s">
        <v>38</v>
      </c>
      <c r="AE240" s="37" t="s">
        <v>38</v>
      </c>
      <c r="AF240" s="37" t="str">
        <f t="array" ref="AF240">INDEX('Deal Info'!D:D, MATCH(A240,'Deal Info'!A:A, 0))</f>
        <v>DoEVLo</v>
      </c>
      <c r="AG240" s="38" t="str">
        <f t="array" ref="AG240">INDEX('Deal Info'!G:G, MATCH(A240,'Deal Info'!A:A, 0))</f>
        <v>None</v>
      </c>
    </row>
    <row r="241" spans="1:33" ht="14.25" hidden="1" x14ac:dyDescent="0.2">
      <c r="A241" s="18" t="str">
        <f t="array" ref="A241">IF(G241='Room Info'!$B$1, INDEX('Room Info'!$A$2:$A2446, MATCH(B241,'Room Info'!$B$2:$B2446, 0)),IF(G241='Room Info'!$C$1, INDEX('Room Info'!$A$2:$A2446, MATCH(B241,'Room Info'!$C$2:$C2446, 0)),IF(G241='Room Info'!$D$1, INDEX('Room Info'!$A$2:$A2446, MATCH(B241,'Room Info'!$D$2:$D2446, 0)),IF(G241='Room Info'!$E$1, INDEX('Room Info'!$A$2:$A2446, MATCH(B241,'Room Info'!$E$2:$E2446, 0)),IF(G241='Room Info'!$F$1, INDEX('Room Info'!$A$2:$A2446, MATCH(B241,'Room Info'!$F$2:$F2446, 0)),IF(G241='Room Info'!$H$1, INDEX('Room Info'!$A$2:$A2446, MATCH(B241,'Room Info'!$H$2:$H2446, 0)),IF(G241='Room Info'!$G$1, INDEX('Room Info'!$A$2:$A2446, MATCH(B241,'Room Info'!$G$2:$G2446, 0)))))))))</f>
        <v>Lo4io</v>
      </c>
      <c r="B241" s="45" t="s">
        <v>102</v>
      </c>
      <c r="C241" s="92">
        <v>44886</v>
      </c>
      <c r="D241" s="92">
        <v>44915</v>
      </c>
      <c r="E241" s="47">
        <v>44896</v>
      </c>
      <c r="F241" s="48" t="s">
        <v>34</v>
      </c>
      <c r="G241" s="45" t="s">
        <v>35</v>
      </c>
      <c r="H241" s="49" t="s">
        <v>84</v>
      </c>
      <c r="I241" s="49" t="s">
        <v>44</v>
      </c>
      <c r="J241" s="70">
        <v>100</v>
      </c>
      <c r="K241" s="71">
        <v>1729</v>
      </c>
      <c r="L241" s="94">
        <v>-6900</v>
      </c>
      <c r="M241" s="76">
        <v>5674</v>
      </c>
      <c r="N241" s="28">
        <f>K241*J241</f>
        <v>172900</v>
      </c>
      <c r="O241" s="58">
        <v>3126</v>
      </c>
      <c r="P241" s="29">
        <v>1.8079814919999999</v>
      </c>
      <c r="Q241" s="55"/>
      <c r="R241" s="31">
        <f>M241+Q241</f>
        <v>5674</v>
      </c>
      <c r="S241" s="95">
        <v>-8337</v>
      </c>
      <c r="T241" s="32">
        <f>R241+S241+IF(F241="Without EV deal",L241,0)</f>
        <v>-2663</v>
      </c>
      <c r="U241" s="57">
        <v>1</v>
      </c>
      <c r="V241" s="69">
        <v>59.405092313261733</v>
      </c>
      <c r="W241" s="69">
        <v>25.570198460257167</v>
      </c>
      <c r="X241" s="30">
        <f>IF(AF241="DoEV",IF(AND(V241&lt;20,W241&lt;55),0.3,0)+IF(AND(V241&lt;20,W241&gt;=55,W241&lt;105),0.23,0)+IF(AND(V241&lt;20,W241&gt;=105),0.17,0)+IF(AND(V241&gt;=20,V241&lt;40,W241&lt;45),0.3,0)+IF(AND(V241&gt;=20,V241&lt;40,W241&gt;=45,W241&lt;95),0.23,0)+IF(AND(V241&gt;=20,V241&lt;40,W241&gt;=95),0.17,0)+IF(AND(V241&gt;=40,V241&lt;75,W241&lt;35),0.3,0)+IF(AND(V241&gt;=40,V241&lt;75,W241&gt;=35,W241&lt;75),0.23,0)+IF(AND(V241&gt;=40,V241&lt;75,W241&gt;=75,W241&lt;120),0.17,0)+IF(AND(V241&gt;=40,V241&lt;75,W241&gt;=120),0.12,0)+IF(AND(V241&gt;=75,V241&lt;175,W241&lt;35),0.3,0)+IF(AND(V241&gt;=75,V241&lt;=175,W241&gt;=35,W241&lt;65),0.23,0)+IF(AND(V241&gt;=75,V241&lt;=175,W241&gt;=65,W241&lt;110),0.17,0)+IF(AND(V241&gt;=75,V241&lt;=175,W241&gt;=110),0.12,0)+IF(AND(V241&gt;175,W241&lt;25),0.3,0)+IF(AND(V241&gt;175,W241&gt;=25,W241&lt;55),0.23,0)+IF(AND(V241&gt;175,W241&gt;=55,W241&lt;95),0.17,0)+IF(AND(V241&gt;175,W241&gt;=95),0.12,0),
IF(AF241="Fix15",0.15,
IF(AF241="Fix11.25",0.1125,
IF(AF241="Fix10",0.1,
IF(AF241="Fix9",0.09,
IF(AF241="DoEV2017",IF(AND(W241&lt;74),0.2,0)+IF(AND(W241&gt;=74),0.17,0),
IF(AF241="SF",IF(AND(V241&lt;20,W241&lt;89),0.3,0)+IF(AND(V241&lt;20,W241&gt;=89),0.25,0)+IF(AND(V241&gt;=20,V241&lt;40,W241&lt;74),0.3,0)+IF(AND(V241&gt;=20,V241&lt;40,W241&gt;=75),0.22,0)+IF(AND(V241&gt;=40,V241&lt;75,W241&lt;75),0.26,0)+IF(AND(V241&gt;=40,V241&lt;75,W241&gt;=75),0.22,0)+IF(V241&gt;=75,0.22,0),
IF(AF241="DoEVold",IF(AND(V241&lt;40,W241&lt;35),0.35,0)+IF(AND(V241&lt;40,W241&gt;=35,W241&lt;75),0.25,0)+IF(AND(V241&lt;40,W241&gt;=75),0.17,0)+IF(AND(V241&gt;=40,V241&lt;75,W241&lt;25),0.35,0)+IF(AND(V241&gt;=40,V241&lt;75,W241&gt;=25,W241&lt;65),0.25,0)+IF(AND(V241&gt;=40,V241&lt;75,W241&gt;=65,W241&lt;100),0.17,0)+IF(AND(V241&gt;=40,V241&lt;75,W241&gt;=100),0.1,0)+IF(AND(V241&gt;=75,W241&lt;25),0.35,0)+IF(AND(V241&gt;=75,W241&gt;=25,W241&lt;60),0.25,0)+IF(AND(V241&gt;=75,W241&gt;=60,W241&lt;95),0.17,0)+IF(AND(V241&gt;=75,W241&gt;=95),0.1,0),
IF(AF241="DoEVold15",IF(AND(V241&lt;=40,W241&lt;35),0.35,0)+IF(AND(V241&lt;=40,W241&gt;=35,W241&lt;75),0.25,0)+IF(AND(V241&lt;=40,W241&gt;=75,W241&lt;120),0.17,0)+IF(AND(V241&lt;=40,W241&gt;=120),0.15,0)+IF(AND(V241&gt;40,V241&lt;75,W241&lt;25),0.35,0)+IF(AND(V241&gt;=40,V241&lt;75,W241&gt;=25,W241&lt;65),0.25,0)+IF(AND(V241&gt;=40,V241&lt;75,W241&gt;=65,W241&lt;100),0.17,0)+IF(AND(V241&gt;=40,V241&lt;75,W241&gt;=100),0.1,0)+IF(AND(V241&gt;=75,W241&lt;25),0.35,0)+IF(AND(V241&gt;=75,W241&gt;=25,W241&lt;60),0.25,0)+IF(AND(V241&gt;=75,W241&gt;=60,W241&lt;95),0.17,0)+IF(AND(V241&gt;=75,W241&gt;=95),0.1,0),
IF(AF241="DoEVba",IF(AND(V241&lt;20,W241&lt;105),0.2,0)+IF(AND(V241&lt;20,W241&gt;=105),0.15,0)+IF(AND(V241&gt;=20,V241&lt;40,W241&lt;95),0.2,0)+IF(AND(V241&gt;=20,V241&lt;40,W241&gt;=95,W241&lt;150),0.15,0)+IF(AND(V241&gt;=20,V241&lt;40,W241&gt;=150),0.12,0)+IF(AND(V241&gt;=40,V241&lt;75,W241&lt;75),0.2,0)+IF(AND(V241&gt;=40,V241&lt;75,W241&gt;=75,W241&lt;120),0.15,0)+IF(AND(V241&gt;=40,V241&lt;75,W241&gt;=120),0.12,0)+IF(AND(V241&gt;=75,V241&lt;175,W241&lt;65),0.2,0)+IF(AND(V241&gt;=75,V241&lt;175,W241&gt;=65,W241&lt;110),0.15,0)+IF(AND(V241&gt;=75,V241&lt;175,W241&gt;=110),0.12,0)+IF(AND(V241&gt;=175,W241&lt;55),0.2,0)+IF(AND(V241&gt;=175,W241&gt;=55,W241&lt;95),0.15,0)+IF(AND(V241&gt;=175,W241&gt;=95),0.12,0),
IF(AF241="DoEVku",IF(AND(V241&lt;20,W241&lt;55),0.23,0)+IF(AND(V241&lt;20,W241&gt;=55,W241&lt;105),0.2,0)+IF(AND(V241&lt;20,W241&gt;=105),0.17,0)+IF(AND(V241&gt;=20,V241&lt;40,W241&lt;45),0.23,0)+IF(AND(V241&gt;=20,V241&lt;40,W241&gt;=45,W241&lt;95),0.2,0)+IF(AND(V241&gt;=20,V241&lt;40,W241&gt;=95,W241&lt;=150),0.17,0)+IF(AND(V241&gt;=20,V241&lt;40,W241&gt;=150),0.12,0)+IF(AND(V241&gt;=40,V241&lt;75,W241&lt;35),0.23,0)+IF(AND(V241&gt;=40,V241&lt;75,W241&gt;=35,W241&lt;75),0.2,0)+IF(AND(V241&gt;=40,V241&lt;75,W241&gt;=75,W241&lt;120),0.17,0)+IF(AND(V241&gt;=40,V241&lt;75,W241&gt;=120),0.12,0)+IF(AND(V241&gt;=75,V241&lt;175,W241&lt;35),0.23,0)+IF(AND(V241&gt;=75,V241&lt;=175,W241&gt;=35,W241&lt;65),0.2,0)+IF(AND(V241&gt;=75,V241&lt;=175,W241&gt;=65,W241&lt;110),0.17,0)+IF(AND(V241&gt;=75,V241&lt;=175,W241&gt;=110),0.12,0)+IF(AND(V241&gt;175,W241&lt;25),0.23,0)+IF(AND(V241&gt;175,W241&gt;=25,W241&lt;55),0.2,0)+IF(AND(V241&gt;175,W241&gt;=55,W241&lt;95),0.17,0)+IF(AND(V241&gt;175,W241&gt;=95),0.12,0),
IF(AF241="DoEVs1",IF(AND(V241&lt;20,W241&lt;55),0.3,0)+IF(AND(V241&lt;20,W241&gt;=55,W241&lt;105),0.23,0)+IF(AND(V241&lt;20,W241&gt;=105),0.17,0)+IF(AND(V241&gt;=20,V241&lt;40,W241&lt;45),0.3,0)+IF(AND(V241&gt;=20,V241&lt;40,W241&gt;=45,W241&lt;95),0.23,0)+IF(AND(V241&gt;=20,V241&lt;40,W241&gt;=95,W241&lt;=150),0.17,0)+IF(AND(V241&gt;=20,V241&lt;40,W241&gt;=150),0.12,0)+IF(AND(V241&gt;=40,V241&lt;75,W241&lt;35),0.3,0)+IF(AND(V241&gt;=40,V241&lt;75,W241&gt;=35,W241&lt;75),0.23,0)+IF(AND(V241&gt;=40,V241&lt;75,W241&gt;=75,W241&lt;120),0.17,0)+IF(AND(V241&gt;=40,V241&lt;75,W241&gt;=120),0.12,0)+IF(AND(V241&gt;=75,V241&lt;175,W241&lt;35),0.3,0)+IF(AND(V241&gt;=75,V241&lt;=175,W241&gt;=35,W241&lt;65),0.23,0)+IF(AND(V241&gt;=75,V241&lt;=175,W241&gt;=65,W241&lt;110),0.17,0)+IF(AND(V241&gt;=75,V241&lt;=175,W241&gt;=110),0.12,0)+IF(AND(V241&gt;175,W241&lt;25),0.3,0)+IF(AND(V241&gt;175,W241&gt;=25,W241&lt;55),0.23,0)+IF(AND(V241&gt;175,W241&gt;=55,W241&lt;95),0.17,0)+IF(AND(V241&gt;175,W241&gt;=95),0.12,0),
IF(AF241="DoEVsu",IF(AND(V241&lt;20,W241&lt;55),0.3,0)+IF(AND(V241&lt;20,W241&gt;=55,W241&lt;105),0.23,0)+IF(AND(V241&lt;20,W241&gt;=105),0.17,0)+IF(AND(V241&gt;=20,V241&lt;40,W241&lt;45),0.3,0)+IF(AND(V241&gt;=20,V241&lt;40,W241&gt;=45,W241&lt;95),0.23,0)+IF(AND(V241&gt;=20,V241&lt;40,W241&gt;=95,W241&lt;=250),0.17,0)+IF(AND(V241&gt;=20,V241&lt;40,W241&gt;=250),0.12,0)+IF(AND(V241&gt;=40,V241&lt;75,W241&lt;35),0.3,0)+IF(AND(V241&gt;=40,V241&lt;75,W241&gt;=35,W241&lt;75),0.23,0)+IF(AND(V241&gt;=40,V241&lt;75,W241&gt;=75,W241&lt;120),0.17,0)+IF(AND(V241&gt;=40,V241&lt;75,W241&gt;=120),0.12,0)+IF(AND(V241&gt;=75,V241&lt;175,W241&lt;35),0.3,0)+IF(AND(V241&gt;=75,V241&lt;=175,W241&gt;=35,W241&lt;65),0.23,0)+IF(AND(V241&gt;=75,V241&lt;=175,W241&gt;=65,W241&lt;110),0.17,0)+IF(AND(V241&gt;=75,V241&lt;=175,W241&gt;=110),0.12,0)+IF(AND(V241&gt;175,W241&lt;25),0.3,0)+IF(AND(V241&gt;175,W241&gt;=25,W241&lt;55),0.23,0)+IF(AND(V241&gt;175,W241&gt;=55,W241&lt;95),0.17,0)+IF(AND(V241&gt;175,W241&gt;=95),0.12,0),
IF(AF241="DoEVni",IF(AND(V241&lt;20,W241&lt;55),0.3,0)+IF(AND(V241&lt;20,W241&gt;=55,W241&lt;105),0.23,0)+IF(AND(V241&lt;20,W241&gt;=105),0.17,0)+IF(AND(V241&gt;=20,V241&lt;40,W241&lt;45),0.3,0)+IF(AND(V241&gt;=20,V241&lt;40,W241&gt;=45,W241&lt;95),0.23,0)+IF(AND(V241&gt;=20,V241&lt;40,W241&gt;=95,W241&lt;=200),0.17,0)+IF(AND(V241&gt;=20,V241&lt;40,W241&gt;=200),0.12,0)+IF(AND(V241&gt;=40,V241&lt;75,W241&lt;35),0.3,0)+IF(AND(V241&gt;=40,V241&lt;75,W241&gt;=35,W241&lt;75),0.23,0)+IF(AND(V241&gt;=40,V241&lt;75,W241&gt;=75,W241&lt;120),0.17,0)+IF(AND(V241&gt;=40,V241&lt;75,W241&gt;=120),0.12,0)+IF(AND(V241&gt;=75,V241&lt;175,W241&lt;35),0.3,0)+IF(AND(V241&gt;=75,V241&lt;=175,W241&gt;=35,W241&lt;65),0.23,0)+IF(AND(V241&gt;=75,V241&lt;=175,W241&gt;=65,W241&lt;110),0.17,0)+IF(AND(V241&gt;=75,V241&lt;=175,W241&gt;=110),0.12,0)+IF(AND(V241&gt;175,W241&lt;25),0.3,0)+IF(AND(V241&gt;175,W241&gt;=25,W241&lt;55),0.23,0)+IF(AND(V241&gt;175,W241&gt;=55,W241&lt;95),0.17,0)+IF(AND(V241&gt;175,W241&gt;=95),0.12,0),
IF(AF241="DoEVLo",IF(AND(V241&lt;20,W241&lt;55),0.25,0)+IF(AND(V241&lt;20,W241&gt;=55,W241&lt;105),0.2,0)+IF(AND(V241&lt;20,W241&gt;=105),0.15,0)+IF(AND(V241&gt;=20,V241&lt;40,W241&lt;45),0.25,0)+IF(AND(V241&gt;=20,V241&lt;40,W241&gt;=45,W241&lt;95),0.2,0)+IF(AND(V241&gt;=20,V241&lt;40,W241&gt;=95),0.15,0)+IF(AND(V241&gt;=40,V241&lt;75,W241&lt;35),0.25,0)+IF(AND(V241&gt;=40,V241&lt;75,W241&gt;=35,W241&lt;75),0.2,0)+IF(AND(V241&gt;=40,V241&lt;75,W241&gt;=75,W241&lt;120),0.15,0)+IF(AND(V241&gt;=40,V241&lt;75,W241&gt;=120),0.1,0)+IF(AND(V241&gt;=75,V241&lt;175,W241&lt;35),0.25,0)+IF(AND(V241&gt;=75,V241&lt;=175,W241&gt;=35,W241&lt;65),0.2,0)+IF(AND(V241&gt;=75,V241&lt;=175,W241&gt;=65,W241&lt;110),0.15,0)+IF(AND(V241&gt;=75,V241&lt;=175,W241&gt;=110),0.1,0)+IF(AND(V241&gt;175,W241&lt;25),0.25,0)+IF(AND(V241&gt;175,W241&gt;=25,W241&lt;55),0.2,0)+IF(AND(V241&gt;175,W241&gt;=55,W241&lt;95),0.15,0)+IF(AND(V241&gt;175,W241&gt;=95),0.1,0))))))))))))))))</f>
        <v>0.25</v>
      </c>
      <c r="Y241" s="30">
        <f>IF(AG241="None",0,IF(AG241="Fix5",0.05,IF(AG241="Fix3.75",0.0375,IF(AG241="Fix10",0.1,IF(AG241="Fix3",0.03,0)))))</f>
        <v>0</v>
      </c>
      <c r="Z241" s="35">
        <f>T241-AA241-AB241</f>
        <v>-1997.25</v>
      </c>
      <c r="AA241" s="29">
        <f>IF(AD241="EUR",((T241-R241)*X241)*U241+(R241*X241),(T241*X241))</f>
        <v>-665.75</v>
      </c>
      <c r="AB241" s="36">
        <f>IF(AD241="EUR",((T241-R241)*Y241)*U241+(R241*Y241),(T241*Y241))</f>
        <v>0</v>
      </c>
      <c r="AC241" s="37" t="b">
        <v>1</v>
      </c>
      <c r="AD241" s="37" t="s">
        <v>38</v>
      </c>
      <c r="AE241" s="37" t="s">
        <v>38</v>
      </c>
      <c r="AF241" s="37" t="str">
        <f t="array" ref="AF241">INDEX('Deal Info'!D:D, MATCH(A241,'Deal Info'!A:A, 0))</f>
        <v>DoEVLo</v>
      </c>
      <c r="AG241" s="38" t="str">
        <f t="array" ref="AG241">INDEX('Deal Info'!G:G, MATCH(A241,'Deal Info'!A:A, 0))</f>
        <v>None</v>
      </c>
    </row>
    <row r="242" spans="1:33" ht="14.25" hidden="1" x14ac:dyDescent="0.2">
      <c r="A242" s="18" t="str">
        <f t="array" ref="A242">IF(G242='Room Info'!$B$1, INDEX('Room Info'!$A$2:$A2446, MATCH(B242,'Room Info'!$B$2:$B2446, 0)),IF(G242='Room Info'!$C$1, INDEX('Room Info'!$A$2:$A2446, MATCH(B242,'Room Info'!$C$2:$C2446, 0)),IF(G242='Room Info'!$D$1, INDEX('Room Info'!$A$2:$A2446, MATCH(B242,'Room Info'!$D$2:$D2446, 0)),IF(G242='Room Info'!$E$1, INDEX('Room Info'!$A$2:$A2446, MATCH(B242,'Room Info'!$E$2:$E2446, 0)),IF(G242='Room Info'!$F$1, INDEX('Room Info'!$A$2:$A2446, MATCH(B242,'Room Info'!$F$2:$F2446, 0)),IF(G242='Room Info'!$H$1, INDEX('Room Info'!$A$2:$A2446, MATCH(B242,'Room Info'!$H$2:$H2446, 0)),IF(G242='Room Info'!$G$1, INDEX('Room Info'!$A$2:$A2446, MATCH(B242,'Room Info'!$G$2:$G2446, 0)))))))))</f>
        <v>Lo4io</v>
      </c>
      <c r="B242" s="45" t="s">
        <v>97</v>
      </c>
      <c r="C242" s="92">
        <v>44886</v>
      </c>
      <c r="D242" s="92">
        <v>44915</v>
      </c>
      <c r="E242" s="47">
        <v>44896</v>
      </c>
      <c r="F242" s="48" t="s">
        <v>34</v>
      </c>
      <c r="G242" s="45" t="s">
        <v>80</v>
      </c>
      <c r="H242" s="49" t="s">
        <v>71</v>
      </c>
      <c r="I242" s="49" t="s">
        <v>81</v>
      </c>
      <c r="J242" s="70">
        <v>20</v>
      </c>
      <c r="K242" s="71">
        <v>42</v>
      </c>
      <c r="L242" s="94">
        <v>320</v>
      </c>
      <c r="M242" s="76">
        <v>57</v>
      </c>
      <c r="N242" s="28">
        <f>K242*J242</f>
        <v>840</v>
      </c>
      <c r="O242" s="58">
        <v>1645</v>
      </c>
      <c r="P242" s="29">
        <v>39.166666669999998</v>
      </c>
      <c r="Q242" s="55"/>
      <c r="R242" s="31">
        <f>M242+Q242</f>
        <v>57</v>
      </c>
      <c r="S242" s="95">
        <v>33</v>
      </c>
      <c r="T242" s="32">
        <f>R242+S242+IF(F242="Without EV deal",L242,0)</f>
        <v>90</v>
      </c>
      <c r="U242" s="57">
        <v>1</v>
      </c>
      <c r="V242" s="69">
        <v>59.405092313261733</v>
      </c>
      <c r="W242" s="69">
        <v>25.570198460257167</v>
      </c>
      <c r="X242" s="30">
        <f>IF(AF242="DoEV",IF(AND(V242&lt;20,W242&lt;55),0.3,0)+IF(AND(V242&lt;20,W242&gt;=55,W242&lt;105),0.23,0)+IF(AND(V242&lt;20,W242&gt;=105),0.17,0)+IF(AND(V242&gt;=20,V242&lt;40,W242&lt;45),0.3,0)+IF(AND(V242&gt;=20,V242&lt;40,W242&gt;=45,W242&lt;95),0.23,0)+IF(AND(V242&gt;=20,V242&lt;40,W242&gt;=95),0.17,0)+IF(AND(V242&gt;=40,V242&lt;75,W242&lt;35),0.3,0)+IF(AND(V242&gt;=40,V242&lt;75,W242&gt;=35,W242&lt;75),0.23,0)+IF(AND(V242&gt;=40,V242&lt;75,W242&gt;=75,W242&lt;120),0.17,0)+IF(AND(V242&gt;=40,V242&lt;75,W242&gt;=120),0.12,0)+IF(AND(V242&gt;=75,V242&lt;175,W242&lt;35),0.3,0)+IF(AND(V242&gt;=75,V242&lt;=175,W242&gt;=35,W242&lt;65),0.23,0)+IF(AND(V242&gt;=75,V242&lt;=175,W242&gt;=65,W242&lt;110),0.17,0)+IF(AND(V242&gt;=75,V242&lt;=175,W242&gt;=110),0.12,0)+IF(AND(V242&gt;175,W242&lt;25),0.3,0)+IF(AND(V242&gt;175,W242&gt;=25,W242&lt;55),0.23,0)+IF(AND(V242&gt;175,W242&gt;=55,W242&lt;95),0.17,0)+IF(AND(V242&gt;175,W242&gt;=95),0.12,0),
IF(AF242="Fix15",0.15,
IF(AF242="Fix11.25",0.1125,
IF(AF242="Fix10",0.1,
IF(AF242="Fix9",0.09,
IF(AF242="DoEV2017",IF(AND(W242&lt;74),0.2,0)+IF(AND(W242&gt;=74),0.17,0),
IF(AF242="SF",IF(AND(V242&lt;20,W242&lt;89),0.3,0)+IF(AND(V242&lt;20,W242&gt;=89),0.25,0)+IF(AND(V242&gt;=20,V242&lt;40,W242&lt;74),0.3,0)+IF(AND(V242&gt;=20,V242&lt;40,W242&gt;=75),0.22,0)+IF(AND(V242&gt;=40,V242&lt;75,W242&lt;75),0.26,0)+IF(AND(V242&gt;=40,V242&lt;75,W242&gt;=75),0.22,0)+IF(V242&gt;=75,0.22,0),
IF(AF242="DoEVold",IF(AND(V242&lt;40,W242&lt;35),0.35,0)+IF(AND(V242&lt;40,W242&gt;=35,W242&lt;75),0.25,0)+IF(AND(V242&lt;40,W242&gt;=75),0.17,0)+IF(AND(V242&gt;=40,V242&lt;75,W242&lt;25),0.35,0)+IF(AND(V242&gt;=40,V242&lt;75,W242&gt;=25,W242&lt;65),0.25,0)+IF(AND(V242&gt;=40,V242&lt;75,W242&gt;=65,W242&lt;100),0.17,0)+IF(AND(V242&gt;=40,V242&lt;75,W242&gt;=100),0.1,0)+IF(AND(V242&gt;=75,W242&lt;25),0.35,0)+IF(AND(V242&gt;=75,W242&gt;=25,W242&lt;60),0.25,0)+IF(AND(V242&gt;=75,W242&gt;=60,W242&lt;95),0.17,0)+IF(AND(V242&gt;=75,W242&gt;=95),0.1,0),
IF(AF242="DoEVold15",IF(AND(V242&lt;=40,W242&lt;35),0.35,0)+IF(AND(V242&lt;=40,W242&gt;=35,W242&lt;75),0.25,0)+IF(AND(V242&lt;=40,W242&gt;=75,W242&lt;120),0.17,0)+IF(AND(V242&lt;=40,W242&gt;=120),0.15,0)+IF(AND(V242&gt;40,V242&lt;75,W242&lt;25),0.35,0)+IF(AND(V242&gt;=40,V242&lt;75,W242&gt;=25,W242&lt;65),0.25,0)+IF(AND(V242&gt;=40,V242&lt;75,W242&gt;=65,W242&lt;100),0.17,0)+IF(AND(V242&gt;=40,V242&lt;75,W242&gt;=100),0.1,0)+IF(AND(V242&gt;=75,W242&lt;25),0.35,0)+IF(AND(V242&gt;=75,W242&gt;=25,W242&lt;60),0.25,0)+IF(AND(V242&gt;=75,W242&gt;=60,W242&lt;95),0.17,0)+IF(AND(V242&gt;=75,W242&gt;=95),0.1,0),
IF(AF242="DoEVba",IF(AND(V242&lt;20,W242&lt;105),0.2,0)+IF(AND(V242&lt;20,W242&gt;=105),0.15,0)+IF(AND(V242&gt;=20,V242&lt;40,W242&lt;95),0.2,0)+IF(AND(V242&gt;=20,V242&lt;40,W242&gt;=95,W242&lt;150),0.15,0)+IF(AND(V242&gt;=20,V242&lt;40,W242&gt;=150),0.12,0)+IF(AND(V242&gt;=40,V242&lt;75,W242&lt;75),0.2,0)+IF(AND(V242&gt;=40,V242&lt;75,W242&gt;=75,W242&lt;120),0.15,0)+IF(AND(V242&gt;=40,V242&lt;75,W242&gt;=120),0.12,0)+IF(AND(V242&gt;=75,V242&lt;175,W242&lt;65),0.2,0)+IF(AND(V242&gt;=75,V242&lt;175,W242&gt;=65,W242&lt;110),0.15,0)+IF(AND(V242&gt;=75,V242&lt;175,W242&gt;=110),0.12,0)+IF(AND(V242&gt;=175,W242&lt;55),0.2,0)+IF(AND(V242&gt;=175,W242&gt;=55,W242&lt;95),0.15,0)+IF(AND(V242&gt;=175,W242&gt;=95),0.12,0),
IF(AF242="DoEVku",IF(AND(V242&lt;20,W242&lt;55),0.23,0)+IF(AND(V242&lt;20,W242&gt;=55,W242&lt;105),0.2,0)+IF(AND(V242&lt;20,W242&gt;=105),0.17,0)+IF(AND(V242&gt;=20,V242&lt;40,W242&lt;45),0.23,0)+IF(AND(V242&gt;=20,V242&lt;40,W242&gt;=45,W242&lt;95),0.2,0)+IF(AND(V242&gt;=20,V242&lt;40,W242&gt;=95,W242&lt;=150),0.17,0)+IF(AND(V242&gt;=20,V242&lt;40,W242&gt;=150),0.12,0)+IF(AND(V242&gt;=40,V242&lt;75,W242&lt;35),0.23,0)+IF(AND(V242&gt;=40,V242&lt;75,W242&gt;=35,W242&lt;75),0.2,0)+IF(AND(V242&gt;=40,V242&lt;75,W242&gt;=75,W242&lt;120),0.17,0)+IF(AND(V242&gt;=40,V242&lt;75,W242&gt;=120),0.12,0)+IF(AND(V242&gt;=75,V242&lt;175,W242&lt;35),0.23,0)+IF(AND(V242&gt;=75,V242&lt;=175,W242&gt;=35,W242&lt;65),0.2,0)+IF(AND(V242&gt;=75,V242&lt;=175,W242&gt;=65,W242&lt;110),0.17,0)+IF(AND(V242&gt;=75,V242&lt;=175,W242&gt;=110),0.12,0)+IF(AND(V242&gt;175,W242&lt;25),0.23,0)+IF(AND(V242&gt;175,W242&gt;=25,W242&lt;55),0.2,0)+IF(AND(V242&gt;175,W242&gt;=55,W242&lt;95),0.17,0)+IF(AND(V242&gt;175,W242&gt;=95),0.12,0),
IF(AF242="DoEVs1",IF(AND(V242&lt;20,W242&lt;55),0.3,0)+IF(AND(V242&lt;20,W242&gt;=55,W242&lt;105),0.23,0)+IF(AND(V242&lt;20,W242&gt;=105),0.17,0)+IF(AND(V242&gt;=20,V242&lt;40,W242&lt;45),0.3,0)+IF(AND(V242&gt;=20,V242&lt;40,W242&gt;=45,W242&lt;95),0.23,0)+IF(AND(V242&gt;=20,V242&lt;40,W242&gt;=95,W242&lt;=150),0.17,0)+IF(AND(V242&gt;=20,V242&lt;40,W242&gt;=150),0.12,0)+IF(AND(V242&gt;=40,V242&lt;75,W242&lt;35),0.3,0)+IF(AND(V242&gt;=40,V242&lt;75,W242&gt;=35,W242&lt;75),0.23,0)+IF(AND(V242&gt;=40,V242&lt;75,W242&gt;=75,W242&lt;120),0.17,0)+IF(AND(V242&gt;=40,V242&lt;75,W242&gt;=120),0.12,0)+IF(AND(V242&gt;=75,V242&lt;175,W242&lt;35),0.3,0)+IF(AND(V242&gt;=75,V242&lt;=175,W242&gt;=35,W242&lt;65),0.23,0)+IF(AND(V242&gt;=75,V242&lt;=175,W242&gt;=65,W242&lt;110),0.17,0)+IF(AND(V242&gt;=75,V242&lt;=175,W242&gt;=110),0.12,0)+IF(AND(V242&gt;175,W242&lt;25),0.3,0)+IF(AND(V242&gt;175,W242&gt;=25,W242&lt;55),0.23,0)+IF(AND(V242&gt;175,W242&gt;=55,W242&lt;95),0.17,0)+IF(AND(V242&gt;175,W242&gt;=95),0.12,0),
IF(AF242="DoEVsu",IF(AND(V242&lt;20,W242&lt;55),0.3,0)+IF(AND(V242&lt;20,W242&gt;=55,W242&lt;105),0.23,0)+IF(AND(V242&lt;20,W242&gt;=105),0.17,0)+IF(AND(V242&gt;=20,V242&lt;40,W242&lt;45),0.3,0)+IF(AND(V242&gt;=20,V242&lt;40,W242&gt;=45,W242&lt;95),0.23,0)+IF(AND(V242&gt;=20,V242&lt;40,W242&gt;=95,W242&lt;=250),0.17,0)+IF(AND(V242&gt;=20,V242&lt;40,W242&gt;=250),0.12,0)+IF(AND(V242&gt;=40,V242&lt;75,W242&lt;35),0.3,0)+IF(AND(V242&gt;=40,V242&lt;75,W242&gt;=35,W242&lt;75),0.23,0)+IF(AND(V242&gt;=40,V242&lt;75,W242&gt;=75,W242&lt;120),0.17,0)+IF(AND(V242&gt;=40,V242&lt;75,W242&gt;=120),0.12,0)+IF(AND(V242&gt;=75,V242&lt;175,W242&lt;35),0.3,0)+IF(AND(V242&gt;=75,V242&lt;=175,W242&gt;=35,W242&lt;65),0.23,0)+IF(AND(V242&gt;=75,V242&lt;=175,W242&gt;=65,W242&lt;110),0.17,0)+IF(AND(V242&gt;=75,V242&lt;=175,W242&gt;=110),0.12,0)+IF(AND(V242&gt;175,W242&lt;25),0.3,0)+IF(AND(V242&gt;175,W242&gt;=25,W242&lt;55),0.23,0)+IF(AND(V242&gt;175,W242&gt;=55,W242&lt;95),0.17,0)+IF(AND(V242&gt;175,W242&gt;=95),0.12,0),
IF(AF242="DoEVni",IF(AND(V242&lt;20,W242&lt;55),0.3,0)+IF(AND(V242&lt;20,W242&gt;=55,W242&lt;105),0.23,0)+IF(AND(V242&lt;20,W242&gt;=105),0.17,0)+IF(AND(V242&gt;=20,V242&lt;40,W242&lt;45),0.3,0)+IF(AND(V242&gt;=20,V242&lt;40,W242&gt;=45,W242&lt;95),0.23,0)+IF(AND(V242&gt;=20,V242&lt;40,W242&gt;=95,W242&lt;=200),0.17,0)+IF(AND(V242&gt;=20,V242&lt;40,W242&gt;=200),0.12,0)+IF(AND(V242&gt;=40,V242&lt;75,W242&lt;35),0.3,0)+IF(AND(V242&gt;=40,V242&lt;75,W242&gt;=35,W242&lt;75),0.23,0)+IF(AND(V242&gt;=40,V242&lt;75,W242&gt;=75,W242&lt;120),0.17,0)+IF(AND(V242&gt;=40,V242&lt;75,W242&gt;=120),0.12,0)+IF(AND(V242&gt;=75,V242&lt;175,W242&lt;35),0.3,0)+IF(AND(V242&gt;=75,V242&lt;=175,W242&gt;=35,W242&lt;65),0.23,0)+IF(AND(V242&gt;=75,V242&lt;=175,W242&gt;=65,W242&lt;110),0.17,0)+IF(AND(V242&gt;=75,V242&lt;=175,W242&gt;=110),0.12,0)+IF(AND(V242&gt;175,W242&lt;25),0.3,0)+IF(AND(V242&gt;175,W242&gt;=25,W242&lt;55),0.23,0)+IF(AND(V242&gt;175,W242&gt;=55,W242&lt;95),0.17,0)+IF(AND(V242&gt;175,W242&gt;=95),0.12,0),
IF(AF242="DoEVLo",IF(AND(V242&lt;20,W242&lt;55),0.25,0)+IF(AND(V242&lt;20,W242&gt;=55,W242&lt;105),0.2,0)+IF(AND(V242&lt;20,W242&gt;=105),0.15,0)+IF(AND(V242&gt;=20,V242&lt;40,W242&lt;45),0.25,0)+IF(AND(V242&gt;=20,V242&lt;40,W242&gt;=45,W242&lt;95),0.2,0)+IF(AND(V242&gt;=20,V242&lt;40,W242&gt;=95),0.15,0)+IF(AND(V242&gt;=40,V242&lt;75,W242&lt;35),0.25,0)+IF(AND(V242&gt;=40,V242&lt;75,W242&gt;=35,W242&lt;75),0.2,0)+IF(AND(V242&gt;=40,V242&lt;75,W242&gt;=75,W242&lt;120),0.15,0)+IF(AND(V242&gt;=40,V242&lt;75,W242&gt;=120),0.1,0)+IF(AND(V242&gt;=75,V242&lt;175,W242&lt;35),0.25,0)+IF(AND(V242&gt;=75,V242&lt;=175,W242&gt;=35,W242&lt;65),0.2,0)+IF(AND(V242&gt;=75,V242&lt;=175,W242&gt;=65,W242&lt;110),0.15,0)+IF(AND(V242&gt;=75,V242&lt;=175,W242&gt;=110),0.1,0)+IF(AND(V242&gt;175,W242&lt;25),0.25,0)+IF(AND(V242&gt;175,W242&gt;=25,W242&lt;55),0.2,0)+IF(AND(V242&gt;175,W242&gt;=55,W242&lt;95),0.15,0)+IF(AND(V242&gt;175,W242&gt;=95),0.1,0))))))))))))))))</f>
        <v>0.25</v>
      </c>
      <c r="Y242" s="30">
        <f>IF(AG242="None",0,IF(AG242="Fix5",0.05,IF(AG242="Fix3.75",0.0375,IF(AG242="Fix10",0.1,IF(AG242="Fix3",0.03,0)))))</f>
        <v>0</v>
      </c>
      <c r="Z242" s="35">
        <f>T242-AA242-AB242</f>
        <v>67.5</v>
      </c>
      <c r="AA242" s="29">
        <f>IF(AD242="EUR",((T242-R242)*X242)*U242+(R242*X242),(T242*X242))</f>
        <v>22.5</v>
      </c>
      <c r="AB242" s="36">
        <f>IF(AD242="EUR",((T242-R242)*Y242)*U242+(R242*Y242),(T242*Y242))</f>
        <v>0</v>
      </c>
      <c r="AC242" s="37" t="b">
        <v>1</v>
      </c>
      <c r="AD242" s="37" t="s">
        <v>38</v>
      </c>
      <c r="AE242" s="37" t="s">
        <v>38</v>
      </c>
      <c r="AF242" s="37" t="str">
        <f t="array" ref="AF242">INDEX('Deal Info'!D:D, MATCH(A242,'Deal Info'!A:A, 0))</f>
        <v>DoEVLo</v>
      </c>
      <c r="AG242" s="38" t="str">
        <f t="array" ref="AG242">INDEX('Deal Info'!G:G, MATCH(A242,'Deal Info'!A:A, 0))</f>
        <v>None</v>
      </c>
    </row>
    <row r="243" spans="1:33" ht="14.25" hidden="1" x14ac:dyDescent="0.2">
      <c r="A243" s="18" t="str">
        <f t="array" ref="A243">IF(G243='Room Info'!$B$1, INDEX('Room Info'!$A$2:$A2446, MATCH(B243,'Room Info'!$B$2:$B2446, 0)),IF(G243='Room Info'!$C$1, INDEX('Room Info'!$A$2:$A2446, MATCH(B243,'Room Info'!$C$2:$C2446, 0)),IF(G243='Room Info'!$D$1, INDEX('Room Info'!$A$2:$A2446, MATCH(B243,'Room Info'!$D$2:$D2446, 0)),IF(G243='Room Info'!$E$1, INDEX('Room Info'!$A$2:$A2446, MATCH(B243,'Room Info'!$E$2:$E2446, 0)),IF(G243='Room Info'!$F$1, INDEX('Room Info'!$A$2:$A2446, MATCH(B243,'Room Info'!$F$2:$F2446, 0)),IF(G243='Room Info'!$H$1, INDEX('Room Info'!$A$2:$A2446, MATCH(B243,'Room Info'!$H$2:$H2446, 0)),IF(G243='Room Info'!$G$1, INDEX('Room Info'!$A$2:$A2446, MATCH(B243,'Room Info'!$G$2:$G2446, 0)))))))))</f>
        <v>Lo4io</v>
      </c>
      <c r="B243" s="45" t="s">
        <v>97</v>
      </c>
      <c r="C243" s="92">
        <v>44886</v>
      </c>
      <c r="D243" s="92">
        <v>44915</v>
      </c>
      <c r="E243" s="47">
        <v>44896</v>
      </c>
      <c r="F243" s="48" t="s">
        <v>34</v>
      </c>
      <c r="G243" s="45" t="s">
        <v>80</v>
      </c>
      <c r="H243" s="49" t="s">
        <v>72</v>
      </c>
      <c r="I243" s="49" t="s">
        <v>81</v>
      </c>
      <c r="J243" s="50">
        <v>50</v>
      </c>
      <c r="K243" s="51">
        <v>72</v>
      </c>
      <c r="L243" s="52">
        <v>250</v>
      </c>
      <c r="M243" s="53">
        <v>200</v>
      </c>
      <c r="N243" s="28">
        <f>K243*J243</f>
        <v>3600</v>
      </c>
      <c r="O243" s="54">
        <v>2779</v>
      </c>
      <c r="P243" s="29">
        <v>38.597222219999999</v>
      </c>
      <c r="Q243" s="55"/>
      <c r="R243" s="31">
        <f>M243+Q243</f>
        <v>200</v>
      </c>
      <c r="S243" s="56">
        <v>136</v>
      </c>
      <c r="T243" s="32">
        <f>R243+S243+IF(F243="Without EV deal",L243,0)</f>
        <v>336</v>
      </c>
      <c r="U243" s="57">
        <v>1</v>
      </c>
      <c r="V243" s="69">
        <v>59.405092313261733</v>
      </c>
      <c r="W243" s="69">
        <v>25.570198460257167</v>
      </c>
      <c r="X243" s="30">
        <f>IF(AF243="DoEV",IF(AND(V243&lt;20,W243&lt;55),0.3,0)+IF(AND(V243&lt;20,W243&gt;=55,W243&lt;105),0.23,0)+IF(AND(V243&lt;20,W243&gt;=105),0.17,0)+IF(AND(V243&gt;=20,V243&lt;40,W243&lt;45),0.3,0)+IF(AND(V243&gt;=20,V243&lt;40,W243&gt;=45,W243&lt;95),0.23,0)+IF(AND(V243&gt;=20,V243&lt;40,W243&gt;=95),0.17,0)+IF(AND(V243&gt;=40,V243&lt;75,W243&lt;35),0.3,0)+IF(AND(V243&gt;=40,V243&lt;75,W243&gt;=35,W243&lt;75),0.23,0)+IF(AND(V243&gt;=40,V243&lt;75,W243&gt;=75,W243&lt;120),0.17,0)+IF(AND(V243&gt;=40,V243&lt;75,W243&gt;=120),0.12,0)+IF(AND(V243&gt;=75,V243&lt;175,W243&lt;35),0.3,0)+IF(AND(V243&gt;=75,V243&lt;=175,W243&gt;=35,W243&lt;65),0.23,0)+IF(AND(V243&gt;=75,V243&lt;=175,W243&gt;=65,W243&lt;110),0.17,0)+IF(AND(V243&gt;=75,V243&lt;=175,W243&gt;=110),0.12,0)+IF(AND(V243&gt;175,W243&lt;25),0.3,0)+IF(AND(V243&gt;175,W243&gt;=25,W243&lt;55),0.23,0)+IF(AND(V243&gt;175,W243&gt;=55,W243&lt;95),0.17,0)+IF(AND(V243&gt;175,W243&gt;=95),0.12,0),
IF(AF243="Fix15",0.15,
IF(AF243="Fix11.25",0.1125,
IF(AF243="Fix10",0.1,
IF(AF243="Fix9",0.09,
IF(AF243="DoEV2017",IF(AND(W243&lt;74),0.2,0)+IF(AND(W243&gt;=74),0.17,0),
IF(AF243="SF",IF(AND(V243&lt;20,W243&lt;89),0.3,0)+IF(AND(V243&lt;20,W243&gt;=89),0.25,0)+IF(AND(V243&gt;=20,V243&lt;40,W243&lt;74),0.3,0)+IF(AND(V243&gt;=20,V243&lt;40,W243&gt;=75),0.22,0)+IF(AND(V243&gt;=40,V243&lt;75,W243&lt;75),0.26,0)+IF(AND(V243&gt;=40,V243&lt;75,W243&gt;=75),0.22,0)+IF(V243&gt;=75,0.22,0),
IF(AF243="DoEVold",IF(AND(V243&lt;40,W243&lt;35),0.35,0)+IF(AND(V243&lt;40,W243&gt;=35,W243&lt;75),0.25,0)+IF(AND(V243&lt;40,W243&gt;=75),0.17,0)+IF(AND(V243&gt;=40,V243&lt;75,W243&lt;25),0.35,0)+IF(AND(V243&gt;=40,V243&lt;75,W243&gt;=25,W243&lt;65),0.25,0)+IF(AND(V243&gt;=40,V243&lt;75,W243&gt;=65,W243&lt;100),0.17,0)+IF(AND(V243&gt;=40,V243&lt;75,W243&gt;=100),0.1,0)+IF(AND(V243&gt;=75,W243&lt;25),0.35,0)+IF(AND(V243&gt;=75,W243&gt;=25,W243&lt;60),0.25,0)+IF(AND(V243&gt;=75,W243&gt;=60,W243&lt;95),0.17,0)+IF(AND(V243&gt;=75,W243&gt;=95),0.1,0),
IF(AF243="DoEVold15",IF(AND(V243&lt;=40,W243&lt;35),0.35,0)+IF(AND(V243&lt;=40,W243&gt;=35,W243&lt;75),0.25,0)+IF(AND(V243&lt;=40,W243&gt;=75,W243&lt;120),0.17,0)+IF(AND(V243&lt;=40,W243&gt;=120),0.15,0)+IF(AND(V243&gt;40,V243&lt;75,W243&lt;25),0.35,0)+IF(AND(V243&gt;=40,V243&lt;75,W243&gt;=25,W243&lt;65),0.25,0)+IF(AND(V243&gt;=40,V243&lt;75,W243&gt;=65,W243&lt;100),0.17,0)+IF(AND(V243&gt;=40,V243&lt;75,W243&gt;=100),0.1,0)+IF(AND(V243&gt;=75,W243&lt;25),0.35,0)+IF(AND(V243&gt;=75,W243&gt;=25,W243&lt;60),0.25,0)+IF(AND(V243&gt;=75,W243&gt;=60,W243&lt;95),0.17,0)+IF(AND(V243&gt;=75,W243&gt;=95),0.1,0),
IF(AF243="DoEVba",IF(AND(V243&lt;20,W243&lt;105),0.2,0)+IF(AND(V243&lt;20,W243&gt;=105),0.15,0)+IF(AND(V243&gt;=20,V243&lt;40,W243&lt;95),0.2,0)+IF(AND(V243&gt;=20,V243&lt;40,W243&gt;=95,W243&lt;150),0.15,0)+IF(AND(V243&gt;=20,V243&lt;40,W243&gt;=150),0.12,0)+IF(AND(V243&gt;=40,V243&lt;75,W243&lt;75),0.2,0)+IF(AND(V243&gt;=40,V243&lt;75,W243&gt;=75,W243&lt;120),0.15,0)+IF(AND(V243&gt;=40,V243&lt;75,W243&gt;=120),0.12,0)+IF(AND(V243&gt;=75,V243&lt;175,W243&lt;65),0.2,0)+IF(AND(V243&gt;=75,V243&lt;175,W243&gt;=65,W243&lt;110),0.15,0)+IF(AND(V243&gt;=75,V243&lt;175,W243&gt;=110),0.12,0)+IF(AND(V243&gt;=175,W243&lt;55),0.2,0)+IF(AND(V243&gt;=175,W243&gt;=55,W243&lt;95),0.15,0)+IF(AND(V243&gt;=175,W243&gt;=95),0.12,0),
IF(AF243="DoEVku",IF(AND(V243&lt;20,W243&lt;55),0.23,0)+IF(AND(V243&lt;20,W243&gt;=55,W243&lt;105),0.2,0)+IF(AND(V243&lt;20,W243&gt;=105),0.17,0)+IF(AND(V243&gt;=20,V243&lt;40,W243&lt;45),0.23,0)+IF(AND(V243&gt;=20,V243&lt;40,W243&gt;=45,W243&lt;95),0.2,0)+IF(AND(V243&gt;=20,V243&lt;40,W243&gt;=95,W243&lt;=150),0.17,0)+IF(AND(V243&gt;=20,V243&lt;40,W243&gt;=150),0.12,0)+IF(AND(V243&gt;=40,V243&lt;75,W243&lt;35),0.23,0)+IF(AND(V243&gt;=40,V243&lt;75,W243&gt;=35,W243&lt;75),0.2,0)+IF(AND(V243&gt;=40,V243&lt;75,W243&gt;=75,W243&lt;120),0.17,0)+IF(AND(V243&gt;=40,V243&lt;75,W243&gt;=120),0.12,0)+IF(AND(V243&gt;=75,V243&lt;175,W243&lt;35),0.23,0)+IF(AND(V243&gt;=75,V243&lt;=175,W243&gt;=35,W243&lt;65),0.2,0)+IF(AND(V243&gt;=75,V243&lt;=175,W243&gt;=65,W243&lt;110),0.17,0)+IF(AND(V243&gt;=75,V243&lt;=175,W243&gt;=110),0.12,0)+IF(AND(V243&gt;175,W243&lt;25),0.23,0)+IF(AND(V243&gt;175,W243&gt;=25,W243&lt;55),0.2,0)+IF(AND(V243&gt;175,W243&gt;=55,W243&lt;95),0.17,0)+IF(AND(V243&gt;175,W243&gt;=95),0.12,0),
IF(AF243="DoEVs1",IF(AND(V243&lt;20,W243&lt;55),0.3,0)+IF(AND(V243&lt;20,W243&gt;=55,W243&lt;105),0.23,0)+IF(AND(V243&lt;20,W243&gt;=105),0.17,0)+IF(AND(V243&gt;=20,V243&lt;40,W243&lt;45),0.3,0)+IF(AND(V243&gt;=20,V243&lt;40,W243&gt;=45,W243&lt;95),0.23,0)+IF(AND(V243&gt;=20,V243&lt;40,W243&gt;=95,W243&lt;=150),0.17,0)+IF(AND(V243&gt;=20,V243&lt;40,W243&gt;=150),0.12,0)+IF(AND(V243&gt;=40,V243&lt;75,W243&lt;35),0.3,0)+IF(AND(V243&gt;=40,V243&lt;75,W243&gt;=35,W243&lt;75),0.23,0)+IF(AND(V243&gt;=40,V243&lt;75,W243&gt;=75,W243&lt;120),0.17,0)+IF(AND(V243&gt;=40,V243&lt;75,W243&gt;=120),0.12,0)+IF(AND(V243&gt;=75,V243&lt;175,W243&lt;35),0.3,0)+IF(AND(V243&gt;=75,V243&lt;=175,W243&gt;=35,W243&lt;65),0.23,0)+IF(AND(V243&gt;=75,V243&lt;=175,W243&gt;=65,W243&lt;110),0.17,0)+IF(AND(V243&gt;=75,V243&lt;=175,W243&gt;=110),0.12,0)+IF(AND(V243&gt;175,W243&lt;25),0.3,0)+IF(AND(V243&gt;175,W243&gt;=25,W243&lt;55),0.23,0)+IF(AND(V243&gt;175,W243&gt;=55,W243&lt;95),0.17,0)+IF(AND(V243&gt;175,W243&gt;=95),0.12,0),
IF(AF243="DoEVsu",IF(AND(V243&lt;20,W243&lt;55),0.3,0)+IF(AND(V243&lt;20,W243&gt;=55,W243&lt;105),0.23,0)+IF(AND(V243&lt;20,W243&gt;=105),0.17,0)+IF(AND(V243&gt;=20,V243&lt;40,W243&lt;45),0.3,0)+IF(AND(V243&gt;=20,V243&lt;40,W243&gt;=45,W243&lt;95),0.23,0)+IF(AND(V243&gt;=20,V243&lt;40,W243&gt;=95,W243&lt;=250),0.17,0)+IF(AND(V243&gt;=20,V243&lt;40,W243&gt;=250),0.12,0)+IF(AND(V243&gt;=40,V243&lt;75,W243&lt;35),0.3,0)+IF(AND(V243&gt;=40,V243&lt;75,W243&gt;=35,W243&lt;75),0.23,0)+IF(AND(V243&gt;=40,V243&lt;75,W243&gt;=75,W243&lt;120),0.17,0)+IF(AND(V243&gt;=40,V243&lt;75,W243&gt;=120),0.12,0)+IF(AND(V243&gt;=75,V243&lt;175,W243&lt;35),0.3,0)+IF(AND(V243&gt;=75,V243&lt;=175,W243&gt;=35,W243&lt;65),0.23,0)+IF(AND(V243&gt;=75,V243&lt;=175,W243&gt;=65,W243&lt;110),0.17,0)+IF(AND(V243&gt;=75,V243&lt;=175,W243&gt;=110),0.12,0)+IF(AND(V243&gt;175,W243&lt;25),0.3,0)+IF(AND(V243&gt;175,W243&gt;=25,W243&lt;55),0.23,0)+IF(AND(V243&gt;175,W243&gt;=55,W243&lt;95),0.17,0)+IF(AND(V243&gt;175,W243&gt;=95),0.12,0),
IF(AF243="DoEVni",IF(AND(V243&lt;20,W243&lt;55),0.3,0)+IF(AND(V243&lt;20,W243&gt;=55,W243&lt;105),0.23,0)+IF(AND(V243&lt;20,W243&gt;=105),0.17,0)+IF(AND(V243&gt;=20,V243&lt;40,W243&lt;45),0.3,0)+IF(AND(V243&gt;=20,V243&lt;40,W243&gt;=45,W243&lt;95),0.23,0)+IF(AND(V243&gt;=20,V243&lt;40,W243&gt;=95,W243&lt;=200),0.17,0)+IF(AND(V243&gt;=20,V243&lt;40,W243&gt;=200),0.12,0)+IF(AND(V243&gt;=40,V243&lt;75,W243&lt;35),0.3,0)+IF(AND(V243&gt;=40,V243&lt;75,W243&gt;=35,W243&lt;75),0.23,0)+IF(AND(V243&gt;=40,V243&lt;75,W243&gt;=75,W243&lt;120),0.17,0)+IF(AND(V243&gt;=40,V243&lt;75,W243&gt;=120),0.12,0)+IF(AND(V243&gt;=75,V243&lt;175,W243&lt;35),0.3,0)+IF(AND(V243&gt;=75,V243&lt;=175,W243&gt;=35,W243&lt;65),0.23,0)+IF(AND(V243&gt;=75,V243&lt;=175,W243&gt;=65,W243&lt;110),0.17,0)+IF(AND(V243&gt;=75,V243&lt;=175,W243&gt;=110),0.12,0)+IF(AND(V243&gt;175,W243&lt;25),0.3,0)+IF(AND(V243&gt;175,W243&gt;=25,W243&lt;55),0.23,0)+IF(AND(V243&gt;175,W243&gt;=55,W243&lt;95),0.17,0)+IF(AND(V243&gt;175,W243&gt;=95),0.12,0),
IF(AF243="DoEVLo",IF(AND(V243&lt;20,W243&lt;55),0.25,0)+IF(AND(V243&lt;20,W243&gt;=55,W243&lt;105),0.2,0)+IF(AND(V243&lt;20,W243&gt;=105),0.15,0)+IF(AND(V243&gt;=20,V243&lt;40,W243&lt;45),0.25,0)+IF(AND(V243&gt;=20,V243&lt;40,W243&gt;=45,W243&lt;95),0.2,0)+IF(AND(V243&gt;=20,V243&lt;40,W243&gt;=95),0.15,0)+IF(AND(V243&gt;=40,V243&lt;75,W243&lt;35),0.25,0)+IF(AND(V243&gt;=40,V243&lt;75,W243&gt;=35,W243&lt;75),0.2,0)+IF(AND(V243&gt;=40,V243&lt;75,W243&gt;=75,W243&lt;120),0.15,0)+IF(AND(V243&gt;=40,V243&lt;75,W243&gt;=120),0.1,0)+IF(AND(V243&gt;=75,V243&lt;175,W243&lt;35),0.25,0)+IF(AND(V243&gt;=75,V243&lt;=175,W243&gt;=35,W243&lt;65),0.2,0)+IF(AND(V243&gt;=75,V243&lt;=175,W243&gt;=65,W243&lt;110),0.15,0)+IF(AND(V243&gt;=75,V243&lt;=175,W243&gt;=110),0.1,0)+IF(AND(V243&gt;175,W243&lt;25),0.25,0)+IF(AND(V243&gt;175,W243&gt;=25,W243&lt;55),0.2,0)+IF(AND(V243&gt;175,W243&gt;=55,W243&lt;95),0.15,0)+IF(AND(V243&gt;175,W243&gt;=95),0.1,0))))))))))))))))</f>
        <v>0.25</v>
      </c>
      <c r="Y243" s="30">
        <f>IF(AG243="None",0,IF(AG243="Fix5",0.05,IF(AG243="Fix3.75",0.0375,IF(AG243="Fix10",0.1,IF(AG243="Fix3",0.03,0)))))</f>
        <v>0</v>
      </c>
      <c r="Z243" s="35">
        <f>T243-AA243-AB243</f>
        <v>252</v>
      </c>
      <c r="AA243" s="29">
        <f>IF(AD243="EUR",((T243-R243)*X243)*U243+(R243*X243),(T243*X243))</f>
        <v>84</v>
      </c>
      <c r="AB243" s="36">
        <f>IF(AD243="EUR",((T243-R243)*Y243)*U243+(R243*Y243),(T243*Y243))</f>
        <v>0</v>
      </c>
      <c r="AC243" s="37" t="b">
        <v>1</v>
      </c>
      <c r="AD243" s="37" t="s">
        <v>38</v>
      </c>
      <c r="AE243" s="37" t="s">
        <v>38</v>
      </c>
      <c r="AF243" s="37" t="str">
        <f t="array" ref="AF243">INDEX('Deal Info'!D:D, MATCH(A243,'Deal Info'!A:A, 0))</f>
        <v>DoEVLo</v>
      </c>
      <c r="AG243" s="38" t="str">
        <f t="array" ref="AG243">INDEX('Deal Info'!G:G, MATCH(A243,'Deal Info'!A:A, 0))</f>
        <v>None</v>
      </c>
    </row>
    <row r="244" spans="1:33" ht="14.25" hidden="1" x14ac:dyDescent="0.2">
      <c r="A244" s="18" t="str">
        <f t="array" ref="A244">IF(G244='Room Info'!$B$1, INDEX('Room Info'!$A$2:$A2446, MATCH(B244,'Room Info'!$B$2:$B2446, 0)),IF(G244='Room Info'!$C$1, INDEX('Room Info'!$A$2:$A2446, MATCH(B244,'Room Info'!$C$2:$C2446, 0)),IF(G244='Room Info'!$D$1, INDEX('Room Info'!$A$2:$A2446, MATCH(B244,'Room Info'!$D$2:$D2446, 0)),IF(G244='Room Info'!$E$1, INDEX('Room Info'!$A$2:$A2446, MATCH(B244,'Room Info'!$E$2:$E2446, 0)),IF(G244='Room Info'!$F$1, INDEX('Room Info'!$A$2:$A2446, MATCH(B244,'Room Info'!$F$2:$F2446, 0)),IF(G244='Room Info'!$H$1, INDEX('Room Info'!$A$2:$A2446, MATCH(B244,'Room Info'!$H$2:$H2446, 0)),IF(G244='Room Info'!$G$1, INDEX('Room Info'!$A$2:$A2446, MATCH(B244,'Room Info'!$G$2:$G2446, 0)))))))))</f>
        <v>Lo4io</v>
      </c>
      <c r="B244" s="45" t="s">
        <v>102</v>
      </c>
      <c r="C244" s="92">
        <v>44886</v>
      </c>
      <c r="D244" s="92">
        <v>44915</v>
      </c>
      <c r="E244" s="47">
        <v>44896</v>
      </c>
      <c r="F244" s="48" t="s">
        <v>41</v>
      </c>
      <c r="G244" s="45" t="s">
        <v>35</v>
      </c>
      <c r="H244" s="49" t="s">
        <v>87</v>
      </c>
      <c r="I244" s="49" t="s">
        <v>44</v>
      </c>
      <c r="J244" s="74">
        <v>25</v>
      </c>
      <c r="K244" s="75">
        <v>32</v>
      </c>
      <c r="L244" s="72">
        <v>200</v>
      </c>
      <c r="M244" s="53">
        <v>32</v>
      </c>
      <c r="N244" s="28">
        <f>K244*J244</f>
        <v>800</v>
      </c>
      <c r="O244" s="96"/>
      <c r="P244" s="29">
        <v>0</v>
      </c>
      <c r="Q244" s="55"/>
      <c r="R244" s="31">
        <f>M244+Q244</f>
        <v>32</v>
      </c>
      <c r="S244" s="97"/>
      <c r="T244" s="32">
        <f>R244+S244+IF(F244="Without EV deal",L244,0)</f>
        <v>232</v>
      </c>
      <c r="U244" s="57">
        <v>1.0860000000000001</v>
      </c>
      <c r="V244" s="69">
        <v>59.405092313261733</v>
      </c>
      <c r="W244" s="69">
        <v>25.570198460257167</v>
      </c>
      <c r="X244" s="30">
        <f>IF(AF244="DoEV",IF(AND(V244&lt;20,W244&lt;55),0.3,0)+IF(AND(V244&lt;20,W244&gt;=55,W244&lt;105),0.23,0)+IF(AND(V244&lt;20,W244&gt;=105),0.17,0)+IF(AND(V244&gt;=20,V244&lt;40,W244&lt;45),0.3,0)+IF(AND(V244&gt;=20,V244&lt;40,W244&gt;=45,W244&lt;95),0.23,0)+IF(AND(V244&gt;=20,V244&lt;40,W244&gt;=95),0.17,0)+IF(AND(V244&gt;=40,V244&lt;75,W244&lt;35),0.3,0)+IF(AND(V244&gt;=40,V244&lt;75,W244&gt;=35,W244&lt;75),0.23,0)+IF(AND(V244&gt;=40,V244&lt;75,W244&gt;=75,W244&lt;120),0.17,0)+IF(AND(V244&gt;=40,V244&lt;75,W244&gt;=120),0.12,0)+IF(AND(V244&gt;=75,V244&lt;175,W244&lt;35),0.3,0)+IF(AND(V244&gt;=75,V244&lt;=175,W244&gt;=35,W244&lt;65),0.23,0)+IF(AND(V244&gt;=75,V244&lt;=175,W244&gt;=65,W244&lt;110),0.17,0)+IF(AND(V244&gt;=75,V244&lt;=175,W244&gt;=110),0.12,0)+IF(AND(V244&gt;175,W244&lt;25),0.3,0)+IF(AND(V244&gt;175,W244&gt;=25,W244&lt;55),0.23,0)+IF(AND(V244&gt;175,W244&gt;=55,W244&lt;95),0.17,0)+IF(AND(V244&gt;175,W244&gt;=95),0.12,0),
IF(AF244="Fix15",0.15,
IF(AF244="Fix11.25",0.1125,
IF(AF244="Fix10",0.1,
IF(AF244="Fix9",0.09,
IF(AF244="DoEV2017",IF(AND(W244&lt;74),0.2,0)+IF(AND(W244&gt;=74),0.17,0),
IF(AF244="SF",IF(AND(V244&lt;20,W244&lt;89),0.3,0)+IF(AND(V244&lt;20,W244&gt;=89),0.25,0)+IF(AND(V244&gt;=20,V244&lt;40,W244&lt;74),0.3,0)+IF(AND(V244&gt;=20,V244&lt;40,W244&gt;=75),0.22,0)+IF(AND(V244&gt;=40,V244&lt;75,W244&lt;75),0.26,0)+IF(AND(V244&gt;=40,V244&lt;75,W244&gt;=75),0.22,0)+IF(V244&gt;=75,0.22,0),
IF(AF244="DoEVold",IF(AND(V244&lt;40,W244&lt;35),0.35,0)+IF(AND(V244&lt;40,W244&gt;=35,W244&lt;75),0.25,0)+IF(AND(V244&lt;40,W244&gt;=75),0.17,0)+IF(AND(V244&gt;=40,V244&lt;75,W244&lt;25),0.35,0)+IF(AND(V244&gt;=40,V244&lt;75,W244&gt;=25,W244&lt;65),0.25,0)+IF(AND(V244&gt;=40,V244&lt;75,W244&gt;=65,W244&lt;100),0.17,0)+IF(AND(V244&gt;=40,V244&lt;75,W244&gt;=100),0.1,0)+IF(AND(V244&gt;=75,W244&lt;25),0.35,0)+IF(AND(V244&gt;=75,W244&gt;=25,W244&lt;60),0.25,0)+IF(AND(V244&gt;=75,W244&gt;=60,W244&lt;95),0.17,0)+IF(AND(V244&gt;=75,W244&gt;=95),0.1,0),
IF(AF244="DoEVold15",IF(AND(V244&lt;=40,W244&lt;35),0.35,0)+IF(AND(V244&lt;=40,W244&gt;=35,W244&lt;75),0.25,0)+IF(AND(V244&lt;=40,W244&gt;=75,W244&lt;120),0.17,0)+IF(AND(V244&lt;=40,W244&gt;=120),0.15,0)+IF(AND(V244&gt;40,V244&lt;75,W244&lt;25),0.35,0)+IF(AND(V244&gt;=40,V244&lt;75,W244&gt;=25,W244&lt;65),0.25,0)+IF(AND(V244&gt;=40,V244&lt;75,W244&gt;=65,W244&lt;100),0.17,0)+IF(AND(V244&gt;=40,V244&lt;75,W244&gt;=100),0.1,0)+IF(AND(V244&gt;=75,W244&lt;25),0.35,0)+IF(AND(V244&gt;=75,W244&gt;=25,W244&lt;60),0.25,0)+IF(AND(V244&gt;=75,W244&gt;=60,W244&lt;95),0.17,0)+IF(AND(V244&gt;=75,W244&gt;=95),0.1,0),
IF(AF244="DoEVba",IF(AND(V244&lt;20,W244&lt;105),0.2,0)+IF(AND(V244&lt;20,W244&gt;=105),0.15,0)+IF(AND(V244&gt;=20,V244&lt;40,W244&lt;95),0.2,0)+IF(AND(V244&gt;=20,V244&lt;40,W244&gt;=95,W244&lt;150),0.15,0)+IF(AND(V244&gt;=20,V244&lt;40,W244&gt;=150),0.12,0)+IF(AND(V244&gt;=40,V244&lt;75,W244&lt;75),0.2,0)+IF(AND(V244&gt;=40,V244&lt;75,W244&gt;=75,W244&lt;120),0.15,0)+IF(AND(V244&gt;=40,V244&lt;75,W244&gt;=120),0.12,0)+IF(AND(V244&gt;=75,V244&lt;175,W244&lt;65),0.2,0)+IF(AND(V244&gt;=75,V244&lt;175,W244&gt;=65,W244&lt;110),0.15,0)+IF(AND(V244&gt;=75,V244&lt;175,W244&gt;=110),0.12,0)+IF(AND(V244&gt;=175,W244&lt;55),0.2,0)+IF(AND(V244&gt;=175,W244&gt;=55,W244&lt;95),0.15,0)+IF(AND(V244&gt;=175,W244&gt;=95),0.12,0),
IF(AF244="DoEVku",IF(AND(V244&lt;20,W244&lt;55),0.23,0)+IF(AND(V244&lt;20,W244&gt;=55,W244&lt;105),0.2,0)+IF(AND(V244&lt;20,W244&gt;=105),0.17,0)+IF(AND(V244&gt;=20,V244&lt;40,W244&lt;45),0.23,0)+IF(AND(V244&gt;=20,V244&lt;40,W244&gt;=45,W244&lt;95),0.2,0)+IF(AND(V244&gt;=20,V244&lt;40,W244&gt;=95,W244&lt;=150),0.17,0)+IF(AND(V244&gt;=20,V244&lt;40,W244&gt;=150),0.12,0)+IF(AND(V244&gt;=40,V244&lt;75,W244&lt;35),0.23,0)+IF(AND(V244&gt;=40,V244&lt;75,W244&gt;=35,W244&lt;75),0.2,0)+IF(AND(V244&gt;=40,V244&lt;75,W244&gt;=75,W244&lt;120),0.17,0)+IF(AND(V244&gt;=40,V244&lt;75,W244&gt;=120),0.12,0)+IF(AND(V244&gt;=75,V244&lt;175,W244&lt;35),0.23,0)+IF(AND(V244&gt;=75,V244&lt;=175,W244&gt;=35,W244&lt;65),0.2,0)+IF(AND(V244&gt;=75,V244&lt;=175,W244&gt;=65,W244&lt;110),0.17,0)+IF(AND(V244&gt;=75,V244&lt;=175,W244&gt;=110),0.12,0)+IF(AND(V244&gt;175,W244&lt;25),0.23,0)+IF(AND(V244&gt;175,W244&gt;=25,W244&lt;55),0.2,0)+IF(AND(V244&gt;175,W244&gt;=55,W244&lt;95),0.17,0)+IF(AND(V244&gt;175,W244&gt;=95),0.12,0),
IF(AF244="DoEVs1",IF(AND(V244&lt;20,W244&lt;55),0.3,0)+IF(AND(V244&lt;20,W244&gt;=55,W244&lt;105),0.23,0)+IF(AND(V244&lt;20,W244&gt;=105),0.17,0)+IF(AND(V244&gt;=20,V244&lt;40,W244&lt;45),0.3,0)+IF(AND(V244&gt;=20,V244&lt;40,W244&gt;=45,W244&lt;95),0.23,0)+IF(AND(V244&gt;=20,V244&lt;40,W244&gt;=95,W244&lt;=150),0.17,0)+IF(AND(V244&gt;=20,V244&lt;40,W244&gt;=150),0.12,0)+IF(AND(V244&gt;=40,V244&lt;75,W244&lt;35),0.3,0)+IF(AND(V244&gt;=40,V244&lt;75,W244&gt;=35,W244&lt;75),0.23,0)+IF(AND(V244&gt;=40,V244&lt;75,W244&gt;=75,W244&lt;120),0.17,0)+IF(AND(V244&gt;=40,V244&lt;75,W244&gt;=120),0.12,0)+IF(AND(V244&gt;=75,V244&lt;175,W244&lt;35),0.3,0)+IF(AND(V244&gt;=75,V244&lt;=175,W244&gt;=35,W244&lt;65),0.23,0)+IF(AND(V244&gt;=75,V244&lt;=175,W244&gt;=65,W244&lt;110),0.17,0)+IF(AND(V244&gt;=75,V244&lt;=175,W244&gt;=110),0.12,0)+IF(AND(V244&gt;175,W244&lt;25),0.3,0)+IF(AND(V244&gt;175,W244&gt;=25,W244&lt;55),0.23,0)+IF(AND(V244&gt;175,W244&gt;=55,W244&lt;95),0.17,0)+IF(AND(V244&gt;175,W244&gt;=95),0.12,0),
IF(AF244="DoEVsu",IF(AND(V244&lt;20,W244&lt;55),0.3,0)+IF(AND(V244&lt;20,W244&gt;=55,W244&lt;105),0.23,0)+IF(AND(V244&lt;20,W244&gt;=105),0.17,0)+IF(AND(V244&gt;=20,V244&lt;40,W244&lt;45),0.3,0)+IF(AND(V244&gt;=20,V244&lt;40,W244&gt;=45,W244&lt;95),0.23,0)+IF(AND(V244&gt;=20,V244&lt;40,W244&gt;=95,W244&lt;=250),0.17,0)+IF(AND(V244&gt;=20,V244&lt;40,W244&gt;=250),0.12,0)+IF(AND(V244&gt;=40,V244&lt;75,W244&lt;35),0.3,0)+IF(AND(V244&gt;=40,V244&lt;75,W244&gt;=35,W244&lt;75),0.23,0)+IF(AND(V244&gt;=40,V244&lt;75,W244&gt;=75,W244&lt;120),0.17,0)+IF(AND(V244&gt;=40,V244&lt;75,W244&gt;=120),0.12,0)+IF(AND(V244&gt;=75,V244&lt;175,W244&lt;35),0.3,0)+IF(AND(V244&gt;=75,V244&lt;=175,W244&gt;=35,W244&lt;65),0.23,0)+IF(AND(V244&gt;=75,V244&lt;=175,W244&gt;=65,W244&lt;110),0.17,0)+IF(AND(V244&gt;=75,V244&lt;=175,W244&gt;=110),0.12,0)+IF(AND(V244&gt;175,W244&lt;25),0.3,0)+IF(AND(V244&gt;175,W244&gt;=25,W244&lt;55),0.23,0)+IF(AND(V244&gt;175,W244&gt;=55,W244&lt;95),0.17,0)+IF(AND(V244&gt;175,W244&gt;=95),0.12,0),
IF(AF244="DoEVni",IF(AND(V244&lt;20,W244&lt;55),0.3,0)+IF(AND(V244&lt;20,W244&gt;=55,W244&lt;105),0.23,0)+IF(AND(V244&lt;20,W244&gt;=105),0.17,0)+IF(AND(V244&gt;=20,V244&lt;40,W244&lt;45),0.3,0)+IF(AND(V244&gt;=20,V244&lt;40,W244&gt;=45,W244&lt;95),0.23,0)+IF(AND(V244&gt;=20,V244&lt;40,W244&gt;=95,W244&lt;=200),0.17,0)+IF(AND(V244&gt;=20,V244&lt;40,W244&gt;=200),0.12,0)+IF(AND(V244&gt;=40,V244&lt;75,W244&lt;35),0.3,0)+IF(AND(V244&gt;=40,V244&lt;75,W244&gt;=35,W244&lt;75),0.23,0)+IF(AND(V244&gt;=40,V244&lt;75,W244&gt;=75,W244&lt;120),0.17,0)+IF(AND(V244&gt;=40,V244&lt;75,W244&gt;=120),0.12,0)+IF(AND(V244&gt;=75,V244&lt;175,W244&lt;35),0.3,0)+IF(AND(V244&gt;=75,V244&lt;=175,W244&gt;=35,W244&lt;65),0.23,0)+IF(AND(V244&gt;=75,V244&lt;=175,W244&gt;=65,W244&lt;110),0.17,0)+IF(AND(V244&gt;=75,V244&lt;=175,W244&gt;=110),0.12,0)+IF(AND(V244&gt;175,W244&lt;25),0.3,0)+IF(AND(V244&gt;175,W244&gt;=25,W244&lt;55),0.23,0)+IF(AND(V244&gt;175,W244&gt;=55,W244&lt;95),0.17,0)+IF(AND(V244&gt;175,W244&gt;=95),0.12,0),
IF(AF244="DoEVLo",IF(AND(V244&lt;20,W244&lt;55),0.25,0)+IF(AND(V244&lt;20,W244&gt;=55,W244&lt;105),0.2,0)+IF(AND(V244&lt;20,W244&gt;=105),0.15,0)+IF(AND(V244&gt;=20,V244&lt;40,W244&lt;45),0.25,0)+IF(AND(V244&gt;=20,V244&lt;40,W244&gt;=45,W244&lt;95),0.2,0)+IF(AND(V244&gt;=20,V244&lt;40,W244&gt;=95),0.15,0)+IF(AND(V244&gt;=40,V244&lt;75,W244&lt;35),0.25,0)+IF(AND(V244&gt;=40,V244&lt;75,W244&gt;=35,W244&lt;75),0.2,0)+IF(AND(V244&gt;=40,V244&lt;75,W244&gt;=75,W244&lt;120),0.15,0)+IF(AND(V244&gt;=40,V244&lt;75,W244&gt;=120),0.1,0)+IF(AND(V244&gt;=75,V244&lt;175,W244&lt;35),0.25,0)+IF(AND(V244&gt;=75,V244&lt;=175,W244&gt;=35,W244&lt;65),0.2,0)+IF(AND(V244&gt;=75,V244&lt;=175,W244&gt;=65,W244&lt;110),0.15,0)+IF(AND(V244&gt;=75,V244&lt;=175,W244&gt;=110),0.1,0)+IF(AND(V244&gt;175,W244&lt;25),0.25,0)+IF(AND(V244&gt;175,W244&gt;=25,W244&lt;55),0.2,0)+IF(AND(V244&gt;175,W244&gt;=55,W244&lt;95),0.15,0)+IF(AND(V244&gt;175,W244&gt;=95),0.1,0))))))))))))))))</f>
        <v>0.25</v>
      </c>
      <c r="Y244" s="30">
        <f>IF(AG244="None",0,IF(AG244="Fix5",0.05,IF(AG244="Fix3.75",0.0375,IF(AG244="Fix10",0.1,IF(AG244="Fix3",0.03,0)))))</f>
        <v>0</v>
      </c>
      <c r="Z244" s="35">
        <f>T244-AA244-AB244</f>
        <v>169.7</v>
      </c>
      <c r="AA244" s="29">
        <f>IF(AD244="EUR",((T244-R244)*X244)*U244+(R244*X244),(T244*X244))</f>
        <v>62.300000000000004</v>
      </c>
      <c r="AB244" s="36">
        <f>IF(AD244="EUR",((T244-R244)*Y244)*U244+(R244*Y244),(T244*Y244))</f>
        <v>0</v>
      </c>
      <c r="AC244" s="37" t="b">
        <v>1</v>
      </c>
      <c r="AD244" s="61" t="s">
        <v>50</v>
      </c>
      <c r="AE244" s="61"/>
      <c r="AF244" s="37" t="str">
        <f t="array" ref="AF244">INDEX('Deal Info'!D:D, MATCH(A244,'Deal Info'!A:A, 0))</f>
        <v>DoEVLo</v>
      </c>
      <c r="AG244" s="38" t="str">
        <f t="array" ref="AG244">INDEX('Deal Info'!G:G, MATCH(A244,'Deal Info'!A:A, 0))</f>
        <v>None</v>
      </c>
    </row>
    <row r="245" spans="1:33" ht="14.25" x14ac:dyDescent="0.2">
      <c r="A245" s="18" t="str">
        <f t="array" ref="A245">IF(G245='Room Info'!$B$1, INDEX('Room Info'!$A$2:$A2446, MATCH(B245,'Room Info'!$B$2:$B2446, 0)),IF(G245='Room Info'!$C$1, INDEX('Room Info'!$A$2:$A2446, MATCH(B245,'Room Info'!$C$2:$C2446, 0)),IF(G245='Room Info'!$D$1, INDEX('Room Info'!$A$2:$A2446, MATCH(B245,'Room Info'!$D$2:$D2446, 0)),IF(G245='Room Info'!$E$1, INDEX('Room Info'!$A$2:$A2446, MATCH(B245,'Room Info'!$E$2:$E2446, 0)),IF(G245='Room Info'!$F$1, INDEX('Room Info'!$A$2:$A2446, MATCH(B245,'Room Info'!$F$2:$F2446, 0)),IF(G245='Room Info'!$H$1, INDEX('Room Info'!$A$2:$A2446, MATCH(B245,'Room Info'!$H$2:$H2446, 0)),IF(G245='Room Info'!$G$1, INDEX('Room Info'!$A$2:$A2446, MATCH(B245,'Room Info'!$G$2:$G2446, 0)))))))))</f>
        <v>Freedoom</v>
      </c>
      <c r="B245" s="45" t="s">
        <v>110</v>
      </c>
      <c r="C245" s="111">
        <v>44682</v>
      </c>
      <c r="D245" s="111">
        <v>44712</v>
      </c>
      <c r="E245" s="47">
        <v>44682</v>
      </c>
      <c r="F245" s="48" t="s">
        <v>49</v>
      </c>
      <c r="G245" s="45" t="s">
        <v>61</v>
      </c>
      <c r="H245" s="49" t="s">
        <v>65</v>
      </c>
      <c r="I245" s="49" t="s">
        <v>37</v>
      </c>
      <c r="J245" s="70">
        <v>25</v>
      </c>
      <c r="K245" s="71">
        <v>28</v>
      </c>
      <c r="L245" s="113">
        <v>275</v>
      </c>
      <c r="M245" s="62">
        <v>2</v>
      </c>
      <c r="N245" s="28">
        <f>K245*J245</f>
        <v>700</v>
      </c>
      <c r="O245" s="65">
        <v>3278</v>
      </c>
      <c r="P245" s="29">
        <v>117.0714286</v>
      </c>
      <c r="Q245" s="55"/>
      <c r="R245" s="31">
        <f>M245+Q245</f>
        <v>2</v>
      </c>
      <c r="S245" s="66">
        <v>87</v>
      </c>
      <c r="T245" s="32">
        <f>R245+S245+IF(F245="Without EV deal",L245,0)</f>
        <v>89</v>
      </c>
      <c r="U245" s="57">
        <v>1</v>
      </c>
      <c r="V245" s="69"/>
      <c r="W245" s="69"/>
      <c r="X245" s="30">
        <f>IF(AF245="DoEV",IF(AND(V245&lt;20,W245&lt;55),0.3,0)+IF(AND(V245&lt;20,W245&gt;=55,W245&lt;105),0.23,0)+IF(AND(V245&lt;20,W245&gt;=105),0.17,0)+IF(AND(V245&gt;=20,V245&lt;40,W245&lt;45),0.3,0)+IF(AND(V245&gt;=20,V245&lt;40,W245&gt;=45,W245&lt;95),0.23,0)+IF(AND(V245&gt;=20,V245&lt;40,W245&gt;=95),0.17,0)+IF(AND(V245&gt;=40,V245&lt;75,W245&lt;35),0.3,0)+IF(AND(V245&gt;=40,V245&lt;75,W245&gt;=35,W245&lt;75),0.23,0)+IF(AND(V245&gt;=40,V245&lt;75,W245&gt;=75,W245&lt;120),0.17,0)+IF(AND(V245&gt;=40,V245&lt;75,W245&gt;=120),0.12,0)+IF(AND(V245&gt;=75,V245&lt;175,W245&lt;35),0.3,0)+IF(AND(V245&gt;=75,V245&lt;=175,W245&gt;=35,W245&lt;65),0.23,0)+IF(AND(V245&gt;=75,V245&lt;=175,W245&gt;=65,W245&lt;110),0.17,0)+IF(AND(V245&gt;=75,V245&lt;=175,W245&gt;=110),0.12,0)+IF(AND(V245&gt;175,W245&lt;25),0.3,0)+IF(AND(V245&gt;175,W245&gt;=25,W245&lt;55),0.23,0)+IF(AND(V245&gt;175,W245&gt;=55,W245&lt;95),0.17,0)+IF(AND(V245&gt;175,W245&gt;=95),0.12,0),
IF(AF245="Fix15",0.15,
IF(AF245="Fix11.25",0.1125,
IF(AF245="Fix10",0.1,
IF(AF245="Fix9",0.09,
IF(AF245="DoEV2017",IF(AND(W245&lt;74),0.2,0)+IF(AND(W245&gt;=74),0.17,0),
IF(AF245="SF",IF(AND(V245&lt;20,W245&lt;89),0.3,0)+IF(AND(V245&lt;20,W245&gt;=89),0.25,0)+IF(AND(V245&gt;=20,V245&lt;40,W245&lt;74),0.3,0)+IF(AND(V245&gt;=20,V245&lt;40,W245&gt;=75),0.22,0)+IF(AND(V245&gt;=40,V245&lt;75,W245&lt;75),0.26,0)+IF(AND(V245&gt;=40,V245&lt;75,W245&gt;=75),0.22,0)+IF(V245&gt;=75,0.22,0),
IF(AF245="DoEVold",IF(AND(V245&lt;40,W245&lt;35),0.35,0)+IF(AND(V245&lt;40,W245&gt;=35,W245&lt;75),0.25,0)+IF(AND(V245&lt;40,W245&gt;=75),0.17,0)+IF(AND(V245&gt;=40,V245&lt;75,W245&lt;25),0.35,0)+IF(AND(V245&gt;=40,V245&lt;75,W245&gt;=25,W245&lt;65),0.25,0)+IF(AND(V245&gt;=40,V245&lt;75,W245&gt;=65,W245&lt;100),0.17,0)+IF(AND(V245&gt;=40,V245&lt;75,W245&gt;=100),0.1,0)+IF(AND(V245&gt;=75,W245&lt;25),0.35,0)+IF(AND(V245&gt;=75,W245&gt;=25,W245&lt;60),0.25,0)+IF(AND(V245&gt;=75,W245&gt;=60,W245&lt;95),0.17,0)+IF(AND(V245&gt;=75,W245&gt;=95),0.1,0),
IF(AF245="DoEVold15",IF(AND(V245&lt;=40,W245&lt;35),0.35,0)+IF(AND(V245&lt;=40,W245&gt;=35,W245&lt;75),0.25,0)+IF(AND(V245&lt;=40,W245&gt;=75,W245&lt;120),0.17,0)+IF(AND(V245&lt;=40,W245&gt;=120),0.15,0)+IF(AND(V245&gt;40,V245&lt;75,W245&lt;25),0.35,0)+IF(AND(V245&gt;=40,V245&lt;75,W245&gt;=25,W245&lt;65),0.25,0)+IF(AND(V245&gt;=40,V245&lt;75,W245&gt;=65,W245&lt;100),0.17,0)+IF(AND(V245&gt;=40,V245&lt;75,W245&gt;=100),0.1,0)+IF(AND(V245&gt;=75,W245&lt;25),0.35,0)+IF(AND(V245&gt;=75,W245&gt;=25,W245&lt;60),0.25,0)+IF(AND(V245&gt;=75,W245&gt;=60,W245&lt;95),0.17,0)+IF(AND(V245&gt;=75,W245&gt;=95),0.1,0),
IF(AF245="DoEVba",IF(AND(V245&lt;20,W245&lt;105),0.2,0)+IF(AND(V245&lt;20,W245&gt;=105),0.15,0)+IF(AND(V245&gt;=20,V245&lt;40,W245&lt;95),0.2,0)+IF(AND(V245&gt;=20,V245&lt;40,W245&gt;=95,W245&lt;150),0.15,0)+IF(AND(V245&gt;=20,V245&lt;40,W245&gt;=150),0.12,0)+IF(AND(V245&gt;=40,V245&lt;75,W245&lt;75),0.2,0)+IF(AND(V245&gt;=40,V245&lt;75,W245&gt;=75,W245&lt;120),0.15,0)+IF(AND(V245&gt;=40,V245&lt;75,W245&gt;=120),0.12,0)+IF(AND(V245&gt;=75,V245&lt;175,W245&lt;65),0.2,0)+IF(AND(V245&gt;=75,V245&lt;175,W245&gt;=65,W245&lt;110),0.15,0)+IF(AND(V245&gt;=75,V245&lt;175,W245&gt;=110),0.12,0)+IF(AND(V245&gt;=175,W245&lt;55),0.2,0)+IF(AND(V245&gt;=175,W245&gt;=55,W245&lt;95),0.15,0)+IF(AND(V245&gt;=175,W245&gt;=95),0.12,0),
IF(AF245="DoEVku",IF(AND(V245&lt;20,W245&lt;55),0.23,0)+IF(AND(V245&lt;20,W245&gt;=55,W245&lt;105),0.2,0)+IF(AND(V245&lt;20,W245&gt;=105),0.17,0)+IF(AND(V245&gt;=20,V245&lt;40,W245&lt;45),0.23,0)+IF(AND(V245&gt;=20,V245&lt;40,W245&gt;=45,W245&lt;95),0.2,0)+IF(AND(V245&gt;=20,V245&lt;40,W245&gt;=95,W245&lt;=150),0.17,0)+IF(AND(V245&gt;=20,V245&lt;40,W245&gt;=150),0.12,0)+IF(AND(V245&gt;=40,V245&lt;75,W245&lt;35),0.23,0)+IF(AND(V245&gt;=40,V245&lt;75,W245&gt;=35,W245&lt;75),0.2,0)+IF(AND(V245&gt;=40,V245&lt;75,W245&gt;=75,W245&lt;120),0.17,0)+IF(AND(V245&gt;=40,V245&lt;75,W245&gt;=120),0.12,0)+IF(AND(V245&gt;=75,V245&lt;175,W245&lt;35),0.23,0)+IF(AND(V245&gt;=75,V245&lt;=175,W245&gt;=35,W245&lt;65),0.2,0)+IF(AND(V245&gt;=75,V245&lt;=175,W245&gt;=65,W245&lt;110),0.17,0)+IF(AND(V245&gt;=75,V245&lt;=175,W245&gt;=110),0.12,0)+IF(AND(V245&gt;175,W245&lt;25),0.23,0)+IF(AND(V245&gt;175,W245&gt;=25,W245&lt;55),0.2,0)+IF(AND(V245&gt;175,W245&gt;=55,W245&lt;95),0.17,0)+IF(AND(V245&gt;175,W245&gt;=95),0.12,0),
IF(AF245="DoEVs1",IF(AND(V245&lt;20,W245&lt;55),0.3,0)+IF(AND(V245&lt;20,W245&gt;=55,W245&lt;105),0.23,0)+IF(AND(V245&lt;20,W245&gt;=105),0.17,0)+IF(AND(V245&gt;=20,V245&lt;40,W245&lt;45),0.3,0)+IF(AND(V245&gt;=20,V245&lt;40,W245&gt;=45,W245&lt;95),0.23,0)+IF(AND(V245&gt;=20,V245&lt;40,W245&gt;=95,W245&lt;=150),0.17,0)+IF(AND(V245&gt;=20,V245&lt;40,W245&gt;=150),0.12,0)+IF(AND(V245&gt;=40,V245&lt;75,W245&lt;35),0.3,0)+IF(AND(V245&gt;=40,V245&lt;75,W245&gt;=35,W245&lt;75),0.23,0)+IF(AND(V245&gt;=40,V245&lt;75,W245&gt;=75,W245&lt;120),0.17,0)+IF(AND(V245&gt;=40,V245&lt;75,W245&gt;=120),0.12,0)+IF(AND(V245&gt;=75,V245&lt;175,W245&lt;35),0.3,0)+IF(AND(V245&gt;=75,V245&lt;=175,W245&gt;=35,W245&lt;65),0.23,0)+IF(AND(V245&gt;=75,V245&lt;=175,W245&gt;=65,W245&lt;110),0.17,0)+IF(AND(V245&gt;=75,V245&lt;=175,W245&gt;=110),0.12,0)+IF(AND(V245&gt;175,W245&lt;25),0.3,0)+IF(AND(V245&gt;175,W245&gt;=25,W245&lt;55),0.23,0)+IF(AND(V245&gt;175,W245&gt;=55,W245&lt;95),0.17,0)+IF(AND(V245&gt;175,W245&gt;=95),0.12,0),
IF(AF245="DoEVsu",IF(AND(V245&lt;20,W245&lt;55),0.3,0)+IF(AND(V245&lt;20,W245&gt;=55,W245&lt;105),0.23,0)+IF(AND(V245&lt;20,W245&gt;=105),0.17,0)+IF(AND(V245&gt;=20,V245&lt;40,W245&lt;45),0.3,0)+IF(AND(V245&gt;=20,V245&lt;40,W245&gt;=45,W245&lt;95),0.23,0)+IF(AND(V245&gt;=20,V245&lt;40,W245&gt;=95,W245&lt;=250),0.17,0)+IF(AND(V245&gt;=20,V245&lt;40,W245&gt;=250),0.12,0)+IF(AND(V245&gt;=40,V245&lt;75,W245&lt;35),0.3,0)+IF(AND(V245&gt;=40,V245&lt;75,W245&gt;=35,W245&lt;75),0.23,0)+IF(AND(V245&gt;=40,V245&lt;75,W245&gt;=75,W245&lt;120),0.17,0)+IF(AND(V245&gt;=40,V245&lt;75,W245&gt;=120),0.12,0)+IF(AND(V245&gt;=75,V245&lt;175,W245&lt;35),0.3,0)+IF(AND(V245&gt;=75,V245&lt;=175,W245&gt;=35,W245&lt;65),0.23,0)+IF(AND(V245&gt;=75,V245&lt;=175,W245&gt;=65,W245&lt;110),0.17,0)+IF(AND(V245&gt;=75,V245&lt;=175,W245&gt;=110),0.12,0)+IF(AND(V245&gt;175,W245&lt;25),0.3,0)+IF(AND(V245&gt;175,W245&gt;=25,W245&lt;55),0.23,0)+IF(AND(V245&gt;175,W245&gt;=55,W245&lt;95),0.17,0)+IF(AND(V245&gt;175,W245&gt;=95),0.12,0),
IF(AF245="DoEVni",IF(AND(V245&lt;20,W245&lt;55),0.3,0)+IF(AND(V245&lt;20,W245&gt;=55,W245&lt;105),0.23,0)+IF(AND(V245&lt;20,W245&gt;=105),0.17,0)+IF(AND(V245&gt;=20,V245&lt;40,W245&lt;45),0.3,0)+IF(AND(V245&gt;=20,V245&lt;40,W245&gt;=45,W245&lt;95),0.23,0)+IF(AND(V245&gt;=20,V245&lt;40,W245&gt;=95,W245&lt;=200),0.17,0)+IF(AND(V245&gt;=20,V245&lt;40,W245&gt;=200),0.12,0)+IF(AND(V245&gt;=40,V245&lt;75,W245&lt;35),0.3,0)+IF(AND(V245&gt;=40,V245&lt;75,W245&gt;=35,W245&lt;75),0.23,0)+IF(AND(V245&gt;=40,V245&lt;75,W245&gt;=75,W245&lt;120),0.17,0)+IF(AND(V245&gt;=40,V245&lt;75,W245&gt;=120),0.12,0)+IF(AND(V245&gt;=75,V245&lt;175,W245&lt;35),0.3,0)+IF(AND(V245&gt;=75,V245&lt;=175,W245&gt;=35,W245&lt;65),0.23,0)+IF(AND(V245&gt;=75,V245&lt;=175,W245&gt;=65,W245&lt;110),0.17,0)+IF(AND(V245&gt;=75,V245&lt;=175,W245&gt;=110),0.12,0)+IF(AND(V245&gt;175,W245&lt;25),0.3,0)+IF(AND(V245&gt;175,W245&gt;=25,W245&lt;55),0.23,0)+IF(AND(V245&gt;175,W245&gt;=55,W245&lt;95),0.17,0)+IF(AND(V245&gt;175,W245&gt;=95),0.12,0),
IF(AF245="DoEVLo",IF(AND(V245&lt;20,W245&lt;55),0.25,0)+IF(AND(V245&lt;20,W245&gt;=55,W245&lt;105),0.2,0)+IF(AND(V245&lt;20,W245&gt;=105),0.15,0)+IF(AND(V245&gt;=20,V245&lt;40,W245&lt;45),0.25,0)+IF(AND(V245&gt;=20,V245&lt;40,W245&gt;=45,W245&lt;95),0.2,0)+IF(AND(V245&gt;=20,V245&lt;40,W245&gt;=95),0.15,0)+IF(AND(V245&gt;=40,V245&lt;75,W245&lt;35),0.25,0)+IF(AND(V245&gt;=40,V245&lt;75,W245&gt;=35,W245&lt;75),0.2,0)+IF(AND(V245&gt;=40,V245&lt;75,W245&gt;=75,W245&lt;120),0.15,0)+IF(AND(V245&gt;=40,V245&lt;75,W245&gt;=120),0.1,0)+IF(AND(V245&gt;=75,V245&lt;175,W245&lt;35),0.25,0)+IF(AND(V245&gt;=75,V245&lt;=175,W245&gt;=35,W245&lt;65),0.2,0)+IF(AND(V245&gt;=75,V245&lt;=175,W245&gt;=65,W245&lt;110),0.15,0)+IF(AND(V245&gt;=75,V245&lt;=175,W245&gt;=110),0.1,0)+IF(AND(V245&gt;175,W245&lt;25),0.25,0)+IF(AND(V245&gt;175,W245&gt;=25,W245&lt;55),0.2,0)+IF(AND(V245&gt;175,W245&gt;=55,W245&lt;95),0.15,0)+IF(AND(V245&gt;175,W245&gt;=95),0.1,0))))))))))))))))</f>
        <v>0.35</v>
      </c>
      <c r="Y245" s="30">
        <f>IF(AG245="None",0,IF(AG245="Fix5",0.05,IF(AG245="Fix3.75",0.0375,IF(AG245="Fix10",0.1,IF(AG245="Fix3",0.03,0)))))</f>
        <v>0</v>
      </c>
      <c r="Z245" s="35">
        <v>74</v>
      </c>
      <c r="AA245" s="29">
        <v>15</v>
      </c>
      <c r="AB245" s="36">
        <f>IF(AD245="EUR",((T245-R245)*Y245)*U245+(R245*Y245),(T245*Y245))</f>
        <v>0</v>
      </c>
      <c r="AC245" s="37" t="b">
        <v>1</v>
      </c>
      <c r="AD245" s="37" t="s">
        <v>38</v>
      </c>
      <c r="AE245" s="37" t="s">
        <v>38</v>
      </c>
      <c r="AF245" s="37" t="str">
        <f t="array" ref="AF245">INDEX('Deal Info'!D:D, MATCH(A245,'Deal Info'!A:A, 0))</f>
        <v>DoEVold</v>
      </c>
      <c r="AG245" s="38" t="str">
        <f t="array" ref="AG245">INDEX('Deal Info'!G:G, MATCH(A245,'Deal Info'!A:A, 0))</f>
        <v>None</v>
      </c>
    </row>
    <row r="246" spans="1:33" ht="14.25" x14ac:dyDescent="0.2">
      <c r="A246" s="18" t="str">
        <f t="array" ref="A246">IF(G246='Room Info'!$B$1, INDEX('Room Info'!$A$2:$A2446, MATCH(B246,'Room Info'!$B$2:$B2446, 0)),IF(G246='Room Info'!$C$1, INDEX('Room Info'!$A$2:$A2446, MATCH(B246,'Room Info'!$C$2:$C2446, 0)),IF(G246='Room Info'!$D$1, INDEX('Room Info'!$A$2:$A2446, MATCH(B246,'Room Info'!$D$2:$D2446, 0)),IF(G246='Room Info'!$E$1, INDEX('Room Info'!$A$2:$A2446, MATCH(B246,'Room Info'!$E$2:$E2446, 0)),IF(G246='Room Info'!$F$1, INDEX('Room Info'!$A$2:$A2446, MATCH(B246,'Room Info'!$F$2:$F2446, 0)),IF(G246='Room Info'!$H$1, INDEX('Room Info'!$A$2:$A2446, MATCH(B246,'Room Info'!$H$2:$H2446, 0)),IF(G246='Room Info'!$G$1, INDEX('Room Info'!$A$2:$A2446, MATCH(B246,'Room Info'!$G$2:$G2446, 0)))))))))</f>
        <v>Lo4io</v>
      </c>
      <c r="B246" s="45" t="s">
        <v>107</v>
      </c>
      <c r="C246" s="136">
        <v>44672</v>
      </c>
      <c r="D246" s="136">
        <v>44701</v>
      </c>
      <c r="E246" s="47">
        <v>44682</v>
      </c>
      <c r="F246" s="48" t="s">
        <v>34</v>
      </c>
      <c r="G246" s="45" t="s">
        <v>61</v>
      </c>
      <c r="H246" s="49" t="s">
        <v>179</v>
      </c>
      <c r="I246" s="49" t="s">
        <v>37</v>
      </c>
      <c r="J246" s="74">
        <v>25</v>
      </c>
      <c r="K246" s="134">
        <v>18</v>
      </c>
      <c r="L246" s="135">
        <v>264</v>
      </c>
      <c r="M246" s="79">
        <v>45</v>
      </c>
      <c r="N246" s="28">
        <f>K246*J246</f>
        <v>450</v>
      </c>
      <c r="O246" s="129">
        <v>1893</v>
      </c>
      <c r="P246" s="29">
        <v>105.16666669999999</v>
      </c>
      <c r="Q246" s="55"/>
      <c r="R246" s="31">
        <f>M246+Q246</f>
        <v>45</v>
      </c>
      <c r="S246" s="97">
        <v>44</v>
      </c>
      <c r="T246" s="32">
        <f>R246+S246+IF(F246="Without EV deal",L246,0)</f>
        <v>89</v>
      </c>
      <c r="U246" s="57">
        <v>1.0549999999999999</v>
      </c>
      <c r="V246" s="58">
        <v>27.072653884964684</v>
      </c>
      <c r="W246" s="58">
        <v>68.039136755003909</v>
      </c>
      <c r="X246" s="78">
        <f>IF(AF246="DoEV",IF(AND(V246&lt;20,W246&lt;55),0.3,0)+IF(AND(V246&lt;20,W246&gt;=55,W246&lt;105),0.23,0)+IF(AND(V246&lt;20,W246&gt;=105),0.17,0)+IF(AND(V246&gt;=20,V246&lt;40,W246&lt;45),0.3,0)+IF(AND(V246&gt;=20,V246&lt;40,W246&gt;=45,W246&lt;95),0.23,0)+IF(AND(V246&gt;=20,V246&lt;40,W246&gt;=95),0.17,0)+IF(AND(V246&gt;=40,V246&lt;75,W246&lt;35),0.3,0)+IF(AND(V246&gt;=40,V246&lt;75,W246&gt;=35,W246&lt;75),0.23,0)+IF(AND(V246&gt;=40,V246&lt;75,W246&gt;=75,W246&lt;120),0.17,0)+IF(AND(V246&gt;=40,V246&lt;75,W246&gt;=120),0.12,0)+IF(AND(V246&gt;=75,V246&lt;175,W246&lt;35),0.3,0)+IF(AND(V246&gt;=75,V246&lt;=175,W246&gt;=35,W246&lt;65),0.23,0)+IF(AND(V246&gt;=75,V246&lt;=175,W246&gt;=65,W246&lt;110),0.17,0)+IF(AND(V246&gt;=75,V246&lt;=175,W246&gt;=110),0.12,0)+IF(AND(V246&gt;175,W246&lt;25),0.3,0)+IF(AND(V246&gt;175,W246&gt;=25,W246&lt;55),0.23,0)+IF(AND(V246&gt;175,W246&gt;=55,W246&lt;95),0.17,0)+IF(AND(V246&gt;175,W246&gt;=95),0.12,0),
IF(AF246="Fix15",0.15,
IF(AF246="Fix11.25",0.1125,
IF(AF246="Fix10",0.1,
IF(AF246="Fix9",0.09,
IF(AF246="DoEV2017",IF(AND(W246&lt;74),0.2,0)+IF(AND(W246&gt;=74),0.17,0),
IF(AF246="SF",IF(AND(V246&lt;20,W246&lt;89),0.3,0)+IF(AND(V246&lt;20,W246&gt;=89),0.25,0)+IF(AND(V246&gt;=20,V246&lt;40,W246&lt;74),0.3,0)+IF(AND(V246&gt;=20,V246&lt;40,W246&gt;=75),0.22,0)+IF(AND(V246&gt;=40,V246&lt;75,W246&lt;75),0.26,0)+IF(AND(V246&gt;=40,V246&lt;75,W246&gt;=75),0.22,0)+IF(V246&gt;=75,0.22,0),
IF(AF246="DoEVold",IF(AND(V246&lt;40,W246&lt;35),0.35,0)+IF(AND(V246&lt;40,W246&gt;=35,W246&lt;75),0.25,0)+IF(AND(V246&lt;40,W246&gt;=75),0.17,0)+IF(AND(V246&gt;=40,V246&lt;75,W246&lt;25),0.35,0)+IF(AND(V246&gt;=40,V246&lt;75,W246&gt;=25,W246&lt;65),0.25,0)+IF(AND(V246&gt;=40,V246&lt;75,W246&gt;=65,W246&lt;100),0.17,0)+IF(AND(V246&gt;=40,V246&lt;75,W246&gt;=100),0.1,0)+IF(AND(V246&gt;=75,W246&lt;25),0.35,0)+IF(AND(V246&gt;=75,W246&gt;=25,W246&lt;60),0.25,0)+IF(AND(V246&gt;=75,W246&gt;=60,W246&lt;95),0.17,0)+IF(AND(V246&gt;=75,W246&gt;=95),0.1,0),
IF(AF246="DoEVold15",IF(AND(V246&lt;=40,W246&lt;35),0.35,0)+IF(AND(V246&lt;=40,W246&gt;=35,W246&lt;75),0.25,0)+IF(AND(V246&lt;=40,W246&gt;=75,W246&lt;120),0.17,0)+IF(AND(V246&lt;=40,W246&gt;=120),0.15,0)+IF(AND(V246&gt;40,V246&lt;75,W246&lt;25),0.35,0)+IF(AND(V246&gt;=40,V246&lt;75,W246&gt;=25,W246&lt;65),0.25,0)+IF(AND(V246&gt;=40,V246&lt;75,W246&gt;=65,W246&lt;100),0.17,0)+IF(AND(V246&gt;=40,V246&lt;75,W246&gt;=100),0.1,0)+IF(AND(V246&gt;=75,W246&lt;25),0.35,0)+IF(AND(V246&gt;=75,W246&gt;=25,W246&lt;60),0.25,0)+IF(AND(V246&gt;=75,W246&gt;=60,W246&lt;95),0.17,0)+IF(AND(V246&gt;=75,W246&gt;=95),0.1,0),
IF(AF246="DoEVba",IF(AND(V246&lt;20,W246&lt;105),0.2,0)+IF(AND(V246&lt;20,W246&gt;=105),0.15,0)+IF(AND(V246&gt;=20,V246&lt;40,W246&lt;95),0.2,0)+IF(AND(V246&gt;=20,V246&lt;40,W246&gt;=95,W246&lt;150),0.15,0)+IF(AND(V246&gt;=20,V246&lt;40,W246&gt;=150),0.12,0)+IF(AND(V246&gt;=40,V246&lt;75,W246&lt;75),0.2,0)+IF(AND(V246&gt;=40,V246&lt;75,W246&gt;=75,W246&lt;120),0.15,0)+IF(AND(V246&gt;=40,V246&lt;75,W246&gt;=120),0.12,0)+IF(AND(V246&gt;=75,V246&lt;175,W246&lt;65),0.2,0)+IF(AND(V246&gt;=75,V246&lt;175,W246&gt;=65,W246&lt;110),0.15,0)+IF(AND(V246&gt;=75,V246&lt;175,W246&gt;=110),0.12,0)+IF(AND(V246&gt;=175,W246&lt;55),0.2,0)+IF(AND(V246&gt;=175,W246&gt;=55,W246&lt;95),0.15,0)+IF(AND(V246&gt;=175,W246&gt;=95),0.12,0),
IF(AF246="DoEVku",IF(AND(V246&lt;20,W246&lt;55),0.23,0)+IF(AND(V246&lt;20,W246&gt;=55,W246&lt;105),0.2,0)+IF(AND(V246&lt;20,W246&gt;=105),0.17,0)+IF(AND(V246&gt;=20,V246&lt;40,W246&lt;45),0.23,0)+IF(AND(V246&gt;=20,V246&lt;40,W246&gt;=45,W246&lt;95),0.2,0)+IF(AND(V246&gt;=20,V246&lt;40,W246&gt;=95,W246&lt;=150),0.17,0)+IF(AND(V246&gt;=20,V246&lt;40,W246&gt;=150),0.12,0)+IF(AND(V246&gt;=40,V246&lt;75,W246&lt;35),0.23,0)+IF(AND(V246&gt;=40,V246&lt;75,W246&gt;=35,W246&lt;75),0.2,0)+IF(AND(V246&gt;=40,V246&lt;75,W246&gt;=75,W246&lt;120),0.17,0)+IF(AND(V246&gt;=40,V246&lt;75,W246&gt;=120),0.12,0)+IF(AND(V246&gt;=75,V246&lt;175,W246&lt;35),0.23,0)+IF(AND(V246&gt;=75,V246&lt;=175,W246&gt;=35,W246&lt;65),0.2,0)+IF(AND(V246&gt;=75,V246&lt;=175,W246&gt;=65,W246&lt;110),0.17,0)+IF(AND(V246&gt;=75,V246&lt;=175,W246&gt;=110),0.12,0)+IF(AND(V246&gt;175,W246&lt;25),0.23,0)+IF(AND(V246&gt;175,W246&gt;=25,W246&lt;55),0.2,0)+IF(AND(V246&gt;175,W246&gt;=55,W246&lt;95),0.17,0)+IF(AND(V246&gt;175,W246&gt;=95),0.12,0),
IF(AF246="DoEVs1",IF(AND(V246&lt;20,W246&lt;55),0.3,0)+IF(AND(V246&lt;20,W246&gt;=55,W246&lt;105),0.23,0)+IF(AND(V246&lt;20,W246&gt;=105),0.17,0)+IF(AND(V246&gt;=20,V246&lt;40,W246&lt;45),0.3,0)+IF(AND(V246&gt;=20,V246&lt;40,W246&gt;=45,W246&lt;95),0.23,0)+IF(AND(V246&gt;=20,V246&lt;40,W246&gt;=95,W246&lt;=150),0.17,0)+IF(AND(V246&gt;=20,V246&lt;40,W246&gt;=150),0.12,0)+IF(AND(V246&gt;=40,V246&lt;75,W246&lt;35),0.3,0)+IF(AND(V246&gt;=40,V246&lt;75,W246&gt;=35,W246&lt;75),0.23,0)+IF(AND(V246&gt;=40,V246&lt;75,W246&gt;=75,W246&lt;120),0.17,0)+IF(AND(V246&gt;=40,V246&lt;75,W246&gt;=120),0.12,0)+IF(AND(V246&gt;=75,V246&lt;175,W246&lt;35),0.3,0)+IF(AND(V246&gt;=75,V246&lt;=175,W246&gt;=35,W246&lt;65),0.23,0)+IF(AND(V246&gt;=75,V246&lt;=175,W246&gt;=65,W246&lt;110),0.17,0)+IF(AND(V246&gt;=75,V246&lt;=175,W246&gt;=110),0.12,0)+IF(AND(V246&gt;175,W246&lt;25),0.3,0)+IF(AND(V246&gt;175,W246&gt;=25,W246&lt;55),0.23,0)+IF(AND(V246&gt;175,W246&gt;=55,W246&lt;95),0.17,0)+IF(AND(V246&gt;175,W246&gt;=95),0.12,0),
IF(AF246="DoEVsu",IF(AND(V246&lt;20,W246&lt;55),0.3,0)+IF(AND(V246&lt;20,W246&gt;=55,W246&lt;105),0.23,0)+IF(AND(V246&lt;20,W246&gt;=105),0.17,0)+IF(AND(V246&gt;=20,V246&lt;40,W246&lt;45),0.3,0)+IF(AND(V246&gt;=20,V246&lt;40,W246&gt;=45,W246&lt;95),0.23,0)+IF(AND(V246&gt;=20,V246&lt;40,W246&gt;=95,W246&lt;=250),0.17,0)+IF(AND(V246&gt;=20,V246&lt;40,W246&gt;=250),0.12,0)+IF(AND(V246&gt;=40,V246&lt;75,W246&lt;35),0.3,0)+IF(AND(V246&gt;=40,V246&lt;75,W246&gt;=35,W246&lt;75),0.23,0)+IF(AND(V246&gt;=40,V246&lt;75,W246&gt;=75,W246&lt;120),0.17,0)+IF(AND(V246&gt;=40,V246&lt;75,W246&gt;=120),0.12,0)+IF(AND(V246&gt;=75,V246&lt;175,W246&lt;35),0.3,0)+IF(AND(V246&gt;=75,V246&lt;=175,W246&gt;=35,W246&lt;65),0.23,0)+IF(AND(V246&gt;=75,V246&lt;=175,W246&gt;=65,W246&lt;110),0.17,0)+IF(AND(V246&gt;=75,V246&lt;=175,W246&gt;=110),0.12,0)+IF(AND(V246&gt;175,W246&lt;25),0.3,0)+IF(AND(V246&gt;175,W246&gt;=25,W246&lt;55),0.23,0)+IF(AND(V246&gt;175,W246&gt;=55,W246&lt;95),0.17,0)+IF(AND(V246&gt;175,W246&gt;=95),0.12,0),
IF(AF246="DoEVni",IF(AND(V246&lt;20,W246&lt;55),0.3,0)+IF(AND(V246&lt;20,W246&gt;=55,W246&lt;105),0.23,0)+IF(AND(V246&lt;20,W246&gt;=105),0.17,0)+IF(AND(V246&gt;=20,V246&lt;40,W246&lt;45),0.3,0)+IF(AND(V246&gt;=20,V246&lt;40,W246&gt;=45,W246&lt;95),0.23,0)+IF(AND(V246&gt;=20,V246&lt;40,W246&gt;=95,W246&lt;=200),0.17,0)+IF(AND(V246&gt;=20,V246&lt;40,W246&gt;=200),0.12,0)+IF(AND(V246&gt;=40,V246&lt;75,W246&lt;35),0.3,0)+IF(AND(V246&gt;=40,V246&lt;75,W246&gt;=35,W246&lt;75),0.23,0)+IF(AND(V246&gt;=40,V246&lt;75,W246&gt;=75,W246&lt;120),0.17,0)+IF(AND(V246&gt;=40,V246&lt;75,W246&gt;=120),0.12,0)+IF(AND(V246&gt;=75,V246&lt;175,W246&lt;35),0.3,0)+IF(AND(V246&gt;=75,V246&lt;=175,W246&gt;=35,W246&lt;65),0.23,0)+IF(AND(V246&gt;=75,V246&lt;=175,W246&gt;=65,W246&lt;110),0.17,0)+IF(AND(V246&gt;=75,V246&lt;=175,W246&gt;=110),0.12,0)+IF(AND(V246&gt;175,W246&lt;25),0.3,0)+IF(AND(V246&gt;175,W246&gt;=25,W246&lt;55),0.23,0)+IF(AND(V246&gt;175,W246&gt;=55,W246&lt;95),0.17,0)+IF(AND(V246&gt;175,W246&gt;=95),0.12,0),
IF(AF246="DoEVLo",IF(AND(V246&lt;20,W246&lt;55),0.25,0)+IF(AND(V246&lt;20,W246&gt;=55,W246&lt;105),0.2,0)+IF(AND(V246&lt;20,W246&gt;=105),0.15,0)+IF(AND(V246&gt;=20,V246&lt;40,W246&lt;45),0.25,0)+IF(AND(V246&gt;=20,V246&lt;40,W246&gt;=45,W246&lt;95),0.2,0)+IF(AND(V246&gt;=20,V246&lt;40,W246&gt;=95),0.15,0)+IF(AND(V246&gt;=40,V246&lt;75,W246&lt;35),0.25,0)+IF(AND(V246&gt;=40,V246&lt;75,W246&gt;=35,W246&lt;75),0.2,0)+IF(AND(V246&gt;=40,V246&lt;75,W246&gt;=75,W246&lt;120),0.15,0)+IF(AND(V246&gt;=40,V246&lt;75,W246&gt;=120),0.1,0)+IF(AND(V246&gt;=75,V246&lt;175,W246&lt;35),0.25,0)+IF(AND(V246&gt;=75,V246&lt;=175,W246&gt;=35,W246&lt;65),0.2,0)+IF(AND(V246&gt;=75,V246&lt;=175,W246&gt;=65,W246&lt;110),0.15,0)+IF(AND(V246&gt;=75,V246&lt;=175,W246&gt;=110),0.1,0)+IF(AND(V246&gt;175,W246&lt;25),0.25,0)+IF(AND(V246&gt;175,W246&gt;=25,W246&lt;55),0.2,0)+IF(AND(V246&gt;175,W246&gt;=55,W246&lt;95),0.15,0)+IF(AND(V246&gt;175,W246&gt;=95),0.1,0))))))))))))))))</f>
        <v>0.2</v>
      </c>
      <c r="Y246" s="30">
        <f>IF(AG246="None",0,IF(AG246="Fix5",0.05,IF(AG246="Fix3.75",0.0375,IF(AG246="Fix10",0.1,IF(AG246="Fix3",0.03,0)))))</f>
        <v>0</v>
      </c>
      <c r="Z246" s="35">
        <f>T246-AA246-AB246</f>
        <v>70.716000000000008</v>
      </c>
      <c r="AA246" s="29">
        <f>IF(AD246="EUR",((T246-R246)*X246)*U246+(R246*X246),(T246*X246))</f>
        <v>18.283999999999999</v>
      </c>
      <c r="AB246" s="36">
        <f>IF(AD246="EUR",((T246-R246)*Y246)*U246+(R246*Y246),(T246*Y246))</f>
        <v>0</v>
      </c>
      <c r="AC246" s="37" t="b">
        <v>1</v>
      </c>
      <c r="AD246" s="37" t="s">
        <v>50</v>
      </c>
      <c r="AE246" s="37"/>
      <c r="AF246" s="37" t="str">
        <f t="array" ref="AF246">INDEX('Deal Info'!D:D, MATCH(A246,'Deal Info'!A:A, 0))</f>
        <v>DoEVLo</v>
      </c>
      <c r="AG246" s="38" t="str">
        <f t="array" ref="AG246">INDEX('Deal Info'!G:G, MATCH(A246,'Deal Info'!A:A, 0))</f>
        <v>None</v>
      </c>
    </row>
    <row r="247" spans="1:33" ht="14.25" x14ac:dyDescent="0.2">
      <c r="A247" s="18" t="str">
        <f t="array" ref="A247">IF(G247='Room Info'!$B$1, INDEX('Room Info'!$A$2:$A2446, MATCH(B247,'Room Info'!$B$2:$B2446, 0)),IF(G247='Room Info'!$C$1, INDEX('Room Info'!$A$2:$A2446, MATCH(B247,'Room Info'!$C$2:$C2446, 0)),IF(G247='Room Info'!$D$1, INDEX('Room Info'!$A$2:$A2446, MATCH(B247,'Room Info'!$D$2:$D2446, 0)),IF(G247='Room Info'!$E$1, INDEX('Room Info'!$A$2:$A2446, MATCH(B247,'Room Info'!$E$2:$E2446, 0)),IF(G247='Room Info'!$F$1, INDEX('Room Info'!$A$2:$A2446, MATCH(B247,'Room Info'!$F$2:$F2446, 0)),IF(G247='Room Info'!$H$1, INDEX('Room Info'!$A$2:$A2446, MATCH(B247,'Room Info'!$H$2:$H2446, 0)),IF(G247='Room Info'!$G$1, INDEX('Room Info'!$A$2:$A2446, MATCH(B247,'Room Info'!$G$2:$G2446, 0)))))))))</f>
        <v>Freedoom</v>
      </c>
      <c r="B247" s="45" t="s">
        <v>110</v>
      </c>
      <c r="C247" s="46">
        <v>44682</v>
      </c>
      <c r="D247" s="46">
        <v>44712</v>
      </c>
      <c r="E247" s="47">
        <v>44682</v>
      </c>
      <c r="F247" s="48" t="s">
        <v>49</v>
      </c>
      <c r="G247" s="129" t="s">
        <v>61</v>
      </c>
      <c r="H247" s="49" t="s">
        <v>179</v>
      </c>
      <c r="I247" s="49" t="s">
        <v>37</v>
      </c>
      <c r="J247" s="70">
        <v>25</v>
      </c>
      <c r="K247" s="71">
        <v>272</v>
      </c>
      <c r="L247" s="52">
        <v>525</v>
      </c>
      <c r="M247" s="53">
        <v>16</v>
      </c>
      <c r="N247" s="28">
        <f>K247*J247</f>
        <v>6800</v>
      </c>
      <c r="O247" s="54">
        <v>18289</v>
      </c>
      <c r="P247" s="29">
        <v>67.238970589999994</v>
      </c>
      <c r="Q247" s="55"/>
      <c r="R247" s="31">
        <f>M247+Q247</f>
        <v>16</v>
      </c>
      <c r="S247" s="56">
        <v>219</v>
      </c>
      <c r="T247" s="32">
        <f>R247+S247+IF(F247="Without EV deal",L247,0)</f>
        <v>235</v>
      </c>
      <c r="U247" s="57">
        <v>1</v>
      </c>
      <c r="V247" s="58"/>
      <c r="W247" s="58"/>
      <c r="X247" s="30">
        <f>IF(AF247="DoEV",IF(AND(V247&lt;20,W247&lt;55),0.3,0)+IF(AND(V247&lt;20,W247&gt;=55,W247&lt;105),0.23,0)+IF(AND(V247&lt;20,W247&gt;=105),0.17,0)+IF(AND(V247&gt;=20,V247&lt;40,W247&lt;45),0.3,0)+IF(AND(V247&gt;=20,V247&lt;40,W247&gt;=45,W247&lt;95),0.23,0)+IF(AND(V247&gt;=20,V247&lt;40,W247&gt;=95),0.17,0)+IF(AND(V247&gt;=40,V247&lt;75,W247&lt;35),0.3,0)+IF(AND(V247&gt;=40,V247&lt;75,W247&gt;=35,W247&lt;75),0.23,0)+IF(AND(V247&gt;=40,V247&lt;75,W247&gt;=75,W247&lt;120),0.17,0)+IF(AND(V247&gt;=40,V247&lt;75,W247&gt;=120),0.12,0)+IF(AND(V247&gt;=75,V247&lt;175,W247&lt;35),0.3,0)+IF(AND(V247&gt;=75,V247&lt;=175,W247&gt;=35,W247&lt;65),0.23,0)+IF(AND(V247&gt;=75,V247&lt;=175,W247&gt;=65,W247&lt;110),0.17,0)+IF(AND(V247&gt;=75,V247&lt;=175,W247&gt;=110),0.12,0)+IF(AND(V247&gt;175,W247&lt;25),0.3,0)+IF(AND(V247&gt;175,W247&gt;=25,W247&lt;55),0.23,0)+IF(AND(V247&gt;175,W247&gt;=55,W247&lt;95),0.17,0)+IF(AND(V247&gt;175,W247&gt;=95),0.12,0),
IF(AF247="Fix15",0.15,
IF(AF247="Fix11.25",0.1125,
IF(AF247="Fix10",0.1,
IF(AF247="Fix9",0.09,
IF(AF247="DoEV2017",IF(AND(W247&lt;74),0.2,0)+IF(AND(W247&gt;=74),0.17,0),
IF(AF247="SF",IF(AND(V247&lt;20,W247&lt;89),0.3,0)+IF(AND(V247&lt;20,W247&gt;=89),0.25,0)+IF(AND(V247&gt;=20,V247&lt;40,W247&lt;74),0.3,0)+IF(AND(V247&gt;=20,V247&lt;40,W247&gt;=75),0.22,0)+IF(AND(V247&gt;=40,V247&lt;75,W247&lt;75),0.26,0)+IF(AND(V247&gt;=40,V247&lt;75,W247&gt;=75),0.22,0)+IF(V247&gt;=75,0.22,0),
IF(AF247="DoEVold",IF(AND(V247&lt;40,W247&lt;35),0.35,0)+IF(AND(V247&lt;40,W247&gt;=35,W247&lt;75),0.25,0)+IF(AND(V247&lt;40,W247&gt;=75),0.17,0)+IF(AND(V247&gt;=40,V247&lt;75,W247&lt;25),0.35,0)+IF(AND(V247&gt;=40,V247&lt;75,W247&gt;=25,W247&lt;65),0.25,0)+IF(AND(V247&gt;=40,V247&lt;75,W247&gt;=65,W247&lt;100),0.17,0)+IF(AND(V247&gt;=40,V247&lt;75,W247&gt;=100),0.1,0)+IF(AND(V247&gt;=75,W247&lt;25),0.35,0)+IF(AND(V247&gt;=75,W247&gt;=25,W247&lt;60),0.25,0)+IF(AND(V247&gt;=75,W247&gt;=60,W247&lt;95),0.17,0)+IF(AND(V247&gt;=75,W247&gt;=95),0.1,0),
IF(AF247="DoEVold15",IF(AND(V247&lt;=40,W247&lt;35),0.35,0)+IF(AND(V247&lt;=40,W247&gt;=35,W247&lt;75),0.25,0)+IF(AND(V247&lt;=40,W247&gt;=75,W247&lt;120),0.17,0)+IF(AND(V247&lt;=40,W247&gt;=120),0.15,0)+IF(AND(V247&gt;40,V247&lt;75,W247&lt;25),0.35,0)+IF(AND(V247&gt;=40,V247&lt;75,W247&gt;=25,W247&lt;65),0.25,0)+IF(AND(V247&gt;=40,V247&lt;75,W247&gt;=65,W247&lt;100),0.17,0)+IF(AND(V247&gt;=40,V247&lt;75,W247&gt;=100),0.1,0)+IF(AND(V247&gt;=75,W247&lt;25),0.35,0)+IF(AND(V247&gt;=75,W247&gt;=25,W247&lt;60),0.25,0)+IF(AND(V247&gt;=75,W247&gt;=60,W247&lt;95),0.17,0)+IF(AND(V247&gt;=75,W247&gt;=95),0.1,0),
IF(AF247="DoEVba",IF(AND(V247&lt;20,W247&lt;105),0.2,0)+IF(AND(V247&lt;20,W247&gt;=105),0.15,0)+IF(AND(V247&gt;=20,V247&lt;40,W247&lt;95),0.2,0)+IF(AND(V247&gt;=20,V247&lt;40,W247&gt;=95,W247&lt;150),0.15,0)+IF(AND(V247&gt;=20,V247&lt;40,W247&gt;=150),0.12,0)+IF(AND(V247&gt;=40,V247&lt;75,W247&lt;75),0.2,0)+IF(AND(V247&gt;=40,V247&lt;75,W247&gt;=75,W247&lt;120),0.15,0)+IF(AND(V247&gt;=40,V247&lt;75,W247&gt;=120),0.12,0)+IF(AND(V247&gt;=75,V247&lt;175,W247&lt;65),0.2,0)+IF(AND(V247&gt;=75,V247&lt;175,W247&gt;=65,W247&lt;110),0.15,0)+IF(AND(V247&gt;=75,V247&lt;175,W247&gt;=110),0.12,0)+IF(AND(V247&gt;=175,W247&lt;55),0.2,0)+IF(AND(V247&gt;=175,W247&gt;=55,W247&lt;95),0.15,0)+IF(AND(V247&gt;=175,W247&gt;=95),0.12,0),
IF(AF247="DoEVku",IF(AND(V247&lt;20,W247&lt;55),0.23,0)+IF(AND(V247&lt;20,W247&gt;=55,W247&lt;105),0.2,0)+IF(AND(V247&lt;20,W247&gt;=105),0.17,0)+IF(AND(V247&gt;=20,V247&lt;40,W247&lt;45),0.23,0)+IF(AND(V247&gt;=20,V247&lt;40,W247&gt;=45,W247&lt;95),0.2,0)+IF(AND(V247&gt;=20,V247&lt;40,W247&gt;=95,W247&lt;=150),0.17,0)+IF(AND(V247&gt;=20,V247&lt;40,W247&gt;=150),0.12,0)+IF(AND(V247&gt;=40,V247&lt;75,W247&lt;35),0.23,0)+IF(AND(V247&gt;=40,V247&lt;75,W247&gt;=35,W247&lt;75),0.2,0)+IF(AND(V247&gt;=40,V247&lt;75,W247&gt;=75,W247&lt;120),0.17,0)+IF(AND(V247&gt;=40,V247&lt;75,W247&gt;=120),0.12,0)+IF(AND(V247&gt;=75,V247&lt;175,W247&lt;35),0.23,0)+IF(AND(V247&gt;=75,V247&lt;=175,W247&gt;=35,W247&lt;65),0.2,0)+IF(AND(V247&gt;=75,V247&lt;=175,W247&gt;=65,W247&lt;110),0.17,0)+IF(AND(V247&gt;=75,V247&lt;=175,W247&gt;=110),0.12,0)+IF(AND(V247&gt;175,W247&lt;25),0.23,0)+IF(AND(V247&gt;175,W247&gt;=25,W247&lt;55),0.2,0)+IF(AND(V247&gt;175,W247&gt;=55,W247&lt;95),0.17,0)+IF(AND(V247&gt;175,W247&gt;=95),0.12,0),
IF(AF247="DoEVs1",IF(AND(V247&lt;20,W247&lt;55),0.3,0)+IF(AND(V247&lt;20,W247&gt;=55,W247&lt;105),0.23,0)+IF(AND(V247&lt;20,W247&gt;=105),0.17,0)+IF(AND(V247&gt;=20,V247&lt;40,W247&lt;45),0.3,0)+IF(AND(V247&gt;=20,V247&lt;40,W247&gt;=45,W247&lt;95),0.23,0)+IF(AND(V247&gt;=20,V247&lt;40,W247&gt;=95,W247&lt;=150),0.17,0)+IF(AND(V247&gt;=20,V247&lt;40,W247&gt;=150),0.12,0)+IF(AND(V247&gt;=40,V247&lt;75,W247&lt;35),0.3,0)+IF(AND(V247&gt;=40,V247&lt;75,W247&gt;=35,W247&lt;75),0.23,0)+IF(AND(V247&gt;=40,V247&lt;75,W247&gt;=75,W247&lt;120),0.17,0)+IF(AND(V247&gt;=40,V247&lt;75,W247&gt;=120),0.12,0)+IF(AND(V247&gt;=75,V247&lt;175,W247&lt;35),0.3,0)+IF(AND(V247&gt;=75,V247&lt;=175,W247&gt;=35,W247&lt;65),0.23,0)+IF(AND(V247&gt;=75,V247&lt;=175,W247&gt;=65,W247&lt;110),0.17,0)+IF(AND(V247&gt;=75,V247&lt;=175,W247&gt;=110),0.12,0)+IF(AND(V247&gt;175,W247&lt;25),0.3,0)+IF(AND(V247&gt;175,W247&gt;=25,W247&lt;55),0.23,0)+IF(AND(V247&gt;175,W247&gt;=55,W247&lt;95),0.17,0)+IF(AND(V247&gt;175,W247&gt;=95),0.12,0),
IF(AF247="DoEVsu",IF(AND(V247&lt;20,W247&lt;55),0.3,0)+IF(AND(V247&lt;20,W247&gt;=55,W247&lt;105),0.23,0)+IF(AND(V247&lt;20,W247&gt;=105),0.17,0)+IF(AND(V247&gt;=20,V247&lt;40,W247&lt;45),0.3,0)+IF(AND(V247&gt;=20,V247&lt;40,W247&gt;=45,W247&lt;95),0.23,0)+IF(AND(V247&gt;=20,V247&lt;40,W247&gt;=95,W247&lt;=250),0.17,0)+IF(AND(V247&gt;=20,V247&lt;40,W247&gt;=250),0.12,0)+IF(AND(V247&gt;=40,V247&lt;75,W247&lt;35),0.3,0)+IF(AND(V247&gt;=40,V247&lt;75,W247&gt;=35,W247&lt;75),0.23,0)+IF(AND(V247&gt;=40,V247&lt;75,W247&gt;=75,W247&lt;120),0.17,0)+IF(AND(V247&gt;=40,V247&lt;75,W247&gt;=120),0.12,0)+IF(AND(V247&gt;=75,V247&lt;175,W247&lt;35),0.3,0)+IF(AND(V247&gt;=75,V247&lt;=175,W247&gt;=35,W247&lt;65),0.23,0)+IF(AND(V247&gt;=75,V247&lt;=175,W247&gt;=65,W247&lt;110),0.17,0)+IF(AND(V247&gt;=75,V247&lt;=175,W247&gt;=110),0.12,0)+IF(AND(V247&gt;175,W247&lt;25),0.3,0)+IF(AND(V247&gt;175,W247&gt;=25,W247&lt;55),0.23,0)+IF(AND(V247&gt;175,W247&gt;=55,W247&lt;95),0.17,0)+IF(AND(V247&gt;175,W247&gt;=95),0.12,0),
IF(AF247="DoEVni",IF(AND(V247&lt;20,W247&lt;55),0.3,0)+IF(AND(V247&lt;20,W247&gt;=55,W247&lt;105),0.23,0)+IF(AND(V247&lt;20,W247&gt;=105),0.17,0)+IF(AND(V247&gt;=20,V247&lt;40,W247&lt;45),0.3,0)+IF(AND(V247&gt;=20,V247&lt;40,W247&gt;=45,W247&lt;95),0.23,0)+IF(AND(V247&gt;=20,V247&lt;40,W247&gt;=95,W247&lt;=200),0.17,0)+IF(AND(V247&gt;=20,V247&lt;40,W247&gt;=200),0.12,0)+IF(AND(V247&gt;=40,V247&lt;75,W247&lt;35),0.3,0)+IF(AND(V247&gt;=40,V247&lt;75,W247&gt;=35,W247&lt;75),0.23,0)+IF(AND(V247&gt;=40,V247&lt;75,W247&gt;=75,W247&lt;120),0.17,0)+IF(AND(V247&gt;=40,V247&lt;75,W247&gt;=120),0.12,0)+IF(AND(V247&gt;=75,V247&lt;175,W247&lt;35),0.3,0)+IF(AND(V247&gt;=75,V247&lt;=175,W247&gt;=35,W247&lt;65),0.23,0)+IF(AND(V247&gt;=75,V247&lt;=175,W247&gt;=65,W247&lt;110),0.17,0)+IF(AND(V247&gt;=75,V247&lt;=175,W247&gt;=110),0.12,0)+IF(AND(V247&gt;175,W247&lt;25),0.3,0)+IF(AND(V247&gt;175,W247&gt;=25,W247&lt;55),0.23,0)+IF(AND(V247&gt;175,W247&gt;=55,W247&lt;95),0.17,0)+IF(AND(V247&gt;175,W247&gt;=95),0.12,0),
IF(AF247="DoEVLo",IF(AND(V247&lt;20,W247&lt;55),0.25,0)+IF(AND(V247&lt;20,W247&gt;=55,W247&lt;105),0.2,0)+IF(AND(V247&lt;20,W247&gt;=105),0.15,0)+IF(AND(V247&gt;=20,V247&lt;40,W247&lt;45),0.25,0)+IF(AND(V247&gt;=20,V247&lt;40,W247&gt;=45,W247&lt;95),0.2,0)+IF(AND(V247&gt;=20,V247&lt;40,W247&gt;=95),0.15,0)+IF(AND(V247&gt;=40,V247&lt;75,W247&lt;35),0.25,0)+IF(AND(V247&gt;=40,V247&lt;75,W247&gt;=35,W247&lt;75),0.2,0)+IF(AND(V247&gt;=40,V247&lt;75,W247&gt;=75,W247&lt;120),0.15,0)+IF(AND(V247&gt;=40,V247&lt;75,W247&gt;=120),0.1,0)+IF(AND(V247&gt;=75,V247&lt;175,W247&lt;35),0.25,0)+IF(AND(V247&gt;=75,V247&lt;=175,W247&gt;=35,W247&lt;65),0.2,0)+IF(AND(V247&gt;=75,V247&lt;=175,W247&gt;=65,W247&lt;110),0.15,0)+IF(AND(V247&gt;=75,V247&lt;=175,W247&gt;=110),0.1,0)+IF(AND(V247&gt;175,W247&lt;25),0.25,0)+IF(AND(V247&gt;175,W247&gt;=25,W247&lt;55),0.2,0)+IF(AND(V247&gt;175,W247&gt;=55,W247&lt;95),0.15,0)+IF(AND(V247&gt;175,W247&gt;=95),0.1,0))))))))))))))))</f>
        <v>0.35</v>
      </c>
      <c r="Y247" s="30">
        <f>IF(AG247="None",0,IF(AG247="Fix5",0.05,IF(AG247="Fix3.75",0.0375,IF(AG247="Fix10",0.1,IF(AG247="Fix3",0.03,0)))))</f>
        <v>0</v>
      </c>
      <c r="Z247" s="59">
        <v>195</v>
      </c>
      <c r="AA247" s="60">
        <v>40</v>
      </c>
      <c r="AB247" s="36">
        <f>IF(AD247="EUR",((T247-R247)*Y247)*U247+(R247*Y247),(T247*Y247))</f>
        <v>0</v>
      </c>
      <c r="AC247" s="37" t="b">
        <v>1</v>
      </c>
      <c r="AD247" s="37" t="s">
        <v>38</v>
      </c>
      <c r="AE247" s="37" t="s">
        <v>38</v>
      </c>
      <c r="AF247" s="37" t="str">
        <f t="array" ref="AF247">INDEX('Deal Info'!D:D, MATCH(A247,'Deal Info'!A:A, 0))</f>
        <v>DoEVold</v>
      </c>
      <c r="AG247" s="38" t="str">
        <f t="array" ref="AG247">INDEX('Deal Info'!G:G, MATCH(A247,'Deal Info'!A:A, 0))</f>
        <v>None</v>
      </c>
    </row>
    <row r="248" spans="1:33" ht="14.25" x14ac:dyDescent="0.2">
      <c r="A248" s="18" t="s">
        <v>98</v>
      </c>
      <c r="B248" s="45" t="s">
        <v>99</v>
      </c>
      <c r="C248" s="77">
        <v>44682</v>
      </c>
      <c r="D248" s="77">
        <v>44697</v>
      </c>
      <c r="E248" s="47">
        <v>44682</v>
      </c>
      <c r="F248" s="48" t="s">
        <v>41</v>
      </c>
      <c r="G248" s="45" t="s">
        <v>61</v>
      </c>
      <c r="H248" s="100" t="s">
        <v>179</v>
      </c>
      <c r="I248" s="49" t="s">
        <v>37</v>
      </c>
      <c r="J248" s="74">
        <v>25</v>
      </c>
      <c r="K248" s="75">
        <v>55</v>
      </c>
      <c r="L248" s="113">
        <v>175</v>
      </c>
      <c r="M248" s="76">
        <v>1039</v>
      </c>
      <c r="N248" s="28">
        <f>K248*J248</f>
        <v>1375</v>
      </c>
      <c r="O248" s="65">
        <v>1711</v>
      </c>
      <c r="P248" s="29">
        <v>31.109090909999999</v>
      </c>
      <c r="Q248" s="55"/>
      <c r="R248" s="31">
        <f>M248+Q248</f>
        <v>1039</v>
      </c>
      <c r="S248" s="66"/>
      <c r="T248" s="32">
        <f>R248+S248+IF(F248="Without EV deal",L248,0)</f>
        <v>1214</v>
      </c>
      <c r="U248" s="57">
        <v>1.07</v>
      </c>
      <c r="V248" s="69"/>
      <c r="W248" s="69"/>
      <c r="X248" s="30">
        <v>0.25</v>
      </c>
      <c r="Y248" s="30">
        <f>IF(AG248="None",0,IF(AG248="Fix5",0.05, IF(AG248="Fix6.25",0.0625,IF(AG248="Fix3.75",0.0375,IF(AG248="Fix10",0.1,IF(AG248="Fix3",0.03,0))))))</f>
        <v>0</v>
      </c>
      <c r="Z248" s="35">
        <f>T248-AA248-AB248</f>
        <v>907.4375</v>
      </c>
      <c r="AA248" s="29">
        <f>IF(AD248="EUR",((T248-R248)*X248)*U248+(R248*X248),(T248*X248))</f>
        <v>306.5625</v>
      </c>
      <c r="AB248" s="36">
        <f>IF(AD248="EUR",((T248-R248)*Y248)*U248+(R248*Y248),(T248*Y248))</f>
        <v>0</v>
      </c>
      <c r="AC248" s="37" t="b">
        <v>1</v>
      </c>
      <c r="AD248" s="61" t="s">
        <v>50</v>
      </c>
      <c r="AE248" s="61"/>
      <c r="AF248" s="37" t="str">
        <f t="array" ref="AF248">INDEX('Deal Info'!D:D, MATCH(A248,'Deal Info'!A:A, 0))</f>
        <v>DoEVold</v>
      </c>
      <c r="AG248" s="38" t="str">
        <f t="array" ref="AG248">INDEX('Deal Info'!G:G, MATCH(A248,'Deal Info'!A:A, 0))</f>
        <v>None</v>
      </c>
    </row>
    <row r="249" spans="1:33" ht="14.25" hidden="1" x14ac:dyDescent="0.2">
      <c r="A249" s="18" t="str">
        <f t="array" ref="A249">IF(G249='Room Info'!$B$1, INDEX('Room Info'!$A$2:$A2446, MATCH(B249,'Room Info'!$B$2:$B2446, 0)),IF(G249='Room Info'!$C$1, INDEX('Room Info'!$A$2:$A2446, MATCH(B249,'Room Info'!$C$2:$C2446, 0)),IF(G249='Room Info'!$D$1, INDEX('Room Info'!$A$2:$A2446, MATCH(B249,'Room Info'!$D$2:$D2446, 0)),IF(G249='Room Info'!$E$1, INDEX('Room Info'!$A$2:$A2446, MATCH(B249,'Room Info'!$E$2:$E2446, 0)),IF(G249='Room Info'!$F$1, INDEX('Room Info'!$A$2:$A2446, MATCH(B249,'Room Info'!$F$2:$F2446, 0)),IF(G249='Room Info'!$H$1, INDEX('Room Info'!$A$2:$A2446, MATCH(B249,'Room Info'!$H$2:$H2446, 0)),IF(G249='Room Info'!$G$1, INDEX('Room Info'!$A$2:$A2446, MATCH(B249,'Room Info'!$G$2:$G2446, 0)))))))))</f>
        <v>Lo4io</v>
      </c>
      <c r="B249" s="45" t="s">
        <v>102</v>
      </c>
      <c r="C249" s="46">
        <v>44916</v>
      </c>
      <c r="D249" s="46">
        <v>44946</v>
      </c>
      <c r="E249" s="47">
        <v>44927</v>
      </c>
      <c r="F249" s="48" t="s">
        <v>34</v>
      </c>
      <c r="G249" s="45" t="s">
        <v>35</v>
      </c>
      <c r="H249" s="49" t="s">
        <v>72</v>
      </c>
      <c r="I249" s="49" t="s">
        <v>37</v>
      </c>
      <c r="J249" s="50">
        <v>50</v>
      </c>
      <c r="K249" s="51">
        <v>859</v>
      </c>
      <c r="L249" s="52">
        <v>-150</v>
      </c>
      <c r="M249" s="53">
        <v>1108</v>
      </c>
      <c r="N249" s="28">
        <f>K249*J249</f>
        <v>42950</v>
      </c>
      <c r="O249" s="54">
        <v>11921</v>
      </c>
      <c r="P249" s="29">
        <v>13.877764839999999</v>
      </c>
      <c r="Q249" s="55"/>
      <c r="R249" s="31">
        <f>M249+Q249</f>
        <v>1108</v>
      </c>
      <c r="S249" s="56">
        <v>-1561</v>
      </c>
      <c r="T249" s="32">
        <f>R249+S249+IF(F249="Without EV deal",L249,0)</f>
        <v>-453</v>
      </c>
      <c r="U249" s="57">
        <v>1</v>
      </c>
      <c r="V249" s="69">
        <v>43.526543878656554</v>
      </c>
      <c r="W249" s="69">
        <v>93.735905413814564</v>
      </c>
      <c r="X249" s="30">
        <f>IF(AF249="DoEV",IF(AND(V249&lt;20,W249&lt;55),0.3,0)+IF(AND(V249&lt;20,W249&gt;=55,W249&lt;105),0.23,0)+IF(AND(V249&lt;20,W249&gt;=105),0.17,0)+IF(AND(V249&gt;=20,V249&lt;40,W249&lt;45),0.3,0)+IF(AND(V249&gt;=20,V249&lt;40,W249&gt;=45,W249&lt;95),0.23,0)+IF(AND(V249&gt;=20,V249&lt;40,W249&gt;=95),0.17,0)+IF(AND(V249&gt;=40,V249&lt;75,W249&lt;35),0.3,0)+IF(AND(V249&gt;=40,V249&lt;75,W249&gt;=35,W249&lt;75),0.23,0)+IF(AND(V249&gt;=40,V249&lt;75,W249&gt;=75,W249&lt;120),0.17,0)+IF(AND(V249&gt;=40,V249&lt;75,W249&gt;=120),0.12,0)+IF(AND(V249&gt;=75,V249&lt;175,W249&lt;35),0.3,0)+IF(AND(V249&gt;=75,V249&lt;=175,W249&gt;=35,W249&lt;65),0.23,0)+IF(AND(V249&gt;=75,V249&lt;=175,W249&gt;=65,W249&lt;110),0.17,0)+IF(AND(V249&gt;=75,V249&lt;=175,W249&gt;=110),0.12,0)+IF(AND(V249&gt;175,W249&lt;25),0.3,0)+IF(AND(V249&gt;175,W249&gt;=25,W249&lt;55),0.23,0)+IF(AND(V249&gt;175,W249&gt;=55,W249&lt;95),0.17,0)+IF(AND(V249&gt;175,W249&gt;=95),0.12,0),
IF(AF249="Fix15",0.15,
IF(AF249="Fix11.25",0.1125,
IF(AF249="Fix10",0.1,
IF(AF249="Fix9",0.09,
IF(AF249="DoEV2017",IF(AND(W249&lt;74),0.2,0)+IF(AND(W249&gt;=74),0.17,0),
IF(AF249="SF",IF(AND(V249&lt;20,W249&lt;89),0.3,0)+IF(AND(V249&lt;20,W249&gt;=89),0.25,0)+IF(AND(V249&gt;=20,V249&lt;40,W249&lt;74),0.3,0)+IF(AND(V249&gt;=20,V249&lt;40,W249&gt;=75),0.22,0)+IF(AND(V249&gt;=40,V249&lt;75,W249&lt;75),0.26,0)+IF(AND(V249&gt;=40,V249&lt;75,W249&gt;=75),0.22,0)+IF(V249&gt;=75,0.22,0),
IF(AF249="DoEVold",IF(AND(V249&lt;40,W249&lt;35),0.35,0)+IF(AND(V249&lt;40,W249&gt;=35,W249&lt;75),0.25,0)+IF(AND(V249&lt;40,W249&gt;=75),0.17,0)+IF(AND(V249&gt;=40,V249&lt;75,W249&lt;25),0.35,0)+IF(AND(V249&gt;=40,V249&lt;75,W249&gt;=25,W249&lt;65),0.25,0)+IF(AND(V249&gt;=40,V249&lt;75,W249&gt;=65,W249&lt;100),0.17,0)+IF(AND(V249&gt;=40,V249&lt;75,W249&gt;=100),0.1,0)+IF(AND(V249&gt;=75,W249&lt;25),0.35,0)+IF(AND(V249&gt;=75,W249&gt;=25,W249&lt;60),0.25,0)+IF(AND(V249&gt;=75,W249&gt;=60,W249&lt;95),0.17,0)+IF(AND(V249&gt;=75,W249&gt;=95),0.1,0),
IF(AF249="DoEVold15",IF(AND(V249&lt;=40,W249&lt;35),0.35,0)+IF(AND(V249&lt;=40,W249&gt;=35,W249&lt;75),0.25,0)+IF(AND(V249&lt;=40,W249&gt;=75,W249&lt;120),0.17,0)+IF(AND(V249&lt;=40,W249&gt;=120),0.15,0)+IF(AND(V249&gt;40,V249&lt;75,W249&lt;25),0.35,0)+IF(AND(V249&gt;=40,V249&lt;75,W249&gt;=25,W249&lt;65),0.25,0)+IF(AND(V249&gt;=40,V249&lt;75,W249&gt;=65,W249&lt;100),0.17,0)+IF(AND(V249&gt;=40,V249&lt;75,W249&gt;=100),0.1,0)+IF(AND(V249&gt;=75,W249&lt;25),0.35,0)+IF(AND(V249&gt;=75,W249&gt;=25,W249&lt;60),0.25,0)+IF(AND(V249&gt;=75,W249&gt;=60,W249&lt;95),0.17,0)+IF(AND(V249&gt;=75,W249&gt;=95),0.1,0),
IF(AF249="DoEVba",IF(AND(V249&lt;20,W249&lt;105),0.2,0)+IF(AND(V249&lt;20,W249&gt;=105),0.15,0)+IF(AND(V249&gt;=20,V249&lt;40,W249&lt;95),0.2,0)+IF(AND(V249&gt;=20,V249&lt;40,W249&gt;=95,W249&lt;150),0.15,0)+IF(AND(V249&gt;=20,V249&lt;40,W249&gt;=150),0.12,0)+IF(AND(V249&gt;=40,V249&lt;75,W249&lt;75),0.2,0)+IF(AND(V249&gt;=40,V249&lt;75,W249&gt;=75,W249&lt;120),0.15,0)+IF(AND(V249&gt;=40,V249&lt;75,W249&gt;=120),0.12,0)+IF(AND(V249&gt;=75,V249&lt;175,W249&lt;65),0.2,0)+IF(AND(V249&gt;=75,V249&lt;175,W249&gt;=65,W249&lt;110),0.15,0)+IF(AND(V249&gt;=75,V249&lt;175,W249&gt;=110),0.12,0)+IF(AND(V249&gt;=175,W249&lt;55),0.2,0)+IF(AND(V249&gt;=175,W249&gt;=55,W249&lt;95),0.15,0)+IF(AND(V249&gt;=175,W249&gt;=95),0.12,0),
IF(AF249="DoEVku",IF(AND(V249&lt;20,W249&lt;55),0.23,0)+IF(AND(V249&lt;20,W249&gt;=55,W249&lt;105),0.2,0)+IF(AND(V249&lt;20,W249&gt;=105),0.17,0)+IF(AND(V249&gt;=20,V249&lt;40,W249&lt;45),0.23,0)+IF(AND(V249&gt;=20,V249&lt;40,W249&gt;=45,W249&lt;95),0.2,0)+IF(AND(V249&gt;=20,V249&lt;40,W249&gt;=95,W249&lt;=150),0.17,0)+IF(AND(V249&gt;=20,V249&lt;40,W249&gt;=150),0.12,0)+IF(AND(V249&gt;=40,V249&lt;75,W249&lt;35),0.23,0)+IF(AND(V249&gt;=40,V249&lt;75,W249&gt;=35,W249&lt;75),0.2,0)+IF(AND(V249&gt;=40,V249&lt;75,W249&gt;=75,W249&lt;120),0.17,0)+IF(AND(V249&gt;=40,V249&lt;75,W249&gt;=120),0.12,0)+IF(AND(V249&gt;=75,V249&lt;175,W249&lt;35),0.23,0)+IF(AND(V249&gt;=75,V249&lt;=175,W249&gt;=35,W249&lt;65),0.2,0)+IF(AND(V249&gt;=75,V249&lt;=175,W249&gt;=65,W249&lt;110),0.17,0)+IF(AND(V249&gt;=75,V249&lt;=175,W249&gt;=110),0.12,0)+IF(AND(V249&gt;175,W249&lt;25),0.23,0)+IF(AND(V249&gt;175,W249&gt;=25,W249&lt;55),0.2,0)+IF(AND(V249&gt;175,W249&gt;=55,W249&lt;95),0.17,0)+IF(AND(V249&gt;175,W249&gt;=95),0.12,0),
IF(AF249="DoEVs1",IF(AND(V249&lt;20,W249&lt;55),0.3,0)+IF(AND(V249&lt;20,W249&gt;=55,W249&lt;105),0.23,0)+IF(AND(V249&lt;20,W249&gt;=105),0.17,0)+IF(AND(V249&gt;=20,V249&lt;40,W249&lt;45),0.3,0)+IF(AND(V249&gt;=20,V249&lt;40,W249&gt;=45,W249&lt;95),0.23,0)+IF(AND(V249&gt;=20,V249&lt;40,W249&gt;=95,W249&lt;=150),0.17,0)+IF(AND(V249&gt;=20,V249&lt;40,W249&gt;=150),0.12,0)+IF(AND(V249&gt;=40,V249&lt;75,W249&lt;35),0.3,0)+IF(AND(V249&gt;=40,V249&lt;75,W249&gt;=35,W249&lt;75),0.23,0)+IF(AND(V249&gt;=40,V249&lt;75,W249&gt;=75,W249&lt;120),0.17,0)+IF(AND(V249&gt;=40,V249&lt;75,W249&gt;=120),0.12,0)+IF(AND(V249&gt;=75,V249&lt;175,W249&lt;35),0.3,0)+IF(AND(V249&gt;=75,V249&lt;=175,W249&gt;=35,W249&lt;65),0.23,0)+IF(AND(V249&gt;=75,V249&lt;=175,W249&gt;=65,W249&lt;110),0.17,0)+IF(AND(V249&gt;=75,V249&lt;=175,W249&gt;=110),0.12,0)+IF(AND(V249&gt;175,W249&lt;25),0.3,0)+IF(AND(V249&gt;175,W249&gt;=25,W249&lt;55),0.23,0)+IF(AND(V249&gt;175,W249&gt;=55,W249&lt;95),0.17,0)+IF(AND(V249&gt;175,W249&gt;=95),0.12,0),
IF(AF249="DoEVsu",IF(AND(V249&lt;20,W249&lt;55),0.3,0)+IF(AND(V249&lt;20,W249&gt;=55,W249&lt;105),0.23,0)+IF(AND(V249&lt;20,W249&gt;=105),0.17,0)+IF(AND(V249&gt;=20,V249&lt;40,W249&lt;45),0.3,0)+IF(AND(V249&gt;=20,V249&lt;40,W249&gt;=45,W249&lt;95),0.23,0)+IF(AND(V249&gt;=20,V249&lt;40,W249&gt;=95,W249&lt;=250),0.17,0)+IF(AND(V249&gt;=20,V249&lt;40,W249&gt;=250),0.12,0)+IF(AND(V249&gt;=40,V249&lt;75,W249&lt;35),0.3,0)+IF(AND(V249&gt;=40,V249&lt;75,W249&gt;=35,W249&lt;75),0.23,0)+IF(AND(V249&gt;=40,V249&lt;75,W249&gt;=75,W249&lt;120),0.17,0)+IF(AND(V249&gt;=40,V249&lt;75,W249&gt;=120),0.12,0)+IF(AND(V249&gt;=75,V249&lt;175,W249&lt;35),0.3,0)+IF(AND(V249&gt;=75,V249&lt;=175,W249&gt;=35,W249&lt;65),0.23,0)+IF(AND(V249&gt;=75,V249&lt;=175,W249&gt;=65,W249&lt;110),0.17,0)+IF(AND(V249&gt;=75,V249&lt;=175,W249&gt;=110),0.12,0)+IF(AND(V249&gt;175,W249&lt;25),0.3,0)+IF(AND(V249&gt;175,W249&gt;=25,W249&lt;55),0.23,0)+IF(AND(V249&gt;175,W249&gt;=55,W249&lt;95),0.17,0)+IF(AND(V249&gt;175,W249&gt;=95),0.12,0),
IF(AF249="DoEVni",IF(AND(V249&lt;20,W249&lt;55),0.3,0)+IF(AND(V249&lt;20,W249&gt;=55,W249&lt;105),0.23,0)+IF(AND(V249&lt;20,W249&gt;=105),0.17,0)+IF(AND(V249&gt;=20,V249&lt;40,W249&lt;45),0.3,0)+IF(AND(V249&gt;=20,V249&lt;40,W249&gt;=45,W249&lt;95),0.23,0)+IF(AND(V249&gt;=20,V249&lt;40,W249&gt;=95,W249&lt;=200),0.17,0)+IF(AND(V249&gt;=20,V249&lt;40,W249&gt;=200),0.12,0)+IF(AND(V249&gt;=40,V249&lt;75,W249&lt;35),0.3,0)+IF(AND(V249&gt;=40,V249&lt;75,W249&gt;=35,W249&lt;75),0.23,0)+IF(AND(V249&gt;=40,V249&lt;75,W249&gt;=75,W249&lt;120),0.17,0)+IF(AND(V249&gt;=40,V249&lt;75,W249&gt;=120),0.12,0)+IF(AND(V249&gt;=75,V249&lt;175,W249&lt;35),0.3,0)+IF(AND(V249&gt;=75,V249&lt;=175,W249&gt;=35,W249&lt;65),0.23,0)+IF(AND(V249&gt;=75,V249&lt;=175,W249&gt;=65,W249&lt;110),0.17,0)+IF(AND(V249&gt;=75,V249&lt;=175,W249&gt;=110),0.12,0)+IF(AND(V249&gt;175,W249&lt;25),0.3,0)+IF(AND(V249&gt;175,W249&gt;=25,W249&lt;55),0.23,0)+IF(AND(V249&gt;175,W249&gt;=55,W249&lt;95),0.17,0)+IF(AND(V249&gt;175,W249&gt;=95),0.12,0),
IF(AF249="DoEVLo",IF(AND(V249&lt;20,W249&lt;55),0.25,0)+IF(AND(V249&lt;20,W249&gt;=55,W249&lt;105),0.2,0)+IF(AND(V249&lt;20,W249&gt;=105),0.15,0)+IF(AND(V249&gt;=20,V249&lt;40,W249&lt;45),0.25,0)+IF(AND(V249&gt;=20,V249&lt;40,W249&gt;=45,W249&lt;95),0.2,0)+IF(AND(V249&gt;=20,V249&lt;40,W249&gt;=95),0.15,0)+IF(AND(V249&gt;=40,V249&lt;75,W249&lt;35),0.25,0)+IF(AND(V249&gt;=40,V249&lt;75,W249&gt;=35,W249&lt;75),0.2,0)+IF(AND(V249&gt;=40,V249&lt;75,W249&gt;=75,W249&lt;120),0.15,0)+IF(AND(V249&gt;=40,V249&lt;75,W249&gt;=120),0.1,0)+IF(AND(V249&gt;=75,V249&lt;175,W249&lt;35),0.25,0)+IF(AND(V249&gt;=75,V249&lt;=175,W249&gt;=35,W249&lt;65),0.2,0)+IF(AND(V249&gt;=75,V249&lt;=175,W249&gt;=65,W249&lt;110),0.15,0)+IF(AND(V249&gt;=75,V249&lt;=175,W249&gt;=110),0.1,0)+IF(AND(V249&gt;175,W249&lt;25),0.25,0)+IF(AND(V249&gt;175,W249&gt;=25,W249&lt;55),0.2,0)+IF(AND(V249&gt;175,W249&gt;=55,W249&lt;95),0.15,0)+IF(AND(V249&gt;175,W249&gt;=95),0.1,0))))))))))))))))</f>
        <v>0.15</v>
      </c>
      <c r="Y249" s="30">
        <f>IF(AG249="None",0,IF(AG249="Fix5",0.05,IF(AG249="Fix3.75",0.0375,IF(AG249="Fix10",0.1,IF(AG249="Fix3",0.03,0)))))</f>
        <v>0</v>
      </c>
      <c r="Z249" s="35">
        <f>T249-AA249-AB249</f>
        <v>-385.05</v>
      </c>
      <c r="AA249" s="29">
        <f>IF(AD249="EUR",((T249-R249)*X249)*U249+(R249*X249),(T249*X249))</f>
        <v>-67.95</v>
      </c>
      <c r="AB249" s="36">
        <f>IF(AD249="EUR",((T249-R249)*Y249)*U249+(R249*Y249),(T249*Y249))</f>
        <v>0</v>
      </c>
      <c r="AC249" s="37" t="b">
        <v>1</v>
      </c>
      <c r="AD249" s="37" t="s">
        <v>38</v>
      </c>
      <c r="AE249" s="37" t="s">
        <v>38</v>
      </c>
      <c r="AF249" s="37" t="str">
        <f t="array" ref="AF249">INDEX('Deal Info'!D:D, MATCH(A249,'Deal Info'!A:A, 0))</f>
        <v>DoEVLo</v>
      </c>
      <c r="AG249" s="38" t="str">
        <f t="array" ref="AG249">INDEX('Deal Info'!G:G, MATCH(A249,'Deal Info'!A:A, 0))</f>
        <v>None</v>
      </c>
    </row>
    <row r="250" spans="1:33" ht="14.25" hidden="1" x14ac:dyDescent="0.2">
      <c r="A250" s="18" t="str">
        <f t="array" ref="A250">IF(G250='Room Info'!$B$1, INDEX('Room Info'!$A$2:$A2446, MATCH(B250,'Room Info'!$B$2:$B2446, 0)),IF(G250='Room Info'!$C$1, INDEX('Room Info'!$A$2:$A2446, MATCH(B250,'Room Info'!$C$2:$C2446, 0)),IF(G250='Room Info'!$D$1, INDEX('Room Info'!$A$2:$A2446, MATCH(B250,'Room Info'!$D$2:$D2446, 0)),IF(G250='Room Info'!$E$1, INDEX('Room Info'!$A$2:$A2446, MATCH(B250,'Room Info'!$E$2:$E2446, 0)),IF(G250='Room Info'!$F$1, INDEX('Room Info'!$A$2:$A2446, MATCH(B250,'Room Info'!$F$2:$F2446, 0)),IF(G250='Room Info'!$H$1, INDEX('Room Info'!$A$2:$A2446, MATCH(B250,'Room Info'!$H$2:$H2446, 0)),IF(G250='Room Info'!$G$1, INDEX('Room Info'!$A$2:$A2446, MATCH(B250,'Room Info'!$G$2:$G2446, 0)))))))))</f>
        <v>Lo4io</v>
      </c>
      <c r="B250" s="45" t="s">
        <v>102</v>
      </c>
      <c r="C250" s="92">
        <v>44916</v>
      </c>
      <c r="D250" s="46">
        <v>44946</v>
      </c>
      <c r="E250" s="47">
        <v>44927</v>
      </c>
      <c r="F250" s="48" t="s">
        <v>34</v>
      </c>
      <c r="G250" s="45" t="s">
        <v>35</v>
      </c>
      <c r="H250" s="49" t="s">
        <v>85</v>
      </c>
      <c r="I250" s="49" t="s">
        <v>44</v>
      </c>
      <c r="J250" s="70">
        <v>50</v>
      </c>
      <c r="K250" s="71">
        <v>1</v>
      </c>
      <c r="L250" s="52">
        <v>-50</v>
      </c>
      <c r="M250" s="53">
        <v>1</v>
      </c>
      <c r="N250" s="28">
        <f>K250*J250</f>
        <v>50</v>
      </c>
      <c r="O250" s="54">
        <v>-163</v>
      </c>
      <c r="P250" s="29">
        <v>-163</v>
      </c>
      <c r="Q250" s="55"/>
      <c r="R250" s="31">
        <f>M250+Q250</f>
        <v>1</v>
      </c>
      <c r="S250" s="56">
        <v>-28</v>
      </c>
      <c r="T250" s="32">
        <f>R250+S250+IF(F250="Without EV deal",L250,0)</f>
        <v>-27</v>
      </c>
      <c r="U250" s="57">
        <v>1</v>
      </c>
      <c r="V250" s="69">
        <v>43.526543878656554</v>
      </c>
      <c r="W250" s="69">
        <v>93.735905413814564</v>
      </c>
      <c r="X250" s="30">
        <f>IF(AF250="DoEV",IF(AND(V250&lt;20,W250&lt;55),0.3,0)+IF(AND(V250&lt;20,W250&gt;=55,W250&lt;105),0.23,0)+IF(AND(V250&lt;20,W250&gt;=105),0.17,0)+IF(AND(V250&gt;=20,V250&lt;40,W250&lt;45),0.3,0)+IF(AND(V250&gt;=20,V250&lt;40,W250&gt;=45,W250&lt;95),0.23,0)+IF(AND(V250&gt;=20,V250&lt;40,W250&gt;=95),0.17,0)+IF(AND(V250&gt;=40,V250&lt;75,W250&lt;35),0.3,0)+IF(AND(V250&gt;=40,V250&lt;75,W250&gt;=35,W250&lt;75),0.23,0)+IF(AND(V250&gt;=40,V250&lt;75,W250&gt;=75,W250&lt;120),0.17,0)+IF(AND(V250&gt;=40,V250&lt;75,W250&gt;=120),0.12,0)+IF(AND(V250&gt;=75,V250&lt;175,W250&lt;35),0.3,0)+IF(AND(V250&gt;=75,V250&lt;=175,W250&gt;=35,W250&lt;65),0.23,0)+IF(AND(V250&gt;=75,V250&lt;=175,W250&gt;=65,W250&lt;110),0.17,0)+IF(AND(V250&gt;=75,V250&lt;=175,W250&gt;=110),0.12,0)+IF(AND(V250&gt;175,W250&lt;25),0.3,0)+IF(AND(V250&gt;175,W250&gt;=25,W250&lt;55),0.23,0)+IF(AND(V250&gt;175,W250&gt;=55,W250&lt;95),0.17,0)+IF(AND(V250&gt;175,W250&gt;=95),0.12,0),
IF(AF250="Fix15",0.15,
IF(AF250="Fix11.25",0.1125,
IF(AF250="Fix10",0.1,
IF(AF250="Fix9",0.09,
IF(AF250="DoEV2017",IF(AND(W250&lt;74),0.2,0)+IF(AND(W250&gt;=74),0.17,0),
IF(AF250="SF",IF(AND(V250&lt;20,W250&lt;89),0.3,0)+IF(AND(V250&lt;20,W250&gt;=89),0.25,0)+IF(AND(V250&gt;=20,V250&lt;40,W250&lt;74),0.3,0)+IF(AND(V250&gt;=20,V250&lt;40,W250&gt;=75),0.22,0)+IF(AND(V250&gt;=40,V250&lt;75,W250&lt;75),0.26,0)+IF(AND(V250&gt;=40,V250&lt;75,W250&gt;=75),0.22,0)+IF(V250&gt;=75,0.22,0),
IF(AF250="DoEVold",IF(AND(V250&lt;40,W250&lt;35),0.35,0)+IF(AND(V250&lt;40,W250&gt;=35,W250&lt;75),0.25,0)+IF(AND(V250&lt;40,W250&gt;=75),0.17,0)+IF(AND(V250&gt;=40,V250&lt;75,W250&lt;25),0.35,0)+IF(AND(V250&gt;=40,V250&lt;75,W250&gt;=25,W250&lt;65),0.25,0)+IF(AND(V250&gt;=40,V250&lt;75,W250&gt;=65,W250&lt;100),0.17,0)+IF(AND(V250&gt;=40,V250&lt;75,W250&gt;=100),0.1,0)+IF(AND(V250&gt;=75,W250&lt;25),0.35,0)+IF(AND(V250&gt;=75,W250&gt;=25,W250&lt;60),0.25,0)+IF(AND(V250&gt;=75,W250&gt;=60,W250&lt;95),0.17,0)+IF(AND(V250&gt;=75,W250&gt;=95),0.1,0),
IF(AF250="DoEVold15",IF(AND(V250&lt;=40,W250&lt;35),0.35,0)+IF(AND(V250&lt;=40,W250&gt;=35,W250&lt;75),0.25,0)+IF(AND(V250&lt;=40,W250&gt;=75,W250&lt;120),0.17,0)+IF(AND(V250&lt;=40,W250&gt;=120),0.15,0)+IF(AND(V250&gt;40,V250&lt;75,W250&lt;25),0.35,0)+IF(AND(V250&gt;=40,V250&lt;75,W250&gt;=25,W250&lt;65),0.25,0)+IF(AND(V250&gt;=40,V250&lt;75,W250&gt;=65,W250&lt;100),0.17,0)+IF(AND(V250&gt;=40,V250&lt;75,W250&gt;=100),0.1,0)+IF(AND(V250&gt;=75,W250&lt;25),0.35,0)+IF(AND(V250&gt;=75,W250&gt;=25,W250&lt;60),0.25,0)+IF(AND(V250&gt;=75,W250&gt;=60,W250&lt;95),0.17,0)+IF(AND(V250&gt;=75,W250&gt;=95),0.1,0),
IF(AF250="DoEVba",IF(AND(V250&lt;20,W250&lt;105),0.2,0)+IF(AND(V250&lt;20,W250&gt;=105),0.15,0)+IF(AND(V250&gt;=20,V250&lt;40,W250&lt;95),0.2,0)+IF(AND(V250&gt;=20,V250&lt;40,W250&gt;=95,W250&lt;150),0.15,0)+IF(AND(V250&gt;=20,V250&lt;40,W250&gt;=150),0.12,0)+IF(AND(V250&gt;=40,V250&lt;75,W250&lt;75),0.2,0)+IF(AND(V250&gt;=40,V250&lt;75,W250&gt;=75,W250&lt;120),0.15,0)+IF(AND(V250&gt;=40,V250&lt;75,W250&gt;=120),0.12,0)+IF(AND(V250&gt;=75,V250&lt;175,W250&lt;65),0.2,0)+IF(AND(V250&gt;=75,V250&lt;175,W250&gt;=65,W250&lt;110),0.15,0)+IF(AND(V250&gt;=75,V250&lt;175,W250&gt;=110),0.12,0)+IF(AND(V250&gt;=175,W250&lt;55),0.2,0)+IF(AND(V250&gt;=175,W250&gt;=55,W250&lt;95),0.15,0)+IF(AND(V250&gt;=175,W250&gt;=95),0.12,0),
IF(AF250="DoEVku",IF(AND(V250&lt;20,W250&lt;55),0.23,0)+IF(AND(V250&lt;20,W250&gt;=55,W250&lt;105),0.2,0)+IF(AND(V250&lt;20,W250&gt;=105),0.17,0)+IF(AND(V250&gt;=20,V250&lt;40,W250&lt;45),0.23,0)+IF(AND(V250&gt;=20,V250&lt;40,W250&gt;=45,W250&lt;95),0.2,0)+IF(AND(V250&gt;=20,V250&lt;40,W250&gt;=95,W250&lt;=150),0.17,0)+IF(AND(V250&gt;=20,V250&lt;40,W250&gt;=150),0.12,0)+IF(AND(V250&gt;=40,V250&lt;75,W250&lt;35),0.23,0)+IF(AND(V250&gt;=40,V250&lt;75,W250&gt;=35,W250&lt;75),0.2,0)+IF(AND(V250&gt;=40,V250&lt;75,W250&gt;=75,W250&lt;120),0.17,0)+IF(AND(V250&gt;=40,V250&lt;75,W250&gt;=120),0.12,0)+IF(AND(V250&gt;=75,V250&lt;175,W250&lt;35),0.23,0)+IF(AND(V250&gt;=75,V250&lt;=175,W250&gt;=35,W250&lt;65),0.2,0)+IF(AND(V250&gt;=75,V250&lt;=175,W250&gt;=65,W250&lt;110),0.17,0)+IF(AND(V250&gt;=75,V250&lt;=175,W250&gt;=110),0.12,0)+IF(AND(V250&gt;175,W250&lt;25),0.23,0)+IF(AND(V250&gt;175,W250&gt;=25,W250&lt;55),0.2,0)+IF(AND(V250&gt;175,W250&gt;=55,W250&lt;95),0.17,0)+IF(AND(V250&gt;175,W250&gt;=95),0.12,0),
IF(AF250="DoEVs1",IF(AND(V250&lt;20,W250&lt;55),0.3,0)+IF(AND(V250&lt;20,W250&gt;=55,W250&lt;105),0.23,0)+IF(AND(V250&lt;20,W250&gt;=105),0.17,0)+IF(AND(V250&gt;=20,V250&lt;40,W250&lt;45),0.3,0)+IF(AND(V250&gt;=20,V250&lt;40,W250&gt;=45,W250&lt;95),0.23,0)+IF(AND(V250&gt;=20,V250&lt;40,W250&gt;=95,W250&lt;=150),0.17,0)+IF(AND(V250&gt;=20,V250&lt;40,W250&gt;=150),0.12,0)+IF(AND(V250&gt;=40,V250&lt;75,W250&lt;35),0.3,0)+IF(AND(V250&gt;=40,V250&lt;75,W250&gt;=35,W250&lt;75),0.23,0)+IF(AND(V250&gt;=40,V250&lt;75,W250&gt;=75,W250&lt;120),0.17,0)+IF(AND(V250&gt;=40,V250&lt;75,W250&gt;=120),0.12,0)+IF(AND(V250&gt;=75,V250&lt;175,W250&lt;35),0.3,0)+IF(AND(V250&gt;=75,V250&lt;=175,W250&gt;=35,W250&lt;65),0.23,0)+IF(AND(V250&gt;=75,V250&lt;=175,W250&gt;=65,W250&lt;110),0.17,0)+IF(AND(V250&gt;=75,V250&lt;=175,W250&gt;=110),0.12,0)+IF(AND(V250&gt;175,W250&lt;25),0.3,0)+IF(AND(V250&gt;175,W250&gt;=25,W250&lt;55),0.23,0)+IF(AND(V250&gt;175,W250&gt;=55,W250&lt;95),0.17,0)+IF(AND(V250&gt;175,W250&gt;=95),0.12,0),
IF(AF250="DoEVsu",IF(AND(V250&lt;20,W250&lt;55),0.3,0)+IF(AND(V250&lt;20,W250&gt;=55,W250&lt;105),0.23,0)+IF(AND(V250&lt;20,W250&gt;=105),0.17,0)+IF(AND(V250&gt;=20,V250&lt;40,W250&lt;45),0.3,0)+IF(AND(V250&gt;=20,V250&lt;40,W250&gt;=45,W250&lt;95),0.23,0)+IF(AND(V250&gt;=20,V250&lt;40,W250&gt;=95,W250&lt;=250),0.17,0)+IF(AND(V250&gt;=20,V250&lt;40,W250&gt;=250),0.12,0)+IF(AND(V250&gt;=40,V250&lt;75,W250&lt;35),0.3,0)+IF(AND(V250&gt;=40,V250&lt;75,W250&gt;=35,W250&lt;75),0.23,0)+IF(AND(V250&gt;=40,V250&lt;75,W250&gt;=75,W250&lt;120),0.17,0)+IF(AND(V250&gt;=40,V250&lt;75,W250&gt;=120),0.12,0)+IF(AND(V250&gt;=75,V250&lt;175,W250&lt;35),0.3,0)+IF(AND(V250&gt;=75,V250&lt;=175,W250&gt;=35,W250&lt;65),0.23,0)+IF(AND(V250&gt;=75,V250&lt;=175,W250&gt;=65,W250&lt;110),0.17,0)+IF(AND(V250&gt;=75,V250&lt;=175,W250&gt;=110),0.12,0)+IF(AND(V250&gt;175,W250&lt;25),0.3,0)+IF(AND(V250&gt;175,W250&gt;=25,W250&lt;55),0.23,0)+IF(AND(V250&gt;175,W250&gt;=55,W250&lt;95),0.17,0)+IF(AND(V250&gt;175,W250&gt;=95),0.12,0),
IF(AF250="DoEVni",IF(AND(V250&lt;20,W250&lt;55),0.3,0)+IF(AND(V250&lt;20,W250&gt;=55,W250&lt;105),0.23,0)+IF(AND(V250&lt;20,W250&gt;=105),0.17,0)+IF(AND(V250&gt;=20,V250&lt;40,W250&lt;45),0.3,0)+IF(AND(V250&gt;=20,V250&lt;40,W250&gt;=45,W250&lt;95),0.23,0)+IF(AND(V250&gt;=20,V250&lt;40,W250&gt;=95,W250&lt;=200),0.17,0)+IF(AND(V250&gt;=20,V250&lt;40,W250&gt;=200),0.12,0)+IF(AND(V250&gt;=40,V250&lt;75,W250&lt;35),0.3,0)+IF(AND(V250&gt;=40,V250&lt;75,W250&gt;=35,W250&lt;75),0.23,0)+IF(AND(V250&gt;=40,V250&lt;75,W250&gt;=75,W250&lt;120),0.17,0)+IF(AND(V250&gt;=40,V250&lt;75,W250&gt;=120),0.12,0)+IF(AND(V250&gt;=75,V250&lt;175,W250&lt;35),0.3,0)+IF(AND(V250&gt;=75,V250&lt;=175,W250&gt;=35,W250&lt;65),0.23,0)+IF(AND(V250&gt;=75,V250&lt;=175,W250&gt;=65,W250&lt;110),0.17,0)+IF(AND(V250&gt;=75,V250&lt;=175,W250&gt;=110),0.12,0)+IF(AND(V250&gt;175,W250&lt;25),0.3,0)+IF(AND(V250&gt;175,W250&gt;=25,W250&lt;55),0.23,0)+IF(AND(V250&gt;175,W250&gt;=55,W250&lt;95),0.17,0)+IF(AND(V250&gt;175,W250&gt;=95),0.12,0),
IF(AF250="DoEVLo",IF(AND(V250&lt;20,W250&lt;55),0.25,0)+IF(AND(V250&lt;20,W250&gt;=55,W250&lt;105),0.2,0)+IF(AND(V250&lt;20,W250&gt;=105),0.15,0)+IF(AND(V250&gt;=20,V250&lt;40,W250&lt;45),0.25,0)+IF(AND(V250&gt;=20,V250&lt;40,W250&gt;=45,W250&lt;95),0.2,0)+IF(AND(V250&gt;=20,V250&lt;40,W250&gt;=95),0.15,0)+IF(AND(V250&gt;=40,V250&lt;75,W250&lt;35),0.25,0)+IF(AND(V250&gt;=40,V250&lt;75,W250&gt;=35,W250&lt;75),0.2,0)+IF(AND(V250&gt;=40,V250&lt;75,W250&gt;=75,W250&lt;120),0.15,0)+IF(AND(V250&gt;=40,V250&lt;75,W250&gt;=120),0.1,0)+IF(AND(V250&gt;=75,V250&lt;175,W250&lt;35),0.25,0)+IF(AND(V250&gt;=75,V250&lt;=175,W250&gt;=35,W250&lt;65),0.2,0)+IF(AND(V250&gt;=75,V250&lt;=175,W250&gt;=65,W250&lt;110),0.15,0)+IF(AND(V250&gt;=75,V250&lt;=175,W250&gt;=110),0.1,0)+IF(AND(V250&gt;175,W250&lt;25),0.25,0)+IF(AND(V250&gt;175,W250&gt;=25,W250&lt;55),0.2,0)+IF(AND(V250&gt;175,W250&gt;=55,W250&lt;95),0.15,0)+IF(AND(V250&gt;175,W250&gt;=95),0.1,0))))))))))))))))</f>
        <v>0.15</v>
      </c>
      <c r="Y250" s="30">
        <f>IF(AG250="None",0,IF(AG250="Fix5",0.05,IF(AG250="Fix3.75",0.0375,IF(AG250="Fix10",0.1,IF(AG250="Fix3",0.03,0)))))</f>
        <v>0</v>
      </c>
      <c r="Z250" s="35">
        <f>T250-AA250-AB250</f>
        <v>-22.95</v>
      </c>
      <c r="AA250" s="29">
        <f>IF(AD250="EUR",((T250-R250)*X250)*U250+(R250*X250),(T250*X250))</f>
        <v>-4.05</v>
      </c>
      <c r="AB250" s="36">
        <f>IF(AD250="EUR",((T250-R250)*Y250)*U250+(R250*Y250),(T250*Y250))</f>
        <v>0</v>
      </c>
      <c r="AC250" s="37" t="b">
        <v>1</v>
      </c>
      <c r="AD250" s="37" t="s">
        <v>38</v>
      </c>
      <c r="AE250" s="37" t="s">
        <v>38</v>
      </c>
      <c r="AF250" s="37" t="str">
        <f t="array" ref="AF250">INDEX('Deal Info'!D:D, MATCH(A250,'Deal Info'!A:A, 0))</f>
        <v>DoEVLo</v>
      </c>
      <c r="AG250" s="38" t="str">
        <f t="array" ref="AG250">INDEX('Deal Info'!G:G, MATCH(A250,'Deal Info'!A:A, 0))</f>
        <v>None</v>
      </c>
    </row>
    <row r="251" spans="1:33" ht="14.25" hidden="1" x14ac:dyDescent="0.2">
      <c r="A251" s="18" t="str">
        <f t="array" ref="A251">IF(G251='Room Info'!$B$1, INDEX('Room Info'!$A$2:$A2446, MATCH(B251,'Room Info'!$B$2:$B2446, 0)),IF(G251='Room Info'!$C$1, INDEX('Room Info'!$A$2:$A2446, MATCH(B251,'Room Info'!$C$2:$C2446, 0)),IF(G251='Room Info'!$D$1, INDEX('Room Info'!$A$2:$A2446, MATCH(B251,'Room Info'!$D$2:$D2446, 0)),IF(G251='Room Info'!$E$1, INDEX('Room Info'!$A$2:$A2446, MATCH(B251,'Room Info'!$E$2:$E2446, 0)),IF(G251='Room Info'!$F$1, INDEX('Room Info'!$A$2:$A2446, MATCH(B251,'Room Info'!$F$2:$F2446, 0)),IF(G251='Room Info'!$H$1, INDEX('Room Info'!$A$2:$A2446, MATCH(B251,'Room Info'!$H$2:$H2446, 0)),IF(G251='Room Info'!$G$1, INDEX('Room Info'!$A$2:$A2446, MATCH(B251,'Room Info'!$G$2:$G2446, 0)))))))))</f>
        <v>Lo4io</v>
      </c>
      <c r="B251" s="45" t="s">
        <v>102</v>
      </c>
      <c r="C251" s="92">
        <v>44916</v>
      </c>
      <c r="D251" s="46">
        <v>44946</v>
      </c>
      <c r="E251" s="47">
        <v>44927</v>
      </c>
      <c r="F251" s="48" t="s">
        <v>34</v>
      </c>
      <c r="G251" s="45" t="s">
        <v>35</v>
      </c>
      <c r="H251" s="49" t="s">
        <v>70</v>
      </c>
      <c r="I251" s="49" t="s">
        <v>37</v>
      </c>
      <c r="J251" s="70">
        <v>100</v>
      </c>
      <c r="K251" s="71">
        <v>19</v>
      </c>
      <c r="L251" s="52">
        <v>400</v>
      </c>
      <c r="M251" s="53">
        <v>41</v>
      </c>
      <c r="N251" s="28">
        <f>K251*J251</f>
        <v>1900</v>
      </c>
      <c r="O251" s="54">
        <v>1734</v>
      </c>
      <c r="P251" s="29">
        <v>91.263157890000002</v>
      </c>
      <c r="Q251" s="55"/>
      <c r="R251" s="31">
        <f>M251+Q251</f>
        <v>41</v>
      </c>
      <c r="S251" s="56">
        <v>226</v>
      </c>
      <c r="T251" s="32">
        <f>R251+S251+IF(F251="Without EV deal",L251,0)</f>
        <v>267</v>
      </c>
      <c r="U251" s="57">
        <v>1</v>
      </c>
      <c r="V251" s="69">
        <v>43.526543878656554</v>
      </c>
      <c r="W251" s="69">
        <v>93.735905413814564</v>
      </c>
      <c r="X251" s="30">
        <f>IF(AF251="DoEV",IF(AND(V251&lt;20,W251&lt;55),0.3,0)+IF(AND(V251&lt;20,W251&gt;=55,W251&lt;105),0.23,0)+IF(AND(V251&lt;20,W251&gt;=105),0.17,0)+IF(AND(V251&gt;=20,V251&lt;40,W251&lt;45),0.3,0)+IF(AND(V251&gt;=20,V251&lt;40,W251&gt;=45,W251&lt;95),0.23,0)+IF(AND(V251&gt;=20,V251&lt;40,W251&gt;=95),0.17,0)+IF(AND(V251&gt;=40,V251&lt;75,W251&lt;35),0.3,0)+IF(AND(V251&gt;=40,V251&lt;75,W251&gt;=35,W251&lt;75),0.23,0)+IF(AND(V251&gt;=40,V251&lt;75,W251&gt;=75,W251&lt;120),0.17,0)+IF(AND(V251&gt;=40,V251&lt;75,W251&gt;=120),0.12,0)+IF(AND(V251&gt;=75,V251&lt;175,W251&lt;35),0.3,0)+IF(AND(V251&gt;=75,V251&lt;=175,W251&gt;=35,W251&lt;65),0.23,0)+IF(AND(V251&gt;=75,V251&lt;=175,W251&gt;=65,W251&lt;110),0.17,0)+IF(AND(V251&gt;=75,V251&lt;=175,W251&gt;=110),0.12,0)+IF(AND(V251&gt;175,W251&lt;25),0.3,0)+IF(AND(V251&gt;175,W251&gt;=25,W251&lt;55),0.23,0)+IF(AND(V251&gt;175,W251&gt;=55,W251&lt;95),0.17,0)+IF(AND(V251&gt;175,W251&gt;=95),0.12,0),
IF(AF251="Fix15",0.15,
IF(AF251="Fix11.25",0.1125,
IF(AF251="Fix10",0.1,
IF(AF251="Fix9",0.09,
IF(AF251="DoEV2017",IF(AND(W251&lt;74),0.2,0)+IF(AND(W251&gt;=74),0.17,0),
IF(AF251="SF",IF(AND(V251&lt;20,W251&lt;89),0.3,0)+IF(AND(V251&lt;20,W251&gt;=89),0.25,0)+IF(AND(V251&gt;=20,V251&lt;40,W251&lt;74),0.3,0)+IF(AND(V251&gt;=20,V251&lt;40,W251&gt;=75),0.22,0)+IF(AND(V251&gt;=40,V251&lt;75,W251&lt;75),0.26,0)+IF(AND(V251&gt;=40,V251&lt;75,W251&gt;=75),0.22,0)+IF(V251&gt;=75,0.22,0),
IF(AF251="DoEVold",IF(AND(V251&lt;40,W251&lt;35),0.35,0)+IF(AND(V251&lt;40,W251&gt;=35,W251&lt;75),0.25,0)+IF(AND(V251&lt;40,W251&gt;=75),0.17,0)+IF(AND(V251&gt;=40,V251&lt;75,W251&lt;25),0.35,0)+IF(AND(V251&gt;=40,V251&lt;75,W251&gt;=25,W251&lt;65),0.25,0)+IF(AND(V251&gt;=40,V251&lt;75,W251&gt;=65,W251&lt;100),0.17,0)+IF(AND(V251&gt;=40,V251&lt;75,W251&gt;=100),0.1,0)+IF(AND(V251&gt;=75,W251&lt;25),0.35,0)+IF(AND(V251&gt;=75,W251&gt;=25,W251&lt;60),0.25,0)+IF(AND(V251&gt;=75,W251&gt;=60,W251&lt;95),0.17,0)+IF(AND(V251&gt;=75,W251&gt;=95),0.1,0),
IF(AF251="DoEVold15",IF(AND(V251&lt;=40,W251&lt;35),0.35,0)+IF(AND(V251&lt;=40,W251&gt;=35,W251&lt;75),0.25,0)+IF(AND(V251&lt;=40,W251&gt;=75,W251&lt;120),0.17,0)+IF(AND(V251&lt;=40,W251&gt;=120),0.15,0)+IF(AND(V251&gt;40,V251&lt;75,W251&lt;25),0.35,0)+IF(AND(V251&gt;=40,V251&lt;75,W251&gt;=25,W251&lt;65),0.25,0)+IF(AND(V251&gt;=40,V251&lt;75,W251&gt;=65,W251&lt;100),0.17,0)+IF(AND(V251&gt;=40,V251&lt;75,W251&gt;=100),0.1,0)+IF(AND(V251&gt;=75,W251&lt;25),0.35,0)+IF(AND(V251&gt;=75,W251&gt;=25,W251&lt;60),0.25,0)+IF(AND(V251&gt;=75,W251&gt;=60,W251&lt;95),0.17,0)+IF(AND(V251&gt;=75,W251&gt;=95),0.1,0),
IF(AF251="DoEVba",IF(AND(V251&lt;20,W251&lt;105),0.2,0)+IF(AND(V251&lt;20,W251&gt;=105),0.15,0)+IF(AND(V251&gt;=20,V251&lt;40,W251&lt;95),0.2,0)+IF(AND(V251&gt;=20,V251&lt;40,W251&gt;=95,W251&lt;150),0.15,0)+IF(AND(V251&gt;=20,V251&lt;40,W251&gt;=150),0.12,0)+IF(AND(V251&gt;=40,V251&lt;75,W251&lt;75),0.2,0)+IF(AND(V251&gt;=40,V251&lt;75,W251&gt;=75,W251&lt;120),0.15,0)+IF(AND(V251&gt;=40,V251&lt;75,W251&gt;=120),0.12,0)+IF(AND(V251&gt;=75,V251&lt;175,W251&lt;65),0.2,0)+IF(AND(V251&gt;=75,V251&lt;175,W251&gt;=65,W251&lt;110),0.15,0)+IF(AND(V251&gt;=75,V251&lt;175,W251&gt;=110),0.12,0)+IF(AND(V251&gt;=175,W251&lt;55),0.2,0)+IF(AND(V251&gt;=175,W251&gt;=55,W251&lt;95),0.15,0)+IF(AND(V251&gt;=175,W251&gt;=95),0.12,0),
IF(AF251="DoEVku",IF(AND(V251&lt;20,W251&lt;55),0.23,0)+IF(AND(V251&lt;20,W251&gt;=55,W251&lt;105),0.2,0)+IF(AND(V251&lt;20,W251&gt;=105),0.17,0)+IF(AND(V251&gt;=20,V251&lt;40,W251&lt;45),0.23,0)+IF(AND(V251&gt;=20,V251&lt;40,W251&gt;=45,W251&lt;95),0.2,0)+IF(AND(V251&gt;=20,V251&lt;40,W251&gt;=95,W251&lt;=150),0.17,0)+IF(AND(V251&gt;=20,V251&lt;40,W251&gt;=150),0.12,0)+IF(AND(V251&gt;=40,V251&lt;75,W251&lt;35),0.23,0)+IF(AND(V251&gt;=40,V251&lt;75,W251&gt;=35,W251&lt;75),0.2,0)+IF(AND(V251&gt;=40,V251&lt;75,W251&gt;=75,W251&lt;120),0.17,0)+IF(AND(V251&gt;=40,V251&lt;75,W251&gt;=120),0.12,0)+IF(AND(V251&gt;=75,V251&lt;175,W251&lt;35),0.23,0)+IF(AND(V251&gt;=75,V251&lt;=175,W251&gt;=35,W251&lt;65),0.2,0)+IF(AND(V251&gt;=75,V251&lt;=175,W251&gt;=65,W251&lt;110),0.17,0)+IF(AND(V251&gt;=75,V251&lt;=175,W251&gt;=110),0.12,0)+IF(AND(V251&gt;175,W251&lt;25),0.23,0)+IF(AND(V251&gt;175,W251&gt;=25,W251&lt;55),0.2,0)+IF(AND(V251&gt;175,W251&gt;=55,W251&lt;95),0.17,0)+IF(AND(V251&gt;175,W251&gt;=95),0.12,0),
IF(AF251="DoEVs1",IF(AND(V251&lt;20,W251&lt;55),0.3,0)+IF(AND(V251&lt;20,W251&gt;=55,W251&lt;105),0.23,0)+IF(AND(V251&lt;20,W251&gt;=105),0.17,0)+IF(AND(V251&gt;=20,V251&lt;40,W251&lt;45),0.3,0)+IF(AND(V251&gt;=20,V251&lt;40,W251&gt;=45,W251&lt;95),0.23,0)+IF(AND(V251&gt;=20,V251&lt;40,W251&gt;=95,W251&lt;=150),0.17,0)+IF(AND(V251&gt;=20,V251&lt;40,W251&gt;=150),0.12,0)+IF(AND(V251&gt;=40,V251&lt;75,W251&lt;35),0.3,0)+IF(AND(V251&gt;=40,V251&lt;75,W251&gt;=35,W251&lt;75),0.23,0)+IF(AND(V251&gt;=40,V251&lt;75,W251&gt;=75,W251&lt;120),0.17,0)+IF(AND(V251&gt;=40,V251&lt;75,W251&gt;=120),0.12,0)+IF(AND(V251&gt;=75,V251&lt;175,W251&lt;35),0.3,0)+IF(AND(V251&gt;=75,V251&lt;=175,W251&gt;=35,W251&lt;65),0.23,0)+IF(AND(V251&gt;=75,V251&lt;=175,W251&gt;=65,W251&lt;110),0.17,0)+IF(AND(V251&gt;=75,V251&lt;=175,W251&gt;=110),0.12,0)+IF(AND(V251&gt;175,W251&lt;25),0.3,0)+IF(AND(V251&gt;175,W251&gt;=25,W251&lt;55),0.23,0)+IF(AND(V251&gt;175,W251&gt;=55,W251&lt;95),0.17,0)+IF(AND(V251&gt;175,W251&gt;=95),0.12,0),
IF(AF251="DoEVsu",IF(AND(V251&lt;20,W251&lt;55),0.3,0)+IF(AND(V251&lt;20,W251&gt;=55,W251&lt;105),0.23,0)+IF(AND(V251&lt;20,W251&gt;=105),0.17,0)+IF(AND(V251&gt;=20,V251&lt;40,W251&lt;45),0.3,0)+IF(AND(V251&gt;=20,V251&lt;40,W251&gt;=45,W251&lt;95),0.23,0)+IF(AND(V251&gt;=20,V251&lt;40,W251&gt;=95,W251&lt;=250),0.17,0)+IF(AND(V251&gt;=20,V251&lt;40,W251&gt;=250),0.12,0)+IF(AND(V251&gt;=40,V251&lt;75,W251&lt;35),0.3,0)+IF(AND(V251&gt;=40,V251&lt;75,W251&gt;=35,W251&lt;75),0.23,0)+IF(AND(V251&gt;=40,V251&lt;75,W251&gt;=75,W251&lt;120),0.17,0)+IF(AND(V251&gt;=40,V251&lt;75,W251&gt;=120),0.12,0)+IF(AND(V251&gt;=75,V251&lt;175,W251&lt;35),0.3,0)+IF(AND(V251&gt;=75,V251&lt;=175,W251&gt;=35,W251&lt;65),0.23,0)+IF(AND(V251&gt;=75,V251&lt;=175,W251&gt;=65,W251&lt;110),0.17,0)+IF(AND(V251&gt;=75,V251&lt;=175,W251&gt;=110),0.12,0)+IF(AND(V251&gt;175,W251&lt;25),0.3,0)+IF(AND(V251&gt;175,W251&gt;=25,W251&lt;55),0.23,0)+IF(AND(V251&gt;175,W251&gt;=55,W251&lt;95),0.17,0)+IF(AND(V251&gt;175,W251&gt;=95),0.12,0),
IF(AF251="DoEVni",IF(AND(V251&lt;20,W251&lt;55),0.3,0)+IF(AND(V251&lt;20,W251&gt;=55,W251&lt;105),0.23,0)+IF(AND(V251&lt;20,W251&gt;=105),0.17,0)+IF(AND(V251&gt;=20,V251&lt;40,W251&lt;45),0.3,0)+IF(AND(V251&gt;=20,V251&lt;40,W251&gt;=45,W251&lt;95),0.23,0)+IF(AND(V251&gt;=20,V251&lt;40,W251&gt;=95,W251&lt;=200),0.17,0)+IF(AND(V251&gt;=20,V251&lt;40,W251&gt;=200),0.12,0)+IF(AND(V251&gt;=40,V251&lt;75,W251&lt;35),0.3,0)+IF(AND(V251&gt;=40,V251&lt;75,W251&gt;=35,W251&lt;75),0.23,0)+IF(AND(V251&gt;=40,V251&lt;75,W251&gt;=75,W251&lt;120),0.17,0)+IF(AND(V251&gt;=40,V251&lt;75,W251&gt;=120),0.12,0)+IF(AND(V251&gt;=75,V251&lt;175,W251&lt;35),0.3,0)+IF(AND(V251&gt;=75,V251&lt;=175,W251&gt;=35,W251&lt;65),0.23,0)+IF(AND(V251&gt;=75,V251&lt;=175,W251&gt;=65,W251&lt;110),0.17,0)+IF(AND(V251&gt;=75,V251&lt;=175,W251&gt;=110),0.12,0)+IF(AND(V251&gt;175,W251&lt;25),0.3,0)+IF(AND(V251&gt;175,W251&gt;=25,W251&lt;55),0.23,0)+IF(AND(V251&gt;175,W251&gt;=55,W251&lt;95),0.17,0)+IF(AND(V251&gt;175,W251&gt;=95),0.12,0),
IF(AF251="DoEVLo",IF(AND(V251&lt;20,W251&lt;55),0.25,0)+IF(AND(V251&lt;20,W251&gt;=55,W251&lt;105),0.2,0)+IF(AND(V251&lt;20,W251&gt;=105),0.15,0)+IF(AND(V251&gt;=20,V251&lt;40,W251&lt;45),0.25,0)+IF(AND(V251&gt;=20,V251&lt;40,W251&gt;=45,W251&lt;95),0.2,0)+IF(AND(V251&gt;=20,V251&lt;40,W251&gt;=95),0.15,0)+IF(AND(V251&gt;=40,V251&lt;75,W251&lt;35),0.25,0)+IF(AND(V251&gt;=40,V251&lt;75,W251&gt;=35,W251&lt;75),0.2,0)+IF(AND(V251&gt;=40,V251&lt;75,W251&gt;=75,W251&lt;120),0.15,0)+IF(AND(V251&gt;=40,V251&lt;75,W251&gt;=120),0.1,0)+IF(AND(V251&gt;=75,V251&lt;175,W251&lt;35),0.25,0)+IF(AND(V251&gt;=75,V251&lt;=175,W251&gt;=35,W251&lt;65),0.2,0)+IF(AND(V251&gt;=75,V251&lt;=175,W251&gt;=65,W251&lt;110),0.15,0)+IF(AND(V251&gt;=75,V251&lt;=175,W251&gt;=110),0.1,0)+IF(AND(V251&gt;175,W251&lt;25),0.25,0)+IF(AND(V251&gt;175,W251&gt;=25,W251&lt;55),0.2,0)+IF(AND(V251&gt;175,W251&gt;=55,W251&lt;95),0.15,0)+IF(AND(V251&gt;175,W251&gt;=95),0.1,0))))))))))))))))</f>
        <v>0.15</v>
      </c>
      <c r="Y251" s="30">
        <f>IF(AG251="None",0,IF(AG251="Fix5",0.05,IF(AG251="Fix3.75",0.0375,IF(AG251="Fix10",0.1,IF(AG251="Fix3",0.03,0)))))</f>
        <v>0</v>
      </c>
      <c r="Z251" s="35">
        <f>T251-AA251-AB251</f>
        <v>226.95</v>
      </c>
      <c r="AA251" s="29">
        <f>IF(AD251="EUR",((T251-R251)*X251)*U251+(R251*X251),(T251*X251))</f>
        <v>40.049999999999997</v>
      </c>
      <c r="AB251" s="36">
        <f>IF(AD251="EUR",((T251-R251)*Y251)*U251+(R251*Y251),(T251*Y251))</f>
        <v>0</v>
      </c>
      <c r="AC251" s="37" t="b">
        <v>1</v>
      </c>
      <c r="AD251" s="37" t="s">
        <v>38</v>
      </c>
      <c r="AE251" s="37" t="s">
        <v>38</v>
      </c>
      <c r="AF251" s="37" t="str">
        <f t="array" ref="AF251">INDEX('Deal Info'!D:D, MATCH(A251,'Deal Info'!A:A, 0))</f>
        <v>DoEVLo</v>
      </c>
      <c r="AG251" s="38" t="str">
        <f t="array" ref="AG251">INDEX('Deal Info'!G:G, MATCH(A251,'Deal Info'!A:A, 0))</f>
        <v>None</v>
      </c>
    </row>
    <row r="252" spans="1:33" ht="14.25" hidden="1" x14ac:dyDescent="0.2">
      <c r="A252" s="18" t="str">
        <f t="array" ref="A252">IF(G252='Room Info'!$B$1, INDEX('Room Info'!$A$2:$A2446, MATCH(B252,'Room Info'!$B$2:$B2446, 0)),IF(G252='Room Info'!$C$1, INDEX('Room Info'!$A$2:$A2446, MATCH(B252,'Room Info'!$C$2:$C2446, 0)),IF(G252='Room Info'!$D$1, INDEX('Room Info'!$A$2:$A2446, MATCH(B252,'Room Info'!$D$2:$D2446, 0)),IF(G252='Room Info'!$E$1, INDEX('Room Info'!$A$2:$A2446, MATCH(B252,'Room Info'!$E$2:$E2446, 0)),IF(G252='Room Info'!$F$1, INDEX('Room Info'!$A$2:$A2446, MATCH(B252,'Room Info'!$F$2:$F2446, 0)),IF(G252='Room Info'!$H$1, INDEX('Room Info'!$A$2:$A2446, MATCH(B252,'Room Info'!$H$2:$H2446, 0)),IF(G252='Room Info'!$G$1, INDEX('Room Info'!$A$2:$A2446, MATCH(B252,'Room Info'!$G$2:$G2446, 0)))))))))</f>
        <v>Mexanuk_AV</v>
      </c>
      <c r="B252" s="45" t="s">
        <v>113</v>
      </c>
      <c r="C252" s="92">
        <v>44337</v>
      </c>
      <c r="D252" s="46">
        <v>44367</v>
      </c>
      <c r="E252" s="47">
        <v>44348</v>
      </c>
      <c r="F252" s="48" t="s">
        <v>34</v>
      </c>
      <c r="G252" s="45" t="s">
        <v>35</v>
      </c>
      <c r="H252" s="49" t="s">
        <v>86</v>
      </c>
      <c r="I252" s="49" t="s">
        <v>37</v>
      </c>
      <c r="J252" s="70">
        <v>5</v>
      </c>
      <c r="K252" s="71">
        <v>1</v>
      </c>
      <c r="L252" s="52">
        <v>5</v>
      </c>
      <c r="M252" s="62"/>
      <c r="N252" s="28">
        <f>K252*J252</f>
        <v>5</v>
      </c>
      <c r="O252" s="54">
        <v>376</v>
      </c>
      <c r="P252" s="29">
        <v>376</v>
      </c>
      <c r="Q252" s="55"/>
      <c r="R252" s="31">
        <f>M252+Q252</f>
        <v>0</v>
      </c>
      <c r="S252" s="56">
        <v>3</v>
      </c>
      <c r="T252" s="32">
        <f>R252+S252+IF(F252="Without EV deal",L252,0)</f>
        <v>3</v>
      </c>
      <c r="U252" s="57">
        <v>1</v>
      </c>
      <c r="V252" s="69">
        <v>9.9972557628979146</v>
      </c>
      <c r="W252" s="69">
        <v>38.510568213011254</v>
      </c>
      <c r="X252" s="30">
        <f>IF(AF252="DoEV",IF(AND(V252&lt;20,W252&lt;55),0.3,0)+IF(AND(V252&lt;20,W252&gt;=55,W252&lt;105),0.23,0)+IF(AND(V252&lt;20,W252&gt;=105),0.17,0)+IF(AND(V252&gt;=20,V252&lt;40,W252&lt;45),0.3,0)+IF(AND(V252&gt;=20,V252&lt;40,W252&gt;=45,W252&lt;95),0.23,0)+IF(AND(V252&gt;=20,V252&lt;40,W252&gt;=95),0.17,0)+IF(AND(V252&gt;=40,V252&lt;75,W252&lt;35),0.3,0)+IF(AND(V252&gt;=40,V252&lt;75,W252&gt;=35,W252&lt;75),0.23,0)+IF(AND(V252&gt;=40,V252&lt;75,W252&gt;=75,W252&lt;120),0.17,0)+IF(AND(V252&gt;=40,V252&lt;75,W252&gt;=120),0.12,0)+IF(AND(V252&gt;=75,V252&lt;175,W252&lt;35),0.3,0)+IF(AND(V252&gt;=75,V252&lt;=175,W252&gt;=35,W252&lt;65),0.23,0)+IF(AND(V252&gt;=75,V252&lt;=175,W252&gt;=65,W252&lt;110),0.17,0)+IF(AND(V252&gt;=75,V252&lt;=175,W252&gt;=110),0.12,0)+IF(AND(V252&gt;175,W252&lt;25),0.3,0)+IF(AND(V252&gt;175,W252&gt;=25,W252&lt;55),0.23,0)+IF(AND(V252&gt;175,W252&gt;=55,W252&lt;95),0.17,0)+IF(AND(V252&gt;175,W252&gt;=95),0.12,0),
IF(AF252="Fix15",0.15,
IF(AF252="Fix11.25",0.1125,
IF(AF252="Fix10",0.1,
IF(AF252="Fix9",0.09,
IF(AF252="DoEV2017",IF(AND(W252&lt;74),0.2,0)+IF(AND(W252&gt;=74),0.17,0),
IF(AF252="SF",IF(AND(V252&lt;20,W252&lt;89),0.3,0)+IF(AND(V252&lt;20,W252&gt;=89),0.25,0)+IF(AND(V252&gt;=20,V252&lt;40,W252&lt;74),0.3,0)+IF(AND(V252&gt;=20,V252&lt;40,W252&gt;=75),0.22,0)+IF(AND(V252&gt;=40,V252&lt;75,W252&lt;75),0.26,0)+IF(AND(V252&gt;=40,V252&lt;75,W252&gt;=75),0.22,0)+IF(V252&gt;=75,0.22,0),
IF(AF252="DoEVold",IF(AND(V252&lt;40,W252&lt;35),0.35,0)+IF(AND(V252&lt;40,W252&gt;=35,W252&lt;75),0.25,0)+IF(AND(V252&lt;40,W252&gt;=75),0.17,0)+IF(AND(V252&gt;=40,V252&lt;75,W252&lt;25),0.35,0)+IF(AND(V252&gt;=40,V252&lt;75,W252&gt;=25,W252&lt;65),0.25,0)+IF(AND(V252&gt;=40,V252&lt;75,W252&gt;=65,W252&lt;100),0.17,0)+IF(AND(V252&gt;=40,V252&lt;75,W252&gt;=100),0.1,0)+IF(AND(V252&gt;=75,W252&lt;25),0.35,0)+IF(AND(V252&gt;=75,W252&gt;=25,W252&lt;60),0.25,0)+IF(AND(V252&gt;=75,W252&gt;=60,W252&lt;95),0.17,0)+IF(AND(V252&gt;=75,W252&gt;=95),0.1,0),
IF(AF252="DoEVold15",IF(AND(V252&lt;=40,W252&lt;35),0.35,0)+IF(AND(V252&lt;=40,W252&gt;=35,W252&lt;75),0.25,0)+IF(AND(V252&lt;=40,W252&gt;=75,W252&lt;120),0.17,0)+IF(AND(V252&lt;=40,W252&gt;=120),0.15,0)+IF(AND(V252&gt;40,V252&lt;75,W252&lt;25),0.35,0)+IF(AND(V252&gt;=40,V252&lt;75,W252&gt;=25,W252&lt;65),0.25,0)+IF(AND(V252&gt;=40,V252&lt;75,W252&gt;=65,W252&lt;100),0.17,0)+IF(AND(V252&gt;=40,V252&lt;75,W252&gt;=100),0.1,0)+IF(AND(V252&gt;=75,W252&lt;25),0.35,0)+IF(AND(V252&gt;=75,W252&gt;=25,W252&lt;60),0.25,0)+IF(AND(V252&gt;=75,W252&gt;=60,W252&lt;95),0.17,0)+IF(AND(V252&gt;=75,W252&gt;=95),0.1,0),
IF(AF252="DoEVba",IF(AND(V252&lt;20,W252&lt;105),0.2,0)+IF(AND(V252&lt;20,W252&gt;=105),0.15,0)+IF(AND(V252&gt;=20,V252&lt;40,W252&lt;95),0.2,0)+IF(AND(V252&gt;=20,V252&lt;40,W252&gt;=95,W252&lt;150),0.15,0)+IF(AND(V252&gt;=20,V252&lt;40,W252&gt;=150),0.12,0)+IF(AND(V252&gt;=40,V252&lt;75,W252&lt;75),0.2,0)+IF(AND(V252&gt;=40,V252&lt;75,W252&gt;=75,W252&lt;120),0.15,0)+IF(AND(V252&gt;=40,V252&lt;75,W252&gt;=120),0.12,0)+IF(AND(V252&gt;=75,V252&lt;175,W252&lt;65),0.2,0)+IF(AND(V252&gt;=75,V252&lt;175,W252&gt;=65,W252&lt;110),0.15,0)+IF(AND(V252&gt;=75,V252&lt;175,W252&gt;=110),0.12,0)+IF(AND(V252&gt;=175,W252&lt;55),0.2,0)+IF(AND(V252&gt;=175,W252&gt;=55,W252&lt;95),0.15,0)+IF(AND(V252&gt;=175,W252&gt;=95),0.12,0),
IF(AF252="DoEVku",IF(AND(V252&lt;20,W252&lt;55),0.23,0)+IF(AND(V252&lt;20,W252&gt;=55,W252&lt;105),0.2,0)+IF(AND(V252&lt;20,W252&gt;=105),0.17,0)+IF(AND(V252&gt;=20,V252&lt;40,W252&lt;45),0.23,0)+IF(AND(V252&gt;=20,V252&lt;40,W252&gt;=45,W252&lt;95),0.2,0)+IF(AND(V252&gt;=20,V252&lt;40,W252&gt;=95,W252&lt;=150),0.17,0)+IF(AND(V252&gt;=20,V252&lt;40,W252&gt;=150),0.12,0)+IF(AND(V252&gt;=40,V252&lt;75,W252&lt;35),0.23,0)+IF(AND(V252&gt;=40,V252&lt;75,W252&gt;=35,W252&lt;75),0.2,0)+IF(AND(V252&gt;=40,V252&lt;75,W252&gt;=75,W252&lt;120),0.17,0)+IF(AND(V252&gt;=40,V252&lt;75,W252&gt;=120),0.12,0)+IF(AND(V252&gt;=75,V252&lt;175,W252&lt;35),0.23,0)+IF(AND(V252&gt;=75,V252&lt;=175,W252&gt;=35,W252&lt;65),0.2,0)+IF(AND(V252&gt;=75,V252&lt;=175,W252&gt;=65,W252&lt;110),0.17,0)+IF(AND(V252&gt;=75,V252&lt;=175,W252&gt;=110),0.12,0)+IF(AND(V252&gt;175,W252&lt;25),0.23,0)+IF(AND(V252&gt;175,W252&gt;=25,W252&lt;55),0.2,0)+IF(AND(V252&gt;175,W252&gt;=55,W252&lt;95),0.17,0)+IF(AND(V252&gt;175,W252&gt;=95),0.12,0),
IF(AF252="DoEVs1",IF(AND(V252&lt;20,W252&lt;55),0.3,0)+IF(AND(V252&lt;20,W252&gt;=55,W252&lt;105),0.23,0)+IF(AND(V252&lt;20,W252&gt;=105),0.17,0)+IF(AND(V252&gt;=20,V252&lt;40,W252&lt;45),0.3,0)+IF(AND(V252&gt;=20,V252&lt;40,W252&gt;=45,W252&lt;95),0.23,0)+IF(AND(V252&gt;=20,V252&lt;40,W252&gt;=95,W252&lt;=150),0.17,0)+IF(AND(V252&gt;=20,V252&lt;40,W252&gt;=150),0.12,0)+IF(AND(V252&gt;=40,V252&lt;75,W252&lt;35),0.3,0)+IF(AND(V252&gt;=40,V252&lt;75,W252&gt;=35,W252&lt;75),0.23,0)+IF(AND(V252&gt;=40,V252&lt;75,W252&gt;=75,W252&lt;120),0.17,0)+IF(AND(V252&gt;=40,V252&lt;75,W252&gt;=120),0.12,0)+IF(AND(V252&gt;=75,V252&lt;175,W252&lt;35),0.3,0)+IF(AND(V252&gt;=75,V252&lt;=175,W252&gt;=35,W252&lt;65),0.23,0)+IF(AND(V252&gt;=75,V252&lt;=175,W252&gt;=65,W252&lt;110),0.17,0)+IF(AND(V252&gt;=75,V252&lt;=175,W252&gt;=110),0.12,0)+IF(AND(V252&gt;175,W252&lt;25),0.3,0)+IF(AND(V252&gt;175,W252&gt;=25,W252&lt;55),0.23,0)+IF(AND(V252&gt;175,W252&gt;=55,W252&lt;95),0.17,0)+IF(AND(V252&gt;175,W252&gt;=95),0.12,0),
IF(AF252="DoEVsu",IF(AND(V252&lt;20,W252&lt;55),0.3,0)+IF(AND(V252&lt;20,W252&gt;=55,W252&lt;105),0.23,0)+IF(AND(V252&lt;20,W252&gt;=105),0.17,0)+IF(AND(V252&gt;=20,V252&lt;40,W252&lt;45),0.3,0)+IF(AND(V252&gt;=20,V252&lt;40,W252&gt;=45,W252&lt;95),0.23,0)+IF(AND(V252&gt;=20,V252&lt;40,W252&gt;=95,W252&lt;=250),0.17,0)+IF(AND(V252&gt;=20,V252&lt;40,W252&gt;=250),0.12,0)+IF(AND(V252&gt;=40,V252&lt;75,W252&lt;35),0.3,0)+IF(AND(V252&gt;=40,V252&lt;75,W252&gt;=35,W252&lt;75),0.23,0)+IF(AND(V252&gt;=40,V252&lt;75,W252&gt;=75,W252&lt;120),0.17,0)+IF(AND(V252&gt;=40,V252&lt;75,W252&gt;=120),0.12,0)+IF(AND(V252&gt;=75,V252&lt;175,W252&lt;35),0.3,0)+IF(AND(V252&gt;=75,V252&lt;=175,W252&gt;=35,W252&lt;65),0.23,0)+IF(AND(V252&gt;=75,V252&lt;=175,W252&gt;=65,W252&lt;110),0.17,0)+IF(AND(V252&gt;=75,V252&lt;=175,W252&gt;=110),0.12,0)+IF(AND(V252&gt;175,W252&lt;25),0.3,0)+IF(AND(V252&gt;175,W252&gt;=25,W252&lt;55),0.23,0)+IF(AND(V252&gt;175,W252&gt;=55,W252&lt;95),0.17,0)+IF(AND(V252&gt;175,W252&gt;=95),0.12,0),
IF(AF252="DoEVni",IF(AND(V252&lt;20,W252&lt;55),0.3,0)+IF(AND(V252&lt;20,W252&gt;=55,W252&lt;105),0.23,0)+IF(AND(V252&lt;20,W252&gt;=105),0.17,0)+IF(AND(V252&gt;=20,V252&lt;40,W252&lt;45),0.3,0)+IF(AND(V252&gt;=20,V252&lt;40,W252&gt;=45,W252&lt;95),0.23,0)+IF(AND(V252&gt;=20,V252&lt;40,W252&gt;=95,W252&lt;=200),0.17,0)+IF(AND(V252&gt;=20,V252&lt;40,W252&gt;=200),0.12,0)+IF(AND(V252&gt;=40,V252&lt;75,W252&lt;35),0.3,0)+IF(AND(V252&gt;=40,V252&lt;75,W252&gt;=35,W252&lt;75),0.23,0)+IF(AND(V252&gt;=40,V252&lt;75,W252&gt;=75,W252&lt;120),0.17,0)+IF(AND(V252&gt;=40,V252&lt;75,W252&gt;=120),0.12,0)+IF(AND(V252&gt;=75,V252&lt;175,W252&lt;35),0.3,0)+IF(AND(V252&gt;=75,V252&lt;=175,W252&gt;=35,W252&lt;65),0.23,0)+IF(AND(V252&gt;=75,V252&lt;=175,W252&gt;=65,W252&lt;110),0.17,0)+IF(AND(V252&gt;=75,V252&lt;=175,W252&gt;=110),0.12,0)+IF(AND(V252&gt;175,W252&lt;25),0.3,0)+IF(AND(V252&gt;175,W252&gt;=25,W252&lt;55),0.23,0)+IF(AND(V252&gt;175,W252&gt;=55,W252&lt;95),0.17,0)+IF(AND(V252&gt;175,W252&gt;=95),0.12,0),
IF(AF252="DoEVLo",IF(AND(V252&lt;20,W252&lt;55),0.25,0)+IF(AND(V252&lt;20,W252&gt;=55,W252&lt;105),0.2,0)+IF(AND(V252&lt;20,W252&gt;=105),0.15,0)+IF(AND(V252&gt;=20,V252&lt;40,W252&lt;45),0.25,0)+IF(AND(V252&gt;=20,V252&lt;40,W252&gt;=45,W252&lt;95),0.2,0)+IF(AND(V252&gt;=20,V252&lt;40,W252&gt;=95),0.15,0)+IF(AND(V252&gt;=40,V252&lt;75,W252&lt;35),0.25,0)+IF(AND(V252&gt;=40,V252&lt;75,W252&gt;=35,W252&lt;75),0.2,0)+IF(AND(V252&gt;=40,V252&lt;75,W252&gt;=75,W252&lt;120),0.15,0)+IF(AND(V252&gt;=40,V252&lt;75,W252&gt;=120),0.1,0)+IF(AND(V252&gt;=75,V252&lt;175,W252&lt;35),0.25,0)+IF(AND(V252&gt;=75,V252&lt;=175,W252&gt;=35,W252&lt;65),0.2,0)+IF(AND(V252&gt;=75,V252&lt;=175,W252&gt;=65,W252&lt;110),0.15,0)+IF(AND(V252&gt;=75,V252&lt;=175,W252&gt;=110),0.1,0)+IF(AND(V252&gt;175,W252&lt;25),0.25,0)+IF(AND(V252&gt;175,W252&gt;=25,W252&lt;55),0.2,0)+IF(AND(V252&gt;175,W252&gt;=55,W252&lt;95),0.15,0)+IF(AND(V252&gt;175,W252&gt;=95),0.1,0))))))))))))))))</f>
        <v>0.3</v>
      </c>
      <c r="Y252" s="30">
        <f>IF(AG252="None",0,IF(AG252="Fix5",0.05,IF(AG252="Fix3.75",0.0375,IF(AG252="Fix10",0.1,IF(AG252="Fix3",0.03,0)))))</f>
        <v>0</v>
      </c>
      <c r="Z252" s="35">
        <f>T252-AA252-AB252</f>
        <v>2.1</v>
      </c>
      <c r="AA252" s="29">
        <f>IF(AD252="EUR",((T252-R252)*X252)*U252+(R252*X252),(T252*X252))</f>
        <v>0.89999999999999991</v>
      </c>
      <c r="AB252" s="36">
        <f>IF(AD252="EUR",((T252-R252)*Y252)*U252+(R252*Y252),(T252*Y252))</f>
        <v>0</v>
      </c>
      <c r="AC252" s="37" t="b">
        <v>1</v>
      </c>
      <c r="AD252" s="37" t="s">
        <v>38</v>
      </c>
      <c r="AE252" s="37" t="s">
        <v>38</v>
      </c>
      <c r="AF252" s="37" t="str">
        <f t="array" ref="AF252">INDEX('Deal Info'!D:D, MATCH(A252,'Deal Info'!A:A, 0))</f>
        <v>SF</v>
      </c>
      <c r="AG252" s="38" t="str">
        <f t="array" ref="AG252">INDEX('Deal Info'!G:G, MATCH(A252,'Deal Info'!A:A, 0))</f>
        <v>None</v>
      </c>
    </row>
    <row r="253" spans="1:33" ht="14.25" hidden="1" x14ac:dyDescent="0.2">
      <c r="A253" s="18" t="str">
        <f t="array" ref="A253">IF(G253='Room Info'!$B$1, INDEX('Room Info'!$A$2:$A2446, MATCH(B253,'Room Info'!$B$2:$B2446, 0)),IF(G253='Room Info'!$C$1, INDEX('Room Info'!$A$2:$A2446, MATCH(B253,'Room Info'!$C$2:$C2446, 0)),IF(G253='Room Info'!$D$1, INDEX('Room Info'!$A$2:$A2446, MATCH(B253,'Room Info'!$D$2:$D2446, 0)),IF(G253='Room Info'!$E$1, INDEX('Room Info'!$A$2:$A2446, MATCH(B253,'Room Info'!$E$2:$E2446, 0)),IF(G253='Room Info'!$F$1, INDEX('Room Info'!$A$2:$A2446, MATCH(B253,'Room Info'!$F$2:$F2446, 0)),IF(G253='Room Info'!$H$1, INDEX('Room Info'!$A$2:$A2446, MATCH(B253,'Room Info'!$H$2:$H2446, 0)),IF(G253='Room Info'!$G$1, INDEX('Room Info'!$A$2:$A2446, MATCH(B253,'Room Info'!$G$2:$G2446, 0)))))))))</f>
        <v>Mexanuk_AV</v>
      </c>
      <c r="B253" s="45" t="s">
        <v>113</v>
      </c>
      <c r="C253" s="92">
        <v>44337</v>
      </c>
      <c r="D253" s="46">
        <v>44367</v>
      </c>
      <c r="E253" s="47">
        <v>44348</v>
      </c>
      <c r="F253" s="48" t="s">
        <v>34</v>
      </c>
      <c r="G253" s="45" t="s">
        <v>35</v>
      </c>
      <c r="H253" s="49" t="s">
        <v>40</v>
      </c>
      <c r="I253" s="49" t="s">
        <v>37</v>
      </c>
      <c r="J253" s="70">
        <v>10</v>
      </c>
      <c r="K253" s="71">
        <v>1132</v>
      </c>
      <c r="L253" s="52">
        <v>370</v>
      </c>
      <c r="M253" s="53">
        <v>14</v>
      </c>
      <c r="N253" s="28">
        <f>K253*J253</f>
        <v>11320</v>
      </c>
      <c r="O253" s="54">
        <v>64596</v>
      </c>
      <c r="P253" s="29">
        <v>57.063604239999997</v>
      </c>
      <c r="Q253" s="55"/>
      <c r="R253" s="31">
        <f>M253+Q253</f>
        <v>14</v>
      </c>
      <c r="S253" s="56">
        <v>359</v>
      </c>
      <c r="T253" s="32">
        <f>R253+S253+IF(F253="Without EV deal",L253,0)</f>
        <v>373</v>
      </c>
      <c r="U253" s="57">
        <v>1</v>
      </c>
      <c r="V253" s="69">
        <v>9.9972557628979146</v>
      </c>
      <c r="W253" s="69">
        <v>38.510568213011254</v>
      </c>
      <c r="X253" s="30">
        <f>IF(AF253="DoEV",IF(AND(V253&lt;20,W253&lt;55),0.3,0)+IF(AND(V253&lt;20,W253&gt;=55,W253&lt;105),0.23,0)+IF(AND(V253&lt;20,W253&gt;=105),0.17,0)+IF(AND(V253&gt;=20,V253&lt;40,W253&lt;45),0.3,0)+IF(AND(V253&gt;=20,V253&lt;40,W253&gt;=45,W253&lt;95),0.23,0)+IF(AND(V253&gt;=20,V253&lt;40,W253&gt;=95),0.17,0)+IF(AND(V253&gt;=40,V253&lt;75,W253&lt;35),0.3,0)+IF(AND(V253&gt;=40,V253&lt;75,W253&gt;=35,W253&lt;75),0.23,0)+IF(AND(V253&gt;=40,V253&lt;75,W253&gt;=75,W253&lt;120),0.17,0)+IF(AND(V253&gt;=40,V253&lt;75,W253&gt;=120),0.12,0)+IF(AND(V253&gt;=75,V253&lt;175,W253&lt;35),0.3,0)+IF(AND(V253&gt;=75,V253&lt;=175,W253&gt;=35,W253&lt;65),0.23,0)+IF(AND(V253&gt;=75,V253&lt;=175,W253&gt;=65,W253&lt;110),0.17,0)+IF(AND(V253&gt;=75,V253&lt;=175,W253&gt;=110),0.12,0)+IF(AND(V253&gt;175,W253&lt;25),0.3,0)+IF(AND(V253&gt;175,W253&gt;=25,W253&lt;55),0.23,0)+IF(AND(V253&gt;175,W253&gt;=55,W253&lt;95),0.17,0)+IF(AND(V253&gt;175,W253&gt;=95),0.12,0),
IF(AF253="Fix15",0.15,
IF(AF253="Fix11.25",0.1125,
IF(AF253="Fix10",0.1,
IF(AF253="Fix9",0.09,
IF(AF253="DoEV2017",IF(AND(W253&lt;74),0.2,0)+IF(AND(W253&gt;=74),0.17,0),
IF(AF253="SF",IF(AND(V253&lt;20,W253&lt;89),0.3,0)+IF(AND(V253&lt;20,W253&gt;=89),0.25,0)+IF(AND(V253&gt;=20,V253&lt;40,W253&lt;74),0.3,0)+IF(AND(V253&gt;=20,V253&lt;40,W253&gt;=75),0.22,0)+IF(AND(V253&gt;=40,V253&lt;75,W253&lt;75),0.26,0)+IF(AND(V253&gt;=40,V253&lt;75,W253&gt;=75),0.22,0)+IF(V253&gt;=75,0.22,0),
IF(AF253="DoEVold",IF(AND(V253&lt;40,W253&lt;35),0.35,0)+IF(AND(V253&lt;40,W253&gt;=35,W253&lt;75),0.25,0)+IF(AND(V253&lt;40,W253&gt;=75),0.17,0)+IF(AND(V253&gt;=40,V253&lt;75,W253&lt;25),0.35,0)+IF(AND(V253&gt;=40,V253&lt;75,W253&gt;=25,W253&lt;65),0.25,0)+IF(AND(V253&gt;=40,V253&lt;75,W253&gt;=65,W253&lt;100),0.17,0)+IF(AND(V253&gt;=40,V253&lt;75,W253&gt;=100),0.1,0)+IF(AND(V253&gt;=75,W253&lt;25),0.35,0)+IF(AND(V253&gt;=75,W253&gt;=25,W253&lt;60),0.25,0)+IF(AND(V253&gt;=75,W253&gt;=60,W253&lt;95),0.17,0)+IF(AND(V253&gt;=75,W253&gt;=95),0.1,0),
IF(AF253="DoEVold15",IF(AND(V253&lt;=40,W253&lt;35),0.35,0)+IF(AND(V253&lt;=40,W253&gt;=35,W253&lt;75),0.25,0)+IF(AND(V253&lt;=40,W253&gt;=75,W253&lt;120),0.17,0)+IF(AND(V253&lt;=40,W253&gt;=120),0.15,0)+IF(AND(V253&gt;40,V253&lt;75,W253&lt;25),0.35,0)+IF(AND(V253&gt;=40,V253&lt;75,W253&gt;=25,W253&lt;65),0.25,0)+IF(AND(V253&gt;=40,V253&lt;75,W253&gt;=65,W253&lt;100),0.17,0)+IF(AND(V253&gt;=40,V253&lt;75,W253&gt;=100),0.1,0)+IF(AND(V253&gt;=75,W253&lt;25),0.35,0)+IF(AND(V253&gt;=75,W253&gt;=25,W253&lt;60),0.25,0)+IF(AND(V253&gt;=75,W253&gt;=60,W253&lt;95),0.17,0)+IF(AND(V253&gt;=75,W253&gt;=95),0.1,0),
IF(AF253="DoEVba",IF(AND(V253&lt;20,W253&lt;105),0.2,0)+IF(AND(V253&lt;20,W253&gt;=105),0.15,0)+IF(AND(V253&gt;=20,V253&lt;40,W253&lt;95),0.2,0)+IF(AND(V253&gt;=20,V253&lt;40,W253&gt;=95,W253&lt;150),0.15,0)+IF(AND(V253&gt;=20,V253&lt;40,W253&gt;=150),0.12,0)+IF(AND(V253&gt;=40,V253&lt;75,W253&lt;75),0.2,0)+IF(AND(V253&gt;=40,V253&lt;75,W253&gt;=75,W253&lt;120),0.15,0)+IF(AND(V253&gt;=40,V253&lt;75,W253&gt;=120),0.12,0)+IF(AND(V253&gt;=75,V253&lt;175,W253&lt;65),0.2,0)+IF(AND(V253&gt;=75,V253&lt;175,W253&gt;=65,W253&lt;110),0.15,0)+IF(AND(V253&gt;=75,V253&lt;175,W253&gt;=110),0.12,0)+IF(AND(V253&gt;=175,W253&lt;55),0.2,0)+IF(AND(V253&gt;=175,W253&gt;=55,W253&lt;95),0.15,0)+IF(AND(V253&gt;=175,W253&gt;=95),0.12,0),
IF(AF253="DoEVku",IF(AND(V253&lt;20,W253&lt;55),0.23,0)+IF(AND(V253&lt;20,W253&gt;=55,W253&lt;105),0.2,0)+IF(AND(V253&lt;20,W253&gt;=105),0.17,0)+IF(AND(V253&gt;=20,V253&lt;40,W253&lt;45),0.23,0)+IF(AND(V253&gt;=20,V253&lt;40,W253&gt;=45,W253&lt;95),0.2,0)+IF(AND(V253&gt;=20,V253&lt;40,W253&gt;=95,W253&lt;=150),0.17,0)+IF(AND(V253&gt;=20,V253&lt;40,W253&gt;=150),0.12,0)+IF(AND(V253&gt;=40,V253&lt;75,W253&lt;35),0.23,0)+IF(AND(V253&gt;=40,V253&lt;75,W253&gt;=35,W253&lt;75),0.2,0)+IF(AND(V253&gt;=40,V253&lt;75,W253&gt;=75,W253&lt;120),0.17,0)+IF(AND(V253&gt;=40,V253&lt;75,W253&gt;=120),0.12,0)+IF(AND(V253&gt;=75,V253&lt;175,W253&lt;35),0.23,0)+IF(AND(V253&gt;=75,V253&lt;=175,W253&gt;=35,W253&lt;65),0.2,0)+IF(AND(V253&gt;=75,V253&lt;=175,W253&gt;=65,W253&lt;110),0.17,0)+IF(AND(V253&gt;=75,V253&lt;=175,W253&gt;=110),0.12,0)+IF(AND(V253&gt;175,W253&lt;25),0.23,0)+IF(AND(V253&gt;175,W253&gt;=25,W253&lt;55),0.2,0)+IF(AND(V253&gt;175,W253&gt;=55,W253&lt;95),0.17,0)+IF(AND(V253&gt;175,W253&gt;=95),0.12,0),
IF(AF253="DoEVs1",IF(AND(V253&lt;20,W253&lt;55),0.3,0)+IF(AND(V253&lt;20,W253&gt;=55,W253&lt;105),0.23,0)+IF(AND(V253&lt;20,W253&gt;=105),0.17,0)+IF(AND(V253&gt;=20,V253&lt;40,W253&lt;45),0.3,0)+IF(AND(V253&gt;=20,V253&lt;40,W253&gt;=45,W253&lt;95),0.23,0)+IF(AND(V253&gt;=20,V253&lt;40,W253&gt;=95,W253&lt;=150),0.17,0)+IF(AND(V253&gt;=20,V253&lt;40,W253&gt;=150),0.12,0)+IF(AND(V253&gt;=40,V253&lt;75,W253&lt;35),0.3,0)+IF(AND(V253&gt;=40,V253&lt;75,W253&gt;=35,W253&lt;75),0.23,0)+IF(AND(V253&gt;=40,V253&lt;75,W253&gt;=75,W253&lt;120),0.17,0)+IF(AND(V253&gt;=40,V253&lt;75,W253&gt;=120),0.12,0)+IF(AND(V253&gt;=75,V253&lt;175,W253&lt;35),0.3,0)+IF(AND(V253&gt;=75,V253&lt;=175,W253&gt;=35,W253&lt;65),0.23,0)+IF(AND(V253&gt;=75,V253&lt;=175,W253&gt;=65,W253&lt;110),0.17,0)+IF(AND(V253&gt;=75,V253&lt;=175,W253&gt;=110),0.12,0)+IF(AND(V253&gt;175,W253&lt;25),0.3,0)+IF(AND(V253&gt;175,W253&gt;=25,W253&lt;55),0.23,0)+IF(AND(V253&gt;175,W253&gt;=55,W253&lt;95),0.17,0)+IF(AND(V253&gt;175,W253&gt;=95),0.12,0),
IF(AF253="DoEVsu",IF(AND(V253&lt;20,W253&lt;55),0.3,0)+IF(AND(V253&lt;20,W253&gt;=55,W253&lt;105),0.23,0)+IF(AND(V253&lt;20,W253&gt;=105),0.17,0)+IF(AND(V253&gt;=20,V253&lt;40,W253&lt;45),0.3,0)+IF(AND(V253&gt;=20,V253&lt;40,W253&gt;=45,W253&lt;95),0.23,0)+IF(AND(V253&gt;=20,V253&lt;40,W253&gt;=95,W253&lt;=250),0.17,0)+IF(AND(V253&gt;=20,V253&lt;40,W253&gt;=250),0.12,0)+IF(AND(V253&gt;=40,V253&lt;75,W253&lt;35),0.3,0)+IF(AND(V253&gt;=40,V253&lt;75,W253&gt;=35,W253&lt;75),0.23,0)+IF(AND(V253&gt;=40,V253&lt;75,W253&gt;=75,W253&lt;120),0.17,0)+IF(AND(V253&gt;=40,V253&lt;75,W253&gt;=120),0.12,0)+IF(AND(V253&gt;=75,V253&lt;175,W253&lt;35),0.3,0)+IF(AND(V253&gt;=75,V253&lt;=175,W253&gt;=35,W253&lt;65),0.23,0)+IF(AND(V253&gt;=75,V253&lt;=175,W253&gt;=65,W253&lt;110),0.17,0)+IF(AND(V253&gt;=75,V253&lt;=175,W253&gt;=110),0.12,0)+IF(AND(V253&gt;175,W253&lt;25),0.3,0)+IF(AND(V253&gt;175,W253&gt;=25,W253&lt;55),0.23,0)+IF(AND(V253&gt;175,W253&gt;=55,W253&lt;95),0.17,0)+IF(AND(V253&gt;175,W253&gt;=95),0.12,0),
IF(AF253="DoEVni",IF(AND(V253&lt;20,W253&lt;55),0.3,0)+IF(AND(V253&lt;20,W253&gt;=55,W253&lt;105),0.23,0)+IF(AND(V253&lt;20,W253&gt;=105),0.17,0)+IF(AND(V253&gt;=20,V253&lt;40,W253&lt;45),0.3,0)+IF(AND(V253&gt;=20,V253&lt;40,W253&gt;=45,W253&lt;95),0.23,0)+IF(AND(V253&gt;=20,V253&lt;40,W253&gt;=95,W253&lt;=200),0.17,0)+IF(AND(V253&gt;=20,V253&lt;40,W253&gt;=200),0.12,0)+IF(AND(V253&gt;=40,V253&lt;75,W253&lt;35),0.3,0)+IF(AND(V253&gt;=40,V253&lt;75,W253&gt;=35,W253&lt;75),0.23,0)+IF(AND(V253&gt;=40,V253&lt;75,W253&gt;=75,W253&lt;120),0.17,0)+IF(AND(V253&gt;=40,V253&lt;75,W253&gt;=120),0.12,0)+IF(AND(V253&gt;=75,V253&lt;175,W253&lt;35),0.3,0)+IF(AND(V253&gt;=75,V253&lt;=175,W253&gt;=35,W253&lt;65),0.23,0)+IF(AND(V253&gt;=75,V253&lt;=175,W253&gt;=65,W253&lt;110),0.17,0)+IF(AND(V253&gt;=75,V253&lt;=175,W253&gt;=110),0.12,0)+IF(AND(V253&gt;175,W253&lt;25),0.3,0)+IF(AND(V253&gt;175,W253&gt;=25,W253&lt;55),0.23,0)+IF(AND(V253&gt;175,W253&gt;=55,W253&lt;95),0.17,0)+IF(AND(V253&gt;175,W253&gt;=95),0.12,0),
IF(AF253="DoEVLo",IF(AND(V253&lt;20,W253&lt;55),0.25,0)+IF(AND(V253&lt;20,W253&gt;=55,W253&lt;105),0.2,0)+IF(AND(V253&lt;20,W253&gt;=105),0.15,0)+IF(AND(V253&gt;=20,V253&lt;40,W253&lt;45),0.25,0)+IF(AND(V253&gt;=20,V253&lt;40,W253&gt;=45,W253&lt;95),0.2,0)+IF(AND(V253&gt;=20,V253&lt;40,W253&gt;=95),0.15,0)+IF(AND(V253&gt;=40,V253&lt;75,W253&lt;35),0.25,0)+IF(AND(V253&gt;=40,V253&lt;75,W253&gt;=35,W253&lt;75),0.2,0)+IF(AND(V253&gt;=40,V253&lt;75,W253&gt;=75,W253&lt;120),0.15,0)+IF(AND(V253&gt;=40,V253&lt;75,W253&gt;=120),0.1,0)+IF(AND(V253&gt;=75,V253&lt;175,W253&lt;35),0.25,0)+IF(AND(V253&gt;=75,V253&lt;=175,W253&gt;=35,W253&lt;65),0.2,0)+IF(AND(V253&gt;=75,V253&lt;=175,W253&gt;=65,W253&lt;110),0.15,0)+IF(AND(V253&gt;=75,V253&lt;=175,W253&gt;=110),0.1,0)+IF(AND(V253&gt;175,W253&lt;25),0.25,0)+IF(AND(V253&gt;175,W253&gt;=25,W253&lt;55),0.2,0)+IF(AND(V253&gt;175,W253&gt;=55,W253&lt;95),0.15,0)+IF(AND(V253&gt;175,W253&gt;=95),0.1,0))))))))))))))))</f>
        <v>0.3</v>
      </c>
      <c r="Y253" s="30">
        <f>IF(AG253="None",0,IF(AG253="Fix5",0.05,IF(AG253="Fix3.75",0.0375,IF(AG253="Fix10",0.1,IF(AG253="Fix3",0.03,0)))))</f>
        <v>0</v>
      </c>
      <c r="Z253" s="35">
        <f>T253-AA253-AB253</f>
        <v>261.10000000000002</v>
      </c>
      <c r="AA253" s="29">
        <f>IF(AD253="EUR",((T253-R253)*X253)*U253+(R253*X253),(T253*X253))</f>
        <v>111.89999999999999</v>
      </c>
      <c r="AB253" s="36">
        <f>IF(AD253="EUR",((T253-R253)*Y253)*U253+(R253*Y253),(T253*Y253))</f>
        <v>0</v>
      </c>
      <c r="AC253" s="37" t="b">
        <v>1</v>
      </c>
      <c r="AD253" s="37" t="s">
        <v>38</v>
      </c>
      <c r="AE253" s="37" t="s">
        <v>38</v>
      </c>
      <c r="AF253" s="37" t="str">
        <f t="array" ref="AF253">INDEX('Deal Info'!D:D, MATCH(A253,'Deal Info'!A:A, 0))</f>
        <v>SF</v>
      </c>
      <c r="AG253" s="38" t="str">
        <f t="array" ref="AG253">INDEX('Deal Info'!G:G, MATCH(A253,'Deal Info'!A:A, 0))</f>
        <v>None</v>
      </c>
    </row>
    <row r="254" spans="1:33" ht="14.25" hidden="1" x14ac:dyDescent="0.2">
      <c r="A254" s="18" t="str">
        <f t="array" ref="A254">IF(G254='Room Info'!$B$1, INDEX('Room Info'!$A$2:$A2446, MATCH(B254,'Room Info'!$B$2:$B2446, 0)),IF(G254='Room Info'!$C$1, INDEX('Room Info'!$A$2:$A2446, MATCH(B254,'Room Info'!$C$2:$C2446, 0)),IF(G254='Room Info'!$D$1, INDEX('Room Info'!$A$2:$A2446, MATCH(B254,'Room Info'!$D$2:$D2446, 0)),IF(G254='Room Info'!$E$1, INDEX('Room Info'!$A$2:$A2446, MATCH(B254,'Room Info'!$E$2:$E2446, 0)),IF(G254='Room Info'!$F$1, INDEX('Room Info'!$A$2:$A2446, MATCH(B254,'Room Info'!$F$2:$F2446, 0)),IF(G254='Room Info'!$H$1, INDEX('Room Info'!$A$2:$A2446, MATCH(B254,'Room Info'!$H$2:$H2446, 0)),IF(G254='Room Info'!$G$1, INDEX('Room Info'!$A$2:$A2446, MATCH(B254,'Room Info'!$G$2:$G2446, 0)))))))))</f>
        <v>Mexanuk_AV</v>
      </c>
      <c r="B254" s="45" t="s">
        <v>113</v>
      </c>
      <c r="C254" s="92">
        <v>44337</v>
      </c>
      <c r="D254" s="46">
        <v>44367</v>
      </c>
      <c r="E254" s="47">
        <v>44348</v>
      </c>
      <c r="F254" s="48" t="s">
        <v>34</v>
      </c>
      <c r="G254" s="45" t="s">
        <v>35</v>
      </c>
      <c r="H254" s="49" t="s">
        <v>83</v>
      </c>
      <c r="I254" s="49" t="s">
        <v>37</v>
      </c>
      <c r="J254" s="70">
        <v>10</v>
      </c>
      <c r="K254" s="71">
        <v>689</v>
      </c>
      <c r="L254" s="52">
        <v>-110</v>
      </c>
      <c r="M254" s="53">
        <v>10</v>
      </c>
      <c r="N254" s="28">
        <f>K254*J254</f>
        <v>6890</v>
      </c>
      <c r="O254" s="54">
        <v>31360</v>
      </c>
      <c r="P254" s="29">
        <v>45.515239479999998</v>
      </c>
      <c r="Q254" s="55"/>
      <c r="R254" s="31">
        <f>M254+Q254</f>
        <v>10</v>
      </c>
      <c r="S254" s="56">
        <v>-1</v>
      </c>
      <c r="T254" s="32">
        <f>R254+S254+IF(F254="Without EV deal",L254,0)</f>
        <v>9</v>
      </c>
      <c r="U254" s="57">
        <v>1</v>
      </c>
      <c r="V254" s="69">
        <v>9.9972557628979146</v>
      </c>
      <c r="W254" s="69">
        <v>38.510568213011254</v>
      </c>
      <c r="X254" s="30">
        <f>IF(AF254="DoEV",IF(AND(V254&lt;20,W254&lt;55),0.3,0)+IF(AND(V254&lt;20,W254&gt;=55,W254&lt;105),0.23,0)+IF(AND(V254&lt;20,W254&gt;=105),0.17,0)+IF(AND(V254&gt;=20,V254&lt;40,W254&lt;45),0.3,0)+IF(AND(V254&gt;=20,V254&lt;40,W254&gt;=45,W254&lt;95),0.23,0)+IF(AND(V254&gt;=20,V254&lt;40,W254&gt;=95),0.17,0)+IF(AND(V254&gt;=40,V254&lt;75,W254&lt;35),0.3,0)+IF(AND(V254&gt;=40,V254&lt;75,W254&gt;=35,W254&lt;75),0.23,0)+IF(AND(V254&gt;=40,V254&lt;75,W254&gt;=75,W254&lt;120),0.17,0)+IF(AND(V254&gt;=40,V254&lt;75,W254&gt;=120),0.12,0)+IF(AND(V254&gt;=75,V254&lt;175,W254&lt;35),0.3,0)+IF(AND(V254&gt;=75,V254&lt;=175,W254&gt;=35,W254&lt;65),0.23,0)+IF(AND(V254&gt;=75,V254&lt;=175,W254&gt;=65,W254&lt;110),0.17,0)+IF(AND(V254&gt;=75,V254&lt;=175,W254&gt;=110),0.12,0)+IF(AND(V254&gt;175,W254&lt;25),0.3,0)+IF(AND(V254&gt;175,W254&gt;=25,W254&lt;55),0.23,0)+IF(AND(V254&gt;175,W254&gt;=55,W254&lt;95),0.17,0)+IF(AND(V254&gt;175,W254&gt;=95),0.12,0),
IF(AF254="Fix15",0.15,
IF(AF254="Fix11.25",0.1125,
IF(AF254="Fix10",0.1,
IF(AF254="Fix9",0.09,
IF(AF254="DoEV2017",IF(AND(W254&lt;74),0.2,0)+IF(AND(W254&gt;=74),0.17,0),
IF(AF254="SF",IF(AND(V254&lt;20,W254&lt;89),0.3,0)+IF(AND(V254&lt;20,W254&gt;=89),0.25,0)+IF(AND(V254&gt;=20,V254&lt;40,W254&lt;74),0.3,0)+IF(AND(V254&gt;=20,V254&lt;40,W254&gt;=75),0.22,0)+IF(AND(V254&gt;=40,V254&lt;75,W254&lt;75),0.26,0)+IF(AND(V254&gt;=40,V254&lt;75,W254&gt;=75),0.22,0)+IF(V254&gt;=75,0.22,0),
IF(AF254="DoEVold",IF(AND(V254&lt;40,W254&lt;35),0.35,0)+IF(AND(V254&lt;40,W254&gt;=35,W254&lt;75),0.25,0)+IF(AND(V254&lt;40,W254&gt;=75),0.17,0)+IF(AND(V254&gt;=40,V254&lt;75,W254&lt;25),0.35,0)+IF(AND(V254&gt;=40,V254&lt;75,W254&gt;=25,W254&lt;65),0.25,0)+IF(AND(V254&gt;=40,V254&lt;75,W254&gt;=65,W254&lt;100),0.17,0)+IF(AND(V254&gt;=40,V254&lt;75,W254&gt;=100),0.1,0)+IF(AND(V254&gt;=75,W254&lt;25),0.35,0)+IF(AND(V254&gt;=75,W254&gt;=25,W254&lt;60),0.25,0)+IF(AND(V254&gt;=75,W254&gt;=60,W254&lt;95),0.17,0)+IF(AND(V254&gt;=75,W254&gt;=95),0.1,0),
IF(AF254="DoEVold15",IF(AND(V254&lt;=40,W254&lt;35),0.35,0)+IF(AND(V254&lt;=40,W254&gt;=35,W254&lt;75),0.25,0)+IF(AND(V254&lt;=40,W254&gt;=75,W254&lt;120),0.17,0)+IF(AND(V254&lt;=40,W254&gt;=120),0.15,0)+IF(AND(V254&gt;40,V254&lt;75,W254&lt;25),0.35,0)+IF(AND(V254&gt;=40,V254&lt;75,W254&gt;=25,W254&lt;65),0.25,0)+IF(AND(V254&gt;=40,V254&lt;75,W254&gt;=65,W254&lt;100),0.17,0)+IF(AND(V254&gt;=40,V254&lt;75,W254&gt;=100),0.1,0)+IF(AND(V254&gt;=75,W254&lt;25),0.35,0)+IF(AND(V254&gt;=75,W254&gt;=25,W254&lt;60),0.25,0)+IF(AND(V254&gt;=75,W254&gt;=60,W254&lt;95),0.17,0)+IF(AND(V254&gt;=75,W254&gt;=95),0.1,0),
IF(AF254="DoEVba",IF(AND(V254&lt;20,W254&lt;105),0.2,0)+IF(AND(V254&lt;20,W254&gt;=105),0.15,0)+IF(AND(V254&gt;=20,V254&lt;40,W254&lt;95),0.2,0)+IF(AND(V254&gt;=20,V254&lt;40,W254&gt;=95,W254&lt;150),0.15,0)+IF(AND(V254&gt;=20,V254&lt;40,W254&gt;=150),0.12,0)+IF(AND(V254&gt;=40,V254&lt;75,W254&lt;75),0.2,0)+IF(AND(V254&gt;=40,V254&lt;75,W254&gt;=75,W254&lt;120),0.15,0)+IF(AND(V254&gt;=40,V254&lt;75,W254&gt;=120),0.12,0)+IF(AND(V254&gt;=75,V254&lt;175,W254&lt;65),0.2,0)+IF(AND(V254&gt;=75,V254&lt;175,W254&gt;=65,W254&lt;110),0.15,0)+IF(AND(V254&gt;=75,V254&lt;175,W254&gt;=110),0.12,0)+IF(AND(V254&gt;=175,W254&lt;55),0.2,0)+IF(AND(V254&gt;=175,W254&gt;=55,W254&lt;95),0.15,0)+IF(AND(V254&gt;=175,W254&gt;=95),0.12,0),
IF(AF254="DoEVku",IF(AND(V254&lt;20,W254&lt;55),0.23,0)+IF(AND(V254&lt;20,W254&gt;=55,W254&lt;105),0.2,0)+IF(AND(V254&lt;20,W254&gt;=105),0.17,0)+IF(AND(V254&gt;=20,V254&lt;40,W254&lt;45),0.23,0)+IF(AND(V254&gt;=20,V254&lt;40,W254&gt;=45,W254&lt;95),0.2,0)+IF(AND(V254&gt;=20,V254&lt;40,W254&gt;=95,W254&lt;=150),0.17,0)+IF(AND(V254&gt;=20,V254&lt;40,W254&gt;=150),0.12,0)+IF(AND(V254&gt;=40,V254&lt;75,W254&lt;35),0.23,0)+IF(AND(V254&gt;=40,V254&lt;75,W254&gt;=35,W254&lt;75),0.2,0)+IF(AND(V254&gt;=40,V254&lt;75,W254&gt;=75,W254&lt;120),0.17,0)+IF(AND(V254&gt;=40,V254&lt;75,W254&gt;=120),0.12,0)+IF(AND(V254&gt;=75,V254&lt;175,W254&lt;35),0.23,0)+IF(AND(V254&gt;=75,V254&lt;=175,W254&gt;=35,W254&lt;65),0.2,0)+IF(AND(V254&gt;=75,V254&lt;=175,W254&gt;=65,W254&lt;110),0.17,0)+IF(AND(V254&gt;=75,V254&lt;=175,W254&gt;=110),0.12,0)+IF(AND(V254&gt;175,W254&lt;25),0.23,0)+IF(AND(V254&gt;175,W254&gt;=25,W254&lt;55),0.2,0)+IF(AND(V254&gt;175,W254&gt;=55,W254&lt;95),0.17,0)+IF(AND(V254&gt;175,W254&gt;=95),0.12,0),
IF(AF254="DoEVs1",IF(AND(V254&lt;20,W254&lt;55),0.3,0)+IF(AND(V254&lt;20,W254&gt;=55,W254&lt;105),0.23,0)+IF(AND(V254&lt;20,W254&gt;=105),0.17,0)+IF(AND(V254&gt;=20,V254&lt;40,W254&lt;45),0.3,0)+IF(AND(V254&gt;=20,V254&lt;40,W254&gt;=45,W254&lt;95),0.23,0)+IF(AND(V254&gt;=20,V254&lt;40,W254&gt;=95,W254&lt;=150),0.17,0)+IF(AND(V254&gt;=20,V254&lt;40,W254&gt;=150),0.12,0)+IF(AND(V254&gt;=40,V254&lt;75,W254&lt;35),0.3,0)+IF(AND(V254&gt;=40,V254&lt;75,W254&gt;=35,W254&lt;75),0.23,0)+IF(AND(V254&gt;=40,V254&lt;75,W254&gt;=75,W254&lt;120),0.17,0)+IF(AND(V254&gt;=40,V254&lt;75,W254&gt;=120),0.12,0)+IF(AND(V254&gt;=75,V254&lt;175,W254&lt;35),0.3,0)+IF(AND(V254&gt;=75,V254&lt;=175,W254&gt;=35,W254&lt;65),0.23,0)+IF(AND(V254&gt;=75,V254&lt;=175,W254&gt;=65,W254&lt;110),0.17,0)+IF(AND(V254&gt;=75,V254&lt;=175,W254&gt;=110),0.12,0)+IF(AND(V254&gt;175,W254&lt;25),0.3,0)+IF(AND(V254&gt;175,W254&gt;=25,W254&lt;55),0.23,0)+IF(AND(V254&gt;175,W254&gt;=55,W254&lt;95),0.17,0)+IF(AND(V254&gt;175,W254&gt;=95),0.12,0),
IF(AF254="DoEVsu",IF(AND(V254&lt;20,W254&lt;55),0.3,0)+IF(AND(V254&lt;20,W254&gt;=55,W254&lt;105),0.23,0)+IF(AND(V254&lt;20,W254&gt;=105),0.17,0)+IF(AND(V254&gt;=20,V254&lt;40,W254&lt;45),0.3,0)+IF(AND(V254&gt;=20,V254&lt;40,W254&gt;=45,W254&lt;95),0.23,0)+IF(AND(V254&gt;=20,V254&lt;40,W254&gt;=95,W254&lt;=250),0.17,0)+IF(AND(V254&gt;=20,V254&lt;40,W254&gt;=250),0.12,0)+IF(AND(V254&gt;=40,V254&lt;75,W254&lt;35),0.3,0)+IF(AND(V254&gt;=40,V254&lt;75,W254&gt;=35,W254&lt;75),0.23,0)+IF(AND(V254&gt;=40,V254&lt;75,W254&gt;=75,W254&lt;120),0.17,0)+IF(AND(V254&gt;=40,V254&lt;75,W254&gt;=120),0.12,0)+IF(AND(V254&gt;=75,V254&lt;175,W254&lt;35),0.3,0)+IF(AND(V254&gt;=75,V254&lt;=175,W254&gt;=35,W254&lt;65),0.23,0)+IF(AND(V254&gt;=75,V254&lt;=175,W254&gt;=65,W254&lt;110),0.17,0)+IF(AND(V254&gt;=75,V254&lt;=175,W254&gt;=110),0.12,0)+IF(AND(V254&gt;175,W254&lt;25),0.3,0)+IF(AND(V254&gt;175,W254&gt;=25,W254&lt;55),0.23,0)+IF(AND(V254&gt;175,W254&gt;=55,W254&lt;95),0.17,0)+IF(AND(V254&gt;175,W254&gt;=95),0.12,0),
IF(AF254="DoEVni",IF(AND(V254&lt;20,W254&lt;55),0.3,0)+IF(AND(V254&lt;20,W254&gt;=55,W254&lt;105),0.23,0)+IF(AND(V254&lt;20,W254&gt;=105),0.17,0)+IF(AND(V254&gt;=20,V254&lt;40,W254&lt;45),0.3,0)+IF(AND(V254&gt;=20,V254&lt;40,W254&gt;=45,W254&lt;95),0.23,0)+IF(AND(V254&gt;=20,V254&lt;40,W254&gt;=95,W254&lt;=200),0.17,0)+IF(AND(V254&gt;=20,V254&lt;40,W254&gt;=200),0.12,0)+IF(AND(V254&gt;=40,V254&lt;75,W254&lt;35),0.3,0)+IF(AND(V254&gt;=40,V254&lt;75,W254&gt;=35,W254&lt;75),0.23,0)+IF(AND(V254&gt;=40,V254&lt;75,W254&gt;=75,W254&lt;120),0.17,0)+IF(AND(V254&gt;=40,V254&lt;75,W254&gt;=120),0.12,0)+IF(AND(V254&gt;=75,V254&lt;175,W254&lt;35),0.3,0)+IF(AND(V254&gt;=75,V254&lt;=175,W254&gt;=35,W254&lt;65),0.23,0)+IF(AND(V254&gt;=75,V254&lt;=175,W254&gt;=65,W254&lt;110),0.17,0)+IF(AND(V254&gt;=75,V254&lt;=175,W254&gt;=110),0.12,0)+IF(AND(V254&gt;175,W254&lt;25),0.3,0)+IF(AND(V254&gt;175,W254&gt;=25,W254&lt;55),0.23,0)+IF(AND(V254&gt;175,W254&gt;=55,W254&lt;95),0.17,0)+IF(AND(V254&gt;175,W254&gt;=95),0.12,0),
IF(AF254="DoEVLo",IF(AND(V254&lt;20,W254&lt;55),0.25,0)+IF(AND(V254&lt;20,W254&gt;=55,W254&lt;105),0.2,0)+IF(AND(V254&lt;20,W254&gt;=105),0.15,0)+IF(AND(V254&gt;=20,V254&lt;40,W254&lt;45),0.25,0)+IF(AND(V254&gt;=20,V254&lt;40,W254&gt;=45,W254&lt;95),0.2,0)+IF(AND(V254&gt;=20,V254&lt;40,W254&gt;=95),0.15,0)+IF(AND(V254&gt;=40,V254&lt;75,W254&lt;35),0.25,0)+IF(AND(V254&gt;=40,V254&lt;75,W254&gt;=35,W254&lt;75),0.2,0)+IF(AND(V254&gt;=40,V254&lt;75,W254&gt;=75,W254&lt;120),0.15,0)+IF(AND(V254&gt;=40,V254&lt;75,W254&gt;=120),0.1,0)+IF(AND(V254&gt;=75,V254&lt;175,W254&lt;35),0.25,0)+IF(AND(V254&gt;=75,V254&lt;=175,W254&gt;=35,W254&lt;65),0.2,0)+IF(AND(V254&gt;=75,V254&lt;=175,W254&gt;=65,W254&lt;110),0.15,0)+IF(AND(V254&gt;=75,V254&lt;=175,W254&gt;=110),0.1,0)+IF(AND(V254&gt;175,W254&lt;25),0.25,0)+IF(AND(V254&gt;175,W254&gt;=25,W254&lt;55),0.2,0)+IF(AND(V254&gt;175,W254&gt;=55,W254&lt;95),0.15,0)+IF(AND(V254&gt;175,W254&gt;=95),0.1,0))))))))))))))))</f>
        <v>0.3</v>
      </c>
      <c r="Y254" s="30">
        <f>IF(AG254="None",0,IF(AG254="Fix5",0.05,IF(AG254="Fix3.75",0.0375,IF(AG254="Fix10",0.1,IF(AG254="Fix3",0.03,0)))))</f>
        <v>0</v>
      </c>
      <c r="Z254" s="35">
        <f>T254-AA254-AB254</f>
        <v>6.3000000000000007</v>
      </c>
      <c r="AA254" s="29">
        <f>IF(AD254="EUR",((T254-R254)*X254)*U254+(R254*X254),(T254*X254))</f>
        <v>2.6999999999999997</v>
      </c>
      <c r="AB254" s="36">
        <f>IF(AD254="EUR",((T254-R254)*Y254)*U254+(R254*Y254),(T254*Y254))</f>
        <v>0</v>
      </c>
      <c r="AC254" s="37" t="b">
        <v>1</v>
      </c>
      <c r="AD254" s="37" t="s">
        <v>38</v>
      </c>
      <c r="AE254" s="37" t="s">
        <v>38</v>
      </c>
      <c r="AF254" s="37" t="str">
        <f t="array" ref="AF254">INDEX('Deal Info'!D:D, MATCH(A254,'Deal Info'!A:A, 0))</f>
        <v>SF</v>
      </c>
      <c r="AG254" s="38" t="str">
        <f t="array" ref="AG254">INDEX('Deal Info'!G:G, MATCH(A254,'Deal Info'!A:A, 0))</f>
        <v>None</v>
      </c>
    </row>
    <row r="255" spans="1:33" ht="14.25" hidden="1" x14ac:dyDescent="0.2">
      <c r="A255" s="18" t="str">
        <f t="array" ref="A255">IF(G255='Room Info'!$B$1, INDEX('Room Info'!$A$2:$A2446, MATCH(B255,'Room Info'!$B$2:$B2446, 0)),IF(G255='Room Info'!$C$1, INDEX('Room Info'!$A$2:$A2446, MATCH(B255,'Room Info'!$C$2:$C2446, 0)),IF(G255='Room Info'!$D$1, INDEX('Room Info'!$A$2:$A2446, MATCH(B255,'Room Info'!$D$2:$D2446, 0)),IF(G255='Room Info'!$E$1, INDEX('Room Info'!$A$2:$A2446, MATCH(B255,'Room Info'!$E$2:$E2446, 0)),IF(G255='Room Info'!$F$1, INDEX('Room Info'!$A$2:$A2446, MATCH(B255,'Room Info'!$F$2:$F2446, 0)),IF(G255='Room Info'!$H$1, INDEX('Room Info'!$A$2:$A2446, MATCH(B255,'Room Info'!$H$2:$H2446, 0)),IF(G255='Room Info'!$G$1, INDEX('Room Info'!$A$2:$A2446, MATCH(B255,'Room Info'!$G$2:$G2446, 0)))))))))</f>
        <v>Mexanuk_AV</v>
      </c>
      <c r="B255" s="45" t="s">
        <v>113</v>
      </c>
      <c r="C255" s="92">
        <v>44368</v>
      </c>
      <c r="D255" s="46">
        <v>44397</v>
      </c>
      <c r="E255" s="47">
        <v>44378</v>
      </c>
      <c r="F255" s="48" t="s">
        <v>34</v>
      </c>
      <c r="G255" s="45" t="s">
        <v>35</v>
      </c>
      <c r="H255" s="49" t="s">
        <v>39</v>
      </c>
      <c r="I255" s="49" t="s">
        <v>37</v>
      </c>
      <c r="J255" s="70">
        <v>5</v>
      </c>
      <c r="K255" s="71">
        <v>1</v>
      </c>
      <c r="L255" s="72">
        <v>5</v>
      </c>
      <c r="M255" s="62"/>
      <c r="N255" s="28">
        <f>K255*J255</f>
        <v>5</v>
      </c>
      <c r="O255" s="45">
        <v>474</v>
      </c>
      <c r="P255" s="29">
        <v>474</v>
      </c>
      <c r="Q255" s="55"/>
      <c r="R255" s="31">
        <f>M255+Q255</f>
        <v>0</v>
      </c>
      <c r="S255" s="73">
        <v>4</v>
      </c>
      <c r="T255" s="32">
        <f>R255+S255+IF(F255="Without EV deal",L255,0)</f>
        <v>4</v>
      </c>
      <c r="U255" s="57">
        <v>1</v>
      </c>
      <c r="V255" s="69">
        <v>9.9966777408637881</v>
      </c>
      <c r="W255" s="69">
        <v>58.019275506812889</v>
      </c>
      <c r="X255" s="30">
        <f>IF(AF255="DoEV",IF(AND(V255&lt;20,W255&lt;55),0.3,0)+IF(AND(V255&lt;20,W255&gt;=55,W255&lt;105),0.23,0)+IF(AND(V255&lt;20,W255&gt;=105),0.17,0)+IF(AND(V255&gt;=20,V255&lt;40,W255&lt;45),0.3,0)+IF(AND(V255&gt;=20,V255&lt;40,W255&gt;=45,W255&lt;95),0.23,0)+IF(AND(V255&gt;=20,V255&lt;40,W255&gt;=95),0.17,0)+IF(AND(V255&gt;=40,V255&lt;75,W255&lt;35),0.3,0)+IF(AND(V255&gt;=40,V255&lt;75,W255&gt;=35,W255&lt;75),0.23,0)+IF(AND(V255&gt;=40,V255&lt;75,W255&gt;=75,W255&lt;120),0.17,0)+IF(AND(V255&gt;=40,V255&lt;75,W255&gt;=120),0.12,0)+IF(AND(V255&gt;=75,V255&lt;175,W255&lt;35),0.3,0)+IF(AND(V255&gt;=75,V255&lt;=175,W255&gt;=35,W255&lt;65),0.23,0)+IF(AND(V255&gt;=75,V255&lt;=175,W255&gt;=65,W255&lt;110),0.17,0)+IF(AND(V255&gt;=75,V255&lt;=175,W255&gt;=110),0.12,0)+IF(AND(V255&gt;175,W255&lt;25),0.3,0)+IF(AND(V255&gt;175,W255&gt;=25,W255&lt;55),0.23,0)+IF(AND(V255&gt;175,W255&gt;=55,W255&lt;95),0.17,0)+IF(AND(V255&gt;175,W255&gt;=95),0.12,0),
IF(AF255="Fix15",0.15,
IF(AF255="Fix11.25",0.1125,
IF(AF255="Fix10",0.1,
IF(AF255="Fix9",0.09,
IF(AF255="DoEV2017",IF(AND(W255&lt;74),0.2,0)+IF(AND(W255&gt;=74),0.17,0),
IF(AF255="SF",IF(AND(V255&lt;20,W255&lt;89),0.3,0)+IF(AND(V255&lt;20,W255&gt;=89),0.25,0)+IF(AND(V255&gt;=20,V255&lt;40,W255&lt;74),0.3,0)+IF(AND(V255&gt;=20,V255&lt;40,W255&gt;=75),0.22,0)+IF(AND(V255&gt;=40,V255&lt;75,W255&lt;75),0.26,0)+IF(AND(V255&gt;=40,V255&lt;75,W255&gt;=75),0.22,0)+IF(V255&gt;=75,0.22,0),
IF(AF255="DoEVold",IF(AND(V255&lt;40,W255&lt;35),0.35,0)+IF(AND(V255&lt;40,W255&gt;=35,W255&lt;75),0.25,0)+IF(AND(V255&lt;40,W255&gt;=75),0.17,0)+IF(AND(V255&gt;=40,V255&lt;75,W255&lt;25),0.35,0)+IF(AND(V255&gt;=40,V255&lt;75,W255&gt;=25,W255&lt;65),0.25,0)+IF(AND(V255&gt;=40,V255&lt;75,W255&gt;=65,W255&lt;100),0.17,0)+IF(AND(V255&gt;=40,V255&lt;75,W255&gt;=100),0.1,0)+IF(AND(V255&gt;=75,W255&lt;25),0.35,0)+IF(AND(V255&gt;=75,W255&gt;=25,W255&lt;60),0.25,0)+IF(AND(V255&gt;=75,W255&gt;=60,W255&lt;95),0.17,0)+IF(AND(V255&gt;=75,W255&gt;=95),0.1,0),
IF(AF255="DoEVold15",IF(AND(V255&lt;=40,W255&lt;35),0.35,0)+IF(AND(V255&lt;=40,W255&gt;=35,W255&lt;75),0.25,0)+IF(AND(V255&lt;=40,W255&gt;=75,W255&lt;120),0.17,0)+IF(AND(V255&lt;=40,W255&gt;=120),0.15,0)+IF(AND(V255&gt;40,V255&lt;75,W255&lt;25),0.35,0)+IF(AND(V255&gt;=40,V255&lt;75,W255&gt;=25,W255&lt;65),0.25,0)+IF(AND(V255&gt;=40,V255&lt;75,W255&gt;=65,W255&lt;100),0.17,0)+IF(AND(V255&gt;=40,V255&lt;75,W255&gt;=100),0.1,0)+IF(AND(V255&gt;=75,W255&lt;25),0.35,0)+IF(AND(V255&gt;=75,W255&gt;=25,W255&lt;60),0.25,0)+IF(AND(V255&gt;=75,W255&gt;=60,W255&lt;95),0.17,0)+IF(AND(V255&gt;=75,W255&gt;=95),0.1,0),
IF(AF255="DoEVba",IF(AND(V255&lt;20,W255&lt;105),0.2,0)+IF(AND(V255&lt;20,W255&gt;=105),0.15,0)+IF(AND(V255&gt;=20,V255&lt;40,W255&lt;95),0.2,0)+IF(AND(V255&gt;=20,V255&lt;40,W255&gt;=95,W255&lt;150),0.15,0)+IF(AND(V255&gt;=20,V255&lt;40,W255&gt;=150),0.12,0)+IF(AND(V255&gt;=40,V255&lt;75,W255&lt;75),0.2,0)+IF(AND(V255&gt;=40,V255&lt;75,W255&gt;=75,W255&lt;120),0.15,0)+IF(AND(V255&gt;=40,V255&lt;75,W255&gt;=120),0.12,0)+IF(AND(V255&gt;=75,V255&lt;175,W255&lt;65),0.2,0)+IF(AND(V255&gt;=75,V255&lt;175,W255&gt;=65,W255&lt;110),0.15,0)+IF(AND(V255&gt;=75,V255&lt;175,W255&gt;=110),0.12,0)+IF(AND(V255&gt;=175,W255&lt;55),0.2,0)+IF(AND(V255&gt;=175,W255&gt;=55,W255&lt;95),0.15,0)+IF(AND(V255&gt;=175,W255&gt;=95),0.12,0),
IF(AF255="DoEVku",IF(AND(V255&lt;20,W255&lt;55),0.23,0)+IF(AND(V255&lt;20,W255&gt;=55,W255&lt;105),0.2,0)+IF(AND(V255&lt;20,W255&gt;=105),0.17,0)+IF(AND(V255&gt;=20,V255&lt;40,W255&lt;45),0.23,0)+IF(AND(V255&gt;=20,V255&lt;40,W255&gt;=45,W255&lt;95),0.2,0)+IF(AND(V255&gt;=20,V255&lt;40,W255&gt;=95,W255&lt;=150),0.17,0)+IF(AND(V255&gt;=20,V255&lt;40,W255&gt;=150),0.12,0)+IF(AND(V255&gt;=40,V255&lt;75,W255&lt;35),0.23,0)+IF(AND(V255&gt;=40,V255&lt;75,W255&gt;=35,W255&lt;75),0.2,0)+IF(AND(V255&gt;=40,V255&lt;75,W255&gt;=75,W255&lt;120),0.17,0)+IF(AND(V255&gt;=40,V255&lt;75,W255&gt;=120),0.12,0)+IF(AND(V255&gt;=75,V255&lt;175,W255&lt;35),0.23,0)+IF(AND(V255&gt;=75,V255&lt;=175,W255&gt;=35,W255&lt;65),0.2,0)+IF(AND(V255&gt;=75,V255&lt;=175,W255&gt;=65,W255&lt;110),0.17,0)+IF(AND(V255&gt;=75,V255&lt;=175,W255&gt;=110),0.12,0)+IF(AND(V255&gt;175,W255&lt;25),0.23,0)+IF(AND(V255&gt;175,W255&gt;=25,W255&lt;55),0.2,0)+IF(AND(V255&gt;175,W255&gt;=55,W255&lt;95),0.17,0)+IF(AND(V255&gt;175,W255&gt;=95),0.12,0),
IF(AF255="DoEVs1",IF(AND(V255&lt;20,W255&lt;55),0.3,0)+IF(AND(V255&lt;20,W255&gt;=55,W255&lt;105),0.23,0)+IF(AND(V255&lt;20,W255&gt;=105),0.17,0)+IF(AND(V255&gt;=20,V255&lt;40,W255&lt;45),0.3,0)+IF(AND(V255&gt;=20,V255&lt;40,W255&gt;=45,W255&lt;95),0.23,0)+IF(AND(V255&gt;=20,V255&lt;40,W255&gt;=95,W255&lt;=150),0.17,0)+IF(AND(V255&gt;=20,V255&lt;40,W255&gt;=150),0.12,0)+IF(AND(V255&gt;=40,V255&lt;75,W255&lt;35),0.3,0)+IF(AND(V255&gt;=40,V255&lt;75,W255&gt;=35,W255&lt;75),0.23,0)+IF(AND(V255&gt;=40,V255&lt;75,W255&gt;=75,W255&lt;120),0.17,0)+IF(AND(V255&gt;=40,V255&lt;75,W255&gt;=120),0.12,0)+IF(AND(V255&gt;=75,V255&lt;175,W255&lt;35),0.3,0)+IF(AND(V255&gt;=75,V255&lt;=175,W255&gt;=35,W255&lt;65),0.23,0)+IF(AND(V255&gt;=75,V255&lt;=175,W255&gt;=65,W255&lt;110),0.17,0)+IF(AND(V255&gt;=75,V255&lt;=175,W255&gt;=110),0.12,0)+IF(AND(V255&gt;175,W255&lt;25),0.3,0)+IF(AND(V255&gt;175,W255&gt;=25,W255&lt;55),0.23,0)+IF(AND(V255&gt;175,W255&gt;=55,W255&lt;95),0.17,0)+IF(AND(V255&gt;175,W255&gt;=95),0.12,0),
IF(AF255="DoEVsu",IF(AND(V255&lt;20,W255&lt;55),0.3,0)+IF(AND(V255&lt;20,W255&gt;=55,W255&lt;105),0.23,0)+IF(AND(V255&lt;20,W255&gt;=105),0.17,0)+IF(AND(V255&gt;=20,V255&lt;40,W255&lt;45),0.3,0)+IF(AND(V255&gt;=20,V255&lt;40,W255&gt;=45,W255&lt;95),0.23,0)+IF(AND(V255&gt;=20,V255&lt;40,W255&gt;=95,W255&lt;=250),0.17,0)+IF(AND(V255&gt;=20,V255&lt;40,W255&gt;=250),0.12,0)+IF(AND(V255&gt;=40,V255&lt;75,W255&lt;35),0.3,0)+IF(AND(V255&gt;=40,V255&lt;75,W255&gt;=35,W255&lt;75),0.23,0)+IF(AND(V255&gt;=40,V255&lt;75,W255&gt;=75,W255&lt;120),0.17,0)+IF(AND(V255&gt;=40,V255&lt;75,W255&gt;=120),0.12,0)+IF(AND(V255&gt;=75,V255&lt;175,W255&lt;35),0.3,0)+IF(AND(V255&gt;=75,V255&lt;=175,W255&gt;=35,W255&lt;65),0.23,0)+IF(AND(V255&gt;=75,V255&lt;=175,W255&gt;=65,W255&lt;110),0.17,0)+IF(AND(V255&gt;=75,V255&lt;=175,W255&gt;=110),0.12,0)+IF(AND(V255&gt;175,W255&lt;25),0.3,0)+IF(AND(V255&gt;175,W255&gt;=25,W255&lt;55),0.23,0)+IF(AND(V255&gt;175,W255&gt;=55,W255&lt;95),0.17,0)+IF(AND(V255&gt;175,W255&gt;=95),0.12,0),
IF(AF255="DoEVni",IF(AND(V255&lt;20,W255&lt;55),0.3,0)+IF(AND(V255&lt;20,W255&gt;=55,W255&lt;105),0.23,0)+IF(AND(V255&lt;20,W255&gt;=105),0.17,0)+IF(AND(V255&gt;=20,V255&lt;40,W255&lt;45),0.3,0)+IF(AND(V255&gt;=20,V255&lt;40,W255&gt;=45,W255&lt;95),0.23,0)+IF(AND(V255&gt;=20,V255&lt;40,W255&gt;=95,W255&lt;=200),0.17,0)+IF(AND(V255&gt;=20,V255&lt;40,W255&gt;=200),0.12,0)+IF(AND(V255&gt;=40,V255&lt;75,W255&lt;35),0.3,0)+IF(AND(V255&gt;=40,V255&lt;75,W255&gt;=35,W255&lt;75),0.23,0)+IF(AND(V255&gt;=40,V255&lt;75,W255&gt;=75,W255&lt;120),0.17,0)+IF(AND(V255&gt;=40,V255&lt;75,W255&gt;=120),0.12,0)+IF(AND(V255&gt;=75,V255&lt;175,W255&lt;35),0.3,0)+IF(AND(V255&gt;=75,V255&lt;=175,W255&gt;=35,W255&lt;65),0.23,0)+IF(AND(V255&gt;=75,V255&lt;=175,W255&gt;=65,W255&lt;110),0.17,0)+IF(AND(V255&gt;=75,V255&lt;=175,W255&gt;=110),0.12,0)+IF(AND(V255&gt;175,W255&lt;25),0.3,0)+IF(AND(V255&gt;175,W255&gt;=25,W255&lt;55),0.23,0)+IF(AND(V255&gt;175,W255&gt;=55,W255&lt;95),0.17,0)+IF(AND(V255&gt;175,W255&gt;=95),0.12,0),
IF(AF255="DoEVLo",IF(AND(V255&lt;20,W255&lt;55),0.25,0)+IF(AND(V255&lt;20,W255&gt;=55,W255&lt;105),0.2,0)+IF(AND(V255&lt;20,W255&gt;=105),0.15,0)+IF(AND(V255&gt;=20,V255&lt;40,W255&lt;45),0.25,0)+IF(AND(V255&gt;=20,V255&lt;40,W255&gt;=45,W255&lt;95),0.2,0)+IF(AND(V255&gt;=20,V255&lt;40,W255&gt;=95),0.15,0)+IF(AND(V255&gt;=40,V255&lt;75,W255&lt;35),0.25,0)+IF(AND(V255&gt;=40,V255&lt;75,W255&gt;=35,W255&lt;75),0.2,0)+IF(AND(V255&gt;=40,V255&lt;75,W255&gt;=75,W255&lt;120),0.15,0)+IF(AND(V255&gt;=40,V255&lt;75,W255&gt;=120),0.1,0)+IF(AND(V255&gt;=75,V255&lt;175,W255&lt;35),0.25,0)+IF(AND(V255&gt;=75,V255&lt;=175,W255&gt;=35,W255&lt;65),0.2,0)+IF(AND(V255&gt;=75,V255&lt;=175,W255&gt;=65,W255&lt;110),0.15,0)+IF(AND(V255&gt;=75,V255&lt;=175,W255&gt;=110),0.1,0)+IF(AND(V255&gt;175,W255&lt;25),0.25,0)+IF(AND(V255&gt;175,W255&gt;=25,W255&lt;55),0.2,0)+IF(AND(V255&gt;175,W255&gt;=55,W255&lt;95),0.15,0)+IF(AND(V255&gt;175,W255&gt;=95),0.1,0))))))))))))))))</f>
        <v>0.3</v>
      </c>
      <c r="Y255" s="30">
        <f>IF(AG255="None",0,IF(AG255="Fix5",0.05,IF(AG255="Fix3.75",0.0375,IF(AG255="Fix10",0.1,IF(AG255="Fix3",0.03,0)))))</f>
        <v>0</v>
      </c>
      <c r="Z255" s="35">
        <f>T255-AA255-AB255</f>
        <v>2.8</v>
      </c>
      <c r="AA255" s="29">
        <f>IF(AD255="EUR",((T255-R255)*X255)*U255+(R255*X255),(T255*X255))</f>
        <v>1.2</v>
      </c>
      <c r="AB255" s="36">
        <f>IF(AD255="EUR",((T255-R255)*Y255)*U255+(R255*Y255),(T255*Y255))</f>
        <v>0</v>
      </c>
      <c r="AC255" s="37" t="b">
        <v>1</v>
      </c>
      <c r="AD255" s="37" t="s">
        <v>38</v>
      </c>
      <c r="AE255" s="37" t="s">
        <v>38</v>
      </c>
      <c r="AF255" s="37" t="str">
        <f t="array" ref="AF255">INDEX('Deal Info'!D:D, MATCH(A255,'Deal Info'!A:A, 0))</f>
        <v>SF</v>
      </c>
      <c r="AG255" s="38" t="str">
        <f t="array" ref="AG255">INDEX('Deal Info'!G:G, MATCH(A255,'Deal Info'!A:A, 0))</f>
        <v>None</v>
      </c>
    </row>
    <row r="256" spans="1:33" ht="14.25" hidden="1" x14ac:dyDescent="0.2">
      <c r="A256" s="18" t="str">
        <f t="array" ref="A256">IF(G256='Room Info'!$B$1, INDEX('Room Info'!$A$2:$A2446, MATCH(B256,'Room Info'!$B$2:$B2446, 0)),IF(G256='Room Info'!$C$1, INDEX('Room Info'!$A$2:$A2446, MATCH(B256,'Room Info'!$C$2:$C2446, 0)),IF(G256='Room Info'!$D$1, INDEX('Room Info'!$A$2:$A2446, MATCH(B256,'Room Info'!$D$2:$D2446, 0)),IF(G256='Room Info'!$E$1, INDEX('Room Info'!$A$2:$A2446, MATCH(B256,'Room Info'!$E$2:$E2446, 0)),IF(G256='Room Info'!$F$1, INDEX('Room Info'!$A$2:$A2446, MATCH(B256,'Room Info'!$F$2:$F2446, 0)),IF(G256='Room Info'!$H$1, INDEX('Room Info'!$A$2:$A2446, MATCH(B256,'Room Info'!$H$2:$H2446, 0)),IF(G256='Room Info'!$G$1, INDEX('Room Info'!$A$2:$A2446, MATCH(B256,'Room Info'!$G$2:$G2446, 0)))))))))</f>
        <v>Mexanuk_AV</v>
      </c>
      <c r="B256" s="45" t="s">
        <v>113</v>
      </c>
      <c r="C256" s="92">
        <v>44368</v>
      </c>
      <c r="D256" s="46">
        <v>44397</v>
      </c>
      <c r="E256" s="47">
        <v>44378</v>
      </c>
      <c r="F256" s="48" t="s">
        <v>34</v>
      </c>
      <c r="G256" s="45" t="s">
        <v>35</v>
      </c>
      <c r="H256" s="49" t="s">
        <v>40</v>
      </c>
      <c r="I256" s="49" t="s">
        <v>37</v>
      </c>
      <c r="J256" s="70">
        <v>10</v>
      </c>
      <c r="K256" s="71">
        <v>1504</v>
      </c>
      <c r="L256" s="72">
        <v>310</v>
      </c>
      <c r="M256" s="53">
        <v>284</v>
      </c>
      <c r="N256" s="28">
        <f>K256*J256</f>
        <v>15040</v>
      </c>
      <c r="O256" s="45">
        <v>77133</v>
      </c>
      <c r="P256" s="29">
        <v>51.285239359999998</v>
      </c>
      <c r="Q256" s="55"/>
      <c r="R256" s="31">
        <f>M256+Q256</f>
        <v>284</v>
      </c>
      <c r="S256" s="73">
        <v>292</v>
      </c>
      <c r="T256" s="32">
        <f>R256+S256+IF(F256="Without EV deal",L256,0)</f>
        <v>576</v>
      </c>
      <c r="U256" s="57">
        <v>1</v>
      </c>
      <c r="V256" s="69">
        <v>9.9966777408637881</v>
      </c>
      <c r="W256" s="69">
        <v>58.019275506812889</v>
      </c>
      <c r="X256" s="30">
        <f>IF(AF256="DoEV",IF(AND(V256&lt;20,W256&lt;55),0.3,0)+IF(AND(V256&lt;20,W256&gt;=55,W256&lt;105),0.23,0)+IF(AND(V256&lt;20,W256&gt;=105),0.17,0)+IF(AND(V256&gt;=20,V256&lt;40,W256&lt;45),0.3,0)+IF(AND(V256&gt;=20,V256&lt;40,W256&gt;=45,W256&lt;95),0.23,0)+IF(AND(V256&gt;=20,V256&lt;40,W256&gt;=95),0.17,0)+IF(AND(V256&gt;=40,V256&lt;75,W256&lt;35),0.3,0)+IF(AND(V256&gt;=40,V256&lt;75,W256&gt;=35,W256&lt;75),0.23,0)+IF(AND(V256&gt;=40,V256&lt;75,W256&gt;=75,W256&lt;120),0.17,0)+IF(AND(V256&gt;=40,V256&lt;75,W256&gt;=120),0.12,0)+IF(AND(V256&gt;=75,V256&lt;175,W256&lt;35),0.3,0)+IF(AND(V256&gt;=75,V256&lt;=175,W256&gt;=35,W256&lt;65),0.23,0)+IF(AND(V256&gt;=75,V256&lt;=175,W256&gt;=65,W256&lt;110),0.17,0)+IF(AND(V256&gt;=75,V256&lt;=175,W256&gt;=110),0.12,0)+IF(AND(V256&gt;175,W256&lt;25),0.3,0)+IF(AND(V256&gt;175,W256&gt;=25,W256&lt;55),0.23,0)+IF(AND(V256&gt;175,W256&gt;=55,W256&lt;95),0.17,0)+IF(AND(V256&gt;175,W256&gt;=95),0.12,0),
IF(AF256="Fix15",0.15,
IF(AF256="Fix11.25",0.1125,
IF(AF256="Fix10",0.1,
IF(AF256="Fix9",0.09,
IF(AF256="DoEV2017",IF(AND(W256&lt;74),0.2,0)+IF(AND(W256&gt;=74),0.17,0),
IF(AF256="SF",IF(AND(V256&lt;20,W256&lt;89),0.3,0)+IF(AND(V256&lt;20,W256&gt;=89),0.25,0)+IF(AND(V256&gt;=20,V256&lt;40,W256&lt;74),0.3,0)+IF(AND(V256&gt;=20,V256&lt;40,W256&gt;=75),0.22,0)+IF(AND(V256&gt;=40,V256&lt;75,W256&lt;75),0.26,0)+IF(AND(V256&gt;=40,V256&lt;75,W256&gt;=75),0.22,0)+IF(V256&gt;=75,0.22,0),
IF(AF256="DoEVold",IF(AND(V256&lt;40,W256&lt;35),0.35,0)+IF(AND(V256&lt;40,W256&gt;=35,W256&lt;75),0.25,0)+IF(AND(V256&lt;40,W256&gt;=75),0.17,0)+IF(AND(V256&gt;=40,V256&lt;75,W256&lt;25),0.35,0)+IF(AND(V256&gt;=40,V256&lt;75,W256&gt;=25,W256&lt;65),0.25,0)+IF(AND(V256&gt;=40,V256&lt;75,W256&gt;=65,W256&lt;100),0.17,0)+IF(AND(V256&gt;=40,V256&lt;75,W256&gt;=100),0.1,0)+IF(AND(V256&gt;=75,W256&lt;25),0.35,0)+IF(AND(V256&gt;=75,W256&gt;=25,W256&lt;60),0.25,0)+IF(AND(V256&gt;=75,W256&gt;=60,W256&lt;95),0.17,0)+IF(AND(V256&gt;=75,W256&gt;=95),0.1,0),
IF(AF256="DoEVold15",IF(AND(V256&lt;=40,W256&lt;35),0.35,0)+IF(AND(V256&lt;=40,W256&gt;=35,W256&lt;75),0.25,0)+IF(AND(V256&lt;=40,W256&gt;=75,W256&lt;120),0.17,0)+IF(AND(V256&lt;=40,W256&gt;=120),0.15,0)+IF(AND(V256&gt;40,V256&lt;75,W256&lt;25),0.35,0)+IF(AND(V256&gt;=40,V256&lt;75,W256&gt;=25,W256&lt;65),0.25,0)+IF(AND(V256&gt;=40,V256&lt;75,W256&gt;=65,W256&lt;100),0.17,0)+IF(AND(V256&gt;=40,V256&lt;75,W256&gt;=100),0.1,0)+IF(AND(V256&gt;=75,W256&lt;25),0.35,0)+IF(AND(V256&gt;=75,W256&gt;=25,W256&lt;60),0.25,0)+IF(AND(V256&gt;=75,W256&gt;=60,W256&lt;95),0.17,0)+IF(AND(V256&gt;=75,W256&gt;=95),0.1,0),
IF(AF256="DoEVba",IF(AND(V256&lt;20,W256&lt;105),0.2,0)+IF(AND(V256&lt;20,W256&gt;=105),0.15,0)+IF(AND(V256&gt;=20,V256&lt;40,W256&lt;95),0.2,0)+IF(AND(V256&gt;=20,V256&lt;40,W256&gt;=95,W256&lt;150),0.15,0)+IF(AND(V256&gt;=20,V256&lt;40,W256&gt;=150),0.12,0)+IF(AND(V256&gt;=40,V256&lt;75,W256&lt;75),0.2,0)+IF(AND(V256&gt;=40,V256&lt;75,W256&gt;=75,W256&lt;120),0.15,0)+IF(AND(V256&gt;=40,V256&lt;75,W256&gt;=120),0.12,0)+IF(AND(V256&gt;=75,V256&lt;175,W256&lt;65),0.2,0)+IF(AND(V256&gt;=75,V256&lt;175,W256&gt;=65,W256&lt;110),0.15,0)+IF(AND(V256&gt;=75,V256&lt;175,W256&gt;=110),0.12,0)+IF(AND(V256&gt;=175,W256&lt;55),0.2,0)+IF(AND(V256&gt;=175,W256&gt;=55,W256&lt;95),0.15,0)+IF(AND(V256&gt;=175,W256&gt;=95),0.12,0),
IF(AF256="DoEVku",IF(AND(V256&lt;20,W256&lt;55),0.23,0)+IF(AND(V256&lt;20,W256&gt;=55,W256&lt;105),0.2,0)+IF(AND(V256&lt;20,W256&gt;=105),0.17,0)+IF(AND(V256&gt;=20,V256&lt;40,W256&lt;45),0.23,0)+IF(AND(V256&gt;=20,V256&lt;40,W256&gt;=45,W256&lt;95),0.2,0)+IF(AND(V256&gt;=20,V256&lt;40,W256&gt;=95,W256&lt;=150),0.17,0)+IF(AND(V256&gt;=20,V256&lt;40,W256&gt;=150),0.12,0)+IF(AND(V256&gt;=40,V256&lt;75,W256&lt;35),0.23,0)+IF(AND(V256&gt;=40,V256&lt;75,W256&gt;=35,W256&lt;75),0.2,0)+IF(AND(V256&gt;=40,V256&lt;75,W256&gt;=75,W256&lt;120),0.17,0)+IF(AND(V256&gt;=40,V256&lt;75,W256&gt;=120),0.12,0)+IF(AND(V256&gt;=75,V256&lt;175,W256&lt;35),0.23,0)+IF(AND(V256&gt;=75,V256&lt;=175,W256&gt;=35,W256&lt;65),0.2,0)+IF(AND(V256&gt;=75,V256&lt;=175,W256&gt;=65,W256&lt;110),0.17,0)+IF(AND(V256&gt;=75,V256&lt;=175,W256&gt;=110),0.12,0)+IF(AND(V256&gt;175,W256&lt;25),0.23,0)+IF(AND(V256&gt;175,W256&gt;=25,W256&lt;55),0.2,0)+IF(AND(V256&gt;175,W256&gt;=55,W256&lt;95),0.17,0)+IF(AND(V256&gt;175,W256&gt;=95),0.12,0),
IF(AF256="DoEVs1",IF(AND(V256&lt;20,W256&lt;55),0.3,0)+IF(AND(V256&lt;20,W256&gt;=55,W256&lt;105),0.23,0)+IF(AND(V256&lt;20,W256&gt;=105),0.17,0)+IF(AND(V256&gt;=20,V256&lt;40,W256&lt;45),0.3,0)+IF(AND(V256&gt;=20,V256&lt;40,W256&gt;=45,W256&lt;95),0.23,0)+IF(AND(V256&gt;=20,V256&lt;40,W256&gt;=95,W256&lt;=150),0.17,0)+IF(AND(V256&gt;=20,V256&lt;40,W256&gt;=150),0.12,0)+IF(AND(V256&gt;=40,V256&lt;75,W256&lt;35),0.3,0)+IF(AND(V256&gt;=40,V256&lt;75,W256&gt;=35,W256&lt;75),0.23,0)+IF(AND(V256&gt;=40,V256&lt;75,W256&gt;=75,W256&lt;120),0.17,0)+IF(AND(V256&gt;=40,V256&lt;75,W256&gt;=120),0.12,0)+IF(AND(V256&gt;=75,V256&lt;175,W256&lt;35),0.3,0)+IF(AND(V256&gt;=75,V256&lt;=175,W256&gt;=35,W256&lt;65),0.23,0)+IF(AND(V256&gt;=75,V256&lt;=175,W256&gt;=65,W256&lt;110),0.17,0)+IF(AND(V256&gt;=75,V256&lt;=175,W256&gt;=110),0.12,0)+IF(AND(V256&gt;175,W256&lt;25),0.3,0)+IF(AND(V256&gt;175,W256&gt;=25,W256&lt;55),0.23,0)+IF(AND(V256&gt;175,W256&gt;=55,W256&lt;95),0.17,0)+IF(AND(V256&gt;175,W256&gt;=95),0.12,0),
IF(AF256="DoEVsu",IF(AND(V256&lt;20,W256&lt;55),0.3,0)+IF(AND(V256&lt;20,W256&gt;=55,W256&lt;105),0.23,0)+IF(AND(V256&lt;20,W256&gt;=105),0.17,0)+IF(AND(V256&gt;=20,V256&lt;40,W256&lt;45),0.3,0)+IF(AND(V256&gt;=20,V256&lt;40,W256&gt;=45,W256&lt;95),0.23,0)+IF(AND(V256&gt;=20,V256&lt;40,W256&gt;=95,W256&lt;=250),0.17,0)+IF(AND(V256&gt;=20,V256&lt;40,W256&gt;=250),0.12,0)+IF(AND(V256&gt;=40,V256&lt;75,W256&lt;35),0.3,0)+IF(AND(V256&gt;=40,V256&lt;75,W256&gt;=35,W256&lt;75),0.23,0)+IF(AND(V256&gt;=40,V256&lt;75,W256&gt;=75,W256&lt;120),0.17,0)+IF(AND(V256&gt;=40,V256&lt;75,W256&gt;=120),0.12,0)+IF(AND(V256&gt;=75,V256&lt;175,W256&lt;35),0.3,0)+IF(AND(V256&gt;=75,V256&lt;=175,W256&gt;=35,W256&lt;65),0.23,0)+IF(AND(V256&gt;=75,V256&lt;=175,W256&gt;=65,W256&lt;110),0.17,0)+IF(AND(V256&gt;=75,V256&lt;=175,W256&gt;=110),0.12,0)+IF(AND(V256&gt;175,W256&lt;25),0.3,0)+IF(AND(V256&gt;175,W256&gt;=25,W256&lt;55),0.23,0)+IF(AND(V256&gt;175,W256&gt;=55,W256&lt;95),0.17,0)+IF(AND(V256&gt;175,W256&gt;=95),0.12,0),
IF(AF256="DoEVni",IF(AND(V256&lt;20,W256&lt;55),0.3,0)+IF(AND(V256&lt;20,W256&gt;=55,W256&lt;105),0.23,0)+IF(AND(V256&lt;20,W256&gt;=105),0.17,0)+IF(AND(V256&gt;=20,V256&lt;40,W256&lt;45),0.3,0)+IF(AND(V256&gt;=20,V256&lt;40,W256&gt;=45,W256&lt;95),0.23,0)+IF(AND(V256&gt;=20,V256&lt;40,W256&gt;=95,W256&lt;=200),0.17,0)+IF(AND(V256&gt;=20,V256&lt;40,W256&gt;=200),0.12,0)+IF(AND(V256&gt;=40,V256&lt;75,W256&lt;35),0.3,0)+IF(AND(V256&gt;=40,V256&lt;75,W256&gt;=35,W256&lt;75),0.23,0)+IF(AND(V256&gt;=40,V256&lt;75,W256&gt;=75,W256&lt;120),0.17,0)+IF(AND(V256&gt;=40,V256&lt;75,W256&gt;=120),0.12,0)+IF(AND(V256&gt;=75,V256&lt;175,W256&lt;35),0.3,0)+IF(AND(V256&gt;=75,V256&lt;=175,W256&gt;=35,W256&lt;65),0.23,0)+IF(AND(V256&gt;=75,V256&lt;=175,W256&gt;=65,W256&lt;110),0.17,0)+IF(AND(V256&gt;=75,V256&lt;=175,W256&gt;=110),0.12,0)+IF(AND(V256&gt;175,W256&lt;25),0.3,0)+IF(AND(V256&gt;175,W256&gt;=25,W256&lt;55),0.23,0)+IF(AND(V256&gt;175,W256&gt;=55,W256&lt;95),0.17,0)+IF(AND(V256&gt;175,W256&gt;=95),0.12,0),
IF(AF256="DoEVLo",IF(AND(V256&lt;20,W256&lt;55),0.25,0)+IF(AND(V256&lt;20,W256&gt;=55,W256&lt;105),0.2,0)+IF(AND(V256&lt;20,W256&gt;=105),0.15,0)+IF(AND(V256&gt;=20,V256&lt;40,W256&lt;45),0.25,0)+IF(AND(V256&gt;=20,V256&lt;40,W256&gt;=45,W256&lt;95),0.2,0)+IF(AND(V256&gt;=20,V256&lt;40,W256&gt;=95),0.15,0)+IF(AND(V256&gt;=40,V256&lt;75,W256&lt;35),0.25,0)+IF(AND(V256&gt;=40,V256&lt;75,W256&gt;=35,W256&lt;75),0.2,0)+IF(AND(V256&gt;=40,V256&lt;75,W256&gt;=75,W256&lt;120),0.15,0)+IF(AND(V256&gt;=40,V256&lt;75,W256&gt;=120),0.1,0)+IF(AND(V256&gt;=75,V256&lt;175,W256&lt;35),0.25,0)+IF(AND(V256&gt;=75,V256&lt;=175,W256&gt;=35,W256&lt;65),0.2,0)+IF(AND(V256&gt;=75,V256&lt;=175,W256&gt;=65,W256&lt;110),0.15,0)+IF(AND(V256&gt;=75,V256&lt;=175,W256&gt;=110),0.1,0)+IF(AND(V256&gt;175,W256&lt;25),0.25,0)+IF(AND(V256&gt;175,W256&gt;=25,W256&lt;55),0.2,0)+IF(AND(V256&gt;175,W256&gt;=55,W256&lt;95),0.15,0)+IF(AND(V256&gt;175,W256&gt;=95),0.1,0))))))))))))))))</f>
        <v>0.3</v>
      </c>
      <c r="Y256" s="30">
        <f>IF(AG256="None",0,IF(AG256="Fix5",0.05,IF(AG256="Fix3.75",0.0375,IF(AG256="Fix10",0.1,IF(AG256="Fix3",0.03,0)))))</f>
        <v>0</v>
      </c>
      <c r="Z256" s="35">
        <f>T256-AA256-AB256</f>
        <v>403.20000000000005</v>
      </c>
      <c r="AA256" s="29">
        <f>IF(AD256="EUR",((T256-R256)*X256)*U256+(R256*X256),(T256*X256))</f>
        <v>172.79999999999998</v>
      </c>
      <c r="AB256" s="36">
        <f>IF(AD256="EUR",((T256-R256)*Y256)*U256+(R256*Y256),(T256*Y256))</f>
        <v>0</v>
      </c>
      <c r="AC256" s="37" t="b">
        <v>1</v>
      </c>
      <c r="AD256" s="37" t="s">
        <v>38</v>
      </c>
      <c r="AE256" s="37" t="s">
        <v>38</v>
      </c>
      <c r="AF256" s="37" t="str">
        <f t="array" ref="AF256">INDEX('Deal Info'!D:D, MATCH(A256,'Deal Info'!A:A, 0))</f>
        <v>SF</v>
      </c>
      <c r="AG256" s="38" t="str">
        <f t="array" ref="AG256">INDEX('Deal Info'!G:G, MATCH(A256,'Deal Info'!A:A, 0))</f>
        <v>None</v>
      </c>
    </row>
    <row r="257" spans="1:33" ht="14.25" hidden="1" x14ac:dyDescent="0.2">
      <c r="A257" s="18" t="str">
        <f t="array" ref="A257">IF(G257='Room Info'!$B$1, INDEX('Room Info'!$A$2:$A2446, MATCH(B257,'Room Info'!$B$2:$B2446, 0)),IF(G257='Room Info'!$C$1, INDEX('Room Info'!$A$2:$A2446, MATCH(B257,'Room Info'!$C$2:$C2446, 0)),IF(G257='Room Info'!$D$1, INDEX('Room Info'!$A$2:$A2446, MATCH(B257,'Room Info'!$D$2:$D2446, 0)),IF(G257='Room Info'!$E$1, INDEX('Room Info'!$A$2:$A2446, MATCH(B257,'Room Info'!$E$2:$E2446, 0)),IF(G257='Room Info'!$F$1, INDEX('Room Info'!$A$2:$A2446, MATCH(B257,'Room Info'!$F$2:$F2446, 0)),IF(G257='Room Info'!$H$1, INDEX('Room Info'!$A$2:$A2446, MATCH(B257,'Room Info'!$H$2:$H2446, 0)),IF(G257='Room Info'!$G$1, INDEX('Room Info'!$A$2:$A2446, MATCH(B257,'Room Info'!$G$2:$G2446, 0)))))))))</f>
        <v>Mexanuk_AV</v>
      </c>
      <c r="B257" s="45" t="s">
        <v>113</v>
      </c>
      <c r="C257" s="92">
        <v>44398</v>
      </c>
      <c r="D257" s="46">
        <v>44428</v>
      </c>
      <c r="E257" s="47">
        <v>44409</v>
      </c>
      <c r="F257" s="48" t="s">
        <v>34</v>
      </c>
      <c r="G257" s="45" t="s">
        <v>35</v>
      </c>
      <c r="H257" s="49" t="s">
        <v>40</v>
      </c>
      <c r="I257" s="49" t="s">
        <v>37</v>
      </c>
      <c r="J257" s="70">
        <v>10</v>
      </c>
      <c r="K257" s="71">
        <v>1504</v>
      </c>
      <c r="L257" s="72">
        <v>-190</v>
      </c>
      <c r="M257" s="53">
        <v>52</v>
      </c>
      <c r="N257" s="28">
        <f>K257*J257</f>
        <v>15040</v>
      </c>
      <c r="O257" s="45">
        <v>55554</v>
      </c>
      <c r="P257" s="29">
        <v>36.9375</v>
      </c>
      <c r="Q257" s="55"/>
      <c r="R257" s="31">
        <f>M257+Q257</f>
        <v>52</v>
      </c>
      <c r="S257" s="73">
        <v>-141</v>
      </c>
      <c r="T257" s="32">
        <f>R257+S257+IF(F257="Without EV deal",L257,0)</f>
        <v>-89</v>
      </c>
      <c r="U257" s="57">
        <v>1</v>
      </c>
      <c r="V257" s="69">
        <v>10</v>
      </c>
      <c r="W257" s="58">
        <v>4.37</v>
      </c>
      <c r="X257" s="30">
        <f>IF(AF257="DoEV",IF(AND(V257&lt;20,W257&lt;55),0.3,0)+IF(AND(V257&lt;20,W257&gt;=55,W257&lt;105),0.23,0)+IF(AND(V257&lt;20,W257&gt;=105),0.17,0)+IF(AND(V257&gt;=20,V257&lt;40,W257&lt;45),0.3,0)+IF(AND(V257&gt;=20,V257&lt;40,W257&gt;=45,W257&lt;95),0.23,0)+IF(AND(V257&gt;=20,V257&lt;40,W257&gt;=95),0.17,0)+IF(AND(V257&gt;=40,V257&lt;75,W257&lt;35),0.3,0)+IF(AND(V257&gt;=40,V257&lt;75,W257&gt;=35,W257&lt;75),0.23,0)+IF(AND(V257&gt;=40,V257&lt;75,W257&gt;=75,W257&lt;120),0.17,0)+IF(AND(V257&gt;=40,V257&lt;75,W257&gt;=120),0.12,0)+IF(AND(V257&gt;=75,V257&lt;175,W257&lt;35),0.3,0)+IF(AND(V257&gt;=75,V257&lt;=175,W257&gt;=35,W257&lt;65),0.23,0)+IF(AND(V257&gt;=75,V257&lt;=175,W257&gt;=65,W257&lt;110),0.17,0)+IF(AND(V257&gt;=75,V257&lt;=175,W257&gt;=110),0.12,0)+IF(AND(V257&gt;175,W257&lt;25),0.3,0)+IF(AND(V257&gt;175,W257&gt;=25,W257&lt;55),0.23,0)+IF(AND(V257&gt;175,W257&gt;=55,W257&lt;95),0.17,0)+IF(AND(V257&gt;175,W257&gt;=95),0.12,0),
IF(AF257="Fix15",0.15,
IF(AF257="Fix11.25",0.1125,
IF(AF257="Fix10",0.1,
IF(AF257="Fix9",0.09,
IF(AF257="DoEV2017",IF(AND(W257&lt;74),0.2,0)+IF(AND(W257&gt;=74),0.17,0),
IF(AF257="SF",IF(AND(V257&lt;20,W257&lt;89),0.3,0)+IF(AND(V257&lt;20,W257&gt;=89),0.25,0)+IF(AND(V257&gt;=20,V257&lt;40,W257&lt;74),0.3,0)+IF(AND(V257&gt;=20,V257&lt;40,W257&gt;=75),0.22,0)+IF(AND(V257&gt;=40,V257&lt;75,W257&lt;75),0.26,0)+IF(AND(V257&gt;=40,V257&lt;75,W257&gt;=75),0.22,0)+IF(V257&gt;=75,0.22,0),
IF(AF257="DoEVold",IF(AND(V257&lt;40,W257&lt;35),0.35,0)+IF(AND(V257&lt;40,W257&gt;=35,W257&lt;75),0.25,0)+IF(AND(V257&lt;40,W257&gt;=75),0.17,0)+IF(AND(V257&gt;=40,V257&lt;75,W257&lt;25),0.35,0)+IF(AND(V257&gt;=40,V257&lt;75,W257&gt;=25,W257&lt;65),0.25,0)+IF(AND(V257&gt;=40,V257&lt;75,W257&gt;=65,W257&lt;100),0.17,0)+IF(AND(V257&gt;=40,V257&lt;75,W257&gt;=100),0.1,0)+IF(AND(V257&gt;=75,W257&lt;25),0.35,0)+IF(AND(V257&gt;=75,W257&gt;=25,W257&lt;60),0.25,0)+IF(AND(V257&gt;=75,W257&gt;=60,W257&lt;95),0.17,0)+IF(AND(V257&gt;=75,W257&gt;=95),0.1,0),
IF(AF257="DoEVold15",IF(AND(V257&lt;=40,W257&lt;35),0.35,0)+IF(AND(V257&lt;=40,W257&gt;=35,W257&lt;75),0.25,0)+IF(AND(V257&lt;=40,W257&gt;=75,W257&lt;120),0.17,0)+IF(AND(V257&lt;=40,W257&gt;=120),0.15,0)+IF(AND(V257&gt;40,V257&lt;75,W257&lt;25),0.35,0)+IF(AND(V257&gt;=40,V257&lt;75,W257&gt;=25,W257&lt;65),0.25,0)+IF(AND(V257&gt;=40,V257&lt;75,W257&gt;=65,W257&lt;100),0.17,0)+IF(AND(V257&gt;=40,V257&lt;75,W257&gt;=100),0.1,0)+IF(AND(V257&gt;=75,W257&lt;25),0.35,0)+IF(AND(V257&gt;=75,W257&gt;=25,W257&lt;60),0.25,0)+IF(AND(V257&gt;=75,W257&gt;=60,W257&lt;95),0.17,0)+IF(AND(V257&gt;=75,W257&gt;=95),0.1,0),
IF(AF257="DoEVba",IF(AND(V257&lt;20,W257&lt;105),0.2,0)+IF(AND(V257&lt;20,W257&gt;=105),0.15,0)+IF(AND(V257&gt;=20,V257&lt;40,W257&lt;95),0.2,0)+IF(AND(V257&gt;=20,V257&lt;40,W257&gt;=95,W257&lt;150),0.15,0)+IF(AND(V257&gt;=20,V257&lt;40,W257&gt;=150),0.12,0)+IF(AND(V257&gt;=40,V257&lt;75,W257&lt;75),0.2,0)+IF(AND(V257&gt;=40,V257&lt;75,W257&gt;=75,W257&lt;120),0.15,0)+IF(AND(V257&gt;=40,V257&lt;75,W257&gt;=120),0.12,0)+IF(AND(V257&gt;=75,V257&lt;175,W257&lt;65),0.2,0)+IF(AND(V257&gt;=75,V257&lt;175,W257&gt;=65,W257&lt;110),0.15,0)+IF(AND(V257&gt;=75,V257&lt;175,W257&gt;=110),0.12,0)+IF(AND(V257&gt;=175,W257&lt;55),0.2,0)+IF(AND(V257&gt;=175,W257&gt;=55,W257&lt;95),0.15,0)+IF(AND(V257&gt;=175,W257&gt;=95),0.12,0),
IF(AF257="DoEVku",IF(AND(V257&lt;20,W257&lt;55),0.23,0)+IF(AND(V257&lt;20,W257&gt;=55,W257&lt;105),0.2,0)+IF(AND(V257&lt;20,W257&gt;=105),0.17,0)+IF(AND(V257&gt;=20,V257&lt;40,W257&lt;45),0.23,0)+IF(AND(V257&gt;=20,V257&lt;40,W257&gt;=45,W257&lt;95),0.2,0)+IF(AND(V257&gt;=20,V257&lt;40,W257&gt;=95,W257&lt;=150),0.17,0)+IF(AND(V257&gt;=20,V257&lt;40,W257&gt;=150),0.12,0)+IF(AND(V257&gt;=40,V257&lt;75,W257&lt;35),0.23,0)+IF(AND(V257&gt;=40,V257&lt;75,W257&gt;=35,W257&lt;75),0.2,0)+IF(AND(V257&gt;=40,V257&lt;75,W257&gt;=75,W257&lt;120),0.17,0)+IF(AND(V257&gt;=40,V257&lt;75,W257&gt;=120),0.12,0)+IF(AND(V257&gt;=75,V257&lt;175,W257&lt;35),0.23,0)+IF(AND(V257&gt;=75,V257&lt;=175,W257&gt;=35,W257&lt;65),0.2,0)+IF(AND(V257&gt;=75,V257&lt;=175,W257&gt;=65,W257&lt;110),0.17,0)+IF(AND(V257&gt;=75,V257&lt;=175,W257&gt;=110),0.12,0)+IF(AND(V257&gt;175,W257&lt;25),0.23,0)+IF(AND(V257&gt;175,W257&gt;=25,W257&lt;55),0.2,0)+IF(AND(V257&gt;175,W257&gt;=55,W257&lt;95),0.17,0)+IF(AND(V257&gt;175,W257&gt;=95),0.12,0),
IF(AF257="DoEVs1",IF(AND(V257&lt;20,W257&lt;55),0.3,0)+IF(AND(V257&lt;20,W257&gt;=55,W257&lt;105),0.23,0)+IF(AND(V257&lt;20,W257&gt;=105),0.17,0)+IF(AND(V257&gt;=20,V257&lt;40,W257&lt;45),0.3,0)+IF(AND(V257&gt;=20,V257&lt;40,W257&gt;=45,W257&lt;95),0.23,0)+IF(AND(V257&gt;=20,V257&lt;40,W257&gt;=95,W257&lt;=150),0.17,0)+IF(AND(V257&gt;=20,V257&lt;40,W257&gt;=150),0.12,0)+IF(AND(V257&gt;=40,V257&lt;75,W257&lt;35),0.3,0)+IF(AND(V257&gt;=40,V257&lt;75,W257&gt;=35,W257&lt;75),0.23,0)+IF(AND(V257&gt;=40,V257&lt;75,W257&gt;=75,W257&lt;120),0.17,0)+IF(AND(V257&gt;=40,V257&lt;75,W257&gt;=120),0.12,0)+IF(AND(V257&gt;=75,V257&lt;175,W257&lt;35),0.3,0)+IF(AND(V257&gt;=75,V257&lt;=175,W257&gt;=35,W257&lt;65),0.23,0)+IF(AND(V257&gt;=75,V257&lt;=175,W257&gt;=65,W257&lt;110),0.17,0)+IF(AND(V257&gt;=75,V257&lt;=175,W257&gt;=110),0.12,0)+IF(AND(V257&gt;175,W257&lt;25),0.3,0)+IF(AND(V257&gt;175,W257&gt;=25,W257&lt;55),0.23,0)+IF(AND(V257&gt;175,W257&gt;=55,W257&lt;95),0.17,0)+IF(AND(V257&gt;175,W257&gt;=95),0.12,0),
IF(AF257="DoEVsu",IF(AND(V257&lt;20,W257&lt;55),0.3,0)+IF(AND(V257&lt;20,W257&gt;=55,W257&lt;105),0.23,0)+IF(AND(V257&lt;20,W257&gt;=105),0.17,0)+IF(AND(V257&gt;=20,V257&lt;40,W257&lt;45),0.3,0)+IF(AND(V257&gt;=20,V257&lt;40,W257&gt;=45,W257&lt;95),0.23,0)+IF(AND(V257&gt;=20,V257&lt;40,W257&gt;=95,W257&lt;=250),0.17,0)+IF(AND(V257&gt;=20,V257&lt;40,W257&gt;=250),0.12,0)+IF(AND(V257&gt;=40,V257&lt;75,W257&lt;35),0.3,0)+IF(AND(V257&gt;=40,V257&lt;75,W257&gt;=35,W257&lt;75),0.23,0)+IF(AND(V257&gt;=40,V257&lt;75,W257&gt;=75,W257&lt;120),0.17,0)+IF(AND(V257&gt;=40,V257&lt;75,W257&gt;=120),0.12,0)+IF(AND(V257&gt;=75,V257&lt;175,W257&lt;35),0.3,0)+IF(AND(V257&gt;=75,V257&lt;=175,W257&gt;=35,W257&lt;65),0.23,0)+IF(AND(V257&gt;=75,V257&lt;=175,W257&gt;=65,W257&lt;110),0.17,0)+IF(AND(V257&gt;=75,V257&lt;=175,W257&gt;=110),0.12,0)+IF(AND(V257&gt;175,W257&lt;25),0.3,0)+IF(AND(V257&gt;175,W257&gt;=25,W257&lt;55),0.23,0)+IF(AND(V257&gt;175,W257&gt;=55,W257&lt;95),0.17,0)+IF(AND(V257&gt;175,W257&gt;=95),0.12,0),
IF(AF257="DoEVni",IF(AND(V257&lt;20,W257&lt;55),0.3,0)+IF(AND(V257&lt;20,W257&gt;=55,W257&lt;105),0.23,0)+IF(AND(V257&lt;20,W257&gt;=105),0.17,0)+IF(AND(V257&gt;=20,V257&lt;40,W257&lt;45),0.3,0)+IF(AND(V257&gt;=20,V257&lt;40,W257&gt;=45,W257&lt;95),0.23,0)+IF(AND(V257&gt;=20,V257&lt;40,W257&gt;=95,W257&lt;=200),0.17,0)+IF(AND(V257&gt;=20,V257&lt;40,W257&gt;=200),0.12,0)+IF(AND(V257&gt;=40,V257&lt;75,W257&lt;35),0.3,0)+IF(AND(V257&gt;=40,V257&lt;75,W257&gt;=35,W257&lt;75),0.23,0)+IF(AND(V257&gt;=40,V257&lt;75,W257&gt;=75,W257&lt;120),0.17,0)+IF(AND(V257&gt;=40,V257&lt;75,W257&gt;=120),0.12,0)+IF(AND(V257&gt;=75,V257&lt;175,W257&lt;35),0.3,0)+IF(AND(V257&gt;=75,V257&lt;=175,W257&gt;=35,W257&lt;65),0.23,0)+IF(AND(V257&gt;=75,V257&lt;=175,W257&gt;=65,W257&lt;110),0.17,0)+IF(AND(V257&gt;=75,V257&lt;=175,W257&gt;=110),0.12,0)+IF(AND(V257&gt;175,W257&lt;25),0.3,0)+IF(AND(V257&gt;175,W257&gt;=25,W257&lt;55),0.23,0)+IF(AND(V257&gt;175,W257&gt;=55,W257&lt;95),0.17,0)+IF(AND(V257&gt;175,W257&gt;=95),0.12,0),
IF(AF257="DoEVLo",IF(AND(V257&lt;20,W257&lt;55),0.25,0)+IF(AND(V257&lt;20,W257&gt;=55,W257&lt;105),0.2,0)+IF(AND(V257&lt;20,W257&gt;=105),0.15,0)+IF(AND(V257&gt;=20,V257&lt;40,W257&lt;45),0.25,0)+IF(AND(V257&gt;=20,V257&lt;40,W257&gt;=45,W257&lt;95),0.2,0)+IF(AND(V257&gt;=20,V257&lt;40,W257&gt;=95),0.15,0)+IF(AND(V257&gt;=40,V257&lt;75,W257&lt;35),0.25,0)+IF(AND(V257&gt;=40,V257&lt;75,W257&gt;=35,W257&lt;75),0.2,0)+IF(AND(V257&gt;=40,V257&lt;75,W257&gt;=75,W257&lt;120),0.15,0)+IF(AND(V257&gt;=40,V257&lt;75,W257&gt;=120),0.1,0)+IF(AND(V257&gt;=75,V257&lt;175,W257&lt;35),0.25,0)+IF(AND(V257&gt;=75,V257&lt;=175,W257&gt;=35,W257&lt;65),0.2,0)+IF(AND(V257&gt;=75,V257&lt;=175,W257&gt;=65,W257&lt;110),0.15,0)+IF(AND(V257&gt;=75,V257&lt;=175,W257&gt;=110),0.1,0)+IF(AND(V257&gt;175,W257&lt;25),0.25,0)+IF(AND(V257&gt;175,W257&gt;=25,W257&lt;55),0.2,0)+IF(AND(V257&gt;175,W257&gt;=55,W257&lt;95),0.15,0)+IF(AND(V257&gt;175,W257&gt;=95),0.1,0))))))))))))))))</f>
        <v>0.3</v>
      </c>
      <c r="Y257" s="30">
        <f>IF(AG257="None",0,IF(AG257="Fix5",0.05,IF(AG257="Fix3.75",0.0375,IF(AG257="Fix10",0.1,IF(AG257="Fix3",0.03,0)))))</f>
        <v>0</v>
      </c>
      <c r="Z257" s="35">
        <f>T257-AA257-AB257</f>
        <v>-62.3</v>
      </c>
      <c r="AA257" s="29">
        <f>IF(AD257="EUR",((T257-R257)*X257)*U257+(R257*X257),(T257*X257))</f>
        <v>-26.7</v>
      </c>
      <c r="AB257" s="36">
        <f>IF(AD257="EUR",((T257-R257)*Y257)*U257+(R257*Y257),(T257*Y257))</f>
        <v>0</v>
      </c>
      <c r="AC257" s="37" t="b">
        <v>1</v>
      </c>
      <c r="AD257" s="37" t="s">
        <v>38</v>
      </c>
      <c r="AE257" s="37" t="s">
        <v>38</v>
      </c>
      <c r="AF257" s="37" t="str">
        <f t="array" ref="AF257">INDEX('Deal Info'!D:D, MATCH(A257,'Deal Info'!A:A, 0))</f>
        <v>SF</v>
      </c>
      <c r="AG257" s="38" t="str">
        <f t="array" ref="AG257">INDEX('Deal Info'!G:G, MATCH(A257,'Deal Info'!A:A, 0))</f>
        <v>None</v>
      </c>
    </row>
    <row r="258" spans="1:33" ht="14.25" hidden="1" x14ac:dyDescent="0.2">
      <c r="A258" s="18" t="str">
        <f t="array" ref="A258">IF(G258='Room Info'!$B$1, INDEX('Room Info'!$A$2:$A2446, MATCH(B258,'Room Info'!$B$2:$B2446, 0)),IF(G258='Room Info'!$C$1, INDEX('Room Info'!$A$2:$A2446, MATCH(B258,'Room Info'!$C$2:$C2446, 0)),IF(G258='Room Info'!$D$1, INDEX('Room Info'!$A$2:$A2446, MATCH(B258,'Room Info'!$D$2:$D2446, 0)),IF(G258='Room Info'!$E$1, INDEX('Room Info'!$A$2:$A2446, MATCH(B258,'Room Info'!$E$2:$E2446, 0)),IF(G258='Room Info'!$F$1, INDEX('Room Info'!$A$2:$A2446, MATCH(B258,'Room Info'!$F$2:$F2446, 0)),IF(G258='Room Info'!$H$1, INDEX('Room Info'!$A$2:$A2446, MATCH(B258,'Room Info'!$H$2:$H2446, 0)),IF(G258='Room Info'!$G$1, INDEX('Room Info'!$A$2:$A2446, MATCH(B258,'Room Info'!$G$2:$G2446, 0)))))))))</f>
        <v>Mexanuk_AV</v>
      </c>
      <c r="B258" s="45" t="s">
        <v>113</v>
      </c>
      <c r="C258" s="92">
        <v>44429</v>
      </c>
      <c r="D258" s="46">
        <v>44459</v>
      </c>
      <c r="E258" s="47">
        <v>44440</v>
      </c>
      <c r="F258" s="48" t="s">
        <v>34</v>
      </c>
      <c r="G258" s="45" t="s">
        <v>35</v>
      </c>
      <c r="H258" s="49" t="s">
        <v>39</v>
      </c>
      <c r="I258" s="49" t="s">
        <v>37</v>
      </c>
      <c r="J258" s="70">
        <v>5</v>
      </c>
      <c r="K258" s="71">
        <v>2</v>
      </c>
      <c r="L258" s="72">
        <v>-10</v>
      </c>
      <c r="M258" s="62"/>
      <c r="N258" s="28">
        <f>K258*J258</f>
        <v>10</v>
      </c>
      <c r="O258" s="45">
        <v>-159</v>
      </c>
      <c r="P258" s="29">
        <v>-79.5</v>
      </c>
      <c r="Q258" s="55"/>
      <c r="R258" s="31">
        <f>M258+Q258</f>
        <v>0</v>
      </c>
      <c r="S258" s="73">
        <v>-2</v>
      </c>
      <c r="T258" s="32">
        <f>R258+S258+IF(F258="Without EV deal",L258,0)</f>
        <v>-2</v>
      </c>
      <c r="U258" s="57">
        <v>1</v>
      </c>
      <c r="V258" s="69">
        <v>9.993552546744036</v>
      </c>
      <c r="W258" s="58">
        <v>4.37</v>
      </c>
      <c r="X258" s="30">
        <f>IF(AF258="DoEV",IF(AND(V258&lt;20,W258&lt;55),0.3,0)+IF(AND(V258&lt;20,W258&gt;=55,W258&lt;105),0.23,0)+IF(AND(V258&lt;20,W258&gt;=105),0.17,0)+IF(AND(V258&gt;=20,V258&lt;40,W258&lt;45),0.3,0)+IF(AND(V258&gt;=20,V258&lt;40,W258&gt;=45,W258&lt;95),0.23,0)+IF(AND(V258&gt;=20,V258&lt;40,W258&gt;=95),0.17,0)+IF(AND(V258&gt;=40,V258&lt;75,W258&lt;35),0.3,0)+IF(AND(V258&gt;=40,V258&lt;75,W258&gt;=35,W258&lt;75),0.23,0)+IF(AND(V258&gt;=40,V258&lt;75,W258&gt;=75,W258&lt;120),0.17,0)+IF(AND(V258&gt;=40,V258&lt;75,W258&gt;=120),0.12,0)+IF(AND(V258&gt;=75,V258&lt;175,W258&lt;35),0.3,0)+IF(AND(V258&gt;=75,V258&lt;=175,W258&gt;=35,W258&lt;65),0.23,0)+IF(AND(V258&gt;=75,V258&lt;=175,W258&gt;=65,W258&lt;110),0.17,0)+IF(AND(V258&gt;=75,V258&lt;=175,W258&gt;=110),0.12,0)+IF(AND(V258&gt;175,W258&lt;25),0.3,0)+IF(AND(V258&gt;175,W258&gt;=25,W258&lt;55),0.23,0)+IF(AND(V258&gt;175,W258&gt;=55,W258&lt;95),0.17,0)+IF(AND(V258&gt;175,W258&gt;=95),0.12,0),
IF(AF258="Fix15",0.15,
IF(AF258="Fix11.25",0.1125,
IF(AF258="Fix10",0.1,
IF(AF258="Fix9",0.09,
IF(AF258="DoEV2017",IF(AND(W258&lt;74),0.2,0)+IF(AND(W258&gt;=74),0.17,0),
IF(AF258="SF",IF(AND(V258&lt;20,W258&lt;89),0.3,0)+IF(AND(V258&lt;20,W258&gt;=89),0.25,0)+IF(AND(V258&gt;=20,V258&lt;40,W258&lt;74),0.3,0)+IF(AND(V258&gt;=20,V258&lt;40,W258&gt;=75),0.22,0)+IF(AND(V258&gt;=40,V258&lt;75,W258&lt;75),0.26,0)+IF(AND(V258&gt;=40,V258&lt;75,W258&gt;=75),0.22,0)+IF(V258&gt;=75,0.22,0),
IF(AF258="DoEVold",IF(AND(V258&lt;40,W258&lt;35),0.35,0)+IF(AND(V258&lt;40,W258&gt;=35,W258&lt;75),0.25,0)+IF(AND(V258&lt;40,W258&gt;=75),0.17,0)+IF(AND(V258&gt;=40,V258&lt;75,W258&lt;25),0.35,0)+IF(AND(V258&gt;=40,V258&lt;75,W258&gt;=25,W258&lt;65),0.25,0)+IF(AND(V258&gt;=40,V258&lt;75,W258&gt;=65,W258&lt;100),0.17,0)+IF(AND(V258&gt;=40,V258&lt;75,W258&gt;=100),0.1,0)+IF(AND(V258&gt;=75,W258&lt;25),0.35,0)+IF(AND(V258&gt;=75,W258&gt;=25,W258&lt;60),0.25,0)+IF(AND(V258&gt;=75,W258&gt;=60,W258&lt;95),0.17,0)+IF(AND(V258&gt;=75,W258&gt;=95),0.1,0),
IF(AF258="DoEVold15",IF(AND(V258&lt;=40,W258&lt;35),0.35,0)+IF(AND(V258&lt;=40,W258&gt;=35,W258&lt;75),0.25,0)+IF(AND(V258&lt;=40,W258&gt;=75,W258&lt;120),0.17,0)+IF(AND(V258&lt;=40,W258&gt;=120),0.15,0)+IF(AND(V258&gt;40,V258&lt;75,W258&lt;25),0.35,0)+IF(AND(V258&gt;=40,V258&lt;75,W258&gt;=25,W258&lt;65),0.25,0)+IF(AND(V258&gt;=40,V258&lt;75,W258&gt;=65,W258&lt;100),0.17,0)+IF(AND(V258&gt;=40,V258&lt;75,W258&gt;=100),0.1,0)+IF(AND(V258&gt;=75,W258&lt;25),0.35,0)+IF(AND(V258&gt;=75,W258&gt;=25,W258&lt;60),0.25,0)+IF(AND(V258&gt;=75,W258&gt;=60,W258&lt;95),0.17,0)+IF(AND(V258&gt;=75,W258&gt;=95),0.1,0),
IF(AF258="DoEVba",IF(AND(V258&lt;20,W258&lt;105),0.2,0)+IF(AND(V258&lt;20,W258&gt;=105),0.15,0)+IF(AND(V258&gt;=20,V258&lt;40,W258&lt;95),0.2,0)+IF(AND(V258&gt;=20,V258&lt;40,W258&gt;=95,W258&lt;150),0.15,0)+IF(AND(V258&gt;=20,V258&lt;40,W258&gt;=150),0.12,0)+IF(AND(V258&gt;=40,V258&lt;75,W258&lt;75),0.2,0)+IF(AND(V258&gt;=40,V258&lt;75,W258&gt;=75,W258&lt;120),0.15,0)+IF(AND(V258&gt;=40,V258&lt;75,W258&gt;=120),0.12,0)+IF(AND(V258&gt;=75,V258&lt;175,W258&lt;65),0.2,0)+IF(AND(V258&gt;=75,V258&lt;175,W258&gt;=65,W258&lt;110),0.15,0)+IF(AND(V258&gt;=75,V258&lt;175,W258&gt;=110),0.12,0)+IF(AND(V258&gt;=175,W258&lt;55),0.2,0)+IF(AND(V258&gt;=175,W258&gt;=55,W258&lt;95),0.15,0)+IF(AND(V258&gt;=175,W258&gt;=95),0.12,0),
IF(AF258="DoEVku",IF(AND(V258&lt;20,W258&lt;55),0.23,0)+IF(AND(V258&lt;20,W258&gt;=55,W258&lt;105),0.2,0)+IF(AND(V258&lt;20,W258&gt;=105),0.17,0)+IF(AND(V258&gt;=20,V258&lt;40,W258&lt;45),0.23,0)+IF(AND(V258&gt;=20,V258&lt;40,W258&gt;=45,W258&lt;95),0.2,0)+IF(AND(V258&gt;=20,V258&lt;40,W258&gt;=95,W258&lt;=150),0.17,0)+IF(AND(V258&gt;=20,V258&lt;40,W258&gt;=150),0.12,0)+IF(AND(V258&gt;=40,V258&lt;75,W258&lt;35),0.23,0)+IF(AND(V258&gt;=40,V258&lt;75,W258&gt;=35,W258&lt;75),0.2,0)+IF(AND(V258&gt;=40,V258&lt;75,W258&gt;=75,W258&lt;120),0.17,0)+IF(AND(V258&gt;=40,V258&lt;75,W258&gt;=120),0.12,0)+IF(AND(V258&gt;=75,V258&lt;175,W258&lt;35),0.23,0)+IF(AND(V258&gt;=75,V258&lt;=175,W258&gt;=35,W258&lt;65),0.2,0)+IF(AND(V258&gt;=75,V258&lt;=175,W258&gt;=65,W258&lt;110),0.17,0)+IF(AND(V258&gt;=75,V258&lt;=175,W258&gt;=110),0.12,0)+IF(AND(V258&gt;175,W258&lt;25),0.23,0)+IF(AND(V258&gt;175,W258&gt;=25,W258&lt;55),0.2,0)+IF(AND(V258&gt;175,W258&gt;=55,W258&lt;95),0.17,0)+IF(AND(V258&gt;175,W258&gt;=95),0.12,0),
IF(AF258="DoEVs1",IF(AND(V258&lt;20,W258&lt;55),0.3,0)+IF(AND(V258&lt;20,W258&gt;=55,W258&lt;105),0.23,0)+IF(AND(V258&lt;20,W258&gt;=105),0.17,0)+IF(AND(V258&gt;=20,V258&lt;40,W258&lt;45),0.3,0)+IF(AND(V258&gt;=20,V258&lt;40,W258&gt;=45,W258&lt;95),0.23,0)+IF(AND(V258&gt;=20,V258&lt;40,W258&gt;=95,W258&lt;=150),0.17,0)+IF(AND(V258&gt;=20,V258&lt;40,W258&gt;=150),0.12,0)+IF(AND(V258&gt;=40,V258&lt;75,W258&lt;35),0.3,0)+IF(AND(V258&gt;=40,V258&lt;75,W258&gt;=35,W258&lt;75),0.23,0)+IF(AND(V258&gt;=40,V258&lt;75,W258&gt;=75,W258&lt;120),0.17,0)+IF(AND(V258&gt;=40,V258&lt;75,W258&gt;=120),0.12,0)+IF(AND(V258&gt;=75,V258&lt;175,W258&lt;35),0.3,0)+IF(AND(V258&gt;=75,V258&lt;=175,W258&gt;=35,W258&lt;65),0.23,0)+IF(AND(V258&gt;=75,V258&lt;=175,W258&gt;=65,W258&lt;110),0.17,0)+IF(AND(V258&gt;=75,V258&lt;=175,W258&gt;=110),0.12,0)+IF(AND(V258&gt;175,W258&lt;25),0.3,0)+IF(AND(V258&gt;175,W258&gt;=25,W258&lt;55),0.23,0)+IF(AND(V258&gt;175,W258&gt;=55,W258&lt;95),0.17,0)+IF(AND(V258&gt;175,W258&gt;=95),0.12,0),
IF(AF258="DoEVsu",IF(AND(V258&lt;20,W258&lt;55),0.3,0)+IF(AND(V258&lt;20,W258&gt;=55,W258&lt;105),0.23,0)+IF(AND(V258&lt;20,W258&gt;=105),0.17,0)+IF(AND(V258&gt;=20,V258&lt;40,W258&lt;45),0.3,0)+IF(AND(V258&gt;=20,V258&lt;40,W258&gt;=45,W258&lt;95),0.23,0)+IF(AND(V258&gt;=20,V258&lt;40,W258&gt;=95,W258&lt;=250),0.17,0)+IF(AND(V258&gt;=20,V258&lt;40,W258&gt;=250),0.12,0)+IF(AND(V258&gt;=40,V258&lt;75,W258&lt;35),0.3,0)+IF(AND(V258&gt;=40,V258&lt;75,W258&gt;=35,W258&lt;75),0.23,0)+IF(AND(V258&gt;=40,V258&lt;75,W258&gt;=75,W258&lt;120),0.17,0)+IF(AND(V258&gt;=40,V258&lt;75,W258&gt;=120),0.12,0)+IF(AND(V258&gt;=75,V258&lt;175,W258&lt;35),0.3,0)+IF(AND(V258&gt;=75,V258&lt;=175,W258&gt;=35,W258&lt;65),0.23,0)+IF(AND(V258&gt;=75,V258&lt;=175,W258&gt;=65,W258&lt;110),0.17,0)+IF(AND(V258&gt;=75,V258&lt;=175,W258&gt;=110),0.12,0)+IF(AND(V258&gt;175,W258&lt;25),0.3,0)+IF(AND(V258&gt;175,W258&gt;=25,W258&lt;55),0.23,0)+IF(AND(V258&gt;175,W258&gt;=55,W258&lt;95),0.17,0)+IF(AND(V258&gt;175,W258&gt;=95),0.12,0),
IF(AF258="DoEVni",IF(AND(V258&lt;20,W258&lt;55),0.3,0)+IF(AND(V258&lt;20,W258&gt;=55,W258&lt;105),0.23,0)+IF(AND(V258&lt;20,W258&gt;=105),0.17,0)+IF(AND(V258&gt;=20,V258&lt;40,W258&lt;45),0.3,0)+IF(AND(V258&gt;=20,V258&lt;40,W258&gt;=45,W258&lt;95),0.23,0)+IF(AND(V258&gt;=20,V258&lt;40,W258&gt;=95,W258&lt;=200),0.17,0)+IF(AND(V258&gt;=20,V258&lt;40,W258&gt;=200),0.12,0)+IF(AND(V258&gt;=40,V258&lt;75,W258&lt;35),0.3,0)+IF(AND(V258&gt;=40,V258&lt;75,W258&gt;=35,W258&lt;75),0.23,0)+IF(AND(V258&gt;=40,V258&lt;75,W258&gt;=75,W258&lt;120),0.17,0)+IF(AND(V258&gt;=40,V258&lt;75,W258&gt;=120),0.12,0)+IF(AND(V258&gt;=75,V258&lt;175,W258&lt;35),0.3,0)+IF(AND(V258&gt;=75,V258&lt;=175,W258&gt;=35,W258&lt;65),0.23,0)+IF(AND(V258&gt;=75,V258&lt;=175,W258&gt;=65,W258&lt;110),0.17,0)+IF(AND(V258&gt;=75,V258&lt;=175,W258&gt;=110),0.12,0)+IF(AND(V258&gt;175,W258&lt;25),0.3,0)+IF(AND(V258&gt;175,W258&gt;=25,W258&lt;55),0.23,0)+IF(AND(V258&gt;175,W258&gt;=55,W258&lt;95),0.17,0)+IF(AND(V258&gt;175,W258&gt;=95),0.12,0),
IF(AF258="DoEVLo",IF(AND(V258&lt;20,W258&lt;55),0.25,0)+IF(AND(V258&lt;20,W258&gt;=55,W258&lt;105),0.2,0)+IF(AND(V258&lt;20,W258&gt;=105),0.15,0)+IF(AND(V258&gt;=20,V258&lt;40,W258&lt;45),0.25,0)+IF(AND(V258&gt;=20,V258&lt;40,W258&gt;=45,W258&lt;95),0.2,0)+IF(AND(V258&gt;=20,V258&lt;40,W258&gt;=95),0.15,0)+IF(AND(V258&gt;=40,V258&lt;75,W258&lt;35),0.25,0)+IF(AND(V258&gt;=40,V258&lt;75,W258&gt;=35,W258&lt;75),0.2,0)+IF(AND(V258&gt;=40,V258&lt;75,W258&gt;=75,W258&lt;120),0.15,0)+IF(AND(V258&gt;=40,V258&lt;75,W258&gt;=120),0.1,0)+IF(AND(V258&gt;=75,V258&lt;175,W258&lt;35),0.25,0)+IF(AND(V258&gt;=75,V258&lt;=175,W258&gt;=35,W258&lt;65),0.2,0)+IF(AND(V258&gt;=75,V258&lt;=175,W258&gt;=65,W258&lt;110),0.15,0)+IF(AND(V258&gt;=75,V258&lt;=175,W258&gt;=110),0.1,0)+IF(AND(V258&gt;175,W258&lt;25),0.25,0)+IF(AND(V258&gt;175,W258&gt;=25,W258&lt;55),0.2,0)+IF(AND(V258&gt;175,W258&gt;=55,W258&lt;95),0.15,0)+IF(AND(V258&gt;175,W258&gt;=95),0.1,0))))))))))))))))</f>
        <v>0.3</v>
      </c>
      <c r="Y258" s="30">
        <f>IF(AG258="None",0,IF(AG258="Fix5",0.05,IF(AG258="Fix3.75",0.0375,IF(AG258="Fix10",0.1,IF(AG258="Fix3",0.03,0)))))</f>
        <v>0</v>
      </c>
      <c r="Z258" s="35">
        <f>T258-AA258-AB258</f>
        <v>-1.4</v>
      </c>
      <c r="AA258" s="29">
        <f>IF(AD258="EUR",((T258-R258)*X258)*U258+(R258*X258),(T258*X258))</f>
        <v>-0.6</v>
      </c>
      <c r="AB258" s="36">
        <f>IF(AD258="EUR",((T258-R258)*Y258)*U258+(R258*Y258),(T258*Y258))</f>
        <v>0</v>
      </c>
      <c r="AC258" s="37" t="b">
        <v>1</v>
      </c>
      <c r="AD258" s="37" t="s">
        <v>38</v>
      </c>
      <c r="AE258" s="37" t="s">
        <v>38</v>
      </c>
      <c r="AF258" s="37" t="str">
        <f t="array" ref="AF258">INDEX('Deal Info'!D:D, MATCH(A258,'Deal Info'!A:A, 0))</f>
        <v>SF</v>
      </c>
      <c r="AG258" s="38" t="str">
        <f t="array" ref="AG258">INDEX('Deal Info'!G:G, MATCH(A258,'Deal Info'!A:A, 0))</f>
        <v>None</v>
      </c>
    </row>
    <row r="259" spans="1:33" ht="14.25" hidden="1" x14ac:dyDescent="0.2">
      <c r="A259" s="18" t="str">
        <f t="array" ref="A259">IF(G259='Room Info'!$B$1, INDEX('Room Info'!$A$2:$A2446, MATCH(B259,'Room Info'!$B$2:$B2446, 0)),IF(G259='Room Info'!$C$1, INDEX('Room Info'!$A$2:$A2446, MATCH(B259,'Room Info'!$C$2:$C2446, 0)),IF(G259='Room Info'!$D$1, INDEX('Room Info'!$A$2:$A2446, MATCH(B259,'Room Info'!$D$2:$D2446, 0)),IF(G259='Room Info'!$E$1, INDEX('Room Info'!$A$2:$A2446, MATCH(B259,'Room Info'!$E$2:$E2446, 0)),IF(G259='Room Info'!$F$1, INDEX('Room Info'!$A$2:$A2446, MATCH(B259,'Room Info'!$F$2:$F2446, 0)),IF(G259='Room Info'!$H$1, INDEX('Room Info'!$A$2:$A2446, MATCH(B259,'Room Info'!$H$2:$H2446, 0)),IF(G259='Room Info'!$G$1, INDEX('Room Info'!$A$2:$A2446, MATCH(B259,'Room Info'!$G$2:$G2446, 0)))))))))</f>
        <v>Mexanuk_AV</v>
      </c>
      <c r="B259" s="45" t="s">
        <v>113</v>
      </c>
      <c r="C259" s="92">
        <v>44429</v>
      </c>
      <c r="D259" s="46">
        <v>44459</v>
      </c>
      <c r="E259" s="47">
        <v>44440</v>
      </c>
      <c r="F259" s="48" t="s">
        <v>34</v>
      </c>
      <c r="G259" s="45" t="s">
        <v>35</v>
      </c>
      <c r="H259" s="49" t="s">
        <v>40</v>
      </c>
      <c r="I259" s="49" t="s">
        <v>37</v>
      </c>
      <c r="J259" s="70">
        <v>10</v>
      </c>
      <c r="K259" s="71">
        <v>1549</v>
      </c>
      <c r="L259" s="72">
        <v>-480</v>
      </c>
      <c r="M259" s="53">
        <v>211</v>
      </c>
      <c r="N259" s="28">
        <f>K259*J259</f>
        <v>15490</v>
      </c>
      <c r="O259" s="45">
        <v>41218</v>
      </c>
      <c r="P259" s="29">
        <v>26.609425439999999</v>
      </c>
      <c r="Q259" s="55"/>
      <c r="R259" s="31">
        <f>M259+Q259</f>
        <v>211</v>
      </c>
      <c r="S259" s="73">
        <v>-423</v>
      </c>
      <c r="T259" s="32">
        <f>R259+S259+IF(F259="Without EV deal",L259,0)</f>
        <v>-212</v>
      </c>
      <c r="U259" s="57">
        <v>1</v>
      </c>
      <c r="V259" s="69">
        <v>9.993552546744036</v>
      </c>
      <c r="W259" s="58">
        <v>4.37</v>
      </c>
      <c r="X259" s="30">
        <f>IF(AF259="DoEV",IF(AND(V259&lt;20,W259&lt;55),0.3,0)+IF(AND(V259&lt;20,W259&gt;=55,W259&lt;105),0.23,0)+IF(AND(V259&lt;20,W259&gt;=105),0.17,0)+IF(AND(V259&gt;=20,V259&lt;40,W259&lt;45),0.3,0)+IF(AND(V259&gt;=20,V259&lt;40,W259&gt;=45,W259&lt;95),0.23,0)+IF(AND(V259&gt;=20,V259&lt;40,W259&gt;=95),0.17,0)+IF(AND(V259&gt;=40,V259&lt;75,W259&lt;35),0.3,0)+IF(AND(V259&gt;=40,V259&lt;75,W259&gt;=35,W259&lt;75),0.23,0)+IF(AND(V259&gt;=40,V259&lt;75,W259&gt;=75,W259&lt;120),0.17,0)+IF(AND(V259&gt;=40,V259&lt;75,W259&gt;=120),0.12,0)+IF(AND(V259&gt;=75,V259&lt;175,W259&lt;35),0.3,0)+IF(AND(V259&gt;=75,V259&lt;=175,W259&gt;=35,W259&lt;65),0.23,0)+IF(AND(V259&gt;=75,V259&lt;=175,W259&gt;=65,W259&lt;110),0.17,0)+IF(AND(V259&gt;=75,V259&lt;=175,W259&gt;=110),0.12,0)+IF(AND(V259&gt;175,W259&lt;25),0.3,0)+IF(AND(V259&gt;175,W259&gt;=25,W259&lt;55),0.23,0)+IF(AND(V259&gt;175,W259&gt;=55,W259&lt;95),0.17,0)+IF(AND(V259&gt;175,W259&gt;=95),0.12,0),
IF(AF259="Fix15",0.15,
IF(AF259="Fix11.25",0.1125,
IF(AF259="Fix10",0.1,
IF(AF259="Fix9",0.09,
IF(AF259="DoEV2017",IF(AND(W259&lt;74),0.2,0)+IF(AND(W259&gt;=74),0.17,0),
IF(AF259="SF",IF(AND(V259&lt;20,W259&lt;89),0.3,0)+IF(AND(V259&lt;20,W259&gt;=89),0.25,0)+IF(AND(V259&gt;=20,V259&lt;40,W259&lt;74),0.3,0)+IF(AND(V259&gt;=20,V259&lt;40,W259&gt;=75),0.22,0)+IF(AND(V259&gt;=40,V259&lt;75,W259&lt;75),0.26,0)+IF(AND(V259&gt;=40,V259&lt;75,W259&gt;=75),0.22,0)+IF(V259&gt;=75,0.22,0),
IF(AF259="DoEVold",IF(AND(V259&lt;40,W259&lt;35),0.35,0)+IF(AND(V259&lt;40,W259&gt;=35,W259&lt;75),0.25,0)+IF(AND(V259&lt;40,W259&gt;=75),0.17,0)+IF(AND(V259&gt;=40,V259&lt;75,W259&lt;25),0.35,0)+IF(AND(V259&gt;=40,V259&lt;75,W259&gt;=25,W259&lt;65),0.25,0)+IF(AND(V259&gt;=40,V259&lt;75,W259&gt;=65,W259&lt;100),0.17,0)+IF(AND(V259&gt;=40,V259&lt;75,W259&gt;=100),0.1,0)+IF(AND(V259&gt;=75,W259&lt;25),0.35,0)+IF(AND(V259&gt;=75,W259&gt;=25,W259&lt;60),0.25,0)+IF(AND(V259&gt;=75,W259&gt;=60,W259&lt;95),0.17,0)+IF(AND(V259&gt;=75,W259&gt;=95),0.1,0),
IF(AF259="DoEVold15",IF(AND(V259&lt;=40,W259&lt;35),0.35,0)+IF(AND(V259&lt;=40,W259&gt;=35,W259&lt;75),0.25,0)+IF(AND(V259&lt;=40,W259&gt;=75,W259&lt;120),0.17,0)+IF(AND(V259&lt;=40,W259&gt;=120),0.15,0)+IF(AND(V259&gt;40,V259&lt;75,W259&lt;25),0.35,0)+IF(AND(V259&gt;=40,V259&lt;75,W259&gt;=25,W259&lt;65),0.25,0)+IF(AND(V259&gt;=40,V259&lt;75,W259&gt;=65,W259&lt;100),0.17,0)+IF(AND(V259&gt;=40,V259&lt;75,W259&gt;=100),0.1,0)+IF(AND(V259&gt;=75,W259&lt;25),0.35,0)+IF(AND(V259&gt;=75,W259&gt;=25,W259&lt;60),0.25,0)+IF(AND(V259&gt;=75,W259&gt;=60,W259&lt;95),0.17,0)+IF(AND(V259&gt;=75,W259&gt;=95),0.1,0),
IF(AF259="DoEVba",IF(AND(V259&lt;20,W259&lt;105),0.2,0)+IF(AND(V259&lt;20,W259&gt;=105),0.15,0)+IF(AND(V259&gt;=20,V259&lt;40,W259&lt;95),0.2,0)+IF(AND(V259&gt;=20,V259&lt;40,W259&gt;=95,W259&lt;150),0.15,0)+IF(AND(V259&gt;=20,V259&lt;40,W259&gt;=150),0.12,0)+IF(AND(V259&gt;=40,V259&lt;75,W259&lt;75),0.2,0)+IF(AND(V259&gt;=40,V259&lt;75,W259&gt;=75,W259&lt;120),0.15,0)+IF(AND(V259&gt;=40,V259&lt;75,W259&gt;=120),0.12,0)+IF(AND(V259&gt;=75,V259&lt;175,W259&lt;65),0.2,0)+IF(AND(V259&gt;=75,V259&lt;175,W259&gt;=65,W259&lt;110),0.15,0)+IF(AND(V259&gt;=75,V259&lt;175,W259&gt;=110),0.12,0)+IF(AND(V259&gt;=175,W259&lt;55),0.2,0)+IF(AND(V259&gt;=175,W259&gt;=55,W259&lt;95),0.15,0)+IF(AND(V259&gt;=175,W259&gt;=95),0.12,0),
IF(AF259="DoEVku",IF(AND(V259&lt;20,W259&lt;55),0.23,0)+IF(AND(V259&lt;20,W259&gt;=55,W259&lt;105),0.2,0)+IF(AND(V259&lt;20,W259&gt;=105),0.17,0)+IF(AND(V259&gt;=20,V259&lt;40,W259&lt;45),0.23,0)+IF(AND(V259&gt;=20,V259&lt;40,W259&gt;=45,W259&lt;95),0.2,0)+IF(AND(V259&gt;=20,V259&lt;40,W259&gt;=95,W259&lt;=150),0.17,0)+IF(AND(V259&gt;=20,V259&lt;40,W259&gt;=150),0.12,0)+IF(AND(V259&gt;=40,V259&lt;75,W259&lt;35),0.23,0)+IF(AND(V259&gt;=40,V259&lt;75,W259&gt;=35,W259&lt;75),0.2,0)+IF(AND(V259&gt;=40,V259&lt;75,W259&gt;=75,W259&lt;120),0.17,0)+IF(AND(V259&gt;=40,V259&lt;75,W259&gt;=120),0.12,0)+IF(AND(V259&gt;=75,V259&lt;175,W259&lt;35),0.23,0)+IF(AND(V259&gt;=75,V259&lt;=175,W259&gt;=35,W259&lt;65),0.2,0)+IF(AND(V259&gt;=75,V259&lt;=175,W259&gt;=65,W259&lt;110),0.17,0)+IF(AND(V259&gt;=75,V259&lt;=175,W259&gt;=110),0.12,0)+IF(AND(V259&gt;175,W259&lt;25),0.23,0)+IF(AND(V259&gt;175,W259&gt;=25,W259&lt;55),0.2,0)+IF(AND(V259&gt;175,W259&gt;=55,W259&lt;95),0.17,0)+IF(AND(V259&gt;175,W259&gt;=95),0.12,0),
IF(AF259="DoEVs1",IF(AND(V259&lt;20,W259&lt;55),0.3,0)+IF(AND(V259&lt;20,W259&gt;=55,W259&lt;105),0.23,0)+IF(AND(V259&lt;20,W259&gt;=105),0.17,0)+IF(AND(V259&gt;=20,V259&lt;40,W259&lt;45),0.3,0)+IF(AND(V259&gt;=20,V259&lt;40,W259&gt;=45,W259&lt;95),0.23,0)+IF(AND(V259&gt;=20,V259&lt;40,W259&gt;=95,W259&lt;=150),0.17,0)+IF(AND(V259&gt;=20,V259&lt;40,W259&gt;=150),0.12,0)+IF(AND(V259&gt;=40,V259&lt;75,W259&lt;35),0.3,0)+IF(AND(V259&gt;=40,V259&lt;75,W259&gt;=35,W259&lt;75),0.23,0)+IF(AND(V259&gt;=40,V259&lt;75,W259&gt;=75,W259&lt;120),0.17,0)+IF(AND(V259&gt;=40,V259&lt;75,W259&gt;=120),0.12,0)+IF(AND(V259&gt;=75,V259&lt;175,W259&lt;35),0.3,0)+IF(AND(V259&gt;=75,V259&lt;=175,W259&gt;=35,W259&lt;65),0.23,0)+IF(AND(V259&gt;=75,V259&lt;=175,W259&gt;=65,W259&lt;110),0.17,0)+IF(AND(V259&gt;=75,V259&lt;=175,W259&gt;=110),0.12,0)+IF(AND(V259&gt;175,W259&lt;25),0.3,0)+IF(AND(V259&gt;175,W259&gt;=25,W259&lt;55),0.23,0)+IF(AND(V259&gt;175,W259&gt;=55,W259&lt;95),0.17,0)+IF(AND(V259&gt;175,W259&gt;=95),0.12,0),
IF(AF259="DoEVsu",IF(AND(V259&lt;20,W259&lt;55),0.3,0)+IF(AND(V259&lt;20,W259&gt;=55,W259&lt;105),0.23,0)+IF(AND(V259&lt;20,W259&gt;=105),0.17,0)+IF(AND(V259&gt;=20,V259&lt;40,W259&lt;45),0.3,0)+IF(AND(V259&gt;=20,V259&lt;40,W259&gt;=45,W259&lt;95),0.23,0)+IF(AND(V259&gt;=20,V259&lt;40,W259&gt;=95,W259&lt;=250),0.17,0)+IF(AND(V259&gt;=20,V259&lt;40,W259&gt;=250),0.12,0)+IF(AND(V259&gt;=40,V259&lt;75,W259&lt;35),0.3,0)+IF(AND(V259&gt;=40,V259&lt;75,W259&gt;=35,W259&lt;75),0.23,0)+IF(AND(V259&gt;=40,V259&lt;75,W259&gt;=75,W259&lt;120),0.17,0)+IF(AND(V259&gt;=40,V259&lt;75,W259&gt;=120),0.12,0)+IF(AND(V259&gt;=75,V259&lt;175,W259&lt;35),0.3,0)+IF(AND(V259&gt;=75,V259&lt;=175,W259&gt;=35,W259&lt;65),0.23,0)+IF(AND(V259&gt;=75,V259&lt;=175,W259&gt;=65,W259&lt;110),0.17,0)+IF(AND(V259&gt;=75,V259&lt;=175,W259&gt;=110),0.12,0)+IF(AND(V259&gt;175,W259&lt;25),0.3,0)+IF(AND(V259&gt;175,W259&gt;=25,W259&lt;55),0.23,0)+IF(AND(V259&gt;175,W259&gt;=55,W259&lt;95),0.17,0)+IF(AND(V259&gt;175,W259&gt;=95),0.12,0),
IF(AF259="DoEVni",IF(AND(V259&lt;20,W259&lt;55),0.3,0)+IF(AND(V259&lt;20,W259&gt;=55,W259&lt;105),0.23,0)+IF(AND(V259&lt;20,W259&gt;=105),0.17,0)+IF(AND(V259&gt;=20,V259&lt;40,W259&lt;45),0.3,0)+IF(AND(V259&gt;=20,V259&lt;40,W259&gt;=45,W259&lt;95),0.23,0)+IF(AND(V259&gt;=20,V259&lt;40,W259&gt;=95,W259&lt;=200),0.17,0)+IF(AND(V259&gt;=20,V259&lt;40,W259&gt;=200),0.12,0)+IF(AND(V259&gt;=40,V259&lt;75,W259&lt;35),0.3,0)+IF(AND(V259&gt;=40,V259&lt;75,W259&gt;=35,W259&lt;75),0.23,0)+IF(AND(V259&gt;=40,V259&lt;75,W259&gt;=75,W259&lt;120),0.17,0)+IF(AND(V259&gt;=40,V259&lt;75,W259&gt;=120),0.12,0)+IF(AND(V259&gt;=75,V259&lt;175,W259&lt;35),0.3,0)+IF(AND(V259&gt;=75,V259&lt;=175,W259&gt;=35,W259&lt;65),0.23,0)+IF(AND(V259&gt;=75,V259&lt;=175,W259&gt;=65,W259&lt;110),0.17,0)+IF(AND(V259&gt;=75,V259&lt;=175,W259&gt;=110),0.12,0)+IF(AND(V259&gt;175,W259&lt;25),0.3,0)+IF(AND(V259&gt;175,W259&gt;=25,W259&lt;55),0.23,0)+IF(AND(V259&gt;175,W259&gt;=55,W259&lt;95),0.17,0)+IF(AND(V259&gt;175,W259&gt;=95),0.12,0),
IF(AF259="DoEVLo",IF(AND(V259&lt;20,W259&lt;55),0.25,0)+IF(AND(V259&lt;20,W259&gt;=55,W259&lt;105),0.2,0)+IF(AND(V259&lt;20,W259&gt;=105),0.15,0)+IF(AND(V259&gt;=20,V259&lt;40,W259&lt;45),0.25,0)+IF(AND(V259&gt;=20,V259&lt;40,W259&gt;=45,W259&lt;95),0.2,0)+IF(AND(V259&gt;=20,V259&lt;40,W259&gt;=95),0.15,0)+IF(AND(V259&gt;=40,V259&lt;75,W259&lt;35),0.25,0)+IF(AND(V259&gt;=40,V259&lt;75,W259&gt;=35,W259&lt;75),0.2,0)+IF(AND(V259&gt;=40,V259&lt;75,W259&gt;=75,W259&lt;120),0.15,0)+IF(AND(V259&gt;=40,V259&lt;75,W259&gt;=120),0.1,0)+IF(AND(V259&gt;=75,V259&lt;175,W259&lt;35),0.25,0)+IF(AND(V259&gt;=75,V259&lt;=175,W259&gt;=35,W259&lt;65),0.2,0)+IF(AND(V259&gt;=75,V259&lt;=175,W259&gt;=65,W259&lt;110),0.15,0)+IF(AND(V259&gt;=75,V259&lt;=175,W259&gt;=110),0.1,0)+IF(AND(V259&gt;175,W259&lt;25),0.25,0)+IF(AND(V259&gt;175,W259&gt;=25,W259&lt;55),0.2,0)+IF(AND(V259&gt;175,W259&gt;=55,W259&lt;95),0.15,0)+IF(AND(V259&gt;175,W259&gt;=95),0.1,0))))))))))))))))</f>
        <v>0.3</v>
      </c>
      <c r="Y259" s="30">
        <f>IF(AG259="None",0,IF(AG259="Fix5",0.05,IF(AG259="Fix3.75",0.0375,IF(AG259="Fix10",0.1,IF(AG259="Fix3",0.03,0)))))</f>
        <v>0</v>
      </c>
      <c r="Z259" s="35">
        <f>T259-AA259-AB259</f>
        <v>-148.4</v>
      </c>
      <c r="AA259" s="29">
        <f>IF(AD259="EUR",((T259-R259)*X259)*U259+(R259*X259),(T259*X259))</f>
        <v>-63.599999999999994</v>
      </c>
      <c r="AB259" s="36">
        <f>IF(AD259="EUR",((T259-R259)*Y259)*U259+(R259*Y259),(T259*Y259))</f>
        <v>0</v>
      </c>
      <c r="AC259" s="37" t="b">
        <v>1</v>
      </c>
      <c r="AD259" s="37" t="s">
        <v>38</v>
      </c>
      <c r="AE259" s="37" t="s">
        <v>38</v>
      </c>
      <c r="AF259" s="37" t="str">
        <f t="array" ref="AF259">INDEX('Deal Info'!D:D, MATCH(A259,'Deal Info'!A:A, 0))</f>
        <v>SF</v>
      </c>
      <c r="AG259" s="38" t="str">
        <f t="array" ref="AG259">INDEX('Deal Info'!G:G, MATCH(A259,'Deal Info'!A:A, 0))</f>
        <v>None</v>
      </c>
    </row>
    <row r="260" spans="1:33" ht="14.25" hidden="1" x14ac:dyDescent="0.2">
      <c r="A260" s="18" t="str">
        <f t="array" ref="A260">IF(G260='Room Info'!$B$1, INDEX('Room Info'!$A$2:$A2446, MATCH(B260,'Room Info'!$B$2:$B2446, 0)),IF(G260='Room Info'!$C$1, INDEX('Room Info'!$A$2:$A2446, MATCH(B260,'Room Info'!$C$2:$C2446, 0)),IF(G260='Room Info'!$D$1, INDEX('Room Info'!$A$2:$A2446, MATCH(B260,'Room Info'!$D$2:$D2446, 0)),IF(G260='Room Info'!$E$1, INDEX('Room Info'!$A$2:$A2446, MATCH(B260,'Room Info'!$E$2:$E2446, 0)),IF(G260='Room Info'!$F$1, INDEX('Room Info'!$A$2:$A2446, MATCH(B260,'Room Info'!$F$2:$F2446, 0)),IF(G260='Room Info'!$H$1, INDEX('Room Info'!$A$2:$A2446, MATCH(B260,'Room Info'!$H$2:$H2446, 0)),IF(G260='Room Info'!$G$1, INDEX('Room Info'!$A$2:$A2446, MATCH(B260,'Room Info'!$G$2:$G2446, 0)))))))))</f>
        <v>Mexanuk_AV</v>
      </c>
      <c r="B260" s="45" t="s">
        <v>113</v>
      </c>
      <c r="C260" s="92">
        <v>44460</v>
      </c>
      <c r="D260" s="46">
        <v>44489</v>
      </c>
      <c r="E260" s="47">
        <v>44470</v>
      </c>
      <c r="F260" s="48" t="s">
        <v>34</v>
      </c>
      <c r="G260" s="45" t="s">
        <v>35</v>
      </c>
      <c r="H260" s="49" t="s">
        <v>40</v>
      </c>
      <c r="I260" s="49" t="s">
        <v>37</v>
      </c>
      <c r="J260" s="70">
        <v>10</v>
      </c>
      <c r="K260" s="71">
        <v>1973</v>
      </c>
      <c r="L260" s="72">
        <v>420</v>
      </c>
      <c r="M260" s="53">
        <v>113</v>
      </c>
      <c r="N260" s="28">
        <f>K260*J260</f>
        <v>19730</v>
      </c>
      <c r="O260" s="45">
        <v>98631</v>
      </c>
      <c r="P260" s="29">
        <v>49.990369989999998</v>
      </c>
      <c r="Q260" s="55"/>
      <c r="R260" s="31">
        <f>M260+Q260</f>
        <v>113</v>
      </c>
      <c r="S260" s="73">
        <v>321</v>
      </c>
      <c r="T260" s="32">
        <f>R260+S260+IF(F260="Without EV deal",L260,0)</f>
        <v>434</v>
      </c>
      <c r="U260" s="57">
        <v>1</v>
      </c>
      <c r="V260" s="69">
        <v>10</v>
      </c>
      <c r="W260" s="58">
        <v>4.37</v>
      </c>
      <c r="X260" s="30">
        <f>IF(AF260="DoEV",IF(AND(V260&lt;20,W260&lt;55),0.3,0)+IF(AND(V260&lt;20,W260&gt;=55,W260&lt;105),0.23,0)+IF(AND(V260&lt;20,W260&gt;=105),0.17,0)+IF(AND(V260&gt;=20,V260&lt;40,W260&lt;45),0.3,0)+IF(AND(V260&gt;=20,V260&lt;40,W260&gt;=45,W260&lt;95),0.23,0)+IF(AND(V260&gt;=20,V260&lt;40,W260&gt;=95),0.17,0)+IF(AND(V260&gt;=40,V260&lt;75,W260&lt;35),0.3,0)+IF(AND(V260&gt;=40,V260&lt;75,W260&gt;=35,W260&lt;75),0.23,0)+IF(AND(V260&gt;=40,V260&lt;75,W260&gt;=75,W260&lt;120),0.17,0)+IF(AND(V260&gt;=40,V260&lt;75,W260&gt;=120),0.12,0)+IF(AND(V260&gt;=75,V260&lt;175,W260&lt;35),0.3,0)+IF(AND(V260&gt;=75,V260&lt;=175,W260&gt;=35,W260&lt;65),0.23,0)+IF(AND(V260&gt;=75,V260&lt;=175,W260&gt;=65,W260&lt;110),0.17,0)+IF(AND(V260&gt;=75,V260&lt;=175,W260&gt;=110),0.12,0)+IF(AND(V260&gt;175,W260&lt;25),0.3,0)+IF(AND(V260&gt;175,W260&gt;=25,W260&lt;55),0.23,0)+IF(AND(V260&gt;175,W260&gt;=55,W260&lt;95),0.17,0)+IF(AND(V260&gt;175,W260&gt;=95),0.12,0),
IF(AF260="Fix15",0.15,
IF(AF260="Fix11.25",0.1125,
IF(AF260="Fix10",0.1,
IF(AF260="Fix9",0.09,
IF(AF260="DoEV2017",IF(AND(W260&lt;74),0.2,0)+IF(AND(W260&gt;=74),0.17,0),
IF(AF260="SF",IF(AND(V260&lt;20,W260&lt;89),0.3,0)+IF(AND(V260&lt;20,W260&gt;=89),0.25,0)+IF(AND(V260&gt;=20,V260&lt;40,W260&lt;74),0.3,0)+IF(AND(V260&gt;=20,V260&lt;40,W260&gt;=75),0.22,0)+IF(AND(V260&gt;=40,V260&lt;75,W260&lt;75),0.26,0)+IF(AND(V260&gt;=40,V260&lt;75,W260&gt;=75),0.22,0)+IF(V260&gt;=75,0.22,0),
IF(AF260="DoEVold",IF(AND(V260&lt;40,W260&lt;35),0.35,0)+IF(AND(V260&lt;40,W260&gt;=35,W260&lt;75),0.25,0)+IF(AND(V260&lt;40,W260&gt;=75),0.17,0)+IF(AND(V260&gt;=40,V260&lt;75,W260&lt;25),0.35,0)+IF(AND(V260&gt;=40,V260&lt;75,W260&gt;=25,W260&lt;65),0.25,0)+IF(AND(V260&gt;=40,V260&lt;75,W260&gt;=65,W260&lt;100),0.17,0)+IF(AND(V260&gt;=40,V260&lt;75,W260&gt;=100),0.1,0)+IF(AND(V260&gt;=75,W260&lt;25),0.35,0)+IF(AND(V260&gt;=75,W260&gt;=25,W260&lt;60),0.25,0)+IF(AND(V260&gt;=75,W260&gt;=60,W260&lt;95),0.17,0)+IF(AND(V260&gt;=75,W260&gt;=95),0.1,0),
IF(AF260="DoEVold15",IF(AND(V260&lt;=40,W260&lt;35),0.35,0)+IF(AND(V260&lt;=40,W260&gt;=35,W260&lt;75),0.25,0)+IF(AND(V260&lt;=40,W260&gt;=75,W260&lt;120),0.17,0)+IF(AND(V260&lt;=40,W260&gt;=120),0.15,0)+IF(AND(V260&gt;40,V260&lt;75,W260&lt;25),0.35,0)+IF(AND(V260&gt;=40,V260&lt;75,W260&gt;=25,W260&lt;65),0.25,0)+IF(AND(V260&gt;=40,V260&lt;75,W260&gt;=65,W260&lt;100),0.17,0)+IF(AND(V260&gt;=40,V260&lt;75,W260&gt;=100),0.1,0)+IF(AND(V260&gt;=75,W260&lt;25),0.35,0)+IF(AND(V260&gt;=75,W260&gt;=25,W260&lt;60),0.25,0)+IF(AND(V260&gt;=75,W260&gt;=60,W260&lt;95),0.17,0)+IF(AND(V260&gt;=75,W260&gt;=95),0.1,0),
IF(AF260="DoEVba",IF(AND(V260&lt;20,W260&lt;105),0.2,0)+IF(AND(V260&lt;20,W260&gt;=105),0.15,0)+IF(AND(V260&gt;=20,V260&lt;40,W260&lt;95),0.2,0)+IF(AND(V260&gt;=20,V260&lt;40,W260&gt;=95,W260&lt;150),0.15,0)+IF(AND(V260&gt;=20,V260&lt;40,W260&gt;=150),0.12,0)+IF(AND(V260&gt;=40,V260&lt;75,W260&lt;75),0.2,0)+IF(AND(V260&gt;=40,V260&lt;75,W260&gt;=75,W260&lt;120),0.15,0)+IF(AND(V260&gt;=40,V260&lt;75,W260&gt;=120),0.12,0)+IF(AND(V260&gt;=75,V260&lt;175,W260&lt;65),0.2,0)+IF(AND(V260&gt;=75,V260&lt;175,W260&gt;=65,W260&lt;110),0.15,0)+IF(AND(V260&gt;=75,V260&lt;175,W260&gt;=110),0.12,0)+IF(AND(V260&gt;=175,W260&lt;55),0.2,0)+IF(AND(V260&gt;=175,W260&gt;=55,W260&lt;95),0.15,0)+IF(AND(V260&gt;=175,W260&gt;=95),0.12,0),
IF(AF260="DoEVku",IF(AND(V260&lt;20,W260&lt;55),0.23,0)+IF(AND(V260&lt;20,W260&gt;=55,W260&lt;105),0.2,0)+IF(AND(V260&lt;20,W260&gt;=105),0.17,0)+IF(AND(V260&gt;=20,V260&lt;40,W260&lt;45),0.23,0)+IF(AND(V260&gt;=20,V260&lt;40,W260&gt;=45,W260&lt;95),0.2,0)+IF(AND(V260&gt;=20,V260&lt;40,W260&gt;=95,W260&lt;=150),0.17,0)+IF(AND(V260&gt;=20,V260&lt;40,W260&gt;=150),0.12,0)+IF(AND(V260&gt;=40,V260&lt;75,W260&lt;35),0.23,0)+IF(AND(V260&gt;=40,V260&lt;75,W260&gt;=35,W260&lt;75),0.2,0)+IF(AND(V260&gt;=40,V260&lt;75,W260&gt;=75,W260&lt;120),0.17,0)+IF(AND(V260&gt;=40,V260&lt;75,W260&gt;=120),0.12,0)+IF(AND(V260&gt;=75,V260&lt;175,W260&lt;35),0.23,0)+IF(AND(V260&gt;=75,V260&lt;=175,W260&gt;=35,W260&lt;65),0.2,0)+IF(AND(V260&gt;=75,V260&lt;=175,W260&gt;=65,W260&lt;110),0.17,0)+IF(AND(V260&gt;=75,V260&lt;=175,W260&gt;=110),0.12,0)+IF(AND(V260&gt;175,W260&lt;25),0.23,0)+IF(AND(V260&gt;175,W260&gt;=25,W260&lt;55),0.2,0)+IF(AND(V260&gt;175,W260&gt;=55,W260&lt;95),0.17,0)+IF(AND(V260&gt;175,W260&gt;=95),0.12,0),
IF(AF260="DoEVs1",IF(AND(V260&lt;20,W260&lt;55),0.3,0)+IF(AND(V260&lt;20,W260&gt;=55,W260&lt;105),0.23,0)+IF(AND(V260&lt;20,W260&gt;=105),0.17,0)+IF(AND(V260&gt;=20,V260&lt;40,W260&lt;45),0.3,0)+IF(AND(V260&gt;=20,V260&lt;40,W260&gt;=45,W260&lt;95),0.23,0)+IF(AND(V260&gt;=20,V260&lt;40,W260&gt;=95,W260&lt;=150),0.17,0)+IF(AND(V260&gt;=20,V260&lt;40,W260&gt;=150),0.12,0)+IF(AND(V260&gt;=40,V260&lt;75,W260&lt;35),0.3,0)+IF(AND(V260&gt;=40,V260&lt;75,W260&gt;=35,W260&lt;75),0.23,0)+IF(AND(V260&gt;=40,V260&lt;75,W260&gt;=75,W260&lt;120),0.17,0)+IF(AND(V260&gt;=40,V260&lt;75,W260&gt;=120),0.12,0)+IF(AND(V260&gt;=75,V260&lt;175,W260&lt;35),0.3,0)+IF(AND(V260&gt;=75,V260&lt;=175,W260&gt;=35,W260&lt;65),0.23,0)+IF(AND(V260&gt;=75,V260&lt;=175,W260&gt;=65,W260&lt;110),0.17,0)+IF(AND(V260&gt;=75,V260&lt;=175,W260&gt;=110),0.12,0)+IF(AND(V260&gt;175,W260&lt;25),0.3,0)+IF(AND(V260&gt;175,W260&gt;=25,W260&lt;55),0.23,0)+IF(AND(V260&gt;175,W260&gt;=55,W260&lt;95),0.17,0)+IF(AND(V260&gt;175,W260&gt;=95),0.12,0),
IF(AF260="DoEVsu",IF(AND(V260&lt;20,W260&lt;55),0.3,0)+IF(AND(V260&lt;20,W260&gt;=55,W260&lt;105),0.23,0)+IF(AND(V260&lt;20,W260&gt;=105),0.17,0)+IF(AND(V260&gt;=20,V260&lt;40,W260&lt;45),0.3,0)+IF(AND(V260&gt;=20,V260&lt;40,W260&gt;=45,W260&lt;95),0.23,0)+IF(AND(V260&gt;=20,V260&lt;40,W260&gt;=95,W260&lt;=250),0.17,0)+IF(AND(V260&gt;=20,V260&lt;40,W260&gt;=250),0.12,0)+IF(AND(V260&gt;=40,V260&lt;75,W260&lt;35),0.3,0)+IF(AND(V260&gt;=40,V260&lt;75,W260&gt;=35,W260&lt;75),0.23,0)+IF(AND(V260&gt;=40,V260&lt;75,W260&gt;=75,W260&lt;120),0.17,0)+IF(AND(V260&gt;=40,V260&lt;75,W260&gt;=120),0.12,0)+IF(AND(V260&gt;=75,V260&lt;175,W260&lt;35),0.3,0)+IF(AND(V260&gt;=75,V260&lt;=175,W260&gt;=35,W260&lt;65),0.23,0)+IF(AND(V260&gt;=75,V260&lt;=175,W260&gt;=65,W260&lt;110),0.17,0)+IF(AND(V260&gt;=75,V260&lt;=175,W260&gt;=110),0.12,0)+IF(AND(V260&gt;175,W260&lt;25),0.3,0)+IF(AND(V260&gt;175,W260&gt;=25,W260&lt;55),0.23,0)+IF(AND(V260&gt;175,W260&gt;=55,W260&lt;95),0.17,0)+IF(AND(V260&gt;175,W260&gt;=95),0.12,0),
IF(AF260="DoEVni",IF(AND(V260&lt;20,W260&lt;55),0.3,0)+IF(AND(V260&lt;20,W260&gt;=55,W260&lt;105),0.23,0)+IF(AND(V260&lt;20,W260&gt;=105),0.17,0)+IF(AND(V260&gt;=20,V260&lt;40,W260&lt;45),0.3,0)+IF(AND(V260&gt;=20,V260&lt;40,W260&gt;=45,W260&lt;95),0.23,0)+IF(AND(V260&gt;=20,V260&lt;40,W260&gt;=95,W260&lt;=200),0.17,0)+IF(AND(V260&gt;=20,V260&lt;40,W260&gt;=200),0.12,0)+IF(AND(V260&gt;=40,V260&lt;75,W260&lt;35),0.3,0)+IF(AND(V260&gt;=40,V260&lt;75,W260&gt;=35,W260&lt;75),0.23,0)+IF(AND(V260&gt;=40,V260&lt;75,W260&gt;=75,W260&lt;120),0.17,0)+IF(AND(V260&gt;=40,V260&lt;75,W260&gt;=120),0.12,0)+IF(AND(V260&gt;=75,V260&lt;175,W260&lt;35),0.3,0)+IF(AND(V260&gt;=75,V260&lt;=175,W260&gt;=35,W260&lt;65),0.23,0)+IF(AND(V260&gt;=75,V260&lt;=175,W260&gt;=65,W260&lt;110),0.17,0)+IF(AND(V260&gt;=75,V260&lt;=175,W260&gt;=110),0.12,0)+IF(AND(V260&gt;175,W260&lt;25),0.3,0)+IF(AND(V260&gt;175,W260&gt;=25,W260&lt;55),0.23,0)+IF(AND(V260&gt;175,W260&gt;=55,W260&lt;95),0.17,0)+IF(AND(V260&gt;175,W260&gt;=95),0.12,0),
IF(AF260="DoEVLo",IF(AND(V260&lt;20,W260&lt;55),0.25,0)+IF(AND(V260&lt;20,W260&gt;=55,W260&lt;105),0.2,0)+IF(AND(V260&lt;20,W260&gt;=105),0.15,0)+IF(AND(V260&gt;=20,V260&lt;40,W260&lt;45),0.25,0)+IF(AND(V260&gt;=20,V260&lt;40,W260&gt;=45,W260&lt;95),0.2,0)+IF(AND(V260&gt;=20,V260&lt;40,W260&gt;=95),0.15,0)+IF(AND(V260&gt;=40,V260&lt;75,W260&lt;35),0.25,0)+IF(AND(V260&gt;=40,V260&lt;75,W260&gt;=35,W260&lt;75),0.2,0)+IF(AND(V260&gt;=40,V260&lt;75,W260&gt;=75,W260&lt;120),0.15,0)+IF(AND(V260&gt;=40,V260&lt;75,W260&gt;=120),0.1,0)+IF(AND(V260&gt;=75,V260&lt;175,W260&lt;35),0.25,0)+IF(AND(V260&gt;=75,V260&lt;=175,W260&gt;=35,W260&lt;65),0.2,0)+IF(AND(V260&gt;=75,V260&lt;=175,W260&gt;=65,W260&lt;110),0.15,0)+IF(AND(V260&gt;=75,V260&lt;=175,W260&gt;=110),0.1,0)+IF(AND(V260&gt;175,W260&lt;25),0.25,0)+IF(AND(V260&gt;175,W260&gt;=25,W260&lt;55),0.2,0)+IF(AND(V260&gt;175,W260&gt;=55,W260&lt;95),0.15,0)+IF(AND(V260&gt;175,W260&gt;=95),0.1,0))))))))))))))))</f>
        <v>0.3</v>
      </c>
      <c r="Y260" s="30">
        <f>IF(AG260="None",0,IF(AG260="Fix5",0.05,IF(AG260="Fix3.75",0.0375,IF(AG260="Fix10",0.1,IF(AG260="Fix3",0.03,0)))))</f>
        <v>0</v>
      </c>
      <c r="Z260" s="35">
        <f>T260-AA260-AB260</f>
        <v>303.8</v>
      </c>
      <c r="AA260" s="29">
        <f>IF(AD260="EUR",((T260-R260)*X260)*U260+(R260*X260),(T260*X260))</f>
        <v>130.19999999999999</v>
      </c>
      <c r="AB260" s="36">
        <f>IF(AD260="EUR",((T260-R260)*Y260)*U260+(R260*Y260),(T260*Y260))</f>
        <v>0</v>
      </c>
      <c r="AC260" s="37" t="b">
        <v>1</v>
      </c>
      <c r="AD260" s="37" t="s">
        <v>38</v>
      </c>
      <c r="AE260" s="37" t="s">
        <v>38</v>
      </c>
      <c r="AF260" s="37" t="str">
        <f t="array" ref="AF260">INDEX('Deal Info'!D:D, MATCH(A260,'Deal Info'!A:A, 0))</f>
        <v>SF</v>
      </c>
      <c r="AG260" s="38" t="str">
        <f t="array" ref="AG260">INDEX('Deal Info'!G:G, MATCH(A260,'Deal Info'!A:A, 0))</f>
        <v>None</v>
      </c>
    </row>
    <row r="261" spans="1:33" ht="14.25" hidden="1" x14ac:dyDescent="0.2">
      <c r="A261" s="18" t="str">
        <f t="array" ref="A261">IF(G261='Room Info'!$B$1, INDEX('Room Info'!$A$2:$A2446, MATCH(B261,'Room Info'!$B$2:$B2446, 0)),IF(G261='Room Info'!$C$1, INDEX('Room Info'!$A$2:$A2446, MATCH(B261,'Room Info'!$C$2:$C2446, 0)),IF(G261='Room Info'!$D$1, INDEX('Room Info'!$A$2:$A2446, MATCH(B261,'Room Info'!$D$2:$D2446, 0)),IF(G261='Room Info'!$E$1, INDEX('Room Info'!$A$2:$A2446, MATCH(B261,'Room Info'!$E$2:$E2446, 0)),IF(G261='Room Info'!$F$1, INDEX('Room Info'!$A$2:$A2446, MATCH(B261,'Room Info'!$F$2:$F2446, 0)),IF(G261='Room Info'!$H$1, INDEX('Room Info'!$A$2:$A2446, MATCH(B261,'Room Info'!$H$2:$H2446, 0)),IF(G261='Room Info'!$G$1, INDEX('Room Info'!$A$2:$A2446, MATCH(B261,'Room Info'!$G$2:$G2446, 0)))))))))</f>
        <v>Mexanuk_AV</v>
      </c>
      <c r="B261" s="45" t="s">
        <v>113</v>
      </c>
      <c r="C261" s="92">
        <v>44490</v>
      </c>
      <c r="D261" s="46">
        <v>44520</v>
      </c>
      <c r="E261" s="47">
        <v>44501</v>
      </c>
      <c r="F261" s="48" t="s">
        <v>34</v>
      </c>
      <c r="G261" s="45" t="s">
        <v>35</v>
      </c>
      <c r="H261" s="49" t="s">
        <v>39</v>
      </c>
      <c r="I261" s="49" t="s">
        <v>37</v>
      </c>
      <c r="J261" s="70">
        <v>5</v>
      </c>
      <c r="K261" s="71">
        <v>5</v>
      </c>
      <c r="L261" s="72">
        <v>-5</v>
      </c>
      <c r="M261" s="53">
        <v>2</v>
      </c>
      <c r="N261" s="28">
        <f>K261*J261</f>
        <v>25</v>
      </c>
      <c r="O261" s="45">
        <v>839</v>
      </c>
      <c r="P261" s="29">
        <v>167.8</v>
      </c>
      <c r="Q261" s="55"/>
      <c r="R261" s="31">
        <f>M261+Q261</f>
        <v>2</v>
      </c>
      <c r="S261" s="73">
        <v>5</v>
      </c>
      <c r="T261" s="32">
        <f>R261+S261+IF(F261="Without EV deal",L261,0)</f>
        <v>7</v>
      </c>
      <c r="U261" s="57">
        <v>1</v>
      </c>
      <c r="V261" s="69">
        <v>9.9865446716899893</v>
      </c>
      <c r="W261" s="69">
        <v>101.73689032605766</v>
      </c>
      <c r="X261" s="30">
        <f>IF(AF261="DoEV",IF(AND(V261&lt;20,W261&lt;55),0.3,0)+IF(AND(V261&lt;20,W261&gt;=55,W261&lt;105),0.23,0)+IF(AND(V261&lt;20,W261&gt;=105),0.17,0)+IF(AND(V261&gt;=20,V261&lt;40,W261&lt;45),0.3,0)+IF(AND(V261&gt;=20,V261&lt;40,W261&gt;=45,W261&lt;95),0.23,0)+IF(AND(V261&gt;=20,V261&lt;40,W261&gt;=95),0.17,0)+IF(AND(V261&gt;=40,V261&lt;75,W261&lt;35),0.3,0)+IF(AND(V261&gt;=40,V261&lt;75,W261&gt;=35,W261&lt;75),0.23,0)+IF(AND(V261&gt;=40,V261&lt;75,W261&gt;=75,W261&lt;120),0.17,0)+IF(AND(V261&gt;=40,V261&lt;75,W261&gt;=120),0.12,0)+IF(AND(V261&gt;=75,V261&lt;175,W261&lt;35),0.3,0)+IF(AND(V261&gt;=75,V261&lt;=175,W261&gt;=35,W261&lt;65),0.23,0)+IF(AND(V261&gt;=75,V261&lt;=175,W261&gt;=65,W261&lt;110),0.17,0)+IF(AND(V261&gt;=75,V261&lt;=175,W261&gt;=110),0.12,0)+IF(AND(V261&gt;175,W261&lt;25),0.3,0)+IF(AND(V261&gt;175,W261&gt;=25,W261&lt;55),0.23,0)+IF(AND(V261&gt;175,W261&gt;=55,W261&lt;95),0.17,0)+IF(AND(V261&gt;175,W261&gt;=95),0.12,0),
IF(AF261="Fix15",0.15,
IF(AF261="Fix11.25",0.1125,
IF(AF261="Fix10",0.1,
IF(AF261="Fix9",0.09,
IF(AF261="DoEV2017",IF(AND(W261&lt;74),0.2,0)+IF(AND(W261&gt;=74),0.17,0),
IF(AF261="SF",IF(AND(V261&lt;20,W261&lt;89),0.3,0)+IF(AND(V261&lt;20,W261&gt;=89),0.25,0)+IF(AND(V261&gt;=20,V261&lt;40,W261&lt;74),0.3,0)+IF(AND(V261&gt;=20,V261&lt;40,W261&gt;=75),0.22,0)+IF(AND(V261&gt;=40,V261&lt;75,W261&lt;75),0.26,0)+IF(AND(V261&gt;=40,V261&lt;75,W261&gt;=75),0.22,0)+IF(V261&gt;=75,0.22,0),
IF(AF261="DoEVold",IF(AND(V261&lt;40,W261&lt;35),0.35,0)+IF(AND(V261&lt;40,W261&gt;=35,W261&lt;75),0.25,0)+IF(AND(V261&lt;40,W261&gt;=75),0.17,0)+IF(AND(V261&gt;=40,V261&lt;75,W261&lt;25),0.35,0)+IF(AND(V261&gt;=40,V261&lt;75,W261&gt;=25,W261&lt;65),0.25,0)+IF(AND(V261&gt;=40,V261&lt;75,W261&gt;=65,W261&lt;100),0.17,0)+IF(AND(V261&gt;=40,V261&lt;75,W261&gt;=100),0.1,0)+IF(AND(V261&gt;=75,W261&lt;25),0.35,0)+IF(AND(V261&gt;=75,W261&gt;=25,W261&lt;60),0.25,0)+IF(AND(V261&gt;=75,W261&gt;=60,W261&lt;95),0.17,0)+IF(AND(V261&gt;=75,W261&gt;=95),0.1,0),
IF(AF261="DoEVold15",IF(AND(V261&lt;=40,W261&lt;35),0.35,0)+IF(AND(V261&lt;=40,W261&gt;=35,W261&lt;75),0.25,0)+IF(AND(V261&lt;=40,W261&gt;=75,W261&lt;120),0.17,0)+IF(AND(V261&lt;=40,W261&gt;=120),0.15,0)+IF(AND(V261&gt;40,V261&lt;75,W261&lt;25),0.35,0)+IF(AND(V261&gt;=40,V261&lt;75,W261&gt;=25,W261&lt;65),0.25,0)+IF(AND(V261&gt;=40,V261&lt;75,W261&gt;=65,W261&lt;100),0.17,0)+IF(AND(V261&gt;=40,V261&lt;75,W261&gt;=100),0.1,0)+IF(AND(V261&gt;=75,W261&lt;25),0.35,0)+IF(AND(V261&gt;=75,W261&gt;=25,W261&lt;60),0.25,0)+IF(AND(V261&gt;=75,W261&gt;=60,W261&lt;95),0.17,0)+IF(AND(V261&gt;=75,W261&gt;=95),0.1,0),
IF(AF261="DoEVba",IF(AND(V261&lt;20,W261&lt;105),0.2,0)+IF(AND(V261&lt;20,W261&gt;=105),0.15,0)+IF(AND(V261&gt;=20,V261&lt;40,W261&lt;95),0.2,0)+IF(AND(V261&gt;=20,V261&lt;40,W261&gt;=95,W261&lt;150),0.15,0)+IF(AND(V261&gt;=20,V261&lt;40,W261&gt;=150),0.12,0)+IF(AND(V261&gt;=40,V261&lt;75,W261&lt;75),0.2,0)+IF(AND(V261&gt;=40,V261&lt;75,W261&gt;=75,W261&lt;120),0.15,0)+IF(AND(V261&gt;=40,V261&lt;75,W261&gt;=120),0.12,0)+IF(AND(V261&gt;=75,V261&lt;175,W261&lt;65),0.2,0)+IF(AND(V261&gt;=75,V261&lt;175,W261&gt;=65,W261&lt;110),0.15,0)+IF(AND(V261&gt;=75,V261&lt;175,W261&gt;=110),0.12,0)+IF(AND(V261&gt;=175,W261&lt;55),0.2,0)+IF(AND(V261&gt;=175,W261&gt;=55,W261&lt;95),0.15,0)+IF(AND(V261&gt;=175,W261&gt;=95),0.12,0),
IF(AF261="DoEVku",IF(AND(V261&lt;20,W261&lt;55),0.23,0)+IF(AND(V261&lt;20,W261&gt;=55,W261&lt;105),0.2,0)+IF(AND(V261&lt;20,W261&gt;=105),0.17,0)+IF(AND(V261&gt;=20,V261&lt;40,W261&lt;45),0.23,0)+IF(AND(V261&gt;=20,V261&lt;40,W261&gt;=45,W261&lt;95),0.2,0)+IF(AND(V261&gt;=20,V261&lt;40,W261&gt;=95,W261&lt;=150),0.17,0)+IF(AND(V261&gt;=20,V261&lt;40,W261&gt;=150),0.12,0)+IF(AND(V261&gt;=40,V261&lt;75,W261&lt;35),0.23,0)+IF(AND(V261&gt;=40,V261&lt;75,W261&gt;=35,W261&lt;75),0.2,0)+IF(AND(V261&gt;=40,V261&lt;75,W261&gt;=75,W261&lt;120),0.17,0)+IF(AND(V261&gt;=40,V261&lt;75,W261&gt;=120),0.12,0)+IF(AND(V261&gt;=75,V261&lt;175,W261&lt;35),0.23,0)+IF(AND(V261&gt;=75,V261&lt;=175,W261&gt;=35,W261&lt;65),0.2,0)+IF(AND(V261&gt;=75,V261&lt;=175,W261&gt;=65,W261&lt;110),0.17,0)+IF(AND(V261&gt;=75,V261&lt;=175,W261&gt;=110),0.12,0)+IF(AND(V261&gt;175,W261&lt;25),0.23,0)+IF(AND(V261&gt;175,W261&gt;=25,W261&lt;55),0.2,0)+IF(AND(V261&gt;175,W261&gt;=55,W261&lt;95),0.17,0)+IF(AND(V261&gt;175,W261&gt;=95),0.12,0),
IF(AF261="DoEVs1",IF(AND(V261&lt;20,W261&lt;55),0.3,0)+IF(AND(V261&lt;20,W261&gt;=55,W261&lt;105),0.23,0)+IF(AND(V261&lt;20,W261&gt;=105),0.17,0)+IF(AND(V261&gt;=20,V261&lt;40,W261&lt;45),0.3,0)+IF(AND(V261&gt;=20,V261&lt;40,W261&gt;=45,W261&lt;95),0.23,0)+IF(AND(V261&gt;=20,V261&lt;40,W261&gt;=95,W261&lt;=150),0.17,0)+IF(AND(V261&gt;=20,V261&lt;40,W261&gt;=150),0.12,0)+IF(AND(V261&gt;=40,V261&lt;75,W261&lt;35),0.3,0)+IF(AND(V261&gt;=40,V261&lt;75,W261&gt;=35,W261&lt;75),0.23,0)+IF(AND(V261&gt;=40,V261&lt;75,W261&gt;=75,W261&lt;120),0.17,0)+IF(AND(V261&gt;=40,V261&lt;75,W261&gt;=120),0.12,0)+IF(AND(V261&gt;=75,V261&lt;175,W261&lt;35),0.3,0)+IF(AND(V261&gt;=75,V261&lt;=175,W261&gt;=35,W261&lt;65),0.23,0)+IF(AND(V261&gt;=75,V261&lt;=175,W261&gt;=65,W261&lt;110),0.17,0)+IF(AND(V261&gt;=75,V261&lt;=175,W261&gt;=110),0.12,0)+IF(AND(V261&gt;175,W261&lt;25),0.3,0)+IF(AND(V261&gt;175,W261&gt;=25,W261&lt;55),0.23,0)+IF(AND(V261&gt;175,W261&gt;=55,W261&lt;95),0.17,0)+IF(AND(V261&gt;175,W261&gt;=95),0.12,0),
IF(AF261="DoEVsu",IF(AND(V261&lt;20,W261&lt;55),0.3,0)+IF(AND(V261&lt;20,W261&gt;=55,W261&lt;105),0.23,0)+IF(AND(V261&lt;20,W261&gt;=105),0.17,0)+IF(AND(V261&gt;=20,V261&lt;40,W261&lt;45),0.3,0)+IF(AND(V261&gt;=20,V261&lt;40,W261&gt;=45,W261&lt;95),0.23,0)+IF(AND(V261&gt;=20,V261&lt;40,W261&gt;=95,W261&lt;=250),0.17,0)+IF(AND(V261&gt;=20,V261&lt;40,W261&gt;=250),0.12,0)+IF(AND(V261&gt;=40,V261&lt;75,W261&lt;35),0.3,0)+IF(AND(V261&gt;=40,V261&lt;75,W261&gt;=35,W261&lt;75),0.23,0)+IF(AND(V261&gt;=40,V261&lt;75,W261&gt;=75,W261&lt;120),0.17,0)+IF(AND(V261&gt;=40,V261&lt;75,W261&gt;=120),0.12,0)+IF(AND(V261&gt;=75,V261&lt;175,W261&lt;35),0.3,0)+IF(AND(V261&gt;=75,V261&lt;=175,W261&gt;=35,W261&lt;65),0.23,0)+IF(AND(V261&gt;=75,V261&lt;=175,W261&gt;=65,W261&lt;110),0.17,0)+IF(AND(V261&gt;=75,V261&lt;=175,W261&gt;=110),0.12,0)+IF(AND(V261&gt;175,W261&lt;25),0.3,0)+IF(AND(V261&gt;175,W261&gt;=25,W261&lt;55),0.23,0)+IF(AND(V261&gt;175,W261&gt;=55,W261&lt;95),0.17,0)+IF(AND(V261&gt;175,W261&gt;=95),0.12,0),
IF(AF261="DoEVni",IF(AND(V261&lt;20,W261&lt;55),0.3,0)+IF(AND(V261&lt;20,W261&gt;=55,W261&lt;105),0.23,0)+IF(AND(V261&lt;20,W261&gt;=105),0.17,0)+IF(AND(V261&gt;=20,V261&lt;40,W261&lt;45),0.3,0)+IF(AND(V261&gt;=20,V261&lt;40,W261&gt;=45,W261&lt;95),0.23,0)+IF(AND(V261&gt;=20,V261&lt;40,W261&gt;=95,W261&lt;=200),0.17,0)+IF(AND(V261&gt;=20,V261&lt;40,W261&gt;=200),0.12,0)+IF(AND(V261&gt;=40,V261&lt;75,W261&lt;35),0.3,0)+IF(AND(V261&gt;=40,V261&lt;75,W261&gt;=35,W261&lt;75),0.23,0)+IF(AND(V261&gt;=40,V261&lt;75,W261&gt;=75,W261&lt;120),0.17,0)+IF(AND(V261&gt;=40,V261&lt;75,W261&gt;=120),0.12,0)+IF(AND(V261&gt;=75,V261&lt;175,W261&lt;35),0.3,0)+IF(AND(V261&gt;=75,V261&lt;=175,W261&gt;=35,W261&lt;65),0.23,0)+IF(AND(V261&gt;=75,V261&lt;=175,W261&gt;=65,W261&lt;110),0.17,0)+IF(AND(V261&gt;=75,V261&lt;=175,W261&gt;=110),0.12,0)+IF(AND(V261&gt;175,W261&lt;25),0.3,0)+IF(AND(V261&gt;175,W261&gt;=25,W261&lt;55),0.23,0)+IF(AND(V261&gt;175,W261&gt;=55,W261&lt;95),0.17,0)+IF(AND(V261&gt;175,W261&gt;=95),0.12,0),
IF(AF261="DoEVLo",IF(AND(V261&lt;20,W261&lt;55),0.25,0)+IF(AND(V261&lt;20,W261&gt;=55,W261&lt;105),0.2,0)+IF(AND(V261&lt;20,W261&gt;=105),0.15,0)+IF(AND(V261&gt;=20,V261&lt;40,W261&lt;45),0.25,0)+IF(AND(V261&gt;=20,V261&lt;40,W261&gt;=45,W261&lt;95),0.2,0)+IF(AND(V261&gt;=20,V261&lt;40,W261&gt;=95),0.15,0)+IF(AND(V261&gt;=40,V261&lt;75,W261&lt;35),0.25,0)+IF(AND(V261&gt;=40,V261&lt;75,W261&gt;=35,W261&lt;75),0.2,0)+IF(AND(V261&gt;=40,V261&lt;75,W261&gt;=75,W261&lt;120),0.15,0)+IF(AND(V261&gt;=40,V261&lt;75,W261&gt;=120),0.1,0)+IF(AND(V261&gt;=75,V261&lt;175,W261&lt;35),0.25,0)+IF(AND(V261&gt;=75,V261&lt;=175,W261&gt;=35,W261&lt;65),0.2,0)+IF(AND(V261&gt;=75,V261&lt;=175,W261&gt;=65,W261&lt;110),0.15,0)+IF(AND(V261&gt;=75,V261&lt;=175,W261&gt;=110),0.1,0)+IF(AND(V261&gt;175,W261&lt;25),0.25,0)+IF(AND(V261&gt;175,W261&gt;=25,W261&lt;55),0.2,0)+IF(AND(V261&gt;175,W261&gt;=55,W261&lt;95),0.15,0)+IF(AND(V261&gt;175,W261&gt;=95),0.1,0))))))))))))))))</f>
        <v>0.25</v>
      </c>
      <c r="Y261" s="30">
        <f>IF(AG261="None",0,IF(AG261="Fix5",0.05,IF(AG261="Fix3.75",0.0375,IF(AG261="Fix10",0.1,IF(AG261="Fix3",0.03,0)))))</f>
        <v>0</v>
      </c>
      <c r="Z261" s="35">
        <f>T261-AA261-AB261</f>
        <v>5.25</v>
      </c>
      <c r="AA261" s="29">
        <f>IF(AD261="EUR",((T261-R261)*X261)*U261+(R261*X261),(T261*X261))</f>
        <v>1.75</v>
      </c>
      <c r="AB261" s="36">
        <f>IF(AD261="EUR",((T261-R261)*Y261)*U261+(R261*Y261),(T261*Y261))</f>
        <v>0</v>
      </c>
      <c r="AC261" s="37" t="b">
        <v>1</v>
      </c>
      <c r="AD261" s="37" t="s">
        <v>38</v>
      </c>
      <c r="AE261" s="37" t="s">
        <v>38</v>
      </c>
      <c r="AF261" s="37" t="str">
        <f t="array" ref="AF261">INDEX('Deal Info'!D:D, MATCH(A261,'Deal Info'!A:A, 0))</f>
        <v>SF</v>
      </c>
      <c r="AG261" s="38" t="str">
        <f t="array" ref="AG261">INDEX('Deal Info'!G:G, MATCH(A261,'Deal Info'!A:A, 0))</f>
        <v>None</v>
      </c>
    </row>
    <row r="262" spans="1:33" ht="14.25" hidden="1" x14ac:dyDescent="0.2">
      <c r="A262" s="18" t="str">
        <f t="array" ref="A262">IF(G262='Room Info'!$B$1, INDEX('Room Info'!$A$2:$A2446, MATCH(B262,'Room Info'!$B$2:$B2446, 0)),IF(G262='Room Info'!$C$1, INDEX('Room Info'!$A$2:$A2446, MATCH(B262,'Room Info'!$C$2:$C2446, 0)),IF(G262='Room Info'!$D$1, INDEX('Room Info'!$A$2:$A2446, MATCH(B262,'Room Info'!$D$2:$D2446, 0)),IF(G262='Room Info'!$E$1, INDEX('Room Info'!$A$2:$A2446, MATCH(B262,'Room Info'!$E$2:$E2446, 0)),IF(G262='Room Info'!$F$1, INDEX('Room Info'!$A$2:$A2446, MATCH(B262,'Room Info'!$F$2:$F2446, 0)),IF(G262='Room Info'!$H$1, INDEX('Room Info'!$A$2:$A2446, MATCH(B262,'Room Info'!$H$2:$H2446, 0)),IF(G262='Room Info'!$G$1, INDEX('Room Info'!$A$2:$A2446, MATCH(B262,'Room Info'!$G$2:$G2446, 0)))))))))</f>
        <v>Mexanuk_AV</v>
      </c>
      <c r="B262" s="45" t="s">
        <v>113</v>
      </c>
      <c r="C262" s="92">
        <v>44490</v>
      </c>
      <c r="D262" s="46">
        <v>44520</v>
      </c>
      <c r="E262" s="47">
        <v>44501</v>
      </c>
      <c r="F262" s="48" t="s">
        <v>34</v>
      </c>
      <c r="G262" s="45" t="s">
        <v>35</v>
      </c>
      <c r="H262" s="49" t="s">
        <v>40</v>
      </c>
      <c r="I262" s="49" t="s">
        <v>37</v>
      </c>
      <c r="J262" s="70">
        <v>10</v>
      </c>
      <c r="K262" s="71">
        <v>1853</v>
      </c>
      <c r="L262" s="72">
        <v>-1390</v>
      </c>
      <c r="M262" s="53">
        <v>1353</v>
      </c>
      <c r="N262" s="28">
        <f>K262*J262</f>
        <v>18530</v>
      </c>
      <c r="O262" s="45">
        <v>55305</v>
      </c>
      <c r="P262" s="29">
        <v>29.846195359999999</v>
      </c>
      <c r="Q262" s="55"/>
      <c r="R262" s="31">
        <f>M262+Q262</f>
        <v>1353</v>
      </c>
      <c r="S262" s="73">
        <v>-344</v>
      </c>
      <c r="T262" s="32">
        <f>R262+S262+IF(F262="Without EV deal",L262,0)</f>
        <v>1009</v>
      </c>
      <c r="U262" s="57">
        <v>1</v>
      </c>
      <c r="V262" s="69">
        <v>9.9865446716899893</v>
      </c>
      <c r="W262" s="69">
        <v>101.73689032605766</v>
      </c>
      <c r="X262" s="30">
        <f>IF(AF262="DoEV",IF(AND(V262&lt;20,W262&lt;55),0.3,0)+IF(AND(V262&lt;20,W262&gt;=55,W262&lt;105),0.23,0)+IF(AND(V262&lt;20,W262&gt;=105),0.17,0)+IF(AND(V262&gt;=20,V262&lt;40,W262&lt;45),0.3,0)+IF(AND(V262&gt;=20,V262&lt;40,W262&gt;=45,W262&lt;95),0.23,0)+IF(AND(V262&gt;=20,V262&lt;40,W262&gt;=95),0.17,0)+IF(AND(V262&gt;=40,V262&lt;75,W262&lt;35),0.3,0)+IF(AND(V262&gt;=40,V262&lt;75,W262&gt;=35,W262&lt;75),0.23,0)+IF(AND(V262&gt;=40,V262&lt;75,W262&gt;=75,W262&lt;120),0.17,0)+IF(AND(V262&gt;=40,V262&lt;75,W262&gt;=120),0.12,0)+IF(AND(V262&gt;=75,V262&lt;175,W262&lt;35),0.3,0)+IF(AND(V262&gt;=75,V262&lt;=175,W262&gt;=35,W262&lt;65),0.23,0)+IF(AND(V262&gt;=75,V262&lt;=175,W262&gt;=65,W262&lt;110),0.17,0)+IF(AND(V262&gt;=75,V262&lt;=175,W262&gt;=110),0.12,0)+IF(AND(V262&gt;175,W262&lt;25),0.3,0)+IF(AND(V262&gt;175,W262&gt;=25,W262&lt;55),0.23,0)+IF(AND(V262&gt;175,W262&gt;=55,W262&lt;95),0.17,0)+IF(AND(V262&gt;175,W262&gt;=95),0.12,0),
IF(AF262="Fix15",0.15,
IF(AF262="Fix11.25",0.1125,
IF(AF262="Fix10",0.1,
IF(AF262="Fix9",0.09,
IF(AF262="DoEV2017",IF(AND(W262&lt;74),0.2,0)+IF(AND(W262&gt;=74),0.17,0),
IF(AF262="SF",IF(AND(V262&lt;20,W262&lt;89),0.3,0)+IF(AND(V262&lt;20,W262&gt;=89),0.25,0)+IF(AND(V262&gt;=20,V262&lt;40,W262&lt;74),0.3,0)+IF(AND(V262&gt;=20,V262&lt;40,W262&gt;=75),0.22,0)+IF(AND(V262&gt;=40,V262&lt;75,W262&lt;75),0.26,0)+IF(AND(V262&gt;=40,V262&lt;75,W262&gt;=75),0.22,0)+IF(V262&gt;=75,0.22,0),
IF(AF262="DoEVold",IF(AND(V262&lt;40,W262&lt;35),0.35,0)+IF(AND(V262&lt;40,W262&gt;=35,W262&lt;75),0.25,0)+IF(AND(V262&lt;40,W262&gt;=75),0.17,0)+IF(AND(V262&gt;=40,V262&lt;75,W262&lt;25),0.35,0)+IF(AND(V262&gt;=40,V262&lt;75,W262&gt;=25,W262&lt;65),0.25,0)+IF(AND(V262&gt;=40,V262&lt;75,W262&gt;=65,W262&lt;100),0.17,0)+IF(AND(V262&gt;=40,V262&lt;75,W262&gt;=100),0.1,0)+IF(AND(V262&gt;=75,W262&lt;25),0.35,0)+IF(AND(V262&gt;=75,W262&gt;=25,W262&lt;60),0.25,0)+IF(AND(V262&gt;=75,W262&gt;=60,W262&lt;95),0.17,0)+IF(AND(V262&gt;=75,W262&gt;=95),0.1,0),
IF(AF262="DoEVold15",IF(AND(V262&lt;=40,W262&lt;35),0.35,0)+IF(AND(V262&lt;=40,W262&gt;=35,W262&lt;75),0.25,0)+IF(AND(V262&lt;=40,W262&gt;=75,W262&lt;120),0.17,0)+IF(AND(V262&lt;=40,W262&gt;=120),0.15,0)+IF(AND(V262&gt;40,V262&lt;75,W262&lt;25),0.35,0)+IF(AND(V262&gt;=40,V262&lt;75,W262&gt;=25,W262&lt;65),0.25,0)+IF(AND(V262&gt;=40,V262&lt;75,W262&gt;=65,W262&lt;100),0.17,0)+IF(AND(V262&gt;=40,V262&lt;75,W262&gt;=100),0.1,0)+IF(AND(V262&gt;=75,W262&lt;25),0.35,0)+IF(AND(V262&gt;=75,W262&gt;=25,W262&lt;60),0.25,0)+IF(AND(V262&gt;=75,W262&gt;=60,W262&lt;95),0.17,0)+IF(AND(V262&gt;=75,W262&gt;=95),0.1,0),
IF(AF262="DoEVba",IF(AND(V262&lt;20,W262&lt;105),0.2,0)+IF(AND(V262&lt;20,W262&gt;=105),0.15,0)+IF(AND(V262&gt;=20,V262&lt;40,W262&lt;95),0.2,0)+IF(AND(V262&gt;=20,V262&lt;40,W262&gt;=95,W262&lt;150),0.15,0)+IF(AND(V262&gt;=20,V262&lt;40,W262&gt;=150),0.12,0)+IF(AND(V262&gt;=40,V262&lt;75,W262&lt;75),0.2,0)+IF(AND(V262&gt;=40,V262&lt;75,W262&gt;=75,W262&lt;120),0.15,0)+IF(AND(V262&gt;=40,V262&lt;75,W262&gt;=120),0.12,0)+IF(AND(V262&gt;=75,V262&lt;175,W262&lt;65),0.2,0)+IF(AND(V262&gt;=75,V262&lt;175,W262&gt;=65,W262&lt;110),0.15,0)+IF(AND(V262&gt;=75,V262&lt;175,W262&gt;=110),0.12,0)+IF(AND(V262&gt;=175,W262&lt;55),0.2,0)+IF(AND(V262&gt;=175,W262&gt;=55,W262&lt;95),0.15,0)+IF(AND(V262&gt;=175,W262&gt;=95),0.12,0),
IF(AF262="DoEVku",IF(AND(V262&lt;20,W262&lt;55),0.23,0)+IF(AND(V262&lt;20,W262&gt;=55,W262&lt;105),0.2,0)+IF(AND(V262&lt;20,W262&gt;=105),0.17,0)+IF(AND(V262&gt;=20,V262&lt;40,W262&lt;45),0.23,0)+IF(AND(V262&gt;=20,V262&lt;40,W262&gt;=45,W262&lt;95),0.2,0)+IF(AND(V262&gt;=20,V262&lt;40,W262&gt;=95,W262&lt;=150),0.17,0)+IF(AND(V262&gt;=20,V262&lt;40,W262&gt;=150),0.12,0)+IF(AND(V262&gt;=40,V262&lt;75,W262&lt;35),0.23,0)+IF(AND(V262&gt;=40,V262&lt;75,W262&gt;=35,W262&lt;75),0.2,0)+IF(AND(V262&gt;=40,V262&lt;75,W262&gt;=75,W262&lt;120),0.17,0)+IF(AND(V262&gt;=40,V262&lt;75,W262&gt;=120),0.12,0)+IF(AND(V262&gt;=75,V262&lt;175,W262&lt;35),0.23,0)+IF(AND(V262&gt;=75,V262&lt;=175,W262&gt;=35,W262&lt;65),0.2,0)+IF(AND(V262&gt;=75,V262&lt;=175,W262&gt;=65,W262&lt;110),0.17,0)+IF(AND(V262&gt;=75,V262&lt;=175,W262&gt;=110),0.12,0)+IF(AND(V262&gt;175,W262&lt;25),0.23,0)+IF(AND(V262&gt;175,W262&gt;=25,W262&lt;55),0.2,0)+IF(AND(V262&gt;175,W262&gt;=55,W262&lt;95),0.17,0)+IF(AND(V262&gt;175,W262&gt;=95),0.12,0),
IF(AF262="DoEVs1",IF(AND(V262&lt;20,W262&lt;55),0.3,0)+IF(AND(V262&lt;20,W262&gt;=55,W262&lt;105),0.23,0)+IF(AND(V262&lt;20,W262&gt;=105),0.17,0)+IF(AND(V262&gt;=20,V262&lt;40,W262&lt;45),0.3,0)+IF(AND(V262&gt;=20,V262&lt;40,W262&gt;=45,W262&lt;95),0.23,0)+IF(AND(V262&gt;=20,V262&lt;40,W262&gt;=95,W262&lt;=150),0.17,0)+IF(AND(V262&gt;=20,V262&lt;40,W262&gt;=150),0.12,0)+IF(AND(V262&gt;=40,V262&lt;75,W262&lt;35),0.3,0)+IF(AND(V262&gt;=40,V262&lt;75,W262&gt;=35,W262&lt;75),0.23,0)+IF(AND(V262&gt;=40,V262&lt;75,W262&gt;=75,W262&lt;120),0.17,0)+IF(AND(V262&gt;=40,V262&lt;75,W262&gt;=120),0.12,0)+IF(AND(V262&gt;=75,V262&lt;175,W262&lt;35),0.3,0)+IF(AND(V262&gt;=75,V262&lt;=175,W262&gt;=35,W262&lt;65),0.23,0)+IF(AND(V262&gt;=75,V262&lt;=175,W262&gt;=65,W262&lt;110),0.17,0)+IF(AND(V262&gt;=75,V262&lt;=175,W262&gt;=110),0.12,0)+IF(AND(V262&gt;175,W262&lt;25),0.3,0)+IF(AND(V262&gt;175,W262&gt;=25,W262&lt;55),0.23,0)+IF(AND(V262&gt;175,W262&gt;=55,W262&lt;95),0.17,0)+IF(AND(V262&gt;175,W262&gt;=95),0.12,0),
IF(AF262="DoEVsu",IF(AND(V262&lt;20,W262&lt;55),0.3,0)+IF(AND(V262&lt;20,W262&gt;=55,W262&lt;105),0.23,0)+IF(AND(V262&lt;20,W262&gt;=105),0.17,0)+IF(AND(V262&gt;=20,V262&lt;40,W262&lt;45),0.3,0)+IF(AND(V262&gt;=20,V262&lt;40,W262&gt;=45,W262&lt;95),0.23,0)+IF(AND(V262&gt;=20,V262&lt;40,W262&gt;=95,W262&lt;=250),0.17,0)+IF(AND(V262&gt;=20,V262&lt;40,W262&gt;=250),0.12,0)+IF(AND(V262&gt;=40,V262&lt;75,W262&lt;35),0.3,0)+IF(AND(V262&gt;=40,V262&lt;75,W262&gt;=35,W262&lt;75),0.23,0)+IF(AND(V262&gt;=40,V262&lt;75,W262&gt;=75,W262&lt;120),0.17,0)+IF(AND(V262&gt;=40,V262&lt;75,W262&gt;=120),0.12,0)+IF(AND(V262&gt;=75,V262&lt;175,W262&lt;35),0.3,0)+IF(AND(V262&gt;=75,V262&lt;=175,W262&gt;=35,W262&lt;65),0.23,0)+IF(AND(V262&gt;=75,V262&lt;=175,W262&gt;=65,W262&lt;110),0.17,0)+IF(AND(V262&gt;=75,V262&lt;=175,W262&gt;=110),0.12,0)+IF(AND(V262&gt;175,W262&lt;25),0.3,0)+IF(AND(V262&gt;175,W262&gt;=25,W262&lt;55),0.23,0)+IF(AND(V262&gt;175,W262&gt;=55,W262&lt;95),0.17,0)+IF(AND(V262&gt;175,W262&gt;=95),0.12,0),
IF(AF262="DoEVni",IF(AND(V262&lt;20,W262&lt;55),0.3,0)+IF(AND(V262&lt;20,W262&gt;=55,W262&lt;105),0.23,0)+IF(AND(V262&lt;20,W262&gt;=105),0.17,0)+IF(AND(V262&gt;=20,V262&lt;40,W262&lt;45),0.3,0)+IF(AND(V262&gt;=20,V262&lt;40,W262&gt;=45,W262&lt;95),0.23,0)+IF(AND(V262&gt;=20,V262&lt;40,W262&gt;=95,W262&lt;=200),0.17,0)+IF(AND(V262&gt;=20,V262&lt;40,W262&gt;=200),0.12,0)+IF(AND(V262&gt;=40,V262&lt;75,W262&lt;35),0.3,0)+IF(AND(V262&gt;=40,V262&lt;75,W262&gt;=35,W262&lt;75),0.23,0)+IF(AND(V262&gt;=40,V262&lt;75,W262&gt;=75,W262&lt;120),0.17,0)+IF(AND(V262&gt;=40,V262&lt;75,W262&gt;=120),0.12,0)+IF(AND(V262&gt;=75,V262&lt;175,W262&lt;35),0.3,0)+IF(AND(V262&gt;=75,V262&lt;=175,W262&gt;=35,W262&lt;65),0.23,0)+IF(AND(V262&gt;=75,V262&lt;=175,W262&gt;=65,W262&lt;110),0.17,0)+IF(AND(V262&gt;=75,V262&lt;=175,W262&gt;=110),0.12,0)+IF(AND(V262&gt;175,W262&lt;25),0.3,0)+IF(AND(V262&gt;175,W262&gt;=25,W262&lt;55),0.23,0)+IF(AND(V262&gt;175,W262&gt;=55,W262&lt;95),0.17,0)+IF(AND(V262&gt;175,W262&gt;=95),0.12,0),
IF(AF262="DoEVLo",IF(AND(V262&lt;20,W262&lt;55),0.25,0)+IF(AND(V262&lt;20,W262&gt;=55,W262&lt;105),0.2,0)+IF(AND(V262&lt;20,W262&gt;=105),0.15,0)+IF(AND(V262&gt;=20,V262&lt;40,W262&lt;45),0.25,0)+IF(AND(V262&gt;=20,V262&lt;40,W262&gt;=45,W262&lt;95),0.2,0)+IF(AND(V262&gt;=20,V262&lt;40,W262&gt;=95),0.15,0)+IF(AND(V262&gt;=40,V262&lt;75,W262&lt;35),0.25,0)+IF(AND(V262&gt;=40,V262&lt;75,W262&gt;=35,W262&lt;75),0.2,0)+IF(AND(V262&gt;=40,V262&lt;75,W262&gt;=75,W262&lt;120),0.15,0)+IF(AND(V262&gt;=40,V262&lt;75,W262&gt;=120),0.1,0)+IF(AND(V262&gt;=75,V262&lt;175,W262&lt;35),0.25,0)+IF(AND(V262&gt;=75,V262&lt;=175,W262&gt;=35,W262&lt;65),0.2,0)+IF(AND(V262&gt;=75,V262&lt;=175,W262&gt;=65,W262&lt;110),0.15,0)+IF(AND(V262&gt;=75,V262&lt;=175,W262&gt;=110),0.1,0)+IF(AND(V262&gt;175,W262&lt;25),0.25,0)+IF(AND(V262&gt;175,W262&gt;=25,W262&lt;55),0.2,0)+IF(AND(V262&gt;175,W262&gt;=55,W262&lt;95),0.15,0)+IF(AND(V262&gt;175,W262&gt;=95),0.1,0))))))))))))))))</f>
        <v>0.25</v>
      </c>
      <c r="Y262" s="30">
        <f>IF(AG262="None",0,IF(AG262="Fix5",0.05,IF(AG262="Fix3.75",0.0375,IF(AG262="Fix10",0.1,IF(AG262="Fix3",0.03,0)))))</f>
        <v>0</v>
      </c>
      <c r="Z262" s="35">
        <f>T262-AA262-AB262</f>
        <v>756.75</v>
      </c>
      <c r="AA262" s="29">
        <f>IF(AD262="EUR",((T262-R262)*X262)*U262+(R262*X262),(T262*X262))</f>
        <v>252.25</v>
      </c>
      <c r="AB262" s="36">
        <f>IF(AD262="EUR",((T262-R262)*Y262)*U262+(R262*Y262),(T262*Y262))</f>
        <v>0</v>
      </c>
      <c r="AC262" s="37" t="b">
        <v>1</v>
      </c>
      <c r="AD262" s="37" t="s">
        <v>38</v>
      </c>
      <c r="AE262" s="37" t="s">
        <v>38</v>
      </c>
      <c r="AF262" s="37" t="str">
        <f t="array" ref="AF262">INDEX('Deal Info'!D:D, MATCH(A262,'Deal Info'!A:A, 0))</f>
        <v>SF</v>
      </c>
      <c r="AG262" s="38" t="str">
        <f t="array" ref="AG262">INDEX('Deal Info'!G:G, MATCH(A262,'Deal Info'!A:A, 0))</f>
        <v>None</v>
      </c>
    </row>
    <row r="263" spans="1:33" ht="14.25" hidden="1" x14ac:dyDescent="0.2">
      <c r="A263" s="18" t="str">
        <f t="array" ref="A263">IF(G263='Room Info'!$B$1, INDEX('Room Info'!$A$2:$A2446, MATCH(B263,'Room Info'!$B$2:$B2446, 0)),IF(G263='Room Info'!$C$1, INDEX('Room Info'!$A$2:$A2446, MATCH(B263,'Room Info'!$C$2:$C2446, 0)),IF(G263='Room Info'!$D$1, INDEX('Room Info'!$A$2:$A2446, MATCH(B263,'Room Info'!$D$2:$D2446, 0)),IF(G263='Room Info'!$E$1, INDEX('Room Info'!$A$2:$A2446, MATCH(B263,'Room Info'!$E$2:$E2446, 0)),IF(G263='Room Info'!$F$1, INDEX('Room Info'!$A$2:$A2446, MATCH(B263,'Room Info'!$F$2:$F2446, 0)),IF(G263='Room Info'!$H$1, INDEX('Room Info'!$A$2:$A2446, MATCH(B263,'Room Info'!$H$2:$H2446, 0)),IF(G263='Room Info'!$G$1, INDEX('Room Info'!$A$2:$A2446, MATCH(B263,'Room Info'!$G$2:$G2446, 0)))))))))</f>
        <v>Mexanuk_AV</v>
      </c>
      <c r="B263" s="45" t="s">
        <v>113</v>
      </c>
      <c r="C263" s="92">
        <v>44521</v>
      </c>
      <c r="D263" s="46">
        <v>44550</v>
      </c>
      <c r="E263" s="47">
        <v>44531</v>
      </c>
      <c r="F263" s="45" t="s">
        <v>34</v>
      </c>
      <c r="G263" s="45" t="s">
        <v>35</v>
      </c>
      <c r="H263" s="49" t="s">
        <v>39</v>
      </c>
      <c r="I263" s="49" t="s">
        <v>37</v>
      </c>
      <c r="J263" s="70">
        <v>5</v>
      </c>
      <c r="K263" s="71">
        <v>1</v>
      </c>
      <c r="L263" s="52">
        <v>10</v>
      </c>
      <c r="M263" s="62"/>
      <c r="N263" s="28">
        <f>K263*J263</f>
        <v>5</v>
      </c>
      <c r="O263" s="54">
        <v>159</v>
      </c>
      <c r="P263" s="29">
        <v>159</v>
      </c>
      <c r="Q263" s="55"/>
      <c r="R263" s="31">
        <f>M263+Q263</f>
        <v>0</v>
      </c>
      <c r="S263" s="56">
        <v>-5</v>
      </c>
      <c r="T263" s="32">
        <f>R263+S263+IF(F263="Without EV deal",L263,0)</f>
        <v>-5</v>
      </c>
      <c r="U263" s="57">
        <v>1</v>
      </c>
      <c r="V263" s="69">
        <v>9.9978938500421233</v>
      </c>
      <c r="W263" s="58">
        <v>27.5</v>
      </c>
      <c r="X263" s="30">
        <f>IF(AF263="DoEV",IF(AND(V263&lt;20,W263&lt;55),0.3,0)+IF(AND(V263&lt;20,W263&gt;=55,W263&lt;105),0.23,0)+IF(AND(V263&lt;20,W263&gt;=105),0.17,0)+IF(AND(V263&gt;=20,V263&lt;40,W263&lt;45),0.3,0)+IF(AND(V263&gt;=20,V263&lt;40,W263&gt;=45,W263&lt;95),0.23,0)+IF(AND(V263&gt;=20,V263&lt;40,W263&gt;=95),0.17,0)+IF(AND(V263&gt;=40,V263&lt;75,W263&lt;35),0.3,0)+IF(AND(V263&gt;=40,V263&lt;75,W263&gt;=35,W263&lt;75),0.23,0)+IF(AND(V263&gt;=40,V263&lt;75,W263&gt;=75,W263&lt;120),0.17,0)+IF(AND(V263&gt;=40,V263&lt;75,W263&gt;=120),0.12,0)+IF(AND(V263&gt;=75,V263&lt;175,W263&lt;35),0.3,0)+IF(AND(V263&gt;=75,V263&lt;=175,W263&gt;=35,W263&lt;65),0.23,0)+IF(AND(V263&gt;=75,V263&lt;=175,W263&gt;=65,W263&lt;110),0.17,0)+IF(AND(V263&gt;=75,V263&lt;=175,W263&gt;=110),0.12,0)+IF(AND(V263&gt;175,W263&lt;25),0.3,0)+IF(AND(V263&gt;175,W263&gt;=25,W263&lt;55),0.23,0)+IF(AND(V263&gt;175,W263&gt;=55,W263&lt;95),0.17,0)+IF(AND(V263&gt;175,W263&gt;=95),0.12,0),
IF(AF263="Fix15",0.15,
IF(AF263="Fix11.25",0.1125,
IF(AF263="Fix10",0.1,
IF(AF263="Fix9",0.09,
IF(AF263="DoEV2017",IF(AND(W263&lt;74),0.2,0)+IF(AND(W263&gt;=74),0.17,0),
IF(AF263="SF",IF(AND(V263&lt;20,W263&lt;89),0.3,0)+IF(AND(V263&lt;20,W263&gt;=89),0.25,0)+IF(AND(V263&gt;=20,V263&lt;40,W263&lt;74),0.3,0)+IF(AND(V263&gt;=20,V263&lt;40,W263&gt;=75),0.22,0)+IF(AND(V263&gt;=40,V263&lt;75,W263&lt;75),0.26,0)+IF(AND(V263&gt;=40,V263&lt;75,W263&gt;=75),0.22,0)+IF(V263&gt;=75,0.22,0),
IF(AF263="DoEVold",IF(AND(V263&lt;40,W263&lt;35),0.35,0)+IF(AND(V263&lt;40,W263&gt;=35,W263&lt;75),0.25,0)+IF(AND(V263&lt;40,W263&gt;=75),0.17,0)+IF(AND(V263&gt;=40,V263&lt;75,W263&lt;25),0.35,0)+IF(AND(V263&gt;=40,V263&lt;75,W263&gt;=25,W263&lt;65),0.25,0)+IF(AND(V263&gt;=40,V263&lt;75,W263&gt;=65,W263&lt;100),0.17,0)+IF(AND(V263&gt;=40,V263&lt;75,W263&gt;=100),0.1,0)+IF(AND(V263&gt;=75,W263&lt;25),0.35,0)+IF(AND(V263&gt;=75,W263&gt;=25,W263&lt;60),0.25,0)+IF(AND(V263&gt;=75,W263&gt;=60,W263&lt;95),0.17,0)+IF(AND(V263&gt;=75,W263&gt;=95),0.1,0),
IF(AF263="DoEVold15",IF(AND(V263&lt;=40,W263&lt;35),0.35,0)+IF(AND(V263&lt;=40,W263&gt;=35,W263&lt;75),0.25,0)+IF(AND(V263&lt;=40,W263&gt;=75,W263&lt;120),0.17,0)+IF(AND(V263&lt;=40,W263&gt;=120),0.15,0)+IF(AND(V263&gt;40,V263&lt;75,W263&lt;25),0.35,0)+IF(AND(V263&gt;=40,V263&lt;75,W263&gt;=25,W263&lt;65),0.25,0)+IF(AND(V263&gt;=40,V263&lt;75,W263&gt;=65,W263&lt;100),0.17,0)+IF(AND(V263&gt;=40,V263&lt;75,W263&gt;=100),0.1,0)+IF(AND(V263&gt;=75,W263&lt;25),0.35,0)+IF(AND(V263&gt;=75,W263&gt;=25,W263&lt;60),0.25,0)+IF(AND(V263&gt;=75,W263&gt;=60,W263&lt;95),0.17,0)+IF(AND(V263&gt;=75,W263&gt;=95),0.1,0),
IF(AF263="DoEVba",IF(AND(V263&lt;20,W263&lt;105),0.2,0)+IF(AND(V263&lt;20,W263&gt;=105),0.15,0)+IF(AND(V263&gt;=20,V263&lt;40,W263&lt;95),0.2,0)+IF(AND(V263&gt;=20,V263&lt;40,W263&gt;=95,W263&lt;150),0.15,0)+IF(AND(V263&gt;=20,V263&lt;40,W263&gt;=150),0.12,0)+IF(AND(V263&gt;=40,V263&lt;75,W263&lt;75),0.2,0)+IF(AND(V263&gt;=40,V263&lt;75,W263&gt;=75,W263&lt;120),0.15,0)+IF(AND(V263&gt;=40,V263&lt;75,W263&gt;=120),0.12,0)+IF(AND(V263&gt;=75,V263&lt;175,W263&lt;65),0.2,0)+IF(AND(V263&gt;=75,V263&lt;175,W263&gt;=65,W263&lt;110),0.15,0)+IF(AND(V263&gt;=75,V263&lt;175,W263&gt;=110),0.12,0)+IF(AND(V263&gt;=175,W263&lt;55),0.2,0)+IF(AND(V263&gt;=175,W263&gt;=55,W263&lt;95),0.15,0)+IF(AND(V263&gt;=175,W263&gt;=95),0.12,0),
IF(AF263="DoEVku",IF(AND(V263&lt;20,W263&lt;55),0.23,0)+IF(AND(V263&lt;20,W263&gt;=55,W263&lt;105),0.2,0)+IF(AND(V263&lt;20,W263&gt;=105),0.17,0)+IF(AND(V263&gt;=20,V263&lt;40,W263&lt;45),0.23,0)+IF(AND(V263&gt;=20,V263&lt;40,W263&gt;=45,W263&lt;95),0.2,0)+IF(AND(V263&gt;=20,V263&lt;40,W263&gt;=95,W263&lt;=150),0.17,0)+IF(AND(V263&gt;=20,V263&lt;40,W263&gt;=150),0.12,0)+IF(AND(V263&gt;=40,V263&lt;75,W263&lt;35),0.23,0)+IF(AND(V263&gt;=40,V263&lt;75,W263&gt;=35,W263&lt;75),0.2,0)+IF(AND(V263&gt;=40,V263&lt;75,W263&gt;=75,W263&lt;120),0.17,0)+IF(AND(V263&gt;=40,V263&lt;75,W263&gt;=120),0.12,0)+IF(AND(V263&gt;=75,V263&lt;175,W263&lt;35),0.23,0)+IF(AND(V263&gt;=75,V263&lt;=175,W263&gt;=35,W263&lt;65),0.2,0)+IF(AND(V263&gt;=75,V263&lt;=175,W263&gt;=65,W263&lt;110),0.17,0)+IF(AND(V263&gt;=75,V263&lt;=175,W263&gt;=110),0.12,0)+IF(AND(V263&gt;175,W263&lt;25),0.23,0)+IF(AND(V263&gt;175,W263&gt;=25,W263&lt;55),0.2,0)+IF(AND(V263&gt;175,W263&gt;=55,W263&lt;95),0.17,0)+IF(AND(V263&gt;175,W263&gt;=95),0.12,0),
IF(AF263="DoEVs1",IF(AND(V263&lt;20,W263&lt;55),0.3,0)+IF(AND(V263&lt;20,W263&gt;=55,W263&lt;105),0.23,0)+IF(AND(V263&lt;20,W263&gt;=105),0.17,0)+IF(AND(V263&gt;=20,V263&lt;40,W263&lt;45),0.3,0)+IF(AND(V263&gt;=20,V263&lt;40,W263&gt;=45,W263&lt;95),0.23,0)+IF(AND(V263&gt;=20,V263&lt;40,W263&gt;=95,W263&lt;=150),0.17,0)+IF(AND(V263&gt;=20,V263&lt;40,W263&gt;=150),0.12,0)+IF(AND(V263&gt;=40,V263&lt;75,W263&lt;35),0.3,0)+IF(AND(V263&gt;=40,V263&lt;75,W263&gt;=35,W263&lt;75),0.23,0)+IF(AND(V263&gt;=40,V263&lt;75,W263&gt;=75,W263&lt;120),0.17,0)+IF(AND(V263&gt;=40,V263&lt;75,W263&gt;=120),0.12,0)+IF(AND(V263&gt;=75,V263&lt;175,W263&lt;35),0.3,0)+IF(AND(V263&gt;=75,V263&lt;=175,W263&gt;=35,W263&lt;65),0.23,0)+IF(AND(V263&gt;=75,V263&lt;=175,W263&gt;=65,W263&lt;110),0.17,0)+IF(AND(V263&gt;=75,V263&lt;=175,W263&gt;=110),0.12,0)+IF(AND(V263&gt;175,W263&lt;25),0.3,0)+IF(AND(V263&gt;175,W263&gt;=25,W263&lt;55),0.23,0)+IF(AND(V263&gt;175,W263&gt;=55,W263&lt;95),0.17,0)+IF(AND(V263&gt;175,W263&gt;=95),0.12,0),
IF(AF263="DoEVsu",IF(AND(V263&lt;20,W263&lt;55),0.3,0)+IF(AND(V263&lt;20,W263&gt;=55,W263&lt;105),0.23,0)+IF(AND(V263&lt;20,W263&gt;=105),0.17,0)+IF(AND(V263&gt;=20,V263&lt;40,W263&lt;45),0.3,0)+IF(AND(V263&gt;=20,V263&lt;40,W263&gt;=45,W263&lt;95),0.23,0)+IF(AND(V263&gt;=20,V263&lt;40,W263&gt;=95,W263&lt;=250),0.17,0)+IF(AND(V263&gt;=20,V263&lt;40,W263&gt;=250),0.12,0)+IF(AND(V263&gt;=40,V263&lt;75,W263&lt;35),0.3,0)+IF(AND(V263&gt;=40,V263&lt;75,W263&gt;=35,W263&lt;75),0.23,0)+IF(AND(V263&gt;=40,V263&lt;75,W263&gt;=75,W263&lt;120),0.17,0)+IF(AND(V263&gt;=40,V263&lt;75,W263&gt;=120),0.12,0)+IF(AND(V263&gt;=75,V263&lt;175,W263&lt;35),0.3,0)+IF(AND(V263&gt;=75,V263&lt;=175,W263&gt;=35,W263&lt;65),0.23,0)+IF(AND(V263&gt;=75,V263&lt;=175,W263&gt;=65,W263&lt;110),0.17,0)+IF(AND(V263&gt;=75,V263&lt;=175,W263&gt;=110),0.12,0)+IF(AND(V263&gt;175,W263&lt;25),0.3,0)+IF(AND(V263&gt;175,W263&gt;=25,W263&lt;55),0.23,0)+IF(AND(V263&gt;175,W263&gt;=55,W263&lt;95),0.17,0)+IF(AND(V263&gt;175,W263&gt;=95),0.12,0),
IF(AF263="DoEVni",IF(AND(V263&lt;20,W263&lt;55),0.3,0)+IF(AND(V263&lt;20,W263&gt;=55,W263&lt;105),0.23,0)+IF(AND(V263&lt;20,W263&gt;=105),0.17,0)+IF(AND(V263&gt;=20,V263&lt;40,W263&lt;45),0.3,0)+IF(AND(V263&gt;=20,V263&lt;40,W263&gt;=45,W263&lt;95),0.23,0)+IF(AND(V263&gt;=20,V263&lt;40,W263&gt;=95,W263&lt;=200),0.17,0)+IF(AND(V263&gt;=20,V263&lt;40,W263&gt;=200),0.12,0)+IF(AND(V263&gt;=40,V263&lt;75,W263&lt;35),0.3,0)+IF(AND(V263&gt;=40,V263&lt;75,W263&gt;=35,W263&lt;75),0.23,0)+IF(AND(V263&gt;=40,V263&lt;75,W263&gt;=75,W263&lt;120),0.17,0)+IF(AND(V263&gt;=40,V263&lt;75,W263&gt;=120),0.12,0)+IF(AND(V263&gt;=75,V263&lt;175,W263&lt;35),0.3,0)+IF(AND(V263&gt;=75,V263&lt;=175,W263&gt;=35,W263&lt;65),0.23,0)+IF(AND(V263&gt;=75,V263&lt;=175,W263&gt;=65,W263&lt;110),0.17,0)+IF(AND(V263&gt;=75,V263&lt;=175,W263&gt;=110),0.12,0)+IF(AND(V263&gt;175,W263&lt;25),0.3,0)+IF(AND(V263&gt;175,W263&gt;=25,W263&lt;55),0.23,0)+IF(AND(V263&gt;175,W263&gt;=55,W263&lt;95),0.17,0)+IF(AND(V263&gt;175,W263&gt;=95),0.12,0),
IF(AF263="DoEVLo",IF(AND(V263&lt;20,W263&lt;55),0.25,0)+IF(AND(V263&lt;20,W263&gt;=55,W263&lt;105),0.2,0)+IF(AND(V263&lt;20,W263&gt;=105),0.15,0)+IF(AND(V263&gt;=20,V263&lt;40,W263&lt;45),0.25,0)+IF(AND(V263&gt;=20,V263&lt;40,W263&gt;=45,W263&lt;95),0.2,0)+IF(AND(V263&gt;=20,V263&lt;40,W263&gt;=95),0.15,0)+IF(AND(V263&gt;=40,V263&lt;75,W263&lt;35),0.25,0)+IF(AND(V263&gt;=40,V263&lt;75,W263&gt;=35,W263&lt;75),0.2,0)+IF(AND(V263&gt;=40,V263&lt;75,W263&gt;=75,W263&lt;120),0.15,0)+IF(AND(V263&gt;=40,V263&lt;75,W263&gt;=120),0.1,0)+IF(AND(V263&gt;=75,V263&lt;175,W263&lt;35),0.25,0)+IF(AND(V263&gt;=75,V263&lt;=175,W263&gt;=35,W263&lt;65),0.2,0)+IF(AND(V263&gt;=75,V263&lt;=175,W263&gt;=65,W263&lt;110),0.15,0)+IF(AND(V263&gt;=75,V263&lt;=175,W263&gt;=110),0.1,0)+IF(AND(V263&gt;175,W263&lt;25),0.25,0)+IF(AND(V263&gt;175,W263&gt;=25,W263&lt;55),0.2,0)+IF(AND(V263&gt;175,W263&gt;=55,W263&lt;95),0.15,0)+IF(AND(V263&gt;175,W263&gt;=95),0.1,0))))))))))))))))</f>
        <v>0.3</v>
      </c>
      <c r="Y263" s="30">
        <f>IF(AG263="None",0,IF(AG263="Fix5",0.05,IF(AG263="Fix3.75",0.0375,IF(AG263="Fix10",0.1,IF(AG263="Fix3",0.03,0)))))</f>
        <v>0</v>
      </c>
      <c r="Z263" s="35">
        <f>T263-AA263-AB263</f>
        <v>-3.5</v>
      </c>
      <c r="AA263" s="29">
        <f>IF(AD263="EUR",((T263-R263)*X263)*U263+(R263*X263),(T263*X263))</f>
        <v>-1.5</v>
      </c>
      <c r="AB263" s="36">
        <f>IF(AD263="EUR",((T263-R263)*Y263)*U263+(R263*Y263),(T263*Y263))</f>
        <v>0</v>
      </c>
      <c r="AC263" s="37" t="b">
        <v>1</v>
      </c>
      <c r="AD263" s="37" t="s">
        <v>38</v>
      </c>
      <c r="AE263" s="37" t="s">
        <v>38</v>
      </c>
      <c r="AF263" s="37" t="str">
        <f t="array" ref="AF263">INDEX('Deal Info'!D:D, MATCH(A263,'Deal Info'!A:A, 0))</f>
        <v>SF</v>
      </c>
      <c r="AG263" s="38" t="str">
        <f t="array" ref="AG263">INDEX('Deal Info'!G:G, MATCH(A263,'Deal Info'!A:A, 0))</f>
        <v>None</v>
      </c>
    </row>
    <row r="264" spans="1:33" ht="14.25" hidden="1" x14ac:dyDescent="0.2">
      <c r="A264" s="18" t="str">
        <f t="array" ref="A264">IF(G264='Room Info'!$B$1, INDEX('Room Info'!$A$2:$A2446, MATCH(B264,'Room Info'!$B$2:$B2446, 0)),IF(G264='Room Info'!$C$1, INDEX('Room Info'!$A$2:$A2446, MATCH(B264,'Room Info'!$C$2:$C2446, 0)),IF(G264='Room Info'!$D$1, INDEX('Room Info'!$A$2:$A2446, MATCH(B264,'Room Info'!$D$2:$D2446, 0)),IF(G264='Room Info'!$E$1, INDEX('Room Info'!$A$2:$A2446, MATCH(B264,'Room Info'!$E$2:$E2446, 0)),IF(G264='Room Info'!$F$1, INDEX('Room Info'!$A$2:$A2446, MATCH(B264,'Room Info'!$F$2:$F2446, 0)),IF(G264='Room Info'!$H$1, INDEX('Room Info'!$A$2:$A2446, MATCH(B264,'Room Info'!$H$2:$H2446, 0)),IF(G264='Room Info'!$G$1, INDEX('Room Info'!$A$2:$A2446, MATCH(B264,'Room Info'!$G$2:$G2446, 0)))))))))</f>
        <v>Mexanuk_AV</v>
      </c>
      <c r="B264" s="45" t="s">
        <v>113</v>
      </c>
      <c r="C264" s="92">
        <v>44521</v>
      </c>
      <c r="D264" s="46">
        <v>44550</v>
      </c>
      <c r="E264" s="47">
        <v>44531</v>
      </c>
      <c r="F264" s="45" t="s">
        <v>34</v>
      </c>
      <c r="G264" s="45" t="s">
        <v>35</v>
      </c>
      <c r="H264" s="49" t="s">
        <v>40</v>
      </c>
      <c r="I264" s="49" t="s">
        <v>37</v>
      </c>
      <c r="J264" s="70">
        <v>10</v>
      </c>
      <c r="K264" s="71">
        <v>2373</v>
      </c>
      <c r="L264" s="52">
        <v>-950</v>
      </c>
      <c r="M264" s="53">
        <v>350</v>
      </c>
      <c r="N264" s="28">
        <f>K264*J264</f>
        <v>23730</v>
      </c>
      <c r="O264" s="54">
        <v>69748</v>
      </c>
      <c r="P264" s="29">
        <v>29.392330380000001</v>
      </c>
      <c r="Q264" s="55"/>
      <c r="R264" s="31">
        <f>M264+Q264</f>
        <v>350</v>
      </c>
      <c r="S264" s="56">
        <v>-476</v>
      </c>
      <c r="T264" s="32">
        <f>R264+S264+IF(F264="Without EV deal",L264,0)</f>
        <v>-126</v>
      </c>
      <c r="U264" s="57">
        <v>1</v>
      </c>
      <c r="V264" s="69">
        <v>9.9978938500421233</v>
      </c>
      <c r="W264" s="58">
        <v>27.5</v>
      </c>
      <c r="X264" s="30">
        <f>IF(AF264="DoEV",IF(AND(V264&lt;20,W264&lt;55),0.3,0)+IF(AND(V264&lt;20,W264&gt;=55,W264&lt;105),0.23,0)+IF(AND(V264&lt;20,W264&gt;=105),0.17,0)+IF(AND(V264&gt;=20,V264&lt;40,W264&lt;45),0.3,0)+IF(AND(V264&gt;=20,V264&lt;40,W264&gt;=45,W264&lt;95),0.23,0)+IF(AND(V264&gt;=20,V264&lt;40,W264&gt;=95),0.17,0)+IF(AND(V264&gt;=40,V264&lt;75,W264&lt;35),0.3,0)+IF(AND(V264&gt;=40,V264&lt;75,W264&gt;=35,W264&lt;75),0.23,0)+IF(AND(V264&gt;=40,V264&lt;75,W264&gt;=75,W264&lt;120),0.17,0)+IF(AND(V264&gt;=40,V264&lt;75,W264&gt;=120),0.12,0)+IF(AND(V264&gt;=75,V264&lt;175,W264&lt;35),0.3,0)+IF(AND(V264&gt;=75,V264&lt;=175,W264&gt;=35,W264&lt;65),0.23,0)+IF(AND(V264&gt;=75,V264&lt;=175,W264&gt;=65,W264&lt;110),0.17,0)+IF(AND(V264&gt;=75,V264&lt;=175,W264&gt;=110),0.12,0)+IF(AND(V264&gt;175,W264&lt;25),0.3,0)+IF(AND(V264&gt;175,W264&gt;=25,W264&lt;55),0.23,0)+IF(AND(V264&gt;175,W264&gt;=55,W264&lt;95),0.17,0)+IF(AND(V264&gt;175,W264&gt;=95),0.12,0),
IF(AF264="Fix15",0.15,
IF(AF264="Fix11.25",0.1125,
IF(AF264="Fix10",0.1,
IF(AF264="Fix9",0.09,
IF(AF264="DoEV2017",IF(AND(W264&lt;74),0.2,0)+IF(AND(W264&gt;=74),0.17,0),
IF(AF264="SF",IF(AND(V264&lt;20,W264&lt;89),0.3,0)+IF(AND(V264&lt;20,W264&gt;=89),0.25,0)+IF(AND(V264&gt;=20,V264&lt;40,W264&lt;74),0.3,0)+IF(AND(V264&gt;=20,V264&lt;40,W264&gt;=75),0.22,0)+IF(AND(V264&gt;=40,V264&lt;75,W264&lt;75),0.26,0)+IF(AND(V264&gt;=40,V264&lt;75,W264&gt;=75),0.22,0)+IF(V264&gt;=75,0.22,0),
IF(AF264="DoEVold",IF(AND(V264&lt;40,W264&lt;35),0.35,0)+IF(AND(V264&lt;40,W264&gt;=35,W264&lt;75),0.25,0)+IF(AND(V264&lt;40,W264&gt;=75),0.17,0)+IF(AND(V264&gt;=40,V264&lt;75,W264&lt;25),0.35,0)+IF(AND(V264&gt;=40,V264&lt;75,W264&gt;=25,W264&lt;65),0.25,0)+IF(AND(V264&gt;=40,V264&lt;75,W264&gt;=65,W264&lt;100),0.17,0)+IF(AND(V264&gt;=40,V264&lt;75,W264&gt;=100),0.1,0)+IF(AND(V264&gt;=75,W264&lt;25),0.35,0)+IF(AND(V264&gt;=75,W264&gt;=25,W264&lt;60),0.25,0)+IF(AND(V264&gt;=75,W264&gt;=60,W264&lt;95),0.17,0)+IF(AND(V264&gt;=75,W264&gt;=95),0.1,0),
IF(AF264="DoEVold15",IF(AND(V264&lt;=40,W264&lt;35),0.35,0)+IF(AND(V264&lt;=40,W264&gt;=35,W264&lt;75),0.25,0)+IF(AND(V264&lt;=40,W264&gt;=75,W264&lt;120),0.17,0)+IF(AND(V264&lt;=40,W264&gt;=120),0.15,0)+IF(AND(V264&gt;40,V264&lt;75,W264&lt;25),0.35,0)+IF(AND(V264&gt;=40,V264&lt;75,W264&gt;=25,W264&lt;65),0.25,0)+IF(AND(V264&gt;=40,V264&lt;75,W264&gt;=65,W264&lt;100),0.17,0)+IF(AND(V264&gt;=40,V264&lt;75,W264&gt;=100),0.1,0)+IF(AND(V264&gt;=75,W264&lt;25),0.35,0)+IF(AND(V264&gt;=75,W264&gt;=25,W264&lt;60),0.25,0)+IF(AND(V264&gt;=75,W264&gt;=60,W264&lt;95),0.17,0)+IF(AND(V264&gt;=75,W264&gt;=95),0.1,0),
IF(AF264="DoEVba",IF(AND(V264&lt;20,W264&lt;105),0.2,0)+IF(AND(V264&lt;20,W264&gt;=105),0.15,0)+IF(AND(V264&gt;=20,V264&lt;40,W264&lt;95),0.2,0)+IF(AND(V264&gt;=20,V264&lt;40,W264&gt;=95,W264&lt;150),0.15,0)+IF(AND(V264&gt;=20,V264&lt;40,W264&gt;=150),0.12,0)+IF(AND(V264&gt;=40,V264&lt;75,W264&lt;75),0.2,0)+IF(AND(V264&gt;=40,V264&lt;75,W264&gt;=75,W264&lt;120),0.15,0)+IF(AND(V264&gt;=40,V264&lt;75,W264&gt;=120),0.12,0)+IF(AND(V264&gt;=75,V264&lt;175,W264&lt;65),0.2,0)+IF(AND(V264&gt;=75,V264&lt;175,W264&gt;=65,W264&lt;110),0.15,0)+IF(AND(V264&gt;=75,V264&lt;175,W264&gt;=110),0.12,0)+IF(AND(V264&gt;=175,W264&lt;55),0.2,0)+IF(AND(V264&gt;=175,W264&gt;=55,W264&lt;95),0.15,0)+IF(AND(V264&gt;=175,W264&gt;=95),0.12,0),
IF(AF264="DoEVku",IF(AND(V264&lt;20,W264&lt;55),0.23,0)+IF(AND(V264&lt;20,W264&gt;=55,W264&lt;105),0.2,0)+IF(AND(V264&lt;20,W264&gt;=105),0.17,0)+IF(AND(V264&gt;=20,V264&lt;40,W264&lt;45),0.23,0)+IF(AND(V264&gt;=20,V264&lt;40,W264&gt;=45,W264&lt;95),0.2,0)+IF(AND(V264&gt;=20,V264&lt;40,W264&gt;=95,W264&lt;=150),0.17,0)+IF(AND(V264&gt;=20,V264&lt;40,W264&gt;=150),0.12,0)+IF(AND(V264&gt;=40,V264&lt;75,W264&lt;35),0.23,0)+IF(AND(V264&gt;=40,V264&lt;75,W264&gt;=35,W264&lt;75),0.2,0)+IF(AND(V264&gt;=40,V264&lt;75,W264&gt;=75,W264&lt;120),0.17,0)+IF(AND(V264&gt;=40,V264&lt;75,W264&gt;=120),0.12,0)+IF(AND(V264&gt;=75,V264&lt;175,W264&lt;35),0.23,0)+IF(AND(V264&gt;=75,V264&lt;=175,W264&gt;=35,W264&lt;65),0.2,0)+IF(AND(V264&gt;=75,V264&lt;=175,W264&gt;=65,W264&lt;110),0.17,0)+IF(AND(V264&gt;=75,V264&lt;=175,W264&gt;=110),0.12,0)+IF(AND(V264&gt;175,W264&lt;25),0.23,0)+IF(AND(V264&gt;175,W264&gt;=25,W264&lt;55),0.2,0)+IF(AND(V264&gt;175,W264&gt;=55,W264&lt;95),0.17,0)+IF(AND(V264&gt;175,W264&gt;=95),0.12,0),
IF(AF264="DoEVs1",IF(AND(V264&lt;20,W264&lt;55),0.3,0)+IF(AND(V264&lt;20,W264&gt;=55,W264&lt;105),0.23,0)+IF(AND(V264&lt;20,W264&gt;=105),0.17,0)+IF(AND(V264&gt;=20,V264&lt;40,W264&lt;45),0.3,0)+IF(AND(V264&gt;=20,V264&lt;40,W264&gt;=45,W264&lt;95),0.23,0)+IF(AND(V264&gt;=20,V264&lt;40,W264&gt;=95,W264&lt;=150),0.17,0)+IF(AND(V264&gt;=20,V264&lt;40,W264&gt;=150),0.12,0)+IF(AND(V264&gt;=40,V264&lt;75,W264&lt;35),0.3,0)+IF(AND(V264&gt;=40,V264&lt;75,W264&gt;=35,W264&lt;75),0.23,0)+IF(AND(V264&gt;=40,V264&lt;75,W264&gt;=75,W264&lt;120),0.17,0)+IF(AND(V264&gt;=40,V264&lt;75,W264&gt;=120),0.12,0)+IF(AND(V264&gt;=75,V264&lt;175,W264&lt;35),0.3,0)+IF(AND(V264&gt;=75,V264&lt;=175,W264&gt;=35,W264&lt;65),0.23,0)+IF(AND(V264&gt;=75,V264&lt;=175,W264&gt;=65,W264&lt;110),0.17,0)+IF(AND(V264&gt;=75,V264&lt;=175,W264&gt;=110),0.12,0)+IF(AND(V264&gt;175,W264&lt;25),0.3,0)+IF(AND(V264&gt;175,W264&gt;=25,W264&lt;55),0.23,0)+IF(AND(V264&gt;175,W264&gt;=55,W264&lt;95),0.17,0)+IF(AND(V264&gt;175,W264&gt;=95),0.12,0),
IF(AF264="DoEVsu",IF(AND(V264&lt;20,W264&lt;55),0.3,0)+IF(AND(V264&lt;20,W264&gt;=55,W264&lt;105),0.23,0)+IF(AND(V264&lt;20,W264&gt;=105),0.17,0)+IF(AND(V264&gt;=20,V264&lt;40,W264&lt;45),0.3,0)+IF(AND(V264&gt;=20,V264&lt;40,W264&gt;=45,W264&lt;95),0.23,0)+IF(AND(V264&gt;=20,V264&lt;40,W264&gt;=95,W264&lt;=250),0.17,0)+IF(AND(V264&gt;=20,V264&lt;40,W264&gt;=250),0.12,0)+IF(AND(V264&gt;=40,V264&lt;75,W264&lt;35),0.3,0)+IF(AND(V264&gt;=40,V264&lt;75,W264&gt;=35,W264&lt;75),0.23,0)+IF(AND(V264&gt;=40,V264&lt;75,W264&gt;=75,W264&lt;120),0.17,0)+IF(AND(V264&gt;=40,V264&lt;75,W264&gt;=120),0.12,0)+IF(AND(V264&gt;=75,V264&lt;175,W264&lt;35),0.3,0)+IF(AND(V264&gt;=75,V264&lt;=175,W264&gt;=35,W264&lt;65),0.23,0)+IF(AND(V264&gt;=75,V264&lt;=175,W264&gt;=65,W264&lt;110),0.17,0)+IF(AND(V264&gt;=75,V264&lt;=175,W264&gt;=110),0.12,0)+IF(AND(V264&gt;175,W264&lt;25),0.3,0)+IF(AND(V264&gt;175,W264&gt;=25,W264&lt;55),0.23,0)+IF(AND(V264&gt;175,W264&gt;=55,W264&lt;95),0.17,0)+IF(AND(V264&gt;175,W264&gt;=95),0.12,0),
IF(AF264="DoEVni",IF(AND(V264&lt;20,W264&lt;55),0.3,0)+IF(AND(V264&lt;20,W264&gt;=55,W264&lt;105),0.23,0)+IF(AND(V264&lt;20,W264&gt;=105),0.17,0)+IF(AND(V264&gt;=20,V264&lt;40,W264&lt;45),0.3,0)+IF(AND(V264&gt;=20,V264&lt;40,W264&gt;=45,W264&lt;95),0.23,0)+IF(AND(V264&gt;=20,V264&lt;40,W264&gt;=95,W264&lt;=200),0.17,0)+IF(AND(V264&gt;=20,V264&lt;40,W264&gt;=200),0.12,0)+IF(AND(V264&gt;=40,V264&lt;75,W264&lt;35),0.3,0)+IF(AND(V264&gt;=40,V264&lt;75,W264&gt;=35,W264&lt;75),0.23,0)+IF(AND(V264&gt;=40,V264&lt;75,W264&gt;=75,W264&lt;120),0.17,0)+IF(AND(V264&gt;=40,V264&lt;75,W264&gt;=120),0.12,0)+IF(AND(V264&gt;=75,V264&lt;175,W264&lt;35),0.3,0)+IF(AND(V264&gt;=75,V264&lt;=175,W264&gt;=35,W264&lt;65),0.23,0)+IF(AND(V264&gt;=75,V264&lt;=175,W264&gt;=65,W264&lt;110),0.17,0)+IF(AND(V264&gt;=75,V264&lt;=175,W264&gt;=110),0.12,0)+IF(AND(V264&gt;175,W264&lt;25),0.3,0)+IF(AND(V264&gt;175,W264&gt;=25,W264&lt;55),0.23,0)+IF(AND(V264&gt;175,W264&gt;=55,W264&lt;95),0.17,0)+IF(AND(V264&gt;175,W264&gt;=95),0.12,0),
IF(AF264="DoEVLo",IF(AND(V264&lt;20,W264&lt;55),0.25,0)+IF(AND(V264&lt;20,W264&gt;=55,W264&lt;105),0.2,0)+IF(AND(V264&lt;20,W264&gt;=105),0.15,0)+IF(AND(V264&gt;=20,V264&lt;40,W264&lt;45),0.25,0)+IF(AND(V264&gt;=20,V264&lt;40,W264&gt;=45,W264&lt;95),0.2,0)+IF(AND(V264&gt;=20,V264&lt;40,W264&gt;=95),0.15,0)+IF(AND(V264&gt;=40,V264&lt;75,W264&lt;35),0.25,0)+IF(AND(V264&gt;=40,V264&lt;75,W264&gt;=35,W264&lt;75),0.2,0)+IF(AND(V264&gt;=40,V264&lt;75,W264&gt;=75,W264&lt;120),0.15,0)+IF(AND(V264&gt;=40,V264&lt;75,W264&gt;=120),0.1,0)+IF(AND(V264&gt;=75,V264&lt;175,W264&lt;35),0.25,0)+IF(AND(V264&gt;=75,V264&lt;=175,W264&gt;=35,W264&lt;65),0.2,0)+IF(AND(V264&gt;=75,V264&lt;=175,W264&gt;=65,W264&lt;110),0.15,0)+IF(AND(V264&gt;=75,V264&lt;=175,W264&gt;=110),0.1,0)+IF(AND(V264&gt;175,W264&lt;25),0.25,0)+IF(AND(V264&gt;175,W264&gt;=25,W264&lt;55),0.2,0)+IF(AND(V264&gt;175,W264&gt;=55,W264&lt;95),0.15,0)+IF(AND(V264&gt;175,W264&gt;=95),0.1,0))))))))))))))))</f>
        <v>0.3</v>
      </c>
      <c r="Y264" s="30">
        <f>IF(AG264="None",0,IF(AG264="Fix5",0.05,IF(AG264="Fix3.75",0.0375,IF(AG264="Fix10",0.1,IF(AG264="Fix3",0.03,0)))))</f>
        <v>0</v>
      </c>
      <c r="Z264" s="35">
        <f>T264-AA264-AB264</f>
        <v>-88.2</v>
      </c>
      <c r="AA264" s="29">
        <f>IF(AD264="EUR",((T264-R264)*X264)*U264+(R264*X264),(T264*X264))</f>
        <v>-37.799999999999997</v>
      </c>
      <c r="AB264" s="36">
        <f>IF(AD264="EUR",((T264-R264)*Y264)*U264+(R264*Y264),(T264*Y264))</f>
        <v>0</v>
      </c>
      <c r="AC264" s="37" t="b">
        <v>1</v>
      </c>
      <c r="AD264" s="37" t="s">
        <v>38</v>
      </c>
      <c r="AE264" s="37" t="s">
        <v>38</v>
      </c>
      <c r="AF264" s="37" t="str">
        <f t="array" ref="AF264">INDEX('Deal Info'!D:D, MATCH(A264,'Deal Info'!A:A, 0))</f>
        <v>SF</v>
      </c>
      <c r="AG264" s="38" t="str">
        <f t="array" ref="AG264">INDEX('Deal Info'!G:G, MATCH(A264,'Deal Info'!A:A, 0))</f>
        <v>None</v>
      </c>
    </row>
    <row r="265" spans="1:33" ht="14.25" hidden="1" x14ac:dyDescent="0.2">
      <c r="A265" s="18" t="str">
        <f t="array" ref="A265">IF(G265='Room Info'!$B$1, INDEX('Room Info'!$A$2:$A2446, MATCH(B265,'Room Info'!$B$2:$B2446, 0)),IF(G265='Room Info'!$C$1, INDEX('Room Info'!$A$2:$A2446, MATCH(B265,'Room Info'!$C$2:$C2446, 0)),IF(G265='Room Info'!$D$1, INDEX('Room Info'!$A$2:$A2446, MATCH(B265,'Room Info'!$D$2:$D2446, 0)),IF(G265='Room Info'!$E$1, INDEX('Room Info'!$A$2:$A2446, MATCH(B265,'Room Info'!$E$2:$E2446, 0)),IF(G265='Room Info'!$F$1, INDEX('Room Info'!$A$2:$A2446, MATCH(B265,'Room Info'!$F$2:$F2446, 0)),IF(G265='Room Info'!$H$1, INDEX('Room Info'!$A$2:$A2446, MATCH(B265,'Room Info'!$H$2:$H2446, 0)),IF(G265='Room Info'!$G$1, INDEX('Room Info'!$A$2:$A2446, MATCH(B265,'Room Info'!$G$2:$G2446, 0)))))))))</f>
        <v>Mexanuk_AV</v>
      </c>
      <c r="B265" s="45" t="s">
        <v>113</v>
      </c>
      <c r="C265" s="92">
        <v>44551</v>
      </c>
      <c r="D265" s="46">
        <v>44581</v>
      </c>
      <c r="E265" s="47">
        <v>44562</v>
      </c>
      <c r="F265" s="45" t="s">
        <v>34</v>
      </c>
      <c r="G265" s="45" t="s">
        <v>35</v>
      </c>
      <c r="H265" s="49" t="s">
        <v>40</v>
      </c>
      <c r="I265" s="49" t="s">
        <v>37</v>
      </c>
      <c r="J265" s="70">
        <v>10</v>
      </c>
      <c r="K265" s="71">
        <v>2789</v>
      </c>
      <c r="L265" s="52">
        <v>-1040</v>
      </c>
      <c r="M265" s="53">
        <v>1425</v>
      </c>
      <c r="N265" s="28">
        <f>K265*J265</f>
        <v>27890</v>
      </c>
      <c r="O265" s="54">
        <v>72965</v>
      </c>
      <c r="P265" s="29">
        <v>26.1617067</v>
      </c>
      <c r="Q265" s="55"/>
      <c r="R265" s="31">
        <f>M265+Q265</f>
        <v>1425</v>
      </c>
      <c r="S265" s="56">
        <v>-744</v>
      </c>
      <c r="T265" s="32">
        <f>R265+S265+IF(F265="Without EV deal",L265,0)</f>
        <v>681</v>
      </c>
      <c r="U265" s="57">
        <v>1</v>
      </c>
      <c r="V265" s="69">
        <v>10</v>
      </c>
      <c r="W265" s="58">
        <v>27.5</v>
      </c>
      <c r="X265" s="30">
        <f>IF(AF265="DoEV",IF(AND(V265&lt;20,W265&lt;55),0.3,0)+IF(AND(V265&lt;20,W265&gt;=55,W265&lt;105),0.23,0)+IF(AND(V265&lt;20,W265&gt;=105),0.17,0)+IF(AND(V265&gt;=20,V265&lt;40,W265&lt;45),0.3,0)+IF(AND(V265&gt;=20,V265&lt;40,W265&gt;=45,W265&lt;95),0.23,0)+IF(AND(V265&gt;=20,V265&lt;40,W265&gt;=95),0.17,0)+IF(AND(V265&gt;=40,V265&lt;75,W265&lt;35),0.3,0)+IF(AND(V265&gt;=40,V265&lt;75,W265&gt;=35,W265&lt;75),0.23,0)+IF(AND(V265&gt;=40,V265&lt;75,W265&gt;=75,W265&lt;120),0.17,0)+IF(AND(V265&gt;=40,V265&lt;75,W265&gt;=120),0.12,0)+IF(AND(V265&gt;=75,V265&lt;175,W265&lt;35),0.3,0)+IF(AND(V265&gt;=75,V265&lt;=175,W265&gt;=35,W265&lt;65),0.23,0)+IF(AND(V265&gt;=75,V265&lt;=175,W265&gt;=65,W265&lt;110),0.17,0)+IF(AND(V265&gt;=75,V265&lt;=175,W265&gt;=110),0.12,0)+IF(AND(V265&gt;175,W265&lt;25),0.3,0)+IF(AND(V265&gt;175,W265&gt;=25,W265&lt;55),0.23,0)+IF(AND(V265&gt;175,W265&gt;=55,W265&lt;95),0.17,0)+IF(AND(V265&gt;175,W265&gt;=95),0.12,0),
IF(AF265="Fix15",0.15,
IF(AF265="Fix11.25",0.1125,
IF(AF265="Fix10",0.1,
IF(AF265="Fix9",0.09,
IF(AF265="DoEV2017",IF(AND(W265&lt;74),0.2,0)+IF(AND(W265&gt;=74),0.17,0),
IF(AF265="SF",IF(AND(V265&lt;20,W265&lt;89),0.3,0)+IF(AND(V265&lt;20,W265&gt;=89),0.25,0)+IF(AND(V265&gt;=20,V265&lt;40,W265&lt;74),0.3,0)+IF(AND(V265&gt;=20,V265&lt;40,W265&gt;=75),0.22,0)+IF(AND(V265&gt;=40,V265&lt;75,W265&lt;75),0.26,0)+IF(AND(V265&gt;=40,V265&lt;75,W265&gt;=75),0.22,0)+IF(V265&gt;=75,0.22,0),
IF(AF265="DoEVold",IF(AND(V265&lt;40,W265&lt;35),0.35,0)+IF(AND(V265&lt;40,W265&gt;=35,W265&lt;75),0.25,0)+IF(AND(V265&lt;40,W265&gt;=75),0.17,0)+IF(AND(V265&gt;=40,V265&lt;75,W265&lt;25),0.35,0)+IF(AND(V265&gt;=40,V265&lt;75,W265&gt;=25,W265&lt;65),0.25,0)+IF(AND(V265&gt;=40,V265&lt;75,W265&gt;=65,W265&lt;100),0.17,0)+IF(AND(V265&gt;=40,V265&lt;75,W265&gt;=100),0.1,0)+IF(AND(V265&gt;=75,W265&lt;25),0.35,0)+IF(AND(V265&gt;=75,W265&gt;=25,W265&lt;60),0.25,0)+IF(AND(V265&gt;=75,W265&gt;=60,W265&lt;95),0.17,0)+IF(AND(V265&gt;=75,W265&gt;=95),0.1,0),
IF(AF265="DoEVold15",IF(AND(V265&lt;=40,W265&lt;35),0.35,0)+IF(AND(V265&lt;=40,W265&gt;=35,W265&lt;75),0.25,0)+IF(AND(V265&lt;=40,W265&gt;=75,W265&lt;120),0.17,0)+IF(AND(V265&lt;=40,W265&gt;=120),0.15,0)+IF(AND(V265&gt;40,V265&lt;75,W265&lt;25),0.35,0)+IF(AND(V265&gt;=40,V265&lt;75,W265&gt;=25,W265&lt;65),0.25,0)+IF(AND(V265&gt;=40,V265&lt;75,W265&gt;=65,W265&lt;100),0.17,0)+IF(AND(V265&gt;=40,V265&lt;75,W265&gt;=100),0.1,0)+IF(AND(V265&gt;=75,W265&lt;25),0.35,0)+IF(AND(V265&gt;=75,W265&gt;=25,W265&lt;60),0.25,0)+IF(AND(V265&gt;=75,W265&gt;=60,W265&lt;95),0.17,0)+IF(AND(V265&gt;=75,W265&gt;=95),0.1,0),
IF(AF265="DoEVba",IF(AND(V265&lt;20,W265&lt;105),0.2,0)+IF(AND(V265&lt;20,W265&gt;=105),0.15,0)+IF(AND(V265&gt;=20,V265&lt;40,W265&lt;95),0.2,0)+IF(AND(V265&gt;=20,V265&lt;40,W265&gt;=95,W265&lt;150),0.15,0)+IF(AND(V265&gt;=20,V265&lt;40,W265&gt;=150),0.12,0)+IF(AND(V265&gt;=40,V265&lt;75,W265&lt;75),0.2,0)+IF(AND(V265&gt;=40,V265&lt;75,W265&gt;=75,W265&lt;120),0.15,0)+IF(AND(V265&gt;=40,V265&lt;75,W265&gt;=120),0.12,0)+IF(AND(V265&gt;=75,V265&lt;175,W265&lt;65),0.2,0)+IF(AND(V265&gt;=75,V265&lt;175,W265&gt;=65,W265&lt;110),0.15,0)+IF(AND(V265&gt;=75,V265&lt;175,W265&gt;=110),0.12,0)+IF(AND(V265&gt;=175,W265&lt;55),0.2,0)+IF(AND(V265&gt;=175,W265&gt;=55,W265&lt;95),0.15,0)+IF(AND(V265&gt;=175,W265&gt;=95),0.12,0),
IF(AF265="DoEVku",IF(AND(V265&lt;20,W265&lt;55),0.23,0)+IF(AND(V265&lt;20,W265&gt;=55,W265&lt;105),0.2,0)+IF(AND(V265&lt;20,W265&gt;=105),0.17,0)+IF(AND(V265&gt;=20,V265&lt;40,W265&lt;45),0.23,0)+IF(AND(V265&gt;=20,V265&lt;40,W265&gt;=45,W265&lt;95),0.2,0)+IF(AND(V265&gt;=20,V265&lt;40,W265&gt;=95,W265&lt;=150),0.17,0)+IF(AND(V265&gt;=20,V265&lt;40,W265&gt;=150),0.12,0)+IF(AND(V265&gt;=40,V265&lt;75,W265&lt;35),0.23,0)+IF(AND(V265&gt;=40,V265&lt;75,W265&gt;=35,W265&lt;75),0.2,0)+IF(AND(V265&gt;=40,V265&lt;75,W265&gt;=75,W265&lt;120),0.17,0)+IF(AND(V265&gt;=40,V265&lt;75,W265&gt;=120),0.12,0)+IF(AND(V265&gt;=75,V265&lt;175,W265&lt;35),0.23,0)+IF(AND(V265&gt;=75,V265&lt;=175,W265&gt;=35,W265&lt;65),0.2,0)+IF(AND(V265&gt;=75,V265&lt;=175,W265&gt;=65,W265&lt;110),0.17,0)+IF(AND(V265&gt;=75,V265&lt;=175,W265&gt;=110),0.12,0)+IF(AND(V265&gt;175,W265&lt;25),0.23,0)+IF(AND(V265&gt;175,W265&gt;=25,W265&lt;55),0.2,0)+IF(AND(V265&gt;175,W265&gt;=55,W265&lt;95),0.17,0)+IF(AND(V265&gt;175,W265&gt;=95),0.12,0),
IF(AF265="DoEVs1",IF(AND(V265&lt;20,W265&lt;55),0.3,0)+IF(AND(V265&lt;20,W265&gt;=55,W265&lt;105),0.23,0)+IF(AND(V265&lt;20,W265&gt;=105),0.17,0)+IF(AND(V265&gt;=20,V265&lt;40,W265&lt;45),0.3,0)+IF(AND(V265&gt;=20,V265&lt;40,W265&gt;=45,W265&lt;95),0.23,0)+IF(AND(V265&gt;=20,V265&lt;40,W265&gt;=95,W265&lt;=150),0.17,0)+IF(AND(V265&gt;=20,V265&lt;40,W265&gt;=150),0.12,0)+IF(AND(V265&gt;=40,V265&lt;75,W265&lt;35),0.3,0)+IF(AND(V265&gt;=40,V265&lt;75,W265&gt;=35,W265&lt;75),0.23,0)+IF(AND(V265&gt;=40,V265&lt;75,W265&gt;=75,W265&lt;120),0.17,0)+IF(AND(V265&gt;=40,V265&lt;75,W265&gt;=120),0.12,0)+IF(AND(V265&gt;=75,V265&lt;175,W265&lt;35),0.3,0)+IF(AND(V265&gt;=75,V265&lt;=175,W265&gt;=35,W265&lt;65),0.23,0)+IF(AND(V265&gt;=75,V265&lt;=175,W265&gt;=65,W265&lt;110),0.17,0)+IF(AND(V265&gt;=75,V265&lt;=175,W265&gt;=110),0.12,0)+IF(AND(V265&gt;175,W265&lt;25),0.3,0)+IF(AND(V265&gt;175,W265&gt;=25,W265&lt;55),0.23,0)+IF(AND(V265&gt;175,W265&gt;=55,W265&lt;95),0.17,0)+IF(AND(V265&gt;175,W265&gt;=95),0.12,0),
IF(AF265="DoEVsu",IF(AND(V265&lt;20,W265&lt;55),0.3,0)+IF(AND(V265&lt;20,W265&gt;=55,W265&lt;105),0.23,0)+IF(AND(V265&lt;20,W265&gt;=105),0.17,0)+IF(AND(V265&gt;=20,V265&lt;40,W265&lt;45),0.3,0)+IF(AND(V265&gt;=20,V265&lt;40,W265&gt;=45,W265&lt;95),0.23,0)+IF(AND(V265&gt;=20,V265&lt;40,W265&gt;=95,W265&lt;=250),0.17,0)+IF(AND(V265&gt;=20,V265&lt;40,W265&gt;=250),0.12,0)+IF(AND(V265&gt;=40,V265&lt;75,W265&lt;35),0.3,0)+IF(AND(V265&gt;=40,V265&lt;75,W265&gt;=35,W265&lt;75),0.23,0)+IF(AND(V265&gt;=40,V265&lt;75,W265&gt;=75,W265&lt;120),0.17,0)+IF(AND(V265&gt;=40,V265&lt;75,W265&gt;=120),0.12,0)+IF(AND(V265&gt;=75,V265&lt;175,W265&lt;35),0.3,0)+IF(AND(V265&gt;=75,V265&lt;=175,W265&gt;=35,W265&lt;65),0.23,0)+IF(AND(V265&gt;=75,V265&lt;=175,W265&gt;=65,W265&lt;110),0.17,0)+IF(AND(V265&gt;=75,V265&lt;=175,W265&gt;=110),0.12,0)+IF(AND(V265&gt;175,W265&lt;25),0.3,0)+IF(AND(V265&gt;175,W265&gt;=25,W265&lt;55),0.23,0)+IF(AND(V265&gt;175,W265&gt;=55,W265&lt;95),0.17,0)+IF(AND(V265&gt;175,W265&gt;=95),0.12,0),
IF(AF265="DoEVni",IF(AND(V265&lt;20,W265&lt;55),0.3,0)+IF(AND(V265&lt;20,W265&gt;=55,W265&lt;105),0.23,0)+IF(AND(V265&lt;20,W265&gt;=105),0.17,0)+IF(AND(V265&gt;=20,V265&lt;40,W265&lt;45),0.3,0)+IF(AND(V265&gt;=20,V265&lt;40,W265&gt;=45,W265&lt;95),0.23,0)+IF(AND(V265&gt;=20,V265&lt;40,W265&gt;=95,W265&lt;=200),0.17,0)+IF(AND(V265&gt;=20,V265&lt;40,W265&gt;=200),0.12,0)+IF(AND(V265&gt;=40,V265&lt;75,W265&lt;35),0.3,0)+IF(AND(V265&gt;=40,V265&lt;75,W265&gt;=35,W265&lt;75),0.23,0)+IF(AND(V265&gt;=40,V265&lt;75,W265&gt;=75,W265&lt;120),0.17,0)+IF(AND(V265&gt;=40,V265&lt;75,W265&gt;=120),0.12,0)+IF(AND(V265&gt;=75,V265&lt;175,W265&lt;35),0.3,0)+IF(AND(V265&gt;=75,V265&lt;=175,W265&gt;=35,W265&lt;65),0.23,0)+IF(AND(V265&gt;=75,V265&lt;=175,W265&gt;=65,W265&lt;110),0.17,0)+IF(AND(V265&gt;=75,V265&lt;=175,W265&gt;=110),0.12,0)+IF(AND(V265&gt;175,W265&lt;25),0.3,0)+IF(AND(V265&gt;175,W265&gt;=25,W265&lt;55),0.23,0)+IF(AND(V265&gt;175,W265&gt;=55,W265&lt;95),0.17,0)+IF(AND(V265&gt;175,W265&gt;=95),0.12,0),
IF(AF265="DoEVLo",IF(AND(V265&lt;20,W265&lt;55),0.25,0)+IF(AND(V265&lt;20,W265&gt;=55,W265&lt;105),0.2,0)+IF(AND(V265&lt;20,W265&gt;=105),0.15,0)+IF(AND(V265&gt;=20,V265&lt;40,W265&lt;45),0.25,0)+IF(AND(V265&gt;=20,V265&lt;40,W265&gt;=45,W265&lt;95),0.2,0)+IF(AND(V265&gt;=20,V265&lt;40,W265&gt;=95),0.15,0)+IF(AND(V265&gt;=40,V265&lt;75,W265&lt;35),0.25,0)+IF(AND(V265&gt;=40,V265&lt;75,W265&gt;=35,W265&lt;75),0.2,0)+IF(AND(V265&gt;=40,V265&lt;75,W265&gt;=75,W265&lt;120),0.15,0)+IF(AND(V265&gt;=40,V265&lt;75,W265&gt;=120),0.1,0)+IF(AND(V265&gt;=75,V265&lt;175,W265&lt;35),0.25,0)+IF(AND(V265&gt;=75,V265&lt;=175,W265&gt;=35,W265&lt;65),0.2,0)+IF(AND(V265&gt;=75,V265&lt;=175,W265&gt;=65,W265&lt;110),0.15,0)+IF(AND(V265&gt;=75,V265&lt;=175,W265&gt;=110),0.1,0)+IF(AND(V265&gt;175,W265&lt;25),0.25,0)+IF(AND(V265&gt;175,W265&gt;=25,W265&lt;55),0.2,0)+IF(AND(V265&gt;175,W265&gt;=55,W265&lt;95),0.15,0)+IF(AND(V265&gt;175,W265&gt;=95),0.1,0))))))))))))))))</f>
        <v>0.3</v>
      </c>
      <c r="Y265" s="30">
        <f>IF(AG265="None",0,IF(AG265="Fix5",0.05,IF(AG265="Fix3.75",0.0375,IF(AG265="Fix10",0.1,IF(AG265="Fix3",0.03,0)))))</f>
        <v>0</v>
      </c>
      <c r="Z265" s="35">
        <f>T265-AA265-AB265</f>
        <v>476.70000000000005</v>
      </c>
      <c r="AA265" s="29">
        <f>IF(AD265="EUR",((T265-R265)*X265)*U265+(R265*X265),(T265*X265))</f>
        <v>204.29999999999998</v>
      </c>
      <c r="AB265" s="36">
        <f>IF(AD265="EUR",((T265-R265)*Y265)*U265+(R265*Y265),(T265*Y265))</f>
        <v>0</v>
      </c>
      <c r="AC265" s="37" t="b">
        <v>1</v>
      </c>
      <c r="AD265" s="37" t="s">
        <v>38</v>
      </c>
      <c r="AE265" s="37" t="s">
        <v>38</v>
      </c>
      <c r="AF265" s="37" t="str">
        <f t="array" ref="AF265">INDEX('Deal Info'!D:D, MATCH(A265,'Deal Info'!A:A, 0))</f>
        <v>SF</v>
      </c>
      <c r="AG265" s="38" t="str">
        <f t="array" ref="AG265">INDEX('Deal Info'!G:G, MATCH(A265,'Deal Info'!A:A, 0))</f>
        <v>None</v>
      </c>
    </row>
    <row r="266" spans="1:33" ht="14.25" hidden="1" x14ac:dyDescent="0.2">
      <c r="A266" s="18" t="str">
        <f t="array" ref="A266">IF(G266='Room Info'!$B$1, INDEX('Room Info'!$A$2:$A2446, MATCH(B266,'Room Info'!$B$2:$B2446, 0)),IF(G266='Room Info'!$C$1, INDEX('Room Info'!$A$2:$A2446, MATCH(B266,'Room Info'!$C$2:$C2446, 0)),IF(G266='Room Info'!$D$1, INDEX('Room Info'!$A$2:$A2446, MATCH(B266,'Room Info'!$D$2:$D2446, 0)),IF(G266='Room Info'!$E$1, INDEX('Room Info'!$A$2:$A2446, MATCH(B266,'Room Info'!$E$2:$E2446, 0)),IF(G266='Room Info'!$F$1, INDEX('Room Info'!$A$2:$A2446, MATCH(B266,'Room Info'!$F$2:$F2446, 0)),IF(G266='Room Info'!$H$1, INDEX('Room Info'!$A$2:$A2446, MATCH(B266,'Room Info'!$H$2:$H2446, 0)),IF(G266='Room Info'!$G$1, INDEX('Room Info'!$A$2:$A2446, MATCH(B266,'Room Info'!$G$2:$G2446, 0)))))))))</f>
        <v>Mexanuk_AV</v>
      </c>
      <c r="B266" s="45" t="s">
        <v>113</v>
      </c>
      <c r="C266" s="92">
        <v>44582</v>
      </c>
      <c r="D266" s="46">
        <v>44612</v>
      </c>
      <c r="E266" s="47">
        <v>44593</v>
      </c>
      <c r="F266" s="45" t="s">
        <v>34</v>
      </c>
      <c r="G266" s="45" t="s">
        <v>35</v>
      </c>
      <c r="H266" s="49" t="s">
        <v>40</v>
      </c>
      <c r="I266" s="49" t="s">
        <v>37</v>
      </c>
      <c r="J266" s="70">
        <v>10</v>
      </c>
      <c r="K266" s="71">
        <v>1016</v>
      </c>
      <c r="L266" s="52">
        <v>210</v>
      </c>
      <c r="M266" s="53">
        <v>1216</v>
      </c>
      <c r="N266" s="28">
        <f>K266*J266</f>
        <v>10160</v>
      </c>
      <c r="O266" s="54">
        <v>20037</v>
      </c>
      <c r="P266" s="29">
        <v>19.72145669</v>
      </c>
      <c r="Q266" s="55"/>
      <c r="R266" s="31">
        <f>M266+Q266</f>
        <v>1216</v>
      </c>
      <c r="S266" s="56">
        <v>-332</v>
      </c>
      <c r="T266" s="32">
        <f>R266+S266+IF(F266="Without EV deal",L266,0)</f>
        <v>884</v>
      </c>
      <c r="U266" s="57">
        <v>1</v>
      </c>
      <c r="V266" s="69">
        <v>10</v>
      </c>
      <c r="W266" s="69">
        <v>88.4</v>
      </c>
      <c r="X266" s="30">
        <f>IF(AF266="DoEV",IF(AND(V266&lt;20,W266&lt;55),0.3,0)+IF(AND(V266&lt;20,W266&gt;=55,W266&lt;105),0.23,0)+IF(AND(V266&lt;20,W266&gt;=105),0.17,0)+IF(AND(V266&gt;=20,V266&lt;40,W266&lt;45),0.3,0)+IF(AND(V266&gt;=20,V266&lt;40,W266&gt;=45,W266&lt;95),0.23,0)+IF(AND(V266&gt;=20,V266&lt;40,W266&gt;=95),0.17,0)+IF(AND(V266&gt;=40,V266&lt;75,W266&lt;35),0.3,0)+IF(AND(V266&gt;=40,V266&lt;75,W266&gt;=35,W266&lt;75),0.23,0)+IF(AND(V266&gt;=40,V266&lt;75,W266&gt;=75,W266&lt;120),0.17,0)+IF(AND(V266&gt;=40,V266&lt;75,W266&gt;=120),0.12,0)+IF(AND(V266&gt;=75,V266&lt;175,W266&lt;35),0.3,0)+IF(AND(V266&gt;=75,V266&lt;=175,W266&gt;=35,W266&lt;65),0.23,0)+IF(AND(V266&gt;=75,V266&lt;=175,W266&gt;=65,W266&lt;110),0.17,0)+IF(AND(V266&gt;=75,V266&lt;=175,W266&gt;=110),0.12,0)+IF(AND(V266&gt;175,W266&lt;25),0.3,0)+IF(AND(V266&gt;175,W266&gt;=25,W266&lt;55),0.23,0)+IF(AND(V266&gt;175,W266&gt;=55,W266&lt;95),0.17,0)+IF(AND(V266&gt;175,W266&gt;=95),0.12,0),
IF(AF266="Fix15",0.15,
IF(AF266="Fix11.25",0.1125,
IF(AF266="Fix10",0.1,
IF(AF266="Fix9",0.09,
IF(AF266="DoEV2017",IF(AND(W266&lt;74),0.2,0)+IF(AND(W266&gt;=74),0.17,0),
IF(AF266="SF",IF(AND(V266&lt;20,W266&lt;89),0.3,0)+IF(AND(V266&lt;20,W266&gt;=89),0.25,0)+IF(AND(V266&gt;=20,V266&lt;40,W266&lt;74),0.3,0)+IF(AND(V266&gt;=20,V266&lt;40,W266&gt;=75),0.22,0)+IF(AND(V266&gt;=40,V266&lt;75,W266&lt;75),0.26,0)+IF(AND(V266&gt;=40,V266&lt;75,W266&gt;=75),0.22,0)+IF(V266&gt;=75,0.22,0),
IF(AF266="DoEVold",IF(AND(V266&lt;40,W266&lt;35),0.35,0)+IF(AND(V266&lt;40,W266&gt;=35,W266&lt;75),0.25,0)+IF(AND(V266&lt;40,W266&gt;=75),0.17,0)+IF(AND(V266&gt;=40,V266&lt;75,W266&lt;25),0.35,0)+IF(AND(V266&gt;=40,V266&lt;75,W266&gt;=25,W266&lt;65),0.25,0)+IF(AND(V266&gt;=40,V266&lt;75,W266&gt;=65,W266&lt;100),0.17,0)+IF(AND(V266&gt;=40,V266&lt;75,W266&gt;=100),0.1,0)+IF(AND(V266&gt;=75,W266&lt;25),0.35,0)+IF(AND(V266&gt;=75,W266&gt;=25,W266&lt;60),0.25,0)+IF(AND(V266&gt;=75,W266&gt;=60,W266&lt;95),0.17,0)+IF(AND(V266&gt;=75,W266&gt;=95),0.1,0),
IF(AF266="DoEVold15",IF(AND(V266&lt;=40,W266&lt;35),0.35,0)+IF(AND(V266&lt;=40,W266&gt;=35,W266&lt;75),0.25,0)+IF(AND(V266&lt;=40,W266&gt;=75,W266&lt;120),0.17,0)+IF(AND(V266&lt;=40,W266&gt;=120),0.15,0)+IF(AND(V266&gt;40,V266&lt;75,W266&lt;25),0.35,0)+IF(AND(V266&gt;=40,V266&lt;75,W266&gt;=25,W266&lt;65),0.25,0)+IF(AND(V266&gt;=40,V266&lt;75,W266&gt;=65,W266&lt;100),0.17,0)+IF(AND(V266&gt;=40,V266&lt;75,W266&gt;=100),0.1,0)+IF(AND(V266&gt;=75,W266&lt;25),0.35,0)+IF(AND(V266&gt;=75,W266&gt;=25,W266&lt;60),0.25,0)+IF(AND(V266&gt;=75,W266&gt;=60,W266&lt;95),0.17,0)+IF(AND(V266&gt;=75,W266&gt;=95),0.1,0),
IF(AF266="DoEVba",IF(AND(V266&lt;20,W266&lt;105),0.2,0)+IF(AND(V266&lt;20,W266&gt;=105),0.15,0)+IF(AND(V266&gt;=20,V266&lt;40,W266&lt;95),0.2,0)+IF(AND(V266&gt;=20,V266&lt;40,W266&gt;=95,W266&lt;150),0.15,0)+IF(AND(V266&gt;=20,V266&lt;40,W266&gt;=150),0.12,0)+IF(AND(V266&gt;=40,V266&lt;75,W266&lt;75),0.2,0)+IF(AND(V266&gt;=40,V266&lt;75,W266&gt;=75,W266&lt;120),0.15,0)+IF(AND(V266&gt;=40,V266&lt;75,W266&gt;=120),0.12,0)+IF(AND(V266&gt;=75,V266&lt;175,W266&lt;65),0.2,0)+IF(AND(V266&gt;=75,V266&lt;175,W266&gt;=65,W266&lt;110),0.15,0)+IF(AND(V266&gt;=75,V266&lt;175,W266&gt;=110),0.12,0)+IF(AND(V266&gt;=175,W266&lt;55),0.2,0)+IF(AND(V266&gt;=175,W266&gt;=55,W266&lt;95),0.15,0)+IF(AND(V266&gt;=175,W266&gt;=95),0.12,0),
IF(AF266="DoEVku",IF(AND(V266&lt;20,W266&lt;55),0.23,0)+IF(AND(V266&lt;20,W266&gt;=55,W266&lt;105),0.2,0)+IF(AND(V266&lt;20,W266&gt;=105),0.17,0)+IF(AND(V266&gt;=20,V266&lt;40,W266&lt;45),0.23,0)+IF(AND(V266&gt;=20,V266&lt;40,W266&gt;=45,W266&lt;95),0.2,0)+IF(AND(V266&gt;=20,V266&lt;40,W266&gt;=95,W266&lt;=150),0.17,0)+IF(AND(V266&gt;=20,V266&lt;40,W266&gt;=150),0.12,0)+IF(AND(V266&gt;=40,V266&lt;75,W266&lt;35),0.23,0)+IF(AND(V266&gt;=40,V266&lt;75,W266&gt;=35,W266&lt;75),0.2,0)+IF(AND(V266&gt;=40,V266&lt;75,W266&gt;=75,W266&lt;120),0.17,0)+IF(AND(V266&gt;=40,V266&lt;75,W266&gt;=120),0.12,0)+IF(AND(V266&gt;=75,V266&lt;175,W266&lt;35),0.23,0)+IF(AND(V266&gt;=75,V266&lt;=175,W266&gt;=35,W266&lt;65),0.2,0)+IF(AND(V266&gt;=75,V266&lt;=175,W266&gt;=65,W266&lt;110),0.17,0)+IF(AND(V266&gt;=75,V266&lt;=175,W266&gt;=110),0.12,0)+IF(AND(V266&gt;175,W266&lt;25),0.23,0)+IF(AND(V266&gt;175,W266&gt;=25,W266&lt;55),0.2,0)+IF(AND(V266&gt;175,W266&gt;=55,W266&lt;95),0.17,0)+IF(AND(V266&gt;175,W266&gt;=95),0.12,0),
IF(AF266="DoEVs1",IF(AND(V266&lt;20,W266&lt;55),0.3,0)+IF(AND(V266&lt;20,W266&gt;=55,W266&lt;105),0.23,0)+IF(AND(V266&lt;20,W266&gt;=105),0.17,0)+IF(AND(V266&gt;=20,V266&lt;40,W266&lt;45),0.3,0)+IF(AND(V266&gt;=20,V266&lt;40,W266&gt;=45,W266&lt;95),0.23,0)+IF(AND(V266&gt;=20,V266&lt;40,W266&gt;=95,W266&lt;=150),0.17,0)+IF(AND(V266&gt;=20,V266&lt;40,W266&gt;=150),0.12,0)+IF(AND(V266&gt;=40,V266&lt;75,W266&lt;35),0.3,0)+IF(AND(V266&gt;=40,V266&lt;75,W266&gt;=35,W266&lt;75),0.23,0)+IF(AND(V266&gt;=40,V266&lt;75,W266&gt;=75,W266&lt;120),0.17,0)+IF(AND(V266&gt;=40,V266&lt;75,W266&gt;=120),0.12,0)+IF(AND(V266&gt;=75,V266&lt;175,W266&lt;35),0.3,0)+IF(AND(V266&gt;=75,V266&lt;=175,W266&gt;=35,W266&lt;65),0.23,0)+IF(AND(V266&gt;=75,V266&lt;=175,W266&gt;=65,W266&lt;110),0.17,0)+IF(AND(V266&gt;=75,V266&lt;=175,W266&gt;=110),0.12,0)+IF(AND(V266&gt;175,W266&lt;25),0.3,0)+IF(AND(V266&gt;175,W266&gt;=25,W266&lt;55),0.23,0)+IF(AND(V266&gt;175,W266&gt;=55,W266&lt;95),0.17,0)+IF(AND(V266&gt;175,W266&gt;=95),0.12,0),
IF(AF266="DoEVsu",IF(AND(V266&lt;20,W266&lt;55),0.3,0)+IF(AND(V266&lt;20,W266&gt;=55,W266&lt;105),0.23,0)+IF(AND(V266&lt;20,W266&gt;=105),0.17,0)+IF(AND(V266&gt;=20,V266&lt;40,W266&lt;45),0.3,0)+IF(AND(V266&gt;=20,V266&lt;40,W266&gt;=45,W266&lt;95),0.23,0)+IF(AND(V266&gt;=20,V266&lt;40,W266&gt;=95,W266&lt;=250),0.17,0)+IF(AND(V266&gt;=20,V266&lt;40,W266&gt;=250),0.12,0)+IF(AND(V266&gt;=40,V266&lt;75,W266&lt;35),0.3,0)+IF(AND(V266&gt;=40,V266&lt;75,W266&gt;=35,W266&lt;75),0.23,0)+IF(AND(V266&gt;=40,V266&lt;75,W266&gt;=75,W266&lt;120),0.17,0)+IF(AND(V266&gt;=40,V266&lt;75,W266&gt;=120),0.12,0)+IF(AND(V266&gt;=75,V266&lt;175,W266&lt;35),0.3,0)+IF(AND(V266&gt;=75,V266&lt;=175,W266&gt;=35,W266&lt;65),0.23,0)+IF(AND(V266&gt;=75,V266&lt;=175,W266&gt;=65,W266&lt;110),0.17,0)+IF(AND(V266&gt;=75,V266&lt;=175,W266&gt;=110),0.12,0)+IF(AND(V266&gt;175,W266&lt;25),0.3,0)+IF(AND(V266&gt;175,W266&gt;=25,W266&lt;55),0.23,0)+IF(AND(V266&gt;175,W266&gt;=55,W266&lt;95),0.17,0)+IF(AND(V266&gt;175,W266&gt;=95),0.12,0),
IF(AF266="DoEVni",IF(AND(V266&lt;20,W266&lt;55),0.3,0)+IF(AND(V266&lt;20,W266&gt;=55,W266&lt;105),0.23,0)+IF(AND(V266&lt;20,W266&gt;=105),0.17,0)+IF(AND(V266&gt;=20,V266&lt;40,W266&lt;45),0.3,0)+IF(AND(V266&gt;=20,V266&lt;40,W266&gt;=45,W266&lt;95),0.23,0)+IF(AND(V266&gt;=20,V266&lt;40,W266&gt;=95,W266&lt;=200),0.17,0)+IF(AND(V266&gt;=20,V266&lt;40,W266&gt;=200),0.12,0)+IF(AND(V266&gt;=40,V266&lt;75,W266&lt;35),0.3,0)+IF(AND(V266&gt;=40,V266&lt;75,W266&gt;=35,W266&lt;75),0.23,0)+IF(AND(V266&gt;=40,V266&lt;75,W266&gt;=75,W266&lt;120),0.17,0)+IF(AND(V266&gt;=40,V266&lt;75,W266&gt;=120),0.12,0)+IF(AND(V266&gt;=75,V266&lt;175,W266&lt;35),0.3,0)+IF(AND(V266&gt;=75,V266&lt;=175,W266&gt;=35,W266&lt;65),0.23,0)+IF(AND(V266&gt;=75,V266&lt;=175,W266&gt;=65,W266&lt;110),0.17,0)+IF(AND(V266&gt;=75,V266&lt;=175,W266&gt;=110),0.12,0)+IF(AND(V266&gt;175,W266&lt;25),0.3,0)+IF(AND(V266&gt;175,W266&gt;=25,W266&lt;55),0.23,0)+IF(AND(V266&gt;175,W266&gt;=55,W266&lt;95),0.17,0)+IF(AND(V266&gt;175,W266&gt;=95),0.12,0),
IF(AF266="DoEVLo",IF(AND(V266&lt;20,W266&lt;55),0.25,0)+IF(AND(V266&lt;20,W266&gt;=55,W266&lt;105),0.2,0)+IF(AND(V266&lt;20,W266&gt;=105),0.15,0)+IF(AND(V266&gt;=20,V266&lt;40,W266&lt;45),0.25,0)+IF(AND(V266&gt;=20,V266&lt;40,W266&gt;=45,W266&lt;95),0.2,0)+IF(AND(V266&gt;=20,V266&lt;40,W266&gt;=95),0.15,0)+IF(AND(V266&gt;=40,V266&lt;75,W266&lt;35),0.25,0)+IF(AND(V266&gt;=40,V266&lt;75,W266&gt;=35,W266&lt;75),0.2,0)+IF(AND(V266&gt;=40,V266&lt;75,W266&gt;=75,W266&lt;120),0.15,0)+IF(AND(V266&gt;=40,V266&lt;75,W266&gt;=120),0.1,0)+IF(AND(V266&gt;=75,V266&lt;175,W266&lt;35),0.25,0)+IF(AND(V266&gt;=75,V266&lt;=175,W266&gt;=35,W266&lt;65),0.2,0)+IF(AND(V266&gt;=75,V266&lt;=175,W266&gt;=65,W266&lt;110),0.15,0)+IF(AND(V266&gt;=75,V266&lt;=175,W266&gt;=110),0.1,0)+IF(AND(V266&gt;175,W266&lt;25),0.25,0)+IF(AND(V266&gt;175,W266&gt;=25,W266&lt;55),0.2,0)+IF(AND(V266&gt;175,W266&gt;=55,W266&lt;95),0.15,0)+IF(AND(V266&gt;175,W266&gt;=95),0.1,0))))))))))))))))</f>
        <v>0.3</v>
      </c>
      <c r="Y266" s="30">
        <f>IF(AG266="None",0,IF(AG266="Fix5",0.05,IF(AG266="Fix3.75",0.0375,IF(AG266="Fix10",0.1,IF(AG266="Fix3",0.03,0)))))</f>
        <v>0</v>
      </c>
      <c r="Z266" s="35">
        <f>T266-AA266-AB266</f>
        <v>618.79999999999995</v>
      </c>
      <c r="AA266" s="29">
        <f>IF(AD266="EUR",((T266-R266)*X266)*U266+(R266*X266),(T266*X266))</f>
        <v>265.2</v>
      </c>
      <c r="AB266" s="36">
        <f>IF(AD266="EUR",((T266-R266)*Y266)*U266+(R266*Y266),(T266*Y266))</f>
        <v>0</v>
      </c>
      <c r="AC266" s="37" t="b">
        <v>1</v>
      </c>
      <c r="AD266" s="37" t="s">
        <v>38</v>
      </c>
      <c r="AE266" s="37" t="s">
        <v>38</v>
      </c>
      <c r="AF266" s="37" t="str">
        <f t="array" ref="AF266">INDEX('Deal Info'!D:D, MATCH(A266,'Deal Info'!A:A, 0))</f>
        <v>SF</v>
      </c>
      <c r="AG266" s="38" t="str">
        <f t="array" ref="AG266">INDEX('Deal Info'!G:G, MATCH(A266,'Deal Info'!A:A, 0))</f>
        <v>None</v>
      </c>
    </row>
    <row r="267" spans="1:33" ht="14.25" hidden="1" x14ac:dyDescent="0.2">
      <c r="A267" s="18" t="str">
        <f t="array" ref="A267">IF(G267='Room Info'!$B$1, INDEX('Room Info'!$A$2:$A2446, MATCH(B267,'Room Info'!$B$2:$B2446, 0)),IF(G267='Room Info'!$C$1, INDEX('Room Info'!$A$2:$A2446, MATCH(B267,'Room Info'!$C$2:$C2446, 0)),IF(G267='Room Info'!$D$1, INDEX('Room Info'!$A$2:$A2446, MATCH(B267,'Room Info'!$D$2:$D2446, 0)),IF(G267='Room Info'!$E$1, INDEX('Room Info'!$A$2:$A2446, MATCH(B267,'Room Info'!$E$2:$E2446, 0)),IF(G267='Room Info'!$F$1, INDEX('Room Info'!$A$2:$A2446, MATCH(B267,'Room Info'!$F$2:$F2446, 0)),IF(G267='Room Info'!$H$1, INDEX('Room Info'!$A$2:$A2446, MATCH(B267,'Room Info'!$H$2:$H2446, 0)),IF(G267='Room Info'!$G$1, INDEX('Room Info'!$A$2:$A2446, MATCH(B267,'Room Info'!$G$2:$G2446, 0)))))))))</f>
        <v>Mexanuk_AV</v>
      </c>
      <c r="B267" s="45" t="s">
        <v>113</v>
      </c>
      <c r="C267" s="92">
        <v>44613</v>
      </c>
      <c r="D267" s="46">
        <v>44640</v>
      </c>
      <c r="E267" s="47">
        <v>44621</v>
      </c>
      <c r="F267" s="45" t="s">
        <v>34</v>
      </c>
      <c r="G267" s="45" t="s">
        <v>35</v>
      </c>
      <c r="H267" s="49" t="s">
        <v>39</v>
      </c>
      <c r="I267" s="49" t="s">
        <v>37</v>
      </c>
      <c r="J267" s="70">
        <v>5</v>
      </c>
      <c r="K267" s="71">
        <v>162</v>
      </c>
      <c r="L267" s="52">
        <v>-125</v>
      </c>
      <c r="M267" s="53">
        <v>11</v>
      </c>
      <c r="N267" s="28">
        <f>K267*J267</f>
        <v>810</v>
      </c>
      <c r="O267" s="54">
        <v>2702</v>
      </c>
      <c r="P267" s="29">
        <v>16.679012350000001</v>
      </c>
      <c r="Q267" s="55"/>
      <c r="R267" s="31">
        <f>M267+Q267</f>
        <v>11</v>
      </c>
      <c r="S267" s="56">
        <v>-51</v>
      </c>
      <c r="T267" s="32">
        <f>R267+S267+IF(F267="Without EV deal",L267,0)</f>
        <v>-40</v>
      </c>
      <c r="U267" s="57">
        <v>1</v>
      </c>
      <c r="V267" s="69">
        <v>9.6501079913606915</v>
      </c>
      <c r="W267" s="69">
        <v>26.528200537153086</v>
      </c>
      <c r="X267" s="30">
        <f>IF(AF267="DoEV",IF(AND(V267&lt;20,W267&lt;55),0.3,0)+IF(AND(V267&lt;20,W267&gt;=55,W267&lt;105),0.23,0)+IF(AND(V267&lt;20,W267&gt;=105),0.17,0)+IF(AND(V267&gt;=20,V267&lt;40,W267&lt;45),0.3,0)+IF(AND(V267&gt;=20,V267&lt;40,W267&gt;=45,W267&lt;95),0.23,0)+IF(AND(V267&gt;=20,V267&lt;40,W267&gt;=95),0.17,0)+IF(AND(V267&gt;=40,V267&lt;75,W267&lt;35),0.3,0)+IF(AND(V267&gt;=40,V267&lt;75,W267&gt;=35,W267&lt;75),0.23,0)+IF(AND(V267&gt;=40,V267&lt;75,W267&gt;=75,W267&lt;120),0.17,0)+IF(AND(V267&gt;=40,V267&lt;75,W267&gt;=120),0.12,0)+IF(AND(V267&gt;=75,V267&lt;175,W267&lt;35),0.3,0)+IF(AND(V267&gt;=75,V267&lt;=175,W267&gt;=35,W267&lt;65),0.23,0)+IF(AND(V267&gt;=75,V267&lt;=175,W267&gt;=65,W267&lt;110),0.17,0)+IF(AND(V267&gt;=75,V267&lt;=175,W267&gt;=110),0.12,0)+IF(AND(V267&gt;175,W267&lt;25),0.3,0)+IF(AND(V267&gt;175,W267&gt;=25,W267&lt;55),0.23,0)+IF(AND(V267&gt;175,W267&gt;=55,W267&lt;95),0.17,0)+IF(AND(V267&gt;175,W267&gt;=95),0.12,0),
IF(AF267="Fix15",0.15,
IF(AF267="Fix11.25",0.1125,
IF(AF267="Fix10",0.1,
IF(AF267="Fix9",0.09,
IF(AF267="DoEV2017",IF(AND(W267&lt;74),0.2,0)+IF(AND(W267&gt;=74),0.17,0),
IF(AF267="SF",IF(AND(V267&lt;20,W267&lt;89),0.3,0)+IF(AND(V267&lt;20,W267&gt;=89),0.25,0)+IF(AND(V267&gt;=20,V267&lt;40,W267&lt;74),0.3,0)+IF(AND(V267&gt;=20,V267&lt;40,W267&gt;=75),0.22,0)+IF(AND(V267&gt;=40,V267&lt;75,W267&lt;75),0.26,0)+IF(AND(V267&gt;=40,V267&lt;75,W267&gt;=75),0.22,0)+IF(V267&gt;=75,0.22,0),
IF(AF267="DoEVold",IF(AND(V267&lt;40,W267&lt;35),0.35,0)+IF(AND(V267&lt;40,W267&gt;=35,W267&lt;75),0.25,0)+IF(AND(V267&lt;40,W267&gt;=75),0.17,0)+IF(AND(V267&gt;=40,V267&lt;75,W267&lt;25),0.35,0)+IF(AND(V267&gt;=40,V267&lt;75,W267&gt;=25,W267&lt;65),0.25,0)+IF(AND(V267&gt;=40,V267&lt;75,W267&gt;=65,W267&lt;100),0.17,0)+IF(AND(V267&gt;=40,V267&lt;75,W267&gt;=100),0.1,0)+IF(AND(V267&gt;=75,W267&lt;25),0.35,0)+IF(AND(V267&gt;=75,W267&gt;=25,W267&lt;60),0.25,0)+IF(AND(V267&gt;=75,W267&gt;=60,W267&lt;95),0.17,0)+IF(AND(V267&gt;=75,W267&gt;=95),0.1,0),
IF(AF267="DoEVold15",IF(AND(V267&lt;=40,W267&lt;35),0.35,0)+IF(AND(V267&lt;=40,W267&gt;=35,W267&lt;75),0.25,0)+IF(AND(V267&lt;=40,W267&gt;=75,W267&lt;120),0.17,0)+IF(AND(V267&lt;=40,W267&gt;=120),0.15,0)+IF(AND(V267&gt;40,V267&lt;75,W267&lt;25),0.35,0)+IF(AND(V267&gt;=40,V267&lt;75,W267&gt;=25,W267&lt;65),0.25,0)+IF(AND(V267&gt;=40,V267&lt;75,W267&gt;=65,W267&lt;100),0.17,0)+IF(AND(V267&gt;=40,V267&lt;75,W267&gt;=100),0.1,0)+IF(AND(V267&gt;=75,W267&lt;25),0.35,0)+IF(AND(V267&gt;=75,W267&gt;=25,W267&lt;60),0.25,0)+IF(AND(V267&gt;=75,W267&gt;=60,W267&lt;95),0.17,0)+IF(AND(V267&gt;=75,W267&gt;=95),0.1,0),
IF(AF267="DoEVba",IF(AND(V267&lt;20,W267&lt;105),0.2,0)+IF(AND(V267&lt;20,W267&gt;=105),0.15,0)+IF(AND(V267&gt;=20,V267&lt;40,W267&lt;95),0.2,0)+IF(AND(V267&gt;=20,V267&lt;40,W267&gt;=95,W267&lt;150),0.15,0)+IF(AND(V267&gt;=20,V267&lt;40,W267&gt;=150),0.12,0)+IF(AND(V267&gt;=40,V267&lt;75,W267&lt;75),0.2,0)+IF(AND(V267&gt;=40,V267&lt;75,W267&gt;=75,W267&lt;120),0.15,0)+IF(AND(V267&gt;=40,V267&lt;75,W267&gt;=120),0.12,0)+IF(AND(V267&gt;=75,V267&lt;175,W267&lt;65),0.2,0)+IF(AND(V267&gt;=75,V267&lt;175,W267&gt;=65,W267&lt;110),0.15,0)+IF(AND(V267&gt;=75,V267&lt;175,W267&gt;=110),0.12,0)+IF(AND(V267&gt;=175,W267&lt;55),0.2,0)+IF(AND(V267&gt;=175,W267&gt;=55,W267&lt;95),0.15,0)+IF(AND(V267&gt;=175,W267&gt;=95),0.12,0),
IF(AF267="DoEVku",IF(AND(V267&lt;20,W267&lt;55),0.23,0)+IF(AND(V267&lt;20,W267&gt;=55,W267&lt;105),0.2,0)+IF(AND(V267&lt;20,W267&gt;=105),0.17,0)+IF(AND(V267&gt;=20,V267&lt;40,W267&lt;45),0.23,0)+IF(AND(V267&gt;=20,V267&lt;40,W267&gt;=45,W267&lt;95),0.2,0)+IF(AND(V267&gt;=20,V267&lt;40,W267&gt;=95,W267&lt;=150),0.17,0)+IF(AND(V267&gt;=20,V267&lt;40,W267&gt;=150),0.12,0)+IF(AND(V267&gt;=40,V267&lt;75,W267&lt;35),0.23,0)+IF(AND(V267&gt;=40,V267&lt;75,W267&gt;=35,W267&lt;75),0.2,0)+IF(AND(V267&gt;=40,V267&lt;75,W267&gt;=75,W267&lt;120),0.17,0)+IF(AND(V267&gt;=40,V267&lt;75,W267&gt;=120),0.12,0)+IF(AND(V267&gt;=75,V267&lt;175,W267&lt;35),0.23,0)+IF(AND(V267&gt;=75,V267&lt;=175,W267&gt;=35,W267&lt;65),0.2,0)+IF(AND(V267&gt;=75,V267&lt;=175,W267&gt;=65,W267&lt;110),0.17,0)+IF(AND(V267&gt;=75,V267&lt;=175,W267&gt;=110),0.12,0)+IF(AND(V267&gt;175,W267&lt;25),0.23,0)+IF(AND(V267&gt;175,W267&gt;=25,W267&lt;55),0.2,0)+IF(AND(V267&gt;175,W267&gt;=55,W267&lt;95),0.17,0)+IF(AND(V267&gt;175,W267&gt;=95),0.12,0),
IF(AF267="DoEVs1",IF(AND(V267&lt;20,W267&lt;55),0.3,0)+IF(AND(V267&lt;20,W267&gt;=55,W267&lt;105),0.23,0)+IF(AND(V267&lt;20,W267&gt;=105),0.17,0)+IF(AND(V267&gt;=20,V267&lt;40,W267&lt;45),0.3,0)+IF(AND(V267&gt;=20,V267&lt;40,W267&gt;=45,W267&lt;95),0.23,0)+IF(AND(V267&gt;=20,V267&lt;40,W267&gt;=95,W267&lt;=150),0.17,0)+IF(AND(V267&gt;=20,V267&lt;40,W267&gt;=150),0.12,0)+IF(AND(V267&gt;=40,V267&lt;75,W267&lt;35),0.3,0)+IF(AND(V267&gt;=40,V267&lt;75,W267&gt;=35,W267&lt;75),0.23,0)+IF(AND(V267&gt;=40,V267&lt;75,W267&gt;=75,W267&lt;120),0.17,0)+IF(AND(V267&gt;=40,V267&lt;75,W267&gt;=120),0.12,0)+IF(AND(V267&gt;=75,V267&lt;175,W267&lt;35),0.3,0)+IF(AND(V267&gt;=75,V267&lt;=175,W267&gt;=35,W267&lt;65),0.23,0)+IF(AND(V267&gt;=75,V267&lt;=175,W267&gt;=65,W267&lt;110),0.17,0)+IF(AND(V267&gt;=75,V267&lt;=175,W267&gt;=110),0.12,0)+IF(AND(V267&gt;175,W267&lt;25),0.3,0)+IF(AND(V267&gt;175,W267&gt;=25,W267&lt;55),0.23,0)+IF(AND(V267&gt;175,W267&gt;=55,W267&lt;95),0.17,0)+IF(AND(V267&gt;175,W267&gt;=95),0.12,0),
IF(AF267="DoEVsu",IF(AND(V267&lt;20,W267&lt;55),0.3,0)+IF(AND(V267&lt;20,W267&gt;=55,W267&lt;105),0.23,0)+IF(AND(V267&lt;20,W267&gt;=105),0.17,0)+IF(AND(V267&gt;=20,V267&lt;40,W267&lt;45),0.3,0)+IF(AND(V267&gt;=20,V267&lt;40,W267&gt;=45,W267&lt;95),0.23,0)+IF(AND(V267&gt;=20,V267&lt;40,W267&gt;=95,W267&lt;=250),0.17,0)+IF(AND(V267&gt;=20,V267&lt;40,W267&gt;=250),0.12,0)+IF(AND(V267&gt;=40,V267&lt;75,W267&lt;35),0.3,0)+IF(AND(V267&gt;=40,V267&lt;75,W267&gt;=35,W267&lt;75),0.23,0)+IF(AND(V267&gt;=40,V267&lt;75,W267&gt;=75,W267&lt;120),0.17,0)+IF(AND(V267&gt;=40,V267&lt;75,W267&gt;=120),0.12,0)+IF(AND(V267&gt;=75,V267&lt;175,W267&lt;35),0.3,0)+IF(AND(V267&gt;=75,V267&lt;=175,W267&gt;=35,W267&lt;65),0.23,0)+IF(AND(V267&gt;=75,V267&lt;=175,W267&gt;=65,W267&lt;110),0.17,0)+IF(AND(V267&gt;=75,V267&lt;=175,W267&gt;=110),0.12,0)+IF(AND(V267&gt;175,W267&lt;25),0.3,0)+IF(AND(V267&gt;175,W267&gt;=25,W267&lt;55),0.23,0)+IF(AND(V267&gt;175,W267&gt;=55,W267&lt;95),0.17,0)+IF(AND(V267&gt;175,W267&gt;=95),0.12,0),
IF(AF267="DoEVni",IF(AND(V267&lt;20,W267&lt;55),0.3,0)+IF(AND(V267&lt;20,W267&gt;=55,W267&lt;105),0.23,0)+IF(AND(V267&lt;20,W267&gt;=105),0.17,0)+IF(AND(V267&gt;=20,V267&lt;40,W267&lt;45),0.3,0)+IF(AND(V267&gt;=20,V267&lt;40,W267&gt;=45,W267&lt;95),0.23,0)+IF(AND(V267&gt;=20,V267&lt;40,W267&gt;=95,W267&lt;=200),0.17,0)+IF(AND(V267&gt;=20,V267&lt;40,W267&gt;=200),0.12,0)+IF(AND(V267&gt;=40,V267&lt;75,W267&lt;35),0.3,0)+IF(AND(V267&gt;=40,V267&lt;75,W267&gt;=35,W267&lt;75),0.23,0)+IF(AND(V267&gt;=40,V267&lt;75,W267&gt;=75,W267&lt;120),0.17,0)+IF(AND(V267&gt;=40,V267&lt;75,W267&gt;=120),0.12,0)+IF(AND(V267&gt;=75,V267&lt;175,W267&lt;35),0.3,0)+IF(AND(V267&gt;=75,V267&lt;=175,W267&gt;=35,W267&lt;65),0.23,0)+IF(AND(V267&gt;=75,V267&lt;=175,W267&gt;=65,W267&lt;110),0.17,0)+IF(AND(V267&gt;=75,V267&lt;=175,W267&gt;=110),0.12,0)+IF(AND(V267&gt;175,W267&lt;25),0.3,0)+IF(AND(V267&gt;175,W267&gt;=25,W267&lt;55),0.23,0)+IF(AND(V267&gt;175,W267&gt;=55,W267&lt;95),0.17,0)+IF(AND(V267&gt;175,W267&gt;=95),0.12,0),
IF(AF267="DoEVLo",IF(AND(V267&lt;20,W267&lt;55),0.25,0)+IF(AND(V267&lt;20,W267&gt;=55,W267&lt;105),0.2,0)+IF(AND(V267&lt;20,W267&gt;=105),0.15,0)+IF(AND(V267&gt;=20,V267&lt;40,W267&lt;45),0.25,0)+IF(AND(V267&gt;=20,V267&lt;40,W267&gt;=45,W267&lt;95),0.2,0)+IF(AND(V267&gt;=20,V267&lt;40,W267&gt;=95),0.15,0)+IF(AND(V267&gt;=40,V267&lt;75,W267&lt;35),0.25,0)+IF(AND(V267&gt;=40,V267&lt;75,W267&gt;=35,W267&lt;75),0.2,0)+IF(AND(V267&gt;=40,V267&lt;75,W267&gt;=75,W267&lt;120),0.15,0)+IF(AND(V267&gt;=40,V267&lt;75,W267&gt;=120),0.1,0)+IF(AND(V267&gt;=75,V267&lt;175,W267&lt;35),0.25,0)+IF(AND(V267&gt;=75,V267&lt;=175,W267&gt;=35,W267&lt;65),0.2,0)+IF(AND(V267&gt;=75,V267&lt;=175,W267&gt;=65,W267&lt;110),0.15,0)+IF(AND(V267&gt;=75,V267&lt;=175,W267&gt;=110),0.1,0)+IF(AND(V267&gt;175,W267&lt;25),0.25,0)+IF(AND(V267&gt;175,W267&gt;=25,W267&lt;55),0.2,0)+IF(AND(V267&gt;175,W267&gt;=55,W267&lt;95),0.15,0)+IF(AND(V267&gt;175,W267&gt;=95),0.1,0))))))))))))))))</f>
        <v>0.3</v>
      </c>
      <c r="Y267" s="30">
        <f>IF(AG267="None",0,IF(AG267="Fix5",0.05,IF(AG267="Fix3.75",0.0375,IF(AG267="Fix10",0.1,IF(AG267="Fix3",0.03,0)))))</f>
        <v>0</v>
      </c>
      <c r="Z267" s="35">
        <f>T267-AA267-AB267</f>
        <v>-28</v>
      </c>
      <c r="AA267" s="29">
        <f>IF(AD267="EUR",((T267-R267)*X267)*U267+(R267*X267),(T267*X267))</f>
        <v>-12</v>
      </c>
      <c r="AB267" s="36">
        <f>IF(AD267="EUR",((T267-R267)*Y267)*U267+(R267*Y267),(T267*Y267))</f>
        <v>0</v>
      </c>
      <c r="AC267" s="37" t="b">
        <v>1</v>
      </c>
      <c r="AD267" s="37" t="s">
        <v>38</v>
      </c>
      <c r="AE267" s="37" t="s">
        <v>38</v>
      </c>
      <c r="AF267" s="37" t="str">
        <f t="array" ref="AF267">INDEX('Deal Info'!D:D, MATCH(A267,'Deal Info'!A:A, 0))</f>
        <v>SF</v>
      </c>
      <c r="AG267" s="38" t="str">
        <f t="array" ref="AG267">INDEX('Deal Info'!G:G, MATCH(A267,'Deal Info'!A:A, 0))</f>
        <v>None</v>
      </c>
    </row>
    <row r="268" spans="1:33" ht="14.25" hidden="1" x14ac:dyDescent="0.2">
      <c r="A268" s="18" t="str">
        <f t="array" ref="A268">IF(G268='Room Info'!$B$1, INDEX('Room Info'!$A$2:$A2446, MATCH(B268,'Room Info'!$B$2:$B2446, 0)),IF(G268='Room Info'!$C$1, INDEX('Room Info'!$A$2:$A2446, MATCH(B268,'Room Info'!$C$2:$C2446, 0)),IF(G268='Room Info'!$D$1, INDEX('Room Info'!$A$2:$A2446, MATCH(B268,'Room Info'!$D$2:$D2446, 0)),IF(G268='Room Info'!$E$1, INDEX('Room Info'!$A$2:$A2446, MATCH(B268,'Room Info'!$E$2:$E2446, 0)),IF(G268='Room Info'!$F$1, INDEX('Room Info'!$A$2:$A2446, MATCH(B268,'Room Info'!$F$2:$F2446, 0)),IF(G268='Room Info'!$H$1, INDEX('Room Info'!$A$2:$A2446, MATCH(B268,'Room Info'!$H$2:$H2446, 0)),IF(G268='Room Info'!$G$1, INDEX('Room Info'!$A$2:$A2446, MATCH(B268,'Room Info'!$G$2:$G2446, 0)))))))))</f>
        <v>Mexanuk_AV</v>
      </c>
      <c r="B268" s="45" t="s">
        <v>113</v>
      </c>
      <c r="C268" s="92">
        <v>44613</v>
      </c>
      <c r="D268" s="46">
        <v>44640</v>
      </c>
      <c r="E268" s="47">
        <v>44621</v>
      </c>
      <c r="F268" s="45" t="s">
        <v>34</v>
      </c>
      <c r="G268" s="45" t="s">
        <v>35</v>
      </c>
      <c r="H268" s="49" t="s">
        <v>40</v>
      </c>
      <c r="I268" s="49" t="s">
        <v>37</v>
      </c>
      <c r="J268" s="70">
        <v>10</v>
      </c>
      <c r="K268" s="71">
        <v>2153</v>
      </c>
      <c r="L268" s="52">
        <v>70</v>
      </c>
      <c r="M268" s="53">
        <v>264</v>
      </c>
      <c r="N268" s="28">
        <f>K268*J268</f>
        <v>21530</v>
      </c>
      <c r="O268" s="54">
        <v>90754</v>
      </c>
      <c r="P268" s="29">
        <v>42.152345560000001</v>
      </c>
      <c r="Q268" s="55"/>
      <c r="R268" s="31">
        <f>M268+Q268</f>
        <v>264</v>
      </c>
      <c r="S268" s="56">
        <v>32</v>
      </c>
      <c r="T268" s="32">
        <f>R268+S268+IF(F268="Without EV deal",L268,0)</f>
        <v>296</v>
      </c>
      <c r="U268" s="57">
        <v>1</v>
      </c>
      <c r="V268" s="69">
        <v>9.6501079913606915</v>
      </c>
      <c r="W268" s="69">
        <v>26.528200537153086</v>
      </c>
      <c r="X268" s="30">
        <f>IF(AF268="DoEV",IF(AND(V268&lt;20,W268&lt;55),0.3,0)+IF(AND(V268&lt;20,W268&gt;=55,W268&lt;105),0.23,0)+IF(AND(V268&lt;20,W268&gt;=105),0.17,0)+IF(AND(V268&gt;=20,V268&lt;40,W268&lt;45),0.3,0)+IF(AND(V268&gt;=20,V268&lt;40,W268&gt;=45,W268&lt;95),0.23,0)+IF(AND(V268&gt;=20,V268&lt;40,W268&gt;=95),0.17,0)+IF(AND(V268&gt;=40,V268&lt;75,W268&lt;35),0.3,0)+IF(AND(V268&gt;=40,V268&lt;75,W268&gt;=35,W268&lt;75),0.23,0)+IF(AND(V268&gt;=40,V268&lt;75,W268&gt;=75,W268&lt;120),0.17,0)+IF(AND(V268&gt;=40,V268&lt;75,W268&gt;=120),0.12,0)+IF(AND(V268&gt;=75,V268&lt;175,W268&lt;35),0.3,0)+IF(AND(V268&gt;=75,V268&lt;=175,W268&gt;=35,W268&lt;65),0.23,0)+IF(AND(V268&gt;=75,V268&lt;=175,W268&gt;=65,W268&lt;110),0.17,0)+IF(AND(V268&gt;=75,V268&lt;=175,W268&gt;=110),0.12,0)+IF(AND(V268&gt;175,W268&lt;25),0.3,0)+IF(AND(V268&gt;175,W268&gt;=25,W268&lt;55),0.23,0)+IF(AND(V268&gt;175,W268&gt;=55,W268&lt;95),0.17,0)+IF(AND(V268&gt;175,W268&gt;=95),0.12,0),
IF(AF268="Fix15",0.15,
IF(AF268="Fix11.25",0.1125,
IF(AF268="Fix10",0.1,
IF(AF268="Fix9",0.09,
IF(AF268="DoEV2017",IF(AND(W268&lt;74),0.2,0)+IF(AND(W268&gt;=74),0.17,0),
IF(AF268="SF",IF(AND(V268&lt;20,W268&lt;89),0.3,0)+IF(AND(V268&lt;20,W268&gt;=89),0.25,0)+IF(AND(V268&gt;=20,V268&lt;40,W268&lt;74),0.3,0)+IF(AND(V268&gt;=20,V268&lt;40,W268&gt;=75),0.22,0)+IF(AND(V268&gt;=40,V268&lt;75,W268&lt;75),0.26,0)+IF(AND(V268&gt;=40,V268&lt;75,W268&gt;=75),0.22,0)+IF(V268&gt;=75,0.22,0),
IF(AF268="DoEVold",IF(AND(V268&lt;40,W268&lt;35),0.35,0)+IF(AND(V268&lt;40,W268&gt;=35,W268&lt;75),0.25,0)+IF(AND(V268&lt;40,W268&gt;=75),0.17,0)+IF(AND(V268&gt;=40,V268&lt;75,W268&lt;25),0.35,0)+IF(AND(V268&gt;=40,V268&lt;75,W268&gt;=25,W268&lt;65),0.25,0)+IF(AND(V268&gt;=40,V268&lt;75,W268&gt;=65,W268&lt;100),0.17,0)+IF(AND(V268&gt;=40,V268&lt;75,W268&gt;=100),0.1,0)+IF(AND(V268&gt;=75,W268&lt;25),0.35,0)+IF(AND(V268&gt;=75,W268&gt;=25,W268&lt;60),0.25,0)+IF(AND(V268&gt;=75,W268&gt;=60,W268&lt;95),0.17,0)+IF(AND(V268&gt;=75,W268&gt;=95),0.1,0),
IF(AF268="DoEVold15",IF(AND(V268&lt;=40,W268&lt;35),0.35,0)+IF(AND(V268&lt;=40,W268&gt;=35,W268&lt;75),0.25,0)+IF(AND(V268&lt;=40,W268&gt;=75,W268&lt;120),0.17,0)+IF(AND(V268&lt;=40,W268&gt;=120),0.15,0)+IF(AND(V268&gt;40,V268&lt;75,W268&lt;25),0.35,0)+IF(AND(V268&gt;=40,V268&lt;75,W268&gt;=25,W268&lt;65),0.25,0)+IF(AND(V268&gt;=40,V268&lt;75,W268&gt;=65,W268&lt;100),0.17,0)+IF(AND(V268&gt;=40,V268&lt;75,W268&gt;=100),0.1,0)+IF(AND(V268&gt;=75,W268&lt;25),0.35,0)+IF(AND(V268&gt;=75,W268&gt;=25,W268&lt;60),0.25,0)+IF(AND(V268&gt;=75,W268&gt;=60,W268&lt;95),0.17,0)+IF(AND(V268&gt;=75,W268&gt;=95),0.1,0),
IF(AF268="DoEVba",IF(AND(V268&lt;20,W268&lt;105),0.2,0)+IF(AND(V268&lt;20,W268&gt;=105),0.15,0)+IF(AND(V268&gt;=20,V268&lt;40,W268&lt;95),0.2,0)+IF(AND(V268&gt;=20,V268&lt;40,W268&gt;=95,W268&lt;150),0.15,0)+IF(AND(V268&gt;=20,V268&lt;40,W268&gt;=150),0.12,0)+IF(AND(V268&gt;=40,V268&lt;75,W268&lt;75),0.2,0)+IF(AND(V268&gt;=40,V268&lt;75,W268&gt;=75,W268&lt;120),0.15,0)+IF(AND(V268&gt;=40,V268&lt;75,W268&gt;=120),0.12,0)+IF(AND(V268&gt;=75,V268&lt;175,W268&lt;65),0.2,0)+IF(AND(V268&gt;=75,V268&lt;175,W268&gt;=65,W268&lt;110),0.15,0)+IF(AND(V268&gt;=75,V268&lt;175,W268&gt;=110),0.12,0)+IF(AND(V268&gt;=175,W268&lt;55),0.2,0)+IF(AND(V268&gt;=175,W268&gt;=55,W268&lt;95),0.15,0)+IF(AND(V268&gt;=175,W268&gt;=95),0.12,0),
IF(AF268="DoEVku",IF(AND(V268&lt;20,W268&lt;55),0.23,0)+IF(AND(V268&lt;20,W268&gt;=55,W268&lt;105),0.2,0)+IF(AND(V268&lt;20,W268&gt;=105),0.17,0)+IF(AND(V268&gt;=20,V268&lt;40,W268&lt;45),0.23,0)+IF(AND(V268&gt;=20,V268&lt;40,W268&gt;=45,W268&lt;95),0.2,0)+IF(AND(V268&gt;=20,V268&lt;40,W268&gt;=95,W268&lt;=150),0.17,0)+IF(AND(V268&gt;=20,V268&lt;40,W268&gt;=150),0.12,0)+IF(AND(V268&gt;=40,V268&lt;75,W268&lt;35),0.23,0)+IF(AND(V268&gt;=40,V268&lt;75,W268&gt;=35,W268&lt;75),0.2,0)+IF(AND(V268&gt;=40,V268&lt;75,W268&gt;=75,W268&lt;120),0.17,0)+IF(AND(V268&gt;=40,V268&lt;75,W268&gt;=120),0.12,0)+IF(AND(V268&gt;=75,V268&lt;175,W268&lt;35),0.23,0)+IF(AND(V268&gt;=75,V268&lt;=175,W268&gt;=35,W268&lt;65),0.2,0)+IF(AND(V268&gt;=75,V268&lt;=175,W268&gt;=65,W268&lt;110),0.17,0)+IF(AND(V268&gt;=75,V268&lt;=175,W268&gt;=110),0.12,0)+IF(AND(V268&gt;175,W268&lt;25),0.23,0)+IF(AND(V268&gt;175,W268&gt;=25,W268&lt;55),0.2,0)+IF(AND(V268&gt;175,W268&gt;=55,W268&lt;95),0.17,0)+IF(AND(V268&gt;175,W268&gt;=95),0.12,0),
IF(AF268="DoEVs1",IF(AND(V268&lt;20,W268&lt;55),0.3,0)+IF(AND(V268&lt;20,W268&gt;=55,W268&lt;105),0.23,0)+IF(AND(V268&lt;20,W268&gt;=105),0.17,0)+IF(AND(V268&gt;=20,V268&lt;40,W268&lt;45),0.3,0)+IF(AND(V268&gt;=20,V268&lt;40,W268&gt;=45,W268&lt;95),0.23,0)+IF(AND(V268&gt;=20,V268&lt;40,W268&gt;=95,W268&lt;=150),0.17,0)+IF(AND(V268&gt;=20,V268&lt;40,W268&gt;=150),0.12,0)+IF(AND(V268&gt;=40,V268&lt;75,W268&lt;35),0.3,0)+IF(AND(V268&gt;=40,V268&lt;75,W268&gt;=35,W268&lt;75),0.23,0)+IF(AND(V268&gt;=40,V268&lt;75,W268&gt;=75,W268&lt;120),0.17,0)+IF(AND(V268&gt;=40,V268&lt;75,W268&gt;=120),0.12,0)+IF(AND(V268&gt;=75,V268&lt;175,W268&lt;35),0.3,0)+IF(AND(V268&gt;=75,V268&lt;=175,W268&gt;=35,W268&lt;65),0.23,0)+IF(AND(V268&gt;=75,V268&lt;=175,W268&gt;=65,W268&lt;110),0.17,0)+IF(AND(V268&gt;=75,V268&lt;=175,W268&gt;=110),0.12,0)+IF(AND(V268&gt;175,W268&lt;25),0.3,0)+IF(AND(V268&gt;175,W268&gt;=25,W268&lt;55),0.23,0)+IF(AND(V268&gt;175,W268&gt;=55,W268&lt;95),0.17,0)+IF(AND(V268&gt;175,W268&gt;=95),0.12,0),
IF(AF268="DoEVsu",IF(AND(V268&lt;20,W268&lt;55),0.3,0)+IF(AND(V268&lt;20,W268&gt;=55,W268&lt;105),0.23,0)+IF(AND(V268&lt;20,W268&gt;=105),0.17,0)+IF(AND(V268&gt;=20,V268&lt;40,W268&lt;45),0.3,0)+IF(AND(V268&gt;=20,V268&lt;40,W268&gt;=45,W268&lt;95),0.23,0)+IF(AND(V268&gt;=20,V268&lt;40,W268&gt;=95,W268&lt;=250),0.17,0)+IF(AND(V268&gt;=20,V268&lt;40,W268&gt;=250),0.12,0)+IF(AND(V268&gt;=40,V268&lt;75,W268&lt;35),0.3,0)+IF(AND(V268&gt;=40,V268&lt;75,W268&gt;=35,W268&lt;75),0.23,0)+IF(AND(V268&gt;=40,V268&lt;75,W268&gt;=75,W268&lt;120),0.17,0)+IF(AND(V268&gt;=40,V268&lt;75,W268&gt;=120),0.12,0)+IF(AND(V268&gt;=75,V268&lt;175,W268&lt;35),0.3,0)+IF(AND(V268&gt;=75,V268&lt;=175,W268&gt;=35,W268&lt;65),0.23,0)+IF(AND(V268&gt;=75,V268&lt;=175,W268&gt;=65,W268&lt;110),0.17,0)+IF(AND(V268&gt;=75,V268&lt;=175,W268&gt;=110),0.12,0)+IF(AND(V268&gt;175,W268&lt;25),0.3,0)+IF(AND(V268&gt;175,W268&gt;=25,W268&lt;55),0.23,0)+IF(AND(V268&gt;175,W268&gt;=55,W268&lt;95),0.17,0)+IF(AND(V268&gt;175,W268&gt;=95),0.12,0),
IF(AF268="DoEVni",IF(AND(V268&lt;20,W268&lt;55),0.3,0)+IF(AND(V268&lt;20,W268&gt;=55,W268&lt;105),0.23,0)+IF(AND(V268&lt;20,W268&gt;=105),0.17,0)+IF(AND(V268&gt;=20,V268&lt;40,W268&lt;45),0.3,0)+IF(AND(V268&gt;=20,V268&lt;40,W268&gt;=45,W268&lt;95),0.23,0)+IF(AND(V268&gt;=20,V268&lt;40,W268&gt;=95,W268&lt;=200),0.17,0)+IF(AND(V268&gt;=20,V268&lt;40,W268&gt;=200),0.12,0)+IF(AND(V268&gt;=40,V268&lt;75,W268&lt;35),0.3,0)+IF(AND(V268&gt;=40,V268&lt;75,W268&gt;=35,W268&lt;75),0.23,0)+IF(AND(V268&gt;=40,V268&lt;75,W268&gt;=75,W268&lt;120),0.17,0)+IF(AND(V268&gt;=40,V268&lt;75,W268&gt;=120),0.12,0)+IF(AND(V268&gt;=75,V268&lt;175,W268&lt;35),0.3,0)+IF(AND(V268&gt;=75,V268&lt;=175,W268&gt;=35,W268&lt;65),0.23,0)+IF(AND(V268&gt;=75,V268&lt;=175,W268&gt;=65,W268&lt;110),0.17,0)+IF(AND(V268&gt;=75,V268&lt;=175,W268&gt;=110),0.12,0)+IF(AND(V268&gt;175,W268&lt;25),0.3,0)+IF(AND(V268&gt;175,W268&gt;=25,W268&lt;55),0.23,0)+IF(AND(V268&gt;175,W268&gt;=55,W268&lt;95),0.17,0)+IF(AND(V268&gt;175,W268&gt;=95),0.12,0),
IF(AF268="DoEVLo",IF(AND(V268&lt;20,W268&lt;55),0.25,0)+IF(AND(V268&lt;20,W268&gt;=55,W268&lt;105),0.2,0)+IF(AND(V268&lt;20,W268&gt;=105),0.15,0)+IF(AND(V268&gt;=20,V268&lt;40,W268&lt;45),0.25,0)+IF(AND(V268&gt;=20,V268&lt;40,W268&gt;=45,W268&lt;95),0.2,0)+IF(AND(V268&gt;=20,V268&lt;40,W268&gt;=95),0.15,0)+IF(AND(V268&gt;=40,V268&lt;75,W268&lt;35),0.25,0)+IF(AND(V268&gt;=40,V268&lt;75,W268&gt;=35,W268&lt;75),0.2,0)+IF(AND(V268&gt;=40,V268&lt;75,W268&gt;=75,W268&lt;120),0.15,0)+IF(AND(V268&gt;=40,V268&lt;75,W268&gt;=120),0.1,0)+IF(AND(V268&gt;=75,V268&lt;175,W268&lt;35),0.25,0)+IF(AND(V268&gt;=75,V268&lt;=175,W268&gt;=35,W268&lt;65),0.2,0)+IF(AND(V268&gt;=75,V268&lt;=175,W268&gt;=65,W268&lt;110),0.15,0)+IF(AND(V268&gt;=75,V268&lt;=175,W268&gt;=110),0.1,0)+IF(AND(V268&gt;175,W268&lt;25),0.25,0)+IF(AND(V268&gt;175,W268&gt;=25,W268&lt;55),0.2,0)+IF(AND(V268&gt;175,W268&gt;=55,W268&lt;95),0.15,0)+IF(AND(V268&gt;175,W268&gt;=95),0.1,0))))))))))))))))</f>
        <v>0.3</v>
      </c>
      <c r="Y268" s="30">
        <f>IF(AG268="None",0,IF(AG268="Fix5",0.05,IF(AG268="Fix3.75",0.0375,IF(AG268="Fix10",0.1,IF(AG268="Fix3",0.03,0)))))</f>
        <v>0</v>
      </c>
      <c r="Z268" s="35">
        <f>T268-AA268-AB268</f>
        <v>207.2</v>
      </c>
      <c r="AA268" s="29">
        <f>IF(AD268="EUR",((T268-R268)*X268)*U268+(R268*X268),(T268*X268))</f>
        <v>88.8</v>
      </c>
      <c r="AB268" s="36">
        <f>IF(AD268="EUR",((T268-R268)*Y268)*U268+(R268*Y268),(T268*Y268))</f>
        <v>0</v>
      </c>
      <c r="AC268" s="37" t="b">
        <v>1</v>
      </c>
      <c r="AD268" s="37" t="s">
        <v>38</v>
      </c>
      <c r="AE268" s="37" t="s">
        <v>38</v>
      </c>
      <c r="AF268" s="37" t="str">
        <f t="array" ref="AF268">INDEX('Deal Info'!D:D, MATCH(A268,'Deal Info'!A:A, 0))</f>
        <v>SF</v>
      </c>
      <c r="AG268" s="38" t="str">
        <f t="array" ref="AG268">INDEX('Deal Info'!G:G, MATCH(A268,'Deal Info'!A:A, 0))</f>
        <v>None</v>
      </c>
    </row>
    <row r="269" spans="1:33" ht="14.25" hidden="1" x14ac:dyDescent="0.2">
      <c r="A269" s="18" t="str">
        <f t="array" ref="A269">IF(G269='Room Info'!$B$1, INDEX('Room Info'!$A$2:$A2446, MATCH(B269,'Room Info'!$B$2:$B2446, 0)),IF(G269='Room Info'!$C$1, INDEX('Room Info'!$A$2:$A2446, MATCH(B269,'Room Info'!$C$2:$C2446, 0)),IF(G269='Room Info'!$D$1, INDEX('Room Info'!$A$2:$A2446, MATCH(B269,'Room Info'!$D$2:$D2446, 0)),IF(G269='Room Info'!$E$1, INDEX('Room Info'!$A$2:$A2446, MATCH(B269,'Room Info'!$E$2:$E2446, 0)),IF(G269='Room Info'!$F$1, INDEX('Room Info'!$A$2:$A2446, MATCH(B269,'Room Info'!$F$2:$F2446, 0)),IF(G269='Room Info'!$H$1, INDEX('Room Info'!$A$2:$A2446, MATCH(B269,'Room Info'!$H$2:$H2446, 0)),IF(G269='Room Info'!$G$1, INDEX('Room Info'!$A$2:$A2446, MATCH(B269,'Room Info'!$G$2:$G2446, 0)))))))))</f>
        <v>Mexanuk_AV</v>
      </c>
      <c r="B269" s="45" t="s">
        <v>113</v>
      </c>
      <c r="C269" s="92">
        <v>44641</v>
      </c>
      <c r="D269" s="46">
        <v>44671</v>
      </c>
      <c r="E269" s="47">
        <v>44652</v>
      </c>
      <c r="F269" s="45" t="s">
        <v>34</v>
      </c>
      <c r="G269" s="45" t="s">
        <v>35</v>
      </c>
      <c r="H269" s="49" t="s">
        <v>39</v>
      </c>
      <c r="I269" s="49" t="s">
        <v>37</v>
      </c>
      <c r="J269" s="70">
        <v>5</v>
      </c>
      <c r="K269" s="71">
        <v>12</v>
      </c>
      <c r="L269" s="52">
        <v>15</v>
      </c>
      <c r="M269" s="53">
        <v>3</v>
      </c>
      <c r="N269" s="28">
        <f>K269*J269</f>
        <v>60</v>
      </c>
      <c r="O269" s="54">
        <v>1356</v>
      </c>
      <c r="P269" s="29">
        <v>113</v>
      </c>
      <c r="Q269" s="55"/>
      <c r="R269" s="31">
        <f>M269+Q269</f>
        <v>3</v>
      </c>
      <c r="S269" s="56">
        <v>7</v>
      </c>
      <c r="T269" s="32">
        <f>R269+S269+IF(F269="Without EV deal",L269,0)</f>
        <v>10</v>
      </c>
      <c r="U269" s="57">
        <v>1</v>
      </c>
      <c r="V269" s="69">
        <v>9.9801521667217994</v>
      </c>
      <c r="W269" s="69">
        <v>72.443785217103084</v>
      </c>
      <c r="X269" s="30">
        <f>IF(AF269="DoEV",IF(AND(V269&lt;20,W269&lt;55),0.3,0)+IF(AND(V269&lt;20,W269&gt;=55,W269&lt;105),0.23,0)+IF(AND(V269&lt;20,W269&gt;=105),0.17,0)+IF(AND(V269&gt;=20,V269&lt;40,W269&lt;45),0.3,0)+IF(AND(V269&gt;=20,V269&lt;40,W269&gt;=45,W269&lt;95),0.23,0)+IF(AND(V269&gt;=20,V269&lt;40,W269&gt;=95),0.17,0)+IF(AND(V269&gt;=40,V269&lt;75,W269&lt;35),0.3,0)+IF(AND(V269&gt;=40,V269&lt;75,W269&gt;=35,W269&lt;75),0.23,0)+IF(AND(V269&gt;=40,V269&lt;75,W269&gt;=75,W269&lt;120),0.17,0)+IF(AND(V269&gt;=40,V269&lt;75,W269&gt;=120),0.12,0)+IF(AND(V269&gt;=75,V269&lt;175,W269&lt;35),0.3,0)+IF(AND(V269&gt;=75,V269&lt;=175,W269&gt;=35,W269&lt;65),0.23,0)+IF(AND(V269&gt;=75,V269&lt;=175,W269&gt;=65,W269&lt;110),0.17,0)+IF(AND(V269&gt;=75,V269&lt;=175,W269&gt;=110),0.12,0)+IF(AND(V269&gt;175,W269&lt;25),0.3,0)+IF(AND(V269&gt;175,W269&gt;=25,W269&lt;55),0.23,0)+IF(AND(V269&gt;175,W269&gt;=55,W269&lt;95),0.17,0)+IF(AND(V269&gt;175,W269&gt;=95),0.12,0),
IF(AF269="Fix15",0.15,
IF(AF269="Fix11.25",0.1125,
IF(AF269="Fix10",0.1,
IF(AF269="Fix9",0.09,
IF(AF269="DoEV2017",IF(AND(W269&lt;74),0.2,0)+IF(AND(W269&gt;=74),0.17,0),
IF(AF269="SF",IF(AND(V269&lt;20,W269&lt;89),0.3,0)+IF(AND(V269&lt;20,W269&gt;=89),0.25,0)+IF(AND(V269&gt;=20,V269&lt;40,W269&lt;74),0.3,0)+IF(AND(V269&gt;=20,V269&lt;40,W269&gt;=75),0.22,0)+IF(AND(V269&gt;=40,V269&lt;75,W269&lt;75),0.26,0)+IF(AND(V269&gt;=40,V269&lt;75,W269&gt;=75),0.22,0)+IF(V269&gt;=75,0.22,0),
IF(AF269="DoEVold",IF(AND(V269&lt;40,W269&lt;35),0.35,0)+IF(AND(V269&lt;40,W269&gt;=35,W269&lt;75),0.25,0)+IF(AND(V269&lt;40,W269&gt;=75),0.17,0)+IF(AND(V269&gt;=40,V269&lt;75,W269&lt;25),0.35,0)+IF(AND(V269&gt;=40,V269&lt;75,W269&gt;=25,W269&lt;65),0.25,0)+IF(AND(V269&gt;=40,V269&lt;75,W269&gt;=65,W269&lt;100),0.17,0)+IF(AND(V269&gt;=40,V269&lt;75,W269&gt;=100),0.1,0)+IF(AND(V269&gt;=75,W269&lt;25),0.35,0)+IF(AND(V269&gt;=75,W269&gt;=25,W269&lt;60),0.25,0)+IF(AND(V269&gt;=75,W269&gt;=60,W269&lt;95),0.17,0)+IF(AND(V269&gt;=75,W269&gt;=95),0.1,0),
IF(AF269="DoEVold15",IF(AND(V269&lt;=40,W269&lt;35),0.35,0)+IF(AND(V269&lt;=40,W269&gt;=35,W269&lt;75),0.25,0)+IF(AND(V269&lt;=40,W269&gt;=75,W269&lt;120),0.17,0)+IF(AND(V269&lt;=40,W269&gt;=120),0.15,0)+IF(AND(V269&gt;40,V269&lt;75,W269&lt;25),0.35,0)+IF(AND(V269&gt;=40,V269&lt;75,W269&gt;=25,W269&lt;65),0.25,0)+IF(AND(V269&gt;=40,V269&lt;75,W269&gt;=65,W269&lt;100),0.17,0)+IF(AND(V269&gt;=40,V269&lt;75,W269&gt;=100),0.1,0)+IF(AND(V269&gt;=75,W269&lt;25),0.35,0)+IF(AND(V269&gt;=75,W269&gt;=25,W269&lt;60),0.25,0)+IF(AND(V269&gt;=75,W269&gt;=60,W269&lt;95),0.17,0)+IF(AND(V269&gt;=75,W269&gt;=95),0.1,0),
IF(AF269="DoEVba",IF(AND(V269&lt;20,W269&lt;105),0.2,0)+IF(AND(V269&lt;20,W269&gt;=105),0.15,0)+IF(AND(V269&gt;=20,V269&lt;40,W269&lt;95),0.2,0)+IF(AND(V269&gt;=20,V269&lt;40,W269&gt;=95,W269&lt;150),0.15,0)+IF(AND(V269&gt;=20,V269&lt;40,W269&gt;=150),0.12,0)+IF(AND(V269&gt;=40,V269&lt;75,W269&lt;75),0.2,0)+IF(AND(V269&gt;=40,V269&lt;75,W269&gt;=75,W269&lt;120),0.15,0)+IF(AND(V269&gt;=40,V269&lt;75,W269&gt;=120),0.12,0)+IF(AND(V269&gt;=75,V269&lt;175,W269&lt;65),0.2,0)+IF(AND(V269&gt;=75,V269&lt;175,W269&gt;=65,W269&lt;110),0.15,0)+IF(AND(V269&gt;=75,V269&lt;175,W269&gt;=110),0.12,0)+IF(AND(V269&gt;=175,W269&lt;55),0.2,0)+IF(AND(V269&gt;=175,W269&gt;=55,W269&lt;95),0.15,0)+IF(AND(V269&gt;=175,W269&gt;=95),0.12,0),
IF(AF269="DoEVku",IF(AND(V269&lt;20,W269&lt;55),0.23,0)+IF(AND(V269&lt;20,W269&gt;=55,W269&lt;105),0.2,0)+IF(AND(V269&lt;20,W269&gt;=105),0.17,0)+IF(AND(V269&gt;=20,V269&lt;40,W269&lt;45),0.23,0)+IF(AND(V269&gt;=20,V269&lt;40,W269&gt;=45,W269&lt;95),0.2,0)+IF(AND(V269&gt;=20,V269&lt;40,W269&gt;=95,W269&lt;=150),0.17,0)+IF(AND(V269&gt;=20,V269&lt;40,W269&gt;=150),0.12,0)+IF(AND(V269&gt;=40,V269&lt;75,W269&lt;35),0.23,0)+IF(AND(V269&gt;=40,V269&lt;75,W269&gt;=35,W269&lt;75),0.2,0)+IF(AND(V269&gt;=40,V269&lt;75,W269&gt;=75,W269&lt;120),0.17,0)+IF(AND(V269&gt;=40,V269&lt;75,W269&gt;=120),0.12,0)+IF(AND(V269&gt;=75,V269&lt;175,W269&lt;35),0.23,0)+IF(AND(V269&gt;=75,V269&lt;=175,W269&gt;=35,W269&lt;65),0.2,0)+IF(AND(V269&gt;=75,V269&lt;=175,W269&gt;=65,W269&lt;110),0.17,0)+IF(AND(V269&gt;=75,V269&lt;=175,W269&gt;=110),0.12,0)+IF(AND(V269&gt;175,W269&lt;25),0.23,0)+IF(AND(V269&gt;175,W269&gt;=25,W269&lt;55),0.2,0)+IF(AND(V269&gt;175,W269&gt;=55,W269&lt;95),0.17,0)+IF(AND(V269&gt;175,W269&gt;=95),0.12,0),
IF(AF269="DoEVs1",IF(AND(V269&lt;20,W269&lt;55),0.3,0)+IF(AND(V269&lt;20,W269&gt;=55,W269&lt;105),0.23,0)+IF(AND(V269&lt;20,W269&gt;=105),0.17,0)+IF(AND(V269&gt;=20,V269&lt;40,W269&lt;45),0.3,0)+IF(AND(V269&gt;=20,V269&lt;40,W269&gt;=45,W269&lt;95),0.23,0)+IF(AND(V269&gt;=20,V269&lt;40,W269&gt;=95,W269&lt;=150),0.17,0)+IF(AND(V269&gt;=20,V269&lt;40,W269&gt;=150),0.12,0)+IF(AND(V269&gt;=40,V269&lt;75,W269&lt;35),0.3,0)+IF(AND(V269&gt;=40,V269&lt;75,W269&gt;=35,W269&lt;75),0.23,0)+IF(AND(V269&gt;=40,V269&lt;75,W269&gt;=75,W269&lt;120),0.17,0)+IF(AND(V269&gt;=40,V269&lt;75,W269&gt;=120),0.12,0)+IF(AND(V269&gt;=75,V269&lt;175,W269&lt;35),0.3,0)+IF(AND(V269&gt;=75,V269&lt;=175,W269&gt;=35,W269&lt;65),0.23,0)+IF(AND(V269&gt;=75,V269&lt;=175,W269&gt;=65,W269&lt;110),0.17,0)+IF(AND(V269&gt;=75,V269&lt;=175,W269&gt;=110),0.12,0)+IF(AND(V269&gt;175,W269&lt;25),0.3,0)+IF(AND(V269&gt;175,W269&gt;=25,W269&lt;55),0.23,0)+IF(AND(V269&gt;175,W269&gt;=55,W269&lt;95),0.17,0)+IF(AND(V269&gt;175,W269&gt;=95),0.12,0),
IF(AF269="DoEVsu",IF(AND(V269&lt;20,W269&lt;55),0.3,0)+IF(AND(V269&lt;20,W269&gt;=55,W269&lt;105),0.23,0)+IF(AND(V269&lt;20,W269&gt;=105),0.17,0)+IF(AND(V269&gt;=20,V269&lt;40,W269&lt;45),0.3,0)+IF(AND(V269&gt;=20,V269&lt;40,W269&gt;=45,W269&lt;95),0.23,0)+IF(AND(V269&gt;=20,V269&lt;40,W269&gt;=95,W269&lt;=250),0.17,0)+IF(AND(V269&gt;=20,V269&lt;40,W269&gt;=250),0.12,0)+IF(AND(V269&gt;=40,V269&lt;75,W269&lt;35),0.3,0)+IF(AND(V269&gt;=40,V269&lt;75,W269&gt;=35,W269&lt;75),0.23,0)+IF(AND(V269&gt;=40,V269&lt;75,W269&gt;=75,W269&lt;120),0.17,0)+IF(AND(V269&gt;=40,V269&lt;75,W269&gt;=120),0.12,0)+IF(AND(V269&gt;=75,V269&lt;175,W269&lt;35),0.3,0)+IF(AND(V269&gt;=75,V269&lt;=175,W269&gt;=35,W269&lt;65),0.23,0)+IF(AND(V269&gt;=75,V269&lt;=175,W269&gt;=65,W269&lt;110),0.17,0)+IF(AND(V269&gt;=75,V269&lt;=175,W269&gt;=110),0.12,0)+IF(AND(V269&gt;175,W269&lt;25),0.3,0)+IF(AND(V269&gt;175,W269&gt;=25,W269&lt;55),0.23,0)+IF(AND(V269&gt;175,W269&gt;=55,W269&lt;95),0.17,0)+IF(AND(V269&gt;175,W269&gt;=95),0.12,0),
IF(AF269="DoEVni",IF(AND(V269&lt;20,W269&lt;55),0.3,0)+IF(AND(V269&lt;20,W269&gt;=55,W269&lt;105),0.23,0)+IF(AND(V269&lt;20,W269&gt;=105),0.17,0)+IF(AND(V269&gt;=20,V269&lt;40,W269&lt;45),0.3,0)+IF(AND(V269&gt;=20,V269&lt;40,W269&gt;=45,W269&lt;95),0.23,0)+IF(AND(V269&gt;=20,V269&lt;40,W269&gt;=95,W269&lt;=200),0.17,0)+IF(AND(V269&gt;=20,V269&lt;40,W269&gt;=200),0.12,0)+IF(AND(V269&gt;=40,V269&lt;75,W269&lt;35),0.3,0)+IF(AND(V269&gt;=40,V269&lt;75,W269&gt;=35,W269&lt;75),0.23,0)+IF(AND(V269&gt;=40,V269&lt;75,W269&gt;=75,W269&lt;120),0.17,0)+IF(AND(V269&gt;=40,V269&lt;75,W269&gt;=120),0.12,0)+IF(AND(V269&gt;=75,V269&lt;175,W269&lt;35),0.3,0)+IF(AND(V269&gt;=75,V269&lt;=175,W269&gt;=35,W269&lt;65),0.23,0)+IF(AND(V269&gt;=75,V269&lt;=175,W269&gt;=65,W269&lt;110),0.17,0)+IF(AND(V269&gt;=75,V269&lt;=175,W269&gt;=110),0.12,0)+IF(AND(V269&gt;175,W269&lt;25),0.3,0)+IF(AND(V269&gt;175,W269&gt;=25,W269&lt;55),0.23,0)+IF(AND(V269&gt;175,W269&gt;=55,W269&lt;95),0.17,0)+IF(AND(V269&gt;175,W269&gt;=95),0.12,0),
IF(AF269="DoEVLo",IF(AND(V269&lt;20,W269&lt;55),0.25,0)+IF(AND(V269&lt;20,W269&gt;=55,W269&lt;105),0.2,0)+IF(AND(V269&lt;20,W269&gt;=105),0.15,0)+IF(AND(V269&gt;=20,V269&lt;40,W269&lt;45),0.25,0)+IF(AND(V269&gt;=20,V269&lt;40,W269&gt;=45,W269&lt;95),0.2,0)+IF(AND(V269&gt;=20,V269&lt;40,W269&gt;=95),0.15,0)+IF(AND(V269&gt;=40,V269&lt;75,W269&lt;35),0.25,0)+IF(AND(V269&gt;=40,V269&lt;75,W269&gt;=35,W269&lt;75),0.2,0)+IF(AND(V269&gt;=40,V269&lt;75,W269&gt;=75,W269&lt;120),0.15,0)+IF(AND(V269&gt;=40,V269&lt;75,W269&gt;=120),0.1,0)+IF(AND(V269&gt;=75,V269&lt;175,W269&lt;35),0.25,0)+IF(AND(V269&gt;=75,V269&lt;=175,W269&gt;=35,W269&lt;65),0.2,0)+IF(AND(V269&gt;=75,V269&lt;=175,W269&gt;=65,W269&lt;110),0.15,0)+IF(AND(V269&gt;=75,V269&lt;=175,W269&gt;=110),0.1,0)+IF(AND(V269&gt;175,W269&lt;25),0.25,0)+IF(AND(V269&gt;175,W269&gt;=25,W269&lt;55),0.2,0)+IF(AND(V269&gt;175,W269&gt;=55,W269&lt;95),0.15,0)+IF(AND(V269&gt;175,W269&gt;=95),0.1,0))))))))))))))))</f>
        <v>0.3</v>
      </c>
      <c r="Y269" s="30">
        <f>IF(AG269="None",0,IF(AG269="Fix5",0.05,IF(AG269="Fix3.75",0.0375,IF(AG269="Fix10",0.1,IF(AG269="Fix3",0.03,0)))))</f>
        <v>0</v>
      </c>
      <c r="Z269" s="35">
        <f>T269-AA269-AB269</f>
        <v>7</v>
      </c>
      <c r="AA269" s="29">
        <f>IF(AD269="EUR",((T269-R269)*X269)*U269+(R269*X269),(T269*X269))</f>
        <v>3</v>
      </c>
      <c r="AB269" s="36">
        <f>IF(AD269="EUR",((T269-R269)*Y269)*U269+(R269*Y269),(T269*Y269))</f>
        <v>0</v>
      </c>
      <c r="AC269" s="37" t="b">
        <v>1</v>
      </c>
      <c r="AD269" s="37" t="s">
        <v>38</v>
      </c>
      <c r="AE269" s="37" t="s">
        <v>38</v>
      </c>
      <c r="AF269" s="37" t="str">
        <f t="array" ref="AF269">INDEX('Deal Info'!D:D, MATCH(A269,'Deal Info'!A:A, 0))</f>
        <v>SF</v>
      </c>
      <c r="AG269" s="38" t="str">
        <f t="array" ref="AG269">INDEX('Deal Info'!G:G, MATCH(A269,'Deal Info'!A:A, 0))</f>
        <v>None</v>
      </c>
    </row>
    <row r="270" spans="1:33" ht="14.25" hidden="1" x14ac:dyDescent="0.2">
      <c r="A270" s="18" t="str">
        <f t="array" ref="A270">IF(G270='Room Info'!$B$1, INDEX('Room Info'!$A$2:$A2446, MATCH(B270,'Room Info'!$B$2:$B2446, 0)),IF(G270='Room Info'!$C$1, INDEX('Room Info'!$A$2:$A2446, MATCH(B270,'Room Info'!$C$2:$C2446, 0)),IF(G270='Room Info'!$D$1, INDEX('Room Info'!$A$2:$A2446, MATCH(B270,'Room Info'!$D$2:$D2446, 0)),IF(G270='Room Info'!$E$1, INDEX('Room Info'!$A$2:$A2446, MATCH(B270,'Room Info'!$E$2:$E2446, 0)),IF(G270='Room Info'!$F$1, INDEX('Room Info'!$A$2:$A2446, MATCH(B270,'Room Info'!$F$2:$F2446, 0)),IF(G270='Room Info'!$H$1, INDEX('Room Info'!$A$2:$A2446, MATCH(B270,'Room Info'!$H$2:$H2446, 0)),IF(G270='Room Info'!$G$1, INDEX('Room Info'!$A$2:$A2446, MATCH(B270,'Room Info'!$G$2:$G2446, 0)))))))))</f>
        <v>Mexanuk_AV</v>
      </c>
      <c r="B270" s="45" t="s">
        <v>113</v>
      </c>
      <c r="C270" s="92">
        <v>44641</v>
      </c>
      <c r="D270" s="46">
        <v>44671</v>
      </c>
      <c r="E270" s="47">
        <v>44652</v>
      </c>
      <c r="F270" s="45" t="s">
        <v>34</v>
      </c>
      <c r="G270" s="45" t="s">
        <v>35</v>
      </c>
      <c r="H270" s="49" t="s">
        <v>40</v>
      </c>
      <c r="I270" s="49" t="s">
        <v>37</v>
      </c>
      <c r="J270" s="70">
        <v>10</v>
      </c>
      <c r="K270" s="71">
        <v>3011</v>
      </c>
      <c r="L270" s="52">
        <v>-1030</v>
      </c>
      <c r="M270" s="53">
        <v>1332</v>
      </c>
      <c r="N270" s="28">
        <f>K270*J270</f>
        <v>30110</v>
      </c>
      <c r="O270" s="54">
        <v>82416</v>
      </c>
      <c r="P270" s="29">
        <v>27.371637329999999</v>
      </c>
      <c r="Q270" s="55"/>
      <c r="R270" s="31">
        <f>M270+Q270</f>
        <v>1332</v>
      </c>
      <c r="S270" s="56">
        <v>-619</v>
      </c>
      <c r="T270" s="32">
        <f>R270+S270+IF(F270="Without EV deal",L270,0)</f>
        <v>713</v>
      </c>
      <c r="U270" s="57">
        <v>1</v>
      </c>
      <c r="V270" s="69">
        <v>9.9801521667217994</v>
      </c>
      <c r="W270" s="69">
        <v>72.443785217103084</v>
      </c>
      <c r="X270" s="30">
        <f>IF(AF270="DoEV",IF(AND(V270&lt;20,W270&lt;55),0.3,0)+IF(AND(V270&lt;20,W270&gt;=55,W270&lt;105),0.23,0)+IF(AND(V270&lt;20,W270&gt;=105),0.17,0)+IF(AND(V270&gt;=20,V270&lt;40,W270&lt;45),0.3,0)+IF(AND(V270&gt;=20,V270&lt;40,W270&gt;=45,W270&lt;95),0.23,0)+IF(AND(V270&gt;=20,V270&lt;40,W270&gt;=95),0.17,0)+IF(AND(V270&gt;=40,V270&lt;75,W270&lt;35),0.3,0)+IF(AND(V270&gt;=40,V270&lt;75,W270&gt;=35,W270&lt;75),0.23,0)+IF(AND(V270&gt;=40,V270&lt;75,W270&gt;=75,W270&lt;120),0.17,0)+IF(AND(V270&gt;=40,V270&lt;75,W270&gt;=120),0.12,0)+IF(AND(V270&gt;=75,V270&lt;175,W270&lt;35),0.3,0)+IF(AND(V270&gt;=75,V270&lt;=175,W270&gt;=35,W270&lt;65),0.23,0)+IF(AND(V270&gt;=75,V270&lt;=175,W270&gt;=65,W270&lt;110),0.17,0)+IF(AND(V270&gt;=75,V270&lt;=175,W270&gt;=110),0.12,0)+IF(AND(V270&gt;175,W270&lt;25),0.3,0)+IF(AND(V270&gt;175,W270&gt;=25,W270&lt;55),0.23,0)+IF(AND(V270&gt;175,W270&gt;=55,W270&lt;95),0.17,0)+IF(AND(V270&gt;175,W270&gt;=95),0.12,0),
IF(AF270="Fix15",0.15,
IF(AF270="Fix11.25",0.1125,
IF(AF270="Fix10",0.1,
IF(AF270="Fix9",0.09,
IF(AF270="DoEV2017",IF(AND(W270&lt;74),0.2,0)+IF(AND(W270&gt;=74),0.17,0),
IF(AF270="SF",IF(AND(V270&lt;20,W270&lt;89),0.3,0)+IF(AND(V270&lt;20,W270&gt;=89),0.25,0)+IF(AND(V270&gt;=20,V270&lt;40,W270&lt;74),0.3,0)+IF(AND(V270&gt;=20,V270&lt;40,W270&gt;=75),0.22,0)+IF(AND(V270&gt;=40,V270&lt;75,W270&lt;75),0.26,0)+IF(AND(V270&gt;=40,V270&lt;75,W270&gt;=75),0.22,0)+IF(V270&gt;=75,0.22,0),
IF(AF270="DoEVold",IF(AND(V270&lt;40,W270&lt;35),0.35,0)+IF(AND(V270&lt;40,W270&gt;=35,W270&lt;75),0.25,0)+IF(AND(V270&lt;40,W270&gt;=75),0.17,0)+IF(AND(V270&gt;=40,V270&lt;75,W270&lt;25),0.35,0)+IF(AND(V270&gt;=40,V270&lt;75,W270&gt;=25,W270&lt;65),0.25,0)+IF(AND(V270&gt;=40,V270&lt;75,W270&gt;=65,W270&lt;100),0.17,0)+IF(AND(V270&gt;=40,V270&lt;75,W270&gt;=100),0.1,0)+IF(AND(V270&gt;=75,W270&lt;25),0.35,0)+IF(AND(V270&gt;=75,W270&gt;=25,W270&lt;60),0.25,0)+IF(AND(V270&gt;=75,W270&gt;=60,W270&lt;95),0.17,0)+IF(AND(V270&gt;=75,W270&gt;=95),0.1,0),
IF(AF270="DoEVold15",IF(AND(V270&lt;=40,W270&lt;35),0.35,0)+IF(AND(V270&lt;=40,W270&gt;=35,W270&lt;75),0.25,0)+IF(AND(V270&lt;=40,W270&gt;=75,W270&lt;120),0.17,0)+IF(AND(V270&lt;=40,W270&gt;=120),0.15,0)+IF(AND(V270&gt;40,V270&lt;75,W270&lt;25),0.35,0)+IF(AND(V270&gt;=40,V270&lt;75,W270&gt;=25,W270&lt;65),0.25,0)+IF(AND(V270&gt;=40,V270&lt;75,W270&gt;=65,W270&lt;100),0.17,0)+IF(AND(V270&gt;=40,V270&lt;75,W270&gt;=100),0.1,0)+IF(AND(V270&gt;=75,W270&lt;25),0.35,0)+IF(AND(V270&gt;=75,W270&gt;=25,W270&lt;60),0.25,0)+IF(AND(V270&gt;=75,W270&gt;=60,W270&lt;95),0.17,0)+IF(AND(V270&gt;=75,W270&gt;=95),0.1,0),
IF(AF270="DoEVba",IF(AND(V270&lt;20,W270&lt;105),0.2,0)+IF(AND(V270&lt;20,W270&gt;=105),0.15,0)+IF(AND(V270&gt;=20,V270&lt;40,W270&lt;95),0.2,0)+IF(AND(V270&gt;=20,V270&lt;40,W270&gt;=95,W270&lt;150),0.15,0)+IF(AND(V270&gt;=20,V270&lt;40,W270&gt;=150),0.12,0)+IF(AND(V270&gt;=40,V270&lt;75,W270&lt;75),0.2,0)+IF(AND(V270&gt;=40,V270&lt;75,W270&gt;=75,W270&lt;120),0.15,0)+IF(AND(V270&gt;=40,V270&lt;75,W270&gt;=120),0.12,0)+IF(AND(V270&gt;=75,V270&lt;175,W270&lt;65),0.2,0)+IF(AND(V270&gt;=75,V270&lt;175,W270&gt;=65,W270&lt;110),0.15,0)+IF(AND(V270&gt;=75,V270&lt;175,W270&gt;=110),0.12,0)+IF(AND(V270&gt;=175,W270&lt;55),0.2,0)+IF(AND(V270&gt;=175,W270&gt;=55,W270&lt;95),0.15,0)+IF(AND(V270&gt;=175,W270&gt;=95),0.12,0),
IF(AF270="DoEVku",IF(AND(V270&lt;20,W270&lt;55),0.23,0)+IF(AND(V270&lt;20,W270&gt;=55,W270&lt;105),0.2,0)+IF(AND(V270&lt;20,W270&gt;=105),0.17,0)+IF(AND(V270&gt;=20,V270&lt;40,W270&lt;45),0.23,0)+IF(AND(V270&gt;=20,V270&lt;40,W270&gt;=45,W270&lt;95),0.2,0)+IF(AND(V270&gt;=20,V270&lt;40,W270&gt;=95,W270&lt;=150),0.17,0)+IF(AND(V270&gt;=20,V270&lt;40,W270&gt;=150),0.12,0)+IF(AND(V270&gt;=40,V270&lt;75,W270&lt;35),0.23,0)+IF(AND(V270&gt;=40,V270&lt;75,W270&gt;=35,W270&lt;75),0.2,0)+IF(AND(V270&gt;=40,V270&lt;75,W270&gt;=75,W270&lt;120),0.17,0)+IF(AND(V270&gt;=40,V270&lt;75,W270&gt;=120),0.12,0)+IF(AND(V270&gt;=75,V270&lt;175,W270&lt;35),0.23,0)+IF(AND(V270&gt;=75,V270&lt;=175,W270&gt;=35,W270&lt;65),0.2,0)+IF(AND(V270&gt;=75,V270&lt;=175,W270&gt;=65,W270&lt;110),0.17,0)+IF(AND(V270&gt;=75,V270&lt;=175,W270&gt;=110),0.12,0)+IF(AND(V270&gt;175,W270&lt;25),0.23,0)+IF(AND(V270&gt;175,W270&gt;=25,W270&lt;55),0.2,0)+IF(AND(V270&gt;175,W270&gt;=55,W270&lt;95),0.17,0)+IF(AND(V270&gt;175,W270&gt;=95),0.12,0),
IF(AF270="DoEVs1",IF(AND(V270&lt;20,W270&lt;55),0.3,0)+IF(AND(V270&lt;20,W270&gt;=55,W270&lt;105),0.23,0)+IF(AND(V270&lt;20,W270&gt;=105),0.17,0)+IF(AND(V270&gt;=20,V270&lt;40,W270&lt;45),0.3,0)+IF(AND(V270&gt;=20,V270&lt;40,W270&gt;=45,W270&lt;95),0.23,0)+IF(AND(V270&gt;=20,V270&lt;40,W270&gt;=95,W270&lt;=150),0.17,0)+IF(AND(V270&gt;=20,V270&lt;40,W270&gt;=150),0.12,0)+IF(AND(V270&gt;=40,V270&lt;75,W270&lt;35),0.3,0)+IF(AND(V270&gt;=40,V270&lt;75,W270&gt;=35,W270&lt;75),0.23,0)+IF(AND(V270&gt;=40,V270&lt;75,W270&gt;=75,W270&lt;120),0.17,0)+IF(AND(V270&gt;=40,V270&lt;75,W270&gt;=120),0.12,0)+IF(AND(V270&gt;=75,V270&lt;175,W270&lt;35),0.3,0)+IF(AND(V270&gt;=75,V270&lt;=175,W270&gt;=35,W270&lt;65),0.23,0)+IF(AND(V270&gt;=75,V270&lt;=175,W270&gt;=65,W270&lt;110),0.17,0)+IF(AND(V270&gt;=75,V270&lt;=175,W270&gt;=110),0.12,0)+IF(AND(V270&gt;175,W270&lt;25),0.3,0)+IF(AND(V270&gt;175,W270&gt;=25,W270&lt;55),0.23,0)+IF(AND(V270&gt;175,W270&gt;=55,W270&lt;95),0.17,0)+IF(AND(V270&gt;175,W270&gt;=95),0.12,0),
IF(AF270="DoEVsu",IF(AND(V270&lt;20,W270&lt;55),0.3,0)+IF(AND(V270&lt;20,W270&gt;=55,W270&lt;105),0.23,0)+IF(AND(V270&lt;20,W270&gt;=105),0.17,0)+IF(AND(V270&gt;=20,V270&lt;40,W270&lt;45),0.3,0)+IF(AND(V270&gt;=20,V270&lt;40,W270&gt;=45,W270&lt;95),0.23,0)+IF(AND(V270&gt;=20,V270&lt;40,W270&gt;=95,W270&lt;=250),0.17,0)+IF(AND(V270&gt;=20,V270&lt;40,W270&gt;=250),0.12,0)+IF(AND(V270&gt;=40,V270&lt;75,W270&lt;35),0.3,0)+IF(AND(V270&gt;=40,V270&lt;75,W270&gt;=35,W270&lt;75),0.23,0)+IF(AND(V270&gt;=40,V270&lt;75,W270&gt;=75,W270&lt;120),0.17,0)+IF(AND(V270&gt;=40,V270&lt;75,W270&gt;=120),0.12,0)+IF(AND(V270&gt;=75,V270&lt;175,W270&lt;35),0.3,0)+IF(AND(V270&gt;=75,V270&lt;=175,W270&gt;=35,W270&lt;65),0.23,0)+IF(AND(V270&gt;=75,V270&lt;=175,W270&gt;=65,W270&lt;110),0.17,0)+IF(AND(V270&gt;=75,V270&lt;=175,W270&gt;=110),0.12,0)+IF(AND(V270&gt;175,W270&lt;25),0.3,0)+IF(AND(V270&gt;175,W270&gt;=25,W270&lt;55),0.23,0)+IF(AND(V270&gt;175,W270&gt;=55,W270&lt;95),0.17,0)+IF(AND(V270&gt;175,W270&gt;=95),0.12,0),
IF(AF270="DoEVni",IF(AND(V270&lt;20,W270&lt;55),0.3,0)+IF(AND(V270&lt;20,W270&gt;=55,W270&lt;105),0.23,0)+IF(AND(V270&lt;20,W270&gt;=105),0.17,0)+IF(AND(V270&gt;=20,V270&lt;40,W270&lt;45),0.3,0)+IF(AND(V270&gt;=20,V270&lt;40,W270&gt;=45,W270&lt;95),0.23,0)+IF(AND(V270&gt;=20,V270&lt;40,W270&gt;=95,W270&lt;=200),0.17,0)+IF(AND(V270&gt;=20,V270&lt;40,W270&gt;=200),0.12,0)+IF(AND(V270&gt;=40,V270&lt;75,W270&lt;35),0.3,0)+IF(AND(V270&gt;=40,V270&lt;75,W270&gt;=35,W270&lt;75),0.23,0)+IF(AND(V270&gt;=40,V270&lt;75,W270&gt;=75,W270&lt;120),0.17,0)+IF(AND(V270&gt;=40,V270&lt;75,W270&gt;=120),0.12,0)+IF(AND(V270&gt;=75,V270&lt;175,W270&lt;35),0.3,0)+IF(AND(V270&gt;=75,V270&lt;=175,W270&gt;=35,W270&lt;65),0.23,0)+IF(AND(V270&gt;=75,V270&lt;=175,W270&gt;=65,W270&lt;110),0.17,0)+IF(AND(V270&gt;=75,V270&lt;=175,W270&gt;=110),0.12,0)+IF(AND(V270&gt;175,W270&lt;25),0.3,0)+IF(AND(V270&gt;175,W270&gt;=25,W270&lt;55),0.23,0)+IF(AND(V270&gt;175,W270&gt;=55,W270&lt;95),0.17,0)+IF(AND(V270&gt;175,W270&gt;=95),0.12,0),
IF(AF270="DoEVLo",IF(AND(V270&lt;20,W270&lt;55),0.25,0)+IF(AND(V270&lt;20,W270&gt;=55,W270&lt;105),0.2,0)+IF(AND(V270&lt;20,W270&gt;=105),0.15,0)+IF(AND(V270&gt;=20,V270&lt;40,W270&lt;45),0.25,0)+IF(AND(V270&gt;=20,V270&lt;40,W270&gt;=45,W270&lt;95),0.2,0)+IF(AND(V270&gt;=20,V270&lt;40,W270&gt;=95),0.15,0)+IF(AND(V270&gt;=40,V270&lt;75,W270&lt;35),0.25,0)+IF(AND(V270&gt;=40,V270&lt;75,W270&gt;=35,W270&lt;75),0.2,0)+IF(AND(V270&gt;=40,V270&lt;75,W270&gt;=75,W270&lt;120),0.15,0)+IF(AND(V270&gt;=40,V270&lt;75,W270&gt;=120),0.1,0)+IF(AND(V270&gt;=75,V270&lt;175,W270&lt;35),0.25,0)+IF(AND(V270&gt;=75,V270&lt;=175,W270&gt;=35,W270&lt;65),0.2,0)+IF(AND(V270&gt;=75,V270&lt;=175,W270&gt;=65,W270&lt;110),0.15,0)+IF(AND(V270&gt;=75,V270&lt;=175,W270&gt;=110),0.1,0)+IF(AND(V270&gt;175,W270&lt;25),0.25,0)+IF(AND(V270&gt;175,W270&gt;=25,W270&lt;55),0.2,0)+IF(AND(V270&gt;175,W270&gt;=55,W270&lt;95),0.15,0)+IF(AND(V270&gt;175,W270&gt;=95),0.1,0))))))))))))))))</f>
        <v>0.3</v>
      </c>
      <c r="Y270" s="30">
        <f>IF(AG270="None",0,IF(AG270="Fix5",0.05,IF(AG270="Fix3.75",0.0375,IF(AG270="Fix10",0.1,IF(AG270="Fix3",0.03,0)))))</f>
        <v>0</v>
      </c>
      <c r="Z270" s="35">
        <f>T270-AA270-AB270</f>
        <v>499.1</v>
      </c>
      <c r="AA270" s="29">
        <f>IF(AD270="EUR",((T270-R270)*X270)*U270+(R270*X270),(T270*X270))</f>
        <v>213.9</v>
      </c>
      <c r="AB270" s="36">
        <f>IF(AD270="EUR",((T270-R270)*Y270)*U270+(R270*Y270),(T270*Y270))</f>
        <v>0</v>
      </c>
      <c r="AC270" s="37" t="b">
        <v>1</v>
      </c>
      <c r="AD270" s="37" t="s">
        <v>38</v>
      </c>
      <c r="AE270" s="37" t="s">
        <v>38</v>
      </c>
      <c r="AF270" s="37" t="str">
        <f t="array" ref="AF270">INDEX('Deal Info'!D:D, MATCH(A270,'Deal Info'!A:A, 0))</f>
        <v>SF</v>
      </c>
      <c r="AG270" s="38" t="str">
        <f t="array" ref="AG270">INDEX('Deal Info'!G:G, MATCH(A270,'Deal Info'!A:A, 0))</f>
        <v>None</v>
      </c>
    </row>
    <row r="271" spans="1:33" ht="14.25" hidden="1" x14ac:dyDescent="0.2">
      <c r="A271" s="18" t="str">
        <f t="array" ref="A271">IF(G271='Room Info'!$B$1, INDEX('Room Info'!$A$2:$A2446, MATCH(B271,'Room Info'!$B$2:$B2446, 0)),IF(G271='Room Info'!$C$1, INDEX('Room Info'!$A$2:$A2446, MATCH(B271,'Room Info'!$C$2:$C2446, 0)),IF(G271='Room Info'!$D$1, INDEX('Room Info'!$A$2:$A2446, MATCH(B271,'Room Info'!$D$2:$D2446, 0)),IF(G271='Room Info'!$E$1, INDEX('Room Info'!$A$2:$A2446, MATCH(B271,'Room Info'!$E$2:$E2446, 0)),IF(G271='Room Info'!$F$1, INDEX('Room Info'!$A$2:$A2446, MATCH(B271,'Room Info'!$F$2:$F2446, 0)),IF(G271='Room Info'!$H$1, INDEX('Room Info'!$A$2:$A2446, MATCH(B271,'Room Info'!$H$2:$H2446, 0)),IF(G271='Room Info'!$G$1, INDEX('Room Info'!$A$2:$A2446, MATCH(B271,'Room Info'!$G$2:$G2446, 0)))))))))</f>
        <v>Mexanuk_AV</v>
      </c>
      <c r="B271" s="45" t="s">
        <v>113</v>
      </c>
      <c r="C271" s="92">
        <v>44672</v>
      </c>
      <c r="D271" s="46">
        <v>44701</v>
      </c>
      <c r="E271" s="47">
        <v>44682</v>
      </c>
      <c r="F271" s="45" t="s">
        <v>34</v>
      </c>
      <c r="G271" s="45" t="s">
        <v>35</v>
      </c>
      <c r="H271" s="49" t="s">
        <v>40</v>
      </c>
      <c r="I271" s="49" t="s">
        <v>37</v>
      </c>
      <c r="J271" s="70">
        <v>10</v>
      </c>
      <c r="K271" s="71">
        <v>2691</v>
      </c>
      <c r="L271" s="52">
        <v>-990</v>
      </c>
      <c r="M271" s="53">
        <v>1945</v>
      </c>
      <c r="N271" s="28">
        <f>K271*J271</f>
        <v>26910</v>
      </c>
      <c r="O271" s="54">
        <v>81314</v>
      </c>
      <c r="P271" s="29">
        <v>30.217019700000002</v>
      </c>
      <c r="Q271" s="55"/>
      <c r="R271" s="31">
        <f>M271+Q271</f>
        <v>1945</v>
      </c>
      <c r="S271" s="56">
        <v>-476</v>
      </c>
      <c r="T271" s="32">
        <f>R271+S271+IF(F271="Without EV deal",L271,0)</f>
        <v>1469</v>
      </c>
      <c r="U271" s="57">
        <v>1</v>
      </c>
      <c r="V271" s="69">
        <v>10</v>
      </c>
      <c r="W271" s="69">
        <v>146.9</v>
      </c>
      <c r="X271" s="30">
        <f>IF(AF271="DoEV",IF(AND(V271&lt;20,W271&lt;55),0.3,0)+IF(AND(V271&lt;20,W271&gt;=55,W271&lt;105),0.23,0)+IF(AND(V271&lt;20,W271&gt;=105),0.17,0)+IF(AND(V271&gt;=20,V271&lt;40,W271&lt;45),0.3,0)+IF(AND(V271&gt;=20,V271&lt;40,W271&gt;=45,W271&lt;95),0.23,0)+IF(AND(V271&gt;=20,V271&lt;40,W271&gt;=95),0.17,0)+IF(AND(V271&gt;=40,V271&lt;75,W271&lt;35),0.3,0)+IF(AND(V271&gt;=40,V271&lt;75,W271&gt;=35,W271&lt;75),0.23,0)+IF(AND(V271&gt;=40,V271&lt;75,W271&gt;=75,W271&lt;120),0.17,0)+IF(AND(V271&gt;=40,V271&lt;75,W271&gt;=120),0.12,0)+IF(AND(V271&gt;=75,V271&lt;175,W271&lt;35),0.3,0)+IF(AND(V271&gt;=75,V271&lt;=175,W271&gt;=35,W271&lt;65),0.23,0)+IF(AND(V271&gt;=75,V271&lt;=175,W271&gt;=65,W271&lt;110),0.17,0)+IF(AND(V271&gt;=75,V271&lt;=175,W271&gt;=110),0.12,0)+IF(AND(V271&gt;175,W271&lt;25),0.3,0)+IF(AND(V271&gt;175,W271&gt;=25,W271&lt;55),0.23,0)+IF(AND(V271&gt;175,W271&gt;=55,W271&lt;95),0.17,0)+IF(AND(V271&gt;175,W271&gt;=95),0.12,0),
IF(AF271="Fix15",0.15,
IF(AF271="Fix11.25",0.1125,
IF(AF271="Fix10",0.1,
IF(AF271="Fix9",0.09,
IF(AF271="DoEV2017",IF(AND(W271&lt;74),0.2,0)+IF(AND(W271&gt;=74),0.17,0),
IF(AF271="SF",IF(AND(V271&lt;20,W271&lt;89),0.3,0)+IF(AND(V271&lt;20,W271&gt;=89),0.25,0)+IF(AND(V271&gt;=20,V271&lt;40,W271&lt;74),0.3,0)+IF(AND(V271&gt;=20,V271&lt;40,W271&gt;=75),0.22,0)+IF(AND(V271&gt;=40,V271&lt;75,W271&lt;75),0.26,0)+IF(AND(V271&gt;=40,V271&lt;75,W271&gt;=75),0.22,0)+IF(V271&gt;=75,0.22,0),
IF(AF271="DoEVold",IF(AND(V271&lt;40,W271&lt;35),0.35,0)+IF(AND(V271&lt;40,W271&gt;=35,W271&lt;75),0.25,0)+IF(AND(V271&lt;40,W271&gt;=75),0.17,0)+IF(AND(V271&gt;=40,V271&lt;75,W271&lt;25),0.35,0)+IF(AND(V271&gt;=40,V271&lt;75,W271&gt;=25,W271&lt;65),0.25,0)+IF(AND(V271&gt;=40,V271&lt;75,W271&gt;=65,W271&lt;100),0.17,0)+IF(AND(V271&gt;=40,V271&lt;75,W271&gt;=100),0.1,0)+IF(AND(V271&gt;=75,W271&lt;25),0.35,0)+IF(AND(V271&gt;=75,W271&gt;=25,W271&lt;60),0.25,0)+IF(AND(V271&gt;=75,W271&gt;=60,W271&lt;95),0.17,0)+IF(AND(V271&gt;=75,W271&gt;=95),0.1,0),
IF(AF271="DoEVold15",IF(AND(V271&lt;=40,W271&lt;35),0.35,0)+IF(AND(V271&lt;=40,W271&gt;=35,W271&lt;75),0.25,0)+IF(AND(V271&lt;=40,W271&gt;=75,W271&lt;120),0.17,0)+IF(AND(V271&lt;=40,W271&gt;=120),0.15,0)+IF(AND(V271&gt;40,V271&lt;75,W271&lt;25),0.35,0)+IF(AND(V271&gt;=40,V271&lt;75,W271&gt;=25,W271&lt;65),0.25,0)+IF(AND(V271&gt;=40,V271&lt;75,W271&gt;=65,W271&lt;100),0.17,0)+IF(AND(V271&gt;=40,V271&lt;75,W271&gt;=100),0.1,0)+IF(AND(V271&gt;=75,W271&lt;25),0.35,0)+IF(AND(V271&gt;=75,W271&gt;=25,W271&lt;60),0.25,0)+IF(AND(V271&gt;=75,W271&gt;=60,W271&lt;95),0.17,0)+IF(AND(V271&gt;=75,W271&gt;=95),0.1,0),
IF(AF271="DoEVba",IF(AND(V271&lt;20,W271&lt;105),0.2,0)+IF(AND(V271&lt;20,W271&gt;=105),0.15,0)+IF(AND(V271&gt;=20,V271&lt;40,W271&lt;95),0.2,0)+IF(AND(V271&gt;=20,V271&lt;40,W271&gt;=95,W271&lt;150),0.15,0)+IF(AND(V271&gt;=20,V271&lt;40,W271&gt;=150),0.12,0)+IF(AND(V271&gt;=40,V271&lt;75,W271&lt;75),0.2,0)+IF(AND(V271&gt;=40,V271&lt;75,W271&gt;=75,W271&lt;120),0.15,0)+IF(AND(V271&gt;=40,V271&lt;75,W271&gt;=120),0.12,0)+IF(AND(V271&gt;=75,V271&lt;175,W271&lt;65),0.2,0)+IF(AND(V271&gt;=75,V271&lt;175,W271&gt;=65,W271&lt;110),0.15,0)+IF(AND(V271&gt;=75,V271&lt;175,W271&gt;=110),0.12,0)+IF(AND(V271&gt;=175,W271&lt;55),0.2,0)+IF(AND(V271&gt;=175,W271&gt;=55,W271&lt;95),0.15,0)+IF(AND(V271&gt;=175,W271&gt;=95),0.12,0),
IF(AF271="DoEVku",IF(AND(V271&lt;20,W271&lt;55),0.23,0)+IF(AND(V271&lt;20,W271&gt;=55,W271&lt;105),0.2,0)+IF(AND(V271&lt;20,W271&gt;=105),0.17,0)+IF(AND(V271&gt;=20,V271&lt;40,W271&lt;45),0.23,0)+IF(AND(V271&gt;=20,V271&lt;40,W271&gt;=45,W271&lt;95),0.2,0)+IF(AND(V271&gt;=20,V271&lt;40,W271&gt;=95,W271&lt;=150),0.17,0)+IF(AND(V271&gt;=20,V271&lt;40,W271&gt;=150),0.12,0)+IF(AND(V271&gt;=40,V271&lt;75,W271&lt;35),0.23,0)+IF(AND(V271&gt;=40,V271&lt;75,W271&gt;=35,W271&lt;75),0.2,0)+IF(AND(V271&gt;=40,V271&lt;75,W271&gt;=75,W271&lt;120),0.17,0)+IF(AND(V271&gt;=40,V271&lt;75,W271&gt;=120),0.12,0)+IF(AND(V271&gt;=75,V271&lt;175,W271&lt;35),0.23,0)+IF(AND(V271&gt;=75,V271&lt;=175,W271&gt;=35,W271&lt;65),0.2,0)+IF(AND(V271&gt;=75,V271&lt;=175,W271&gt;=65,W271&lt;110),0.17,0)+IF(AND(V271&gt;=75,V271&lt;=175,W271&gt;=110),0.12,0)+IF(AND(V271&gt;175,W271&lt;25),0.23,0)+IF(AND(V271&gt;175,W271&gt;=25,W271&lt;55),0.2,0)+IF(AND(V271&gt;175,W271&gt;=55,W271&lt;95),0.17,0)+IF(AND(V271&gt;175,W271&gt;=95),0.12,0),
IF(AF271="DoEVs1",IF(AND(V271&lt;20,W271&lt;55),0.3,0)+IF(AND(V271&lt;20,W271&gt;=55,W271&lt;105),0.23,0)+IF(AND(V271&lt;20,W271&gt;=105),0.17,0)+IF(AND(V271&gt;=20,V271&lt;40,W271&lt;45),0.3,0)+IF(AND(V271&gt;=20,V271&lt;40,W271&gt;=45,W271&lt;95),0.23,0)+IF(AND(V271&gt;=20,V271&lt;40,W271&gt;=95,W271&lt;=150),0.17,0)+IF(AND(V271&gt;=20,V271&lt;40,W271&gt;=150),0.12,0)+IF(AND(V271&gt;=40,V271&lt;75,W271&lt;35),0.3,0)+IF(AND(V271&gt;=40,V271&lt;75,W271&gt;=35,W271&lt;75),0.23,0)+IF(AND(V271&gt;=40,V271&lt;75,W271&gt;=75,W271&lt;120),0.17,0)+IF(AND(V271&gt;=40,V271&lt;75,W271&gt;=120),0.12,0)+IF(AND(V271&gt;=75,V271&lt;175,W271&lt;35),0.3,0)+IF(AND(V271&gt;=75,V271&lt;=175,W271&gt;=35,W271&lt;65),0.23,0)+IF(AND(V271&gt;=75,V271&lt;=175,W271&gt;=65,W271&lt;110),0.17,0)+IF(AND(V271&gt;=75,V271&lt;=175,W271&gt;=110),0.12,0)+IF(AND(V271&gt;175,W271&lt;25),0.3,0)+IF(AND(V271&gt;175,W271&gt;=25,W271&lt;55),0.23,0)+IF(AND(V271&gt;175,W271&gt;=55,W271&lt;95),0.17,0)+IF(AND(V271&gt;175,W271&gt;=95),0.12,0),
IF(AF271="DoEVsu",IF(AND(V271&lt;20,W271&lt;55),0.3,0)+IF(AND(V271&lt;20,W271&gt;=55,W271&lt;105),0.23,0)+IF(AND(V271&lt;20,W271&gt;=105),0.17,0)+IF(AND(V271&gt;=20,V271&lt;40,W271&lt;45),0.3,0)+IF(AND(V271&gt;=20,V271&lt;40,W271&gt;=45,W271&lt;95),0.23,0)+IF(AND(V271&gt;=20,V271&lt;40,W271&gt;=95,W271&lt;=250),0.17,0)+IF(AND(V271&gt;=20,V271&lt;40,W271&gt;=250),0.12,0)+IF(AND(V271&gt;=40,V271&lt;75,W271&lt;35),0.3,0)+IF(AND(V271&gt;=40,V271&lt;75,W271&gt;=35,W271&lt;75),0.23,0)+IF(AND(V271&gt;=40,V271&lt;75,W271&gt;=75,W271&lt;120),0.17,0)+IF(AND(V271&gt;=40,V271&lt;75,W271&gt;=120),0.12,0)+IF(AND(V271&gt;=75,V271&lt;175,W271&lt;35),0.3,0)+IF(AND(V271&gt;=75,V271&lt;=175,W271&gt;=35,W271&lt;65),0.23,0)+IF(AND(V271&gt;=75,V271&lt;=175,W271&gt;=65,W271&lt;110),0.17,0)+IF(AND(V271&gt;=75,V271&lt;=175,W271&gt;=110),0.12,0)+IF(AND(V271&gt;175,W271&lt;25),0.3,0)+IF(AND(V271&gt;175,W271&gt;=25,W271&lt;55),0.23,0)+IF(AND(V271&gt;175,W271&gt;=55,W271&lt;95),0.17,0)+IF(AND(V271&gt;175,W271&gt;=95),0.12,0),
IF(AF271="DoEVni",IF(AND(V271&lt;20,W271&lt;55),0.3,0)+IF(AND(V271&lt;20,W271&gt;=55,W271&lt;105),0.23,0)+IF(AND(V271&lt;20,W271&gt;=105),0.17,0)+IF(AND(V271&gt;=20,V271&lt;40,W271&lt;45),0.3,0)+IF(AND(V271&gt;=20,V271&lt;40,W271&gt;=45,W271&lt;95),0.23,0)+IF(AND(V271&gt;=20,V271&lt;40,W271&gt;=95,W271&lt;=200),0.17,0)+IF(AND(V271&gt;=20,V271&lt;40,W271&gt;=200),0.12,0)+IF(AND(V271&gt;=40,V271&lt;75,W271&lt;35),0.3,0)+IF(AND(V271&gt;=40,V271&lt;75,W271&gt;=35,W271&lt;75),0.23,0)+IF(AND(V271&gt;=40,V271&lt;75,W271&gt;=75,W271&lt;120),0.17,0)+IF(AND(V271&gt;=40,V271&lt;75,W271&gt;=120),0.12,0)+IF(AND(V271&gt;=75,V271&lt;175,W271&lt;35),0.3,0)+IF(AND(V271&gt;=75,V271&lt;=175,W271&gt;=35,W271&lt;65),0.23,0)+IF(AND(V271&gt;=75,V271&lt;=175,W271&gt;=65,W271&lt;110),0.17,0)+IF(AND(V271&gt;=75,V271&lt;=175,W271&gt;=110),0.12,0)+IF(AND(V271&gt;175,W271&lt;25),0.3,0)+IF(AND(V271&gt;175,W271&gt;=25,W271&lt;55),0.23,0)+IF(AND(V271&gt;175,W271&gt;=55,W271&lt;95),0.17,0)+IF(AND(V271&gt;175,W271&gt;=95),0.12,0),
IF(AF271="DoEVLo",IF(AND(V271&lt;20,W271&lt;55),0.25,0)+IF(AND(V271&lt;20,W271&gt;=55,W271&lt;105),0.2,0)+IF(AND(V271&lt;20,W271&gt;=105),0.15,0)+IF(AND(V271&gt;=20,V271&lt;40,W271&lt;45),0.25,0)+IF(AND(V271&gt;=20,V271&lt;40,W271&gt;=45,W271&lt;95),0.2,0)+IF(AND(V271&gt;=20,V271&lt;40,W271&gt;=95),0.15,0)+IF(AND(V271&gt;=40,V271&lt;75,W271&lt;35),0.25,0)+IF(AND(V271&gt;=40,V271&lt;75,W271&gt;=35,W271&lt;75),0.2,0)+IF(AND(V271&gt;=40,V271&lt;75,W271&gt;=75,W271&lt;120),0.15,0)+IF(AND(V271&gt;=40,V271&lt;75,W271&gt;=120),0.1,0)+IF(AND(V271&gt;=75,V271&lt;175,W271&lt;35),0.25,0)+IF(AND(V271&gt;=75,V271&lt;=175,W271&gt;=35,W271&lt;65),0.2,0)+IF(AND(V271&gt;=75,V271&lt;=175,W271&gt;=65,W271&lt;110),0.15,0)+IF(AND(V271&gt;=75,V271&lt;=175,W271&gt;=110),0.1,0)+IF(AND(V271&gt;175,W271&lt;25),0.25,0)+IF(AND(V271&gt;175,W271&gt;=25,W271&lt;55),0.2,0)+IF(AND(V271&gt;175,W271&gt;=55,W271&lt;95),0.15,0)+IF(AND(V271&gt;175,W271&gt;=95),0.1,0))))))))))))))))</f>
        <v>0.25</v>
      </c>
      <c r="Y271" s="30">
        <f>IF(AG271="None",0,IF(AG271="Fix5",0.05,IF(AG271="Fix3.75",0.0375,IF(AG271="Fix10",0.1,IF(AG271="Fix3",0.03,0)))))</f>
        <v>0</v>
      </c>
      <c r="Z271" s="35">
        <f>T271-AA271-AB271</f>
        <v>1101.75</v>
      </c>
      <c r="AA271" s="29">
        <f>IF(AD271="EUR",((T271-R271)*X271)*U271+(R271*X271),(T271*X271))</f>
        <v>367.25</v>
      </c>
      <c r="AB271" s="36">
        <f>IF(AD271="EUR",((T271-R271)*Y271)*U271+(R271*Y271),(T271*Y271))</f>
        <v>0</v>
      </c>
      <c r="AC271" s="37" t="b">
        <v>1</v>
      </c>
      <c r="AD271" s="37" t="s">
        <v>38</v>
      </c>
      <c r="AE271" s="37" t="s">
        <v>38</v>
      </c>
      <c r="AF271" s="37" t="str">
        <f t="array" ref="AF271">INDEX('Deal Info'!D:D, MATCH(A271,'Deal Info'!A:A, 0))</f>
        <v>SF</v>
      </c>
      <c r="AG271" s="38" t="str">
        <f t="array" ref="AG271">INDEX('Deal Info'!G:G, MATCH(A271,'Deal Info'!A:A, 0))</f>
        <v>None</v>
      </c>
    </row>
    <row r="272" spans="1:33" ht="14.25" hidden="1" x14ac:dyDescent="0.2">
      <c r="A272" s="18" t="str">
        <f t="array" ref="A272">IF(G272='Room Info'!$B$1, INDEX('Room Info'!$A$2:$A2446, MATCH(B272,'Room Info'!$B$2:$B2446, 0)),IF(G272='Room Info'!$C$1, INDEX('Room Info'!$A$2:$A2446, MATCH(B272,'Room Info'!$C$2:$C2446, 0)),IF(G272='Room Info'!$D$1, INDEX('Room Info'!$A$2:$A2446, MATCH(B272,'Room Info'!$D$2:$D2446, 0)),IF(G272='Room Info'!$E$1, INDEX('Room Info'!$A$2:$A2446, MATCH(B272,'Room Info'!$E$2:$E2446, 0)),IF(G272='Room Info'!$F$1, INDEX('Room Info'!$A$2:$A2446, MATCH(B272,'Room Info'!$F$2:$F2446, 0)),IF(G272='Room Info'!$H$1, INDEX('Room Info'!$A$2:$A2446, MATCH(B272,'Room Info'!$H$2:$H2446, 0)),IF(G272='Room Info'!$G$1, INDEX('Room Info'!$A$2:$A2446, MATCH(B272,'Room Info'!$G$2:$G2446, 0)))))))))</f>
        <v>Mexanuk_AV</v>
      </c>
      <c r="B272" s="45" t="s">
        <v>113</v>
      </c>
      <c r="C272" s="92">
        <v>44702</v>
      </c>
      <c r="D272" s="46">
        <v>44732</v>
      </c>
      <c r="E272" s="47">
        <v>44713</v>
      </c>
      <c r="F272" s="45" t="s">
        <v>34</v>
      </c>
      <c r="G272" s="45" t="s">
        <v>35</v>
      </c>
      <c r="H272" s="49" t="s">
        <v>40</v>
      </c>
      <c r="I272" s="49" t="s">
        <v>37</v>
      </c>
      <c r="J272" s="70">
        <v>10</v>
      </c>
      <c r="K272" s="71">
        <v>2783</v>
      </c>
      <c r="L272" s="52">
        <v>810</v>
      </c>
      <c r="M272" s="53">
        <v>1455</v>
      </c>
      <c r="N272" s="28">
        <f>K272*J272</f>
        <v>27830</v>
      </c>
      <c r="O272" s="54">
        <v>109853</v>
      </c>
      <c r="P272" s="29">
        <v>39.472870999999998</v>
      </c>
      <c r="Q272" s="55"/>
      <c r="R272" s="31">
        <f>M272+Q272</f>
        <v>1455</v>
      </c>
      <c r="S272" s="56">
        <v>-27</v>
      </c>
      <c r="T272" s="32">
        <f>R272+S272+IF(F272="Without EV deal",L272,0)</f>
        <v>1428</v>
      </c>
      <c r="U272" s="57">
        <v>1</v>
      </c>
      <c r="V272" s="69">
        <v>10</v>
      </c>
      <c r="W272" s="69">
        <v>142.80000000000001</v>
      </c>
      <c r="X272" s="30">
        <f>IF(AF272="DoEV",IF(AND(V272&lt;20,W272&lt;55),0.3,0)+IF(AND(V272&lt;20,W272&gt;=55,W272&lt;105),0.23,0)+IF(AND(V272&lt;20,W272&gt;=105),0.17,0)+IF(AND(V272&gt;=20,V272&lt;40,W272&lt;45),0.3,0)+IF(AND(V272&gt;=20,V272&lt;40,W272&gt;=45,W272&lt;95),0.23,0)+IF(AND(V272&gt;=20,V272&lt;40,W272&gt;=95),0.17,0)+IF(AND(V272&gt;=40,V272&lt;75,W272&lt;35),0.3,0)+IF(AND(V272&gt;=40,V272&lt;75,W272&gt;=35,W272&lt;75),0.23,0)+IF(AND(V272&gt;=40,V272&lt;75,W272&gt;=75,W272&lt;120),0.17,0)+IF(AND(V272&gt;=40,V272&lt;75,W272&gt;=120),0.12,0)+IF(AND(V272&gt;=75,V272&lt;175,W272&lt;35),0.3,0)+IF(AND(V272&gt;=75,V272&lt;=175,W272&gt;=35,W272&lt;65),0.23,0)+IF(AND(V272&gt;=75,V272&lt;=175,W272&gt;=65,W272&lt;110),0.17,0)+IF(AND(V272&gt;=75,V272&lt;=175,W272&gt;=110),0.12,0)+IF(AND(V272&gt;175,W272&lt;25),0.3,0)+IF(AND(V272&gt;175,W272&gt;=25,W272&lt;55),0.23,0)+IF(AND(V272&gt;175,W272&gt;=55,W272&lt;95),0.17,0)+IF(AND(V272&gt;175,W272&gt;=95),0.12,0),
IF(AF272="Fix15",0.15,
IF(AF272="Fix11.25",0.1125,
IF(AF272="Fix10",0.1,
IF(AF272="Fix9",0.09,
IF(AF272="DoEV2017",IF(AND(W272&lt;74),0.2,0)+IF(AND(W272&gt;=74),0.17,0),
IF(AF272="SF",IF(AND(V272&lt;20,W272&lt;89),0.3,0)+IF(AND(V272&lt;20,W272&gt;=89),0.25,0)+IF(AND(V272&gt;=20,V272&lt;40,W272&lt;74),0.3,0)+IF(AND(V272&gt;=20,V272&lt;40,W272&gt;=75),0.22,0)+IF(AND(V272&gt;=40,V272&lt;75,W272&lt;75),0.26,0)+IF(AND(V272&gt;=40,V272&lt;75,W272&gt;=75),0.22,0)+IF(V272&gt;=75,0.22,0),
IF(AF272="DoEVold",IF(AND(V272&lt;40,W272&lt;35),0.35,0)+IF(AND(V272&lt;40,W272&gt;=35,W272&lt;75),0.25,0)+IF(AND(V272&lt;40,W272&gt;=75),0.17,0)+IF(AND(V272&gt;=40,V272&lt;75,W272&lt;25),0.35,0)+IF(AND(V272&gt;=40,V272&lt;75,W272&gt;=25,W272&lt;65),0.25,0)+IF(AND(V272&gt;=40,V272&lt;75,W272&gt;=65,W272&lt;100),0.17,0)+IF(AND(V272&gt;=40,V272&lt;75,W272&gt;=100),0.1,0)+IF(AND(V272&gt;=75,W272&lt;25),0.35,0)+IF(AND(V272&gt;=75,W272&gt;=25,W272&lt;60),0.25,0)+IF(AND(V272&gt;=75,W272&gt;=60,W272&lt;95),0.17,0)+IF(AND(V272&gt;=75,W272&gt;=95),0.1,0),
IF(AF272="DoEVold15",IF(AND(V272&lt;=40,W272&lt;35),0.35,0)+IF(AND(V272&lt;=40,W272&gt;=35,W272&lt;75),0.25,0)+IF(AND(V272&lt;=40,W272&gt;=75,W272&lt;120),0.17,0)+IF(AND(V272&lt;=40,W272&gt;=120),0.15,0)+IF(AND(V272&gt;40,V272&lt;75,W272&lt;25),0.35,0)+IF(AND(V272&gt;=40,V272&lt;75,W272&gt;=25,W272&lt;65),0.25,0)+IF(AND(V272&gt;=40,V272&lt;75,W272&gt;=65,W272&lt;100),0.17,0)+IF(AND(V272&gt;=40,V272&lt;75,W272&gt;=100),0.1,0)+IF(AND(V272&gt;=75,W272&lt;25),0.35,0)+IF(AND(V272&gt;=75,W272&gt;=25,W272&lt;60),0.25,0)+IF(AND(V272&gt;=75,W272&gt;=60,W272&lt;95),0.17,0)+IF(AND(V272&gt;=75,W272&gt;=95),0.1,0),
IF(AF272="DoEVba",IF(AND(V272&lt;20,W272&lt;105),0.2,0)+IF(AND(V272&lt;20,W272&gt;=105),0.15,0)+IF(AND(V272&gt;=20,V272&lt;40,W272&lt;95),0.2,0)+IF(AND(V272&gt;=20,V272&lt;40,W272&gt;=95,W272&lt;150),0.15,0)+IF(AND(V272&gt;=20,V272&lt;40,W272&gt;=150),0.12,0)+IF(AND(V272&gt;=40,V272&lt;75,W272&lt;75),0.2,0)+IF(AND(V272&gt;=40,V272&lt;75,W272&gt;=75,W272&lt;120),0.15,0)+IF(AND(V272&gt;=40,V272&lt;75,W272&gt;=120),0.12,0)+IF(AND(V272&gt;=75,V272&lt;175,W272&lt;65),0.2,0)+IF(AND(V272&gt;=75,V272&lt;175,W272&gt;=65,W272&lt;110),0.15,0)+IF(AND(V272&gt;=75,V272&lt;175,W272&gt;=110),0.12,0)+IF(AND(V272&gt;=175,W272&lt;55),0.2,0)+IF(AND(V272&gt;=175,W272&gt;=55,W272&lt;95),0.15,0)+IF(AND(V272&gt;=175,W272&gt;=95),0.12,0),
IF(AF272="DoEVku",IF(AND(V272&lt;20,W272&lt;55),0.23,0)+IF(AND(V272&lt;20,W272&gt;=55,W272&lt;105),0.2,0)+IF(AND(V272&lt;20,W272&gt;=105),0.17,0)+IF(AND(V272&gt;=20,V272&lt;40,W272&lt;45),0.23,0)+IF(AND(V272&gt;=20,V272&lt;40,W272&gt;=45,W272&lt;95),0.2,0)+IF(AND(V272&gt;=20,V272&lt;40,W272&gt;=95,W272&lt;=150),0.17,0)+IF(AND(V272&gt;=20,V272&lt;40,W272&gt;=150),0.12,0)+IF(AND(V272&gt;=40,V272&lt;75,W272&lt;35),0.23,0)+IF(AND(V272&gt;=40,V272&lt;75,W272&gt;=35,W272&lt;75),0.2,0)+IF(AND(V272&gt;=40,V272&lt;75,W272&gt;=75,W272&lt;120),0.17,0)+IF(AND(V272&gt;=40,V272&lt;75,W272&gt;=120),0.12,0)+IF(AND(V272&gt;=75,V272&lt;175,W272&lt;35),0.23,0)+IF(AND(V272&gt;=75,V272&lt;=175,W272&gt;=35,W272&lt;65),0.2,0)+IF(AND(V272&gt;=75,V272&lt;=175,W272&gt;=65,W272&lt;110),0.17,0)+IF(AND(V272&gt;=75,V272&lt;=175,W272&gt;=110),0.12,0)+IF(AND(V272&gt;175,W272&lt;25),0.23,0)+IF(AND(V272&gt;175,W272&gt;=25,W272&lt;55),0.2,0)+IF(AND(V272&gt;175,W272&gt;=55,W272&lt;95),0.17,0)+IF(AND(V272&gt;175,W272&gt;=95),0.12,0),
IF(AF272="DoEVs1",IF(AND(V272&lt;20,W272&lt;55),0.3,0)+IF(AND(V272&lt;20,W272&gt;=55,W272&lt;105),0.23,0)+IF(AND(V272&lt;20,W272&gt;=105),0.17,0)+IF(AND(V272&gt;=20,V272&lt;40,W272&lt;45),0.3,0)+IF(AND(V272&gt;=20,V272&lt;40,W272&gt;=45,W272&lt;95),0.23,0)+IF(AND(V272&gt;=20,V272&lt;40,W272&gt;=95,W272&lt;=150),0.17,0)+IF(AND(V272&gt;=20,V272&lt;40,W272&gt;=150),0.12,0)+IF(AND(V272&gt;=40,V272&lt;75,W272&lt;35),0.3,0)+IF(AND(V272&gt;=40,V272&lt;75,W272&gt;=35,W272&lt;75),0.23,0)+IF(AND(V272&gt;=40,V272&lt;75,W272&gt;=75,W272&lt;120),0.17,0)+IF(AND(V272&gt;=40,V272&lt;75,W272&gt;=120),0.12,0)+IF(AND(V272&gt;=75,V272&lt;175,W272&lt;35),0.3,0)+IF(AND(V272&gt;=75,V272&lt;=175,W272&gt;=35,W272&lt;65),0.23,0)+IF(AND(V272&gt;=75,V272&lt;=175,W272&gt;=65,W272&lt;110),0.17,0)+IF(AND(V272&gt;=75,V272&lt;=175,W272&gt;=110),0.12,0)+IF(AND(V272&gt;175,W272&lt;25),0.3,0)+IF(AND(V272&gt;175,W272&gt;=25,W272&lt;55),0.23,0)+IF(AND(V272&gt;175,W272&gt;=55,W272&lt;95),0.17,0)+IF(AND(V272&gt;175,W272&gt;=95),0.12,0),
IF(AF272="DoEVsu",IF(AND(V272&lt;20,W272&lt;55),0.3,0)+IF(AND(V272&lt;20,W272&gt;=55,W272&lt;105),0.23,0)+IF(AND(V272&lt;20,W272&gt;=105),0.17,0)+IF(AND(V272&gt;=20,V272&lt;40,W272&lt;45),0.3,0)+IF(AND(V272&gt;=20,V272&lt;40,W272&gt;=45,W272&lt;95),0.23,0)+IF(AND(V272&gt;=20,V272&lt;40,W272&gt;=95,W272&lt;=250),0.17,0)+IF(AND(V272&gt;=20,V272&lt;40,W272&gt;=250),0.12,0)+IF(AND(V272&gt;=40,V272&lt;75,W272&lt;35),0.3,0)+IF(AND(V272&gt;=40,V272&lt;75,W272&gt;=35,W272&lt;75),0.23,0)+IF(AND(V272&gt;=40,V272&lt;75,W272&gt;=75,W272&lt;120),0.17,0)+IF(AND(V272&gt;=40,V272&lt;75,W272&gt;=120),0.12,0)+IF(AND(V272&gt;=75,V272&lt;175,W272&lt;35),0.3,0)+IF(AND(V272&gt;=75,V272&lt;=175,W272&gt;=35,W272&lt;65),0.23,0)+IF(AND(V272&gt;=75,V272&lt;=175,W272&gt;=65,W272&lt;110),0.17,0)+IF(AND(V272&gt;=75,V272&lt;=175,W272&gt;=110),0.12,0)+IF(AND(V272&gt;175,W272&lt;25),0.3,0)+IF(AND(V272&gt;175,W272&gt;=25,W272&lt;55),0.23,0)+IF(AND(V272&gt;175,W272&gt;=55,W272&lt;95),0.17,0)+IF(AND(V272&gt;175,W272&gt;=95),0.12,0),
IF(AF272="DoEVni",IF(AND(V272&lt;20,W272&lt;55),0.3,0)+IF(AND(V272&lt;20,W272&gt;=55,W272&lt;105),0.23,0)+IF(AND(V272&lt;20,W272&gt;=105),0.17,0)+IF(AND(V272&gt;=20,V272&lt;40,W272&lt;45),0.3,0)+IF(AND(V272&gt;=20,V272&lt;40,W272&gt;=45,W272&lt;95),0.23,0)+IF(AND(V272&gt;=20,V272&lt;40,W272&gt;=95,W272&lt;=200),0.17,0)+IF(AND(V272&gt;=20,V272&lt;40,W272&gt;=200),0.12,0)+IF(AND(V272&gt;=40,V272&lt;75,W272&lt;35),0.3,0)+IF(AND(V272&gt;=40,V272&lt;75,W272&gt;=35,W272&lt;75),0.23,0)+IF(AND(V272&gt;=40,V272&lt;75,W272&gt;=75,W272&lt;120),0.17,0)+IF(AND(V272&gt;=40,V272&lt;75,W272&gt;=120),0.12,0)+IF(AND(V272&gt;=75,V272&lt;175,W272&lt;35),0.3,0)+IF(AND(V272&gt;=75,V272&lt;=175,W272&gt;=35,W272&lt;65),0.23,0)+IF(AND(V272&gt;=75,V272&lt;=175,W272&gt;=65,W272&lt;110),0.17,0)+IF(AND(V272&gt;=75,V272&lt;=175,W272&gt;=110),0.12,0)+IF(AND(V272&gt;175,W272&lt;25),0.3,0)+IF(AND(V272&gt;175,W272&gt;=25,W272&lt;55),0.23,0)+IF(AND(V272&gt;175,W272&gt;=55,W272&lt;95),0.17,0)+IF(AND(V272&gt;175,W272&gt;=95),0.12,0),
IF(AF272="DoEVLo",IF(AND(V272&lt;20,W272&lt;55),0.25,0)+IF(AND(V272&lt;20,W272&gt;=55,W272&lt;105),0.2,0)+IF(AND(V272&lt;20,W272&gt;=105),0.15,0)+IF(AND(V272&gt;=20,V272&lt;40,W272&lt;45),0.25,0)+IF(AND(V272&gt;=20,V272&lt;40,W272&gt;=45,W272&lt;95),0.2,0)+IF(AND(V272&gt;=20,V272&lt;40,W272&gt;=95),0.15,0)+IF(AND(V272&gt;=40,V272&lt;75,W272&lt;35),0.25,0)+IF(AND(V272&gt;=40,V272&lt;75,W272&gt;=35,W272&lt;75),0.2,0)+IF(AND(V272&gt;=40,V272&lt;75,W272&gt;=75,W272&lt;120),0.15,0)+IF(AND(V272&gt;=40,V272&lt;75,W272&gt;=120),0.1,0)+IF(AND(V272&gt;=75,V272&lt;175,W272&lt;35),0.25,0)+IF(AND(V272&gt;=75,V272&lt;=175,W272&gt;=35,W272&lt;65),0.2,0)+IF(AND(V272&gt;=75,V272&lt;=175,W272&gt;=65,W272&lt;110),0.15,0)+IF(AND(V272&gt;=75,V272&lt;=175,W272&gt;=110),0.1,0)+IF(AND(V272&gt;175,W272&lt;25),0.25,0)+IF(AND(V272&gt;175,W272&gt;=25,W272&lt;55),0.2,0)+IF(AND(V272&gt;175,W272&gt;=55,W272&lt;95),0.15,0)+IF(AND(V272&gt;175,W272&gt;=95),0.1,0))))))))))))))))</f>
        <v>0.25</v>
      </c>
      <c r="Y272" s="30">
        <f>IF(AG272="None",0,IF(AG272="Fix5",0.05,IF(AG272="Fix3.75",0.0375,IF(AG272="Fix10",0.1,IF(AG272="Fix3",0.03,0)))))</f>
        <v>0</v>
      </c>
      <c r="Z272" s="35">
        <f>T272-AA272-AB272</f>
        <v>1071</v>
      </c>
      <c r="AA272" s="29">
        <f>IF(AD272="EUR",((T272-R272)*X272)*U272+(R272*X272),(T272*X272))</f>
        <v>357</v>
      </c>
      <c r="AB272" s="36">
        <f>IF(AD272="EUR",((T272-R272)*Y272)*U272+(R272*Y272),(T272*Y272))</f>
        <v>0</v>
      </c>
      <c r="AC272" s="37" t="b">
        <v>1</v>
      </c>
      <c r="AD272" s="37" t="s">
        <v>38</v>
      </c>
      <c r="AE272" s="37" t="s">
        <v>38</v>
      </c>
      <c r="AF272" s="37" t="str">
        <f t="array" ref="AF272">INDEX('Deal Info'!D:D, MATCH(A272,'Deal Info'!A:A, 0))</f>
        <v>SF</v>
      </c>
      <c r="AG272" s="38" t="str">
        <f t="array" ref="AG272">INDEX('Deal Info'!G:G, MATCH(A272,'Deal Info'!A:A, 0))</f>
        <v>None</v>
      </c>
    </row>
    <row r="273" spans="1:33" ht="14.25" hidden="1" x14ac:dyDescent="0.2">
      <c r="A273" s="18" t="str">
        <f t="array" ref="A273">IF(G273='Room Info'!$B$1, INDEX('Room Info'!$A$2:$A2446, MATCH(B273,'Room Info'!$B$2:$B2446, 0)),IF(G273='Room Info'!$C$1, INDEX('Room Info'!$A$2:$A2446, MATCH(B273,'Room Info'!$C$2:$C2446, 0)),IF(G273='Room Info'!$D$1, INDEX('Room Info'!$A$2:$A2446, MATCH(B273,'Room Info'!$D$2:$D2446, 0)),IF(G273='Room Info'!$E$1, INDEX('Room Info'!$A$2:$A2446, MATCH(B273,'Room Info'!$E$2:$E2446, 0)),IF(G273='Room Info'!$F$1, INDEX('Room Info'!$A$2:$A2446, MATCH(B273,'Room Info'!$F$2:$F2446, 0)),IF(G273='Room Info'!$H$1, INDEX('Room Info'!$A$2:$A2446, MATCH(B273,'Room Info'!$H$2:$H2446, 0)),IF(G273='Room Info'!$G$1, INDEX('Room Info'!$A$2:$A2446, MATCH(B273,'Room Info'!$G$2:$G2446, 0)))))))))</f>
        <v>Mexanuk_AV</v>
      </c>
      <c r="B273" s="45" t="s">
        <v>113</v>
      </c>
      <c r="C273" s="92">
        <v>44733</v>
      </c>
      <c r="D273" s="46">
        <v>44762</v>
      </c>
      <c r="E273" s="47">
        <v>44743</v>
      </c>
      <c r="F273" s="45" t="s">
        <v>34</v>
      </c>
      <c r="G273" s="45" t="s">
        <v>35</v>
      </c>
      <c r="H273" s="49" t="s">
        <v>39</v>
      </c>
      <c r="I273" s="49" t="s">
        <v>37</v>
      </c>
      <c r="J273" s="70">
        <v>5</v>
      </c>
      <c r="K273" s="71">
        <v>2</v>
      </c>
      <c r="L273" s="52">
        <v>0</v>
      </c>
      <c r="M273" s="62"/>
      <c r="N273" s="28">
        <f>K273*J273</f>
        <v>10</v>
      </c>
      <c r="O273" s="54">
        <v>-276</v>
      </c>
      <c r="P273" s="29">
        <v>-138</v>
      </c>
      <c r="Q273" s="55"/>
      <c r="R273" s="31">
        <f>M273+Q273</f>
        <v>0</v>
      </c>
      <c r="S273" s="56">
        <v>-3</v>
      </c>
      <c r="T273" s="32">
        <f>R273+S273+IF(F273="Without EV deal",L273,0)</f>
        <v>-3</v>
      </c>
      <c r="U273" s="57">
        <v>1</v>
      </c>
      <c r="V273" s="69">
        <v>9.9966147596479349</v>
      </c>
      <c r="W273" s="69">
        <v>132.44483576024382</v>
      </c>
      <c r="X273" s="30">
        <f>IF(AF273="DoEV",IF(AND(V273&lt;20,W273&lt;55),0.3,0)+IF(AND(V273&lt;20,W273&gt;=55,W273&lt;105),0.23,0)+IF(AND(V273&lt;20,W273&gt;=105),0.17,0)+IF(AND(V273&gt;=20,V273&lt;40,W273&lt;45),0.3,0)+IF(AND(V273&gt;=20,V273&lt;40,W273&gt;=45,W273&lt;95),0.23,0)+IF(AND(V273&gt;=20,V273&lt;40,W273&gt;=95),0.17,0)+IF(AND(V273&gt;=40,V273&lt;75,W273&lt;35),0.3,0)+IF(AND(V273&gt;=40,V273&lt;75,W273&gt;=35,W273&lt;75),0.23,0)+IF(AND(V273&gt;=40,V273&lt;75,W273&gt;=75,W273&lt;120),0.17,0)+IF(AND(V273&gt;=40,V273&lt;75,W273&gt;=120),0.12,0)+IF(AND(V273&gt;=75,V273&lt;175,W273&lt;35),0.3,0)+IF(AND(V273&gt;=75,V273&lt;=175,W273&gt;=35,W273&lt;65),0.23,0)+IF(AND(V273&gt;=75,V273&lt;=175,W273&gt;=65,W273&lt;110),0.17,0)+IF(AND(V273&gt;=75,V273&lt;=175,W273&gt;=110),0.12,0)+IF(AND(V273&gt;175,W273&lt;25),0.3,0)+IF(AND(V273&gt;175,W273&gt;=25,W273&lt;55),0.23,0)+IF(AND(V273&gt;175,W273&gt;=55,W273&lt;95),0.17,0)+IF(AND(V273&gt;175,W273&gt;=95),0.12,0),
IF(AF273="Fix15",0.15,
IF(AF273="Fix11.25",0.1125,
IF(AF273="Fix10",0.1,
IF(AF273="Fix9",0.09,
IF(AF273="DoEV2017",IF(AND(W273&lt;74),0.2,0)+IF(AND(W273&gt;=74),0.17,0),
IF(AF273="SF",IF(AND(V273&lt;20,W273&lt;89),0.3,0)+IF(AND(V273&lt;20,W273&gt;=89),0.25,0)+IF(AND(V273&gt;=20,V273&lt;40,W273&lt;74),0.3,0)+IF(AND(V273&gt;=20,V273&lt;40,W273&gt;=75),0.22,0)+IF(AND(V273&gt;=40,V273&lt;75,W273&lt;75),0.26,0)+IF(AND(V273&gt;=40,V273&lt;75,W273&gt;=75),0.22,0)+IF(V273&gt;=75,0.22,0),
IF(AF273="DoEVold",IF(AND(V273&lt;40,W273&lt;35),0.35,0)+IF(AND(V273&lt;40,W273&gt;=35,W273&lt;75),0.25,0)+IF(AND(V273&lt;40,W273&gt;=75),0.17,0)+IF(AND(V273&gt;=40,V273&lt;75,W273&lt;25),0.35,0)+IF(AND(V273&gt;=40,V273&lt;75,W273&gt;=25,W273&lt;65),0.25,0)+IF(AND(V273&gt;=40,V273&lt;75,W273&gt;=65,W273&lt;100),0.17,0)+IF(AND(V273&gt;=40,V273&lt;75,W273&gt;=100),0.1,0)+IF(AND(V273&gt;=75,W273&lt;25),0.35,0)+IF(AND(V273&gt;=75,W273&gt;=25,W273&lt;60),0.25,0)+IF(AND(V273&gt;=75,W273&gt;=60,W273&lt;95),0.17,0)+IF(AND(V273&gt;=75,W273&gt;=95),0.1,0),
IF(AF273="DoEVold15",IF(AND(V273&lt;=40,W273&lt;35),0.35,0)+IF(AND(V273&lt;=40,W273&gt;=35,W273&lt;75),0.25,0)+IF(AND(V273&lt;=40,W273&gt;=75,W273&lt;120),0.17,0)+IF(AND(V273&lt;=40,W273&gt;=120),0.15,0)+IF(AND(V273&gt;40,V273&lt;75,W273&lt;25),0.35,0)+IF(AND(V273&gt;=40,V273&lt;75,W273&gt;=25,W273&lt;65),0.25,0)+IF(AND(V273&gt;=40,V273&lt;75,W273&gt;=65,W273&lt;100),0.17,0)+IF(AND(V273&gt;=40,V273&lt;75,W273&gt;=100),0.1,0)+IF(AND(V273&gt;=75,W273&lt;25),0.35,0)+IF(AND(V273&gt;=75,W273&gt;=25,W273&lt;60),0.25,0)+IF(AND(V273&gt;=75,W273&gt;=60,W273&lt;95),0.17,0)+IF(AND(V273&gt;=75,W273&gt;=95),0.1,0),
IF(AF273="DoEVba",IF(AND(V273&lt;20,W273&lt;105),0.2,0)+IF(AND(V273&lt;20,W273&gt;=105),0.15,0)+IF(AND(V273&gt;=20,V273&lt;40,W273&lt;95),0.2,0)+IF(AND(V273&gt;=20,V273&lt;40,W273&gt;=95,W273&lt;150),0.15,0)+IF(AND(V273&gt;=20,V273&lt;40,W273&gt;=150),0.12,0)+IF(AND(V273&gt;=40,V273&lt;75,W273&lt;75),0.2,0)+IF(AND(V273&gt;=40,V273&lt;75,W273&gt;=75,W273&lt;120),0.15,0)+IF(AND(V273&gt;=40,V273&lt;75,W273&gt;=120),0.12,0)+IF(AND(V273&gt;=75,V273&lt;175,W273&lt;65),0.2,0)+IF(AND(V273&gt;=75,V273&lt;175,W273&gt;=65,W273&lt;110),0.15,0)+IF(AND(V273&gt;=75,V273&lt;175,W273&gt;=110),0.12,0)+IF(AND(V273&gt;=175,W273&lt;55),0.2,0)+IF(AND(V273&gt;=175,W273&gt;=55,W273&lt;95),0.15,0)+IF(AND(V273&gt;=175,W273&gt;=95),0.12,0),
IF(AF273="DoEVku",IF(AND(V273&lt;20,W273&lt;55),0.23,0)+IF(AND(V273&lt;20,W273&gt;=55,W273&lt;105),0.2,0)+IF(AND(V273&lt;20,W273&gt;=105),0.17,0)+IF(AND(V273&gt;=20,V273&lt;40,W273&lt;45),0.23,0)+IF(AND(V273&gt;=20,V273&lt;40,W273&gt;=45,W273&lt;95),0.2,0)+IF(AND(V273&gt;=20,V273&lt;40,W273&gt;=95,W273&lt;=150),0.17,0)+IF(AND(V273&gt;=20,V273&lt;40,W273&gt;=150),0.12,0)+IF(AND(V273&gt;=40,V273&lt;75,W273&lt;35),0.23,0)+IF(AND(V273&gt;=40,V273&lt;75,W273&gt;=35,W273&lt;75),0.2,0)+IF(AND(V273&gt;=40,V273&lt;75,W273&gt;=75,W273&lt;120),0.17,0)+IF(AND(V273&gt;=40,V273&lt;75,W273&gt;=120),0.12,0)+IF(AND(V273&gt;=75,V273&lt;175,W273&lt;35),0.23,0)+IF(AND(V273&gt;=75,V273&lt;=175,W273&gt;=35,W273&lt;65),0.2,0)+IF(AND(V273&gt;=75,V273&lt;=175,W273&gt;=65,W273&lt;110),0.17,0)+IF(AND(V273&gt;=75,V273&lt;=175,W273&gt;=110),0.12,0)+IF(AND(V273&gt;175,W273&lt;25),0.23,0)+IF(AND(V273&gt;175,W273&gt;=25,W273&lt;55),0.2,0)+IF(AND(V273&gt;175,W273&gt;=55,W273&lt;95),0.17,0)+IF(AND(V273&gt;175,W273&gt;=95),0.12,0),
IF(AF273="DoEVs1",IF(AND(V273&lt;20,W273&lt;55),0.3,0)+IF(AND(V273&lt;20,W273&gt;=55,W273&lt;105),0.23,0)+IF(AND(V273&lt;20,W273&gt;=105),0.17,0)+IF(AND(V273&gt;=20,V273&lt;40,W273&lt;45),0.3,0)+IF(AND(V273&gt;=20,V273&lt;40,W273&gt;=45,W273&lt;95),0.23,0)+IF(AND(V273&gt;=20,V273&lt;40,W273&gt;=95,W273&lt;=150),0.17,0)+IF(AND(V273&gt;=20,V273&lt;40,W273&gt;=150),0.12,0)+IF(AND(V273&gt;=40,V273&lt;75,W273&lt;35),0.3,0)+IF(AND(V273&gt;=40,V273&lt;75,W273&gt;=35,W273&lt;75),0.23,0)+IF(AND(V273&gt;=40,V273&lt;75,W273&gt;=75,W273&lt;120),0.17,0)+IF(AND(V273&gt;=40,V273&lt;75,W273&gt;=120),0.12,0)+IF(AND(V273&gt;=75,V273&lt;175,W273&lt;35),0.3,0)+IF(AND(V273&gt;=75,V273&lt;=175,W273&gt;=35,W273&lt;65),0.23,0)+IF(AND(V273&gt;=75,V273&lt;=175,W273&gt;=65,W273&lt;110),0.17,0)+IF(AND(V273&gt;=75,V273&lt;=175,W273&gt;=110),0.12,0)+IF(AND(V273&gt;175,W273&lt;25),0.3,0)+IF(AND(V273&gt;175,W273&gt;=25,W273&lt;55),0.23,0)+IF(AND(V273&gt;175,W273&gt;=55,W273&lt;95),0.17,0)+IF(AND(V273&gt;175,W273&gt;=95),0.12,0),
IF(AF273="DoEVsu",IF(AND(V273&lt;20,W273&lt;55),0.3,0)+IF(AND(V273&lt;20,W273&gt;=55,W273&lt;105),0.23,0)+IF(AND(V273&lt;20,W273&gt;=105),0.17,0)+IF(AND(V273&gt;=20,V273&lt;40,W273&lt;45),0.3,0)+IF(AND(V273&gt;=20,V273&lt;40,W273&gt;=45,W273&lt;95),0.23,0)+IF(AND(V273&gt;=20,V273&lt;40,W273&gt;=95,W273&lt;=250),0.17,0)+IF(AND(V273&gt;=20,V273&lt;40,W273&gt;=250),0.12,0)+IF(AND(V273&gt;=40,V273&lt;75,W273&lt;35),0.3,0)+IF(AND(V273&gt;=40,V273&lt;75,W273&gt;=35,W273&lt;75),0.23,0)+IF(AND(V273&gt;=40,V273&lt;75,W273&gt;=75,W273&lt;120),0.17,0)+IF(AND(V273&gt;=40,V273&lt;75,W273&gt;=120),0.12,0)+IF(AND(V273&gt;=75,V273&lt;175,W273&lt;35),0.3,0)+IF(AND(V273&gt;=75,V273&lt;=175,W273&gt;=35,W273&lt;65),0.23,0)+IF(AND(V273&gt;=75,V273&lt;=175,W273&gt;=65,W273&lt;110),0.17,0)+IF(AND(V273&gt;=75,V273&lt;=175,W273&gt;=110),0.12,0)+IF(AND(V273&gt;175,W273&lt;25),0.3,0)+IF(AND(V273&gt;175,W273&gt;=25,W273&lt;55),0.23,0)+IF(AND(V273&gt;175,W273&gt;=55,W273&lt;95),0.17,0)+IF(AND(V273&gt;175,W273&gt;=95),0.12,0),
IF(AF273="DoEVni",IF(AND(V273&lt;20,W273&lt;55),0.3,0)+IF(AND(V273&lt;20,W273&gt;=55,W273&lt;105),0.23,0)+IF(AND(V273&lt;20,W273&gt;=105),0.17,0)+IF(AND(V273&gt;=20,V273&lt;40,W273&lt;45),0.3,0)+IF(AND(V273&gt;=20,V273&lt;40,W273&gt;=45,W273&lt;95),0.23,0)+IF(AND(V273&gt;=20,V273&lt;40,W273&gt;=95,W273&lt;=200),0.17,0)+IF(AND(V273&gt;=20,V273&lt;40,W273&gt;=200),0.12,0)+IF(AND(V273&gt;=40,V273&lt;75,W273&lt;35),0.3,0)+IF(AND(V273&gt;=40,V273&lt;75,W273&gt;=35,W273&lt;75),0.23,0)+IF(AND(V273&gt;=40,V273&lt;75,W273&gt;=75,W273&lt;120),0.17,0)+IF(AND(V273&gt;=40,V273&lt;75,W273&gt;=120),0.12,0)+IF(AND(V273&gt;=75,V273&lt;175,W273&lt;35),0.3,0)+IF(AND(V273&gt;=75,V273&lt;=175,W273&gt;=35,W273&lt;65),0.23,0)+IF(AND(V273&gt;=75,V273&lt;=175,W273&gt;=65,W273&lt;110),0.17,0)+IF(AND(V273&gt;=75,V273&lt;=175,W273&gt;=110),0.12,0)+IF(AND(V273&gt;175,W273&lt;25),0.3,0)+IF(AND(V273&gt;175,W273&gt;=25,W273&lt;55),0.23,0)+IF(AND(V273&gt;175,W273&gt;=55,W273&lt;95),0.17,0)+IF(AND(V273&gt;175,W273&gt;=95),0.12,0),
IF(AF273="DoEVLo",IF(AND(V273&lt;20,W273&lt;55),0.25,0)+IF(AND(V273&lt;20,W273&gt;=55,W273&lt;105),0.2,0)+IF(AND(V273&lt;20,W273&gt;=105),0.15,0)+IF(AND(V273&gt;=20,V273&lt;40,W273&lt;45),0.25,0)+IF(AND(V273&gt;=20,V273&lt;40,W273&gt;=45,W273&lt;95),0.2,0)+IF(AND(V273&gt;=20,V273&lt;40,W273&gt;=95),0.15,0)+IF(AND(V273&gt;=40,V273&lt;75,W273&lt;35),0.25,0)+IF(AND(V273&gt;=40,V273&lt;75,W273&gt;=35,W273&lt;75),0.2,0)+IF(AND(V273&gt;=40,V273&lt;75,W273&gt;=75,W273&lt;120),0.15,0)+IF(AND(V273&gt;=40,V273&lt;75,W273&gt;=120),0.1,0)+IF(AND(V273&gt;=75,V273&lt;175,W273&lt;35),0.25,0)+IF(AND(V273&gt;=75,V273&lt;=175,W273&gt;=35,W273&lt;65),0.2,0)+IF(AND(V273&gt;=75,V273&lt;=175,W273&gt;=65,W273&lt;110),0.15,0)+IF(AND(V273&gt;=75,V273&lt;=175,W273&gt;=110),0.1,0)+IF(AND(V273&gt;175,W273&lt;25),0.25,0)+IF(AND(V273&gt;175,W273&gt;=25,W273&lt;55),0.2,0)+IF(AND(V273&gt;175,W273&gt;=55,W273&lt;95),0.15,0)+IF(AND(V273&gt;175,W273&gt;=95),0.1,0))))))))))))))))</f>
        <v>0.25</v>
      </c>
      <c r="Y273" s="30">
        <f>IF(AG273="None",0,IF(AG273="Fix5",0.05,IF(AG273="Fix3.75",0.0375,IF(AG273="Fix10",0.1,IF(AG273="Fix3",0.03,0)))))</f>
        <v>0</v>
      </c>
      <c r="Z273" s="35">
        <f>T273-AA273-AB273</f>
        <v>-2.25</v>
      </c>
      <c r="AA273" s="29">
        <f>IF(AD273="EUR",((T273-R273)*X273)*U273+(R273*X273),(T273*X273))</f>
        <v>-0.75</v>
      </c>
      <c r="AB273" s="36">
        <f>IF(AD273="EUR",((T273-R273)*Y273)*U273+(R273*Y273),(T273*Y273))</f>
        <v>0</v>
      </c>
      <c r="AC273" s="37" t="b">
        <v>1</v>
      </c>
      <c r="AD273" s="37" t="s">
        <v>38</v>
      </c>
      <c r="AE273" s="37" t="s">
        <v>38</v>
      </c>
      <c r="AF273" s="37" t="str">
        <f t="array" ref="AF273">INDEX('Deal Info'!D:D, MATCH(A273,'Deal Info'!A:A, 0))</f>
        <v>SF</v>
      </c>
      <c r="AG273" s="38" t="str">
        <f t="array" ref="AG273">INDEX('Deal Info'!G:G, MATCH(A273,'Deal Info'!A:A, 0))</f>
        <v>None</v>
      </c>
    </row>
    <row r="274" spans="1:33" ht="14.25" hidden="1" x14ac:dyDescent="0.2">
      <c r="A274" s="18" t="str">
        <f t="array" ref="A274">IF(G274='Room Info'!$B$1, INDEX('Room Info'!$A$2:$A2446, MATCH(B274,'Room Info'!$B$2:$B2446, 0)),IF(G274='Room Info'!$C$1, INDEX('Room Info'!$A$2:$A2446, MATCH(B274,'Room Info'!$C$2:$C2446, 0)),IF(G274='Room Info'!$D$1, INDEX('Room Info'!$A$2:$A2446, MATCH(B274,'Room Info'!$D$2:$D2446, 0)),IF(G274='Room Info'!$E$1, INDEX('Room Info'!$A$2:$A2446, MATCH(B274,'Room Info'!$E$2:$E2446, 0)),IF(G274='Room Info'!$F$1, INDEX('Room Info'!$A$2:$A2446, MATCH(B274,'Room Info'!$F$2:$F2446, 0)),IF(G274='Room Info'!$H$1, INDEX('Room Info'!$A$2:$A2446, MATCH(B274,'Room Info'!$H$2:$H2446, 0)),IF(G274='Room Info'!$G$1, INDEX('Room Info'!$A$2:$A2446, MATCH(B274,'Room Info'!$G$2:$G2446, 0)))))))))</f>
        <v>Mexanuk_AV</v>
      </c>
      <c r="B274" s="45" t="s">
        <v>113</v>
      </c>
      <c r="C274" s="92">
        <v>44733</v>
      </c>
      <c r="D274" s="46">
        <v>44762</v>
      </c>
      <c r="E274" s="47">
        <v>44743</v>
      </c>
      <c r="F274" s="45" t="s">
        <v>34</v>
      </c>
      <c r="G274" s="45" t="s">
        <v>35</v>
      </c>
      <c r="H274" s="49" t="s">
        <v>40</v>
      </c>
      <c r="I274" s="49" t="s">
        <v>37</v>
      </c>
      <c r="J274" s="70">
        <v>10</v>
      </c>
      <c r="K274" s="71">
        <v>2952</v>
      </c>
      <c r="L274" s="52">
        <v>-760</v>
      </c>
      <c r="M274" s="53">
        <v>1825</v>
      </c>
      <c r="N274" s="28">
        <f>K274*J274</f>
        <v>29520</v>
      </c>
      <c r="O274" s="54">
        <v>94078</v>
      </c>
      <c r="P274" s="29">
        <v>31.86924119</v>
      </c>
      <c r="Q274" s="55"/>
      <c r="R274" s="31">
        <f>M274+Q274</f>
        <v>1825</v>
      </c>
      <c r="S274" s="56">
        <v>-498</v>
      </c>
      <c r="T274" s="32">
        <f>R274+S274+IF(F274="Without EV deal",L274,0)</f>
        <v>1327</v>
      </c>
      <c r="U274" s="57">
        <v>1</v>
      </c>
      <c r="V274" s="69">
        <v>9.9966147596479349</v>
      </c>
      <c r="W274" s="69">
        <v>132.44483576024382</v>
      </c>
      <c r="X274" s="30">
        <f>IF(AF274="DoEV",IF(AND(V274&lt;20,W274&lt;55),0.3,0)+IF(AND(V274&lt;20,W274&gt;=55,W274&lt;105),0.23,0)+IF(AND(V274&lt;20,W274&gt;=105),0.17,0)+IF(AND(V274&gt;=20,V274&lt;40,W274&lt;45),0.3,0)+IF(AND(V274&gt;=20,V274&lt;40,W274&gt;=45,W274&lt;95),0.23,0)+IF(AND(V274&gt;=20,V274&lt;40,W274&gt;=95),0.17,0)+IF(AND(V274&gt;=40,V274&lt;75,W274&lt;35),0.3,0)+IF(AND(V274&gt;=40,V274&lt;75,W274&gt;=35,W274&lt;75),0.23,0)+IF(AND(V274&gt;=40,V274&lt;75,W274&gt;=75,W274&lt;120),0.17,0)+IF(AND(V274&gt;=40,V274&lt;75,W274&gt;=120),0.12,0)+IF(AND(V274&gt;=75,V274&lt;175,W274&lt;35),0.3,0)+IF(AND(V274&gt;=75,V274&lt;=175,W274&gt;=35,W274&lt;65),0.23,0)+IF(AND(V274&gt;=75,V274&lt;=175,W274&gt;=65,W274&lt;110),0.17,0)+IF(AND(V274&gt;=75,V274&lt;=175,W274&gt;=110),0.12,0)+IF(AND(V274&gt;175,W274&lt;25),0.3,0)+IF(AND(V274&gt;175,W274&gt;=25,W274&lt;55),0.23,0)+IF(AND(V274&gt;175,W274&gt;=55,W274&lt;95),0.17,0)+IF(AND(V274&gt;175,W274&gt;=95),0.12,0),
IF(AF274="Fix15",0.15,
IF(AF274="Fix11.25",0.1125,
IF(AF274="Fix10",0.1,
IF(AF274="Fix9",0.09,
IF(AF274="DoEV2017",IF(AND(W274&lt;74),0.2,0)+IF(AND(W274&gt;=74),0.17,0),
IF(AF274="SF",IF(AND(V274&lt;20,W274&lt;89),0.3,0)+IF(AND(V274&lt;20,W274&gt;=89),0.25,0)+IF(AND(V274&gt;=20,V274&lt;40,W274&lt;74),0.3,0)+IF(AND(V274&gt;=20,V274&lt;40,W274&gt;=75),0.22,0)+IF(AND(V274&gt;=40,V274&lt;75,W274&lt;75),0.26,0)+IF(AND(V274&gt;=40,V274&lt;75,W274&gt;=75),0.22,0)+IF(V274&gt;=75,0.22,0),
IF(AF274="DoEVold",IF(AND(V274&lt;40,W274&lt;35),0.35,0)+IF(AND(V274&lt;40,W274&gt;=35,W274&lt;75),0.25,0)+IF(AND(V274&lt;40,W274&gt;=75),0.17,0)+IF(AND(V274&gt;=40,V274&lt;75,W274&lt;25),0.35,0)+IF(AND(V274&gt;=40,V274&lt;75,W274&gt;=25,W274&lt;65),0.25,0)+IF(AND(V274&gt;=40,V274&lt;75,W274&gt;=65,W274&lt;100),0.17,0)+IF(AND(V274&gt;=40,V274&lt;75,W274&gt;=100),0.1,0)+IF(AND(V274&gt;=75,W274&lt;25),0.35,0)+IF(AND(V274&gt;=75,W274&gt;=25,W274&lt;60),0.25,0)+IF(AND(V274&gt;=75,W274&gt;=60,W274&lt;95),0.17,0)+IF(AND(V274&gt;=75,W274&gt;=95),0.1,0),
IF(AF274="DoEVold15",IF(AND(V274&lt;=40,W274&lt;35),0.35,0)+IF(AND(V274&lt;=40,W274&gt;=35,W274&lt;75),0.25,0)+IF(AND(V274&lt;=40,W274&gt;=75,W274&lt;120),0.17,0)+IF(AND(V274&lt;=40,W274&gt;=120),0.15,0)+IF(AND(V274&gt;40,V274&lt;75,W274&lt;25),0.35,0)+IF(AND(V274&gt;=40,V274&lt;75,W274&gt;=25,W274&lt;65),0.25,0)+IF(AND(V274&gt;=40,V274&lt;75,W274&gt;=65,W274&lt;100),0.17,0)+IF(AND(V274&gt;=40,V274&lt;75,W274&gt;=100),0.1,0)+IF(AND(V274&gt;=75,W274&lt;25),0.35,0)+IF(AND(V274&gt;=75,W274&gt;=25,W274&lt;60),0.25,0)+IF(AND(V274&gt;=75,W274&gt;=60,W274&lt;95),0.17,0)+IF(AND(V274&gt;=75,W274&gt;=95),0.1,0),
IF(AF274="DoEVba",IF(AND(V274&lt;20,W274&lt;105),0.2,0)+IF(AND(V274&lt;20,W274&gt;=105),0.15,0)+IF(AND(V274&gt;=20,V274&lt;40,W274&lt;95),0.2,0)+IF(AND(V274&gt;=20,V274&lt;40,W274&gt;=95,W274&lt;150),0.15,0)+IF(AND(V274&gt;=20,V274&lt;40,W274&gt;=150),0.12,0)+IF(AND(V274&gt;=40,V274&lt;75,W274&lt;75),0.2,0)+IF(AND(V274&gt;=40,V274&lt;75,W274&gt;=75,W274&lt;120),0.15,0)+IF(AND(V274&gt;=40,V274&lt;75,W274&gt;=120),0.12,0)+IF(AND(V274&gt;=75,V274&lt;175,W274&lt;65),0.2,0)+IF(AND(V274&gt;=75,V274&lt;175,W274&gt;=65,W274&lt;110),0.15,0)+IF(AND(V274&gt;=75,V274&lt;175,W274&gt;=110),0.12,0)+IF(AND(V274&gt;=175,W274&lt;55),0.2,0)+IF(AND(V274&gt;=175,W274&gt;=55,W274&lt;95),0.15,0)+IF(AND(V274&gt;=175,W274&gt;=95),0.12,0),
IF(AF274="DoEVku",IF(AND(V274&lt;20,W274&lt;55),0.23,0)+IF(AND(V274&lt;20,W274&gt;=55,W274&lt;105),0.2,0)+IF(AND(V274&lt;20,W274&gt;=105),0.17,0)+IF(AND(V274&gt;=20,V274&lt;40,W274&lt;45),0.23,0)+IF(AND(V274&gt;=20,V274&lt;40,W274&gt;=45,W274&lt;95),0.2,0)+IF(AND(V274&gt;=20,V274&lt;40,W274&gt;=95,W274&lt;=150),0.17,0)+IF(AND(V274&gt;=20,V274&lt;40,W274&gt;=150),0.12,0)+IF(AND(V274&gt;=40,V274&lt;75,W274&lt;35),0.23,0)+IF(AND(V274&gt;=40,V274&lt;75,W274&gt;=35,W274&lt;75),0.2,0)+IF(AND(V274&gt;=40,V274&lt;75,W274&gt;=75,W274&lt;120),0.17,0)+IF(AND(V274&gt;=40,V274&lt;75,W274&gt;=120),0.12,0)+IF(AND(V274&gt;=75,V274&lt;175,W274&lt;35),0.23,0)+IF(AND(V274&gt;=75,V274&lt;=175,W274&gt;=35,W274&lt;65),0.2,0)+IF(AND(V274&gt;=75,V274&lt;=175,W274&gt;=65,W274&lt;110),0.17,0)+IF(AND(V274&gt;=75,V274&lt;=175,W274&gt;=110),0.12,0)+IF(AND(V274&gt;175,W274&lt;25),0.23,0)+IF(AND(V274&gt;175,W274&gt;=25,W274&lt;55),0.2,0)+IF(AND(V274&gt;175,W274&gt;=55,W274&lt;95),0.17,0)+IF(AND(V274&gt;175,W274&gt;=95),0.12,0),
IF(AF274="DoEVs1",IF(AND(V274&lt;20,W274&lt;55),0.3,0)+IF(AND(V274&lt;20,W274&gt;=55,W274&lt;105),0.23,0)+IF(AND(V274&lt;20,W274&gt;=105),0.17,0)+IF(AND(V274&gt;=20,V274&lt;40,W274&lt;45),0.3,0)+IF(AND(V274&gt;=20,V274&lt;40,W274&gt;=45,W274&lt;95),0.23,0)+IF(AND(V274&gt;=20,V274&lt;40,W274&gt;=95,W274&lt;=150),0.17,0)+IF(AND(V274&gt;=20,V274&lt;40,W274&gt;=150),0.12,0)+IF(AND(V274&gt;=40,V274&lt;75,W274&lt;35),0.3,0)+IF(AND(V274&gt;=40,V274&lt;75,W274&gt;=35,W274&lt;75),0.23,0)+IF(AND(V274&gt;=40,V274&lt;75,W274&gt;=75,W274&lt;120),0.17,0)+IF(AND(V274&gt;=40,V274&lt;75,W274&gt;=120),0.12,0)+IF(AND(V274&gt;=75,V274&lt;175,W274&lt;35),0.3,0)+IF(AND(V274&gt;=75,V274&lt;=175,W274&gt;=35,W274&lt;65),0.23,0)+IF(AND(V274&gt;=75,V274&lt;=175,W274&gt;=65,W274&lt;110),0.17,0)+IF(AND(V274&gt;=75,V274&lt;=175,W274&gt;=110),0.12,0)+IF(AND(V274&gt;175,W274&lt;25),0.3,0)+IF(AND(V274&gt;175,W274&gt;=25,W274&lt;55),0.23,0)+IF(AND(V274&gt;175,W274&gt;=55,W274&lt;95),0.17,0)+IF(AND(V274&gt;175,W274&gt;=95),0.12,0),
IF(AF274="DoEVsu",IF(AND(V274&lt;20,W274&lt;55),0.3,0)+IF(AND(V274&lt;20,W274&gt;=55,W274&lt;105),0.23,0)+IF(AND(V274&lt;20,W274&gt;=105),0.17,0)+IF(AND(V274&gt;=20,V274&lt;40,W274&lt;45),0.3,0)+IF(AND(V274&gt;=20,V274&lt;40,W274&gt;=45,W274&lt;95),0.23,0)+IF(AND(V274&gt;=20,V274&lt;40,W274&gt;=95,W274&lt;=250),0.17,0)+IF(AND(V274&gt;=20,V274&lt;40,W274&gt;=250),0.12,0)+IF(AND(V274&gt;=40,V274&lt;75,W274&lt;35),0.3,0)+IF(AND(V274&gt;=40,V274&lt;75,W274&gt;=35,W274&lt;75),0.23,0)+IF(AND(V274&gt;=40,V274&lt;75,W274&gt;=75,W274&lt;120),0.17,0)+IF(AND(V274&gt;=40,V274&lt;75,W274&gt;=120),0.12,0)+IF(AND(V274&gt;=75,V274&lt;175,W274&lt;35),0.3,0)+IF(AND(V274&gt;=75,V274&lt;=175,W274&gt;=35,W274&lt;65),0.23,0)+IF(AND(V274&gt;=75,V274&lt;=175,W274&gt;=65,W274&lt;110),0.17,0)+IF(AND(V274&gt;=75,V274&lt;=175,W274&gt;=110),0.12,0)+IF(AND(V274&gt;175,W274&lt;25),0.3,0)+IF(AND(V274&gt;175,W274&gt;=25,W274&lt;55),0.23,0)+IF(AND(V274&gt;175,W274&gt;=55,W274&lt;95),0.17,0)+IF(AND(V274&gt;175,W274&gt;=95),0.12,0),
IF(AF274="DoEVni",IF(AND(V274&lt;20,W274&lt;55),0.3,0)+IF(AND(V274&lt;20,W274&gt;=55,W274&lt;105),0.23,0)+IF(AND(V274&lt;20,W274&gt;=105),0.17,0)+IF(AND(V274&gt;=20,V274&lt;40,W274&lt;45),0.3,0)+IF(AND(V274&gt;=20,V274&lt;40,W274&gt;=45,W274&lt;95),0.23,0)+IF(AND(V274&gt;=20,V274&lt;40,W274&gt;=95,W274&lt;=200),0.17,0)+IF(AND(V274&gt;=20,V274&lt;40,W274&gt;=200),0.12,0)+IF(AND(V274&gt;=40,V274&lt;75,W274&lt;35),0.3,0)+IF(AND(V274&gt;=40,V274&lt;75,W274&gt;=35,W274&lt;75),0.23,0)+IF(AND(V274&gt;=40,V274&lt;75,W274&gt;=75,W274&lt;120),0.17,0)+IF(AND(V274&gt;=40,V274&lt;75,W274&gt;=120),0.12,0)+IF(AND(V274&gt;=75,V274&lt;175,W274&lt;35),0.3,0)+IF(AND(V274&gt;=75,V274&lt;=175,W274&gt;=35,W274&lt;65),0.23,0)+IF(AND(V274&gt;=75,V274&lt;=175,W274&gt;=65,W274&lt;110),0.17,0)+IF(AND(V274&gt;=75,V274&lt;=175,W274&gt;=110),0.12,0)+IF(AND(V274&gt;175,W274&lt;25),0.3,0)+IF(AND(V274&gt;175,W274&gt;=25,W274&lt;55),0.23,0)+IF(AND(V274&gt;175,W274&gt;=55,W274&lt;95),0.17,0)+IF(AND(V274&gt;175,W274&gt;=95),0.12,0),
IF(AF274="DoEVLo",IF(AND(V274&lt;20,W274&lt;55),0.25,0)+IF(AND(V274&lt;20,W274&gt;=55,W274&lt;105),0.2,0)+IF(AND(V274&lt;20,W274&gt;=105),0.15,0)+IF(AND(V274&gt;=20,V274&lt;40,W274&lt;45),0.25,0)+IF(AND(V274&gt;=20,V274&lt;40,W274&gt;=45,W274&lt;95),0.2,0)+IF(AND(V274&gt;=20,V274&lt;40,W274&gt;=95),0.15,0)+IF(AND(V274&gt;=40,V274&lt;75,W274&lt;35),0.25,0)+IF(AND(V274&gt;=40,V274&lt;75,W274&gt;=35,W274&lt;75),0.2,0)+IF(AND(V274&gt;=40,V274&lt;75,W274&gt;=75,W274&lt;120),0.15,0)+IF(AND(V274&gt;=40,V274&lt;75,W274&gt;=120),0.1,0)+IF(AND(V274&gt;=75,V274&lt;175,W274&lt;35),0.25,0)+IF(AND(V274&gt;=75,V274&lt;=175,W274&gt;=35,W274&lt;65),0.2,0)+IF(AND(V274&gt;=75,V274&lt;=175,W274&gt;=65,W274&lt;110),0.15,0)+IF(AND(V274&gt;=75,V274&lt;=175,W274&gt;=110),0.1,0)+IF(AND(V274&gt;175,W274&lt;25),0.25,0)+IF(AND(V274&gt;175,W274&gt;=25,W274&lt;55),0.2,0)+IF(AND(V274&gt;175,W274&gt;=55,W274&lt;95),0.15,0)+IF(AND(V274&gt;175,W274&gt;=95),0.1,0))))))))))))))))</f>
        <v>0.25</v>
      </c>
      <c r="Y274" s="30">
        <f>IF(AG274="None",0,IF(AG274="Fix5",0.05,IF(AG274="Fix3.75",0.0375,IF(AG274="Fix10",0.1,IF(AG274="Fix3",0.03,0)))))</f>
        <v>0</v>
      </c>
      <c r="Z274" s="35">
        <f>T274-AA274-AB274</f>
        <v>995.25</v>
      </c>
      <c r="AA274" s="29">
        <f>IF(AD274="EUR",((T274-R274)*X274)*U274+(R274*X274),(T274*X274))</f>
        <v>331.75</v>
      </c>
      <c r="AB274" s="36">
        <f>IF(AD274="EUR",((T274-R274)*Y274)*U274+(R274*Y274),(T274*Y274))</f>
        <v>0</v>
      </c>
      <c r="AC274" s="37" t="b">
        <v>1</v>
      </c>
      <c r="AD274" s="37" t="s">
        <v>38</v>
      </c>
      <c r="AE274" s="37" t="s">
        <v>38</v>
      </c>
      <c r="AF274" s="37" t="str">
        <f t="array" ref="AF274">INDEX('Deal Info'!D:D, MATCH(A274,'Deal Info'!A:A, 0))</f>
        <v>SF</v>
      </c>
      <c r="AG274" s="38" t="str">
        <f t="array" ref="AG274">INDEX('Deal Info'!G:G, MATCH(A274,'Deal Info'!A:A, 0))</f>
        <v>None</v>
      </c>
    </row>
    <row r="275" spans="1:33" ht="14.25" hidden="1" x14ac:dyDescent="0.2">
      <c r="A275" s="18" t="str">
        <f t="array" ref="A275">IF(G275='Room Info'!$B$1, INDEX('Room Info'!$A$2:$A2446, MATCH(B275,'Room Info'!$B$2:$B2446, 0)),IF(G275='Room Info'!$C$1, INDEX('Room Info'!$A$2:$A2446, MATCH(B275,'Room Info'!$C$2:$C2446, 0)),IF(G275='Room Info'!$D$1, INDEX('Room Info'!$A$2:$A2446, MATCH(B275,'Room Info'!$D$2:$D2446, 0)),IF(G275='Room Info'!$E$1, INDEX('Room Info'!$A$2:$A2446, MATCH(B275,'Room Info'!$E$2:$E2446, 0)),IF(G275='Room Info'!$F$1, INDEX('Room Info'!$A$2:$A2446, MATCH(B275,'Room Info'!$F$2:$F2446, 0)),IF(G275='Room Info'!$H$1, INDEX('Room Info'!$A$2:$A2446, MATCH(B275,'Room Info'!$H$2:$H2446, 0)),IF(G275='Room Info'!$G$1, INDEX('Room Info'!$A$2:$A2446, MATCH(B275,'Room Info'!$G$2:$G2446, 0)))))))))</f>
        <v>Mexanuk_AV</v>
      </c>
      <c r="B275" s="45" t="s">
        <v>113</v>
      </c>
      <c r="C275" s="92">
        <v>44763</v>
      </c>
      <c r="D275" s="46">
        <v>44793</v>
      </c>
      <c r="E275" s="47">
        <v>44774</v>
      </c>
      <c r="F275" s="48" t="s">
        <v>34</v>
      </c>
      <c r="G275" s="45" t="s">
        <v>35</v>
      </c>
      <c r="H275" s="49" t="s">
        <v>40</v>
      </c>
      <c r="I275" s="49" t="s">
        <v>37</v>
      </c>
      <c r="J275" s="70">
        <v>10</v>
      </c>
      <c r="K275" s="71">
        <v>2673</v>
      </c>
      <c r="L275" s="52">
        <v>-1840</v>
      </c>
      <c r="M275" s="53">
        <v>165</v>
      </c>
      <c r="N275" s="28">
        <f>K275*J275</f>
        <v>26730</v>
      </c>
      <c r="O275" s="54">
        <v>47481</v>
      </c>
      <c r="P275" s="29">
        <v>17.763187429999999</v>
      </c>
      <c r="Q275" s="55"/>
      <c r="R275" s="31">
        <f>M275+Q275</f>
        <v>165</v>
      </c>
      <c r="S275" s="56">
        <v>-1085</v>
      </c>
      <c r="T275" s="32">
        <f>R275+S275+IF(F275="Without EV deal",L275,0)</f>
        <v>-920</v>
      </c>
      <c r="U275" s="57">
        <v>1</v>
      </c>
      <c r="V275" s="69">
        <v>10</v>
      </c>
      <c r="W275" s="58">
        <v>35</v>
      </c>
      <c r="X275" s="30">
        <f>IF(AF275="DoEV",IF(AND(V275&lt;20,W275&lt;55),0.3,0)+IF(AND(V275&lt;20,W275&gt;=55,W275&lt;105),0.23,0)+IF(AND(V275&lt;20,W275&gt;=105),0.17,0)+IF(AND(V275&gt;=20,V275&lt;40,W275&lt;45),0.3,0)+IF(AND(V275&gt;=20,V275&lt;40,W275&gt;=45,W275&lt;95),0.23,0)+IF(AND(V275&gt;=20,V275&lt;40,W275&gt;=95),0.17,0)+IF(AND(V275&gt;=40,V275&lt;75,W275&lt;35),0.3,0)+IF(AND(V275&gt;=40,V275&lt;75,W275&gt;=35,W275&lt;75),0.23,0)+IF(AND(V275&gt;=40,V275&lt;75,W275&gt;=75,W275&lt;120),0.17,0)+IF(AND(V275&gt;=40,V275&lt;75,W275&gt;=120),0.12,0)+IF(AND(V275&gt;=75,V275&lt;175,W275&lt;35),0.3,0)+IF(AND(V275&gt;=75,V275&lt;=175,W275&gt;=35,W275&lt;65),0.23,0)+IF(AND(V275&gt;=75,V275&lt;=175,W275&gt;=65,W275&lt;110),0.17,0)+IF(AND(V275&gt;=75,V275&lt;=175,W275&gt;=110),0.12,0)+IF(AND(V275&gt;175,W275&lt;25),0.3,0)+IF(AND(V275&gt;175,W275&gt;=25,W275&lt;55),0.23,0)+IF(AND(V275&gt;175,W275&gt;=55,W275&lt;95),0.17,0)+IF(AND(V275&gt;175,W275&gt;=95),0.12,0),
IF(AF275="Fix15",0.15,
IF(AF275="Fix11.25",0.1125,
IF(AF275="Fix10",0.1,
IF(AF275="Fix9",0.09,
IF(AF275="DoEV2017",IF(AND(W275&lt;74),0.2,0)+IF(AND(W275&gt;=74),0.17,0),
IF(AF275="SF",IF(AND(V275&lt;20,W275&lt;89),0.3,0)+IF(AND(V275&lt;20,W275&gt;=89),0.25,0)+IF(AND(V275&gt;=20,V275&lt;40,W275&lt;74),0.3,0)+IF(AND(V275&gt;=20,V275&lt;40,W275&gt;=75),0.22,0)+IF(AND(V275&gt;=40,V275&lt;75,W275&lt;75),0.26,0)+IF(AND(V275&gt;=40,V275&lt;75,W275&gt;=75),0.22,0)+IF(V275&gt;=75,0.22,0),
IF(AF275="DoEVold",IF(AND(V275&lt;40,W275&lt;35),0.35,0)+IF(AND(V275&lt;40,W275&gt;=35,W275&lt;75),0.25,0)+IF(AND(V275&lt;40,W275&gt;=75),0.17,0)+IF(AND(V275&gt;=40,V275&lt;75,W275&lt;25),0.35,0)+IF(AND(V275&gt;=40,V275&lt;75,W275&gt;=25,W275&lt;65),0.25,0)+IF(AND(V275&gt;=40,V275&lt;75,W275&gt;=65,W275&lt;100),0.17,0)+IF(AND(V275&gt;=40,V275&lt;75,W275&gt;=100),0.1,0)+IF(AND(V275&gt;=75,W275&lt;25),0.35,0)+IF(AND(V275&gt;=75,W275&gt;=25,W275&lt;60),0.25,0)+IF(AND(V275&gt;=75,W275&gt;=60,W275&lt;95),0.17,0)+IF(AND(V275&gt;=75,W275&gt;=95),0.1,0),
IF(AF275="DoEVold15",IF(AND(V275&lt;=40,W275&lt;35),0.35,0)+IF(AND(V275&lt;=40,W275&gt;=35,W275&lt;75),0.25,0)+IF(AND(V275&lt;=40,W275&gt;=75,W275&lt;120),0.17,0)+IF(AND(V275&lt;=40,W275&gt;=120),0.15,0)+IF(AND(V275&gt;40,V275&lt;75,W275&lt;25),0.35,0)+IF(AND(V275&gt;=40,V275&lt;75,W275&gt;=25,W275&lt;65),0.25,0)+IF(AND(V275&gt;=40,V275&lt;75,W275&gt;=65,W275&lt;100),0.17,0)+IF(AND(V275&gt;=40,V275&lt;75,W275&gt;=100),0.1,0)+IF(AND(V275&gt;=75,W275&lt;25),0.35,0)+IF(AND(V275&gt;=75,W275&gt;=25,W275&lt;60),0.25,0)+IF(AND(V275&gt;=75,W275&gt;=60,W275&lt;95),0.17,0)+IF(AND(V275&gt;=75,W275&gt;=95),0.1,0),
IF(AF275="DoEVba",IF(AND(V275&lt;20,W275&lt;105),0.2,0)+IF(AND(V275&lt;20,W275&gt;=105),0.15,0)+IF(AND(V275&gt;=20,V275&lt;40,W275&lt;95),0.2,0)+IF(AND(V275&gt;=20,V275&lt;40,W275&gt;=95,W275&lt;150),0.15,0)+IF(AND(V275&gt;=20,V275&lt;40,W275&gt;=150),0.12,0)+IF(AND(V275&gt;=40,V275&lt;75,W275&lt;75),0.2,0)+IF(AND(V275&gt;=40,V275&lt;75,W275&gt;=75,W275&lt;120),0.15,0)+IF(AND(V275&gt;=40,V275&lt;75,W275&gt;=120),0.12,0)+IF(AND(V275&gt;=75,V275&lt;175,W275&lt;65),0.2,0)+IF(AND(V275&gt;=75,V275&lt;175,W275&gt;=65,W275&lt;110),0.15,0)+IF(AND(V275&gt;=75,V275&lt;175,W275&gt;=110),0.12,0)+IF(AND(V275&gt;=175,W275&lt;55),0.2,0)+IF(AND(V275&gt;=175,W275&gt;=55,W275&lt;95),0.15,0)+IF(AND(V275&gt;=175,W275&gt;=95),0.12,0),
IF(AF275="DoEVku",IF(AND(V275&lt;20,W275&lt;55),0.23,0)+IF(AND(V275&lt;20,W275&gt;=55,W275&lt;105),0.2,0)+IF(AND(V275&lt;20,W275&gt;=105),0.17,0)+IF(AND(V275&gt;=20,V275&lt;40,W275&lt;45),0.23,0)+IF(AND(V275&gt;=20,V275&lt;40,W275&gt;=45,W275&lt;95),0.2,0)+IF(AND(V275&gt;=20,V275&lt;40,W275&gt;=95,W275&lt;=150),0.17,0)+IF(AND(V275&gt;=20,V275&lt;40,W275&gt;=150),0.12,0)+IF(AND(V275&gt;=40,V275&lt;75,W275&lt;35),0.23,0)+IF(AND(V275&gt;=40,V275&lt;75,W275&gt;=35,W275&lt;75),0.2,0)+IF(AND(V275&gt;=40,V275&lt;75,W275&gt;=75,W275&lt;120),0.17,0)+IF(AND(V275&gt;=40,V275&lt;75,W275&gt;=120),0.12,0)+IF(AND(V275&gt;=75,V275&lt;175,W275&lt;35),0.23,0)+IF(AND(V275&gt;=75,V275&lt;=175,W275&gt;=35,W275&lt;65),0.2,0)+IF(AND(V275&gt;=75,V275&lt;=175,W275&gt;=65,W275&lt;110),0.17,0)+IF(AND(V275&gt;=75,V275&lt;=175,W275&gt;=110),0.12,0)+IF(AND(V275&gt;175,W275&lt;25),0.23,0)+IF(AND(V275&gt;175,W275&gt;=25,W275&lt;55),0.2,0)+IF(AND(V275&gt;175,W275&gt;=55,W275&lt;95),0.17,0)+IF(AND(V275&gt;175,W275&gt;=95),0.12,0),
IF(AF275="DoEVs1",IF(AND(V275&lt;20,W275&lt;55),0.3,0)+IF(AND(V275&lt;20,W275&gt;=55,W275&lt;105),0.23,0)+IF(AND(V275&lt;20,W275&gt;=105),0.17,0)+IF(AND(V275&gt;=20,V275&lt;40,W275&lt;45),0.3,0)+IF(AND(V275&gt;=20,V275&lt;40,W275&gt;=45,W275&lt;95),0.23,0)+IF(AND(V275&gt;=20,V275&lt;40,W275&gt;=95,W275&lt;=150),0.17,0)+IF(AND(V275&gt;=20,V275&lt;40,W275&gt;=150),0.12,0)+IF(AND(V275&gt;=40,V275&lt;75,W275&lt;35),0.3,0)+IF(AND(V275&gt;=40,V275&lt;75,W275&gt;=35,W275&lt;75),0.23,0)+IF(AND(V275&gt;=40,V275&lt;75,W275&gt;=75,W275&lt;120),0.17,0)+IF(AND(V275&gt;=40,V275&lt;75,W275&gt;=120),0.12,0)+IF(AND(V275&gt;=75,V275&lt;175,W275&lt;35),0.3,0)+IF(AND(V275&gt;=75,V275&lt;=175,W275&gt;=35,W275&lt;65),0.23,0)+IF(AND(V275&gt;=75,V275&lt;=175,W275&gt;=65,W275&lt;110),0.17,0)+IF(AND(V275&gt;=75,V275&lt;=175,W275&gt;=110),0.12,0)+IF(AND(V275&gt;175,W275&lt;25),0.3,0)+IF(AND(V275&gt;175,W275&gt;=25,W275&lt;55),0.23,0)+IF(AND(V275&gt;175,W275&gt;=55,W275&lt;95),0.17,0)+IF(AND(V275&gt;175,W275&gt;=95),0.12,0),
IF(AF275="DoEVsu",IF(AND(V275&lt;20,W275&lt;55),0.3,0)+IF(AND(V275&lt;20,W275&gt;=55,W275&lt;105),0.23,0)+IF(AND(V275&lt;20,W275&gt;=105),0.17,0)+IF(AND(V275&gt;=20,V275&lt;40,W275&lt;45),0.3,0)+IF(AND(V275&gt;=20,V275&lt;40,W275&gt;=45,W275&lt;95),0.23,0)+IF(AND(V275&gt;=20,V275&lt;40,W275&gt;=95,W275&lt;=250),0.17,0)+IF(AND(V275&gt;=20,V275&lt;40,W275&gt;=250),0.12,0)+IF(AND(V275&gt;=40,V275&lt;75,W275&lt;35),0.3,0)+IF(AND(V275&gt;=40,V275&lt;75,W275&gt;=35,W275&lt;75),0.23,0)+IF(AND(V275&gt;=40,V275&lt;75,W275&gt;=75,W275&lt;120),0.17,0)+IF(AND(V275&gt;=40,V275&lt;75,W275&gt;=120),0.12,0)+IF(AND(V275&gt;=75,V275&lt;175,W275&lt;35),0.3,0)+IF(AND(V275&gt;=75,V275&lt;=175,W275&gt;=35,W275&lt;65),0.23,0)+IF(AND(V275&gt;=75,V275&lt;=175,W275&gt;=65,W275&lt;110),0.17,0)+IF(AND(V275&gt;=75,V275&lt;=175,W275&gt;=110),0.12,0)+IF(AND(V275&gt;175,W275&lt;25),0.3,0)+IF(AND(V275&gt;175,W275&gt;=25,W275&lt;55),0.23,0)+IF(AND(V275&gt;175,W275&gt;=55,W275&lt;95),0.17,0)+IF(AND(V275&gt;175,W275&gt;=95),0.12,0),
IF(AF275="DoEVni",IF(AND(V275&lt;20,W275&lt;55),0.3,0)+IF(AND(V275&lt;20,W275&gt;=55,W275&lt;105),0.23,0)+IF(AND(V275&lt;20,W275&gt;=105),0.17,0)+IF(AND(V275&gt;=20,V275&lt;40,W275&lt;45),0.3,0)+IF(AND(V275&gt;=20,V275&lt;40,W275&gt;=45,W275&lt;95),0.23,0)+IF(AND(V275&gt;=20,V275&lt;40,W275&gt;=95,W275&lt;=200),0.17,0)+IF(AND(V275&gt;=20,V275&lt;40,W275&gt;=200),0.12,0)+IF(AND(V275&gt;=40,V275&lt;75,W275&lt;35),0.3,0)+IF(AND(V275&gt;=40,V275&lt;75,W275&gt;=35,W275&lt;75),0.23,0)+IF(AND(V275&gt;=40,V275&lt;75,W275&gt;=75,W275&lt;120),0.17,0)+IF(AND(V275&gt;=40,V275&lt;75,W275&gt;=120),0.12,0)+IF(AND(V275&gt;=75,V275&lt;175,W275&lt;35),0.3,0)+IF(AND(V275&gt;=75,V275&lt;=175,W275&gt;=35,W275&lt;65),0.23,0)+IF(AND(V275&gt;=75,V275&lt;=175,W275&gt;=65,W275&lt;110),0.17,0)+IF(AND(V275&gt;=75,V275&lt;=175,W275&gt;=110),0.12,0)+IF(AND(V275&gt;175,W275&lt;25),0.3,0)+IF(AND(V275&gt;175,W275&gt;=25,W275&lt;55),0.23,0)+IF(AND(V275&gt;175,W275&gt;=55,W275&lt;95),0.17,0)+IF(AND(V275&gt;175,W275&gt;=95),0.12,0),
IF(AF275="DoEVLo",IF(AND(V275&lt;20,W275&lt;55),0.25,0)+IF(AND(V275&lt;20,W275&gt;=55,W275&lt;105),0.2,0)+IF(AND(V275&lt;20,W275&gt;=105),0.15,0)+IF(AND(V275&gt;=20,V275&lt;40,W275&lt;45),0.25,0)+IF(AND(V275&gt;=20,V275&lt;40,W275&gt;=45,W275&lt;95),0.2,0)+IF(AND(V275&gt;=20,V275&lt;40,W275&gt;=95),0.15,0)+IF(AND(V275&gt;=40,V275&lt;75,W275&lt;35),0.25,0)+IF(AND(V275&gt;=40,V275&lt;75,W275&gt;=35,W275&lt;75),0.2,0)+IF(AND(V275&gt;=40,V275&lt;75,W275&gt;=75,W275&lt;120),0.15,0)+IF(AND(V275&gt;=40,V275&lt;75,W275&gt;=120),0.1,0)+IF(AND(V275&gt;=75,V275&lt;175,W275&lt;35),0.25,0)+IF(AND(V275&gt;=75,V275&lt;=175,W275&gt;=35,W275&lt;65),0.2,0)+IF(AND(V275&gt;=75,V275&lt;=175,W275&gt;=65,W275&lt;110),0.15,0)+IF(AND(V275&gt;=75,V275&lt;=175,W275&gt;=110),0.1,0)+IF(AND(V275&gt;175,W275&lt;25),0.25,0)+IF(AND(V275&gt;175,W275&gt;=25,W275&lt;55),0.2,0)+IF(AND(V275&gt;175,W275&gt;=55,W275&lt;95),0.15,0)+IF(AND(V275&gt;175,W275&gt;=95),0.1,0))))))))))))))))</f>
        <v>0.3</v>
      </c>
      <c r="Y275" s="30">
        <f>IF(AG275="None",0,IF(AG275="Fix5",0.05,IF(AG275="Fix3.75",0.0375,IF(AG275="Fix10",0.1,IF(AG275="Fix3",0.03,0)))))</f>
        <v>0</v>
      </c>
      <c r="Z275" s="35">
        <f>T275-AA275-AB275</f>
        <v>-644</v>
      </c>
      <c r="AA275" s="29">
        <f>IF(AD275="EUR",((T275-R275)*X275)*U275+(R275*X275),(T275*X275))</f>
        <v>-276</v>
      </c>
      <c r="AB275" s="36">
        <f>IF(AD275="EUR",((T275-R275)*Y275)*U275+(R275*Y275),(T275*Y275))</f>
        <v>0</v>
      </c>
      <c r="AC275" s="37" t="b">
        <v>1</v>
      </c>
      <c r="AD275" s="37" t="s">
        <v>38</v>
      </c>
      <c r="AE275" s="37" t="s">
        <v>38</v>
      </c>
      <c r="AF275" s="37" t="str">
        <f t="array" ref="AF275">INDEX('Deal Info'!D:D, MATCH(A275,'Deal Info'!A:A, 0))</f>
        <v>SF</v>
      </c>
      <c r="AG275" s="38" t="str">
        <f t="array" ref="AG275">INDEX('Deal Info'!G:G, MATCH(A275,'Deal Info'!A:A, 0))</f>
        <v>None</v>
      </c>
    </row>
    <row r="276" spans="1:33" ht="14.25" hidden="1" x14ac:dyDescent="0.2">
      <c r="A276" s="18" t="str">
        <f t="array" ref="A276">IF(G276='Room Info'!$B$1, INDEX('Room Info'!$A$2:$A2446, MATCH(B276,'Room Info'!$B$2:$B2446, 0)),IF(G276='Room Info'!$C$1, INDEX('Room Info'!$A$2:$A2446, MATCH(B276,'Room Info'!$C$2:$C2446, 0)),IF(G276='Room Info'!$D$1, INDEX('Room Info'!$A$2:$A2446, MATCH(B276,'Room Info'!$D$2:$D2446, 0)),IF(G276='Room Info'!$E$1, INDEX('Room Info'!$A$2:$A2446, MATCH(B276,'Room Info'!$E$2:$E2446, 0)),IF(G276='Room Info'!$F$1, INDEX('Room Info'!$A$2:$A2446, MATCH(B276,'Room Info'!$F$2:$F2446, 0)),IF(G276='Room Info'!$H$1, INDEX('Room Info'!$A$2:$A2446, MATCH(B276,'Room Info'!$H$2:$H2446, 0)),IF(G276='Room Info'!$G$1, INDEX('Room Info'!$A$2:$A2446, MATCH(B276,'Room Info'!$G$2:$G2446, 0)))))))))</f>
        <v>Mexanuk_AV</v>
      </c>
      <c r="B276" s="45" t="s">
        <v>113</v>
      </c>
      <c r="C276" s="92">
        <v>44794</v>
      </c>
      <c r="D276" s="46">
        <v>44824</v>
      </c>
      <c r="E276" s="47">
        <v>44805</v>
      </c>
      <c r="F276" s="48" t="s">
        <v>34</v>
      </c>
      <c r="G276" s="45" t="s">
        <v>35</v>
      </c>
      <c r="H276" s="49" t="s">
        <v>40</v>
      </c>
      <c r="I276" s="49" t="s">
        <v>37</v>
      </c>
      <c r="J276" s="70">
        <v>10</v>
      </c>
      <c r="K276" s="71">
        <v>3082</v>
      </c>
      <c r="L276" s="52">
        <v>-2510</v>
      </c>
      <c r="M276" s="53">
        <v>2470</v>
      </c>
      <c r="N276" s="28">
        <f>K276*J276</f>
        <v>30820</v>
      </c>
      <c r="O276" s="54">
        <v>59631</v>
      </c>
      <c r="P276" s="29">
        <v>19.34815055</v>
      </c>
      <c r="Q276" s="55"/>
      <c r="R276" s="31">
        <f>M276+Q276</f>
        <v>2470</v>
      </c>
      <c r="S276" s="56">
        <v>-1205</v>
      </c>
      <c r="T276" s="32">
        <f>R276+S276+IF(F276="Without EV deal",L276,0)</f>
        <v>1265</v>
      </c>
      <c r="U276" s="57">
        <v>1</v>
      </c>
      <c r="V276" s="69">
        <v>10</v>
      </c>
      <c r="W276" s="58">
        <v>35</v>
      </c>
      <c r="X276" s="30">
        <f>IF(AF276="DoEV",IF(AND(V276&lt;20,W276&lt;55),0.3,0)+IF(AND(V276&lt;20,W276&gt;=55,W276&lt;105),0.23,0)+IF(AND(V276&lt;20,W276&gt;=105),0.17,0)+IF(AND(V276&gt;=20,V276&lt;40,W276&lt;45),0.3,0)+IF(AND(V276&gt;=20,V276&lt;40,W276&gt;=45,W276&lt;95),0.23,0)+IF(AND(V276&gt;=20,V276&lt;40,W276&gt;=95),0.17,0)+IF(AND(V276&gt;=40,V276&lt;75,W276&lt;35),0.3,0)+IF(AND(V276&gt;=40,V276&lt;75,W276&gt;=35,W276&lt;75),0.23,0)+IF(AND(V276&gt;=40,V276&lt;75,W276&gt;=75,W276&lt;120),0.17,0)+IF(AND(V276&gt;=40,V276&lt;75,W276&gt;=120),0.12,0)+IF(AND(V276&gt;=75,V276&lt;175,W276&lt;35),0.3,0)+IF(AND(V276&gt;=75,V276&lt;=175,W276&gt;=35,W276&lt;65),0.23,0)+IF(AND(V276&gt;=75,V276&lt;=175,W276&gt;=65,W276&lt;110),0.17,0)+IF(AND(V276&gt;=75,V276&lt;=175,W276&gt;=110),0.12,0)+IF(AND(V276&gt;175,W276&lt;25),0.3,0)+IF(AND(V276&gt;175,W276&gt;=25,W276&lt;55),0.23,0)+IF(AND(V276&gt;175,W276&gt;=55,W276&lt;95),0.17,0)+IF(AND(V276&gt;175,W276&gt;=95),0.12,0),
IF(AF276="Fix15",0.15,
IF(AF276="Fix11.25",0.1125,
IF(AF276="Fix10",0.1,
IF(AF276="Fix9",0.09,
IF(AF276="DoEV2017",IF(AND(W276&lt;74),0.2,0)+IF(AND(W276&gt;=74),0.17,0),
IF(AF276="SF",IF(AND(V276&lt;20,W276&lt;89),0.3,0)+IF(AND(V276&lt;20,W276&gt;=89),0.25,0)+IF(AND(V276&gt;=20,V276&lt;40,W276&lt;74),0.3,0)+IF(AND(V276&gt;=20,V276&lt;40,W276&gt;=75),0.22,0)+IF(AND(V276&gt;=40,V276&lt;75,W276&lt;75),0.26,0)+IF(AND(V276&gt;=40,V276&lt;75,W276&gt;=75),0.22,0)+IF(V276&gt;=75,0.22,0),
IF(AF276="DoEVold",IF(AND(V276&lt;40,W276&lt;35),0.35,0)+IF(AND(V276&lt;40,W276&gt;=35,W276&lt;75),0.25,0)+IF(AND(V276&lt;40,W276&gt;=75),0.17,0)+IF(AND(V276&gt;=40,V276&lt;75,W276&lt;25),0.35,0)+IF(AND(V276&gt;=40,V276&lt;75,W276&gt;=25,W276&lt;65),0.25,0)+IF(AND(V276&gt;=40,V276&lt;75,W276&gt;=65,W276&lt;100),0.17,0)+IF(AND(V276&gt;=40,V276&lt;75,W276&gt;=100),0.1,0)+IF(AND(V276&gt;=75,W276&lt;25),0.35,0)+IF(AND(V276&gt;=75,W276&gt;=25,W276&lt;60),0.25,0)+IF(AND(V276&gt;=75,W276&gt;=60,W276&lt;95),0.17,0)+IF(AND(V276&gt;=75,W276&gt;=95),0.1,0),
IF(AF276="DoEVold15",IF(AND(V276&lt;=40,W276&lt;35),0.35,0)+IF(AND(V276&lt;=40,W276&gt;=35,W276&lt;75),0.25,0)+IF(AND(V276&lt;=40,W276&gt;=75,W276&lt;120),0.17,0)+IF(AND(V276&lt;=40,W276&gt;=120),0.15,0)+IF(AND(V276&gt;40,V276&lt;75,W276&lt;25),0.35,0)+IF(AND(V276&gt;=40,V276&lt;75,W276&gt;=25,W276&lt;65),0.25,0)+IF(AND(V276&gt;=40,V276&lt;75,W276&gt;=65,W276&lt;100),0.17,0)+IF(AND(V276&gt;=40,V276&lt;75,W276&gt;=100),0.1,0)+IF(AND(V276&gt;=75,W276&lt;25),0.35,0)+IF(AND(V276&gt;=75,W276&gt;=25,W276&lt;60),0.25,0)+IF(AND(V276&gt;=75,W276&gt;=60,W276&lt;95),0.17,0)+IF(AND(V276&gt;=75,W276&gt;=95),0.1,0),
IF(AF276="DoEVba",IF(AND(V276&lt;20,W276&lt;105),0.2,0)+IF(AND(V276&lt;20,W276&gt;=105),0.15,0)+IF(AND(V276&gt;=20,V276&lt;40,W276&lt;95),0.2,0)+IF(AND(V276&gt;=20,V276&lt;40,W276&gt;=95,W276&lt;150),0.15,0)+IF(AND(V276&gt;=20,V276&lt;40,W276&gt;=150),0.12,0)+IF(AND(V276&gt;=40,V276&lt;75,W276&lt;75),0.2,0)+IF(AND(V276&gt;=40,V276&lt;75,W276&gt;=75,W276&lt;120),0.15,0)+IF(AND(V276&gt;=40,V276&lt;75,W276&gt;=120),0.12,0)+IF(AND(V276&gt;=75,V276&lt;175,W276&lt;65),0.2,0)+IF(AND(V276&gt;=75,V276&lt;175,W276&gt;=65,W276&lt;110),0.15,0)+IF(AND(V276&gt;=75,V276&lt;175,W276&gt;=110),0.12,0)+IF(AND(V276&gt;=175,W276&lt;55),0.2,0)+IF(AND(V276&gt;=175,W276&gt;=55,W276&lt;95),0.15,0)+IF(AND(V276&gt;=175,W276&gt;=95),0.12,0),
IF(AF276="DoEVku",IF(AND(V276&lt;20,W276&lt;55),0.23,0)+IF(AND(V276&lt;20,W276&gt;=55,W276&lt;105),0.2,0)+IF(AND(V276&lt;20,W276&gt;=105),0.17,0)+IF(AND(V276&gt;=20,V276&lt;40,W276&lt;45),0.23,0)+IF(AND(V276&gt;=20,V276&lt;40,W276&gt;=45,W276&lt;95),0.2,0)+IF(AND(V276&gt;=20,V276&lt;40,W276&gt;=95,W276&lt;=150),0.17,0)+IF(AND(V276&gt;=20,V276&lt;40,W276&gt;=150),0.12,0)+IF(AND(V276&gt;=40,V276&lt;75,W276&lt;35),0.23,0)+IF(AND(V276&gt;=40,V276&lt;75,W276&gt;=35,W276&lt;75),0.2,0)+IF(AND(V276&gt;=40,V276&lt;75,W276&gt;=75,W276&lt;120),0.17,0)+IF(AND(V276&gt;=40,V276&lt;75,W276&gt;=120),0.12,0)+IF(AND(V276&gt;=75,V276&lt;175,W276&lt;35),0.23,0)+IF(AND(V276&gt;=75,V276&lt;=175,W276&gt;=35,W276&lt;65),0.2,0)+IF(AND(V276&gt;=75,V276&lt;=175,W276&gt;=65,W276&lt;110),0.17,0)+IF(AND(V276&gt;=75,V276&lt;=175,W276&gt;=110),0.12,0)+IF(AND(V276&gt;175,W276&lt;25),0.23,0)+IF(AND(V276&gt;175,W276&gt;=25,W276&lt;55),0.2,0)+IF(AND(V276&gt;175,W276&gt;=55,W276&lt;95),0.17,0)+IF(AND(V276&gt;175,W276&gt;=95),0.12,0),
IF(AF276="DoEVs1",IF(AND(V276&lt;20,W276&lt;55),0.3,0)+IF(AND(V276&lt;20,W276&gt;=55,W276&lt;105),0.23,0)+IF(AND(V276&lt;20,W276&gt;=105),0.17,0)+IF(AND(V276&gt;=20,V276&lt;40,W276&lt;45),0.3,0)+IF(AND(V276&gt;=20,V276&lt;40,W276&gt;=45,W276&lt;95),0.23,0)+IF(AND(V276&gt;=20,V276&lt;40,W276&gt;=95,W276&lt;=150),0.17,0)+IF(AND(V276&gt;=20,V276&lt;40,W276&gt;=150),0.12,0)+IF(AND(V276&gt;=40,V276&lt;75,W276&lt;35),0.3,0)+IF(AND(V276&gt;=40,V276&lt;75,W276&gt;=35,W276&lt;75),0.23,0)+IF(AND(V276&gt;=40,V276&lt;75,W276&gt;=75,W276&lt;120),0.17,0)+IF(AND(V276&gt;=40,V276&lt;75,W276&gt;=120),0.12,0)+IF(AND(V276&gt;=75,V276&lt;175,W276&lt;35),0.3,0)+IF(AND(V276&gt;=75,V276&lt;=175,W276&gt;=35,W276&lt;65),0.23,0)+IF(AND(V276&gt;=75,V276&lt;=175,W276&gt;=65,W276&lt;110),0.17,0)+IF(AND(V276&gt;=75,V276&lt;=175,W276&gt;=110),0.12,0)+IF(AND(V276&gt;175,W276&lt;25),0.3,0)+IF(AND(V276&gt;175,W276&gt;=25,W276&lt;55),0.23,0)+IF(AND(V276&gt;175,W276&gt;=55,W276&lt;95),0.17,0)+IF(AND(V276&gt;175,W276&gt;=95),0.12,0),
IF(AF276="DoEVsu",IF(AND(V276&lt;20,W276&lt;55),0.3,0)+IF(AND(V276&lt;20,W276&gt;=55,W276&lt;105),0.23,0)+IF(AND(V276&lt;20,W276&gt;=105),0.17,0)+IF(AND(V276&gt;=20,V276&lt;40,W276&lt;45),0.3,0)+IF(AND(V276&gt;=20,V276&lt;40,W276&gt;=45,W276&lt;95),0.23,0)+IF(AND(V276&gt;=20,V276&lt;40,W276&gt;=95,W276&lt;=250),0.17,0)+IF(AND(V276&gt;=20,V276&lt;40,W276&gt;=250),0.12,0)+IF(AND(V276&gt;=40,V276&lt;75,W276&lt;35),0.3,0)+IF(AND(V276&gt;=40,V276&lt;75,W276&gt;=35,W276&lt;75),0.23,0)+IF(AND(V276&gt;=40,V276&lt;75,W276&gt;=75,W276&lt;120),0.17,0)+IF(AND(V276&gt;=40,V276&lt;75,W276&gt;=120),0.12,0)+IF(AND(V276&gt;=75,V276&lt;175,W276&lt;35),0.3,0)+IF(AND(V276&gt;=75,V276&lt;=175,W276&gt;=35,W276&lt;65),0.23,0)+IF(AND(V276&gt;=75,V276&lt;=175,W276&gt;=65,W276&lt;110),0.17,0)+IF(AND(V276&gt;=75,V276&lt;=175,W276&gt;=110),0.12,0)+IF(AND(V276&gt;175,W276&lt;25),0.3,0)+IF(AND(V276&gt;175,W276&gt;=25,W276&lt;55),0.23,0)+IF(AND(V276&gt;175,W276&gt;=55,W276&lt;95),0.17,0)+IF(AND(V276&gt;175,W276&gt;=95),0.12,0),
IF(AF276="DoEVni",IF(AND(V276&lt;20,W276&lt;55),0.3,0)+IF(AND(V276&lt;20,W276&gt;=55,W276&lt;105),0.23,0)+IF(AND(V276&lt;20,W276&gt;=105),0.17,0)+IF(AND(V276&gt;=20,V276&lt;40,W276&lt;45),0.3,0)+IF(AND(V276&gt;=20,V276&lt;40,W276&gt;=45,W276&lt;95),0.23,0)+IF(AND(V276&gt;=20,V276&lt;40,W276&gt;=95,W276&lt;=200),0.17,0)+IF(AND(V276&gt;=20,V276&lt;40,W276&gt;=200),0.12,0)+IF(AND(V276&gt;=40,V276&lt;75,W276&lt;35),0.3,0)+IF(AND(V276&gt;=40,V276&lt;75,W276&gt;=35,W276&lt;75),0.23,0)+IF(AND(V276&gt;=40,V276&lt;75,W276&gt;=75,W276&lt;120),0.17,0)+IF(AND(V276&gt;=40,V276&lt;75,W276&gt;=120),0.12,0)+IF(AND(V276&gt;=75,V276&lt;175,W276&lt;35),0.3,0)+IF(AND(V276&gt;=75,V276&lt;=175,W276&gt;=35,W276&lt;65),0.23,0)+IF(AND(V276&gt;=75,V276&lt;=175,W276&gt;=65,W276&lt;110),0.17,0)+IF(AND(V276&gt;=75,V276&lt;=175,W276&gt;=110),0.12,0)+IF(AND(V276&gt;175,W276&lt;25),0.3,0)+IF(AND(V276&gt;175,W276&gt;=25,W276&lt;55),0.23,0)+IF(AND(V276&gt;175,W276&gt;=55,W276&lt;95),0.17,0)+IF(AND(V276&gt;175,W276&gt;=95),0.12,0),
IF(AF276="DoEVLo",IF(AND(V276&lt;20,W276&lt;55),0.25,0)+IF(AND(V276&lt;20,W276&gt;=55,W276&lt;105),0.2,0)+IF(AND(V276&lt;20,W276&gt;=105),0.15,0)+IF(AND(V276&gt;=20,V276&lt;40,W276&lt;45),0.25,0)+IF(AND(V276&gt;=20,V276&lt;40,W276&gt;=45,W276&lt;95),0.2,0)+IF(AND(V276&gt;=20,V276&lt;40,W276&gt;=95),0.15,0)+IF(AND(V276&gt;=40,V276&lt;75,W276&lt;35),0.25,0)+IF(AND(V276&gt;=40,V276&lt;75,W276&gt;=35,W276&lt;75),0.2,0)+IF(AND(V276&gt;=40,V276&lt;75,W276&gt;=75,W276&lt;120),0.15,0)+IF(AND(V276&gt;=40,V276&lt;75,W276&gt;=120),0.1,0)+IF(AND(V276&gt;=75,V276&lt;175,W276&lt;35),0.25,0)+IF(AND(V276&gt;=75,V276&lt;=175,W276&gt;=35,W276&lt;65),0.2,0)+IF(AND(V276&gt;=75,V276&lt;=175,W276&gt;=65,W276&lt;110),0.15,0)+IF(AND(V276&gt;=75,V276&lt;=175,W276&gt;=110),0.1,0)+IF(AND(V276&gt;175,W276&lt;25),0.25,0)+IF(AND(V276&gt;175,W276&gt;=25,W276&lt;55),0.2,0)+IF(AND(V276&gt;175,W276&gt;=55,W276&lt;95),0.15,0)+IF(AND(V276&gt;175,W276&gt;=95),0.1,0))))))))))))))))</f>
        <v>0.3</v>
      </c>
      <c r="Y276" s="30">
        <f>IF(AG276="None",0,IF(AG276="Fix5",0.05,IF(AG276="Fix3.75",0.0375,IF(AG276="Fix10",0.1,IF(AG276="Fix3",0.03,0)))))</f>
        <v>0</v>
      </c>
      <c r="Z276" s="35">
        <f>T276-AA276-AB276</f>
        <v>885.5</v>
      </c>
      <c r="AA276" s="29">
        <f>IF(AD276="EUR",((T276-R276)*X276)*U276+(R276*X276),(T276*X276))</f>
        <v>379.5</v>
      </c>
      <c r="AB276" s="36">
        <f>IF(AD276="EUR",((T276-R276)*Y276)*U276+(R276*Y276),(T276*Y276))</f>
        <v>0</v>
      </c>
      <c r="AC276" s="37" t="b">
        <v>1</v>
      </c>
      <c r="AD276" s="37" t="s">
        <v>38</v>
      </c>
      <c r="AE276" s="37" t="s">
        <v>38</v>
      </c>
      <c r="AF276" s="37" t="str">
        <f t="array" ref="AF276">INDEX('Deal Info'!D:D, MATCH(A276,'Deal Info'!A:A, 0))</f>
        <v>SF</v>
      </c>
      <c r="AG276" s="38" t="str">
        <f t="array" ref="AG276">INDEX('Deal Info'!G:G, MATCH(A276,'Deal Info'!A:A, 0))</f>
        <v>None</v>
      </c>
    </row>
    <row r="277" spans="1:33" ht="14.25" hidden="1" x14ac:dyDescent="0.2">
      <c r="A277" s="18" t="str">
        <f t="array" ref="A277">IF(G277='Room Info'!$B$1, INDEX('Room Info'!$A$2:$A2446, MATCH(B277,'Room Info'!$B$2:$B2446, 0)),IF(G277='Room Info'!$C$1, INDEX('Room Info'!$A$2:$A2446, MATCH(B277,'Room Info'!$C$2:$C2446, 0)),IF(G277='Room Info'!$D$1, INDEX('Room Info'!$A$2:$A2446, MATCH(B277,'Room Info'!$D$2:$D2446, 0)),IF(G277='Room Info'!$E$1, INDEX('Room Info'!$A$2:$A2446, MATCH(B277,'Room Info'!$E$2:$E2446, 0)),IF(G277='Room Info'!$F$1, INDEX('Room Info'!$A$2:$A2446, MATCH(B277,'Room Info'!$F$2:$F2446, 0)),IF(G277='Room Info'!$H$1, INDEX('Room Info'!$A$2:$A2446, MATCH(B277,'Room Info'!$H$2:$H2446, 0)),IF(G277='Room Info'!$G$1, INDEX('Room Info'!$A$2:$A2446, MATCH(B277,'Room Info'!$G$2:$G2446, 0)))))))))</f>
        <v>Mexanuk_AV</v>
      </c>
      <c r="B277" s="45" t="s">
        <v>113</v>
      </c>
      <c r="C277" s="92">
        <v>44825</v>
      </c>
      <c r="D277" s="46">
        <v>44854</v>
      </c>
      <c r="E277" s="47">
        <v>44835</v>
      </c>
      <c r="F277" s="48" t="s">
        <v>34</v>
      </c>
      <c r="G277" s="45" t="s">
        <v>35</v>
      </c>
      <c r="H277" s="49" t="s">
        <v>39</v>
      </c>
      <c r="I277" s="49" t="s">
        <v>37</v>
      </c>
      <c r="J277" s="70">
        <v>5</v>
      </c>
      <c r="K277" s="71">
        <v>1</v>
      </c>
      <c r="L277" s="52">
        <v>-5</v>
      </c>
      <c r="M277" s="62"/>
      <c r="N277" s="28">
        <f>K277*J277</f>
        <v>5</v>
      </c>
      <c r="O277" s="54">
        <v>98</v>
      </c>
      <c r="P277" s="29">
        <v>98</v>
      </c>
      <c r="Q277" s="55"/>
      <c r="R277" s="31">
        <f>M277+Q277</f>
        <v>0</v>
      </c>
      <c r="S277" s="56">
        <v>0</v>
      </c>
      <c r="T277" s="32">
        <f>R277+S277+IF(F277="Without EV deal",L277,0)</f>
        <v>0</v>
      </c>
      <c r="U277" s="57">
        <v>1</v>
      </c>
      <c r="V277" s="69">
        <v>9.9981968986657055</v>
      </c>
      <c r="W277" s="69">
        <v>84.215184851217302</v>
      </c>
      <c r="X277" s="30">
        <f>IF(AF277="DoEV",IF(AND(V277&lt;20,W277&lt;55),0.3,0)+IF(AND(V277&lt;20,W277&gt;=55,W277&lt;105),0.23,0)+IF(AND(V277&lt;20,W277&gt;=105),0.17,0)+IF(AND(V277&gt;=20,V277&lt;40,W277&lt;45),0.3,0)+IF(AND(V277&gt;=20,V277&lt;40,W277&gt;=45,W277&lt;95),0.23,0)+IF(AND(V277&gt;=20,V277&lt;40,W277&gt;=95),0.17,0)+IF(AND(V277&gt;=40,V277&lt;75,W277&lt;35),0.3,0)+IF(AND(V277&gt;=40,V277&lt;75,W277&gt;=35,W277&lt;75),0.23,0)+IF(AND(V277&gt;=40,V277&lt;75,W277&gt;=75,W277&lt;120),0.17,0)+IF(AND(V277&gt;=40,V277&lt;75,W277&gt;=120),0.12,0)+IF(AND(V277&gt;=75,V277&lt;175,W277&lt;35),0.3,0)+IF(AND(V277&gt;=75,V277&lt;=175,W277&gt;=35,W277&lt;65),0.23,0)+IF(AND(V277&gt;=75,V277&lt;=175,W277&gt;=65,W277&lt;110),0.17,0)+IF(AND(V277&gt;=75,V277&lt;=175,W277&gt;=110),0.12,0)+IF(AND(V277&gt;175,W277&lt;25),0.3,0)+IF(AND(V277&gt;175,W277&gt;=25,W277&lt;55),0.23,0)+IF(AND(V277&gt;175,W277&gt;=55,W277&lt;95),0.17,0)+IF(AND(V277&gt;175,W277&gt;=95),0.12,0),
IF(AF277="Fix15",0.15,
IF(AF277="Fix11.25",0.1125,
IF(AF277="Fix10",0.1,
IF(AF277="Fix9",0.09,
IF(AF277="DoEV2017",IF(AND(W277&lt;74),0.2,0)+IF(AND(W277&gt;=74),0.17,0),
IF(AF277="SF",IF(AND(V277&lt;20,W277&lt;89),0.3,0)+IF(AND(V277&lt;20,W277&gt;=89),0.25,0)+IF(AND(V277&gt;=20,V277&lt;40,W277&lt;74),0.3,0)+IF(AND(V277&gt;=20,V277&lt;40,W277&gt;=75),0.22,0)+IF(AND(V277&gt;=40,V277&lt;75,W277&lt;75),0.26,0)+IF(AND(V277&gt;=40,V277&lt;75,W277&gt;=75),0.22,0)+IF(V277&gt;=75,0.22,0),
IF(AF277="DoEVold",IF(AND(V277&lt;40,W277&lt;35),0.35,0)+IF(AND(V277&lt;40,W277&gt;=35,W277&lt;75),0.25,0)+IF(AND(V277&lt;40,W277&gt;=75),0.17,0)+IF(AND(V277&gt;=40,V277&lt;75,W277&lt;25),0.35,0)+IF(AND(V277&gt;=40,V277&lt;75,W277&gt;=25,W277&lt;65),0.25,0)+IF(AND(V277&gt;=40,V277&lt;75,W277&gt;=65,W277&lt;100),0.17,0)+IF(AND(V277&gt;=40,V277&lt;75,W277&gt;=100),0.1,0)+IF(AND(V277&gt;=75,W277&lt;25),0.35,0)+IF(AND(V277&gt;=75,W277&gt;=25,W277&lt;60),0.25,0)+IF(AND(V277&gt;=75,W277&gt;=60,W277&lt;95),0.17,0)+IF(AND(V277&gt;=75,W277&gt;=95),0.1,0),
IF(AF277="DoEVold15",IF(AND(V277&lt;=40,W277&lt;35),0.35,0)+IF(AND(V277&lt;=40,W277&gt;=35,W277&lt;75),0.25,0)+IF(AND(V277&lt;=40,W277&gt;=75,W277&lt;120),0.17,0)+IF(AND(V277&lt;=40,W277&gt;=120),0.15,0)+IF(AND(V277&gt;40,V277&lt;75,W277&lt;25),0.35,0)+IF(AND(V277&gt;=40,V277&lt;75,W277&gt;=25,W277&lt;65),0.25,0)+IF(AND(V277&gt;=40,V277&lt;75,W277&gt;=65,W277&lt;100),0.17,0)+IF(AND(V277&gt;=40,V277&lt;75,W277&gt;=100),0.1,0)+IF(AND(V277&gt;=75,W277&lt;25),0.35,0)+IF(AND(V277&gt;=75,W277&gt;=25,W277&lt;60),0.25,0)+IF(AND(V277&gt;=75,W277&gt;=60,W277&lt;95),0.17,0)+IF(AND(V277&gt;=75,W277&gt;=95),0.1,0),
IF(AF277="DoEVba",IF(AND(V277&lt;20,W277&lt;105),0.2,0)+IF(AND(V277&lt;20,W277&gt;=105),0.15,0)+IF(AND(V277&gt;=20,V277&lt;40,W277&lt;95),0.2,0)+IF(AND(V277&gt;=20,V277&lt;40,W277&gt;=95,W277&lt;150),0.15,0)+IF(AND(V277&gt;=20,V277&lt;40,W277&gt;=150),0.12,0)+IF(AND(V277&gt;=40,V277&lt;75,W277&lt;75),0.2,0)+IF(AND(V277&gt;=40,V277&lt;75,W277&gt;=75,W277&lt;120),0.15,0)+IF(AND(V277&gt;=40,V277&lt;75,W277&gt;=120),0.12,0)+IF(AND(V277&gt;=75,V277&lt;175,W277&lt;65),0.2,0)+IF(AND(V277&gt;=75,V277&lt;175,W277&gt;=65,W277&lt;110),0.15,0)+IF(AND(V277&gt;=75,V277&lt;175,W277&gt;=110),0.12,0)+IF(AND(V277&gt;=175,W277&lt;55),0.2,0)+IF(AND(V277&gt;=175,W277&gt;=55,W277&lt;95),0.15,0)+IF(AND(V277&gt;=175,W277&gt;=95),0.12,0),
IF(AF277="DoEVku",IF(AND(V277&lt;20,W277&lt;55),0.23,0)+IF(AND(V277&lt;20,W277&gt;=55,W277&lt;105),0.2,0)+IF(AND(V277&lt;20,W277&gt;=105),0.17,0)+IF(AND(V277&gt;=20,V277&lt;40,W277&lt;45),0.23,0)+IF(AND(V277&gt;=20,V277&lt;40,W277&gt;=45,W277&lt;95),0.2,0)+IF(AND(V277&gt;=20,V277&lt;40,W277&gt;=95,W277&lt;=150),0.17,0)+IF(AND(V277&gt;=20,V277&lt;40,W277&gt;=150),0.12,0)+IF(AND(V277&gt;=40,V277&lt;75,W277&lt;35),0.23,0)+IF(AND(V277&gt;=40,V277&lt;75,W277&gt;=35,W277&lt;75),0.2,0)+IF(AND(V277&gt;=40,V277&lt;75,W277&gt;=75,W277&lt;120),0.17,0)+IF(AND(V277&gt;=40,V277&lt;75,W277&gt;=120),0.12,0)+IF(AND(V277&gt;=75,V277&lt;175,W277&lt;35),0.23,0)+IF(AND(V277&gt;=75,V277&lt;=175,W277&gt;=35,W277&lt;65),0.2,0)+IF(AND(V277&gt;=75,V277&lt;=175,W277&gt;=65,W277&lt;110),0.17,0)+IF(AND(V277&gt;=75,V277&lt;=175,W277&gt;=110),0.12,0)+IF(AND(V277&gt;175,W277&lt;25),0.23,0)+IF(AND(V277&gt;175,W277&gt;=25,W277&lt;55),0.2,0)+IF(AND(V277&gt;175,W277&gt;=55,W277&lt;95),0.17,0)+IF(AND(V277&gt;175,W277&gt;=95),0.12,0),
IF(AF277="DoEVs1",IF(AND(V277&lt;20,W277&lt;55),0.3,0)+IF(AND(V277&lt;20,W277&gt;=55,W277&lt;105),0.23,0)+IF(AND(V277&lt;20,W277&gt;=105),0.17,0)+IF(AND(V277&gt;=20,V277&lt;40,W277&lt;45),0.3,0)+IF(AND(V277&gt;=20,V277&lt;40,W277&gt;=45,W277&lt;95),0.23,0)+IF(AND(V277&gt;=20,V277&lt;40,W277&gt;=95,W277&lt;=150),0.17,0)+IF(AND(V277&gt;=20,V277&lt;40,W277&gt;=150),0.12,0)+IF(AND(V277&gt;=40,V277&lt;75,W277&lt;35),0.3,0)+IF(AND(V277&gt;=40,V277&lt;75,W277&gt;=35,W277&lt;75),0.23,0)+IF(AND(V277&gt;=40,V277&lt;75,W277&gt;=75,W277&lt;120),0.17,0)+IF(AND(V277&gt;=40,V277&lt;75,W277&gt;=120),0.12,0)+IF(AND(V277&gt;=75,V277&lt;175,W277&lt;35),0.3,0)+IF(AND(V277&gt;=75,V277&lt;=175,W277&gt;=35,W277&lt;65),0.23,0)+IF(AND(V277&gt;=75,V277&lt;=175,W277&gt;=65,W277&lt;110),0.17,0)+IF(AND(V277&gt;=75,V277&lt;=175,W277&gt;=110),0.12,0)+IF(AND(V277&gt;175,W277&lt;25),0.3,0)+IF(AND(V277&gt;175,W277&gt;=25,W277&lt;55),0.23,0)+IF(AND(V277&gt;175,W277&gt;=55,W277&lt;95),0.17,0)+IF(AND(V277&gt;175,W277&gt;=95),0.12,0),
IF(AF277="DoEVsu",IF(AND(V277&lt;20,W277&lt;55),0.3,0)+IF(AND(V277&lt;20,W277&gt;=55,W277&lt;105),0.23,0)+IF(AND(V277&lt;20,W277&gt;=105),0.17,0)+IF(AND(V277&gt;=20,V277&lt;40,W277&lt;45),0.3,0)+IF(AND(V277&gt;=20,V277&lt;40,W277&gt;=45,W277&lt;95),0.23,0)+IF(AND(V277&gt;=20,V277&lt;40,W277&gt;=95,W277&lt;=250),0.17,0)+IF(AND(V277&gt;=20,V277&lt;40,W277&gt;=250),0.12,0)+IF(AND(V277&gt;=40,V277&lt;75,W277&lt;35),0.3,0)+IF(AND(V277&gt;=40,V277&lt;75,W277&gt;=35,W277&lt;75),0.23,0)+IF(AND(V277&gt;=40,V277&lt;75,W277&gt;=75,W277&lt;120),0.17,0)+IF(AND(V277&gt;=40,V277&lt;75,W277&gt;=120),0.12,0)+IF(AND(V277&gt;=75,V277&lt;175,W277&lt;35),0.3,0)+IF(AND(V277&gt;=75,V277&lt;=175,W277&gt;=35,W277&lt;65),0.23,0)+IF(AND(V277&gt;=75,V277&lt;=175,W277&gt;=65,W277&lt;110),0.17,0)+IF(AND(V277&gt;=75,V277&lt;=175,W277&gt;=110),0.12,0)+IF(AND(V277&gt;175,W277&lt;25),0.3,0)+IF(AND(V277&gt;175,W277&gt;=25,W277&lt;55),0.23,0)+IF(AND(V277&gt;175,W277&gt;=55,W277&lt;95),0.17,0)+IF(AND(V277&gt;175,W277&gt;=95),0.12,0),
IF(AF277="DoEVni",IF(AND(V277&lt;20,W277&lt;55),0.3,0)+IF(AND(V277&lt;20,W277&gt;=55,W277&lt;105),0.23,0)+IF(AND(V277&lt;20,W277&gt;=105),0.17,0)+IF(AND(V277&gt;=20,V277&lt;40,W277&lt;45),0.3,0)+IF(AND(V277&gt;=20,V277&lt;40,W277&gt;=45,W277&lt;95),0.23,0)+IF(AND(V277&gt;=20,V277&lt;40,W277&gt;=95,W277&lt;=200),0.17,0)+IF(AND(V277&gt;=20,V277&lt;40,W277&gt;=200),0.12,0)+IF(AND(V277&gt;=40,V277&lt;75,W277&lt;35),0.3,0)+IF(AND(V277&gt;=40,V277&lt;75,W277&gt;=35,W277&lt;75),0.23,0)+IF(AND(V277&gt;=40,V277&lt;75,W277&gt;=75,W277&lt;120),0.17,0)+IF(AND(V277&gt;=40,V277&lt;75,W277&gt;=120),0.12,0)+IF(AND(V277&gt;=75,V277&lt;175,W277&lt;35),0.3,0)+IF(AND(V277&gt;=75,V277&lt;=175,W277&gt;=35,W277&lt;65),0.23,0)+IF(AND(V277&gt;=75,V277&lt;=175,W277&gt;=65,W277&lt;110),0.17,0)+IF(AND(V277&gt;=75,V277&lt;=175,W277&gt;=110),0.12,0)+IF(AND(V277&gt;175,W277&lt;25),0.3,0)+IF(AND(V277&gt;175,W277&gt;=25,W277&lt;55),0.23,0)+IF(AND(V277&gt;175,W277&gt;=55,W277&lt;95),0.17,0)+IF(AND(V277&gt;175,W277&gt;=95),0.12,0),
IF(AF277="DoEVLo",IF(AND(V277&lt;20,W277&lt;55),0.25,0)+IF(AND(V277&lt;20,W277&gt;=55,W277&lt;105),0.2,0)+IF(AND(V277&lt;20,W277&gt;=105),0.15,0)+IF(AND(V277&gt;=20,V277&lt;40,W277&lt;45),0.25,0)+IF(AND(V277&gt;=20,V277&lt;40,W277&gt;=45,W277&lt;95),0.2,0)+IF(AND(V277&gt;=20,V277&lt;40,W277&gt;=95),0.15,0)+IF(AND(V277&gt;=40,V277&lt;75,W277&lt;35),0.25,0)+IF(AND(V277&gt;=40,V277&lt;75,W277&gt;=35,W277&lt;75),0.2,0)+IF(AND(V277&gt;=40,V277&lt;75,W277&gt;=75,W277&lt;120),0.15,0)+IF(AND(V277&gt;=40,V277&lt;75,W277&gt;=120),0.1,0)+IF(AND(V277&gt;=75,V277&lt;175,W277&lt;35),0.25,0)+IF(AND(V277&gt;=75,V277&lt;=175,W277&gt;=35,W277&lt;65),0.2,0)+IF(AND(V277&gt;=75,V277&lt;=175,W277&gt;=65,W277&lt;110),0.15,0)+IF(AND(V277&gt;=75,V277&lt;=175,W277&gt;=110),0.1,0)+IF(AND(V277&gt;175,W277&lt;25),0.25,0)+IF(AND(V277&gt;175,W277&gt;=25,W277&lt;55),0.2,0)+IF(AND(V277&gt;175,W277&gt;=55,W277&lt;95),0.15,0)+IF(AND(V277&gt;175,W277&gt;=95),0.1,0))))))))))))))))</f>
        <v>0.3</v>
      </c>
      <c r="Y277" s="30">
        <f>IF(AG277="None",0,IF(AG277="Fix5",0.05,IF(AG277="Fix3.75",0.0375,IF(AG277="Fix10",0.1,IF(AG277="Fix3",0.03,0)))))</f>
        <v>0</v>
      </c>
      <c r="Z277" s="35">
        <f>T277-AA277-AB277</f>
        <v>0</v>
      </c>
      <c r="AA277" s="29">
        <f>IF(AD277="EUR",((T277-R277)*X277)*U277+(R277*X277),(T277*X277))</f>
        <v>0</v>
      </c>
      <c r="AB277" s="36">
        <f>IF(AD277="EUR",((T277-R277)*Y277)*U277+(R277*Y277),(T277*Y277))</f>
        <v>0</v>
      </c>
      <c r="AC277" s="37" t="b">
        <v>1</v>
      </c>
      <c r="AD277" s="37" t="s">
        <v>38</v>
      </c>
      <c r="AE277" s="37" t="s">
        <v>38</v>
      </c>
      <c r="AF277" s="37" t="str">
        <f t="array" ref="AF277">INDEX('Deal Info'!D:D, MATCH(A277,'Deal Info'!A:A, 0))</f>
        <v>SF</v>
      </c>
      <c r="AG277" s="38" t="str">
        <f t="array" ref="AG277">INDEX('Deal Info'!G:G, MATCH(A277,'Deal Info'!A:A, 0))</f>
        <v>None</v>
      </c>
    </row>
    <row r="278" spans="1:33" ht="14.25" hidden="1" x14ac:dyDescent="0.2">
      <c r="A278" s="18" t="str">
        <f t="array" ref="A278">IF(G278='Room Info'!$B$1, INDEX('Room Info'!$A$2:$A2446, MATCH(B278,'Room Info'!$B$2:$B2446, 0)),IF(G278='Room Info'!$C$1, INDEX('Room Info'!$A$2:$A2446, MATCH(B278,'Room Info'!$C$2:$C2446, 0)),IF(G278='Room Info'!$D$1, INDEX('Room Info'!$A$2:$A2446, MATCH(B278,'Room Info'!$D$2:$D2446, 0)),IF(G278='Room Info'!$E$1, INDEX('Room Info'!$A$2:$A2446, MATCH(B278,'Room Info'!$E$2:$E2446, 0)),IF(G278='Room Info'!$F$1, INDEX('Room Info'!$A$2:$A2446, MATCH(B278,'Room Info'!$F$2:$F2446, 0)),IF(G278='Room Info'!$H$1, INDEX('Room Info'!$A$2:$A2446, MATCH(B278,'Room Info'!$H$2:$H2446, 0)),IF(G278='Room Info'!$G$1, INDEX('Room Info'!$A$2:$A2446, MATCH(B278,'Room Info'!$G$2:$G2446, 0)))))))))</f>
        <v>Mexanuk_AV</v>
      </c>
      <c r="B278" s="45" t="s">
        <v>113</v>
      </c>
      <c r="C278" s="92">
        <v>44825</v>
      </c>
      <c r="D278" s="46">
        <v>44854</v>
      </c>
      <c r="E278" s="47">
        <v>44835</v>
      </c>
      <c r="F278" s="48" t="s">
        <v>34</v>
      </c>
      <c r="G278" s="45" t="s">
        <v>35</v>
      </c>
      <c r="H278" s="49" t="s">
        <v>40</v>
      </c>
      <c r="I278" s="49" t="s">
        <v>37</v>
      </c>
      <c r="J278" s="70">
        <v>10</v>
      </c>
      <c r="K278" s="71">
        <v>2772</v>
      </c>
      <c r="L278" s="52">
        <v>-900</v>
      </c>
      <c r="M278" s="53">
        <v>1350</v>
      </c>
      <c r="N278" s="28">
        <f>K278*J278</f>
        <v>27720</v>
      </c>
      <c r="O278" s="54">
        <v>83017</v>
      </c>
      <c r="P278" s="29">
        <v>29.948412699999999</v>
      </c>
      <c r="Q278" s="55"/>
      <c r="R278" s="31">
        <f>M278+Q278</f>
        <v>1350</v>
      </c>
      <c r="S278" s="56">
        <v>-508</v>
      </c>
      <c r="T278" s="32">
        <f>R278+S278+IF(F278="Without EV deal",L278,0)</f>
        <v>842</v>
      </c>
      <c r="U278" s="57">
        <v>1</v>
      </c>
      <c r="V278" s="69">
        <v>9.9981968986657055</v>
      </c>
      <c r="W278" s="69">
        <v>84.215184851217302</v>
      </c>
      <c r="X278" s="30">
        <f>IF(AF278="DoEV",IF(AND(V278&lt;20,W278&lt;55),0.3,0)+IF(AND(V278&lt;20,W278&gt;=55,W278&lt;105),0.23,0)+IF(AND(V278&lt;20,W278&gt;=105),0.17,0)+IF(AND(V278&gt;=20,V278&lt;40,W278&lt;45),0.3,0)+IF(AND(V278&gt;=20,V278&lt;40,W278&gt;=45,W278&lt;95),0.23,0)+IF(AND(V278&gt;=20,V278&lt;40,W278&gt;=95),0.17,0)+IF(AND(V278&gt;=40,V278&lt;75,W278&lt;35),0.3,0)+IF(AND(V278&gt;=40,V278&lt;75,W278&gt;=35,W278&lt;75),0.23,0)+IF(AND(V278&gt;=40,V278&lt;75,W278&gt;=75,W278&lt;120),0.17,0)+IF(AND(V278&gt;=40,V278&lt;75,W278&gt;=120),0.12,0)+IF(AND(V278&gt;=75,V278&lt;175,W278&lt;35),0.3,0)+IF(AND(V278&gt;=75,V278&lt;=175,W278&gt;=35,W278&lt;65),0.23,0)+IF(AND(V278&gt;=75,V278&lt;=175,W278&gt;=65,W278&lt;110),0.17,0)+IF(AND(V278&gt;=75,V278&lt;=175,W278&gt;=110),0.12,0)+IF(AND(V278&gt;175,W278&lt;25),0.3,0)+IF(AND(V278&gt;175,W278&gt;=25,W278&lt;55),0.23,0)+IF(AND(V278&gt;175,W278&gt;=55,W278&lt;95),0.17,0)+IF(AND(V278&gt;175,W278&gt;=95),0.12,0),
IF(AF278="Fix15",0.15,
IF(AF278="Fix11.25",0.1125,
IF(AF278="Fix10",0.1,
IF(AF278="Fix9",0.09,
IF(AF278="DoEV2017",IF(AND(W278&lt;74),0.2,0)+IF(AND(W278&gt;=74),0.17,0),
IF(AF278="SF",IF(AND(V278&lt;20,W278&lt;89),0.3,0)+IF(AND(V278&lt;20,W278&gt;=89),0.25,0)+IF(AND(V278&gt;=20,V278&lt;40,W278&lt;74),0.3,0)+IF(AND(V278&gt;=20,V278&lt;40,W278&gt;=75),0.22,0)+IF(AND(V278&gt;=40,V278&lt;75,W278&lt;75),0.26,0)+IF(AND(V278&gt;=40,V278&lt;75,W278&gt;=75),0.22,0)+IF(V278&gt;=75,0.22,0),
IF(AF278="DoEVold",IF(AND(V278&lt;40,W278&lt;35),0.35,0)+IF(AND(V278&lt;40,W278&gt;=35,W278&lt;75),0.25,0)+IF(AND(V278&lt;40,W278&gt;=75),0.17,0)+IF(AND(V278&gt;=40,V278&lt;75,W278&lt;25),0.35,0)+IF(AND(V278&gt;=40,V278&lt;75,W278&gt;=25,W278&lt;65),0.25,0)+IF(AND(V278&gt;=40,V278&lt;75,W278&gt;=65,W278&lt;100),0.17,0)+IF(AND(V278&gt;=40,V278&lt;75,W278&gt;=100),0.1,0)+IF(AND(V278&gt;=75,W278&lt;25),0.35,0)+IF(AND(V278&gt;=75,W278&gt;=25,W278&lt;60),0.25,0)+IF(AND(V278&gt;=75,W278&gt;=60,W278&lt;95),0.17,0)+IF(AND(V278&gt;=75,W278&gt;=95),0.1,0),
IF(AF278="DoEVold15",IF(AND(V278&lt;=40,W278&lt;35),0.35,0)+IF(AND(V278&lt;=40,W278&gt;=35,W278&lt;75),0.25,0)+IF(AND(V278&lt;=40,W278&gt;=75,W278&lt;120),0.17,0)+IF(AND(V278&lt;=40,W278&gt;=120),0.15,0)+IF(AND(V278&gt;40,V278&lt;75,W278&lt;25),0.35,0)+IF(AND(V278&gt;=40,V278&lt;75,W278&gt;=25,W278&lt;65),0.25,0)+IF(AND(V278&gt;=40,V278&lt;75,W278&gt;=65,W278&lt;100),0.17,0)+IF(AND(V278&gt;=40,V278&lt;75,W278&gt;=100),0.1,0)+IF(AND(V278&gt;=75,W278&lt;25),0.35,0)+IF(AND(V278&gt;=75,W278&gt;=25,W278&lt;60),0.25,0)+IF(AND(V278&gt;=75,W278&gt;=60,W278&lt;95),0.17,0)+IF(AND(V278&gt;=75,W278&gt;=95),0.1,0),
IF(AF278="DoEVba",IF(AND(V278&lt;20,W278&lt;105),0.2,0)+IF(AND(V278&lt;20,W278&gt;=105),0.15,0)+IF(AND(V278&gt;=20,V278&lt;40,W278&lt;95),0.2,0)+IF(AND(V278&gt;=20,V278&lt;40,W278&gt;=95,W278&lt;150),0.15,0)+IF(AND(V278&gt;=20,V278&lt;40,W278&gt;=150),0.12,0)+IF(AND(V278&gt;=40,V278&lt;75,W278&lt;75),0.2,0)+IF(AND(V278&gt;=40,V278&lt;75,W278&gt;=75,W278&lt;120),0.15,0)+IF(AND(V278&gt;=40,V278&lt;75,W278&gt;=120),0.12,0)+IF(AND(V278&gt;=75,V278&lt;175,W278&lt;65),0.2,0)+IF(AND(V278&gt;=75,V278&lt;175,W278&gt;=65,W278&lt;110),0.15,0)+IF(AND(V278&gt;=75,V278&lt;175,W278&gt;=110),0.12,0)+IF(AND(V278&gt;=175,W278&lt;55),0.2,0)+IF(AND(V278&gt;=175,W278&gt;=55,W278&lt;95),0.15,0)+IF(AND(V278&gt;=175,W278&gt;=95),0.12,0),
IF(AF278="DoEVku",IF(AND(V278&lt;20,W278&lt;55),0.23,0)+IF(AND(V278&lt;20,W278&gt;=55,W278&lt;105),0.2,0)+IF(AND(V278&lt;20,W278&gt;=105),0.17,0)+IF(AND(V278&gt;=20,V278&lt;40,W278&lt;45),0.23,0)+IF(AND(V278&gt;=20,V278&lt;40,W278&gt;=45,W278&lt;95),0.2,0)+IF(AND(V278&gt;=20,V278&lt;40,W278&gt;=95,W278&lt;=150),0.17,0)+IF(AND(V278&gt;=20,V278&lt;40,W278&gt;=150),0.12,0)+IF(AND(V278&gt;=40,V278&lt;75,W278&lt;35),0.23,0)+IF(AND(V278&gt;=40,V278&lt;75,W278&gt;=35,W278&lt;75),0.2,0)+IF(AND(V278&gt;=40,V278&lt;75,W278&gt;=75,W278&lt;120),0.17,0)+IF(AND(V278&gt;=40,V278&lt;75,W278&gt;=120),0.12,0)+IF(AND(V278&gt;=75,V278&lt;175,W278&lt;35),0.23,0)+IF(AND(V278&gt;=75,V278&lt;=175,W278&gt;=35,W278&lt;65),0.2,0)+IF(AND(V278&gt;=75,V278&lt;=175,W278&gt;=65,W278&lt;110),0.17,0)+IF(AND(V278&gt;=75,V278&lt;=175,W278&gt;=110),0.12,0)+IF(AND(V278&gt;175,W278&lt;25),0.23,0)+IF(AND(V278&gt;175,W278&gt;=25,W278&lt;55),0.2,0)+IF(AND(V278&gt;175,W278&gt;=55,W278&lt;95),0.17,0)+IF(AND(V278&gt;175,W278&gt;=95),0.12,0),
IF(AF278="DoEVs1",IF(AND(V278&lt;20,W278&lt;55),0.3,0)+IF(AND(V278&lt;20,W278&gt;=55,W278&lt;105),0.23,0)+IF(AND(V278&lt;20,W278&gt;=105),0.17,0)+IF(AND(V278&gt;=20,V278&lt;40,W278&lt;45),0.3,0)+IF(AND(V278&gt;=20,V278&lt;40,W278&gt;=45,W278&lt;95),0.23,0)+IF(AND(V278&gt;=20,V278&lt;40,W278&gt;=95,W278&lt;=150),0.17,0)+IF(AND(V278&gt;=20,V278&lt;40,W278&gt;=150),0.12,0)+IF(AND(V278&gt;=40,V278&lt;75,W278&lt;35),0.3,0)+IF(AND(V278&gt;=40,V278&lt;75,W278&gt;=35,W278&lt;75),0.23,0)+IF(AND(V278&gt;=40,V278&lt;75,W278&gt;=75,W278&lt;120),0.17,0)+IF(AND(V278&gt;=40,V278&lt;75,W278&gt;=120),0.12,0)+IF(AND(V278&gt;=75,V278&lt;175,W278&lt;35),0.3,0)+IF(AND(V278&gt;=75,V278&lt;=175,W278&gt;=35,W278&lt;65),0.23,0)+IF(AND(V278&gt;=75,V278&lt;=175,W278&gt;=65,W278&lt;110),0.17,0)+IF(AND(V278&gt;=75,V278&lt;=175,W278&gt;=110),0.12,0)+IF(AND(V278&gt;175,W278&lt;25),0.3,0)+IF(AND(V278&gt;175,W278&gt;=25,W278&lt;55),0.23,0)+IF(AND(V278&gt;175,W278&gt;=55,W278&lt;95),0.17,0)+IF(AND(V278&gt;175,W278&gt;=95),0.12,0),
IF(AF278="DoEVsu",IF(AND(V278&lt;20,W278&lt;55),0.3,0)+IF(AND(V278&lt;20,W278&gt;=55,W278&lt;105),0.23,0)+IF(AND(V278&lt;20,W278&gt;=105),0.17,0)+IF(AND(V278&gt;=20,V278&lt;40,W278&lt;45),0.3,0)+IF(AND(V278&gt;=20,V278&lt;40,W278&gt;=45,W278&lt;95),0.23,0)+IF(AND(V278&gt;=20,V278&lt;40,W278&gt;=95,W278&lt;=250),0.17,0)+IF(AND(V278&gt;=20,V278&lt;40,W278&gt;=250),0.12,0)+IF(AND(V278&gt;=40,V278&lt;75,W278&lt;35),0.3,0)+IF(AND(V278&gt;=40,V278&lt;75,W278&gt;=35,W278&lt;75),0.23,0)+IF(AND(V278&gt;=40,V278&lt;75,W278&gt;=75,W278&lt;120),0.17,0)+IF(AND(V278&gt;=40,V278&lt;75,W278&gt;=120),0.12,0)+IF(AND(V278&gt;=75,V278&lt;175,W278&lt;35),0.3,0)+IF(AND(V278&gt;=75,V278&lt;=175,W278&gt;=35,W278&lt;65),0.23,0)+IF(AND(V278&gt;=75,V278&lt;=175,W278&gt;=65,W278&lt;110),0.17,0)+IF(AND(V278&gt;=75,V278&lt;=175,W278&gt;=110),0.12,0)+IF(AND(V278&gt;175,W278&lt;25),0.3,0)+IF(AND(V278&gt;175,W278&gt;=25,W278&lt;55),0.23,0)+IF(AND(V278&gt;175,W278&gt;=55,W278&lt;95),0.17,0)+IF(AND(V278&gt;175,W278&gt;=95),0.12,0),
IF(AF278="DoEVni",IF(AND(V278&lt;20,W278&lt;55),0.3,0)+IF(AND(V278&lt;20,W278&gt;=55,W278&lt;105),0.23,0)+IF(AND(V278&lt;20,W278&gt;=105),0.17,0)+IF(AND(V278&gt;=20,V278&lt;40,W278&lt;45),0.3,0)+IF(AND(V278&gt;=20,V278&lt;40,W278&gt;=45,W278&lt;95),0.23,0)+IF(AND(V278&gt;=20,V278&lt;40,W278&gt;=95,W278&lt;=200),0.17,0)+IF(AND(V278&gt;=20,V278&lt;40,W278&gt;=200),0.12,0)+IF(AND(V278&gt;=40,V278&lt;75,W278&lt;35),0.3,0)+IF(AND(V278&gt;=40,V278&lt;75,W278&gt;=35,W278&lt;75),0.23,0)+IF(AND(V278&gt;=40,V278&lt;75,W278&gt;=75,W278&lt;120),0.17,0)+IF(AND(V278&gt;=40,V278&lt;75,W278&gt;=120),0.12,0)+IF(AND(V278&gt;=75,V278&lt;175,W278&lt;35),0.3,0)+IF(AND(V278&gt;=75,V278&lt;=175,W278&gt;=35,W278&lt;65),0.23,0)+IF(AND(V278&gt;=75,V278&lt;=175,W278&gt;=65,W278&lt;110),0.17,0)+IF(AND(V278&gt;=75,V278&lt;=175,W278&gt;=110),0.12,0)+IF(AND(V278&gt;175,W278&lt;25),0.3,0)+IF(AND(V278&gt;175,W278&gt;=25,W278&lt;55),0.23,0)+IF(AND(V278&gt;175,W278&gt;=55,W278&lt;95),0.17,0)+IF(AND(V278&gt;175,W278&gt;=95),0.12,0),
IF(AF278="DoEVLo",IF(AND(V278&lt;20,W278&lt;55),0.25,0)+IF(AND(V278&lt;20,W278&gt;=55,W278&lt;105),0.2,0)+IF(AND(V278&lt;20,W278&gt;=105),0.15,0)+IF(AND(V278&gt;=20,V278&lt;40,W278&lt;45),0.25,0)+IF(AND(V278&gt;=20,V278&lt;40,W278&gt;=45,W278&lt;95),0.2,0)+IF(AND(V278&gt;=20,V278&lt;40,W278&gt;=95),0.15,0)+IF(AND(V278&gt;=40,V278&lt;75,W278&lt;35),0.25,0)+IF(AND(V278&gt;=40,V278&lt;75,W278&gt;=35,W278&lt;75),0.2,0)+IF(AND(V278&gt;=40,V278&lt;75,W278&gt;=75,W278&lt;120),0.15,0)+IF(AND(V278&gt;=40,V278&lt;75,W278&gt;=120),0.1,0)+IF(AND(V278&gt;=75,V278&lt;175,W278&lt;35),0.25,0)+IF(AND(V278&gt;=75,V278&lt;=175,W278&gt;=35,W278&lt;65),0.2,0)+IF(AND(V278&gt;=75,V278&lt;=175,W278&gt;=65,W278&lt;110),0.15,0)+IF(AND(V278&gt;=75,V278&lt;=175,W278&gt;=110),0.1,0)+IF(AND(V278&gt;175,W278&lt;25),0.25,0)+IF(AND(V278&gt;175,W278&gt;=25,W278&lt;55),0.2,0)+IF(AND(V278&gt;175,W278&gt;=55,W278&lt;95),0.15,0)+IF(AND(V278&gt;175,W278&gt;=95),0.1,0))))))))))))))))</f>
        <v>0.3</v>
      </c>
      <c r="Y278" s="30">
        <f>IF(AG278="None",0,IF(AG278="Fix5",0.05,IF(AG278="Fix3.75",0.0375,IF(AG278="Fix10",0.1,IF(AG278="Fix3",0.03,0)))))</f>
        <v>0</v>
      </c>
      <c r="Z278" s="35">
        <f>T278-AA278-AB278</f>
        <v>589.4</v>
      </c>
      <c r="AA278" s="29">
        <f>IF(AD278="EUR",((T278-R278)*X278)*U278+(R278*X278),(T278*X278))</f>
        <v>252.6</v>
      </c>
      <c r="AB278" s="36">
        <f>IF(AD278="EUR",((T278-R278)*Y278)*U278+(R278*Y278),(T278*Y278))</f>
        <v>0</v>
      </c>
      <c r="AC278" s="37" t="b">
        <v>1</v>
      </c>
      <c r="AD278" s="37" t="s">
        <v>38</v>
      </c>
      <c r="AE278" s="37" t="s">
        <v>38</v>
      </c>
      <c r="AF278" s="37" t="str">
        <f t="array" ref="AF278">INDEX('Deal Info'!D:D, MATCH(A278,'Deal Info'!A:A, 0))</f>
        <v>SF</v>
      </c>
      <c r="AG278" s="38" t="str">
        <f t="array" ref="AG278">INDEX('Deal Info'!G:G, MATCH(A278,'Deal Info'!A:A, 0))</f>
        <v>None</v>
      </c>
    </row>
    <row r="279" spans="1:33" ht="14.25" hidden="1" x14ac:dyDescent="0.2">
      <c r="A279" s="18" t="str">
        <f t="array" ref="A279">IF(G279='Room Info'!$B$1, INDEX('Room Info'!$A$2:$A2446, MATCH(B279,'Room Info'!$B$2:$B2446, 0)),IF(G279='Room Info'!$C$1, INDEX('Room Info'!$A$2:$A2446, MATCH(B279,'Room Info'!$C$2:$C2446, 0)),IF(G279='Room Info'!$D$1, INDEX('Room Info'!$A$2:$A2446, MATCH(B279,'Room Info'!$D$2:$D2446, 0)),IF(G279='Room Info'!$E$1, INDEX('Room Info'!$A$2:$A2446, MATCH(B279,'Room Info'!$E$2:$E2446, 0)),IF(G279='Room Info'!$F$1, INDEX('Room Info'!$A$2:$A2446, MATCH(B279,'Room Info'!$F$2:$F2446, 0)),IF(G279='Room Info'!$H$1, INDEX('Room Info'!$A$2:$A2446, MATCH(B279,'Room Info'!$H$2:$H2446, 0)),IF(G279='Room Info'!$G$1, INDEX('Room Info'!$A$2:$A2446, MATCH(B279,'Room Info'!$G$2:$G2446, 0)))))))))</f>
        <v>Mexanuk_AV</v>
      </c>
      <c r="B279" s="45" t="s">
        <v>113</v>
      </c>
      <c r="C279" s="92">
        <v>44855</v>
      </c>
      <c r="D279" s="46">
        <v>44885</v>
      </c>
      <c r="E279" s="47">
        <v>44866</v>
      </c>
      <c r="F279" s="48" t="s">
        <v>34</v>
      </c>
      <c r="G279" s="45" t="s">
        <v>35</v>
      </c>
      <c r="H279" s="49" t="s">
        <v>40</v>
      </c>
      <c r="I279" s="49" t="s">
        <v>37</v>
      </c>
      <c r="J279" s="70">
        <v>10</v>
      </c>
      <c r="K279" s="71">
        <v>341</v>
      </c>
      <c r="L279" s="52">
        <v>-700</v>
      </c>
      <c r="M279" s="53">
        <v>120</v>
      </c>
      <c r="N279" s="28">
        <f>K279*J279</f>
        <v>3410</v>
      </c>
      <c r="O279" s="54">
        <v>-5750</v>
      </c>
      <c r="P279" s="29">
        <v>-16.862170089999999</v>
      </c>
      <c r="Q279" s="55"/>
      <c r="R279" s="31">
        <f>M279+Q279</f>
        <v>120</v>
      </c>
      <c r="S279" s="56">
        <v>-363</v>
      </c>
      <c r="T279" s="32">
        <f>R279+S279+IF(F279="Without EV deal",L279,0)</f>
        <v>-243</v>
      </c>
      <c r="U279" s="57">
        <v>1</v>
      </c>
      <c r="V279" s="69">
        <v>23.487133984028393</v>
      </c>
      <c r="W279" s="58">
        <v>0.38</v>
      </c>
      <c r="X279" s="30">
        <f>IF(AF279="DoEV",IF(AND(V279&lt;20,W279&lt;55),0.3,0)+IF(AND(V279&lt;20,W279&gt;=55,W279&lt;105),0.23,0)+IF(AND(V279&lt;20,W279&gt;=105),0.17,0)+IF(AND(V279&gt;=20,V279&lt;40,W279&lt;45),0.3,0)+IF(AND(V279&gt;=20,V279&lt;40,W279&gt;=45,W279&lt;95),0.23,0)+IF(AND(V279&gt;=20,V279&lt;40,W279&gt;=95),0.17,0)+IF(AND(V279&gt;=40,V279&lt;75,W279&lt;35),0.3,0)+IF(AND(V279&gt;=40,V279&lt;75,W279&gt;=35,W279&lt;75),0.23,0)+IF(AND(V279&gt;=40,V279&lt;75,W279&gt;=75,W279&lt;120),0.17,0)+IF(AND(V279&gt;=40,V279&lt;75,W279&gt;=120),0.12,0)+IF(AND(V279&gt;=75,V279&lt;175,W279&lt;35),0.3,0)+IF(AND(V279&gt;=75,V279&lt;=175,W279&gt;=35,W279&lt;65),0.23,0)+IF(AND(V279&gt;=75,V279&lt;=175,W279&gt;=65,W279&lt;110),0.17,0)+IF(AND(V279&gt;=75,V279&lt;=175,W279&gt;=110),0.12,0)+IF(AND(V279&gt;175,W279&lt;25),0.3,0)+IF(AND(V279&gt;175,W279&gt;=25,W279&lt;55),0.23,0)+IF(AND(V279&gt;175,W279&gt;=55,W279&lt;95),0.17,0)+IF(AND(V279&gt;175,W279&gt;=95),0.12,0),
IF(AF279="Fix15",0.15,
IF(AF279="Fix11.25",0.1125,
IF(AF279="Fix10",0.1,
IF(AF279="Fix9",0.09,
IF(AF279="DoEV2017",IF(AND(W279&lt;74),0.2,0)+IF(AND(W279&gt;=74),0.17,0),
IF(AF279="SF",IF(AND(V279&lt;20,W279&lt;89),0.3,0)+IF(AND(V279&lt;20,W279&gt;=89),0.25,0)+IF(AND(V279&gt;=20,V279&lt;40,W279&lt;74),0.3,0)+IF(AND(V279&gt;=20,V279&lt;40,W279&gt;=75),0.22,0)+IF(AND(V279&gt;=40,V279&lt;75,W279&lt;75),0.26,0)+IF(AND(V279&gt;=40,V279&lt;75,W279&gt;=75),0.22,0)+IF(V279&gt;=75,0.22,0),
IF(AF279="DoEVold",IF(AND(V279&lt;40,W279&lt;35),0.35,0)+IF(AND(V279&lt;40,W279&gt;=35,W279&lt;75),0.25,0)+IF(AND(V279&lt;40,W279&gt;=75),0.17,0)+IF(AND(V279&gt;=40,V279&lt;75,W279&lt;25),0.35,0)+IF(AND(V279&gt;=40,V279&lt;75,W279&gt;=25,W279&lt;65),0.25,0)+IF(AND(V279&gt;=40,V279&lt;75,W279&gt;=65,W279&lt;100),0.17,0)+IF(AND(V279&gt;=40,V279&lt;75,W279&gt;=100),0.1,0)+IF(AND(V279&gt;=75,W279&lt;25),0.35,0)+IF(AND(V279&gt;=75,W279&gt;=25,W279&lt;60),0.25,0)+IF(AND(V279&gt;=75,W279&gt;=60,W279&lt;95),0.17,0)+IF(AND(V279&gt;=75,W279&gt;=95),0.1,0),
IF(AF279="DoEVold15",IF(AND(V279&lt;=40,W279&lt;35),0.35,0)+IF(AND(V279&lt;=40,W279&gt;=35,W279&lt;75),0.25,0)+IF(AND(V279&lt;=40,W279&gt;=75,W279&lt;120),0.17,0)+IF(AND(V279&lt;=40,W279&gt;=120),0.15,0)+IF(AND(V279&gt;40,V279&lt;75,W279&lt;25),0.35,0)+IF(AND(V279&gt;=40,V279&lt;75,W279&gt;=25,W279&lt;65),0.25,0)+IF(AND(V279&gt;=40,V279&lt;75,W279&gt;=65,W279&lt;100),0.17,0)+IF(AND(V279&gt;=40,V279&lt;75,W279&gt;=100),0.1,0)+IF(AND(V279&gt;=75,W279&lt;25),0.35,0)+IF(AND(V279&gt;=75,W279&gt;=25,W279&lt;60),0.25,0)+IF(AND(V279&gt;=75,W279&gt;=60,W279&lt;95),0.17,0)+IF(AND(V279&gt;=75,W279&gt;=95),0.1,0),
IF(AF279="DoEVba",IF(AND(V279&lt;20,W279&lt;105),0.2,0)+IF(AND(V279&lt;20,W279&gt;=105),0.15,0)+IF(AND(V279&gt;=20,V279&lt;40,W279&lt;95),0.2,0)+IF(AND(V279&gt;=20,V279&lt;40,W279&gt;=95,W279&lt;150),0.15,0)+IF(AND(V279&gt;=20,V279&lt;40,W279&gt;=150),0.12,0)+IF(AND(V279&gt;=40,V279&lt;75,W279&lt;75),0.2,0)+IF(AND(V279&gt;=40,V279&lt;75,W279&gt;=75,W279&lt;120),0.15,0)+IF(AND(V279&gt;=40,V279&lt;75,W279&gt;=120),0.12,0)+IF(AND(V279&gt;=75,V279&lt;175,W279&lt;65),0.2,0)+IF(AND(V279&gt;=75,V279&lt;175,W279&gt;=65,W279&lt;110),0.15,0)+IF(AND(V279&gt;=75,V279&lt;175,W279&gt;=110),0.12,0)+IF(AND(V279&gt;=175,W279&lt;55),0.2,0)+IF(AND(V279&gt;=175,W279&gt;=55,W279&lt;95),0.15,0)+IF(AND(V279&gt;=175,W279&gt;=95),0.12,0),
IF(AF279="DoEVku",IF(AND(V279&lt;20,W279&lt;55),0.23,0)+IF(AND(V279&lt;20,W279&gt;=55,W279&lt;105),0.2,0)+IF(AND(V279&lt;20,W279&gt;=105),0.17,0)+IF(AND(V279&gt;=20,V279&lt;40,W279&lt;45),0.23,0)+IF(AND(V279&gt;=20,V279&lt;40,W279&gt;=45,W279&lt;95),0.2,0)+IF(AND(V279&gt;=20,V279&lt;40,W279&gt;=95,W279&lt;=150),0.17,0)+IF(AND(V279&gt;=20,V279&lt;40,W279&gt;=150),0.12,0)+IF(AND(V279&gt;=40,V279&lt;75,W279&lt;35),0.23,0)+IF(AND(V279&gt;=40,V279&lt;75,W279&gt;=35,W279&lt;75),0.2,0)+IF(AND(V279&gt;=40,V279&lt;75,W279&gt;=75,W279&lt;120),0.17,0)+IF(AND(V279&gt;=40,V279&lt;75,W279&gt;=120),0.12,0)+IF(AND(V279&gt;=75,V279&lt;175,W279&lt;35),0.23,0)+IF(AND(V279&gt;=75,V279&lt;=175,W279&gt;=35,W279&lt;65),0.2,0)+IF(AND(V279&gt;=75,V279&lt;=175,W279&gt;=65,W279&lt;110),0.17,0)+IF(AND(V279&gt;=75,V279&lt;=175,W279&gt;=110),0.12,0)+IF(AND(V279&gt;175,W279&lt;25),0.23,0)+IF(AND(V279&gt;175,W279&gt;=25,W279&lt;55),0.2,0)+IF(AND(V279&gt;175,W279&gt;=55,W279&lt;95),0.17,0)+IF(AND(V279&gt;175,W279&gt;=95),0.12,0),
IF(AF279="DoEVs1",IF(AND(V279&lt;20,W279&lt;55),0.3,0)+IF(AND(V279&lt;20,W279&gt;=55,W279&lt;105),0.23,0)+IF(AND(V279&lt;20,W279&gt;=105),0.17,0)+IF(AND(V279&gt;=20,V279&lt;40,W279&lt;45),0.3,0)+IF(AND(V279&gt;=20,V279&lt;40,W279&gt;=45,W279&lt;95),0.23,0)+IF(AND(V279&gt;=20,V279&lt;40,W279&gt;=95,W279&lt;=150),0.17,0)+IF(AND(V279&gt;=20,V279&lt;40,W279&gt;=150),0.12,0)+IF(AND(V279&gt;=40,V279&lt;75,W279&lt;35),0.3,0)+IF(AND(V279&gt;=40,V279&lt;75,W279&gt;=35,W279&lt;75),0.23,0)+IF(AND(V279&gt;=40,V279&lt;75,W279&gt;=75,W279&lt;120),0.17,0)+IF(AND(V279&gt;=40,V279&lt;75,W279&gt;=120),0.12,0)+IF(AND(V279&gt;=75,V279&lt;175,W279&lt;35),0.3,0)+IF(AND(V279&gt;=75,V279&lt;=175,W279&gt;=35,W279&lt;65),0.23,0)+IF(AND(V279&gt;=75,V279&lt;=175,W279&gt;=65,W279&lt;110),0.17,0)+IF(AND(V279&gt;=75,V279&lt;=175,W279&gt;=110),0.12,0)+IF(AND(V279&gt;175,W279&lt;25),0.3,0)+IF(AND(V279&gt;175,W279&gt;=25,W279&lt;55),0.23,0)+IF(AND(V279&gt;175,W279&gt;=55,W279&lt;95),0.17,0)+IF(AND(V279&gt;175,W279&gt;=95),0.12,0),
IF(AF279="DoEVsu",IF(AND(V279&lt;20,W279&lt;55),0.3,0)+IF(AND(V279&lt;20,W279&gt;=55,W279&lt;105),0.23,0)+IF(AND(V279&lt;20,W279&gt;=105),0.17,0)+IF(AND(V279&gt;=20,V279&lt;40,W279&lt;45),0.3,0)+IF(AND(V279&gt;=20,V279&lt;40,W279&gt;=45,W279&lt;95),0.23,0)+IF(AND(V279&gt;=20,V279&lt;40,W279&gt;=95,W279&lt;=250),0.17,0)+IF(AND(V279&gt;=20,V279&lt;40,W279&gt;=250),0.12,0)+IF(AND(V279&gt;=40,V279&lt;75,W279&lt;35),0.3,0)+IF(AND(V279&gt;=40,V279&lt;75,W279&gt;=35,W279&lt;75),0.23,0)+IF(AND(V279&gt;=40,V279&lt;75,W279&gt;=75,W279&lt;120),0.17,0)+IF(AND(V279&gt;=40,V279&lt;75,W279&gt;=120),0.12,0)+IF(AND(V279&gt;=75,V279&lt;175,W279&lt;35),0.3,0)+IF(AND(V279&gt;=75,V279&lt;=175,W279&gt;=35,W279&lt;65),0.23,0)+IF(AND(V279&gt;=75,V279&lt;=175,W279&gt;=65,W279&lt;110),0.17,0)+IF(AND(V279&gt;=75,V279&lt;=175,W279&gt;=110),0.12,0)+IF(AND(V279&gt;175,W279&lt;25),0.3,0)+IF(AND(V279&gt;175,W279&gt;=25,W279&lt;55),0.23,0)+IF(AND(V279&gt;175,W279&gt;=55,W279&lt;95),0.17,0)+IF(AND(V279&gt;175,W279&gt;=95),0.12,0),
IF(AF279="DoEVni",IF(AND(V279&lt;20,W279&lt;55),0.3,0)+IF(AND(V279&lt;20,W279&gt;=55,W279&lt;105),0.23,0)+IF(AND(V279&lt;20,W279&gt;=105),0.17,0)+IF(AND(V279&gt;=20,V279&lt;40,W279&lt;45),0.3,0)+IF(AND(V279&gt;=20,V279&lt;40,W279&gt;=45,W279&lt;95),0.23,0)+IF(AND(V279&gt;=20,V279&lt;40,W279&gt;=95,W279&lt;=200),0.17,0)+IF(AND(V279&gt;=20,V279&lt;40,W279&gt;=200),0.12,0)+IF(AND(V279&gt;=40,V279&lt;75,W279&lt;35),0.3,0)+IF(AND(V279&gt;=40,V279&lt;75,W279&gt;=35,W279&lt;75),0.23,0)+IF(AND(V279&gt;=40,V279&lt;75,W279&gt;=75,W279&lt;120),0.17,0)+IF(AND(V279&gt;=40,V279&lt;75,W279&gt;=120),0.12,0)+IF(AND(V279&gt;=75,V279&lt;175,W279&lt;35),0.3,0)+IF(AND(V279&gt;=75,V279&lt;=175,W279&gt;=35,W279&lt;65),0.23,0)+IF(AND(V279&gt;=75,V279&lt;=175,W279&gt;=65,W279&lt;110),0.17,0)+IF(AND(V279&gt;=75,V279&lt;=175,W279&gt;=110),0.12,0)+IF(AND(V279&gt;175,W279&lt;25),0.3,0)+IF(AND(V279&gt;175,W279&gt;=25,W279&lt;55),0.23,0)+IF(AND(V279&gt;175,W279&gt;=55,W279&lt;95),0.17,0)+IF(AND(V279&gt;175,W279&gt;=95),0.12,0),
IF(AF279="DoEVLo",IF(AND(V279&lt;20,W279&lt;55),0.25,0)+IF(AND(V279&lt;20,W279&gt;=55,W279&lt;105),0.2,0)+IF(AND(V279&lt;20,W279&gt;=105),0.15,0)+IF(AND(V279&gt;=20,V279&lt;40,W279&lt;45),0.25,0)+IF(AND(V279&gt;=20,V279&lt;40,W279&gt;=45,W279&lt;95),0.2,0)+IF(AND(V279&gt;=20,V279&lt;40,W279&gt;=95),0.15,0)+IF(AND(V279&gt;=40,V279&lt;75,W279&lt;35),0.25,0)+IF(AND(V279&gt;=40,V279&lt;75,W279&gt;=35,W279&lt;75),0.2,0)+IF(AND(V279&gt;=40,V279&lt;75,W279&gt;=75,W279&lt;120),0.15,0)+IF(AND(V279&gt;=40,V279&lt;75,W279&gt;=120),0.1,0)+IF(AND(V279&gt;=75,V279&lt;175,W279&lt;35),0.25,0)+IF(AND(V279&gt;=75,V279&lt;=175,W279&gt;=35,W279&lt;65),0.2,0)+IF(AND(V279&gt;=75,V279&lt;=175,W279&gt;=65,W279&lt;110),0.15,0)+IF(AND(V279&gt;=75,V279&lt;=175,W279&gt;=110),0.1,0)+IF(AND(V279&gt;175,W279&lt;25),0.25,0)+IF(AND(V279&gt;175,W279&gt;=25,W279&lt;55),0.2,0)+IF(AND(V279&gt;175,W279&gt;=55,W279&lt;95),0.15,0)+IF(AND(V279&gt;175,W279&gt;=95),0.1,0))))))))))))))))</f>
        <v>0.3</v>
      </c>
      <c r="Y279" s="30">
        <f>IF(AG279="None",0,IF(AG279="Fix5",0.05,IF(AG279="Fix3.75",0.0375,IF(AG279="Fix10",0.1,IF(AG279="Fix3",0.03,0)))))</f>
        <v>0</v>
      </c>
      <c r="Z279" s="35">
        <f>T279-AA279-AB279</f>
        <v>-170.10000000000002</v>
      </c>
      <c r="AA279" s="29">
        <f>IF(AD279="EUR",((T279-R279)*X279)*U279+(R279*X279),(T279*X279))</f>
        <v>-72.899999999999991</v>
      </c>
      <c r="AB279" s="36">
        <f>IF(AD279="EUR",((T279-R279)*Y279)*U279+(R279*Y279),(T279*Y279))</f>
        <v>0</v>
      </c>
      <c r="AC279" s="37" t="b">
        <v>1</v>
      </c>
      <c r="AD279" s="37" t="s">
        <v>38</v>
      </c>
      <c r="AE279" s="37" t="s">
        <v>38</v>
      </c>
      <c r="AF279" s="37" t="str">
        <f t="array" ref="AF279">INDEX('Deal Info'!D:D, MATCH(A279,'Deal Info'!A:A, 0))</f>
        <v>SF</v>
      </c>
      <c r="AG279" s="38" t="str">
        <f t="array" ref="AG279">INDEX('Deal Info'!G:G, MATCH(A279,'Deal Info'!A:A, 0))</f>
        <v>None</v>
      </c>
    </row>
    <row r="280" spans="1:33" ht="14.25" hidden="1" x14ac:dyDescent="0.2">
      <c r="A280" s="18" t="str">
        <f t="array" ref="A280">IF(G280='Room Info'!$B$1, INDEX('Room Info'!$A$2:$A2446, MATCH(B280,'Room Info'!$B$2:$B2446, 0)),IF(G280='Room Info'!$C$1, INDEX('Room Info'!$A$2:$A2446, MATCH(B280,'Room Info'!$C$2:$C2446, 0)),IF(G280='Room Info'!$D$1, INDEX('Room Info'!$A$2:$A2446, MATCH(B280,'Room Info'!$D$2:$D2446, 0)),IF(G280='Room Info'!$E$1, INDEX('Room Info'!$A$2:$A2446, MATCH(B280,'Room Info'!$E$2:$E2446, 0)),IF(G280='Room Info'!$F$1, INDEX('Room Info'!$A$2:$A2446, MATCH(B280,'Room Info'!$F$2:$F2446, 0)),IF(G280='Room Info'!$H$1, INDEX('Room Info'!$A$2:$A2446, MATCH(B280,'Room Info'!$H$2:$H2446, 0)),IF(G280='Room Info'!$G$1, INDEX('Room Info'!$A$2:$A2446, MATCH(B280,'Room Info'!$G$2:$G2446, 0)))))))))</f>
        <v>Mexanuk_AV</v>
      </c>
      <c r="B280" s="45" t="s">
        <v>113</v>
      </c>
      <c r="C280" s="92">
        <v>44855</v>
      </c>
      <c r="D280" s="46">
        <v>44885</v>
      </c>
      <c r="E280" s="47">
        <v>44866</v>
      </c>
      <c r="F280" s="48" t="s">
        <v>34</v>
      </c>
      <c r="G280" s="45" t="s">
        <v>35</v>
      </c>
      <c r="H280" s="49" t="s">
        <v>46</v>
      </c>
      <c r="I280" s="49" t="s">
        <v>37</v>
      </c>
      <c r="J280" s="70">
        <v>25</v>
      </c>
      <c r="K280" s="71">
        <v>2243</v>
      </c>
      <c r="L280" s="52">
        <v>250</v>
      </c>
      <c r="M280" s="53">
        <v>1690</v>
      </c>
      <c r="N280" s="28">
        <f>K280*J280</f>
        <v>56075</v>
      </c>
      <c r="O280" s="54">
        <v>43614</v>
      </c>
      <c r="P280" s="29">
        <v>19.444493980000001</v>
      </c>
      <c r="Q280" s="55"/>
      <c r="R280" s="31">
        <f>M280+Q280</f>
        <v>1690</v>
      </c>
      <c r="S280" s="56">
        <v>-1652</v>
      </c>
      <c r="T280" s="32">
        <f>R280+S280+IF(F280="Without EV deal",L280,0)</f>
        <v>38</v>
      </c>
      <c r="U280" s="57">
        <v>1</v>
      </c>
      <c r="V280" s="69">
        <v>23.487133984028393</v>
      </c>
      <c r="W280" s="58">
        <v>0.38</v>
      </c>
      <c r="X280" s="30">
        <f>IF(AF280="DoEV",IF(AND(V280&lt;20,W280&lt;55),0.3,0)+IF(AND(V280&lt;20,W280&gt;=55,W280&lt;105),0.23,0)+IF(AND(V280&lt;20,W280&gt;=105),0.17,0)+IF(AND(V280&gt;=20,V280&lt;40,W280&lt;45),0.3,0)+IF(AND(V280&gt;=20,V280&lt;40,W280&gt;=45,W280&lt;95),0.23,0)+IF(AND(V280&gt;=20,V280&lt;40,W280&gt;=95),0.17,0)+IF(AND(V280&gt;=40,V280&lt;75,W280&lt;35),0.3,0)+IF(AND(V280&gt;=40,V280&lt;75,W280&gt;=35,W280&lt;75),0.23,0)+IF(AND(V280&gt;=40,V280&lt;75,W280&gt;=75,W280&lt;120),0.17,0)+IF(AND(V280&gt;=40,V280&lt;75,W280&gt;=120),0.12,0)+IF(AND(V280&gt;=75,V280&lt;175,W280&lt;35),0.3,0)+IF(AND(V280&gt;=75,V280&lt;=175,W280&gt;=35,W280&lt;65),0.23,0)+IF(AND(V280&gt;=75,V280&lt;=175,W280&gt;=65,W280&lt;110),0.17,0)+IF(AND(V280&gt;=75,V280&lt;=175,W280&gt;=110),0.12,0)+IF(AND(V280&gt;175,W280&lt;25),0.3,0)+IF(AND(V280&gt;175,W280&gt;=25,W280&lt;55),0.23,0)+IF(AND(V280&gt;175,W280&gt;=55,W280&lt;95),0.17,0)+IF(AND(V280&gt;175,W280&gt;=95),0.12,0),
IF(AF280="Fix15",0.15,
IF(AF280="Fix11.25",0.1125,
IF(AF280="Fix10",0.1,
IF(AF280="Fix9",0.09,
IF(AF280="DoEV2017",IF(AND(W280&lt;74),0.2,0)+IF(AND(W280&gt;=74),0.17,0),
IF(AF280="SF",IF(AND(V280&lt;20,W280&lt;89),0.3,0)+IF(AND(V280&lt;20,W280&gt;=89),0.25,0)+IF(AND(V280&gt;=20,V280&lt;40,W280&lt;74),0.3,0)+IF(AND(V280&gt;=20,V280&lt;40,W280&gt;=75),0.22,0)+IF(AND(V280&gt;=40,V280&lt;75,W280&lt;75),0.26,0)+IF(AND(V280&gt;=40,V280&lt;75,W280&gt;=75),0.22,0)+IF(V280&gt;=75,0.22,0),
IF(AF280="DoEVold",IF(AND(V280&lt;40,W280&lt;35),0.35,0)+IF(AND(V280&lt;40,W280&gt;=35,W280&lt;75),0.25,0)+IF(AND(V280&lt;40,W280&gt;=75),0.17,0)+IF(AND(V280&gt;=40,V280&lt;75,W280&lt;25),0.35,0)+IF(AND(V280&gt;=40,V280&lt;75,W280&gt;=25,W280&lt;65),0.25,0)+IF(AND(V280&gt;=40,V280&lt;75,W280&gt;=65,W280&lt;100),0.17,0)+IF(AND(V280&gt;=40,V280&lt;75,W280&gt;=100),0.1,0)+IF(AND(V280&gt;=75,W280&lt;25),0.35,0)+IF(AND(V280&gt;=75,W280&gt;=25,W280&lt;60),0.25,0)+IF(AND(V280&gt;=75,W280&gt;=60,W280&lt;95),0.17,0)+IF(AND(V280&gt;=75,W280&gt;=95),0.1,0),
IF(AF280="DoEVold15",IF(AND(V280&lt;=40,W280&lt;35),0.35,0)+IF(AND(V280&lt;=40,W280&gt;=35,W280&lt;75),0.25,0)+IF(AND(V280&lt;=40,W280&gt;=75,W280&lt;120),0.17,0)+IF(AND(V280&lt;=40,W280&gt;=120),0.15,0)+IF(AND(V280&gt;40,V280&lt;75,W280&lt;25),0.35,0)+IF(AND(V280&gt;=40,V280&lt;75,W280&gt;=25,W280&lt;65),0.25,0)+IF(AND(V280&gt;=40,V280&lt;75,W280&gt;=65,W280&lt;100),0.17,0)+IF(AND(V280&gt;=40,V280&lt;75,W280&gt;=100),0.1,0)+IF(AND(V280&gt;=75,W280&lt;25),0.35,0)+IF(AND(V280&gt;=75,W280&gt;=25,W280&lt;60),0.25,0)+IF(AND(V280&gt;=75,W280&gt;=60,W280&lt;95),0.17,0)+IF(AND(V280&gt;=75,W280&gt;=95),0.1,0),
IF(AF280="DoEVba",IF(AND(V280&lt;20,W280&lt;105),0.2,0)+IF(AND(V280&lt;20,W280&gt;=105),0.15,0)+IF(AND(V280&gt;=20,V280&lt;40,W280&lt;95),0.2,0)+IF(AND(V280&gt;=20,V280&lt;40,W280&gt;=95,W280&lt;150),0.15,0)+IF(AND(V280&gt;=20,V280&lt;40,W280&gt;=150),0.12,0)+IF(AND(V280&gt;=40,V280&lt;75,W280&lt;75),0.2,0)+IF(AND(V280&gt;=40,V280&lt;75,W280&gt;=75,W280&lt;120),0.15,0)+IF(AND(V280&gt;=40,V280&lt;75,W280&gt;=120),0.12,0)+IF(AND(V280&gt;=75,V280&lt;175,W280&lt;65),0.2,0)+IF(AND(V280&gt;=75,V280&lt;175,W280&gt;=65,W280&lt;110),0.15,0)+IF(AND(V280&gt;=75,V280&lt;175,W280&gt;=110),0.12,0)+IF(AND(V280&gt;=175,W280&lt;55),0.2,0)+IF(AND(V280&gt;=175,W280&gt;=55,W280&lt;95),0.15,0)+IF(AND(V280&gt;=175,W280&gt;=95),0.12,0),
IF(AF280="DoEVku",IF(AND(V280&lt;20,W280&lt;55),0.23,0)+IF(AND(V280&lt;20,W280&gt;=55,W280&lt;105),0.2,0)+IF(AND(V280&lt;20,W280&gt;=105),0.17,0)+IF(AND(V280&gt;=20,V280&lt;40,W280&lt;45),0.23,0)+IF(AND(V280&gt;=20,V280&lt;40,W280&gt;=45,W280&lt;95),0.2,0)+IF(AND(V280&gt;=20,V280&lt;40,W280&gt;=95,W280&lt;=150),0.17,0)+IF(AND(V280&gt;=20,V280&lt;40,W280&gt;=150),0.12,0)+IF(AND(V280&gt;=40,V280&lt;75,W280&lt;35),0.23,0)+IF(AND(V280&gt;=40,V280&lt;75,W280&gt;=35,W280&lt;75),0.2,0)+IF(AND(V280&gt;=40,V280&lt;75,W280&gt;=75,W280&lt;120),0.17,0)+IF(AND(V280&gt;=40,V280&lt;75,W280&gt;=120),0.12,0)+IF(AND(V280&gt;=75,V280&lt;175,W280&lt;35),0.23,0)+IF(AND(V280&gt;=75,V280&lt;=175,W280&gt;=35,W280&lt;65),0.2,0)+IF(AND(V280&gt;=75,V280&lt;=175,W280&gt;=65,W280&lt;110),0.17,0)+IF(AND(V280&gt;=75,V280&lt;=175,W280&gt;=110),0.12,0)+IF(AND(V280&gt;175,W280&lt;25),0.23,0)+IF(AND(V280&gt;175,W280&gt;=25,W280&lt;55),0.2,0)+IF(AND(V280&gt;175,W280&gt;=55,W280&lt;95),0.17,0)+IF(AND(V280&gt;175,W280&gt;=95),0.12,0),
IF(AF280="DoEVs1",IF(AND(V280&lt;20,W280&lt;55),0.3,0)+IF(AND(V280&lt;20,W280&gt;=55,W280&lt;105),0.23,0)+IF(AND(V280&lt;20,W280&gt;=105),0.17,0)+IF(AND(V280&gt;=20,V280&lt;40,W280&lt;45),0.3,0)+IF(AND(V280&gt;=20,V280&lt;40,W280&gt;=45,W280&lt;95),0.23,0)+IF(AND(V280&gt;=20,V280&lt;40,W280&gt;=95,W280&lt;=150),0.17,0)+IF(AND(V280&gt;=20,V280&lt;40,W280&gt;=150),0.12,0)+IF(AND(V280&gt;=40,V280&lt;75,W280&lt;35),0.3,0)+IF(AND(V280&gt;=40,V280&lt;75,W280&gt;=35,W280&lt;75),0.23,0)+IF(AND(V280&gt;=40,V280&lt;75,W280&gt;=75,W280&lt;120),0.17,0)+IF(AND(V280&gt;=40,V280&lt;75,W280&gt;=120),0.12,0)+IF(AND(V280&gt;=75,V280&lt;175,W280&lt;35),0.3,0)+IF(AND(V280&gt;=75,V280&lt;=175,W280&gt;=35,W280&lt;65),0.23,0)+IF(AND(V280&gt;=75,V280&lt;=175,W280&gt;=65,W280&lt;110),0.17,0)+IF(AND(V280&gt;=75,V280&lt;=175,W280&gt;=110),0.12,0)+IF(AND(V280&gt;175,W280&lt;25),0.3,0)+IF(AND(V280&gt;175,W280&gt;=25,W280&lt;55),0.23,0)+IF(AND(V280&gt;175,W280&gt;=55,W280&lt;95),0.17,0)+IF(AND(V280&gt;175,W280&gt;=95),0.12,0),
IF(AF280="DoEVsu",IF(AND(V280&lt;20,W280&lt;55),0.3,0)+IF(AND(V280&lt;20,W280&gt;=55,W280&lt;105),0.23,0)+IF(AND(V280&lt;20,W280&gt;=105),0.17,0)+IF(AND(V280&gt;=20,V280&lt;40,W280&lt;45),0.3,0)+IF(AND(V280&gt;=20,V280&lt;40,W280&gt;=45,W280&lt;95),0.23,0)+IF(AND(V280&gt;=20,V280&lt;40,W280&gt;=95,W280&lt;=250),0.17,0)+IF(AND(V280&gt;=20,V280&lt;40,W280&gt;=250),0.12,0)+IF(AND(V280&gt;=40,V280&lt;75,W280&lt;35),0.3,0)+IF(AND(V280&gt;=40,V280&lt;75,W280&gt;=35,W280&lt;75),0.23,0)+IF(AND(V280&gt;=40,V280&lt;75,W280&gt;=75,W280&lt;120),0.17,0)+IF(AND(V280&gt;=40,V280&lt;75,W280&gt;=120),0.12,0)+IF(AND(V280&gt;=75,V280&lt;175,W280&lt;35),0.3,0)+IF(AND(V280&gt;=75,V280&lt;=175,W280&gt;=35,W280&lt;65),0.23,0)+IF(AND(V280&gt;=75,V280&lt;=175,W280&gt;=65,W280&lt;110),0.17,0)+IF(AND(V280&gt;=75,V280&lt;=175,W280&gt;=110),0.12,0)+IF(AND(V280&gt;175,W280&lt;25),0.3,0)+IF(AND(V280&gt;175,W280&gt;=25,W280&lt;55),0.23,0)+IF(AND(V280&gt;175,W280&gt;=55,W280&lt;95),0.17,0)+IF(AND(V280&gt;175,W280&gt;=95),0.12,0),
IF(AF280="DoEVni",IF(AND(V280&lt;20,W280&lt;55),0.3,0)+IF(AND(V280&lt;20,W280&gt;=55,W280&lt;105),0.23,0)+IF(AND(V280&lt;20,W280&gt;=105),0.17,0)+IF(AND(V280&gt;=20,V280&lt;40,W280&lt;45),0.3,0)+IF(AND(V280&gt;=20,V280&lt;40,W280&gt;=45,W280&lt;95),0.23,0)+IF(AND(V280&gt;=20,V280&lt;40,W280&gt;=95,W280&lt;=200),0.17,0)+IF(AND(V280&gt;=20,V280&lt;40,W280&gt;=200),0.12,0)+IF(AND(V280&gt;=40,V280&lt;75,W280&lt;35),0.3,0)+IF(AND(V280&gt;=40,V280&lt;75,W280&gt;=35,W280&lt;75),0.23,0)+IF(AND(V280&gt;=40,V280&lt;75,W280&gt;=75,W280&lt;120),0.17,0)+IF(AND(V280&gt;=40,V280&lt;75,W280&gt;=120),0.12,0)+IF(AND(V280&gt;=75,V280&lt;175,W280&lt;35),0.3,0)+IF(AND(V280&gt;=75,V280&lt;=175,W280&gt;=35,W280&lt;65),0.23,0)+IF(AND(V280&gt;=75,V280&lt;=175,W280&gt;=65,W280&lt;110),0.17,0)+IF(AND(V280&gt;=75,V280&lt;=175,W280&gt;=110),0.12,0)+IF(AND(V280&gt;175,W280&lt;25),0.3,0)+IF(AND(V280&gt;175,W280&gt;=25,W280&lt;55),0.23,0)+IF(AND(V280&gt;175,W280&gt;=55,W280&lt;95),0.17,0)+IF(AND(V280&gt;175,W280&gt;=95),0.12,0),
IF(AF280="DoEVLo",IF(AND(V280&lt;20,W280&lt;55),0.25,0)+IF(AND(V280&lt;20,W280&gt;=55,W280&lt;105),0.2,0)+IF(AND(V280&lt;20,W280&gt;=105),0.15,0)+IF(AND(V280&gt;=20,V280&lt;40,W280&lt;45),0.25,0)+IF(AND(V280&gt;=20,V280&lt;40,W280&gt;=45,W280&lt;95),0.2,0)+IF(AND(V280&gt;=20,V280&lt;40,W280&gt;=95),0.15,0)+IF(AND(V280&gt;=40,V280&lt;75,W280&lt;35),0.25,0)+IF(AND(V280&gt;=40,V280&lt;75,W280&gt;=35,W280&lt;75),0.2,0)+IF(AND(V280&gt;=40,V280&lt;75,W280&gt;=75,W280&lt;120),0.15,0)+IF(AND(V280&gt;=40,V280&lt;75,W280&gt;=120),0.1,0)+IF(AND(V280&gt;=75,V280&lt;175,W280&lt;35),0.25,0)+IF(AND(V280&gt;=75,V280&lt;=175,W280&gt;=35,W280&lt;65),0.2,0)+IF(AND(V280&gt;=75,V280&lt;=175,W280&gt;=65,W280&lt;110),0.15,0)+IF(AND(V280&gt;=75,V280&lt;=175,W280&gt;=110),0.1,0)+IF(AND(V280&gt;175,W280&lt;25),0.25,0)+IF(AND(V280&gt;175,W280&gt;=25,W280&lt;55),0.2,0)+IF(AND(V280&gt;175,W280&gt;=55,W280&lt;95),0.15,0)+IF(AND(V280&gt;175,W280&gt;=95),0.1,0))))))))))))))))</f>
        <v>0.3</v>
      </c>
      <c r="Y280" s="30">
        <f>IF(AG280="None",0,IF(AG280="Fix5",0.05,IF(AG280="Fix3.75",0.0375,IF(AG280="Fix10",0.1,IF(AG280="Fix3",0.03,0)))))</f>
        <v>0</v>
      </c>
      <c r="Z280" s="35">
        <f>T280-AA280-AB280</f>
        <v>26.6</v>
      </c>
      <c r="AA280" s="29">
        <f>IF(AD280="EUR",((T280-R280)*X280)*U280+(R280*X280),(T280*X280))</f>
        <v>11.4</v>
      </c>
      <c r="AB280" s="36">
        <f>IF(AD280="EUR",((T280-R280)*Y280)*U280+(R280*Y280),(T280*Y280))</f>
        <v>0</v>
      </c>
      <c r="AC280" s="37" t="b">
        <v>1</v>
      </c>
      <c r="AD280" s="37" t="s">
        <v>38</v>
      </c>
      <c r="AE280" s="37" t="s">
        <v>38</v>
      </c>
      <c r="AF280" s="37" t="str">
        <f t="array" ref="AF280">INDEX('Deal Info'!D:D, MATCH(A280,'Deal Info'!A:A, 0))</f>
        <v>SF</v>
      </c>
      <c r="AG280" s="38" t="str">
        <f t="array" ref="AG280">INDEX('Deal Info'!G:G, MATCH(A280,'Deal Info'!A:A, 0))</f>
        <v>None</v>
      </c>
    </row>
    <row r="281" spans="1:33" ht="14.25" hidden="1" x14ac:dyDescent="0.2">
      <c r="A281" s="18" t="str">
        <f t="array" ref="A281">IF(G281='Room Info'!$B$1, INDEX('Room Info'!$A$2:$A2446, MATCH(B281,'Room Info'!$B$2:$B2446, 0)),IF(G281='Room Info'!$C$1, INDEX('Room Info'!$A$2:$A2446, MATCH(B281,'Room Info'!$C$2:$C2446, 0)),IF(G281='Room Info'!$D$1, INDEX('Room Info'!$A$2:$A2446, MATCH(B281,'Room Info'!$D$2:$D2446, 0)),IF(G281='Room Info'!$E$1, INDEX('Room Info'!$A$2:$A2446, MATCH(B281,'Room Info'!$E$2:$E2446, 0)),IF(G281='Room Info'!$F$1, INDEX('Room Info'!$A$2:$A2446, MATCH(B281,'Room Info'!$F$2:$F2446, 0)),IF(G281='Room Info'!$H$1, INDEX('Room Info'!$A$2:$A2446, MATCH(B281,'Room Info'!$H$2:$H2446, 0)),IF(G281='Room Info'!$G$1, INDEX('Room Info'!$A$2:$A2446, MATCH(B281,'Room Info'!$G$2:$G2446, 0)))))))))</f>
        <v>Mexanuk_AV</v>
      </c>
      <c r="B281" s="45" t="s">
        <v>113</v>
      </c>
      <c r="C281" s="92">
        <v>44886</v>
      </c>
      <c r="D281" s="46">
        <v>44915</v>
      </c>
      <c r="E281" s="47">
        <v>44896</v>
      </c>
      <c r="F281" s="48" t="s">
        <v>34</v>
      </c>
      <c r="G281" s="45" t="s">
        <v>35</v>
      </c>
      <c r="H281" s="49" t="s">
        <v>46</v>
      </c>
      <c r="I281" s="49" t="s">
        <v>37</v>
      </c>
      <c r="J281" s="50">
        <v>25</v>
      </c>
      <c r="K281" s="51">
        <v>797</v>
      </c>
      <c r="L281" s="52">
        <v>-325</v>
      </c>
      <c r="M281" s="53">
        <v>1100</v>
      </c>
      <c r="N281" s="28">
        <f>K281*J281</f>
        <v>19925</v>
      </c>
      <c r="O281" s="54">
        <v>8512</v>
      </c>
      <c r="P281" s="29">
        <v>10.680050189999999</v>
      </c>
      <c r="Q281" s="55"/>
      <c r="R281" s="31">
        <f>M281+Q281</f>
        <v>1100</v>
      </c>
      <c r="S281" s="56">
        <v>-877</v>
      </c>
      <c r="T281" s="32">
        <f>R281+S281+IF(F281="Without EV deal",L281,0)</f>
        <v>223</v>
      </c>
      <c r="U281" s="57">
        <v>1</v>
      </c>
      <c r="V281" s="69">
        <v>23.487133984028393</v>
      </c>
      <c r="W281" s="58">
        <v>0.38</v>
      </c>
      <c r="X281" s="30">
        <f>IF(AF281="DoEV",IF(AND(V281&lt;20,W281&lt;55),0.3,0)+IF(AND(V281&lt;20,W281&gt;=55,W281&lt;105),0.23,0)+IF(AND(V281&lt;20,W281&gt;=105),0.17,0)+IF(AND(V281&gt;=20,V281&lt;40,W281&lt;45),0.3,0)+IF(AND(V281&gt;=20,V281&lt;40,W281&gt;=45,W281&lt;95),0.23,0)+IF(AND(V281&gt;=20,V281&lt;40,W281&gt;=95),0.17,0)+IF(AND(V281&gt;=40,V281&lt;75,W281&lt;35),0.3,0)+IF(AND(V281&gt;=40,V281&lt;75,W281&gt;=35,W281&lt;75),0.23,0)+IF(AND(V281&gt;=40,V281&lt;75,W281&gt;=75,W281&lt;120),0.17,0)+IF(AND(V281&gt;=40,V281&lt;75,W281&gt;=120),0.12,0)+IF(AND(V281&gt;=75,V281&lt;175,W281&lt;35),0.3,0)+IF(AND(V281&gt;=75,V281&lt;=175,W281&gt;=35,W281&lt;65),0.23,0)+IF(AND(V281&gt;=75,V281&lt;=175,W281&gt;=65,W281&lt;110),0.17,0)+IF(AND(V281&gt;=75,V281&lt;=175,W281&gt;=110),0.12,0)+IF(AND(V281&gt;175,W281&lt;25),0.3,0)+IF(AND(V281&gt;175,W281&gt;=25,W281&lt;55),0.23,0)+IF(AND(V281&gt;175,W281&gt;=55,W281&lt;95),0.17,0)+IF(AND(V281&gt;175,W281&gt;=95),0.12,0),
IF(AF281="Fix15",0.15,
IF(AF281="Fix11.25",0.1125,
IF(AF281="Fix10",0.1,
IF(AF281="Fix9",0.09,
IF(AF281="DoEV2017",IF(AND(W281&lt;74),0.2,0)+IF(AND(W281&gt;=74),0.17,0),
IF(AF281="SF",IF(AND(V281&lt;20,W281&lt;89),0.3,0)+IF(AND(V281&lt;20,W281&gt;=89),0.25,0)+IF(AND(V281&gt;=20,V281&lt;40,W281&lt;74),0.3,0)+IF(AND(V281&gt;=20,V281&lt;40,W281&gt;=75),0.22,0)+IF(AND(V281&gt;=40,V281&lt;75,W281&lt;75),0.26,0)+IF(AND(V281&gt;=40,V281&lt;75,W281&gt;=75),0.22,0)+IF(V281&gt;=75,0.22,0),
IF(AF281="DoEVold",IF(AND(V281&lt;40,W281&lt;35),0.35,0)+IF(AND(V281&lt;40,W281&gt;=35,W281&lt;75),0.25,0)+IF(AND(V281&lt;40,W281&gt;=75),0.17,0)+IF(AND(V281&gt;=40,V281&lt;75,W281&lt;25),0.35,0)+IF(AND(V281&gt;=40,V281&lt;75,W281&gt;=25,W281&lt;65),0.25,0)+IF(AND(V281&gt;=40,V281&lt;75,W281&gt;=65,W281&lt;100),0.17,0)+IF(AND(V281&gt;=40,V281&lt;75,W281&gt;=100),0.1,0)+IF(AND(V281&gt;=75,W281&lt;25),0.35,0)+IF(AND(V281&gt;=75,W281&gt;=25,W281&lt;60),0.25,0)+IF(AND(V281&gt;=75,W281&gt;=60,W281&lt;95),0.17,0)+IF(AND(V281&gt;=75,W281&gt;=95),0.1,0),
IF(AF281="DoEVold15",IF(AND(V281&lt;=40,W281&lt;35),0.35,0)+IF(AND(V281&lt;=40,W281&gt;=35,W281&lt;75),0.25,0)+IF(AND(V281&lt;=40,W281&gt;=75,W281&lt;120),0.17,0)+IF(AND(V281&lt;=40,W281&gt;=120),0.15,0)+IF(AND(V281&gt;40,V281&lt;75,W281&lt;25),0.35,0)+IF(AND(V281&gt;=40,V281&lt;75,W281&gt;=25,W281&lt;65),0.25,0)+IF(AND(V281&gt;=40,V281&lt;75,W281&gt;=65,W281&lt;100),0.17,0)+IF(AND(V281&gt;=40,V281&lt;75,W281&gt;=100),0.1,0)+IF(AND(V281&gt;=75,W281&lt;25),0.35,0)+IF(AND(V281&gt;=75,W281&gt;=25,W281&lt;60),0.25,0)+IF(AND(V281&gt;=75,W281&gt;=60,W281&lt;95),0.17,0)+IF(AND(V281&gt;=75,W281&gt;=95),0.1,0),
IF(AF281="DoEVba",IF(AND(V281&lt;20,W281&lt;105),0.2,0)+IF(AND(V281&lt;20,W281&gt;=105),0.15,0)+IF(AND(V281&gt;=20,V281&lt;40,W281&lt;95),0.2,0)+IF(AND(V281&gt;=20,V281&lt;40,W281&gt;=95,W281&lt;150),0.15,0)+IF(AND(V281&gt;=20,V281&lt;40,W281&gt;=150),0.12,0)+IF(AND(V281&gt;=40,V281&lt;75,W281&lt;75),0.2,0)+IF(AND(V281&gt;=40,V281&lt;75,W281&gt;=75,W281&lt;120),0.15,0)+IF(AND(V281&gt;=40,V281&lt;75,W281&gt;=120),0.12,0)+IF(AND(V281&gt;=75,V281&lt;175,W281&lt;65),0.2,0)+IF(AND(V281&gt;=75,V281&lt;175,W281&gt;=65,W281&lt;110),0.15,0)+IF(AND(V281&gt;=75,V281&lt;175,W281&gt;=110),0.12,0)+IF(AND(V281&gt;=175,W281&lt;55),0.2,0)+IF(AND(V281&gt;=175,W281&gt;=55,W281&lt;95),0.15,0)+IF(AND(V281&gt;=175,W281&gt;=95),0.12,0),
IF(AF281="DoEVku",IF(AND(V281&lt;20,W281&lt;55),0.23,0)+IF(AND(V281&lt;20,W281&gt;=55,W281&lt;105),0.2,0)+IF(AND(V281&lt;20,W281&gt;=105),0.17,0)+IF(AND(V281&gt;=20,V281&lt;40,W281&lt;45),0.23,0)+IF(AND(V281&gt;=20,V281&lt;40,W281&gt;=45,W281&lt;95),0.2,0)+IF(AND(V281&gt;=20,V281&lt;40,W281&gt;=95,W281&lt;=150),0.17,0)+IF(AND(V281&gt;=20,V281&lt;40,W281&gt;=150),0.12,0)+IF(AND(V281&gt;=40,V281&lt;75,W281&lt;35),0.23,0)+IF(AND(V281&gt;=40,V281&lt;75,W281&gt;=35,W281&lt;75),0.2,0)+IF(AND(V281&gt;=40,V281&lt;75,W281&gt;=75,W281&lt;120),0.17,0)+IF(AND(V281&gt;=40,V281&lt;75,W281&gt;=120),0.12,0)+IF(AND(V281&gt;=75,V281&lt;175,W281&lt;35),0.23,0)+IF(AND(V281&gt;=75,V281&lt;=175,W281&gt;=35,W281&lt;65),0.2,0)+IF(AND(V281&gt;=75,V281&lt;=175,W281&gt;=65,W281&lt;110),0.17,0)+IF(AND(V281&gt;=75,V281&lt;=175,W281&gt;=110),0.12,0)+IF(AND(V281&gt;175,W281&lt;25),0.23,0)+IF(AND(V281&gt;175,W281&gt;=25,W281&lt;55),0.2,0)+IF(AND(V281&gt;175,W281&gt;=55,W281&lt;95),0.17,0)+IF(AND(V281&gt;175,W281&gt;=95),0.12,0),
IF(AF281="DoEVs1",IF(AND(V281&lt;20,W281&lt;55),0.3,0)+IF(AND(V281&lt;20,W281&gt;=55,W281&lt;105),0.23,0)+IF(AND(V281&lt;20,W281&gt;=105),0.17,0)+IF(AND(V281&gt;=20,V281&lt;40,W281&lt;45),0.3,0)+IF(AND(V281&gt;=20,V281&lt;40,W281&gt;=45,W281&lt;95),0.23,0)+IF(AND(V281&gt;=20,V281&lt;40,W281&gt;=95,W281&lt;=150),0.17,0)+IF(AND(V281&gt;=20,V281&lt;40,W281&gt;=150),0.12,0)+IF(AND(V281&gt;=40,V281&lt;75,W281&lt;35),0.3,0)+IF(AND(V281&gt;=40,V281&lt;75,W281&gt;=35,W281&lt;75),0.23,0)+IF(AND(V281&gt;=40,V281&lt;75,W281&gt;=75,W281&lt;120),0.17,0)+IF(AND(V281&gt;=40,V281&lt;75,W281&gt;=120),0.12,0)+IF(AND(V281&gt;=75,V281&lt;175,W281&lt;35),0.3,0)+IF(AND(V281&gt;=75,V281&lt;=175,W281&gt;=35,W281&lt;65),0.23,0)+IF(AND(V281&gt;=75,V281&lt;=175,W281&gt;=65,W281&lt;110),0.17,0)+IF(AND(V281&gt;=75,V281&lt;=175,W281&gt;=110),0.12,0)+IF(AND(V281&gt;175,W281&lt;25),0.3,0)+IF(AND(V281&gt;175,W281&gt;=25,W281&lt;55),0.23,0)+IF(AND(V281&gt;175,W281&gt;=55,W281&lt;95),0.17,0)+IF(AND(V281&gt;175,W281&gt;=95),0.12,0),
IF(AF281="DoEVsu",IF(AND(V281&lt;20,W281&lt;55),0.3,0)+IF(AND(V281&lt;20,W281&gt;=55,W281&lt;105),0.23,0)+IF(AND(V281&lt;20,W281&gt;=105),0.17,0)+IF(AND(V281&gt;=20,V281&lt;40,W281&lt;45),0.3,0)+IF(AND(V281&gt;=20,V281&lt;40,W281&gt;=45,W281&lt;95),0.23,0)+IF(AND(V281&gt;=20,V281&lt;40,W281&gt;=95,W281&lt;=250),0.17,0)+IF(AND(V281&gt;=20,V281&lt;40,W281&gt;=250),0.12,0)+IF(AND(V281&gt;=40,V281&lt;75,W281&lt;35),0.3,0)+IF(AND(V281&gt;=40,V281&lt;75,W281&gt;=35,W281&lt;75),0.23,0)+IF(AND(V281&gt;=40,V281&lt;75,W281&gt;=75,W281&lt;120),0.17,0)+IF(AND(V281&gt;=40,V281&lt;75,W281&gt;=120),0.12,0)+IF(AND(V281&gt;=75,V281&lt;175,W281&lt;35),0.3,0)+IF(AND(V281&gt;=75,V281&lt;=175,W281&gt;=35,W281&lt;65),0.23,0)+IF(AND(V281&gt;=75,V281&lt;=175,W281&gt;=65,W281&lt;110),0.17,0)+IF(AND(V281&gt;=75,V281&lt;=175,W281&gt;=110),0.12,0)+IF(AND(V281&gt;175,W281&lt;25),0.3,0)+IF(AND(V281&gt;175,W281&gt;=25,W281&lt;55),0.23,0)+IF(AND(V281&gt;175,W281&gt;=55,W281&lt;95),0.17,0)+IF(AND(V281&gt;175,W281&gt;=95),0.12,0),
IF(AF281="DoEVni",IF(AND(V281&lt;20,W281&lt;55),0.3,0)+IF(AND(V281&lt;20,W281&gt;=55,W281&lt;105),0.23,0)+IF(AND(V281&lt;20,W281&gt;=105),0.17,0)+IF(AND(V281&gt;=20,V281&lt;40,W281&lt;45),0.3,0)+IF(AND(V281&gt;=20,V281&lt;40,W281&gt;=45,W281&lt;95),0.23,0)+IF(AND(V281&gt;=20,V281&lt;40,W281&gt;=95,W281&lt;=200),0.17,0)+IF(AND(V281&gt;=20,V281&lt;40,W281&gt;=200),0.12,0)+IF(AND(V281&gt;=40,V281&lt;75,W281&lt;35),0.3,0)+IF(AND(V281&gt;=40,V281&lt;75,W281&gt;=35,W281&lt;75),0.23,0)+IF(AND(V281&gt;=40,V281&lt;75,W281&gt;=75,W281&lt;120),0.17,0)+IF(AND(V281&gt;=40,V281&lt;75,W281&gt;=120),0.12,0)+IF(AND(V281&gt;=75,V281&lt;175,W281&lt;35),0.3,0)+IF(AND(V281&gt;=75,V281&lt;=175,W281&gt;=35,W281&lt;65),0.23,0)+IF(AND(V281&gt;=75,V281&lt;=175,W281&gt;=65,W281&lt;110),0.17,0)+IF(AND(V281&gt;=75,V281&lt;=175,W281&gt;=110),0.12,0)+IF(AND(V281&gt;175,W281&lt;25),0.3,0)+IF(AND(V281&gt;175,W281&gt;=25,W281&lt;55),0.23,0)+IF(AND(V281&gt;175,W281&gt;=55,W281&lt;95),0.17,0)+IF(AND(V281&gt;175,W281&gt;=95),0.12,0),
IF(AF281="DoEVLo",IF(AND(V281&lt;20,W281&lt;55),0.25,0)+IF(AND(V281&lt;20,W281&gt;=55,W281&lt;105),0.2,0)+IF(AND(V281&lt;20,W281&gt;=105),0.15,0)+IF(AND(V281&gt;=20,V281&lt;40,W281&lt;45),0.25,0)+IF(AND(V281&gt;=20,V281&lt;40,W281&gt;=45,W281&lt;95),0.2,0)+IF(AND(V281&gt;=20,V281&lt;40,W281&gt;=95),0.15,0)+IF(AND(V281&gt;=40,V281&lt;75,W281&lt;35),0.25,0)+IF(AND(V281&gt;=40,V281&lt;75,W281&gt;=35,W281&lt;75),0.2,0)+IF(AND(V281&gt;=40,V281&lt;75,W281&gt;=75,W281&lt;120),0.15,0)+IF(AND(V281&gt;=40,V281&lt;75,W281&gt;=120),0.1,0)+IF(AND(V281&gt;=75,V281&lt;175,W281&lt;35),0.25,0)+IF(AND(V281&gt;=75,V281&lt;=175,W281&gt;=35,W281&lt;65),0.2,0)+IF(AND(V281&gt;=75,V281&lt;=175,W281&gt;=65,W281&lt;110),0.15,0)+IF(AND(V281&gt;=75,V281&lt;=175,W281&gt;=110),0.1,0)+IF(AND(V281&gt;175,W281&lt;25),0.25,0)+IF(AND(V281&gt;175,W281&gt;=25,W281&lt;55),0.2,0)+IF(AND(V281&gt;175,W281&gt;=55,W281&lt;95),0.15,0)+IF(AND(V281&gt;175,W281&gt;=95),0.1,0))))))))))))))))</f>
        <v>0.3</v>
      </c>
      <c r="Y281" s="30">
        <f>IF(AG281="None",0,IF(AG281="Fix5",0.05,IF(AG281="Fix3.75",0.0375,IF(AG281="Fix10",0.1,IF(AG281="Fix3",0.03,0)))))</f>
        <v>0</v>
      </c>
      <c r="Z281" s="35">
        <f>T281-AA281-AB281</f>
        <v>156.10000000000002</v>
      </c>
      <c r="AA281" s="29">
        <f>IF(AD281="EUR",((T281-R281)*X281)*U281+(R281*X281),(T281*X281))</f>
        <v>66.899999999999991</v>
      </c>
      <c r="AB281" s="36">
        <f>IF(AD281="EUR",((T281-R281)*Y281)*U281+(R281*Y281),(T281*Y281))</f>
        <v>0</v>
      </c>
      <c r="AC281" s="37" t="b">
        <v>1</v>
      </c>
      <c r="AD281" s="37" t="s">
        <v>38</v>
      </c>
      <c r="AE281" s="37" t="s">
        <v>38</v>
      </c>
      <c r="AF281" s="37" t="str">
        <f t="array" ref="AF281">INDEX('Deal Info'!D:D, MATCH(A281,'Deal Info'!A:A, 0))</f>
        <v>SF</v>
      </c>
      <c r="AG281" s="38" t="str">
        <f t="array" ref="AG281">INDEX('Deal Info'!G:G, MATCH(A281,'Deal Info'!A:A, 0))</f>
        <v>None</v>
      </c>
    </row>
    <row r="282" spans="1:33" ht="14.25" hidden="1" x14ac:dyDescent="0.2">
      <c r="A282" s="18" t="str">
        <f t="array" ref="A282">IF(G282='Room Info'!$B$1, INDEX('Room Info'!$A$2:$A2446, MATCH(B282,'Room Info'!$B$2:$B2446, 0)),IF(G282='Room Info'!$C$1, INDEX('Room Info'!$A$2:$A2446, MATCH(B282,'Room Info'!$C$2:$C2446, 0)),IF(G282='Room Info'!$D$1, INDEX('Room Info'!$A$2:$A2446, MATCH(B282,'Room Info'!$D$2:$D2446, 0)),IF(G282='Room Info'!$E$1, INDEX('Room Info'!$A$2:$A2446, MATCH(B282,'Room Info'!$E$2:$E2446, 0)),IF(G282='Room Info'!$F$1, INDEX('Room Info'!$A$2:$A2446, MATCH(B282,'Room Info'!$F$2:$F2446, 0)),IF(G282='Room Info'!$H$1, INDEX('Room Info'!$A$2:$A2446, MATCH(B282,'Room Info'!$H$2:$H2446, 0)),IF(G282='Room Info'!$G$1, INDEX('Room Info'!$A$2:$A2446, MATCH(B282,'Room Info'!$G$2:$G2446, 0)))))))))</f>
        <v>SDEBA1</v>
      </c>
      <c r="B282" s="45" t="s">
        <v>114</v>
      </c>
      <c r="C282" s="92">
        <v>44802</v>
      </c>
      <c r="D282" s="46">
        <v>44824</v>
      </c>
      <c r="E282" s="47">
        <v>44805</v>
      </c>
      <c r="F282" s="45" t="s">
        <v>34</v>
      </c>
      <c r="G282" s="45" t="s">
        <v>35</v>
      </c>
      <c r="H282" s="49" t="s">
        <v>39</v>
      </c>
      <c r="I282" s="49" t="s">
        <v>37</v>
      </c>
      <c r="J282" s="50">
        <v>5</v>
      </c>
      <c r="K282" s="51">
        <v>121</v>
      </c>
      <c r="L282" s="52">
        <v>-80</v>
      </c>
      <c r="M282" s="53">
        <v>14</v>
      </c>
      <c r="N282" s="28">
        <f>K282*J282</f>
        <v>605</v>
      </c>
      <c r="O282" s="54">
        <v>-865</v>
      </c>
      <c r="P282" s="29">
        <v>-7.1487603310000001</v>
      </c>
      <c r="Q282" s="55"/>
      <c r="R282" s="31">
        <f>M282+Q282</f>
        <v>14</v>
      </c>
      <c r="S282" s="56">
        <v>-61</v>
      </c>
      <c r="T282" s="32">
        <f>R282+S282+IF(F282="Without EV deal",L282,0)</f>
        <v>-47</v>
      </c>
      <c r="U282" s="57">
        <v>1</v>
      </c>
      <c r="V282" s="69">
        <v>8.1360150925024346</v>
      </c>
      <c r="W282" s="58">
        <v>35.15</v>
      </c>
      <c r="X282" s="30">
        <f>IF(AF282="DoEV",IF(AND(V282&lt;20,W282&lt;55),0.3,0)+IF(AND(V282&lt;20,W282&gt;=55,W282&lt;105),0.23,0)+IF(AND(V282&lt;20,W282&gt;=105),0.17,0)+IF(AND(V282&gt;=20,V282&lt;40,W282&lt;45),0.3,0)+IF(AND(V282&gt;=20,V282&lt;40,W282&gt;=45,W282&lt;95),0.23,0)+IF(AND(V282&gt;=20,V282&lt;40,W282&gt;=95),0.17,0)+IF(AND(V282&gt;=40,V282&lt;75,W282&lt;35),0.3,0)+IF(AND(V282&gt;=40,V282&lt;75,W282&gt;=35,W282&lt;75),0.23,0)+IF(AND(V282&gt;=40,V282&lt;75,W282&gt;=75,W282&lt;120),0.17,0)+IF(AND(V282&gt;=40,V282&lt;75,W282&gt;=120),0.12,0)+IF(AND(V282&gt;=75,V282&lt;175,W282&lt;35),0.3,0)+IF(AND(V282&gt;=75,V282&lt;=175,W282&gt;=35,W282&lt;65),0.23,0)+IF(AND(V282&gt;=75,V282&lt;=175,W282&gt;=65,W282&lt;110),0.17,0)+IF(AND(V282&gt;=75,V282&lt;=175,W282&gt;=110),0.12,0)+IF(AND(V282&gt;175,W282&lt;25),0.3,0)+IF(AND(V282&gt;175,W282&gt;=25,W282&lt;55),0.23,0)+IF(AND(V282&gt;175,W282&gt;=55,W282&lt;95),0.17,0)+IF(AND(V282&gt;175,W282&gt;=95),0.12,0),
IF(AF282="Fix15",0.15,
IF(AF282="Fix11.25",0.1125,
IF(AF282="Fix10",0.1,
IF(AF282="Fix9",0.09,
IF(AF282="DoEV2017",IF(AND(W282&lt;74),0.2,0)+IF(AND(W282&gt;=74),0.17,0),
IF(AF282="SF",IF(AND(V282&lt;20,W282&lt;89),0.3,0)+IF(AND(V282&lt;20,W282&gt;=89),0.25,0)+IF(AND(V282&gt;=20,V282&lt;40,W282&lt;74),0.3,0)+IF(AND(V282&gt;=20,V282&lt;40,W282&gt;=75),0.22,0)+IF(AND(V282&gt;=40,V282&lt;75,W282&lt;75),0.26,0)+IF(AND(V282&gt;=40,V282&lt;75,W282&gt;=75),0.22,0)+IF(V282&gt;=75,0.22,0),
IF(AF282="DoEVold",IF(AND(V282&lt;40,W282&lt;35),0.35,0)+IF(AND(V282&lt;40,W282&gt;=35,W282&lt;75),0.25,0)+IF(AND(V282&lt;40,W282&gt;=75),0.17,0)+IF(AND(V282&gt;=40,V282&lt;75,W282&lt;25),0.35,0)+IF(AND(V282&gt;=40,V282&lt;75,W282&gt;=25,W282&lt;65),0.25,0)+IF(AND(V282&gt;=40,V282&lt;75,W282&gt;=65,W282&lt;100),0.17,0)+IF(AND(V282&gt;=40,V282&lt;75,W282&gt;=100),0.1,0)+IF(AND(V282&gt;=75,W282&lt;25),0.35,0)+IF(AND(V282&gt;=75,W282&gt;=25,W282&lt;60),0.25,0)+IF(AND(V282&gt;=75,W282&gt;=60,W282&lt;95),0.17,0)+IF(AND(V282&gt;=75,W282&gt;=95),0.1,0),
IF(AF282="DoEVold15",IF(AND(V282&lt;=40,W282&lt;35),0.35,0)+IF(AND(V282&lt;=40,W282&gt;=35,W282&lt;75),0.25,0)+IF(AND(V282&lt;=40,W282&gt;=75,W282&lt;120),0.17,0)+IF(AND(V282&lt;=40,W282&gt;=120),0.15,0)+IF(AND(V282&gt;40,V282&lt;75,W282&lt;25),0.35,0)+IF(AND(V282&gt;=40,V282&lt;75,W282&gt;=25,W282&lt;65),0.25,0)+IF(AND(V282&gt;=40,V282&lt;75,W282&gt;=65,W282&lt;100),0.17,0)+IF(AND(V282&gt;=40,V282&lt;75,W282&gt;=100),0.1,0)+IF(AND(V282&gt;=75,W282&lt;25),0.35,0)+IF(AND(V282&gt;=75,W282&gt;=25,W282&lt;60),0.25,0)+IF(AND(V282&gt;=75,W282&gt;=60,W282&lt;95),0.17,0)+IF(AND(V282&gt;=75,W282&gt;=95),0.1,0),
IF(AF282="DoEVba",IF(AND(V282&lt;20,W282&lt;105),0.2,0)+IF(AND(V282&lt;20,W282&gt;=105),0.15,0)+IF(AND(V282&gt;=20,V282&lt;40,W282&lt;95),0.2,0)+IF(AND(V282&gt;=20,V282&lt;40,W282&gt;=95,W282&lt;150),0.15,0)+IF(AND(V282&gt;=20,V282&lt;40,W282&gt;=150),0.12,0)+IF(AND(V282&gt;=40,V282&lt;75,W282&lt;75),0.2,0)+IF(AND(V282&gt;=40,V282&lt;75,W282&gt;=75,W282&lt;120),0.15,0)+IF(AND(V282&gt;=40,V282&lt;75,W282&gt;=120),0.12,0)+IF(AND(V282&gt;=75,V282&lt;175,W282&lt;65),0.2,0)+IF(AND(V282&gt;=75,V282&lt;175,W282&gt;=65,W282&lt;110),0.15,0)+IF(AND(V282&gt;=75,V282&lt;175,W282&gt;=110),0.12,0)+IF(AND(V282&gt;=175,W282&lt;55),0.2,0)+IF(AND(V282&gt;=175,W282&gt;=55,W282&lt;95),0.15,0)+IF(AND(V282&gt;=175,W282&gt;=95),0.12,0),
IF(AF282="DoEVku",IF(AND(V282&lt;20,W282&lt;55),0.23,0)+IF(AND(V282&lt;20,W282&gt;=55,W282&lt;105),0.2,0)+IF(AND(V282&lt;20,W282&gt;=105),0.17,0)+IF(AND(V282&gt;=20,V282&lt;40,W282&lt;45),0.23,0)+IF(AND(V282&gt;=20,V282&lt;40,W282&gt;=45,W282&lt;95),0.2,0)+IF(AND(V282&gt;=20,V282&lt;40,W282&gt;=95,W282&lt;=150),0.17,0)+IF(AND(V282&gt;=20,V282&lt;40,W282&gt;=150),0.12,0)+IF(AND(V282&gt;=40,V282&lt;75,W282&lt;35),0.23,0)+IF(AND(V282&gt;=40,V282&lt;75,W282&gt;=35,W282&lt;75),0.2,0)+IF(AND(V282&gt;=40,V282&lt;75,W282&gt;=75,W282&lt;120),0.17,0)+IF(AND(V282&gt;=40,V282&lt;75,W282&gt;=120),0.12,0)+IF(AND(V282&gt;=75,V282&lt;175,W282&lt;35),0.23,0)+IF(AND(V282&gt;=75,V282&lt;=175,W282&gt;=35,W282&lt;65),0.2,0)+IF(AND(V282&gt;=75,V282&lt;=175,W282&gt;=65,W282&lt;110),0.17,0)+IF(AND(V282&gt;=75,V282&lt;=175,W282&gt;=110),0.12,0)+IF(AND(V282&gt;175,W282&lt;25),0.23,0)+IF(AND(V282&gt;175,W282&gt;=25,W282&lt;55),0.2,0)+IF(AND(V282&gt;175,W282&gt;=55,W282&lt;95),0.17,0)+IF(AND(V282&gt;175,W282&gt;=95),0.12,0),
IF(AF282="DoEVs1",IF(AND(V282&lt;20,W282&lt;55),0.3,0)+IF(AND(V282&lt;20,W282&gt;=55,W282&lt;105),0.23,0)+IF(AND(V282&lt;20,W282&gt;=105),0.17,0)+IF(AND(V282&gt;=20,V282&lt;40,W282&lt;45),0.3,0)+IF(AND(V282&gt;=20,V282&lt;40,W282&gt;=45,W282&lt;95),0.23,0)+IF(AND(V282&gt;=20,V282&lt;40,W282&gt;=95,W282&lt;=150),0.17,0)+IF(AND(V282&gt;=20,V282&lt;40,W282&gt;=150),0.12,0)+IF(AND(V282&gt;=40,V282&lt;75,W282&lt;35),0.3,0)+IF(AND(V282&gt;=40,V282&lt;75,W282&gt;=35,W282&lt;75),0.23,0)+IF(AND(V282&gt;=40,V282&lt;75,W282&gt;=75,W282&lt;120),0.17,0)+IF(AND(V282&gt;=40,V282&lt;75,W282&gt;=120),0.12,0)+IF(AND(V282&gt;=75,V282&lt;175,W282&lt;35),0.3,0)+IF(AND(V282&gt;=75,V282&lt;=175,W282&gt;=35,W282&lt;65),0.23,0)+IF(AND(V282&gt;=75,V282&lt;=175,W282&gt;=65,W282&lt;110),0.17,0)+IF(AND(V282&gt;=75,V282&lt;=175,W282&gt;=110),0.12,0)+IF(AND(V282&gt;175,W282&lt;25),0.3,0)+IF(AND(V282&gt;175,W282&gt;=25,W282&lt;55),0.23,0)+IF(AND(V282&gt;175,W282&gt;=55,W282&lt;95),0.17,0)+IF(AND(V282&gt;175,W282&gt;=95),0.12,0),
IF(AF282="DoEVsu",IF(AND(V282&lt;20,W282&lt;55),0.3,0)+IF(AND(V282&lt;20,W282&gt;=55,W282&lt;105),0.23,0)+IF(AND(V282&lt;20,W282&gt;=105),0.17,0)+IF(AND(V282&gt;=20,V282&lt;40,W282&lt;45),0.3,0)+IF(AND(V282&gt;=20,V282&lt;40,W282&gt;=45,W282&lt;95),0.23,0)+IF(AND(V282&gt;=20,V282&lt;40,W282&gt;=95,W282&lt;=250),0.17,0)+IF(AND(V282&gt;=20,V282&lt;40,W282&gt;=250),0.12,0)+IF(AND(V282&gt;=40,V282&lt;75,W282&lt;35),0.3,0)+IF(AND(V282&gt;=40,V282&lt;75,W282&gt;=35,W282&lt;75),0.23,0)+IF(AND(V282&gt;=40,V282&lt;75,W282&gt;=75,W282&lt;120),0.17,0)+IF(AND(V282&gt;=40,V282&lt;75,W282&gt;=120),0.12,0)+IF(AND(V282&gt;=75,V282&lt;175,W282&lt;35),0.3,0)+IF(AND(V282&gt;=75,V282&lt;=175,W282&gt;=35,W282&lt;65),0.23,0)+IF(AND(V282&gt;=75,V282&lt;=175,W282&gt;=65,W282&lt;110),0.17,0)+IF(AND(V282&gt;=75,V282&lt;=175,W282&gt;=110),0.12,0)+IF(AND(V282&gt;175,W282&lt;25),0.3,0)+IF(AND(V282&gt;175,W282&gt;=25,W282&lt;55),0.23,0)+IF(AND(V282&gt;175,W282&gt;=55,W282&lt;95),0.17,0)+IF(AND(V282&gt;175,W282&gt;=95),0.12,0),
IF(AF282="DoEVni",IF(AND(V282&lt;20,W282&lt;55),0.3,0)+IF(AND(V282&lt;20,W282&gt;=55,W282&lt;105),0.23,0)+IF(AND(V282&lt;20,W282&gt;=105),0.17,0)+IF(AND(V282&gt;=20,V282&lt;40,W282&lt;45),0.3,0)+IF(AND(V282&gt;=20,V282&lt;40,W282&gt;=45,W282&lt;95),0.23,0)+IF(AND(V282&gt;=20,V282&lt;40,W282&gt;=95,W282&lt;=200),0.17,0)+IF(AND(V282&gt;=20,V282&lt;40,W282&gt;=200),0.12,0)+IF(AND(V282&gt;=40,V282&lt;75,W282&lt;35),0.3,0)+IF(AND(V282&gt;=40,V282&lt;75,W282&gt;=35,W282&lt;75),0.23,0)+IF(AND(V282&gt;=40,V282&lt;75,W282&gt;=75,W282&lt;120),0.17,0)+IF(AND(V282&gt;=40,V282&lt;75,W282&gt;=120),0.12,0)+IF(AND(V282&gt;=75,V282&lt;175,W282&lt;35),0.3,0)+IF(AND(V282&gt;=75,V282&lt;=175,W282&gt;=35,W282&lt;65),0.23,0)+IF(AND(V282&gt;=75,V282&lt;=175,W282&gt;=65,W282&lt;110),0.17,0)+IF(AND(V282&gt;=75,V282&lt;=175,W282&gt;=110),0.12,0)+IF(AND(V282&gt;175,W282&lt;25),0.3,0)+IF(AND(V282&gt;175,W282&gt;=25,W282&lt;55),0.23,0)+IF(AND(V282&gt;175,W282&gt;=55,W282&lt;95),0.17,0)+IF(AND(V282&gt;175,W282&gt;=95),0.12,0),
IF(AF282="DoEVLo",IF(AND(V282&lt;20,W282&lt;55),0.25,0)+IF(AND(V282&lt;20,W282&gt;=55,W282&lt;105),0.2,0)+IF(AND(V282&lt;20,W282&gt;=105),0.15,0)+IF(AND(V282&gt;=20,V282&lt;40,W282&lt;45),0.25,0)+IF(AND(V282&gt;=20,V282&lt;40,W282&gt;=45,W282&lt;95),0.2,0)+IF(AND(V282&gt;=20,V282&lt;40,W282&gt;=95),0.15,0)+IF(AND(V282&gt;=40,V282&lt;75,W282&lt;35),0.25,0)+IF(AND(V282&gt;=40,V282&lt;75,W282&gt;=35,W282&lt;75),0.2,0)+IF(AND(V282&gt;=40,V282&lt;75,W282&gt;=75,W282&lt;120),0.15,0)+IF(AND(V282&gt;=40,V282&lt;75,W282&gt;=120),0.1,0)+IF(AND(V282&gt;=75,V282&lt;175,W282&lt;35),0.25,0)+IF(AND(V282&gt;=75,V282&lt;=175,W282&gt;=35,W282&lt;65),0.2,0)+IF(AND(V282&gt;=75,V282&lt;=175,W282&gt;=65,W282&lt;110),0.15,0)+IF(AND(V282&gt;=75,V282&lt;=175,W282&gt;=110),0.1,0)+IF(AND(V282&gt;175,W282&lt;25),0.25,0)+IF(AND(V282&gt;175,W282&gt;=25,W282&lt;55),0.2,0)+IF(AND(V282&gt;175,W282&gt;=55,W282&lt;95),0.15,0)+IF(AND(V282&gt;175,W282&gt;=95),0.1,0))))))))))))))))</f>
        <v>0.3</v>
      </c>
      <c r="Y282" s="30">
        <f>IF(AG282="None",0,IF(AG282="Fix5",0.05,IF(AG282="Fix3.75",0.0375,IF(AG282="Fix10",0.1,IF(AG282="Fix3",0.03,0)))))</f>
        <v>0</v>
      </c>
      <c r="Z282" s="35">
        <f>T282-AA282-AB282</f>
        <v>-32.9</v>
      </c>
      <c r="AA282" s="29">
        <f>IF(AD282="EUR",((T282-R282)*X282)*U282+(R282*X282),(T282*X282))</f>
        <v>-14.1</v>
      </c>
      <c r="AB282" s="36">
        <f>IF(AD282="EUR",((T282-R282)*Y282)*U282+(R282*Y282),(T282*Y282))</f>
        <v>0</v>
      </c>
      <c r="AC282" s="37" t="b">
        <v>1</v>
      </c>
      <c r="AD282" s="37" t="s">
        <v>38</v>
      </c>
      <c r="AE282" s="37" t="s">
        <v>38</v>
      </c>
      <c r="AF282" s="37" t="str">
        <f t="array" ref="AF282">INDEX('Deal Info'!D:D, MATCH(A282,'Deal Info'!A:A, 0))</f>
        <v>DoEV</v>
      </c>
      <c r="AG282" s="38" t="str">
        <f t="array" ref="AG282">INDEX('Deal Info'!G:G, MATCH(A282,'Deal Info'!A:A, 0))</f>
        <v>None</v>
      </c>
    </row>
    <row r="283" spans="1:33" ht="14.25" hidden="1" x14ac:dyDescent="0.2">
      <c r="A283" s="18" t="str">
        <f t="array" ref="A283">IF(G283='Room Info'!$B$1, INDEX('Room Info'!$A$2:$A2446, MATCH(B283,'Room Info'!$B$2:$B2446, 0)),IF(G283='Room Info'!$C$1, INDEX('Room Info'!$A$2:$A2446, MATCH(B283,'Room Info'!$C$2:$C2446, 0)),IF(G283='Room Info'!$D$1, INDEX('Room Info'!$A$2:$A2446, MATCH(B283,'Room Info'!$D$2:$D2446, 0)),IF(G283='Room Info'!$E$1, INDEX('Room Info'!$A$2:$A2446, MATCH(B283,'Room Info'!$E$2:$E2446, 0)),IF(G283='Room Info'!$F$1, INDEX('Room Info'!$A$2:$A2446, MATCH(B283,'Room Info'!$F$2:$F2446, 0)),IF(G283='Room Info'!$H$1, INDEX('Room Info'!$A$2:$A2446, MATCH(B283,'Room Info'!$H$2:$H2446, 0)),IF(G283='Room Info'!$G$1, INDEX('Room Info'!$A$2:$A2446, MATCH(B283,'Room Info'!$G$2:$G2446, 0)))))))))</f>
        <v>SDEBA1</v>
      </c>
      <c r="B283" s="45" t="s">
        <v>114</v>
      </c>
      <c r="C283" s="92">
        <v>44802</v>
      </c>
      <c r="D283" s="46">
        <v>44824</v>
      </c>
      <c r="E283" s="47">
        <v>44805</v>
      </c>
      <c r="F283" s="45" t="s">
        <v>34</v>
      </c>
      <c r="G283" s="45" t="s">
        <v>35</v>
      </c>
      <c r="H283" s="49" t="s">
        <v>90</v>
      </c>
      <c r="I283" s="49" t="s">
        <v>44</v>
      </c>
      <c r="J283" s="50">
        <v>5</v>
      </c>
      <c r="K283" s="51">
        <v>1393</v>
      </c>
      <c r="L283" s="52">
        <v>-490</v>
      </c>
      <c r="M283" s="53">
        <v>160</v>
      </c>
      <c r="N283" s="28">
        <f>K283*J283</f>
        <v>6965</v>
      </c>
      <c r="O283" s="54">
        <v>14560</v>
      </c>
      <c r="P283" s="29">
        <v>10.452261310000001</v>
      </c>
      <c r="Q283" s="55"/>
      <c r="R283" s="31">
        <f>M283+Q283</f>
        <v>160</v>
      </c>
      <c r="S283" s="56">
        <v>-398</v>
      </c>
      <c r="T283" s="32">
        <f>R283+S283+IF(F283="Without EV deal",L283,0)</f>
        <v>-238</v>
      </c>
      <c r="U283" s="57">
        <v>1</v>
      </c>
      <c r="V283" s="69">
        <v>8.1360150925024346</v>
      </c>
      <c r="W283" s="58">
        <v>35.15</v>
      </c>
      <c r="X283" s="30">
        <f>IF(AF283="DoEV",IF(AND(V283&lt;20,W283&lt;55),0.3,0)+IF(AND(V283&lt;20,W283&gt;=55,W283&lt;105),0.23,0)+IF(AND(V283&lt;20,W283&gt;=105),0.17,0)+IF(AND(V283&gt;=20,V283&lt;40,W283&lt;45),0.3,0)+IF(AND(V283&gt;=20,V283&lt;40,W283&gt;=45,W283&lt;95),0.23,0)+IF(AND(V283&gt;=20,V283&lt;40,W283&gt;=95),0.17,0)+IF(AND(V283&gt;=40,V283&lt;75,W283&lt;35),0.3,0)+IF(AND(V283&gt;=40,V283&lt;75,W283&gt;=35,W283&lt;75),0.23,0)+IF(AND(V283&gt;=40,V283&lt;75,W283&gt;=75,W283&lt;120),0.17,0)+IF(AND(V283&gt;=40,V283&lt;75,W283&gt;=120),0.12,0)+IF(AND(V283&gt;=75,V283&lt;175,W283&lt;35),0.3,0)+IF(AND(V283&gt;=75,V283&lt;=175,W283&gt;=35,W283&lt;65),0.23,0)+IF(AND(V283&gt;=75,V283&lt;=175,W283&gt;=65,W283&lt;110),0.17,0)+IF(AND(V283&gt;=75,V283&lt;=175,W283&gt;=110),0.12,0)+IF(AND(V283&gt;175,W283&lt;25),0.3,0)+IF(AND(V283&gt;175,W283&gt;=25,W283&lt;55),0.23,0)+IF(AND(V283&gt;175,W283&gt;=55,W283&lt;95),0.17,0)+IF(AND(V283&gt;175,W283&gt;=95),0.12,0),
IF(AF283="Fix15",0.15,
IF(AF283="Fix11.25",0.1125,
IF(AF283="Fix10",0.1,
IF(AF283="Fix9",0.09,
IF(AF283="DoEV2017",IF(AND(W283&lt;74),0.2,0)+IF(AND(W283&gt;=74),0.17,0),
IF(AF283="SF",IF(AND(V283&lt;20,W283&lt;89),0.3,0)+IF(AND(V283&lt;20,W283&gt;=89),0.25,0)+IF(AND(V283&gt;=20,V283&lt;40,W283&lt;74),0.3,0)+IF(AND(V283&gt;=20,V283&lt;40,W283&gt;=75),0.22,0)+IF(AND(V283&gt;=40,V283&lt;75,W283&lt;75),0.26,0)+IF(AND(V283&gt;=40,V283&lt;75,W283&gt;=75),0.22,0)+IF(V283&gt;=75,0.22,0),
IF(AF283="DoEVold",IF(AND(V283&lt;40,W283&lt;35),0.35,0)+IF(AND(V283&lt;40,W283&gt;=35,W283&lt;75),0.25,0)+IF(AND(V283&lt;40,W283&gt;=75),0.17,0)+IF(AND(V283&gt;=40,V283&lt;75,W283&lt;25),0.35,0)+IF(AND(V283&gt;=40,V283&lt;75,W283&gt;=25,W283&lt;65),0.25,0)+IF(AND(V283&gt;=40,V283&lt;75,W283&gt;=65,W283&lt;100),0.17,0)+IF(AND(V283&gt;=40,V283&lt;75,W283&gt;=100),0.1,0)+IF(AND(V283&gt;=75,W283&lt;25),0.35,0)+IF(AND(V283&gt;=75,W283&gt;=25,W283&lt;60),0.25,0)+IF(AND(V283&gt;=75,W283&gt;=60,W283&lt;95),0.17,0)+IF(AND(V283&gt;=75,W283&gt;=95),0.1,0),
IF(AF283="DoEVold15",IF(AND(V283&lt;=40,W283&lt;35),0.35,0)+IF(AND(V283&lt;=40,W283&gt;=35,W283&lt;75),0.25,0)+IF(AND(V283&lt;=40,W283&gt;=75,W283&lt;120),0.17,0)+IF(AND(V283&lt;=40,W283&gt;=120),0.15,0)+IF(AND(V283&gt;40,V283&lt;75,W283&lt;25),0.35,0)+IF(AND(V283&gt;=40,V283&lt;75,W283&gt;=25,W283&lt;65),0.25,0)+IF(AND(V283&gt;=40,V283&lt;75,W283&gt;=65,W283&lt;100),0.17,0)+IF(AND(V283&gt;=40,V283&lt;75,W283&gt;=100),0.1,0)+IF(AND(V283&gt;=75,W283&lt;25),0.35,0)+IF(AND(V283&gt;=75,W283&gt;=25,W283&lt;60),0.25,0)+IF(AND(V283&gt;=75,W283&gt;=60,W283&lt;95),0.17,0)+IF(AND(V283&gt;=75,W283&gt;=95),0.1,0),
IF(AF283="DoEVba",IF(AND(V283&lt;20,W283&lt;105),0.2,0)+IF(AND(V283&lt;20,W283&gt;=105),0.15,0)+IF(AND(V283&gt;=20,V283&lt;40,W283&lt;95),0.2,0)+IF(AND(V283&gt;=20,V283&lt;40,W283&gt;=95,W283&lt;150),0.15,0)+IF(AND(V283&gt;=20,V283&lt;40,W283&gt;=150),0.12,0)+IF(AND(V283&gt;=40,V283&lt;75,W283&lt;75),0.2,0)+IF(AND(V283&gt;=40,V283&lt;75,W283&gt;=75,W283&lt;120),0.15,0)+IF(AND(V283&gt;=40,V283&lt;75,W283&gt;=120),0.12,0)+IF(AND(V283&gt;=75,V283&lt;175,W283&lt;65),0.2,0)+IF(AND(V283&gt;=75,V283&lt;175,W283&gt;=65,W283&lt;110),0.15,0)+IF(AND(V283&gt;=75,V283&lt;175,W283&gt;=110),0.12,0)+IF(AND(V283&gt;=175,W283&lt;55),0.2,0)+IF(AND(V283&gt;=175,W283&gt;=55,W283&lt;95),0.15,0)+IF(AND(V283&gt;=175,W283&gt;=95),0.12,0),
IF(AF283="DoEVku",IF(AND(V283&lt;20,W283&lt;55),0.23,0)+IF(AND(V283&lt;20,W283&gt;=55,W283&lt;105),0.2,0)+IF(AND(V283&lt;20,W283&gt;=105),0.17,0)+IF(AND(V283&gt;=20,V283&lt;40,W283&lt;45),0.23,0)+IF(AND(V283&gt;=20,V283&lt;40,W283&gt;=45,W283&lt;95),0.2,0)+IF(AND(V283&gt;=20,V283&lt;40,W283&gt;=95,W283&lt;=150),0.17,0)+IF(AND(V283&gt;=20,V283&lt;40,W283&gt;=150),0.12,0)+IF(AND(V283&gt;=40,V283&lt;75,W283&lt;35),0.23,0)+IF(AND(V283&gt;=40,V283&lt;75,W283&gt;=35,W283&lt;75),0.2,0)+IF(AND(V283&gt;=40,V283&lt;75,W283&gt;=75,W283&lt;120),0.17,0)+IF(AND(V283&gt;=40,V283&lt;75,W283&gt;=120),0.12,0)+IF(AND(V283&gt;=75,V283&lt;175,W283&lt;35),0.23,0)+IF(AND(V283&gt;=75,V283&lt;=175,W283&gt;=35,W283&lt;65),0.2,0)+IF(AND(V283&gt;=75,V283&lt;=175,W283&gt;=65,W283&lt;110),0.17,0)+IF(AND(V283&gt;=75,V283&lt;=175,W283&gt;=110),0.12,0)+IF(AND(V283&gt;175,W283&lt;25),0.23,0)+IF(AND(V283&gt;175,W283&gt;=25,W283&lt;55),0.2,0)+IF(AND(V283&gt;175,W283&gt;=55,W283&lt;95),0.17,0)+IF(AND(V283&gt;175,W283&gt;=95),0.12,0),
IF(AF283="DoEVs1",IF(AND(V283&lt;20,W283&lt;55),0.3,0)+IF(AND(V283&lt;20,W283&gt;=55,W283&lt;105),0.23,0)+IF(AND(V283&lt;20,W283&gt;=105),0.17,0)+IF(AND(V283&gt;=20,V283&lt;40,W283&lt;45),0.3,0)+IF(AND(V283&gt;=20,V283&lt;40,W283&gt;=45,W283&lt;95),0.23,0)+IF(AND(V283&gt;=20,V283&lt;40,W283&gt;=95,W283&lt;=150),0.17,0)+IF(AND(V283&gt;=20,V283&lt;40,W283&gt;=150),0.12,0)+IF(AND(V283&gt;=40,V283&lt;75,W283&lt;35),0.3,0)+IF(AND(V283&gt;=40,V283&lt;75,W283&gt;=35,W283&lt;75),0.23,0)+IF(AND(V283&gt;=40,V283&lt;75,W283&gt;=75,W283&lt;120),0.17,0)+IF(AND(V283&gt;=40,V283&lt;75,W283&gt;=120),0.12,0)+IF(AND(V283&gt;=75,V283&lt;175,W283&lt;35),0.3,0)+IF(AND(V283&gt;=75,V283&lt;=175,W283&gt;=35,W283&lt;65),0.23,0)+IF(AND(V283&gt;=75,V283&lt;=175,W283&gt;=65,W283&lt;110),0.17,0)+IF(AND(V283&gt;=75,V283&lt;=175,W283&gt;=110),0.12,0)+IF(AND(V283&gt;175,W283&lt;25),0.3,0)+IF(AND(V283&gt;175,W283&gt;=25,W283&lt;55),0.23,0)+IF(AND(V283&gt;175,W283&gt;=55,W283&lt;95),0.17,0)+IF(AND(V283&gt;175,W283&gt;=95),0.12,0),
IF(AF283="DoEVsu",IF(AND(V283&lt;20,W283&lt;55),0.3,0)+IF(AND(V283&lt;20,W283&gt;=55,W283&lt;105),0.23,0)+IF(AND(V283&lt;20,W283&gt;=105),0.17,0)+IF(AND(V283&gt;=20,V283&lt;40,W283&lt;45),0.3,0)+IF(AND(V283&gt;=20,V283&lt;40,W283&gt;=45,W283&lt;95),0.23,0)+IF(AND(V283&gt;=20,V283&lt;40,W283&gt;=95,W283&lt;=250),0.17,0)+IF(AND(V283&gt;=20,V283&lt;40,W283&gt;=250),0.12,0)+IF(AND(V283&gt;=40,V283&lt;75,W283&lt;35),0.3,0)+IF(AND(V283&gt;=40,V283&lt;75,W283&gt;=35,W283&lt;75),0.23,0)+IF(AND(V283&gt;=40,V283&lt;75,W283&gt;=75,W283&lt;120),0.17,0)+IF(AND(V283&gt;=40,V283&lt;75,W283&gt;=120),0.12,0)+IF(AND(V283&gt;=75,V283&lt;175,W283&lt;35),0.3,0)+IF(AND(V283&gt;=75,V283&lt;=175,W283&gt;=35,W283&lt;65),0.23,0)+IF(AND(V283&gt;=75,V283&lt;=175,W283&gt;=65,W283&lt;110),0.17,0)+IF(AND(V283&gt;=75,V283&lt;=175,W283&gt;=110),0.12,0)+IF(AND(V283&gt;175,W283&lt;25),0.3,0)+IF(AND(V283&gt;175,W283&gt;=25,W283&lt;55),0.23,0)+IF(AND(V283&gt;175,W283&gt;=55,W283&lt;95),0.17,0)+IF(AND(V283&gt;175,W283&gt;=95),0.12,0),
IF(AF283="DoEVni",IF(AND(V283&lt;20,W283&lt;55),0.3,0)+IF(AND(V283&lt;20,W283&gt;=55,W283&lt;105),0.23,0)+IF(AND(V283&lt;20,W283&gt;=105),0.17,0)+IF(AND(V283&gt;=20,V283&lt;40,W283&lt;45),0.3,0)+IF(AND(V283&gt;=20,V283&lt;40,W283&gt;=45,W283&lt;95),0.23,0)+IF(AND(V283&gt;=20,V283&lt;40,W283&gt;=95,W283&lt;=200),0.17,0)+IF(AND(V283&gt;=20,V283&lt;40,W283&gt;=200),0.12,0)+IF(AND(V283&gt;=40,V283&lt;75,W283&lt;35),0.3,0)+IF(AND(V283&gt;=40,V283&lt;75,W283&gt;=35,W283&lt;75),0.23,0)+IF(AND(V283&gt;=40,V283&lt;75,W283&gt;=75,W283&lt;120),0.17,0)+IF(AND(V283&gt;=40,V283&lt;75,W283&gt;=120),0.12,0)+IF(AND(V283&gt;=75,V283&lt;175,W283&lt;35),0.3,0)+IF(AND(V283&gt;=75,V283&lt;=175,W283&gt;=35,W283&lt;65),0.23,0)+IF(AND(V283&gt;=75,V283&lt;=175,W283&gt;=65,W283&lt;110),0.17,0)+IF(AND(V283&gt;=75,V283&lt;=175,W283&gt;=110),0.12,0)+IF(AND(V283&gt;175,W283&lt;25),0.3,0)+IF(AND(V283&gt;175,W283&gt;=25,W283&lt;55),0.23,0)+IF(AND(V283&gt;175,W283&gt;=55,W283&lt;95),0.17,0)+IF(AND(V283&gt;175,W283&gt;=95),0.12,0),
IF(AF283="DoEVLo",IF(AND(V283&lt;20,W283&lt;55),0.25,0)+IF(AND(V283&lt;20,W283&gt;=55,W283&lt;105),0.2,0)+IF(AND(V283&lt;20,W283&gt;=105),0.15,0)+IF(AND(V283&gt;=20,V283&lt;40,W283&lt;45),0.25,0)+IF(AND(V283&gt;=20,V283&lt;40,W283&gt;=45,W283&lt;95),0.2,0)+IF(AND(V283&gt;=20,V283&lt;40,W283&gt;=95),0.15,0)+IF(AND(V283&gt;=40,V283&lt;75,W283&lt;35),0.25,0)+IF(AND(V283&gt;=40,V283&lt;75,W283&gt;=35,W283&lt;75),0.2,0)+IF(AND(V283&gt;=40,V283&lt;75,W283&gt;=75,W283&lt;120),0.15,0)+IF(AND(V283&gt;=40,V283&lt;75,W283&gt;=120),0.1,0)+IF(AND(V283&gt;=75,V283&lt;175,W283&lt;35),0.25,0)+IF(AND(V283&gt;=75,V283&lt;=175,W283&gt;=35,W283&lt;65),0.2,0)+IF(AND(V283&gt;=75,V283&lt;=175,W283&gt;=65,W283&lt;110),0.15,0)+IF(AND(V283&gt;=75,V283&lt;=175,W283&gt;=110),0.1,0)+IF(AND(V283&gt;175,W283&lt;25),0.25,0)+IF(AND(V283&gt;175,W283&gt;=25,W283&lt;55),0.2,0)+IF(AND(V283&gt;175,W283&gt;=55,W283&lt;95),0.15,0)+IF(AND(V283&gt;175,W283&gt;=95),0.1,0))))))))))))))))</f>
        <v>0.3</v>
      </c>
      <c r="Y283" s="30">
        <f>IF(AG283="None",0,IF(AG283="Fix5",0.05,IF(AG283="Fix3.75",0.0375,IF(AG283="Fix10",0.1,IF(AG283="Fix3",0.03,0)))))</f>
        <v>0</v>
      </c>
      <c r="Z283" s="35">
        <f>T283-AA283-AB283</f>
        <v>-166.60000000000002</v>
      </c>
      <c r="AA283" s="29">
        <f>IF(AD283="EUR",((T283-R283)*X283)*U283+(R283*X283),(T283*X283))</f>
        <v>-71.399999999999991</v>
      </c>
      <c r="AB283" s="36">
        <f>IF(AD283="EUR",((T283-R283)*Y283)*U283+(R283*Y283),(T283*Y283))</f>
        <v>0</v>
      </c>
      <c r="AC283" s="37" t="b">
        <v>1</v>
      </c>
      <c r="AD283" s="37" t="s">
        <v>38</v>
      </c>
      <c r="AE283" s="37" t="s">
        <v>38</v>
      </c>
      <c r="AF283" s="37" t="str">
        <f t="array" ref="AF283">INDEX('Deal Info'!D:D, MATCH(A283,'Deal Info'!A:A, 0))</f>
        <v>DoEV</v>
      </c>
      <c r="AG283" s="38" t="str">
        <f t="array" ref="AG283">INDEX('Deal Info'!G:G, MATCH(A283,'Deal Info'!A:A, 0))</f>
        <v>None</v>
      </c>
    </row>
    <row r="284" spans="1:33" ht="14.25" hidden="1" x14ac:dyDescent="0.2">
      <c r="A284" s="18" t="str">
        <f t="array" ref="A284">IF(G284='Room Info'!$B$1, INDEX('Room Info'!$A$2:$A2446, MATCH(B284,'Room Info'!$B$2:$B2446, 0)),IF(G284='Room Info'!$C$1, INDEX('Room Info'!$A$2:$A2446, MATCH(B284,'Room Info'!$C$2:$C2446, 0)),IF(G284='Room Info'!$D$1, INDEX('Room Info'!$A$2:$A2446, MATCH(B284,'Room Info'!$D$2:$D2446, 0)),IF(G284='Room Info'!$E$1, INDEX('Room Info'!$A$2:$A2446, MATCH(B284,'Room Info'!$E$2:$E2446, 0)),IF(G284='Room Info'!$F$1, INDEX('Room Info'!$A$2:$A2446, MATCH(B284,'Room Info'!$F$2:$F2446, 0)),IF(G284='Room Info'!$H$1, INDEX('Room Info'!$A$2:$A2446, MATCH(B284,'Room Info'!$H$2:$H2446, 0)),IF(G284='Room Info'!$G$1, INDEX('Room Info'!$A$2:$A2446, MATCH(B284,'Room Info'!$G$2:$G2446, 0)))))))))</f>
        <v>SDEBA1</v>
      </c>
      <c r="B284" s="45" t="s">
        <v>114</v>
      </c>
      <c r="C284" s="92">
        <v>44802</v>
      </c>
      <c r="D284" s="46">
        <v>44824</v>
      </c>
      <c r="E284" s="47">
        <v>44805</v>
      </c>
      <c r="F284" s="45" t="s">
        <v>34</v>
      </c>
      <c r="G284" s="45" t="s">
        <v>35</v>
      </c>
      <c r="H284" s="49" t="s">
        <v>40</v>
      </c>
      <c r="I284" s="49" t="s">
        <v>37</v>
      </c>
      <c r="J284" s="50">
        <v>10</v>
      </c>
      <c r="K284" s="51">
        <v>891</v>
      </c>
      <c r="L284" s="52">
        <v>-550</v>
      </c>
      <c r="M284" s="53">
        <v>182</v>
      </c>
      <c r="N284" s="28">
        <f>K284*J284</f>
        <v>8910</v>
      </c>
      <c r="O284" s="54">
        <v>34173</v>
      </c>
      <c r="P284" s="29">
        <v>38.353535350000001</v>
      </c>
      <c r="Q284" s="55"/>
      <c r="R284" s="31">
        <f>M284+Q284</f>
        <v>182</v>
      </c>
      <c r="S284" s="56">
        <v>-38</v>
      </c>
      <c r="T284" s="32">
        <f>R284+S284+IF(F284="Without EV deal",L284,0)</f>
        <v>144</v>
      </c>
      <c r="U284" s="57">
        <v>1</v>
      </c>
      <c r="V284" s="69">
        <v>8.1360150925024346</v>
      </c>
      <c r="W284" s="58">
        <v>35.15</v>
      </c>
      <c r="X284" s="30">
        <f>IF(AF284="DoEV",IF(AND(V284&lt;20,W284&lt;55),0.3,0)+IF(AND(V284&lt;20,W284&gt;=55,W284&lt;105),0.23,0)+IF(AND(V284&lt;20,W284&gt;=105),0.17,0)+IF(AND(V284&gt;=20,V284&lt;40,W284&lt;45),0.3,0)+IF(AND(V284&gt;=20,V284&lt;40,W284&gt;=45,W284&lt;95),0.23,0)+IF(AND(V284&gt;=20,V284&lt;40,W284&gt;=95),0.17,0)+IF(AND(V284&gt;=40,V284&lt;75,W284&lt;35),0.3,0)+IF(AND(V284&gt;=40,V284&lt;75,W284&gt;=35,W284&lt;75),0.23,0)+IF(AND(V284&gt;=40,V284&lt;75,W284&gt;=75,W284&lt;120),0.17,0)+IF(AND(V284&gt;=40,V284&lt;75,W284&gt;=120),0.12,0)+IF(AND(V284&gt;=75,V284&lt;175,W284&lt;35),0.3,0)+IF(AND(V284&gt;=75,V284&lt;=175,W284&gt;=35,W284&lt;65),0.23,0)+IF(AND(V284&gt;=75,V284&lt;=175,W284&gt;=65,W284&lt;110),0.17,0)+IF(AND(V284&gt;=75,V284&lt;=175,W284&gt;=110),0.12,0)+IF(AND(V284&gt;175,W284&lt;25),0.3,0)+IF(AND(V284&gt;175,W284&gt;=25,W284&lt;55),0.23,0)+IF(AND(V284&gt;175,W284&gt;=55,W284&lt;95),0.17,0)+IF(AND(V284&gt;175,W284&gt;=95),0.12,0),
IF(AF284="Fix15",0.15,
IF(AF284="Fix11.25",0.1125,
IF(AF284="Fix10",0.1,
IF(AF284="Fix9",0.09,
IF(AF284="DoEV2017",IF(AND(W284&lt;74),0.2,0)+IF(AND(W284&gt;=74),0.17,0),
IF(AF284="SF",IF(AND(V284&lt;20,W284&lt;89),0.3,0)+IF(AND(V284&lt;20,W284&gt;=89),0.25,0)+IF(AND(V284&gt;=20,V284&lt;40,W284&lt;74),0.3,0)+IF(AND(V284&gt;=20,V284&lt;40,W284&gt;=75),0.22,0)+IF(AND(V284&gt;=40,V284&lt;75,W284&lt;75),0.26,0)+IF(AND(V284&gt;=40,V284&lt;75,W284&gt;=75),0.22,0)+IF(V284&gt;=75,0.22,0),
IF(AF284="DoEVold",IF(AND(V284&lt;40,W284&lt;35),0.35,0)+IF(AND(V284&lt;40,W284&gt;=35,W284&lt;75),0.25,0)+IF(AND(V284&lt;40,W284&gt;=75),0.17,0)+IF(AND(V284&gt;=40,V284&lt;75,W284&lt;25),0.35,0)+IF(AND(V284&gt;=40,V284&lt;75,W284&gt;=25,W284&lt;65),0.25,0)+IF(AND(V284&gt;=40,V284&lt;75,W284&gt;=65,W284&lt;100),0.17,0)+IF(AND(V284&gt;=40,V284&lt;75,W284&gt;=100),0.1,0)+IF(AND(V284&gt;=75,W284&lt;25),0.35,0)+IF(AND(V284&gt;=75,W284&gt;=25,W284&lt;60),0.25,0)+IF(AND(V284&gt;=75,W284&gt;=60,W284&lt;95),0.17,0)+IF(AND(V284&gt;=75,W284&gt;=95),0.1,0),
IF(AF284="DoEVold15",IF(AND(V284&lt;=40,W284&lt;35),0.35,0)+IF(AND(V284&lt;=40,W284&gt;=35,W284&lt;75),0.25,0)+IF(AND(V284&lt;=40,W284&gt;=75,W284&lt;120),0.17,0)+IF(AND(V284&lt;=40,W284&gt;=120),0.15,0)+IF(AND(V284&gt;40,V284&lt;75,W284&lt;25),0.35,0)+IF(AND(V284&gt;=40,V284&lt;75,W284&gt;=25,W284&lt;65),0.25,0)+IF(AND(V284&gt;=40,V284&lt;75,W284&gt;=65,W284&lt;100),0.17,0)+IF(AND(V284&gt;=40,V284&lt;75,W284&gt;=100),0.1,0)+IF(AND(V284&gt;=75,W284&lt;25),0.35,0)+IF(AND(V284&gt;=75,W284&gt;=25,W284&lt;60),0.25,0)+IF(AND(V284&gt;=75,W284&gt;=60,W284&lt;95),0.17,0)+IF(AND(V284&gt;=75,W284&gt;=95),0.1,0),
IF(AF284="DoEVba",IF(AND(V284&lt;20,W284&lt;105),0.2,0)+IF(AND(V284&lt;20,W284&gt;=105),0.15,0)+IF(AND(V284&gt;=20,V284&lt;40,W284&lt;95),0.2,0)+IF(AND(V284&gt;=20,V284&lt;40,W284&gt;=95,W284&lt;150),0.15,0)+IF(AND(V284&gt;=20,V284&lt;40,W284&gt;=150),0.12,0)+IF(AND(V284&gt;=40,V284&lt;75,W284&lt;75),0.2,0)+IF(AND(V284&gt;=40,V284&lt;75,W284&gt;=75,W284&lt;120),0.15,0)+IF(AND(V284&gt;=40,V284&lt;75,W284&gt;=120),0.12,0)+IF(AND(V284&gt;=75,V284&lt;175,W284&lt;65),0.2,0)+IF(AND(V284&gt;=75,V284&lt;175,W284&gt;=65,W284&lt;110),0.15,0)+IF(AND(V284&gt;=75,V284&lt;175,W284&gt;=110),0.12,0)+IF(AND(V284&gt;=175,W284&lt;55),0.2,0)+IF(AND(V284&gt;=175,W284&gt;=55,W284&lt;95),0.15,0)+IF(AND(V284&gt;=175,W284&gt;=95),0.12,0),
IF(AF284="DoEVku",IF(AND(V284&lt;20,W284&lt;55),0.23,0)+IF(AND(V284&lt;20,W284&gt;=55,W284&lt;105),0.2,0)+IF(AND(V284&lt;20,W284&gt;=105),0.17,0)+IF(AND(V284&gt;=20,V284&lt;40,W284&lt;45),0.23,0)+IF(AND(V284&gt;=20,V284&lt;40,W284&gt;=45,W284&lt;95),0.2,0)+IF(AND(V284&gt;=20,V284&lt;40,W284&gt;=95,W284&lt;=150),0.17,0)+IF(AND(V284&gt;=20,V284&lt;40,W284&gt;=150),0.12,0)+IF(AND(V284&gt;=40,V284&lt;75,W284&lt;35),0.23,0)+IF(AND(V284&gt;=40,V284&lt;75,W284&gt;=35,W284&lt;75),0.2,0)+IF(AND(V284&gt;=40,V284&lt;75,W284&gt;=75,W284&lt;120),0.17,0)+IF(AND(V284&gt;=40,V284&lt;75,W284&gt;=120),0.12,0)+IF(AND(V284&gt;=75,V284&lt;175,W284&lt;35),0.23,0)+IF(AND(V284&gt;=75,V284&lt;=175,W284&gt;=35,W284&lt;65),0.2,0)+IF(AND(V284&gt;=75,V284&lt;=175,W284&gt;=65,W284&lt;110),0.17,0)+IF(AND(V284&gt;=75,V284&lt;=175,W284&gt;=110),0.12,0)+IF(AND(V284&gt;175,W284&lt;25),0.23,0)+IF(AND(V284&gt;175,W284&gt;=25,W284&lt;55),0.2,0)+IF(AND(V284&gt;175,W284&gt;=55,W284&lt;95),0.17,0)+IF(AND(V284&gt;175,W284&gt;=95),0.12,0),
IF(AF284="DoEVs1",IF(AND(V284&lt;20,W284&lt;55),0.3,0)+IF(AND(V284&lt;20,W284&gt;=55,W284&lt;105),0.23,0)+IF(AND(V284&lt;20,W284&gt;=105),0.17,0)+IF(AND(V284&gt;=20,V284&lt;40,W284&lt;45),0.3,0)+IF(AND(V284&gt;=20,V284&lt;40,W284&gt;=45,W284&lt;95),0.23,0)+IF(AND(V284&gt;=20,V284&lt;40,W284&gt;=95,W284&lt;=150),0.17,0)+IF(AND(V284&gt;=20,V284&lt;40,W284&gt;=150),0.12,0)+IF(AND(V284&gt;=40,V284&lt;75,W284&lt;35),0.3,0)+IF(AND(V284&gt;=40,V284&lt;75,W284&gt;=35,W284&lt;75),0.23,0)+IF(AND(V284&gt;=40,V284&lt;75,W284&gt;=75,W284&lt;120),0.17,0)+IF(AND(V284&gt;=40,V284&lt;75,W284&gt;=120),0.12,0)+IF(AND(V284&gt;=75,V284&lt;175,W284&lt;35),0.3,0)+IF(AND(V284&gt;=75,V284&lt;=175,W284&gt;=35,W284&lt;65),0.23,0)+IF(AND(V284&gt;=75,V284&lt;=175,W284&gt;=65,W284&lt;110),0.17,0)+IF(AND(V284&gt;=75,V284&lt;=175,W284&gt;=110),0.12,0)+IF(AND(V284&gt;175,W284&lt;25),0.3,0)+IF(AND(V284&gt;175,W284&gt;=25,W284&lt;55),0.23,0)+IF(AND(V284&gt;175,W284&gt;=55,W284&lt;95),0.17,0)+IF(AND(V284&gt;175,W284&gt;=95),0.12,0),
IF(AF284="DoEVsu",IF(AND(V284&lt;20,W284&lt;55),0.3,0)+IF(AND(V284&lt;20,W284&gt;=55,W284&lt;105),0.23,0)+IF(AND(V284&lt;20,W284&gt;=105),0.17,0)+IF(AND(V284&gt;=20,V284&lt;40,W284&lt;45),0.3,0)+IF(AND(V284&gt;=20,V284&lt;40,W284&gt;=45,W284&lt;95),0.23,0)+IF(AND(V284&gt;=20,V284&lt;40,W284&gt;=95,W284&lt;=250),0.17,0)+IF(AND(V284&gt;=20,V284&lt;40,W284&gt;=250),0.12,0)+IF(AND(V284&gt;=40,V284&lt;75,W284&lt;35),0.3,0)+IF(AND(V284&gt;=40,V284&lt;75,W284&gt;=35,W284&lt;75),0.23,0)+IF(AND(V284&gt;=40,V284&lt;75,W284&gt;=75,W284&lt;120),0.17,0)+IF(AND(V284&gt;=40,V284&lt;75,W284&gt;=120),0.12,0)+IF(AND(V284&gt;=75,V284&lt;175,W284&lt;35),0.3,0)+IF(AND(V284&gt;=75,V284&lt;=175,W284&gt;=35,W284&lt;65),0.23,0)+IF(AND(V284&gt;=75,V284&lt;=175,W284&gt;=65,W284&lt;110),0.17,0)+IF(AND(V284&gt;=75,V284&lt;=175,W284&gt;=110),0.12,0)+IF(AND(V284&gt;175,W284&lt;25),0.3,0)+IF(AND(V284&gt;175,W284&gt;=25,W284&lt;55),0.23,0)+IF(AND(V284&gt;175,W284&gt;=55,W284&lt;95),0.17,0)+IF(AND(V284&gt;175,W284&gt;=95),0.12,0),
IF(AF284="DoEVni",IF(AND(V284&lt;20,W284&lt;55),0.3,0)+IF(AND(V284&lt;20,W284&gt;=55,W284&lt;105),0.23,0)+IF(AND(V284&lt;20,W284&gt;=105),0.17,0)+IF(AND(V284&gt;=20,V284&lt;40,W284&lt;45),0.3,0)+IF(AND(V284&gt;=20,V284&lt;40,W284&gt;=45,W284&lt;95),0.23,0)+IF(AND(V284&gt;=20,V284&lt;40,W284&gt;=95,W284&lt;=200),0.17,0)+IF(AND(V284&gt;=20,V284&lt;40,W284&gt;=200),0.12,0)+IF(AND(V284&gt;=40,V284&lt;75,W284&lt;35),0.3,0)+IF(AND(V284&gt;=40,V284&lt;75,W284&gt;=35,W284&lt;75),0.23,0)+IF(AND(V284&gt;=40,V284&lt;75,W284&gt;=75,W284&lt;120),0.17,0)+IF(AND(V284&gt;=40,V284&lt;75,W284&gt;=120),0.12,0)+IF(AND(V284&gt;=75,V284&lt;175,W284&lt;35),0.3,0)+IF(AND(V284&gt;=75,V284&lt;=175,W284&gt;=35,W284&lt;65),0.23,0)+IF(AND(V284&gt;=75,V284&lt;=175,W284&gt;=65,W284&lt;110),0.17,0)+IF(AND(V284&gt;=75,V284&lt;=175,W284&gt;=110),0.12,0)+IF(AND(V284&gt;175,W284&lt;25),0.3,0)+IF(AND(V284&gt;175,W284&gt;=25,W284&lt;55),0.23,0)+IF(AND(V284&gt;175,W284&gt;=55,W284&lt;95),0.17,0)+IF(AND(V284&gt;175,W284&gt;=95),0.12,0),
IF(AF284="DoEVLo",IF(AND(V284&lt;20,W284&lt;55),0.25,0)+IF(AND(V284&lt;20,W284&gt;=55,W284&lt;105),0.2,0)+IF(AND(V284&lt;20,W284&gt;=105),0.15,0)+IF(AND(V284&gt;=20,V284&lt;40,W284&lt;45),0.25,0)+IF(AND(V284&gt;=20,V284&lt;40,W284&gt;=45,W284&lt;95),0.2,0)+IF(AND(V284&gt;=20,V284&lt;40,W284&gt;=95),0.15,0)+IF(AND(V284&gt;=40,V284&lt;75,W284&lt;35),0.25,0)+IF(AND(V284&gt;=40,V284&lt;75,W284&gt;=35,W284&lt;75),0.2,0)+IF(AND(V284&gt;=40,V284&lt;75,W284&gt;=75,W284&lt;120),0.15,0)+IF(AND(V284&gt;=40,V284&lt;75,W284&gt;=120),0.1,0)+IF(AND(V284&gt;=75,V284&lt;175,W284&lt;35),0.25,0)+IF(AND(V284&gt;=75,V284&lt;=175,W284&gt;=35,W284&lt;65),0.2,0)+IF(AND(V284&gt;=75,V284&lt;=175,W284&gt;=65,W284&lt;110),0.15,0)+IF(AND(V284&gt;=75,V284&lt;=175,W284&gt;=110),0.1,0)+IF(AND(V284&gt;175,W284&lt;25),0.25,0)+IF(AND(V284&gt;175,W284&gt;=25,W284&lt;55),0.2,0)+IF(AND(V284&gt;175,W284&gt;=55,W284&lt;95),0.15,0)+IF(AND(V284&gt;175,W284&gt;=95),0.1,0))))))))))))))))</f>
        <v>0.3</v>
      </c>
      <c r="Y284" s="30">
        <f>IF(AG284="None",0,IF(AG284="Fix5",0.05,IF(AG284="Fix3.75",0.0375,IF(AG284="Fix10",0.1,IF(AG284="Fix3",0.03,0)))))</f>
        <v>0</v>
      </c>
      <c r="Z284" s="35">
        <f>T284-AA284-AB284</f>
        <v>100.80000000000001</v>
      </c>
      <c r="AA284" s="29">
        <f>IF(AD284="EUR",((T284-R284)*X284)*U284+(R284*X284),(T284*X284))</f>
        <v>43.199999999999996</v>
      </c>
      <c r="AB284" s="36">
        <f>IF(AD284="EUR",((T284-R284)*Y284)*U284+(R284*Y284),(T284*Y284))</f>
        <v>0</v>
      </c>
      <c r="AC284" s="37" t="b">
        <v>1</v>
      </c>
      <c r="AD284" s="37" t="s">
        <v>38</v>
      </c>
      <c r="AE284" s="37" t="s">
        <v>38</v>
      </c>
      <c r="AF284" s="37" t="str">
        <f t="array" ref="AF284">INDEX('Deal Info'!D:D, MATCH(A284,'Deal Info'!A:A, 0))</f>
        <v>DoEV</v>
      </c>
      <c r="AG284" s="38" t="str">
        <f t="array" ref="AG284">INDEX('Deal Info'!G:G, MATCH(A284,'Deal Info'!A:A, 0))</f>
        <v>None</v>
      </c>
    </row>
    <row r="285" spans="1:33" ht="14.25" hidden="1" x14ac:dyDescent="0.2">
      <c r="A285" s="18" t="str">
        <f t="array" ref="A285">IF(G285='Room Info'!$B$1, INDEX('Room Info'!$A$2:$A2446, MATCH(B285,'Room Info'!$B$2:$B2446, 0)),IF(G285='Room Info'!$C$1, INDEX('Room Info'!$A$2:$A2446, MATCH(B285,'Room Info'!$C$2:$C2446, 0)),IF(G285='Room Info'!$D$1, INDEX('Room Info'!$A$2:$A2446, MATCH(B285,'Room Info'!$D$2:$D2446, 0)),IF(G285='Room Info'!$E$1, INDEX('Room Info'!$A$2:$A2446, MATCH(B285,'Room Info'!$E$2:$E2446, 0)),IF(G285='Room Info'!$F$1, INDEX('Room Info'!$A$2:$A2446, MATCH(B285,'Room Info'!$F$2:$F2446, 0)),IF(G285='Room Info'!$H$1, INDEX('Room Info'!$A$2:$A2446, MATCH(B285,'Room Info'!$H$2:$H2446, 0)),IF(G285='Room Info'!$G$1, INDEX('Room Info'!$A$2:$A2446, MATCH(B285,'Room Info'!$G$2:$G2446, 0)))))))))</f>
        <v>SDEBA1</v>
      </c>
      <c r="B285" s="45" t="s">
        <v>114</v>
      </c>
      <c r="C285" s="46">
        <v>44802</v>
      </c>
      <c r="D285" s="46">
        <v>44824</v>
      </c>
      <c r="E285" s="47">
        <v>44805</v>
      </c>
      <c r="F285" s="48" t="s">
        <v>34</v>
      </c>
      <c r="G285" s="54" t="s">
        <v>35</v>
      </c>
      <c r="H285" s="49" t="s">
        <v>115</v>
      </c>
      <c r="I285" s="49" t="s">
        <v>44</v>
      </c>
      <c r="J285" s="50">
        <v>10</v>
      </c>
      <c r="K285" s="51">
        <v>1801</v>
      </c>
      <c r="L285" s="52">
        <v>-1800</v>
      </c>
      <c r="M285" s="53">
        <v>369</v>
      </c>
      <c r="N285" s="28">
        <f>K285*J285</f>
        <v>18010</v>
      </c>
      <c r="O285" s="54">
        <v>23238</v>
      </c>
      <c r="P285" s="29">
        <v>12.90283176</v>
      </c>
      <c r="Q285" s="55"/>
      <c r="R285" s="31">
        <f>M285+Q285</f>
        <v>369</v>
      </c>
      <c r="S285" s="56">
        <v>-633</v>
      </c>
      <c r="T285" s="32">
        <f>R285+S285+IF(F285="Without EV deal",L285,0)</f>
        <v>-264</v>
      </c>
      <c r="U285" s="57">
        <v>1</v>
      </c>
      <c r="V285" s="69">
        <v>8.1360150925024346</v>
      </c>
      <c r="W285" s="58">
        <v>35.15</v>
      </c>
      <c r="X285" s="30">
        <f>IF(AF285="DoEV",IF(AND(V285&lt;20,W285&lt;55),0.3,0)+IF(AND(V285&lt;20,W285&gt;=55,W285&lt;105),0.23,0)+IF(AND(V285&lt;20,W285&gt;=105),0.17,0)+IF(AND(V285&gt;=20,V285&lt;40,W285&lt;45),0.3,0)+IF(AND(V285&gt;=20,V285&lt;40,W285&gt;=45,W285&lt;95),0.23,0)+IF(AND(V285&gt;=20,V285&lt;40,W285&gt;=95),0.17,0)+IF(AND(V285&gt;=40,V285&lt;75,W285&lt;35),0.3,0)+IF(AND(V285&gt;=40,V285&lt;75,W285&gt;=35,W285&lt;75),0.23,0)+IF(AND(V285&gt;=40,V285&lt;75,W285&gt;=75,W285&lt;120),0.17,0)+IF(AND(V285&gt;=40,V285&lt;75,W285&gt;=120),0.12,0)+IF(AND(V285&gt;=75,V285&lt;175,W285&lt;35),0.3,0)+IF(AND(V285&gt;=75,V285&lt;=175,W285&gt;=35,W285&lt;65),0.23,0)+IF(AND(V285&gt;=75,V285&lt;=175,W285&gt;=65,W285&lt;110),0.17,0)+IF(AND(V285&gt;=75,V285&lt;=175,W285&gt;=110),0.12,0)+IF(AND(V285&gt;175,W285&lt;25),0.3,0)+IF(AND(V285&gt;175,W285&gt;=25,W285&lt;55),0.23,0)+IF(AND(V285&gt;175,W285&gt;=55,W285&lt;95),0.17,0)+IF(AND(V285&gt;175,W285&gt;=95),0.12,0),
IF(AF285="Fix15",0.15,
IF(AF285="Fix11.25",0.1125,
IF(AF285="Fix10",0.1,
IF(AF285="Fix9",0.09,
IF(AF285="DoEV2017",IF(AND(W285&lt;74),0.2,0)+IF(AND(W285&gt;=74),0.17,0),
IF(AF285="SF",IF(AND(V285&lt;20,W285&lt;89),0.3,0)+IF(AND(V285&lt;20,W285&gt;=89),0.25,0)+IF(AND(V285&gt;=20,V285&lt;40,W285&lt;74),0.3,0)+IF(AND(V285&gt;=20,V285&lt;40,W285&gt;=75),0.22,0)+IF(AND(V285&gt;=40,V285&lt;75,W285&lt;75),0.26,0)+IF(AND(V285&gt;=40,V285&lt;75,W285&gt;=75),0.22,0)+IF(V285&gt;=75,0.22,0),
IF(AF285="DoEVold",IF(AND(V285&lt;40,W285&lt;35),0.35,0)+IF(AND(V285&lt;40,W285&gt;=35,W285&lt;75),0.25,0)+IF(AND(V285&lt;40,W285&gt;=75),0.17,0)+IF(AND(V285&gt;=40,V285&lt;75,W285&lt;25),0.35,0)+IF(AND(V285&gt;=40,V285&lt;75,W285&gt;=25,W285&lt;65),0.25,0)+IF(AND(V285&gt;=40,V285&lt;75,W285&gt;=65,W285&lt;100),0.17,0)+IF(AND(V285&gt;=40,V285&lt;75,W285&gt;=100),0.1,0)+IF(AND(V285&gt;=75,W285&lt;25),0.35,0)+IF(AND(V285&gt;=75,W285&gt;=25,W285&lt;60),0.25,0)+IF(AND(V285&gt;=75,W285&gt;=60,W285&lt;95),0.17,0)+IF(AND(V285&gt;=75,W285&gt;=95),0.1,0),
IF(AF285="DoEVold15",IF(AND(V285&lt;=40,W285&lt;35),0.35,0)+IF(AND(V285&lt;=40,W285&gt;=35,W285&lt;75),0.25,0)+IF(AND(V285&lt;=40,W285&gt;=75,W285&lt;120),0.17,0)+IF(AND(V285&lt;=40,W285&gt;=120),0.15,0)+IF(AND(V285&gt;40,V285&lt;75,W285&lt;25),0.35,0)+IF(AND(V285&gt;=40,V285&lt;75,W285&gt;=25,W285&lt;65),0.25,0)+IF(AND(V285&gt;=40,V285&lt;75,W285&gt;=65,W285&lt;100),0.17,0)+IF(AND(V285&gt;=40,V285&lt;75,W285&gt;=100),0.1,0)+IF(AND(V285&gt;=75,W285&lt;25),0.35,0)+IF(AND(V285&gt;=75,W285&gt;=25,W285&lt;60),0.25,0)+IF(AND(V285&gt;=75,W285&gt;=60,W285&lt;95),0.17,0)+IF(AND(V285&gt;=75,W285&gt;=95),0.1,0),
IF(AF285="DoEVba",IF(AND(V285&lt;20,W285&lt;105),0.2,0)+IF(AND(V285&lt;20,W285&gt;=105),0.15,0)+IF(AND(V285&gt;=20,V285&lt;40,W285&lt;95),0.2,0)+IF(AND(V285&gt;=20,V285&lt;40,W285&gt;=95,W285&lt;150),0.15,0)+IF(AND(V285&gt;=20,V285&lt;40,W285&gt;=150),0.12,0)+IF(AND(V285&gt;=40,V285&lt;75,W285&lt;75),0.2,0)+IF(AND(V285&gt;=40,V285&lt;75,W285&gt;=75,W285&lt;120),0.15,0)+IF(AND(V285&gt;=40,V285&lt;75,W285&gt;=120),0.12,0)+IF(AND(V285&gt;=75,V285&lt;175,W285&lt;65),0.2,0)+IF(AND(V285&gt;=75,V285&lt;175,W285&gt;=65,W285&lt;110),0.15,0)+IF(AND(V285&gt;=75,V285&lt;175,W285&gt;=110),0.12,0)+IF(AND(V285&gt;=175,W285&lt;55),0.2,0)+IF(AND(V285&gt;=175,W285&gt;=55,W285&lt;95),0.15,0)+IF(AND(V285&gt;=175,W285&gt;=95),0.12,0),
IF(AF285="DoEVku",IF(AND(V285&lt;20,W285&lt;55),0.23,0)+IF(AND(V285&lt;20,W285&gt;=55,W285&lt;105),0.2,0)+IF(AND(V285&lt;20,W285&gt;=105),0.17,0)+IF(AND(V285&gt;=20,V285&lt;40,W285&lt;45),0.23,0)+IF(AND(V285&gt;=20,V285&lt;40,W285&gt;=45,W285&lt;95),0.2,0)+IF(AND(V285&gt;=20,V285&lt;40,W285&gt;=95,W285&lt;=150),0.17,0)+IF(AND(V285&gt;=20,V285&lt;40,W285&gt;=150),0.12,0)+IF(AND(V285&gt;=40,V285&lt;75,W285&lt;35),0.23,0)+IF(AND(V285&gt;=40,V285&lt;75,W285&gt;=35,W285&lt;75),0.2,0)+IF(AND(V285&gt;=40,V285&lt;75,W285&gt;=75,W285&lt;120),0.17,0)+IF(AND(V285&gt;=40,V285&lt;75,W285&gt;=120),0.12,0)+IF(AND(V285&gt;=75,V285&lt;175,W285&lt;35),0.23,0)+IF(AND(V285&gt;=75,V285&lt;=175,W285&gt;=35,W285&lt;65),0.2,0)+IF(AND(V285&gt;=75,V285&lt;=175,W285&gt;=65,W285&lt;110),0.17,0)+IF(AND(V285&gt;=75,V285&lt;=175,W285&gt;=110),0.12,0)+IF(AND(V285&gt;175,W285&lt;25),0.23,0)+IF(AND(V285&gt;175,W285&gt;=25,W285&lt;55),0.2,0)+IF(AND(V285&gt;175,W285&gt;=55,W285&lt;95),0.17,0)+IF(AND(V285&gt;175,W285&gt;=95),0.12,0),
IF(AF285="DoEVs1",IF(AND(V285&lt;20,W285&lt;55),0.3,0)+IF(AND(V285&lt;20,W285&gt;=55,W285&lt;105),0.23,0)+IF(AND(V285&lt;20,W285&gt;=105),0.17,0)+IF(AND(V285&gt;=20,V285&lt;40,W285&lt;45),0.3,0)+IF(AND(V285&gt;=20,V285&lt;40,W285&gt;=45,W285&lt;95),0.23,0)+IF(AND(V285&gt;=20,V285&lt;40,W285&gt;=95,W285&lt;=150),0.17,0)+IF(AND(V285&gt;=20,V285&lt;40,W285&gt;=150),0.12,0)+IF(AND(V285&gt;=40,V285&lt;75,W285&lt;35),0.3,0)+IF(AND(V285&gt;=40,V285&lt;75,W285&gt;=35,W285&lt;75),0.23,0)+IF(AND(V285&gt;=40,V285&lt;75,W285&gt;=75,W285&lt;120),0.17,0)+IF(AND(V285&gt;=40,V285&lt;75,W285&gt;=120),0.12,0)+IF(AND(V285&gt;=75,V285&lt;175,W285&lt;35),0.3,0)+IF(AND(V285&gt;=75,V285&lt;=175,W285&gt;=35,W285&lt;65),0.23,0)+IF(AND(V285&gt;=75,V285&lt;=175,W285&gt;=65,W285&lt;110),0.17,0)+IF(AND(V285&gt;=75,V285&lt;=175,W285&gt;=110),0.12,0)+IF(AND(V285&gt;175,W285&lt;25),0.3,0)+IF(AND(V285&gt;175,W285&gt;=25,W285&lt;55),0.23,0)+IF(AND(V285&gt;175,W285&gt;=55,W285&lt;95),0.17,0)+IF(AND(V285&gt;175,W285&gt;=95),0.12,0),
IF(AF285="DoEVsu",IF(AND(V285&lt;20,W285&lt;55),0.3,0)+IF(AND(V285&lt;20,W285&gt;=55,W285&lt;105),0.23,0)+IF(AND(V285&lt;20,W285&gt;=105),0.17,0)+IF(AND(V285&gt;=20,V285&lt;40,W285&lt;45),0.3,0)+IF(AND(V285&gt;=20,V285&lt;40,W285&gt;=45,W285&lt;95),0.23,0)+IF(AND(V285&gt;=20,V285&lt;40,W285&gt;=95,W285&lt;=250),0.17,0)+IF(AND(V285&gt;=20,V285&lt;40,W285&gt;=250),0.12,0)+IF(AND(V285&gt;=40,V285&lt;75,W285&lt;35),0.3,0)+IF(AND(V285&gt;=40,V285&lt;75,W285&gt;=35,W285&lt;75),0.23,0)+IF(AND(V285&gt;=40,V285&lt;75,W285&gt;=75,W285&lt;120),0.17,0)+IF(AND(V285&gt;=40,V285&lt;75,W285&gt;=120),0.12,0)+IF(AND(V285&gt;=75,V285&lt;175,W285&lt;35),0.3,0)+IF(AND(V285&gt;=75,V285&lt;=175,W285&gt;=35,W285&lt;65),0.23,0)+IF(AND(V285&gt;=75,V285&lt;=175,W285&gt;=65,W285&lt;110),0.17,0)+IF(AND(V285&gt;=75,V285&lt;=175,W285&gt;=110),0.12,0)+IF(AND(V285&gt;175,W285&lt;25),0.3,0)+IF(AND(V285&gt;175,W285&gt;=25,W285&lt;55),0.23,0)+IF(AND(V285&gt;175,W285&gt;=55,W285&lt;95),0.17,0)+IF(AND(V285&gt;175,W285&gt;=95),0.12,0),
IF(AF285="DoEVni",IF(AND(V285&lt;20,W285&lt;55),0.3,0)+IF(AND(V285&lt;20,W285&gt;=55,W285&lt;105),0.23,0)+IF(AND(V285&lt;20,W285&gt;=105),0.17,0)+IF(AND(V285&gt;=20,V285&lt;40,W285&lt;45),0.3,0)+IF(AND(V285&gt;=20,V285&lt;40,W285&gt;=45,W285&lt;95),0.23,0)+IF(AND(V285&gt;=20,V285&lt;40,W285&gt;=95,W285&lt;=200),0.17,0)+IF(AND(V285&gt;=20,V285&lt;40,W285&gt;=200),0.12,0)+IF(AND(V285&gt;=40,V285&lt;75,W285&lt;35),0.3,0)+IF(AND(V285&gt;=40,V285&lt;75,W285&gt;=35,W285&lt;75),0.23,0)+IF(AND(V285&gt;=40,V285&lt;75,W285&gt;=75,W285&lt;120),0.17,0)+IF(AND(V285&gt;=40,V285&lt;75,W285&gt;=120),0.12,0)+IF(AND(V285&gt;=75,V285&lt;175,W285&lt;35),0.3,0)+IF(AND(V285&gt;=75,V285&lt;=175,W285&gt;=35,W285&lt;65),0.23,0)+IF(AND(V285&gt;=75,V285&lt;=175,W285&gt;=65,W285&lt;110),0.17,0)+IF(AND(V285&gt;=75,V285&lt;=175,W285&gt;=110),0.12,0)+IF(AND(V285&gt;175,W285&lt;25),0.3,0)+IF(AND(V285&gt;175,W285&gt;=25,W285&lt;55),0.23,0)+IF(AND(V285&gt;175,W285&gt;=55,W285&lt;95),0.17,0)+IF(AND(V285&gt;175,W285&gt;=95),0.12,0),
IF(AF285="DoEVLo",IF(AND(V285&lt;20,W285&lt;55),0.25,0)+IF(AND(V285&lt;20,W285&gt;=55,W285&lt;105),0.2,0)+IF(AND(V285&lt;20,W285&gt;=105),0.15,0)+IF(AND(V285&gt;=20,V285&lt;40,W285&lt;45),0.25,0)+IF(AND(V285&gt;=20,V285&lt;40,W285&gt;=45,W285&lt;95),0.2,0)+IF(AND(V285&gt;=20,V285&lt;40,W285&gt;=95),0.15,0)+IF(AND(V285&gt;=40,V285&lt;75,W285&lt;35),0.25,0)+IF(AND(V285&gt;=40,V285&lt;75,W285&gt;=35,W285&lt;75),0.2,0)+IF(AND(V285&gt;=40,V285&lt;75,W285&gt;=75,W285&lt;120),0.15,0)+IF(AND(V285&gt;=40,V285&lt;75,W285&gt;=120),0.1,0)+IF(AND(V285&gt;=75,V285&lt;175,W285&lt;35),0.25,0)+IF(AND(V285&gt;=75,V285&lt;=175,W285&gt;=35,W285&lt;65),0.2,0)+IF(AND(V285&gt;=75,V285&lt;=175,W285&gt;=65,W285&lt;110),0.15,0)+IF(AND(V285&gt;=75,V285&lt;=175,W285&gt;=110),0.1,0)+IF(AND(V285&gt;175,W285&lt;25),0.25,0)+IF(AND(V285&gt;175,W285&gt;=25,W285&lt;55),0.2,0)+IF(AND(V285&gt;175,W285&gt;=55,W285&lt;95),0.15,0)+IF(AND(V285&gt;175,W285&gt;=95),0.1,0))))))))))))))))</f>
        <v>0.3</v>
      </c>
      <c r="Y285" s="30">
        <f>IF(AG285="None",0,IF(AG285="Fix5",0.05,IF(AG285="Fix3.75",0.0375,IF(AG285="Fix10",0.1,IF(AG285="Fix3",0.03,0)))))</f>
        <v>0</v>
      </c>
      <c r="Z285" s="35">
        <f>T285-AA285-AB285</f>
        <v>-184.8</v>
      </c>
      <c r="AA285" s="29">
        <f>IF(AD285="EUR",((T285-R285)*X285)*U285+(R285*X285),(T285*X285))</f>
        <v>-79.2</v>
      </c>
      <c r="AB285" s="36">
        <f>IF(AD285="EUR",((T285-R285)*Y285)*U285+(R285*Y285),(T285*Y285))</f>
        <v>0</v>
      </c>
      <c r="AC285" s="37" t="b">
        <v>1</v>
      </c>
      <c r="AD285" s="37" t="s">
        <v>38</v>
      </c>
      <c r="AE285" s="37" t="s">
        <v>38</v>
      </c>
      <c r="AF285" s="37" t="str">
        <f t="array" ref="AF285">INDEX('Deal Info'!D:D, MATCH(A285,'Deal Info'!A:A, 0))</f>
        <v>DoEV</v>
      </c>
      <c r="AG285" s="38" t="str">
        <f t="array" ref="AG285">INDEX('Deal Info'!G:G, MATCH(A285,'Deal Info'!A:A, 0))</f>
        <v>None</v>
      </c>
    </row>
    <row r="286" spans="1:33" ht="14.25" hidden="1" x14ac:dyDescent="0.2">
      <c r="A286" s="18" t="str">
        <f t="array" ref="A286">IF(G286='Room Info'!$B$1, INDEX('Room Info'!$A$2:$A2446, MATCH(B286,'Room Info'!$B$2:$B2446, 0)),IF(G286='Room Info'!$C$1, INDEX('Room Info'!$A$2:$A2446, MATCH(B286,'Room Info'!$C$2:$C2446, 0)),IF(G286='Room Info'!$D$1, INDEX('Room Info'!$A$2:$A2446, MATCH(B286,'Room Info'!$D$2:$D2446, 0)),IF(G286='Room Info'!$E$1, INDEX('Room Info'!$A$2:$A2446, MATCH(B286,'Room Info'!$E$2:$E2446, 0)),IF(G286='Room Info'!$F$1, INDEX('Room Info'!$A$2:$A2446, MATCH(B286,'Room Info'!$F$2:$F2446, 0)),IF(G286='Room Info'!$H$1, INDEX('Room Info'!$A$2:$A2446, MATCH(B286,'Room Info'!$H$2:$H2446, 0)),IF(G286='Room Info'!$G$1, INDEX('Room Info'!$A$2:$A2446, MATCH(B286,'Room Info'!$G$2:$G2446, 0)))))))))</f>
        <v>SDEBA1</v>
      </c>
      <c r="B286" s="45" t="s">
        <v>114</v>
      </c>
      <c r="C286" s="46">
        <v>44802</v>
      </c>
      <c r="D286" s="46">
        <v>44824</v>
      </c>
      <c r="E286" s="47">
        <v>44805</v>
      </c>
      <c r="F286" s="48" t="s">
        <v>41</v>
      </c>
      <c r="G286" s="54" t="s">
        <v>35</v>
      </c>
      <c r="H286" s="49" t="s">
        <v>45</v>
      </c>
      <c r="I286" s="49" t="s">
        <v>37</v>
      </c>
      <c r="J286" s="50">
        <v>0.25</v>
      </c>
      <c r="K286" s="51">
        <v>36</v>
      </c>
      <c r="L286" s="52">
        <v>-1</v>
      </c>
      <c r="M286" s="62"/>
      <c r="N286" s="28">
        <f>K286*J286</f>
        <v>9</v>
      </c>
      <c r="O286" s="54">
        <v>1765</v>
      </c>
      <c r="P286" s="29">
        <v>49.027777780000001</v>
      </c>
      <c r="Q286" s="55"/>
      <c r="R286" s="31">
        <f>M286+Q286</f>
        <v>0</v>
      </c>
      <c r="S286" s="56">
        <v>0</v>
      </c>
      <c r="T286" s="32">
        <f>R286+S286+IF(F286="Without EV deal",L286,0)</f>
        <v>-1</v>
      </c>
      <c r="U286" s="57">
        <v>1</v>
      </c>
      <c r="V286" s="69">
        <v>8.1360150925024346</v>
      </c>
      <c r="W286" s="58">
        <v>35.15</v>
      </c>
      <c r="X286" s="30">
        <f>IF(AF286="DoEV",IF(AND(V286&lt;20,W286&lt;55),0.3,0)+IF(AND(V286&lt;20,W286&gt;=55,W286&lt;105),0.23,0)+IF(AND(V286&lt;20,W286&gt;=105),0.17,0)+IF(AND(V286&gt;=20,V286&lt;40,W286&lt;45),0.3,0)+IF(AND(V286&gt;=20,V286&lt;40,W286&gt;=45,W286&lt;95),0.23,0)+IF(AND(V286&gt;=20,V286&lt;40,W286&gt;=95),0.17,0)+IF(AND(V286&gt;=40,V286&lt;75,W286&lt;35),0.3,0)+IF(AND(V286&gt;=40,V286&lt;75,W286&gt;=35,W286&lt;75),0.23,0)+IF(AND(V286&gt;=40,V286&lt;75,W286&gt;=75,W286&lt;120),0.17,0)+IF(AND(V286&gt;=40,V286&lt;75,W286&gt;=120),0.12,0)+IF(AND(V286&gt;=75,V286&lt;175,W286&lt;35),0.3,0)+IF(AND(V286&gt;=75,V286&lt;=175,W286&gt;=35,W286&lt;65),0.23,0)+IF(AND(V286&gt;=75,V286&lt;=175,W286&gt;=65,W286&lt;110),0.17,0)+IF(AND(V286&gt;=75,V286&lt;=175,W286&gt;=110),0.12,0)+IF(AND(V286&gt;175,W286&lt;25),0.3,0)+IF(AND(V286&gt;175,W286&gt;=25,W286&lt;55),0.23,0)+IF(AND(V286&gt;175,W286&gt;=55,W286&lt;95),0.17,0)+IF(AND(V286&gt;175,W286&gt;=95),0.12,0),
IF(AF286="Fix15",0.15,
IF(AF286="Fix11.25",0.1125,
IF(AF286="Fix10",0.1,
IF(AF286="Fix9",0.09,
IF(AF286="DoEV2017",IF(AND(W286&lt;74),0.2,0)+IF(AND(W286&gt;=74),0.17,0),
IF(AF286="SF",IF(AND(V286&lt;20,W286&lt;89),0.3,0)+IF(AND(V286&lt;20,W286&gt;=89),0.25,0)+IF(AND(V286&gt;=20,V286&lt;40,W286&lt;74),0.3,0)+IF(AND(V286&gt;=20,V286&lt;40,W286&gt;=75),0.22,0)+IF(AND(V286&gt;=40,V286&lt;75,W286&lt;75),0.26,0)+IF(AND(V286&gt;=40,V286&lt;75,W286&gt;=75),0.22,0)+IF(V286&gt;=75,0.22,0),
IF(AF286="DoEVold",IF(AND(V286&lt;40,W286&lt;35),0.35,0)+IF(AND(V286&lt;40,W286&gt;=35,W286&lt;75),0.25,0)+IF(AND(V286&lt;40,W286&gt;=75),0.17,0)+IF(AND(V286&gt;=40,V286&lt;75,W286&lt;25),0.35,0)+IF(AND(V286&gt;=40,V286&lt;75,W286&gt;=25,W286&lt;65),0.25,0)+IF(AND(V286&gt;=40,V286&lt;75,W286&gt;=65,W286&lt;100),0.17,0)+IF(AND(V286&gt;=40,V286&lt;75,W286&gt;=100),0.1,0)+IF(AND(V286&gt;=75,W286&lt;25),0.35,0)+IF(AND(V286&gt;=75,W286&gt;=25,W286&lt;60),0.25,0)+IF(AND(V286&gt;=75,W286&gt;=60,W286&lt;95),0.17,0)+IF(AND(V286&gt;=75,W286&gt;=95),0.1,0),
IF(AF286="DoEVold15",IF(AND(V286&lt;=40,W286&lt;35),0.35,0)+IF(AND(V286&lt;=40,W286&gt;=35,W286&lt;75),0.25,0)+IF(AND(V286&lt;=40,W286&gt;=75,W286&lt;120),0.17,0)+IF(AND(V286&lt;=40,W286&gt;=120),0.15,0)+IF(AND(V286&gt;40,V286&lt;75,W286&lt;25),0.35,0)+IF(AND(V286&gt;=40,V286&lt;75,W286&gt;=25,W286&lt;65),0.25,0)+IF(AND(V286&gt;=40,V286&lt;75,W286&gt;=65,W286&lt;100),0.17,0)+IF(AND(V286&gt;=40,V286&lt;75,W286&gt;=100),0.1,0)+IF(AND(V286&gt;=75,W286&lt;25),0.35,0)+IF(AND(V286&gt;=75,W286&gt;=25,W286&lt;60),0.25,0)+IF(AND(V286&gt;=75,W286&gt;=60,W286&lt;95),0.17,0)+IF(AND(V286&gt;=75,W286&gt;=95),0.1,0),
IF(AF286="DoEVba",IF(AND(V286&lt;20,W286&lt;105),0.2,0)+IF(AND(V286&lt;20,W286&gt;=105),0.15,0)+IF(AND(V286&gt;=20,V286&lt;40,W286&lt;95),0.2,0)+IF(AND(V286&gt;=20,V286&lt;40,W286&gt;=95,W286&lt;150),0.15,0)+IF(AND(V286&gt;=20,V286&lt;40,W286&gt;=150),0.12,0)+IF(AND(V286&gt;=40,V286&lt;75,W286&lt;75),0.2,0)+IF(AND(V286&gt;=40,V286&lt;75,W286&gt;=75,W286&lt;120),0.15,0)+IF(AND(V286&gt;=40,V286&lt;75,W286&gt;=120),0.12,0)+IF(AND(V286&gt;=75,V286&lt;175,W286&lt;65),0.2,0)+IF(AND(V286&gt;=75,V286&lt;175,W286&gt;=65,W286&lt;110),0.15,0)+IF(AND(V286&gt;=75,V286&lt;175,W286&gt;=110),0.12,0)+IF(AND(V286&gt;=175,W286&lt;55),0.2,0)+IF(AND(V286&gt;=175,W286&gt;=55,W286&lt;95),0.15,0)+IF(AND(V286&gt;=175,W286&gt;=95),0.12,0),
IF(AF286="DoEVku",IF(AND(V286&lt;20,W286&lt;55),0.23,0)+IF(AND(V286&lt;20,W286&gt;=55,W286&lt;105),0.2,0)+IF(AND(V286&lt;20,W286&gt;=105),0.17,0)+IF(AND(V286&gt;=20,V286&lt;40,W286&lt;45),0.23,0)+IF(AND(V286&gt;=20,V286&lt;40,W286&gt;=45,W286&lt;95),0.2,0)+IF(AND(V286&gt;=20,V286&lt;40,W286&gt;=95,W286&lt;=150),0.17,0)+IF(AND(V286&gt;=20,V286&lt;40,W286&gt;=150),0.12,0)+IF(AND(V286&gt;=40,V286&lt;75,W286&lt;35),0.23,0)+IF(AND(V286&gt;=40,V286&lt;75,W286&gt;=35,W286&lt;75),0.2,0)+IF(AND(V286&gt;=40,V286&lt;75,W286&gt;=75,W286&lt;120),0.17,0)+IF(AND(V286&gt;=40,V286&lt;75,W286&gt;=120),0.12,0)+IF(AND(V286&gt;=75,V286&lt;175,W286&lt;35),0.23,0)+IF(AND(V286&gt;=75,V286&lt;=175,W286&gt;=35,W286&lt;65),0.2,0)+IF(AND(V286&gt;=75,V286&lt;=175,W286&gt;=65,W286&lt;110),0.17,0)+IF(AND(V286&gt;=75,V286&lt;=175,W286&gt;=110),0.12,0)+IF(AND(V286&gt;175,W286&lt;25),0.23,0)+IF(AND(V286&gt;175,W286&gt;=25,W286&lt;55),0.2,0)+IF(AND(V286&gt;175,W286&gt;=55,W286&lt;95),0.17,0)+IF(AND(V286&gt;175,W286&gt;=95),0.12,0),
IF(AF286="DoEVs1",IF(AND(V286&lt;20,W286&lt;55),0.3,0)+IF(AND(V286&lt;20,W286&gt;=55,W286&lt;105),0.23,0)+IF(AND(V286&lt;20,W286&gt;=105),0.17,0)+IF(AND(V286&gt;=20,V286&lt;40,W286&lt;45),0.3,0)+IF(AND(V286&gt;=20,V286&lt;40,W286&gt;=45,W286&lt;95),0.23,0)+IF(AND(V286&gt;=20,V286&lt;40,W286&gt;=95,W286&lt;=150),0.17,0)+IF(AND(V286&gt;=20,V286&lt;40,W286&gt;=150),0.12,0)+IF(AND(V286&gt;=40,V286&lt;75,W286&lt;35),0.3,0)+IF(AND(V286&gt;=40,V286&lt;75,W286&gt;=35,W286&lt;75),0.23,0)+IF(AND(V286&gt;=40,V286&lt;75,W286&gt;=75,W286&lt;120),0.17,0)+IF(AND(V286&gt;=40,V286&lt;75,W286&gt;=120),0.12,0)+IF(AND(V286&gt;=75,V286&lt;175,W286&lt;35),0.3,0)+IF(AND(V286&gt;=75,V286&lt;=175,W286&gt;=35,W286&lt;65),0.23,0)+IF(AND(V286&gt;=75,V286&lt;=175,W286&gt;=65,W286&lt;110),0.17,0)+IF(AND(V286&gt;=75,V286&lt;=175,W286&gt;=110),0.12,0)+IF(AND(V286&gt;175,W286&lt;25),0.3,0)+IF(AND(V286&gt;175,W286&gt;=25,W286&lt;55),0.23,0)+IF(AND(V286&gt;175,W286&gt;=55,W286&lt;95),0.17,0)+IF(AND(V286&gt;175,W286&gt;=95),0.12,0),
IF(AF286="DoEVsu",IF(AND(V286&lt;20,W286&lt;55),0.3,0)+IF(AND(V286&lt;20,W286&gt;=55,W286&lt;105),0.23,0)+IF(AND(V286&lt;20,W286&gt;=105),0.17,0)+IF(AND(V286&gt;=20,V286&lt;40,W286&lt;45),0.3,0)+IF(AND(V286&gt;=20,V286&lt;40,W286&gt;=45,W286&lt;95),0.23,0)+IF(AND(V286&gt;=20,V286&lt;40,W286&gt;=95,W286&lt;=250),0.17,0)+IF(AND(V286&gt;=20,V286&lt;40,W286&gt;=250),0.12,0)+IF(AND(V286&gt;=40,V286&lt;75,W286&lt;35),0.3,0)+IF(AND(V286&gt;=40,V286&lt;75,W286&gt;=35,W286&lt;75),0.23,0)+IF(AND(V286&gt;=40,V286&lt;75,W286&gt;=75,W286&lt;120),0.17,0)+IF(AND(V286&gt;=40,V286&lt;75,W286&gt;=120),0.12,0)+IF(AND(V286&gt;=75,V286&lt;175,W286&lt;35),0.3,0)+IF(AND(V286&gt;=75,V286&lt;=175,W286&gt;=35,W286&lt;65),0.23,0)+IF(AND(V286&gt;=75,V286&lt;=175,W286&gt;=65,W286&lt;110),0.17,0)+IF(AND(V286&gt;=75,V286&lt;=175,W286&gt;=110),0.12,0)+IF(AND(V286&gt;175,W286&lt;25),0.3,0)+IF(AND(V286&gt;175,W286&gt;=25,W286&lt;55),0.23,0)+IF(AND(V286&gt;175,W286&gt;=55,W286&lt;95),0.17,0)+IF(AND(V286&gt;175,W286&gt;=95),0.12,0),
IF(AF286="DoEVni",IF(AND(V286&lt;20,W286&lt;55),0.3,0)+IF(AND(V286&lt;20,W286&gt;=55,W286&lt;105),0.23,0)+IF(AND(V286&lt;20,W286&gt;=105),0.17,0)+IF(AND(V286&gt;=20,V286&lt;40,W286&lt;45),0.3,0)+IF(AND(V286&gt;=20,V286&lt;40,W286&gt;=45,W286&lt;95),0.23,0)+IF(AND(V286&gt;=20,V286&lt;40,W286&gt;=95,W286&lt;=200),0.17,0)+IF(AND(V286&gt;=20,V286&lt;40,W286&gt;=200),0.12,0)+IF(AND(V286&gt;=40,V286&lt;75,W286&lt;35),0.3,0)+IF(AND(V286&gt;=40,V286&lt;75,W286&gt;=35,W286&lt;75),0.23,0)+IF(AND(V286&gt;=40,V286&lt;75,W286&gt;=75,W286&lt;120),0.17,0)+IF(AND(V286&gt;=40,V286&lt;75,W286&gt;=120),0.12,0)+IF(AND(V286&gt;=75,V286&lt;175,W286&lt;35),0.3,0)+IF(AND(V286&gt;=75,V286&lt;=175,W286&gt;=35,W286&lt;65),0.23,0)+IF(AND(V286&gt;=75,V286&lt;=175,W286&gt;=65,W286&lt;110),0.17,0)+IF(AND(V286&gt;=75,V286&lt;=175,W286&gt;=110),0.12,0)+IF(AND(V286&gt;175,W286&lt;25),0.3,0)+IF(AND(V286&gt;175,W286&gt;=25,W286&lt;55),0.23,0)+IF(AND(V286&gt;175,W286&gt;=55,W286&lt;95),0.17,0)+IF(AND(V286&gt;175,W286&gt;=95),0.12,0),
IF(AF286="DoEVLo",IF(AND(V286&lt;20,W286&lt;55),0.25,0)+IF(AND(V286&lt;20,W286&gt;=55,W286&lt;105),0.2,0)+IF(AND(V286&lt;20,W286&gt;=105),0.15,0)+IF(AND(V286&gt;=20,V286&lt;40,W286&lt;45),0.25,0)+IF(AND(V286&gt;=20,V286&lt;40,W286&gt;=45,W286&lt;95),0.2,0)+IF(AND(V286&gt;=20,V286&lt;40,W286&gt;=95),0.15,0)+IF(AND(V286&gt;=40,V286&lt;75,W286&lt;35),0.25,0)+IF(AND(V286&gt;=40,V286&lt;75,W286&gt;=35,W286&lt;75),0.2,0)+IF(AND(V286&gt;=40,V286&lt;75,W286&gt;=75,W286&lt;120),0.15,0)+IF(AND(V286&gt;=40,V286&lt;75,W286&gt;=120),0.1,0)+IF(AND(V286&gt;=75,V286&lt;175,W286&lt;35),0.25,0)+IF(AND(V286&gt;=75,V286&lt;=175,W286&gt;=35,W286&lt;65),0.2,0)+IF(AND(V286&gt;=75,V286&lt;=175,W286&gt;=65,W286&lt;110),0.15,0)+IF(AND(V286&gt;=75,V286&lt;=175,W286&gt;=110),0.1,0)+IF(AND(V286&gt;175,W286&lt;25),0.25,0)+IF(AND(V286&gt;175,W286&gt;=25,W286&lt;55),0.2,0)+IF(AND(V286&gt;175,W286&gt;=55,W286&lt;95),0.15,0)+IF(AND(V286&gt;175,W286&gt;=95),0.1,0))))))))))))))))</f>
        <v>0.3</v>
      </c>
      <c r="Y286" s="30">
        <f>IF(AG286="None",0,IF(AG286="Fix5",0.05,IF(AG286="Fix3.75",0.0375,IF(AG286="Fix10",0.1,IF(AG286="Fix3",0.03,0)))))</f>
        <v>0</v>
      </c>
      <c r="Z286" s="35">
        <f>T286-AA286-AB286</f>
        <v>-0.7</v>
      </c>
      <c r="AA286" s="29">
        <f>IF(AD286="EUR",((T286-R286)*X286)*U286+(R286*X286),(T286*X286))</f>
        <v>-0.3</v>
      </c>
      <c r="AB286" s="36">
        <f>IF(AD286="EUR",((T286-R286)*Y286)*U286+(R286*Y286),(T286*Y286))</f>
        <v>0</v>
      </c>
      <c r="AC286" s="37" t="b">
        <v>1</v>
      </c>
      <c r="AD286" s="37" t="s">
        <v>38</v>
      </c>
      <c r="AE286" s="37" t="s">
        <v>38</v>
      </c>
      <c r="AF286" s="37" t="str">
        <f t="array" ref="AF286">INDEX('Deal Info'!D:D, MATCH(A286,'Deal Info'!A:A, 0))</f>
        <v>DoEV</v>
      </c>
      <c r="AG286" s="38" t="str">
        <f t="array" ref="AG286">INDEX('Deal Info'!G:G, MATCH(A286,'Deal Info'!A:A, 0))</f>
        <v>None</v>
      </c>
    </row>
    <row r="287" spans="1:33" ht="14.25" hidden="1" x14ac:dyDescent="0.2">
      <c r="A287" s="18" t="str">
        <f t="array" ref="A287">IF(G287='Room Info'!$B$1, INDEX('Room Info'!$A$2:$A2446, MATCH(B287,'Room Info'!$B$2:$B2446, 0)),IF(G287='Room Info'!$C$1, INDEX('Room Info'!$A$2:$A2446, MATCH(B287,'Room Info'!$C$2:$C2446, 0)),IF(G287='Room Info'!$D$1, INDEX('Room Info'!$A$2:$A2446, MATCH(B287,'Room Info'!$D$2:$D2446, 0)),IF(G287='Room Info'!$E$1, INDEX('Room Info'!$A$2:$A2446, MATCH(B287,'Room Info'!$E$2:$E2446, 0)),IF(G287='Room Info'!$F$1, INDEX('Room Info'!$A$2:$A2446, MATCH(B287,'Room Info'!$F$2:$F2446, 0)),IF(G287='Room Info'!$H$1, INDEX('Room Info'!$A$2:$A2446, MATCH(B287,'Room Info'!$H$2:$H2446, 0)),IF(G287='Room Info'!$G$1, INDEX('Room Info'!$A$2:$A2446, MATCH(B287,'Room Info'!$G$2:$G2446, 0)))))))))</f>
        <v>SDEBA1</v>
      </c>
      <c r="B287" s="45" t="s">
        <v>114</v>
      </c>
      <c r="C287" s="46">
        <v>44802</v>
      </c>
      <c r="D287" s="46">
        <v>44824</v>
      </c>
      <c r="E287" s="47">
        <v>44805</v>
      </c>
      <c r="F287" s="48" t="s">
        <v>41</v>
      </c>
      <c r="G287" s="54" t="s">
        <v>35</v>
      </c>
      <c r="H287" s="49" t="s">
        <v>51</v>
      </c>
      <c r="I287" s="49" t="s">
        <v>44</v>
      </c>
      <c r="J287" s="50">
        <v>0.25</v>
      </c>
      <c r="K287" s="51">
        <v>2</v>
      </c>
      <c r="L287" s="52">
        <v>0</v>
      </c>
      <c r="M287" s="62"/>
      <c r="N287" s="28">
        <f>K287*J287</f>
        <v>0.5</v>
      </c>
      <c r="O287" s="54">
        <v>357</v>
      </c>
      <c r="P287" s="29">
        <v>178.5</v>
      </c>
      <c r="Q287" s="55"/>
      <c r="R287" s="31">
        <f>M287+Q287</f>
        <v>0</v>
      </c>
      <c r="S287" s="56">
        <v>0</v>
      </c>
      <c r="T287" s="32">
        <f>R287+S287+IF(F287="Without EV deal",L287,0)</f>
        <v>0</v>
      </c>
      <c r="U287" s="57">
        <v>1</v>
      </c>
      <c r="V287" s="69">
        <v>8.1360150925024346</v>
      </c>
      <c r="W287" s="58">
        <v>35.15</v>
      </c>
      <c r="X287" s="30">
        <f>IF(AF287="DoEV",IF(AND(V287&lt;20,W287&lt;55),0.3,0)+IF(AND(V287&lt;20,W287&gt;=55,W287&lt;105),0.23,0)+IF(AND(V287&lt;20,W287&gt;=105),0.17,0)+IF(AND(V287&gt;=20,V287&lt;40,W287&lt;45),0.3,0)+IF(AND(V287&gt;=20,V287&lt;40,W287&gt;=45,W287&lt;95),0.23,0)+IF(AND(V287&gt;=20,V287&lt;40,W287&gt;=95),0.17,0)+IF(AND(V287&gt;=40,V287&lt;75,W287&lt;35),0.3,0)+IF(AND(V287&gt;=40,V287&lt;75,W287&gt;=35,W287&lt;75),0.23,0)+IF(AND(V287&gt;=40,V287&lt;75,W287&gt;=75,W287&lt;120),0.17,0)+IF(AND(V287&gt;=40,V287&lt;75,W287&gt;=120),0.12,0)+IF(AND(V287&gt;=75,V287&lt;175,W287&lt;35),0.3,0)+IF(AND(V287&gt;=75,V287&lt;=175,W287&gt;=35,W287&lt;65),0.23,0)+IF(AND(V287&gt;=75,V287&lt;=175,W287&gt;=65,W287&lt;110),0.17,0)+IF(AND(V287&gt;=75,V287&lt;=175,W287&gt;=110),0.12,0)+IF(AND(V287&gt;175,W287&lt;25),0.3,0)+IF(AND(V287&gt;175,W287&gt;=25,W287&lt;55),0.23,0)+IF(AND(V287&gt;175,W287&gt;=55,W287&lt;95),0.17,0)+IF(AND(V287&gt;175,W287&gt;=95),0.12,0),
IF(AF287="Fix15",0.15,
IF(AF287="Fix11.25",0.1125,
IF(AF287="Fix10",0.1,
IF(AF287="Fix9",0.09,
IF(AF287="DoEV2017",IF(AND(W287&lt;74),0.2,0)+IF(AND(W287&gt;=74),0.17,0),
IF(AF287="SF",IF(AND(V287&lt;20,W287&lt;89),0.3,0)+IF(AND(V287&lt;20,W287&gt;=89),0.25,0)+IF(AND(V287&gt;=20,V287&lt;40,W287&lt;74),0.3,0)+IF(AND(V287&gt;=20,V287&lt;40,W287&gt;=75),0.22,0)+IF(AND(V287&gt;=40,V287&lt;75,W287&lt;75),0.26,0)+IF(AND(V287&gt;=40,V287&lt;75,W287&gt;=75),0.22,0)+IF(V287&gt;=75,0.22,0),
IF(AF287="DoEVold",IF(AND(V287&lt;40,W287&lt;35),0.35,0)+IF(AND(V287&lt;40,W287&gt;=35,W287&lt;75),0.25,0)+IF(AND(V287&lt;40,W287&gt;=75),0.17,0)+IF(AND(V287&gt;=40,V287&lt;75,W287&lt;25),0.35,0)+IF(AND(V287&gt;=40,V287&lt;75,W287&gt;=25,W287&lt;65),0.25,0)+IF(AND(V287&gt;=40,V287&lt;75,W287&gt;=65,W287&lt;100),0.17,0)+IF(AND(V287&gt;=40,V287&lt;75,W287&gt;=100),0.1,0)+IF(AND(V287&gt;=75,W287&lt;25),0.35,0)+IF(AND(V287&gt;=75,W287&gt;=25,W287&lt;60),0.25,0)+IF(AND(V287&gt;=75,W287&gt;=60,W287&lt;95),0.17,0)+IF(AND(V287&gt;=75,W287&gt;=95),0.1,0),
IF(AF287="DoEVold15",IF(AND(V287&lt;=40,W287&lt;35),0.35,0)+IF(AND(V287&lt;=40,W287&gt;=35,W287&lt;75),0.25,0)+IF(AND(V287&lt;=40,W287&gt;=75,W287&lt;120),0.17,0)+IF(AND(V287&lt;=40,W287&gt;=120),0.15,0)+IF(AND(V287&gt;40,V287&lt;75,W287&lt;25),0.35,0)+IF(AND(V287&gt;=40,V287&lt;75,W287&gt;=25,W287&lt;65),0.25,0)+IF(AND(V287&gt;=40,V287&lt;75,W287&gt;=65,W287&lt;100),0.17,0)+IF(AND(V287&gt;=40,V287&lt;75,W287&gt;=100),0.1,0)+IF(AND(V287&gt;=75,W287&lt;25),0.35,0)+IF(AND(V287&gt;=75,W287&gt;=25,W287&lt;60),0.25,0)+IF(AND(V287&gt;=75,W287&gt;=60,W287&lt;95),0.17,0)+IF(AND(V287&gt;=75,W287&gt;=95),0.1,0),
IF(AF287="DoEVba",IF(AND(V287&lt;20,W287&lt;105),0.2,0)+IF(AND(V287&lt;20,W287&gt;=105),0.15,0)+IF(AND(V287&gt;=20,V287&lt;40,W287&lt;95),0.2,0)+IF(AND(V287&gt;=20,V287&lt;40,W287&gt;=95,W287&lt;150),0.15,0)+IF(AND(V287&gt;=20,V287&lt;40,W287&gt;=150),0.12,0)+IF(AND(V287&gt;=40,V287&lt;75,W287&lt;75),0.2,0)+IF(AND(V287&gt;=40,V287&lt;75,W287&gt;=75,W287&lt;120),0.15,0)+IF(AND(V287&gt;=40,V287&lt;75,W287&gt;=120),0.12,0)+IF(AND(V287&gt;=75,V287&lt;175,W287&lt;65),0.2,0)+IF(AND(V287&gt;=75,V287&lt;175,W287&gt;=65,W287&lt;110),0.15,0)+IF(AND(V287&gt;=75,V287&lt;175,W287&gt;=110),0.12,0)+IF(AND(V287&gt;=175,W287&lt;55),0.2,0)+IF(AND(V287&gt;=175,W287&gt;=55,W287&lt;95),0.15,0)+IF(AND(V287&gt;=175,W287&gt;=95),0.12,0),
IF(AF287="DoEVku",IF(AND(V287&lt;20,W287&lt;55),0.23,0)+IF(AND(V287&lt;20,W287&gt;=55,W287&lt;105),0.2,0)+IF(AND(V287&lt;20,W287&gt;=105),0.17,0)+IF(AND(V287&gt;=20,V287&lt;40,W287&lt;45),0.23,0)+IF(AND(V287&gt;=20,V287&lt;40,W287&gt;=45,W287&lt;95),0.2,0)+IF(AND(V287&gt;=20,V287&lt;40,W287&gt;=95,W287&lt;=150),0.17,0)+IF(AND(V287&gt;=20,V287&lt;40,W287&gt;=150),0.12,0)+IF(AND(V287&gt;=40,V287&lt;75,W287&lt;35),0.23,0)+IF(AND(V287&gt;=40,V287&lt;75,W287&gt;=35,W287&lt;75),0.2,0)+IF(AND(V287&gt;=40,V287&lt;75,W287&gt;=75,W287&lt;120),0.17,0)+IF(AND(V287&gt;=40,V287&lt;75,W287&gt;=120),0.12,0)+IF(AND(V287&gt;=75,V287&lt;175,W287&lt;35),0.23,0)+IF(AND(V287&gt;=75,V287&lt;=175,W287&gt;=35,W287&lt;65),0.2,0)+IF(AND(V287&gt;=75,V287&lt;=175,W287&gt;=65,W287&lt;110),0.17,0)+IF(AND(V287&gt;=75,V287&lt;=175,W287&gt;=110),0.12,0)+IF(AND(V287&gt;175,W287&lt;25),0.23,0)+IF(AND(V287&gt;175,W287&gt;=25,W287&lt;55),0.2,0)+IF(AND(V287&gt;175,W287&gt;=55,W287&lt;95),0.17,0)+IF(AND(V287&gt;175,W287&gt;=95),0.12,0),
IF(AF287="DoEVs1",IF(AND(V287&lt;20,W287&lt;55),0.3,0)+IF(AND(V287&lt;20,W287&gt;=55,W287&lt;105),0.23,0)+IF(AND(V287&lt;20,W287&gt;=105),0.17,0)+IF(AND(V287&gt;=20,V287&lt;40,W287&lt;45),0.3,0)+IF(AND(V287&gt;=20,V287&lt;40,W287&gt;=45,W287&lt;95),0.23,0)+IF(AND(V287&gt;=20,V287&lt;40,W287&gt;=95,W287&lt;=150),0.17,0)+IF(AND(V287&gt;=20,V287&lt;40,W287&gt;=150),0.12,0)+IF(AND(V287&gt;=40,V287&lt;75,W287&lt;35),0.3,0)+IF(AND(V287&gt;=40,V287&lt;75,W287&gt;=35,W287&lt;75),0.23,0)+IF(AND(V287&gt;=40,V287&lt;75,W287&gt;=75,W287&lt;120),0.17,0)+IF(AND(V287&gt;=40,V287&lt;75,W287&gt;=120),0.12,0)+IF(AND(V287&gt;=75,V287&lt;175,W287&lt;35),0.3,0)+IF(AND(V287&gt;=75,V287&lt;=175,W287&gt;=35,W287&lt;65),0.23,0)+IF(AND(V287&gt;=75,V287&lt;=175,W287&gt;=65,W287&lt;110),0.17,0)+IF(AND(V287&gt;=75,V287&lt;=175,W287&gt;=110),0.12,0)+IF(AND(V287&gt;175,W287&lt;25),0.3,0)+IF(AND(V287&gt;175,W287&gt;=25,W287&lt;55),0.23,0)+IF(AND(V287&gt;175,W287&gt;=55,W287&lt;95),0.17,0)+IF(AND(V287&gt;175,W287&gt;=95),0.12,0),
IF(AF287="DoEVsu",IF(AND(V287&lt;20,W287&lt;55),0.3,0)+IF(AND(V287&lt;20,W287&gt;=55,W287&lt;105),0.23,0)+IF(AND(V287&lt;20,W287&gt;=105),0.17,0)+IF(AND(V287&gt;=20,V287&lt;40,W287&lt;45),0.3,0)+IF(AND(V287&gt;=20,V287&lt;40,W287&gt;=45,W287&lt;95),0.23,0)+IF(AND(V287&gt;=20,V287&lt;40,W287&gt;=95,W287&lt;=250),0.17,0)+IF(AND(V287&gt;=20,V287&lt;40,W287&gt;=250),0.12,0)+IF(AND(V287&gt;=40,V287&lt;75,W287&lt;35),0.3,0)+IF(AND(V287&gt;=40,V287&lt;75,W287&gt;=35,W287&lt;75),0.23,0)+IF(AND(V287&gt;=40,V287&lt;75,W287&gt;=75,W287&lt;120),0.17,0)+IF(AND(V287&gt;=40,V287&lt;75,W287&gt;=120),0.12,0)+IF(AND(V287&gt;=75,V287&lt;175,W287&lt;35),0.3,0)+IF(AND(V287&gt;=75,V287&lt;=175,W287&gt;=35,W287&lt;65),0.23,0)+IF(AND(V287&gt;=75,V287&lt;=175,W287&gt;=65,W287&lt;110),0.17,0)+IF(AND(V287&gt;=75,V287&lt;=175,W287&gt;=110),0.12,0)+IF(AND(V287&gt;175,W287&lt;25),0.3,0)+IF(AND(V287&gt;175,W287&gt;=25,W287&lt;55),0.23,0)+IF(AND(V287&gt;175,W287&gt;=55,W287&lt;95),0.17,0)+IF(AND(V287&gt;175,W287&gt;=95),0.12,0),
IF(AF287="DoEVni",IF(AND(V287&lt;20,W287&lt;55),0.3,0)+IF(AND(V287&lt;20,W287&gt;=55,W287&lt;105),0.23,0)+IF(AND(V287&lt;20,W287&gt;=105),0.17,0)+IF(AND(V287&gt;=20,V287&lt;40,W287&lt;45),0.3,0)+IF(AND(V287&gt;=20,V287&lt;40,W287&gt;=45,W287&lt;95),0.23,0)+IF(AND(V287&gt;=20,V287&lt;40,W287&gt;=95,W287&lt;=200),0.17,0)+IF(AND(V287&gt;=20,V287&lt;40,W287&gt;=200),0.12,0)+IF(AND(V287&gt;=40,V287&lt;75,W287&lt;35),0.3,0)+IF(AND(V287&gt;=40,V287&lt;75,W287&gt;=35,W287&lt;75),0.23,0)+IF(AND(V287&gt;=40,V287&lt;75,W287&gt;=75,W287&lt;120),0.17,0)+IF(AND(V287&gt;=40,V287&lt;75,W287&gt;=120),0.12,0)+IF(AND(V287&gt;=75,V287&lt;175,W287&lt;35),0.3,0)+IF(AND(V287&gt;=75,V287&lt;=175,W287&gt;=35,W287&lt;65),0.23,0)+IF(AND(V287&gt;=75,V287&lt;=175,W287&gt;=65,W287&lt;110),0.17,0)+IF(AND(V287&gt;=75,V287&lt;=175,W287&gt;=110),0.12,0)+IF(AND(V287&gt;175,W287&lt;25),0.3,0)+IF(AND(V287&gt;175,W287&gt;=25,W287&lt;55),0.23,0)+IF(AND(V287&gt;175,W287&gt;=55,W287&lt;95),0.17,0)+IF(AND(V287&gt;175,W287&gt;=95),0.12,0),
IF(AF287="DoEVLo",IF(AND(V287&lt;20,W287&lt;55),0.25,0)+IF(AND(V287&lt;20,W287&gt;=55,W287&lt;105),0.2,0)+IF(AND(V287&lt;20,W287&gt;=105),0.15,0)+IF(AND(V287&gt;=20,V287&lt;40,W287&lt;45),0.25,0)+IF(AND(V287&gt;=20,V287&lt;40,W287&gt;=45,W287&lt;95),0.2,0)+IF(AND(V287&gt;=20,V287&lt;40,W287&gt;=95),0.15,0)+IF(AND(V287&gt;=40,V287&lt;75,W287&lt;35),0.25,0)+IF(AND(V287&gt;=40,V287&lt;75,W287&gt;=35,W287&lt;75),0.2,0)+IF(AND(V287&gt;=40,V287&lt;75,W287&gt;=75,W287&lt;120),0.15,0)+IF(AND(V287&gt;=40,V287&lt;75,W287&gt;=120),0.1,0)+IF(AND(V287&gt;=75,V287&lt;175,W287&lt;35),0.25,0)+IF(AND(V287&gt;=75,V287&lt;=175,W287&gt;=35,W287&lt;65),0.2,0)+IF(AND(V287&gt;=75,V287&lt;=175,W287&gt;=65,W287&lt;110),0.15,0)+IF(AND(V287&gt;=75,V287&lt;=175,W287&gt;=110),0.1,0)+IF(AND(V287&gt;175,W287&lt;25),0.25,0)+IF(AND(V287&gt;175,W287&gt;=25,W287&lt;55),0.2,0)+IF(AND(V287&gt;175,W287&gt;=55,W287&lt;95),0.15,0)+IF(AND(V287&gt;175,W287&gt;=95),0.1,0))))))))))))))))</f>
        <v>0.3</v>
      </c>
      <c r="Y287" s="30">
        <f>IF(AG287="None",0,IF(AG287="Fix5",0.05,IF(AG287="Fix3.75",0.0375,IF(AG287="Fix10",0.1,IF(AG287="Fix3",0.03,0)))))</f>
        <v>0</v>
      </c>
      <c r="Z287" s="35">
        <f>T287-AA287-AB287</f>
        <v>0</v>
      </c>
      <c r="AA287" s="29">
        <f>IF(AD287="EUR",((T287-R287)*X287)*U287+(R287*X287),(T287*X287))</f>
        <v>0</v>
      </c>
      <c r="AB287" s="36">
        <f>IF(AD287="EUR",((T287-R287)*Y287)*U287+(R287*Y287),(T287*Y287))</f>
        <v>0</v>
      </c>
      <c r="AC287" s="37" t="b">
        <v>1</v>
      </c>
      <c r="AD287" s="37" t="s">
        <v>38</v>
      </c>
      <c r="AE287" s="37" t="s">
        <v>38</v>
      </c>
      <c r="AF287" s="37" t="str">
        <f t="array" ref="AF287">INDEX('Deal Info'!D:D, MATCH(A287,'Deal Info'!A:A, 0))</f>
        <v>DoEV</v>
      </c>
      <c r="AG287" s="38" t="str">
        <f t="array" ref="AG287">INDEX('Deal Info'!G:G, MATCH(A287,'Deal Info'!A:A, 0))</f>
        <v>None</v>
      </c>
    </row>
    <row r="288" spans="1:33" ht="14.25" hidden="1" x14ac:dyDescent="0.2">
      <c r="A288" s="18" t="str">
        <f t="array" ref="A288">IF(G288='Room Info'!$B$1, INDEX('Room Info'!$A$2:$A2446, MATCH(B288,'Room Info'!$B$2:$B2446, 0)),IF(G288='Room Info'!$C$1, INDEX('Room Info'!$A$2:$A2446, MATCH(B288,'Room Info'!$C$2:$C2446, 0)),IF(G288='Room Info'!$D$1, INDEX('Room Info'!$A$2:$A2446, MATCH(B288,'Room Info'!$D$2:$D2446, 0)),IF(G288='Room Info'!$E$1, INDEX('Room Info'!$A$2:$A2446, MATCH(B288,'Room Info'!$E$2:$E2446, 0)),IF(G288='Room Info'!$F$1, INDEX('Room Info'!$A$2:$A2446, MATCH(B288,'Room Info'!$F$2:$F2446, 0)),IF(G288='Room Info'!$H$1, INDEX('Room Info'!$A$2:$A2446, MATCH(B288,'Room Info'!$H$2:$H2446, 0)),IF(G288='Room Info'!$G$1, INDEX('Room Info'!$A$2:$A2446, MATCH(B288,'Room Info'!$G$2:$G2446, 0)))))))))</f>
        <v>SDEBA1</v>
      </c>
      <c r="B288" s="45" t="s">
        <v>114</v>
      </c>
      <c r="C288" s="46">
        <v>44802</v>
      </c>
      <c r="D288" s="46">
        <v>44824</v>
      </c>
      <c r="E288" s="47">
        <v>44805</v>
      </c>
      <c r="F288" s="48" t="s">
        <v>41</v>
      </c>
      <c r="G288" s="54" t="s">
        <v>35</v>
      </c>
      <c r="H288" s="49" t="s">
        <v>42</v>
      </c>
      <c r="I288" s="49" t="s">
        <v>37</v>
      </c>
      <c r="J288" s="50">
        <v>1</v>
      </c>
      <c r="K288" s="51">
        <v>1</v>
      </c>
      <c r="L288" s="52">
        <v>-1</v>
      </c>
      <c r="M288" s="62"/>
      <c r="N288" s="28">
        <f>K288*J288</f>
        <v>1</v>
      </c>
      <c r="O288" s="54">
        <v>-31</v>
      </c>
      <c r="P288" s="29">
        <v>-31</v>
      </c>
      <c r="Q288" s="55"/>
      <c r="R288" s="31">
        <f>M288+Q288</f>
        <v>0</v>
      </c>
      <c r="S288" s="56">
        <v>0</v>
      </c>
      <c r="T288" s="32">
        <f>R288+S288+IF(F288="Without EV deal",L288,0)</f>
        <v>-1</v>
      </c>
      <c r="U288" s="57">
        <v>1</v>
      </c>
      <c r="V288" s="69">
        <v>8.1360150925024346</v>
      </c>
      <c r="W288" s="58">
        <v>35.15</v>
      </c>
      <c r="X288" s="30">
        <f>IF(AF288="DoEV",IF(AND(V288&lt;20,W288&lt;55),0.3,0)+IF(AND(V288&lt;20,W288&gt;=55,W288&lt;105),0.23,0)+IF(AND(V288&lt;20,W288&gt;=105),0.17,0)+IF(AND(V288&gt;=20,V288&lt;40,W288&lt;45),0.3,0)+IF(AND(V288&gt;=20,V288&lt;40,W288&gt;=45,W288&lt;95),0.23,0)+IF(AND(V288&gt;=20,V288&lt;40,W288&gt;=95),0.17,0)+IF(AND(V288&gt;=40,V288&lt;75,W288&lt;35),0.3,0)+IF(AND(V288&gt;=40,V288&lt;75,W288&gt;=35,W288&lt;75),0.23,0)+IF(AND(V288&gt;=40,V288&lt;75,W288&gt;=75,W288&lt;120),0.17,0)+IF(AND(V288&gt;=40,V288&lt;75,W288&gt;=120),0.12,0)+IF(AND(V288&gt;=75,V288&lt;175,W288&lt;35),0.3,0)+IF(AND(V288&gt;=75,V288&lt;=175,W288&gt;=35,W288&lt;65),0.23,0)+IF(AND(V288&gt;=75,V288&lt;=175,W288&gt;=65,W288&lt;110),0.17,0)+IF(AND(V288&gt;=75,V288&lt;=175,W288&gt;=110),0.12,0)+IF(AND(V288&gt;175,W288&lt;25),0.3,0)+IF(AND(V288&gt;175,W288&gt;=25,W288&lt;55),0.23,0)+IF(AND(V288&gt;175,W288&gt;=55,W288&lt;95),0.17,0)+IF(AND(V288&gt;175,W288&gt;=95),0.12,0),
IF(AF288="Fix15",0.15,
IF(AF288="Fix11.25",0.1125,
IF(AF288="Fix10",0.1,
IF(AF288="Fix9",0.09,
IF(AF288="DoEV2017",IF(AND(W288&lt;74),0.2,0)+IF(AND(W288&gt;=74),0.17,0),
IF(AF288="SF",IF(AND(V288&lt;20,W288&lt;89),0.3,0)+IF(AND(V288&lt;20,W288&gt;=89),0.25,0)+IF(AND(V288&gt;=20,V288&lt;40,W288&lt;74),0.3,0)+IF(AND(V288&gt;=20,V288&lt;40,W288&gt;=75),0.22,0)+IF(AND(V288&gt;=40,V288&lt;75,W288&lt;75),0.26,0)+IF(AND(V288&gt;=40,V288&lt;75,W288&gt;=75),0.22,0)+IF(V288&gt;=75,0.22,0),
IF(AF288="DoEVold",IF(AND(V288&lt;40,W288&lt;35),0.35,0)+IF(AND(V288&lt;40,W288&gt;=35,W288&lt;75),0.25,0)+IF(AND(V288&lt;40,W288&gt;=75),0.17,0)+IF(AND(V288&gt;=40,V288&lt;75,W288&lt;25),0.35,0)+IF(AND(V288&gt;=40,V288&lt;75,W288&gt;=25,W288&lt;65),0.25,0)+IF(AND(V288&gt;=40,V288&lt;75,W288&gt;=65,W288&lt;100),0.17,0)+IF(AND(V288&gt;=40,V288&lt;75,W288&gt;=100),0.1,0)+IF(AND(V288&gt;=75,W288&lt;25),0.35,0)+IF(AND(V288&gt;=75,W288&gt;=25,W288&lt;60),0.25,0)+IF(AND(V288&gt;=75,W288&gt;=60,W288&lt;95),0.17,0)+IF(AND(V288&gt;=75,W288&gt;=95),0.1,0),
IF(AF288="DoEVold15",IF(AND(V288&lt;=40,W288&lt;35),0.35,0)+IF(AND(V288&lt;=40,W288&gt;=35,W288&lt;75),0.25,0)+IF(AND(V288&lt;=40,W288&gt;=75,W288&lt;120),0.17,0)+IF(AND(V288&lt;=40,W288&gt;=120),0.15,0)+IF(AND(V288&gt;40,V288&lt;75,W288&lt;25),0.35,0)+IF(AND(V288&gt;=40,V288&lt;75,W288&gt;=25,W288&lt;65),0.25,0)+IF(AND(V288&gt;=40,V288&lt;75,W288&gt;=65,W288&lt;100),0.17,0)+IF(AND(V288&gt;=40,V288&lt;75,W288&gt;=100),0.1,0)+IF(AND(V288&gt;=75,W288&lt;25),0.35,0)+IF(AND(V288&gt;=75,W288&gt;=25,W288&lt;60),0.25,0)+IF(AND(V288&gt;=75,W288&gt;=60,W288&lt;95),0.17,0)+IF(AND(V288&gt;=75,W288&gt;=95),0.1,0),
IF(AF288="DoEVba",IF(AND(V288&lt;20,W288&lt;105),0.2,0)+IF(AND(V288&lt;20,W288&gt;=105),0.15,0)+IF(AND(V288&gt;=20,V288&lt;40,W288&lt;95),0.2,0)+IF(AND(V288&gt;=20,V288&lt;40,W288&gt;=95,W288&lt;150),0.15,0)+IF(AND(V288&gt;=20,V288&lt;40,W288&gt;=150),0.12,0)+IF(AND(V288&gt;=40,V288&lt;75,W288&lt;75),0.2,0)+IF(AND(V288&gt;=40,V288&lt;75,W288&gt;=75,W288&lt;120),0.15,0)+IF(AND(V288&gt;=40,V288&lt;75,W288&gt;=120),0.12,0)+IF(AND(V288&gt;=75,V288&lt;175,W288&lt;65),0.2,0)+IF(AND(V288&gt;=75,V288&lt;175,W288&gt;=65,W288&lt;110),0.15,0)+IF(AND(V288&gt;=75,V288&lt;175,W288&gt;=110),0.12,0)+IF(AND(V288&gt;=175,W288&lt;55),0.2,0)+IF(AND(V288&gt;=175,W288&gt;=55,W288&lt;95),0.15,0)+IF(AND(V288&gt;=175,W288&gt;=95),0.12,0),
IF(AF288="DoEVku",IF(AND(V288&lt;20,W288&lt;55),0.23,0)+IF(AND(V288&lt;20,W288&gt;=55,W288&lt;105),0.2,0)+IF(AND(V288&lt;20,W288&gt;=105),0.17,0)+IF(AND(V288&gt;=20,V288&lt;40,W288&lt;45),0.23,0)+IF(AND(V288&gt;=20,V288&lt;40,W288&gt;=45,W288&lt;95),0.2,0)+IF(AND(V288&gt;=20,V288&lt;40,W288&gt;=95,W288&lt;=150),0.17,0)+IF(AND(V288&gt;=20,V288&lt;40,W288&gt;=150),0.12,0)+IF(AND(V288&gt;=40,V288&lt;75,W288&lt;35),0.23,0)+IF(AND(V288&gt;=40,V288&lt;75,W288&gt;=35,W288&lt;75),0.2,0)+IF(AND(V288&gt;=40,V288&lt;75,W288&gt;=75,W288&lt;120),0.17,0)+IF(AND(V288&gt;=40,V288&lt;75,W288&gt;=120),0.12,0)+IF(AND(V288&gt;=75,V288&lt;175,W288&lt;35),0.23,0)+IF(AND(V288&gt;=75,V288&lt;=175,W288&gt;=35,W288&lt;65),0.2,0)+IF(AND(V288&gt;=75,V288&lt;=175,W288&gt;=65,W288&lt;110),0.17,0)+IF(AND(V288&gt;=75,V288&lt;=175,W288&gt;=110),0.12,0)+IF(AND(V288&gt;175,W288&lt;25),0.23,0)+IF(AND(V288&gt;175,W288&gt;=25,W288&lt;55),0.2,0)+IF(AND(V288&gt;175,W288&gt;=55,W288&lt;95),0.17,0)+IF(AND(V288&gt;175,W288&gt;=95),0.12,0),
IF(AF288="DoEVs1",IF(AND(V288&lt;20,W288&lt;55),0.3,0)+IF(AND(V288&lt;20,W288&gt;=55,W288&lt;105),0.23,0)+IF(AND(V288&lt;20,W288&gt;=105),0.17,0)+IF(AND(V288&gt;=20,V288&lt;40,W288&lt;45),0.3,0)+IF(AND(V288&gt;=20,V288&lt;40,W288&gt;=45,W288&lt;95),0.23,0)+IF(AND(V288&gt;=20,V288&lt;40,W288&gt;=95,W288&lt;=150),0.17,0)+IF(AND(V288&gt;=20,V288&lt;40,W288&gt;=150),0.12,0)+IF(AND(V288&gt;=40,V288&lt;75,W288&lt;35),0.3,0)+IF(AND(V288&gt;=40,V288&lt;75,W288&gt;=35,W288&lt;75),0.23,0)+IF(AND(V288&gt;=40,V288&lt;75,W288&gt;=75,W288&lt;120),0.17,0)+IF(AND(V288&gt;=40,V288&lt;75,W288&gt;=120),0.12,0)+IF(AND(V288&gt;=75,V288&lt;175,W288&lt;35),0.3,0)+IF(AND(V288&gt;=75,V288&lt;=175,W288&gt;=35,W288&lt;65),0.23,0)+IF(AND(V288&gt;=75,V288&lt;=175,W288&gt;=65,W288&lt;110),0.17,0)+IF(AND(V288&gt;=75,V288&lt;=175,W288&gt;=110),0.12,0)+IF(AND(V288&gt;175,W288&lt;25),0.3,0)+IF(AND(V288&gt;175,W288&gt;=25,W288&lt;55),0.23,0)+IF(AND(V288&gt;175,W288&gt;=55,W288&lt;95),0.17,0)+IF(AND(V288&gt;175,W288&gt;=95),0.12,0),
IF(AF288="DoEVsu",IF(AND(V288&lt;20,W288&lt;55),0.3,0)+IF(AND(V288&lt;20,W288&gt;=55,W288&lt;105),0.23,0)+IF(AND(V288&lt;20,W288&gt;=105),0.17,0)+IF(AND(V288&gt;=20,V288&lt;40,W288&lt;45),0.3,0)+IF(AND(V288&gt;=20,V288&lt;40,W288&gt;=45,W288&lt;95),0.23,0)+IF(AND(V288&gt;=20,V288&lt;40,W288&gt;=95,W288&lt;=250),0.17,0)+IF(AND(V288&gt;=20,V288&lt;40,W288&gt;=250),0.12,0)+IF(AND(V288&gt;=40,V288&lt;75,W288&lt;35),0.3,0)+IF(AND(V288&gt;=40,V288&lt;75,W288&gt;=35,W288&lt;75),0.23,0)+IF(AND(V288&gt;=40,V288&lt;75,W288&gt;=75,W288&lt;120),0.17,0)+IF(AND(V288&gt;=40,V288&lt;75,W288&gt;=120),0.12,0)+IF(AND(V288&gt;=75,V288&lt;175,W288&lt;35),0.3,0)+IF(AND(V288&gt;=75,V288&lt;=175,W288&gt;=35,W288&lt;65),0.23,0)+IF(AND(V288&gt;=75,V288&lt;=175,W288&gt;=65,W288&lt;110),0.17,0)+IF(AND(V288&gt;=75,V288&lt;=175,W288&gt;=110),0.12,0)+IF(AND(V288&gt;175,W288&lt;25),0.3,0)+IF(AND(V288&gt;175,W288&gt;=25,W288&lt;55),0.23,0)+IF(AND(V288&gt;175,W288&gt;=55,W288&lt;95),0.17,0)+IF(AND(V288&gt;175,W288&gt;=95),0.12,0),
IF(AF288="DoEVni",IF(AND(V288&lt;20,W288&lt;55),0.3,0)+IF(AND(V288&lt;20,W288&gt;=55,W288&lt;105),0.23,0)+IF(AND(V288&lt;20,W288&gt;=105),0.17,0)+IF(AND(V288&gt;=20,V288&lt;40,W288&lt;45),0.3,0)+IF(AND(V288&gt;=20,V288&lt;40,W288&gt;=45,W288&lt;95),0.23,0)+IF(AND(V288&gt;=20,V288&lt;40,W288&gt;=95,W288&lt;=200),0.17,0)+IF(AND(V288&gt;=20,V288&lt;40,W288&gt;=200),0.12,0)+IF(AND(V288&gt;=40,V288&lt;75,W288&lt;35),0.3,0)+IF(AND(V288&gt;=40,V288&lt;75,W288&gt;=35,W288&lt;75),0.23,0)+IF(AND(V288&gt;=40,V288&lt;75,W288&gt;=75,W288&lt;120),0.17,0)+IF(AND(V288&gt;=40,V288&lt;75,W288&gt;=120),0.12,0)+IF(AND(V288&gt;=75,V288&lt;175,W288&lt;35),0.3,0)+IF(AND(V288&gt;=75,V288&lt;=175,W288&gt;=35,W288&lt;65),0.23,0)+IF(AND(V288&gt;=75,V288&lt;=175,W288&gt;=65,W288&lt;110),0.17,0)+IF(AND(V288&gt;=75,V288&lt;=175,W288&gt;=110),0.12,0)+IF(AND(V288&gt;175,W288&lt;25),0.3,0)+IF(AND(V288&gt;175,W288&gt;=25,W288&lt;55),0.23,0)+IF(AND(V288&gt;175,W288&gt;=55,W288&lt;95),0.17,0)+IF(AND(V288&gt;175,W288&gt;=95),0.12,0),
IF(AF288="DoEVLo",IF(AND(V288&lt;20,W288&lt;55),0.25,0)+IF(AND(V288&lt;20,W288&gt;=55,W288&lt;105),0.2,0)+IF(AND(V288&lt;20,W288&gt;=105),0.15,0)+IF(AND(V288&gt;=20,V288&lt;40,W288&lt;45),0.25,0)+IF(AND(V288&gt;=20,V288&lt;40,W288&gt;=45,W288&lt;95),0.2,0)+IF(AND(V288&gt;=20,V288&lt;40,W288&gt;=95),0.15,0)+IF(AND(V288&gt;=40,V288&lt;75,W288&lt;35),0.25,0)+IF(AND(V288&gt;=40,V288&lt;75,W288&gt;=35,W288&lt;75),0.2,0)+IF(AND(V288&gt;=40,V288&lt;75,W288&gt;=75,W288&lt;120),0.15,0)+IF(AND(V288&gt;=40,V288&lt;75,W288&gt;=120),0.1,0)+IF(AND(V288&gt;=75,V288&lt;175,W288&lt;35),0.25,0)+IF(AND(V288&gt;=75,V288&lt;=175,W288&gt;=35,W288&lt;65),0.2,0)+IF(AND(V288&gt;=75,V288&lt;=175,W288&gt;=65,W288&lt;110),0.15,0)+IF(AND(V288&gt;=75,V288&lt;=175,W288&gt;=110),0.1,0)+IF(AND(V288&gt;175,W288&lt;25),0.25,0)+IF(AND(V288&gt;175,W288&gt;=25,W288&lt;55),0.2,0)+IF(AND(V288&gt;175,W288&gt;=55,W288&lt;95),0.15,0)+IF(AND(V288&gt;175,W288&gt;=95),0.1,0))))))))))))))))</f>
        <v>0.3</v>
      </c>
      <c r="Y288" s="30">
        <f>IF(AG288="None",0,IF(AG288="Fix5",0.05,IF(AG288="Fix3.75",0.0375,IF(AG288="Fix10",0.1,IF(AG288="Fix3",0.03,0)))))</f>
        <v>0</v>
      </c>
      <c r="Z288" s="35">
        <f>T288-AA288-AB288</f>
        <v>-0.7</v>
      </c>
      <c r="AA288" s="29">
        <f>IF(AD288="EUR",((T288-R288)*X288)*U288+(R288*X288),(T288*X288))</f>
        <v>-0.3</v>
      </c>
      <c r="AB288" s="36">
        <f>IF(AD288="EUR",((T288-R288)*Y288)*U288+(R288*Y288),(T288*Y288))</f>
        <v>0</v>
      </c>
      <c r="AC288" s="37" t="b">
        <v>1</v>
      </c>
      <c r="AD288" s="37" t="s">
        <v>38</v>
      </c>
      <c r="AE288" s="37" t="s">
        <v>38</v>
      </c>
      <c r="AF288" s="37" t="str">
        <f t="array" ref="AF288">INDEX('Deal Info'!D:D, MATCH(A288,'Deal Info'!A:A, 0))</f>
        <v>DoEV</v>
      </c>
      <c r="AG288" s="38" t="str">
        <f t="array" ref="AG288">INDEX('Deal Info'!G:G, MATCH(A288,'Deal Info'!A:A, 0))</f>
        <v>None</v>
      </c>
    </row>
    <row r="289" spans="1:33" ht="14.25" hidden="1" x14ac:dyDescent="0.2">
      <c r="A289" s="18" t="str">
        <f t="array" ref="A289">IF(G289='Room Info'!$B$1, INDEX('Room Info'!$A$2:$A2446, MATCH(B289,'Room Info'!$B$2:$B2446, 0)),IF(G289='Room Info'!$C$1, INDEX('Room Info'!$A$2:$A2446, MATCH(B289,'Room Info'!$C$2:$C2446, 0)),IF(G289='Room Info'!$D$1, INDEX('Room Info'!$A$2:$A2446, MATCH(B289,'Room Info'!$D$2:$D2446, 0)),IF(G289='Room Info'!$E$1, INDEX('Room Info'!$A$2:$A2446, MATCH(B289,'Room Info'!$E$2:$E2446, 0)),IF(G289='Room Info'!$F$1, INDEX('Room Info'!$A$2:$A2446, MATCH(B289,'Room Info'!$F$2:$F2446, 0)),IF(G289='Room Info'!$H$1, INDEX('Room Info'!$A$2:$A2446, MATCH(B289,'Room Info'!$H$2:$H2446, 0)),IF(G289='Room Info'!$G$1, INDEX('Room Info'!$A$2:$A2446, MATCH(B289,'Room Info'!$G$2:$G2446, 0)))))))))</f>
        <v>SDEBA1</v>
      </c>
      <c r="B289" s="54" t="s">
        <v>114</v>
      </c>
      <c r="C289" s="46">
        <v>44825</v>
      </c>
      <c r="D289" s="46">
        <v>44854</v>
      </c>
      <c r="E289" s="47">
        <v>44835</v>
      </c>
      <c r="F289" s="48" t="s">
        <v>34</v>
      </c>
      <c r="G289" s="45" t="s">
        <v>35</v>
      </c>
      <c r="H289" s="49" t="s">
        <v>90</v>
      </c>
      <c r="I289" s="49" t="s">
        <v>44</v>
      </c>
      <c r="J289" s="50">
        <v>5</v>
      </c>
      <c r="K289" s="51">
        <v>1473</v>
      </c>
      <c r="L289" s="52">
        <v>70</v>
      </c>
      <c r="M289" s="53">
        <v>427</v>
      </c>
      <c r="N289" s="28">
        <f>K289*J289</f>
        <v>7365</v>
      </c>
      <c r="O289" s="54">
        <v>20713</v>
      </c>
      <c r="P289" s="29">
        <v>14.06177868</v>
      </c>
      <c r="Q289" s="55"/>
      <c r="R289" s="31">
        <f>M289+Q289</f>
        <v>427</v>
      </c>
      <c r="S289" s="56">
        <v>-335</v>
      </c>
      <c r="T289" s="32">
        <f>R289+S289+IF(F289="Without EV deal",L289,0)</f>
        <v>92</v>
      </c>
      <c r="U289" s="57">
        <v>1</v>
      </c>
      <c r="V289" s="69">
        <v>8.1360150925024346</v>
      </c>
      <c r="W289" s="58">
        <v>35.15</v>
      </c>
      <c r="X289" s="30">
        <f>IF(AF289="DoEV",IF(AND(V289&lt;20,W289&lt;55),0.3,0)+IF(AND(V289&lt;20,W289&gt;=55,W289&lt;105),0.23,0)+IF(AND(V289&lt;20,W289&gt;=105),0.17,0)+IF(AND(V289&gt;=20,V289&lt;40,W289&lt;45),0.3,0)+IF(AND(V289&gt;=20,V289&lt;40,W289&gt;=45,W289&lt;95),0.23,0)+IF(AND(V289&gt;=20,V289&lt;40,W289&gt;=95),0.17,0)+IF(AND(V289&gt;=40,V289&lt;75,W289&lt;35),0.3,0)+IF(AND(V289&gt;=40,V289&lt;75,W289&gt;=35,W289&lt;75),0.23,0)+IF(AND(V289&gt;=40,V289&lt;75,W289&gt;=75,W289&lt;120),0.17,0)+IF(AND(V289&gt;=40,V289&lt;75,W289&gt;=120),0.12,0)+IF(AND(V289&gt;=75,V289&lt;175,W289&lt;35),0.3,0)+IF(AND(V289&gt;=75,V289&lt;=175,W289&gt;=35,W289&lt;65),0.23,0)+IF(AND(V289&gt;=75,V289&lt;=175,W289&gt;=65,W289&lt;110),0.17,0)+IF(AND(V289&gt;=75,V289&lt;=175,W289&gt;=110),0.12,0)+IF(AND(V289&gt;175,W289&lt;25),0.3,0)+IF(AND(V289&gt;175,W289&gt;=25,W289&lt;55),0.23,0)+IF(AND(V289&gt;175,W289&gt;=55,W289&lt;95),0.17,0)+IF(AND(V289&gt;175,W289&gt;=95),0.12,0),
IF(AF289="Fix15",0.15,
IF(AF289="Fix11.25",0.1125,
IF(AF289="Fix10",0.1,
IF(AF289="Fix9",0.09,
IF(AF289="DoEV2017",IF(AND(W289&lt;74),0.2,0)+IF(AND(W289&gt;=74),0.17,0),
IF(AF289="SF",IF(AND(V289&lt;20,W289&lt;89),0.3,0)+IF(AND(V289&lt;20,W289&gt;=89),0.25,0)+IF(AND(V289&gt;=20,V289&lt;40,W289&lt;74),0.3,0)+IF(AND(V289&gt;=20,V289&lt;40,W289&gt;=75),0.22,0)+IF(AND(V289&gt;=40,V289&lt;75,W289&lt;75),0.26,0)+IF(AND(V289&gt;=40,V289&lt;75,W289&gt;=75),0.22,0)+IF(V289&gt;=75,0.22,0),
IF(AF289="DoEVold",IF(AND(V289&lt;40,W289&lt;35),0.35,0)+IF(AND(V289&lt;40,W289&gt;=35,W289&lt;75),0.25,0)+IF(AND(V289&lt;40,W289&gt;=75),0.17,0)+IF(AND(V289&gt;=40,V289&lt;75,W289&lt;25),0.35,0)+IF(AND(V289&gt;=40,V289&lt;75,W289&gt;=25,W289&lt;65),0.25,0)+IF(AND(V289&gt;=40,V289&lt;75,W289&gt;=65,W289&lt;100),0.17,0)+IF(AND(V289&gt;=40,V289&lt;75,W289&gt;=100),0.1,0)+IF(AND(V289&gt;=75,W289&lt;25),0.35,0)+IF(AND(V289&gt;=75,W289&gt;=25,W289&lt;60),0.25,0)+IF(AND(V289&gt;=75,W289&gt;=60,W289&lt;95),0.17,0)+IF(AND(V289&gt;=75,W289&gt;=95),0.1,0),
IF(AF289="DoEVold15",IF(AND(V289&lt;=40,W289&lt;35),0.35,0)+IF(AND(V289&lt;=40,W289&gt;=35,W289&lt;75),0.25,0)+IF(AND(V289&lt;=40,W289&gt;=75,W289&lt;120),0.17,0)+IF(AND(V289&lt;=40,W289&gt;=120),0.15,0)+IF(AND(V289&gt;40,V289&lt;75,W289&lt;25),0.35,0)+IF(AND(V289&gt;=40,V289&lt;75,W289&gt;=25,W289&lt;65),0.25,0)+IF(AND(V289&gt;=40,V289&lt;75,W289&gt;=65,W289&lt;100),0.17,0)+IF(AND(V289&gt;=40,V289&lt;75,W289&gt;=100),0.1,0)+IF(AND(V289&gt;=75,W289&lt;25),0.35,0)+IF(AND(V289&gt;=75,W289&gt;=25,W289&lt;60),0.25,0)+IF(AND(V289&gt;=75,W289&gt;=60,W289&lt;95),0.17,0)+IF(AND(V289&gt;=75,W289&gt;=95),0.1,0),
IF(AF289="DoEVba",IF(AND(V289&lt;20,W289&lt;105),0.2,0)+IF(AND(V289&lt;20,W289&gt;=105),0.15,0)+IF(AND(V289&gt;=20,V289&lt;40,W289&lt;95),0.2,0)+IF(AND(V289&gt;=20,V289&lt;40,W289&gt;=95,W289&lt;150),0.15,0)+IF(AND(V289&gt;=20,V289&lt;40,W289&gt;=150),0.12,0)+IF(AND(V289&gt;=40,V289&lt;75,W289&lt;75),0.2,0)+IF(AND(V289&gt;=40,V289&lt;75,W289&gt;=75,W289&lt;120),0.15,0)+IF(AND(V289&gt;=40,V289&lt;75,W289&gt;=120),0.12,0)+IF(AND(V289&gt;=75,V289&lt;175,W289&lt;65),0.2,0)+IF(AND(V289&gt;=75,V289&lt;175,W289&gt;=65,W289&lt;110),0.15,0)+IF(AND(V289&gt;=75,V289&lt;175,W289&gt;=110),0.12,0)+IF(AND(V289&gt;=175,W289&lt;55),0.2,0)+IF(AND(V289&gt;=175,W289&gt;=55,W289&lt;95),0.15,0)+IF(AND(V289&gt;=175,W289&gt;=95),0.12,0),
IF(AF289="DoEVku",IF(AND(V289&lt;20,W289&lt;55),0.23,0)+IF(AND(V289&lt;20,W289&gt;=55,W289&lt;105),0.2,0)+IF(AND(V289&lt;20,W289&gt;=105),0.17,0)+IF(AND(V289&gt;=20,V289&lt;40,W289&lt;45),0.23,0)+IF(AND(V289&gt;=20,V289&lt;40,W289&gt;=45,W289&lt;95),0.2,0)+IF(AND(V289&gt;=20,V289&lt;40,W289&gt;=95,W289&lt;=150),0.17,0)+IF(AND(V289&gt;=20,V289&lt;40,W289&gt;=150),0.12,0)+IF(AND(V289&gt;=40,V289&lt;75,W289&lt;35),0.23,0)+IF(AND(V289&gt;=40,V289&lt;75,W289&gt;=35,W289&lt;75),0.2,0)+IF(AND(V289&gt;=40,V289&lt;75,W289&gt;=75,W289&lt;120),0.17,0)+IF(AND(V289&gt;=40,V289&lt;75,W289&gt;=120),0.12,0)+IF(AND(V289&gt;=75,V289&lt;175,W289&lt;35),0.23,0)+IF(AND(V289&gt;=75,V289&lt;=175,W289&gt;=35,W289&lt;65),0.2,0)+IF(AND(V289&gt;=75,V289&lt;=175,W289&gt;=65,W289&lt;110),0.17,0)+IF(AND(V289&gt;=75,V289&lt;=175,W289&gt;=110),0.12,0)+IF(AND(V289&gt;175,W289&lt;25),0.23,0)+IF(AND(V289&gt;175,W289&gt;=25,W289&lt;55),0.2,0)+IF(AND(V289&gt;175,W289&gt;=55,W289&lt;95),0.17,0)+IF(AND(V289&gt;175,W289&gt;=95),0.12,0),
IF(AF289="DoEVs1",IF(AND(V289&lt;20,W289&lt;55),0.3,0)+IF(AND(V289&lt;20,W289&gt;=55,W289&lt;105),0.23,0)+IF(AND(V289&lt;20,W289&gt;=105),0.17,0)+IF(AND(V289&gt;=20,V289&lt;40,W289&lt;45),0.3,0)+IF(AND(V289&gt;=20,V289&lt;40,W289&gt;=45,W289&lt;95),0.23,0)+IF(AND(V289&gt;=20,V289&lt;40,W289&gt;=95,W289&lt;=150),0.17,0)+IF(AND(V289&gt;=20,V289&lt;40,W289&gt;=150),0.12,0)+IF(AND(V289&gt;=40,V289&lt;75,W289&lt;35),0.3,0)+IF(AND(V289&gt;=40,V289&lt;75,W289&gt;=35,W289&lt;75),0.23,0)+IF(AND(V289&gt;=40,V289&lt;75,W289&gt;=75,W289&lt;120),0.17,0)+IF(AND(V289&gt;=40,V289&lt;75,W289&gt;=120),0.12,0)+IF(AND(V289&gt;=75,V289&lt;175,W289&lt;35),0.3,0)+IF(AND(V289&gt;=75,V289&lt;=175,W289&gt;=35,W289&lt;65),0.23,0)+IF(AND(V289&gt;=75,V289&lt;=175,W289&gt;=65,W289&lt;110),0.17,0)+IF(AND(V289&gt;=75,V289&lt;=175,W289&gt;=110),0.12,0)+IF(AND(V289&gt;175,W289&lt;25),0.3,0)+IF(AND(V289&gt;175,W289&gt;=25,W289&lt;55),0.23,0)+IF(AND(V289&gt;175,W289&gt;=55,W289&lt;95),0.17,0)+IF(AND(V289&gt;175,W289&gt;=95),0.12,0),
IF(AF289="DoEVsu",IF(AND(V289&lt;20,W289&lt;55),0.3,0)+IF(AND(V289&lt;20,W289&gt;=55,W289&lt;105),0.23,0)+IF(AND(V289&lt;20,W289&gt;=105),0.17,0)+IF(AND(V289&gt;=20,V289&lt;40,W289&lt;45),0.3,0)+IF(AND(V289&gt;=20,V289&lt;40,W289&gt;=45,W289&lt;95),0.23,0)+IF(AND(V289&gt;=20,V289&lt;40,W289&gt;=95,W289&lt;=250),0.17,0)+IF(AND(V289&gt;=20,V289&lt;40,W289&gt;=250),0.12,0)+IF(AND(V289&gt;=40,V289&lt;75,W289&lt;35),0.3,0)+IF(AND(V289&gt;=40,V289&lt;75,W289&gt;=35,W289&lt;75),0.23,0)+IF(AND(V289&gt;=40,V289&lt;75,W289&gt;=75,W289&lt;120),0.17,0)+IF(AND(V289&gt;=40,V289&lt;75,W289&gt;=120),0.12,0)+IF(AND(V289&gt;=75,V289&lt;175,W289&lt;35),0.3,0)+IF(AND(V289&gt;=75,V289&lt;=175,W289&gt;=35,W289&lt;65),0.23,0)+IF(AND(V289&gt;=75,V289&lt;=175,W289&gt;=65,W289&lt;110),0.17,0)+IF(AND(V289&gt;=75,V289&lt;=175,W289&gt;=110),0.12,0)+IF(AND(V289&gt;175,W289&lt;25),0.3,0)+IF(AND(V289&gt;175,W289&gt;=25,W289&lt;55),0.23,0)+IF(AND(V289&gt;175,W289&gt;=55,W289&lt;95),0.17,0)+IF(AND(V289&gt;175,W289&gt;=95),0.12,0),
IF(AF289="DoEVni",IF(AND(V289&lt;20,W289&lt;55),0.3,0)+IF(AND(V289&lt;20,W289&gt;=55,W289&lt;105),0.23,0)+IF(AND(V289&lt;20,W289&gt;=105),0.17,0)+IF(AND(V289&gt;=20,V289&lt;40,W289&lt;45),0.3,0)+IF(AND(V289&gt;=20,V289&lt;40,W289&gt;=45,W289&lt;95),0.23,0)+IF(AND(V289&gt;=20,V289&lt;40,W289&gt;=95,W289&lt;=200),0.17,0)+IF(AND(V289&gt;=20,V289&lt;40,W289&gt;=200),0.12,0)+IF(AND(V289&gt;=40,V289&lt;75,W289&lt;35),0.3,0)+IF(AND(V289&gt;=40,V289&lt;75,W289&gt;=35,W289&lt;75),0.23,0)+IF(AND(V289&gt;=40,V289&lt;75,W289&gt;=75,W289&lt;120),0.17,0)+IF(AND(V289&gt;=40,V289&lt;75,W289&gt;=120),0.12,0)+IF(AND(V289&gt;=75,V289&lt;175,W289&lt;35),0.3,0)+IF(AND(V289&gt;=75,V289&lt;=175,W289&gt;=35,W289&lt;65),0.23,0)+IF(AND(V289&gt;=75,V289&lt;=175,W289&gt;=65,W289&lt;110),0.17,0)+IF(AND(V289&gt;=75,V289&lt;=175,W289&gt;=110),0.12,0)+IF(AND(V289&gt;175,W289&lt;25),0.3,0)+IF(AND(V289&gt;175,W289&gt;=25,W289&lt;55),0.23,0)+IF(AND(V289&gt;175,W289&gt;=55,W289&lt;95),0.17,0)+IF(AND(V289&gt;175,W289&gt;=95),0.12,0),
IF(AF289="DoEVLo",IF(AND(V289&lt;20,W289&lt;55),0.25,0)+IF(AND(V289&lt;20,W289&gt;=55,W289&lt;105),0.2,0)+IF(AND(V289&lt;20,W289&gt;=105),0.15,0)+IF(AND(V289&gt;=20,V289&lt;40,W289&lt;45),0.25,0)+IF(AND(V289&gt;=20,V289&lt;40,W289&gt;=45,W289&lt;95),0.2,0)+IF(AND(V289&gt;=20,V289&lt;40,W289&gt;=95),0.15,0)+IF(AND(V289&gt;=40,V289&lt;75,W289&lt;35),0.25,0)+IF(AND(V289&gt;=40,V289&lt;75,W289&gt;=35,W289&lt;75),0.2,0)+IF(AND(V289&gt;=40,V289&lt;75,W289&gt;=75,W289&lt;120),0.15,0)+IF(AND(V289&gt;=40,V289&lt;75,W289&gt;=120),0.1,0)+IF(AND(V289&gt;=75,V289&lt;175,W289&lt;35),0.25,0)+IF(AND(V289&gt;=75,V289&lt;=175,W289&gt;=35,W289&lt;65),0.2,0)+IF(AND(V289&gt;=75,V289&lt;=175,W289&gt;=65,W289&lt;110),0.15,0)+IF(AND(V289&gt;=75,V289&lt;=175,W289&gt;=110),0.1,0)+IF(AND(V289&gt;175,W289&lt;25),0.25,0)+IF(AND(V289&gt;175,W289&gt;=25,W289&lt;55),0.2,0)+IF(AND(V289&gt;175,W289&gt;=55,W289&lt;95),0.15,0)+IF(AND(V289&gt;175,W289&gt;=95),0.1,0))))))))))))))))</f>
        <v>0.3</v>
      </c>
      <c r="Y289" s="30">
        <f>IF(AG289="None",0,IF(AG289="Fix5",0.05,IF(AG289="Fix3.75",0.0375,IF(AG289="Fix10",0.1,IF(AG289="Fix3",0.03,0)))))</f>
        <v>0</v>
      </c>
      <c r="Z289" s="35">
        <f>T289-AA289-AB289</f>
        <v>64.400000000000006</v>
      </c>
      <c r="AA289" s="29">
        <f>IF(AD289="EUR",((T289-R289)*X289)*U289+(R289*X289),(T289*X289))</f>
        <v>27.599999999999998</v>
      </c>
      <c r="AB289" s="36">
        <f>IF(AD289="EUR",((T289-R289)*Y289)*U289+(R289*Y289),(T289*Y289))</f>
        <v>0</v>
      </c>
      <c r="AC289" s="37" t="b">
        <v>1</v>
      </c>
      <c r="AD289" s="37" t="s">
        <v>38</v>
      </c>
      <c r="AE289" s="37" t="s">
        <v>38</v>
      </c>
      <c r="AF289" s="37" t="str">
        <f t="array" ref="AF289">INDEX('Deal Info'!D:D, MATCH(A289,'Deal Info'!A:A, 0))</f>
        <v>DoEV</v>
      </c>
      <c r="AG289" s="38" t="str">
        <f t="array" ref="AG289">INDEX('Deal Info'!G:G, MATCH(A289,'Deal Info'!A:A, 0))</f>
        <v>None</v>
      </c>
    </row>
    <row r="290" spans="1:33" ht="14.25" hidden="1" x14ac:dyDescent="0.2">
      <c r="A290" s="18" t="str">
        <f t="array" ref="A290">IF(G290='Room Info'!$B$1, INDEX('Room Info'!$A$2:$A2446, MATCH(B290,'Room Info'!$B$2:$B2446, 0)),IF(G290='Room Info'!$C$1, INDEX('Room Info'!$A$2:$A2446, MATCH(B290,'Room Info'!$C$2:$C2446, 0)),IF(G290='Room Info'!$D$1, INDEX('Room Info'!$A$2:$A2446, MATCH(B290,'Room Info'!$D$2:$D2446, 0)),IF(G290='Room Info'!$E$1, INDEX('Room Info'!$A$2:$A2446, MATCH(B290,'Room Info'!$E$2:$E2446, 0)),IF(G290='Room Info'!$F$1, INDEX('Room Info'!$A$2:$A2446, MATCH(B290,'Room Info'!$F$2:$F2446, 0)),IF(G290='Room Info'!$H$1, INDEX('Room Info'!$A$2:$A2446, MATCH(B290,'Room Info'!$H$2:$H2446, 0)),IF(G290='Room Info'!$G$1, INDEX('Room Info'!$A$2:$A2446, MATCH(B290,'Room Info'!$G$2:$G2446, 0)))))))))</f>
        <v>SDEBA1</v>
      </c>
      <c r="B290" s="45" t="s">
        <v>114</v>
      </c>
      <c r="C290" s="46">
        <v>44825</v>
      </c>
      <c r="D290" s="46">
        <v>44854</v>
      </c>
      <c r="E290" s="47">
        <v>44835</v>
      </c>
      <c r="F290" s="48" t="s">
        <v>34</v>
      </c>
      <c r="G290" s="45" t="s">
        <v>35</v>
      </c>
      <c r="H290" s="49" t="s">
        <v>40</v>
      </c>
      <c r="I290" s="49" t="s">
        <v>37</v>
      </c>
      <c r="J290" s="50">
        <v>10</v>
      </c>
      <c r="K290" s="51">
        <v>324</v>
      </c>
      <c r="L290" s="52">
        <v>100</v>
      </c>
      <c r="M290" s="53">
        <v>164</v>
      </c>
      <c r="N290" s="28">
        <f>K290*J290</f>
        <v>3240</v>
      </c>
      <c r="O290" s="54">
        <v>19870</v>
      </c>
      <c r="P290" s="29">
        <v>61.327160489999997</v>
      </c>
      <c r="Q290" s="55"/>
      <c r="R290" s="31">
        <f>M290+Q290</f>
        <v>164</v>
      </c>
      <c r="S290" s="56">
        <v>125</v>
      </c>
      <c r="T290" s="32">
        <f>R290+S290+IF(F290="Without EV deal",L290,0)</f>
        <v>289</v>
      </c>
      <c r="U290" s="57">
        <v>1</v>
      </c>
      <c r="V290" s="69">
        <v>8.1360150925024346</v>
      </c>
      <c r="W290" s="58">
        <v>35.15</v>
      </c>
      <c r="X290" s="30">
        <f>IF(AF290="DoEV",IF(AND(V290&lt;20,W290&lt;55),0.3,0)+IF(AND(V290&lt;20,W290&gt;=55,W290&lt;105),0.23,0)+IF(AND(V290&lt;20,W290&gt;=105),0.17,0)+IF(AND(V290&gt;=20,V290&lt;40,W290&lt;45),0.3,0)+IF(AND(V290&gt;=20,V290&lt;40,W290&gt;=45,W290&lt;95),0.23,0)+IF(AND(V290&gt;=20,V290&lt;40,W290&gt;=95),0.17,0)+IF(AND(V290&gt;=40,V290&lt;75,W290&lt;35),0.3,0)+IF(AND(V290&gt;=40,V290&lt;75,W290&gt;=35,W290&lt;75),0.23,0)+IF(AND(V290&gt;=40,V290&lt;75,W290&gt;=75,W290&lt;120),0.17,0)+IF(AND(V290&gt;=40,V290&lt;75,W290&gt;=120),0.12,0)+IF(AND(V290&gt;=75,V290&lt;175,W290&lt;35),0.3,0)+IF(AND(V290&gt;=75,V290&lt;=175,W290&gt;=35,W290&lt;65),0.23,0)+IF(AND(V290&gt;=75,V290&lt;=175,W290&gt;=65,W290&lt;110),0.17,0)+IF(AND(V290&gt;=75,V290&lt;=175,W290&gt;=110),0.12,0)+IF(AND(V290&gt;175,W290&lt;25),0.3,0)+IF(AND(V290&gt;175,W290&gt;=25,W290&lt;55),0.23,0)+IF(AND(V290&gt;175,W290&gt;=55,W290&lt;95),0.17,0)+IF(AND(V290&gt;175,W290&gt;=95),0.12,0),
IF(AF290="Fix15",0.15,
IF(AF290="Fix11.25",0.1125,
IF(AF290="Fix10",0.1,
IF(AF290="Fix9",0.09,
IF(AF290="DoEV2017",IF(AND(W290&lt;74),0.2,0)+IF(AND(W290&gt;=74),0.17,0),
IF(AF290="SF",IF(AND(V290&lt;20,W290&lt;89),0.3,0)+IF(AND(V290&lt;20,W290&gt;=89),0.25,0)+IF(AND(V290&gt;=20,V290&lt;40,W290&lt;74),0.3,0)+IF(AND(V290&gt;=20,V290&lt;40,W290&gt;=75),0.22,0)+IF(AND(V290&gt;=40,V290&lt;75,W290&lt;75),0.26,0)+IF(AND(V290&gt;=40,V290&lt;75,W290&gt;=75),0.22,0)+IF(V290&gt;=75,0.22,0),
IF(AF290="DoEVold",IF(AND(V290&lt;40,W290&lt;35),0.35,0)+IF(AND(V290&lt;40,W290&gt;=35,W290&lt;75),0.25,0)+IF(AND(V290&lt;40,W290&gt;=75),0.17,0)+IF(AND(V290&gt;=40,V290&lt;75,W290&lt;25),0.35,0)+IF(AND(V290&gt;=40,V290&lt;75,W290&gt;=25,W290&lt;65),0.25,0)+IF(AND(V290&gt;=40,V290&lt;75,W290&gt;=65,W290&lt;100),0.17,0)+IF(AND(V290&gt;=40,V290&lt;75,W290&gt;=100),0.1,0)+IF(AND(V290&gt;=75,W290&lt;25),0.35,0)+IF(AND(V290&gt;=75,W290&gt;=25,W290&lt;60),0.25,0)+IF(AND(V290&gt;=75,W290&gt;=60,W290&lt;95),0.17,0)+IF(AND(V290&gt;=75,W290&gt;=95),0.1,0),
IF(AF290="DoEVold15",IF(AND(V290&lt;=40,W290&lt;35),0.35,0)+IF(AND(V290&lt;=40,W290&gt;=35,W290&lt;75),0.25,0)+IF(AND(V290&lt;=40,W290&gt;=75,W290&lt;120),0.17,0)+IF(AND(V290&lt;=40,W290&gt;=120),0.15,0)+IF(AND(V290&gt;40,V290&lt;75,W290&lt;25),0.35,0)+IF(AND(V290&gt;=40,V290&lt;75,W290&gt;=25,W290&lt;65),0.25,0)+IF(AND(V290&gt;=40,V290&lt;75,W290&gt;=65,W290&lt;100),0.17,0)+IF(AND(V290&gt;=40,V290&lt;75,W290&gt;=100),0.1,0)+IF(AND(V290&gt;=75,W290&lt;25),0.35,0)+IF(AND(V290&gt;=75,W290&gt;=25,W290&lt;60),0.25,0)+IF(AND(V290&gt;=75,W290&gt;=60,W290&lt;95),0.17,0)+IF(AND(V290&gt;=75,W290&gt;=95),0.1,0),
IF(AF290="DoEVba",IF(AND(V290&lt;20,W290&lt;105),0.2,0)+IF(AND(V290&lt;20,W290&gt;=105),0.15,0)+IF(AND(V290&gt;=20,V290&lt;40,W290&lt;95),0.2,0)+IF(AND(V290&gt;=20,V290&lt;40,W290&gt;=95,W290&lt;150),0.15,0)+IF(AND(V290&gt;=20,V290&lt;40,W290&gt;=150),0.12,0)+IF(AND(V290&gt;=40,V290&lt;75,W290&lt;75),0.2,0)+IF(AND(V290&gt;=40,V290&lt;75,W290&gt;=75,W290&lt;120),0.15,0)+IF(AND(V290&gt;=40,V290&lt;75,W290&gt;=120),0.12,0)+IF(AND(V290&gt;=75,V290&lt;175,W290&lt;65),0.2,0)+IF(AND(V290&gt;=75,V290&lt;175,W290&gt;=65,W290&lt;110),0.15,0)+IF(AND(V290&gt;=75,V290&lt;175,W290&gt;=110),0.12,0)+IF(AND(V290&gt;=175,W290&lt;55),0.2,0)+IF(AND(V290&gt;=175,W290&gt;=55,W290&lt;95),0.15,0)+IF(AND(V290&gt;=175,W290&gt;=95),0.12,0),
IF(AF290="DoEVku",IF(AND(V290&lt;20,W290&lt;55),0.23,0)+IF(AND(V290&lt;20,W290&gt;=55,W290&lt;105),0.2,0)+IF(AND(V290&lt;20,W290&gt;=105),0.17,0)+IF(AND(V290&gt;=20,V290&lt;40,W290&lt;45),0.23,0)+IF(AND(V290&gt;=20,V290&lt;40,W290&gt;=45,W290&lt;95),0.2,0)+IF(AND(V290&gt;=20,V290&lt;40,W290&gt;=95,W290&lt;=150),0.17,0)+IF(AND(V290&gt;=20,V290&lt;40,W290&gt;=150),0.12,0)+IF(AND(V290&gt;=40,V290&lt;75,W290&lt;35),0.23,0)+IF(AND(V290&gt;=40,V290&lt;75,W290&gt;=35,W290&lt;75),0.2,0)+IF(AND(V290&gt;=40,V290&lt;75,W290&gt;=75,W290&lt;120),0.17,0)+IF(AND(V290&gt;=40,V290&lt;75,W290&gt;=120),0.12,0)+IF(AND(V290&gt;=75,V290&lt;175,W290&lt;35),0.23,0)+IF(AND(V290&gt;=75,V290&lt;=175,W290&gt;=35,W290&lt;65),0.2,0)+IF(AND(V290&gt;=75,V290&lt;=175,W290&gt;=65,W290&lt;110),0.17,0)+IF(AND(V290&gt;=75,V290&lt;=175,W290&gt;=110),0.12,0)+IF(AND(V290&gt;175,W290&lt;25),0.23,0)+IF(AND(V290&gt;175,W290&gt;=25,W290&lt;55),0.2,0)+IF(AND(V290&gt;175,W290&gt;=55,W290&lt;95),0.17,0)+IF(AND(V290&gt;175,W290&gt;=95),0.12,0),
IF(AF290="DoEVs1",IF(AND(V290&lt;20,W290&lt;55),0.3,0)+IF(AND(V290&lt;20,W290&gt;=55,W290&lt;105),0.23,0)+IF(AND(V290&lt;20,W290&gt;=105),0.17,0)+IF(AND(V290&gt;=20,V290&lt;40,W290&lt;45),0.3,0)+IF(AND(V290&gt;=20,V290&lt;40,W290&gt;=45,W290&lt;95),0.23,0)+IF(AND(V290&gt;=20,V290&lt;40,W290&gt;=95,W290&lt;=150),0.17,0)+IF(AND(V290&gt;=20,V290&lt;40,W290&gt;=150),0.12,0)+IF(AND(V290&gt;=40,V290&lt;75,W290&lt;35),0.3,0)+IF(AND(V290&gt;=40,V290&lt;75,W290&gt;=35,W290&lt;75),0.23,0)+IF(AND(V290&gt;=40,V290&lt;75,W290&gt;=75,W290&lt;120),0.17,0)+IF(AND(V290&gt;=40,V290&lt;75,W290&gt;=120),0.12,0)+IF(AND(V290&gt;=75,V290&lt;175,W290&lt;35),0.3,0)+IF(AND(V290&gt;=75,V290&lt;=175,W290&gt;=35,W290&lt;65),0.23,0)+IF(AND(V290&gt;=75,V290&lt;=175,W290&gt;=65,W290&lt;110),0.17,0)+IF(AND(V290&gt;=75,V290&lt;=175,W290&gt;=110),0.12,0)+IF(AND(V290&gt;175,W290&lt;25),0.3,0)+IF(AND(V290&gt;175,W290&gt;=25,W290&lt;55),0.23,0)+IF(AND(V290&gt;175,W290&gt;=55,W290&lt;95),0.17,0)+IF(AND(V290&gt;175,W290&gt;=95),0.12,0),
IF(AF290="DoEVsu",IF(AND(V290&lt;20,W290&lt;55),0.3,0)+IF(AND(V290&lt;20,W290&gt;=55,W290&lt;105),0.23,0)+IF(AND(V290&lt;20,W290&gt;=105),0.17,0)+IF(AND(V290&gt;=20,V290&lt;40,W290&lt;45),0.3,0)+IF(AND(V290&gt;=20,V290&lt;40,W290&gt;=45,W290&lt;95),0.23,0)+IF(AND(V290&gt;=20,V290&lt;40,W290&gt;=95,W290&lt;=250),0.17,0)+IF(AND(V290&gt;=20,V290&lt;40,W290&gt;=250),0.12,0)+IF(AND(V290&gt;=40,V290&lt;75,W290&lt;35),0.3,0)+IF(AND(V290&gt;=40,V290&lt;75,W290&gt;=35,W290&lt;75),0.23,0)+IF(AND(V290&gt;=40,V290&lt;75,W290&gt;=75,W290&lt;120),0.17,0)+IF(AND(V290&gt;=40,V290&lt;75,W290&gt;=120),0.12,0)+IF(AND(V290&gt;=75,V290&lt;175,W290&lt;35),0.3,0)+IF(AND(V290&gt;=75,V290&lt;=175,W290&gt;=35,W290&lt;65),0.23,0)+IF(AND(V290&gt;=75,V290&lt;=175,W290&gt;=65,W290&lt;110),0.17,0)+IF(AND(V290&gt;=75,V290&lt;=175,W290&gt;=110),0.12,0)+IF(AND(V290&gt;175,W290&lt;25),0.3,0)+IF(AND(V290&gt;175,W290&gt;=25,W290&lt;55),0.23,0)+IF(AND(V290&gt;175,W290&gt;=55,W290&lt;95),0.17,0)+IF(AND(V290&gt;175,W290&gt;=95),0.12,0),
IF(AF290="DoEVni",IF(AND(V290&lt;20,W290&lt;55),0.3,0)+IF(AND(V290&lt;20,W290&gt;=55,W290&lt;105),0.23,0)+IF(AND(V290&lt;20,W290&gt;=105),0.17,0)+IF(AND(V290&gt;=20,V290&lt;40,W290&lt;45),0.3,0)+IF(AND(V290&gt;=20,V290&lt;40,W290&gt;=45,W290&lt;95),0.23,0)+IF(AND(V290&gt;=20,V290&lt;40,W290&gt;=95,W290&lt;=200),0.17,0)+IF(AND(V290&gt;=20,V290&lt;40,W290&gt;=200),0.12,0)+IF(AND(V290&gt;=40,V290&lt;75,W290&lt;35),0.3,0)+IF(AND(V290&gt;=40,V290&lt;75,W290&gt;=35,W290&lt;75),0.23,0)+IF(AND(V290&gt;=40,V290&lt;75,W290&gt;=75,W290&lt;120),0.17,0)+IF(AND(V290&gt;=40,V290&lt;75,W290&gt;=120),0.12,0)+IF(AND(V290&gt;=75,V290&lt;175,W290&lt;35),0.3,0)+IF(AND(V290&gt;=75,V290&lt;=175,W290&gt;=35,W290&lt;65),0.23,0)+IF(AND(V290&gt;=75,V290&lt;=175,W290&gt;=65,W290&lt;110),0.17,0)+IF(AND(V290&gt;=75,V290&lt;=175,W290&gt;=110),0.12,0)+IF(AND(V290&gt;175,W290&lt;25),0.3,0)+IF(AND(V290&gt;175,W290&gt;=25,W290&lt;55),0.23,0)+IF(AND(V290&gt;175,W290&gt;=55,W290&lt;95),0.17,0)+IF(AND(V290&gt;175,W290&gt;=95),0.12,0),
IF(AF290="DoEVLo",IF(AND(V290&lt;20,W290&lt;55),0.25,0)+IF(AND(V290&lt;20,W290&gt;=55,W290&lt;105),0.2,0)+IF(AND(V290&lt;20,W290&gt;=105),0.15,0)+IF(AND(V290&gt;=20,V290&lt;40,W290&lt;45),0.25,0)+IF(AND(V290&gt;=20,V290&lt;40,W290&gt;=45,W290&lt;95),0.2,0)+IF(AND(V290&gt;=20,V290&lt;40,W290&gt;=95),0.15,0)+IF(AND(V290&gt;=40,V290&lt;75,W290&lt;35),0.25,0)+IF(AND(V290&gt;=40,V290&lt;75,W290&gt;=35,W290&lt;75),0.2,0)+IF(AND(V290&gt;=40,V290&lt;75,W290&gt;=75,W290&lt;120),0.15,0)+IF(AND(V290&gt;=40,V290&lt;75,W290&gt;=120),0.1,0)+IF(AND(V290&gt;=75,V290&lt;175,W290&lt;35),0.25,0)+IF(AND(V290&gt;=75,V290&lt;=175,W290&gt;=35,W290&lt;65),0.2,0)+IF(AND(V290&gt;=75,V290&lt;=175,W290&gt;=65,W290&lt;110),0.15,0)+IF(AND(V290&gt;=75,V290&lt;=175,W290&gt;=110),0.1,0)+IF(AND(V290&gt;175,W290&lt;25),0.25,0)+IF(AND(V290&gt;175,W290&gt;=25,W290&lt;55),0.2,0)+IF(AND(V290&gt;175,W290&gt;=55,W290&lt;95),0.15,0)+IF(AND(V290&gt;175,W290&gt;=95),0.1,0))))))))))))))))</f>
        <v>0.3</v>
      </c>
      <c r="Y290" s="30">
        <f>IF(AG290="None",0,IF(AG290="Fix5",0.05,IF(AG290="Fix3.75",0.0375,IF(AG290="Fix10",0.1,IF(AG290="Fix3",0.03,0)))))</f>
        <v>0</v>
      </c>
      <c r="Z290" s="35">
        <f>T290-AA290-AB290</f>
        <v>202.3</v>
      </c>
      <c r="AA290" s="29">
        <f>IF(AD290="EUR",((T290-R290)*X290)*U290+(R290*X290),(T290*X290))</f>
        <v>86.7</v>
      </c>
      <c r="AB290" s="36">
        <f>IF(AD290="EUR",((T290-R290)*Y290)*U290+(R290*Y290),(T290*Y290))</f>
        <v>0</v>
      </c>
      <c r="AC290" s="37" t="b">
        <v>1</v>
      </c>
      <c r="AD290" s="37" t="s">
        <v>38</v>
      </c>
      <c r="AE290" s="37" t="s">
        <v>38</v>
      </c>
      <c r="AF290" s="37" t="str">
        <f t="array" ref="AF290">INDEX('Deal Info'!D:D, MATCH(A290,'Deal Info'!A:A, 0))</f>
        <v>DoEV</v>
      </c>
      <c r="AG290" s="38" t="str">
        <f t="array" ref="AG290">INDEX('Deal Info'!G:G, MATCH(A290,'Deal Info'!A:A, 0))</f>
        <v>None</v>
      </c>
    </row>
    <row r="291" spans="1:33" ht="14.25" hidden="1" x14ac:dyDescent="0.2">
      <c r="A291" s="18" t="str">
        <f t="array" ref="A291">IF(G291='Room Info'!$B$1, INDEX('Room Info'!$A$2:$A2446, MATCH(B291,'Room Info'!$B$2:$B2446, 0)),IF(G291='Room Info'!$C$1, INDEX('Room Info'!$A$2:$A2446, MATCH(B291,'Room Info'!$C$2:$C2446, 0)),IF(G291='Room Info'!$D$1, INDEX('Room Info'!$A$2:$A2446, MATCH(B291,'Room Info'!$D$2:$D2446, 0)),IF(G291='Room Info'!$E$1, INDEX('Room Info'!$A$2:$A2446, MATCH(B291,'Room Info'!$E$2:$E2446, 0)),IF(G291='Room Info'!$F$1, INDEX('Room Info'!$A$2:$A2446, MATCH(B291,'Room Info'!$F$2:$F2446, 0)),IF(G291='Room Info'!$H$1, INDEX('Room Info'!$A$2:$A2446, MATCH(B291,'Room Info'!$H$2:$H2446, 0)),IF(G291='Room Info'!$G$1, INDEX('Room Info'!$A$2:$A2446, MATCH(B291,'Room Info'!$G$2:$G2446, 0)))))))))</f>
        <v>SDEBA1</v>
      </c>
      <c r="B291" s="45" t="s">
        <v>114</v>
      </c>
      <c r="C291" s="46">
        <v>44825</v>
      </c>
      <c r="D291" s="46">
        <v>44854</v>
      </c>
      <c r="E291" s="47">
        <v>44835</v>
      </c>
      <c r="F291" s="48" t="s">
        <v>34</v>
      </c>
      <c r="G291" s="54" t="s">
        <v>35</v>
      </c>
      <c r="H291" s="49" t="s">
        <v>115</v>
      </c>
      <c r="I291" s="49" t="s">
        <v>44</v>
      </c>
      <c r="J291" s="50">
        <v>10</v>
      </c>
      <c r="K291" s="51">
        <v>2174</v>
      </c>
      <c r="L291" s="52">
        <v>-1410</v>
      </c>
      <c r="M291" s="53">
        <v>1103</v>
      </c>
      <c r="N291" s="28">
        <f>K291*J291</f>
        <v>21740</v>
      </c>
      <c r="O291" s="54">
        <v>36025</v>
      </c>
      <c r="P291" s="29">
        <v>16.570837170000001</v>
      </c>
      <c r="Q291" s="55"/>
      <c r="R291" s="31">
        <f>M291+Q291</f>
        <v>1103</v>
      </c>
      <c r="S291" s="56">
        <v>-505</v>
      </c>
      <c r="T291" s="32">
        <f>R291+S291+IF(F291="Without EV deal",L291,0)</f>
        <v>598</v>
      </c>
      <c r="U291" s="57">
        <v>1</v>
      </c>
      <c r="V291" s="69">
        <v>8.1360150925024346</v>
      </c>
      <c r="W291" s="58">
        <v>35.15</v>
      </c>
      <c r="X291" s="30">
        <f>IF(AF291="DoEV",IF(AND(V291&lt;20,W291&lt;55),0.3,0)+IF(AND(V291&lt;20,W291&gt;=55,W291&lt;105),0.23,0)+IF(AND(V291&lt;20,W291&gt;=105),0.17,0)+IF(AND(V291&gt;=20,V291&lt;40,W291&lt;45),0.3,0)+IF(AND(V291&gt;=20,V291&lt;40,W291&gt;=45,W291&lt;95),0.23,0)+IF(AND(V291&gt;=20,V291&lt;40,W291&gt;=95),0.17,0)+IF(AND(V291&gt;=40,V291&lt;75,W291&lt;35),0.3,0)+IF(AND(V291&gt;=40,V291&lt;75,W291&gt;=35,W291&lt;75),0.23,0)+IF(AND(V291&gt;=40,V291&lt;75,W291&gt;=75,W291&lt;120),0.17,0)+IF(AND(V291&gt;=40,V291&lt;75,W291&gt;=120),0.12,0)+IF(AND(V291&gt;=75,V291&lt;175,W291&lt;35),0.3,0)+IF(AND(V291&gt;=75,V291&lt;=175,W291&gt;=35,W291&lt;65),0.23,0)+IF(AND(V291&gt;=75,V291&lt;=175,W291&gt;=65,W291&lt;110),0.17,0)+IF(AND(V291&gt;=75,V291&lt;=175,W291&gt;=110),0.12,0)+IF(AND(V291&gt;175,W291&lt;25),0.3,0)+IF(AND(V291&gt;175,W291&gt;=25,W291&lt;55),0.23,0)+IF(AND(V291&gt;175,W291&gt;=55,W291&lt;95),0.17,0)+IF(AND(V291&gt;175,W291&gt;=95),0.12,0),
IF(AF291="Fix15",0.15,
IF(AF291="Fix11.25",0.1125,
IF(AF291="Fix10",0.1,
IF(AF291="Fix9",0.09,
IF(AF291="DoEV2017",IF(AND(W291&lt;74),0.2,0)+IF(AND(W291&gt;=74),0.17,0),
IF(AF291="SF",IF(AND(V291&lt;20,W291&lt;89),0.3,0)+IF(AND(V291&lt;20,W291&gt;=89),0.25,0)+IF(AND(V291&gt;=20,V291&lt;40,W291&lt;74),0.3,0)+IF(AND(V291&gt;=20,V291&lt;40,W291&gt;=75),0.22,0)+IF(AND(V291&gt;=40,V291&lt;75,W291&lt;75),0.26,0)+IF(AND(V291&gt;=40,V291&lt;75,W291&gt;=75),0.22,0)+IF(V291&gt;=75,0.22,0),
IF(AF291="DoEVold",IF(AND(V291&lt;40,W291&lt;35),0.35,0)+IF(AND(V291&lt;40,W291&gt;=35,W291&lt;75),0.25,0)+IF(AND(V291&lt;40,W291&gt;=75),0.17,0)+IF(AND(V291&gt;=40,V291&lt;75,W291&lt;25),0.35,0)+IF(AND(V291&gt;=40,V291&lt;75,W291&gt;=25,W291&lt;65),0.25,0)+IF(AND(V291&gt;=40,V291&lt;75,W291&gt;=65,W291&lt;100),0.17,0)+IF(AND(V291&gt;=40,V291&lt;75,W291&gt;=100),0.1,0)+IF(AND(V291&gt;=75,W291&lt;25),0.35,0)+IF(AND(V291&gt;=75,W291&gt;=25,W291&lt;60),0.25,0)+IF(AND(V291&gt;=75,W291&gt;=60,W291&lt;95),0.17,0)+IF(AND(V291&gt;=75,W291&gt;=95),0.1,0),
IF(AF291="DoEVold15",IF(AND(V291&lt;=40,W291&lt;35),0.35,0)+IF(AND(V291&lt;=40,W291&gt;=35,W291&lt;75),0.25,0)+IF(AND(V291&lt;=40,W291&gt;=75,W291&lt;120),0.17,0)+IF(AND(V291&lt;=40,W291&gt;=120),0.15,0)+IF(AND(V291&gt;40,V291&lt;75,W291&lt;25),0.35,0)+IF(AND(V291&gt;=40,V291&lt;75,W291&gt;=25,W291&lt;65),0.25,0)+IF(AND(V291&gt;=40,V291&lt;75,W291&gt;=65,W291&lt;100),0.17,0)+IF(AND(V291&gt;=40,V291&lt;75,W291&gt;=100),0.1,0)+IF(AND(V291&gt;=75,W291&lt;25),0.35,0)+IF(AND(V291&gt;=75,W291&gt;=25,W291&lt;60),0.25,0)+IF(AND(V291&gt;=75,W291&gt;=60,W291&lt;95),0.17,0)+IF(AND(V291&gt;=75,W291&gt;=95),0.1,0),
IF(AF291="DoEVba",IF(AND(V291&lt;20,W291&lt;105),0.2,0)+IF(AND(V291&lt;20,W291&gt;=105),0.15,0)+IF(AND(V291&gt;=20,V291&lt;40,W291&lt;95),0.2,0)+IF(AND(V291&gt;=20,V291&lt;40,W291&gt;=95,W291&lt;150),0.15,0)+IF(AND(V291&gt;=20,V291&lt;40,W291&gt;=150),0.12,0)+IF(AND(V291&gt;=40,V291&lt;75,W291&lt;75),0.2,0)+IF(AND(V291&gt;=40,V291&lt;75,W291&gt;=75,W291&lt;120),0.15,0)+IF(AND(V291&gt;=40,V291&lt;75,W291&gt;=120),0.12,0)+IF(AND(V291&gt;=75,V291&lt;175,W291&lt;65),0.2,0)+IF(AND(V291&gt;=75,V291&lt;175,W291&gt;=65,W291&lt;110),0.15,0)+IF(AND(V291&gt;=75,V291&lt;175,W291&gt;=110),0.12,0)+IF(AND(V291&gt;=175,W291&lt;55),0.2,0)+IF(AND(V291&gt;=175,W291&gt;=55,W291&lt;95),0.15,0)+IF(AND(V291&gt;=175,W291&gt;=95),0.12,0),
IF(AF291="DoEVku",IF(AND(V291&lt;20,W291&lt;55),0.23,0)+IF(AND(V291&lt;20,W291&gt;=55,W291&lt;105),0.2,0)+IF(AND(V291&lt;20,W291&gt;=105),0.17,0)+IF(AND(V291&gt;=20,V291&lt;40,W291&lt;45),0.23,0)+IF(AND(V291&gt;=20,V291&lt;40,W291&gt;=45,W291&lt;95),0.2,0)+IF(AND(V291&gt;=20,V291&lt;40,W291&gt;=95,W291&lt;=150),0.17,0)+IF(AND(V291&gt;=20,V291&lt;40,W291&gt;=150),0.12,0)+IF(AND(V291&gt;=40,V291&lt;75,W291&lt;35),0.23,0)+IF(AND(V291&gt;=40,V291&lt;75,W291&gt;=35,W291&lt;75),0.2,0)+IF(AND(V291&gt;=40,V291&lt;75,W291&gt;=75,W291&lt;120),0.17,0)+IF(AND(V291&gt;=40,V291&lt;75,W291&gt;=120),0.12,0)+IF(AND(V291&gt;=75,V291&lt;175,W291&lt;35),0.23,0)+IF(AND(V291&gt;=75,V291&lt;=175,W291&gt;=35,W291&lt;65),0.2,0)+IF(AND(V291&gt;=75,V291&lt;=175,W291&gt;=65,W291&lt;110),0.17,0)+IF(AND(V291&gt;=75,V291&lt;=175,W291&gt;=110),0.12,0)+IF(AND(V291&gt;175,W291&lt;25),0.23,0)+IF(AND(V291&gt;175,W291&gt;=25,W291&lt;55),0.2,0)+IF(AND(V291&gt;175,W291&gt;=55,W291&lt;95),0.17,0)+IF(AND(V291&gt;175,W291&gt;=95),0.12,0),
IF(AF291="DoEVs1",IF(AND(V291&lt;20,W291&lt;55),0.3,0)+IF(AND(V291&lt;20,W291&gt;=55,W291&lt;105),0.23,0)+IF(AND(V291&lt;20,W291&gt;=105),0.17,0)+IF(AND(V291&gt;=20,V291&lt;40,W291&lt;45),0.3,0)+IF(AND(V291&gt;=20,V291&lt;40,W291&gt;=45,W291&lt;95),0.23,0)+IF(AND(V291&gt;=20,V291&lt;40,W291&gt;=95,W291&lt;=150),0.17,0)+IF(AND(V291&gt;=20,V291&lt;40,W291&gt;=150),0.12,0)+IF(AND(V291&gt;=40,V291&lt;75,W291&lt;35),0.3,0)+IF(AND(V291&gt;=40,V291&lt;75,W291&gt;=35,W291&lt;75),0.23,0)+IF(AND(V291&gt;=40,V291&lt;75,W291&gt;=75,W291&lt;120),0.17,0)+IF(AND(V291&gt;=40,V291&lt;75,W291&gt;=120),0.12,0)+IF(AND(V291&gt;=75,V291&lt;175,W291&lt;35),0.3,0)+IF(AND(V291&gt;=75,V291&lt;=175,W291&gt;=35,W291&lt;65),0.23,0)+IF(AND(V291&gt;=75,V291&lt;=175,W291&gt;=65,W291&lt;110),0.17,0)+IF(AND(V291&gt;=75,V291&lt;=175,W291&gt;=110),0.12,0)+IF(AND(V291&gt;175,W291&lt;25),0.3,0)+IF(AND(V291&gt;175,W291&gt;=25,W291&lt;55),0.23,0)+IF(AND(V291&gt;175,W291&gt;=55,W291&lt;95),0.17,0)+IF(AND(V291&gt;175,W291&gt;=95),0.12,0),
IF(AF291="DoEVsu",IF(AND(V291&lt;20,W291&lt;55),0.3,0)+IF(AND(V291&lt;20,W291&gt;=55,W291&lt;105),0.23,0)+IF(AND(V291&lt;20,W291&gt;=105),0.17,0)+IF(AND(V291&gt;=20,V291&lt;40,W291&lt;45),0.3,0)+IF(AND(V291&gt;=20,V291&lt;40,W291&gt;=45,W291&lt;95),0.23,0)+IF(AND(V291&gt;=20,V291&lt;40,W291&gt;=95,W291&lt;=250),0.17,0)+IF(AND(V291&gt;=20,V291&lt;40,W291&gt;=250),0.12,0)+IF(AND(V291&gt;=40,V291&lt;75,W291&lt;35),0.3,0)+IF(AND(V291&gt;=40,V291&lt;75,W291&gt;=35,W291&lt;75),0.23,0)+IF(AND(V291&gt;=40,V291&lt;75,W291&gt;=75,W291&lt;120),0.17,0)+IF(AND(V291&gt;=40,V291&lt;75,W291&gt;=120),0.12,0)+IF(AND(V291&gt;=75,V291&lt;175,W291&lt;35),0.3,0)+IF(AND(V291&gt;=75,V291&lt;=175,W291&gt;=35,W291&lt;65),0.23,0)+IF(AND(V291&gt;=75,V291&lt;=175,W291&gt;=65,W291&lt;110),0.17,0)+IF(AND(V291&gt;=75,V291&lt;=175,W291&gt;=110),0.12,0)+IF(AND(V291&gt;175,W291&lt;25),0.3,0)+IF(AND(V291&gt;175,W291&gt;=25,W291&lt;55),0.23,0)+IF(AND(V291&gt;175,W291&gt;=55,W291&lt;95),0.17,0)+IF(AND(V291&gt;175,W291&gt;=95),0.12,0),
IF(AF291="DoEVni",IF(AND(V291&lt;20,W291&lt;55),0.3,0)+IF(AND(V291&lt;20,W291&gt;=55,W291&lt;105),0.23,0)+IF(AND(V291&lt;20,W291&gt;=105),0.17,0)+IF(AND(V291&gt;=20,V291&lt;40,W291&lt;45),0.3,0)+IF(AND(V291&gt;=20,V291&lt;40,W291&gt;=45,W291&lt;95),0.23,0)+IF(AND(V291&gt;=20,V291&lt;40,W291&gt;=95,W291&lt;=200),0.17,0)+IF(AND(V291&gt;=20,V291&lt;40,W291&gt;=200),0.12,0)+IF(AND(V291&gt;=40,V291&lt;75,W291&lt;35),0.3,0)+IF(AND(V291&gt;=40,V291&lt;75,W291&gt;=35,W291&lt;75),0.23,0)+IF(AND(V291&gt;=40,V291&lt;75,W291&gt;=75,W291&lt;120),0.17,0)+IF(AND(V291&gt;=40,V291&lt;75,W291&gt;=120),0.12,0)+IF(AND(V291&gt;=75,V291&lt;175,W291&lt;35),0.3,0)+IF(AND(V291&gt;=75,V291&lt;=175,W291&gt;=35,W291&lt;65),0.23,0)+IF(AND(V291&gt;=75,V291&lt;=175,W291&gt;=65,W291&lt;110),0.17,0)+IF(AND(V291&gt;=75,V291&lt;=175,W291&gt;=110),0.12,0)+IF(AND(V291&gt;175,W291&lt;25),0.3,0)+IF(AND(V291&gt;175,W291&gt;=25,W291&lt;55),0.23,0)+IF(AND(V291&gt;175,W291&gt;=55,W291&lt;95),0.17,0)+IF(AND(V291&gt;175,W291&gt;=95),0.12,0),
IF(AF291="DoEVLo",IF(AND(V291&lt;20,W291&lt;55),0.25,0)+IF(AND(V291&lt;20,W291&gt;=55,W291&lt;105),0.2,0)+IF(AND(V291&lt;20,W291&gt;=105),0.15,0)+IF(AND(V291&gt;=20,V291&lt;40,W291&lt;45),0.25,0)+IF(AND(V291&gt;=20,V291&lt;40,W291&gt;=45,W291&lt;95),0.2,0)+IF(AND(V291&gt;=20,V291&lt;40,W291&gt;=95),0.15,0)+IF(AND(V291&gt;=40,V291&lt;75,W291&lt;35),0.25,0)+IF(AND(V291&gt;=40,V291&lt;75,W291&gt;=35,W291&lt;75),0.2,0)+IF(AND(V291&gt;=40,V291&lt;75,W291&gt;=75,W291&lt;120),0.15,0)+IF(AND(V291&gt;=40,V291&lt;75,W291&gt;=120),0.1,0)+IF(AND(V291&gt;=75,V291&lt;175,W291&lt;35),0.25,0)+IF(AND(V291&gt;=75,V291&lt;=175,W291&gt;=35,W291&lt;65),0.2,0)+IF(AND(V291&gt;=75,V291&lt;=175,W291&gt;=65,W291&lt;110),0.15,0)+IF(AND(V291&gt;=75,V291&lt;=175,W291&gt;=110),0.1,0)+IF(AND(V291&gt;175,W291&lt;25),0.25,0)+IF(AND(V291&gt;175,W291&gt;=25,W291&lt;55),0.2,0)+IF(AND(V291&gt;175,W291&gt;=55,W291&lt;95),0.15,0)+IF(AND(V291&gt;175,W291&gt;=95),0.1,0))))))))))))))))</f>
        <v>0.3</v>
      </c>
      <c r="Y291" s="30">
        <f>IF(AG291="None",0,IF(AG291="Fix5",0.05,IF(AG291="Fix3.75",0.0375,IF(AG291="Fix10",0.1,IF(AG291="Fix3",0.03,0)))))</f>
        <v>0</v>
      </c>
      <c r="Z291" s="35">
        <f>T291-AA291-AB291</f>
        <v>418.6</v>
      </c>
      <c r="AA291" s="29">
        <f>IF(AD291="EUR",((T291-R291)*X291)*U291+(R291*X291),(T291*X291))</f>
        <v>179.4</v>
      </c>
      <c r="AB291" s="36">
        <f>IF(AD291="EUR",((T291-R291)*Y291)*U291+(R291*Y291),(T291*Y291))</f>
        <v>0</v>
      </c>
      <c r="AC291" s="37" t="b">
        <v>1</v>
      </c>
      <c r="AD291" s="37" t="s">
        <v>38</v>
      </c>
      <c r="AE291" s="37" t="s">
        <v>38</v>
      </c>
      <c r="AF291" s="37" t="str">
        <f t="array" ref="AF291">INDEX('Deal Info'!D:D, MATCH(A291,'Deal Info'!A:A, 0))</f>
        <v>DoEV</v>
      </c>
      <c r="AG291" s="38" t="str">
        <f t="array" ref="AG291">INDEX('Deal Info'!G:G, MATCH(A291,'Deal Info'!A:A, 0))</f>
        <v>None</v>
      </c>
    </row>
    <row r="292" spans="1:33" ht="14.25" hidden="1" x14ac:dyDescent="0.2">
      <c r="A292" s="18" t="str">
        <f t="array" ref="A292">IF(G292='Room Info'!$B$1, INDEX('Room Info'!$A$2:$A2446, MATCH(B292,'Room Info'!$B$2:$B2446, 0)),IF(G292='Room Info'!$C$1, INDEX('Room Info'!$A$2:$A2446, MATCH(B292,'Room Info'!$C$2:$C2446, 0)),IF(G292='Room Info'!$D$1, INDEX('Room Info'!$A$2:$A2446, MATCH(B292,'Room Info'!$D$2:$D2446, 0)),IF(G292='Room Info'!$E$1, INDEX('Room Info'!$A$2:$A2446, MATCH(B292,'Room Info'!$E$2:$E2446, 0)),IF(G292='Room Info'!$F$1, INDEX('Room Info'!$A$2:$A2446, MATCH(B292,'Room Info'!$F$2:$F2446, 0)),IF(G292='Room Info'!$H$1, INDEX('Room Info'!$A$2:$A2446, MATCH(B292,'Room Info'!$H$2:$H2446, 0)),IF(G292='Room Info'!$G$1, INDEX('Room Info'!$A$2:$A2446, MATCH(B292,'Room Info'!$G$2:$G2446, 0)))))))))</f>
        <v>SDEBA1</v>
      </c>
      <c r="B292" s="45" t="s">
        <v>114</v>
      </c>
      <c r="C292" s="46">
        <v>44855</v>
      </c>
      <c r="D292" s="46">
        <v>44885</v>
      </c>
      <c r="E292" s="47">
        <v>44866</v>
      </c>
      <c r="F292" s="48" t="s">
        <v>34</v>
      </c>
      <c r="G292" s="45" t="s">
        <v>35</v>
      </c>
      <c r="H292" s="49" t="s">
        <v>90</v>
      </c>
      <c r="I292" s="49" t="s">
        <v>44</v>
      </c>
      <c r="J292" s="70">
        <v>5</v>
      </c>
      <c r="K292" s="71">
        <v>1</v>
      </c>
      <c r="L292" s="52">
        <v>10</v>
      </c>
      <c r="M292" s="53">
        <v>1</v>
      </c>
      <c r="N292" s="28">
        <f>K292*J292</f>
        <v>5</v>
      </c>
      <c r="O292" s="54">
        <v>-242</v>
      </c>
      <c r="P292" s="29">
        <v>-242</v>
      </c>
      <c r="Q292" s="55"/>
      <c r="R292" s="31">
        <f>M292+Q292</f>
        <v>1</v>
      </c>
      <c r="S292" s="56">
        <v>-4</v>
      </c>
      <c r="T292" s="32">
        <f>R292+S292+IF(F292="Without EV deal",L292,0)</f>
        <v>-3</v>
      </c>
      <c r="U292" s="57">
        <v>1</v>
      </c>
      <c r="V292" s="69">
        <v>9.9467982667308625</v>
      </c>
      <c r="W292" s="69">
        <v>27.446017570609161</v>
      </c>
      <c r="X292" s="30">
        <f>IF(AF292="DoEV",IF(AND(V292&lt;20,W292&lt;55),0.3,0)+IF(AND(V292&lt;20,W292&gt;=55,W292&lt;105),0.23,0)+IF(AND(V292&lt;20,W292&gt;=105),0.17,0)+IF(AND(V292&gt;=20,V292&lt;40,W292&lt;45),0.3,0)+IF(AND(V292&gt;=20,V292&lt;40,W292&gt;=45,W292&lt;95),0.23,0)+IF(AND(V292&gt;=20,V292&lt;40,W292&gt;=95),0.17,0)+IF(AND(V292&gt;=40,V292&lt;75,W292&lt;35),0.3,0)+IF(AND(V292&gt;=40,V292&lt;75,W292&gt;=35,W292&lt;75),0.23,0)+IF(AND(V292&gt;=40,V292&lt;75,W292&gt;=75,W292&lt;120),0.17,0)+IF(AND(V292&gt;=40,V292&lt;75,W292&gt;=120),0.12,0)+IF(AND(V292&gt;=75,V292&lt;175,W292&lt;35),0.3,0)+IF(AND(V292&gt;=75,V292&lt;=175,W292&gt;=35,W292&lt;65),0.23,0)+IF(AND(V292&gt;=75,V292&lt;=175,W292&gt;=65,W292&lt;110),0.17,0)+IF(AND(V292&gt;=75,V292&lt;=175,W292&gt;=110),0.12,0)+IF(AND(V292&gt;175,W292&lt;25),0.3,0)+IF(AND(V292&gt;175,W292&gt;=25,W292&lt;55),0.23,0)+IF(AND(V292&gt;175,W292&gt;=55,W292&lt;95),0.17,0)+IF(AND(V292&gt;175,W292&gt;=95),0.12,0),
IF(AF292="Fix15",0.15,
IF(AF292="Fix11.25",0.1125,
IF(AF292="Fix10",0.1,
IF(AF292="Fix9",0.09,
IF(AF292="DoEV2017",IF(AND(W292&lt;74),0.2,0)+IF(AND(W292&gt;=74),0.17,0),
IF(AF292="SF",IF(AND(V292&lt;20,W292&lt;89),0.3,0)+IF(AND(V292&lt;20,W292&gt;=89),0.25,0)+IF(AND(V292&gt;=20,V292&lt;40,W292&lt;74),0.3,0)+IF(AND(V292&gt;=20,V292&lt;40,W292&gt;=75),0.22,0)+IF(AND(V292&gt;=40,V292&lt;75,W292&lt;75),0.26,0)+IF(AND(V292&gt;=40,V292&lt;75,W292&gt;=75),0.22,0)+IF(V292&gt;=75,0.22,0),
IF(AF292="DoEVold",IF(AND(V292&lt;40,W292&lt;35),0.35,0)+IF(AND(V292&lt;40,W292&gt;=35,W292&lt;75),0.25,0)+IF(AND(V292&lt;40,W292&gt;=75),0.17,0)+IF(AND(V292&gt;=40,V292&lt;75,W292&lt;25),0.35,0)+IF(AND(V292&gt;=40,V292&lt;75,W292&gt;=25,W292&lt;65),0.25,0)+IF(AND(V292&gt;=40,V292&lt;75,W292&gt;=65,W292&lt;100),0.17,0)+IF(AND(V292&gt;=40,V292&lt;75,W292&gt;=100),0.1,0)+IF(AND(V292&gt;=75,W292&lt;25),0.35,0)+IF(AND(V292&gt;=75,W292&gt;=25,W292&lt;60),0.25,0)+IF(AND(V292&gt;=75,W292&gt;=60,W292&lt;95),0.17,0)+IF(AND(V292&gt;=75,W292&gt;=95),0.1,0),
IF(AF292="DoEVold15",IF(AND(V292&lt;=40,W292&lt;35),0.35,0)+IF(AND(V292&lt;=40,W292&gt;=35,W292&lt;75),0.25,0)+IF(AND(V292&lt;=40,W292&gt;=75,W292&lt;120),0.17,0)+IF(AND(V292&lt;=40,W292&gt;=120),0.15,0)+IF(AND(V292&gt;40,V292&lt;75,W292&lt;25),0.35,0)+IF(AND(V292&gt;=40,V292&lt;75,W292&gt;=25,W292&lt;65),0.25,0)+IF(AND(V292&gt;=40,V292&lt;75,W292&gt;=65,W292&lt;100),0.17,0)+IF(AND(V292&gt;=40,V292&lt;75,W292&gt;=100),0.1,0)+IF(AND(V292&gt;=75,W292&lt;25),0.35,0)+IF(AND(V292&gt;=75,W292&gt;=25,W292&lt;60),0.25,0)+IF(AND(V292&gt;=75,W292&gt;=60,W292&lt;95),0.17,0)+IF(AND(V292&gt;=75,W292&gt;=95),0.1,0),
IF(AF292="DoEVba",IF(AND(V292&lt;20,W292&lt;105),0.2,0)+IF(AND(V292&lt;20,W292&gt;=105),0.15,0)+IF(AND(V292&gt;=20,V292&lt;40,W292&lt;95),0.2,0)+IF(AND(V292&gt;=20,V292&lt;40,W292&gt;=95,W292&lt;150),0.15,0)+IF(AND(V292&gt;=20,V292&lt;40,W292&gt;=150),0.12,0)+IF(AND(V292&gt;=40,V292&lt;75,W292&lt;75),0.2,0)+IF(AND(V292&gt;=40,V292&lt;75,W292&gt;=75,W292&lt;120),0.15,0)+IF(AND(V292&gt;=40,V292&lt;75,W292&gt;=120),0.12,0)+IF(AND(V292&gt;=75,V292&lt;175,W292&lt;65),0.2,0)+IF(AND(V292&gt;=75,V292&lt;175,W292&gt;=65,W292&lt;110),0.15,0)+IF(AND(V292&gt;=75,V292&lt;175,W292&gt;=110),0.12,0)+IF(AND(V292&gt;=175,W292&lt;55),0.2,0)+IF(AND(V292&gt;=175,W292&gt;=55,W292&lt;95),0.15,0)+IF(AND(V292&gt;=175,W292&gt;=95),0.12,0),
IF(AF292="DoEVku",IF(AND(V292&lt;20,W292&lt;55),0.23,0)+IF(AND(V292&lt;20,W292&gt;=55,W292&lt;105),0.2,0)+IF(AND(V292&lt;20,W292&gt;=105),0.17,0)+IF(AND(V292&gt;=20,V292&lt;40,W292&lt;45),0.23,0)+IF(AND(V292&gt;=20,V292&lt;40,W292&gt;=45,W292&lt;95),0.2,0)+IF(AND(V292&gt;=20,V292&lt;40,W292&gt;=95,W292&lt;=150),0.17,0)+IF(AND(V292&gt;=20,V292&lt;40,W292&gt;=150),0.12,0)+IF(AND(V292&gt;=40,V292&lt;75,W292&lt;35),0.23,0)+IF(AND(V292&gt;=40,V292&lt;75,W292&gt;=35,W292&lt;75),0.2,0)+IF(AND(V292&gt;=40,V292&lt;75,W292&gt;=75,W292&lt;120),0.17,0)+IF(AND(V292&gt;=40,V292&lt;75,W292&gt;=120),0.12,0)+IF(AND(V292&gt;=75,V292&lt;175,W292&lt;35),0.23,0)+IF(AND(V292&gt;=75,V292&lt;=175,W292&gt;=35,W292&lt;65),0.2,0)+IF(AND(V292&gt;=75,V292&lt;=175,W292&gt;=65,W292&lt;110),0.17,0)+IF(AND(V292&gt;=75,V292&lt;=175,W292&gt;=110),0.12,0)+IF(AND(V292&gt;175,W292&lt;25),0.23,0)+IF(AND(V292&gt;175,W292&gt;=25,W292&lt;55),0.2,0)+IF(AND(V292&gt;175,W292&gt;=55,W292&lt;95),0.17,0)+IF(AND(V292&gt;175,W292&gt;=95),0.12,0),
IF(AF292="DoEVs1",IF(AND(V292&lt;20,W292&lt;55),0.3,0)+IF(AND(V292&lt;20,W292&gt;=55,W292&lt;105),0.23,0)+IF(AND(V292&lt;20,W292&gt;=105),0.17,0)+IF(AND(V292&gt;=20,V292&lt;40,W292&lt;45),0.3,0)+IF(AND(V292&gt;=20,V292&lt;40,W292&gt;=45,W292&lt;95),0.23,0)+IF(AND(V292&gt;=20,V292&lt;40,W292&gt;=95,W292&lt;=150),0.17,0)+IF(AND(V292&gt;=20,V292&lt;40,W292&gt;=150),0.12,0)+IF(AND(V292&gt;=40,V292&lt;75,W292&lt;35),0.3,0)+IF(AND(V292&gt;=40,V292&lt;75,W292&gt;=35,W292&lt;75),0.23,0)+IF(AND(V292&gt;=40,V292&lt;75,W292&gt;=75,W292&lt;120),0.17,0)+IF(AND(V292&gt;=40,V292&lt;75,W292&gt;=120),0.12,0)+IF(AND(V292&gt;=75,V292&lt;175,W292&lt;35),0.3,0)+IF(AND(V292&gt;=75,V292&lt;=175,W292&gt;=35,W292&lt;65),0.23,0)+IF(AND(V292&gt;=75,V292&lt;=175,W292&gt;=65,W292&lt;110),0.17,0)+IF(AND(V292&gt;=75,V292&lt;=175,W292&gt;=110),0.12,0)+IF(AND(V292&gt;175,W292&lt;25),0.3,0)+IF(AND(V292&gt;175,W292&gt;=25,W292&lt;55),0.23,0)+IF(AND(V292&gt;175,W292&gt;=55,W292&lt;95),0.17,0)+IF(AND(V292&gt;175,W292&gt;=95),0.12,0),
IF(AF292="DoEVsu",IF(AND(V292&lt;20,W292&lt;55),0.3,0)+IF(AND(V292&lt;20,W292&gt;=55,W292&lt;105),0.23,0)+IF(AND(V292&lt;20,W292&gt;=105),0.17,0)+IF(AND(V292&gt;=20,V292&lt;40,W292&lt;45),0.3,0)+IF(AND(V292&gt;=20,V292&lt;40,W292&gt;=45,W292&lt;95),0.23,0)+IF(AND(V292&gt;=20,V292&lt;40,W292&gt;=95,W292&lt;=250),0.17,0)+IF(AND(V292&gt;=20,V292&lt;40,W292&gt;=250),0.12,0)+IF(AND(V292&gt;=40,V292&lt;75,W292&lt;35),0.3,0)+IF(AND(V292&gt;=40,V292&lt;75,W292&gt;=35,W292&lt;75),0.23,0)+IF(AND(V292&gt;=40,V292&lt;75,W292&gt;=75,W292&lt;120),0.17,0)+IF(AND(V292&gt;=40,V292&lt;75,W292&gt;=120),0.12,0)+IF(AND(V292&gt;=75,V292&lt;175,W292&lt;35),0.3,0)+IF(AND(V292&gt;=75,V292&lt;=175,W292&gt;=35,W292&lt;65),0.23,0)+IF(AND(V292&gt;=75,V292&lt;=175,W292&gt;=65,W292&lt;110),0.17,0)+IF(AND(V292&gt;=75,V292&lt;=175,W292&gt;=110),0.12,0)+IF(AND(V292&gt;175,W292&lt;25),0.3,0)+IF(AND(V292&gt;175,W292&gt;=25,W292&lt;55),0.23,0)+IF(AND(V292&gt;175,W292&gt;=55,W292&lt;95),0.17,0)+IF(AND(V292&gt;175,W292&gt;=95),0.12,0),
IF(AF292="DoEVni",IF(AND(V292&lt;20,W292&lt;55),0.3,0)+IF(AND(V292&lt;20,W292&gt;=55,W292&lt;105),0.23,0)+IF(AND(V292&lt;20,W292&gt;=105),0.17,0)+IF(AND(V292&gt;=20,V292&lt;40,W292&lt;45),0.3,0)+IF(AND(V292&gt;=20,V292&lt;40,W292&gt;=45,W292&lt;95),0.23,0)+IF(AND(V292&gt;=20,V292&lt;40,W292&gt;=95,W292&lt;=200),0.17,0)+IF(AND(V292&gt;=20,V292&lt;40,W292&gt;=200),0.12,0)+IF(AND(V292&gt;=40,V292&lt;75,W292&lt;35),0.3,0)+IF(AND(V292&gt;=40,V292&lt;75,W292&gt;=35,W292&lt;75),0.23,0)+IF(AND(V292&gt;=40,V292&lt;75,W292&gt;=75,W292&lt;120),0.17,0)+IF(AND(V292&gt;=40,V292&lt;75,W292&gt;=120),0.12,0)+IF(AND(V292&gt;=75,V292&lt;175,W292&lt;35),0.3,0)+IF(AND(V292&gt;=75,V292&lt;=175,W292&gt;=35,W292&lt;65),0.23,0)+IF(AND(V292&gt;=75,V292&lt;=175,W292&gt;=65,W292&lt;110),0.17,0)+IF(AND(V292&gt;=75,V292&lt;=175,W292&gt;=110),0.12,0)+IF(AND(V292&gt;175,W292&lt;25),0.3,0)+IF(AND(V292&gt;175,W292&gt;=25,W292&lt;55),0.23,0)+IF(AND(V292&gt;175,W292&gt;=55,W292&lt;95),0.17,0)+IF(AND(V292&gt;175,W292&gt;=95),0.12,0),
IF(AF292="DoEVLo",IF(AND(V292&lt;20,W292&lt;55),0.25,0)+IF(AND(V292&lt;20,W292&gt;=55,W292&lt;105),0.2,0)+IF(AND(V292&lt;20,W292&gt;=105),0.15,0)+IF(AND(V292&gt;=20,V292&lt;40,W292&lt;45),0.25,0)+IF(AND(V292&gt;=20,V292&lt;40,W292&gt;=45,W292&lt;95),0.2,0)+IF(AND(V292&gt;=20,V292&lt;40,W292&gt;=95),0.15,0)+IF(AND(V292&gt;=40,V292&lt;75,W292&lt;35),0.25,0)+IF(AND(V292&gt;=40,V292&lt;75,W292&gt;=35,W292&lt;75),0.2,0)+IF(AND(V292&gt;=40,V292&lt;75,W292&gt;=75,W292&lt;120),0.15,0)+IF(AND(V292&gt;=40,V292&lt;75,W292&gt;=120),0.1,0)+IF(AND(V292&gt;=75,V292&lt;175,W292&lt;35),0.25,0)+IF(AND(V292&gt;=75,V292&lt;=175,W292&gt;=35,W292&lt;65),0.2,0)+IF(AND(V292&gt;=75,V292&lt;=175,W292&gt;=65,W292&lt;110),0.15,0)+IF(AND(V292&gt;=75,V292&lt;=175,W292&gt;=110),0.1,0)+IF(AND(V292&gt;175,W292&lt;25),0.25,0)+IF(AND(V292&gt;175,W292&gt;=25,W292&lt;55),0.2,0)+IF(AND(V292&gt;175,W292&gt;=55,W292&lt;95),0.15,0)+IF(AND(V292&gt;175,W292&gt;=95),0.1,0))))))))))))))))</f>
        <v>0.3</v>
      </c>
      <c r="Y292" s="30">
        <f>IF(AG292="None",0,IF(AG292="Fix5",0.05,IF(AG292="Fix3.75",0.0375,IF(AG292="Fix10",0.1,IF(AG292="Fix3",0.03,0)))))</f>
        <v>0</v>
      </c>
      <c r="Z292" s="35">
        <f>T292-AA292-AB292</f>
        <v>-2.1</v>
      </c>
      <c r="AA292" s="29">
        <f>IF(AD292="EUR",((T292-R292)*X292)*U292+(R292*X292),(T292*X292))</f>
        <v>-0.89999999999999991</v>
      </c>
      <c r="AB292" s="36">
        <f>IF(AD292="EUR",((T292-R292)*Y292)*U292+(R292*Y292),(T292*Y292))</f>
        <v>0</v>
      </c>
      <c r="AC292" s="37" t="b">
        <v>1</v>
      </c>
      <c r="AD292" s="37" t="s">
        <v>38</v>
      </c>
      <c r="AE292" s="37" t="s">
        <v>38</v>
      </c>
      <c r="AF292" s="37" t="str">
        <f t="array" ref="AF292">INDEX('Deal Info'!D:D, MATCH(A292,'Deal Info'!A:A, 0))</f>
        <v>DoEV</v>
      </c>
      <c r="AG292" s="38" t="str">
        <f t="array" ref="AG292">INDEX('Deal Info'!G:G, MATCH(A292,'Deal Info'!A:A, 0))</f>
        <v>None</v>
      </c>
    </row>
    <row r="293" spans="1:33" ht="14.25" hidden="1" x14ac:dyDescent="0.2">
      <c r="A293" s="18" t="str">
        <f t="array" ref="A293">IF(G293='Room Info'!$B$1, INDEX('Room Info'!$A$2:$A2446, MATCH(B293,'Room Info'!$B$2:$B2446, 0)),IF(G293='Room Info'!$C$1, INDEX('Room Info'!$A$2:$A2446, MATCH(B293,'Room Info'!$C$2:$C2446, 0)),IF(G293='Room Info'!$D$1, INDEX('Room Info'!$A$2:$A2446, MATCH(B293,'Room Info'!$D$2:$D2446, 0)),IF(G293='Room Info'!$E$1, INDEX('Room Info'!$A$2:$A2446, MATCH(B293,'Room Info'!$E$2:$E2446, 0)),IF(G293='Room Info'!$F$1, INDEX('Room Info'!$A$2:$A2446, MATCH(B293,'Room Info'!$F$2:$F2446, 0)),IF(G293='Room Info'!$H$1, INDEX('Room Info'!$A$2:$A2446, MATCH(B293,'Room Info'!$H$2:$H2446, 0)),IF(G293='Room Info'!$G$1, INDEX('Room Info'!$A$2:$A2446, MATCH(B293,'Room Info'!$G$2:$G2446, 0)))))))))</f>
        <v>SDEBA1</v>
      </c>
      <c r="B293" s="45" t="s">
        <v>114</v>
      </c>
      <c r="C293" s="46">
        <v>44855</v>
      </c>
      <c r="D293" s="46">
        <v>44885</v>
      </c>
      <c r="E293" s="47">
        <v>44866</v>
      </c>
      <c r="F293" s="48" t="s">
        <v>34</v>
      </c>
      <c r="G293" s="45" t="s">
        <v>35</v>
      </c>
      <c r="H293" s="49" t="s">
        <v>40</v>
      </c>
      <c r="I293" s="49" t="s">
        <v>37</v>
      </c>
      <c r="J293" s="70">
        <v>10</v>
      </c>
      <c r="K293" s="71">
        <v>717</v>
      </c>
      <c r="L293" s="52">
        <v>410</v>
      </c>
      <c r="M293" s="53">
        <v>320</v>
      </c>
      <c r="N293" s="28">
        <f>K293*J293</f>
        <v>7170</v>
      </c>
      <c r="O293" s="54">
        <v>22210</v>
      </c>
      <c r="P293" s="29">
        <v>30.9762901</v>
      </c>
      <c r="Q293" s="55"/>
      <c r="R293" s="31">
        <f>M293+Q293</f>
        <v>320</v>
      </c>
      <c r="S293" s="56">
        <v>-134</v>
      </c>
      <c r="T293" s="32">
        <f>R293+S293+IF(F293="Without EV deal",L293,0)</f>
        <v>186</v>
      </c>
      <c r="U293" s="57">
        <v>1</v>
      </c>
      <c r="V293" s="69">
        <v>9.9467982667308625</v>
      </c>
      <c r="W293" s="69">
        <v>27.446017570609161</v>
      </c>
      <c r="X293" s="30">
        <f>IF(AF293="DoEV",IF(AND(V293&lt;20,W293&lt;55),0.3,0)+IF(AND(V293&lt;20,W293&gt;=55,W293&lt;105),0.23,0)+IF(AND(V293&lt;20,W293&gt;=105),0.17,0)+IF(AND(V293&gt;=20,V293&lt;40,W293&lt;45),0.3,0)+IF(AND(V293&gt;=20,V293&lt;40,W293&gt;=45,W293&lt;95),0.23,0)+IF(AND(V293&gt;=20,V293&lt;40,W293&gt;=95),0.17,0)+IF(AND(V293&gt;=40,V293&lt;75,W293&lt;35),0.3,0)+IF(AND(V293&gt;=40,V293&lt;75,W293&gt;=35,W293&lt;75),0.23,0)+IF(AND(V293&gt;=40,V293&lt;75,W293&gt;=75,W293&lt;120),0.17,0)+IF(AND(V293&gt;=40,V293&lt;75,W293&gt;=120),0.12,0)+IF(AND(V293&gt;=75,V293&lt;175,W293&lt;35),0.3,0)+IF(AND(V293&gt;=75,V293&lt;=175,W293&gt;=35,W293&lt;65),0.23,0)+IF(AND(V293&gt;=75,V293&lt;=175,W293&gt;=65,W293&lt;110),0.17,0)+IF(AND(V293&gt;=75,V293&lt;=175,W293&gt;=110),0.12,0)+IF(AND(V293&gt;175,W293&lt;25),0.3,0)+IF(AND(V293&gt;175,W293&gt;=25,W293&lt;55),0.23,0)+IF(AND(V293&gt;175,W293&gt;=55,W293&lt;95),0.17,0)+IF(AND(V293&gt;175,W293&gt;=95),0.12,0),
IF(AF293="Fix15",0.15,
IF(AF293="Fix11.25",0.1125,
IF(AF293="Fix10",0.1,
IF(AF293="Fix9",0.09,
IF(AF293="DoEV2017",IF(AND(W293&lt;74),0.2,0)+IF(AND(W293&gt;=74),0.17,0),
IF(AF293="SF",IF(AND(V293&lt;20,W293&lt;89),0.3,0)+IF(AND(V293&lt;20,W293&gt;=89),0.25,0)+IF(AND(V293&gt;=20,V293&lt;40,W293&lt;74),0.3,0)+IF(AND(V293&gt;=20,V293&lt;40,W293&gt;=75),0.22,0)+IF(AND(V293&gt;=40,V293&lt;75,W293&lt;75),0.26,0)+IF(AND(V293&gt;=40,V293&lt;75,W293&gt;=75),0.22,0)+IF(V293&gt;=75,0.22,0),
IF(AF293="DoEVold",IF(AND(V293&lt;40,W293&lt;35),0.35,0)+IF(AND(V293&lt;40,W293&gt;=35,W293&lt;75),0.25,0)+IF(AND(V293&lt;40,W293&gt;=75),0.17,0)+IF(AND(V293&gt;=40,V293&lt;75,W293&lt;25),0.35,0)+IF(AND(V293&gt;=40,V293&lt;75,W293&gt;=25,W293&lt;65),0.25,0)+IF(AND(V293&gt;=40,V293&lt;75,W293&gt;=65,W293&lt;100),0.17,0)+IF(AND(V293&gt;=40,V293&lt;75,W293&gt;=100),0.1,0)+IF(AND(V293&gt;=75,W293&lt;25),0.35,0)+IF(AND(V293&gt;=75,W293&gt;=25,W293&lt;60),0.25,0)+IF(AND(V293&gt;=75,W293&gt;=60,W293&lt;95),0.17,0)+IF(AND(V293&gt;=75,W293&gt;=95),0.1,0),
IF(AF293="DoEVold15",IF(AND(V293&lt;=40,W293&lt;35),0.35,0)+IF(AND(V293&lt;=40,W293&gt;=35,W293&lt;75),0.25,0)+IF(AND(V293&lt;=40,W293&gt;=75,W293&lt;120),0.17,0)+IF(AND(V293&lt;=40,W293&gt;=120),0.15,0)+IF(AND(V293&gt;40,V293&lt;75,W293&lt;25),0.35,0)+IF(AND(V293&gt;=40,V293&lt;75,W293&gt;=25,W293&lt;65),0.25,0)+IF(AND(V293&gt;=40,V293&lt;75,W293&gt;=65,W293&lt;100),0.17,0)+IF(AND(V293&gt;=40,V293&lt;75,W293&gt;=100),0.1,0)+IF(AND(V293&gt;=75,W293&lt;25),0.35,0)+IF(AND(V293&gt;=75,W293&gt;=25,W293&lt;60),0.25,0)+IF(AND(V293&gt;=75,W293&gt;=60,W293&lt;95),0.17,0)+IF(AND(V293&gt;=75,W293&gt;=95),0.1,0),
IF(AF293="DoEVba",IF(AND(V293&lt;20,W293&lt;105),0.2,0)+IF(AND(V293&lt;20,W293&gt;=105),0.15,0)+IF(AND(V293&gt;=20,V293&lt;40,W293&lt;95),0.2,0)+IF(AND(V293&gt;=20,V293&lt;40,W293&gt;=95,W293&lt;150),0.15,0)+IF(AND(V293&gt;=20,V293&lt;40,W293&gt;=150),0.12,0)+IF(AND(V293&gt;=40,V293&lt;75,W293&lt;75),0.2,0)+IF(AND(V293&gt;=40,V293&lt;75,W293&gt;=75,W293&lt;120),0.15,0)+IF(AND(V293&gt;=40,V293&lt;75,W293&gt;=120),0.12,0)+IF(AND(V293&gt;=75,V293&lt;175,W293&lt;65),0.2,0)+IF(AND(V293&gt;=75,V293&lt;175,W293&gt;=65,W293&lt;110),0.15,0)+IF(AND(V293&gt;=75,V293&lt;175,W293&gt;=110),0.12,0)+IF(AND(V293&gt;=175,W293&lt;55),0.2,0)+IF(AND(V293&gt;=175,W293&gt;=55,W293&lt;95),0.15,0)+IF(AND(V293&gt;=175,W293&gt;=95),0.12,0),
IF(AF293="DoEVku",IF(AND(V293&lt;20,W293&lt;55),0.23,0)+IF(AND(V293&lt;20,W293&gt;=55,W293&lt;105),0.2,0)+IF(AND(V293&lt;20,W293&gt;=105),0.17,0)+IF(AND(V293&gt;=20,V293&lt;40,W293&lt;45),0.23,0)+IF(AND(V293&gt;=20,V293&lt;40,W293&gt;=45,W293&lt;95),0.2,0)+IF(AND(V293&gt;=20,V293&lt;40,W293&gt;=95,W293&lt;=150),0.17,0)+IF(AND(V293&gt;=20,V293&lt;40,W293&gt;=150),0.12,0)+IF(AND(V293&gt;=40,V293&lt;75,W293&lt;35),0.23,0)+IF(AND(V293&gt;=40,V293&lt;75,W293&gt;=35,W293&lt;75),0.2,0)+IF(AND(V293&gt;=40,V293&lt;75,W293&gt;=75,W293&lt;120),0.17,0)+IF(AND(V293&gt;=40,V293&lt;75,W293&gt;=120),0.12,0)+IF(AND(V293&gt;=75,V293&lt;175,W293&lt;35),0.23,0)+IF(AND(V293&gt;=75,V293&lt;=175,W293&gt;=35,W293&lt;65),0.2,0)+IF(AND(V293&gt;=75,V293&lt;=175,W293&gt;=65,W293&lt;110),0.17,0)+IF(AND(V293&gt;=75,V293&lt;=175,W293&gt;=110),0.12,0)+IF(AND(V293&gt;175,W293&lt;25),0.23,0)+IF(AND(V293&gt;175,W293&gt;=25,W293&lt;55),0.2,0)+IF(AND(V293&gt;175,W293&gt;=55,W293&lt;95),0.17,0)+IF(AND(V293&gt;175,W293&gt;=95),0.12,0),
IF(AF293="DoEVs1",IF(AND(V293&lt;20,W293&lt;55),0.3,0)+IF(AND(V293&lt;20,W293&gt;=55,W293&lt;105),0.23,0)+IF(AND(V293&lt;20,W293&gt;=105),0.17,0)+IF(AND(V293&gt;=20,V293&lt;40,W293&lt;45),0.3,0)+IF(AND(V293&gt;=20,V293&lt;40,W293&gt;=45,W293&lt;95),0.23,0)+IF(AND(V293&gt;=20,V293&lt;40,W293&gt;=95,W293&lt;=150),0.17,0)+IF(AND(V293&gt;=20,V293&lt;40,W293&gt;=150),0.12,0)+IF(AND(V293&gt;=40,V293&lt;75,W293&lt;35),0.3,0)+IF(AND(V293&gt;=40,V293&lt;75,W293&gt;=35,W293&lt;75),0.23,0)+IF(AND(V293&gt;=40,V293&lt;75,W293&gt;=75,W293&lt;120),0.17,0)+IF(AND(V293&gt;=40,V293&lt;75,W293&gt;=120),0.12,0)+IF(AND(V293&gt;=75,V293&lt;175,W293&lt;35),0.3,0)+IF(AND(V293&gt;=75,V293&lt;=175,W293&gt;=35,W293&lt;65),0.23,0)+IF(AND(V293&gt;=75,V293&lt;=175,W293&gt;=65,W293&lt;110),0.17,0)+IF(AND(V293&gt;=75,V293&lt;=175,W293&gt;=110),0.12,0)+IF(AND(V293&gt;175,W293&lt;25),0.3,0)+IF(AND(V293&gt;175,W293&gt;=25,W293&lt;55),0.23,0)+IF(AND(V293&gt;175,W293&gt;=55,W293&lt;95),0.17,0)+IF(AND(V293&gt;175,W293&gt;=95),0.12,0),
IF(AF293="DoEVsu",IF(AND(V293&lt;20,W293&lt;55),0.3,0)+IF(AND(V293&lt;20,W293&gt;=55,W293&lt;105),0.23,0)+IF(AND(V293&lt;20,W293&gt;=105),0.17,0)+IF(AND(V293&gt;=20,V293&lt;40,W293&lt;45),0.3,0)+IF(AND(V293&gt;=20,V293&lt;40,W293&gt;=45,W293&lt;95),0.23,0)+IF(AND(V293&gt;=20,V293&lt;40,W293&gt;=95,W293&lt;=250),0.17,0)+IF(AND(V293&gt;=20,V293&lt;40,W293&gt;=250),0.12,0)+IF(AND(V293&gt;=40,V293&lt;75,W293&lt;35),0.3,0)+IF(AND(V293&gt;=40,V293&lt;75,W293&gt;=35,W293&lt;75),0.23,0)+IF(AND(V293&gt;=40,V293&lt;75,W293&gt;=75,W293&lt;120),0.17,0)+IF(AND(V293&gt;=40,V293&lt;75,W293&gt;=120),0.12,0)+IF(AND(V293&gt;=75,V293&lt;175,W293&lt;35),0.3,0)+IF(AND(V293&gt;=75,V293&lt;=175,W293&gt;=35,W293&lt;65),0.23,0)+IF(AND(V293&gt;=75,V293&lt;=175,W293&gt;=65,W293&lt;110),0.17,0)+IF(AND(V293&gt;=75,V293&lt;=175,W293&gt;=110),0.12,0)+IF(AND(V293&gt;175,W293&lt;25),0.3,0)+IF(AND(V293&gt;175,W293&gt;=25,W293&lt;55),0.23,0)+IF(AND(V293&gt;175,W293&gt;=55,W293&lt;95),0.17,0)+IF(AND(V293&gt;175,W293&gt;=95),0.12,0),
IF(AF293="DoEVni",IF(AND(V293&lt;20,W293&lt;55),0.3,0)+IF(AND(V293&lt;20,W293&gt;=55,W293&lt;105),0.23,0)+IF(AND(V293&lt;20,W293&gt;=105),0.17,0)+IF(AND(V293&gt;=20,V293&lt;40,W293&lt;45),0.3,0)+IF(AND(V293&gt;=20,V293&lt;40,W293&gt;=45,W293&lt;95),0.23,0)+IF(AND(V293&gt;=20,V293&lt;40,W293&gt;=95,W293&lt;=200),0.17,0)+IF(AND(V293&gt;=20,V293&lt;40,W293&gt;=200),0.12,0)+IF(AND(V293&gt;=40,V293&lt;75,W293&lt;35),0.3,0)+IF(AND(V293&gt;=40,V293&lt;75,W293&gt;=35,W293&lt;75),0.23,0)+IF(AND(V293&gt;=40,V293&lt;75,W293&gt;=75,W293&lt;120),0.17,0)+IF(AND(V293&gt;=40,V293&lt;75,W293&gt;=120),0.12,0)+IF(AND(V293&gt;=75,V293&lt;175,W293&lt;35),0.3,0)+IF(AND(V293&gt;=75,V293&lt;=175,W293&gt;=35,W293&lt;65),0.23,0)+IF(AND(V293&gt;=75,V293&lt;=175,W293&gt;=65,W293&lt;110),0.17,0)+IF(AND(V293&gt;=75,V293&lt;=175,W293&gt;=110),0.12,0)+IF(AND(V293&gt;175,W293&lt;25),0.3,0)+IF(AND(V293&gt;175,W293&gt;=25,W293&lt;55),0.23,0)+IF(AND(V293&gt;175,W293&gt;=55,W293&lt;95),0.17,0)+IF(AND(V293&gt;175,W293&gt;=95),0.12,0),
IF(AF293="DoEVLo",IF(AND(V293&lt;20,W293&lt;55),0.25,0)+IF(AND(V293&lt;20,W293&gt;=55,W293&lt;105),0.2,0)+IF(AND(V293&lt;20,W293&gt;=105),0.15,0)+IF(AND(V293&gt;=20,V293&lt;40,W293&lt;45),0.25,0)+IF(AND(V293&gt;=20,V293&lt;40,W293&gt;=45,W293&lt;95),0.2,0)+IF(AND(V293&gt;=20,V293&lt;40,W293&gt;=95),0.15,0)+IF(AND(V293&gt;=40,V293&lt;75,W293&lt;35),0.25,0)+IF(AND(V293&gt;=40,V293&lt;75,W293&gt;=35,W293&lt;75),0.2,0)+IF(AND(V293&gt;=40,V293&lt;75,W293&gt;=75,W293&lt;120),0.15,0)+IF(AND(V293&gt;=40,V293&lt;75,W293&gt;=120),0.1,0)+IF(AND(V293&gt;=75,V293&lt;175,W293&lt;35),0.25,0)+IF(AND(V293&gt;=75,V293&lt;=175,W293&gt;=35,W293&lt;65),0.2,0)+IF(AND(V293&gt;=75,V293&lt;=175,W293&gt;=65,W293&lt;110),0.15,0)+IF(AND(V293&gt;=75,V293&lt;=175,W293&gt;=110),0.1,0)+IF(AND(V293&gt;175,W293&lt;25),0.25,0)+IF(AND(V293&gt;175,W293&gt;=25,W293&lt;55),0.2,0)+IF(AND(V293&gt;175,W293&gt;=55,W293&lt;95),0.15,0)+IF(AND(V293&gt;175,W293&gt;=95),0.1,0))))))))))))))))</f>
        <v>0.3</v>
      </c>
      <c r="Y293" s="30">
        <f>IF(AG293="None",0,IF(AG293="Fix5",0.05,IF(AG293="Fix3.75",0.0375,IF(AG293="Fix10",0.1,IF(AG293="Fix3",0.03,0)))))</f>
        <v>0</v>
      </c>
      <c r="Z293" s="35">
        <f>T293-AA293-AB293</f>
        <v>130.19999999999999</v>
      </c>
      <c r="AA293" s="29">
        <f>IF(AD293="EUR",((T293-R293)*X293)*U293+(R293*X293),(T293*X293))</f>
        <v>55.8</v>
      </c>
      <c r="AB293" s="36">
        <f>IF(AD293="EUR",((T293-R293)*Y293)*U293+(R293*Y293),(T293*Y293))</f>
        <v>0</v>
      </c>
      <c r="AC293" s="37" t="b">
        <v>1</v>
      </c>
      <c r="AD293" s="37" t="s">
        <v>38</v>
      </c>
      <c r="AE293" s="37" t="s">
        <v>38</v>
      </c>
      <c r="AF293" s="37" t="str">
        <f t="array" ref="AF293">INDEX('Deal Info'!D:D, MATCH(A293,'Deal Info'!A:A, 0))</f>
        <v>DoEV</v>
      </c>
      <c r="AG293" s="38" t="str">
        <f t="array" ref="AG293">INDEX('Deal Info'!G:G, MATCH(A293,'Deal Info'!A:A, 0))</f>
        <v>None</v>
      </c>
    </row>
    <row r="294" spans="1:33" ht="14.25" hidden="1" x14ac:dyDescent="0.2">
      <c r="A294" s="18" t="str">
        <f t="array" ref="A294">IF(G294='Room Info'!$B$1, INDEX('Room Info'!$A$2:$A2446, MATCH(B294,'Room Info'!$B$2:$B2446, 0)),IF(G294='Room Info'!$C$1, INDEX('Room Info'!$A$2:$A2446, MATCH(B294,'Room Info'!$C$2:$C2446, 0)),IF(G294='Room Info'!$D$1, INDEX('Room Info'!$A$2:$A2446, MATCH(B294,'Room Info'!$D$2:$D2446, 0)),IF(G294='Room Info'!$E$1, INDEX('Room Info'!$A$2:$A2446, MATCH(B294,'Room Info'!$E$2:$E2446, 0)),IF(G294='Room Info'!$F$1, INDEX('Room Info'!$A$2:$A2446, MATCH(B294,'Room Info'!$F$2:$F2446, 0)),IF(G294='Room Info'!$H$1, INDEX('Room Info'!$A$2:$A2446, MATCH(B294,'Room Info'!$H$2:$H2446, 0)),IF(G294='Room Info'!$G$1, INDEX('Room Info'!$A$2:$A2446, MATCH(B294,'Room Info'!$G$2:$G2446, 0)))))))))</f>
        <v>SDEBA1</v>
      </c>
      <c r="B294" s="45" t="s">
        <v>114</v>
      </c>
      <c r="C294" s="46">
        <v>44855</v>
      </c>
      <c r="D294" s="46">
        <v>44885</v>
      </c>
      <c r="E294" s="47">
        <v>44866</v>
      </c>
      <c r="F294" s="48" t="s">
        <v>34</v>
      </c>
      <c r="G294" s="45" t="s">
        <v>35</v>
      </c>
      <c r="H294" s="49" t="s">
        <v>115</v>
      </c>
      <c r="I294" s="49" t="s">
        <v>44</v>
      </c>
      <c r="J294" s="70">
        <v>10</v>
      </c>
      <c r="K294" s="71">
        <v>3412</v>
      </c>
      <c r="L294" s="52">
        <v>-2130</v>
      </c>
      <c r="M294" s="53">
        <v>1523</v>
      </c>
      <c r="N294" s="28">
        <f>K294*J294</f>
        <v>34120</v>
      </c>
      <c r="O294" s="54">
        <v>37466</v>
      </c>
      <c r="P294" s="29">
        <v>10.980656509999999</v>
      </c>
      <c r="Q294" s="55"/>
      <c r="R294" s="31">
        <f>M294+Q294</f>
        <v>1523</v>
      </c>
      <c r="S294" s="56">
        <v>-1431</v>
      </c>
      <c r="T294" s="32">
        <f>R294+S294+IF(F294="Without EV deal",L294,0)</f>
        <v>92</v>
      </c>
      <c r="U294" s="57">
        <v>1</v>
      </c>
      <c r="V294" s="69">
        <v>9.9467982667308625</v>
      </c>
      <c r="W294" s="69">
        <v>27.446017570609161</v>
      </c>
      <c r="X294" s="30">
        <f>IF(AF294="DoEV",IF(AND(V294&lt;20,W294&lt;55),0.3,0)+IF(AND(V294&lt;20,W294&gt;=55,W294&lt;105),0.23,0)+IF(AND(V294&lt;20,W294&gt;=105),0.17,0)+IF(AND(V294&gt;=20,V294&lt;40,W294&lt;45),0.3,0)+IF(AND(V294&gt;=20,V294&lt;40,W294&gt;=45,W294&lt;95),0.23,0)+IF(AND(V294&gt;=20,V294&lt;40,W294&gt;=95),0.17,0)+IF(AND(V294&gt;=40,V294&lt;75,W294&lt;35),0.3,0)+IF(AND(V294&gt;=40,V294&lt;75,W294&gt;=35,W294&lt;75),0.23,0)+IF(AND(V294&gt;=40,V294&lt;75,W294&gt;=75,W294&lt;120),0.17,0)+IF(AND(V294&gt;=40,V294&lt;75,W294&gt;=120),0.12,0)+IF(AND(V294&gt;=75,V294&lt;175,W294&lt;35),0.3,0)+IF(AND(V294&gt;=75,V294&lt;=175,W294&gt;=35,W294&lt;65),0.23,0)+IF(AND(V294&gt;=75,V294&lt;=175,W294&gt;=65,W294&lt;110),0.17,0)+IF(AND(V294&gt;=75,V294&lt;=175,W294&gt;=110),0.12,0)+IF(AND(V294&gt;175,W294&lt;25),0.3,0)+IF(AND(V294&gt;175,W294&gt;=25,W294&lt;55),0.23,0)+IF(AND(V294&gt;175,W294&gt;=55,W294&lt;95),0.17,0)+IF(AND(V294&gt;175,W294&gt;=95),0.12,0),
IF(AF294="Fix15",0.15,
IF(AF294="Fix11.25",0.1125,
IF(AF294="Fix10",0.1,
IF(AF294="Fix9",0.09,
IF(AF294="DoEV2017",IF(AND(W294&lt;74),0.2,0)+IF(AND(W294&gt;=74),0.17,0),
IF(AF294="SF",IF(AND(V294&lt;20,W294&lt;89),0.3,0)+IF(AND(V294&lt;20,W294&gt;=89),0.25,0)+IF(AND(V294&gt;=20,V294&lt;40,W294&lt;74),0.3,0)+IF(AND(V294&gt;=20,V294&lt;40,W294&gt;=75),0.22,0)+IF(AND(V294&gt;=40,V294&lt;75,W294&lt;75),0.26,0)+IF(AND(V294&gt;=40,V294&lt;75,W294&gt;=75),0.22,0)+IF(V294&gt;=75,0.22,0),
IF(AF294="DoEVold",IF(AND(V294&lt;40,W294&lt;35),0.35,0)+IF(AND(V294&lt;40,W294&gt;=35,W294&lt;75),0.25,0)+IF(AND(V294&lt;40,W294&gt;=75),0.17,0)+IF(AND(V294&gt;=40,V294&lt;75,W294&lt;25),0.35,0)+IF(AND(V294&gt;=40,V294&lt;75,W294&gt;=25,W294&lt;65),0.25,0)+IF(AND(V294&gt;=40,V294&lt;75,W294&gt;=65,W294&lt;100),0.17,0)+IF(AND(V294&gt;=40,V294&lt;75,W294&gt;=100),0.1,0)+IF(AND(V294&gt;=75,W294&lt;25),0.35,0)+IF(AND(V294&gt;=75,W294&gt;=25,W294&lt;60),0.25,0)+IF(AND(V294&gt;=75,W294&gt;=60,W294&lt;95),0.17,0)+IF(AND(V294&gt;=75,W294&gt;=95),0.1,0),
IF(AF294="DoEVold15",IF(AND(V294&lt;=40,W294&lt;35),0.35,0)+IF(AND(V294&lt;=40,W294&gt;=35,W294&lt;75),0.25,0)+IF(AND(V294&lt;=40,W294&gt;=75,W294&lt;120),0.17,0)+IF(AND(V294&lt;=40,W294&gt;=120),0.15,0)+IF(AND(V294&gt;40,V294&lt;75,W294&lt;25),0.35,0)+IF(AND(V294&gt;=40,V294&lt;75,W294&gt;=25,W294&lt;65),0.25,0)+IF(AND(V294&gt;=40,V294&lt;75,W294&gt;=65,W294&lt;100),0.17,0)+IF(AND(V294&gt;=40,V294&lt;75,W294&gt;=100),0.1,0)+IF(AND(V294&gt;=75,W294&lt;25),0.35,0)+IF(AND(V294&gt;=75,W294&gt;=25,W294&lt;60),0.25,0)+IF(AND(V294&gt;=75,W294&gt;=60,W294&lt;95),0.17,0)+IF(AND(V294&gt;=75,W294&gt;=95),0.1,0),
IF(AF294="DoEVba",IF(AND(V294&lt;20,W294&lt;105),0.2,0)+IF(AND(V294&lt;20,W294&gt;=105),0.15,0)+IF(AND(V294&gt;=20,V294&lt;40,W294&lt;95),0.2,0)+IF(AND(V294&gt;=20,V294&lt;40,W294&gt;=95,W294&lt;150),0.15,0)+IF(AND(V294&gt;=20,V294&lt;40,W294&gt;=150),0.12,0)+IF(AND(V294&gt;=40,V294&lt;75,W294&lt;75),0.2,0)+IF(AND(V294&gt;=40,V294&lt;75,W294&gt;=75,W294&lt;120),0.15,0)+IF(AND(V294&gt;=40,V294&lt;75,W294&gt;=120),0.12,0)+IF(AND(V294&gt;=75,V294&lt;175,W294&lt;65),0.2,0)+IF(AND(V294&gt;=75,V294&lt;175,W294&gt;=65,W294&lt;110),0.15,0)+IF(AND(V294&gt;=75,V294&lt;175,W294&gt;=110),0.12,0)+IF(AND(V294&gt;=175,W294&lt;55),0.2,0)+IF(AND(V294&gt;=175,W294&gt;=55,W294&lt;95),0.15,0)+IF(AND(V294&gt;=175,W294&gt;=95),0.12,0),
IF(AF294="DoEVku",IF(AND(V294&lt;20,W294&lt;55),0.23,0)+IF(AND(V294&lt;20,W294&gt;=55,W294&lt;105),0.2,0)+IF(AND(V294&lt;20,W294&gt;=105),0.17,0)+IF(AND(V294&gt;=20,V294&lt;40,W294&lt;45),0.23,0)+IF(AND(V294&gt;=20,V294&lt;40,W294&gt;=45,W294&lt;95),0.2,0)+IF(AND(V294&gt;=20,V294&lt;40,W294&gt;=95,W294&lt;=150),0.17,0)+IF(AND(V294&gt;=20,V294&lt;40,W294&gt;=150),0.12,0)+IF(AND(V294&gt;=40,V294&lt;75,W294&lt;35),0.23,0)+IF(AND(V294&gt;=40,V294&lt;75,W294&gt;=35,W294&lt;75),0.2,0)+IF(AND(V294&gt;=40,V294&lt;75,W294&gt;=75,W294&lt;120),0.17,0)+IF(AND(V294&gt;=40,V294&lt;75,W294&gt;=120),0.12,0)+IF(AND(V294&gt;=75,V294&lt;175,W294&lt;35),0.23,0)+IF(AND(V294&gt;=75,V294&lt;=175,W294&gt;=35,W294&lt;65),0.2,0)+IF(AND(V294&gt;=75,V294&lt;=175,W294&gt;=65,W294&lt;110),0.17,0)+IF(AND(V294&gt;=75,V294&lt;=175,W294&gt;=110),0.12,0)+IF(AND(V294&gt;175,W294&lt;25),0.23,0)+IF(AND(V294&gt;175,W294&gt;=25,W294&lt;55),0.2,0)+IF(AND(V294&gt;175,W294&gt;=55,W294&lt;95),0.17,0)+IF(AND(V294&gt;175,W294&gt;=95),0.12,0),
IF(AF294="DoEVs1",IF(AND(V294&lt;20,W294&lt;55),0.3,0)+IF(AND(V294&lt;20,W294&gt;=55,W294&lt;105),0.23,0)+IF(AND(V294&lt;20,W294&gt;=105),0.17,0)+IF(AND(V294&gt;=20,V294&lt;40,W294&lt;45),0.3,0)+IF(AND(V294&gt;=20,V294&lt;40,W294&gt;=45,W294&lt;95),0.23,0)+IF(AND(V294&gt;=20,V294&lt;40,W294&gt;=95,W294&lt;=150),0.17,0)+IF(AND(V294&gt;=20,V294&lt;40,W294&gt;=150),0.12,0)+IF(AND(V294&gt;=40,V294&lt;75,W294&lt;35),0.3,0)+IF(AND(V294&gt;=40,V294&lt;75,W294&gt;=35,W294&lt;75),0.23,0)+IF(AND(V294&gt;=40,V294&lt;75,W294&gt;=75,W294&lt;120),0.17,0)+IF(AND(V294&gt;=40,V294&lt;75,W294&gt;=120),0.12,0)+IF(AND(V294&gt;=75,V294&lt;175,W294&lt;35),0.3,0)+IF(AND(V294&gt;=75,V294&lt;=175,W294&gt;=35,W294&lt;65),0.23,0)+IF(AND(V294&gt;=75,V294&lt;=175,W294&gt;=65,W294&lt;110),0.17,0)+IF(AND(V294&gt;=75,V294&lt;=175,W294&gt;=110),0.12,0)+IF(AND(V294&gt;175,W294&lt;25),0.3,0)+IF(AND(V294&gt;175,W294&gt;=25,W294&lt;55),0.23,0)+IF(AND(V294&gt;175,W294&gt;=55,W294&lt;95),0.17,0)+IF(AND(V294&gt;175,W294&gt;=95),0.12,0),
IF(AF294="DoEVsu",IF(AND(V294&lt;20,W294&lt;55),0.3,0)+IF(AND(V294&lt;20,W294&gt;=55,W294&lt;105),0.23,0)+IF(AND(V294&lt;20,W294&gt;=105),0.17,0)+IF(AND(V294&gt;=20,V294&lt;40,W294&lt;45),0.3,0)+IF(AND(V294&gt;=20,V294&lt;40,W294&gt;=45,W294&lt;95),0.23,0)+IF(AND(V294&gt;=20,V294&lt;40,W294&gt;=95,W294&lt;=250),0.17,0)+IF(AND(V294&gt;=20,V294&lt;40,W294&gt;=250),0.12,0)+IF(AND(V294&gt;=40,V294&lt;75,W294&lt;35),0.3,0)+IF(AND(V294&gt;=40,V294&lt;75,W294&gt;=35,W294&lt;75),0.23,0)+IF(AND(V294&gt;=40,V294&lt;75,W294&gt;=75,W294&lt;120),0.17,0)+IF(AND(V294&gt;=40,V294&lt;75,W294&gt;=120),0.12,0)+IF(AND(V294&gt;=75,V294&lt;175,W294&lt;35),0.3,0)+IF(AND(V294&gt;=75,V294&lt;=175,W294&gt;=35,W294&lt;65),0.23,0)+IF(AND(V294&gt;=75,V294&lt;=175,W294&gt;=65,W294&lt;110),0.17,0)+IF(AND(V294&gt;=75,V294&lt;=175,W294&gt;=110),0.12,0)+IF(AND(V294&gt;175,W294&lt;25),0.3,0)+IF(AND(V294&gt;175,W294&gt;=25,W294&lt;55),0.23,0)+IF(AND(V294&gt;175,W294&gt;=55,W294&lt;95),0.17,0)+IF(AND(V294&gt;175,W294&gt;=95),0.12,0),
IF(AF294="DoEVni",IF(AND(V294&lt;20,W294&lt;55),0.3,0)+IF(AND(V294&lt;20,W294&gt;=55,W294&lt;105),0.23,0)+IF(AND(V294&lt;20,W294&gt;=105),0.17,0)+IF(AND(V294&gt;=20,V294&lt;40,W294&lt;45),0.3,0)+IF(AND(V294&gt;=20,V294&lt;40,W294&gt;=45,W294&lt;95),0.23,0)+IF(AND(V294&gt;=20,V294&lt;40,W294&gt;=95,W294&lt;=200),0.17,0)+IF(AND(V294&gt;=20,V294&lt;40,W294&gt;=200),0.12,0)+IF(AND(V294&gt;=40,V294&lt;75,W294&lt;35),0.3,0)+IF(AND(V294&gt;=40,V294&lt;75,W294&gt;=35,W294&lt;75),0.23,0)+IF(AND(V294&gt;=40,V294&lt;75,W294&gt;=75,W294&lt;120),0.17,0)+IF(AND(V294&gt;=40,V294&lt;75,W294&gt;=120),0.12,0)+IF(AND(V294&gt;=75,V294&lt;175,W294&lt;35),0.3,0)+IF(AND(V294&gt;=75,V294&lt;=175,W294&gt;=35,W294&lt;65),0.23,0)+IF(AND(V294&gt;=75,V294&lt;=175,W294&gt;=65,W294&lt;110),0.17,0)+IF(AND(V294&gt;=75,V294&lt;=175,W294&gt;=110),0.12,0)+IF(AND(V294&gt;175,W294&lt;25),0.3,0)+IF(AND(V294&gt;175,W294&gt;=25,W294&lt;55),0.23,0)+IF(AND(V294&gt;175,W294&gt;=55,W294&lt;95),0.17,0)+IF(AND(V294&gt;175,W294&gt;=95),0.12,0),
IF(AF294="DoEVLo",IF(AND(V294&lt;20,W294&lt;55),0.25,0)+IF(AND(V294&lt;20,W294&gt;=55,W294&lt;105),0.2,0)+IF(AND(V294&lt;20,W294&gt;=105),0.15,0)+IF(AND(V294&gt;=20,V294&lt;40,W294&lt;45),0.25,0)+IF(AND(V294&gt;=20,V294&lt;40,W294&gt;=45,W294&lt;95),0.2,0)+IF(AND(V294&gt;=20,V294&lt;40,W294&gt;=95),0.15,0)+IF(AND(V294&gt;=40,V294&lt;75,W294&lt;35),0.25,0)+IF(AND(V294&gt;=40,V294&lt;75,W294&gt;=35,W294&lt;75),0.2,0)+IF(AND(V294&gt;=40,V294&lt;75,W294&gt;=75,W294&lt;120),0.15,0)+IF(AND(V294&gt;=40,V294&lt;75,W294&gt;=120),0.1,0)+IF(AND(V294&gt;=75,V294&lt;175,W294&lt;35),0.25,0)+IF(AND(V294&gt;=75,V294&lt;=175,W294&gt;=35,W294&lt;65),0.2,0)+IF(AND(V294&gt;=75,V294&lt;=175,W294&gt;=65,W294&lt;110),0.15,0)+IF(AND(V294&gt;=75,V294&lt;=175,W294&gt;=110),0.1,0)+IF(AND(V294&gt;175,W294&lt;25),0.25,0)+IF(AND(V294&gt;175,W294&gt;=25,W294&lt;55),0.2,0)+IF(AND(V294&gt;175,W294&gt;=55,W294&lt;95),0.15,0)+IF(AND(V294&gt;175,W294&gt;=95),0.1,0))))))))))))))))</f>
        <v>0.3</v>
      </c>
      <c r="Y294" s="30">
        <f>IF(AG294="None",0,IF(AG294="Fix5",0.05,IF(AG294="Fix3.75",0.0375,IF(AG294="Fix10",0.1,IF(AG294="Fix3",0.03,0)))))</f>
        <v>0</v>
      </c>
      <c r="Z294" s="35">
        <f>T294-AA294-AB294</f>
        <v>64.400000000000006</v>
      </c>
      <c r="AA294" s="29">
        <f>IF(AD294="EUR",((T294-R294)*X294)*U294+(R294*X294),(T294*X294))</f>
        <v>27.599999999999998</v>
      </c>
      <c r="AB294" s="36">
        <f>IF(AD294="EUR",((T294-R294)*Y294)*U294+(R294*Y294),(T294*Y294))</f>
        <v>0</v>
      </c>
      <c r="AC294" s="37" t="b">
        <v>1</v>
      </c>
      <c r="AD294" s="37" t="s">
        <v>38</v>
      </c>
      <c r="AE294" s="37" t="s">
        <v>38</v>
      </c>
      <c r="AF294" s="37" t="str">
        <f t="array" ref="AF294">INDEX('Deal Info'!D:D, MATCH(A294,'Deal Info'!A:A, 0))</f>
        <v>DoEV</v>
      </c>
      <c r="AG294" s="38" t="str">
        <f t="array" ref="AG294">INDEX('Deal Info'!G:G, MATCH(A294,'Deal Info'!A:A, 0))</f>
        <v>None</v>
      </c>
    </row>
    <row r="295" spans="1:33" ht="14.25" hidden="1" x14ac:dyDescent="0.2">
      <c r="A295" s="18" t="str">
        <f t="array" ref="A295">IF(G295='Room Info'!$B$1, INDEX('Room Info'!$A$2:$A2446, MATCH(B295,'Room Info'!$B$2:$B2446, 0)),IF(G295='Room Info'!$C$1, INDEX('Room Info'!$A$2:$A2446, MATCH(B295,'Room Info'!$C$2:$C2446, 0)),IF(G295='Room Info'!$D$1, INDEX('Room Info'!$A$2:$A2446, MATCH(B295,'Room Info'!$D$2:$D2446, 0)),IF(G295='Room Info'!$E$1, INDEX('Room Info'!$A$2:$A2446, MATCH(B295,'Room Info'!$E$2:$E2446, 0)),IF(G295='Room Info'!$F$1, INDEX('Room Info'!$A$2:$A2446, MATCH(B295,'Room Info'!$F$2:$F2446, 0)),IF(G295='Room Info'!$H$1, INDEX('Room Info'!$A$2:$A2446, MATCH(B295,'Room Info'!$H$2:$H2446, 0)),IF(G295='Room Info'!$G$1, INDEX('Room Info'!$A$2:$A2446, MATCH(B295,'Room Info'!$G$2:$G2446, 0)))))))))</f>
        <v>SDEBA1</v>
      </c>
      <c r="B295" s="45" t="s">
        <v>114</v>
      </c>
      <c r="C295" s="46">
        <v>44855</v>
      </c>
      <c r="D295" s="46">
        <v>44885</v>
      </c>
      <c r="E295" s="47">
        <v>44866</v>
      </c>
      <c r="F295" s="48" t="s">
        <v>41</v>
      </c>
      <c r="G295" s="45" t="s">
        <v>35</v>
      </c>
      <c r="H295" s="49" t="s">
        <v>47</v>
      </c>
      <c r="I295" s="49" t="s">
        <v>44</v>
      </c>
      <c r="J295" s="70">
        <v>1</v>
      </c>
      <c r="K295" s="71">
        <v>24</v>
      </c>
      <c r="L295" s="52">
        <v>-3</v>
      </c>
      <c r="M295" s="53">
        <v>1</v>
      </c>
      <c r="N295" s="28">
        <f>K295*J295</f>
        <v>24</v>
      </c>
      <c r="O295" s="65"/>
      <c r="P295" s="29">
        <v>0</v>
      </c>
      <c r="Q295" s="55"/>
      <c r="R295" s="31">
        <f>M295+Q295</f>
        <v>1</v>
      </c>
      <c r="S295" s="66"/>
      <c r="T295" s="32">
        <f>R295+S295+IF(F295="Without EV deal",L295,0)</f>
        <v>-2</v>
      </c>
      <c r="U295" s="57">
        <v>1</v>
      </c>
      <c r="V295" s="69">
        <v>9.9467982667308625</v>
      </c>
      <c r="W295" s="69">
        <v>27.446017570609161</v>
      </c>
      <c r="X295" s="30">
        <f>IF(AF295="DoEV",IF(AND(V295&lt;20,W295&lt;55),0.3,0)+IF(AND(V295&lt;20,W295&gt;=55,W295&lt;105),0.23,0)+IF(AND(V295&lt;20,W295&gt;=105),0.17,0)+IF(AND(V295&gt;=20,V295&lt;40,W295&lt;45),0.3,0)+IF(AND(V295&gt;=20,V295&lt;40,W295&gt;=45,W295&lt;95),0.23,0)+IF(AND(V295&gt;=20,V295&lt;40,W295&gt;=95),0.17,0)+IF(AND(V295&gt;=40,V295&lt;75,W295&lt;35),0.3,0)+IF(AND(V295&gt;=40,V295&lt;75,W295&gt;=35,W295&lt;75),0.23,0)+IF(AND(V295&gt;=40,V295&lt;75,W295&gt;=75,W295&lt;120),0.17,0)+IF(AND(V295&gt;=40,V295&lt;75,W295&gt;=120),0.12,0)+IF(AND(V295&gt;=75,V295&lt;175,W295&lt;35),0.3,0)+IF(AND(V295&gt;=75,V295&lt;=175,W295&gt;=35,W295&lt;65),0.23,0)+IF(AND(V295&gt;=75,V295&lt;=175,W295&gt;=65,W295&lt;110),0.17,0)+IF(AND(V295&gt;=75,V295&lt;=175,W295&gt;=110),0.12,0)+IF(AND(V295&gt;175,W295&lt;25),0.3,0)+IF(AND(V295&gt;175,W295&gt;=25,W295&lt;55),0.23,0)+IF(AND(V295&gt;175,W295&gt;=55,W295&lt;95),0.17,0)+IF(AND(V295&gt;175,W295&gt;=95),0.12,0),
IF(AF295="Fix15",0.15,
IF(AF295="Fix11.25",0.1125,
IF(AF295="Fix10",0.1,
IF(AF295="Fix9",0.09,
IF(AF295="DoEV2017",IF(AND(W295&lt;74),0.2,0)+IF(AND(W295&gt;=74),0.17,0),
IF(AF295="SF",IF(AND(V295&lt;20,W295&lt;89),0.3,0)+IF(AND(V295&lt;20,W295&gt;=89),0.25,0)+IF(AND(V295&gt;=20,V295&lt;40,W295&lt;74),0.3,0)+IF(AND(V295&gt;=20,V295&lt;40,W295&gt;=75),0.22,0)+IF(AND(V295&gt;=40,V295&lt;75,W295&lt;75),0.26,0)+IF(AND(V295&gt;=40,V295&lt;75,W295&gt;=75),0.22,0)+IF(V295&gt;=75,0.22,0),
IF(AF295="DoEVold",IF(AND(V295&lt;40,W295&lt;35),0.35,0)+IF(AND(V295&lt;40,W295&gt;=35,W295&lt;75),0.25,0)+IF(AND(V295&lt;40,W295&gt;=75),0.17,0)+IF(AND(V295&gt;=40,V295&lt;75,W295&lt;25),0.35,0)+IF(AND(V295&gt;=40,V295&lt;75,W295&gt;=25,W295&lt;65),0.25,0)+IF(AND(V295&gt;=40,V295&lt;75,W295&gt;=65,W295&lt;100),0.17,0)+IF(AND(V295&gt;=40,V295&lt;75,W295&gt;=100),0.1,0)+IF(AND(V295&gt;=75,W295&lt;25),0.35,0)+IF(AND(V295&gt;=75,W295&gt;=25,W295&lt;60),0.25,0)+IF(AND(V295&gt;=75,W295&gt;=60,W295&lt;95),0.17,0)+IF(AND(V295&gt;=75,W295&gt;=95),0.1,0),
IF(AF295="DoEVold15",IF(AND(V295&lt;=40,W295&lt;35),0.35,0)+IF(AND(V295&lt;=40,W295&gt;=35,W295&lt;75),0.25,0)+IF(AND(V295&lt;=40,W295&gt;=75,W295&lt;120),0.17,0)+IF(AND(V295&lt;=40,W295&gt;=120),0.15,0)+IF(AND(V295&gt;40,V295&lt;75,W295&lt;25),0.35,0)+IF(AND(V295&gt;=40,V295&lt;75,W295&gt;=25,W295&lt;65),0.25,0)+IF(AND(V295&gt;=40,V295&lt;75,W295&gt;=65,W295&lt;100),0.17,0)+IF(AND(V295&gt;=40,V295&lt;75,W295&gt;=100),0.1,0)+IF(AND(V295&gt;=75,W295&lt;25),0.35,0)+IF(AND(V295&gt;=75,W295&gt;=25,W295&lt;60),0.25,0)+IF(AND(V295&gt;=75,W295&gt;=60,W295&lt;95),0.17,0)+IF(AND(V295&gt;=75,W295&gt;=95),0.1,0),
IF(AF295="DoEVba",IF(AND(V295&lt;20,W295&lt;105),0.2,0)+IF(AND(V295&lt;20,W295&gt;=105),0.15,0)+IF(AND(V295&gt;=20,V295&lt;40,W295&lt;95),0.2,0)+IF(AND(V295&gt;=20,V295&lt;40,W295&gt;=95,W295&lt;150),0.15,0)+IF(AND(V295&gt;=20,V295&lt;40,W295&gt;=150),0.12,0)+IF(AND(V295&gt;=40,V295&lt;75,W295&lt;75),0.2,0)+IF(AND(V295&gt;=40,V295&lt;75,W295&gt;=75,W295&lt;120),0.15,0)+IF(AND(V295&gt;=40,V295&lt;75,W295&gt;=120),0.12,0)+IF(AND(V295&gt;=75,V295&lt;175,W295&lt;65),0.2,0)+IF(AND(V295&gt;=75,V295&lt;175,W295&gt;=65,W295&lt;110),0.15,0)+IF(AND(V295&gt;=75,V295&lt;175,W295&gt;=110),0.12,0)+IF(AND(V295&gt;=175,W295&lt;55),0.2,0)+IF(AND(V295&gt;=175,W295&gt;=55,W295&lt;95),0.15,0)+IF(AND(V295&gt;=175,W295&gt;=95),0.12,0),
IF(AF295="DoEVku",IF(AND(V295&lt;20,W295&lt;55),0.23,0)+IF(AND(V295&lt;20,W295&gt;=55,W295&lt;105),0.2,0)+IF(AND(V295&lt;20,W295&gt;=105),0.17,0)+IF(AND(V295&gt;=20,V295&lt;40,W295&lt;45),0.23,0)+IF(AND(V295&gt;=20,V295&lt;40,W295&gt;=45,W295&lt;95),0.2,0)+IF(AND(V295&gt;=20,V295&lt;40,W295&gt;=95,W295&lt;=150),0.17,0)+IF(AND(V295&gt;=20,V295&lt;40,W295&gt;=150),0.12,0)+IF(AND(V295&gt;=40,V295&lt;75,W295&lt;35),0.23,0)+IF(AND(V295&gt;=40,V295&lt;75,W295&gt;=35,W295&lt;75),0.2,0)+IF(AND(V295&gt;=40,V295&lt;75,W295&gt;=75,W295&lt;120),0.17,0)+IF(AND(V295&gt;=40,V295&lt;75,W295&gt;=120),0.12,0)+IF(AND(V295&gt;=75,V295&lt;175,W295&lt;35),0.23,0)+IF(AND(V295&gt;=75,V295&lt;=175,W295&gt;=35,W295&lt;65),0.2,0)+IF(AND(V295&gt;=75,V295&lt;=175,W295&gt;=65,W295&lt;110),0.17,0)+IF(AND(V295&gt;=75,V295&lt;=175,W295&gt;=110),0.12,0)+IF(AND(V295&gt;175,W295&lt;25),0.23,0)+IF(AND(V295&gt;175,W295&gt;=25,W295&lt;55),0.2,0)+IF(AND(V295&gt;175,W295&gt;=55,W295&lt;95),0.17,0)+IF(AND(V295&gt;175,W295&gt;=95),0.12,0),
IF(AF295="DoEVs1",IF(AND(V295&lt;20,W295&lt;55),0.3,0)+IF(AND(V295&lt;20,W295&gt;=55,W295&lt;105),0.23,0)+IF(AND(V295&lt;20,W295&gt;=105),0.17,0)+IF(AND(V295&gt;=20,V295&lt;40,W295&lt;45),0.3,0)+IF(AND(V295&gt;=20,V295&lt;40,W295&gt;=45,W295&lt;95),0.23,0)+IF(AND(V295&gt;=20,V295&lt;40,W295&gt;=95,W295&lt;=150),0.17,0)+IF(AND(V295&gt;=20,V295&lt;40,W295&gt;=150),0.12,0)+IF(AND(V295&gt;=40,V295&lt;75,W295&lt;35),0.3,0)+IF(AND(V295&gt;=40,V295&lt;75,W295&gt;=35,W295&lt;75),0.23,0)+IF(AND(V295&gt;=40,V295&lt;75,W295&gt;=75,W295&lt;120),0.17,0)+IF(AND(V295&gt;=40,V295&lt;75,W295&gt;=120),0.12,0)+IF(AND(V295&gt;=75,V295&lt;175,W295&lt;35),0.3,0)+IF(AND(V295&gt;=75,V295&lt;=175,W295&gt;=35,W295&lt;65),0.23,0)+IF(AND(V295&gt;=75,V295&lt;=175,W295&gt;=65,W295&lt;110),0.17,0)+IF(AND(V295&gt;=75,V295&lt;=175,W295&gt;=110),0.12,0)+IF(AND(V295&gt;175,W295&lt;25),0.3,0)+IF(AND(V295&gt;175,W295&gt;=25,W295&lt;55),0.23,0)+IF(AND(V295&gt;175,W295&gt;=55,W295&lt;95),0.17,0)+IF(AND(V295&gt;175,W295&gt;=95),0.12,0),
IF(AF295="DoEVsu",IF(AND(V295&lt;20,W295&lt;55),0.3,0)+IF(AND(V295&lt;20,W295&gt;=55,W295&lt;105),0.23,0)+IF(AND(V295&lt;20,W295&gt;=105),0.17,0)+IF(AND(V295&gt;=20,V295&lt;40,W295&lt;45),0.3,0)+IF(AND(V295&gt;=20,V295&lt;40,W295&gt;=45,W295&lt;95),0.23,0)+IF(AND(V295&gt;=20,V295&lt;40,W295&gt;=95,W295&lt;=250),0.17,0)+IF(AND(V295&gt;=20,V295&lt;40,W295&gt;=250),0.12,0)+IF(AND(V295&gt;=40,V295&lt;75,W295&lt;35),0.3,0)+IF(AND(V295&gt;=40,V295&lt;75,W295&gt;=35,W295&lt;75),0.23,0)+IF(AND(V295&gt;=40,V295&lt;75,W295&gt;=75,W295&lt;120),0.17,0)+IF(AND(V295&gt;=40,V295&lt;75,W295&gt;=120),0.12,0)+IF(AND(V295&gt;=75,V295&lt;175,W295&lt;35),0.3,0)+IF(AND(V295&gt;=75,V295&lt;=175,W295&gt;=35,W295&lt;65),0.23,0)+IF(AND(V295&gt;=75,V295&lt;=175,W295&gt;=65,W295&lt;110),0.17,0)+IF(AND(V295&gt;=75,V295&lt;=175,W295&gt;=110),0.12,0)+IF(AND(V295&gt;175,W295&lt;25),0.3,0)+IF(AND(V295&gt;175,W295&gt;=25,W295&lt;55),0.23,0)+IF(AND(V295&gt;175,W295&gt;=55,W295&lt;95),0.17,0)+IF(AND(V295&gt;175,W295&gt;=95),0.12,0),
IF(AF295="DoEVni",IF(AND(V295&lt;20,W295&lt;55),0.3,0)+IF(AND(V295&lt;20,W295&gt;=55,W295&lt;105),0.23,0)+IF(AND(V295&lt;20,W295&gt;=105),0.17,0)+IF(AND(V295&gt;=20,V295&lt;40,W295&lt;45),0.3,0)+IF(AND(V295&gt;=20,V295&lt;40,W295&gt;=45,W295&lt;95),0.23,0)+IF(AND(V295&gt;=20,V295&lt;40,W295&gt;=95,W295&lt;=200),0.17,0)+IF(AND(V295&gt;=20,V295&lt;40,W295&gt;=200),0.12,0)+IF(AND(V295&gt;=40,V295&lt;75,W295&lt;35),0.3,0)+IF(AND(V295&gt;=40,V295&lt;75,W295&gt;=35,W295&lt;75),0.23,0)+IF(AND(V295&gt;=40,V295&lt;75,W295&gt;=75,W295&lt;120),0.17,0)+IF(AND(V295&gt;=40,V295&lt;75,W295&gt;=120),0.12,0)+IF(AND(V295&gt;=75,V295&lt;175,W295&lt;35),0.3,0)+IF(AND(V295&gt;=75,V295&lt;=175,W295&gt;=35,W295&lt;65),0.23,0)+IF(AND(V295&gt;=75,V295&lt;=175,W295&gt;=65,W295&lt;110),0.17,0)+IF(AND(V295&gt;=75,V295&lt;=175,W295&gt;=110),0.12,0)+IF(AND(V295&gt;175,W295&lt;25),0.3,0)+IF(AND(V295&gt;175,W295&gt;=25,W295&lt;55),0.23,0)+IF(AND(V295&gt;175,W295&gt;=55,W295&lt;95),0.17,0)+IF(AND(V295&gt;175,W295&gt;=95),0.12,0),
IF(AF295="DoEVLo",IF(AND(V295&lt;20,W295&lt;55),0.25,0)+IF(AND(V295&lt;20,W295&gt;=55,W295&lt;105),0.2,0)+IF(AND(V295&lt;20,W295&gt;=105),0.15,0)+IF(AND(V295&gt;=20,V295&lt;40,W295&lt;45),0.25,0)+IF(AND(V295&gt;=20,V295&lt;40,W295&gt;=45,W295&lt;95),0.2,0)+IF(AND(V295&gt;=20,V295&lt;40,W295&gt;=95),0.15,0)+IF(AND(V295&gt;=40,V295&lt;75,W295&lt;35),0.25,0)+IF(AND(V295&gt;=40,V295&lt;75,W295&gt;=35,W295&lt;75),0.2,0)+IF(AND(V295&gt;=40,V295&lt;75,W295&gt;=75,W295&lt;120),0.15,0)+IF(AND(V295&gt;=40,V295&lt;75,W295&gt;=120),0.1,0)+IF(AND(V295&gt;=75,V295&lt;175,W295&lt;35),0.25,0)+IF(AND(V295&gt;=75,V295&lt;=175,W295&gt;=35,W295&lt;65),0.2,0)+IF(AND(V295&gt;=75,V295&lt;=175,W295&gt;=65,W295&lt;110),0.15,0)+IF(AND(V295&gt;=75,V295&lt;=175,W295&gt;=110),0.1,0)+IF(AND(V295&gt;175,W295&lt;25),0.25,0)+IF(AND(V295&gt;175,W295&gt;=25,W295&lt;55),0.2,0)+IF(AND(V295&gt;175,W295&gt;=55,W295&lt;95),0.15,0)+IF(AND(V295&gt;175,W295&gt;=95),0.1,0))))))))))))))))</f>
        <v>0.3</v>
      </c>
      <c r="Y295" s="30">
        <f>IF(AG295="None",0,IF(AG295="Fix5",0.05,IF(AG295="Fix3.75",0.0375,IF(AG295="Fix10",0.1,IF(AG295="Fix3",0.03,0)))))</f>
        <v>0</v>
      </c>
      <c r="Z295" s="35">
        <f>T295-AA295-AB295</f>
        <v>-1.4</v>
      </c>
      <c r="AA295" s="29">
        <f>IF(AD295="EUR",((T295-R295)*X295)*U295+(R295*X295),(T295*X295))</f>
        <v>-0.6</v>
      </c>
      <c r="AB295" s="36">
        <f>IF(AD295="EUR",((T295-R295)*Y295)*U295+(R295*Y295),(T295*Y295))</f>
        <v>0</v>
      </c>
      <c r="AC295" s="37" t="b">
        <v>1</v>
      </c>
      <c r="AD295" s="37" t="s">
        <v>38</v>
      </c>
      <c r="AE295" s="37" t="s">
        <v>38</v>
      </c>
      <c r="AF295" s="37" t="str">
        <f t="array" ref="AF295">INDEX('Deal Info'!D:D, MATCH(A295,'Deal Info'!A:A, 0))</f>
        <v>DoEV</v>
      </c>
      <c r="AG295" s="38" t="str">
        <f t="array" ref="AG295">INDEX('Deal Info'!G:G, MATCH(A295,'Deal Info'!A:A, 0))</f>
        <v>None</v>
      </c>
    </row>
    <row r="296" spans="1:33" ht="14.25" hidden="1" x14ac:dyDescent="0.2">
      <c r="A296" s="18" t="str">
        <f t="array" ref="A296">IF(G296='Room Info'!$B$1, INDEX('Room Info'!$A$2:$A2446, MATCH(B296,'Room Info'!$B$2:$B2446, 0)),IF(G296='Room Info'!$C$1, INDEX('Room Info'!$A$2:$A2446, MATCH(B296,'Room Info'!$C$2:$C2446, 0)),IF(G296='Room Info'!$D$1, INDEX('Room Info'!$A$2:$A2446, MATCH(B296,'Room Info'!$D$2:$D2446, 0)),IF(G296='Room Info'!$E$1, INDEX('Room Info'!$A$2:$A2446, MATCH(B296,'Room Info'!$E$2:$E2446, 0)),IF(G296='Room Info'!$F$1, INDEX('Room Info'!$A$2:$A2446, MATCH(B296,'Room Info'!$F$2:$F2446, 0)),IF(G296='Room Info'!$H$1, INDEX('Room Info'!$A$2:$A2446, MATCH(B296,'Room Info'!$H$2:$H2446, 0)),IF(G296='Room Info'!$G$1, INDEX('Room Info'!$A$2:$A2446, MATCH(B296,'Room Info'!$G$2:$G2446, 0)))))))))</f>
        <v>SDEBA1</v>
      </c>
      <c r="B296" s="45" t="s">
        <v>114</v>
      </c>
      <c r="C296" s="46">
        <v>44886</v>
      </c>
      <c r="D296" s="46">
        <v>44915</v>
      </c>
      <c r="E296" s="47">
        <v>44896</v>
      </c>
      <c r="F296" s="48" t="s">
        <v>34</v>
      </c>
      <c r="G296" s="45" t="s">
        <v>35</v>
      </c>
      <c r="H296" s="49" t="s">
        <v>115</v>
      </c>
      <c r="I296" s="49" t="s">
        <v>44</v>
      </c>
      <c r="J296" s="70">
        <v>10</v>
      </c>
      <c r="K296" s="71">
        <v>2183</v>
      </c>
      <c r="L296" s="52">
        <v>-440</v>
      </c>
      <c r="M296" s="53">
        <v>1580</v>
      </c>
      <c r="N296" s="28">
        <f>K296*J296</f>
        <v>21830</v>
      </c>
      <c r="O296" s="54">
        <v>18500</v>
      </c>
      <c r="P296" s="29">
        <v>8.4745762710000001</v>
      </c>
      <c r="Q296" s="55"/>
      <c r="R296" s="31">
        <f>M296+Q296</f>
        <v>1580</v>
      </c>
      <c r="S296" s="56">
        <v>-1046</v>
      </c>
      <c r="T296" s="32">
        <f>R296+S296+IF(F296="Without EV deal",L296,0)</f>
        <v>534</v>
      </c>
      <c r="U296" s="57">
        <v>1</v>
      </c>
      <c r="V296" s="69">
        <v>10</v>
      </c>
      <c r="W296" s="69">
        <v>53.4</v>
      </c>
      <c r="X296" s="30">
        <f>IF(AF296="DoEV",IF(AND(V296&lt;20,W296&lt;55),0.3,0)+IF(AND(V296&lt;20,W296&gt;=55,W296&lt;105),0.23,0)+IF(AND(V296&lt;20,W296&gt;=105),0.17,0)+IF(AND(V296&gt;=20,V296&lt;40,W296&lt;45),0.3,0)+IF(AND(V296&gt;=20,V296&lt;40,W296&gt;=45,W296&lt;95),0.23,0)+IF(AND(V296&gt;=20,V296&lt;40,W296&gt;=95),0.17,0)+IF(AND(V296&gt;=40,V296&lt;75,W296&lt;35),0.3,0)+IF(AND(V296&gt;=40,V296&lt;75,W296&gt;=35,W296&lt;75),0.23,0)+IF(AND(V296&gt;=40,V296&lt;75,W296&gt;=75,W296&lt;120),0.17,0)+IF(AND(V296&gt;=40,V296&lt;75,W296&gt;=120),0.12,0)+IF(AND(V296&gt;=75,V296&lt;175,W296&lt;35),0.3,0)+IF(AND(V296&gt;=75,V296&lt;=175,W296&gt;=35,W296&lt;65),0.23,0)+IF(AND(V296&gt;=75,V296&lt;=175,W296&gt;=65,W296&lt;110),0.17,0)+IF(AND(V296&gt;=75,V296&lt;=175,W296&gt;=110),0.12,0)+IF(AND(V296&gt;175,W296&lt;25),0.3,0)+IF(AND(V296&gt;175,W296&gt;=25,W296&lt;55),0.23,0)+IF(AND(V296&gt;175,W296&gt;=55,W296&lt;95),0.17,0)+IF(AND(V296&gt;175,W296&gt;=95),0.12,0),
IF(AF296="Fix15",0.15,
IF(AF296="Fix11.25",0.1125,
IF(AF296="Fix10",0.1,
IF(AF296="Fix9",0.09,
IF(AF296="DoEV2017",IF(AND(W296&lt;74),0.2,0)+IF(AND(W296&gt;=74),0.17,0),
IF(AF296="SF",IF(AND(V296&lt;20,W296&lt;89),0.3,0)+IF(AND(V296&lt;20,W296&gt;=89),0.25,0)+IF(AND(V296&gt;=20,V296&lt;40,W296&lt;74),0.3,0)+IF(AND(V296&gt;=20,V296&lt;40,W296&gt;=75),0.22,0)+IF(AND(V296&gt;=40,V296&lt;75,W296&lt;75),0.26,0)+IF(AND(V296&gt;=40,V296&lt;75,W296&gt;=75),0.22,0)+IF(V296&gt;=75,0.22,0),
IF(AF296="DoEVold",IF(AND(V296&lt;40,W296&lt;35),0.35,0)+IF(AND(V296&lt;40,W296&gt;=35,W296&lt;75),0.25,0)+IF(AND(V296&lt;40,W296&gt;=75),0.17,0)+IF(AND(V296&gt;=40,V296&lt;75,W296&lt;25),0.35,0)+IF(AND(V296&gt;=40,V296&lt;75,W296&gt;=25,W296&lt;65),0.25,0)+IF(AND(V296&gt;=40,V296&lt;75,W296&gt;=65,W296&lt;100),0.17,0)+IF(AND(V296&gt;=40,V296&lt;75,W296&gt;=100),0.1,0)+IF(AND(V296&gt;=75,W296&lt;25),0.35,0)+IF(AND(V296&gt;=75,W296&gt;=25,W296&lt;60),0.25,0)+IF(AND(V296&gt;=75,W296&gt;=60,W296&lt;95),0.17,0)+IF(AND(V296&gt;=75,W296&gt;=95),0.1,0),
IF(AF296="DoEVold15",IF(AND(V296&lt;=40,W296&lt;35),0.35,0)+IF(AND(V296&lt;=40,W296&gt;=35,W296&lt;75),0.25,0)+IF(AND(V296&lt;=40,W296&gt;=75,W296&lt;120),0.17,0)+IF(AND(V296&lt;=40,W296&gt;=120),0.15,0)+IF(AND(V296&gt;40,V296&lt;75,W296&lt;25),0.35,0)+IF(AND(V296&gt;=40,V296&lt;75,W296&gt;=25,W296&lt;65),0.25,0)+IF(AND(V296&gt;=40,V296&lt;75,W296&gt;=65,W296&lt;100),0.17,0)+IF(AND(V296&gt;=40,V296&lt;75,W296&gt;=100),0.1,0)+IF(AND(V296&gt;=75,W296&lt;25),0.35,0)+IF(AND(V296&gt;=75,W296&gt;=25,W296&lt;60),0.25,0)+IF(AND(V296&gt;=75,W296&gt;=60,W296&lt;95),0.17,0)+IF(AND(V296&gt;=75,W296&gt;=95),0.1,0),
IF(AF296="DoEVba",IF(AND(V296&lt;20,W296&lt;105),0.2,0)+IF(AND(V296&lt;20,W296&gt;=105),0.15,0)+IF(AND(V296&gt;=20,V296&lt;40,W296&lt;95),0.2,0)+IF(AND(V296&gt;=20,V296&lt;40,W296&gt;=95,W296&lt;150),0.15,0)+IF(AND(V296&gt;=20,V296&lt;40,W296&gt;=150),0.12,0)+IF(AND(V296&gt;=40,V296&lt;75,W296&lt;75),0.2,0)+IF(AND(V296&gt;=40,V296&lt;75,W296&gt;=75,W296&lt;120),0.15,0)+IF(AND(V296&gt;=40,V296&lt;75,W296&gt;=120),0.12,0)+IF(AND(V296&gt;=75,V296&lt;175,W296&lt;65),0.2,0)+IF(AND(V296&gt;=75,V296&lt;175,W296&gt;=65,W296&lt;110),0.15,0)+IF(AND(V296&gt;=75,V296&lt;175,W296&gt;=110),0.12,0)+IF(AND(V296&gt;=175,W296&lt;55),0.2,0)+IF(AND(V296&gt;=175,W296&gt;=55,W296&lt;95),0.15,0)+IF(AND(V296&gt;=175,W296&gt;=95),0.12,0),
IF(AF296="DoEVku",IF(AND(V296&lt;20,W296&lt;55),0.23,0)+IF(AND(V296&lt;20,W296&gt;=55,W296&lt;105),0.2,0)+IF(AND(V296&lt;20,W296&gt;=105),0.17,0)+IF(AND(V296&gt;=20,V296&lt;40,W296&lt;45),0.23,0)+IF(AND(V296&gt;=20,V296&lt;40,W296&gt;=45,W296&lt;95),0.2,0)+IF(AND(V296&gt;=20,V296&lt;40,W296&gt;=95,W296&lt;=150),0.17,0)+IF(AND(V296&gt;=20,V296&lt;40,W296&gt;=150),0.12,0)+IF(AND(V296&gt;=40,V296&lt;75,W296&lt;35),0.23,0)+IF(AND(V296&gt;=40,V296&lt;75,W296&gt;=35,W296&lt;75),0.2,0)+IF(AND(V296&gt;=40,V296&lt;75,W296&gt;=75,W296&lt;120),0.17,0)+IF(AND(V296&gt;=40,V296&lt;75,W296&gt;=120),0.12,0)+IF(AND(V296&gt;=75,V296&lt;175,W296&lt;35),0.23,0)+IF(AND(V296&gt;=75,V296&lt;=175,W296&gt;=35,W296&lt;65),0.2,0)+IF(AND(V296&gt;=75,V296&lt;=175,W296&gt;=65,W296&lt;110),0.17,0)+IF(AND(V296&gt;=75,V296&lt;=175,W296&gt;=110),0.12,0)+IF(AND(V296&gt;175,W296&lt;25),0.23,0)+IF(AND(V296&gt;175,W296&gt;=25,W296&lt;55),0.2,0)+IF(AND(V296&gt;175,W296&gt;=55,W296&lt;95),0.17,0)+IF(AND(V296&gt;175,W296&gt;=95),0.12,0),
IF(AF296="DoEVs1",IF(AND(V296&lt;20,W296&lt;55),0.3,0)+IF(AND(V296&lt;20,W296&gt;=55,W296&lt;105),0.23,0)+IF(AND(V296&lt;20,W296&gt;=105),0.17,0)+IF(AND(V296&gt;=20,V296&lt;40,W296&lt;45),0.3,0)+IF(AND(V296&gt;=20,V296&lt;40,W296&gt;=45,W296&lt;95),0.23,0)+IF(AND(V296&gt;=20,V296&lt;40,W296&gt;=95,W296&lt;=150),0.17,0)+IF(AND(V296&gt;=20,V296&lt;40,W296&gt;=150),0.12,0)+IF(AND(V296&gt;=40,V296&lt;75,W296&lt;35),0.3,0)+IF(AND(V296&gt;=40,V296&lt;75,W296&gt;=35,W296&lt;75),0.23,0)+IF(AND(V296&gt;=40,V296&lt;75,W296&gt;=75,W296&lt;120),0.17,0)+IF(AND(V296&gt;=40,V296&lt;75,W296&gt;=120),0.12,0)+IF(AND(V296&gt;=75,V296&lt;175,W296&lt;35),0.3,0)+IF(AND(V296&gt;=75,V296&lt;=175,W296&gt;=35,W296&lt;65),0.23,0)+IF(AND(V296&gt;=75,V296&lt;=175,W296&gt;=65,W296&lt;110),0.17,0)+IF(AND(V296&gt;=75,V296&lt;=175,W296&gt;=110),0.12,0)+IF(AND(V296&gt;175,W296&lt;25),0.3,0)+IF(AND(V296&gt;175,W296&gt;=25,W296&lt;55),0.23,0)+IF(AND(V296&gt;175,W296&gt;=55,W296&lt;95),0.17,0)+IF(AND(V296&gt;175,W296&gt;=95),0.12,0),
IF(AF296="DoEVsu",IF(AND(V296&lt;20,W296&lt;55),0.3,0)+IF(AND(V296&lt;20,W296&gt;=55,W296&lt;105),0.23,0)+IF(AND(V296&lt;20,W296&gt;=105),0.17,0)+IF(AND(V296&gt;=20,V296&lt;40,W296&lt;45),0.3,0)+IF(AND(V296&gt;=20,V296&lt;40,W296&gt;=45,W296&lt;95),0.23,0)+IF(AND(V296&gt;=20,V296&lt;40,W296&gt;=95,W296&lt;=250),0.17,0)+IF(AND(V296&gt;=20,V296&lt;40,W296&gt;=250),0.12,0)+IF(AND(V296&gt;=40,V296&lt;75,W296&lt;35),0.3,0)+IF(AND(V296&gt;=40,V296&lt;75,W296&gt;=35,W296&lt;75),0.23,0)+IF(AND(V296&gt;=40,V296&lt;75,W296&gt;=75,W296&lt;120),0.17,0)+IF(AND(V296&gt;=40,V296&lt;75,W296&gt;=120),0.12,0)+IF(AND(V296&gt;=75,V296&lt;175,W296&lt;35),0.3,0)+IF(AND(V296&gt;=75,V296&lt;=175,W296&gt;=35,W296&lt;65),0.23,0)+IF(AND(V296&gt;=75,V296&lt;=175,W296&gt;=65,W296&lt;110),0.17,0)+IF(AND(V296&gt;=75,V296&lt;=175,W296&gt;=110),0.12,0)+IF(AND(V296&gt;175,W296&lt;25),0.3,0)+IF(AND(V296&gt;175,W296&gt;=25,W296&lt;55),0.23,0)+IF(AND(V296&gt;175,W296&gt;=55,W296&lt;95),0.17,0)+IF(AND(V296&gt;175,W296&gt;=95),0.12,0),
IF(AF296="DoEVni",IF(AND(V296&lt;20,W296&lt;55),0.3,0)+IF(AND(V296&lt;20,W296&gt;=55,W296&lt;105),0.23,0)+IF(AND(V296&lt;20,W296&gt;=105),0.17,0)+IF(AND(V296&gt;=20,V296&lt;40,W296&lt;45),0.3,0)+IF(AND(V296&gt;=20,V296&lt;40,W296&gt;=45,W296&lt;95),0.23,0)+IF(AND(V296&gt;=20,V296&lt;40,W296&gt;=95,W296&lt;=200),0.17,0)+IF(AND(V296&gt;=20,V296&lt;40,W296&gt;=200),0.12,0)+IF(AND(V296&gt;=40,V296&lt;75,W296&lt;35),0.3,0)+IF(AND(V296&gt;=40,V296&lt;75,W296&gt;=35,W296&lt;75),0.23,0)+IF(AND(V296&gt;=40,V296&lt;75,W296&gt;=75,W296&lt;120),0.17,0)+IF(AND(V296&gt;=40,V296&lt;75,W296&gt;=120),0.12,0)+IF(AND(V296&gt;=75,V296&lt;175,W296&lt;35),0.3,0)+IF(AND(V296&gt;=75,V296&lt;=175,W296&gt;=35,W296&lt;65),0.23,0)+IF(AND(V296&gt;=75,V296&lt;=175,W296&gt;=65,W296&lt;110),0.17,0)+IF(AND(V296&gt;=75,V296&lt;=175,W296&gt;=110),0.12,0)+IF(AND(V296&gt;175,W296&lt;25),0.3,0)+IF(AND(V296&gt;175,W296&gt;=25,W296&lt;55),0.23,0)+IF(AND(V296&gt;175,W296&gt;=55,W296&lt;95),0.17,0)+IF(AND(V296&gt;175,W296&gt;=95),0.12,0),
IF(AF296="DoEVLo",IF(AND(V296&lt;20,W296&lt;55),0.25,0)+IF(AND(V296&lt;20,W296&gt;=55,W296&lt;105),0.2,0)+IF(AND(V296&lt;20,W296&gt;=105),0.15,0)+IF(AND(V296&gt;=20,V296&lt;40,W296&lt;45),0.25,0)+IF(AND(V296&gt;=20,V296&lt;40,W296&gt;=45,W296&lt;95),0.2,0)+IF(AND(V296&gt;=20,V296&lt;40,W296&gt;=95),0.15,0)+IF(AND(V296&gt;=40,V296&lt;75,W296&lt;35),0.25,0)+IF(AND(V296&gt;=40,V296&lt;75,W296&gt;=35,W296&lt;75),0.2,0)+IF(AND(V296&gt;=40,V296&lt;75,W296&gt;=75,W296&lt;120),0.15,0)+IF(AND(V296&gt;=40,V296&lt;75,W296&gt;=120),0.1,0)+IF(AND(V296&gt;=75,V296&lt;175,W296&lt;35),0.25,0)+IF(AND(V296&gt;=75,V296&lt;=175,W296&gt;=35,W296&lt;65),0.2,0)+IF(AND(V296&gt;=75,V296&lt;=175,W296&gt;=65,W296&lt;110),0.15,0)+IF(AND(V296&gt;=75,V296&lt;=175,W296&gt;=110),0.1,0)+IF(AND(V296&gt;175,W296&lt;25),0.25,0)+IF(AND(V296&gt;175,W296&gt;=25,W296&lt;55),0.2,0)+IF(AND(V296&gt;175,W296&gt;=55,W296&lt;95),0.15,0)+IF(AND(V296&gt;175,W296&gt;=95),0.1,0))))))))))))))))</f>
        <v>0.3</v>
      </c>
      <c r="Y296" s="30">
        <f>IF(AG296="None",0,IF(AG296="Fix5",0.05,IF(AG296="Fix3.75",0.0375,IF(AG296="Fix10",0.1,IF(AG296="Fix3",0.03,0)))))</f>
        <v>0</v>
      </c>
      <c r="Z296" s="35">
        <f>T296-AA296-AB296</f>
        <v>373.8</v>
      </c>
      <c r="AA296" s="29">
        <f>IF(AD296="EUR",((T296-R296)*X296)*U296+(R296*X296),(T296*X296))</f>
        <v>160.19999999999999</v>
      </c>
      <c r="AB296" s="36">
        <f>IF(AD296="EUR",((T296-R296)*Y296)*U296+(R296*Y296),(T296*Y296))</f>
        <v>0</v>
      </c>
      <c r="AC296" s="37" t="b">
        <v>1</v>
      </c>
      <c r="AD296" s="37" t="s">
        <v>38</v>
      </c>
      <c r="AE296" s="37" t="s">
        <v>38</v>
      </c>
      <c r="AF296" s="37" t="str">
        <f t="array" ref="AF296">INDEX('Deal Info'!D:D, MATCH(A296,'Deal Info'!A:A, 0))</f>
        <v>DoEV</v>
      </c>
      <c r="AG296" s="38" t="str">
        <f t="array" ref="AG296">INDEX('Deal Info'!G:G, MATCH(A296,'Deal Info'!A:A, 0))</f>
        <v>None</v>
      </c>
    </row>
    <row r="297" spans="1:33" ht="14.25" hidden="1" x14ac:dyDescent="0.2">
      <c r="A297" s="18" t="str">
        <f t="array" ref="A297">IF(G297='Room Info'!$B$1, INDEX('Room Info'!$A$2:$A2446, MATCH(B297,'Room Info'!$B$2:$B2446, 0)),IF(G297='Room Info'!$C$1, INDEX('Room Info'!$A$2:$A2446, MATCH(B297,'Room Info'!$C$2:$C2446, 0)),IF(G297='Room Info'!$D$1, INDEX('Room Info'!$A$2:$A2446, MATCH(B297,'Room Info'!$D$2:$D2446, 0)),IF(G297='Room Info'!$E$1, INDEX('Room Info'!$A$2:$A2446, MATCH(B297,'Room Info'!$E$2:$E2446, 0)),IF(G297='Room Info'!$F$1, INDEX('Room Info'!$A$2:$A2446, MATCH(B297,'Room Info'!$F$2:$F2446, 0)),IF(G297='Room Info'!$H$1, INDEX('Room Info'!$A$2:$A2446, MATCH(B297,'Room Info'!$H$2:$H2446, 0)),IF(G297='Room Info'!$G$1, INDEX('Room Info'!$A$2:$A2446, MATCH(B297,'Room Info'!$G$2:$G2446, 0)))))))))</f>
        <v>SDEBA1</v>
      </c>
      <c r="B297" s="45" t="s">
        <v>114</v>
      </c>
      <c r="C297" s="46">
        <v>44916</v>
      </c>
      <c r="D297" s="46">
        <v>44946</v>
      </c>
      <c r="E297" s="47">
        <v>44927</v>
      </c>
      <c r="F297" s="48" t="s">
        <v>34</v>
      </c>
      <c r="G297" s="45" t="s">
        <v>35</v>
      </c>
      <c r="H297" s="49" t="s">
        <v>90</v>
      </c>
      <c r="I297" s="49" t="s">
        <v>44</v>
      </c>
      <c r="J297" s="70">
        <v>5</v>
      </c>
      <c r="K297" s="71">
        <v>286</v>
      </c>
      <c r="L297" s="52">
        <v>0</v>
      </c>
      <c r="M297" s="53">
        <v>19</v>
      </c>
      <c r="N297" s="28">
        <f>K297*J297</f>
        <v>1430</v>
      </c>
      <c r="O297" s="54">
        <v>2611</v>
      </c>
      <c r="P297" s="29">
        <v>9.1293706290000003</v>
      </c>
      <c r="Q297" s="55"/>
      <c r="R297" s="31">
        <f>M297+Q297</f>
        <v>19</v>
      </c>
      <c r="S297" s="56">
        <v>-90</v>
      </c>
      <c r="T297" s="32">
        <f>R297+S297+IF(F297="Without EV deal",L297,0)</f>
        <v>-71</v>
      </c>
      <c r="U297" s="57">
        <v>1</v>
      </c>
      <c r="V297" s="69">
        <v>8.8680780440414502</v>
      </c>
      <c r="W297" s="58">
        <v>75</v>
      </c>
      <c r="X297" s="30">
        <f>IF(AF297="DoEV",IF(AND(V297&lt;20,W297&lt;55),0.3,0)+IF(AND(V297&lt;20,W297&gt;=55,W297&lt;105),0.23,0)+IF(AND(V297&lt;20,W297&gt;=105),0.17,0)+IF(AND(V297&gt;=20,V297&lt;40,W297&lt;45),0.3,0)+IF(AND(V297&gt;=20,V297&lt;40,W297&gt;=45,W297&lt;95),0.23,0)+IF(AND(V297&gt;=20,V297&lt;40,W297&gt;=95),0.17,0)+IF(AND(V297&gt;=40,V297&lt;75,W297&lt;35),0.3,0)+IF(AND(V297&gt;=40,V297&lt;75,W297&gt;=35,W297&lt;75),0.23,0)+IF(AND(V297&gt;=40,V297&lt;75,W297&gt;=75,W297&lt;120),0.17,0)+IF(AND(V297&gt;=40,V297&lt;75,W297&gt;=120),0.12,0)+IF(AND(V297&gt;=75,V297&lt;175,W297&lt;35),0.3,0)+IF(AND(V297&gt;=75,V297&lt;=175,W297&gt;=35,W297&lt;65),0.23,0)+IF(AND(V297&gt;=75,V297&lt;=175,W297&gt;=65,W297&lt;110),0.17,0)+IF(AND(V297&gt;=75,V297&lt;=175,W297&gt;=110),0.12,0)+IF(AND(V297&gt;175,W297&lt;25),0.3,0)+IF(AND(V297&gt;175,W297&gt;=25,W297&lt;55),0.23,0)+IF(AND(V297&gt;175,W297&gt;=55,W297&lt;95),0.17,0)+IF(AND(V297&gt;175,W297&gt;=95),0.12,0),
IF(AF297="Fix15",0.15,
IF(AF297="Fix11.25",0.1125,
IF(AF297="Fix10",0.1,
IF(AF297="Fix9",0.09,
IF(AF297="DoEV2017",IF(AND(W297&lt;74),0.2,0)+IF(AND(W297&gt;=74),0.17,0),
IF(AF297="SF",IF(AND(V297&lt;20,W297&lt;89),0.3,0)+IF(AND(V297&lt;20,W297&gt;=89),0.25,0)+IF(AND(V297&gt;=20,V297&lt;40,W297&lt;74),0.3,0)+IF(AND(V297&gt;=20,V297&lt;40,W297&gt;=75),0.22,0)+IF(AND(V297&gt;=40,V297&lt;75,W297&lt;75),0.26,0)+IF(AND(V297&gt;=40,V297&lt;75,W297&gt;=75),0.22,0)+IF(V297&gt;=75,0.22,0),
IF(AF297="DoEVold",IF(AND(V297&lt;40,W297&lt;35),0.35,0)+IF(AND(V297&lt;40,W297&gt;=35,W297&lt;75),0.25,0)+IF(AND(V297&lt;40,W297&gt;=75),0.17,0)+IF(AND(V297&gt;=40,V297&lt;75,W297&lt;25),0.35,0)+IF(AND(V297&gt;=40,V297&lt;75,W297&gt;=25,W297&lt;65),0.25,0)+IF(AND(V297&gt;=40,V297&lt;75,W297&gt;=65,W297&lt;100),0.17,0)+IF(AND(V297&gt;=40,V297&lt;75,W297&gt;=100),0.1,0)+IF(AND(V297&gt;=75,W297&lt;25),0.35,0)+IF(AND(V297&gt;=75,W297&gt;=25,W297&lt;60),0.25,0)+IF(AND(V297&gt;=75,W297&gt;=60,W297&lt;95),0.17,0)+IF(AND(V297&gt;=75,W297&gt;=95),0.1,0),
IF(AF297="DoEVold15",IF(AND(V297&lt;=40,W297&lt;35),0.35,0)+IF(AND(V297&lt;=40,W297&gt;=35,W297&lt;75),0.25,0)+IF(AND(V297&lt;=40,W297&gt;=75,W297&lt;120),0.17,0)+IF(AND(V297&lt;=40,W297&gt;=120),0.15,0)+IF(AND(V297&gt;40,V297&lt;75,W297&lt;25),0.35,0)+IF(AND(V297&gt;=40,V297&lt;75,W297&gt;=25,W297&lt;65),0.25,0)+IF(AND(V297&gt;=40,V297&lt;75,W297&gt;=65,W297&lt;100),0.17,0)+IF(AND(V297&gt;=40,V297&lt;75,W297&gt;=100),0.1,0)+IF(AND(V297&gt;=75,W297&lt;25),0.35,0)+IF(AND(V297&gt;=75,W297&gt;=25,W297&lt;60),0.25,0)+IF(AND(V297&gt;=75,W297&gt;=60,W297&lt;95),0.17,0)+IF(AND(V297&gt;=75,W297&gt;=95),0.1,0),
IF(AF297="DoEVba",IF(AND(V297&lt;20,W297&lt;105),0.2,0)+IF(AND(V297&lt;20,W297&gt;=105),0.15,0)+IF(AND(V297&gt;=20,V297&lt;40,W297&lt;95),0.2,0)+IF(AND(V297&gt;=20,V297&lt;40,W297&gt;=95,W297&lt;150),0.15,0)+IF(AND(V297&gt;=20,V297&lt;40,W297&gt;=150),0.12,0)+IF(AND(V297&gt;=40,V297&lt;75,W297&lt;75),0.2,0)+IF(AND(V297&gt;=40,V297&lt;75,W297&gt;=75,W297&lt;120),0.15,0)+IF(AND(V297&gt;=40,V297&lt;75,W297&gt;=120),0.12,0)+IF(AND(V297&gt;=75,V297&lt;175,W297&lt;65),0.2,0)+IF(AND(V297&gt;=75,V297&lt;175,W297&gt;=65,W297&lt;110),0.15,0)+IF(AND(V297&gt;=75,V297&lt;175,W297&gt;=110),0.12,0)+IF(AND(V297&gt;=175,W297&lt;55),0.2,0)+IF(AND(V297&gt;=175,W297&gt;=55,W297&lt;95),0.15,0)+IF(AND(V297&gt;=175,W297&gt;=95),0.12,0),
IF(AF297="DoEVku",IF(AND(V297&lt;20,W297&lt;55),0.23,0)+IF(AND(V297&lt;20,W297&gt;=55,W297&lt;105),0.2,0)+IF(AND(V297&lt;20,W297&gt;=105),0.17,0)+IF(AND(V297&gt;=20,V297&lt;40,W297&lt;45),0.23,0)+IF(AND(V297&gt;=20,V297&lt;40,W297&gt;=45,W297&lt;95),0.2,0)+IF(AND(V297&gt;=20,V297&lt;40,W297&gt;=95,W297&lt;=150),0.17,0)+IF(AND(V297&gt;=20,V297&lt;40,W297&gt;=150),0.12,0)+IF(AND(V297&gt;=40,V297&lt;75,W297&lt;35),0.23,0)+IF(AND(V297&gt;=40,V297&lt;75,W297&gt;=35,W297&lt;75),0.2,0)+IF(AND(V297&gt;=40,V297&lt;75,W297&gt;=75,W297&lt;120),0.17,0)+IF(AND(V297&gt;=40,V297&lt;75,W297&gt;=120),0.12,0)+IF(AND(V297&gt;=75,V297&lt;175,W297&lt;35),0.23,0)+IF(AND(V297&gt;=75,V297&lt;=175,W297&gt;=35,W297&lt;65),0.2,0)+IF(AND(V297&gt;=75,V297&lt;=175,W297&gt;=65,W297&lt;110),0.17,0)+IF(AND(V297&gt;=75,V297&lt;=175,W297&gt;=110),0.12,0)+IF(AND(V297&gt;175,W297&lt;25),0.23,0)+IF(AND(V297&gt;175,W297&gt;=25,W297&lt;55),0.2,0)+IF(AND(V297&gt;175,W297&gt;=55,W297&lt;95),0.17,0)+IF(AND(V297&gt;175,W297&gt;=95),0.12,0),
IF(AF297="DoEVs1",IF(AND(V297&lt;20,W297&lt;55),0.3,0)+IF(AND(V297&lt;20,W297&gt;=55,W297&lt;105),0.23,0)+IF(AND(V297&lt;20,W297&gt;=105),0.17,0)+IF(AND(V297&gt;=20,V297&lt;40,W297&lt;45),0.3,0)+IF(AND(V297&gt;=20,V297&lt;40,W297&gt;=45,W297&lt;95),0.23,0)+IF(AND(V297&gt;=20,V297&lt;40,W297&gt;=95,W297&lt;=150),0.17,0)+IF(AND(V297&gt;=20,V297&lt;40,W297&gt;=150),0.12,0)+IF(AND(V297&gt;=40,V297&lt;75,W297&lt;35),0.3,0)+IF(AND(V297&gt;=40,V297&lt;75,W297&gt;=35,W297&lt;75),0.23,0)+IF(AND(V297&gt;=40,V297&lt;75,W297&gt;=75,W297&lt;120),0.17,0)+IF(AND(V297&gt;=40,V297&lt;75,W297&gt;=120),0.12,0)+IF(AND(V297&gt;=75,V297&lt;175,W297&lt;35),0.3,0)+IF(AND(V297&gt;=75,V297&lt;=175,W297&gt;=35,W297&lt;65),0.23,0)+IF(AND(V297&gt;=75,V297&lt;=175,W297&gt;=65,W297&lt;110),0.17,0)+IF(AND(V297&gt;=75,V297&lt;=175,W297&gt;=110),0.12,0)+IF(AND(V297&gt;175,W297&lt;25),0.3,0)+IF(AND(V297&gt;175,W297&gt;=25,W297&lt;55),0.23,0)+IF(AND(V297&gt;175,W297&gt;=55,W297&lt;95),0.17,0)+IF(AND(V297&gt;175,W297&gt;=95),0.12,0),
IF(AF297="DoEVsu",IF(AND(V297&lt;20,W297&lt;55),0.3,0)+IF(AND(V297&lt;20,W297&gt;=55,W297&lt;105),0.23,0)+IF(AND(V297&lt;20,W297&gt;=105),0.17,0)+IF(AND(V297&gt;=20,V297&lt;40,W297&lt;45),0.3,0)+IF(AND(V297&gt;=20,V297&lt;40,W297&gt;=45,W297&lt;95),0.23,0)+IF(AND(V297&gt;=20,V297&lt;40,W297&gt;=95,W297&lt;=250),0.17,0)+IF(AND(V297&gt;=20,V297&lt;40,W297&gt;=250),0.12,0)+IF(AND(V297&gt;=40,V297&lt;75,W297&lt;35),0.3,0)+IF(AND(V297&gt;=40,V297&lt;75,W297&gt;=35,W297&lt;75),0.23,0)+IF(AND(V297&gt;=40,V297&lt;75,W297&gt;=75,W297&lt;120),0.17,0)+IF(AND(V297&gt;=40,V297&lt;75,W297&gt;=120),0.12,0)+IF(AND(V297&gt;=75,V297&lt;175,W297&lt;35),0.3,0)+IF(AND(V297&gt;=75,V297&lt;=175,W297&gt;=35,W297&lt;65),0.23,0)+IF(AND(V297&gt;=75,V297&lt;=175,W297&gt;=65,W297&lt;110),0.17,0)+IF(AND(V297&gt;=75,V297&lt;=175,W297&gt;=110),0.12,0)+IF(AND(V297&gt;175,W297&lt;25),0.3,0)+IF(AND(V297&gt;175,W297&gt;=25,W297&lt;55),0.23,0)+IF(AND(V297&gt;175,W297&gt;=55,W297&lt;95),0.17,0)+IF(AND(V297&gt;175,W297&gt;=95),0.12,0),
IF(AF297="DoEVni",IF(AND(V297&lt;20,W297&lt;55),0.3,0)+IF(AND(V297&lt;20,W297&gt;=55,W297&lt;105),0.23,0)+IF(AND(V297&lt;20,W297&gt;=105),0.17,0)+IF(AND(V297&gt;=20,V297&lt;40,W297&lt;45),0.3,0)+IF(AND(V297&gt;=20,V297&lt;40,W297&gt;=45,W297&lt;95),0.23,0)+IF(AND(V297&gt;=20,V297&lt;40,W297&gt;=95,W297&lt;=200),0.17,0)+IF(AND(V297&gt;=20,V297&lt;40,W297&gt;=200),0.12,0)+IF(AND(V297&gt;=40,V297&lt;75,W297&lt;35),0.3,0)+IF(AND(V297&gt;=40,V297&lt;75,W297&gt;=35,W297&lt;75),0.23,0)+IF(AND(V297&gt;=40,V297&lt;75,W297&gt;=75,W297&lt;120),0.17,0)+IF(AND(V297&gt;=40,V297&lt;75,W297&gt;=120),0.12,0)+IF(AND(V297&gt;=75,V297&lt;175,W297&lt;35),0.3,0)+IF(AND(V297&gt;=75,V297&lt;=175,W297&gt;=35,W297&lt;65),0.23,0)+IF(AND(V297&gt;=75,V297&lt;=175,W297&gt;=65,W297&lt;110),0.17,0)+IF(AND(V297&gt;=75,V297&lt;=175,W297&gt;=110),0.12,0)+IF(AND(V297&gt;175,W297&lt;25),0.3,0)+IF(AND(V297&gt;175,W297&gt;=25,W297&lt;55),0.23,0)+IF(AND(V297&gt;175,W297&gt;=55,W297&lt;95),0.17,0)+IF(AND(V297&gt;175,W297&gt;=95),0.12,0),
IF(AF297="DoEVLo",IF(AND(V297&lt;20,W297&lt;55),0.25,0)+IF(AND(V297&lt;20,W297&gt;=55,W297&lt;105),0.2,0)+IF(AND(V297&lt;20,W297&gt;=105),0.15,0)+IF(AND(V297&gt;=20,V297&lt;40,W297&lt;45),0.25,0)+IF(AND(V297&gt;=20,V297&lt;40,W297&gt;=45,W297&lt;95),0.2,0)+IF(AND(V297&gt;=20,V297&lt;40,W297&gt;=95),0.15,0)+IF(AND(V297&gt;=40,V297&lt;75,W297&lt;35),0.25,0)+IF(AND(V297&gt;=40,V297&lt;75,W297&gt;=35,W297&lt;75),0.2,0)+IF(AND(V297&gt;=40,V297&lt;75,W297&gt;=75,W297&lt;120),0.15,0)+IF(AND(V297&gt;=40,V297&lt;75,W297&gt;=120),0.1,0)+IF(AND(V297&gt;=75,V297&lt;175,W297&lt;35),0.25,0)+IF(AND(V297&gt;=75,V297&lt;=175,W297&gt;=35,W297&lt;65),0.2,0)+IF(AND(V297&gt;=75,V297&lt;=175,W297&gt;=65,W297&lt;110),0.15,0)+IF(AND(V297&gt;=75,V297&lt;=175,W297&gt;=110),0.1,0)+IF(AND(V297&gt;175,W297&lt;25),0.25,0)+IF(AND(V297&gt;175,W297&gt;=25,W297&lt;55),0.2,0)+IF(AND(V297&gt;175,W297&gt;=55,W297&lt;95),0.15,0)+IF(AND(V297&gt;175,W297&gt;=95),0.1,0))))))))))))))))</f>
        <v>0.23</v>
      </c>
      <c r="Y297" s="30">
        <f>IF(AG297="None",0,IF(AG297="Fix5",0.05,IF(AG297="Fix3.75",0.0375,IF(AG297="Fix10",0.1,IF(AG297="Fix3",0.03,0)))))</f>
        <v>0</v>
      </c>
      <c r="Z297" s="35">
        <f>T297-AA297-AB297</f>
        <v>-54.67</v>
      </c>
      <c r="AA297" s="29">
        <f>IF(AD297="EUR",((T297-R297)*X297)*U297+(R297*X297),(T297*X297))</f>
        <v>-16.330000000000002</v>
      </c>
      <c r="AB297" s="36">
        <f>IF(AD297="EUR",((T297-R297)*Y297)*U297+(R297*Y297),(T297*Y297))</f>
        <v>0</v>
      </c>
      <c r="AC297" s="61" t="b">
        <v>1</v>
      </c>
      <c r="AD297" s="37" t="s">
        <v>38</v>
      </c>
      <c r="AE297" s="37" t="s">
        <v>38</v>
      </c>
      <c r="AF297" s="37" t="str">
        <f t="array" ref="AF297">INDEX('Deal Info'!D:D, MATCH(A297,'Deal Info'!A:A, 0))</f>
        <v>DoEV</v>
      </c>
      <c r="AG297" s="38" t="str">
        <f t="array" ref="AG297">INDEX('Deal Info'!G:G, MATCH(A297,'Deal Info'!A:A, 0))</f>
        <v>None</v>
      </c>
    </row>
    <row r="298" spans="1:33" ht="14.25" hidden="1" x14ac:dyDescent="0.2">
      <c r="A298" s="18" t="str">
        <f t="array" ref="A298">IF(G298='Room Info'!$B$1, INDEX('Room Info'!$A$2:$A2446, MATCH(B298,'Room Info'!$B$2:$B2446, 0)),IF(G298='Room Info'!$C$1, INDEX('Room Info'!$A$2:$A2446, MATCH(B298,'Room Info'!$C$2:$C2446, 0)),IF(G298='Room Info'!$D$1, INDEX('Room Info'!$A$2:$A2446, MATCH(B298,'Room Info'!$D$2:$D2446, 0)),IF(G298='Room Info'!$E$1, INDEX('Room Info'!$A$2:$A2446, MATCH(B298,'Room Info'!$E$2:$E2446, 0)),IF(G298='Room Info'!$F$1, INDEX('Room Info'!$A$2:$A2446, MATCH(B298,'Room Info'!$F$2:$F2446, 0)),IF(G298='Room Info'!$H$1, INDEX('Room Info'!$A$2:$A2446, MATCH(B298,'Room Info'!$H$2:$H2446, 0)),IF(G298='Room Info'!$G$1, INDEX('Room Info'!$A$2:$A2446, MATCH(B298,'Room Info'!$G$2:$G2446, 0)))))))))</f>
        <v>SDEBA1</v>
      </c>
      <c r="B298" s="45" t="s">
        <v>114</v>
      </c>
      <c r="C298" s="46">
        <v>44916</v>
      </c>
      <c r="D298" s="46">
        <v>44946</v>
      </c>
      <c r="E298" s="47">
        <v>44927</v>
      </c>
      <c r="F298" s="48" t="s">
        <v>34</v>
      </c>
      <c r="G298" s="45" t="s">
        <v>35</v>
      </c>
      <c r="H298" s="49" t="s">
        <v>40</v>
      </c>
      <c r="I298" s="49" t="s">
        <v>37</v>
      </c>
      <c r="J298" s="70">
        <v>10</v>
      </c>
      <c r="K298" s="71">
        <v>654</v>
      </c>
      <c r="L298" s="52">
        <v>310</v>
      </c>
      <c r="M298" s="53">
        <v>76</v>
      </c>
      <c r="N298" s="28">
        <f>K298*J298</f>
        <v>6540</v>
      </c>
      <c r="O298" s="54">
        <v>16753</v>
      </c>
      <c r="P298" s="29">
        <v>25.61620795</v>
      </c>
      <c r="Q298" s="55"/>
      <c r="R298" s="31">
        <f>M298+Q298</f>
        <v>76</v>
      </c>
      <c r="S298" s="56">
        <v>-173</v>
      </c>
      <c r="T298" s="32">
        <f>R298+S298+IF(F298="Without EV deal",L298,0)</f>
        <v>-97</v>
      </c>
      <c r="U298" s="57">
        <v>1</v>
      </c>
      <c r="V298" s="69">
        <v>8.8680780440414502</v>
      </c>
      <c r="W298" s="58">
        <v>75</v>
      </c>
      <c r="X298" s="30">
        <f>IF(AF298="DoEV",IF(AND(V298&lt;20,W298&lt;55),0.3,0)+IF(AND(V298&lt;20,W298&gt;=55,W298&lt;105),0.23,0)+IF(AND(V298&lt;20,W298&gt;=105),0.17,0)+IF(AND(V298&gt;=20,V298&lt;40,W298&lt;45),0.3,0)+IF(AND(V298&gt;=20,V298&lt;40,W298&gt;=45,W298&lt;95),0.23,0)+IF(AND(V298&gt;=20,V298&lt;40,W298&gt;=95),0.17,0)+IF(AND(V298&gt;=40,V298&lt;75,W298&lt;35),0.3,0)+IF(AND(V298&gt;=40,V298&lt;75,W298&gt;=35,W298&lt;75),0.23,0)+IF(AND(V298&gt;=40,V298&lt;75,W298&gt;=75,W298&lt;120),0.17,0)+IF(AND(V298&gt;=40,V298&lt;75,W298&gt;=120),0.12,0)+IF(AND(V298&gt;=75,V298&lt;175,W298&lt;35),0.3,0)+IF(AND(V298&gt;=75,V298&lt;=175,W298&gt;=35,W298&lt;65),0.23,0)+IF(AND(V298&gt;=75,V298&lt;=175,W298&gt;=65,W298&lt;110),0.17,0)+IF(AND(V298&gt;=75,V298&lt;=175,W298&gt;=110),0.12,0)+IF(AND(V298&gt;175,W298&lt;25),0.3,0)+IF(AND(V298&gt;175,W298&gt;=25,W298&lt;55),0.23,0)+IF(AND(V298&gt;175,W298&gt;=55,W298&lt;95),0.17,0)+IF(AND(V298&gt;175,W298&gt;=95),0.12,0),
IF(AF298="Fix15",0.15,
IF(AF298="Fix11.25",0.1125,
IF(AF298="Fix10",0.1,
IF(AF298="Fix9",0.09,
IF(AF298="DoEV2017",IF(AND(W298&lt;74),0.2,0)+IF(AND(W298&gt;=74),0.17,0),
IF(AF298="SF",IF(AND(V298&lt;20,W298&lt;89),0.3,0)+IF(AND(V298&lt;20,W298&gt;=89),0.25,0)+IF(AND(V298&gt;=20,V298&lt;40,W298&lt;74),0.3,0)+IF(AND(V298&gt;=20,V298&lt;40,W298&gt;=75),0.22,0)+IF(AND(V298&gt;=40,V298&lt;75,W298&lt;75),0.26,0)+IF(AND(V298&gt;=40,V298&lt;75,W298&gt;=75),0.22,0)+IF(V298&gt;=75,0.22,0),
IF(AF298="DoEVold",IF(AND(V298&lt;40,W298&lt;35),0.35,0)+IF(AND(V298&lt;40,W298&gt;=35,W298&lt;75),0.25,0)+IF(AND(V298&lt;40,W298&gt;=75),0.17,0)+IF(AND(V298&gt;=40,V298&lt;75,W298&lt;25),0.35,0)+IF(AND(V298&gt;=40,V298&lt;75,W298&gt;=25,W298&lt;65),0.25,0)+IF(AND(V298&gt;=40,V298&lt;75,W298&gt;=65,W298&lt;100),0.17,0)+IF(AND(V298&gt;=40,V298&lt;75,W298&gt;=100),0.1,0)+IF(AND(V298&gt;=75,W298&lt;25),0.35,0)+IF(AND(V298&gt;=75,W298&gt;=25,W298&lt;60),0.25,0)+IF(AND(V298&gt;=75,W298&gt;=60,W298&lt;95),0.17,0)+IF(AND(V298&gt;=75,W298&gt;=95),0.1,0),
IF(AF298="DoEVold15",IF(AND(V298&lt;=40,W298&lt;35),0.35,0)+IF(AND(V298&lt;=40,W298&gt;=35,W298&lt;75),0.25,0)+IF(AND(V298&lt;=40,W298&gt;=75,W298&lt;120),0.17,0)+IF(AND(V298&lt;=40,W298&gt;=120),0.15,0)+IF(AND(V298&gt;40,V298&lt;75,W298&lt;25),0.35,0)+IF(AND(V298&gt;=40,V298&lt;75,W298&gt;=25,W298&lt;65),0.25,0)+IF(AND(V298&gt;=40,V298&lt;75,W298&gt;=65,W298&lt;100),0.17,0)+IF(AND(V298&gt;=40,V298&lt;75,W298&gt;=100),0.1,0)+IF(AND(V298&gt;=75,W298&lt;25),0.35,0)+IF(AND(V298&gt;=75,W298&gt;=25,W298&lt;60),0.25,0)+IF(AND(V298&gt;=75,W298&gt;=60,W298&lt;95),0.17,0)+IF(AND(V298&gt;=75,W298&gt;=95),0.1,0),
IF(AF298="DoEVba",IF(AND(V298&lt;20,W298&lt;105),0.2,0)+IF(AND(V298&lt;20,W298&gt;=105),0.15,0)+IF(AND(V298&gt;=20,V298&lt;40,W298&lt;95),0.2,0)+IF(AND(V298&gt;=20,V298&lt;40,W298&gt;=95,W298&lt;150),0.15,0)+IF(AND(V298&gt;=20,V298&lt;40,W298&gt;=150),0.12,0)+IF(AND(V298&gt;=40,V298&lt;75,W298&lt;75),0.2,0)+IF(AND(V298&gt;=40,V298&lt;75,W298&gt;=75,W298&lt;120),0.15,0)+IF(AND(V298&gt;=40,V298&lt;75,W298&gt;=120),0.12,0)+IF(AND(V298&gt;=75,V298&lt;175,W298&lt;65),0.2,0)+IF(AND(V298&gt;=75,V298&lt;175,W298&gt;=65,W298&lt;110),0.15,0)+IF(AND(V298&gt;=75,V298&lt;175,W298&gt;=110),0.12,0)+IF(AND(V298&gt;=175,W298&lt;55),0.2,0)+IF(AND(V298&gt;=175,W298&gt;=55,W298&lt;95),0.15,0)+IF(AND(V298&gt;=175,W298&gt;=95),0.12,0),
IF(AF298="DoEVku",IF(AND(V298&lt;20,W298&lt;55),0.23,0)+IF(AND(V298&lt;20,W298&gt;=55,W298&lt;105),0.2,0)+IF(AND(V298&lt;20,W298&gt;=105),0.17,0)+IF(AND(V298&gt;=20,V298&lt;40,W298&lt;45),0.23,0)+IF(AND(V298&gt;=20,V298&lt;40,W298&gt;=45,W298&lt;95),0.2,0)+IF(AND(V298&gt;=20,V298&lt;40,W298&gt;=95,W298&lt;=150),0.17,0)+IF(AND(V298&gt;=20,V298&lt;40,W298&gt;=150),0.12,0)+IF(AND(V298&gt;=40,V298&lt;75,W298&lt;35),0.23,0)+IF(AND(V298&gt;=40,V298&lt;75,W298&gt;=35,W298&lt;75),0.2,0)+IF(AND(V298&gt;=40,V298&lt;75,W298&gt;=75,W298&lt;120),0.17,0)+IF(AND(V298&gt;=40,V298&lt;75,W298&gt;=120),0.12,0)+IF(AND(V298&gt;=75,V298&lt;175,W298&lt;35),0.23,0)+IF(AND(V298&gt;=75,V298&lt;=175,W298&gt;=35,W298&lt;65),0.2,0)+IF(AND(V298&gt;=75,V298&lt;=175,W298&gt;=65,W298&lt;110),0.17,0)+IF(AND(V298&gt;=75,V298&lt;=175,W298&gt;=110),0.12,0)+IF(AND(V298&gt;175,W298&lt;25),0.23,0)+IF(AND(V298&gt;175,W298&gt;=25,W298&lt;55),0.2,0)+IF(AND(V298&gt;175,W298&gt;=55,W298&lt;95),0.17,0)+IF(AND(V298&gt;175,W298&gt;=95),0.12,0),
IF(AF298="DoEVs1",IF(AND(V298&lt;20,W298&lt;55),0.3,0)+IF(AND(V298&lt;20,W298&gt;=55,W298&lt;105),0.23,0)+IF(AND(V298&lt;20,W298&gt;=105),0.17,0)+IF(AND(V298&gt;=20,V298&lt;40,W298&lt;45),0.3,0)+IF(AND(V298&gt;=20,V298&lt;40,W298&gt;=45,W298&lt;95),0.23,0)+IF(AND(V298&gt;=20,V298&lt;40,W298&gt;=95,W298&lt;=150),0.17,0)+IF(AND(V298&gt;=20,V298&lt;40,W298&gt;=150),0.12,0)+IF(AND(V298&gt;=40,V298&lt;75,W298&lt;35),0.3,0)+IF(AND(V298&gt;=40,V298&lt;75,W298&gt;=35,W298&lt;75),0.23,0)+IF(AND(V298&gt;=40,V298&lt;75,W298&gt;=75,W298&lt;120),0.17,0)+IF(AND(V298&gt;=40,V298&lt;75,W298&gt;=120),0.12,0)+IF(AND(V298&gt;=75,V298&lt;175,W298&lt;35),0.3,0)+IF(AND(V298&gt;=75,V298&lt;=175,W298&gt;=35,W298&lt;65),0.23,0)+IF(AND(V298&gt;=75,V298&lt;=175,W298&gt;=65,W298&lt;110),0.17,0)+IF(AND(V298&gt;=75,V298&lt;=175,W298&gt;=110),0.12,0)+IF(AND(V298&gt;175,W298&lt;25),0.3,0)+IF(AND(V298&gt;175,W298&gt;=25,W298&lt;55),0.23,0)+IF(AND(V298&gt;175,W298&gt;=55,W298&lt;95),0.17,0)+IF(AND(V298&gt;175,W298&gt;=95),0.12,0),
IF(AF298="DoEVsu",IF(AND(V298&lt;20,W298&lt;55),0.3,0)+IF(AND(V298&lt;20,W298&gt;=55,W298&lt;105),0.23,0)+IF(AND(V298&lt;20,W298&gt;=105),0.17,0)+IF(AND(V298&gt;=20,V298&lt;40,W298&lt;45),0.3,0)+IF(AND(V298&gt;=20,V298&lt;40,W298&gt;=45,W298&lt;95),0.23,0)+IF(AND(V298&gt;=20,V298&lt;40,W298&gt;=95,W298&lt;=250),0.17,0)+IF(AND(V298&gt;=20,V298&lt;40,W298&gt;=250),0.12,0)+IF(AND(V298&gt;=40,V298&lt;75,W298&lt;35),0.3,0)+IF(AND(V298&gt;=40,V298&lt;75,W298&gt;=35,W298&lt;75),0.23,0)+IF(AND(V298&gt;=40,V298&lt;75,W298&gt;=75,W298&lt;120),0.17,0)+IF(AND(V298&gt;=40,V298&lt;75,W298&gt;=120),0.12,0)+IF(AND(V298&gt;=75,V298&lt;175,W298&lt;35),0.3,0)+IF(AND(V298&gt;=75,V298&lt;=175,W298&gt;=35,W298&lt;65),0.23,0)+IF(AND(V298&gt;=75,V298&lt;=175,W298&gt;=65,W298&lt;110),0.17,0)+IF(AND(V298&gt;=75,V298&lt;=175,W298&gt;=110),0.12,0)+IF(AND(V298&gt;175,W298&lt;25),0.3,0)+IF(AND(V298&gt;175,W298&gt;=25,W298&lt;55),0.23,0)+IF(AND(V298&gt;175,W298&gt;=55,W298&lt;95),0.17,0)+IF(AND(V298&gt;175,W298&gt;=95),0.12,0),
IF(AF298="DoEVni",IF(AND(V298&lt;20,W298&lt;55),0.3,0)+IF(AND(V298&lt;20,W298&gt;=55,W298&lt;105),0.23,0)+IF(AND(V298&lt;20,W298&gt;=105),0.17,0)+IF(AND(V298&gt;=20,V298&lt;40,W298&lt;45),0.3,0)+IF(AND(V298&gt;=20,V298&lt;40,W298&gt;=45,W298&lt;95),0.23,0)+IF(AND(V298&gt;=20,V298&lt;40,W298&gt;=95,W298&lt;=200),0.17,0)+IF(AND(V298&gt;=20,V298&lt;40,W298&gt;=200),0.12,0)+IF(AND(V298&gt;=40,V298&lt;75,W298&lt;35),0.3,0)+IF(AND(V298&gt;=40,V298&lt;75,W298&gt;=35,W298&lt;75),0.23,0)+IF(AND(V298&gt;=40,V298&lt;75,W298&gt;=75,W298&lt;120),0.17,0)+IF(AND(V298&gt;=40,V298&lt;75,W298&gt;=120),0.12,0)+IF(AND(V298&gt;=75,V298&lt;175,W298&lt;35),0.3,0)+IF(AND(V298&gt;=75,V298&lt;=175,W298&gt;=35,W298&lt;65),0.23,0)+IF(AND(V298&gt;=75,V298&lt;=175,W298&gt;=65,W298&lt;110),0.17,0)+IF(AND(V298&gt;=75,V298&lt;=175,W298&gt;=110),0.12,0)+IF(AND(V298&gt;175,W298&lt;25),0.3,0)+IF(AND(V298&gt;175,W298&gt;=25,W298&lt;55),0.23,0)+IF(AND(V298&gt;175,W298&gt;=55,W298&lt;95),0.17,0)+IF(AND(V298&gt;175,W298&gt;=95),0.12,0),
IF(AF298="DoEVLo",IF(AND(V298&lt;20,W298&lt;55),0.25,0)+IF(AND(V298&lt;20,W298&gt;=55,W298&lt;105),0.2,0)+IF(AND(V298&lt;20,W298&gt;=105),0.15,0)+IF(AND(V298&gt;=20,V298&lt;40,W298&lt;45),0.25,0)+IF(AND(V298&gt;=20,V298&lt;40,W298&gt;=45,W298&lt;95),0.2,0)+IF(AND(V298&gt;=20,V298&lt;40,W298&gt;=95),0.15,0)+IF(AND(V298&gt;=40,V298&lt;75,W298&lt;35),0.25,0)+IF(AND(V298&gt;=40,V298&lt;75,W298&gt;=35,W298&lt;75),0.2,0)+IF(AND(V298&gt;=40,V298&lt;75,W298&gt;=75,W298&lt;120),0.15,0)+IF(AND(V298&gt;=40,V298&lt;75,W298&gt;=120),0.1,0)+IF(AND(V298&gt;=75,V298&lt;175,W298&lt;35),0.25,0)+IF(AND(V298&gt;=75,V298&lt;=175,W298&gt;=35,W298&lt;65),0.2,0)+IF(AND(V298&gt;=75,V298&lt;=175,W298&gt;=65,W298&lt;110),0.15,0)+IF(AND(V298&gt;=75,V298&lt;=175,W298&gt;=110),0.1,0)+IF(AND(V298&gt;175,W298&lt;25),0.25,0)+IF(AND(V298&gt;175,W298&gt;=25,W298&lt;55),0.2,0)+IF(AND(V298&gt;175,W298&gt;=55,W298&lt;95),0.15,0)+IF(AND(V298&gt;175,W298&gt;=95),0.1,0))))))))))))))))</f>
        <v>0.23</v>
      </c>
      <c r="Y298" s="30">
        <f>IF(AG298="None",0,IF(AG298="Fix5",0.05,IF(AG298="Fix3.75",0.0375,IF(AG298="Fix10",0.1,IF(AG298="Fix3",0.03,0)))))</f>
        <v>0</v>
      </c>
      <c r="Z298" s="35">
        <f>T298-AA298-AB298</f>
        <v>-74.69</v>
      </c>
      <c r="AA298" s="29">
        <f>IF(AD298="EUR",((T298-R298)*X298)*U298+(R298*X298),(T298*X298))</f>
        <v>-22.310000000000002</v>
      </c>
      <c r="AB298" s="36">
        <f>IF(AD298="EUR",((T298-R298)*Y298)*U298+(R298*Y298),(T298*Y298))</f>
        <v>0</v>
      </c>
      <c r="AC298" s="61" t="b">
        <v>1</v>
      </c>
      <c r="AD298" s="37" t="s">
        <v>38</v>
      </c>
      <c r="AE298" s="37" t="s">
        <v>38</v>
      </c>
      <c r="AF298" s="37" t="str">
        <f t="array" ref="AF298">INDEX('Deal Info'!D:D, MATCH(A298,'Deal Info'!A:A, 0))</f>
        <v>DoEV</v>
      </c>
      <c r="AG298" s="38" t="str">
        <f t="array" ref="AG298">INDEX('Deal Info'!G:G, MATCH(A298,'Deal Info'!A:A, 0))</f>
        <v>None</v>
      </c>
    </row>
    <row r="299" spans="1:33" ht="14.25" hidden="1" x14ac:dyDescent="0.2">
      <c r="A299" s="18" t="str">
        <f t="array" ref="A299">IF(G299='Room Info'!$B$1, INDEX('Room Info'!$A$2:$A2446, MATCH(B299,'Room Info'!$B$2:$B2446, 0)),IF(G299='Room Info'!$C$1, INDEX('Room Info'!$A$2:$A2446, MATCH(B299,'Room Info'!$C$2:$C2446, 0)),IF(G299='Room Info'!$D$1, INDEX('Room Info'!$A$2:$A2446, MATCH(B299,'Room Info'!$D$2:$D2446, 0)),IF(G299='Room Info'!$E$1, INDEX('Room Info'!$A$2:$A2446, MATCH(B299,'Room Info'!$E$2:$E2446, 0)),IF(G299='Room Info'!$F$1, INDEX('Room Info'!$A$2:$A2446, MATCH(B299,'Room Info'!$F$2:$F2446, 0)),IF(G299='Room Info'!$H$1, INDEX('Room Info'!$A$2:$A2446, MATCH(B299,'Room Info'!$H$2:$H2446, 0)),IF(G299='Room Info'!$G$1, INDEX('Room Info'!$A$2:$A2446, MATCH(B299,'Room Info'!$G$2:$G2446, 0)))))))))</f>
        <v>SDEBA1</v>
      </c>
      <c r="B299" s="45" t="s">
        <v>114</v>
      </c>
      <c r="C299" s="46">
        <v>44916</v>
      </c>
      <c r="D299" s="46">
        <v>44946</v>
      </c>
      <c r="E299" s="47">
        <v>44927</v>
      </c>
      <c r="F299" s="48" t="s">
        <v>34</v>
      </c>
      <c r="G299" s="45" t="s">
        <v>35</v>
      </c>
      <c r="H299" s="49" t="s">
        <v>115</v>
      </c>
      <c r="I299" s="49" t="s">
        <v>44</v>
      </c>
      <c r="J299" s="70">
        <v>10</v>
      </c>
      <c r="K299" s="71">
        <v>1118</v>
      </c>
      <c r="L299" s="52">
        <v>-1120</v>
      </c>
      <c r="M299" s="53">
        <v>130</v>
      </c>
      <c r="N299" s="28">
        <f>K299*J299</f>
        <v>11180</v>
      </c>
      <c r="O299" s="54">
        <v>15227</v>
      </c>
      <c r="P299" s="29">
        <v>13.619856889999999</v>
      </c>
      <c r="Q299" s="55"/>
      <c r="R299" s="31">
        <f>M299+Q299</f>
        <v>130</v>
      </c>
      <c r="S299" s="56">
        <v>-349</v>
      </c>
      <c r="T299" s="32">
        <f>R299+S299+IF(F299="Without EV deal",L299,0)</f>
        <v>-219</v>
      </c>
      <c r="U299" s="57">
        <v>1</v>
      </c>
      <c r="V299" s="69">
        <v>8.8680780440414502</v>
      </c>
      <c r="W299" s="58">
        <v>75</v>
      </c>
      <c r="X299" s="30">
        <f>IF(AF299="DoEV",IF(AND(V299&lt;20,W299&lt;55),0.3,0)+IF(AND(V299&lt;20,W299&gt;=55,W299&lt;105),0.23,0)+IF(AND(V299&lt;20,W299&gt;=105),0.17,0)+IF(AND(V299&gt;=20,V299&lt;40,W299&lt;45),0.3,0)+IF(AND(V299&gt;=20,V299&lt;40,W299&gt;=45,W299&lt;95),0.23,0)+IF(AND(V299&gt;=20,V299&lt;40,W299&gt;=95),0.17,0)+IF(AND(V299&gt;=40,V299&lt;75,W299&lt;35),0.3,0)+IF(AND(V299&gt;=40,V299&lt;75,W299&gt;=35,W299&lt;75),0.23,0)+IF(AND(V299&gt;=40,V299&lt;75,W299&gt;=75,W299&lt;120),0.17,0)+IF(AND(V299&gt;=40,V299&lt;75,W299&gt;=120),0.12,0)+IF(AND(V299&gt;=75,V299&lt;175,W299&lt;35),0.3,0)+IF(AND(V299&gt;=75,V299&lt;=175,W299&gt;=35,W299&lt;65),0.23,0)+IF(AND(V299&gt;=75,V299&lt;=175,W299&gt;=65,W299&lt;110),0.17,0)+IF(AND(V299&gt;=75,V299&lt;=175,W299&gt;=110),0.12,0)+IF(AND(V299&gt;175,W299&lt;25),0.3,0)+IF(AND(V299&gt;175,W299&gt;=25,W299&lt;55),0.23,0)+IF(AND(V299&gt;175,W299&gt;=55,W299&lt;95),0.17,0)+IF(AND(V299&gt;175,W299&gt;=95),0.12,0),
IF(AF299="Fix15",0.15,
IF(AF299="Fix11.25",0.1125,
IF(AF299="Fix10",0.1,
IF(AF299="Fix9",0.09,
IF(AF299="DoEV2017",IF(AND(W299&lt;74),0.2,0)+IF(AND(W299&gt;=74),0.17,0),
IF(AF299="SF",IF(AND(V299&lt;20,W299&lt;89),0.3,0)+IF(AND(V299&lt;20,W299&gt;=89),0.25,0)+IF(AND(V299&gt;=20,V299&lt;40,W299&lt;74),0.3,0)+IF(AND(V299&gt;=20,V299&lt;40,W299&gt;=75),0.22,0)+IF(AND(V299&gt;=40,V299&lt;75,W299&lt;75),0.26,0)+IF(AND(V299&gt;=40,V299&lt;75,W299&gt;=75),0.22,0)+IF(V299&gt;=75,0.22,0),
IF(AF299="DoEVold",IF(AND(V299&lt;40,W299&lt;35),0.35,0)+IF(AND(V299&lt;40,W299&gt;=35,W299&lt;75),0.25,0)+IF(AND(V299&lt;40,W299&gt;=75),0.17,0)+IF(AND(V299&gt;=40,V299&lt;75,W299&lt;25),0.35,0)+IF(AND(V299&gt;=40,V299&lt;75,W299&gt;=25,W299&lt;65),0.25,0)+IF(AND(V299&gt;=40,V299&lt;75,W299&gt;=65,W299&lt;100),0.17,0)+IF(AND(V299&gt;=40,V299&lt;75,W299&gt;=100),0.1,0)+IF(AND(V299&gt;=75,W299&lt;25),0.35,0)+IF(AND(V299&gt;=75,W299&gt;=25,W299&lt;60),0.25,0)+IF(AND(V299&gt;=75,W299&gt;=60,W299&lt;95),0.17,0)+IF(AND(V299&gt;=75,W299&gt;=95),0.1,0),
IF(AF299="DoEVold15",IF(AND(V299&lt;=40,W299&lt;35),0.35,0)+IF(AND(V299&lt;=40,W299&gt;=35,W299&lt;75),0.25,0)+IF(AND(V299&lt;=40,W299&gt;=75,W299&lt;120),0.17,0)+IF(AND(V299&lt;=40,W299&gt;=120),0.15,0)+IF(AND(V299&gt;40,V299&lt;75,W299&lt;25),0.35,0)+IF(AND(V299&gt;=40,V299&lt;75,W299&gt;=25,W299&lt;65),0.25,0)+IF(AND(V299&gt;=40,V299&lt;75,W299&gt;=65,W299&lt;100),0.17,0)+IF(AND(V299&gt;=40,V299&lt;75,W299&gt;=100),0.1,0)+IF(AND(V299&gt;=75,W299&lt;25),0.35,0)+IF(AND(V299&gt;=75,W299&gt;=25,W299&lt;60),0.25,0)+IF(AND(V299&gt;=75,W299&gt;=60,W299&lt;95),0.17,0)+IF(AND(V299&gt;=75,W299&gt;=95),0.1,0),
IF(AF299="DoEVba",IF(AND(V299&lt;20,W299&lt;105),0.2,0)+IF(AND(V299&lt;20,W299&gt;=105),0.15,0)+IF(AND(V299&gt;=20,V299&lt;40,W299&lt;95),0.2,0)+IF(AND(V299&gt;=20,V299&lt;40,W299&gt;=95,W299&lt;150),0.15,0)+IF(AND(V299&gt;=20,V299&lt;40,W299&gt;=150),0.12,0)+IF(AND(V299&gt;=40,V299&lt;75,W299&lt;75),0.2,0)+IF(AND(V299&gt;=40,V299&lt;75,W299&gt;=75,W299&lt;120),0.15,0)+IF(AND(V299&gt;=40,V299&lt;75,W299&gt;=120),0.12,0)+IF(AND(V299&gt;=75,V299&lt;175,W299&lt;65),0.2,0)+IF(AND(V299&gt;=75,V299&lt;175,W299&gt;=65,W299&lt;110),0.15,0)+IF(AND(V299&gt;=75,V299&lt;175,W299&gt;=110),0.12,0)+IF(AND(V299&gt;=175,W299&lt;55),0.2,0)+IF(AND(V299&gt;=175,W299&gt;=55,W299&lt;95),0.15,0)+IF(AND(V299&gt;=175,W299&gt;=95),0.12,0),
IF(AF299="DoEVku",IF(AND(V299&lt;20,W299&lt;55),0.23,0)+IF(AND(V299&lt;20,W299&gt;=55,W299&lt;105),0.2,0)+IF(AND(V299&lt;20,W299&gt;=105),0.17,0)+IF(AND(V299&gt;=20,V299&lt;40,W299&lt;45),0.23,0)+IF(AND(V299&gt;=20,V299&lt;40,W299&gt;=45,W299&lt;95),0.2,0)+IF(AND(V299&gt;=20,V299&lt;40,W299&gt;=95,W299&lt;=150),0.17,0)+IF(AND(V299&gt;=20,V299&lt;40,W299&gt;=150),0.12,0)+IF(AND(V299&gt;=40,V299&lt;75,W299&lt;35),0.23,0)+IF(AND(V299&gt;=40,V299&lt;75,W299&gt;=35,W299&lt;75),0.2,0)+IF(AND(V299&gt;=40,V299&lt;75,W299&gt;=75,W299&lt;120),0.17,0)+IF(AND(V299&gt;=40,V299&lt;75,W299&gt;=120),0.12,0)+IF(AND(V299&gt;=75,V299&lt;175,W299&lt;35),0.23,0)+IF(AND(V299&gt;=75,V299&lt;=175,W299&gt;=35,W299&lt;65),0.2,0)+IF(AND(V299&gt;=75,V299&lt;=175,W299&gt;=65,W299&lt;110),0.17,0)+IF(AND(V299&gt;=75,V299&lt;=175,W299&gt;=110),0.12,0)+IF(AND(V299&gt;175,W299&lt;25),0.23,0)+IF(AND(V299&gt;175,W299&gt;=25,W299&lt;55),0.2,0)+IF(AND(V299&gt;175,W299&gt;=55,W299&lt;95),0.17,0)+IF(AND(V299&gt;175,W299&gt;=95),0.12,0),
IF(AF299="DoEVs1",IF(AND(V299&lt;20,W299&lt;55),0.3,0)+IF(AND(V299&lt;20,W299&gt;=55,W299&lt;105),0.23,0)+IF(AND(V299&lt;20,W299&gt;=105),0.17,0)+IF(AND(V299&gt;=20,V299&lt;40,W299&lt;45),0.3,0)+IF(AND(V299&gt;=20,V299&lt;40,W299&gt;=45,W299&lt;95),0.23,0)+IF(AND(V299&gt;=20,V299&lt;40,W299&gt;=95,W299&lt;=150),0.17,0)+IF(AND(V299&gt;=20,V299&lt;40,W299&gt;=150),0.12,0)+IF(AND(V299&gt;=40,V299&lt;75,W299&lt;35),0.3,0)+IF(AND(V299&gt;=40,V299&lt;75,W299&gt;=35,W299&lt;75),0.23,0)+IF(AND(V299&gt;=40,V299&lt;75,W299&gt;=75,W299&lt;120),0.17,0)+IF(AND(V299&gt;=40,V299&lt;75,W299&gt;=120),0.12,0)+IF(AND(V299&gt;=75,V299&lt;175,W299&lt;35),0.3,0)+IF(AND(V299&gt;=75,V299&lt;=175,W299&gt;=35,W299&lt;65),0.23,0)+IF(AND(V299&gt;=75,V299&lt;=175,W299&gt;=65,W299&lt;110),0.17,0)+IF(AND(V299&gt;=75,V299&lt;=175,W299&gt;=110),0.12,0)+IF(AND(V299&gt;175,W299&lt;25),0.3,0)+IF(AND(V299&gt;175,W299&gt;=25,W299&lt;55),0.23,0)+IF(AND(V299&gt;175,W299&gt;=55,W299&lt;95),0.17,0)+IF(AND(V299&gt;175,W299&gt;=95),0.12,0),
IF(AF299="DoEVsu",IF(AND(V299&lt;20,W299&lt;55),0.3,0)+IF(AND(V299&lt;20,W299&gt;=55,W299&lt;105),0.23,0)+IF(AND(V299&lt;20,W299&gt;=105),0.17,0)+IF(AND(V299&gt;=20,V299&lt;40,W299&lt;45),0.3,0)+IF(AND(V299&gt;=20,V299&lt;40,W299&gt;=45,W299&lt;95),0.23,0)+IF(AND(V299&gt;=20,V299&lt;40,W299&gt;=95,W299&lt;=250),0.17,0)+IF(AND(V299&gt;=20,V299&lt;40,W299&gt;=250),0.12,0)+IF(AND(V299&gt;=40,V299&lt;75,W299&lt;35),0.3,0)+IF(AND(V299&gt;=40,V299&lt;75,W299&gt;=35,W299&lt;75),0.23,0)+IF(AND(V299&gt;=40,V299&lt;75,W299&gt;=75,W299&lt;120),0.17,0)+IF(AND(V299&gt;=40,V299&lt;75,W299&gt;=120),0.12,0)+IF(AND(V299&gt;=75,V299&lt;175,W299&lt;35),0.3,0)+IF(AND(V299&gt;=75,V299&lt;=175,W299&gt;=35,W299&lt;65),0.23,0)+IF(AND(V299&gt;=75,V299&lt;=175,W299&gt;=65,W299&lt;110),0.17,0)+IF(AND(V299&gt;=75,V299&lt;=175,W299&gt;=110),0.12,0)+IF(AND(V299&gt;175,W299&lt;25),0.3,0)+IF(AND(V299&gt;175,W299&gt;=25,W299&lt;55),0.23,0)+IF(AND(V299&gt;175,W299&gt;=55,W299&lt;95),0.17,0)+IF(AND(V299&gt;175,W299&gt;=95),0.12,0),
IF(AF299="DoEVni",IF(AND(V299&lt;20,W299&lt;55),0.3,0)+IF(AND(V299&lt;20,W299&gt;=55,W299&lt;105),0.23,0)+IF(AND(V299&lt;20,W299&gt;=105),0.17,0)+IF(AND(V299&gt;=20,V299&lt;40,W299&lt;45),0.3,0)+IF(AND(V299&gt;=20,V299&lt;40,W299&gt;=45,W299&lt;95),0.23,0)+IF(AND(V299&gt;=20,V299&lt;40,W299&gt;=95,W299&lt;=200),0.17,0)+IF(AND(V299&gt;=20,V299&lt;40,W299&gt;=200),0.12,0)+IF(AND(V299&gt;=40,V299&lt;75,W299&lt;35),0.3,0)+IF(AND(V299&gt;=40,V299&lt;75,W299&gt;=35,W299&lt;75),0.23,0)+IF(AND(V299&gt;=40,V299&lt;75,W299&gt;=75,W299&lt;120),0.17,0)+IF(AND(V299&gt;=40,V299&lt;75,W299&gt;=120),0.12,0)+IF(AND(V299&gt;=75,V299&lt;175,W299&lt;35),0.3,0)+IF(AND(V299&gt;=75,V299&lt;=175,W299&gt;=35,W299&lt;65),0.23,0)+IF(AND(V299&gt;=75,V299&lt;=175,W299&gt;=65,W299&lt;110),0.17,0)+IF(AND(V299&gt;=75,V299&lt;=175,W299&gt;=110),0.12,0)+IF(AND(V299&gt;175,W299&lt;25),0.3,0)+IF(AND(V299&gt;175,W299&gt;=25,W299&lt;55),0.23,0)+IF(AND(V299&gt;175,W299&gt;=55,W299&lt;95),0.17,0)+IF(AND(V299&gt;175,W299&gt;=95),0.12,0),
IF(AF299="DoEVLo",IF(AND(V299&lt;20,W299&lt;55),0.25,0)+IF(AND(V299&lt;20,W299&gt;=55,W299&lt;105),0.2,0)+IF(AND(V299&lt;20,W299&gt;=105),0.15,0)+IF(AND(V299&gt;=20,V299&lt;40,W299&lt;45),0.25,0)+IF(AND(V299&gt;=20,V299&lt;40,W299&gt;=45,W299&lt;95),0.2,0)+IF(AND(V299&gt;=20,V299&lt;40,W299&gt;=95),0.15,0)+IF(AND(V299&gt;=40,V299&lt;75,W299&lt;35),0.25,0)+IF(AND(V299&gt;=40,V299&lt;75,W299&gt;=35,W299&lt;75),0.2,0)+IF(AND(V299&gt;=40,V299&lt;75,W299&gt;=75,W299&lt;120),0.15,0)+IF(AND(V299&gt;=40,V299&lt;75,W299&gt;=120),0.1,0)+IF(AND(V299&gt;=75,V299&lt;175,W299&lt;35),0.25,0)+IF(AND(V299&gt;=75,V299&lt;=175,W299&gt;=35,W299&lt;65),0.2,0)+IF(AND(V299&gt;=75,V299&lt;=175,W299&gt;=65,W299&lt;110),0.15,0)+IF(AND(V299&gt;=75,V299&lt;=175,W299&gt;=110),0.1,0)+IF(AND(V299&gt;175,W299&lt;25),0.25,0)+IF(AND(V299&gt;175,W299&gt;=25,W299&lt;55),0.2,0)+IF(AND(V299&gt;175,W299&gt;=55,W299&lt;95),0.15,0)+IF(AND(V299&gt;175,W299&gt;=95),0.1,0))))))))))))))))</f>
        <v>0.23</v>
      </c>
      <c r="Y299" s="30">
        <f>IF(AG299="None",0,IF(AG299="Fix5",0.05,IF(AG299="Fix3.75",0.0375,IF(AG299="Fix10",0.1,IF(AG299="Fix3",0.03,0)))))</f>
        <v>0</v>
      </c>
      <c r="Z299" s="35">
        <f>T299-AA299-AB299</f>
        <v>-168.63</v>
      </c>
      <c r="AA299" s="29">
        <f>IF(AD299="EUR",((T299-R299)*X299)*U299+(R299*X299),(T299*X299))</f>
        <v>-50.370000000000005</v>
      </c>
      <c r="AB299" s="36">
        <f>IF(AD299="EUR",((T299-R299)*Y299)*U299+(R299*Y299),(T299*Y299))</f>
        <v>0</v>
      </c>
      <c r="AC299" s="61" t="b">
        <v>1</v>
      </c>
      <c r="AD299" s="37" t="s">
        <v>38</v>
      </c>
      <c r="AE299" s="37" t="s">
        <v>38</v>
      </c>
      <c r="AF299" s="37" t="str">
        <f t="array" ref="AF299">INDEX('Deal Info'!D:D, MATCH(A299,'Deal Info'!A:A, 0))</f>
        <v>DoEV</v>
      </c>
      <c r="AG299" s="38" t="str">
        <f t="array" ref="AG299">INDEX('Deal Info'!G:G, MATCH(A299,'Deal Info'!A:A, 0))</f>
        <v>None</v>
      </c>
    </row>
    <row r="300" spans="1:33" ht="14.25" hidden="1" x14ac:dyDescent="0.2">
      <c r="A300" s="18" t="str">
        <f t="array" ref="A300">IF(G300='Room Info'!$B$1, INDEX('Room Info'!$A$2:$A2446, MATCH(B300,'Room Info'!$B$2:$B2446, 0)),IF(G300='Room Info'!$C$1, INDEX('Room Info'!$A$2:$A2446, MATCH(B300,'Room Info'!$C$2:$C2446, 0)),IF(G300='Room Info'!$D$1, INDEX('Room Info'!$A$2:$A2446, MATCH(B300,'Room Info'!$D$2:$D2446, 0)),IF(G300='Room Info'!$E$1, INDEX('Room Info'!$A$2:$A2446, MATCH(B300,'Room Info'!$E$2:$E2446, 0)),IF(G300='Room Info'!$F$1, INDEX('Room Info'!$A$2:$A2446, MATCH(B300,'Room Info'!$F$2:$F2446, 0)),IF(G300='Room Info'!$H$1, INDEX('Room Info'!$A$2:$A2446, MATCH(B300,'Room Info'!$H$2:$H2446, 0)),IF(G300='Room Info'!$G$1, INDEX('Room Info'!$A$2:$A2446, MATCH(B300,'Room Info'!$G$2:$G2446, 0)))))))))</f>
        <v>SDEBA1</v>
      </c>
      <c r="B300" s="45" t="s">
        <v>114</v>
      </c>
      <c r="C300" s="46">
        <v>44916</v>
      </c>
      <c r="D300" s="46">
        <v>44946</v>
      </c>
      <c r="E300" s="47">
        <v>44927</v>
      </c>
      <c r="F300" s="48" t="s">
        <v>41</v>
      </c>
      <c r="G300" s="45" t="s">
        <v>35</v>
      </c>
      <c r="H300" s="49" t="s">
        <v>45</v>
      </c>
      <c r="I300" s="49" t="s">
        <v>37</v>
      </c>
      <c r="J300" s="70">
        <v>0.25</v>
      </c>
      <c r="K300" s="71">
        <v>2</v>
      </c>
      <c r="L300" s="52">
        <v>1</v>
      </c>
      <c r="M300" s="62"/>
      <c r="N300" s="28">
        <f>K300*J300</f>
        <v>0.5</v>
      </c>
      <c r="O300" s="65"/>
      <c r="P300" s="29">
        <v>0</v>
      </c>
      <c r="Q300" s="55"/>
      <c r="R300" s="31">
        <f>M300+Q300</f>
        <v>0</v>
      </c>
      <c r="S300" s="66"/>
      <c r="T300" s="32">
        <f>R300+S300+IF(F300="Without EV deal",L300,0)</f>
        <v>1</v>
      </c>
      <c r="U300" s="57">
        <v>1</v>
      </c>
      <c r="V300" s="69">
        <v>8.8680780440414502</v>
      </c>
      <c r="W300" s="58">
        <v>75</v>
      </c>
      <c r="X300" s="30">
        <f>IF(AF300="DoEV",IF(AND(V300&lt;20,W300&lt;55),0.3,0)+IF(AND(V300&lt;20,W300&gt;=55,W300&lt;105),0.23,0)+IF(AND(V300&lt;20,W300&gt;=105),0.17,0)+IF(AND(V300&gt;=20,V300&lt;40,W300&lt;45),0.3,0)+IF(AND(V300&gt;=20,V300&lt;40,W300&gt;=45,W300&lt;95),0.23,0)+IF(AND(V300&gt;=20,V300&lt;40,W300&gt;=95),0.17,0)+IF(AND(V300&gt;=40,V300&lt;75,W300&lt;35),0.3,0)+IF(AND(V300&gt;=40,V300&lt;75,W300&gt;=35,W300&lt;75),0.23,0)+IF(AND(V300&gt;=40,V300&lt;75,W300&gt;=75,W300&lt;120),0.17,0)+IF(AND(V300&gt;=40,V300&lt;75,W300&gt;=120),0.12,0)+IF(AND(V300&gt;=75,V300&lt;175,W300&lt;35),0.3,0)+IF(AND(V300&gt;=75,V300&lt;=175,W300&gt;=35,W300&lt;65),0.23,0)+IF(AND(V300&gt;=75,V300&lt;=175,W300&gt;=65,W300&lt;110),0.17,0)+IF(AND(V300&gt;=75,V300&lt;=175,W300&gt;=110),0.12,0)+IF(AND(V300&gt;175,W300&lt;25),0.3,0)+IF(AND(V300&gt;175,W300&gt;=25,W300&lt;55),0.23,0)+IF(AND(V300&gt;175,W300&gt;=55,W300&lt;95),0.17,0)+IF(AND(V300&gt;175,W300&gt;=95),0.12,0),
IF(AF300="Fix15",0.15,
IF(AF300="Fix11.25",0.1125,
IF(AF300="Fix10",0.1,
IF(AF300="Fix9",0.09,
IF(AF300="DoEV2017",IF(AND(W300&lt;74),0.2,0)+IF(AND(W300&gt;=74),0.17,0),
IF(AF300="SF",IF(AND(V300&lt;20,W300&lt;89),0.3,0)+IF(AND(V300&lt;20,W300&gt;=89),0.25,0)+IF(AND(V300&gt;=20,V300&lt;40,W300&lt;74),0.3,0)+IF(AND(V300&gt;=20,V300&lt;40,W300&gt;=75),0.22,0)+IF(AND(V300&gt;=40,V300&lt;75,W300&lt;75),0.26,0)+IF(AND(V300&gt;=40,V300&lt;75,W300&gt;=75),0.22,0)+IF(V300&gt;=75,0.22,0),
IF(AF300="DoEVold",IF(AND(V300&lt;40,W300&lt;35),0.35,0)+IF(AND(V300&lt;40,W300&gt;=35,W300&lt;75),0.25,0)+IF(AND(V300&lt;40,W300&gt;=75),0.17,0)+IF(AND(V300&gt;=40,V300&lt;75,W300&lt;25),0.35,0)+IF(AND(V300&gt;=40,V300&lt;75,W300&gt;=25,W300&lt;65),0.25,0)+IF(AND(V300&gt;=40,V300&lt;75,W300&gt;=65,W300&lt;100),0.17,0)+IF(AND(V300&gt;=40,V300&lt;75,W300&gt;=100),0.1,0)+IF(AND(V300&gt;=75,W300&lt;25),0.35,0)+IF(AND(V300&gt;=75,W300&gt;=25,W300&lt;60),0.25,0)+IF(AND(V300&gt;=75,W300&gt;=60,W300&lt;95),0.17,0)+IF(AND(V300&gt;=75,W300&gt;=95),0.1,0),
IF(AF300="DoEVold15",IF(AND(V300&lt;=40,W300&lt;35),0.35,0)+IF(AND(V300&lt;=40,W300&gt;=35,W300&lt;75),0.25,0)+IF(AND(V300&lt;=40,W300&gt;=75,W300&lt;120),0.17,0)+IF(AND(V300&lt;=40,W300&gt;=120),0.15,0)+IF(AND(V300&gt;40,V300&lt;75,W300&lt;25),0.35,0)+IF(AND(V300&gt;=40,V300&lt;75,W300&gt;=25,W300&lt;65),0.25,0)+IF(AND(V300&gt;=40,V300&lt;75,W300&gt;=65,W300&lt;100),0.17,0)+IF(AND(V300&gt;=40,V300&lt;75,W300&gt;=100),0.1,0)+IF(AND(V300&gt;=75,W300&lt;25),0.35,0)+IF(AND(V300&gt;=75,W300&gt;=25,W300&lt;60),0.25,0)+IF(AND(V300&gt;=75,W300&gt;=60,W300&lt;95),0.17,0)+IF(AND(V300&gt;=75,W300&gt;=95),0.1,0),
IF(AF300="DoEVba",IF(AND(V300&lt;20,W300&lt;105),0.2,0)+IF(AND(V300&lt;20,W300&gt;=105),0.15,0)+IF(AND(V300&gt;=20,V300&lt;40,W300&lt;95),0.2,0)+IF(AND(V300&gt;=20,V300&lt;40,W300&gt;=95,W300&lt;150),0.15,0)+IF(AND(V300&gt;=20,V300&lt;40,W300&gt;=150),0.12,0)+IF(AND(V300&gt;=40,V300&lt;75,W300&lt;75),0.2,0)+IF(AND(V300&gt;=40,V300&lt;75,W300&gt;=75,W300&lt;120),0.15,0)+IF(AND(V300&gt;=40,V300&lt;75,W300&gt;=120),0.12,0)+IF(AND(V300&gt;=75,V300&lt;175,W300&lt;65),0.2,0)+IF(AND(V300&gt;=75,V300&lt;175,W300&gt;=65,W300&lt;110),0.15,0)+IF(AND(V300&gt;=75,V300&lt;175,W300&gt;=110),0.12,0)+IF(AND(V300&gt;=175,W300&lt;55),0.2,0)+IF(AND(V300&gt;=175,W300&gt;=55,W300&lt;95),0.15,0)+IF(AND(V300&gt;=175,W300&gt;=95),0.12,0),
IF(AF300="DoEVku",IF(AND(V300&lt;20,W300&lt;55),0.23,0)+IF(AND(V300&lt;20,W300&gt;=55,W300&lt;105),0.2,0)+IF(AND(V300&lt;20,W300&gt;=105),0.17,0)+IF(AND(V300&gt;=20,V300&lt;40,W300&lt;45),0.23,0)+IF(AND(V300&gt;=20,V300&lt;40,W300&gt;=45,W300&lt;95),0.2,0)+IF(AND(V300&gt;=20,V300&lt;40,W300&gt;=95,W300&lt;=150),0.17,0)+IF(AND(V300&gt;=20,V300&lt;40,W300&gt;=150),0.12,0)+IF(AND(V300&gt;=40,V300&lt;75,W300&lt;35),0.23,0)+IF(AND(V300&gt;=40,V300&lt;75,W300&gt;=35,W300&lt;75),0.2,0)+IF(AND(V300&gt;=40,V300&lt;75,W300&gt;=75,W300&lt;120),0.17,0)+IF(AND(V300&gt;=40,V300&lt;75,W300&gt;=120),0.12,0)+IF(AND(V300&gt;=75,V300&lt;175,W300&lt;35),0.23,0)+IF(AND(V300&gt;=75,V300&lt;=175,W300&gt;=35,W300&lt;65),0.2,0)+IF(AND(V300&gt;=75,V300&lt;=175,W300&gt;=65,W300&lt;110),0.17,0)+IF(AND(V300&gt;=75,V300&lt;=175,W300&gt;=110),0.12,0)+IF(AND(V300&gt;175,W300&lt;25),0.23,0)+IF(AND(V300&gt;175,W300&gt;=25,W300&lt;55),0.2,0)+IF(AND(V300&gt;175,W300&gt;=55,W300&lt;95),0.17,0)+IF(AND(V300&gt;175,W300&gt;=95),0.12,0),
IF(AF300="DoEVs1",IF(AND(V300&lt;20,W300&lt;55),0.3,0)+IF(AND(V300&lt;20,W300&gt;=55,W300&lt;105),0.23,0)+IF(AND(V300&lt;20,W300&gt;=105),0.17,0)+IF(AND(V300&gt;=20,V300&lt;40,W300&lt;45),0.3,0)+IF(AND(V300&gt;=20,V300&lt;40,W300&gt;=45,W300&lt;95),0.23,0)+IF(AND(V300&gt;=20,V300&lt;40,W300&gt;=95,W300&lt;=150),0.17,0)+IF(AND(V300&gt;=20,V300&lt;40,W300&gt;=150),0.12,0)+IF(AND(V300&gt;=40,V300&lt;75,W300&lt;35),0.3,0)+IF(AND(V300&gt;=40,V300&lt;75,W300&gt;=35,W300&lt;75),0.23,0)+IF(AND(V300&gt;=40,V300&lt;75,W300&gt;=75,W300&lt;120),0.17,0)+IF(AND(V300&gt;=40,V300&lt;75,W300&gt;=120),0.12,0)+IF(AND(V300&gt;=75,V300&lt;175,W300&lt;35),0.3,0)+IF(AND(V300&gt;=75,V300&lt;=175,W300&gt;=35,W300&lt;65),0.23,0)+IF(AND(V300&gt;=75,V300&lt;=175,W300&gt;=65,W300&lt;110),0.17,0)+IF(AND(V300&gt;=75,V300&lt;=175,W300&gt;=110),0.12,0)+IF(AND(V300&gt;175,W300&lt;25),0.3,0)+IF(AND(V300&gt;175,W300&gt;=25,W300&lt;55),0.23,0)+IF(AND(V300&gt;175,W300&gt;=55,W300&lt;95),0.17,0)+IF(AND(V300&gt;175,W300&gt;=95),0.12,0),
IF(AF300="DoEVsu",IF(AND(V300&lt;20,W300&lt;55),0.3,0)+IF(AND(V300&lt;20,W300&gt;=55,W300&lt;105),0.23,0)+IF(AND(V300&lt;20,W300&gt;=105),0.17,0)+IF(AND(V300&gt;=20,V300&lt;40,W300&lt;45),0.3,0)+IF(AND(V300&gt;=20,V300&lt;40,W300&gt;=45,W300&lt;95),0.23,0)+IF(AND(V300&gt;=20,V300&lt;40,W300&gt;=95,W300&lt;=250),0.17,0)+IF(AND(V300&gt;=20,V300&lt;40,W300&gt;=250),0.12,0)+IF(AND(V300&gt;=40,V300&lt;75,W300&lt;35),0.3,0)+IF(AND(V300&gt;=40,V300&lt;75,W300&gt;=35,W300&lt;75),0.23,0)+IF(AND(V300&gt;=40,V300&lt;75,W300&gt;=75,W300&lt;120),0.17,0)+IF(AND(V300&gt;=40,V300&lt;75,W300&gt;=120),0.12,0)+IF(AND(V300&gt;=75,V300&lt;175,W300&lt;35),0.3,0)+IF(AND(V300&gt;=75,V300&lt;=175,W300&gt;=35,W300&lt;65),0.23,0)+IF(AND(V300&gt;=75,V300&lt;=175,W300&gt;=65,W300&lt;110),0.17,0)+IF(AND(V300&gt;=75,V300&lt;=175,W300&gt;=110),0.12,0)+IF(AND(V300&gt;175,W300&lt;25),0.3,0)+IF(AND(V300&gt;175,W300&gt;=25,W300&lt;55),0.23,0)+IF(AND(V300&gt;175,W300&gt;=55,W300&lt;95),0.17,0)+IF(AND(V300&gt;175,W300&gt;=95),0.12,0),
IF(AF300="DoEVni",IF(AND(V300&lt;20,W300&lt;55),0.3,0)+IF(AND(V300&lt;20,W300&gt;=55,W300&lt;105),0.23,0)+IF(AND(V300&lt;20,W300&gt;=105),0.17,0)+IF(AND(V300&gt;=20,V300&lt;40,W300&lt;45),0.3,0)+IF(AND(V300&gt;=20,V300&lt;40,W300&gt;=45,W300&lt;95),0.23,0)+IF(AND(V300&gt;=20,V300&lt;40,W300&gt;=95,W300&lt;=200),0.17,0)+IF(AND(V300&gt;=20,V300&lt;40,W300&gt;=200),0.12,0)+IF(AND(V300&gt;=40,V300&lt;75,W300&lt;35),0.3,0)+IF(AND(V300&gt;=40,V300&lt;75,W300&gt;=35,W300&lt;75),0.23,0)+IF(AND(V300&gt;=40,V300&lt;75,W300&gt;=75,W300&lt;120),0.17,0)+IF(AND(V300&gt;=40,V300&lt;75,W300&gt;=120),0.12,0)+IF(AND(V300&gt;=75,V300&lt;175,W300&lt;35),0.3,0)+IF(AND(V300&gt;=75,V300&lt;=175,W300&gt;=35,W300&lt;65),0.23,0)+IF(AND(V300&gt;=75,V300&lt;=175,W300&gt;=65,W300&lt;110),0.17,0)+IF(AND(V300&gt;=75,V300&lt;=175,W300&gt;=110),0.12,0)+IF(AND(V300&gt;175,W300&lt;25),0.3,0)+IF(AND(V300&gt;175,W300&gt;=25,W300&lt;55),0.23,0)+IF(AND(V300&gt;175,W300&gt;=55,W300&lt;95),0.17,0)+IF(AND(V300&gt;175,W300&gt;=95),0.12,0),
IF(AF300="DoEVLo",IF(AND(V300&lt;20,W300&lt;55),0.25,0)+IF(AND(V300&lt;20,W300&gt;=55,W300&lt;105),0.2,0)+IF(AND(V300&lt;20,W300&gt;=105),0.15,0)+IF(AND(V300&gt;=20,V300&lt;40,W300&lt;45),0.25,0)+IF(AND(V300&gt;=20,V300&lt;40,W300&gt;=45,W300&lt;95),0.2,0)+IF(AND(V300&gt;=20,V300&lt;40,W300&gt;=95),0.15,0)+IF(AND(V300&gt;=40,V300&lt;75,W300&lt;35),0.25,0)+IF(AND(V300&gt;=40,V300&lt;75,W300&gt;=35,W300&lt;75),0.2,0)+IF(AND(V300&gt;=40,V300&lt;75,W300&gt;=75,W300&lt;120),0.15,0)+IF(AND(V300&gt;=40,V300&lt;75,W300&gt;=120),0.1,0)+IF(AND(V300&gt;=75,V300&lt;175,W300&lt;35),0.25,0)+IF(AND(V300&gt;=75,V300&lt;=175,W300&gt;=35,W300&lt;65),0.2,0)+IF(AND(V300&gt;=75,V300&lt;=175,W300&gt;=65,W300&lt;110),0.15,0)+IF(AND(V300&gt;=75,V300&lt;=175,W300&gt;=110),0.1,0)+IF(AND(V300&gt;175,W300&lt;25),0.25,0)+IF(AND(V300&gt;175,W300&gt;=25,W300&lt;55),0.2,0)+IF(AND(V300&gt;175,W300&gt;=55,W300&lt;95),0.15,0)+IF(AND(V300&gt;175,W300&gt;=95),0.1,0))))))))))))))))</f>
        <v>0.23</v>
      </c>
      <c r="Y300" s="30">
        <f>IF(AG300="None",0,IF(AG300="Fix5",0.05,IF(AG300="Fix3.75",0.0375,IF(AG300="Fix10",0.1,IF(AG300="Fix3",0.03,0)))))</f>
        <v>0</v>
      </c>
      <c r="Z300" s="35">
        <f>T300-AA300-AB300</f>
        <v>0.77</v>
      </c>
      <c r="AA300" s="29">
        <f>IF(AD300="EUR",((T300-R300)*X300)*U300+(R300*X300),(T300*X300))</f>
        <v>0.23</v>
      </c>
      <c r="AB300" s="36">
        <f>IF(AD300="EUR",((T300-R300)*Y300)*U300+(R300*Y300),(T300*Y300))</f>
        <v>0</v>
      </c>
      <c r="AC300" s="61" t="b">
        <v>1</v>
      </c>
      <c r="AD300" s="37" t="s">
        <v>38</v>
      </c>
      <c r="AE300" s="37" t="s">
        <v>38</v>
      </c>
      <c r="AF300" s="37" t="str">
        <f t="array" ref="AF300">INDEX('Deal Info'!D:D, MATCH(A300,'Deal Info'!A:A, 0))</f>
        <v>DoEV</v>
      </c>
      <c r="AG300" s="38" t="str">
        <f t="array" ref="AG300">INDEX('Deal Info'!G:G, MATCH(A300,'Deal Info'!A:A, 0))</f>
        <v>None</v>
      </c>
    </row>
    <row r="301" spans="1:33" ht="14.25" hidden="1" x14ac:dyDescent="0.2">
      <c r="A301" s="18" t="str">
        <f t="array" ref="A301">IF(G301='Room Info'!$B$1, INDEX('Room Info'!$A$2:$A2446, MATCH(B301,'Room Info'!$B$2:$B2446, 0)),IF(G301='Room Info'!$C$1, INDEX('Room Info'!$A$2:$A2446, MATCH(B301,'Room Info'!$C$2:$C2446, 0)),IF(G301='Room Info'!$D$1, INDEX('Room Info'!$A$2:$A2446, MATCH(B301,'Room Info'!$D$2:$D2446, 0)),IF(G301='Room Info'!$E$1, INDEX('Room Info'!$A$2:$A2446, MATCH(B301,'Room Info'!$E$2:$E2446, 0)),IF(G301='Room Info'!$F$1, INDEX('Room Info'!$A$2:$A2446, MATCH(B301,'Room Info'!$F$2:$F2446, 0)),IF(G301='Room Info'!$H$1, INDEX('Room Info'!$A$2:$A2446, MATCH(B301,'Room Info'!$H$2:$H2446, 0)),IF(G301='Room Info'!$G$1, INDEX('Room Info'!$A$2:$A2446, MATCH(B301,'Room Info'!$G$2:$G2446, 0)))))))))</f>
        <v>supreme325i</v>
      </c>
      <c r="B301" s="45" t="s">
        <v>116</v>
      </c>
      <c r="C301" s="46">
        <v>44765</v>
      </c>
      <c r="D301" s="46">
        <v>44793</v>
      </c>
      <c r="E301" s="47">
        <v>44774</v>
      </c>
      <c r="F301" s="48" t="s">
        <v>34</v>
      </c>
      <c r="G301" s="45" t="s">
        <v>80</v>
      </c>
      <c r="H301" s="49" t="s">
        <v>72</v>
      </c>
      <c r="I301" s="49" t="s">
        <v>81</v>
      </c>
      <c r="J301" s="70">
        <v>50</v>
      </c>
      <c r="K301" s="71">
        <v>6744</v>
      </c>
      <c r="L301" s="52">
        <v>-11650</v>
      </c>
      <c r="M301" s="53">
        <v>17407</v>
      </c>
      <c r="N301" s="28">
        <f>K301*J301</f>
        <v>337200</v>
      </c>
      <c r="O301" s="54">
        <v>48104</v>
      </c>
      <c r="P301" s="29">
        <v>7.1328588369999997</v>
      </c>
      <c r="Q301" s="55"/>
      <c r="R301" s="31">
        <f>M301+Q301</f>
        <v>17407</v>
      </c>
      <c r="S301" s="56">
        <v>-17529</v>
      </c>
      <c r="T301" s="32">
        <f>R301+S301+IF(F301="Without EV deal",L301,0)</f>
        <v>-122</v>
      </c>
      <c r="U301" s="57">
        <v>1</v>
      </c>
      <c r="V301" s="69">
        <v>38.885570575290792</v>
      </c>
      <c r="W301" s="58">
        <v>29.97</v>
      </c>
      <c r="X301" s="30">
        <f>IF(AF301="DoEV",IF(AND(V301&lt;20,W301&lt;55),0.3,0)+IF(AND(V301&lt;20,W301&gt;=55,W301&lt;105),0.23,0)+IF(AND(V301&lt;20,W301&gt;=105),0.17,0)+IF(AND(V301&gt;=20,V301&lt;40,W301&lt;45),0.3,0)+IF(AND(V301&gt;=20,V301&lt;40,W301&gt;=45,W301&lt;95),0.23,0)+IF(AND(V301&gt;=20,V301&lt;40,W301&gt;=95),0.17,0)+IF(AND(V301&gt;=40,V301&lt;75,W301&lt;35),0.3,0)+IF(AND(V301&gt;=40,V301&lt;75,W301&gt;=35,W301&lt;75),0.23,0)+IF(AND(V301&gt;=40,V301&lt;75,W301&gt;=75,W301&lt;120),0.17,0)+IF(AND(V301&gt;=40,V301&lt;75,W301&gt;=120),0.12,0)+IF(AND(V301&gt;=75,V301&lt;175,W301&lt;35),0.3,0)+IF(AND(V301&gt;=75,V301&lt;=175,W301&gt;=35,W301&lt;65),0.23,0)+IF(AND(V301&gt;=75,V301&lt;=175,W301&gt;=65,W301&lt;110),0.17,0)+IF(AND(V301&gt;=75,V301&lt;=175,W301&gt;=110),0.12,0)+IF(AND(V301&gt;175,W301&lt;25),0.3,0)+IF(AND(V301&gt;175,W301&gt;=25,W301&lt;55),0.23,0)+IF(AND(V301&gt;175,W301&gt;=55,W301&lt;95),0.17,0)+IF(AND(V301&gt;175,W301&gt;=95),0.12,0),
IF(AF301="Fix15",0.15,
IF(AF301="Fix11.25",0.1125,
IF(AF301="Fix10",0.1,
IF(AF301="Fix9",0.09,
IF(AF301="DoEV2017",IF(AND(W301&lt;74),0.2,0)+IF(AND(W301&gt;=74),0.17,0),
IF(AF301="SF",IF(AND(V301&lt;20,W301&lt;89),0.3,0)+IF(AND(V301&lt;20,W301&gt;=89),0.25,0)+IF(AND(V301&gt;=20,V301&lt;40,W301&lt;74),0.3,0)+IF(AND(V301&gt;=20,V301&lt;40,W301&gt;=75),0.22,0)+IF(AND(V301&gt;=40,V301&lt;75,W301&lt;75),0.26,0)+IF(AND(V301&gt;=40,V301&lt;75,W301&gt;=75),0.22,0)+IF(V301&gt;=75,0.22,0),
IF(AF301="DoEVold",IF(AND(V301&lt;40,W301&lt;35),0.35,0)+IF(AND(V301&lt;40,W301&gt;=35,W301&lt;75),0.25,0)+IF(AND(V301&lt;40,W301&gt;=75),0.17,0)+IF(AND(V301&gt;=40,V301&lt;75,W301&lt;25),0.35,0)+IF(AND(V301&gt;=40,V301&lt;75,W301&gt;=25,W301&lt;65),0.25,0)+IF(AND(V301&gt;=40,V301&lt;75,W301&gt;=65,W301&lt;100),0.17,0)+IF(AND(V301&gt;=40,V301&lt;75,W301&gt;=100),0.1,0)+IF(AND(V301&gt;=75,W301&lt;25),0.35,0)+IF(AND(V301&gt;=75,W301&gt;=25,W301&lt;60),0.25,0)+IF(AND(V301&gt;=75,W301&gt;=60,W301&lt;95),0.17,0)+IF(AND(V301&gt;=75,W301&gt;=95),0.1,0),
IF(AF301="DoEVold15",IF(AND(V301&lt;=40,W301&lt;35),0.35,0)+IF(AND(V301&lt;=40,W301&gt;=35,W301&lt;75),0.25,0)+IF(AND(V301&lt;=40,W301&gt;=75,W301&lt;120),0.17,0)+IF(AND(V301&lt;=40,W301&gt;=120),0.15,0)+IF(AND(V301&gt;40,V301&lt;75,W301&lt;25),0.35,0)+IF(AND(V301&gt;=40,V301&lt;75,W301&gt;=25,W301&lt;65),0.25,0)+IF(AND(V301&gt;=40,V301&lt;75,W301&gt;=65,W301&lt;100),0.17,0)+IF(AND(V301&gt;=40,V301&lt;75,W301&gt;=100),0.1,0)+IF(AND(V301&gt;=75,W301&lt;25),0.35,0)+IF(AND(V301&gt;=75,W301&gt;=25,W301&lt;60),0.25,0)+IF(AND(V301&gt;=75,W301&gt;=60,W301&lt;95),0.17,0)+IF(AND(V301&gt;=75,W301&gt;=95),0.1,0),
IF(AF301="DoEVba",IF(AND(V301&lt;20,W301&lt;105),0.2,0)+IF(AND(V301&lt;20,W301&gt;=105),0.15,0)+IF(AND(V301&gt;=20,V301&lt;40,W301&lt;95),0.2,0)+IF(AND(V301&gt;=20,V301&lt;40,W301&gt;=95,W301&lt;150),0.15,0)+IF(AND(V301&gt;=20,V301&lt;40,W301&gt;=150),0.12,0)+IF(AND(V301&gt;=40,V301&lt;75,W301&lt;75),0.2,0)+IF(AND(V301&gt;=40,V301&lt;75,W301&gt;=75,W301&lt;120),0.15,0)+IF(AND(V301&gt;=40,V301&lt;75,W301&gt;=120),0.12,0)+IF(AND(V301&gt;=75,V301&lt;175,W301&lt;65),0.2,0)+IF(AND(V301&gt;=75,V301&lt;175,W301&gt;=65,W301&lt;110),0.15,0)+IF(AND(V301&gt;=75,V301&lt;175,W301&gt;=110),0.12,0)+IF(AND(V301&gt;=175,W301&lt;55),0.2,0)+IF(AND(V301&gt;=175,W301&gt;=55,W301&lt;95),0.15,0)+IF(AND(V301&gt;=175,W301&gt;=95),0.12,0),
IF(AF301="DoEVku",IF(AND(V301&lt;20,W301&lt;55),0.23,0)+IF(AND(V301&lt;20,W301&gt;=55,W301&lt;105),0.2,0)+IF(AND(V301&lt;20,W301&gt;=105),0.17,0)+IF(AND(V301&gt;=20,V301&lt;40,W301&lt;45),0.23,0)+IF(AND(V301&gt;=20,V301&lt;40,W301&gt;=45,W301&lt;95),0.2,0)+IF(AND(V301&gt;=20,V301&lt;40,W301&gt;=95,W301&lt;=150),0.17,0)+IF(AND(V301&gt;=20,V301&lt;40,W301&gt;=150),0.12,0)+IF(AND(V301&gt;=40,V301&lt;75,W301&lt;35),0.23,0)+IF(AND(V301&gt;=40,V301&lt;75,W301&gt;=35,W301&lt;75),0.2,0)+IF(AND(V301&gt;=40,V301&lt;75,W301&gt;=75,W301&lt;120),0.17,0)+IF(AND(V301&gt;=40,V301&lt;75,W301&gt;=120),0.12,0)+IF(AND(V301&gt;=75,V301&lt;175,W301&lt;35),0.23,0)+IF(AND(V301&gt;=75,V301&lt;=175,W301&gt;=35,W301&lt;65),0.2,0)+IF(AND(V301&gt;=75,V301&lt;=175,W301&gt;=65,W301&lt;110),0.17,0)+IF(AND(V301&gt;=75,V301&lt;=175,W301&gt;=110),0.12,0)+IF(AND(V301&gt;175,W301&lt;25),0.23,0)+IF(AND(V301&gt;175,W301&gt;=25,W301&lt;55),0.2,0)+IF(AND(V301&gt;175,W301&gt;=55,W301&lt;95),0.17,0)+IF(AND(V301&gt;175,W301&gt;=95),0.12,0),
IF(AF301="DoEVs1",IF(AND(V301&lt;20,W301&lt;55),0.3,0)+IF(AND(V301&lt;20,W301&gt;=55,W301&lt;105),0.23,0)+IF(AND(V301&lt;20,W301&gt;=105),0.17,0)+IF(AND(V301&gt;=20,V301&lt;40,W301&lt;45),0.3,0)+IF(AND(V301&gt;=20,V301&lt;40,W301&gt;=45,W301&lt;95),0.23,0)+IF(AND(V301&gt;=20,V301&lt;40,W301&gt;=95,W301&lt;=150),0.17,0)+IF(AND(V301&gt;=20,V301&lt;40,W301&gt;=150),0.12,0)+IF(AND(V301&gt;=40,V301&lt;75,W301&lt;35),0.3,0)+IF(AND(V301&gt;=40,V301&lt;75,W301&gt;=35,W301&lt;75),0.23,0)+IF(AND(V301&gt;=40,V301&lt;75,W301&gt;=75,W301&lt;120),0.17,0)+IF(AND(V301&gt;=40,V301&lt;75,W301&gt;=120),0.12,0)+IF(AND(V301&gt;=75,V301&lt;175,W301&lt;35),0.3,0)+IF(AND(V301&gt;=75,V301&lt;=175,W301&gt;=35,W301&lt;65),0.23,0)+IF(AND(V301&gt;=75,V301&lt;=175,W301&gt;=65,W301&lt;110),0.17,0)+IF(AND(V301&gt;=75,V301&lt;=175,W301&gt;=110),0.12,0)+IF(AND(V301&gt;175,W301&lt;25),0.3,0)+IF(AND(V301&gt;175,W301&gt;=25,W301&lt;55),0.23,0)+IF(AND(V301&gt;175,W301&gt;=55,W301&lt;95),0.17,0)+IF(AND(V301&gt;175,W301&gt;=95),0.12,0),
IF(AF301="DoEVsu",IF(AND(V301&lt;20,W301&lt;55),0.3,0)+IF(AND(V301&lt;20,W301&gt;=55,W301&lt;105),0.23,0)+IF(AND(V301&lt;20,W301&gt;=105),0.17,0)+IF(AND(V301&gt;=20,V301&lt;40,W301&lt;45),0.3,0)+IF(AND(V301&gt;=20,V301&lt;40,W301&gt;=45,W301&lt;95),0.23,0)+IF(AND(V301&gt;=20,V301&lt;40,W301&gt;=95,W301&lt;=250),0.17,0)+IF(AND(V301&gt;=20,V301&lt;40,W301&gt;=250),0.12,0)+IF(AND(V301&gt;=40,V301&lt;75,W301&lt;35),0.3,0)+IF(AND(V301&gt;=40,V301&lt;75,W301&gt;=35,W301&lt;75),0.23,0)+IF(AND(V301&gt;=40,V301&lt;75,W301&gt;=75,W301&lt;120),0.17,0)+IF(AND(V301&gt;=40,V301&lt;75,W301&gt;=120),0.12,0)+IF(AND(V301&gt;=75,V301&lt;175,W301&lt;35),0.3,0)+IF(AND(V301&gt;=75,V301&lt;=175,W301&gt;=35,W301&lt;65),0.23,0)+IF(AND(V301&gt;=75,V301&lt;=175,W301&gt;=65,W301&lt;110),0.17,0)+IF(AND(V301&gt;=75,V301&lt;=175,W301&gt;=110),0.12,0)+IF(AND(V301&gt;175,W301&lt;25),0.3,0)+IF(AND(V301&gt;175,W301&gt;=25,W301&lt;55),0.23,0)+IF(AND(V301&gt;175,W301&gt;=55,W301&lt;95),0.17,0)+IF(AND(V301&gt;175,W301&gt;=95),0.12,0),
IF(AF301="DoEVni",IF(AND(V301&lt;20,W301&lt;55),0.3,0)+IF(AND(V301&lt;20,W301&gt;=55,W301&lt;105),0.23,0)+IF(AND(V301&lt;20,W301&gt;=105),0.17,0)+IF(AND(V301&gt;=20,V301&lt;40,W301&lt;45),0.3,0)+IF(AND(V301&gt;=20,V301&lt;40,W301&gt;=45,W301&lt;95),0.23,0)+IF(AND(V301&gt;=20,V301&lt;40,W301&gt;=95,W301&lt;=200),0.17,0)+IF(AND(V301&gt;=20,V301&lt;40,W301&gt;=200),0.12,0)+IF(AND(V301&gt;=40,V301&lt;75,W301&lt;35),0.3,0)+IF(AND(V301&gt;=40,V301&lt;75,W301&gt;=35,W301&lt;75),0.23,0)+IF(AND(V301&gt;=40,V301&lt;75,W301&gt;=75,W301&lt;120),0.17,0)+IF(AND(V301&gt;=40,V301&lt;75,W301&gt;=120),0.12,0)+IF(AND(V301&gt;=75,V301&lt;175,W301&lt;35),0.3,0)+IF(AND(V301&gt;=75,V301&lt;=175,W301&gt;=35,W301&lt;65),0.23,0)+IF(AND(V301&gt;=75,V301&lt;=175,W301&gt;=65,W301&lt;110),0.17,0)+IF(AND(V301&gt;=75,V301&lt;=175,W301&gt;=110),0.12,0)+IF(AND(V301&gt;175,W301&lt;25),0.3,0)+IF(AND(V301&gt;175,W301&gt;=25,W301&lt;55),0.23,0)+IF(AND(V301&gt;175,W301&gt;=55,W301&lt;95),0.17,0)+IF(AND(V301&gt;175,W301&gt;=95),0.12,0),
IF(AF301="DoEVLo",IF(AND(V301&lt;20,W301&lt;55),0.25,0)+IF(AND(V301&lt;20,W301&gt;=55,W301&lt;105),0.2,0)+IF(AND(V301&lt;20,W301&gt;=105),0.15,0)+IF(AND(V301&gt;=20,V301&lt;40,W301&lt;45),0.25,0)+IF(AND(V301&gt;=20,V301&lt;40,W301&gt;=45,W301&lt;95),0.2,0)+IF(AND(V301&gt;=20,V301&lt;40,W301&gt;=95),0.15,0)+IF(AND(V301&gt;=40,V301&lt;75,W301&lt;35),0.25,0)+IF(AND(V301&gt;=40,V301&lt;75,W301&gt;=35,W301&lt;75),0.2,0)+IF(AND(V301&gt;=40,V301&lt;75,W301&gt;=75,W301&lt;120),0.15,0)+IF(AND(V301&gt;=40,V301&lt;75,W301&gt;=120),0.1,0)+IF(AND(V301&gt;=75,V301&lt;175,W301&lt;35),0.25,0)+IF(AND(V301&gt;=75,V301&lt;=175,W301&gt;=35,W301&lt;65),0.2,0)+IF(AND(V301&gt;=75,V301&lt;=175,W301&gt;=65,W301&lt;110),0.15,0)+IF(AND(V301&gt;=75,V301&lt;=175,W301&gt;=110),0.1,0)+IF(AND(V301&gt;175,W301&lt;25),0.25,0)+IF(AND(V301&gt;175,W301&gt;=25,W301&lt;55),0.2,0)+IF(AND(V301&gt;175,W301&gt;=55,W301&lt;95),0.15,0)+IF(AND(V301&gt;175,W301&gt;=95),0.1,0))))))))))))))))</f>
        <v>0.3</v>
      </c>
      <c r="Y301" s="30">
        <f>IF(AG301="None",0,IF(AG301="Fix5",0.05,IF(AG301="Fix3.75",0.0375,IF(AG301="Fix10",0.1,IF(AG301="Fix3",0.03,0)))))</f>
        <v>0</v>
      </c>
      <c r="Z301" s="35">
        <f>T301-AA301-AB301</f>
        <v>-85.4</v>
      </c>
      <c r="AA301" s="29">
        <f>IF(AD301="EUR",((T301-R301)*X301)*U301+(R301*X301),(T301*X301))</f>
        <v>-36.6</v>
      </c>
      <c r="AB301" s="36">
        <f>IF(AD301="EUR",((T301-R301)*Y301)*U301+(R301*Y301),(T301*Y301))</f>
        <v>0</v>
      </c>
      <c r="AC301" s="37" t="b">
        <v>1</v>
      </c>
      <c r="AD301" s="37" t="s">
        <v>38</v>
      </c>
      <c r="AE301" s="37" t="s">
        <v>38</v>
      </c>
      <c r="AF301" s="37" t="str">
        <f t="array" ref="AF301">INDEX('Deal Info'!D:D, MATCH(A301,'Deal Info'!A:A, 0))</f>
        <v>DoEVsu</v>
      </c>
      <c r="AG301" s="38" t="str">
        <f t="array" ref="AG301">INDEX('Deal Info'!G:G, MATCH(A301,'Deal Info'!A:A, 0))</f>
        <v>None</v>
      </c>
    </row>
    <row r="302" spans="1:33" ht="14.25" hidden="1" x14ac:dyDescent="0.2">
      <c r="A302" s="18" t="str">
        <f t="array" ref="A302">IF(G302='Room Info'!$B$1, INDEX('Room Info'!$A$2:$A2446, MATCH(B302,'Room Info'!$B$2:$B2446, 0)),IF(G302='Room Info'!$C$1, INDEX('Room Info'!$A$2:$A2446, MATCH(B302,'Room Info'!$C$2:$C2446, 0)),IF(G302='Room Info'!$D$1, INDEX('Room Info'!$A$2:$A2446, MATCH(B302,'Room Info'!$D$2:$D2446, 0)),IF(G302='Room Info'!$E$1, INDEX('Room Info'!$A$2:$A2446, MATCH(B302,'Room Info'!$E$2:$E2446, 0)),IF(G302='Room Info'!$F$1, INDEX('Room Info'!$A$2:$A2446, MATCH(B302,'Room Info'!$F$2:$F2446, 0)),IF(G302='Room Info'!$H$1, INDEX('Room Info'!$A$2:$A2446, MATCH(B302,'Room Info'!$H$2:$H2446, 0)),IF(G302='Room Info'!$G$1, INDEX('Room Info'!$A$2:$A2446, MATCH(B302,'Room Info'!$G$2:$G2446, 0)))))))))</f>
        <v>supreme325i</v>
      </c>
      <c r="B302" s="45" t="s">
        <v>116</v>
      </c>
      <c r="C302" s="46">
        <v>44794</v>
      </c>
      <c r="D302" s="46">
        <v>44824</v>
      </c>
      <c r="E302" s="47">
        <v>44805</v>
      </c>
      <c r="F302" s="48" t="s">
        <v>34</v>
      </c>
      <c r="G302" s="45" t="s">
        <v>80</v>
      </c>
      <c r="H302" s="49" t="s">
        <v>72</v>
      </c>
      <c r="I302" s="49" t="s">
        <v>81</v>
      </c>
      <c r="J302" s="70">
        <v>50</v>
      </c>
      <c r="K302" s="71">
        <v>1266</v>
      </c>
      <c r="L302" s="52">
        <v>-4850</v>
      </c>
      <c r="M302" s="53">
        <v>2109</v>
      </c>
      <c r="N302" s="28">
        <f>K302*J302</f>
        <v>63300</v>
      </c>
      <c r="O302" s="54">
        <v>4786</v>
      </c>
      <c r="P302" s="29">
        <v>3.7804107419999999</v>
      </c>
      <c r="Q302" s="55"/>
      <c r="R302" s="31">
        <f>M302+Q302</f>
        <v>2109</v>
      </c>
      <c r="S302" s="56">
        <v>-3990</v>
      </c>
      <c r="T302" s="32">
        <f>R302+S302+IF(F302="Without EV deal",L302,0)</f>
        <v>-1881</v>
      </c>
      <c r="U302" s="57">
        <v>1</v>
      </c>
      <c r="V302" s="69">
        <v>38.885570575290792</v>
      </c>
      <c r="W302" s="58">
        <v>29.97</v>
      </c>
      <c r="X302" s="30">
        <f>IF(AF302="DoEV",IF(AND(V302&lt;20,W302&lt;55),0.3,0)+IF(AND(V302&lt;20,W302&gt;=55,W302&lt;105),0.23,0)+IF(AND(V302&lt;20,W302&gt;=105),0.17,0)+IF(AND(V302&gt;=20,V302&lt;40,W302&lt;45),0.3,0)+IF(AND(V302&gt;=20,V302&lt;40,W302&gt;=45,W302&lt;95),0.23,0)+IF(AND(V302&gt;=20,V302&lt;40,W302&gt;=95),0.17,0)+IF(AND(V302&gt;=40,V302&lt;75,W302&lt;35),0.3,0)+IF(AND(V302&gt;=40,V302&lt;75,W302&gt;=35,W302&lt;75),0.23,0)+IF(AND(V302&gt;=40,V302&lt;75,W302&gt;=75,W302&lt;120),0.17,0)+IF(AND(V302&gt;=40,V302&lt;75,W302&gt;=120),0.12,0)+IF(AND(V302&gt;=75,V302&lt;175,W302&lt;35),0.3,0)+IF(AND(V302&gt;=75,V302&lt;=175,W302&gt;=35,W302&lt;65),0.23,0)+IF(AND(V302&gt;=75,V302&lt;=175,W302&gt;=65,W302&lt;110),0.17,0)+IF(AND(V302&gt;=75,V302&lt;=175,W302&gt;=110),0.12,0)+IF(AND(V302&gt;175,W302&lt;25),0.3,0)+IF(AND(V302&gt;175,W302&gt;=25,W302&lt;55),0.23,0)+IF(AND(V302&gt;175,W302&gt;=55,W302&lt;95),0.17,0)+IF(AND(V302&gt;175,W302&gt;=95),0.12,0),
IF(AF302="Fix15",0.15,
IF(AF302="Fix11.25",0.1125,
IF(AF302="Fix10",0.1,
IF(AF302="Fix9",0.09,
IF(AF302="DoEV2017",IF(AND(W302&lt;74),0.2,0)+IF(AND(W302&gt;=74),0.17,0),
IF(AF302="SF",IF(AND(V302&lt;20,W302&lt;89),0.3,0)+IF(AND(V302&lt;20,W302&gt;=89),0.25,0)+IF(AND(V302&gt;=20,V302&lt;40,W302&lt;74),0.3,0)+IF(AND(V302&gt;=20,V302&lt;40,W302&gt;=75),0.22,0)+IF(AND(V302&gt;=40,V302&lt;75,W302&lt;75),0.26,0)+IF(AND(V302&gt;=40,V302&lt;75,W302&gt;=75),0.22,0)+IF(V302&gt;=75,0.22,0),
IF(AF302="DoEVold",IF(AND(V302&lt;40,W302&lt;35),0.35,0)+IF(AND(V302&lt;40,W302&gt;=35,W302&lt;75),0.25,0)+IF(AND(V302&lt;40,W302&gt;=75),0.17,0)+IF(AND(V302&gt;=40,V302&lt;75,W302&lt;25),0.35,0)+IF(AND(V302&gt;=40,V302&lt;75,W302&gt;=25,W302&lt;65),0.25,0)+IF(AND(V302&gt;=40,V302&lt;75,W302&gt;=65,W302&lt;100),0.17,0)+IF(AND(V302&gt;=40,V302&lt;75,W302&gt;=100),0.1,0)+IF(AND(V302&gt;=75,W302&lt;25),0.35,0)+IF(AND(V302&gt;=75,W302&gt;=25,W302&lt;60),0.25,0)+IF(AND(V302&gt;=75,W302&gt;=60,W302&lt;95),0.17,0)+IF(AND(V302&gt;=75,W302&gt;=95),0.1,0),
IF(AF302="DoEVold15",IF(AND(V302&lt;=40,W302&lt;35),0.35,0)+IF(AND(V302&lt;=40,W302&gt;=35,W302&lt;75),0.25,0)+IF(AND(V302&lt;=40,W302&gt;=75,W302&lt;120),0.17,0)+IF(AND(V302&lt;=40,W302&gt;=120),0.15,0)+IF(AND(V302&gt;40,V302&lt;75,W302&lt;25),0.35,0)+IF(AND(V302&gt;=40,V302&lt;75,W302&gt;=25,W302&lt;65),0.25,0)+IF(AND(V302&gt;=40,V302&lt;75,W302&gt;=65,W302&lt;100),0.17,0)+IF(AND(V302&gt;=40,V302&lt;75,W302&gt;=100),0.1,0)+IF(AND(V302&gt;=75,W302&lt;25),0.35,0)+IF(AND(V302&gt;=75,W302&gt;=25,W302&lt;60),0.25,0)+IF(AND(V302&gt;=75,W302&gt;=60,W302&lt;95),0.17,0)+IF(AND(V302&gt;=75,W302&gt;=95),0.1,0),
IF(AF302="DoEVba",IF(AND(V302&lt;20,W302&lt;105),0.2,0)+IF(AND(V302&lt;20,W302&gt;=105),0.15,0)+IF(AND(V302&gt;=20,V302&lt;40,W302&lt;95),0.2,0)+IF(AND(V302&gt;=20,V302&lt;40,W302&gt;=95,W302&lt;150),0.15,0)+IF(AND(V302&gt;=20,V302&lt;40,W302&gt;=150),0.12,0)+IF(AND(V302&gt;=40,V302&lt;75,W302&lt;75),0.2,0)+IF(AND(V302&gt;=40,V302&lt;75,W302&gt;=75,W302&lt;120),0.15,0)+IF(AND(V302&gt;=40,V302&lt;75,W302&gt;=120),0.12,0)+IF(AND(V302&gt;=75,V302&lt;175,W302&lt;65),0.2,0)+IF(AND(V302&gt;=75,V302&lt;175,W302&gt;=65,W302&lt;110),0.15,0)+IF(AND(V302&gt;=75,V302&lt;175,W302&gt;=110),0.12,0)+IF(AND(V302&gt;=175,W302&lt;55),0.2,0)+IF(AND(V302&gt;=175,W302&gt;=55,W302&lt;95),0.15,0)+IF(AND(V302&gt;=175,W302&gt;=95),0.12,0),
IF(AF302="DoEVku",IF(AND(V302&lt;20,W302&lt;55),0.23,0)+IF(AND(V302&lt;20,W302&gt;=55,W302&lt;105),0.2,0)+IF(AND(V302&lt;20,W302&gt;=105),0.17,0)+IF(AND(V302&gt;=20,V302&lt;40,W302&lt;45),0.23,0)+IF(AND(V302&gt;=20,V302&lt;40,W302&gt;=45,W302&lt;95),0.2,0)+IF(AND(V302&gt;=20,V302&lt;40,W302&gt;=95,W302&lt;=150),0.17,0)+IF(AND(V302&gt;=20,V302&lt;40,W302&gt;=150),0.12,0)+IF(AND(V302&gt;=40,V302&lt;75,W302&lt;35),0.23,0)+IF(AND(V302&gt;=40,V302&lt;75,W302&gt;=35,W302&lt;75),0.2,0)+IF(AND(V302&gt;=40,V302&lt;75,W302&gt;=75,W302&lt;120),0.17,0)+IF(AND(V302&gt;=40,V302&lt;75,W302&gt;=120),0.12,0)+IF(AND(V302&gt;=75,V302&lt;175,W302&lt;35),0.23,0)+IF(AND(V302&gt;=75,V302&lt;=175,W302&gt;=35,W302&lt;65),0.2,0)+IF(AND(V302&gt;=75,V302&lt;=175,W302&gt;=65,W302&lt;110),0.17,0)+IF(AND(V302&gt;=75,V302&lt;=175,W302&gt;=110),0.12,0)+IF(AND(V302&gt;175,W302&lt;25),0.23,0)+IF(AND(V302&gt;175,W302&gt;=25,W302&lt;55),0.2,0)+IF(AND(V302&gt;175,W302&gt;=55,W302&lt;95),0.17,0)+IF(AND(V302&gt;175,W302&gt;=95),0.12,0),
IF(AF302="DoEVs1",IF(AND(V302&lt;20,W302&lt;55),0.3,0)+IF(AND(V302&lt;20,W302&gt;=55,W302&lt;105),0.23,0)+IF(AND(V302&lt;20,W302&gt;=105),0.17,0)+IF(AND(V302&gt;=20,V302&lt;40,W302&lt;45),0.3,0)+IF(AND(V302&gt;=20,V302&lt;40,W302&gt;=45,W302&lt;95),0.23,0)+IF(AND(V302&gt;=20,V302&lt;40,W302&gt;=95,W302&lt;=150),0.17,0)+IF(AND(V302&gt;=20,V302&lt;40,W302&gt;=150),0.12,0)+IF(AND(V302&gt;=40,V302&lt;75,W302&lt;35),0.3,0)+IF(AND(V302&gt;=40,V302&lt;75,W302&gt;=35,W302&lt;75),0.23,0)+IF(AND(V302&gt;=40,V302&lt;75,W302&gt;=75,W302&lt;120),0.17,0)+IF(AND(V302&gt;=40,V302&lt;75,W302&gt;=120),0.12,0)+IF(AND(V302&gt;=75,V302&lt;175,W302&lt;35),0.3,0)+IF(AND(V302&gt;=75,V302&lt;=175,W302&gt;=35,W302&lt;65),0.23,0)+IF(AND(V302&gt;=75,V302&lt;=175,W302&gt;=65,W302&lt;110),0.17,0)+IF(AND(V302&gt;=75,V302&lt;=175,W302&gt;=110),0.12,0)+IF(AND(V302&gt;175,W302&lt;25),0.3,0)+IF(AND(V302&gt;175,W302&gt;=25,W302&lt;55),0.23,0)+IF(AND(V302&gt;175,W302&gt;=55,W302&lt;95),0.17,0)+IF(AND(V302&gt;175,W302&gt;=95),0.12,0),
IF(AF302="DoEVsu",IF(AND(V302&lt;20,W302&lt;55),0.3,0)+IF(AND(V302&lt;20,W302&gt;=55,W302&lt;105),0.23,0)+IF(AND(V302&lt;20,W302&gt;=105),0.17,0)+IF(AND(V302&gt;=20,V302&lt;40,W302&lt;45),0.3,0)+IF(AND(V302&gt;=20,V302&lt;40,W302&gt;=45,W302&lt;95),0.23,0)+IF(AND(V302&gt;=20,V302&lt;40,W302&gt;=95,W302&lt;=250),0.17,0)+IF(AND(V302&gt;=20,V302&lt;40,W302&gt;=250),0.12,0)+IF(AND(V302&gt;=40,V302&lt;75,W302&lt;35),0.3,0)+IF(AND(V302&gt;=40,V302&lt;75,W302&gt;=35,W302&lt;75),0.23,0)+IF(AND(V302&gt;=40,V302&lt;75,W302&gt;=75,W302&lt;120),0.17,0)+IF(AND(V302&gt;=40,V302&lt;75,W302&gt;=120),0.12,0)+IF(AND(V302&gt;=75,V302&lt;175,W302&lt;35),0.3,0)+IF(AND(V302&gt;=75,V302&lt;=175,W302&gt;=35,W302&lt;65),0.23,0)+IF(AND(V302&gt;=75,V302&lt;=175,W302&gt;=65,W302&lt;110),0.17,0)+IF(AND(V302&gt;=75,V302&lt;=175,W302&gt;=110),0.12,0)+IF(AND(V302&gt;175,W302&lt;25),0.3,0)+IF(AND(V302&gt;175,W302&gt;=25,W302&lt;55),0.23,0)+IF(AND(V302&gt;175,W302&gt;=55,W302&lt;95),0.17,0)+IF(AND(V302&gt;175,W302&gt;=95),0.12,0),
IF(AF302="DoEVni",IF(AND(V302&lt;20,W302&lt;55),0.3,0)+IF(AND(V302&lt;20,W302&gt;=55,W302&lt;105),0.23,0)+IF(AND(V302&lt;20,W302&gt;=105),0.17,0)+IF(AND(V302&gt;=20,V302&lt;40,W302&lt;45),0.3,0)+IF(AND(V302&gt;=20,V302&lt;40,W302&gt;=45,W302&lt;95),0.23,0)+IF(AND(V302&gt;=20,V302&lt;40,W302&gt;=95,W302&lt;=200),0.17,0)+IF(AND(V302&gt;=20,V302&lt;40,W302&gt;=200),0.12,0)+IF(AND(V302&gt;=40,V302&lt;75,W302&lt;35),0.3,0)+IF(AND(V302&gt;=40,V302&lt;75,W302&gt;=35,W302&lt;75),0.23,0)+IF(AND(V302&gt;=40,V302&lt;75,W302&gt;=75,W302&lt;120),0.17,0)+IF(AND(V302&gt;=40,V302&lt;75,W302&gt;=120),0.12,0)+IF(AND(V302&gt;=75,V302&lt;175,W302&lt;35),0.3,0)+IF(AND(V302&gt;=75,V302&lt;=175,W302&gt;=35,W302&lt;65),0.23,0)+IF(AND(V302&gt;=75,V302&lt;=175,W302&gt;=65,W302&lt;110),0.17,0)+IF(AND(V302&gt;=75,V302&lt;=175,W302&gt;=110),0.12,0)+IF(AND(V302&gt;175,W302&lt;25),0.3,0)+IF(AND(V302&gt;175,W302&gt;=25,W302&lt;55),0.23,0)+IF(AND(V302&gt;175,W302&gt;=55,W302&lt;95),0.17,0)+IF(AND(V302&gt;175,W302&gt;=95),0.12,0),
IF(AF302="DoEVLo",IF(AND(V302&lt;20,W302&lt;55),0.25,0)+IF(AND(V302&lt;20,W302&gt;=55,W302&lt;105),0.2,0)+IF(AND(V302&lt;20,W302&gt;=105),0.15,0)+IF(AND(V302&gt;=20,V302&lt;40,W302&lt;45),0.25,0)+IF(AND(V302&gt;=20,V302&lt;40,W302&gt;=45,W302&lt;95),0.2,0)+IF(AND(V302&gt;=20,V302&lt;40,W302&gt;=95),0.15,0)+IF(AND(V302&gt;=40,V302&lt;75,W302&lt;35),0.25,0)+IF(AND(V302&gt;=40,V302&lt;75,W302&gt;=35,W302&lt;75),0.2,0)+IF(AND(V302&gt;=40,V302&lt;75,W302&gt;=75,W302&lt;120),0.15,0)+IF(AND(V302&gt;=40,V302&lt;75,W302&gt;=120),0.1,0)+IF(AND(V302&gt;=75,V302&lt;175,W302&lt;35),0.25,0)+IF(AND(V302&gt;=75,V302&lt;=175,W302&gt;=35,W302&lt;65),0.2,0)+IF(AND(V302&gt;=75,V302&lt;=175,W302&gt;=65,W302&lt;110),0.15,0)+IF(AND(V302&gt;=75,V302&lt;=175,W302&gt;=110),0.1,0)+IF(AND(V302&gt;175,W302&lt;25),0.25,0)+IF(AND(V302&gt;175,W302&gt;=25,W302&lt;55),0.2,0)+IF(AND(V302&gt;175,W302&gt;=55,W302&lt;95),0.15,0)+IF(AND(V302&gt;175,W302&gt;=95),0.1,0))))))))))))))))</f>
        <v>0.3</v>
      </c>
      <c r="Y302" s="30">
        <f>IF(AG302="None",0,IF(AG302="Fix5",0.05,IF(AG302="Fix3.75",0.0375,IF(AG302="Fix10",0.1,IF(AG302="Fix3",0.03,0)))))</f>
        <v>0</v>
      </c>
      <c r="Z302" s="35">
        <f>T302-AA302-AB302</f>
        <v>-1316.7</v>
      </c>
      <c r="AA302" s="29">
        <f>IF(AD302="EUR",((T302-R302)*X302)*U302+(R302*X302),(T302*X302))</f>
        <v>-564.29999999999995</v>
      </c>
      <c r="AB302" s="36">
        <f>IF(AD302="EUR",((T302-R302)*Y302)*U302+(R302*Y302),(T302*Y302))</f>
        <v>0</v>
      </c>
      <c r="AC302" s="37" t="b">
        <v>1</v>
      </c>
      <c r="AD302" s="37" t="s">
        <v>38</v>
      </c>
      <c r="AE302" s="37" t="s">
        <v>38</v>
      </c>
      <c r="AF302" s="37" t="str">
        <f t="array" ref="AF302">INDEX('Deal Info'!D:D, MATCH(A302,'Deal Info'!A:A, 0))</f>
        <v>DoEVsu</v>
      </c>
      <c r="AG302" s="38" t="str">
        <f t="array" ref="AG302">INDEX('Deal Info'!G:G, MATCH(A302,'Deal Info'!A:A, 0))</f>
        <v>None</v>
      </c>
    </row>
    <row r="303" spans="1:33" ht="14.25" hidden="1" x14ac:dyDescent="0.2">
      <c r="A303" s="18" t="str">
        <f t="array" ref="A303">IF(G303='Room Info'!$B$1, INDEX('Room Info'!$A$2:$A2446, MATCH(B303,'Room Info'!$B$2:$B2446, 0)),IF(G303='Room Info'!$C$1, INDEX('Room Info'!$A$2:$A2446, MATCH(B303,'Room Info'!$C$2:$C2446, 0)),IF(G303='Room Info'!$D$1, INDEX('Room Info'!$A$2:$A2446, MATCH(B303,'Room Info'!$D$2:$D2446, 0)),IF(G303='Room Info'!$E$1, INDEX('Room Info'!$A$2:$A2446, MATCH(B303,'Room Info'!$E$2:$E2446, 0)),IF(G303='Room Info'!$F$1, INDEX('Room Info'!$A$2:$A2446, MATCH(B303,'Room Info'!$F$2:$F2446, 0)),IF(G303='Room Info'!$H$1, INDEX('Room Info'!$A$2:$A2446, MATCH(B303,'Room Info'!$H$2:$H2446, 0)),IF(G303='Room Info'!$G$1, INDEX('Room Info'!$A$2:$A2446, MATCH(B303,'Room Info'!$G$2:$G2446, 0)))))))))</f>
        <v>supreme325i</v>
      </c>
      <c r="B303" s="45" t="s">
        <v>117</v>
      </c>
      <c r="C303" s="46">
        <v>44835</v>
      </c>
      <c r="D303" s="46">
        <v>44865</v>
      </c>
      <c r="E303" s="47">
        <v>44835</v>
      </c>
      <c r="F303" s="48" t="s">
        <v>34</v>
      </c>
      <c r="G303" s="45" t="s">
        <v>69</v>
      </c>
      <c r="H303" s="49" t="s">
        <v>71</v>
      </c>
      <c r="I303" s="49" t="s">
        <v>37</v>
      </c>
      <c r="J303" s="70">
        <v>20</v>
      </c>
      <c r="K303" s="71">
        <v>3317</v>
      </c>
      <c r="L303" s="52">
        <v>2260</v>
      </c>
      <c r="M303" s="53">
        <v>2901</v>
      </c>
      <c r="N303" s="28">
        <f>K303*J303</f>
        <v>66340</v>
      </c>
      <c r="O303" s="54">
        <v>174660</v>
      </c>
      <c r="P303" s="29">
        <v>52.656014470000002</v>
      </c>
      <c r="Q303" s="55"/>
      <c r="R303" s="31">
        <f>M303+Q303</f>
        <v>2901</v>
      </c>
      <c r="S303" s="56">
        <v>2189</v>
      </c>
      <c r="T303" s="32">
        <f>R303+S303+IF(F303="Without EV deal",L303,0)</f>
        <v>5090</v>
      </c>
      <c r="U303" s="57">
        <v>1</v>
      </c>
      <c r="V303" s="69">
        <v>38.885570575290792</v>
      </c>
      <c r="W303" s="58">
        <v>29.97</v>
      </c>
      <c r="X303" s="30">
        <f>IF(AF303="DoEV",IF(AND(V303&lt;20,W303&lt;55),0.3,0)+IF(AND(V303&lt;20,W303&gt;=55,W303&lt;105),0.23,0)+IF(AND(V303&lt;20,W303&gt;=105),0.17,0)+IF(AND(V303&gt;=20,V303&lt;40,W303&lt;45),0.3,0)+IF(AND(V303&gt;=20,V303&lt;40,W303&gt;=45,W303&lt;95),0.23,0)+IF(AND(V303&gt;=20,V303&lt;40,W303&gt;=95),0.17,0)+IF(AND(V303&gt;=40,V303&lt;75,W303&lt;35),0.3,0)+IF(AND(V303&gt;=40,V303&lt;75,W303&gt;=35,W303&lt;75),0.23,0)+IF(AND(V303&gt;=40,V303&lt;75,W303&gt;=75,W303&lt;120),0.17,0)+IF(AND(V303&gt;=40,V303&lt;75,W303&gt;=120),0.12,0)+IF(AND(V303&gt;=75,V303&lt;175,W303&lt;35),0.3,0)+IF(AND(V303&gt;=75,V303&lt;=175,W303&gt;=35,W303&lt;65),0.23,0)+IF(AND(V303&gt;=75,V303&lt;=175,W303&gt;=65,W303&lt;110),0.17,0)+IF(AND(V303&gt;=75,V303&lt;=175,W303&gt;=110),0.12,0)+IF(AND(V303&gt;175,W303&lt;25),0.3,0)+IF(AND(V303&gt;175,W303&gt;=25,W303&lt;55),0.23,0)+IF(AND(V303&gt;175,W303&gt;=55,W303&lt;95),0.17,0)+IF(AND(V303&gt;175,W303&gt;=95),0.12,0),
IF(AF303="Fix15",0.15,
IF(AF303="Fix11.25",0.1125,
IF(AF303="Fix10",0.1,
IF(AF303="Fix9",0.09,
IF(AF303="DoEV2017",IF(AND(W303&lt;74),0.2,0)+IF(AND(W303&gt;=74),0.17,0),
IF(AF303="SF",IF(AND(V303&lt;20,W303&lt;89),0.3,0)+IF(AND(V303&lt;20,W303&gt;=89),0.25,0)+IF(AND(V303&gt;=20,V303&lt;40,W303&lt;74),0.3,0)+IF(AND(V303&gt;=20,V303&lt;40,W303&gt;=75),0.22,0)+IF(AND(V303&gt;=40,V303&lt;75,W303&lt;75),0.26,0)+IF(AND(V303&gt;=40,V303&lt;75,W303&gt;=75),0.22,0)+IF(V303&gt;=75,0.22,0),
IF(AF303="DoEVold",IF(AND(V303&lt;40,W303&lt;35),0.35,0)+IF(AND(V303&lt;40,W303&gt;=35,W303&lt;75),0.25,0)+IF(AND(V303&lt;40,W303&gt;=75),0.17,0)+IF(AND(V303&gt;=40,V303&lt;75,W303&lt;25),0.35,0)+IF(AND(V303&gt;=40,V303&lt;75,W303&gt;=25,W303&lt;65),0.25,0)+IF(AND(V303&gt;=40,V303&lt;75,W303&gt;=65,W303&lt;100),0.17,0)+IF(AND(V303&gt;=40,V303&lt;75,W303&gt;=100),0.1,0)+IF(AND(V303&gt;=75,W303&lt;25),0.35,0)+IF(AND(V303&gt;=75,W303&gt;=25,W303&lt;60),0.25,0)+IF(AND(V303&gt;=75,W303&gt;=60,W303&lt;95),0.17,0)+IF(AND(V303&gt;=75,W303&gt;=95),0.1,0),
IF(AF303="DoEVold15",IF(AND(V303&lt;=40,W303&lt;35),0.35,0)+IF(AND(V303&lt;=40,W303&gt;=35,W303&lt;75),0.25,0)+IF(AND(V303&lt;=40,W303&gt;=75,W303&lt;120),0.17,0)+IF(AND(V303&lt;=40,W303&gt;=120),0.15,0)+IF(AND(V303&gt;40,V303&lt;75,W303&lt;25),0.35,0)+IF(AND(V303&gt;=40,V303&lt;75,W303&gt;=25,W303&lt;65),0.25,0)+IF(AND(V303&gt;=40,V303&lt;75,W303&gt;=65,W303&lt;100),0.17,0)+IF(AND(V303&gt;=40,V303&lt;75,W303&gt;=100),0.1,0)+IF(AND(V303&gt;=75,W303&lt;25),0.35,0)+IF(AND(V303&gt;=75,W303&gt;=25,W303&lt;60),0.25,0)+IF(AND(V303&gt;=75,W303&gt;=60,W303&lt;95),0.17,0)+IF(AND(V303&gt;=75,W303&gt;=95),0.1,0),
IF(AF303="DoEVba",IF(AND(V303&lt;20,W303&lt;105),0.2,0)+IF(AND(V303&lt;20,W303&gt;=105),0.15,0)+IF(AND(V303&gt;=20,V303&lt;40,W303&lt;95),0.2,0)+IF(AND(V303&gt;=20,V303&lt;40,W303&gt;=95,W303&lt;150),0.15,0)+IF(AND(V303&gt;=20,V303&lt;40,W303&gt;=150),0.12,0)+IF(AND(V303&gt;=40,V303&lt;75,W303&lt;75),0.2,0)+IF(AND(V303&gt;=40,V303&lt;75,W303&gt;=75,W303&lt;120),0.15,0)+IF(AND(V303&gt;=40,V303&lt;75,W303&gt;=120),0.12,0)+IF(AND(V303&gt;=75,V303&lt;175,W303&lt;65),0.2,0)+IF(AND(V303&gt;=75,V303&lt;175,W303&gt;=65,W303&lt;110),0.15,0)+IF(AND(V303&gt;=75,V303&lt;175,W303&gt;=110),0.12,0)+IF(AND(V303&gt;=175,W303&lt;55),0.2,0)+IF(AND(V303&gt;=175,W303&gt;=55,W303&lt;95),0.15,0)+IF(AND(V303&gt;=175,W303&gt;=95),0.12,0),
IF(AF303="DoEVku",IF(AND(V303&lt;20,W303&lt;55),0.23,0)+IF(AND(V303&lt;20,W303&gt;=55,W303&lt;105),0.2,0)+IF(AND(V303&lt;20,W303&gt;=105),0.17,0)+IF(AND(V303&gt;=20,V303&lt;40,W303&lt;45),0.23,0)+IF(AND(V303&gt;=20,V303&lt;40,W303&gt;=45,W303&lt;95),0.2,0)+IF(AND(V303&gt;=20,V303&lt;40,W303&gt;=95,W303&lt;=150),0.17,0)+IF(AND(V303&gt;=20,V303&lt;40,W303&gt;=150),0.12,0)+IF(AND(V303&gt;=40,V303&lt;75,W303&lt;35),0.23,0)+IF(AND(V303&gt;=40,V303&lt;75,W303&gt;=35,W303&lt;75),0.2,0)+IF(AND(V303&gt;=40,V303&lt;75,W303&gt;=75,W303&lt;120),0.17,0)+IF(AND(V303&gt;=40,V303&lt;75,W303&gt;=120),0.12,0)+IF(AND(V303&gt;=75,V303&lt;175,W303&lt;35),0.23,0)+IF(AND(V303&gt;=75,V303&lt;=175,W303&gt;=35,W303&lt;65),0.2,0)+IF(AND(V303&gt;=75,V303&lt;=175,W303&gt;=65,W303&lt;110),0.17,0)+IF(AND(V303&gt;=75,V303&lt;=175,W303&gt;=110),0.12,0)+IF(AND(V303&gt;175,W303&lt;25),0.23,0)+IF(AND(V303&gt;175,W303&gt;=25,W303&lt;55),0.2,0)+IF(AND(V303&gt;175,W303&gt;=55,W303&lt;95),0.17,0)+IF(AND(V303&gt;175,W303&gt;=95),0.12,0),
IF(AF303="DoEVs1",IF(AND(V303&lt;20,W303&lt;55),0.3,0)+IF(AND(V303&lt;20,W303&gt;=55,W303&lt;105),0.23,0)+IF(AND(V303&lt;20,W303&gt;=105),0.17,0)+IF(AND(V303&gt;=20,V303&lt;40,W303&lt;45),0.3,0)+IF(AND(V303&gt;=20,V303&lt;40,W303&gt;=45,W303&lt;95),0.23,0)+IF(AND(V303&gt;=20,V303&lt;40,W303&gt;=95,W303&lt;=150),0.17,0)+IF(AND(V303&gt;=20,V303&lt;40,W303&gt;=150),0.12,0)+IF(AND(V303&gt;=40,V303&lt;75,W303&lt;35),0.3,0)+IF(AND(V303&gt;=40,V303&lt;75,W303&gt;=35,W303&lt;75),0.23,0)+IF(AND(V303&gt;=40,V303&lt;75,W303&gt;=75,W303&lt;120),0.17,0)+IF(AND(V303&gt;=40,V303&lt;75,W303&gt;=120),0.12,0)+IF(AND(V303&gt;=75,V303&lt;175,W303&lt;35),0.3,0)+IF(AND(V303&gt;=75,V303&lt;=175,W303&gt;=35,W303&lt;65),0.23,0)+IF(AND(V303&gt;=75,V303&lt;=175,W303&gt;=65,W303&lt;110),0.17,0)+IF(AND(V303&gt;=75,V303&lt;=175,W303&gt;=110),0.12,0)+IF(AND(V303&gt;175,W303&lt;25),0.3,0)+IF(AND(V303&gt;175,W303&gt;=25,W303&lt;55),0.23,0)+IF(AND(V303&gt;175,W303&gt;=55,W303&lt;95),0.17,0)+IF(AND(V303&gt;175,W303&gt;=95),0.12,0),
IF(AF303="DoEVsu",IF(AND(V303&lt;20,W303&lt;55),0.3,0)+IF(AND(V303&lt;20,W303&gt;=55,W303&lt;105),0.23,0)+IF(AND(V303&lt;20,W303&gt;=105),0.17,0)+IF(AND(V303&gt;=20,V303&lt;40,W303&lt;45),0.3,0)+IF(AND(V303&gt;=20,V303&lt;40,W303&gt;=45,W303&lt;95),0.23,0)+IF(AND(V303&gt;=20,V303&lt;40,W303&gt;=95,W303&lt;=250),0.17,0)+IF(AND(V303&gt;=20,V303&lt;40,W303&gt;=250),0.12,0)+IF(AND(V303&gt;=40,V303&lt;75,W303&lt;35),0.3,0)+IF(AND(V303&gt;=40,V303&lt;75,W303&gt;=35,W303&lt;75),0.23,0)+IF(AND(V303&gt;=40,V303&lt;75,W303&gt;=75,W303&lt;120),0.17,0)+IF(AND(V303&gt;=40,V303&lt;75,W303&gt;=120),0.12,0)+IF(AND(V303&gt;=75,V303&lt;175,W303&lt;35),0.3,0)+IF(AND(V303&gt;=75,V303&lt;=175,W303&gt;=35,W303&lt;65),0.23,0)+IF(AND(V303&gt;=75,V303&lt;=175,W303&gt;=65,W303&lt;110),0.17,0)+IF(AND(V303&gt;=75,V303&lt;=175,W303&gt;=110),0.12,0)+IF(AND(V303&gt;175,W303&lt;25),0.3,0)+IF(AND(V303&gt;175,W303&gt;=25,W303&lt;55),0.23,0)+IF(AND(V303&gt;175,W303&gt;=55,W303&lt;95),0.17,0)+IF(AND(V303&gt;175,W303&gt;=95),0.12,0),
IF(AF303="DoEVni",IF(AND(V303&lt;20,W303&lt;55),0.3,0)+IF(AND(V303&lt;20,W303&gt;=55,W303&lt;105),0.23,0)+IF(AND(V303&lt;20,W303&gt;=105),0.17,0)+IF(AND(V303&gt;=20,V303&lt;40,W303&lt;45),0.3,0)+IF(AND(V303&gt;=20,V303&lt;40,W303&gt;=45,W303&lt;95),0.23,0)+IF(AND(V303&gt;=20,V303&lt;40,W303&gt;=95,W303&lt;=200),0.17,0)+IF(AND(V303&gt;=20,V303&lt;40,W303&gt;=200),0.12,0)+IF(AND(V303&gt;=40,V303&lt;75,W303&lt;35),0.3,0)+IF(AND(V303&gt;=40,V303&lt;75,W303&gt;=35,W303&lt;75),0.23,0)+IF(AND(V303&gt;=40,V303&lt;75,W303&gt;=75,W303&lt;120),0.17,0)+IF(AND(V303&gt;=40,V303&lt;75,W303&gt;=120),0.12,0)+IF(AND(V303&gt;=75,V303&lt;175,W303&lt;35),0.3,0)+IF(AND(V303&gt;=75,V303&lt;=175,W303&gt;=35,W303&lt;65),0.23,0)+IF(AND(V303&gt;=75,V303&lt;=175,W303&gt;=65,W303&lt;110),0.17,0)+IF(AND(V303&gt;=75,V303&lt;=175,W303&gt;=110),0.12,0)+IF(AND(V303&gt;175,W303&lt;25),0.3,0)+IF(AND(V303&gt;175,W303&gt;=25,W303&lt;55),0.23,0)+IF(AND(V303&gt;175,W303&gt;=55,W303&lt;95),0.17,0)+IF(AND(V303&gt;175,W303&gt;=95),0.12,0),
IF(AF303="DoEVLo",IF(AND(V303&lt;20,W303&lt;55),0.25,0)+IF(AND(V303&lt;20,W303&gt;=55,W303&lt;105),0.2,0)+IF(AND(V303&lt;20,W303&gt;=105),0.15,0)+IF(AND(V303&gt;=20,V303&lt;40,W303&lt;45),0.25,0)+IF(AND(V303&gt;=20,V303&lt;40,W303&gt;=45,W303&lt;95),0.2,0)+IF(AND(V303&gt;=20,V303&lt;40,W303&gt;=95),0.15,0)+IF(AND(V303&gt;=40,V303&lt;75,W303&lt;35),0.25,0)+IF(AND(V303&gt;=40,V303&lt;75,W303&gt;=35,W303&lt;75),0.2,0)+IF(AND(V303&gt;=40,V303&lt;75,W303&gt;=75,W303&lt;120),0.15,0)+IF(AND(V303&gt;=40,V303&lt;75,W303&gt;=120),0.1,0)+IF(AND(V303&gt;=75,V303&lt;175,W303&lt;35),0.25,0)+IF(AND(V303&gt;=75,V303&lt;=175,W303&gt;=35,W303&lt;65),0.2,0)+IF(AND(V303&gt;=75,V303&lt;=175,W303&gt;=65,W303&lt;110),0.15,0)+IF(AND(V303&gt;=75,V303&lt;=175,W303&gt;=110),0.1,0)+IF(AND(V303&gt;175,W303&lt;25),0.25,0)+IF(AND(V303&gt;175,W303&gt;=25,W303&lt;55),0.2,0)+IF(AND(V303&gt;175,W303&gt;=55,W303&lt;95),0.15,0)+IF(AND(V303&gt;175,W303&gt;=95),0.1,0))))))))))))))))</f>
        <v>0.3</v>
      </c>
      <c r="Y303" s="30">
        <f>IF(AG303="None",0,IF(AG303="Fix5",0.05,IF(AG303="Fix3.75",0.0375,IF(AG303="Fix10",0.1,IF(AG303="Fix3",0.03,0)))))</f>
        <v>0</v>
      </c>
      <c r="Z303" s="35">
        <f>T303-AA303-AB303</f>
        <v>3563</v>
      </c>
      <c r="AA303" s="29">
        <f>IF(AD303="EUR",((T303-R303)*X303)*U303+(R303*X303),(T303*X303))</f>
        <v>1527</v>
      </c>
      <c r="AB303" s="36">
        <f>IF(AD303="EUR",((T303-R303)*Y303)*U303+(R303*Y303),(T303*Y303))</f>
        <v>0</v>
      </c>
      <c r="AC303" s="37" t="b">
        <v>1</v>
      </c>
      <c r="AD303" s="37" t="s">
        <v>38</v>
      </c>
      <c r="AE303" s="37" t="s">
        <v>38</v>
      </c>
      <c r="AF303" s="37" t="str">
        <f t="array" ref="AF303">INDEX('Deal Info'!D:D, MATCH(A303,'Deal Info'!A:A, 0))</f>
        <v>DoEVsu</v>
      </c>
      <c r="AG303" s="38" t="str">
        <f t="array" ref="AG303">INDEX('Deal Info'!G:G, MATCH(A303,'Deal Info'!A:A, 0))</f>
        <v>None</v>
      </c>
    </row>
    <row r="304" spans="1:33" ht="14.25" hidden="1" x14ac:dyDescent="0.2">
      <c r="A304" s="18" t="str">
        <f t="array" ref="A304">IF(G304='Room Info'!$B$1, INDEX('Room Info'!$A$2:$A2446, MATCH(B304,'Room Info'!$B$2:$B2446, 0)),IF(G304='Room Info'!$C$1, INDEX('Room Info'!$A$2:$A2446, MATCH(B304,'Room Info'!$C$2:$C2446, 0)),IF(G304='Room Info'!$D$1, INDEX('Room Info'!$A$2:$A2446, MATCH(B304,'Room Info'!$D$2:$D2446, 0)),IF(G304='Room Info'!$E$1, INDEX('Room Info'!$A$2:$A2446, MATCH(B304,'Room Info'!$E$2:$E2446, 0)),IF(G304='Room Info'!$F$1, INDEX('Room Info'!$A$2:$A2446, MATCH(B304,'Room Info'!$F$2:$F2446, 0)),IF(G304='Room Info'!$H$1, INDEX('Room Info'!$A$2:$A2446, MATCH(B304,'Room Info'!$H$2:$H2446, 0)),IF(G304='Room Info'!$G$1, INDEX('Room Info'!$A$2:$A2446, MATCH(B304,'Room Info'!$G$2:$G2446, 0)))))))))</f>
        <v>supreme325i</v>
      </c>
      <c r="B304" s="45" t="s">
        <v>117</v>
      </c>
      <c r="C304" s="46">
        <v>44835</v>
      </c>
      <c r="D304" s="46">
        <v>44865</v>
      </c>
      <c r="E304" s="47">
        <v>44835</v>
      </c>
      <c r="F304" s="48" t="s">
        <v>34</v>
      </c>
      <c r="G304" s="45" t="s">
        <v>69</v>
      </c>
      <c r="H304" s="49" t="s">
        <v>71</v>
      </c>
      <c r="I304" s="49" t="s">
        <v>37</v>
      </c>
      <c r="J304" s="70">
        <v>20</v>
      </c>
      <c r="K304" s="71">
        <v>1397</v>
      </c>
      <c r="L304" s="72">
        <v>-1500</v>
      </c>
      <c r="M304" s="53">
        <v>1073</v>
      </c>
      <c r="N304" s="28">
        <f>K304*J304</f>
        <v>27940</v>
      </c>
      <c r="O304" s="45">
        <v>31191</v>
      </c>
      <c r="P304" s="29">
        <v>22.327129559999999</v>
      </c>
      <c r="Q304" s="55"/>
      <c r="R304" s="31">
        <f>M304+Q304</f>
        <v>1073</v>
      </c>
      <c r="S304" s="56">
        <v>-664</v>
      </c>
      <c r="T304" s="32">
        <f>R304+S304+IF(F304="Without EV deal",L304,0)</f>
        <v>409</v>
      </c>
      <c r="U304" s="57">
        <v>1</v>
      </c>
      <c r="V304" s="69">
        <v>38.885570575290792</v>
      </c>
      <c r="W304" s="58">
        <v>29.97</v>
      </c>
      <c r="X304" s="30">
        <f>IF(AF304="DoEV",IF(AND(V304&lt;20,W304&lt;55),0.3,0)+IF(AND(V304&lt;20,W304&gt;=55,W304&lt;105),0.23,0)+IF(AND(V304&lt;20,W304&gt;=105),0.17,0)+IF(AND(V304&gt;=20,V304&lt;40,W304&lt;45),0.3,0)+IF(AND(V304&gt;=20,V304&lt;40,W304&gt;=45,W304&lt;95),0.23,0)+IF(AND(V304&gt;=20,V304&lt;40,W304&gt;=95),0.17,0)+IF(AND(V304&gt;=40,V304&lt;75,W304&lt;35),0.3,0)+IF(AND(V304&gt;=40,V304&lt;75,W304&gt;=35,W304&lt;75),0.23,0)+IF(AND(V304&gt;=40,V304&lt;75,W304&gt;=75,W304&lt;120),0.17,0)+IF(AND(V304&gt;=40,V304&lt;75,W304&gt;=120),0.12,0)+IF(AND(V304&gt;=75,V304&lt;175,W304&lt;35),0.3,0)+IF(AND(V304&gt;=75,V304&lt;=175,W304&gt;=35,W304&lt;65),0.23,0)+IF(AND(V304&gt;=75,V304&lt;=175,W304&gt;=65,W304&lt;110),0.17,0)+IF(AND(V304&gt;=75,V304&lt;=175,W304&gt;=110),0.12,0)+IF(AND(V304&gt;175,W304&lt;25),0.3,0)+IF(AND(V304&gt;175,W304&gt;=25,W304&lt;55),0.23,0)+IF(AND(V304&gt;175,W304&gt;=55,W304&lt;95),0.17,0)+IF(AND(V304&gt;175,W304&gt;=95),0.12,0),
IF(AF304="Fix15",0.15,
IF(AF304="Fix11.25",0.1125,
IF(AF304="Fix10",0.1,
IF(AF304="Fix9",0.09,
IF(AF304="DoEV2017",IF(AND(W304&lt;74),0.2,0)+IF(AND(W304&gt;=74),0.17,0),
IF(AF304="SF",IF(AND(V304&lt;20,W304&lt;89),0.3,0)+IF(AND(V304&lt;20,W304&gt;=89),0.25,0)+IF(AND(V304&gt;=20,V304&lt;40,W304&lt;74),0.3,0)+IF(AND(V304&gt;=20,V304&lt;40,W304&gt;=75),0.22,0)+IF(AND(V304&gt;=40,V304&lt;75,W304&lt;75),0.26,0)+IF(AND(V304&gt;=40,V304&lt;75,W304&gt;=75),0.22,0)+IF(V304&gt;=75,0.22,0),
IF(AF304="DoEVold",IF(AND(V304&lt;40,W304&lt;35),0.35,0)+IF(AND(V304&lt;40,W304&gt;=35,W304&lt;75),0.25,0)+IF(AND(V304&lt;40,W304&gt;=75),0.17,0)+IF(AND(V304&gt;=40,V304&lt;75,W304&lt;25),0.35,0)+IF(AND(V304&gt;=40,V304&lt;75,W304&gt;=25,W304&lt;65),0.25,0)+IF(AND(V304&gt;=40,V304&lt;75,W304&gt;=65,W304&lt;100),0.17,0)+IF(AND(V304&gt;=40,V304&lt;75,W304&gt;=100),0.1,0)+IF(AND(V304&gt;=75,W304&lt;25),0.35,0)+IF(AND(V304&gt;=75,W304&gt;=25,W304&lt;60),0.25,0)+IF(AND(V304&gt;=75,W304&gt;=60,W304&lt;95),0.17,0)+IF(AND(V304&gt;=75,W304&gt;=95),0.1,0),
IF(AF304="DoEVold15",IF(AND(V304&lt;=40,W304&lt;35),0.35,0)+IF(AND(V304&lt;=40,W304&gt;=35,W304&lt;75),0.25,0)+IF(AND(V304&lt;=40,W304&gt;=75,W304&lt;120),0.17,0)+IF(AND(V304&lt;=40,W304&gt;=120),0.15,0)+IF(AND(V304&gt;40,V304&lt;75,W304&lt;25),0.35,0)+IF(AND(V304&gt;=40,V304&lt;75,W304&gt;=25,W304&lt;65),0.25,0)+IF(AND(V304&gt;=40,V304&lt;75,W304&gt;=65,W304&lt;100),0.17,0)+IF(AND(V304&gt;=40,V304&lt;75,W304&gt;=100),0.1,0)+IF(AND(V304&gt;=75,W304&lt;25),0.35,0)+IF(AND(V304&gt;=75,W304&gt;=25,W304&lt;60),0.25,0)+IF(AND(V304&gt;=75,W304&gt;=60,W304&lt;95),0.17,0)+IF(AND(V304&gt;=75,W304&gt;=95),0.1,0),
IF(AF304="DoEVba",IF(AND(V304&lt;20,W304&lt;105),0.2,0)+IF(AND(V304&lt;20,W304&gt;=105),0.15,0)+IF(AND(V304&gt;=20,V304&lt;40,W304&lt;95),0.2,0)+IF(AND(V304&gt;=20,V304&lt;40,W304&gt;=95,W304&lt;150),0.15,0)+IF(AND(V304&gt;=20,V304&lt;40,W304&gt;=150),0.12,0)+IF(AND(V304&gt;=40,V304&lt;75,W304&lt;75),0.2,0)+IF(AND(V304&gt;=40,V304&lt;75,W304&gt;=75,W304&lt;120),0.15,0)+IF(AND(V304&gt;=40,V304&lt;75,W304&gt;=120),0.12,0)+IF(AND(V304&gt;=75,V304&lt;175,W304&lt;65),0.2,0)+IF(AND(V304&gt;=75,V304&lt;175,W304&gt;=65,W304&lt;110),0.15,0)+IF(AND(V304&gt;=75,V304&lt;175,W304&gt;=110),0.12,0)+IF(AND(V304&gt;=175,W304&lt;55),0.2,0)+IF(AND(V304&gt;=175,W304&gt;=55,W304&lt;95),0.15,0)+IF(AND(V304&gt;=175,W304&gt;=95),0.12,0),
IF(AF304="DoEVku",IF(AND(V304&lt;20,W304&lt;55),0.23,0)+IF(AND(V304&lt;20,W304&gt;=55,W304&lt;105),0.2,0)+IF(AND(V304&lt;20,W304&gt;=105),0.17,0)+IF(AND(V304&gt;=20,V304&lt;40,W304&lt;45),0.23,0)+IF(AND(V304&gt;=20,V304&lt;40,W304&gt;=45,W304&lt;95),0.2,0)+IF(AND(V304&gt;=20,V304&lt;40,W304&gt;=95,W304&lt;=150),0.17,0)+IF(AND(V304&gt;=20,V304&lt;40,W304&gt;=150),0.12,0)+IF(AND(V304&gt;=40,V304&lt;75,W304&lt;35),0.23,0)+IF(AND(V304&gt;=40,V304&lt;75,W304&gt;=35,W304&lt;75),0.2,0)+IF(AND(V304&gt;=40,V304&lt;75,W304&gt;=75,W304&lt;120),0.17,0)+IF(AND(V304&gt;=40,V304&lt;75,W304&gt;=120),0.12,0)+IF(AND(V304&gt;=75,V304&lt;175,W304&lt;35),0.23,0)+IF(AND(V304&gt;=75,V304&lt;=175,W304&gt;=35,W304&lt;65),0.2,0)+IF(AND(V304&gt;=75,V304&lt;=175,W304&gt;=65,W304&lt;110),0.17,0)+IF(AND(V304&gt;=75,V304&lt;=175,W304&gt;=110),0.12,0)+IF(AND(V304&gt;175,W304&lt;25),0.23,0)+IF(AND(V304&gt;175,W304&gt;=25,W304&lt;55),0.2,0)+IF(AND(V304&gt;175,W304&gt;=55,W304&lt;95),0.17,0)+IF(AND(V304&gt;175,W304&gt;=95),0.12,0),
IF(AF304="DoEVs1",IF(AND(V304&lt;20,W304&lt;55),0.3,0)+IF(AND(V304&lt;20,W304&gt;=55,W304&lt;105),0.23,0)+IF(AND(V304&lt;20,W304&gt;=105),0.17,0)+IF(AND(V304&gt;=20,V304&lt;40,W304&lt;45),0.3,0)+IF(AND(V304&gt;=20,V304&lt;40,W304&gt;=45,W304&lt;95),0.23,0)+IF(AND(V304&gt;=20,V304&lt;40,W304&gt;=95,W304&lt;=150),0.17,0)+IF(AND(V304&gt;=20,V304&lt;40,W304&gt;=150),0.12,0)+IF(AND(V304&gt;=40,V304&lt;75,W304&lt;35),0.3,0)+IF(AND(V304&gt;=40,V304&lt;75,W304&gt;=35,W304&lt;75),0.23,0)+IF(AND(V304&gt;=40,V304&lt;75,W304&gt;=75,W304&lt;120),0.17,0)+IF(AND(V304&gt;=40,V304&lt;75,W304&gt;=120),0.12,0)+IF(AND(V304&gt;=75,V304&lt;175,W304&lt;35),0.3,0)+IF(AND(V304&gt;=75,V304&lt;=175,W304&gt;=35,W304&lt;65),0.23,0)+IF(AND(V304&gt;=75,V304&lt;=175,W304&gt;=65,W304&lt;110),0.17,0)+IF(AND(V304&gt;=75,V304&lt;=175,W304&gt;=110),0.12,0)+IF(AND(V304&gt;175,W304&lt;25),0.3,0)+IF(AND(V304&gt;175,W304&gt;=25,W304&lt;55),0.23,0)+IF(AND(V304&gt;175,W304&gt;=55,W304&lt;95),0.17,0)+IF(AND(V304&gt;175,W304&gt;=95),0.12,0),
IF(AF304="DoEVsu",IF(AND(V304&lt;20,W304&lt;55),0.3,0)+IF(AND(V304&lt;20,W304&gt;=55,W304&lt;105),0.23,0)+IF(AND(V304&lt;20,W304&gt;=105),0.17,0)+IF(AND(V304&gt;=20,V304&lt;40,W304&lt;45),0.3,0)+IF(AND(V304&gt;=20,V304&lt;40,W304&gt;=45,W304&lt;95),0.23,0)+IF(AND(V304&gt;=20,V304&lt;40,W304&gt;=95,W304&lt;=250),0.17,0)+IF(AND(V304&gt;=20,V304&lt;40,W304&gt;=250),0.12,0)+IF(AND(V304&gt;=40,V304&lt;75,W304&lt;35),0.3,0)+IF(AND(V304&gt;=40,V304&lt;75,W304&gt;=35,W304&lt;75),0.23,0)+IF(AND(V304&gt;=40,V304&lt;75,W304&gt;=75,W304&lt;120),0.17,0)+IF(AND(V304&gt;=40,V304&lt;75,W304&gt;=120),0.12,0)+IF(AND(V304&gt;=75,V304&lt;175,W304&lt;35),0.3,0)+IF(AND(V304&gt;=75,V304&lt;=175,W304&gt;=35,W304&lt;65),0.23,0)+IF(AND(V304&gt;=75,V304&lt;=175,W304&gt;=65,W304&lt;110),0.17,0)+IF(AND(V304&gt;=75,V304&lt;=175,W304&gt;=110),0.12,0)+IF(AND(V304&gt;175,W304&lt;25),0.3,0)+IF(AND(V304&gt;175,W304&gt;=25,W304&lt;55),0.23,0)+IF(AND(V304&gt;175,W304&gt;=55,W304&lt;95),0.17,0)+IF(AND(V304&gt;175,W304&gt;=95),0.12,0),
IF(AF304="DoEVni",IF(AND(V304&lt;20,W304&lt;55),0.3,0)+IF(AND(V304&lt;20,W304&gt;=55,W304&lt;105),0.23,0)+IF(AND(V304&lt;20,W304&gt;=105),0.17,0)+IF(AND(V304&gt;=20,V304&lt;40,W304&lt;45),0.3,0)+IF(AND(V304&gt;=20,V304&lt;40,W304&gt;=45,W304&lt;95),0.23,0)+IF(AND(V304&gt;=20,V304&lt;40,W304&gt;=95,W304&lt;=200),0.17,0)+IF(AND(V304&gt;=20,V304&lt;40,W304&gt;=200),0.12,0)+IF(AND(V304&gt;=40,V304&lt;75,W304&lt;35),0.3,0)+IF(AND(V304&gt;=40,V304&lt;75,W304&gt;=35,W304&lt;75),0.23,0)+IF(AND(V304&gt;=40,V304&lt;75,W304&gt;=75,W304&lt;120),0.17,0)+IF(AND(V304&gt;=40,V304&lt;75,W304&gt;=120),0.12,0)+IF(AND(V304&gt;=75,V304&lt;175,W304&lt;35),0.3,0)+IF(AND(V304&gt;=75,V304&lt;=175,W304&gt;=35,W304&lt;65),0.23,0)+IF(AND(V304&gt;=75,V304&lt;=175,W304&gt;=65,W304&lt;110),0.17,0)+IF(AND(V304&gt;=75,V304&lt;=175,W304&gt;=110),0.12,0)+IF(AND(V304&gt;175,W304&lt;25),0.3,0)+IF(AND(V304&gt;175,W304&gt;=25,W304&lt;55),0.23,0)+IF(AND(V304&gt;175,W304&gt;=55,W304&lt;95),0.17,0)+IF(AND(V304&gt;175,W304&gt;=95),0.12,0),
IF(AF304="DoEVLo",IF(AND(V304&lt;20,W304&lt;55),0.25,0)+IF(AND(V304&lt;20,W304&gt;=55,W304&lt;105),0.2,0)+IF(AND(V304&lt;20,W304&gt;=105),0.15,0)+IF(AND(V304&gt;=20,V304&lt;40,W304&lt;45),0.25,0)+IF(AND(V304&gt;=20,V304&lt;40,W304&gt;=45,W304&lt;95),0.2,0)+IF(AND(V304&gt;=20,V304&lt;40,W304&gt;=95),0.15,0)+IF(AND(V304&gt;=40,V304&lt;75,W304&lt;35),0.25,0)+IF(AND(V304&gt;=40,V304&lt;75,W304&gt;=35,W304&lt;75),0.2,0)+IF(AND(V304&gt;=40,V304&lt;75,W304&gt;=75,W304&lt;120),0.15,0)+IF(AND(V304&gt;=40,V304&lt;75,W304&gt;=120),0.1,0)+IF(AND(V304&gt;=75,V304&lt;175,W304&lt;35),0.25,0)+IF(AND(V304&gt;=75,V304&lt;=175,W304&gt;=35,W304&lt;65),0.2,0)+IF(AND(V304&gt;=75,V304&lt;=175,W304&gt;=65,W304&lt;110),0.15,0)+IF(AND(V304&gt;=75,V304&lt;=175,W304&gt;=110),0.1,0)+IF(AND(V304&gt;175,W304&lt;25),0.25,0)+IF(AND(V304&gt;175,W304&gt;=25,W304&lt;55),0.2,0)+IF(AND(V304&gt;175,W304&gt;=55,W304&lt;95),0.15,0)+IF(AND(V304&gt;175,W304&gt;=95),0.1,0))))))))))))))))</f>
        <v>0.3</v>
      </c>
      <c r="Y304" s="30">
        <f>IF(AG304="None",0,IF(AG304="Fix5",0.05,IF(AG304="Fix3.75",0.0375,IF(AG304="Fix10",0.1,IF(AG304="Fix3",0.03,0)))))</f>
        <v>0</v>
      </c>
      <c r="Z304" s="35">
        <f>T304-AA304-AB304</f>
        <v>286.3</v>
      </c>
      <c r="AA304" s="29">
        <f>IF(AD304="EUR",((T304-R304)*X304)*U304+(R304*X304),(T304*X304))</f>
        <v>122.69999999999999</v>
      </c>
      <c r="AB304" s="36">
        <f>IF(AD304="EUR",((T304-R304)*Y304)*U304+(R304*Y304),(T304*Y304))</f>
        <v>0</v>
      </c>
      <c r="AC304" s="37" t="b">
        <v>1</v>
      </c>
      <c r="AD304" s="37" t="s">
        <v>38</v>
      </c>
      <c r="AE304" s="37" t="s">
        <v>38</v>
      </c>
      <c r="AF304" s="37" t="str">
        <f t="array" ref="AF304">INDEX('Deal Info'!D:D, MATCH(A304,'Deal Info'!A:A, 0))</f>
        <v>DoEVsu</v>
      </c>
      <c r="AG304" s="38" t="str">
        <f t="array" ref="AG304">INDEX('Deal Info'!G:G, MATCH(A304,'Deal Info'!A:A, 0))</f>
        <v>None</v>
      </c>
    </row>
    <row r="305" spans="1:33" ht="14.25" hidden="1" x14ac:dyDescent="0.2">
      <c r="A305" s="18" t="str">
        <f t="array" ref="A305">IF(G305='Room Info'!$B$1, INDEX('Room Info'!$A$2:$A2446, MATCH(B305,'Room Info'!$B$2:$B2446, 0)),IF(G305='Room Info'!$C$1, INDEX('Room Info'!$A$2:$A2446, MATCH(B305,'Room Info'!$C$2:$C2446, 0)),IF(G305='Room Info'!$D$1, INDEX('Room Info'!$A$2:$A2446, MATCH(B305,'Room Info'!$D$2:$D2446, 0)),IF(G305='Room Info'!$E$1, INDEX('Room Info'!$A$2:$A2446, MATCH(B305,'Room Info'!$E$2:$E2446, 0)),IF(G305='Room Info'!$F$1, INDEX('Room Info'!$A$2:$A2446, MATCH(B305,'Room Info'!$F$2:$F2446, 0)),IF(G305='Room Info'!$H$1, INDEX('Room Info'!$A$2:$A2446, MATCH(B305,'Room Info'!$H$2:$H2446, 0)),IF(G305='Room Info'!$G$1, INDEX('Room Info'!$A$2:$A2446, MATCH(B305,'Room Info'!$G$2:$G2446, 0)))))))))</f>
        <v>supreme325i</v>
      </c>
      <c r="B305" s="45" t="s">
        <v>117</v>
      </c>
      <c r="C305" s="46">
        <v>44866</v>
      </c>
      <c r="D305" s="46">
        <v>44895</v>
      </c>
      <c r="E305" s="47">
        <v>44866</v>
      </c>
      <c r="F305" s="48" t="s">
        <v>34</v>
      </c>
      <c r="G305" s="45" t="s">
        <v>69</v>
      </c>
      <c r="H305" s="49" t="s">
        <v>71</v>
      </c>
      <c r="I305" s="49" t="s">
        <v>37</v>
      </c>
      <c r="J305" s="70">
        <v>20</v>
      </c>
      <c r="K305" s="71">
        <v>6194</v>
      </c>
      <c r="L305" s="72">
        <v>-420</v>
      </c>
      <c r="M305" s="53">
        <v>5577</v>
      </c>
      <c r="N305" s="28">
        <f>K305*J305</f>
        <v>123880</v>
      </c>
      <c r="O305" s="45">
        <v>241827</v>
      </c>
      <c r="P305" s="29">
        <v>39.04213755</v>
      </c>
      <c r="Q305" s="55"/>
      <c r="R305" s="31">
        <f>M305+Q305</f>
        <v>5577</v>
      </c>
      <c r="S305" s="56">
        <v>1143</v>
      </c>
      <c r="T305" s="32">
        <f>R305+S305+IF(F305="Without EV deal",L305,0)</f>
        <v>6720</v>
      </c>
      <c r="U305" s="57">
        <v>1</v>
      </c>
      <c r="V305" s="69">
        <v>20</v>
      </c>
      <c r="W305" s="69">
        <v>336</v>
      </c>
      <c r="X305" s="30">
        <f>IF(AF305="DoEV",IF(AND(V305&lt;20,W305&lt;55),0.3,0)+IF(AND(V305&lt;20,W305&gt;=55,W305&lt;105),0.23,0)+IF(AND(V305&lt;20,W305&gt;=105),0.17,0)+IF(AND(V305&gt;=20,V305&lt;40,W305&lt;45),0.3,0)+IF(AND(V305&gt;=20,V305&lt;40,W305&gt;=45,W305&lt;95),0.23,0)+IF(AND(V305&gt;=20,V305&lt;40,W305&gt;=95),0.17,0)+IF(AND(V305&gt;=40,V305&lt;75,W305&lt;35),0.3,0)+IF(AND(V305&gt;=40,V305&lt;75,W305&gt;=35,W305&lt;75),0.23,0)+IF(AND(V305&gt;=40,V305&lt;75,W305&gt;=75,W305&lt;120),0.17,0)+IF(AND(V305&gt;=40,V305&lt;75,W305&gt;=120),0.12,0)+IF(AND(V305&gt;=75,V305&lt;175,W305&lt;35),0.3,0)+IF(AND(V305&gt;=75,V305&lt;=175,W305&gt;=35,W305&lt;65),0.23,0)+IF(AND(V305&gt;=75,V305&lt;=175,W305&gt;=65,W305&lt;110),0.17,0)+IF(AND(V305&gt;=75,V305&lt;=175,W305&gt;=110),0.12,0)+IF(AND(V305&gt;175,W305&lt;25),0.3,0)+IF(AND(V305&gt;175,W305&gt;=25,W305&lt;55),0.23,0)+IF(AND(V305&gt;175,W305&gt;=55,W305&lt;95),0.17,0)+IF(AND(V305&gt;175,W305&gt;=95),0.12,0),
IF(AF305="Fix15",0.15,
IF(AF305="Fix11.25",0.1125,
IF(AF305="Fix10",0.1,
IF(AF305="Fix9",0.09,
IF(AF305="DoEV2017",IF(AND(W305&lt;74),0.2,0)+IF(AND(W305&gt;=74),0.17,0),
IF(AF305="SF",IF(AND(V305&lt;20,W305&lt;89),0.3,0)+IF(AND(V305&lt;20,W305&gt;=89),0.25,0)+IF(AND(V305&gt;=20,V305&lt;40,W305&lt;74),0.3,0)+IF(AND(V305&gt;=20,V305&lt;40,W305&gt;=75),0.22,0)+IF(AND(V305&gt;=40,V305&lt;75,W305&lt;75),0.26,0)+IF(AND(V305&gt;=40,V305&lt;75,W305&gt;=75),0.22,0)+IF(V305&gt;=75,0.22,0),
IF(AF305="DoEVold",IF(AND(V305&lt;40,W305&lt;35),0.35,0)+IF(AND(V305&lt;40,W305&gt;=35,W305&lt;75),0.25,0)+IF(AND(V305&lt;40,W305&gt;=75),0.17,0)+IF(AND(V305&gt;=40,V305&lt;75,W305&lt;25),0.35,0)+IF(AND(V305&gt;=40,V305&lt;75,W305&gt;=25,W305&lt;65),0.25,0)+IF(AND(V305&gt;=40,V305&lt;75,W305&gt;=65,W305&lt;100),0.17,0)+IF(AND(V305&gt;=40,V305&lt;75,W305&gt;=100),0.1,0)+IF(AND(V305&gt;=75,W305&lt;25),0.35,0)+IF(AND(V305&gt;=75,W305&gt;=25,W305&lt;60),0.25,0)+IF(AND(V305&gt;=75,W305&gt;=60,W305&lt;95),0.17,0)+IF(AND(V305&gt;=75,W305&gt;=95),0.1,0),
IF(AF305="DoEVold15",IF(AND(V305&lt;=40,W305&lt;35),0.35,0)+IF(AND(V305&lt;=40,W305&gt;=35,W305&lt;75),0.25,0)+IF(AND(V305&lt;=40,W305&gt;=75,W305&lt;120),0.17,0)+IF(AND(V305&lt;=40,W305&gt;=120),0.15,0)+IF(AND(V305&gt;40,V305&lt;75,W305&lt;25),0.35,0)+IF(AND(V305&gt;=40,V305&lt;75,W305&gt;=25,W305&lt;65),0.25,0)+IF(AND(V305&gt;=40,V305&lt;75,W305&gt;=65,W305&lt;100),0.17,0)+IF(AND(V305&gt;=40,V305&lt;75,W305&gt;=100),0.1,0)+IF(AND(V305&gt;=75,W305&lt;25),0.35,0)+IF(AND(V305&gt;=75,W305&gt;=25,W305&lt;60),0.25,0)+IF(AND(V305&gt;=75,W305&gt;=60,W305&lt;95),0.17,0)+IF(AND(V305&gt;=75,W305&gt;=95),0.1,0),
IF(AF305="DoEVba",IF(AND(V305&lt;20,W305&lt;105),0.2,0)+IF(AND(V305&lt;20,W305&gt;=105),0.15,0)+IF(AND(V305&gt;=20,V305&lt;40,W305&lt;95),0.2,0)+IF(AND(V305&gt;=20,V305&lt;40,W305&gt;=95,W305&lt;150),0.15,0)+IF(AND(V305&gt;=20,V305&lt;40,W305&gt;=150),0.12,0)+IF(AND(V305&gt;=40,V305&lt;75,W305&lt;75),0.2,0)+IF(AND(V305&gt;=40,V305&lt;75,W305&gt;=75,W305&lt;120),0.15,0)+IF(AND(V305&gt;=40,V305&lt;75,W305&gt;=120),0.12,0)+IF(AND(V305&gt;=75,V305&lt;175,W305&lt;65),0.2,0)+IF(AND(V305&gt;=75,V305&lt;175,W305&gt;=65,W305&lt;110),0.15,0)+IF(AND(V305&gt;=75,V305&lt;175,W305&gt;=110),0.12,0)+IF(AND(V305&gt;=175,W305&lt;55),0.2,0)+IF(AND(V305&gt;=175,W305&gt;=55,W305&lt;95),0.15,0)+IF(AND(V305&gt;=175,W305&gt;=95),0.12,0),
IF(AF305="DoEVku",IF(AND(V305&lt;20,W305&lt;55),0.23,0)+IF(AND(V305&lt;20,W305&gt;=55,W305&lt;105),0.2,0)+IF(AND(V305&lt;20,W305&gt;=105),0.17,0)+IF(AND(V305&gt;=20,V305&lt;40,W305&lt;45),0.23,0)+IF(AND(V305&gt;=20,V305&lt;40,W305&gt;=45,W305&lt;95),0.2,0)+IF(AND(V305&gt;=20,V305&lt;40,W305&gt;=95,W305&lt;=150),0.17,0)+IF(AND(V305&gt;=20,V305&lt;40,W305&gt;=150),0.12,0)+IF(AND(V305&gt;=40,V305&lt;75,W305&lt;35),0.23,0)+IF(AND(V305&gt;=40,V305&lt;75,W305&gt;=35,W305&lt;75),0.2,0)+IF(AND(V305&gt;=40,V305&lt;75,W305&gt;=75,W305&lt;120),0.17,0)+IF(AND(V305&gt;=40,V305&lt;75,W305&gt;=120),0.12,0)+IF(AND(V305&gt;=75,V305&lt;175,W305&lt;35),0.23,0)+IF(AND(V305&gt;=75,V305&lt;=175,W305&gt;=35,W305&lt;65),0.2,0)+IF(AND(V305&gt;=75,V305&lt;=175,W305&gt;=65,W305&lt;110),0.17,0)+IF(AND(V305&gt;=75,V305&lt;=175,W305&gt;=110),0.12,0)+IF(AND(V305&gt;175,W305&lt;25),0.23,0)+IF(AND(V305&gt;175,W305&gt;=25,W305&lt;55),0.2,0)+IF(AND(V305&gt;175,W305&gt;=55,W305&lt;95),0.17,0)+IF(AND(V305&gt;175,W305&gt;=95),0.12,0),
IF(AF305="DoEVs1",IF(AND(V305&lt;20,W305&lt;55),0.3,0)+IF(AND(V305&lt;20,W305&gt;=55,W305&lt;105),0.23,0)+IF(AND(V305&lt;20,W305&gt;=105),0.17,0)+IF(AND(V305&gt;=20,V305&lt;40,W305&lt;45),0.3,0)+IF(AND(V305&gt;=20,V305&lt;40,W305&gt;=45,W305&lt;95),0.23,0)+IF(AND(V305&gt;=20,V305&lt;40,W305&gt;=95,W305&lt;=150),0.17,0)+IF(AND(V305&gt;=20,V305&lt;40,W305&gt;=150),0.12,0)+IF(AND(V305&gt;=40,V305&lt;75,W305&lt;35),0.3,0)+IF(AND(V305&gt;=40,V305&lt;75,W305&gt;=35,W305&lt;75),0.23,0)+IF(AND(V305&gt;=40,V305&lt;75,W305&gt;=75,W305&lt;120),0.17,0)+IF(AND(V305&gt;=40,V305&lt;75,W305&gt;=120),0.12,0)+IF(AND(V305&gt;=75,V305&lt;175,W305&lt;35),0.3,0)+IF(AND(V305&gt;=75,V305&lt;=175,W305&gt;=35,W305&lt;65),0.23,0)+IF(AND(V305&gt;=75,V305&lt;=175,W305&gt;=65,W305&lt;110),0.17,0)+IF(AND(V305&gt;=75,V305&lt;=175,W305&gt;=110),0.12,0)+IF(AND(V305&gt;175,W305&lt;25),0.3,0)+IF(AND(V305&gt;175,W305&gt;=25,W305&lt;55),0.23,0)+IF(AND(V305&gt;175,W305&gt;=55,W305&lt;95),0.17,0)+IF(AND(V305&gt;175,W305&gt;=95),0.12,0),
IF(AF305="DoEVsu",IF(AND(V305&lt;20,W305&lt;55),0.3,0)+IF(AND(V305&lt;20,W305&gt;=55,W305&lt;105),0.23,0)+IF(AND(V305&lt;20,W305&gt;=105),0.17,0)+IF(AND(V305&gt;=20,V305&lt;40,W305&lt;45),0.3,0)+IF(AND(V305&gt;=20,V305&lt;40,W305&gt;=45,W305&lt;95),0.23,0)+IF(AND(V305&gt;=20,V305&lt;40,W305&gt;=95,W305&lt;=250),0.17,0)+IF(AND(V305&gt;=20,V305&lt;40,W305&gt;=250),0.12,0)+IF(AND(V305&gt;=40,V305&lt;75,W305&lt;35),0.3,0)+IF(AND(V305&gt;=40,V305&lt;75,W305&gt;=35,W305&lt;75),0.23,0)+IF(AND(V305&gt;=40,V305&lt;75,W305&gt;=75,W305&lt;120),0.17,0)+IF(AND(V305&gt;=40,V305&lt;75,W305&gt;=120),0.12,0)+IF(AND(V305&gt;=75,V305&lt;175,W305&lt;35),0.3,0)+IF(AND(V305&gt;=75,V305&lt;=175,W305&gt;=35,W305&lt;65),0.23,0)+IF(AND(V305&gt;=75,V305&lt;=175,W305&gt;=65,W305&lt;110),0.17,0)+IF(AND(V305&gt;=75,V305&lt;=175,W305&gt;=110),0.12,0)+IF(AND(V305&gt;175,W305&lt;25),0.3,0)+IF(AND(V305&gt;175,W305&gt;=25,W305&lt;55),0.23,0)+IF(AND(V305&gt;175,W305&gt;=55,W305&lt;95),0.17,0)+IF(AND(V305&gt;175,W305&gt;=95),0.12,0),
IF(AF305="DoEVni",IF(AND(V305&lt;20,W305&lt;55),0.3,0)+IF(AND(V305&lt;20,W305&gt;=55,W305&lt;105),0.23,0)+IF(AND(V305&lt;20,W305&gt;=105),0.17,0)+IF(AND(V305&gt;=20,V305&lt;40,W305&lt;45),0.3,0)+IF(AND(V305&gt;=20,V305&lt;40,W305&gt;=45,W305&lt;95),0.23,0)+IF(AND(V305&gt;=20,V305&lt;40,W305&gt;=95,W305&lt;=200),0.17,0)+IF(AND(V305&gt;=20,V305&lt;40,W305&gt;=200),0.12,0)+IF(AND(V305&gt;=40,V305&lt;75,W305&lt;35),0.3,0)+IF(AND(V305&gt;=40,V305&lt;75,W305&gt;=35,W305&lt;75),0.23,0)+IF(AND(V305&gt;=40,V305&lt;75,W305&gt;=75,W305&lt;120),0.17,0)+IF(AND(V305&gt;=40,V305&lt;75,W305&gt;=120),0.12,0)+IF(AND(V305&gt;=75,V305&lt;175,W305&lt;35),0.3,0)+IF(AND(V305&gt;=75,V305&lt;=175,W305&gt;=35,W305&lt;65),0.23,0)+IF(AND(V305&gt;=75,V305&lt;=175,W305&gt;=65,W305&lt;110),0.17,0)+IF(AND(V305&gt;=75,V305&lt;=175,W305&gt;=110),0.12,0)+IF(AND(V305&gt;175,W305&lt;25),0.3,0)+IF(AND(V305&gt;175,W305&gt;=25,W305&lt;55),0.23,0)+IF(AND(V305&gt;175,W305&gt;=55,W305&lt;95),0.17,0)+IF(AND(V305&gt;175,W305&gt;=95),0.12,0),
IF(AF305="DoEVLo",IF(AND(V305&lt;20,W305&lt;55),0.25,0)+IF(AND(V305&lt;20,W305&gt;=55,W305&lt;105),0.2,0)+IF(AND(V305&lt;20,W305&gt;=105),0.15,0)+IF(AND(V305&gt;=20,V305&lt;40,W305&lt;45),0.25,0)+IF(AND(V305&gt;=20,V305&lt;40,W305&gt;=45,W305&lt;95),0.2,0)+IF(AND(V305&gt;=20,V305&lt;40,W305&gt;=95),0.15,0)+IF(AND(V305&gt;=40,V305&lt;75,W305&lt;35),0.25,0)+IF(AND(V305&gt;=40,V305&lt;75,W305&gt;=35,W305&lt;75),0.2,0)+IF(AND(V305&gt;=40,V305&lt;75,W305&gt;=75,W305&lt;120),0.15,0)+IF(AND(V305&gt;=40,V305&lt;75,W305&gt;=120),0.1,0)+IF(AND(V305&gt;=75,V305&lt;175,W305&lt;35),0.25,0)+IF(AND(V305&gt;=75,V305&lt;=175,W305&gt;=35,W305&lt;65),0.2,0)+IF(AND(V305&gt;=75,V305&lt;=175,W305&gt;=65,W305&lt;110),0.15,0)+IF(AND(V305&gt;=75,V305&lt;=175,W305&gt;=110),0.1,0)+IF(AND(V305&gt;175,W305&lt;25),0.25,0)+IF(AND(V305&gt;175,W305&gt;=25,W305&lt;55),0.2,0)+IF(AND(V305&gt;175,W305&gt;=55,W305&lt;95),0.15,0)+IF(AND(V305&gt;175,W305&gt;=95),0.1,0))))))))))))))))</f>
        <v>0.12</v>
      </c>
      <c r="Y305" s="30">
        <f>IF(AG305="None",0,IF(AG305="Fix5",0.05,IF(AG305="Fix3.75",0.0375,IF(AG305="Fix10",0.1,IF(AG305="Fix3",0.03,0)))))</f>
        <v>0</v>
      </c>
      <c r="Z305" s="35">
        <f>T305-AA305-AB305</f>
        <v>5913.6</v>
      </c>
      <c r="AA305" s="29">
        <f>IF(AD305="EUR",((T305-R305)*X305)*U305+(R305*X305),(T305*X305))</f>
        <v>806.4</v>
      </c>
      <c r="AB305" s="36">
        <f>IF(AD305="EUR",((T305-R305)*Y305)*U305+(R305*Y305),(T305*Y305))</f>
        <v>0</v>
      </c>
      <c r="AC305" s="37" t="b">
        <v>1</v>
      </c>
      <c r="AD305" s="37" t="s">
        <v>38</v>
      </c>
      <c r="AE305" s="37" t="s">
        <v>38</v>
      </c>
      <c r="AF305" s="37" t="str">
        <f t="array" ref="AF305">INDEX('Deal Info'!D:D, MATCH(A305,'Deal Info'!A:A, 0))</f>
        <v>DoEVsu</v>
      </c>
      <c r="AG305" s="38" t="str">
        <f t="array" ref="AG305">INDEX('Deal Info'!G:G, MATCH(A305,'Deal Info'!A:A, 0))</f>
        <v>None</v>
      </c>
    </row>
    <row r="306" spans="1:33" ht="14.25" hidden="1" x14ac:dyDescent="0.2">
      <c r="A306" s="18" t="str">
        <f t="array" ref="A306">IF(G306='Room Info'!$B$1, INDEX('Room Info'!$A$2:$A2446, MATCH(B306,'Room Info'!$B$2:$B2446, 0)),IF(G306='Room Info'!$C$1, INDEX('Room Info'!$A$2:$A2446, MATCH(B306,'Room Info'!$C$2:$C2446, 0)),IF(G306='Room Info'!$D$1, INDEX('Room Info'!$A$2:$A2446, MATCH(B306,'Room Info'!$D$2:$D2446, 0)),IF(G306='Room Info'!$E$1, INDEX('Room Info'!$A$2:$A2446, MATCH(B306,'Room Info'!$E$2:$E2446, 0)),IF(G306='Room Info'!$F$1, INDEX('Room Info'!$A$2:$A2446, MATCH(B306,'Room Info'!$F$2:$F2446, 0)),IF(G306='Room Info'!$H$1, INDEX('Room Info'!$A$2:$A2446, MATCH(B306,'Room Info'!$H$2:$H2446, 0)),IF(G306='Room Info'!$G$1, INDEX('Room Info'!$A$2:$A2446, MATCH(B306,'Room Info'!$G$2:$G2446, 0)))))))))</f>
        <v>supreme325i</v>
      </c>
      <c r="B306" s="45" t="s">
        <v>117</v>
      </c>
      <c r="C306" s="46">
        <v>44896</v>
      </c>
      <c r="D306" s="46">
        <v>44926</v>
      </c>
      <c r="E306" s="47">
        <v>44896</v>
      </c>
      <c r="F306" s="48" t="s">
        <v>34</v>
      </c>
      <c r="G306" s="45" t="s">
        <v>69</v>
      </c>
      <c r="H306" s="49" t="s">
        <v>71</v>
      </c>
      <c r="I306" s="49" t="s">
        <v>37</v>
      </c>
      <c r="J306" s="70">
        <v>20</v>
      </c>
      <c r="K306" s="71">
        <v>6733</v>
      </c>
      <c r="L306" s="72">
        <v>1460</v>
      </c>
      <c r="M306" s="53">
        <v>6617</v>
      </c>
      <c r="N306" s="28">
        <f>K306*J306</f>
        <v>134660</v>
      </c>
      <c r="O306" s="45">
        <v>237283</v>
      </c>
      <c r="P306" s="29">
        <v>35.241794149999997</v>
      </c>
      <c r="Q306" s="55"/>
      <c r="R306" s="31">
        <f>M306+Q306</f>
        <v>6617</v>
      </c>
      <c r="S306" s="56">
        <v>520</v>
      </c>
      <c r="T306" s="32">
        <f>R306+S306+IF(F306="Without EV deal",L306,0)</f>
        <v>7137</v>
      </c>
      <c r="U306" s="57">
        <v>1</v>
      </c>
      <c r="V306" s="69">
        <v>20</v>
      </c>
      <c r="W306" s="69">
        <v>356.85</v>
      </c>
      <c r="X306" s="30">
        <f>IF(AF306="DoEV",IF(AND(V306&lt;20,W306&lt;55),0.3,0)+IF(AND(V306&lt;20,W306&gt;=55,W306&lt;105),0.23,0)+IF(AND(V306&lt;20,W306&gt;=105),0.17,0)+IF(AND(V306&gt;=20,V306&lt;40,W306&lt;45),0.3,0)+IF(AND(V306&gt;=20,V306&lt;40,W306&gt;=45,W306&lt;95),0.23,0)+IF(AND(V306&gt;=20,V306&lt;40,W306&gt;=95),0.17,0)+IF(AND(V306&gt;=40,V306&lt;75,W306&lt;35),0.3,0)+IF(AND(V306&gt;=40,V306&lt;75,W306&gt;=35,W306&lt;75),0.23,0)+IF(AND(V306&gt;=40,V306&lt;75,W306&gt;=75,W306&lt;120),0.17,0)+IF(AND(V306&gt;=40,V306&lt;75,W306&gt;=120),0.12,0)+IF(AND(V306&gt;=75,V306&lt;175,W306&lt;35),0.3,0)+IF(AND(V306&gt;=75,V306&lt;=175,W306&gt;=35,W306&lt;65),0.23,0)+IF(AND(V306&gt;=75,V306&lt;=175,W306&gt;=65,W306&lt;110),0.17,0)+IF(AND(V306&gt;=75,V306&lt;=175,W306&gt;=110),0.12,0)+IF(AND(V306&gt;175,W306&lt;25),0.3,0)+IF(AND(V306&gt;175,W306&gt;=25,W306&lt;55),0.23,0)+IF(AND(V306&gt;175,W306&gt;=55,W306&lt;95),0.17,0)+IF(AND(V306&gt;175,W306&gt;=95),0.12,0),
IF(AF306="Fix15",0.15,
IF(AF306="Fix11.25",0.1125,
IF(AF306="Fix10",0.1,
IF(AF306="Fix9",0.09,
IF(AF306="DoEV2017",IF(AND(W306&lt;74),0.2,0)+IF(AND(W306&gt;=74),0.17,0),
IF(AF306="SF",IF(AND(V306&lt;20,W306&lt;89),0.3,0)+IF(AND(V306&lt;20,W306&gt;=89),0.25,0)+IF(AND(V306&gt;=20,V306&lt;40,W306&lt;74),0.3,0)+IF(AND(V306&gt;=20,V306&lt;40,W306&gt;=75),0.22,0)+IF(AND(V306&gt;=40,V306&lt;75,W306&lt;75),0.26,0)+IF(AND(V306&gt;=40,V306&lt;75,W306&gt;=75),0.22,0)+IF(V306&gt;=75,0.22,0),
IF(AF306="DoEVold",IF(AND(V306&lt;40,W306&lt;35),0.35,0)+IF(AND(V306&lt;40,W306&gt;=35,W306&lt;75),0.25,0)+IF(AND(V306&lt;40,W306&gt;=75),0.17,0)+IF(AND(V306&gt;=40,V306&lt;75,W306&lt;25),0.35,0)+IF(AND(V306&gt;=40,V306&lt;75,W306&gt;=25,W306&lt;65),0.25,0)+IF(AND(V306&gt;=40,V306&lt;75,W306&gt;=65,W306&lt;100),0.17,0)+IF(AND(V306&gt;=40,V306&lt;75,W306&gt;=100),0.1,0)+IF(AND(V306&gt;=75,W306&lt;25),0.35,0)+IF(AND(V306&gt;=75,W306&gt;=25,W306&lt;60),0.25,0)+IF(AND(V306&gt;=75,W306&gt;=60,W306&lt;95),0.17,0)+IF(AND(V306&gt;=75,W306&gt;=95),0.1,0),
IF(AF306="DoEVold15",IF(AND(V306&lt;=40,W306&lt;35),0.35,0)+IF(AND(V306&lt;=40,W306&gt;=35,W306&lt;75),0.25,0)+IF(AND(V306&lt;=40,W306&gt;=75,W306&lt;120),0.17,0)+IF(AND(V306&lt;=40,W306&gt;=120),0.15,0)+IF(AND(V306&gt;40,V306&lt;75,W306&lt;25),0.35,0)+IF(AND(V306&gt;=40,V306&lt;75,W306&gt;=25,W306&lt;65),0.25,0)+IF(AND(V306&gt;=40,V306&lt;75,W306&gt;=65,W306&lt;100),0.17,0)+IF(AND(V306&gt;=40,V306&lt;75,W306&gt;=100),0.1,0)+IF(AND(V306&gt;=75,W306&lt;25),0.35,0)+IF(AND(V306&gt;=75,W306&gt;=25,W306&lt;60),0.25,0)+IF(AND(V306&gt;=75,W306&gt;=60,W306&lt;95),0.17,0)+IF(AND(V306&gt;=75,W306&gt;=95),0.1,0),
IF(AF306="DoEVba",IF(AND(V306&lt;20,W306&lt;105),0.2,0)+IF(AND(V306&lt;20,W306&gt;=105),0.15,0)+IF(AND(V306&gt;=20,V306&lt;40,W306&lt;95),0.2,0)+IF(AND(V306&gt;=20,V306&lt;40,W306&gt;=95,W306&lt;150),0.15,0)+IF(AND(V306&gt;=20,V306&lt;40,W306&gt;=150),0.12,0)+IF(AND(V306&gt;=40,V306&lt;75,W306&lt;75),0.2,0)+IF(AND(V306&gt;=40,V306&lt;75,W306&gt;=75,W306&lt;120),0.15,0)+IF(AND(V306&gt;=40,V306&lt;75,W306&gt;=120),0.12,0)+IF(AND(V306&gt;=75,V306&lt;175,W306&lt;65),0.2,0)+IF(AND(V306&gt;=75,V306&lt;175,W306&gt;=65,W306&lt;110),0.15,0)+IF(AND(V306&gt;=75,V306&lt;175,W306&gt;=110),0.12,0)+IF(AND(V306&gt;=175,W306&lt;55),0.2,0)+IF(AND(V306&gt;=175,W306&gt;=55,W306&lt;95),0.15,0)+IF(AND(V306&gt;=175,W306&gt;=95),0.12,0),
IF(AF306="DoEVku",IF(AND(V306&lt;20,W306&lt;55),0.23,0)+IF(AND(V306&lt;20,W306&gt;=55,W306&lt;105),0.2,0)+IF(AND(V306&lt;20,W306&gt;=105),0.17,0)+IF(AND(V306&gt;=20,V306&lt;40,W306&lt;45),0.23,0)+IF(AND(V306&gt;=20,V306&lt;40,W306&gt;=45,W306&lt;95),0.2,0)+IF(AND(V306&gt;=20,V306&lt;40,W306&gt;=95,W306&lt;=150),0.17,0)+IF(AND(V306&gt;=20,V306&lt;40,W306&gt;=150),0.12,0)+IF(AND(V306&gt;=40,V306&lt;75,W306&lt;35),0.23,0)+IF(AND(V306&gt;=40,V306&lt;75,W306&gt;=35,W306&lt;75),0.2,0)+IF(AND(V306&gt;=40,V306&lt;75,W306&gt;=75,W306&lt;120),0.17,0)+IF(AND(V306&gt;=40,V306&lt;75,W306&gt;=120),0.12,0)+IF(AND(V306&gt;=75,V306&lt;175,W306&lt;35),0.23,0)+IF(AND(V306&gt;=75,V306&lt;=175,W306&gt;=35,W306&lt;65),0.2,0)+IF(AND(V306&gt;=75,V306&lt;=175,W306&gt;=65,W306&lt;110),0.17,0)+IF(AND(V306&gt;=75,V306&lt;=175,W306&gt;=110),0.12,0)+IF(AND(V306&gt;175,W306&lt;25),0.23,0)+IF(AND(V306&gt;175,W306&gt;=25,W306&lt;55),0.2,0)+IF(AND(V306&gt;175,W306&gt;=55,W306&lt;95),0.17,0)+IF(AND(V306&gt;175,W306&gt;=95),0.12,0),
IF(AF306="DoEVs1",IF(AND(V306&lt;20,W306&lt;55),0.3,0)+IF(AND(V306&lt;20,W306&gt;=55,W306&lt;105),0.23,0)+IF(AND(V306&lt;20,W306&gt;=105),0.17,0)+IF(AND(V306&gt;=20,V306&lt;40,W306&lt;45),0.3,0)+IF(AND(V306&gt;=20,V306&lt;40,W306&gt;=45,W306&lt;95),0.23,0)+IF(AND(V306&gt;=20,V306&lt;40,W306&gt;=95,W306&lt;=150),0.17,0)+IF(AND(V306&gt;=20,V306&lt;40,W306&gt;=150),0.12,0)+IF(AND(V306&gt;=40,V306&lt;75,W306&lt;35),0.3,0)+IF(AND(V306&gt;=40,V306&lt;75,W306&gt;=35,W306&lt;75),0.23,0)+IF(AND(V306&gt;=40,V306&lt;75,W306&gt;=75,W306&lt;120),0.17,0)+IF(AND(V306&gt;=40,V306&lt;75,W306&gt;=120),0.12,0)+IF(AND(V306&gt;=75,V306&lt;175,W306&lt;35),0.3,0)+IF(AND(V306&gt;=75,V306&lt;=175,W306&gt;=35,W306&lt;65),0.23,0)+IF(AND(V306&gt;=75,V306&lt;=175,W306&gt;=65,W306&lt;110),0.17,0)+IF(AND(V306&gt;=75,V306&lt;=175,W306&gt;=110),0.12,0)+IF(AND(V306&gt;175,W306&lt;25),0.3,0)+IF(AND(V306&gt;175,W306&gt;=25,W306&lt;55),0.23,0)+IF(AND(V306&gt;175,W306&gt;=55,W306&lt;95),0.17,0)+IF(AND(V306&gt;175,W306&gt;=95),0.12,0),
IF(AF306="DoEVsu",IF(AND(V306&lt;20,W306&lt;55),0.3,0)+IF(AND(V306&lt;20,W306&gt;=55,W306&lt;105),0.23,0)+IF(AND(V306&lt;20,W306&gt;=105),0.17,0)+IF(AND(V306&gt;=20,V306&lt;40,W306&lt;45),0.3,0)+IF(AND(V306&gt;=20,V306&lt;40,W306&gt;=45,W306&lt;95),0.23,0)+IF(AND(V306&gt;=20,V306&lt;40,W306&gt;=95,W306&lt;=250),0.17,0)+IF(AND(V306&gt;=20,V306&lt;40,W306&gt;=250),0.12,0)+IF(AND(V306&gt;=40,V306&lt;75,W306&lt;35),0.3,0)+IF(AND(V306&gt;=40,V306&lt;75,W306&gt;=35,W306&lt;75),0.23,0)+IF(AND(V306&gt;=40,V306&lt;75,W306&gt;=75,W306&lt;120),0.17,0)+IF(AND(V306&gt;=40,V306&lt;75,W306&gt;=120),0.12,0)+IF(AND(V306&gt;=75,V306&lt;175,W306&lt;35),0.3,0)+IF(AND(V306&gt;=75,V306&lt;=175,W306&gt;=35,W306&lt;65),0.23,0)+IF(AND(V306&gt;=75,V306&lt;=175,W306&gt;=65,W306&lt;110),0.17,0)+IF(AND(V306&gt;=75,V306&lt;=175,W306&gt;=110),0.12,0)+IF(AND(V306&gt;175,W306&lt;25),0.3,0)+IF(AND(V306&gt;175,W306&gt;=25,W306&lt;55),0.23,0)+IF(AND(V306&gt;175,W306&gt;=55,W306&lt;95),0.17,0)+IF(AND(V306&gt;175,W306&gt;=95),0.12,0),
IF(AF306="DoEVni",IF(AND(V306&lt;20,W306&lt;55),0.3,0)+IF(AND(V306&lt;20,W306&gt;=55,W306&lt;105),0.23,0)+IF(AND(V306&lt;20,W306&gt;=105),0.17,0)+IF(AND(V306&gt;=20,V306&lt;40,W306&lt;45),0.3,0)+IF(AND(V306&gt;=20,V306&lt;40,W306&gt;=45,W306&lt;95),0.23,0)+IF(AND(V306&gt;=20,V306&lt;40,W306&gt;=95,W306&lt;=200),0.17,0)+IF(AND(V306&gt;=20,V306&lt;40,W306&gt;=200),0.12,0)+IF(AND(V306&gt;=40,V306&lt;75,W306&lt;35),0.3,0)+IF(AND(V306&gt;=40,V306&lt;75,W306&gt;=35,W306&lt;75),0.23,0)+IF(AND(V306&gt;=40,V306&lt;75,W306&gt;=75,W306&lt;120),0.17,0)+IF(AND(V306&gt;=40,V306&lt;75,W306&gt;=120),0.12,0)+IF(AND(V306&gt;=75,V306&lt;175,W306&lt;35),0.3,0)+IF(AND(V306&gt;=75,V306&lt;=175,W306&gt;=35,W306&lt;65),0.23,0)+IF(AND(V306&gt;=75,V306&lt;=175,W306&gt;=65,W306&lt;110),0.17,0)+IF(AND(V306&gt;=75,V306&lt;=175,W306&gt;=110),0.12,0)+IF(AND(V306&gt;175,W306&lt;25),0.3,0)+IF(AND(V306&gt;175,W306&gt;=25,W306&lt;55),0.23,0)+IF(AND(V306&gt;175,W306&gt;=55,W306&lt;95),0.17,0)+IF(AND(V306&gt;175,W306&gt;=95),0.12,0),
IF(AF306="DoEVLo",IF(AND(V306&lt;20,W306&lt;55),0.25,0)+IF(AND(V306&lt;20,W306&gt;=55,W306&lt;105),0.2,0)+IF(AND(V306&lt;20,W306&gt;=105),0.15,0)+IF(AND(V306&gt;=20,V306&lt;40,W306&lt;45),0.25,0)+IF(AND(V306&gt;=20,V306&lt;40,W306&gt;=45,W306&lt;95),0.2,0)+IF(AND(V306&gt;=20,V306&lt;40,W306&gt;=95),0.15,0)+IF(AND(V306&gt;=40,V306&lt;75,W306&lt;35),0.25,0)+IF(AND(V306&gt;=40,V306&lt;75,W306&gt;=35,W306&lt;75),0.2,0)+IF(AND(V306&gt;=40,V306&lt;75,W306&gt;=75,W306&lt;120),0.15,0)+IF(AND(V306&gt;=40,V306&lt;75,W306&gt;=120),0.1,0)+IF(AND(V306&gt;=75,V306&lt;175,W306&lt;35),0.25,0)+IF(AND(V306&gt;=75,V306&lt;=175,W306&gt;=35,W306&lt;65),0.2,0)+IF(AND(V306&gt;=75,V306&lt;=175,W306&gt;=65,W306&lt;110),0.15,0)+IF(AND(V306&gt;=75,V306&lt;=175,W306&gt;=110),0.1,0)+IF(AND(V306&gt;175,W306&lt;25),0.25,0)+IF(AND(V306&gt;175,W306&gt;=25,W306&lt;55),0.2,0)+IF(AND(V306&gt;175,W306&gt;=55,W306&lt;95),0.15,0)+IF(AND(V306&gt;175,W306&gt;=95),0.1,0))))))))))))))))</f>
        <v>0.12</v>
      </c>
      <c r="Y306" s="30">
        <f>IF(AG306="None",0,IF(AG306="Fix5",0.05,IF(AG306="Fix3.75",0.0375,IF(AG306="Fix10",0.1,IF(AG306="Fix3",0.03,0)))))</f>
        <v>0</v>
      </c>
      <c r="Z306" s="35">
        <f>T306-AA306-AB306</f>
        <v>6280.56</v>
      </c>
      <c r="AA306" s="29">
        <f>IF(AD306="EUR",((T306-R306)*X306)*U306+(R306*X306),(T306*X306))</f>
        <v>856.43999999999994</v>
      </c>
      <c r="AB306" s="36">
        <f>IF(AD306="EUR",((T306-R306)*Y306)*U306+(R306*Y306),(T306*Y306))</f>
        <v>0</v>
      </c>
      <c r="AC306" s="37" t="b">
        <v>1</v>
      </c>
      <c r="AD306" s="37" t="s">
        <v>38</v>
      </c>
      <c r="AE306" s="37" t="s">
        <v>38</v>
      </c>
      <c r="AF306" s="37" t="str">
        <f t="array" ref="AF306">INDEX('Deal Info'!D:D, MATCH(A306,'Deal Info'!A:A, 0))</f>
        <v>DoEVsu</v>
      </c>
      <c r="AG306" s="38" t="str">
        <f t="array" ref="AG306">INDEX('Deal Info'!G:G, MATCH(A306,'Deal Info'!A:A, 0))</f>
        <v>None</v>
      </c>
    </row>
    <row r="307" spans="1:33" ht="14.25" hidden="1" x14ac:dyDescent="0.2">
      <c r="A307" s="18" t="str">
        <f t="array" ref="A307">IF(G307='Room Info'!$B$1, INDEX('Room Info'!$A$2:$A2446, MATCH(B307,'Room Info'!$B$2:$B2446, 0)),IF(G307='Room Info'!$C$1, INDEX('Room Info'!$A$2:$A2446, MATCH(B307,'Room Info'!$C$2:$C2446, 0)),IF(G307='Room Info'!$D$1, INDEX('Room Info'!$A$2:$A2446, MATCH(B307,'Room Info'!$D$2:$D2446, 0)),IF(G307='Room Info'!$E$1, INDEX('Room Info'!$A$2:$A2446, MATCH(B307,'Room Info'!$E$2:$E2446, 0)),IF(G307='Room Info'!$F$1, INDEX('Room Info'!$A$2:$A2446, MATCH(B307,'Room Info'!$F$2:$F2446, 0)),IF(G307='Room Info'!$H$1, INDEX('Room Info'!$A$2:$A2446, MATCH(B307,'Room Info'!$H$2:$H2446, 0)),IF(G307='Room Info'!$G$1, INDEX('Room Info'!$A$2:$A2446, MATCH(B307,'Room Info'!$G$2:$G2446, 0)))))))))</f>
        <v>gRRRiz</v>
      </c>
      <c r="B307" s="45" t="s">
        <v>118</v>
      </c>
      <c r="C307" s="46">
        <v>44672</v>
      </c>
      <c r="D307" s="46">
        <v>44701</v>
      </c>
      <c r="E307" s="47">
        <v>44682</v>
      </c>
      <c r="F307" s="48" t="s">
        <v>34</v>
      </c>
      <c r="G307" s="45" t="s">
        <v>80</v>
      </c>
      <c r="H307" s="49" t="s">
        <v>70</v>
      </c>
      <c r="I307" s="49" t="s">
        <v>81</v>
      </c>
      <c r="J307" s="70">
        <v>100</v>
      </c>
      <c r="K307" s="71">
        <v>8252</v>
      </c>
      <c r="L307" s="72">
        <v>-41600</v>
      </c>
      <c r="M307" s="53">
        <v>46848</v>
      </c>
      <c r="N307" s="28">
        <f>K307*J307</f>
        <v>825200</v>
      </c>
      <c r="O307" s="45">
        <v>76719</v>
      </c>
      <c r="P307" s="29">
        <v>9.2970189049999998</v>
      </c>
      <c r="Q307" s="55"/>
      <c r="R307" s="31">
        <f>M307+Q307</f>
        <v>46848</v>
      </c>
      <c r="S307" s="73">
        <v>-37718</v>
      </c>
      <c r="T307" s="32">
        <f>R307+S307+IF(F307="Without EV deal",L307,0)</f>
        <v>9130</v>
      </c>
      <c r="U307" s="57">
        <v>1</v>
      </c>
      <c r="V307" s="58"/>
      <c r="W307" s="58"/>
      <c r="X307" s="30">
        <f>IF(AF307="DoEV",IF(AND(V307&lt;20,W307&lt;55),0.3,0)+IF(AND(V307&lt;20,W307&gt;=55,W307&lt;105),0.23,0)+IF(AND(V307&lt;20,W307&gt;=105),0.17,0)+IF(AND(V307&gt;=20,V307&lt;40,W307&lt;45),0.3,0)+IF(AND(V307&gt;=20,V307&lt;40,W307&gt;=45,W307&lt;95),0.23,0)+IF(AND(V307&gt;=20,V307&lt;40,W307&gt;=95),0.17,0)+IF(AND(V307&gt;=40,V307&lt;75,W307&lt;35),0.3,0)+IF(AND(V307&gt;=40,V307&lt;75,W307&gt;=35,W307&lt;75),0.23,0)+IF(AND(V307&gt;=40,V307&lt;75,W307&gt;=75,W307&lt;120),0.17,0)+IF(AND(V307&gt;=40,V307&lt;75,W307&gt;=120),0.12,0)+IF(AND(V307&gt;=75,V307&lt;175,W307&lt;35),0.3,0)+IF(AND(V307&gt;=75,V307&lt;=175,W307&gt;=35,W307&lt;65),0.23,0)+IF(AND(V307&gt;=75,V307&lt;=175,W307&gt;=65,W307&lt;110),0.17,0)+IF(AND(V307&gt;=75,V307&lt;=175,W307&gt;=110),0.12,0)+IF(AND(V307&gt;175,W307&lt;25),0.3,0)+IF(AND(V307&gt;175,W307&gt;=25,W307&lt;55),0.23,0)+IF(AND(V307&gt;175,W307&gt;=55,W307&lt;95),0.17,0)+IF(AND(V307&gt;175,W307&gt;=95),0.12,0),
IF(AF307="Fix15",0.15,
IF(AF307="Fix11.25",0.1125,
IF(AF307="Fix10",0.1,
IF(AF307="Fix9",0.09,
IF(AF307="DoEV2017",IF(AND(W307&lt;74),0.2,0)+IF(AND(W307&gt;=74),0.17,0),
IF(AF307="SF",IF(AND(V307&lt;20,W307&lt;89),0.3,0)+IF(AND(V307&lt;20,W307&gt;=89),0.25,0)+IF(AND(V307&gt;=20,V307&lt;40,W307&lt;74),0.3,0)+IF(AND(V307&gt;=20,V307&lt;40,W307&gt;=75),0.22,0)+IF(AND(V307&gt;=40,V307&lt;75,W307&lt;75),0.26,0)+IF(AND(V307&gt;=40,V307&lt;75,W307&gt;=75),0.22,0)+IF(V307&gt;=75,0.22,0),
IF(AF307="DoEVold",IF(AND(V307&lt;40,W307&lt;35),0.35,0)+IF(AND(V307&lt;40,W307&gt;=35,W307&lt;75),0.25,0)+IF(AND(V307&lt;40,W307&gt;=75),0.17,0)+IF(AND(V307&gt;=40,V307&lt;75,W307&lt;25),0.35,0)+IF(AND(V307&gt;=40,V307&lt;75,W307&gt;=25,W307&lt;65),0.25,0)+IF(AND(V307&gt;=40,V307&lt;75,W307&gt;=65,W307&lt;100),0.17,0)+IF(AND(V307&gt;=40,V307&lt;75,W307&gt;=100),0.1,0)+IF(AND(V307&gt;=75,W307&lt;25),0.35,0)+IF(AND(V307&gt;=75,W307&gt;=25,W307&lt;60),0.25,0)+IF(AND(V307&gt;=75,W307&gt;=60,W307&lt;95),0.17,0)+IF(AND(V307&gt;=75,W307&gt;=95),0.1,0),
IF(AF307="DoEVold15",IF(AND(V307&lt;=40,W307&lt;35),0.35,0)+IF(AND(V307&lt;=40,W307&gt;=35,W307&lt;75),0.25,0)+IF(AND(V307&lt;=40,W307&gt;=75,W307&lt;120),0.17,0)+IF(AND(V307&lt;=40,W307&gt;=120),0.15,0)+IF(AND(V307&gt;40,V307&lt;75,W307&lt;25),0.35,0)+IF(AND(V307&gt;=40,V307&lt;75,W307&gt;=25,W307&lt;65),0.25,0)+IF(AND(V307&gt;=40,V307&lt;75,W307&gt;=65,W307&lt;100),0.17,0)+IF(AND(V307&gt;=40,V307&lt;75,W307&gt;=100),0.1,0)+IF(AND(V307&gt;=75,W307&lt;25),0.35,0)+IF(AND(V307&gt;=75,W307&gt;=25,W307&lt;60),0.25,0)+IF(AND(V307&gt;=75,W307&gt;=60,W307&lt;95),0.17,0)+IF(AND(V307&gt;=75,W307&gt;=95),0.1,0),
IF(AF307="DoEVba",IF(AND(V307&lt;20,W307&lt;105),0.2,0)+IF(AND(V307&lt;20,W307&gt;=105),0.15,0)+IF(AND(V307&gt;=20,V307&lt;40,W307&lt;95),0.2,0)+IF(AND(V307&gt;=20,V307&lt;40,W307&gt;=95,W307&lt;150),0.15,0)+IF(AND(V307&gt;=20,V307&lt;40,W307&gt;=150),0.12,0)+IF(AND(V307&gt;=40,V307&lt;75,W307&lt;75),0.2,0)+IF(AND(V307&gt;=40,V307&lt;75,W307&gt;=75,W307&lt;120),0.15,0)+IF(AND(V307&gt;=40,V307&lt;75,W307&gt;=120),0.12,0)+IF(AND(V307&gt;=75,V307&lt;175,W307&lt;65),0.2,0)+IF(AND(V307&gt;=75,V307&lt;175,W307&gt;=65,W307&lt;110),0.15,0)+IF(AND(V307&gt;=75,V307&lt;175,W307&gt;=110),0.12,0)+IF(AND(V307&gt;=175,W307&lt;55),0.2,0)+IF(AND(V307&gt;=175,W307&gt;=55,W307&lt;95),0.15,0)+IF(AND(V307&gt;=175,W307&gt;=95),0.12,0),
IF(AF307="DoEVku",IF(AND(V307&lt;20,W307&lt;55),0.23,0)+IF(AND(V307&lt;20,W307&gt;=55,W307&lt;105),0.2,0)+IF(AND(V307&lt;20,W307&gt;=105),0.17,0)+IF(AND(V307&gt;=20,V307&lt;40,W307&lt;45),0.23,0)+IF(AND(V307&gt;=20,V307&lt;40,W307&gt;=45,W307&lt;95),0.2,0)+IF(AND(V307&gt;=20,V307&lt;40,W307&gt;=95,W307&lt;=150),0.17,0)+IF(AND(V307&gt;=20,V307&lt;40,W307&gt;=150),0.12,0)+IF(AND(V307&gt;=40,V307&lt;75,W307&lt;35),0.23,0)+IF(AND(V307&gt;=40,V307&lt;75,W307&gt;=35,W307&lt;75),0.2,0)+IF(AND(V307&gt;=40,V307&lt;75,W307&gt;=75,W307&lt;120),0.17,0)+IF(AND(V307&gt;=40,V307&lt;75,W307&gt;=120),0.12,0)+IF(AND(V307&gt;=75,V307&lt;175,W307&lt;35),0.23,0)+IF(AND(V307&gt;=75,V307&lt;=175,W307&gt;=35,W307&lt;65),0.2,0)+IF(AND(V307&gt;=75,V307&lt;=175,W307&gt;=65,W307&lt;110),0.17,0)+IF(AND(V307&gt;=75,V307&lt;=175,W307&gt;=110),0.12,0)+IF(AND(V307&gt;175,W307&lt;25),0.23,0)+IF(AND(V307&gt;175,W307&gt;=25,W307&lt;55),0.2,0)+IF(AND(V307&gt;175,W307&gt;=55,W307&lt;95),0.17,0)+IF(AND(V307&gt;175,W307&gt;=95),0.12,0),
IF(AF307="DoEVs1",IF(AND(V307&lt;20,W307&lt;55),0.3,0)+IF(AND(V307&lt;20,W307&gt;=55,W307&lt;105),0.23,0)+IF(AND(V307&lt;20,W307&gt;=105),0.17,0)+IF(AND(V307&gt;=20,V307&lt;40,W307&lt;45),0.3,0)+IF(AND(V307&gt;=20,V307&lt;40,W307&gt;=45,W307&lt;95),0.23,0)+IF(AND(V307&gt;=20,V307&lt;40,W307&gt;=95,W307&lt;=150),0.17,0)+IF(AND(V307&gt;=20,V307&lt;40,W307&gt;=150),0.12,0)+IF(AND(V307&gt;=40,V307&lt;75,W307&lt;35),0.3,0)+IF(AND(V307&gt;=40,V307&lt;75,W307&gt;=35,W307&lt;75),0.23,0)+IF(AND(V307&gt;=40,V307&lt;75,W307&gt;=75,W307&lt;120),0.17,0)+IF(AND(V307&gt;=40,V307&lt;75,W307&gt;=120),0.12,0)+IF(AND(V307&gt;=75,V307&lt;175,W307&lt;35),0.3,0)+IF(AND(V307&gt;=75,V307&lt;=175,W307&gt;=35,W307&lt;65),0.23,0)+IF(AND(V307&gt;=75,V307&lt;=175,W307&gt;=65,W307&lt;110),0.17,0)+IF(AND(V307&gt;=75,V307&lt;=175,W307&gt;=110),0.12,0)+IF(AND(V307&gt;175,W307&lt;25),0.3,0)+IF(AND(V307&gt;175,W307&gt;=25,W307&lt;55),0.23,0)+IF(AND(V307&gt;175,W307&gt;=55,W307&lt;95),0.17,0)+IF(AND(V307&gt;175,W307&gt;=95),0.12,0),
IF(AF307="DoEVsu",IF(AND(V307&lt;20,W307&lt;55),0.3,0)+IF(AND(V307&lt;20,W307&gt;=55,W307&lt;105),0.23,0)+IF(AND(V307&lt;20,W307&gt;=105),0.17,0)+IF(AND(V307&gt;=20,V307&lt;40,W307&lt;45),0.3,0)+IF(AND(V307&gt;=20,V307&lt;40,W307&gt;=45,W307&lt;95),0.23,0)+IF(AND(V307&gt;=20,V307&lt;40,W307&gt;=95,W307&lt;=250),0.17,0)+IF(AND(V307&gt;=20,V307&lt;40,W307&gt;=250),0.12,0)+IF(AND(V307&gt;=40,V307&lt;75,W307&lt;35),0.3,0)+IF(AND(V307&gt;=40,V307&lt;75,W307&gt;=35,W307&lt;75),0.23,0)+IF(AND(V307&gt;=40,V307&lt;75,W307&gt;=75,W307&lt;120),0.17,0)+IF(AND(V307&gt;=40,V307&lt;75,W307&gt;=120),0.12,0)+IF(AND(V307&gt;=75,V307&lt;175,W307&lt;35),0.3,0)+IF(AND(V307&gt;=75,V307&lt;=175,W307&gt;=35,W307&lt;65),0.23,0)+IF(AND(V307&gt;=75,V307&lt;=175,W307&gt;=65,W307&lt;110),0.17,0)+IF(AND(V307&gt;=75,V307&lt;=175,W307&gt;=110),0.12,0)+IF(AND(V307&gt;175,W307&lt;25),0.3,0)+IF(AND(V307&gt;175,W307&gt;=25,W307&lt;55),0.23,0)+IF(AND(V307&gt;175,W307&gt;=55,W307&lt;95),0.17,0)+IF(AND(V307&gt;175,W307&gt;=95),0.12,0),
IF(AF307="DoEVni",IF(AND(V307&lt;20,W307&lt;55),0.3,0)+IF(AND(V307&lt;20,W307&gt;=55,W307&lt;105),0.23,0)+IF(AND(V307&lt;20,W307&gt;=105),0.17,0)+IF(AND(V307&gt;=20,V307&lt;40,W307&lt;45),0.3,0)+IF(AND(V307&gt;=20,V307&lt;40,W307&gt;=45,W307&lt;95),0.23,0)+IF(AND(V307&gt;=20,V307&lt;40,W307&gt;=95,W307&lt;=200),0.17,0)+IF(AND(V307&gt;=20,V307&lt;40,W307&gt;=200),0.12,0)+IF(AND(V307&gt;=40,V307&lt;75,W307&lt;35),0.3,0)+IF(AND(V307&gt;=40,V307&lt;75,W307&gt;=35,W307&lt;75),0.23,0)+IF(AND(V307&gt;=40,V307&lt;75,W307&gt;=75,W307&lt;120),0.17,0)+IF(AND(V307&gt;=40,V307&lt;75,W307&gt;=120),0.12,0)+IF(AND(V307&gt;=75,V307&lt;175,W307&lt;35),0.3,0)+IF(AND(V307&gt;=75,V307&lt;=175,W307&gt;=35,W307&lt;65),0.23,0)+IF(AND(V307&gt;=75,V307&lt;=175,W307&gt;=65,W307&lt;110),0.17,0)+IF(AND(V307&gt;=75,V307&lt;=175,W307&gt;=110),0.12,0)+IF(AND(V307&gt;175,W307&lt;25),0.3,0)+IF(AND(V307&gt;175,W307&gt;=25,W307&lt;55),0.23,0)+IF(AND(V307&gt;175,W307&gt;=55,W307&lt;95),0.17,0)+IF(AND(V307&gt;175,W307&gt;=95),0.12,0),
IF(AF307="DoEVLo",IF(AND(V307&lt;20,W307&lt;55),0.25,0)+IF(AND(V307&lt;20,W307&gt;=55,W307&lt;105),0.2,0)+IF(AND(V307&lt;20,W307&gt;=105),0.15,0)+IF(AND(V307&gt;=20,V307&lt;40,W307&lt;45),0.25,0)+IF(AND(V307&gt;=20,V307&lt;40,W307&gt;=45,W307&lt;95),0.2,0)+IF(AND(V307&gt;=20,V307&lt;40,W307&gt;=95),0.15,0)+IF(AND(V307&gt;=40,V307&lt;75,W307&lt;35),0.25,0)+IF(AND(V307&gt;=40,V307&lt;75,W307&gt;=35,W307&lt;75),0.2,0)+IF(AND(V307&gt;=40,V307&lt;75,W307&gt;=75,W307&lt;120),0.15,0)+IF(AND(V307&gt;=40,V307&lt;75,W307&gt;=120),0.1,0)+IF(AND(V307&gt;=75,V307&lt;175,W307&lt;35),0.25,0)+IF(AND(V307&gt;=75,V307&lt;=175,W307&gt;=35,W307&lt;65),0.2,0)+IF(AND(V307&gt;=75,V307&lt;=175,W307&gt;=65,W307&lt;110),0.15,0)+IF(AND(V307&gt;=75,V307&lt;=175,W307&gt;=110),0.1,0)+IF(AND(V307&gt;175,W307&lt;25),0.25,0)+IF(AND(V307&gt;175,W307&gt;=25,W307&lt;55),0.2,0)+IF(AND(V307&gt;175,W307&gt;=55,W307&lt;95),0.15,0)+IF(AND(V307&gt;175,W307&gt;=95),0.1,0))))))))))))))))</f>
        <v>0.15</v>
      </c>
      <c r="Y307" s="30">
        <f>IF(AG307="None",0,IF(AG307="Fix5",0.05,IF(AG307="Fix3.75",0.0375,IF(AG307="Fix10",0.1,IF(AG307="Fix3",0.03,0)))))</f>
        <v>0.05</v>
      </c>
      <c r="Z307" s="35">
        <f>T307-AA307-AB307</f>
        <v>7304</v>
      </c>
      <c r="AA307" s="29">
        <f>IF(AD307="EUR",((T307-R307)*X307)*U307+(R307*X307),(T307*X307))</f>
        <v>1369.5</v>
      </c>
      <c r="AB307" s="36">
        <f>IF(AD307="EUR",((T307-R307)*Y307)*U307+(R307*Y307),(T307*Y307))</f>
        <v>456.5</v>
      </c>
      <c r="AC307" s="37" t="b">
        <v>1</v>
      </c>
      <c r="AD307" s="37" t="s">
        <v>38</v>
      </c>
      <c r="AE307" s="37" t="s">
        <v>38</v>
      </c>
      <c r="AF307" s="37" t="str">
        <f t="array" ref="AF307">INDEX('Deal Info'!D:D, MATCH(A307,'Deal Info'!A:A, 0))</f>
        <v>Fix15</v>
      </c>
      <c r="AG307" s="38" t="str">
        <f t="array" ref="AG307">INDEX('Deal Info'!G:G, MATCH(A307,'Deal Info'!A:A, 0))</f>
        <v>Fix5</v>
      </c>
    </row>
    <row r="308" spans="1:33" ht="14.25" hidden="1" x14ac:dyDescent="0.2">
      <c r="A308" s="18" t="str">
        <f t="array" ref="A308">IF(G308='Room Info'!$B$1, INDEX('Room Info'!$A$2:$A2446, MATCH(B308,'Room Info'!$B$2:$B2446, 0)),IF(G308='Room Info'!$C$1, INDEX('Room Info'!$A$2:$A2446, MATCH(B308,'Room Info'!$C$2:$C2446, 0)),IF(G308='Room Info'!$D$1, INDEX('Room Info'!$A$2:$A2446, MATCH(B308,'Room Info'!$D$2:$D2446, 0)),IF(G308='Room Info'!$E$1, INDEX('Room Info'!$A$2:$A2446, MATCH(B308,'Room Info'!$E$2:$E2446, 0)),IF(G308='Room Info'!$F$1, INDEX('Room Info'!$A$2:$A2446, MATCH(B308,'Room Info'!$F$2:$F2446, 0)),IF(G308='Room Info'!$H$1, INDEX('Room Info'!$A$2:$A2446, MATCH(B308,'Room Info'!$H$2:$H2446, 0)),IF(G308='Room Info'!$G$1, INDEX('Room Info'!$A$2:$A2446, MATCH(B308,'Room Info'!$G$2:$G2446, 0)))))))))</f>
        <v>gRRRiz</v>
      </c>
      <c r="B308" s="45" t="s">
        <v>118</v>
      </c>
      <c r="C308" s="46">
        <v>44702</v>
      </c>
      <c r="D308" s="46">
        <v>44732</v>
      </c>
      <c r="E308" s="47">
        <v>44713</v>
      </c>
      <c r="F308" s="48" t="s">
        <v>34</v>
      </c>
      <c r="G308" s="45" t="s">
        <v>80</v>
      </c>
      <c r="H308" s="49" t="s">
        <v>71</v>
      </c>
      <c r="I308" s="49" t="s">
        <v>81</v>
      </c>
      <c r="J308" s="70">
        <v>20</v>
      </c>
      <c r="K308" s="71">
        <v>56</v>
      </c>
      <c r="L308" s="72">
        <v>-240</v>
      </c>
      <c r="M308" s="53">
        <v>61</v>
      </c>
      <c r="N308" s="28">
        <f>K308*J308</f>
        <v>1120</v>
      </c>
      <c r="O308" s="45">
        <v>648</v>
      </c>
      <c r="P308" s="29">
        <v>11.57142857</v>
      </c>
      <c r="Q308" s="55"/>
      <c r="R308" s="31">
        <f>M308+Q308</f>
        <v>61</v>
      </c>
      <c r="S308" s="73">
        <v>-43</v>
      </c>
      <c r="T308" s="32">
        <f>R308+S308+IF(F308="Without EV deal",L308,0)</f>
        <v>18</v>
      </c>
      <c r="U308" s="57">
        <v>1</v>
      </c>
      <c r="V308" s="58"/>
      <c r="W308" s="58"/>
      <c r="X308" s="30">
        <f>IF(AF308="DoEV",IF(AND(V308&lt;20,W308&lt;55),0.3,0)+IF(AND(V308&lt;20,W308&gt;=55,W308&lt;105),0.23,0)+IF(AND(V308&lt;20,W308&gt;=105),0.17,0)+IF(AND(V308&gt;=20,V308&lt;40,W308&lt;45),0.3,0)+IF(AND(V308&gt;=20,V308&lt;40,W308&gt;=45,W308&lt;95),0.23,0)+IF(AND(V308&gt;=20,V308&lt;40,W308&gt;=95),0.17,0)+IF(AND(V308&gt;=40,V308&lt;75,W308&lt;35),0.3,0)+IF(AND(V308&gt;=40,V308&lt;75,W308&gt;=35,W308&lt;75),0.23,0)+IF(AND(V308&gt;=40,V308&lt;75,W308&gt;=75,W308&lt;120),0.17,0)+IF(AND(V308&gt;=40,V308&lt;75,W308&gt;=120),0.12,0)+IF(AND(V308&gt;=75,V308&lt;175,W308&lt;35),0.3,0)+IF(AND(V308&gt;=75,V308&lt;=175,W308&gt;=35,W308&lt;65),0.23,0)+IF(AND(V308&gt;=75,V308&lt;=175,W308&gt;=65,W308&lt;110),0.17,0)+IF(AND(V308&gt;=75,V308&lt;=175,W308&gt;=110),0.12,0)+IF(AND(V308&gt;175,W308&lt;25),0.3,0)+IF(AND(V308&gt;175,W308&gt;=25,W308&lt;55),0.23,0)+IF(AND(V308&gt;175,W308&gt;=55,W308&lt;95),0.17,0)+IF(AND(V308&gt;175,W308&gt;=95),0.12,0),
IF(AF308="Fix15",0.15,
IF(AF308="Fix11.25",0.1125,
IF(AF308="Fix10",0.1,
IF(AF308="Fix9",0.09,
IF(AF308="DoEV2017",IF(AND(W308&lt;74),0.2,0)+IF(AND(W308&gt;=74),0.17,0),
IF(AF308="SF",IF(AND(V308&lt;20,W308&lt;89),0.3,0)+IF(AND(V308&lt;20,W308&gt;=89),0.25,0)+IF(AND(V308&gt;=20,V308&lt;40,W308&lt;74),0.3,0)+IF(AND(V308&gt;=20,V308&lt;40,W308&gt;=75),0.22,0)+IF(AND(V308&gt;=40,V308&lt;75,W308&lt;75),0.26,0)+IF(AND(V308&gt;=40,V308&lt;75,W308&gt;=75),0.22,0)+IF(V308&gt;=75,0.22,0),
IF(AF308="DoEVold",IF(AND(V308&lt;40,W308&lt;35),0.35,0)+IF(AND(V308&lt;40,W308&gt;=35,W308&lt;75),0.25,0)+IF(AND(V308&lt;40,W308&gt;=75),0.17,0)+IF(AND(V308&gt;=40,V308&lt;75,W308&lt;25),0.35,0)+IF(AND(V308&gt;=40,V308&lt;75,W308&gt;=25,W308&lt;65),0.25,0)+IF(AND(V308&gt;=40,V308&lt;75,W308&gt;=65,W308&lt;100),0.17,0)+IF(AND(V308&gt;=40,V308&lt;75,W308&gt;=100),0.1,0)+IF(AND(V308&gt;=75,W308&lt;25),0.35,0)+IF(AND(V308&gt;=75,W308&gt;=25,W308&lt;60),0.25,0)+IF(AND(V308&gt;=75,W308&gt;=60,W308&lt;95),0.17,0)+IF(AND(V308&gt;=75,W308&gt;=95),0.1,0),
IF(AF308="DoEVold15",IF(AND(V308&lt;=40,W308&lt;35),0.35,0)+IF(AND(V308&lt;=40,W308&gt;=35,W308&lt;75),0.25,0)+IF(AND(V308&lt;=40,W308&gt;=75,W308&lt;120),0.17,0)+IF(AND(V308&lt;=40,W308&gt;=120),0.15,0)+IF(AND(V308&gt;40,V308&lt;75,W308&lt;25),0.35,0)+IF(AND(V308&gt;=40,V308&lt;75,W308&gt;=25,W308&lt;65),0.25,0)+IF(AND(V308&gt;=40,V308&lt;75,W308&gt;=65,W308&lt;100),0.17,0)+IF(AND(V308&gt;=40,V308&lt;75,W308&gt;=100),0.1,0)+IF(AND(V308&gt;=75,W308&lt;25),0.35,0)+IF(AND(V308&gt;=75,W308&gt;=25,W308&lt;60),0.25,0)+IF(AND(V308&gt;=75,W308&gt;=60,W308&lt;95),0.17,0)+IF(AND(V308&gt;=75,W308&gt;=95),0.1,0),
IF(AF308="DoEVba",IF(AND(V308&lt;20,W308&lt;105),0.2,0)+IF(AND(V308&lt;20,W308&gt;=105),0.15,0)+IF(AND(V308&gt;=20,V308&lt;40,W308&lt;95),0.2,0)+IF(AND(V308&gt;=20,V308&lt;40,W308&gt;=95,W308&lt;150),0.15,0)+IF(AND(V308&gt;=20,V308&lt;40,W308&gt;=150),0.12,0)+IF(AND(V308&gt;=40,V308&lt;75,W308&lt;75),0.2,0)+IF(AND(V308&gt;=40,V308&lt;75,W308&gt;=75,W308&lt;120),0.15,0)+IF(AND(V308&gt;=40,V308&lt;75,W308&gt;=120),0.12,0)+IF(AND(V308&gt;=75,V308&lt;175,W308&lt;65),0.2,0)+IF(AND(V308&gt;=75,V308&lt;175,W308&gt;=65,W308&lt;110),0.15,0)+IF(AND(V308&gt;=75,V308&lt;175,W308&gt;=110),0.12,0)+IF(AND(V308&gt;=175,W308&lt;55),0.2,0)+IF(AND(V308&gt;=175,W308&gt;=55,W308&lt;95),0.15,0)+IF(AND(V308&gt;=175,W308&gt;=95),0.12,0),
IF(AF308="DoEVku",IF(AND(V308&lt;20,W308&lt;55),0.23,0)+IF(AND(V308&lt;20,W308&gt;=55,W308&lt;105),0.2,0)+IF(AND(V308&lt;20,W308&gt;=105),0.17,0)+IF(AND(V308&gt;=20,V308&lt;40,W308&lt;45),0.23,0)+IF(AND(V308&gt;=20,V308&lt;40,W308&gt;=45,W308&lt;95),0.2,0)+IF(AND(V308&gt;=20,V308&lt;40,W308&gt;=95,W308&lt;=150),0.17,0)+IF(AND(V308&gt;=20,V308&lt;40,W308&gt;=150),0.12,0)+IF(AND(V308&gt;=40,V308&lt;75,W308&lt;35),0.23,0)+IF(AND(V308&gt;=40,V308&lt;75,W308&gt;=35,W308&lt;75),0.2,0)+IF(AND(V308&gt;=40,V308&lt;75,W308&gt;=75,W308&lt;120),0.17,0)+IF(AND(V308&gt;=40,V308&lt;75,W308&gt;=120),0.12,0)+IF(AND(V308&gt;=75,V308&lt;175,W308&lt;35),0.23,0)+IF(AND(V308&gt;=75,V308&lt;=175,W308&gt;=35,W308&lt;65),0.2,0)+IF(AND(V308&gt;=75,V308&lt;=175,W308&gt;=65,W308&lt;110),0.17,0)+IF(AND(V308&gt;=75,V308&lt;=175,W308&gt;=110),0.12,0)+IF(AND(V308&gt;175,W308&lt;25),0.23,0)+IF(AND(V308&gt;175,W308&gt;=25,W308&lt;55),0.2,0)+IF(AND(V308&gt;175,W308&gt;=55,W308&lt;95),0.17,0)+IF(AND(V308&gt;175,W308&gt;=95),0.12,0),
IF(AF308="DoEVs1",IF(AND(V308&lt;20,W308&lt;55),0.3,0)+IF(AND(V308&lt;20,W308&gt;=55,W308&lt;105),0.23,0)+IF(AND(V308&lt;20,W308&gt;=105),0.17,0)+IF(AND(V308&gt;=20,V308&lt;40,W308&lt;45),0.3,0)+IF(AND(V308&gt;=20,V308&lt;40,W308&gt;=45,W308&lt;95),0.23,0)+IF(AND(V308&gt;=20,V308&lt;40,W308&gt;=95,W308&lt;=150),0.17,0)+IF(AND(V308&gt;=20,V308&lt;40,W308&gt;=150),0.12,0)+IF(AND(V308&gt;=40,V308&lt;75,W308&lt;35),0.3,0)+IF(AND(V308&gt;=40,V308&lt;75,W308&gt;=35,W308&lt;75),0.23,0)+IF(AND(V308&gt;=40,V308&lt;75,W308&gt;=75,W308&lt;120),0.17,0)+IF(AND(V308&gt;=40,V308&lt;75,W308&gt;=120),0.12,0)+IF(AND(V308&gt;=75,V308&lt;175,W308&lt;35),0.3,0)+IF(AND(V308&gt;=75,V308&lt;=175,W308&gt;=35,W308&lt;65),0.23,0)+IF(AND(V308&gt;=75,V308&lt;=175,W308&gt;=65,W308&lt;110),0.17,0)+IF(AND(V308&gt;=75,V308&lt;=175,W308&gt;=110),0.12,0)+IF(AND(V308&gt;175,W308&lt;25),0.3,0)+IF(AND(V308&gt;175,W308&gt;=25,W308&lt;55),0.23,0)+IF(AND(V308&gt;175,W308&gt;=55,W308&lt;95),0.17,0)+IF(AND(V308&gt;175,W308&gt;=95),0.12,0),
IF(AF308="DoEVsu",IF(AND(V308&lt;20,W308&lt;55),0.3,0)+IF(AND(V308&lt;20,W308&gt;=55,W308&lt;105),0.23,0)+IF(AND(V308&lt;20,W308&gt;=105),0.17,0)+IF(AND(V308&gt;=20,V308&lt;40,W308&lt;45),0.3,0)+IF(AND(V308&gt;=20,V308&lt;40,W308&gt;=45,W308&lt;95),0.23,0)+IF(AND(V308&gt;=20,V308&lt;40,W308&gt;=95,W308&lt;=250),0.17,0)+IF(AND(V308&gt;=20,V308&lt;40,W308&gt;=250),0.12,0)+IF(AND(V308&gt;=40,V308&lt;75,W308&lt;35),0.3,0)+IF(AND(V308&gt;=40,V308&lt;75,W308&gt;=35,W308&lt;75),0.23,0)+IF(AND(V308&gt;=40,V308&lt;75,W308&gt;=75,W308&lt;120),0.17,0)+IF(AND(V308&gt;=40,V308&lt;75,W308&gt;=120),0.12,0)+IF(AND(V308&gt;=75,V308&lt;175,W308&lt;35),0.3,0)+IF(AND(V308&gt;=75,V308&lt;=175,W308&gt;=35,W308&lt;65),0.23,0)+IF(AND(V308&gt;=75,V308&lt;=175,W308&gt;=65,W308&lt;110),0.17,0)+IF(AND(V308&gt;=75,V308&lt;=175,W308&gt;=110),0.12,0)+IF(AND(V308&gt;175,W308&lt;25),0.3,0)+IF(AND(V308&gt;175,W308&gt;=25,W308&lt;55),0.23,0)+IF(AND(V308&gt;175,W308&gt;=55,W308&lt;95),0.17,0)+IF(AND(V308&gt;175,W308&gt;=95),0.12,0),
IF(AF308="DoEVni",IF(AND(V308&lt;20,W308&lt;55),0.3,0)+IF(AND(V308&lt;20,W308&gt;=55,W308&lt;105),0.23,0)+IF(AND(V308&lt;20,W308&gt;=105),0.17,0)+IF(AND(V308&gt;=20,V308&lt;40,W308&lt;45),0.3,0)+IF(AND(V308&gt;=20,V308&lt;40,W308&gt;=45,W308&lt;95),0.23,0)+IF(AND(V308&gt;=20,V308&lt;40,W308&gt;=95,W308&lt;=200),0.17,0)+IF(AND(V308&gt;=20,V308&lt;40,W308&gt;=200),0.12,0)+IF(AND(V308&gt;=40,V308&lt;75,W308&lt;35),0.3,0)+IF(AND(V308&gt;=40,V308&lt;75,W308&gt;=35,W308&lt;75),0.23,0)+IF(AND(V308&gt;=40,V308&lt;75,W308&gt;=75,W308&lt;120),0.17,0)+IF(AND(V308&gt;=40,V308&lt;75,W308&gt;=120),0.12,0)+IF(AND(V308&gt;=75,V308&lt;175,W308&lt;35),0.3,0)+IF(AND(V308&gt;=75,V308&lt;=175,W308&gt;=35,W308&lt;65),0.23,0)+IF(AND(V308&gt;=75,V308&lt;=175,W308&gt;=65,W308&lt;110),0.17,0)+IF(AND(V308&gt;=75,V308&lt;=175,W308&gt;=110),0.12,0)+IF(AND(V308&gt;175,W308&lt;25),0.3,0)+IF(AND(V308&gt;175,W308&gt;=25,W308&lt;55),0.23,0)+IF(AND(V308&gt;175,W308&gt;=55,W308&lt;95),0.17,0)+IF(AND(V308&gt;175,W308&gt;=95),0.12,0),
IF(AF308="DoEVLo",IF(AND(V308&lt;20,W308&lt;55),0.25,0)+IF(AND(V308&lt;20,W308&gt;=55,W308&lt;105),0.2,0)+IF(AND(V308&lt;20,W308&gt;=105),0.15,0)+IF(AND(V308&gt;=20,V308&lt;40,W308&lt;45),0.25,0)+IF(AND(V308&gt;=20,V308&lt;40,W308&gt;=45,W308&lt;95),0.2,0)+IF(AND(V308&gt;=20,V308&lt;40,W308&gt;=95),0.15,0)+IF(AND(V308&gt;=40,V308&lt;75,W308&lt;35),0.25,0)+IF(AND(V308&gt;=40,V308&lt;75,W308&gt;=35,W308&lt;75),0.2,0)+IF(AND(V308&gt;=40,V308&lt;75,W308&gt;=75,W308&lt;120),0.15,0)+IF(AND(V308&gt;=40,V308&lt;75,W308&gt;=120),0.1,0)+IF(AND(V308&gt;=75,V308&lt;175,W308&lt;35),0.25,0)+IF(AND(V308&gt;=75,V308&lt;=175,W308&gt;=35,W308&lt;65),0.2,0)+IF(AND(V308&gt;=75,V308&lt;=175,W308&gt;=65,W308&lt;110),0.15,0)+IF(AND(V308&gt;=75,V308&lt;=175,W308&gt;=110),0.1,0)+IF(AND(V308&gt;175,W308&lt;25),0.25,0)+IF(AND(V308&gt;175,W308&gt;=25,W308&lt;55),0.2,0)+IF(AND(V308&gt;175,W308&gt;=55,W308&lt;95),0.15,0)+IF(AND(V308&gt;175,W308&gt;=95),0.1,0))))))))))))))))</f>
        <v>0.15</v>
      </c>
      <c r="Y308" s="30">
        <f>IF(AG308="None",0,IF(AG308="Fix5",0.05,IF(AG308="Fix3.75",0.0375,IF(AG308="Fix10",0.1,IF(AG308="Fix3",0.03,0)))))</f>
        <v>0.05</v>
      </c>
      <c r="Z308" s="35">
        <f>T308-AA308-AB308</f>
        <v>14.4</v>
      </c>
      <c r="AA308" s="29">
        <f>IF(AD308="EUR",((T308-R308)*X308)*U308+(R308*X308),(T308*X308))</f>
        <v>2.6999999999999997</v>
      </c>
      <c r="AB308" s="36">
        <f>IF(AD308="EUR",((T308-R308)*Y308)*U308+(R308*Y308),(T308*Y308))</f>
        <v>0.9</v>
      </c>
      <c r="AC308" s="37" t="b">
        <v>1</v>
      </c>
      <c r="AD308" s="37" t="s">
        <v>38</v>
      </c>
      <c r="AE308" s="37" t="s">
        <v>38</v>
      </c>
      <c r="AF308" s="37" t="str">
        <f t="array" ref="AF308">INDEX('Deal Info'!D:D, MATCH(A308,'Deal Info'!A:A, 0))</f>
        <v>Fix15</v>
      </c>
      <c r="AG308" s="38" t="str">
        <f t="array" ref="AG308">INDEX('Deal Info'!G:G, MATCH(A308,'Deal Info'!A:A, 0))</f>
        <v>Fix5</v>
      </c>
    </row>
    <row r="309" spans="1:33" ht="14.25" hidden="1" x14ac:dyDescent="0.2">
      <c r="A309" s="18" t="str">
        <f t="array" ref="A309">IF(G309='Room Info'!$B$1, INDEX('Room Info'!$A$2:$A2446, MATCH(B309,'Room Info'!$B$2:$B2446, 0)),IF(G309='Room Info'!$C$1, INDEX('Room Info'!$A$2:$A2446, MATCH(B309,'Room Info'!$C$2:$C2446, 0)),IF(G309='Room Info'!$D$1, INDEX('Room Info'!$A$2:$A2446, MATCH(B309,'Room Info'!$D$2:$D2446, 0)),IF(G309='Room Info'!$E$1, INDEX('Room Info'!$A$2:$A2446, MATCH(B309,'Room Info'!$E$2:$E2446, 0)),IF(G309='Room Info'!$F$1, INDEX('Room Info'!$A$2:$A2446, MATCH(B309,'Room Info'!$F$2:$F2446, 0)),IF(G309='Room Info'!$H$1, INDEX('Room Info'!$A$2:$A2446, MATCH(B309,'Room Info'!$H$2:$H2446, 0)),IF(G309='Room Info'!$G$1, INDEX('Room Info'!$A$2:$A2446, MATCH(B309,'Room Info'!$G$2:$G2446, 0)))))))))</f>
        <v>gRRRiz</v>
      </c>
      <c r="B309" s="45" t="s">
        <v>118</v>
      </c>
      <c r="C309" s="46">
        <v>44702</v>
      </c>
      <c r="D309" s="46">
        <v>44732</v>
      </c>
      <c r="E309" s="47">
        <v>44713</v>
      </c>
      <c r="F309" s="48" t="s">
        <v>34</v>
      </c>
      <c r="G309" s="45" t="s">
        <v>80</v>
      </c>
      <c r="H309" s="49" t="s">
        <v>72</v>
      </c>
      <c r="I309" s="49" t="s">
        <v>81</v>
      </c>
      <c r="J309" s="70">
        <v>50</v>
      </c>
      <c r="K309" s="71">
        <v>44</v>
      </c>
      <c r="L309" s="72">
        <v>-450</v>
      </c>
      <c r="M309" s="53">
        <v>121</v>
      </c>
      <c r="N309" s="28">
        <f>K309*J309</f>
        <v>2200</v>
      </c>
      <c r="O309" s="45">
        <v>98</v>
      </c>
      <c r="P309" s="29">
        <v>2.2272727269999999</v>
      </c>
      <c r="Q309" s="55"/>
      <c r="R309" s="31">
        <f>M309+Q309</f>
        <v>121</v>
      </c>
      <c r="S309" s="73">
        <v>-143</v>
      </c>
      <c r="T309" s="32">
        <f>R309+S309+IF(F309="Without EV deal",L309,0)</f>
        <v>-22</v>
      </c>
      <c r="U309" s="57">
        <v>1</v>
      </c>
      <c r="V309" s="58"/>
      <c r="W309" s="58"/>
      <c r="X309" s="30">
        <f>IF(AF309="DoEV",IF(AND(V309&lt;20,W309&lt;55),0.3,0)+IF(AND(V309&lt;20,W309&gt;=55,W309&lt;105),0.23,0)+IF(AND(V309&lt;20,W309&gt;=105),0.17,0)+IF(AND(V309&gt;=20,V309&lt;40,W309&lt;45),0.3,0)+IF(AND(V309&gt;=20,V309&lt;40,W309&gt;=45,W309&lt;95),0.23,0)+IF(AND(V309&gt;=20,V309&lt;40,W309&gt;=95),0.17,0)+IF(AND(V309&gt;=40,V309&lt;75,W309&lt;35),0.3,0)+IF(AND(V309&gt;=40,V309&lt;75,W309&gt;=35,W309&lt;75),0.23,0)+IF(AND(V309&gt;=40,V309&lt;75,W309&gt;=75,W309&lt;120),0.17,0)+IF(AND(V309&gt;=40,V309&lt;75,W309&gt;=120),0.12,0)+IF(AND(V309&gt;=75,V309&lt;175,W309&lt;35),0.3,0)+IF(AND(V309&gt;=75,V309&lt;=175,W309&gt;=35,W309&lt;65),0.23,0)+IF(AND(V309&gt;=75,V309&lt;=175,W309&gt;=65,W309&lt;110),0.17,0)+IF(AND(V309&gt;=75,V309&lt;=175,W309&gt;=110),0.12,0)+IF(AND(V309&gt;175,W309&lt;25),0.3,0)+IF(AND(V309&gt;175,W309&gt;=25,W309&lt;55),0.23,0)+IF(AND(V309&gt;175,W309&gt;=55,W309&lt;95),0.17,0)+IF(AND(V309&gt;175,W309&gt;=95),0.12,0),
IF(AF309="Fix15",0.15,
IF(AF309="Fix11.25",0.1125,
IF(AF309="Fix10",0.1,
IF(AF309="Fix9",0.09,
IF(AF309="DoEV2017",IF(AND(W309&lt;74),0.2,0)+IF(AND(W309&gt;=74),0.17,0),
IF(AF309="SF",IF(AND(V309&lt;20,W309&lt;89),0.3,0)+IF(AND(V309&lt;20,W309&gt;=89),0.25,0)+IF(AND(V309&gt;=20,V309&lt;40,W309&lt;74),0.3,0)+IF(AND(V309&gt;=20,V309&lt;40,W309&gt;=75),0.22,0)+IF(AND(V309&gt;=40,V309&lt;75,W309&lt;75),0.26,0)+IF(AND(V309&gt;=40,V309&lt;75,W309&gt;=75),0.22,0)+IF(V309&gt;=75,0.22,0),
IF(AF309="DoEVold",IF(AND(V309&lt;40,W309&lt;35),0.35,0)+IF(AND(V309&lt;40,W309&gt;=35,W309&lt;75),0.25,0)+IF(AND(V309&lt;40,W309&gt;=75),0.17,0)+IF(AND(V309&gt;=40,V309&lt;75,W309&lt;25),0.35,0)+IF(AND(V309&gt;=40,V309&lt;75,W309&gt;=25,W309&lt;65),0.25,0)+IF(AND(V309&gt;=40,V309&lt;75,W309&gt;=65,W309&lt;100),0.17,0)+IF(AND(V309&gt;=40,V309&lt;75,W309&gt;=100),0.1,0)+IF(AND(V309&gt;=75,W309&lt;25),0.35,0)+IF(AND(V309&gt;=75,W309&gt;=25,W309&lt;60),0.25,0)+IF(AND(V309&gt;=75,W309&gt;=60,W309&lt;95),0.17,0)+IF(AND(V309&gt;=75,W309&gt;=95),0.1,0),
IF(AF309="DoEVold15",IF(AND(V309&lt;=40,W309&lt;35),0.35,0)+IF(AND(V309&lt;=40,W309&gt;=35,W309&lt;75),0.25,0)+IF(AND(V309&lt;=40,W309&gt;=75,W309&lt;120),0.17,0)+IF(AND(V309&lt;=40,W309&gt;=120),0.15,0)+IF(AND(V309&gt;40,V309&lt;75,W309&lt;25),0.35,0)+IF(AND(V309&gt;=40,V309&lt;75,W309&gt;=25,W309&lt;65),0.25,0)+IF(AND(V309&gt;=40,V309&lt;75,W309&gt;=65,W309&lt;100),0.17,0)+IF(AND(V309&gt;=40,V309&lt;75,W309&gt;=100),0.1,0)+IF(AND(V309&gt;=75,W309&lt;25),0.35,0)+IF(AND(V309&gt;=75,W309&gt;=25,W309&lt;60),0.25,0)+IF(AND(V309&gt;=75,W309&gt;=60,W309&lt;95),0.17,0)+IF(AND(V309&gt;=75,W309&gt;=95),0.1,0),
IF(AF309="DoEVba",IF(AND(V309&lt;20,W309&lt;105),0.2,0)+IF(AND(V309&lt;20,W309&gt;=105),0.15,0)+IF(AND(V309&gt;=20,V309&lt;40,W309&lt;95),0.2,0)+IF(AND(V309&gt;=20,V309&lt;40,W309&gt;=95,W309&lt;150),0.15,0)+IF(AND(V309&gt;=20,V309&lt;40,W309&gt;=150),0.12,0)+IF(AND(V309&gt;=40,V309&lt;75,W309&lt;75),0.2,0)+IF(AND(V309&gt;=40,V309&lt;75,W309&gt;=75,W309&lt;120),0.15,0)+IF(AND(V309&gt;=40,V309&lt;75,W309&gt;=120),0.12,0)+IF(AND(V309&gt;=75,V309&lt;175,W309&lt;65),0.2,0)+IF(AND(V309&gt;=75,V309&lt;175,W309&gt;=65,W309&lt;110),0.15,0)+IF(AND(V309&gt;=75,V309&lt;175,W309&gt;=110),0.12,0)+IF(AND(V309&gt;=175,W309&lt;55),0.2,0)+IF(AND(V309&gt;=175,W309&gt;=55,W309&lt;95),0.15,0)+IF(AND(V309&gt;=175,W309&gt;=95),0.12,0),
IF(AF309="DoEVku",IF(AND(V309&lt;20,W309&lt;55),0.23,0)+IF(AND(V309&lt;20,W309&gt;=55,W309&lt;105),0.2,0)+IF(AND(V309&lt;20,W309&gt;=105),0.17,0)+IF(AND(V309&gt;=20,V309&lt;40,W309&lt;45),0.23,0)+IF(AND(V309&gt;=20,V309&lt;40,W309&gt;=45,W309&lt;95),0.2,0)+IF(AND(V309&gt;=20,V309&lt;40,W309&gt;=95,W309&lt;=150),0.17,0)+IF(AND(V309&gt;=20,V309&lt;40,W309&gt;=150),0.12,0)+IF(AND(V309&gt;=40,V309&lt;75,W309&lt;35),0.23,0)+IF(AND(V309&gt;=40,V309&lt;75,W309&gt;=35,W309&lt;75),0.2,0)+IF(AND(V309&gt;=40,V309&lt;75,W309&gt;=75,W309&lt;120),0.17,0)+IF(AND(V309&gt;=40,V309&lt;75,W309&gt;=120),0.12,0)+IF(AND(V309&gt;=75,V309&lt;175,W309&lt;35),0.23,0)+IF(AND(V309&gt;=75,V309&lt;=175,W309&gt;=35,W309&lt;65),0.2,0)+IF(AND(V309&gt;=75,V309&lt;=175,W309&gt;=65,W309&lt;110),0.17,0)+IF(AND(V309&gt;=75,V309&lt;=175,W309&gt;=110),0.12,0)+IF(AND(V309&gt;175,W309&lt;25),0.23,0)+IF(AND(V309&gt;175,W309&gt;=25,W309&lt;55),0.2,0)+IF(AND(V309&gt;175,W309&gt;=55,W309&lt;95),0.17,0)+IF(AND(V309&gt;175,W309&gt;=95),0.12,0),
IF(AF309="DoEVs1",IF(AND(V309&lt;20,W309&lt;55),0.3,0)+IF(AND(V309&lt;20,W309&gt;=55,W309&lt;105),0.23,0)+IF(AND(V309&lt;20,W309&gt;=105),0.17,0)+IF(AND(V309&gt;=20,V309&lt;40,W309&lt;45),0.3,0)+IF(AND(V309&gt;=20,V309&lt;40,W309&gt;=45,W309&lt;95),0.23,0)+IF(AND(V309&gt;=20,V309&lt;40,W309&gt;=95,W309&lt;=150),0.17,0)+IF(AND(V309&gt;=20,V309&lt;40,W309&gt;=150),0.12,0)+IF(AND(V309&gt;=40,V309&lt;75,W309&lt;35),0.3,0)+IF(AND(V309&gt;=40,V309&lt;75,W309&gt;=35,W309&lt;75),0.23,0)+IF(AND(V309&gt;=40,V309&lt;75,W309&gt;=75,W309&lt;120),0.17,0)+IF(AND(V309&gt;=40,V309&lt;75,W309&gt;=120),0.12,0)+IF(AND(V309&gt;=75,V309&lt;175,W309&lt;35),0.3,0)+IF(AND(V309&gt;=75,V309&lt;=175,W309&gt;=35,W309&lt;65),0.23,0)+IF(AND(V309&gt;=75,V309&lt;=175,W309&gt;=65,W309&lt;110),0.17,0)+IF(AND(V309&gt;=75,V309&lt;=175,W309&gt;=110),0.12,0)+IF(AND(V309&gt;175,W309&lt;25),0.3,0)+IF(AND(V309&gt;175,W309&gt;=25,W309&lt;55),0.23,0)+IF(AND(V309&gt;175,W309&gt;=55,W309&lt;95),0.17,0)+IF(AND(V309&gt;175,W309&gt;=95),0.12,0),
IF(AF309="DoEVsu",IF(AND(V309&lt;20,W309&lt;55),0.3,0)+IF(AND(V309&lt;20,W309&gt;=55,W309&lt;105),0.23,0)+IF(AND(V309&lt;20,W309&gt;=105),0.17,0)+IF(AND(V309&gt;=20,V309&lt;40,W309&lt;45),0.3,0)+IF(AND(V309&gt;=20,V309&lt;40,W309&gt;=45,W309&lt;95),0.23,0)+IF(AND(V309&gt;=20,V309&lt;40,W309&gt;=95,W309&lt;=250),0.17,0)+IF(AND(V309&gt;=20,V309&lt;40,W309&gt;=250),0.12,0)+IF(AND(V309&gt;=40,V309&lt;75,W309&lt;35),0.3,0)+IF(AND(V309&gt;=40,V309&lt;75,W309&gt;=35,W309&lt;75),0.23,0)+IF(AND(V309&gt;=40,V309&lt;75,W309&gt;=75,W309&lt;120),0.17,0)+IF(AND(V309&gt;=40,V309&lt;75,W309&gt;=120),0.12,0)+IF(AND(V309&gt;=75,V309&lt;175,W309&lt;35),0.3,0)+IF(AND(V309&gt;=75,V309&lt;=175,W309&gt;=35,W309&lt;65),0.23,0)+IF(AND(V309&gt;=75,V309&lt;=175,W309&gt;=65,W309&lt;110),0.17,0)+IF(AND(V309&gt;=75,V309&lt;=175,W309&gt;=110),0.12,0)+IF(AND(V309&gt;175,W309&lt;25),0.3,0)+IF(AND(V309&gt;175,W309&gt;=25,W309&lt;55),0.23,0)+IF(AND(V309&gt;175,W309&gt;=55,W309&lt;95),0.17,0)+IF(AND(V309&gt;175,W309&gt;=95),0.12,0),
IF(AF309="DoEVni",IF(AND(V309&lt;20,W309&lt;55),0.3,0)+IF(AND(V309&lt;20,W309&gt;=55,W309&lt;105),0.23,0)+IF(AND(V309&lt;20,W309&gt;=105),0.17,0)+IF(AND(V309&gt;=20,V309&lt;40,W309&lt;45),0.3,0)+IF(AND(V309&gt;=20,V309&lt;40,W309&gt;=45,W309&lt;95),0.23,0)+IF(AND(V309&gt;=20,V309&lt;40,W309&gt;=95,W309&lt;=200),0.17,0)+IF(AND(V309&gt;=20,V309&lt;40,W309&gt;=200),0.12,0)+IF(AND(V309&gt;=40,V309&lt;75,W309&lt;35),0.3,0)+IF(AND(V309&gt;=40,V309&lt;75,W309&gt;=35,W309&lt;75),0.23,0)+IF(AND(V309&gt;=40,V309&lt;75,W309&gt;=75,W309&lt;120),0.17,0)+IF(AND(V309&gt;=40,V309&lt;75,W309&gt;=120),0.12,0)+IF(AND(V309&gt;=75,V309&lt;175,W309&lt;35),0.3,0)+IF(AND(V309&gt;=75,V309&lt;=175,W309&gt;=35,W309&lt;65),0.23,0)+IF(AND(V309&gt;=75,V309&lt;=175,W309&gt;=65,W309&lt;110),0.17,0)+IF(AND(V309&gt;=75,V309&lt;=175,W309&gt;=110),0.12,0)+IF(AND(V309&gt;175,W309&lt;25),0.3,0)+IF(AND(V309&gt;175,W309&gt;=25,W309&lt;55),0.23,0)+IF(AND(V309&gt;175,W309&gt;=55,W309&lt;95),0.17,0)+IF(AND(V309&gt;175,W309&gt;=95),0.12,0),
IF(AF309="DoEVLo",IF(AND(V309&lt;20,W309&lt;55),0.25,0)+IF(AND(V309&lt;20,W309&gt;=55,W309&lt;105),0.2,0)+IF(AND(V309&lt;20,W309&gt;=105),0.15,0)+IF(AND(V309&gt;=20,V309&lt;40,W309&lt;45),0.25,0)+IF(AND(V309&gt;=20,V309&lt;40,W309&gt;=45,W309&lt;95),0.2,0)+IF(AND(V309&gt;=20,V309&lt;40,W309&gt;=95),0.15,0)+IF(AND(V309&gt;=40,V309&lt;75,W309&lt;35),0.25,0)+IF(AND(V309&gt;=40,V309&lt;75,W309&gt;=35,W309&lt;75),0.2,0)+IF(AND(V309&gt;=40,V309&lt;75,W309&gt;=75,W309&lt;120),0.15,0)+IF(AND(V309&gt;=40,V309&lt;75,W309&gt;=120),0.1,0)+IF(AND(V309&gt;=75,V309&lt;175,W309&lt;35),0.25,0)+IF(AND(V309&gt;=75,V309&lt;=175,W309&gt;=35,W309&lt;65),0.2,0)+IF(AND(V309&gt;=75,V309&lt;=175,W309&gt;=65,W309&lt;110),0.15,0)+IF(AND(V309&gt;=75,V309&lt;=175,W309&gt;=110),0.1,0)+IF(AND(V309&gt;175,W309&lt;25),0.25,0)+IF(AND(V309&gt;175,W309&gt;=25,W309&lt;55),0.2,0)+IF(AND(V309&gt;175,W309&gt;=55,W309&lt;95),0.15,0)+IF(AND(V309&gt;175,W309&gt;=95),0.1,0))))))))))))))))</f>
        <v>0.15</v>
      </c>
      <c r="Y309" s="30">
        <f>IF(AG309="None",0,IF(AG309="Fix5",0.05,IF(AG309="Fix3.75",0.0375,IF(AG309="Fix10",0.1,IF(AG309="Fix3",0.03,0)))))</f>
        <v>0.05</v>
      </c>
      <c r="Z309" s="35">
        <f>T309-AA309-AB309</f>
        <v>-17.599999999999998</v>
      </c>
      <c r="AA309" s="29">
        <f>IF(AD309="EUR",((T309-R309)*X309)*U309+(R309*X309),(T309*X309))</f>
        <v>-3.3</v>
      </c>
      <c r="AB309" s="36">
        <f>IF(AD309="EUR",((T309-R309)*Y309)*U309+(R309*Y309),(T309*Y309))</f>
        <v>-1.1000000000000001</v>
      </c>
      <c r="AC309" s="37" t="b">
        <v>1</v>
      </c>
      <c r="AD309" s="37" t="s">
        <v>38</v>
      </c>
      <c r="AE309" s="37" t="s">
        <v>38</v>
      </c>
      <c r="AF309" s="37" t="str">
        <f t="array" ref="AF309">INDEX('Deal Info'!D:D, MATCH(A309,'Deal Info'!A:A, 0))</f>
        <v>Fix15</v>
      </c>
      <c r="AG309" s="38" t="str">
        <f t="array" ref="AG309">INDEX('Deal Info'!G:G, MATCH(A309,'Deal Info'!A:A, 0))</f>
        <v>Fix5</v>
      </c>
    </row>
    <row r="310" spans="1:33" ht="14.25" hidden="1" x14ac:dyDescent="0.2">
      <c r="A310" s="18" t="str">
        <f t="array" ref="A310">IF(G310='Room Info'!$B$1, INDEX('Room Info'!$A$2:$A2446, MATCH(B310,'Room Info'!$B$2:$B2446, 0)),IF(G310='Room Info'!$C$1, INDEX('Room Info'!$A$2:$A2446, MATCH(B310,'Room Info'!$C$2:$C2446, 0)),IF(G310='Room Info'!$D$1, INDEX('Room Info'!$A$2:$A2446, MATCH(B310,'Room Info'!$D$2:$D2446, 0)),IF(G310='Room Info'!$E$1, INDEX('Room Info'!$A$2:$A2446, MATCH(B310,'Room Info'!$E$2:$E2446, 0)),IF(G310='Room Info'!$F$1, INDEX('Room Info'!$A$2:$A2446, MATCH(B310,'Room Info'!$F$2:$F2446, 0)),IF(G310='Room Info'!$H$1, INDEX('Room Info'!$A$2:$A2446, MATCH(B310,'Room Info'!$H$2:$H2446, 0)),IF(G310='Room Info'!$G$1, INDEX('Room Info'!$A$2:$A2446, MATCH(B310,'Room Info'!$G$2:$G2446, 0)))))))))</f>
        <v>gRRRiz</v>
      </c>
      <c r="B310" s="45" t="s">
        <v>118</v>
      </c>
      <c r="C310" s="46">
        <v>44702</v>
      </c>
      <c r="D310" s="46">
        <v>44732</v>
      </c>
      <c r="E310" s="47">
        <v>44713</v>
      </c>
      <c r="F310" s="48" t="s">
        <v>34</v>
      </c>
      <c r="G310" s="45" t="s">
        <v>80</v>
      </c>
      <c r="H310" s="49" t="s">
        <v>70</v>
      </c>
      <c r="I310" s="49" t="s">
        <v>81</v>
      </c>
      <c r="J310" s="70">
        <v>100</v>
      </c>
      <c r="K310" s="71">
        <v>2577</v>
      </c>
      <c r="L310" s="72">
        <v>-19200</v>
      </c>
      <c r="M310" s="53">
        <v>14145</v>
      </c>
      <c r="N310" s="28">
        <f>K310*J310</f>
        <v>257700</v>
      </c>
      <c r="O310" s="45">
        <v>19738</v>
      </c>
      <c r="P310" s="29">
        <v>7.659293752</v>
      </c>
      <c r="Q310" s="55"/>
      <c r="R310" s="31">
        <f>M310+Q310</f>
        <v>14145</v>
      </c>
      <c r="S310" s="73">
        <v>-12774</v>
      </c>
      <c r="T310" s="32">
        <f>R310+S310+IF(F310="Without EV deal",L310,0)</f>
        <v>1371</v>
      </c>
      <c r="U310" s="57">
        <v>1</v>
      </c>
      <c r="V310" s="58"/>
      <c r="W310" s="58"/>
      <c r="X310" s="30">
        <f>IF(AF310="DoEV",IF(AND(V310&lt;20,W310&lt;55),0.3,0)+IF(AND(V310&lt;20,W310&gt;=55,W310&lt;105),0.23,0)+IF(AND(V310&lt;20,W310&gt;=105),0.17,0)+IF(AND(V310&gt;=20,V310&lt;40,W310&lt;45),0.3,0)+IF(AND(V310&gt;=20,V310&lt;40,W310&gt;=45,W310&lt;95),0.23,0)+IF(AND(V310&gt;=20,V310&lt;40,W310&gt;=95),0.17,0)+IF(AND(V310&gt;=40,V310&lt;75,W310&lt;35),0.3,0)+IF(AND(V310&gt;=40,V310&lt;75,W310&gt;=35,W310&lt;75),0.23,0)+IF(AND(V310&gt;=40,V310&lt;75,W310&gt;=75,W310&lt;120),0.17,0)+IF(AND(V310&gt;=40,V310&lt;75,W310&gt;=120),0.12,0)+IF(AND(V310&gt;=75,V310&lt;175,W310&lt;35),0.3,0)+IF(AND(V310&gt;=75,V310&lt;=175,W310&gt;=35,W310&lt;65),0.23,0)+IF(AND(V310&gt;=75,V310&lt;=175,W310&gt;=65,W310&lt;110),0.17,0)+IF(AND(V310&gt;=75,V310&lt;=175,W310&gt;=110),0.12,0)+IF(AND(V310&gt;175,W310&lt;25),0.3,0)+IF(AND(V310&gt;175,W310&gt;=25,W310&lt;55),0.23,0)+IF(AND(V310&gt;175,W310&gt;=55,W310&lt;95),0.17,0)+IF(AND(V310&gt;175,W310&gt;=95),0.12,0),
IF(AF310="Fix15",0.15,
IF(AF310="Fix11.25",0.1125,
IF(AF310="Fix10",0.1,
IF(AF310="Fix9",0.09,
IF(AF310="DoEV2017",IF(AND(W310&lt;74),0.2,0)+IF(AND(W310&gt;=74),0.17,0),
IF(AF310="SF",IF(AND(V310&lt;20,W310&lt;89),0.3,0)+IF(AND(V310&lt;20,W310&gt;=89),0.25,0)+IF(AND(V310&gt;=20,V310&lt;40,W310&lt;74),0.3,0)+IF(AND(V310&gt;=20,V310&lt;40,W310&gt;=75),0.22,0)+IF(AND(V310&gt;=40,V310&lt;75,W310&lt;75),0.26,0)+IF(AND(V310&gt;=40,V310&lt;75,W310&gt;=75),0.22,0)+IF(V310&gt;=75,0.22,0),
IF(AF310="DoEVold",IF(AND(V310&lt;40,W310&lt;35),0.35,0)+IF(AND(V310&lt;40,W310&gt;=35,W310&lt;75),0.25,0)+IF(AND(V310&lt;40,W310&gt;=75),0.17,0)+IF(AND(V310&gt;=40,V310&lt;75,W310&lt;25),0.35,0)+IF(AND(V310&gt;=40,V310&lt;75,W310&gt;=25,W310&lt;65),0.25,0)+IF(AND(V310&gt;=40,V310&lt;75,W310&gt;=65,W310&lt;100),0.17,0)+IF(AND(V310&gt;=40,V310&lt;75,W310&gt;=100),0.1,0)+IF(AND(V310&gt;=75,W310&lt;25),0.35,0)+IF(AND(V310&gt;=75,W310&gt;=25,W310&lt;60),0.25,0)+IF(AND(V310&gt;=75,W310&gt;=60,W310&lt;95),0.17,0)+IF(AND(V310&gt;=75,W310&gt;=95),0.1,0),
IF(AF310="DoEVold15",IF(AND(V310&lt;=40,W310&lt;35),0.35,0)+IF(AND(V310&lt;=40,W310&gt;=35,W310&lt;75),0.25,0)+IF(AND(V310&lt;=40,W310&gt;=75,W310&lt;120),0.17,0)+IF(AND(V310&lt;=40,W310&gt;=120),0.15,0)+IF(AND(V310&gt;40,V310&lt;75,W310&lt;25),0.35,0)+IF(AND(V310&gt;=40,V310&lt;75,W310&gt;=25,W310&lt;65),0.25,0)+IF(AND(V310&gt;=40,V310&lt;75,W310&gt;=65,W310&lt;100),0.17,0)+IF(AND(V310&gt;=40,V310&lt;75,W310&gt;=100),0.1,0)+IF(AND(V310&gt;=75,W310&lt;25),0.35,0)+IF(AND(V310&gt;=75,W310&gt;=25,W310&lt;60),0.25,0)+IF(AND(V310&gt;=75,W310&gt;=60,W310&lt;95),0.17,0)+IF(AND(V310&gt;=75,W310&gt;=95),0.1,0),
IF(AF310="DoEVba",IF(AND(V310&lt;20,W310&lt;105),0.2,0)+IF(AND(V310&lt;20,W310&gt;=105),0.15,0)+IF(AND(V310&gt;=20,V310&lt;40,W310&lt;95),0.2,0)+IF(AND(V310&gt;=20,V310&lt;40,W310&gt;=95,W310&lt;150),0.15,0)+IF(AND(V310&gt;=20,V310&lt;40,W310&gt;=150),0.12,0)+IF(AND(V310&gt;=40,V310&lt;75,W310&lt;75),0.2,0)+IF(AND(V310&gt;=40,V310&lt;75,W310&gt;=75,W310&lt;120),0.15,0)+IF(AND(V310&gt;=40,V310&lt;75,W310&gt;=120),0.12,0)+IF(AND(V310&gt;=75,V310&lt;175,W310&lt;65),0.2,0)+IF(AND(V310&gt;=75,V310&lt;175,W310&gt;=65,W310&lt;110),0.15,0)+IF(AND(V310&gt;=75,V310&lt;175,W310&gt;=110),0.12,0)+IF(AND(V310&gt;=175,W310&lt;55),0.2,0)+IF(AND(V310&gt;=175,W310&gt;=55,W310&lt;95),0.15,0)+IF(AND(V310&gt;=175,W310&gt;=95),0.12,0),
IF(AF310="DoEVku",IF(AND(V310&lt;20,W310&lt;55),0.23,0)+IF(AND(V310&lt;20,W310&gt;=55,W310&lt;105),0.2,0)+IF(AND(V310&lt;20,W310&gt;=105),0.17,0)+IF(AND(V310&gt;=20,V310&lt;40,W310&lt;45),0.23,0)+IF(AND(V310&gt;=20,V310&lt;40,W310&gt;=45,W310&lt;95),0.2,0)+IF(AND(V310&gt;=20,V310&lt;40,W310&gt;=95,W310&lt;=150),0.17,0)+IF(AND(V310&gt;=20,V310&lt;40,W310&gt;=150),0.12,0)+IF(AND(V310&gt;=40,V310&lt;75,W310&lt;35),0.23,0)+IF(AND(V310&gt;=40,V310&lt;75,W310&gt;=35,W310&lt;75),0.2,0)+IF(AND(V310&gt;=40,V310&lt;75,W310&gt;=75,W310&lt;120),0.17,0)+IF(AND(V310&gt;=40,V310&lt;75,W310&gt;=120),0.12,0)+IF(AND(V310&gt;=75,V310&lt;175,W310&lt;35),0.23,0)+IF(AND(V310&gt;=75,V310&lt;=175,W310&gt;=35,W310&lt;65),0.2,0)+IF(AND(V310&gt;=75,V310&lt;=175,W310&gt;=65,W310&lt;110),0.17,0)+IF(AND(V310&gt;=75,V310&lt;=175,W310&gt;=110),0.12,0)+IF(AND(V310&gt;175,W310&lt;25),0.23,0)+IF(AND(V310&gt;175,W310&gt;=25,W310&lt;55),0.2,0)+IF(AND(V310&gt;175,W310&gt;=55,W310&lt;95),0.17,0)+IF(AND(V310&gt;175,W310&gt;=95),0.12,0),
IF(AF310="DoEVs1",IF(AND(V310&lt;20,W310&lt;55),0.3,0)+IF(AND(V310&lt;20,W310&gt;=55,W310&lt;105),0.23,0)+IF(AND(V310&lt;20,W310&gt;=105),0.17,0)+IF(AND(V310&gt;=20,V310&lt;40,W310&lt;45),0.3,0)+IF(AND(V310&gt;=20,V310&lt;40,W310&gt;=45,W310&lt;95),0.23,0)+IF(AND(V310&gt;=20,V310&lt;40,W310&gt;=95,W310&lt;=150),0.17,0)+IF(AND(V310&gt;=20,V310&lt;40,W310&gt;=150),0.12,0)+IF(AND(V310&gt;=40,V310&lt;75,W310&lt;35),0.3,0)+IF(AND(V310&gt;=40,V310&lt;75,W310&gt;=35,W310&lt;75),0.23,0)+IF(AND(V310&gt;=40,V310&lt;75,W310&gt;=75,W310&lt;120),0.17,0)+IF(AND(V310&gt;=40,V310&lt;75,W310&gt;=120),0.12,0)+IF(AND(V310&gt;=75,V310&lt;175,W310&lt;35),0.3,0)+IF(AND(V310&gt;=75,V310&lt;=175,W310&gt;=35,W310&lt;65),0.23,0)+IF(AND(V310&gt;=75,V310&lt;=175,W310&gt;=65,W310&lt;110),0.17,0)+IF(AND(V310&gt;=75,V310&lt;=175,W310&gt;=110),0.12,0)+IF(AND(V310&gt;175,W310&lt;25),0.3,0)+IF(AND(V310&gt;175,W310&gt;=25,W310&lt;55),0.23,0)+IF(AND(V310&gt;175,W310&gt;=55,W310&lt;95),0.17,0)+IF(AND(V310&gt;175,W310&gt;=95),0.12,0),
IF(AF310="DoEVsu",IF(AND(V310&lt;20,W310&lt;55),0.3,0)+IF(AND(V310&lt;20,W310&gt;=55,W310&lt;105),0.23,0)+IF(AND(V310&lt;20,W310&gt;=105),0.17,0)+IF(AND(V310&gt;=20,V310&lt;40,W310&lt;45),0.3,0)+IF(AND(V310&gt;=20,V310&lt;40,W310&gt;=45,W310&lt;95),0.23,0)+IF(AND(V310&gt;=20,V310&lt;40,W310&gt;=95,W310&lt;=250),0.17,0)+IF(AND(V310&gt;=20,V310&lt;40,W310&gt;=250),0.12,0)+IF(AND(V310&gt;=40,V310&lt;75,W310&lt;35),0.3,0)+IF(AND(V310&gt;=40,V310&lt;75,W310&gt;=35,W310&lt;75),0.23,0)+IF(AND(V310&gt;=40,V310&lt;75,W310&gt;=75,W310&lt;120),0.17,0)+IF(AND(V310&gt;=40,V310&lt;75,W310&gt;=120),0.12,0)+IF(AND(V310&gt;=75,V310&lt;175,W310&lt;35),0.3,0)+IF(AND(V310&gt;=75,V310&lt;=175,W310&gt;=35,W310&lt;65),0.23,0)+IF(AND(V310&gt;=75,V310&lt;=175,W310&gt;=65,W310&lt;110),0.17,0)+IF(AND(V310&gt;=75,V310&lt;=175,W310&gt;=110),0.12,0)+IF(AND(V310&gt;175,W310&lt;25),0.3,0)+IF(AND(V310&gt;175,W310&gt;=25,W310&lt;55),0.23,0)+IF(AND(V310&gt;175,W310&gt;=55,W310&lt;95),0.17,0)+IF(AND(V310&gt;175,W310&gt;=95),0.12,0),
IF(AF310="DoEVni",IF(AND(V310&lt;20,W310&lt;55),0.3,0)+IF(AND(V310&lt;20,W310&gt;=55,W310&lt;105),0.23,0)+IF(AND(V310&lt;20,W310&gt;=105),0.17,0)+IF(AND(V310&gt;=20,V310&lt;40,W310&lt;45),0.3,0)+IF(AND(V310&gt;=20,V310&lt;40,W310&gt;=45,W310&lt;95),0.23,0)+IF(AND(V310&gt;=20,V310&lt;40,W310&gt;=95,W310&lt;=200),0.17,0)+IF(AND(V310&gt;=20,V310&lt;40,W310&gt;=200),0.12,0)+IF(AND(V310&gt;=40,V310&lt;75,W310&lt;35),0.3,0)+IF(AND(V310&gt;=40,V310&lt;75,W310&gt;=35,W310&lt;75),0.23,0)+IF(AND(V310&gt;=40,V310&lt;75,W310&gt;=75,W310&lt;120),0.17,0)+IF(AND(V310&gt;=40,V310&lt;75,W310&gt;=120),0.12,0)+IF(AND(V310&gt;=75,V310&lt;175,W310&lt;35),0.3,0)+IF(AND(V310&gt;=75,V310&lt;=175,W310&gt;=35,W310&lt;65),0.23,0)+IF(AND(V310&gt;=75,V310&lt;=175,W310&gt;=65,W310&lt;110),0.17,0)+IF(AND(V310&gt;=75,V310&lt;=175,W310&gt;=110),0.12,0)+IF(AND(V310&gt;175,W310&lt;25),0.3,0)+IF(AND(V310&gt;175,W310&gt;=25,W310&lt;55),0.23,0)+IF(AND(V310&gt;175,W310&gt;=55,W310&lt;95),0.17,0)+IF(AND(V310&gt;175,W310&gt;=95),0.12,0),
IF(AF310="DoEVLo",IF(AND(V310&lt;20,W310&lt;55),0.25,0)+IF(AND(V310&lt;20,W310&gt;=55,W310&lt;105),0.2,0)+IF(AND(V310&lt;20,W310&gt;=105),0.15,0)+IF(AND(V310&gt;=20,V310&lt;40,W310&lt;45),0.25,0)+IF(AND(V310&gt;=20,V310&lt;40,W310&gt;=45,W310&lt;95),0.2,0)+IF(AND(V310&gt;=20,V310&lt;40,W310&gt;=95),0.15,0)+IF(AND(V310&gt;=40,V310&lt;75,W310&lt;35),0.25,0)+IF(AND(V310&gt;=40,V310&lt;75,W310&gt;=35,W310&lt;75),0.2,0)+IF(AND(V310&gt;=40,V310&lt;75,W310&gt;=75,W310&lt;120),0.15,0)+IF(AND(V310&gt;=40,V310&lt;75,W310&gt;=120),0.1,0)+IF(AND(V310&gt;=75,V310&lt;175,W310&lt;35),0.25,0)+IF(AND(V310&gt;=75,V310&lt;=175,W310&gt;=35,W310&lt;65),0.2,0)+IF(AND(V310&gt;=75,V310&lt;=175,W310&gt;=65,W310&lt;110),0.15,0)+IF(AND(V310&gt;=75,V310&lt;=175,W310&gt;=110),0.1,0)+IF(AND(V310&gt;175,W310&lt;25),0.25,0)+IF(AND(V310&gt;175,W310&gt;=25,W310&lt;55),0.2,0)+IF(AND(V310&gt;175,W310&gt;=55,W310&lt;95),0.15,0)+IF(AND(V310&gt;175,W310&gt;=95),0.1,0))))))))))))))))</f>
        <v>0.15</v>
      </c>
      <c r="Y310" s="30">
        <f>IF(AG310="None",0,IF(AG310="Fix5",0.05,IF(AG310="Fix3.75",0.0375,IF(AG310="Fix10",0.1,IF(AG310="Fix3",0.03,0)))))</f>
        <v>0.05</v>
      </c>
      <c r="Z310" s="35">
        <f>T310-AA310-AB310</f>
        <v>1096.8</v>
      </c>
      <c r="AA310" s="29">
        <f>IF(AD310="EUR",((T310-R310)*X310)*U310+(R310*X310),(T310*X310))</f>
        <v>205.65</v>
      </c>
      <c r="AB310" s="36">
        <f>IF(AD310="EUR",((T310-R310)*Y310)*U310+(R310*Y310),(T310*Y310))</f>
        <v>68.55</v>
      </c>
      <c r="AC310" s="37" t="b">
        <v>1</v>
      </c>
      <c r="AD310" s="37" t="s">
        <v>38</v>
      </c>
      <c r="AE310" s="37" t="s">
        <v>38</v>
      </c>
      <c r="AF310" s="37" t="str">
        <f t="array" ref="AF310">INDEX('Deal Info'!D:D, MATCH(A310,'Deal Info'!A:A, 0))</f>
        <v>Fix15</v>
      </c>
      <c r="AG310" s="38" t="str">
        <f t="array" ref="AG310">INDEX('Deal Info'!G:G, MATCH(A310,'Deal Info'!A:A, 0))</f>
        <v>Fix5</v>
      </c>
    </row>
    <row r="311" spans="1:33" ht="14.25" hidden="1" x14ac:dyDescent="0.2">
      <c r="A311" s="18" t="str">
        <f t="array" ref="A311">IF(G311='Room Info'!$B$1, INDEX('Room Info'!$A$2:$A2446, MATCH(B311,'Room Info'!$B$2:$B2446, 0)),IF(G311='Room Info'!$C$1, INDEX('Room Info'!$A$2:$A2446, MATCH(B311,'Room Info'!$C$2:$C2446, 0)),IF(G311='Room Info'!$D$1, INDEX('Room Info'!$A$2:$A2446, MATCH(B311,'Room Info'!$D$2:$D2446, 0)),IF(G311='Room Info'!$E$1, INDEX('Room Info'!$A$2:$A2446, MATCH(B311,'Room Info'!$E$2:$E2446, 0)),IF(G311='Room Info'!$F$1, INDEX('Room Info'!$A$2:$A2446, MATCH(B311,'Room Info'!$F$2:$F2446, 0)),IF(G311='Room Info'!$H$1, INDEX('Room Info'!$A$2:$A2446, MATCH(B311,'Room Info'!$H$2:$H2446, 0)),IF(G311='Room Info'!$G$1, INDEX('Room Info'!$A$2:$A2446, MATCH(B311,'Room Info'!$G$2:$G2446, 0)))))))))</f>
        <v>gRRRiz</v>
      </c>
      <c r="B311" s="45" t="s">
        <v>118</v>
      </c>
      <c r="C311" s="46">
        <v>44733</v>
      </c>
      <c r="D311" s="46">
        <v>44762</v>
      </c>
      <c r="E311" s="47">
        <v>44743</v>
      </c>
      <c r="F311" s="48" t="s">
        <v>34</v>
      </c>
      <c r="G311" s="45" t="s">
        <v>80</v>
      </c>
      <c r="H311" s="49" t="s">
        <v>72</v>
      </c>
      <c r="I311" s="49" t="s">
        <v>81</v>
      </c>
      <c r="J311" s="70">
        <v>50</v>
      </c>
      <c r="K311" s="71">
        <v>500</v>
      </c>
      <c r="L311" s="72">
        <v>3150</v>
      </c>
      <c r="M311" s="53">
        <v>1476</v>
      </c>
      <c r="N311" s="28">
        <f>K311*J311</f>
        <v>25000</v>
      </c>
      <c r="O311" s="45">
        <v>14234</v>
      </c>
      <c r="P311" s="29">
        <v>28.468</v>
      </c>
      <c r="Q311" s="55"/>
      <c r="R311" s="31">
        <f>M311+Q311</f>
        <v>1476</v>
      </c>
      <c r="S311" s="73">
        <v>181</v>
      </c>
      <c r="T311" s="32">
        <f>R311+S311+IF(F311="Without EV deal",L311,0)</f>
        <v>1657</v>
      </c>
      <c r="U311" s="57">
        <v>1</v>
      </c>
      <c r="V311" s="58"/>
      <c r="W311" s="58"/>
      <c r="X311" s="30">
        <f>IF(AF311="DoEV",IF(AND(V311&lt;20,W311&lt;55),0.3,0)+IF(AND(V311&lt;20,W311&gt;=55,W311&lt;105),0.23,0)+IF(AND(V311&lt;20,W311&gt;=105),0.17,0)+IF(AND(V311&gt;=20,V311&lt;40,W311&lt;45),0.3,0)+IF(AND(V311&gt;=20,V311&lt;40,W311&gt;=45,W311&lt;95),0.23,0)+IF(AND(V311&gt;=20,V311&lt;40,W311&gt;=95),0.17,0)+IF(AND(V311&gt;=40,V311&lt;75,W311&lt;35),0.3,0)+IF(AND(V311&gt;=40,V311&lt;75,W311&gt;=35,W311&lt;75),0.23,0)+IF(AND(V311&gt;=40,V311&lt;75,W311&gt;=75,W311&lt;120),0.17,0)+IF(AND(V311&gt;=40,V311&lt;75,W311&gt;=120),0.12,0)+IF(AND(V311&gt;=75,V311&lt;175,W311&lt;35),0.3,0)+IF(AND(V311&gt;=75,V311&lt;=175,W311&gt;=35,W311&lt;65),0.23,0)+IF(AND(V311&gt;=75,V311&lt;=175,W311&gt;=65,W311&lt;110),0.17,0)+IF(AND(V311&gt;=75,V311&lt;=175,W311&gt;=110),0.12,0)+IF(AND(V311&gt;175,W311&lt;25),0.3,0)+IF(AND(V311&gt;175,W311&gt;=25,W311&lt;55),0.23,0)+IF(AND(V311&gt;175,W311&gt;=55,W311&lt;95),0.17,0)+IF(AND(V311&gt;175,W311&gt;=95),0.12,0),
IF(AF311="Fix15",0.15,
IF(AF311="Fix11.25",0.1125,
IF(AF311="Fix10",0.1,
IF(AF311="Fix9",0.09,
IF(AF311="DoEV2017",IF(AND(W311&lt;74),0.2,0)+IF(AND(W311&gt;=74),0.17,0),
IF(AF311="SF",IF(AND(V311&lt;20,W311&lt;89),0.3,0)+IF(AND(V311&lt;20,W311&gt;=89),0.25,0)+IF(AND(V311&gt;=20,V311&lt;40,W311&lt;74),0.3,0)+IF(AND(V311&gt;=20,V311&lt;40,W311&gt;=75),0.22,0)+IF(AND(V311&gt;=40,V311&lt;75,W311&lt;75),0.26,0)+IF(AND(V311&gt;=40,V311&lt;75,W311&gt;=75),0.22,0)+IF(V311&gt;=75,0.22,0),
IF(AF311="DoEVold",IF(AND(V311&lt;40,W311&lt;35),0.35,0)+IF(AND(V311&lt;40,W311&gt;=35,W311&lt;75),0.25,0)+IF(AND(V311&lt;40,W311&gt;=75),0.17,0)+IF(AND(V311&gt;=40,V311&lt;75,W311&lt;25),0.35,0)+IF(AND(V311&gt;=40,V311&lt;75,W311&gt;=25,W311&lt;65),0.25,0)+IF(AND(V311&gt;=40,V311&lt;75,W311&gt;=65,W311&lt;100),0.17,0)+IF(AND(V311&gt;=40,V311&lt;75,W311&gt;=100),0.1,0)+IF(AND(V311&gt;=75,W311&lt;25),0.35,0)+IF(AND(V311&gt;=75,W311&gt;=25,W311&lt;60),0.25,0)+IF(AND(V311&gt;=75,W311&gt;=60,W311&lt;95),0.17,0)+IF(AND(V311&gt;=75,W311&gt;=95),0.1,0),
IF(AF311="DoEVold15",IF(AND(V311&lt;=40,W311&lt;35),0.35,0)+IF(AND(V311&lt;=40,W311&gt;=35,W311&lt;75),0.25,0)+IF(AND(V311&lt;=40,W311&gt;=75,W311&lt;120),0.17,0)+IF(AND(V311&lt;=40,W311&gt;=120),0.15,0)+IF(AND(V311&gt;40,V311&lt;75,W311&lt;25),0.35,0)+IF(AND(V311&gt;=40,V311&lt;75,W311&gt;=25,W311&lt;65),0.25,0)+IF(AND(V311&gt;=40,V311&lt;75,W311&gt;=65,W311&lt;100),0.17,0)+IF(AND(V311&gt;=40,V311&lt;75,W311&gt;=100),0.1,0)+IF(AND(V311&gt;=75,W311&lt;25),0.35,0)+IF(AND(V311&gt;=75,W311&gt;=25,W311&lt;60),0.25,0)+IF(AND(V311&gt;=75,W311&gt;=60,W311&lt;95),0.17,0)+IF(AND(V311&gt;=75,W311&gt;=95),0.1,0),
IF(AF311="DoEVba",IF(AND(V311&lt;20,W311&lt;105),0.2,0)+IF(AND(V311&lt;20,W311&gt;=105),0.15,0)+IF(AND(V311&gt;=20,V311&lt;40,W311&lt;95),0.2,0)+IF(AND(V311&gt;=20,V311&lt;40,W311&gt;=95,W311&lt;150),0.15,0)+IF(AND(V311&gt;=20,V311&lt;40,W311&gt;=150),0.12,0)+IF(AND(V311&gt;=40,V311&lt;75,W311&lt;75),0.2,0)+IF(AND(V311&gt;=40,V311&lt;75,W311&gt;=75,W311&lt;120),0.15,0)+IF(AND(V311&gt;=40,V311&lt;75,W311&gt;=120),0.12,0)+IF(AND(V311&gt;=75,V311&lt;175,W311&lt;65),0.2,0)+IF(AND(V311&gt;=75,V311&lt;175,W311&gt;=65,W311&lt;110),0.15,0)+IF(AND(V311&gt;=75,V311&lt;175,W311&gt;=110),0.12,0)+IF(AND(V311&gt;=175,W311&lt;55),0.2,0)+IF(AND(V311&gt;=175,W311&gt;=55,W311&lt;95),0.15,0)+IF(AND(V311&gt;=175,W311&gt;=95),0.12,0),
IF(AF311="DoEVku",IF(AND(V311&lt;20,W311&lt;55),0.23,0)+IF(AND(V311&lt;20,W311&gt;=55,W311&lt;105),0.2,0)+IF(AND(V311&lt;20,W311&gt;=105),0.17,0)+IF(AND(V311&gt;=20,V311&lt;40,W311&lt;45),0.23,0)+IF(AND(V311&gt;=20,V311&lt;40,W311&gt;=45,W311&lt;95),0.2,0)+IF(AND(V311&gt;=20,V311&lt;40,W311&gt;=95,W311&lt;=150),0.17,0)+IF(AND(V311&gt;=20,V311&lt;40,W311&gt;=150),0.12,0)+IF(AND(V311&gt;=40,V311&lt;75,W311&lt;35),0.23,0)+IF(AND(V311&gt;=40,V311&lt;75,W311&gt;=35,W311&lt;75),0.2,0)+IF(AND(V311&gt;=40,V311&lt;75,W311&gt;=75,W311&lt;120),0.17,0)+IF(AND(V311&gt;=40,V311&lt;75,W311&gt;=120),0.12,0)+IF(AND(V311&gt;=75,V311&lt;175,W311&lt;35),0.23,0)+IF(AND(V311&gt;=75,V311&lt;=175,W311&gt;=35,W311&lt;65),0.2,0)+IF(AND(V311&gt;=75,V311&lt;=175,W311&gt;=65,W311&lt;110),0.17,0)+IF(AND(V311&gt;=75,V311&lt;=175,W311&gt;=110),0.12,0)+IF(AND(V311&gt;175,W311&lt;25),0.23,0)+IF(AND(V311&gt;175,W311&gt;=25,W311&lt;55),0.2,0)+IF(AND(V311&gt;175,W311&gt;=55,W311&lt;95),0.17,0)+IF(AND(V311&gt;175,W311&gt;=95),0.12,0),
IF(AF311="DoEVs1",IF(AND(V311&lt;20,W311&lt;55),0.3,0)+IF(AND(V311&lt;20,W311&gt;=55,W311&lt;105),0.23,0)+IF(AND(V311&lt;20,W311&gt;=105),0.17,0)+IF(AND(V311&gt;=20,V311&lt;40,W311&lt;45),0.3,0)+IF(AND(V311&gt;=20,V311&lt;40,W311&gt;=45,W311&lt;95),0.23,0)+IF(AND(V311&gt;=20,V311&lt;40,W311&gt;=95,W311&lt;=150),0.17,0)+IF(AND(V311&gt;=20,V311&lt;40,W311&gt;=150),0.12,0)+IF(AND(V311&gt;=40,V311&lt;75,W311&lt;35),0.3,0)+IF(AND(V311&gt;=40,V311&lt;75,W311&gt;=35,W311&lt;75),0.23,0)+IF(AND(V311&gt;=40,V311&lt;75,W311&gt;=75,W311&lt;120),0.17,0)+IF(AND(V311&gt;=40,V311&lt;75,W311&gt;=120),0.12,0)+IF(AND(V311&gt;=75,V311&lt;175,W311&lt;35),0.3,0)+IF(AND(V311&gt;=75,V311&lt;=175,W311&gt;=35,W311&lt;65),0.23,0)+IF(AND(V311&gt;=75,V311&lt;=175,W311&gt;=65,W311&lt;110),0.17,0)+IF(AND(V311&gt;=75,V311&lt;=175,W311&gt;=110),0.12,0)+IF(AND(V311&gt;175,W311&lt;25),0.3,0)+IF(AND(V311&gt;175,W311&gt;=25,W311&lt;55),0.23,0)+IF(AND(V311&gt;175,W311&gt;=55,W311&lt;95),0.17,0)+IF(AND(V311&gt;175,W311&gt;=95),0.12,0),
IF(AF311="DoEVsu",IF(AND(V311&lt;20,W311&lt;55),0.3,0)+IF(AND(V311&lt;20,W311&gt;=55,W311&lt;105),0.23,0)+IF(AND(V311&lt;20,W311&gt;=105),0.17,0)+IF(AND(V311&gt;=20,V311&lt;40,W311&lt;45),0.3,0)+IF(AND(V311&gt;=20,V311&lt;40,W311&gt;=45,W311&lt;95),0.23,0)+IF(AND(V311&gt;=20,V311&lt;40,W311&gt;=95,W311&lt;=250),0.17,0)+IF(AND(V311&gt;=20,V311&lt;40,W311&gt;=250),0.12,0)+IF(AND(V311&gt;=40,V311&lt;75,W311&lt;35),0.3,0)+IF(AND(V311&gt;=40,V311&lt;75,W311&gt;=35,W311&lt;75),0.23,0)+IF(AND(V311&gt;=40,V311&lt;75,W311&gt;=75,W311&lt;120),0.17,0)+IF(AND(V311&gt;=40,V311&lt;75,W311&gt;=120),0.12,0)+IF(AND(V311&gt;=75,V311&lt;175,W311&lt;35),0.3,0)+IF(AND(V311&gt;=75,V311&lt;=175,W311&gt;=35,W311&lt;65),0.23,0)+IF(AND(V311&gt;=75,V311&lt;=175,W311&gt;=65,W311&lt;110),0.17,0)+IF(AND(V311&gt;=75,V311&lt;=175,W311&gt;=110),0.12,0)+IF(AND(V311&gt;175,W311&lt;25),0.3,0)+IF(AND(V311&gt;175,W311&gt;=25,W311&lt;55),0.23,0)+IF(AND(V311&gt;175,W311&gt;=55,W311&lt;95),0.17,0)+IF(AND(V311&gt;175,W311&gt;=95),0.12,0),
IF(AF311="DoEVni",IF(AND(V311&lt;20,W311&lt;55),0.3,0)+IF(AND(V311&lt;20,W311&gt;=55,W311&lt;105),0.23,0)+IF(AND(V311&lt;20,W311&gt;=105),0.17,0)+IF(AND(V311&gt;=20,V311&lt;40,W311&lt;45),0.3,0)+IF(AND(V311&gt;=20,V311&lt;40,W311&gt;=45,W311&lt;95),0.23,0)+IF(AND(V311&gt;=20,V311&lt;40,W311&gt;=95,W311&lt;=200),0.17,0)+IF(AND(V311&gt;=20,V311&lt;40,W311&gt;=200),0.12,0)+IF(AND(V311&gt;=40,V311&lt;75,W311&lt;35),0.3,0)+IF(AND(V311&gt;=40,V311&lt;75,W311&gt;=35,W311&lt;75),0.23,0)+IF(AND(V311&gt;=40,V311&lt;75,W311&gt;=75,W311&lt;120),0.17,0)+IF(AND(V311&gt;=40,V311&lt;75,W311&gt;=120),0.12,0)+IF(AND(V311&gt;=75,V311&lt;175,W311&lt;35),0.3,0)+IF(AND(V311&gt;=75,V311&lt;=175,W311&gt;=35,W311&lt;65),0.23,0)+IF(AND(V311&gt;=75,V311&lt;=175,W311&gt;=65,W311&lt;110),0.17,0)+IF(AND(V311&gt;=75,V311&lt;=175,W311&gt;=110),0.12,0)+IF(AND(V311&gt;175,W311&lt;25),0.3,0)+IF(AND(V311&gt;175,W311&gt;=25,W311&lt;55),0.23,0)+IF(AND(V311&gt;175,W311&gt;=55,W311&lt;95),0.17,0)+IF(AND(V311&gt;175,W311&gt;=95),0.12,0),
IF(AF311="DoEVLo",IF(AND(V311&lt;20,W311&lt;55),0.25,0)+IF(AND(V311&lt;20,W311&gt;=55,W311&lt;105),0.2,0)+IF(AND(V311&lt;20,W311&gt;=105),0.15,0)+IF(AND(V311&gt;=20,V311&lt;40,W311&lt;45),0.25,0)+IF(AND(V311&gt;=20,V311&lt;40,W311&gt;=45,W311&lt;95),0.2,0)+IF(AND(V311&gt;=20,V311&lt;40,W311&gt;=95),0.15,0)+IF(AND(V311&gt;=40,V311&lt;75,W311&lt;35),0.25,0)+IF(AND(V311&gt;=40,V311&lt;75,W311&gt;=35,W311&lt;75),0.2,0)+IF(AND(V311&gt;=40,V311&lt;75,W311&gt;=75,W311&lt;120),0.15,0)+IF(AND(V311&gt;=40,V311&lt;75,W311&gt;=120),0.1,0)+IF(AND(V311&gt;=75,V311&lt;175,W311&lt;35),0.25,0)+IF(AND(V311&gt;=75,V311&lt;=175,W311&gt;=35,W311&lt;65),0.2,0)+IF(AND(V311&gt;=75,V311&lt;=175,W311&gt;=65,W311&lt;110),0.15,0)+IF(AND(V311&gt;=75,V311&lt;=175,W311&gt;=110),0.1,0)+IF(AND(V311&gt;175,W311&lt;25),0.25,0)+IF(AND(V311&gt;175,W311&gt;=25,W311&lt;55),0.2,0)+IF(AND(V311&gt;175,W311&gt;=55,W311&lt;95),0.15,0)+IF(AND(V311&gt;175,W311&gt;=95),0.1,0))))))))))))))))</f>
        <v>0.15</v>
      </c>
      <c r="Y311" s="30">
        <f>IF(AG311="None",0,IF(AG311="Fix5",0.05,IF(AG311="Fix3.75",0.0375,IF(AG311="Fix10",0.1,IF(AG311="Fix3",0.03,0)))))</f>
        <v>0.05</v>
      </c>
      <c r="Z311" s="35">
        <f>T311-AA311-AB311</f>
        <v>1325.6000000000001</v>
      </c>
      <c r="AA311" s="29">
        <f>IF(AD311="EUR",((T311-R311)*X311)*U311+(R311*X311),(T311*X311))</f>
        <v>248.54999999999998</v>
      </c>
      <c r="AB311" s="36">
        <f>IF(AD311="EUR",((T311-R311)*Y311)*U311+(R311*Y311),(T311*Y311))</f>
        <v>82.850000000000009</v>
      </c>
      <c r="AC311" s="37" t="b">
        <v>1</v>
      </c>
      <c r="AD311" s="37" t="s">
        <v>38</v>
      </c>
      <c r="AE311" s="37" t="s">
        <v>38</v>
      </c>
      <c r="AF311" s="37" t="str">
        <f t="array" ref="AF311">INDEX('Deal Info'!D:D, MATCH(A311,'Deal Info'!A:A, 0))</f>
        <v>Fix15</v>
      </c>
      <c r="AG311" s="38" t="str">
        <f t="array" ref="AG311">INDEX('Deal Info'!G:G, MATCH(A311,'Deal Info'!A:A, 0))</f>
        <v>Fix5</v>
      </c>
    </row>
    <row r="312" spans="1:33" ht="14.25" hidden="1" x14ac:dyDescent="0.2">
      <c r="A312" s="18" t="str">
        <f t="array" ref="A312">IF(G312='Room Info'!$B$1, INDEX('Room Info'!$A$2:$A2446, MATCH(B312,'Room Info'!$B$2:$B2446, 0)),IF(G312='Room Info'!$C$1, INDEX('Room Info'!$A$2:$A2446, MATCH(B312,'Room Info'!$C$2:$C2446, 0)),IF(G312='Room Info'!$D$1, INDEX('Room Info'!$A$2:$A2446, MATCH(B312,'Room Info'!$D$2:$D2446, 0)),IF(G312='Room Info'!$E$1, INDEX('Room Info'!$A$2:$A2446, MATCH(B312,'Room Info'!$E$2:$E2446, 0)),IF(G312='Room Info'!$F$1, INDEX('Room Info'!$A$2:$A2446, MATCH(B312,'Room Info'!$F$2:$F2446, 0)),IF(G312='Room Info'!$H$1, INDEX('Room Info'!$A$2:$A2446, MATCH(B312,'Room Info'!$H$2:$H2446, 0)),IF(G312='Room Info'!$G$1, INDEX('Room Info'!$A$2:$A2446, MATCH(B312,'Room Info'!$G$2:$G2446, 0)))))))))</f>
        <v>gRRRiz</v>
      </c>
      <c r="B312" s="45" t="s">
        <v>118</v>
      </c>
      <c r="C312" s="46">
        <v>44763</v>
      </c>
      <c r="D312" s="46">
        <v>44793</v>
      </c>
      <c r="E312" s="47">
        <v>44774</v>
      </c>
      <c r="F312" s="48" t="s">
        <v>34</v>
      </c>
      <c r="G312" s="45" t="s">
        <v>80</v>
      </c>
      <c r="H312" s="49" t="s">
        <v>72</v>
      </c>
      <c r="I312" s="49" t="s">
        <v>81</v>
      </c>
      <c r="J312" s="70">
        <v>50</v>
      </c>
      <c r="K312" s="71">
        <v>114</v>
      </c>
      <c r="L312" s="72">
        <v>900</v>
      </c>
      <c r="M312" s="53">
        <v>316</v>
      </c>
      <c r="N312" s="28">
        <f>K312*J312</f>
        <v>5700</v>
      </c>
      <c r="O312" s="45">
        <v>4022</v>
      </c>
      <c r="P312" s="29">
        <v>35.280701749999999</v>
      </c>
      <c r="Q312" s="55"/>
      <c r="R312" s="31">
        <f>M312+Q312</f>
        <v>316</v>
      </c>
      <c r="S312" s="73">
        <v>165</v>
      </c>
      <c r="T312" s="32">
        <f>R312+S312+IF(F312="Without EV deal",L312,0)</f>
        <v>481</v>
      </c>
      <c r="U312" s="57">
        <v>1</v>
      </c>
      <c r="V312" s="58"/>
      <c r="W312" s="58"/>
      <c r="X312" s="30">
        <f>IF(AF312="DoEV",IF(AND(V312&lt;20,W312&lt;55),0.3,0)+IF(AND(V312&lt;20,W312&gt;=55,W312&lt;105),0.23,0)+IF(AND(V312&lt;20,W312&gt;=105),0.17,0)+IF(AND(V312&gt;=20,V312&lt;40,W312&lt;45),0.3,0)+IF(AND(V312&gt;=20,V312&lt;40,W312&gt;=45,W312&lt;95),0.23,0)+IF(AND(V312&gt;=20,V312&lt;40,W312&gt;=95),0.17,0)+IF(AND(V312&gt;=40,V312&lt;75,W312&lt;35),0.3,0)+IF(AND(V312&gt;=40,V312&lt;75,W312&gt;=35,W312&lt;75),0.23,0)+IF(AND(V312&gt;=40,V312&lt;75,W312&gt;=75,W312&lt;120),0.17,0)+IF(AND(V312&gt;=40,V312&lt;75,W312&gt;=120),0.12,0)+IF(AND(V312&gt;=75,V312&lt;175,W312&lt;35),0.3,0)+IF(AND(V312&gt;=75,V312&lt;=175,W312&gt;=35,W312&lt;65),0.23,0)+IF(AND(V312&gt;=75,V312&lt;=175,W312&gt;=65,W312&lt;110),0.17,0)+IF(AND(V312&gt;=75,V312&lt;=175,W312&gt;=110),0.12,0)+IF(AND(V312&gt;175,W312&lt;25),0.3,0)+IF(AND(V312&gt;175,W312&gt;=25,W312&lt;55),0.23,0)+IF(AND(V312&gt;175,W312&gt;=55,W312&lt;95),0.17,0)+IF(AND(V312&gt;175,W312&gt;=95),0.12,0),
IF(AF312="Fix15",0.15,
IF(AF312="Fix11.25",0.1125,
IF(AF312="Fix10",0.1,
IF(AF312="Fix9",0.09,
IF(AF312="DoEV2017",IF(AND(W312&lt;74),0.2,0)+IF(AND(W312&gt;=74),0.17,0),
IF(AF312="SF",IF(AND(V312&lt;20,W312&lt;89),0.3,0)+IF(AND(V312&lt;20,W312&gt;=89),0.25,0)+IF(AND(V312&gt;=20,V312&lt;40,W312&lt;74),0.3,0)+IF(AND(V312&gt;=20,V312&lt;40,W312&gt;=75),0.22,0)+IF(AND(V312&gt;=40,V312&lt;75,W312&lt;75),0.26,0)+IF(AND(V312&gt;=40,V312&lt;75,W312&gt;=75),0.22,0)+IF(V312&gt;=75,0.22,0),
IF(AF312="DoEVold",IF(AND(V312&lt;40,W312&lt;35),0.35,0)+IF(AND(V312&lt;40,W312&gt;=35,W312&lt;75),0.25,0)+IF(AND(V312&lt;40,W312&gt;=75),0.17,0)+IF(AND(V312&gt;=40,V312&lt;75,W312&lt;25),0.35,0)+IF(AND(V312&gt;=40,V312&lt;75,W312&gt;=25,W312&lt;65),0.25,0)+IF(AND(V312&gt;=40,V312&lt;75,W312&gt;=65,W312&lt;100),0.17,0)+IF(AND(V312&gt;=40,V312&lt;75,W312&gt;=100),0.1,0)+IF(AND(V312&gt;=75,W312&lt;25),0.35,0)+IF(AND(V312&gt;=75,W312&gt;=25,W312&lt;60),0.25,0)+IF(AND(V312&gt;=75,W312&gt;=60,W312&lt;95),0.17,0)+IF(AND(V312&gt;=75,W312&gt;=95),0.1,0),
IF(AF312="DoEVold15",IF(AND(V312&lt;=40,W312&lt;35),0.35,0)+IF(AND(V312&lt;=40,W312&gt;=35,W312&lt;75),0.25,0)+IF(AND(V312&lt;=40,W312&gt;=75,W312&lt;120),0.17,0)+IF(AND(V312&lt;=40,W312&gt;=120),0.15,0)+IF(AND(V312&gt;40,V312&lt;75,W312&lt;25),0.35,0)+IF(AND(V312&gt;=40,V312&lt;75,W312&gt;=25,W312&lt;65),0.25,0)+IF(AND(V312&gt;=40,V312&lt;75,W312&gt;=65,W312&lt;100),0.17,0)+IF(AND(V312&gt;=40,V312&lt;75,W312&gt;=100),0.1,0)+IF(AND(V312&gt;=75,W312&lt;25),0.35,0)+IF(AND(V312&gt;=75,W312&gt;=25,W312&lt;60),0.25,0)+IF(AND(V312&gt;=75,W312&gt;=60,W312&lt;95),0.17,0)+IF(AND(V312&gt;=75,W312&gt;=95),0.1,0),
IF(AF312="DoEVba",IF(AND(V312&lt;20,W312&lt;105),0.2,0)+IF(AND(V312&lt;20,W312&gt;=105),0.15,0)+IF(AND(V312&gt;=20,V312&lt;40,W312&lt;95),0.2,0)+IF(AND(V312&gt;=20,V312&lt;40,W312&gt;=95,W312&lt;150),0.15,0)+IF(AND(V312&gt;=20,V312&lt;40,W312&gt;=150),0.12,0)+IF(AND(V312&gt;=40,V312&lt;75,W312&lt;75),0.2,0)+IF(AND(V312&gt;=40,V312&lt;75,W312&gt;=75,W312&lt;120),0.15,0)+IF(AND(V312&gt;=40,V312&lt;75,W312&gt;=120),0.12,0)+IF(AND(V312&gt;=75,V312&lt;175,W312&lt;65),0.2,0)+IF(AND(V312&gt;=75,V312&lt;175,W312&gt;=65,W312&lt;110),0.15,0)+IF(AND(V312&gt;=75,V312&lt;175,W312&gt;=110),0.12,0)+IF(AND(V312&gt;=175,W312&lt;55),0.2,0)+IF(AND(V312&gt;=175,W312&gt;=55,W312&lt;95),0.15,0)+IF(AND(V312&gt;=175,W312&gt;=95),0.12,0),
IF(AF312="DoEVku",IF(AND(V312&lt;20,W312&lt;55),0.23,0)+IF(AND(V312&lt;20,W312&gt;=55,W312&lt;105),0.2,0)+IF(AND(V312&lt;20,W312&gt;=105),0.17,0)+IF(AND(V312&gt;=20,V312&lt;40,W312&lt;45),0.23,0)+IF(AND(V312&gt;=20,V312&lt;40,W312&gt;=45,W312&lt;95),0.2,0)+IF(AND(V312&gt;=20,V312&lt;40,W312&gt;=95,W312&lt;=150),0.17,0)+IF(AND(V312&gt;=20,V312&lt;40,W312&gt;=150),0.12,0)+IF(AND(V312&gt;=40,V312&lt;75,W312&lt;35),0.23,0)+IF(AND(V312&gt;=40,V312&lt;75,W312&gt;=35,W312&lt;75),0.2,0)+IF(AND(V312&gt;=40,V312&lt;75,W312&gt;=75,W312&lt;120),0.17,0)+IF(AND(V312&gt;=40,V312&lt;75,W312&gt;=120),0.12,0)+IF(AND(V312&gt;=75,V312&lt;175,W312&lt;35),0.23,0)+IF(AND(V312&gt;=75,V312&lt;=175,W312&gt;=35,W312&lt;65),0.2,0)+IF(AND(V312&gt;=75,V312&lt;=175,W312&gt;=65,W312&lt;110),0.17,0)+IF(AND(V312&gt;=75,V312&lt;=175,W312&gt;=110),0.12,0)+IF(AND(V312&gt;175,W312&lt;25),0.23,0)+IF(AND(V312&gt;175,W312&gt;=25,W312&lt;55),0.2,0)+IF(AND(V312&gt;175,W312&gt;=55,W312&lt;95),0.17,0)+IF(AND(V312&gt;175,W312&gt;=95),0.12,0),
IF(AF312="DoEVs1",IF(AND(V312&lt;20,W312&lt;55),0.3,0)+IF(AND(V312&lt;20,W312&gt;=55,W312&lt;105),0.23,0)+IF(AND(V312&lt;20,W312&gt;=105),0.17,0)+IF(AND(V312&gt;=20,V312&lt;40,W312&lt;45),0.3,0)+IF(AND(V312&gt;=20,V312&lt;40,W312&gt;=45,W312&lt;95),0.23,0)+IF(AND(V312&gt;=20,V312&lt;40,W312&gt;=95,W312&lt;=150),0.17,0)+IF(AND(V312&gt;=20,V312&lt;40,W312&gt;=150),0.12,0)+IF(AND(V312&gt;=40,V312&lt;75,W312&lt;35),0.3,0)+IF(AND(V312&gt;=40,V312&lt;75,W312&gt;=35,W312&lt;75),0.23,0)+IF(AND(V312&gt;=40,V312&lt;75,W312&gt;=75,W312&lt;120),0.17,0)+IF(AND(V312&gt;=40,V312&lt;75,W312&gt;=120),0.12,0)+IF(AND(V312&gt;=75,V312&lt;175,W312&lt;35),0.3,0)+IF(AND(V312&gt;=75,V312&lt;=175,W312&gt;=35,W312&lt;65),0.23,0)+IF(AND(V312&gt;=75,V312&lt;=175,W312&gt;=65,W312&lt;110),0.17,0)+IF(AND(V312&gt;=75,V312&lt;=175,W312&gt;=110),0.12,0)+IF(AND(V312&gt;175,W312&lt;25),0.3,0)+IF(AND(V312&gt;175,W312&gt;=25,W312&lt;55),0.23,0)+IF(AND(V312&gt;175,W312&gt;=55,W312&lt;95),0.17,0)+IF(AND(V312&gt;175,W312&gt;=95),0.12,0),
IF(AF312="DoEVsu",IF(AND(V312&lt;20,W312&lt;55),0.3,0)+IF(AND(V312&lt;20,W312&gt;=55,W312&lt;105),0.23,0)+IF(AND(V312&lt;20,W312&gt;=105),0.17,0)+IF(AND(V312&gt;=20,V312&lt;40,W312&lt;45),0.3,0)+IF(AND(V312&gt;=20,V312&lt;40,W312&gt;=45,W312&lt;95),0.23,0)+IF(AND(V312&gt;=20,V312&lt;40,W312&gt;=95,W312&lt;=250),0.17,0)+IF(AND(V312&gt;=20,V312&lt;40,W312&gt;=250),0.12,0)+IF(AND(V312&gt;=40,V312&lt;75,W312&lt;35),0.3,0)+IF(AND(V312&gt;=40,V312&lt;75,W312&gt;=35,W312&lt;75),0.23,0)+IF(AND(V312&gt;=40,V312&lt;75,W312&gt;=75,W312&lt;120),0.17,0)+IF(AND(V312&gt;=40,V312&lt;75,W312&gt;=120),0.12,0)+IF(AND(V312&gt;=75,V312&lt;175,W312&lt;35),0.3,0)+IF(AND(V312&gt;=75,V312&lt;=175,W312&gt;=35,W312&lt;65),0.23,0)+IF(AND(V312&gt;=75,V312&lt;=175,W312&gt;=65,W312&lt;110),0.17,0)+IF(AND(V312&gt;=75,V312&lt;=175,W312&gt;=110),0.12,0)+IF(AND(V312&gt;175,W312&lt;25),0.3,0)+IF(AND(V312&gt;175,W312&gt;=25,W312&lt;55),0.23,0)+IF(AND(V312&gt;175,W312&gt;=55,W312&lt;95),0.17,0)+IF(AND(V312&gt;175,W312&gt;=95),0.12,0),
IF(AF312="DoEVni",IF(AND(V312&lt;20,W312&lt;55),0.3,0)+IF(AND(V312&lt;20,W312&gt;=55,W312&lt;105),0.23,0)+IF(AND(V312&lt;20,W312&gt;=105),0.17,0)+IF(AND(V312&gt;=20,V312&lt;40,W312&lt;45),0.3,0)+IF(AND(V312&gt;=20,V312&lt;40,W312&gt;=45,W312&lt;95),0.23,0)+IF(AND(V312&gt;=20,V312&lt;40,W312&gt;=95,W312&lt;=200),0.17,0)+IF(AND(V312&gt;=20,V312&lt;40,W312&gt;=200),0.12,0)+IF(AND(V312&gt;=40,V312&lt;75,W312&lt;35),0.3,0)+IF(AND(V312&gt;=40,V312&lt;75,W312&gt;=35,W312&lt;75),0.23,0)+IF(AND(V312&gt;=40,V312&lt;75,W312&gt;=75,W312&lt;120),0.17,0)+IF(AND(V312&gt;=40,V312&lt;75,W312&gt;=120),0.12,0)+IF(AND(V312&gt;=75,V312&lt;175,W312&lt;35),0.3,0)+IF(AND(V312&gt;=75,V312&lt;=175,W312&gt;=35,W312&lt;65),0.23,0)+IF(AND(V312&gt;=75,V312&lt;=175,W312&gt;=65,W312&lt;110),0.17,0)+IF(AND(V312&gt;=75,V312&lt;=175,W312&gt;=110),0.12,0)+IF(AND(V312&gt;175,W312&lt;25),0.3,0)+IF(AND(V312&gt;175,W312&gt;=25,W312&lt;55),0.23,0)+IF(AND(V312&gt;175,W312&gt;=55,W312&lt;95),0.17,0)+IF(AND(V312&gt;175,W312&gt;=95),0.12,0),
IF(AF312="DoEVLo",IF(AND(V312&lt;20,W312&lt;55),0.25,0)+IF(AND(V312&lt;20,W312&gt;=55,W312&lt;105),0.2,0)+IF(AND(V312&lt;20,W312&gt;=105),0.15,0)+IF(AND(V312&gt;=20,V312&lt;40,W312&lt;45),0.25,0)+IF(AND(V312&gt;=20,V312&lt;40,W312&gt;=45,W312&lt;95),0.2,0)+IF(AND(V312&gt;=20,V312&lt;40,W312&gt;=95),0.15,0)+IF(AND(V312&gt;=40,V312&lt;75,W312&lt;35),0.25,0)+IF(AND(V312&gt;=40,V312&lt;75,W312&gt;=35,W312&lt;75),0.2,0)+IF(AND(V312&gt;=40,V312&lt;75,W312&gt;=75,W312&lt;120),0.15,0)+IF(AND(V312&gt;=40,V312&lt;75,W312&gt;=120),0.1,0)+IF(AND(V312&gt;=75,V312&lt;175,W312&lt;35),0.25,0)+IF(AND(V312&gt;=75,V312&lt;=175,W312&gt;=35,W312&lt;65),0.2,0)+IF(AND(V312&gt;=75,V312&lt;=175,W312&gt;=65,W312&lt;110),0.15,0)+IF(AND(V312&gt;=75,V312&lt;=175,W312&gt;=110),0.1,0)+IF(AND(V312&gt;175,W312&lt;25),0.25,0)+IF(AND(V312&gt;175,W312&gt;=25,W312&lt;55),0.2,0)+IF(AND(V312&gt;175,W312&gt;=55,W312&lt;95),0.15,0)+IF(AND(V312&gt;175,W312&gt;=95),0.1,0))))))))))))))))</f>
        <v>0.15</v>
      </c>
      <c r="Y312" s="30">
        <f>IF(AG312="None",0,IF(AG312="Fix5",0.05,IF(AG312="Fix3.75",0.0375,IF(AG312="Fix10",0.1,IF(AG312="Fix3",0.03,0)))))</f>
        <v>0.05</v>
      </c>
      <c r="Z312" s="35">
        <f>T312-AA312-AB312</f>
        <v>384.8</v>
      </c>
      <c r="AA312" s="29">
        <f>IF(AD312="EUR",((T312-R312)*X312)*U312+(R312*X312),(T312*X312))</f>
        <v>72.149999999999991</v>
      </c>
      <c r="AB312" s="36">
        <f>IF(AD312="EUR",((T312-R312)*Y312)*U312+(R312*Y312),(T312*Y312))</f>
        <v>24.05</v>
      </c>
      <c r="AC312" s="37" t="b">
        <v>1</v>
      </c>
      <c r="AD312" s="37" t="s">
        <v>38</v>
      </c>
      <c r="AE312" s="37" t="s">
        <v>38</v>
      </c>
      <c r="AF312" s="37" t="str">
        <f t="array" ref="AF312">INDEX('Deal Info'!D:D, MATCH(A312,'Deal Info'!A:A, 0))</f>
        <v>Fix15</v>
      </c>
      <c r="AG312" s="38" t="str">
        <f t="array" ref="AG312">INDEX('Deal Info'!G:G, MATCH(A312,'Deal Info'!A:A, 0))</f>
        <v>Fix5</v>
      </c>
    </row>
    <row r="313" spans="1:33" ht="14.25" hidden="1" x14ac:dyDescent="0.2">
      <c r="A313" s="18" t="str">
        <f t="array" ref="A313">IF(G313='Room Info'!$B$1, INDEX('Room Info'!$A$2:$A2446, MATCH(B313,'Room Info'!$B$2:$B2446, 0)),IF(G313='Room Info'!$C$1, INDEX('Room Info'!$A$2:$A2446, MATCH(B313,'Room Info'!$C$2:$C2446, 0)),IF(G313='Room Info'!$D$1, INDEX('Room Info'!$A$2:$A2446, MATCH(B313,'Room Info'!$D$2:$D2446, 0)),IF(G313='Room Info'!$E$1, INDEX('Room Info'!$A$2:$A2446, MATCH(B313,'Room Info'!$E$2:$E2446, 0)),IF(G313='Room Info'!$F$1, INDEX('Room Info'!$A$2:$A2446, MATCH(B313,'Room Info'!$F$2:$F2446, 0)),IF(G313='Room Info'!$H$1, INDEX('Room Info'!$A$2:$A2446, MATCH(B313,'Room Info'!$H$2:$H2446, 0)),IF(G313='Room Info'!$G$1, INDEX('Room Info'!$A$2:$A2446, MATCH(B313,'Room Info'!$G$2:$G2446, 0)))))))))</f>
        <v>gRRRiz</v>
      </c>
      <c r="B313" s="45" t="s">
        <v>118</v>
      </c>
      <c r="C313" s="46">
        <v>44763</v>
      </c>
      <c r="D313" s="46">
        <v>44793</v>
      </c>
      <c r="E313" s="47">
        <v>44774</v>
      </c>
      <c r="F313" s="48" t="s">
        <v>34</v>
      </c>
      <c r="G313" s="45" t="s">
        <v>80</v>
      </c>
      <c r="H313" s="49" t="s">
        <v>70</v>
      </c>
      <c r="I313" s="49" t="s">
        <v>81</v>
      </c>
      <c r="J313" s="70">
        <v>100</v>
      </c>
      <c r="K313" s="71">
        <v>5509</v>
      </c>
      <c r="L313" s="72">
        <v>-21100</v>
      </c>
      <c r="M313" s="53">
        <v>30551</v>
      </c>
      <c r="N313" s="28">
        <f>K313*J313</f>
        <v>550900</v>
      </c>
      <c r="O313" s="45">
        <v>33755</v>
      </c>
      <c r="P313" s="29">
        <v>6.1272463239999997</v>
      </c>
      <c r="Q313" s="55"/>
      <c r="R313" s="31">
        <f>M313+Q313</f>
        <v>30551</v>
      </c>
      <c r="S313" s="73">
        <v>-30231</v>
      </c>
      <c r="T313" s="32">
        <f>R313+S313+IF(F313="Without EV deal",L313,0)</f>
        <v>320</v>
      </c>
      <c r="U313" s="57">
        <v>1</v>
      </c>
      <c r="V313" s="58"/>
      <c r="W313" s="58"/>
      <c r="X313" s="30">
        <f>IF(AF313="DoEV",IF(AND(V313&lt;20,W313&lt;55),0.3,0)+IF(AND(V313&lt;20,W313&gt;=55,W313&lt;105),0.23,0)+IF(AND(V313&lt;20,W313&gt;=105),0.17,0)+IF(AND(V313&gt;=20,V313&lt;40,W313&lt;45),0.3,0)+IF(AND(V313&gt;=20,V313&lt;40,W313&gt;=45,W313&lt;95),0.23,0)+IF(AND(V313&gt;=20,V313&lt;40,W313&gt;=95),0.17,0)+IF(AND(V313&gt;=40,V313&lt;75,W313&lt;35),0.3,0)+IF(AND(V313&gt;=40,V313&lt;75,W313&gt;=35,W313&lt;75),0.23,0)+IF(AND(V313&gt;=40,V313&lt;75,W313&gt;=75,W313&lt;120),0.17,0)+IF(AND(V313&gt;=40,V313&lt;75,W313&gt;=120),0.12,0)+IF(AND(V313&gt;=75,V313&lt;175,W313&lt;35),0.3,0)+IF(AND(V313&gt;=75,V313&lt;=175,W313&gt;=35,W313&lt;65),0.23,0)+IF(AND(V313&gt;=75,V313&lt;=175,W313&gt;=65,W313&lt;110),0.17,0)+IF(AND(V313&gt;=75,V313&lt;=175,W313&gt;=110),0.12,0)+IF(AND(V313&gt;175,W313&lt;25),0.3,0)+IF(AND(V313&gt;175,W313&gt;=25,W313&lt;55),0.23,0)+IF(AND(V313&gt;175,W313&gt;=55,W313&lt;95),0.17,0)+IF(AND(V313&gt;175,W313&gt;=95),0.12,0),
IF(AF313="Fix15",0.15,
IF(AF313="Fix11.25",0.1125,
IF(AF313="Fix10",0.1,
IF(AF313="Fix9",0.09,
IF(AF313="DoEV2017",IF(AND(W313&lt;74),0.2,0)+IF(AND(W313&gt;=74),0.17,0),
IF(AF313="SF",IF(AND(V313&lt;20,W313&lt;89),0.3,0)+IF(AND(V313&lt;20,W313&gt;=89),0.25,0)+IF(AND(V313&gt;=20,V313&lt;40,W313&lt;74),0.3,0)+IF(AND(V313&gt;=20,V313&lt;40,W313&gt;=75),0.22,0)+IF(AND(V313&gt;=40,V313&lt;75,W313&lt;75),0.26,0)+IF(AND(V313&gt;=40,V313&lt;75,W313&gt;=75),0.22,0)+IF(V313&gt;=75,0.22,0),
IF(AF313="DoEVold",IF(AND(V313&lt;40,W313&lt;35),0.35,0)+IF(AND(V313&lt;40,W313&gt;=35,W313&lt;75),0.25,0)+IF(AND(V313&lt;40,W313&gt;=75),0.17,0)+IF(AND(V313&gt;=40,V313&lt;75,W313&lt;25),0.35,0)+IF(AND(V313&gt;=40,V313&lt;75,W313&gt;=25,W313&lt;65),0.25,0)+IF(AND(V313&gt;=40,V313&lt;75,W313&gt;=65,W313&lt;100),0.17,0)+IF(AND(V313&gt;=40,V313&lt;75,W313&gt;=100),0.1,0)+IF(AND(V313&gt;=75,W313&lt;25),0.35,0)+IF(AND(V313&gt;=75,W313&gt;=25,W313&lt;60),0.25,0)+IF(AND(V313&gt;=75,W313&gt;=60,W313&lt;95),0.17,0)+IF(AND(V313&gt;=75,W313&gt;=95),0.1,0),
IF(AF313="DoEVold15",IF(AND(V313&lt;=40,W313&lt;35),0.35,0)+IF(AND(V313&lt;=40,W313&gt;=35,W313&lt;75),0.25,0)+IF(AND(V313&lt;=40,W313&gt;=75,W313&lt;120),0.17,0)+IF(AND(V313&lt;=40,W313&gt;=120),0.15,0)+IF(AND(V313&gt;40,V313&lt;75,W313&lt;25),0.35,0)+IF(AND(V313&gt;=40,V313&lt;75,W313&gt;=25,W313&lt;65),0.25,0)+IF(AND(V313&gt;=40,V313&lt;75,W313&gt;=65,W313&lt;100),0.17,0)+IF(AND(V313&gt;=40,V313&lt;75,W313&gt;=100),0.1,0)+IF(AND(V313&gt;=75,W313&lt;25),0.35,0)+IF(AND(V313&gt;=75,W313&gt;=25,W313&lt;60),0.25,0)+IF(AND(V313&gt;=75,W313&gt;=60,W313&lt;95),0.17,0)+IF(AND(V313&gt;=75,W313&gt;=95),0.1,0),
IF(AF313="DoEVba",IF(AND(V313&lt;20,W313&lt;105),0.2,0)+IF(AND(V313&lt;20,W313&gt;=105),0.15,0)+IF(AND(V313&gt;=20,V313&lt;40,W313&lt;95),0.2,0)+IF(AND(V313&gt;=20,V313&lt;40,W313&gt;=95,W313&lt;150),0.15,0)+IF(AND(V313&gt;=20,V313&lt;40,W313&gt;=150),0.12,0)+IF(AND(V313&gt;=40,V313&lt;75,W313&lt;75),0.2,0)+IF(AND(V313&gt;=40,V313&lt;75,W313&gt;=75,W313&lt;120),0.15,0)+IF(AND(V313&gt;=40,V313&lt;75,W313&gt;=120),0.12,0)+IF(AND(V313&gt;=75,V313&lt;175,W313&lt;65),0.2,0)+IF(AND(V313&gt;=75,V313&lt;175,W313&gt;=65,W313&lt;110),0.15,0)+IF(AND(V313&gt;=75,V313&lt;175,W313&gt;=110),0.12,0)+IF(AND(V313&gt;=175,W313&lt;55),0.2,0)+IF(AND(V313&gt;=175,W313&gt;=55,W313&lt;95),0.15,0)+IF(AND(V313&gt;=175,W313&gt;=95),0.12,0),
IF(AF313="DoEVku",IF(AND(V313&lt;20,W313&lt;55),0.23,0)+IF(AND(V313&lt;20,W313&gt;=55,W313&lt;105),0.2,0)+IF(AND(V313&lt;20,W313&gt;=105),0.17,0)+IF(AND(V313&gt;=20,V313&lt;40,W313&lt;45),0.23,0)+IF(AND(V313&gt;=20,V313&lt;40,W313&gt;=45,W313&lt;95),0.2,0)+IF(AND(V313&gt;=20,V313&lt;40,W313&gt;=95,W313&lt;=150),0.17,0)+IF(AND(V313&gt;=20,V313&lt;40,W313&gt;=150),0.12,0)+IF(AND(V313&gt;=40,V313&lt;75,W313&lt;35),0.23,0)+IF(AND(V313&gt;=40,V313&lt;75,W313&gt;=35,W313&lt;75),0.2,0)+IF(AND(V313&gt;=40,V313&lt;75,W313&gt;=75,W313&lt;120),0.17,0)+IF(AND(V313&gt;=40,V313&lt;75,W313&gt;=120),0.12,0)+IF(AND(V313&gt;=75,V313&lt;175,W313&lt;35),0.23,0)+IF(AND(V313&gt;=75,V313&lt;=175,W313&gt;=35,W313&lt;65),0.2,0)+IF(AND(V313&gt;=75,V313&lt;=175,W313&gt;=65,W313&lt;110),0.17,0)+IF(AND(V313&gt;=75,V313&lt;=175,W313&gt;=110),0.12,0)+IF(AND(V313&gt;175,W313&lt;25),0.23,0)+IF(AND(V313&gt;175,W313&gt;=25,W313&lt;55),0.2,0)+IF(AND(V313&gt;175,W313&gt;=55,W313&lt;95),0.17,0)+IF(AND(V313&gt;175,W313&gt;=95),0.12,0),
IF(AF313="DoEVs1",IF(AND(V313&lt;20,W313&lt;55),0.3,0)+IF(AND(V313&lt;20,W313&gt;=55,W313&lt;105),0.23,0)+IF(AND(V313&lt;20,W313&gt;=105),0.17,0)+IF(AND(V313&gt;=20,V313&lt;40,W313&lt;45),0.3,0)+IF(AND(V313&gt;=20,V313&lt;40,W313&gt;=45,W313&lt;95),0.23,0)+IF(AND(V313&gt;=20,V313&lt;40,W313&gt;=95,W313&lt;=150),0.17,0)+IF(AND(V313&gt;=20,V313&lt;40,W313&gt;=150),0.12,0)+IF(AND(V313&gt;=40,V313&lt;75,W313&lt;35),0.3,0)+IF(AND(V313&gt;=40,V313&lt;75,W313&gt;=35,W313&lt;75),0.23,0)+IF(AND(V313&gt;=40,V313&lt;75,W313&gt;=75,W313&lt;120),0.17,0)+IF(AND(V313&gt;=40,V313&lt;75,W313&gt;=120),0.12,0)+IF(AND(V313&gt;=75,V313&lt;175,W313&lt;35),0.3,0)+IF(AND(V313&gt;=75,V313&lt;=175,W313&gt;=35,W313&lt;65),0.23,0)+IF(AND(V313&gt;=75,V313&lt;=175,W313&gt;=65,W313&lt;110),0.17,0)+IF(AND(V313&gt;=75,V313&lt;=175,W313&gt;=110),0.12,0)+IF(AND(V313&gt;175,W313&lt;25),0.3,0)+IF(AND(V313&gt;175,W313&gt;=25,W313&lt;55),0.23,0)+IF(AND(V313&gt;175,W313&gt;=55,W313&lt;95),0.17,0)+IF(AND(V313&gt;175,W313&gt;=95),0.12,0),
IF(AF313="DoEVsu",IF(AND(V313&lt;20,W313&lt;55),0.3,0)+IF(AND(V313&lt;20,W313&gt;=55,W313&lt;105),0.23,0)+IF(AND(V313&lt;20,W313&gt;=105),0.17,0)+IF(AND(V313&gt;=20,V313&lt;40,W313&lt;45),0.3,0)+IF(AND(V313&gt;=20,V313&lt;40,W313&gt;=45,W313&lt;95),0.23,0)+IF(AND(V313&gt;=20,V313&lt;40,W313&gt;=95,W313&lt;=250),0.17,0)+IF(AND(V313&gt;=20,V313&lt;40,W313&gt;=250),0.12,0)+IF(AND(V313&gt;=40,V313&lt;75,W313&lt;35),0.3,0)+IF(AND(V313&gt;=40,V313&lt;75,W313&gt;=35,W313&lt;75),0.23,0)+IF(AND(V313&gt;=40,V313&lt;75,W313&gt;=75,W313&lt;120),0.17,0)+IF(AND(V313&gt;=40,V313&lt;75,W313&gt;=120),0.12,0)+IF(AND(V313&gt;=75,V313&lt;175,W313&lt;35),0.3,0)+IF(AND(V313&gt;=75,V313&lt;=175,W313&gt;=35,W313&lt;65),0.23,0)+IF(AND(V313&gt;=75,V313&lt;=175,W313&gt;=65,W313&lt;110),0.17,0)+IF(AND(V313&gt;=75,V313&lt;=175,W313&gt;=110),0.12,0)+IF(AND(V313&gt;175,W313&lt;25),0.3,0)+IF(AND(V313&gt;175,W313&gt;=25,W313&lt;55),0.23,0)+IF(AND(V313&gt;175,W313&gt;=55,W313&lt;95),0.17,0)+IF(AND(V313&gt;175,W313&gt;=95),0.12,0),
IF(AF313="DoEVni",IF(AND(V313&lt;20,W313&lt;55),0.3,0)+IF(AND(V313&lt;20,W313&gt;=55,W313&lt;105),0.23,0)+IF(AND(V313&lt;20,W313&gt;=105),0.17,0)+IF(AND(V313&gt;=20,V313&lt;40,W313&lt;45),0.3,0)+IF(AND(V313&gt;=20,V313&lt;40,W313&gt;=45,W313&lt;95),0.23,0)+IF(AND(V313&gt;=20,V313&lt;40,W313&gt;=95,W313&lt;=200),0.17,0)+IF(AND(V313&gt;=20,V313&lt;40,W313&gt;=200),0.12,0)+IF(AND(V313&gt;=40,V313&lt;75,W313&lt;35),0.3,0)+IF(AND(V313&gt;=40,V313&lt;75,W313&gt;=35,W313&lt;75),0.23,0)+IF(AND(V313&gt;=40,V313&lt;75,W313&gt;=75,W313&lt;120),0.17,0)+IF(AND(V313&gt;=40,V313&lt;75,W313&gt;=120),0.12,0)+IF(AND(V313&gt;=75,V313&lt;175,W313&lt;35),0.3,0)+IF(AND(V313&gt;=75,V313&lt;=175,W313&gt;=35,W313&lt;65),0.23,0)+IF(AND(V313&gt;=75,V313&lt;=175,W313&gt;=65,W313&lt;110),0.17,0)+IF(AND(V313&gt;=75,V313&lt;=175,W313&gt;=110),0.12,0)+IF(AND(V313&gt;175,W313&lt;25),0.3,0)+IF(AND(V313&gt;175,W313&gt;=25,W313&lt;55),0.23,0)+IF(AND(V313&gt;175,W313&gt;=55,W313&lt;95),0.17,0)+IF(AND(V313&gt;175,W313&gt;=95),0.12,0),
IF(AF313="DoEVLo",IF(AND(V313&lt;20,W313&lt;55),0.25,0)+IF(AND(V313&lt;20,W313&gt;=55,W313&lt;105),0.2,0)+IF(AND(V313&lt;20,W313&gt;=105),0.15,0)+IF(AND(V313&gt;=20,V313&lt;40,W313&lt;45),0.25,0)+IF(AND(V313&gt;=20,V313&lt;40,W313&gt;=45,W313&lt;95),0.2,0)+IF(AND(V313&gt;=20,V313&lt;40,W313&gt;=95),0.15,0)+IF(AND(V313&gt;=40,V313&lt;75,W313&lt;35),0.25,0)+IF(AND(V313&gt;=40,V313&lt;75,W313&gt;=35,W313&lt;75),0.2,0)+IF(AND(V313&gt;=40,V313&lt;75,W313&gt;=75,W313&lt;120),0.15,0)+IF(AND(V313&gt;=40,V313&lt;75,W313&gt;=120),0.1,0)+IF(AND(V313&gt;=75,V313&lt;175,W313&lt;35),0.25,0)+IF(AND(V313&gt;=75,V313&lt;=175,W313&gt;=35,W313&lt;65),0.2,0)+IF(AND(V313&gt;=75,V313&lt;=175,W313&gt;=65,W313&lt;110),0.15,0)+IF(AND(V313&gt;=75,V313&lt;=175,W313&gt;=110),0.1,0)+IF(AND(V313&gt;175,W313&lt;25),0.25,0)+IF(AND(V313&gt;175,W313&gt;=25,W313&lt;55),0.2,0)+IF(AND(V313&gt;175,W313&gt;=55,W313&lt;95),0.15,0)+IF(AND(V313&gt;175,W313&gt;=95),0.1,0))))))))))))))))</f>
        <v>0.15</v>
      </c>
      <c r="Y313" s="30">
        <f>IF(AG313="None",0,IF(AG313="Fix5",0.05,IF(AG313="Fix3.75",0.0375,IF(AG313="Fix10",0.1,IF(AG313="Fix3",0.03,0)))))</f>
        <v>0.05</v>
      </c>
      <c r="Z313" s="35">
        <f>T313-AA313-AB313</f>
        <v>256</v>
      </c>
      <c r="AA313" s="29">
        <f>IF(AD313="EUR",((T313-R313)*X313)*U313+(R313*X313),(T313*X313))</f>
        <v>48</v>
      </c>
      <c r="AB313" s="36">
        <f>IF(AD313="EUR",((T313-R313)*Y313)*U313+(R313*Y313),(T313*Y313))</f>
        <v>16</v>
      </c>
      <c r="AC313" s="37" t="b">
        <v>1</v>
      </c>
      <c r="AD313" s="37" t="s">
        <v>38</v>
      </c>
      <c r="AE313" s="37" t="s">
        <v>38</v>
      </c>
      <c r="AF313" s="37" t="str">
        <f t="array" ref="AF313">INDEX('Deal Info'!D:D, MATCH(A313,'Deal Info'!A:A, 0))</f>
        <v>Fix15</v>
      </c>
      <c r="AG313" s="38" t="str">
        <f t="array" ref="AG313">INDEX('Deal Info'!G:G, MATCH(A313,'Deal Info'!A:A, 0))</f>
        <v>Fix5</v>
      </c>
    </row>
    <row r="314" spans="1:33" ht="14.25" hidden="1" x14ac:dyDescent="0.2">
      <c r="A314" s="18" t="str">
        <f t="array" ref="A314">IF(G314='Room Info'!$B$1, INDEX('Room Info'!$A$2:$A2446, MATCH(B314,'Room Info'!$B$2:$B2446, 0)),IF(G314='Room Info'!$C$1, INDEX('Room Info'!$A$2:$A2446, MATCH(B314,'Room Info'!$C$2:$C2446, 0)),IF(G314='Room Info'!$D$1, INDEX('Room Info'!$A$2:$A2446, MATCH(B314,'Room Info'!$D$2:$D2446, 0)),IF(G314='Room Info'!$E$1, INDEX('Room Info'!$A$2:$A2446, MATCH(B314,'Room Info'!$E$2:$E2446, 0)),IF(G314='Room Info'!$F$1, INDEX('Room Info'!$A$2:$A2446, MATCH(B314,'Room Info'!$F$2:$F2446, 0)),IF(G314='Room Info'!$H$1, INDEX('Room Info'!$A$2:$A2446, MATCH(B314,'Room Info'!$H$2:$H2446, 0)),IF(G314='Room Info'!$G$1, INDEX('Room Info'!$A$2:$A2446, MATCH(B314,'Room Info'!$G$2:$G2446, 0)))))))))</f>
        <v>gRRRiz</v>
      </c>
      <c r="B314" s="45" t="s">
        <v>118</v>
      </c>
      <c r="C314" s="46">
        <v>44794</v>
      </c>
      <c r="D314" s="46">
        <v>44824</v>
      </c>
      <c r="E314" s="47">
        <v>44805</v>
      </c>
      <c r="F314" s="48" t="s">
        <v>34</v>
      </c>
      <c r="G314" s="45" t="s">
        <v>80</v>
      </c>
      <c r="H314" s="49" t="s">
        <v>71</v>
      </c>
      <c r="I314" s="49" t="s">
        <v>81</v>
      </c>
      <c r="J314" s="70">
        <v>20</v>
      </c>
      <c r="K314" s="71">
        <v>1</v>
      </c>
      <c r="L314" s="72">
        <v>-20</v>
      </c>
      <c r="M314" s="53">
        <v>5</v>
      </c>
      <c r="N314" s="28">
        <f>K314*J314</f>
        <v>20</v>
      </c>
      <c r="O314" s="45">
        <v>408</v>
      </c>
      <c r="P314" s="29">
        <v>408</v>
      </c>
      <c r="Q314" s="55"/>
      <c r="R314" s="31">
        <f>M314+Q314</f>
        <v>5</v>
      </c>
      <c r="S314" s="73">
        <v>22</v>
      </c>
      <c r="T314" s="32">
        <f>R314+S314+IF(F314="Without EV deal",L314,0)</f>
        <v>27</v>
      </c>
      <c r="U314" s="57">
        <v>1</v>
      </c>
      <c r="V314" s="58"/>
      <c r="W314" s="58"/>
      <c r="X314" s="30">
        <f>IF(AF314="DoEV",IF(AND(V314&lt;20,W314&lt;55),0.3,0)+IF(AND(V314&lt;20,W314&gt;=55,W314&lt;105),0.23,0)+IF(AND(V314&lt;20,W314&gt;=105),0.17,0)+IF(AND(V314&gt;=20,V314&lt;40,W314&lt;45),0.3,0)+IF(AND(V314&gt;=20,V314&lt;40,W314&gt;=45,W314&lt;95),0.23,0)+IF(AND(V314&gt;=20,V314&lt;40,W314&gt;=95),0.17,0)+IF(AND(V314&gt;=40,V314&lt;75,W314&lt;35),0.3,0)+IF(AND(V314&gt;=40,V314&lt;75,W314&gt;=35,W314&lt;75),0.23,0)+IF(AND(V314&gt;=40,V314&lt;75,W314&gt;=75,W314&lt;120),0.17,0)+IF(AND(V314&gt;=40,V314&lt;75,W314&gt;=120),0.12,0)+IF(AND(V314&gt;=75,V314&lt;175,W314&lt;35),0.3,0)+IF(AND(V314&gt;=75,V314&lt;=175,W314&gt;=35,W314&lt;65),0.23,0)+IF(AND(V314&gt;=75,V314&lt;=175,W314&gt;=65,W314&lt;110),0.17,0)+IF(AND(V314&gt;=75,V314&lt;=175,W314&gt;=110),0.12,0)+IF(AND(V314&gt;175,W314&lt;25),0.3,0)+IF(AND(V314&gt;175,W314&gt;=25,W314&lt;55),0.23,0)+IF(AND(V314&gt;175,W314&gt;=55,W314&lt;95),0.17,0)+IF(AND(V314&gt;175,W314&gt;=95),0.12,0),
IF(AF314="Fix15",0.15,
IF(AF314="Fix11.25",0.1125,
IF(AF314="Fix10",0.1,
IF(AF314="Fix9",0.09,
IF(AF314="DoEV2017",IF(AND(W314&lt;74),0.2,0)+IF(AND(W314&gt;=74),0.17,0),
IF(AF314="SF",IF(AND(V314&lt;20,W314&lt;89),0.3,0)+IF(AND(V314&lt;20,W314&gt;=89),0.25,0)+IF(AND(V314&gt;=20,V314&lt;40,W314&lt;74),0.3,0)+IF(AND(V314&gt;=20,V314&lt;40,W314&gt;=75),0.22,0)+IF(AND(V314&gt;=40,V314&lt;75,W314&lt;75),0.26,0)+IF(AND(V314&gt;=40,V314&lt;75,W314&gt;=75),0.22,0)+IF(V314&gt;=75,0.22,0),
IF(AF314="DoEVold",IF(AND(V314&lt;40,W314&lt;35),0.35,0)+IF(AND(V314&lt;40,W314&gt;=35,W314&lt;75),0.25,0)+IF(AND(V314&lt;40,W314&gt;=75),0.17,0)+IF(AND(V314&gt;=40,V314&lt;75,W314&lt;25),0.35,0)+IF(AND(V314&gt;=40,V314&lt;75,W314&gt;=25,W314&lt;65),0.25,0)+IF(AND(V314&gt;=40,V314&lt;75,W314&gt;=65,W314&lt;100),0.17,0)+IF(AND(V314&gt;=40,V314&lt;75,W314&gt;=100),0.1,0)+IF(AND(V314&gt;=75,W314&lt;25),0.35,0)+IF(AND(V314&gt;=75,W314&gt;=25,W314&lt;60),0.25,0)+IF(AND(V314&gt;=75,W314&gt;=60,W314&lt;95),0.17,0)+IF(AND(V314&gt;=75,W314&gt;=95),0.1,0),
IF(AF314="DoEVold15",IF(AND(V314&lt;=40,W314&lt;35),0.35,0)+IF(AND(V314&lt;=40,W314&gt;=35,W314&lt;75),0.25,0)+IF(AND(V314&lt;=40,W314&gt;=75,W314&lt;120),0.17,0)+IF(AND(V314&lt;=40,W314&gt;=120),0.15,0)+IF(AND(V314&gt;40,V314&lt;75,W314&lt;25),0.35,0)+IF(AND(V314&gt;=40,V314&lt;75,W314&gt;=25,W314&lt;65),0.25,0)+IF(AND(V314&gt;=40,V314&lt;75,W314&gt;=65,W314&lt;100),0.17,0)+IF(AND(V314&gt;=40,V314&lt;75,W314&gt;=100),0.1,0)+IF(AND(V314&gt;=75,W314&lt;25),0.35,0)+IF(AND(V314&gt;=75,W314&gt;=25,W314&lt;60),0.25,0)+IF(AND(V314&gt;=75,W314&gt;=60,W314&lt;95),0.17,0)+IF(AND(V314&gt;=75,W314&gt;=95),0.1,0),
IF(AF314="DoEVba",IF(AND(V314&lt;20,W314&lt;105),0.2,0)+IF(AND(V314&lt;20,W314&gt;=105),0.15,0)+IF(AND(V314&gt;=20,V314&lt;40,W314&lt;95),0.2,0)+IF(AND(V314&gt;=20,V314&lt;40,W314&gt;=95,W314&lt;150),0.15,0)+IF(AND(V314&gt;=20,V314&lt;40,W314&gt;=150),0.12,0)+IF(AND(V314&gt;=40,V314&lt;75,W314&lt;75),0.2,0)+IF(AND(V314&gt;=40,V314&lt;75,W314&gt;=75,W314&lt;120),0.15,0)+IF(AND(V314&gt;=40,V314&lt;75,W314&gt;=120),0.12,0)+IF(AND(V314&gt;=75,V314&lt;175,W314&lt;65),0.2,0)+IF(AND(V314&gt;=75,V314&lt;175,W314&gt;=65,W314&lt;110),0.15,0)+IF(AND(V314&gt;=75,V314&lt;175,W314&gt;=110),0.12,0)+IF(AND(V314&gt;=175,W314&lt;55),0.2,0)+IF(AND(V314&gt;=175,W314&gt;=55,W314&lt;95),0.15,0)+IF(AND(V314&gt;=175,W314&gt;=95),0.12,0),
IF(AF314="DoEVku",IF(AND(V314&lt;20,W314&lt;55),0.23,0)+IF(AND(V314&lt;20,W314&gt;=55,W314&lt;105),0.2,0)+IF(AND(V314&lt;20,W314&gt;=105),0.17,0)+IF(AND(V314&gt;=20,V314&lt;40,W314&lt;45),0.23,0)+IF(AND(V314&gt;=20,V314&lt;40,W314&gt;=45,W314&lt;95),0.2,0)+IF(AND(V314&gt;=20,V314&lt;40,W314&gt;=95,W314&lt;=150),0.17,0)+IF(AND(V314&gt;=20,V314&lt;40,W314&gt;=150),0.12,0)+IF(AND(V314&gt;=40,V314&lt;75,W314&lt;35),0.23,0)+IF(AND(V314&gt;=40,V314&lt;75,W314&gt;=35,W314&lt;75),0.2,0)+IF(AND(V314&gt;=40,V314&lt;75,W314&gt;=75,W314&lt;120),0.17,0)+IF(AND(V314&gt;=40,V314&lt;75,W314&gt;=120),0.12,0)+IF(AND(V314&gt;=75,V314&lt;175,W314&lt;35),0.23,0)+IF(AND(V314&gt;=75,V314&lt;=175,W314&gt;=35,W314&lt;65),0.2,0)+IF(AND(V314&gt;=75,V314&lt;=175,W314&gt;=65,W314&lt;110),0.17,0)+IF(AND(V314&gt;=75,V314&lt;=175,W314&gt;=110),0.12,0)+IF(AND(V314&gt;175,W314&lt;25),0.23,0)+IF(AND(V314&gt;175,W314&gt;=25,W314&lt;55),0.2,0)+IF(AND(V314&gt;175,W314&gt;=55,W314&lt;95),0.17,0)+IF(AND(V314&gt;175,W314&gt;=95),0.12,0),
IF(AF314="DoEVs1",IF(AND(V314&lt;20,W314&lt;55),0.3,0)+IF(AND(V314&lt;20,W314&gt;=55,W314&lt;105),0.23,0)+IF(AND(V314&lt;20,W314&gt;=105),0.17,0)+IF(AND(V314&gt;=20,V314&lt;40,W314&lt;45),0.3,0)+IF(AND(V314&gt;=20,V314&lt;40,W314&gt;=45,W314&lt;95),0.23,0)+IF(AND(V314&gt;=20,V314&lt;40,W314&gt;=95,W314&lt;=150),0.17,0)+IF(AND(V314&gt;=20,V314&lt;40,W314&gt;=150),0.12,0)+IF(AND(V314&gt;=40,V314&lt;75,W314&lt;35),0.3,0)+IF(AND(V314&gt;=40,V314&lt;75,W314&gt;=35,W314&lt;75),0.23,0)+IF(AND(V314&gt;=40,V314&lt;75,W314&gt;=75,W314&lt;120),0.17,0)+IF(AND(V314&gt;=40,V314&lt;75,W314&gt;=120),0.12,0)+IF(AND(V314&gt;=75,V314&lt;175,W314&lt;35),0.3,0)+IF(AND(V314&gt;=75,V314&lt;=175,W314&gt;=35,W314&lt;65),0.23,0)+IF(AND(V314&gt;=75,V314&lt;=175,W314&gt;=65,W314&lt;110),0.17,0)+IF(AND(V314&gt;=75,V314&lt;=175,W314&gt;=110),0.12,0)+IF(AND(V314&gt;175,W314&lt;25),0.3,0)+IF(AND(V314&gt;175,W314&gt;=25,W314&lt;55),0.23,0)+IF(AND(V314&gt;175,W314&gt;=55,W314&lt;95),0.17,0)+IF(AND(V314&gt;175,W314&gt;=95),0.12,0),
IF(AF314="DoEVsu",IF(AND(V314&lt;20,W314&lt;55),0.3,0)+IF(AND(V314&lt;20,W314&gt;=55,W314&lt;105),0.23,0)+IF(AND(V314&lt;20,W314&gt;=105),0.17,0)+IF(AND(V314&gt;=20,V314&lt;40,W314&lt;45),0.3,0)+IF(AND(V314&gt;=20,V314&lt;40,W314&gt;=45,W314&lt;95),0.23,0)+IF(AND(V314&gt;=20,V314&lt;40,W314&gt;=95,W314&lt;=250),0.17,0)+IF(AND(V314&gt;=20,V314&lt;40,W314&gt;=250),0.12,0)+IF(AND(V314&gt;=40,V314&lt;75,W314&lt;35),0.3,0)+IF(AND(V314&gt;=40,V314&lt;75,W314&gt;=35,W314&lt;75),0.23,0)+IF(AND(V314&gt;=40,V314&lt;75,W314&gt;=75,W314&lt;120),0.17,0)+IF(AND(V314&gt;=40,V314&lt;75,W314&gt;=120),0.12,0)+IF(AND(V314&gt;=75,V314&lt;175,W314&lt;35),0.3,0)+IF(AND(V314&gt;=75,V314&lt;=175,W314&gt;=35,W314&lt;65),0.23,0)+IF(AND(V314&gt;=75,V314&lt;=175,W314&gt;=65,W314&lt;110),0.17,0)+IF(AND(V314&gt;=75,V314&lt;=175,W314&gt;=110),0.12,0)+IF(AND(V314&gt;175,W314&lt;25),0.3,0)+IF(AND(V314&gt;175,W314&gt;=25,W314&lt;55),0.23,0)+IF(AND(V314&gt;175,W314&gt;=55,W314&lt;95),0.17,0)+IF(AND(V314&gt;175,W314&gt;=95),0.12,0),
IF(AF314="DoEVni",IF(AND(V314&lt;20,W314&lt;55),0.3,0)+IF(AND(V314&lt;20,W314&gt;=55,W314&lt;105),0.23,0)+IF(AND(V314&lt;20,W314&gt;=105),0.17,0)+IF(AND(V314&gt;=20,V314&lt;40,W314&lt;45),0.3,0)+IF(AND(V314&gt;=20,V314&lt;40,W314&gt;=45,W314&lt;95),0.23,0)+IF(AND(V314&gt;=20,V314&lt;40,W314&gt;=95,W314&lt;=200),0.17,0)+IF(AND(V314&gt;=20,V314&lt;40,W314&gt;=200),0.12,0)+IF(AND(V314&gt;=40,V314&lt;75,W314&lt;35),0.3,0)+IF(AND(V314&gt;=40,V314&lt;75,W314&gt;=35,W314&lt;75),0.23,0)+IF(AND(V314&gt;=40,V314&lt;75,W314&gt;=75,W314&lt;120),0.17,0)+IF(AND(V314&gt;=40,V314&lt;75,W314&gt;=120),0.12,0)+IF(AND(V314&gt;=75,V314&lt;175,W314&lt;35),0.3,0)+IF(AND(V314&gt;=75,V314&lt;=175,W314&gt;=35,W314&lt;65),0.23,0)+IF(AND(V314&gt;=75,V314&lt;=175,W314&gt;=65,W314&lt;110),0.17,0)+IF(AND(V314&gt;=75,V314&lt;=175,W314&gt;=110),0.12,0)+IF(AND(V314&gt;175,W314&lt;25),0.3,0)+IF(AND(V314&gt;175,W314&gt;=25,W314&lt;55),0.23,0)+IF(AND(V314&gt;175,W314&gt;=55,W314&lt;95),0.17,0)+IF(AND(V314&gt;175,W314&gt;=95),0.12,0),
IF(AF314="DoEVLo",IF(AND(V314&lt;20,W314&lt;55),0.25,0)+IF(AND(V314&lt;20,W314&gt;=55,W314&lt;105),0.2,0)+IF(AND(V314&lt;20,W314&gt;=105),0.15,0)+IF(AND(V314&gt;=20,V314&lt;40,W314&lt;45),0.25,0)+IF(AND(V314&gt;=20,V314&lt;40,W314&gt;=45,W314&lt;95),0.2,0)+IF(AND(V314&gt;=20,V314&lt;40,W314&gt;=95),0.15,0)+IF(AND(V314&gt;=40,V314&lt;75,W314&lt;35),0.25,0)+IF(AND(V314&gt;=40,V314&lt;75,W314&gt;=35,W314&lt;75),0.2,0)+IF(AND(V314&gt;=40,V314&lt;75,W314&gt;=75,W314&lt;120),0.15,0)+IF(AND(V314&gt;=40,V314&lt;75,W314&gt;=120),0.1,0)+IF(AND(V314&gt;=75,V314&lt;175,W314&lt;35),0.25,0)+IF(AND(V314&gt;=75,V314&lt;=175,W314&gt;=35,W314&lt;65),0.2,0)+IF(AND(V314&gt;=75,V314&lt;=175,W314&gt;=65,W314&lt;110),0.15,0)+IF(AND(V314&gt;=75,V314&lt;=175,W314&gt;=110),0.1,0)+IF(AND(V314&gt;175,W314&lt;25),0.25,0)+IF(AND(V314&gt;175,W314&gt;=25,W314&lt;55),0.2,0)+IF(AND(V314&gt;175,W314&gt;=55,W314&lt;95),0.15,0)+IF(AND(V314&gt;175,W314&gt;=95),0.1,0))))))))))))))))</f>
        <v>0.15</v>
      </c>
      <c r="Y314" s="30">
        <f>IF(AG314="None",0,IF(AG314="Fix5",0.05,IF(AG314="Fix3.75",0.0375,IF(AG314="Fix10",0.1,IF(AG314="Fix3",0.03,0)))))</f>
        <v>0.05</v>
      </c>
      <c r="Z314" s="35">
        <f>T314-AA314-AB314</f>
        <v>21.599999999999998</v>
      </c>
      <c r="AA314" s="29">
        <f>IF(AD314="EUR",((T314-R314)*X314)*U314+(R314*X314),(T314*X314))</f>
        <v>4.05</v>
      </c>
      <c r="AB314" s="36">
        <f>IF(AD314="EUR",((T314-R314)*Y314)*U314+(R314*Y314),(T314*Y314))</f>
        <v>1.35</v>
      </c>
      <c r="AC314" s="37" t="b">
        <v>1</v>
      </c>
      <c r="AD314" s="37" t="s">
        <v>38</v>
      </c>
      <c r="AE314" s="37" t="s">
        <v>38</v>
      </c>
      <c r="AF314" s="37" t="str">
        <f t="array" ref="AF314">INDEX('Deal Info'!D:D, MATCH(A314,'Deal Info'!A:A, 0))</f>
        <v>Fix15</v>
      </c>
      <c r="AG314" s="38" t="str">
        <f t="array" ref="AG314">INDEX('Deal Info'!G:G, MATCH(A314,'Deal Info'!A:A, 0))</f>
        <v>Fix5</v>
      </c>
    </row>
    <row r="315" spans="1:33" ht="14.25" hidden="1" x14ac:dyDescent="0.2">
      <c r="A315" s="18" t="str">
        <f t="array" ref="A315">IF(G315='Room Info'!$B$1, INDEX('Room Info'!$A$2:$A2446, MATCH(B315,'Room Info'!$B$2:$B2446, 0)),IF(G315='Room Info'!$C$1, INDEX('Room Info'!$A$2:$A2446, MATCH(B315,'Room Info'!$C$2:$C2446, 0)),IF(G315='Room Info'!$D$1, INDEX('Room Info'!$A$2:$A2446, MATCH(B315,'Room Info'!$D$2:$D2446, 0)),IF(G315='Room Info'!$E$1, INDEX('Room Info'!$A$2:$A2446, MATCH(B315,'Room Info'!$E$2:$E2446, 0)),IF(G315='Room Info'!$F$1, INDEX('Room Info'!$A$2:$A2446, MATCH(B315,'Room Info'!$F$2:$F2446, 0)),IF(G315='Room Info'!$H$1, INDEX('Room Info'!$A$2:$A2446, MATCH(B315,'Room Info'!$H$2:$H2446, 0)),IF(G315='Room Info'!$G$1, INDEX('Room Info'!$A$2:$A2446, MATCH(B315,'Room Info'!$G$2:$G2446, 0)))))))))</f>
        <v>gRRRiz</v>
      </c>
      <c r="B315" s="45" t="s">
        <v>118</v>
      </c>
      <c r="C315" s="46">
        <v>44794</v>
      </c>
      <c r="D315" s="46">
        <v>44824</v>
      </c>
      <c r="E315" s="47">
        <v>44805</v>
      </c>
      <c r="F315" s="48" t="s">
        <v>34</v>
      </c>
      <c r="G315" s="45" t="s">
        <v>80</v>
      </c>
      <c r="H315" s="49" t="s">
        <v>70</v>
      </c>
      <c r="I315" s="49" t="s">
        <v>81</v>
      </c>
      <c r="J315" s="70">
        <v>100</v>
      </c>
      <c r="K315" s="71">
        <v>10285</v>
      </c>
      <c r="L315" s="72">
        <v>-57900</v>
      </c>
      <c r="M315" s="53">
        <v>57613</v>
      </c>
      <c r="N315" s="28">
        <f>K315*J315</f>
        <v>1028500</v>
      </c>
      <c r="O315" s="45">
        <v>96156</v>
      </c>
      <c r="P315" s="29">
        <v>9.3491492459999996</v>
      </c>
      <c r="Q315" s="55"/>
      <c r="R315" s="31">
        <f>M315+Q315</f>
        <v>57613</v>
      </c>
      <c r="S315" s="73">
        <v>-48358</v>
      </c>
      <c r="T315" s="32">
        <f>R315+S315+IF(F315="Without EV deal",L315,0)</f>
        <v>9255</v>
      </c>
      <c r="U315" s="57">
        <v>1</v>
      </c>
      <c r="V315" s="58"/>
      <c r="W315" s="58"/>
      <c r="X315" s="30">
        <f>IF(AF315="DoEV",IF(AND(V315&lt;20,W315&lt;55),0.3,0)+IF(AND(V315&lt;20,W315&gt;=55,W315&lt;105),0.23,0)+IF(AND(V315&lt;20,W315&gt;=105),0.17,0)+IF(AND(V315&gt;=20,V315&lt;40,W315&lt;45),0.3,0)+IF(AND(V315&gt;=20,V315&lt;40,W315&gt;=45,W315&lt;95),0.23,0)+IF(AND(V315&gt;=20,V315&lt;40,W315&gt;=95),0.17,0)+IF(AND(V315&gt;=40,V315&lt;75,W315&lt;35),0.3,0)+IF(AND(V315&gt;=40,V315&lt;75,W315&gt;=35,W315&lt;75),0.23,0)+IF(AND(V315&gt;=40,V315&lt;75,W315&gt;=75,W315&lt;120),0.17,0)+IF(AND(V315&gt;=40,V315&lt;75,W315&gt;=120),0.12,0)+IF(AND(V315&gt;=75,V315&lt;175,W315&lt;35),0.3,0)+IF(AND(V315&gt;=75,V315&lt;=175,W315&gt;=35,W315&lt;65),0.23,0)+IF(AND(V315&gt;=75,V315&lt;=175,W315&gt;=65,W315&lt;110),0.17,0)+IF(AND(V315&gt;=75,V315&lt;=175,W315&gt;=110),0.12,0)+IF(AND(V315&gt;175,W315&lt;25),0.3,0)+IF(AND(V315&gt;175,W315&gt;=25,W315&lt;55),0.23,0)+IF(AND(V315&gt;175,W315&gt;=55,W315&lt;95),0.17,0)+IF(AND(V315&gt;175,W315&gt;=95),0.12,0),
IF(AF315="Fix15",0.15,
IF(AF315="Fix11.25",0.1125,
IF(AF315="Fix10",0.1,
IF(AF315="Fix9",0.09,
IF(AF315="DoEV2017",IF(AND(W315&lt;74),0.2,0)+IF(AND(W315&gt;=74),0.17,0),
IF(AF315="SF",IF(AND(V315&lt;20,W315&lt;89),0.3,0)+IF(AND(V315&lt;20,W315&gt;=89),0.25,0)+IF(AND(V315&gt;=20,V315&lt;40,W315&lt;74),0.3,0)+IF(AND(V315&gt;=20,V315&lt;40,W315&gt;=75),0.22,0)+IF(AND(V315&gt;=40,V315&lt;75,W315&lt;75),0.26,0)+IF(AND(V315&gt;=40,V315&lt;75,W315&gt;=75),0.22,0)+IF(V315&gt;=75,0.22,0),
IF(AF315="DoEVold",IF(AND(V315&lt;40,W315&lt;35),0.35,0)+IF(AND(V315&lt;40,W315&gt;=35,W315&lt;75),0.25,0)+IF(AND(V315&lt;40,W315&gt;=75),0.17,0)+IF(AND(V315&gt;=40,V315&lt;75,W315&lt;25),0.35,0)+IF(AND(V315&gt;=40,V315&lt;75,W315&gt;=25,W315&lt;65),0.25,0)+IF(AND(V315&gt;=40,V315&lt;75,W315&gt;=65,W315&lt;100),0.17,0)+IF(AND(V315&gt;=40,V315&lt;75,W315&gt;=100),0.1,0)+IF(AND(V315&gt;=75,W315&lt;25),0.35,0)+IF(AND(V315&gt;=75,W315&gt;=25,W315&lt;60),0.25,0)+IF(AND(V315&gt;=75,W315&gt;=60,W315&lt;95),0.17,0)+IF(AND(V315&gt;=75,W315&gt;=95),0.1,0),
IF(AF315="DoEVold15",IF(AND(V315&lt;=40,W315&lt;35),0.35,0)+IF(AND(V315&lt;=40,W315&gt;=35,W315&lt;75),0.25,0)+IF(AND(V315&lt;=40,W315&gt;=75,W315&lt;120),0.17,0)+IF(AND(V315&lt;=40,W315&gt;=120),0.15,0)+IF(AND(V315&gt;40,V315&lt;75,W315&lt;25),0.35,0)+IF(AND(V315&gt;=40,V315&lt;75,W315&gt;=25,W315&lt;65),0.25,0)+IF(AND(V315&gt;=40,V315&lt;75,W315&gt;=65,W315&lt;100),0.17,0)+IF(AND(V315&gt;=40,V315&lt;75,W315&gt;=100),0.1,0)+IF(AND(V315&gt;=75,W315&lt;25),0.35,0)+IF(AND(V315&gt;=75,W315&gt;=25,W315&lt;60),0.25,0)+IF(AND(V315&gt;=75,W315&gt;=60,W315&lt;95),0.17,0)+IF(AND(V315&gt;=75,W315&gt;=95),0.1,0),
IF(AF315="DoEVba",IF(AND(V315&lt;20,W315&lt;105),0.2,0)+IF(AND(V315&lt;20,W315&gt;=105),0.15,0)+IF(AND(V315&gt;=20,V315&lt;40,W315&lt;95),0.2,0)+IF(AND(V315&gt;=20,V315&lt;40,W315&gt;=95,W315&lt;150),0.15,0)+IF(AND(V315&gt;=20,V315&lt;40,W315&gt;=150),0.12,0)+IF(AND(V315&gt;=40,V315&lt;75,W315&lt;75),0.2,0)+IF(AND(V315&gt;=40,V315&lt;75,W315&gt;=75,W315&lt;120),0.15,0)+IF(AND(V315&gt;=40,V315&lt;75,W315&gt;=120),0.12,0)+IF(AND(V315&gt;=75,V315&lt;175,W315&lt;65),0.2,0)+IF(AND(V315&gt;=75,V315&lt;175,W315&gt;=65,W315&lt;110),0.15,0)+IF(AND(V315&gt;=75,V315&lt;175,W315&gt;=110),0.12,0)+IF(AND(V315&gt;=175,W315&lt;55),0.2,0)+IF(AND(V315&gt;=175,W315&gt;=55,W315&lt;95),0.15,0)+IF(AND(V315&gt;=175,W315&gt;=95),0.12,0),
IF(AF315="DoEVku",IF(AND(V315&lt;20,W315&lt;55),0.23,0)+IF(AND(V315&lt;20,W315&gt;=55,W315&lt;105),0.2,0)+IF(AND(V315&lt;20,W315&gt;=105),0.17,0)+IF(AND(V315&gt;=20,V315&lt;40,W315&lt;45),0.23,0)+IF(AND(V315&gt;=20,V315&lt;40,W315&gt;=45,W315&lt;95),0.2,0)+IF(AND(V315&gt;=20,V315&lt;40,W315&gt;=95,W315&lt;=150),0.17,0)+IF(AND(V315&gt;=20,V315&lt;40,W315&gt;=150),0.12,0)+IF(AND(V315&gt;=40,V315&lt;75,W315&lt;35),0.23,0)+IF(AND(V315&gt;=40,V315&lt;75,W315&gt;=35,W315&lt;75),0.2,0)+IF(AND(V315&gt;=40,V315&lt;75,W315&gt;=75,W315&lt;120),0.17,0)+IF(AND(V315&gt;=40,V315&lt;75,W315&gt;=120),0.12,0)+IF(AND(V315&gt;=75,V315&lt;175,W315&lt;35),0.23,0)+IF(AND(V315&gt;=75,V315&lt;=175,W315&gt;=35,W315&lt;65),0.2,0)+IF(AND(V315&gt;=75,V315&lt;=175,W315&gt;=65,W315&lt;110),0.17,0)+IF(AND(V315&gt;=75,V315&lt;=175,W315&gt;=110),0.12,0)+IF(AND(V315&gt;175,W315&lt;25),0.23,0)+IF(AND(V315&gt;175,W315&gt;=25,W315&lt;55),0.2,0)+IF(AND(V315&gt;175,W315&gt;=55,W315&lt;95),0.17,0)+IF(AND(V315&gt;175,W315&gt;=95),0.12,0),
IF(AF315="DoEVs1",IF(AND(V315&lt;20,W315&lt;55),0.3,0)+IF(AND(V315&lt;20,W315&gt;=55,W315&lt;105),0.23,0)+IF(AND(V315&lt;20,W315&gt;=105),0.17,0)+IF(AND(V315&gt;=20,V315&lt;40,W315&lt;45),0.3,0)+IF(AND(V315&gt;=20,V315&lt;40,W315&gt;=45,W315&lt;95),0.23,0)+IF(AND(V315&gt;=20,V315&lt;40,W315&gt;=95,W315&lt;=150),0.17,0)+IF(AND(V315&gt;=20,V315&lt;40,W315&gt;=150),0.12,0)+IF(AND(V315&gt;=40,V315&lt;75,W315&lt;35),0.3,0)+IF(AND(V315&gt;=40,V315&lt;75,W315&gt;=35,W315&lt;75),0.23,0)+IF(AND(V315&gt;=40,V315&lt;75,W315&gt;=75,W315&lt;120),0.17,0)+IF(AND(V315&gt;=40,V315&lt;75,W315&gt;=120),0.12,0)+IF(AND(V315&gt;=75,V315&lt;175,W315&lt;35),0.3,0)+IF(AND(V315&gt;=75,V315&lt;=175,W315&gt;=35,W315&lt;65),0.23,0)+IF(AND(V315&gt;=75,V315&lt;=175,W315&gt;=65,W315&lt;110),0.17,0)+IF(AND(V315&gt;=75,V315&lt;=175,W315&gt;=110),0.12,0)+IF(AND(V315&gt;175,W315&lt;25),0.3,0)+IF(AND(V315&gt;175,W315&gt;=25,W315&lt;55),0.23,0)+IF(AND(V315&gt;175,W315&gt;=55,W315&lt;95),0.17,0)+IF(AND(V315&gt;175,W315&gt;=95),0.12,0),
IF(AF315="DoEVsu",IF(AND(V315&lt;20,W315&lt;55),0.3,0)+IF(AND(V315&lt;20,W315&gt;=55,W315&lt;105),0.23,0)+IF(AND(V315&lt;20,W315&gt;=105),0.17,0)+IF(AND(V315&gt;=20,V315&lt;40,W315&lt;45),0.3,0)+IF(AND(V315&gt;=20,V315&lt;40,W315&gt;=45,W315&lt;95),0.23,0)+IF(AND(V315&gt;=20,V315&lt;40,W315&gt;=95,W315&lt;=250),0.17,0)+IF(AND(V315&gt;=20,V315&lt;40,W315&gt;=250),0.12,0)+IF(AND(V315&gt;=40,V315&lt;75,W315&lt;35),0.3,0)+IF(AND(V315&gt;=40,V315&lt;75,W315&gt;=35,W315&lt;75),0.23,0)+IF(AND(V315&gt;=40,V315&lt;75,W315&gt;=75,W315&lt;120),0.17,0)+IF(AND(V315&gt;=40,V315&lt;75,W315&gt;=120),0.12,0)+IF(AND(V315&gt;=75,V315&lt;175,W315&lt;35),0.3,0)+IF(AND(V315&gt;=75,V315&lt;=175,W315&gt;=35,W315&lt;65),0.23,0)+IF(AND(V315&gt;=75,V315&lt;=175,W315&gt;=65,W315&lt;110),0.17,0)+IF(AND(V315&gt;=75,V315&lt;=175,W315&gt;=110),0.12,0)+IF(AND(V315&gt;175,W315&lt;25),0.3,0)+IF(AND(V315&gt;175,W315&gt;=25,W315&lt;55),0.23,0)+IF(AND(V315&gt;175,W315&gt;=55,W315&lt;95),0.17,0)+IF(AND(V315&gt;175,W315&gt;=95),0.12,0),
IF(AF315="DoEVni",IF(AND(V315&lt;20,W315&lt;55),0.3,0)+IF(AND(V315&lt;20,W315&gt;=55,W315&lt;105),0.23,0)+IF(AND(V315&lt;20,W315&gt;=105),0.17,0)+IF(AND(V315&gt;=20,V315&lt;40,W315&lt;45),0.3,0)+IF(AND(V315&gt;=20,V315&lt;40,W315&gt;=45,W315&lt;95),0.23,0)+IF(AND(V315&gt;=20,V315&lt;40,W315&gt;=95,W315&lt;=200),0.17,0)+IF(AND(V315&gt;=20,V315&lt;40,W315&gt;=200),0.12,0)+IF(AND(V315&gt;=40,V315&lt;75,W315&lt;35),0.3,0)+IF(AND(V315&gt;=40,V315&lt;75,W315&gt;=35,W315&lt;75),0.23,0)+IF(AND(V315&gt;=40,V315&lt;75,W315&gt;=75,W315&lt;120),0.17,0)+IF(AND(V315&gt;=40,V315&lt;75,W315&gt;=120),0.12,0)+IF(AND(V315&gt;=75,V315&lt;175,W315&lt;35),0.3,0)+IF(AND(V315&gt;=75,V315&lt;=175,W315&gt;=35,W315&lt;65),0.23,0)+IF(AND(V315&gt;=75,V315&lt;=175,W315&gt;=65,W315&lt;110),0.17,0)+IF(AND(V315&gt;=75,V315&lt;=175,W315&gt;=110),0.12,0)+IF(AND(V315&gt;175,W315&lt;25),0.3,0)+IF(AND(V315&gt;175,W315&gt;=25,W315&lt;55),0.23,0)+IF(AND(V315&gt;175,W315&gt;=55,W315&lt;95),0.17,0)+IF(AND(V315&gt;175,W315&gt;=95),0.12,0),
IF(AF315="DoEVLo",IF(AND(V315&lt;20,W315&lt;55),0.25,0)+IF(AND(V315&lt;20,W315&gt;=55,W315&lt;105),0.2,0)+IF(AND(V315&lt;20,W315&gt;=105),0.15,0)+IF(AND(V315&gt;=20,V315&lt;40,W315&lt;45),0.25,0)+IF(AND(V315&gt;=20,V315&lt;40,W315&gt;=45,W315&lt;95),0.2,0)+IF(AND(V315&gt;=20,V315&lt;40,W315&gt;=95),0.15,0)+IF(AND(V315&gt;=40,V315&lt;75,W315&lt;35),0.25,0)+IF(AND(V315&gt;=40,V315&lt;75,W315&gt;=35,W315&lt;75),0.2,0)+IF(AND(V315&gt;=40,V315&lt;75,W315&gt;=75,W315&lt;120),0.15,0)+IF(AND(V315&gt;=40,V315&lt;75,W315&gt;=120),0.1,0)+IF(AND(V315&gt;=75,V315&lt;175,W315&lt;35),0.25,0)+IF(AND(V315&gt;=75,V315&lt;=175,W315&gt;=35,W315&lt;65),0.2,0)+IF(AND(V315&gt;=75,V315&lt;=175,W315&gt;=65,W315&lt;110),0.15,0)+IF(AND(V315&gt;=75,V315&lt;=175,W315&gt;=110),0.1,0)+IF(AND(V315&gt;175,W315&lt;25),0.25,0)+IF(AND(V315&gt;175,W315&gt;=25,W315&lt;55),0.2,0)+IF(AND(V315&gt;175,W315&gt;=55,W315&lt;95),0.15,0)+IF(AND(V315&gt;175,W315&gt;=95),0.1,0))))))))))))))))</f>
        <v>0.15</v>
      </c>
      <c r="Y315" s="30">
        <f>IF(AG315="None",0,IF(AG315="Fix5",0.05,IF(AG315="Fix3.75",0.0375,IF(AG315="Fix10",0.1,IF(AG315="Fix3",0.03,0)))))</f>
        <v>0.05</v>
      </c>
      <c r="Z315" s="35">
        <f>T315-AA315-AB315</f>
        <v>7404</v>
      </c>
      <c r="AA315" s="29">
        <f>IF(AD315="EUR",((T315-R315)*X315)*U315+(R315*X315),(T315*X315))</f>
        <v>1388.25</v>
      </c>
      <c r="AB315" s="36">
        <f>IF(AD315="EUR",((T315-R315)*Y315)*U315+(R315*Y315),(T315*Y315))</f>
        <v>462.75</v>
      </c>
      <c r="AC315" s="37" t="b">
        <v>1</v>
      </c>
      <c r="AD315" s="37" t="s">
        <v>38</v>
      </c>
      <c r="AE315" s="37" t="s">
        <v>38</v>
      </c>
      <c r="AF315" s="37" t="str">
        <f t="array" ref="AF315">INDEX('Deal Info'!D:D, MATCH(A315,'Deal Info'!A:A, 0))</f>
        <v>Fix15</v>
      </c>
      <c r="AG315" s="38" t="str">
        <f t="array" ref="AG315">INDEX('Deal Info'!G:G, MATCH(A315,'Deal Info'!A:A, 0))</f>
        <v>Fix5</v>
      </c>
    </row>
    <row r="316" spans="1:33" ht="14.25" hidden="1" x14ac:dyDescent="0.2">
      <c r="A316" s="18" t="str">
        <f t="array" ref="A316">IF(G316='Room Info'!$B$1, INDEX('Room Info'!$A$2:$A2446, MATCH(B316,'Room Info'!$B$2:$B2446, 0)),IF(G316='Room Info'!$C$1, INDEX('Room Info'!$A$2:$A2446, MATCH(B316,'Room Info'!$C$2:$C2446, 0)),IF(G316='Room Info'!$D$1, INDEX('Room Info'!$A$2:$A2446, MATCH(B316,'Room Info'!$D$2:$D2446, 0)),IF(G316='Room Info'!$E$1, INDEX('Room Info'!$A$2:$A2446, MATCH(B316,'Room Info'!$E$2:$E2446, 0)),IF(G316='Room Info'!$F$1, INDEX('Room Info'!$A$2:$A2446, MATCH(B316,'Room Info'!$F$2:$F2446, 0)),IF(G316='Room Info'!$H$1, INDEX('Room Info'!$A$2:$A2446, MATCH(B316,'Room Info'!$H$2:$H2446, 0)),IF(G316='Room Info'!$G$1, INDEX('Room Info'!$A$2:$A2446, MATCH(B316,'Room Info'!$G$2:$G2446, 0)))))))))</f>
        <v>gRRRiz</v>
      </c>
      <c r="B316" s="45" t="s">
        <v>118</v>
      </c>
      <c r="C316" s="46">
        <v>44825</v>
      </c>
      <c r="D316" s="46">
        <v>44854</v>
      </c>
      <c r="E316" s="47">
        <v>44835</v>
      </c>
      <c r="F316" s="48" t="s">
        <v>34</v>
      </c>
      <c r="G316" s="45" t="s">
        <v>80</v>
      </c>
      <c r="H316" s="49" t="s">
        <v>71</v>
      </c>
      <c r="I316" s="49" t="s">
        <v>81</v>
      </c>
      <c r="J316" s="70">
        <v>20</v>
      </c>
      <c r="K316" s="71">
        <v>2</v>
      </c>
      <c r="L316" s="72">
        <v>-40</v>
      </c>
      <c r="M316" s="53">
        <v>2</v>
      </c>
      <c r="N316" s="28">
        <f>K316*J316</f>
        <v>40</v>
      </c>
      <c r="O316" s="45">
        <v>-308</v>
      </c>
      <c r="P316" s="29">
        <v>-154</v>
      </c>
      <c r="Q316" s="55"/>
      <c r="R316" s="31">
        <f>M316+Q316</f>
        <v>2</v>
      </c>
      <c r="S316" s="73">
        <v>-21</v>
      </c>
      <c r="T316" s="32">
        <f>R316+S316+IF(F316="Without EV deal",L316,0)</f>
        <v>-19</v>
      </c>
      <c r="U316" s="57">
        <v>1</v>
      </c>
      <c r="V316" s="58"/>
      <c r="W316" s="58"/>
      <c r="X316" s="30">
        <f>IF(AF316="DoEV",IF(AND(V316&lt;20,W316&lt;55),0.3,0)+IF(AND(V316&lt;20,W316&gt;=55,W316&lt;105),0.23,0)+IF(AND(V316&lt;20,W316&gt;=105),0.17,0)+IF(AND(V316&gt;=20,V316&lt;40,W316&lt;45),0.3,0)+IF(AND(V316&gt;=20,V316&lt;40,W316&gt;=45,W316&lt;95),0.23,0)+IF(AND(V316&gt;=20,V316&lt;40,W316&gt;=95),0.17,0)+IF(AND(V316&gt;=40,V316&lt;75,W316&lt;35),0.3,0)+IF(AND(V316&gt;=40,V316&lt;75,W316&gt;=35,W316&lt;75),0.23,0)+IF(AND(V316&gt;=40,V316&lt;75,W316&gt;=75,W316&lt;120),0.17,0)+IF(AND(V316&gt;=40,V316&lt;75,W316&gt;=120),0.12,0)+IF(AND(V316&gt;=75,V316&lt;175,W316&lt;35),0.3,0)+IF(AND(V316&gt;=75,V316&lt;=175,W316&gt;=35,W316&lt;65),0.23,0)+IF(AND(V316&gt;=75,V316&lt;=175,W316&gt;=65,W316&lt;110),0.17,0)+IF(AND(V316&gt;=75,V316&lt;=175,W316&gt;=110),0.12,0)+IF(AND(V316&gt;175,W316&lt;25),0.3,0)+IF(AND(V316&gt;175,W316&gt;=25,W316&lt;55),0.23,0)+IF(AND(V316&gt;175,W316&gt;=55,W316&lt;95),0.17,0)+IF(AND(V316&gt;175,W316&gt;=95),0.12,0),
IF(AF316="Fix15",0.15,
IF(AF316="Fix11.25",0.1125,
IF(AF316="Fix10",0.1,
IF(AF316="Fix9",0.09,
IF(AF316="DoEV2017",IF(AND(W316&lt;74),0.2,0)+IF(AND(W316&gt;=74),0.17,0),
IF(AF316="SF",IF(AND(V316&lt;20,W316&lt;89),0.3,0)+IF(AND(V316&lt;20,W316&gt;=89),0.25,0)+IF(AND(V316&gt;=20,V316&lt;40,W316&lt;74),0.3,0)+IF(AND(V316&gt;=20,V316&lt;40,W316&gt;=75),0.22,0)+IF(AND(V316&gt;=40,V316&lt;75,W316&lt;75),0.26,0)+IF(AND(V316&gt;=40,V316&lt;75,W316&gt;=75),0.22,0)+IF(V316&gt;=75,0.22,0),
IF(AF316="DoEVold",IF(AND(V316&lt;40,W316&lt;35),0.35,0)+IF(AND(V316&lt;40,W316&gt;=35,W316&lt;75),0.25,0)+IF(AND(V316&lt;40,W316&gt;=75),0.17,0)+IF(AND(V316&gt;=40,V316&lt;75,W316&lt;25),0.35,0)+IF(AND(V316&gt;=40,V316&lt;75,W316&gt;=25,W316&lt;65),0.25,0)+IF(AND(V316&gt;=40,V316&lt;75,W316&gt;=65,W316&lt;100),0.17,0)+IF(AND(V316&gt;=40,V316&lt;75,W316&gt;=100),0.1,0)+IF(AND(V316&gt;=75,W316&lt;25),0.35,0)+IF(AND(V316&gt;=75,W316&gt;=25,W316&lt;60),0.25,0)+IF(AND(V316&gt;=75,W316&gt;=60,W316&lt;95),0.17,0)+IF(AND(V316&gt;=75,W316&gt;=95),0.1,0),
IF(AF316="DoEVold15",IF(AND(V316&lt;=40,W316&lt;35),0.35,0)+IF(AND(V316&lt;=40,W316&gt;=35,W316&lt;75),0.25,0)+IF(AND(V316&lt;=40,W316&gt;=75,W316&lt;120),0.17,0)+IF(AND(V316&lt;=40,W316&gt;=120),0.15,0)+IF(AND(V316&gt;40,V316&lt;75,W316&lt;25),0.35,0)+IF(AND(V316&gt;=40,V316&lt;75,W316&gt;=25,W316&lt;65),0.25,0)+IF(AND(V316&gt;=40,V316&lt;75,W316&gt;=65,W316&lt;100),0.17,0)+IF(AND(V316&gt;=40,V316&lt;75,W316&gt;=100),0.1,0)+IF(AND(V316&gt;=75,W316&lt;25),0.35,0)+IF(AND(V316&gt;=75,W316&gt;=25,W316&lt;60),0.25,0)+IF(AND(V316&gt;=75,W316&gt;=60,W316&lt;95),0.17,0)+IF(AND(V316&gt;=75,W316&gt;=95),0.1,0),
IF(AF316="DoEVba",IF(AND(V316&lt;20,W316&lt;105),0.2,0)+IF(AND(V316&lt;20,W316&gt;=105),0.15,0)+IF(AND(V316&gt;=20,V316&lt;40,W316&lt;95),0.2,0)+IF(AND(V316&gt;=20,V316&lt;40,W316&gt;=95,W316&lt;150),0.15,0)+IF(AND(V316&gt;=20,V316&lt;40,W316&gt;=150),0.12,0)+IF(AND(V316&gt;=40,V316&lt;75,W316&lt;75),0.2,0)+IF(AND(V316&gt;=40,V316&lt;75,W316&gt;=75,W316&lt;120),0.15,0)+IF(AND(V316&gt;=40,V316&lt;75,W316&gt;=120),0.12,0)+IF(AND(V316&gt;=75,V316&lt;175,W316&lt;65),0.2,0)+IF(AND(V316&gt;=75,V316&lt;175,W316&gt;=65,W316&lt;110),0.15,0)+IF(AND(V316&gt;=75,V316&lt;175,W316&gt;=110),0.12,0)+IF(AND(V316&gt;=175,W316&lt;55),0.2,0)+IF(AND(V316&gt;=175,W316&gt;=55,W316&lt;95),0.15,0)+IF(AND(V316&gt;=175,W316&gt;=95),0.12,0),
IF(AF316="DoEVku",IF(AND(V316&lt;20,W316&lt;55),0.23,0)+IF(AND(V316&lt;20,W316&gt;=55,W316&lt;105),0.2,0)+IF(AND(V316&lt;20,W316&gt;=105),0.17,0)+IF(AND(V316&gt;=20,V316&lt;40,W316&lt;45),0.23,0)+IF(AND(V316&gt;=20,V316&lt;40,W316&gt;=45,W316&lt;95),0.2,0)+IF(AND(V316&gt;=20,V316&lt;40,W316&gt;=95,W316&lt;=150),0.17,0)+IF(AND(V316&gt;=20,V316&lt;40,W316&gt;=150),0.12,0)+IF(AND(V316&gt;=40,V316&lt;75,W316&lt;35),0.23,0)+IF(AND(V316&gt;=40,V316&lt;75,W316&gt;=35,W316&lt;75),0.2,0)+IF(AND(V316&gt;=40,V316&lt;75,W316&gt;=75,W316&lt;120),0.17,0)+IF(AND(V316&gt;=40,V316&lt;75,W316&gt;=120),0.12,0)+IF(AND(V316&gt;=75,V316&lt;175,W316&lt;35),0.23,0)+IF(AND(V316&gt;=75,V316&lt;=175,W316&gt;=35,W316&lt;65),0.2,0)+IF(AND(V316&gt;=75,V316&lt;=175,W316&gt;=65,W316&lt;110),0.17,0)+IF(AND(V316&gt;=75,V316&lt;=175,W316&gt;=110),0.12,0)+IF(AND(V316&gt;175,W316&lt;25),0.23,0)+IF(AND(V316&gt;175,W316&gt;=25,W316&lt;55),0.2,0)+IF(AND(V316&gt;175,W316&gt;=55,W316&lt;95),0.17,0)+IF(AND(V316&gt;175,W316&gt;=95),0.12,0),
IF(AF316="DoEVs1",IF(AND(V316&lt;20,W316&lt;55),0.3,0)+IF(AND(V316&lt;20,W316&gt;=55,W316&lt;105),0.23,0)+IF(AND(V316&lt;20,W316&gt;=105),0.17,0)+IF(AND(V316&gt;=20,V316&lt;40,W316&lt;45),0.3,0)+IF(AND(V316&gt;=20,V316&lt;40,W316&gt;=45,W316&lt;95),0.23,0)+IF(AND(V316&gt;=20,V316&lt;40,W316&gt;=95,W316&lt;=150),0.17,0)+IF(AND(V316&gt;=20,V316&lt;40,W316&gt;=150),0.12,0)+IF(AND(V316&gt;=40,V316&lt;75,W316&lt;35),0.3,0)+IF(AND(V316&gt;=40,V316&lt;75,W316&gt;=35,W316&lt;75),0.23,0)+IF(AND(V316&gt;=40,V316&lt;75,W316&gt;=75,W316&lt;120),0.17,0)+IF(AND(V316&gt;=40,V316&lt;75,W316&gt;=120),0.12,0)+IF(AND(V316&gt;=75,V316&lt;175,W316&lt;35),0.3,0)+IF(AND(V316&gt;=75,V316&lt;=175,W316&gt;=35,W316&lt;65),0.23,0)+IF(AND(V316&gt;=75,V316&lt;=175,W316&gt;=65,W316&lt;110),0.17,0)+IF(AND(V316&gt;=75,V316&lt;=175,W316&gt;=110),0.12,0)+IF(AND(V316&gt;175,W316&lt;25),0.3,0)+IF(AND(V316&gt;175,W316&gt;=25,W316&lt;55),0.23,0)+IF(AND(V316&gt;175,W316&gt;=55,W316&lt;95),0.17,0)+IF(AND(V316&gt;175,W316&gt;=95),0.12,0),
IF(AF316="DoEVsu",IF(AND(V316&lt;20,W316&lt;55),0.3,0)+IF(AND(V316&lt;20,W316&gt;=55,W316&lt;105),0.23,0)+IF(AND(V316&lt;20,W316&gt;=105),0.17,0)+IF(AND(V316&gt;=20,V316&lt;40,W316&lt;45),0.3,0)+IF(AND(V316&gt;=20,V316&lt;40,W316&gt;=45,W316&lt;95),0.23,0)+IF(AND(V316&gt;=20,V316&lt;40,W316&gt;=95,W316&lt;=250),0.17,0)+IF(AND(V316&gt;=20,V316&lt;40,W316&gt;=250),0.12,0)+IF(AND(V316&gt;=40,V316&lt;75,W316&lt;35),0.3,0)+IF(AND(V316&gt;=40,V316&lt;75,W316&gt;=35,W316&lt;75),0.23,0)+IF(AND(V316&gt;=40,V316&lt;75,W316&gt;=75,W316&lt;120),0.17,0)+IF(AND(V316&gt;=40,V316&lt;75,W316&gt;=120),0.12,0)+IF(AND(V316&gt;=75,V316&lt;175,W316&lt;35),0.3,0)+IF(AND(V316&gt;=75,V316&lt;=175,W316&gt;=35,W316&lt;65),0.23,0)+IF(AND(V316&gt;=75,V316&lt;=175,W316&gt;=65,W316&lt;110),0.17,0)+IF(AND(V316&gt;=75,V316&lt;=175,W316&gt;=110),0.12,0)+IF(AND(V316&gt;175,W316&lt;25),0.3,0)+IF(AND(V316&gt;175,W316&gt;=25,W316&lt;55),0.23,0)+IF(AND(V316&gt;175,W316&gt;=55,W316&lt;95),0.17,0)+IF(AND(V316&gt;175,W316&gt;=95),0.12,0),
IF(AF316="DoEVni",IF(AND(V316&lt;20,W316&lt;55),0.3,0)+IF(AND(V316&lt;20,W316&gt;=55,W316&lt;105),0.23,0)+IF(AND(V316&lt;20,W316&gt;=105),0.17,0)+IF(AND(V316&gt;=20,V316&lt;40,W316&lt;45),0.3,0)+IF(AND(V316&gt;=20,V316&lt;40,W316&gt;=45,W316&lt;95),0.23,0)+IF(AND(V316&gt;=20,V316&lt;40,W316&gt;=95,W316&lt;=200),0.17,0)+IF(AND(V316&gt;=20,V316&lt;40,W316&gt;=200),0.12,0)+IF(AND(V316&gt;=40,V316&lt;75,W316&lt;35),0.3,0)+IF(AND(V316&gt;=40,V316&lt;75,W316&gt;=35,W316&lt;75),0.23,0)+IF(AND(V316&gt;=40,V316&lt;75,W316&gt;=75,W316&lt;120),0.17,0)+IF(AND(V316&gt;=40,V316&lt;75,W316&gt;=120),0.12,0)+IF(AND(V316&gt;=75,V316&lt;175,W316&lt;35),0.3,0)+IF(AND(V316&gt;=75,V316&lt;=175,W316&gt;=35,W316&lt;65),0.23,0)+IF(AND(V316&gt;=75,V316&lt;=175,W316&gt;=65,W316&lt;110),0.17,0)+IF(AND(V316&gt;=75,V316&lt;=175,W316&gt;=110),0.12,0)+IF(AND(V316&gt;175,W316&lt;25),0.3,0)+IF(AND(V316&gt;175,W316&gt;=25,W316&lt;55),0.23,0)+IF(AND(V316&gt;175,W316&gt;=55,W316&lt;95),0.17,0)+IF(AND(V316&gt;175,W316&gt;=95),0.12,0),
IF(AF316="DoEVLo",IF(AND(V316&lt;20,W316&lt;55),0.25,0)+IF(AND(V316&lt;20,W316&gt;=55,W316&lt;105),0.2,0)+IF(AND(V316&lt;20,W316&gt;=105),0.15,0)+IF(AND(V316&gt;=20,V316&lt;40,W316&lt;45),0.25,0)+IF(AND(V316&gt;=20,V316&lt;40,W316&gt;=45,W316&lt;95),0.2,0)+IF(AND(V316&gt;=20,V316&lt;40,W316&gt;=95),0.15,0)+IF(AND(V316&gt;=40,V316&lt;75,W316&lt;35),0.25,0)+IF(AND(V316&gt;=40,V316&lt;75,W316&gt;=35,W316&lt;75),0.2,0)+IF(AND(V316&gt;=40,V316&lt;75,W316&gt;=75,W316&lt;120),0.15,0)+IF(AND(V316&gt;=40,V316&lt;75,W316&gt;=120),0.1,0)+IF(AND(V316&gt;=75,V316&lt;175,W316&lt;35),0.25,0)+IF(AND(V316&gt;=75,V316&lt;=175,W316&gt;=35,W316&lt;65),0.2,0)+IF(AND(V316&gt;=75,V316&lt;=175,W316&gt;=65,W316&lt;110),0.15,0)+IF(AND(V316&gt;=75,V316&lt;=175,W316&gt;=110),0.1,0)+IF(AND(V316&gt;175,W316&lt;25),0.25,0)+IF(AND(V316&gt;175,W316&gt;=25,W316&lt;55),0.2,0)+IF(AND(V316&gt;175,W316&gt;=55,W316&lt;95),0.15,0)+IF(AND(V316&gt;175,W316&gt;=95),0.1,0))))))))))))))))</f>
        <v>0.15</v>
      </c>
      <c r="Y316" s="30">
        <f>IF(AG316="None",0,IF(AG316="Fix5",0.05,IF(AG316="Fix3.75",0.0375,IF(AG316="Fix10",0.1,IF(AG316="Fix3",0.03,0)))))</f>
        <v>0.05</v>
      </c>
      <c r="Z316" s="35">
        <f>T316-AA316-AB316</f>
        <v>-15.2</v>
      </c>
      <c r="AA316" s="29">
        <f>IF(AD316="EUR",((T316-R316)*X316)*U316+(R316*X316),(T316*X316))</f>
        <v>-2.85</v>
      </c>
      <c r="AB316" s="36">
        <f>IF(AD316="EUR",((T316-R316)*Y316)*U316+(R316*Y316),(T316*Y316))</f>
        <v>-0.95000000000000007</v>
      </c>
      <c r="AC316" s="37" t="b">
        <v>1</v>
      </c>
      <c r="AD316" s="37" t="s">
        <v>38</v>
      </c>
      <c r="AE316" s="37" t="s">
        <v>38</v>
      </c>
      <c r="AF316" s="37" t="str">
        <f t="array" ref="AF316">INDEX('Deal Info'!D:D, MATCH(A316,'Deal Info'!A:A, 0))</f>
        <v>Fix15</v>
      </c>
      <c r="AG316" s="38" t="str">
        <f t="array" ref="AG316">INDEX('Deal Info'!G:G, MATCH(A316,'Deal Info'!A:A, 0))</f>
        <v>Fix5</v>
      </c>
    </row>
    <row r="317" spans="1:33" ht="14.25" hidden="1" x14ac:dyDescent="0.2">
      <c r="A317" s="18" t="str">
        <f t="array" ref="A317">IF(G317='Room Info'!$B$1, INDEX('Room Info'!$A$2:$A2446, MATCH(B317,'Room Info'!$B$2:$B2446, 0)),IF(G317='Room Info'!$C$1, INDEX('Room Info'!$A$2:$A2446, MATCH(B317,'Room Info'!$C$2:$C2446, 0)),IF(G317='Room Info'!$D$1, INDEX('Room Info'!$A$2:$A2446, MATCH(B317,'Room Info'!$D$2:$D2446, 0)),IF(G317='Room Info'!$E$1, INDEX('Room Info'!$A$2:$A2446, MATCH(B317,'Room Info'!$E$2:$E2446, 0)),IF(G317='Room Info'!$F$1, INDEX('Room Info'!$A$2:$A2446, MATCH(B317,'Room Info'!$F$2:$F2446, 0)),IF(G317='Room Info'!$H$1, INDEX('Room Info'!$A$2:$A2446, MATCH(B317,'Room Info'!$H$2:$H2446, 0)),IF(G317='Room Info'!$G$1, INDEX('Room Info'!$A$2:$A2446, MATCH(B317,'Room Info'!$G$2:$G2446, 0)))))))))</f>
        <v>gRRRiz</v>
      </c>
      <c r="B317" s="45" t="s">
        <v>118</v>
      </c>
      <c r="C317" s="46">
        <v>44825</v>
      </c>
      <c r="D317" s="46">
        <v>44854</v>
      </c>
      <c r="E317" s="47">
        <v>44835</v>
      </c>
      <c r="F317" s="48" t="s">
        <v>34</v>
      </c>
      <c r="G317" s="45" t="s">
        <v>80</v>
      </c>
      <c r="H317" s="49" t="s">
        <v>72</v>
      </c>
      <c r="I317" s="49" t="s">
        <v>81</v>
      </c>
      <c r="J317" s="70">
        <v>50</v>
      </c>
      <c r="K317" s="71">
        <v>2</v>
      </c>
      <c r="L317" s="72">
        <v>-100</v>
      </c>
      <c r="M317" s="53">
        <v>5</v>
      </c>
      <c r="N317" s="28">
        <f>K317*J317</f>
        <v>100</v>
      </c>
      <c r="O317" s="45">
        <v>-135</v>
      </c>
      <c r="P317" s="29">
        <v>-67.5</v>
      </c>
      <c r="Q317" s="55"/>
      <c r="R317" s="31">
        <f>M317+Q317</f>
        <v>5</v>
      </c>
      <c r="S317" s="73">
        <v>-27</v>
      </c>
      <c r="T317" s="32">
        <f>R317+S317+IF(F317="Without EV deal",L317,0)</f>
        <v>-22</v>
      </c>
      <c r="U317" s="57">
        <v>1</v>
      </c>
      <c r="V317" s="58"/>
      <c r="W317" s="58"/>
      <c r="X317" s="30">
        <f>IF(AF317="DoEV",IF(AND(V317&lt;20,W317&lt;55),0.3,0)+IF(AND(V317&lt;20,W317&gt;=55,W317&lt;105),0.23,0)+IF(AND(V317&lt;20,W317&gt;=105),0.17,0)+IF(AND(V317&gt;=20,V317&lt;40,W317&lt;45),0.3,0)+IF(AND(V317&gt;=20,V317&lt;40,W317&gt;=45,W317&lt;95),0.23,0)+IF(AND(V317&gt;=20,V317&lt;40,W317&gt;=95),0.17,0)+IF(AND(V317&gt;=40,V317&lt;75,W317&lt;35),0.3,0)+IF(AND(V317&gt;=40,V317&lt;75,W317&gt;=35,W317&lt;75),0.23,0)+IF(AND(V317&gt;=40,V317&lt;75,W317&gt;=75,W317&lt;120),0.17,0)+IF(AND(V317&gt;=40,V317&lt;75,W317&gt;=120),0.12,0)+IF(AND(V317&gt;=75,V317&lt;175,W317&lt;35),0.3,0)+IF(AND(V317&gt;=75,V317&lt;=175,W317&gt;=35,W317&lt;65),0.23,0)+IF(AND(V317&gt;=75,V317&lt;=175,W317&gt;=65,W317&lt;110),0.17,0)+IF(AND(V317&gt;=75,V317&lt;=175,W317&gt;=110),0.12,0)+IF(AND(V317&gt;175,W317&lt;25),0.3,0)+IF(AND(V317&gt;175,W317&gt;=25,W317&lt;55),0.23,0)+IF(AND(V317&gt;175,W317&gt;=55,W317&lt;95),0.17,0)+IF(AND(V317&gt;175,W317&gt;=95),0.12,0),
IF(AF317="Fix15",0.15,
IF(AF317="Fix11.25",0.1125,
IF(AF317="Fix10",0.1,
IF(AF317="Fix9",0.09,
IF(AF317="DoEV2017",IF(AND(W317&lt;74),0.2,0)+IF(AND(W317&gt;=74),0.17,0),
IF(AF317="SF",IF(AND(V317&lt;20,W317&lt;89),0.3,0)+IF(AND(V317&lt;20,W317&gt;=89),0.25,0)+IF(AND(V317&gt;=20,V317&lt;40,W317&lt;74),0.3,0)+IF(AND(V317&gt;=20,V317&lt;40,W317&gt;=75),0.22,0)+IF(AND(V317&gt;=40,V317&lt;75,W317&lt;75),0.26,0)+IF(AND(V317&gt;=40,V317&lt;75,W317&gt;=75),0.22,0)+IF(V317&gt;=75,0.22,0),
IF(AF317="DoEVold",IF(AND(V317&lt;40,W317&lt;35),0.35,0)+IF(AND(V317&lt;40,W317&gt;=35,W317&lt;75),0.25,0)+IF(AND(V317&lt;40,W317&gt;=75),0.17,0)+IF(AND(V317&gt;=40,V317&lt;75,W317&lt;25),0.35,0)+IF(AND(V317&gt;=40,V317&lt;75,W317&gt;=25,W317&lt;65),0.25,0)+IF(AND(V317&gt;=40,V317&lt;75,W317&gt;=65,W317&lt;100),0.17,0)+IF(AND(V317&gt;=40,V317&lt;75,W317&gt;=100),0.1,0)+IF(AND(V317&gt;=75,W317&lt;25),0.35,0)+IF(AND(V317&gt;=75,W317&gt;=25,W317&lt;60),0.25,0)+IF(AND(V317&gt;=75,W317&gt;=60,W317&lt;95),0.17,0)+IF(AND(V317&gt;=75,W317&gt;=95),0.1,0),
IF(AF317="DoEVold15",IF(AND(V317&lt;=40,W317&lt;35),0.35,0)+IF(AND(V317&lt;=40,W317&gt;=35,W317&lt;75),0.25,0)+IF(AND(V317&lt;=40,W317&gt;=75,W317&lt;120),0.17,0)+IF(AND(V317&lt;=40,W317&gt;=120),0.15,0)+IF(AND(V317&gt;40,V317&lt;75,W317&lt;25),0.35,0)+IF(AND(V317&gt;=40,V317&lt;75,W317&gt;=25,W317&lt;65),0.25,0)+IF(AND(V317&gt;=40,V317&lt;75,W317&gt;=65,W317&lt;100),0.17,0)+IF(AND(V317&gt;=40,V317&lt;75,W317&gt;=100),0.1,0)+IF(AND(V317&gt;=75,W317&lt;25),0.35,0)+IF(AND(V317&gt;=75,W317&gt;=25,W317&lt;60),0.25,0)+IF(AND(V317&gt;=75,W317&gt;=60,W317&lt;95),0.17,0)+IF(AND(V317&gt;=75,W317&gt;=95),0.1,0),
IF(AF317="DoEVba",IF(AND(V317&lt;20,W317&lt;105),0.2,0)+IF(AND(V317&lt;20,W317&gt;=105),0.15,0)+IF(AND(V317&gt;=20,V317&lt;40,W317&lt;95),0.2,0)+IF(AND(V317&gt;=20,V317&lt;40,W317&gt;=95,W317&lt;150),0.15,0)+IF(AND(V317&gt;=20,V317&lt;40,W317&gt;=150),0.12,0)+IF(AND(V317&gt;=40,V317&lt;75,W317&lt;75),0.2,0)+IF(AND(V317&gt;=40,V317&lt;75,W317&gt;=75,W317&lt;120),0.15,0)+IF(AND(V317&gt;=40,V317&lt;75,W317&gt;=120),0.12,0)+IF(AND(V317&gt;=75,V317&lt;175,W317&lt;65),0.2,0)+IF(AND(V317&gt;=75,V317&lt;175,W317&gt;=65,W317&lt;110),0.15,0)+IF(AND(V317&gt;=75,V317&lt;175,W317&gt;=110),0.12,0)+IF(AND(V317&gt;=175,W317&lt;55),0.2,0)+IF(AND(V317&gt;=175,W317&gt;=55,W317&lt;95),0.15,0)+IF(AND(V317&gt;=175,W317&gt;=95),0.12,0),
IF(AF317="DoEVku",IF(AND(V317&lt;20,W317&lt;55),0.23,0)+IF(AND(V317&lt;20,W317&gt;=55,W317&lt;105),0.2,0)+IF(AND(V317&lt;20,W317&gt;=105),0.17,0)+IF(AND(V317&gt;=20,V317&lt;40,W317&lt;45),0.23,0)+IF(AND(V317&gt;=20,V317&lt;40,W317&gt;=45,W317&lt;95),0.2,0)+IF(AND(V317&gt;=20,V317&lt;40,W317&gt;=95,W317&lt;=150),0.17,0)+IF(AND(V317&gt;=20,V317&lt;40,W317&gt;=150),0.12,0)+IF(AND(V317&gt;=40,V317&lt;75,W317&lt;35),0.23,0)+IF(AND(V317&gt;=40,V317&lt;75,W317&gt;=35,W317&lt;75),0.2,0)+IF(AND(V317&gt;=40,V317&lt;75,W317&gt;=75,W317&lt;120),0.17,0)+IF(AND(V317&gt;=40,V317&lt;75,W317&gt;=120),0.12,0)+IF(AND(V317&gt;=75,V317&lt;175,W317&lt;35),0.23,0)+IF(AND(V317&gt;=75,V317&lt;=175,W317&gt;=35,W317&lt;65),0.2,0)+IF(AND(V317&gt;=75,V317&lt;=175,W317&gt;=65,W317&lt;110),0.17,0)+IF(AND(V317&gt;=75,V317&lt;=175,W317&gt;=110),0.12,0)+IF(AND(V317&gt;175,W317&lt;25),0.23,0)+IF(AND(V317&gt;175,W317&gt;=25,W317&lt;55),0.2,0)+IF(AND(V317&gt;175,W317&gt;=55,W317&lt;95),0.17,0)+IF(AND(V317&gt;175,W317&gt;=95),0.12,0),
IF(AF317="DoEVs1",IF(AND(V317&lt;20,W317&lt;55),0.3,0)+IF(AND(V317&lt;20,W317&gt;=55,W317&lt;105),0.23,0)+IF(AND(V317&lt;20,W317&gt;=105),0.17,0)+IF(AND(V317&gt;=20,V317&lt;40,W317&lt;45),0.3,0)+IF(AND(V317&gt;=20,V317&lt;40,W317&gt;=45,W317&lt;95),0.23,0)+IF(AND(V317&gt;=20,V317&lt;40,W317&gt;=95,W317&lt;=150),0.17,0)+IF(AND(V317&gt;=20,V317&lt;40,W317&gt;=150),0.12,0)+IF(AND(V317&gt;=40,V317&lt;75,W317&lt;35),0.3,0)+IF(AND(V317&gt;=40,V317&lt;75,W317&gt;=35,W317&lt;75),0.23,0)+IF(AND(V317&gt;=40,V317&lt;75,W317&gt;=75,W317&lt;120),0.17,0)+IF(AND(V317&gt;=40,V317&lt;75,W317&gt;=120),0.12,0)+IF(AND(V317&gt;=75,V317&lt;175,W317&lt;35),0.3,0)+IF(AND(V317&gt;=75,V317&lt;=175,W317&gt;=35,W317&lt;65),0.23,0)+IF(AND(V317&gt;=75,V317&lt;=175,W317&gt;=65,W317&lt;110),0.17,0)+IF(AND(V317&gt;=75,V317&lt;=175,W317&gt;=110),0.12,0)+IF(AND(V317&gt;175,W317&lt;25),0.3,0)+IF(AND(V317&gt;175,W317&gt;=25,W317&lt;55),0.23,0)+IF(AND(V317&gt;175,W317&gt;=55,W317&lt;95),0.17,0)+IF(AND(V317&gt;175,W317&gt;=95),0.12,0),
IF(AF317="DoEVsu",IF(AND(V317&lt;20,W317&lt;55),0.3,0)+IF(AND(V317&lt;20,W317&gt;=55,W317&lt;105),0.23,0)+IF(AND(V317&lt;20,W317&gt;=105),0.17,0)+IF(AND(V317&gt;=20,V317&lt;40,W317&lt;45),0.3,0)+IF(AND(V317&gt;=20,V317&lt;40,W317&gt;=45,W317&lt;95),0.23,0)+IF(AND(V317&gt;=20,V317&lt;40,W317&gt;=95,W317&lt;=250),0.17,0)+IF(AND(V317&gt;=20,V317&lt;40,W317&gt;=250),0.12,0)+IF(AND(V317&gt;=40,V317&lt;75,W317&lt;35),0.3,0)+IF(AND(V317&gt;=40,V317&lt;75,W317&gt;=35,W317&lt;75),0.23,0)+IF(AND(V317&gt;=40,V317&lt;75,W317&gt;=75,W317&lt;120),0.17,0)+IF(AND(V317&gt;=40,V317&lt;75,W317&gt;=120),0.12,0)+IF(AND(V317&gt;=75,V317&lt;175,W317&lt;35),0.3,0)+IF(AND(V317&gt;=75,V317&lt;=175,W317&gt;=35,W317&lt;65),0.23,0)+IF(AND(V317&gt;=75,V317&lt;=175,W317&gt;=65,W317&lt;110),0.17,0)+IF(AND(V317&gt;=75,V317&lt;=175,W317&gt;=110),0.12,0)+IF(AND(V317&gt;175,W317&lt;25),0.3,0)+IF(AND(V317&gt;175,W317&gt;=25,W317&lt;55),0.23,0)+IF(AND(V317&gt;175,W317&gt;=55,W317&lt;95),0.17,0)+IF(AND(V317&gt;175,W317&gt;=95),0.12,0),
IF(AF317="DoEVni",IF(AND(V317&lt;20,W317&lt;55),0.3,0)+IF(AND(V317&lt;20,W317&gt;=55,W317&lt;105),0.23,0)+IF(AND(V317&lt;20,W317&gt;=105),0.17,0)+IF(AND(V317&gt;=20,V317&lt;40,W317&lt;45),0.3,0)+IF(AND(V317&gt;=20,V317&lt;40,W317&gt;=45,W317&lt;95),0.23,0)+IF(AND(V317&gt;=20,V317&lt;40,W317&gt;=95,W317&lt;=200),0.17,0)+IF(AND(V317&gt;=20,V317&lt;40,W317&gt;=200),0.12,0)+IF(AND(V317&gt;=40,V317&lt;75,W317&lt;35),0.3,0)+IF(AND(V317&gt;=40,V317&lt;75,W317&gt;=35,W317&lt;75),0.23,0)+IF(AND(V317&gt;=40,V317&lt;75,W317&gt;=75,W317&lt;120),0.17,0)+IF(AND(V317&gt;=40,V317&lt;75,W317&gt;=120),0.12,0)+IF(AND(V317&gt;=75,V317&lt;175,W317&lt;35),0.3,0)+IF(AND(V317&gt;=75,V317&lt;=175,W317&gt;=35,W317&lt;65),0.23,0)+IF(AND(V317&gt;=75,V317&lt;=175,W317&gt;=65,W317&lt;110),0.17,0)+IF(AND(V317&gt;=75,V317&lt;=175,W317&gt;=110),0.12,0)+IF(AND(V317&gt;175,W317&lt;25),0.3,0)+IF(AND(V317&gt;175,W317&gt;=25,W317&lt;55),0.23,0)+IF(AND(V317&gt;175,W317&gt;=55,W317&lt;95),0.17,0)+IF(AND(V317&gt;175,W317&gt;=95),0.12,0),
IF(AF317="DoEVLo",IF(AND(V317&lt;20,W317&lt;55),0.25,0)+IF(AND(V317&lt;20,W317&gt;=55,W317&lt;105),0.2,0)+IF(AND(V317&lt;20,W317&gt;=105),0.15,0)+IF(AND(V317&gt;=20,V317&lt;40,W317&lt;45),0.25,0)+IF(AND(V317&gt;=20,V317&lt;40,W317&gt;=45,W317&lt;95),0.2,0)+IF(AND(V317&gt;=20,V317&lt;40,W317&gt;=95),0.15,0)+IF(AND(V317&gt;=40,V317&lt;75,W317&lt;35),0.25,0)+IF(AND(V317&gt;=40,V317&lt;75,W317&gt;=35,W317&lt;75),0.2,0)+IF(AND(V317&gt;=40,V317&lt;75,W317&gt;=75,W317&lt;120),0.15,0)+IF(AND(V317&gt;=40,V317&lt;75,W317&gt;=120),0.1,0)+IF(AND(V317&gt;=75,V317&lt;175,W317&lt;35),0.25,0)+IF(AND(V317&gt;=75,V317&lt;=175,W317&gt;=35,W317&lt;65),0.2,0)+IF(AND(V317&gt;=75,V317&lt;=175,W317&gt;=65,W317&lt;110),0.15,0)+IF(AND(V317&gt;=75,V317&lt;=175,W317&gt;=110),0.1,0)+IF(AND(V317&gt;175,W317&lt;25),0.25,0)+IF(AND(V317&gt;175,W317&gt;=25,W317&lt;55),0.2,0)+IF(AND(V317&gt;175,W317&gt;=55,W317&lt;95),0.15,0)+IF(AND(V317&gt;175,W317&gt;=95),0.1,0))))))))))))))))</f>
        <v>0.15</v>
      </c>
      <c r="Y317" s="30">
        <f>IF(AG317="None",0,IF(AG317="Fix5",0.05,IF(AG317="Fix3.75",0.0375,IF(AG317="Fix10",0.1,IF(AG317="Fix3",0.03,0)))))</f>
        <v>0.05</v>
      </c>
      <c r="Z317" s="35">
        <f>T317-AA317-AB317</f>
        <v>-17.599999999999998</v>
      </c>
      <c r="AA317" s="29">
        <f>IF(AD317="EUR",((T317-R317)*X317)*U317+(R317*X317),(T317*X317))</f>
        <v>-3.3</v>
      </c>
      <c r="AB317" s="36">
        <f>IF(AD317="EUR",((T317-R317)*Y317)*U317+(R317*Y317),(T317*Y317))</f>
        <v>-1.1000000000000001</v>
      </c>
      <c r="AC317" s="37" t="b">
        <v>1</v>
      </c>
      <c r="AD317" s="37" t="s">
        <v>38</v>
      </c>
      <c r="AE317" s="37" t="s">
        <v>38</v>
      </c>
      <c r="AF317" s="37" t="str">
        <f t="array" ref="AF317">INDEX('Deal Info'!D:D, MATCH(A317,'Deal Info'!A:A, 0))</f>
        <v>Fix15</v>
      </c>
      <c r="AG317" s="38" t="str">
        <f t="array" ref="AG317">INDEX('Deal Info'!G:G, MATCH(A317,'Deal Info'!A:A, 0))</f>
        <v>Fix5</v>
      </c>
    </row>
    <row r="318" spans="1:33" ht="14.25" hidden="1" x14ac:dyDescent="0.2">
      <c r="A318" s="18" t="str">
        <f t="array" ref="A318">IF(G318='Room Info'!$B$1, INDEX('Room Info'!$A$2:$A2446, MATCH(B318,'Room Info'!$B$2:$B2446, 0)),IF(G318='Room Info'!$C$1, INDEX('Room Info'!$A$2:$A2446, MATCH(B318,'Room Info'!$C$2:$C2446, 0)),IF(G318='Room Info'!$D$1, INDEX('Room Info'!$A$2:$A2446, MATCH(B318,'Room Info'!$D$2:$D2446, 0)),IF(G318='Room Info'!$E$1, INDEX('Room Info'!$A$2:$A2446, MATCH(B318,'Room Info'!$E$2:$E2446, 0)),IF(G318='Room Info'!$F$1, INDEX('Room Info'!$A$2:$A2446, MATCH(B318,'Room Info'!$F$2:$F2446, 0)),IF(G318='Room Info'!$H$1, INDEX('Room Info'!$A$2:$A2446, MATCH(B318,'Room Info'!$H$2:$H2446, 0)),IF(G318='Room Info'!$G$1, INDEX('Room Info'!$A$2:$A2446, MATCH(B318,'Room Info'!$G$2:$G2446, 0)))))))))</f>
        <v>gRRRiz</v>
      </c>
      <c r="B318" s="45" t="s">
        <v>118</v>
      </c>
      <c r="C318" s="46">
        <v>44825</v>
      </c>
      <c r="D318" s="46">
        <v>44854</v>
      </c>
      <c r="E318" s="47">
        <v>44835</v>
      </c>
      <c r="F318" s="45" t="s">
        <v>34</v>
      </c>
      <c r="G318" s="45" t="s">
        <v>80</v>
      </c>
      <c r="H318" s="49" t="s">
        <v>70</v>
      </c>
      <c r="I318" s="49" t="s">
        <v>81</v>
      </c>
      <c r="J318" s="70">
        <v>100</v>
      </c>
      <c r="K318" s="71">
        <v>9330</v>
      </c>
      <c r="L318" s="52">
        <v>-41700</v>
      </c>
      <c r="M318" s="53">
        <v>51085</v>
      </c>
      <c r="N318" s="28">
        <f>K318*J318</f>
        <v>933000</v>
      </c>
      <c r="O318" s="54">
        <v>146059</v>
      </c>
      <c r="P318" s="29">
        <v>15.65476956</v>
      </c>
      <c r="Q318" s="55"/>
      <c r="R318" s="31">
        <f>M318+Q318</f>
        <v>51085</v>
      </c>
      <c r="S318" s="56">
        <v>-26294</v>
      </c>
      <c r="T318" s="32">
        <f>R318+S318+IF(F318="Without EV deal",L318,0)</f>
        <v>24791</v>
      </c>
      <c r="U318" s="57">
        <v>1</v>
      </c>
      <c r="V318" s="58"/>
      <c r="W318" s="58"/>
      <c r="X318" s="30">
        <f>IF(AF318="DoEV",IF(AND(V318&lt;20,W318&lt;55),0.3,0)+IF(AND(V318&lt;20,W318&gt;=55,W318&lt;105),0.23,0)+IF(AND(V318&lt;20,W318&gt;=105),0.17,0)+IF(AND(V318&gt;=20,V318&lt;40,W318&lt;45),0.3,0)+IF(AND(V318&gt;=20,V318&lt;40,W318&gt;=45,W318&lt;95),0.23,0)+IF(AND(V318&gt;=20,V318&lt;40,W318&gt;=95),0.17,0)+IF(AND(V318&gt;=40,V318&lt;75,W318&lt;35),0.3,0)+IF(AND(V318&gt;=40,V318&lt;75,W318&gt;=35,W318&lt;75),0.23,0)+IF(AND(V318&gt;=40,V318&lt;75,W318&gt;=75,W318&lt;120),0.17,0)+IF(AND(V318&gt;=40,V318&lt;75,W318&gt;=120),0.12,0)+IF(AND(V318&gt;=75,V318&lt;175,W318&lt;35),0.3,0)+IF(AND(V318&gt;=75,V318&lt;=175,W318&gt;=35,W318&lt;65),0.23,0)+IF(AND(V318&gt;=75,V318&lt;=175,W318&gt;=65,W318&lt;110),0.17,0)+IF(AND(V318&gt;=75,V318&lt;=175,W318&gt;=110),0.12,0)+IF(AND(V318&gt;175,W318&lt;25),0.3,0)+IF(AND(V318&gt;175,W318&gt;=25,W318&lt;55),0.23,0)+IF(AND(V318&gt;175,W318&gt;=55,W318&lt;95),0.17,0)+IF(AND(V318&gt;175,W318&gt;=95),0.12,0),
IF(AF318="Fix15",0.15,
IF(AF318="Fix11.25",0.1125,
IF(AF318="Fix10",0.1,
IF(AF318="Fix9",0.09,
IF(AF318="DoEV2017",IF(AND(W318&lt;74),0.2,0)+IF(AND(W318&gt;=74),0.17,0),
IF(AF318="SF",IF(AND(V318&lt;20,W318&lt;89),0.3,0)+IF(AND(V318&lt;20,W318&gt;=89),0.25,0)+IF(AND(V318&gt;=20,V318&lt;40,W318&lt;74),0.3,0)+IF(AND(V318&gt;=20,V318&lt;40,W318&gt;=75),0.22,0)+IF(AND(V318&gt;=40,V318&lt;75,W318&lt;75),0.26,0)+IF(AND(V318&gt;=40,V318&lt;75,W318&gt;=75),0.22,0)+IF(V318&gt;=75,0.22,0),
IF(AF318="DoEVold",IF(AND(V318&lt;40,W318&lt;35),0.35,0)+IF(AND(V318&lt;40,W318&gt;=35,W318&lt;75),0.25,0)+IF(AND(V318&lt;40,W318&gt;=75),0.17,0)+IF(AND(V318&gt;=40,V318&lt;75,W318&lt;25),0.35,0)+IF(AND(V318&gt;=40,V318&lt;75,W318&gt;=25,W318&lt;65),0.25,0)+IF(AND(V318&gt;=40,V318&lt;75,W318&gt;=65,W318&lt;100),0.17,0)+IF(AND(V318&gt;=40,V318&lt;75,W318&gt;=100),0.1,0)+IF(AND(V318&gt;=75,W318&lt;25),0.35,0)+IF(AND(V318&gt;=75,W318&gt;=25,W318&lt;60),0.25,0)+IF(AND(V318&gt;=75,W318&gt;=60,W318&lt;95),0.17,0)+IF(AND(V318&gt;=75,W318&gt;=95),0.1,0),
IF(AF318="DoEVold15",IF(AND(V318&lt;=40,W318&lt;35),0.35,0)+IF(AND(V318&lt;=40,W318&gt;=35,W318&lt;75),0.25,0)+IF(AND(V318&lt;=40,W318&gt;=75,W318&lt;120),0.17,0)+IF(AND(V318&lt;=40,W318&gt;=120),0.15,0)+IF(AND(V318&gt;40,V318&lt;75,W318&lt;25),0.35,0)+IF(AND(V318&gt;=40,V318&lt;75,W318&gt;=25,W318&lt;65),0.25,0)+IF(AND(V318&gt;=40,V318&lt;75,W318&gt;=65,W318&lt;100),0.17,0)+IF(AND(V318&gt;=40,V318&lt;75,W318&gt;=100),0.1,0)+IF(AND(V318&gt;=75,W318&lt;25),0.35,0)+IF(AND(V318&gt;=75,W318&gt;=25,W318&lt;60),0.25,0)+IF(AND(V318&gt;=75,W318&gt;=60,W318&lt;95),0.17,0)+IF(AND(V318&gt;=75,W318&gt;=95),0.1,0),
IF(AF318="DoEVba",IF(AND(V318&lt;20,W318&lt;105),0.2,0)+IF(AND(V318&lt;20,W318&gt;=105),0.15,0)+IF(AND(V318&gt;=20,V318&lt;40,W318&lt;95),0.2,0)+IF(AND(V318&gt;=20,V318&lt;40,W318&gt;=95,W318&lt;150),0.15,0)+IF(AND(V318&gt;=20,V318&lt;40,W318&gt;=150),0.12,0)+IF(AND(V318&gt;=40,V318&lt;75,W318&lt;75),0.2,0)+IF(AND(V318&gt;=40,V318&lt;75,W318&gt;=75,W318&lt;120),0.15,0)+IF(AND(V318&gt;=40,V318&lt;75,W318&gt;=120),0.12,0)+IF(AND(V318&gt;=75,V318&lt;175,W318&lt;65),0.2,0)+IF(AND(V318&gt;=75,V318&lt;175,W318&gt;=65,W318&lt;110),0.15,0)+IF(AND(V318&gt;=75,V318&lt;175,W318&gt;=110),0.12,0)+IF(AND(V318&gt;=175,W318&lt;55),0.2,0)+IF(AND(V318&gt;=175,W318&gt;=55,W318&lt;95),0.15,0)+IF(AND(V318&gt;=175,W318&gt;=95),0.12,0),
IF(AF318="DoEVku",IF(AND(V318&lt;20,W318&lt;55),0.23,0)+IF(AND(V318&lt;20,W318&gt;=55,W318&lt;105),0.2,0)+IF(AND(V318&lt;20,W318&gt;=105),0.17,0)+IF(AND(V318&gt;=20,V318&lt;40,W318&lt;45),0.23,0)+IF(AND(V318&gt;=20,V318&lt;40,W318&gt;=45,W318&lt;95),0.2,0)+IF(AND(V318&gt;=20,V318&lt;40,W318&gt;=95,W318&lt;=150),0.17,0)+IF(AND(V318&gt;=20,V318&lt;40,W318&gt;=150),0.12,0)+IF(AND(V318&gt;=40,V318&lt;75,W318&lt;35),0.23,0)+IF(AND(V318&gt;=40,V318&lt;75,W318&gt;=35,W318&lt;75),0.2,0)+IF(AND(V318&gt;=40,V318&lt;75,W318&gt;=75,W318&lt;120),0.17,0)+IF(AND(V318&gt;=40,V318&lt;75,W318&gt;=120),0.12,0)+IF(AND(V318&gt;=75,V318&lt;175,W318&lt;35),0.23,0)+IF(AND(V318&gt;=75,V318&lt;=175,W318&gt;=35,W318&lt;65),0.2,0)+IF(AND(V318&gt;=75,V318&lt;=175,W318&gt;=65,W318&lt;110),0.17,0)+IF(AND(V318&gt;=75,V318&lt;=175,W318&gt;=110),0.12,0)+IF(AND(V318&gt;175,W318&lt;25),0.23,0)+IF(AND(V318&gt;175,W318&gt;=25,W318&lt;55),0.2,0)+IF(AND(V318&gt;175,W318&gt;=55,W318&lt;95),0.17,0)+IF(AND(V318&gt;175,W318&gt;=95),0.12,0),
IF(AF318="DoEVs1",IF(AND(V318&lt;20,W318&lt;55),0.3,0)+IF(AND(V318&lt;20,W318&gt;=55,W318&lt;105),0.23,0)+IF(AND(V318&lt;20,W318&gt;=105),0.17,0)+IF(AND(V318&gt;=20,V318&lt;40,W318&lt;45),0.3,0)+IF(AND(V318&gt;=20,V318&lt;40,W318&gt;=45,W318&lt;95),0.23,0)+IF(AND(V318&gt;=20,V318&lt;40,W318&gt;=95,W318&lt;=150),0.17,0)+IF(AND(V318&gt;=20,V318&lt;40,W318&gt;=150),0.12,0)+IF(AND(V318&gt;=40,V318&lt;75,W318&lt;35),0.3,0)+IF(AND(V318&gt;=40,V318&lt;75,W318&gt;=35,W318&lt;75),0.23,0)+IF(AND(V318&gt;=40,V318&lt;75,W318&gt;=75,W318&lt;120),0.17,0)+IF(AND(V318&gt;=40,V318&lt;75,W318&gt;=120),0.12,0)+IF(AND(V318&gt;=75,V318&lt;175,W318&lt;35),0.3,0)+IF(AND(V318&gt;=75,V318&lt;=175,W318&gt;=35,W318&lt;65),0.23,0)+IF(AND(V318&gt;=75,V318&lt;=175,W318&gt;=65,W318&lt;110),0.17,0)+IF(AND(V318&gt;=75,V318&lt;=175,W318&gt;=110),0.12,0)+IF(AND(V318&gt;175,W318&lt;25),0.3,0)+IF(AND(V318&gt;175,W318&gt;=25,W318&lt;55),0.23,0)+IF(AND(V318&gt;175,W318&gt;=55,W318&lt;95),0.17,0)+IF(AND(V318&gt;175,W318&gt;=95),0.12,0),
IF(AF318="DoEVsu",IF(AND(V318&lt;20,W318&lt;55),0.3,0)+IF(AND(V318&lt;20,W318&gt;=55,W318&lt;105),0.23,0)+IF(AND(V318&lt;20,W318&gt;=105),0.17,0)+IF(AND(V318&gt;=20,V318&lt;40,W318&lt;45),0.3,0)+IF(AND(V318&gt;=20,V318&lt;40,W318&gt;=45,W318&lt;95),0.23,0)+IF(AND(V318&gt;=20,V318&lt;40,W318&gt;=95,W318&lt;=250),0.17,0)+IF(AND(V318&gt;=20,V318&lt;40,W318&gt;=250),0.12,0)+IF(AND(V318&gt;=40,V318&lt;75,W318&lt;35),0.3,0)+IF(AND(V318&gt;=40,V318&lt;75,W318&gt;=35,W318&lt;75),0.23,0)+IF(AND(V318&gt;=40,V318&lt;75,W318&gt;=75,W318&lt;120),0.17,0)+IF(AND(V318&gt;=40,V318&lt;75,W318&gt;=120),0.12,0)+IF(AND(V318&gt;=75,V318&lt;175,W318&lt;35),0.3,0)+IF(AND(V318&gt;=75,V318&lt;=175,W318&gt;=35,W318&lt;65),0.23,0)+IF(AND(V318&gt;=75,V318&lt;=175,W318&gt;=65,W318&lt;110),0.17,0)+IF(AND(V318&gt;=75,V318&lt;=175,W318&gt;=110),0.12,0)+IF(AND(V318&gt;175,W318&lt;25),0.3,0)+IF(AND(V318&gt;175,W318&gt;=25,W318&lt;55),0.23,0)+IF(AND(V318&gt;175,W318&gt;=55,W318&lt;95),0.17,0)+IF(AND(V318&gt;175,W318&gt;=95),0.12,0),
IF(AF318="DoEVni",IF(AND(V318&lt;20,W318&lt;55),0.3,0)+IF(AND(V318&lt;20,W318&gt;=55,W318&lt;105),0.23,0)+IF(AND(V318&lt;20,W318&gt;=105),0.17,0)+IF(AND(V318&gt;=20,V318&lt;40,W318&lt;45),0.3,0)+IF(AND(V318&gt;=20,V318&lt;40,W318&gt;=45,W318&lt;95),0.23,0)+IF(AND(V318&gt;=20,V318&lt;40,W318&gt;=95,W318&lt;=200),0.17,0)+IF(AND(V318&gt;=20,V318&lt;40,W318&gt;=200),0.12,0)+IF(AND(V318&gt;=40,V318&lt;75,W318&lt;35),0.3,0)+IF(AND(V318&gt;=40,V318&lt;75,W318&gt;=35,W318&lt;75),0.23,0)+IF(AND(V318&gt;=40,V318&lt;75,W318&gt;=75,W318&lt;120),0.17,0)+IF(AND(V318&gt;=40,V318&lt;75,W318&gt;=120),0.12,0)+IF(AND(V318&gt;=75,V318&lt;175,W318&lt;35),0.3,0)+IF(AND(V318&gt;=75,V318&lt;=175,W318&gt;=35,W318&lt;65),0.23,0)+IF(AND(V318&gt;=75,V318&lt;=175,W318&gt;=65,W318&lt;110),0.17,0)+IF(AND(V318&gt;=75,V318&lt;=175,W318&gt;=110),0.12,0)+IF(AND(V318&gt;175,W318&lt;25),0.3,0)+IF(AND(V318&gt;175,W318&gt;=25,W318&lt;55),0.23,0)+IF(AND(V318&gt;175,W318&gt;=55,W318&lt;95),0.17,0)+IF(AND(V318&gt;175,W318&gt;=95),0.12,0),
IF(AF318="DoEVLo",IF(AND(V318&lt;20,W318&lt;55),0.25,0)+IF(AND(V318&lt;20,W318&gt;=55,W318&lt;105),0.2,0)+IF(AND(V318&lt;20,W318&gt;=105),0.15,0)+IF(AND(V318&gt;=20,V318&lt;40,W318&lt;45),0.25,0)+IF(AND(V318&gt;=20,V318&lt;40,W318&gt;=45,W318&lt;95),0.2,0)+IF(AND(V318&gt;=20,V318&lt;40,W318&gt;=95),0.15,0)+IF(AND(V318&gt;=40,V318&lt;75,W318&lt;35),0.25,0)+IF(AND(V318&gt;=40,V318&lt;75,W318&gt;=35,W318&lt;75),0.2,0)+IF(AND(V318&gt;=40,V318&lt;75,W318&gt;=75,W318&lt;120),0.15,0)+IF(AND(V318&gt;=40,V318&lt;75,W318&gt;=120),0.1,0)+IF(AND(V318&gt;=75,V318&lt;175,W318&lt;35),0.25,0)+IF(AND(V318&gt;=75,V318&lt;=175,W318&gt;=35,W318&lt;65),0.2,0)+IF(AND(V318&gt;=75,V318&lt;=175,W318&gt;=65,W318&lt;110),0.15,0)+IF(AND(V318&gt;=75,V318&lt;=175,W318&gt;=110),0.1,0)+IF(AND(V318&gt;175,W318&lt;25),0.25,0)+IF(AND(V318&gt;175,W318&gt;=25,W318&lt;55),0.2,0)+IF(AND(V318&gt;175,W318&gt;=55,W318&lt;95),0.15,0)+IF(AND(V318&gt;175,W318&gt;=95),0.1,0))))))))))))))))</f>
        <v>0.15</v>
      </c>
      <c r="Y318" s="30">
        <f>IF(AG318="None",0,IF(AG318="Fix5",0.05,IF(AG318="Fix3.75",0.0375,IF(AG318="Fix10",0.1,IF(AG318="Fix3",0.03,0)))))</f>
        <v>0.05</v>
      </c>
      <c r="Z318" s="35">
        <f>T318-AA318-AB318</f>
        <v>19832.8</v>
      </c>
      <c r="AA318" s="29">
        <f>IF(AD318="EUR",((T318-R318)*X318)*U318+(R318*X318),(T318*X318))</f>
        <v>3718.6499999999996</v>
      </c>
      <c r="AB318" s="36">
        <f>IF(AD318="EUR",((T318-R318)*Y318)*U318+(R318*Y318),(T318*Y318))</f>
        <v>1239.5500000000002</v>
      </c>
      <c r="AC318" s="37" t="b">
        <v>1</v>
      </c>
      <c r="AD318" s="37" t="s">
        <v>38</v>
      </c>
      <c r="AE318" s="37" t="s">
        <v>38</v>
      </c>
      <c r="AF318" s="37" t="str">
        <f t="array" ref="AF318">INDEX('Deal Info'!D:D, MATCH(A318,'Deal Info'!A:A, 0))</f>
        <v>Fix15</v>
      </c>
      <c r="AG318" s="38" t="str">
        <f t="array" ref="AG318">INDEX('Deal Info'!G:G, MATCH(A318,'Deal Info'!A:A, 0))</f>
        <v>Fix5</v>
      </c>
    </row>
    <row r="319" spans="1:33" ht="14.25" hidden="1" x14ac:dyDescent="0.2">
      <c r="A319" s="18" t="str">
        <f t="array" ref="A319">IF(G319='Room Info'!$B$1, INDEX('Room Info'!$A$2:$A2446, MATCH(B319,'Room Info'!$B$2:$B2446, 0)),IF(G319='Room Info'!$C$1, INDEX('Room Info'!$A$2:$A2446, MATCH(B319,'Room Info'!$C$2:$C2446, 0)),IF(G319='Room Info'!$D$1, INDEX('Room Info'!$A$2:$A2446, MATCH(B319,'Room Info'!$D$2:$D2446, 0)),IF(G319='Room Info'!$E$1, INDEX('Room Info'!$A$2:$A2446, MATCH(B319,'Room Info'!$E$2:$E2446, 0)),IF(G319='Room Info'!$F$1, INDEX('Room Info'!$A$2:$A2446, MATCH(B319,'Room Info'!$F$2:$F2446, 0)),IF(G319='Room Info'!$H$1, INDEX('Room Info'!$A$2:$A2446, MATCH(B319,'Room Info'!$H$2:$H2446, 0)),IF(G319='Room Info'!$G$1, INDEX('Room Info'!$A$2:$A2446, MATCH(B319,'Room Info'!$G$2:$G2446, 0)))))))))</f>
        <v>gRRRiz</v>
      </c>
      <c r="B319" s="45" t="s">
        <v>118</v>
      </c>
      <c r="C319" s="46">
        <v>44855</v>
      </c>
      <c r="D319" s="46">
        <v>44885</v>
      </c>
      <c r="E319" s="47">
        <v>44866</v>
      </c>
      <c r="F319" s="45" t="s">
        <v>34</v>
      </c>
      <c r="G319" s="45" t="s">
        <v>80</v>
      </c>
      <c r="H319" s="49" t="s">
        <v>70</v>
      </c>
      <c r="I319" s="49" t="s">
        <v>81</v>
      </c>
      <c r="J319" s="70">
        <v>100</v>
      </c>
      <c r="K319" s="71">
        <v>1</v>
      </c>
      <c r="L319" s="52">
        <v>0</v>
      </c>
      <c r="M319" s="53">
        <v>0</v>
      </c>
      <c r="N319" s="28">
        <f>K319*J319</f>
        <v>100</v>
      </c>
      <c r="O319" s="54">
        <v>0</v>
      </c>
      <c r="P319" s="29">
        <v>0</v>
      </c>
      <c r="Q319" s="55"/>
      <c r="R319" s="31">
        <f>M319+Q319</f>
        <v>0</v>
      </c>
      <c r="S319" s="56">
        <v>-7</v>
      </c>
      <c r="T319" s="32">
        <f>R319+S319+IF(F319="Without EV deal",L319,0)</f>
        <v>-7</v>
      </c>
      <c r="U319" s="57">
        <v>1</v>
      </c>
      <c r="V319" s="58"/>
      <c r="W319" s="58"/>
      <c r="X319" s="30">
        <f>IF(AF319="DoEV",IF(AND(V319&lt;20,W319&lt;55),0.3,0)+IF(AND(V319&lt;20,W319&gt;=55,W319&lt;105),0.23,0)+IF(AND(V319&lt;20,W319&gt;=105),0.17,0)+IF(AND(V319&gt;=20,V319&lt;40,W319&lt;45),0.3,0)+IF(AND(V319&gt;=20,V319&lt;40,W319&gt;=45,W319&lt;95),0.23,0)+IF(AND(V319&gt;=20,V319&lt;40,W319&gt;=95),0.17,0)+IF(AND(V319&gt;=40,V319&lt;75,W319&lt;35),0.3,0)+IF(AND(V319&gt;=40,V319&lt;75,W319&gt;=35,W319&lt;75),0.23,0)+IF(AND(V319&gt;=40,V319&lt;75,W319&gt;=75,W319&lt;120),0.17,0)+IF(AND(V319&gt;=40,V319&lt;75,W319&gt;=120),0.12,0)+IF(AND(V319&gt;=75,V319&lt;175,W319&lt;35),0.3,0)+IF(AND(V319&gt;=75,V319&lt;=175,W319&gt;=35,W319&lt;65),0.23,0)+IF(AND(V319&gt;=75,V319&lt;=175,W319&gt;=65,W319&lt;110),0.17,0)+IF(AND(V319&gt;=75,V319&lt;=175,W319&gt;=110),0.12,0)+IF(AND(V319&gt;175,W319&lt;25),0.3,0)+IF(AND(V319&gt;175,W319&gt;=25,W319&lt;55),0.23,0)+IF(AND(V319&gt;175,W319&gt;=55,W319&lt;95),0.17,0)+IF(AND(V319&gt;175,W319&gt;=95),0.12,0),
IF(AF319="Fix15",0.15,
IF(AF319="Fix11.25",0.1125,
IF(AF319="Fix10",0.1,
IF(AF319="Fix9",0.09,
IF(AF319="DoEV2017",IF(AND(W319&lt;74),0.2,0)+IF(AND(W319&gt;=74),0.17,0),
IF(AF319="SF",IF(AND(V319&lt;20,W319&lt;89),0.3,0)+IF(AND(V319&lt;20,W319&gt;=89),0.25,0)+IF(AND(V319&gt;=20,V319&lt;40,W319&lt;74),0.3,0)+IF(AND(V319&gt;=20,V319&lt;40,W319&gt;=75),0.22,0)+IF(AND(V319&gt;=40,V319&lt;75,W319&lt;75),0.26,0)+IF(AND(V319&gt;=40,V319&lt;75,W319&gt;=75),0.22,0)+IF(V319&gt;=75,0.22,0),
IF(AF319="DoEVold",IF(AND(V319&lt;40,W319&lt;35),0.35,0)+IF(AND(V319&lt;40,W319&gt;=35,W319&lt;75),0.25,0)+IF(AND(V319&lt;40,W319&gt;=75),0.17,0)+IF(AND(V319&gt;=40,V319&lt;75,W319&lt;25),0.35,0)+IF(AND(V319&gt;=40,V319&lt;75,W319&gt;=25,W319&lt;65),0.25,0)+IF(AND(V319&gt;=40,V319&lt;75,W319&gt;=65,W319&lt;100),0.17,0)+IF(AND(V319&gt;=40,V319&lt;75,W319&gt;=100),0.1,0)+IF(AND(V319&gt;=75,W319&lt;25),0.35,0)+IF(AND(V319&gt;=75,W319&gt;=25,W319&lt;60),0.25,0)+IF(AND(V319&gt;=75,W319&gt;=60,W319&lt;95),0.17,0)+IF(AND(V319&gt;=75,W319&gt;=95),0.1,0),
IF(AF319="DoEVold15",IF(AND(V319&lt;=40,W319&lt;35),0.35,0)+IF(AND(V319&lt;=40,W319&gt;=35,W319&lt;75),0.25,0)+IF(AND(V319&lt;=40,W319&gt;=75,W319&lt;120),0.17,0)+IF(AND(V319&lt;=40,W319&gt;=120),0.15,0)+IF(AND(V319&gt;40,V319&lt;75,W319&lt;25),0.35,0)+IF(AND(V319&gt;=40,V319&lt;75,W319&gt;=25,W319&lt;65),0.25,0)+IF(AND(V319&gt;=40,V319&lt;75,W319&gt;=65,W319&lt;100),0.17,0)+IF(AND(V319&gt;=40,V319&lt;75,W319&gt;=100),0.1,0)+IF(AND(V319&gt;=75,W319&lt;25),0.35,0)+IF(AND(V319&gt;=75,W319&gt;=25,W319&lt;60),0.25,0)+IF(AND(V319&gt;=75,W319&gt;=60,W319&lt;95),0.17,0)+IF(AND(V319&gt;=75,W319&gt;=95),0.1,0),
IF(AF319="DoEVba",IF(AND(V319&lt;20,W319&lt;105),0.2,0)+IF(AND(V319&lt;20,W319&gt;=105),0.15,0)+IF(AND(V319&gt;=20,V319&lt;40,W319&lt;95),0.2,0)+IF(AND(V319&gt;=20,V319&lt;40,W319&gt;=95,W319&lt;150),0.15,0)+IF(AND(V319&gt;=20,V319&lt;40,W319&gt;=150),0.12,0)+IF(AND(V319&gt;=40,V319&lt;75,W319&lt;75),0.2,0)+IF(AND(V319&gt;=40,V319&lt;75,W319&gt;=75,W319&lt;120),0.15,0)+IF(AND(V319&gt;=40,V319&lt;75,W319&gt;=120),0.12,0)+IF(AND(V319&gt;=75,V319&lt;175,W319&lt;65),0.2,0)+IF(AND(V319&gt;=75,V319&lt;175,W319&gt;=65,W319&lt;110),0.15,0)+IF(AND(V319&gt;=75,V319&lt;175,W319&gt;=110),0.12,0)+IF(AND(V319&gt;=175,W319&lt;55),0.2,0)+IF(AND(V319&gt;=175,W319&gt;=55,W319&lt;95),0.15,0)+IF(AND(V319&gt;=175,W319&gt;=95),0.12,0),
IF(AF319="DoEVku",IF(AND(V319&lt;20,W319&lt;55),0.23,0)+IF(AND(V319&lt;20,W319&gt;=55,W319&lt;105),0.2,0)+IF(AND(V319&lt;20,W319&gt;=105),0.17,0)+IF(AND(V319&gt;=20,V319&lt;40,W319&lt;45),0.23,0)+IF(AND(V319&gt;=20,V319&lt;40,W319&gt;=45,W319&lt;95),0.2,0)+IF(AND(V319&gt;=20,V319&lt;40,W319&gt;=95,W319&lt;=150),0.17,0)+IF(AND(V319&gt;=20,V319&lt;40,W319&gt;=150),0.12,0)+IF(AND(V319&gt;=40,V319&lt;75,W319&lt;35),0.23,0)+IF(AND(V319&gt;=40,V319&lt;75,W319&gt;=35,W319&lt;75),0.2,0)+IF(AND(V319&gt;=40,V319&lt;75,W319&gt;=75,W319&lt;120),0.17,0)+IF(AND(V319&gt;=40,V319&lt;75,W319&gt;=120),0.12,0)+IF(AND(V319&gt;=75,V319&lt;175,W319&lt;35),0.23,0)+IF(AND(V319&gt;=75,V319&lt;=175,W319&gt;=35,W319&lt;65),0.2,0)+IF(AND(V319&gt;=75,V319&lt;=175,W319&gt;=65,W319&lt;110),0.17,0)+IF(AND(V319&gt;=75,V319&lt;=175,W319&gt;=110),0.12,0)+IF(AND(V319&gt;175,W319&lt;25),0.23,0)+IF(AND(V319&gt;175,W319&gt;=25,W319&lt;55),0.2,0)+IF(AND(V319&gt;175,W319&gt;=55,W319&lt;95),0.17,0)+IF(AND(V319&gt;175,W319&gt;=95),0.12,0),
IF(AF319="DoEVs1",IF(AND(V319&lt;20,W319&lt;55),0.3,0)+IF(AND(V319&lt;20,W319&gt;=55,W319&lt;105),0.23,0)+IF(AND(V319&lt;20,W319&gt;=105),0.17,0)+IF(AND(V319&gt;=20,V319&lt;40,W319&lt;45),0.3,0)+IF(AND(V319&gt;=20,V319&lt;40,W319&gt;=45,W319&lt;95),0.23,0)+IF(AND(V319&gt;=20,V319&lt;40,W319&gt;=95,W319&lt;=150),0.17,0)+IF(AND(V319&gt;=20,V319&lt;40,W319&gt;=150),0.12,0)+IF(AND(V319&gt;=40,V319&lt;75,W319&lt;35),0.3,0)+IF(AND(V319&gt;=40,V319&lt;75,W319&gt;=35,W319&lt;75),0.23,0)+IF(AND(V319&gt;=40,V319&lt;75,W319&gt;=75,W319&lt;120),0.17,0)+IF(AND(V319&gt;=40,V319&lt;75,W319&gt;=120),0.12,0)+IF(AND(V319&gt;=75,V319&lt;175,W319&lt;35),0.3,0)+IF(AND(V319&gt;=75,V319&lt;=175,W319&gt;=35,W319&lt;65),0.23,0)+IF(AND(V319&gt;=75,V319&lt;=175,W319&gt;=65,W319&lt;110),0.17,0)+IF(AND(V319&gt;=75,V319&lt;=175,W319&gt;=110),0.12,0)+IF(AND(V319&gt;175,W319&lt;25),0.3,0)+IF(AND(V319&gt;175,W319&gt;=25,W319&lt;55),0.23,0)+IF(AND(V319&gt;175,W319&gt;=55,W319&lt;95),0.17,0)+IF(AND(V319&gt;175,W319&gt;=95),0.12,0),
IF(AF319="DoEVsu",IF(AND(V319&lt;20,W319&lt;55),0.3,0)+IF(AND(V319&lt;20,W319&gt;=55,W319&lt;105),0.23,0)+IF(AND(V319&lt;20,W319&gt;=105),0.17,0)+IF(AND(V319&gt;=20,V319&lt;40,W319&lt;45),0.3,0)+IF(AND(V319&gt;=20,V319&lt;40,W319&gt;=45,W319&lt;95),0.23,0)+IF(AND(V319&gt;=20,V319&lt;40,W319&gt;=95,W319&lt;=250),0.17,0)+IF(AND(V319&gt;=20,V319&lt;40,W319&gt;=250),0.12,0)+IF(AND(V319&gt;=40,V319&lt;75,W319&lt;35),0.3,0)+IF(AND(V319&gt;=40,V319&lt;75,W319&gt;=35,W319&lt;75),0.23,0)+IF(AND(V319&gt;=40,V319&lt;75,W319&gt;=75,W319&lt;120),0.17,0)+IF(AND(V319&gt;=40,V319&lt;75,W319&gt;=120),0.12,0)+IF(AND(V319&gt;=75,V319&lt;175,W319&lt;35),0.3,0)+IF(AND(V319&gt;=75,V319&lt;=175,W319&gt;=35,W319&lt;65),0.23,0)+IF(AND(V319&gt;=75,V319&lt;=175,W319&gt;=65,W319&lt;110),0.17,0)+IF(AND(V319&gt;=75,V319&lt;=175,W319&gt;=110),0.12,0)+IF(AND(V319&gt;175,W319&lt;25),0.3,0)+IF(AND(V319&gt;175,W319&gt;=25,W319&lt;55),0.23,0)+IF(AND(V319&gt;175,W319&gt;=55,W319&lt;95),0.17,0)+IF(AND(V319&gt;175,W319&gt;=95),0.12,0),
IF(AF319="DoEVni",IF(AND(V319&lt;20,W319&lt;55),0.3,0)+IF(AND(V319&lt;20,W319&gt;=55,W319&lt;105),0.23,0)+IF(AND(V319&lt;20,W319&gt;=105),0.17,0)+IF(AND(V319&gt;=20,V319&lt;40,W319&lt;45),0.3,0)+IF(AND(V319&gt;=20,V319&lt;40,W319&gt;=45,W319&lt;95),0.23,0)+IF(AND(V319&gt;=20,V319&lt;40,W319&gt;=95,W319&lt;=200),0.17,0)+IF(AND(V319&gt;=20,V319&lt;40,W319&gt;=200),0.12,0)+IF(AND(V319&gt;=40,V319&lt;75,W319&lt;35),0.3,0)+IF(AND(V319&gt;=40,V319&lt;75,W319&gt;=35,W319&lt;75),0.23,0)+IF(AND(V319&gt;=40,V319&lt;75,W319&gt;=75,W319&lt;120),0.17,0)+IF(AND(V319&gt;=40,V319&lt;75,W319&gt;=120),0.12,0)+IF(AND(V319&gt;=75,V319&lt;175,W319&lt;35),0.3,0)+IF(AND(V319&gt;=75,V319&lt;=175,W319&gt;=35,W319&lt;65),0.23,0)+IF(AND(V319&gt;=75,V319&lt;=175,W319&gt;=65,W319&lt;110),0.17,0)+IF(AND(V319&gt;=75,V319&lt;=175,W319&gt;=110),0.12,0)+IF(AND(V319&gt;175,W319&lt;25),0.3,0)+IF(AND(V319&gt;175,W319&gt;=25,W319&lt;55),0.23,0)+IF(AND(V319&gt;175,W319&gt;=55,W319&lt;95),0.17,0)+IF(AND(V319&gt;175,W319&gt;=95),0.12,0),
IF(AF319="DoEVLo",IF(AND(V319&lt;20,W319&lt;55),0.25,0)+IF(AND(V319&lt;20,W319&gt;=55,W319&lt;105),0.2,0)+IF(AND(V319&lt;20,W319&gt;=105),0.15,0)+IF(AND(V319&gt;=20,V319&lt;40,W319&lt;45),0.25,0)+IF(AND(V319&gt;=20,V319&lt;40,W319&gt;=45,W319&lt;95),0.2,0)+IF(AND(V319&gt;=20,V319&lt;40,W319&gt;=95),0.15,0)+IF(AND(V319&gt;=40,V319&lt;75,W319&lt;35),0.25,0)+IF(AND(V319&gt;=40,V319&lt;75,W319&gt;=35,W319&lt;75),0.2,0)+IF(AND(V319&gt;=40,V319&lt;75,W319&gt;=75,W319&lt;120),0.15,0)+IF(AND(V319&gt;=40,V319&lt;75,W319&gt;=120),0.1,0)+IF(AND(V319&gt;=75,V319&lt;175,W319&lt;35),0.25,0)+IF(AND(V319&gt;=75,V319&lt;=175,W319&gt;=35,W319&lt;65),0.2,0)+IF(AND(V319&gt;=75,V319&lt;=175,W319&gt;=65,W319&lt;110),0.15,0)+IF(AND(V319&gt;=75,V319&lt;=175,W319&gt;=110),0.1,0)+IF(AND(V319&gt;175,W319&lt;25),0.25,0)+IF(AND(V319&gt;175,W319&gt;=25,W319&lt;55),0.2,0)+IF(AND(V319&gt;175,W319&gt;=55,W319&lt;95),0.15,0)+IF(AND(V319&gt;175,W319&gt;=95),0.1,0))))))))))))))))</f>
        <v>0.15</v>
      </c>
      <c r="Y319" s="30">
        <f>IF(AG319="None",0,IF(AG319="Fix5",0.05,IF(AG319="Fix3.75",0.0375,IF(AG319="Fix10",0.1,IF(AG319="Fix3",0.03,0)))))</f>
        <v>0.05</v>
      </c>
      <c r="Z319" s="35">
        <f>T319-AA319-AB319</f>
        <v>-5.6000000000000005</v>
      </c>
      <c r="AA319" s="29">
        <f>IF(AD319="EUR",((T319-R319)*X319)*U319+(R319*X319),(T319*X319))</f>
        <v>-1.05</v>
      </c>
      <c r="AB319" s="36">
        <f>IF(AD319="EUR",((T319-R319)*Y319)*U319+(R319*Y319),(T319*Y319))</f>
        <v>-0.35000000000000003</v>
      </c>
      <c r="AC319" s="37" t="b">
        <v>1</v>
      </c>
      <c r="AD319" s="37" t="s">
        <v>38</v>
      </c>
      <c r="AE319" s="37" t="s">
        <v>38</v>
      </c>
      <c r="AF319" s="37" t="str">
        <f t="array" ref="AF319">INDEX('Deal Info'!D:D, MATCH(A319,'Deal Info'!A:A, 0))</f>
        <v>Fix15</v>
      </c>
      <c r="AG319" s="38" t="str">
        <f t="array" ref="AG319">INDEX('Deal Info'!G:G, MATCH(A319,'Deal Info'!A:A, 0))</f>
        <v>Fix5</v>
      </c>
    </row>
    <row r="320" spans="1:33" ht="14.25" hidden="1" x14ac:dyDescent="0.2">
      <c r="A320" s="18" t="str">
        <f t="array" ref="A320">IF(G320='Room Info'!$B$1, INDEX('Room Info'!$A$2:$A2446, MATCH(B320,'Room Info'!$B$2:$B2446, 0)),IF(G320='Room Info'!$C$1, INDEX('Room Info'!$A$2:$A2446, MATCH(B320,'Room Info'!$C$2:$C2446, 0)),IF(G320='Room Info'!$D$1, INDEX('Room Info'!$A$2:$A2446, MATCH(B320,'Room Info'!$D$2:$D2446, 0)),IF(G320='Room Info'!$E$1, INDEX('Room Info'!$A$2:$A2446, MATCH(B320,'Room Info'!$E$2:$E2446, 0)),IF(G320='Room Info'!$F$1, INDEX('Room Info'!$A$2:$A2446, MATCH(B320,'Room Info'!$F$2:$F2446, 0)),IF(G320='Room Info'!$H$1, INDEX('Room Info'!$A$2:$A2446, MATCH(B320,'Room Info'!$H$2:$H2446, 0)),IF(G320='Room Info'!$G$1, INDEX('Room Info'!$A$2:$A2446, MATCH(B320,'Room Info'!$G$2:$G2446, 0)))))))))</f>
        <v>gRRRiz</v>
      </c>
      <c r="B320" s="45" t="s">
        <v>118</v>
      </c>
      <c r="C320" s="46">
        <v>44886</v>
      </c>
      <c r="D320" s="46">
        <v>44915</v>
      </c>
      <c r="E320" s="47">
        <v>44896</v>
      </c>
      <c r="F320" s="45" t="s">
        <v>34</v>
      </c>
      <c r="G320" s="45" t="s">
        <v>80</v>
      </c>
      <c r="H320" s="49" t="s">
        <v>70</v>
      </c>
      <c r="I320" s="49" t="s">
        <v>81</v>
      </c>
      <c r="J320" s="70">
        <v>100</v>
      </c>
      <c r="K320" s="71">
        <v>6886</v>
      </c>
      <c r="L320" s="52">
        <v>-45400</v>
      </c>
      <c r="M320" s="53">
        <v>36998</v>
      </c>
      <c r="N320" s="28">
        <f>K320*J320</f>
        <v>688600</v>
      </c>
      <c r="O320" s="54">
        <v>53577</v>
      </c>
      <c r="P320" s="29">
        <v>7.7805692710000001</v>
      </c>
      <c r="Q320" s="55"/>
      <c r="R320" s="31">
        <f>M320+Q320</f>
        <v>36998</v>
      </c>
      <c r="S320" s="56">
        <v>-34957</v>
      </c>
      <c r="T320" s="32">
        <f>R320+S320+IF(F320="Without EV deal",L320,0)</f>
        <v>2041</v>
      </c>
      <c r="U320" s="57">
        <v>1</v>
      </c>
      <c r="V320" s="58"/>
      <c r="W320" s="58"/>
      <c r="X320" s="30">
        <f>IF(AF320="DoEV",IF(AND(V320&lt;20,W320&lt;55),0.3,0)+IF(AND(V320&lt;20,W320&gt;=55,W320&lt;105),0.23,0)+IF(AND(V320&lt;20,W320&gt;=105),0.17,0)+IF(AND(V320&gt;=20,V320&lt;40,W320&lt;45),0.3,0)+IF(AND(V320&gt;=20,V320&lt;40,W320&gt;=45,W320&lt;95),0.23,0)+IF(AND(V320&gt;=20,V320&lt;40,W320&gt;=95),0.17,0)+IF(AND(V320&gt;=40,V320&lt;75,W320&lt;35),0.3,0)+IF(AND(V320&gt;=40,V320&lt;75,W320&gt;=35,W320&lt;75),0.23,0)+IF(AND(V320&gt;=40,V320&lt;75,W320&gt;=75,W320&lt;120),0.17,0)+IF(AND(V320&gt;=40,V320&lt;75,W320&gt;=120),0.12,0)+IF(AND(V320&gt;=75,V320&lt;175,W320&lt;35),0.3,0)+IF(AND(V320&gt;=75,V320&lt;=175,W320&gt;=35,W320&lt;65),0.23,0)+IF(AND(V320&gt;=75,V320&lt;=175,W320&gt;=65,W320&lt;110),0.17,0)+IF(AND(V320&gt;=75,V320&lt;=175,W320&gt;=110),0.12,0)+IF(AND(V320&gt;175,W320&lt;25),0.3,0)+IF(AND(V320&gt;175,W320&gt;=25,W320&lt;55),0.23,0)+IF(AND(V320&gt;175,W320&gt;=55,W320&lt;95),0.17,0)+IF(AND(V320&gt;175,W320&gt;=95),0.12,0),
IF(AF320="Fix15",0.15,
IF(AF320="Fix11.25",0.1125,
IF(AF320="Fix10",0.1,
IF(AF320="Fix9",0.09,
IF(AF320="DoEV2017",IF(AND(W320&lt;74),0.2,0)+IF(AND(W320&gt;=74),0.17,0),
IF(AF320="SF",IF(AND(V320&lt;20,W320&lt;89),0.3,0)+IF(AND(V320&lt;20,W320&gt;=89),0.25,0)+IF(AND(V320&gt;=20,V320&lt;40,W320&lt;74),0.3,0)+IF(AND(V320&gt;=20,V320&lt;40,W320&gt;=75),0.22,0)+IF(AND(V320&gt;=40,V320&lt;75,W320&lt;75),0.26,0)+IF(AND(V320&gt;=40,V320&lt;75,W320&gt;=75),0.22,0)+IF(V320&gt;=75,0.22,0),
IF(AF320="DoEVold",IF(AND(V320&lt;40,W320&lt;35),0.35,0)+IF(AND(V320&lt;40,W320&gt;=35,W320&lt;75),0.25,0)+IF(AND(V320&lt;40,W320&gt;=75),0.17,0)+IF(AND(V320&gt;=40,V320&lt;75,W320&lt;25),0.35,0)+IF(AND(V320&gt;=40,V320&lt;75,W320&gt;=25,W320&lt;65),0.25,0)+IF(AND(V320&gt;=40,V320&lt;75,W320&gt;=65,W320&lt;100),0.17,0)+IF(AND(V320&gt;=40,V320&lt;75,W320&gt;=100),0.1,0)+IF(AND(V320&gt;=75,W320&lt;25),0.35,0)+IF(AND(V320&gt;=75,W320&gt;=25,W320&lt;60),0.25,0)+IF(AND(V320&gt;=75,W320&gt;=60,W320&lt;95),0.17,0)+IF(AND(V320&gt;=75,W320&gt;=95),0.1,0),
IF(AF320="DoEVold15",IF(AND(V320&lt;=40,W320&lt;35),0.35,0)+IF(AND(V320&lt;=40,W320&gt;=35,W320&lt;75),0.25,0)+IF(AND(V320&lt;=40,W320&gt;=75,W320&lt;120),0.17,0)+IF(AND(V320&lt;=40,W320&gt;=120),0.15,0)+IF(AND(V320&gt;40,V320&lt;75,W320&lt;25),0.35,0)+IF(AND(V320&gt;=40,V320&lt;75,W320&gt;=25,W320&lt;65),0.25,0)+IF(AND(V320&gt;=40,V320&lt;75,W320&gt;=65,W320&lt;100),0.17,0)+IF(AND(V320&gt;=40,V320&lt;75,W320&gt;=100),0.1,0)+IF(AND(V320&gt;=75,W320&lt;25),0.35,0)+IF(AND(V320&gt;=75,W320&gt;=25,W320&lt;60),0.25,0)+IF(AND(V320&gt;=75,W320&gt;=60,W320&lt;95),0.17,0)+IF(AND(V320&gt;=75,W320&gt;=95),0.1,0),
IF(AF320="DoEVba",IF(AND(V320&lt;20,W320&lt;105),0.2,0)+IF(AND(V320&lt;20,W320&gt;=105),0.15,0)+IF(AND(V320&gt;=20,V320&lt;40,W320&lt;95),0.2,0)+IF(AND(V320&gt;=20,V320&lt;40,W320&gt;=95,W320&lt;150),0.15,0)+IF(AND(V320&gt;=20,V320&lt;40,W320&gt;=150),0.12,0)+IF(AND(V320&gt;=40,V320&lt;75,W320&lt;75),0.2,0)+IF(AND(V320&gt;=40,V320&lt;75,W320&gt;=75,W320&lt;120),0.15,0)+IF(AND(V320&gt;=40,V320&lt;75,W320&gt;=120),0.12,0)+IF(AND(V320&gt;=75,V320&lt;175,W320&lt;65),0.2,0)+IF(AND(V320&gt;=75,V320&lt;175,W320&gt;=65,W320&lt;110),0.15,0)+IF(AND(V320&gt;=75,V320&lt;175,W320&gt;=110),0.12,0)+IF(AND(V320&gt;=175,W320&lt;55),0.2,0)+IF(AND(V320&gt;=175,W320&gt;=55,W320&lt;95),0.15,0)+IF(AND(V320&gt;=175,W320&gt;=95),0.12,0),
IF(AF320="DoEVku",IF(AND(V320&lt;20,W320&lt;55),0.23,0)+IF(AND(V320&lt;20,W320&gt;=55,W320&lt;105),0.2,0)+IF(AND(V320&lt;20,W320&gt;=105),0.17,0)+IF(AND(V320&gt;=20,V320&lt;40,W320&lt;45),0.23,0)+IF(AND(V320&gt;=20,V320&lt;40,W320&gt;=45,W320&lt;95),0.2,0)+IF(AND(V320&gt;=20,V320&lt;40,W320&gt;=95,W320&lt;=150),0.17,0)+IF(AND(V320&gt;=20,V320&lt;40,W320&gt;=150),0.12,0)+IF(AND(V320&gt;=40,V320&lt;75,W320&lt;35),0.23,0)+IF(AND(V320&gt;=40,V320&lt;75,W320&gt;=35,W320&lt;75),0.2,0)+IF(AND(V320&gt;=40,V320&lt;75,W320&gt;=75,W320&lt;120),0.17,0)+IF(AND(V320&gt;=40,V320&lt;75,W320&gt;=120),0.12,0)+IF(AND(V320&gt;=75,V320&lt;175,W320&lt;35),0.23,0)+IF(AND(V320&gt;=75,V320&lt;=175,W320&gt;=35,W320&lt;65),0.2,0)+IF(AND(V320&gt;=75,V320&lt;=175,W320&gt;=65,W320&lt;110),0.17,0)+IF(AND(V320&gt;=75,V320&lt;=175,W320&gt;=110),0.12,0)+IF(AND(V320&gt;175,W320&lt;25),0.23,0)+IF(AND(V320&gt;175,W320&gt;=25,W320&lt;55),0.2,0)+IF(AND(V320&gt;175,W320&gt;=55,W320&lt;95),0.17,0)+IF(AND(V320&gt;175,W320&gt;=95),0.12,0),
IF(AF320="DoEVs1",IF(AND(V320&lt;20,W320&lt;55),0.3,0)+IF(AND(V320&lt;20,W320&gt;=55,W320&lt;105),0.23,0)+IF(AND(V320&lt;20,W320&gt;=105),0.17,0)+IF(AND(V320&gt;=20,V320&lt;40,W320&lt;45),0.3,0)+IF(AND(V320&gt;=20,V320&lt;40,W320&gt;=45,W320&lt;95),0.23,0)+IF(AND(V320&gt;=20,V320&lt;40,W320&gt;=95,W320&lt;=150),0.17,0)+IF(AND(V320&gt;=20,V320&lt;40,W320&gt;=150),0.12,0)+IF(AND(V320&gt;=40,V320&lt;75,W320&lt;35),0.3,0)+IF(AND(V320&gt;=40,V320&lt;75,W320&gt;=35,W320&lt;75),0.23,0)+IF(AND(V320&gt;=40,V320&lt;75,W320&gt;=75,W320&lt;120),0.17,0)+IF(AND(V320&gt;=40,V320&lt;75,W320&gt;=120),0.12,0)+IF(AND(V320&gt;=75,V320&lt;175,W320&lt;35),0.3,0)+IF(AND(V320&gt;=75,V320&lt;=175,W320&gt;=35,W320&lt;65),0.23,0)+IF(AND(V320&gt;=75,V320&lt;=175,W320&gt;=65,W320&lt;110),0.17,0)+IF(AND(V320&gt;=75,V320&lt;=175,W320&gt;=110),0.12,0)+IF(AND(V320&gt;175,W320&lt;25),0.3,0)+IF(AND(V320&gt;175,W320&gt;=25,W320&lt;55),0.23,0)+IF(AND(V320&gt;175,W320&gt;=55,W320&lt;95),0.17,0)+IF(AND(V320&gt;175,W320&gt;=95),0.12,0),
IF(AF320="DoEVsu",IF(AND(V320&lt;20,W320&lt;55),0.3,0)+IF(AND(V320&lt;20,W320&gt;=55,W320&lt;105),0.23,0)+IF(AND(V320&lt;20,W320&gt;=105),0.17,0)+IF(AND(V320&gt;=20,V320&lt;40,W320&lt;45),0.3,0)+IF(AND(V320&gt;=20,V320&lt;40,W320&gt;=45,W320&lt;95),0.23,0)+IF(AND(V320&gt;=20,V320&lt;40,W320&gt;=95,W320&lt;=250),0.17,0)+IF(AND(V320&gt;=20,V320&lt;40,W320&gt;=250),0.12,0)+IF(AND(V320&gt;=40,V320&lt;75,W320&lt;35),0.3,0)+IF(AND(V320&gt;=40,V320&lt;75,W320&gt;=35,W320&lt;75),0.23,0)+IF(AND(V320&gt;=40,V320&lt;75,W320&gt;=75,W320&lt;120),0.17,0)+IF(AND(V320&gt;=40,V320&lt;75,W320&gt;=120),0.12,0)+IF(AND(V320&gt;=75,V320&lt;175,W320&lt;35),0.3,0)+IF(AND(V320&gt;=75,V320&lt;=175,W320&gt;=35,W320&lt;65),0.23,0)+IF(AND(V320&gt;=75,V320&lt;=175,W320&gt;=65,W320&lt;110),0.17,0)+IF(AND(V320&gt;=75,V320&lt;=175,W320&gt;=110),0.12,0)+IF(AND(V320&gt;175,W320&lt;25),0.3,0)+IF(AND(V320&gt;175,W320&gt;=25,W320&lt;55),0.23,0)+IF(AND(V320&gt;175,W320&gt;=55,W320&lt;95),0.17,0)+IF(AND(V320&gt;175,W320&gt;=95),0.12,0),
IF(AF320="DoEVni",IF(AND(V320&lt;20,W320&lt;55),0.3,0)+IF(AND(V320&lt;20,W320&gt;=55,W320&lt;105),0.23,0)+IF(AND(V320&lt;20,W320&gt;=105),0.17,0)+IF(AND(V320&gt;=20,V320&lt;40,W320&lt;45),0.3,0)+IF(AND(V320&gt;=20,V320&lt;40,W320&gt;=45,W320&lt;95),0.23,0)+IF(AND(V320&gt;=20,V320&lt;40,W320&gt;=95,W320&lt;=200),0.17,0)+IF(AND(V320&gt;=20,V320&lt;40,W320&gt;=200),0.12,0)+IF(AND(V320&gt;=40,V320&lt;75,W320&lt;35),0.3,0)+IF(AND(V320&gt;=40,V320&lt;75,W320&gt;=35,W320&lt;75),0.23,0)+IF(AND(V320&gt;=40,V320&lt;75,W320&gt;=75,W320&lt;120),0.17,0)+IF(AND(V320&gt;=40,V320&lt;75,W320&gt;=120),0.12,0)+IF(AND(V320&gt;=75,V320&lt;175,W320&lt;35),0.3,0)+IF(AND(V320&gt;=75,V320&lt;=175,W320&gt;=35,W320&lt;65),0.23,0)+IF(AND(V320&gt;=75,V320&lt;=175,W320&gt;=65,W320&lt;110),0.17,0)+IF(AND(V320&gt;=75,V320&lt;=175,W320&gt;=110),0.12,0)+IF(AND(V320&gt;175,W320&lt;25),0.3,0)+IF(AND(V320&gt;175,W320&gt;=25,W320&lt;55),0.23,0)+IF(AND(V320&gt;175,W320&gt;=55,W320&lt;95),0.17,0)+IF(AND(V320&gt;175,W320&gt;=95),0.12,0),
IF(AF320="DoEVLo",IF(AND(V320&lt;20,W320&lt;55),0.25,0)+IF(AND(V320&lt;20,W320&gt;=55,W320&lt;105),0.2,0)+IF(AND(V320&lt;20,W320&gt;=105),0.15,0)+IF(AND(V320&gt;=20,V320&lt;40,W320&lt;45),0.25,0)+IF(AND(V320&gt;=20,V320&lt;40,W320&gt;=45,W320&lt;95),0.2,0)+IF(AND(V320&gt;=20,V320&lt;40,W320&gt;=95),0.15,0)+IF(AND(V320&gt;=40,V320&lt;75,W320&lt;35),0.25,0)+IF(AND(V320&gt;=40,V320&lt;75,W320&gt;=35,W320&lt;75),0.2,0)+IF(AND(V320&gt;=40,V320&lt;75,W320&gt;=75,W320&lt;120),0.15,0)+IF(AND(V320&gt;=40,V320&lt;75,W320&gt;=120),0.1,0)+IF(AND(V320&gt;=75,V320&lt;175,W320&lt;35),0.25,0)+IF(AND(V320&gt;=75,V320&lt;=175,W320&gt;=35,W320&lt;65),0.2,0)+IF(AND(V320&gt;=75,V320&lt;=175,W320&gt;=65,W320&lt;110),0.15,0)+IF(AND(V320&gt;=75,V320&lt;=175,W320&gt;=110),0.1,0)+IF(AND(V320&gt;175,W320&lt;25),0.25,0)+IF(AND(V320&gt;175,W320&gt;=25,W320&lt;55),0.2,0)+IF(AND(V320&gt;175,W320&gt;=55,W320&lt;95),0.15,0)+IF(AND(V320&gt;175,W320&gt;=95),0.1,0))))))))))))))))</f>
        <v>0.15</v>
      </c>
      <c r="Y320" s="30">
        <f>IF(AG320="None",0,IF(AG320="Fix5",0.05,IF(AG320="Fix3.75",0.0375,IF(AG320="Fix10",0.1,IF(AG320="Fix3",0.03,0)))))</f>
        <v>0.05</v>
      </c>
      <c r="Z320" s="35">
        <f>T320-AA320-AB320</f>
        <v>1632.8</v>
      </c>
      <c r="AA320" s="29">
        <f>IF(AD320="EUR",((T320-R320)*X320)*U320+(R320*X320),(T320*X320))</f>
        <v>306.14999999999998</v>
      </c>
      <c r="AB320" s="36">
        <f>IF(AD320="EUR",((T320-R320)*Y320)*U320+(R320*Y320),(T320*Y320))</f>
        <v>102.05000000000001</v>
      </c>
      <c r="AC320" s="37" t="b">
        <v>1</v>
      </c>
      <c r="AD320" s="37" t="s">
        <v>38</v>
      </c>
      <c r="AE320" s="37" t="s">
        <v>38</v>
      </c>
      <c r="AF320" s="37" t="str">
        <f t="array" ref="AF320">INDEX('Deal Info'!D:D, MATCH(A320,'Deal Info'!A:A, 0))</f>
        <v>Fix15</v>
      </c>
      <c r="AG320" s="38" t="str">
        <f t="array" ref="AG320">INDEX('Deal Info'!G:G, MATCH(A320,'Deal Info'!A:A, 0))</f>
        <v>Fix5</v>
      </c>
    </row>
    <row r="321" spans="1:33" ht="14.25" hidden="1" x14ac:dyDescent="0.2">
      <c r="A321" s="18" t="str">
        <f t="array" ref="A321">IF(G321='Room Info'!$B$1, INDEX('Room Info'!$A$2:$A2446, MATCH(B321,'Room Info'!$B$2:$B2446, 0)),IF(G321='Room Info'!$C$1, INDEX('Room Info'!$A$2:$A2446, MATCH(B321,'Room Info'!$C$2:$C2446, 0)),IF(G321='Room Info'!$D$1, INDEX('Room Info'!$A$2:$A2446, MATCH(B321,'Room Info'!$D$2:$D2446, 0)),IF(G321='Room Info'!$E$1, INDEX('Room Info'!$A$2:$A2446, MATCH(B321,'Room Info'!$E$2:$E2446, 0)),IF(G321='Room Info'!$F$1, INDEX('Room Info'!$A$2:$A2446, MATCH(B321,'Room Info'!$F$2:$F2446, 0)),IF(G321='Room Info'!$H$1, INDEX('Room Info'!$A$2:$A2446, MATCH(B321,'Room Info'!$H$2:$H2446, 0)),IF(G321='Room Info'!$G$1, INDEX('Room Info'!$A$2:$A2446, MATCH(B321,'Room Info'!$G$2:$G2446, 0)))))))))</f>
        <v>gRRRiz</v>
      </c>
      <c r="B321" s="45" t="s">
        <v>118</v>
      </c>
      <c r="C321" s="46">
        <v>44916</v>
      </c>
      <c r="D321" s="46">
        <v>44946</v>
      </c>
      <c r="E321" s="47">
        <v>44927</v>
      </c>
      <c r="F321" s="45" t="s">
        <v>34</v>
      </c>
      <c r="G321" s="45" t="s">
        <v>80</v>
      </c>
      <c r="H321" s="49" t="s">
        <v>72</v>
      </c>
      <c r="I321" s="49" t="s">
        <v>81</v>
      </c>
      <c r="J321" s="70">
        <v>50</v>
      </c>
      <c r="K321" s="71">
        <v>1</v>
      </c>
      <c r="L321" s="52">
        <v>100</v>
      </c>
      <c r="M321" s="62"/>
      <c r="N321" s="28">
        <f>K321*J321</f>
        <v>50</v>
      </c>
      <c r="O321" s="54">
        <v>257</v>
      </c>
      <c r="P321" s="29">
        <v>257</v>
      </c>
      <c r="Q321" s="55"/>
      <c r="R321" s="31">
        <f>M321+Q321</f>
        <v>0</v>
      </c>
      <c r="S321" s="56">
        <v>33</v>
      </c>
      <c r="T321" s="32">
        <f>R321+S321+IF(F321="Without EV deal",L321,0)</f>
        <v>33</v>
      </c>
      <c r="U321" s="57">
        <v>1</v>
      </c>
      <c r="V321" s="58"/>
      <c r="W321" s="58"/>
      <c r="X321" s="30">
        <f>IF(AF321="DoEV",IF(AND(V321&lt;20,W321&lt;55),0.3,0)+IF(AND(V321&lt;20,W321&gt;=55,W321&lt;105),0.23,0)+IF(AND(V321&lt;20,W321&gt;=105),0.17,0)+IF(AND(V321&gt;=20,V321&lt;40,W321&lt;45),0.3,0)+IF(AND(V321&gt;=20,V321&lt;40,W321&gt;=45,W321&lt;95),0.23,0)+IF(AND(V321&gt;=20,V321&lt;40,W321&gt;=95),0.17,0)+IF(AND(V321&gt;=40,V321&lt;75,W321&lt;35),0.3,0)+IF(AND(V321&gt;=40,V321&lt;75,W321&gt;=35,W321&lt;75),0.23,0)+IF(AND(V321&gt;=40,V321&lt;75,W321&gt;=75,W321&lt;120),0.17,0)+IF(AND(V321&gt;=40,V321&lt;75,W321&gt;=120),0.12,0)+IF(AND(V321&gt;=75,V321&lt;175,W321&lt;35),0.3,0)+IF(AND(V321&gt;=75,V321&lt;=175,W321&gt;=35,W321&lt;65),0.23,0)+IF(AND(V321&gt;=75,V321&lt;=175,W321&gt;=65,W321&lt;110),0.17,0)+IF(AND(V321&gt;=75,V321&lt;=175,W321&gt;=110),0.12,0)+IF(AND(V321&gt;175,W321&lt;25),0.3,0)+IF(AND(V321&gt;175,W321&gt;=25,W321&lt;55),0.23,0)+IF(AND(V321&gt;175,W321&gt;=55,W321&lt;95),0.17,0)+IF(AND(V321&gt;175,W321&gt;=95),0.12,0),
IF(AF321="Fix15",0.15,
IF(AF321="Fix11.25",0.1125,
IF(AF321="Fix10",0.1,
IF(AF321="Fix9",0.09,
IF(AF321="DoEV2017",IF(AND(W321&lt;74),0.2,0)+IF(AND(W321&gt;=74),0.17,0),
IF(AF321="SF",IF(AND(V321&lt;20,W321&lt;89),0.3,0)+IF(AND(V321&lt;20,W321&gt;=89),0.25,0)+IF(AND(V321&gt;=20,V321&lt;40,W321&lt;74),0.3,0)+IF(AND(V321&gt;=20,V321&lt;40,W321&gt;=75),0.22,0)+IF(AND(V321&gt;=40,V321&lt;75,W321&lt;75),0.26,0)+IF(AND(V321&gt;=40,V321&lt;75,W321&gt;=75),0.22,0)+IF(V321&gt;=75,0.22,0),
IF(AF321="DoEVold",IF(AND(V321&lt;40,W321&lt;35),0.35,0)+IF(AND(V321&lt;40,W321&gt;=35,W321&lt;75),0.25,0)+IF(AND(V321&lt;40,W321&gt;=75),0.17,0)+IF(AND(V321&gt;=40,V321&lt;75,W321&lt;25),0.35,0)+IF(AND(V321&gt;=40,V321&lt;75,W321&gt;=25,W321&lt;65),0.25,0)+IF(AND(V321&gt;=40,V321&lt;75,W321&gt;=65,W321&lt;100),0.17,0)+IF(AND(V321&gt;=40,V321&lt;75,W321&gt;=100),0.1,0)+IF(AND(V321&gt;=75,W321&lt;25),0.35,0)+IF(AND(V321&gt;=75,W321&gt;=25,W321&lt;60),0.25,0)+IF(AND(V321&gt;=75,W321&gt;=60,W321&lt;95),0.17,0)+IF(AND(V321&gt;=75,W321&gt;=95),0.1,0),
IF(AF321="DoEVold15",IF(AND(V321&lt;=40,W321&lt;35),0.35,0)+IF(AND(V321&lt;=40,W321&gt;=35,W321&lt;75),0.25,0)+IF(AND(V321&lt;=40,W321&gt;=75,W321&lt;120),0.17,0)+IF(AND(V321&lt;=40,W321&gt;=120),0.15,0)+IF(AND(V321&gt;40,V321&lt;75,W321&lt;25),0.35,0)+IF(AND(V321&gt;=40,V321&lt;75,W321&gt;=25,W321&lt;65),0.25,0)+IF(AND(V321&gt;=40,V321&lt;75,W321&gt;=65,W321&lt;100),0.17,0)+IF(AND(V321&gt;=40,V321&lt;75,W321&gt;=100),0.1,0)+IF(AND(V321&gt;=75,W321&lt;25),0.35,0)+IF(AND(V321&gt;=75,W321&gt;=25,W321&lt;60),0.25,0)+IF(AND(V321&gt;=75,W321&gt;=60,W321&lt;95),0.17,0)+IF(AND(V321&gt;=75,W321&gt;=95),0.1,0),
IF(AF321="DoEVba",IF(AND(V321&lt;20,W321&lt;105),0.2,0)+IF(AND(V321&lt;20,W321&gt;=105),0.15,0)+IF(AND(V321&gt;=20,V321&lt;40,W321&lt;95),0.2,0)+IF(AND(V321&gt;=20,V321&lt;40,W321&gt;=95,W321&lt;150),0.15,0)+IF(AND(V321&gt;=20,V321&lt;40,W321&gt;=150),0.12,0)+IF(AND(V321&gt;=40,V321&lt;75,W321&lt;75),0.2,0)+IF(AND(V321&gt;=40,V321&lt;75,W321&gt;=75,W321&lt;120),0.15,0)+IF(AND(V321&gt;=40,V321&lt;75,W321&gt;=120),0.12,0)+IF(AND(V321&gt;=75,V321&lt;175,W321&lt;65),0.2,0)+IF(AND(V321&gt;=75,V321&lt;175,W321&gt;=65,W321&lt;110),0.15,0)+IF(AND(V321&gt;=75,V321&lt;175,W321&gt;=110),0.12,0)+IF(AND(V321&gt;=175,W321&lt;55),0.2,0)+IF(AND(V321&gt;=175,W321&gt;=55,W321&lt;95),0.15,0)+IF(AND(V321&gt;=175,W321&gt;=95),0.12,0),
IF(AF321="DoEVku",IF(AND(V321&lt;20,W321&lt;55),0.23,0)+IF(AND(V321&lt;20,W321&gt;=55,W321&lt;105),0.2,0)+IF(AND(V321&lt;20,W321&gt;=105),0.17,0)+IF(AND(V321&gt;=20,V321&lt;40,W321&lt;45),0.23,0)+IF(AND(V321&gt;=20,V321&lt;40,W321&gt;=45,W321&lt;95),0.2,0)+IF(AND(V321&gt;=20,V321&lt;40,W321&gt;=95,W321&lt;=150),0.17,0)+IF(AND(V321&gt;=20,V321&lt;40,W321&gt;=150),0.12,0)+IF(AND(V321&gt;=40,V321&lt;75,W321&lt;35),0.23,0)+IF(AND(V321&gt;=40,V321&lt;75,W321&gt;=35,W321&lt;75),0.2,0)+IF(AND(V321&gt;=40,V321&lt;75,W321&gt;=75,W321&lt;120),0.17,0)+IF(AND(V321&gt;=40,V321&lt;75,W321&gt;=120),0.12,0)+IF(AND(V321&gt;=75,V321&lt;175,W321&lt;35),0.23,0)+IF(AND(V321&gt;=75,V321&lt;=175,W321&gt;=35,W321&lt;65),0.2,0)+IF(AND(V321&gt;=75,V321&lt;=175,W321&gt;=65,W321&lt;110),0.17,0)+IF(AND(V321&gt;=75,V321&lt;=175,W321&gt;=110),0.12,0)+IF(AND(V321&gt;175,W321&lt;25),0.23,0)+IF(AND(V321&gt;175,W321&gt;=25,W321&lt;55),0.2,0)+IF(AND(V321&gt;175,W321&gt;=55,W321&lt;95),0.17,0)+IF(AND(V321&gt;175,W321&gt;=95),0.12,0),
IF(AF321="DoEVs1",IF(AND(V321&lt;20,W321&lt;55),0.3,0)+IF(AND(V321&lt;20,W321&gt;=55,W321&lt;105),0.23,0)+IF(AND(V321&lt;20,W321&gt;=105),0.17,0)+IF(AND(V321&gt;=20,V321&lt;40,W321&lt;45),0.3,0)+IF(AND(V321&gt;=20,V321&lt;40,W321&gt;=45,W321&lt;95),0.23,0)+IF(AND(V321&gt;=20,V321&lt;40,W321&gt;=95,W321&lt;=150),0.17,0)+IF(AND(V321&gt;=20,V321&lt;40,W321&gt;=150),0.12,0)+IF(AND(V321&gt;=40,V321&lt;75,W321&lt;35),0.3,0)+IF(AND(V321&gt;=40,V321&lt;75,W321&gt;=35,W321&lt;75),0.23,0)+IF(AND(V321&gt;=40,V321&lt;75,W321&gt;=75,W321&lt;120),0.17,0)+IF(AND(V321&gt;=40,V321&lt;75,W321&gt;=120),0.12,0)+IF(AND(V321&gt;=75,V321&lt;175,W321&lt;35),0.3,0)+IF(AND(V321&gt;=75,V321&lt;=175,W321&gt;=35,W321&lt;65),0.23,0)+IF(AND(V321&gt;=75,V321&lt;=175,W321&gt;=65,W321&lt;110),0.17,0)+IF(AND(V321&gt;=75,V321&lt;=175,W321&gt;=110),0.12,0)+IF(AND(V321&gt;175,W321&lt;25),0.3,0)+IF(AND(V321&gt;175,W321&gt;=25,W321&lt;55),0.23,0)+IF(AND(V321&gt;175,W321&gt;=55,W321&lt;95),0.17,0)+IF(AND(V321&gt;175,W321&gt;=95),0.12,0),
IF(AF321="DoEVsu",IF(AND(V321&lt;20,W321&lt;55),0.3,0)+IF(AND(V321&lt;20,W321&gt;=55,W321&lt;105),0.23,0)+IF(AND(V321&lt;20,W321&gt;=105),0.17,0)+IF(AND(V321&gt;=20,V321&lt;40,W321&lt;45),0.3,0)+IF(AND(V321&gt;=20,V321&lt;40,W321&gt;=45,W321&lt;95),0.23,0)+IF(AND(V321&gt;=20,V321&lt;40,W321&gt;=95,W321&lt;=250),0.17,0)+IF(AND(V321&gt;=20,V321&lt;40,W321&gt;=250),0.12,0)+IF(AND(V321&gt;=40,V321&lt;75,W321&lt;35),0.3,0)+IF(AND(V321&gt;=40,V321&lt;75,W321&gt;=35,W321&lt;75),0.23,0)+IF(AND(V321&gt;=40,V321&lt;75,W321&gt;=75,W321&lt;120),0.17,0)+IF(AND(V321&gt;=40,V321&lt;75,W321&gt;=120),0.12,0)+IF(AND(V321&gt;=75,V321&lt;175,W321&lt;35),0.3,0)+IF(AND(V321&gt;=75,V321&lt;=175,W321&gt;=35,W321&lt;65),0.23,0)+IF(AND(V321&gt;=75,V321&lt;=175,W321&gt;=65,W321&lt;110),0.17,0)+IF(AND(V321&gt;=75,V321&lt;=175,W321&gt;=110),0.12,0)+IF(AND(V321&gt;175,W321&lt;25),0.3,0)+IF(AND(V321&gt;175,W321&gt;=25,W321&lt;55),0.23,0)+IF(AND(V321&gt;175,W321&gt;=55,W321&lt;95),0.17,0)+IF(AND(V321&gt;175,W321&gt;=95),0.12,0),
IF(AF321="DoEVni",IF(AND(V321&lt;20,W321&lt;55),0.3,0)+IF(AND(V321&lt;20,W321&gt;=55,W321&lt;105),0.23,0)+IF(AND(V321&lt;20,W321&gt;=105),0.17,0)+IF(AND(V321&gt;=20,V321&lt;40,W321&lt;45),0.3,0)+IF(AND(V321&gt;=20,V321&lt;40,W321&gt;=45,W321&lt;95),0.23,0)+IF(AND(V321&gt;=20,V321&lt;40,W321&gt;=95,W321&lt;=200),0.17,0)+IF(AND(V321&gt;=20,V321&lt;40,W321&gt;=200),0.12,0)+IF(AND(V321&gt;=40,V321&lt;75,W321&lt;35),0.3,0)+IF(AND(V321&gt;=40,V321&lt;75,W321&gt;=35,W321&lt;75),0.23,0)+IF(AND(V321&gt;=40,V321&lt;75,W321&gt;=75,W321&lt;120),0.17,0)+IF(AND(V321&gt;=40,V321&lt;75,W321&gt;=120),0.12,0)+IF(AND(V321&gt;=75,V321&lt;175,W321&lt;35),0.3,0)+IF(AND(V321&gt;=75,V321&lt;=175,W321&gt;=35,W321&lt;65),0.23,0)+IF(AND(V321&gt;=75,V321&lt;=175,W321&gt;=65,W321&lt;110),0.17,0)+IF(AND(V321&gt;=75,V321&lt;=175,W321&gt;=110),0.12,0)+IF(AND(V321&gt;175,W321&lt;25),0.3,0)+IF(AND(V321&gt;175,W321&gt;=25,W321&lt;55),0.23,0)+IF(AND(V321&gt;175,W321&gt;=55,W321&lt;95),0.17,0)+IF(AND(V321&gt;175,W321&gt;=95),0.12,0),
IF(AF321="DoEVLo",IF(AND(V321&lt;20,W321&lt;55),0.25,0)+IF(AND(V321&lt;20,W321&gt;=55,W321&lt;105),0.2,0)+IF(AND(V321&lt;20,W321&gt;=105),0.15,0)+IF(AND(V321&gt;=20,V321&lt;40,W321&lt;45),0.25,0)+IF(AND(V321&gt;=20,V321&lt;40,W321&gt;=45,W321&lt;95),0.2,0)+IF(AND(V321&gt;=20,V321&lt;40,W321&gt;=95),0.15,0)+IF(AND(V321&gt;=40,V321&lt;75,W321&lt;35),0.25,0)+IF(AND(V321&gt;=40,V321&lt;75,W321&gt;=35,W321&lt;75),0.2,0)+IF(AND(V321&gt;=40,V321&lt;75,W321&gt;=75,W321&lt;120),0.15,0)+IF(AND(V321&gt;=40,V321&lt;75,W321&gt;=120),0.1,0)+IF(AND(V321&gt;=75,V321&lt;175,W321&lt;35),0.25,0)+IF(AND(V321&gt;=75,V321&lt;=175,W321&gt;=35,W321&lt;65),0.2,0)+IF(AND(V321&gt;=75,V321&lt;=175,W321&gt;=65,W321&lt;110),0.15,0)+IF(AND(V321&gt;=75,V321&lt;=175,W321&gt;=110),0.1,0)+IF(AND(V321&gt;175,W321&lt;25),0.25,0)+IF(AND(V321&gt;175,W321&gt;=25,W321&lt;55),0.2,0)+IF(AND(V321&gt;175,W321&gt;=55,W321&lt;95),0.15,0)+IF(AND(V321&gt;175,W321&gt;=95),0.1,0))))))))))))))))</f>
        <v>0.15</v>
      </c>
      <c r="Y321" s="30">
        <f>IF(AG321="None",0,IF(AG321="Fix5",0.05,IF(AG321="Fix3.75",0.0375,IF(AG321="Fix10",0.1,IF(AG321="Fix3",0.03,0)))))</f>
        <v>0.05</v>
      </c>
      <c r="Z321" s="35">
        <f>T321-AA321-AB321</f>
        <v>26.400000000000002</v>
      </c>
      <c r="AA321" s="29">
        <f>IF(AD321="EUR",((T321-R321)*X321)*U321+(R321*X321),(T321*X321))</f>
        <v>4.95</v>
      </c>
      <c r="AB321" s="36">
        <f>IF(AD321="EUR",((T321-R321)*Y321)*U321+(R321*Y321),(T321*Y321))</f>
        <v>1.6500000000000001</v>
      </c>
      <c r="AC321" s="37" t="b">
        <v>1</v>
      </c>
      <c r="AD321" s="37" t="s">
        <v>38</v>
      </c>
      <c r="AE321" s="37" t="s">
        <v>38</v>
      </c>
      <c r="AF321" s="37" t="str">
        <f t="array" ref="AF321">INDEX('Deal Info'!D:D, MATCH(A321,'Deal Info'!A:A, 0))</f>
        <v>Fix15</v>
      </c>
      <c r="AG321" s="38" t="str">
        <f t="array" ref="AG321">INDEX('Deal Info'!G:G, MATCH(A321,'Deal Info'!A:A, 0))</f>
        <v>Fix5</v>
      </c>
    </row>
    <row r="322" spans="1:33" ht="14.25" hidden="1" x14ac:dyDescent="0.2">
      <c r="A322" s="18" t="str">
        <f t="array" ref="A322">IF(G322='Room Info'!$B$1, INDEX('Room Info'!$A$2:$A2446, MATCH(B322,'Room Info'!$B$2:$B2446, 0)),IF(G322='Room Info'!$C$1, INDEX('Room Info'!$A$2:$A2446, MATCH(B322,'Room Info'!$C$2:$C2446, 0)),IF(G322='Room Info'!$D$1, INDEX('Room Info'!$A$2:$A2446, MATCH(B322,'Room Info'!$D$2:$D2446, 0)),IF(G322='Room Info'!$E$1, INDEX('Room Info'!$A$2:$A2446, MATCH(B322,'Room Info'!$E$2:$E2446, 0)),IF(G322='Room Info'!$F$1, INDEX('Room Info'!$A$2:$A2446, MATCH(B322,'Room Info'!$F$2:$F2446, 0)),IF(G322='Room Info'!$H$1, INDEX('Room Info'!$A$2:$A2446, MATCH(B322,'Room Info'!$H$2:$H2446, 0)),IF(G322='Room Info'!$G$1, INDEX('Room Info'!$A$2:$A2446, MATCH(B322,'Room Info'!$G$2:$G2446, 0)))))))))</f>
        <v>gRRRiz</v>
      </c>
      <c r="B322" s="45" t="s">
        <v>118</v>
      </c>
      <c r="C322" s="46">
        <v>44916</v>
      </c>
      <c r="D322" s="46">
        <v>44946</v>
      </c>
      <c r="E322" s="47">
        <v>44927</v>
      </c>
      <c r="F322" s="45" t="s">
        <v>34</v>
      </c>
      <c r="G322" s="45" t="s">
        <v>80</v>
      </c>
      <c r="H322" s="49" t="s">
        <v>70</v>
      </c>
      <c r="I322" s="49" t="s">
        <v>81</v>
      </c>
      <c r="J322" s="70">
        <v>100</v>
      </c>
      <c r="K322" s="71">
        <v>4885</v>
      </c>
      <c r="L322" s="52">
        <v>-15500</v>
      </c>
      <c r="M322" s="53">
        <v>26236</v>
      </c>
      <c r="N322" s="28">
        <f>K322*J322</f>
        <v>488500</v>
      </c>
      <c r="O322" s="54">
        <v>31787</v>
      </c>
      <c r="P322" s="29">
        <v>6.507062436</v>
      </c>
      <c r="Q322" s="55"/>
      <c r="R322" s="31">
        <f>M322+Q322</f>
        <v>26236</v>
      </c>
      <c r="S322" s="98">
        <v>-25738</v>
      </c>
      <c r="T322" s="32">
        <f>R322+S322+IF(F322="Without EV deal",L322,0)</f>
        <v>498</v>
      </c>
      <c r="U322" s="57">
        <v>1</v>
      </c>
      <c r="V322" s="58"/>
      <c r="W322" s="58"/>
      <c r="X322" s="30">
        <f>IF(AF322="DoEV",IF(AND(V322&lt;20,W322&lt;55),0.3,0)+IF(AND(V322&lt;20,W322&gt;=55,W322&lt;105),0.23,0)+IF(AND(V322&lt;20,W322&gt;=105),0.17,0)+IF(AND(V322&gt;=20,V322&lt;40,W322&lt;45),0.3,0)+IF(AND(V322&gt;=20,V322&lt;40,W322&gt;=45,W322&lt;95),0.23,0)+IF(AND(V322&gt;=20,V322&lt;40,W322&gt;=95),0.17,0)+IF(AND(V322&gt;=40,V322&lt;75,W322&lt;35),0.3,0)+IF(AND(V322&gt;=40,V322&lt;75,W322&gt;=35,W322&lt;75),0.23,0)+IF(AND(V322&gt;=40,V322&lt;75,W322&gt;=75,W322&lt;120),0.17,0)+IF(AND(V322&gt;=40,V322&lt;75,W322&gt;=120),0.12,0)+IF(AND(V322&gt;=75,V322&lt;175,W322&lt;35),0.3,0)+IF(AND(V322&gt;=75,V322&lt;=175,W322&gt;=35,W322&lt;65),0.23,0)+IF(AND(V322&gt;=75,V322&lt;=175,W322&gt;=65,W322&lt;110),0.17,0)+IF(AND(V322&gt;=75,V322&lt;=175,W322&gt;=110),0.12,0)+IF(AND(V322&gt;175,W322&lt;25),0.3,0)+IF(AND(V322&gt;175,W322&gt;=25,W322&lt;55),0.23,0)+IF(AND(V322&gt;175,W322&gt;=55,W322&lt;95),0.17,0)+IF(AND(V322&gt;175,W322&gt;=95),0.12,0),
IF(AF322="Fix15",0.15,
IF(AF322="Fix11.25",0.1125,
IF(AF322="Fix10",0.1,
IF(AF322="Fix9",0.09,
IF(AF322="DoEV2017",IF(AND(W322&lt;74),0.2,0)+IF(AND(W322&gt;=74),0.17,0),
IF(AF322="SF",IF(AND(V322&lt;20,W322&lt;89),0.3,0)+IF(AND(V322&lt;20,W322&gt;=89),0.25,0)+IF(AND(V322&gt;=20,V322&lt;40,W322&lt;74),0.3,0)+IF(AND(V322&gt;=20,V322&lt;40,W322&gt;=75),0.22,0)+IF(AND(V322&gt;=40,V322&lt;75,W322&lt;75),0.26,0)+IF(AND(V322&gt;=40,V322&lt;75,W322&gt;=75),0.22,0)+IF(V322&gt;=75,0.22,0),
IF(AF322="DoEVold",IF(AND(V322&lt;40,W322&lt;35),0.35,0)+IF(AND(V322&lt;40,W322&gt;=35,W322&lt;75),0.25,0)+IF(AND(V322&lt;40,W322&gt;=75),0.17,0)+IF(AND(V322&gt;=40,V322&lt;75,W322&lt;25),0.35,0)+IF(AND(V322&gt;=40,V322&lt;75,W322&gt;=25,W322&lt;65),0.25,0)+IF(AND(V322&gt;=40,V322&lt;75,W322&gt;=65,W322&lt;100),0.17,0)+IF(AND(V322&gt;=40,V322&lt;75,W322&gt;=100),0.1,0)+IF(AND(V322&gt;=75,W322&lt;25),0.35,0)+IF(AND(V322&gt;=75,W322&gt;=25,W322&lt;60),0.25,0)+IF(AND(V322&gt;=75,W322&gt;=60,W322&lt;95),0.17,0)+IF(AND(V322&gt;=75,W322&gt;=95),0.1,0),
IF(AF322="DoEVold15",IF(AND(V322&lt;=40,W322&lt;35),0.35,0)+IF(AND(V322&lt;=40,W322&gt;=35,W322&lt;75),0.25,0)+IF(AND(V322&lt;=40,W322&gt;=75,W322&lt;120),0.17,0)+IF(AND(V322&lt;=40,W322&gt;=120),0.15,0)+IF(AND(V322&gt;40,V322&lt;75,W322&lt;25),0.35,0)+IF(AND(V322&gt;=40,V322&lt;75,W322&gt;=25,W322&lt;65),0.25,0)+IF(AND(V322&gt;=40,V322&lt;75,W322&gt;=65,W322&lt;100),0.17,0)+IF(AND(V322&gt;=40,V322&lt;75,W322&gt;=100),0.1,0)+IF(AND(V322&gt;=75,W322&lt;25),0.35,0)+IF(AND(V322&gt;=75,W322&gt;=25,W322&lt;60),0.25,0)+IF(AND(V322&gt;=75,W322&gt;=60,W322&lt;95),0.17,0)+IF(AND(V322&gt;=75,W322&gt;=95),0.1,0),
IF(AF322="DoEVba",IF(AND(V322&lt;20,W322&lt;105),0.2,0)+IF(AND(V322&lt;20,W322&gt;=105),0.15,0)+IF(AND(V322&gt;=20,V322&lt;40,W322&lt;95),0.2,0)+IF(AND(V322&gt;=20,V322&lt;40,W322&gt;=95,W322&lt;150),0.15,0)+IF(AND(V322&gt;=20,V322&lt;40,W322&gt;=150),0.12,0)+IF(AND(V322&gt;=40,V322&lt;75,W322&lt;75),0.2,0)+IF(AND(V322&gt;=40,V322&lt;75,W322&gt;=75,W322&lt;120),0.15,0)+IF(AND(V322&gt;=40,V322&lt;75,W322&gt;=120),0.12,0)+IF(AND(V322&gt;=75,V322&lt;175,W322&lt;65),0.2,0)+IF(AND(V322&gt;=75,V322&lt;175,W322&gt;=65,W322&lt;110),0.15,0)+IF(AND(V322&gt;=75,V322&lt;175,W322&gt;=110),0.12,0)+IF(AND(V322&gt;=175,W322&lt;55),0.2,0)+IF(AND(V322&gt;=175,W322&gt;=55,W322&lt;95),0.15,0)+IF(AND(V322&gt;=175,W322&gt;=95),0.12,0),
IF(AF322="DoEVku",IF(AND(V322&lt;20,W322&lt;55),0.23,0)+IF(AND(V322&lt;20,W322&gt;=55,W322&lt;105),0.2,0)+IF(AND(V322&lt;20,W322&gt;=105),0.17,0)+IF(AND(V322&gt;=20,V322&lt;40,W322&lt;45),0.23,0)+IF(AND(V322&gt;=20,V322&lt;40,W322&gt;=45,W322&lt;95),0.2,0)+IF(AND(V322&gt;=20,V322&lt;40,W322&gt;=95,W322&lt;=150),0.17,0)+IF(AND(V322&gt;=20,V322&lt;40,W322&gt;=150),0.12,0)+IF(AND(V322&gt;=40,V322&lt;75,W322&lt;35),0.23,0)+IF(AND(V322&gt;=40,V322&lt;75,W322&gt;=35,W322&lt;75),0.2,0)+IF(AND(V322&gt;=40,V322&lt;75,W322&gt;=75,W322&lt;120),0.17,0)+IF(AND(V322&gt;=40,V322&lt;75,W322&gt;=120),0.12,0)+IF(AND(V322&gt;=75,V322&lt;175,W322&lt;35),0.23,0)+IF(AND(V322&gt;=75,V322&lt;=175,W322&gt;=35,W322&lt;65),0.2,0)+IF(AND(V322&gt;=75,V322&lt;=175,W322&gt;=65,W322&lt;110),0.17,0)+IF(AND(V322&gt;=75,V322&lt;=175,W322&gt;=110),0.12,0)+IF(AND(V322&gt;175,W322&lt;25),0.23,0)+IF(AND(V322&gt;175,W322&gt;=25,W322&lt;55),0.2,0)+IF(AND(V322&gt;175,W322&gt;=55,W322&lt;95),0.17,0)+IF(AND(V322&gt;175,W322&gt;=95),0.12,0),
IF(AF322="DoEVs1",IF(AND(V322&lt;20,W322&lt;55),0.3,0)+IF(AND(V322&lt;20,W322&gt;=55,W322&lt;105),0.23,0)+IF(AND(V322&lt;20,W322&gt;=105),0.17,0)+IF(AND(V322&gt;=20,V322&lt;40,W322&lt;45),0.3,0)+IF(AND(V322&gt;=20,V322&lt;40,W322&gt;=45,W322&lt;95),0.23,0)+IF(AND(V322&gt;=20,V322&lt;40,W322&gt;=95,W322&lt;=150),0.17,0)+IF(AND(V322&gt;=20,V322&lt;40,W322&gt;=150),0.12,0)+IF(AND(V322&gt;=40,V322&lt;75,W322&lt;35),0.3,0)+IF(AND(V322&gt;=40,V322&lt;75,W322&gt;=35,W322&lt;75),0.23,0)+IF(AND(V322&gt;=40,V322&lt;75,W322&gt;=75,W322&lt;120),0.17,0)+IF(AND(V322&gt;=40,V322&lt;75,W322&gt;=120),0.12,0)+IF(AND(V322&gt;=75,V322&lt;175,W322&lt;35),0.3,0)+IF(AND(V322&gt;=75,V322&lt;=175,W322&gt;=35,W322&lt;65),0.23,0)+IF(AND(V322&gt;=75,V322&lt;=175,W322&gt;=65,W322&lt;110),0.17,0)+IF(AND(V322&gt;=75,V322&lt;=175,W322&gt;=110),0.12,0)+IF(AND(V322&gt;175,W322&lt;25),0.3,0)+IF(AND(V322&gt;175,W322&gt;=25,W322&lt;55),0.23,0)+IF(AND(V322&gt;175,W322&gt;=55,W322&lt;95),0.17,0)+IF(AND(V322&gt;175,W322&gt;=95),0.12,0),
IF(AF322="DoEVsu",IF(AND(V322&lt;20,W322&lt;55),0.3,0)+IF(AND(V322&lt;20,W322&gt;=55,W322&lt;105),0.23,0)+IF(AND(V322&lt;20,W322&gt;=105),0.17,0)+IF(AND(V322&gt;=20,V322&lt;40,W322&lt;45),0.3,0)+IF(AND(V322&gt;=20,V322&lt;40,W322&gt;=45,W322&lt;95),0.23,0)+IF(AND(V322&gt;=20,V322&lt;40,W322&gt;=95,W322&lt;=250),0.17,0)+IF(AND(V322&gt;=20,V322&lt;40,W322&gt;=250),0.12,0)+IF(AND(V322&gt;=40,V322&lt;75,W322&lt;35),0.3,0)+IF(AND(V322&gt;=40,V322&lt;75,W322&gt;=35,W322&lt;75),0.23,0)+IF(AND(V322&gt;=40,V322&lt;75,W322&gt;=75,W322&lt;120),0.17,0)+IF(AND(V322&gt;=40,V322&lt;75,W322&gt;=120),0.12,0)+IF(AND(V322&gt;=75,V322&lt;175,W322&lt;35),0.3,0)+IF(AND(V322&gt;=75,V322&lt;=175,W322&gt;=35,W322&lt;65),0.23,0)+IF(AND(V322&gt;=75,V322&lt;=175,W322&gt;=65,W322&lt;110),0.17,0)+IF(AND(V322&gt;=75,V322&lt;=175,W322&gt;=110),0.12,0)+IF(AND(V322&gt;175,W322&lt;25),0.3,0)+IF(AND(V322&gt;175,W322&gt;=25,W322&lt;55),0.23,0)+IF(AND(V322&gt;175,W322&gt;=55,W322&lt;95),0.17,0)+IF(AND(V322&gt;175,W322&gt;=95),0.12,0),
IF(AF322="DoEVni",IF(AND(V322&lt;20,W322&lt;55),0.3,0)+IF(AND(V322&lt;20,W322&gt;=55,W322&lt;105),0.23,0)+IF(AND(V322&lt;20,W322&gt;=105),0.17,0)+IF(AND(V322&gt;=20,V322&lt;40,W322&lt;45),0.3,0)+IF(AND(V322&gt;=20,V322&lt;40,W322&gt;=45,W322&lt;95),0.23,0)+IF(AND(V322&gt;=20,V322&lt;40,W322&gt;=95,W322&lt;=200),0.17,0)+IF(AND(V322&gt;=20,V322&lt;40,W322&gt;=200),0.12,0)+IF(AND(V322&gt;=40,V322&lt;75,W322&lt;35),0.3,0)+IF(AND(V322&gt;=40,V322&lt;75,W322&gt;=35,W322&lt;75),0.23,0)+IF(AND(V322&gt;=40,V322&lt;75,W322&gt;=75,W322&lt;120),0.17,0)+IF(AND(V322&gt;=40,V322&lt;75,W322&gt;=120),0.12,0)+IF(AND(V322&gt;=75,V322&lt;175,W322&lt;35),0.3,0)+IF(AND(V322&gt;=75,V322&lt;=175,W322&gt;=35,W322&lt;65),0.23,0)+IF(AND(V322&gt;=75,V322&lt;=175,W322&gt;=65,W322&lt;110),0.17,0)+IF(AND(V322&gt;=75,V322&lt;=175,W322&gt;=110),0.12,0)+IF(AND(V322&gt;175,W322&lt;25),0.3,0)+IF(AND(V322&gt;175,W322&gt;=25,W322&lt;55),0.23,0)+IF(AND(V322&gt;175,W322&gt;=55,W322&lt;95),0.17,0)+IF(AND(V322&gt;175,W322&gt;=95),0.12,0),
IF(AF322="DoEVLo",IF(AND(V322&lt;20,W322&lt;55),0.25,0)+IF(AND(V322&lt;20,W322&gt;=55,W322&lt;105),0.2,0)+IF(AND(V322&lt;20,W322&gt;=105),0.15,0)+IF(AND(V322&gt;=20,V322&lt;40,W322&lt;45),0.25,0)+IF(AND(V322&gt;=20,V322&lt;40,W322&gt;=45,W322&lt;95),0.2,0)+IF(AND(V322&gt;=20,V322&lt;40,W322&gt;=95),0.15,0)+IF(AND(V322&gt;=40,V322&lt;75,W322&lt;35),0.25,0)+IF(AND(V322&gt;=40,V322&lt;75,W322&gt;=35,W322&lt;75),0.2,0)+IF(AND(V322&gt;=40,V322&lt;75,W322&gt;=75,W322&lt;120),0.15,0)+IF(AND(V322&gt;=40,V322&lt;75,W322&gt;=120),0.1,0)+IF(AND(V322&gt;=75,V322&lt;175,W322&lt;35),0.25,0)+IF(AND(V322&gt;=75,V322&lt;=175,W322&gt;=35,W322&lt;65),0.2,0)+IF(AND(V322&gt;=75,V322&lt;=175,W322&gt;=65,W322&lt;110),0.15,0)+IF(AND(V322&gt;=75,V322&lt;=175,W322&gt;=110),0.1,0)+IF(AND(V322&gt;175,W322&lt;25),0.25,0)+IF(AND(V322&gt;175,W322&gt;=25,W322&lt;55),0.2,0)+IF(AND(V322&gt;175,W322&gt;=55,W322&lt;95),0.15,0)+IF(AND(V322&gt;175,W322&gt;=95),0.1,0))))))))))))))))</f>
        <v>0.15</v>
      </c>
      <c r="Y322" s="30">
        <f>IF(AG322="None",0,IF(AG322="Fix5",0.05,IF(AG322="Fix3.75",0.0375,IF(AG322="Fix10",0.1,IF(AG322="Fix3",0.03,0)))))</f>
        <v>0.05</v>
      </c>
      <c r="Z322" s="35">
        <f>T322-AA322-AB322</f>
        <v>398.40000000000003</v>
      </c>
      <c r="AA322" s="29">
        <f>IF(AD322="EUR",((T322-R322)*X322)*U322+(R322*X322),(T322*X322))</f>
        <v>74.7</v>
      </c>
      <c r="AB322" s="36">
        <f>IF(AD322="EUR",((T322-R322)*Y322)*U322+(R322*Y322),(T322*Y322))</f>
        <v>24.900000000000002</v>
      </c>
      <c r="AC322" s="37" t="b">
        <v>1</v>
      </c>
      <c r="AD322" s="37" t="s">
        <v>38</v>
      </c>
      <c r="AE322" s="37" t="s">
        <v>38</v>
      </c>
      <c r="AF322" s="37" t="str">
        <f t="array" ref="AF322">INDEX('Deal Info'!D:D, MATCH(A322,'Deal Info'!A:A, 0))</f>
        <v>Fix15</v>
      </c>
      <c r="AG322" s="38" t="str">
        <f t="array" ref="AG322">INDEX('Deal Info'!G:G, MATCH(A322,'Deal Info'!A:A, 0))</f>
        <v>Fix5</v>
      </c>
    </row>
    <row r="323" spans="1:33" ht="14.25" hidden="1" x14ac:dyDescent="0.2">
      <c r="A323" s="18" t="str">
        <f t="array" ref="A323">IF(G323='Room Info'!$B$1, INDEX('Room Info'!$A$2:$A2446, MATCH(B323,'Room Info'!$B$2:$B2446, 0)),IF(G323='Room Info'!$C$1, INDEX('Room Info'!$A$2:$A2446, MATCH(B323,'Room Info'!$C$2:$C2446, 0)),IF(G323='Room Info'!$D$1, INDEX('Room Info'!$A$2:$A2446, MATCH(B323,'Room Info'!$D$2:$D2446, 0)),IF(G323='Room Info'!$E$1, INDEX('Room Info'!$A$2:$A2446, MATCH(B323,'Room Info'!$E$2:$E2446, 0)),IF(G323='Room Info'!$F$1, INDEX('Room Info'!$A$2:$A2446, MATCH(B323,'Room Info'!$F$2:$F2446, 0)),IF(G323='Room Info'!$H$1, INDEX('Room Info'!$A$2:$A2446, MATCH(B323,'Room Info'!$H$2:$H2446, 0)),IF(G323='Room Info'!$G$1, INDEX('Room Info'!$A$2:$A2446, MATCH(B323,'Room Info'!$G$2:$G2446, 0)))))))))</f>
        <v>Kiss4money99</v>
      </c>
      <c r="B323" s="45" t="s">
        <v>119</v>
      </c>
      <c r="C323" s="46">
        <v>44197</v>
      </c>
      <c r="D323" s="46">
        <v>44227</v>
      </c>
      <c r="E323" s="47">
        <v>44197</v>
      </c>
      <c r="F323" s="45" t="s">
        <v>41</v>
      </c>
      <c r="G323" s="45" t="s">
        <v>69</v>
      </c>
      <c r="H323" s="49" t="s">
        <v>71</v>
      </c>
      <c r="I323" s="49" t="s">
        <v>37</v>
      </c>
      <c r="J323" s="70">
        <v>20</v>
      </c>
      <c r="K323" s="71">
        <v>1</v>
      </c>
      <c r="L323" s="52">
        <v>-3014</v>
      </c>
      <c r="M323" s="53">
        <v>1740</v>
      </c>
      <c r="N323" s="28">
        <f>K323*J323</f>
        <v>20</v>
      </c>
      <c r="O323" s="65"/>
      <c r="P323" s="29">
        <v>0</v>
      </c>
      <c r="Q323" s="55"/>
      <c r="R323" s="31">
        <f>M323+Q323</f>
        <v>1740</v>
      </c>
      <c r="S323" s="66"/>
      <c r="T323" s="32">
        <f>R323+S323+IF(F323="Without EV deal",L323,0)</f>
        <v>-1274</v>
      </c>
      <c r="U323" s="57">
        <v>1</v>
      </c>
      <c r="V323" s="69">
        <v>20</v>
      </c>
      <c r="W323" s="58">
        <v>33.479999999999997</v>
      </c>
      <c r="X323" s="30">
        <f>IF(AF323="DoEV",IF(AND(V323&lt;20,W323&lt;55),0.3,0)+IF(AND(V323&lt;20,W323&gt;=55,W323&lt;105),0.23,0)+IF(AND(V323&lt;20,W323&gt;=105),0.17,0)+IF(AND(V323&gt;=20,V323&lt;40,W323&lt;45),0.3,0)+IF(AND(V323&gt;=20,V323&lt;40,W323&gt;=45,W323&lt;95),0.23,0)+IF(AND(V323&gt;=20,V323&lt;40,W323&gt;=95),0.17,0)+IF(AND(V323&gt;=40,V323&lt;75,W323&lt;35),0.3,0)+IF(AND(V323&gt;=40,V323&lt;75,W323&gt;=35,W323&lt;75),0.23,0)+IF(AND(V323&gt;=40,V323&lt;75,W323&gt;=75,W323&lt;120),0.17,0)+IF(AND(V323&gt;=40,V323&lt;75,W323&gt;=120),0.12,0)+IF(AND(V323&gt;=75,V323&lt;175,W323&lt;35),0.3,0)+IF(AND(V323&gt;=75,V323&lt;=175,W323&gt;=35,W323&lt;65),0.23,0)+IF(AND(V323&gt;=75,V323&lt;=175,W323&gt;=65,W323&lt;110),0.17,0)+IF(AND(V323&gt;=75,V323&lt;=175,W323&gt;=110),0.12,0)+IF(AND(V323&gt;175,W323&lt;25),0.3,0)+IF(AND(V323&gt;175,W323&gt;=25,W323&lt;55),0.23,0)+IF(AND(V323&gt;175,W323&gt;=55,W323&lt;95),0.17,0)+IF(AND(V323&gt;175,W323&gt;=95),0.12,0),
IF(AF323="Fix15",0.15,
IF(AF323="Fix11.25",0.1125,
IF(AF323="Fix10",0.1,
IF(AF323="Fix9",0.09,
IF(AF323="DoEV2017",IF(AND(W323&lt;74),0.2,0)+IF(AND(W323&gt;=74),0.17,0),
IF(AF323="SF",IF(AND(V323&lt;20,W323&lt;89),0.3,0)+IF(AND(V323&lt;20,W323&gt;=89),0.25,0)+IF(AND(V323&gt;=20,V323&lt;40,W323&lt;74),0.3,0)+IF(AND(V323&gt;=20,V323&lt;40,W323&gt;=75),0.22,0)+IF(AND(V323&gt;=40,V323&lt;75,W323&lt;75),0.26,0)+IF(AND(V323&gt;=40,V323&lt;75,W323&gt;=75),0.22,0)+IF(V323&gt;=75,0.22,0),
IF(AF323="DoEVold",IF(AND(V323&lt;40,W323&lt;35),0.35,0)+IF(AND(V323&lt;40,W323&gt;=35,W323&lt;75),0.25,0)+IF(AND(V323&lt;40,W323&gt;=75),0.17,0)+IF(AND(V323&gt;=40,V323&lt;75,W323&lt;25),0.35,0)+IF(AND(V323&gt;=40,V323&lt;75,W323&gt;=25,W323&lt;65),0.25,0)+IF(AND(V323&gt;=40,V323&lt;75,W323&gt;=65,W323&lt;100),0.17,0)+IF(AND(V323&gt;=40,V323&lt;75,W323&gt;=100),0.1,0)+IF(AND(V323&gt;=75,W323&lt;25),0.35,0)+IF(AND(V323&gt;=75,W323&gt;=25,W323&lt;60),0.25,0)+IF(AND(V323&gt;=75,W323&gt;=60,W323&lt;95),0.17,0)+IF(AND(V323&gt;=75,W323&gt;=95),0.1,0),
IF(AF323="DoEVold15",IF(AND(V323&lt;=40,W323&lt;35),0.35,0)+IF(AND(V323&lt;=40,W323&gt;=35,W323&lt;75),0.25,0)+IF(AND(V323&lt;=40,W323&gt;=75,W323&lt;120),0.17,0)+IF(AND(V323&lt;=40,W323&gt;=120),0.15,0)+IF(AND(V323&gt;40,V323&lt;75,W323&lt;25),0.35,0)+IF(AND(V323&gt;=40,V323&lt;75,W323&gt;=25,W323&lt;65),0.25,0)+IF(AND(V323&gt;=40,V323&lt;75,W323&gt;=65,W323&lt;100),0.17,0)+IF(AND(V323&gt;=40,V323&lt;75,W323&gt;=100),0.1,0)+IF(AND(V323&gt;=75,W323&lt;25),0.35,0)+IF(AND(V323&gt;=75,W323&gt;=25,W323&lt;60),0.25,0)+IF(AND(V323&gt;=75,W323&gt;=60,W323&lt;95),0.17,0)+IF(AND(V323&gt;=75,W323&gt;=95),0.1,0),
IF(AF323="DoEVba",IF(AND(V323&lt;20,W323&lt;105),0.2,0)+IF(AND(V323&lt;20,W323&gt;=105),0.15,0)+IF(AND(V323&gt;=20,V323&lt;40,W323&lt;95),0.2,0)+IF(AND(V323&gt;=20,V323&lt;40,W323&gt;=95,W323&lt;150),0.15,0)+IF(AND(V323&gt;=20,V323&lt;40,W323&gt;=150),0.12,0)+IF(AND(V323&gt;=40,V323&lt;75,W323&lt;75),0.2,0)+IF(AND(V323&gt;=40,V323&lt;75,W323&gt;=75,W323&lt;120),0.15,0)+IF(AND(V323&gt;=40,V323&lt;75,W323&gt;=120),0.12,0)+IF(AND(V323&gt;=75,V323&lt;175,W323&lt;65),0.2,0)+IF(AND(V323&gt;=75,V323&lt;175,W323&gt;=65,W323&lt;110),0.15,0)+IF(AND(V323&gt;=75,V323&lt;175,W323&gt;=110),0.12,0)+IF(AND(V323&gt;=175,W323&lt;55),0.2,0)+IF(AND(V323&gt;=175,W323&gt;=55,W323&lt;95),0.15,0)+IF(AND(V323&gt;=175,W323&gt;=95),0.12,0),
IF(AF323="DoEVku",IF(AND(V323&lt;20,W323&lt;55),0.23,0)+IF(AND(V323&lt;20,W323&gt;=55,W323&lt;105),0.2,0)+IF(AND(V323&lt;20,W323&gt;=105),0.17,0)+IF(AND(V323&gt;=20,V323&lt;40,W323&lt;45),0.23,0)+IF(AND(V323&gt;=20,V323&lt;40,W323&gt;=45,W323&lt;95),0.2,0)+IF(AND(V323&gt;=20,V323&lt;40,W323&gt;=95,W323&lt;=150),0.17,0)+IF(AND(V323&gt;=20,V323&lt;40,W323&gt;=150),0.12,0)+IF(AND(V323&gt;=40,V323&lt;75,W323&lt;35),0.23,0)+IF(AND(V323&gt;=40,V323&lt;75,W323&gt;=35,W323&lt;75),0.2,0)+IF(AND(V323&gt;=40,V323&lt;75,W323&gt;=75,W323&lt;120),0.17,0)+IF(AND(V323&gt;=40,V323&lt;75,W323&gt;=120),0.12,0)+IF(AND(V323&gt;=75,V323&lt;175,W323&lt;35),0.23,0)+IF(AND(V323&gt;=75,V323&lt;=175,W323&gt;=35,W323&lt;65),0.2,0)+IF(AND(V323&gt;=75,V323&lt;=175,W323&gt;=65,W323&lt;110),0.17,0)+IF(AND(V323&gt;=75,V323&lt;=175,W323&gt;=110),0.12,0)+IF(AND(V323&gt;175,W323&lt;25),0.23,0)+IF(AND(V323&gt;175,W323&gt;=25,W323&lt;55),0.2,0)+IF(AND(V323&gt;175,W323&gt;=55,W323&lt;95),0.17,0)+IF(AND(V323&gt;175,W323&gt;=95),0.12,0),
IF(AF323="DoEVs1",IF(AND(V323&lt;20,W323&lt;55),0.3,0)+IF(AND(V323&lt;20,W323&gt;=55,W323&lt;105),0.23,0)+IF(AND(V323&lt;20,W323&gt;=105),0.17,0)+IF(AND(V323&gt;=20,V323&lt;40,W323&lt;45),0.3,0)+IF(AND(V323&gt;=20,V323&lt;40,W323&gt;=45,W323&lt;95),0.23,0)+IF(AND(V323&gt;=20,V323&lt;40,W323&gt;=95,W323&lt;=150),0.17,0)+IF(AND(V323&gt;=20,V323&lt;40,W323&gt;=150),0.12,0)+IF(AND(V323&gt;=40,V323&lt;75,W323&lt;35),0.3,0)+IF(AND(V323&gt;=40,V323&lt;75,W323&gt;=35,W323&lt;75),0.23,0)+IF(AND(V323&gt;=40,V323&lt;75,W323&gt;=75,W323&lt;120),0.17,0)+IF(AND(V323&gt;=40,V323&lt;75,W323&gt;=120),0.12,0)+IF(AND(V323&gt;=75,V323&lt;175,W323&lt;35),0.3,0)+IF(AND(V323&gt;=75,V323&lt;=175,W323&gt;=35,W323&lt;65),0.23,0)+IF(AND(V323&gt;=75,V323&lt;=175,W323&gt;=65,W323&lt;110),0.17,0)+IF(AND(V323&gt;=75,V323&lt;=175,W323&gt;=110),0.12,0)+IF(AND(V323&gt;175,W323&lt;25),0.3,0)+IF(AND(V323&gt;175,W323&gt;=25,W323&lt;55),0.23,0)+IF(AND(V323&gt;175,W323&gt;=55,W323&lt;95),0.17,0)+IF(AND(V323&gt;175,W323&gt;=95),0.12,0),
IF(AF323="DoEVsu",IF(AND(V323&lt;20,W323&lt;55),0.3,0)+IF(AND(V323&lt;20,W323&gt;=55,W323&lt;105),0.23,0)+IF(AND(V323&lt;20,W323&gt;=105),0.17,0)+IF(AND(V323&gt;=20,V323&lt;40,W323&lt;45),0.3,0)+IF(AND(V323&gt;=20,V323&lt;40,W323&gt;=45,W323&lt;95),0.23,0)+IF(AND(V323&gt;=20,V323&lt;40,W323&gt;=95,W323&lt;=250),0.17,0)+IF(AND(V323&gt;=20,V323&lt;40,W323&gt;=250),0.12,0)+IF(AND(V323&gt;=40,V323&lt;75,W323&lt;35),0.3,0)+IF(AND(V323&gt;=40,V323&lt;75,W323&gt;=35,W323&lt;75),0.23,0)+IF(AND(V323&gt;=40,V323&lt;75,W323&gt;=75,W323&lt;120),0.17,0)+IF(AND(V323&gt;=40,V323&lt;75,W323&gt;=120),0.12,0)+IF(AND(V323&gt;=75,V323&lt;175,W323&lt;35),0.3,0)+IF(AND(V323&gt;=75,V323&lt;=175,W323&gt;=35,W323&lt;65),0.23,0)+IF(AND(V323&gt;=75,V323&lt;=175,W323&gt;=65,W323&lt;110),0.17,0)+IF(AND(V323&gt;=75,V323&lt;=175,W323&gt;=110),0.12,0)+IF(AND(V323&gt;175,W323&lt;25),0.3,0)+IF(AND(V323&gt;175,W323&gt;=25,W323&lt;55),0.23,0)+IF(AND(V323&gt;175,W323&gt;=55,W323&lt;95),0.17,0)+IF(AND(V323&gt;175,W323&gt;=95),0.12,0),
IF(AF323="DoEVni",IF(AND(V323&lt;20,W323&lt;55),0.3,0)+IF(AND(V323&lt;20,W323&gt;=55,W323&lt;105),0.23,0)+IF(AND(V323&lt;20,W323&gt;=105),0.17,0)+IF(AND(V323&gt;=20,V323&lt;40,W323&lt;45),0.3,0)+IF(AND(V323&gt;=20,V323&lt;40,W323&gt;=45,W323&lt;95),0.23,0)+IF(AND(V323&gt;=20,V323&lt;40,W323&gt;=95,W323&lt;=200),0.17,0)+IF(AND(V323&gt;=20,V323&lt;40,W323&gt;=200),0.12,0)+IF(AND(V323&gt;=40,V323&lt;75,W323&lt;35),0.3,0)+IF(AND(V323&gt;=40,V323&lt;75,W323&gt;=35,W323&lt;75),0.23,0)+IF(AND(V323&gt;=40,V323&lt;75,W323&gt;=75,W323&lt;120),0.17,0)+IF(AND(V323&gt;=40,V323&lt;75,W323&gt;=120),0.12,0)+IF(AND(V323&gt;=75,V323&lt;175,W323&lt;35),0.3,0)+IF(AND(V323&gt;=75,V323&lt;=175,W323&gt;=35,W323&lt;65),0.23,0)+IF(AND(V323&gt;=75,V323&lt;=175,W323&gt;=65,W323&lt;110),0.17,0)+IF(AND(V323&gt;=75,V323&lt;=175,W323&gt;=110),0.12,0)+IF(AND(V323&gt;175,W323&lt;25),0.3,0)+IF(AND(V323&gt;175,W323&gt;=25,W323&lt;55),0.23,0)+IF(AND(V323&gt;175,W323&gt;=55,W323&lt;95),0.17,0)+IF(AND(V323&gt;175,W323&gt;=95),0.12,0),
IF(AF323="DoEVLo",IF(AND(V323&lt;20,W323&lt;55),0.25,0)+IF(AND(V323&lt;20,W323&gt;=55,W323&lt;105),0.2,0)+IF(AND(V323&lt;20,W323&gt;=105),0.15,0)+IF(AND(V323&gt;=20,V323&lt;40,W323&lt;45),0.25,0)+IF(AND(V323&gt;=20,V323&lt;40,W323&gt;=45,W323&lt;95),0.2,0)+IF(AND(V323&gt;=20,V323&lt;40,W323&gt;=95),0.15,0)+IF(AND(V323&gt;=40,V323&lt;75,W323&lt;35),0.25,0)+IF(AND(V323&gt;=40,V323&lt;75,W323&gt;=35,W323&lt;75),0.2,0)+IF(AND(V323&gt;=40,V323&lt;75,W323&gt;=75,W323&lt;120),0.15,0)+IF(AND(V323&gt;=40,V323&lt;75,W323&gt;=120),0.1,0)+IF(AND(V323&gt;=75,V323&lt;175,W323&lt;35),0.25,0)+IF(AND(V323&gt;=75,V323&lt;=175,W323&gt;=35,W323&lt;65),0.2,0)+IF(AND(V323&gt;=75,V323&lt;=175,W323&gt;=65,W323&lt;110),0.15,0)+IF(AND(V323&gt;=75,V323&lt;=175,W323&gt;=110),0.1,0)+IF(AND(V323&gt;175,W323&lt;25),0.25,0)+IF(AND(V323&gt;175,W323&gt;=25,W323&lt;55),0.2,0)+IF(AND(V323&gt;175,W323&gt;=55,W323&lt;95),0.15,0)+IF(AND(V323&gt;175,W323&gt;=95),0.1,0))))))))))))))))</f>
        <v>0.3</v>
      </c>
      <c r="Y323" s="30">
        <f>IF(AG323="None",0,IF(AG323="Fix5",0.05,IF(AG323="Fix3.75",0.0375,IF(AG323="Fix10",0.1,IF(AG323="Fix3",0.03,0)))))</f>
        <v>0</v>
      </c>
      <c r="Z323" s="35">
        <f>T323-AA323-AB323</f>
        <v>-891.8</v>
      </c>
      <c r="AA323" s="29">
        <f>IF(AD323="EUR",((T323-R323)*X323)*U323+(R323*X323),(T323*X323))</f>
        <v>-382.2</v>
      </c>
      <c r="AB323" s="36">
        <f>IF(AD323="EUR",((T323-R323)*Y323)*U323+(R323*Y323),(T323*Y323))</f>
        <v>0</v>
      </c>
      <c r="AC323" s="37" t="b">
        <v>1</v>
      </c>
      <c r="AD323" s="37" t="s">
        <v>38</v>
      </c>
      <c r="AE323" s="37" t="s">
        <v>38</v>
      </c>
      <c r="AF323" s="37" t="str">
        <f t="array" ref="AF323">INDEX('Deal Info'!D:D, MATCH(A323,'Deal Info'!A:A, 0))</f>
        <v>SF</v>
      </c>
      <c r="AG323" s="38" t="str">
        <f t="array" ref="AG323">INDEX('Deal Info'!G:G, MATCH(A323,'Deal Info'!A:A, 0))</f>
        <v>None</v>
      </c>
    </row>
    <row r="324" spans="1:33" ht="14.25" hidden="1" x14ac:dyDescent="0.2">
      <c r="A324" s="18" t="str">
        <f t="array" ref="A324">IF(G324='Room Info'!$B$1, INDEX('Room Info'!$A$2:$A2446, MATCH(B324,'Room Info'!$B$2:$B2446, 0)),IF(G324='Room Info'!$C$1, INDEX('Room Info'!$A$2:$A2446, MATCH(B324,'Room Info'!$C$2:$C2446, 0)),IF(G324='Room Info'!$D$1, INDEX('Room Info'!$A$2:$A2446, MATCH(B324,'Room Info'!$D$2:$D2446, 0)),IF(G324='Room Info'!$E$1, INDEX('Room Info'!$A$2:$A2446, MATCH(B324,'Room Info'!$E$2:$E2446, 0)),IF(G324='Room Info'!$F$1, INDEX('Room Info'!$A$2:$A2446, MATCH(B324,'Room Info'!$F$2:$F2446, 0)),IF(G324='Room Info'!$H$1, INDEX('Room Info'!$A$2:$A2446, MATCH(B324,'Room Info'!$H$2:$H2446, 0)),IF(G324='Room Info'!$G$1, INDEX('Room Info'!$A$2:$A2446, MATCH(B324,'Room Info'!$G$2:$G2446, 0)))))))))</f>
        <v>Kiss4money99</v>
      </c>
      <c r="B324" s="45" t="s">
        <v>119</v>
      </c>
      <c r="C324" s="46">
        <v>44228</v>
      </c>
      <c r="D324" s="46">
        <v>44255</v>
      </c>
      <c r="E324" s="47">
        <v>44228</v>
      </c>
      <c r="F324" s="45" t="s">
        <v>34</v>
      </c>
      <c r="G324" s="45" t="s">
        <v>69</v>
      </c>
      <c r="H324" s="49" t="s">
        <v>71</v>
      </c>
      <c r="I324" s="49" t="s">
        <v>37</v>
      </c>
      <c r="J324" s="70">
        <v>20</v>
      </c>
      <c r="K324" s="71">
        <v>3439</v>
      </c>
      <c r="L324" s="52">
        <v>-1300</v>
      </c>
      <c r="M324" s="53">
        <v>3380</v>
      </c>
      <c r="N324" s="28">
        <f>K324*J324</f>
        <v>68780</v>
      </c>
      <c r="O324" s="54">
        <v>43187</v>
      </c>
      <c r="P324" s="29">
        <v>12.558011049999999</v>
      </c>
      <c r="Q324" s="55"/>
      <c r="R324" s="31">
        <f>M324+Q324</f>
        <v>3380</v>
      </c>
      <c r="S324" s="56">
        <v>-3015</v>
      </c>
      <c r="T324" s="32">
        <f>R324+S324+IF(F324="Without EV deal",L324,0)</f>
        <v>365</v>
      </c>
      <c r="U324" s="57">
        <v>1</v>
      </c>
      <c r="V324" s="69">
        <v>20</v>
      </c>
      <c r="W324" s="58">
        <v>33.479999999999997</v>
      </c>
      <c r="X324" s="30">
        <f>IF(AF324="DoEV",IF(AND(V324&lt;20,W324&lt;55),0.3,0)+IF(AND(V324&lt;20,W324&gt;=55,W324&lt;105),0.23,0)+IF(AND(V324&lt;20,W324&gt;=105),0.17,0)+IF(AND(V324&gt;=20,V324&lt;40,W324&lt;45),0.3,0)+IF(AND(V324&gt;=20,V324&lt;40,W324&gt;=45,W324&lt;95),0.23,0)+IF(AND(V324&gt;=20,V324&lt;40,W324&gt;=95),0.17,0)+IF(AND(V324&gt;=40,V324&lt;75,W324&lt;35),0.3,0)+IF(AND(V324&gt;=40,V324&lt;75,W324&gt;=35,W324&lt;75),0.23,0)+IF(AND(V324&gt;=40,V324&lt;75,W324&gt;=75,W324&lt;120),0.17,0)+IF(AND(V324&gt;=40,V324&lt;75,W324&gt;=120),0.12,0)+IF(AND(V324&gt;=75,V324&lt;175,W324&lt;35),0.3,0)+IF(AND(V324&gt;=75,V324&lt;=175,W324&gt;=35,W324&lt;65),0.23,0)+IF(AND(V324&gt;=75,V324&lt;=175,W324&gt;=65,W324&lt;110),0.17,0)+IF(AND(V324&gt;=75,V324&lt;=175,W324&gt;=110),0.12,0)+IF(AND(V324&gt;175,W324&lt;25),0.3,0)+IF(AND(V324&gt;175,W324&gt;=25,W324&lt;55),0.23,0)+IF(AND(V324&gt;175,W324&gt;=55,W324&lt;95),0.17,0)+IF(AND(V324&gt;175,W324&gt;=95),0.12,0),
IF(AF324="Fix15",0.15,
IF(AF324="Fix11.25",0.1125,
IF(AF324="Fix10",0.1,
IF(AF324="Fix9",0.09,
IF(AF324="DoEV2017",IF(AND(W324&lt;74),0.2,0)+IF(AND(W324&gt;=74),0.17,0),
IF(AF324="SF",IF(AND(V324&lt;20,W324&lt;89),0.3,0)+IF(AND(V324&lt;20,W324&gt;=89),0.25,0)+IF(AND(V324&gt;=20,V324&lt;40,W324&lt;74),0.3,0)+IF(AND(V324&gt;=20,V324&lt;40,W324&gt;=75),0.22,0)+IF(AND(V324&gt;=40,V324&lt;75,W324&lt;75),0.26,0)+IF(AND(V324&gt;=40,V324&lt;75,W324&gt;=75),0.22,0)+IF(V324&gt;=75,0.22,0),
IF(AF324="DoEVold",IF(AND(V324&lt;40,W324&lt;35),0.35,0)+IF(AND(V324&lt;40,W324&gt;=35,W324&lt;75),0.25,0)+IF(AND(V324&lt;40,W324&gt;=75),0.17,0)+IF(AND(V324&gt;=40,V324&lt;75,W324&lt;25),0.35,0)+IF(AND(V324&gt;=40,V324&lt;75,W324&gt;=25,W324&lt;65),0.25,0)+IF(AND(V324&gt;=40,V324&lt;75,W324&gt;=65,W324&lt;100),0.17,0)+IF(AND(V324&gt;=40,V324&lt;75,W324&gt;=100),0.1,0)+IF(AND(V324&gt;=75,W324&lt;25),0.35,0)+IF(AND(V324&gt;=75,W324&gt;=25,W324&lt;60),0.25,0)+IF(AND(V324&gt;=75,W324&gt;=60,W324&lt;95),0.17,0)+IF(AND(V324&gt;=75,W324&gt;=95),0.1,0),
IF(AF324="DoEVold15",IF(AND(V324&lt;=40,W324&lt;35),0.35,0)+IF(AND(V324&lt;=40,W324&gt;=35,W324&lt;75),0.25,0)+IF(AND(V324&lt;=40,W324&gt;=75,W324&lt;120),0.17,0)+IF(AND(V324&lt;=40,W324&gt;=120),0.15,0)+IF(AND(V324&gt;40,V324&lt;75,W324&lt;25),0.35,0)+IF(AND(V324&gt;=40,V324&lt;75,W324&gt;=25,W324&lt;65),0.25,0)+IF(AND(V324&gt;=40,V324&lt;75,W324&gt;=65,W324&lt;100),0.17,0)+IF(AND(V324&gt;=40,V324&lt;75,W324&gt;=100),0.1,0)+IF(AND(V324&gt;=75,W324&lt;25),0.35,0)+IF(AND(V324&gt;=75,W324&gt;=25,W324&lt;60),0.25,0)+IF(AND(V324&gt;=75,W324&gt;=60,W324&lt;95),0.17,0)+IF(AND(V324&gt;=75,W324&gt;=95),0.1,0),
IF(AF324="DoEVba",IF(AND(V324&lt;20,W324&lt;105),0.2,0)+IF(AND(V324&lt;20,W324&gt;=105),0.15,0)+IF(AND(V324&gt;=20,V324&lt;40,W324&lt;95),0.2,0)+IF(AND(V324&gt;=20,V324&lt;40,W324&gt;=95,W324&lt;150),0.15,0)+IF(AND(V324&gt;=20,V324&lt;40,W324&gt;=150),0.12,0)+IF(AND(V324&gt;=40,V324&lt;75,W324&lt;75),0.2,0)+IF(AND(V324&gt;=40,V324&lt;75,W324&gt;=75,W324&lt;120),0.15,0)+IF(AND(V324&gt;=40,V324&lt;75,W324&gt;=120),0.12,0)+IF(AND(V324&gt;=75,V324&lt;175,W324&lt;65),0.2,0)+IF(AND(V324&gt;=75,V324&lt;175,W324&gt;=65,W324&lt;110),0.15,0)+IF(AND(V324&gt;=75,V324&lt;175,W324&gt;=110),0.12,0)+IF(AND(V324&gt;=175,W324&lt;55),0.2,0)+IF(AND(V324&gt;=175,W324&gt;=55,W324&lt;95),0.15,0)+IF(AND(V324&gt;=175,W324&gt;=95),0.12,0),
IF(AF324="DoEVku",IF(AND(V324&lt;20,W324&lt;55),0.23,0)+IF(AND(V324&lt;20,W324&gt;=55,W324&lt;105),0.2,0)+IF(AND(V324&lt;20,W324&gt;=105),0.17,0)+IF(AND(V324&gt;=20,V324&lt;40,W324&lt;45),0.23,0)+IF(AND(V324&gt;=20,V324&lt;40,W324&gt;=45,W324&lt;95),0.2,0)+IF(AND(V324&gt;=20,V324&lt;40,W324&gt;=95,W324&lt;=150),0.17,0)+IF(AND(V324&gt;=20,V324&lt;40,W324&gt;=150),0.12,0)+IF(AND(V324&gt;=40,V324&lt;75,W324&lt;35),0.23,0)+IF(AND(V324&gt;=40,V324&lt;75,W324&gt;=35,W324&lt;75),0.2,0)+IF(AND(V324&gt;=40,V324&lt;75,W324&gt;=75,W324&lt;120),0.17,0)+IF(AND(V324&gt;=40,V324&lt;75,W324&gt;=120),0.12,0)+IF(AND(V324&gt;=75,V324&lt;175,W324&lt;35),0.23,0)+IF(AND(V324&gt;=75,V324&lt;=175,W324&gt;=35,W324&lt;65),0.2,0)+IF(AND(V324&gt;=75,V324&lt;=175,W324&gt;=65,W324&lt;110),0.17,0)+IF(AND(V324&gt;=75,V324&lt;=175,W324&gt;=110),0.12,0)+IF(AND(V324&gt;175,W324&lt;25),0.23,0)+IF(AND(V324&gt;175,W324&gt;=25,W324&lt;55),0.2,0)+IF(AND(V324&gt;175,W324&gt;=55,W324&lt;95),0.17,0)+IF(AND(V324&gt;175,W324&gt;=95),0.12,0),
IF(AF324="DoEVs1",IF(AND(V324&lt;20,W324&lt;55),0.3,0)+IF(AND(V324&lt;20,W324&gt;=55,W324&lt;105),0.23,0)+IF(AND(V324&lt;20,W324&gt;=105),0.17,0)+IF(AND(V324&gt;=20,V324&lt;40,W324&lt;45),0.3,0)+IF(AND(V324&gt;=20,V324&lt;40,W324&gt;=45,W324&lt;95),0.23,0)+IF(AND(V324&gt;=20,V324&lt;40,W324&gt;=95,W324&lt;=150),0.17,0)+IF(AND(V324&gt;=20,V324&lt;40,W324&gt;=150),0.12,0)+IF(AND(V324&gt;=40,V324&lt;75,W324&lt;35),0.3,0)+IF(AND(V324&gt;=40,V324&lt;75,W324&gt;=35,W324&lt;75),0.23,0)+IF(AND(V324&gt;=40,V324&lt;75,W324&gt;=75,W324&lt;120),0.17,0)+IF(AND(V324&gt;=40,V324&lt;75,W324&gt;=120),0.12,0)+IF(AND(V324&gt;=75,V324&lt;175,W324&lt;35),0.3,0)+IF(AND(V324&gt;=75,V324&lt;=175,W324&gt;=35,W324&lt;65),0.23,0)+IF(AND(V324&gt;=75,V324&lt;=175,W324&gt;=65,W324&lt;110),0.17,0)+IF(AND(V324&gt;=75,V324&lt;=175,W324&gt;=110),0.12,0)+IF(AND(V324&gt;175,W324&lt;25),0.3,0)+IF(AND(V324&gt;175,W324&gt;=25,W324&lt;55),0.23,0)+IF(AND(V324&gt;175,W324&gt;=55,W324&lt;95),0.17,0)+IF(AND(V324&gt;175,W324&gt;=95),0.12,0),
IF(AF324="DoEVsu",IF(AND(V324&lt;20,W324&lt;55),0.3,0)+IF(AND(V324&lt;20,W324&gt;=55,W324&lt;105),0.23,0)+IF(AND(V324&lt;20,W324&gt;=105),0.17,0)+IF(AND(V324&gt;=20,V324&lt;40,W324&lt;45),0.3,0)+IF(AND(V324&gt;=20,V324&lt;40,W324&gt;=45,W324&lt;95),0.23,0)+IF(AND(V324&gt;=20,V324&lt;40,W324&gt;=95,W324&lt;=250),0.17,0)+IF(AND(V324&gt;=20,V324&lt;40,W324&gt;=250),0.12,0)+IF(AND(V324&gt;=40,V324&lt;75,W324&lt;35),0.3,0)+IF(AND(V324&gt;=40,V324&lt;75,W324&gt;=35,W324&lt;75),0.23,0)+IF(AND(V324&gt;=40,V324&lt;75,W324&gt;=75,W324&lt;120),0.17,0)+IF(AND(V324&gt;=40,V324&lt;75,W324&gt;=120),0.12,0)+IF(AND(V324&gt;=75,V324&lt;175,W324&lt;35),0.3,0)+IF(AND(V324&gt;=75,V324&lt;=175,W324&gt;=35,W324&lt;65),0.23,0)+IF(AND(V324&gt;=75,V324&lt;=175,W324&gt;=65,W324&lt;110),0.17,0)+IF(AND(V324&gt;=75,V324&lt;=175,W324&gt;=110),0.12,0)+IF(AND(V324&gt;175,W324&lt;25),0.3,0)+IF(AND(V324&gt;175,W324&gt;=25,W324&lt;55),0.23,0)+IF(AND(V324&gt;175,W324&gt;=55,W324&lt;95),0.17,0)+IF(AND(V324&gt;175,W324&gt;=95),0.12,0),
IF(AF324="DoEVni",IF(AND(V324&lt;20,W324&lt;55),0.3,0)+IF(AND(V324&lt;20,W324&gt;=55,W324&lt;105),0.23,0)+IF(AND(V324&lt;20,W324&gt;=105),0.17,0)+IF(AND(V324&gt;=20,V324&lt;40,W324&lt;45),0.3,0)+IF(AND(V324&gt;=20,V324&lt;40,W324&gt;=45,W324&lt;95),0.23,0)+IF(AND(V324&gt;=20,V324&lt;40,W324&gt;=95,W324&lt;=200),0.17,0)+IF(AND(V324&gt;=20,V324&lt;40,W324&gt;=200),0.12,0)+IF(AND(V324&gt;=40,V324&lt;75,W324&lt;35),0.3,0)+IF(AND(V324&gt;=40,V324&lt;75,W324&gt;=35,W324&lt;75),0.23,0)+IF(AND(V324&gt;=40,V324&lt;75,W324&gt;=75,W324&lt;120),0.17,0)+IF(AND(V324&gt;=40,V324&lt;75,W324&gt;=120),0.12,0)+IF(AND(V324&gt;=75,V324&lt;175,W324&lt;35),0.3,0)+IF(AND(V324&gt;=75,V324&lt;=175,W324&gt;=35,W324&lt;65),0.23,0)+IF(AND(V324&gt;=75,V324&lt;=175,W324&gt;=65,W324&lt;110),0.17,0)+IF(AND(V324&gt;=75,V324&lt;=175,W324&gt;=110),0.12,0)+IF(AND(V324&gt;175,W324&lt;25),0.3,0)+IF(AND(V324&gt;175,W324&gt;=25,W324&lt;55),0.23,0)+IF(AND(V324&gt;175,W324&gt;=55,W324&lt;95),0.17,0)+IF(AND(V324&gt;175,W324&gt;=95),0.12,0),
IF(AF324="DoEVLo",IF(AND(V324&lt;20,W324&lt;55),0.25,0)+IF(AND(V324&lt;20,W324&gt;=55,W324&lt;105),0.2,0)+IF(AND(V324&lt;20,W324&gt;=105),0.15,0)+IF(AND(V324&gt;=20,V324&lt;40,W324&lt;45),0.25,0)+IF(AND(V324&gt;=20,V324&lt;40,W324&gt;=45,W324&lt;95),0.2,0)+IF(AND(V324&gt;=20,V324&lt;40,W324&gt;=95),0.15,0)+IF(AND(V324&gt;=40,V324&lt;75,W324&lt;35),0.25,0)+IF(AND(V324&gt;=40,V324&lt;75,W324&gt;=35,W324&lt;75),0.2,0)+IF(AND(V324&gt;=40,V324&lt;75,W324&gt;=75,W324&lt;120),0.15,0)+IF(AND(V324&gt;=40,V324&lt;75,W324&gt;=120),0.1,0)+IF(AND(V324&gt;=75,V324&lt;175,W324&lt;35),0.25,0)+IF(AND(V324&gt;=75,V324&lt;=175,W324&gt;=35,W324&lt;65),0.2,0)+IF(AND(V324&gt;=75,V324&lt;=175,W324&gt;=65,W324&lt;110),0.15,0)+IF(AND(V324&gt;=75,V324&lt;=175,W324&gt;=110),0.1,0)+IF(AND(V324&gt;175,W324&lt;25),0.25,0)+IF(AND(V324&gt;175,W324&gt;=25,W324&lt;55),0.2,0)+IF(AND(V324&gt;175,W324&gt;=55,W324&lt;95),0.15,0)+IF(AND(V324&gt;175,W324&gt;=95),0.1,0))))))))))))))))</f>
        <v>0.3</v>
      </c>
      <c r="Y324" s="30">
        <f>IF(AG324="None",0,IF(AG324="Fix5",0.05,IF(AG324="Fix3.75",0.0375,IF(AG324="Fix10",0.1,IF(AG324="Fix3",0.03,0)))))</f>
        <v>0</v>
      </c>
      <c r="Z324" s="35">
        <f>T324-AA324-AB324</f>
        <v>255.5</v>
      </c>
      <c r="AA324" s="29">
        <f>IF(AD324="EUR",((T324-R324)*X324)*U324+(R324*X324),(T324*X324))</f>
        <v>109.5</v>
      </c>
      <c r="AB324" s="36">
        <f>IF(AD324="EUR",((T324-R324)*Y324)*U324+(R324*Y324),(T324*Y324))</f>
        <v>0</v>
      </c>
      <c r="AC324" s="37" t="b">
        <v>1</v>
      </c>
      <c r="AD324" s="37" t="s">
        <v>38</v>
      </c>
      <c r="AE324" s="37" t="s">
        <v>38</v>
      </c>
      <c r="AF324" s="37" t="str">
        <f t="array" ref="AF324">INDEX('Deal Info'!D:D, MATCH(A324,'Deal Info'!A:A, 0))</f>
        <v>SF</v>
      </c>
      <c r="AG324" s="38" t="str">
        <f t="array" ref="AG324">INDEX('Deal Info'!G:G, MATCH(A324,'Deal Info'!A:A, 0))</f>
        <v>None</v>
      </c>
    </row>
    <row r="325" spans="1:33" ht="14.25" hidden="1" x14ac:dyDescent="0.2">
      <c r="A325" s="18" t="str">
        <f t="array" ref="A325">IF(G325='Room Info'!$B$1, INDEX('Room Info'!$A$2:$A2446, MATCH(B325,'Room Info'!$B$2:$B2446, 0)),IF(G325='Room Info'!$C$1, INDEX('Room Info'!$A$2:$A2446, MATCH(B325,'Room Info'!$C$2:$C2446, 0)),IF(G325='Room Info'!$D$1, INDEX('Room Info'!$A$2:$A2446, MATCH(B325,'Room Info'!$D$2:$D2446, 0)),IF(G325='Room Info'!$E$1, INDEX('Room Info'!$A$2:$A2446, MATCH(B325,'Room Info'!$E$2:$E2446, 0)),IF(G325='Room Info'!$F$1, INDEX('Room Info'!$A$2:$A2446, MATCH(B325,'Room Info'!$F$2:$F2446, 0)),IF(G325='Room Info'!$H$1, INDEX('Room Info'!$A$2:$A2446, MATCH(B325,'Room Info'!$H$2:$H2446, 0)),IF(G325='Room Info'!$G$1, INDEX('Room Info'!$A$2:$A2446, MATCH(B325,'Room Info'!$G$2:$G2446, 0)))))))))</f>
        <v>Kiss4money99</v>
      </c>
      <c r="B325" s="45" t="s">
        <v>119</v>
      </c>
      <c r="C325" s="46">
        <v>44256</v>
      </c>
      <c r="D325" s="46">
        <v>44286</v>
      </c>
      <c r="E325" s="47">
        <v>44256</v>
      </c>
      <c r="F325" s="45" t="s">
        <v>34</v>
      </c>
      <c r="G325" s="45" t="s">
        <v>69</v>
      </c>
      <c r="H325" s="49" t="s">
        <v>71</v>
      </c>
      <c r="I325" s="49" t="s">
        <v>37</v>
      </c>
      <c r="J325" s="70">
        <v>20</v>
      </c>
      <c r="K325" s="71">
        <v>2026</v>
      </c>
      <c r="L325" s="52">
        <v>2660</v>
      </c>
      <c r="M325" s="53">
        <v>2280</v>
      </c>
      <c r="N325" s="28">
        <f>K325*J325</f>
        <v>40520</v>
      </c>
      <c r="O325" s="54">
        <v>89727</v>
      </c>
      <c r="P325" s="29">
        <v>44.287759129999998</v>
      </c>
      <c r="Q325" s="55"/>
      <c r="R325" s="31">
        <f>M325+Q325</f>
        <v>2280</v>
      </c>
      <c r="S325" s="56">
        <v>638</v>
      </c>
      <c r="T325" s="32">
        <f>R325+S325+IF(F325="Without EV deal",L325,0)</f>
        <v>2918</v>
      </c>
      <c r="U325" s="57">
        <v>1</v>
      </c>
      <c r="V325" s="69">
        <v>20</v>
      </c>
      <c r="W325" s="58">
        <v>33.479999999999997</v>
      </c>
      <c r="X325" s="30">
        <f>IF(AF325="DoEV",IF(AND(V325&lt;20,W325&lt;55),0.3,0)+IF(AND(V325&lt;20,W325&gt;=55,W325&lt;105),0.23,0)+IF(AND(V325&lt;20,W325&gt;=105),0.17,0)+IF(AND(V325&gt;=20,V325&lt;40,W325&lt;45),0.3,0)+IF(AND(V325&gt;=20,V325&lt;40,W325&gt;=45,W325&lt;95),0.23,0)+IF(AND(V325&gt;=20,V325&lt;40,W325&gt;=95),0.17,0)+IF(AND(V325&gt;=40,V325&lt;75,W325&lt;35),0.3,0)+IF(AND(V325&gt;=40,V325&lt;75,W325&gt;=35,W325&lt;75),0.23,0)+IF(AND(V325&gt;=40,V325&lt;75,W325&gt;=75,W325&lt;120),0.17,0)+IF(AND(V325&gt;=40,V325&lt;75,W325&gt;=120),0.12,0)+IF(AND(V325&gt;=75,V325&lt;175,W325&lt;35),0.3,0)+IF(AND(V325&gt;=75,V325&lt;=175,W325&gt;=35,W325&lt;65),0.23,0)+IF(AND(V325&gt;=75,V325&lt;=175,W325&gt;=65,W325&lt;110),0.17,0)+IF(AND(V325&gt;=75,V325&lt;=175,W325&gt;=110),0.12,0)+IF(AND(V325&gt;175,W325&lt;25),0.3,0)+IF(AND(V325&gt;175,W325&gt;=25,W325&lt;55),0.23,0)+IF(AND(V325&gt;175,W325&gt;=55,W325&lt;95),0.17,0)+IF(AND(V325&gt;175,W325&gt;=95),0.12,0),
IF(AF325="Fix15",0.15,
IF(AF325="Fix11.25",0.1125,
IF(AF325="Fix10",0.1,
IF(AF325="Fix9",0.09,
IF(AF325="DoEV2017",IF(AND(W325&lt;74),0.2,0)+IF(AND(W325&gt;=74),0.17,0),
IF(AF325="SF",IF(AND(V325&lt;20,W325&lt;89),0.3,0)+IF(AND(V325&lt;20,W325&gt;=89),0.25,0)+IF(AND(V325&gt;=20,V325&lt;40,W325&lt;74),0.3,0)+IF(AND(V325&gt;=20,V325&lt;40,W325&gt;=75),0.22,0)+IF(AND(V325&gt;=40,V325&lt;75,W325&lt;75),0.26,0)+IF(AND(V325&gt;=40,V325&lt;75,W325&gt;=75),0.22,0)+IF(V325&gt;=75,0.22,0),
IF(AF325="DoEVold",IF(AND(V325&lt;40,W325&lt;35),0.35,0)+IF(AND(V325&lt;40,W325&gt;=35,W325&lt;75),0.25,0)+IF(AND(V325&lt;40,W325&gt;=75),0.17,0)+IF(AND(V325&gt;=40,V325&lt;75,W325&lt;25),0.35,0)+IF(AND(V325&gt;=40,V325&lt;75,W325&gt;=25,W325&lt;65),0.25,0)+IF(AND(V325&gt;=40,V325&lt;75,W325&gt;=65,W325&lt;100),0.17,0)+IF(AND(V325&gt;=40,V325&lt;75,W325&gt;=100),0.1,0)+IF(AND(V325&gt;=75,W325&lt;25),0.35,0)+IF(AND(V325&gt;=75,W325&gt;=25,W325&lt;60),0.25,0)+IF(AND(V325&gt;=75,W325&gt;=60,W325&lt;95),0.17,0)+IF(AND(V325&gt;=75,W325&gt;=95),0.1,0),
IF(AF325="DoEVold15",IF(AND(V325&lt;=40,W325&lt;35),0.35,0)+IF(AND(V325&lt;=40,W325&gt;=35,W325&lt;75),0.25,0)+IF(AND(V325&lt;=40,W325&gt;=75,W325&lt;120),0.17,0)+IF(AND(V325&lt;=40,W325&gt;=120),0.15,0)+IF(AND(V325&gt;40,V325&lt;75,W325&lt;25),0.35,0)+IF(AND(V325&gt;=40,V325&lt;75,W325&gt;=25,W325&lt;65),0.25,0)+IF(AND(V325&gt;=40,V325&lt;75,W325&gt;=65,W325&lt;100),0.17,0)+IF(AND(V325&gt;=40,V325&lt;75,W325&gt;=100),0.1,0)+IF(AND(V325&gt;=75,W325&lt;25),0.35,0)+IF(AND(V325&gt;=75,W325&gt;=25,W325&lt;60),0.25,0)+IF(AND(V325&gt;=75,W325&gt;=60,W325&lt;95),0.17,0)+IF(AND(V325&gt;=75,W325&gt;=95),0.1,0),
IF(AF325="DoEVba",IF(AND(V325&lt;20,W325&lt;105),0.2,0)+IF(AND(V325&lt;20,W325&gt;=105),0.15,0)+IF(AND(V325&gt;=20,V325&lt;40,W325&lt;95),0.2,0)+IF(AND(V325&gt;=20,V325&lt;40,W325&gt;=95,W325&lt;150),0.15,0)+IF(AND(V325&gt;=20,V325&lt;40,W325&gt;=150),0.12,0)+IF(AND(V325&gt;=40,V325&lt;75,W325&lt;75),0.2,0)+IF(AND(V325&gt;=40,V325&lt;75,W325&gt;=75,W325&lt;120),0.15,0)+IF(AND(V325&gt;=40,V325&lt;75,W325&gt;=120),0.12,0)+IF(AND(V325&gt;=75,V325&lt;175,W325&lt;65),0.2,0)+IF(AND(V325&gt;=75,V325&lt;175,W325&gt;=65,W325&lt;110),0.15,0)+IF(AND(V325&gt;=75,V325&lt;175,W325&gt;=110),0.12,0)+IF(AND(V325&gt;=175,W325&lt;55),0.2,0)+IF(AND(V325&gt;=175,W325&gt;=55,W325&lt;95),0.15,0)+IF(AND(V325&gt;=175,W325&gt;=95),0.12,0),
IF(AF325="DoEVku",IF(AND(V325&lt;20,W325&lt;55),0.23,0)+IF(AND(V325&lt;20,W325&gt;=55,W325&lt;105),0.2,0)+IF(AND(V325&lt;20,W325&gt;=105),0.17,0)+IF(AND(V325&gt;=20,V325&lt;40,W325&lt;45),0.23,0)+IF(AND(V325&gt;=20,V325&lt;40,W325&gt;=45,W325&lt;95),0.2,0)+IF(AND(V325&gt;=20,V325&lt;40,W325&gt;=95,W325&lt;=150),0.17,0)+IF(AND(V325&gt;=20,V325&lt;40,W325&gt;=150),0.12,0)+IF(AND(V325&gt;=40,V325&lt;75,W325&lt;35),0.23,0)+IF(AND(V325&gt;=40,V325&lt;75,W325&gt;=35,W325&lt;75),0.2,0)+IF(AND(V325&gt;=40,V325&lt;75,W325&gt;=75,W325&lt;120),0.17,0)+IF(AND(V325&gt;=40,V325&lt;75,W325&gt;=120),0.12,0)+IF(AND(V325&gt;=75,V325&lt;175,W325&lt;35),0.23,0)+IF(AND(V325&gt;=75,V325&lt;=175,W325&gt;=35,W325&lt;65),0.2,0)+IF(AND(V325&gt;=75,V325&lt;=175,W325&gt;=65,W325&lt;110),0.17,0)+IF(AND(V325&gt;=75,V325&lt;=175,W325&gt;=110),0.12,0)+IF(AND(V325&gt;175,W325&lt;25),0.23,0)+IF(AND(V325&gt;175,W325&gt;=25,W325&lt;55),0.2,0)+IF(AND(V325&gt;175,W325&gt;=55,W325&lt;95),0.17,0)+IF(AND(V325&gt;175,W325&gt;=95),0.12,0),
IF(AF325="DoEVs1",IF(AND(V325&lt;20,W325&lt;55),0.3,0)+IF(AND(V325&lt;20,W325&gt;=55,W325&lt;105),0.23,0)+IF(AND(V325&lt;20,W325&gt;=105),0.17,0)+IF(AND(V325&gt;=20,V325&lt;40,W325&lt;45),0.3,0)+IF(AND(V325&gt;=20,V325&lt;40,W325&gt;=45,W325&lt;95),0.23,0)+IF(AND(V325&gt;=20,V325&lt;40,W325&gt;=95,W325&lt;=150),0.17,0)+IF(AND(V325&gt;=20,V325&lt;40,W325&gt;=150),0.12,0)+IF(AND(V325&gt;=40,V325&lt;75,W325&lt;35),0.3,0)+IF(AND(V325&gt;=40,V325&lt;75,W325&gt;=35,W325&lt;75),0.23,0)+IF(AND(V325&gt;=40,V325&lt;75,W325&gt;=75,W325&lt;120),0.17,0)+IF(AND(V325&gt;=40,V325&lt;75,W325&gt;=120),0.12,0)+IF(AND(V325&gt;=75,V325&lt;175,W325&lt;35),0.3,0)+IF(AND(V325&gt;=75,V325&lt;=175,W325&gt;=35,W325&lt;65),0.23,0)+IF(AND(V325&gt;=75,V325&lt;=175,W325&gt;=65,W325&lt;110),0.17,0)+IF(AND(V325&gt;=75,V325&lt;=175,W325&gt;=110),0.12,0)+IF(AND(V325&gt;175,W325&lt;25),0.3,0)+IF(AND(V325&gt;175,W325&gt;=25,W325&lt;55),0.23,0)+IF(AND(V325&gt;175,W325&gt;=55,W325&lt;95),0.17,0)+IF(AND(V325&gt;175,W325&gt;=95),0.12,0),
IF(AF325="DoEVsu",IF(AND(V325&lt;20,W325&lt;55),0.3,0)+IF(AND(V325&lt;20,W325&gt;=55,W325&lt;105),0.23,0)+IF(AND(V325&lt;20,W325&gt;=105),0.17,0)+IF(AND(V325&gt;=20,V325&lt;40,W325&lt;45),0.3,0)+IF(AND(V325&gt;=20,V325&lt;40,W325&gt;=45,W325&lt;95),0.23,0)+IF(AND(V325&gt;=20,V325&lt;40,W325&gt;=95,W325&lt;=250),0.17,0)+IF(AND(V325&gt;=20,V325&lt;40,W325&gt;=250),0.12,0)+IF(AND(V325&gt;=40,V325&lt;75,W325&lt;35),0.3,0)+IF(AND(V325&gt;=40,V325&lt;75,W325&gt;=35,W325&lt;75),0.23,0)+IF(AND(V325&gt;=40,V325&lt;75,W325&gt;=75,W325&lt;120),0.17,0)+IF(AND(V325&gt;=40,V325&lt;75,W325&gt;=120),0.12,0)+IF(AND(V325&gt;=75,V325&lt;175,W325&lt;35),0.3,0)+IF(AND(V325&gt;=75,V325&lt;=175,W325&gt;=35,W325&lt;65),0.23,0)+IF(AND(V325&gt;=75,V325&lt;=175,W325&gt;=65,W325&lt;110),0.17,0)+IF(AND(V325&gt;=75,V325&lt;=175,W325&gt;=110),0.12,0)+IF(AND(V325&gt;175,W325&lt;25),0.3,0)+IF(AND(V325&gt;175,W325&gt;=25,W325&lt;55),0.23,0)+IF(AND(V325&gt;175,W325&gt;=55,W325&lt;95),0.17,0)+IF(AND(V325&gt;175,W325&gt;=95),0.12,0),
IF(AF325="DoEVni",IF(AND(V325&lt;20,W325&lt;55),0.3,0)+IF(AND(V325&lt;20,W325&gt;=55,W325&lt;105),0.23,0)+IF(AND(V325&lt;20,W325&gt;=105),0.17,0)+IF(AND(V325&gt;=20,V325&lt;40,W325&lt;45),0.3,0)+IF(AND(V325&gt;=20,V325&lt;40,W325&gt;=45,W325&lt;95),0.23,0)+IF(AND(V325&gt;=20,V325&lt;40,W325&gt;=95,W325&lt;=200),0.17,0)+IF(AND(V325&gt;=20,V325&lt;40,W325&gt;=200),0.12,0)+IF(AND(V325&gt;=40,V325&lt;75,W325&lt;35),0.3,0)+IF(AND(V325&gt;=40,V325&lt;75,W325&gt;=35,W325&lt;75),0.23,0)+IF(AND(V325&gt;=40,V325&lt;75,W325&gt;=75,W325&lt;120),0.17,0)+IF(AND(V325&gt;=40,V325&lt;75,W325&gt;=120),0.12,0)+IF(AND(V325&gt;=75,V325&lt;175,W325&lt;35),0.3,0)+IF(AND(V325&gt;=75,V325&lt;=175,W325&gt;=35,W325&lt;65),0.23,0)+IF(AND(V325&gt;=75,V325&lt;=175,W325&gt;=65,W325&lt;110),0.17,0)+IF(AND(V325&gt;=75,V325&lt;=175,W325&gt;=110),0.12,0)+IF(AND(V325&gt;175,W325&lt;25),0.3,0)+IF(AND(V325&gt;175,W325&gt;=25,W325&lt;55),0.23,0)+IF(AND(V325&gt;175,W325&gt;=55,W325&lt;95),0.17,0)+IF(AND(V325&gt;175,W325&gt;=95),0.12,0),
IF(AF325="DoEVLo",IF(AND(V325&lt;20,W325&lt;55),0.25,0)+IF(AND(V325&lt;20,W325&gt;=55,W325&lt;105),0.2,0)+IF(AND(V325&lt;20,W325&gt;=105),0.15,0)+IF(AND(V325&gt;=20,V325&lt;40,W325&lt;45),0.25,0)+IF(AND(V325&gt;=20,V325&lt;40,W325&gt;=45,W325&lt;95),0.2,0)+IF(AND(V325&gt;=20,V325&lt;40,W325&gt;=95),0.15,0)+IF(AND(V325&gt;=40,V325&lt;75,W325&lt;35),0.25,0)+IF(AND(V325&gt;=40,V325&lt;75,W325&gt;=35,W325&lt;75),0.2,0)+IF(AND(V325&gt;=40,V325&lt;75,W325&gt;=75,W325&lt;120),0.15,0)+IF(AND(V325&gt;=40,V325&lt;75,W325&gt;=120),0.1,0)+IF(AND(V325&gt;=75,V325&lt;175,W325&lt;35),0.25,0)+IF(AND(V325&gt;=75,V325&lt;=175,W325&gt;=35,W325&lt;65),0.2,0)+IF(AND(V325&gt;=75,V325&lt;=175,W325&gt;=65,W325&lt;110),0.15,0)+IF(AND(V325&gt;=75,V325&lt;=175,W325&gt;=110),0.1,0)+IF(AND(V325&gt;175,W325&lt;25),0.25,0)+IF(AND(V325&gt;175,W325&gt;=25,W325&lt;55),0.2,0)+IF(AND(V325&gt;175,W325&gt;=55,W325&lt;95),0.15,0)+IF(AND(V325&gt;175,W325&gt;=95),0.1,0))))))))))))))))</f>
        <v>0.3</v>
      </c>
      <c r="Y325" s="30">
        <f>IF(AG325="None",0,IF(AG325="Fix5",0.05,IF(AG325="Fix3.75",0.0375,IF(AG325="Fix10",0.1,IF(AG325="Fix3",0.03,0)))))</f>
        <v>0</v>
      </c>
      <c r="Z325" s="35">
        <f>T325-AA325-AB325</f>
        <v>2042.6</v>
      </c>
      <c r="AA325" s="29">
        <f>IF(AD325="EUR",((T325-R325)*X325)*U325+(R325*X325),(T325*X325))</f>
        <v>875.4</v>
      </c>
      <c r="AB325" s="36">
        <f>IF(AD325="EUR",((T325-R325)*Y325)*U325+(R325*Y325),(T325*Y325))</f>
        <v>0</v>
      </c>
      <c r="AC325" s="37" t="b">
        <v>1</v>
      </c>
      <c r="AD325" s="37" t="s">
        <v>38</v>
      </c>
      <c r="AE325" s="37" t="s">
        <v>38</v>
      </c>
      <c r="AF325" s="37" t="str">
        <f t="array" ref="AF325">INDEX('Deal Info'!D:D, MATCH(A325,'Deal Info'!A:A, 0))</f>
        <v>SF</v>
      </c>
      <c r="AG325" s="38" t="str">
        <f t="array" ref="AG325">INDEX('Deal Info'!G:G, MATCH(A325,'Deal Info'!A:A, 0))</f>
        <v>None</v>
      </c>
    </row>
    <row r="326" spans="1:33" ht="14.25" hidden="1" x14ac:dyDescent="0.2">
      <c r="A326" s="18" t="str">
        <f t="array" ref="A326">IF(G326='Room Info'!$B$1, INDEX('Room Info'!$A$2:$A2446, MATCH(B326,'Room Info'!$B$2:$B2446, 0)),IF(G326='Room Info'!$C$1, INDEX('Room Info'!$A$2:$A2446, MATCH(B326,'Room Info'!$C$2:$C2446, 0)),IF(G326='Room Info'!$D$1, INDEX('Room Info'!$A$2:$A2446, MATCH(B326,'Room Info'!$D$2:$D2446, 0)),IF(G326='Room Info'!$E$1, INDEX('Room Info'!$A$2:$A2446, MATCH(B326,'Room Info'!$E$2:$E2446, 0)),IF(G326='Room Info'!$F$1, INDEX('Room Info'!$A$2:$A2446, MATCH(B326,'Room Info'!$F$2:$F2446, 0)),IF(G326='Room Info'!$H$1, INDEX('Room Info'!$A$2:$A2446, MATCH(B326,'Room Info'!$H$2:$H2446, 0)),IF(G326='Room Info'!$G$1, INDEX('Room Info'!$A$2:$A2446, MATCH(B326,'Room Info'!$G$2:$G2446, 0)))))))))</f>
        <v>Kiss4money99</v>
      </c>
      <c r="B326" s="45" t="s">
        <v>119</v>
      </c>
      <c r="C326" s="46">
        <v>44287</v>
      </c>
      <c r="D326" s="46">
        <v>44316</v>
      </c>
      <c r="E326" s="47">
        <v>44287</v>
      </c>
      <c r="F326" s="48" t="s">
        <v>34</v>
      </c>
      <c r="G326" s="45" t="s">
        <v>69</v>
      </c>
      <c r="H326" s="49" t="s">
        <v>71</v>
      </c>
      <c r="I326" s="49" t="s">
        <v>37</v>
      </c>
      <c r="J326" s="70">
        <v>20</v>
      </c>
      <c r="K326" s="71">
        <v>1466</v>
      </c>
      <c r="L326" s="52">
        <v>-2180</v>
      </c>
      <c r="M326" s="53">
        <v>773</v>
      </c>
      <c r="N326" s="28">
        <f>K326*J326</f>
        <v>29320</v>
      </c>
      <c r="O326" s="54">
        <v>12717</v>
      </c>
      <c r="P326" s="29">
        <v>8.6746248290000008</v>
      </c>
      <c r="Q326" s="55"/>
      <c r="R326" s="31">
        <f>M326+Q326</f>
        <v>773</v>
      </c>
      <c r="S326" s="56">
        <v>-1493</v>
      </c>
      <c r="T326" s="32">
        <f>R326+S326+IF(F326="Without EV deal",L326,0)</f>
        <v>-720</v>
      </c>
      <c r="U326" s="57">
        <v>1</v>
      </c>
      <c r="V326" s="69">
        <v>20.403768506056526</v>
      </c>
      <c r="W326" s="69">
        <v>-27.936015831134569</v>
      </c>
      <c r="X326" s="30">
        <f>IF(AF326="DoEV",IF(AND(V326&lt;20,W326&lt;55),0.3,0)+IF(AND(V326&lt;20,W326&gt;=55,W326&lt;105),0.23,0)+IF(AND(V326&lt;20,W326&gt;=105),0.17,0)+IF(AND(V326&gt;=20,V326&lt;40,W326&lt;45),0.3,0)+IF(AND(V326&gt;=20,V326&lt;40,W326&gt;=45,W326&lt;95),0.23,0)+IF(AND(V326&gt;=20,V326&lt;40,W326&gt;=95),0.17,0)+IF(AND(V326&gt;=40,V326&lt;75,W326&lt;35),0.3,0)+IF(AND(V326&gt;=40,V326&lt;75,W326&gt;=35,W326&lt;75),0.23,0)+IF(AND(V326&gt;=40,V326&lt;75,W326&gt;=75,W326&lt;120),0.17,0)+IF(AND(V326&gt;=40,V326&lt;75,W326&gt;=120),0.12,0)+IF(AND(V326&gt;=75,V326&lt;175,W326&lt;35),0.3,0)+IF(AND(V326&gt;=75,V326&lt;=175,W326&gt;=35,W326&lt;65),0.23,0)+IF(AND(V326&gt;=75,V326&lt;=175,W326&gt;=65,W326&lt;110),0.17,0)+IF(AND(V326&gt;=75,V326&lt;=175,W326&gt;=110),0.12,0)+IF(AND(V326&gt;175,W326&lt;25),0.3,0)+IF(AND(V326&gt;175,W326&gt;=25,W326&lt;55),0.23,0)+IF(AND(V326&gt;175,W326&gt;=55,W326&lt;95),0.17,0)+IF(AND(V326&gt;175,W326&gt;=95),0.12,0),
IF(AF326="Fix15",0.15,
IF(AF326="Fix11.25",0.1125,
IF(AF326="Fix10",0.1,
IF(AF326="Fix9",0.09,
IF(AF326="DoEV2017",IF(AND(W326&lt;74),0.2,0)+IF(AND(W326&gt;=74),0.17,0),
IF(AF326="SF",IF(AND(V326&lt;20,W326&lt;89),0.3,0)+IF(AND(V326&lt;20,W326&gt;=89),0.25,0)+IF(AND(V326&gt;=20,V326&lt;40,W326&lt;74),0.3,0)+IF(AND(V326&gt;=20,V326&lt;40,W326&gt;=75),0.22,0)+IF(AND(V326&gt;=40,V326&lt;75,W326&lt;75),0.26,0)+IF(AND(V326&gt;=40,V326&lt;75,W326&gt;=75),0.22,0)+IF(V326&gt;=75,0.22,0),
IF(AF326="DoEVold",IF(AND(V326&lt;40,W326&lt;35),0.35,0)+IF(AND(V326&lt;40,W326&gt;=35,W326&lt;75),0.25,0)+IF(AND(V326&lt;40,W326&gt;=75),0.17,0)+IF(AND(V326&gt;=40,V326&lt;75,W326&lt;25),0.35,0)+IF(AND(V326&gt;=40,V326&lt;75,W326&gt;=25,W326&lt;65),0.25,0)+IF(AND(V326&gt;=40,V326&lt;75,W326&gt;=65,W326&lt;100),0.17,0)+IF(AND(V326&gt;=40,V326&lt;75,W326&gt;=100),0.1,0)+IF(AND(V326&gt;=75,W326&lt;25),0.35,0)+IF(AND(V326&gt;=75,W326&gt;=25,W326&lt;60),0.25,0)+IF(AND(V326&gt;=75,W326&gt;=60,W326&lt;95),0.17,0)+IF(AND(V326&gt;=75,W326&gt;=95),0.1,0),
IF(AF326="DoEVold15",IF(AND(V326&lt;=40,W326&lt;35),0.35,0)+IF(AND(V326&lt;=40,W326&gt;=35,W326&lt;75),0.25,0)+IF(AND(V326&lt;=40,W326&gt;=75,W326&lt;120),0.17,0)+IF(AND(V326&lt;=40,W326&gt;=120),0.15,0)+IF(AND(V326&gt;40,V326&lt;75,W326&lt;25),0.35,0)+IF(AND(V326&gt;=40,V326&lt;75,W326&gt;=25,W326&lt;65),0.25,0)+IF(AND(V326&gt;=40,V326&lt;75,W326&gt;=65,W326&lt;100),0.17,0)+IF(AND(V326&gt;=40,V326&lt;75,W326&gt;=100),0.1,0)+IF(AND(V326&gt;=75,W326&lt;25),0.35,0)+IF(AND(V326&gt;=75,W326&gt;=25,W326&lt;60),0.25,0)+IF(AND(V326&gt;=75,W326&gt;=60,W326&lt;95),0.17,0)+IF(AND(V326&gt;=75,W326&gt;=95),0.1,0),
IF(AF326="DoEVba",IF(AND(V326&lt;20,W326&lt;105),0.2,0)+IF(AND(V326&lt;20,W326&gt;=105),0.15,0)+IF(AND(V326&gt;=20,V326&lt;40,W326&lt;95),0.2,0)+IF(AND(V326&gt;=20,V326&lt;40,W326&gt;=95,W326&lt;150),0.15,0)+IF(AND(V326&gt;=20,V326&lt;40,W326&gt;=150),0.12,0)+IF(AND(V326&gt;=40,V326&lt;75,W326&lt;75),0.2,0)+IF(AND(V326&gt;=40,V326&lt;75,W326&gt;=75,W326&lt;120),0.15,0)+IF(AND(V326&gt;=40,V326&lt;75,W326&gt;=120),0.12,0)+IF(AND(V326&gt;=75,V326&lt;175,W326&lt;65),0.2,0)+IF(AND(V326&gt;=75,V326&lt;175,W326&gt;=65,W326&lt;110),0.15,0)+IF(AND(V326&gt;=75,V326&lt;175,W326&gt;=110),0.12,0)+IF(AND(V326&gt;=175,W326&lt;55),0.2,0)+IF(AND(V326&gt;=175,W326&gt;=55,W326&lt;95),0.15,0)+IF(AND(V326&gt;=175,W326&gt;=95),0.12,0),
IF(AF326="DoEVku",IF(AND(V326&lt;20,W326&lt;55),0.23,0)+IF(AND(V326&lt;20,W326&gt;=55,W326&lt;105),0.2,0)+IF(AND(V326&lt;20,W326&gt;=105),0.17,0)+IF(AND(V326&gt;=20,V326&lt;40,W326&lt;45),0.23,0)+IF(AND(V326&gt;=20,V326&lt;40,W326&gt;=45,W326&lt;95),0.2,0)+IF(AND(V326&gt;=20,V326&lt;40,W326&gt;=95,W326&lt;=150),0.17,0)+IF(AND(V326&gt;=20,V326&lt;40,W326&gt;=150),0.12,0)+IF(AND(V326&gt;=40,V326&lt;75,W326&lt;35),0.23,0)+IF(AND(V326&gt;=40,V326&lt;75,W326&gt;=35,W326&lt;75),0.2,0)+IF(AND(V326&gt;=40,V326&lt;75,W326&gt;=75,W326&lt;120),0.17,0)+IF(AND(V326&gt;=40,V326&lt;75,W326&gt;=120),0.12,0)+IF(AND(V326&gt;=75,V326&lt;175,W326&lt;35),0.23,0)+IF(AND(V326&gt;=75,V326&lt;=175,W326&gt;=35,W326&lt;65),0.2,0)+IF(AND(V326&gt;=75,V326&lt;=175,W326&gt;=65,W326&lt;110),0.17,0)+IF(AND(V326&gt;=75,V326&lt;=175,W326&gt;=110),0.12,0)+IF(AND(V326&gt;175,W326&lt;25),0.23,0)+IF(AND(V326&gt;175,W326&gt;=25,W326&lt;55),0.2,0)+IF(AND(V326&gt;175,W326&gt;=55,W326&lt;95),0.17,0)+IF(AND(V326&gt;175,W326&gt;=95),0.12,0),
IF(AF326="DoEVs1",IF(AND(V326&lt;20,W326&lt;55),0.3,0)+IF(AND(V326&lt;20,W326&gt;=55,W326&lt;105),0.23,0)+IF(AND(V326&lt;20,W326&gt;=105),0.17,0)+IF(AND(V326&gt;=20,V326&lt;40,W326&lt;45),0.3,0)+IF(AND(V326&gt;=20,V326&lt;40,W326&gt;=45,W326&lt;95),0.23,0)+IF(AND(V326&gt;=20,V326&lt;40,W326&gt;=95,W326&lt;=150),0.17,0)+IF(AND(V326&gt;=20,V326&lt;40,W326&gt;=150),0.12,0)+IF(AND(V326&gt;=40,V326&lt;75,W326&lt;35),0.3,0)+IF(AND(V326&gt;=40,V326&lt;75,W326&gt;=35,W326&lt;75),0.23,0)+IF(AND(V326&gt;=40,V326&lt;75,W326&gt;=75,W326&lt;120),0.17,0)+IF(AND(V326&gt;=40,V326&lt;75,W326&gt;=120),0.12,0)+IF(AND(V326&gt;=75,V326&lt;175,W326&lt;35),0.3,0)+IF(AND(V326&gt;=75,V326&lt;=175,W326&gt;=35,W326&lt;65),0.23,0)+IF(AND(V326&gt;=75,V326&lt;=175,W326&gt;=65,W326&lt;110),0.17,0)+IF(AND(V326&gt;=75,V326&lt;=175,W326&gt;=110),0.12,0)+IF(AND(V326&gt;175,W326&lt;25),0.3,0)+IF(AND(V326&gt;175,W326&gt;=25,W326&lt;55),0.23,0)+IF(AND(V326&gt;175,W326&gt;=55,W326&lt;95),0.17,0)+IF(AND(V326&gt;175,W326&gt;=95),0.12,0),
IF(AF326="DoEVsu",IF(AND(V326&lt;20,W326&lt;55),0.3,0)+IF(AND(V326&lt;20,W326&gt;=55,W326&lt;105),0.23,0)+IF(AND(V326&lt;20,W326&gt;=105),0.17,0)+IF(AND(V326&gt;=20,V326&lt;40,W326&lt;45),0.3,0)+IF(AND(V326&gt;=20,V326&lt;40,W326&gt;=45,W326&lt;95),0.23,0)+IF(AND(V326&gt;=20,V326&lt;40,W326&gt;=95,W326&lt;=250),0.17,0)+IF(AND(V326&gt;=20,V326&lt;40,W326&gt;=250),0.12,0)+IF(AND(V326&gt;=40,V326&lt;75,W326&lt;35),0.3,0)+IF(AND(V326&gt;=40,V326&lt;75,W326&gt;=35,W326&lt;75),0.23,0)+IF(AND(V326&gt;=40,V326&lt;75,W326&gt;=75,W326&lt;120),0.17,0)+IF(AND(V326&gt;=40,V326&lt;75,W326&gt;=120),0.12,0)+IF(AND(V326&gt;=75,V326&lt;175,W326&lt;35),0.3,0)+IF(AND(V326&gt;=75,V326&lt;=175,W326&gt;=35,W326&lt;65),0.23,0)+IF(AND(V326&gt;=75,V326&lt;=175,W326&gt;=65,W326&lt;110),0.17,0)+IF(AND(V326&gt;=75,V326&lt;=175,W326&gt;=110),0.12,0)+IF(AND(V326&gt;175,W326&lt;25),0.3,0)+IF(AND(V326&gt;175,W326&gt;=25,W326&lt;55),0.23,0)+IF(AND(V326&gt;175,W326&gt;=55,W326&lt;95),0.17,0)+IF(AND(V326&gt;175,W326&gt;=95),0.12,0),
IF(AF326="DoEVni",IF(AND(V326&lt;20,W326&lt;55),0.3,0)+IF(AND(V326&lt;20,W326&gt;=55,W326&lt;105),0.23,0)+IF(AND(V326&lt;20,W326&gt;=105),0.17,0)+IF(AND(V326&gt;=20,V326&lt;40,W326&lt;45),0.3,0)+IF(AND(V326&gt;=20,V326&lt;40,W326&gt;=45,W326&lt;95),0.23,0)+IF(AND(V326&gt;=20,V326&lt;40,W326&gt;=95,W326&lt;=200),0.17,0)+IF(AND(V326&gt;=20,V326&lt;40,W326&gt;=200),0.12,0)+IF(AND(V326&gt;=40,V326&lt;75,W326&lt;35),0.3,0)+IF(AND(V326&gt;=40,V326&lt;75,W326&gt;=35,W326&lt;75),0.23,0)+IF(AND(V326&gt;=40,V326&lt;75,W326&gt;=75,W326&lt;120),0.17,0)+IF(AND(V326&gt;=40,V326&lt;75,W326&gt;=120),0.12,0)+IF(AND(V326&gt;=75,V326&lt;175,W326&lt;35),0.3,0)+IF(AND(V326&gt;=75,V326&lt;=175,W326&gt;=35,W326&lt;65),0.23,0)+IF(AND(V326&gt;=75,V326&lt;=175,W326&gt;=65,W326&lt;110),0.17,0)+IF(AND(V326&gt;=75,V326&lt;=175,W326&gt;=110),0.12,0)+IF(AND(V326&gt;175,W326&lt;25),0.3,0)+IF(AND(V326&gt;175,W326&gt;=25,W326&lt;55),0.23,0)+IF(AND(V326&gt;175,W326&gt;=55,W326&lt;95),0.17,0)+IF(AND(V326&gt;175,W326&gt;=95),0.12,0),
IF(AF326="DoEVLo",IF(AND(V326&lt;20,W326&lt;55),0.25,0)+IF(AND(V326&lt;20,W326&gt;=55,W326&lt;105),0.2,0)+IF(AND(V326&lt;20,W326&gt;=105),0.15,0)+IF(AND(V326&gt;=20,V326&lt;40,W326&lt;45),0.25,0)+IF(AND(V326&gt;=20,V326&lt;40,W326&gt;=45,W326&lt;95),0.2,0)+IF(AND(V326&gt;=20,V326&lt;40,W326&gt;=95),0.15,0)+IF(AND(V326&gt;=40,V326&lt;75,W326&lt;35),0.25,0)+IF(AND(V326&gt;=40,V326&lt;75,W326&gt;=35,W326&lt;75),0.2,0)+IF(AND(V326&gt;=40,V326&lt;75,W326&gt;=75,W326&lt;120),0.15,0)+IF(AND(V326&gt;=40,V326&lt;75,W326&gt;=120),0.1,0)+IF(AND(V326&gt;=75,V326&lt;175,W326&lt;35),0.25,0)+IF(AND(V326&gt;=75,V326&lt;=175,W326&gt;=35,W326&lt;65),0.2,0)+IF(AND(V326&gt;=75,V326&lt;=175,W326&gt;=65,W326&lt;110),0.15,0)+IF(AND(V326&gt;=75,V326&lt;=175,W326&gt;=110),0.1,0)+IF(AND(V326&gt;175,W326&lt;25),0.25,0)+IF(AND(V326&gt;175,W326&gt;=25,W326&lt;55),0.2,0)+IF(AND(V326&gt;175,W326&gt;=55,W326&lt;95),0.15,0)+IF(AND(V326&gt;175,W326&gt;=95),0.1,0))))))))))))))))</f>
        <v>0.3</v>
      </c>
      <c r="Y326" s="30">
        <f>IF(AG326="None",0,IF(AG326="Fix5",0.05,IF(AG326="Fix3.75",0.0375,IF(AG326="Fix10",0.1,IF(AG326="Fix3",0.03,0)))))</f>
        <v>0</v>
      </c>
      <c r="Z326" s="35">
        <f>T326-AA326-AB326</f>
        <v>-504</v>
      </c>
      <c r="AA326" s="29">
        <f>IF(AD326="EUR",((T326-R326)*X326)*U326+(R326*X326),(T326*X326))</f>
        <v>-216</v>
      </c>
      <c r="AB326" s="36">
        <f>IF(AD326="EUR",((T326-R326)*Y326)*U326+(R326*Y326),(T326*Y326))</f>
        <v>0</v>
      </c>
      <c r="AC326" s="37" t="b">
        <v>1</v>
      </c>
      <c r="AD326" s="37" t="s">
        <v>38</v>
      </c>
      <c r="AE326" s="37" t="s">
        <v>38</v>
      </c>
      <c r="AF326" s="37" t="str">
        <f t="array" ref="AF326">INDEX('Deal Info'!D:D, MATCH(A326,'Deal Info'!A:A, 0))</f>
        <v>SF</v>
      </c>
      <c r="AG326" s="38" t="str">
        <f t="array" ref="AG326">INDEX('Deal Info'!G:G, MATCH(A326,'Deal Info'!A:A, 0))</f>
        <v>None</v>
      </c>
    </row>
    <row r="327" spans="1:33" ht="14.25" hidden="1" x14ac:dyDescent="0.2">
      <c r="A327" s="18" t="str">
        <f t="array" ref="A327">IF(G327='Room Info'!$B$1, INDEX('Room Info'!$A$2:$A2446, MATCH(B327,'Room Info'!$B$2:$B2446, 0)),IF(G327='Room Info'!$C$1, INDEX('Room Info'!$A$2:$A2446, MATCH(B327,'Room Info'!$C$2:$C2446, 0)),IF(G327='Room Info'!$D$1, INDEX('Room Info'!$A$2:$A2446, MATCH(B327,'Room Info'!$D$2:$D2446, 0)),IF(G327='Room Info'!$E$1, INDEX('Room Info'!$A$2:$A2446, MATCH(B327,'Room Info'!$E$2:$E2446, 0)),IF(G327='Room Info'!$F$1, INDEX('Room Info'!$A$2:$A2446, MATCH(B327,'Room Info'!$F$2:$F2446, 0)),IF(G327='Room Info'!$H$1, INDEX('Room Info'!$A$2:$A2446, MATCH(B327,'Room Info'!$H$2:$H2446, 0)),IF(G327='Room Info'!$G$1, INDEX('Room Info'!$A$2:$A2446, MATCH(B327,'Room Info'!$G$2:$G2446, 0)))))))))</f>
        <v>Kiss4money99</v>
      </c>
      <c r="B327" s="45" t="s">
        <v>119</v>
      </c>
      <c r="C327" s="46">
        <v>44287</v>
      </c>
      <c r="D327" s="46">
        <v>44316</v>
      </c>
      <c r="E327" s="47">
        <v>44287</v>
      </c>
      <c r="F327" s="48" t="s">
        <v>41</v>
      </c>
      <c r="G327" s="45" t="s">
        <v>69</v>
      </c>
      <c r="H327" s="49" t="s">
        <v>72</v>
      </c>
      <c r="I327" s="49" t="s">
        <v>37</v>
      </c>
      <c r="J327" s="70">
        <v>50</v>
      </c>
      <c r="K327" s="71">
        <v>20</v>
      </c>
      <c r="L327" s="52">
        <v>150</v>
      </c>
      <c r="M327" s="62"/>
      <c r="N327" s="28">
        <f>K327*J327</f>
        <v>1000</v>
      </c>
      <c r="O327" s="65"/>
      <c r="P327" s="29">
        <v>0</v>
      </c>
      <c r="Q327" s="55"/>
      <c r="R327" s="31">
        <f>M327+Q327</f>
        <v>0</v>
      </c>
      <c r="S327" s="66"/>
      <c r="T327" s="32">
        <f>R327+S327+IF(F327="Without EV deal",L327,0)</f>
        <v>150</v>
      </c>
      <c r="U327" s="57">
        <v>1</v>
      </c>
      <c r="V327" s="69">
        <v>20.403768506056526</v>
      </c>
      <c r="W327" s="69">
        <v>-27.936015831134569</v>
      </c>
      <c r="X327" s="30">
        <f>IF(AF327="DoEV",IF(AND(V327&lt;20,W327&lt;55),0.3,0)+IF(AND(V327&lt;20,W327&gt;=55,W327&lt;105),0.23,0)+IF(AND(V327&lt;20,W327&gt;=105),0.17,0)+IF(AND(V327&gt;=20,V327&lt;40,W327&lt;45),0.3,0)+IF(AND(V327&gt;=20,V327&lt;40,W327&gt;=45,W327&lt;95),0.23,0)+IF(AND(V327&gt;=20,V327&lt;40,W327&gt;=95),0.17,0)+IF(AND(V327&gt;=40,V327&lt;75,W327&lt;35),0.3,0)+IF(AND(V327&gt;=40,V327&lt;75,W327&gt;=35,W327&lt;75),0.23,0)+IF(AND(V327&gt;=40,V327&lt;75,W327&gt;=75,W327&lt;120),0.17,0)+IF(AND(V327&gt;=40,V327&lt;75,W327&gt;=120),0.12,0)+IF(AND(V327&gt;=75,V327&lt;175,W327&lt;35),0.3,0)+IF(AND(V327&gt;=75,V327&lt;=175,W327&gt;=35,W327&lt;65),0.23,0)+IF(AND(V327&gt;=75,V327&lt;=175,W327&gt;=65,W327&lt;110),0.17,0)+IF(AND(V327&gt;=75,V327&lt;=175,W327&gt;=110),0.12,0)+IF(AND(V327&gt;175,W327&lt;25),0.3,0)+IF(AND(V327&gt;175,W327&gt;=25,W327&lt;55),0.23,0)+IF(AND(V327&gt;175,W327&gt;=55,W327&lt;95),0.17,0)+IF(AND(V327&gt;175,W327&gt;=95),0.12,0),
IF(AF327="Fix15",0.15,
IF(AF327="Fix11.25",0.1125,
IF(AF327="Fix10",0.1,
IF(AF327="Fix9",0.09,
IF(AF327="DoEV2017",IF(AND(W327&lt;74),0.2,0)+IF(AND(W327&gt;=74),0.17,0),
IF(AF327="SF",IF(AND(V327&lt;20,W327&lt;89),0.3,0)+IF(AND(V327&lt;20,W327&gt;=89),0.25,0)+IF(AND(V327&gt;=20,V327&lt;40,W327&lt;74),0.3,0)+IF(AND(V327&gt;=20,V327&lt;40,W327&gt;=75),0.22,0)+IF(AND(V327&gt;=40,V327&lt;75,W327&lt;75),0.26,0)+IF(AND(V327&gt;=40,V327&lt;75,W327&gt;=75),0.22,0)+IF(V327&gt;=75,0.22,0),
IF(AF327="DoEVold",IF(AND(V327&lt;40,W327&lt;35),0.35,0)+IF(AND(V327&lt;40,W327&gt;=35,W327&lt;75),0.25,0)+IF(AND(V327&lt;40,W327&gt;=75),0.17,0)+IF(AND(V327&gt;=40,V327&lt;75,W327&lt;25),0.35,0)+IF(AND(V327&gt;=40,V327&lt;75,W327&gt;=25,W327&lt;65),0.25,0)+IF(AND(V327&gt;=40,V327&lt;75,W327&gt;=65,W327&lt;100),0.17,0)+IF(AND(V327&gt;=40,V327&lt;75,W327&gt;=100),0.1,0)+IF(AND(V327&gt;=75,W327&lt;25),0.35,0)+IF(AND(V327&gt;=75,W327&gt;=25,W327&lt;60),0.25,0)+IF(AND(V327&gt;=75,W327&gt;=60,W327&lt;95),0.17,0)+IF(AND(V327&gt;=75,W327&gt;=95),0.1,0),
IF(AF327="DoEVold15",IF(AND(V327&lt;=40,W327&lt;35),0.35,0)+IF(AND(V327&lt;=40,W327&gt;=35,W327&lt;75),0.25,0)+IF(AND(V327&lt;=40,W327&gt;=75,W327&lt;120),0.17,0)+IF(AND(V327&lt;=40,W327&gt;=120),0.15,0)+IF(AND(V327&gt;40,V327&lt;75,W327&lt;25),0.35,0)+IF(AND(V327&gt;=40,V327&lt;75,W327&gt;=25,W327&lt;65),0.25,0)+IF(AND(V327&gt;=40,V327&lt;75,W327&gt;=65,W327&lt;100),0.17,0)+IF(AND(V327&gt;=40,V327&lt;75,W327&gt;=100),0.1,0)+IF(AND(V327&gt;=75,W327&lt;25),0.35,0)+IF(AND(V327&gt;=75,W327&gt;=25,W327&lt;60),0.25,0)+IF(AND(V327&gt;=75,W327&gt;=60,W327&lt;95),0.17,0)+IF(AND(V327&gt;=75,W327&gt;=95),0.1,0),
IF(AF327="DoEVba",IF(AND(V327&lt;20,W327&lt;105),0.2,0)+IF(AND(V327&lt;20,W327&gt;=105),0.15,0)+IF(AND(V327&gt;=20,V327&lt;40,W327&lt;95),0.2,0)+IF(AND(V327&gt;=20,V327&lt;40,W327&gt;=95,W327&lt;150),0.15,0)+IF(AND(V327&gt;=20,V327&lt;40,W327&gt;=150),0.12,0)+IF(AND(V327&gt;=40,V327&lt;75,W327&lt;75),0.2,0)+IF(AND(V327&gt;=40,V327&lt;75,W327&gt;=75,W327&lt;120),0.15,0)+IF(AND(V327&gt;=40,V327&lt;75,W327&gt;=120),0.12,0)+IF(AND(V327&gt;=75,V327&lt;175,W327&lt;65),0.2,0)+IF(AND(V327&gt;=75,V327&lt;175,W327&gt;=65,W327&lt;110),0.15,0)+IF(AND(V327&gt;=75,V327&lt;175,W327&gt;=110),0.12,0)+IF(AND(V327&gt;=175,W327&lt;55),0.2,0)+IF(AND(V327&gt;=175,W327&gt;=55,W327&lt;95),0.15,0)+IF(AND(V327&gt;=175,W327&gt;=95),0.12,0),
IF(AF327="DoEVku",IF(AND(V327&lt;20,W327&lt;55),0.23,0)+IF(AND(V327&lt;20,W327&gt;=55,W327&lt;105),0.2,0)+IF(AND(V327&lt;20,W327&gt;=105),0.17,0)+IF(AND(V327&gt;=20,V327&lt;40,W327&lt;45),0.23,0)+IF(AND(V327&gt;=20,V327&lt;40,W327&gt;=45,W327&lt;95),0.2,0)+IF(AND(V327&gt;=20,V327&lt;40,W327&gt;=95,W327&lt;=150),0.17,0)+IF(AND(V327&gt;=20,V327&lt;40,W327&gt;=150),0.12,0)+IF(AND(V327&gt;=40,V327&lt;75,W327&lt;35),0.23,0)+IF(AND(V327&gt;=40,V327&lt;75,W327&gt;=35,W327&lt;75),0.2,0)+IF(AND(V327&gt;=40,V327&lt;75,W327&gt;=75,W327&lt;120),0.17,0)+IF(AND(V327&gt;=40,V327&lt;75,W327&gt;=120),0.12,0)+IF(AND(V327&gt;=75,V327&lt;175,W327&lt;35),0.23,0)+IF(AND(V327&gt;=75,V327&lt;=175,W327&gt;=35,W327&lt;65),0.2,0)+IF(AND(V327&gt;=75,V327&lt;=175,W327&gt;=65,W327&lt;110),0.17,0)+IF(AND(V327&gt;=75,V327&lt;=175,W327&gt;=110),0.12,0)+IF(AND(V327&gt;175,W327&lt;25),0.23,0)+IF(AND(V327&gt;175,W327&gt;=25,W327&lt;55),0.2,0)+IF(AND(V327&gt;175,W327&gt;=55,W327&lt;95),0.17,0)+IF(AND(V327&gt;175,W327&gt;=95),0.12,0),
IF(AF327="DoEVs1",IF(AND(V327&lt;20,W327&lt;55),0.3,0)+IF(AND(V327&lt;20,W327&gt;=55,W327&lt;105),0.23,0)+IF(AND(V327&lt;20,W327&gt;=105),0.17,0)+IF(AND(V327&gt;=20,V327&lt;40,W327&lt;45),0.3,0)+IF(AND(V327&gt;=20,V327&lt;40,W327&gt;=45,W327&lt;95),0.23,0)+IF(AND(V327&gt;=20,V327&lt;40,W327&gt;=95,W327&lt;=150),0.17,0)+IF(AND(V327&gt;=20,V327&lt;40,W327&gt;=150),0.12,0)+IF(AND(V327&gt;=40,V327&lt;75,W327&lt;35),0.3,0)+IF(AND(V327&gt;=40,V327&lt;75,W327&gt;=35,W327&lt;75),0.23,0)+IF(AND(V327&gt;=40,V327&lt;75,W327&gt;=75,W327&lt;120),0.17,0)+IF(AND(V327&gt;=40,V327&lt;75,W327&gt;=120),0.12,0)+IF(AND(V327&gt;=75,V327&lt;175,W327&lt;35),0.3,0)+IF(AND(V327&gt;=75,V327&lt;=175,W327&gt;=35,W327&lt;65),0.23,0)+IF(AND(V327&gt;=75,V327&lt;=175,W327&gt;=65,W327&lt;110),0.17,0)+IF(AND(V327&gt;=75,V327&lt;=175,W327&gt;=110),0.12,0)+IF(AND(V327&gt;175,W327&lt;25),0.3,0)+IF(AND(V327&gt;175,W327&gt;=25,W327&lt;55),0.23,0)+IF(AND(V327&gt;175,W327&gt;=55,W327&lt;95),0.17,0)+IF(AND(V327&gt;175,W327&gt;=95),0.12,0),
IF(AF327="DoEVsu",IF(AND(V327&lt;20,W327&lt;55),0.3,0)+IF(AND(V327&lt;20,W327&gt;=55,W327&lt;105),0.23,0)+IF(AND(V327&lt;20,W327&gt;=105),0.17,0)+IF(AND(V327&gt;=20,V327&lt;40,W327&lt;45),0.3,0)+IF(AND(V327&gt;=20,V327&lt;40,W327&gt;=45,W327&lt;95),0.23,0)+IF(AND(V327&gt;=20,V327&lt;40,W327&gt;=95,W327&lt;=250),0.17,0)+IF(AND(V327&gt;=20,V327&lt;40,W327&gt;=250),0.12,0)+IF(AND(V327&gt;=40,V327&lt;75,W327&lt;35),0.3,0)+IF(AND(V327&gt;=40,V327&lt;75,W327&gt;=35,W327&lt;75),0.23,0)+IF(AND(V327&gt;=40,V327&lt;75,W327&gt;=75,W327&lt;120),0.17,0)+IF(AND(V327&gt;=40,V327&lt;75,W327&gt;=120),0.12,0)+IF(AND(V327&gt;=75,V327&lt;175,W327&lt;35),0.3,0)+IF(AND(V327&gt;=75,V327&lt;=175,W327&gt;=35,W327&lt;65),0.23,0)+IF(AND(V327&gt;=75,V327&lt;=175,W327&gt;=65,W327&lt;110),0.17,0)+IF(AND(V327&gt;=75,V327&lt;=175,W327&gt;=110),0.12,0)+IF(AND(V327&gt;175,W327&lt;25),0.3,0)+IF(AND(V327&gt;175,W327&gt;=25,W327&lt;55),0.23,0)+IF(AND(V327&gt;175,W327&gt;=55,W327&lt;95),0.17,0)+IF(AND(V327&gt;175,W327&gt;=95),0.12,0),
IF(AF327="DoEVni",IF(AND(V327&lt;20,W327&lt;55),0.3,0)+IF(AND(V327&lt;20,W327&gt;=55,W327&lt;105),0.23,0)+IF(AND(V327&lt;20,W327&gt;=105),0.17,0)+IF(AND(V327&gt;=20,V327&lt;40,W327&lt;45),0.3,0)+IF(AND(V327&gt;=20,V327&lt;40,W327&gt;=45,W327&lt;95),0.23,0)+IF(AND(V327&gt;=20,V327&lt;40,W327&gt;=95,W327&lt;=200),0.17,0)+IF(AND(V327&gt;=20,V327&lt;40,W327&gt;=200),0.12,0)+IF(AND(V327&gt;=40,V327&lt;75,W327&lt;35),0.3,0)+IF(AND(V327&gt;=40,V327&lt;75,W327&gt;=35,W327&lt;75),0.23,0)+IF(AND(V327&gt;=40,V327&lt;75,W327&gt;=75,W327&lt;120),0.17,0)+IF(AND(V327&gt;=40,V327&lt;75,W327&gt;=120),0.12,0)+IF(AND(V327&gt;=75,V327&lt;175,W327&lt;35),0.3,0)+IF(AND(V327&gt;=75,V327&lt;=175,W327&gt;=35,W327&lt;65),0.23,0)+IF(AND(V327&gt;=75,V327&lt;=175,W327&gt;=65,W327&lt;110),0.17,0)+IF(AND(V327&gt;=75,V327&lt;=175,W327&gt;=110),0.12,0)+IF(AND(V327&gt;175,W327&lt;25),0.3,0)+IF(AND(V327&gt;175,W327&gt;=25,W327&lt;55),0.23,0)+IF(AND(V327&gt;175,W327&gt;=55,W327&lt;95),0.17,0)+IF(AND(V327&gt;175,W327&gt;=95),0.12,0),
IF(AF327="DoEVLo",IF(AND(V327&lt;20,W327&lt;55),0.25,0)+IF(AND(V327&lt;20,W327&gt;=55,W327&lt;105),0.2,0)+IF(AND(V327&lt;20,W327&gt;=105),0.15,0)+IF(AND(V327&gt;=20,V327&lt;40,W327&lt;45),0.25,0)+IF(AND(V327&gt;=20,V327&lt;40,W327&gt;=45,W327&lt;95),0.2,0)+IF(AND(V327&gt;=20,V327&lt;40,W327&gt;=95),0.15,0)+IF(AND(V327&gt;=40,V327&lt;75,W327&lt;35),0.25,0)+IF(AND(V327&gt;=40,V327&lt;75,W327&gt;=35,W327&lt;75),0.2,0)+IF(AND(V327&gt;=40,V327&lt;75,W327&gt;=75,W327&lt;120),0.15,0)+IF(AND(V327&gt;=40,V327&lt;75,W327&gt;=120),0.1,0)+IF(AND(V327&gt;=75,V327&lt;175,W327&lt;35),0.25,0)+IF(AND(V327&gt;=75,V327&lt;=175,W327&gt;=35,W327&lt;65),0.2,0)+IF(AND(V327&gt;=75,V327&lt;=175,W327&gt;=65,W327&lt;110),0.15,0)+IF(AND(V327&gt;=75,V327&lt;=175,W327&gt;=110),0.1,0)+IF(AND(V327&gt;175,W327&lt;25),0.25,0)+IF(AND(V327&gt;175,W327&gt;=25,W327&lt;55),0.2,0)+IF(AND(V327&gt;175,W327&gt;=55,W327&lt;95),0.15,0)+IF(AND(V327&gt;175,W327&gt;=95),0.1,0))))))))))))))))</f>
        <v>0.3</v>
      </c>
      <c r="Y327" s="30">
        <f>IF(AG327="None",0,IF(AG327="Fix5",0.05,IF(AG327="Fix3.75",0.0375,IF(AG327="Fix10",0.1,IF(AG327="Fix3",0.03,0)))))</f>
        <v>0</v>
      </c>
      <c r="Z327" s="35">
        <f>T327-AA327-AB327</f>
        <v>105</v>
      </c>
      <c r="AA327" s="29">
        <f>IF(AD327="EUR",((T327-R327)*X327)*U327+(R327*X327),(T327*X327))</f>
        <v>45</v>
      </c>
      <c r="AB327" s="36">
        <f>IF(AD327="EUR",((T327-R327)*Y327)*U327+(R327*Y327),(T327*Y327))</f>
        <v>0</v>
      </c>
      <c r="AC327" s="37" t="b">
        <v>1</v>
      </c>
      <c r="AD327" s="37" t="s">
        <v>38</v>
      </c>
      <c r="AE327" s="37" t="s">
        <v>38</v>
      </c>
      <c r="AF327" s="37" t="str">
        <f t="array" ref="AF327">INDEX('Deal Info'!D:D, MATCH(A327,'Deal Info'!A:A, 0))</f>
        <v>SF</v>
      </c>
      <c r="AG327" s="38" t="str">
        <f t="array" ref="AG327">INDEX('Deal Info'!G:G, MATCH(A327,'Deal Info'!A:A, 0))</f>
        <v>None</v>
      </c>
    </row>
    <row r="328" spans="1:33" ht="14.25" hidden="1" x14ac:dyDescent="0.2">
      <c r="A328" s="18" t="str">
        <f t="array" ref="A328">IF(G328='Room Info'!$B$1, INDEX('Room Info'!$A$2:$A2446, MATCH(B328,'Room Info'!$B$2:$B2446, 0)),IF(G328='Room Info'!$C$1, INDEX('Room Info'!$A$2:$A2446, MATCH(B328,'Room Info'!$C$2:$C2446, 0)),IF(G328='Room Info'!$D$1, INDEX('Room Info'!$A$2:$A2446, MATCH(B328,'Room Info'!$D$2:$D2446, 0)),IF(G328='Room Info'!$E$1, INDEX('Room Info'!$A$2:$A2446, MATCH(B328,'Room Info'!$E$2:$E2446, 0)),IF(G328='Room Info'!$F$1, INDEX('Room Info'!$A$2:$A2446, MATCH(B328,'Room Info'!$F$2:$F2446, 0)),IF(G328='Room Info'!$H$1, INDEX('Room Info'!$A$2:$A2446, MATCH(B328,'Room Info'!$H$2:$H2446, 0)),IF(G328='Room Info'!$G$1, INDEX('Room Info'!$A$2:$A2446, MATCH(B328,'Room Info'!$G$2:$G2446, 0)))))))))</f>
        <v>Kiss4money99</v>
      </c>
      <c r="B328" s="45" t="s">
        <v>120</v>
      </c>
      <c r="C328" s="46">
        <v>44317</v>
      </c>
      <c r="D328" s="46">
        <v>44347</v>
      </c>
      <c r="E328" s="47">
        <v>44317</v>
      </c>
      <c r="F328" s="48" t="s">
        <v>34</v>
      </c>
      <c r="G328" s="45" t="s">
        <v>69</v>
      </c>
      <c r="H328" s="49" t="s">
        <v>71</v>
      </c>
      <c r="I328" s="49" t="s">
        <v>37</v>
      </c>
      <c r="J328" s="70">
        <v>20</v>
      </c>
      <c r="K328" s="71">
        <v>408</v>
      </c>
      <c r="L328" s="52">
        <v>-640</v>
      </c>
      <c r="M328" s="53">
        <v>998</v>
      </c>
      <c r="N328" s="28">
        <f>K328*J328</f>
        <v>8160</v>
      </c>
      <c r="O328" s="54">
        <v>9051</v>
      </c>
      <c r="P328" s="29">
        <v>22.183823530000002</v>
      </c>
      <c r="Q328" s="55"/>
      <c r="R328" s="31">
        <f>M328+Q328</f>
        <v>998</v>
      </c>
      <c r="S328" s="56">
        <v>-168</v>
      </c>
      <c r="T328" s="32">
        <f>R328+S328+IF(F328="Without EV deal",L328,0)</f>
        <v>830</v>
      </c>
      <c r="U328" s="57">
        <v>1</v>
      </c>
      <c r="V328" s="69">
        <v>20</v>
      </c>
      <c r="W328" s="69">
        <v>41.5</v>
      </c>
      <c r="X328" s="30">
        <f>IF(AF328="DoEV",IF(AND(V328&lt;20,W328&lt;55),0.3,0)+IF(AND(V328&lt;20,W328&gt;=55,W328&lt;105),0.23,0)+IF(AND(V328&lt;20,W328&gt;=105),0.17,0)+IF(AND(V328&gt;=20,V328&lt;40,W328&lt;45),0.3,0)+IF(AND(V328&gt;=20,V328&lt;40,W328&gt;=45,W328&lt;95),0.23,0)+IF(AND(V328&gt;=20,V328&lt;40,W328&gt;=95),0.17,0)+IF(AND(V328&gt;=40,V328&lt;75,W328&lt;35),0.3,0)+IF(AND(V328&gt;=40,V328&lt;75,W328&gt;=35,W328&lt;75),0.23,0)+IF(AND(V328&gt;=40,V328&lt;75,W328&gt;=75,W328&lt;120),0.17,0)+IF(AND(V328&gt;=40,V328&lt;75,W328&gt;=120),0.12,0)+IF(AND(V328&gt;=75,V328&lt;175,W328&lt;35),0.3,0)+IF(AND(V328&gt;=75,V328&lt;=175,W328&gt;=35,W328&lt;65),0.23,0)+IF(AND(V328&gt;=75,V328&lt;=175,W328&gt;=65,W328&lt;110),0.17,0)+IF(AND(V328&gt;=75,V328&lt;=175,W328&gt;=110),0.12,0)+IF(AND(V328&gt;175,W328&lt;25),0.3,0)+IF(AND(V328&gt;175,W328&gt;=25,W328&lt;55),0.23,0)+IF(AND(V328&gt;175,W328&gt;=55,W328&lt;95),0.17,0)+IF(AND(V328&gt;175,W328&gt;=95),0.12,0),
IF(AF328="Fix15",0.15,
IF(AF328="Fix11.25",0.1125,
IF(AF328="Fix10",0.1,
IF(AF328="Fix9",0.09,
IF(AF328="DoEV2017",IF(AND(W328&lt;74),0.2,0)+IF(AND(W328&gt;=74),0.17,0),
IF(AF328="SF",IF(AND(V328&lt;20,W328&lt;89),0.3,0)+IF(AND(V328&lt;20,W328&gt;=89),0.25,0)+IF(AND(V328&gt;=20,V328&lt;40,W328&lt;74),0.3,0)+IF(AND(V328&gt;=20,V328&lt;40,W328&gt;=75),0.22,0)+IF(AND(V328&gt;=40,V328&lt;75,W328&lt;75),0.26,0)+IF(AND(V328&gt;=40,V328&lt;75,W328&gt;=75),0.22,0)+IF(V328&gt;=75,0.22,0),
IF(AF328="DoEVold",IF(AND(V328&lt;40,W328&lt;35),0.35,0)+IF(AND(V328&lt;40,W328&gt;=35,W328&lt;75),0.25,0)+IF(AND(V328&lt;40,W328&gt;=75),0.17,0)+IF(AND(V328&gt;=40,V328&lt;75,W328&lt;25),0.35,0)+IF(AND(V328&gt;=40,V328&lt;75,W328&gt;=25,W328&lt;65),0.25,0)+IF(AND(V328&gt;=40,V328&lt;75,W328&gt;=65,W328&lt;100),0.17,0)+IF(AND(V328&gt;=40,V328&lt;75,W328&gt;=100),0.1,0)+IF(AND(V328&gt;=75,W328&lt;25),0.35,0)+IF(AND(V328&gt;=75,W328&gt;=25,W328&lt;60),0.25,0)+IF(AND(V328&gt;=75,W328&gt;=60,W328&lt;95),0.17,0)+IF(AND(V328&gt;=75,W328&gt;=95),0.1,0),
IF(AF328="DoEVold15",IF(AND(V328&lt;=40,W328&lt;35),0.35,0)+IF(AND(V328&lt;=40,W328&gt;=35,W328&lt;75),0.25,0)+IF(AND(V328&lt;=40,W328&gt;=75,W328&lt;120),0.17,0)+IF(AND(V328&lt;=40,W328&gt;=120),0.15,0)+IF(AND(V328&gt;40,V328&lt;75,W328&lt;25),0.35,0)+IF(AND(V328&gt;=40,V328&lt;75,W328&gt;=25,W328&lt;65),0.25,0)+IF(AND(V328&gt;=40,V328&lt;75,W328&gt;=65,W328&lt;100),0.17,0)+IF(AND(V328&gt;=40,V328&lt;75,W328&gt;=100),0.1,0)+IF(AND(V328&gt;=75,W328&lt;25),0.35,0)+IF(AND(V328&gt;=75,W328&gt;=25,W328&lt;60),0.25,0)+IF(AND(V328&gt;=75,W328&gt;=60,W328&lt;95),0.17,0)+IF(AND(V328&gt;=75,W328&gt;=95),0.1,0),
IF(AF328="DoEVba",IF(AND(V328&lt;20,W328&lt;105),0.2,0)+IF(AND(V328&lt;20,W328&gt;=105),0.15,0)+IF(AND(V328&gt;=20,V328&lt;40,W328&lt;95),0.2,0)+IF(AND(V328&gt;=20,V328&lt;40,W328&gt;=95,W328&lt;150),0.15,0)+IF(AND(V328&gt;=20,V328&lt;40,W328&gt;=150),0.12,0)+IF(AND(V328&gt;=40,V328&lt;75,W328&lt;75),0.2,0)+IF(AND(V328&gt;=40,V328&lt;75,W328&gt;=75,W328&lt;120),0.15,0)+IF(AND(V328&gt;=40,V328&lt;75,W328&gt;=120),0.12,0)+IF(AND(V328&gt;=75,V328&lt;175,W328&lt;65),0.2,0)+IF(AND(V328&gt;=75,V328&lt;175,W328&gt;=65,W328&lt;110),0.15,0)+IF(AND(V328&gt;=75,V328&lt;175,W328&gt;=110),0.12,0)+IF(AND(V328&gt;=175,W328&lt;55),0.2,0)+IF(AND(V328&gt;=175,W328&gt;=55,W328&lt;95),0.15,0)+IF(AND(V328&gt;=175,W328&gt;=95),0.12,0),
IF(AF328="DoEVku",IF(AND(V328&lt;20,W328&lt;55),0.23,0)+IF(AND(V328&lt;20,W328&gt;=55,W328&lt;105),0.2,0)+IF(AND(V328&lt;20,W328&gt;=105),0.17,0)+IF(AND(V328&gt;=20,V328&lt;40,W328&lt;45),0.23,0)+IF(AND(V328&gt;=20,V328&lt;40,W328&gt;=45,W328&lt;95),0.2,0)+IF(AND(V328&gt;=20,V328&lt;40,W328&gt;=95,W328&lt;=150),0.17,0)+IF(AND(V328&gt;=20,V328&lt;40,W328&gt;=150),0.12,0)+IF(AND(V328&gt;=40,V328&lt;75,W328&lt;35),0.23,0)+IF(AND(V328&gt;=40,V328&lt;75,W328&gt;=35,W328&lt;75),0.2,0)+IF(AND(V328&gt;=40,V328&lt;75,W328&gt;=75,W328&lt;120),0.17,0)+IF(AND(V328&gt;=40,V328&lt;75,W328&gt;=120),0.12,0)+IF(AND(V328&gt;=75,V328&lt;175,W328&lt;35),0.23,0)+IF(AND(V328&gt;=75,V328&lt;=175,W328&gt;=35,W328&lt;65),0.2,0)+IF(AND(V328&gt;=75,V328&lt;=175,W328&gt;=65,W328&lt;110),0.17,0)+IF(AND(V328&gt;=75,V328&lt;=175,W328&gt;=110),0.12,0)+IF(AND(V328&gt;175,W328&lt;25),0.23,0)+IF(AND(V328&gt;175,W328&gt;=25,W328&lt;55),0.2,0)+IF(AND(V328&gt;175,W328&gt;=55,W328&lt;95),0.17,0)+IF(AND(V328&gt;175,W328&gt;=95),0.12,0),
IF(AF328="DoEVs1",IF(AND(V328&lt;20,W328&lt;55),0.3,0)+IF(AND(V328&lt;20,W328&gt;=55,W328&lt;105),0.23,0)+IF(AND(V328&lt;20,W328&gt;=105),0.17,0)+IF(AND(V328&gt;=20,V328&lt;40,W328&lt;45),0.3,0)+IF(AND(V328&gt;=20,V328&lt;40,W328&gt;=45,W328&lt;95),0.23,0)+IF(AND(V328&gt;=20,V328&lt;40,W328&gt;=95,W328&lt;=150),0.17,0)+IF(AND(V328&gt;=20,V328&lt;40,W328&gt;=150),0.12,0)+IF(AND(V328&gt;=40,V328&lt;75,W328&lt;35),0.3,0)+IF(AND(V328&gt;=40,V328&lt;75,W328&gt;=35,W328&lt;75),0.23,0)+IF(AND(V328&gt;=40,V328&lt;75,W328&gt;=75,W328&lt;120),0.17,0)+IF(AND(V328&gt;=40,V328&lt;75,W328&gt;=120),0.12,0)+IF(AND(V328&gt;=75,V328&lt;175,W328&lt;35),0.3,0)+IF(AND(V328&gt;=75,V328&lt;=175,W328&gt;=35,W328&lt;65),0.23,0)+IF(AND(V328&gt;=75,V328&lt;=175,W328&gt;=65,W328&lt;110),0.17,0)+IF(AND(V328&gt;=75,V328&lt;=175,W328&gt;=110),0.12,0)+IF(AND(V328&gt;175,W328&lt;25),0.3,0)+IF(AND(V328&gt;175,W328&gt;=25,W328&lt;55),0.23,0)+IF(AND(V328&gt;175,W328&gt;=55,W328&lt;95),0.17,0)+IF(AND(V328&gt;175,W328&gt;=95),0.12,0),
IF(AF328="DoEVsu",IF(AND(V328&lt;20,W328&lt;55),0.3,0)+IF(AND(V328&lt;20,W328&gt;=55,W328&lt;105),0.23,0)+IF(AND(V328&lt;20,W328&gt;=105),0.17,0)+IF(AND(V328&gt;=20,V328&lt;40,W328&lt;45),0.3,0)+IF(AND(V328&gt;=20,V328&lt;40,W328&gt;=45,W328&lt;95),0.23,0)+IF(AND(V328&gt;=20,V328&lt;40,W328&gt;=95,W328&lt;=250),0.17,0)+IF(AND(V328&gt;=20,V328&lt;40,W328&gt;=250),0.12,0)+IF(AND(V328&gt;=40,V328&lt;75,W328&lt;35),0.3,0)+IF(AND(V328&gt;=40,V328&lt;75,W328&gt;=35,W328&lt;75),0.23,0)+IF(AND(V328&gt;=40,V328&lt;75,W328&gt;=75,W328&lt;120),0.17,0)+IF(AND(V328&gt;=40,V328&lt;75,W328&gt;=120),0.12,0)+IF(AND(V328&gt;=75,V328&lt;175,W328&lt;35),0.3,0)+IF(AND(V328&gt;=75,V328&lt;=175,W328&gt;=35,W328&lt;65),0.23,0)+IF(AND(V328&gt;=75,V328&lt;=175,W328&gt;=65,W328&lt;110),0.17,0)+IF(AND(V328&gt;=75,V328&lt;=175,W328&gt;=110),0.12,0)+IF(AND(V328&gt;175,W328&lt;25),0.3,0)+IF(AND(V328&gt;175,W328&gt;=25,W328&lt;55),0.23,0)+IF(AND(V328&gt;175,W328&gt;=55,W328&lt;95),0.17,0)+IF(AND(V328&gt;175,W328&gt;=95),0.12,0),
IF(AF328="DoEVni",IF(AND(V328&lt;20,W328&lt;55),0.3,0)+IF(AND(V328&lt;20,W328&gt;=55,W328&lt;105),0.23,0)+IF(AND(V328&lt;20,W328&gt;=105),0.17,0)+IF(AND(V328&gt;=20,V328&lt;40,W328&lt;45),0.3,0)+IF(AND(V328&gt;=20,V328&lt;40,W328&gt;=45,W328&lt;95),0.23,0)+IF(AND(V328&gt;=20,V328&lt;40,W328&gt;=95,W328&lt;=200),0.17,0)+IF(AND(V328&gt;=20,V328&lt;40,W328&gt;=200),0.12,0)+IF(AND(V328&gt;=40,V328&lt;75,W328&lt;35),0.3,0)+IF(AND(V328&gt;=40,V328&lt;75,W328&gt;=35,W328&lt;75),0.23,0)+IF(AND(V328&gt;=40,V328&lt;75,W328&gt;=75,W328&lt;120),0.17,0)+IF(AND(V328&gt;=40,V328&lt;75,W328&gt;=120),0.12,0)+IF(AND(V328&gt;=75,V328&lt;175,W328&lt;35),0.3,0)+IF(AND(V328&gt;=75,V328&lt;=175,W328&gt;=35,W328&lt;65),0.23,0)+IF(AND(V328&gt;=75,V328&lt;=175,W328&gt;=65,W328&lt;110),0.17,0)+IF(AND(V328&gt;=75,V328&lt;=175,W328&gt;=110),0.12,0)+IF(AND(V328&gt;175,W328&lt;25),0.3,0)+IF(AND(V328&gt;175,W328&gt;=25,W328&lt;55),0.23,0)+IF(AND(V328&gt;175,W328&gt;=55,W328&lt;95),0.17,0)+IF(AND(V328&gt;175,W328&gt;=95),0.12,0),
IF(AF328="DoEVLo",IF(AND(V328&lt;20,W328&lt;55),0.25,0)+IF(AND(V328&lt;20,W328&gt;=55,W328&lt;105),0.2,0)+IF(AND(V328&lt;20,W328&gt;=105),0.15,0)+IF(AND(V328&gt;=20,V328&lt;40,W328&lt;45),0.25,0)+IF(AND(V328&gt;=20,V328&lt;40,W328&gt;=45,W328&lt;95),0.2,0)+IF(AND(V328&gt;=20,V328&lt;40,W328&gt;=95),0.15,0)+IF(AND(V328&gt;=40,V328&lt;75,W328&lt;35),0.25,0)+IF(AND(V328&gt;=40,V328&lt;75,W328&gt;=35,W328&lt;75),0.2,0)+IF(AND(V328&gt;=40,V328&lt;75,W328&gt;=75,W328&lt;120),0.15,0)+IF(AND(V328&gt;=40,V328&lt;75,W328&gt;=120),0.1,0)+IF(AND(V328&gt;=75,V328&lt;175,W328&lt;35),0.25,0)+IF(AND(V328&gt;=75,V328&lt;=175,W328&gt;=35,W328&lt;65),0.2,0)+IF(AND(V328&gt;=75,V328&lt;=175,W328&gt;=65,W328&lt;110),0.15,0)+IF(AND(V328&gt;=75,V328&lt;=175,W328&gt;=110),0.1,0)+IF(AND(V328&gt;175,W328&lt;25),0.25,0)+IF(AND(V328&gt;175,W328&gt;=25,W328&lt;55),0.2,0)+IF(AND(V328&gt;175,W328&gt;=55,W328&lt;95),0.15,0)+IF(AND(V328&gt;175,W328&gt;=95),0.1,0))))))))))))))))</f>
        <v>0.3</v>
      </c>
      <c r="Y328" s="30">
        <f>IF(AG328="None",0,IF(AG328="Fix5",0.05,IF(AG328="Fix3.75",0.0375,IF(AG328="Fix10",0.1,IF(AG328="Fix3",0.03,0)))))</f>
        <v>0</v>
      </c>
      <c r="Z328" s="35">
        <f>T328-AA328-AB328</f>
        <v>581</v>
      </c>
      <c r="AA328" s="29">
        <f>IF(AD328="EUR",((T328-R328)*X328)*U328+(R328*X328),(T328*X328))</f>
        <v>249</v>
      </c>
      <c r="AB328" s="36">
        <f>IF(AD328="EUR",((T328-R328)*Y328)*U328+(R328*Y328),(T328*Y328))</f>
        <v>0</v>
      </c>
      <c r="AC328" s="37" t="b">
        <v>1</v>
      </c>
      <c r="AD328" s="37" t="s">
        <v>38</v>
      </c>
      <c r="AE328" s="37" t="s">
        <v>38</v>
      </c>
      <c r="AF328" s="37" t="str">
        <f t="array" ref="AF328">INDEX('Deal Info'!D:D, MATCH(A328,'Deal Info'!A:A, 0))</f>
        <v>SF</v>
      </c>
      <c r="AG328" s="38" t="str">
        <f t="array" ref="AG328">INDEX('Deal Info'!G:G, MATCH(A328,'Deal Info'!A:A, 0))</f>
        <v>None</v>
      </c>
    </row>
    <row r="329" spans="1:33" ht="14.25" hidden="1" x14ac:dyDescent="0.2">
      <c r="A329" s="18" t="str">
        <f t="array" ref="A329">IF(G329='Room Info'!$B$1, INDEX('Room Info'!$A$2:$A2446, MATCH(B329,'Room Info'!$B$2:$B2446, 0)),IF(G329='Room Info'!$C$1, INDEX('Room Info'!$A$2:$A2446, MATCH(B329,'Room Info'!$C$2:$C2446, 0)),IF(G329='Room Info'!$D$1, INDEX('Room Info'!$A$2:$A2446, MATCH(B329,'Room Info'!$D$2:$D2446, 0)),IF(G329='Room Info'!$E$1, INDEX('Room Info'!$A$2:$A2446, MATCH(B329,'Room Info'!$E$2:$E2446, 0)),IF(G329='Room Info'!$F$1, INDEX('Room Info'!$A$2:$A2446, MATCH(B329,'Room Info'!$F$2:$F2446, 0)),IF(G329='Room Info'!$H$1, INDEX('Room Info'!$A$2:$A2446, MATCH(B329,'Room Info'!$H$2:$H2446, 0)),IF(G329='Room Info'!$G$1, INDEX('Room Info'!$A$2:$A2446, MATCH(B329,'Room Info'!$G$2:$G2446, 0)))))))))</f>
        <v>Kiss4money99</v>
      </c>
      <c r="B329" s="45" t="s">
        <v>121</v>
      </c>
      <c r="C329" s="46">
        <v>44348</v>
      </c>
      <c r="D329" s="46">
        <v>44377</v>
      </c>
      <c r="E329" s="47">
        <v>44348</v>
      </c>
      <c r="F329" s="48" t="s">
        <v>41</v>
      </c>
      <c r="G329" s="45" t="s">
        <v>69</v>
      </c>
      <c r="H329" s="49" t="s">
        <v>42</v>
      </c>
      <c r="I329" s="49" t="s">
        <v>37</v>
      </c>
      <c r="J329" s="70">
        <v>1</v>
      </c>
      <c r="K329" s="71">
        <v>26</v>
      </c>
      <c r="L329" s="52">
        <v>10</v>
      </c>
      <c r="M329" s="53">
        <v>1</v>
      </c>
      <c r="N329" s="28">
        <f>K329*J329</f>
        <v>26</v>
      </c>
      <c r="O329" s="65"/>
      <c r="P329" s="29">
        <v>0</v>
      </c>
      <c r="Q329" s="55"/>
      <c r="R329" s="31">
        <f>M329+Q329</f>
        <v>1</v>
      </c>
      <c r="S329" s="66"/>
      <c r="T329" s="32">
        <f>R329+S329+IF(F329="Without EV deal",L329,0)</f>
        <v>11</v>
      </c>
      <c r="U329" s="57">
        <v>1</v>
      </c>
      <c r="V329" s="69">
        <v>10.962177121771218</v>
      </c>
      <c r="W329" s="69">
        <v>-69.23807119414289</v>
      </c>
      <c r="X329" s="30">
        <f>IF(AF329="DoEV",IF(AND(V329&lt;20,W329&lt;55),0.3,0)+IF(AND(V329&lt;20,W329&gt;=55,W329&lt;105),0.23,0)+IF(AND(V329&lt;20,W329&gt;=105),0.17,0)+IF(AND(V329&gt;=20,V329&lt;40,W329&lt;45),0.3,0)+IF(AND(V329&gt;=20,V329&lt;40,W329&gt;=45,W329&lt;95),0.23,0)+IF(AND(V329&gt;=20,V329&lt;40,W329&gt;=95),0.17,0)+IF(AND(V329&gt;=40,V329&lt;75,W329&lt;35),0.3,0)+IF(AND(V329&gt;=40,V329&lt;75,W329&gt;=35,W329&lt;75),0.23,0)+IF(AND(V329&gt;=40,V329&lt;75,W329&gt;=75,W329&lt;120),0.17,0)+IF(AND(V329&gt;=40,V329&lt;75,W329&gt;=120),0.12,0)+IF(AND(V329&gt;=75,V329&lt;175,W329&lt;35),0.3,0)+IF(AND(V329&gt;=75,V329&lt;=175,W329&gt;=35,W329&lt;65),0.23,0)+IF(AND(V329&gt;=75,V329&lt;=175,W329&gt;=65,W329&lt;110),0.17,0)+IF(AND(V329&gt;=75,V329&lt;=175,W329&gt;=110),0.12,0)+IF(AND(V329&gt;175,W329&lt;25),0.3,0)+IF(AND(V329&gt;175,W329&gt;=25,W329&lt;55),0.23,0)+IF(AND(V329&gt;175,W329&gt;=55,W329&lt;95),0.17,0)+IF(AND(V329&gt;175,W329&gt;=95),0.12,0),
IF(AF329="Fix15",0.15,
IF(AF329="Fix11.25",0.1125,
IF(AF329="Fix10",0.1,
IF(AF329="Fix9",0.09,
IF(AF329="DoEV2017",IF(AND(W329&lt;74),0.2,0)+IF(AND(W329&gt;=74),0.17,0),
IF(AF329="SF",IF(AND(V329&lt;20,W329&lt;89),0.3,0)+IF(AND(V329&lt;20,W329&gt;=89),0.25,0)+IF(AND(V329&gt;=20,V329&lt;40,W329&lt;74),0.3,0)+IF(AND(V329&gt;=20,V329&lt;40,W329&gt;=75),0.22,0)+IF(AND(V329&gt;=40,V329&lt;75,W329&lt;75),0.26,0)+IF(AND(V329&gt;=40,V329&lt;75,W329&gt;=75),0.22,0)+IF(V329&gt;=75,0.22,0),
IF(AF329="DoEVold",IF(AND(V329&lt;40,W329&lt;35),0.35,0)+IF(AND(V329&lt;40,W329&gt;=35,W329&lt;75),0.25,0)+IF(AND(V329&lt;40,W329&gt;=75),0.17,0)+IF(AND(V329&gt;=40,V329&lt;75,W329&lt;25),0.35,0)+IF(AND(V329&gt;=40,V329&lt;75,W329&gt;=25,W329&lt;65),0.25,0)+IF(AND(V329&gt;=40,V329&lt;75,W329&gt;=65,W329&lt;100),0.17,0)+IF(AND(V329&gt;=40,V329&lt;75,W329&gt;=100),0.1,0)+IF(AND(V329&gt;=75,W329&lt;25),0.35,0)+IF(AND(V329&gt;=75,W329&gt;=25,W329&lt;60),0.25,0)+IF(AND(V329&gt;=75,W329&gt;=60,W329&lt;95),0.17,0)+IF(AND(V329&gt;=75,W329&gt;=95),0.1,0),
IF(AF329="DoEVold15",IF(AND(V329&lt;=40,W329&lt;35),0.35,0)+IF(AND(V329&lt;=40,W329&gt;=35,W329&lt;75),0.25,0)+IF(AND(V329&lt;=40,W329&gt;=75,W329&lt;120),0.17,0)+IF(AND(V329&lt;=40,W329&gt;=120),0.15,0)+IF(AND(V329&gt;40,V329&lt;75,W329&lt;25),0.35,0)+IF(AND(V329&gt;=40,V329&lt;75,W329&gt;=25,W329&lt;65),0.25,0)+IF(AND(V329&gt;=40,V329&lt;75,W329&gt;=65,W329&lt;100),0.17,0)+IF(AND(V329&gt;=40,V329&lt;75,W329&gt;=100),0.1,0)+IF(AND(V329&gt;=75,W329&lt;25),0.35,0)+IF(AND(V329&gt;=75,W329&gt;=25,W329&lt;60),0.25,0)+IF(AND(V329&gt;=75,W329&gt;=60,W329&lt;95),0.17,0)+IF(AND(V329&gt;=75,W329&gt;=95),0.1,0),
IF(AF329="DoEVba",IF(AND(V329&lt;20,W329&lt;105),0.2,0)+IF(AND(V329&lt;20,W329&gt;=105),0.15,0)+IF(AND(V329&gt;=20,V329&lt;40,W329&lt;95),0.2,0)+IF(AND(V329&gt;=20,V329&lt;40,W329&gt;=95,W329&lt;150),0.15,0)+IF(AND(V329&gt;=20,V329&lt;40,W329&gt;=150),0.12,0)+IF(AND(V329&gt;=40,V329&lt;75,W329&lt;75),0.2,0)+IF(AND(V329&gt;=40,V329&lt;75,W329&gt;=75,W329&lt;120),0.15,0)+IF(AND(V329&gt;=40,V329&lt;75,W329&gt;=120),0.12,0)+IF(AND(V329&gt;=75,V329&lt;175,W329&lt;65),0.2,0)+IF(AND(V329&gt;=75,V329&lt;175,W329&gt;=65,W329&lt;110),0.15,0)+IF(AND(V329&gt;=75,V329&lt;175,W329&gt;=110),0.12,0)+IF(AND(V329&gt;=175,W329&lt;55),0.2,0)+IF(AND(V329&gt;=175,W329&gt;=55,W329&lt;95),0.15,0)+IF(AND(V329&gt;=175,W329&gt;=95),0.12,0),
IF(AF329="DoEVku",IF(AND(V329&lt;20,W329&lt;55),0.23,0)+IF(AND(V329&lt;20,W329&gt;=55,W329&lt;105),0.2,0)+IF(AND(V329&lt;20,W329&gt;=105),0.17,0)+IF(AND(V329&gt;=20,V329&lt;40,W329&lt;45),0.23,0)+IF(AND(V329&gt;=20,V329&lt;40,W329&gt;=45,W329&lt;95),0.2,0)+IF(AND(V329&gt;=20,V329&lt;40,W329&gt;=95,W329&lt;=150),0.17,0)+IF(AND(V329&gt;=20,V329&lt;40,W329&gt;=150),0.12,0)+IF(AND(V329&gt;=40,V329&lt;75,W329&lt;35),0.23,0)+IF(AND(V329&gt;=40,V329&lt;75,W329&gt;=35,W329&lt;75),0.2,0)+IF(AND(V329&gt;=40,V329&lt;75,W329&gt;=75,W329&lt;120),0.17,0)+IF(AND(V329&gt;=40,V329&lt;75,W329&gt;=120),0.12,0)+IF(AND(V329&gt;=75,V329&lt;175,W329&lt;35),0.23,0)+IF(AND(V329&gt;=75,V329&lt;=175,W329&gt;=35,W329&lt;65),0.2,0)+IF(AND(V329&gt;=75,V329&lt;=175,W329&gt;=65,W329&lt;110),0.17,0)+IF(AND(V329&gt;=75,V329&lt;=175,W329&gt;=110),0.12,0)+IF(AND(V329&gt;175,W329&lt;25),0.23,0)+IF(AND(V329&gt;175,W329&gt;=25,W329&lt;55),0.2,0)+IF(AND(V329&gt;175,W329&gt;=55,W329&lt;95),0.17,0)+IF(AND(V329&gt;175,W329&gt;=95),0.12,0),
IF(AF329="DoEVs1",IF(AND(V329&lt;20,W329&lt;55),0.3,0)+IF(AND(V329&lt;20,W329&gt;=55,W329&lt;105),0.23,0)+IF(AND(V329&lt;20,W329&gt;=105),0.17,0)+IF(AND(V329&gt;=20,V329&lt;40,W329&lt;45),0.3,0)+IF(AND(V329&gt;=20,V329&lt;40,W329&gt;=45,W329&lt;95),0.23,0)+IF(AND(V329&gt;=20,V329&lt;40,W329&gt;=95,W329&lt;=150),0.17,0)+IF(AND(V329&gt;=20,V329&lt;40,W329&gt;=150),0.12,0)+IF(AND(V329&gt;=40,V329&lt;75,W329&lt;35),0.3,0)+IF(AND(V329&gt;=40,V329&lt;75,W329&gt;=35,W329&lt;75),0.23,0)+IF(AND(V329&gt;=40,V329&lt;75,W329&gt;=75,W329&lt;120),0.17,0)+IF(AND(V329&gt;=40,V329&lt;75,W329&gt;=120),0.12,0)+IF(AND(V329&gt;=75,V329&lt;175,W329&lt;35),0.3,0)+IF(AND(V329&gt;=75,V329&lt;=175,W329&gt;=35,W329&lt;65),0.23,0)+IF(AND(V329&gt;=75,V329&lt;=175,W329&gt;=65,W329&lt;110),0.17,0)+IF(AND(V329&gt;=75,V329&lt;=175,W329&gt;=110),0.12,0)+IF(AND(V329&gt;175,W329&lt;25),0.3,0)+IF(AND(V329&gt;175,W329&gt;=25,W329&lt;55),0.23,0)+IF(AND(V329&gt;175,W329&gt;=55,W329&lt;95),0.17,0)+IF(AND(V329&gt;175,W329&gt;=95),0.12,0),
IF(AF329="DoEVsu",IF(AND(V329&lt;20,W329&lt;55),0.3,0)+IF(AND(V329&lt;20,W329&gt;=55,W329&lt;105),0.23,0)+IF(AND(V329&lt;20,W329&gt;=105),0.17,0)+IF(AND(V329&gt;=20,V329&lt;40,W329&lt;45),0.3,0)+IF(AND(V329&gt;=20,V329&lt;40,W329&gt;=45,W329&lt;95),0.23,0)+IF(AND(V329&gt;=20,V329&lt;40,W329&gt;=95,W329&lt;=250),0.17,0)+IF(AND(V329&gt;=20,V329&lt;40,W329&gt;=250),0.12,0)+IF(AND(V329&gt;=40,V329&lt;75,W329&lt;35),0.3,0)+IF(AND(V329&gt;=40,V329&lt;75,W329&gt;=35,W329&lt;75),0.23,0)+IF(AND(V329&gt;=40,V329&lt;75,W329&gt;=75,W329&lt;120),0.17,0)+IF(AND(V329&gt;=40,V329&lt;75,W329&gt;=120),0.12,0)+IF(AND(V329&gt;=75,V329&lt;175,W329&lt;35),0.3,0)+IF(AND(V329&gt;=75,V329&lt;=175,W329&gt;=35,W329&lt;65),0.23,0)+IF(AND(V329&gt;=75,V329&lt;=175,W329&gt;=65,W329&lt;110),0.17,0)+IF(AND(V329&gt;=75,V329&lt;=175,W329&gt;=110),0.12,0)+IF(AND(V329&gt;175,W329&lt;25),0.3,0)+IF(AND(V329&gt;175,W329&gt;=25,W329&lt;55),0.23,0)+IF(AND(V329&gt;175,W329&gt;=55,W329&lt;95),0.17,0)+IF(AND(V329&gt;175,W329&gt;=95),0.12,0),
IF(AF329="DoEVni",IF(AND(V329&lt;20,W329&lt;55),0.3,0)+IF(AND(V329&lt;20,W329&gt;=55,W329&lt;105),0.23,0)+IF(AND(V329&lt;20,W329&gt;=105),0.17,0)+IF(AND(V329&gt;=20,V329&lt;40,W329&lt;45),0.3,0)+IF(AND(V329&gt;=20,V329&lt;40,W329&gt;=45,W329&lt;95),0.23,0)+IF(AND(V329&gt;=20,V329&lt;40,W329&gt;=95,W329&lt;=200),0.17,0)+IF(AND(V329&gt;=20,V329&lt;40,W329&gt;=200),0.12,0)+IF(AND(V329&gt;=40,V329&lt;75,W329&lt;35),0.3,0)+IF(AND(V329&gt;=40,V329&lt;75,W329&gt;=35,W329&lt;75),0.23,0)+IF(AND(V329&gt;=40,V329&lt;75,W329&gt;=75,W329&lt;120),0.17,0)+IF(AND(V329&gt;=40,V329&lt;75,W329&gt;=120),0.12,0)+IF(AND(V329&gt;=75,V329&lt;175,W329&lt;35),0.3,0)+IF(AND(V329&gt;=75,V329&lt;=175,W329&gt;=35,W329&lt;65),0.23,0)+IF(AND(V329&gt;=75,V329&lt;=175,W329&gt;=65,W329&lt;110),0.17,0)+IF(AND(V329&gt;=75,V329&lt;=175,W329&gt;=110),0.12,0)+IF(AND(V329&gt;175,W329&lt;25),0.3,0)+IF(AND(V329&gt;175,W329&gt;=25,W329&lt;55),0.23,0)+IF(AND(V329&gt;175,W329&gt;=55,W329&lt;95),0.17,0)+IF(AND(V329&gt;175,W329&gt;=95),0.12,0),
IF(AF329="DoEVLo",IF(AND(V329&lt;20,W329&lt;55),0.25,0)+IF(AND(V329&lt;20,W329&gt;=55,W329&lt;105),0.2,0)+IF(AND(V329&lt;20,W329&gt;=105),0.15,0)+IF(AND(V329&gt;=20,V329&lt;40,W329&lt;45),0.25,0)+IF(AND(V329&gt;=20,V329&lt;40,W329&gt;=45,W329&lt;95),0.2,0)+IF(AND(V329&gt;=20,V329&lt;40,W329&gt;=95),0.15,0)+IF(AND(V329&gt;=40,V329&lt;75,W329&lt;35),0.25,0)+IF(AND(V329&gt;=40,V329&lt;75,W329&gt;=35,W329&lt;75),0.2,0)+IF(AND(V329&gt;=40,V329&lt;75,W329&gt;=75,W329&lt;120),0.15,0)+IF(AND(V329&gt;=40,V329&lt;75,W329&gt;=120),0.1,0)+IF(AND(V329&gt;=75,V329&lt;175,W329&lt;35),0.25,0)+IF(AND(V329&gt;=75,V329&lt;=175,W329&gt;=35,W329&lt;65),0.2,0)+IF(AND(V329&gt;=75,V329&lt;=175,W329&gt;=65,W329&lt;110),0.15,0)+IF(AND(V329&gt;=75,V329&lt;=175,W329&gt;=110),0.1,0)+IF(AND(V329&gt;175,W329&lt;25),0.25,0)+IF(AND(V329&gt;175,W329&gt;=25,W329&lt;55),0.2,0)+IF(AND(V329&gt;175,W329&gt;=55,W329&lt;95),0.15,0)+IF(AND(V329&gt;175,W329&gt;=95),0.1,0))))))))))))))))</f>
        <v>0.3</v>
      </c>
      <c r="Y329" s="30">
        <f>IF(AG329="None",0,IF(AG329="Fix5",0.05,IF(AG329="Fix3.75",0.0375,IF(AG329="Fix10",0.1,IF(AG329="Fix3",0.03,0)))))</f>
        <v>0</v>
      </c>
      <c r="Z329" s="35">
        <f>T329-AA329-AB329</f>
        <v>7.7</v>
      </c>
      <c r="AA329" s="29">
        <f>IF(AD329="EUR",((T329-R329)*X329)*U329+(R329*X329),(T329*X329))</f>
        <v>3.3</v>
      </c>
      <c r="AB329" s="36">
        <f>IF(AD329="EUR",((T329-R329)*Y329)*U329+(R329*Y329),(T329*Y329))</f>
        <v>0</v>
      </c>
      <c r="AC329" s="37" t="b">
        <v>1</v>
      </c>
      <c r="AD329" s="37" t="s">
        <v>38</v>
      </c>
      <c r="AE329" s="37" t="s">
        <v>38</v>
      </c>
      <c r="AF329" s="37" t="str">
        <f t="array" ref="AF329">INDEX('Deal Info'!D:D, MATCH(A329,'Deal Info'!A:A, 0))</f>
        <v>SF</v>
      </c>
      <c r="AG329" s="38" t="str">
        <f t="array" ref="AG329">INDEX('Deal Info'!G:G, MATCH(A329,'Deal Info'!A:A, 0))</f>
        <v>None</v>
      </c>
    </row>
    <row r="330" spans="1:33" ht="14.25" hidden="1" x14ac:dyDescent="0.2">
      <c r="A330" s="18" t="str">
        <f t="array" ref="A330">IF(G330='Room Info'!$B$1, INDEX('Room Info'!$A$2:$A2446, MATCH(B330,'Room Info'!$B$2:$B2446, 0)),IF(G330='Room Info'!$C$1, INDEX('Room Info'!$A$2:$A2446, MATCH(B330,'Room Info'!$C$2:$C2446, 0)),IF(G330='Room Info'!$D$1, INDEX('Room Info'!$A$2:$A2446, MATCH(B330,'Room Info'!$D$2:$D2446, 0)),IF(G330='Room Info'!$E$1, INDEX('Room Info'!$A$2:$A2446, MATCH(B330,'Room Info'!$E$2:$E2446, 0)),IF(G330='Room Info'!$F$1, INDEX('Room Info'!$A$2:$A2446, MATCH(B330,'Room Info'!$F$2:$F2446, 0)),IF(G330='Room Info'!$H$1, INDEX('Room Info'!$A$2:$A2446, MATCH(B330,'Room Info'!$H$2:$H2446, 0)),IF(G330='Room Info'!$G$1, INDEX('Room Info'!$A$2:$A2446, MATCH(B330,'Room Info'!$G$2:$G2446, 0)))))))))</f>
        <v>Kiss4money99</v>
      </c>
      <c r="B330" s="45" t="s">
        <v>121</v>
      </c>
      <c r="C330" s="46">
        <v>44348</v>
      </c>
      <c r="D330" s="46">
        <v>44377</v>
      </c>
      <c r="E330" s="47">
        <v>44348</v>
      </c>
      <c r="F330" s="48" t="s">
        <v>41</v>
      </c>
      <c r="G330" s="45" t="s">
        <v>69</v>
      </c>
      <c r="H330" s="49" t="s">
        <v>40</v>
      </c>
      <c r="I330" s="49" t="s">
        <v>37</v>
      </c>
      <c r="J330" s="70">
        <v>10</v>
      </c>
      <c r="K330" s="71">
        <v>803</v>
      </c>
      <c r="L330" s="52">
        <v>-520</v>
      </c>
      <c r="M330" s="53">
        <v>123</v>
      </c>
      <c r="N330" s="28">
        <f>K330*J330</f>
        <v>8030</v>
      </c>
      <c r="O330" s="65"/>
      <c r="P330" s="29">
        <v>0</v>
      </c>
      <c r="Q330" s="55"/>
      <c r="R330" s="31">
        <f>M330+Q330</f>
        <v>123</v>
      </c>
      <c r="S330" s="66"/>
      <c r="T330" s="32">
        <f>R330+S330+IF(F330="Without EV deal",L330,0)</f>
        <v>-397</v>
      </c>
      <c r="U330" s="57">
        <v>1</v>
      </c>
      <c r="V330" s="69">
        <v>10.962177121771218</v>
      </c>
      <c r="W330" s="69">
        <v>-69.23807119414289</v>
      </c>
      <c r="X330" s="30">
        <f>IF(AF330="DoEV",IF(AND(V330&lt;20,W330&lt;55),0.3,0)+IF(AND(V330&lt;20,W330&gt;=55,W330&lt;105),0.23,0)+IF(AND(V330&lt;20,W330&gt;=105),0.17,0)+IF(AND(V330&gt;=20,V330&lt;40,W330&lt;45),0.3,0)+IF(AND(V330&gt;=20,V330&lt;40,W330&gt;=45,W330&lt;95),0.23,0)+IF(AND(V330&gt;=20,V330&lt;40,W330&gt;=95),0.17,0)+IF(AND(V330&gt;=40,V330&lt;75,W330&lt;35),0.3,0)+IF(AND(V330&gt;=40,V330&lt;75,W330&gt;=35,W330&lt;75),0.23,0)+IF(AND(V330&gt;=40,V330&lt;75,W330&gt;=75,W330&lt;120),0.17,0)+IF(AND(V330&gt;=40,V330&lt;75,W330&gt;=120),0.12,0)+IF(AND(V330&gt;=75,V330&lt;175,W330&lt;35),0.3,0)+IF(AND(V330&gt;=75,V330&lt;=175,W330&gt;=35,W330&lt;65),0.23,0)+IF(AND(V330&gt;=75,V330&lt;=175,W330&gt;=65,W330&lt;110),0.17,0)+IF(AND(V330&gt;=75,V330&lt;=175,W330&gt;=110),0.12,0)+IF(AND(V330&gt;175,W330&lt;25),0.3,0)+IF(AND(V330&gt;175,W330&gt;=25,W330&lt;55),0.23,0)+IF(AND(V330&gt;175,W330&gt;=55,W330&lt;95),0.17,0)+IF(AND(V330&gt;175,W330&gt;=95),0.12,0),
IF(AF330="Fix15",0.15,
IF(AF330="Fix11.25",0.1125,
IF(AF330="Fix10",0.1,
IF(AF330="Fix9",0.09,
IF(AF330="DoEV2017",IF(AND(W330&lt;74),0.2,0)+IF(AND(W330&gt;=74),0.17,0),
IF(AF330="SF",IF(AND(V330&lt;20,W330&lt;89),0.3,0)+IF(AND(V330&lt;20,W330&gt;=89),0.25,0)+IF(AND(V330&gt;=20,V330&lt;40,W330&lt;74),0.3,0)+IF(AND(V330&gt;=20,V330&lt;40,W330&gt;=75),0.22,0)+IF(AND(V330&gt;=40,V330&lt;75,W330&lt;75),0.26,0)+IF(AND(V330&gt;=40,V330&lt;75,W330&gt;=75),0.22,0)+IF(V330&gt;=75,0.22,0),
IF(AF330="DoEVold",IF(AND(V330&lt;40,W330&lt;35),0.35,0)+IF(AND(V330&lt;40,W330&gt;=35,W330&lt;75),0.25,0)+IF(AND(V330&lt;40,W330&gt;=75),0.17,0)+IF(AND(V330&gt;=40,V330&lt;75,W330&lt;25),0.35,0)+IF(AND(V330&gt;=40,V330&lt;75,W330&gt;=25,W330&lt;65),0.25,0)+IF(AND(V330&gt;=40,V330&lt;75,W330&gt;=65,W330&lt;100),0.17,0)+IF(AND(V330&gt;=40,V330&lt;75,W330&gt;=100),0.1,0)+IF(AND(V330&gt;=75,W330&lt;25),0.35,0)+IF(AND(V330&gt;=75,W330&gt;=25,W330&lt;60),0.25,0)+IF(AND(V330&gt;=75,W330&gt;=60,W330&lt;95),0.17,0)+IF(AND(V330&gt;=75,W330&gt;=95),0.1,0),
IF(AF330="DoEVold15",IF(AND(V330&lt;=40,W330&lt;35),0.35,0)+IF(AND(V330&lt;=40,W330&gt;=35,W330&lt;75),0.25,0)+IF(AND(V330&lt;=40,W330&gt;=75,W330&lt;120),0.17,0)+IF(AND(V330&lt;=40,W330&gt;=120),0.15,0)+IF(AND(V330&gt;40,V330&lt;75,W330&lt;25),0.35,0)+IF(AND(V330&gt;=40,V330&lt;75,W330&gt;=25,W330&lt;65),0.25,0)+IF(AND(V330&gt;=40,V330&lt;75,W330&gt;=65,W330&lt;100),0.17,0)+IF(AND(V330&gt;=40,V330&lt;75,W330&gt;=100),0.1,0)+IF(AND(V330&gt;=75,W330&lt;25),0.35,0)+IF(AND(V330&gt;=75,W330&gt;=25,W330&lt;60),0.25,0)+IF(AND(V330&gt;=75,W330&gt;=60,W330&lt;95),0.17,0)+IF(AND(V330&gt;=75,W330&gt;=95),0.1,0),
IF(AF330="DoEVba",IF(AND(V330&lt;20,W330&lt;105),0.2,0)+IF(AND(V330&lt;20,W330&gt;=105),0.15,0)+IF(AND(V330&gt;=20,V330&lt;40,W330&lt;95),0.2,0)+IF(AND(V330&gt;=20,V330&lt;40,W330&gt;=95,W330&lt;150),0.15,0)+IF(AND(V330&gt;=20,V330&lt;40,W330&gt;=150),0.12,0)+IF(AND(V330&gt;=40,V330&lt;75,W330&lt;75),0.2,0)+IF(AND(V330&gt;=40,V330&lt;75,W330&gt;=75,W330&lt;120),0.15,0)+IF(AND(V330&gt;=40,V330&lt;75,W330&gt;=120),0.12,0)+IF(AND(V330&gt;=75,V330&lt;175,W330&lt;65),0.2,0)+IF(AND(V330&gt;=75,V330&lt;175,W330&gt;=65,W330&lt;110),0.15,0)+IF(AND(V330&gt;=75,V330&lt;175,W330&gt;=110),0.12,0)+IF(AND(V330&gt;=175,W330&lt;55),0.2,0)+IF(AND(V330&gt;=175,W330&gt;=55,W330&lt;95),0.15,0)+IF(AND(V330&gt;=175,W330&gt;=95),0.12,0),
IF(AF330="DoEVku",IF(AND(V330&lt;20,W330&lt;55),0.23,0)+IF(AND(V330&lt;20,W330&gt;=55,W330&lt;105),0.2,0)+IF(AND(V330&lt;20,W330&gt;=105),0.17,0)+IF(AND(V330&gt;=20,V330&lt;40,W330&lt;45),0.23,0)+IF(AND(V330&gt;=20,V330&lt;40,W330&gt;=45,W330&lt;95),0.2,0)+IF(AND(V330&gt;=20,V330&lt;40,W330&gt;=95,W330&lt;=150),0.17,0)+IF(AND(V330&gt;=20,V330&lt;40,W330&gt;=150),0.12,0)+IF(AND(V330&gt;=40,V330&lt;75,W330&lt;35),0.23,0)+IF(AND(V330&gt;=40,V330&lt;75,W330&gt;=35,W330&lt;75),0.2,0)+IF(AND(V330&gt;=40,V330&lt;75,W330&gt;=75,W330&lt;120),0.17,0)+IF(AND(V330&gt;=40,V330&lt;75,W330&gt;=120),0.12,0)+IF(AND(V330&gt;=75,V330&lt;175,W330&lt;35),0.23,0)+IF(AND(V330&gt;=75,V330&lt;=175,W330&gt;=35,W330&lt;65),0.2,0)+IF(AND(V330&gt;=75,V330&lt;=175,W330&gt;=65,W330&lt;110),0.17,0)+IF(AND(V330&gt;=75,V330&lt;=175,W330&gt;=110),0.12,0)+IF(AND(V330&gt;175,W330&lt;25),0.23,0)+IF(AND(V330&gt;175,W330&gt;=25,W330&lt;55),0.2,0)+IF(AND(V330&gt;175,W330&gt;=55,W330&lt;95),0.17,0)+IF(AND(V330&gt;175,W330&gt;=95),0.12,0),
IF(AF330="DoEVs1",IF(AND(V330&lt;20,W330&lt;55),0.3,0)+IF(AND(V330&lt;20,W330&gt;=55,W330&lt;105),0.23,0)+IF(AND(V330&lt;20,W330&gt;=105),0.17,0)+IF(AND(V330&gt;=20,V330&lt;40,W330&lt;45),0.3,0)+IF(AND(V330&gt;=20,V330&lt;40,W330&gt;=45,W330&lt;95),0.23,0)+IF(AND(V330&gt;=20,V330&lt;40,W330&gt;=95,W330&lt;=150),0.17,0)+IF(AND(V330&gt;=20,V330&lt;40,W330&gt;=150),0.12,0)+IF(AND(V330&gt;=40,V330&lt;75,W330&lt;35),0.3,0)+IF(AND(V330&gt;=40,V330&lt;75,W330&gt;=35,W330&lt;75),0.23,0)+IF(AND(V330&gt;=40,V330&lt;75,W330&gt;=75,W330&lt;120),0.17,0)+IF(AND(V330&gt;=40,V330&lt;75,W330&gt;=120),0.12,0)+IF(AND(V330&gt;=75,V330&lt;175,W330&lt;35),0.3,0)+IF(AND(V330&gt;=75,V330&lt;=175,W330&gt;=35,W330&lt;65),0.23,0)+IF(AND(V330&gt;=75,V330&lt;=175,W330&gt;=65,W330&lt;110),0.17,0)+IF(AND(V330&gt;=75,V330&lt;=175,W330&gt;=110),0.12,0)+IF(AND(V330&gt;175,W330&lt;25),0.3,0)+IF(AND(V330&gt;175,W330&gt;=25,W330&lt;55),0.23,0)+IF(AND(V330&gt;175,W330&gt;=55,W330&lt;95),0.17,0)+IF(AND(V330&gt;175,W330&gt;=95),0.12,0),
IF(AF330="DoEVsu",IF(AND(V330&lt;20,W330&lt;55),0.3,0)+IF(AND(V330&lt;20,W330&gt;=55,W330&lt;105),0.23,0)+IF(AND(V330&lt;20,W330&gt;=105),0.17,0)+IF(AND(V330&gt;=20,V330&lt;40,W330&lt;45),0.3,0)+IF(AND(V330&gt;=20,V330&lt;40,W330&gt;=45,W330&lt;95),0.23,0)+IF(AND(V330&gt;=20,V330&lt;40,W330&gt;=95,W330&lt;=250),0.17,0)+IF(AND(V330&gt;=20,V330&lt;40,W330&gt;=250),0.12,0)+IF(AND(V330&gt;=40,V330&lt;75,W330&lt;35),0.3,0)+IF(AND(V330&gt;=40,V330&lt;75,W330&gt;=35,W330&lt;75),0.23,0)+IF(AND(V330&gt;=40,V330&lt;75,W330&gt;=75,W330&lt;120),0.17,0)+IF(AND(V330&gt;=40,V330&lt;75,W330&gt;=120),0.12,0)+IF(AND(V330&gt;=75,V330&lt;175,W330&lt;35),0.3,0)+IF(AND(V330&gt;=75,V330&lt;=175,W330&gt;=35,W330&lt;65),0.23,0)+IF(AND(V330&gt;=75,V330&lt;=175,W330&gt;=65,W330&lt;110),0.17,0)+IF(AND(V330&gt;=75,V330&lt;=175,W330&gt;=110),0.12,0)+IF(AND(V330&gt;175,W330&lt;25),0.3,0)+IF(AND(V330&gt;175,W330&gt;=25,W330&lt;55),0.23,0)+IF(AND(V330&gt;175,W330&gt;=55,W330&lt;95),0.17,0)+IF(AND(V330&gt;175,W330&gt;=95),0.12,0),
IF(AF330="DoEVni",IF(AND(V330&lt;20,W330&lt;55),0.3,0)+IF(AND(V330&lt;20,W330&gt;=55,W330&lt;105),0.23,0)+IF(AND(V330&lt;20,W330&gt;=105),0.17,0)+IF(AND(V330&gt;=20,V330&lt;40,W330&lt;45),0.3,0)+IF(AND(V330&gt;=20,V330&lt;40,W330&gt;=45,W330&lt;95),0.23,0)+IF(AND(V330&gt;=20,V330&lt;40,W330&gt;=95,W330&lt;=200),0.17,0)+IF(AND(V330&gt;=20,V330&lt;40,W330&gt;=200),0.12,0)+IF(AND(V330&gt;=40,V330&lt;75,W330&lt;35),0.3,0)+IF(AND(V330&gt;=40,V330&lt;75,W330&gt;=35,W330&lt;75),0.23,0)+IF(AND(V330&gt;=40,V330&lt;75,W330&gt;=75,W330&lt;120),0.17,0)+IF(AND(V330&gt;=40,V330&lt;75,W330&gt;=120),0.12,0)+IF(AND(V330&gt;=75,V330&lt;175,W330&lt;35),0.3,0)+IF(AND(V330&gt;=75,V330&lt;=175,W330&gt;=35,W330&lt;65),0.23,0)+IF(AND(V330&gt;=75,V330&lt;=175,W330&gt;=65,W330&lt;110),0.17,0)+IF(AND(V330&gt;=75,V330&lt;=175,W330&gt;=110),0.12,0)+IF(AND(V330&gt;175,W330&lt;25),0.3,0)+IF(AND(V330&gt;175,W330&gt;=25,W330&lt;55),0.23,0)+IF(AND(V330&gt;175,W330&gt;=55,W330&lt;95),0.17,0)+IF(AND(V330&gt;175,W330&gt;=95),0.12,0),
IF(AF330="DoEVLo",IF(AND(V330&lt;20,W330&lt;55),0.25,0)+IF(AND(V330&lt;20,W330&gt;=55,W330&lt;105),0.2,0)+IF(AND(V330&lt;20,W330&gt;=105),0.15,0)+IF(AND(V330&gt;=20,V330&lt;40,W330&lt;45),0.25,0)+IF(AND(V330&gt;=20,V330&lt;40,W330&gt;=45,W330&lt;95),0.2,0)+IF(AND(V330&gt;=20,V330&lt;40,W330&gt;=95),0.15,0)+IF(AND(V330&gt;=40,V330&lt;75,W330&lt;35),0.25,0)+IF(AND(V330&gt;=40,V330&lt;75,W330&gt;=35,W330&lt;75),0.2,0)+IF(AND(V330&gt;=40,V330&lt;75,W330&gt;=75,W330&lt;120),0.15,0)+IF(AND(V330&gt;=40,V330&lt;75,W330&gt;=120),0.1,0)+IF(AND(V330&gt;=75,V330&lt;175,W330&lt;35),0.25,0)+IF(AND(V330&gt;=75,V330&lt;=175,W330&gt;=35,W330&lt;65),0.2,0)+IF(AND(V330&gt;=75,V330&lt;=175,W330&gt;=65,W330&lt;110),0.15,0)+IF(AND(V330&gt;=75,V330&lt;=175,W330&gt;=110),0.1,0)+IF(AND(V330&gt;175,W330&lt;25),0.25,0)+IF(AND(V330&gt;175,W330&gt;=25,W330&lt;55),0.2,0)+IF(AND(V330&gt;175,W330&gt;=55,W330&lt;95),0.15,0)+IF(AND(V330&gt;175,W330&gt;=95),0.1,0))))))))))))))))</f>
        <v>0.3</v>
      </c>
      <c r="Y330" s="30">
        <f>IF(AG330="None",0,IF(AG330="Fix5",0.05,IF(AG330="Fix3.75",0.0375,IF(AG330="Fix10",0.1,IF(AG330="Fix3",0.03,0)))))</f>
        <v>0</v>
      </c>
      <c r="Z330" s="35">
        <f>T330-AA330-AB330</f>
        <v>-277.89999999999998</v>
      </c>
      <c r="AA330" s="29">
        <f>IF(AD330="EUR",((T330-R330)*X330)*U330+(R330*X330),(T330*X330))</f>
        <v>-119.1</v>
      </c>
      <c r="AB330" s="36">
        <f>IF(AD330="EUR",((T330-R330)*Y330)*U330+(R330*Y330),(T330*Y330))</f>
        <v>0</v>
      </c>
      <c r="AC330" s="37" t="b">
        <v>1</v>
      </c>
      <c r="AD330" s="37" t="s">
        <v>38</v>
      </c>
      <c r="AE330" s="37" t="s">
        <v>38</v>
      </c>
      <c r="AF330" s="37" t="str">
        <f t="array" ref="AF330">INDEX('Deal Info'!D:D, MATCH(A330,'Deal Info'!A:A, 0))</f>
        <v>SF</v>
      </c>
      <c r="AG330" s="38" t="str">
        <f t="array" ref="AG330">INDEX('Deal Info'!G:G, MATCH(A330,'Deal Info'!A:A, 0))</f>
        <v>None</v>
      </c>
    </row>
    <row r="331" spans="1:33" ht="14.25" hidden="1" x14ac:dyDescent="0.2">
      <c r="A331" s="18" t="str">
        <f t="array" ref="A331">IF(G331='Room Info'!$B$1, INDEX('Room Info'!$A$2:$A2446, MATCH(B331,'Room Info'!$B$2:$B2446, 0)),IF(G331='Room Info'!$C$1, INDEX('Room Info'!$A$2:$A2446, MATCH(B331,'Room Info'!$C$2:$C2446, 0)),IF(G331='Room Info'!$D$1, INDEX('Room Info'!$A$2:$A2446, MATCH(B331,'Room Info'!$D$2:$D2446, 0)),IF(G331='Room Info'!$E$1, INDEX('Room Info'!$A$2:$A2446, MATCH(B331,'Room Info'!$E$2:$E2446, 0)),IF(G331='Room Info'!$F$1, INDEX('Room Info'!$A$2:$A2446, MATCH(B331,'Room Info'!$F$2:$F2446, 0)),IF(G331='Room Info'!$H$1, INDEX('Room Info'!$A$2:$A2446, MATCH(B331,'Room Info'!$H$2:$H2446, 0)),IF(G331='Room Info'!$G$1, INDEX('Room Info'!$A$2:$A2446, MATCH(B331,'Room Info'!$G$2:$G2446, 0)))))))))</f>
        <v>Kiss4money99</v>
      </c>
      <c r="B331" s="45" t="s">
        <v>121</v>
      </c>
      <c r="C331" s="46">
        <v>44348</v>
      </c>
      <c r="D331" s="46">
        <v>44377</v>
      </c>
      <c r="E331" s="47">
        <v>44348</v>
      </c>
      <c r="F331" s="48" t="s">
        <v>41</v>
      </c>
      <c r="G331" s="45" t="s">
        <v>69</v>
      </c>
      <c r="H331" s="49" t="s">
        <v>71</v>
      </c>
      <c r="I331" s="49" t="s">
        <v>37</v>
      </c>
      <c r="J331" s="50">
        <v>20</v>
      </c>
      <c r="K331" s="51">
        <v>180</v>
      </c>
      <c r="L331" s="52">
        <v>-460</v>
      </c>
      <c r="M331" s="53">
        <v>0</v>
      </c>
      <c r="N331" s="28">
        <f>K331*J331</f>
        <v>3600</v>
      </c>
      <c r="O331" s="65"/>
      <c r="P331" s="29">
        <v>0</v>
      </c>
      <c r="Q331" s="55"/>
      <c r="R331" s="31">
        <f>M331+Q331</f>
        <v>0</v>
      </c>
      <c r="S331" s="66"/>
      <c r="T331" s="32">
        <f>R331+S331+IF(F331="Without EV deal",L331,0)</f>
        <v>-460</v>
      </c>
      <c r="U331" s="57">
        <v>1</v>
      </c>
      <c r="V331" s="69">
        <v>10.962177121771218</v>
      </c>
      <c r="W331" s="69">
        <v>-69.23807119414289</v>
      </c>
      <c r="X331" s="30">
        <f>IF(AF331="DoEV",IF(AND(V331&lt;20,W331&lt;55),0.3,0)+IF(AND(V331&lt;20,W331&gt;=55,W331&lt;105),0.23,0)+IF(AND(V331&lt;20,W331&gt;=105),0.17,0)+IF(AND(V331&gt;=20,V331&lt;40,W331&lt;45),0.3,0)+IF(AND(V331&gt;=20,V331&lt;40,W331&gt;=45,W331&lt;95),0.23,0)+IF(AND(V331&gt;=20,V331&lt;40,W331&gt;=95),0.17,0)+IF(AND(V331&gt;=40,V331&lt;75,W331&lt;35),0.3,0)+IF(AND(V331&gt;=40,V331&lt;75,W331&gt;=35,W331&lt;75),0.23,0)+IF(AND(V331&gt;=40,V331&lt;75,W331&gt;=75,W331&lt;120),0.17,0)+IF(AND(V331&gt;=40,V331&lt;75,W331&gt;=120),0.12,0)+IF(AND(V331&gt;=75,V331&lt;175,W331&lt;35),0.3,0)+IF(AND(V331&gt;=75,V331&lt;=175,W331&gt;=35,W331&lt;65),0.23,0)+IF(AND(V331&gt;=75,V331&lt;=175,W331&gt;=65,W331&lt;110),0.17,0)+IF(AND(V331&gt;=75,V331&lt;=175,W331&gt;=110),0.12,0)+IF(AND(V331&gt;175,W331&lt;25),0.3,0)+IF(AND(V331&gt;175,W331&gt;=25,W331&lt;55),0.23,0)+IF(AND(V331&gt;175,W331&gt;=55,W331&lt;95),0.17,0)+IF(AND(V331&gt;175,W331&gt;=95),0.12,0),
IF(AF331="Fix15",0.15,
IF(AF331="Fix11.25",0.1125,
IF(AF331="Fix10",0.1,
IF(AF331="Fix9",0.09,
IF(AF331="DoEV2017",IF(AND(W331&lt;74),0.2,0)+IF(AND(W331&gt;=74),0.17,0),
IF(AF331="SF",IF(AND(V331&lt;20,W331&lt;89),0.3,0)+IF(AND(V331&lt;20,W331&gt;=89),0.25,0)+IF(AND(V331&gt;=20,V331&lt;40,W331&lt;74),0.3,0)+IF(AND(V331&gt;=20,V331&lt;40,W331&gt;=75),0.22,0)+IF(AND(V331&gt;=40,V331&lt;75,W331&lt;75),0.26,0)+IF(AND(V331&gt;=40,V331&lt;75,W331&gt;=75),0.22,0)+IF(V331&gt;=75,0.22,0),
IF(AF331="DoEVold",IF(AND(V331&lt;40,W331&lt;35),0.35,0)+IF(AND(V331&lt;40,W331&gt;=35,W331&lt;75),0.25,0)+IF(AND(V331&lt;40,W331&gt;=75),0.17,0)+IF(AND(V331&gt;=40,V331&lt;75,W331&lt;25),0.35,0)+IF(AND(V331&gt;=40,V331&lt;75,W331&gt;=25,W331&lt;65),0.25,0)+IF(AND(V331&gt;=40,V331&lt;75,W331&gt;=65,W331&lt;100),0.17,0)+IF(AND(V331&gt;=40,V331&lt;75,W331&gt;=100),0.1,0)+IF(AND(V331&gt;=75,W331&lt;25),0.35,0)+IF(AND(V331&gt;=75,W331&gt;=25,W331&lt;60),0.25,0)+IF(AND(V331&gt;=75,W331&gt;=60,W331&lt;95),0.17,0)+IF(AND(V331&gt;=75,W331&gt;=95),0.1,0),
IF(AF331="DoEVold15",IF(AND(V331&lt;=40,W331&lt;35),0.35,0)+IF(AND(V331&lt;=40,W331&gt;=35,W331&lt;75),0.25,0)+IF(AND(V331&lt;=40,W331&gt;=75,W331&lt;120),0.17,0)+IF(AND(V331&lt;=40,W331&gt;=120),0.15,0)+IF(AND(V331&gt;40,V331&lt;75,W331&lt;25),0.35,0)+IF(AND(V331&gt;=40,V331&lt;75,W331&gt;=25,W331&lt;65),0.25,0)+IF(AND(V331&gt;=40,V331&lt;75,W331&gt;=65,W331&lt;100),0.17,0)+IF(AND(V331&gt;=40,V331&lt;75,W331&gt;=100),0.1,0)+IF(AND(V331&gt;=75,W331&lt;25),0.35,0)+IF(AND(V331&gt;=75,W331&gt;=25,W331&lt;60),0.25,0)+IF(AND(V331&gt;=75,W331&gt;=60,W331&lt;95),0.17,0)+IF(AND(V331&gt;=75,W331&gt;=95),0.1,0),
IF(AF331="DoEVba",IF(AND(V331&lt;20,W331&lt;105),0.2,0)+IF(AND(V331&lt;20,W331&gt;=105),0.15,0)+IF(AND(V331&gt;=20,V331&lt;40,W331&lt;95),0.2,0)+IF(AND(V331&gt;=20,V331&lt;40,W331&gt;=95,W331&lt;150),0.15,0)+IF(AND(V331&gt;=20,V331&lt;40,W331&gt;=150),0.12,0)+IF(AND(V331&gt;=40,V331&lt;75,W331&lt;75),0.2,0)+IF(AND(V331&gt;=40,V331&lt;75,W331&gt;=75,W331&lt;120),0.15,0)+IF(AND(V331&gt;=40,V331&lt;75,W331&gt;=120),0.12,0)+IF(AND(V331&gt;=75,V331&lt;175,W331&lt;65),0.2,0)+IF(AND(V331&gt;=75,V331&lt;175,W331&gt;=65,W331&lt;110),0.15,0)+IF(AND(V331&gt;=75,V331&lt;175,W331&gt;=110),0.12,0)+IF(AND(V331&gt;=175,W331&lt;55),0.2,0)+IF(AND(V331&gt;=175,W331&gt;=55,W331&lt;95),0.15,0)+IF(AND(V331&gt;=175,W331&gt;=95),0.12,0),
IF(AF331="DoEVku",IF(AND(V331&lt;20,W331&lt;55),0.23,0)+IF(AND(V331&lt;20,W331&gt;=55,W331&lt;105),0.2,0)+IF(AND(V331&lt;20,W331&gt;=105),0.17,0)+IF(AND(V331&gt;=20,V331&lt;40,W331&lt;45),0.23,0)+IF(AND(V331&gt;=20,V331&lt;40,W331&gt;=45,W331&lt;95),0.2,0)+IF(AND(V331&gt;=20,V331&lt;40,W331&gt;=95,W331&lt;=150),0.17,0)+IF(AND(V331&gt;=20,V331&lt;40,W331&gt;=150),0.12,0)+IF(AND(V331&gt;=40,V331&lt;75,W331&lt;35),0.23,0)+IF(AND(V331&gt;=40,V331&lt;75,W331&gt;=35,W331&lt;75),0.2,0)+IF(AND(V331&gt;=40,V331&lt;75,W331&gt;=75,W331&lt;120),0.17,0)+IF(AND(V331&gt;=40,V331&lt;75,W331&gt;=120),0.12,0)+IF(AND(V331&gt;=75,V331&lt;175,W331&lt;35),0.23,0)+IF(AND(V331&gt;=75,V331&lt;=175,W331&gt;=35,W331&lt;65),0.2,0)+IF(AND(V331&gt;=75,V331&lt;=175,W331&gt;=65,W331&lt;110),0.17,0)+IF(AND(V331&gt;=75,V331&lt;=175,W331&gt;=110),0.12,0)+IF(AND(V331&gt;175,W331&lt;25),0.23,0)+IF(AND(V331&gt;175,W331&gt;=25,W331&lt;55),0.2,0)+IF(AND(V331&gt;175,W331&gt;=55,W331&lt;95),0.17,0)+IF(AND(V331&gt;175,W331&gt;=95),0.12,0),
IF(AF331="DoEVs1",IF(AND(V331&lt;20,W331&lt;55),0.3,0)+IF(AND(V331&lt;20,W331&gt;=55,W331&lt;105),0.23,0)+IF(AND(V331&lt;20,W331&gt;=105),0.17,0)+IF(AND(V331&gt;=20,V331&lt;40,W331&lt;45),0.3,0)+IF(AND(V331&gt;=20,V331&lt;40,W331&gt;=45,W331&lt;95),0.23,0)+IF(AND(V331&gt;=20,V331&lt;40,W331&gt;=95,W331&lt;=150),0.17,0)+IF(AND(V331&gt;=20,V331&lt;40,W331&gt;=150),0.12,0)+IF(AND(V331&gt;=40,V331&lt;75,W331&lt;35),0.3,0)+IF(AND(V331&gt;=40,V331&lt;75,W331&gt;=35,W331&lt;75),0.23,0)+IF(AND(V331&gt;=40,V331&lt;75,W331&gt;=75,W331&lt;120),0.17,0)+IF(AND(V331&gt;=40,V331&lt;75,W331&gt;=120),0.12,0)+IF(AND(V331&gt;=75,V331&lt;175,W331&lt;35),0.3,0)+IF(AND(V331&gt;=75,V331&lt;=175,W331&gt;=35,W331&lt;65),0.23,0)+IF(AND(V331&gt;=75,V331&lt;=175,W331&gt;=65,W331&lt;110),0.17,0)+IF(AND(V331&gt;=75,V331&lt;=175,W331&gt;=110),0.12,0)+IF(AND(V331&gt;175,W331&lt;25),0.3,0)+IF(AND(V331&gt;175,W331&gt;=25,W331&lt;55),0.23,0)+IF(AND(V331&gt;175,W331&gt;=55,W331&lt;95),0.17,0)+IF(AND(V331&gt;175,W331&gt;=95),0.12,0),
IF(AF331="DoEVsu",IF(AND(V331&lt;20,W331&lt;55),0.3,0)+IF(AND(V331&lt;20,W331&gt;=55,W331&lt;105),0.23,0)+IF(AND(V331&lt;20,W331&gt;=105),0.17,0)+IF(AND(V331&gt;=20,V331&lt;40,W331&lt;45),0.3,0)+IF(AND(V331&gt;=20,V331&lt;40,W331&gt;=45,W331&lt;95),0.23,0)+IF(AND(V331&gt;=20,V331&lt;40,W331&gt;=95,W331&lt;=250),0.17,0)+IF(AND(V331&gt;=20,V331&lt;40,W331&gt;=250),0.12,0)+IF(AND(V331&gt;=40,V331&lt;75,W331&lt;35),0.3,0)+IF(AND(V331&gt;=40,V331&lt;75,W331&gt;=35,W331&lt;75),0.23,0)+IF(AND(V331&gt;=40,V331&lt;75,W331&gt;=75,W331&lt;120),0.17,0)+IF(AND(V331&gt;=40,V331&lt;75,W331&gt;=120),0.12,0)+IF(AND(V331&gt;=75,V331&lt;175,W331&lt;35),0.3,0)+IF(AND(V331&gt;=75,V331&lt;=175,W331&gt;=35,W331&lt;65),0.23,0)+IF(AND(V331&gt;=75,V331&lt;=175,W331&gt;=65,W331&lt;110),0.17,0)+IF(AND(V331&gt;=75,V331&lt;=175,W331&gt;=110),0.12,0)+IF(AND(V331&gt;175,W331&lt;25),0.3,0)+IF(AND(V331&gt;175,W331&gt;=25,W331&lt;55),0.23,0)+IF(AND(V331&gt;175,W331&gt;=55,W331&lt;95),0.17,0)+IF(AND(V331&gt;175,W331&gt;=95),0.12,0),
IF(AF331="DoEVni",IF(AND(V331&lt;20,W331&lt;55),0.3,0)+IF(AND(V331&lt;20,W331&gt;=55,W331&lt;105),0.23,0)+IF(AND(V331&lt;20,W331&gt;=105),0.17,0)+IF(AND(V331&gt;=20,V331&lt;40,W331&lt;45),0.3,0)+IF(AND(V331&gt;=20,V331&lt;40,W331&gt;=45,W331&lt;95),0.23,0)+IF(AND(V331&gt;=20,V331&lt;40,W331&gt;=95,W331&lt;=200),0.17,0)+IF(AND(V331&gt;=20,V331&lt;40,W331&gt;=200),0.12,0)+IF(AND(V331&gt;=40,V331&lt;75,W331&lt;35),0.3,0)+IF(AND(V331&gt;=40,V331&lt;75,W331&gt;=35,W331&lt;75),0.23,0)+IF(AND(V331&gt;=40,V331&lt;75,W331&gt;=75,W331&lt;120),0.17,0)+IF(AND(V331&gt;=40,V331&lt;75,W331&gt;=120),0.12,0)+IF(AND(V331&gt;=75,V331&lt;175,W331&lt;35),0.3,0)+IF(AND(V331&gt;=75,V331&lt;=175,W331&gt;=35,W331&lt;65),0.23,0)+IF(AND(V331&gt;=75,V331&lt;=175,W331&gt;=65,W331&lt;110),0.17,0)+IF(AND(V331&gt;=75,V331&lt;=175,W331&gt;=110),0.12,0)+IF(AND(V331&gt;175,W331&lt;25),0.3,0)+IF(AND(V331&gt;175,W331&gt;=25,W331&lt;55),0.23,0)+IF(AND(V331&gt;175,W331&gt;=55,W331&lt;95),0.17,0)+IF(AND(V331&gt;175,W331&gt;=95),0.12,0),
IF(AF331="DoEVLo",IF(AND(V331&lt;20,W331&lt;55),0.25,0)+IF(AND(V331&lt;20,W331&gt;=55,W331&lt;105),0.2,0)+IF(AND(V331&lt;20,W331&gt;=105),0.15,0)+IF(AND(V331&gt;=20,V331&lt;40,W331&lt;45),0.25,0)+IF(AND(V331&gt;=20,V331&lt;40,W331&gt;=45,W331&lt;95),0.2,0)+IF(AND(V331&gt;=20,V331&lt;40,W331&gt;=95),0.15,0)+IF(AND(V331&gt;=40,V331&lt;75,W331&lt;35),0.25,0)+IF(AND(V331&gt;=40,V331&lt;75,W331&gt;=35,W331&lt;75),0.2,0)+IF(AND(V331&gt;=40,V331&lt;75,W331&gt;=75,W331&lt;120),0.15,0)+IF(AND(V331&gt;=40,V331&lt;75,W331&gt;=120),0.1,0)+IF(AND(V331&gt;=75,V331&lt;175,W331&lt;35),0.25,0)+IF(AND(V331&gt;=75,V331&lt;=175,W331&gt;=35,W331&lt;65),0.2,0)+IF(AND(V331&gt;=75,V331&lt;=175,W331&gt;=65,W331&lt;110),0.15,0)+IF(AND(V331&gt;=75,V331&lt;=175,W331&gt;=110),0.1,0)+IF(AND(V331&gt;175,W331&lt;25),0.25,0)+IF(AND(V331&gt;175,W331&gt;=25,W331&lt;55),0.2,0)+IF(AND(V331&gt;175,W331&gt;=55,W331&lt;95),0.15,0)+IF(AND(V331&gt;175,W331&gt;=95),0.1,0))))))))))))))))</f>
        <v>0.3</v>
      </c>
      <c r="Y331" s="30">
        <f>IF(AG331="None",0,IF(AG331="Fix5",0.05,IF(AG331="Fix3.75",0.0375,IF(AG331="Fix10",0.1,IF(AG331="Fix3",0.03,0)))))</f>
        <v>0</v>
      </c>
      <c r="Z331" s="35">
        <f>T331-AA331-AB331</f>
        <v>-322</v>
      </c>
      <c r="AA331" s="29">
        <f>IF(AD331="EUR",((T331-R331)*X331)*U331+(R331*X331),(T331*X331))</f>
        <v>-138</v>
      </c>
      <c r="AB331" s="36">
        <f>IF(AD331="EUR",((T331-R331)*Y331)*U331+(R331*Y331),(T331*Y331))</f>
        <v>0</v>
      </c>
      <c r="AC331" s="37" t="b">
        <v>1</v>
      </c>
      <c r="AD331" s="37" t="s">
        <v>38</v>
      </c>
      <c r="AE331" s="37" t="s">
        <v>38</v>
      </c>
      <c r="AF331" s="37" t="str">
        <f t="array" ref="AF331">INDEX('Deal Info'!D:D, MATCH(A331,'Deal Info'!A:A, 0))</f>
        <v>SF</v>
      </c>
      <c r="AG331" s="38" t="str">
        <f t="array" ref="AG331">INDEX('Deal Info'!G:G, MATCH(A331,'Deal Info'!A:A, 0))</f>
        <v>None</v>
      </c>
    </row>
    <row r="332" spans="1:33" ht="14.25" hidden="1" x14ac:dyDescent="0.2">
      <c r="A332" s="18" t="str">
        <f t="array" ref="A332">IF(G332='Room Info'!$B$1, INDEX('Room Info'!$A$2:$A2446, MATCH(B332,'Room Info'!$B$2:$B2446, 0)),IF(G332='Room Info'!$C$1, INDEX('Room Info'!$A$2:$A2446, MATCH(B332,'Room Info'!$C$2:$C2446, 0)),IF(G332='Room Info'!$D$1, INDEX('Room Info'!$A$2:$A2446, MATCH(B332,'Room Info'!$D$2:$D2446, 0)),IF(G332='Room Info'!$E$1, INDEX('Room Info'!$A$2:$A2446, MATCH(B332,'Room Info'!$E$2:$E2446, 0)),IF(G332='Room Info'!$F$1, INDEX('Room Info'!$A$2:$A2446, MATCH(B332,'Room Info'!$F$2:$F2446, 0)),IF(G332='Room Info'!$H$1, INDEX('Room Info'!$A$2:$A2446, MATCH(B332,'Room Info'!$H$2:$H2446, 0)),IF(G332='Room Info'!$G$1, INDEX('Room Info'!$A$2:$A2446, MATCH(B332,'Room Info'!$G$2:$G2446, 0)))))))))</f>
        <v>Kiss4money99</v>
      </c>
      <c r="B332" s="45" t="s">
        <v>121</v>
      </c>
      <c r="C332" s="46">
        <v>44348</v>
      </c>
      <c r="D332" s="46">
        <v>44377</v>
      </c>
      <c r="E332" s="47">
        <v>44348</v>
      </c>
      <c r="F332" s="48" t="s">
        <v>41</v>
      </c>
      <c r="G332" s="45" t="s">
        <v>69</v>
      </c>
      <c r="H332" s="49" t="s">
        <v>122</v>
      </c>
      <c r="I332" s="49" t="s">
        <v>37</v>
      </c>
      <c r="J332" s="50">
        <v>3</v>
      </c>
      <c r="K332" s="51">
        <v>74</v>
      </c>
      <c r="L332" s="52">
        <v>87</v>
      </c>
      <c r="M332" s="53">
        <v>5</v>
      </c>
      <c r="N332" s="28">
        <f>K332*J332</f>
        <v>222</v>
      </c>
      <c r="O332" s="65"/>
      <c r="P332" s="29">
        <v>0</v>
      </c>
      <c r="Q332" s="55"/>
      <c r="R332" s="31">
        <f>M332+Q332</f>
        <v>5</v>
      </c>
      <c r="S332" s="66"/>
      <c r="T332" s="32">
        <f>R332+S332+IF(F332="Without EV deal",L332,0)</f>
        <v>92</v>
      </c>
      <c r="U332" s="57">
        <v>1</v>
      </c>
      <c r="V332" s="69">
        <v>10.962177121771218</v>
      </c>
      <c r="W332" s="69">
        <v>-69.23807119414289</v>
      </c>
      <c r="X332" s="30">
        <f>IF(AF332="DoEV",IF(AND(V332&lt;20,W332&lt;55),0.3,0)+IF(AND(V332&lt;20,W332&gt;=55,W332&lt;105),0.23,0)+IF(AND(V332&lt;20,W332&gt;=105),0.17,0)+IF(AND(V332&gt;=20,V332&lt;40,W332&lt;45),0.3,0)+IF(AND(V332&gt;=20,V332&lt;40,W332&gt;=45,W332&lt;95),0.23,0)+IF(AND(V332&gt;=20,V332&lt;40,W332&gt;=95),0.17,0)+IF(AND(V332&gt;=40,V332&lt;75,W332&lt;35),0.3,0)+IF(AND(V332&gt;=40,V332&lt;75,W332&gt;=35,W332&lt;75),0.23,0)+IF(AND(V332&gt;=40,V332&lt;75,W332&gt;=75,W332&lt;120),0.17,0)+IF(AND(V332&gt;=40,V332&lt;75,W332&gt;=120),0.12,0)+IF(AND(V332&gt;=75,V332&lt;175,W332&lt;35),0.3,0)+IF(AND(V332&gt;=75,V332&lt;=175,W332&gt;=35,W332&lt;65),0.23,0)+IF(AND(V332&gt;=75,V332&lt;=175,W332&gt;=65,W332&lt;110),0.17,0)+IF(AND(V332&gt;=75,V332&lt;=175,W332&gt;=110),0.12,0)+IF(AND(V332&gt;175,W332&lt;25),0.3,0)+IF(AND(V332&gt;175,W332&gt;=25,W332&lt;55),0.23,0)+IF(AND(V332&gt;175,W332&gt;=55,W332&lt;95),0.17,0)+IF(AND(V332&gt;175,W332&gt;=95),0.12,0),
IF(AF332="Fix15",0.15,
IF(AF332="Fix11.25",0.1125,
IF(AF332="Fix10",0.1,
IF(AF332="Fix9",0.09,
IF(AF332="DoEV2017",IF(AND(W332&lt;74),0.2,0)+IF(AND(W332&gt;=74),0.17,0),
IF(AF332="SF",IF(AND(V332&lt;20,W332&lt;89),0.3,0)+IF(AND(V332&lt;20,W332&gt;=89),0.25,0)+IF(AND(V332&gt;=20,V332&lt;40,W332&lt;74),0.3,0)+IF(AND(V332&gt;=20,V332&lt;40,W332&gt;=75),0.22,0)+IF(AND(V332&gt;=40,V332&lt;75,W332&lt;75),0.26,0)+IF(AND(V332&gt;=40,V332&lt;75,W332&gt;=75),0.22,0)+IF(V332&gt;=75,0.22,0),
IF(AF332="DoEVold",IF(AND(V332&lt;40,W332&lt;35),0.35,0)+IF(AND(V332&lt;40,W332&gt;=35,W332&lt;75),0.25,0)+IF(AND(V332&lt;40,W332&gt;=75),0.17,0)+IF(AND(V332&gt;=40,V332&lt;75,W332&lt;25),0.35,0)+IF(AND(V332&gt;=40,V332&lt;75,W332&gt;=25,W332&lt;65),0.25,0)+IF(AND(V332&gt;=40,V332&lt;75,W332&gt;=65,W332&lt;100),0.17,0)+IF(AND(V332&gt;=40,V332&lt;75,W332&gt;=100),0.1,0)+IF(AND(V332&gt;=75,W332&lt;25),0.35,0)+IF(AND(V332&gt;=75,W332&gt;=25,W332&lt;60),0.25,0)+IF(AND(V332&gt;=75,W332&gt;=60,W332&lt;95),0.17,0)+IF(AND(V332&gt;=75,W332&gt;=95),0.1,0),
IF(AF332="DoEVold15",IF(AND(V332&lt;=40,W332&lt;35),0.35,0)+IF(AND(V332&lt;=40,W332&gt;=35,W332&lt;75),0.25,0)+IF(AND(V332&lt;=40,W332&gt;=75,W332&lt;120),0.17,0)+IF(AND(V332&lt;=40,W332&gt;=120),0.15,0)+IF(AND(V332&gt;40,V332&lt;75,W332&lt;25),0.35,0)+IF(AND(V332&gt;=40,V332&lt;75,W332&gt;=25,W332&lt;65),0.25,0)+IF(AND(V332&gt;=40,V332&lt;75,W332&gt;=65,W332&lt;100),0.17,0)+IF(AND(V332&gt;=40,V332&lt;75,W332&gt;=100),0.1,0)+IF(AND(V332&gt;=75,W332&lt;25),0.35,0)+IF(AND(V332&gt;=75,W332&gt;=25,W332&lt;60),0.25,0)+IF(AND(V332&gt;=75,W332&gt;=60,W332&lt;95),0.17,0)+IF(AND(V332&gt;=75,W332&gt;=95),0.1,0),
IF(AF332="DoEVba",IF(AND(V332&lt;20,W332&lt;105),0.2,0)+IF(AND(V332&lt;20,W332&gt;=105),0.15,0)+IF(AND(V332&gt;=20,V332&lt;40,W332&lt;95),0.2,0)+IF(AND(V332&gt;=20,V332&lt;40,W332&gt;=95,W332&lt;150),0.15,0)+IF(AND(V332&gt;=20,V332&lt;40,W332&gt;=150),0.12,0)+IF(AND(V332&gt;=40,V332&lt;75,W332&lt;75),0.2,0)+IF(AND(V332&gt;=40,V332&lt;75,W332&gt;=75,W332&lt;120),0.15,0)+IF(AND(V332&gt;=40,V332&lt;75,W332&gt;=120),0.12,0)+IF(AND(V332&gt;=75,V332&lt;175,W332&lt;65),0.2,0)+IF(AND(V332&gt;=75,V332&lt;175,W332&gt;=65,W332&lt;110),0.15,0)+IF(AND(V332&gt;=75,V332&lt;175,W332&gt;=110),0.12,0)+IF(AND(V332&gt;=175,W332&lt;55),0.2,0)+IF(AND(V332&gt;=175,W332&gt;=55,W332&lt;95),0.15,0)+IF(AND(V332&gt;=175,W332&gt;=95),0.12,0),
IF(AF332="DoEVku",IF(AND(V332&lt;20,W332&lt;55),0.23,0)+IF(AND(V332&lt;20,W332&gt;=55,W332&lt;105),0.2,0)+IF(AND(V332&lt;20,W332&gt;=105),0.17,0)+IF(AND(V332&gt;=20,V332&lt;40,W332&lt;45),0.23,0)+IF(AND(V332&gt;=20,V332&lt;40,W332&gt;=45,W332&lt;95),0.2,0)+IF(AND(V332&gt;=20,V332&lt;40,W332&gt;=95,W332&lt;=150),0.17,0)+IF(AND(V332&gt;=20,V332&lt;40,W332&gt;=150),0.12,0)+IF(AND(V332&gt;=40,V332&lt;75,W332&lt;35),0.23,0)+IF(AND(V332&gt;=40,V332&lt;75,W332&gt;=35,W332&lt;75),0.2,0)+IF(AND(V332&gt;=40,V332&lt;75,W332&gt;=75,W332&lt;120),0.17,0)+IF(AND(V332&gt;=40,V332&lt;75,W332&gt;=120),0.12,0)+IF(AND(V332&gt;=75,V332&lt;175,W332&lt;35),0.23,0)+IF(AND(V332&gt;=75,V332&lt;=175,W332&gt;=35,W332&lt;65),0.2,0)+IF(AND(V332&gt;=75,V332&lt;=175,W332&gt;=65,W332&lt;110),0.17,0)+IF(AND(V332&gt;=75,V332&lt;=175,W332&gt;=110),0.12,0)+IF(AND(V332&gt;175,W332&lt;25),0.23,0)+IF(AND(V332&gt;175,W332&gt;=25,W332&lt;55),0.2,0)+IF(AND(V332&gt;175,W332&gt;=55,W332&lt;95),0.17,0)+IF(AND(V332&gt;175,W332&gt;=95),0.12,0),
IF(AF332="DoEVs1",IF(AND(V332&lt;20,W332&lt;55),0.3,0)+IF(AND(V332&lt;20,W332&gt;=55,W332&lt;105),0.23,0)+IF(AND(V332&lt;20,W332&gt;=105),0.17,0)+IF(AND(V332&gt;=20,V332&lt;40,W332&lt;45),0.3,0)+IF(AND(V332&gt;=20,V332&lt;40,W332&gt;=45,W332&lt;95),0.23,0)+IF(AND(V332&gt;=20,V332&lt;40,W332&gt;=95,W332&lt;=150),0.17,0)+IF(AND(V332&gt;=20,V332&lt;40,W332&gt;=150),0.12,0)+IF(AND(V332&gt;=40,V332&lt;75,W332&lt;35),0.3,0)+IF(AND(V332&gt;=40,V332&lt;75,W332&gt;=35,W332&lt;75),0.23,0)+IF(AND(V332&gt;=40,V332&lt;75,W332&gt;=75,W332&lt;120),0.17,0)+IF(AND(V332&gt;=40,V332&lt;75,W332&gt;=120),0.12,0)+IF(AND(V332&gt;=75,V332&lt;175,W332&lt;35),0.3,0)+IF(AND(V332&gt;=75,V332&lt;=175,W332&gt;=35,W332&lt;65),0.23,0)+IF(AND(V332&gt;=75,V332&lt;=175,W332&gt;=65,W332&lt;110),0.17,0)+IF(AND(V332&gt;=75,V332&lt;=175,W332&gt;=110),0.12,0)+IF(AND(V332&gt;175,W332&lt;25),0.3,0)+IF(AND(V332&gt;175,W332&gt;=25,W332&lt;55),0.23,0)+IF(AND(V332&gt;175,W332&gt;=55,W332&lt;95),0.17,0)+IF(AND(V332&gt;175,W332&gt;=95),0.12,0),
IF(AF332="DoEVsu",IF(AND(V332&lt;20,W332&lt;55),0.3,0)+IF(AND(V332&lt;20,W332&gt;=55,W332&lt;105),0.23,0)+IF(AND(V332&lt;20,W332&gt;=105),0.17,0)+IF(AND(V332&gt;=20,V332&lt;40,W332&lt;45),0.3,0)+IF(AND(V332&gt;=20,V332&lt;40,W332&gt;=45,W332&lt;95),0.23,0)+IF(AND(V332&gt;=20,V332&lt;40,W332&gt;=95,W332&lt;=250),0.17,0)+IF(AND(V332&gt;=20,V332&lt;40,W332&gt;=250),0.12,0)+IF(AND(V332&gt;=40,V332&lt;75,W332&lt;35),0.3,0)+IF(AND(V332&gt;=40,V332&lt;75,W332&gt;=35,W332&lt;75),0.23,0)+IF(AND(V332&gt;=40,V332&lt;75,W332&gt;=75,W332&lt;120),0.17,0)+IF(AND(V332&gt;=40,V332&lt;75,W332&gt;=120),0.12,0)+IF(AND(V332&gt;=75,V332&lt;175,W332&lt;35),0.3,0)+IF(AND(V332&gt;=75,V332&lt;=175,W332&gt;=35,W332&lt;65),0.23,0)+IF(AND(V332&gt;=75,V332&lt;=175,W332&gt;=65,W332&lt;110),0.17,0)+IF(AND(V332&gt;=75,V332&lt;=175,W332&gt;=110),0.12,0)+IF(AND(V332&gt;175,W332&lt;25),0.3,0)+IF(AND(V332&gt;175,W332&gt;=25,W332&lt;55),0.23,0)+IF(AND(V332&gt;175,W332&gt;=55,W332&lt;95),0.17,0)+IF(AND(V332&gt;175,W332&gt;=95),0.12,0),
IF(AF332="DoEVni",IF(AND(V332&lt;20,W332&lt;55),0.3,0)+IF(AND(V332&lt;20,W332&gt;=55,W332&lt;105),0.23,0)+IF(AND(V332&lt;20,W332&gt;=105),0.17,0)+IF(AND(V332&gt;=20,V332&lt;40,W332&lt;45),0.3,0)+IF(AND(V332&gt;=20,V332&lt;40,W332&gt;=45,W332&lt;95),0.23,0)+IF(AND(V332&gt;=20,V332&lt;40,W332&gt;=95,W332&lt;=200),0.17,0)+IF(AND(V332&gt;=20,V332&lt;40,W332&gt;=200),0.12,0)+IF(AND(V332&gt;=40,V332&lt;75,W332&lt;35),0.3,0)+IF(AND(V332&gt;=40,V332&lt;75,W332&gt;=35,W332&lt;75),0.23,0)+IF(AND(V332&gt;=40,V332&lt;75,W332&gt;=75,W332&lt;120),0.17,0)+IF(AND(V332&gt;=40,V332&lt;75,W332&gt;=120),0.12,0)+IF(AND(V332&gt;=75,V332&lt;175,W332&lt;35),0.3,0)+IF(AND(V332&gt;=75,V332&lt;=175,W332&gt;=35,W332&lt;65),0.23,0)+IF(AND(V332&gt;=75,V332&lt;=175,W332&gt;=65,W332&lt;110),0.17,0)+IF(AND(V332&gt;=75,V332&lt;=175,W332&gt;=110),0.12,0)+IF(AND(V332&gt;175,W332&lt;25),0.3,0)+IF(AND(V332&gt;175,W332&gt;=25,W332&lt;55),0.23,0)+IF(AND(V332&gt;175,W332&gt;=55,W332&lt;95),0.17,0)+IF(AND(V332&gt;175,W332&gt;=95),0.12,0),
IF(AF332="DoEVLo",IF(AND(V332&lt;20,W332&lt;55),0.25,0)+IF(AND(V332&lt;20,W332&gt;=55,W332&lt;105),0.2,0)+IF(AND(V332&lt;20,W332&gt;=105),0.15,0)+IF(AND(V332&gt;=20,V332&lt;40,W332&lt;45),0.25,0)+IF(AND(V332&gt;=20,V332&lt;40,W332&gt;=45,W332&lt;95),0.2,0)+IF(AND(V332&gt;=20,V332&lt;40,W332&gt;=95),0.15,0)+IF(AND(V332&gt;=40,V332&lt;75,W332&lt;35),0.25,0)+IF(AND(V332&gt;=40,V332&lt;75,W332&gt;=35,W332&lt;75),0.2,0)+IF(AND(V332&gt;=40,V332&lt;75,W332&gt;=75,W332&lt;120),0.15,0)+IF(AND(V332&gt;=40,V332&lt;75,W332&gt;=120),0.1,0)+IF(AND(V332&gt;=75,V332&lt;175,W332&lt;35),0.25,0)+IF(AND(V332&gt;=75,V332&lt;=175,W332&gt;=35,W332&lt;65),0.2,0)+IF(AND(V332&gt;=75,V332&lt;=175,W332&gt;=65,W332&lt;110),0.15,0)+IF(AND(V332&gt;=75,V332&lt;=175,W332&gt;=110),0.1,0)+IF(AND(V332&gt;175,W332&lt;25),0.25,0)+IF(AND(V332&gt;175,W332&gt;=25,W332&lt;55),0.2,0)+IF(AND(V332&gt;175,W332&gt;=55,W332&lt;95),0.15,0)+IF(AND(V332&gt;175,W332&gt;=95),0.1,0))))))))))))))))</f>
        <v>0.3</v>
      </c>
      <c r="Y332" s="30">
        <f>IF(AG332="None",0,IF(AG332="Fix5",0.05,IF(AG332="Fix3.75",0.0375,IF(AG332="Fix10",0.1,IF(AG332="Fix3",0.03,0)))))</f>
        <v>0</v>
      </c>
      <c r="Z332" s="35">
        <f>T332-AA332-AB332</f>
        <v>64.400000000000006</v>
      </c>
      <c r="AA332" s="29">
        <f>IF(AD332="EUR",((T332-R332)*X332)*U332+(R332*X332),(T332*X332))</f>
        <v>27.599999999999998</v>
      </c>
      <c r="AB332" s="36">
        <f>IF(AD332="EUR",((T332-R332)*Y332)*U332+(R332*Y332),(T332*Y332))</f>
        <v>0</v>
      </c>
      <c r="AC332" s="37" t="b">
        <v>1</v>
      </c>
      <c r="AD332" s="37" t="s">
        <v>38</v>
      </c>
      <c r="AE332" s="37" t="s">
        <v>38</v>
      </c>
      <c r="AF332" s="37" t="str">
        <f t="array" ref="AF332">INDEX('Deal Info'!D:D, MATCH(A332,'Deal Info'!A:A, 0))</f>
        <v>SF</v>
      </c>
      <c r="AG332" s="38" t="str">
        <f t="array" ref="AG332">INDEX('Deal Info'!G:G, MATCH(A332,'Deal Info'!A:A, 0))</f>
        <v>None</v>
      </c>
    </row>
    <row r="333" spans="1:33" ht="14.25" hidden="1" x14ac:dyDescent="0.2">
      <c r="A333" s="18" t="str">
        <f t="array" ref="A333">IF(G333='Room Info'!$B$1, INDEX('Room Info'!$A$2:$A2446, MATCH(B333,'Room Info'!$B$2:$B2446, 0)),IF(G333='Room Info'!$C$1, INDEX('Room Info'!$A$2:$A2446, MATCH(B333,'Room Info'!$C$2:$C2446, 0)),IF(G333='Room Info'!$D$1, INDEX('Room Info'!$A$2:$A2446, MATCH(B333,'Room Info'!$D$2:$D2446, 0)),IF(G333='Room Info'!$E$1, INDEX('Room Info'!$A$2:$A2446, MATCH(B333,'Room Info'!$E$2:$E2446, 0)),IF(G333='Room Info'!$F$1, INDEX('Room Info'!$A$2:$A2446, MATCH(B333,'Room Info'!$F$2:$F2446, 0)),IF(G333='Room Info'!$H$1, INDEX('Room Info'!$A$2:$A2446, MATCH(B333,'Room Info'!$H$2:$H2446, 0)),IF(G333='Room Info'!$G$1, INDEX('Room Info'!$A$2:$A2446, MATCH(B333,'Room Info'!$G$2:$G2446, 0)))))))))</f>
        <v>Kiss4money99</v>
      </c>
      <c r="B333" s="45" t="s">
        <v>121</v>
      </c>
      <c r="C333" s="46">
        <v>44348</v>
      </c>
      <c r="D333" s="46">
        <v>44377</v>
      </c>
      <c r="E333" s="47">
        <v>44348</v>
      </c>
      <c r="F333" s="48" t="s">
        <v>41</v>
      </c>
      <c r="G333" s="45" t="s">
        <v>69</v>
      </c>
      <c r="H333" s="49" t="s">
        <v>39</v>
      </c>
      <c r="I333" s="49" t="s">
        <v>37</v>
      </c>
      <c r="J333" s="50">
        <v>5</v>
      </c>
      <c r="K333" s="51">
        <v>1</v>
      </c>
      <c r="L333" s="52">
        <v>-5</v>
      </c>
      <c r="M333" s="53">
        <v>0</v>
      </c>
      <c r="N333" s="28">
        <f>K333*J333</f>
        <v>5</v>
      </c>
      <c r="O333" s="65"/>
      <c r="P333" s="29">
        <v>0</v>
      </c>
      <c r="Q333" s="55"/>
      <c r="R333" s="31">
        <f>M333+Q333</f>
        <v>0</v>
      </c>
      <c r="S333" s="66"/>
      <c r="T333" s="32">
        <f>R333+S333+IF(F333="Without EV deal",L333,0)</f>
        <v>-5</v>
      </c>
      <c r="U333" s="57">
        <v>1</v>
      </c>
      <c r="V333" s="69">
        <v>10.962177121771218</v>
      </c>
      <c r="W333" s="69">
        <v>-69.23807119414289</v>
      </c>
      <c r="X333" s="30">
        <f>IF(AF333="DoEV",IF(AND(V333&lt;20,W333&lt;55),0.3,0)+IF(AND(V333&lt;20,W333&gt;=55,W333&lt;105),0.23,0)+IF(AND(V333&lt;20,W333&gt;=105),0.17,0)+IF(AND(V333&gt;=20,V333&lt;40,W333&lt;45),0.3,0)+IF(AND(V333&gt;=20,V333&lt;40,W333&gt;=45,W333&lt;95),0.23,0)+IF(AND(V333&gt;=20,V333&lt;40,W333&gt;=95),0.17,0)+IF(AND(V333&gt;=40,V333&lt;75,W333&lt;35),0.3,0)+IF(AND(V333&gt;=40,V333&lt;75,W333&gt;=35,W333&lt;75),0.23,0)+IF(AND(V333&gt;=40,V333&lt;75,W333&gt;=75,W333&lt;120),0.17,0)+IF(AND(V333&gt;=40,V333&lt;75,W333&gt;=120),0.12,0)+IF(AND(V333&gt;=75,V333&lt;175,W333&lt;35),0.3,0)+IF(AND(V333&gt;=75,V333&lt;=175,W333&gt;=35,W333&lt;65),0.23,0)+IF(AND(V333&gt;=75,V333&lt;=175,W333&gt;=65,W333&lt;110),0.17,0)+IF(AND(V333&gt;=75,V333&lt;=175,W333&gt;=110),0.12,0)+IF(AND(V333&gt;175,W333&lt;25),0.3,0)+IF(AND(V333&gt;175,W333&gt;=25,W333&lt;55),0.23,0)+IF(AND(V333&gt;175,W333&gt;=55,W333&lt;95),0.17,0)+IF(AND(V333&gt;175,W333&gt;=95),0.12,0),
IF(AF333="Fix15",0.15,
IF(AF333="Fix11.25",0.1125,
IF(AF333="Fix10",0.1,
IF(AF333="Fix9",0.09,
IF(AF333="DoEV2017",IF(AND(W333&lt;74),0.2,0)+IF(AND(W333&gt;=74),0.17,0),
IF(AF333="SF",IF(AND(V333&lt;20,W333&lt;89),0.3,0)+IF(AND(V333&lt;20,W333&gt;=89),0.25,0)+IF(AND(V333&gt;=20,V333&lt;40,W333&lt;74),0.3,0)+IF(AND(V333&gt;=20,V333&lt;40,W333&gt;=75),0.22,0)+IF(AND(V333&gt;=40,V333&lt;75,W333&lt;75),0.26,0)+IF(AND(V333&gt;=40,V333&lt;75,W333&gt;=75),0.22,0)+IF(V333&gt;=75,0.22,0),
IF(AF333="DoEVold",IF(AND(V333&lt;40,W333&lt;35),0.35,0)+IF(AND(V333&lt;40,W333&gt;=35,W333&lt;75),0.25,0)+IF(AND(V333&lt;40,W333&gt;=75),0.17,0)+IF(AND(V333&gt;=40,V333&lt;75,W333&lt;25),0.35,0)+IF(AND(V333&gt;=40,V333&lt;75,W333&gt;=25,W333&lt;65),0.25,0)+IF(AND(V333&gt;=40,V333&lt;75,W333&gt;=65,W333&lt;100),0.17,0)+IF(AND(V333&gt;=40,V333&lt;75,W333&gt;=100),0.1,0)+IF(AND(V333&gt;=75,W333&lt;25),0.35,0)+IF(AND(V333&gt;=75,W333&gt;=25,W333&lt;60),0.25,0)+IF(AND(V333&gt;=75,W333&gt;=60,W333&lt;95),0.17,0)+IF(AND(V333&gt;=75,W333&gt;=95),0.1,0),
IF(AF333="DoEVold15",IF(AND(V333&lt;=40,W333&lt;35),0.35,0)+IF(AND(V333&lt;=40,W333&gt;=35,W333&lt;75),0.25,0)+IF(AND(V333&lt;=40,W333&gt;=75,W333&lt;120),0.17,0)+IF(AND(V333&lt;=40,W333&gt;=120),0.15,0)+IF(AND(V333&gt;40,V333&lt;75,W333&lt;25),0.35,0)+IF(AND(V333&gt;=40,V333&lt;75,W333&gt;=25,W333&lt;65),0.25,0)+IF(AND(V333&gt;=40,V333&lt;75,W333&gt;=65,W333&lt;100),0.17,0)+IF(AND(V333&gt;=40,V333&lt;75,W333&gt;=100),0.1,0)+IF(AND(V333&gt;=75,W333&lt;25),0.35,0)+IF(AND(V333&gt;=75,W333&gt;=25,W333&lt;60),0.25,0)+IF(AND(V333&gt;=75,W333&gt;=60,W333&lt;95),0.17,0)+IF(AND(V333&gt;=75,W333&gt;=95),0.1,0),
IF(AF333="DoEVba",IF(AND(V333&lt;20,W333&lt;105),0.2,0)+IF(AND(V333&lt;20,W333&gt;=105),0.15,0)+IF(AND(V333&gt;=20,V333&lt;40,W333&lt;95),0.2,0)+IF(AND(V333&gt;=20,V333&lt;40,W333&gt;=95,W333&lt;150),0.15,0)+IF(AND(V333&gt;=20,V333&lt;40,W333&gt;=150),0.12,0)+IF(AND(V333&gt;=40,V333&lt;75,W333&lt;75),0.2,0)+IF(AND(V333&gt;=40,V333&lt;75,W333&gt;=75,W333&lt;120),0.15,0)+IF(AND(V333&gt;=40,V333&lt;75,W333&gt;=120),0.12,0)+IF(AND(V333&gt;=75,V333&lt;175,W333&lt;65),0.2,0)+IF(AND(V333&gt;=75,V333&lt;175,W333&gt;=65,W333&lt;110),0.15,0)+IF(AND(V333&gt;=75,V333&lt;175,W333&gt;=110),0.12,0)+IF(AND(V333&gt;=175,W333&lt;55),0.2,0)+IF(AND(V333&gt;=175,W333&gt;=55,W333&lt;95),0.15,0)+IF(AND(V333&gt;=175,W333&gt;=95),0.12,0),
IF(AF333="DoEVku",IF(AND(V333&lt;20,W333&lt;55),0.23,0)+IF(AND(V333&lt;20,W333&gt;=55,W333&lt;105),0.2,0)+IF(AND(V333&lt;20,W333&gt;=105),0.17,0)+IF(AND(V333&gt;=20,V333&lt;40,W333&lt;45),0.23,0)+IF(AND(V333&gt;=20,V333&lt;40,W333&gt;=45,W333&lt;95),0.2,0)+IF(AND(V333&gt;=20,V333&lt;40,W333&gt;=95,W333&lt;=150),0.17,0)+IF(AND(V333&gt;=20,V333&lt;40,W333&gt;=150),0.12,0)+IF(AND(V333&gt;=40,V333&lt;75,W333&lt;35),0.23,0)+IF(AND(V333&gt;=40,V333&lt;75,W333&gt;=35,W333&lt;75),0.2,0)+IF(AND(V333&gt;=40,V333&lt;75,W333&gt;=75,W333&lt;120),0.17,0)+IF(AND(V333&gt;=40,V333&lt;75,W333&gt;=120),0.12,0)+IF(AND(V333&gt;=75,V333&lt;175,W333&lt;35),0.23,0)+IF(AND(V333&gt;=75,V333&lt;=175,W333&gt;=35,W333&lt;65),0.2,0)+IF(AND(V333&gt;=75,V333&lt;=175,W333&gt;=65,W333&lt;110),0.17,0)+IF(AND(V333&gt;=75,V333&lt;=175,W333&gt;=110),0.12,0)+IF(AND(V333&gt;175,W333&lt;25),0.23,0)+IF(AND(V333&gt;175,W333&gt;=25,W333&lt;55),0.2,0)+IF(AND(V333&gt;175,W333&gt;=55,W333&lt;95),0.17,0)+IF(AND(V333&gt;175,W333&gt;=95),0.12,0),
IF(AF333="DoEVs1",IF(AND(V333&lt;20,W333&lt;55),0.3,0)+IF(AND(V333&lt;20,W333&gt;=55,W333&lt;105),0.23,0)+IF(AND(V333&lt;20,W333&gt;=105),0.17,0)+IF(AND(V333&gt;=20,V333&lt;40,W333&lt;45),0.3,0)+IF(AND(V333&gt;=20,V333&lt;40,W333&gt;=45,W333&lt;95),0.23,0)+IF(AND(V333&gt;=20,V333&lt;40,W333&gt;=95,W333&lt;=150),0.17,0)+IF(AND(V333&gt;=20,V333&lt;40,W333&gt;=150),0.12,0)+IF(AND(V333&gt;=40,V333&lt;75,W333&lt;35),0.3,0)+IF(AND(V333&gt;=40,V333&lt;75,W333&gt;=35,W333&lt;75),0.23,0)+IF(AND(V333&gt;=40,V333&lt;75,W333&gt;=75,W333&lt;120),0.17,0)+IF(AND(V333&gt;=40,V333&lt;75,W333&gt;=120),0.12,0)+IF(AND(V333&gt;=75,V333&lt;175,W333&lt;35),0.3,0)+IF(AND(V333&gt;=75,V333&lt;=175,W333&gt;=35,W333&lt;65),0.23,0)+IF(AND(V333&gt;=75,V333&lt;=175,W333&gt;=65,W333&lt;110),0.17,0)+IF(AND(V333&gt;=75,V333&lt;=175,W333&gt;=110),0.12,0)+IF(AND(V333&gt;175,W333&lt;25),0.3,0)+IF(AND(V333&gt;175,W333&gt;=25,W333&lt;55),0.23,0)+IF(AND(V333&gt;175,W333&gt;=55,W333&lt;95),0.17,0)+IF(AND(V333&gt;175,W333&gt;=95),0.12,0),
IF(AF333="DoEVsu",IF(AND(V333&lt;20,W333&lt;55),0.3,0)+IF(AND(V333&lt;20,W333&gt;=55,W333&lt;105),0.23,0)+IF(AND(V333&lt;20,W333&gt;=105),0.17,0)+IF(AND(V333&gt;=20,V333&lt;40,W333&lt;45),0.3,0)+IF(AND(V333&gt;=20,V333&lt;40,W333&gt;=45,W333&lt;95),0.23,0)+IF(AND(V333&gt;=20,V333&lt;40,W333&gt;=95,W333&lt;=250),0.17,0)+IF(AND(V333&gt;=20,V333&lt;40,W333&gt;=250),0.12,0)+IF(AND(V333&gt;=40,V333&lt;75,W333&lt;35),0.3,0)+IF(AND(V333&gt;=40,V333&lt;75,W333&gt;=35,W333&lt;75),0.23,0)+IF(AND(V333&gt;=40,V333&lt;75,W333&gt;=75,W333&lt;120),0.17,0)+IF(AND(V333&gt;=40,V333&lt;75,W333&gt;=120),0.12,0)+IF(AND(V333&gt;=75,V333&lt;175,W333&lt;35),0.3,0)+IF(AND(V333&gt;=75,V333&lt;=175,W333&gt;=35,W333&lt;65),0.23,0)+IF(AND(V333&gt;=75,V333&lt;=175,W333&gt;=65,W333&lt;110),0.17,0)+IF(AND(V333&gt;=75,V333&lt;=175,W333&gt;=110),0.12,0)+IF(AND(V333&gt;175,W333&lt;25),0.3,0)+IF(AND(V333&gt;175,W333&gt;=25,W333&lt;55),0.23,0)+IF(AND(V333&gt;175,W333&gt;=55,W333&lt;95),0.17,0)+IF(AND(V333&gt;175,W333&gt;=95),0.12,0),
IF(AF333="DoEVni",IF(AND(V333&lt;20,W333&lt;55),0.3,0)+IF(AND(V333&lt;20,W333&gt;=55,W333&lt;105),0.23,0)+IF(AND(V333&lt;20,W333&gt;=105),0.17,0)+IF(AND(V333&gt;=20,V333&lt;40,W333&lt;45),0.3,0)+IF(AND(V333&gt;=20,V333&lt;40,W333&gt;=45,W333&lt;95),0.23,0)+IF(AND(V333&gt;=20,V333&lt;40,W333&gt;=95,W333&lt;=200),0.17,0)+IF(AND(V333&gt;=20,V333&lt;40,W333&gt;=200),0.12,0)+IF(AND(V333&gt;=40,V333&lt;75,W333&lt;35),0.3,0)+IF(AND(V333&gt;=40,V333&lt;75,W333&gt;=35,W333&lt;75),0.23,0)+IF(AND(V333&gt;=40,V333&lt;75,W333&gt;=75,W333&lt;120),0.17,0)+IF(AND(V333&gt;=40,V333&lt;75,W333&gt;=120),0.12,0)+IF(AND(V333&gt;=75,V333&lt;175,W333&lt;35),0.3,0)+IF(AND(V333&gt;=75,V333&lt;=175,W333&gt;=35,W333&lt;65),0.23,0)+IF(AND(V333&gt;=75,V333&lt;=175,W333&gt;=65,W333&lt;110),0.17,0)+IF(AND(V333&gt;=75,V333&lt;=175,W333&gt;=110),0.12,0)+IF(AND(V333&gt;175,W333&lt;25),0.3,0)+IF(AND(V333&gt;175,W333&gt;=25,W333&lt;55),0.23,0)+IF(AND(V333&gt;175,W333&gt;=55,W333&lt;95),0.17,0)+IF(AND(V333&gt;175,W333&gt;=95),0.12,0),
IF(AF333="DoEVLo",IF(AND(V333&lt;20,W333&lt;55),0.25,0)+IF(AND(V333&lt;20,W333&gt;=55,W333&lt;105),0.2,0)+IF(AND(V333&lt;20,W333&gt;=105),0.15,0)+IF(AND(V333&gt;=20,V333&lt;40,W333&lt;45),0.25,0)+IF(AND(V333&gt;=20,V333&lt;40,W333&gt;=45,W333&lt;95),0.2,0)+IF(AND(V333&gt;=20,V333&lt;40,W333&gt;=95),0.15,0)+IF(AND(V333&gt;=40,V333&lt;75,W333&lt;35),0.25,0)+IF(AND(V333&gt;=40,V333&lt;75,W333&gt;=35,W333&lt;75),0.2,0)+IF(AND(V333&gt;=40,V333&lt;75,W333&gt;=75,W333&lt;120),0.15,0)+IF(AND(V333&gt;=40,V333&lt;75,W333&gt;=120),0.1,0)+IF(AND(V333&gt;=75,V333&lt;175,W333&lt;35),0.25,0)+IF(AND(V333&gt;=75,V333&lt;=175,W333&gt;=35,W333&lt;65),0.2,0)+IF(AND(V333&gt;=75,V333&lt;=175,W333&gt;=65,W333&lt;110),0.15,0)+IF(AND(V333&gt;=75,V333&lt;=175,W333&gt;=110),0.1,0)+IF(AND(V333&gt;175,W333&lt;25),0.25,0)+IF(AND(V333&gt;175,W333&gt;=25,W333&lt;55),0.2,0)+IF(AND(V333&gt;175,W333&gt;=55,W333&lt;95),0.15,0)+IF(AND(V333&gt;175,W333&gt;=95),0.1,0))))))))))))))))</f>
        <v>0.3</v>
      </c>
      <c r="Y333" s="30">
        <f>IF(AG333="None",0,IF(AG333="Fix5",0.05,IF(AG333="Fix3.75",0.0375,IF(AG333="Fix10",0.1,IF(AG333="Fix3",0.03,0)))))</f>
        <v>0</v>
      </c>
      <c r="Z333" s="35">
        <f>T333-AA333-AB333</f>
        <v>-3.5</v>
      </c>
      <c r="AA333" s="29">
        <f>IF(AD333="EUR",((T333-R333)*X333)*U333+(R333*X333),(T333*X333))</f>
        <v>-1.5</v>
      </c>
      <c r="AB333" s="36">
        <f>IF(AD333="EUR",((T333-R333)*Y333)*U333+(R333*Y333),(T333*Y333))</f>
        <v>0</v>
      </c>
      <c r="AC333" s="37" t="b">
        <v>1</v>
      </c>
      <c r="AD333" s="37" t="s">
        <v>38</v>
      </c>
      <c r="AE333" s="37" t="s">
        <v>38</v>
      </c>
      <c r="AF333" s="37" t="str">
        <f t="array" ref="AF333">INDEX('Deal Info'!D:D, MATCH(A333,'Deal Info'!A:A, 0))</f>
        <v>SF</v>
      </c>
      <c r="AG333" s="38" t="str">
        <f t="array" ref="AG333">INDEX('Deal Info'!G:G, MATCH(A333,'Deal Info'!A:A, 0))</f>
        <v>None</v>
      </c>
    </row>
    <row r="334" spans="1:33" ht="14.25" hidden="1" x14ac:dyDescent="0.2">
      <c r="A334" s="18" t="str">
        <f t="array" ref="A334">IF(G334='Room Info'!$B$1, INDEX('Room Info'!$A$2:$A2446, MATCH(B334,'Room Info'!$B$2:$B2446, 0)),IF(G334='Room Info'!$C$1, INDEX('Room Info'!$A$2:$A2446, MATCH(B334,'Room Info'!$C$2:$C2446, 0)),IF(G334='Room Info'!$D$1, INDEX('Room Info'!$A$2:$A2446, MATCH(B334,'Room Info'!$D$2:$D2446, 0)),IF(G334='Room Info'!$E$1, INDEX('Room Info'!$A$2:$A2446, MATCH(B334,'Room Info'!$E$2:$E2446, 0)),IF(G334='Room Info'!$F$1, INDEX('Room Info'!$A$2:$A2446, MATCH(B334,'Room Info'!$F$2:$F2446, 0)),IF(G334='Room Info'!$H$1, INDEX('Room Info'!$A$2:$A2446, MATCH(B334,'Room Info'!$H$2:$H2446, 0)),IF(G334='Room Info'!$G$1, INDEX('Room Info'!$A$2:$A2446, MATCH(B334,'Room Info'!$G$2:$G2446, 0)))))))))</f>
        <v>Kiss4money99</v>
      </c>
      <c r="B334" s="45" t="s">
        <v>120</v>
      </c>
      <c r="C334" s="46">
        <v>44398</v>
      </c>
      <c r="D334" s="46">
        <v>44428</v>
      </c>
      <c r="E334" s="47">
        <v>44409</v>
      </c>
      <c r="F334" s="48" t="s">
        <v>34</v>
      </c>
      <c r="G334" s="45" t="s">
        <v>35</v>
      </c>
      <c r="H334" s="49" t="s">
        <v>39</v>
      </c>
      <c r="I334" s="49" t="s">
        <v>37</v>
      </c>
      <c r="J334" s="50">
        <v>5</v>
      </c>
      <c r="K334" s="51">
        <v>1354</v>
      </c>
      <c r="L334" s="52">
        <v>-390</v>
      </c>
      <c r="M334" s="53">
        <v>200</v>
      </c>
      <c r="N334" s="28">
        <f>K334*J334</f>
        <v>6770</v>
      </c>
      <c r="O334" s="54">
        <v>47739</v>
      </c>
      <c r="P334" s="29">
        <v>35.257754800000001</v>
      </c>
      <c r="Q334" s="55"/>
      <c r="R334" s="31">
        <f>M334+Q334</f>
        <v>200</v>
      </c>
      <c r="S334" s="56">
        <v>-185</v>
      </c>
      <c r="T334" s="32">
        <f>R334+S334+IF(F334="Without EV deal",L334,0)</f>
        <v>15</v>
      </c>
      <c r="U334" s="57">
        <v>1</v>
      </c>
      <c r="V334" s="69">
        <v>5</v>
      </c>
      <c r="W334" s="69">
        <v>3</v>
      </c>
      <c r="X334" s="30">
        <f>IF(AF334="DoEV",IF(AND(V334&lt;20,W334&lt;55),0.3,0)+IF(AND(V334&lt;20,W334&gt;=55,W334&lt;105),0.23,0)+IF(AND(V334&lt;20,W334&gt;=105),0.17,0)+IF(AND(V334&gt;=20,V334&lt;40,W334&lt;45),0.3,0)+IF(AND(V334&gt;=20,V334&lt;40,W334&gt;=45,W334&lt;95),0.23,0)+IF(AND(V334&gt;=20,V334&lt;40,W334&gt;=95),0.17,0)+IF(AND(V334&gt;=40,V334&lt;75,W334&lt;35),0.3,0)+IF(AND(V334&gt;=40,V334&lt;75,W334&gt;=35,W334&lt;75),0.23,0)+IF(AND(V334&gt;=40,V334&lt;75,W334&gt;=75,W334&lt;120),0.17,0)+IF(AND(V334&gt;=40,V334&lt;75,W334&gt;=120),0.12,0)+IF(AND(V334&gt;=75,V334&lt;175,W334&lt;35),0.3,0)+IF(AND(V334&gt;=75,V334&lt;=175,W334&gt;=35,W334&lt;65),0.23,0)+IF(AND(V334&gt;=75,V334&lt;=175,W334&gt;=65,W334&lt;110),0.17,0)+IF(AND(V334&gt;=75,V334&lt;=175,W334&gt;=110),0.12,0)+IF(AND(V334&gt;175,W334&lt;25),0.3,0)+IF(AND(V334&gt;175,W334&gt;=25,W334&lt;55),0.23,0)+IF(AND(V334&gt;175,W334&gt;=55,W334&lt;95),0.17,0)+IF(AND(V334&gt;175,W334&gt;=95),0.12,0),
IF(AF334="Fix15",0.15,
IF(AF334="Fix11.25",0.1125,
IF(AF334="Fix10",0.1,
IF(AF334="Fix9",0.09,
IF(AF334="DoEV2017",IF(AND(W334&lt;74),0.2,0)+IF(AND(W334&gt;=74),0.17,0),
IF(AF334="SF",IF(AND(V334&lt;20,W334&lt;89),0.3,0)+IF(AND(V334&lt;20,W334&gt;=89),0.25,0)+IF(AND(V334&gt;=20,V334&lt;40,W334&lt;74),0.3,0)+IF(AND(V334&gt;=20,V334&lt;40,W334&gt;=75),0.22,0)+IF(AND(V334&gt;=40,V334&lt;75,W334&lt;75),0.26,0)+IF(AND(V334&gt;=40,V334&lt;75,W334&gt;=75),0.22,0)+IF(V334&gt;=75,0.22,0),
IF(AF334="DoEVold",IF(AND(V334&lt;40,W334&lt;35),0.35,0)+IF(AND(V334&lt;40,W334&gt;=35,W334&lt;75),0.25,0)+IF(AND(V334&lt;40,W334&gt;=75),0.17,0)+IF(AND(V334&gt;=40,V334&lt;75,W334&lt;25),0.35,0)+IF(AND(V334&gt;=40,V334&lt;75,W334&gt;=25,W334&lt;65),0.25,0)+IF(AND(V334&gt;=40,V334&lt;75,W334&gt;=65,W334&lt;100),0.17,0)+IF(AND(V334&gt;=40,V334&lt;75,W334&gt;=100),0.1,0)+IF(AND(V334&gt;=75,W334&lt;25),0.35,0)+IF(AND(V334&gt;=75,W334&gt;=25,W334&lt;60),0.25,0)+IF(AND(V334&gt;=75,W334&gt;=60,W334&lt;95),0.17,0)+IF(AND(V334&gt;=75,W334&gt;=95),0.1,0),
IF(AF334="DoEVold15",IF(AND(V334&lt;=40,W334&lt;35),0.35,0)+IF(AND(V334&lt;=40,W334&gt;=35,W334&lt;75),0.25,0)+IF(AND(V334&lt;=40,W334&gt;=75,W334&lt;120),0.17,0)+IF(AND(V334&lt;=40,W334&gt;=120),0.15,0)+IF(AND(V334&gt;40,V334&lt;75,W334&lt;25),0.35,0)+IF(AND(V334&gt;=40,V334&lt;75,W334&gt;=25,W334&lt;65),0.25,0)+IF(AND(V334&gt;=40,V334&lt;75,W334&gt;=65,W334&lt;100),0.17,0)+IF(AND(V334&gt;=40,V334&lt;75,W334&gt;=100),0.1,0)+IF(AND(V334&gt;=75,W334&lt;25),0.35,0)+IF(AND(V334&gt;=75,W334&gt;=25,W334&lt;60),0.25,0)+IF(AND(V334&gt;=75,W334&gt;=60,W334&lt;95),0.17,0)+IF(AND(V334&gt;=75,W334&gt;=95),0.1,0),
IF(AF334="DoEVba",IF(AND(V334&lt;20,W334&lt;105),0.2,0)+IF(AND(V334&lt;20,W334&gt;=105),0.15,0)+IF(AND(V334&gt;=20,V334&lt;40,W334&lt;95),0.2,0)+IF(AND(V334&gt;=20,V334&lt;40,W334&gt;=95,W334&lt;150),0.15,0)+IF(AND(V334&gt;=20,V334&lt;40,W334&gt;=150),0.12,0)+IF(AND(V334&gt;=40,V334&lt;75,W334&lt;75),0.2,0)+IF(AND(V334&gt;=40,V334&lt;75,W334&gt;=75,W334&lt;120),0.15,0)+IF(AND(V334&gt;=40,V334&lt;75,W334&gt;=120),0.12,0)+IF(AND(V334&gt;=75,V334&lt;175,W334&lt;65),0.2,0)+IF(AND(V334&gt;=75,V334&lt;175,W334&gt;=65,W334&lt;110),0.15,0)+IF(AND(V334&gt;=75,V334&lt;175,W334&gt;=110),0.12,0)+IF(AND(V334&gt;=175,W334&lt;55),0.2,0)+IF(AND(V334&gt;=175,W334&gt;=55,W334&lt;95),0.15,0)+IF(AND(V334&gt;=175,W334&gt;=95),0.12,0),
IF(AF334="DoEVku",IF(AND(V334&lt;20,W334&lt;55),0.23,0)+IF(AND(V334&lt;20,W334&gt;=55,W334&lt;105),0.2,0)+IF(AND(V334&lt;20,W334&gt;=105),0.17,0)+IF(AND(V334&gt;=20,V334&lt;40,W334&lt;45),0.23,0)+IF(AND(V334&gt;=20,V334&lt;40,W334&gt;=45,W334&lt;95),0.2,0)+IF(AND(V334&gt;=20,V334&lt;40,W334&gt;=95,W334&lt;=150),0.17,0)+IF(AND(V334&gt;=20,V334&lt;40,W334&gt;=150),0.12,0)+IF(AND(V334&gt;=40,V334&lt;75,W334&lt;35),0.23,0)+IF(AND(V334&gt;=40,V334&lt;75,W334&gt;=35,W334&lt;75),0.2,0)+IF(AND(V334&gt;=40,V334&lt;75,W334&gt;=75,W334&lt;120),0.17,0)+IF(AND(V334&gt;=40,V334&lt;75,W334&gt;=120),0.12,0)+IF(AND(V334&gt;=75,V334&lt;175,W334&lt;35),0.23,0)+IF(AND(V334&gt;=75,V334&lt;=175,W334&gt;=35,W334&lt;65),0.2,0)+IF(AND(V334&gt;=75,V334&lt;=175,W334&gt;=65,W334&lt;110),0.17,0)+IF(AND(V334&gt;=75,V334&lt;=175,W334&gt;=110),0.12,0)+IF(AND(V334&gt;175,W334&lt;25),0.23,0)+IF(AND(V334&gt;175,W334&gt;=25,W334&lt;55),0.2,0)+IF(AND(V334&gt;175,W334&gt;=55,W334&lt;95),0.17,0)+IF(AND(V334&gt;175,W334&gt;=95),0.12,0),
IF(AF334="DoEVs1",IF(AND(V334&lt;20,W334&lt;55),0.3,0)+IF(AND(V334&lt;20,W334&gt;=55,W334&lt;105),0.23,0)+IF(AND(V334&lt;20,W334&gt;=105),0.17,0)+IF(AND(V334&gt;=20,V334&lt;40,W334&lt;45),0.3,0)+IF(AND(V334&gt;=20,V334&lt;40,W334&gt;=45,W334&lt;95),0.23,0)+IF(AND(V334&gt;=20,V334&lt;40,W334&gt;=95,W334&lt;=150),0.17,0)+IF(AND(V334&gt;=20,V334&lt;40,W334&gt;=150),0.12,0)+IF(AND(V334&gt;=40,V334&lt;75,W334&lt;35),0.3,0)+IF(AND(V334&gt;=40,V334&lt;75,W334&gt;=35,W334&lt;75),0.23,0)+IF(AND(V334&gt;=40,V334&lt;75,W334&gt;=75,W334&lt;120),0.17,0)+IF(AND(V334&gt;=40,V334&lt;75,W334&gt;=120),0.12,0)+IF(AND(V334&gt;=75,V334&lt;175,W334&lt;35),0.3,0)+IF(AND(V334&gt;=75,V334&lt;=175,W334&gt;=35,W334&lt;65),0.23,0)+IF(AND(V334&gt;=75,V334&lt;=175,W334&gt;=65,W334&lt;110),0.17,0)+IF(AND(V334&gt;=75,V334&lt;=175,W334&gt;=110),0.12,0)+IF(AND(V334&gt;175,W334&lt;25),0.3,0)+IF(AND(V334&gt;175,W334&gt;=25,W334&lt;55),0.23,0)+IF(AND(V334&gt;175,W334&gt;=55,W334&lt;95),0.17,0)+IF(AND(V334&gt;175,W334&gt;=95),0.12,0),
IF(AF334="DoEVsu",IF(AND(V334&lt;20,W334&lt;55),0.3,0)+IF(AND(V334&lt;20,W334&gt;=55,W334&lt;105),0.23,0)+IF(AND(V334&lt;20,W334&gt;=105),0.17,0)+IF(AND(V334&gt;=20,V334&lt;40,W334&lt;45),0.3,0)+IF(AND(V334&gt;=20,V334&lt;40,W334&gt;=45,W334&lt;95),0.23,0)+IF(AND(V334&gt;=20,V334&lt;40,W334&gt;=95,W334&lt;=250),0.17,0)+IF(AND(V334&gt;=20,V334&lt;40,W334&gt;=250),0.12,0)+IF(AND(V334&gt;=40,V334&lt;75,W334&lt;35),0.3,0)+IF(AND(V334&gt;=40,V334&lt;75,W334&gt;=35,W334&lt;75),0.23,0)+IF(AND(V334&gt;=40,V334&lt;75,W334&gt;=75,W334&lt;120),0.17,0)+IF(AND(V334&gt;=40,V334&lt;75,W334&gt;=120),0.12,0)+IF(AND(V334&gt;=75,V334&lt;175,W334&lt;35),0.3,0)+IF(AND(V334&gt;=75,V334&lt;=175,W334&gt;=35,W334&lt;65),0.23,0)+IF(AND(V334&gt;=75,V334&lt;=175,W334&gt;=65,W334&lt;110),0.17,0)+IF(AND(V334&gt;=75,V334&lt;=175,W334&gt;=110),0.12,0)+IF(AND(V334&gt;175,W334&lt;25),0.3,0)+IF(AND(V334&gt;175,W334&gt;=25,W334&lt;55),0.23,0)+IF(AND(V334&gt;175,W334&gt;=55,W334&lt;95),0.17,0)+IF(AND(V334&gt;175,W334&gt;=95),0.12,0),
IF(AF334="DoEVni",IF(AND(V334&lt;20,W334&lt;55),0.3,0)+IF(AND(V334&lt;20,W334&gt;=55,W334&lt;105),0.23,0)+IF(AND(V334&lt;20,W334&gt;=105),0.17,0)+IF(AND(V334&gt;=20,V334&lt;40,W334&lt;45),0.3,0)+IF(AND(V334&gt;=20,V334&lt;40,W334&gt;=45,W334&lt;95),0.23,0)+IF(AND(V334&gt;=20,V334&lt;40,W334&gt;=95,W334&lt;=200),0.17,0)+IF(AND(V334&gt;=20,V334&lt;40,W334&gt;=200),0.12,0)+IF(AND(V334&gt;=40,V334&lt;75,W334&lt;35),0.3,0)+IF(AND(V334&gt;=40,V334&lt;75,W334&gt;=35,W334&lt;75),0.23,0)+IF(AND(V334&gt;=40,V334&lt;75,W334&gt;=75,W334&lt;120),0.17,0)+IF(AND(V334&gt;=40,V334&lt;75,W334&gt;=120),0.12,0)+IF(AND(V334&gt;=75,V334&lt;175,W334&lt;35),0.3,0)+IF(AND(V334&gt;=75,V334&lt;=175,W334&gt;=35,W334&lt;65),0.23,0)+IF(AND(V334&gt;=75,V334&lt;=175,W334&gt;=65,W334&lt;110),0.17,0)+IF(AND(V334&gt;=75,V334&lt;=175,W334&gt;=110),0.12,0)+IF(AND(V334&gt;175,W334&lt;25),0.3,0)+IF(AND(V334&gt;175,W334&gt;=25,W334&lt;55),0.23,0)+IF(AND(V334&gt;175,W334&gt;=55,W334&lt;95),0.17,0)+IF(AND(V334&gt;175,W334&gt;=95),0.12,0),
IF(AF334="DoEVLo",IF(AND(V334&lt;20,W334&lt;55),0.25,0)+IF(AND(V334&lt;20,W334&gt;=55,W334&lt;105),0.2,0)+IF(AND(V334&lt;20,W334&gt;=105),0.15,0)+IF(AND(V334&gt;=20,V334&lt;40,W334&lt;45),0.25,0)+IF(AND(V334&gt;=20,V334&lt;40,W334&gt;=45,W334&lt;95),0.2,0)+IF(AND(V334&gt;=20,V334&lt;40,W334&gt;=95),0.15,0)+IF(AND(V334&gt;=40,V334&lt;75,W334&lt;35),0.25,0)+IF(AND(V334&gt;=40,V334&lt;75,W334&gt;=35,W334&lt;75),0.2,0)+IF(AND(V334&gt;=40,V334&lt;75,W334&gt;=75,W334&lt;120),0.15,0)+IF(AND(V334&gt;=40,V334&lt;75,W334&gt;=120),0.1,0)+IF(AND(V334&gt;=75,V334&lt;175,W334&lt;35),0.25,0)+IF(AND(V334&gt;=75,V334&lt;=175,W334&gt;=35,W334&lt;65),0.2,0)+IF(AND(V334&gt;=75,V334&lt;=175,W334&gt;=65,W334&lt;110),0.15,0)+IF(AND(V334&gt;=75,V334&lt;=175,W334&gt;=110),0.1,0)+IF(AND(V334&gt;175,W334&lt;25),0.25,0)+IF(AND(V334&gt;175,W334&gt;=25,W334&lt;55),0.2,0)+IF(AND(V334&gt;175,W334&gt;=55,W334&lt;95),0.15,0)+IF(AND(V334&gt;175,W334&gt;=95),0.1,0))))))))))))))))</f>
        <v>0.3</v>
      </c>
      <c r="Y334" s="30">
        <f>IF(AG334="None",0,IF(AG334="Fix5",0.05,IF(AG334="Fix3.75",0.0375,IF(AG334="Fix10",0.1,IF(AG334="Fix3",0.03,0)))))</f>
        <v>0</v>
      </c>
      <c r="Z334" s="35">
        <f>T334-AA334-AB334</f>
        <v>10.5</v>
      </c>
      <c r="AA334" s="29">
        <f>IF(AD334="EUR",((T334-R334)*X334)*U334+(R334*X334),(T334*X334))</f>
        <v>4.5</v>
      </c>
      <c r="AB334" s="36">
        <f>IF(AD334="EUR",((T334-R334)*Y334)*U334+(R334*Y334),(T334*Y334))</f>
        <v>0</v>
      </c>
      <c r="AC334" s="37" t="b">
        <v>1</v>
      </c>
      <c r="AD334" s="37" t="s">
        <v>38</v>
      </c>
      <c r="AE334" s="37" t="s">
        <v>38</v>
      </c>
      <c r="AF334" s="37" t="str">
        <f t="array" ref="AF334">INDEX('Deal Info'!D:D, MATCH(A334,'Deal Info'!A:A, 0))</f>
        <v>SF</v>
      </c>
      <c r="AG334" s="38" t="str">
        <f t="array" ref="AG334">INDEX('Deal Info'!G:G, MATCH(A334,'Deal Info'!A:A, 0))</f>
        <v>None</v>
      </c>
    </row>
    <row r="335" spans="1:33" ht="14.25" hidden="1" x14ac:dyDescent="0.2">
      <c r="A335" s="18" t="str">
        <f t="array" ref="A335">IF(G335='Room Info'!$B$1, INDEX('Room Info'!$A$2:$A2446, MATCH(B335,'Room Info'!$B$2:$B2446, 0)),IF(G335='Room Info'!$C$1, INDEX('Room Info'!$A$2:$A2446, MATCH(B335,'Room Info'!$C$2:$C2446, 0)),IF(G335='Room Info'!$D$1, INDEX('Room Info'!$A$2:$A2446, MATCH(B335,'Room Info'!$D$2:$D2446, 0)),IF(G335='Room Info'!$E$1, INDEX('Room Info'!$A$2:$A2446, MATCH(B335,'Room Info'!$E$2:$E2446, 0)),IF(G335='Room Info'!$F$1, INDEX('Room Info'!$A$2:$A2446, MATCH(B335,'Room Info'!$F$2:$F2446, 0)),IF(G335='Room Info'!$H$1, INDEX('Room Info'!$A$2:$A2446, MATCH(B335,'Room Info'!$H$2:$H2446, 0)),IF(G335='Room Info'!$G$1, INDEX('Room Info'!$A$2:$A2446, MATCH(B335,'Room Info'!$G$2:$G2446, 0)))))))))</f>
        <v>Kiss4money99</v>
      </c>
      <c r="B335" s="45" t="s">
        <v>120</v>
      </c>
      <c r="C335" s="46">
        <v>44429</v>
      </c>
      <c r="D335" s="46">
        <v>44459</v>
      </c>
      <c r="E335" s="47">
        <v>44440</v>
      </c>
      <c r="F335" s="48" t="s">
        <v>34</v>
      </c>
      <c r="G335" s="54" t="s">
        <v>35</v>
      </c>
      <c r="H335" s="49" t="s">
        <v>39</v>
      </c>
      <c r="I335" s="49" t="s">
        <v>37</v>
      </c>
      <c r="J335" s="50">
        <v>5</v>
      </c>
      <c r="K335" s="51">
        <v>1447</v>
      </c>
      <c r="L335" s="52">
        <v>10</v>
      </c>
      <c r="M335" s="53">
        <v>5</v>
      </c>
      <c r="N335" s="28">
        <f>K335*J335</f>
        <v>7235</v>
      </c>
      <c r="O335" s="54">
        <v>98596</v>
      </c>
      <c r="P335" s="29">
        <v>68.138216999999997</v>
      </c>
      <c r="Q335" s="55"/>
      <c r="R335" s="31">
        <f>M335+Q335</f>
        <v>5</v>
      </c>
      <c r="S335" s="56">
        <v>238</v>
      </c>
      <c r="T335" s="32">
        <f>R335+S335+IF(F335="Without EV deal",L335,0)</f>
        <v>243</v>
      </c>
      <c r="U335" s="57">
        <v>1</v>
      </c>
      <c r="V335" s="69">
        <v>4.9870218579234971</v>
      </c>
      <c r="W335" s="69">
        <v>47.122312012053143</v>
      </c>
      <c r="X335" s="30">
        <f>IF(AF335="DoEV",IF(AND(V335&lt;20,W335&lt;55),0.3,0)+IF(AND(V335&lt;20,W335&gt;=55,W335&lt;105),0.23,0)+IF(AND(V335&lt;20,W335&gt;=105),0.17,0)+IF(AND(V335&gt;=20,V335&lt;40,W335&lt;45),0.3,0)+IF(AND(V335&gt;=20,V335&lt;40,W335&gt;=45,W335&lt;95),0.23,0)+IF(AND(V335&gt;=20,V335&lt;40,W335&gt;=95),0.17,0)+IF(AND(V335&gt;=40,V335&lt;75,W335&lt;35),0.3,0)+IF(AND(V335&gt;=40,V335&lt;75,W335&gt;=35,W335&lt;75),0.23,0)+IF(AND(V335&gt;=40,V335&lt;75,W335&gt;=75,W335&lt;120),0.17,0)+IF(AND(V335&gt;=40,V335&lt;75,W335&gt;=120),0.12,0)+IF(AND(V335&gt;=75,V335&lt;175,W335&lt;35),0.3,0)+IF(AND(V335&gt;=75,V335&lt;=175,W335&gt;=35,W335&lt;65),0.23,0)+IF(AND(V335&gt;=75,V335&lt;=175,W335&gt;=65,W335&lt;110),0.17,0)+IF(AND(V335&gt;=75,V335&lt;=175,W335&gt;=110),0.12,0)+IF(AND(V335&gt;175,W335&lt;25),0.3,0)+IF(AND(V335&gt;175,W335&gt;=25,W335&lt;55),0.23,0)+IF(AND(V335&gt;175,W335&gt;=55,W335&lt;95),0.17,0)+IF(AND(V335&gt;175,W335&gt;=95),0.12,0),
IF(AF335="Fix15",0.15,
IF(AF335="Fix11.25",0.1125,
IF(AF335="Fix10",0.1,
IF(AF335="Fix9",0.09,
IF(AF335="DoEV2017",IF(AND(W335&lt;74),0.2,0)+IF(AND(W335&gt;=74),0.17,0),
IF(AF335="SF",IF(AND(V335&lt;20,W335&lt;89),0.3,0)+IF(AND(V335&lt;20,W335&gt;=89),0.25,0)+IF(AND(V335&gt;=20,V335&lt;40,W335&lt;74),0.3,0)+IF(AND(V335&gt;=20,V335&lt;40,W335&gt;=75),0.22,0)+IF(AND(V335&gt;=40,V335&lt;75,W335&lt;75),0.26,0)+IF(AND(V335&gt;=40,V335&lt;75,W335&gt;=75),0.22,0)+IF(V335&gt;=75,0.22,0),
IF(AF335="DoEVold",IF(AND(V335&lt;40,W335&lt;35),0.35,0)+IF(AND(V335&lt;40,W335&gt;=35,W335&lt;75),0.25,0)+IF(AND(V335&lt;40,W335&gt;=75),0.17,0)+IF(AND(V335&gt;=40,V335&lt;75,W335&lt;25),0.35,0)+IF(AND(V335&gt;=40,V335&lt;75,W335&gt;=25,W335&lt;65),0.25,0)+IF(AND(V335&gt;=40,V335&lt;75,W335&gt;=65,W335&lt;100),0.17,0)+IF(AND(V335&gt;=40,V335&lt;75,W335&gt;=100),0.1,0)+IF(AND(V335&gt;=75,W335&lt;25),0.35,0)+IF(AND(V335&gt;=75,W335&gt;=25,W335&lt;60),0.25,0)+IF(AND(V335&gt;=75,W335&gt;=60,W335&lt;95),0.17,0)+IF(AND(V335&gt;=75,W335&gt;=95),0.1,0),
IF(AF335="DoEVold15",IF(AND(V335&lt;=40,W335&lt;35),0.35,0)+IF(AND(V335&lt;=40,W335&gt;=35,W335&lt;75),0.25,0)+IF(AND(V335&lt;=40,W335&gt;=75,W335&lt;120),0.17,0)+IF(AND(V335&lt;=40,W335&gt;=120),0.15,0)+IF(AND(V335&gt;40,V335&lt;75,W335&lt;25),0.35,0)+IF(AND(V335&gt;=40,V335&lt;75,W335&gt;=25,W335&lt;65),0.25,0)+IF(AND(V335&gt;=40,V335&lt;75,W335&gt;=65,W335&lt;100),0.17,0)+IF(AND(V335&gt;=40,V335&lt;75,W335&gt;=100),0.1,0)+IF(AND(V335&gt;=75,W335&lt;25),0.35,0)+IF(AND(V335&gt;=75,W335&gt;=25,W335&lt;60),0.25,0)+IF(AND(V335&gt;=75,W335&gt;=60,W335&lt;95),0.17,0)+IF(AND(V335&gt;=75,W335&gt;=95),0.1,0),
IF(AF335="DoEVba",IF(AND(V335&lt;20,W335&lt;105),0.2,0)+IF(AND(V335&lt;20,W335&gt;=105),0.15,0)+IF(AND(V335&gt;=20,V335&lt;40,W335&lt;95),0.2,0)+IF(AND(V335&gt;=20,V335&lt;40,W335&gt;=95,W335&lt;150),0.15,0)+IF(AND(V335&gt;=20,V335&lt;40,W335&gt;=150),0.12,0)+IF(AND(V335&gt;=40,V335&lt;75,W335&lt;75),0.2,0)+IF(AND(V335&gt;=40,V335&lt;75,W335&gt;=75,W335&lt;120),0.15,0)+IF(AND(V335&gt;=40,V335&lt;75,W335&gt;=120),0.12,0)+IF(AND(V335&gt;=75,V335&lt;175,W335&lt;65),0.2,0)+IF(AND(V335&gt;=75,V335&lt;175,W335&gt;=65,W335&lt;110),0.15,0)+IF(AND(V335&gt;=75,V335&lt;175,W335&gt;=110),0.12,0)+IF(AND(V335&gt;=175,W335&lt;55),0.2,0)+IF(AND(V335&gt;=175,W335&gt;=55,W335&lt;95),0.15,0)+IF(AND(V335&gt;=175,W335&gt;=95),0.12,0),
IF(AF335="DoEVku",IF(AND(V335&lt;20,W335&lt;55),0.23,0)+IF(AND(V335&lt;20,W335&gt;=55,W335&lt;105),0.2,0)+IF(AND(V335&lt;20,W335&gt;=105),0.17,0)+IF(AND(V335&gt;=20,V335&lt;40,W335&lt;45),0.23,0)+IF(AND(V335&gt;=20,V335&lt;40,W335&gt;=45,W335&lt;95),0.2,0)+IF(AND(V335&gt;=20,V335&lt;40,W335&gt;=95,W335&lt;=150),0.17,0)+IF(AND(V335&gt;=20,V335&lt;40,W335&gt;=150),0.12,0)+IF(AND(V335&gt;=40,V335&lt;75,W335&lt;35),0.23,0)+IF(AND(V335&gt;=40,V335&lt;75,W335&gt;=35,W335&lt;75),0.2,0)+IF(AND(V335&gt;=40,V335&lt;75,W335&gt;=75,W335&lt;120),0.17,0)+IF(AND(V335&gt;=40,V335&lt;75,W335&gt;=120),0.12,0)+IF(AND(V335&gt;=75,V335&lt;175,W335&lt;35),0.23,0)+IF(AND(V335&gt;=75,V335&lt;=175,W335&gt;=35,W335&lt;65),0.2,0)+IF(AND(V335&gt;=75,V335&lt;=175,W335&gt;=65,W335&lt;110),0.17,0)+IF(AND(V335&gt;=75,V335&lt;=175,W335&gt;=110),0.12,0)+IF(AND(V335&gt;175,W335&lt;25),0.23,0)+IF(AND(V335&gt;175,W335&gt;=25,W335&lt;55),0.2,0)+IF(AND(V335&gt;175,W335&gt;=55,W335&lt;95),0.17,0)+IF(AND(V335&gt;175,W335&gt;=95),0.12,0),
IF(AF335="DoEVs1",IF(AND(V335&lt;20,W335&lt;55),0.3,0)+IF(AND(V335&lt;20,W335&gt;=55,W335&lt;105),0.23,0)+IF(AND(V335&lt;20,W335&gt;=105),0.17,0)+IF(AND(V335&gt;=20,V335&lt;40,W335&lt;45),0.3,0)+IF(AND(V335&gt;=20,V335&lt;40,W335&gt;=45,W335&lt;95),0.23,0)+IF(AND(V335&gt;=20,V335&lt;40,W335&gt;=95,W335&lt;=150),0.17,0)+IF(AND(V335&gt;=20,V335&lt;40,W335&gt;=150),0.12,0)+IF(AND(V335&gt;=40,V335&lt;75,W335&lt;35),0.3,0)+IF(AND(V335&gt;=40,V335&lt;75,W335&gt;=35,W335&lt;75),0.23,0)+IF(AND(V335&gt;=40,V335&lt;75,W335&gt;=75,W335&lt;120),0.17,0)+IF(AND(V335&gt;=40,V335&lt;75,W335&gt;=120),0.12,0)+IF(AND(V335&gt;=75,V335&lt;175,W335&lt;35),0.3,0)+IF(AND(V335&gt;=75,V335&lt;=175,W335&gt;=35,W335&lt;65),0.23,0)+IF(AND(V335&gt;=75,V335&lt;=175,W335&gt;=65,W335&lt;110),0.17,0)+IF(AND(V335&gt;=75,V335&lt;=175,W335&gt;=110),0.12,0)+IF(AND(V335&gt;175,W335&lt;25),0.3,0)+IF(AND(V335&gt;175,W335&gt;=25,W335&lt;55),0.23,0)+IF(AND(V335&gt;175,W335&gt;=55,W335&lt;95),0.17,0)+IF(AND(V335&gt;175,W335&gt;=95),0.12,0),
IF(AF335="DoEVsu",IF(AND(V335&lt;20,W335&lt;55),0.3,0)+IF(AND(V335&lt;20,W335&gt;=55,W335&lt;105),0.23,0)+IF(AND(V335&lt;20,W335&gt;=105),0.17,0)+IF(AND(V335&gt;=20,V335&lt;40,W335&lt;45),0.3,0)+IF(AND(V335&gt;=20,V335&lt;40,W335&gt;=45,W335&lt;95),0.23,0)+IF(AND(V335&gt;=20,V335&lt;40,W335&gt;=95,W335&lt;=250),0.17,0)+IF(AND(V335&gt;=20,V335&lt;40,W335&gt;=250),0.12,0)+IF(AND(V335&gt;=40,V335&lt;75,W335&lt;35),0.3,0)+IF(AND(V335&gt;=40,V335&lt;75,W335&gt;=35,W335&lt;75),0.23,0)+IF(AND(V335&gt;=40,V335&lt;75,W335&gt;=75,W335&lt;120),0.17,0)+IF(AND(V335&gt;=40,V335&lt;75,W335&gt;=120),0.12,0)+IF(AND(V335&gt;=75,V335&lt;175,W335&lt;35),0.3,0)+IF(AND(V335&gt;=75,V335&lt;=175,W335&gt;=35,W335&lt;65),0.23,0)+IF(AND(V335&gt;=75,V335&lt;=175,W335&gt;=65,W335&lt;110),0.17,0)+IF(AND(V335&gt;=75,V335&lt;=175,W335&gt;=110),0.12,0)+IF(AND(V335&gt;175,W335&lt;25),0.3,0)+IF(AND(V335&gt;175,W335&gt;=25,W335&lt;55),0.23,0)+IF(AND(V335&gt;175,W335&gt;=55,W335&lt;95),0.17,0)+IF(AND(V335&gt;175,W335&gt;=95),0.12,0),
IF(AF335="DoEVni",IF(AND(V335&lt;20,W335&lt;55),0.3,0)+IF(AND(V335&lt;20,W335&gt;=55,W335&lt;105),0.23,0)+IF(AND(V335&lt;20,W335&gt;=105),0.17,0)+IF(AND(V335&gt;=20,V335&lt;40,W335&lt;45),0.3,0)+IF(AND(V335&gt;=20,V335&lt;40,W335&gt;=45,W335&lt;95),0.23,0)+IF(AND(V335&gt;=20,V335&lt;40,W335&gt;=95,W335&lt;=200),0.17,0)+IF(AND(V335&gt;=20,V335&lt;40,W335&gt;=200),0.12,0)+IF(AND(V335&gt;=40,V335&lt;75,W335&lt;35),0.3,0)+IF(AND(V335&gt;=40,V335&lt;75,W335&gt;=35,W335&lt;75),0.23,0)+IF(AND(V335&gt;=40,V335&lt;75,W335&gt;=75,W335&lt;120),0.17,0)+IF(AND(V335&gt;=40,V335&lt;75,W335&gt;=120),0.12,0)+IF(AND(V335&gt;=75,V335&lt;175,W335&lt;35),0.3,0)+IF(AND(V335&gt;=75,V335&lt;=175,W335&gt;=35,W335&lt;65),0.23,0)+IF(AND(V335&gt;=75,V335&lt;=175,W335&gt;=65,W335&lt;110),0.17,0)+IF(AND(V335&gt;=75,V335&lt;=175,W335&gt;=110),0.12,0)+IF(AND(V335&gt;175,W335&lt;25),0.3,0)+IF(AND(V335&gt;175,W335&gt;=25,W335&lt;55),0.23,0)+IF(AND(V335&gt;175,W335&gt;=55,W335&lt;95),0.17,0)+IF(AND(V335&gt;175,W335&gt;=95),0.12,0),
IF(AF335="DoEVLo",IF(AND(V335&lt;20,W335&lt;55),0.25,0)+IF(AND(V335&lt;20,W335&gt;=55,W335&lt;105),0.2,0)+IF(AND(V335&lt;20,W335&gt;=105),0.15,0)+IF(AND(V335&gt;=20,V335&lt;40,W335&lt;45),0.25,0)+IF(AND(V335&gt;=20,V335&lt;40,W335&gt;=45,W335&lt;95),0.2,0)+IF(AND(V335&gt;=20,V335&lt;40,W335&gt;=95),0.15,0)+IF(AND(V335&gt;=40,V335&lt;75,W335&lt;35),0.25,0)+IF(AND(V335&gt;=40,V335&lt;75,W335&gt;=35,W335&lt;75),0.2,0)+IF(AND(V335&gt;=40,V335&lt;75,W335&gt;=75,W335&lt;120),0.15,0)+IF(AND(V335&gt;=40,V335&lt;75,W335&gt;=120),0.1,0)+IF(AND(V335&gt;=75,V335&lt;175,W335&lt;35),0.25,0)+IF(AND(V335&gt;=75,V335&lt;=175,W335&gt;=35,W335&lt;65),0.2,0)+IF(AND(V335&gt;=75,V335&lt;=175,W335&gt;=65,W335&lt;110),0.15,0)+IF(AND(V335&gt;=75,V335&lt;=175,W335&gt;=110),0.1,0)+IF(AND(V335&gt;175,W335&lt;25),0.25,0)+IF(AND(V335&gt;175,W335&gt;=25,W335&lt;55),0.2,0)+IF(AND(V335&gt;175,W335&gt;=55,W335&lt;95),0.15,0)+IF(AND(V335&gt;175,W335&gt;=95),0.1,0))))))))))))))))</f>
        <v>0.3</v>
      </c>
      <c r="Y335" s="30">
        <f>IF(AG335="None",0,IF(AG335="Fix5",0.05,IF(AG335="Fix3.75",0.0375,IF(AG335="Fix10",0.1,IF(AG335="Fix3",0.03,0)))))</f>
        <v>0</v>
      </c>
      <c r="Z335" s="35">
        <f>T335-AA335-AB335</f>
        <v>170.10000000000002</v>
      </c>
      <c r="AA335" s="29">
        <f>IF(AD335="EUR",((T335-R335)*X335)*U335+(R335*X335),(T335*X335))</f>
        <v>72.899999999999991</v>
      </c>
      <c r="AB335" s="36">
        <f>IF(AD335="EUR",((T335-R335)*Y335)*U335+(R335*Y335),(T335*Y335))</f>
        <v>0</v>
      </c>
      <c r="AC335" s="37" t="b">
        <v>1</v>
      </c>
      <c r="AD335" s="37" t="s">
        <v>38</v>
      </c>
      <c r="AE335" s="37" t="s">
        <v>38</v>
      </c>
      <c r="AF335" s="37" t="str">
        <f t="array" ref="AF335">INDEX('Deal Info'!D:D, MATCH(A335,'Deal Info'!A:A, 0))</f>
        <v>SF</v>
      </c>
      <c r="AG335" s="38" t="str">
        <f t="array" ref="AG335">INDEX('Deal Info'!G:G, MATCH(A335,'Deal Info'!A:A, 0))</f>
        <v>None</v>
      </c>
    </row>
    <row r="336" spans="1:33" ht="14.25" hidden="1" x14ac:dyDescent="0.2">
      <c r="A336" s="18" t="str">
        <f t="array" ref="A336">IF(G336='Room Info'!$B$1, INDEX('Room Info'!$A$2:$A2446, MATCH(B336,'Room Info'!$B$2:$B2446, 0)),IF(G336='Room Info'!$C$1, INDEX('Room Info'!$A$2:$A2446, MATCH(B336,'Room Info'!$C$2:$C2446, 0)),IF(G336='Room Info'!$D$1, INDEX('Room Info'!$A$2:$A2446, MATCH(B336,'Room Info'!$D$2:$D2446, 0)),IF(G336='Room Info'!$E$1, INDEX('Room Info'!$A$2:$A2446, MATCH(B336,'Room Info'!$E$2:$E2446, 0)),IF(G336='Room Info'!$F$1, INDEX('Room Info'!$A$2:$A2446, MATCH(B336,'Room Info'!$F$2:$F2446, 0)),IF(G336='Room Info'!$H$1, INDEX('Room Info'!$A$2:$A2446, MATCH(B336,'Room Info'!$H$2:$H2446, 0)),IF(G336='Room Info'!$G$1, INDEX('Room Info'!$A$2:$A2446, MATCH(B336,'Room Info'!$G$2:$G2446, 0)))))))))</f>
        <v>Kiss4money99</v>
      </c>
      <c r="B336" s="45" t="s">
        <v>120</v>
      </c>
      <c r="C336" s="46">
        <v>44429</v>
      </c>
      <c r="D336" s="46">
        <v>44459</v>
      </c>
      <c r="E336" s="47">
        <v>44440</v>
      </c>
      <c r="F336" s="48" t="s">
        <v>34</v>
      </c>
      <c r="G336" s="54" t="s">
        <v>35</v>
      </c>
      <c r="H336" s="49" t="s">
        <v>40</v>
      </c>
      <c r="I336" s="49" t="s">
        <v>37</v>
      </c>
      <c r="J336" s="50">
        <v>10</v>
      </c>
      <c r="K336" s="51">
        <v>4</v>
      </c>
      <c r="L336" s="52">
        <v>10</v>
      </c>
      <c r="M336" s="62"/>
      <c r="N336" s="28">
        <f>K336*J336</f>
        <v>40</v>
      </c>
      <c r="O336" s="54">
        <v>-264</v>
      </c>
      <c r="P336" s="29">
        <v>-66</v>
      </c>
      <c r="Q336" s="55"/>
      <c r="R336" s="31">
        <f>M336+Q336</f>
        <v>0</v>
      </c>
      <c r="S336" s="56">
        <v>-8</v>
      </c>
      <c r="T336" s="32">
        <f>R336+S336+IF(F336="Without EV deal",L336,0)</f>
        <v>-8</v>
      </c>
      <c r="U336" s="57">
        <v>1</v>
      </c>
      <c r="V336" s="69">
        <v>4.9870218579234971</v>
      </c>
      <c r="W336" s="69">
        <v>47.122312012053143</v>
      </c>
      <c r="X336" s="30">
        <f>IF(AF336="DoEV",IF(AND(V336&lt;20,W336&lt;55),0.3,0)+IF(AND(V336&lt;20,W336&gt;=55,W336&lt;105),0.23,0)+IF(AND(V336&lt;20,W336&gt;=105),0.17,0)+IF(AND(V336&gt;=20,V336&lt;40,W336&lt;45),0.3,0)+IF(AND(V336&gt;=20,V336&lt;40,W336&gt;=45,W336&lt;95),0.23,0)+IF(AND(V336&gt;=20,V336&lt;40,W336&gt;=95),0.17,0)+IF(AND(V336&gt;=40,V336&lt;75,W336&lt;35),0.3,0)+IF(AND(V336&gt;=40,V336&lt;75,W336&gt;=35,W336&lt;75),0.23,0)+IF(AND(V336&gt;=40,V336&lt;75,W336&gt;=75,W336&lt;120),0.17,0)+IF(AND(V336&gt;=40,V336&lt;75,W336&gt;=120),0.12,0)+IF(AND(V336&gt;=75,V336&lt;175,W336&lt;35),0.3,0)+IF(AND(V336&gt;=75,V336&lt;=175,W336&gt;=35,W336&lt;65),0.23,0)+IF(AND(V336&gt;=75,V336&lt;=175,W336&gt;=65,W336&lt;110),0.17,0)+IF(AND(V336&gt;=75,V336&lt;=175,W336&gt;=110),0.12,0)+IF(AND(V336&gt;175,W336&lt;25),0.3,0)+IF(AND(V336&gt;175,W336&gt;=25,W336&lt;55),0.23,0)+IF(AND(V336&gt;175,W336&gt;=55,W336&lt;95),0.17,0)+IF(AND(V336&gt;175,W336&gt;=95),0.12,0),
IF(AF336="Fix15",0.15,
IF(AF336="Fix11.25",0.1125,
IF(AF336="Fix10",0.1,
IF(AF336="Fix9",0.09,
IF(AF336="DoEV2017",IF(AND(W336&lt;74),0.2,0)+IF(AND(W336&gt;=74),0.17,0),
IF(AF336="SF",IF(AND(V336&lt;20,W336&lt;89),0.3,0)+IF(AND(V336&lt;20,W336&gt;=89),0.25,0)+IF(AND(V336&gt;=20,V336&lt;40,W336&lt;74),0.3,0)+IF(AND(V336&gt;=20,V336&lt;40,W336&gt;=75),0.22,0)+IF(AND(V336&gt;=40,V336&lt;75,W336&lt;75),0.26,0)+IF(AND(V336&gt;=40,V336&lt;75,W336&gt;=75),0.22,0)+IF(V336&gt;=75,0.22,0),
IF(AF336="DoEVold",IF(AND(V336&lt;40,W336&lt;35),0.35,0)+IF(AND(V336&lt;40,W336&gt;=35,W336&lt;75),0.25,0)+IF(AND(V336&lt;40,W336&gt;=75),0.17,0)+IF(AND(V336&gt;=40,V336&lt;75,W336&lt;25),0.35,0)+IF(AND(V336&gt;=40,V336&lt;75,W336&gt;=25,W336&lt;65),0.25,0)+IF(AND(V336&gt;=40,V336&lt;75,W336&gt;=65,W336&lt;100),0.17,0)+IF(AND(V336&gt;=40,V336&lt;75,W336&gt;=100),0.1,0)+IF(AND(V336&gt;=75,W336&lt;25),0.35,0)+IF(AND(V336&gt;=75,W336&gt;=25,W336&lt;60),0.25,0)+IF(AND(V336&gt;=75,W336&gt;=60,W336&lt;95),0.17,0)+IF(AND(V336&gt;=75,W336&gt;=95),0.1,0),
IF(AF336="DoEVold15",IF(AND(V336&lt;=40,W336&lt;35),0.35,0)+IF(AND(V336&lt;=40,W336&gt;=35,W336&lt;75),0.25,0)+IF(AND(V336&lt;=40,W336&gt;=75,W336&lt;120),0.17,0)+IF(AND(V336&lt;=40,W336&gt;=120),0.15,0)+IF(AND(V336&gt;40,V336&lt;75,W336&lt;25),0.35,0)+IF(AND(V336&gt;=40,V336&lt;75,W336&gt;=25,W336&lt;65),0.25,0)+IF(AND(V336&gt;=40,V336&lt;75,W336&gt;=65,W336&lt;100),0.17,0)+IF(AND(V336&gt;=40,V336&lt;75,W336&gt;=100),0.1,0)+IF(AND(V336&gt;=75,W336&lt;25),0.35,0)+IF(AND(V336&gt;=75,W336&gt;=25,W336&lt;60),0.25,0)+IF(AND(V336&gt;=75,W336&gt;=60,W336&lt;95),0.17,0)+IF(AND(V336&gt;=75,W336&gt;=95),0.1,0),
IF(AF336="DoEVba",IF(AND(V336&lt;20,W336&lt;105),0.2,0)+IF(AND(V336&lt;20,W336&gt;=105),0.15,0)+IF(AND(V336&gt;=20,V336&lt;40,W336&lt;95),0.2,0)+IF(AND(V336&gt;=20,V336&lt;40,W336&gt;=95,W336&lt;150),0.15,0)+IF(AND(V336&gt;=20,V336&lt;40,W336&gt;=150),0.12,0)+IF(AND(V336&gt;=40,V336&lt;75,W336&lt;75),0.2,0)+IF(AND(V336&gt;=40,V336&lt;75,W336&gt;=75,W336&lt;120),0.15,0)+IF(AND(V336&gt;=40,V336&lt;75,W336&gt;=120),0.12,0)+IF(AND(V336&gt;=75,V336&lt;175,W336&lt;65),0.2,0)+IF(AND(V336&gt;=75,V336&lt;175,W336&gt;=65,W336&lt;110),0.15,0)+IF(AND(V336&gt;=75,V336&lt;175,W336&gt;=110),0.12,0)+IF(AND(V336&gt;=175,W336&lt;55),0.2,0)+IF(AND(V336&gt;=175,W336&gt;=55,W336&lt;95),0.15,0)+IF(AND(V336&gt;=175,W336&gt;=95),0.12,0),
IF(AF336="DoEVku",IF(AND(V336&lt;20,W336&lt;55),0.23,0)+IF(AND(V336&lt;20,W336&gt;=55,W336&lt;105),0.2,0)+IF(AND(V336&lt;20,W336&gt;=105),0.17,0)+IF(AND(V336&gt;=20,V336&lt;40,W336&lt;45),0.23,0)+IF(AND(V336&gt;=20,V336&lt;40,W336&gt;=45,W336&lt;95),0.2,0)+IF(AND(V336&gt;=20,V336&lt;40,W336&gt;=95,W336&lt;=150),0.17,0)+IF(AND(V336&gt;=20,V336&lt;40,W336&gt;=150),0.12,0)+IF(AND(V336&gt;=40,V336&lt;75,W336&lt;35),0.23,0)+IF(AND(V336&gt;=40,V336&lt;75,W336&gt;=35,W336&lt;75),0.2,0)+IF(AND(V336&gt;=40,V336&lt;75,W336&gt;=75,W336&lt;120),0.17,0)+IF(AND(V336&gt;=40,V336&lt;75,W336&gt;=120),0.12,0)+IF(AND(V336&gt;=75,V336&lt;175,W336&lt;35),0.23,0)+IF(AND(V336&gt;=75,V336&lt;=175,W336&gt;=35,W336&lt;65),0.2,0)+IF(AND(V336&gt;=75,V336&lt;=175,W336&gt;=65,W336&lt;110),0.17,0)+IF(AND(V336&gt;=75,V336&lt;=175,W336&gt;=110),0.12,0)+IF(AND(V336&gt;175,W336&lt;25),0.23,0)+IF(AND(V336&gt;175,W336&gt;=25,W336&lt;55),0.2,0)+IF(AND(V336&gt;175,W336&gt;=55,W336&lt;95),0.17,0)+IF(AND(V336&gt;175,W336&gt;=95),0.12,0),
IF(AF336="DoEVs1",IF(AND(V336&lt;20,W336&lt;55),0.3,0)+IF(AND(V336&lt;20,W336&gt;=55,W336&lt;105),0.23,0)+IF(AND(V336&lt;20,W336&gt;=105),0.17,0)+IF(AND(V336&gt;=20,V336&lt;40,W336&lt;45),0.3,0)+IF(AND(V336&gt;=20,V336&lt;40,W336&gt;=45,W336&lt;95),0.23,0)+IF(AND(V336&gt;=20,V336&lt;40,W336&gt;=95,W336&lt;=150),0.17,0)+IF(AND(V336&gt;=20,V336&lt;40,W336&gt;=150),0.12,0)+IF(AND(V336&gt;=40,V336&lt;75,W336&lt;35),0.3,0)+IF(AND(V336&gt;=40,V336&lt;75,W336&gt;=35,W336&lt;75),0.23,0)+IF(AND(V336&gt;=40,V336&lt;75,W336&gt;=75,W336&lt;120),0.17,0)+IF(AND(V336&gt;=40,V336&lt;75,W336&gt;=120),0.12,0)+IF(AND(V336&gt;=75,V336&lt;175,W336&lt;35),0.3,0)+IF(AND(V336&gt;=75,V336&lt;=175,W336&gt;=35,W336&lt;65),0.23,0)+IF(AND(V336&gt;=75,V336&lt;=175,W336&gt;=65,W336&lt;110),0.17,0)+IF(AND(V336&gt;=75,V336&lt;=175,W336&gt;=110),0.12,0)+IF(AND(V336&gt;175,W336&lt;25),0.3,0)+IF(AND(V336&gt;175,W336&gt;=25,W336&lt;55),0.23,0)+IF(AND(V336&gt;175,W336&gt;=55,W336&lt;95),0.17,0)+IF(AND(V336&gt;175,W336&gt;=95),0.12,0),
IF(AF336="DoEVsu",IF(AND(V336&lt;20,W336&lt;55),0.3,0)+IF(AND(V336&lt;20,W336&gt;=55,W336&lt;105),0.23,0)+IF(AND(V336&lt;20,W336&gt;=105),0.17,0)+IF(AND(V336&gt;=20,V336&lt;40,W336&lt;45),0.3,0)+IF(AND(V336&gt;=20,V336&lt;40,W336&gt;=45,W336&lt;95),0.23,0)+IF(AND(V336&gt;=20,V336&lt;40,W336&gt;=95,W336&lt;=250),0.17,0)+IF(AND(V336&gt;=20,V336&lt;40,W336&gt;=250),0.12,0)+IF(AND(V336&gt;=40,V336&lt;75,W336&lt;35),0.3,0)+IF(AND(V336&gt;=40,V336&lt;75,W336&gt;=35,W336&lt;75),0.23,0)+IF(AND(V336&gt;=40,V336&lt;75,W336&gt;=75,W336&lt;120),0.17,0)+IF(AND(V336&gt;=40,V336&lt;75,W336&gt;=120),0.12,0)+IF(AND(V336&gt;=75,V336&lt;175,W336&lt;35),0.3,0)+IF(AND(V336&gt;=75,V336&lt;=175,W336&gt;=35,W336&lt;65),0.23,0)+IF(AND(V336&gt;=75,V336&lt;=175,W336&gt;=65,W336&lt;110),0.17,0)+IF(AND(V336&gt;=75,V336&lt;=175,W336&gt;=110),0.12,0)+IF(AND(V336&gt;175,W336&lt;25),0.3,0)+IF(AND(V336&gt;175,W336&gt;=25,W336&lt;55),0.23,0)+IF(AND(V336&gt;175,W336&gt;=55,W336&lt;95),0.17,0)+IF(AND(V336&gt;175,W336&gt;=95),0.12,0),
IF(AF336="DoEVni",IF(AND(V336&lt;20,W336&lt;55),0.3,0)+IF(AND(V336&lt;20,W336&gt;=55,W336&lt;105),0.23,0)+IF(AND(V336&lt;20,W336&gt;=105),0.17,0)+IF(AND(V336&gt;=20,V336&lt;40,W336&lt;45),0.3,0)+IF(AND(V336&gt;=20,V336&lt;40,W336&gt;=45,W336&lt;95),0.23,0)+IF(AND(V336&gt;=20,V336&lt;40,W336&gt;=95,W336&lt;=200),0.17,0)+IF(AND(V336&gt;=20,V336&lt;40,W336&gt;=200),0.12,0)+IF(AND(V336&gt;=40,V336&lt;75,W336&lt;35),0.3,0)+IF(AND(V336&gt;=40,V336&lt;75,W336&gt;=35,W336&lt;75),0.23,0)+IF(AND(V336&gt;=40,V336&lt;75,W336&gt;=75,W336&lt;120),0.17,0)+IF(AND(V336&gt;=40,V336&lt;75,W336&gt;=120),0.12,0)+IF(AND(V336&gt;=75,V336&lt;175,W336&lt;35),0.3,0)+IF(AND(V336&gt;=75,V336&lt;=175,W336&gt;=35,W336&lt;65),0.23,0)+IF(AND(V336&gt;=75,V336&lt;=175,W336&gt;=65,W336&lt;110),0.17,0)+IF(AND(V336&gt;=75,V336&lt;=175,W336&gt;=110),0.12,0)+IF(AND(V336&gt;175,W336&lt;25),0.3,0)+IF(AND(V336&gt;175,W336&gt;=25,W336&lt;55),0.23,0)+IF(AND(V336&gt;175,W336&gt;=55,W336&lt;95),0.17,0)+IF(AND(V336&gt;175,W336&gt;=95),0.12,0),
IF(AF336="DoEVLo",IF(AND(V336&lt;20,W336&lt;55),0.25,0)+IF(AND(V336&lt;20,W336&gt;=55,W336&lt;105),0.2,0)+IF(AND(V336&lt;20,W336&gt;=105),0.15,0)+IF(AND(V336&gt;=20,V336&lt;40,W336&lt;45),0.25,0)+IF(AND(V336&gt;=20,V336&lt;40,W336&gt;=45,W336&lt;95),0.2,0)+IF(AND(V336&gt;=20,V336&lt;40,W336&gt;=95),0.15,0)+IF(AND(V336&gt;=40,V336&lt;75,W336&lt;35),0.25,0)+IF(AND(V336&gt;=40,V336&lt;75,W336&gt;=35,W336&lt;75),0.2,0)+IF(AND(V336&gt;=40,V336&lt;75,W336&gt;=75,W336&lt;120),0.15,0)+IF(AND(V336&gt;=40,V336&lt;75,W336&gt;=120),0.1,0)+IF(AND(V336&gt;=75,V336&lt;175,W336&lt;35),0.25,0)+IF(AND(V336&gt;=75,V336&lt;=175,W336&gt;=35,W336&lt;65),0.2,0)+IF(AND(V336&gt;=75,V336&lt;=175,W336&gt;=65,W336&lt;110),0.15,0)+IF(AND(V336&gt;=75,V336&lt;=175,W336&gt;=110),0.1,0)+IF(AND(V336&gt;175,W336&lt;25),0.25,0)+IF(AND(V336&gt;175,W336&gt;=25,W336&lt;55),0.2,0)+IF(AND(V336&gt;175,W336&gt;=55,W336&lt;95),0.15,0)+IF(AND(V336&gt;175,W336&gt;=95),0.1,0))))))))))))))))</f>
        <v>0.3</v>
      </c>
      <c r="Y336" s="30">
        <f>IF(AG336="None",0,IF(AG336="Fix5",0.05,IF(AG336="Fix3.75",0.0375,IF(AG336="Fix10",0.1,IF(AG336="Fix3",0.03,0)))))</f>
        <v>0</v>
      </c>
      <c r="Z336" s="35">
        <f>T336-AA336-AB336</f>
        <v>-5.6</v>
      </c>
      <c r="AA336" s="29">
        <f>IF(AD336="EUR",((T336-R336)*X336)*U336+(R336*X336),(T336*X336))</f>
        <v>-2.4</v>
      </c>
      <c r="AB336" s="36">
        <f>IF(AD336="EUR",((T336-R336)*Y336)*U336+(R336*Y336),(T336*Y336))</f>
        <v>0</v>
      </c>
      <c r="AC336" s="37" t="b">
        <v>1</v>
      </c>
      <c r="AD336" s="37" t="s">
        <v>38</v>
      </c>
      <c r="AE336" s="37" t="s">
        <v>38</v>
      </c>
      <c r="AF336" s="37" t="str">
        <f t="array" ref="AF336">INDEX('Deal Info'!D:D, MATCH(A336,'Deal Info'!A:A, 0))</f>
        <v>SF</v>
      </c>
      <c r="AG336" s="38" t="str">
        <f t="array" ref="AG336">INDEX('Deal Info'!G:G, MATCH(A336,'Deal Info'!A:A, 0))</f>
        <v>None</v>
      </c>
    </row>
    <row r="337" spans="1:33" ht="14.25" hidden="1" x14ac:dyDescent="0.2">
      <c r="A337" s="18" t="str">
        <f t="array" ref="A337">IF(G337='Room Info'!$B$1, INDEX('Room Info'!$A$2:$A2446, MATCH(B337,'Room Info'!$B$2:$B2446, 0)),IF(G337='Room Info'!$C$1, INDEX('Room Info'!$A$2:$A2446, MATCH(B337,'Room Info'!$C$2:$C2446, 0)),IF(G337='Room Info'!$D$1, INDEX('Room Info'!$A$2:$A2446, MATCH(B337,'Room Info'!$D$2:$D2446, 0)),IF(G337='Room Info'!$E$1, INDEX('Room Info'!$A$2:$A2446, MATCH(B337,'Room Info'!$E$2:$E2446, 0)),IF(G337='Room Info'!$F$1, INDEX('Room Info'!$A$2:$A2446, MATCH(B337,'Room Info'!$F$2:$F2446, 0)),IF(G337='Room Info'!$H$1, INDEX('Room Info'!$A$2:$A2446, MATCH(B337,'Room Info'!$H$2:$H2446, 0)),IF(G337='Room Info'!$G$1, INDEX('Room Info'!$A$2:$A2446, MATCH(B337,'Room Info'!$G$2:$G2446, 0)))))))))</f>
        <v>Kiss4money99</v>
      </c>
      <c r="B337" s="45" t="s">
        <v>120</v>
      </c>
      <c r="C337" s="46">
        <v>44429</v>
      </c>
      <c r="D337" s="46">
        <v>44459</v>
      </c>
      <c r="E337" s="47">
        <v>44440</v>
      </c>
      <c r="F337" s="48" t="s">
        <v>34</v>
      </c>
      <c r="G337" s="54" t="s">
        <v>35</v>
      </c>
      <c r="H337" s="49" t="s">
        <v>36</v>
      </c>
      <c r="I337" s="49" t="s">
        <v>37</v>
      </c>
      <c r="J337" s="50">
        <v>2</v>
      </c>
      <c r="K337" s="51">
        <v>13</v>
      </c>
      <c r="L337" s="52">
        <v>-12</v>
      </c>
      <c r="M337" s="62"/>
      <c r="N337" s="28">
        <f>K337*J337</f>
        <v>26</v>
      </c>
      <c r="O337" s="65"/>
      <c r="P337" s="29">
        <v>0</v>
      </c>
      <c r="Q337" s="55"/>
      <c r="R337" s="31">
        <f>M337+Q337</f>
        <v>0</v>
      </c>
      <c r="S337" s="66"/>
      <c r="T337" s="32">
        <f>R337+S337+IF(F337="Without EV deal",L337,0)</f>
        <v>0</v>
      </c>
      <c r="U337" s="57">
        <v>1</v>
      </c>
      <c r="V337" s="69">
        <v>4.9870218579234971</v>
      </c>
      <c r="W337" s="69">
        <v>47.122312012053143</v>
      </c>
      <c r="X337" s="30">
        <f>IF(AF337="DoEV",IF(AND(V337&lt;20,W337&lt;55),0.3,0)+IF(AND(V337&lt;20,W337&gt;=55,W337&lt;105),0.23,0)+IF(AND(V337&lt;20,W337&gt;=105),0.17,0)+IF(AND(V337&gt;=20,V337&lt;40,W337&lt;45),0.3,0)+IF(AND(V337&gt;=20,V337&lt;40,W337&gt;=45,W337&lt;95),0.23,0)+IF(AND(V337&gt;=20,V337&lt;40,W337&gt;=95),0.17,0)+IF(AND(V337&gt;=40,V337&lt;75,W337&lt;35),0.3,0)+IF(AND(V337&gt;=40,V337&lt;75,W337&gt;=35,W337&lt;75),0.23,0)+IF(AND(V337&gt;=40,V337&lt;75,W337&gt;=75,W337&lt;120),0.17,0)+IF(AND(V337&gt;=40,V337&lt;75,W337&gt;=120),0.12,0)+IF(AND(V337&gt;=75,V337&lt;175,W337&lt;35),0.3,0)+IF(AND(V337&gt;=75,V337&lt;=175,W337&gt;=35,W337&lt;65),0.23,0)+IF(AND(V337&gt;=75,V337&lt;=175,W337&gt;=65,W337&lt;110),0.17,0)+IF(AND(V337&gt;=75,V337&lt;=175,W337&gt;=110),0.12,0)+IF(AND(V337&gt;175,W337&lt;25),0.3,0)+IF(AND(V337&gt;175,W337&gt;=25,W337&lt;55),0.23,0)+IF(AND(V337&gt;175,W337&gt;=55,W337&lt;95),0.17,0)+IF(AND(V337&gt;175,W337&gt;=95),0.12,0),
IF(AF337="Fix15",0.15,
IF(AF337="Fix11.25",0.1125,
IF(AF337="Fix10",0.1,
IF(AF337="Fix9",0.09,
IF(AF337="DoEV2017",IF(AND(W337&lt;74),0.2,0)+IF(AND(W337&gt;=74),0.17,0),
IF(AF337="SF",IF(AND(V337&lt;20,W337&lt;89),0.3,0)+IF(AND(V337&lt;20,W337&gt;=89),0.25,0)+IF(AND(V337&gt;=20,V337&lt;40,W337&lt;74),0.3,0)+IF(AND(V337&gt;=20,V337&lt;40,W337&gt;=75),0.22,0)+IF(AND(V337&gt;=40,V337&lt;75,W337&lt;75),0.26,0)+IF(AND(V337&gt;=40,V337&lt;75,W337&gt;=75),0.22,0)+IF(V337&gt;=75,0.22,0),
IF(AF337="DoEVold",IF(AND(V337&lt;40,W337&lt;35),0.35,0)+IF(AND(V337&lt;40,W337&gt;=35,W337&lt;75),0.25,0)+IF(AND(V337&lt;40,W337&gt;=75),0.17,0)+IF(AND(V337&gt;=40,V337&lt;75,W337&lt;25),0.35,0)+IF(AND(V337&gt;=40,V337&lt;75,W337&gt;=25,W337&lt;65),0.25,0)+IF(AND(V337&gt;=40,V337&lt;75,W337&gt;=65,W337&lt;100),0.17,0)+IF(AND(V337&gt;=40,V337&lt;75,W337&gt;=100),0.1,0)+IF(AND(V337&gt;=75,W337&lt;25),0.35,0)+IF(AND(V337&gt;=75,W337&gt;=25,W337&lt;60),0.25,0)+IF(AND(V337&gt;=75,W337&gt;=60,W337&lt;95),0.17,0)+IF(AND(V337&gt;=75,W337&gt;=95),0.1,0),
IF(AF337="DoEVold15",IF(AND(V337&lt;=40,W337&lt;35),0.35,0)+IF(AND(V337&lt;=40,W337&gt;=35,W337&lt;75),0.25,0)+IF(AND(V337&lt;=40,W337&gt;=75,W337&lt;120),0.17,0)+IF(AND(V337&lt;=40,W337&gt;=120),0.15,0)+IF(AND(V337&gt;40,V337&lt;75,W337&lt;25),0.35,0)+IF(AND(V337&gt;=40,V337&lt;75,W337&gt;=25,W337&lt;65),0.25,0)+IF(AND(V337&gt;=40,V337&lt;75,W337&gt;=65,W337&lt;100),0.17,0)+IF(AND(V337&gt;=40,V337&lt;75,W337&gt;=100),0.1,0)+IF(AND(V337&gt;=75,W337&lt;25),0.35,0)+IF(AND(V337&gt;=75,W337&gt;=25,W337&lt;60),0.25,0)+IF(AND(V337&gt;=75,W337&gt;=60,W337&lt;95),0.17,0)+IF(AND(V337&gt;=75,W337&gt;=95),0.1,0),
IF(AF337="DoEVba",IF(AND(V337&lt;20,W337&lt;105),0.2,0)+IF(AND(V337&lt;20,W337&gt;=105),0.15,0)+IF(AND(V337&gt;=20,V337&lt;40,W337&lt;95),0.2,0)+IF(AND(V337&gt;=20,V337&lt;40,W337&gt;=95,W337&lt;150),0.15,0)+IF(AND(V337&gt;=20,V337&lt;40,W337&gt;=150),0.12,0)+IF(AND(V337&gt;=40,V337&lt;75,W337&lt;75),0.2,0)+IF(AND(V337&gt;=40,V337&lt;75,W337&gt;=75,W337&lt;120),0.15,0)+IF(AND(V337&gt;=40,V337&lt;75,W337&gt;=120),0.12,0)+IF(AND(V337&gt;=75,V337&lt;175,W337&lt;65),0.2,0)+IF(AND(V337&gt;=75,V337&lt;175,W337&gt;=65,W337&lt;110),0.15,0)+IF(AND(V337&gt;=75,V337&lt;175,W337&gt;=110),0.12,0)+IF(AND(V337&gt;=175,W337&lt;55),0.2,0)+IF(AND(V337&gt;=175,W337&gt;=55,W337&lt;95),0.15,0)+IF(AND(V337&gt;=175,W337&gt;=95),0.12,0),
IF(AF337="DoEVku",IF(AND(V337&lt;20,W337&lt;55),0.23,0)+IF(AND(V337&lt;20,W337&gt;=55,W337&lt;105),0.2,0)+IF(AND(V337&lt;20,W337&gt;=105),0.17,0)+IF(AND(V337&gt;=20,V337&lt;40,W337&lt;45),0.23,0)+IF(AND(V337&gt;=20,V337&lt;40,W337&gt;=45,W337&lt;95),0.2,0)+IF(AND(V337&gt;=20,V337&lt;40,W337&gt;=95,W337&lt;=150),0.17,0)+IF(AND(V337&gt;=20,V337&lt;40,W337&gt;=150),0.12,0)+IF(AND(V337&gt;=40,V337&lt;75,W337&lt;35),0.23,0)+IF(AND(V337&gt;=40,V337&lt;75,W337&gt;=35,W337&lt;75),0.2,0)+IF(AND(V337&gt;=40,V337&lt;75,W337&gt;=75,W337&lt;120),0.17,0)+IF(AND(V337&gt;=40,V337&lt;75,W337&gt;=120),0.12,0)+IF(AND(V337&gt;=75,V337&lt;175,W337&lt;35),0.23,0)+IF(AND(V337&gt;=75,V337&lt;=175,W337&gt;=35,W337&lt;65),0.2,0)+IF(AND(V337&gt;=75,V337&lt;=175,W337&gt;=65,W337&lt;110),0.17,0)+IF(AND(V337&gt;=75,V337&lt;=175,W337&gt;=110),0.12,0)+IF(AND(V337&gt;175,W337&lt;25),0.23,0)+IF(AND(V337&gt;175,W337&gt;=25,W337&lt;55),0.2,0)+IF(AND(V337&gt;175,W337&gt;=55,W337&lt;95),0.17,0)+IF(AND(V337&gt;175,W337&gt;=95),0.12,0),
IF(AF337="DoEVs1",IF(AND(V337&lt;20,W337&lt;55),0.3,0)+IF(AND(V337&lt;20,W337&gt;=55,W337&lt;105),0.23,0)+IF(AND(V337&lt;20,W337&gt;=105),0.17,0)+IF(AND(V337&gt;=20,V337&lt;40,W337&lt;45),0.3,0)+IF(AND(V337&gt;=20,V337&lt;40,W337&gt;=45,W337&lt;95),0.23,0)+IF(AND(V337&gt;=20,V337&lt;40,W337&gt;=95,W337&lt;=150),0.17,0)+IF(AND(V337&gt;=20,V337&lt;40,W337&gt;=150),0.12,0)+IF(AND(V337&gt;=40,V337&lt;75,W337&lt;35),0.3,0)+IF(AND(V337&gt;=40,V337&lt;75,W337&gt;=35,W337&lt;75),0.23,0)+IF(AND(V337&gt;=40,V337&lt;75,W337&gt;=75,W337&lt;120),0.17,0)+IF(AND(V337&gt;=40,V337&lt;75,W337&gt;=120),0.12,0)+IF(AND(V337&gt;=75,V337&lt;175,W337&lt;35),0.3,0)+IF(AND(V337&gt;=75,V337&lt;=175,W337&gt;=35,W337&lt;65),0.23,0)+IF(AND(V337&gt;=75,V337&lt;=175,W337&gt;=65,W337&lt;110),0.17,0)+IF(AND(V337&gt;=75,V337&lt;=175,W337&gt;=110),0.12,0)+IF(AND(V337&gt;175,W337&lt;25),0.3,0)+IF(AND(V337&gt;175,W337&gt;=25,W337&lt;55),0.23,0)+IF(AND(V337&gt;175,W337&gt;=55,W337&lt;95),0.17,0)+IF(AND(V337&gt;175,W337&gt;=95),0.12,0),
IF(AF337="DoEVsu",IF(AND(V337&lt;20,W337&lt;55),0.3,0)+IF(AND(V337&lt;20,W337&gt;=55,W337&lt;105),0.23,0)+IF(AND(V337&lt;20,W337&gt;=105),0.17,0)+IF(AND(V337&gt;=20,V337&lt;40,W337&lt;45),0.3,0)+IF(AND(V337&gt;=20,V337&lt;40,W337&gt;=45,W337&lt;95),0.23,0)+IF(AND(V337&gt;=20,V337&lt;40,W337&gt;=95,W337&lt;=250),0.17,0)+IF(AND(V337&gt;=20,V337&lt;40,W337&gt;=250),0.12,0)+IF(AND(V337&gt;=40,V337&lt;75,W337&lt;35),0.3,0)+IF(AND(V337&gt;=40,V337&lt;75,W337&gt;=35,W337&lt;75),0.23,0)+IF(AND(V337&gt;=40,V337&lt;75,W337&gt;=75,W337&lt;120),0.17,0)+IF(AND(V337&gt;=40,V337&lt;75,W337&gt;=120),0.12,0)+IF(AND(V337&gt;=75,V337&lt;175,W337&lt;35),0.3,0)+IF(AND(V337&gt;=75,V337&lt;=175,W337&gt;=35,W337&lt;65),0.23,0)+IF(AND(V337&gt;=75,V337&lt;=175,W337&gt;=65,W337&lt;110),0.17,0)+IF(AND(V337&gt;=75,V337&lt;=175,W337&gt;=110),0.12,0)+IF(AND(V337&gt;175,W337&lt;25),0.3,0)+IF(AND(V337&gt;175,W337&gt;=25,W337&lt;55),0.23,0)+IF(AND(V337&gt;175,W337&gt;=55,W337&lt;95),0.17,0)+IF(AND(V337&gt;175,W337&gt;=95),0.12,0),
IF(AF337="DoEVni",IF(AND(V337&lt;20,W337&lt;55),0.3,0)+IF(AND(V337&lt;20,W337&gt;=55,W337&lt;105),0.23,0)+IF(AND(V337&lt;20,W337&gt;=105),0.17,0)+IF(AND(V337&gt;=20,V337&lt;40,W337&lt;45),0.3,0)+IF(AND(V337&gt;=20,V337&lt;40,W337&gt;=45,W337&lt;95),0.23,0)+IF(AND(V337&gt;=20,V337&lt;40,W337&gt;=95,W337&lt;=200),0.17,0)+IF(AND(V337&gt;=20,V337&lt;40,W337&gt;=200),0.12,0)+IF(AND(V337&gt;=40,V337&lt;75,W337&lt;35),0.3,0)+IF(AND(V337&gt;=40,V337&lt;75,W337&gt;=35,W337&lt;75),0.23,0)+IF(AND(V337&gt;=40,V337&lt;75,W337&gt;=75,W337&lt;120),0.17,0)+IF(AND(V337&gt;=40,V337&lt;75,W337&gt;=120),0.12,0)+IF(AND(V337&gt;=75,V337&lt;175,W337&lt;35),0.3,0)+IF(AND(V337&gt;=75,V337&lt;=175,W337&gt;=35,W337&lt;65),0.23,0)+IF(AND(V337&gt;=75,V337&lt;=175,W337&gt;=65,W337&lt;110),0.17,0)+IF(AND(V337&gt;=75,V337&lt;=175,W337&gt;=110),0.12,0)+IF(AND(V337&gt;175,W337&lt;25),0.3,0)+IF(AND(V337&gt;175,W337&gt;=25,W337&lt;55),0.23,0)+IF(AND(V337&gt;175,W337&gt;=55,W337&lt;95),0.17,0)+IF(AND(V337&gt;175,W337&gt;=95),0.12,0),
IF(AF337="DoEVLo",IF(AND(V337&lt;20,W337&lt;55),0.25,0)+IF(AND(V337&lt;20,W337&gt;=55,W337&lt;105),0.2,0)+IF(AND(V337&lt;20,W337&gt;=105),0.15,0)+IF(AND(V337&gt;=20,V337&lt;40,W337&lt;45),0.25,0)+IF(AND(V337&gt;=20,V337&lt;40,W337&gt;=45,W337&lt;95),0.2,0)+IF(AND(V337&gt;=20,V337&lt;40,W337&gt;=95),0.15,0)+IF(AND(V337&gt;=40,V337&lt;75,W337&lt;35),0.25,0)+IF(AND(V337&gt;=40,V337&lt;75,W337&gt;=35,W337&lt;75),0.2,0)+IF(AND(V337&gt;=40,V337&lt;75,W337&gt;=75,W337&lt;120),0.15,0)+IF(AND(V337&gt;=40,V337&lt;75,W337&gt;=120),0.1,0)+IF(AND(V337&gt;=75,V337&lt;175,W337&lt;35),0.25,0)+IF(AND(V337&gt;=75,V337&lt;=175,W337&gt;=35,W337&lt;65),0.2,0)+IF(AND(V337&gt;=75,V337&lt;=175,W337&gt;=65,W337&lt;110),0.15,0)+IF(AND(V337&gt;=75,V337&lt;=175,W337&gt;=110),0.1,0)+IF(AND(V337&gt;175,W337&lt;25),0.25,0)+IF(AND(V337&gt;175,W337&gt;=25,W337&lt;55),0.2,0)+IF(AND(V337&gt;175,W337&gt;=55,W337&lt;95),0.15,0)+IF(AND(V337&gt;175,W337&gt;=95),0.1,0))))))))))))))))</f>
        <v>0.3</v>
      </c>
      <c r="Y337" s="30">
        <f>IF(AG337="None",0,IF(AG337="Fix5",0.05,IF(AG337="Fix3.75",0.0375,IF(AG337="Fix10",0.1,IF(AG337="Fix3",0.03,0)))))</f>
        <v>0</v>
      </c>
      <c r="Z337" s="35">
        <f>T337-AA337-AB337</f>
        <v>0</v>
      </c>
      <c r="AA337" s="29">
        <f>IF(AD337="EUR",((T337-R337)*X337)*U337+(R337*X337),(T337*X337))</f>
        <v>0</v>
      </c>
      <c r="AB337" s="36">
        <f>IF(AD337="EUR",((T337-R337)*Y337)*U337+(R337*Y337),(T337*Y337))</f>
        <v>0</v>
      </c>
      <c r="AC337" s="37" t="b">
        <v>1</v>
      </c>
      <c r="AD337" s="37" t="s">
        <v>38</v>
      </c>
      <c r="AE337" s="37" t="s">
        <v>38</v>
      </c>
      <c r="AF337" s="37" t="str">
        <f t="array" ref="AF337">INDEX('Deal Info'!D:D, MATCH(A337,'Deal Info'!A:A, 0))</f>
        <v>SF</v>
      </c>
      <c r="AG337" s="38" t="str">
        <f t="array" ref="AG337">INDEX('Deal Info'!G:G, MATCH(A337,'Deal Info'!A:A, 0))</f>
        <v>None</v>
      </c>
    </row>
    <row r="338" spans="1:33" ht="14.25" hidden="1" x14ac:dyDescent="0.2">
      <c r="A338" s="18" t="str">
        <f t="array" ref="A338">IF(G338='Room Info'!$B$1, INDEX('Room Info'!$A$2:$A2446, MATCH(B338,'Room Info'!$B$2:$B2446, 0)),IF(G338='Room Info'!$C$1, INDEX('Room Info'!$A$2:$A2446, MATCH(B338,'Room Info'!$C$2:$C2446, 0)),IF(G338='Room Info'!$D$1, INDEX('Room Info'!$A$2:$A2446, MATCH(B338,'Room Info'!$D$2:$D2446, 0)),IF(G338='Room Info'!$E$1, INDEX('Room Info'!$A$2:$A2446, MATCH(B338,'Room Info'!$E$2:$E2446, 0)),IF(G338='Room Info'!$F$1, INDEX('Room Info'!$A$2:$A2446, MATCH(B338,'Room Info'!$F$2:$F2446, 0)),IF(G338='Room Info'!$H$1, INDEX('Room Info'!$A$2:$A2446, MATCH(B338,'Room Info'!$H$2:$H2446, 0)),IF(G338='Room Info'!$G$1, INDEX('Room Info'!$A$2:$A2446, MATCH(B338,'Room Info'!$G$2:$G2446, 0)))))))))</f>
        <v>Kiss4money99</v>
      </c>
      <c r="B338" s="45" t="s">
        <v>120</v>
      </c>
      <c r="C338" s="46">
        <v>44460</v>
      </c>
      <c r="D338" s="46">
        <v>44489</v>
      </c>
      <c r="E338" s="47">
        <v>44470</v>
      </c>
      <c r="F338" s="48" t="s">
        <v>34</v>
      </c>
      <c r="G338" s="54" t="s">
        <v>35</v>
      </c>
      <c r="H338" s="49" t="s">
        <v>39</v>
      </c>
      <c r="I338" s="49" t="s">
        <v>37</v>
      </c>
      <c r="J338" s="50">
        <v>5</v>
      </c>
      <c r="K338" s="51">
        <v>1899</v>
      </c>
      <c r="L338" s="52">
        <v>-180</v>
      </c>
      <c r="M338" s="53">
        <v>411</v>
      </c>
      <c r="N338" s="28">
        <f>K338*J338</f>
        <v>9495</v>
      </c>
      <c r="O338" s="54">
        <v>105368</v>
      </c>
      <c r="P338" s="29">
        <v>55.48604529</v>
      </c>
      <c r="Q338" s="55"/>
      <c r="R338" s="31">
        <f>M338+Q338</f>
        <v>411</v>
      </c>
      <c r="S338" s="56">
        <v>94</v>
      </c>
      <c r="T338" s="32">
        <f>R338+S338+IF(F338="Without EV deal",L338,0)</f>
        <v>505</v>
      </c>
      <c r="U338" s="57">
        <v>1</v>
      </c>
      <c r="V338" s="69">
        <v>5</v>
      </c>
      <c r="W338" s="69">
        <v>101</v>
      </c>
      <c r="X338" s="30">
        <f>IF(AF338="DoEV",IF(AND(V338&lt;20,W338&lt;55),0.3,0)+IF(AND(V338&lt;20,W338&gt;=55,W338&lt;105),0.23,0)+IF(AND(V338&lt;20,W338&gt;=105),0.17,0)+IF(AND(V338&gt;=20,V338&lt;40,W338&lt;45),0.3,0)+IF(AND(V338&gt;=20,V338&lt;40,W338&gt;=45,W338&lt;95),0.23,0)+IF(AND(V338&gt;=20,V338&lt;40,W338&gt;=95),0.17,0)+IF(AND(V338&gt;=40,V338&lt;75,W338&lt;35),0.3,0)+IF(AND(V338&gt;=40,V338&lt;75,W338&gt;=35,W338&lt;75),0.23,0)+IF(AND(V338&gt;=40,V338&lt;75,W338&gt;=75,W338&lt;120),0.17,0)+IF(AND(V338&gt;=40,V338&lt;75,W338&gt;=120),0.12,0)+IF(AND(V338&gt;=75,V338&lt;175,W338&lt;35),0.3,0)+IF(AND(V338&gt;=75,V338&lt;=175,W338&gt;=35,W338&lt;65),0.23,0)+IF(AND(V338&gt;=75,V338&lt;=175,W338&gt;=65,W338&lt;110),0.17,0)+IF(AND(V338&gt;=75,V338&lt;=175,W338&gt;=110),0.12,0)+IF(AND(V338&gt;175,W338&lt;25),0.3,0)+IF(AND(V338&gt;175,W338&gt;=25,W338&lt;55),0.23,0)+IF(AND(V338&gt;175,W338&gt;=55,W338&lt;95),0.17,0)+IF(AND(V338&gt;175,W338&gt;=95),0.12,0),
IF(AF338="Fix15",0.15,
IF(AF338="Fix11.25",0.1125,
IF(AF338="Fix10",0.1,
IF(AF338="Fix9",0.09,
IF(AF338="DoEV2017",IF(AND(W338&lt;74),0.2,0)+IF(AND(W338&gt;=74),0.17,0),
IF(AF338="SF",IF(AND(V338&lt;20,W338&lt;89),0.3,0)+IF(AND(V338&lt;20,W338&gt;=89),0.25,0)+IF(AND(V338&gt;=20,V338&lt;40,W338&lt;74),0.3,0)+IF(AND(V338&gt;=20,V338&lt;40,W338&gt;=75),0.22,0)+IF(AND(V338&gt;=40,V338&lt;75,W338&lt;75),0.26,0)+IF(AND(V338&gt;=40,V338&lt;75,W338&gt;=75),0.22,0)+IF(V338&gt;=75,0.22,0),
IF(AF338="DoEVold",IF(AND(V338&lt;40,W338&lt;35),0.35,0)+IF(AND(V338&lt;40,W338&gt;=35,W338&lt;75),0.25,0)+IF(AND(V338&lt;40,W338&gt;=75),0.17,0)+IF(AND(V338&gt;=40,V338&lt;75,W338&lt;25),0.35,0)+IF(AND(V338&gt;=40,V338&lt;75,W338&gt;=25,W338&lt;65),0.25,0)+IF(AND(V338&gt;=40,V338&lt;75,W338&gt;=65,W338&lt;100),0.17,0)+IF(AND(V338&gt;=40,V338&lt;75,W338&gt;=100),0.1,0)+IF(AND(V338&gt;=75,W338&lt;25),0.35,0)+IF(AND(V338&gt;=75,W338&gt;=25,W338&lt;60),0.25,0)+IF(AND(V338&gt;=75,W338&gt;=60,W338&lt;95),0.17,0)+IF(AND(V338&gt;=75,W338&gt;=95),0.1,0),
IF(AF338="DoEVold15",IF(AND(V338&lt;=40,W338&lt;35),0.35,0)+IF(AND(V338&lt;=40,W338&gt;=35,W338&lt;75),0.25,0)+IF(AND(V338&lt;=40,W338&gt;=75,W338&lt;120),0.17,0)+IF(AND(V338&lt;=40,W338&gt;=120),0.15,0)+IF(AND(V338&gt;40,V338&lt;75,W338&lt;25),0.35,0)+IF(AND(V338&gt;=40,V338&lt;75,W338&gt;=25,W338&lt;65),0.25,0)+IF(AND(V338&gt;=40,V338&lt;75,W338&gt;=65,W338&lt;100),0.17,0)+IF(AND(V338&gt;=40,V338&lt;75,W338&gt;=100),0.1,0)+IF(AND(V338&gt;=75,W338&lt;25),0.35,0)+IF(AND(V338&gt;=75,W338&gt;=25,W338&lt;60),0.25,0)+IF(AND(V338&gt;=75,W338&gt;=60,W338&lt;95),0.17,0)+IF(AND(V338&gt;=75,W338&gt;=95),0.1,0),
IF(AF338="DoEVba",IF(AND(V338&lt;20,W338&lt;105),0.2,0)+IF(AND(V338&lt;20,W338&gt;=105),0.15,0)+IF(AND(V338&gt;=20,V338&lt;40,W338&lt;95),0.2,0)+IF(AND(V338&gt;=20,V338&lt;40,W338&gt;=95,W338&lt;150),0.15,0)+IF(AND(V338&gt;=20,V338&lt;40,W338&gt;=150),0.12,0)+IF(AND(V338&gt;=40,V338&lt;75,W338&lt;75),0.2,0)+IF(AND(V338&gt;=40,V338&lt;75,W338&gt;=75,W338&lt;120),0.15,0)+IF(AND(V338&gt;=40,V338&lt;75,W338&gt;=120),0.12,0)+IF(AND(V338&gt;=75,V338&lt;175,W338&lt;65),0.2,0)+IF(AND(V338&gt;=75,V338&lt;175,W338&gt;=65,W338&lt;110),0.15,0)+IF(AND(V338&gt;=75,V338&lt;175,W338&gt;=110),0.12,0)+IF(AND(V338&gt;=175,W338&lt;55),0.2,0)+IF(AND(V338&gt;=175,W338&gt;=55,W338&lt;95),0.15,0)+IF(AND(V338&gt;=175,W338&gt;=95),0.12,0),
IF(AF338="DoEVku",IF(AND(V338&lt;20,W338&lt;55),0.23,0)+IF(AND(V338&lt;20,W338&gt;=55,W338&lt;105),0.2,0)+IF(AND(V338&lt;20,W338&gt;=105),0.17,0)+IF(AND(V338&gt;=20,V338&lt;40,W338&lt;45),0.23,0)+IF(AND(V338&gt;=20,V338&lt;40,W338&gt;=45,W338&lt;95),0.2,0)+IF(AND(V338&gt;=20,V338&lt;40,W338&gt;=95,W338&lt;=150),0.17,0)+IF(AND(V338&gt;=20,V338&lt;40,W338&gt;=150),0.12,0)+IF(AND(V338&gt;=40,V338&lt;75,W338&lt;35),0.23,0)+IF(AND(V338&gt;=40,V338&lt;75,W338&gt;=35,W338&lt;75),0.2,0)+IF(AND(V338&gt;=40,V338&lt;75,W338&gt;=75,W338&lt;120),0.17,0)+IF(AND(V338&gt;=40,V338&lt;75,W338&gt;=120),0.12,0)+IF(AND(V338&gt;=75,V338&lt;175,W338&lt;35),0.23,0)+IF(AND(V338&gt;=75,V338&lt;=175,W338&gt;=35,W338&lt;65),0.2,0)+IF(AND(V338&gt;=75,V338&lt;=175,W338&gt;=65,W338&lt;110),0.17,0)+IF(AND(V338&gt;=75,V338&lt;=175,W338&gt;=110),0.12,0)+IF(AND(V338&gt;175,W338&lt;25),0.23,0)+IF(AND(V338&gt;175,W338&gt;=25,W338&lt;55),0.2,0)+IF(AND(V338&gt;175,W338&gt;=55,W338&lt;95),0.17,0)+IF(AND(V338&gt;175,W338&gt;=95),0.12,0),
IF(AF338="DoEVs1",IF(AND(V338&lt;20,W338&lt;55),0.3,0)+IF(AND(V338&lt;20,W338&gt;=55,W338&lt;105),0.23,0)+IF(AND(V338&lt;20,W338&gt;=105),0.17,0)+IF(AND(V338&gt;=20,V338&lt;40,W338&lt;45),0.3,0)+IF(AND(V338&gt;=20,V338&lt;40,W338&gt;=45,W338&lt;95),0.23,0)+IF(AND(V338&gt;=20,V338&lt;40,W338&gt;=95,W338&lt;=150),0.17,0)+IF(AND(V338&gt;=20,V338&lt;40,W338&gt;=150),0.12,0)+IF(AND(V338&gt;=40,V338&lt;75,W338&lt;35),0.3,0)+IF(AND(V338&gt;=40,V338&lt;75,W338&gt;=35,W338&lt;75),0.23,0)+IF(AND(V338&gt;=40,V338&lt;75,W338&gt;=75,W338&lt;120),0.17,0)+IF(AND(V338&gt;=40,V338&lt;75,W338&gt;=120),0.12,0)+IF(AND(V338&gt;=75,V338&lt;175,W338&lt;35),0.3,0)+IF(AND(V338&gt;=75,V338&lt;=175,W338&gt;=35,W338&lt;65),0.23,0)+IF(AND(V338&gt;=75,V338&lt;=175,W338&gt;=65,W338&lt;110),0.17,0)+IF(AND(V338&gt;=75,V338&lt;=175,W338&gt;=110),0.12,0)+IF(AND(V338&gt;175,W338&lt;25),0.3,0)+IF(AND(V338&gt;175,W338&gt;=25,W338&lt;55),0.23,0)+IF(AND(V338&gt;175,W338&gt;=55,W338&lt;95),0.17,0)+IF(AND(V338&gt;175,W338&gt;=95),0.12,0),
IF(AF338="DoEVsu",IF(AND(V338&lt;20,W338&lt;55),0.3,0)+IF(AND(V338&lt;20,W338&gt;=55,W338&lt;105),0.23,0)+IF(AND(V338&lt;20,W338&gt;=105),0.17,0)+IF(AND(V338&gt;=20,V338&lt;40,W338&lt;45),0.3,0)+IF(AND(V338&gt;=20,V338&lt;40,W338&gt;=45,W338&lt;95),0.23,0)+IF(AND(V338&gt;=20,V338&lt;40,W338&gt;=95,W338&lt;=250),0.17,0)+IF(AND(V338&gt;=20,V338&lt;40,W338&gt;=250),0.12,0)+IF(AND(V338&gt;=40,V338&lt;75,W338&lt;35),0.3,0)+IF(AND(V338&gt;=40,V338&lt;75,W338&gt;=35,W338&lt;75),0.23,0)+IF(AND(V338&gt;=40,V338&lt;75,W338&gt;=75,W338&lt;120),0.17,0)+IF(AND(V338&gt;=40,V338&lt;75,W338&gt;=120),0.12,0)+IF(AND(V338&gt;=75,V338&lt;175,W338&lt;35),0.3,0)+IF(AND(V338&gt;=75,V338&lt;=175,W338&gt;=35,W338&lt;65),0.23,0)+IF(AND(V338&gt;=75,V338&lt;=175,W338&gt;=65,W338&lt;110),0.17,0)+IF(AND(V338&gt;=75,V338&lt;=175,W338&gt;=110),0.12,0)+IF(AND(V338&gt;175,W338&lt;25),0.3,0)+IF(AND(V338&gt;175,W338&gt;=25,W338&lt;55),0.23,0)+IF(AND(V338&gt;175,W338&gt;=55,W338&lt;95),0.17,0)+IF(AND(V338&gt;175,W338&gt;=95),0.12,0),
IF(AF338="DoEVni",IF(AND(V338&lt;20,W338&lt;55),0.3,0)+IF(AND(V338&lt;20,W338&gt;=55,W338&lt;105),0.23,0)+IF(AND(V338&lt;20,W338&gt;=105),0.17,0)+IF(AND(V338&gt;=20,V338&lt;40,W338&lt;45),0.3,0)+IF(AND(V338&gt;=20,V338&lt;40,W338&gt;=45,W338&lt;95),0.23,0)+IF(AND(V338&gt;=20,V338&lt;40,W338&gt;=95,W338&lt;=200),0.17,0)+IF(AND(V338&gt;=20,V338&lt;40,W338&gt;=200),0.12,0)+IF(AND(V338&gt;=40,V338&lt;75,W338&lt;35),0.3,0)+IF(AND(V338&gt;=40,V338&lt;75,W338&gt;=35,W338&lt;75),0.23,0)+IF(AND(V338&gt;=40,V338&lt;75,W338&gt;=75,W338&lt;120),0.17,0)+IF(AND(V338&gt;=40,V338&lt;75,W338&gt;=120),0.12,0)+IF(AND(V338&gt;=75,V338&lt;175,W338&lt;35),0.3,0)+IF(AND(V338&gt;=75,V338&lt;=175,W338&gt;=35,W338&lt;65),0.23,0)+IF(AND(V338&gt;=75,V338&lt;=175,W338&gt;=65,W338&lt;110),0.17,0)+IF(AND(V338&gt;=75,V338&lt;=175,W338&gt;=110),0.12,0)+IF(AND(V338&gt;175,W338&lt;25),0.3,0)+IF(AND(V338&gt;175,W338&gt;=25,W338&lt;55),0.23,0)+IF(AND(V338&gt;175,W338&gt;=55,W338&lt;95),0.17,0)+IF(AND(V338&gt;175,W338&gt;=95),0.12,0),
IF(AF338="DoEVLo",IF(AND(V338&lt;20,W338&lt;55),0.25,0)+IF(AND(V338&lt;20,W338&gt;=55,W338&lt;105),0.2,0)+IF(AND(V338&lt;20,W338&gt;=105),0.15,0)+IF(AND(V338&gt;=20,V338&lt;40,W338&lt;45),0.25,0)+IF(AND(V338&gt;=20,V338&lt;40,W338&gt;=45,W338&lt;95),0.2,0)+IF(AND(V338&gt;=20,V338&lt;40,W338&gt;=95),0.15,0)+IF(AND(V338&gt;=40,V338&lt;75,W338&lt;35),0.25,0)+IF(AND(V338&gt;=40,V338&lt;75,W338&gt;=35,W338&lt;75),0.2,0)+IF(AND(V338&gt;=40,V338&lt;75,W338&gt;=75,W338&lt;120),0.15,0)+IF(AND(V338&gt;=40,V338&lt;75,W338&gt;=120),0.1,0)+IF(AND(V338&gt;=75,V338&lt;175,W338&lt;35),0.25,0)+IF(AND(V338&gt;=75,V338&lt;=175,W338&gt;=35,W338&lt;65),0.2,0)+IF(AND(V338&gt;=75,V338&lt;=175,W338&gt;=65,W338&lt;110),0.15,0)+IF(AND(V338&gt;=75,V338&lt;=175,W338&gt;=110),0.1,0)+IF(AND(V338&gt;175,W338&lt;25),0.25,0)+IF(AND(V338&gt;175,W338&gt;=25,W338&lt;55),0.2,0)+IF(AND(V338&gt;175,W338&gt;=55,W338&lt;95),0.15,0)+IF(AND(V338&gt;175,W338&gt;=95),0.1,0))))))))))))))))</f>
        <v>0.25</v>
      </c>
      <c r="Y338" s="30">
        <f>IF(AG338="None",0,IF(AG338="Fix5",0.05,IF(AG338="Fix3.75",0.0375,IF(AG338="Fix10",0.1,IF(AG338="Fix3",0.03,0)))))</f>
        <v>0</v>
      </c>
      <c r="Z338" s="35">
        <f>T338-AA338-AB338</f>
        <v>378.75</v>
      </c>
      <c r="AA338" s="29">
        <f>IF(AD338="EUR",((T338-R338)*X338)*U338+(R338*X338),(T338*X338))</f>
        <v>126.25</v>
      </c>
      <c r="AB338" s="36">
        <f>IF(AD338="EUR",((T338-R338)*Y338)*U338+(R338*Y338),(T338*Y338))</f>
        <v>0</v>
      </c>
      <c r="AC338" s="37" t="b">
        <v>1</v>
      </c>
      <c r="AD338" s="37" t="s">
        <v>38</v>
      </c>
      <c r="AE338" s="37" t="s">
        <v>38</v>
      </c>
      <c r="AF338" s="37" t="str">
        <f t="array" ref="AF338">INDEX('Deal Info'!D:D, MATCH(A338,'Deal Info'!A:A, 0))</f>
        <v>SF</v>
      </c>
      <c r="AG338" s="38" t="str">
        <f t="array" ref="AG338">INDEX('Deal Info'!G:G, MATCH(A338,'Deal Info'!A:A, 0))</f>
        <v>None</v>
      </c>
    </row>
    <row r="339" spans="1:33" ht="14.25" hidden="1" x14ac:dyDescent="0.2">
      <c r="A339" s="18" t="str">
        <f t="array" ref="A339">IF(G339='Room Info'!$B$1, INDEX('Room Info'!$A$2:$A2446, MATCH(B339,'Room Info'!$B$2:$B2446, 0)),IF(G339='Room Info'!$C$1, INDEX('Room Info'!$A$2:$A2446, MATCH(B339,'Room Info'!$C$2:$C2446, 0)),IF(G339='Room Info'!$D$1, INDEX('Room Info'!$A$2:$A2446, MATCH(B339,'Room Info'!$D$2:$D2446, 0)),IF(G339='Room Info'!$E$1, INDEX('Room Info'!$A$2:$A2446, MATCH(B339,'Room Info'!$E$2:$E2446, 0)),IF(G339='Room Info'!$F$1, INDEX('Room Info'!$A$2:$A2446, MATCH(B339,'Room Info'!$F$2:$F2446, 0)),IF(G339='Room Info'!$H$1, INDEX('Room Info'!$A$2:$A2446, MATCH(B339,'Room Info'!$H$2:$H2446, 0)),IF(G339='Room Info'!$G$1, INDEX('Room Info'!$A$2:$A2446, MATCH(B339,'Room Info'!$G$2:$G2446, 0)))))))))</f>
        <v>Kiss4money99</v>
      </c>
      <c r="B339" s="45" t="s">
        <v>120</v>
      </c>
      <c r="C339" s="46">
        <v>44490</v>
      </c>
      <c r="D339" s="46">
        <v>44520</v>
      </c>
      <c r="E339" s="47">
        <v>44501</v>
      </c>
      <c r="F339" s="48" t="s">
        <v>34</v>
      </c>
      <c r="G339" s="54" t="s">
        <v>35</v>
      </c>
      <c r="H339" s="49" t="s">
        <v>39</v>
      </c>
      <c r="I339" s="49" t="s">
        <v>37</v>
      </c>
      <c r="J339" s="50">
        <v>5</v>
      </c>
      <c r="K339" s="51">
        <v>1866</v>
      </c>
      <c r="L339" s="52">
        <v>420</v>
      </c>
      <c r="M339" s="53">
        <v>265</v>
      </c>
      <c r="N339" s="28">
        <f>K339*J339</f>
        <v>9330</v>
      </c>
      <c r="O339" s="54">
        <v>146072</v>
      </c>
      <c r="P339" s="29">
        <v>78.280814579999998</v>
      </c>
      <c r="Q339" s="55"/>
      <c r="R339" s="31">
        <f>M339+Q339</f>
        <v>265</v>
      </c>
      <c r="S339" s="56">
        <v>502</v>
      </c>
      <c r="T339" s="32">
        <f>R339+S339+IF(F339="Without EV deal",L339,0)</f>
        <v>767</v>
      </c>
      <c r="U339" s="57">
        <v>1</v>
      </c>
      <c r="V339" s="69">
        <v>5.0053533190578161</v>
      </c>
      <c r="W339" s="69">
        <v>153.03614973262032</v>
      </c>
      <c r="X339" s="30">
        <f>IF(AF339="DoEV",IF(AND(V339&lt;20,W339&lt;55),0.3,0)+IF(AND(V339&lt;20,W339&gt;=55,W339&lt;105),0.23,0)+IF(AND(V339&lt;20,W339&gt;=105),0.17,0)+IF(AND(V339&gt;=20,V339&lt;40,W339&lt;45),0.3,0)+IF(AND(V339&gt;=20,V339&lt;40,W339&gt;=45,W339&lt;95),0.23,0)+IF(AND(V339&gt;=20,V339&lt;40,W339&gt;=95),0.17,0)+IF(AND(V339&gt;=40,V339&lt;75,W339&lt;35),0.3,0)+IF(AND(V339&gt;=40,V339&lt;75,W339&gt;=35,W339&lt;75),0.23,0)+IF(AND(V339&gt;=40,V339&lt;75,W339&gt;=75,W339&lt;120),0.17,0)+IF(AND(V339&gt;=40,V339&lt;75,W339&gt;=120),0.12,0)+IF(AND(V339&gt;=75,V339&lt;175,W339&lt;35),0.3,0)+IF(AND(V339&gt;=75,V339&lt;=175,W339&gt;=35,W339&lt;65),0.23,0)+IF(AND(V339&gt;=75,V339&lt;=175,W339&gt;=65,W339&lt;110),0.17,0)+IF(AND(V339&gt;=75,V339&lt;=175,W339&gt;=110),0.12,0)+IF(AND(V339&gt;175,W339&lt;25),0.3,0)+IF(AND(V339&gt;175,W339&gt;=25,W339&lt;55),0.23,0)+IF(AND(V339&gt;175,W339&gt;=55,W339&lt;95),0.17,0)+IF(AND(V339&gt;175,W339&gt;=95),0.12,0),
IF(AF339="Fix15",0.15,
IF(AF339="Fix11.25",0.1125,
IF(AF339="Fix10",0.1,
IF(AF339="Fix9",0.09,
IF(AF339="DoEV2017",IF(AND(W339&lt;74),0.2,0)+IF(AND(W339&gt;=74),0.17,0),
IF(AF339="SF",IF(AND(V339&lt;20,W339&lt;89),0.3,0)+IF(AND(V339&lt;20,W339&gt;=89),0.25,0)+IF(AND(V339&gt;=20,V339&lt;40,W339&lt;74),0.3,0)+IF(AND(V339&gt;=20,V339&lt;40,W339&gt;=75),0.22,0)+IF(AND(V339&gt;=40,V339&lt;75,W339&lt;75),0.26,0)+IF(AND(V339&gt;=40,V339&lt;75,W339&gt;=75),0.22,0)+IF(V339&gt;=75,0.22,0),
IF(AF339="DoEVold",IF(AND(V339&lt;40,W339&lt;35),0.35,0)+IF(AND(V339&lt;40,W339&gt;=35,W339&lt;75),0.25,0)+IF(AND(V339&lt;40,W339&gt;=75),0.17,0)+IF(AND(V339&gt;=40,V339&lt;75,W339&lt;25),0.35,0)+IF(AND(V339&gt;=40,V339&lt;75,W339&gt;=25,W339&lt;65),0.25,0)+IF(AND(V339&gt;=40,V339&lt;75,W339&gt;=65,W339&lt;100),0.17,0)+IF(AND(V339&gt;=40,V339&lt;75,W339&gt;=100),0.1,0)+IF(AND(V339&gt;=75,W339&lt;25),0.35,0)+IF(AND(V339&gt;=75,W339&gt;=25,W339&lt;60),0.25,0)+IF(AND(V339&gt;=75,W339&gt;=60,W339&lt;95),0.17,0)+IF(AND(V339&gt;=75,W339&gt;=95),0.1,0),
IF(AF339="DoEVold15",IF(AND(V339&lt;=40,W339&lt;35),0.35,0)+IF(AND(V339&lt;=40,W339&gt;=35,W339&lt;75),0.25,0)+IF(AND(V339&lt;=40,W339&gt;=75,W339&lt;120),0.17,0)+IF(AND(V339&lt;=40,W339&gt;=120),0.15,0)+IF(AND(V339&gt;40,V339&lt;75,W339&lt;25),0.35,0)+IF(AND(V339&gt;=40,V339&lt;75,W339&gt;=25,W339&lt;65),0.25,0)+IF(AND(V339&gt;=40,V339&lt;75,W339&gt;=65,W339&lt;100),0.17,0)+IF(AND(V339&gt;=40,V339&lt;75,W339&gt;=100),0.1,0)+IF(AND(V339&gt;=75,W339&lt;25),0.35,0)+IF(AND(V339&gt;=75,W339&gt;=25,W339&lt;60),0.25,0)+IF(AND(V339&gt;=75,W339&gt;=60,W339&lt;95),0.17,0)+IF(AND(V339&gt;=75,W339&gt;=95),0.1,0),
IF(AF339="DoEVba",IF(AND(V339&lt;20,W339&lt;105),0.2,0)+IF(AND(V339&lt;20,W339&gt;=105),0.15,0)+IF(AND(V339&gt;=20,V339&lt;40,W339&lt;95),0.2,0)+IF(AND(V339&gt;=20,V339&lt;40,W339&gt;=95,W339&lt;150),0.15,0)+IF(AND(V339&gt;=20,V339&lt;40,W339&gt;=150),0.12,0)+IF(AND(V339&gt;=40,V339&lt;75,W339&lt;75),0.2,0)+IF(AND(V339&gt;=40,V339&lt;75,W339&gt;=75,W339&lt;120),0.15,0)+IF(AND(V339&gt;=40,V339&lt;75,W339&gt;=120),0.12,0)+IF(AND(V339&gt;=75,V339&lt;175,W339&lt;65),0.2,0)+IF(AND(V339&gt;=75,V339&lt;175,W339&gt;=65,W339&lt;110),0.15,0)+IF(AND(V339&gt;=75,V339&lt;175,W339&gt;=110),0.12,0)+IF(AND(V339&gt;=175,W339&lt;55),0.2,0)+IF(AND(V339&gt;=175,W339&gt;=55,W339&lt;95),0.15,0)+IF(AND(V339&gt;=175,W339&gt;=95),0.12,0),
IF(AF339="DoEVku",IF(AND(V339&lt;20,W339&lt;55),0.23,0)+IF(AND(V339&lt;20,W339&gt;=55,W339&lt;105),0.2,0)+IF(AND(V339&lt;20,W339&gt;=105),0.17,0)+IF(AND(V339&gt;=20,V339&lt;40,W339&lt;45),0.23,0)+IF(AND(V339&gt;=20,V339&lt;40,W339&gt;=45,W339&lt;95),0.2,0)+IF(AND(V339&gt;=20,V339&lt;40,W339&gt;=95,W339&lt;=150),0.17,0)+IF(AND(V339&gt;=20,V339&lt;40,W339&gt;=150),0.12,0)+IF(AND(V339&gt;=40,V339&lt;75,W339&lt;35),0.23,0)+IF(AND(V339&gt;=40,V339&lt;75,W339&gt;=35,W339&lt;75),0.2,0)+IF(AND(V339&gt;=40,V339&lt;75,W339&gt;=75,W339&lt;120),0.17,0)+IF(AND(V339&gt;=40,V339&lt;75,W339&gt;=120),0.12,0)+IF(AND(V339&gt;=75,V339&lt;175,W339&lt;35),0.23,0)+IF(AND(V339&gt;=75,V339&lt;=175,W339&gt;=35,W339&lt;65),0.2,0)+IF(AND(V339&gt;=75,V339&lt;=175,W339&gt;=65,W339&lt;110),0.17,0)+IF(AND(V339&gt;=75,V339&lt;=175,W339&gt;=110),0.12,0)+IF(AND(V339&gt;175,W339&lt;25),0.23,0)+IF(AND(V339&gt;175,W339&gt;=25,W339&lt;55),0.2,0)+IF(AND(V339&gt;175,W339&gt;=55,W339&lt;95),0.17,0)+IF(AND(V339&gt;175,W339&gt;=95),0.12,0),
IF(AF339="DoEVs1",IF(AND(V339&lt;20,W339&lt;55),0.3,0)+IF(AND(V339&lt;20,W339&gt;=55,W339&lt;105),0.23,0)+IF(AND(V339&lt;20,W339&gt;=105),0.17,0)+IF(AND(V339&gt;=20,V339&lt;40,W339&lt;45),0.3,0)+IF(AND(V339&gt;=20,V339&lt;40,W339&gt;=45,W339&lt;95),0.23,0)+IF(AND(V339&gt;=20,V339&lt;40,W339&gt;=95,W339&lt;=150),0.17,0)+IF(AND(V339&gt;=20,V339&lt;40,W339&gt;=150),0.12,0)+IF(AND(V339&gt;=40,V339&lt;75,W339&lt;35),0.3,0)+IF(AND(V339&gt;=40,V339&lt;75,W339&gt;=35,W339&lt;75),0.23,0)+IF(AND(V339&gt;=40,V339&lt;75,W339&gt;=75,W339&lt;120),0.17,0)+IF(AND(V339&gt;=40,V339&lt;75,W339&gt;=120),0.12,0)+IF(AND(V339&gt;=75,V339&lt;175,W339&lt;35),0.3,0)+IF(AND(V339&gt;=75,V339&lt;=175,W339&gt;=35,W339&lt;65),0.23,0)+IF(AND(V339&gt;=75,V339&lt;=175,W339&gt;=65,W339&lt;110),0.17,0)+IF(AND(V339&gt;=75,V339&lt;=175,W339&gt;=110),0.12,0)+IF(AND(V339&gt;175,W339&lt;25),0.3,0)+IF(AND(V339&gt;175,W339&gt;=25,W339&lt;55),0.23,0)+IF(AND(V339&gt;175,W339&gt;=55,W339&lt;95),0.17,0)+IF(AND(V339&gt;175,W339&gt;=95),0.12,0),
IF(AF339="DoEVsu",IF(AND(V339&lt;20,W339&lt;55),0.3,0)+IF(AND(V339&lt;20,W339&gt;=55,W339&lt;105),0.23,0)+IF(AND(V339&lt;20,W339&gt;=105),0.17,0)+IF(AND(V339&gt;=20,V339&lt;40,W339&lt;45),0.3,0)+IF(AND(V339&gt;=20,V339&lt;40,W339&gt;=45,W339&lt;95),0.23,0)+IF(AND(V339&gt;=20,V339&lt;40,W339&gt;=95,W339&lt;=250),0.17,0)+IF(AND(V339&gt;=20,V339&lt;40,W339&gt;=250),0.12,0)+IF(AND(V339&gt;=40,V339&lt;75,W339&lt;35),0.3,0)+IF(AND(V339&gt;=40,V339&lt;75,W339&gt;=35,W339&lt;75),0.23,0)+IF(AND(V339&gt;=40,V339&lt;75,W339&gt;=75,W339&lt;120),0.17,0)+IF(AND(V339&gt;=40,V339&lt;75,W339&gt;=120),0.12,0)+IF(AND(V339&gt;=75,V339&lt;175,W339&lt;35),0.3,0)+IF(AND(V339&gt;=75,V339&lt;=175,W339&gt;=35,W339&lt;65),0.23,0)+IF(AND(V339&gt;=75,V339&lt;=175,W339&gt;=65,W339&lt;110),0.17,0)+IF(AND(V339&gt;=75,V339&lt;=175,W339&gt;=110),0.12,0)+IF(AND(V339&gt;175,W339&lt;25),0.3,0)+IF(AND(V339&gt;175,W339&gt;=25,W339&lt;55),0.23,0)+IF(AND(V339&gt;175,W339&gt;=55,W339&lt;95),0.17,0)+IF(AND(V339&gt;175,W339&gt;=95),0.12,0),
IF(AF339="DoEVni",IF(AND(V339&lt;20,W339&lt;55),0.3,0)+IF(AND(V339&lt;20,W339&gt;=55,W339&lt;105),0.23,0)+IF(AND(V339&lt;20,W339&gt;=105),0.17,0)+IF(AND(V339&gt;=20,V339&lt;40,W339&lt;45),0.3,0)+IF(AND(V339&gt;=20,V339&lt;40,W339&gt;=45,W339&lt;95),0.23,0)+IF(AND(V339&gt;=20,V339&lt;40,W339&gt;=95,W339&lt;=200),0.17,0)+IF(AND(V339&gt;=20,V339&lt;40,W339&gt;=200),0.12,0)+IF(AND(V339&gt;=40,V339&lt;75,W339&lt;35),0.3,0)+IF(AND(V339&gt;=40,V339&lt;75,W339&gt;=35,W339&lt;75),0.23,0)+IF(AND(V339&gt;=40,V339&lt;75,W339&gt;=75,W339&lt;120),0.17,0)+IF(AND(V339&gt;=40,V339&lt;75,W339&gt;=120),0.12,0)+IF(AND(V339&gt;=75,V339&lt;175,W339&lt;35),0.3,0)+IF(AND(V339&gt;=75,V339&lt;=175,W339&gt;=35,W339&lt;65),0.23,0)+IF(AND(V339&gt;=75,V339&lt;=175,W339&gt;=65,W339&lt;110),0.17,0)+IF(AND(V339&gt;=75,V339&lt;=175,W339&gt;=110),0.12,0)+IF(AND(V339&gt;175,W339&lt;25),0.3,0)+IF(AND(V339&gt;175,W339&gt;=25,W339&lt;55),0.23,0)+IF(AND(V339&gt;175,W339&gt;=55,W339&lt;95),0.17,0)+IF(AND(V339&gt;175,W339&gt;=95),0.12,0),
IF(AF339="DoEVLo",IF(AND(V339&lt;20,W339&lt;55),0.25,0)+IF(AND(V339&lt;20,W339&gt;=55,W339&lt;105),0.2,0)+IF(AND(V339&lt;20,W339&gt;=105),0.15,0)+IF(AND(V339&gt;=20,V339&lt;40,W339&lt;45),0.25,0)+IF(AND(V339&gt;=20,V339&lt;40,W339&gt;=45,W339&lt;95),0.2,0)+IF(AND(V339&gt;=20,V339&lt;40,W339&gt;=95),0.15,0)+IF(AND(V339&gt;=40,V339&lt;75,W339&lt;35),0.25,0)+IF(AND(V339&gt;=40,V339&lt;75,W339&gt;=35,W339&lt;75),0.2,0)+IF(AND(V339&gt;=40,V339&lt;75,W339&gt;=75,W339&lt;120),0.15,0)+IF(AND(V339&gt;=40,V339&lt;75,W339&gt;=120),0.1,0)+IF(AND(V339&gt;=75,V339&lt;175,W339&lt;35),0.25,0)+IF(AND(V339&gt;=75,V339&lt;=175,W339&gt;=35,W339&lt;65),0.2,0)+IF(AND(V339&gt;=75,V339&lt;=175,W339&gt;=65,W339&lt;110),0.15,0)+IF(AND(V339&gt;=75,V339&lt;=175,W339&gt;=110),0.1,0)+IF(AND(V339&gt;175,W339&lt;25),0.25,0)+IF(AND(V339&gt;175,W339&gt;=25,W339&lt;55),0.2,0)+IF(AND(V339&gt;175,W339&gt;=55,W339&lt;95),0.15,0)+IF(AND(V339&gt;175,W339&gt;=95),0.1,0))))))))))))))))</f>
        <v>0.25</v>
      </c>
      <c r="Y339" s="30">
        <f>IF(AG339="None",0,IF(AG339="Fix5",0.05,IF(AG339="Fix3.75",0.0375,IF(AG339="Fix10",0.1,IF(AG339="Fix3",0.03,0)))))</f>
        <v>0</v>
      </c>
      <c r="Z339" s="35">
        <f>T339-AA339-AB339</f>
        <v>575.25</v>
      </c>
      <c r="AA339" s="29">
        <f>IF(AD339="EUR",((T339-R339)*X339)*U339+(R339*X339),(T339*X339))</f>
        <v>191.75</v>
      </c>
      <c r="AB339" s="36">
        <f>IF(AD339="EUR",((T339-R339)*Y339)*U339+(R339*Y339),(T339*Y339))</f>
        <v>0</v>
      </c>
      <c r="AC339" s="37" t="b">
        <v>1</v>
      </c>
      <c r="AD339" s="37" t="s">
        <v>38</v>
      </c>
      <c r="AE339" s="37" t="s">
        <v>38</v>
      </c>
      <c r="AF339" s="37" t="str">
        <f t="array" ref="AF339">INDEX('Deal Info'!D:D, MATCH(A339,'Deal Info'!A:A, 0))</f>
        <v>SF</v>
      </c>
      <c r="AG339" s="38" t="str">
        <f t="array" ref="AG339">INDEX('Deal Info'!G:G, MATCH(A339,'Deal Info'!A:A, 0))</f>
        <v>None</v>
      </c>
    </row>
    <row r="340" spans="1:33" ht="14.25" hidden="1" x14ac:dyDescent="0.2">
      <c r="A340" s="18" t="str">
        <f t="array" ref="A340">IF(G340='Room Info'!$B$1, INDEX('Room Info'!$A$2:$A2446, MATCH(B340,'Room Info'!$B$2:$B2446, 0)),IF(G340='Room Info'!$C$1, INDEX('Room Info'!$A$2:$A2446, MATCH(B340,'Room Info'!$C$2:$C2446, 0)),IF(G340='Room Info'!$D$1, INDEX('Room Info'!$A$2:$A2446, MATCH(B340,'Room Info'!$D$2:$D2446, 0)),IF(G340='Room Info'!$E$1, INDEX('Room Info'!$A$2:$A2446, MATCH(B340,'Room Info'!$E$2:$E2446, 0)),IF(G340='Room Info'!$F$1, INDEX('Room Info'!$A$2:$A2446, MATCH(B340,'Room Info'!$F$2:$F2446, 0)),IF(G340='Room Info'!$H$1, INDEX('Room Info'!$A$2:$A2446, MATCH(B340,'Room Info'!$H$2:$H2446, 0)),IF(G340='Room Info'!$G$1, INDEX('Room Info'!$A$2:$A2446, MATCH(B340,'Room Info'!$G$2:$G2446, 0)))))))))</f>
        <v>Kiss4money99</v>
      </c>
      <c r="B340" s="45" t="s">
        <v>120</v>
      </c>
      <c r="C340" s="46">
        <v>44490</v>
      </c>
      <c r="D340" s="46">
        <v>44520</v>
      </c>
      <c r="E340" s="47">
        <v>44501</v>
      </c>
      <c r="F340" s="48" t="s">
        <v>34</v>
      </c>
      <c r="G340" s="45" t="s">
        <v>35</v>
      </c>
      <c r="H340" s="49" t="s">
        <v>40</v>
      </c>
      <c r="I340" s="49" t="s">
        <v>37</v>
      </c>
      <c r="J340" s="50">
        <v>10</v>
      </c>
      <c r="K340" s="51">
        <v>2</v>
      </c>
      <c r="L340" s="52">
        <v>-20</v>
      </c>
      <c r="M340" s="62"/>
      <c r="N340" s="28">
        <f>K340*J340</f>
        <v>20</v>
      </c>
      <c r="O340" s="54">
        <v>3</v>
      </c>
      <c r="P340" s="29">
        <v>1.5</v>
      </c>
      <c r="Q340" s="55"/>
      <c r="R340" s="31">
        <f>M340+Q340</f>
        <v>0</v>
      </c>
      <c r="S340" s="56">
        <v>-1</v>
      </c>
      <c r="T340" s="32">
        <f>R340+S340+IF(F340="Without EV deal",L340,0)</f>
        <v>-1</v>
      </c>
      <c r="U340" s="57">
        <v>1</v>
      </c>
      <c r="V340" s="69">
        <v>5.0053533190578161</v>
      </c>
      <c r="W340" s="69">
        <v>153.03614973262032</v>
      </c>
      <c r="X340" s="30">
        <f>IF(AF340="DoEV",IF(AND(V340&lt;20,W340&lt;55),0.3,0)+IF(AND(V340&lt;20,W340&gt;=55,W340&lt;105),0.23,0)+IF(AND(V340&lt;20,W340&gt;=105),0.17,0)+IF(AND(V340&gt;=20,V340&lt;40,W340&lt;45),0.3,0)+IF(AND(V340&gt;=20,V340&lt;40,W340&gt;=45,W340&lt;95),0.23,0)+IF(AND(V340&gt;=20,V340&lt;40,W340&gt;=95),0.17,0)+IF(AND(V340&gt;=40,V340&lt;75,W340&lt;35),0.3,0)+IF(AND(V340&gt;=40,V340&lt;75,W340&gt;=35,W340&lt;75),0.23,0)+IF(AND(V340&gt;=40,V340&lt;75,W340&gt;=75,W340&lt;120),0.17,0)+IF(AND(V340&gt;=40,V340&lt;75,W340&gt;=120),0.12,0)+IF(AND(V340&gt;=75,V340&lt;175,W340&lt;35),0.3,0)+IF(AND(V340&gt;=75,V340&lt;=175,W340&gt;=35,W340&lt;65),0.23,0)+IF(AND(V340&gt;=75,V340&lt;=175,W340&gt;=65,W340&lt;110),0.17,0)+IF(AND(V340&gt;=75,V340&lt;=175,W340&gt;=110),0.12,0)+IF(AND(V340&gt;175,W340&lt;25),0.3,0)+IF(AND(V340&gt;175,W340&gt;=25,W340&lt;55),0.23,0)+IF(AND(V340&gt;175,W340&gt;=55,W340&lt;95),0.17,0)+IF(AND(V340&gt;175,W340&gt;=95),0.12,0),
IF(AF340="Fix15",0.15,
IF(AF340="Fix11.25",0.1125,
IF(AF340="Fix10",0.1,
IF(AF340="Fix9",0.09,
IF(AF340="DoEV2017",IF(AND(W340&lt;74),0.2,0)+IF(AND(W340&gt;=74),0.17,0),
IF(AF340="SF",IF(AND(V340&lt;20,W340&lt;89),0.3,0)+IF(AND(V340&lt;20,W340&gt;=89),0.25,0)+IF(AND(V340&gt;=20,V340&lt;40,W340&lt;74),0.3,0)+IF(AND(V340&gt;=20,V340&lt;40,W340&gt;=75),0.22,0)+IF(AND(V340&gt;=40,V340&lt;75,W340&lt;75),0.26,0)+IF(AND(V340&gt;=40,V340&lt;75,W340&gt;=75),0.22,0)+IF(V340&gt;=75,0.22,0),
IF(AF340="DoEVold",IF(AND(V340&lt;40,W340&lt;35),0.35,0)+IF(AND(V340&lt;40,W340&gt;=35,W340&lt;75),0.25,0)+IF(AND(V340&lt;40,W340&gt;=75),0.17,0)+IF(AND(V340&gt;=40,V340&lt;75,W340&lt;25),0.35,0)+IF(AND(V340&gt;=40,V340&lt;75,W340&gt;=25,W340&lt;65),0.25,0)+IF(AND(V340&gt;=40,V340&lt;75,W340&gt;=65,W340&lt;100),0.17,0)+IF(AND(V340&gt;=40,V340&lt;75,W340&gt;=100),0.1,0)+IF(AND(V340&gt;=75,W340&lt;25),0.35,0)+IF(AND(V340&gt;=75,W340&gt;=25,W340&lt;60),0.25,0)+IF(AND(V340&gt;=75,W340&gt;=60,W340&lt;95),0.17,0)+IF(AND(V340&gt;=75,W340&gt;=95),0.1,0),
IF(AF340="DoEVold15",IF(AND(V340&lt;=40,W340&lt;35),0.35,0)+IF(AND(V340&lt;=40,W340&gt;=35,W340&lt;75),0.25,0)+IF(AND(V340&lt;=40,W340&gt;=75,W340&lt;120),0.17,0)+IF(AND(V340&lt;=40,W340&gt;=120),0.15,0)+IF(AND(V340&gt;40,V340&lt;75,W340&lt;25),0.35,0)+IF(AND(V340&gt;=40,V340&lt;75,W340&gt;=25,W340&lt;65),0.25,0)+IF(AND(V340&gt;=40,V340&lt;75,W340&gt;=65,W340&lt;100),0.17,0)+IF(AND(V340&gt;=40,V340&lt;75,W340&gt;=100),0.1,0)+IF(AND(V340&gt;=75,W340&lt;25),0.35,0)+IF(AND(V340&gt;=75,W340&gt;=25,W340&lt;60),0.25,0)+IF(AND(V340&gt;=75,W340&gt;=60,W340&lt;95),0.17,0)+IF(AND(V340&gt;=75,W340&gt;=95),0.1,0),
IF(AF340="DoEVba",IF(AND(V340&lt;20,W340&lt;105),0.2,0)+IF(AND(V340&lt;20,W340&gt;=105),0.15,0)+IF(AND(V340&gt;=20,V340&lt;40,W340&lt;95),0.2,0)+IF(AND(V340&gt;=20,V340&lt;40,W340&gt;=95,W340&lt;150),0.15,0)+IF(AND(V340&gt;=20,V340&lt;40,W340&gt;=150),0.12,0)+IF(AND(V340&gt;=40,V340&lt;75,W340&lt;75),0.2,0)+IF(AND(V340&gt;=40,V340&lt;75,W340&gt;=75,W340&lt;120),0.15,0)+IF(AND(V340&gt;=40,V340&lt;75,W340&gt;=120),0.12,0)+IF(AND(V340&gt;=75,V340&lt;175,W340&lt;65),0.2,0)+IF(AND(V340&gt;=75,V340&lt;175,W340&gt;=65,W340&lt;110),0.15,0)+IF(AND(V340&gt;=75,V340&lt;175,W340&gt;=110),0.12,0)+IF(AND(V340&gt;=175,W340&lt;55),0.2,0)+IF(AND(V340&gt;=175,W340&gt;=55,W340&lt;95),0.15,0)+IF(AND(V340&gt;=175,W340&gt;=95),0.12,0),
IF(AF340="DoEVku",IF(AND(V340&lt;20,W340&lt;55),0.23,0)+IF(AND(V340&lt;20,W340&gt;=55,W340&lt;105),0.2,0)+IF(AND(V340&lt;20,W340&gt;=105),0.17,0)+IF(AND(V340&gt;=20,V340&lt;40,W340&lt;45),0.23,0)+IF(AND(V340&gt;=20,V340&lt;40,W340&gt;=45,W340&lt;95),0.2,0)+IF(AND(V340&gt;=20,V340&lt;40,W340&gt;=95,W340&lt;=150),0.17,0)+IF(AND(V340&gt;=20,V340&lt;40,W340&gt;=150),0.12,0)+IF(AND(V340&gt;=40,V340&lt;75,W340&lt;35),0.23,0)+IF(AND(V340&gt;=40,V340&lt;75,W340&gt;=35,W340&lt;75),0.2,0)+IF(AND(V340&gt;=40,V340&lt;75,W340&gt;=75,W340&lt;120),0.17,0)+IF(AND(V340&gt;=40,V340&lt;75,W340&gt;=120),0.12,0)+IF(AND(V340&gt;=75,V340&lt;175,W340&lt;35),0.23,0)+IF(AND(V340&gt;=75,V340&lt;=175,W340&gt;=35,W340&lt;65),0.2,0)+IF(AND(V340&gt;=75,V340&lt;=175,W340&gt;=65,W340&lt;110),0.17,0)+IF(AND(V340&gt;=75,V340&lt;=175,W340&gt;=110),0.12,0)+IF(AND(V340&gt;175,W340&lt;25),0.23,0)+IF(AND(V340&gt;175,W340&gt;=25,W340&lt;55),0.2,0)+IF(AND(V340&gt;175,W340&gt;=55,W340&lt;95),0.17,0)+IF(AND(V340&gt;175,W340&gt;=95),0.12,0),
IF(AF340="DoEVs1",IF(AND(V340&lt;20,W340&lt;55),0.3,0)+IF(AND(V340&lt;20,W340&gt;=55,W340&lt;105),0.23,0)+IF(AND(V340&lt;20,W340&gt;=105),0.17,0)+IF(AND(V340&gt;=20,V340&lt;40,W340&lt;45),0.3,0)+IF(AND(V340&gt;=20,V340&lt;40,W340&gt;=45,W340&lt;95),0.23,0)+IF(AND(V340&gt;=20,V340&lt;40,W340&gt;=95,W340&lt;=150),0.17,0)+IF(AND(V340&gt;=20,V340&lt;40,W340&gt;=150),0.12,0)+IF(AND(V340&gt;=40,V340&lt;75,W340&lt;35),0.3,0)+IF(AND(V340&gt;=40,V340&lt;75,W340&gt;=35,W340&lt;75),0.23,0)+IF(AND(V340&gt;=40,V340&lt;75,W340&gt;=75,W340&lt;120),0.17,0)+IF(AND(V340&gt;=40,V340&lt;75,W340&gt;=120),0.12,0)+IF(AND(V340&gt;=75,V340&lt;175,W340&lt;35),0.3,0)+IF(AND(V340&gt;=75,V340&lt;=175,W340&gt;=35,W340&lt;65),0.23,0)+IF(AND(V340&gt;=75,V340&lt;=175,W340&gt;=65,W340&lt;110),0.17,0)+IF(AND(V340&gt;=75,V340&lt;=175,W340&gt;=110),0.12,0)+IF(AND(V340&gt;175,W340&lt;25),0.3,0)+IF(AND(V340&gt;175,W340&gt;=25,W340&lt;55),0.23,0)+IF(AND(V340&gt;175,W340&gt;=55,W340&lt;95),0.17,0)+IF(AND(V340&gt;175,W340&gt;=95),0.12,0),
IF(AF340="DoEVsu",IF(AND(V340&lt;20,W340&lt;55),0.3,0)+IF(AND(V340&lt;20,W340&gt;=55,W340&lt;105),0.23,0)+IF(AND(V340&lt;20,W340&gt;=105),0.17,0)+IF(AND(V340&gt;=20,V340&lt;40,W340&lt;45),0.3,0)+IF(AND(V340&gt;=20,V340&lt;40,W340&gt;=45,W340&lt;95),0.23,0)+IF(AND(V340&gt;=20,V340&lt;40,W340&gt;=95,W340&lt;=250),0.17,0)+IF(AND(V340&gt;=20,V340&lt;40,W340&gt;=250),0.12,0)+IF(AND(V340&gt;=40,V340&lt;75,W340&lt;35),0.3,0)+IF(AND(V340&gt;=40,V340&lt;75,W340&gt;=35,W340&lt;75),0.23,0)+IF(AND(V340&gt;=40,V340&lt;75,W340&gt;=75,W340&lt;120),0.17,0)+IF(AND(V340&gt;=40,V340&lt;75,W340&gt;=120),0.12,0)+IF(AND(V340&gt;=75,V340&lt;175,W340&lt;35),0.3,0)+IF(AND(V340&gt;=75,V340&lt;=175,W340&gt;=35,W340&lt;65),0.23,0)+IF(AND(V340&gt;=75,V340&lt;=175,W340&gt;=65,W340&lt;110),0.17,0)+IF(AND(V340&gt;=75,V340&lt;=175,W340&gt;=110),0.12,0)+IF(AND(V340&gt;175,W340&lt;25),0.3,0)+IF(AND(V340&gt;175,W340&gt;=25,W340&lt;55),0.23,0)+IF(AND(V340&gt;175,W340&gt;=55,W340&lt;95),0.17,0)+IF(AND(V340&gt;175,W340&gt;=95),0.12,0),
IF(AF340="DoEVni",IF(AND(V340&lt;20,W340&lt;55),0.3,0)+IF(AND(V340&lt;20,W340&gt;=55,W340&lt;105),0.23,0)+IF(AND(V340&lt;20,W340&gt;=105),0.17,0)+IF(AND(V340&gt;=20,V340&lt;40,W340&lt;45),0.3,0)+IF(AND(V340&gt;=20,V340&lt;40,W340&gt;=45,W340&lt;95),0.23,0)+IF(AND(V340&gt;=20,V340&lt;40,W340&gt;=95,W340&lt;=200),0.17,0)+IF(AND(V340&gt;=20,V340&lt;40,W340&gt;=200),0.12,0)+IF(AND(V340&gt;=40,V340&lt;75,W340&lt;35),0.3,0)+IF(AND(V340&gt;=40,V340&lt;75,W340&gt;=35,W340&lt;75),0.23,0)+IF(AND(V340&gt;=40,V340&lt;75,W340&gt;=75,W340&lt;120),0.17,0)+IF(AND(V340&gt;=40,V340&lt;75,W340&gt;=120),0.12,0)+IF(AND(V340&gt;=75,V340&lt;175,W340&lt;35),0.3,0)+IF(AND(V340&gt;=75,V340&lt;=175,W340&gt;=35,W340&lt;65),0.23,0)+IF(AND(V340&gt;=75,V340&lt;=175,W340&gt;=65,W340&lt;110),0.17,0)+IF(AND(V340&gt;=75,V340&lt;=175,W340&gt;=110),0.12,0)+IF(AND(V340&gt;175,W340&lt;25),0.3,0)+IF(AND(V340&gt;175,W340&gt;=25,W340&lt;55),0.23,0)+IF(AND(V340&gt;175,W340&gt;=55,W340&lt;95),0.17,0)+IF(AND(V340&gt;175,W340&gt;=95),0.12,0),
IF(AF340="DoEVLo",IF(AND(V340&lt;20,W340&lt;55),0.25,0)+IF(AND(V340&lt;20,W340&gt;=55,W340&lt;105),0.2,0)+IF(AND(V340&lt;20,W340&gt;=105),0.15,0)+IF(AND(V340&gt;=20,V340&lt;40,W340&lt;45),0.25,0)+IF(AND(V340&gt;=20,V340&lt;40,W340&gt;=45,W340&lt;95),0.2,0)+IF(AND(V340&gt;=20,V340&lt;40,W340&gt;=95),0.15,0)+IF(AND(V340&gt;=40,V340&lt;75,W340&lt;35),0.25,0)+IF(AND(V340&gt;=40,V340&lt;75,W340&gt;=35,W340&lt;75),0.2,0)+IF(AND(V340&gt;=40,V340&lt;75,W340&gt;=75,W340&lt;120),0.15,0)+IF(AND(V340&gt;=40,V340&lt;75,W340&gt;=120),0.1,0)+IF(AND(V340&gt;=75,V340&lt;175,W340&lt;35),0.25,0)+IF(AND(V340&gt;=75,V340&lt;=175,W340&gt;=35,W340&lt;65),0.2,0)+IF(AND(V340&gt;=75,V340&lt;=175,W340&gt;=65,W340&lt;110),0.15,0)+IF(AND(V340&gt;=75,V340&lt;=175,W340&gt;=110),0.1,0)+IF(AND(V340&gt;175,W340&lt;25),0.25,0)+IF(AND(V340&gt;175,W340&gt;=25,W340&lt;55),0.2,0)+IF(AND(V340&gt;175,W340&gt;=55,W340&lt;95),0.15,0)+IF(AND(V340&gt;175,W340&gt;=95),0.1,0))))))))))))))))</f>
        <v>0.25</v>
      </c>
      <c r="Y340" s="30">
        <f>IF(AG340="None",0,IF(AG340="Fix5",0.05,IF(AG340="Fix3.75",0.0375,IF(AG340="Fix10",0.1,IF(AG340="Fix3",0.03,0)))))</f>
        <v>0</v>
      </c>
      <c r="Z340" s="35">
        <f>T340-AA340-AB340</f>
        <v>-0.75</v>
      </c>
      <c r="AA340" s="29">
        <f>IF(AD340="EUR",((T340-R340)*X340)*U340+(R340*X340),(T340*X340))</f>
        <v>-0.25</v>
      </c>
      <c r="AB340" s="36">
        <f>IF(AD340="EUR",((T340-R340)*Y340)*U340+(R340*Y340),(T340*Y340))</f>
        <v>0</v>
      </c>
      <c r="AC340" s="37" t="b">
        <v>1</v>
      </c>
      <c r="AD340" s="37" t="s">
        <v>38</v>
      </c>
      <c r="AE340" s="37" t="s">
        <v>38</v>
      </c>
      <c r="AF340" s="37" t="str">
        <f t="array" ref="AF340">INDEX('Deal Info'!D:D, MATCH(A340,'Deal Info'!A:A, 0))</f>
        <v>SF</v>
      </c>
      <c r="AG340" s="38" t="str">
        <f t="array" ref="AG340">INDEX('Deal Info'!G:G, MATCH(A340,'Deal Info'!A:A, 0))</f>
        <v>None</v>
      </c>
    </row>
    <row r="341" spans="1:33" ht="14.25" hidden="1" x14ac:dyDescent="0.2">
      <c r="A341" s="18" t="str">
        <f t="array" ref="A341">IF(G341='Room Info'!$B$1, INDEX('Room Info'!$A$2:$A2446, MATCH(B341,'Room Info'!$B$2:$B2446, 0)),IF(G341='Room Info'!$C$1, INDEX('Room Info'!$A$2:$A2446, MATCH(B341,'Room Info'!$C$2:$C2446, 0)),IF(G341='Room Info'!$D$1, INDEX('Room Info'!$A$2:$A2446, MATCH(B341,'Room Info'!$D$2:$D2446, 0)),IF(G341='Room Info'!$E$1, INDEX('Room Info'!$A$2:$A2446, MATCH(B341,'Room Info'!$E$2:$E2446, 0)),IF(G341='Room Info'!$F$1, INDEX('Room Info'!$A$2:$A2446, MATCH(B341,'Room Info'!$F$2:$F2446, 0)),IF(G341='Room Info'!$H$1, INDEX('Room Info'!$A$2:$A2446, MATCH(B341,'Room Info'!$H$2:$H2446, 0)),IF(G341='Room Info'!$G$1, INDEX('Room Info'!$A$2:$A2446, MATCH(B341,'Room Info'!$G$2:$G2446, 0)))))))))</f>
        <v>Kiss4money99</v>
      </c>
      <c r="B341" s="45" t="s">
        <v>120</v>
      </c>
      <c r="C341" s="46">
        <v>44521</v>
      </c>
      <c r="D341" s="46">
        <v>44550</v>
      </c>
      <c r="E341" s="47">
        <v>44531</v>
      </c>
      <c r="F341" s="48" t="s">
        <v>34</v>
      </c>
      <c r="G341" s="45" t="s">
        <v>35</v>
      </c>
      <c r="H341" s="49" t="s">
        <v>39</v>
      </c>
      <c r="I341" s="49" t="s">
        <v>37</v>
      </c>
      <c r="J341" s="70">
        <v>5</v>
      </c>
      <c r="K341" s="71">
        <v>28</v>
      </c>
      <c r="L341" s="52">
        <v>50</v>
      </c>
      <c r="M341" s="53">
        <v>4</v>
      </c>
      <c r="N341" s="28">
        <f>K341*J341</f>
        <v>140</v>
      </c>
      <c r="O341" s="54">
        <v>846</v>
      </c>
      <c r="P341" s="29">
        <v>30.214285709999999</v>
      </c>
      <c r="Q341" s="55"/>
      <c r="R341" s="31">
        <f>M341+Q341</f>
        <v>4</v>
      </c>
      <c r="S341" s="56">
        <v>-5</v>
      </c>
      <c r="T341" s="32">
        <f>R341+S341+IF(F341="Without EV deal",L341,0)</f>
        <v>-1</v>
      </c>
      <c r="U341" s="57">
        <v>1</v>
      </c>
      <c r="V341" s="69">
        <v>9.9170124481327804</v>
      </c>
      <c r="W341" s="69">
        <v>35.393723849372385</v>
      </c>
      <c r="X341" s="30">
        <f>IF(AF341="DoEV",IF(AND(V341&lt;20,W341&lt;55),0.3,0)+IF(AND(V341&lt;20,W341&gt;=55,W341&lt;105),0.23,0)+IF(AND(V341&lt;20,W341&gt;=105),0.17,0)+IF(AND(V341&gt;=20,V341&lt;40,W341&lt;45),0.3,0)+IF(AND(V341&gt;=20,V341&lt;40,W341&gt;=45,W341&lt;95),0.23,0)+IF(AND(V341&gt;=20,V341&lt;40,W341&gt;=95),0.17,0)+IF(AND(V341&gt;=40,V341&lt;75,W341&lt;35),0.3,0)+IF(AND(V341&gt;=40,V341&lt;75,W341&gt;=35,W341&lt;75),0.23,0)+IF(AND(V341&gt;=40,V341&lt;75,W341&gt;=75,W341&lt;120),0.17,0)+IF(AND(V341&gt;=40,V341&lt;75,W341&gt;=120),0.12,0)+IF(AND(V341&gt;=75,V341&lt;175,W341&lt;35),0.3,0)+IF(AND(V341&gt;=75,V341&lt;=175,W341&gt;=35,W341&lt;65),0.23,0)+IF(AND(V341&gt;=75,V341&lt;=175,W341&gt;=65,W341&lt;110),0.17,0)+IF(AND(V341&gt;=75,V341&lt;=175,W341&gt;=110),0.12,0)+IF(AND(V341&gt;175,W341&lt;25),0.3,0)+IF(AND(V341&gt;175,W341&gt;=25,W341&lt;55),0.23,0)+IF(AND(V341&gt;175,W341&gt;=55,W341&lt;95),0.17,0)+IF(AND(V341&gt;175,W341&gt;=95),0.12,0),
IF(AF341="Fix15",0.15,
IF(AF341="Fix11.25",0.1125,
IF(AF341="Fix10",0.1,
IF(AF341="Fix9",0.09,
IF(AF341="DoEV2017",IF(AND(W341&lt;74),0.2,0)+IF(AND(W341&gt;=74),0.17,0),
IF(AF341="SF",IF(AND(V341&lt;20,W341&lt;89),0.3,0)+IF(AND(V341&lt;20,W341&gt;=89),0.25,0)+IF(AND(V341&gt;=20,V341&lt;40,W341&lt;74),0.3,0)+IF(AND(V341&gt;=20,V341&lt;40,W341&gt;=75),0.22,0)+IF(AND(V341&gt;=40,V341&lt;75,W341&lt;75),0.26,0)+IF(AND(V341&gt;=40,V341&lt;75,W341&gt;=75),0.22,0)+IF(V341&gt;=75,0.22,0),
IF(AF341="DoEVold",IF(AND(V341&lt;40,W341&lt;35),0.35,0)+IF(AND(V341&lt;40,W341&gt;=35,W341&lt;75),0.25,0)+IF(AND(V341&lt;40,W341&gt;=75),0.17,0)+IF(AND(V341&gt;=40,V341&lt;75,W341&lt;25),0.35,0)+IF(AND(V341&gt;=40,V341&lt;75,W341&gt;=25,W341&lt;65),0.25,0)+IF(AND(V341&gt;=40,V341&lt;75,W341&gt;=65,W341&lt;100),0.17,0)+IF(AND(V341&gt;=40,V341&lt;75,W341&gt;=100),0.1,0)+IF(AND(V341&gt;=75,W341&lt;25),0.35,0)+IF(AND(V341&gt;=75,W341&gt;=25,W341&lt;60),0.25,0)+IF(AND(V341&gt;=75,W341&gt;=60,W341&lt;95),0.17,0)+IF(AND(V341&gt;=75,W341&gt;=95),0.1,0),
IF(AF341="DoEVold15",IF(AND(V341&lt;=40,W341&lt;35),0.35,0)+IF(AND(V341&lt;=40,W341&gt;=35,W341&lt;75),0.25,0)+IF(AND(V341&lt;=40,W341&gt;=75,W341&lt;120),0.17,0)+IF(AND(V341&lt;=40,W341&gt;=120),0.15,0)+IF(AND(V341&gt;40,V341&lt;75,W341&lt;25),0.35,0)+IF(AND(V341&gt;=40,V341&lt;75,W341&gt;=25,W341&lt;65),0.25,0)+IF(AND(V341&gt;=40,V341&lt;75,W341&gt;=65,W341&lt;100),0.17,0)+IF(AND(V341&gt;=40,V341&lt;75,W341&gt;=100),0.1,0)+IF(AND(V341&gt;=75,W341&lt;25),0.35,0)+IF(AND(V341&gt;=75,W341&gt;=25,W341&lt;60),0.25,0)+IF(AND(V341&gt;=75,W341&gt;=60,W341&lt;95),0.17,0)+IF(AND(V341&gt;=75,W341&gt;=95),0.1,0),
IF(AF341="DoEVba",IF(AND(V341&lt;20,W341&lt;105),0.2,0)+IF(AND(V341&lt;20,W341&gt;=105),0.15,0)+IF(AND(V341&gt;=20,V341&lt;40,W341&lt;95),0.2,0)+IF(AND(V341&gt;=20,V341&lt;40,W341&gt;=95,W341&lt;150),0.15,0)+IF(AND(V341&gt;=20,V341&lt;40,W341&gt;=150),0.12,0)+IF(AND(V341&gt;=40,V341&lt;75,W341&lt;75),0.2,0)+IF(AND(V341&gt;=40,V341&lt;75,W341&gt;=75,W341&lt;120),0.15,0)+IF(AND(V341&gt;=40,V341&lt;75,W341&gt;=120),0.12,0)+IF(AND(V341&gt;=75,V341&lt;175,W341&lt;65),0.2,0)+IF(AND(V341&gt;=75,V341&lt;175,W341&gt;=65,W341&lt;110),0.15,0)+IF(AND(V341&gt;=75,V341&lt;175,W341&gt;=110),0.12,0)+IF(AND(V341&gt;=175,W341&lt;55),0.2,0)+IF(AND(V341&gt;=175,W341&gt;=55,W341&lt;95),0.15,0)+IF(AND(V341&gt;=175,W341&gt;=95),0.12,0),
IF(AF341="DoEVku",IF(AND(V341&lt;20,W341&lt;55),0.23,0)+IF(AND(V341&lt;20,W341&gt;=55,W341&lt;105),0.2,0)+IF(AND(V341&lt;20,W341&gt;=105),0.17,0)+IF(AND(V341&gt;=20,V341&lt;40,W341&lt;45),0.23,0)+IF(AND(V341&gt;=20,V341&lt;40,W341&gt;=45,W341&lt;95),0.2,0)+IF(AND(V341&gt;=20,V341&lt;40,W341&gt;=95,W341&lt;=150),0.17,0)+IF(AND(V341&gt;=20,V341&lt;40,W341&gt;=150),0.12,0)+IF(AND(V341&gt;=40,V341&lt;75,W341&lt;35),0.23,0)+IF(AND(V341&gt;=40,V341&lt;75,W341&gt;=35,W341&lt;75),0.2,0)+IF(AND(V341&gt;=40,V341&lt;75,W341&gt;=75,W341&lt;120),0.17,0)+IF(AND(V341&gt;=40,V341&lt;75,W341&gt;=120),0.12,0)+IF(AND(V341&gt;=75,V341&lt;175,W341&lt;35),0.23,0)+IF(AND(V341&gt;=75,V341&lt;=175,W341&gt;=35,W341&lt;65),0.2,0)+IF(AND(V341&gt;=75,V341&lt;=175,W341&gt;=65,W341&lt;110),0.17,0)+IF(AND(V341&gt;=75,V341&lt;=175,W341&gt;=110),0.12,0)+IF(AND(V341&gt;175,W341&lt;25),0.23,0)+IF(AND(V341&gt;175,W341&gt;=25,W341&lt;55),0.2,0)+IF(AND(V341&gt;175,W341&gt;=55,W341&lt;95),0.17,0)+IF(AND(V341&gt;175,W341&gt;=95),0.12,0),
IF(AF341="DoEVs1",IF(AND(V341&lt;20,W341&lt;55),0.3,0)+IF(AND(V341&lt;20,W341&gt;=55,W341&lt;105),0.23,0)+IF(AND(V341&lt;20,W341&gt;=105),0.17,0)+IF(AND(V341&gt;=20,V341&lt;40,W341&lt;45),0.3,0)+IF(AND(V341&gt;=20,V341&lt;40,W341&gt;=45,W341&lt;95),0.23,0)+IF(AND(V341&gt;=20,V341&lt;40,W341&gt;=95,W341&lt;=150),0.17,0)+IF(AND(V341&gt;=20,V341&lt;40,W341&gt;=150),0.12,0)+IF(AND(V341&gt;=40,V341&lt;75,W341&lt;35),0.3,0)+IF(AND(V341&gt;=40,V341&lt;75,W341&gt;=35,W341&lt;75),0.23,0)+IF(AND(V341&gt;=40,V341&lt;75,W341&gt;=75,W341&lt;120),0.17,0)+IF(AND(V341&gt;=40,V341&lt;75,W341&gt;=120),0.12,0)+IF(AND(V341&gt;=75,V341&lt;175,W341&lt;35),0.3,0)+IF(AND(V341&gt;=75,V341&lt;=175,W341&gt;=35,W341&lt;65),0.23,0)+IF(AND(V341&gt;=75,V341&lt;=175,W341&gt;=65,W341&lt;110),0.17,0)+IF(AND(V341&gt;=75,V341&lt;=175,W341&gt;=110),0.12,0)+IF(AND(V341&gt;175,W341&lt;25),0.3,0)+IF(AND(V341&gt;175,W341&gt;=25,W341&lt;55),0.23,0)+IF(AND(V341&gt;175,W341&gt;=55,W341&lt;95),0.17,0)+IF(AND(V341&gt;175,W341&gt;=95),0.12,0),
IF(AF341="DoEVsu",IF(AND(V341&lt;20,W341&lt;55),0.3,0)+IF(AND(V341&lt;20,W341&gt;=55,W341&lt;105),0.23,0)+IF(AND(V341&lt;20,W341&gt;=105),0.17,0)+IF(AND(V341&gt;=20,V341&lt;40,W341&lt;45),0.3,0)+IF(AND(V341&gt;=20,V341&lt;40,W341&gt;=45,W341&lt;95),0.23,0)+IF(AND(V341&gt;=20,V341&lt;40,W341&gt;=95,W341&lt;=250),0.17,0)+IF(AND(V341&gt;=20,V341&lt;40,W341&gt;=250),0.12,0)+IF(AND(V341&gt;=40,V341&lt;75,W341&lt;35),0.3,0)+IF(AND(V341&gt;=40,V341&lt;75,W341&gt;=35,W341&lt;75),0.23,0)+IF(AND(V341&gt;=40,V341&lt;75,W341&gt;=75,W341&lt;120),0.17,0)+IF(AND(V341&gt;=40,V341&lt;75,W341&gt;=120),0.12,0)+IF(AND(V341&gt;=75,V341&lt;175,W341&lt;35),0.3,0)+IF(AND(V341&gt;=75,V341&lt;=175,W341&gt;=35,W341&lt;65),0.23,0)+IF(AND(V341&gt;=75,V341&lt;=175,W341&gt;=65,W341&lt;110),0.17,0)+IF(AND(V341&gt;=75,V341&lt;=175,W341&gt;=110),0.12,0)+IF(AND(V341&gt;175,W341&lt;25),0.3,0)+IF(AND(V341&gt;175,W341&gt;=25,W341&lt;55),0.23,0)+IF(AND(V341&gt;175,W341&gt;=55,W341&lt;95),0.17,0)+IF(AND(V341&gt;175,W341&gt;=95),0.12,0),
IF(AF341="DoEVni",IF(AND(V341&lt;20,W341&lt;55),0.3,0)+IF(AND(V341&lt;20,W341&gt;=55,W341&lt;105),0.23,0)+IF(AND(V341&lt;20,W341&gt;=105),0.17,0)+IF(AND(V341&gt;=20,V341&lt;40,W341&lt;45),0.3,0)+IF(AND(V341&gt;=20,V341&lt;40,W341&gt;=45,W341&lt;95),0.23,0)+IF(AND(V341&gt;=20,V341&lt;40,W341&gt;=95,W341&lt;=200),0.17,0)+IF(AND(V341&gt;=20,V341&lt;40,W341&gt;=200),0.12,0)+IF(AND(V341&gt;=40,V341&lt;75,W341&lt;35),0.3,0)+IF(AND(V341&gt;=40,V341&lt;75,W341&gt;=35,W341&lt;75),0.23,0)+IF(AND(V341&gt;=40,V341&lt;75,W341&gt;=75,W341&lt;120),0.17,0)+IF(AND(V341&gt;=40,V341&lt;75,W341&gt;=120),0.12,0)+IF(AND(V341&gt;=75,V341&lt;175,W341&lt;35),0.3,0)+IF(AND(V341&gt;=75,V341&lt;=175,W341&gt;=35,W341&lt;65),0.23,0)+IF(AND(V341&gt;=75,V341&lt;=175,W341&gt;=65,W341&lt;110),0.17,0)+IF(AND(V341&gt;=75,V341&lt;=175,W341&gt;=110),0.12,0)+IF(AND(V341&gt;175,W341&lt;25),0.3,0)+IF(AND(V341&gt;175,W341&gt;=25,W341&lt;55),0.23,0)+IF(AND(V341&gt;175,W341&gt;=55,W341&lt;95),0.17,0)+IF(AND(V341&gt;175,W341&gt;=95),0.12,0),
IF(AF341="DoEVLo",IF(AND(V341&lt;20,W341&lt;55),0.25,0)+IF(AND(V341&lt;20,W341&gt;=55,W341&lt;105),0.2,0)+IF(AND(V341&lt;20,W341&gt;=105),0.15,0)+IF(AND(V341&gt;=20,V341&lt;40,W341&lt;45),0.25,0)+IF(AND(V341&gt;=20,V341&lt;40,W341&gt;=45,W341&lt;95),0.2,0)+IF(AND(V341&gt;=20,V341&lt;40,W341&gt;=95),0.15,0)+IF(AND(V341&gt;=40,V341&lt;75,W341&lt;35),0.25,0)+IF(AND(V341&gt;=40,V341&lt;75,W341&gt;=35,W341&lt;75),0.2,0)+IF(AND(V341&gt;=40,V341&lt;75,W341&gt;=75,W341&lt;120),0.15,0)+IF(AND(V341&gt;=40,V341&lt;75,W341&gt;=120),0.1,0)+IF(AND(V341&gt;=75,V341&lt;175,W341&lt;35),0.25,0)+IF(AND(V341&gt;=75,V341&lt;=175,W341&gt;=35,W341&lt;65),0.2,0)+IF(AND(V341&gt;=75,V341&lt;=175,W341&gt;=65,W341&lt;110),0.15,0)+IF(AND(V341&gt;=75,V341&lt;=175,W341&gt;=110),0.1,0)+IF(AND(V341&gt;175,W341&lt;25),0.25,0)+IF(AND(V341&gt;175,W341&gt;=25,W341&lt;55),0.2,0)+IF(AND(V341&gt;175,W341&gt;=55,W341&lt;95),0.15,0)+IF(AND(V341&gt;175,W341&gt;=95),0.1,0))))))))))))))))</f>
        <v>0.3</v>
      </c>
      <c r="Y341" s="30">
        <f>IF(AG341="None",0,IF(AG341="Fix5",0.05,IF(AG341="Fix3.75",0.0375,IF(AG341="Fix10",0.1,IF(AG341="Fix3",0.03,0)))))</f>
        <v>0</v>
      </c>
      <c r="Z341" s="35">
        <f>T341-AA341-AB341</f>
        <v>-0.7</v>
      </c>
      <c r="AA341" s="29">
        <f>IF(AD341="EUR",((T341-R341)*X341)*U341+(R341*X341),(T341*X341))</f>
        <v>-0.3</v>
      </c>
      <c r="AB341" s="36">
        <f>IF(AD341="EUR",((T341-R341)*Y341)*U341+(R341*Y341),(T341*Y341))</f>
        <v>0</v>
      </c>
      <c r="AC341" s="37" t="b">
        <v>1</v>
      </c>
      <c r="AD341" s="37" t="s">
        <v>38</v>
      </c>
      <c r="AE341" s="37" t="s">
        <v>38</v>
      </c>
      <c r="AF341" s="37" t="str">
        <f t="array" ref="AF341">INDEX('Deal Info'!D:D, MATCH(A341,'Deal Info'!A:A, 0))</f>
        <v>SF</v>
      </c>
      <c r="AG341" s="38" t="str">
        <f t="array" ref="AG341">INDEX('Deal Info'!G:G, MATCH(A341,'Deal Info'!A:A, 0))</f>
        <v>None</v>
      </c>
    </row>
    <row r="342" spans="1:33" ht="14.25" hidden="1" x14ac:dyDescent="0.2">
      <c r="A342" s="18" t="str">
        <f t="array" ref="A342">IF(G342='Room Info'!$B$1, INDEX('Room Info'!$A$2:$A2446, MATCH(B342,'Room Info'!$B$2:$B2446, 0)),IF(G342='Room Info'!$C$1, INDEX('Room Info'!$A$2:$A2446, MATCH(B342,'Room Info'!$C$2:$C2446, 0)),IF(G342='Room Info'!$D$1, INDEX('Room Info'!$A$2:$A2446, MATCH(B342,'Room Info'!$D$2:$D2446, 0)),IF(G342='Room Info'!$E$1, INDEX('Room Info'!$A$2:$A2446, MATCH(B342,'Room Info'!$E$2:$E2446, 0)),IF(G342='Room Info'!$F$1, INDEX('Room Info'!$A$2:$A2446, MATCH(B342,'Room Info'!$F$2:$F2446, 0)),IF(G342='Room Info'!$H$1, INDEX('Room Info'!$A$2:$A2446, MATCH(B342,'Room Info'!$H$2:$H2446, 0)),IF(G342='Room Info'!$G$1, INDEX('Room Info'!$A$2:$A2446, MATCH(B342,'Room Info'!$G$2:$G2446, 0)))))))))</f>
        <v>Kiss4money99</v>
      </c>
      <c r="B342" s="45" t="s">
        <v>120</v>
      </c>
      <c r="C342" s="46">
        <v>44521</v>
      </c>
      <c r="D342" s="46">
        <v>44550</v>
      </c>
      <c r="E342" s="47">
        <v>44531</v>
      </c>
      <c r="F342" s="48" t="s">
        <v>34</v>
      </c>
      <c r="G342" s="45" t="s">
        <v>35</v>
      </c>
      <c r="H342" s="49" t="s">
        <v>40</v>
      </c>
      <c r="I342" s="49" t="s">
        <v>37</v>
      </c>
      <c r="J342" s="70">
        <v>10</v>
      </c>
      <c r="K342" s="71">
        <v>1659</v>
      </c>
      <c r="L342" s="52">
        <v>90</v>
      </c>
      <c r="M342" s="53">
        <v>321</v>
      </c>
      <c r="N342" s="28">
        <f>K342*J342</f>
        <v>16590</v>
      </c>
      <c r="O342" s="54">
        <v>70016</v>
      </c>
      <c r="P342" s="29">
        <v>42.203737189999998</v>
      </c>
      <c r="Q342" s="55"/>
      <c r="R342" s="31">
        <f>M342+Q342</f>
        <v>321</v>
      </c>
      <c r="S342" s="56">
        <v>31</v>
      </c>
      <c r="T342" s="32">
        <f>R342+S342+IF(F342="Without EV deal",L342,0)</f>
        <v>352</v>
      </c>
      <c r="U342" s="57">
        <v>1</v>
      </c>
      <c r="V342" s="69">
        <v>9.9170124481327804</v>
      </c>
      <c r="W342" s="69">
        <v>35.393723849372385</v>
      </c>
      <c r="X342" s="30">
        <f>IF(AF342="DoEV",IF(AND(V342&lt;20,W342&lt;55),0.3,0)+IF(AND(V342&lt;20,W342&gt;=55,W342&lt;105),0.23,0)+IF(AND(V342&lt;20,W342&gt;=105),0.17,0)+IF(AND(V342&gt;=20,V342&lt;40,W342&lt;45),0.3,0)+IF(AND(V342&gt;=20,V342&lt;40,W342&gt;=45,W342&lt;95),0.23,0)+IF(AND(V342&gt;=20,V342&lt;40,W342&gt;=95),0.17,0)+IF(AND(V342&gt;=40,V342&lt;75,W342&lt;35),0.3,0)+IF(AND(V342&gt;=40,V342&lt;75,W342&gt;=35,W342&lt;75),0.23,0)+IF(AND(V342&gt;=40,V342&lt;75,W342&gt;=75,W342&lt;120),0.17,0)+IF(AND(V342&gt;=40,V342&lt;75,W342&gt;=120),0.12,0)+IF(AND(V342&gt;=75,V342&lt;175,W342&lt;35),0.3,0)+IF(AND(V342&gt;=75,V342&lt;=175,W342&gt;=35,W342&lt;65),0.23,0)+IF(AND(V342&gt;=75,V342&lt;=175,W342&gt;=65,W342&lt;110),0.17,0)+IF(AND(V342&gt;=75,V342&lt;=175,W342&gt;=110),0.12,0)+IF(AND(V342&gt;175,W342&lt;25),0.3,0)+IF(AND(V342&gt;175,W342&gt;=25,W342&lt;55),0.23,0)+IF(AND(V342&gt;175,W342&gt;=55,W342&lt;95),0.17,0)+IF(AND(V342&gt;175,W342&gt;=95),0.12,0),
IF(AF342="Fix15",0.15,
IF(AF342="Fix11.25",0.1125,
IF(AF342="Fix10",0.1,
IF(AF342="Fix9",0.09,
IF(AF342="DoEV2017",IF(AND(W342&lt;74),0.2,0)+IF(AND(W342&gt;=74),0.17,0),
IF(AF342="SF",IF(AND(V342&lt;20,W342&lt;89),0.3,0)+IF(AND(V342&lt;20,W342&gt;=89),0.25,0)+IF(AND(V342&gt;=20,V342&lt;40,W342&lt;74),0.3,0)+IF(AND(V342&gt;=20,V342&lt;40,W342&gt;=75),0.22,0)+IF(AND(V342&gt;=40,V342&lt;75,W342&lt;75),0.26,0)+IF(AND(V342&gt;=40,V342&lt;75,W342&gt;=75),0.22,0)+IF(V342&gt;=75,0.22,0),
IF(AF342="DoEVold",IF(AND(V342&lt;40,W342&lt;35),0.35,0)+IF(AND(V342&lt;40,W342&gt;=35,W342&lt;75),0.25,0)+IF(AND(V342&lt;40,W342&gt;=75),0.17,0)+IF(AND(V342&gt;=40,V342&lt;75,W342&lt;25),0.35,0)+IF(AND(V342&gt;=40,V342&lt;75,W342&gt;=25,W342&lt;65),0.25,0)+IF(AND(V342&gt;=40,V342&lt;75,W342&gt;=65,W342&lt;100),0.17,0)+IF(AND(V342&gt;=40,V342&lt;75,W342&gt;=100),0.1,0)+IF(AND(V342&gt;=75,W342&lt;25),0.35,0)+IF(AND(V342&gt;=75,W342&gt;=25,W342&lt;60),0.25,0)+IF(AND(V342&gt;=75,W342&gt;=60,W342&lt;95),0.17,0)+IF(AND(V342&gt;=75,W342&gt;=95),0.1,0),
IF(AF342="DoEVold15",IF(AND(V342&lt;=40,W342&lt;35),0.35,0)+IF(AND(V342&lt;=40,W342&gt;=35,W342&lt;75),0.25,0)+IF(AND(V342&lt;=40,W342&gt;=75,W342&lt;120),0.17,0)+IF(AND(V342&lt;=40,W342&gt;=120),0.15,0)+IF(AND(V342&gt;40,V342&lt;75,W342&lt;25),0.35,0)+IF(AND(V342&gt;=40,V342&lt;75,W342&gt;=25,W342&lt;65),0.25,0)+IF(AND(V342&gt;=40,V342&lt;75,W342&gt;=65,W342&lt;100),0.17,0)+IF(AND(V342&gt;=40,V342&lt;75,W342&gt;=100),0.1,0)+IF(AND(V342&gt;=75,W342&lt;25),0.35,0)+IF(AND(V342&gt;=75,W342&gt;=25,W342&lt;60),0.25,0)+IF(AND(V342&gt;=75,W342&gt;=60,W342&lt;95),0.17,0)+IF(AND(V342&gt;=75,W342&gt;=95),0.1,0),
IF(AF342="DoEVba",IF(AND(V342&lt;20,W342&lt;105),0.2,0)+IF(AND(V342&lt;20,W342&gt;=105),0.15,0)+IF(AND(V342&gt;=20,V342&lt;40,W342&lt;95),0.2,0)+IF(AND(V342&gt;=20,V342&lt;40,W342&gt;=95,W342&lt;150),0.15,0)+IF(AND(V342&gt;=20,V342&lt;40,W342&gt;=150),0.12,0)+IF(AND(V342&gt;=40,V342&lt;75,W342&lt;75),0.2,0)+IF(AND(V342&gt;=40,V342&lt;75,W342&gt;=75,W342&lt;120),0.15,0)+IF(AND(V342&gt;=40,V342&lt;75,W342&gt;=120),0.12,0)+IF(AND(V342&gt;=75,V342&lt;175,W342&lt;65),0.2,0)+IF(AND(V342&gt;=75,V342&lt;175,W342&gt;=65,W342&lt;110),0.15,0)+IF(AND(V342&gt;=75,V342&lt;175,W342&gt;=110),0.12,0)+IF(AND(V342&gt;=175,W342&lt;55),0.2,0)+IF(AND(V342&gt;=175,W342&gt;=55,W342&lt;95),0.15,0)+IF(AND(V342&gt;=175,W342&gt;=95),0.12,0),
IF(AF342="DoEVku",IF(AND(V342&lt;20,W342&lt;55),0.23,0)+IF(AND(V342&lt;20,W342&gt;=55,W342&lt;105),0.2,0)+IF(AND(V342&lt;20,W342&gt;=105),0.17,0)+IF(AND(V342&gt;=20,V342&lt;40,W342&lt;45),0.23,0)+IF(AND(V342&gt;=20,V342&lt;40,W342&gt;=45,W342&lt;95),0.2,0)+IF(AND(V342&gt;=20,V342&lt;40,W342&gt;=95,W342&lt;=150),0.17,0)+IF(AND(V342&gt;=20,V342&lt;40,W342&gt;=150),0.12,0)+IF(AND(V342&gt;=40,V342&lt;75,W342&lt;35),0.23,0)+IF(AND(V342&gt;=40,V342&lt;75,W342&gt;=35,W342&lt;75),0.2,0)+IF(AND(V342&gt;=40,V342&lt;75,W342&gt;=75,W342&lt;120),0.17,0)+IF(AND(V342&gt;=40,V342&lt;75,W342&gt;=120),0.12,0)+IF(AND(V342&gt;=75,V342&lt;175,W342&lt;35),0.23,0)+IF(AND(V342&gt;=75,V342&lt;=175,W342&gt;=35,W342&lt;65),0.2,0)+IF(AND(V342&gt;=75,V342&lt;=175,W342&gt;=65,W342&lt;110),0.17,0)+IF(AND(V342&gt;=75,V342&lt;=175,W342&gt;=110),0.12,0)+IF(AND(V342&gt;175,W342&lt;25),0.23,0)+IF(AND(V342&gt;175,W342&gt;=25,W342&lt;55),0.2,0)+IF(AND(V342&gt;175,W342&gt;=55,W342&lt;95),0.17,0)+IF(AND(V342&gt;175,W342&gt;=95),0.12,0),
IF(AF342="DoEVs1",IF(AND(V342&lt;20,W342&lt;55),0.3,0)+IF(AND(V342&lt;20,W342&gt;=55,W342&lt;105),0.23,0)+IF(AND(V342&lt;20,W342&gt;=105),0.17,0)+IF(AND(V342&gt;=20,V342&lt;40,W342&lt;45),0.3,0)+IF(AND(V342&gt;=20,V342&lt;40,W342&gt;=45,W342&lt;95),0.23,0)+IF(AND(V342&gt;=20,V342&lt;40,W342&gt;=95,W342&lt;=150),0.17,0)+IF(AND(V342&gt;=20,V342&lt;40,W342&gt;=150),0.12,0)+IF(AND(V342&gt;=40,V342&lt;75,W342&lt;35),0.3,0)+IF(AND(V342&gt;=40,V342&lt;75,W342&gt;=35,W342&lt;75),0.23,0)+IF(AND(V342&gt;=40,V342&lt;75,W342&gt;=75,W342&lt;120),0.17,0)+IF(AND(V342&gt;=40,V342&lt;75,W342&gt;=120),0.12,0)+IF(AND(V342&gt;=75,V342&lt;175,W342&lt;35),0.3,0)+IF(AND(V342&gt;=75,V342&lt;=175,W342&gt;=35,W342&lt;65),0.23,0)+IF(AND(V342&gt;=75,V342&lt;=175,W342&gt;=65,W342&lt;110),0.17,0)+IF(AND(V342&gt;=75,V342&lt;=175,W342&gt;=110),0.12,0)+IF(AND(V342&gt;175,W342&lt;25),0.3,0)+IF(AND(V342&gt;175,W342&gt;=25,W342&lt;55),0.23,0)+IF(AND(V342&gt;175,W342&gt;=55,W342&lt;95),0.17,0)+IF(AND(V342&gt;175,W342&gt;=95),0.12,0),
IF(AF342="DoEVsu",IF(AND(V342&lt;20,W342&lt;55),0.3,0)+IF(AND(V342&lt;20,W342&gt;=55,W342&lt;105),0.23,0)+IF(AND(V342&lt;20,W342&gt;=105),0.17,0)+IF(AND(V342&gt;=20,V342&lt;40,W342&lt;45),0.3,0)+IF(AND(V342&gt;=20,V342&lt;40,W342&gt;=45,W342&lt;95),0.23,0)+IF(AND(V342&gt;=20,V342&lt;40,W342&gt;=95,W342&lt;=250),0.17,0)+IF(AND(V342&gt;=20,V342&lt;40,W342&gt;=250),0.12,0)+IF(AND(V342&gt;=40,V342&lt;75,W342&lt;35),0.3,0)+IF(AND(V342&gt;=40,V342&lt;75,W342&gt;=35,W342&lt;75),0.23,0)+IF(AND(V342&gt;=40,V342&lt;75,W342&gt;=75,W342&lt;120),0.17,0)+IF(AND(V342&gt;=40,V342&lt;75,W342&gt;=120),0.12,0)+IF(AND(V342&gt;=75,V342&lt;175,W342&lt;35),0.3,0)+IF(AND(V342&gt;=75,V342&lt;=175,W342&gt;=35,W342&lt;65),0.23,0)+IF(AND(V342&gt;=75,V342&lt;=175,W342&gt;=65,W342&lt;110),0.17,0)+IF(AND(V342&gt;=75,V342&lt;=175,W342&gt;=110),0.12,0)+IF(AND(V342&gt;175,W342&lt;25),0.3,0)+IF(AND(V342&gt;175,W342&gt;=25,W342&lt;55),0.23,0)+IF(AND(V342&gt;175,W342&gt;=55,W342&lt;95),0.17,0)+IF(AND(V342&gt;175,W342&gt;=95),0.12,0),
IF(AF342="DoEVni",IF(AND(V342&lt;20,W342&lt;55),0.3,0)+IF(AND(V342&lt;20,W342&gt;=55,W342&lt;105),0.23,0)+IF(AND(V342&lt;20,W342&gt;=105),0.17,0)+IF(AND(V342&gt;=20,V342&lt;40,W342&lt;45),0.3,0)+IF(AND(V342&gt;=20,V342&lt;40,W342&gt;=45,W342&lt;95),0.23,0)+IF(AND(V342&gt;=20,V342&lt;40,W342&gt;=95,W342&lt;=200),0.17,0)+IF(AND(V342&gt;=20,V342&lt;40,W342&gt;=200),0.12,0)+IF(AND(V342&gt;=40,V342&lt;75,W342&lt;35),0.3,0)+IF(AND(V342&gt;=40,V342&lt;75,W342&gt;=35,W342&lt;75),0.23,0)+IF(AND(V342&gt;=40,V342&lt;75,W342&gt;=75,W342&lt;120),0.17,0)+IF(AND(V342&gt;=40,V342&lt;75,W342&gt;=120),0.12,0)+IF(AND(V342&gt;=75,V342&lt;175,W342&lt;35),0.3,0)+IF(AND(V342&gt;=75,V342&lt;=175,W342&gt;=35,W342&lt;65),0.23,0)+IF(AND(V342&gt;=75,V342&lt;=175,W342&gt;=65,W342&lt;110),0.17,0)+IF(AND(V342&gt;=75,V342&lt;=175,W342&gt;=110),0.12,0)+IF(AND(V342&gt;175,W342&lt;25),0.3,0)+IF(AND(V342&gt;175,W342&gt;=25,W342&lt;55),0.23,0)+IF(AND(V342&gt;175,W342&gt;=55,W342&lt;95),0.17,0)+IF(AND(V342&gt;175,W342&gt;=95),0.12,0),
IF(AF342="DoEVLo",IF(AND(V342&lt;20,W342&lt;55),0.25,0)+IF(AND(V342&lt;20,W342&gt;=55,W342&lt;105),0.2,0)+IF(AND(V342&lt;20,W342&gt;=105),0.15,0)+IF(AND(V342&gt;=20,V342&lt;40,W342&lt;45),0.25,0)+IF(AND(V342&gt;=20,V342&lt;40,W342&gt;=45,W342&lt;95),0.2,0)+IF(AND(V342&gt;=20,V342&lt;40,W342&gt;=95),0.15,0)+IF(AND(V342&gt;=40,V342&lt;75,W342&lt;35),0.25,0)+IF(AND(V342&gt;=40,V342&lt;75,W342&gt;=35,W342&lt;75),0.2,0)+IF(AND(V342&gt;=40,V342&lt;75,W342&gt;=75,W342&lt;120),0.15,0)+IF(AND(V342&gt;=40,V342&lt;75,W342&gt;=120),0.1,0)+IF(AND(V342&gt;=75,V342&lt;175,W342&lt;35),0.25,0)+IF(AND(V342&gt;=75,V342&lt;=175,W342&gt;=35,W342&lt;65),0.2,0)+IF(AND(V342&gt;=75,V342&lt;=175,W342&gt;=65,W342&lt;110),0.15,0)+IF(AND(V342&gt;=75,V342&lt;=175,W342&gt;=110),0.1,0)+IF(AND(V342&gt;175,W342&lt;25),0.25,0)+IF(AND(V342&gt;175,W342&gt;=25,W342&lt;55),0.2,0)+IF(AND(V342&gt;175,W342&gt;=55,W342&lt;95),0.15,0)+IF(AND(V342&gt;175,W342&gt;=95),0.1,0))))))))))))))))</f>
        <v>0.3</v>
      </c>
      <c r="Y342" s="30">
        <f>IF(AG342="None",0,IF(AG342="Fix5",0.05,IF(AG342="Fix3.75",0.0375,IF(AG342="Fix10",0.1,IF(AG342="Fix3",0.03,0)))))</f>
        <v>0</v>
      </c>
      <c r="Z342" s="35">
        <f>T342-AA342-AB342</f>
        <v>246.4</v>
      </c>
      <c r="AA342" s="29">
        <f>IF(AD342="EUR",((T342-R342)*X342)*U342+(R342*X342),(T342*X342))</f>
        <v>105.6</v>
      </c>
      <c r="AB342" s="36">
        <f>IF(AD342="EUR",((T342-R342)*Y342)*U342+(R342*Y342),(T342*Y342))</f>
        <v>0</v>
      </c>
      <c r="AC342" s="37" t="b">
        <v>1</v>
      </c>
      <c r="AD342" s="37" t="s">
        <v>38</v>
      </c>
      <c r="AE342" s="37" t="s">
        <v>38</v>
      </c>
      <c r="AF342" s="37" t="str">
        <f t="array" ref="AF342">INDEX('Deal Info'!D:D, MATCH(A342,'Deal Info'!A:A, 0))</f>
        <v>SF</v>
      </c>
      <c r="AG342" s="38" t="str">
        <f t="array" ref="AG342">INDEX('Deal Info'!G:G, MATCH(A342,'Deal Info'!A:A, 0))</f>
        <v>None</v>
      </c>
    </row>
    <row r="343" spans="1:33" ht="14.25" hidden="1" x14ac:dyDescent="0.2">
      <c r="A343" s="18" t="str">
        <f t="array" ref="A343">IF(G343='Room Info'!$B$1, INDEX('Room Info'!$A$2:$A2446, MATCH(B343,'Room Info'!$B$2:$B2446, 0)),IF(G343='Room Info'!$C$1, INDEX('Room Info'!$A$2:$A2446, MATCH(B343,'Room Info'!$C$2:$C2446, 0)),IF(G343='Room Info'!$D$1, INDEX('Room Info'!$A$2:$A2446, MATCH(B343,'Room Info'!$D$2:$D2446, 0)),IF(G343='Room Info'!$E$1, INDEX('Room Info'!$A$2:$A2446, MATCH(B343,'Room Info'!$E$2:$E2446, 0)),IF(G343='Room Info'!$F$1, INDEX('Room Info'!$A$2:$A2446, MATCH(B343,'Room Info'!$F$2:$F2446, 0)),IF(G343='Room Info'!$H$1, INDEX('Room Info'!$A$2:$A2446, MATCH(B343,'Room Info'!$H$2:$H2446, 0)),IF(G343='Room Info'!$G$1, INDEX('Room Info'!$A$2:$A2446, MATCH(B343,'Room Info'!$G$2:$G2446, 0)))))))))</f>
        <v>Kiss4money99</v>
      </c>
      <c r="B343" s="45" t="s">
        <v>120</v>
      </c>
      <c r="C343" s="46">
        <v>44551</v>
      </c>
      <c r="D343" s="46">
        <v>44581</v>
      </c>
      <c r="E343" s="47">
        <v>44562</v>
      </c>
      <c r="F343" s="48" t="s">
        <v>34</v>
      </c>
      <c r="G343" s="45" t="s">
        <v>35</v>
      </c>
      <c r="H343" s="49" t="s">
        <v>40</v>
      </c>
      <c r="I343" s="49" t="s">
        <v>37</v>
      </c>
      <c r="J343" s="70">
        <v>10</v>
      </c>
      <c r="K343" s="71">
        <v>2899</v>
      </c>
      <c r="L343" s="52">
        <v>320</v>
      </c>
      <c r="M343" s="53">
        <v>1468</v>
      </c>
      <c r="N343" s="28">
        <f>K343*J343</f>
        <v>28990</v>
      </c>
      <c r="O343" s="54">
        <v>96710</v>
      </c>
      <c r="P343" s="29">
        <v>33.359779230000001</v>
      </c>
      <c r="Q343" s="55"/>
      <c r="R343" s="31">
        <f>M343+Q343</f>
        <v>1468</v>
      </c>
      <c r="S343" s="56">
        <v>-390</v>
      </c>
      <c r="T343" s="32">
        <f>R343+S343+IF(F343="Without EV deal",L343,0)</f>
        <v>1078</v>
      </c>
      <c r="U343" s="57">
        <v>1</v>
      </c>
      <c r="V343" s="69">
        <v>10</v>
      </c>
      <c r="W343" s="69">
        <v>107.1</v>
      </c>
      <c r="X343" s="30">
        <f>IF(AF343="DoEV",IF(AND(V343&lt;20,W343&lt;55),0.3,0)+IF(AND(V343&lt;20,W343&gt;=55,W343&lt;105),0.23,0)+IF(AND(V343&lt;20,W343&gt;=105),0.17,0)+IF(AND(V343&gt;=20,V343&lt;40,W343&lt;45),0.3,0)+IF(AND(V343&gt;=20,V343&lt;40,W343&gt;=45,W343&lt;95),0.23,0)+IF(AND(V343&gt;=20,V343&lt;40,W343&gt;=95),0.17,0)+IF(AND(V343&gt;=40,V343&lt;75,W343&lt;35),0.3,0)+IF(AND(V343&gt;=40,V343&lt;75,W343&gt;=35,W343&lt;75),0.23,0)+IF(AND(V343&gt;=40,V343&lt;75,W343&gt;=75,W343&lt;120),0.17,0)+IF(AND(V343&gt;=40,V343&lt;75,W343&gt;=120),0.12,0)+IF(AND(V343&gt;=75,V343&lt;175,W343&lt;35),0.3,0)+IF(AND(V343&gt;=75,V343&lt;=175,W343&gt;=35,W343&lt;65),0.23,0)+IF(AND(V343&gt;=75,V343&lt;=175,W343&gt;=65,W343&lt;110),0.17,0)+IF(AND(V343&gt;=75,V343&lt;=175,W343&gt;=110),0.12,0)+IF(AND(V343&gt;175,W343&lt;25),0.3,0)+IF(AND(V343&gt;175,W343&gt;=25,W343&lt;55),0.23,0)+IF(AND(V343&gt;175,W343&gt;=55,W343&lt;95),0.17,0)+IF(AND(V343&gt;175,W343&gt;=95),0.12,0),
IF(AF343="Fix15",0.15,
IF(AF343="Fix11.25",0.1125,
IF(AF343="Fix10",0.1,
IF(AF343="Fix9",0.09,
IF(AF343="DoEV2017",IF(AND(W343&lt;74),0.2,0)+IF(AND(W343&gt;=74),0.17,0),
IF(AF343="SF",IF(AND(V343&lt;20,W343&lt;89),0.3,0)+IF(AND(V343&lt;20,W343&gt;=89),0.25,0)+IF(AND(V343&gt;=20,V343&lt;40,W343&lt;74),0.3,0)+IF(AND(V343&gt;=20,V343&lt;40,W343&gt;=75),0.22,0)+IF(AND(V343&gt;=40,V343&lt;75,W343&lt;75),0.26,0)+IF(AND(V343&gt;=40,V343&lt;75,W343&gt;=75),0.22,0)+IF(V343&gt;=75,0.22,0),
IF(AF343="DoEVold",IF(AND(V343&lt;40,W343&lt;35),0.35,0)+IF(AND(V343&lt;40,W343&gt;=35,W343&lt;75),0.25,0)+IF(AND(V343&lt;40,W343&gt;=75),0.17,0)+IF(AND(V343&gt;=40,V343&lt;75,W343&lt;25),0.35,0)+IF(AND(V343&gt;=40,V343&lt;75,W343&gt;=25,W343&lt;65),0.25,0)+IF(AND(V343&gt;=40,V343&lt;75,W343&gt;=65,W343&lt;100),0.17,0)+IF(AND(V343&gt;=40,V343&lt;75,W343&gt;=100),0.1,0)+IF(AND(V343&gt;=75,W343&lt;25),0.35,0)+IF(AND(V343&gt;=75,W343&gt;=25,W343&lt;60),0.25,0)+IF(AND(V343&gt;=75,W343&gt;=60,W343&lt;95),0.17,0)+IF(AND(V343&gt;=75,W343&gt;=95),0.1,0),
IF(AF343="DoEVold15",IF(AND(V343&lt;=40,W343&lt;35),0.35,0)+IF(AND(V343&lt;=40,W343&gt;=35,W343&lt;75),0.25,0)+IF(AND(V343&lt;=40,W343&gt;=75,W343&lt;120),0.17,0)+IF(AND(V343&lt;=40,W343&gt;=120),0.15,0)+IF(AND(V343&gt;40,V343&lt;75,W343&lt;25),0.35,0)+IF(AND(V343&gt;=40,V343&lt;75,W343&gt;=25,W343&lt;65),0.25,0)+IF(AND(V343&gt;=40,V343&lt;75,W343&gt;=65,W343&lt;100),0.17,0)+IF(AND(V343&gt;=40,V343&lt;75,W343&gt;=100),0.1,0)+IF(AND(V343&gt;=75,W343&lt;25),0.35,0)+IF(AND(V343&gt;=75,W343&gt;=25,W343&lt;60),0.25,0)+IF(AND(V343&gt;=75,W343&gt;=60,W343&lt;95),0.17,0)+IF(AND(V343&gt;=75,W343&gt;=95),0.1,0),
IF(AF343="DoEVba",IF(AND(V343&lt;20,W343&lt;105),0.2,0)+IF(AND(V343&lt;20,W343&gt;=105),0.15,0)+IF(AND(V343&gt;=20,V343&lt;40,W343&lt;95),0.2,0)+IF(AND(V343&gt;=20,V343&lt;40,W343&gt;=95,W343&lt;150),0.15,0)+IF(AND(V343&gt;=20,V343&lt;40,W343&gt;=150),0.12,0)+IF(AND(V343&gt;=40,V343&lt;75,W343&lt;75),0.2,0)+IF(AND(V343&gt;=40,V343&lt;75,W343&gt;=75,W343&lt;120),0.15,0)+IF(AND(V343&gt;=40,V343&lt;75,W343&gt;=120),0.12,0)+IF(AND(V343&gt;=75,V343&lt;175,W343&lt;65),0.2,0)+IF(AND(V343&gt;=75,V343&lt;175,W343&gt;=65,W343&lt;110),0.15,0)+IF(AND(V343&gt;=75,V343&lt;175,W343&gt;=110),0.12,0)+IF(AND(V343&gt;=175,W343&lt;55),0.2,0)+IF(AND(V343&gt;=175,W343&gt;=55,W343&lt;95),0.15,0)+IF(AND(V343&gt;=175,W343&gt;=95),0.12,0),
IF(AF343="DoEVku",IF(AND(V343&lt;20,W343&lt;55),0.23,0)+IF(AND(V343&lt;20,W343&gt;=55,W343&lt;105),0.2,0)+IF(AND(V343&lt;20,W343&gt;=105),0.17,0)+IF(AND(V343&gt;=20,V343&lt;40,W343&lt;45),0.23,0)+IF(AND(V343&gt;=20,V343&lt;40,W343&gt;=45,W343&lt;95),0.2,0)+IF(AND(V343&gt;=20,V343&lt;40,W343&gt;=95,W343&lt;=150),0.17,0)+IF(AND(V343&gt;=20,V343&lt;40,W343&gt;=150),0.12,0)+IF(AND(V343&gt;=40,V343&lt;75,W343&lt;35),0.23,0)+IF(AND(V343&gt;=40,V343&lt;75,W343&gt;=35,W343&lt;75),0.2,0)+IF(AND(V343&gt;=40,V343&lt;75,W343&gt;=75,W343&lt;120),0.17,0)+IF(AND(V343&gt;=40,V343&lt;75,W343&gt;=120),0.12,0)+IF(AND(V343&gt;=75,V343&lt;175,W343&lt;35),0.23,0)+IF(AND(V343&gt;=75,V343&lt;=175,W343&gt;=35,W343&lt;65),0.2,0)+IF(AND(V343&gt;=75,V343&lt;=175,W343&gt;=65,W343&lt;110),0.17,0)+IF(AND(V343&gt;=75,V343&lt;=175,W343&gt;=110),0.12,0)+IF(AND(V343&gt;175,W343&lt;25),0.23,0)+IF(AND(V343&gt;175,W343&gt;=25,W343&lt;55),0.2,0)+IF(AND(V343&gt;175,W343&gt;=55,W343&lt;95),0.17,0)+IF(AND(V343&gt;175,W343&gt;=95),0.12,0),
IF(AF343="DoEVs1",IF(AND(V343&lt;20,W343&lt;55),0.3,0)+IF(AND(V343&lt;20,W343&gt;=55,W343&lt;105),0.23,0)+IF(AND(V343&lt;20,W343&gt;=105),0.17,0)+IF(AND(V343&gt;=20,V343&lt;40,W343&lt;45),0.3,0)+IF(AND(V343&gt;=20,V343&lt;40,W343&gt;=45,W343&lt;95),0.23,0)+IF(AND(V343&gt;=20,V343&lt;40,W343&gt;=95,W343&lt;=150),0.17,0)+IF(AND(V343&gt;=20,V343&lt;40,W343&gt;=150),0.12,0)+IF(AND(V343&gt;=40,V343&lt;75,W343&lt;35),0.3,0)+IF(AND(V343&gt;=40,V343&lt;75,W343&gt;=35,W343&lt;75),0.23,0)+IF(AND(V343&gt;=40,V343&lt;75,W343&gt;=75,W343&lt;120),0.17,0)+IF(AND(V343&gt;=40,V343&lt;75,W343&gt;=120),0.12,0)+IF(AND(V343&gt;=75,V343&lt;175,W343&lt;35),0.3,0)+IF(AND(V343&gt;=75,V343&lt;=175,W343&gt;=35,W343&lt;65),0.23,0)+IF(AND(V343&gt;=75,V343&lt;=175,W343&gt;=65,W343&lt;110),0.17,0)+IF(AND(V343&gt;=75,V343&lt;=175,W343&gt;=110),0.12,0)+IF(AND(V343&gt;175,W343&lt;25),0.3,0)+IF(AND(V343&gt;175,W343&gt;=25,W343&lt;55),0.23,0)+IF(AND(V343&gt;175,W343&gt;=55,W343&lt;95),0.17,0)+IF(AND(V343&gt;175,W343&gt;=95),0.12,0),
IF(AF343="DoEVsu",IF(AND(V343&lt;20,W343&lt;55),0.3,0)+IF(AND(V343&lt;20,W343&gt;=55,W343&lt;105),0.23,0)+IF(AND(V343&lt;20,W343&gt;=105),0.17,0)+IF(AND(V343&gt;=20,V343&lt;40,W343&lt;45),0.3,0)+IF(AND(V343&gt;=20,V343&lt;40,W343&gt;=45,W343&lt;95),0.23,0)+IF(AND(V343&gt;=20,V343&lt;40,W343&gt;=95,W343&lt;=250),0.17,0)+IF(AND(V343&gt;=20,V343&lt;40,W343&gt;=250),0.12,0)+IF(AND(V343&gt;=40,V343&lt;75,W343&lt;35),0.3,0)+IF(AND(V343&gt;=40,V343&lt;75,W343&gt;=35,W343&lt;75),0.23,0)+IF(AND(V343&gt;=40,V343&lt;75,W343&gt;=75,W343&lt;120),0.17,0)+IF(AND(V343&gt;=40,V343&lt;75,W343&gt;=120),0.12,0)+IF(AND(V343&gt;=75,V343&lt;175,W343&lt;35),0.3,0)+IF(AND(V343&gt;=75,V343&lt;=175,W343&gt;=35,W343&lt;65),0.23,0)+IF(AND(V343&gt;=75,V343&lt;=175,W343&gt;=65,W343&lt;110),0.17,0)+IF(AND(V343&gt;=75,V343&lt;=175,W343&gt;=110),0.12,0)+IF(AND(V343&gt;175,W343&lt;25),0.3,0)+IF(AND(V343&gt;175,W343&gt;=25,W343&lt;55),0.23,0)+IF(AND(V343&gt;175,W343&gt;=55,W343&lt;95),0.17,0)+IF(AND(V343&gt;175,W343&gt;=95),0.12,0),
IF(AF343="DoEVni",IF(AND(V343&lt;20,W343&lt;55),0.3,0)+IF(AND(V343&lt;20,W343&gt;=55,W343&lt;105),0.23,0)+IF(AND(V343&lt;20,W343&gt;=105),0.17,0)+IF(AND(V343&gt;=20,V343&lt;40,W343&lt;45),0.3,0)+IF(AND(V343&gt;=20,V343&lt;40,W343&gt;=45,W343&lt;95),0.23,0)+IF(AND(V343&gt;=20,V343&lt;40,W343&gt;=95,W343&lt;=200),0.17,0)+IF(AND(V343&gt;=20,V343&lt;40,W343&gt;=200),0.12,0)+IF(AND(V343&gt;=40,V343&lt;75,W343&lt;35),0.3,0)+IF(AND(V343&gt;=40,V343&lt;75,W343&gt;=35,W343&lt;75),0.23,0)+IF(AND(V343&gt;=40,V343&lt;75,W343&gt;=75,W343&lt;120),0.17,0)+IF(AND(V343&gt;=40,V343&lt;75,W343&gt;=120),0.12,0)+IF(AND(V343&gt;=75,V343&lt;175,W343&lt;35),0.3,0)+IF(AND(V343&gt;=75,V343&lt;=175,W343&gt;=35,W343&lt;65),0.23,0)+IF(AND(V343&gt;=75,V343&lt;=175,W343&gt;=65,W343&lt;110),0.17,0)+IF(AND(V343&gt;=75,V343&lt;=175,W343&gt;=110),0.12,0)+IF(AND(V343&gt;175,W343&lt;25),0.3,0)+IF(AND(V343&gt;175,W343&gt;=25,W343&lt;55),0.23,0)+IF(AND(V343&gt;175,W343&gt;=55,W343&lt;95),0.17,0)+IF(AND(V343&gt;175,W343&gt;=95),0.12,0),
IF(AF343="DoEVLo",IF(AND(V343&lt;20,W343&lt;55),0.25,0)+IF(AND(V343&lt;20,W343&gt;=55,W343&lt;105),0.2,0)+IF(AND(V343&lt;20,W343&gt;=105),0.15,0)+IF(AND(V343&gt;=20,V343&lt;40,W343&lt;45),0.25,0)+IF(AND(V343&gt;=20,V343&lt;40,W343&gt;=45,W343&lt;95),0.2,0)+IF(AND(V343&gt;=20,V343&lt;40,W343&gt;=95),0.15,0)+IF(AND(V343&gt;=40,V343&lt;75,W343&lt;35),0.25,0)+IF(AND(V343&gt;=40,V343&lt;75,W343&gt;=35,W343&lt;75),0.2,0)+IF(AND(V343&gt;=40,V343&lt;75,W343&gt;=75,W343&lt;120),0.15,0)+IF(AND(V343&gt;=40,V343&lt;75,W343&gt;=120),0.1,0)+IF(AND(V343&gt;=75,V343&lt;175,W343&lt;35),0.25,0)+IF(AND(V343&gt;=75,V343&lt;=175,W343&gt;=35,W343&lt;65),0.2,0)+IF(AND(V343&gt;=75,V343&lt;=175,W343&gt;=65,W343&lt;110),0.15,0)+IF(AND(V343&gt;=75,V343&lt;=175,W343&gt;=110),0.1,0)+IF(AND(V343&gt;175,W343&lt;25),0.25,0)+IF(AND(V343&gt;175,W343&gt;=25,W343&lt;55),0.2,0)+IF(AND(V343&gt;175,W343&gt;=55,W343&lt;95),0.15,0)+IF(AND(V343&gt;175,W343&gt;=95),0.1,0))))))))))))))))</f>
        <v>0.25</v>
      </c>
      <c r="Y343" s="30">
        <f>IF(AG343="None",0,IF(AG343="Fix5",0.05,IF(AG343="Fix3.75",0.0375,IF(AG343="Fix10",0.1,IF(AG343="Fix3",0.03,0)))))</f>
        <v>0</v>
      </c>
      <c r="Z343" s="35">
        <f>T343-AA343-AB343</f>
        <v>808.5</v>
      </c>
      <c r="AA343" s="29">
        <f>IF(AD343="EUR",((T343-R343)*X343)*U343+(R343*X343),(T343*X343))</f>
        <v>269.5</v>
      </c>
      <c r="AB343" s="36">
        <f>IF(AD343="EUR",((T343-R343)*Y343)*U343+(R343*Y343),(T343*Y343))</f>
        <v>0</v>
      </c>
      <c r="AC343" s="37" t="b">
        <v>1</v>
      </c>
      <c r="AD343" s="37" t="s">
        <v>38</v>
      </c>
      <c r="AE343" s="37" t="s">
        <v>38</v>
      </c>
      <c r="AF343" s="37" t="str">
        <f t="array" ref="AF343">INDEX('Deal Info'!D:D, MATCH(A343,'Deal Info'!A:A, 0))</f>
        <v>SF</v>
      </c>
      <c r="AG343" s="38" t="str">
        <f t="array" ref="AG343">INDEX('Deal Info'!G:G, MATCH(A343,'Deal Info'!A:A, 0))</f>
        <v>None</v>
      </c>
    </row>
    <row r="344" spans="1:33" ht="14.25" hidden="1" x14ac:dyDescent="0.2">
      <c r="A344" s="18" t="str">
        <f t="array" ref="A344">IF(G344='Room Info'!$B$1, INDEX('Room Info'!$A$2:$A2446, MATCH(B344,'Room Info'!$B$2:$B2446, 0)),IF(G344='Room Info'!$C$1, INDEX('Room Info'!$A$2:$A2446, MATCH(B344,'Room Info'!$C$2:$C2446, 0)),IF(G344='Room Info'!$D$1, INDEX('Room Info'!$A$2:$A2446, MATCH(B344,'Room Info'!$D$2:$D2446, 0)),IF(G344='Room Info'!$E$1, INDEX('Room Info'!$A$2:$A2446, MATCH(B344,'Room Info'!$E$2:$E2446, 0)),IF(G344='Room Info'!$F$1, INDEX('Room Info'!$A$2:$A2446, MATCH(B344,'Room Info'!$F$2:$F2446, 0)),IF(G344='Room Info'!$H$1, INDEX('Room Info'!$A$2:$A2446, MATCH(B344,'Room Info'!$H$2:$H2446, 0)),IF(G344='Room Info'!$G$1, INDEX('Room Info'!$A$2:$A2446, MATCH(B344,'Room Info'!$G$2:$G2446, 0)))))))))</f>
        <v>Kiss4money99</v>
      </c>
      <c r="B344" s="45" t="s">
        <v>120</v>
      </c>
      <c r="C344" s="46">
        <v>44551</v>
      </c>
      <c r="D344" s="46">
        <v>44581</v>
      </c>
      <c r="E344" s="47">
        <v>44562</v>
      </c>
      <c r="F344" s="48" t="s">
        <v>41</v>
      </c>
      <c r="G344" s="45" t="s">
        <v>35</v>
      </c>
      <c r="H344" s="49" t="s">
        <v>115</v>
      </c>
      <c r="I344" s="49" t="s">
        <v>37</v>
      </c>
      <c r="J344" s="70">
        <v>10</v>
      </c>
      <c r="K344" s="71">
        <v>6</v>
      </c>
      <c r="L344" s="52">
        <v>-10</v>
      </c>
      <c r="M344" s="53">
        <v>3</v>
      </c>
      <c r="N344" s="28">
        <f>K344*J344</f>
        <v>60</v>
      </c>
      <c r="O344" s="65"/>
      <c r="P344" s="29">
        <v>0</v>
      </c>
      <c r="Q344" s="55"/>
      <c r="R344" s="31">
        <f>M344+Q344</f>
        <v>3</v>
      </c>
      <c r="S344" s="66"/>
      <c r="T344" s="32">
        <f>R344+S344+IF(F344="Without EV deal",L344,0)</f>
        <v>-7</v>
      </c>
      <c r="U344" s="57">
        <v>1</v>
      </c>
      <c r="V344" s="69">
        <v>10</v>
      </c>
      <c r="W344" s="69">
        <v>107.1</v>
      </c>
      <c r="X344" s="30">
        <f>IF(AF344="DoEV",IF(AND(V344&lt;20,W344&lt;55),0.3,0)+IF(AND(V344&lt;20,W344&gt;=55,W344&lt;105),0.23,0)+IF(AND(V344&lt;20,W344&gt;=105),0.17,0)+IF(AND(V344&gt;=20,V344&lt;40,W344&lt;45),0.3,0)+IF(AND(V344&gt;=20,V344&lt;40,W344&gt;=45,W344&lt;95),0.23,0)+IF(AND(V344&gt;=20,V344&lt;40,W344&gt;=95),0.17,0)+IF(AND(V344&gt;=40,V344&lt;75,W344&lt;35),0.3,0)+IF(AND(V344&gt;=40,V344&lt;75,W344&gt;=35,W344&lt;75),0.23,0)+IF(AND(V344&gt;=40,V344&lt;75,W344&gt;=75,W344&lt;120),0.17,0)+IF(AND(V344&gt;=40,V344&lt;75,W344&gt;=120),0.12,0)+IF(AND(V344&gt;=75,V344&lt;175,W344&lt;35),0.3,0)+IF(AND(V344&gt;=75,V344&lt;=175,W344&gt;=35,W344&lt;65),0.23,0)+IF(AND(V344&gt;=75,V344&lt;=175,W344&gt;=65,W344&lt;110),0.17,0)+IF(AND(V344&gt;=75,V344&lt;=175,W344&gt;=110),0.12,0)+IF(AND(V344&gt;175,W344&lt;25),0.3,0)+IF(AND(V344&gt;175,W344&gt;=25,W344&lt;55),0.23,0)+IF(AND(V344&gt;175,W344&gt;=55,W344&lt;95),0.17,0)+IF(AND(V344&gt;175,W344&gt;=95),0.12,0),
IF(AF344="Fix15",0.15,
IF(AF344="Fix11.25",0.1125,
IF(AF344="Fix10",0.1,
IF(AF344="Fix9",0.09,
IF(AF344="DoEV2017",IF(AND(W344&lt;74),0.2,0)+IF(AND(W344&gt;=74),0.17,0),
IF(AF344="SF",IF(AND(V344&lt;20,W344&lt;89),0.3,0)+IF(AND(V344&lt;20,W344&gt;=89),0.25,0)+IF(AND(V344&gt;=20,V344&lt;40,W344&lt;74),0.3,0)+IF(AND(V344&gt;=20,V344&lt;40,W344&gt;=75),0.22,0)+IF(AND(V344&gt;=40,V344&lt;75,W344&lt;75),0.26,0)+IF(AND(V344&gt;=40,V344&lt;75,W344&gt;=75),0.22,0)+IF(V344&gt;=75,0.22,0),
IF(AF344="DoEVold",IF(AND(V344&lt;40,W344&lt;35),0.35,0)+IF(AND(V344&lt;40,W344&gt;=35,W344&lt;75),0.25,0)+IF(AND(V344&lt;40,W344&gt;=75),0.17,0)+IF(AND(V344&gt;=40,V344&lt;75,W344&lt;25),0.35,0)+IF(AND(V344&gt;=40,V344&lt;75,W344&gt;=25,W344&lt;65),0.25,0)+IF(AND(V344&gt;=40,V344&lt;75,W344&gt;=65,W344&lt;100),0.17,0)+IF(AND(V344&gt;=40,V344&lt;75,W344&gt;=100),0.1,0)+IF(AND(V344&gt;=75,W344&lt;25),0.35,0)+IF(AND(V344&gt;=75,W344&gt;=25,W344&lt;60),0.25,0)+IF(AND(V344&gt;=75,W344&gt;=60,W344&lt;95),0.17,0)+IF(AND(V344&gt;=75,W344&gt;=95),0.1,0),
IF(AF344="DoEVold15",IF(AND(V344&lt;=40,W344&lt;35),0.35,0)+IF(AND(V344&lt;=40,W344&gt;=35,W344&lt;75),0.25,0)+IF(AND(V344&lt;=40,W344&gt;=75,W344&lt;120),0.17,0)+IF(AND(V344&lt;=40,W344&gt;=120),0.15,0)+IF(AND(V344&gt;40,V344&lt;75,W344&lt;25),0.35,0)+IF(AND(V344&gt;=40,V344&lt;75,W344&gt;=25,W344&lt;65),0.25,0)+IF(AND(V344&gt;=40,V344&lt;75,W344&gt;=65,W344&lt;100),0.17,0)+IF(AND(V344&gt;=40,V344&lt;75,W344&gt;=100),0.1,0)+IF(AND(V344&gt;=75,W344&lt;25),0.35,0)+IF(AND(V344&gt;=75,W344&gt;=25,W344&lt;60),0.25,0)+IF(AND(V344&gt;=75,W344&gt;=60,W344&lt;95),0.17,0)+IF(AND(V344&gt;=75,W344&gt;=95),0.1,0),
IF(AF344="DoEVba",IF(AND(V344&lt;20,W344&lt;105),0.2,0)+IF(AND(V344&lt;20,W344&gt;=105),0.15,0)+IF(AND(V344&gt;=20,V344&lt;40,W344&lt;95),0.2,0)+IF(AND(V344&gt;=20,V344&lt;40,W344&gt;=95,W344&lt;150),0.15,0)+IF(AND(V344&gt;=20,V344&lt;40,W344&gt;=150),0.12,0)+IF(AND(V344&gt;=40,V344&lt;75,W344&lt;75),0.2,0)+IF(AND(V344&gt;=40,V344&lt;75,W344&gt;=75,W344&lt;120),0.15,0)+IF(AND(V344&gt;=40,V344&lt;75,W344&gt;=120),0.12,0)+IF(AND(V344&gt;=75,V344&lt;175,W344&lt;65),0.2,0)+IF(AND(V344&gt;=75,V344&lt;175,W344&gt;=65,W344&lt;110),0.15,0)+IF(AND(V344&gt;=75,V344&lt;175,W344&gt;=110),0.12,0)+IF(AND(V344&gt;=175,W344&lt;55),0.2,0)+IF(AND(V344&gt;=175,W344&gt;=55,W344&lt;95),0.15,0)+IF(AND(V344&gt;=175,W344&gt;=95),0.12,0),
IF(AF344="DoEVku",IF(AND(V344&lt;20,W344&lt;55),0.23,0)+IF(AND(V344&lt;20,W344&gt;=55,W344&lt;105),0.2,0)+IF(AND(V344&lt;20,W344&gt;=105),0.17,0)+IF(AND(V344&gt;=20,V344&lt;40,W344&lt;45),0.23,0)+IF(AND(V344&gt;=20,V344&lt;40,W344&gt;=45,W344&lt;95),0.2,0)+IF(AND(V344&gt;=20,V344&lt;40,W344&gt;=95,W344&lt;=150),0.17,0)+IF(AND(V344&gt;=20,V344&lt;40,W344&gt;=150),0.12,0)+IF(AND(V344&gt;=40,V344&lt;75,W344&lt;35),0.23,0)+IF(AND(V344&gt;=40,V344&lt;75,W344&gt;=35,W344&lt;75),0.2,0)+IF(AND(V344&gt;=40,V344&lt;75,W344&gt;=75,W344&lt;120),0.17,0)+IF(AND(V344&gt;=40,V344&lt;75,W344&gt;=120),0.12,0)+IF(AND(V344&gt;=75,V344&lt;175,W344&lt;35),0.23,0)+IF(AND(V344&gt;=75,V344&lt;=175,W344&gt;=35,W344&lt;65),0.2,0)+IF(AND(V344&gt;=75,V344&lt;=175,W344&gt;=65,W344&lt;110),0.17,0)+IF(AND(V344&gt;=75,V344&lt;=175,W344&gt;=110),0.12,0)+IF(AND(V344&gt;175,W344&lt;25),0.23,0)+IF(AND(V344&gt;175,W344&gt;=25,W344&lt;55),0.2,0)+IF(AND(V344&gt;175,W344&gt;=55,W344&lt;95),0.17,0)+IF(AND(V344&gt;175,W344&gt;=95),0.12,0),
IF(AF344="DoEVs1",IF(AND(V344&lt;20,W344&lt;55),0.3,0)+IF(AND(V344&lt;20,W344&gt;=55,W344&lt;105),0.23,0)+IF(AND(V344&lt;20,W344&gt;=105),0.17,0)+IF(AND(V344&gt;=20,V344&lt;40,W344&lt;45),0.3,0)+IF(AND(V344&gt;=20,V344&lt;40,W344&gt;=45,W344&lt;95),0.23,0)+IF(AND(V344&gt;=20,V344&lt;40,W344&gt;=95,W344&lt;=150),0.17,0)+IF(AND(V344&gt;=20,V344&lt;40,W344&gt;=150),0.12,0)+IF(AND(V344&gt;=40,V344&lt;75,W344&lt;35),0.3,0)+IF(AND(V344&gt;=40,V344&lt;75,W344&gt;=35,W344&lt;75),0.23,0)+IF(AND(V344&gt;=40,V344&lt;75,W344&gt;=75,W344&lt;120),0.17,0)+IF(AND(V344&gt;=40,V344&lt;75,W344&gt;=120),0.12,0)+IF(AND(V344&gt;=75,V344&lt;175,W344&lt;35),0.3,0)+IF(AND(V344&gt;=75,V344&lt;=175,W344&gt;=35,W344&lt;65),0.23,0)+IF(AND(V344&gt;=75,V344&lt;=175,W344&gt;=65,W344&lt;110),0.17,0)+IF(AND(V344&gt;=75,V344&lt;=175,W344&gt;=110),0.12,0)+IF(AND(V344&gt;175,W344&lt;25),0.3,0)+IF(AND(V344&gt;175,W344&gt;=25,W344&lt;55),0.23,0)+IF(AND(V344&gt;175,W344&gt;=55,W344&lt;95),0.17,0)+IF(AND(V344&gt;175,W344&gt;=95),0.12,0),
IF(AF344="DoEVsu",IF(AND(V344&lt;20,W344&lt;55),0.3,0)+IF(AND(V344&lt;20,W344&gt;=55,W344&lt;105),0.23,0)+IF(AND(V344&lt;20,W344&gt;=105),0.17,0)+IF(AND(V344&gt;=20,V344&lt;40,W344&lt;45),0.3,0)+IF(AND(V344&gt;=20,V344&lt;40,W344&gt;=45,W344&lt;95),0.23,0)+IF(AND(V344&gt;=20,V344&lt;40,W344&gt;=95,W344&lt;=250),0.17,0)+IF(AND(V344&gt;=20,V344&lt;40,W344&gt;=250),0.12,0)+IF(AND(V344&gt;=40,V344&lt;75,W344&lt;35),0.3,0)+IF(AND(V344&gt;=40,V344&lt;75,W344&gt;=35,W344&lt;75),0.23,0)+IF(AND(V344&gt;=40,V344&lt;75,W344&gt;=75,W344&lt;120),0.17,0)+IF(AND(V344&gt;=40,V344&lt;75,W344&gt;=120),0.12,0)+IF(AND(V344&gt;=75,V344&lt;175,W344&lt;35),0.3,0)+IF(AND(V344&gt;=75,V344&lt;=175,W344&gt;=35,W344&lt;65),0.23,0)+IF(AND(V344&gt;=75,V344&lt;=175,W344&gt;=65,W344&lt;110),0.17,0)+IF(AND(V344&gt;=75,V344&lt;=175,W344&gt;=110),0.12,0)+IF(AND(V344&gt;175,W344&lt;25),0.3,0)+IF(AND(V344&gt;175,W344&gt;=25,W344&lt;55),0.23,0)+IF(AND(V344&gt;175,W344&gt;=55,W344&lt;95),0.17,0)+IF(AND(V344&gt;175,W344&gt;=95),0.12,0),
IF(AF344="DoEVni",IF(AND(V344&lt;20,W344&lt;55),0.3,0)+IF(AND(V344&lt;20,W344&gt;=55,W344&lt;105),0.23,0)+IF(AND(V344&lt;20,W344&gt;=105),0.17,0)+IF(AND(V344&gt;=20,V344&lt;40,W344&lt;45),0.3,0)+IF(AND(V344&gt;=20,V344&lt;40,W344&gt;=45,W344&lt;95),0.23,0)+IF(AND(V344&gt;=20,V344&lt;40,W344&gt;=95,W344&lt;=200),0.17,0)+IF(AND(V344&gt;=20,V344&lt;40,W344&gt;=200),0.12,0)+IF(AND(V344&gt;=40,V344&lt;75,W344&lt;35),0.3,0)+IF(AND(V344&gt;=40,V344&lt;75,W344&gt;=35,W344&lt;75),0.23,0)+IF(AND(V344&gt;=40,V344&lt;75,W344&gt;=75,W344&lt;120),0.17,0)+IF(AND(V344&gt;=40,V344&lt;75,W344&gt;=120),0.12,0)+IF(AND(V344&gt;=75,V344&lt;175,W344&lt;35),0.3,0)+IF(AND(V344&gt;=75,V344&lt;=175,W344&gt;=35,W344&lt;65),0.23,0)+IF(AND(V344&gt;=75,V344&lt;=175,W344&gt;=65,W344&lt;110),0.17,0)+IF(AND(V344&gt;=75,V344&lt;=175,W344&gt;=110),0.12,0)+IF(AND(V344&gt;175,W344&lt;25),0.3,0)+IF(AND(V344&gt;175,W344&gt;=25,W344&lt;55),0.23,0)+IF(AND(V344&gt;175,W344&gt;=55,W344&lt;95),0.17,0)+IF(AND(V344&gt;175,W344&gt;=95),0.12,0),
IF(AF344="DoEVLo",IF(AND(V344&lt;20,W344&lt;55),0.25,0)+IF(AND(V344&lt;20,W344&gt;=55,W344&lt;105),0.2,0)+IF(AND(V344&lt;20,W344&gt;=105),0.15,0)+IF(AND(V344&gt;=20,V344&lt;40,W344&lt;45),0.25,0)+IF(AND(V344&gt;=20,V344&lt;40,W344&gt;=45,W344&lt;95),0.2,0)+IF(AND(V344&gt;=20,V344&lt;40,W344&gt;=95),0.15,0)+IF(AND(V344&gt;=40,V344&lt;75,W344&lt;35),0.25,0)+IF(AND(V344&gt;=40,V344&lt;75,W344&gt;=35,W344&lt;75),0.2,0)+IF(AND(V344&gt;=40,V344&lt;75,W344&gt;=75,W344&lt;120),0.15,0)+IF(AND(V344&gt;=40,V344&lt;75,W344&gt;=120),0.1,0)+IF(AND(V344&gt;=75,V344&lt;175,W344&lt;35),0.25,0)+IF(AND(V344&gt;=75,V344&lt;=175,W344&gt;=35,W344&lt;65),0.2,0)+IF(AND(V344&gt;=75,V344&lt;=175,W344&gt;=65,W344&lt;110),0.15,0)+IF(AND(V344&gt;=75,V344&lt;=175,W344&gt;=110),0.1,0)+IF(AND(V344&gt;175,W344&lt;25),0.25,0)+IF(AND(V344&gt;175,W344&gt;=25,W344&lt;55),0.2,0)+IF(AND(V344&gt;175,W344&gt;=55,W344&lt;95),0.15,0)+IF(AND(V344&gt;175,W344&gt;=95),0.1,0))))))))))))))))</f>
        <v>0.25</v>
      </c>
      <c r="Y344" s="30">
        <f>IF(AG344="None",0,IF(AG344="Fix5",0.05,IF(AG344="Fix3.75",0.0375,IF(AG344="Fix10",0.1,IF(AG344="Fix3",0.03,0)))))</f>
        <v>0</v>
      </c>
      <c r="Z344" s="35">
        <f>T344-AA344-AB344</f>
        <v>-5.25</v>
      </c>
      <c r="AA344" s="29">
        <f>IF(AD344="EUR",((T344-R344)*X344)*U344+(R344*X344),(T344*X344))</f>
        <v>-1.75</v>
      </c>
      <c r="AB344" s="36">
        <f>IF(AD344="EUR",((T344-R344)*Y344)*U344+(R344*Y344),(T344*Y344))</f>
        <v>0</v>
      </c>
      <c r="AC344" s="37" t="b">
        <v>1</v>
      </c>
      <c r="AD344" s="37" t="s">
        <v>38</v>
      </c>
      <c r="AE344" s="37" t="s">
        <v>38</v>
      </c>
      <c r="AF344" s="37" t="str">
        <f t="array" ref="AF344">INDEX('Deal Info'!D:D, MATCH(A344,'Deal Info'!A:A, 0))</f>
        <v>SF</v>
      </c>
      <c r="AG344" s="38" t="str">
        <f t="array" ref="AG344">INDEX('Deal Info'!G:G, MATCH(A344,'Deal Info'!A:A, 0))</f>
        <v>None</v>
      </c>
    </row>
    <row r="345" spans="1:33" ht="14.25" hidden="1" x14ac:dyDescent="0.2">
      <c r="A345" s="18" t="str">
        <f t="array" ref="A345">IF(G345='Room Info'!$B$1, INDEX('Room Info'!$A$2:$A2446, MATCH(B345,'Room Info'!$B$2:$B2446, 0)),IF(G345='Room Info'!$C$1, INDEX('Room Info'!$A$2:$A2446, MATCH(B345,'Room Info'!$C$2:$C2446, 0)),IF(G345='Room Info'!$D$1, INDEX('Room Info'!$A$2:$A2446, MATCH(B345,'Room Info'!$D$2:$D2446, 0)),IF(G345='Room Info'!$E$1, INDEX('Room Info'!$A$2:$A2446, MATCH(B345,'Room Info'!$E$2:$E2446, 0)),IF(G345='Room Info'!$F$1, INDEX('Room Info'!$A$2:$A2446, MATCH(B345,'Room Info'!$F$2:$F2446, 0)),IF(G345='Room Info'!$H$1, INDEX('Room Info'!$A$2:$A2446, MATCH(B345,'Room Info'!$H$2:$H2446, 0)),IF(G345='Room Info'!$G$1, INDEX('Room Info'!$A$2:$A2446, MATCH(B345,'Room Info'!$G$2:$G2446, 0)))))))))</f>
        <v>Kiss4money99</v>
      </c>
      <c r="B345" s="45" t="s">
        <v>120</v>
      </c>
      <c r="C345" s="46">
        <v>44582</v>
      </c>
      <c r="D345" s="46">
        <v>44612</v>
      </c>
      <c r="E345" s="47">
        <v>44593</v>
      </c>
      <c r="F345" s="48" t="s">
        <v>34</v>
      </c>
      <c r="G345" s="45" t="s">
        <v>35</v>
      </c>
      <c r="H345" s="49" t="s">
        <v>39</v>
      </c>
      <c r="I345" s="49" t="s">
        <v>37</v>
      </c>
      <c r="J345" s="70">
        <v>5</v>
      </c>
      <c r="K345" s="71">
        <v>10</v>
      </c>
      <c r="L345" s="52">
        <v>5</v>
      </c>
      <c r="M345" s="53">
        <v>1</v>
      </c>
      <c r="N345" s="28">
        <f>K345*J345</f>
        <v>50</v>
      </c>
      <c r="O345" s="54">
        <v>0</v>
      </c>
      <c r="P345" s="29">
        <v>0</v>
      </c>
      <c r="Q345" s="55"/>
      <c r="R345" s="31">
        <f>M345+Q345</f>
        <v>1</v>
      </c>
      <c r="S345" s="56">
        <v>-4</v>
      </c>
      <c r="T345" s="32">
        <f>R345+S345+IF(F345="Without EV deal",L345,0)</f>
        <v>-3</v>
      </c>
      <c r="U345" s="57">
        <v>1</v>
      </c>
      <c r="V345" s="69">
        <v>9.9647390691114239</v>
      </c>
      <c r="W345" s="69">
        <v>-30.005803255484786</v>
      </c>
      <c r="X345" s="30">
        <f>IF(AF345="DoEV",IF(AND(V345&lt;20,W345&lt;55),0.3,0)+IF(AND(V345&lt;20,W345&gt;=55,W345&lt;105),0.23,0)+IF(AND(V345&lt;20,W345&gt;=105),0.17,0)+IF(AND(V345&gt;=20,V345&lt;40,W345&lt;45),0.3,0)+IF(AND(V345&gt;=20,V345&lt;40,W345&gt;=45,W345&lt;95),0.23,0)+IF(AND(V345&gt;=20,V345&lt;40,W345&gt;=95),0.17,0)+IF(AND(V345&gt;=40,V345&lt;75,W345&lt;35),0.3,0)+IF(AND(V345&gt;=40,V345&lt;75,W345&gt;=35,W345&lt;75),0.23,0)+IF(AND(V345&gt;=40,V345&lt;75,W345&gt;=75,W345&lt;120),0.17,0)+IF(AND(V345&gt;=40,V345&lt;75,W345&gt;=120),0.12,0)+IF(AND(V345&gt;=75,V345&lt;175,W345&lt;35),0.3,0)+IF(AND(V345&gt;=75,V345&lt;=175,W345&gt;=35,W345&lt;65),0.23,0)+IF(AND(V345&gt;=75,V345&lt;=175,W345&gt;=65,W345&lt;110),0.17,0)+IF(AND(V345&gt;=75,V345&lt;=175,W345&gt;=110),0.12,0)+IF(AND(V345&gt;175,W345&lt;25),0.3,0)+IF(AND(V345&gt;175,W345&gt;=25,W345&lt;55),0.23,0)+IF(AND(V345&gt;175,W345&gt;=55,W345&lt;95),0.17,0)+IF(AND(V345&gt;175,W345&gt;=95),0.12,0),
IF(AF345="Fix15",0.15,
IF(AF345="Fix11.25",0.1125,
IF(AF345="Fix10",0.1,
IF(AF345="Fix9",0.09,
IF(AF345="DoEV2017",IF(AND(W345&lt;74),0.2,0)+IF(AND(W345&gt;=74),0.17,0),
IF(AF345="SF",IF(AND(V345&lt;20,W345&lt;89),0.3,0)+IF(AND(V345&lt;20,W345&gt;=89),0.25,0)+IF(AND(V345&gt;=20,V345&lt;40,W345&lt;74),0.3,0)+IF(AND(V345&gt;=20,V345&lt;40,W345&gt;=75),0.22,0)+IF(AND(V345&gt;=40,V345&lt;75,W345&lt;75),0.26,0)+IF(AND(V345&gt;=40,V345&lt;75,W345&gt;=75),0.22,0)+IF(V345&gt;=75,0.22,0),
IF(AF345="DoEVold",IF(AND(V345&lt;40,W345&lt;35),0.35,0)+IF(AND(V345&lt;40,W345&gt;=35,W345&lt;75),0.25,0)+IF(AND(V345&lt;40,W345&gt;=75),0.17,0)+IF(AND(V345&gt;=40,V345&lt;75,W345&lt;25),0.35,0)+IF(AND(V345&gt;=40,V345&lt;75,W345&gt;=25,W345&lt;65),0.25,0)+IF(AND(V345&gt;=40,V345&lt;75,W345&gt;=65,W345&lt;100),0.17,0)+IF(AND(V345&gt;=40,V345&lt;75,W345&gt;=100),0.1,0)+IF(AND(V345&gt;=75,W345&lt;25),0.35,0)+IF(AND(V345&gt;=75,W345&gt;=25,W345&lt;60),0.25,0)+IF(AND(V345&gt;=75,W345&gt;=60,W345&lt;95),0.17,0)+IF(AND(V345&gt;=75,W345&gt;=95),0.1,0),
IF(AF345="DoEVold15",IF(AND(V345&lt;=40,W345&lt;35),0.35,0)+IF(AND(V345&lt;=40,W345&gt;=35,W345&lt;75),0.25,0)+IF(AND(V345&lt;=40,W345&gt;=75,W345&lt;120),0.17,0)+IF(AND(V345&lt;=40,W345&gt;=120),0.15,0)+IF(AND(V345&gt;40,V345&lt;75,W345&lt;25),0.35,0)+IF(AND(V345&gt;=40,V345&lt;75,W345&gt;=25,W345&lt;65),0.25,0)+IF(AND(V345&gt;=40,V345&lt;75,W345&gt;=65,W345&lt;100),0.17,0)+IF(AND(V345&gt;=40,V345&lt;75,W345&gt;=100),0.1,0)+IF(AND(V345&gt;=75,W345&lt;25),0.35,0)+IF(AND(V345&gt;=75,W345&gt;=25,W345&lt;60),0.25,0)+IF(AND(V345&gt;=75,W345&gt;=60,W345&lt;95),0.17,0)+IF(AND(V345&gt;=75,W345&gt;=95),0.1,0),
IF(AF345="DoEVba",IF(AND(V345&lt;20,W345&lt;105),0.2,0)+IF(AND(V345&lt;20,W345&gt;=105),0.15,0)+IF(AND(V345&gt;=20,V345&lt;40,W345&lt;95),0.2,0)+IF(AND(V345&gt;=20,V345&lt;40,W345&gt;=95,W345&lt;150),0.15,0)+IF(AND(V345&gt;=20,V345&lt;40,W345&gt;=150),0.12,0)+IF(AND(V345&gt;=40,V345&lt;75,W345&lt;75),0.2,0)+IF(AND(V345&gt;=40,V345&lt;75,W345&gt;=75,W345&lt;120),0.15,0)+IF(AND(V345&gt;=40,V345&lt;75,W345&gt;=120),0.12,0)+IF(AND(V345&gt;=75,V345&lt;175,W345&lt;65),0.2,0)+IF(AND(V345&gt;=75,V345&lt;175,W345&gt;=65,W345&lt;110),0.15,0)+IF(AND(V345&gt;=75,V345&lt;175,W345&gt;=110),0.12,0)+IF(AND(V345&gt;=175,W345&lt;55),0.2,0)+IF(AND(V345&gt;=175,W345&gt;=55,W345&lt;95),0.15,0)+IF(AND(V345&gt;=175,W345&gt;=95),0.12,0),
IF(AF345="DoEVku",IF(AND(V345&lt;20,W345&lt;55),0.23,0)+IF(AND(V345&lt;20,W345&gt;=55,W345&lt;105),0.2,0)+IF(AND(V345&lt;20,W345&gt;=105),0.17,0)+IF(AND(V345&gt;=20,V345&lt;40,W345&lt;45),0.23,0)+IF(AND(V345&gt;=20,V345&lt;40,W345&gt;=45,W345&lt;95),0.2,0)+IF(AND(V345&gt;=20,V345&lt;40,W345&gt;=95,W345&lt;=150),0.17,0)+IF(AND(V345&gt;=20,V345&lt;40,W345&gt;=150),0.12,0)+IF(AND(V345&gt;=40,V345&lt;75,W345&lt;35),0.23,0)+IF(AND(V345&gt;=40,V345&lt;75,W345&gt;=35,W345&lt;75),0.2,0)+IF(AND(V345&gt;=40,V345&lt;75,W345&gt;=75,W345&lt;120),0.17,0)+IF(AND(V345&gt;=40,V345&lt;75,W345&gt;=120),0.12,0)+IF(AND(V345&gt;=75,V345&lt;175,W345&lt;35),0.23,0)+IF(AND(V345&gt;=75,V345&lt;=175,W345&gt;=35,W345&lt;65),0.2,0)+IF(AND(V345&gt;=75,V345&lt;=175,W345&gt;=65,W345&lt;110),0.17,0)+IF(AND(V345&gt;=75,V345&lt;=175,W345&gt;=110),0.12,0)+IF(AND(V345&gt;175,W345&lt;25),0.23,0)+IF(AND(V345&gt;175,W345&gt;=25,W345&lt;55),0.2,0)+IF(AND(V345&gt;175,W345&gt;=55,W345&lt;95),0.17,0)+IF(AND(V345&gt;175,W345&gt;=95),0.12,0),
IF(AF345="DoEVs1",IF(AND(V345&lt;20,W345&lt;55),0.3,0)+IF(AND(V345&lt;20,W345&gt;=55,W345&lt;105),0.23,0)+IF(AND(V345&lt;20,W345&gt;=105),0.17,0)+IF(AND(V345&gt;=20,V345&lt;40,W345&lt;45),0.3,0)+IF(AND(V345&gt;=20,V345&lt;40,W345&gt;=45,W345&lt;95),0.23,0)+IF(AND(V345&gt;=20,V345&lt;40,W345&gt;=95,W345&lt;=150),0.17,0)+IF(AND(V345&gt;=20,V345&lt;40,W345&gt;=150),0.12,0)+IF(AND(V345&gt;=40,V345&lt;75,W345&lt;35),0.3,0)+IF(AND(V345&gt;=40,V345&lt;75,W345&gt;=35,W345&lt;75),0.23,0)+IF(AND(V345&gt;=40,V345&lt;75,W345&gt;=75,W345&lt;120),0.17,0)+IF(AND(V345&gt;=40,V345&lt;75,W345&gt;=120),0.12,0)+IF(AND(V345&gt;=75,V345&lt;175,W345&lt;35),0.3,0)+IF(AND(V345&gt;=75,V345&lt;=175,W345&gt;=35,W345&lt;65),0.23,0)+IF(AND(V345&gt;=75,V345&lt;=175,W345&gt;=65,W345&lt;110),0.17,0)+IF(AND(V345&gt;=75,V345&lt;=175,W345&gt;=110),0.12,0)+IF(AND(V345&gt;175,W345&lt;25),0.3,0)+IF(AND(V345&gt;175,W345&gt;=25,W345&lt;55),0.23,0)+IF(AND(V345&gt;175,W345&gt;=55,W345&lt;95),0.17,0)+IF(AND(V345&gt;175,W345&gt;=95),0.12,0),
IF(AF345="DoEVsu",IF(AND(V345&lt;20,W345&lt;55),0.3,0)+IF(AND(V345&lt;20,W345&gt;=55,W345&lt;105),0.23,0)+IF(AND(V345&lt;20,W345&gt;=105),0.17,0)+IF(AND(V345&gt;=20,V345&lt;40,W345&lt;45),0.3,0)+IF(AND(V345&gt;=20,V345&lt;40,W345&gt;=45,W345&lt;95),0.23,0)+IF(AND(V345&gt;=20,V345&lt;40,W345&gt;=95,W345&lt;=250),0.17,0)+IF(AND(V345&gt;=20,V345&lt;40,W345&gt;=250),0.12,0)+IF(AND(V345&gt;=40,V345&lt;75,W345&lt;35),0.3,0)+IF(AND(V345&gt;=40,V345&lt;75,W345&gt;=35,W345&lt;75),0.23,0)+IF(AND(V345&gt;=40,V345&lt;75,W345&gt;=75,W345&lt;120),0.17,0)+IF(AND(V345&gt;=40,V345&lt;75,W345&gt;=120),0.12,0)+IF(AND(V345&gt;=75,V345&lt;175,W345&lt;35),0.3,0)+IF(AND(V345&gt;=75,V345&lt;=175,W345&gt;=35,W345&lt;65),0.23,0)+IF(AND(V345&gt;=75,V345&lt;=175,W345&gt;=65,W345&lt;110),0.17,0)+IF(AND(V345&gt;=75,V345&lt;=175,W345&gt;=110),0.12,0)+IF(AND(V345&gt;175,W345&lt;25),0.3,0)+IF(AND(V345&gt;175,W345&gt;=25,W345&lt;55),0.23,0)+IF(AND(V345&gt;175,W345&gt;=55,W345&lt;95),0.17,0)+IF(AND(V345&gt;175,W345&gt;=95),0.12,0),
IF(AF345="DoEVni",IF(AND(V345&lt;20,W345&lt;55),0.3,0)+IF(AND(V345&lt;20,W345&gt;=55,W345&lt;105),0.23,0)+IF(AND(V345&lt;20,W345&gt;=105),0.17,0)+IF(AND(V345&gt;=20,V345&lt;40,W345&lt;45),0.3,0)+IF(AND(V345&gt;=20,V345&lt;40,W345&gt;=45,W345&lt;95),0.23,0)+IF(AND(V345&gt;=20,V345&lt;40,W345&gt;=95,W345&lt;=200),0.17,0)+IF(AND(V345&gt;=20,V345&lt;40,W345&gt;=200),0.12,0)+IF(AND(V345&gt;=40,V345&lt;75,W345&lt;35),0.3,0)+IF(AND(V345&gt;=40,V345&lt;75,W345&gt;=35,W345&lt;75),0.23,0)+IF(AND(V345&gt;=40,V345&lt;75,W345&gt;=75,W345&lt;120),0.17,0)+IF(AND(V345&gt;=40,V345&lt;75,W345&gt;=120),0.12,0)+IF(AND(V345&gt;=75,V345&lt;175,W345&lt;35),0.3,0)+IF(AND(V345&gt;=75,V345&lt;=175,W345&gt;=35,W345&lt;65),0.23,0)+IF(AND(V345&gt;=75,V345&lt;=175,W345&gt;=65,W345&lt;110),0.17,0)+IF(AND(V345&gt;=75,V345&lt;=175,W345&gt;=110),0.12,0)+IF(AND(V345&gt;175,W345&lt;25),0.3,0)+IF(AND(V345&gt;175,W345&gt;=25,W345&lt;55),0.23,0)+IF(AND(V345&gt;175,W345&gt;=55,W345&lt;95),0.17,0)+IF(AND(V345&gt;175,W345&gt;=95),0.12,0),
IF(AF345="DoEVLo",IF(AND(V345&lt;20,W345&lt;55),0.25,0)+IF(AND(V345&lt;20,W345&gt;=55,W345&lt;105),0.2,0)+IF(AND(V345&lt;20,W345&gt;=105),0.15,0)+IF(AND(V345&gt;=20,V345&lt;40,W345&lt;45),0.25,0)+IF(AND(V345&gt;=20,V345&lt;40,W345&gt;=45,W345&lt;95),0.2,0)+IF(AND(V345&gt;=20,V345&lt;40,W345&gt;=95),0.15,0)+IF(AND(V345&gt;=40,V345&lt;75,W345&lt;35),0.25,0)+IF(AND(V345&gt;=40,V345&lt;75,W345&gt;=35,W345&lt;75),0.2,0)+IF(AND(V345&gt;=40,V345&lt;75,W345&gt;=75,W345&lt;120),0.15,0)+IF(AND(V345&gt;=40,V345&lt;75,W345&gt;=120),0.1,0)+IF(AND(V345&gt;=75,V345&lt;175,W345&lt;35),0.25,0)+IF(AND(V345&gt;=75,V345&lt;=175,W345&gt;=35,W345&lt;65),0.2,0)+IF(AND(V345&gt;=75,V345&lt;=175,W345&gt;=65,W345&lt;110),0.15,0)+IF(AND(V345&gt;=75,V345&lt;=175,W345&gt;=110),0.1,0)+IF(AND(V345&gt;175,W345&lt;25),0.25,0)+IF(AND(V345&gt;175,W345&gt;=25,W345&lt;55),0.2,0)+IF(AND(V345&gt;175,W345&gt;=55,W345&lt;95),0.15,0)+IF(AND(V345&gt;175,W345&gt;=95),0.1,0))))))))))))))))</f>
        <v>0.3</v>
      </c>
      <c r="Y345" s="30">
        <f>IF(AG345="None",0,IF(AG345="Fix5",0.05,IF(AG345="Fix3.75",0.0375,IF(AG345="Fix10",0.1,IF(AG345="Fix3",0.03,0)))))</f>
        <v>0</v>
      </c>
      <c r="Z345" s="35">
        <f>T345-AA345-AB345</f>
        <v>-2.1</v>
      </c>
      <c r="AA345" s="29">
        <f>IF(AD345="EUR",((T345-R345)*X345)*U345+(R345*X345),(T345*X345))</f>
        <v>-0.89999999999999991</v>
      </c>
      <c r="AB345" s="36">
        <f>IF(AD345="EUR",((T345-R345)*Y345)*U345+(R345*Y345),(T345*Y345))</f>
        <v>0</v>
      </c>
      <c r="AC345" s="37" t="b">
        <v>1</v>
      </c>
      <c r="AD345" s="37" t="s">
        <v>38</v>
      </c>
      <c r="AE345" s="37" t="s">
        <v>38</v>
      </c>
      <c r="AF345" s="37" t="str">
        <f t="array" ref="AF345">INDEX('Deal Info'!D:D, MATCH(A345,'Deal Info'!A:A, 0))</f>
        <v>SF</v>
      </c>
      <c r="AG345" s="38" t="str">
        <f t="array" ref="AG345">INDEX('Deal Info'!G:G, MATCH(A345,'Deal Info'!A:A, 0))</f>
        <v>None</v>
      </c>
    </row>
    <row r="346" spans="1:33" ht="14.25" hidden="1" x14ac:dyDescent="0.2">
      <c r="A346" s="18" t="str">
        <f t="array" ref="A346">IF(G346='Room Info'!$B$1, INDEX('Room Info'!$A$2:$A2446, MATCH(B346,'Room Info'!$B$2:$B2446, 0)),IF(G346='Room Info'!$C$1, INDEX('Room Info'!$A$2:$A2446, MATCH(B346,'Room Info'!$C$2:$C2446, 0)),IF(G346='Room Info'!$D$1, INDEX('Room Info'!$A$2:$A2446, MATCH(B346,'Room Info'!$D$2:$D2446, 0)),IF(G346='Room Info'!$E$1, INDEX('Room Info'!$A$2:$A2446, MATCH(B346,'Room Info'!$E$2:$E2446, 0)),IF(G346='Room Info'!$F$1, INDEX('Room Info'!$A$2:$A2446, MATCH(B346,'Room Info'!$F$2:$F2446, 0)),IF(G346='Room Info'!$H$1, INDEX('Room Info'!$A$2:$A2446, MATCH(B346,'Room Info'!$H$2:$H2446, 0)),IF(G346='Room Info'!$G$1, INDEX('Room Info'!$A$2:$A2446, MATCH(B346,'Room Info'!$G$2:$G2446, 0)))))))))</f>
        <v>Kiss4money99</v>
      </c>
      <c r="B346" s="45" t="s">
        <v>120</v>
      </c>
      <c r="C346" s="46">
        <v>44582</v>
      </c>
      <c r="D346" s="46">
        <v>44612</v>
      </c>
      <c r="E346" s="47">
        <v>44593</v>
      </c>
      <c r="F346" s="48" t="s">
        <v>34</v>
      </c>
      <c r="G346" s="45" t="s">
        <v>35</v>
      </c>
      <c r="H346" s="49" t="s">
        <v>40</v>
      </c>
      <c r="I346" s="49" t="s">
        <v>37</v>
      </c>
      <c r="J346" s="70">
        <v>10</v>
      </c>
      <c r="K346" s="71">
        <v>1408</v>
      </c>
      <c r="L346" s="52">
        <v>-770</v>
      </c>
      <c r="M346" s="53">
        <v>323</v>
      </c>
      <c r="N346" s="28">
        <f>K346*J346</f>
        <v>14080</v>
      </c>
      <c r="O346" s="54">
        <v>21434</v>
      </c>
      <c r="P346" s="29">
        <v>15.223011359999999</v>
      </c>
      <c r="Q346" s="55"/>
      <c r="R346" s="31">
        <f>M346+Q346</f>
        <v>323</v>
      </c>
      <c r="S346" s="56">
        <v>-619</v>
      </c>
      <c r="T346" s="32">
        <f>R346+S346+IF(F346="Without EV deal",L346,0)</f>
        <v>-296</v>
      </c>
      <c r="U346" s="57">
        <v>1</v>
      </c>
      <c r="V346" s="69">
        <v>9.9647390691114239</v>
      </c>
      <c r="W346" s="69">
        <v>-30.005803255484786</v>
      </c>
      <c r="X346" s="30">
        <f>IF(AF346="DoEV",IF(AND(V346&lt;20,W346&lt;55),0.3,0)+IF(AND(V346&lt;20,W346&gt;=55,W346&lt;105),0.23,0)+IF(AND(V346&lt;20,W346&gt;=105),0.17,0)+IF(AND(V346&gt;=20,V346&lt;40,W346&lt;45),0.3,0)+IF(AND(V346&gt;=20,V346&lt;40,W346&gt;=45,W346&lt;95),0.23,0)+IF(AND(V346&gt;=20,V346&lt;40,W346&gt;=95),0.17,0)+IF(AND(V346&gt;=40,V346&lt;75,W346&lt;35),0.3,0)+IF(AND(V346&gt;=40,V346&lt;75,W346&gt;=35,W346&lt;75),0.23,0)+IF(AND(V346&gt;=40,V346&lt;75,W346&gt;=75,W346&lt;120),0.17,0)+IF(AND(V346&gt;=40,V346&lt;75,W346&gt;=120),0.12,0)+IF(AND(V346&gt;=75,V346&lt;175,W346&lt;35),0.3,0)+IF(AND(V346&gt;=75,V346&lt;=175,W346&gt;=35,W346&lt;65),0.23,0)+IF(AND(V346&gt;=75,V346&lt;=175,W346&gt;=65,W346&lt;110),0.17,0)+IF(AND(V346&gt;=75,V346&lt;=175,W346&gt;=110),0.12,0)+IF(AND(V346&gt;175,W346&lt;25),0.3,0)+IF(AND(V346&gt;175,W346&gt;=25,W346&lt;55),0.23,0)+IF(AND(V346&gt;175,W346&gt;=55,W346&lt;95),0.17,0)+IF(AND(V346&gt;175,W346&gt;=95),0.12,0),
IF(AF346="Fix15",0.15,
IF(AF346="Fix11.25",0.1125,
IF(AF346="Fix10",0.1,
IF(AF346="Fix9",0.09,
IF(AF346="DoEV2017",IF(AND(W346&lt;74),0.2,0)+IF(AND(W346&gt;=74),0.17,0),
IF(AF346="SF",IF(AND(V346&lt;20,W346&lt;89),0.3,0)+IF(AND(V346&lt;20,W346&gt;=89),0.25,0)+IF(AND(V346&gt;=20,V346&lt;40,W346&lt;74),0.3,0)+IF(AND(V346&gt;=20,V346&lt;40,W346&gt;=75),0.22,0)+IF(AND(V346&gt;=40,V346&lt;75,W346&lt;75),0.26,0)+IF(AND(V346&gt;=40,V346&lt;75,W346&gt;=75),0.22,0)+IF(V346&gt;=75,0.22,0),
IF(AF346="DoEVold",IF(AND(V346&lt;40,W346&lt;35),0.35,0)+IF(AND(V346&lt;40,W346&gt;=35,W346&lt;75),0.25,0)+IF(AND(V346&lt;40,W346&gt;=75),0.17,0)+IF(AND(V346&gt;=40,V346&lt;75,W346&lt;25),0.35,0)+IF(AND(V346&gt;=40,V346&lt;75,W346&gt;=25,W346&lt;65),0.25,0)+IF(AND(V346&gt;=40,V346&lt;75,W346&gt;=65,W346&lt;100),0.17,0)+IF(AND(V346&gt;=40,V346&lt;75,W346&gt;=100),0.1,0)+IF(AND(V346&gt;=75,W346&lt;25),0.35,0)+IF(AND(V346&gt;=75,W346&gt;=25,W346&lt;60),0.25,0)+IF(AND(V346&gt;=75,W346&gt;=60,W346&lt;95),0.17,0)+IF(AND(V346&gt;=75,W346&gt;=95),0.1,0),
IF(AF346="DoEVold15",IF(AND(V346&lt;=40,W346&lt;35),0.35,0)+IF(AND(V346&lt;=40,W346&gt;=35,W346&lt;75),0.25,0)+IF(AND(V346&lt;=40,W346&gt;=75,W346&lt;120),0.17,0)+IF(AND(V346&lt;=40,W346&gt;=120),0.15,0)+IF(AND(V346&gt;40,V346&lt;75,W346&lt;25),0.35,0)+IF(AND(V346&gt;=40,V346&lt;75,W346&gt;=25,W346&lt;65),0.25,0)+IF(AND(V346&gt;=40,V346&lt;75,W346&gt;=65,W346&lt;100),0.17,0)+IF(AND(V346&gt;=40,V346&lt;75,W346&gt;=100),0.1,0)+IF(AND(V346&gt;=75,W346&lt;25),0.35,0)+IF(AND(V346&gt;=75,W346&gt;=25,W346&lt;60),0.25,0)+IF(AND(V346&gt;=75,W346&gt;=60,W346&lt;95),0.17,0)+IF(AND(V346&gt;=75,W346&gt;=95),0.1,0),
IF(AF346="DoEVba",IF(AND(V346&lt;20,W346&lt;105),0.2,0)+IF(AND(V346&lt;20,W346&gt;=105),0.15,0)+IF(AND(V346&gt;=20,V346&lt;40,W346&lt;95),0.2,0)+IF(AND(V346&gt;=20,V346&lt;40,W346&gt;=95,W346&lt;150),0.15,0)+IF(AND(V346&gt;=20,V346&lt;40,W346&gt;=150),0.12,0)+IF(AND(V346&gt;=40,V346&lt;75,W346&lt;75),0.2,0)+IF(AND(V346&gt;=40,V346&lt;75,W346&gt;=75,W346&lt;120),0.15,0)+IF(AND(V346&gt;=40,V346&lt;75,W346&gt;=120),0.12,0)+IF(AND(V346&gt;=75,V346&lt;175,W346&lt;65),0.2,0)+IF(AND(V346&gt;=75,V346&lt;175,W346&gt;=65,W346&lt;110),0.15,0)+IF(AND(V346&gt;=75,V346&lt;175,W346&gt;=110),0.12,0)+IF(AND(V346&gt;=175,W346&lt;55),0.2,0)+IF(AND(V346&gt;=175,W346&gt;=55,W346&lt;95),0.15,0)+IF(AND(V346&gt;=175,W346&gt;=95),0.12,0),
IF(AF346="DoEVku",IF(AND(V346&lt;20,W346&lt;55),0.23,0)+IF(AND(V346&lt;20,W346&gt;=55,W346&lt;105),0.2,0)+IF(AND(V346&lt;20,W346&gt;=105),0.17,0)+IF(AND(V346&gt;=20,V346&lt;40,W346&lt;45),0.23,0)+IF(AND(V346&gt;=20,V346&lt;40,W346&gt;=45,W346&lt;95),0.2,0)+IF(AND(V346&gt;=20,V346&lt;40,W346&gt;=95,W346&lt;=150),0.17,0)+IF(AND(V346&gt;=20,V346&lt;40,W346&gt;=150),0.12,0)+IF(AND(V346&gt;=40,V346&lt;75,W346&lt;35),0.23,0)+IF(AND(V346&gt;=40,V346&lt;75,W346&gt;=35,W346&lt;75),0.2,0)+IF(AND(V346&gt;=40,V346&lt;75,W346&gt;=75,W346&lt;120),0.17,0)+IF(AND(V346&gt;=40,V346&lt;75,W346&gt;=120),0.12,0)+IF(AND(V346&gt;=75,V346&lt;175,W346&lt;35),0.23,0)+IF(AND(V346&gt;=75,V346&lt;=175,W346&gt;=35,W346&lt;65),0.2,0)+IF(AND(V346&gt;=75,V346&lt;=175,W346&gt;=65,W346&lt;110),0.17,0)+IF(AND(V346&gt;=75,V346&lt;=175,W346&gt;=110),0.12,0)+IF(AND(V346&gt;175,W346&lt;25),0.23,0)+IF(AND(V346&gt;175,W346&gt;=25,W346&lt;55),0.2,0)+IF(AND(V346&gt;175,W346&gt;=55,W346&lt;95),0.17,0)+IF(AND(V346&gt;175,W346&gt;=95),0.12,0),
IF(AF346="DoEVs1",IF(AND(V346&lt;20,W346&lt;55),0.3,0)+IF(AND(V346&lt;20,W346&gt;=55,W346&lt;105),0.23,0)+IF(AND(V346&lt;20,W346&gt;=105),0.17,0)+IF(AND(V346&gt;=20,V346&lt;40,W346&lt;45),0.3,0)+IF(AND(V346&gt;=20,V346&lt;40,W346&gt;=45,W346&lt;95),0.23,0)+IF(AND(V346&gt;=20,V346&lt;40,W346&gt;=95,W346&lt;=150),0.17,0)+IF(AND(V346&gt;=20,V346&lt;40,W346&gt;=150),0.12,0)+IF(AND(V346&gt;=40,V346&lt;75,W346&lt;35),0.3,0)+IF(AND(V346&gt;=40,V346&lt;75,W346&gt;=35,W346&lt;75),0.23,0)+IF(AND(V346&gt;=40,V346&lt;75,W346&gt;=75,W346&lt;120),0.17,0)+IF(AND(V346&gt;=40,V346&lt;75,W346&gt;=120),0.12,0)+IF(AND(V346&gt;=75,V346&lt;175,W346&lt;35),0.3,0)+IF(AND(V346&gt;=75,V346&lt;=175,W346&gt;=35,W346&lt;65),0.23,0)+IF(AND(V346&gt;=75,V346&lt;=175,W346&gt;=65,W346&lt;110),0.17,0)+IF(AND(V346&gt;=75,V346&lt;=175,W346&gt;=110),0.12,0)+IF(AND(V346&gt;175,W346&lt;25),0.3,0)+IF(AND(V346&gt;175,W346&gt;=25,W346&lt;55),0.23,0)+IF(AND(V346&gt;175,W346&gt;=55,W346&lt;95),0.17,0)+IF(AND(V346&gt;175,W346&gt;=95),0.12,0),
IF(AF346="DoEVsu",IF(AND(V346&lt;20,W346&lt;55),0.3,0)+IF(AND(V346&lt;20,W346&gt;=55,W346&lt;105),0.23,0)+IF(AND(V346&lt;20,W346&gt;=105),0.17,0)+IF(AND(V346&gt;=20,V346&lt;40,W346&lt;45),0.3,0)+IF(AND(V346&gt;=20,V346&lt;40,W346&gt;=45,W346&lt;95),0.23,0)+IF(AND(V346&gt;=20,V346&lt;40,W346&gt;=95,W346&lt;=250),0.17,0)+IF(AND(V346&gt;=20,V346&lt;40,W346&gt;=250),0.12,0)+IF(AND(V346&gt;=40,V346&lt;75,W346&lt;35),0.3,0)+IF(AND(V346&gt;=40,V346&lt;75,W346&gt;=35,W346&lt;75),0.23,0)+IF(AND(V346&gt;=40,V346&lt;75,W346&gt;=75,W346&lt;120),0.17,0)+IF(AND(V346&gt;=40,V346&lt;75,W346&gt;=120),0.12,0)+IF(AND(V346&gt;=75,V346&lt;175,W346&lt;35),0.3,0)+IF(AND(V346&gt;=75,V346&lt;=175,W346&gt;=35,W346&lt;65),0.23,0)+IF(AND(V346&gt;=75,V346&lt;=175,W346&gt;=65,W346&lt;110),0.17,0)+IF(AND(V346&gt;=75,V346&lt;=175,W346&gt;=110),0.12,0)+IF(AND(V346&gt;175,W346&lt;25),0.3,0)+IF(AND(V346&gt;175,W346&gt;=25,W346&lt;55),0.23,0)+IF(AND(V346&gt;175,W346&gt;=55,W346&lt;95),0.17,0)+IF(AND(V346&gt;175,W346&gt;=95),0.12,0),
IF(AF346="DoEVni",IF(AND(V346&lt;20,W346&lt;55),0.3,0)+IF(AND(V346&lt;20,W346&gt;=55,W346&lt;105),0.23,0)+IF(AND(V346&lt;20,W346&gt;=105),0.17,0)+IF(AND(V346&gt;=20,V346&lt;40,W346&lt;45),0.3,0)+IF(AND(V346&gt;=20,V346&lt;40,W346&gt;=45,W346&lt;95),0.23,0)+IF(AND(V346&gt;=20,V346&lt;40,W346&gt;=95,W346&lt;=200),0.17,0)+IF(AND(V346&gt;=20,V346&lt;40,W346&gt;=200),0.12,0)+IF(AND(V346&gt;=40,V346&lt;75,W346&lt;35),0.3,0)+IF(AND(V346&gt;=40,V346&lt;75,W346&gt;=35,W346&lt;75),0.23,0)+IF(AND(V346&gt;=40,V346&lt;75,W346&gt;=75,W346&lt;120),0.17,0)+IF(AND(V346&gt;=40,V346&lt;75,W346&gt;=120),0.12,0)+IF(AND(V346&gt;=75,V346&lt;175,W346&lt;35),0.3,0)+IF(AND(V346&gt;=75,V346&lt;=175,W346&gt;=35,W346&lt;65),0.23,0)+IF(AND(V346&gt;=75,V346&lt;=175,W346&gt;=65,W346&lt;110),0.17,0)+IF(AND(V346&gt;=75,V346&lt;=175,W346&gt;=110),0.12,0)+IF(AND(V346&gt;175,W346&lt;25),0.3,0)+IF(AND(V346&gt;175,W346&gt;=25,W346&lt;55),0.23,0)+IF(AND(V346&gt;175,W346&gt;=55,W346&lt;95),0.17,0)+IF(AND(V346&gt;175,W346&gt;=95),0.12,0),
IF(AF346="DoEVLo",IF(AND(V346&lt;20,W346&lt;55),0.25,0)+IF(AND(V346&lt;20,W346&gt;=55,W346&lt;105),0.2,0)+IF(AND(V346&lt;20,W346&gt;=105),0.15,0)+IF(AND(V346&gt;=20,V346&lt;40,W346&lt;45),0.25,0)+IF(AND(V346&gt;=20,V346&lt;40,W346&gt;=45,W346&lt;95),0.2,0)+IF(AND(V346&gt;=20,V346&lt;40,W346&gt;=95),0.15,0)+IF(AND(V346&gt;=40,V346&lt;75,W346&lt;35),0.25,0)+IF(AND(V346&gt;=40,V346&lt;75,W346&gt;=35,W346&lt;75),0.2,0)+IF(AND(V346&gt;=40,V346&lt;75,W346&gt;=75,W346&lt;120),0.15,0)+IF(AND(V346&gt;=40,V346&lt;75,W346&gt;=120),0.1,0)+IF(AND(V346&gt;=75,V346&lt;175,W346&lt;35),0.25,0)+IF(AND(V346&gt;=75,V346&lt;=175,W346&gt;=35,W346&lt;65),0.2,0)+IF(AND(V346&gt;=75,V346&lt;=175,W346&gt;=65,W346&lt;110),0.15,0)+IF(AND(V346&gt;=75,V346&lt;=175,W346&gt;=110),0.1,0)+IF(AND(V346&gt;175,W346&lt;25),0.25,0)+IF(AND(V346&gt;175,W346&gt;=25,W346&lt;55),0.2,0)+IF(AND(V346&gt;175,W346&gt;=55,W346&lt;95),0.15,0)+IF(AND(V346&gt;175,W346&gt;=95),0.1,0))))))))))))))))</f>
        <v>0.3</v>
      </c>
      <c r="Y346" s="30">
        <f>IF(AG346="None",0,IF(AG346="Fix5",0.05,IF(AG346="Fix3.75",0.0375,IF(AG346="Fix10",0.1,IF(AG346="Fix3",0.03,0)))))</f>
        <v>0</v>
      </c>
      <c r="Z346" s="35">
        <f>T346-AA346-AB346</f>
        <v>-207.2</v>
      </c>
      <c r="AA346" s="29">
        <f>IF(AD346="EUR",((T346-R346)*X346)*U346+(R346*X346),(T346*X346))</f>
        <v>-88.8</v>
      </c>
      <c r="AB346" s="36">
        <f>IF(AD346="EUR",((T346-R346)*Y346)*U346+(R346*Y346),(T346*Y346))</f>
        <v>0</v>
      </c>
      <c r="AC346" s="37" t="b">
        <v>1</v>
      </c>
      <c r="AD346" s="37" t="s">
        <v>38</v>
      </c>
      <c r="AE346" s="37" t="s">
        <v>38</v>
      </c>
      <c r="AF346" s="37" t="str">
        <f t="array" ref="AF346">INDEX('Deal Info'!D:D, MATCH(A346,'Deal Info'!A:A, 0))</f>
        <v>SF</v>
      </c>
      <c r="AG346" s="38" t="str">
        <f t="array" ref="AG346">INDEX('Deal Info'!G:G, MATCH(A346,'Deal Info'!A:A, 0))</f>
        <v>None</v>
      </c>
    </row>
    <row r="347" spans="1:33" ht="14.25" hidden="1" x14ac:dyDescent="0.2">
      <c r="A347" s="18" t="str">
        <f t="array" ref="A347">IF(G347='Room Info'!$B$1, INDEX('Room Info'!$A$2:$A2446, MATCH(B347,'Room Info'!$B$2:$B2446, 0)),IF(G347='Room Info'!$C$1, INDEX('Room Info'!$A$2:$A2446, MATCH(B347,'Room Info'!$C$2:$C2446, 0)),IF(G347='Room Info'!$D$1, INDEX('Room Info'!$A$2:$A2446, MATCH(B347,'Room Info'!$D$2:$D2446, 0)),IF(G347='Room Info'!$E$1, INDEX('Room Info'!$A$2:$A2446, MATCH(B347,'Room Info'!$E$2:$E2446, 0)),IF(G347='Room Info'!$F$1, INDEX('Room Info'!$A$2:$A2446, MATCH(B347,'Room Info'!$F$2:$F2446, 0)),IF(G347='Room Info'!$H$1, INDEX('Room Info'!$A$2:$A2446, MATCH(B347,'Room Info'!$H$2:$H2446, 0)),IF(G347='Room Info'!$G$1, INDEX('Room Info'!$A$2:$A2446, MATCH(B347,'Room Info'!$G$2:$G2446, 0)))))))))</f>
        <v>Kiss4money99</v>
      </c>
      <c r="B347" s="45" t="s">
        <v>120</v>
      </c>
      <c r="C347" s="46">
        <v>44613</v>
      </c>
      <c r="D347" s="46">
        <v>44640</v>
      </c>
      <c r="E347" s="47">
        <v>44621</v>
      </c>
      <c r="F347" s="48" t="s">
        <v>34</v>
      </c>
      <c r="G347" s="45" t="s">
        <v>35</v>
      </c>
      <c r="H347" s="49" t="s">
        <v>39</v>
      </c>
      <c r="I347" s="49" t="s">
        <v>37</v>
      </c>
      <c r="J347" s="70">
        <v>5</v>
      </c>
      <c r="K347" s="71">
        <v>3705</v>
      </c>
      <c r="L347" s="52">
        <v>730</v>
      </c>
      <c r="M347" s="53">
        <v>270</v>
      </c>
      <c r="N347" s="28">
        <f>K347*J347</f>
        <v>18525</v>
      </c>
      <c r="O347" s="54">
        <v>281090</v>
      </c>
      <c r="P347" s="29">
        <v>75.867746289999999</v>
      </c>
      <c r="Q347" s="55"/>
      <c r="R347" s="31">
        <f>M347+Q347</f>
        <v>270</v>
      </c>
      <c r="S347" s="56">
        <v>893</v>
      </c>
      <c r="T347" s="32">
        <f>R347+S347+IF(F347="Without EV deal",L347,0)</f>
        <v>1163</v>
      </c>
      <c r="U347" s="57">
        <v>1</v>
      </c>
      <c r="V347" s="69">
        <v>5.3837528033889859</v>
      </c>
      <c r="W347" s="69">
        <v>221.22115251099282</v>
      </c>
      <c r="X347" s="30">
        <f>IF(AF347="DoEV",IF(AND(V347&lt;20,W347&lt;55),0.3,0)+IF(AND(V347&lt;20,W347&gt;=55,W347&lt;105),0.23,0)+IF(AND(V347&lt;20,W347&gt;=105),0.17,0)+IF(AND(V347&gt;=20,V347&lt;40,W347&lt;45),0.3,0)+IF(AND(V347&gt;=20,V347&lt;40,W347&gt;=45,W347&lt;95),0.23,0)+IF(AND(V347&gt;=20,V347&lt;40,W347&gt;=95),0.17,0)+IF(AND(V347&gt;=40,V347&lt;75,W347&lt;35),0.3,0)+IF(AND(V347&gt;=40,V347&lt;75,W347&gt;=35,W347&lt;75),0.23,0)+IF(AND(V347&gt;=40,V347&lt;75,W347&gt;=75,W347&lt;120),0.17,0)+IF(AND(V347&gt;=40,V347&lt;75,W347&gt;=120),0.12,0)+IF(AND(V347&gt;=75,V347&lt;175,W347&lt;35),0.3,0)+IF(AND(V347&gt;=75,V347&lt;=175,W347&gt;=35,W347&lt;65),0.23,0)+IF(AND(V347&gt;=75,V347&lt;=175,W347&gt;=65,W347&lt;110),0.17,0)+IF(AND(V347&gt;=75,V347&lt;=175,W347&gt;=110),0.12,0)+IF(AND(V347&gt;175,W347&lt;25),0.3,0)+IF(AND(V347&gt;175,W347&gt;=25,W347&lt;55),0.23,0)+IF(AND(V347&gt;175,W347&gt;=55,W347&lt;95),0.17,0)+IF(AND(V347&gt;175,W347&gt;=95),0.12,0),
IF(AF347="Fix15",0.15,
IF(AF347="Fix11.25",0.1125,
IF(AF347="Fix10",0.1,
IF(AF347="Fix9",0.09,
IF(AF347="DoEV2017",IF(AND(W347&lt;74),0.2,0)+IF(AND(W347&gt;=74),0.17,0),
IF(AF347="SF",IF(AND(V347&lt;20,W347&lt;89),0.3,0)+IF(AND(V347&lt;20,W347&gt;=89),0.25,0)+IF(AND(V347&gt;=20,V347&lt;40,W347&lt;74),0.3,0)+IF(AND(V347&gt;=20,V347&lt;40,W347&gt;=75),0.22,0)+IF(AND(V347&gt;=40,V347&lt;75,W347&lt;75),0.26,0)+IF(AND(V347&gt;=40,V347&lt;75,W347&gt;=75),0.22,0)+IF(V347&gt;=75,0.22,0),
IF(AF347="DoEVold",IF(AND(V347&lt;40,W347&lt;35),0.35,0)+IF(AND(V347&lt;40,W347&gt;=35,W347&lt;75),0.25,0)+IF(AND(V347&lt;40,W347&gt;=75),0.17,0)+IF(AND(V347&gt;=40,V347&lt;75,W347&lt;25),0.35,0)+IF(AND(V347&gt;=40,V347&lt;75,W347&gt;=25,W347&lt;65),0.25,0)+IF(AND(V347&gt;=40,V347&lt;75,W347&gt;=65,W347&lt;100),0.17,0)+IF(AND(V347&gt;=40,V347&lt;75,W347&gt;=100),0.1,0)+IF(AND(V347&gt;=75,W347&lt;25),0.35,0)+IF(AND(V347&gt;=75,W347&gt;=25,W347&lt;60),0.25,0)+IF(AND(V347&gt;=75,W347&gt;=60,W347&lt;95),0.17,0)+IF(AND(V347&gt;=75,W347&gt;=95),0.1,0),
IF(AF347="DoEVold15",IF(AND(V347&lt;=40,W347&lt;35),0.35,0)+IF(AND(V347&lt;=40,W347&gt;=35,W347&lt;75),0.25,0)+IF(AND(V347&lt;=40,W347&gt;=75,W347&lt;120),0.17,0)+IF(AND(V347&lt;=40,W347&gt;=120),0.15,0)+IF(AND(V347&gt;40,V347&lt;75,W347&lt;25),0.35,0)+IF(AND(V347&gt;=40,V347&lt;75,W347&gt;=25,W347&lt;65),0.25,0)+IF(AND(V347&gt;=40,V347&lt;75,W347&gt;=65,W347&lt;100),0.17,0)+IF(AND(V347&gt;=40,V347&lt;75,W347&gt;=100),0.1,0)+IF(AND(V347&gt;=75,W347&lt;25),0.35,0)+IF(AND(V347&gt;=75,W347&gt;=25,W347&lt;60),0.25,0)+IF(AND(V347&gt;=75,W347&gt;=60,W347&lt;95),0.17,0)+IF(AND(V347&gt;=75,W347&gt;=95),0.1,0),
IF(AF347="DoEVba",IF(AND(V347&lt;20,W347&lt;105),0.2,0)+IF(AND(V347&lt;20,W347&gt;=105),0.15,0)+IF(AND(V347&gt;=20,V347&lt;40,W347&lt;95),0.2,0)+IF(AND(V347&gt;=20,V347&lt;40,W347&gt;=95,W347&lt;150),0.15,0)+IF(AND(V347&gt;=20,V347&lt;40,W347&gt;=150),0.12,0)+IF(AND(V347&gt;=40,V347&lt;75,W347&lt;75),0.2,0)+IF(AND(V347&gt;=40,V347&lt;75,W347&gt;=75,W347&lt;120),0.15,0)+IF(AND(V347&gt;=40,V347&lt;75,W347&gt;=120),0.12,0)+IF(AND(V347&gt;=75,V347&lt;175,W347&lt;65),0.2,0)+IF(AND(V347&gt;=75,V347&lt;175,W347&gt;=65,W347&lt;110),0.15,0)+IF(AND(V347&gt;=75,V347&lt;175,W347&gt;=110),0.12,0)+IF(AND(V347&gt;=175,W347&lt;55),0.2,0)+IF(AND(V347&gt;=175,W347&gt;=55,W347&lt;95),0.15,0)+IF(AND(V347&gt;=175,W347&gt;=95),0.12,0),
IF(AF347="DoEVku",IF(AND(V347&lt;20,W347&lt;55),0.23,0)+IF(AND(V347&lt;20,W347&gt;=55,W347&lt;105),0.2,0)+IF(AND(V347&lt;20,W347&gt;=105),0.17,0)+IF(AND(V347&gt;=20,V347&lt;40,W347&lt;45),0.23,0)+IF(AND(V347&gt;=20,V347&lt;40,W347&gt;=45,W347&lt;95),0.2,0)+IF(AND(V347&gt;=20,V347&lt;40,W347&gt;=95,W347&lt;=150),0.17,0)+IF(AND(V347&gt;=20,V347&lt;40,W347&gt;=150),0.12,0)+IF(AND(V347&gt;=40,V347&lt;75,W347&lt;35),0.23,0)+IF(AND(V347&gt;=40,V347&lt;75,W347&gt;=35,W347&lt;75),0.2,0)+IF(AND(V347&gt;=40,V347&lt;75,W347&gt;=75,W347&lt;120),0.17,0)+IF(AND(V347&gt;=40,V347&lt;75,W347&gt;=120),0.12,0)+IF(AND(V347&gt;=75,V347&lt;175,W347&lt;35),0.23,0)+IF(AND(V347&gt;=75,V347&lt;=175,W347&gt;=35,W347&lt;65),0.2,0)+IF(AND(V347&gt;=75,V347&lt;=175,W347&gt;=65,W347&lt;110),0.17,0)+IF(AND(V347&gt;=75,V347&lt;=175,W347&gt;=110),0.12,0)+IF(AND(V347&gt;175,W347&lt;25),0.23,0)+IF(AND(V347&gt;175,W347&gt;=25,W347&lt;55),0.2,0)+IF(AND(V347&gt;175,W347&gt;=55,W347&lt;95),0.17,0)+IF(AND(V347&gt;175,W347&gt;=95),0.12,0),
IF(AF347="DoEVs1",IF(AND(V347&lt;20,W347&lt;55),0.3,0)+IF(AND(V347&lt;20,W347&gt;=55,W347&lt;105),0.23,0)+IF(AND(V347&lt;20,W347&gt;=105),0.17,0)+IF(AND(V347&gt;=20,V347&lt;40,W347&lt;45),0.3,0)+IF(AND(V347&gt;=20,V347&lt;40,W347&gt;=45,W347&lt;95),0.23,0)+IF(AND(V347&gt;=20,V347&lt;40,W347&gt;=95,W347&lt;=150),0.17,0)+IF(AND(V347&gt;=20,V347&lt;40,W347&gt;=150),0.12,0)+IF(AND(V347&gt;=40,V347&lt;75,W347&lt;35),0.3,0)+IF(AND(V347&gt;=40,V347&lt;75,W347&gt;=35,W347&lt;75),0.23,0)+IF(AND(V347&gt;=40,V347&lt;75,W347&gt;=75,W347&lt;120),0.17,0)+IF(AND(V347&gt;=40,V347&lt;75,W347&gt;=120),0.12,0)+IF(AND(V347&gt;=75,V347&lt;175,W347&lt;35),0.3,0)+IF(AND(V347&gt;=75,V347&lt;=175,W347&gt;=35,W347&lt;65),0.23,0)+IF(AND(V347&gt;=75,V347&lt;=175,W347&gt;=65,W347&lt;110),0.17,0)+IF(AND(V347&gt;=75,V347&lt;=175,W347&gt;=110),0.12,0)+IF(AND(V347&gt;175,W347&lt;25),0.3,0)+IF(AND(V347&gt;175,W347&gt;=25,W347&lt;55),0.23,0)+IF(AND(V347&gt;175,W347&gt;=55,W347&lt;95),0.17,0)+IF(AND(V347&gt;175,W347&gt;=95),0.12,0),
IF(AF347="DoEVsu",IF(AND(V347&lt;20,W347&lt;55),0.3,0)+IF(AND(V347&lt;20,W347&gt;=55,W347&lt;105),0.23,0)+IF(AND(V347&lt;20,W347&gt;=105),0.17,0)+IF(AND(V347&gt;=20,V347&lt;40,W347&lt;45),0.3,0)+IF(AND(V347&gt;=20,V347&lt;40,W347&gt;=45,W347&lt;95),0.23,0)+IF(AND(V347&gt;=20,V347&lt;40,W347&gt;=95,W347&lt;=250),0.17,0)+IF(AND(V347&gt;=20,V347&lt;40,W347&gt;=250),0.12,0)+IF(AND(V347&gt;=40,V347&lt;75,W347&lt;35),0.3,0)+IF(AND(V347&gt;=40,V347&lt;75,W347&gt;=35,W347&lt;75),0.23,0)+IF(AND(V347&gt;=40,V347&lt;75,W347&gt;=75,W347&lt;120),0.17,0)+IF(AND(V347&gt;=40,V347&lt;75,W347&gt;=120),0.12,0)+IF(AND(V347&gt;=75,V347&lt;175,W347&lt;35),0.3,0)+IF(AND(V347&gt;=75,V347&lt;=175,W347&gt;=35,W347&lt;65),0.23,0)+IF(AND(V347&gt;=75,V347&lt;=175,W347&gt;=65,W347&lt;110),0.17,0)+IF(AND(V347&gt;=75,V347&lt;=175,W347&gt;=110),0.12,0)+IF(AND(V347&gt;175,W347&lt;25),0.3,0)+IF(AND(V347&gt;175,W347&gt;=25,W347&lt;55),0.23,0)+IF(AND(V347&gt;175,W347&gt;=55,W347&lt;95),0.17,0)+IF(AND(V347&gt;175,W347&gt;=95),0.12,0),
IF(AF347="DoEVni",IF(AND(V347&lt;20,W347&lt;55),0.3,0)+IF(AND(V347&lt;20,W347&gt;=55,W347&lt;105),0.23,0)+IF(AND(V347&lt;20,W347&gt;=105),0.17,0)+IF(AND(V347&gt;=20,V347&lt;40,W347&lt;45),0.3,0)+IF(AND(V347&gt;=20,V347&lt;40,W347&gt;=45,W347&lt;95),0.23,0)+IF(AND(V347&gt;=20,V347&lt;40,W347&gt;=95,W347&lt;=200),0.17,0)+IF(AND(V347&gt;=20,V347&lt;40,W347&gt;=200),0.12,0)+IF(AND(V347&gt;=40,V347&lt;75,W347&lt;35),0.3,0)+IF(AND(V347&gt;=40,V347&lt;75,W347&gt;=35,W347&lt;75),0.23,0)+IF(AND(V347&gt;=40,V347&lt;75,W347&gt;=75,W347&lt;120),0.17,0)+IF(AND(V347&gt;=40,V347&lt;75,W347&gt;=120),0.12,0)+IF(AND(V347&gt;=75,V347&lt;175,W347&lt;35),0.3,0)+IF(AND(V347&gt;=75,V347&lt;=175,W347&gt;=35,W347&lt;65),0.23,0)+IF(AND(V347&gt;=75,V347&lt;=175,W347&gt;=65,W347&lt;110),0.17,0)+IF(AND(V347&gt;=75,V347&lt;=175,W347&gt;=110),0.12,0)+IF(AND(V347&gt;175,W347&lt;25),0.3,0)+IF(AND(V347&gt;175,W347&gt;=25,W347&lt;55),0.23,0)+IF(AND(V347&gt;175,W347&gt;=55,W347&lt;95),0.17,0)+IF(AND(V347&gt;175,W347&gt;=95),0.12,0),
IF(AF347="DoEVLo",IF(AND(V347&lt;20,W347&lt;55),0.25,0)+IF(AND(V347&lt;20,W347&gt;=55,W347&lt;105),0.2,0)+IF(AND(V347&lt;20,W347&gt;=105),0.15,0)+IF(AND(V347&gt;=20,V347&lt;40,W347&lt;45),0.25,0)+IF(AND(V347&gt;=20,V347&lt;40,W347&gt;=45,W347&lt;95),0.2,0)+IF(AND(V347&gt;=20,V347&lt;40,W347&gt;=95),0.15,0)+IF(AND(V347&gt;=40,V347&lt;75,W347&lt;35),0.25,0)+IF(AND(V347&gt;=40,V347&lt;75,W347&gt;=35,W347&lt;75),0.2,0)+IF(AND(V347&gt;=40,V347&lt;75,W347&gt;=75,W347&lt;120),0.15,0)+IF(AND(V347&gt;=40,V347&lt;75,W347&gt;=120),0.1,0)+IF(AND(V347&gt;=75,V347&lt;175,W347&lt;35),0.25,0)+IF(AND(V347&gt;=75,V347&lt;=175,W347&gt;=35,W347&lt;65),0.2,0)+IF(AND(V347&gt;=75,V347&lt;=175,W347&gt;=65,W347&lt;110),0.15,0)+IF(AND(V347&gt;=75,V347&lt;=175,W347&gt;=110),0.1,0)+IF(AND(V347&gt;175,W347&lt;25),0.25,0)+IF(AND(V347&gt;175,W347&gt;=25,W347&lt;55),0.2,0)+IF(AND(V347&gt;175,W347&gt;=55,W347&lt;95),0.15,0)+IF(AND(V347&gt;175,W347&gt;=95),0.1,0))))))))))))))))</f>
        <v>0.25</v>
      </c>
      <c r="Y347" s="30">
        <f>IF(AG347="None",0,IF(AG347="Fix5",0.05,IF(AG347="Fix3.75",0.0375,IF(AG347="Fix10",0.1,IF(AG347="Fix3",0.03,0)))))</f>
        <v>0</v>
      </c>
      <c r="Z347" s="35">
        <f>T347-AA347-AB347</f>
        <v>872.25</v>
      </c>
      <c r="AA347" s="29">
        <f>IF(AD347="EUR",((T347-R347)*X347)*U347+(R347*X347),(T347*X347))</f>
        <v>290.75</v>
      </c>
      <c r="AB347" s="36">
        <f>IF(AD347="EUR",((T347-R347)*Y347)*U347+(R347*Y347),(T347*Y347))</f>
        <v>0</v>
      </c>
      <c r="AC347" s="37" t="b">
        <v>1</v>
      </c>
      <c r="AD347" s="37" t="s">
        <v>38</v>
      </c>
      <c r="AE347" s="37" t="s">
        <v>38</v>
      </c>
      <c r="AF347" s="37" t="str">
        <f t="array" ref="AF347">INDEX('Deal Info'!D:D, MATCH(A347,'Deal Info'!A:A, 0))</f>
        <v>SF</v>
      </c>
      <c r="AG347" s="38" t="str">
        <f t="array" ref="AG347">INDEX('Deal Info'!G:G, MATCH(A347,'Deal Info'!A:A, 0))</f>
        <v>None</v>
      </c>
    </row>
    <row r="348" spans="1:33" ht="14.25" hidden="1" x14ac:dyDescent="0.2">
      <c r="A348" s="18" t="str">
        <f t="array" ref="A348">IF(G348='Room Info'!$B$1, INDEX('Room Info'!$A$2:$A2446, MATCH(B348,'Room Info'!$B$2:$B2446, 0)),IF(G348='Room Info'!$C$1, INDEX('Room Info'!$A$2:$A2446, MATCH(B348,'Room Info'!$C$2:$C2446, 0)),IF(G348='Room Info'!$D$1, INDEX('Room Info'!$A$2:$A2446, MATCH(B348,'Room Info'!$D$2:$D2446, 0)),IF(G348='Room Info'!$E$1, INDEX('Room Info'!$A$2:$A2446, MATCH(B348,'Room Info'!$E$2:$E2446, 0)),IF(G348='Room Info'!$F$1, INDEX('Room Info'!$A$2:$A2446, MATCH(B348,'Room Info'!$F$2:$F2446, 0)),IF(G348='Room Info'!$H$1, INDEX('Room Info'!$A$2:$A2446, MATCH(B348,'Room Info'!$H$2:$H2446, 0)),IF(G348='Room Info'!$G$1, INDEX('Room Info'!$A$2:$A2446, MATCH(B348,'Room Info'!$G$2:$G2446, 0)))))))))</f>
        <v>Kiss4money99</v>
      </c>
      <c r="B348" s="45" t="s">
        <v>120</v>
      </c>
      <c r="C348" s="46">
        <v>44613</v>
      </c>
      <c r="D348" s="46">
        <v>44640</v>
      </c>
      <c r="E348" s="47">
        <v>44621</v>
      </c>
      <c r="F348" s="48" t="s">
        <v>34</v>
      </c>
      <c r="G348" s="45" t="s">
        <v>35</v>
      </c>
      <c r="H348" s="49" t="s">
        <v>40</v>
      </c>
      <c r="I348" s="49" t="s">
        <v>37</v>
      </c>
      <c r="J348" s="70">
        <v>10</v>
      </c>
      <c r="K348" s="71">
        <v>308</v>
      </c>
      <c r="L348" s="72">
        <v>-250</v>
      </c>
      <c r="M348" s="53">
        <v>40</v>
      </c>
      <c r="N348" s="28">
        <f>K348*J348</f>
        <v>3080</v>
      </c>
      <c r="O348" s="45">
        <v>11920</v>
      </c>
      <c r="P348" s="29">
        <v>38.701298700000002</v>
      </c>
      <c r="Q348" s="55"/>
      <c r="R348" s="31">
        <f>M348+Q348</f>
        <v>40</v>
      </c>
      <c r="S348" s="73">
        <v>-12</v>
      </c>
      <c r="T348" s="32">
        <f>R348+S348+IF(F348="Without EV deal",L348,0)</f>
        <v>28</v>
      </c>
      <c r="U348" s="57">
        <v>1</v>
      </c>
      <c r="V348" s="69">
        <v>5.3837528033889859</v>
      </c>
      <c r="W348" s="69">
        <v>221.22115251099282</v>
      </c>
      <c r="X348" s="30">
        <f>IF(AF348="DoEV",IF(AND(V348&lt;20,W348&lt;55),0.3,0)+IF(AND(V348&lt;20,W348&gt;=55,W348&lt;105),0.23,0)+IF(AND(V348&lt;20,W348&gt;=105),0.17,0)+IF(AND(V348&gt;=20,V348&lt;40,W348&lt;45),0.3,0)+IF(AND(V348&gt;=20,V348&lt;40,W348&gt;=45,W348&lt;95),0.23,0)+IF(AND(V348&gt;=20,V348&lt;40,W348&gt;=95),0.17,0)+IF(AND(V348&gt;=40,V348&lt;75,W348&lt;35),0.3,0)+IF(AND(V348&gt;=40,V348&lt;75,W348&gt;=35,W348&lt;75),0.23,0)+IF(AND(V348&gt;=40,V348&lt;75,W348&gt;=75,W348&lt;120),0.17,0)+IF(AND(V348&gt;=40,V348&lt;75,W348&gt;=120),0.12,0)+IF(AND(V348&gt;=75,V348&lt;175,W348&lt;35),0.3,0)+IF(AND(V348&gt;=75,V348&lt;=175,W348&gt;=35,W348&lt;65),0.23,0)+IF(AND(V348&gt;=75,V348&lt;=175,W348&gt;=65,W348&lt;110),0.17,0)+IF(AND(V348&gt;=75,V348&lt;=175,W348&gt;=110),0.12,0)+IF(AND(V348&gt;175,W348&lt;25),0.3,0)+IF(AND(V348&gt;175,W348&gt;=25,W348&lt;55),0.23,0)+IF(AND(V348&gt;175,W348&gt;=55,W348&lt;95),0.17,0)+IF(AND(V348&gt;175,W348&gt;=95),0.12,0),
IF(AF348="Fix15",0.15,
IF(AF348="Fix11.25",0.1125,
IF(AF348="Fix10",0.1,
IF(AF348="Fix9",0.09,
IF(AF348="DoEV2017",IF(AND(W348&lt;74),0.2,0)+IF(AND(W348&gt;=74),0.17,0),
IF(AF348="SF",IF(AND(V348&lt;20,W348&lt;89),0.3,0)+IF(AND(V348&lt;20,W348&gt;=89),0.25,0)+IF(AND(V348&gt;=20,V348&lt;40,W348&lt;74),0.3,0)+IF(AND(V348&gt;=20,V348&lt;40,W348&gt;=75),0.22,0)+IF(AND(V348&gt;=40,V348&lt;75,W348&lt;75),0.26,0)+IF(AND(V348&gt;=40,V348&lt;75,W348&gt;=75),0.22,0)+IF(V348&gt;=75,0.22,0),
IF(AF348="DoEVold",IF(AND(V348&lt;40,W348&lt;35),0.35,0)+IF(AND(V348&lt;40,W348&gt;=35,W348&lt;75),0.25,0)+IF(AND(V348&lt;40,W348&gt;=75),0.17,0)+IF(AND(V348&gt;=40,V348&lt;75,W348&lt;25),0.35,0)+IF(AND(V348&gt;=40,V348&lt;75,W348&gt;=25,W348&lt;65),0.25,0)+IF(AND(V348&gt;=40,V348&lt;75,W348&gt;=65,W348&lt;100),0.17,0)+IF(AND(V348&gt;=40,V348&lt;75,W348&gt;=100),0.1,0)+IF(AND(V348&gt;=75,W348&lt;25),0.35,0)+IF(AND(V348&gt;=75,W348&gt;=25,W348&lt;60),0.25,0)+IF(AND(V348&gt;=75,W348&gt;=60,W348&lt;95),0.17,0)+IF(AND(V348&gt;=75,W348&gt;=95),0.1,0),
IF(AF348="DoEVold15",IF(AND(V348&lt;=40,W348&lt;35),0.35,0)+IF(AND(V348&lt;=40,W348&gt;=35,W348&lt;75),0.25,0)+IF(AND(V348&lt;=40,W348&gt;=75,W348&lt;120),0.17,0)+IF(AND(V348&lt;=40,W348&gt;=120),0.15,0)+IF(AND(V348&gt;40,V348&lt;75,W348&lt;25),0.35,0)+IF(AND(V348&gt;=40,V348&lt;75,W348&gt;=25,W348&lt;65),0.25,0)+IF(AND(V348&gt;=40,V348&lt;75,W348&gt;=65,W348&lt;100),0.17,0)+IF(AND(V348&gt;=40,V348&lt;75,W348&gt;=100),0.1,0)+IF(AND(V348&gt;=75,W348&lt;25),0.35,0)+IF(AND(V348&gt;=75,W348&gt;=25,W348&lt;60),0.25,0)+IF(AND(V348&gt;=75,W348&gt;=60,W348&lt;95),0.17,0)+IF(AND(V348&gt;=75,W348&gt;=95),0.1,0),
IF(AF348="DoEVba",IF(AND(V348&lt;20,W348&lt;105),0.2,0)+IF(AND(V348&lt;20,W348&gt;=105),0.15,0)+IF(AND(V348&gt;=20,V348&lt;40,W348&lt;95),0.2,0)+IF(AND(V348&gt;=20,V348&lt;40,W348&gt;=95,W348&lt;150),0.15,0)+IF(AND(V348&gt;=20,V348&lt;40,W348&gt;=150),0.12,0)+IF(AND(V348&gt;=40,V348&lt;75,W348&lt;75),0.2,0)+IF(AND(V348&gt;=40,V348&lt;75,W348&gt;=75,W348&lt;120),0.15,0)+IF(AND(V348&gt;=40,V348&lt;75,W348&gt;=120),0.12,0)+IF(AND(V348&gt;=75,V348&lt;175,W348&lt;65),0.2,0)+IF(AND(V348&gt;=75,V348&lt;175,W348&gt;=65,W348&lt;110),0.15,0)+IF(AND(V348&gt;=75,V348&lt;175,W348&gt;=110),0.12,0)+IF(AND(V348&gt;=175,W348&lt;55),0.2,0)+IF(AND(V348&gt;=175,W348&gt;=55,W348&lt;95),0.15,0)+IF(AND(V348&gt;=175,W348&gt;=95),0.12,0),
IF(AF348="DoEVku",IF(AND(V348&lt;20,W348&lt;55),0.23,0)+IF(AND(V348&lt;20,W348&gt;=55,W348&lt;105),0.2,0)+IF(AND(V348&lt;20,W348&gt;=105),0.17,0)+IF(AND(V348&gt;=20,V348&lt;40,W348&lt;45),0.23,0)+IF(AND(V348&gt;=20,V348&lt;40,W348&gt;=45,W348&lt;95),0.2,0)+IF(AND(V348&gt;=20,V348&lt;40,W348&gt;=95,W348&lt;=150),0.17,0)+IF(AND(V348&gt;=20,V348&lt;40,W348&gt;=150),0.12,0)+IF(AND(V348&gt;=40,V348&lt;75,W348&lt;35),0.23,0)+IF(AND(V348&gt;=40,V348&lt;75,W348&gt;=35,W348&lt;75),0.2,0)+IF(AND(V348&gt;=40,V348&lt;75,W348&gt;=75,W348&lt;120),0.17,0)+IF(AND(V348&gt;=40,V348&lt;75,W348&gt;=120),0.12,0)+IF(AND(V348&gt;=75,V348&lt;175,W348&lt;35),0.23,0)+IF(AND(V348&gt;=75,V348&lt;=175,W348&gt;=35,W348&lt;65),0.2,0)+IF(AND(V348&gt;=75,V348&lt;=175,W348&gt;=65,W348&lt;110),0.17,0)+IF(AND(V348&gt;=75,V348&lt;=175,W348&gt;=110),0.12,0)+IF(AND(V348&gt;175,W348&lt;25),0.23,0)+IF(AND(V348&gt;175,W348&gt;=25,W348&lt;55),0.2,0)+IF(AND(V348&gt;175,W348&gt;=55,W348&lt;95),0.17,0)+IF(AND(V348&gt;175,W348&gt;=95),0.12,0),
IF(AF348="DoEVs1",IF(AND(V348&lt;20,W348&lt;55),0.3,0)+IF(AND(V348&lt;20,W348&gt;=55,W348&lt;105),0.23,0)+IF(AND(V348&lt;20,W348&gt;=105),0.17,0)+IF(AND(V348&gt;=20,V348&lt;40,W348&lt;45),0.3,0)+IF(AND(V348&gt;=20,V348&lt;40,W348&gt;=45,W348&lt;95),0.23,0)+IF(AND(V348&gt;=20,V348&lt;40,W348&gt;=95,W348&lt;=150),0.17,0)+IF(AND(V348&gt;=20,V348&lt;40,W348&gt;=150),0.12,0)+IF(AND(V348&gt;=40,V348&lt;75,W348&lt;35),0.3,0)+IF(AND(V348&gt;=40,V348&lt;75,W348&gt;=35,W348&lt;75),0.23,0)+IF(AND(V348&gt;=40,V348&lt;75,W348&gt;=75,W348&lt;120),0.17,0)+IF(AND(V348&gt;=40,V348&lt;75,W348&gt;=120),0.12,0)+IF(AND(V348&gt;=75,V348&lt;175,W348&lt;35),0.3,0)+IF(AND(V348&gt;=75,V348&lt;=175,W348&gt;=35,W348&lt;65),0.23,0)+IF(AND(V348&gt;=75,V348&lt;=175,W348&gt;=65,W348&lt;110),0.17,0)+IF(AND(V348&gt;=75,V348&lt;=175,W348&gt;=110),0.12,0)+IF(AND(V348&gt;175,W348&lt;25),0.3,0)+IF(AND(V348&gt;175,W348&gt;=25,W348&lt;55),0.23,0)+IF(AND(V348&gt;175,W348&gt;=55,W348&lt;95),0.17,0)+IF(AND(V348&gt;175,W348&gt;=95),0.12,0),
IF(AF348="DoEVsu",IF(AND(V348&lt;20,W348&lt;55),0.3,0)+IF(AND(V348&lt;20,W348&gt;=55,W348&lt;105),0.23,0)+IF(AND(V348&lt;20,W348&gt;=105),0.17,0)+IF(AND(V348&gt;=20,V348&lt;40,W348&lt;45),0.3,0)+IF(AND(V348&gt;=20,V348&lt;40,W348&gt;=45,W348&lt;95),0.23,0)+IF(AND(V348&gt;=20,V348&lt;40,W348&gt;=95,W348&lt;=250),0.17,0)+IF(AND(V348&gt;=20,V348&lt;40,W348&gt;=250),0.12,0)+IF(AND(V348&gt;=40,V348&lt;75,W348&lt;35),0.3,0)+IF(AND(V348&gt;=40,V348&lt;75,W348&gt;=35,W348&lt;75),0.23,0)+IF(AND(V348&gt;=40,V348&lt;75,W348&gt;=75,W348&lt;120),0.17,0)+IF(AND(V348&gt;=40,V348&lt;75,W348&gt;=120),0.12,0)+IF(AND(V348&gt;=75,V348&lt;175,W348&lt;35),0.3,0)+IF(AND(V348&gt;=75,V348&lt;=175,W348&gt;=35,W348&lt;65),0.23,0)+IF(AND(V348&gt;=75,V348&lt;=175,W348&gt;=65,W348&lt;110),0.17,0)+IF(AND(V348&gt;=75,V348&lt;=175,W348&gt;=110),0.12,0)+IF(AND(V348&gt;175,W348&lt;25),0.3,0)+IF(AND(V348&gt;175,W348&gt;=25,W348&lt;55),0.23,0)+IF(AND(V348&gt;175,W348&gt;=55,W348&lt;95),0.17,0)+IF(AND(V348&gt;175,W348&gt;=95),0.12,0),
IF(AF348="DoEVni",IF(AND(V348&lt;20,W348&lt;55),0.3,0)+IF(AND(V348&lt;20,W348&gt;=55,W348&lt;105),0.23,0)+IF(AND(V348&lt;20,W348&gt;=105),0.17,0)+IF(AND(V348&gt;=20,V348&lt;40,W348&lt;45),0.3,0)+IF(AND(V348&gt;=20,V348&lt;40,W348&gt;=45,W348&lt;95),0.23,0)+IF(AND(V348&gt;=20,V348&lt;40,W348&gt;=95,W348&lt;=200),0.17,0)+IF(AND(V348&gt;=20,V348&lt;40,W348&gt;=200),0.12,0)+IF(AND(V348&gt;=40,V348&lt;75,W348&lt;35),0.3,0)+IF(AND(V348&gt;=40,V348&lt;75,W348&gt;=35,W348&lt;75),0.23,0)+IF(AND(V348&gt;=40,V348&lt;75,W348&gt;=75,W348&lt;120),0.17,0)+IF(AND(V348&gt;=40,V348&lt;75,W348&gt;=120),0.12,0)+IF(AND(V348&gt;=75,V348&lt;175,W348&lt;35),0.3,0)+IF(AND(V348&gt;=75,V348&lt;=175,W348&gt;=35,W348&lt;65),0.23,0)+IF(AND(V348&gt;=75,V348&lt;=175,W348&gt;=65,W348&lt;110),0.17,0)+IF(AND(V348&gt;=75,V348&lt;=175,W348&gt;=110),0.12,0)+IF(AND(V348&gt;175,W348&lt;25),0.3,0)+IF(AND(V348&gt;175,W348&gt;=25,W348&lt;55),0.23,0)+IF(AND(V348&gt;175,W348&gt;=55,W348&lt;95),0.17,0)+IF(AND(V348&gt;175,W348&gt;=95),0.12,0),
IF(AF348="DoEVLo",IF(AND(V348&lt;20,W348&lt;55),0.25,0)+IF(AND(V348&lt;20,W348&gt;=55,W348&lt;105),0.2,0)+IF(AND(V348&lt;20,W348&gt;=105),0.15,0)+IF(AND(V348&gt;=20,V348&lt;40,W348&lt;45),0.25,0)+IF(AND(V348&gt;=20,V348&lt;40,W348&gt;=45,W348&lt;95),0.2,0)+IF(AND(V348&gt;=20,V348&lt;40,W348&gt;=95),0.15,0)+IF(AND(V348&gt;=40,V348&lt;75,W348&lt;35),0.25,0)+IF(AND(V348&gt;=40,V348&lt;75,W348&gt;=35,W348&lt;75),0.2,0)+IF(AND(V348&gt;=40,V348&lt;75,W348&gt;=75,W348&lt;120),0.15,0)+IF(AND(V348&gt;=40,V348&lt;75,W348&gt;=120),0.1,0)+IF(AND(V348&gt;=75,V348&lt;175,W348&lt;35),0.25,0)+IF(AND(V348&gt;=75,V348&lt;=175,W348&gt;=35,W348&lt;65),0.2,0)+IF(AND(V348&gt;=75,V348&lt;=175,W348&gt;=65,W348&lt;110),0.15,0)+IF(AND(V348&gt;=75,V348&lt;=175,W348&gt;=110),0.1,0)+IF(AND(V348&gt;175,W348&lt;25),0.25,0)+IF(AND(V348&gt;175,W348&gt;=25,W348&lt;55),0.2,0)+IF(AND(V348&gt;175,W348&gt;=55,W348&lt;95),0.15,0)+IF(AND(V348&gt;175,W348&gt;=95),0.1,0))))))))))))))))</f>
        <v>0.25</v>
      </c>
      <c r="Y348" s="30">
        <f>IF(AG348="None",0,IF(AG348="Fix5",0.05,IF(AG348="Fix3.75",0.0375,IF(AG348="Fix10",0.1,IF(AG348="Fix3",0.03,0)))))</f>
        <v>0</v>
      </c>
      <c r="Z348" s="35">
        <f>T348-AA348-AB348</f>
        <v>21</v>
      </c>
      <c r="AA348" s="29">
        <f>IF(AD348="EUR",((T348-R348)*X348)*U348+(R348*X348),(T348*X348))</f>
        <v>7</v>
      </c>
      <c r="AB348" s="36">
        <f>IF(AD348="EUR",((T348-R348)*Y348)*U348+(R348*Y348),(T348*Y348))</f>
        <v>0</v>
      </c>
      <c r="AC348" s="37" t="b">
        <v>1</v>
      </c>
      <c r="AD348" s="37" t="s">
        <v>38</v>
      </c>
      <c r="AE348" s="37" t="s">
        <v>38</v>
      </c>
      <c r="AF348" s="37" t="str">
        <f t="array" ref="AF348">INDEX('Deal Info'!D:D, MATCH(A348,'Deal Info'!A:A, 0))</f>
        <v>SF</v>
      </c>
      <c r="AG348" s="38" t="str">
        <f t="array" ref="AG348">INDEX('Deal Info'!G:G, MATCH(A348,'Deal Info'!A:A, 0))</f>
        <v>None</v>
      </c>
    </row>
    <row r="349" spans="1:33" ht="14.25" hidden="1" x14ac:dyDescent="0.2">
      <c r="A349" s="18" t="str">
        <f t="array" ref="A349">IF(G349='Room Info'!$B$1, INDEX('Room Info'!$A$2:$A2446, MATCH(B349,'Room Info'!$B$2:$B2446, 0)),IF(G349='Room Info'!$C$1, INDEX('Room Info'!$A$2:$A2446, MATCH(B349,'Room Info'!$C$2:$C2446, 0)),IF(G349='Room Info'!$D$1, INDEX('Room Info'!$A$2:$A2446, MATCH(B349,'Room Info'!$D$2:$D2446, 0)),IF(G349='Room Info'!$E$1, INDEX('Room Info'!$A$2:$A2446, MATCH(B349,'Room Info'!$E$2:$E2446, 0)),IF(G349='Room Info'!$F$1, INDEX('Room Info'!$A$2:$A2446, MATCH(B349,'Room Info'!$F$2:$F2446, 0)),IF(G349='Room Info'!$H$1, INDEX('Room Info'!$A$2:$A2446, MATCH(B349,'Room Info'!$H$2:$H2446, 0)),IF(G349='Room Info'!$G$1, INDEX('Room Info'!$A$2:$A2446, MATCH(B349,'Room Info'!$G$2:$G2446, 0)))))))))</f>
        <v>Kiss4money99</v>
      </c>
      <c r="B349" s="45" t="s">
        <v>120</v>
      </c>
      <c r="C349" s="46">
        <v>44641</v>
      </c>
      <c r="D349" s="46">
        <v>44671</v>
      </c>
      <c r="E349" s="47">
        <v>44652</v>
      </c>
      <c r="F349" s="48" t="s">
        <v>34</v>
      </c>
      <c r="G349" s="45" t="s">
        <v>35</v>
      </c>
      <c r="H349" s="49" t="s">
        <v>39</v>
      </c>
      <c r="I349" s="49" t="s">
        <v>37</v>
      </c>
      <c r="J349" s="70">
        <v>5</v>
      </c>
      <c r="K349" s="71">
        <v>3</v>
      </c>
      <c r="L349" s="72">
        <v>-15</v>
      </c>
      <c r="M349" s="53">
        <v>1</v>
      </c>
      <c r="N349" s="28">
        <f>K349*J349</f>
        <v>15</v>
      </c>
      <c r="O349" s="45">
        <v>262</v>
      </c>
      <c r="P349" s="29">
        <v>87.333333330000002</v>
      </c>
      <c r="Q349" s="55"/>
      <c r="R349" s="31">
        <f>M349+Q349</f>
        <v>1</v>
      </c>
      <c r="S349" s="73">
        <v>1</v>
      </c>
      <c r="T349" s="32">
        <f>R349+S349+IF(F349="Without EV deal",L349,0)</f>
        <v>2</v>
      </c>
      <c r="U349" s="57">
        <v>1</v>
      </c>
      <c r="V349" s="69">
        <v>9.9932705248990583</v>
      </c>
      <c r="W349" s="69">
        <v>166.11178451178449</v>
      </c>
      <c r="X349" s="30">
        <f>IF(AF349="DoEV",IF(AND(V349&lt;20,W349&lt;55),0.3,0)+IF(AND(V349&lt;20,W349&gt;=55,W349&lt;105),0.23,0)+IF(AND(V349&lt;20,W349&gt;=105),0.17,0)+IF(AND(V349&gt;=20,V349&lt;40,W349&lt;45),0.3,0)+IF(AND(V349&gt;=20,V349&lt;40,W349&gt;=45,W349&lt;95),0.23,0)+IF(AND(V349&gt;=20,V349&lt;40,W349&gt;=95),0.17,0)+IF(AND(V349&gt;=40,V349&lt;75,W349&lt;35),0.3,0)+IF(AND(V349&gt;=40,V349&lt;75,W349&gt;=35,W349&lt;75),0.23,0)+IF(AND(V349&gt;=40,V349&lt;75,W349&gt;=75,W349&lt;120),0.17,0)+IF(AND(V349&gt;=40,V349&lt;75,W349&gt;=120),0.12,0)+IF(AND(V349&gt;=75,V349&lt;175,W349&lt;35),0.3,0)+IF(AND(V349&gt;=75,V349&lt;=175,W349&gt;=35,W349&lt;65),0.23,0)+IF(AND(V349&gt;=75,V349&lt;=175,W349&gt;=65,W349&lt;110),0.17,0)+IF(AND(V349&gt;=75,V349&lt;=175,W349&gt;=110),0.12,0)+IF(AND(V349&gt;175,W349&lt;25),0.3,0)+IF(AND(V349&gt;175,W349&gt;=25,W349&lt;55),0.23,0)+IF(AND(V349&gt;175,W349&gt;=55,W349&lt;95),0.17,0)+IF(AND(V349&gt;175,W349&gt;=95),0.12,0),
IF(AF349="Fix15",0.15,
IF(AF349="Fix11.25",0.1125,
IF(AF349="Fix10",0.1,
IF(AF349="Fix9",0.09,
IF(AF349="DoEV2017",IF(AND(W349&lt;74),0.2,0)+IF(AND(W349&gt;=74),0.17,0),
IF(AF349="SF",IF(AND(V349&lt;20,W349&lt;89),0.3,0)+IF(AND(V349&lt;20,W349&gt;=89),0.25,0)+IF(AND(V349&gt;=20,V349&lt;40,W349&lt;74),0.3,0)+IF(AND(V349&gt;=20,V349&lt;40,W349&gt;=75),0.22,0)+IF(AND(V349&gt;=40,V349&lt;75,W349&lt;75),0.26,0)+IF(AND(V349&gt;=40,V349&lt;75,W349&gt;=75),0.22,0)+IF(V349&gt;=75,0.22,0),
IF(AF349="DoEVold",IF(AND(V349&lt;40,W349&lt;35),0.35,0)+IF(AND(V349&lt;40,W349&gt;=35,W349&lt;75),0.25,0)+IF(AND(V349&lt;40,W349&gt;=75),0.17,0)+IF(AND(V349&gt;=40,V349&lt;75,W349&lt;25),0.35,0)+IF(AND(V349&gt;=40,V349&lt;75,W349&gt;=25,W349&lt;65),0.25,0)+IF(AND(V349&gt;=40,V349&lt;75,W349&gt;=65,W349&lt;100),0.17,0)+IF(AND(V349&gt;=40,V349&lt;75,W349&gt;=100),0.1,0)+IF(AND(V349&gt;=75,W349&lt;25),0.35,0)+IF(AND(V349&gt;=75,W349&gt;=25,W349&lt;60),0.25,0)+IF(AND(V349&gt;=75,W349&gt;=60,W349&lt;95),0.17,0)+IF(AND(V349&gt;=75,W349&gt;=95),0.1,0),
IF(AF349="DoEVold15",IF(AND(V349&lt;=40,W349&lt;35),0.35,0)+IF(AND(V349&lt;=40,W349&gt;=35,W349&lt;75),0.25,0)+IF(AND(V349&lt;=40,W349&gt;=75,W349&lt;120),0.17,0)+IF(AND(V349&lt;=40,W349&gt;=120),0.15,0)+IF(AND(V349&gt;40,V349&lt;75,W349&lt;25),0.35,0)+IF(AND(V349&gt;=40,V349&lt;75,W349&gt;=25,W349&lt;65),0.25,0)+IF(AND(V349&gt;=40,V349&lt;75,W349&gt;=65,W349&lt;100),0.17,0)+IF(AND(V349&gt;=40,V349&lt;75,W349&gt;=100),0.1,0)+IF(AND(V349&gt;=75,W349&lt;25),0.35,0)+IF(AND(V349&gt;=75,W349&gt;=25,W349&lt;60),0.25,0)+IF(AND(V349&gt;=75,W349&gt;=60,W349&lt;95),0.17,0)+IF(AND(V349&gt;=75,W349&gt;=95),0.1,0),
IF(AF349="DoEVba",IF(AND(V349&lt;20,W349&lt;105),0.2,0)+IF(AND(V349&lt;20,W349&gt;=105),0.15,0)+IF(AND(V349&gt;=20,V349&lt;40,W349&lt;95),0.2,0)+IF(AND(V349&gt;=20,V349&lt;40,W349&gt;=95,W349&lt;150),0.15,0)+IF(AND(V349&gt;=20,V349&lt;40,W349&gt;=150),0.12,0)+IF(AND(V349&gt;=40,V349&lt;75,W349&lt;75),0.2,0)+IF(AND(V349&gt;=40,V349&lt;75,W349&gt;=75,W349&lt;120),0.15,0)+IF(AND(V349&gt;=40,V349&lt;75,W349&gt;=120),0.12,0)+IF(AND(V349&gt;=75,V349&lt;175,W349&lt;65),0.2,0)+IF(AND(V349&gt;=75,V349&lt;175,W349&gt;=65,W349&lt;110),0.15,0)+IF(AND(V349&gt;=75,V349&lt;175,W349&gt;=110),0.12,0)+IF(AND(V349&gt;=175,W349&lt;55),0.2,0)+IF(AND(V349&gt;=175,W349&gt;=55,W349&lt;95),0.15,0)+IF(AND(V349&gt;=175,W349&gt;=95),0.12,0),
IF(AF349="DoEVku",IF(AND(V349&lt;20,W349&lt;55),0.23,0)+IF(AND(V349&lt;20,W349&gt;=55,W349&lt;105),0.2,0)+IF(AND(V349&lt;20,W349&gt;=105),0.17,0)+IF(AND(V349&gt;=20,V349&lt;40,W349&lt;45),0.23,0)+IF(AND(V349&gt;=20,V349&lt;40,W349&gt;=45,W349&lt;95),0.2,0)+IF(AND(V349&gt;=20,V349&lt;40,W349&gt;=95,W349&lt;=150),0.17,0)+IF(AND(V349&gt;=20,V349&lt;40,W349&gt;=150),0.12,0)+IF(AND(V349&gt;=40,V349&lt;75,W349&lt;35),0.23,0)+IF(AND(V349&gt;=40,V349&lt;75,W349&gt;=35,W349&lt;75),0.2,0)+IF(AND(V349&gt;=40,V349&lt;75,W349&gt;=75,W349&lt;120),0.17,0)+IF(AND(V349&gt;=40,V349&lt;75,W349&gt;=120),0.12,0)+IF(AND(V349&gt;=75,V349&lt;175,W349&lt;35),0.23,0)+IF(AND(V349&gt;=75,V349&lt;=175,W349&gt;=35,W349&lt;65),0.2,0)+IF(AND(V349&gt;=75,V349&lt;=175,W349&gt;=65,W349&lt;110),0.17,0)+IF(AND(V349&gt;=75,V349&lt;=175,W349&gt;=110),0.12,0)+IF(AND(V349&gt;175,W349&lt;25),0.23,0)+IF(AND(V349&gt;175,W349&gt;=25,W349&lt;55),0.2,0)+IF(AND(V349&gt;175,W349&gt;=55,W349&lt;95),0.17,0)+IF(AND(V349&gt;175,W349&gt;=95),0.12,0),
IF(AF349="DoEVs1",IF(AND(V349&lt;20,W349&lt;55),0.3,0)+IF(AND(V349&lt;20,W349&gt;=55,W349&lt;105),0.23,0)+IF(AND(V349&lt;20,W349&gt;=105),0.17,0)+IF(AND(V349&gt;=20,V349&lt;40,W349&lt;45),0.3,0)+IF(AND(V349&gt;=20,V349&lt;40,W349&gt;=45,W349&lt;95),0.23,0)+IF(AND(V349&gt;=20,V349&lt;40,W349&gt;=95,W349&lt;=150),0.17,0)+IF(AND(V349&gt;=20,V349&lt;40,W349&gt;=150),0.12,0)+IF(AND(V349&gt;=40,V349&lt;75,W349&lt;35),0.3,0)+IF(AND(V349&gt;=40,V349&lt;75,W349&gt;=35,W349&lt;75),0.23,0)+IF(AND(V349&gt;=40,V349&lt;75,W349&gt;=75,W349&lt;120),0.17,0)+IF(AND(V349&gt;=40,V349&lt;75,W349&gt;=120),0.12,0)+IF(AND(V349&gt;=75,V349&lt;175,W349&lt;35),0.3,0)+IF(AND(V349&gt;=75,V349&lt;=175,W349&gt;=35,W349&lt;65),0.23,0)+IF(AND(V349&gt;=75,V349&lt;=175,W349&gt;=65,W349&lt;110),0.17,0)+IF(AND(V349&gt;=75,V349&lt;=175,W349&gt;=110),0.12,0)+IF(AND(V349&gt;175,W349&lt;25),0.3,0)+IF(AND(V349&gt;175,W349&gt;=25,W349&lt;55),0.23,0)+IF(AND(V349&gt;175,W349&gt;=55,W349&lt;95),0.17,0)+IF(AND(V349&gt;175,W349&gt;=95),0.12,0),
IF(AF349="DoEVsu",IF(AND(V349&lt;20,W349&lt;55),0.3,0)+IF(AND(V349&lt;20,W349&gt;=55,W349&lt;105),0.23,0)+IF(AND(V349&lt;20,W349&gt;=105),0.17,0)+IF(AND(V349&gt;=20,V349&lt;40,W349&lt;45),0.3,0)+IF(AND(V349&gt;=20,V349&lt;40,W349&gt;=45,W349&lt;95),0.23,0)+IF(AND(V349&gt;=20,V349&lt;40,W349&gt;=95,W349&lt;=250),0.17,0)+IF(AND(V349&gt;=20,V349&lt;40,W349&gt;=250),0.12,0)+IF(AND(V349&gt;=40,V349&lt;75,W349&lt;35),0.3,0)+IF(AND(V349&gt;=40,V349&lt;75,W349&gt;=35,W349&lt;75),0.23,0)+IF(AND(V349&gt;=40,V349&lt;75,W349&gt;=75,W349&lt;120),0.17,0)+IF(AND(V349&gt;=40,V349&lt;75,W349&gt;=120),0.12,0)+IF(AND(V349&gt;=75,V349&lt;175,W349&lt;35),0.3,0)+IF(AND(V349&gt;=75,V349&lt;=175,W349&gt;=35,W349&lt;65),0.23,0)+IF(AND(V349&gt;=75,V349&lt;=175,W349&gt;=65,W349&lt;110),0.17,0)+IF(AND(V349&gt;=75,V349&lt;=175,W349&gt;=110),0.12,0)+IF(AND(V349&gt;175,W349&lt;25),0.3,0)+IF(AND(V349&gt;175,W349&gt;=25,W349&lt;55),0.23,0)+IF(AND(V349&gt;175,W349&gt;=55,W349&lt;95),0.17,0)+IF(AND(V349&gt;175,W349&gt;=95),0.12,0),
IF(AF349="DoEVni",IF(AND(V349&lt;20,W349&lt;55),0.3,0)+IF(AND(V349&lt;20,W349&gt;=55,W349&lt;105),0.23,0)+IF(AND(V349&lt;20,W349&gt;=105),0.17,0)+IF(AND(V349&gt;=20,V349&lt;40,W349&lt;45),0.3,0)+IF(AND(V349&gt;=20,V349&lt;40,W349&gt;=45,W349&lt;95),0.23,0)+IF(AND(V349&gt;=20,V349&lt;40,W349&gt;=95,W349&lt;=200),0.17,0)+IF(AND(V349&gt;=20,V349&lt;40,W349&gt;=200),0.12,0)+IF(AND(V349&gt;=40,V349&lt;75,W349&lt;35),0.3,0)+IF(AND(V349&gt;=40,V349&lt;75,W349&gt;=35,W349&lt;75),0.23,0)+IF(AND(V349&gt;=40,V349&lt;75,W349&gt;=75,W349&lt;120),0.17,0)+IF(AND(V349&gt;=40,V349&lt;75,W349&gt;=120),0.12,0)+IF(AND(V349&gt;=75,V349&lt;175,W349&lt;35),0.3,0)+IF(AND(V349&gt;=75,V349&lt;=175,W349&gt;=35,W349&lt;65),0.23,0)+IF(AND(V349&gt;=75,V349&lt;=175,W349&gt;=65,W349&lt;110),0.17,0)+IF(AND(V349&gt;=75,V349&lt;=175,W349&gt;=110),0.12,0)+IF(AND(V349&gt;175,W349&lt;25),0.3,0)+IF(AND(V349&gt;175,W349&gt;=25,W349&lt;55),0.23,0)+IF(AND(V349&gt;175,W349&gt;=55,W349&lt;95),0.17,0)+IF(AND(V349&gt;175,W349&gt;=95),0.12,0),
IF(AF349="DoEVLo",IF(AND(V349&lt;20,W349&lt;55),0.25,0)+IF(AND(V349&lt;20,W349&gt;=55,W349&lt;105),0.2,0)+IF(AND(V349&lt;20,W349&gt;=105),0.15,0)+IF(AND(V349&gt;=20,V349&lt;40,W349&lt;45),0.25,0)+IF(AND(V349&gt;=20,V349&lt;40,W349&gt;=45,W349&lt;95),0.2,0)+IF(AND(V349&gt;=20,V349&lt;40,W349&gt;=95),0.15,0)+IF(AND(V349&gt;=40,V349&lt;75,W349&lt;35),0.25,0)+IF(AND(V349&gt;=40,V349&lt;75,W349&gt;=35,W349&lt;75),0.2,0)+IF(AND(V349&gt;=40,V349&lt;75,W349&gt;=75,W349&lt;120),0.15,0)+IF(AND(V349&gt;=40,V349&lt;75,W349&gt;=120),0.1,0)+IF(AND(V349&gt;=75,V349&lt;175,W349&lt;35),0.25,0)+IF(AND(V349&gt;=75,V349&lt;=175,W349&gt;=35,W349&lt;65),0.2,0)+IF(AND(V349&gt;=75,V349&lt;=175,W349&gt;=65,W349&lt;110),0.15,0)+IF(AND(V349&gt;=75,V349&lt;=175,W349&gt;=110),0.1,0)+IF(AND(V349&gt;175,W349&lt;25),0.25,0)+IF(AND(V349&gt;175,W349&gt;=25,W349&lt;55),0.2,0)+IF(AND(V349&gt;175,W349&gt;=55,W349&lt;95),0.15,0)+IF(AND(V349&gt;175,W349&gt;=95),0.1,0))))))))))))))))</f>
        <v>0.25</v>
      </c>
      <c r="Y349" s="30">
        <f>IF(AG349="None",0,IF(AG349="Fix5",0.05,IF(AG349="Fix3.75",0.0375,IF(AG349="Fix10",0.1,IF(AG349="Fix3",0.03,0)))))</f>
        <v>0</v>
      </c>
      <c r="Z349" s="35">
        <f>T349-AA349-AB349</f>
        <v>1.5</v>
      </c>
      <c r="AA349" s="29">
        <f>IF(AD349="EUR",((T349-R349)*X349)*U349+(R349*X349),(T349*X349))</f>
        <v>0.5</v>
      </c>
      <c r="AB349" s="36">
        <f>IF(AD349="EUR",((T349-R349)*Y349)*U349+(R349*Y349),(T349*Y349))</f>
        <v>0</v>
      </c>
      <c r="AC349" s="37" t="b">
        <v>1</v>
      </c>
      <c r="AD349" s="37" t="s">
        <v>38</v>
      </c>
      <c r="AE349" s="37" t="s">
        <v>38</v>
      </c>
      <c r="AF349" s="37" t="str">
        <f t="array" ref="AF349">INDEX('Deal Info'!D:D, MATCH(A349,'Deal Info'!A:A, 0))</f>
        <v>SF</v>
      </c>
      <c r="AG349" s="38" t="str">
        <f t="array" ref="AG349">INDEX('Deal Info'!G:G, MATCH(A349,'Deal Info'!A:A, 0))</f>
        <v>None</v>
      </c>
    </row>
    <row r="350" spans="1:33" ht="14.25" hidden="1" x14ac:dyDescent="0.2">
      <c r="A350" s="18" t="str">
        <f t="array" ref="A350">IF(G350='Room Info'!$B$1, INDEX('Room Info'!$A$2:$A2446, MATCH(B350,'Room Info'!$B$2:$B2446, 0)),IF(G350='Room Info'!$C$1, INDEX('Room Info'!$A$2:$A2446, MATCH(B350,'Room Info'!$C$2:$C2446, 0)),IF(G350='Room Info'!$D$1, INDEX('Room Info'!$A$2:$A2446, MATCH(B350,'Room Info'!$D$2:$D2446, 0)),IF(G350='Room Info'!$E$1, INDEX('Room Info'!$A$2:$A2446, MATCH(B350,'Room Info'!$E$2:$E2446, 0)),IF(G350='Room Info'!$F$1, INDEX('Room Info'!$A$2:$A2446, MATCH(B350,'Room Info'!$F$2:$F2446, 0)),IF(G350='Room Info'!$H$1, INDEX('Room Info'!$A$2:$A2446, MATCH(B350,'Room Info'!$H$2:$H2446, 0)),IF(G350='Room Info'!$G$1, INDEX('Room Info'!$A$2:$A2446, MATCH(B350,'Room Info'!$G$2:$G2446, 0)))))))))</f>
        <v>Kiss4money99</v>
      </c>
      <c r="B350" s="45" t="s">
        <v>120</v>
      </c>
      <c r="C350" s="46">
        <v>44641</v>
      </c>
      <c r="D350" s="46">
        <v>44671</v>
      </c>
      <c r="E350" s="47">
        <v>44652</v>
      </c>
      <c r="F350" s="48" t="s">
        <v>34</v>
      </c>
      <c r="G350" s="45" t="s">
        <v>35</v>
      </c>
      <c r="H350" s="49" t="s">
        <v>40</v>
      </c>
      <c r="I350" s="49" t="s">
        <v>37</v>
      </c>
      <c r="J350" s="70">
        <v>10</v>
      </c>
      <c r="K350" s="71">
        <v>2226</v>
      </c>
      <c r="L350" s="72">
        <v>-30</v>
      </c>
      <c r="M350" s="53">
        <v>1104</v>
      </c>
      <c r="N350" s="28">
        <f>K350*J350</f>
        <v>22260</v>
      </c>
      <c r="O350" s="45">
        <v>116093</v>
      </c>
      <c r="P350" s="29">
        <v>52.153189580000003</v>
      </c>
      <c r="Q350" s="55"/>
      <c r="R350" s="31">
        <f>M350+Q350</f>
        <v>1104</v>
      </c>
      <c r="S350" s="73">
        <v>554</v>
      </c>
      <c r="T350" s="32">
        <f>R350+S350+IF(F350="Without EV deal",L350,0)</f>
        <v>1658</v>
      </c>
      <c r="U350" s="57">
        <v>1</v>
      </c>
      <c r="V350" s="69">
        <v>9.9932705248990583</v>
      </c>
      <c r="W350" s="69">
        <v>166.11178451178449</v>
      </c>
      <c r="X350" s="30">
        <f>IF(AF350="DoEV",IF(AND(V350&lt;20,W350&lt;55),0.3,0)+IF(AND(V350&lt;20,W350&gt;=55,W350&lt;105),0.23,0)+IF(AND(V350&lt;20,W350&gt;=105),0.17,0)+IF(AND(V350&gt;=20,V350&lt;40,W350&lt;45),0.3,0)+IF(AND(V350&gt;=20,V350&lt;40,W350&gt;=45,W350&lt;95),0.23,0)+IF(AND(V350&gt;=20,V350&lt;40,W350&gt;=95),0.17,0)+IF(AND(V350&gt;=40,V350&lt;75,W350&lt;35),0.3,0)+IF(AND(V350&gt;=40,V350&lt;75,W350&gt;=35,W350&lt;75),0.23,0)+IF(AND(V350&gt;=40,V350&lt;75,W350&gt;=75,W350&lt;120),0.17,0)+IF(AND(V350&gt;=40,V350&lt;75,W350&gt;=120),0.12,0)+IF(AND(V350&gt;=75,V350&lt;175,W350&lt;35),0.3,0)+IF(AND(V350&gt;=75,V350&lt;=175,W350&gt;=35,W350&lt;65),0.23,0)+IF(AND(V350&gt;=75,V350&lt;=175,W350&gt;=65,W350&lt;110),0.17,0)+IF(AND(V350&gt;=75,V350&lt;=175,W350&gt;=110),0.12,0)+IF(AND(V350&gt;175,W350&lt;25),0.3,0)+IF(AND(V350&gt;175,W350&gt;=25,W350&lt;55),0.23,0)+IF(AND(V350&gt;175,W350&gt;=55,W350&lt;95),0.17,0)+IF(AND(V350&gt;175,W350&gt;=95),0.12,0),
IF(AF350="Fix15",0.15,
IF(AF350="Fix11.25",0.1125,
IF(AF350="Fix10",0.1,
IF(AF350="Fix9",0.09,
IF(AF350="DoEV2017",IF(AND(W350&lt;74),0.2,0)+IF(AND(W350&gt;=74),0.17,0),
IF(AF350="SF",IF(AND(V350&lt;20,W350&lt;89),0.3,0)+IF(AND(V350&lt;20,W350&gt;=89),0.25,0)+IF(AND(V350&gt;=20,V350&lt;40,W350&lt;74),0.3,0)+IF(AND(V350&gt;=20,V350&lt;40,W350&gt;=75),0.22,0)+IF(AND(V350&gt;=40,V350&lt;75,W350&lt;75),0.26,0)+IF(AND(V350&gt;=40,V350&lt;75,W350&gt;=75),0.22,0)+IF(V350&gt;=75,0.22,0),
IF(AF350="DoEVold",IF(AND(V350&lt;40,W350&lt;35),0.35,0)+IF(AND(V350&lt;40,W350&gt;=35,W350&lt;75),0.25,0)+IF(AND(V350&lt;40,W350&gt;=75),0.17,0)+IF(AND(V350&gt;=40,V350&lt;75,W350&lt;25),0.35,0)+IF(AND(V350&gt;=40,V350&lt;75,W350&gt;=25,W350&lt;65),0.25,0)+IF(AND(V350&gt;=40,V350&lt;75,W350&gt;=65,W350&lt;100),0.17,0)+IF(AND(V350&gt;=40,V350&lt;75,W350&gt;=100),0.1,0)+IF(AND(V350&gt;=75,W350&lt;25),0.35,0)+IF(AND(V350&gt;=75,W350&gt;=25,W350&lt;60),0.25,0)+IF(AND(V350&gt;=75,W350&gt;=60,W350&lt;95),0.17,0)+IF(AND(V350&gt;=75,W350&gt;=95),0.1,0),
IF(AF350="DoEVold15",IF(AND(V350&lt;=40,W350&lt;35),0.35,0)+IF(AND(V350&lt;=40,W350&gt;=35,W350&lt;75),0.25,0)+IF(AND(V350&lt;=40,W350&gt;=75,W350&lt;120),0.17,0)+IF(AND(V350&lt;=40,W350&gt;=120),0.15,0)+IF(AND(V350&gt;40,V350&lt;75,W350&lt;25),0.35,0)+IF(AND(V350&gt;=40,V350&lt;75,W350&gt;=25,W350&lt;65),0.25,0)+IF(AND(V350&gt;=40,V350&lt;75,W350&gt;=65,W350&lt;100),0.17,0)+IF(AND(V350&gt;=40,V350&lt;75,W350&gt;=100),0.1,0)+IF(AND(V350&gt;=75,W350&lt;25),0.35,0)+IF(AND(V350&gt;=75,W350&gt;=25,W350&lt;60),0.25,0)+IF(AND(V350&gt;=75,W350&gt;=60,W350&lt;95),0.17,0)+IF(AND(V350&gt;=75,W350&gt;=95),0.1,0),
IF(AF350="DoEVba",IF(AND(V350&lt;20,W350&lt;105),0.2,0)+IF(AND(V350&lt;20,W350&gt;=105),0.15,0)+IF(AND(V350&gt;=20,V350&lt;40,W350&lt;95),0.2,0)+IF(AND(V350&gt;=20,V350&lt;40,W350&gt;=95,W350&lt;150),0.15,0)+IF(AND(V350&gt;=20,V350&lt;40,W350&gt;=150),0.12,0)+IF(AND(V350&gt;=40,V350&lt;75,W350&lt;75),0.2,0)+IF(AND(V350&gt;=40,V350&lt;75,W350&gt;=75,W350&lt;120),0.15,0)+IF(AND(V350&gt;=40,V350&lt;75,W350&gt;=120),0.12,0)+IF(AND(V350&gt;=75,V350&lt;175,W350&lt;65),0.2,0)+IF(AND(V350&gt;=75,V350&lt;175,W350&gt;=65,W350&lt;110),0.15,0)+IF(AND(V350&gt;=75,V350&lt;175,W350&gt;=110),0.12,0)+IF(AND(V350&gt;=175,W350&lt;55),0.2,0)+IF(AND(V350&gt;=175,W350&gt;=55,W350&lt;95),0.15,0)+IF(AND(V350&gt;=175,W350&gt;=95),0.12,0),
IF(AF350="DoEVku",IF(AND(V350&lt;20,W350&lt;55),0.23,0)+IF(AND(V350&lt;20,W350&gt;=55,W350&lt;105),0.2,0)+IF(AND(V350&lt;20,W350&gt;=105),0.17,0)+IF(AND(V350&gt;=20,V350&lt;40,W350&lt;45),0.23,0)+IF(AND(V350&gt;=20,V350&lt;40,W350&gt;=45,W350&lt;95),0.2,0)+IF(AND(V350&gt;=20,V350&lt;40,W350&gt;=95,W350&lt;=150),0.17,0)+IF(AND(V350&gt;=20,V350&lt;40,W350&gt;=150),0.12,0)+IF(AND(V350&gt;=40,V350&lt;75,W350&lt;35),0.23,0)+IF(AND(V350&gt;=40,V350&lt;75,W350&gt;=35,W350&lt;75),0.2,0)+IF(AND(V350&gt;=40,V350&lt;75,W350&gt;=75,W350&lt;120),0.17,0)+IF(AND(V350&gt;=40,V350&lt;75,W350&gt;=120),0.12,0)+IF(AND(V350&gt;=75,V350&lt;175,W350&lt;35),0.23,0)+IF(AND(V350&gt;=75,V350&lt;=175,W350&gt;=35,W350&lt;65),0.2,0)+IF(AND(V350&gt;=75,V350&lt;=175,W350&gt;=65,W350&lt;110),0.17,0)+IF(AND(V350&gt;=75,V350&lt;=175,W350&gt;=110),0.12,0)+IF(AND(V350&gt;175,W350&lt;25),0.23,0)+IF(AND(V350&gt;175,W350&gt;=25,W350&lt;55),0.2,0)+IF(AND(V350&gt;175,W350&gt;=55,W350&lt;95),0.17,0)+IF(AND(V350&gt;175,W350&gt;=95),0.12,0),
IF(AF350="DoEVs1",IF(AND(V350&lt;20,W350&lt;55),0.3,0)+IF(AND(V350&lt;20,W350&gt;=55,W350&lt;105),0.23,0)+IF(AND(V350&lt;20,W350&gt;=105),0.17,0)+IF(AND(V350&gt;=20,V350&lt;40,W350&lt;45),0.3,0)+IF(AND(V350&gt;=20,V350&lt;40,W350&gt;=45,W350&lt;95),0.23,0)+IF(AND(V350&gt;=20,V350&lt;40,W350&gt;=95,W350&lt;=150),0.17,0)+IF(AND(V350&gt;=20,V350&lt;40,W350&gt;=150),0.12,0)+IF(AND(V350&gt;=40,V350&lt;75,W350&lt;35),0.3,0)+IF(AND(V350&gt;=40,V350&lt;75,W350&gt;=35,W350&lt;75),0.23,0)+IF(AND(V350&gt;=40,V350&lt;75,W350&gt;=75,W350&lt;120),0.17,0)+IF(AND(V350&gt;=40,V350&lt;75,W350&gt;=120),0.12,0)+IF(AND(V350&gt;=75,V350&lt;175,W350&lt;35),0.3,0)+IF(AND(V350&gt;=75,V350&lt;=175,W350&gt;=35,W350&lt;65),0.23,0)+IF(AND(V350&gt;=75,V350&lt;=175,W350&gt;=65,W350&lt;110),0.17,0)+IF(AND(V350&gt;=75,V350&lt;=175,W350&gt;=110),0.12,0)+IF(AND(V350&gt;175,W350&lt;25),0.3,0)+IF(AND(V350&gt;175,W350&gt;=25,W350&lt;55),0.23,0)+IF(AND(V350&gt;175,W350&gt;=55,W350&lt;95),0.17,0)+IF(AND(V350&gt;175,W350&gt;=95),0.12,0),
IF(AF350="DoEVsu",IF(AND(V350&lt;20,W350&lt;55),0.3,0)+IF(AND(V350&lt;20,W350&gt;=55,W350&lt;105),0.23,0)+IF(AND(V350&lt;20,W350&gt;=105),0.17,0)+IF(AND(V350&gt;=20,V350&lt;40,W350&lt;45),0.3,0)+IF(AND(V350&gt;=20,V350&lt;40,W350&gt;=45,W350&lt;95),0.23,0)+IF(AND(V350&gt;=20,V350&lt;40,W350&gt;=95,W350&lt;=250),0.17,0)+IF(AND(V350&gt;=20,V350&lt;40,W350&gt;=250),0.12,0)+IF(AND(V350&gt;=40,V350&lt;75,W350&lt;35),0.3,0)+IF(AND(V350&gt;=40,V350&lt;75,W350&gt;=35,W350&lt;75),0.23,0)+IF(AND(V350&gt;=40,V350&lt;75,W350&gt;=75,W350&lt;120),0.17,0)+IF(AND(V350&gt;=40,V350&lt;75,W350&gt;=120),0.12,0)+IF(AND(V350&gt;=75,V350&lt;175,W350&lt;35),0.3,0)+IF(AND(V350&gt;=75,V350&lt;=175,W350&gt;=35,W350&lt;65),0.23,0)+IF(AND(V350&gt;=75,V350&lt;=175,W350&gt;=65,W350&lt;110),0.17,0)+IF(AND(V350&gt;=75,V350&lt;=175,W350&gt;=110),0.12,0)+IF(AND(V350&gt;175,W350&lt;25),0.3,0)+IF(AND(V350&gt;175,W350&gt;=25,W350&lt;55),0.23,0)+IF(AND(V350&gt;175,W350&gt;=55,W350&lt;95),0.17,0)+IF(AND(V350&gt;175,W350&gt;=95),0.12,0),
IF(AF350="DoEVni",IF(AND(V350&lt;20,W350&lt;55),0.3,0)+IF(AND(V350&lt;20,W350&gt;=55,W350&lt;105),0.23,0)+IF(AND(V350&lt;20,W350&gt;=105),0.17,0)+IF(AND(V350&gt;=20,V350&lt;40,W350&lt;45),0.3,0)+IF(AND(V350&gt;=20,V350&lt;40,W350&gt;=45,W350&lt;95),0.23,0)+IF(AND(V350&gt;=20,V350&lt;40,W350&gt;=95,W350&lt;=200),0.17,0)+IF(AND(V350&gt;=20,V350&lt;40,W350&gt;=200),0.12,0)+IF(AND(V350&gt;=40,V350&lt;75,W350&lt;35),0.3,0)+IF(AND(V350&gt;=40,V350&lt;75,W350&gt;=35,W350&lt;75),0.23,0)+IF(AND(V350&gt;=40,V350&lt;75,W350&gt;=75,W350&lt;120),0.17,0)+IF(AND(V350&gt;=40,V350&lt;75,W350&gt;=120),0.12,0)+IF(AND(V350&gt;=75,V350&lt;175,W350&lt;35),0.3,0)+IF(AND(V350&gt;=75,V350&lt;=175,W350&gt;=35,W350&lt;65),0.23,0)+IF(AND(V350&gt;=75,V350&lt;=175,W350&gt;=65,W350&lt;110),0.17,0)+IF(AND(V350&gt;=75,V350&lt;=175,W350&gt;=110),0.12,0)+IF(AND(V350&gt;175,W350&lt;25),0.3,0)+IF(AND(V350&gt;175,W350&gt;=25,W350&lt;55),0.23,0)+IF(AND(V350&gt;175,W350&gt;=55,W350&lt;95),0.17,0)+IF(AND(V350&gt;175,W350&gt;=95),0.12,0),
IF(AF350="DoEVLo",IF(AND(V350&lt;20,W350&lt;55),0.25,0)+IF(AND(V350&lt;20,W350&gt;=55,W350&lt;105),0.2,0)+IF(AND(V350&lt;20,W350&gt;=105),0.15,0)+IF(AND(V350&gt;=20,V350&lt;40,W350&lt;45),0.25,0)+IF(AND(V350&gt;=20,V350&lt;40,W350&gt;=45,W350&lt;95),0.2,0)+IF(AND(V350&gt;=20,V350&lt;40,W350&gt;=95),0.15,0)+IF(AND(V350&gt;=40,V350&lt;75,W350&lt;35),0.25,0)+IF(AND(V350&gt;=40,V350&lt;75,W350&gt;=35,W350&lt;75),0.2,0)+IF(AND(V350&gt;=40,V350&lt;75,W350&gt;=75,W350&lt;120),0.15,0)+IF(AND(V350&gt;=40,V350&lt;75,W350&gt;=120),0.1,0)+IF(AND(V350&gt;=75,V350&lt;175,W350&lt;35),0.25,0)+IF(AND(V350&gt;=75,V350&lt;=175,W350&gt;=35,W350&lt;65),0.2,0)+IF(AND(V350&gt;=75,V350&lt;=175,W350&gt;=65,W350&lt;110),0.15,0)+IF(AND(V350&gt;=75,V350&lt;=175,W350&gt;=110),0.1,0)+IF(AND(V350&gt;175,W350&lt;25),0.25,0)+IF(AND(V350&gt;175,W350&gt;=25,W350&lt;55),0.2,0)+IF(AND(V350&gt;175,W350&gt;=55,W350&lt;95),0.15,0)+IF(AND(V350&gt;175,W350&gt;=95),0.1,0))))))))))))))))</f>
        <v>0.25</v>
      </c>
      <c r="Y350" s="30">
        <f>IF(AG350="None",0,IF(AG350="Fix5",0.05,IF(AG350="Fix3.75",0.0375,IF(AG350="Fix10",0.1,IF(AG350="Fix3",0.03,0)))))</f>
        <v>0</v>
      </c>
      <c r="Z350" s="35">
        <f>T350-AA350-AB350</f>
        <v>1243.5</v>
      </c>
      <c r="AA350" s="29">
        <f>IF(AD350="EUR",((T350-R350)*X350)*U350+(R350*X350),(T350*X350))</f>
        <v>414.5</v>
      </c>
      <c r="AB350" s="36">
        <f>IF(AD350="EUR",((T350-R350)*Y350)*U350+(R350*Y350),(T350*Y350))</f>
        <v>0</v>
      </c>
      <c r="AC350" s="37" t="b">
        <v>1</v>
      </c>
      <c r="AD350" s="37" t="s">
        <v>38</v>
      </c>
      <c r="AE350" s="37" t="s">
        <v>38</v>
      </c>
      <c r="AF350" s="37" t="str">
        <f t="array" ref="AF350">INDEX('Deal Info'!D:D, MATCH(A350,'Deal Info'!A:A, 0))</f>
        <v>SF</v>
      </c>
      <c r="AG350" s="38" t="str">
        <f t="array" ref="AG350">INDEX('Deal Info'!G:G, MATCH(A350,'Deal Info'!A:A, 0))</f>
        <v>None</v>
      </c>
    </row>
    <row r="351" spans="1:33" ht="14.25" hidden="1" x14ac:dyDescent="0.2">
      <c r="A351" s="18" t="str">
        <f t="array" ref="A351">IF(G351='Room Info'!$B$1, INDEX('Room Info'!$A$2:$A2446, MATCH(B351,'Room Info'!$B$2:$B2446, 0)),IF(G351='Room Info'!$C$1, INDEX('Room Info'!$A$2:$A2446, MATCH(B351,'Room Info'!$C$2:$C2446, 0)),IF(G351='Room Info'!$D$1, INDEX('Room Info'!$A$2:$A2446, MATCH(B351,'Room Info'!$D$2:$D2446, 0)),IF(G351='Room Info'!$E$1, INDEX('Room Info'!$A$2:$A2446, MATCH(B351,'Room Info'!$E$2:$E2446, 0)),IF(G351='Room Info'!$F$1, INDEX('Room Info'!$A$2:$A2446, MATCH(B351,'Room Info'!$F$2:$F2446, 0)),IF(G351='Room Info'!$H$1, INDEX('Room Info'!$A$2:$A2446, MATCH(B351,'Room Info'!$H$2:$H2446, 0)),IF(G351='Room Info'!$G$1, INDEX('Room Info'!$A$2:$A2446, MATCH(B351,'Room Info'!$G$2:$G2446, 0)))))))))</f>
        <v>Kiss4money99</v>
      </c>
      <c r="B351" s="45" t="s">
        <v>120</v>
      </c>
      <c r="C351" s="46">
        <v>44672</v>
      </c>
      <c r="D351" s="46">
        <v>44701</v>
      </c>
      <c r="E351" s="47">
        <v>44682</v>
      </c>
      <c r="F351" s="48" t="s">
        <v>34</v>
      </c>
      <c r="G351" s="45" t="s">
        <v>35</v>
      </c>
      <c r="H351" s="49" t="s">
        <v>39</v>
      </c>
      <c r="I351" s="49" t="s">
        <v>37</v>
      </c>
      <c r="J351" s="70">
        <v>5</v>
      </c>
      <c r="K351" s="71">
        <v>2</v>
      </c>
      <c r="L351" s="72">
        <v>15</v>
      </c>
      <c r="M351" s="53">
        <v>1</v>
      </c>
      <c r="N351" s="28">
        <f>K351*J351</f>
        <v>10</v>
      </c>
      <c r="O351" s="45">
        <v>1385</v>
      </c>
      <c r="P351" s="29">
        <v>692.5</v>
      </c>
      <c r="Q351" s="55"/>
      <c r="R351" s="31">
        <f>M351+Q351</f>
        <v>1</v>
      </c>
      <c r="S351" s="73">
        <v>12</v>
      </c>
      <c r="T351" s="32">
        <f>R351+S351+IF(F351="Without EV deal",L351,0)</f>
        <v>13</v>
      </c>
      <c r="U351" s="57">
        <v>1</v>
      </c>
      <c r="V351" s="69">
        <v>9.996375498368975</v>
      </c>
      <c r="W351" s="69">
        <v>251.79126178390135</v>
      </c>
      <c r="X351" s="30">
        <f>IF(AF351="DoEV",IF(AND(V351&lt;20,W351&lt;55),0.3,0)+IF(AND(V351&lt;20,W351&gt;=55,W351&lt;105),0.23,0)+IF(AND(V351&lt;20,W351&gt;=105),0.17,0)+IF(AND(V351&gt;=20,V351&lt;40,W351&lt;45),0.3,0)+IF(AND(V351&gt;=20,V351&lt;40,W351&gt;=45,W351&lt;95),0.23,0)+IF(AND(V351&gt;=20,V351&lt;40,W351&gt;=95),0.17,0)+IF(AND(V351&gt;=40,V351&lt;75,W351&lt;35),0.3,0)+IF(AND(V351&gt;=40,V351&lt;75,W351&gt;=35,W351&lt;75),0.23,0)+IF(AND(V351&gt;=40,V351&lt;75,W351&gt;=75,W351&lt;120),0.17,0)+IF(AND(V351&gt;=40,V351&lt;75,W351&gt;=120),0.12,0)+IF(AND(V351&gt;=75,V351&lt;175,W351&lt;35),0.3,0)+IF(AND(V351&gt;=75,V351&lt;=175,W351&gt;=35,W351&lt;65),0.23,0)+IF(AND(V351&gt;=75,V351&lt;=175,W351&gt;=65,W351&lt;110),0.17,0)+IF(AND(V351&gt;=75,V351&lt;=175,W351&gt;=110),0.12,0)+IF(AND(V351&gt;175,W351&lt;25),0.3,0)+IF(AND(V351&gt;175,W351&gt;=25,W351&lt;55),0.23,0)+IF(AND(V351&gt;175,W351&gt;=55,W351&lt;95),0.17,0)+IF(AND(V351&gt;175,W351&gt;=95),0.12,0),
IF(AF351="Fix15",0.15,
IF(AF351="Fix11.25",0.1125,
IF(AF351="Fix10",0.1,
IF(AF351="Fix9",0.09,
IF(AF351="DoEV2017",IF(AND(W351&lt;74),0.2,0)+IF(AND(W351&gt;=74),0.17,0),
IF(AF351="SF",IF(AND(V351&lt;20,W351&lt;89),0.3,0)+IF(AND(V351&lt;20,W351&gt;=89),0.25,0)+IF(AND(V351&gt;=20,V351&lt;40,W351&lt;74),0.3,0)+IF(AND(V351&gt;=20,V351&lt;40,W351&gt;=75),0.22,0)+IF(AND(V351&gt;=40,V351&lt;75,W351&lt;75),0.26,0)+IF(AND(V351&gt;=40,V351&lt;75,W351&gt;=75),0.22,0)+IF(V351&gt;=75,0.22,0),
IF(AF351="DoEVold",IF(AND(V351&lt;40,W351&lt;35),0.35,0)+IF(AND(V351&lt;40,W351&gt;=35,W351&lt;75),0.25,0)+IF(AND(V351&lt;40,W351&gt;=75),0.17,0)+IF(AND(V351&gt;=40,V351&lt;75,W351&lt;25),0.35,0)+IF(AND(V351&gt;=40,V351&lt;75,W351&gt;=25,W351&lt;65),0.25,0)+IF(AND(V351&gt;=40,V351&lt;75,W351&gt;=65,W351&lt;100),0.17,0)+IF(AND(V351&gt;=40,V351&lt;75,W351&gt;=100),0.1,0)+IF(AND(V351&gt;=75,W351&lt;25),0.35,0)+IF(AND(V351&gt;=75,W351&gt;=25,W351&lt;60),0.25,0)+IF(AND(V351&gt;=75,W351&gt;=60,W351&lt;95),0.17,0)+IF(AND(V351&gt;=75,W351&gt;=95),0.1,0),
IF(AF351="DoEVold15",IF(AND(V351&lt;=40,W351&lt;35),0.35,0)+IF(AND(V351&lt;=40,W351&gt;=35,W351&lt;75),0.25,0)+IF(AND(V351&lt;=40,W351&gt;=75,W351&lt;120),0.17,0)+IF(AND(V351&lt;=40,W351&gt;=120),0.15,0)+IF(AND(V351&gt;40,V351&lt;75,W351&lt;25),0.35,0)+IF(AND(V351&gt;=40,V351&lt;75,W351&gt;=25,W351&lt;65),0.25,0)+IF(AND(V351&gt;=40,V351&lt;75,W351&gt;=65,W351&lt;100),0.17,0)+IF(AND(V351&gt;=40,V351&lt;75,W351&gt;=100),0.1,0)+IF(AND(V351&gt;=75,W351&lt;25),0.35,0)+IF(AND(V351&gt;=75,W351&gt;=25,W351&lt;60),0.25,0)+IF(AND(V351&gt;=75,W351&gt;=60,W351&lt;95),0.17,0)+IF(AND(V351&gt;=75,W351&gt;=95),0.1,0),
IF(AF351="DoEVba",IF(AND(V351&lt;20,W351&lt;105),0.2,0)+IF(AND(V351&lt;20,W351&gt;=105),0.15,0)+IF(AND(V351&gt;=20,V351&lt;40,W351&lt;95),0.2,0)+IF(AND(V351&gt;=20,V351&lt;40,W351&gt;=95,W351&lt;150),0.15,0)+IF(AND(V351&gt;=20,V351&lt;40,W351&gt;=150),0.12,0)+IF(AND(V351&gt;=40,V351&lt;75,W351&lt;75),0.2,0)+IF(AND(V351&gt;=40,V351&lt;75,W351&gt;=75,W351&lt;120),0.15,0)+IF(AND(V351&gt;=40,V351&lt;75,W351&gt;=120),0.12,0)+IF(AND(V351&gt;=75,V351&lt;175,W351&lt;65),0.2,0)+IF(AND(V351&gt;=75,V351&lt;175,W351&gt;=65,W351&lt;110),0.15,0)+IF(AND(V351&gt;=75,V351&lt;175,W351&gt;=110),0.12,0)+IF(AND(V351&gt;=175,W351&lt;55),0.2,0)+IF(AND(V351&gt;=175,W351&gt;=55,W351&lt;95),0.15,0)+IF(AND(V351&gt;=175,W351&gt;=95),0.12,0),
IF(AF351="DoEVku",IF(AND(V351&lt;20,W351&lt;55),0.23,0)+IF(AND(V351&lt;20,W351&gt;=55,W351&lt;105),0.2,0)+IF(AND(V351&lt;20,W351&gt;=105),0.17,0)+IF(AND(V351&gt;=20,V351&lt;40,W351&lt;45),0.23,0)+IF(AND(V351&gt;=20,V351&lt;40,W351&gt;=45,W351&lt;95),0.2,0)+IF(AND(V351&gt;=20,V351&lt;40,W351&gt;=95,W351&lt;=150),0.17,0)+IF(AND(V351&gt;=20,V351&lt;40,W351&gt;=150),0.12,0)+IF(AND(V351&gt;=40,V351&lt;75,W351&lt;35),0.23,0)+IF(AND(V351&gt;=40,V351&lt;75,W351&gt;=35,W351&lt;75),0.2,0)+IF(AND(V351&gt;=40,V351&lt;75,W351&gt;=75,W351&lt;120),0.17,0)+IF(AND(V351&gt;=40,V351&lt;75,W351&gt;=120),0.12,0)+IF(AND(V351&gt;=75,V351&lt;175,W351&lt;35),0.23,0)+IF(AND(V351&gt;=75,V351&lt;=175,W351&gt;=35,W351&lt;65),0.2,0)+IF(AND(V351&gt;=75,V351&lt;=175,W351&gt;=65,W351&lt;110),0.17,0)+IF(AND(V351&gt;=75,V351&lt;=175,W351&gt;=110),0.12,0)+IF(AND(V351&gt;175,W351&lt;25),0.23,0)+IF(AND(V351&gt;175,W351&gt;=25,W351&lt;55),0.2,0)+IF(AND(V351&gt;175,W351&gt;=55,W351&lt;95),0.17,0)+IF(AND(V351&gt;175,W351&gt;=95),0.12,0),
IF(AF351="DoEVs1",IF(AND(V351&lt;20,W351&lt;55),0.3,0)+IF(AND(V351&lt;20,W351&gt;=55,W351&lt;105),0.23,0)+IF(AND(V351&lt;20,W351&gt;=105),0.17,0)+IF(AND(V351&gt;=20,V351&lt;40,W351&lt;45),0.3,0)+IF(AND(V351&gt;=20,V351&lt;40,W351&gt;=45,W351&lt;95),0.23,0)+IF(AND(V351&gt;=20,V351&lt;40,W351&gt;=95,W351&lt;=150),0.17,0)+IF(AND(V351&gt;=20,V351&lt;40,W351&gt;=150),0.12,0)+IF(AND(V351&gt;=40,V351&lt;75,W351&lt;35),0.3,0)+IF(AND(V351&gt;=40,V351&lt;75,W351&gt;=35,W351&lt;75),0.23,0)+IF(AND(V351&gt;=40,V351&lt;75,W351&gt;=75,W351&lt;120),0.17,0)+IF(AND(V351&gt;=40,V351&lt;75,W351&gt;=120),0.12,0)+IF(AND(V351&gt;=75,V351&lt;175,W351&lt;35),0.3,0)+IF(AND(V351&gt;=75,V351&lt;=175,W351&gt;=35,W351&lt;65),0.23,0)+IF(AND(V351&gt;=75,V351&lt;=175,W351&gt;=65,W351&lt;110),0.17,0)+IF(AND(V351&gt;=75,V351&lt;=175,W351&gt;=110),0.12,0)+IF(AND(V351&gt;175,W351&lt;25),0.3,0)+IF(AND(V351&gt;175,W351&gt;=25,W351&lt;55),0.23,0)+IF(AND(V351&gt;175,W351&gt;=55,W351&lt;95),0.17,0)+IF(AND(V351&gt;175,W351&gt;=95),0.12,0),
IF(AF351="DoEVsu",IF(AND(V351&lt;20,W351&lt;55),0.3,0)+IF(AND(V351&lt;20,W351&gt;=55,W351&lt;105),0.23,0)+IF(AND(V351&lt;20,W351&gt;=105),0.17,0)+IF(AND(V351&gt;=20,V351&lt;40,W351&lt;45),0.3,0)+IF(AND(V351&gt;=20,V351&lt;40,W351&gt;=45,W351&lt;95),0.23,0)+IF(AND(V351&gt;=20,V351&lt;40,W351&gt;=95,W351&lt;=250),0.17,0)+IF(AND(V351&gt;=20,V351&lt;40,W351&gt;=250),0.12,0)+IF(AND(V351&gt;=40,V351&lt;75,W351&lt;35),0.3,0)+IF(AND(V351&gt;=40,V351&lt;75,W351&gt;=35,W351&lt;75),0.23,0)+IF(AND(V351&gt;=40,V351&lt;75,W351&gt;=75,W351&lt;120),0.17,0)+IF(AND(V351&gt;=40,V351&lt;75,W351&gt;=120),0.12,0)+IF(AND(V351&gt;=75,V351&lt;175,W351&lt;35),0.3,0)+IF(AND(V351&gt;=75,V351&lt;=175,W351&gt;=35,W351&lt;65),0.23,0)+IF(AND(V351&gt;=75,V351&lt;=175,W351&gt;=65,W351&lt;110),0.17,0)+IF(AND(V351&gt;=75,V351&lt;=175,W351&gt;=110),0.12,0)+IF(AND(V351&gt;175,W351&lt;25),0.3,0)+IF(AND(V351&gt;175,W351&gt;=25,W351&lt;55),0.23,0)+IF(AND(V351&gt;175,W351&gt;=55,W351&lt;95),0.17,0)+IF(AND(V351&gt;175,W351&gt;=95),0.12,0),
IF(AF351="DoEVni",IF(AND(V351&lt;20,W351&lt;55),0.3,0)+IF(AND(V351&lt;20,W351&gt;=55,W351&lt;105),0.23,0)+IF(AND(V351&lt;20,W351&gt;=105),0.17,0)+IF(AND(V351&gt;=20,V351&lt;40,W351&lt;45),0.3,0)+IF(AND(V351&gt;=20,V351&lt;40,W351&gt;=45,W351&lt;95),0.23,0)+IF(AND(V351&gt;=20,V351&lt;40,W351&gt;=95,W351&lt;=200),0.17,0)+IF(AND(V351&gt;=20,V351&lt;40,W351&gt;=200),0.12,0)+IF(AND(V351&gt;=40,V351&lt;75,W351&lt;35),0.3,0)+IF(AND(V351&gt;=40,V351&lt;75,W351&gt;=35,W351&lt;75),0.23,0)+IF(AND(V351&gt;=40,V351&lt;75,W351&gt;=75,W351&lt;120),0.17,0)+IF(AND(V351&gt;=40,V351&lt;75,W351&gt;=120),0.12,0)+IF(AND(V351&gt;=75,V351&lt;175,W351&lt;35),0.3,0)+IF(AND(V351&gt;=75,V351&lt;=175,W351&gt;=35,W351&lt;65),0.23,0)+IF(AND(V351&gt;=75,V351&lt;=175,W351&gt;=65,W351&lt;110),0.17,0)+IF(AND(V351&gt;=75,V351&lt;=175,W351&gt;=110),0.12,0)+IF(AND(V351&gt;175,W351&lt;25),0.3,0)+IF(AND(V351&gt;175,W351&gt;=25,W351&lt;55),0.23,0)+IF(AND(V351&gt;175,W351&gt;=55,W351&lt;95),0.17,0)+IF(AND(V351&gt;175,W351&gt;=95),0.12,0),
IF(AF351="DoEVLo",IF(AND(V351&lt;20,W351&lt;55),0.25,0)+IF(AND(V351&lt;20,W351&gt;=55,W351&lt;105),0.2,0)+IF(AND(V351&lt;20,W351&gt;=105),0.15,0)+IF(AND(V351&gt;=20,V351&lt;40,W351&lt;45),0.25,0)+IF(AND(V351&gt;=20,V351&lt;40,W351&gt;=45,W351&lt;95),0.2,0)+IF(AND(V351&gt;=20,V351&lt;40,W351&gt;=95),0.15,0)+IF(AND(V351&gt;=40,V351&lt;75,W351&lt;35),0.25,0)+IF(AND(V351&gt;=40,V351&lt;75,W351&gt;=35,W351&lt;75),0.2,0)+IF(AND(V351&gt;=40,V351&lt;75,W351&gt;=75,W351&lt;120),0.15,0)+IF(AND(V351&gt;=40,V351&lt;75,W351&gt;=120),0.1,0)+IF(AND(V351&gt;=75,V351&lt;175,W351&lt;35),0.25,0)+IF(AND(V351&gt;=75,V351&lt;=175,W351&gt;=35,W351&lt;65),0.2,0)+IF(AND(V351&gt;=75,V351&lt;=175,W351&gt;=65,W351&lt;110),0.15,0)+IF(AND(V351&gt;=75,V351&lt;=175,W351&gt;=110),0.1,0)+IF(AND(V351&gt;175,W351&lt;25),0.25,0)+IF(AND(V351&gt;175,W351&gt;=25,W351&lt;55),0.2,0)+IF(AND(V351&gt;175,W351&gt;=55,W351&lt;95),0.15,0)+IF(AND(V351&gt;175,W351&gt;=95),0.1,0))))))))))))))))</f>
        <v>0.25</v>
      </c>
      <c r="Y351" s="30">
        <f>IF(AG351="None",0,IF(AG351="Fix5",0.05,IF(AG351="Fix3.75",0.0375,IF(AG351="Fix10",0.1,IF(AG351="Fix3",0.03,0)))))</f>
        <v>0</v>
      </c>
      <c r="Z351" s="35">
        <f>T351-AA351-AB351</f>
        <v>9.75</v>
      </c>
      <c r="AA351" s="29">
        <f>IF(AD351="EUR",((T351-R351)*X351)*U351+(R351*X351),(T351*X351))</f>
        <v>3.25</v>
      </c>
      <c r="AB351" s="36">
        <f>IF(AD351="EUR",((T351-R351)*Y351)*U351+(R351*Y351),(T351*Y351))</f>
        <v>0</v>
      </c>
      <c r="AC351" s="37" t="b">
        <v>1</v>
      </c>
      <c r="AD351" s="37" t="s">
        <v>38</v>
      </c>
      <c r="AE351" s="37" t="s">
        <v>38</v>
      </c>
      <c r="AF351" s="37" t="str">
        <f t="array" ref="AF351">INDEX('Deal Info'!D:D, MATCH(A351,'Deal Info'!A:A, 0))</f>
        <v>SF</v>
      </c>
      <c r="AG351" s="38" t="str">
        <f t="array" ref="AG351">INDEX('Deal Info'!G:G, MATCH(A351,'Deal Info'!A:A, 0))</f>
        <v>None</v>
      </c>
    </row>
    <row r="352" spans="1:33" ht="14.25" hidden="1" x14ac:dyDescent="0.2">
      <c r="A352" s="18" t="str">
        <f t="array" ref="A352">IF(G352='Room Info'!$B$1, INDEX('Room Info'!$A$2:$A2446, MATCH(B352,'Room Info'!$B$2:$B2446, 0)),IF(G352='Room Info'!$C$1, INDEX('Room Info'!$A$2:$A2446, MATCH(B352,'Room Info'!$C$2:$C2446, 0)),IF(G352='Room Info'!$D$1, INDEX('Room Info'!$A$2:$A2446, MATCH(B352,'Room Info'!$D$2:$D2446, 0)),IF(G352='Room Info'!$E$1, INDEX('Room Info'!$A$2:$A2446, MATCH(B352,'Room Info'!$E$2:$E2446, 0)),IF(G352='Room Info'!$F$1, INDEX('Room Info'!$A$2:$A2446, MATCH(B352,'Room Info'!$F$2:$F2446, 0)),IF(G352='Room Info'!$H$1, INDEX('Room Info'!$A$2:$A2446, MATCH(B352,'Room Info'!$H$2:$H2446, 0)),IF(G352='Room Info'!$G$1, INDEX('Room Info'!$A$2:$A2446, MATCH(B352,'Room Info'!$G$2:$G2446, 0)))))))))</f>
        <v>Kiss4money99</v>
      </c>
      <c r="B352" s="45" t="s">
        <v>120</v>
      </c>
      <c r="C352" s="46">
        <v>44672</v>
      </c>
      <c r="D352" s="46">
        <v>44701</v>
      </c>
      <c r="E352" s="47">
        <v>44682</v>
      </c>
      <c r="F352" s="48" t="s">
        <v>34</v>
      </c>
      <c r="G352" s="45" t="s">
        <v>35</v>
      </c>
      <c r="H352" s="49" t="s">
        <v>40</v>
      </c>
      <c r="I352" s="49" t="s">
        <v>37</v>
      </c>
      <c r="J352" s="70">
        <v>10</v>
      </c>
      <c r="K352" s="71">
        <v>2757</v>
      </c>
      <c r="L352" s="72">
        <v>200</v>
      </c>
      <c r="M352" s="53">
        <v>1503</v>
      </c>
      <c r="N352" s="28">
        <f>K352*J352</f>
        <v>27570</v>
      </c>
      <c r="O352" s="45">
        <v>164495</v>
      </c>
      <c r="P352" s="29">
        <v>59.664490389999997</v>
      </c>
      <c r="Q352" s="55"/>
      <c r="R352" s="31">
        <f>M352+Q352</f>
        <v>1503</v>
      </c>
      <c r="S352" s="73">
        <v>1001</v>
      </c>
      <c r="T352" s="32">
        <f>R352+S352+IF(F352="Without EV deal",L352,0)</f>
        <v>2504</v>
      </c>
      <c r="U352" s="57">
        <v>1</v>
      </c>
      <c r="V352" s="69">
        <v>9.996375498368975</v>
      </c>
      <c r="W352" s="69">
        <v>251.79126178390135</v>
      </c>
      <c r="X352" s="30">
        <f>IF(AF352="DoEV",IF(AND(V352&lt;20,W352&lt;55),0.3,0)+IF(AND(V352&lt;20,W352&gt;=55,W352&lt;105),0.23,0)+IF(AND(V352&lt;20,W352&gt;=105),0.17,0)+IF(AND(V352&gt;=20,V352&lt;40,W352&lt;45),0.3,0)+IF(AND(V352&gt;=20,V352&lt;40,W352&gt;=45,W352&lt;95),0.23,0)+IF(AND(V352&gt;=20,V352&lt;40,W352&gt;=95),0.17,0)+IF(AND(V352&gt;=40,V352&lt;75,W352&lt;35),0.3,0)+IF(AND(V352&gt;=40,V352&lt;75,W352&gt;=35,W352&lt;75),0.23,0)+IF(AND(V352&gt;=40,V352&lt;75,W352&gt;=75,W352&lt;120),0.17,0)+IF(AND(V352&gt;=40,V352&lt;75,W352&gt;=120),0.12,0)+IF(AND(V352&gt;=75,V352&lt;175,W352&lt;35),0.3,0)+IF(AND(V352&gt;=75,V352&lt;=175,W352&gt;=35,W352&lt;65),0.23,0)+IF(AND(V352&gt;=75,V352&lt;=175,W352&gt;=65,W352&lt;110),0.17,0)+IF(AND(V352&gt;=75,V352&lt;=175,W352&gt;=110),0.12,0)+IF(AND(V352&gt;175,W352&lt;25),0.3,0)+IF(AND(V352&gt;175,W352&gt;=25,W352&lt;55),0.23,0)+IF(AND(V352&gt;175,W352&gt;=55,W352&lt;95),0.17,0)+IF(AND(V352&gt;175,W352&gt;=95),0.12,0),
IF(AF352="Fix15",0.15,
IF(AF352="Fix11.25",0.1125,
IF(AF352="Fix10",0.1,
IF(AF352="Fix9",0.09,
IF(AF352="DoEV2017",IF(AND(W352&lt;74),0.2,0)+IF(AND(W352&gt;=74),0.17,0),
IF(AF352="SF",IF(AND(V352&lt;20,W352&lt;89),0.3,0)+IF(AND(V352&lt;20,W352&gt;=89),0.25,0)+IF(AND(V352&gt;=20,V352&lt;40,W352&lt;74),0.3,0)+IF(AND(V352&gt;=20,V352&lt;40,W352&gt;=75),0.22,0)+IF(AND(V352&gt;=40,V352&lt;75,W352&lt;75),0.26,0)+IF(AND(V352&gt;=40,V352&lt;75,W352&gt;=75),0.22,0)+IF(V352&gt;=75,0.22,0),
IF(AF352="DoEVold",IF(AND(V352&lt;40,W352&lt;35),0.35,0)+IF(AND(V352&lt;40,W352&gt;=35,W352&lt;75),0.25,0)+IF(AND(V352&lt;40,W352&gt;=75),0.17,0)+IF(AND(V352&gt;=40,V352&lt;75,W352&lt;25),0.35,0)+IF(AND(V352&gt;=40,V352&lt;75,W352&gt;=25,W352&lt;65),0.25,0)+IF(AND(V352&gt;=40,V352&lt;75,W352&gt;=65,W352&lt;100),0.17,0)+IF(AND(V352&gt;=40,V352&lt;75,W352&gt;=100),0.1,0)+IF(AND(V352&gt;=75,W352&lt;25),0.35,0)+IF(AND(V352&gt;=75,W352&gt;=25,W352&lt;60),0.25,0)+IF(AND(V352&gt;=75,W352&gt;=60,W352&lt;95),0.17,0)+IF(AND(V352&gt;=75,W352&gt;=95),0.1,0),
IF(AF352="DoEVold15",IF(AND(V352&lt;=40,W352&lt;35),0.35,0)+IF(AND(V352&lt;=40,W352&gt;=35,W352&lt;75),0.25,0)+IF(AND(V352&lt;=40,W352&gt;=75,W352&lt;120),0.17,0)+IF(AND(V352&lt;=40,W352&gt;=120),0.15,0)+IF(AND(V352&gt;40,V352&lt;75,W352&lt;25),0.35,0)+IF(AND(V352&gt;=40,V352&lt;75,W352&gt;=25,W352&lt;65),0.25,0)+IF(AND(V352&gt;=40,V352&lt;75,W352&gt;=65,W352&lt;100),0.17,0)+IF(AND(V352&gt;=40,V352&lt;75,W352&gt;=100),0.1,0)+IF(AND(V352&gt;=75,W352&lt;25),0.35,0)+IF(AND(V352&gt;=75,W352&gt;=25,W352&lt;60),0.25,0)+IF(AND(V352&gt;=75,W352&gt;=60,W352&lt;95),0.17,0)+IF(AND(V352&gt;=75,W352&gt;=95),0.1,0),
IF(AF352="DoEVba",IF(AND(V352&lt;20,W352&lt;105),0.2,0)+IF(AND(V352&lt;20,W352&gt;=105),0.15,0)+IF(AND(V352&gt;=20,V352&lt;40,W352&lt;95),0.2,0)+IF(AND(V352&gt;=20,V352&lt;40,W352&gt;=95,W352&lt;150),0.15,0)+IF(AND(V352&gt;=20,V352&lt;40,W352&gt;=150),0.12,0)+IF(AND(V352&gt;=40,V352&lt;75,W352&lt;75),0.2,0)+IF(AND(V352&gt;=40,V352&lt;75,W352&gt;=75,W352&lt;120),0.15,0)+IF(AND(V352&gt;=40,V352&lt;75,W352&gt;=120),0.12,0)+IF(AND(V352&gt;=75,V352&lt;175,W352&lt;65),0.2,0)+IF(AND(V352&gt;=75,V352&lt;175,W352&gt;=65,W352&lt;110),0.15,0)+IF(AND(V352&gt;=75,V352&lt;175,W352&gt;=110),0.12,0)+IF(AND(V352&gt;=175,W352&lt;55),0.2,0)+IF(AND(V352&gt;=175,W352&gt;=55,W352&lt;95),0.15,0)+IF(AND(V352&gt;=175,W352&gt;=95),0.12,0),
IF(AF352="DoEVku",IF(AND(V352&lt;20,W352&lt;55),0.23,0)+IF(AND(V352&lt;20,W352&gt;=55,W352&lt;105),0.2,0)+IF(AND(V352&lt;20,W352&gt;=105),0.17,0)+IF(AND(V352&gt;=20,V352&lt;40,W352&lt;45),0.23,0)+IF(AND(V352&gt;=20,V352&lt;40,W352&gt;=45,W352&lt;95),0.2,0)+IF(AND(V352&gt;=20,V352&lt;40,W352&gt;=95,W352&lt;=150),0.17,0)+IF(AND(V352&gt;=20,V352&lt;40,W352&gt;=150),0.12,0)+IF(AND(V352&gt;=40,V352&lt;75,W352&lt;35),0.23,0)+IF(AND(V352&gt;=40,V352&lt;75,W352&gt;=35,W352&lt;75),0.2,0)+IF(AND(V352&gt;=40,V352&lt;75,W352&gt;=75,W352&lt;120),0.17,0)+IF(AND(V352&gt;=40,V352&lt;75,W352&gt;=120),0.12,0)+IF(AND(V352&gt;=75,V352&lt;175,W352&lt;35),0.23,0)+IF(AND(V352&gt;=75,V352&lt;=175,W352&gt;=35,W352&lt;65),0.2,0)+IF(AND(V352&gt;=75,V352&lt;=175,W352&gt;=65,W352&lt;110),0.17,0)+IF(AND(V352&gt;=75,V352&lt;=175,W352&gt;=110),0.12,0)+IF(AND(V352&gt;175,W352&lt;25),0.23,0)+IF(AND(V352&gt;175,W352&gt;=25,W352&lt;55),0.2,0)+IF(AND(V352&gt;175,W352&gt;=55,W352&lt;95),0.17,0)+IF(AND(V352&gt;175,W352&gt;=95),0.12,0),
IF(AF352="DoEVs1",IF(AND(V352&lt;20,W352&lt;55),0.3,0)+IF(AND(V352&lt;20,W352&gt;=55,W352&lt;105),0.23,0)+IF(AND(V352&lt;20,W352&gt;=105),0.17,0)+IF(AND(V352&gt;=20,V352&lt;40,W352&lt;45),0.3,0)+IF(AND(V352&gt;=20,V352&lt;40,W352&gt;=45,W352&lt;95),0.23,0)+IF(AND(V352&gt;=20,V352&lt;40,W352&gt;=95,W352&lt;=150),0.17,0)+IF(AND(V352&gt;=20,V352&lt;40,W352&gt;=150),0.12,0)+IF(AND(V352&gt;=40,V352&lt;75,W352&lt;35),0.3,0)+IF(AND(V352&gt;=40,V352&lt;75,W352&gt;=35,W352&lt;75),0.23,0)+IF(AND(V352&gt;=40,V352&lt;75,W352&gt;=75,W352&lt;120),0.17,0)+IF(AND(V352&gt;=40,V352&lt;75,W352&gt;=120),0.12,0)+IF(AND(V352&gt;=75,V352&lt;175,W352&lt;35),0.3,0)+IF(AND(V352&gt;=75,V352&lt;=175,W352&gt;=35,W352&lt;65),0.23,0)+IF(AND(V352&gt;=75,V352&lt;=175,W352&gt;=65,W352&lt;110),0.17,0)+IF(AND(V352&gt;=75,V352&lt;=175,W352&gt;=110),0.12,0)+IF(AND(V352&gt;175,W352&lt;25),0.3,0)+IF(AND(V352&gt;175,W352&gt;=25,W352&lt;55),0.23,0)+IF(AND(V352&gt;175,W352&gt;=55,W352&lt;95),0.17,0)+IF(AND(V352&gt;175,W352&gt;=95),0.12,0),
IF(AF352="DoEVsu",IF(AND(V352&lt;20,W352&lt;55),0.3,0)+IF(AND(V352&lt;20,W352&gt;=55,W352&lt;105),0.23,0)+IF(AND(V352&lt;20,W352&gt;=105),0.17,0)+IF(AND(V352&gt;=20,V352&lt;40,W352&lt;45),0.3,0)+IF(AND(V352&gt;=20,V352&lt;40,W352&gt;=45,W352&lt;95),0.23,0)+IF(AND(V352&gt;=20,V352&lt;40,W352&gt;=95,W352&lt;=250),0.17,0)+IF(AND(V352&gt;=20,V352&lt;40,W352&gt;=250),0.12,0)+IF(AND(V352&gt;=40,V352&lt;75,W352&lt;35),0.3,0)+IF(AND(V352&gt;=40,V352&lt;75,W352&gt;=35,W352&lt;75),0.23,0)+IF(AND(V352&gt;=40,V352&lt;75,W352&gt;=75,W352&lt;120),0.17,0)+IF(AND(V352&gt;=40,V352&lt;75,W352&gt;=120),0.12,0)+IF(AND(V352&gt;=75,V352&lt;175,W352&lt;35),0.3,0)+IF(AND(V352&gt;=75,V352&lt;=175,W352&gt;=35,W352&lt;65),0.23,0)+IF(AND(V352&gt;=75,V352&lt;=175,W352&gt;=65,W352&lt;110),0.17,0)+IF(AND(V352&gt;=75,V352&lt;=175,W352&gt;=110),0.12,0)+IF(AND(V352&gt;175,W352&lt;25),0.3,0)+IF(AND(V352&gt;175,W352&gt;=25,W352&lt;55),0.23,0)+IF(AND(V352&gt;175,W352&gt;=55,W352&lt;95),0.17,0)+IF(AND(V352&gt;175,W352&gt;=95),0.12,0),
IF(AF352="DoEVni",IF(AND(V352&lt;20,W352&lt;55),0.3,0)+IF(AND(V352&lt;20,W352&gt;=55,W352&lt;105),0.23,0)+IF(AND(V352&lt;20,W352&gt;=105),0.17,0)+IF(AND(V352&gt;=20,V352&lt;40,W352&lt;45),0.3,0)+IF(AND(V352&gt;=20,V352&lt;40,W352&gt;=45,W352&lt;95),0.23,0)+IF(AND(V352&gt;=20,V352&lt;40,W352&gt;=95,W352&lt;=200),0.17,0)+IF(AND(V352&gt;=20,V352&lt;40,W352&gt;=200),0.12,0)+IF(AND(V352&gt;=40,V352&lt;75,W352&lt;35),0.3,0)+IF(AND(V352&gt;=40,V352&lt;75,W352&gt;=35,W352&lt;75),0.23,0)+IF(AND(V352&gt;=40,V352&lt;75,W352&gt;=75,W352&lt;120),0.17,0)+IF(AND(V352&gt;=40,V352&lt;75,W352&gt;=120),0.12,0)+IF(AND(V352&gt;=75,V352&lt;175,W352&lt;35),0.3,0)+IF(AND(V352&gt;=75,V352&lt;=175,W352&gt;=35,W352&lt;65),0.23,0)+IF(AND(V352&gt;=75,V352&lt;=175,W352&gt;=65,W352&lt;110),0.17,0)+IF(AND(V352&gt;=75,V352&lt;=175,W352&gt;=110),0.12,0)+IF(AND(V352&gt;175,W352&lt;25),0.3,0)+IF(AND(V352&gt;175,W352&gt;=25,W352&lt;55),0.23,0)+IF(AND(V352&gt;175,W352&gt;=55,W352&lt;95),0.17,0)+IF(AND(V352&gt;175,W352&gt;=95),0.12,0),
IF(AF352="DoEVLo",IF(AND(V352&lt;20,W352&lt;55),0.25,0)+IF(AND(V352&lt;20,W352&gt;=55,W352&lt;105),0.2,0)+IF(AND(V352&lt;20,W352&gt;=105),0.15,0)+IF(AND(V352&gt;=20,V352&lt;40,W352&lt;45),0.25,0)+IF(AND(V352&gt;=20,V352&lt;40,W352&gt;=45,W352&lt;95),0.2,0)+IF(AND(V352&gt;=20,V352&lt;40,W352&gt;=95),0.15,0)+IF(AND(V352&gt;=40,V352&lt;75,W352&lt;35),0.25,0)+IF(AND(V352&gt;=40,V352&lt;75,W352&gt;=35,W352&lt;75),0.2,0)+IF(AND(V352&gt;=40,V352&lt;75,W352&gt;=75,W352&lt;120),0.15,0)+IF(AND(V352&gt;=40,V352&lt;75,W352&gt;=120),0.1,0)+IF(AND(V352&gt;=75,V352&lt;175,W352&lt;35),0.25,0)+IF(AND(V352&gt;=75,V352&lt;=175,W352&gt;=35,W352&lt;65),0.2,0)+IF(AND(V352&gt;=75,V352&lt;=175,W352&gt;=65,W352&lt;110),0.15,0)+IF(AND(V352&gt;=75,V352&lt;=175,W352&gt;=110),0.1,0)+IF(AND(V352&gt;175,W352&lt;25),0.25,0)+IF(AND(V352&gt;175,W352&gt;=25,W352&lt;55),0.2,0)+IF(AND(V352&gt;175,W352&gt;=55,W352&lt;95),0.15,0)+IF(AND(V352&gt;175,W352&gt;=95),0.1,0))))))))))))))))</f>
        <v>0.25</v>
      </c>
      <c r="Y352" s="30">
        <f>IF(AG352="None",0,IF(AG352="Fix5",0.05,IF(AG352="Fix3.75",0.0375,IF(AG352="Fix10",0.1,IF(AG352="Fix3",0.03,0)))))</f>
        <v>0</v>
      </c>
      <c r="Z352" s="35">
        <f>T352-AA352-AB352</f>
        <v>1878</v>
      </c>
      <c r="AA352" s="29">
        <f>IF(AD352="EUR",((T352-R352)*X352)*U352+(R352*X352),(T352*X352))</f>
        <v>626</v>
      </c>
      <c r="AB352" s="36">
        <f>IF(AD352="EUR",((T352-R352)*Y352)*U352+(R352*Y352),(T352*Y352))</f>
        <v>0</v>
      </c>
      <c r="AC352" s="37" t="b">
        <v>1</v>
      </c>
      <c r="AD352" s="37" t="s">
        <v>38</v>
      </c>
      <c r="AE352" s="37" t="s">
        <v>38</v>
      </c>
      <c r="AF352" s="37" t="str">
        <f t="array" ref="AF352">INDEX('Deal Info'!D:D, MATCH(A352,'Deal Info'!A:A, 0))</f>
        <v>SF</v>
      </c>
      <c r="AG352" s="38" t="str">
        <f t="array" ref="AG352">INDEX('Deal Info'!G:G, MATCH(A352,'Deal Info'!A:A, 0))</f>
        <v>None</v>
      </c>
    </row>
    <row r="353" spans="1:33" ht="14.25" hidden="1" x14ac:dyDescent="0.2">
      <c r="A353" s="18" t="str">
        <f t="array" ref="A353">IF(G353='Room Info'!$B$1, INDEX('Room Info'!$A$2:$A2446, MATCH(B353,'Room Info'!$B$2:$B2446, 0)),IF(G353='Room Info'!$C$1, INDEX('Room Info'!$A$2:$A2446, MATCH(B353,'Room Info'!$C$2:$C2446, 0)),IF(G353='Room Info'!$D$1, INDEX('Room Info'!$A$2:$A2446, MATCH(B353,'Room Info'!$D$2:$D2446, 0)),IF(G353='Room Info'!$E$1, INDEX('Room Info'!$A$2:$A2446, MATCH(B353,'Room Info'!$E$2:$E2446, 0)),IF(G353='Room Info'!$F$1, INDEX('Room Info'!$A$2:$A2446, MATCH(B353,'Room Info'!$F$2:$F2446, 0)),IF(G353='Room Info'!$H$1, INDEX('Room Info'!$A$2:$A2446, MATCH(B353,'Room Info'!$H$2:$H2446, 0)),IF(G353='Room Info'!$G$1, INDEX('Room Info'!$A$2:$A2446, MATCH(B353,'Room Info'!$G$2:$G2446, 0)))))))))</f>
        <v>Kiss4money99</v>
      </c>
      <c r="B353" s="45" t="s">
        <v>120</v>
      </c>
      <c r="C353" s="46">
        <v>44702</v>
      </c>
      <c r="D353" s="46">
        <v>44732</v>
      </c>
      <c r="E353" s="47">
        <v>44713</v>
      </c>
      <c r="F353" s="48" t="s">
        <v>34</v>
      </c>
      <c r="G353" s="45" t="s">
        <v>35</v>
      </c>
      <c r="H353" s="49" t="s">
        <v>40</v>
      </c>
      <c r="I353" s="49" t="s">
        <v>37</v>
      </c>
      <c r="J353" s="70">
        <v>10</v>
      </c>
      <c r="K353" s="71">
        <v>4647</v>
      </c>
      <c r="L353" s="72">
        <v>-290</v>
      </c>
      <c r="M353" s="53">
        <v>2900</v>
      </c>
      <c r="N353" s="28">
        <f>K353*J353</f>
        <v>46470</v>
      </c>
      <c r="O353" s="45">
        <v>217602</v>
      </c>
      <c r="P353" s="29">
        <v>46.826339570000002</v>
      </c>
      <c r="Q353" s="55"/>
      <c r="R353" s="31">
        <f>M353+Q353</f>
        <v>2900</v>
      </c>
      <c r="S353" s="73">
        <v>633</v>
      </c>
      <c r="T353" s="32">
        <f>R353+S353+IF(F353="Without EV deal",L353,0)</f>
        <v>3533</v>
      </c>
      <c r="U353" s="57">
        <v>1</v>
      </c>
      <c r="V353" s="69">
        <v>10</v>
      </c>
      <c r="W353" s="69">
        <v>353.3</v>
      </c>
      <c r="X353" s="30">
        <f>IF(AF353="DoEV",IF(AND(V353&lt;20,W353&lt;55),0.3,0)+IF(AND(V353&lt;20,W353&gt;=55,W353&lt;105),0.23,0)+IF(AND(V353&lt;20,W353&gt;=105),0.17,0)+IF(AND(V353&gt;=20,V353&lt;40,W353&lt;45),0.3,0)+IF(AND(V353&gt;=20,V353&lt;40,W353&gt;=45,W353&lt;95),0.23,0)+IF(AND(V353&gt;=20,V353&lt;40,W353&gt;=95),0.17,0)+IF(AND(V353&gt;=40,V353&lt;75,W353&lt;35),0.3,0)+IF(AND(V353&gt;=40,V353&lt;75,W353&gt;=35,W353&lt;75),0.23,0)+IF(AND(V353&gt;=40,V353&lt;75,W353&gt;=75,W353&lt;120),0.17,0)+IF(AND(V353&gt;=40,V353&lt;75,W353&gt;=120),0.12,0)+IF(AND(V353&gt;=75,V353&lt;175,W353&lt;35),0.3,0)+IF(AND(V353&gt;=75,V353&lt;=175,W353&gt;=35,W353&lt;65),0.23,0)+IF(AND(V353&gt;=75,V353&lt;=175,W353&gt;=65,W353&lt;110),0.17,0)+IF(AND(V353&gt;=75,V353&lt;=175,W353&gt;=110),0.12,0)+IF(AND(V353&gt;175,W353&lt;25),0.3,0)+IF(AND(V353&gt;175,W353&gt;=25,W353&lt;55),0.23,0)+IF(AND(V353&gt;175,W353&gt;=55,W353&lt;95),0.17,0)+IF(AND(V353&gt;175,W353&gt;=95),0.12,0),
IF(AF353="Fix15",0.15,
IF(AF353="Fix11.25",0.1125,
IF(AF353="Fix10",0.1,
IF(AF353="Fix9",0.09,
IF(AF353="DoEV2017",IF(AND(W353&lt;74),0.2,0)+IF(AND(W353&gt;=74),0.17,0),
IF(AF353="SF",IF(AND(V353&lt;20,W353&lt;89),0.3,0)+IF(AND(V353&lt;20,W353&gt;=89),0.25,0)+IF(AND(V353&gt;=20,V353&lt;40,W353&lt;74),0.3,0)+IF(AND(V353&gt;=20,V353&lt;40,W353&gt;=75),0.22,0)+IF(AND(V353&gt;=40,V353&lt;75,W353&lt;75),0.26,0)+IF(AND(V353&gt;=40,V353&lt;75,W353&gt;=75),0.22,0)+IF(V353&gt;=75,0.22,0),
IF(AF353="DoEVold",IF(AND(V353&lt;40,W353&lt;35),0.35,0)+IF(AND(V353&lt;40,W353&gt;=35,W353&lt;75),0.25,0)+IF(AND(V353&lt;40,W353&gt;=75),0.17,0)+IF(AND(V353&gt;=40,V353&lt;75,W353&lt;25),0.35,0)+IF(AND(V353&gt;=40,V353&lt;75,W353&gt;=25,W353&lt;65),0.25,0)+IF(AND(V353&gt;=40,V353&lt;75,W353&gt;=65,W353&lt;100),0.17,0)+IF(AND(V353&gt;=40,V353&lt;75,W353&gt;=100),0.1,0)+IF(AND(V353&gt;=75,W353&lt;25),0.35,0)+IF(AND(V353&gt;=75,W353&gt;=25,W353&lt;60),0.25,0)+IF(AND(V353&gt;=75,W353&gt;=60,W353&lt;95),0.17,0)+IF(AND(V353&gt;=75,W353&gt;=95),0.1,0),
IF(AF353="DoEVold15",IF(AND(V353&lt;=40,W353&lt;35),0.35,0)+IF(AND(V353&lt;=40,W353&gt;=35,W353&lt;75),0.25,0)+IF(AND(V353&lt;=40,W353&gt;=75,W353&lt;120),0.17,0)+IF(AND(V353&lt;=40,W353&gt;=120),0.15,0)+IF(AND(V353&gt;40,V353&lt;75,W353&lt;25),0.35,0)+IF(AND(V353&gt;=40,V353&lt;75,W353&gt;=25,W353&lt;65),0.25,0)+IF(AND(V353&gt;=40,V353&lt;75,W353&gt;=65,W353&lt;100),0.17,0)+IF(AND(V353&gt;=40,V353&lt;75,W353&gt;=100),0.1,0)+IF(AND(V353&gt;=75,W353&lt;25),0.35,0)+IF(AND(V353&gt;=75,W353&gt;=25,W353&lt;60),0.25,0)+IF(AND(V353&gt;=75,W353&gt;=60,W353&lt;95),0.17,0)+IF(AND(V353&gt;=75,W353&gt;=95),0.1,0),
IF(AF353="DoEVba",IF(AND(V353&lt;20,W353&lt;105),0.2,0)+IF(AND(V353&lt;20,W353&gt;=105),0.15,0)+IF(AND(V353&gt;=20,V353&lt;40,W353&lt;95),0.2,0)+IF(AND(V353&gt;=20,V353&lt;40,W353&gt;=95,W353&lt;150),0.15,0)+IF(AND(V353&gt;=20,V353&lt;40,W353&gt;=150),0.12,0)+IF(AND(V353&gt;=40,V353&lt;75,W353&lt;75),0.2,0)+IF(AND(V353&gt;=40,V353&lt;75,W353&gt;=75,W353&lt;120),0.15,0)+IF(AND(V353&gt;=40,V353&lt;75,W353&gt;=120),0.12,0)+IF(AND(V353&gt;=75,V353&lt;175,W353&lt;65),0.2,0)+IF(AND(V353&gt;=75,V353&lt;175,W353&gt;=65,W353&lt;110),0.15,0)+IF(AND(V353&gt;=75,V353&lt;175,W353&gt;=110),0.12,0)+IF(AND(V353&gt;=175,W353&lt;55),0.2,0)+IF(AND(V353&gt;=175,W353&gt;=55,W353&lt;95),0.15,0)+IF(AND(V353&gt;=175,W353&gt;=95),0.12,0),
IF(AF353="DoEVku",IF(AND(V353&lt;20,W353&lt;55),0.23,0)+IF(AND(V353&lt;20,W353&gt;=55,W353&lt;105),0.2,0)+IF(AND(V353&lt;20,W353&gt;=105),0.17,0)+IF(AND(V353&gt;=20,V353&lt;40,W353&lt;45),0.23,0)+IF(AND(V353&gt;=20,V353&lt;40,W353&gt;=45,W353&lt;95),0.2,0)+IF(AND(V353&gt;=20,V353&lt;40,W353&gt;=95,W353&lt;=150),0.17,0)+IF(AND(V353&gt;=20,V353&lt;40,W353&gt;=150),0.12,0)+IF(AND(V353&gt;=40,V353&lt;75,W353&lt;35),0.23,0)+IF(AND(V353&gt;=40,V353&lt;75,W353&gt;=35,W353&lt;75),0.2,0)+IF(AND(V353&gt;=40,V353&lt;75,W353&gt;=75,W353&lt;120),0.17,0)+IF(AND(V353&gt;=40,V353&lt;75,W353&gt;=120),0.12,0)+IF(AND(V353&gt;=75,V353&lt;175,W353&lt;35),0.23,0)+IF(AND(V353&gt;=75,V353&lt;=175,W353&gt;=35,W353&lt;65),0.2,0)+IF(AND(V353&gt;=75,V353&lt;=175,W353&gt;=65,W353&lt;110),0.17,0)+IF(AND(V353&gt;=75,V353&lt;=175,W353&gt;=110),0.12,0)+IF(AND(V353&gt;175,W353&lt;25),0.23,0)+IF(AND(V353&gt;175,W353&gt;=25,W353&lt;55),0.2,0)+IF(AND(V353&gt;175,W353&gt;=55,W353&lt;95),0.17,0)+IF(AND(V353&gt;175,W353&gt;=95),0.12,0),
IF(AF353="DoEVs1",IF(AND(V353&lt;20,W353&lt;55),0.3,0)+IF(AND(V353&lt;20,W353&gt;=55,W353&lt;105),0.23,0)+IF(AND(V353&lt;20,W353&gt;=105),0.17,0)+IF(AND(V353&gt;=20,V353&lt;40,W353&lt;45),0.3,0)+IF(AND(V353&gt;=20,V353&lt;40,W353&gt;=45,W353&lt;95),0.23,0)+IF(AND(V353&gt;=20,V353&lt;40,W353&gt;=95,W353&lt;=150),0.17,0)+IF(AND(V353&gt;=20,V353&lt;40,W353&gt;=150),0.12,0)+IF(AND(V353&gt;=40,V353&lt;75,W353&lt;35),0.3,0)+IF(AND(V353&gt;=40,V353&lt;75,W353&gt;=35,W353&lt;75),0.23,0)+IF(AND(V353&gt;=40,V353&lt;75,W353&gt;=75,W353&lt;120),0.17,0)+IF(AND(V353&gt;=40,V353&lt;75,W353&gt;=120),0.12,0)+IF(AND(V353&gt;=75,V353&lt;175,W353&lt;35),0.3,0)+IF(AND(V353&gt;=75,V353&lt;=175,W353&gt;=35,W353&lt;65),0.23,0)+IF(AND(V353&gt;=75,V353&lt;=175,W353&gt;=65,W353&lt;110),0.17,0)+IF(AND(V353&gt;=75,V353&lt;=175,W353&gt;=110),0.12,0)+IF(AND(V353&gt;175,W353&lt;25),0.3,0)+IF(AND(V353&gt;175,W353&gt;=25,W353&lt;55),0.23,0)+IF(AND(V353&gt;175,W353&gt;=55,W353&lt;95),0.17,0)+IF(AND(V353&gt;175,W353&gt;=95),0.12,0),
IF(AF353="DoEVsu",IF(AND(V353&lt;20,W353&lt;55),0.3,0)+IF(AND(V353&lt;20,W353&gt;=55,W353&lt;105),0.23,0)+IF(AND(V353&lt;20,W353&gt;=105),0.17,0)+IF(AND(V353&gt;=20,V353&lt;40,W353&lt;45),0.3,0)+IF(AND(V353&gt;=20,V353&lt;40,W353&gt;=45,W353&lt;95),0.23,0)+IF(AND(V353&gt;=20,V353&lt;40,W353&gt;=95,W353&lt;=250),0.17,0)+IF(AND(V353&gt;=20,V353&lt;40,W353&gt;=250),0.12,0)+IF(AND(V353&gt;=40,V353&lt;75,W353&lt;35),0.3,0)+IF(AND(V353&gt;=40,V353&lt;75,W353&gt;=35,W353&lt;75),0.23,0)+IF(AND(V353&gt;=40,V353&lt;75,W353&gt;=75,W353&lt;120),0.17,0)+IF(AND(V353&gt;=40,V353&lt;75,W353&gt;=120),0.12,0)+IF(AND(V353&gt;=75,V353&lt;175,W353&lt;35),0.3,0)+IF(AND(V353&gt;=75,V353&lt;=175,W353&gt;=35,W353&lt;65),0.23,0)+IF(AND(V353&gt;=75,V353&lt;=175,W353&gt;=65,W353&lt;110),0.17,0)+IF(AND(V353&gt;=75,V353&lt;=175,W353&gt;=110),0.12,0)+IF(AND(V353&gt;175,W353&lt;25),0.3,0)+IF(AND(V353&gt;175,W353&gt;=25,W353&lt;55),0.23,0)+IF(AND(V353&gt;175,W353&gt;=55,W353&lt;95),0.17,0)+IF(AND(V353&gt;175,W353&gt;=95),0.12,0),
IF(AF353="DoEVni",IF(AND(V353&lt;20,W353&lt;55),0.3,0)+IF(AND(V353&lt;20,W353&gt;=55,W353&lt;105),0.23,0)+IF(AND(V353&lt;20,W353&gt;=105),0.17,0)+IF(AND(V353&gt;=20,V353&lt;40,W353&lt;45),0.3,0)+IF(AND(V353&gt;=20,V353&lt;40,W353&gt;=45,W353&lt;95),0.23,0)+IF(AND(V353&gt;=20,V353&lt;40,W353&gt;=95,W353&lt;=200),0.17,0)+IF(AND(V353&gt;=20,V353&lt;40,W353&gt;=200),0.12,0)+IF(AND(V353&gt;=40,V353&lt;75,W353&lt;35),0.3,0)+IF(AND(V353&gt;=40,V353&lt;75,W353&gt;=35,W353&lt;75),0.23,0)+IF(AND(V353&gt;=40,V353&lt;75,W353&gt;=75,W353&lt;120),0.17,0)+IF(AND(V353&gt;=40,V353&lt;75,W353&gt;=120),0.12,0)+IF(AND(V353&gt;=75,V353&lt;175,W353&lt;35),0.3,0)+IF(AND(V353&gt;=75,V353&lt;=175,W353&gt;=35,W353&lt;65),0.23,0)+IF(AND(V353&gt;=75,V353&lt;=175,W353&gt;=65,W353&lt;110),0.17,0)+IF(AND(V353&gt;=75,V353&lt;=175,W353&gt;=110),0.12,0)+IF(AND(V353&gt;175,W353&lt;25),0.3,0)+IF(AND(V353&gt;175,W353&gt;=25,W353&lt;55),0.23,0)+IF(AND(V353&gt;175,W353&gt;=55,W353&lt;95),0.17,0)+IF(AND(V353&gt;175,W353&gt;=95),0.12,0),
IF(AF353="DoEVLo",IF(AND(V353&lt;20,W353&lt;55),0.25,0)+IF(AND(V353&lt;20,W353&gt;=55,W353&lt;105),0.2,0)+IF(AND(V353&lt;20,W353&gt;=105),0.15,0)+IF(AND(V353&gt;=20,V353&lt;40,W353&lt;45),0.25,0)+IF(AND(V353&gt;=20,V353&lt;40,W353&gt;=45,W353&lt;95),0.2,0)+IF(AND(V353&gt;=20,V353&lt;40,W353&gt;=95),0.15,0)+IF(AND(V353&gt;=40,V353&lt;75,W353&lt;35),0.25,0)+IF(AND(V353&gt;=40,V353&lt;75,W353&gt;=35,W353&lt;75),0.2,0)+IF(AND(V353&gt;=40,V353&lt;75,W353&gt;=75,W353&lt;120),0.15,0)+IF(AND(V353&gt;=40,V353&lt;75,W353&gt;=120),0.1,0)+IF(AND(V353&gt;=75,V353&lt;175,W353&lt;35),0.25,0)+IF(AND(V353&gt;=75,V353&lt;=175,W353&gt;=35,W353&lt;65),0.2,0)+IF(AND(V353&gt;=75,V353&lt;=175,W353&gt;=65,W353&lt;110),0.15,0)+IF(AND(V353&gt;=75,V353&lt;=175,W353&gt;=110),0.1,0)+IF(AND(V353&gt;175,W353&lt;25),0.25,0)+IF(AND(V353&gt;175,W353&gt;=25,W353&lt;55),0.2,0)+IF(AND(V353&gt;175,W353&gt;=55,W353&lt;95),0.15,0)+IF(AND(V353&gt;175,W353&gt;=95),0.1,0))))))))))))))))</f>
        <v>0.25</v>
      </c>
      <c r="Y353" s="30">
        <f>IF(AG353="None",0,IF(AG353="Fix5",0.05,IF(AG353="Fix3.75",0.0375,IF(AG353="Fix10",0.1,IF(AG353="Fix3",0.03,0)))))</f>
        <v>0</v>
      </c>
      <c r="Z353" s="35">
        <f>T353-AA353-AB353</f>
        <v>2649.75</v>
      </c>
      <c r="AA353" s="29">
        <f>IF(AD353="EUR",((T353-R353)*X353)*U353+(R353*X353),(T353*X353))</f>
        <v>883.25</v>
      </c>
      <c r="AB353" s="36">
        <f>IF(AD353="EUR",((T353-R353)*Y353)*U353+(R353*Y353),(T353*Y353))</f>
        <v>0</v>
      </c>
      <c r="AC353" s="37" t="b">
        <v>1</v>
      </c>
      <c r="AD353" s="37" t="s">
        <v>38</v>
      </c>
      <c r="AE353" s="37" t="s">
        <v>38</v>
      </c>
      <c r="AF353" s="37" t="str">
        <f t="array" ref="AF353">INDEX('Deal Info'!D:D, MATCH(A353,'Deal Info'!A:A, 0))</f>
        <v>SF</v>
      </c>
      <c r="AG353" s="38" t="str">
        <f t="array" ref="AG353">INDEX('Deal Info'!G:G, MATCH(A353,'Deal Info'!A:A, 0))</f>
        <v>None</v>
      </c>
    </row>
    <row r="354" spans="1:33" ht="14.25" hidden="1" x14ac:dyDescent="0.2">
      <c r="A354" s="18" t="str">
        <f t="array" ref="A354">IF(G354='Room Info'!$B$1, INDEX('Room Info'!$A$2:$A2446, MATCH(B354,'Room Info'!$B$2:$B2446, 0)),IF(G354='Room Info'!$C$1, INDEX('Room Info'!$A$2:$A2446, MATCH(B354,'Room Info'!$C$2:$C2446, 0)),IF(G354='Room Info'!$D$1, INDEX('Room Info'!$A$2:$A2446, MATCH(B354,'Room Info'!$D$2:$D2446, 0)),IF(G354='Room Info'!$E$1, INDEX('Room Info'!$A$2:$A2446, MATCH(B354,'Room Info'!$E$2:$E2446, 0)),IF(G354='Room Info'!$F$1, INDEX('Room Info'!$A$2:$A2446, MATCH(B354,'Room Info'!$F$2:$F2446, 0)),IF(G354='Room Info'!$H$1, INDEX('Room Info'!$A$2:$A2446, MATCH(B354,'Room Info'!$H$2:$H2446, 0)),IF(G354='Room Info'!$G$1, INDEX('Room Info'!$A$2:$A2446, MATCH(B354,'Room Info'!$G$2:$G2446, 0)))))))))</f>
        <v>Kiss4money99</v>
      </c>
      <c r="B354" s="45" t="s">
        <v>120</v>
      </c>
      <c r="C354" s="46">
        <v>44733</v>
      </c>
      <c r="D354" s="46">
        <v>44762</v>
      </c>
      <c r="E354" s="47">
        <v>44743</v>
      </c>
      <c r="F354" s="48" t="s">
        <v>34</v>
      </c>
      <c r="G354" s="45" t="s">
        <v>35</v>
      </c>
      <c r="H354" s="49" t="s">
        <v>39</v>
      </c>
      <c r="I354" s="49" t="s">
        <v>37</v>
      </c>
      <c r="J354" s="70">
        <v>5</v>
      </c>
      <c r="K354" s="71">
        <v>35</v>
      </c>
      <c r="L354" s="72">
        <v>-5</v>
      </c>
      <c r="M354" s="53">
        <v>8</v>
      </c>
      <c r="N354" s="28">
        <f>K354*J354</f>
        <v>175</v>
      </c>
      <c r="O354" s="45">
        <v>3533</v>
      </c>
      <c r="P354" s="29">
        <v>100.9428571</v>
      </c>
      <c r="Q354" s="55"/>
      <c r="R354" s="31">
        <f>M354+Q354</f>
        <v>8</v>
      </c>
      <c r="S354" s="73">
        <v>16</v>
      </c>
      <c r="T354" s="32">
        <f>R354+S354+IF(F354="Without EV deal",L354,0)</f>
        <v>24</v>
      </c>
      <c r="U354" s="57">
        <v>1</v>
      </c>
      <c r="V354" s="69">
        <v>24.536822603056972</v>
      </c>
      <c r="W354" s="69">
        <v>44.015478999528078</v>
      </c>
      <c r="X354" s="30">
        <f>IF(AF354="DoEV",IF(AND(V354&lt;20,W354&lt;55),0.3,0)+IF(AND(V354&lt;20,W354&gt;=55,W354&lt;105),0.23,0)+IF(AND(V354&lt;20,W354&gt;=105),0.17,0)+IF(AND(V354&gt;=20,V354&lt;40,W354&lt;45),0.3,0)+IF(AND(V354&gt;=20,V354&lt;40,W354&gt;=45,W354&lt;95),0.23,0)+IF(AND(V354&gt;=20,V354&lt;40,W354&gt;=95),0.17,0)+IF(AND(V354&gt;=40,V354&lt;75,W354&lt;35),0.3,0)+IF(AND(V354&gt;=40,V354&lt;75,W354&gt;=35,W354&lt;75),0.23,0)+IF(AND(V354&gt;=40,V354&lt;75,W354&gt;=75,W354&lt;120),0.17,0)+IF(AND(V354&gt;=40,V354&lt;75,W354&gt;=120),0.12,0)+IF(AND(V354&gt;=75,V354&lt;175,W354&lt;35),0.3,0)+IF(AND(V354&gt;=75,V354&lt;=175,W354&gt;=35,W354&lt;65),0.23,0)+IF(AND(V354&gt;=75,V354&lt;=175,W354&gt;=65,W354&lt;110),0.17,0)+IF(AND(V354&gt;=75,V354&lt;=175,W354&gt;=110),0.12,0)+IF(AND(V354&gt;175,W354&lt;25),0.3,0)+IF(AND(V354&gt;175,W354&gt;=25,W354&lt;55),0.23,0)+IF(AND(V354&gt;175,W354&gt;=55,W354&lt;95),0.17,0)+IF(AND(V354&gt;175,W354&gt;=95),0.12,0),
IF(AF354="Fix15",0.15,
IF(AF354="Fix11.25",0.1125,
IF(AF354="Fix10",0.1,
IF(AF354="Fix9",0.09,
IF(AF354="DoEV2017",IF(AND(W354&lt;74),0.2,0)+IF(AND(W354&gt;=74),0.17,0),
IF(AF354="SF",IF(AND(V354&lt;20,W354&lt;89),0.3,0)+IF(AND(V354&lt;20,W354&gt;=89),0.25,0)+IF(AND(V354&gt;=20,V354&lt;40,W354&lt;74),0.3,0)+IF(AND(V354&gt;=20,V354&lt;40,W354&gt;=75),0.22,0)+IF(AND(V354&gt;=40,V354&lt;75,W354&lt;75),0.26,0)+IF(AND(V354&gt;=40,V354&lt;75,W354&gt;=75),0.22,0)+IF(V354&gt;=75,0.22,0),
IF(AF354="DoEVold",IF(AND(V354&lt;40,W354&lt;35),0.35,0)+IF(AND(V354&lt;40,W354&gt;=35,W354&lt;75),0.25,0)+IF(AND(V354&lt;40,W354&gt;=75),0.17,0)+IF(AND(V354&gt;=40,V354&lt;75,W354&lt;25),0.35,0)+IF(AND(V354&gt;=40,V354&lt;75,W354&gt;=25,W354&lt;65),0.25,0)+IF(AND(V354&gt;=40,V354&lt;75,W354&gt;=65,W354&lt;100),0.17,0)+IF(AND(V354&gt;=40,V354&lt;75,W354&gt;=100),0.1,0)+IF(AND(V354&gt;=75,W354&lt;25),0.35,0)+IF(AND(V354&gt;=75,W354&gt;=25,W354&lt;60),0.25,0)+IF(AND(V354&gt;=75,W354&gt;=60,W354&lt;95),0.17,0)+IF(AND(V354&gt;=75,W354&gt;=95),0.1,0),
IF(AF354="DoEVold15",IF(AND(V354&lt;=40,W354&lt;35),0.35,0)+IF(AND(V354&lt;=40,W354&gt;=35,W354&lt;75),0.25,0)+IF(AND(V354&lt;=40,W354&gt;=75,W354&lt;120),0.17,0)+IF(AND(V354&lt;=40,W354&gt;=120),0.15,0)+IF(AND(V354&gt;40,V354&lt;75,W354&lt;25),0.35,0)+IF(AND(V354&gt;=40,V354&lt;75,W354&gt;=25,W354&lt;65),0.25,0)+IF(AND(V354&gt;=40,V354&lt;75,W354&gt;=65,W354&lt;100),0.17,0)+IF(AND(V354&gt;=40,V354&lt;75,W354&gt;=100),0.1,0)+IF(AND(V354&gt;=75,W354&lt;25),0.35,0)+IF(AND(V354&gt;=75,W354&gt;=25,W354&lt;60),0.25,0)+IF(AND(V354&gt;=75,W354&gt;=60,W354&lt;95),0.17,0)+IF(AND(V354&gt;=75,W354&gt;=95),0.1,0),
IF(AF354="DoEVba",IF(AND(V354&lt;20,W354&lt;105),0.2,0)+IF(AND(V354&lt;20,W354&gt;=105),0.15,0)+IF(AND(V354&gt;=20,V354&lt;40,W354&lt;95),0.2,0)+IF(AND(V354&gt;=20,V354&lt;40,W354&gt;=95,W354&lt;150),0.15,0)+IF(AND(V354&gt;=20,V354&lt;40,W354&gt;=150),0.12,0)+IF(AND(V354&gt;=40,V354&lt;75,W354&lt;75),0.2,0)+IF(AND(V354&gt;=40,V354&lt;75,W354&gt;=75,W354&lt;120),0.15,0)+IF(AND(V354&gt;=40,V354&lt;75,W354&gt;=120),0.12,0)+IF(AND(V354&gt;=75,V354&lt;175,W354&lt;65),0.2,0)+IF(AND(V354&gt;=75,V354&lt;175,W354&gt;=65,W354&lt;110),0.15,0)+IF(AND(V354&gt;=75,V354&lt;175,W354&gt;=110),0.12,0)+IF(AND(V354&gt;=175,W354&lt;55),0.2,0)+IF(AND(V354&gt;=175,W354&gt;=55,W354&lt;95),0.15,0)+IF(AND(V354&gt;=175,W354&gt;=95),0.12,0),
IF(AF354="DoEVku",IF(AND(V354&lt;20,W354&lt;55),0.23,0)+IF(AND(V354&lt;20,W354&gt;=55,W354&lt;105),0.2,0)+IF(AND(V354&lt;20,W354&gt;=105),0.17,0)+IF(AND(V354&gt;=20,V354&lt;40,W354&lt;45),0.23,0)+IF(AND(V354&gt;=20,V354&lt;40,W354&gt;=45,W354&lt;95),0.2,0)+IF(AND(V354&gt;=20,V354&lt;40,W354&gt;=95,W354&lt;=150),0.17,0)+IF(AND(V354&gt;=20,V354&lt;40,W354&gt;=150),0.12,0)+IF(AND(V354&gt;=40,V354&lt;75,W354&lt;35),0.23,0)+IF(AND(V354&gt;=40,V354&lt;75,W354&gt;=35,W354&lt;75),0.2,0)+IF(AND(V354&gt;=40,V354&lt;75,W354&gt;=75,W354&lt;120),0.17,0)+IF(AND(V354&gt;=40,V354&lt;75,W354&gt;=120),0.12,0)+IF(AND(V354&gt;=75,V354&lt;175,W354&lt;35),0.23,0)+IF(AND(V354&gt;=75,V354&lt;=175,W354&gt;=35,W354&lt;65),0.2,0)+IF(AND(V354&gt;=75,V354&lt;=175,W354&gt;=65,W354&lt;110),0.17,0)+IF(AND(V354&gt;=75,V354&lt;=175,W354&gt;=110),0.12,0)+IF(AND(V354&gt;175,W354&lt;25),0.23,0)+IF(AND(V354&gt;175,W354&gt;=25,W354&lt;55),0.2,0)+IF(AND(V354&gt;175,W354&gt;=55,W354&lt;95),0.17,0)+IF(AND(V354&gt;175,W354&gt;=95),0.12,0),
IF(AF354="DoEVs1",IF(AND(V354&lt;20,W354&lt;55),0.3,0)+IF(AND(V354&lt;20,W354&gt;=55,W354&lt;105),0.23,0)+IF(AND(V354&lt;20,W354&gt;=105),0.17,0)+IF(AND(V354&gt;=20,V354&lt;40,W354&lt;45),0.3,0)+IF(AND(V354&gt;=20,V354&lt;40,W354&gt;=45,W354&lt;95),0.23,0)+IF(AND(V354&gt;=20,V354&lt;40,W354&gt;=95,W354&lt;=150),0.17,0)+IF(AND(V354&gt;=20,V354&lt;40,W354&gt;=150),0.12,0)+IF(AND(V354&gt;=40,V354&lt;75,W354&lt;35),0.3,0)+IF(AND(V354&gt;=40,V354&lt;75,W354&gt;=35,W354&lt;75),0.23,0)+IF(AND(V354&gt;=40,V354&lt;75,W354&gt;=75,W354&lt;120),0.17,0)+IF(AND(V354&gt;=40,V354&lt;75,W354&gt;=120),0.12,0)+IF(AND(V354&gt;=75,V354&lt;175,W354&lt;35),0.3,0)+IF(AND(V354&gt;=75,V354&lt;=175,W354&gt;=35,W354&lt;65),0.23,0)+IF(AND(V354&gt;=75,V354&lt;=175,W354&gt;=65,W354&lt;110),0.17,0)+IF(AND(V354&gt;=75,V354&lt;=175,W354&gt;=110),0.12,0)+IF(AND(V354&gt;175,W354&lt;25),0.3,0)+IF(AND(V354&gt;175,W354&gt;=25,W354&lt;55),0.23,0)+IF(AND(V354&gt;175,W354&gt;=55,W354&lt;95),0.17,0)+IF(AND(V354&gt;175,W354&gt;=95),0.12,0),
IF(AF354="DoEVsu",IF(AND(V354&lt;20,W354&lt;55),0.3,0)+IF(AND(V354&lt;20,W354&gt;=55,W354&lt;105),0.23,0)+IF(AND(V354&lt;20,W354&gt;=105),0.17,0)+IF(AND(V354&gt;=20,V354&lt;40,W354&lt;45),0.3,0)+IF(AND(V354&gt;=20,V354&lt;40,W354&gt;=45,W354&lt;95),0.23,0)+IF(AND(V354&gt;=20,V354&lt;40,W354&gt;=95,W354&lt;=250),0.17,0)+IF(AND(V354&gt;=20,V354&lt;40,W354&gt;=250),0.12,0)+IF(AND(V354&gt;=40,V354&lt;75,W354&lt;35),0.3,0)+IF(AND(V354&gt;=40,V354&lt;75,W354&gt;=35,W354&lt;75),0.23,0)+IF(AND(V354&gt;=40,V354&lt;75,W354&gt;=75,W354&lt;120),0.17,0)+IF(AND(V354&gt;=40,V354&lt;75,W354&gt;=120),0.12,0)+IF(AND(V354&gt;=75,V354&lt;175,W354&lt;35),0.3,0)+IF(AND(V354&gt;=75,V354&lt;=175,W354&gt;=35,W354&lt;65),0.23,0)+IF(AND(V354&gt;=75,V354&lt;=175,W354&gt;=65,W354&lt;110),0.17,0)+IF(AND(V354&gt;=75,V354&lt;=175,W354&gt;=110),0.12,0)+IF(AND(V354&gt;175,W354&lt;25),0.3,0)+IF(AND(V354&gt;175,W354&gt;=25,W354&lt;55),0.23,0)+IF(AND(V354&gt;175,W354&gt;=55,W354&lt;95),0.17,0)+IF(AND(V354&gt;175,W354&gt;=95),0.12,0),
IF(AF354="DoEVni",IF(AND(V354&lt;20,W354&lt;55),0.3,0)+IF(AND(V354&lt;20,W354&gt;=55,W354&lt;105),0.23,0)+IF(AND(V354&lt;20,W354&gt;=105),0.17,0)+IF(AND(V354&gt;=20,V354&lt;40,W354&lt;45),0.3,0)+IF(AND(V354&gt;=20,V354&lt;40,W354&gt;=45,W354&lt;95),0.23,0)+IF(AND(V354&gt;=20,V354&lt;40,W354&gt;=95,W354&lt;=200),0.17,0)+IF(AND(V354&gt;=20,V354&lt;40,W354&gt;=200),0.12,0)+IF(AND(V354&gt;=40,V354&lt;75,W354&lt;35),0.3,0)+IF(AND(V354&gt;=40,V354&lt;75,W354&gt;=35,W354&lt;75),0.23,0)+IF(AND(V354&gt;=40,V354&lt;75,W354&gt;=75,W354&lt;120),0.17,0)+IF(AND(V354&gt;=40,V354&lt;75,W354&gt;=120),0.12,0)+IF(AND(V354&gt;=75,V354&lt;175,W354&lt;35),0.3,0)+IF(AND(V354&gt;=75,V354&lt;=175,W354&gt;=35,W354&lt;65),0.23,0)+IF(AND(V354&gt;=75,V354&lt;=175,W354&gt;=65,W354&lt;110),0.17,0)+IF(AND(V354&gt;=75,V354&lt;=175,W354&gt;=110),0.12,0)+IF(AND(V354&gt;175,W354&lt;25),0.3,0)+IF(AND(V354&gt;175,W354&gt;=25,W354&lt;55),0.23,0)+IF(AND(V354&gt;175,W354&gt;=55,W354&lt;95),0.17,0)+IF(AND(V354&gt;175,W354&gt;=95),0.12,0),
IF(AF354="DoEVLo",IF(AND(V354&lt;20,W354&lt;55),0.25,0)+IF(AND(V354&lt;20,W354&gt;=55,W354&lt;105),0.2,0)+IF(AND(V354&lt;20,W354&gt;=105),0.15,0)+IF(AND(V354&gt;=20,V354&lt;40,W354&lt;45),0.25,0)+IF(AND(V354&gt;=20,V354&lt;40,W354&gt;=45,W354&lt;95),0.2,0)+IF(AND(V354&gt;=20,V354&lt;40,W354&gt;=95),0.15,0)+IF(AND(V354&gt;=40,V354&lt;75,W354&lt;35),0.25,0)+IF(AND(V354&gt;=40,V354&lt;75,W354&gt;=35,W354&lt;75),0.2,0)+IF(AND(V354&gt;=40,V354&lt;75,W354&gt;=75,W354&lt;120),0.15,0)+IF(AND(V354&gt;=40,V354&lt;75,W354&gt;=120),0.1,0)+IF(AND(V354&gt;=75,V354&lt;175,W354&lt;35),0.25,0)+IF(AND(V354&gt;=75,V354&lt;=175,W354&gt;=35,W354&lt;65),0.2,0)+IF(AND(V354&gt;=75,V354&lt;=175,W354&gt;=65,W354&lt;110),0.15,0)+IF(AND(V354&gt;=75,V354&lt;=175,W354&gt;=110),0.1,0)+IF(AND(V354&gt;175,W354&lt;25),0.25,0)+IF(AND(V354&gt;175,W354&gt;=25,W354&lt;55),0.2,0)+IF(AND(V354&gt;175,W354&gt;=55,W354&lt;95),0.15,0)+IF(AND(V354&gt;175,W354&gt;=95),0.1,0))))))))))))))))</f>
        <v>0.3</v>
      </c>
      <c r="Y354" s="30">
        <f>IF(AG354="None",0,IF(AG354="Fix5",0.05,IF(AG354="Fix3.75",0.0375,IF(AG354="Fix10",0.1,IF(AG354="Fix3",0.03,0)))))</f>
        <v>0</v>
      </c>
      <c r="Z354" s="35">
        <f>T354-AA354-AB354</f>
        <v>19</v>
      </c>
      <c r="AA354" s="29">
        <v>5</v>
      </c>
      <c r="AB354" s="36">
        <f>IF(AD354="EUR",((T354-R354)*Y354)*U354+(R354*Y354),(T354*Y354))</f>
        <v>0</v>
      </c>
      <c r="AC354" s="37" t="b">
        <v>0</v>
      </c>
      <c r="AD354" s="37" t="s">
        <v>38</v>
      </c>
      <c r="AE354" s="37" t="s">
        <v>38</v>
      </c>
      <c r="AF354" s="37" t="str">
        <f t="array" ref="AF354">INDEX('Deal Info'!D:D, MATCH(A354,'Deal Info'!A:A, 0))</f>
        <v>SF</v>
      </c>
      <c r="AG354" s="38" t="str">
        <f t="array" ref="AG354">INDEX('Deal Info'!G:G, MATCH(A354,'Deal Info'!A:A, 0))</f>
        <v>None</v>
      </c>
    </row>
    <row r="355" spans="1:33" ht="14.25" hidden="1" x14ac:dyDescent="0.2">
      <c r="A355" s="18" t="str">
        <f t="array" ref="A355">IF(G355='Room Info'!$B$1, INDEX('Room Info'!$A$2:$A2446, MATCH(B355,'Room Info'!$B$2:$B2446, 0)),IF(G355='Room Info'!$C$1, INDEX('Room Info'!$A$2:$A2446, MATCH(B355,'Room Info'!$C$2:$C2446, 0)),IF(G355='Room Info'!$D$1, INDEX('Room Info'!$A$2:$A2446, MATCH(B355,'Room Info'!$D$2:$D2446, 0)),IF(G355='Room Info'!$E$1, INDEX('Room Info'!$A$2:$A2446, MATCH(B355,'Room Info'!$E$2:$E2446, 0)),IF(G355='Room Info'!$F$1, INDEX('Room Info'!$A$2:$A2446, MATCH(B355,'Room Info'!$F$2:$F2446, 0)),IF(G355='Room Info'!$H$1, INDEX('Room Info'!$A$2:$A2446, MATCH(B355,'Room Info'!$H$2:$H2446, 0)),IF(G355='Room Info'!$G$1, INDEX('Room Info'!$A$2:$A2446, MATCH(B355,'Room Info'!$G$2:$G2446, 0)))))))))</f>
        <v>Kiss4money99</v>
      </c>
      <c r="B355" s="45" t="s">
        <v>120</v>
      </c>
      <c r="C355" s="46">
        <v>44733</v>
      </c>
      <c r="D355" s="46">
        <v>44762</v>
      </c>
      <c r="E355" s="47">
        <v>44743</v>
      </c>
      <c r="F355" s="45" t="s">
        <v>34</v>
      </c>
      <c r="G355" s="45" t="s">
        <v>35</v>
      </c>
      <c r="H355" s="49" t="s">
        <v>40</v>
      </c>
      <c r="I355" s="49" t="s">
        <v>37</v>
      </c>
      <c r="J355" s="70">
        <v>10</v>
      </c>
      <c r="K355" s="71">
        <v>20</v>
      </c>
      <c r="L355" s="52">
        <v>20</v>
      </c>
      <c r="M355" s="53">
        <v>8</v>
      </c>
      <c r="N355" s="28">
        <f>K355*J355</f>
        <v>200</v>
      </c>
      <c r="O355" s="54">
        <v>3037</v>
      </c>
      <c r="P355" s="29">
        <v>151.85</v>
      </c>
      <c r="Q355" s="55"/>
      <c r="R355" s="31">
        <f>M355+Q355</f>
        <v>8</v>
      </c>
      <c r="S355" s="56">
        <v>41</v>
      </c>
      <c r="T355" s="32">
        <f>R355+S355+IF(F355="Without EV deal",L355,0)</f>
        <v>49</v>
      </c>
      <c r="U355" s="57">
        <v>1</v>
      </c>
      <c r="V355" s="69">
        <v>24.536822603056972</v>
      </c>
      <c r="W355" s="69">
        <v>44.015478999528078</v>
      </c>
      <c r="X355" s="30">
        <f>IF(AF355="DoEV",IF(AND(V355&lt;20,W355&lt;55),0.3,0)+IF(AND(V355&lt;20,W355&gt;=55,W355&lt;105),0.23,0)+IF(AND(V355&lt;20,W355&gt;=105),0.17,0)+IF(AND(V355&gt;=20,V355&lt;40,W355&lt;45),0.3,0)+IF(AND(V355&gt;=20,V355&lt;40,W355&gt;=45,W355&lt;95),0.23,0)+IF(AND(V355&gt;=20,V355&lt;40,W355&gt;=95),0.17,0)+IF(AND(V355&gt;=40,V355&lt;75,W355&lt;35),0.3,0)+IF(AND(V355&gt;=40,V355&lt;75,W355&gt;=35,W355&lt;75),0.23,0)+IF(AND(V355&gt;=40,V355&lt;75,W355&gt;=75,W355&lt;120),0.17,0)+IF(AND(V355&gt;=40,V355&lt;75,W355&gt;=120),0.12,0)+IF(AND(V355&gt;=75,V355&lt;175,W355&lt;35),0.3,0)+IF(AND(V355&gt;=75,V355&lt;=175,W355&gt;=35,W355&lt;65),0.23,0)+IF(AND(V355&gt;=75,V355&lt;=175,W355&gt;=65,W355&lt;110),0.17,0)+IF(AND(V355&gt;=75,V355&lt;=175,W355&gt;=110),0.12,0)+IF(AND(V355&gt;175,W355&lt;25),0.3,0)+IF(AND(V355&gt;175,W355&gt;=25,W355&lt;55),0.23,0)+IF(AND(V355&gt;175,W355&gt;=55,W355&lt;95),0.17,0)+IF(AND(V355&gt;175,W355&gt;=95),0.12,0),
IF(AF355="Fix15",0.15,
IF(AF355="Fix11.25",0.1125,
IF(AF355="Fix10",0.1,
IF(AF355="Fix9",0.09,
IF(AF355="DoEV2017",IF(AND(W355&lt;74),0.2,0)+IF(AND(W355&gt;=74),0.17,0),
IF(AF355="SF",IF(AND(V355&lt;20,W355&lt;89),0.3,0)+IF(AND(V355&lt;20,W355&gt;=89),0.25,0)+IF(AND(V355&gt;=20,V355&lt;40,W355&lt;74),0.3,0)+IF(AND(V355&gt;=20,V355&lt;40,W355&gt;=75),0.22,0)+IF(AND(V355&gt;=40,V355&lt;75,W355&lt;75),0.26,0)+IF(AND(V355&gt;=40,V355&lt;75,W355&gt;=75),0.22,0)+IF(V355&gt;=75,0.22,0),
IF(AF355="DoEVold",IF(AND(V355&lt;40,W355&lt;35),0.35,0)+IF(AND(V355&lt;40,W355&gt;=35,W355&lt;75),0.25,0)+IF(AND(V355&lt;40,W355&gt;=75),0.17,0)+IF(AND(V355&gt;=40,V355&lt;75,W355&lt;25),0.35,0)+IF(AND(V355&gt;=40,V355&lt;75,W355&gt;=25,W355&lt;65),0.25,0)+IF(AND(V355&gt;=40,V355&lt;75,W355&gt;=65,W355&lt;100),0.17,0)+IF(AND(V355&gt;=40,V355&lt;75,W355&gt;=100),0.1,0)+IF(AND(V355&gt;=75,W355&lt;25),0.35,0)+IF(AND(V355&gt;=75,W355&gt;=25,W355&lt;60),0.25,0)+IF(AND(V355&gt;=75,W355&gt;=60,W355&lt;95),0.17,0)+IF(AND(V355&gt;=75,W355&gt;=95),0.1,0),
IF(AF355="DoEVold15",IF(AND(V355&lt;=40,W355&lt;35),0.35,0)+IF(AND(V355&lt;=40,W355&gt;=35,W355&lt;75),0.25,0)+IF(AND(V355&lt;=40,W355&gt;=75,W355&lt;120),0.17,0)+IF(AND(V355&lt;=40,W355&gt;=120),0.15,0)+IF(AND(V355&gt;40,V355&lt;75,W355&lt;25),0.35,0)+IF(AND(V355&gt;=40,V355&lt;75,W355&gt;=25,W355&lt;65),0.25,0)+IF(AND(V355&gt;=40,V355&lt;75,W355&gt;=65,W355&lt;100),0.17,0)+IF(AND(V355&gt;=40,V355&lt;75,W355&gt;=100),0.1,0)+IF(AND(V355&gt;=75,W355&lt;25),0.35,0)+IF(AND(V355&gt;=75,W355&gt;=25,W355&lt;60),0.25,0)+IF(AND(V355&gt;=75,W355&gt;=60,W355&lt;95),0.17,0)+IF(AND(V355&gt;=75,W355&gt;=95),0.1,0),
IF(AF355="DoEVba",IF(AND(V355&lt;20,W355&lt;105),0.2,0)+IF(AND(V355&lt;20,W355&gt;=105),0.15,0)+IF(AND(V355&gt;=20,V355&lt;40,W355&lt;95),0.2,0)+IF(AND(V355&gt;=20,V355&lt;40,W355&gt;=95,W355&lt;150),0.15,0)+IF(AND(V355&gt;=20,V355&lt;40,W355&gt;=150),0.12,0)+IF(AND(V355&gt;=40,V355&lt;75,W355&lt;75),0.2,0)+IF(AND(V355&gt;=40,V355&lt;75,W355&gt;=75,W355&lt;120),0.15,0)+IF(AND(V355&gt;=40,V355&lt;75,W355&gt;=120),0.12,0)+IF(AND(V355&gt;=75,V355&lt;175,W355&lt;65),0.2,0)+IF(AND(V355&gt;=75,V355&lt;175,W355&gt;=65,W355&lt;110),0.15,0)+IF(AND(V355&gt;=75,V355&lt;175,W355&gt;=110),0.12,0)+IF(AND(V355&gt;=175,W355&lt;55),0.2,0)+IF(AND(V355&gt;=175,W355&gt;=55,W355&lt;95),0.15,0)+IF(AND(V355&gt;=175,W355&gt;=95),0.12,0),
IF(AF355="DoEVku",IF(AND(V355&lt;20,W355&lt;55),0.23,0)+IF(AND(V355&lt;20,W355&gt;=55,W355&lt;105),0.2,0)+IF(AND(V355&lt;20,W355&gt;=105),0.17,0)+IF(AND(V355&gt;=20,V355&lt;40,W355&lt;45),0.23,0)+IF(AND(V355&gt;=20,V355&lt;40,W355&gt;=45,W355&lt;95),0.2,0)+IF(AND(V355&gt;=20,V355&lt;40,W355&gt;=95,W355&lt;=150),0.17,0)+IF(AND(V355&gt;=20,V355&lt;40,W355&gt;=150),0.12,0)+IF(AND(V355&gt;=40,V355&lt;75,W355&lt;35),0.23,0)+IF(AND(V355&gt;=40,V355&lt;75,W355&gt;=35,W355&lt;75),0.2,0)+IF(AND(V355&gt;=40,V355&lt;75,W355&gt;=75,W355&lt;120),0.17,0)+IF(AND(V355&gt;=40,V355&lt;75,W355&gt;=120),0.12,0)+IF(AND(V355&gt;=75,V355&lt;175,W355&lt;35),0.23,0)+IF(AND(V355&gt;=75,V355&lt;=175,W355&gt;=35,W355&lt;65),0.2,0)+IF(AND(V355&gt;=75,V355&lt;=175,W355&gt;=65,W355&lt;110),0.17,0)+IF(AND(V355&gt;=75,V355&lt;=175,W355&gt;=110),0.12,0)+IF(AND(V355&gt;175,W355&lt;25),0.23,0)+IF(AND(V355&gt;175,W355&gt;=25,W355&lt;55),0.2,0)+IF(AND(V355&gt;175,W355&gt;=55,W355&lt;95),0.17,0)+IF(AND(V355&gt;175,W355&gt;=95),0.12,0),
IF(AF355="DoEVs1",IF(AND(V355&lt;20,W355&lt;55),0.3,0)+IF(AND(V355&lt;20,W355&gt;=55,W355&lt;105),0.23,0)+IF(AND(V355&lt;20,W355&gt;=105),0.17,0)+IF(AND(V355&gt;=20,V355&lt;40,W355&lt;45),0.3,0)+IF(AND(V355&gt;=20,V355&lt;40,W355&gt;=45,W355&lt;95),0.23,0)+IF(AND(V355&gt;=20,V355&lt;40,W355&gt;=95,W355&lt;=150),0.17,0)+IF(AND(V355&gt;=20,V355&lt;40,W355&gt;=150),0.12,0)+IF(AND(V355&gt;=40,V355&lt;75,W355&lt;35),0.3,0)+IF(AND(V355&gt;=40,V355&lt;75,W355&gt;=35,W355&lt;75),0.23,0)+IF(AND(V355&gt;=40,V355&lt;75,W355&gt;=75,W355&lt;120),0.17,0)+IF(AND(V355&gt;=40,V355&lt;75,W355&gt;=120),0.12,0)+IF(AND(V355&gt;=75,V355&lt;175,W355&lt;35),0.3,0)+IF(AND(V355&gt;=75,V355&lt;=175,W355&gt;=35,W355&lt;65),0.23,0)+IF(AND(V355&gt;=75,V355&lt;=175,W355&gt;=65,W355&lt;110),0.17,0)+IF(AND(V355&gt;=75,V355&lt;=175,W355&gt;=110),0.12,0)+IF(AND(V355&gt;175,W355&lt;25),0.3,0)+IF(AND(V355&gt;175,W355&gt;=25,W355&lt;55),0.23,0)+IF(AND(V355&gt;175,W355&gt;=55,W355&lt;95),0.17,0)+IF(AND(V355&gt;175,W355&gt;=95),0.12,0),
IF(AF355="DoEVsu",IF(AND(V355&lt;20,W355&lt;55),0.3,0)+IF(AND(V355&lt;20,W355&gt;=55,W355&lt;105),0.23,0)+IF(AND(V355&lt;20,W355&gt;=105),0.17,0)+IF(AND(V355&gt;=20,V355&lt;40,W355&lt;45),0.3,0)+IF(AND(V355&gt;=20,V355&lt;40,W355&gt;=45,W355&lt;95),0.23,0)+IF(AND(V355&gt;=20,V355&lt;40,W355&gt;=95,W355&lt;=250),0.17,0)+IF(AND(V355&gt;=20,V355&lt;40,W355&gt;=250),0.12,0)+IF(AND(V355&gt;=40,V355&lt;75,W355&lt;35),0.3,0)+IF(AND(V355&gt;=40,V355&lt;75,W355&gt;=35,W355&lt;75),0.23,0)+IF(AND(V355&gt;=40,V355&lt;75,W355&gt;=75,W355&lt;120),0.17,0)+IF(AND(V355&gt;=40,V355&lt;75,W355&gt;=120),0.12,0)+IF(AND(V355&gt;=75,V355&lt;175,W355&lt;35),0.3,0)+IF(AND(V355&gt;=75,V355&lt;=175,W355&gt;=35,W355&lt;65),0.23,0)+IF(AND(V355&gt;=75,V355&lt;=175,W355&gt;=65,W355&lt;110),0.17,0)+IF(AND(V355&gt;=75,V355&lt;=175,W355&gt;=110),0.12,0)+IF(AND(V355&gt;175,W355&lt;25),0.3,0)+IF(AND(V355&gt;175,W355&gt;=25,W355&lt;55),0.23,0)+IF(AND(V355&gt;175,W355&gt;=55,W355&lt;95),0.17,0)+IF(AND(V355&gt;175,W355&gt;=95),0.12,0),
IF(AF355="DoEVni",IF(AND(V355&lt;20,W355&lt;55),0.3,0)+IF(AND(V355&lt;20,W355&gt;=55,W355&lt;105),0.23,0)+IF(AND(V355&lt;20,W355&gt;=105),0.17,0)+IF(AND(V355&gt;=20,V355&lt;40,W355&lt;45),0.3,0)+IF(AND(V355&gt;=20,V355&lt;40,W355&gt;=45,W355&lt;95),0.23,0)+IF(AND(V355&gt;=20,V355&lt;40,W355&gt;=95,W355&lt;=200),0.17,0)+IF(AND(V355&gt;=20,V355&lt;40,W355&gt;=200),0.12,0)+IF(AND(V355&gt;=40,V355&lt;75,W355&lt;35),0.3,0)+IF(AND(V355&gt;=40,V355&lt;75,W355&gt;=35,W355&lt;75),0.23,0)+IF(AND(V355&gt;=40,V355&lt;75,W355&gt;=75,W355&lt;120),0.17,0)+IF(AND(V355&gt;=40,V355&lt;75,W355&gt;=120),0.12,0)+IF(AND(V355&gt;=75,V355&lt;175,W355&lt;35),0.3,0)+IF(AND(V355&gt;=75,V355&lt;=175,W355&gt;=35,W355&lt;65),0.23,0)+IF(AND(V355&gt;=75,V355&lt;=175,W355&gt;=65,W355&lt;110),0.17,0)+IF(AND(V355&gt;=75,V355&lt;=175,W355&gt;=110),0.12,0)+IF(AND(V355&gt;175,W355&lt;25),0.3,0)+IF(AND(V355&gt;175,W355&gt;=25,W355&lt;55),0.23,0)+IF(AND(V355&gt;175,W355&gt;=55,W355&lt;95),0.17,0)+IF(AND(V355&gt;175,W355&gt;=95),0.12,0),
IF(AF355="DoEVLo",IF(AND(V355&lt;20,W355&lt;55),0.25,0)+IF(AND(V355&lt;20,W355&gt;=55,W355&lt;105),0.2,0)+IF(AND(V355&lt;20,W355&gt;=105),0.15,0)+IF(AND(V355&gt;=20,V355&lt;40,W355&lt;45),0.25,0)+IF(AND(V355&gt;=20,V355&lt;40,W355&gt;=45,W355&lt;95),0.2,0)+IF(AND(V355&gt;=20,V355&lt;40,W355&gt;=95),0.15,0)+IF(AND(V355&gt;=40,V355&lt;75,W355&lt;35),0.25,0)+IF(AND(V355&gt;=40,V355&lt;75,W355&gt;=35,W355&lt;75),0.2,0)+IF(AND(V355&gt;=40,V355&lt;75,W355&gt;=75,W355&lt;120),0.15,0)+IF(AND(V355&gt;=40,V355&lt;75,W355&gt;=120),0.1,0)+IF(AND(V355&gt;=75,V355&lt;175,W355&lt;35),0.25,0)+IF(AND(V355&gt;=75,V355&lt;=175,W355&gt;=35,W355&lt;65),0.2,0)+IF(AND(V355&gt;=75,V355&lt;=175,W355&gt;=65,W355&lt;110),0.15,0)+IF(AND(V355&gt;=75,V355&lt;=175,W355&gt;=110),0.1,0)+IF(AND(V355&gt;175,W355&lt;25),0.25,0)+IF(AND(V355&gt;175,W355&gt;=25,W355&lt;55),0.2,0)+IF(AND(V355&gt;175,W355&gt;=55,W355&lt;95),0.15,0)+IF(AND(V355&gt;175,W355&gt;=95),0.1,0))))))))))))))))</f>
        <v>0.3</v>
      </c>
      <c r="Y355" s="30">
        <f>IF(AG355="None",0,IF(AG355="Fix5",0.05,IF(AG355="Fix3.75",0.0375,IF(AG355="Fix10",0.1,IF(AG355="Fix3",0.03,0)))))</f>
        <v>0</v>
      </c>
      <c r="Z355" s="35">
        <f>T355-AA355-AB355</f>
        <v>38</v>
      </c>
      <c r="AA355" s="29">
        <v>11</v>
      </c>
      <c r="AB355" s="36">
        <f>IF(AD355="EUR",((T355-R355)*Y355)*U355+(R355*Y355),(T355*Y355))</f>
        <v>0</v>
      </c>
      <c r="AC355" s="37" t="b">
        <v>0</v>
      </c>
      <c r="AD355" s="37" t="s">
        <v>38</v>
      </c>
      <c r="AE355" s="37" t="s">
        <v>38</v>
      </c>
      <c r="AF355" s="37" t="str">
        <f t="array" ref="AF355">INDEX('Deal Info'!D:D, MATCH(A355,'Deal Info'!A:A, 0))</f>
        <v>SF</v>
      </c>
      <c r="AG355" s="38" t="str">
        <f t="array" ref="AG355">INDEX('Deal Info'!G:G, MATCH(A355,'Deal Info'!A:A, 0))</f>
        <v>None</v>
      </c>
    </row>
    <row r="356" spans="1:33" ht="14.25" hidden="1" x14ac:dyDescent="0.2">
      <c r="A356" s="18" t="str">
        <f t="array" ref="A356">IF(G356='Room Info'!$B$1, INDEX('Room Info'!$A$2:$A2446, MATCH(B356,'Room Info'!$B$2:$B2446, 0)),IF(G356='Room Info'!$C$1, INDEX('Room Info'!$A$2:$A2446, MATCH(B356,'Room Info'!$C$2:$C2446, 0)),IF(G356='Room Info'!$D$1, INDEX('Room Info'!$A$2:$A2446, MATCH(B356,'Room Info'!$D$2:$D2446, 0)),IF(G356='Room Info'!$E$1, INDEX('Room Info'!$A$2:$A2446, MATCH(B356,'Room Info'!$E$2:$E2446, 0)),IF(G356='Room Info'!$F$1, INDEX('Room Info'!$A$2:$A2446, MATCH(B356,'Room Info'!$F$2:$F2446, 0)),IF(G356='Room Info'!$H$1, INDEX('Room Info'!$A$2:$A2446, MATCH(B356,'Room Info'!$H$2:$H2446, 0)),IF(G356='Room Info'!$G$1, INDEX('Room Info'!$A$2:$A2446, MATCH(B356,'Room Info'!$G$2:$G2446, 0)))))))))</f>
        <v>Kiss4money99</v>
      </c>
      <c r="B356" s="45" t="s">
        <v>120</v>
      </c>
      <c r="C356" s="46">
        <v>44733</v>
      </c>
      <c r="D356" s="46">
        <v>44762</v>
      </c>
      <c r="E356" s="47">
        <v>44743</v>
      </c>
      <c r="F356" s="48" t="s">
        <v>34</v>
      </c>
      <c r="G356" s="45" t="s">
        <v>35</v>
      </c>
      <c r="H356" s="49" t="s">
        <v>46</v>
      </c>
      <c r="I356" s="49" t="s">
        <v>37</v>
      </c>
      <c r="J356" s="70">
        <v>25</v>
      </c>
      <c r="K356" s="71">
        <v>2104</v>
      </c>
      <c r="L356" s="52">
        <v>-2100</v>
      </c>
      <c r="M356" s="53">
        <v>1848</v>
      </c>
      <c r="N356" s="28">
        <f>K356*J356</f>
        <v>52600</v>
      </c>
      <c r="O356" s="54">
        <v>55996</v>
      </c>
      <c r="P356" s="29">
        <v>26.61406844</v>
      </c>
      <c r="Q356" s="55"/>
      <c r="R356" s="31">
        <f>M356+Q356</f>
        <v>1848</v>
      </c>
      <c r="S356" s="56">
        <v>-841</v>
      </c>
      <c r="T356" s="32">
        <f>R356+S356+IF(F356="Without EV deal",L356,0)</f>
        <v>1007</v>
      </c>
      <c r="U356" s="57">
        <v>1</v>
      </c>
      <c r="V356" s="69">
        <v>24.536822603056972</v>
      </c>
      <c r="W356" s="69">
        <v>44.015478999528078</v>
      </c>
      <c r="X356" s="30">
        <f>IF(AF356="DoEV",IF(AND(V356&lt;20,W356&lt;55),0.3,0)+IF(AND(V356&lt;20,W356&gt;=55,W356&lt;105),0.23,0)+IF(AND(V356&lt;20,W356&gt;=105),0.17,0)+IF(AND(V356&gt;=20,V356&lt;40,W356&lt;45),0.3,0)+IF(AND(V356&gt;=20,V356&lt;40,W356&gt;=45,W356&lt;95),0.23,0)+IF(AND(V356&gt;=20,V356&lt;40,W356&gt;=95),0.17,0)+IF(AND(V356&gt;=40,V356&lt;75,W356&lt;35),0.3,0)+IF(AND(V356&gt;=40,V356&lt;75,W356&gt;=35,W356&lt;75),0.23,0)+IF(AND(V356&gt;=40,V356&lt;75,W356&gt;=75,W356&lt;120),0.17,0)+IF(AND(V356&gt;=40,V356&lt;75,W356&gt;=120),0.12,0)+IF(AND(V356&gt;=75,V356&lt;175,W356&lt;35),0.3,0)+IF(AND(V356&gt;=75,V356&lt;=175,W356&gt;=35,W356&lt;65),0.23,0)+IF(AND(V356&gt;=75,V356&lt;=175,W356&gt;=65,W356&lt;110),0.17,0)+IF(AND(V356&gt;=75,V356&lt;=175,W356&gt;=110),0.12,0)+IF(AND(V356&gt;175,W356&lt;25),0.3,0)+IF(AND(V356&gt;175,W356&gt;=25,W356&lt;55),0.23,0)+IF(AND(V356&gt;175,W356&gt;=55,W356&lt;95),0.17,0)+IF(AND(V356&gt;175,W356&gt;=95),0.12,0),
IF(AF356="Fix15",0.15,
IF(AF356="Fix11.25",0.1125,
IF(AF356="Fix10",0.1,
IF(AF356="Fix9",0.09,
IF(AF356="DoEV2017",IF(AND(W356&lt;74),0.2,0)+IF(AND(W356&gt;=74),0.17,0),
IF(AF356="SF",IF(AND(V356&lt;20,W356&lt;89),0.3,0)+IF(AND(V356&lt;20,W356&gt;=89),0.25,0)+IF(AND(V356&gt;=20,V356&lt;40,W356&lt;74),0.3,0)+IF(AND(V356&gt;=20,V356&lt;40,W356&gt;=75),0.22,0)+IF(AND(V356&gt;=40,V356&lt;75,W356&lt;75),0.26,0)+IF(AND(V356&gt;=40,V356&lt;75,W356&gt;=75),0.22,0)+IF(V356&gt;=75,0.22,0),
IF(AF356="DoEVold",IF(AND(V356&lt;40,W356&lt;35),0.35,0)+IF(AND(V356&lt;40,W356&gt;=35,W356&lt;75),0.25,0)+IF(AND(V356&lt;40,W356&gt;=75),0.17,0)+IF(AND(V356&gt;=40,V356&lt;75,W356&lt;25),0.35,0)+IF(AND(V356&gt;=40,V356&lt;75,W356&gt;=25,W356&lt;65),0.25,0)+IF(AND(V356&gt;=40,V356&lt;75,W356&gt;=65,W356&lt;100),0.17,0)+IF(AND(V356&gt;=40,V356&lt;75,W356&gt;=100),0.1,0)+IF(AND(V356&gt;=75,W356&lt;25),0.35,0)+IF(AND(V356&gt;=75,W356&gt;=25,W356&lt;60),0.25,0)+IF(AND(V356&gt;=75,W356&gt;=60,W356&lt;95),0.17,0)+IF(AND(V356&gt;=75,W356&gt;=95),0.1,0),
IF(AF356="DoEVold15",IF(AND(V356&lt;=40,W356&lt;35),0.35,0)+IF(AND(V356&lt;=40,W356&gt;=35,W356&lt;75),0.25,0)+IF(AND(V356&lt;=40,W356&gt;=75,W356&lt;120),0.17,0)+IF(AND(V356&lt;=40,W356&gt;=120),0.15,0)+IF(AND(V356&gt;40,V356&lt;75,W356&lt;25),0.35,0)+IF(AND(V356&gt;=40,V356&lt;75,W356&gt;=25,W356&lt;65),0.25,0)+IF(AND(V356&gt;=40,V356&lt;75,W356&gt;=65,W356&lt;100),0.17,0)+IF(AND(V356&gt;=40,V356&lt;75,W356&gt;=100),0.1,0)+IF(AND(V356&gt;=75,W356&lt;25),0.35,0)+IF(AND(V356&gt;=75,W356&gt;=25,W356&lt;60),0.25,0)+IF(AND(V356&gt;=75,W356&gt;=60,W356&lt;95),0.17,0)+IF(AND(V356&gt;=75,W356&gt;=95),0.1,0),
IF(AF356="DoEVba",IF(AND(V356&lt;20,W356&lt;105),0.2,0)+IF(AND(V356&lt;20,W356&gt;=105),0.15,0)+IF(AND(V356&gt;=20,V356&lt;40,W356&lt;95),0.2,0)+IF(AND(V356&gt;=20,V356&lt;40,W356&gt;=95,W356&lt;150),0.15,0)+IF(AND(V356&gt;=20,V356&lt;40,W356&gt;=150),0.12,0)+IF(AND(V356&gt;=40,V356&lt;75,W356&lt;75),0.2,0)+IF(AND(V356&gt;=40,V356&lt;75,W356&gt;=75,W356&lt;120),0.15,0)+IF(AND(V356&gt;=40,V356&lt;75,W356&gt;=120),0.12,0)+IF(AND(V356&gt;=75,V356&lt;175,W356&lt;65),0.2,0)+IF(AND(V356&gt;=75,V356&lt;175,W356&gt;=65,W356&lt;110),0.15,0)+IF(AND(V356&gt;=75,V356&lt;175,W356&gt;=110),0.12,0)+IF(AND(V356&gt;=175,W356&lt;55),0.2,0)+IF(AND(V356&gt;=175,W356&gt;=55,W356&lt;95),0.15,0)+IF(AND(V356&gt;=175,W356&gt;=95),0.12,0),
IF(AF356="DoEVku",IF(AND(V356&lt;20,W356&lt;55),0.23,0)+IF(AND(V356&lt;20,W356&gt;=55,W356&lt;105),0.2,0)+IF(AND(V356&lt;20,W356&gt;=105),0.17,0)+IF(AND(V356&gt;=20,V356&lt;40,W356&lt;45),0.23,0)+IF(AND(V356&gt;=20,V356&lt;40,W356&gt;=45,W356&lt;95),0.2,0)+IF(AND(V356&gt;=20,V356&lt;40,W356&gt;=95,W356&lt;=150),0.17,0)+IF(AND(V356&gt;=20,V356&lt;40,W356&gt;=150),0.12,0)+IF(AND(V356&gt;=40,V356&lt;75,W356&lt;35),0.23,0)+IF(AND(V356&gt;=40,V356&lt;75,W356&gt;=35,W356&lt;75),0.2,0)+IF(AND(V356&gt;=40,V356&lt;75,W356&gt;=75,W356&lt;120),0.17,0)+IF(AND(V356&gt;=40,V356&lt;75,W356&gt;=120),0.12,0)+IF(AND(V356&gt;=75,V356&lt;175,W356&lt;35),0.23,0)+IF(AND(V356&gt;=75,V356&lt;=175,W356&gt;=35,W356&lt;65),0.2,0)+IF(AND(V356&gt;=75,V356&lt;=175,W356&gt;=65,W356&lt;110),0.17,0)+IF(AND(V356&gt;=75,V356&lt;=175,W356&gt;=110),0.12,0)+IF(AND(V356&gt;175,W356&lt;25),0.23,0)+IF(AND(V356&gt;175,W356&gt;=25,W356&lt;55),0.2,0)+IF(AND(V356&gt;175,W356&gt;=55,W356&lt;95),0.17,0)+IF(AND(V356&gt;175,W356&gt;=95),0.12,0),
IF(AF356="DoEVs1",IF(AND(V356&lt;20,W356&lt;55),0.3,0)+IF(AND(V356&lt;20,W356&gt;=55,W356&lt;105),0.23,0)+IF(AND(V356&lt;20,W356&gt;=105),0.17,0)+IF(AND(V356&gt;=20,V356&lt;40,W356&lt;45),0.3,0)+IF(AND(V356&gt;=20,V356&lt;40,W356&gt;=45,W356&lt;95),0.23,0)+IF(AND(V356&gt;=20,V356&lt;40,W356&gt;=95,W356&lt;=150),0.17,0)+IF(AND(V356&gt;=20,V356&lt;40,W356&gt;=150),0.12,0)+IF(AND(V356&gt;=40,V356&lt;75,W356&lt;35),0.3,0)+IF(AND(V356&gt;=40,V356&lt;75,W356&gt;=35,W356&lt;75),0.23,0)+IF(AND(V356&gt;=40,V356&lt;75,W356&gt;=75,W356&lt;120),0.17,0)+IF(AND(V356&gt;=40,V356&lt;75,W356&gt;=120),0.12,0)+IF(AND(V356&gt;=75,V356&lt;175,W356&lt;35),0.3,0)+IF(AND(V356&gt;=75,V356&lt;=175,W356&gt;=35,W356&lt;65),0.23,0)+IF(AND(V356&gt;=75,V356&lt;=175,W356&gt;=65,W356&lt;110),0.17,0)+IF(AND(V356&gt;=75,V356&lt;=175,W356&gt;=110),0.12,0)+IF(AND(V356&gt;175,W356&lt;25),0.3,0)+IF(AND(V356&gt;175,W356&gt;=25,W356&lt;55),0.23,0)+IF(AND(V356&gt;175,W356&gt;=55,W356&lt;95),0.17,0)+IF(AND(V356&gt;175,W356&gt;=95),0.12,0),
IF(AF356="DoEVsu",IF(AND(V356&lt;20,W356&lt;55),0.3,0)+IF(AND(V356&lt;20,W356&gt;=55,W356&lt;105),0.23,0)+IF(AND(V356&lt;20,W356&gt;=105),0.17,0)+IF(AND(V356&gt;=20,V356&lt;40,W356&lt;45),0.3,0)+IF(AND(V356&gt;=20,V356&lt;40,W356&gt;=45,W356&lt;95),0.23,0)+IF(AND(V356&gt;=20,V356&lt;40,W356&gt;=95,W356&lt;=250),0.17,0)+IF(AND(V356&gt;=20,V356&lt;40,W356&gt;=250),0.12,0)+IF(AND(V356&gt;=40,V356&lt;75,W356&lt;35),0.3,0)+IF(AND(V356&gt;=40,V356&lt;75,W356&gt;=35,W356&lt;75),0.23,0)+IF(AND(V356&gt;=40,V356&lt;75,W356&gt;=75,W356&lt;120),0.17,0)+IF(AND(V356&gt;=40,V356&lt;75,W356&gt;=120),0.12,0)+IF(AND(V356&gt;=75,V356&lt;175,W356&lt;35),0.3,0)+IF(AND(V356&gt;=75,V356&lt;=175,W356&gt;=35,W356&lt;65),0.23,0)+IF(AND(V356&gt;=75,V356&lt;=175,W356&gt;=65,W356&lt;110),0.17,0)+IF(AND(V356&gt;=75,V356&lt;=175,W356&gt;=110),0.12,0)+IF(AND(V356&gt;175,W356&lt;25),0.3,0)+IF(AND(V356&gt;175,W356&gt;=25,W356&lt;55),0.23,0)+IF(AND(V356&gt;175,W356&gt;=55,W356&lt;95),0.17,0)+IF(AND(V356&gt;175,W356&gt;=95),0.12,0),
IF(AF356="DoEVni",IF(AND(V356&lt;20,W356&lt;55),0.3,0)+IF(AND(V356&lt;20,W356&gt;=55,W356&lt;105),0.23,0)+IF(AND(V356&lt;20,W356&gt;=105),0.17,0)+IF(AND(V356&gt;=20,V356&lt;40,W356&lt;45),0.3,0)+IF(AND(V356&gt;=20,V356&lt;40,W356&gt;=45,W356&lt;95),0.23,0)+IF(AND(V356&gt;=20,V356&lt;40,W356&gt;=95,W356&lt;=200),0.17,0)+IF(AND(V356&gt;=20,V356&lt;40,W356&gt;=200),0.12,0)+IF(AND(V356&gt;=40,V356&lt;75,W356&lt;35),0.3,0)+IF(AND(V356&gt;=40,V356&lt;75,W356&gt;=35,W356&lt;75),0.23,0)+IF(AND(V356&gt;=40,V356&lt;75,W356&gt;=75,W356&lt;120),0.17,0)+IF(AND(V356&gt;=40,V356&lt;75,W356&gt;=120),0.12,0)+IF(AND(V356&gt;=75,V356&lt;175,W356&lt;35),0.3,0)+IF(AND(V356&gt;=75,V356&lt;=175,W356&gt;=35,W356&lt;65),0.23,0)+IF(AND(V356&gt;=75,V356&lt;=175,W356&gt;=65,W356&lt;110),0.17,0)+IF(AND(V356&gt;=75,V356&lt;=175,W356&gt;=110),0.12,0)+IF(AND(V356&gt;175,W356&lt;25),0.3,0)+IF(AND(V356&gt;175,W356&gt;=25,W356&lt;55),0.23,0)+IF(AND(V356&gt;175,W356&gt;=55,W356&lt;95),0.17,0)+IF(AND(V356&gt;175,W356&gt;=95),0.12,0),
IF(AF356="DoEVLo",IF(AND(V356&lt;20,W356&lt;55),0.25,0)+IF(AND(V356&lt;20,W356&gt;=55,W356&lt;105),0.2,0)+IF(AND(V356&lt;20,W356&gt;=105),0.15,0)+IF(AND(V356&gt;=20,V356&lt;40,W356&lt;45),0.25,0)+IF(AND(V356&gt;=20,V356&lt;40,W356&gt;=45,W356&lt;95),0.2,0)+IF(AND(V356&gt;=20,V356&lt;40,W356&gt;=95),0.15,0)+IF(AND(V356&gt;=40,V356&lt;75,W356&lt;35),0.25,0)+IF(AND(V356&gt;=40,V356&lt;75,W356&gt;=35,W356&lt;75),0.2,0)+IF(AND(V356&gt;=40,V356&lt;75,W356&gt;=75,W356&lt;120),0.15,0)+IF(AND(V356&gt;=40,V356&lt;75,W356&gt;=120),0.1,0)+IF(AND(V356&gt;=75,V356&lt;175,W356&lt;35),0.25,0)+IF(AND(V356&gt;=75,V356&lt;=175,W356&gt;=35,W356&lt;65),0.2,0)+IF(AND(V356&gt;=75,V356&lt;=175,W356&gt;=65,W356&lt;110),0.15,0)+IF(AND(V356&gt;=75,V356&lt;=175,W356&gt;=110),0.1,0)+IF(AND(V356&gt;175,W356&lt;25),0.25,0)+IF(AND(V356&gt;175,W356&gt;=25,W356&lt;55),0.2,0)+IF(AND(V356&gt;175,W356&gt;=55,W356&lt;95),0.15,0)+IF(AND(V356&gt;175,W356&gt;=95),0.1,0))))))))))))))))</f>
        <v>0.3</v>
      </c>
      <c r="Y356" s="30">
        <f>IF(AG356="None",0,IF(AG356="Fix5",0.05,IF(AG356="Fix3.75",0.0375,IF(AG356="Fix10",0.1,IF(AG356="Fix3",0.03,0)))))</f>
        <v>0</v>
      </c>
      <c r="Z356" s="35">
        <f>T356-AA356-AB356</f>
        <v>785</v>
      </c>
      <c r="AA356" s="29">
        <v>222</v>
      </c>
      <c r="AB356" s="36">
        <f>IF(AD356="EUR",((T356-R356)*Y356)*U356+(R356*Y356),(T356*Y356))</f>
        <v>0</v>
      </c>
      <c r="AC356" s="37" t="b">
        <v>0</v>
      </c>
      <c r="AD356" s="37" t="s">
        <v>38</v>
      </c>
      <c r="AE356" s="37" t="s">
        <v>38</v>
      </c>
      <c r="AF356" s="37" t="str">
        <f t="array" ref="AF356">INDEX('Deal Info'!D:D, MATCH(A356,'Deal Info'!A:A, 0))</f>
        <v>SF</v>
      </c>
      <c r="AG356" s="38" t="str">
        <f t="array" ref="AG356">INDEX('Deal Info'!G:G, MATCH(A356,'Deal Info'!A:A, 0))</f>
        <v>None</v>
      </c>
    </row>
    <row r="357" spans="1:33" ht="14.25" hidden="1" x14ac:dyDescent="0.2">
      <c r="A357" s="18" t="str">
        <f t="array" ref="A357">IF(G357='Room Info'!$B$1, INDEX('Room Info'!$A$2:$A2446, MATCH(B357,'Room Info'!$B$2:$B2446, 0)),IF(G357='Room Info'!$C$1, INDEX('Room Info'!$A$2:$A2446, MATCH(B357,'Room Info'!$C$2:$C2446, 0)),IF(G357='Room Info'!$D$1, INDEX('Room Info'!$A$2:$A2446, MATCH(B357,'Room Info'!$D$2:$D2446, 0)),IF(G357='Room Info'!$E$1, INDEX('Room Info'!$A$2:$A2446, MATCH(B357,'Room Info'!$E$2:$E2446, 0)),IF(G357='Room Info'!$F$1, INDEX('Room Info'!$A$2:$A2446, MATCH(B357,'Room Info'!$F$2:$F2446, 0)),IF(G357='Room Info'!$H$1, INDEX('Room Info'!$A$2:$A2446, MATCH(B357,'Room Info'!$H$2:$H2446, 0)),IF(G357='Room Info'!$G$1, INDEX('Room Info'!$A$2:$A2446, MATCH(B357,'Room Info'!$G$2:$G2446, 0)))))))))</f>
        <v>Kiss4money99</v>
      </c>
      <c r="B357" s="45" t="s">
        <v>120</v>
      </c>
      <c r="C357" s="46">
        <v>44763</v>
      </c>
      <c r="D357" s="46">
        <v>44793</v>
      </c>
      <c r="E357" s="47">
        <v>44774</v>
      </c>
      <c r="F357" s="48" t="s">
        <v>34</v>
      </c>
      <c r="G357" s="45" t="s">
        <v>35</v>
      </c>
      <c r="H357" s="49" t="s">
        <v>39</v>
      </c>
      <c r="I357" s="49" t="s">
        <v>37</v>
      </c>
      <c r="J357" s="70">
        <v>5</v>
      </c>
      <c r="K357" s="71">
        <v>1</v>
      </c>
      <c r="L357" s="52">
        <v>-5</v>
      </c>
      <c r="M357" s="62"/>
      <c r="N357" s="28">
        <f>K357*J357</f>
        <v>5</v>
      </c>
      <c r="O357" s="54">
        <v>-670</v>
      </c>
      <c r="P357" s="29">
        <v>-670</v>
      </c>
      <c r="Q357" s="55"/>
      <c r="R357" s="31">
        <f>M357+Q357</f>
        <v>0</v>
      </c>
      <c r="S357" s="56">
        <v>-6</v>
      </c>
      <c r="T357" s="32">
        <f>R357+S357+IF(F357="Without EV deal",L357,0)</f>
        <v>-6</v>
      </c>
      <c r="U357" s="57">
        <v>1</v>
      </c>
      <c r="V357" s="69">
        <v>24.9818676337262</v>
      </c>
      <c r="W357" s="69">
        <v>51.91765559789512</v>
      </c>
      <c r="X357" s="30">
        <f>IF(AF357="DoEV",IF(AND(V357&lt;20,W357&lt;55),0.3,0)+IF(AND(V357&lt;20,W357&gt;=55,W357&lt;105),0.23,0)+IF(AND(V357&lt;20,W357&gt;=105),0.17,0)+IF(AND(V357&gt;=20,V357&lt;40,W357&lt;45),0.3,0)+IF(AND(V357&gt;=20,V357&lt;40,W357&gt;=45,W357&lt;95),0.23,0)+IF(AND(V357&gt;=20,V357&lt;40,W357&gt;=95),0.17,0)+IF(AND(V357&gt;=40,V357&lt;75,W357&lt;35),0.3,0)+IF(AND(V357&gt;=40,V357&lt;75,W357&gt;=35,W357&lt;75),0.23,0)+IF(AND(V357&gt;=40,V357&lt;75,W357&gt;=75,W357&lt;120),0.17,0)+IF(AND(V357&gt;=40,V357&lt;75,W357&gt;=120),0.12,0)+IF(AND(V357&gt;=75,V357&lt;175,W357&lt;35),0.3,0)+IF(AND(V357&gt;=75,V357&lt;=175,W357&gt;=35,W357&lt;65),0.23,0)+IF(AND(V357&gt;=75,V357&lt;=175,W357&gt;=65,W357&lt;110),0.17,0)+IF(AND(V357&gt;=75,V357&lt;=175,W357&gt;=110),0.12,0)+IF(AND(V357&gt;175,W357&lt;25),0.3,0)+IF(AND(V357&gt;175,W357&gt;=25,W357&lt;55),0.23,0)+IF(AND(V357&gt;175,W357&gt;=55,W357&lt;95),0.17,0)+IF(AND(V357&gt;175,W357&gt;=95),0.12,0),
IF(AF357="Fix15",0.15,
IF(AF357="Fix11.25",0.1125,
IF(AF357="Fix10",0.1,
IF(AF357="Fix9",0.09,
IF(AF357="DoEV2017",IF(AND(W357&lt;74),0.2,0)+IF(AND(W357&gt;=74),0.17,0),
IF(AF357="SF",IF(AND(V357&lt;20,W357&lt;89),0.3,0)+IF(AND(V357&lt;20,W357&gt;=89),0.25,0)+IF(AND(V357&gt;=20,V357&lt;40,W357&lt;74),0.3,0)+IF(AND(V357&gt;=20,V357&lt;40,W357&gt;=75),0.22,0)+IF(AND(V357&gt;=40,V357&lt;75,W357&lt;75),0.26,0)+IF(AND(V357&gt;=40,V357&lt;75,W357&gt;=75),0.22,0)+IF(V357&gt;=75,0.22,0),
IF(AF357="DoEVold",IF(AND(V357&lt;40,W357&lt;35),0.35,0)+IF(AND(V357&lt;40,W357&gt;=35,W357&lt;75),0.25,0)+IF(AND(V357&lt;40,W357&gt;=75),0.17,0)+IF(AND(V357&gt;=40,V357&lt;75,W357&lt;25),0.35,0)+IF(AND(V357&gt;=40,V357&lt;75,W357&gt;=25,W357&lt;65),0.25,0)+IF(AND(V357&gt;=40,V357&lt;75,W357&gt;=65,W357&lt;100),0.17,0)+IF(AND(V357&gt;=40,V357&lt;75,W357&gt;=100),0.1,0)+IF(AND(V357&gt;=75,W357&lt;25),0.35,0)+IF(AND(V357&gt;=75,W357&gt;=25,W357&lt;60),0.25,0)+IF(AND(V357&gt;=75,W357&gt;=60,W357&lt;95),0.17,0)+IF(AND(V357&gt;=75,W357&gt;=95),0.1,0),
IF(AF357="DoEVold15",IF(AND(V357&lt;=40,W357&lt;35),0.35,0)+IF(AND(V357&lt;=40,W357&gt;=35,W357&lt;75),0.25,0)+IF(AND(V357&lt;=40,W357&gt;=75,W357&lt;120),0.17,0)+IF(AND(V357&lt;=40,W357&gt;=120),0.15,0)+IF(AND(V357&gt;40,V357&lt;75,W357&lt;25),0.35,0)+IF(AND(V357&gt;=40,V357&lt;75,W357&gt;=25,W357&lt;65),0.25,0)+IF(AND(V357&gt;=40,V357&lt;75,W357&gt;=65,W357&lt;100),0.17,0)+IF(AND(V357&gt;=40,V357&lt;75,W357&gt;=100),0.1,0)+IF(AND(V357&gt;=75,W357&lt;25),0.35,0)+IF(AND(V357&gt;=75,W357&gt;=25,W357&lt;60),0.25,0)+IF(AND(V357&gt;=75,W357&gt;=60,W357&lt;95),0.17,0)+IF(AND(V357&gt;=75,W357&gt;=95),0.1,0),
IF(AF357="DoEVba",IF(AND(V357&lt;20,W357&lt;105),0.2,0)+IF(AND(V357&lt;20,W357&gt;=105),0.15,0)+IF(AND(V357&gt;=20,V357&lt;40,W357&lt;95),0.2,0)+IF(AND(V357&gt;=20,V357&lt;40,W357&gt;=95,W357&lt;150),0.15,0)+IF(AND(V357&gt;=20,V357&lt;40,W357&gt;=150),0.12,0)+IF(AND(V357&gt;=40,V357&lt;75,W357&lt;75),0.2,0)+IF(AND(V357&gt;=40,V357&lt;75,W357&gt;=75,W357&lt;120),0.15,0)+IF(AND(V357&gt;=40,V357&lt;75,W357&gt;=120),0.12,0)+IF(AND(V357&gt;=75,V357&lt;175,W357&lt;65),0.2,0)+IF(AND(V357&gt;=75,V357&lt;175,W357&gt;=65,W357&lt;110),0.15,0)+IF(AND(V357&gt;=75,V357&lt;175,W357&gt;=110),0.12,0)+IF(AND(V357&gt;=175,W357&lt;55),0.2,0)+IF(AND(V357&gt;=175,W357&gt;=55,W357&lt;95),0.15,0)+IF(AND(V357&gt;=175,W357&gt;=95),0.12,0),
IF(AF357="DoEVku",IF(AND(V357&lt;20,W357&lt;55),0.23,0)+IF(AND(V357&lt;20,W357&gt;=55,W357&lt;105),0.2,0)+IF(AND(V357&lt;20,W357&gt;=105),0.17,0)+IF(AND(V357&gt;=20,V357&lt;40,W357&lt;45),0.23,0)+IF(AND(V357&gt;=20,V357&lt;40,W357&gt;=45,W357&lt;95),0.2,0)+IF(AND(V357&gt;=20,V357&lt;40,W357&gt;=95,W357&lt;=150),0.17,0)+IF(AND(V357&gt;=20,V357&lt;40,W357&gt;=150),0.12,0)+IF(AND(V357&gt;=40,V357&lt;75,W357&lt;35),0.23,0)+IF(AND(V357&gt;=40,V357&lt;75,W357&gt;=35,W357&lt;75),0.2,0)+IF(AND(V357&gt;=40,V357&lt;75,W357&gt;=75,W357&lt;120),0.17,0)+IF(AND(V357&gt;=40,V357&lt;75,W357&gt;=120),0.12,0)+IF(AND(V357&gt;=75,V357&lt;175,W357&lt;35),0.23,0)+IF(AND(V357&gt;=75,V357&lt;=175,W357&gt;=35,W357&lt;65),0.2,0)+IF(AND(V357&gt;=75,V357&lt;=175,W357&gt;=65,W357&lt;110),0.17,0)+IF(AND(V357&gt;=75,V357&lt;=175,W357&gt;=110),0.12,0)+IF(AND(V357&gt;175,W357&lt;25),0.23,0)+IF(AND(V357&gt;175,W357&gt;=25,W357&lt;55),0.2,0)+IF(AND(V357&gt;175,W357&gt;=55,W357&lt;95),0.17,0)+IF(AND(V357&gt;175,W357&gt;=95),0.12,0),
IF(AF357="DoEVs1",IF(AND(V357&lt;20,W357&lt;55),0.3,0)+IF(AND(V357&lt;20,W357&gt;=55,W357&lt;105),0.23,0)+IF(AND(V357&lt;20,W357&gt;=105),0.17,0)+IF(AND(V357&gt;=20,V357&lt;40,W357&lt;45),0.3,0)+IF(AND(V357&gt;=20,V357&lt;40,W357&gt;=45,W357&lt;95),0.23,0)+IF(AND(V357&gt;=20,V357&lt;40,W357&gt;=95,W357&lt;=150),0.17,0)+IF(AND(V357&gt;=20,V357&lt;40,W357&gt;=150),0.12,0)+IF(AND(V357&gt;=40,V357&lt;75,W357&lt;35),0.3,0)+IF(AND(V357&gt;=40,V357&lt;75,W357&gt;=35,W357&lt;75),0.23,0)+IF(AND(V357&gt;=40,V357&lt;75,W357&gt;=75,W357&lt;120),0.17,0)+IF(AND(V357&gt;=40,V357&lt;75,W357&gt;=120),0.12,0)+IF(AND(V357&gt;=75,V357&lt;175,W357&lt;35),0.3,0)+IF(AND(V357&gt;=75,V357&lt;=175,W357&gt;=35,W357&lt;65),0.23,0)+IF(AND(V357&gt;=75,V357&lt;=175,W357&gt;=65,W357&lt;110),0.17,0)+IF(AND(V357&gt;=75,V357&lt;=175,W357&gt;=110),0.12,0)+IF(AND(V357&gt;175,W357&lt;25),0.3,0)+IF(AND(V357&gt;175,W357&gt;=25,W357&lt;55),0.23,0)+IF(AND(V357&gt;175,W357&gt;=55,W357&lt;95),0.17,0)+IF(AND(V357&gt;175,W357&gt;=95),0.12,0),
IF(AF357="DoEVsu",IF(AND(V357&lt;20,W357&lt;55),0.3,0)+IF(AND(V357&lt;20,W357&gt;=55,W357&lt;105),0.23,0)+IF(AND(V357&lt;20,W357&gt;=105),0.17,0)+IF(AND(V357&gt;=20,V357&lt;40,W357&lt;45),0.3,0)+IF(AND(V357&gt;=20,V357&lt;40,W357&gt;=45,W357&lt;95),0.23,0)+IF(AND(V357&gt;=20,V357&lt;40,W357&gt;=95,W357&lt;=250),0.17,0)+IF(AND(V357&gt;=20,V357&lt;40,W357&gt;=250),0.12,0)+IF(AND(V357&gt;=40,V357&lt;75,W357&lt;35),0.3,0)+IF(AND(V357&gt;=40,V357&lt;75,W357&gt;=35,W357&lt;75),0.23,0)+IF(AND(V357&gt;=40,V357&lt;75,W357&gt;=75,W357&lt;120),0.17,0)+IF(AND(V357&gt;=40,V357&lt;75,W357&gt;=120),0.12,0)+IF(AND(V357&gt;=75,V357&lt;175,W357&lt;35),0.3,0)+IF(AND(V357&gt;=75,V357&lt;=175,W357&gt;=35,W357&lt;65),0.23,0)+IF(AND(V357&gt;=75,V357&lt;=175,W357&gt;=65,W357&lt;110),0.17,0)+IF(AND(V357&gt;=75,V357&lt;=175,W357&gt;=110),0.12,0)+IF(AND(V357&gt;175,W357&lt;25),0.3,0)+IF(AND(V357&gt;175,W357&gt;=25,W357&lt;55),0.23,0)+IF(AND(V357&gt;175,W357&gt;=55,W357&lt;95),0.17,0)+IF(AND(V357&gt;175,W357&gt;=95),0.12,0),
IF(AF357="DoEVni",IF(AND(V357&lt;20,W357&lt;55),0.3,0)+IF(AND(V357&lt;20,W357&gt;=55,W357&lt;105),0.23,0)+IF(AND(V357&lt;20,W357&gt;=105),0.17,0)+IF(AND(V357&gt;=20,V357&lt;40,W357&lt;45),0.3,0)+IF(AND(V357&gt;=20,V357&lt;40,W357&gt;=45,W357&lt;95),0.23,0)+IF(AND(V357&gt;=20,V357&lt;40,W357&gt;=95,W357&lt;=200),0.17,0)+IF(AND(V357&gt;=20,V357&lt;40,W357&gt;=200),0.12,0)+IF(AND(V357&gt;=40,V357&lt;75,W357&lt;35),0.3,0)+IF(AND(V357&gt;=40,V357&lt;75,W357&gt;=35,W357&lt;75),0.23,0)+IF(AND(V357&gt;=40,V357&lt;75,W357&gt;=75,W357&lt;120),0.17,0)+IF(AND(V357&gt;=40,V357&lt;75,W357&gt;=120),0.12,0)+IF(AND(V357&gt;=75,V357&lt;175,W357&lt;35),0.3,0)+IF(AND(V357&gt;=75,V357&lt;=175,W357&gt;=35,W357&lt;65),0.23,0)+IF(AND(V357&gt;=75,V357&lt;=175,W357&gt;=65,W357&lt;110),0.17,0)+IF(AND(V357&gt;=75,V357&lt;=175,W357&gt;=110),0.12,0)+IF(AND(V357&gt;175,W357&lt;25),0.3,0)+IF(AND(V357&gt;175,W357&gt;=25,W357&lt;55),0.23,0)+IF(AND(V357&gt;175,W357&gt;=55,W357&lt;95),0.17,0)+IF(AND(V357&gt;175,W357&gt;=95),0.12,0),
IF(AF357="DoEVLo",IF(AND(V357&lt;20,W357&lt;55),0.25,0)+IF(AND(V357&lt;20,W357&gt;=55,W357&lt;105),0.2,0)+IF(AND(V357&lt;20,W357&gt;=105),0.15,0)+IF(AND(V357&gt;=20,V357&lt;40,W357&lt;45),0.25,0)+IF(AND(V357&gt;=20,V357&lt;40,W357&gt;=45,W357&lt;95),0.2,0)+IF(AND(V357&gt;=20,V357&lt;40,W357&gt;=95),0.15,0)+IF(AND(V357&gt;=40,V357&lt;75,W357&lt;35),0.25,0)+IF(AND(V357&gt;=40,V357&lt;75,W357&gt;=35,W357&lt;75),0.2,0)+IF(AND(V357&gt;=40,V357&lt;75,W357&gt;=75,W357&lt;120),0.15,0)+IF(AND(V357&gt;=40,V357&lt;75,W357&gt;=120),0.1,0)+IF(AND(V357&gt;=75,V357&lt;175,W357&lt;35),0.25,0)+IF(AND(V357&gt;=75,V357&lt;=175,W357&gt;=35,W357&lt;65),0.2,0)+IF(AND(V357&gt;=75,V357&lt;=175,W357&gt;=65,W357&lt;110),0.15,0)+IF(AND(V357&gt;=75,V357&lt;=175,W357&gt;=110),0.1,0)+IF(AND(V357&gt;175,W357&lt;25),0.25,0)+IF(AND(V357&gt;175,W357&gt;=25,W357&lt;55),0.2,0)+IF(AND(V357&gt;175,W357&gt;=55,W357&lt;95),0.15,0)+IF(AND(V357&gt;175,W357&gt;=95),0.1,0))))))))))))))))</f>
        <v>0.3</v>
      </c>
      <c r="Y357" s="30">
        <f>IF(AG357="None",0,IF(AG357="Fix5",0.05,IF(AG357="Fix3.75",0.0375,IF(AG357="Fix10",0.1,IF(AG357="Fix3",0.03,0)))))</f>
        <v>0</v>
      </c>
      <c r="Z357" s="35">
        <f>T357-AA357-AB357</f>
        <v>-4.2</v>
      </c>
      <c r="AA357" s="29">
        <f>IF(AD357="EUR",((T357-R357)*X357)*U357+(R357*X357),(T357*X357))</f>
        <v>-1.7999999999999998</v>
      </c>
      <c r="AB357" s="36">
        <f>IF(AD357="EUR",((T357-R357)*Y357)*U357+(R357*Y357),(T357*Y357))</f>
        <v>0</v>
      </c>
      <c r="AC357" s="37" t="b">
        <v>0</v>
      </c>
      <c r="AD357" s="37" t="s">
        <v>38</v>
      </c>
      <c r="AE357" s="37" t="s">
        <v>38</v>
      </c>
      <c r="AF357" s="37" t="str">
        <f t="array" ref="AF357">INDEX('Deal Info'!D:D, MATCH(A357,'Deal Info'!A:A, 0))</f>
        <v>SF</v>
      </c>
      <c r="AG357" s="38" t="str">
        <f t="array" ref="AG357">INDEX('Deal Info'!G:G, MATCH(A357,'Deal Info'!A:A, 0))</f>
        <v>None</v>
      </c>
    </row>
    <row r="358" spans="1:33" ht="14.25" hidden="1" x14ac:dyDescent="0.2">
      <c r="A358" s="18" t="str">
        <f t="array" ref="A358">IF(G358='Room Info'!$B$1, INDEX('Room Info'!$A$2:$A2446, MATCH(B358,'Room Info'!$B$2:$B2446, 0)),IF(G358='Room Info'!$C$1, INDEX('Room Info'!$A$2:$A2446, MATCH(B358,'Room Info'!$C$2:$C2446, 0)),IF(G358='Room Info'!$D$1, INDEX('Room Info'!$A$2:$A2446, MATCH(B358,'Room Info'!$D$2:$D2446, 0)),IF(G358='Room Info'!$E$1, INDEX('Room Info'!$A$2:$A2446, MATCH(B358,'Room Info'!$E$2:$E2446, 0)),IF(G358='Room Info'!$F$1, INDEX('Room Info'!$A$2:$A2446, MATCH(B358,'Room Info'!$F$2:$F2446, 0)),IF(G358='Room Info'!$H$1, INDEX('Room Info'!$A$2:$A2446, MATCH(B358,'Room Info'!$H$2:$H2446, 0)),IF(G358='Room Info'!$G$1, INDEX('Room Info'!$A$2:$A2446, MATCH(B358,'Room Info'!$G$2:$G2446, 0)))))))))</f>
        <v>Kiss4money99</v>
      </c>
      <c r="B358" s="45" t="s">
        <v>120</v>
      </c>
      <c r="C358" s="46">
        <v>44763</v>
      </c>
      <c r="D358" s="46">
        <v>44793</v>
      </c>
      <c r="E358" s="47">
        <v>44774</v>
      </c>
      <c r="F358" s="48" t="s">
        <v>34</v>
      </c>
      <c r="G358" s="45" t="s">
        <v>35</v>
      </c>
      <c r="H358" s="49" t="s">
        <v>46</v>
      </c>
      <c r="I358" s="49" t="s">
        <v>37</v>
      </c>
      <c r="J358" s="70">
        <v>25</v>
      </c>
      <c r="K358" s="71">
        <v>1102</v>
      </c>
      <c r="L358" s="52">
        <v>225</v>
      </c>
      <c r="M358" s="53">
        <v>1255</v>
      </c>
      <c r="N358" s="28">
        <f>K358*J358</f>
        <v>27550</v>
      </c>
      <c r="O358" s="54">
        <v>36779</v>
      </c>
      <c r="P358" s="29">
        <v>33.374773140000002</v>
      </c>
      <c r="Q358" s="55"/>
      <c r="R358" s="31">
        <f>M358+Q358</f>
        <v>1255</v>
      </c>
      <c r="S358" s="56">
        <v>-35</v>
      </c>
      <c r="T358" s="32">
        <f>R358+S358+IF(F358="Without EV deal",L358,0)</f>
        <v>1220</v>
      </c>
      <c r="U358" s="57">
        <v>1</v>
      </c>
      <c r="V358" s="69">
        <v>24.9818676337262</v>
      </c>
      <c r="W358" s="69">
        <v>51.91765559789512</v>
      </c>
      <c r="X358" s="30">
        <f>IF(AF358="DoEV",IF(AND(V358&lt;20,W358&lt;55),0.3,0)+IF(AND(V358&lt;20,W358&gt;=55,W358&lt;105),0.23,0)+IF(AND(V358&lt;20,W358&gt;=105),0.17,0)+IF(AND(V358&gt;=20,V358&lt;40,W358&lt;45),0.3,0)+IF(AND(V358&gt;=20,V358&lt;40,W358&gt;=45,W358&lt;95),0.23,0)+IF(AND(V358&gt;=20,V358&lt;40,W358&gt;=95),0.17,0)+IF(AND(V358&gt;=40,V358&lt;75,W358&lt;35),0.3,0)+IF(AND(V358&gt;=40,V358&lt;75,W358&gt;=35,W358&lt;75),0.23,0)+IF(AND(V358&gt;=40,V358&lt;75,W358&gt;=75,W358&lt;120),0.17,0)+IF(AND(V358&gt;=40,V358&lt;75,W358&gt;=120),0.12,0)+IF(AND(V358&gt;=75,V358&lt;175,W358&lt;35),0.3,0)+IF(AND(V358&gt;=75,V358&lt;=175,W358&gt;=35,W358&lt;65),0.23,0)+IF(AND(V358&gt;=75,V358&lt;=175,W358&gt;=65,W358&lt;110),0.17,0)+IF(AND(V358&gt;=75,V358&lt;=175,W358&gt;=110),0.12,0)+IF(AND(V358&gt;175,W358&lt;25),0.3,0)+IF(AND(V358&gt;175,W358&gt;=25,W358&lt;55),0.23,0)+IF(AND(V358&gt;175,W358&gt;=55,W358&lt;95),0.17,0)+IF(AND(V358&gt;175,W358&gt;=95),0.12,0),
IF(AF358="Fix15",0.15,
IF(AF358="Fix11.25",0.1125,
IF(AF358="Fix10",0.1,
IF(AF358="Fix9",0.09,
IF(AF358="DoEV2017",IF(AND(W358&lt;74),0.2,0)+IF(AND(W358&gt;=74),0.17,0),
IF(AF358="SF",IF(AND(V358&lt;20,W358&lt;89),0.3,0)+IF(AND(V358&lt;20,W358&gt;=89),0.25,0)+IF(AND(V358&gt;=20,V358&lt;40,W358&lt;74),0.3,0)+IF(AND(V358&gt;=20,V358&lt;40,W358&gt;=75),0.22,0)+IF(AND(V358&gt;=40,V358&lt;75,W358&lt;75),0.26,0)+IF(AND(V358&gt;=40,V358&lt;75,W358&gt;=75),0.22,0)+IF(V358&gt;=75,0.22,0),
IF(AF358="DoEVold",IF(AND(V358&lt;40,W358&lt;35),0.35,0)+IF(AND(V358&lt;40,W358&gt;=35,W358&lt;75),0.25,0)+IF(AND(V358&lt;40,W358&gt;=75),0.17,0)+IF(AND(V358&gt;=40,V358&lt;75,W358&lt;25),0.35,0)+IF(AND(V358&gt;=40,V358&lt;75,W358&gt;=25,W358&lt;65),0.25,0)+IF(AND(V358&gt;=40,V358&lt;75,W358&gt;=65,W358&lt;100),0.17,0)+IF(AND(V358&gt;=40,V358&lt;75,W358&gt;=100),0.1,0)+IF(AND(V358&gt;=75,W358&lt;25),0.35,0)+IF(AND(V358&gt;=75,W358&gt;=25,W358&lt;60),0.25,0)+IF(AND(V358&gt;=75,W358&gt;=60,W358&lt;95),0.17,0)+IF(AND(V358&gt;=75,W358&gt;=95),0.1,0),
IF(AF358="DoEVold15",IF(AND(V358&lt;=40,W358&lt;35),0.35,0)+IF(AND(V358&lt;=40,W358&gt;=35,W358&lt;75),0.25,0)+IF(AND(V358&lt;=40,W358&gt;=75,W358&lt;120),0.17,0)+IF(AND(V358&lt;=40,W358&gt;=120),0.15,0)+IF(AND(V358&gt;40,V358&lt;75,W358&lt;25),0.35,0)+IF(AND(V358&gt;=40,V358&lt;75,W358&gt;=25,W358&lt;65),0.25,0)+IF(AND(V358&gt;=40,V358&lt;75,W358&gt;=65,W358&lt;100),0.17,0)+IF(AND(V358&gt;=40,V358&lt;75,W358&gt;=100),0.1,0)+IF(AND(V358&gt;=75,W358&lt;25),0.35,0)+IF(AND(V358&gt;=75,W358&gt;=25,W358&lt;60),0.25,0)+IF(AND(V358&gt;=75,W358&gt;=60,W358&lt;95),0.17,0)+IF(AND(V358&gt;=75,W358&gt;=95),0.1,0),
IF(AF358="DoEVba",IF(AND(V358&lt;20,W358&lt;105),0.2,0)+IF(AND(V358&lt;20,W358&gt;=105),0.15,0)+IF(AND(V358&gt;=20,V358&lt;40,W358&lt;95),0.2,0)+IF(AND(V358&gt;=20,V358&lt;40,W358&gt;=95,W358&lt;150),0.15,0)+IF(AND(V358&gt;=20,V358&lt;40,W358&gt;=150),0.12,0)+IF(AND(V358&gt;=40,V358&lt;75,W358&lt;75),0.2,0)+IF(AND(V358&gt;=40,V358&lt;75,W358&gt;=75,W358&lt;120),0.15,0)+IF(AND(V358&gt;=40,V358&lt;75,W358&gt;=120),0.12,0)+IF(AND(V358&gt;=75,V358&lt;175,W358&lt;65),0.2,0)+IF(AND(V358&gt;=75,V358&lt;175,W358&gt;=65,W358&lt;110),0.15,0)+IF(AND(V358&gt;=75,V358&lt;175,W358&gt;=110),0.12,0)+IF(AND(V358&gt;=175,W358&lt;55),0.2,0)+IF(AND(V358&gt;=175,W358&gt;=55,W358&lt;95),0.15,0)+IF(AND(V358&gt;=175,W358&gt;=95),0.12,0),
IF(AF358="DoEVku",IF(AND(V358&lt;20,W358&lt;55),0.23,0)+IF(AND(V358&lt;20,W358&gt;=55,W358&lt;105),0.2,0)+IF(AND(V358&lt;20,W358&gt;=105),0.17,0)+IF(AND(V358&gt;=20,V358&lt;40,W358&lt;45),0.23,0)+IF(AND(V358&gt;=20,V358&lt;40,W358&gt;=45,W358&lt;95),0.2,0)+IF(AND(V358&gt;=20,V358&lt;40,W358&gt;=95,W358&lt;=150),0.17,0)+IF(AND(V358&gt;=20,V358&lt;40,W358&gt;=150),0.12,0)+IF(AND(V358&gt;=40,V358&lt;75,W358&lt;35),0.23,0)+IF(AND(V358&gt;=40,V358&lt;75,W358&gt;=35,W358&lt;75),0.2,0)+IF(AND(V358&gt;=40,V358&lt;75,W358&gt;=75,W358&lt;120),0.17,0)+IF(AND(V358&gt;=40,V358&lt;75,W358&gt;=120),0.12,0)+IF(AND(V358&gt;=75,V358&lt;175,W358&lt;35),0.23,0)+IF(AND(V358&gt;=75,V358&lt;=175,W358&gt;=35,W358&lt;65),0.2,0)+IF(AND(V358&gt;=75,V358&lt;=175,W358&gt;=65,W358&lt;110),0.17,0)+IF(AND(V358&gt;=75,V358&lt;=175,W358&gt;=110),0.12,0)+IF(AND(V358&gt;175,W358&lt;25),0.23,0)+IF(AND(V358&gt;175,W358&gt;=25,W358&lt;55),0.2,0)+IF(AND(V358&gt;175,W358&gt;=55,W358&lt;95),0.17,0)+IF(AND(V358&gt;175,W358&gt;=95),0.12,0),
IF(AF358="DoEVs1",IF(AND(V358&lt;20,W358&lt;55),0.3,0)+IF(AND(V358&lt;20,W358&gt;=55,W358&lt;105),0.23,0)+IF(AND(V358&lt;20,W358&gt;=105),0.17,0)+IF(AND(V358&gt;=20,V358&lt;40,W358&lt;45),0.3,0)+IF(AND(V358&gt;=20,V358&lt;40,W358&gt;=45,W358&lt;95),0.23,0)+IF(AND(V358&gt;=20,V358&lt;40,W358&gt;=95,W358&lt;=150),0.17,0)+IF(AND(V358&gt;=20,V358&lt;40,W358&gt;=150),0.12,0)+IF(AND(V358&gt;=40,V358&lt;75,W358&lt;35),0.3,0)+IF(AND(V358&gt;=40,V358&lt;75,W358&gt;=35,W358&lt;75),0.23,0)+IF(AND(V358&gt;=40,V358&lt;75,W358&gt;=75,W358&lt;120),0.17,0)+IF(AND(V358&gt;=40,V358&lt;75,W358&gt;=120),0.12,0)+IF(AND(V358&gt;=75,V358&lt;175,W358&lt;35),0.3,0)+IF(AND(V358&gt;=75,V358&lt;=175,W358&gt;=35,W358&lt;65),0.23,0)+IF(AND(V358&gt;=75,V358&lt;=175,W358&gt;=65,W358&lt;110),0.17,0)+IF(AND(V358&gt;=75,V358&lt;=175,W358&gt;=110),0.12,0)+IF(AND(V358&gt;175,W358&lt;25),0.3,0)+IF(AND(V358&gt;175,W358&gt;=25,W358&lt;55),0.23,0)+IF(AND(V358&gt;175,W358&gt;=55,W358&lt;95),0.17,0)+IF(AND(V358&gt;175,W358&gt;=95),0.12,0),
IF(AF358="DoEVsu",IF(AND(V358&lt;20,W358&lt;55),0.3,0)+IF(AND(V358&lt;20,W358&gt;=55,W358&lt;105),0.23,0)+IF(AND(V358&lt;20,W358&gt;=105),0.17,0)+IF(AND(V358&gt;=20,V358&lt;40,W358&lt;45),0.3,0)+IF(AND(V358&gt;=20,V358&lt;40,W358&gt;=45,W358&lt;95),0.23,0)+IF(AND(V358&gt;=20,V358&lt;40,W358&gt;=95,W358&lt;=250),0.17,0)+IF(AND(V358&gt;=20,V358&lt;40,W358&gt;=250),0.12,0)+IF(AND(V358&gt;=40,V358&lt;75,W358&lt;35),0.3,0)+IF(AND(V358&gt;=40,V358&lt;75,W358&gt;=35,W358&lt;75),0.23,0)+IF(AND(V358&gt;=40,V358&lt;75,W358&gt;=75,W358&lt;120),0.17,0)+IF(AND(V358&gt;=40,V358&lt;75,W358&gt;=120),0.12,0)+IF(AND(V358&gt;=75,V358&lt;175,W358&lt;35),0.3,0)+IF(AND(V358&gt;=75,V358&lt;=175,W358&gt;=35,W358&lt;65),0.23,0)+IF(AND(V358&gt;=75,V358&lt;=175,W358&gt;=65,W358&lt;110),0.17,0)+IF(AND(V358&gt;=75,V358&lt;=175,W358&gt;=110),0.12,0)+IF(AND(V358&gt;175,W358&lt;25),0.3,0)+IF(AND(V358&gt;175,W358&gt;=25,W358&lt;55),0.23,0)+IF(AND(V358&gt;175,W358&gt;=55,W358&lt;95),0.17,0)+IF(AND(V358&gt;175,W358&gt;=95),0.12,0),
IF(AF358="DoEVni",IF(AND(V358&lt;20,W358&lt;55),0.3,0)+IF(AND(V358&lt;20,W358&gt;=55,W358&lt;105),0.23,0)+IF(AND(V358&lt;20,W358&gt;=105),0.17,0)+IF(AND(V358&gt;=20,V358&lt;40,W358&lt;45),0.3,0)+IF(AND(V358&gt;=20,V358&lt;40,W358&gt;=45,W358&lt;95),0.23,0)+IF(AND(V358&gt;=20,V358&lt;40,W358&gt;=95,W358&lt;=200),0.17,0)+IF(AND(V358&gt;=20,V358&lt;40,W358&gt;=200),0.12,0)+IF(AND(V358&gt;=40,V358&lt;75,W358&lt;35),0.3,0)+IF(AND(V358&gt;=40,V358&lt;75,W358&gt;=35,W358&lt;75),0.23,0)+IF(AND(V358&gt;=40,V358&lt;75,W358&gt;=75,W358&lt;120),0.17,0)+IF(AND(V358&gt;=40,V358&lt;75,W358&gt;=120),0.12,0)+IF(AND(V358&gt;=75,V358&lt;175,W358&lt;35),0.3,0)+IF(AND(V358&gt;=75,V358&lt;=175,W358&gt;=35,W358&lt;65),0.23,0)+IF(AND(V358&gt;=75,V358&lt;=175,W358&gt;=65,W358&lt;110),0.17,0)+IF(AND(V358&gt;=75,V358&lt;=175,W358&gt;=110),0.12,0)+IF(AND(V358&gt;175,W358&lt;25),0.3,0)+IF(AND(V358&gt;175,W358&gt;=25,W358&lt;55),0.23,0)+IF(AND(V358&gt;175,W358&gt;=55,W358&lt;95),0.17,0)+IF(AND(V358&gt;175,W358&gt;=95),0.12,0),
IF(AF358="DoEVLo",IF(AND(V358&lt;20,W358&lt;55),0.25,0)+IF(AND(V358&lt;20,W358&gt;=55,W358&lt;105),0.2,0)+IF(AND(V358&lt;20,W358&gt;=105),0.15,0)+IF(AND(V358&gt;=20,V358&lt;40,W358&lt;45),0.25,0)+IF(AND(V358&gt;=20,V358&lt;40,W358&gt;=45,W358&lt;95),0.2,0)+IF(AND(V358&gt;=20,V358&lt;40,W358&gt;=95),0.15,0)+IF(AND(V358&gt;=40,V358&lt;75,W358&lt;35),0.25,0)+IF(AND(V358&gt;=40,V358&lt;75,W358&gt;=35,W358&lt;75),0.2,0)+IF(AND(V358&gt;=40,V358&lt;75,W358&gt;=75,W358&lt;120),0.15,0)+IF(AND(V358&gt;=40,V358&lt;75,W358&gt;=120),0.1,0)+IF(AND(V358&gt;=75,V358&lt;175,W358&lt;35),0.25,0)+IF(AND(V358&gt;=75,V358&lt;=175,W358&gt;=35,W358&lt;65),0.2,0)+IF(AND(V358&gt;=75,V358&lt;=175,W358&gt;=65,W358&lt;110),0.15,0)+IF(AND(V358&gt;=75,V358&lt;=175,W358&gt;=110),0.1,0)+IF(AND(V358&gt;175,W358&lt;25),0.25,0)+IF(AND(V358&gt;175,W358&gt;=25,W358&lt;55),0.2,0)+IF(AND(V358&gt;175,W358&gt;=55,W358&lt;95),0.15,0)+IF(AND(V358&gt;175,W358&gt;=95),0.1,0))))))))))))))))</f>
        <v>0.3</v>
      </c>
      <c r="Y358" s="30">
        <f>IF(AG358="None",0,IF(AG358="Fix5",0.05,IF(AG358="Fix3.75",0.0375,IF(AG358="Fix10",0.1,IF(AG358="Fix3",0.03,0)))))</f>
        <v>0</v>
      </c>
      <c r="Z358" s="35">
        <f>T358-AA358-AB358</f>
        <v>854</v>
      </c>
      <c r="AA358" s="29">
        <f>IF(AD358="EUR",((T358-R358)*X358)*U358+(R358*X358),(T358*X358))</f>
        <v>366</v>
      </c>
      <c r="AB358" s="36">
        <f>IF(AD358="EUR",((T358-R358)*Y358)*U358+(R358*Y358),(T358*Y358))</f>
        <v>0</v>
      </c>
      <c r="AC358" s="37" t="b">
        <v>0</v>
      </c>
      <c r="AD358" s="37" t="s">
        <v>38</v>
      </c>
      <c r="AE358" s="37" t="s">
        <v>38</v>
      </c>
      <c r="AF358" s="37" t="str">
        <f t="array" ref="AF358">INDEX('Deal Info'!D:D, MATCH(A358,'Deal Info'!A:A, 0))</f>
        <v>SF</v>
      </c>
      <c r="AG358" s="38" t="str">
        <f t="array" ref="AG358">INDEX('Deal Info'!G:G, MATCH(A358,'Deal Info'!A:A, 0))</f>
        <v>None</v>
      </c>
    </row>
    <row r="359" spans="1:33" ht="14.25" hidden="1" x14ac:dyDescent="0.2">
      <c r="A359" s="18" t="str">
        <f t="array" ref="A359">IF(G359='Room Info'!$B$1, INDEX('Room Info'!$A$2:$A2446, MATCH(B359,'Room Info'!$B$2:$B2446, 0)),IF(G359='Room Info'!$C$1, INDEX('Room Info'!$A$2:$A2446, MATCH(B359,'Room Info'!$C$2:$C2446, 0)),IF(G359='Room Info'!$D$1, INDEX('Room Info'!$A$2:$A2446, MATCH(B359,'Room Info'!$D$2:$D2446, 0)),IF(G359='Room Info'!$E$1, INDEX('Room Info'!$A$2:$A2446, MATCH(B359,'Room Info'!$E$2:$E2446, 0)),IF(G359='Room Info'!$F$1, INDEX('Room Info'!$A$2:$A2446, MATCH(B359,'Room Info'!$F$2:$F2446, 0)),IF(G359='Room Info'!$H$1, INDEX('Room Info'!$A$2:$A2446, MATCH(B359,'Room Info'!$H$2:$H2446, 0)),IF(G359='Room Info'!$G$1, INDEX('Room Info'!$A$2:$A2446, MATCH(B359,'Room Info'!$G$2:$G2446, 0)))))))))</f>
        <v>Kiss4money99</v>
      </c>
      <c r="B359" s="45" t="s">
        <v>120</v>
      </c>
      <c r="C359" s="46">
        <v>44763</v>
      </c>
      <c r="D359" s="46">
        <v>44793</v>
      </c>
      <c r="E359" s="47">
        <v>44774</v>
      </c>
      <c r="F359" s="48" t="s">
        <v>41</v>
      </c>
      <c r="G359" s="45" t="s">
        <v>35</v>
      </c>
      <c r="H359" s="49" t="s">
        <v>40</v>
      </c>
      <c r="I359" s="49" t="s">
        <v>37</v>
      </c>
      <c r="J359" s="50">
        <v>10</v>
      </c>
      <c r="K359" s="51">
        <v>0</v>
      </c>
      <c r="L359" s="52">
        <v>83</v>
      </c>
      <c r="M359" s="62"/>
      <c r="N359" s="28">
        <f>K359*J359</f>
        <v>0</v>
      </c>
      <c r="O359" s="54">
        <v>0</v>
      </c>
      <c r="P359" s="29" t="s">
        <v>334</v>
      </c>
      <c r="Q359" s="55"/>
      <c r="R359" s="31">
        <f>M359+Q359</f>
        <v>0</v>
      </c>
      <c r="S359" s="66"/>
      <c r="T359" s="32">
        <f>R359+S359+IF(F359="Without EV deal",L359,0)</f>
        <v>83</v>
      </c>
      <c r="U359" s="57">
        <v>1</v>
      </c>
      <c r="V359" s="69">
        <v>24.9818676337262</v>
      </c>
      <c r="W359" s="69">
        <v>51.91765559789512</v>
      </c>
      <c r="X359" s="30">
        <f>IF(AF359="DoEV",IF(AND(V359&lt;20,W359&lt;55),0.3,0)+IF(AND(V359&lt;20,W359&gt;=55,W359&lt;105),0.23,0)+IF(AND(V359&lt;20,W359&gt;=105),0.17,0)+IF(AND(V359&gt;=20,V359&lt;40,W359&lt;45),0.3,0)+IF(AND(V359&gt;=20,V359&lt;40,W359&gt;=45,W359&lt;95),0.23,0)+IF(AND(V359&gt;=20,V359&lt;40,W359&gt;=95),0.17,0)+IF(AND(V359&gt;=40,V359&lt;75,W359&lt;35),0.3,0)+IF(AND(V359&gt;=40,V359&lt;75,W359&gt;=35,W359&lt;75),0.23,0)+IF(AND(V359&gt;=40,V359&lt;75,W359&gt;=75,W359&lt;120),0.17,0)+IF(AND(V359&gt;=40,V359&lt;75,W359&gt;=120),0.12,0)+IF(AND(V359&gt;=75,V359&lt;175,W359&lt;35),0.3,0)+IF(AND(V359&gt;=75,V359&lt;=175,W359&gt;=35,W359&lt;65),0.23,0)+IF(AND(V359&gt;=75,V359&lt;=175,W359&gt;=65,W359&lt;110),0.17,0)+IF(AND(V359&gt;=75,V359&lt;=175,W359&gt;=110),0.12,0)+IF(AND(V359&gt;175,W359&lt;25),0.3,0)+IF(AND(V359&gt;175,W359&gt;=25,W359&lt;55),0.23,0)+IF(AND(V359&gt;175,W359&gt;=55,W359&lt;95),0.17,0)+IF(AND(V359&gt;175,W359&gt;=95),0.12,0),
IF(AF359="Fix15",0.15,
IF(AF359="Fix11.25",0.1125,
IF(AF359="Fix10",0.1,
IF(AF359="Fix9",0.09,
IF(AF359="DoEV2017",IF(AND(W359&lt;74),0.2,0)+IF(AND(W359&gt;=74),0.17,0),
IF(AF359="SF",IF(AND(V359&lt;20,W359&lt;89),0.3,0)+IF(AND(V359&lt;20,W359&gt;=89),0.25,0)+IF(AND(V359&gt;=20,V359&lt;40,W359&lt;74),0.3,0)+IF(AND(V359&gt;=20,V359&lt;40,W359&gt;=75),0.22,0)+IF(AND(V359&gt;=40,V359&lt;75,W359&lt;75),0.26,0)+IF(AND(V359&gt;=40,V359&lt;75,W359&gt;=75),0.22,0)+IF(V359&gt;=75,0.22,0),
IF(AF359="DoEVold",IF(AND(V359&lt;40,W359&lt;35),0.35,0)+IF(AND(V359&lt;40,W359&gt;=35,W359&lt;75),0.25,0)+IF(AND(V359&lt;40,W359&gt;=75),0.17,0)+IF(AND(V359&gt;=40,V359&lt;75,W359&lt;25),0.35,0)+IF(AND(V359&gt;=40,V359&lt;75,W359&gt;=25,W359&lt;65),0.25,0)+IF(AND(V359&gt;=40,V359&lt;75,W359&gt;=65,W359&lt;100),0.17,0)+IF(AND(V359&gt;=40,V359&lt;75,W359&gt;=100),0.1,0)+IF(AND(V359&gt;=75,W359&lt;25),0.35,0)+IF(AND(V359&gt;=75,W359&gt;=25,W359&lt;60),0.25,0)+IF(AND(V359&gt;=75,W359&gt;=60,W359&lt;95),0.17,0)+IF(AND(V359&gt;=75,W359&gt;=95),0.1,0),
IF(AF359="DoEVold15",IF(AND(V359&lt;=40,W359&lt;35),0.35,0)+IF(AND(V359&lt;=40,W359&gt;=35,W359&lt;75),0.25,0)+IF(AND(V359&lt;=40,W359&gt;=75,W359&lt;120),0.17,0)+IF(AND(V359&lt;=40,W359&gt;=120),0.15,0)+IF(AND(V359&gt;40,V359&lt;75,W359&lt;25),0.35,0)+IF(AND(V359&gt;=40,V359&lt;75,W359&gt;=25,W359&lt;65),0.25,0)+IF(AND(V359&gt;=40,V359&lt;75,W359&gt;=65,W359&lt;100),0.17,0)+IF(AND(V359&gt;=40,V359&lt;75,W359&gt;=100),0.1,0)+IF(AND(V359&gt;=75,W359&lt;25),0.35,0)+IF(AND(V359&gt;=75,W359&gt;=25,W359&lt;60),0.25,0)+IF(AND(V359&gt;=75,W359&gt;=60,W359&lt;95),0.17,0)+IF(AND(V359&gt;=75,W359&gt;=95),0.1,0),
IF(AF359="DoEVba",IF(AND(V359&lt;20,W359&lt;105),0.2,0)+IF(AND(V359&lt;20,W359&gt;=105),0.15,0)+IF(AND(V359&gt;=20,V359&lt;40,W359&lt;95),0.2,0)+IF(AND(V359&gt;=20,V359&lt;40,W359&gt;=95,W359&lt;150),0.15,0)+IF(AND(V359&gt;=20,V359&lt;40,W359&gt;=150),0.12,0)+IF(AND(V359&gt;=40,V359&lt;75,W359&lt;75),0.2,0)+IF(AND(V359&gt;=40,V359&lt;75,W359&gt;=75,W359&lt;120),0.15,0)+IF(AND(V359&gt;=40,V359&lt;75,W359&gt;=120),0.12,0)+IF(AND(V359&gt;=75,V359&lt;175,W359&lt;65),0.2,0)+IF(AND(V359&gt;=75,V359&lt;175,W359&gt;=65,W359&lt;110),0.15,0)+IF(AND(V359&gt;=75,V359&lt;175,W359&gt;=110),0.12,0)+IF(AND(V359&gt;=175,W359&lt;55),0.2,0)+IF(AND(V359&gt;=175,W359&gt;=55,W359&lt;95),0.15,0)+IF(AND(V359&gt;=175,W359&gt;=95),0.12,0),
IF(AF359="DoEVku",IF(AND(V359&lt;20,W359&lt;55),0.23,0)+IF(AND(V359&lt;20,W359&gt;=55,W359&lt;105),0.2,0)+IF(AND(V359&lt;20,W359&gt;=105),0.17,0)+IF(AND(V359&gt;=20,V359&lt;40,W359&lt;45),0.23,0)+IF(AND(V359&gt;=20,V359&lt;40,W359&gt;=45,W359&lt;95),0.2,0)+IF(AND(V359&gt;=20,V359&lt;40,W359&gt;=95,W359&lt;=150),0.17,0)+IF(AND(V359&gt;=20,V359&lt;40,W359&gt;=150),0.12,0)+IF(AND(V359&gt;=40,V359&lt;75,W359&lt;35),0.23,0)+IF(AND(V359&gt;=40,V359&lt;75,W359&gt;=35,W359&lt;75),0.2,0)+IF(AND(V359&gt;=40,V359&lt;75,W359&gt;=75,W359&lt;120),0.17,0)+IF(AND(V359&gt;=40,V359&lt;75,W359&gt;=120),0.12,0)+IF(AND(V359&gt;=75,V359&lt;175,W359&lt;35),0.23,0)+IF(AND(V359&gt;=75,V359&lt;=175,W359&gt;=35,W359&lt;65),0.2,0)+IF(AND(V359&gt;=75,V359&lt;=175,W359&gt;=65,W359&lt;110),0.17,0)+IF(AND(V359&gt;=75,V359&lt;=175,W359&gt;=110),0.12,0)+IF(AND(V359&gt;175,W359&lt;25),0.23,0)+IF(AND(V359&gt;175,W359&gt;=25,W359&lt;55),0.2,0)+IF(AND(V359&gt;175,W359&gt;=55,W359&lt;95),0.17,0)+IF(AND(V359&gt;175,W359&gt;=95),0.12,0),
IF(AF359="DoEVs1",IF(AND(V359&lt;20,W359&lt;55),0.3,0)+IF(AND(V359&lt;20,W359&gt;=55,W359&lt;105),0.23,0)+IF(AND(V359&lt;20,W359&gt;=105),0.17,0)+IF(AND(V359&gt;=20,V359&lt;40,W359&lt;45),0.3,0)+IF(AND(V359&gt;=20,V359&lt;40,W359&gt;=45,W359&lt;95),0.23,0)+IF(AND(V359&gt;=20,V359&lt;40,W359&gt;=95,W359&lt;=150),0.17,0)+IF(AND(V359&gt;=20,V359&lt;40,W359&gt;=150),0.12,0)+IF(AND(V359&gt;=40,V359&lt;75,W359&lt;35),0.3,0)+IF(AND(V359&gt;=40,V359&lt;75,W359&gt;=35,W359&lt;75),0.23,0)+IF(AND(V359&gt;=40,V359&lt;75,W359&gt;=75,W359&lt;120),0.17,0)+IF(AND(V359&gt;=40,V359&lt;75,W359&gt;=120),0.12,0)+IF(AND(V359&gt;=75,V359&lt;175,W359&lt;35),0.3,0)+IF(AND(V359&gt;=75,V359&lt;=175,W359&gt;=35,W359&lt;65),0.23,0)+IF(AND(V359&gt;=75,V359&lt;=175,W359&gt;=65,W359&lt;110),0.17,0)+IF(AND(V359&gt;=75,V359&lt;=175,W359&gt;=110),0.12,0)+IF(AND(V359&gt;175,W359&lt;25),0.3,0)+IF(AND(V359&gt;175,W359&gt;=25,W359&lt;55),0.23,0)+IF(AND(V359&gt;175,W359&gt;=55,W359&lt;95),0.17,0)+IF(AND(V359&gt;175,W359&gt;=95),0.12,0),
IF(AF359="DoEVsu",IF(AND(V359&lt;20,W359&lt;55),0.3,0)+IF(AND(V359&lt;20,W359&gt;=55,W359&lt;105),0.23,0)+IF(AND(V359&lt;20,W359&gt;=105),0.17,0)+IF(AND(V359&gt;=20,V359&lt;40,W359&lt;45),0.3,0)+IF(AND(V359&gt;=20,V359&lt;40,W359&gt;=45,W359&lt;95),0.23,0)+IF(AND(V359&gt;=20,V359&lt;40,W359&gt;=95,W359&lt;=250),0.17,0)+IF(AND(V359&gt;=20,V359&lt;40,W359&gt;=250),0.12,0)+IF(AND(V359&gt;=40,V359&lt;75,W359&lt;35),0.3,0)+IF(AND(V359&gt;=40,V359&lt;75,W359&gt;=35,W359&lt;75),0.23,0)+IF(AND(V359&gt;=40,V359&lt;75,W359&gt;=75,W359&lt;120),0.17,0)+IF(AND(V359&gt;=40,V359&lt;75,W359&gt;=120),0.12,0)+IF(AND(V359&gt;=75,V359&lt;175,W359&lt;35),0.3,0)+IF(AND(V359&gt;=75,V359&lt;=175,W359&gt;=35,W359&lt;65),0.23,0)+IF(AND(V359&gt;=75,V359&lt;=175,W359&gt;=65,W359&lt;110),0.17,0)+IF(AND(V359&gt;=75,V359&lt;=175,W359&gt;=110),0.12,0)+IF(AND(V359&gt;175,W359&lt;25),0.3,0)+IF(AND(V359&gt;175,W359&gt;=25,W359&lt;55),0.23,0)+IF(AND(V359&gt;175,W359&gt;=55,W359&lt;95),0.17,0)+IF(AND(V359&gt;175,W359&gt;=95),0.12,0),
IF(AF359="DoEVni",IF(AND(V359&lt;20,W359&lt;55),0.3,0)+IF(AND(V359&lt;20,W359&gt;=55,W359&lt;105),0.23,0)+IF(AND(V359&lt;20,W359&gt;=105),0.17,0)+IF(AND(V359&gt;=20,V359&lt;40,W359&lt;45),0.3,0)+IF(AND(V359&gt;=20,V359&lt;40,W359&gt;=45,W359&lt;95),0.23,0)+IF(AND(V359&gt;=20,V359&lt;40,W359&gt;=95,W359&lt;=200),0.17,0)+IF(AND(V359&gt;=20,V359&lt;40,W359&gt;=200),0.12,0)+IF(AND(V359&gt;=40,V359&lt;75,W359&lt;35),0.3,0)+IF(AND(V359&gt;=40,V359&lt;75,W359&gt;=35,W359&lt;75),0.23,0)+IF(AND(V359&gt;=40,V359&lt;75,W359&gt;=75,W359&lt;120),0.17,0)+IF(AND(V359&gt;=40,V359&lt;75,W359&gt;=120),0.12,0)+IF(AND(V359&gt;=75,V359&lt;175,W359&lt;35),0.3,0)+IF(AND(V359&gt;=75,V359&lt;=175,W359&gt;=35,W359&lt;65),0.23,0)+IF(AND(V359&gt;=75,V359&lt;=175,W359&gt;=65,W359&lt;110),0.17,0)+IF(AND(V359&gt;=75,V359&lt;=175,W359&gt;=110),0.12,0)+IF(AND(V359&gt;175,W359&lt;25),0.3,0)+IF(AND(V359&gt;175,W359&gt;=25,W359&lt;55),0.23,0)+IF(AND(V359&gt;175,W359&gt;=55,W359&lt;95),0.17,0)+IF(AND(V359&gt;175,W359&gt;=95),0.12,0),
IF(AF359="DoEVLo",IF(AND(V359&lt;20,W359&lt;55),0.25,0)+IF(AND(V359&lt;20,W359&gt;=55,W359&lt;105),0.2,0)+IF(AND(V359&lt;20,W359&gt;=105),0.15,0)+IF(AND(V359&gt;=20,V359&lt;40,W359&lt;45),0.25,0)+IF(AND(V359&gt;=20,V359&lt;40,W359&gt;=45,W359&lt;95),0.2,0)+IF(AND(V359&gt;=20,V359&lt;40,W359&gt;=95),0.15,0)+IF(AND(V359&gt;=40,V359&lt;75,W359&lt;35),0.25,0)+IF(AND(V359&gt;=40,V359&lt;75,W359&gt;=35,W359&lt;75),0.2,0)+IF(AND(V359&gt;=40,V359&lt;75,W359&gt;=75,W359&lt;120),0.15,0)+IF(AND(V359&gt;=40,V359&lt;75,W359&gt;=120),0.1,0)+IF(AND(V359&gt;=75,V359&lt;175,W359&lt;35),0.25,0)+IF(AND(V359&gt;=75,V359&lt;=175,W359&gt;=35,W359&lt;65),0.2,0)+IF(AND(V359&gt;=75,V359&lt;=175,W359&gt;=65,W359&lt;110),0.15,0)+IF(AND(V359&gt;=75,V359&lt;=175,W359&gt;=110),0.1,0)+IF(AND(V359&gt;175,W359&lt;25),0.25,0)+IF(AND(V359&gt;175,W359&gt;=25,W359&lt;55),0.2,0)+IF(AND(V359&gt;175,W359&gt;=55,W359&lt;95),0.15,0)+IF(AND(V359&gt;175,W359&gt;=95),0.1,0))))))))))))))))</f>
        <v>0.3</v>
      </c>
      <c r="Y359" s="30">
        <f>IF(AG359="None",0,IF(AG359="Fix5",0.05,IF(AG359="Fix3.75",0.0375,IF(AG359="Fix10",0.1,IF(AG359="Fix3",0.03,0)))))</f>
        <v>0</v>
      </c>
      <c r="Z359" s="35">
        <f>T359-AA359-AB359</f>
        <v>0</v>
      </c>
      <c r="AA359" s="60">
        <v>83</v>
      </c>
      <c r="AB359" s="36">
        <f>IF(AD359="EUR",((T359-R359)*Y359)*U359+(R359*Y359),(T359*Y359))</f>
        <v>0</v>
      </c>
      <c r="AC359" s="37" t="b">
        <v>0</v>
      </c>
      <c r="AD359" s="37" t="s">
        <v>38</v>
      </c>
      <c r="AE359" s="37" t="s">
        <v>38</v>
      </c>
      <c r="AF359" s="37" t="str">
        <f t="array" ref="AF359">INDEX('Deal Info'!D:D, MATCH(A359,'Deal Info'!A:A, 0))</f>
        <v>SF</v>
      </c>
      <c r="AG359" s="38" t="str">
        <f t="array" ref="AG359">INDEX('Deal Info'!G:G, MATCH(A359,'Deal Info'!A:A, 0))</f>
        <v>None</v>
      </c>
    </row>
    <row r="360" spans="1:33" ht="14.25" hidden="1" x14ac:dyDescent="0.2">
      <c r="A360" s="18" t="str">
        <f t="array" ref="A360">IF(G360='Room Info'!$B$1, INDEX('Room Info'!$A$2:$A2446, MATCH(B360,'Room Info'!$B$2:$B2446, 0)),IF(G360='Room Info'!$C$1, INDEX('Room Info'!$A$2:$A2446, MATCH(B360,'Room Info'!$C$2:$C2446, 0)),IF(G360='Room Info'!$D$1, INDEX('Room Info'!$A$2:$A2446, MATCH(B360,'Room Info'!$D$2:$D2446, 0)),IF(G360='Room Info'!$E$1, INDEX('Room Info'!$A$2:$A2446, MATCH(B360,'Room Info'!$E$2:$E2446, 0)),IF(G360='Room Info'!$F$1, INDEX('Room Info'!$A$2:$A2446, MATCH(B360,'Room Info'!$F$2:$F2446, 0)),IF(G360='Room Info'!$H$1, INDEX('Room Info'!$A$2:$A2446, MATCH(B360,'Room Info'!$H$2:$H2446, 0)),IF(G360='Room Info'!$G$1, INDEX('Room Info'!$A$2:$A2446, MATCH(B360,'Room Info'!$G$2:$G2446, 0)))))))))</f>
        <v>Kiss4money99</v>
      </c>
      <c r="B360" s="45" t="s">
        <v>120</v>
      </c>
      <c r="C360" s="46">
        <v>44794</v>
      </c>
      <c r="D360" s="46">
        <v>44824</v>
      </c>
      <c r="E360" s="47">
        <v>44805</v>
      </c>
      <c r="F360" s="48" t="s">
        <v>34</v>
      </c>
      <c r="G360" s="54" t="s">
        <v>35</v>
      </c>
      <c r="H360" s="49" t="s">
        <v>46</v>
      </c>
      <c r="I360" s="49" t="s">
        <v>37</v>
      </c>
      <c r="J360" s="50">
        <v>25</v>
      </c>
      <c r="K360" s="51">
        <v>1652</v>
      </c>
      <c r="L360" s="52">
        <v>-75</v>
      </c>
      <c r="M360" s="53">
        <v>1750</v>
      </c>
      <c r="N360" s="28">
        <f>K360*J360</f>
        <v>41300</v>
      </c>
      <c r="O360" s="54">
        <v>34435</v>
      </c>
      <c r="P360" s="29">
        <v>20.844430989999999</v>
      </c>
      <c r="Q360" s="55"/>
      <c r="R360" s="31">
        <f>M360+Q360</f>
        <v>1750</v>
      </c>
      <c r="S360" s="56">
        <v>-1071</v>
      </c>
      <c r="T360" s="32">
        <f>R360+S360+IF(F360="Without EV deal",L360,0)</f>
        <v>679</v>
      </c>
      <c r="U360" s="57">
        <v>1</v>
      </c>
      <c r="V360" s="69">
        <v>25</v>
      </c>
      <c r="W360" s="69">
        <v>27.16</v>
      </c>
      <c r="X360" s="30">
        <f>IF(AF360="DoEV",IF(AND(V360&lt;20,W360&lt;55),0.3,0)+IF(AND(V360&lt;20,W360&gt;=55,W360&lt;105),0.23,0)+IF(AND(V360&lt;20,W360&gt;=105),0.17,0)+IF(AND(V360&gt;=20,V360&lt;40,W360&lt;45),0.3,0)+IF(AND(V360&gt;=20,V360&lt;40,W360&gt;=45,W360&lt;95),0.23,0)+IF(AND(V360&gt;=20,V360&lt;40,W360&gt;=95),0.17,0)+IF(AND(V360&gt;=40,V360&lt;75,W360&lt;35),0.3,0)+IF(AND(V360&gt;=40,V360&lt;75,W360&gt;=35,W360&lt;75),0.23,0)+IF(AND(V360&gt;=40,V360&lt;75,W360&gt;=75,W360&lt;120),0.17,0)+IF(AND(V360&gt;=40,V360&lt;75,W360&gt;=120),0.12,0)+IF(AND(V360&gt;=75,V360&lt;175,W360&lt;35),0.3,0)+IF(AND(V360&gt;=75,V360&lt;=175,W360&gt;=35,W360&lt;65),0.23,0)+IF(AND(V360&gt;=75,V360&lt;=175,W360&gt;=65,W360&lt;110),0.17,0)+IF(AND(V360&gt;=75,V360&lt;=175,W360&gt;=110),0.12,0)+IF(AND(V360&gt;175,W360&lt;25),0.3,0)+IF(AND(V360&gt;175,W360&gt;=25,W360&lt;55),0.23,0)+IF(AND(V360&gt;175,W360&gt;=55,W360&lt;95),0.17,0)+IF(AND(V360&gt;175,W360&gt;=95),0.12,0),
IF(AF360="Fix15",0.15,
IF(AF360="Fix11.25",0.1125,
IF(AF360="Fix10",0.1,
IF(AF360="Fix9",0.09,
IF(AF360="DoEV2017",IF(AND(W360&lt;74),0.2,0)+IF(AND(W360&gt;=74),0.17,0),
IF(AF360="SF",IF(AND(V360&lt;20,W360&lt;89),0.3,0)+IF(AND(V360&lt;20,W360&gt;=89),0.25,0)+IF(AND(V360&gt;=20,V360&lt;40,W360&lt;74),0.3,0)+IF(AND(V360&gt;=20,V360&lt;40,W360&gt;=75),0.22,0)+IF(AND(V360&gt;=40,V360&lt;75,W360&lt;75),0.26,0)+IF(AND(V360&gt;=40,V360&lt;75,W360&gt;=75),0.22,0)+IF(V360&gt;=75,0.22,0),
IF(AF360="DoEVold",IF(AND(V360&lt;40,W360&lt;35),0.35,0)+IF(AND(V360&lt;40,W360&gt;=35,W360&lt;75),0.25,0)+IF(AND(V360&lt;40,W360&gt;=75),0.17,0)+IF(AND(V360&gt;=40,V360&lt;75,W360&lt;25),0.35,0)+IF(AND(V360&gt;=40,V360&lt;75,W360&gt;=25,W360&lt;65),0.25,0)+IF(AND(V360&gt;=40,V360&lt;75,W360&gt;=65,W360&lt;100),0.17,0)+IF(AND(V360&gt;=40,V360&lt;75,W360&gt;=100),0.1,0)+IF(AND(V360&gt;=75,W360&lt;25),0.35,0)+IF(AND(V360&gt;=75,W360&gt;=25,W360&lt;60),0.25,0)+IF(AND(V360&gt;=75,W360&gt;=60,W360&lt;95),0.17,0)+IF(AND(V360&gt;=75,W360&gt;=95),0.1,0),
IF(AF360="DoEVold15",IF(AND(V360&lt;=40,W360&lt;35),0.35,0)+IF(AND(V360&lt;=40,W360&gt;=35,W360&lt;75),0.25,0)+IF(AND(V360&lt;=40,W360&gt;=75,W360&lt;120),0.17,0)+IF(AND(V360&lt;=40,W360&gt;=120),0.15,0)+IF(AND(V360&gt;40,V360&lt;75,W360&lt;25),0.35,0)+IF(AND(V360&gt;=40,V360&lt;75,W360&gt;=25,W360&lt;65),0.25,0)+IF(AND(V360&gt;=40,V360&lt;75,W360&gt;=65,W360&lt;100),0.17,0)+IF(AND(V360&gt;=40,V360&lt;75,W360&gt;=100),0.1,0)+IF(AND(V360&gt;=75,W360&lt;25),0.35,0)+IF(AND(V360&gt;=75,W360&gt;=25,W360&lt;60),0.25,0)+IF(AND(V360&gt;=75,W360&gt;=60,W360&lt;95),0.17,0)+IF(AND(V360&gt;=75,W360&gt;=95),0.1,0),
IF(AF360="DoEVba",IF(AND(V360&lt;20,W360&lt;105),0.2,0)+IF(AND(V360&lt;20,W360&gt;=105),0.15,0)+IF(AND(V360&gt;=20,V360&lt;40,W360&lt;95),0.2,0)+IF(AND(V360&gt;=20,V360&lt;40,W360&gt;=95,W360&lt;150),0.15,0)+IF(AND(V360&gt;=20,V360&lt;40,W360&gt;=150),0.12,0)+IF(AND(V360&gt;=40,V360&lt;75,W360&lt;75),0.2,0)+IF(AND(V360&gt;=40,V360&lt;75,W360&gt;=75,W360&lt;120),0.15,0)+IF(AND(V360&gt;=40,V360&lt;75,W360&gt;=120),0.12,0)+IF(AND(V360&gt;=75,V360&lt;175,W360&lt;65),0.2,0)+IF(AND(V360&gt;=75,V360&lt;175,W360&gt;=65,W360&lt;110),0.15,0)+IF(AND(V360&gt;=75,V360&lt;175,W360&gt;=110),0.12,0)+IF(AND(V360&gt;=175,W360&lt;55),0.2,0)+IF(AND(V360&gt;=175,W360&gt;=55,W360&lt;95),0.15,0)+IF(AND(V360&gt;=175,W360&gt;=95),0.12,0),
IF(AF360="DoEVku",IF(AND(V360&lt;20,W360&lt;55),0.23,0)+IF(AND(V360&lt;20,W360&gt;=55,W360&lt;105),0.2,0)+IF(AND(V360&lt;20,W360&gt;=105),0.17,0)+IF(AND(V360&gt;=20,V360&lt;40,W360&lt;45),0.23,0)+IF(AND(V360&gt;=20,V360&lt;40,W360&gt;=45,W360&lt;95),0.2,0)+IF(AND(V360&gt;=20,V360&lt;40,W360&gt;=95,W360&lt;=150),0.17,0)+IF(AND(V360&gt;=20,V360&lt;40,W360&gt;=150),0.12,0)+IF(AND(V360&gt;=40,V360&lt;75,W360&lt;35),0.23,0)+IF(AND(V360&gt;=40,V360&lt;75,W360&gt;=35,W360&lt;75),0.2,0)+IF(AND(V360&gt;=40,V360&lt;75,W360&gt;=75,W360&lt;120),0.17,0)+IF(AND(V360&gt;=40,V360&lt;75,W360&gt;=120),0.12,0)+IF(AND(V360&gt;=75,V360&lt;175,W360&lt;35),0.23,0)+IF(AND(V360&gt;=75,V360&lt;=175,W360&gt;=35,W360&lt;65),0.2,0)+IF(AND(V360&gt;=75,V360&lt;=175,W360&gt;=65,W360&lt;110),0.17,0)+IF(AND(V360&gt;=75,V360&lt;=175,W360&gt;=110),0.12,0)+IF(AND(V360&gt;175,W360&lt;25),0.23,0)+IF(AND(V360&gt;175,W360&gt;=25,W360&lt;55),0.2,0)+IF(AND(V360&gt;175,W360&gt;=55,W360&lt;95),0.17,0)+IF(AND(V360&gt;175,W360&gt;=95),0.12,0),
IF(AF360="DoEVs1",IF(AND(V360&lt;20,W360&lt;55),0.3,0)+IF(AND(V360&lt;20,W360&gt;=55,W360&lt;105),0.23,0)+IF(AND(V360&lt;20,W360&gt;=105),0.17,0)+IF(AND(V360&gt;=20,V360&lt;40,W360&lt;45),0.3,0)+IF(AND(V360&gt;=20,V360&lt;40,W360&gt;=45,W360&lt;95),0.23,0)+IF(AND(V360&gt;=20,V360&lt;40,W360&gt;=95,W360&lt;=150),0.17,0)+IF(AND(V360&gt;=20,V360&lt;40,W360&gt;=150),0.12,0)+IF(AND(V360&gt;=40,V360&lt;75,W360&lt;35),0.3,0)+IF(AND(V360&gt;=40,V360&lt;75,W360&gt;=35,W360&lt;75),0.23,0)+IF(AND(V360&gt;=40,V360&lt;75,W360&gt;=75,W360&lt;120),0.17,0)+IF(AND(V360&gt;=40,V360&lt;75,W360&gt;=120),0.12,0)+IF(AND(V360&gt;=75,V360&lt;175,W360&lt;35),0.3,0)+IF(AND(V360&gt;=75,V360&lt;=175,W360&gt;=35,W360&lt;65),0.23,0)+IF(AND(V360&gt;=75,V360&lt;=175,W360&gt;=65,W360&lt;110),0.17,0)+IF(AND(V360&gt;=75,V360&lt;=175,W360&gt;=110),0.12,0)+IF(AND(V360&gt;175,W360&lt;25),0.3,0)+IF(AND(V360&gt;175,W360&gt;=25,W360&lt;55),0.23,0)+IF(AND(V360&gt;175,W360&gt;=55,W360&lt;95),0.17,0)+IF(AND(V360&gt;175,W360&gt;=95),0.12,0),
IF(AF360="DoEVsu",IF(AND(V360&lt;20,W360&lt;55),0.3,0)+IF(AND(V360&lt;20,W360&gt;=55,W360&lt;105),0.23,0)+IF(AND(V360&lt;20,W360&gt;=105),0.17,0)+IF(AND(V360&gt;=20,V360&lt;40,W360&lt;45),0.3,0)+IF(AND(V360&gt;=20,V360&lt;40,W360&gt;=45,W360&lt;95),0.23,0)+IF(AND(V360&gt;=20,V360&lt;40,W360&gt;=95,W360&lt;=250),0.17,0)+IF(AND(V360&gt;=20,V360&lt;40,W360&gt;=250),0.12,0)+IF(AND(V360&gt;=40,V360&lt;75,W360&lt;35),0.3,0)+IF(AND(V360&gt;=40,V360&lt;75,W360&gt;=35,W360&lt;75),0.23,0)+IF(AND(V360&gt;=40,V360&lt;75,W360&gt;=75,W360&lt;120),0.17,0)+IF(AND(V360&gt;=40,V360&lt;75,W360&gt;=120),0.12,0)+IF(AND(V360&gt;=75,V360&lt;175,W360&lt;35),0.3,0)+IF(AND(V360&gt;=75,V360&lt;=175,W360&gt;=35,W360&lt;65),0.23,0)+IF(AND(V360&gt;=75,V360&lt;=175,W360&gt;=65,W360&lt;110),0.17,0)+IF(AND(V360&gt;=75,V360&lt;=175,W360&gt;=110),0.12,0)+IF(AND(V360&gt;175,W360&lt;25),0.3,0)+IF(AND(V360&gt;175,W360&gt;=25,W360&lt;55),0.23,0)+IF(AND(V360&gt;175,W360&gt;=55,W360&lt;95),0.17,0)+IF(AND(V360&gt;175,W360&gt;=95),0.12,0),
IF(AF360="DoEVni",IF(AND(V360&lt;20,W360&lt;55),0.3,0)+IF(AND(V360&lt;20,W360&gt;=55,W360&lt;105),0.23,0)+IF(AND(V360&lt;20,W360&gt;=105),0.17,0)+IF(AND(V360&gt;=20,V360&lt;40,W360&lt;45),0.3,0)+IF(AND(V360&gt;=20,V360&lt;40,W360&gt;=45,W360&lt;95),0.23,0)+IF(AND(V360&gt;=20,V360&lt;40,W360&gt;=95,W360&lt;=200),0.17,0)+IF(AND(V360&gt;=20,V360&lt;40,W360&gt;=200),0.12,0)+IF(AND(V360&gt;=40,V360&lt;75,W360&lt;35),0.3,0)+IF(AND(V360&gt;=40,V360&lt;75,W360&gt;=35,W360&lt;75),0.23,0)+IF(AND(V360&gt;=40,V360&lt;75,W360&gt;=75,W360&lt;120),0.17,0)+IF(AND(V360&gt;=40,V360&lt;75,W360&gt;=120),0.12,0)+IF(AND(V360&gt;=75,V360&lt;175,W360&lt;35),0.3,0)+IF(AND(V360&gt;=75,V360&lt;=175,W360&gt;=35,W360&lt;65),0.23,0)+IF(AND(V360&gt;=75,V360&lt;=175,W360&gt;=65,W360&lt;110),0.17,0)+IF(AND(V360&gt;=75,V360&lt;=175,W360&gt;=110),0.12,0)+IF(AND(V360&gt;175,W360&lt;25),0.3,0)+IF(AND(V360&gt;175,W360&gt;=25,W360&lt;55),0.23,0)+IF(AND(V360&gt;175,W360&gt;=55,W360&lt;95),0.17,0)+IF(AND(V360&gt;175,W360&gt;=95),0.12,0),
IF(AF360="DoEVLo",IF(AND(V360&lt;20,W360&lt;55),0.25,0)+IF(AND(V360&lt;20,W360&gt;=55,W360&lt;105),0.2,0)+IF(AND(V360&lt;20,W360&gt;=105),0.15,0)+IF(AND(V360&gt;=20,V360&lt;40,W360&lt;45),0.25,0)+IF(AND(V360&gt;=20,V360&lt;40,W360&gt;=45,W360&lt;95),0.2,0)+IF(AND(V360&gt;=20,V360&lt;40,W360&gt;=95),0.15,0)+IF(AND(V360&gt;=40,V360&lt;75,W360&lt;35),0.25,0)+IF(AND(V360&gt;=40,V360&lt;75,W360&gt;=35,W360&lt;75),0.2,0)+IF(AND(V360&gt;=40,V360&lt;75,W360&gt;=75,W360&lt;120),0.15,0)+IF(AND(V360&gt;=40,V360&lt;75,W360&gt;=120),0.1,0)+IF(AND(V360&gt;=75,V360&lt;175,W360&lt;35),0.25,0)+IF(AND(V360&gt;=75,V360&lt;=175,W360&gt;=35,W360&lt;65),0.2,0)+IF(AND(V360&gt;=75,V360&lt;=175,W360&gt;=65,W360&lt;110),0.15,0)+IF(AND(V360&gt;=75,V360&lt;=175,W360&gt;=110),0.1,0)+IF(AND(V360&gt;175,W360&lt;25),0.25,0)+IF(AND(V360&gt;175,W360&gt;=25,W360&lt;55),0.2,0)+IF(AND(V360&gt;175,W360&gt;=55,W360&lt;95),0.15,0)+IF(AND(V360&gt;175,W360&gt;=95),0.1,0))))))))))))))))</f>
        <v>0.3</v>
      </c>
      <c r="Y360" s="30">
        <f>IF(AG360="None",0,IF(AG360="Fix5",0.05,IF(AG360="Fix3.75",0.0375,IF(AG360="Fix10",0.1,IF(AG360="Fix3",0.03,0)))))</f>
        <v>0</v>
      </c>
      <c r="Z360" s="35">
        <f>T360-AA360-AB360</f>
        <v>475.3</v>
      </c>
      <c r="AA360" s="29">
        <f>IF(AD360="EUR",((T360-R360)*X360)*U360+(R360*X360),(T360*X360))</f>
        <v>203.7</v>
      </c>
      <c r="AB360" s="36">
        <f>IF(AD360="EUR",((T360-R360)*Y360)*U360+(R360*Y360),(T360*Y360))</f>
        <v>0</v>
      </c>
      <c r="AC360" s="37" t="b">
        <v>0</v>
      </c>
      <c r="AD360" s="37" t="s">
        <v>38</v>
      </c>
      <c r="AE360" s="37" t="s">
        <v>38</v>
      </c>
      <c r="AF360" s="37" t="str">
        <f t="array" ref="AF360">INDEX('Deal Info'!D:D, MATCH(A360,'Deal Info'!A:A, 0))</f>
        <v>SF</v>
      </c>
      <c r="AG360" s="38" t="str">
        <f t="array" ref="AG360">INDEX('Deal Info'!G:G, MATCH(A360,'Deal Info'!A:A, 0))</f>
        <v>None</v>
      </c>
    </row>
    <row r="361" spans="1:33" ht="14.25" hidden="1" x14ac:dyDescent="0.2">
      <c r="A361" s="18" t="str">
        <f t="array" ref="A361">IF(G361='Room Info'!$B$1, INDEX('Room Info'!$A$2:$A2446, MATCH(B361,'Room Info'!$B$2:$B2446, 0)),IF(G361='Room Info'!$C$1, INDEX('Room Info'!$A$2:$A2446, MATCH(B361,'Room Info'!$C$2:$C2446, 0)),IF(G361='Room Info'!$D$1, INDEX('Room Info'!$A$2:$A2446, MATCH(B361,'Room Info'!$D$2:$D2446, 0)),IF(G361='Room Info'!$E$1, INDEX('Room Info'!$A$2:$A2446, MATCH(B361,'Room Info'!$E$2:$E2446, 0)),IF(G361='Room Info'!$F$1, INDEX('Room Info'!$A$2:$A2446, MATCH(B361,'Room Info'!$F$2:$F2446, 0)),IF(G361='Room Info'!$H$1, INDEX('Room Info'!$A$2:$A2446, MATCH(B361,'Room Info'!$H$2:$H2446, 0)),IF(G361='Room Info'!$G$1, INDEX('Room Info'!$A$2:$A2446, MATCH(B361,'Room Info'!$G$2:$G2446, 0)))))))))</f>
        <v>Kiss4money99</v>
      </c>
      <c r="B361" s="45" t="s">
        <v>120</v>
      </c>
      <c r="C361" s="46">
        <v>44825</v>
      </c>
      <c r="D361" s="46">
        <v>44854</v>
      </c>
      <c r="E361" s="47">
        <v>44835</v>
      </c>
      <c r="F361" s="48" t="s">
        <v>34</v>
      </c>
      <c r="G361" s="54" t="s">
        <v>35</v>
      </c>
      <c r="H361" s="49" t="s">
        <v>39</v>
      </c>
      <c r="I361" s="49" t="s">
        <v>37</v>
      </c>
      <c r="J361" s="50">
        <v>5</v>
      </c>
      <c r="K361" s="51">
        <v>1</v>
      </c>
      <c r="L361" s="52">
        <v>20</v>
      </c>
      <c r="M361" s="62"/>
      <c r="N361" s="28">
        <f>K361*J361</f>
        <v>5</v>
      </c>
      <c r="O361" s="54">
        <v>198</v>
      </c>
      <c r="P361" s="29">
        <v>198</v>
      </c>
      <c r="Q361" s="55"/>
      <c r="R361" s="31">
        <f>M361+Q361</f>
        <v>0</v>
      </c>
      <c r="S361" s="56">
        <v>1</v>
      </c>
      <c r="T361" s="32">
        <f>R361+S361+IF(F361="Without EV deal",L361,0)</f>
        <v>1</v>
      </c>
      <c r="U361" s="57">
        <v>1</v>
      </c>
      <c r="V361" s="69">
        <v>12.72369407648088</v>
      </c>
      <c r="W361" s="58">
        <f>100.05/3</f>
        <v>33.35</v>
      </c>
      <c r="X361" s="30">
        <f>IF(AF361="DoEV",IF(AND(V361&lt;20,W361&lt;55),0.3,0)+IF(AND(V361&lt;20,W361&gt;=55,W361&lt;105),0.23,0)+IF(AND(V361&lt;20,W361&gt;=105),0.17,0)+IF(AND(V361&gt;=20,V361&lt;40,W361&lt;45),0.3,0)+IF(AND(V361&gt;=20,V361&lt;40,W361&gt;=45,W361&lt;95),0.23,0)+IF(AND(V361&gt;=20,V361&lt;40,W361&gt;=95),0.17,0)+IF(AND(V361&gt;=40,V361&lt;75,W361&lt;35),0.3,0)+IF(AND(V361&gt;=40,V361&lt;75,W361&gt;=35,W361&lt;75),0.23,0)+IF(AND(V361&gt;=40,V361&lt;75,W361&gt;=75,W361&lt;120),0.17,0)+IF(AND(V361&gt;=40,V361&lt;75,W361&gt;=120),0.12,0)+IF(AND(V361&gt;=75,V361&lt;175,W361&lt;35),0.3,0)+IF(AND(V361&gt;=75,V361&lt;=175,W361&gt;=35,W361&lt;65),0.23,0)+IF(AND(V361&gt;=75,V361&lt;=175,W361&gt;=65,W361&lt;110),0.17,0)+IF(AND(V361&gt;=75,V361&lt;=175,W361&gt;=110),0.12,0)+IF(AND(V361&gt;175,W361&lt;25),0.3,0)+IF(AND(V361&gt;175,W361&gt;=25,W361&lt;55),0.23,0)+IF(AND(V361&gt;175,W361&gt;=55,W361&lt;95),0.17,0)+IF(AND(V361&gt;175,W361&gt;=95),0.12,0),
IF(AF361="Fix15",0.15,
IF(AF361="Fix11.25",0.1125,
IF(AF361="Fix10",0.1,
IF(AF361="Fix9",0.09,
IF(AF361="DoEV2017",IF(AND(W361&lt;74),0.2,0)+IF(AND(W361&gt;=74),0.17,0),
IF(AF361="SF",IF(AND(V361&lt;20,W361&lt;89),0.3,0)+IF(AND(V361&lt;20,W361&gt;=89),0.25,0)+IF(AND(V361&gt;=20,V361&lt;40,W361&lt;74),0.3,0)+IF(AND(V361&gt;=20,V361&lt;40,W361&gt;=75),0.22,0)+IF(AND(V361&gt;=40,V361&lt;75,W361&lt;75),0.26,0)+IF(AND(V361&gt;=40,V361&lt;75,W361&gt;=75),0.22,0)+IF(V361&gt;=75,0.22,0),
IF(AF361="DoEVold",IF(AND(V361&lt;40,W361&lt;35),0.35,0)+IF(AND(V361&lt;40,W361&gt;=35,W361&lt;75),0.25,0)+IF(AND(V361&lt;40,W361&gt;=75),0.17,0)+IF(AND(V361&gt;=40,V361&lt;75,W361&lt;25),0.35,0)+IF(AND(V361&gt;=40,V361&lt;75,W361&gt;=25,W361&lt;65),0.25,0)+IF(AND(V361&gt;=40,V361&lt;75,W361&gt;=65,W361&lt;100),0.17,0)+IF(AND(V361&gt;=40,V361&lt;75,W361&gt;=100),0.1,0)+IF(AND(V361&gt;=75,W361&lt;25),0.35,0)+IF(AND(V361&gt;=75,W361&gt;=25,W361&lt;60),0.25,0)+IF(AND(V361&gt;=75,W361&gt;=60,W361&lt;95),0.17,0)+IF(AND(V361&gt;=75,W361&gt;=95),0.1,0),
IF(AF361="DoEVold15",IF(AND(V361&lt;=40,W361&lt;35),0.35,0)+IF(AND(V361&lt;=40,W361&gt;=35,W361&lt;75),0.25,0)+IF(AND(V361&lt;=40,W361&gt;=75,W361&lt;120),0.17,0)+IF(AND(V361&lt;=40,W361&gt;=120),0.15,0)+IF(AND(V361&gt;40,V361&lt;75,W361&lt;25),0.35,0)+IF(AND(V361&gt;=40,V361&lt;75,W361&gt;=25,W361&lt;65),0.25,0)+IF(AND(V361&gt;=40,V361&lt;75,W361&gt;=65,W361&lt;100),0.17,0)+IF(AND(V361&gt;=40,V361&lt;75,W361&gt;=100),0.1,0)+IF(AND(V361&gt;=75,W361&lt;25),0.35,0)+IF(AND(V361&gt;=75,W361&gt;=25,W361&lt;60),0.25,0)+IF(AND(V361&gt;=75,W361&gt;=60,W361&lt;95),0.17,0)+IF(AND(V361&gt;=75,W361&gt;=95),0.1,0),
IF(AF361="DoEVba",IF(AND(V361&lt;20,W361&lt;105),0.2,0)+IF(AND(V361&lt;20,W361&gt;=105),0.15,0)+IF(AND(V361&gt;=20,V361&lt;40,W361&lt;95),0.2,0)+IF(AND(V361&gt;=20,V361&lt;40,W361&gt;=95,W361&lt;150),0.15,0)+IF(AND(V361&gt;=20,V361&lt;40,W361&gt;=150),0.12,0)+IF(AND(V361&gt;=40,V361&lt;75,W361&lt;75),0.2,0)+IF(AND(V361&gt;=40,V361&lt;75,W361&gt;=75,W361&lt;120),0.15,0)+IF(AND(V361&gt;=40,V361&lt;75,W361&gt;=120),0.12,0)+IF(AND(V361&gt;=75,V361&lt;175,W361&lt;65),0.2,0)+IF(AND(V361&gt;=75,V361&lt;175,W361&gt;=65,W361&lt;110),0.15,0)+IF(AND(V361&gt;=75,V361&lt;175,W361&gt;=110),0.12,0)+IF(AND(V361&gt;=175,W361&lt;55),0.2,0)+IF(AND(V361&gt;=175,W361&gt;=55,W361&lt;95),0.15,0)+IF(AND(V361&gt;=175,W361&gt;=95),0.12,0),
IF(AF361="DoEVku",IF(AND(V361&lt;20,W361&lt;55),0.23,0)+IF(AND(V361&lt;20,W361&gt;=55,W361&lt;105),0.2,0)+IF(AND(V361&lt;20,W361&gt;=105),0.17,0)+IF(AND(V361&gt;=20,V361&lt;40,W361&lt;45),0.23,0)+IF(AND(V361&gt;=20,V361&lt;40,W361&gt;=45,W361&lt;95),0.2,0)+IF(AND(V361&gt;=20,V361&lt;40,W361&gt;=95,W361&lt;=150),0.17,0)+IF(AND(V361&gt;=20,V361&lt;40,W361&gt;=150),0.12,0)+IF(AND(V361&gt;=40,V361&lt;75,W361&lt;35),0.23,0)+IF(AND(V361&gt;=40,V361&lt;75,W361&gt;=35,W361&lt;75),0.2,0)+IF(AND(V361&gt;=40,V361&lt;75,W361&gt;=75,W361&lt;120),0.17,0)+IF(AND(V361&gt;=40,V361&lt;75,W361&gt;=120),0.12,0)+IF(AND(V361&gt;=75,V361&lt;175,W361&lt;35),0.23,0)+IF(AND(V361&gt;=75,V361&lt;=175,W361&gt;=35,W361&lt;65),0.2,0)+IF(AND(V361&gt;=75,V361&lt;=175,W361&gt;=65,W361&lt;110),0.17,0)+IF(AND(V361&gt;=75,V361&lt;=175,W361&gt;=110),0.12,0)+IF(AND(V361&gt;175,W361&lt;25),0.23,0)+IF(AND(V361&gt;175,W361&gt;=25,W361&lt;55),0.2,0)+IF(AND(V361&gt;175,W361&gt;=55,W361&lt;95),0.17,0)+IF(AND(V361&gt;175,W361&gt;=95),0.12,0),
IF(AF361="DoEVs1",IF(AND(V361&lt;20,W361&lt;55),0.3,0)+IF(AND(V361&lt;20,W361&gt;=55,W361&lt;105),0.23,0)+IF(AND(V361&lt;20,W361&gt;=105),0.17,0)+IF(AND(V361&gt;=20,V361&lt;40,W361&lt;45),0.3,0)+IF(AND(V361&gt;=20,V361&lt;40,W361&gt;=45,W361&lt;95),0.23,0)+IF(AND(V361&gt;=20,V361&lt;40,W361&gt;=95,W361&lt;=150),0.17,0)+IF(AND(V361&gt;=20,V361&lt;40,W361&gt;=150),0.12,0)+IF(AND(V361&gt;=40,V361&lt;75,W361&lt;35),0.3,0)+IF(AND(V361&gt;=40,V361&lt;75,W361&gt;=35,W361&lt;75),0.23,0)+IF(AND(V361&gt;=40,V361&lt;75,W361&gt;=75,W361&lt;120),0.17,0)+IF(AND(V361&gt;=40,V361&lt;75,W361&gt;=120),0.12,0)+IF(AND(V361&gt;=75,V361&lt;175,W361&lt;35),0.3,0)+IF(AND(V361&gt;=75,V361&lt;=175,W361&gt;=35,W361&lt;65),0.23,0)+IF(AND(V361&gt;=75,V361&lt;=175,W361&gt;=65,W361&lt;110),0.17,0)+IF(AND(V361&gt;=75,V361&lt;=175,W361&gt;=110),0.12,0)+IF(AND(V361&gt;175,W361&lt;25),0.3,0)+IF(AND(V361&gt;175,W361&gt;=25,W361&lt;55),0.23,0)+IF(AND(V361&gt;175,W361&gt;=55,W361&lt;95),0.17,0)+IF(AND(V361&gt;175,W361&gt;=95),0.12,0),
IF(AF361="DoEVsu",IF(AND(V361&lt;20,W361&lt;55),0.3,0)+IF(AND(V361&lt;20,W361&gt;=55,W361&lt;105),0.23,0)+IF(AND(V361&lt;20,W361&gt;=105),0.17,0)+IF(AND(V361&gt;=20,V361&lt;40,W361&lt;45),0.3,0)+IF(AND(V361&gt;=20,V361&lt;40,W361&gt;=45,W361&lt;95),0.23,0)+IF(AND(V361&gt;=20,V361&lt;40,W361&gt;=95,W361&lt;=250),0.17,0)+IF(AND(V361&gt;=20,V361&lt;40,W361&gt;=250),0.12,0)+IF(AND(V361&gt;=40,V361&lt;75,W361&lt;35),0.3,0)+IF(AND(V361&gt;=40,V361&lt;75,W361&gt;=35,W361&lt;75),0.23,0)+IF(AND(V361&gt;=40,V361&lt;75,W361&gt;=75,W361&lt;120),0.17,0)+IF(AND(V361&gt;=40,V361&lt;75,W361&gt;=120),0.12,0)+IF(AND(V361&gt;=75,V361&lt;175,W361&lt;35),0.3,0)+IF(AND(V361&gt;=75,V361&lt;=175,W361&gt;=35,W361&lt;65),0.23,0)+IF(AND(V361&gt;=75,V361&lt;=175,W361&gt;=65,W361&lt;110),0.17,0)+IF(AND(V361&gt;=75,V361&lt;=175,W361&gt;=110),0.12,0)+IF(AND(V361&gt;175,W361&lt;25),0.3,0)+IF(AND(V361&gt;175,W361&gt;=25,W361&lt;55),0.23,0)+IF(AND(V361&gt;175,W361&gt;=55,W361&lt;95),0.17,0)+IF(AND(V361&gt;175,W361&gt;=95),0.12,0),
IF(AF361="DoEVni",IF(AND(V361&lt;20,W361&lt;55),0.3,0)+IF(AND(V361&lt;20,W361&gt;=55,W361&lt;105),0.23,0)+IF(AND(V361&lt;20,W361&gt;=105),0.17,0)+IF(AND(V361&gt;=20,V361&lt;40,W361&lt;45),0.3,0)+IF(AND(V361&gt;=20,V361&lt;40,W361&gt;=45,W361&lt;95),0.23,0)+IF(AND(V361&gt;=20,V361&lt;40,W361&gt;=95,W361&lt;=200),0.17,0)+IF(AND(V361&gt;=20,V361&lt;40,W361&gt;=200),0.12,0)+IF(AND(V361&gt;=40,V361&lt;75,W361&lt;35),0.3,0)+IF(AND(V361&gt;=40,V361&lt;75,W361&gt;=35,W361&lt;75),0.23,0)+IF(AND(V361&gt;=40,V361&lt;75,W361&gt;=75,W361&lt;120),0.17,0)+IF(AND(V361&gt;=40,V361&lt;75,W361&gt;=120),0.12,0)+IF(AND(V361&gt;=75,V361&lt;175,W361&lt;35),0.3,0)+IF(AND(V361&gt;=75,V361&lt;=175,W361&gt;=35,W361&lt;65),0.23,0)+IF(AND(V361&gt;=75,V361&lt;=175,W361&gt;=65,W361&lt;110),0.17,0)+IF(AND(V361&gt;=75,V361&lt;=175,W361&gt;=110),0.12,0)+IF(AND(V361&gt;175,W361&lt;25),0.3,0)+IF(AND(V361&gt;175,W361&gt;=25,W361&lt;55),0.23,0)+IF(AND(V361&gt;175,W361&gt;=55,W361&lt;95),0.17,0)+IF(AND(V361&gt;175,W361&gt;=95),0.12,0),
IF(AF361="DoEVLo",IF(AND(V361&lt;20,W361&lt;55),0.25,0)+IF(AND(V361&lt;20,W361&gt;=55,W361&lt;105),0.2,0)+IF(AND(V361&lt;20,W361&gt;=105),0.15,0)+IF(AND(V361&gt;=20,V361&lt;40,W361&lt;45),0.25,0)+IF(AND(V361&gt;=20,V361&lt;40,W361&gt;=45,W361&lt;95),0.2,0)+IF(AND(V361&gt;=20,V361&lt;40,W361&gt;=95),0.15,0)+IF(AND(V361&gt;=40,V361&lt;75,W361&lt;35),0.25,0)+IF(AND(V361&gt;=40,V361&lt;75,W361&gt;=35,W361&lt;75),0.2,0)+IF(AND(V361&gt;=40,V361&lt;75,W361&gt;=75,W361&lt;120),0.15,0)+IF(AND(V361&gt;=40,V361&lt;75,W361&gt;=120),0.1,0)+IF(AND(V361&gt;=75,V361&lt;175,W361&lt;35),0.25,0)+IF(AND(V361&gt;=75,V361&lt;=175,W361&gt;=35,W361&lt;65),0.2,0)+IF(AND(V361&gt;=75,V361&lt;=175,W361&gt;=65,W361&lt;110),0.15,0)+IF(AND(V361&gt;=75,V361&lt;=175,W361&gt;=110),0.1,0)+IF(AND(V361&gt;175,W361&lt;25),0.25,0)+IF(AND(V361&gt;175,W361&gt;=25,W361&lt;55),0.2,0)+IF(AND(V361&gt;175,W361&gt;=55,W361&lt;95),0.15,0)+IF(AND(V361&gt;175,W361&gt;=95),0.1,0))))))))))))))))</f>
        <v>0.3</v>
      </c>
      <c r="Y361" s="30">
        <f>IF(AG361="None",0,IF(AG361="Fix5",0.05,IF(AG361="Fix3.75",0.0375,IF(AG361="Fix10",0.1,IF(AG361="Fix3",0.03,0)))))</f>
        <v>0</v>
      </c>
      <c r="Z361" s="35">
        <f>T361-AA361-AB361</f>
        <v>0.7</v>
      </c>
      <c r="AA361" s="29">
        <f>IF(AD361="EUR",((T361-R361)*X361)*U361+(R361*X361),(T361*X361))</f>
        <v>0.3</v>
      </c>
      <c r="AB361" s="36">
        <f>IF(AD361="EUR",((T361-R361)*Y361)*U361+(R361*Y361),(T361*Y361))</f>
        <v>0</v>
      </c>
      <c r="AC361" s="37" t="b">
        <v>0</v>
      </c>
      <c r="AD361" s="37" t="s">
        <v>38</v>
      </c>
      <c r="AE361" s="37" t="s">
        <v>38</v>
      </c>
      <c r="AF361" s="37" t="str">
        <f t="array" ref="AF361">INDEX('Deal Info'!D:D, MATCH(A361,'Deal Info'!A:A, 0))</f>
        <v>SF</v>
      </c>
      <c r="AG361" s="38" t="str">
        <f t="array" ref="AG361">INDEX('Deal Info'!G:G, MATCH(A361,'Deal Info'!A:A, 0))</f>
        <v>None</v>
      </c>
    </row>
    <row r="362" spans="1:33" ht="14.25" hidden="1" x14ac:dyDescent="0.2">
      <c r="A362" s="18" t="str">
        <f t="array" ref="A362">IF(G362='Room Info'!$B$1, INDEX('Room Info'!$A$2:$A2446, MATCH(B362,'Room Info'!$B$2:$B2446, 0)),IF(G362='Room Info'!$C$1, INDEX('Room Info'!$A$2:$A2446, MATCH(B362,'Room Info'!$C$2:$C2446, 0)),IF(G362='Room Info'!$D$1, INDEX('Room Info'!$A$2:$A2446, MATCH(B362,'Room Info'!$D$2:$D2446, 0)),IF(G362='Room Info'!$E$1, INDEX('Room Info'!$A$2:$A2446, MATCH(B362,'Room Info'!$E$2:$E2446, 0)),IF(G362='Room Info'!$F$1, INDEX('Room Info'!$A$2:$A2446, MATCH(B362,'Room Info'!$F$2:$F2446, 0)),IF(G362='Room Info'!$H$1, INDEX('Room Info'!$A$2:$A2446, MATCH(B362,'Room Info'!$H$2:$H2446, 0)),IF(G362='Room Info'!$G$1, INDEX('Room Info'!$A$2:$A2446, MATCH(B362,'Room Info'!$G$2:$G2446, 0)))))))))</f>
        <v>Kiss4money99</v>
      </c>
      <c r="B362" s="45" t="s">
        <v>120</v>
      </c>
      <c r="C362" s="46">
        <v>44825</v>
      </c>
      <c r="D362" s="46">
        <v>44854</v>
      </c>
      <c r="E362" s="47">
        <v>44835</v>
      </c>
      <c r="F362" s="48" t="s">
        <v>34</v>
      </c>
      <c r="G362" s="54" t="s">
        <v>35</v>
      </c>
      <c r="H362" s="49" t="s">
        <v>40</v>
      </c>
      <c r="I362" s="49" t="s">
        <v>37</v>
      </c>
      <c r="J362" s="50">
        <v>10</v>
      </c>
      <c r="K362" s="51">
        <v>365</v>
      </c>
      <c r="L362" s="52">
        <v>210</v>
      </c>
      <c r="M362" s="53">
        <v>197</v>
      </c>
      <c r="N362" s="28">
        <f>K362*J362</f>
        <v>3650</v>
      </c>
      <c r="O362" s="54">
        <v>17067</v>
      </c>
      <c r="P362" s="29">
        <v>46.758904110000003</v>
      </c>
      <c r="Q362" s="55"/>
      <c r="R362" s="31">
        <f>M362+Q362</f>
        <v>197</v>
      </c>
      <c r="S362" s="56">
        <v>31</v>
      </c>
      <c r="T362" s="32">
        <f>R362+S362+IF(F362="Without EV deal",L362,0)</f>
        <v>228</v>
      </c>
      <c r="U362" s="57">
        <v>1</v>
      </c>
      <c r="V362" s="69">
        <v>12.72369407648088</v>
      </c>
      <c r="W362" s="58">
        <f>100.05/3</f>
        <v>33.35</v>
      </c>
      <c r="X362" s="30">
        <f>IF(AF362="DoEV",IF(AND(V362&lt;20,W362&lt;55),0.3,0)+IF(AND(V362&lt;20,W362&gt;=55,W362&lt;105),0.23,0)+IF(AND(V362&lt;20,W362&gt;=105),0.17,0)+IF(AND(V362&gt;=20,V362&lt;40,W362&lt;45),0.3,0)+IF(AND(V362&gt;=20,V362&lt;40,W362&gt;=45,W362&lt;95),0.23,0)+IF(AND(V362&gt;=20,V362&lt;40,W362&gt;=95),0.17,0)+IF(AND(V362&gt;=40,V362&lt;75,W362&lt;35),0.3,0)+IF(AND(V362&gt;=40,V362&lt;75,W362&gt;=35,W362&lt;75),0.23,0)+IF(AND(V362&gt;=40,V362&lt;75,W362&gt;=75,W362&lt;120),0.17,0)+IF(AND(V362&gt;=40,V362&lt;75,W362&gt;=120),0.12,0)+IF(AND(V362&gt;=75,V362&lt;175,W362&lt;35),0.3,0)+IF(AND(V362&gt;=75,V362&lt;=175,W362&gt;=35,W362&lt;65),0.23,0)+IF(AND(V362&gt;=75,V362&lt;=175,W362&gt;=65,W362&lt;110),0.17,0)+IF(AND(V362&gt;=75,V362&lt;=175,W362&gt;=110),0.12,0)+IF(AND(V362&gt;175,W362&lt;25),0.3,0)+IF(AND(V362&gt;175,W362&gt;=25,W362&lt;55),0.23,0)+IF(AND(V362&gt;175,W362&gt;=55,W362&lt;95),0.17,0)+IF(AND(V362&gt;175,W362&gt;=95),0.12,0),
IF(AF362="Fix15",0.15,
IF(AF362="Fix11.25",0.1125,
IF(AF362="Fix10",0.1,
IF(AF362="Fix9",0.09,
IF(AF362="DoEV2017",IF(AND(W362&lt;74),0.2,0)+IF(AND(W362&gt;=74),0.17,0),
IF(AF362="SF",IF(AND(V362&lt;20,W362&lt;89),0.3,0)+IF(AND(V362&lt;20,W362&gt;=89),0.25,0)+IF(AND(V362&gt;=20,V362&lt;40,W362&lt;74),0.3,0)+IF(AND(V362&gt;=20,V362&lt;40,W362&gt;=75),0.22,0)+IF(AND(V362&gt;=40,V362&lt;75,W362&lt;75),0.26,0)+IF(AND(V362&gt;=40,V362&lt;75,W362&gt;=75),0.22,0)+IF(V362&gt;=75,0.22,0),
IF(AF362="DoEVold",IF(AND(V362&lt;40,W362&lt;35),0.35,0)+IF(AND(V362&lt;40,W362&gt;=35,W362&lt;75),0.25,0)+IF(AND(V362&lt;40,W362&gt;=75),0.17,0)+IF(AND(V362&gt;=40,V362&lt;75,W362&lt;25),0.35,0)+IF(AND(V362&gt;=40,V362&lt;75,W362&gt;=25,W362&lt;65),0.25,0)+IF(AND(V362&gt;=40,V362&lt;75,W362&gt;=65,W362&lt;100),0.17,0)+IF(AND(V362&gt;=40,V362&lt;75,W362&gt;=100),0.1,0)+IF(AND(V362&gt;=75,W362&lt;25),0.35,0)+IF(AND(V362&gt;=75,W362&gt;=25,W362&lt;60),0.25,0)+IF(AND(V362&gt;=75,W362&gt;=60,W362&lt;95),0.17,0)+IF(AND(V362&gt;=75,W362&gt;=95),0.1,0),
IF(AF362="DoEVold15",IF(AND(V362&lt;=40,W362&lt;35),0.35,0)+IF(AND(V362&lt;=40,W362&gt;=35,W362&lt;75),0.25,0)+IF(AND(V362&lt;=40,W362&gt;=75,W362&lt;120),0.17,0)+IF(AND(V362&lt;=40,W362&gt;=120),0.15,0)+IF(AND(V362&gt;40,V362&lt;75,W362&lt;25),0.35,0)+IF(AND(V362&gt;=40,V362&lt;75,W362&gt;=25,W362&lt;65),0.25,0)+IF(AND(V362&gt;=40,V362&lt;75,W362&gt;=65,W362&lt;100),0.17,0)+IF(AND(V362&gt;=40,V362&lt;75,W362&gt;=100),0.1,0)+IF(AND(V362&gt;=75,W362&lt;25),0.35,0)+IF(AND(V362&gt;=75,W362&gt;=25,W362&lt;60),0.25,0)+IF(AND(V362&gt;=75,W362&gt;=60,W362&lt;95),0.17,0)+IF(AND(V362&gt;=75,W362&gt;=95),0.1,0),
IF(AF362="DoEVba",IF(AND(V362&lt;20,W362&lt;105),0.2,0)+IF(AND(V362&lt;20,W362&gt;=105),0.15,0)+IF(AND(V362&gt;=20,V362&lt;40,W362&lt;95),0.2,0)+IF(AND(V362&gt;=20,V362&lt;40,W362&gt;=95,W362&lt;150),0.15,0)+IF(AND(V362&gt;=20,V362&lt;40,W362&gt;=150),0.12,0)+IF(AND(V362&gt;=40,V362&lt;75,W362&lt;75),0.2,0)+IF(AND(V362&gt;=40,V362&lt;75,W362&gt;=75,W362&lt;120),0.15,0)+IF(AND(V362&gt;=40,V362&lt;75,W362&gt;=120),0.12,0)+IF(AND(V362&gt;=75,V362&lt;175,W362&lt;65),0.2,0)+IF(AND(V362&gt;=75,V362&lt;175,W362&gt;=65,W362&lt;110),0.15,0)+IF(AND(V362&gt;=75,V362&lt;175,W362&gt;=110),0.12,0)+IF(AND(V362&gt;=175,W362&lt;55),0.2,0)+IF(AND(V362&gt;=175,W362&gt;=55,W362&lt;95),0.15,0)+IF(AND(V362&gt;=175,W362&gt;=95),0.12,0),
IF(AF362="DoEVku",IF(AND(V362&lt;20,W362&lt;55),0.23,0)+IF(AND(V362&lt;20,W362&gt;=55,W362&lt;105),0.2,0)+IF(AND(V362&lt;20,W362&gt;=105),0.17,0)+IF(AND(V362&gt;=20,V362&lt;40,W362&lt;45),0.23,0)+IF(AND(V362&gt;=20,V362&lt;40,W362&gt;=45,W362&lt;95),0.2,0)+IF(AND(V362&gt;=20,V362&lt;40,W362&gt;=95,W362&lt;=150),0.17,0)+IF(AND(V362&gt;=20,V362&lt;40,W362&gt;=150),0.12,0)+IF(AND(V362&gt;=40,V362&lt;75,W362&lt;35),0.23,0)+IF(AND(V362&gt;=40,V362&lt;75,W362&gt;=35,W362&lt;75),0.2,0)+IF(AND(V362&gt;=40,V362&lt;75,W362&gt;=75,W362&lt;120),0.17,0)+IF(AND(V362&gt;=40,V362&lt;75,W362&gt;=120),0.12,0)+IF(AND(V362&gt;=75,V362&lt;175,W362&lt;35),0.23,0)+IF(AND(V362&gt;=75,V362&lt;=175,W362&gt;=35,W362&lt;65),0.2,0)+IF(AND(V362&gt;=75,V362&lt;=175,W362&gt;=65,W362&lt;110),0.17,0)+IF(AND(V362&gt;=75,V362&lt;=175,W362&gt;=110),0.12,0)+IF(AND(V362&gt;175,W362&lt;25),0.23,0)+IF(AND(V362&gt;175,W362&gt;=25,W362&lt;55),0.2,0)+IF(AND(V362&gt;175,W362&gt;=55,W362&lt;95),0.17,0)+IF(AND(V362&gt;175,W362&gt;=95),0.12,0),
IF(AF362="DoEVs1",IF(AND(V362&lt;20,W362&lt;55),0.3,0)+IF(AND(V362&lt;20,W362&gt;=55,W362&lt;105),0.23,0)+IF(AND(V362&lt;20,W362&gt;=105),0.17,0)+IF(AND(V362&gt;=20,V362&lt;40,W362&lt;45),0.3,0)+IF(AND(V362&gt;=20,V362&lt;40,W362&gt;=45,W362&lt;95),0.23,0)+IF(AND(V362&gt;=20,V362&lt;40,W362&gt;=95,W362&lt;=150),0.17,0)+IF(AND(V362&gt;=20,V362&lt;40,W362&gt;=150),0.12,0)+IF(AND(V362&gt;=40,V362&lt;75,W362&lt;35),0.3,0)+IF(AND(V362&gt;=40,V362&lt;75,W362&gt;=35,W362&lt;75),0.23,0)+IF(AND(V362&gt;=40,V362&lt;75,W362&gt;=75,W362&lt;120),0.17,0)+IF(AND(V362&gt;=40,V362&lt;75,W362&gt;=120),0.12,0)+IF(AND(V362&gt;=75,V362&lt;175,W362&lt;35),0.3,0)+IF(AND(V362&gt;=75,V362&lt;=175,W362&gt;=35,W362&lt;65),0.23,0)+IF(AND(V362&gt;=75,V362&lt;=175,W362&gt;=65,W362&lt;110),0.17,0)+IF(AND(V362&gt;=75,V362&lt;=175,W362&gt;=110),0.12,0)+IF(AND(V362&gt;175,W362&lt;25),0.3,0)+IF(AND(V362&gt;175,W362&gt;=25,W362&lt;55),0.23,0)+IF(AND(V362&gt;175,W362&gt;=55,W362&lt;95),0.17,0)+IF(AND(V362&gt;175,W362&gt;=95),0.12,0),
IF(AF362="DoEVsu",IF(AND(V362&lt;20,W362&lt;55),0.3,0)+IF(AND(V362&lt;20,W362&gt;=55,W362&lt;105),0.23,0)+IF(AND(V362&lt;20,W362&gt;=105),0.17,0)+IF(AND(V362&gt;=20,V362&lt;40,W362&lt;45),0.3,0)+IF(AND(V362&gt;=20,V362&lt;40,W362&gt;=45,W362&lt;95),0.23,0)+IF(AND(V362&gt;=20,V362&lt;40,W362&gt;=95,W362&lt;=250),0.17,0)+IF(AND(V362&gt;=20,V362&lt;40,W362&gt;=250),0.12,0)+IF(AND(V362&gt;=40,V362&lt;75,W362&lt;35),0.3,0)+IF(AND(V362&gt;=40,V362&lt;75,W362&gt;=35,W362&lt;75),0.23,0)+IF(AND(V362&gt;=40,V362&lt;75,W362&gt;=75,W362&lt;120),0.17,0)+IF(AND(V362&gt;=40,V362&lt;75,W362&gt;=120),0.12,0)+IF(AND(V362&gt;=75,V362&lt;175,W362&lt;35),0.3,0)+IF(AND(V362&gt;=75,V362&lt;=175,W362&gt;=35,W362&lt;65),0.23,0)+IF(AND(V362&gt;=75,V362&lt;=175,W362&gt;=65,W362&lt;110),0.17,0)+IF(AND(V362&gt;=75,V362&lt;=175,W362&gt;=110),0.12,0)+IF(AND(V362&gt;175,W362&lt;25),0.3,0)+IF(AND(V362&gt;175,W362&gt;=25,W362&lt;55),0.23,0)+IF(AND(V362&gt;175,W362&gt;=55,W362&lt;95),0.17,0)+IF(AND(V362&gt;175,W362&gt;=95),0.12,0),
IF(AF362="DoEVni",IF(AND(V362&lt;20,W362&lt;55),0.3,0)+IF(AND(V362&lt;20,W362&gt;=55,W362&lt;105),0.23,0)+IF(AND(V362&lt;20,W362&gt;=105),0.17,0)+IF(AND(V362&gt;=20,V362&lt;40,W362&lt;45),0.3,0)+IF(AND(V362&gt;=20,V362&lt;40,W362&gt;=45,W362&lt;95),0.23,0)+IF(AND(V362&gt;=20,V362&lt;40,W362&gt;=95,W362&lt;=200),0.17,0)+IF(AND(V362&gt;=20,V362&lt;40,W362&gt;=200),0.12,0)+IF(AND(V362&gt;=40,V362&lt;75,W362&lt;35),0.3,0)+IF(AND(V362&gt;=40,V362&lt;75,W362&gt;=35,W362&lt;75),0.23,0)+IF(AND(V362&gt;=40,V362&lt;75,W362&gt;=75,W362&lt;120),0.17,0)+IF(AND(V362&gt;=40,V362&lt;75,W362&gt;=120),0.12,0)+IF(AND(V362&gt;=75,V362&lt;175,W362&lt;35),0.3,0)+IF(AND(V362&gt;=75,V362&lt;=175,W362&gt;=35,W362&lt;65),0.23,0)+IF(AND(V362&gt;=75,V362&lt;=175,W362&gt;=65,W362&lt;110),0.17,0)+IF(AND(V362&gt;=75,V362&lt;=175,W362&gt;=110),0.12,0)+IF(AND(V362&gt;175,W362&lt;25),0.3,0)+IF(AND(V362&gt;175,W362&gt;=25,W362&lt;55),0.23,0)+IF(AND(V362&gt;175,W362&gt;=55,W362&lt;95),0.17,0)+IF(AND(V362&gt;175,W362&gt;=95),0.12,0),
IF(AF362="DoEVLo",IF(AND(V362&lt;20,W362&lt;55),0.25,0)+IF(AND(V362&lt;20,W362&gt;=55,W362&lt;105),0.2,0)+IF(AND(V362&lt;20,W362&gt;=105),0.15,0)+IF(AND(V362&gt;=20,V362&lt;40,W362&lt;45),0.25,0)+IF(AND(V362&gt;=20,V362&lt;40,W362&gt;=45,W362&lt;95),0.2,0)+IF(AND(V362&gt;=20,V362&lt;40,W362&gt;=95),0.15,0)+IF(AND(V362&gt;=40,V362&lt;75,W362&lt;35),0.25,0)+IF(AND(V362&gt;=40,V362&lt;75,W362&gt;=35,W362&lt;75),0.2,0)+IF(AND(V362&gt;=40,V362&lt;75,W362&gt;=75,W362&lt;120),0.15,0)+IF(AND(V362&gt;=40,V362&lt;75,W362&gt;=120),0.1,0)+IF(AND(V362&gt;=75,V362&lt;175,W362&lt;35),0.25,0)+IF(AND(V362&gt;=75,V362&lt;=175,W362&gt;=35,W362&lt;65),0.2,0)+IF(AND(V362&gt;=75,V362&lt;=175,W362&gt;=65,W362&lt;110),0.15,0)+IF(AND(V362&gt;=75,V362&lt;=175,W362&gt;=110),0.1,0)+IF(AND(V362&gt;175,W362&lt;25),0.25,0)+IF(AND(V362&gt;175,W362&gt;=25,W362&lt;55),0.2,0)+IF(AND(V362&gt;175,W362&gt;=55,W362&lt;95),0.15,0)+IF(AND(V362&gt;175,W362&gt;=95),0.1,0))))))))))))))))</f>
        <v>0.3</v>
      </c>
      <c r="Y362" s="30">
        <f>IF(AG362="None",0,IF(AG362="Fix5",0.05,IF(AG362="Fix3.75",0.0375,IF(AG362="Fix10",0.1,IF(AG362="Fix3",0.03,0)))))</f>
        <v>0</v>
      </c>
      <c r="Z362" s="35">
        <f>T362-AA362-AB362</f>
        <v>159.60000000000002</v>
      </c>
      <c r="AA362" s="29">
        <f>IF(AD362="EUR",((T362-R362)*X362)*U362+(R362*X362),(T362*X362))</f>
        <v>68.399999999999991</v>
      </c>
      <c r="AB362" s="36">
        <f>IF(AD362="EUR",((T362-R362)*Y362)*U362+(R362*Y362),(T362*Y362))</f>
        <v>0</v>
      </c>
      <c r="AC362" s="37" t="b">
        <v>0</v>
      </c>
      <c r="AD362" s="37" t="s">
        <v>38</v>
      </c>
      <c r="AE362" s="37" t="s">
        <v>38</v>
      </c>
      <c r="AF362" s="37" t="str">
        <f t="array" ref="AF362">INDEX('Deal Info'!D:D, MATCH(A362,'Deal Info'!A:A, 0))</f>
        <v>SF</v>
      </c>
      <c r="AG362" s="38" t="str">
        <f t="array" ref="AG362">INDEX('Deal Info'!G:G, MATCH(A362,'Deal Info'!A:A, 0))</f>
        <v>None</v>
      </c>
    </row>
    <row r="363" spans="1:33" ht="14.25" hidden="1" x14ac:dyDescent="0.2">
      <c r="A363" s="18" t="str">
        <f t="array" ref="A363">IF(G363='Room Info'!$B$1, INDEX('Room Info'!$A$2:$A2446, MATCH(B363,'Room Info'!$B$2:$B2446, 0)),IF(G363='Room Info'!$C$1, INDEX('Room Info'!$A$2:$A2446, MATCH(B363,'Room Info'!$C$2:$C2446, 0)),IF(G363='Room Info'!$D$1, INDEX('Room Info'!$A$2:$A2446, MATCH(B363,'Room Info'!$D$2:$D2446, 0)),IF(G363='Room Info'!$E$1, INDEX('Room Info'!$A$2:$A2446, MATCH(B363,'Room Info'!$E$2:$E2446, 0)),IF(G363='Room Info'!$F$1, INDEX('Room Info'!$A$2:$A2446, MATCH(B363,'Room Info'!$F$2:$F2446, 0)),IF(G363='Room Info'!$H$1, INDEX('Room Info'!$A$2:$A2446, MATCH(B363,'Room Info'!$H$2:$H2446, 0)),IF(G363='Room Info'!$G$1, INDEX('Room Info'!$A$2:$A2446, MATCH(B363,'Room Info'!$G$2:$G2446, 0)))))))))</f>
        <v>Kiss4money99</v>
      </c>
      <c r="B363" s="45" t="s">
        <v>120</v>
      </c>
      <c r="C363" s="46">
        <v>44825</v>
      </c>
      <c r="D363" s="46">
        <v>44854</v>
      </c>
      <c r="E363" s="47">
        <v>44835</v>
      </c>
      <c r="F363" s="48" t="s">
        <v>34</v>
      </c>
      <c r="G363" s="54" t="s">
        <v>35</v>
      </c>
      <c r="H363" s="49" t="s">
        <v>46</v>
      </c>
      <c r="I363" s="49" t="s">
        <v>37</v>
      </c>
      <c r="J363" s="50">
        <v>25</v>
      </c>
      <c r="K363" s="51">
        <v>1193</v>
      </c>
      <c r="L363" s="52">
        <v>-1500</v>
      </c>
      <c r="M363" s="53">
        <v>1382</v>
      </c>
      <c r="N363" s="28">
        <f>K363*J363</f>
        <v>29825</v>
      </c>
      <c r="O363" s="54">
        <v>5361</v>
      </c>
      <c r="P363" s="29">
        <v>4.4937133280000001</v>
      </c>
      <c r="Q363" s="55"/>
      <c r="R363" s="31">
        <f>M363+Q363</f>
        <v>1382</v>
      </c>
      <c r="S363" s="56">
        <v>-1697</v>
      </c>
      <c r="T363" s="32">
        <f>R363+S363+IF(F363="Without EV deal",L363,0)</f>
        <v>-315</v>
      </c>
      <c r="U363" s="57">
        <v>1</v>
      </c>
      <c r="V363" s="69">
        <v>12.72369407648088</v>
      </c>
      <c r="W363" s="58">
        <f>100.05/3</f>
        <v>33.35</v>
      </c>
      <c r="X363" s="30">
        <f>IF(AF363="DoEV",IF(AND(V363&lt;20,W363&lt;55),0.3,0)+IF(AND(V363&lt;20,W363&gt;=55,W363&lt;105),0.23,0)+IF(AND(V363&lt;20,W363&gt;=105),0.17,0)+IF(AND(V363&gt;=20,V363&lt;40,W363&lt;45),0.3,0)+IF(AND(V363&gt;=20,V363&lt;40,W363&gt;=45,W363&lt;95),0.23,0)+IF(AND(V363&gt;=20,V363&lt;40,W363&gt;=95),0.17,0)+IF(AND(V363&gt;=40,V363&lt;75,W363&lt;35),0.3,0)+IF(AND(V363&gt;=40,V363&lt;75,W363&gt;=35,W363&lt;75),0.23,0)+IF(AND(V363&gt;=40,V363&lt;75,W363&gt;=75,W363&lt;120),0.17,0)+IF(AND(V363&gt;=40,V363&lt;75,W363&gt;=120),0.12,0)+IF(AND(V363&gt;=75,V363&lt;175,W363&lt;35),0.3,0)+IF(AND(V363&gt;=75,V363&lt;=175,W363&gt;=35,W363&lt;65),0.23,0)+IF(AND(V363&gt;=75,V363&lt;=175,W363&gt;=65,W363&lt;110),0.17,0)+IF(AND(V363&gt;=75,V363&lt;=175,W363&gt;=110),0.12,0)+IF(AND(V363&gt;175,W363&lt;25),0.3,0)+IF(AND(V363&gt;175,W363&gt;=25,W363&lt;55),0.23,0)+IF(AND(V363&gt;175,W363&gt;=55,W363&lt;95),0.17,0)+IF(AND(V363&gt;175,W363&gt;=95),0.12,0),
IF(AF363="Fix15",0.15,
IF(AF363="Fix11.25",0.1125,
IF(AF363="Fix10",0.1,
IF(AF363="Fix9",0.09,
IF(AF363="DoEV2017",IF(AND(W363&lt;74),0.2,0)+IF(AND(W363&gt;=74),0.17,0),
IF(AF363="SF",IF(AND(V363&lt;20,W363&lt;89),0.3,0)+IF(AND(V363&lt;20,W363&gt;=89),0.25,0)+IF(AND(V363&gt;=20,V363&lt;40,W363&lt;74),0.3,0)+IF(AND(V363&gt;=20,V363&lt;40,W363&gt;=75),0.22,0)+IF(AND(V363&gt;=40,V363&lt;75,W363&lt;75),0.26,0)+IF(AND(V363&gt;=40,V363&lt;75,W363&gt;=75),0.22,0)+IF(V363&gt;=75,0.22,0),
IF(AF363="DoEVold",IF(AND(V363&lt;40,W363&lt;35),0.35,0)+IF(AND(V363&lt;40,W363&gt;=35,W363&lt;75),0.25,0)+IF(AND(V363&lt;40,W363&gt;=75),0.17,0)+IF(AND(V363&gt;=40,V363&lt;75,W363&lt;25),0.35,0)+IF(AND(V363&gt;=40,V363&lt;75,W363&gt;=25,W363&lt;65),0.25,0)+IF(AND(V363&gt;=40,V363&lt;75,W363&gt;=65,W363&lt;100),0.17,0)+IF(AND(V363&gt;=40,V363&lt;75,W363&gt;=100),0.1,0)+IF(AND(V363&gt;=75,W363&lt;25),0.35,0)+IF(AND(V363&gt;=75,W363&gt;=25,W363&lt;60),0.25,0)+IF(AND(V363&gt;=75,W363&gt;=60,W363&lt;95),0.17,0)+IF(AND(V363&gt;=75,W363&gt;=95),0.1,0),
IF(AF363="DoEVold15",IF(AND(V363&lt;=40,W363&lt;35),0.35,0)+IF(AND(V363&lt;=40,W363&gt;=35,W363&lt;75),0.25,0)+IF(AND(V363&lt;=40,W363&gt;=75,W363&lt;120),0.17,0)+IF(AND(V363&lt;=40,W363&gt;=120),0.15,0)+IF(AND(V363&gt;40,V363&lt;75,W363&lt;25),0.35,0)+IF(AND(V363&gt;=40,V363&lt;75,W363&gt;=25,W363&lt;65),0.25,0)+IF(AND(V363&gt;=40,V363&lt;75,W363&gt;=65,W363&lt;100),0.17,0)+IF(AND(V363&gt;=40,V363&lt;75,W363&gt;=100),0.1,0)+IF(AND(V363&gt;=75,W363&lt;25),0.35,0)+IF(AND(V363&gt;=75,W363&gt;=25,W363&lt;60),0.25,0)+IF(AND(V363&gt;=75,W363&gt;=60,W363&lt;95),0.17,0)+IF(AND(V363&gt;=75,W363&gt;=95),0.1,0),
IF(AF363="DoEVba",IF(AND(V363&lt;20,W363&lt;105),0.2,0)+IF(AND(V363&lt;20,W363&gt;=105),0.15,0)+IF(AND(V363&gt;=20,V363&lt;40,W363&lt;95),0.2,0)+IF(AND(V363&gt;=20,V363&lt;40,W363&gt;=95,W363&lt;150),0.15,0)+IF(AND(V363&gt;=20,V363&lt;40,W363&gt;=150),0.12,0)+IF(AND(V363&gt;=40,V363&lt;75,W363&lt;75),0.2,0)+IF(AND(V363&gt;=40,V363&lt;75,W363&gt;=75,W363&lt;120),0.15,0)+IF(AND(V363&gt;=40,V363&lt;75,W363&gt;=120),0.12,0)+IF(AND(V363&gt;=75,V363&lt;175,W363&lt;65),0.2,0)+IF(AND(V363&gt;=75,V363&lt;175,W363&gt;=65,W363&lt;110),0.15,0)+IF(AND(V363&gt;=75,V363&lt;175,W363&gt;=110),0.12,0)+IF(AND(V363&gt;=175,W363&lt;55),0.2,0)+IF(AND(V363&gt;=175,W363&gt;=55,W363&lt;95),0.15,0)+IF(AND(V363&gt;=175,W363&gt;=95),0.12,0),
IF(AF363="DoEVku",IF(AND(V363&lt;20,W363&lt;55),0.23,0)+IF(AND(V363&lt;20,W363&gt;=55,W363&lt;105),0.2,0)+IF(AND(V363&lt;20,W363&gt;=105),0.17,0)+IF(AND(V363&gt;=20,V363&lt;40,W363&lt;45),0.23,0)+IF(AND(V363&gt;=20,V363&lt;40,W363&gt;=45,W363&lt;95),0.2,0)+IF(AND(V363&gt;=20,V363&lt;40,W363&gt;=95,W363&lt;=150),0.17,0)+IF(AND(V363&gt;=20,V363&lt;40,W363&gt;=150),0.12,0)+IF(AND(V363&gt;=40,V363&lt;75,W363&lt;35),0.23,0)+IF(AND(V363&gt;=40,V363&lt;75,W363&gt;=35,W363&lt;75),0.2,0)+IF(AND(V363&gt;=40,V363&lt;75,W363&gt;=75,W363&lt;120),0.17,0)+IF(AND(V363&gt;=40,V363&lt;75,W363&gt;=120),0.12,0)+IF(AND(V363&gt;=75,V363&lt;175,W363&lt;35),0.23,0)+IF(AND(V363&gt;=75,V363&lt;=175,W363&gt;=35,W363&lt;65),0.2,0)+IF(AND(V363&gt;=75,V363&lt;=175,W363&gt;=65,W363&lt;110),0.17,0)+IF(AND(V363&gt;=75,V363&lt;=175,W363&gt;=110),0.12,0)+IF(AND(V363&gt;175,W363&lt;25),0.23,0)+IF(AND(V363&gt;175,W363&gt;=25,W363&lt;55),0.2,0)+IF(AND(V363&gt;175,W363&gt;=55,W363&lt;95),0.17,0)+IF(AND(V363&gt;175,W363&gt;=95),0.12,0),
IF(AF363="DoEVs1",IF(AND(V363&lt;20,W363&lt;55),0.3,0)+IF(AND(V363&lt;20,W363&gt;=55,W363&lt;105),0.23,0)+IF(AND(V363&lt;20,W363&gt;=105),0.17,0)+IF(AND(V363&gt;=20,V363&lt;40,W363&lt;45),0.3,0)+IF(AND(V363&gt;=20,V363&lt;40,W363&gt;=45,W363&lt;95),0.23,0)+IF(AND(V363&gt;=20,V363&lt;40,W363&gt;=95,W363&lt;=150),0.17,0)+IF(AND(V363&gt;=20,V363&lt;40,W363&gt;=150),0.12,0)+IF(AND(V363&gt;=40,V363&lt;75,W363&lt;35),0.3,0)+IF(AND(V363&gt;=40,V363&lt;75,W363&gt;=35,W363&lt;75),0.23,0)+IF(AND(V363&gt;=40,V363&lt;75,W363&gt;=75,W363&lt;120),0.17,0)+IF(AND(V363&gt;=40,V363&lt;75,W363&gt;=120),0.12,0)+IF(AND(V363&gt;=75,V363&lt;175,W363&lt;35),0.3,0)+IF(AND(V363&gt;=75,V363&lt;=175,W363&gt;=35,W363&lt;65),0.23,0)+IF(AND(V363&gt;=75,V363&lt;=175,W363&gt;=65,W363&lt;110),0.17,0)+IF(AND(V363&gt;=75,V363&lt;=175,W363&gt;=110),0.12,0)+IF(AND(V363&gt;175,W363&lt;25),0.3,0)+IF(AND(V363&gt;175,W363&gt;=25,W363&lt;55),0.23,0)+IF(AND(V363&gt;175,W363&gt;=55,W363&lt;95),0.17,0)+IF(AND(V363&gt;175,W363&gt;=95),0.12,0),
IF(AF363="DoEVsu",IF(AND(V363&lt;20,W363&lt;55),0.3,0)+IF(AND(V363&lt;20,W363&gt;=55,W363&lt;105),0.23,0)+IF(AND(V363&lt;20,W363&gt;=105),0.17,0)+IF(AND(V363&gt;=20,V363&lt;40,W363&lt;45),0.3,0)+IF(AND(V363&gt;=20,V363&lt;40,W363&gt;=45,W363&lt;95),0.23,0)+IF(AND(V363&gt;=20,V363&lt;40,W363&gt;=95,W363&lt;=250),0.17,0)+IF(AND(V363&gt;=20,V363&lt;40,W363&gt;=250),0.12,0)+IF(AND(V363&gt;=40,V363&lt;75,W363&lt;35),0.3,0)+IF(AND(V363&gt;=40,V363&lt;75,W363&gt;=35,W363&lt;75),0.23,0)+IF(AND(V363&gt;=40,V363&lt;75,W363&gt;=75,W363&lt;120),0.17,0)+IF(AND(V363&gt;=40,V363&lt;75,W363&gt;=120),0.12,0)+IF(AND(V363&gt;=75,V363&lt;175,W363&lt;35),0.3,0)+IF(AND(V363&gt;=75,V363&lt;=175,W363&gt;=35,W363&lt;65),0.23,0)+IF(AND(V363&gt;=75,V363&lt;=175,W363&gt;=65,W363&lt;110),0.17,0)+IF(AND(V363&gt;=75,V363&lt;=175,W363&gt;=110),0.12,0)+IF(AND(V363&gt;175,W363&lt;25),0.3,0)+IF(AND(V363&gt;175,W363&gt;=25,W363&lt;55),0.23,0)+IF(AND(V363&gt;175,W363&gt;=55,W363&lt;95),0.17,0)+IF(AND(V363&gt;175,W363&gt;=95),0.12,0),
IF(AF363="DoEVni",IF(AND(V363&lt;20,W363&lt;55),0.3,0)+IF(AND(V363&lt;20,W363&gt;=55,W363&lt;105),0.23,0)+IF(AND(V363&lt;20,W363&gt;=105),0.17,0)+IF(AND(V363&gt;=20,V363&lt;40,W363&lt;45),0.3,0)+IF(AND(V363&gt;=20,V363&lt;40,W363&gt;=45,W363&lt;95),0.23,0)+IF(AND(V363&gt;=20,V363&lt;40,W363&gt;=95,W363&lt;=200),0.17,0)+IF(AND(V363&gt;=20,V363&lt;40,W363&gt;=200),0.12,0)+IF(AND(V363&gt;=40,V363&lt;75,W363&lt;35),0.3,0)+IF(AND(V363&gt;=40,V363&lt;75,W363&gt;=35,W363&lt;75),0.23,0)+IF(AND(V363&gt;=40,V363&lt;75,W363&gt;=75,W363&lt;120),0.17,0)+IF(AND(V363&gt;=40,V363&lt;75,W363&gt;=120),0.12,0)+IF(AND(V363&gt;=75,V363&lt;175,W363&lt;35),0.3,0)+IF(AND(V363&gt;=75,V363&lt;=175,W363&gt;=35,W363&lt;65),0.23,0)+IF(AND(V363&gt;=75,V363&lt;=175,W363&gt;=65,W363&lt;110),0.17,0)+IF(AND(V363&gt;=75,V363&lt;=175,W363&gt;=110),0.12,0)+IF(AND(V363&gt;175,W363&lt;25),0.3,0)+IF(AND(V363&gt;175,W363&gt;=25,W363&lt;55),0.23,0)+IF(AND(V363&gt;175,W363&gt;=55,W363&lt;95),0.17,0)+IF(AND(V363&gt;175,W363&gt;=95),0.12,0),
IF(AF363="DoEVLo",IF(AND(V363&lt;20,W363&lt;55),0.25,0)+IF(AND(V363&lt;20,W363&gt;=55,W363&lt;105),0.2,0)+IF(AND(V363&lt;20,W363&gt;=105),0.15,0)+IF(AND(V363&gt;=20,V363&lt;40,W363&lt;45),0.25,0)+IF(AND(V363&gt;=20,V363&lt;40,W363&gt;=45,W363&lt;95),0.2,0)+IF(AND(V363&gt;=20,V363&lt;40,W363&gt;=95),0.15,0)+IF(AND(V363&gt;=40,V363&lt;75,W363&lt;35),0.25,0)+IF(AND(V363&gt;=40,V363&lt;75,W363&gt;=35,W363&lt;75),0.2,0)+IF(AND(V363&gt;=40,V363&lt;75,W363&gt;=75,W363&lt;120),0.15,0)+IF(AND(V363&gt;=40,V363&lt;75,W363&gt;=120),0.1,0)+IF(AND(V363&gt;=75,V363&lt;175,W363&lt;35),0.25,0)+IF(AND(V363&gt;=75,V363&lt;=175,W363&gt;=35,W363&lt;65),0.2,0)+IF(AND(V363&gt;=75,V363&lt;=175,W363&gt;=65,W363&lt;110),0.15,0)+IF(AND(V363&gt;=75,V363&lt;=175,W363&gt;=110),0.1,0)+IF(AND(V363&gt;175,W363&lt;25),0.25,0)+IF(AND(V363&gt;175,W363&gt;=25,W363&lt;55),0.2,0)+IF(AND(V363&gt;175,W363&gt;=55,W363&lt;95),0.15,0)+IF(AND(V363&gt;175,W363&gt;=95),0.1,0))))))))))))))))</f>
        <v>0.3</v>
      </c>
      <c r="Y363" s="30">
        <f>IF(AG363="None",0,IF(AG363="Fix5",0.05,IF(AG363="Fix3.75",0.0375,IF(AG363="Fix10",0.1,IF(AG363="Fix3",0.03,0)))))</f>
        <v>0</v>
      </c>
      <c r="Z363" s="35">
        <f>T363-AA363-AB363</f>
        <v>-220.5</v>
      </c>
      <c r="AA363" s="29">
        <f>IF(AD363="EUR",((T363-R363)*X363)*U363+(R363*X363),(T363*X363))</f>
        <v>-94.5</v>
      </c>
      <c r="AB363" s="36">
        <f>IF(AD363="EUR",((T363-R363)*Y363)*U363+(R363*Y363),(T363*Y363))</f>
        <v>0</v>
      </c>
      <c r="AC363" s="37" t="b">
        <v>0</v>
      </c>
      <c r="AD363" s="37" t="s">
        <v>38</v>
      </c>
      <c r="AE363" s="37" t="s">
        <v>38</v>
      </c>
      <c r="AF363" s="37" t="str">
        <f t="array" ref="AF363">INDEX('Deal Info'!D:D, MATCH(A363,'Deal Info'!A:A, 0))</f>
        <v>SF</v>
      </c>
      <c r="AG363" s="38" t="str">
        <f t="array" ref="AG363">INDEX('Deal Info'!G:G, MATCH(A363,'Deal Info'!A:A, 0))</f>
        <v>None</v>
      </c>
    </row>
    <row r="364" spans="1:33" ht="14.25" hidden="1" x14ac:dyDescent="0.2">
      <c r="A364" s="18" t="str">
        <f t="array" ref="A364">IF(G364='Room Info'!$B$1, INDEX('Room Info'!$A$2:$A2446, MATCH(B364,'Room Info'!$B$2:$B2446, 0)),IF(G364='Room Info'!$C$1, INDEX('Room Info'!$A$2:$A2446, MATCH(B364,'Room Info'!$C$2:$C2446, 0)),IF(G364='Room Info'!$D$1, INDEX('Room Info'!$A$2:$A2446, MATCH(B364,'Room Info'!$D$2:$D2446, 0)),IF(G364='Room Info'!$E$1, INDEX('Room Info'!$A$2:$A2446, MATCH(B364,'Room Info'!$E$2:$E2446, 0)),IF(G364='Room Info'!$F$1, INDEX('Room Info'!$A$2:$A2446, MATCH(B364,'Room Info'!$F$2:$F2446, 0)),IF(G364='Room Info'!$H$1, INDEX('Room Info'!$A$2:$A2446, MATCH(B364,'Room Info'!$H$2:$H2446, 0)),IF(G364='Room Info'!$G$1, INDEX('Room Info'!$A$2:$A2446, MATCH(B364,'Room Info'!$G$2:$G2446, 0)))))))))</f>
        <v>Kiss4money99</v>
      </c>
      <c r="B364" s="45" t="s">
        <v>120</v>
      </c>
      <c r="C364" s="46">
        <v>44855</v>
      </c>
      <c r="D364" s="46">
        <v>44885</v>
      </c>
      <c r="E364" s="47">
        <v>44866</v>
      </c>
      <c r="F364" s="48" t="s">
        <v>34</v>
      </c>
      <c r="G364" s="54" t="s">
        <v>35</v>
      </c>
      <c r="H364" s="49" t="s">
        <v>39</v>
      </c>
      <c r="I364" s="49" t="s">
        <v>37</v>
      </c>
      <c r="J364" s="50">
        <v>5</v>
      </c>
      <c r="K364" s="51">
        <v>1</v>
      </c>
      <c r="L364" s="52">
        <v>-5</v>
      </c>
      <c r="M364" s="62"/>
      <c r="N364" s="28">
        <f>K364*J364</f>
        <v>5</v>
      </c>
      <c r="O364" s="54">
        <v>-413</v>
      </c>
      <c r="P364" s="29">
        <v>-413</v>
      </c>
      <c r="Q364" s="55"/>
      <c r="R364" s="31">
        <f>M364+Q364</f>
        <v>0</v>
      </c>
      <c r="S364" s="56">
        <v>-4</v>
      </c>
      <c r="T364" s="32">
        <f>R364+S364+IF(F364="Without EV deal",L364,0)</f>
        <v>-4</v>
      </c>
      <c r="U364" s="57">
        <v>1</v>
      </c>
      <c r="V364" s="69">
        <v>12.72369407648088</v>
      </c>
      <c r="W364" s="58">
        <f>100.05/3</f>
        <v>33.35</v>
      </c>
      <c r="X364" s="30">
        <f>IF(AF364="DoEV",IF(AND(V364&lt;20,W364&lt;55),0.3,0)+IF(AND(V364&lt;20,W364&gt;=55,W364&lt;105),0.23,0)+IF(AND(V364&lt;20,W364&gt;=105),0.17,0)+IF(AND(V364&gt;=20,V364&lt;40,W364&lt;45),0.3,0)+IF(AND(V364&gt;=20,V364&lt;40,W364&gt;=45,W364&lt;95),0.23,0)+IF(AND(V364&gt;=20,V364&lt;40,W364&gt;=95),0.17,0)+IF(AND(V364&gt;=40,V364&lt;75,W364&lt;35),0.3,0)+IF(AND(V364&gt;=40,V364&lt;75,W364&gt;=35,W364&lt;75),0.23,0)+IF(AND(V364&gt;=40,V364&lt;75,W364&gt;=75,W364&lt;120),0.17,0)+IF(AND(V364&gt;=40,V364&lt;75,W364&gt;=120),0.12,0)+IF(AND(V364&gt;=75,V364&lt;175,W364&lt;35),0.3,0)+IF(AND(V364&gt;=75,V364&lt;=175,W364&gt;=35,W364&lt;65),0.23,0)+IF(AND(V364&gt;=75,V364&lt;=175,W364&gt;=65,W364&lt;110),0.17,0)+IF(AND(V364&gt;=75,V364&lt;=175,W364&gt;=110),0.12,0)+IF(AND(V364&gt;175,W364&lt;25),0.3,0)+IF(AND(V364&gt;175,W364&gt;=25,W364&lt;55),0.23,0)+IF(AND(V364&gt;175,W364&gt;=55,W364&lt;95),0.17,0)+IF(AND(V364&gt;175,W364&gt;=95),0.12,0),
IF(AF364="Fix15",0.15,
IF(AF364="Fix11.25",0.1125,
IF(AF364="Fix10",0.1,
IF(AF364="Fix9",0.09,
IF(AF364="DoEV2017",IF(AND(W364&lt;74),0.2,0)+IF(AND(W364&gt;=74),0.17,0),
IF(AF364="SF",IF(AND(V364&lt;20,W364&lt;89),0.3,0)+IF(AND(V364&lt;20,W364&gt;=89),0.25,0)+IF(AND(V364&gt;=20,V364&lt;40,W364&lt;74),0.3,0)+IF(AND(V364&gt;=20,V364&lt;40,W364&gt;=75),0.22,0)+IF(AND(V364&gt;=40,V364&lt;75,W364&lt;75),0.26,0)+IF(AND(V364&gt;=40,V364&lt;75,W364&gt;=75),0.22,0)+IF(V364&gt;=75,0.22,0),
IF(AF364="DoEVold",IF(AND(V364&lt;40,W364&lt;35),0.35,0)+IF(AND(V364&lt;40,W364&gt;=35,W364&lt;75),0.25,0)+IF(AND(V364&lt;40,W364&gt;=75),0.17,0)+IF(AND(V364&gt;=40,V364&lt;75,W364&lt;25),0.35,0)+IF(AND(V364&gt;=40,V364&lt;75,W364&gt;=25,W364&lt;65),0.25,0)+IF(AND(V364&gt;=40,V364&lt;75,W364&gt;=65,W364&lt;100),0.17,0)+IF(AND(V364&gt;=40,V364&lt;75,W364&gt;=100),0.1,0)+IF(AND(V364&gt;=75,W364&lt;25),0.35,0)+IF(AND(V364&gt;=75,W364&gt;=25,W364&lt;60),0.25,0)+IF(AND(V364&gt;=75,W364&gt;=60,W364&lt;95),0.17,0)+IF(AND(V364&gt;=75,W364&gt;=95),0.1,0),
IF(AF364="DoEVold15",IF(AND(V364&lt;=40,W364&lt;35),0.35,0)+IF(AND(V364&lt;=40,W364&gt;=35,W364&lt;75),0.25,0)+IF(AND(V364&lt;=40,W364&gt;=75,W364&lt;120),0.17,0)+IF(AND(V364&lt;=40,W364&gt;=120),0.15,0)+IF(AND(V364&gt;40,V364&lt;75,W364&lt;25),0.35,0)+IF(AND(V364&gt;=40,V364&lt;75,W364&gt;=25,W364&lt;65),0.25,0)+IF(AND(V364&gt;=40,V364&lt;75,W364&gt;=65,W364&lt;100),0.17,0)+IF(AND(V364&gt;=40,V364&lt;75,W364&gt;=100),0.1,0)+IF(AND(V364&gt;=75,W364&lt;25),0.35,0)+IF(AND(V364&gt;=75,W364&gt;=25,W364&lt;60),0.25,0)+IF(AND(V364&gt;=75,W364&gt;=60,W364&lt;95),0.17,0)+IF(AND(V364&gt;=75,W364&gt;=95),0.1,0),
IF(AF364="DoEVba",IF(AND(V364&lt;20,W364&lt;105),0.2,0)+IF(AND(V364&lt;20,W364&gt;=105),0.15,0)+IF(AND(V364&gt;=20,V364&lt;40,W364&lt;95),0.2,0)+IF(AND(V364&gt;=20,V364&lt;40,W364&gt;=95,W364&lt;150),0.15,0)+IF(AND(V364&gt;=20,V364&lt;40,W364&gt;=150),0.12,0)+IF(AND(V364&gt;=40,V364&lt;75,W364&lt;75),0.2,0)+IF(AND(V364&gt;=40,V364&lt;75,W364&gt;=75,W364&lt;120),0.15,0)+IF(AND(V364&gt;=40,V364&lt;75,W364&gt;=120),0.12,0)+IF(AND(V364&gt;=75,V364&lt;175,W364&lt;65),0.2,0)+IF(AND(V364&gt;=75,V364&lt;175,W364&gt;=65,W364&lt;110),0.15,0)+IF(AND(V364&gt;=75,V364&lt;175,W364&gt;=110),0.12,0)+IF(AND(V364&gt;=175,W364&lt;55),0.2,0)+IF(AND(V364&gt;=175,W364&gt;=55,W364&lt;95),0.15,0)+IF(AND(V364&gt;=175,W364&gt;=95),0.12,0),
IF(AF364="DoEVku",IF(AND(V364&lt;20,W364&lt;55),0.23,0)+IF(AND(V364&lt;20,W364&gt;=55,W364&lt;105),0.2,0)+IF(AND(V364&lt;20,W364&gt;=105),0.17,0)+IF(AND(V364&gt;=20,V364&lt;40,W364&lt;45),0.23,0)+IF(AND(V364&gt;=20,V364&lt;40,W364&gt;=45,W364&lt;95),0.2,0)+IF(AND(V364&gt;=20,V364&lt;40,W364&gt;=95,W364&lt;=150),0.17,0)+IF(AND(V364&gt;=20,V364&lt;40,W364&gt;=150),0.12,0)+IF(AND(V364&gt;=40,V364&lt;75,W364&lt;35),0.23,0)+IF(AND(V364&gt;=40,V364&lt;75,W364&gt;=35,W364&lt;75),0.2,0)+IF(AND(V364&gt;=40,V364&lt;75,W364&gt;=75,W364&lt;120),0.17,0)+IF(AND(V364&gt;=40,V364&lt;75,W364&gt;=120),0.12,0)+IF(AND(V364&gt;=75,V364&lt;175,W364&lt;35),0.23,0)+IF(AND(V364&gt;=75,V364&lt;=175,W364&gt;=35,W364&lt;65),0.2,0)+IF(AND(V364&gt;=75,V364&lt;=175,W364&gt;=65,W364&lt;110),0.17,0)+IF(AND(V364&gt;=75,V364&lt;=175,W364&gt;=110),0.12,0)+IF(AND(V364&gt;175,W364&lt;25),0.23,0)+IF(AND(V364&gt;175,W364&gt;=25,W364&lt;55),0.2,0)+IF(AND(V364&gt;175,W364&gt;=55,W364&lt;95),0.17,0)+IF(AND(V364&gt;175,W364&gt;=95),0.12,0),
IF(AF364="DoEVs1",IF(AND(V364&lt;20,W364&lt;55),0.3,0)+IF(AND(V364&lt;20,W364&gt;=55,W364&lt;105),0.23,0)+IF(AND(V364&lt;20,W364&gt;=105),0.17,0)+IF(AND(V364&gt;=20,V364&lt;40,W364&lt;45),0.3,0)+IF(AND(V364&gt;=20,V364&lt;40,W364&gt;=45,W364&lt;95),0.23,0)+IF(AND(V364&gt;=20,V364&lt;40,W364&gt;=95,W364&lt;=150),0.17,0)+IF(AND(V364&gt;=20,V364&lt;40,W364&gt;=150),0.12,0)+IF(AND(V364&gt;=40,V364&lt;75,W364&lt;35),0.3,0)+IF(AND(V364&gt;=40,V364&lt;75,W364&gt;=35,W364&lt;75),0.23,0)+IF(AND(V364&gt;=40,V364&lt;75,W364&gt;=75,W364&lt;120),0.17,0)+IF(AND(V364&gt;=40,V364&lt;75,W364&gt;=120),0.12,0)+IF(AND(V364&gt;=75,V364&lt;175,W364&lt;35),0.3,0)+IF(AND(V364&gt;=75,V364&lt;=175,W364&gt;=35,W364&lt;65),0.23,0)+IF(AND(V364&gt;=75,V364&lt;=175,W364&gt;=65,W364&lt;110),0.17,0)+IF(AND(V364&gt;=75,V364&lt;=175,W364&gt;=110),0.12,0)+IF(AND(V364&gt;175,W364&lt;25),0.3,0)+IF(AND(V364&gt;175,W364&gt;=25,W364&lt;55),0.23,0)+IF(AND(V364&gt;175,W364&gt;=55,W364&lt;95),0.17,0)+IF(AND(V364&gt;175,W364&gt;=95),0.12,0),
IF(AF364="DoEVsu",IF(AND(V364&lt;20,W364&lt;55),0.3,0)+IF(AND(V364&lt;20,W364&gt;=55,W364&lt;105),0.23,0)+IF(AND(V364&lt;20,W364&gt;=105),0.17,0)+IF(AND(V364&gt;=20,V364&lt;40,W364&lt;45),0.3,0)+IF(AND(V364&gt;=20,V364&lt;40,W364&gt;=45,W364&lt;95),0.23,0)+IF(AND(V364&gt;=20,V364&lt;40,W364&gt;=95,W364&lt;=250),0.17,0)+IF(AND(V364&gt;=20,V364&lt;40,W364&gt;=250),0.12,0)+IF(AND(V364&gt;=40,V364&lt;75,W364&lt;35),0.3,0)+IF(AND(V364&gt;=40,V364&lt;75,W364&gt;=35,W364&lt;75),0.23,0)+IF(AND(V364&gt;=40,V364&lt;75,W364&gt;=75,W364&lt;120),0.17,0)+IF(AND(V364&gt;=40,V364&lt;75,W364&gt;=120),0.12,0)+IF(AND(V364&gt;=75,V364&lt;175,W364&lt;35),0.3,0)+IF(AND(V364&gt;=75,V364&lt;=175,W364&gt;=35,W364&lt;65),0.23,0)+IF(AND(V364&gt;=75,V364&lt;=175,W364&gt;=65,W364&lt;110),0.17,0)+IF(AND(V364&gt;=75,V364&lt;=175,W364&gt;=110),0.12,0)+IF(AND(V364&gt;175,W364&lt;25),0.3,0)+IF(AND(V364&gt;175,W364&gt;=25,W364&lt;55),0.23,0)+IF(AND(V364&gt;175,W364&gt;=55,W364&lt;95),0.17,0)+IF(AND(V364&gt;175,W364&gt;=95),0.12,0),
IF(AF364="DoEVni",IF(AND(V364&lt;20,W364&lt;55),0.3,0)+IF(AND(V364&lt;20,W364&gt;=55,W364&lt;105),0.23,0)+IF(AND(V364&lt;20,W364&gt;=105),0.17,0)+IF(AND(V364&gt;=20,V364&lt;40,W364&lt;45),0.3,0)+IF(AND(V364&gt;=20,V364&lt;40,W364&gt;=45,W364&lt;95),0.23,0)+IF(AND(V364&gt;=20,V364&lt;40,W364&gt;=95,W364&lt;=200),0.17,0)+IF(AND(V364&gt;=20,V364&lt;40,W364&gt;=200),0.12,0)+IF(AND(V364&gt;=40,V364&lt;75,W364&lt;35),0.3,0)+IF(AND(V364&gt;=40,V364&lt;75,W364&gt;=35,W364&lt;75),0.23,0)+IF(AND(V364&gt;=40,V364&lt;75,W364&gt;=75,W364&lt;120),0.17,0)+IF(AND(V364&gt;=40,V364&lt;75,W364&gt;=120),0.12,0)+IF(AND(V364&gt;=75,V364&lt;175,W364&lt;35),0.3,0)+IF(AND(V364&gt;=75,V364&lt;=175,W364&gt;=35,W364&lt;65),0.23,0)+IF(AND(V364&gt;=75,V364&lt;=175,W364&gt;=65,W364&lt;110),0.17,0)+IF(AND(V364&gt;=75,V364&lt;=175,W364&gt;=110),0.12,0)+IF(AND(V364&gt;175,W364&lt;25),0.3,0)+IF(AND(V364&gt;175,W364&gt;=25,W364&lt;55),0.23,0)+IF(AND(V364&gt;175,W364&gt;=55,W364&lt;95),0.17,0)+IF(AND(V364&gt;175,W364&gt;=95),0.12,0),
IF(AF364="DoEVLo",IF(AND(V364&lt;20,W364&lt;55),0.25,0)+IF(AND(V364&lt;20,W364&gt;=55,W364&lt;105),0.2,0)+IF(AND(V364&lt;20,W364&gt;=105),0.15,0)+IF(AND(V364&gt;=20,V364&lt;40,W364&lt;45),0.25,0)+IF(AND(V364&gt;=20,V364&lt;40,W364&gt;=45,W364&lt;95),0.2,0)+IF(AND(V364&gt;=20,V364&lt;40,W364&gt;=95),0.15,0)+IF(AND(V364&gt;=40,V364&lt;75,W364&lt;35),0.25,0)+IF(AND(V364&gt;=40,V364&lt;75,W364&gt;=35,W364&lt;75),0.2,0)+IF(AND(V364&gt;=40,V364&lt;75,W364&gt;=75,W364&lt;120),0.15,0)+IF(AND(V364&gt;=40,V364&lt;75,W364&gt;=120),0.1,0)+IF(AND(V364&gt;=75,V364&lt;175,W364&lt;35),0.25,0)+IF(AND(V364&gt;=75,V364&lt;=175,W364&gt;=35,W364&lt;65),0.2,0)+IF(AND(V364&gt;=75,V364&lt;=175,W364&gt;=65,W364&lt;110),0.15,0)+IF(AND(V364&gt;=75,V364&lt;=175,W364&gt;=110),0.1,0)+IF(AND(V364&gt;175,W364&lt;25),0.25,0)+IF(AND(V364&gt;175,W364&gt;=25,W364&lt;55),0.2,0)+IF(AND(V364&gt;175,W364&gt;=55,W364&lt;95),0.15,0)+IF(AND(V364&gt;175,W364&gt;=95),0.1,0))))))))))))))))</f>
        <v>0.3</v>
      </c>
      <c r="Y364" s="30">
        <f>IF(AG364="None",0,IF(AG364="Fix5",0.05,IF(AG364="Fix3.75",0.0375,IF(AG364="Fix10",0.1,IF(AG364="Fix3",0.03,0)))))</f>
        <v>0</v>
      </c>
      <c r="Z364" s="35">
        <f>T364-AA364-AB364</f>
        <v>-2.8</v>
      </c>
      <c r="AA364" s="29">
        <f>IF(AD364="EUR",((T364-R364)*X364)*U364+(R364*X364),(T364*X364))</f>
        <v>-1.2</v>
      </c>
      <c r="AB364" s="36">
        <f>IF(AD364="EUR",((T364-R364)*Y364)*U364+(R364*Y364),(T364*Y364))</f>
        <v>0</v>
      </c>
      <c r="AC364" s="37" t="b">
        <v>1</v>
      </c>
      <c r="AD364" s="37" t="s">
        <v>38</v>
      </c>
      <c r="AE364" s="37" t="s">
        <v>38</v>
      </c>
      <c r="AF364" s="37" t="str">
        <f t="array" ref="AF364">INDEX('Deal Info'!D:D, MATCH(A364,'Deal Info'!A:A, 0))</f>
        <v>SF</v>
      </c>
      <c r="AG364" s="38" t="str">
        <f t="array" ref="AG364">INDEX('Deal Info'!G:G, MATCH(A364,'Deal Info'!A:A, 0))</f>
        <v>None</v>
      </c>
    </row>
    <row r="365" spans="1:33" ht="14.25" hidden="1" x14ac:dyDescent="0.2">
      <c r="A365" s="18" t="str">
        <f t="array" ref="A365">IF(G365='Room Info'!$B$1, INDEX('Room Info'!$A$2:$A2446, MATCH(B365,'Room Info'!$B$2:$B2446, 0)),IF(G365='Room Info'!$C$1, INDEX('Room Info'!$A$2:$A2446, MATCH(B365,'Room Info'!$C$2:$C2446, 0)),IF(G365='Room Info'!$D$1, INDEX('Room Info'!$A$2:$A2446, MATCH(B365,'Room Info'!$D$2:$D2446, 0)),IF(G365='Room Info'!$E$1, INDEX('Room Info'!$A$2:$A2446, MATCH(B365,'Room Info'!$E$2:$E2446, 0)),IF(G365='Room Info'!$F$1, INDEX('Room Info'!$A$2:$A2446, MATCH(B365,'Room Info'!$F$2:$F2446, 0)),IF(G365='Room Info'!$H$1, INDEX('Room Info'!$A$2:$A2446, MATCH(B365,'Room Info'!$H$2:$H2446, 0)),IF(G365='Room Info'!$G$1, INDEX('Room Info'!$A$2:$A2446, MATCH(B365,'Room Info'!$G$2:$G2446, 0)))))))))</f>
        <v>Kiss4money99</v>
      </c>
      <c r="B365" s="45" t="s">
        <v>120</v>
      </c>
      <c r="C365" s="46">
        <v>44855</v>
      </c>
      <c r="D365" s="46">
        <v>44885</v>
      </c>
      <c r="E365" s="47">
        <v>44866</v>
      </c>
      <c r="F365" s="48" t="s">
        <v>34</v>
      </c>
      <c r="G365" s="45" t="s">
        <v>35</v>
      </c>
      <c r="H365" s="49" t="s">
        <v>40</v>
      </c>
      <c r="I365" s="49" t="s">
        <v>37</v>
      </c>
      <c r="J365" s="50">
        <v>10</v>
      </c>
      <c r="K365" s="51">
        <v>3717</v>
      </c>
      <c r="L365" s="52">
        <v>120</v>
      </c>
      <c r="M365" s="53">
        <v>1551</v>
      </c>
      <c r="N365" s="28">
        <f>K365*J365</f>
        <v>37170</v>
      </c>
      <c r="O365" s="54">
        <v>88940</v>
      </c>
      <c r="P365" s="29">
        <v>23.927898840000001</v>
      </c>
      <c r="Q365" s="55"/>
      <c r="R365" s="31">
        <f>M365+Q365</f>
        <v>1551</v>
      </c>
      <c r="S365" s="56">
        <v>-1176</v>
      </c>
      <c r="T365" s="32">
        <f>R365+S365+IF(F365="Without EV deal",L365,0)</f>
        <v>375</v>
      </c>
      <c r="U365" s="57">
        <v>1</v>
      </c>
      <c r="V365" s="69">
        <v>12.72369407648088</v>
      </c>
      <c r="W365" s="58">
        <f>100.05/3</f>
        <v>33.35</v>
      </c>
      <c r="X365" s="30">
        <f>IF(AF365="DoEV",IF(AND(V365&lt;20,W365&lt;55),0.3,0)+IF(AND(V365&lt;20,W365&gt;=55,W365&lt;105),0.23,0)+IF(AND(V365&lt;20,W365&gt;=105),0.17,0)+IF(AND(V365&gt;=20,V365&lt;40,W365&lt;45),0.3,0)+IF(AND(V365&gt;=20,V365&lt;40,W365&gt;=45,W365&lt;95),0.23,0)+IF(AND(V365&gt;=20,V365&lt;40,W365&gt;=95),0.17,0)+IF(AND(V365&gt;=40,V365&lt;75,W365&lt;35),0.3,0)+IF(AND(V365&gt;=40,V365&lt;75,W365&gt;=35,W365&lt;75),0.23,0)+IF(AND(V365&gt;=40,V365&lt;75,W365&gt;=75,W365&lt;120),0.17,0)+IF(AND(V365&gt;=40,V365&lt;75,W365&gt;=120),0.12,0)+IF(AND(V365&gt;=75,V365&lt;175,W365&lt;35),0.3,0)+IF(AND(V365&gt;=75,V365&lt;=175,W365&gt;=35,W365&lt;65),0.23,0)+IF(AND(V365&gt;=75,V365&lt;=175,W365&gt;=65,W365&lt;110),0.17,0)+IF(AND(V365&gt;=75,V365&lt;=175,W365&gt;=110),0.12,0)+IF(AND(V365&gt;175,W365&lt;25),0.3,0)+IF(AND(V365&gt;175,W365&gt;=25,W365&lt;55),0.23,0)+IF(AND(V365&gt;175,W365&gt;=55,W365&lt;95),0.17,0)+IF(AND(V365&gt;175,W365&gt;=95),0.12,0),
IF(AF365="Fix15",0.15,
IF(AF365="Fix11.25",0.1125,
IF(AF365="Fix10",0.1,
IF(AF365="Fix9",0.09,
IF(AF365="DoEV2017",IF(AND(W365&lt;74),0.2,0)+IF(AND(W365&gt;=74),0.17,0),
IF(AF365="SF",IF(AND(V365&lt;20,W365&lt;89),0.3,0)+IF(AND(V365&lt;20,W365&gt;=89),0.25,0)+IF(AND(V365&gt;=20,V365&lt;40,W365&lt;74),0.3,0)+IF(AND(V365&gt;=20,V365&lt;40,W365&gt;=75),0.22,0)+IF(AND(V365&gt;=40,V365&lt;75,W365&lt;75),0.26,0)+IF(AND(V365&gt;=40,V365&lt;75,W365&gt;=75),0.22,0)+IF(V365&gt;=75,0.22,0),
IF(AF365="DoEVold",IF(AND(V365&lt;40,W365&lt;35),0.35,0)+IF(AND(V365&lt;40,W365&gt;=35,W365&lt;75),0.25,0)+IF(AND(V365&lt;40,W365&gt;=75),0.17,0)+IF(AND(V365&gt;=40,V365&lt;75,W365&lt;25),0.35,0)+IF(AND(V365&gt;=40,V365&lt;75,W365&gt;=25,W365&lt;65),0.25,0)+IF(AND(V365&gt;=40,V365&lt;75,W365&gt;=65,W365&lt;100),0.17,0)+IF(AND(V365&gt;=40,V365&lt;75,W365&gt;=100),0.1,0)+IF(AND(V365&gt;=75,W365&lt;25),0.35,0)+IF(AND(V365&gt;=75,W365&gt;=25,W365&lt;60),0.25,0)+IF(AND(V365&gt;=75,W365&gt;=60,W365&lt;95),0.17,0)+IF(AND(V365&gt;=75,W365&gt;=95),0.1,0),
IF(AF365="DoEVold15",IF(AND(V365&lt;=40,W365&lt;35),0.35,0)+IF(AND(V365&lt;=40,W365&gt;=35,W365&lt;75),0.25,0)+IF(AND(V365&lt;=40,W365&gt;=75,W365&lt;120),0.17,0)+IF(AND(V365&lt;=40,W365&gt;=120),0.15,0)+IF(AND(V365&gt;40,V365&lt;75,W365&lt;25),0.35,0)+IF(AND(V365&gt;=40,V365&lt;75,W365&gt;=25,W365&lt;65),0.25,0)+IF(AND(V365&gt;=40,V365&lt;75,W365&gt;=65,W365&lt;100),0.17,0)+IF(AND(V365&gt;=40,V365&lt;75,W365&gt;=100),0.1,0)+IF(AND(V365&gt;=75,W365&lt;25),0.35,0)+IF(AND(V365&gt;=75,W365&gt;=25,W365&lt;60),0.25,0)+IF(AND(V365&gt;=75,W365&gt;=60,W365&lt;95),0.17,0)+IF(AND(V365&gt;=75,W365&gt;=95),0.1,0),
IF(AF365="DoEVba",IF(AND(V365&lt;20,W365&lt;105),0.2,0)+IF(AND(V365&lt;20,W365&gt;=105),0.15,0)+IF(AND(V365&gt;=20,V365&lt;40,W365&lt;95),0.2,0)+IF(AND(V365&gt;=20,V365&lt;40,W365&gt;=95,W365&lt;150),0.15,0)+IF(AND(V365&gt;=20,V365&lt;40,W365&gt;=150),0.12,0)+IF(AND(V365&gt;=40,V365&lt;75,W365&lt;75),0.2,0)+IF(AND(V365&gt;=40,V365&lt;75,W365&gt;=75,W365&lt;120),0.15,0)+IF(AND(V365&gt;=40,V365&lt;75,W365&gt;=120),0.12,0)+IF(AND(V365&gt;=75,V365&lt;175,W365&lt;65),0.2,0)+IF(AND(V365&gt;=75,V365&lt;175,W365&gt;=65,W365&lt;110),0.15,0)+IF(AND(V365&gt;=75,V365&lt;175,W365&gt;=110),0.12,0)+IF(AND(V365&gt;=175,W365&lt;55),0.2,0)+IF(AND(V365&gt;=175,W365&gt;=55,W365&lt;95),0.15,0)+IF(AND(V365&gt;=175,W365&gt;=95),0.12,0),
IF(AF365="DoEVku",IF(AND(V365&lt;20,W365&lt;55),0.23,0)+IF(AND(V365&lt;20,W365&gt;=55,W365&lt;105),0.2,0)+IF(AND(V365&lt;20,W365&gt;=105),0.17,0)+IF(AND(V365&gt;=20,V365&lt;40,W365&lt;45),0.23,0)+IF(AND(V365&gt;=20,V365&lt;40,W365&gt;=45,W365&lt;95),0.2,0)+IF(AND(V365&gt;=20,V365&lt;40,W365&gt;=95,W365&lt;=150),0.17,0)+IF(AND(V365&gt;=20,V365&lt;40,W365&gt;=150),0.12,0)+IF(AND(V365&gt;=40,V365&lt;75,W365&lt;35),0.23,0)+IF(AND(V365&gt;=40,V365&lt;75,W365&gt;=35,W365&lt;75),0.2,0)+IF(AND(V365&gt;=40,V365&lt;75,W365&gt;=75,W365&lt;120),0.17,0)+IF(AND(V365&gt;=40,V365&lt;75,W365&gt;=120),0.12,0)+IF(AND(V365&gt;=75,V365&lt;175,W365&lt;35),0.23,0)+IF(AND(V365&gt;=75,V365&lt;=175,W365&gt;=35,W365&lt;65),0.2,0)+IF(AND(V365&gt;=75,V365&lt;=175,W365&gt;=65,W365&lt;110),0.17,0)+IF(AND(V365&gt;=75,V365&lt;=175,W365&gt;=110),0.12,0)+IF(AND(V365&gt;175,W365&lt;25),0.23,0)+IF(AND(V365&gt;175,W365&gt;=25,W365&lt;55),0.2,0)+IF(AND(V365&gt;175,W365&gt;=55,W365&lt;95),0.17,0)+IF(AND(V365&gt;175,W365&gt;=95),0.12,0),
IF(AF365="DoEVs1",IF(AND(V365&lt;20,W365&lt;55),0.3,0)+IF(AND(V365&lt;20,W365&gt;=55,W365&lt;105),0.23,0)+IF(AND(V365&lt;20,W365&gt;=105),0.17,0)+IF(AND(V365&gt;=20,V365&lt;40,W365&lt;45),0.3,0)+IF(AND(V365&gt;=20,V365&lt;40,W365&gt;=45,W365&lt;95),0.23,0)+IF(AND(V365&gt;=20,V365&lt;40,W365&gt;=95,W365&lt;=150),0.17,0)+IF(AND(V365&gt;=20,V365&lt;40,W365&gt;=150),0.12,0)+IF(AND(V365&gt;=40,V365&lt;75,W365&lt;35),0.3,0)+IF(AND(V365&gt;=40,V365&lt;75,W365&gt;=35,W365&lt;75),0.23,0)+IF(AND(V365&gt;=40,V365&lt;75,W365&gt;=75,W365&lt;120),0.17,0)+IF(AND(V365&gt;=40,V365&lt;75,W365&gt;=120),0.12,0)+IF(AND(V365&gt;=75,V365&lt;175,W365&lt;35),0.3,0)+IF(AND(V365&gt;=75,V365&lt;=175,W365&gt;=35,W365&lt;65),0.23,0)+IF(AND(V365&gt;=75,V365&lt;=175,W365&gt;=65,W365&lt;110),0.17,0)+IF(AND(V365&gt;=75,V365&lt;=175,W365&gt;=110),0.12,0)+IF(AND(V365&gt;175,W365&lt;25),0.3,0)+IF(AND(V365&gt;175,W365&gt;=25,W365&lt;55),0.23,0)+IF(AND(V365&gt;175,W365&gt;=55,W365&lt;95),0.17,0)+IF(AND(V365&gt;175,W365&gt;=95),0.12,0),
IF(AF365="DoEVsu",IF(AND(V365&lt;20,W365&lt;55),0.3,0)+IF(AND(V365&lt;20,W365&gt;=55,W365&lt;105),0.23,0)+IF(AND(V365&lt;20,W365&gt;=105),0.17,0)+IF(AND(V365&gt;=20,V365&lt;40,W365&lt;45),0.3,0)+IF(AND(V365&gt;=20,V365&lt;40,W365&gt;=45,W365&lt;95),0.23,0)+IF(AND(V365&gt;=20,V365&lt;40,W365&gt;=95,W365&lt;=250),0.17,0)+IF(AND(V365&gt;=20,V365&lt;40,W365&gt;=250),0.12,0)+IF(AND(V365&gt;=40,V365&lt;75,W365&lt;35),0.3,0)+IF(AND(V365&gt;=40,V365&lt;75,W365&gt;=35,W365&lt;75),0.23,0)+IF(AND(V365&gt;=40,V365&lt;75,W365&gt;=75,W365&lt;120),0.17,0)+IF(AND(V365&gt;=40,V365&lt;75,W365&gt;=120),0.12,0)+IF(AND(V365&gt;=75,V365&lt;175,W365&lt;35),0.3,0)+IF(AND(V365&gt;=75,V365&lt;=175,W365&gt;=35,W365&lt;65),0.23,0)+IF(AND(V365&gt;=75,V365&lt;=175,W365&gt;=65,W365&lt;110),0.17,0)+IF(AND(V365&gt;=75,V365&lt;=175,W365&gt;=110),0.12,0)+IF(AND(V365&gt;175,W365&lt;25),0.3,0)+IF(AND(V365&gt;175,W365&gt;=25,W365&lt;55),0.23,0)+IF(AND(V365&gt;175,W365&gt;=55,W365&lt;95),0.17,0)+IF(AND(V365&gt;175,W365&gt;=95),0.12,0),
IF(AF365="DoEVni",IF(AND(V365&lt;20,W365&lt;55),0.3,0)+IF(AND(V365&lt;20,W365&gt;=55,W365&lt;105),0.23,0)+IF(AND(V365&lt;20,W365&gt;=105),0.17,0)+IF(AND(V365&gt;=20,V365&lt;40,W365&lt;45),0.3,0)+IF(AND(V365&gt;=20,V365&lt;40,W365&gt;=45,W365&lt;95),0.23,0)+IF(AND(V365&gt;=20,V365&lt;40,W365&gt;=95,W365&lt;=200),0.17,0)+IF(AND(V365&gt;=20,V365&lt;40,W365&gt;=200),0.12,0)+IF(AND(V365&gt;=40,V365&lt;75,W365&lt;35),0.3,0)+IF(AND(V365&gt;=40,V365&lt;75,W365&gt;=35,W365&lt;75),0.23,0)+IF(AND(V365&gt;=40,V365&lt;75,W365&gt;=75,W365&lt;120),0.17,0)+IF(AND(V365&gt;=40,V365&lt;75,W365&gt;=120),0.12,0)+IF(AND(V365&gt;=75,V365&lt;175,W365&lt;35),0.3,0)+IF(AND(V365&gt;=75,V365&lt;=175,W365&gt;=35,W365&lt;65),0.23,0)+IF(AND(V365&gt;=75,V365&lt;=175,W365&gt;=65,W365&lt;110),0.17,0)+IF(AND(V365&gt;=75,V365&lt;=175,W365&gt;=110),0.12,0)+IF(AND(V365&gt;175,W365&lt;25),0.3,0)+IF(AND(V365&gt;175,W365&gt;=25,W365&lt;55),0.23,0)+IF(AND(V365&gt;175,W365&gt;=55,W365&lt;95),0.17,0)+IF(AND(V365&gt;175,W365&gt;=95),0.12,0),
IF(AF365="DoEVLo",IF(AND(V365&lt;20,W365&lt;55),0.25,0)+IF(AND(V365&lt;20,W365&gt;=55,W365&lt;105),0.2,0)+IF(AND(V365&lt;20,W365&gt;=105),0.15,0)+IF(AND(V365&gt;=20,V365&lt;40,W365&lt;45),0.25,0)+IF(AND(V365&gt;=20,V365&lt;40,W365&gt;=45,W365&lt;95),0.2,0)+IF(AND(V365&gt;=20,V365&lt;40,W365&gt;=95),0.15,0)+IF(AND(V365&gt;=40,V365&lt;75,W365&lt;35),0.25,0)+IF(AND(V365&gt;=40,V365&lt;75,W365&gt;=35,W365&lt;75),0.2,0)+IF(AND(V365&gt;=40,V365&lt;75,W365&gt;=75,W365&lt;120),0.15,0)+IF(AND(V365&gt;=40,V365&lt;75,W365&gt;=120),0.1,0)+IF(AND(V365&gt;=75,V365&lt;175,W365&lt;35),0.25,0)+IF(AND(V365&gt;=75,V365&lt;=175,W365&gt;=35,W365&lt;65),0.2,0)+IF(AND(V365&gt;=75,V365&lt;=175,W365&gt;=65,W365&lt;110),0.15,0)+IF(AND(V365&gt;=75,V365&lt;=175,W365&gt;=110),0.1,0)+IF(AND(V365&gt;175,W365&lt;25),0.25,0)+IF(AND(V365&gt;175,W365&gt;=25,W365&lt;55),0.2,0)+IF(AND(V365&gt;175,W365&gt;=55,W365&lt;95),0.15,0)+IF(AND(V365&gt;175,W365&gt;=95),0.1,0))))))))))))))))</f>
        <v>0.3</v>
      </c>
      <c r="Y365" s="30">
        <f>IF(AG365="None",0,IF(AG365="Fix5",0.05,IF(AG365="Fix3.75",0.0375,IF(AG365="Fix10",0.1,IF(AG365="Fix3",0.03,0)))))</f>
        <v>0</v>
      </c>
      <c r="Z365" s="35">
        <f>T365-AA365-AB365</f>
        <v>262.5</v>
      </c>
      <c r="AA365" s="29">
        <f>IF(AD365="EUR",((T365-R365)*X365)*U365+(R365*X365),(T365*X365))</f>
        <v>112.5</v>
      </c>
      <c r="AB365" s="36">
        <f>IF(AD365="EUR",((T365-R365)*Y365)*U365+(R365*Y365),(T365*Y365))</f>
        <v>0</v>
      </c>
      <c r="AC365" s="37" t="b">
        <v>1</v>
      </c>
      <c r="AD365" s="37" t="s">
        <v>38</v>
      </c>
      <c r="AE365" s="37" t="s">
        <v>38</v>
      </c>
      <c r="AF365" s="37" t="str">
        <f t="array" ref="AF365">INDEX('Deal Info'!D:D, MATCH(A365,'Deal Info'!A:A, 0))</f>
        <v>SF</v>
      </c>
      <c r="AG365" s="38" t="str">
        <f t="array" ref="AG365">INDEX('Deal Info'!G:G, MATCH(A365,'Deal Info'!A:A, 0))</f>
        <v>None</v>
      </c>
    </row>
    <row r="366" spans="1:33" ht="14.25" hidden="1" x14ac:dyDescent="0.2">
      <c r="A366" s="18" t="str">
        <f t="array" ref="A366">IF(G366='Room Info'!$B$1, INDEX('Room Info'!$A$2:$A2446, MATCH(B366,'Room Info'!$B$2:$B2446, 0)),IF(G366='Room Info'!$C$1, INDEX('Room Info'!$A$2:$A2446, MATCH(B366,'Room Info'!$C$2:$C2446, 0)),IF(G366='Room Info'!$D$1, INDEX('Room Info'!$A$2:$A2446, MATCH(B366,'Room Info'!$D$2:$D2446, 0)),IF(G366='Room Info'!$E$1, INDEX('Room Info'!$A$2:$A2446, MATCH(B366,'Room Info'!$E$2:$E2446, 0)),IF(G366='Room Info'!$F$1, INDEX('Room Info'!$A$2:$A2446, MATCH(B366,'Room Info'!$F$2:$F2446, 0)),IF(G366='Room Info'!$H$1, INDEX('Room Info'!$A$2:$A2446, MATCH(B366,'Room Info'!$H$2:$H2446, 0)),IF(G366='Room Info'!$G$1, INDEX('Room Info'!$A$2:$A2446, MATCH(B366,'Room Info'!$G$2:$G2446, 0)))))))))</f>
        <v>Kiss4money99</v>
      </c>
      <c r="B366" s="45" t="s">
        <v>120</v>
      </c>
      <c r="C366" s="46">
        <v>44855</v>
      </c>
      <c r="D366" s="46">
        <v>44885</v>
      </c>
      <c r="E366" s="47">
        <v>44866</v>
      </c>
      <c r="F366" s="48" t="s">
        <v>34</v>
      </c>
      <c r="G366" s="54" t="s">
        <v>35</v>
      </c>
      <c r="H366" s="49" t="s">
        <v>46</v>
      </c>
      <c r="I366" s="49" t="s">
        <v>37</v>
      </c>
      <c r="J366" s="50">
        <v>25</v>
      </c>
      <c r="K366" s="51">
        <v>261</v>
      </c>
      <c r="L366" s="52">
        <v>-1325</v>
      </c>
      <c r="M366" s="53">
        <v>234</v>
      </c>
      <c r="N366" s="28">
        <f>K366*J366</f>
        <v>6525</v>
      </c>
      <c r="O366" s="54">
        <v>-3702</v>
      </c>
      <c r="P366" s="29">
        <v>-14.183908049999999</v>
      </c>
      <c r="Q366" s="55"/>
      <c r="R366" s="31">
        <f>M366+Q366</f>
        <v>234</v>
      </c>
      <c r="S366" s="56">
        <v>-599</v>
      </c>
      <c r="T366" s="32">
        <f>R366+S366+IF(F366="Without EV deal",L366,0)</f>
        <v>-365</v>
      </c>
      <c r="U366" s="57">
        <v>1</v>
      </c>
      <c r="V366" s="69">
        <v>12.72369407648088</v>
      </c>
      <c r="W366" s="58">
        <f>100.05/3</f>
        <v>33.35</v>
      </c>
      <c r="X366" s="30">
        <f>IF(AF366="DoEV",IF(AND(V366&lt;20,W366&lt;55),0.3,0)+IF(AND(V366&lt;20,W366&gt;=55,W366&lt;105),0.23,0)+IF(AND(V366&lt;20,W366&gt;=105),0.17,0)+IF(AND(V366&gt;=20,V366&lt;40,W366&lt;45),0.3,0)+IF(AND(V366&gt;=20,V366&lt;40,W366&gt;=45,W366&lt;95),0.23,0)+IF(AND(V366&gt;=20,V366&lt;40,W366&gt;=95),0.17,0)+IF(AND(V366&gt;=40,V366&lt;75,W366&lt;35),0.3,0)+IF(AND(V366&gt;=40,V366&lt;75,W366&gt;=35,W366&lt;75),0.23,0)+IF(AND(V366&gt;=40,V366&lt;75,W366&gt;=75,W366&lt;120),0.17,0)+IF(AND(V366&gt;=40,V366&lt;75,W366&gt;=120),0.12,0)+IF(AND(V366&gt;=75,V366&lt;175,W366&lt;35),0.3,0)+IF(AND(V366&gt;=75,V366&lt;=175,W366&gt;=35,W366&lt;65),0.23,0)+IF(AND(V366&gt;=75,V366&lt;=175,W366&gt;=65,W366&lt;110),0.17,0)+IF(AND(V366&gt;=75,V366&lt;=175,W366&gt;=110),0.12,0)+IF(AND(V366&gt;175,W366&lt;25),0.3,0)+IF(AND(V366&gt;175,W366&gt;=25,W366&lt;55),0.23,0)+IF(AND(V366&gt;175,W366&gt;=55,W366&lt;95),0.17,0)+IF(AND(V366&gt;175,W366&gt;=95),0.12,0),
IF(AF366="Fix15",0.15,
IF(AF366="Fix11.25",0.1125,
IF(AF366="Fix10",0.1,
IF(AF366="Fix9",0.09,
IF(AF366="DoEV2017",IF(AND(W366&lt;74),0.2,0)+IF(AND(W366&gt;=74),0.17,0),
IF(AF366="SF",IF(AND(V366&lt;20,W366&lt;89),0.3,0)+IF(AND(V366&lt;20,W366&gt;=89),0.25,0)+IF(AND(V366&gt;=20,V366&lt;40,W366&lt;74),0.3,0)+IF(AND(V366&gt;=20,V366&lt;40,W366&gt;=75),0.22,0)+IF(AND(V366&gt;=40,V366&lt;75,W366&lt;75),0.26,0)+IF(AND(V366&gt;=40,V366&lt;75,W366&gt;=75),0.22,0)+IF(V366&gt;=75,0.22,0),
IF(AF366="DoEVold",IF(AND(V366&lt;40,W366&lt;35),0.35,0)+IF(AND(V366&lt;40,W366&gt;=35,W366&lt;75),0.25,0)+IF(AND(V366&lt;40,W366&gt;=75),0.17,0)+IF(AND(V366&gt;=40,V366&lt;75,W366&lt;25),0.35,0)+IF(AND(V366&gt;=40,V366&lt;75,W366&gt;=25,W366&lt;65),0.25,0)+IF(AND(V366&gt;=40,V366&lt;75,W366&gt;=65,W366&lt;100),0.17,0)+IF(AND(V366&gt;=40,V366&lt;75,W366&gt;=100),0.1,0)+IF(AND(V366&gt;=75,W366&lt;25),0.35,0)+IF(AND(V366&gt;=75,W366&gt;=25,W366&lt;60),0.25,0)+IF(AND(V366&gt;=75,W366&gt;=60,W366&lt;95),0.17,0)+IF(AND(V366&gt;=75,W366&gt;=95),0.1,0),
IF(AF366="DoEVold15",IF(AND(V366&lt;=40,W366&lt;35),0.35,0)+IF(AND(V366&lt;=40,W366&gt;=35,W366&lt;75),0.25,0)+IF(AND(V366&lt;=40,W366&gt;=75,W366&lt;120),0.17,0)+IF(AND(V366&lt;=40,W366&gt;=120),0.15,0)+IF(AND(V366&gt;40,V366&lt;75,W366&lt;25),0.35,0)+IF(AND(V366&gt;=40,V366&lt;75,W366&gt;=25,W366&lt;65),0.25,0)+IF(AND(V366&gt;=40,V366&lt;75,W366&gt;=65,W366&lt;100),0.17,0)+IF(AND(V366&gt;=40,V366&lt;75,W366&gt;=100),0.1,0)+IF(AND(V366&gt;=75,W366&lt;25),0.35,0)+IF(AND(V366&gt;=75,W366&gt;=25,W366&lt;60),0.25,0)+IF(AND(V366&gt;=75,W366&gt;=60,W366&lt;95),0.17,0)+IF(AND(V366&gt;=75,W366&gt;=95),0.1,0),
IF(AF366="DoEVba",IF(AND(V366&lt;20,W366&lt;105),0.2,0)+IF(AND(V366&lt;20,W366&gt;=105),0.15,0)+IF(AND(V366&gt;=20,V366&lt;40,W366&lt;95),0.2,0)+IF(AND(V366&gt;=20,V366&lt;40,W366&gt;=95,W366&lt;150),0.15,0)+IF(AND(V366&gt;=20,V366&lt;40,W366&gt;=150),0.12,0)+IF(AND(V366&gt;=40,V366&lt;75,W366&lt;75),0.2,0)+IF(AND(V366&gt;=40,V366&lt;75,W366&gt;=75,W366&lt;120),0.15,0)+IF(AND(V366&gt;=40,V366&lt;75,W366&gt;=120),0.12,0)+IF(AND(V366&gt;=75,V366&lt;175,W366&lt;65),0.2,0)+IF(AND(V366&gt;=75,V366&lt;175,W366&gt;=65,W366&lt;110),0.15,0)+IF(AND(V366&gt;=75,V366&lt;175,W366&gt;=110),0.12,0)+IF(AND(V366&gt;=175,W366&lt;55),0.2,0)+IF(AND(V366&gt;=175,W366&gt;=55,W366&lt;95),0.15,0)+IF(AND(V366&gt;=175,W366&gt;=95),0.12,0),
IF(AF366="DoEVku",IF(AND(V366&lt;20,W366&lt;55),0.23,0)+IF(AND(V366&lt;20,W366&gt;=55,W366&lt;105),0.2,0)+IF(AND(V366&lt;20,W366&gt;=105),0.17,0)+IF(AND(V366&gt;=20,V366&lt;40,W366&lt;45),0.23,0)+IF(AND(V366&gt;=20,V366&lt;40,W366&gt;=45,W366&lt;95),0.2,0)+IF(AND(V366&gt;=20,V366&lt;40,W366&gt;=95,W366&lt;=150),0.17,0)+IF(AND(V366&gt;=20,V366&lt;40,W366&gt;=150),0.12,0)+IF(AND(V366&gt;=40,V366&lt;75,W366&lt;35),0.23,0)+IF(AND(V366&gt;=40,V366&lt;75,W366&gt;=35,W366&lt;75),0.2,0)+IF(AND(V366&gt;=40,V366&lt;75,W366&gt;=75,W366&lt;120),0.17,0)+IF(AND(V366&gt;=40,V366&lt;75,W366&gt;=120),0.12,0)+IF(AND(V366&gt;=75,V366&lt;175,W366&lt;35),0.23,0)+IF(AND(V366&gt;=75,V366&lt;=175,W366&gt;=35,W366&lt;65),0.2,0)+IF(AND(V366&gt;=75,V366&lt;=175,W366&gt;=65,W366&lt;110),0.17,0)+IF(AND(V366&gt;=75,V366&lt;=175,W366&gt;=110),0.12,0)+IF(AND(V366&gt;175,W366&lt;25),0.23,0)+IF(AND(V366&gt;175,W366&gt;=25,W366&lt;55),0.2,0)+IF(AND(V366&gt;175,W366&gt;=55,W366&lt;95),0.17,0)+IF(AND(V366&gt;175,W366&gt;=95),0.12,0),
IF(AF366="DoEVs1",IF(AND(V366&lt;20,W366&lt;55),0.3,0)+IF(AND(V366&lt;20,W366&gt;=55,W366&lt;105),0.23,0)+IF(AND(V366&lt;20,W366&gt;=105),0.17,0)+IF(AND(V366&gt;=20,V366&lt;40,W366&lt;45),0.3,0)+IF(AND(V366&gt;=20,V366&lt;40,W366&gt;=45,W366&lt;95),0.23,0)+IF(AND(V366&gt;=20,V366&lt;40,W366&gt;=95,W366&lt;=150),0.17,0)+IF(AND(V366&gt;=20,V366&lt;40,W366&gt;=150),0.12,0)+IF(AND(V366&gt;=40,V366&lt;75,W366&lt;35),0.3,0)+IF(AND(V366&gt;=40,V366&lt;75,W366&gt;=35,W366&lt;75),0.23,0)+IF(AND(V366&gt;=40,V366&lt;75,W366&gt;=75,W366&lt;120),0.17,0)+IF(AND(V366&gt;=40,V366&lt;75,W366&gt;=120),0.12,0)+IF(AND(V366&gt;=75,V366&lt;175,W366&lt;35),0.3,0)+IF(AND(V366&gt;=75,V366&lt;=175,W366&gt;=35,W366&lt;65),0.23,0)+IF(AND(V366&gt;=75,V366&lt;=175,W366&gt;=65,W366&lt;110),0.17,0)+IF(AND(V366&gt;=75,V366&lt;=175,W366&gt;=110),0.12,0)+IF(AND(V366&gt;175,W366&lt;25),0.3,0)+IF(AND(V366&gt;175,W366&gt;=25,W366&lt;55),0.23,0)+IF(AND(V366&gt;175,W366&gt;=55,W366&lt;95),0.17,0)+IF(AND(V366&gt;175,W366&gt;=95),0.12,0),
IF(AF366="DoEVsu",IF(AND(V366&lt;20,W366&lt;55),0.3,0)+IF(AND(V366&lt;20,W366&gt;=55,W366&lt;105),0.23,0)+IF(AND(V366&lt;20,W366&gt;=105),0.17,0)+IF(AND(V366&gt;=20,V366&lt;40,W366&lt;45),0.3,0)+IF(AND(V366&gt;=20,V366&lt;40,W366&gt;=45,W366&lt;95),0.23,0)+IF(AND(V366&gt;=20,V366&lt;40,W366&gt;=95,W366&lt;=250),0.17,0)+IF(AND(V366&gt;=20,V366&lt;40,W366&gt;=250),0.12,0)+IF(AND(V366&gt;=40,V366&lt;75,W366&lt;35),0.3,0)+IF(AND(V366&gt;=40,V366&lt;75,W366&gt;=35,W366&lt;75),0.23,0)+IF(AND(V366&gt;=40,V366&lt;75,W366&gt;=75,W366&lt;120),0.17,0)+IF(AND(V366&gt;=40,V366&lt;75,W366&gt;=120),0.12,0)+IF(AND(V366&gt;=75,V366&lt;175,W366&lt;35),0.3,0)+IF(AND(V366&gt;=75,V366&lt;=175,W366&gt;=35,W366&lt;65),0.23,0)+IF(AND(V366&gt;=75,V366&lt;=175,W366&gt;=65,W366&lt;110),0.17,0)+IF(AND(V366&gt;=75,V366&lt;=175,W366&gt;=110),0.12,0)+IF(AND(V366&gt;175,W366&lt;25),0.3,0)+IF(AND(V366&gt;175,W366&gt;=25,W366&lt;55),0.23,0)+IF(AND(V366&gt;175,W366&gt;=55,W366&lt;95),0.17,0)+IF(AND(V366&gt;175,W366&gt;=95),0.12,0),
IF(AF366="DoEVni",IF(AND(V366&lt;20,W366&lt;55),0.3,0)+IF(AND(V366&lt;20,W366&gt;=55,W366&lt;105),0.23,0)+IF(AND(V366&lt;20,W366&gt;=105),0.17,0)+IF(AND(V366&gt;=20,V366&lt;40,W366&lt;45),0.3,0)+IF(AND(V366&gt;=20,V366&lt;40,W366&gt;=45,W366&lt;95),0.23,0)+IF(AND(V366&gt;=20,V366&lt;40,W366&gt;=95,W366&lt;=200),0.17,0)+IF(AND(V366&gt;=20,V366&lt;40,W366&gt;=200),0.12,0)+IF(AND(V366&gt;=40,V366&lt;75,W366&lt;35),0.3,0)+IF(AND(V366&gt;=40,V366&lt;75,W366&gt;=35,W366&lt;75),0.23,0)+IF(AND(V366&gt;=40,V366&lt;75,W366&gt;=75,W366&lt;120),0.17,0)+IF(AND(V366&gt;=40,V366&lt;75,W366&gt;=120),0.12,0)+IF(AND(V366&gt;=75,V366&lt;175,W366&lt;35),0.3,0)+IF(AND(V366&gt;=75,V366&lt;=175,W366&gt;=35,W366&lt;65),0.23,0)+IF(AND(V366&gt;=75,V366&lt;=175,W366&gt;=65,W366&lt;110),0.17,0)+IF(AND(V366&gt;=75,V366&lt;=175,W366&gt;=110),0.12,0)+IF(AND(V366&gt;175,W366&lt;25),0.3,0)+IF(AND(V366&gt;175,W366&gt;=25,W366&lt;55),0.23,0)+IF(AND(V366&gt;175,W366&gt;=55,W366&lt;95),0.17,0)+IF(AND(V366&gt;175,W366&gt;=95),0.12,0),
IF(AF366="DoEVLo",IF(AND(V366&lt;20,W366&lt;55),0.25,0)+IF(AND(V366&lt;20,W366&gt;=55,W366&lt;105),0.2,0)+IF(AND(V366&lt;20,W366&gt;=105),0.15,0)+IF(AND(V366&gt;=20,V366&lt;40,W366&lt;45),0.25,0)+IF(AND(V366&gt;=20,V366&lt;40,W366&gt;=45,W366&lt;95),0.2,0)+IF(AND(V366&gt;=20,V366&lt;40,W366&gt;=95),0.15,0)+IF(AND(V366&gt;=40,V366&lt;75,W366&lt;35),0.25,0)+IF(AND(V366&gt;=40,V366&lt;75,W366&gt;=35,W366&lt;75),0.2,0)+IF(AND(V366&gt;=40,V366&lt;75,W366&gt;=75,W366&lt;120),0.15,0)+IF(AND(V366&gt;=40,V366&lt;75,W366&gt;=120),0.1,0)+IF(AND(V366&gt;=75,V366&lt;175,W366&lt;35),0.25,0)+IF(AND(V366&gt;=75,V366&lt;=175,W366&gt;=35,W366&lt;65),0.2,0)+IF(AND(V366&gt;=75,V366&lt;=175,W366&gt;=65,W366&lt;110),0.15,0)+IF(AND(V366&gt;=75,V366&lt;=175,W366&gt;=110),0.1,0)+IF(AND(V366&gt;175,W366&lt;25),0.25,0)+IF(AND(V366&gt;175,W366&gt;=25,W366&lt;55),0.2,0)+IF(AND(V366&gt;175,W366&gt;=55,W366&lt;95),0.15,0)+IF(AND(V366&gt;175,W366&gt;=95),0.1,0))))))))))))))))</f>
        <v>0.3</v>
      </c>
      <c r="Y366" s="30">
        <f>IF(AG366="None",0,IF(AG366="Fix5",0.05,IF(AG366="Fix3.75",0.0375,IF(AG366="Fix10",0.1,IF(AG366="Fix3",0.03,0)))))</f>
        <v>0</v>
      </c>
      <c r="Z366" s="35">
        <f>T366-AA366-AB366</f>
        <v>-255.5</v>
      </c>
      <c r="AA366" s="29">
        <f>IF(AD366="EUR",((T366-R366)*X366)*U366+(R366*X366),(T366*X366))</f>
        <v>-109.5</v>
      </c>
      <c r="AB366" s="36">
        <f>IF(AD366="EUR",((T366-R366)*Y366)*U366+(R366*Y366),(T366*Y366))</f>
        <v>0</v>
      </c>
      <c r="AC366" s="37" t="b">
        <v>1</v>
      </c>
      <c r="AD366" s="37" t="s">
        <v>38</v>
      </c>
      <c r="AE366" s="37" t="s">
        <v>38</v>
      </c>
      <c r="AF366" s="37" t="str">
        <f t="array" ref="AF366">INDEX('Deal Info'!D:D, MATCH(A366,'Deal Info'!A:A, 0))</f>
        <v>SF</v>
      </c>
      <c r="AG366" s="38" t="str">
        <f t="array" ref="AG366">INDEX('Deal Info'!G:G, MATCH(A366,'Deal Info'!A:A, 0))</f>
        <v>None</v>
      </c>
    </row>
    <row r="367" spans="1:33" ht="14.25" hidden="1" x14ac:dyDescent="0.2">
      <c r="A367" s="18" t="str">
        <f t="array" ref="A367">IF(G367='Room Info'!$B$1, INDEX('Room Info'!$A$2:$A2446, MATCH(B367,'Room Info'!$B$2:$B2446, 0)),IF(G367='Room Info'!$C$1, INDEX('Room Info'!$A$2:$A2446, MATCH(B367,'Room Info'!$C$2:$C2446, 0)),IF(G367='Room Info'!$D$1, INDEX('Room Info'!$A$2:$A2446, MATCH(B367,'Room Info'!$D$2:$D2446, 0)),IF(G367='Room Info'!$E$1, INDEX('Room Info'!$A$2:$A2446, MATCH(B367,'Room Info'!$E$2:$E2446, 0)),IF(G367='Room Info'!$F$1, INDEX('Room Info'!$A$2:$A2446, MATCH(B367,'Room Info'!$F$2:$F2446, 0)),IF(G367='Room Info'!$H$1, INDEX('Room Info'!$A$2:$A2446, MATCH(B367,'Room Info'!$H$2:$H2446, 0)),IF(G367='Room Info'!$G$1, INDEX('Room Info'!$A$2:$A2446, MATCH(B367,'Room Info'!$G$2:$G2446, 0)))))))))</f>
        <v>Kiss4money99</v>
      </c>
      <c r="B367" s="45" t="s">
        <v>120</v>
      </c>
      <c r="C367" s="46">
        <v>44886</v>
      </c>
      <c r="D367" s="46">
        <v>44915</v>
      </c>
      <c r="E367" s="47">
        <v>44896</v>
      </c>
      <c r="F367" s="48" t="s">
        <v>34</v>
      </c>
      <c r="G367" s="54" t="s">
        <v>35</v>
      </c>
      <c r="H367" s="49" t="s">
        <v>39</v>
      </c>
      <c r="I367" s="49" t="s">
        <v>37</v>
      </c>
      <c r="J367" s="50">
        <v>5</v>
      </c>
      <c r="K367" s="51">
        <v>1</v>
      </c>
      <c r="L367" s="52">
        <v>10</v>
      </c>
      <c r="M367" s="62"/>
      <c r="N367" s="28">
        <f>K367*J367</f>
        <v>5</v>
      </c>
      <c r="O367" s="54">
        <v>375</v>
      </c>
      <c r="P367" s="29">
        <v>375</v>
      </c>
      <c r="Q367" s="55"/>
      <c r="R367" s="31">
        <f>M367+Q367</f>
        <v>0</v>
      </c>
      <c r="S367" s="56">
        <v>3</v>
      </c>
      <c r="T367" s="32">
        <f>R367+S367+IF(F367="Without EV deal",L367,0)</f>
        <v>3</v>
      </c>
      <c r="U367" s="57">
        <v>1</v>
      </c>
      <c r="V367" s="69">
        <v>12.72369407648088</v>
      </c>
      <c r="W367" s="58">
        <f>100.05/3</f>
        <v>33.35</v>
      </c>
      <c r="X367" s="30">
        <f>IF(AF367="DoEV",IF(AND(V367&lt;20,W367&lt;55),0.3,0)+IF(AND(V367&lt;20,W367&gt;=55,W367&lt;105),0.23,0)+IF(AND(V367&lt;20,W367&gt;=105),0.17,0)+IF(AND(V367&gt;=20,V367&lt;40,W367&lt;45),0.3,0)+IF(AND(V367&gt;=20,V367&lt;40,W367&gt;=45,W367&lt;95),0.23,0)+IF(AND(V367&gt;=20,V367&lt;40,W367&gt;=95),0.17,0)+IF(AND(V367&gt;=40,V367&lt;75,W367&lt;35),0.3,0)+IF(AND(V367&gt;=40,V367&lt;75,W367&gt;=35,W367&lt;75),0.23,0)+IF(AND(V367&gt;=40,V367&lt;75,W367&gt;=75,W367&lt;120),0.17,0)+IF(AND(V367&gt;=40,V367&lt;75,W367&gt;=120),0.12,0)+IF(AND(V367&gt;=75,V367&lt;175,W367&lt;35),0.3,0)+IF(AND(V367&gt;=75,V367&lt;=175,W367&gt;=35,W367&lt;65),0.23,0)+IF(AND(V367&gt;=75,V367&lt;=175,W367&gt;=65,W367&lt;110),0.17,0)+IF(AND(V367&gt;=75,V367&lt;=175,W367&gt;=110),0.12,0)+IF(AND(V367&gt;175,W367&lt;25),0.3,0)+IF(AND(V367&gt;175,W367&gt;=25,W367&lt;55),0.23,0)+IF(AND(V367&gt;175,W367&gt;=55,W367&lt;95),0.17,0)+IF(AND(V367&gt;175,W367&gt;=95),0.12,0),
IF(AF367="Fix15",0.15,
IF(AF367="Fix11.25",0.1125,
IF(AF367="Fix10",0.1,
IF(AF367="Fix9",0.09,
IF(AF367="DoEV2017",IF(AND(W367&lt;74),0.2,0)+IF(AND(W367&gt;=74),0.17,0),
IF(AF367="SF",IF(AND(V367&lt;20,W367&lt;89),0.3,0)+IF(AND(V367&lt;20,W367&gt;=89),0.25,0)+IF(AND(V367&gt;=20,V367&lt;40,W367&lt;74),0.3,0)+IF(AND(V367&gt;=20,V367&lt;40,W367&gt;=75),0.22,0)+IF(AND(V367&gt;=40,V367&lt;75,W367&lt;75),0.26,0)+IF(AND(V367&gt;=40,V367&lt;75,W367&gt;=75),0.22,0)+IF(V367&gt;=75,0.22,0),
IF(AF367="DoEVold",IF(AND(V367&lt;40,W367&lt;35),0.35,0)+IF(AND(V367&lt;40,W367&gt;=35,W367&lt;75),0.25,0)+IF(AND(V367&lt;40,W367&gt;=75),0.17,0)+IF(AND(V367&gt;=40,V367&lt;75,W367&lt;25),0.35,0)+IF(AND(V367&gt;=40,V367&lt;75,W367&gt;=25,W367&lt;65),0.25,0)+IF(AND(V367&gt;=40,V367&lt;75,W367&gt;=65,W367&lt;100),0.17,0)+IF(AND(V367&gt;=40,V367&lt;75,W367&gt;=100),0.1,0)+IF(AND(V367&gt;=75,W367&lt;25),0.35,0)+IF(AND(V367&gt;=75,W367&gt;=25,W367&lt;60),0.25,0)+IF(AND(V367&gt;=75,W367&gt;=60,W367&lt;95),0.17,0)+IF(AND(V367&gt;=75,W367&gt;=95),0.1,0),
IF(AF367="DoEVold15",IF(AND(V367&lt;=40,W367&lt;35),0.35,0)+IF(AND(V367&lt;=40,W367&gt;=35,W367&lt;75),0.25,0)+IF(AND(V367&lt;=40,W367&gt;=75,W367&lt;120),0.17,0)+IF(AND(V367&lt;=40,W367&gt;=120),0.15,0)+IF(AND(V367&gt;40,V367&lt;75,W367&lt;25),0.35,0)+IF(AND(V367&gt;=40,V367&lt;75,W367&gt;=25,W367&lt;65),0.25,0)+IF(AND(V367&gt;=40,V367&lt;75,W367&gt;=65,W367&lt;100),0.17,0)+IF(AND(V367&gt;=40,V367&lt;75,W367&gt;=100),0.1,0)+IF(AND(V367&gt;=75,W367&lt;25),0.35,0)+IF(AND(V367&gt;=75,W367&gt;=25,W367&lt;60),0.25,0)+IF(AND(V367&gt;=75,W367&gt;=60,W367&lt;95),0.17,0)+IF(AND(V367&gt;=75,W367&gt;=95),0.1,0),
IF(AF367="DoEVba",IF(AND(V367&lt;20,W367&lt;105),0.2,0)+IF(AND(V367&lt;20,W367&gt;=105),0.15,0)+IF(AND(V367&gt;=20,V367&lt;40,W367&lt;95),0.2,0)+IF(AND(V367&gt;=20,V367&lt;40,W367&gt;=95,W367&lt;150),0.15,0)+IF(AND(V367&gt;=20,V367&lt;40,W367&gt;=150),0.12,0)+IF(AND(V367&gt;=40,V367&lt;75,W367&lt;75),0.2,0)+IF(AND(V367&gt;=40,V367&lt;75,W367&gt;=75,W367&lt;120),0.15,0)+IF(AND(V367&gt;=40,V367&lt;75,W367&gt;=120),0.12,0)+IF(AND(V367&gt;=75,V367&lt;175,W367&lt;65),0.2,0)+IF(AND(V367&gt;=75,V367&lt;175,W367&gt;=65,W367&lt;110),0.15,0)+IF(AND(V367&gt;=75,V367&lt;175,W367&gt;=110),0.12,0)+IF(AND(V367&gt;=175,W367&lt;55),0.2,0)+IF(AND(V367&gt;=175,W367&gt;=55,W367&lt;95),0.15,0)+IF(AND(V367&gt;=175,W367&gt;=95),0.12,0),
IF(AF367="DoEVku",IF(AND(V367&lt;20,W367&lt;55),0.23,0)+IF(AND(V367&lt;20,W367&gt;=55,W367&lt;105),0.2,0)+IF(AND(V367&lt;20,W367&gt;=105),0.17,0)+IF(AND(V367&gt;=20,V367&lt;40,W367&lt;45),0.23,0)+IF(AND(V367&gt;=20,V367&lt;40,W367&gt;=45,W367&lt;95),0.2,0)+IF(AND(V367&gt;=20,V367&lt;40,W367&gt;=95,W367&lt;=150),0.17,0)+IF(AND(V367&gt;=20,V367&lt;40,W367&gt;=150),0.12,0)+IF(AND(V367&gt;=40,V367&lt;75,W367&lt;35),0.23,0)+IF(AND(V367&gt;=40,V367&lt;75,W367&gt;=35,W367&lt;75),0.2,0)+IF(AND(V367&gt;=40,V367&lt;75,W367&gt;=75,W367&lt;120),0.17,0)+IF(AND(V367&gt;=40,V367&lt;75,W367&gt;=120),0.12,0)+IF(AND(V367&gt;=75,V367&lt;175,W367&lt;35),0.23,0)+IF(AND(V367&gt;=75,V367&lt;=175,W367&gt;=35,W367&lt;65),0.2,0)+IF(AND(V367&gt;=75,V367&lt;=175,W367&gt;=65,W367&lt;110),0.17,0)+IF(AND(V367&gt;=75,V367&lt;=175,W367&gt;=110),0.12,0)+IF(AND(V367&gt;175,W367&lt;25),0.23,0)+IF(AND(V367&gt;175,W367&gt;=25,W367&lt;55),0.2,0)+IF(AND(V367&gt;175,W367&gt;=55,W367&lt;95),0.17,0)+IF(AND(V367&gt;175,W367&gt;=95),0.12,0),
IF(AF367="DoEVs1",IF(AND(V367&lt;20,W367&lt;55),0.3,0)+IF(AND(V367&lt;20,W367&gt;=55,W367&lt;105),0.23,0)+IF(AND(V367&lt;20,W367&gt;=105),0.17,0)+IF(AND(V367&gt;=20,V367&lt;40,W367&lt;45),0.3,0)+IF(AND(V367&gt;=20,V367&lt;40,W367&gt;=45,W367&lt;95),0.23,0)+IF(AND(V367&gt;=20,V367&lt;40,W367&gt;=95,W367&lt;=150),0.17,0)+IF(AND(V367&gt;=20,V367&lt;40,W367&gt;=150),0.12,0)+IF(AND(V367&gt;=40,V367&lt;75,W367&lt;35),0.3,0)+IF(AND(V367&gt;=40,V367&lt;75,W367&gt;=35,W367&lt;75),0.23,0)+IF(AND(V367&gt;=40,V367&lt;75,W367&gt;=75,W367&lt;120),0.17,0)+IF(AND(V367&gt;=40,V367&lt;75,W367&gt;=120),0.12,0)+IF(AND(V367&gt;=75,V367&lt;175,W367&lt;35),0.3,0)+IF(AND(V367&gt;=75,V367&lt;=175,W367&gt;=35,W367&lt;65),0.23,0)+IF(AND(V367&gt;=75,V367&lt;=175,W367&gt;=65,W367&lt;110),0.17,0)+IF(AND(V367&gt;=75,V367&lt;=175,W367&gt;=110),0.12,0)+IF(AND(V367&gt;175,W367&lt;25),0.3,0)+IF(AND(V367&gt;175,W367&gt;=25,W367&lt;55),0.23,0)+IF(AND(V367&gt;175,W367&gt;=55,W367&lt;95),0.17,0)+IF(AND(V367&gt;175,W367&gt;=95),0.12,0),
IF(AF367="DoEVsu",IF(AND(V367&lt;20,W367&lt;55),0.3,0)+IF(AND(V367&lt;20,W367&gt;=55,W367&lt;105),0.23,0)+IF(AND(V367&lt;20,W367&gt;=105),0.17,0)+IF(AND(V367&gt;=20,V367&lt;40,W367&lt;45),0.3,0)+IF(AND(V367&gt;=20,V367&lt;40,W367&gt;=45,W367&lt;95),0.23,0)+IF(AND(V367&gt;=20,V367&lt;40,W367&gt;=95,W367&lt;=250),0.17,0)+IF(AND(V367&gt;=20,V367&lt;40,W367&gt;=250),0.12,0)+IF(AND(V367&gt;=40,V367&lt;75,W367&lt;35),0.3,0)+IF(AND(V367&gt;=40,V367&lt;75,W367&gt;=35,W367&lt;75),0.23,0)+IF(AND(V367&gt;=40,V367&lt;75,W367&gt;=75,W367&lt;120),0.17,0)+IF(AND(V367&gt;=40,V367&lt;75,W367&gt;=120),0.12,0)+IF(AND(V367&gt;=75,V367&lt;175,W367&lt;35),0.3,0)+IF(AND(V367&gt;=75,V367&lt;=175,W367&gt;=35,W367&lt;65),0.23,0)+IF(AND(V367&gt;=75,V367&lt;=175,W367&gt;=65,W367&lt;110),0.17,0)+IF(AND(V367&gt;=75,V367&lt;=175,W367&gt;=110),0.12,0)+IF(AND(V367&gt;175,W367&lt;25),0.3,0)+IF(AND(V367&gt;175,W367&gt;=25,W367&lt;55),0.23,0)+IF(AND(V367&gt;175,W367&gt;=55,W367&lt;95),0.17,0)+IF(AND(V367&gt;175,W367&gt;=95),0.12,0),
IF(AF367="DoEVni",IF(AND(V367&lt;20,W367&lt;55),0.3,0)+IF(AND(V367&lt;20,W367&gt;=55,W367&lt;105),0.23,0)+IF(AND(V367&lt;20,W367&gt;=105),0.17,0)+IF(AND(V367&gt;=20,V367&lt;40,W367&lt;45),0.3,0)+IF(AND(V367&gt;=20,V367&lt;40,W367&gt;=45,W367&lt;95),0.23,0)+IF(AND(V367&gt;=20,V367&lt;40,W367&gt;=95,W367&lt;=200),0.17,0)+IF(AND(V367&gt;=20,V367&lt;40,W367&gt;=200),0.12,0)+IF(AND(V367&gt;=40,V367&lt;75,W367&lt;35),0.3,0)+IF(AND(V367&gt;=40,V367&lt;75,W367&gt;=35,W367&lt;75),0.23,0)+IF(AND(V367&gt;=40,V367&lt;75,W367&gt;=75,W367&lt;120),0.17,0)+IF(AND(V367&gt;=40,V367&lt;75,W367&gt;=120),0.12,0)+IF(AND(V367&gt;=75,V367&lt;175,W367&lt;35),0.3,0)+IF(AND(V367&gt;=75,V367&lt;=175,W367&gt;=35,W367&lt;65),0.23,0)+IF(AND(V367&gt;=75,V367&lt;=175,W367&gt;=65,W367&lt;110),0.17,0)+IF(AND(V367&gt;=75,V367&lt;=175,W367&gt;=110),0.12,0)+IF(AND(V367&gt;175,W367&lt;25),0.3,0)+IF(AND(V367&gt;175,W367&gt;=25,W367&lt;55),0.23,0)+IF(AND(V367&gt;175,W367&gt;=55,W367&lt;95),0.17,0)+IF(AND(V367&gt;175,W367&gt;=95),0.12,0),
IF(AF367="DoEVLo",IF(AND(V367&lt;20,W367&lt;55),0.25,0)+IF(AND(V367&lt;20,W367&gt;=55,W367&lt;105),0.2,0)+IF(AND(V367&lt;20,W367&gt;=105),0.15,0)+IF(AND(V367&gt;=20,V367&lt;40,W367&lt;45),0.25,0)+IF(AND(V367&gt;=20,V367&lt;40,W367&gt;=45,W367&lt;95),0.2,0)+IF(AND(V367&gt;=20,V367&lt;40,W367&gt;=95),0.15,0)+IF(AND(V367&gt;=40,V367&lt;75,W367&lt;35),0.25,0)+IF(AND(V367&gt;=40,V367&lt;75,W367&gt;=35,W367&lt;75),0.2,0)+IF(AND(V367&gt;=40,V367&lt;75,W367&gt;=75,W367&lt;120),0.15,0)+IF(AND(V367&gt;=40,V367&lt;75,W367&gt;=120),0.1,0)+IF(AND(V367&gt;=75,V367&lt;175,W367&lt;35),0.25,0)+IF(AND(V367&gt;=75,V367&lt;=175,W367&gt;=35,W367&lt;65),0.2,0)+IF(AND(V367&gt;=75,V367&lt;=175,W367&gt;=65,W367&lt;110),0.15,0)+IF(AND(V367&gt;=75,V367&lt;=175,W367&gt;=110),0.1,0)+IF(AND(V367&gt;175,W367&lt;25),0.25,0)+IF(AND(V367&gt;175,W367&gt;=25,W367&lt;55),0.2,0)+IF(AND(V367&gt;175,W367&gt;=55,W367&lt;95),0.15,0)+IF(AND(V367&gt;175,W367&gt;=95),0.1,0))))))))))))))))</f>
        <v>0.3</v>
      </c>
      <c r="Y367" s="30">
        <f>IF(AG367="None",0,IF(AG367="Fix5",0.05,IF(AG367="Fix3.75",0.0375,IF(AG367="Fix10",0.1,IF(AG367="Fix3",0.03,0)))))</f>
        <v>0</v>
      </c>
      <c r="Z367" s="35">
        <f>T367-AA367-AB367</f>
        <v>2.1</v>
      </c>
      <c r="AA367" s="29">
        <f>IF(AD367="EUR",((T367-R367)*X367)*U367+(R367*X367),(T367*X367))</f>
        <v>0.89999999999999991</v>
      </c>
      <c r="AB367" s="36">
        <f>IF(AD367="EUR",((T367-R367)*Y367)*U367+(R367*Y367),(T367*Y367))</f>
        <v>0</v>
      </c>
      <c r="AC367" s="37" t="b">
        <v>1</v>
      </c>
      <c r="AD367" s="37" t="s">
        <v>38</v>
      </c>
      <c r="AE367" s="37" t="s">
        <v>38</v>
      </c>
      <c r="AF367" s="37" t="str">
        <f t="array" ref="AF367">INDEX('Deal Info'!D:D, MATCH(A367,'Deal Info'!A:A, 0))</f>
        <v>SF</v>
      </c>
      <c r="AG367" s="38" t="str">
        <f t="array" ref="AG367">INDEX('Deal Info'!G:G, MATCH(A367,'Deal Info'!A:A, 0))</f>
        <v>None</v>
      </c>
    </row>
    <row r="368" spans="1:33" ht="14.25" hidden="1" x14ac:dyDescent="0.2">
      <c r="A368" s="18" t="str">
        <f t="array" ref="A368">IF(G368='Room Info'!$B$1, INDEX('Room Info'!$A$2:$A2446, MATCH(B368,'Room Info'!$B$2:$B2446, 0)),IF(G368='Room Info'!$C$1, INDEX('Room Info'!$A$2:$A2446, MATCH(B368,'Room Info'!$C$2:$C2446, 0)),IF(G368='Room Info'!$D$1, INDEX('Room Info'!$A$2:$A2446, MATCH(B368,'Room Info'!$D$2:$D2446, 0)),IF(G368='Room Info'!$E$1, INDEX('Room Info'!$A$2:$A2446, MATCH(B368,'Room Info'!$E$2:$E2446, 0)),IF(G368='Room Info'!$F$1, INDEX('Room Info'!$A$2:$A2446, MATCH(B368,'Room Info'!$F$2:$F2446, 0)),IF(G368='Room Info'!$H$1, INDEX('Room Info'!$A$2:$A2446, MATCH(B368,'Room Info'!$H$2:$H2446, 0)),IF(G368='Room Info'!$G$1, INDEX('Room Info'!$A$2:$A2446, MATCH(B368,'Room Info'!$G$2:$G2446, 0)))))))))</f>
        <v>Kiss4money99</v>
      </c>
      <c r="B368" s="45" t="s">
        <v>120</v>
      </c>
      <c r="C368" s="46">
        <v>44886</v>
      </c>
      <c r="D368" s="46">
        <v>44915</v>
      </c>
      <c r="E368" s="47">
        <v>44896</v>
      </c>
      <c r="F368" s="48" t="s">
        <v>34</v>
      </c>
      <c r="G368" s="54" t="s">
        <v>35</v>
      </c>
      <c r="H368" s="49" t="s">
        <v>40</v>
      </c>
      <c r="I368" s="49" t="s">
        <v>37</v>
      </c>
      <c r="J368" s="50">
        <v>10</v>
      </c>
      <c r="K368" s="51">
        <v>2463</v>
      </c>
      <c r="L368" s="52">
        <v>-160</v>
      </c>
      <c r="M368" s="53">
        <v>1594</v>
      </c>
      <c r="N368" s="28">
        <f>K368*J368</f>
        <v>24630</v>
      </c>
      <c r="O368" s="54">
        <v>86748</v>
      </c>
      <c r="P368" s="29">
        <v>35.220462849999997</v>
      </c>
      <c r="Q368" s="55"/>
      <c r="R368" s="31">
        <f>M368+Q368</f>
        <v>1594</v>
      </c>
      <c r="S368" s="56">
        <v>-244</v>
      </c>
      <c r="T368" s="32">
        <f>R368+S368+IF(F368="Without EV deal",L368,0)</f>
        <v>1350</v>
      </c>
      <c r="U368" s="57">
        <v>1</v>
      </c>
      <c r="V368" s="69">
        <v>12.72369407648088</v>
      </c>
      <c r="W368" s="58">
        <f>100.05/3</f>
        <v>33.35</v>
      </c>
      <c r="X368" s="30">
        <f>IF(AF368="DoEV",IF(AND(V368&lt;20,W368&lt;55),0.3,0)+IF(AND(V368&lt;20,W368&gt;=55,W368&lt;105),0.23,0)+IF(AND(V368&lt;20,W368&gt;=105),0.17,0)+IF(AND(V368&gt;=20,V368&lt;40,W368&lt;45),0.3,0)+IF(AND(V368&gt;=20,V368&lt;40,W368&gt;=45,W368&lt;95),0.23,0)+IF(AND(V368&gt;=20,V368&lt;40,W368&gt;=95),0.17,0)+IF(AND(V368&gt;=40,V368&lt;75,W368&lt;35),0.3,0)+IF(AND(V368&gt;=40,V368&lt;75,W368&gt;=35,W368&lt;75),0.23,0)+IF(AND(V368&gt;=40,V368&lt;75,W368&gt;=75,W368&lt;120),0.17,0)+IF(AND(V368&gt;=40,V368&lt;75,W368&gt;=120),0.12,0)+IF(AND(V368&gt;=75,V368&lt;175,W368&lt;35),0.3,0)+IF(AND(V368&gt;=75,V368&lt;=175,W368&gt;=35,W368&lt;65),0.23,0)+IF(AND(V368&gt;=75,V368&lt;=175,W368&gt;=65,W368&lt;110),0.17,0)+IF(AND(V368&gt;=75,V368&lt;=175,W368&gt;=110),0.12,0)+IF(AND(V368&gt;175,W368&lt;25),0.3,0)+IF(AND(V368&gt;175,W368&gt;=25,W368&lt;55),0.23,0)+IF(AND(V368&gt;175,W368&gt;=55,W368&lt;95),0.17,0)+IF(AND(V368&gt;175,W368&gt;=95),0.12,0),
IF(AF368="Fix15",0.15,
IF(AF368="Fix11.25",0.1125,
IF(AF368="Fix10",0.1,
IF(AF368="Fix9",0.09,
IF(AF368="DoEV2017",IF(AND(W368&lt;74),0.2,0)+IF(AND(W368&gt;=74),0.17,0),
IF(AF368="SF",IF(AND(V368&lt;20,W368&lt;89),0.3,0)+IF(AND(V368&lt;20,W368&gt;=89),0.25,0)+IF(AND(V368&gt;=20,V368&lt;40,W368&lt;74),0.3,0)+IF(AND(V368&gt;=20,V368&lt;40,W368&gt;=75),0.22,0)+IF(AND(V368&gt;=40,V368&lt;75,W368&lt;75),0.26,0)+IF(AND(V368&gt;=40,V368&lt;75,W368&gt;=75),0.22,0)+IF(V368&gt;=75,0.22,0),
IF(AF368="DoEVold",IF(AND(V368&lt;40,W368&lt;35),0.35,0)+IF(AND(V368&lt;40,W368&gt;=35,W368&lt;75),0.25,0)+IF(AND(V368&lt;40,W368&gt;=75),0.17,0)+IF(AND(V368&gt;=40,V368&lt;75,W368&lt;25),0.35,0)+IF(AND(V368&gt;=40,V368&lt;75,W368&gt;=25,W368&lt;65),0.25,0)+IF(AND(V368&gt;=40,V368&lt;75,W368&gt;=65,W368&lt;100),0.17,0)+IF(AND(V368&gt;=40,V368&lt;75,W368&gt;=100),0.1,0)+IF(AND(V368&gt;=75,W368&lt;25),0.35,0)+IF(AND(V368&gt;=75,W368&gt;=25,W368&lt;60),0.25,0)+IF(AND(V368&gt;=75,W368&gt;=60,W368&lt;95),0.17,0)+IF(AND(V368&gt;=75,W368&gt;=95),0.1,0),
IF(AF368="DoEVold15",IF(AND(V368&lt;=40,W368&lt;35),0.35,0)+IF(AND(V368&lt;=40,W368&gt;=35,W368&lt;75),0.25,0)+IF(AND(V368&lt;=40,W368&gt;=75,W368&lt;120),0.17,0)+IF(AND(V368&lt;=40,W368&gt;=120),0.15,0)+IF(AND(V368&gt;40,V368&lt;75,W368&lt;25),0.35,0)+IF(AND(V368&gt;=40,V368&lt;75,W368&gt;=25,W368&lt;65),0.25,0)+IF(AND(V368&gt;=40,V368&lt;75,W368&gt;=65,W368&lt;100),0.17,0)+IF(AND(V368&gt;=40,V368&lt;75,W368&gt;=100),0.1,0)+IF(AND(V368&gt;=75,W368&lt;25),0.35,0)+IF(AND(V368&gt;=75,W368&gt;=25,W368&lt;60),0.25,0)+IF(AND(V368&gt;=75,W368&gt;=60,W368&lt;95),0.17,0)+IF(AND(V368&gt;=75,W368&gt;=95),0.1,0),
IF(AF368="DoEVba",IF(AND(V368&lt;20,W368&lt;105),0.2,0)+IF(AND(V368&lt;20,W368&gt;=105),0.15,0)+IF(AND(V368&gt;=20,V368&lt;40,W368&lt;95),0.2,0)+IF(AND(V368&gt;=20,V368&lt;40,W368&gt;=95,W368&lt;150),0.15,0)+IF(AND(V368&gt;=20,V368&lt;40,W368&gt;=150),0.12,0)+IF(AND(V368&gt;=40,V368&lt;75,W368&lt;75),0.2,0)+IF(AND(V368&gt;=40,V368&lt;75,W368&gt;=75,W368&lt;120),0.15,0)+IF(AND(V368&gt;=40,V368&lt;75,W368&gt;=120),0.12,0)+IF(AND(V368&gt;=75,V368&lt;175,W368&lt;65),0.2,0)+IF(AND(V368&gt;=75,V368&lt;175,W368&gt;=65,W368&lt;110),0.15,0)+IF(AND(V368&gt;=75,V368&lt;175,W368&gt;=110),0.12,0)+IF(AND(V368&gt;=175,W368&lt;55),0.2,0)+IF(AND(V368&gt;=175,W368&gt;=55,W368&lt;95),0.15,0)+IF(AND(V368&gt;=175,W368&gt;=95),0.12,0),
IF(AF368="DoEVku",IF(AND(V368&lt;20,W368&lt;55),0.23,0)+IF(AND(V368&lt;20,W368&gt;=55,W368&lt;105),0.2,0)+IF(AND(V368&lt;20,W368&gt;=105),0.17,0)+IF(AND(V368&gt;=20,V368&lt;40,W368&lt;45),0.23,0)+IF(AND(V368&gt;=20,V368&lt;40,W368&gt;=45,W368&lt;95),0.2,0)+IF(AND(V368&gt;=20,V368&lt;40,W368&gt;=95,W368&lt;=150),0.17,0)+IF(AND(V368&gt;=20,V368&lt;40,W368&gt;=150),0.12,0)+IF(AND(V368&gt;=40,V368&lt;75,W368&lt;35),0.23,0)+IF(AND(V368&gt;=40,V368&lt;75,W368&gt;=35,W368&lt;75),0.2,0)+IF(AND(V368&gt;=40,V368&lt;75,W368&gt;=75,W368&lt;120),0.17,0)+IF(AND(V368&gt;=40,V368&lt;75,W368&gt;=120),0.12,0)+IF(AND(V368&gt;=75,V368&lt;175,W368&lt;35),0.23,0)+IF(AND(V368&gt;=75,V368&lt;=175,W368&gt;=35,W368&lt;65),0.2,0)+IF(AND(V368&gt;=75,V368&lt;=175,W368&gt;=65,W368&lt;110),0.17,0)+IF(AND(V368&gt;=75,V368&lt;=175,W368&gt;=110),0.12,0)+IF(AND(V368&gt;175,W368&lt;25),0.23,0)+IF(AND(V368&gt;175,W368&gt;=25,W368&lt;55),0.2,0)+IF(AND(V368&gt;175,W368&gt;=55,W368&lt;95),0.17,0)+IF(AND(V368&gt;175,W368&gt;=95),0.12,0),
IF(AF368="DoEVs1",IF(AND(V368&lt;20,W368&lt;55),0.3,0)+IF(AND(V368&lt;20,W368&gt;=55,W368&lt;105),0.23,0)+IF(AND(V368&lt;20,W368&gt;=105),0.17,0)+IF(AND(V368&gt;=20,V368&lt;40,W368&lt;45),0.3,0)+IF(AND(V368&gt;=20,V368&lt;40,W368&gt;=45,W368&lt;95),0.23,0)+IF(AND(V368&gt;=20,V368&lt;40,W368&gt;=95,W368&lt;=150),0.17,0)+IF(AND(V368&gt;=20,V368&lt;40,W368&gt;=150),0.12,0)+IF(AND(V368&gt;=40,V368&lt;75,W368&lt;35),0.3,0)+IF(AND(V368&gt;=40,V368&lt;75,W368&gt;=35,W368&lt;75),0.23,0)+IF(AND(V368&gt;=40,V368&lt;75,W368&gt;=75,W368&lt;120),0.17,0)+IF(AND(V368&gt;=40,V368&lt;75,W368&gt;=120),0.12,0)+IF(AND(V368&gt;=75,V368&lt;175,W368&lt;35),0.3,0)+IF(AND(V368&gt;=75,V368&lt;=175,W368&gt;=35,W368&lt;65),0.23,0)+IF(AND(V368&gt;=75,V368&lt;=175,W368&gt;=65,W368&lt;110),0.17,0)+IF(AND(V368&gt;=75,V368&lt;=175,W368&gt;=110),0.12,0)+IF(AND(V368&gt;175,W368&lt;25),0.3,0)+IF(AND(V368&gt;175,W368&gt;=25,W368&lt;55),0.23,0)+IF(AND(V368&gt;175,W368&gt;=55,W368&lt;95),0.17,0)+IF(AND(V368&gt;175,W368&gt;=95),0.12,0),
IF(AF368="DoEVsu",IF(AND(V368&lt;20,W368&lt;55),0.3,0)+IF(AND(V368&lt;20,W368&gt;=55,W368&lt;105),0.23,0)+IF(AND(V368&lt;20,W368&gt;=105),0.17,0)+IF(AND(V368&gt;=20,V368&lt;40,W368&lt;45),0.3,0)+IF(AND(V368&gt;=20,V368&lt;40,W368&gt;=45,W368&lt;95),0.23,0)+IF(AND(V368&gt;=20,V368&lt;40,W368&gt;=95,W368&lt;=250),0.17,0)+IF(AND(V368&gt;=20,V368&lt;40,W368&gt;=250),0.12,0)+IF(AND(V368&gt;=40,V368&lt;75,W368&lt;35),0.3,0)+IF(AND(V368&gt;=40,V368&lt;75,W368&gt;=35,W368&lt;75),0.23,0)+IF(AND(V368&gt;=40,V368&lt;75,W368&gt;=75,W368&lt;120),0.17,0)+IF(AND(V368&gt;=40,V368&lt;75,W368&gt;=120),0.12,0)+IF(AND(V368&gt;=75,V368&lt;175,W368&lt;35),0.3,0)+IF(AND(V368&gt;=75,V368&lt;=175,W368&gt;=35,W368&lt;65),0.23,0)+IF(AND(V368&gt;=75,V368&lt;=175,W368&gt;=65,W368&lt;110),0.17,0)+IF(AND(V368&gt;=75,V368&lt;=175,W368&gt;=110),0.12,0)+IF(AND(V368&gt;175,W368&lt;25),0.3,0)+IF(AND(V368&gt;175,W368&gt;=25,W368&lt;55),0.23,0)+IF(AND(V368&gt;175,W368&gt;=55,W368&lt;95),0.17,0)+IF(AND(V368&gt;175,W368&gt;=95),0.12,0),
IF(AF368="DoEVni",IF(AND(V368&lt;20,W368&lt;55),0.3,0)+IF(AND(V368&lt;20,W368&gt;=55,W368&lt;105),0.23,0)+IF(AND(V368&lt;20,W368&gt;=105),0.17,0)+IF(AND(V368&gt;=20,V368&lt;40,W368&lt;45),0.3,0)+IF(AND(V368&gt;=20,V368&lt;40,W368&gt;=45,W368&lt;95),0.23,0)+IF(AND(V368&gt;=20,V368&lt;40,W368&gt;=95,W368&lt;=200),0.17,0)+IF(AND(V368&gt;=20,V368&lt;40,W368&gt;=200),0.12,0)+IF(AND(V368&gt;=40,V368&lt;75,W368&lt;35),0.3,0)+IF(AND(V368&gt;=40,V368&lt;75,W368&gt;=35,W368&lt;75),0.23,0)+IF(AND(V368&gt;=40,V368&lt;75,W368&gt;=75,W368&lt;120),0.17,0)+IF(AND(V368&gt;=40,V368&lt;75,W368&gt;=120),0.12,0)+IF(AND(V368&gt;=75,V368&lt;175,W368&lt;35),0.3,0)+IF(AND(V368&gt;=75,V368&lt;=175,W368&gt;=35,W368&lt;65),0.23,0)+IF(AND(V368&gt;=75,V368&lt;=175,W368&gt;=65,W368&lt;110),0.17,0)+IF(AND(V368&gt;=75,V368&lt;=175,W368&gt;=110),0.12,0)+IF(AND(V368&gt;175,W368&lt;25),0.3,0)+IF(AND(V368&gt;175,W368&gt;=25,W368&lt;55),0.23,0)+IF(AND(V368&gt;175,W368&gt;=55,W368&lt;95),0.17,0)+IF(AND(V368&gt;175,W368&gt;=95),0.12,0),
IF(AF368="DoEVLo",IF(AND(V368&lt;20,W368&lt;55),0.25,0)+IF(AND(V368&lt;20,W368&gt;=55,W368&lt;105),0.2,0)+IF(AND(V368&lt;20,W368&gt;=105),0.15,0)+IF(AND(V368&gt;=20,V368&lt;40,W368&lt;45),0.25,0)+IF(AND(V368&gt;=20,V368&lt;40,W368&gt;=45,W368&lt;95),0.2,0)+IF(AND(V368&gt;=20,V368&lt;40,W368&gt;=95),0.15,0)+IF(AND(V368&gt;=40,V368&lt;75,W368&lt;35),0.25,0)+IF(AND(V368&gt;=40,V368&lt;75,W368&gt;=35,W368&lt;75),0.2,0)+IF(AND(V368&gt;=40,V368&lt;75,W368&gt;=75,W368&lt;120),0.15,0)+IF(AND(V368&gt;=40,V368&lt;75,W368&gt;=120),0.1,0)+IF(AND(V368&gt;=75,V368&lt;175,W368&lt;35),0.25,0)+IF(AND(V368&gt;=75,V368&lt;=175,W368&gt;=35,W368&lt;65),0.2,0)+IF(AND(V368&gt;=75,V368&lt;=175,W368&gt;=65,W368&lt;110),0.15,0)+IF(AND(V368&gt;=75,V368&lt;=175,W368&gt;=110),0.1,0)+IF(AND(V368&gt;175,W368&lt;25),0.25,0)+IF(AND(V368&gt;175,W368&gt;=25,W368&lt;55),0.2,0)+IF(AND(V368&gt;175,W368&gt;=55,W368&lt;95),0.15,0)+IF(AND(V368&gt;175,W368&gt;=95),0.1,0))))))))))))))))</f>
        <v>0.3</v>
      </c>
      <c r="Y368" s="30">
        <f>IF(AG368="None",0,IF(AG368="Fix5",0.05,IF(AG368="Fix3.75",0.0375,IF(AG368="Fix10",0.1,IF(AG368="Fix3",0.03,0)))))</f>
        <v>0</v>
      </c>
      <c r="Z368" s="35">
        <f>T368-AA368-AB368</f>
        <v>945</v>
      </c>
      <c r="AA368" s="29">
        <f>IF(AD368="EUR",((T368-R368)*X368)*U368+(R368*X368),(T368*X368))</f>
        <v>405</v>
      </c>
      <c r="AB368" s="36">
        <f>IF(AD368="EUR",((T368-R368)*Y368)*U368+(R368*Y368),(T368*Y368))</f>
        <v>0</v>
      </c>
      <c r="AC368" s="37" t="b">
        <v>1</v>
      </c>
      <c r="AD368" s="37" t="s">
        <v>38</v>
      </c>
      <c r="AE368" s="37" t="s">
        <v>38</v>
      </c>
      <c r="AF368" s="37" t="str">
        <f t="array" ref="AF368">INDEX('Deal Info'!D:D, MATCH(A368,'Deal Info'!A:A, 0))</f>
        <v>SF</v>
      </c>
      <c r="AG368" s="38" t="str">
        <f t="array" ref="AG368">INDEX('Deal Info'!G:G, MATCH(A368,'Deal Info'!A:A, 0))</f>
        <v>None</v>
      </c>
    </row>
    <row r="369" spans="1:33" ht="14.25" hidden="1" x14ac:dyDescent="0.2">
      <c r="A369" s="18" t="str">
        <f t="array" ref="A369">IF(G369='Room Info'!$B$1, INDEX('Room Info'!$A$2:$A2446, MATCH(B369,'Room Info'!$B$2:$B2446, 0)),IF(G369='Room Info'!$C$1, INDEX('Room Info'!$A$2:$A2446, MATCH(B369,'Room Info'!$C$2:$C2446, 0)),IF(G369='Room Info'!$D$1, INDEX('Room Info'!$A$2:$A2446, MATCH(B369,'Room Info'!$D$2:$D2446, 0)),IF(G369='Room Info'!$E$1, INDEX('Room Info'!$A$2:$A2446, MATCH(B369,'Room Info'!$E$2:$E2446, 0)),IF(G369='Room Info'!$F$1, INDEX('Room Info'!$A$2:$A2446, MATCH(B369,'Room Info'!$F$2:$F2446, 0)),IF(G369='Room Info'!$H$1, INDEX('Room Info'!$A$2:$A2446, MATCH(B369,'Room Info'!$H$2:$H2446, 0)),IF(G369='Room Info'!$G$1, INDEX('Room Info'!$A$2:$A2446, MATCH(B369,'Room Info'!$G$2:$G2446, 0)))))))))</f>
        <v>Kiss4money99</v>
      </c>
      <c r="B369" s="45" t="s">
        <v>120</v>
      </c>
      <c r="C369" s="46">
        <v>44916</v>
      </c>
      <c r="D369" s="46">
        <v>44946</v>
      </c>
      <c r="E369" s="47">
        <v>44927</v>
      </c>
      <c r="F369" s="48" t="s">
        <v>34</v>
      </c>
      <c r="G369" s="45" t="s">
        <v>35</v>
      </c>
      <c r="H369" s="49" t="s">
        <v>40</v>
      </c>
      <c r="I369" s="49" t="s">
        <v>37</v>
      </c>
      <c r="J369" s="70">
        <v>10</v>
      </c>
      <c r="K369" s="71">
        <v>1250</v>
      </c>
      <c r="L369" s="52">
        <v>580</v>
      </c>
      <c r="M369" s="53">
        <v>300</v>
      </c>
      <c r="N369" s="28">
        <f>K369*J369</f>
        <v>12500</v>
      </c>
      <c r="O369" s="54">
        <v>81662</v>
      </c>
      <c r="P369" s="29">
        <v>65.329599999999999</v>
      </c>
      <c r="Q369" s="55"/>
      <c r="R369" s="31">
        <f>M369+Q369</f>
        <v>300</v>
      </c>
      <c r="S369" s="56">
        <v>597</v>
      </c>
      <c r="T369" s="32">
        <f>R369+S369+IF(F369="Without EV deal",L369,0)</f>
        <v>897</v>
      </c>
      <c r="U369" s="57">
        <v>1</v>
      </c>
      <c r="V369" s="69">
        <v>10</v>
      </c>
      <c r="W369" s="69">
        <v>89.7</v>
      </c>
      <c r="X369" s="30">
        <f>IF(AF369="DoEV",IF(AND(V369&lt;20,W369&lt;55),0.3,0)+IF(AND(V369&lt;20,W369&gt;=55,W369&lt;105),0.23,0)+IF(AND(V369&lt;20,W369&gt;=105),0.17,0)+IF(AND(V369&gt;=20,V369&lt;40,W369&lt;45),0.3,0)+IF(AND(V369&gt;=20,V369&lt;40,W369&gt;=45,W369&lt;95),0.23,0)+IF(AND(V369&gt;=20,V369&lt;40,W369&gt;=95),0.17,0)+IF(AND(V369&gt;=40,V369&lt;75,W369&lt;35),0.3,0)+IF(AND(V369&gt;=40,V369&lt;75,W369&gt;=35,W369&lt;75),0.23,0)+IF(AND(V369&gt;=40,V369&lt;75,W369&gt;=75,W369&lt;120),0.17,0)+IF(AND(V369&gt;=40,V369&lt;75,W369&gt;=120),0.12,0)+IF(AND(V369&gt;=75,V369&lt;175,W369&lt;35),0.3,0)+IF(AND(V369&gt;=75,V369&lt;=175,W369&gt;=35,W369&lt;65),0.23,0)+IF(AND(V369&gt;=75,V369&lt;=175,W369&gt;=65,W369&lt;110),0.17,0)+IF(AND(V369&gt;=75,V369&lt;=175,W369&gt;=110),0.12,0)+IF(AND(V369&gt;175,W369&lt;25),0.3,0)+IF(AND(V369&gt;175,W369&gt;=25,W369&lt;55),0.23,0)+IF(AND(V369&gt;175,W369&gt;=55,W369&lt;95),0.17,0)+IF(AND(V369&gt;175,W369&gt;=95),0.12,0),
IF(AF369="Fix15",0.15,
IF(AF369="Fix11.25",0.1125,
IF(AF369="Fix10",0.1,
IF(AF369="Fix9",0.09,
IF(AF369="DoEV2017",IF(AND(W369&lt;74),0.2,0)+IF(AND(W369&gt;=74),0.17,0),
IF(AF369="SF",IF(AND(V369&lt;20,W369&lt;89),0.3,0)+IF(AND(V369&lt;20,W369&gt;=89),0.25,0)+IF(AND(V369&gt;=20,V369&lt;40,W369&lt;74),0.3,0)+IF(AND(V369&gt;=20,V369&lt;40,W369&gt;=75),0.22,0)+IF(AND(V369&gt;=40,V369&lt;75,W369&lt;75),0.26,0)+IF(AND(V369&gt;=40,V369&lt;75,W369&gt;=75),0.22,0)+IF(V369&gt;=75,0.22,0),
IF(AF369="DoEVold",IF(AND(V369&lt;40,W369&lt;35),0.35,0)+IF(AND(V369&lt;40,W369&gt;=35,W369&lt;75),0.25,0)+IF(AND(V369&lt;40,W369&gt;=75),0.17,0)+IF(AND(V369&gt;=40,V369&lt;75,W369&lt;25),0.35,0)+IF(AND(V369&gt;=40,V369&lt;75,W369&gt;=25,W369&lt;65),0.25,0)+IF(AND(V369&gt;=40,V369&lt;75,W369&gt;=65,W369&lt;100),0.17,0)+IF(AND(V369&gt;=40,V369&lt;75,W369&gt;=100),0.1,0)+IF(AND(V369&gt;=75,W369&lt;25),0.35,0)+IF(AND(V369&gt;=75,W369&gt;=25,W369&lt;60),0.25,0)+IF(AND(V369&gt;=75,W369&gt;=60,W369&lt;95),0.17,0)+IF(AND(V369&gt;=75,W369&gt;=95),0.1,0),
IF(AF369="DoEVold15",IF(AND(V369&lt;=40,W369&lt;35),0.35,0)+IF(AND(V369&lt;=40,W369&gt;=35,W369&lt;75),0.25,0)+IF(AND(V369&lt;=40,W369&gt;=75,W369&lt;120),0.17,0)+IF(AND(V369&lt;=40,W369&gt;=120),0.15,0)+IF(AND(V369&gt;40,V369&lt;75,W369&lt;25),0.35,0)+IF(AND(V369&gt;=40,V369&lt;75,W369&gt;=25,W369&lt;65),0.25,0)+IF(AND(V369&gt;=40,V369&lt;75,W369&gt;=65,W369&lt;100),0.17,0)+IF(AND(V369&gt;=40,V369&lt;75,W369&gt;=100),0.1,0)+IF(AND(V369&gt;=75,W369&lt;25),0.35,0)+IF(AND(V369&gt;=75,W369&gt;=25,W369&lt;60),0.25,0)+IF(AND(V369&gt;=75,W369&gt;=60,W369&lt;95),0.17,0)+IF(AND(V369&gt;=75,W369&gt;=95),0.1,0),
IF(AF369="DoEVba",IF(AND(V369&lt;20,W369&lt;105),0.2,0)+IF(AND(V369&lt;20,W369&gt;=105),0.15,0)+IF(AND(V369&gt;=20,V369&lt;40,W369&lt;95),0.2,0)+IF(AND(V369&gt;=20,V369&lt;40,W369&gt;=95,W369&lt;150),0.15,0)+IF(AND(V369&gt;=20,V369&lt;40,W369&gt;=150),0.12,0)+IF(AND(V369&gt;=40,V369&lt;75,W369&lt;75),0.2,0)+IF(AND(V369&gt;=40,V369&lt;75,W369&gt;=75,W369&lt;120),0.15,0)+IF(AND(V369&gt;=40,V369&lt;75,W369&gt;=120),0.12,0)+IF(AND(V369&gt;=75,V369&lt;175,W369&lt;65),0.2,0)+IF(AND(V369&gt;=75,V369&lt;175,W369&gt;=65,W369&lt;110),0.15,0)+IF(AND(V369&gt;=75,V369&lt;175,W369&gt;=110),0.12,0)+IF(AND(V369&gt;=175,W369&lt;55),0.2,0)+IF(AND(V369&gt;=175,W369&gt;=55,W369&lt;95),0.15,0)+IF(AND(V369&gt;=175,W369&gt;=95),0.12,0),
IF(AF369="DoEVku",IF(AND(V369&lt;20,W369&lt;55),0.23,0)+IF(AND(V369&lt;20,W369&gt;=55,W369&lt;105),0.2,0)+IF(AND(V369&lt;20,W369&gt;=105),0.17,0)+IF(AND(V369&gt;=20,V369&lt;40,W369&lt;45),0.23,0)+IF(AND(V369&gt;=20,V369&lt;40,W369&gt;=45,W369&lt;95),0.2,0)+IF(AND(V369&gt;=20,V369&lt;40,W369&gt;=95,W369&lt;=150),0.17,0)+IF(AND(V369&gt;=20,V369&lt;40,W369&gt;=150),0.12,0)+IF(AND(V369&gt;=40,V369&lt;75,W369&lt;35),0.23,0)+IF(AND(V369&gt;=40,V369&lt;75,W369&gt;=35,W369&lt;75),0.2,0)+IF(AND(V369&gt;=40,V369&lt;75,W369&gt;=75,W369&lt;120),0.17,0)+IF(AND(V369&gt;=40,V369&lt;75,W369&gt;=120),0.12,0)+IF(AND(V369&gt;=75,V369&lt;175,W369&lt;35),0.23,0)+IF(AND(V369&gt;=75,V369&lt;=175,W369&gt;=35,W369&lt;65),0.2,0)+IF(AND(V369&gt;=75,V369&lt;=175,W369&gt;=65,W369&lt;110),0.17,0)+IF(AND(V369&gt;=75,V369&lt;=175,W369&gt;=110),0.12,0)+IF(AND(V369&gt;175,W369&lt;25),0.23,0)+IF(AND(V369&gt;175,W369&gt;=25,W369&lt;55),0.2,0)+IF(AND(V369&gt;175,W369&gt;=55,W369&lt;95),0.17,0)+IF(AND(V369&gt;175,W369&gt;=95),0.12,0),
IF(AF369="DoEVs1",IF(AND(V369&lt;20,W369&lt;55),0.3,0)+IF(AND(V369&lt;20,W369&gt;=55,W369&lt;105),0.23,0)+IF(AND(V369&lt;20,W369&gt;=105),0.17,0)+IF(AND(V369&gt;=20,V369&lt;40,W369&lt;45),0.3,0)+IF(AND(V369&gt;=20,V369&lt;40,W369&gt;=45,W369&lt;95),0.23,0)+IF(AND(V369&gt;=20,V369&lt;40,W369&gt;=95,W369&lt;=150),0.17,0)+IF(AND(V369&gt;=20,V369&lt;40,W369&gt;=150),0.12,0)+IF(AND(V369&gt;=40,V369&lt;75,W369&lt;35),0.3,0)+IF(AND(V369&gt;=40,V369&lt;75,W369&gt;=35,W369&lt;75),0.23,0)+IF(AND(V369&gt;=40,V369&lt;75,W369&gt;=75,W369&lt;120),0.17,0)+IF(AND(V369&gt;=40,V369&lt;75,W369&gt;=120),0.12,0)+IF(AND(V369&gt;=75,V369&lt;175,W369&lt;35),0.3,0)+IF(AND(V369&gt;=75,V369&lt;=175,W369&gt;=35,W369&lt;65),0.23,0)+IF(AND(V369&gt;=75,V369&lt;=175,W369&gt;=65,W369&lt;110),0.17,0)+IF(AND(V369&gt;=75,V369&lt;=175,W369&gt;=110),0.12,0)+IF(AND(V369&gt;175,W369&lt;25),0.3,0)+IF(AND(V369&gt;175,W369&gt;=25,W369&lt;55),0.23,0)+IF(AND(V369&gt;175,W369&gt;=55,W369&lt;95),0.17,0)+IF(AND(V369&gt;175,W369&gt;=95),0.12,0),
IF(AF369="DoEVsu",IF(AND(V369&lt;20,W369&lt;55),0.3,0)+IF(AND(V369&lt;20,W369&gt;=55,W369&lt;105),0.23,0)+IF(AND(V369&lt;20,W369&gt;=105),0.17,0)+IF(AND(V369&gt;=20,V369&lt;40,W369&lt;45),0.3,0)+IF(AND(V369&gt;=20,V369&lt;40,W369&gt;=45,W369&lt;95),0.23,0)+IF(AND(V369&gt;=20,V369&lt;40,W369&gt;=95,W369&lt;=250),0.17,0)+IF(AND(V369&gt;=20,V369&lt;40,W369&gt;=250),0.12,0)+IF(AND(V369&gt;=40,V369&lt;75,W369&lt;35),0.3,0)+IF(AND(V369&gt;=40,V369&lt;75,W369&gt;=35,W369&lt;75),0.23,0)+IF(AND(V369&gt;=40,V369&lt;75,W369&gt;=75,W369&lt;120),0.17,0)+IF(AND(V369&gt;=40,V369&lt;75,W369&gt;=120),0.12,0)+IF(AND(V369&gt;=75,V369&lt;175,W369&lt;35),0.3,0)+IF(AND(V369&gt;=75,V369&lt;=175,W369&gt;=35,W369&lt;65),0.23,0)+IF(AND(V369&gt;=75,V369&lt;=175,W369&gt;=65,W369&lt;110),0.17,0)+IF(AND(V369&gt;=75,V369&lt;=175,W369&gt;=110),0.12,0)+IF(AND(V369&gt;175,W369&lt;25),0.3,0)+IF(AND(V369&gt;175,W369&gt;=25,W369&lt;55),0.23,0)+IF(AND(V369&gt;175,W369&gt;=55,W369&lt;95),0.17,0)+IF(AND(V369&gt;175,W369&gt;=95),0.12,0),
IF(AF369="DoEVni",IF(AND(V369&lt;20,W369&lt;55),0.3,0)+IF(AND(V369&lt;20,W369&gt;=55,W369&lt;105),0.23,0)+IF(AND(V369&lt;20,W369&gt;=105),0.17,0)+IF(AND(V369&gt;=20,V369&lt;40,W369&lt;45),0.3,0)+IF(AND(V369&gt;=20,V369&lt;40,W369&gt;=45,W369&lt;95),0.23,0)+IF(AND(V369&gt;=20,V369&lt;40,W369&gt;=95,W369&lt;=200),0.17,0)+IF(AND(V369&gt;=20,V369&lt;40,W369&gt;=200),0.12,0)+IF(AND(V369&gt;=40,V369&lt;75,W369&lt;35),0.3,0)+IF(AND(V369&gt;=40,V369&lt;75,W369&gt;=35,W369&lt;75),0.23,0)+IF(AND(V369&gt;=40,V369&lt;75,W369&gt;=75,W369&lt;120),0.17,0)+IF(AND(V369&gt;=40,V369&lt;75,W369&gt;=120),0.12,0)+IF(AND(V369&gt;=75,V369&lt;175,W369&lt;35),0.3,0)+IF(AND(V369&gt;=75,V369&lt;=175,W369&gt;=35,W369&lt;65),0.23,0)+IF(AND(V369&gt;=75,V369&lt;=175,W369&gt;=65,W369&lt;110),0.17,0)+IF(AND(V369&gt;=75,V369&lt;=175,W369&gt;=110),0.12,0)+IF(AND(V369&gt;175,W369&lt;25),0.3,0)+IF(AND(V369&gt;175,W369&gt;=25,W369&lt;55),0.23,0)+IF(AND(V369&gt;175,W369&gt;=55,W369&lt;95),0.17,0)+IF(AND(V369&gt;175,W369&gt;=95),0.12,0),
IF(AF369="DoEVLo",IF(AND(V369&lt;20,W369&lt;55),0.25,0)+IF(AND(V369&lt;20,W369&gt;=55,W369&lt;105),0.2,0)+IF(AND(V369&lt;20,W369&gt;=105),0.15,0)+IF(AND(V369&gt;=20,V369&lt;40,W369&lt;45),0.25,0)+IF(AND(V369&gt;=20,V369&lt;40,W369&gt;=45,W369&lt;95),0.2,0)+IF(AND(V369&gt;=20,V369&lt;40,W369&gt;=95),0.15,0)+IF(AND(V369&gt;=40,V369&lt;75,W369&lt;35),0.25,0)+IF(AND(V369&gt;=40,V369&lt;75,W369&gt;=35,W369&lt;75),0.2,0)+IF(AND(V369&gt;=40,V369&lt;75,W369&gt;=75,W369&lt;120),0.15,0)+IF(AND(V369&gt;=40,V369&lt;75,W369&gt;=120),0.1,0)+IF(AND(V369&gt;=75,V369&lt;175,W369&lt;35),0.25,0)+IF(AND(V369&gt;=75,V369&lt;=175,W369&gt;=35,W369&lt;65),0.2,0)+IF(AND(V369&gt;=75,V369&lt;=175,W369&gt;=65,W369&lt;110),0.15,0)+IF(AND(V369&gt;=75,V369&lt;=175,W369&gt;=110),0.1,0)+IF(AND(V369&gt;175,W369&lt;25),0.25,0)+IF(AND(V369&gt;175,W369&gt;=25,W369&lt;55),0.2,0)+IF(AND(V369&gt;175,W369&gt;=55,W369&lt;95),0.15,0)+IF(AND(V369&gt;175,W369&gt;=95),0.1,0))))))))))))))))</f>
        <v>0.25</v>
      </c>
      <c r="Y369" s="30">
        <f>IF(AG369="None",0,IF(AG369="Fix5",0.05,IF(AG369="Fix3.75",0.0375,IF(AG369="Fix10",0.1,IF(AG369="Fix3",0.03,0)))))</f>
        <v>0</v>
      </c>
      <c r="Z369" s="35">
        <f>T369-AA369-AB369</f>
        <v>672.75</v>
      </c>
      <c r="AA369" s="29">
        <f>IF(AD369="EUR",((T369-R369)*X369)*U369+(R369*X369),(T369*X369))</f>
        <v>224.25</v>
      </c>
      <c r="AB369" s="36">
        <f>IF(AD369="EUR",((T369-R369)*Y369)*U369+(R369*Y369),(T369*Y369))</f>
        <v>0</v>
      </c>
      <c r="AC369" s="37" t="b">
        <v>1</v>
      </c>
      <c r="AD369" s="37" t="s">
        <v>38</v>
      </c>
      <c r="AE369" s="37" t="s">
        <v>38</v>
      </c>
      <c r="AF369" s="37" t="str">
        <f t="array" ref="AF369">INDEX('Deal Info'!D:D, MATCH(A369,'Deal Info'!A:A, 0))</f>
        <v>SF</v>
      </c>
      <c r="AG369" s="38" t="str">
        <f t="array" ref="AG369">INDEX('Deal Info'!G:G, MATCH(A369,'Deal Info'!A:A, 0))</f>
        <v>None</v>
      </c>
    </row>
    <row r="370" spans="1:33" ht="14.25" x14ac:dyDescent="0.2">
      <c r="A370" s="18" t="s">
        <v>98</v>
      </c>
      <c r="B370" s="45" t="s">
        <v>99</v>
      </c>
      <c r="C370" s="111">
        <v>44698</v>
      </c>
      <c r="D370" s="111">
        <v>44712</v>
      </c>
      <c r="E370" s="47">
        <v>44682</v>
      </c>
      <c r="F370" s="48" t="s">
        <v>49</v>
      </c>
      <c r="G370" s="65" t="s">
        <v>61</v>
      </c>
      <c r="H370" s="49" t="s">
        <v>179</v>
      </c>
      <c r="I370" s="49" t="s">
        <v>37</v>
      </c>
      <c r="J370" s="50">
        <v>25</v>
      </c>
      <c r="K370" s="123">
        <v>11</v>
      </c>
      <c r="L370" s="113">
        <v>125</v>
      </c>
      <c r="M370" s="62">
        <v>5</v>
      </c>
      <c r="N370" s="28">
        <f>K370*J370</f>
        <v>275</v>
      </c>
      <c r="O370" s="65">
        <v>1811</v>
      </c>
      <c r="P370" s="29">
        <v>164.63636360000001</v>
      </c>
      <c r="Q370" s="55"/>
      <c r="R370" s="31">
        <f>M370+Q370</f>
        <v>5</v>
      </c>
      <c r="S370" s="66">
        <v>56</v>
      </c>
      <c r="T370" s="32">
        <f>R370+S370+IF(F370="Without EV deal",L370,0)</f>
        <v>61</v>
      </c>
      <c r="U370" s="57">
        <v>1.07</v>
      </c>
      <c r="V370" s="69"/>
      <c r="W370" s="69"/>
      <c r="X370" s="30">
        <v>0.25</v>
      </c>
      <c r="Y370" s="30">
        <f>IF(AG370="None",0,IF(AG370="Fix5",0.05, IF(AG370="Fix6.25",0.0625,IF(AG370="Fix3.75",0.0375,IF(AG370="Fix10",0.1,IF(AG370="Fix3",0.03,0))))))</f>
        <v>0</v>
      </c>
      <c r="Z370" s="35">
        <f>T370-AA370-AB370</f>
        <v>44.769999999999996</v>
      </c>
      <c r="AA370" s="29">
        <f>IF(AD370="EUR",((T370-R370)*X370)*U370+(R370*X370),(T370*X370))</f>
        <v>16.23</v>
      </c>
      <c r="AB370" s="36">
        <f>IF(AD370="EUR",((T370-R370)*Y370)*U370+(R370*Y370),(T370*Y370))</f>
        <v>0</v>
      </c>
      <c r="AC370" s="37" t="b">
        <v>1</v>
      </c>
      <c r="AD370" s="61" t="s">
        <v>50</v>
      </c>
      <c r="AE370" s="61"/>
      <c r="AF370" s="37" t="str">
        <f t="array" ref="AF370">INDEX('Deal Info'!D:D, MATCH(A370,'Deal Info'!A:A, 0))</f>
        <v>DoEVold</v>
      </c>
      <c r="AG370" s="38" t="str">
        <f t="array" ref="AG370">INDEX('Deal Info'!G:G, MATCH(A370,'Deal Info'!A:A, 0))</f>
        <v>None</v>
      </c>
    </row>
    <row r="371" spans="1:33" ht="14.25" x14ac:dyDescent="0.2">
      <c r="A371" s="18" t="s">
        <v>98</v>
      </c>
      <c r="B371" s="45" t="s">
        <v>99</v>
      </c>
      <c r="C371" s="77">
        <v>44682</v>
      </c>
      <c r="D371" s="77">
        <v>44697</v>
      </c>
      <c r="E371" s="47">
        <v>44682</v>
      </c>
      <c r="F371" s="48" t="s">
        <v>41</v>
      </c>
      <c r="G371" s="45" t="s">
        <v>61</v>
      </c>
      <c r="H371" s="49" t="s">
        <v>199</v>
      </c>
      <c r="I371" s="49" t="s">
        <v>37</v>
      </c>
      <c r="J371" s="74">
        <v>100</v>
      </c>
      <c r="K371" s="75">
        <v>36</v>
      </c>
      <c r="L371" s="72">
        <v>-500</v>
      </c>
      <c r="M371" s="76">
        <v>65</v>
      </c>
      <c r="N371" s="28">
        <f>K371*J371</f>
        <v>3600</v>
      </c>
      <c r="O371" s="45">
        <v>-89</v>
      </c>
      <c r="P371" s="29">
        <v>-2.4722222220000001</v>
      </c>
      <c r="Q371" s="55"/>
      <c r="R371" s="31">
        <f>M371+Q371</f>
        <v>65</v>
      </c>
      <c r="S371" s="73"/>
      <c r="T371" s="32">
        <f>R371+S371+IF(F371="Without EV deal",L371,0)</f>
        <v>-435</v>
      </c>
      <c r="U371" s="57">
        <v>1.07</v>
      </c>
      <c r="V371" s="69"/>
      <c r="W371" s="69"/>
      <c r="X371" s="30">
        <v>0.25</v>
      </c>
      <c r="Y371" s="30">
        <f>IF(AG371="None",0,IF(AG371="Fix5",0.05, IF(AG371="Fix6.25",0.0625,IF(AG371="Fix3.75",0.0375,IF(AG371="Fix10",0.1,IF(AG371="Fix3",0.03,0))))))</f>
        <v>0</v>
      </c>
      <c r="Z371" s="35">
        <f>T371-AA371-AB371</f>
        <v>-317.5</v>
      </c>
      <c r="AA371" s="29">
        <f>IF(AD371="EUR",((T371-R371)*X371)*U371+(R371*X371),(T371*X371))</f>
        <v>-117.5</v>
      </c>
      <c r="AB371" s="36">
        <f>IF(AD371="EUR",((T371-R371)*Y371)*U371+(R371*Y371),(T371*Y371))</f>
        <v>0</v>
      </c>
      <c r="AC371" s="37" t="b">
        <v>1</v>
      </c>
      <c r="AD371" s="61" t="s">
        <v>50</v>
      </c>
      <c r="AE371" s="61"/>
      <c r="AF371" s="37" t="str">
        <f t="array" ref="AF371">INDEX('Deal Info'!D:D, MATCH(A371,'Deal Info'!A:A, 0))</f>
        <v>DoEVold</v>
      </c>
      <c r="AG371" s="38" t="str">
        <f t="array" ref="AG371">INDEX('Deal Info'!G:G, MATCH(A371,'Deal Info'!A:A, 0))</f>
        <v>None</v>
      </c>
    </row>
    <row r="372" spans="1:33" ht="14.25" x14ac:dyDescent="0.2">
      <c r="A372" s="18" t="s">
        <v>98</v>
      </c>
      <c r="B372" s="45" t="s">
        <v>99</v>
      </c>
      <c r="C372" s="111">
        <v>44682</v>
      </c>
      <c r="D372" s="111">
        <v>44697</v>
      </c>
      <c r="E372" s="47">
        <v>44682</v>
      </c>
      <c r="F372" s="48" t="s">
        <v>41</v>
      </c>
      <c r="G372" s="65" t="s">
        <v>61</v>
      </c>
      <c r="H372" s="49" t="s">
        <v>59</v>
      </c>
      <c r="I372" s="49" t="s">
        <v>37</v>
      </c>
      <c r="J372" s="50">
        <v>100</v>
      </c>
      <c r="K372" s="123">
        <v>3</v>
      </c>
      <c r="L372" s="113">
        <v>-300</v>
      </c>
      <c r="M372" s="62">
        <v>5</v>
      </c>
      <c r="N372" s="28">
        <f>K372*J372</f>
        <v>300</v>
      </c>
      <c r="O372" s="65">
        <v>-28</v>
      </c>
      <c r="P372" s="29">
        <v>-9.3333333330000006</v>
      </c>
      <c r="Q372" s="55"/>
      <c r="R372" s="31">
        <f>M372+Q372</f>
        <v>5</v>
      </c>
      <c r="S372" s="66"/>
      <c r="T372" s="32">
        <f>R372+S372+IF(F372="Without EV deal",L372,0)</f>
        <v>-295</v>
      </c>
      <c r="U372" s="57">
        <v>1.07</v>
      </c>
      <c r="V372" s="69"/>
      <c r="W372" s="69"/>
      <c r="X372" s="30">
        <v>0.25</v>
      </c>
      <c r="Y372" s="30">
        <f>IF(AG372="None",0,IF(AG372="Fix5",0.05, IF(AG372="Fix6.25",0.0625,IF(AG372="Fix3.75",0.0375,IF(AG372="Fix10",0.1,IF(AG372="Fix3",0.03,0))))))</f>
        <v>0</v>
      </c>
      <c r="Z372" s="35">
        <f>T372-AA372-AB372</f>
        <v>-216</v>
      </c>
      <c r="AA372" s="29">
        <f>IF(AD372="EUR",((T372-R372)*X372)*U372+(R372*X372),(T372*X372))</f>
        <v>-79</v>
      </c>
      <c r="AB372" s="36">
        <f>IF(AD372="EUR",((T372-R372)*Y372)*U372+(R372*Y372),(T372*Y372))</f>
        <v>0</v>
      </c>
      <c r="AC372" s="37" t="b">
        <v>1</v>
      </c>
      <c r="AD372" s="61" t="s">
        <v>50</v>
      </c>
      <c r="AE372" s="61"/>
      <c r="AF372" s="37" t="str">
        <f t="array" ref="AF372">INDEX('Deal Info'!D:D, MATCH(A372,'Deal Info'!A:A, 0))</f>
        <v>DoEVold</v>
      </c>
      <c r="AG372" s="38" t="str">
        <f t="array" ref="AG372">INDEX('Deal Info'!G:G, MATCH(A372,'Deal Info'!A:A, 0))</f>
        <v>None</v>
      </c>
    </row>
    <row r="373" spans="1:33" ht="14.25" x14ac:dyDescent="0.2">
      <c r="A373" s="18" t="s">
        <v>98</v>
      </c>
      <c r="B373" s="45" t="s">
        <v>99</v>
      </c>
      <c r="C373" s="46">
        <v>44704</v>
      </c>
      <c r="D373" s="46">
        <v>44712</v>
      </c>
      <c r="E373" s="47">
        <v>44682</v>
      </c>
      <c r="F373" s="48" t="s">
        <v>49</v>
      </c>
      <c r="G373" s="65" t="s">
        <v>61</v>
      </c>
      <c r="H373" s="49" t="s">
        <v>59</v>
      </c>
      <c r="I373" s="49" t="s">
        <v>37</v>
      </c>
      <c r="J373" s="50">
        <v>100</v>
      </c>
      <c r="K373" s="51">
        <v>432</v>
      </c>
      <c r="L373" s="52">
        <v>-1654</v>
      </c>
      <c r="M373" s="53">
        <v>779</v>
      </c>
      <c r="N373" s="28">
        <f>K373*J373</f>
        <v>43200</v>
      </c>
      <c r="O373" s="54">
        <v>6153</v>
      </c>
      <c r="P373" s="29">
        <v>14.24305556</v>
      </c>
      <c r="Q373" s="55"/>
      <c r="R373" s="31">
        <f>M373+Q373</f>
        <v>779</v>
      </c>
      <c r="S373" s="56">
        <v>-2833</v>
      </c>
      <c r="T373" s="32">
        <f>R373+S373+IF(F373="Without EV deal",L373,0)</f>
        <v>-2054</v>
      </c>
      <c r="U373" s="57">
        <v>1.07</v>
      </c>
      <c r="V373" s="58"/>
      <c r="W373" s="58"/>
      <c r="X373" s="78">
        <v>0.25</v>
      </c>
      <c r="Y373" s="30">
        <f>IF(AG373="None",0,IF(AG373="Fix5",0.05, IF(AG373="Fix6.25",0.0625,IF(AG373="Fix3.75",0.0375,IF(AG373="Fix10",0.1,IF(AG373="Fix3",0.03,0))))))</f>
        <v>0</v>
      </c>
      <c r="Z373" s="35">
        <f>T373-AA373-AB373</f>
        <v>-1490.9224999999999</v>
      </c>
      <c r="AA373" s="29">
        <f>IF(AD373="EUR",((T373-R373)*X373)*U373+(R373*X373),(T373*X373))</f>
        <v>-563.0775000000001</v>
      </c>
      <c r="AB373" s="36">
        <f>IF(AD373="EUR",((T373-R373)*Y373)*U373+(R373*Y373),(T373*Y373))</f>
        <v>0</v>
      </c>
      <c r="AC373" s="37" t="b">
        <v>1</v>
      </c>
      <c r="AD373" s="83" t="s">
        <v>50</v>
      </c>
      <c r="AE373" s="83"/>
      <c r="AF373" s="37" t="str">
        <f t="array" ref="AF373">INDEX('Deal Info'!D:D, MATCH(A373,'Deal Info'!A:A, 0))</f>
        <v>DoEVold</v>
      </c>
      <c r="AG373" s="38" t="str">
        <f t="array" ref="AG373">INDEX('Deal Info'!G:G, MATCH(A373,'Deal Info'!A:A, 0))</f>
        <v>None</v>
      </c>
    </row>
    <row r="374" spans="1:33" ht="14.25" hidden="1" x14ac:dyDescent="0.2">
      <c r="A374" s="18" t="str">
        <f t="array" ref="A374">IF(G374='Room Info'!$B$1, INDEX('Room Info'!$A$2:$A2446, MATCH(B374,'Room Info'!$B$2:$B2446, 0)),IF(G374='Room Info'!$C$1, INDEX('Room Info'!$A$2:$A2446, MATCH(B374,'Room Info'!$C$2:$C2446, 0)),IF(G374='Room Info'!$D$1, INDEX('Room Info'!$A$2:$A2446, MATCH(B374,'Room Info'!$D$2:$D2446, 0)),IF(G374='Room Info'!$E$1, INDEX('Room Info'!$A$2:$A2446, MATCH(B374,'Room Info'!$E$2:$E2446, 0)),IF(G374='Room Info'!$F$1, INDEX('Room Info'!$A$2:$A2446, MATCH(B374,'Room Info'!$F$2:$F2446, 0)),IF(G374='Room Info'!$H$1, INDEX('Room Info'!$A$2:$A2446, MATCH(B374,'Room Info'!$H$2:$H2446, 0)),IF(G374='Room Info'!$G$1, INDEX('Room Info'!$A$2:$A2446, MATCH(B374,'Room Info'!$G$2:$G2446, 0)))))))))</f>
        <v>DeusVulter</v>
      </c>
      <c r="B374" s="45" t="s">
        <v>123</v>
      </c>
      <c r="C374" s="46">
        <v>44903</v>
      </c>
      <c r="D374" s="46">
        <v>44926</v>
      </c>
      <c r="E374" s="47">
        <v>44896</v>
      </c>
      <c r="F374" s="48" t="s">
        <v>34</v>
      </c>
      <c r="G374" s="45" t="s">
        <v>69</v>
      </c>
      <c r="H374" s="49" t="s">
        <v>71</v>
      </c>
      <c r="I374" s="49" t="s">
        <v>37</v>
      </c>
      <c r="J374" s="70">
        <v>20</v>
      </c>
      <c r="K374" s="71">
        <v>2775</v>
      </c>
      <c r="L374" s="52">
        <v>-2260</v>
      </c>
      <c r="M374" s="53">
        <v>1621</v>
      </c>
      <c r="N374" s="28">
        <f>K374*J374</f>
        <v>55500</v>
      </c>
      <c r="O374" s="54">
        <v>81132</v>
      </c>
      <c r="P374" s="29">
        <v>29.236756759999999</v>
      </c>
      <c r="Q374" s="55"/>
      <c r="R374" s="31">
        <f>M374+Q374</f>
        <v>1621</v>
      </c>
      <c r="S374" s="56">
        <v>-412</v>
      </c>
      <c r="T374" s="32">
        <f>R374+S374+IF(F374="Without EV deal",L374,0)</f>
        <v>1209</v>
      </c>
      <c r="U374" s="57">
        <v>1</v>
      </c>
      <c r="V374" s="69">
        <v>19.994596541786745</v>
      </c>
      <c r="W374" s="69">
        <v>60.716403927574092</v>
      </c>
      <c r="X374" s="30">
        <f>IF(AF374="DoEV",IF(AND(V374&lt;20,W374&lt;55),0.3,0)+IF(AND(V374&lt;20,W374&gt;=55,W374&lt;105),0.23,0)+IF(AND(V374&lt;20,W374&gt;=105),0.17,0)+IF(AND(V374&gt;=20,V374&lt;40,W374&lt;45),0.3,0)+IF(AND(V374&gt;=20,V374&lt;40,W374&gt;=45,W374&lt;95),0.23,0)+IF(AND(V374&gt;=20,V374&lt;40,W374&gt;=95),0.17,0)+IF(AND(V374&gt;=40,V374&lt;75,W374&lt;35),0.3,0)+IF(AND(V374&gt;=40,V374&lt;75,W374&gt;=35,W374&lt;75),0.23,0)+IF(AND(V374&gt;=40,V374&lt;75,W374&gt;=75,W374&lt;120),0.17,0)+IF(AND(V374&gt;=40,V374&lt;75,W374&gt;=120),0.12,0)+IF(AND(V374&gt;=75,V374&lt;175,W374&lt;35),0.3,0)+IF(AND(V374&gt;=75,V374&lt;=175,W374&gt;=35,W374&lt;65),0.23,0)+IF(AND(V374&gt;=75,V374&lt;=175,W374&gt;=65,W374&lt;110),0.17,0)+IF(AND(V374&gt;=75,V374&lt;=175,W374&gt;=110),0.12,0)+IF(AND(V374&gt;175,W374&lt;25),0.3,0)+IF(AND(V374&gt;175,W374&gt;=25,W374&lt;55),0.23,0)+IF(AND(V374&gt;175,W374&gt;=55,W374&lt;95),0.17,0)+IF(AND(V374&gt;175,W374&gt;=95),0.12,0),
IF(AF374="Fix15",0.15,
IF(AF374="Fix11.25",0.1125,
IF(AF374="Fix10",0.1,
IF(AF374="Fix9",0.09,
IF(AF374="DoEV2017",IF(AND(W374&lt;74),0.2,0)+IF(AND(W374&gt;=74),0.17,0),
IF(AF374="SF",IF(AND(V374&lt;20,W374&lt;89),0.3,0)+IF(AND(V374&lt;20,W374&gt;=89),0.25,0)+IF(AND(V374&gt;=20,V374&lt;40,W374&lt;74),0.3,0)+IF(AND(V374&gt;=20,V374&lt;40,W374&gt;=75),0.22,0)+IF(AND(V374&gt;=40,V374&lt;75,W374&lt;75),0.26,0)+IF(AND(V374&gt;=40,V374&lt;75,W374&gt;=75),0.22,0)+IF(V374&gt;=75,0.22,0),
IF(AF374="DoEVold",IF(AND(V374&lt;40,W374&lt;35),0.35,0)+IF(AND(V374&lt;40,W374&gt;=35,W374&lt;75),0.25,0)+IF(AND(V374&lt;40,W374&gt;=75),0.17,0)+IF(AND(V374&gt;=40,V374&lt;75,W374&lt;25),0.35,0)+IF(AND(V374&gt;=40,V374&lt;75,W374&gt;=25,W374&lt;65),0.25,0)+IF(AND(V374&gt;=40,V374&lt;75,W374&gt;=65,W374&lt;100),0.17,0)+IF(AND(V374&gt;=40,V374&lt;75,W374&gt;=100),0.1,0)+IF(AND(V374&gt;=75,W374&lt;25),0.35,0)+IF(AND(V374&gt;=75,W374&gt;=25,W374&lt;60),0.25,0)+IF(AND(V374&gt;=75,W374&gt;=60,W374&lt;95),0.17,0)+IF(AND(V374&gt;=75,W374&gt;=95),0.1,0),
IF(AF374="DoEVold15",IF(AND(V374&lt;=40,W374&lt;35),0.35,0)+IF(AND(V374&lt;=40,W374&gt;=35,W374&lt;75),0.25,0)+IF(AND(V374&lt;=40,W374&gt;=75,W374&lt;120),0.17,0)+IF(AND(V374&lt;=40,W374&gt;=120),0.15,0)+IF(AND(V374&gt;40,V374&lt;75,W374&lt;25),0.35,0)+IF(AND(V374&gt;=40,V374&lt;75,W374&gt;=25,W374&lt;65),0.25,0)+IF(AND(V374&gt;=40,V374&lt;75,W374&gt;=65,W374&lt;100),0.17,0)+IF(AND(V374&gt;=40,V374&lt;75,W374&gt;=100),0.1,0)+IF(AND(V374&gt;=75,W374&lt;25),0.35,0)+IF(AND(V374&gt;=75,W374&gt;=25,W374&lt;60),0.25,0)+IF(AND(V374&gt;=75,W374&gt;=60,W374&lt;95),0.17,0)+IF(AND(V374&gt;=75,W374&gt;=95),0.1,0),
IF(AF374="DoEVba",IF(AND(V374&lt;20,W374&lt;105),0.2,0)+IF(AND(V374&lt;20,W374&gt;=105),0.15,0)+IF(AND(V374&gt;=20,V374&lt;40,W374&lt;95),0.2,0)+IF(AND(V374&gt;=20,V374&lt;40,W374&gt;=95,W374&lt;150),0.15,0)+IF(AND(V374&gt;=20,V374&lt;40,W374&gt;=150),0.12,0)+IF(AND(V374&gt;=40,V374&lt;75,W374&lt;75),0.2,0)+IF(AND(V374&gt;=40,V374&lt;75,W374&gt;=75,W374&lt;120),0.15,0)+IF(AND(V374&gt;=40,V374&lt;75,W374&gt;=120),0.12,0)+IF(AND(V374&gt;=75,V374&lt;175,W374&lt;65),0.2,0)+IF(AND(V374&gt;=75,V374&lt;175,W374&gt;=65,W374&lt;110),0.15,0)+IF(AND(V374&gt;=75,V374&lt;175,W374&gt;=110),0.12,0)+IF(AND(V374&gt;=175,W374&lt;55),0.2,0)+IF(AND(V374&gt;=175,W374&gt;=55,W374&lt;95),0.15,0)+IF(AND(V374&gt;=175,W374&gt;=95),0.12,0),
IF(AF374="DoEVku",IF(AND(V374&lt;20,W374&lt;55),0.23,0)+IF(AND(V374&lt;20,W374&gt;=55,W374&lt;105),0.2,0)+IF(AND(V374&lt;20,W374&gt;=105),0.17,0)+IF(AND(V374&gt;=20,V374&lt;40,W374&lt;45),0.23,0)+IF(AND(V374&gt;=20,V374&lt;40,W374&gt;=45,W374&lt;95),0.2,0)+IF(AND(V374&gt;=20,V374&lt;40,W374&gt;=95,W374&lt;=150),0.17,0)+IF(AND(V374&gt;=20,V374&lt;40,W374&gt;=150),0.12,0)+IF(AND(V374&gt;=40,V374&lt;75,W374&lt;35),0.23,0)+IF(AND(V374&gt;=40,V374&lt;75,W374&gt;=35,W374&lt;75),0.2,0)+IF(AND(V374&gt;=40,V374&lt;75,W374&gt;=75,W374&lt;120),0.17,0)+IF(AND(V374&gt;=40,V374&lt;75,W374&gt;=120),0.12,0)+IF(AND(V374&gt;=75,V374&lt;175,W374&lt;35),0.23,0)+IF(AND(V374&gt;=75,V374&lt;=175,W374&gt;=35,W374&lt;65),0.2,0)+IF(AND(V374&gt;=75,V374&lt;=175,W374&gt;=65,W374&lt;110),0.17,0)+IF(AND(V374&gt;=75,V374&lt;=175,W374&gt;=110),0.12,0)+IF(AND(V374&gt;175,W374&lt;25),0.23,0)+IF(AND(V374&gt;175,W374&gt;=25,W374&lt;55),0.2,0)+IF(AND(V374&gt;175,W374&gt;=55,W374&lt;95),0.17,0)+IF(AND(V374&gt;175,W374&gt;=95),0.12,0),
IF(AF374="DoEVs1",IF(AND(V374&lt;20,W374&lt;55),0.3,0)+IF(AND(V374&lt;20,W374&gt;=55,W374&lt;105),0.23,0)+IF(AND(V374&lt;20,W374&gt;=105),0.17,0)+IF(AND(V374&gt;=20,V374&lt;40,W374&lt;45),0.3,0)+IF(AND(V374&gt;=20,V374&lt;40,W374&gt;=45,W374&lt;95),0.23,0)+IF(AND(V374&gt;=20,V374&lt;40,W374&gt;=95,W374&lt;=150),0.17,0)+IF(AND(V374&gt;=20,V374&lt;40,W374&gt;=150),0.12,0)+IF(AND(V374&gt;=40,V374&lt;75,W374&lt;35),0.3,0)+IF(AND(V374&gt;=40,V374&lt;75,W374&gt;=35,W374&lt;75),0.23,0)+IF(AND(V374&gt;=40,V374&lt;75,W374&gt;=75,W374&lt;120),0.17,0)+IF(AND(V374&gt;=40,V374&lt;75,W374&gt;=120),0.12,0)+IF(AND(V374&gt;=75,V374&lt;175,W374&lt;35),0.3,0)+IF(AND(V374&gt;=75,V374&lt;=175,W374&gt;=35,W374&lt;65),0.23,0)+IF(AND(V374&gt;=75,V374&lt;=175,W374&gt;=65,W374&lt;110),0.17,0)+IF(AND(V374&gt;=75,V374&lt;=175,W374&gt;=110),0.12,0)+IF(AND(V374&gt;175,W374&lt;25),0.3,0)+IF(AND(V374&gt;175,W374&gt;=25,W374&lt;55),0.23,0)+IF(AND(V374&gt;175,W374&gt;=55,W374&lt;95),0.17,0)+IF(AND(V374&gt;175,W374&gt;=95),0.12,0),
IF(AF374="DoEVsu",IF(AND(V374&lt;20,W374&lt;55),0.3,0)+IF(AND(V374&lt;20,W374&gt;=55,W374&lt;105),0.23,0)+IF(AND(V374&lt;20,W374&gt;=105),0.17,0)+IF(AND(V374&gt;=20,V374&lt;40,W374&lt;45),0.3,0)+IF(AND(V374&gt;=20,V374&lt;40,W374&gt;=45,W374&lt;95),0.23,0)+IF(AND(V374&gt;=20,V374&lt;40,W374&gt;=95,W374&lt;=250),0.17,0)+IF(AND(V374&gt;=20,V374&lt;40,W374&gt;=250),0.12,0)+IF(AND(V374&gt;=40,V374&lt;75,W374&lt;35),0.3,0)+IF(AND(V374&gt;=40,V374&lt;75,W374&gt;=35,W374&lt;75),0.23,0)+IF(AND(V374&gt;=40,V374&lt;75,W374&gt;=75,W374&lt;120),0.17,0)+IF(AND(V374&gt;=40,V374&lt;75,W374&gt;=120),0.12,0)+IF(AND(V374&gt;=75,V374&lt;175,W374&lt;35),0.3,0)+IF(AND(V374&gt;=75,V374&lt;=175,W374&gt;=35,W374&lt;65),0.23,0)+IF(AND(V374&gt;=75,V374&lt;=175,W374&gt;=65,W374&lt;110),0.17,0)+IF(AND(V374&gt;=75,V374&lt;=175,W374&gt;=110),0.12,0)+IF(AND(V374&gt;175,W374&lt;25),0.3,0)+IF(AND(V374&gt;175,W374&gt;=25,W374&lt;55),0.23,0)+IF(AND(V374&gt;175,W374&gt;=55,W374&lt;95),0.17,0)+IF(AND(V374&gt;175,W374&gt;=95),0.12,0),
IF(AF374="DoEVni",IF(AND(V374&lt;20,W374&lt;55),0.3,0)+IF(AND(V374&lt;20,W374&gt;=55,W374&lt;105),0.23,0)+IF(AND(V374&lt;20,W374&gt;=105),0.17,0)+IF(AND(V374&gt;=20,V374&lt;40,W374&lt;45),0.3,0)+IF(AND(V374&gt;=20,V374&lt;40,W374&gt;=45,W374&lt;95),0.23,0)+IF(AND(V374&gt;=20,V374&lt;40,W374&gt;=95,W374&lt;=200),0.17,0)+IF(AND(V374&gt;=20,V374&lt;40,W374&gt;=200),0.12,0)+IF(AND(V374&gt;=40,V374&lt;75,W374&lt;35),0.3,0)+IF(AND(V374&gt;=40,V374&lt;75,W374&gt;=35,W374&lt;75),0.23,0)+IF(AND(V374&gt;=40,V374&lt;75,W374&gt;=75,W374&lt;120),0.17,0)+IF(AND(V374&gt;=40,V374&lt;75,W374&gt;=120),0.12,0)+IF(AND(V374&gt;=75,V374&lt;175,W374&lt;35),0.3,0)+IF(AND(V374&gt;=75,V374&lt;=175,W374&gt;=35,W374&lt;65),0.23,0)+IF(AND(V374&gt;=75,V374&lt;=175,W374&gt;=65,W374&lt;110),0.17,0)+IF(AND(V374&gt;=75,V374&lt;=175,W374&gt;=110),0.12,0)+IF(AND(V374&gt;175,W374&lt;25),0.3,0)+IF(AND(V374&gt;175,W374&gt;=25,W374&lt;55),0.23,0)+IF(AND(V374&gt;175,W374&gt;=55,W374&lt;95),0.17,0)+IF(AND(V374&gt;175,W374&gt;=95),0.12,0),
IF(AF374="DoEVLo",IF(AND(V374&lt;20,W374&lt;55),0.25,0)+IF(AND(V374&lt;20,W374&gt;=55,W374&lt;105),0.2,0)+IF(AND(V374&lt;20,W374&gt;=105),0.15,0)+IF(AND(V374&gt;=20,V374&lt;40,W374&lt;45),0.25,0)+IF(AND(V374&gt;=20,V374&lt;40,W374&gt;=45,W374&lt;95),0.2,0)+IF(AND(V374&gt;=20,V374&lt;40,W374&gt;=95),0.15,0)+IF(AND(V374&gt;=40,V374&lt;75,W374&lt;35),0.25,0)+IF(AND(V374&gt;=40,V374&lt;75,W374&gt;=35,W374&lt;75),0.2,0)+IF(AND(V374&gt;=40,V374&lt;75,W374&gt;=75,W374&lt;120),0.15,0)+IF(AND(V374&gt;=40,V374&lt;75,W374&gt;=120),0.1,0)+IF(AND(V374&gt;=75,V374&lt;175,W374&lt;35),0.25,0)+IF(AND(V374&gt;=75,V374&lt;=175,W374&gt;=35,W374&lt;65),0.2,0)+IF(AND(V374&gt;=75,V374&lt;=175,W374&gt;=65,W374&lt;110),0.15,0)+IF(AND(V374&gt;=75,V374&lt;=175,W374&gt;=110),0.1,0)+IF(AND(V374&gt;175,W374&lt;25),0.25,0)+IF(AND(V374&gt;175,W374&gt;=25,W374&lt;55),0.2,0)+IF(AND(V374&gt;175,W374&gt;=55,W374&lt;95),0.15,0)+IF(AND(V374&gt;175,W374&gt;=95),0.1,0))))))))))))))))</f>
        <v>0.23</v>
      </c>
      <c r="Y374" s="30">
        <f>IF(AG374="None",0,IF(AG374="Fix5",0.05,IF(AG374="Fix3.75",0.0375,IF(AG374="Fix10",0.1,IF(AG374="Fix3",0.03,0)))))</f>
        <v>0</v>
      </c>
      <c r="Z374" s="35">
        <f>T374-AA374-AB374</f>
        <v>930.93000000000006</v>
      </c>
      <c r="AA374" s="29">
        <f>IF(AD374="EUR",((T374-R374)*X374)*U374+(R374*X374),(T374*X374))</f>
        <v>278.07</v>
      </c>
      <c r="AB374" s="36">
        <f>IF(AD374="EUR",((T374-R374)*Y374)*U374+(R374*Y374),(T374*Y374))</f>
        <v>0</v>
      </c>
      <c r="AC374" s="37" t="b">
        <v>1</v>
      </c>
      <c r="AD374" s="37" t="s">
        <v>38</v>
      </c>
      <c r="AE374" s="37" t="s">
        <v>38</v>
      </c>
      <c r="AF374" s="37" t="str">
        <f t="array" ref="AF374">INDEX('Deal Info'!D:D, MATCH(A374,'Deal Info'!A:A, 0))</f>
        <v>DoEV</v>
      </c>
      <c r="AG374" s="38" t="str">
        <f t="array" ref="AG374">INDEX('Deal Info'!G:G, MATCH(A374,'Deal Info'!A:A, 0))</f>
        <v>None</v>
      </c>
    </row>
    <row r="375" spans="1:33" ht="14.25" hidden="1" x14ac:dyDescent="0.2">
      <c r="A375" s="18" t="str">
        <f t="array" ref="A375">IF(G375='Room Info'!$B$1, INDEX('Room Info'!$A$2:$A2446, MATCH(B375,'Room Info'!$B$2:$B2446, 0)),IF(G375='Room Info'!$C$1, INDEX('Room Info'!$A$2:$A2446, MATCH(B375,'Room Info'!$C$2:$C2446, 0)),IF(G375='Room Info'!$D$1, INDEX('Room Info'!$A$2:$A2446, MATCH(B375,'Room Info'!$D$2:$D2446, 0)),IF(G375='Room Info'!$E$1, INDEX('Room Info'!$A$2:$A2446, MATCH(B375,'Room Info'!$E$2:$E2446, 0)),IF(G375='Room Info'!$F$1, INDEX('Room Info'!$A$2:$A2446, MATCH(B375,'Room Info'!$F$2:$F2446, 0)),IF(G375='Room Info'!$H$1, INDEX('Room Info'!$A$2:$A2446, MATCH(B375,'Room Info'!$H$2:$H2446, 0)),IF(G375='Room Info'!$G$1, INDEX('Room Info'!$A$2:$A2446, MATCH(B375,'Room Info'!$G$2:$G2446, 0)))))))))</f>
        <v>DeusVulter</v>
      </c>
      <c r="B375" s="45" t="s">
        <v>123</v>
      </c>
      <c r="C375" s="46">
        <v>44903</v>
      </c>
      <c r="D375" s="46">
        <v>44926</v>
      </c>
      <c r="E375" s="47">
        <v>44896</v>
      </c>
      <c r="F375" s="48" t="s">
        <v>34</v>
      </c>
      <c r="G375" s="45" t="s">
        <v>69</v>
      </c>
      <c r="H375" s="49" t="s">
        <v>39</v>
      </c>
      <c r="I375" s="49" t="s">
        <v>37</v>
      </c>
      <c r="J375" s="70">
        <v>5</v>
      </c>
      <c r="K375" s="71">
        <v>1</v>
      </c>
      <c r="L375" s="52">
        <v>5</v>
      </c>
      <c r="M375" s="53">
        <v>5</v>
      </c>
      <c r="N375" s="28">
        <f>K375*J375</f>
        <v>5</v>
      </c>
      <c r="O375" s="54">
        <v>32</v>
      </c>
      <c r="P375" s="29">
        <v>32</v>
      </c>
      <c r="Q375" s="55"/>
      <c r="R375" s="31">
        <f>M375+Q375</f>
        <v>5</v>
      </c>
      <c r="S375" s="56">
        <v>0</v>
      </c>
      <c r="T375" s="32">
        <f>R375+S375+IF(F375="Without EV deal",L375,0)</f>
        <v>5</v>
      </c>
      <c r="U375" s="57">
        <v>1</v>
      </c>
      <c r="V375" s="69">
        <v>19.994596541786745</v>
      </c>
      <c r="W375" s="69">
        <v>60.716403927574092</v>
      </c>
      <c r="X375" s="30">
        <f>IF(AF375="DoEV",IF(AND(V375&lt;20,W375&lt;55),0.3,0)+IF(AND(V375&lt;20,W375&gt;=55,W375&lt;105),0.23,0)+IF(AND(V375&lt;20,W375&gt;=105),0.17,0)+IF(AND(V375&gt;=20,V375&lt;40,W375&lt;45),0.3,0)+IF(AND(V375&gt;=20,V375&lt;40,W375&gt;=45,W375&lt;95),0.23,0)+IF(AND(V375&gt;=20,V375&lt;40,W375&gt;=95),0.17,0)+IF(AND(V375&gt;=40,V375&lt;75,W375&lt;35),0.3,0)+IF(AND(V375&gt;=40,V375&lt;75,W375&gt;=35,W375&lt;75),0.23,0)+IF(AND(V375&gt;=40,V375&lt;75,W375&gt;=75,W375&lt;120),0.17,0)+IF(AND(V375&gt;=40,V375&lt;75,W375&gt;=120),0.12,0)+IF(AND(V375&gt;=75,V375&lt;175,W375&lt;35),0.3,0)+IF(AND(V375&gt;=75,V375&lt;=175,W375&gt;=35,W375&lt;65),0.23,0)+IF(AND(V375&gt;=75,V375&lt;=175,W375&gt;=65,W375&lt;110),0.17,0)+IF(AND(V375&gt;=75,V375&lt;=175,W375&gt;=110),0.12,0)+IF(AND(V375&gt;175,W375&lt;25),0.3,0)+IF(AND(V375&gt;175,W375&gt;=25,W375&lt;55),0.23,0)+IF(AND(V375&gt;175,W375&gt;=55,W375&lt;95),0.17,0)+IF(AND(V375&gt;175,W375&gt;=95),0.12,0),
IF(AF375="Fix15",0.15,
IF(AF375="Fix11.25",0.1125,
IF(AF375="Fix10",0.1,
IF(AF375="Fix9",0.09,
IF(AF375="DoEV2017",IF(AND(W375&lt;74),0.2,0)+IF(AND(W375&gt;=74),0.17,0),
IF(AF375="SF",IF(AND(V375&lt;20,W375&lt;89),0.3,0)+IF(AND(V375&lt;20,W375&gt;=89),0.25,0)+IF(AND(V375&gt;=20,V375&lt;40,W375&lt;74),0.3,0)+IF(AND(V375&gt;=20,V375&lt;40,W375&gt;=75),0.22,0)+IF(AND(V375&gt;=40,V375&lt;75,W375&lt;75),0.26,0)+IF(AND(V375&gt;=40,V375&lt;75,W375&gt;=75),0.22,0)+IF(V375&gt;=75,0.22,0),
IF(AF375="DoEVold",IF(AND(V375&lt;40,W375&lt;35),0.35,0)+IF(AND(V375&lt;40,W375&gt;=35,W375&lt;75),0.25,0)+IF(AND(V375&lt;40,W375&gt;=75),0.17,0)+IF(AND(V375&gt;=40,V375&lt;75,W375&lt;25),0.35,0)+IF(AND(V375&gt;=40,V375&lt;75,W375&gt;=25,W375&lt;65),0.25,0)+IF(AND(V375&gt;=40,V375&lt;75,W375&gt;=65,W375&lt;100),0.17,0)+IF(AND(V375&gt;=40,V375&lt;75,W375&gt;=100),0.1,0)+IF(AND(V375&gt;=75,W375&lt;25),0.35,0)+IF(AND(V375&gt;=75,W375&gt;=25,W375&lt;60),0.25,0)+IF(AND(V375&gt;=75,W375&gt;=60,W375&lt;95),0.17,0)+IF(AND(V375&gt;=75,W375&gt;=95),0.1,0),
IF(AF375="DoEVold15",IF(AND(V375&lt;=40,W375&lt;35),0.35,0)+IF(AND(V375&lt;=40,W375&gt;=35,W375&lt;75),0.25,0)+IF(AND(V375&lt;=40,W375&gt;=75,W375&lt;120),0.17,0)+IF(AND(V375&lt;=40,W375&gt;=120),0.15,0)+IF(AND(V375&gt;40,V375&lt;75,W375&lt;25),0.35,0)+IF(AND(V375&gt;=40,V375&lt;75,W375&gt;=25,W375&lt;65),0.25,0)+IF(AND(V375&gt;=40,V375&lt;75,W375&gt;=65,W375&lt;100),0.17,0)+IF(AND(V375&gt;=40,V375&lt;75,W375&gt;=100),0.1,0)+IF(AND(V375&gt;=75,W375&lt;25),0.35,0)+IF(AND(V375&gt;=75,W375&gt;=25,W375&lt;60),0.25,0)+IF(AND(V375&gt;=75,W375&gt;=60,W375&lt;95),0.17,0)+IF(AND(V375&gt;=75,W375&gt;=95),0.1,0),
IF(AF375="DoEVba",IF(AND(V375&lt;20,W375&lt;105),0.2,0)+IF(AND(V375&lt;20,W375&gt;=105),0.15,0)+IF(AND(V375&gt;=20,V375&lt;40,W375&lt;95),0.2,0)+IF(AND(V375&gt;=20,V375&lt;40,W375&gt;=95,W375&lt;150),0.15,0)+IF(AND(V375&gt;=20,V375&lt;40,W375&gt;=150),0.12,0)+IF(AND(V375&gt;=40,V375&lt;75,W375&lt;75),0.2,0)+IF(AND(V375&gt;=40,V375&lt;75,W375&gt;=75,W375&lt;120),0.15,0)+IF(AND(V375&gt;=40,V375&lt;75,W375&gt;=120),0.12,0)+IF(AND(V375&gt;=75,V375&lt;175,W375&lt;65),0.2,0)+IF(AND(V375&gt;=75,V375&lt;175,W375&gt;=65,W375&lt;110),0.15,0)+IF(AND(V375&gt;=75,V375&lt;175,W375&gt;=110),0.12,0)+IF(AND(V375&gt;=175,W375&lt;55),0.2,0)+IF(AND(V375&gt;=175,W375&gt;=55,W375&lt;95),0.15,0)+IF(AND(V375&gt;=175,W375&gt;=95),0.12,0),
IF(AF375="DoEVku",IF(AND(V375&lt;20,W375&lt;55),0.23,0)+IF(AND(V375&lt;20,W375&gt;=55,W375&lt;105),0.2,0)+IF(AND(V375&lt;20,W375&gt;=105),0.17,0)+IF(AND(V375&gt;=20,V375&lt;40,W375&lt;45),0.23,0)+IF(AND(V375&gt;=20,V375&lt;40,W375&gt;=45,W375&lt;95),0.2,0)+IF(AND(V375&gt;=20,V375&lt;40,W375&gt;=95,W375&lt;=150),0.17,0)+IF(AND(V375&gt;=20,V375&lt;40,W375&gt;=150),0.12,0)+IF(AND(V375&gt;=40,V375&lt;75,W375&lt;35),0.23,0)+IF(AND(V375&gt;=40,V375&lt;75,W375&gt;=35,W375&lt;75),0.2,0)+IF(AND(V375&gt;=40,V375&lt;75,W375&gt;=75,W375&lt;120),0.17,0)+IF(AND(V375&gt;=40,V375&lt;75,W375&gt;=120),0.12,0)+IF(AND(V375&gt;=75,V375&lt;175,W375&lt;35),0.23,0)+IF(AND(V375&gt;=75,V375&lt;=175,W375&gt;=35,W375&lt;65),0.2,0)+IF(AND(V375&gt;=75,V375&lt;=175,W375&gt;=65,W375&lt;110),0.17,0)+IF(AND(V375&gt;=75,V375&lt;=175,W375&gt;=110),0.12,0)+IF(AND(V375&gt;175,W375&lt;25),0.23,0)+IF(AND(V375&gt;175,W375&gt;=25,W375&lt;55),0.2,0)+IF(AND(V375&gt;175,W375&gt;=55,W375&lt;95),0.17,0)+IF(AND(V375&gt;175,W375&gt;=95),0.12,0),
IF(AF375="DoEVs1",IF(AND(V375&lt;20,W375&lt;55),0.3,0)+IF(AND(V375&lt;20,W375&gt;=55,W375&lt;105),0.23,0)+IF(AND(V375&lt;20,W375&gt;=105),0.17,0)+IF(AND(V375&gt;=20,V375&lt;40,W375&lt;45),0.3,0)+IF(AND(V375&gt;=20,V375&lt;40,W375&gt;=45,W375&lt;95),0.23,0)+IF(AND(V375&gt;=20,V375&lt;40,W375&gt;=95,W375&lt;=150),0.17,0)+IF(AND(V375&gt;=20,V375&lt;40,W375&gt;=150),0.12,0)+IF(AND(V375&gt;=40,V375&lt;75,W375&lt;35),0.3,0)+IF(AND(V375&gt;=40,V375&lt;75,W375&gt;=35,W375&lt;75),0.23,0)+IF(AND(V375&gt;=40,V375&lt;75,W375&gt;=75,W375&lt;120),0.17,0)+IF(AND(V375&gt;=40,V375&lt;75,W375&gt;=120),0.12,0)+IF(AND(V375&gt;=75,V375&lt;175,W375&lt;35),0.3,0)+IF(AND(V375&gt;=75,V375&lt;=175,W375&gt;=35,W375&lt;65),0.23,0)+IF(AND(V375&gt;=75,V375&lt;=175,W375&gt;=65,W375&lt;110),0.17,0)+IF(AND(V375&gt;=75,V375&lt;=175,W375&gt;=110),0.12,0)+IF(AND(V375&gt;175,W375&lt;25),0.3,0)+IF(AND(V375&gt;175,W375&gt;=25,W375&lt;55),0.23,0)+IF(AND(V375&gt;175,W375&gt;=55,W375&lt;95),0.17,0)+IF(AND(V375&gt;175,W375&gt;=95),0.12,0),
IF(AF375="DoEVsu",IF(AND(V375&lt;20,W375&lt;55),0.3,0)+IF(AND(V375&lt;20,W375&gt;=55,W375&lt;105),0.23,0)+IF(AND(V375&lt;20,W375&gt;=105),0.17,0)+IF(AND(V375&gt;=20,V375&lt;40,W375&lt;45),0.3,0)+IF(AND(V375&gt;=20,V375&lt;40,W375&gt;=45,W375&lt;95),0.23,0)+IF(AND(V375&gt;=20,V375&lt;40,W375&gt;=95,W375&lt;=250),0.17,0)+IF(AND(V375&gt;=20,V375&lt;40,W375&gt;=250),0.12,0)+IF(AND(V375&gt;=40,V375&lt;75,W375&lt;35),0.3,0)+IF(AND(V375&gt;=40,V375&lt;75,W375&gt;=35,W375&lt;75),0.23,0)+IF(AND(V375&gt;=40,V375&lt;75,W375&gt;=75,W375&lt;120),0.17,0)+IF(AND(V375&gt;=40,V375&lt;75,W375&gt;=120),0.12,0)+IF(AND(V375&gt;=75,V375&lt;175,W375&lt;35),0.3,0)+IF(AND(V375&gt;=75,V375&lt;=175,W375&gt;=35,W375&lt;65),0.23,0)+IF(AND(V375&gt;=75,V375&lt;=175,W375&gt;=65,W375&lt;110),0.17,0)+IF(AND(V375&gt;=75,V375&lt;=175,W375&gt;=110),0.12,0)+IF(AND(V375&gt;175,W375&lt;25),0.3,0)+IF(AND(V375&gt;175,W375&gt;=25,W375&lt;55),0.23,0)+IF(AND(V375&gt;175,W375&gt;=55,W375&lt;95),0.17,0)+IF(AND(V375&gt;175,W375&gt;=95),0.12,0),
IF(AF375="DoEVni",IF(AND(V375&lt;20,W375&lt;55),0.3,0)+IF(AND(V375&lt;20,W375&gt;=55,W375&lt;105),0.23,0)+IF(AND(V375&lt;20,W375&gt;=105),0.17,0)+IF(AND(V375&gt;=20,V375&lt;40,W375&lt;45),0.3,0)+IF(AND(V375&gt;=20,V375&lt;40,W375&gt;=45,W375&lt;95),0.23,0)+IF(AND(V375&gt;=20,V375&lt;40,W375&gt;=95,W375&lt;=200),0.17,0)+IF(AND(V375&gt;=20,V375&lt;40,W375&gt;=200),0.12,0)+IF(AND(V375&gt;=40,V375&lt;75,W375&lt;35),0.3,0)+IF(AND(V375&gt;=40,V375&lt;75,W375&gt;=35,W375&lt;75),0.23,0)+IF(AND(V375&gt;=40,V375&lt;75,W375&gt;=75,W375&lt;120),0.17,0)+IF(AND(V375&gt;=40,V375&lt;75,W375&gt;=120),0.12,0)+IF(AND(V375&gt;=75,V375&lt;175,W375&lt;35),0.3,0)+IF(AND(V375&gt;=75,V375&lt;=175,W375&gt;=35,W375&lt;65),0.23,0)+IF(AND(V375&gt;=75,V375&lt;=175,W375&gt;=65,W375&lt;110),0.17,0)+IF(AND(V375&gt;=75,V375&lt;=175,W375&gt;=110),0.12,0)+IF(AND(V375&gt;175,W375&lt;25),0.3,0)+IF(AND(V375&gt;175,W375&gt;=25,W375&lt;55),0.23,0)+IF(AND(V375&gt;175,W375&gt;=55,W375&lt;95),0.17,0)+IF(AND(V375&gt;175,W375&gt;=95),0.12,0),
IF(AF375="DoEVLo",IF(AND(V375&lt;20,W375&lt;55),0.25,0)+IF(AND(V375&lt;20,W375&gt;=55,W375&lt;105),0.2,0)+IF(AND(V375&lt;20,W375&gt;=105),0.15,0)+IF(AND(V375&gt;=20,V375&lt;40,W375&lt;45),0.25,0)+IF(AND(V375&gt;=20,V375&lt;40,W375&gt;=45,W375&lt;95),0.2,0)+IF(AND(V375&gt;=20,V375&lt;40,W375&gt;=95),0.15,0)+IF(AND(V375&gt;=40,V375&lt;75,W375&lt;35),0.25,0)+IF(AND(V375&gt;=40,V375&lt;75,W375&gt;=35,W375&lt;75),0.2,0)+IF(AND(V375&gt;=40,V375&lt;75,W375&gt;=75,W375&lt;120),0.15,0)+IF(AND(V375&gt;=40,V375&lt;75,W375&gt;=120),0.1,0)+IF(AND(V375&gt;=75,V375&lt;175,W375&lt;35),0.25,0)+IF(AND(V375&gt;=75,V375&lt;=175,W375&gt;=35,W375&lt;65),0.2,0)+IF(AND(V375&gt;=75,V375&lt;=175,W375&gt;=65,W375&lt;110),0.15,0)+IF(AND(V375&gt;=75,V375&lt;=175,W375&gt;=110),0.1,0)+IF(AND(V375&gt;175,W375&lt;25),0.25,0)+IF(AND(V375&gt;175,W375&gt;=25,W375&lt;55),0.2,0)+IF(AND(V375&gt;175,W375&gt;=55,W375&lt;95),0.15,0)+IF(AND(V375&gt;175,W375&gt;=95),0.1,0))))))))))))))))</f>
        <v>0.23</v>
      </c>
      <c r="Y375" s="30">
        <f>IF(AG375="None",0,IF(AG375="Fix5",0.05,IF(AG375="Fix3.75",0.0375,IF(AG375="Fix10",0.1,IF(AG375="Fix3",0.03,0)))))</f>
        <v>0</v>
      </c>
      <c r="Z375" s="35">
        <f>T375-AA375-AB375</f>
        <v>3.8499999999999996</v>
      </c>
      <c r="AA375" s="29">
        <f>IF(AD375="EUR",((T375-R375)*X375)*U375+(R375*X375),(T375*X375))</f>
        <v>1.1500000000000001</v>
      </c>
      <c r="AB375" s="36">
        <f>IF(AD375="EUR",((T375-R375)*Y375)*U375+(R375*Y375),(T375*Y375))</f>
        <v>0</v>
      </c>
      <c r="AC375" s="37" t="b">
        <v>1</v>
      </c>
      <c r="AD375" s="37" t="s">
        <v>38</v>
      </c>
      <c r="AE375" s="37" t="s">
        <v>38</v>
      </c>
      <c r="AF375" s="37" t="str">
        <f t="array" ref="AF375">INDEX('Deal Info'!D:D, MATCH(A375,'Deal Info'!A:A, 0))</f>
        <v>DoEV</v>
      </c>
      <c r="AG375" s="38" t="str">
        <f t="array" ref="AG375">INDEX('Deal Info'!G:G, MATCH(A375,'Deal Info'!A:A, 0))</f>
        <v>None</v>
      </c>
    </row>
    <row r="376" spans="1:33" ht="14.25" hidden="1" x14ac:dyDescent="0.2">
      <c r="A376" s="18" t="str">
        <f t="array" ref="A376">IF(G376='Room Info'!$B$1, INDEX('Room Info'!$A$2:$A2446, MATCH(B376,'Room Info'!$B$2:$B2446, 0)),IF(G376='Room Info'!$C$1, INDEX('Room Info'!$A$2:$A2446, MATCH(B376,'Room Info'!$C$2:$C2446, 0)),IF(G376='Room Info'!$D$1, INDEX('Room Info'!$A$2:$A2446, MATCH(B376,'Room Info'!$D$2:$D2446, 0)),IF(G376='Room Info'!$E$1, INDEX('Room Info'!$A$2:$A2446, MATCH(B376,'Room Info'!$E$2:$E2446, 0)),IF(G376='Room Info'!$F$1, INDEX('Room Info'!$A$2:$A2446, MATCH(B376,'Room Info'!$F$2:$F2446, 0)),IF(G376='Room Info'!$H$1, INDEX('Room Info'!$A$2:$A2446, MATCH(B376,'Room Info'!$H$2:$H2446, 0)),IF(G376='Room Info'!$G$1, INDEX('Room Info'!$A$2:$A2446, MATCH(B376,'Room Info'!$G$2:$G2446, 0)))))))))</f>
        <v>S1lense</v>
      </c>
      <c r="B376" s="45" t="s">
        <v>124</v>
      </c>
      <c r="C376" s="46">
        <v>44738</v>
      </c>
      <c r="D376" s="46">
        <v>44762</v>
      </c>
      <c r="E376" s="47">
        <v>44743</v>
      </c>
      <c r="F376" s="48" t="s">
        <v>34</v>
      </c>
      <c r="G376" s="45" t="s">
        <v>35</v>
      </c>
      <c r="H376" s="49" t="s">
        <v>115</v>
      </c>
      <c r="I376" s="49" t="s">
        <v>44</v>
      </c>
      <c r="J376" s="70">
        <v>10</v>
      </c>
      <c r="K376" s="71">
        <v>14983</v>
      </c>
      <c r="L376" s="52">
        <v>-5340</v>
      </c>
      <c r="M376" s="53">
        <v>3592</v>
      </c>
      <c r="N376" s="28">
        <f>K376*J376</f>
        <v>149830</v>
      </c>
      <c r="O376" s="54">
        <v>248440</v>
      </c>
      <c r="P376" s="29">
        <v>16.581458990000002</v>
      </c>
      <c r="Q376" s="55"/>
      <c r="R376" s="31">
        <f>M376+Q376</f>
        <v>3592</v>
      </c>
      <c r="S376" s="56">
        <v>-3692</v>
      </c>
      <c r="T376" s="32">
        <f>R376+S376+IF(F376="Without EV deal",L376,0)</f>
        <v>-100</v>
      </c>
      <c r="U376" s="57">
        <v>1</v>
      </c>
      <c r="V376" s="58">
        <v>21</v>
      </c>
      <c r="W376" s="58">
        <v>305.2</v>
      </c>
      <c r="X376" s="30">
        <f>IF(AF376="DoEV",IF(AND(V376&lt;20,W376&lt;55),0.3,0)+IF(AND(V376&lt;20,W376&gt;=55,W376&lt;105),0.23,0)+IF(AND(V376&lt;20,W376&gt;=105),0.17,0)+IF(AND(V376&gt;=20,V376&lt;40,W376&lt;45),0.3,0)+IF(AND(V376&gt;=20,V376&lt;40,W376&gt;=45,W376&lt;95),0.23,0)+IF(AND(V376&gt;=20,V376&lt;40,W376&gt;=95),0.17,0)+IF(AND(V376&gt;=40,V376&lt;75,W376&lt;35),0.3,0)+IF(AND(V376&gt;=40,V376&lt;75,W376&gt;=35,W376&lt;75),0.23,0)+IF(AND(V376&gt;=40,V376&lt;75,W376&gt;=75,W376&lt;120),0.17,0)+IF(AND(V376&gt;=40,V376&lt;75,W376&gt;=120),0.12,0)+IF(AND(V376&gt;=75,V376&lt;175,W376&lt;35),0.3,0)+IF(AND(V376&gt;=75,V376&lt;=175,W376&gt;=35,W376&lt;65),0.23,0)+IF(AND(V376&gt;=75,V376&lt;=175,W376&gt;=65,W376&lt;110),0.17,0)+IF(AND(V376&gt;=75,V376&lt;=175,W376&gt;=110),0.12,0)+IF(AND(V376&gt;175,W376&lt;25),0.3,0)+IF(AND(V376&gt;175,W376&gt;=25,W376&lt;55),0.23,0)+IF(AND(V376&gt;175,W376&gt;=55,W376&lt;95),0.17,0)+IF(AND(V376&gt;175,W376&gt;=95),0.12,0),
IF(AF376="Fix15",0.15,
IF(AF376="Fix11.25",0.1125,
IF(AF376="Fix10",0.1,
IF(AF376="Fix9",0.09,
IF(AF376="DoEV2017",IF(AND(W376&lt;74),0.2,0)+IF(AND(W376&gt;=74),0.17,0),
IF(AF376="SF",IF(AND(V376&lt;20,W376&lt;89),0.3,0)+IF(AND(V376&lt;20,W376&gt;=89),0.25,0)+IF(AND(V376&gt;=20,V376&lt;40,W376&lt;74),0.3,0)+IF(AND(V376&gt;=20,V376&lt;40,W376&gt;=75),0.22,0)+IF(AND(V376&gt;=40,V376&lt;75,W376&lt;75),0.26,0)+IF(AND(V376&gt;=40,V376&lt;75,W376&gt;=75),0.22,0)+IF(V376&gt;=75,0.22,0),
IF(AF376="DoEVold",IF(AND(V376&lt;40,W376&lt;35),0.35,0)+IF(AND(V376&lt;40,W376&gt;=35,W376&lt;75),0.25,0)+IF(AND(V376&lt;40,W376&gt;=75),0.17,0)+IF(AND(V376&gt;=40,V376&lt;75,W376&lt;25),0.35,0)+IF(AND(V376&gt;=40,V376&lt;75,W376&gt;=25,W376&lt;65),0.25,0)+IF(AND(V376&gt;=40,V376&lt;75,W376&gt;=65,W376&lt;100),0.17,0)+IF(AND(V376&gt;=40,V376&lt;75,W376&gt;=100),0.1,0)+IF(AND(V376&gt;=75,W376&lt;25),0.35,0)+IF(AND(V376&gt;=75,W376&gt;=25,W376&lt;60),0.25,0)+IF(AND(V376&gt;=75,W376&gt;=60,W376&lt;95),0.17,0)+IF(AND(V376&gt;=75,W376&gt;=95),0.1,0),
IF(AF376="DoEVold15",IF(AND(V376&lt;=40,W376&lt;35),0.35,0)+IF(AND(V376&lt;=40,W376&gt;=35,W376&lt;75),0.25,0)+IF(AND(V376&lt;=40,W376&gt;=75,W376&lt;120),0.17,0)+IF(AND(V376&lt;=40,W376&gt;=120),0.15,0)+IF(AND(V376&gt;40,V376&lt;75,W376&lt;25),0.35,0)+IF(AND(V376&gt;=40,V376&lt;75,W376&gt;=25,W376&lt;65),0.25,0)+IF(AND(V376&gt;=40,V376&lt;75,W376&gt;=65,W376&lt;100),0.17,0)+IF(AND(V376&gt;=40,V376&lt;75,W376&gt;=100),0.1,0)+IF(AND(V376&gt;=75,W376&lt;25),0.35,0)+IF(AND(V376&gt;=75,W376&gt;=25,W376&lt;60),0.25,0)+IF(AND(V376&gt;=75,W376&gt;=60,W376&lt;95),0.17,0)+IF(AND(V376&gt;=75,W376&gt;=95),0.1,0),
IF(AF376="DoEVba",IF(AND(V376&lt;20,W376&lt;105),0.2,0)+IF(AND(V376&lt;20,W376&gt;=105),0.15,0)+IF(AND(V376&gt;=20,V376&lt;40,W376&lt;95),0.2,0)+IF(AND(V376&gt;=20,V376&lt;40,W376&gt;=95,W376&lt;150),0.15,0)+IF(AND(V376&gt;=20,V376&lt;40,W376&gt;=150),0.12,0)+IF(AND(V376&gt;=40,V376&lt;75,W376&lt;75),0.2,0)+IF(AND(V376&gt;=40,V376&lt;75,W376&gt;=75,W376&lt;120),0.15,0)+IF(AND(V376&gt;=40,V376&lt;75,W376&gt;=120),0.12,0)+IF(AND(V376&gt;=75,V376&lt;175,W376&lt;65),0.2,0)+IF(AND(V376&gt;=75,V376&lt;175,W376&gt;=65,W376&lt;110),0.15,0)+IF(AND(V376&gt;=75,V376&lt;175,W376&gt;=110),0.12,0)+IF(AND(V376&gt;=175,W376&lt;55),0.2,0)+IF(AND(V376&gt;=175,W376&gt;=55,W376&lt;95),0.15,0)+IF(AND(V376&gt;=175,W376&gt;=95),0.12,0),
IF(AF376="DoEVku",IF(AND(V376&lt;20,W376&lt;55),0.23,0)+IF(AND(V376&lt;20,W376&gt;=55,W376&lt;105),0.2,0)+IF(AND(V376&lt;20,W376&gt;=105),0.17,0)+IF(AND(V376&gt;=20,V376&lt;40,W376&lt;45),0.23,0)+IF(AND(V376&gt;=20,V376&lt;40,W376&gt;=45,W376&lt;95),0.2,0)+IF(AND(V376&gt;=20,V376&lt;40,W376&gt;=95,W376&lt;=150),0.17,0)+IF(AND(V376&gt;=20,V376&lt;40,W376&gt;=150),0.12,0)+IF(AND(V376&gt;=40,V376&lt;75,W376&lt;35),0.23,0)+IF(AND(V376&gt;=40,V376&lt;75,W376&gt;=35,W376&lt;75),0.2,0)+IF(AND(V376&gt;=40,V376&lt;75,W376&gt;=75,W376&lt;120),0.17,0)+IF(AND(V376&gt;=40,V376&lt;75,W376&gt;=120),0.12,0)+IF(AND(V376&gt;=75,V376&lt;175,W376&lt;35),0.23,0)+IF(AND(V376&gt;=75,V376&lt;=175,W376&gt;=35,W376&lt;65),0.2,0)+IF(AND(V376&gt;=75,V376&lt;=175,W376&gt;=65,W376&lt;110),0.17,0)+IF(AND(V376&gt;=75,V376&lt;=175,W376&gt;=110),0.12,0)+IF(AND(V376&gt;175,W376&lt;25),0.23,0)+IF(AND(V376&gt;175,W376&gt;=25,W376&lt;55),0.2,0)+IF(AND(V376&gt;175,W376&gt;=55,W376&lt;95),0.17,0)+IF(AND(V376&gt;175,W376&gt;=95),0.12,0),
IF(AF376="DoEVs1",IF(AND(V376&lt;20,W376&lt;55),0.3,0)+IF(AND(V376&lt;20,W376&gt;=55,W376&lt;105),0.23,0)+IF(AND(V376&lt;20,W376&gt;=105),0.17,0)+IF(AND(V376&gt;=20,V376&lt;40,W376&lt;45),0.3,0)+IF(AND(V376&gt;=20,V376&lt;40,W376&gt;=45,W376&lt;95),0.23,0)+IF(AND(V376&gt;=20,V376&lt;40,W376&gt;=95,W376&lt;=150),0.17,0)+IF(AND(V376&gt;=20,V376&lt;40,W376&gt;=150),0.12,0)+IF(AND(V376&gt;=40,V376&lt;75,W376&lt;35),0.3,0)+IF(AND(V376&gt;=40,V376&lt;75,W376&gt;=35,W376&lt;75),0.23,0)+IF(AND(V376&gt;=40,V376&lt;75,W376&gt;=75,W376&lt;120),0.17,0)+IF(AND(V376&gt;=40,V376&lt;75,W376&gt;=120),0.12,0)+IF(AND(V376&gt;=75,V376&lt;175,W376&lt;35),0.3,0)+IF(AND(V376&gt;=75,V376&lt;=175,W376&gt;=35,W376&lt;65),0.23,0)+IF(AND(V376&gt;=75,V376&lt;=175,W376&gt;=65,W376&lt;110),0.17,0)+IF(AND(V376&gt;=75,V376&lt;=175,W376&gt;=110),0.12,0)+IF(AND(V376&gt;175,W376&lt;25),0.3,0)+IF(AND(V376&gt;175,W376&gt;=25,W376&lt;55),0.23,0)+IF(AND(V376&gt;175,W376&gt;=55,W376&lt;95),0.17,0)+IF(AND(V376&gt;175,W376&gt;=95),0.12,0),
IF(AF376="DoEVsu",IF(AND(V376&lt;20,W376&lt;55),0.3,0)+IF(AND(V376&lt;20,W376&gt;=55,W376&lt;105),0.23,0)+IF(AND(V376&lt;20,W376&gt;=105),0.17,0)+IF(AND(V376&gt;=20,V376&lt;40,W376&lt;45),0.3,0)+IF(AND(V376&gt;=20,V376&lt;40,W376&gt;=45,W376&lt;95),0.23,0)+IF(AND(V376&gt;=20,V376&lt;40,W376&gt;=95,W376&lt;=250),0.17,0)+IF(AND(V376&gt;=20,V376&lt;40,W376&gt;=250),0.12,0)+IF(AND(V376&gt;=40,V376&lt;75,W376&lt;35),0.3,0)+IF(AND(V376&gt;=40,V376&lt;75,W376&gt;=35,W376&lt;75),0.23,0)+IF(AND(V376&gt;=40,V376&lt;75,W376&gt;=75,W376&lt;120),0.17,0)+IF(AND(V376&gt;=40,V376&lt;75,W376&gt;=120),0.12,0)+IF(AND(V376&gt;=75,V376&lt;175,W376&lt;35),0.3,0)+IF(AND(V376&gt;=75,V376&lt;=175,W376&gt;=35,W376&lt;65),0.23,0)+IF(AND(V376&gt;=75,V376&lt;=175,W376&gt;=65,W376&lt;110),0.17,0)+IF(AND(V376&gt;=75,V376&lt;=175,W376&gt;=110),0.12,0)+IF(AND(V376&gt;175,W376&lt;25),0.3,0)+IF(AND(V376&gt;175,W376&gt;=25,W376&lt;55),0.23,0)+IF(AND(V376&gt;175,W376&gt;=55,W376&lt;95),0.17,0)+IF(AND(V376&gt;175,W376&gt;=95),0.12,0),
IF(AF376="DoEVni",IF(AND(V376&lt;20,W376&lt;55),0.3,0)+IF(AND(V376&lt;20,W376&gt;=55,W376&lt;105),0.23,0)+IF(AND(V376&lt;20,W376&gt;=105),0.17,0)+IF(AND(V376&gt;=20,V376&lt;40,W376&lt;45),0.3,0)+IF(AND(V376&gt;=20,V376&lt;40,W376&gt;=45,W376&lt;95),0.23,0)+IF(AND(V376&gt;=20,V376&lt;40,W376&gt;=95,W376&lt;=200),0.17,0)+IF(AND(V376&gt;=20,V376&lt;40,W376&gt;=200),0.12,0)+IF(AND(V376&gt;=40,V376&lt;75,W376&lt;35),0.3,0)+IF(AND(V376&gt;=40,V376&lt;75,W376&gt;=35,W376&lt;75),0.23,0)+IF(AND(V376&gt;=40,V376&lt;75,W376&gt;=75,W376&lt;120),0.17,0)+IF(AND(V376&gt;=40,V376&lt;75,W376&gt;=120),0.12,0)+IF(AND(V376&gt;=75,V376&lt;175,W376&lt;35),0.3,0)+IF(AND(V376&gt;=75,V376&lt;=175,W376&gt;=35,W376&lt;65),0.23,0)+IF(AND(V376&gt;=75,V376&lt;=175,W376&gt;=65,W376&lt;110),0.17,0)+IF(AND(V376&gt;=75,V376&lt;=175,W376&gt;=110),0.12,0)+IF(AND(V376&gt;175,W376&lt;25),0.3,0)+IF(AND(V376&gt;175,W376&gt;=25,W376&lt;55),0.23,0)+IF(AND(V376&gt;175,W376&gt;=55,W376&lt;95),0.17,0)+IF(AND(V376&gt;175,W376&gt;=95),0.12,0),
IF(AF376="DoEVLo",IF(AND(V376&lt;20,W376&lt;55),0.25,0)+IF(AND(V376&lt;20,W376&gt;=55,W376&lt;105),0.2,0)+IF(AND(V376&lt;20,W376&gt;=105),0.15,0)+IF(AND(V376&gt;=20,V376&lt;40,W376&lt;45),0.25,0)+IF(AND(V376&gt;=20,V376&lt;40,W376&gt;=45,W376&lt;95),0.2,0)+IF(AND(V376&gt;=20,V376&lt;40,W376&gt;=95),0.15,0)+IF(AND(V376&gt;=40,V376&lt;75,W376&lt;35),0.25,0)+IF(AND(V376&gt;=40,V376&lt;75,W376&gt;=35,W376&lt;75),0.2,0)+IF(AND(V376&gt;=40,V376&lt;75,W376&gt;=75,W376&lt;120),0.15,0)+IF(AND(V376&gt;=40,V376&lt;75,W376&gt;=120),0.1,0)+IF(AND(V376&gt;=75,V376&lt;175,W376&lt;35),0.25,0)+IF(AND(V376&gt;=75,V376&lt;=175,W376&gt;=35,W376&lt;65),0.2,0)+IF(AND(V376&gt;=75,V376&lt;=175,W376&gt;=65,W376&lt;110),0.15,0)+IF(AND(V376&gt;=75,V376&lt;=175,W376&gt;=110),0.1,0)+IF(AND(V376&gt;175,W376&lt;25),0.25,0)+IF(AND(V376&gt;175,W376&gt;=25,W376&lt;55),0.2,0)+IF(AND(V376&gt;175,W376&gt;=55,W376&lt;95),0.15,0)+IF(AND(V376&gt;175,W376&gt;=95),0.1,0))))))))))))))))</f>
        <v>0.12</v>
      </c>
      <c r="Y376" s="30">
        <f>IF(AG376="None",0,IF(AG376="Fix5",0.05,IF(AG376="Fix3.75",0.0375,IF(AG376="Fix10",0.1,IF(AG376="Fix3",0.03,0)))))</f>
        <v>0</v>
      </c>
      <c r="Z376" s="35">
        <f>T376-AA376-AB376</f>
        <v>-88</v>
      </c>
      <c r="AA376" s="29">
        <f>IF(AD376="EUR",((T376-R376)*X376)*U376+(R376*X376),(T376*X376))</f>
        <v>-12</v>
      </c>
      <c r="AB376" s="36">
        <f>IF(AD376="EUR",((T376-R376)*Y376)*U376+(R376*Y376),(T376*Y376))</f>
        <v>0</v>
      </c>
      <c r="AC376" s="37" t="b">
        <v>1</v>
      </c>
      <c r="AD376" s="37" t="s">
        <v>38</v>
      </c>
      <c r="AE376" s="37" t="s">
        <v>38</v>
      </c>
      <c r="AF376" s="37" t="str">
        <f t="array" ref="AF376">INDEX('Deal Info'!D:D, MATCH(A376,'Deal Info'!A:A, 0))</f>
        <v>DoEVs1</v>
      </c>
      <c r="AG376" s="38" t="str">
        <f t="array" ref="AG376">INDEX('Deal Info'!G:G, MATCH(A376,'Deal Info'!A:A, 0))</f>
        <v>None</v>
      </c>
    </row>
    <row r="377" spans="1:33" ht="14.25" hidden="1" x14ac:dyDescent="0.2">
      <c r="A377" s="18" t="str">
        <f t="array" ref="A377">IF(G377='Room Info'!$B$1, INDEX('Room Info'!$A$2:$A2446, MATCH(B377,'Room Info'!$B$2:$B2446, 0)),IF(G377='Room Info'!$C$1, INDEX('Room Info'!$A$2:$A2446, MATCH(B377,'Room Info'!$C$2:$C2446, 0)),IF(G377='Room Info'!$D$1, INDEX('Room Info'!$A$2:$A2446, MATCH(B377,'Room Info'!$D$2:$D2446, 0)),IF(G377='Room Info'!$E$1, INDEX('Room Info'!$A$2:$A2446, MATCH(B377,'Room Info'!$E$2:$E2446, 0)),IF(G377='Room Info'!$F$1, INDEX('Room Info'!$A$2:$A2446, MATCH(B377,'Room Info'!$F$2:$F2446, 0)),IF(G377='Room Info'!$H$1, INDEX('Room Info'!$A$2:$A2446, MATCH(B377,'Room Info'!$H$2:$H2446, 0)),IF(G377='Room Info'!$G$1, INDEX('Room Info'!$A$2:$A2446, MATCH(B377,'Room Info'!$G$2:$G2446, 0)))))))))</f>
        <v>S1lense</v>
      </c>
      <c r="B377" s="45" t="s">
        <v>124</v>
      </c>
      <c r="C377" s="46">
        <v>44763</v>
      </c>
      <c r="D377" s="46">
        <v>44793</v>
      </c>
      <c r="E377" s="47">
        <v>44774</v>
      </c>
      <c r="F377" s="48" t="s">
        <v>34</v>
      </c>
      <c r="G377" s="45" t="s">
        <v>35</v>
      </c>
      <c r="H377" s="49" t="s">
        <v>90</v>
      </c>
      <c r="I377" s="49" t="s">
        <v>44</v>
      </c>
      <c r="J377" s="70">
        <v>5</v>
      </c>
      <c r="K377" s="71">
        <v>2</v>
      </c>
      <c r="L377" s="52">
        <v>-10</v>
      </c>
      <c r="M377" s="53">
        <v>1</v>
      </c>
      <c r="N377" s="28">
        <f>K377*J377</f>
        <v>10</v>
      </c>
      <c r="O377" s="54">
        <v>167</v>
      </c>
      <c r="P377" s="29">
        <v>83.5</v>
      </c>
      <c r="Q377" s="55"/>
      <c r="R377" s="31">
        <f>M377+Q377</f>
        <v>1</v>
      </c>
      <c r="S377" s="56">
        <v>2</v>
      </c>
      <c r="T377" s="32">
        <f>R377+S377+IF(F377="Without EV deal",L377,0)</f>
        <v>3</v>
      </c>
      <c r="U377" s="57">
        <v>1</v>
      </c>
      <c r="V377" s="58">
        <v>21</v>
      </c>
      <c r="W377" s="58">
        <v>305.2</v>
      </c>
      <c r="X377" s="30">
        <f>IF(AF377="DoEV",IF(AND(V377&lt;20,W377&lt;55),0.3,0)+IF(AND(V377&lt;20,W377&gt;=55,W377&lt;105),0.23,0)+IF(AND(V377&lt;20,W377&gt;=105),0.17,0)+IF(AND(V377&gt;=20,V377&lt;40,W377&lt;45),0.3,0)+IF(AND(V377&gt;=20,V377&lt;40,W377&gt;=45,W377&lt;95),0.23,0)+IF(AND(V377&gt;=20,V377&lt;40,W377&gt;=95),0.17,0)+IF(AND(V377&gt;=40,V377&lt;75,W377&lt;35),0.3,0)+IF(AND(V377&gt;=40,V377&lt;75,W377&gt;=35,W377&lt;75),0.23,0)+IF(AND(V377&gt;=40,V377&lt;75,W377&gt;=75,W377&lt;120),0.17,0)+IF(AND(V377&gt;=40,V377&lt;75,W377&gt;=120),0.12,0)+IF(AND(V377&gt;=75,V377&lt;175,W377&lt;35),0.3,0)+IF(AND(V377&gt;=75,V377&lt;=175,W377&gt;=35,W377&lt;65),0.23,0)+IF(AND(V377&gt;=75,V377&lt;=175,W377&gt;=65,W377&lt;110),0.17,0)+IF(AND(V377&gt;=75,V377&lt;=175,W377&gt;=110),0.12,0)+IF(AND(V377&gt;175,W377&lt;25),0.3,0)+IF(AND(V377&gt;175,W377&gt;=25,W377&lt;55),0.23,0)+IF(AND(V377&gt;175,W377&gt;=55,W377&lt;95),0.17,0)+IF(AND(V377&gt;175,W377&gt;=95),0.12,0),
IF(AF377="Fix15",0.15,
IF(AF377="Fix11.25",0.1125,
IF(AF377="Fix10",0.1,
IF(AF377="Fix9",0.09,
IF(AF377="DoEV2017",IF(AND(W377&lt;74),0.2,0)+IF(AND(W377&gt;=74),0.17,0),
IF(AF377="SF",IF(AND(V377&lt;20,W377&lt;89),0.3,0)+IF(AND(V377&lt;20,W377&gt;=89),0.25,0)+IF(AND(V377&gt;=20,V377&lt;40,W377&lt;74),0.3,0)+IF(AND(V377&gt;=20,V377&lt;40,W377&gt;=75),0.22,0)+IF(AND(V377&gt;=40,V377&lt;75,W377&lt;75),0.26,0)+IF(AND(V377&gt;=40,V377&lt;75,W377&gt;=75),0.22,0)+IF(V377&gt;=75,0.22,0),
IF(AF377="DoEVold",IF(AND(V377&lt;40,W377&lt;35),0.35,0)+IF(AND(V377&lt;40,W377&gt;=35,W377&lt;75),0.25,0)+IF(AND(V377&lt;40,W377&gt;=75),0.17,0)+IF(AND(V377&gt;=40,V377&lt;75,W377&lt;25),0.35,0)+IF(AND(V377&gt;=40,V377&lt;75,W377&gt;=25,W377&lt;65),0.25,0)+IF(AND(V377&gt;=40,V377&lt;75,W377&gt;=65,W377&lt;100),0.17,0)+IF(AND(V377&gt;=40,V377&lt;75,W377&gt;=100),0.1,0)+IF(AND(V377&gt;=75,W377&lt;25),0.35,0)+IF(AND(V377&gt;=75,W377&gt;=25,W377&lt;60),0.25,0)+IF(AND(V377&gt;=75,W377&gt;=60,W377&lt;95),0.17,0)+IF(AND(V377&gt;=75,W377&gt;=95),0.1,0),
IF(AF377="DoEVold15",IF(AND(V377&lt;=40,W377&lt;35),0.35,0)+IF(AND(V377&lt;=40,W377&gt;=35,W377&lt;75),0.25,0)+IF(AND(V377&lt;=40,W377&gt;=75,W377&lt;120),0.17,0)+IF(AND(V377&lt;=40,W377&gt;=120),0.15,0)+IF(AND(V377&gt;40,V377&lt;75,W377&lt;25),0.35,0)+IF(AND(V377&gt;=40,V377&lt;75,W377&gt;=25,W377&lt;65),0.25,0)+IF(AND(V377&gt;=40,V377&lt;75,W377&gt;=65,W377&lt;100),0.17,0)+IF(AND(V377&gt;=40,V377&lt;75,W377&gt;=100),0.1,0)+IF(AND(V377&gt;=75,W377&lt;25),0.35,0)+IF(AND(V377&gt;=75,W377&gt;=25,W377&lt;60),0.25,0)+IF(AND(V377&gt;=75,W377&gt;=60,W377&lt;95),0.17,0)+IF(AND(V377&gt;=75,W377&gt;=95),0.1,0),
IF(AF377="DoEVba",IF(AND(V377&lt;20,W377&lt;105),0.2,0)+IF(AND(V377&lt;20,W377&gt;=105),0.15,0)+IF(AND(V377&gt;=20,V377&lt;40,W377&lt;95),0.2,0)+IF(AND(V377&gt;=20,V377&lt;40,W377&gt;=95,W377&lt;150),0.15,0)+IF(AND(V377&gt;=20,V377&lt;40,W377&gt;=150),0.12,0)+IF(AND(V377&gt;=40,V377&lt;75,W377&lt;75),0.2,0)+IF(AND(V377&gt;=40,V377&lt;75,W377&gt;=75,W377&lt;120),0.15,0)+IF(AND(V377&gt;=40,V377&lt;75,W377&gt;=120),0.12,0)+IF(AND(V377&gt;=75,V377&lt;175,W377&lt;65),0.2,0)+IF(AND(V377&gt;=75,V377&lt;175,W377&gt;=65,W377&lt;110),0.15,0)+IF(AND(V377&gt;=75,V377&lt;175,W377&gt;=110),0.12,0)+IF(AND(V377&gt;=175,W377&lt;55),0.2,0)+IF(AND(V377&gt;=175,W377&gt;=55,W377&lt;95),0.15,0)+IF(AND(V377&gt;=175,W377&gt;=95),0.12,0),
IF(AF377="DoEVku",IF(AND(V377&lt;20,W377&lt;55),0.23,0)+IF(AND(V377&lt;20,W377&gt;=55,W377&lt;105),0.2,0)+IF(AND(V377&lt;20,W377&gt;=105),0.17,0)+IF(AND(V377&gt;=20,V377&lt;40,W377&lt;45),0.23,0)+IF(AND(V377&gt;=20,V377&lt;40,W377&gt;=45,W377&lt;95),0.2,0)+IF(AND(V377&gt;=20,V377&lt;40,W377&gt;=95,W377&lt;=150),0.17,0)+IF(AND(V377&gt;=20,V377&lt;40,W377&gt;=150),0.12,0)+IF(AND(V377&gt;=40,V377&lt;75,W377&lt;35),0.23,0)+IF(AND(V377&gt;=40,V377&lt;75,W377&gt;=35,W377&lt;75),0.2,0)+IF(AND(V377&gt;=40,V377&lt;75,W377&gt;=75,W377&lt;120),0.17,0)+IF(AND(V377&gt;=40,V377&lt;75,W377&gt;=120),0.12,0)+IF(AND(V377&gt;=75,V377&lt;175,W377&lt;35),0.23,0)+IF(AND(V377&gt;=75,V377&lt;=175,W377&gt;=35,W377&lt;65),0.2,0)+IF(AND(V377&gt;=75,V377&lt;=175,W377&gt;=65,W377&lt;110),0.17,0)+IF(AND(V377&gt;=75,V377&lt;=175,W377&gt;=110),0.12,0)+IF(AND(V377&gt;175,W377&lt;25),0.23,0)+IF(AND(V377&gt;175,W377&gt;=25,W377&lt;55),0.2,0)+IF(AND(V377&gt;175,W377&gt;=55,W377&lt;95),0.17,0)+IF(AND(V377&gt;175,W377&gt;=95),0.12,0),
IF(AF377="DoEVs1",IF(AND(V377&lt;20,W377&lt;55),0.3,0)+IF(AND(V377&lt;20,W377&gt;=55,W377&lt;105),0.23,0)+IF(AND(V377&lt;20,W377&gt;=105),0.17,0)+IF(AND(V377&gt;=20,V377&lt;40,W377&lt;45),0.3,0)+IF(AND(V377&gt;=20,V377&lt;40,W377&gt;=45,W377&lt;95),0.23,0)+IF(AND(V377&gt;=20,V377&lt;40,W377&gt;=95,W377&lt;=150),0.17,0)+IF(AND(V377&gt;=20,V377&lt;40,W377&gt;=150),0.12,0)+IF(AND(V377&gt;=40,V377&lt;75,W377&lt;35),0.3,0)+IF(AND(V377&gt;=40,V377&lt;75,W377&gt;=35,W377&lt;75),0.23,0)+IF(AND(V377&gt;=40,V377&lt;75,W377&gt;=75,W377&lt;120),0.17,0)+IF(AND(V377&gt;=40,V377&lt;75,W377&gt;=120),0.12,0)+IF(AND(V377&gt;=75,V377&lt;175,W377&lt;35),0.3,0)+IF(AND(V377&gt;=75,V377&lt;=175,W377&gt;=35,W377&lt;65),0.23,0)+IF(AND(V377&gt;=75,V377&lt;=175,W377&gt;=65,W377&lt;110),0.17,0)+IF(AND(V377&gt;=75,V377&lt;=175,W377&gt;=110),0.12,0)+IF(AND(V377&gt;175,W377&lt;25),0.3,0)+IF(AND(V377&gt;175,W377&gt;=25,W377&lt;55),0.23,0)+IF(AND(V377&gt;175,W377&gt;=55,W377&lt;95),0.17,0)+IF(AND(V377&gt;175,W377&gt;=95),0.12,0),
IF(AF377="DoEVsu",IF(AND(V377&lt;20,W377&lt;55),0.3,0)+IF(AND(V377&lt;20,W377&gt;=55,W377&lt;105),0.23,0)+IF(AND(V377&lt;20,W377&gt;=105),0.17,0)+IF(AND(V377&gt;=20,V377&lt;40,W377&lt;45),0.3,0)+IF(AND(V377&gt;=20,V377&lt;40,W377&gt;=45,W377&lt;95),0.23,0)+IF(AND(V377&gt;=20,V377&lt;40,W377&gt;=95,W377&lt;=250),0.17,0)+IF(AND(V377&gt;=20,V377&lt;40,W377&gt;=250),0.12,0)+IF(AND(V377&gt;=40,V377&lt;75,W377&lt;35),0.3,0)+IF(AND(V377&gt;=40,V377&lt;75,W377&gt;=35,W377&lt;75),0.23,0)+IF(AND(V377&gt;=40,V377&lt;75,W377&gt;=75,W377&lt;120),0.17,0)+IF(AND(V377&gt;=40,V377&lt;75,W377&gt;=120),0.12,0)+IF(AND(V377&gt;=75,V377&lt;175,W377&lt;35),0.3,0)+IF(AND(V377&gt;=75,V377&lt;=175,W377&gt;=35,W377&lt;65),0.23,0)+IF(AND(V377&gt;=75,V377&lt;=175,W377&gt;=65,W377&lt;110),0.17,0)+IF(AND(V377&gt;=75,V377&lt;=175,W377&gt;=110),0.12,0)+IF(AND(V377&gt;175,W377&lt;25),0.3,0)+IF(AND(V377&gt;175,W377&gt;=25,W377&lt;55),0.23,0)+IF(AND(V377&gt;175,W377&gt;=55,W377&lt;95),0.17,0)+IF(AND(V377&gt;175,W377&gt;=95),0.12,0),
IF(AF377="DoEVni",IF(AND(V377&lt;20,W377&lt;55),0.3,0)+IF(AND(V377&lt;20,W377&gt;=55,W377&lt;105),0.23,0)+IF(AND(V377&lt;20,W377&gt;=105),0.17,0)+IF(AND(V377&gt;=20,V377&lt;40,W377&lt;45),0.3,0)+IF(AND(V377&gt;=20,V377&lt;40,W377&gt;=45,W377&lt;95),0.23,0)+IF(AND(V377&gt;=20,V377&lt;40,W377&gt;=95,W377&lt;=200),0.17,0)+IF(AND(V377&gt;=20,V377&lt;40,W377&gt;=200),0.12,0)+IF(AND(V377&gt;=40,V377&lt;75,W377&lt;35),0.3,0)+IF(AND(V377&gt;=40,V377&lt;75,W377&gt;=35,W377&lt;75),0.23,0)+IF(AND(V377&gt;=40,V377&lt;75,W377&gt;=75,W377&lt;120),0.17,0)+IF(AND(V377&gt;=40,V377&lt;75,W377&gt;=120),0.12,0)+IF(AND(V377&gt;=75,V377&lt;175,W377&lt;35),0.3,0)+IF(AND(V377&gt;=75,V377&lt;=175,W377&gt;=35,W377&lt;65),0.23,0)+IF(AND(V377&gt;=75,V377&lt;=175,W377&gt;=65,W377&lt;110),0.17,0)+IF(AND(V377&gt;=75,V377&lt;=175,W377&gt;=110),0.12,0)+IF(AND(V377&gt;175,W377&lt;25),0.3,0)+IF(AND(V377&gt;175,W377&gt;=25,W377&lt;55),0.23,0)+IF(AND(V377&gt;175,W377&gt;=55,W377&lt;95),0.17,0)+IF(AND(V377&gt;175,W377&gt;=95),0.12,0),
IF(AF377="DoEVLo",IF(AND(V377&lt;20,W377&lt;55),0.25,0)+IF(AND(V377&lt;20,W377&gt;=55,W377&lt;105),0.2,0)+IF(AND(V377&lt;20,W377&gt;=105),0.15,0)+IF(AND(V377&gt;=20,V377&lt;40,W377&lt;45),0.25,0)+IF(AND(V377&gt;=20,V377&lt;40,W377&gt;=45,W377&lt;95),0.2,0)+IF(AND(V377&gt;=20,V377&lt;40,W377&gt;=95),0.15,0)+IF(AND(V377&gt;=40,V377&lt;75,W377&lt;35),0.25,0)+IF(AND(V377&gt;=40,V377&lt;75,W377&gt;=35,W377&lt;75),0.2,0)+IF(AND(V377&gt;=40,V377&lt;75,W377&gt;=75,W377&lt;120),0.15,0)+IF(AND(V377&gt;=40,V377&lt;75,W377&gt;=120),0.1,0)+IF(AND(V377&gt;=75,V377&lt;175,W377&lt;35),0.25,0)+IF(AND(V377&gt;=75,V377&lt;=175,W377&gt;=35,W377&lt;65),0.2,0)+IF(AND(V377&gt;=75,V377&lt;=175,W377&gt;=65,W377&lt;110),0.15,0)+IF(AND(V377&gt;=75,V377&lt;=175,W377&gt;=110),0.1,0)+IF(AND(V377&gt;175,W377&lt;25),0.25,0)+IF(AND(V377&gt;175,W377&gt;=25,W377&lt;55),0.2,0)+IF(AND(V377&gt;175,W377&gt;=55,W377&lt;95),0.15,0)+IF(AND(V377&gt;175,W377&gt;=95),0.1,0))))))))))))))))</f>
        <v>0.12</v>
      </c>
      <c r="Y377" s="30">
        <f>IF(AG377="None",0,IF(AG377="Fix5",0.05,IF(AG377="Fix3.75",0.0375,IF(AG377="Fix10",0.1,IF(AG377="Fix3",0.03,0)))))</f>
        <v>0</v>
      </c>
      <c r="Z377" s="35">
        <f>T377-AA377-AB377</f>
        <v>2.64</v>
      </c>
      <c r="AA377" s="29">
        <f>IF(AD377="EUR",((T377-R377)*X377)*U377+(R377*X377),(T377*X377))</f>
        <v>0.36</v>
      </c>
      <c r="AB377" s="36">
        <f>IF(AD377="EUR",((T377-R377)*Y377)*U377+(R377*Y377),(T377*Y377))</f>
        <v>0</v>
      </c>
      <c r="AC377" s="37" t="b">
        <v>1</v>
      </c>
      <c r="AD377" s="37" t="s">
        <v>38</v>
      </c>
      <c r="AE377" s="37" t="s">
        <v>38</v>
      </c>
      <c r="AF377" s="37" t="str">
        <f t="array" ref="AF377">INDEX('Deal Info'!D:D, MATCH(A377,'Deal Info'!A:A, 0))</f>
        <v>DoEVs1</v>
      </c>
      <c r="AG377" s="38" t="str">
        <f t="array" ref="AG377">INDEX('Deal Info'!G:G, MATCH(A377,'Deal Info'!A:A, 0))</f>
        <v>None</v>
      </c>
    </row>
    <row r="378" spans="1:33" ht="14.25" hidden="1" x14ac:dyDescent="0.2">
      <c r="A378" s="18" t="str">
        <f t="array" ref="A378">IF(G378='Room Info'!$B$1, INDEX('Room Info'!$A$2:$A2446, MATCH(B378,'Room Info'!$B$2:$B2446, 0)),IF(G378='Room Info'!$C$1, INDEX('Room Info'!$A$2:$A2446, MATCH(B378,'Room Info'!$C$2:$C2446, 0)),IF(G378='Room Info'!$D$1, INDEX('Room Info'!$A$2:$A2446, MATCH(B378,'Room Info'!$D$2:$D2446, 0)),IF(G378='Room Info'!$E$1, INDEX('Room Info'!$A$2:$A2446, MATCH(B378,'Room Info'!$E$2:$E2446, 0)),IF(G378='Room Info'!$F$1, INDEX('Room Info'!$A$2:$A2446, MATCH(B378,'Room Info'!$F$2:$F2446, 0)),IF(G378='Room Info'!$H$1, INDEX('Room Info'!$A$2:$A2446, MATCH(B378,'Room Info'!$H$2:$H2446, 0)),IF(G378='Room Info'!$G$1, INDEX('Room Info'!$A$2:$A2446, MATCH(B378,'Room Info'!$G$2:$G2446, 0)))))))))</f>
        <v>S1lense</v>
      </c>
      <c r="B378" s="45" t="s">
        <v>124</v>
      </c>
      <c r="C378" s="46">
        <v>44763</v>
      </c>
      <c r="D378" s="46">
        <v>44793</v>
      </c>
      <c r="E378" s="47">
        <v>44774</v>
      </c>
      <c r="F378" s="48" t="s">
        <v>34</v>
      </c>
      <c r="G378" s="45" t="s">
        <v>35</v>
      </c>
      <c r="H378" s="49" t="s">
        <v>115</v>
      </c>
      <c r="I378" s="49" t="s">
        <v>44</v>
      </c>
      <c r="J378" s="70">
        <v>10</v>
      </c>
      <c r="K378" s="71">
        <v>5891</v>
      </c>
      <c r="L378" s="72">
        <v>-2830</v>
      </c>
      <c r="M378" s="53">
        <v>3046</v>
      </c>
      <c r="N378" s="28">
        <f>K378*J378</f>
        <v>58910</v>
      </c>
      <c r="O378" s="45">
        <v>77583</v>
      </c>
      <c r="P378" s="29">
        <v>13.16975047</v>
      </c>
      <c r="Q378" s="55"/>
      <c r="R378" s="31">
        <f>M378+Q378</f>
        <v>3046</v>
      </c>
      <c r="S378" s="73">
        <v>-1939</v>
      </c>
      <c r="T378" s="32">
        <f>R378+S378+IF(F378="Without EV deal",L378,0)</f>
        <v>1107</v>
      </c>
      <c r="U378" s="57">
        <v>1</v>
      </c>
      <c r="V378" s="58">
        <v>21</v>
      </c>
      <c r="W378" s="58">
        <v>305.2</v>
      </c>
      <c r="X378" s="30">
        <f>IF(AF378="DoEV",IF(AND(V378&lt;20,W378&lt;55),0.3,0)+IF(AND(V378&lt;20,W378&gt;=55,W378&lt;105),0.23,0)+IF(AND(V378&lt;20,W378&gt;=105),0.17,0)+IF(AND(V378&gt;=20,V378&lt;40,W378&lt;45),0.3,0)+IF(AND(V378&gt;=20,V378&lt;40,W378&gt;=45,W378&lt;95),0.23,0)+IF(AND(V378&gt;=20,V378&lt;40,W378&gt;=95),0.17,0)+IF(AND(V378&gt;=40,V378&lt;75,W378&lt;35),0.3,0)+IF(AND(V378&gt;=40,V378&lt;75,W378&gt;=35,W378&lt;75),0.23,0)+IF(AND(V378&gt;=40,V378&lt;75,W378&gt;=75,W378&lt;120),0.17,0)+IF(AND(V378&gt;=40,V378&lt;75,W378&gt;=120),0.12,0)+IF(AND(V378&gt;=75,V378&lt;175,W378&lt;35),0.3,0)+IF(AND(V378&gt;=75,V378&lt;=175,W378&gt;=35,W378&lt;65),0.23,0)+IF(AND(V378&gt;=75,V378&lt;=175,W378&gt;=65,W378&lt;110),0.17,0)+IF(AND(V378&gt;=75,V378&lt;=175,W378&gt;=110),0.12,0)+IF(AND(V378&gt;175,W378&lt;25),0.3,0)+IF(AND(V378&gt;175,W378&gt;=25,W378&lt;55),0.23,0)+IF(AND(V378&gt;175,W378&gt;=55,W378&lt;95),0.17,0)+IF(AND(V378&gt;175,W378&gt;=95),0.12,0),
IF(AF378="Fix15",0.15,
IF(AF378="Fix11.25",0.1125,
IF(AF378="Fix10",0.1,
IF(AF378="Fix9",0.09,
IF(AF378="DoEV2017",IF(AND(W378&lt;74),0.2,0)+IF(AND(W378&gt;=74),0.17,0),
IF(AF378="SF",IF(AND(V378&lt;20,W378&lt;89),0.3,0)+IF(AND(V378&lt;20,W378&gt;=89),0.25,0)+IF(AND(V378&gt;=20,V378&lt;40,W378&lt;74),0.3,0)+IF(AND(V378&gt;=20,V378&lt;40,W378&gt;=75),0.22,0)+IF(AND(V378&gt;=40,V378&lt;75,W378&lt;75),0.26,0)+IF(AND(V378&gt;=40,V378&lt;75,W378&gt;=75),0.22,0)+IF(V378&gt;=75,0.22,0),
IF(AF378="DoEVold",IF(AND(V378&lt;40,W378&lt;35),0.35,0)+IF(AND(V378&lt;40,W378&gt;=35,W378&lt;75),0.25,0)+IF(AND(V378&lt;40,W378&gt;=75),0.17,0)+IF(AND(V378&gt;=40,V378&lt;75,W378&lt;25),0.35,0)+IF(AND(V378&gt;=40,V378&lt;75,W378&gt;=25,W378&lt;65),0.25,0)+IF(AND(V378&gt;=40,V378&lt;75,W378&gt;=65,W378&lt;100),0.17,0)+IF(AND(V378&gt;=40,V378&lt;75,W378&gt;=100),0.1,0)+IF(AND(V378&gt;=75,W378&lt;25),0.35,0)+IF(AND(V378&gt;=75,W378&gt;=25,W378&lt;60),0.25,0)+IF(AND(V378&gt;=75,W378&gt;=60,W378&lt;95),0.17,0)+IF(AND(V378&gt;=75,W378&gt;=95),0.1,0),
IF(AF378="DoEVold15",IF(AND(V378&lt;=40,W378&lt;35),0.35,0)+IF(AND(V378&lt;=40,W378&gt;=35,W378&lt;75),0.25,0)+IF(AND(V378&lt;=40,W378&gt;=75,W378&lt;120),0.17,0)+IF(AND(V378&lt;=40,W378&gt;=120),0.15,0)+IF(AND(V378&gt;40,V378&lt;75,W378&lt;25),0.35,0)+IF(AND(V378&gt;=40,V378&lt;75,W378&gt;=25,W378&lt;65),0.25,0)+IF(AND(V378&gt;=40,V378&lt;75,W378&gt;=65,W378&lt;100),0.17,0)+IF(AND(V378&gt;=40,V378&lt;75,W378&gt;=100),0.1,0)+IF(AND(V378&gt;=75,W378&lt;25),0.35,0)+IF(AND(V378&gt;=75,W378&gt;=25,W378&lt;60),0.25,0)+IF(AND(V378&gt;=75,W378&gt;=60,W378&lt;95),0.17,0)+IF(AND(V378&gt;=75,W378&gt;=95),0.1,0),
IF(AF378="DoEVba",IF(AND(V378&lt;20,W378&lt;105),0.2,0)+IF(AND(V378&lt;20,W378&gt;=105),0.15,0)+IF(AND(V378&gt;=20,V378&lt;40,W378&lt;95),0.2,0)+IF(AND(V378&gt;=20,V378&lt;40,W378&gt;=95,W378&lt;150),0.15,0)+IF(AND(V378&gt;=20,V378&lt;40,W378&gt;=150),0.12,0)+IF(AND(V378&gt;=40,V378&lt;75,W378&lt;75),0.2,0)+IF(AND(V378&gt;=40,V378&lt;75,W378&gt;=75,W378&lt;120),0.15,0)+IF(AND(V378&gt;=40,V378&lt;75,W378&gt;=120),0.12,0)+IF(AND(V378&gt;=75,V378&lt;175,W378&lt;65),0.2,0)+IF(AND(V378&gt;=75,V378&lt;175,W378&gt;=65,W378&lt;110),0.15,0)+IF(AND(V378&gt;=75,V378&lt;175,W378&gt;=110),0.12,0)+IF(AND(V378&gt;=175,W378&lt;55),0.2,0)+IF(AND(V378&gt;=175,W378&gt;=55,W378&lt;95),0.15,0)+IF(AND(V378&gt;=175,W378&gt;=95),0.12,0),
IF(AF378="DoEVku",IF(AND(V378&lt;20,W378&lt;55),0.23,0)+IF(AND(V378&lt;20,W378&gt;=55,W378&lt;105),0.2,0)+IF(AND(V378&lt;20,W378&gt;=105),0.17,0)+IF(AND(V378&gt;=20,V378&lt;40,W378&lt;45),0.23,0)+IF(AND(V378&gt;=20,V378&lt;40,W378&gt;=45,W378&lt;95),0.2,0)+IF(AND(V378&gt;=20,V378&lt;40,W378&gt;=95,W378&lt;=150),0.17,0)+IF(AND(V378&gt;=20,V378&lt;40,W378&gt;=150),0.12,0)+IF(AND(V378&gt;=40,V378&lt;75,W378&lt;35),0.23,0)+IF(AND(V378&gt;=40,V378&lt;75,W378&gt;=35,W378&lt;75),0.2,0)+IF(AND(V378&gt;=40,V378&lt;75,W378&gt;=75,W378&lt;120),0.17,0)+IF(AND(V378&gt;=40,V378&lt;75,W378&gt;=120),0.12,0)+IF(AND(V378&gt;=75,V378&lt;175,W378&lt;35),0.23,0)+IF(AND(V378&gt;=75,V378&lt;=175,W378&gt;=35,W378&lt;65),0.2,0)+IF(AND(V378&gt;=75,V378&lt;=175,W378&gt;=65,W378&lt;110),0.17,0)+IF(AND(V378&gt;=75,V378&lt;=175,W378&gt;=110),0.12,0)+IF(AND(V378&gt;175,W378&lt;25),0.23,0)+IF(AND(V378&gt;175,W378&gt;=25,W378&lt;55),0.2,0)+IF(AND(V378&gt;175,W378&gt;=55,W378&lt;95),0.17,0)+IF(AND(V378&gt;175,W378&gt;=95),0.12,0),
IF(AF378="DoEVs1",IF(AND(V378&lt;20,W378&lt;55),0.3,0)+IF(AND(V378&lt;20,W378&gt;=55,W378&lt;105),0.23,0)+IF(AND(V378&lt;20,W378&gt;=105),0.17,0)+IF(AND(V378&gt;=20,V378&lt;40,W378&lt;45),0.3,0)+IF(AND(V378&gt;=20,V378&lt;40,W378&gt;=45,W378&lt;95),0.23,0)+IF(AND(V378&gt;=20,V378&lt;40,W378&gt;=95,W378&lt;=150),0.17,0)+IF(AND(V378&gt;=20,V378&lt;40,W378&gt;=150),0.12,0)+IF(AND(V378&gt;=40,V378&lt;75,W378&lt;35),0.3,0)+IF(AND(V378&gt;=40,V378&lt;75,W378&gt;=35,W378&lt;75),0.23,0)+IF(AND(V378&gt;=40,V378&lt;75,W378&gt;=75,W378&lt;120),0.17,0)+IF(AND(V378&gt;=40,V378&lt;75,W378&gt;=120),0.12,0)+IF(AND(V378&gt;=75,V378&lt;175,W378&lt;35),0.3,0)+IF(AND(V378&gt;=75,V378&lt;=175,W378&gt;=35,W378&lt;65),0.23,0)+IF(AND(V378&gt;=75,V378&lt;=175,W378&gt;=65,W378&lt;110),0.17,0)+IF(AND(V378&gt;=75,V378&lt;=175,W378&gt;=110),0.12,0)+IF(AND(V378&gt;175,W378&lt;25),0.3,0)+IF(AND(V378&gt;175,W378&gt;=25,W378&lt;55),0.23,0)+IF(AND(V378&gt;175,W378&gt;=55,W378&lt;95),0.17,0)+IF(AND(V378&gt;175,W378&gt;=95),0.12,0),
IF(AF378="DoEVsu",IF(AND(V378&lt;20,W378&lt;55),0.3,0)+IF(AND(V378&lt;20,W378&gt;=55,W378&lt;105),0.23,0)+IF(AND(V378&lt;20,W378&gt;=105),0.17,0)+IF(AND(V378&gt;=20,V378&lt;40,W378&lt;45),0.3,0)+IF(AND(V378&gt;=20,V378&lt;40,W378&gt;=45,W378&lt;95),0.23,0)+IF(AND(V378&gt;=20,V378&lt;40,W378&gt;=95,W378&lt;=250),0.17,0)+IF(AND(V378&gt;=20,V378&lt;40,W378&gt;=250),0.12,0)+IF(AND(V378&gt;=40,V378&lt;75,W378&lt;35),0.3,0)+IF(AND(V378&gt;=40,V378&lt;75,W378&gt;=35,W378&lt;75),0.23,0)+IF(AND(V378&gt;=40,V378&lt;75,W378&gt;=75,W378&lt;120),0.17,0)+IF(AND(V378&gt;=40,V378&lt;75,W378&gt;=120),0.12,0)+IF(AND(V378&gt;=75,V378&lt;175,W378&lt;35),0.3,0)+IF(AND(V378&gt;=75,V378&lt;=175,W378&gt;=35,W378&lt;65),0.23,0)+IF(AND(V378&gt;=75,V378&lt;=175,W378&gt;=65,W378&lt;110),0.17,0)+IF(AND(V378&gt;=75,V378&lt;=175,W378&gt;=110),0.12,0)+IF(AND(V378&gt;175,W378&lt;25),0.3,0)+IF(AND(V378&gt;175,W378&gt;=25,W378&lt;55),0.23,0)+IF(AND(V378&gt;175,W378&gt;=55,W378&lt;95),0.17,0)+IF(AND(V378&gt;175,W378&gt;=95),0.12,0),
IF(AF378="DoEVni",IF(AND(V378&lt;20,W378&lt;55),0.3,0)+IF(AND(V378&lt;20,W378&gt;=55,W378&lt;105),0.23,0)+IF(AND(V378&lt;20,W378&gt;=105),0.17,0)+IF(AND(V378&gt;=20,V378&lt;40,W378&lt;45),0.3,0)+IF(AND(V378&gt;=20,V378&lt;40,W378&gt;=45,W378&lt;95),0.23,0)+IF(AND(V378&gt;=20,V378&lt;40,W378&gt;=95,W378&lt;=200),0.17,0)+IF(AND(V378&gt;=20,V378&lt;40,W378&gt;=200),0.12,0)+IF(AND(V378&gt;=40,V378&lt;75,W378&lt;35),0.3,0)+IF(AND(V378&gt;=40,V378&lt;75,W378&gt;=35,W378&lt;75),0.23,0)+IF(AND(V378&gt;=40,V378&lt;75,W378&gt;=75,W378&lt;120),0.17,0)+IF(AND(V378&gt;=40,V378&lt;75,W378&gt;=120),0.12,0)+IF(AND(V378&gt;=75,V378&lt;175,W378&lt;35),0.3,0)+IF(AND(V378&gt;=75,V378&lt;=175,W378&gt;=35,W378&lt;65),0.23,0)+IF(AND(V378&gt;=75,V378&lt;=175,W378&gt;=65,W378&lt;110),0.17,0)+IF(AND(V378&gt;=75,V378&lt;=175,W378&gt;=110),0.12,0)+IF(AND(V378&gt;175,W378&lt;25),0.3,0)+IF(AND(V378&gt;175,W378&gt;=25,W378&lt;55),0.23,0)+IF(AND(V378&gt;175,W378&gt;=55,W378&lt;95),0.17,0)+IF(AND(V378&gt;175,W378&gt;=95),0.12,0),
IF(AF378="DoEVLo",IF(AND(V378&lt;20,W378&lt;55),0.25,0)+IF(AND(V378&lt;20,W378&gt;=55,W378&lt;105),0.2,0)+IF(AND(V378&lt;20,W378&gt;=105),0.15,0)+IF(AND(V378&gt;=20,V378&lt;40,W378&lt;45),0.25,0)+IF(AND(V378&gt;=20,V378&lt;40,W378&gt;=45,W378&lt;95),0.2,0)+IF(AND(V378&gt;=20,V378&lt;40,W378&gt;=95),0.15,0)+IF(AND(V378&gt;=40,V378&lt;75,W378&lt;35),0.25,0)+IF(AND(V378&gt;=40,V378&lt;75,W378&gt;=35,W378&lt;75),0.2,0)+IF(AND(V378&gt;=40,V378&lt;75,W378&gt;=75,W378&lt;120),0.15,0)+IF(AND(V378&gt;=40,V378&lt;75,W378&gt;=120),0.1,0)+IF(AND(V378&gt;=75,V378&lt;175,W378&lt;35),0.25,0)+IF(AND(V378&gt;=75,V378&lt;=175,W378&gt;=35,W378&lt;65),0.2,0)+IF(AND(V378&gt;=75,V378&lt;=175,W378&gt;=65,W378&lt;110),0.15,0)+IF(AND(V378&gt;=75,V378&lt;=175,W378&gt;=110),0.1,0)+IF(AND(V378&gt;175,W378&lt;25),0.25,0)+IF(AND(V378&gt;175,W378&gt;=25,W378&lt;55),0.2,0)+IF(AND(V378&gt;175,W378&gt;=55,W378&lt;95),0.15,0)+IF(AND(V378&gt;175,W378&gt;=95),0.1,0))))))))))))))))</f>
        <v>0.12</v>
      </c>
      <c r="Y378" s="30">
        <f>IF(AG378="None",0,IF(AG378="Fix5",0.05,IF(AG378="Fix3.75",0.0375,IF(AG378="Fix10",0.1,IF(AG378="Fix3",0.03,0)))))</f>
        <v>0</v>
      </c>
      <c r="Z378" s="35">
        <f>T378-AA378-AB378</f>
        <v>974.16</v>
      </c>
      <c r="AA378" s="29">
        <f>IF(AD378="EUR",((T378-R378)*X378)*U378+(R378*X378),(T378*X378))</f>
        <v>132.84</v>
      </c>
      <c r="AB378" s="36">
        <f>IF(AD378="EUR",((T378-R378)*Y378)*U378+(R378*Y378),(T378*Y378))</f>
        <v>0</v>
      </c>
      <c r="AC378" s="37" t="b">
        <v>1</v>
      </c>
      <c r="AD378" s="37" t="s">
        <v>38</v>
      </c>
      <c r="AE378" s="37" t="s">
        <v>38</v>
      </c>
      <c r="AF378" s="37" t="str">
        <f t="array" ref="AF378">INDEX('Deal Info'!D:D, MATCH(A378,'Deal Info'!A:A, 0))</f>
        <v>DoEVs1</v>
      </c>
      <c r="AG378" s="38" t="str">
        <f t="array" ref="AG378">INDEX('Deal Info'!G:G, MATCH(A378,'Deal Info'!A:A, 0))</f>
        <v>None</v>
      </c>
    </row>
    <row r="379" spans="1:33" ht="14.25" hidden="1" x14ac:dyDescent="0.2">
      <c r="A379" s="18" t="str">
        <f t="array" ref="A379">IF(G379='Room Info'!$B$1, INDEX('Room Info'!$A$2:$A2446, MATCH(B379,'Room Info'!$B$2:$B2446, 0)),IF(G379='Room Info'!$C$1, INDEX('Room Info'!$A$2:$A2446, MATCH(B379,'Room Info'!$C$2:$C2446, 0)),IF(G379='Room Info'!$D$1, INDEX('Room Info'!$A$2:$A2446, MATCH(B379,'Room Info'!$D$2:$D2446, 0)),IF(G379='Room Info'!$E$1, INDEX('Room Info'!$A$2:$A2446, MATCH(B379,'Room Info'!$E$2:$E2446, 0)),IF(G379='Room Info'!$F$1, INDEX('Room Info'!$A$2:$A2446, MATCH(B379,'Room Info'!$F$2:$F2446, 0)),IF(G379='Room Info'!$H$1, INDEX('Room Info'!$A$2:$A2446, MATCH(B379,'Room Info'!$H$2:$H2446, 0)),IF(G379='Room Info'!$G$1, INDEX('Room Info'!$A$2:$A2446, MATCH(B379,'Room Info'!$G$2:$G2446, 0)))))))))</f>
        <v>S1lense</v>
      </c>
      <c r="B379" s="45" t="s">
        <v>124</v>
      </c>
      <c r="C379" s="46">
        <v>44763</v>
      </c>
      <c r="D379" s="46">
        <v>44793</v>
      </c>
      <c r="E379" s="47">
        <v>44774</v>
      </c>
      <c r="F379" s="48" t="s">
        <v>34</v>
      </c>
      <c r="G379" s="45" t="s">
        <v>35</v>
      </c>
      <c r="H379" s="49" t="s">
        <v>87</v>
      </c>
      <c r="I379" s="49" t="s">
        <v>44</v>
      </c>
      <c r="J379" s="70">
        <v>25</v>
      </c>
      <c r="K379" s="71">
        <v>10950</v>
      </c>
      <c r="L379" s="72">
        <v>-5650</v>
      </c>
      <c r="M379" s="53">
        <v>12133</v>
      </c>
      <c r="N379" s="28">
        <f>K379*J379</f>
        <v>273750</v>
      </c>
      <c r="O379" s="45">
        <v>149043</v>
      </c>
      <c r="P379" s="29">
        <v>13.611232879999999</v>
      </c>
      <c r="Q379" s="55"/>
      <c r="R379" s="31">
        <f>M379+Q379</f>
        <v>12133</v>
      </c>
      <c r="S379" s="73">
        <v>-5777</v>
      </c>
      <c r="T379" s="32">
        <f>R379+S379+IF(F379="Without EV deal",L379,0)</f>
        <v>6356</v>
      </c>
      <c r="U379" s="57">
        <v>1</v>
      </c>
      <c r="V379" s="58">
        <v>21</v>
      </c>
      <c r="W379" s="58">
        <v>305.2</v>
      </c>
      <c r="X379" s="30">
        <f>IF(AF379="DoEV",IF(AND(V379&lt;20,W379&lt;55),0.3,0)+IF(AND(V379&lt;20,W379&gt;=55,W379&lt;105),0.23,0)+IF(AND(V379&lt;20,W379&gt;=105),0.17,0)+IF(AND(V379&gt;=20,V379&lt;40,W379&lt;45),0.3,0)+IF(AND(V379&gt;=20,V379&lt;40,W379&gt;=45,W379&lt;95),0.23,0)+IF(AND(V379&gt;=20,V379&lt;40,W379&gt;=95),0.17,0)+IF(AND(V379&gt;=40,V379&lt;75,W379&lt;35),0.3,0)+IF(AND(V379&gt;=40,V379&lt;75,W379&gt;=35,W379&lt;75),0.23,0)+IF(AND(V379&gt;=40,V379&lt;75,W379&gt;=75,W379&lt;120),0.17,0)+IF(AND(V379&gt;=40,V379&lt;75,W379&gt;=120),0.12,0)+IF(AND(V379&gt;=75,V379&lt;175,W379&lt;35),0.3,0)+IF(AND(V379&gt;=75,V379&lt;=175,W379&gt;=35,W379&lt;65),0.23,0)+IF(AND(V379&gt;=75,V379&lt;=175,W379&gt;=65,W379&lt;110),0.17,0)+IF(AND(V379&gt;=75,V379&lt;=175,W379&gt;=110),0.12,0)+IF(AND(V379&gt;175,W379&lt;25),0.3,0)+IF(AND(V379&gt;175,W379&gt;=25,W379&lt;55),0.23,0)+IF(AND(V379&gt;175,W379&gt;=55,W379&lt;95),0.17,0)+IF(AND(V379&gt;175,W379&gt;=95),0.12,0),
IF(AF379="Fix15",0.15,
IF(AF379="Fix11.25",0.1125,
IF(AF379="Fix10",0.1,
IF(AF379="Fix9",0.09,
IF(AF379="DoEV2017",IF(AND(W379&lt;74),0.2,0)+IF(AND(W379&gt;=74),0.17,0),
IF(AF379="SF",IF(AND(V379&lt;20,W379&lt;89),0.3,0)+IF(AND(V379&lt;20,W379&gt;=89),0.25,0)+IF(AND(V379&gt;=20,V379&lt;40,W379&lt;74),0.3,0)+IF(AND(V379&gt;=20,V379&lt;40,W379&gt;=75),0.22,0)+IF(AND(V379&gt;=40,V379&lt;75,W379&lt;75),0.26,0)+IF(AND(V379&gt;=40,V379&lt;75,W379&gt;=75),0.22,0)+IF(V379&gt;=75,0.22,0),
IF(AF379="DoEVold",IF(AND(V379&lt;40,W379&lt;35),0.35,0)+IF(AND(V379&lt;40,W379&gt;=35,W379&lt;75),0.25,0)+IF(AND(V379&lt;40,W379&gt;=75),0.17,0)+IF(AND(V379&gt;=40,V379&lt;75,W379&lt;25),0.35,0)+IF(AND(V379&gt;=40,V379&lt;75,W379&gt;=25,W379&lt;65),0.25,0)+IF(AND(V379&gt;=40,V379&lt;75,W379&gt;=65,W379&lt;100),0.17,0)+IF(AND(V379&gt;=40,V379&lt;75,W379&gt;=100),0.1,0)+IF(AND(V379&gt;=75,W379&lt;25),0.35,0)+IF(AND(V379&gt;=75,W379&gt;=25,W379&lt;60),0.25,0)+IF(AND(V379&gt;=75,W379&gt;=60,W379&lt;95),0.17,0)+IF(AND(V379&gt;=75,W379&gt;=95),0.1,0),
IF(AF379="DoEVold15",IF(AND(V379&lt;=40,W379&lt;35),0.35,0)+IF(AND(V379&lt;=40,W379&gt;=35,W379&lt;75),0.25,0)+IF(AND(V379&lt;=40,W379&gt;=75,W379&lt;120),0.17,0)+IF(AND(V379&lt;=40,W379&gt;=120),0.15,0)+IF(AND(V379&gt;40,V379&lt;75,W379&lt;25),0.35,0)+IF(AND(V379&gt;=40,V379&lt;75,W379&gt;=25,W379&lt;65),0.25,0)+IF(AND(V379&gt;=40,V379&lt;75,W379&gt;=65,W379&lt;100),0.17,0)+IF(AND(V379&gt;=40,V379&lt;75,W379&gt;=100),0.1,0)+IF(AND(V379&gt;=75,W379&lt;25),0.35,0)+IF(AND(V379&gt;=75,W379&gt;=25,W379&lt;60),0.25,0)+IF(AND(V379&gt;=75,W379&gt;=60,W379&lt;95),0.17,0)+IF(AND(V379&gt;=75,W379&gt;=95),0.1,0),
IF(AF379="DoEVba",IF(AND(V379&lt;20,W379&lt;105),0.2,0)+IF(AND(V379&lt;20,W379&gt;=105),0.15,0)+IF(AND(V379&gt;=20,V379&lt;40,W379&lt;95),0.2,0)+IF(AND(V379&gt;=20,V379&lt;40,W379&gt;=95,W379&lt;150),0.15,0)+IF(AND(V379&gt;=20,V379&lt;40,W379&gt;=150),0.12,0)+IF(AND(V379&gt;=40,V379&lt;75,W379&lt;75),0.2,0)+IF(AND(V379&gt;=40,V379&lt;75,W379&gt;=75,W379&lt;120),0.15,0)+IF(AND(V379&gt;=40,V379&lt;75,W379&gt;=120),0.12,0)+IF(AND(V379&gt;=75,V379&lt;175,W379&lt;65),0.2,0)+IF(AND(V379&gt;=75,V379&lt;175,W379&gt;=65,W379&lt;110),0.15,0)+IF(AND(V379&gt;=75,V379&lt;175,W379&gt;=110),0.12,0)+IF(AND(V379&gt;=175,W379&lt;55),0.2,0)+IF(AND(V379&gt;=175,W379&gt;=55,W379&lt;95),0.15,0)+IF(AND(V379&gt;=175,W379&gt;=95),0.12,0),
IF(AF379="DoEVku",IF(AND(V379&lt;20,W379&lt;55),0.23,0)+IF(AND(V379&lt;20,W379&gt;=55,W379&lt;105),0.2,0)+IF(AND(V379&lt;20,W379&gt;=105),0.17,0)+IF(AND(V379&gt;=20,V379&lt;40,W379&lt;45),0.23,0)+IF(AND(V379&gt;=20,V379&lt;40,W379&gt;=45,W379&lt;95),0.2,0)+IF(AND(V379&gt;=20,V379&lt;40,W379&gt;=95,W379&lt;=150),0.17,0)+IF(AND(V379&gt;=20,V379&lt;40,W379&gt;=150),0.12,0)+IF(AND(V379&gt;=40,V379&lt;75,W379&lt;35),0.23,0)+IF(AND(V379&gt;=40,V379&lt;75,W379&gt;=35,W379&lt;75),0.2,0)+IF(AND(V379&gt;=40,V379&lt;75,W379&gt;=75,W379&lt;120),0.17,0)+IF(AND(V379&gt;=40,V379&lt;75,W379&gt;=120),0.12,0)+IF(AND(V379&gt;=75,V379&lt;175,W379&lt;35),0.23,0)+IF(AND(V379&gt;=75,V379&lt;=175,W379&gt;=35,W379&lt;65),0.2,0)+IF(AND(V379&gt;=75,V379&lt;=175,W379&gt;=65,W379&lt;110),0.17,0)+IF(AND(V379&gt;=75,V379&lt;=175,W379&gt;=110),0.12,0)+IF(AND(V379&gt;175,W379&lt;25),0.23,0)+IF(AND(V379&gt;175,W379&gt;=25,W379&lt;55),0.2,0)+IF(AND(V379&gt;175,W379&gt;=55,W379&lt;95),0.17,0)+IF(AND(V379&gt;175,W379&gt;=95),0.12,0),
IF(AF379="DoEVs1",IF(AND(V379&lt;20,W379&lt;55),0.3,0)+IF(AND(V379&lt;20,W379&gt;=55,W379&lt;105),0.23,0)+IF(AND(V379&lt;20,W379&gt;=105),0.17,0)+IF(AND(V379&gt;=20,V379&lt;40,W379&lt;45),0.3,0)+IF(AND(V379&gt;=20,V379&lt;40,W379&gt;=45,W379&lt;95),0.23,0)+IF(AND(V379&gt;=20,V379&lt;40,W379&gt;=95,W379&lt;=150),0.17,0)+IF(AND(V379&gt;=20,V379&lt;40,W379&gt;=150),0.12,0)+IF(AND(V379&gt;=40,V379&lt;75,W379&lt;35),0.3,0)+IF(AND(V379&gt;=40,V379&lt;75,W379&gt;=35,W379&lt;75),0.23,0)+IF(AND(V379&gt;=40,V379&lt;75,W379&gt;=75,W379&lt;120),0.17,0)+IF(AND(V379&gt;=40,V379&lt;75,W379&gt;=120),0.12,0)+IF(AND(V379&gt;=75,V379&lt;175,W379&lt;35),0.3,0)+IF(AND(V379&gt;=75,V379&lt;=175,W379&gt;=35,W379&lt;65),0.23,0)+IF(AND(V379&gt;=75,V379&lt;=175,W379&gt;=65,W379&lt;110),0.17,0)+IF(AND(V379&gt;=75,V379&lt;=175,W379&gt;=110),0.12,0)+IF(AND(V379&gt;175,W379&lt;25),0.3,0)+IF(AND(V379&gt;175,W379&gt;=25,W379&lt;55),0.23,0)+IF(AND(V379&gt;175,W379&gt;=55,W379&lt;95),0.17,0)+IF(AND(V379&gt;175,W379&gt;=95),0.12,0),
IF(AF379="DoEVsu",IF(AND(V379&lt;20,W379&lt;55),0.3,0)+IF(AND(V379&lt;20,W379&gt;=55,W379&lt;105),0.23,0)+IF(AND(V379&lt;20,W379&gt;=105),0.17,0)+IF(AND(V379&gt;=20,V379&lt;40,W379&lt;45),0.3,0)+IF(AND(V379&gt;=20,V379&lt;40,W379&gt;=45,W379&lt;95),0.23,0)+IF(AND(V379&gt;=20,V379&lt;40,W379&gt;=95,W379&lt;=250),0.17,0)+IF(AND(V379&gt;=20,V379&lt;40,W379&gt;=250),0.12,0)+IF(AND(V379&gt;=40,V379&lt;75,W379&lt;35),0.3,0)+IF(AND(V379&gt;=40,V379&lt;75,W379&gt;=35,W379&lt;75),0.23,0)+IF(AND(V379&gt;=40,V379&lt;75,W379&gt;=75,W379&lt;120),0.17,0)+IF(AND(V379&gt;=40,V379&lt;75,W379&gt;=120),0.12,0)+IF(AND(V379&gt;=75,V379&lt;175,W379&lt;35),0.3,0)+IF(AND(V379&gt;=75,V379&lt;=175,W379&gt;=35,W379&lt;65),0.23,0)+IF(AND(V379&gt;=75,V379&lt;=175,W379&gt;=65,W379&lt;110),0.17,0)+IF(AND(V379&gt;=75,V379&lt;=175,W379&gt;=110),0.12,0)+IF(AND(V379&gt;175,W379&lt;25),0.3,0)+IF(AND(V379&gt;175,W379&gt;=25,W379&lt;55),0.23,0)+IF(AND(V379&gt;175,W379&gt;=55,W379&lt;95),0.17,0)+IF(AND(V379&gt;175,W379&gt;=95),0.12,0),
IF(AF379="DoEVni",IF(AND(V379&lt;20,W379&lt;55),0.3,0)+IF(AND(V379&lt;20,W379&gt;=55,W379&lt;105),0.23,0)+IF(AND(V379&lt;20,W379&gt;=105),0.17,0)+IF(AND(V379&gt;=20,V379&lt;40,W379&lt;45),0.3,0)+IF(AND(V379&gt;=20,V379&lt;40,W379&gt;=45,W379&lt;95),0.23,0)+IF(AND(V379&gt;=20,V379&lt;40,W379&gt;=95,W379&lt;=200),0.17,0)+IF(AND(V379&gt;=20,V379&lt;40,W379&gt;=200),0.12,0)+IF(AND(V379&gt;=40,V379&lt;75,W379&lt;35),0.3,0)+IF(AND(V379&gt;=40,V379&lt;75,W379&gt;=35,W379&lt;75),0.23,0)+IF(AND(V379&gt;=40,V379&lt;75,W379&gt;=75,W379&lt;120),0.17,0)+IF(AND(V379&gt;=40,V379&lt;75,W379&gt;=120),0.12,0)+IF(AND(V379&gt;=75,V379&lt;175,W379&lt;35),0.3,0)+IF(AND(V379&gt;=75,V379&lt;=175,W379&gt;=35,W379&lt;65),0.23,0)+IF(AND(V379&gt;=75,V379&lt;=175,W379&gt;=65,W379&lt;110),0.17,0)+IF(AND(V379&gt;=75,V379&lt;=175,W379&gt;=110),0.12,0)+IF(AND(V379&gt;175,W379&lt;25),0.3,0)+IF(AND(V379&gt;175,W379&gt;=25,W379&lt;55),0.23,0)+IF(AND(V379&gt;175,W379&gt;=55,W379&lt;95),0.17,0)+IF(AND(V379&gt;175,W379&gt;=95),0.12,0),
IF(AF379="DoEVLo",IF(AND(V379&lt;20,W379&lt;55),0.25,0)+IF(AND(V379&lt;20,W379&gt;=55,W379&lt;105),0.2,0)+IF(AND(V379&lt;20,W379&gt;=105),0.15,0)+IF(AND(V379&gt;=20,V379&lt;40,W379&lt;45),0.25,0)+IF(AND(V379&gt;=20,V379&lt;40,W379&gt;=45,W379&lt;95),0.2,0)+IF(AND(V379&gt;=20,V379&lt;40,W379&gt;=95),0.15,0)+IF(AND(V379&gt;=40,V379&lt;75,W379&lt;35),0.25,0)+IF(AND(V379&gt;=40,V379&lt;75,W379&gt;=35,W379&lt;75),0.2,0)+IF(AND(V379&gt;=40,V379&lt;75,W379&gt;=75,W379&lt;120),0.15,0)+IF(AND(V379&gt;=40,V379&lt;75,W379&gt;=120),0.1,0)+IF(AND(V379&gt;=75,V379&lt;175,W379&lt;35),0.25,0)+IF(AND(V379&gt;=75,V379&lt;=175,W379&gt;=35,W379&lt;65),0.2,0)+IF(AND(V379&gt;=75,V379&lt;=175,W379&gt;=65,W379&lt;110),0.15,0)+IF(AND(V379&gt;=75,V379&lt;=175,W379&gt;=110),0.1,0)+IF(AND(V379&gt;175,W379&lt;25),0.25,0)+IF(AND(V379&gt;175,W379&gt;=25,W379&lt;55),0.2,0)+IF(AND(V379&gt;175,W379&gt;=55,W379&lt;95),0.15,0)+IF(AND(V379&gt;175,W379&gt;=95),0.1,0))))))))))))))))</f>
        <v>0.12</v>
      </c>
      <c r="Y379" s="30">
        <f>IF(AG379="None",0,IF(AG379="Fix5",0.05,IF(AG379="Fix3.75",0.0375,IF(AG379="Fix10",0.1,IF(AG379="Fix3",0.03,0)))))</f>
        <v>0</v>
      </c>
      <c r="Z379" s="35">
        <f>T379-AA379-AB379</f>
        <v>5593.28</v>
      </c>
      <c r="AA379" s="29">
        <f>IF(AD379="EUR",((T379-R379)*X379)*U379+(R379*X379),(T379*X379))</f>
        <v>762.72</v>
      </c>
      <c r="AB379" s="36">
        <f>IF(AD379="EUR",((T379-R379)*Y379)*U379+(R379*Y379),(T379*Y379))</f>
        <v>0</v>
      </c>
      <c r="AC379" s="37" t="b">
        <v>1</v>
      </c>
      <c r="AD379" s="37" t="s">
        <v>38</v>
      </c>
      <c r="AE379" s="37" t="s">
        <v>38</v>
      </c>
      <c r="AF379" s="37" t="str">
        <f t="array" ref="AF379">INDEX('Deal Info'!D:D, MATCH(A379,'Deal Info'!A:A, 0))</f>
        <v>DoEVs1</v>
      </c>
      <c r="AG379" s="38" t="str">
        <f t="array" ref="AG379">INDEX('Deal Info'!G:G, MATCH(A379,'Deal Info'!A:A, 0))</f>
        <v>None</v>
      </c>
    </row>
    <row r="380" spans="1:33" ht="14.25" hidden="1" x14ac:dyDescent="0.2">
      <c r="A380" s="18" t="str">
        <f t="array" ref="A380">IF(G380='Room Info'!$B$1, INDEX('Room Info'!$A$2:$A2446, MATCH(B380,'Room Info'!$B$2:$B2446, 0)),IF(G380='Room Info'!$C$1, INDEX('Room Info'!$A$2:$A2446, MATCH(B380,'Room Info'!$C$2:$C2446, 0)),IF(G380='Room Info'!$D$1, INDEX('Room Info'!$A$2:$A2446, MATCH(B380,'Room Info'!$D$2:$D2446, 0)),IF(G380='Room Info'!$E$1, INDEX('Room Info'!$A$2:$A2446, MATCH(B380,'Room Info'!$E$2:$E2446, 0)),IF(G380='Room Info'!$F$1, INDEX('Room Info'!$A$2:$A2446, MATCH(B380,'Room Info'!$F$2:$F2446, 0)),IF(G380='Room Info'!$H$1, INDEX('Room Info'!$A$2:$A2446, MATCH(B380,'Room Info'!$H$2:$H2446, 0)),IF(G380='Room Info'!$G$1, INDEX('Room Info'!$A$2:$A2446, MATCH(B380,'Room Info'!$G$2:$G2446, 0)))))))))</f>
        <v>S1lense</v>
      </c>
      <c r="B380" s="45" t="s">
        <v>124</v>
      </c>
      <c r="C380" s="46">
        <v>44763</v>
      </c>
      <c r="D380" s="46">
        <v>44793</v>
      </c>
      <c r="E380" s="47">
        <v>44774</v>
      </c>
      <c r="F380" s="48" t="s">
        <v>34</v>
      </c>
      <c r="G380" s="45" t="s">
        <v>35</v>
      </c>
      <c r="H380" s="49" t="s">
        <v>85</v>
      </c>
      <c r="I380" s="49" t="s">
        <v>44</v>
      </c>
      <c r="J380" s="70">
        <v>50</v>
      </c>
      <c r="K380" s="71">
        <v>1160</v>
      </c>
      <c r="L380" s="72">
        <v>-1000</v>
      </c>
      <c r="M380" s="53">
        <v>2570</v>
      </c>
      <c r="N380" s="28">
        <f>K380*J380</f>
        <v>58000</v>
      </c>
      <c r="O380" s="45">
        <v>24135</v>
      </c>
      <c r="P380" s="29">
        <v>20.806034480000001</v>
      </c>
      <c r="Q380" s="55"/>
      <c r="R380" s="31">
        <f>M380+Q380</f>
        <v>2570</v>
      </c>
      <c r="S380" s="73">
        <v>66</v>
      </c>
      <c r="T380" s="32">
        <f>R380+S380+IF(F380="Without EV deal",L380,0)</f>
        <v>2636</v>
      </c>
      <c r="U380" s="57">
        <v>1</v>
      </c>
      <c r="V380" s="58">
        <v>21</v>
      </c>
      <c r="W380" s="58">
        <v>305.2</v>
      </c>
      <c r="X380" s="30">
        <f>IF(AF380="DoEV",IF(AND(V380&lt;20,W380&lt;55),0.3,0)+IF(AND(V380&lt;20,W380&gt;=55,W380&lt;105),0.23,0)+IF(AND(V380&lt;20,W380&gt;=105),0.17,0)+IF(AND(V380&gt;=20,V380&lt;40,W380&lt;45),0.3,0)+IF(AND(V380&gt;=20,V380&lt;40,W380&gt;=45,W380&lt;95),0.23,0)+IF(AND(V380&gt;=20,V380&lt;40,W380&gt;=95),0.17,0)+IF(AND(V380&gt;=40,V380&lt;75,W380&lt;35),0.3,0)+IF(AND(V380&gt;=40,V380&lt;75,W380&gt;=35,W380&lt;75),0.23,0)+IF(AND(V380&gt;=40,V380&lt;75,W380&gt;=75,W380&lt;120),0.17,0)+IF(AND(V380&gt;=40,V380&lt;75,W380&gt;=120),0.12,0)+IF(AND(V380&gt;=75,V380&lt;175,W380&lt;35),0.3,0)+IF(AND(V380&gt;=75,V380&lt;=175,W380&gt;=35,W380&lt;65),0.23,0)+IF(AND(V380&gt;=75,V380&lt;=175,W380&gt;=65,W380&lt;110),0.17,0)+IF(AND(V380&gt;=75,V380&lt;=175,W380&gt;=110),0.12,0)+IF(AND(V380&gt;175,W380&lt;25),0.3,0)+IF(AND(V380&gt;175,W380&gt;=25,W380&lt;55),0.23,0)+IF(AND(V380&gt;175,W380&gt;=55,W380&lt;95),0.17,0)+IF(AND(V380&gt;175,W380&gt;=95),0.12,0),
IF(AF380="Fix15",0.15,
IF(AF380="Fix11.25",0.1125,
IF(AF380="Fix10",0.1,
IF(AF380="Fix9",0.09,
IF(AF380="DoEV2017",IF(AND(W380&lt;74),0.2,0)+IF(AND(W380&gt;=74),0.17,0),
IF(AF380="SF",IF(AND(V380&lt;20,W380&lt;89),0.3,0)+IF(AND(V380&lt;20,W380&gt;=89),0.25,0)+IF(AND(V380&gt;=20,V380&lt;40,W380&lt;74),0.3,0)+IF(AND(V380&gt;=20,V380&lt;40,W380&gt;=75),0.22,0)+IF(AND(V380&gt;=40,V380&lt;75,W380&lt;75),0.26,0)+IF(AND(V380&gt;=40,V380&lt;75,W380&gt;=75),0.22,0)+IF(V380&gt;=75,0.22,0),
IF(AF380="DoEVold",IF(AND(V380&lt;40,W380&lt;35),0.35,0)+IF(AND(V380&lt;40,W380&gt;=35,W380&lt;75),0.25,0)+IF(AND(V380&lt;40,W380&gt;=75),0.17,0)+IF(AND(V380&gt;=40,V380&lt;75,W380&lt;25),0.35,0)+IF(AND(V380&gt;=40,V380&lt;75,W380&gt;=25,W380&lt;65),0.25,0)+IF(AND(V380&gt;=40,V380&lt;75,W380&gt;=65,W380&lt;100),0.17,0)+IF(AND(V380&gt;=40,V380&lt;75,W380&gt;=100),0.1,0)+IF(AND(V380&gt;=75,W380&lt;25),0.35,0)+IF(AND(V380&gt;=75,W380&gt;=25,W380&lt;60),0.25,0)+IF(AND(V380&gt;=75,W380&gt;=60,W380&lt;95),0.17,0)+IF(AND(V380&gt;=75,W380&gt;=95),0.1,0),
IF(AF380="DoEVold15",IF(AND(V380&lt;=40,W380&lt;35),0.35,0)+IF(AND(V380&lt;=40,W380&gt;=35,W380&lt;75),0.25,0)+IF(AND(V380&lt;=40,W380&gt;=75,W380&lt;120),0.17,0)+IF(AND(V380&lt;=40,W380&gt;=120),0.15,0)+IF(AND(V380&gt;40,V380&lt;75,W380&lt;25),0.35,0)+IF(AND(V380&gt;=40,V380&lt;75,W380&gt;=25,W380&lt;65),0.25,0)+IF(AND(V380&gt;=40,V380&lt;75,W380&gt;=65,W380&lt;100),0.17,0)+IF(AND(V380&gt;=40,V380&lt;75,W380&gt;=100),0.1,0)+IF(AND(V380&gt;=75,W380&lt;25),0.35,0)+IF(AND(V380&gt;=75,W380&gt;=25,W380&lt;60),0.25,0)+IF(AND(V380&gt;=75,W380&gt;=60,W380&lt;95),0.17,0)+IF(AND(V380&gt;=75,W380&gt;=95),0.1,0),
IF(AF380="DoEVba",IF(AND(V380&lt;20,W380&lt;105),0.2,0)+IF(AND(V380&lt;20,W380&gt;=105),0.15,0)+IF(AND(V380&gt;=20,V380&lt;40,W380&lt;95),0.2,0)+IF(AND(V380&gt;=20,V380&lt;40,W380&gt;=95,W380&lt;150),0.15,0)+IF(AND(V380&gt;=20,V380&lt;40,W380&gt;=150),0.12,0)+IF(AND(V380&gt;=40,V380&lt;75,W380&lt;75),0.2,0)+IF(AND(V380&gt;=40,V380&lt;75,W380&gt;=75,W380&lt;120),0.15,0)+IF(AND(V380&gt;=40,V380&lt;75,W380&gt;=120),0.12,0)+IF(AND(V380&gt;=75,V380&lt;175,W380&lt;65),0.2,0)+IF(AND(V380&gt;=75,V380&lt;175,W380&gt;=65,W380&lt;110),0.15,0)+IF(AND(V380&gt;=75,V380&lt;175,W380&gt;=110),0.12,0)+IF(AND(V380&gt;=175,W380&lt;55),0.2,0)+IF(AND(V380&gt;=175,W380&gt;=55,W380&lt;95),0.15,0)+IF(AND(V380&gt;=175,W380&gt;=95),0.12,0),
IF(AF380="DoEVku",IF(AND(V380&lt;20,W380&lt;55),0.23,0)+IF(AND(V380&lt;20,W380&gt;=55,W380&lt;105),0.2,0)+IF(AND(V380&lt;20,W380&gt;=105),0.17,0)+IF(AND(V380&gt;=20,V380&lt;40,W380&lt;45),0.23,0)+IF(AND(V380&gt;=20,V380&lt;40,W380&gt;=45,W380&lt;95),0.2,0)+IF(AND(V380&gt;=20,V380&lt;40,W380&gt;=95,W380&lt;=150),0.17,0)+IF(AND(V380&gt;=20,V380&lt;40,W380&gt;=150),0.12,0)+IF(AND(V380&gt;=40,V380&lt;75,W380&lt;35),0.23,0)+IF(AND(V380&gt;=40,V380&lt;75,W380&gt;=35,W380&lt;75),0.2,0)+IF(AND(V380&gt;=40,V380&lt;75,W380&gt;=75,W380&lt;120),0.17,0)+IF(AND(V380&gt;=40,V380&lt;75,W380&gt;=120),0.12,0)+IF(AND(V380&gt;=75,V380&lt;175,W380&lt;35),0.23,0)+IF(AND(V380&gt;=75,V380&lt;=175,W380&gt;=35,W380&lt;65),0.2,0)+IF(AND(V380&gt;=75,V380&lt;=175,W380&gt;=65,W380&lt;110),0.17,0)+IF(AND(V380&gt;=75,V380&lt;=175,W380&gt;=110),0.12,0)+IF(AND(V380&gt;175,W380&lt;25),0.23,0)+IF(AND(V380&gt;175,W380&gt;=25,W380&lt;55),0.2,0)+IF(AND(V380&gt;175,W380&gt;=55,W380&lt;95),0.17,0)+IF(AND(V380&gt;175,W380&gt;=95),0.12,0),
IF(AF380="DoEVs1",IF(AND(V380&lt;20,W380&lt;55),0.3,0)+IF(AND(V380&lt;20,W380&gt;=55,W380&lt;105),0.23,0)+IF(AND(V380&lt;20,W380&gt;=105),0.17,0)+IF(AND(V380&gt;=20,V380&lt;40,W380&lt;45),0.3,0)+IF(AND(V380&gt;=20,V380&lt;40,W380&gt;=45,W380&lt;95),0.23,0)+IF(AND(V380&gt;=20,V380&lt;40,W380&gt;=95,W380&lt;=150),0.17,0)+IF(AND(V380&gt;=20,V380&lt;40,W380&gt;=150),0.12,0)+IF(AND(V380&gt;=40,V380&lt;75,W380&lt;35),0.3,0)+IF(AND(V380&gt;=40,V380&lt;75,W380&gt;=35,W380&lt;75),0.23,0)+IF(AND(V380&gt;=40,V380&lt;75,W380&gt;=75,W380&lt;120),0.17,0)+IF(AND(V380&gt;=40,V380&lt;75,W380&gt;=120),0.12,0)+IF(AND(V380&gt;=75,V380&lt;175,W380&lt;35),0.3,0)+IF(AND(V380&gt;=75,V380&lt;=175,W380&gt;=35,W380&lt;65),0.23,0)+IF(AND(V380&gt;=75,V380&lt;=175,W380&gt;=65,W380&lt;110),0.17,0)+IF(AND(V380&gt;=75,V380&lt;=175,W380&gt;=110),0.12,0)+IF(AND(V380&gt;175,W380&lt;25),0.3,0)+IF(AND(V380&gt;175,W380&gt;=25,W380&lt;55),0.23,0)+IF(AND(V380&gt;175,W380&gt;=55,W380&lt;95),0.17,0)+IF(AND(V380&gt;175,W380&gt;=95),0.12,0),
IF(AF380="DoEVsu",IF(AND(V380&lt;20,W380&lt;55),0.3,0)+IF(AND(V380&lt;20,W380&gt;=55,W380&lt;105),0.23,0)+IF(AND(V380&lt;20,W380&gt;=105),0.17,0)+IF(AND(V380&gt;=20,V380&lt;40,W380&lt;45),0.3,0)+IF(AND(V380&gt;=20,V380&lt;40,W380&gt;=45,W380&lt;95),0.23,0)+IF(AND(V380&gt;=20,V380&lt;40,W380&gt;=95,W380&lt;=250),0.17,0)+IF(AND(V380&gt;=20,V380&lt;40,W380&gt;=250),0.12,0)+IF(AND(V380&gt;=40,V380&lt;75,W380&lt;35),0.3,0)+IF(AND(V380&gt;=40,V380&lt;75,W380&gt;=35,W380&lt;75),0.23,0)+IF(AND(V380&gt;=40,V380&lt;75,W380&gt;=75,W380&lt;120),0.17,0)+IF(AND(V380&gt;=40,V380&lt;75,W380&gt;=120),0.12,0)+IF(AND(V380&gt;=75,V380&lt;175,W380&lt;35),0.3,0)+IF(AND(V380&gt;=75,V380&lt;=175,W380&gt;=35,W380&lt;65),0.23,0)+IF(AND(V380&gt;=75,V380&lt;=175,W380&gt;=65,W380&lt;110),0.17,0)+IF(AND(V380&gt;=75,V380&lt;=175,W380&gt;=110),0.12,0)+IF(AND(V380&gt;175,W380&lt;25),0.3,0)+IF(AND(V380&gt;175,W380&gt;=25,W380&lt;55),0.23,0)+IF(AND(V380&gt;175,W380&gt;=55,W380&lt;95),0.17,0)+IF(AND(V380&gt;175,W380&gt;=95),0.12,0),
IF(AF380="DoEVni",IF(AND(V380&lt;20,W380&lt;55),0.3,0)+IF(AND(V380&lt;20,W380&gt;=55,W380&lt;105),0.23,0)+IF(AND(V380&lt;20,W380&gt;=105),0.17,0)+IF(AND(V380&gt;=20,V380&lt;40,W380&lt;45),0.3,0)+IF(AND(V380&gt;=20,V380&lt;40,W380&gt;=45,W380&lt;95),0.23,0)+IF(AND(V380&gt;=20,V380&lt;40,W380&gt;=95,W380&lt;=200),0.17,0)+IF(AND(V380&gt;=20,V380&lt;40,W380&gt;=200),0.12,0)+IF(AND(V380&gt;=40,V380&lt;75,W380&lt;35),0.3,0)+IF(AND(V380&gt;=40,V380&lt;75,W380&gt;=35,W380&lt;75),0.23,0)+IF(AND(V380&gt;=40,V380&lt;75,W380&gt;=75,W380&lt;120),0.17,0)+IF(AND(V380&gt;=40,V380&lt;75,W380&gt;=120),0.12,0)+IF(AND(V380&gt;=75,V380&lt;175,W380&lt;35),0.3,0)+IF(AND(V380&gt;=75,V380&lt;=175,W380&gt;=35,W380&lt;65),0.23,0)+IF(AND(V380&gt;=75,V380&lt;=175,W380&gt;=65,W380&lt;110),0.17,0)+IF(AND(V380&gt;=75,V380&lt;=175,W380&gt;=110),0.12,0)+IF(AND(V380&gt;175,W380&lt;25),0.3,0)+IF(AND(V380&gt;175,W380&gt;=25,W380&lt;55),0.23,0)+IF(AND(V380&gt;175,W380&gt;=55,W380&lt;95),0.17,0)+IF(AND(V380&gt;175,W380&gt;=95),0.12,0),
IF(AF380="DoEVLo",IF(AND(V380&lt;20,W380&lt;55),0.25,0)+IF(AND(V380&lt;20,W380&gt;=55,W380&lt;105),0.2,0)+IF(AND(V380&lt;20,W380&gt;=105),0.15,0)+IF(AND(V380&gt;=20,V380&lt;40,W380&lt;45),0.25,0)+IF(AND(V380&gt;=20,V380&lt;40,W380&gt;=45,W380&lt;95),0.2,0)+IF(AND(V380&gt;=20,V380&lt;40,W380&gt;=95),0.15,0)+IF(AND(V380&gt;=40,V380&lt;75,W380&lt;35),0.25,0)+IF(AND(V380&gt;=40,V380&lt;75,W380&gt;=35,W380&lt;75),0.2,0)+IF(AND(V380&gt;=40,V380&lt;75,W380&gt;=75,W380&lt;120),0.15,0)+IF(AND(V380&gt;=40,V380&lt;75,W380&gt;=120),0.1,0)+IF(AND(V380&gt;=75,V380&lt;175,W380&lt;35),0.25,0)+IF(AND(V380&gt;=75,V380&lt;=175,W380&gt;=35,W380&lt;65),0.2,0)+IF(AND(V380&gt;=75,V380&lt;=175,W380&gt;=65,W380&lt;110),0.15,0)+IF(AND(V380&gt;=75,V380&lt;=175,W380&gt;=110),0.1,0)+IF(AND(V380&gt;175,W380&lt;25),0.25,0)+IF(AND(V380&gt;175,W380&gt;=25,W380&lt;55),0.2,0)+IF(AND(V380&gt;175,W380&gt;=55,W380&lt;95),0.15,0)+IF(AND(V380&gt;175,W380&gt;=95),0.1,0))))))))))))))))</f>
        <v>0.12</v>
      </c>
      <c r="Y380" s="30">
        <f>IF(AG380="None",0,IF(AG380="Fix5",0.05,IF(AG380="Fix3.75",0.0375,IF(AG380="Fix10",0.1,IF(AG380="Fix3",0.03,0)))))</f>
        <v>0</v>
      </c>
      <c r="Z380" s="35">
        <f>T380-AA380-AB380</f>
        <v>2319.6799999999998</v>
      </c>
      <c r="AA380" s="29">
        <f>IF(AD380="EUR",((T380-R380)*X380)*U380+(R380*X380),(T380*X380))</f>
        <v>316.32</v>
      </c>
      <c r="AB380" s="36">
        <f>IF(AD380="EUR",((T380-R380)*Y380)*U380+(R380*Y380),(T380*Y380))</f>
        <v>0</v>
      </c>
      <c r="AC380" s="37" t="b">
        <v>1</v>
      </c>
      <c r="AD380" s="37" t="s">
        <v>38</v>
      </c>
      <c r="AE380" s="37" t="s">
        <v>38</v>
      </c>
      <c r="AF380" s="37" t="str">
        <f t="array" ref="AF380">INDEX('Deal Info'!D:D, MATCH(A380,'Deal Info'!A:A, 0))</f>
        <v>DoEVs1</v>
      </c>
      <c r="AG380" s="38" t="str">
        <f t="array" ref="AG380">INDEX('Deal Info'!G:G, MATCH(A380,'Deal Info'!A:A, 0))</f>
        <v>None</v>
      </c>
    </row>
    <row r="381" spans="1:33" ht="14.25" hidden="1" x14ac:dyDescent="0.2">
      <c r="A381" s="18" t="str">
        <f t="array" ref="A381">IF(G381='Room Info'!$B$1, INDEX('Room Info'!$A$2:$A2446, MATCH(B381,'Room Info'!$B$2:$B2446, 0)),IF(G381='Room Info'!$C$1, INDEX('Room Info'!$A$2:$A2446, MATCH(B381,'Room Info'!$C$2:$C2446, 0)),IF(G381='Room Info'!$D$1, INDEX('Room Info'!$A$2:$A2446, MATCH(B381,'Room Info'!$D$2:$D2446, 0)),IF(G381='Room Info'!$E$1, INDEX('Room Info'!$A$2:$A2446, MATCH(B381,'Room Info'!$E$2:$E2446, 0)),IF(G381='Room Info'!$F$1, INDEX('Room Info'!$A$2:$A2446, MATCH(B381,'Room Info'!$F$2:$F2446, 0)),IF(G381='Room Info'!$H$1, INDEX('Room Info'!$A$2:$A2446, MATCH(B381,'Room Info'!$H$2:$H2446, 0)),IF(G381='Room Info'!$G$1, INDEX('Room Info'!$A$2:$A2446, MATCH(B381,'Room Info'!$G$2:$G2446, 0)))))))))</f>
        <v>S1lense</v>
      </c>
      <c r="B381" s="45" t="s">
        <v>124</v>
      </c>
      <c r="C381" s="46">
        <v>44794</v>
      </c>
      <c r="D381" s="46">
        <v>44824</v>
      </c>
      <c r="E381" s="47">
        <v>44805</v>
      </c>
      <c r="F381" s="48" t="s">
        <v>34</v>
      </c>
      <c r="G381" s="45" t="s">
        <v>35</v>
      </c>
      <c r="H381" s="49" t="s">
        <v>90</v>
      </c>
      <c r="I381" s="49" t="s">
        <v>44</v>
      </c>
      <c r="J381" s="70">
        <v>5</v>
      </c>
      <c r="K381" s="71">
        <v>3</v>
      </c>
      <c r="L381" s="72">
        <v>-5</v>
      </c>
      <c r="M381" s="53">
        <v>1</v>
      </c>
      <c r="N381" s="28">
        <f>K381*J381</f>
        <v>15</v>
      </c>
      <c r="O381" s="45">
        <v>137</v>
      </c>
      <c r="P381" s="29">
        <v>45.666666669999998</v>
      </c>
      <c r="Q381" s="55"/>
      <c r="R381" s="31">
        <f>M381+Q381</f>
        <v>1</v>
      </c>
      <c r="S381" s="73">
        <v>1</v>
      </c>
      <c r="T381" s="32">
        <f>R381+S381+IF(F381="Without EV deal",L381,0)</f>
        <v>2</v>
      </c>
      <c r="U381" s="57">
        <v>1</v>
      </c>
      <c r="V381" s="69">
        <v>20.860705911646921</v>
      </c>
      <c r="W381" s="58">
        <v>60.42</v>
      </c>
      <c r="X381" s="30">
        <f>IF(AF381="DoEV",IF(AND(V381&lt;20,W381&lt;55),0.3,0)+IF(AND(V381&lt;20,W381&gt;=55,W381&lt;105),0.23,0)+IF(AND(V381&lt;20,W381&gt;=105),0.17,0)+IF(AND(V381&gt;=20,V381&lt;40,W381&lt;45),0.3,0)+IF(AND(V381&gt;=20,V381&lt;40,W381&gt;=45,W381&lt;95),0.23,0)+IF(AND(V381&gt;=20,V381&lt;40,W381&gt;=95),0.17,0)+IF(AND(V381&gt;=40,V381&lt;75,W381&lt;35),0.3,0)+IF(AND(V381&gt;=40,V381&lt;75,W381&gt;=35,W381&lt;75),0.23,0)+IF(AND(V381&gt;=40,V381&lt;75,W381&gt;=75,W381&lt;120),0.17,0)+IF(AND(V381&gt;=40,V381&lt;75,W381&gt;=120),0.12,0)+IF(AND(V381&gt;=75,V381&lt;175,W381&lt;35),0.3,0)+IF(AND(V381&gt;=75,V381&lt;=175,W381&gt;=35,W381&lt;65),0.23,0)+IF(AND(V381&gt;=75,V381&lt;=175,W381&gt;=65,W381&lt;110),0.17,0)+IF(AND(V381&gt;=75,V381&lt;=175,W381&gt;=110),0.12,0)+IF(AND(V381&gt;175,W381&lt;25),0.3,0)+IF(AND(V381&gt;175,W381&gt;=25,W381&lt;55),0.23,0)+IF(AND(V381&gt;175,W381&gt;=55,W381&lt;95),0.17,0)+IF(AND(V381&gt;175,W381&gt;=95),0.12,0),
IF(AF381="Fix15",0.15,
IF(AF381="Fix11.25",0.1125,
IF(AF381="Fix10",0.1,
IF(AF381="Fix9",0.09,
IF(AF381="DoEV2017",IF(AND(W381&lt;74),0.2,0)+IF(AND(W381&gt;=74),0.17,0),
IF(AF381="SF",IF(AND(V381&lt;20,W381&lt;89),0.3,0)+IF(AND(V381&lt;20,W381&gt;=89),0.25,0)+IF(AND(V381&gt;=20,V381&lt;40,W381&lt;74),0.3,0)+IF(AND(V381&gt;=20,V381&lt;40,W381&gt;=75),0.22,0)+IF(AND(V381&gt;=40,V381&lt;75,W381&lt;75),0.26,0)+IF(AND(V381&gt;=40,V381&lt;75,W381&gt;=75),0.22,0)+IF(V381&gt;=75,0.22,0),
IF(AF381="DoEVold",IF(AND(V381&lt;40,W381&lt;35),0.35,0)+IF(AND(V381&lt;40,W381&gt;=35,W381&lt;75),0.25,0)+IF(AND(V381&lt;40,W381&gt;=75),0.17,0)+IF(AND(V381&gt;=40,V381&lt;75,W381&lt;25),0.35,0)+IF(AND(V381&gt;=40,V381&lt;75,W381&gt;=25,W381&lt;65),0.25,0)+IF(AND(V381&gt;=40,V381&lt;75,W381&gt;=65,W381&lt;100),0.17,0)+IF(AND(V381&gt;=40,V381&lt;75,W381&gt;=100),0.1,0)+IF(AND(V381&gt;=75,W381&lt;25),0.35,0)+IF(AND(V381&gt;=75,W381&gt;=25,W381&lt;60),0.25,0)+IF(AND(V381&gt;=75,W381&gt;=60,W381&lt;95),0.17,0)+IF(AND(V381&gt;=75,W381&gt;=95),0.1,0),
IF(AF381="DoEVold15",IF(AND(V381&lt;=40,W381&lt;35),0.35,0)+IF(AND(V381&lt;=40,W381&gt;=35,W381&lt;75),0.25,0)+IF(AND(V381&lt;=40,W381&gt;=75,W381&lt;120),0.17,0)+IF(AND(V381&lt;=40,W381&gt;=120),0.15,0)+IF(AND(V381&gt;40,V381&lt;75,W381&lt;25),0.35,0)+IF(AND(V381&gt;=40,V381&lt;75,W381&gt;=25,W381&lt;65),0.25,0)+IF(AND(V381&gt;=40,V381&lt;75,W381&gt;=65,W381&lt;100),0.17,0)+IF(AND(V381&gt;=40,V381&lt;75,W381&gt;=100),0.1,0)+IF(AND(V381&gt;=75,W381&lt;25),0.35,0)+IF(AND(V381&gt;=75,W381&gt;=25,W381&lt;60),0.25,0)+IF(AND(V381&gt;=75,W381&gt;=60,W381&lt;95),0.17,0)+IF(AND(V381&gt;=75,W381&gt;=95),0.1,0),
IF(AF381="DoEVba",IF(AND(V381&lt;20,W381&lt;105),0.2,0)+IF(AND(V381&lt;20,W381&gt;=105),0.15,0)+IF(AND(V381&gt;=20,V381&lt;40,W381&lt;95),0.2,0)+IF(AND(V381&gt;=20,V381&lt;40,W381&gt;=95,W381&lt;150),0.15,0)+IF(AND(V381&gt;=20,V381&lt;40,W381&gt;=150),0.12,0)+IF(AND(V381&gt;=40,V381&lt;75,W381&lt;75),0.2,0)+IF(AND(V381&gt;=40,V381&lt;75,W381&gt;=75,W381&lt;120),0.15,0)+IF(AND(V381&gt;=40,V381&lt;75,W381&gt;=120),0.12,0)+IF(AND(V381&gt;=75,V381&lt;175,W381&lt;65),0.2,0)+IF(AND(V381&gt;=75,V381&lt;175,W381&gt;=65,W381&lt;110),0.15,0)+IF(AND(V381&gt;=75,V381&lt;175,W381&gt;=110),0.12,0)+IF(AND(V381&gt;=175,W381&lt;55),0.2,0)+IF(AND(V381&gt;=175,W381&gt;=55,W381&lt;95),0.15,0)+IF(AND(V381&gt;=175,W381&gt;=95),0.12,0),
IF(AF381="DoEVku",IF(AND(V381&lt;20,W381&lt;55),0.23,0)+IF(AND(V381&lt;20,W381&gt;=55,W381&lt;105),0.2,0)+IF(AND(V381&lt;20,W381&gt;=105),0.17,0)+IF(AND(V381&gt;=20,V381&lt;40,W381&lt;45),0.23,0)+IF(AND(V381&gt;=20,V381&lt;40,W381&gt;=45,W381&lt;95),0.2,0)+IF(AND(V381&gt;=20,V381&lt;40,W381&gt;=95,W381&lt;=150),0.17,0)+IF(AND(V381&gt;=20,V381&lt;40,W381&gt;=150),0.12,0)+IF(AND(V381&gt;=40,V381&lt;75,W381&lt;35),0.23,0)+IF(AND(V381&gt;=40,V381&lt;75,W381&gt;=35,W381&lt;75),0.2,0)+IF(AND(V381&gt;=40,V381&lt;75,W381&gt;=75,W381&lt;120),0.17,0)+IF(AND(V381&gt;=40,V381&lt;75,W381&gt;=120),0.12,0)+IF(AND(V381&gt;=75,V381&lt;175,W381&lt;35),0.23,0)+IF(AND(V381&gt;=75,V381&lt;=175,W381&gt;=35,W381&lt;65),0.2,0)+IF(AND(V381&gt;=75,V381&lt;=175,W381&gt;=65,W381&lt;110),0.17,0)+IF(AND(V381&gt;=75,V381&lt;=175,W381&gt;=110),0.12,0)+IF(AND(V381&gt;175,W381&lt;25),0.23,0)+IF(AND(V381&gt;175,W381&gt;=25,W381&lt;55),0.2,0)+IF(AND(V381&gt;175,W381&gt;=55,W381&lt;95),0.17,0)+IF(AND(V381&gt;175,W381&gt;=95),0.12,0),
IF(AF381="DoEVs1",IF(AND(V381&lt;20,W381&lt;55),0.3,0)+IF(AND(V381&lt;20,W381&gt;=55,W381&lt;105),0.23,0)+IF(AND(V381&lt;20,W381&gt;=105),0.17,0)+IF(AND(V381&gt;=20,V381&lt;40,W381&lt;45),0.3,0)+IF(AND(V381&gt;=20,V381&lt;40,W381&gt;=45,W381&lt;95),0.23,0)+IF(AND(V381&gt;=20,V381&lt;40,W381&gt;=95,W381&lt;=150),0.17,0)+IF(AND(V381&gt;=20,V381&lt;40,W381&gt;=150),0.12,0)+IF(AND(V381&gt;=40,V381&lt;75,W381&lt;35),0.3,0)+IF(AND(V381&gt;=40,V381&lt;75,W381&gt;=35,W381&lt;75),0.23,0)+IF(AND(V381&gt;=40,V381&lt;75,W381&gt;=75,W381&lt;120),0.17,0)+IF(AND(V381&gt;=40,V381&lt;75,W381&gt;=120),0.12,0)+IF(AND(V381&gt;=75,V381&lt;175,W381&lt;35),0.3,0)+IF(AND(V381&gt;=75,V381&lt;=175,W381&gt;=35,W381&lt;65),0.23,0)+IF(AND(V381&gt;=75,V381&lt;=175,W381&gt;=65,W381&lt;110),0.17,0)+IF(AND(V381&gt;=75,V381&lt;=175,W381&gt;=110),0.12,0)+IF(AND(V381&gt;175,W381&lt;25),0.3,0)+IF(AND(V381&gt;175,W381&gt;=25,W381&lt;55),0.23,0)+IF(AND(V381&gt;175,W381&gt;=55,W381&lt;95),0.17,0)+IF(AND(V381&gt;175,W381&gt;=95),0.12,0),
IF(AF381="DoEVsu",IF(AND(V381&lt;20,W381&lt;55),0.3,0)+IF(AND(V381&lt;20,W381&gt;=55,W381&lt;105),0.23,0)+IF(AND(V381&lt;20,W381&gt;=105),0.17,0)+IF(AND(V381&gt;=20,V381&lt;40,W381&lt;45),0.3,0)+IF(AND(V381&gt;=20,V381&lt;40,W381&gt;=45,W381&lt;95),0.23,0)+IF(AND(V381&gt;=20,V381&lt;40,W381&gt;=95,W381&lt;=250),0.17,0)+IF(AND(V381&gt;=20,V381&lt;40,W381&gt;=250),0.12,0)+IF(AND(V381&gt;=40,V381&lt;75,W381&lt;35),0.3,0)+IF(AND(V381&gt;=40,V381&lt;75,W381&gt;=35,W381&lt;75),0.23,0)+IF(AND(V381&gt;=40,V381&lt;75,W381&gt;=75,W381&lt;120),0.17,0)+IF(AND(V381&gt;=40,V381&lt;75,W381&gt;=120),0.12,0)+IF(AND(V381&gt;=75,V381&lt;175,W381&lt;35),0.3,0)+IF(AND(V381&gt;=75,V381&lt;=175,W381&gt;=35,W381&lt;65),0.23,0)+IF(AND(V381&gt;=75,V381&lt;=175,W381&gt;=65,W381&lt;110),0.17,0)+IF(AND(V381&gt;=75,V381&lt;=175,W381&gt;=110),0.12,0)+IF(AND(V381&gt;175,W381&lt;25),0.3,0)+IF(AND(V381&gt;175,W381&gt;=25,W381&lt;55),0.23,0)+IF(AND(V381&gt;175,W381&gt;=55,W381&lt;95),0.17,0)+IF(AND(V381&gt;175,W381&gt;=95),0.12,0),
IF(AF381="DoEVni",IF(AND(V381&lt;20,W381&lt;55),0.3,0)+IF(AND(V381&lt;20,W381&gt;=55,W381&lt;105),0.23,0)+IF(AND(V381&lt;20,W381&gt;=105),0.17,0)+IF(AND(V381&gt;=20,V381&lt;40,W381&lt;45),0.3,0)+IF(AND(V381&gt;=20,V381&lt;40,W381&gt;=45,W381&lt;95),0.23,0)+IF(AND(V381&gt;=20,V381&lt;40,W381&gt;=95,W381&lt;=200),0.17,0)+IF(AND(V381&gt;=20,V381&lt;40,W381&gt;=200),0.12,0)+IF(AND(V381&gt;=40,V381&lt;75,W381&lt;35),0.3,0)+IF(AND(V381&gt;=40,V381&lt;75,W381&gt;=35,W381&lt;75),0.23,0)+IF(AND(V381&gt;=40,V381&lt;75,W381&gt;=75,W381&lt;120),0.17,0)+IF(AND(V381&gt;=40,V381&lt;75,W381&gt;=120),0.12,0)+IF(AND(V381&gt;=75,V381&lt;175,W381&lt;35),0.3,0)+IF(AND(V381&gt;=75,V381&lt;=175,W381&gt;=35,W381&lt;65),0.23,0)+IF(AND(V381&gt;=75,V381&lt;=175,W381&gt;=65,W381&lt;110),0.17,0)+IF(AND(V381&gt;=75,V381&lt;=175,W381&gt;=110),0.12,0)+IF(AND(V381&gt;175,W381&lt;25),0.3,0)+IF(AND(V381&gt;175,W381&gt;=25,W381&lt;55),0.23,0)+IF(AND(V381&gt;175,W381&gt;=55,W381&lt;95),0.17,0)+IF(AND(V381&gt;175,W381&gt;=95),0.12,0),
IF(AF381="DoEVLo",IF(AND(V381&lt;20,W381&lt;55),0.25,0)+IF(AND(V381&lt;20,W381&gt;=55,W381&lt;105),0.2,0)+IF(AND(V381&lt;20,W381&gt;=105),0.15,0)+IF(AND(V381&gt;=20,V381&lt;40,W381&lt;45),0.25,0)+IF(AND(V381&gt;=20,V381&lt;40,W381&gt;=45,W381&lt;95),0.2,0)+IF(AND(V381&gt;=20,V381&lt;40,W381&gt;=95),0.15,0)+IF(AND(V381&gt;=40,V381&lt;75,W381&lt;35),0.25,0)+IF(AND(V381&gt;=40,V381&lt;75,W381&gt;=35,W381&lt;75),0.2,0)+IF(AND(V381&gt;=40,V381&lt;75,W381&gt;=75,W381&lt;120),0.15,0)+IF(AND(V381&gt;=40,V381&lt;75,W381&gt;=120),0.1,0)+IF(AND(V381&gt;=75,V381&lt;175,W381&lt;35),0.25,0)+IF(AND(V381&gt;=75,V381&lt;=175,W381&gt;=35,W381&lt;65),0.2,0)+IF(AND(V381&gt;=75,V381&lt;=175,W381&gt;=65,W381&lt;110),0.15,0)+IF(AND(V381&gt;=75,V381&lt;=175,W381&gt;=110),0.1,0)+IF(AND(V381&gt;175,W381&lt;25),0.25,0)+IF(AND(V381&gt;175,W381&gt;=25,W381&lt;55),0.2,0)+IF(AND(V381&gt;175,W381&gt;=55,W381&lt;95),0.15,0)+IF(AND(V381&gt;175,W381&gt;=95),0.1,0))))))))))))))))</f>
        <v>0.23</v>
      </c>
      <c r="Y381" s="30">
        <f>IF(AG381="None",0,IF(AG381="Fix5",0.05,IF(AG381="Fix3.75",0.0375,IF(AG381="Fix10",0.1,IF(AG381="Fix3",0.03,0)))))</f>
        <v>0</v>
      </c>
      <c r="Z381" s="35">
        <f>T381-AA381-AB381</f>
        <v>1.54</v>
      </c>
      <c r="AA381" s="29">
        <f>IF(AD381="EUR",((T381-R381)*X381)*U381+(R381*X381),(T381*X381))</f>
        <v>0.46</v>
      </c>
      <c r="AB381" s="36">
        <f>IF(AD381="EUR",((T381-R381)*Y381)*U381+(R381*Y381),(T381*Y381))</f>
        <v>0</v>
      </c>
      <c r="AC381" s="37" t="b">
        <v>1</v>
      </c>
      <c r="AD381" s="37" t="s">
        <v>38</v>
      </c>
      <c r="AE381" s="37" t="s">
        <v>38</v>
      </c>
      <c r="AF381" s="37" t="str">
        <f t="array" ref="AF381">INDEX('Deal Info'!D:D, MATCH(A381,'Deal Info'!A:A, 0))</f>
        <v>DoEVs1</v>
      </c>
      <c r="AG381" s="38" t="str">
        <f t="array" ref="AG381">INDEX('Deal Info'!G:G, MATCH(A381,'Deal Info'!A:A, 0))</f>
        <v>None</v>
      </c>
    </row>
    <row r="382" spans="1:33" ht="14.25" hidden="1" x14ac:dyDescent="0.2">
      <c r="A382" s="18" t="str">
        <f t="array" ref="A382">IF(G382='Room Info'!$B$1, INDEX('Room Info'!$A$2:$A2446, MATCH(B382,'Room Info'!$B$2:$B2446, 0)),IF(G382='Room Info'!$C$1, INDEX('Room Info'!$A$2:$A2446, MATCH(B382,'Room Info'!$C$2:$C2446, 0)),IF(G382='Room Info'!$D$1, INDEX('Room Info'!$A$2:$A2446, MATCH(B382,'Room Info'!$D$2:$D2446, 0)),IF(G382='Room Info'!$E$1, INDEX('Room Info'!$A$2:$A2446, MATCH(B382,'Room Info'!$E$2:$E2446, 0)),IF(G382='Room Info'!$F$1, INDEX('Room Info'!$A$2:$A2446, MATCH(B382,'Room Info'!$F$2:$F2446, 0)),IF(G382='Room Info'!$H$1, INDEX('Room Info'!$A$2:$A2446, MATCH(B382,'Room Info'!$H$2:$H2446, 0)),IF(G382='Room Info'!$G$1, INDEX('Room Info'!$A$2:$A2446, MATCH(B382,'Room Info'!$G$2:$G2446, 0)))))))))</f>
        <v>S1lense</v>
      </c>
      <c r="B382" s="45" t="s">
        <v>124</v>
      </c>
      <c r="C382" s="46">
        <v>44794</v>
      </c>
      <c r="D382" s="46">
        <v>44824</v>
      </c>
      <c r="E382" s="47">
        <v>44805</v>
      </c>
      <c r="F382" s="48" t="s">
        <v>34</v>
      </c>
      <c r="G382" s="45" t="s">
        <v>35</v>
      </c>
      <c r="H382" s="49" t="s">
        <v>115</v>
      </c>
      <c r="I382" s="49" t="s">
        <v>44</v>
      </c>
      <c r="J382" s="70">
        <v>10</v>
      </c>
      <c r="K382" s="71">
        <v>2283</v>
      </c>
      <c r="L382" s="72">
        <v>-990</v>
      </c>
      <c r="M382" s="53">
        <v>748</v>
      </c>
      <c r="N382" s="28">
        <f>K382*J382</f>
        <v>22830</v>
      </c>
      <c r="O382" s="45">
        <v>32383</v>
      </c>
      <c r="P382" s="29">
        <v>14.18440648</v>
      </c>
      <c r="Q382" s="55"/>
      <c r="R382" s="31">
        <f>M382+Q382</f>
        <v>748</v>
      </c>
      <c r="S382" s="73">
        <v>-701</v>
      </c>
      <c r="T382" s="32">
        <f>R382+S382+IF(F382="Without EV deal",L382,0)</f>
        <v>47</v>
      </c>
      <c r="U382" s="57">
        <v>1</v>
      </c>
      <c r="V382" s="69">
        <v>20.860705911646921</v>
      </c>
      <c r="W382" s="58">
        <v>60.42</v>
      </c>
      <c r="X382" s="30">
        <f>IF(AF382="DoEV",IF(AND(V382&lt;20,W382&lt;55),0.3,0)+IF(AND(V382&lt;20,W382&gt;=55,W382&lt;105),0.23,0)+IF(AND(V382&lt;20,W382&gt;=105),0.17,0)+IF(AND(V382&gt;=20,V382&lt;40,W382&lt;45),0.3,0)+IF(AND(V382&gt;=20,V382&lt;40,W382&gt;=45,W382&lt;95),0.23,0)+IF(AND(V382&gt;=20,V382&lt;40,W382&gt;=95),0.17,0)+IF(AND(V382&gt;=40,V382&lt;75,W382&lt;35),0.3,0)+IF(AND(V382&gt;=40,V382&lt;75,W382&gt;=35,W382&lt;75),0.23,0)+IF(AND(V382&gt;=40,V382&lt;75,W382&gt;=75,W382&lt;120),0.17,0)+IF(AND(V382&gt;=40,V382&lt;75,W382&gt;=120),0.12,0)+IF(AND(V382&gt;=75,V382&lt;175,W382&lt;35),0.3,0)+IF(AND(V382&gt;=75,V382&lt;=175,W382&gt;=35,W382&lt;65),0.23,0)+IF(AND(V382&gt;=75,V382&lt;=175,W382&gt;=65,W382&lt;110),0.17,0)+IF(AND(V382&gt;=75,V382&lt;=175,W382&gt;=110),0.12,0)+IF(AND(V382&gt;175,W382&lt;25),0.3,0)+IF(AND(V382&gt;175,W382&gt;=25,W382&lt;55),0.23,0)+IF(AND(V382&gt;175,W382&gt;=55,W382&lt;95),0.17,0)+IF(AND(V382&gt;175,W382&gt;=95),0.12,0),
IF(AF382="Fix15",0.15,
IF(AF382="Fix11.25",0.1125,
IF(AF382="Fix10",0.1,
IF(AF382="Fix9",0.09,
IF(AF382="DoEV2017",IF(AND(W382&lt;74),0.2,0)+IF(AND(W382&gt;=74),0.17,0),
IF(AF382="SF",IF(AND(V382&lt;20,W382&lt;89),0.3,0)+IF(AND(V382&lt;20,W382&gt;=89),0.25,0)+IF(AND(V382&gt;=20,V382&lt;40,W382&lt;74),0.3,0)+IF(AND(V382&gt;=20,V382&lt;40,W382&gt;=75),0.22,0)+IF(AND(V382&gt;=40,V382&lt;75,W382&lt;75),0.26,0)+IF(AND(V382&gt;=40,V382&lt;75,W382&gt;=75),0.22,0)+IF(V382&gt;=75,0.22,0),
IF(AF382="DoEVold",IF(AND(V382&lt;40,W382&lt;35),0.35,0)+IF(AND(V382&lt;40,W382&gt;=35,W382&lt;75),0.25,0)+IF(AND(V382&lt;40,W382&gt;=75),0.17,0)+IF(AND(V382&gt;=40,V382&lt;75,W382&lt;25),0.35,0)+IF(AND(V382&gt;=40,V382&lt;75,W382&gt;=25,W382&lt;65),0.25,0)+IF(AND(V382&gt;=40,V382&lt;75,W382&gt;=65,W382&lt;100),0.17,0)+IF(AND(V382&gt;=40,V382&lt;75,W382&gt;=100),0.1,0)+IF(AND(V382&gt;=75,W382&lt;25),0.35,0)+IF(AND(V382&gt;=75,W382&gt;=25,W382&lt;60),0.25,0)+IF(AND(V382&gt;=75,W382&gt;=60,W382&lt;95),0.17,0)+IF(AND(V382&gt;=75,W382&gt;=95),0.1,0),
IF(AF382="DoEVold15",IF(AND(V382&lt;=40,W382&lt;35),0.35,0)+IF(AND(V382&lt;=40,W382&gt;=35,W382&lt;75),0.25,0)+IF(AND(V382&lt;=40,W382&gt;=75,W382&lt;120),0.17,0)+IF(AND(V382&lt;=40,W382&gt;=120),0.15,0)+IF(AND(V382&gt;40,V382&lt;75,W382&lt;25),0.35,0)+IF(AND(V382&gt;=40,V382&lt;75,W382&gt;=25,W382&lt;65),0.25,0)+IF(AND(V382&gt;=40,V382&lt;75,W382&gt;=65,W382&lt;100),0.17,0)+IF(AND(V382&gt;=40,V382&lt;75,W382&gt;=100),0.1,0)+IF(AND(V382&gt;=75,W382&lt;25),0.35,0)+IF(AND(V382&gt;=75,W382&gt;=25,W382&lt;60),0.25,0)+IF(AND(V382&gt;=75,W382&gt;=60,W382&lt;95),0.17,0)+IF(AND(V382&gt;=75,W382&gt;=95),0.1,0),
IF(AF382="DoEVba",IF(AND(V382&lt;20,W382&lt;105),0.2,0)+IF(AND(V382&lt;20,W382&gt;=105),0.15,0)+IF(AND(V382&gt;=20,V382&lt;40,W382&lt;95),0.2,0)+IF(AND(V382&gt;=20,V382&lt;40,W382&gt;=95,W382&lt;150),0.15,0)+IF(AND(V382&gt;=20,V382&lt;40,W382&gt;=150),0.12,0)+IF(AND(V382&gt;=40,V382&lt;75,W382&lt;75),0.2,0)+IF(AND(V382&gt;=40,V382&lt;75,W382&gt;=75,W382&lt;120),0.15,0)+IF(AND(V382&gt;=40,V382&lt;75,W382&gt;=120),0.12,0)+IF(AND(V382&gt;=75,V382&lt;175,W382&lt;65),0.2,0)+IF(AND(V382&gt;=75,V382&lt;175,W382&gt;=65,W382&lt;110),0.15,0)+IF(AND(V382&gt;=75,V382&lt;175,W382&gt;=110),0.12,0)+IF(AND(V382&gt;=175,W382&lt;55),0.2,0)+IF(AND(V382&gt;=175,W382&gt;=55,W382&lt;95),0.15,0)+IF(AND(V382&gt;=175,W382&gt;=95),0.12,0),
IF(AF382="DoEVku",IF(AND(V382&lt;20,W382&lt;55),0.23,0)+IF(AND(V382&lt;20,W382&gt;=55,W382&lt;105),0.2,0)+IF(AND(V382&lt;20,W382&gt;=105),0.17,0)+IF(AND(V382&gt;=20,V382&lt;40,W382&lt;45),0.23,0)+IF(AND(V382&gt;=20,V382&lt;40,W382&gt;=45,W382&lt;95),0.2,0)+IF(AND(V382&gt;=20,V382&lt;40,W382&gt;=95,W382&lt;=150),0.17,0)+IF(AND(V382&gt;=20,V382&lt;40,W382&gt;=150),0.12,0)+IF(AND(V382&gt;=40,V382&lt;75,W382&lt;35),0.23,0)+IF(AND(V382&gt;=40,V382&lt;75,W382&gt;=35,W382&lt;75),0.2,0)+IF(AND(V382&gt;=40,V382&lt;75,W382&gt;=75,W382&lt;120),0.17,0)+IF(AND(V382&gt;=40,V382&lt;75,W382&gt;=120),0.12,0)+IF(AND(V382&gt;=75,V382&lt;175,W382&lt;35),0.23,0)+IF(AND(V382&gt;=75,V382&lt;=175,W382&gt;=35,W382&lt;65),0.2,0)+IF(AND(V382&gt;=75,V382&lt;=175,W382&gt;=65,W382&lt;110),0.17,0)+IF(AND(V382&gt;=75,V382&lt;=175,W382&gt;=110),0.12,0)+IF(AND(V382&gt;175,W382&lt;25),0.23,0)+IF(AND(V382&gt;175,W382&gt;=25,W382&lt;55),0.2,0)+IF(AND(V382&gt;175,W382&gt;=55,W382&lt;95),0.17,0)+IF(AND(V382&gt;175,W382&gt;=95),0.12,0),
IF(AF382="DoEVs1",IF(AND(V382&lt;20,W382&lt;55),0.3,0)+IF(AND(V382&lt;20,W382&gt;=55,W382&lt;105),0.23,0)+IF(AND(V382&lt;20,W382&gt;=105),0.17,0)+IF(AND(V382&gt;=20,V382&lt;40,W382&lt;45),0.3,0)+IF(AND(V382&gt;=20,V382&lt;40,W382&gt;=45,W382&lt;95),0.23,0)+IF(AND(V382&gt;=20,V382&lt;40,W382&gt;=95,W382&lt;=150),0.17,0)+IF(AND(V382&gt;=20,V382&lt;40,W382&gt;=150),0.12,0)+IF(AND(V382&gt;=40,V382&lt;75,W382&lt;35),0.3,0)+IF(AND(V382&gt;=40,V382&lt;75,W382&gt;=35,W382&lt;75),0.23,0)+IF(AND(V382&gt;=40,V382&lt;75,W382&gt;=75,W382&lt;120),0.17,0)+IF(AND(V382&gt;=40,V382&lt;75,W382&gt;=120),0.12,0)+IF(AND(V382&gt;=75,V382&lt;175,W382&lt;35),0.3,0)+IF(AND(V382&gt;=75,V382&lt;=175,W382&gt;=35,W382&lt;65),0.23,0)+IF(AND(V382&gt;=75,V382&lt;=175,W382&gt;=65,W382&lt;110),0.17,0)+IF(AND(V382&gt;=75,V382&lt;=175,W382&gt;=110),0.12,0)+IF(AND(V382&gt;175,W382&lt;25),0.3,0)+IF(AND(V382&gt;175,W382&gt;=25,W382&lt;55),0.23,0)+IF(AND(V382&gt;175,W382&gt;=55,W382&lt;95),0.17,0)+IF(AND(V382&gt;175,W382&gt;=95),0.12,0),
IF(AF382="DoEVsu",IF(AND(V382&lt;20,W382&lt;55),0.3,0)+IF(AND(V382&lt;20,W382&gt;=55,W382&lt;105),0.23,0)+IF(AND(V382&lt;20,W382&gt;=105),0.17,0)+IF(AND(V382&gt;=20,V382&lt;40,W382&lt;45),0.3,0)+IF(AND(V382&gt;=20,V382&lt;40,W382&gt;=45,W382&lt;95),0.23,0)+IF(AND(V382&gt;=20,V382&lt;40,W382&gt;=95,W382&lt;=250),0.17,0)+IF(AND(V382&gt;=20,V382&lt;40,W382&gt;=250),0.12,0)+IF(AND(V382&gt;=40,V382&lt;75,W382&lt;35),0.3,0)+IF(AND(V382&gt;=40,V382&lt;75,W382&gt;=35,W382&lt;75),0.23,0)+IF(AND(V382&gt;=40,V382&lt;75,W382&gt;=75,W382&lt;120),0.17,0)+IF(AND(V382&gt;=40,V382&lt;75,W382&gt;=120),0.12,0)+IF(AND(V382&gt;=75,V382&lt;175,W382&lt;35),0.3,0)+IF(AND(V382&gt;=75,V382&lt;=175,W382&gt;=35,W382&lt;65),0.23,0)+IF(AND(V382&gt;=75,V382&lt;=175,W382&gt;=65,W382&lt;110),0.17,0)+IF(AND(V382&gt;=75,V382&lt;=175,W382&gt;=110),0.12,0)+IF(AND(V382&gt;175,W382&lt;25),0.3,0)+IF(AND(V382&gt;175,W382&gt;=25,W382&lt;55),0.23,0)+IF(AND(V382&gt;175,W382&gt;=55,W382&lt;95),0.17,0)+IF(AND(V382&gt;175,W382&gt;=95),0.12,0),
IF(AF382="DoEVni",IF(AND(V382&lt;20,W382&lt;55),0.3,0)+IF(AND(V382&lt;20,W382&gt;=55,W382&lt;105),0.23,0)+IF(AND(V382&lt;20,W382&gt;=105),0.17,0)+IF(AND(V382&gt;=20,V382&lt;40,W382&lt;45),0.3,0)+IF(AND(V382&gt;=20,V382&lt;40,W382&gt;=45,W382&lt;95),0.23,0)+IF(AND(V382&gt;=20,V382&lt;40,W382&gt;=95,W382&lt;=200),0.17,0)+IF(AND(V382&gt;=20,V382&lt;40,W382&gt;=200),0.12,0)+IF(AND(V382&gt;=40,V382&lt;75,W382&lt;35),0.3,0)+IF(AND(V382&gt;=40,V382&lt;75,W382&gt;=35,W382&lt;75),0.23,0)+IF(AND(V382&gt;=40,V382&lt;75,W382&gt;=75,W382&lt;120),0.17,0)+IF(AND(V382&gt;=40,V382&lt;75,W382&gt;=120),0.12,0)+IF(AND(V382&gt;=75,V382&lt;175,W382&lt;35),0.3,0)+IF(AND(V382&gt;=75,V382&lt;=175,W382&gt;=35,W382&lt;65),0.23,0)+IF(AND(V382&gt;=75,V382&lt;=175,W382&gt;=65,W382&lt;110),0.17,0)+IF(AND(V382&gt;=75,V382&lt;=175,W382&gt;=110),0.12,0)+IF(AND(V382&gt;175,W382&lt;25),0.3,0)+IF(AND(V382&gt;175,W382&gt;=25,W382&lt;55),0.23,0)+IF(AND(V382&gt;175,W382&gt;=55,W382&lt;95),0.17,0)+IF(AND(V382&gt;175,W382&gt;=95),0.12,0),
IF(AF382="DoEVLo",IF(AND(V382&lt;20,W382&lt;55),0.25,0)+IF(AND(V382&lt;20,W382&gt;=55,W382&lt;105),0.2,0)+IF(AND(V382&lt;20,W382&gt;=105),0.15,0)+IF(AND(V382&gt;=20,V382&lt;40,W382&lt;45),0.25,0)+IF(AND(V382&gt;=20,V382&lt;40,W382&gt;=45,W382&lt;95),0.2,0)+IF(AND(V382&gt;=20,V382&lt;40,W382&gt;=95),0.15,0)+IF(AND(V382&gt;=40,V382&lt;75,W382&lt;35),0.25,0)+IF(AND(V382&gt;=40,V382&lt;75,W382&gt;=35,W382&lt;75),0.2,0)+IF(AND(V382&gt;=40,V382&lt;75,W382&gt;=75,W382&lt;120),0.15,0)+IF(AND(V382&gt;=40,V382&lt;75,W382&gt;=120),0.1,0)+IF(AND(V382&gt;=75,V382&lt;175,W382&lt;35),0.25,0)+IF(AND(V382&gt;=75,V382&lt;=175,W382&gt;=35,W382&lt;65),0.2,0)+IF(AND(V382&gt;=75,V382&lt;=175,W382&gt;=65,W382&lt;110),0.15,0)+IF(AND(V382&gt;=75,V382&lt;=175,W382&gt;=110),0.1,0)+IF(AND(V382&gt;175,W382&lt;25),0.25,0)+IF(AND(V382&gt;175,W382&gt;=25,W382&lt;55),0.2,0)+IF(AND(V382&gt;175,W382&gt;=55,W382&lt;95),0.15,0)+IF(AND(V382&gt;175,W382&gt;=95),0.1,0))))))))))))))))</f>
        <v>0.23</v>
      </c>
      <c r="Y382" s="30">
        <f>IF(AG382="None",0,IF(AG382="Fix5",0.05,IF(AG382="Fix3.75",0.0375,IF(AG382="Fix10",0.1,IF(AG382="Fix3",0.03,0)))))</f>
        <v>0</v>
      </c>
      <c r="Z382" s="35">
        <f>T382-AA382-AB382</f>
        <v>36.19</v>
      </c>
      <c r="AA382" s="29">
        <f>IF(AD382="EUR",((T382-R382)*X382)*U382+(R382*X382),(T382*X382))</f>
        <v>10.81</v>
      </c>
      <c r="AB382" s="36">
        <f>IF(AD382="EUR",((T382-R382)*Y382)*U382+(R382*Y382),(T382*Y382))</f>
        <v>0</v>
      </c>
      <c r="AC382" s="37" t="b">
        <v>1</v>
      </c>
      <c r="AD382" s="37" t="s">
        <v>38</v>
      </c>
      <c r="AE382" s="37" t="s">
        <v>38</v>
      </c>
      <c r="AF382" s="37" t="str">
        <f t="array" ref="AF382">INDEX('Deal Info'!D:D, MATCH(A382,'Deal Info'!A:A, 0))</f>
        <v>DoEVs1</v>
      </c>
      <c r="AG382" s="38" t="str">
        <f t="array" ref="AG382">INDEX('Deal Info'!G:G, MATCH(A382,'Deal Info'!A:A, 0))</f>
        <v>None</v>
      </c>
    </row>
    <row r="383" spans="1:33" ht="14.25" hidden="1" x14ac:dyDescent="0.2">
      <c r="A383" s="18" t="str">
        <f t="array" ref="A383">IF(G383='Room Info'!$B$1, INDEX('Room Info'!$A$2:$A2446, MATCH(B383,'Room Info'!$B$2:$B2446, 0)),IF(G383='Room Info'!$C$1, INDEX('Room Info'!$A$2:$A2446, MATCH(B383,'Room Info'!$C$2:$C2446, 0)),IF(G383='Room Info'!$D$1, INDEX('Room Info'!$A$2:$A2446, MATCH(B383,'Room Info'!$D$2:$D2446, 0)),IF(G383='Room Info'!$E$1, INDEX('Room Info'!$A$2:$A2446, MATCH(B383,'Room Info'!$E$2:$E2446, 0)),IF(G383='Room Info'!$F$1, INDEX('Room Info'!$A$2:$A2446, MATCH(B383,'Room Info'!$F$2:$F2446, 0)),IF(G383='Room Info'!$H$1, INDEX('Room Info'!$A$2:$A2446, MATCH(B383,'Room Info'!$H$2:$H2446, 0)),IF(G383='Room Info'!$G$1, INDEX('Room Info'!$A$2:$A2446, MATCH(B383,'Room Info'!$G$2:$G2446, 0)))))))))</f>
        <v>S1lense</v>
      </c>
      <c r="B383" s="45" t="s">
        <v>124</v>
      </c>
      <c r="C383" s="46">
        <v>44794</v>
      </c>
      <c r="D383" s="46">
        <v>44824</v>
      </c>
      <c r="E383" s="47">
        <v>44805</v>
      </c>
      <c r="F383" s="48" t="s">
        <v>34</v>
      </c>
      <c r="G383" s="45" t="s">
        <v>35</v>
      </c>
      <c r="H383" s="49" t="s">
        <v>87</v>
      </c>
      <c r="I383" s="49" t="s">
        <v>44</v>
      </c>
      <c r="J383" s="70">
        <v>25</v>
      </c>
      <c r="K383" s="71">
        <v>16446</v>
      </c>
      <c r="L383" s="72">
        <v>-14600</v>
      </c>
      <c r="M383" s="53">
        <v>11546</v>
      </c>
      <c r="N383" s="28">
        <f>K383*J383</f>
        <v>411150</v>
      </c>
      <c r="O383" s="45">
        <v>166165</v>
      </c>
      <c r="P383" s="29">
        <v>10.10367263</v>
      </c>
      <c r="Q383" s="55"/>
      <c r="R383" s="31">
        <f>M383+Q383</f>
        <v>11546</v>
      </c>
      <c r="S383" s="73">
        <v>-13531</v>
      </c>
      <c r="T383" s="32">
        <f>R383+S383+IF(F383="Without EV deal",L383,0)</f>
        <v>-1985</v>
      </c>
      <c r="U383" s="57">
        <v>1</v>
      </c>
      <c r="V383" s="69">
        <v>20.860705911646921</v>
      </c>
      <c r="W383" s="58">
        <v>60.42</v>
      </c>
      <c r="X383" s="30">
        <f>IF(AF383="DoEV",IF(AND(V383&lt;20,W383&lt;55),0.3,0)+IF(AND(V383&lt;20,W383&gt;=55,W383&lt;105),0.23,0)+IF(AND(V383&lt;20,W383&gt;=105),0.17,0)+IF(AND(V383&gt;=20,V383&lt;40,W383&lt;45),0.3,0)+IF(AND(V383&gt;=20,V383&lt;40,W383&gt;=45,W383&lt;95),0.23,0)+IF(AND(V383&gt;=20,V383&lt;40,W383&gt;=95),0.17,0)+IF(AND(V383&gt;=40,V383&lt;75,W383&lt;35),0.3,0)+IF(AND(V383&gt;=40,V383&lt;75,W383&gt;=35,W383&lt;75),0.23,0)+IF(AND(V383&gt;=40,V383&lt;75,W383&gt;=75,W383&lt;120),0.17,0)+IF(AND(V383&gt;=40,V383&lt;75,W383&gt;=120),0.12,0)+IF(AND(V383&gt;=75,V383&lt;175,W383&lt;35),0.3,0)+IF(AND(V383&gt;=75,V383&lt;=175,W383&gt;=35,W383&lt;65),0.23,0)+IF(AND(V383&gt;=75,V383&lt;=175,W383&gt;=65,W383&lt;110),0.17,0)+IF(AND(V383&gt;=75,V383&lt;=175,W383&gt;=110),0.12,0)+IF(AND(V383&gt;175,W383&lt;25),0.3,0)+IF(AND(V383&gt;175,W383&gt;=25,W383&lt;55),0.23,0)+IF(AND(V383&gt;175,W383&gt;=55,W383&lt;95),0.17,0)+IF(AND(V383&gt;175,W383&gt;=95),0.12,0),
IF(AF383="Fix15",0.15,
IF(AF383="Fix11.25",0.1125,
IF(AF383="Fix10",0.1,
IF(AF383="Fix9",0.09,
IF(AF383="DoEV2017",IF(AND(W383&lt;74),0.2,0)+IF(AND(W383&gt;=74),0.17,0),
IF(AF383="SF",IF(AND(V383&lt;20,W383&lt;89),0.3,0)+IF(AND(V383&lt;20,W383&gt;=89),0.25,0)+IF(AND(V383&gt;=20,V383&lt;40,W383&lt;74),0.3,0)+IF(AND(V383&gt;=20,V383&lt;40,W383&gt;=75),0.22,0)+IF(AND(V383&gt;=40,V383&lt;75,W383&lt;75),0.26,0)+IF(AND(V383&gt;=40,V383&lt;75,W383&gt;=75),0.22,0)+IF(V383&gt;=75,0.22,0),
IF(AF383="DoEVold",IF(AND(V383&lt;40,W383&lt;35),0.35,0)+IF(AND(V383&lt;40,W383&gt;=35,W383&lt;75),0.25,0)+IF(AND(V383&lt;40,W383&gt;=75),0.17,0)+IF(AND(V383&gt;=40,V383&lt;75,W383&lt;25),0.35,0)+IF(AND(V383&gt;=40,V383&lt;75,W383&gt;=25,W383&lt;65),0.25,0)+IF(AND(V383&gt;=40,V383&lt;75,W383&gt;=65,W383&lt;100),0.17,0)+IF(AND(V383&gt;=40,V383&lt;75,W383&gt;=100),0.1,0)+IF(AND(V383&gt;=75,W383&lt;25),0.35,0)+IF(AND(V383&gt;=75,W383&gt;=25,W383&lt;60),0.25,0)+IF(AND(V383&gt;=75,W383&gt;=60,W383&lt;95),0.17,0)+IF(AND(V383&gt;=75,W383&gt;=95),0.1,0),
IF(AF383="DoEVold15",IF(AND(V383&lt;=40,W383&lt;35),0.35,0)+IF(AND(V383&lt;=40,W383&gt;=35,W383&lt;75),0.25,0)+IF(AND(V383&lt;=40,W383&gt;=75,W383&lt;120),0.17,0)+IF(AND(V383&lt;=40,W383&gt;=120),0.15,0)+IF(AND(V383&gt;40,V383&lt;75,W383&lt;25),0.35,0)+IF(AND(V383&gt;=40,V383&lt;75,W383&gt;=25,W383&lt;65),0.25,0)+IF(AND(V383&gt;=40,V383&lt;75,W383&gt;=65,W383&lt;100),0.17,0)+IF(AND(V383&gt;=40,V383&lt;75,W383&gt;=100),0.1,0)+IF(AND(V383&gt;=75,W383&lt;25),0.35,0)+IF(AND(V383&gt;=75,W383&gt;=25,W383&lt;60),0.25,0)+IF(AND(V383&gt;=75,W383&gt;=60,W383&lt;95),0.17,0)+IF(AND(V383&gt;=75,W383&gt;=95),0.1,0),
IF(AF383="DoEVba",IF(AND(V383&lt;20,W383&lt;105),0.2,0)+IF(AND(V383&lt;20,W383&gt;=105),0.15,0)+IF(AND(V383&gt;=20,V383&lt;40,W383&lt;95),0.2,0)+IF(AND(V383&gt;=20,V383&lt;40,W383&gt;=95,W383&lt;150),0.15,0)+IF(AND(V383&gt;=20,V383&lt;40,W383&gt;=150),0.12,0)+IF(AND(V383&gt;=40,V383&lt;75,W383&lt;75),0.2,0)+IF(AND(V383&gt;=40,V383&lt;75,W383&gt;=75,W383&lt;120),0.15,0)+IF(AND(V383&gt;=40,V383&lt;75,W383&gt;=120),0.12,0)+IF(AND(V383&gt;=75,V383&lt;175,W383&lt;65),0.2,0)+IF(AND(V383&gt;=75,V383&lt;175,W383&gt;=65,W383&lt;110),0.15,0)+IF(AND(V383&gt;=75,V383&lt;175,W383&gt;=110),0.12,0)+IF(AND(V383&gt;=175,W383&lt;55),0.2,0)+IF(AND(V383&gt;=175,W383&gt;=55,W383&lt;95),0.15,0)+IF(AND(V383&gt;=175,W383&gt;=95),0.12,0),
IF(AF383="DoEVku",IF(AND(V383&lt;20,W383&lt;55),0.23,0)+IF(AND(V383&lt;20,W383&gt;=55,W383&lt;105),0.2,0)+IF(AND(V383&lt;20,W383&gt;=105),0.17,0)+IF(AND(V383&gt;=20,V383&lt;40,W383&lt;45),0.23,0)+IF(AND(V383&gt;=20,V383&lt;40,W383&gt;=45,W383&lt;95),0.2,0)+IF(AND(V383&gt;=20,V383&lt;40,W383&gt;=95,W383&lt;=150),0.17,0)+IF(AND(V383&gt;=20,V383&lt;40,W383&gt;=150),0.12,0)+IF(AND(V383&gt;=40,V383&lt;75,W383&lt;35),0.23,0)+IF(AND(V383&gt;=40,V383&lt;75,W383&gt;=35,W383&lt;75),0.2,0)+IF(AND(V383&gt;=40,V383&lt;75,W383&gt;=75,W383&lt;120),0.17,0)+IF(AND(V383&gt;=40,V383&lt;75,W383&gt;=120),0.12,0)+IF(AND(V383&gt;=75,V383&lt;175,W383&lt;35),0.23,0)+IF(AND(V383&gt;=75,V383&lt;=175,W383&gt;=35,W383&lt;65),0.2,0)+IF(AND(V383&gt;=75,V383&lt;=175,W383&gt;=65,W383&lt;110),0.17,0)+IF(AND(V383&gt;=75,V383&lt;=175,W383&gt;=110),0.12,0)+IF(AND(V383&gt;175,W383&lt;25),0.23,0)+IF(AND(V383&gt;175,W383&gt;=25,W383&lt;55),0.2,0)+IF(AND(V383&gt;175,W383&gt;=55,W383&lt;95),0.17,0)+IF(AND(V383&gt;175,W383&gt;=95),0.12,0),
IF(AF383="DoEVs1",IF(AND(V383&lt;20,W383&lt;55),0.3,0)+IF(AND(V383&lt;20,W383&gt;=55,W383&lt;105),0.23,0)+IF(AND(V383&lt;20,W383&gt;=105),0.17,0)+IF(AND(V383&gt;=20,V383&lt;40,W383&lt;45),0.3,0)+IF(AND(V383&gt;=20,V383&lt;40,W383&gt;=45,W383&lt;95),0.23,0)+IF(AND(V383&gt;=20,V383&lt;40,W383&gt;=95,W383&lt;=150),0.17,0)+IF(AND(V383&gt;=20,V383&lt;40,W383&gt;=150),0.12,0)+IF(AND(V383&gt;=40,V383&lt;75,W383&lt;35),0.3,0)+IF(AND(V383&gt;=40,V383&lt;75,W383&gt;=35,W383&lt;75),0.23,0)+IF(AND(V383&gt;=40,V383&lt;75,W383&gt;=75,W383&lt;120),0.17,0)+IF(AND(V383&gt;=40,V383&lt;75,W383&gt;=120),0.12,0)+IF(AND(V383&gt;=75,V383&lt;175,W383&lt;35),0.3,0)+IF(AND(V383&gt;=75,V383&lt;=175,W383&gt;=35,W383&lt;65),0.23,0)+IF(AND(V383&gt;=75,V383&lt;=175,W383&gt;=65,W383&lt;110),0.17,0)+IF(AND(V383&gt;=75,V383&lt;=175,W383&gt;=110),0.12,0)+IF(AND(V383&gt;175,W383&lt;25),0.3,0)+IF(AND(V383&gt;175,W383&gt;=25,W383&lt;55),0.23,0)+IF(AND(V383&gt;175,W383&gt;=55,W383&lt;95),0.17,0)+IF(AND(V383&gt;175,W383&gt;=95),0.12,0),
IF(AF383="DoEVsu",IF(AND(V383&lt;20,W383&lt;55),0.3,0)+IF(AND(V383&lt;20,W383&gt;=55,W383&lt;105),0.23,0)+IF(AND(V383&lt;20,W383&gt;=105),0.17,0)+IF(AND(V383&gt;=20,V383&lt;40,W383&lt;45),0.3,0)+IF(AND(V383&gt;=20,V383&lt;40,W383&gt;=45,W383&lt;95),0.23,0)+IF(AND(V383&gt;=20,V383&lt;40,W383&gt;=95,W383&lt;=250),0.17,0)+IF(AND(V383&gt;=20,V383&lt;40,W383&gt;=250),0.12,0)+IF(AND(V383&gt;=40,V383&lt;75,W383&lt;35),0.3,0)+IF(AND(V383&gt;=40,V383&lt;75,W383&gt;=35,W383&lt;75),0.23,0)+IF(AND(V383&gt;=40,V383&lt;75,W383&gt;=75,W383&lt;120),0.17,0)+IF(AND(V383&gt;=40,V383&lt;75,W383&gt;=120),0.12,0)+IF(AND(V383&gt;=75,V383&lt;175,W383&lt;35),0.3,0)+IF(AND(V383&gt;=75,V383&lt;=175,W383&gt;=35,W383&lt;65),0.23,0)+IF(AND(V383&gt;=75,V383&lt;=175,W383&gt;=65,W383&lt;110),0.17,0)+IF(AND(V383&gt;=75,V383&lt;=175,W383&gt;=110),0.12,0)+IF(AND(V383&gt;175,W383&lt;25),0.3,0)+IF(AND(V383&gt;175,W383&gt;=25,W383&lt;55),0.23,0)+IF(AND(V383&gt;175,W383&gt;=55,W383&lt;95),0.17,0)+IF(AND(V383&gt;175,W383&gt;=95),0.12,0),
IF(AF383="DoEVni",IF(AND(V383&lt;20,W383&lt;55),0.3,0)+IF(AND(V383&lt;20,W383&gt;=55,W383&lt;105),0.23,0)+IF(AND(V383&lt;20,W383&gt;=105),0.17,0)+IF(AND(V383&gt;=20,V383&lt;40,W383&lt;45),0.3,0)+IF(AND(V383&gt;=20,V383&lt;40,W383&gt;=45,W383&lt;95),0.23,0)+IF(AND(V383&gt;=20,V383&lt;40,W383&gt;=95,W383&lt;=200),0.17,0)+IF(AND(V383&gt;=20,V383&lt;40,W383&gt;=200),0.12,0)+IF(AND(V383&gt;=40,V383&lt;75,W383&lt;35),0.3,0)+IF(AND(V383&gt;=40,V383&lt;75,W383&gt;=35,W383&lt;75),0.23,0)+IF(AND(V383&gt;=40,V383&lt;75,W383&gt;=75,W383&lt;120),0.17,0)+IF(AND(V383&gt;=40,V383&lt;75,W383&gt;=120),0.12,0)+IF(AND(V383&gt;=75,V383&lt;175,W383&lt;35),0.3,0)+IF(AND(V383&gt;=75,V383&lt;=175,W383&gt;=35,W383&lt;65),0.23,0)+IF(AND(V383&gt;=75,V383&lt;=175,W383&gt;=65,W383&lt;110),0.17,0)+IF(AND(V383&gt;=75,V383&lt;=175,W383&gt;=110),0.12,0)+IF(AND(V383&gt;175,W383&lt;25),0.3,0)+IF(AND(V383&gt;175,W383&gt;=25,W383&lt;55),0.23,0)+IF(AND(V383&gt;175,W383&gt;=55,W383&lt;95),0.17,0)+IF(AND(V383&gt;175,W383&gt;=95),0.12,0),
IF(AF383="DoEVLo",IF(AND(V383&lt;20,W383&lt;55),0.25,0)+IF(AND(V383&lt;20,W383&gt;=55,W383&lt;105),0.2,0)+IF(AND(V383&lt;20,W383&gt;=105),0.15,0)+IF(AND(V383&gt;=20,V383&lt;40,W383&lt;45),0.25,0)+IF(AND(V383&gt;=20,V383&lt;40,W383&gt;=45,W383&lt;95),0.2,0)+IF(AND(V383&gt;=20,V383&lt;40,W383&gt;=95),0.15,0)+IF(AND(V383&gt;=40,V383&lt;75,W383&lt;35),0.25,0)+IF(AND(V383&gt;=40,V383&lt;75,W383&gt;=35,W383&lt;75),0.2,0)+IF(AND(V383&gt;=40,V383&lt;75,W383&gt;=75,W383&lt;120),0.15,0)+IF(AND(V383&gt;=40,V383&lt;75,W383&gt;=120),0.1,0)+IF(AND(V383&gt;=75,V383&lt;175,W383&lt;35),0.25,0)+IF(AND(V383&gt;=75,V383&lt;=175,W383&gt;=35,W383&lt;65),0.2,0)+IF(AND(V383&gt;=75,V383&lt;=175,W383&gt;=65,W383&lt;110),0.15,0)+IF(AND(V383&gt;=75,V383&lt;=175,W383&gt;=110),0.1,0)+IF(AND(V383&gt;175,W383&lt;25),0.25,0)+IF(AND(V383&gt;175,W383&gt;=25,W383&lt;55),0.2,0)+IF(AND(V383&gt;175,W383&gt;=55,W383&lt;95),0.15,0)+IF(AND(V383&gt;175,W383&gt;=95),0.1,0))))))))))))))))</f>
        <v>0.23</v>
      </c>
      <c r="Y383" s="30">
        <f>IF(AG383="None",0,IF(AG383="Fix5",0.05,IF(AG383="Fix3.75",0.0375,IF(AG383="Fix10",0.1,IF(AG383="Fix3",0.03,0)))))</f>
        <v>0</v>
      </c>
      <c r="Z383" s="35">
        <f>T383-AA383-AB383</f>
        <v>-1528.45</v>
      </c>
      <c r="AA383" s="29">
        <f>IF(AD383="EUR",((T383-R383)*X383)*U383+(R383*X383),(T383*X383))</f>
        <v>-456.55</v>
      </c>
      <c r="AB383" s="36">
        <f>IF(AD383="EUR",((T383-R383)*Y383)*U383+(R383*Y383),(T383*Y383))</f>
        <v>0</v>
      </c>
      <c r="AC383" s="37" t="b">
        <v>1</v>
      </c>
      <c r="AD383" s="37" t="s">
        <v>38</v>
      </c>
      <c r="AE383" s="37" t="s">
        <v>38</v>
      </c>
      <c r="AF383" s="37" t="str">
        <f t="array" ref="AF383">INDEX('Deal Info'!D:D, MATCH(A383,'Deal Info'!A:A, 0))</f>
        <v>DoEVs1</v>
      </c>
      <c r="AG383" s="38" t="str">
        <f t="array" ref="AG383">INDEX('Deal Info'!G:G, MATCH(A383,'Deal Info'!A:A, 0))</f>
        <v>None</v>
      </c>
    </row>
    <row r="384" spans="1:33" ht="14.25" hidden="1" x14ac:dyDescent="0.2">
      <c r="A384" s="18" t="str">
        <f t="array" ref="A384">IF(G384='Room Info'!$B$1, INDEX('Room Info'!$A$2:$A2446, MATCH(B384,'Room Info'!$B$2:$B2446, 0)),IF(G384='Room Info'!$C$1, INDEX('Room Info'!$A$2:$A2446, MATCH(B384,'Room Info'!$C$2:$C2446, 0)),IF(G384='Room Info'!$D$1, INDEX('Room Info'!$A$2:$A2446, MATCH(B384,'Room Info'!$D$2:$D2446, 0)),IF(G384='Room Info'!$E$1, INDEX('Room Info'!$A$2:$A2446, MATCH(B384,'Room Info'!$E$2:$E2446, 0)),IF(G384='Room Info'!$F$1, INDEX('Room Info'!$A$2:$A2446, MATCH(B384,'Room Info'!$F$2:$F2446, 0)),IF(G384='Room Info'!$H$1, INDEX('Room Info'!$A$2:$A2446, MATCH(B384,'Room Info'!$H$2:$H2446, 0)),IF(G384='Room Info'!$G$1, INDEX('Room Info'!$A$2:$A2446, MATCH(B384,'Room Info'!$G$2:$G2446, 0)))))))))</f>
        <v>S1lense</v>
      </c>
      <c r="B384" s="45" t="s">
        <v>124</v>
      </c>
      <c r="C384" s="46">
        <v>44794</v>
      </c>
      <c r="D384" s="46">
        <v>44824</v>
      </c>
      <c r="E384" s="47">
        <v>44805</v>
      </c>
      <c r="F384" s="45" t="s">
        <v>34</v>
      </c>
      <c r="G384" s="45" t="s">
        <v>35</v>
      </c>
      <c r="H384" s="49" t="s">
        <v>85</v>
      </c>
      <c r="I384" s="49" t="s">
        <v>44</v>
      </c>
      <c r="J384" s="70">
        <v>50</v>
      </c>
      <c r="K384" s="71">
        <v>1859</v>
      </c>
      <c r="L384" s="52">
        <v>-450</v>
      </c>
      <c r="M384" s="53">
        <v>2610</v>
      </c>
      <c r="N384" s="28">
        <f>K384*J384</f>
        <v>92950</v>
      </c>
      <c r="O384" s="54">
        <v>21980</v>
      </c>
      <c r="P384" s="29">
        <v>11.82356105</v>
      </c>
      <c r="Q384" s="55"/>
      <c r="R384" s="31">
        <f>M384+Q384</f>
        <v>2610</v>
      </c>
      <c r="S384" s="56">
        <v>-2565</v>
      </c>
      <c r="T384" s="32">
        <f>R384+S384+IF(F384="Without EV deal",L384,0)</f>
        <v>45</v>
      </c>
      <c r="U384" s="57">
        <v>1</v>
      </c>
      <c r="V384" s="69">
        <v>20.860705911646921</v>
      </c>
      <c r="W384" s="58">
        <v>60.42</v>
      </c>
      <c r="X384" s="30">
        <f>IF(AF384="DoEV",IF(AND(V384&lt;20,W384&lt;55),0.3,0)+IF(AND(V384&lt;20,W384&gt;=55,W384&lt;105),0.23,0)+IF(AND(V384&lt;20,W384&gt;=105),0.17,0)+IF(AND(V384&gt;=20,V384&lt;40,W384&lt;45),0.3,0)+IF(AND(V384&gt;=20,V384&lt;40,W384&gt;=45,W384&lt;95),0.23,0)+IF(AND(V384&gt;=20,V384&lt;40,W384&gt;=95),0.17,0)+IF(AND(V384&gt;=40,V384&lt;75,W384&lt;35),0.3,0)+IF(AND(V384&gt;=40,V384&lt;75,W384&gt;=35,W384&lt;75),0.23,0)+IF(AND(V384&gt;=40,V384&lt;75,W384&gt;=75,W384&lt;120),0.17,0)+IF(AND(V384&gt;=40,V384&lt;75,W384&gt;=120),0.12,0)+IF(AND(V384&gt;=75,V384&lt;175,W384&lt;35),0.3,0)+IF(AND(V384&gt;=75,V384&lt;=175,W384&gt;=35,W384&lt;65),0.23,0)+IF(AND(V384&gt;=75,V384&lt;=175,W384&gt;=65,W384&lt;110),0.17,0)+IF(AND(V384&gt;=75,V384&lt;=175,W384&gt;=110),0.12,0)+IF(AND(V384&gt;175,W384&lt;25),0.3,0)+IF(AND(V384&gt;175,W384&gt;=25,W384&lt;55),0.23,0)+IF(AND(V384&gt;175,W384&gt;=55,W384&lt;95),0.17,0)+IF(AND(V384&gt;175,W384&gt;=95),0.12,0),
IF(AF384="Fix15",0.15,
IF(AF384="Fix11.25",0.1125,
IF(AF384="Fix10",0.1,
IF(AF384="Fix9",0.09,
IF(AF384="DoEV2017",IF(AND(W384&lt;74),0.2,0)+IF(AND(W384&gt;=74),0.17,0),
IF(AF384="SF",IF(AND(V384&lt;20,W384&lt;89),0.3,0)+IF(AND(V384&lt;20,W384&gt;=89),0.25,0)+IF(AND(V384&gt;=20,V384&lt;40,W384&lt;74),0.3,0)+IF(AND(V384&gt;=20,V384&lt;40,W384&gt;=75),0.22,0)+IF(AND(V384&gt;=40,V384&lt;75,W384&lt;75),0.26,0)+IF(AND(V384&gt;=40,V384&lt;75,W384&gt;=75),0.22,0)+IF(V384&gt;=75,0.22,0),
IF(AF384="DoEVold",IF(AND(V384&lt;40,W384&lt;35),0.35,0)+IF(AND(V384&lt;40,W384&gt;=35,W384&lt;75),0.25,0)+IF(AND(V384&lt;40,W384&gt;=75),0.17,0)+IF(AND(V384&gt;=40,V384&lt;75,W384&lt;25),0.35,0)+IF(AND(V384&gt;=40,V384&lt;75,W384&gt;=25,W384&lt;65),0.25,0)+IF(AND(V384&gt;=40,V384&lt;75,W384&gt;=65,W384&lt;100),0.17,0)+IF(AND(V384&gt;=40,V384&lt;75,W384&gt;=100),0.1,0)+IF(AND(V384&gt;=75,W384&lt;25),0.35,0)+IF(AND(V384&gt;=75,W384&gt;=25,W384&lt;60),0.25,0)+IF(AND(V384&gt;=75,W384&gt;=60,W384&lt;95),0.17,0)+IF(AND(V384&gt;=75,W384&gt;=95),0.1,0),
IF(AF384="DoEVold15",IF(AND(V384&lt;=40,W384&lt;35),0.35,0)+IF(AND(V384&lt;=40,W384&gt;=35,W384&lt;75),0.25,0)+IF(AND(V384&lt;=40,W384&gt;=75,W384&lt;120),0.17,0)+IF(AND(V384&lt;=40,W384&gt;=120),0.15,0)+IF(AND(V384&gt;40,V384&lt;75,W384&lt;25),0.35,0)+IF(AND(V384&gt;=40,V384&lt;75,W384&gt;=25,W384&lt;65),0.25,0)+IF(AND(V384&gt;=40,V384&lt;75,W384&gt;=65,W384&lt;100),0.17,0)+IF(AND(V384&gt;=40,V384&lt;75,W384&gt;=100),0.1,0)+IF(AND(V384&gt;=75,W384&lt;25),0.35,0)+IF(AND(V384&gt;=75,W384&gt;=25,W384&lt;60),0.25,0)+IF(AND(V384&gt;=75,W384&gt;=60,W384&lt;95),0.17,0)+IF(AND(V384&gt;=75,W384&gt;=95),0.1,0),
IF(AF384="DoEVba",IF(AND(V384&lt;20,W384&lt;105),0.2,0)+IF(AND(V384&lt;20,W384&gt;=105),0.15,0)+IF(AND(V384&gt;=20,V384&lt;40,W384&lt;95),0.2,0)+IF(AND(V384&gt;=20,V384&lt;40,W384&gt;=95,W384&lt;150),0.15,0)+IF(AND(V384&gt;=20,V384&lt;40,W384&gt;=150),0.12,0)+IF(AND(V384&gt;=40,V384&lt;75,W384&lt;75),0.2,0)+IF(AND(V384&gt;=40,V384&lt;75,W384&gt;=75,W384&lt;120),0.15,0)+IF(AND(V384&gt;=40,V384&lt;75,W384&gt;=120),0.12,0)+IF(AND(V384&gt;=75,V384&lt;175,W384&lt;65),0.2,0)+IF(AND(V384&gt;=75,V384&lt;175,W384&gt;=65,W384&lt;110),0.15,0)+IF(AND(V384&gt;=75,V384&lt;175,W384&gt;=110),0.12,0)+IF(AND(V384&gt;=175,W384&lt;55),0.2,0)+IF(AND(V384&gt;=175,W384&gt;=55,W384&lt;95),0.15,0)+IF(AND(V384&gt;=175,W384&gt;=95),0.12,0),
IF(AF384="DoEVku",IF(AND(V384&lt;20,W384&lt;55),0.23,0)+IF(AND(V384&lt;20,W384&gt;=55,W384&lt;105),0.2,0)+IF(AND(V384&lt;20,W384&gt;=105),0.17,0)+IF(AND(V384&gt;=20,V384&lt;40,W384&lt;45),0.23,0)+IF(AND(V384&gt;=20,V384&lt;40,W384&gt;=45,W384&lt;95),0.2,0)+IF(AND(V384&gt;=20,V384&lt;40,W384&gt;=95,W384&lt;=150),0.17,0)+IF(AND(V384&gt;=20,V384&lt;40,W384&gt;=150),0.12,0)+IF(AND(V384&gt;=40,V384&lt;75,W384&lt;35),0.23,0)+IF(AND(V384&gt;=40,V384&lt;75,W384&gt;=35,W384&lt;75),0.2,0)+IF(AND(V384&gt;=40,V384&lt;75,W384&gt;=75,W384&lt;120),0.17,0)+IF(AND(V384&gt;=40,V384&lt;75,W384&gt;=120),0.12,0)+IF(AND(V384&gt;=75,V384&lt;175,W384&lt;35),0.23,0)+IF(AND(V384&gt;=75,V384&lt;=175,W384&gt;=35,W384&lt;65),0.2,0)+IF(AND(V384&gt;=75,V384&lt;=175,W384&gt;=65,W384&lt;110),0.17,0)+IF(AND(V384&gt;=75,V384&lt;=175,W384&gt;=110),0.12,0)+IF(AND(V384&gt;175,W384&lt;25),0.23,0)+IF(AND(V384&gt;175,W384&gt;=25,W384&lt;55),0.2,0)+IF(AND(V384&gt;175,W384&gt;=55,W384&lt;95),0.17,0)+IF(AND(V384&gt;175,W384&gt;=95),0.12,0),
IF(AF384="DoEVs1",IF(AND(V384&lt;20,W384&lt;55),0.3,0)+IF(AND(V384&lt;20,W384&gt;=55,W384&lt;105),0.23,0)+IF(AND(V384&lt;20,W384&gt;=105),0.17,0)+IF(AND(V384&gt;=20,V384&lt;40,W384&lt;45),0.3,0)+IF(AND(V384&gt;=20,V384&lt;40,W384&gt;=45,W384&lt;95),0.23,0)+IF(AND(V384&gt;=20,V384&lt;40,W384&gt;=95,W384&lt;=150),0.17,0)+IF(AND(V384&gt;=20,V384&lt;40,W384&gt;=150),0.12,0)+IF(AND(V384&gt;=40,V384&lt;75,W384&lt;35),0.3,0)+IF(AND(V384&gt;=40,V384&lt;75,W384&gt;=35,W384&lt;75),0.23,0)+IF(AND(V384&gt;=40,V384&lt;75,W384&gt;=75,W384&lt;120),0.17,0)+IF(AND(V384&gt;=40,V384&lt;75,W384&gt;=120),0.12,0)+IF(AND(V384&gt;=75,V384&lt;175,W384&lt;35),0.3,0)+IF(AND(V384&gt;=75,V384&lt;=175,W384&gt;=35,W384&lt;65),0.23,0)+IF(AND(V384&gt;=75,V384&lt;=175,W384&gt;=65,W384&lt;110),0.17,0)+IF(AND(V384&gt;=75,V384&lt;=175,W384&gt;=110),0.12,0)+IF(AND(V384&gt;175,W384&lt;25),0.3,0)+IF(AND(V384&gt;175,W384&gt;=25,W384&lt;55),0.23,0)+IF(AND(V384&gt;175,W384&gt;=55,W384&lt;95),0.17,0)+IF(AND(V384&gt;175,W384&gt;=95),0.12,0),
IF(AF384="DoEVsu",IF(AND(V384&lt;20,W384&lt;55),0.3,0)+IF(AND(V384&lt;20,W384&gt;=55,W384&lt;105),0.23,0)+IF(AND(V384&lt;20,W384&gt;=105),0.17,0)+IF(AND(V384&gt;=20,V384&lt;40,W384&lt;45),0.3,0)+IF(AND(V384&gt;=20,V384&lt;40,W384&gt;=45,W384&lt;95),0.23,0)+IF(AND(V384&gt;=20,V384&lt;40,W384&gt;=95,W384&lt;=250),0.17,0)+IF(AND(V384&gt;=20,V384&lt;40,W384&gt;=250),0.12,0)+IF(AND(V384&gt;=40,V384&lt;75,W384&lt;35),0.3,0)+IF(AND(V384&gt;=40,V384&lt;75,W384&gt;=35,W384&lt;75),0.23,0)+IF(AND(V384&gt;=40,V384&lt;75,W384&gt;=75,W384&lt;120),0.17,0)+IF(AND(V384&gt;=40,V384&lt;75,W384&gt;=120),0.12,0)+IF(AND(V384&gt;=75,V384&lt;175,W384&lt;35),0.3,0)+IF(AND(V384&gt;=75,V384&lt;=175,W384&gt;=35,W384&lt;65),0.23,0)+IF(AND(V384&gt;=75,V384&lt;=175,W384&gt;=65,W384&lt;110),0.17,0)+IF(AND(V384&gt;=75,V384&lt;=175,W384&gt;=110),0.12,0)+IF(AND(V384&gt;175,W384&lt;25),0.3,0)+IF(AND(V384&gt;175,W384&gt;=25,W384&lt;55),0.23,0)+IF(AND(V384&gt;175,W384&gt;=55,W384&lt;95),0.17,0)+IF(AND(V384&gt;175,W384&gt;=95),0.12,0),
IF(AF384="DoEVni",IF(AND(V384&lt;20,W384&lt;55),0.3,0)+IF(AND(V384&lt;20,W384&gt;=55,W384&lt;105),0.23,0)+IF(AND(V384&lt;20,W384&gt;=105),0.17,0)+IF(AND(V384&gt;=20,V384&lt;40,W384&lt;45),0.3,0)+IF(AND(V384&gt;=20,V384&lt;40,W384&gt;=45,W384&lt;95),0.23,0)+IF(AND(V384&gt;=20,V384&lt;40,W384&gt;=95,W384&lt;=200),0.17,0)+IF(AND(V384&gt;=20,V384&lt;40,W384&gt;=200),0.12,0)+IF(AND(V384&gt;=40,V384&lt;75,W384&lt;35),0.3,0)+IF(AND(V384&gt;=40,V384&lt;75,W384&gt;=35,W384&lt;75),0.23,0)+IF(AND(V384&gt;=40,V384&lt;75,W384&gt;=75,W384&lt;120),0.17,0)+IF(AND(V384&gt;=40,V384&lt;75,W384&gt;=120),0.12,0)+IF(AND(V384&gt;=75,V384&lt;175,W384&lt;35),0.3,0)+IF(AND(V384&gt;=75,V384&lt;=175,W384&gt;=35,W384&lt;65),0.23,0)+IF(AND(V384&gt;=75,V384&lt;=175,W384&gt;=65,W384&lt;110),0.17,0)+IF(AND(V384&gt;=75,V384&lt;=175,W384&gt;=110),0.12,0)+IF(AND(V384&gt;175,W384&lt;25),0.3,0)+IF(AND(V384&gt;175,W384&gt;=25,W384&lt;55),0.23,0)+IF(AND(V384&gt;175,W384&gt;=55,W384&lt;95),0.17,0)+IF(AND(V384&gt;175,W384&gt;=95),0.12,0),
IF(AF384="DoEVLo",IF(AND(V384&lt;20,W384&lt;55),0.25,0)+IF(AND(V384&lt;20,W384&gt;=55,W384&lt;105),0.2,0)+IF(AND(V384&lt;20,W384&gt;=105),0.15,0)+IF(AND(V384&gt;=20,V384&lt;40,W384&lt;45),0.25,0)+IF(AND(V384&gt;=20,V384&lt;40,W384&gt;=45,W384&lt;95),0.2,0)+IF(AND(V384&gt;=20,V384&lt;40,W384&gt;=95),0.15,0)+IF(AND(V384&gt;=40,V384&lt;75,W384&lt;35),0.25,0)+IF(AND(V384&gt;=40,V384&lt;75,W384&gt;=35,W384&lt;75),0.2,0)+IF(AND(V384&gt;=40,V384&lt;75,W384&gt;=75,W384&lt;120),0.15,0)+IF(AND(V384&gt;=40,V384&lt;75,W384&gt;=120),0.1,0)+IF(AND(V384&gt;=75,V384&lt;175,W384&lt;35),0.25,0)+IF(AND(V384&gt;=75,V384&lt;=175,W384&gt;=35,W384&lt;65),0.2,0)+IF(AND(V384&gt;=75,V384&lt;=175,W384&gt;=65,W384&lt;110),0.15,0)+IF(AND(V384&gt;=75,V384&lt;=175,W384&gt;=110),0.1,0)+IF(AND(V384&gt;175,W384&lt;25),0.25,0)+IF(AND(V384&gt;175,W384&gt;=25,W384&lt;55),0.2,0)+IF(AND(V384&gt;175,W384&gt;=55,W384&lt;95),0.15,0)+IF(AND(V384&gt;175,W384&gt;=95),0.1,0))))))))))))))))</f>
        <v>0.23</v>
      </c>
      <c r="Y384" s="30">
        <f>IF(AG384="None",0,IF(AG384="Fix5",0.05,IF(AG384="Fix3.75",0.0375,IF(AG384="Fix10",0.1,IF(AG384="Fix3",0.03,0)))))</f>
        <v>0</v>
      </c>
      <c r="Z384" s="35">
        <f>T384-AA384-AB384</f>
        <v>34.65</v>
      </c>
      <c r="AA384" s="29">
        <f>IF(AD384="EUR",((T384-R384)*X384)*U384+(R384*X384),(T384*X384))</f>
        <v>10.35</v>
      </c>
      <c r="AB384" s="36">
        <f>IF(AD384="EUR",((T384-R384)*Y384)*U384+(R384*Y384),(T384*Y384))</f>
        <v>0</v>
      </c>
      <c r="AC384" s="37" t="b">
        <v>1</v>
      </c>
      <c r="AD384" s="37" t="s">
        <v>38</v>
      </c>
      <c r="AE384" s="37" t="s">
        <v>38</v>
      </c>
      <c r="AF384" s="37" t="str">
        <f t="array" ref="AF384">INDEX('Deal Info'!D:D, MATCH(A384,'Deal Info'!A:A, 0))</f>
        <v>DoEVs1</v>
      </c>
      <c r="AG384" s="38" t="str">
        <f t="array" ref="AG384">INDEX('Deal Info'!G:G, MATCH(A384,'Deal Info'!A:A, 0))</f>
        <v>None</v>
      </c>
    </row>
    <row r="385" spans="1:33" ht="14.25" hidden="1" x14ac:dyDescent="0.2">
      <c r="A385" s="18" t="str">
        <f t="array" ref="A385">IF(G385='Room Info'!$B$1, INDEX('Room Info'!$A$2:$A2446, MATCH(B385,'Room Info'!$B$2:$B2446, 0)),IF(G385='Room Info'!$C$1, INDEX('Room Info'!$A$2:$A2446, MATCH(B385,'Room Info'!$C$2:$C2446, 0)),IF(G385='Room Info'!$D$1, INDEX('Room Info'!$A$2:$A2446, MATCH(B385,'Room Info'!$D$2:$D2446, 0)),IF(G385='Room Info'!$E$1, INDEX('Room Info'!$A$2:$A2446, MATCH(B385,'Room Info'!$E$2:$E2446, 0)),IF(G385='Room Info'!$F$1, INDEX('Room Info'!$A$2:$A2446, MATCH(B385,'Room Info'!$F$2:$F2446, 0)),IF(G385='Room Info'!$H$1, INDEX('Room Info'!$A$2:$A2446, MATCH(B385,'Room Info'!$H$2:$H2446, 0)),IF(G385='Room Info'!$G$1, INDEX('Room Info'!$A$2:$A2446, MATCH(B385,'Room Info'!$G$2:$G2446, 0)))))))))</f>
        <v>S1lense</v>
      </c>
      <c r="B385" s="45" t="s">
        <v>124</v>
      </c>
      <c r="C385" s="46">
        <v>44825</v>
      </c>
      <c r="D385" s="46">
        <v>44854</v>
      </c>
      <c r="E385" s="47">
        <v>44835</v>
      </c>
      <c r="F385" s="45" t="s">
        <v>34</v>
      </c>
      <c r="G385" s="54" t="s">
        <v>35</v>
      </c>
      <c r="H385" s="49" t="s">
        <v>90</v>
      </c>
      <c r="I385" s="49" t="s">
        <v>44</v>
      </c>
      <c r="J385" s="50">
        <v>5</v>
      </c>
      <c r="K385" s="51">
        <v>1</v>
      </c>
      <c r="L385" s="52">
        <v>5</v>
      </c>
      <c r="M385" s="53">
        <v>1</v>
      </c>
      <c r="N385" s="28">
        <f>K385*J385</f>
        <v>5</v>
      </c>
      <c r="O385" s="54">
        <v>-49</v>
      </c>
      <c r="P385" s="29">
        <v>-49</v>
      </c>
      <c r="Q385" s="55"/>
      <c r="R385" s="31">
        <f>M385+Q385</f>
        <v>1</v>
      </c>
      <c r="S385" s="56">
        <v>-1</v>
      </c>
      <c r="T385" s="32">
        <f>R385+S385+IF(F385="Without EV deal",L385,0)</f>
        <v>0</v>
      </c>
      <c r="U385" s="57">
        <v>1</v>
      </c>
      <c r="V385" s="69">
        <v>20.860705911646921</v>
      </c>
      <c r="W385" s="58">
        <v>60.42</v>
      </c>
      <c r="X385" s="30">
        <f>IF(AF385="DoEV",IF(AND(V385&lt;20,W385&lt;55),0.3,0)+IF(AND(V385&lt;20,W385&gt;=55,W385&lt;105),0.23,0)+IF(AND(V385&lt;20,W385&gt;=105),0.17,0)+IF(AND(V385&gt;=20,V385&lt;40,W385&lt;45),0.3,0)+IF(AND(V385&gt;=20,V385&lt;40,W385&gt;=45,W385&lt;95),0.23,0)+IF(AND(V385&gt;=20,V385&lt;40,W385&gt;=95),0.17,0)+IF(AND(V385&gt;=40,V385&lt;75,W385&lt;35),0.3,0)+IF(AND(V385&gt;=40,V385&lt;75,W385&gt;=35,W385&lt;75),0.23,0)+IF(AND(V385&gt;=40,V385&lt;75,W385&gt;=75,W385&lt;120),0.17,0)+IF(AND(V385&gt;=40,V385&lt;75,W385&gt;=120),0.12,0)+IF(AND(V385&gt;=75,V385&lt;175,W385&lt;35),0.3,0)+IF(AND(V385&gt;=75,V385&lt;=175,W385&gt;=35,W385&lt;65),0.23,0)+IF(AND(V385&gt;=75,V385&lt;=175,W385&gt;=65,W385&lt;110),0.17,0)+IF(AND(V385&gt;=75,V385&lt;=175,W385&gt;=110),0.12,0)+IF(AND(V385&gt;175,W385&lt;25),0.3,0)+IF(AND(V385&gt;175,W385&gt;=25,W385&lt;55),0.23,0)+IF(AND(V385&gt;175,W385&gt;=55,W385&lt;95),0.17,0)+IF(AND(V385&gt;175,W385&gt;=95),0.12,0),
IF(AF385="Fix15",0.15,
IF(AF385="Fix11.25",0.1125,
IF(AF385="Fix10",0.1,
IF(AF385="Fix9",0.09,
IF(AF385="DoEV2017",IF(AND(W385&lt;74),0.2,0)+IF(AND(W385&gt;=74),0.17,0),
IF(AF385="SF",IF(AND(V385&lt;20,W385&lt;89),0.3,0)+IF(AND(V385&lt;20,W385&gt;=89),0.25,0)+IF(AND(V385&gt;=20,V385&lt;40,W385&lt;74),0.3,0)+IF(AND(V385&gt;=20,V385&lt;40,W385&gt;=75),0.22,0)+IF(AND(V385&gt;=40,V385&lt;75,W385&lt;75),0.26,0)+IF(AND(V385&gt;=40,V385&lt;75,W385&gt;=75),0.22,0)+IF(V385&gt;=75,0.22,0),
IF(AF385="DoEVold",IF(AND(V385&lt;40,W385&lt;35),0.35,0)+IF(AND(V385&lt;40,W385&gt;=35,W385&lt;75),0.25,0)+IF(AND(V385&lt;40,W385&gt;=75),0.17,0)+IF(AND(V385&gt;=40,V385&lt;75,W385&lt;25),0.35,0)+IF(AND(V385&gt;=40,V385&lt;75,W385&gt;=25,W385&lt;65),0.25,0)+IF(AND(V385&gt;=40,V385&lt;75,W385&gt;=65,W385&lt;100),0.17,0)+IF(AND(V385&gt;=40,V385&lt;75,W385&gt;=100),0.1,0)+IF(AND(V385&gt;=75,W385&lt;25),0.35,0)+IF(AND(V385&gt;=75,W385&gt;=25,W385&lt;60),0.25,0)+IF(AND(V385&gt;=75,W385&gt;=60,W385&lt;95),0.17,0)+IF(AND(V385&gt;=75,W385&gt;=95),0.1,0),
IF(AF385="DoEVold15",IF(AND(V385&lt;=40,W385&lt;35),0.35,0)+IF(AND(V385&lt;=40,W385&gt;=35,W385&lt;75),0.25,0)+IF(AND(V385&lt;=40,W385&gt;=75,W385&lt;120),0.17,0)+IF(AND(V385&lt;=40,W385&gt;=120),0.15,0)+IF(AND(V385&gt;40,V385&lt;75,W385&lt;25),0.35,0)+IF(AND(V385&gt;=40,V385&lt;75,W385&gt;=25,W385&lt;65),0.25,0)+IF(AND(V385&gt;=40,V385&lt;75,W385&gt;=65,W385&lt;100),0.17,0)+IF(AND(V385&gt;=40,V385&lt;75,W385&gt;=100),0.1,0)+IF(AND(V385&gt;=75,W385&lt;25),0.35,0)+IF(AND(V385&gt;=75,W385&gt;=25,W385&lt;60),0.25,0)+IF(AND(V385&gt;=75,W385&gt;=60,W385&lt;95),0.17,0)+IF(AND(V385&gt;=75,W385&gt;=95),0.1,0),
IF(AF385="DoEVba",IF(AND(V385&lt;20,W385&lt;105),0.2,0)+IF(AND(V385&lt;20,W385&gt;=105),0.15,0)+IF(AND(V385&gt;=20,V385&lt;40,W385&lt;95),0.2,0)+IF(AND(V385&gt;=20,V385&lt;40,W385&gt;=95,W385&lt;150),0.15,0)+IF(AND(V385&gt;=20,V385&lt;40,W385&gt;=150),0.12,0)+IF(AND(V385&gt;=40,V385&lt;75,W385&lt;75),0.2,0)+IF(AND(V385&gt;=40,V385&lt;75,W385&gt;=75,W385&lt;120),0.15,0)+IF(AND(V385&gt;=40,V385&lt;75,W385&gt;=120),0.12,0)+IF(AND(V385&gt;=75,V385&lt;175,W385&lt;65),0.2,0)+IF(AND(V385&gt;=75,V385&lt;175,W385&gt;=65,W385&lt;110),0.15,0)+IF(AND(V385&gt;=75,V385&lt;175,W385&gt;=110),0.12,0)+IF(AND(V385&gt;=175,W385&lt;55),0.2,0)+IF(AND(V385&gt;=175,W385&gt;=55,W385&lt;95),0.15,0)+IF(AND(V385&gt;=175,W385&gt;=95),0.12,0),
IF(AF385="DoEVku",IF(AND(V385&lt;20,W385&lt;55),0.23,0)+IF(AND(V385&lt;20,W385&gt;=55,W385&lt;105),0.2,0)+IF(AND(V385&lt;20,W385&gt;=105),0.17,0)+IF(AND(V385&gt;=20,V385&lt;40,W385&lt;45),0.23,0)+IF(AND(V385&gt;=20,V385&lt;40,W385&gt;=45,W385&lt;95),0.2,0)+IF(AND(V385&gt;=20,V385&lt;40,W385&gt;=95,W385&lt;=150),0.17,0)+IF(AND(V385&gt;=20,V385&lt;40,W385&gt;=150),0.12,0)+IF(AND(V385&gt;=40,V385&lt;75,W385&lt;35),0.23,0)+IF(AND(V385&gt;=40,V385&lt;75,W385&gt;=35,W385&lt;75),0.2,0)+IF(AND(V385&gt;=40,V385&lt;75,W385&gt;=75,W385&lt;120),0.17,0)+IF(AND(V385&gt;=40,V385&lt;75,W385&gt;=120),0.12,0)+IF(AND(V385&gt;=75,V385&lt;175,W385&lt;35),0.23,0)+IF(AND(V385&gt;=75,V385&lt;=175,W385&gt;=35,W385&lt;65),0.2,0)+IF(AND(V385&gt;=75,V385&lt;=175,W385&gt;=65,W385&lt;110),0.17,0)+IF(AND(V385&gt;=75,V385&lt;=175,W385&gt;=110),0.12,0)+IF(AND(V385&gt;175,W385&lt;25),0.23,0)+IF(AND(V385&gt;175,W385&gt;=25,W385&lt;55),0.2,0)+IF(AND(V385&gt;175,W385&gt;=55,W385&lt;95),0.17,0)+IF(AND(V385&gt;175,W385&gt;=95),0.12,0),
IF(AF385="DoEVs1",IF(AND(V385&lt;20,W385&lt;55),0.3,0)+IF(AND(V385&lt;20,W385&gt;=55,W385&lt;105),0.23,0)+IF(AND(V385&lt;20,W385&gt;=105),0.17,0)+IF(AND(V385&gt;=20,V385&lt;40,W385&lt;45),0.3,0)+IF(AND(V385&gt;=20,V385&lt;40,W385&gt;=45,W385&lt;95),0.23,0)+IF(AND(V385&gt;=20,V385&lt;40,W385&gt;=95,W385&lt;=150),0.17,0)+IF(AND(V385&gt;=20,V385&lt;40,W385&gt;=150),0.12,0)+IF(AND(V385&gt;=40,V385&lt;75,W385&lt;35),0.3,0)+IF(AND(V385&gt;=40,V385&lt;75,W385&gt;=35,W385&lt;75),0.23,0)+IF(AND(V385&gt;=40,V385&lt;75,W385&gt;=75,W385&lt;120),0.17,0)+IF(AND(V385&gt;=40,V385&lt;75,W385&gt;=120),0.12,0)+IF(AND(V385&gt;=75,V385&lt;175,W385&lt;35),0.3,0)+IF(AND(V385&gt;=75,V385&lt;=175,W385&gt;=35,W385&lt;65),0.23,0)+IF(AND(V385&gt;=75,V385&lt;=175,W385&gt;=65,W385&lt;110),0.17,0)+IF(AND(V385&gt;=75,V385&lt;=175,W385&gt;=110),0.12,0)+IF(AND(V385&gt;175,W385&lt;25),0.3,0)+IF(AND(V385&gt;175,W385&gt;=25,W385&lt;55),0.23,0)+IF(AND(V385&gt;175,W385&gt;=55,W385&lt;95),0.17,0)+IF(AND(V385&gt;175,W385&gt;=95),0.12,0),
IF(AF385="DoEVsu",IF(AND(V385&lt;20,W385&lt;55),0.3,0)+IF(AND(V385&lt;20,W385&gt;=55,W385&lt;105),0.23,0)+IF(AND(V385&lt;20,W385&gt;=105),0.17,0)+IF(AND(V385&gt;=20,V385&lt;40,W385&lt;45),0.3,0)+IF(AND(V385&gt;=20,V385&lt;40,W385&gt;=45,W385&lt;95),0.23,0)+IF(AND(V385&gt;=20,V385&lt;40,W385&gt;=95,W385&lt;=250),0.17,0)+IF(AND(V385&gt;=20,V385&lt;40,W385&gt;=250),0.12,0)+IF(AND(V385&gt;=40,V385&lt;75,W385&lt;35),0.3,0)+IF(AND(V385&gt;=40,V385&lt;75,W385&gt;=35,W385&lt;75),0.23,0)+IF(AND(V385&gt;=40,V385&lt;75,W385&gt;=75,W385&lt;120),0.17,0)+IF(AND(V385&gt;=40,V385&lt;75,W385&gt;=120),0.12,0)+IF(AND(V385&gt;=75,V385&lt;175,W385&lt;35),0.3,0)+IF(AND(V385&gt;=75,V385&lt;=175,W385&gt;=35,W385&lt;65),0.23,0)+IF(AND(V385&gt;=75,V385&lt;=175,W385&gt;=65,W385&lt;110),0.17,0)+IF(AND(V385&gt;=75,V385&lt;=175,W385&gt;=110),0.12,0)+IF(AND(V385&gt;175,W385&lt;25),0.3,0)+IF(AND(V385&gt;175,W385&gt;=25,W385&lt;55),0.23,0)+IF(AND(V385&gt;175,W385&gt;=55,W385&lt;95),0.17,0)+IF(AND(V385&gt;175,W385&gt;=95),0.12,0),
IF(AF385="DoEVni",IF(AND(V385&lt;20,W385&lt;55),0.3,0)+IF(AND(V385&lt;20,W385&gt;=55,W385&lt;105),0.23,0)+IF(AND(V385&lt;20,W385&gt;=105),0.17,0)+IF(AND(V385&gt;=20,V385&lt;40,W385&lt;45),0.3,0)+IF(AND(V385&gt;=20,V385&lt;40,W385&gt;=45,W385&lt;95),0.23,0)+IF(AND(V385&gt;=20,V385&lt;40,W385&gt;=95,W385&lt;=200),0.17,0)+IF(AND(V385&gt;=20,V385&lt;40,W385&gt;=200),0.12,0)+IF(AND(V385&gt;=40,V385&lt;75,W385&lt;35),0.3,0)+IF(AND(V385&gt;=40,V385&lt;75,W385&gt;=35,W385&lt;75),0.23,0)+IF(AND(V385&gt;=40,V385&lt;75,W385&gt;=75,W385&lt;120),0.17,0)+IF(AND(V385&gt;=40,V385&lt;75,W385&gt;=120),0.12,0)+IF(AND(V385&gt;=75,V385&lt;175,W385&lt;35),0.3,0)+IF(AND(V385&gt;=75,V385&lt;=175,W385&gt;=35,W385&lt;65),0.23,0)+IF(AND(V385&gt;=75,V385&lt;=175,W385&gt;=65,W385&lt;110),0.17,0)+IF(AND(V385&gt;=75,V385&lt;=175,W385&gt;=110),0.12,0)+IF(AND(V385&gt;175,W385&lt;25),0.3,0)+IF(AND(V385&gt;175,W385&gt;=25,W385&lt;55),0.23,0)+IF(AND(V385&gt;175,W385&gt;=55,W385&lt;95),0.17,0)+IF(AND(V385&gt;175,W385&gt;=95),0.12,0),
IF(AF385="DoEVLo",IF(AND(V385&lt;20,W385&lt;55),0.25,0)+IF(AND(V385&lt;20,W385&gt;=55,W385&lt;105),0.2,0)+IF(AND(V385&lt;20,W385&gt;=105),0.15,0)+IF(AND(V385&gt;=20,V385&lt;40,W385&lt;45),0.25,0)+IF(AND(V385&gt;=20,V385&lt;40,W385&gt;=45,W385&lt;95),0.2,0)+IF(AND(V385&gt;=20,V385&lt;40,W385&gt;=95),0.15,0)+IF(AND(V385&gt;=40,V385&lt;75,W385&lt;35),0.25,0)+IF(AND(V385&gt;=40,V385&lt;75,W385&gt;=35,W385&lt;75),0.2,0)+IF(AND(V385&gt;=40,V385&lt;75,W385&gt;=75,W385&lt;120),0.15,0)+IF(AND(V385&gt;=40,V385&lt;75,W385&gt;=120),0.1,0)+IF(AND(V385&gt;=75,V385&lt;175,W385&lt;35),0.25,0)+IF(AND(V385&gt;=75,V385&lt;=175,W385&gt;=35,W385&lt;65),0.2,0)+IF(AND(V385&gt;=75,V385&lt;=175,W385&gt;=65,W385&lt;110),0.15,0)+IF(AND(V385&gt;=75,V385&lt;=175,W385&gt;=110),0.1,0)+IF(AND(V385&gt;175,W385&lt;25),0.25,0)+IF(AND(V385&gt;175,W385&gt;=25,W385&lt;55),0.2,0)+IF(AND(V385&gt;175,W385&gt;=55,W385&lt;95),0.15,0)+IF(AND(V385&gt;175,W385&gt;=95),0.1,0))))))))))))))))</f>
        <v>0.23</v>
      </c>
      <c r="Y385" s="30">
        <f>IF(AG385="None",0,IF(AG385="Fix5",0.05,IF(AG385="Fix3.75",0.0375,IF(AG385="Fix10",0.1,IF(AG385="Fix3",0.03,0)))))</f>
        <v>0</v>
      </c>
      <c r="Z385" s="35">
        <f>T385-AA385-AB385</f>
        <v>0</v>
      </c>
      <c r="AA385" s="29">
        <f>IF(AD385="EUR",((T385-R385)*X385)*U385+(R385*X385),(T385*X385))</f>
        <v>0</v>
      </c>
      <c r="AB385" s="36">
        <f>IF(AD385="EUR",((T385-R385)*Y385)*U385+(R385*Y385),(T385*Y385))</f>
        <v>0</v>
      </c>
      <c r="AC385" s="37" t="b">
        <v>1</v>
      </c>
      <c r="AD385" s="37" t="s">
        <v>38</v>
      </c>
      <c r="AE385" s="37" t="s">
        <v>38</v>
      </c>
      <c r="AF385" s="37" t="str">
        <f t="array" ref="AF385">INDEX('Deal Info'!D:D, MATCH(A385,'Deal Info'!A:A, 0))</f>
        <v>DoEVs1</v>
      </c>
      <c r="AG385" s="38" t="str">
        <f t="array" ref="AG385">INDEX('Deal Info'!G:G, MATCH(A385,'Deal Info'!A:A, 0))</f>
        <v>None</v>
      </c>
    </row>
    <row r="386" spans="1:33" ht="14.25" hidden="1" x14ac:dyDescent="0.2">
      <c r="A386" s="18" t="str">
        <f t="array" ref="A386">IF(G386='Room Info'!$B$1, INDEX('Room Info'!$A$2:$A2446, MATCH(B386,'Room Info'!$B$2:$B2446, 0)),IF(G386='Room Info'!$C$1, INDEX('Room Info'!$A$2:$A2446, MATCH(B386,'Room Info'!$C$2:$C2446, 0)),IF(G386='Room Info'!$D$1, INDEX('Room Info'!$A$2:$A2446, MATCH(B386,'Room Info'!$D$2:$D2446, 0)),IF(G386='Room Info'!$E$1, INDEX('Room Info'!$A$2:$A2446, MATCH(B386,'Room Info'!$E$2:$E2446, 0)),IF(G386='Room Info'!$F$1, INDEX('Room Info'!$A$2:$A2446, MATCH(B386,'Room Info'!$F$2:$F2446, 0)),IF(G386='Room Info'!$H$1, INDEX('Room Info'!$A$2:$A2446, MATCH(B386,'Room Info'!$H$2:$H2446, 0)),IF(G386='Room Info'!$G$1, INDEX('Room Info'!$A$2:$A2446, MATCH(B386,'Room Info'!$G$2:$G2446, 0)))))))))</f>
        <v>S1lense</v>
      </c>
      <c r="B386" s="45" t="s">
        <v>124</v>
      </c>
      <c r="C386" s="46">
        <v>44825</v>
      </c>
      <c r="D386" s="46">
        <v>44854</v>
      </c>
      <c r="E386" s="47">
        <v>44835</v>
      </c>
      <c r="F386" s="45" t="s">
        <v>34</v>
      </c>
      <c r="G386" s="54" t="s">
        <v>35</v>
      </c>
      <c r="H386" s="49" t="s">
        <v>115</v>
      </c>
      <c r="I386" s="49" t="s">
        <v>44</v>
      </c>
      <c r="J386" s="50">
        <v>10</v>
      </c>
      <c r="K386" s="51">
        <v>6684</v>
      </c>
      <c r="L386" s="52">
        <v>-430</v>
      </c>
      <c r="M386" s="53">
        <v>4065</v>
      </c>
      <c r="N386" s="28">
        <f>K386*J386</f>
        <v>66840</v>
      </c>
      <c r="O386" s="54">
        <v>80073</v>
      </c>
      <c r="P386" s="29">
        <v>11.979802510000001</v>
      </c>
      <c r="Q386" s="55"/>
      <c r="R386" s="31">
        <f>M386+Q386</f>
        <v>4065</v>
      </c>
      <c r="S386" s="56">
        <v>-2490</v>
      </c>
      <c r="T386" s="32">
        <f>R386+S386+IF(F386="Without EV deal",L386,0)</f>
        <v>1575</v>
      </c>
      <c r="U386" s="57">
        <v>1</v>
      </c>
      <c r="V386" s="69">
        <v>20.860705911646921</v>
      </c>
      <c r="W386" s="58">
        <v>60.42</v>
      </c>
      <c r="X386" s="30">
        <f>IF(AF386="DoEV",IF(AND(V386&lt;20,W386&lt;55),0.3,0)+IF(AND(V386&lt;20,W386&gt;=55,W386&lt;105),0.23,0)+IF(AND(V386&lt;20,W386&gt;=105),0.17,0)+IF(AND(V386&gt;=20,V386&lt;40,W386&lt;45),0.3,0)+IF(AND(V386&gt;=20,V386&lt;40,W386&gt;=45,W386&lt;95),0.23,0)+IF(AND(V386&gt;=20,V386&lt;40,W386&gt;=95),0.17,0)+IF(AND(V386&gt;=40,V386&lt;75,W386&lt;35),0.3,0)+IF(AND(V386&gt;=40,V386&lt;75,W386&gt;=35,W386&lt;75),0.23,0)+IF(AND(V386&gt;=40,V386&lt;75,W386&gt;=75,W386&lt;120),0.17,0)+IF(AND(V386&gt;=40,V386&lt;75,W386&gt;=120),0.12,0)+IF(AND(V386&gt;=75,V386&lt;175,W386&lt;35),0.3,0)+IF(AND(V386&gt;=75,V386&lt;=175,W386&gt;=35,W386&lt;65),0.23,0)+IF(AND(V386&gt;=75,V386&lt;=175,W386&gt;=65,W386&lt;110),0.17,0)+IF(AND(V386&gt;=75,V386&lt;=175,W386&gt;=110),0.12,0)+IF(AND(V386&gt;175,W386&lt;25),0.3,0)+IF(AND(V386&gt;175,W386&gt;=25,W386&lt;55),0.23,0)+IF(AND(V386&gt;175,W386&gt;=55,W386&lt;95),0.17,0)+IF(AND(V386&gt;175,W386&gt;=95),0.12,0),
IF(AF386="Fix15",0.15,
IF(AF386="Fix11.25",0.1125,
IF(AF386="Fix10",0.1,
IF(AF386="Fix9",0.09,
IF(AF386="DoEV2017",IF(AND(W386&lt;74),0.2,0)+IF(AND(W386&gt;=74),0.17,0),
IF(AF386="SF",IF(AND(V386&lt;20,W386&lt;89),0.3,0)+IF(AND(V386&lt;20,W386&gt;=89),0.25,0)+IF(AND(V386&gt;=20,V386&lt;40,W386&lt;74),0.3,0)+IF(AND(V386&gt;=20,V386&lt;40,W386&gt;=75),0.22,0)+IF(AND(V386&gt;=40,V386&lt;75,W386&lt;75),0.26,0)+IF(AND(V386&gt;=40,V386&lt;75,W386&gt;=75),0.22,0)+IF(V386&gt;=75,0.22,0),
IF(AF386="DoEVold",IF(AND(V386&lt;40,W386&lt;35),0.35,0)+IF(AND(V386&lt;40,W386&gt;=35,W386&lt;75),0.25,0)+IF(AND(V386&lt;40,W386&gt;=75),0.17,0)+IF(AND(V386&gt;=40,V386&lt;75,W386&lt;25),0.35,0)+IF(AND(V386&gt;=40,V386&lt;75,W386&gt;=25,W386&lt;65),0.25,0)+IF(AND(V386&gt;=40,V386&lt;75,W386&gt;=65,W386&lt;100),0.17,0)+IF(AND(V386&gt;=40,V386&lt;75,W386&gt;=100),0.1,0)+IF(AND(V386&gt;=75,W386&lt;25),0.35,0)+IF(AND(V386&gt;=75,W386&gt;=25,W386&lt;60),0.25,0)+IF(AND(V386&gt;=75,W386&gt;=60,W386&lt;95),0.17,0)+IF(AND(V386&gt;=75,W386&gt;=95),0.1,0),
IF(AF386="DoEVold15",IF(AND(V386&lt;=40,W386&lt;35),0.35,0)+IF(AND(V386&lt;=40,W386&gt;=35,W386&lt;75),0.25,0)+IF(AND(V386&lt;=40,W386&gt;=75,W386&lt;120),0.17,0)+IF(AND(V386&lt;=40,W386&gt;=120),0.15,0)+IF(AND(V386&gt;40,V386&lt;75,W386&lt;25),0.35,0)+IF(AND(V386&gt;=40,V386&lt;75,W386&gt;=25,W386&lt;65),0.25,0)+IF(AND(V386&gt;=40,V386&lt;75,W386&gt;=65,W386&lt;100),0.17,0)+IF(AND(V386&gt;=40,V386&lt;75,W386&gt;=100),0.1,0)+IF(AND(V386&gt;=75,W386&lt;25),0.35,0)+IF(AND(V386&gt;=75,W386&gt;=25,W386&lt;60),0.25,0)+IF(AND(V386&gt;=75,W386&gt;=60,W386&lt;95),0.17,0)+IF(AND(V386&gt;=75,W386&gt;=95),0.1,0),
IF(AF386="DoEVba",IF(AND(V386&lt;20,W386&lt;105),0.2,0)+IF(AND(V386&lt;20,W386&gt;=105),0.15,0)+IF(AND(V386&gt;=20,V386&lt;40,W386&lt;95),0.2,0)+IF(AND(V386&gt;=20,V386&lt;40,W386&gt;=95,W386&lt;150),0.15,0)+IF(AND(V386&gt;=20,V386&lt;40,W386&gt;=150),0.12,0)+IF(AND(V386&gt;=40,V386&lt;75,W386&lt;75),0.2,0)+IF(AND(V386&gt;=40,V386&lt;75,W386&gt;=75,W386&lt;120),0.15,0)+IF(AND(V386&gt;=40,V386&lt;75,W386&gt;=120),0.12,0)+IF(AND(V386&gt;=75,V386&lt;175,W386&lt;65),0.2,0)+IF(AND(V386&gt;=75,V386&lt;175,W386&gt;=65,W386&lt;110),0.15,0)+IF(AND(V386&gt;=75,V386&lt;175,W386&gt;=110),0.12,0)+IF(AND(V386&gt;=175,W386&lt;55),0.2,0)+IF(AND(V386&gt;=175,W386&gt;=55,W386&lt;95),0.15,0)+IF(AND(V386&gt;=175,W386&gt;=95),0.12,0),
IF(AF386="DoEVku",IF(AND(V386&lt;20,W386&lt;55),0.23,0)+IF(AND(V386&lt;20,W386&gt;=55,W386&lt;105),0.2,0)+IF(AND(V386&lt;20,W386&gt;=105),0.17,0)+IF(AND(V386&gt;=20,V386&lt;40,W386&lt;45),0.23,0)+IF(AND(V386&gt;=20,V386&lt;40,W386&gt;=45,W386&lt;95),0.2,0)+IF(AND(V386&gt;=20,V386&lt;40,W386&gt;=95,W386&lt;=150),0.17,0)+IF(AND(V386&gt;=20,V386&lt;40,W386&gt;=150),0.12,0)+IF(AND(V386&gt;=40,V386&lt;75,W386&lt;35),0.23,0)+IF(AND(V386&gt;=40,V386&lt;75,W386&gt;=35,W386&lt;75),0.2,0)+IF(AND(V386&gt;=40,V386&lt;75,W386&gt;=75,W386&lt;120),0.17,0)+IF(AND(V386&gt;=40,V386&lt;75,W386&gt;=120),0.12,0)+IF(AND(V386&gt;=75,V386&lt;175,W386&lt;35),0.23,0)+IF(AND(V386&gt;=75,V386&lt;=175,W386&gt;=35,W386&lt;65),0.2,0)+IF(AND(V386&gt;=75,V386&lt;=175,W386&gt;=65,W386&lt;110),0.17,0)+IF(AND(V386&gt;=75,V386&lt;=175,W386&gt;=110),0.12,0)+IF(AND(V386&gt;175,W386&lt;25),0.23,0)+IF(AND(V386&gt;175,W386&gt;=25,W386&lt;55),0.2,0)+IF(AND(V386&gt;175,W386&gt;=55,W386&lt;95),0.17,0)+IF(AND(V386&gt;175,W386&gt;=95),0.12,0),
IF(AF386="DoEVs1",IF(AND(V386&lt;20,W386&lt;55),0.3,0)+IF(AND(V386&lt;20,W386&gt;=55,W386&lt;105),0.23,0)+IF(AND(V386&lt;20,W386&gt;=105),0.17,0)+IF(AND(V386&gt;=20,V386&lt;40,W386&lt;45),0.3,0)+IF(AND(V386&gt;=20,V386&lt;40,W386&gt;=45,W386&lt;95),0.23,0)+IF(AND(V386&gt;=20,V386&lt;40,W386&gt;=95,W386&lt;=150),0.17,0)+IF(AND(V386&gt;=20,V386&lt;40,W386&gt;=150),0.12,0)+IF(AND(V386&gt;=40,V386&lt;75,W386&lt;35),0.3,0)+IF(AND(V386&gt;=40,V386&lt;75,W386&gt;=35,W386&lt;75),0.23,0)+IF(AND(V386&gt;=40,V386&lt;75,W386&gt;=75,W386&lt;120),0.17,0)+IF(AND(V386&gt;=40,V386&lt;75,W386&gt;=120),0.12,0)+IF(AND(V386&gt;=75,V386&lt;175,W386&lt;35),0.3,0)+IF(AND(V386&gt;=75,V386&lt;=175,W386&gt;=35,W386&lt;65),0.23,0)+IF(AND(V386&gt;=75,V386&lt;=175,W386&gt;=65,W386&lt;110),0.17,0)+IF(AND(V386&gt;=75,V386&lt;=175,W386&gt;=110),0.12,0)+IF(AND(V386&gt;175,W386&lt;25),0.3,0)+IF(AND(V386&gt;175,W386&gt;=25,W386&lt;55),0.23,0)+IF(AND(V386&gt;175,W386&gt;=55,W386&lt;95),0.17,0)+IF(AND(V386&gt;175,W386&gt;=95),0.12,0),
IF(AF386="DoEVsu",IF(AND(V386&lt;20,W386&lt;55),0.3,0)+IF(AND(V386&lt;20,W386&gt;=55,W386&lt;105),0.23,0)+IF(AND(V386&lt;20,W386&gt;=105),0.17,0)+IF(AND(V386&gt;=20,V386&lt;40,W386&lt;45),0.3,0)+IF(AND(V386&gt;=20,V386&lt;40,W386&gt;=45,W386&lt;95),0.23,0)+IF(AND(V386&gt;=20,V386&lt;40,W386&gt;=95,W386&lt;=250),0.17,0)+IF(AND(V386&gt;=20,V386&lt;40,W386&gt;=250),0.12,0)+IF(AND(V386&gt;=40,V386&lt;75,W386&lt;35),0.3,0)+IF(AND(V386&gt;=40,V386&lt;75,W386&gt;=35,W386&lt;75),0.23,0)+IF(AND(V386&gt;=40,V386&lt;75,W386&gt;=75,W386&lt;120),0.17,0)+IF(AND(V386&gt;=40,V386&lt;75,W386&gt;=120),0.12,0)+IF(AND(V386&gt;=75,V386&lt;175,W386&lt;35),0.3,0)+IF(AND(V386&gt;=75,V386&lt;=175,W386&gt;=35,W386&lt;65),0.23,0)+IF(AND(V386&gt;=75,V386&lt;=175,W386&gt;=65,W386&lt;110),0.17,0)+IF(AND(V386&gt;=75,V386&lt;=175,W386&gt;=110),0.12,0)+IF(AND(V386&gt;175,W386&lt;25),0.3,0)+IF(AND(V386&gt;175,W386&gt;=25,W386&lt;55),0.23,0)+IF(AND(V386&gt;175,W386&gt;=55,W386&lt;95),0.17,0)+IF(AND(V386&gt;175,W386&gt;=95),0.12,0),
IF(AF386="DoEVni",IF(AND(V386&lt;20,W386&lt;55),0.3,0)+IF(AND(V386&lt;20,W386&gt;=55,W386&lt;105),0.23,0)+IF(AND(V386&lt;20,W386&gt;=105),0.17,0)+IF(AND(V386&gt;=20,V386&lt;40,W386&lt;45),0.3,0)+IF(AND(V386&gt;=20,V386&lt;40,W386&gt;=45,W386&lt;95),0.23,0)+IF(AND(V386&gt;=20,V386&lt;40,W386&gt;=95,W386&lt;=200),0.17,0)+IF(AND(V386&gt;=20,V386&lt;40,W386&gt;=200),0.12,0)+IF(AND(V386&gt;=40,V386&lt;75,W386&lt;35),0.3,0)+IF(AND(V386&gt;=40,V386&lt;75,W386&gt;=35,W386&lt;75),0.23,0)+IF(AND(V386&gt;=40,V386&lt;75,W386&gt;=75,W386&lt;120),0.17,0)+IF(AND(V386&gt;=40,V386&lt;75,W386&gt;=120),0.12,0)+IF(AND(V386&gt;=75,V386&lt;175,W386&lt;35),0.3,0)+IF(AND(V386&gt;=75,V386&lt;=175,W386&gt;=35,W386&lt;65),0.23,0)+IF(AND(V386&gt;=75,V386&lt;=175,W386&gt;=65,W386&lt;110),0.17,0)+IF(AND(V386&gt;=75,V386&lt;=175,W386&gt;=110),0.12,0)+IF(AND(V386&gt;175,W386&lt;25),0.3,0)+IF(AND(V386&gt;175,W386&gt;=25,W386&lt;55),0.23,0)+IF(AND(V386&gt;175,W386&gt;=55,W386&lt;95),0.17,0)+IF(AND(V386&gt;175,W386&gt;=95),0.12,0),
IF(AF386="DoEVLo",IF(AND(V386&lt;20,W386&lt;55),0.25,0)+IF(AND(V386&lt;20,W386&gt;=55,W386&lt;105),0.2,0)+IF(AND(V386&lt;20,W386&gt;=105),0.15,0)+IF(AND(V386&gt;=20,V386&lt;40,W386&lt;45),0.25,0)+IF(AND(V386&gt;=20,V386&lt;40,W386&gt;=45,W386&lt;95),0.2,0)+IF(AND(V386&gt;=20,V386&lt;40,W386&gt;=95),0.15,0)+IF(AND(V386&gt;=40,V386&lt;75,W386&lt;35),0.25,0)+IF(AND(V386&gt;=40,V386&lt;75,W386&gt;=35,W386&lt;75),0.2,0)+IF(AND(V386&gt;=40,V386&lt;75,W386&gt;=75,W386&lt;120),0.15,0)+IF(AND(V386&gt;=40,V386&lt;75,W386&gt;=120),0.1,0)+IF(AND(V386&gt;=75,V386&lt;175,W386&lt;35),0.25,0)+IF(AND(V386&gt;=75,V386&lt;=175,W386&gt;=35,W386&lt;65),0.2,0)+IF(AND(V386&gt;=75,V386&lt;=175,W386&gt;=65,W386&lt;110),0.15,0)+IF(AND(V386&gt;=75,V386&lt;=175,W386&gt;=110),0.1,0)+IF(AND(V386&gt;175,W386&lt;25),0.25,0)+IF(AND(V386&gt;175,W386&gt;=25,W386&lt;55),0.2,0)+IF(AND(V386&gt;175,W386&gt;=55,W386&lt;95),0.15,0)+IF(AND(V386&gt;175,W386&gt;=95),0.1,0))))))))))))))))</f>
        <v>0.23</v>
      </c>
      <c r="Y386" s="30">
        <f>IF(AG386="None",0,IF(AG386="Fix5",0.05,IF(AG386="Fix3.75",0.0375,IF(AG386="Fix10",0.1,IF(AG386="Fix3",0.03,0)))))</f>
        <v>0</v>
      </c>
      <c r="Z386" s="35">
        <f>T386-AA386-AB386</f>
        <v>1212.75</v>
      </c>
      <c r="AA386" s="29">
        <f>IF(AD386="EUR",((T386-R386)*X386)*U386+(R386*X386),(T386*X386))</f>
        <v>362.25</v>
      </c>
      <c r="AB386" s="36">
        <f>IF(AD386="EUR",((T386-R386)*Y386)*U386+(R386*Y386),(T386*Y386))</f>
        <v>0</v>
      </c>
      <c r="AC386" s="37" t="b">
        <v>1</v>
      </c>
      <c r="AD386" s="37" t="s">
        <v>38</v>
      </c>
      <c r="AE386" s="37" t="s">
        <v>38</v>
      </c>
      <c r="AF386" s="37" t="str">
        <f t="array" ref="AF386">INDEX('Deal Info'!D:D, MATCH(A386,'Deal Info'!A:A, 0))</f>
        <v>DoEVs1</v>
      </c>
      <c r="AG386" s="38" t="str">
        <f t="array" ref="AG386">INDEX('Deal Info'!G:G, MATCH(A386,'Deal Info'!A:A, 0))</f>
        <v>None</v>
      </c>
    </row>
    <row r="387" spans="1:33" ht="14.25" hidden="1" x14ac:dyDescent="0.2">
      <c r="A387" s="18" t="str">
        <f t="array" ref="A387">IF(G387='Room Info'!$B$1, INDEX('Room Info'!$A$2:$A2446, MATCH(B387,'Room Info'!$B$2:$B2446, 0)),IF(G387='Room Info'!$C$1, INDEX('Room Info'!$A$2:$A2446, MATCH(B387,'Room Info'!$C$2:$C2446, 0)),IF(G387='Room Info'!$D$1, INDEX('Room Info'!$A$2:$A2446, MATCH(B387,'Room Info'!$D$2:$D2446, 0)),IF(G387='Room Info'!$E$1, INDEX('Room Info'!$A$2:$A2446, MATCH(B387,'Room Info'!$E$2:$E2446, 0)),IF(G387='Room Info'!$F$1, INDEX('Room Info'!$A$2:$A2446, MATCH(B387,'Room Info'!$F$2:$F2446, 0)),IF(G387='Room Info'!$H$1, INDEX('Room Info'!$A$2:$A2446, MATCH(B387,'Room Info'!$H$2:$H2446, 0)),IF(G387='Room Info'!$G$1, INDEX('Room Info'!$A$2:$A2446, MATCH(B387,'Room Info'!$G$2:$G2446, 0)))))))))</f>
        <v>S1lense</v>
      </c>
      <c r="B387" s="45" t="s">
        <v>124</v>
      </c>
      <c r="C387" s="46">
        <v>44825</v>
      </c>
      <c r="D387" s="46">
        <v>44854</v>
      </c>
      <c r="E387" s="47">
        <v>44835</v>
      </c>
      <c r="F387" s="45" t="s">
        <v>34</v>
      </c>
      <c r="G387" s="54" t="s">
        <v>35</v>
      </c>
      <c r="H387" s="49" t="s">
        <v>87</v>
      </c>
      <c r="I387" s="49" t="s">
        <v>44</v>
      </c>
      <c r="J387" s="50">
        <v>25</v>
      </c>
      <c r="K387" s="51">
        <v>8755</v>
      </c>
      <c r="L387" s="52">
        <v>-12375</v>
      </c>
      <c r="M387" s="53">
        <v>11411</v>
      </c>
      <c r="N387" s="28">
        <f>K387*J387</f>
        <v>218875</v>
      </c>
      <c r="O387" s="54">
        <v>35722</v>
      </c>
      <c r="P387" s="29">
        <v>4.0801827529999999</v>
      </c>
      <c r="Q387" s="55"/>
      <c r="R387" s="31">
        <f>M387+Q387</f>
        <v>11411</v>
      </c>
      <c r="S387" s="56">
        <v>-11222</v>
      </c>
      <c r="T387" s="32">
        <f>R387+S387+IF(F387="Without EV deal",L387,0)</f>
        <v>189</v>
      </c>
      <c r="U387" s="57">
        <v>1</v>
      </c>
      <c r="V387" s="69">
        <v>20.860705911646921</v>
      </c>
      <c r="W387" s="58">
        <v>60.42</v>
      </c>
      <c r="X387" s="30">
        <f>IF(AF387="DoEV",IF(AND(V387&lt;20,W387&lt;55),0.3,0)+IF(AND(V387&lt;20,W387&gt;=55,W387&lt;105),0.23,0)+IF(AND(V387&lt;20,W387&gt;=105),0.17,0)+IF(AND(V387&gt;=20,V387&lt;40,W387&lt;45),0.3,0)+IF(AND(V387&gt;=20,V387&lt;40,W387&gt;=45,W387&lt;95),0.23,0)+IF(AND(V387&gt;=20,V387&lt;40,W387&gt;=95),0.17,0)+IF(AND(V387&gt;=40,V387&lt;75,W387&lt;35),0.3,0)+IF(AND(V387&gt;=40,V387&lt;75,W387&gt;=35,W387&lt;75),0.23,0)+IF(AND(V387&gt;=40,V387&lt;75,W387&gt;=75,W387&lt;120),0.17,0)+IF(AND(V387&gt;=40,V387&lt;75,W387&gt;=120),0.12,0)+IF(AND(V387&gt;=75,V387&lt;175,W387&lt;35),0.3,0)+IF(AND(V387&gt;=75,V387&lt;=175,W387&gt;=35,W387&lt;65),0.23,0)+IF(AND(V387&gt;=75,V387&lt;=175,W387&gt;=65,W387&lt;110),0.17,0)+IF(AND(V387&gt;=75,V387&lt;=175,W387&gt;=110),0.12,0)+IF(AND(V387&gt;175,W387&lt;25),0.3,0)+IF(AND(V387&gt;175,W387&gt;=25,W387&lt;55),0.23,0)+IF(AND(V387&gt;175,W387&gt;=55,W387&lt;95),0.17,0)+IF(AND(V387&gt;175,W387&gt;=95),0.12,0),
IF(AF387="Fix15",0.15,
IF(AF387="Fix11.25",0.1125,
IF(AF387="Fix10",0.1,
IF(AF387="Fix9",0.09,
IF(AF387="DoEV2017",IF(AND(W387&lt;74),0.2,0)+IF(AND(W387&gt;=74),0.17,0),
IF(AF387="SF",IF(AND(V387&lt;20,W387&lt;89),0.3,0)+IF(AND(V387&lt;20,W387&gt;=89),0.25,0)+IF(AND(V387&gt;=20,V387&lt;40,W387&lt;74),0.3,0)+IF(AND(V387&gt;=20,V387&lt;40,W387&gt;=75),0.22,0)+IF(AND(V387&gt;=40,V387&lt;75,W387&lt;75),0.26,0)+IF(AND(V387&gt;=40,V387&lt;75,W387&gt;=75),0.22,0)+IF(V387&gt;=75,0.22,0),
IF(AF387="DoEVold",IF(AND(V387&lt;40,W387&lt;35),0.35,0)+IF(AND(V387&lt;40,W387&gt;=35,W387&lt;75),0.25,0)+IF(AND(V387&lt;40,W387&gt;=75),0.17,0)+IF(AND(V387&gt;=40,V387&lt;75,W387&lt;25),0.35,0)+IF(AND(V387&gt;=40,V387&lt;75,W387&gt;=25,W387&lt;65),0.25,0)+IF(AND(V387&gt;=40,V387&lt;75,W387&gt;=65,W387&lt;100),0.17,0)+IF(AND(V387&gt;=40,V387&lt;75,W387&gt;=100),0.1,0)+IF(AND(V387&gt;=75,W387&lt;25),0.35,0)+IF(AND(V387&gt;=75,W387&gt;=25,W387&lt;60),0.25,0)+IF(AND(V387&gt;=75,W387&gt;=60,W387&lt;95),0.17,0)+IF(AND(V387&gt;=75,W387&gt;=95),0.1,0),
IF(AF387="DoEVold15",IF(AND(V387&lt;=40,W387&lt;35),0.35,0)+IF(AND(V387&lt;=40,W387&gt;=35,W387&lt;75),0.25,0)+IF(AND(V387&lt;=40,W387&gt;=75,W387&lt;120),0.17,0)+IF(AND(V387&lt;=40,W387&gt;=120),0.15,0)+IF(AND(V387&gt;40,V387&lt;75,W387&lt;25),0.35,0)+IF(AND(V387&gt;=40,V387&lt;75,W387&gt;=25,W387&lt;65),0.25,0)+IF(AND(V387&gt;=40,V387&lt;75,W387&gt;=65,W387&lt;100),0.17,0)+IF(AND(V387&gt;=40,V387&lt;75,W387&gt;=100),0.1,0)+IF(AND(V387&gt;=75,W387&lt;25),0.35,0)+IF(AND(V387&gt;=75,W387&gt;=25,W387&lt;60),0.25,0)+IF(AND(V387&gt;=75,W387&gt;=60,W387&lt;95),0.17,0)+IF(AND(V387&gt;=75,W387&gt;=95),0.1,0),
IF(AF387="DoEVba",IF(AND(V387&lt;20,W387&lt;105),0.2,0)+IF(AND(V387&lt;20,W387&gt;=105),0.15,0)+IF(AND(V387&gt;=20,V387&lt;40,W387&lt;95),0.2,0)+IF(AND(V387&gt;=20,V387&lt;40,W387&gt;=95,W387&lt;150),0.15,0)+IF(AND(V387&gt;=20,V387&lt;40,W387&gt;=150),0.12,0)+IF(AND(V387&gt;=40,V387&lt;75,W387&lt;75),0.2,0)+IF(AND(V387&gt;=40,V387&lt;75,W387&gt;=75,W387&lt;120),0.15,0)+IF(AND(V387&gt;=40,V387&lt;75,W387&gt;=120),0.12,0)+IF(AND(V387&gt;=75,V387&lt;175,W387&lt;65),0.2,0)+IF(AND(V387&gt;=75,V387&lt;175,W387&gt;=65,W387&lt;110),0.15,0)+IF(AND(V387&gt;=75,V387&lt;175,W387&gt;=110),0.12,0)+IF(AND(V387&gt;=175,W387&lt;55),0.2,0)+IF(AND(V387&gt;=175,W387&gt;=55,W387&lt;95),0.15,0)+IF(AND(V387&gt;=175,W387&gt;=95),0.12,0),
IF(AF387="DoEVku",IF(AND(V387&lt;20,W387&lt;55),0.23,0)+IF(AND(V387&lt;20,W387&gt;=55,W387&lt;105),0.2,0)+IF(AND(V387&lt;20,W387&gt;=105),0.17,0)+IF(AND(V387&gt;=20,V387&lt;40,W387&lt;45),0.23,0)+IF(AND(V387&gt;=20,V387&lt;40,W387&gt;=45,W387&lt;95),0.2,0)+IF(AND(V387&gt;=20,V387&lt;40,W387&gt;=95,W387&lt;=150),0.17,0)+IF(AND(V387&gt;=20,V387&lt;40,W387&gt;=150),0.12,0)+IF(AND(V387&gt;=40,V387&lt;75,W387&lt;35),0.23,0)+IF(AND(V387&gt;=40,V387&lt;75,W387&gt;=35,W387&lt;75),0.2,0)+IF(AND(V387&gt;=40,V387&lt;75,W387&gt;=75,W387&lt;120),0.17,0)+IF(AND(V387&gt;=40,V387&lt;75,W387&gt;=120),0.12,0)+IF(AND(V387&gt;=75,V387&lt;175,W387&lt;35),0.23,0)+IF(AND(V387&gt;=75,V387&lt;=175,W387&gt;=35,W387&lt;65),0.2,0)+IF(AND(V387&gt;=75,V387&lt;=175,W387&gt;=65,W387&lt;110),0.17,0)+IF(AND(V387&gt;=75,V387&lt;=175,W387&gt;=110),0.12,0)+IF(AND(V387&gt;175,W387&lt;25),0.23,0)+IF(AND(V387&gt;175,W387&gt;=25,W387&lt;55),0.2,0)+IF(AND(V387&gt;175,W387&gt;=55,W387&lt;95),0.17,0)+IF(AND(V387&gt;175,W387&gt;=95),0.12,0),
IF(AF387="DoEVs1",IF(AND(V387&lt;20,W387&lt;55),0.3,0)+IF(AND(V387&lt;20,W387&gt;=55,W387&lt;105),0.23,0)+IF(AND(V387&lt;20,W387&gt;=105),0.17,0)+IF(AND(V387&gt;=20,V387&lt;40,W387&lt;45),0.3,0)+IF(AND(V387&gt;=20,V387&lt;40,W387&gt;=45,W387&lt;95),0.23,0)+IF(AND(V387&gt;=20,V387&lt;40,W387&gt;=95,W387&lt;=150),0.17,0)+IF(AND(V387&gt;=20,V387&lt;40,W387&gt;=150),0.12,0)+IF(AND(V387&gt;=40,V387&lt;75,W387&lt;35),0.3,0)+IF(AND(V387&gt;=40,V387&lt;75,W387&gt;=35,W387&lt;75),0.23,0)+IF(AND(V387&gt;=40,V387&lt;75,W387&gt;=75,W387&lt;120),0.17,0)+IF(AND(V387&gt;=40,V387&lt;75,W387&gt;=120),0.12,0)+IF(AND(V387&gt;=75,V387&lt;175,W387&lt;35),0.3,0)+IF(AND(V387&gt;=75,V387&lt;=175,W387&gt;=35,W387&lt;65),0.23,0)+IF(AND(V387&gt;=75,V387&lt;=175,W387&gt;=65,W387&lt;110),0.17,0)+IF(AND(V387&gt;=75,V387&lt;=175,W387&gt;=110),0.12,0)+IF(AND(V387&gt;175,W387&lt;25),0.3,0)+IF(AND(V387&gt;175,W387&gt;=25,W387&lt;55),0.23,0)+IF(AND(V387&gt;175,W387&gt;=55,W387&lt;95),0.17,0)+IF(AND(V387&gt;175,W387&gt;=95),0.12,0),
IF(AF387="DoEVsu",IF(AND(V387&lt;20,W387&lt;55),0.3,0)+IF(AND(V387&lt;20,W387&gt;=55,W387&lt;105),0.23,0)+IF(AND(V387&lt;20,W387&gt;=105),0.17,0)+IF(AND(V387&gt;=20,V387&lt;40,W387&lt;45),0.3,0)+IF(AND(V387&gt;=20,V387&lt;40,W387&gt;=45,W387&lt;95),0.23,0)+IF(AND(V387&gt;=20,V387&lt;40,W387&gt;=95,W387&lt;=250),0.17,0)+IF(AND(V387&gt;=20,V387&lt;40,W387&gt;=250),0.12,0)+IF(AND(V387&gt;=40,V387&lt;75,W387&lt;35),0.3,0)+IF(AND(V387&gt;=40,V387&lt;75,W387&gt;=35,W387&lt;75),0.23,0)+IF(AND(V387&gt;=40,V387&lt;75,W387&gt;=75,W387&lt;120),0.17,0)+IF(AND(V387&gt;=40,V387&lt;75,W387&gt;=120),0.12,0)+IF(AND(V387&gt;=75,V387&lt;175,W387&lt;35),0.3,0)+IF(AND(V387&gt;=75,V387&lt;=175,W387&gt;=35,W387&lt;65),0.23,0)+IF(AND(V387&gt;=75,V387&lt;=175,W387&gt;=65,W387&lt;110),0.17,0)+IF(AND(V387&gt;=75,V387&lt;=175,W387&gt;=110),0.12,0)+IF(AND(V387&gt;175,W387&lt;25),0.3,0)+IF(AND(V387&gt;175,W387&gt;=25,W387&lt;55),0.23,0)+IF(AND(V387&gt;175,W387&gt;=55,W387&lt;95),0.17,0)+IF(AND(V387&gt;175,W387&gt;=95),0.12,0),
IF(AF387="DoEVni",IF(AND(V387&lt;20,W387&lt;55),0.3,0)+IF(AND(V387&lt;20,W387&gt;=55,W387&lt;105),0.23,0)+IF(AND(V387&lt;20,W387&gt;=105),0.17,0)+IF(AND(V387&gt;=20,V387&lt;40,W387&lt;45),0.3,0)+IF(AND(V387&gt;=20,V387&lt;40,W387&gt;=45,W387&lt;95),0.23,0)+IF(AND(V387&gt;=20,V387&lt;40,W387&gt;=95,W387&lt;=200),0.17,0)+IF(AND(V387&gt;=20,V387&lt;40,W387&gt;=200),0.12,0)+IF(AND(V387&gt;=40,V387&lt;75,W387&lt;35),0.3,0)+IF(AND(V387&gt;=40,V387&lt;75,W387&gt;=35,W387&lt;75),0.23,0)+IF(AND(V387&gt;=40,V387&lt;75,W387&gt;=75,W387&lt;120),0.17,0)+IF(AND(V387&gt;=40,V387&lt;75,W387&gt;=120),0.12,0)+IF(AND(V387&gt;=75,V387&lt;175,W387&lt;35),0.3,0)+IF(AND(V387&gt;=75,V387&lt;=175,W387&gt;=35,W387&lt;65),0.23,0)+IF(AND(V387&gt;=75,V387&lt;=175,W387&gt;=65,W387&lt;110),0.17,0)+IF(AND(V387&gt;=75,V387&lt;=175,W387&gt;=110),0.12,0)+IF(AND(V387&gt;175,W387&lt;25),0.3,0)+IF(AND(V387&gt;175,W387&gt;=25,W387&lt;55),0.23,0)+IF(AND(V387&gt;175,W387&gt;=55,W387&lt;95),0.17,0)+IF(AND(V387&gt;175,W387&gt;=95),0.12,0),
IF(AF387="DoEVLo",IF(AND(V387&lt;20,W387&lt;55),0.25,0)+IF(AND(V387&lt;20,W387&gt;=55,W387&lt;105),0.2,0)+IF(AND(V387&lt;20,W387&gt;=105),0.15,0)+IF(AND(V387&gt;=20,V387&lt;40,W387&lt;45),0.25,0)+IF(AND(V387&gt;=20,V387&lt;40,W387&gt;=45,W387&lt;95),0.2,0)+IF(AND(V387&gt;=20,V387&lt;40,W387&gt;=95),0.15,0)+IF(AND(V387&gt;=40,V387&lt;75,W387&lt;35),0.25,0)+IF(AND(V387&gt;=40,V387&lt;75,W387&gt;=35,W387&lt;75),0.2,0)+IF(AND(V387&gt;=40,V387&lt;75,W387&gt;=75,W387&lt;120),0.15,0)+IF(AND(V387&gt;=40,V387&lt;75,W387&gt;=120),0.1,0)+IF(AND(V387&gt;=75,V387&lt;175,W387&lt;35),0.25,0)+IF(AND(V387&gt;=75,V387&lt;=175,W387&gt;=35,W387&lt;65),0.2,0)+IF(AND(V387&gt;=75,V387&lt;=175,W387&gt;=65,W387&lt;110),0.15,0)+IF(AND(V387&gt;=75,V387&lt;=175,W387&gt;=110),0.1,0)+IF(AND(V387&gt;175,W387&lt;25),0.25,0)+IF(AND(V387&gt;175,W387&gt;=25,W387&lt;55),0.2,0)+IF(AND(V387&gt;175,W387&gt;=55,W387&lt;95),0.15,0)+IF(AND(V387&gt;175,W387&gt;=95),0.1,0))))))))))))))))</f>
        <v>0.23</v>
      </c>
      <c r="Y387" s="30">
        <f>IF(AG387="None",0,IF(AG387="Fix5",0.05,IF(AG387="Fix3.75",0.0375,IF(AG387="Fix10",0.1,IF(AG387="Fix3",0.03,0)))))</f>
        <v>0</v>
      </c>
      <c r="Z387" s="35">
        <f>T387-AA387-AB387</f>
        <v>145.53</v>
      </c>
      <c r="AA387" s="29">
        <f>IF(AD387="EUR",((T387-R387)*X387)*U387+(R387*X387),(T387*X387))</f>
        <v>43.47</v>
      </c>
      <c r="AB387" s="36">
        <f>IF(AD387="EUR",((T387-R387)*Y387)*U387+(R387*Y387),(T387*Y387))</f>
        <v>0</v>
      </c>
      <c r="AC387" s="37" t="b">
        <v>1</v>
      </c>
      <c r="AD387" s="37" t="s">
        <v>38</v>
      </c>
      <c r="AE387" s="37" t="s">
        <v>38</v>
      </c>
      <c r="AF387" s="37" t="str">
        <f t="array" ref="AF387">INDEX('Deal Info'!D:D, MATCH(A387,'Deal Info'!A:A, 0))</f>
        <v>DoEVs1</v>
      </c>
      <c r="AG387" s="38" t="str">
        <f t="array" ref="AG387">INDEX('Deal Info'!G:G, MATCH(A387,'Deal Info'!A:A, 0))</f>
        <v>None</v>
      </c>
    </row>
    <row r="388" spans="1:33" ht="14.25" hidden="1" x14ac:dyDescent="0.2">
      <c r="A388" s="18" t="str">
        <f t="array" ref="A388">IF(G388='Room Info'!$B$1, INDEX('Room Info'!$A$2:$A2446, MATCH(B388,'Room Info'!$B$2:$B2446, 0)),IF(G388='Room Info'!$C$1, INDEX('Room Info'!$A$2:$A2446, MATCH(B388,'Room Info'!$C$2:$C2446, 0)),IF(G388='Room Info'!$D$1, INDEX('Room Info'!$A$2:$A2446, MATCH(B388,'Room Info'!$D$2:$D2446, 0)),IF(G388='Room Info'!$E$1, INDEX('Room Info'!$A$2:$A2446, MATCH(B388,'Room Info'!$E$2:$E2446, 0)),IF(G388='Room Info'!$F$1, INDEX('Room Info'!$A$2:$A2446, MATCH(B388,'Room Info'!$F$2:$F2446, 0)),IF(G388='Room Info'!$H$1, INDEX('Room Info'!$A$2:$A2446, MATCH(B388,'Room Info'!$H$2:$H2446, 0)),IF(G388='Room Info'!$G$1, INDEX('Room Info'!$A$2:$A2446, MATCH(B388,'Room Info'!$G$2:$G2446, 0)))))))))</f>
        <v>S1lense</v>
      </c>
      <c r="B388" s="45" t="s">
        <v>124</v>
      </c>
      <c r="C388" s="46">
        <v>44825</v>
      </c>
      <c r="D388" s="46">
        <v>44854</v>
      </c>
      <c r="E388" s="47">
        <v>44835</v>
      </c>
      <c r="F388" s="48" t="s">
        <v>34</v>
      </c>
      <c r="G388" s="45" t="s">
        <v>35</v>
      </c>
      <c r="H388" s="49" t="s">
        <v>85</v>
      </c>
      <c r="I388" s="49" t="s">
        <v>44</v>
      </c>
      <c r="J388" s="70">
        <v>50</v>
      </c>
      <c r="K388" s="71">
        <v>638</v>
      </c>
      <c r="L388" s="52">
        <v>-1850</v>
      </c>
      <c r="M388" s="53">
        <v>1663</v>
      </c>
      <c r="N388" s="28">
        <f>K388*J388</f>
        <v>31900</v>
      </c>
      <c r="O388" s="54">
        <v>-4154</v>
      </c>
      <c r="P388" s="29">
        <v>-6.5109717869999999</v>
      </c>
      <c r="Q388" s="55"/>
      <c r="R388" s="31">
        <f>M388+Q388</f>
        <v>1663</v>
      </c>
      <c r="S388" s="56">
        <v>-2680</v>
      </c>
      <c r="T388" s="32">
        <f>R388+S388+IF(F388="Without EV deal",L388,0)</f>
        <v>-1017</v>
      </c>
      <c r="U388" s="57">
        <v>1</v>
      </c>
      <c r="V388" s="69">
        <v>20.860705911646921</v>
      </c>
      <c r="W388" s="58">
        <v>60.42</v>
      </c>
      <c r="X388" s="30">
        <f>IF(AF388="DoEV",IF(AND(V388&lt;20,W388&lt;55),0.3,0)+IF(AND(V388&lt;20,W388&gt;=55,W388&lt;105),0.23,0)+IF(AND(V388&lt;20,W388&gt;=105),0.17,0)+IF(AND(V388&gt;=20,V388&lt;40,W388&lt;45),0.3,0)+IF(AND(V388&gt;=20,V388&lt;40,W388&gt;=45,W388&lt;95),0.23,0)+IF(AND(V388&gt;=20,V388&lt;40,W388&gt;=95),0.17,0)+IF(AND(V388&gt;=40,V388&lt;75,W388&lt;35),0.3,0)+IF(AND(V388&gt;=40,V388&lt;75,W388&gt;=35,W388&lt;75),0.23,0)+IF(AND(V388&gt;=40,V388&lt;75,W388&gt;=75,W388&lt;120),0.17,0)+IF(AND(V388&gt;=40,V388&lt;75,W388&gt;=120),0.12,0)+IF(AND(V388&gt;=75,V388&lt;175,W388&lt;35),0.3,0)+IF(AND(V388&gt;=75,V388&lt;=175,W388&gt;=35,W388&lt;65),0.23,0)+IF(AND(V388&gt;=75,V388&lt;=175,W388&gt;=65,W388&lt;110),0.17,0)+IF(AND(V388&gt;=75,V388&lt;=175,W388&gt;=110),0.12,0)+IF(AND(V388&gt;175,W388&lt;25),0.3,0)+IF(AND(V388&gt;175,W388&gt;=25,W388&lt;55),0.23,0)+IF(AND(V388&gt;175,W388&gt;=55,W388&lt;95),0.17,0)+IF(AND(V388&gt;175,W388&gt;=95),0.12,0),
IF(AF388="Fix15",0.15,
IF(AF388="Fix11.25",0.1125,
IF(AF388="Fix10",0.1,
IF(AF388="Fix9",0.09,
IF(AF388="DoEV2017",IF(AND(W388&lt;74),0.2,0)+IF(AND(W388&gt;=74),0.17,0),
IF(AF388="SF",IF(AND(V388&lt;20,W388&lt;89),0.3,0)+IF(AND(V388&lt;20,W388&gt;=89),0.25,0)+IF(AND(V388&gt;=20,V388&lt;40,W388&lt;74),0.3,0)+IF(AND(V388&gt;=20,V388&lt;40,W388&gt;=75),0.22,0)+IF(AND(V388&gt;=40,V388&lt;75,W388&lt;75),0.26,0)+IF(AND(V388&gt;=40,V388&lt;75,W388&gt;=75),0.22,0)+IF(V388&gt;=75,0.22,0),
IF(AF388="DoEVold",IF(AND(V388&lt;40,W388&lt;35),0.35,0)+IF(AND(V388&lt;40,W388&gt;=35,W388&lt;75),0.25,0)+IF(AND(V388&lt;40,W388&gt;=75),0.17,0)+IF(AND(V388&gt;=40,V388&lt;75,W388&lt;25),0.35,0)+IF(AND(V388&gt;=40,V388&lt;75,W388&gt;=25,W388&lt;65),0.25,0)+IF(AND(V388&gt;=40,V388&lt;75,W388&gt;=65,W388&lt;100),0.17,0)+IF(AND(V388&gt;=40,V388&lt;75,W388&gt;=100),0.1,0)+IF(AND(V388&gt;=75,W388&lt;25),0.35,0)+IF(AND(V388&gt;=75,W388&gt;=25,W388&lt;60),0.25,0)+IF(AND(V388&gt;=75,W388&gt;=60,W388&lt;95),0.17,0)+IF(AND(V388&gt;=75,W388&gt;=95),0.1,0),
IF(AF388="DoEVold15",IF(AND(V388&lt;=40,W388&lt;35),0.35,0)+IF(AND(V388&lt;=40,W388&gt;=35,W388&lt;75),0.25,0)+IF(AND(V388&lt;=40,W388&gt;=75,W388&lt;120),0.17,0)+IF(AND(V388&lt;=40,W388&gt;=120),0.15,0)+IF(AND(V388&gt;40,V388&lt;75,W388&lt;25),0.35,0)+IF(AND(V388&gt;=40,V388&lt;75,W388&gt;=25,W388&lt;65),0.25,0)+IF(AND(V388&gt;=40,V388&lt;75,W388&gt;=65,W388&lt;100),0.17,0)+IF(AND(V388&gt;=40,V388&lt;75,W388&gt;=100),0.1,0)+IF(AND(V388&gt;=75,W388&lt;25),0.35,0)+IF(AND(V388&gt;=75,W388&gt;=25,W388&lt;60),0.25,0)+IF(AND(V388&gt;=75,W388&gt;=60,W388&lt;95),0.17,0)+IF(AND(V388&gt;=75,W388&gt;=95),0.1,0),
IF(AF388="DoEVba",IF(AND(V388&lt;20,W388&lt;105),0.2,0)+IF(AND(V388&lt;20,W388&gt;=105),0.15,0)+IF(AND(V388&gt;=20,V388&lt;40,W388&lt;95),0.2,0)+IF(AND(V388&gt;=20,V388&lt;40,W388&gt;=95,W388&lt;150),0.15,0)+IF(AND(V388&gt;=20,V388&lt;40,W388&gt;=150),0.12,0)+IF(AND(V388&gt;=40,V388&lt;75,W388&lt;75),0.2,0)+IF(AND(V388&gt;=40,V388&lt;75,W388&gt;=75,W388&lt;120),0.15,0)+IF(AND(V388&gt;=40,V388&lt;75,W388&gt;=120),0.12,0)+IF(AND(V388&gt;=75,V388&lt;175,W388&lt;65),0.2,0)+IF(AND(V388&gt;=75,V388&lt;175,W388&gt;=65,W388&lt;110),0.15,0)+IF(AND(V388&gt;=75,V388&lt;175,W388&gt;=110),0.12,0)+IF(AND(V388&gt;=175,W388&lt;55),0.2,0)+IF(AND(V388&gt;=175,W388&gt;=55,W388&lt;95),0.15,0)+IF(AND(V388&gt;=175,W388&gt;=95),0.12,0),
IF(AF388="DoEVku",IF(AND(V388&lt;20,W388&lt;55),0.23,0)+IF(AND(V388&lt;20,W388&gt;=55,W388&lt;105),0.2,0)+IF(AND(V388&lt;20,W388&gt;=105),0.17,0)+IF(AND(V388&gt;=20,V388&lt;40,W388&lt;45),0.23,0)+IF(AND(V388&gt;=20,V388&lt;40,W388&gt;=45,W388&lt;95),0.2,0)+IF(AND(V388&gt;=20,V388&lt;40,W388&gt;=95,W388&lt;=150),0.17,0)+IF(AND(V388&gt;=20,V388&lt;40,W388&gt;=150),0.12,0)+IF(AND(V388&gt;=40,V388&lt;75,W388&lt;35),0.23,0)+IF(AND(V388&gt;=40,V388&lt;75,W388&gt;=35,W388&lt;75),0.2,0)+IF(AND(V388&gt;=40,V388&lt;75,W388&gt;=75,W388&lt;120),0.17,0)+IF(AND(V388&gt;=40,V388&lt;75,W388&gt;=120),0.12,0)+IF(AND(V388&gt;=75,V388&lt;175,W388&lt;35),0.23,0)+IF(AND(V388&gt;=75,V388&lt;=175,W388&gt;=35,W388&lt;65),0.2,0)+IF(AND(V388&gt;=75,V388&lt;=175,W388&gt;=65,W388&lt;110),0.17,0)+IF(AND(V388&gt;=75,V388&lt;=175,W388&gt;=110),0.12,0)+IF(AND(V388&gt;175,W388&lt;25),0.23,0)+IF(AND(V388&gt;175,W388&gt;=25,W388&lt;55),0.2,0)+IF(AND(V388&gt;175,W388&gt;=55,W388&lt;95),0.17,0)+IF(AND(V388&gt;175,W388&gt;=95),0.12,0),
IF(AF388="DoEVs1",IF(AND(V388&lt;20,W388&lt;55),0.3,0)+IF(AND(V388&lt;20,W388&gt;=55,W388&lt;105),0.23,0)+IF(AND(V388&lt;20,W388&gt;=105),0.17,0)+IF(AND(V388&gt;=20,V388&lt;40,W388&lt;45),0.3,0)+IF(AND(V388&gt;=20,V388&lt;40,W388&gt;=45,W388&lt;95),0.23,0)+IF(AND(V388&gt;=20,V388&lt;40,W388&gt;=95,W388&lt;=150),0.17,0)+IF(AND(V388&gt;=20,V388&lt;40,W388&gt;=150),0.12,0)+IF(AND(V388&gt;=40,V388&lt;75,W388&lt;35),0.3,0)+IF(AND(V388&gt;=40,V388&lt;75,W388&gt;=35,W388&lt;75),0.23,0)+IF(AND(V388&gt;=40,V388&lt;75,W388&gt;=75,W388&lt;120),0.17,0)+IF(AND(V388&gt;=40,V388&lt;75,W388&gt;=120),0.12,0)+IF(AND(V388&gt;=75,V388&lt;175,W388&lt;35),0.3,0)+IF(AND(V388&gt;=75,V388&lt;=175,W388&gt;=35,W388&lt;65),0.23,0)+IF(AND(V388&gt;=75,V388&lt;=175,W388&gt;=65,W388&lt;110),0.17,0)+IF(AND(V388&gt;=75,V388&lt;=175,W388&gt;=110),0.12,0)+IF(AND(V388&gt;175,W388&lt;25),0.3,0)+IF(AND(V388&gt;175,W388&gt;=25,W388&lt;55),0.23,0)+IF(AND(V388&gt;175,W388&gt;=55,W388&lt;95),0.17,0)+IF(AND(V388&gt;175,W388&gt;=95),0.12,0),
IF(AF388="DoEVsu",IF(AND(V388&lt;20,W388&lt;55),0.3,0)+IF(AND(V388&lt;20,W388&gt;=55,W388&lt;105),0.23,0)+IF(AND(V388&lt;20,W388&gt;=105),0.17,0)+IF(AND(V388&gt;=20,V388&lt;40,W388&lt;45),0.3,0)+IF(AND(V388&gt;=20,V388&lt;40,W388&gt;=45,W388&lt;95),0.23,0)+IF(AND(V388&gt;=20,V388&lt;40,W388&gt;=95,W388&lt;=250),0.17,0)+IF(AND(V388&gt;=20,V388&lt;40,W388&gt;=250),0.12,0)+IF(AND(V388&gt;=40,V388&lt;75,W388&lt;35),0.3,0)+IF(AND(V388&gt;=40,V388&lt;75,W388&gt;=35,W388&lt;75),0.23,0)+IF(AND(V388&gt;=40,V388&lt;75,W388&gt;=75,W388&lt;120),0.17,0)+IF(AND(V388&gt;=40,V388&lt;75,W388&gt;=120),0.12,0)+IF(AND(V388&gt;=75,V388&lt;175,W388&lt;35),0.3,0)+IF(AND(V388&gt;=75,V388&lt;=175,W388&gt;=35,W388&lt;65),0.23,0)+IF(AND(V388&gt;=75,V388&lt;=175,W388&gt;=65,W388&lt;110),0.17,0)+IF(AND(V388&gt;=75,V388&lt;=175,W388&gt;=110),0.12,0)+IF(AND(V388&gt;175,W388&lt;25),0.3,0)+IF(AND(V388&gt;175,W388&gt;=25,W388&lt;55),0.23,0)+IF(AND(V388&gt;175,W388&gt;=55,W388&lt;95),0.17,0)+IF(AND(V388&gt;175,W388&gt;=95),0.12,0),
IF(AF388="DoEVni",IF(AND(V388&lt;20,W388&lt;55),0.3,0)+IF(AND(V388&lt;20,W388&gt;=55,W388&lt;105),0.23,0)+IF(AND(V388&lt;20,W388&gt;=105),0.17,0)+IF(AND(V388&gt;=20,V388&lt;40,W388&lt;45),0.3,0)+IF(AND(V388&gt;=20,V388&lt;40,W388&gt;=45,W388&lt;95),0.23,0)+IF(AND(V388&gt;=20,V388&lt;40,W388&gt;=95,W388&lt;=200),0.17,0)+IF(AND(V388&gt;=20,V388&lt;40,W388&gt;=200),0.12,0)+IF(AND(V388&gt;=40,V388&lt;75,W388&lt;35),0.3,0)+IF(AND(V388&gt;=40,V388&lt;75,W388&gt;=35,W388&lt;75),0.23,0)+IF(AND(V388&gt;=40,V388&lt;75,W388&gt;=75,W388&lt;120),0.17,0)+IF(AND(V388&gt;=40,V388&lt;75,W388&gt;=120),0.12,0)+IF(AND(V388&gt;=75,V388&lt;175,W388&lt;35),0.3,0)+IF(AND(V388&gt;=75,V388&lt;=175,W388&gt;=35,W388&lt;65),0.23,0)+IF(AND(V388&gt;=75,V388&lt;=175,W388&gt;=65,W388&lt;110),0.17,0)+IF(AND(V388&gt;=75,V388&lt;=175,W388&gt;=110),0.12,0)+IF(AND(V388&gt;175,W388&lt;25),0.3,0)+IF(AND(V388&gt;175,W388&gt;=25,W388&lt;55),0.23,0)+IF(AND(V388&gt;175,W388&gt;=55,W388&lt;95),0.17,0)+IF(AND(V388&gt;175,W388&gt;=95),0.12,0),
IF(AF388="DoEVLo",IF(AND(V388&lt;20,W388&lt;55),0.25,0)+IF(AND(V388&lt;20,W388&gt;=55,W388&lt;105),0.2,0)+IF(AND(V388&lt;20,W388&gt;=105),0.15,0)+IF(AND(V388&gt;=20,V388&lt;40,W388&lt;45),0.25,0)+IF(AND(V388&gt;=20,V388&lt;40,W388&gt;=45,W388&lt;95),0.2,0)+IF(AND(V388&gt;=20,V388&lt;40,W388&gt;=95),0.15,0)+IF(AND(V388&gt;=40,V388&lt;75,W388&lt;35),0.25,0)+IF(AND(V388&gt;=40,V388&lt;75,W388&gt;=35,W388&lt;75),0.2,0)+IF(AND(V388&gt;=40,V388&lt;75,W388&gt;=75,W388&lt;120),0.15,0)+IF(AND(V388&gt;=40,V388&lt;75,W388&gt;=120),0.1,0)+IF(AND(V388&gt;=75,V388&lt;175,W388&lt;35),0.25,0)+IF(AND(V388&gt;=75,V388&lt;=175,W388&gt;=35,W388&lt;65),0.2,0)+IF(AND(V388&gt;=75,V388&lt;=175,W388&gt;=65,W388&lt;110),0.15,0)+IF(AND(V388&gt;=75,V388&lt;=175,W388&gt;=110),0.1,0)+IF(AND(V388&gt;175,W388&lt;25),0.25,0)+IF(AND(V388&gt;175,W388&gt;=25,W388&lt;55),0.2,0)+IF(AND(V388&gt;175,W388&gt;=55,W388&lt;95),0.15,0)+IF(AND(V388&gt;175,W388&gt;=95),0.1,0))))))))))))))))</f>
        <v>0.23</v>
      </c>
      <c r="Y388" s="30">
        <f>IF(AG388="None",0,IF(AG388="Fix5",0.05,IF(AG388="Fix3.75",0.0375,IF(AG388="Fix10",0.1,IF(AG388="Fix3",0.03,0)))))</f>
        <v>0</v>
      </c>
      <c r="Z388" s="35">
        <f>T388-AA388-AB388</f>
        <v>-783.09</v>
      </c>
      <c r="AA388" s="29">
        <f>IF(AD388="EUR",((T388-R388)*X388)*U388+(R388*X388),(T388*X388))</f>
        <v>-233.91</v>
      </c>
      <c r="AB388" s="36">
        <f>IF(AD388="EUR",((T388-R388)*Y388)*U388+(R388*Y388),(T388*Y388))</f>
        <v>0</v>
      </c>
      <c r="AC388" s="37" t="b">
        <v>1</v>
      </c>
      <c r="AD388" s="37" t="s">
        <v>38</v>
      </c>
      <c r="AE388" s="37" t="s">
        <v>38</v>
      </c>
      <c r="AF388" s="37" t="str">
        <f t="array" ref="AF388">INDEX('Deal Info'!D:D, MATCH(A388,'Deal Info'!A:A, 0))</f>
        <v>DoEVs1</v>
      </c>
      <c r="AG388" s="38" t="str">
        <f t="array" ref="AG388">INDEX('Deal Info'!G:G, MATCH(A388,'Deal Info'!A:A, 0))</f>
        <v>None</v>
      </c>
    </row>
    <row r="389" spans="1:33" ht="14.25" hidden="1" x14ac:dyDescent="0.2">
      <c r="A389" s="18" t="str">
        <f t="array" ref="A389">IF(G389='Room Info'!$B$1, INDEX('Room Info'!$A$2:$A2446, MATCH(B389,'Room Info'!$B$2:$B2446, 0)),IF(G389='Room Info'!$C$1, INDEX('Room Info'!$A$2:$A2446, MATCH(B389,'Room Info'!$C$2:$C2446, 0)),IF(G389='Room Info'!$D$1, INDEX('Room Info'!$A$2:$A2446, MATCH(B389,'Room Info'!$D$2:$D2446, 0)),IF(G389='Room Info'!$E$1, INDEX('Room Info'!$A$2:$A2446, MATCH(B389,'Room Info'!$E$2:$E2446, 0)),IF(G389='Room Info'!$F$1, INDEX('Room Info'!$A$2:$A2446, MATCH(B389,'Room Info'!$F$2:$F2446, 0)),IF(G389='Room Info'!$H$1, INDEX('Room Info'!$A$2:$A2446, MATCH(B389,'Room Info'!$H$2:$H2446, 0)),IF(G389='Room Info'!$G$1, INDEX('Room Info'!$A$2:$A2446, MATCH(B389,'Room Info'!$G$2:$G2446, 0)))))))))</f>
        <v>S1lense</v>
      </c>
      <c r="B389" s="45" t="s">
        <v>124</v>
      </c>
      <c r="C389" s="46">
        <v>44855</v>
      </c>
      <c r="D389" s="46">
        <v>44885</v>
      </c>
      <c r="E389" s="47">
        <v>44866</v>
      </c>
      <c r="F389" s="48" t="s">
        <v>34</v>
      </c>
      <c r="G389" s="45" t="s">
        <v>35</v>
      </c>
      <c r="H389" s="49" t="s">
        <v>90</v>
      </c>
      <c r="I389" s="49" t="s">
        <v>44</v>
      </c>
      <c r="J389" s="70">
        <v>5</v>
      </c>
      <c r="K389" s="71">
        <v>1</v>
      </c>
      <c r="L389" s="52">
        <v>10</v>
      </c>
      <c r="M389" s="53">
        <v>1</v>
      </c>
      <c r="N389" s="28">
        <f>K389*J389</f>
        <v>5</v>
      </c>
      <c r="O389" s="54">
        <v>1</v>
      </c>
      <c r="P389" s="29">
        <v>1</v>
      </c>
      <c r="Q389" s="55"/>
      <c r="R389" s="31">
        <f>M389+Q389</f>
        <v>1</v>
      </c>
      <c r="S389" s="56">
        <v>0</v>
      </c>
      <c r="T389" s="32">
        <f>R389+S389+IF(F389="Without EV deal",L389,0)</f>
        <v>1</v>
      </c>
      <c r="U389" s="57">
        <v>1</v>
      </c>
      <c r="V389" s="69">
        <v>20.860705911646921</v>
      </c>
      <c r="W389" s="58">
        <v>60.42</v>
      </c>
      <c r="X389" s="30">
        <f>IF(AF389="DoEV",IF(AND(V389&lt;20,W389&lt;55),0.3,0)+IF(AND(V389&lt;20,W389&gt;=55,W389&lt;105),0.23,0)+IF(AND(V389&lt;20,W389&gt;=105),0.17,0)+IF(AND(V389&gt;=20,V389&lt;40,W389&lt;45),0.3,0)+IF(AND(V389&gt;=20,V389&lt;40,W389&gt;=45,W389&lt;95),0.23,0)+IF(AND(V389&gt;=20,V389&lt;40,W389&gt;=95),0.17,0)+IF(AND(V389&gt;=40,V389&lt;75,W389&lt;35),0.3,0)+IF(AND(V389&gt;=40,V389&lt;75,W389&gt;=35,W389&lt;75),0.23,0)+IF(AND(V389&gt;=40,V389&lt;75,W389&gt;=75,W389&lt;120),0.17,0)+IF(AND(V389&gt;=40,V389&lt;75,W389&gt;=120),0.12,0)+IF(AND(V389&gt;=75,V389&lt;175,W389&lt;35),0.3,0)+IF(AND(V389&gt;=75,V389&lt;=175,W389&gt;=35,W389&lt;65),0.23,0)+IF(AND(V389&gt;=75,V389&lt;=175,W389&gt;=65,W389&lt;110),0.17,0)+IF(AND(V389&gt;=75,V389&lt;=175,W389&gt;=110),0.12,0)+IF(AND(V389&gt;175,W389&lt;25),0.3,0)+IF(AND(V389&gt;175,W389&gt;=25,W389&lt;55),0.23,0)+IF(AND(V389&gt;175,W389&gt;=55,W389&lt;95),0.17,0)+IF(AND(V389&gt;175,W389&gt;=95),0.12,0),
IF(AF389="Fix15",0.15,
IF(AF389="Fix11.25",0.1125,
IF(AF389="Fix10",0.1,
IF(AF389="Fix9",0.09,
IF(AF389="DoEV2017",IF(AND(W389&lt;74),0.2,0)+IF(AND(W389&gt;=74),0.17,0),
IF(AF389="SF",IF(AND(V389&lt;20,W389&lt;89),0.3,0)+IF(AND(V389&lt;20,W389&gt;=89),0.25,0)+IF(AND(V389&gt;=20,V389&lt;40,W389&lt;74),0.3,0)+IF(AND(V389&gt;=20,V389&lt;40,W389&gt;=75),0.22,0)+IF(AND(V389&gt;=40,V389&lt;75,W389&lt;75),0.26,0)+IF(AND(V389&gt;=40,V389&lt;75,W389&gt;=75),0.22,0)+IF(V389&gt;=75,0.22,0),
IF(AF389="DoEVold",IF(AND(V389&lt;40,W389&lt;35),0.35,0)+IF(AND(V389&lt;40,W389&gt;=35,W389&lt;75),0.25,0)+IF(AND(V389&lt;40,W389&gt;=75),0.17,0)+IF(AND(V389&gt;=40,V389&lt;75,W389&lt;25),0.35,0)+IF(AND(V389&gt;=40,V389&lt;75,W389&gt;=25,W389&lt;65),0.25,0)+IF(AND(V389&gt;=40,V389&lt;75,W389&gt;=65,W389&lt;100),0.17,0)+IF(AND(V389&gt;=40,V389&lt;75,W389&gt;=100),0.1,0)+IF(AND(V389&gt;=75,W389&lt;25),0.35,0)+IF(AND(V389&gt;=75,W389&gt;=25,W389&lt;60),0.25,0)+IF(AND(V389&gt;=75,W389&gt;=60,W389&lt;95),0.17,0)+IF(AND(V389&gt;=75,W389&gt;=95),0.1,0),
IF(AF389="DoEVold15",IF(AND(V389&lt;=40,W389&lt;35),0.35,0)+IF(AND(V389&lt;=40,W389&gt;=35,W389&lt;75),0.25,0)+IF(AND(V389&lt;=40,W389&gt;=75,W389&lt;120),0.17,0)+IF(AND(V389&lt;=40,W389&gt;=120),0.15,0)+IF(AND(V389&gt;40,V389&lt;75,W389&lt;25),0.35,0)+IF(AND(V389&gt;=40,V389&lt;75,W389&gt;=25,W389&lt;65),0.25,0)+IF(AND(V389&gt;=40,V389&lt;75,W389&gt;=65,W389&lt;100),0.17,0)+IF(AND(V389&gt;=40,V389&lt;75,W389&gt;=100),0.1,0)+IF(AND(V389&gt;=75,W389&lt;25),0.35,0)+IF(AND(V389&gt;=75,W389&gt;=25,W389&lt;60),0.25,0)+IF(AND(V389&gt;=75,W389&gt;=60,W389&lt;95),0.17,0)+IF(AND(V389&gt;=75,W389&gt;=95),0.1,0),
IF(AF389="DoEVba",IF(AND(V389&lt;20,W389&lt;105),0.2,0)+IF(AND(V389&lt;20,W389&gt;=105),0.15,0)+IF(AND(V389&gt;=20,V389&lt;40,W389&lt;95),0.2,0)+IF(AND(V389&gt;=20,V389&lt;40,W389&gt;=95,W389&lt;150),0.15,0)+IF(AND(V389&gt;=20,V389&lt;40,W389&gt;=150),0.12,0)+IF(AND(V389&gt;=40,V389&lt;75,W389&lt;75),0.2,0)+IF(AND(V389&gt;=40,V389&lt;75,W389&gt;=75,W389&lt;120),0.15,0)+IF(AND(V389&gt;=40,V389&lt;75,W389&gt;=120),0.12,0)+IF(AND(V389&gt;=75,V389&lt;175,W389&lt;65),0.2,0)+IF(AND(V389&gt;=75,V389&lt;175,W389&gt;=65,W389&lt;110),0.15,0)+IF(AND(V389&gt;=75,V389&lt;175,W389&gt;=110),0.12,0)+IF(AND(V389&gt;=175,W389&lt;55),0.2,0)+IF(AND(V389&gt;=175,W389&gt;=55,W389&lt;95),0.15,0)+IF(AND(V389&gt;=175,W389&gt;=95),0.12,0),
IF(AF389="DoEVku",IF(AND(V389&lt;20,W389&lt;55),0.23,0)+IF(AND(V389&lt;20,W389&gt;=55,W389&lt;105),0.2,0)+IF(AND(V389&lt;20,W389&gt;=105),0.17,0)+IF(AND(V389&gt;=20,V389&lt;40,W389&lt;45),0.23,0)+IF(AND(V389&gt;=20,V389&lt;40,W389&gt;=45,W389&lt;95),0.2,0)+IF(AND(V389&gt;=20,V389&lt;40,W389&gt;=95,W389&lt;=150),0.17,0)+IF(AND(V389&gt;=20,V389&lt;40,W389&gt;=150),0.12,0)+IF(AND(V389&gt;=40,V389&lt;75,W389&lt;35),0.23,0)+IF(AND(V389&gt;=40,V389&lt;75,W389&gt;=35,W389&lt;75),0.2,0)+IF(AND(V389&gt;=40,V389&lt;75,W389&gt;=75,W389&lt;120),0.17,0)+IF(AND(V389&gt;=40,V389&lt;75,W389&gt;=120),0.12,0)+IF(AND(V389&gt;=75,V389&lt;175,W389&lt;35),0.23,0)+IF(AND(V389&gt;=75,V389&lt;=175,W389&gt;=35,W389&lt;65),0.2,0)+IF(AND(V389&gt;=75,V389&lt;=175,W389&gt;=65,W389&lt;110),0.17,0)+IF(AND(V389&gt;=75,V389&lt;=175,W389&gt;=110),0.12,0)+IF(AND(V389&gt;175,W389&lt;25),0.23,0)+IF(AND(V389&gt;175,W389&gt;=25,W389&lt;55),0.2,0)+IF(AND(V389&gt;175,W389&gt;=55,W389&lt;95),0.17,0)+IF(AND(V389&gt;175,W389&gt;=95),0.12,0),
IF(AF389="DoEVs1",IF(AND(V389&lt;20,W389&lt;55),0.3,0)+IF(AND(V389&lt;20,W389&gt;=55,W389&lt;105),0.23,0)+IF(AND(V389&lt;20,W389&gt;=105),0.17,0)+IF(AND(V389&gt;=20,V389&lt;40,W389&lt;45),0.3,0)+IF(AND(V389&gt;=20,V389&lt;40,W389&gt;=45,W389&lt;95),0.23,0)+IF(AND(V389&gt;=20,V389&lt;40,W389&gt;=95,W389&lt;=150),0.17,0)+IF(AND(V389&gt;=20,V389&lt;40,W389&gt;=150),0.12,0)+IF(AND(V389&gt;=40,V389&lt;75,W389&lt;35),0.3,0)+IF(AND(V389&gt;=40,V389&lt;75,W389&gt;=35,W389&lt;75),0.23,0)+IF(AND(V389&gt;=40,V389&lt;75,W389&gt;=75,W389&lt;120),0.17,0)+IF(AND(V389&gt;=40,V389&lt;75,W389&gt;=120),0.12,0)+IF(AND(V389&gt;=75,V389&lt;175,W389&lt;35),0.3,0)+IF(AND(V389&gt;=75,V389&lt;=175,W389&gt;=35,W389&lt;65),0.23,0)+IF(AND(V389&gt;=75,V389&lt;=175,W389&gt;=65,W389&lt;110),0.17,0)+IF(AND(V389&gt;=75,V389&lt;=175,W389&gt;=110),0.12,0)+IF(AND(V389&gt;175,W389&lt;25),0.3,0)+IF(AND(V389&gt;175,W389&gt;=25,W389&lt;55),0.23,0)+IF(AND(V389&gt;175,W389&gt;=55,W389&lt;95),0.17,0)+IF(AND(V389&gt;175,W389&gt;=95),0.12,0),
IF(AF389="DoEVsu",IF(AND(V389&lt;20,W389&lt;55),0.3,0)+IF(AND(V389&lt;20,W389&gt;=55,W389&lt;105),0.23,0)+IF(AND(V389&lt;20,W389&gt;=105),0.17,0)+IF(AND(V389&gt;=20,V389&lt;40,W389&lt;45),0.3,0)+IF(AND(V389&gt;=20,V389&lt;40,W389&gt;=45,W389&lt;95),0.23,0)+IF(AND(V389&gt;=20,V389&lt;40,W389&gt;=95,W389&lt;=250),0.17,0)+IF(AND(V389&gt;=20,V389&lt;40,W389&gt;=250),0.12,0)+IF(AND(V389&gt;=40,V389&lt;75,W389&lt;35),0.3,0)+IF(AND(V389&gt;=40,V389&lt;75,W389&gt;=35,W389&lt;75),0.23,0)+IF(AND(V389&gt;=40,V389&lt;75,W389&gt;=75,W389&lt;120),0.17,0)+IF(AND(V389&gt;=40,V389&lt;75,W389&gt;=120),0.12,0)+IF(AND(V389&gt;=75,V389&lt;175,W389&lt;35),0.3,0)+IF(AND(V389&gt;=75,V389&lt;=175,W389&gt;=35,W389&lt;65),0.23,0)+IF(AND(V389&gt;=75,V389&lt;=175,W389&gt;=65,W389&lt;110),0.17,0)+IF(AND(V389&gt;=75,V389&lt;=175,W389&gt;=110),0.12,0)+IF(AND(V389&gt;175,W389&lt;25),0.3,0)+IF(AND(V389&gt;175,W389&gt;=25,W389&lt;55),0.23,0)+IF(AND(V389&gt;175,W389&gt;=55,W389&lt;95),0.17,0)+IF(AND(V389&gt;175,W389&gt;=95),0.12,0),
IF(AF389="DoEVni",IF(AND(V389&lt;20,W389&lt;55),0.3,0)+IF(AND(V389&lt;20,W389&gt;=55,W389&lt;105),0.23,0)+IF(AND(V389&lt;20,W389&gt;=105),0.17,0)+IF(AND(V389&gt;=20,V389&lt;40,W389&lt;45),0.3,0)+IF(AND(V389&gt;=20,V389&lt;40,W389&gt;=45,W389&lt;95),0.23,0)+IF(AND(V389&gt;=20,V389&lt;40,W389&gt;=95,W389&lt;=200),0.17,0)+IF(AND(V389&gt;=20,V389&lt;40,W389&gt;=200),0.12,0)+IF(AND(V389&gt;=40,V389&lt;75,W389&lt;35),0.3,0)+IF(AND(V389&gt;=40,V389&lt;75,W389&gt;=35,W389&lt;75),0.23,0)+IF(AND(V389&gt;=40,V389&lt;75,W389&gt;=75,W389&lt;120),0.17,0)+IF(AND(V389&gt;=40,V389&lt;75,W389&gt;=120),0.12,0)+IF(AND(V389&gt;=75,V389&lt;175,W389&lt;35),0.3,0)+IF(AND(V389&gt;=75,V389&lt;=175,W389&gt;=35,W389&lt;65),0.23,0)+IF(AND(V389&gt;=75,V389&lt;=175,W389&gt;=65,W389&lt;110),0.17,0)+IF(AND(V389&gt;=75,V389&lt;=175,W389&gt;=110),0.12,0)+IF(AND(V389&gt;175,W389&lt;25),0.3,0)+IF(AND(V389&gt;175,W389&gt;=25,W389&lt;55),0.23,0)+IF(AND(V389&gt;175,W389&gt;=55,W389&lt;95),0.17,0)+IF(AND(V389&gt;175,W389&gt;=95),0.12,0),
IF(AF389="DoEVLo",IF(AND(V389&lt;20,W389&lt;55),0.25,0)+IF(AND(V389&lt;20,W389&gt;=55,W389&lt;105),0.2,0)+IF(AND(V389&lt;20,W389&gt;=105),0.15,0)+IF(AND(V389&gt;=20,V389&lt;40,W389&lt;45),0.25,0)+IF(AND(V389&gt;=20,V389&lt;40,W389&gt;=45,W389&lt;95),0.2,0)+IF(AND(V389&gt;=20,V389&lt;40,W389&gt;=95),0.15,0)+IF(AND(V389&gt;=40,V389&lt;75,W389&lt;35),0.25,0)+IF(AND(V389&gt;=40,V389&lt;75,W389&gt;=35,W389&lt;75),0.2,0)+IF(AND(V389&gt;=40,V389&lt;75,W389&gt;=75,W389&lt;120),0.15,0)+IF(AND(V389&gt;=40,V389&lt;75,W389&gt;=120),0.1,0)+IF(AND(V389&gt;=75,V389&lt;175,W389&lt;35),0.25,0)+IF(AND(V389&gt;=75,V389&lt;=175,W389&gt;=35,W389&lt;65),0.2,0)+IF(AND(V389&gt;=75,V389&lt;=175,W389&gt;=65,W389&lt;110),0.15,0)+IF(AND(V389&gt;=75,V389&lt;=175,W389&gt;=110),0.1,0)+IF(AND(V389&gt;175,W389&lt;25),0.25,0)+IF(AND(V389&gt;175,W389&gt;=25,W389&lt;55),0.2,0)+IF(AND(V389&gt;175,W389&gt;=55,W389&lt;95),0.15,0)+IF(AND(V389&gt;175,W389&gt;=95),0.1,0))))))))))))))))</f>
        <v>0.23</v>
      </c>
      <c r="Y389" s="30">
        <f>IF(AG389="None",0,IF(AG389="Fix5",0.05,IF(AG389="Fix3.75",0.0375,IF(AG389="Fix10",0.1,IF(AG389="Fix3",0.03,0)))))</f>
        <v>0</v>
      </c>
      <c r="Z389" s="35">
        <f>T389-AA389-AB389</f>
        <v>0.77</v>
      </c>
      <c r="AA389" s="29">
        <f>IF(AD389="EUR",((T389-R389)*X389)*U389+(R389*X389),(T389*X389))</f>
        <v>0.23</v>
      </c>
      <c r="AB389" s="36">
        <f>IF(AD389="EUR",((T389-R389)*Y389)*U389+(R389*Y389),(T389*Y389))</f>
        <v>0</v>
      </c>
      <c r="AC389" s="37" t="b">
        <v>1</v>
      </c>
      <c r="AD389" s="37" t="s">
        <v>38</v>
      </c>
      <c r="AE389" s="37" t="s">
        <v>38</v>
      </c>
      <c r="AF389" s="37" t="str">
        <f t="array" ref="AF389">INDEX('Deal Info'!D:D, MATCH(A389,'Deal Info'!A:A, 0))</f>
        <v>DoEVs1</v>
      </c>
      <c r="AG389" s="38" t="str">
        <f t="array" ref="AG389">INDEX('Deal Info'!G:G, MATCH(A389,'Deal Info'!A:A, 0))</f>
        <v>None</v>
      </c>
    </row>
    <row r="390" spans="1:33" ht="14.25" hidden="1" x14ac:dyDescent="0.2">
      <c r="A390" s="18" t="str">
        <f t="array" ref="A390">IF(G390='Room Info'!$B$1, INDEX('Room Info'!$A$2:$A2446, MATCH(B390,'Room Info'!$B$2:$B2446, 0)),IF(G390='Room Info'!$C$1, INDEX('Room Info'!$A$2:$A2446, MATCH(B390,'Room Info'!$C$2:$C2446, 0)),IF(G390='Room Info'!$D$1, INDEX('Room Info'!$A$2:$A2446, MATCH(B390,'Room Info'!$D$2:$D2446, 0)),IF(G390='Room Info'!$E$1, INDEX('Room Info'!$A$2:$A2446, MATCH(B390,'Room Info'!$E$2:$E2446, 0)),IF(G390='Room Info'!$F$1, INDEX('Room Info'!$A$2:$A2446, MATCH(B390,'Room Info'!$F$2:$F2446, 0)),IF(G390='Room Info'!$H$1, INDEX('Room Info'!$A$2:$A2446, MATCH(B390,'Room Info'!$H$2:$H2446, 0)),IF(G390='Room Info'!$G$1, INDEX('Room Info'!$A$2:$A2446, MATCH(B390,'Room Info'!$G$2:$G2446, 0)))))))))</f>
        <v>S1lense</v>
      </c>
      <c r="B390" s="45" t="s">
        <v>124</v>
      </c>
      <c r="C390" s="46">
        <v>44855</v>
      </c>
      <c r="D390" s="46">
        <v>44885</v>
      </c>
      <c r="E390" s="47">
        <v>44866</v>
      </c>
      <c r="F390" s="48" t="s">
        <v>34</v>
      </c>
      <c r="G390" s="45" t="s">
        <v>35</v>
      </c>
      <c r="H390" s="49" t="s">
        <v>115</v>
      </c>
      <c r="I390" s="49" t="s">
        <v>44</v>
      </c>
      <c r="J390" s="70">
        <v>10</v>
      </c>
      <c r="K390" s="71">
        <v>8717</v>
      </c>
      <c r="L390" s="52">
        <v>-2120</v>
      </c>
      <c r="M390" s="53">
        <v>7507</v>
      </c>
      <c r="N390" s="28">
        <f>K390*J390</f>
        <v>87170</v>
      </c>
      <c r="O390" s="54">
        <v>99370</v>
      </c>
      <c r="P390" s="29">
        <v>11.39956407</v>
      </c>
      <c r="Q390" s="55"/>
      <c r="R390" s="31">
        <f>M390+Q390</f>
        <v>7507</v>
      </c>
      <c r="S390" s="56">
        <v>-3489</v>
      </c>
      <c r="T390" s="32">
        <f>R390+S390+IF(F390="Without EV deal",L390,0)</f>
        <v>4018</v>
      </c>
      <c r="U390" s="57">
        <v>1</v>
      </c>
      <c r="V390" s="69">
        <v>20.860705911646921</v>
      </c>
      <c r="W390" s="58">
        <v>60.42</v>
      </c>
      <c r="X390" s="30">
        <f>IF(AF390="DoEV",IF(AND(V390&lt;20,W390&lt;55),0.3,0)+IF(AND(V390&lt;20,W390&gt;=55,W390&lt;105),0.23,0)+IF(AND(V390&lt;20,W390&gt;=105),0.17,0)+IF(AND(V390&gt;=20,V390&lt;40,W390&lt;45),0.3,0)+IF(AND(V390&gt;=20,V390&lt;40,W390&gt;=45,W390&lt;95),0.23,0)+IF(AND(V390&gt;=20,V390&lt;40,W390&gt;=95),0.17,0)+IF(AND(V390&gt;=40,V390&lt;75,W390&lt;35),0.3,0)+IF(AND(V390&gt;=40,V390&lt;75,W390&gt;=35,W390&lt;75),0.23,0)+IF(AND(V390&gt;=40,V390&lt;75,W390&gt;=75,W390&lt;120),0.17,0)+IF(AND(V390&gt;=40,V390&lt;75,W390&gt;=120),0.12,0)+IF(AND(V390&gt;=75,V390&lt;175,W390&lt;35),0.3,0)+IF(AND(V390&gt;=75,V390&lt;=175,W390&gt;=35,W390&lt;65),0.23,0)+IF(AND(V390&gt;=75,V390&lt;=175,W390&gt;=65,W390&lt;110),0.17,0)+IF(AND(V390&gt;=75,V390&lt;=175,W390&gt;=110),0.12,0)+IF(AND(V390&gt;175,W390&lt;25),0.3,0)+IF(AND(V390&gt;175,W390&gt;=25,W390&lt;55),0.23,0)+IF(AND(V390&gt;175,W390&gt;=55,W390&lt;95),0.17,0)+IF(AND(V390&gt;175,W390&gt;=95),0.12,0),
IF(AF390="Fix15",0.15,
IF(AF390="Fix11.25",0.1125,
IF(AF390="Fix10",0.1,
IF(AF390="Fix9",0.09,
IF(AF390="DoEV2017",IF(AND(W390&lt;74),0.2,0)+IF(AND(W390&gt;=74),0.17,0),
IF(AF390="SF",IF(AND(V390&lt;20,W390&lt;89),0.3,0)+IF(AND(V390&lt;20,W390&gt;=89),0.25,0)+IF(AND(V390&gt;=20,V390&lt;40,W390&lt;74),0.3,0)+IF(AND(V390&gt;=20,V390&lt;40,W390&gt;=75),0.22,0)+IF(AND(V390&gt;=40,V390&lt;75,W390&lt;75),0.26,0)+IF(AND(V390&gt;=40,V390&lt;75,W390&gt;=75),0.22,0)+IF(V390&gt;=75,0.22,0),
IF(AF390="DoEVold",IF(AND(V390&lt;40,W390&lt;35),0.35,0)+IF(AND(V390&lt;40,W390&gt;=35,W390&lt;75),0.25,0)+IF(AND(V390&lt;40,W390&gt;=75),0.17,0)+IF(AND(V390&gt;=40,V390&lt;75,W390&lt;25),0.35,0)+IF(AND(V390&gt;=40,V390&lt;75,W390&gt;=25,W390&lt;65),0.25,0)+IF(AND(V390&gt;=40,V390&lt;75,W390&gt;=65,W390&lt;100),0.17,0)+IF(AND(V390&gt;=40,V390&lt;75,W390&gt;=100),0.1,0)+IF(AND(V390&gt;=75,W390&lt;25),0.35,0)+IF(AND(V390&gt;=75,W390&gt;=25,W390&lt;60),0.25,0)+IF(AND(V390&gt;=75,W390&gt;=60,W390&lt;95),0.17,0)+IF(AND(V390&gt;=75,W390&gt;=95),0.1,0),
IF(AF390="DoEVold15",IF(AND(V390&lt;=40,W390&lt;35),0.35,0)+IF(AND(V390&lt;=40,W390&gt;=35,W390&lt;75),0.25,0)+IF(AND(V390&lt;=40,W390&gt;=75,W390&lt;120),0.17,0)+IF(AND(V390&lt;=40,W390&gt;=120),0.15,0)+IF(AND(V390&gt;40,V390&lt;75,W390&lt;25),0.35,0)+IF(AND(V390&gt;=40,V390&lt;75,W390&gt;=25,W390&lt;65),0.25,0)+IF(AND(V390&gt;=40,V390&lt;75,W390&gt;=65,W390&lt;100),0.17,0)+IF(AND(V390&gt;=40,V390&lt;75,W390&gt;=100),0.1,0)+IF(AND(V390&gt;=75,W390&lt;25),0.35,0)+IF(AND(V390&gt;=75,W390&gt;=25,W390&lt;60),0.25,0)+IF(AND(V390&gt;=75,W390&gt;=60,W390&lt;95),0.17,0)+IF(AND(V390&gt;=75,W390&gt;=95),0.1,0),
IF(AF390="DoEVba",IF(AND(V390&lt;20,W390&lt;105),0.2,0)+IF(AND(V390&lt;20,W390&gt;=105),0.15,0)+IF(AND(V390&gt;=20,V390&lt;40,W390&lt;95),0.2,0)+IF(AND(V390&gt;=20,V390&lt;40,W390&gt;=95,W390&lt;150),0.15,0)+IF(AND(V390&gt;=20,V390&lt;40,W390&gt;=150),0.12,0)+IF(AND(V390&gt;=40,V390&lt;75,W390&lt;75),0.2,0)+IF(AND(V390&gt;=40,V390&lt;75,W390&gt;=75,W390&lt;120),0.15,0)+IF(AND(V390&gt;=40,V390&lt;75,W390&gt;=120),0.12,0)+IF(AND(V390&gt;=75,V390&lt;175,W390&lt;65),0.2,0)+IF(AND(V390&gt;=75,V390&lt;175,W390&gt;=65,W390&lt;110),0.15,0)+IF(AND(V390&gt;=75,V390&lt;175,W390&gt;=110),0.12,0)+IF(AND(V390&gt;=175,W390&lt;55),0.2,0)+IF(AND(V390&gt;=175,W390&gt;=55,W390&lt;95),0.15,0)+IF(AND(V390&gt;=175,W390&gt;=95),0.12,0),
IF(AF390="DoEVku",IF(AND(V390&lt;20,W390&lt;55),0.23,0)+IF(AND(V390&lt;20,W390&gt;=55,W390&lt;105),0.2,0)+IF(AND(V390&lt;20,W390&gt;=105),0.17,0)+IF(AND(V390&gt;=20,V390&lt;40,W390&lt;45),0.23,0)+IF(AND(V390&gt;=20,V390&lt;40,W390&gt;=45,W390&lt;95),0.2,0)+IF(AND(V390&gt;=20,V390&lt;40,W390&gt;=95,W390&lt;=150),0.17,0)+IF(AND(V390&gt;=20,V390&lt;40,W390&gt;=150),0.12,0)+IF(AND(V390&gt;=40,V390&lt;75,W390&lt;35),0.23,0)+IF(AND(V390&gt;=40,V390&lt;75,W390&gt;=35,W390&lt;75),0.2,0)+IF(AND(V390&gt;=40,V390&lt;75,W390&gt;=75,W390&lt;120),0.17,0)+IF(AND(V390&gt;=40,V390&lt;75,W390&gt;=120),0.12,0)+IF(AND(V390&gt;=75,V390&lt;175,W390&lt;35),0.23,0)+IF(AND(V390&gt;=75,V390&lt;=175,W390&gt;=35,W390&lt;65),0.2,0)+IF(AND(V390&gt;=75,V390&lt;=175,W390&gt;=65,W390&lt;110),0.17,0)+IF(AND(V390&gt;=75,V390&lt;=175,W390&gt;=110),0.12,0)+IF(AND(V390&gt;175,W390&lt;25),0.23,0)+IF(AND(V390&gt;175,W390&gt;=25,W390&lt;55),0.2,0)+IF(AND(V390&gt;175,W390&gt;=55,W390&lt;95),0.17,0)+IF(AND(V390&gt;175,W390&gt;=95),0.12,0),
IF(AF390="DoEVs1",IF(AND(V390&lt;20,W390&lt;55),0.3,0)+IF(AND(V390&lt;20,W390&gt;=55,W390&lt;105),0.23,0)+IF(AND(V390&lt;20,W390&gt;=105),0.17,0)+IF(AND(V390&gt;=20,V390&lt;40,W390&lt;45),0.3,0)+IF(AND(V390&gt;=20,V390&lt;40,W390&gt;=45,W390&lt;95),0.23,0)+IF(AND(V390&gt;=20,V390&lt;40,W390&gt;=95,W390&lt;=150),0.17,0)+IF(AND(V390&gt;=20,V390&lt;40,W390&gt;=150),0.12,0)+IF(AND(V390&gt;=40,V390&lt;75,W390&lt;35),0.3,0)+IF(AND(V390&gt;=40,V390&lt;75,W390&gt;=35,W390&lt;75),0.23,0)+IF(AND(V390&gt;=40,V390&lt;75,W390&gt;=75,W390&lt;120),0.17,0)+IF(AND(V390&gt;=40,V390&lt;75,W390&gt;=120),0.12,0)+IF(AND(V390&gt;=75,V390&lt;175,W390&lt;35),0.3,0)+IF(AND(V390&gt;=75,V390&lt;=175,W390&gt;=35,W390&lt;65),0.23,0)+IF(AND(V390&gt;=75,V390&lt;=175,W390&gt;=65,W390&lt;110),0.17,0)+IF(AND(V390&gt;=75,V390&lt;=175,W390&gt;=110),0.12,0)+IF(AND(V390&gt;175,W390&lt;25),0.3,0)+IF(AND(V390&gt;175,W390&gt;=25,W390&lt;55),0.23,0)+IF(AND(V390&gt;175,W390&gt;=55,W390&lt;95),0.17,0)+IF(AND(V390&gt;175,W390&gt;=95),0.12,0),
IF(AF390="DoEVsu",IF(AND(V390&lt;20,W390&lt;55),0.3,0)+IF(AND(V390&lt;20,W390&gt;=55,W390&lt;105),0.23,0)+IF(AND(V390&lt;20,W390&gt;=105),0.17,0)+IF(AND(V390&gt;=20,V390&lt;40,W390&lt;45),0.3,0)+IF(AND(V390&gt;=20,V390&lt;40,W390&gt;=45,W390&lt;95),0.23,0)+IF(AND(V390&gt;=20,V390&lt;40,W390&gt;=95,W390&lt;=250),0.17,0)+IF(AND(V390&gt;=20,V390&lt;40,W390&gt;=250),0.12,0)+IF(AND(V390&gt;=40,V390&lt;75,W390&lt;35),0.3,0)+IF(AND(V390&gt;=40,V390&lt;75,W390&gt;=35,W390&lt;75),0.23,0)+IF(AND(V390&gt;=40,V390&lt;75,W390&gt;=75,W390&lt;120),0.17,0)+IF(AND(V390&gt;=40,V390&lt;75,W390&gt;=120),0.12,0)+IF(AND(V390&gt;=75,V390&lt;175,W390&lt;35),0.3,0)+IF(AND(V390&gt;=75,V390&lt;=175,W390&gt;=35,W390&lt;65),0.23,0)+IF(AND(V390&gt;=75,V390&lt;=175,W390&gt;=65,W390&lt;110),0.17,0)+IF(AND(V390&gt;=75,V390&lt;=175,W390&gt;=110),0.12,0)+IF(AND(V390&gt;175,W390&lt;25),0.3,0)+IF(AND(V390&gt;175,W390&gt;=25,W390&lt;55),0.23,0)+IF(AND(V390&gt;175,W390&gt;=55,W390&lt;95),0.17,0)+IF(AND(V390&gt;175,W390&gt;=95),0.12,0),
IF(AF390="DoEVni",IF(AND(V390&lt;20,W390&lt;55),0.3,0)+IF(AND(V390&lt;20,W390&gt;=55,W390&lt;105),0.23,0)+IF(AND(V390&lt;20,W390&gt;=105),0.17,0)+IF(AND(V390&gt;=20,V390&lt;40,W390&lt;45),0.3,0)+IF(AND(V390&gt;=20,V390&lt;40,W390&gt;=45,W390&lt;95),0.23,0)+IF(AND(V390&gt;=20,V390&lt;40,W390&gt;=95,W390&lt;=200),0.17,0)+IF(AND(V390&gt;=20,V390&lt;40,W390&gt;=200),0.12,0)+IF(AND(V390&gt;=40,V390&lt;75,W390&lt;35),0.3,0)+IF(AND(V390&gt;=40,V390&lt;75,W390&gt;=35,W390&lt;75),0.23,0)+IF(AND(V390&gt;=40,V390&lt;75,W390&gt;=75,W390&lt;120),0.17,0)+IF(AND(V390&gt;=40,V390&lt;75,W390&gt;=120),0.12,0)+IF(AND(V390&gt;=75,V390&lt;175,W390&lt;35),0.3,0)+IF(AND(V390&gt;=75,V390&lt;=175,W390&gt;=35,W390&lt;65),0.23,0)+IF(AND(V390&gt;=75,V390&lt;=175,W390&gt;=65,W390&lt;110),0.17,0)+IF(AND(V390&gt;=75,V390&lt;=175,W390&gt;=110),0.12,0)+IF(AND(V390&gt;175,W390&lt;25),0.3,0)+IF(AND(V390&gt;175,W390&gt;=25,W390&lt;55),0.23,0)+IF(AND(V390&gt;175,W390&gt;=55,W390&lt;95),0.17,0)+IF(AND(V390&gt;175,W390&gt;=95),0.12,0),
IF(AF390="DoEVLo",IF(AND(V390&lt;20,W390&lt;55),0.25,0)+IF(AND(V390&lt;20,W390&gt;=55,W390&lt;105),0.2,0)+IF(AND(V390&lt;20,W390&gt;=105),0.15,0)+IF(AND(V390&gt;=20,V390&lt;40,W390&lt;45),0.25,0)+IF(AND(V390&gt;=20,V390&lt;40,W390&gt;=45,W390&lt;95),0.2,0)+IF(AND(V390&gt;=20,V390&lt;40,W390&gt;=95),0.15,0)+IF(AND(V390&gt;=40,V390&lt;75,W390&lt;35),0.25,0)+IF(AND(V390&gt;=40,V390&lt;75,W390&gt;=35,W390&lt;75),0.2,0)+IF(AND(V390&gt;=40,V390&lt;75,W390&gt;=75,W390&lt;120),0.15,0)+IF(AND(V390&gt;=40,V390&lt;75,W390&gt;=120),0.1,0)+IF(AND(V390&gt;=75,V390&lt;175,W390&lt;35),0.25,0)+IF(AND(V390&gt;=75,V390&lt;=175,W390&gt;=35,W390&lt;65),0.2,0)+IF(AND(V390&gt;=75,V390&lt;=175,W390&gt;=65,W390&lt;110),0.15,0)+IF(AND(V390&gt;=75,V390&lt;=175,W390&gt;=110),0.1,0)+IF(AND(V390&gt;175,W390&lt;25),0.25,0)+IF(AND(V390&gt;175,W390&gt;=25,W390&lt;55),0.2,0)+IF(AND(V390&gt;175,W390&gt;=55,W390&lt;95),0.15,0)+IF(AND(V390&gt;175,W390&gt;=95),0.1,0))))))))))))))))</f>
        <v>0.23</v>
      </c>
      <c r="Y390" s="30">
        <f>IF(AG390="None",0,IF(AG390="Fix5",0.05,IF(AG390="Fix3.75",0.0375,IF(AG390="Fix10",0.1,IF(AG390="Fix3",0.03,0)))))</f>
        <v>0</v>
      </c>
      <c r="Z390" s="35">
        <f>T390-AA390-AB390</f>
        <v>3093.86</v>
      </c>
      <c r="AA390" s="29">
        <f>IF(AD390="EUR",((T390-R390)*X390)*U390+(R390*X390),(T390*X390))</f>
        <v>924.14</v>
      </c>
      <c r="AB390" s="36">
        <f>IF(AD390="EUR",((T390-R390)*Y390)*U390+(R390*Y390),(T390*Y390))</f>
        <v>0</v>
      </c>
      <c r="AC390" s="37" t="b">
        <v>1</v>
      </c>
      <c r="AD390" s="37" t="s">
        <v>38</v>
      </c>
      <c r="AE390" s="37" t="s">
        <v>38</v>
      </c>
      <c r="AF390" s="37" t="str">
        <f t="array" ref="AF390">INDEX('Deal Info'!D:D, MATCH(A390,'Deal Info'!A:A, 0))</f>
        <v>DoEVs1</v>
      </c>
      <c r="AG390" s="38" t="str">
        <f t="array" ref="AG390">INDEX('Deal Info'!G:G, MATCH(A390,'Deal Info'!A:A, 0))</f>
        <v>None</v>
      </c>
    </row>
    <row r="391" spans="1:33" ht="14.25" hidden="1" x14ac:dyDescent="0.2">
      <c r="A391" s="18" t="str">
        <f t="array" ref="A391">IF(G391='Room Info'!$B$1, INDEX('Room Info'!$A$2:$A2446, MATCH(B391,'Room Info'!$B$2:$B2446, 0)),IF(G391='Room Info'!$C$1, INDEX('Room Info'!$A$2:$A2446, MATCH(B391,'Room Info'!$C$2:$C2446, 0)),IF(G391='Room Info'!$D$1, INDEX('Room Info'!$A$2:$A2446, MATCH(B391,'Room Info'!$D$2:$D2446, 0)),IF(G391='Room Info'!$E$1, INDEX('Room Info'!$A$2:$A2446, MATCH(B391,'Room Info'!$E$2:$E2446, 0)),IF(G391='Room Info'!$F$1, INDEX('Room Info'!$A$2:$A2446, MATCH(B391,'Room Info'!$F$2:$F2446, 0)),IF(G391='Room Info'!$H$1, INDEX('Room Info'!$A$2:$A2446, MATCH(B391,'Room Info'!$H$2:$H2446, 0)),IF(G391='Room Info'!$G$1, INDEX('Room Info'!$A$2:$A2446, MATCH(B391,'Room Info'!$G$2:$G2446, 0)))))))))</f>
        <v>S1lense</v>
      </c>
      <c r="B391" s="45" t="s">
        <v>124</v>
      </c>
      <c r="C391" s="46">
        <v>44855</v>
      </c>
      <c r="D391" s="46">
        <v>44885</v>
      </c>
      <c r="E391" s="47">
        <v>44866</v>
      </c>
      <c r="F391" s="48" t="s">
        <v>34</v>
      </c>
      <c r="G391" s="45" t="s">
        <v>35</v>
      </c>
      <c r="H391" s="49" t="s">
        <v>87</v>
      </c>
      <c r="I391" s="49" t="s">
        <v>44</v>
      </c>
      <c r="J391" s="70">
        <v>25</v>
      </c>
      <c r="K391" s="71">
        <v>2668</v>
      </c>
      <c r="L391" s="52">
        <v>-3825</v>
      </c>
      <c r="M391" s="53">
        <v>4923</v>
      </c>
      <c r="N391" s="28">
        <f>K391*J391</f>
        <v>66700</v>
      </c>
      <c r="O391" s="54">
        <v>4500</v>
      </c>
      <c r="P391" s="29">
        <v>1.686656672</v>
      </c>
      <c r="Q391" s="55"/>
      <c r="R391" s="31">
        <f>M391+Q391</f>
        <v>4923</v>
      </c>
      <c r="S391" s="56">
        <v>-3986</v>
      </c>
      <c r="T391" s="32">
        <f>R391+S391+IF(F391="Without EV deal",L391,0)</f>
        <v>937</v>
      </c>
      <c r="U391" s="57">
        <v>1</v>
      </c>
      <c r="V391" s="69">
        <v>20.860705911646921</v>
      </c>
      <c r="W391" s="58">
        <v>60.42</v>
      </c>
      <c r="X391" s="30">
        <f>IF(AF391="DoEV",IF(AND(V391&lt;20,W391&lt;55),0.3,0)+IF(AND(V391&lt;20,W391&gt;=55,W391&lt;105),0.23,0)+IF(AND(V391&lt;20,W391&gt;=105),0.17,0)+IF(AND(V391&gt;=20,V391&lt;40,W391&lt;45),0.3,0)+IF(AND(V391&gt;=20,V391&lt;40,W391&gt;=45,W391&lt;95),0.23,0)+IF(AND(V391&gt;=20,V391&lt;40,W391&gt;=95),0.17,0)+IF(AND(V391&gt;=40,V391&lt;75,W391&lt;35),0.3,0)+IF(AND(V391&gt;=40,V391&lt;75,W391&gt;=35,W391&lt;75),0.23,0)+IF(AND(V391&gt;=40,V391&lt;75,W391&gt;=75,W391&lt;120),0.17,0)+IF(AND(V391&gt;=40,V391&lt;75,W391&gt;=120),0.12,0)+IF(AND(V391&gt;=75,V391&lt;175,W391&lt;35),0.3,0)+IF(AND(V391&gt;=75,V391&lt;=175,W391&gt;=35,W391&lt;65),0.23,0)+IF(AND(V391&gt;=75,V391&lt;=175,W391&gt;=65,W391&lt;110),0.17,0)+IF(AND(V391&gt;=75,V391&lt;=175,W391&gt;=110),0.12,0)+IF(AND(V391&gt;175,W391&lt;25),0.3,0)+IF(AND(V391&gt;175,W391&gt;=25,W391&lt;55),0.23,0)+IF(AND(V391&gt;175,W391&gt;=55,W391&lt;95),0.17,0)+IF(AND(V391&gt;175,W391&gt;=95),0.12,0),
IF(AF391="Fix15",0.15,
IF(AF391="Fix11.25",0.1125,
IF(AF391="Fix10",0.1,
IF(AF391="Fix9",0.09,
IF(AF391="DoEV2017",IF(AND(W391&lt;74),0.2,0)+IF(AND(W391&gt;=74),0.17,0),
IF(AF391="SF",IF(AND(V391&lt;20,W391&lt;89),0.3,0)+IF(AND(V391&lt;20,W391&gt;=89),0.25,0)+IF(AND(V391&gt;=20,V391&lt;40,W391&lt;74),0.3,0)+IF(AND(V391&gt;=20,V391&lt;40,W391&gt;=75),0.22,0)+IF(AND(V391&gt;=40,V391&lt;75,W391&lt;75),0.26,0)+IF(AND(V391&gt;=40,V391&lt;75,W391&gt;=75),0.22,0)+IF(V391&gt;=75,0.22,0),
IF(AF391="DoEVold",IF(AND(V391&lt;40,W391&lt;35),0.35,0)+IF(AND(V391&lt;40,W391&gt;=35,W391&lt;75),0.25,0)+IF(AND(V391&lt;40,W391&gt;=75),0.17,0)+IF(AND(V391&gt;=40,V391&lt;75,W391&lt;25),0.35,0)+IF(AND(V391&gt;=40,V391&lt;75,W391&gt;=25,W391&lt;65),0.25,0)+IF(AND(V391&gt;=40,V391&lt;75,W391&gt;=65,W391&lt;100),0.17,0)+IF(AND(V391&gt;=40,V391&lt;75,W391&gt;=100),0.1,0)+IF(AND(V391&gt;=75,W391&lt;25),0.35,0)+IF(AND(V391&gt;=75,W391&gt;=25,W391&lt;60),0.25,0)+IF(AND(V391&gt;=75,W391&gt;=60,W391&lt;95),0.17,0)+IF(AND(V391&gt;=75,W391&gt;=95),0.1,0),
IF(AF391="DoEVold15",IF(AND(V391&lt;=40,W391&lt;35),0.35,0)+IF(AND(V391&lt;=40,W391&gt;=35,W391&lt;75),0.25,0)+IF(AND(V391&lt;=40,W391&gt;=75,W391&lt;120),0.17,0)+IF(AND(V391&lt;=40,W391&gt;=120),0.15,0)+IF(AND(V391&gt;40,V391&lt;75,W391&lt;25),0.35,0)+IF(AND(V391&gt;=40,V391&lt;75,W391&gt;=25,W391&lt;65),0.25,0)+IF(AND(V391&gt;=40,V391&lt;75,W391&gt;=65,W391&lt;100),0.17,0)+IF(AND(V391&gt;=40,V391&lt;75,W391&gt;=100),0.1,0)+IF(AND(V391&gt;=75,W391&lt;25),0.35,0)+IF(AND(V391&gt;=75,W391&gt;=25,W391&lt;60),0.25,0)+IF(AND(V391&gt;=75,W391&gt;=60,W391&lt;95),0.17,0)+IF(AND(V391&gt;=75,W391&gt;=95),0.1,0),
IF(AF391="DoEVba",IF(AND(V391&lt;20,W391&lt;105),0.2,0)+IF(AND(V391&lt;20,W391&gt;=105),0.15,0)+IF(AND(V391&gt;=20,V391&lt;40,W391&lt;95),0.2,0)+IF(AND(V391&gt;=20,V391&lt;40,W391&gt;=95,W391&lt;150),0.15,0)+IF(AND(V391&gt;=20,V391&lt;40,W391&gt;=150),0.12,0)+IF(AND(V391&gt;=40,V391&lt;75,W391&lt;75),0.2,0)+IF(AND(V391&gt;=40,V391&lt;75,W391&gt;=75,W391&lt;120),0.15,0)+IF(AND(V391&gt;=40,V391&lt;75,W391&gt;=120),0.12,0)+IF(AND(V391&gt;=75,V391&lt;175,W391&lt;65),0.2,0)+IF(AND(V391&gt;=75,V391&lt;175,W391&gt;=65,W391&lt;110),0.15,0)+IF(AND(V391&gt;=75,V391&lt;175,W391&gt;=110),0.12,0)+IF(AND(V391&gt;=175,W391&lt;55),0.2,0)+IF(AND(V391&gt;=175,W391&gt;=55,W391&lt;95),0.15,0)+IF(AND(V391&gt;=175,W391&gt;=95),0.12,0),
IF(AF391="DoEVku",IF(AND(V391&lt;20,W391&lt;55),0.23,0)+IF(AND(V391&lt;20,W391&gt;=55,W391&lt;105),0.2,0)+IF(AND(V391&lt;20,W391&gt;=105),0.17,0)+IF(AND(V391&gt;=20,V391&lt;40,W391&lt;45),0.23,0)+IF(AND(V391&gt;=20,V391&lt;40,W391&gt;=45,W391&lt;95),0.2,0)+IF(AND(V391&gt;=20,V391&lt;40,W391&gt;=95,W391&lt;=150),0.17,0)+IF(AND(V391&gt;=20,V391&lt;40,W391&gt;=150),0.12,0)+IF(AND(V391&gt;=40,V391&lt;75,W391&lt;35),0.23,0)+IF(AND(V391&gt;=40,V391&lt;75,W391&gt;=35,W391&lt;75),0.2,0)+IF(AND(V391&gt;=40,V391&lt;75,W391&gt;=75,W391&lt;120),0.17,0)+IF(AND(V391&gt;=40,V391&lt;75,W391&gt;=120),0.12,0)+IF(AND(V391&gt;=75,V391&lt;175,W391&lt;35),0.23,0)+IF(AND(V391&gt;=75,V391&lt;=175,W391&gt;=35,W391&lt;65),0.2,0)+IF(AND(V391&gt;=75,V391&lt;=175,W391&gt;=65,W391&lt;110),0.17,0)+IF(AND(V391&gt;=75,V391&lt;=175,W391&gt;=110),0.12,0)+IF(AND(V391&gt;175,W391&lt;25),0.23,0)+IF(AND(V391&gt;175,W391&gt;=25,W391&lt;55),0.2,0)+IF(AND(V391&gt;175,W391&gt;=55,W391&lt;95),0.17,0)+IF(AND(V391&gt;175,W391&gt;=95),0.12,0),
IF(AF391="DoEVs1",IF(AND(V391&lt;20,W391&lt;55),0.3,0)+IF(AND(V391&lt;20,W391&gt;=55,W391&lt;105),0.23,0)+IF(AND(V391&lt;20,W391&gt;=105),0.17,0)+IF(AND(V391&gt;=20,V391&lt;40,W391&lt;45),0.3,0)+IF(AND(V391&gt;=20,V391&lt;40,W391&gt;=45,W391&lt;95),0.23,0)+IF(AND(V391&gt;=20,V391&lt;40,W391&gt;=95,W391&lt;=150),0.17,0)+IF(AND(V391&gt;=20,V391&lt;40,W391&gt;=150),0.12,0)+IF(AND(V391&gt;=40,V391&lt;75,W391&lt;35),0.3,0)+IF(AND(V391&gt;=40,V391&lt;75,W391&gt;=35,W391&lt;75),0.23,0)+IF(AND(V391&gt;=40,V391&lt;75,W391&gt;=75,W391&lt;120),0.17,0)+IF(AND(V391&gt;=40,V391&lt;75,W391&gt;=120),0.12,0)+IF(AND(V391&gt;=75,V391&lt;175,W391&lt;35),0.3,0)+IF(AND(V391&gt;=75,V391&lt;=175,W391&gt;=35,W391&lt;65),0.23,0)+IF(AND(V391&gt;=75,V391&lt;=175,W391&gt;=65,W391&lt;110),0.17,0)+IF(AND(V391&gt;=75,V391&lt;=175,W391&gt;=110),0.12,0)+IF(AND(V391&gt;175,W391&lt;25),0.3,0)+IF(AND(V391&gt;175,W391&gt;=25,W391&lt;55),0.23,0)+IF(AND(V391&gt;175,W391&gt;=55,W391&lt;95),0.17,0)+IF(AND(V391&gt;175,W391&gt;=95),0.12,0),
IF(AF391="DoEVsu",IF(AND(V391&lt;20,W391&lt;55),0.3,0)+IF(AND(V391&lt;20,W391&gt;=55,W391&lt;105),0.23,0)+IF(AND(V391&lt;20,W391&gt;=105),0.17,0)+IF(AND(V391&gt;=20,V391&lt;40,W391&lt;45),0.3,0)+IF(AND(V391&gt;=20,V391&lt;40,W391&gt;=45,W391&lt;95),0.23,0)+IF(AND(V391&gt;=20,V391&lt;40,W391&gt;=95,W391&lt;=250),0.17,0)+IF(AND(V391&gt;=20,V391&lt;40,W391&gt;=250),0.12,0)+IF(AND(V391&gt;=40,V391&lt;75,W391&lt;35),0.3,0)+IF(AND(V391&gt;=40,V391&lt;75,W391&gt;=35,W391&lt;75),0.23,0)+IF(AND(V391&gt;=40,V391&lt;75,W391&gt;=75,W391&lt;120),0.17,0)+IF(AND(V391&gt;=40,V391&lt;75,W391&gt;=120),0.12,0)+IF(AND(V391&gt;=75,V391&lt;175,W391&lt;35),0.3,0)+IF(AND(V391&gt;=75,V391&lt;=175,W391&gt;=35,W391&lt;65),0.23,0)+IF(AND(V391&gt;=75,V391&lt;=175,W391&gt;=65,W391&lt;110),0.17,0)+IF(AND(V391&gt;=75,V391&lt;=175,W391&gt;=110),0.12,0)+IF(AND(V391&gt;175,W391&lt;25),0.3,0)+IF(AND(V391&gt;175,W391&gt;=25,W391&lt;55),0.23,0)+IF(AND(V391&gt;175,W391&gt;=55,W391&lt;95),0.17,0)+IF(AND(V391&gt;175,W391&gt;=95),0.12,0),
IF(AF391="DoEVni",IF(AND(V391&lt;20,W391&lt;55),0.3,0)+IF(AND(V391&lt;20,W391&gt;=55,W391&lt;105),0.23,0)+IF(AND(V391&lt;20,W391&gt;=105),0.17,0)+IF(AND(V391&gt;=20,V391&lt;40,W391&lt;45),0.3,0)+IF(AND(V391&gt;=20,V391&lt;40,W391&gt;=45,W391&lt;95),0.23,0)+IF(AND(V391&gt;=20,V391&lt;40,W391&gt;=95,W391&lt;=200),0.17,0)+IF(AND(V391&gt;=20,V391&lt;40,W391&gt;=200),0.12,0)+IF(AND(V391&gt;=40,V391&lt;75,W391&lt;35),0.3,0)+IF(AND(V391&gt;=40,V391&lt;75,W391&gt;=35,W391&lt;75),0.23,0)+IF(AND(V391&gt;=40,V391&lt;75,W391&gt;=75,W391&lt;120),0.17,0)+IF(AND(V391&gt;=40,V391&lt;75,W391&gt;=120),0.12,0)+IF(AND(V391&gt;=75,V391&lt;175,W391&lt;35),0.3,0)+IF(AND(V391&gt;=75,V391&lt;=175,W391&gt;=35,W391&lt;65),0.23,0)+IF(AND(V391&gt;=75,V391&lt;=175,W391&gt;=65,W391&lt;110),0.17,0)+IF(AND(V391&gt;=75,V391&lt;=175,W391&gt;=110),0.12,0)+IF(AND(V391&gt;175,W391&lt;25),0.3,0)+IF(AND(V391&gt;175,W391&gt;=25,W391&lt;55),0.23,0)+IF(AND(V391&gt;175,W391&gt;=55,W391&lt;95),0.17,0)+IF(AND(V391&gt;175,W391&gt;=95),0.12,0),
IF(AF391="DoEVLo",IF(AND(V391&lt;20,W391&lt;55),0.25,0)+IF(AND(V391&lt;20,W391&gt;=55,W391&lt;105),0.2,0)+IF(AND(V391&lt;20,W391&gt;=105),0.15,0)+IF(AND(V391&gt;=20,V391&lt;40,W391&lt;45),0.25,0)+IF(AND(V391&gt;=20,V391&lt;40,W391&gt;=45,W391&lt;95),0.2,0)+IF(AND(V391&gt;=20,V391&lt;40,W391&gt;=95),0.15,0)+IF(AND(V391&gt;=40,V391&lt;75,W391&lt;35),0.25,0)+IF(AND(V391&gt;=40,V391&lt;75,W391&gt;=35,W391&lt;75),0.2,0)+IF(AND(V391&gt;=40,V391&lt;75,W391&gt;=75,W391&lt;120),0.15,0)+IF(AND(V391&gt;=40,V391&lt;75,W391&gt;=120),0.1,0)+IF(AND(V391&gt;=75,V391&lt;175,W391&lt;35),0.25,0)+IF(AND(V391&gt;=75,V391&lt;=175,W391&gt;=35,W391&lt;65),0.2,0)+IF(AND(V391&gt;=75,V391&lt;=175,W391&gt;=65,W391&lt;110),0.15,0)+IF(AND(V391&gt;=75,V391&lt;=175,W391&gt;=110),0.1,0)+IF(AND(V391&gt;175,W391&lt;25),0.25,0)+IF(AND(V391&gt;175,W391&gt;=25,W391&lt;55),0.2,0)+IF(AND(V391&gt;175,W391&gt;=55,W391&lt;95),0.15,0)+IF(AND(V391&gt;175,W391&gt;=95),0.1,0))))))))))))))))</f>
        <v>0.23</v>
      </c>
      <c r="Y391" s="30">
        <f>IF(AG391="None",0,IF(AG391="Fix5",0.05,IF(AG391="Fix3.75",0.0375,IF(AG391="Fix10",0.1,IF(AG391="Fix3",0.03,0)))))</f>
        <v>0</v>
      </c>
      <c r="Z391" s="35">
        <f>T391-AA391-AB391</f>
        <v>721.49</v>
      </c>
      <c r="AA391" s="29">
        <f>IF(AD391="EUR",((T391-R391)*X391)*U391+(R391*X391),(T391*X391))</f>
        <v>215.51000000000002</v>
      </c>
      <c r="AB391" s="36">
        <f>IF(AD391="EUR",((T391-R391)*Y391)*U391+(R391*Y391),(T391*Y391))</f>
        <v>0</v>
      </c>
      <c r="AC391" s="37" t="b">
        <v>1</v>
      </c>
      <c r="AD391" s="37" t="s">
        <v>38</v>
      </c>
      <c r="AE391" s="37" t="s">
        <v>38</v>
      </c>
      <c r="AF391" s="37" t="str">
        <f t="array" ref="AF391">INDEX('Deal Info'!D:D, MATCH(A391,'Deal Info'!A:A, 0))</f>
        <v>DoEVs1</v>
      </c>
      <c r="AG391" s="38" t="str">
        <f t="array" ref="AG391">INDEX('Deal Info'!G:G, MATCH(A391,'Deal Info'!A:A, 0))</f>
        <v>None</v>
      </c>
    </row>
    <row r="392" spans="1:33" ht="14.25" hidden="1" x14ac:dyDescent="0.2">
      <c r="A392" s="18" t="str">
        <f t="array" ref="A392">IF(G392='Room Info'!$B$1, INDEX('Room Info'!$A$2:$A2446, MATCH(B392,'Room Info'!$B$2:$B2446, 0)),IF(G392='Room Info'!$C$1, INDEX('Room Info'!$A$2:$A2446, MATCH(B392,'Room Info'!$C$2:$C2446, 0)),IF(G392='Room Info'!$D$1, INDEX('Room Info'!$A$2:$A2446, MATCH(B392,'Room Info'!$D$2:$D2446, 0)),IF(G392='Room Info'!$E$1, INDEX('Room Info'!$A$2:$A2446, MATCH(B392,'Room Info'!$E$2:$E2446, 0)),IF(G392='Room Info'!$F$1, INDEX('Room Info'!$A$2:$A2446, MATCH(B392,'Room Info'!$F$2:$F2446, 0)),IF(G392='Room Info'!$H$1, INDEX('Room Info'!$A$2:$A2446, MATCH(B392,'Room Info'!$H$2:$H2446, 0)),IF(G392='Room Info'!$G$1, INDEX('Room Info'!$A$2:$A2446, MATCH(B392,'Room Info'!$G$2:$G2446, 0)))))))))</f>
        <v>S1lense</v>
      </c>
      <c r="B392" s="45" t="s">
        <v>124</v>
      </c>
      <c r="C392" s="46">
        <v>44855</v>
      </c>
      <c r="D392" s="46">
        <v>44885</v>
      </c>
      <c r="E392" s="47">
        <v>44866</v>
      </c>
      <c r="F392" s="48" t="s">
        <v>34</v>
      </c>
      <c r="G392" s="45" t="s">
        <v>35</v>
      </c>
      <c r="H392" s="49" t="s">
        <v>85</v>
      </c>
      <c r="I392" s="49" t="s">
        <v>44</v>
      </c>
      <c r="J392" s="50">
        <v>50</v>
      </c>
      <c r="K392" s="51">
        <v>138</v>
      </c>
      <c r="L392" s="52">
        <v>-1050</v>
      </c>
      <c r="M392" s="53">
        <v>509</v>
      </c>
      <c r="N392" s="28">
        <f>K392*J392</f>
        <v>6900</v>
      </c>
      <c r="O392" s="54">
        <v>-595</v>
      </c>
      <c r="P392" s="29">
        <v>-4.3115942030000003</v>
      </c>
      <c r="Q392" s="55"/>
      <c r="R392" s="31">
        <f>M392+Q392</f>
        <v>509</v>
      </c>
      <c r="S392" s="56">
        <v>-540</v>
      </c>
      <c r="T392" s="32">
        <f>R392+S392+IF(F392="Without EV deal",L392,0)</f>
        <v>-31</v>
      </c>
      <c r="U392" s="57">
        <v>1</v>
      </c>
      <c r="V392" s="69">
        <v>20.860705911646921</v>
      </c>
      <c r="W392" s="58">
        <v>60.42</v>
      </c>
      <c r="X392" s="30">
        <f>IF(AF392="DoEV",IF(AND(V392&lt;20,W392&lt;55),0.3,0)+IF(AND(V392&lt;20,W392&gt;=55,W392&lt;105),0.23,0)+IF(AND(V392&lt;20,W392&gt;=105),0.17,0)+IF(AND(V392&gt;=20,V392&lt;40,W392&lt;45),0.3,0)+IF(AND(V392&gt;=20,V392&lt;40,W392&gt;=45,W392&lt;95),0.23,0)+IF(AND(V392&gt;=20,V392&lt;40,W392&gt;=95),0.17,0)+IF(AND(V392&gt;=40,V392&lt;75,W392&lt;35),0.3,0)+IF(AND(V392&gt;=40,V392&lt;75,W392&gt;=35,W392&lt;75),0.23,0)+IF(AND(V392&gt;=40,V392&lt;75,W392&gt;=75,W392&lt;120),0.17,0)+IF(AND(V392&gt;=40,V392&lt;75,W392&gt;=120),0.12,0)+IF(AND(V392&gt;=75,V392&lt;175,W392&lt;35),0.3,0)+IF(AND(V392&gt;=75,V392&lt;=175,W392&gt;=35,W392&lt;65),0.23,0)+IF(AND(V392&gt;=75,V392&lt;=175,W392&gt;=65,W392&lt;110),0.17,0)+IF(AND(V392&gt;=75,V392&lt;=175,W392&gt;=110),0.12,0)+IF(AND(V392&gt;175,W392&lt;25),0.3,0)+IF(AND(V392&gt;175,W392&gt;=25,W392&lt;55),0.23,0)+IF(AND(V392&gt;175,W392&gt;=55,W392&lt;95),0.17,0)+IF(AND(V392&gt;175,W392&gt;=95),0.12,0),
IF(AF392="Fix15",0.15,
IF(AF392="Fix11.25",0.1125,
IF(AF392="Fix10",0.1,
IF(AF392="Fix9",0.09,
IF(AF392="DoEV2017",IF(AND(W392&lt;74),0.2,0)+IF(AND(W392&gt;=74),0.17,0),
IF(AF392="SF",IF(AND(V392&lt;20,W392&lt;89),0.3,0)+IF(AND(V392&lt;20,W392&gt;=89),0.25,0)+IF(AND(V392&gt;=20,V392&lt;40,W392&lt;74),0.3,0)+IF(AND(V392&gt;=20,V392&lt;40,W392&gt;=75),0.22,0)+IF(AND(V392&gt;=40,V392&lt;75,W392&lt;75),0.26,0)+IF(AND(V392&gt;=40,V392&lt;75,W392&gt;=75),0.22,0)+IF(V392&gt;=75,0.22,0),
IF(AF392="DoEVold",IF(AND(V392&lt;40,W392&lt;35),0.35,0)+IF(AND(V392&lt;40,W392&gt;=35,W392&lt;75),0.25,0)+IF(AND(V392&lt;40,W392&gt;=75),0.17,0)+IF(AND(V392&gt;=40,V392&lt;75,W392&lt;25),0.35,0)+IF(AND(V392&gt;=40,V392&lt;75,W392&gt;=25,W392&lt;65),0.25,0)+IF(AND(V392&gt;=40,V392&lt;75,W392&gt;=65,W392&lt;100),0.17,0)+IF(AND(V392&gt;=40,V392&lt;75,W392&gt;=100),0.1,0)+IF(AND(V392&gt;=75,W392&lt;25),0.35,0)+IF(AND(V392&gt;=75,W392&gt;=25,W392&lt;60),0.25,0)+IF(AND(V392&gt;=75,W392&gt;=60,W392&lt;95),0.17,0)+IF(AND(V392&gt;=75,W392&gt;=95),0.1,0),
IF(AF392="DoEVold15",IF(AND(V392&lt;=40,W392&lt;35),0.35,0)+IF(AND(V392&lt;=40,W392&gt;=35,W392&lt;75),0.25,0)+IF(AND(V392&lt;=40,W392&gt;=75,W392&lt;120),0.17,0)+IF(AND(V392&lt;=40,W392&gt;=120),0.15,0)+IF(AND(V392&gt;40,V392&lt;75,W392&lt;25),0.35,0)+IF(AND(V392&gt;=40,V392&lt;75,W392&gt;=25,W392&lt;65),0.25,0)+IF(AND(V392&gt;=40,V392&lt;75,W392&gt;=65,W392&lt;100),0.17,0)+IF(AND(V392&gt;=40,V392&lt;75,W392&gt;=100),0.1,0)+IF(AND(V392&gt;=75,W392&lt;25),0.35,0)+IF(AND(V392&gt;=75,W392&gt;=25,W392&lt;60),0.25,0)+IF(AND(V392&gt;=75,W392&gt;=60,W392&lt;95),0.17,0)+IF(AND(V392&gt;=75,W392&gt;=95),0.1,0),
IF(AF392="DoEVba",IF(AND(V392&lt;20,W392&lt;105),0.2,0)+IF(AND(V392&lt;20,W392&gt;=105),0.15,0)+IF(AND(V392&gt;=20,V392&lt;40,W392&lt;95),0.2,0)+IF(AND(V392&gt;=20,V392&lt;40,W392&gt;=95,W392&lt;150),0.15,0)+IF(AND(V392&gt;=20,V392&lt;40,W392&gt;=150),0.12,0)+IF(AND(V392&gt;=40,V392&lt;75,W392&lt;75),0.2,0)+IF(AND(V392&gt;=40,V392&lt;75,W392&gt;=75,W392&lt;120),0.15,0)+IF(AND(V392&gt;=40,V392&lt;75,W392&gt;=120),0.12,0)+IF(AND(V392&gt;=75,V392&lt;175,W392&lt;65),0.2,0)+IF(AND(V392&gt;=75,V392&lt;175,W392&gt;=65,W392&lt;110),0.15,0)+IF(AND(V392&gt;=75,V392&lt;175,W392&gt;=110),0.12,0)+IF(AND(V392&gt;=175,W392&lt;55),0.2,0)+IF(AND(V392&gt;=175,W392&gt;=55,W392&lt;95),0.15,0)+IF(AND(V392&gt;=175,W392&gt;=95),0.12,0),
IF(AF392="DoEVku",IF(AND(V392&lt;20,W392&lt;55),0.23,0)+IF(AND(V392&lt;20,W392&gt;=55,W392&lt;105),0.2,0)+IF(AND(V392&lt;20,W392&gt;=105),0.17,0)+IF(AND(V392&gt;=20,V392&lt;40,W392&lt;45),0.23,0)+IF(AND(V392&gt;=20,V392&lt;40,W392&gt;=45,W392&lt;95),0.2,0)+IF(AND(V392&gt;=20,V392&lt;40,W392&gt;=95,W392&lt;=150),0.17,0)+IF(AND(V392&gt;=20,V392&lt;40,W392&gt;=150),0.12,0)+IF(AND(V392&gt;=40,V392&lt;75,W392&lt;35),0.23,0)+IF(AND(V392&gt;=40,V392&lt;75,W392&gt;=35,W392&lt;75),0.2,0)+IF(AND(V392&gt;=40,V392&lt;75,W392&gt;=75,W392&lt;120),0.17,0)+IF(AND(V392&gt;=40,V392&lt;75,W392&gt;=120),0.12,0)+IF(AND(V392&gt;=75,V392&lt;175,W392&lt;35),0.23,0)+IF(AND(V392&gt;=75,V392&lt;=175,W392&gt;=35,W392&lt;65),0.2,0)+IF(AND(V392&gt;=75,V392&lt;=175,W392&gt;=65,W392&lt;110),0.17,0)+IF(AND(V392&gt;=75,V392&lt;=175,W392&gt;=110),0.12,0)+IF(AND(V392&gt;175,W392&lt;25),0.23,0)+IF(AND(V392&gt;175,W392&gt;=25,W392&lt;55),0.2,0)+IF(AND(V392&gt;175,W392&gt;=55,W392&lt;95),0.17,0)+IF(AND(V392&gt;175,W392&gt;=95),0.12,0),
IF(AF392="DoEVs1",IF(AND(V392&lt;20,W392&lt;55),0.3,0)+IF(AND(V392&lt;20,W392&gt;=55,W392&lt;105),0.23,0)+IF(AND(V392&lt;20,W392&gt;=105),0.17,0)+IF(AND(V392&gt;=20,V392&lt;40,W392&lt;45),0.3,0)+IF(AND(V392&gt;=20,V392&lt;40,W392&gt;=45,W392&lt;95),0.23,0)+IF(AND(V392&gt;=20,V392&lt;40,W392&gt;=95,W392&lt;=150),0.17,0)+IF(AND(V392&gt;=20,V392&lt;40,W392&gt;=150),0.12,0)+IF(AND(V392&gt;=40,V392&lt;75,W392&lt;35),0.3,0)+IF(AND(V392&gt;=40,V392&lt;75,W392&gt;=35,W392&lt;75),0.23,0)+IF(AND(V392&gt;=40,V392&lt;75,W392&gt;=75,W392&lt;120),0.17,0)+IF(AND(V392&gt;=40,V392&lt;75,W392&gt;=120),0.12,0)+IF(AND(V392&gt;=75,V392&lt;175,W392&lt;35),0.3,0)+IF(AND(V392&gt;=75,V392&lt;=175,W392&gt;=35,W392&lt;65),0.23,0)+IF(AND(V392&gt;=75,V392&lt;=175,W392&gt;=65,W392&lt;110),0.17,0)+IF(AND(V392&gt;=75,V392&lt;=175,W392&gt;=110),0.12,0)+IF(AND(V392&gt;175,W392&lt;25),0.3,0)+IF(AND(V392&gt;175,W392&gt;=25,W392&lt;55),0.23,0)+IF(AND(V392&gt;175,W392&gt;=55,W392&lt;95),0.17,0)+IF(AND(V392&gt;175,W392&gt;=95),0.12,0),
IF(AF392="DoEVsu",IF(AND(V392&lt;20,W392&lt;55),0.3,0)+IF(AND(V392&lt;20,W392&gt;=55,W392&lt;105),0.23,0)+IF(AND(V392&lt;20,W392&gt;=105),0.17,0)+IF(AND(V392&gt;=20,V392&lt;40,W392&lt;45),0.3,0)+IF(AND(V392&gt;=20,V392&lt;40,W392&gt;=45,W392&lt;95),0.23,0)+IF(AND(V392&gt;=20,V392&lt;40,W392&gt;=95,W392&lt;=250),0.17,0)+IF(AND(V392&gt;=20,V392&lt;40,W392&gt;=250),0.12,0)+IF(AND(V392&gt;=40,V392&lt;75,W392&lt;35),0.3,0)+IF(AND(V392&gt;=40,V392&lt;75,W392&gt;=35,W392&lt;75),0.23,0)+IF(AND(V392&gt;=40,V392&lt;75,W392&gt;=75,W392&lt;120),0.17,0)+IF(AND(V392&gt;=40,V392&lt;75,W392&gt;=120),0.12,0)+IF(AND(V392&gt;=75,V392&lt;175,W392&lt;35),0.3,0)+IF(AND(V392&gt;=75,V392&lt;=175,W392&gt;=35,W392&lt;65),0.23,0)+IF(AND(V392&gt;=75,V392&lt;=175,W392&gt;=65,W392&lt;110),0.17,0)+IF(AND(V392&gt;=75,V392&lt;=175,W392&gt;=110),0.12,0)+IF(AND(V392&gt;175,W392&lt;25),0.3,0)+IF(AND(V392&gt;175,W392&gt;=25,W392&lt;55),0.23,0)+IF(AND(V392&gt;175,W392&gt;=55,W392&lt;95),0.17,0)+IF(AND(V392&gt;175,W392&gt;=95),0.12,0),
IF(AF392="DoEVni",IF(AND(V392&lt;20,W392&lt;55),0.3,0)+IF(AND(V392&lt;20,W392&gt;=55,W392&lt;105),0.23,0)+IF(AND(V392&lt;20,W392&gt;=105),0.17,0)+IF(AND(V392&gt;=20,V392&lt;40,W392&lt;45),0.3,0)+IF(AND(V392&gt;=20,V392&lt;40,W392&gt;=45,W392&lt;95),0.23,0)+IF(AND(V392&gt;=20,V392&lt;40,W392&gt;=95,W392&lt;=200),0.17,0)+IF(AND(V392&gt;=20,V392&lt;40,W392&gt;=200),0.12,0)+IF(AND(V392&gt;=40,V392&lt;75,W392&lt;35),0.3,0)+IF(AND(V392&gt;=40,V392&lt;75,W392&gt;=35,W392&lt;75),0.23,0)+IF(AND(V392&gt;=40,V392&lt;75,W392&gt;=75,W392&lt;120),0.17,0)+IF(AND(V392&gt;=40,V392&lt;75,W392&gt;=120),0.12,0)+IF(AND(V392&gt;=75,V392&lt;175,W392&lt;35),0.3,0)+IF(AND(V392&gt;=75,V392&lt;=175,W392&gt;=35,W392&lt;65),0.23,0)+IF(AND(V392&gt;=75,V392&lt;=175,W392&gt;=65,W392&lt;110),0.17,0)+IF(AND(V392&gt;=75,V392&lt;=175,W392&gt;=110),0.12,0)+IF(AND(V392&gt;175,W392&lt;25),0.3,0)+IF(AND(V392&gt;175,W392&gt;=25,W392&lt;55),0.23,0)+IF(AND(V392&gt;175,W392&gt;=55,W392&lt;95),0.17,0)+IF(AND(V392&gt;175,W392&gt;=95),0.12,0),
IF(AF392="DoEVLo",IF(AND(V392&lt;20,W392&lt;55),0.25,0)+IF(AND(V392&lt;20,W392&gt;=55,W392&lt;105),0.2,0)+IF(AND(V392&lt;20,W392&gt;=105),0.15,0)+IF(AND(V392&gt;=20,V392&lt;40,W392&lt;45),0.25,0)+IF(AND(V392&gt;=20,V392&lt;40,W392&gt;=45,W392&lt;95),0.2,0)+IF(AND(V392&gt;=20,V392&lt;40,W392&gt;=95),0.15,0)+IF(AND(V392&gt;=40,V392&lt;75,W392&lt;35),0.25,0)+IF(AND(V392&gt;=40,V392&lt;75,W392&gt;=35,W392&lt;75),0.2,0)+IF(AND(V392&gt;=40,V392&lt;75,W392&gt;=75,W392&lt;120),0.15,0)+IF(AND(V392&gt;=40,V392&lt;75,W392&gt;=120),0.1,0)+IF(AND(V392&gt;=75,V392&lt;175,W392&lt;35),0.25,0)+IF(AND(V392&gt;=75,V392&lt;=175,W392&gt;=35,W392&lt;65),0.2,0)+IF(AND(V392&gt;=75,V392&lt;=175,W392&gt;=65,W392&lt;110),0.15,0)+IF(AND(V392&gt;=75,V392&lt;=175,W392&gt;=110),0.1,0)+IF(AND(V392&gt;175,W392&lt;25),0.25,0)+IF(AND(V392&gt;175,W392&gt;=25,W392&lt;55),0.2,0)+IF(AND(V392&gt;175,W392&gt;=55,W392&lt;95),0.15,0)+IF(AND(V392&gt;175,W392&gt;=95),0.1,0))))))))))))))))</f>
        <v>0.23</v>
      </c>
      <c r="Y392" s="30">
        <f>IF(AG392="None",0,IF(AG392="Fix5",0.05,IF(AG392="Fix3.75",0.0375,IF(AG392="Fix10",0.1,IF(AG392="Fix3",0.03,0)))))</f>
        <v>0</v>
      </c>
      <c r="Z392" s="35">
        <f>T392-AA392-AB392</f>
        <v>-23.87</v>
      </c>
      <c r="AA392" s="29">
        <f>IF(AD392="EUR",((T392-R392)*X392)*U392+(R392*X392),(T392*X392))</f>
        <v>-7.13</v>
      </c>
      <c r="AB392" s="36">
        <f>IF(AD392="EUR",((T392-R392)*Y392)*U392+(R392*Y392),(T392*Y392))</f>
        <v>0</v>
      </c>
      <c r="AC392" s="37" t="b">
        <v>1</v>
      </c>
      <c r="AD392" s="37" t="s">
        <v>38</v>
      </c>
      <c r="AE392" s="37" t="s">
        <v>38</v>
      </c>
      <c r="AF392" s="37" t="str">
        <f t="array" ref="AF392">INDEX('Deal Info'!D:D, MATCH(A392,'Deal Info'!A:A, 0))</f>
        <v>DoEVs1</v>
      </c>
      <c r="AG392" s="38" t="str">
        <f t="array" ref="AG392">INDEX('Deal Info'!G:G, MATCH(A392,'Deal Info'!A:A, 0))</f>
        <v>None</v>
      </c>
    </row>
    <row r="393" spans="1:33" ht="14.25" hidden="1" x14ac:dyDescent="0.2">
      <c r="A393" s="18" t="str">
        <f t="array" ref="A393">IF(G393='Room Info'!$B$1, INDEX('Room Info'!$A$2:$A2446, MATCH(B393,'Room Info'!$B$2:$B2446, 0)),IF(G393='Room Info'!$C$1, INDEX('Room Info'!$A$2:$A2446, MATCH(B393,'Room Info'!$C$2:$C2446, 0)),IF(G393='Room Info'!$D$1, INDEX('Room Info'!$A$2:$A2446, MATCH(B393,'Room Info'!$D$2:$D2446, 0)),IF(G393='Room Info'!$E$1, INDEX('Room Info'!$A$2:$A2446, MATCH(B393,'Room Info'!$E$2:$E2446, 0)),IF(G393='Room Info'!$F$1, INDEX('Room Info'!$A$2:$A2446, MATCH(B393,'Room Info'!$F$2:$F2446, 0)),IF(G393='Room Info'!$H$1, INDEX('Room Info'!$A$2:$A2446, MATCH(B393,'Room Info'!$H$2:$H2446, 0)),IF(G393='Room Info'!$G$1, INDEX('Room Info'!$A$2:$A2446, MATCH(B393,'Room Info'!$G$2:$G2446, 0)))))))))</f>
        <v>S1lense</v>
      </c>
      <c r="B393" s="45" t="s">
        <v>124</v>
      </c>
      <c r="C393" s="46">
        <v>44886</v>
      </c>
      <c r="D393" s="46">
        <v>44915</v>
      </c>
      <c r="E393" s="47">
        <v>44896</v>
      </c>
      <c r="F393" s="48" t="s">
        <v>34</v>
      </c>
      <c r="G393" s="45" t="s">
        <v>35</v>
      </c>
      <c r="H393" s="49" t="s">
        <v>115</v>
      </c>
      <c r="I393" s="49" t="s">
        <v>44</v>
      </c>
      <c r="J393" s="50">
        <v>10</v>
      </c>
      <c r="K393" s="51">
        <v>19718</v>
      </c>
      <c r="L393" s="52">
        <v>-6270</v>
      </c>
      <c r="M393" s="53">
        <v>4405</v>
      </c>
      <c r="N393" s="28">
        <f>K393*J393</f>
        <v>197180</v>
      </c>
      <c r="O393" s="54">
        <v>298548</v>
      </c>
      <c r="P393" s="29">
        <v>15.140886500000001</v>
      </c>
      <c r="Q393" s="55"/>
      <c r="R393" s="31">
        <f>M393+Q393</f>
        <v>4405</v>
      </c>
      <c r="S393" s="56">
        <v>-5307</v>
      </c>
      <c r="T393" s="32">
        <f>R393+S393+IF(F393="Without EV deal",L393,0)</f>
        <v>-902</v>
      </c>
      <c r="U393" s="57">
        <v>1</v>
      </c>
      <c r="V393" s="58">
        <v>12</v>
      </c>
      <c r="W393" s="58">
        <v>101.5</v>
      </c>
      <c r="X393" s="30">
        <f>IF(AF393="DoEV",IF(AND(V393&lt;20,W393&lt;55),0.3,0)+IF(AND(V393&lt;20,W393&gt;=55,W393&lt;105),0.23,0)+IF(AND(V393&lt;20,W393&gt;=105),0.17,0)+IF(AND(V393&gt;=20,V393&lt;40,W393&lt;45),0.3,0)+IF(AND(V393&gt;=20,V393&lt;40,W393&gt;=45,W393&lt;95),0.23,0)+IF(AND(V393&gt;=20,V393&lt;40,W393&gt;=95),0.17,0)+IF(AND(V393&gt;=40,V393&lt;75,W393&lt;35),0.3,0)+IF(AND(V393&gt;=40,V393&lt;75,W393&gt;=35,W393&lt;75),0.23,0)+IF(AND(V393&gt;=40,V393&lt;75,W393&gt;=75,W393&lt;120),0.17,0)+IF(AND(V393&gt;=40,V393&lt;75,W393&gt;=120),0.12,0)+IF(AND(V393&gt;=75,V393&lt;175,W393&lt;35),0.3,0)+IF(AND(V393&gt;=75,V393&lt;=175,W393&gt;=35,W393&lt;65),0.23,0)+IF(AND(V393&gt;=75,V393&lt;=175,W393&gt;=65,W393&lt;110),0.17,0)+IF(AND(V393&gt;=75,V393&lt;=175,W393&gt;=110),0.12,0)+IF(AND(V393&gt;175,W393&lt;25),0.3,0)+IF(AND(V393&gt;175,W393&gt;=25,W393&lt;55),0.23,0)+IF(AND(V393&gt;175,W393&gt;=55,W393&lt;95),0.17,0)+IF(AND(V393&gt;175,W393&gt;=95),0.12,0),
IF(AF393="Fix15",0.15,
IF(AF393="Fix11.25",0.1125,
IF(AF393="Fix10",0.1,
IF(AF393="Fix9",0.09,
IF(AF393="DoEV2017",IF(AND(W393&lt;74),0.2,0)+IF(AND(W393&gt;=74),0.17,0),
IF(AF393="SF",IF(AND(V393&lt;20,W393&lt;89),0.3,0)+IF(AND(V393&lt;20,W393&gt;=89),0.25,0)+IF(AND(V393&gt;=20,V393&lt;40,W393&lt;74),0.3,0)+IF(AND(V393&gt;=20,V393&lt;40,W393&gt;=75),0.22,0)+IF(AND(V393&gt;=40,V393&lt;75,W393&lt;75),0.26,0)+IF(AND(V393&gt;=40,V393&lt;75,W393&gt;=75),0.22,0)+IF(V393&gt;=75,0.22,0),
IF(AF393="DoEVold",IF(AND(V393&lt;40,W393&lt;35),0.35,0)+IF(AND(V393&lt;40,W393&gt;=35,W393&lt;75),0.25,0)+IF(AND(V393&lt;40,W393&gt;=75),0.17,0)+IF(AND(V393&gt;=40,V393&lt;75,W393&lt;25),0.35,0)+IF(AND(V393&gt;=40,V393&lt;75,W393&gt;=25,W393&lt;65),0.25,0)+IF(AND(V393&gt;=40,V393&lt;75,W393&gt;=65,W393&lt;100),0.17,0)+IF(AND(V393&gt;=40,V393&lt;75,W393&gt;=100),0.1,0)+IF(AND(V393&gt;=75,W393&lt;25),0.35,0)+IF(AND(V393&gt;=75,W393&gt;=25,W393&lt;60),0.25,0)+IF(AND(V393&gt;=75,W393&gt;=60,W393&lt;95),0.17,0)+IF(AND(V393&gt;=75,W393&gt;=95),0.1,0),
IF(AF393="DoEVold15",IF(AND(V393&lt;=40,W393&lt;35),0.35,0)+IF(AND(V393&lt;=40,W393&gt;=35,W393&lt;75),0.25,0)+IF(AND(V393&lt;=40,W393&gt;=75,W393&lt;120),0.17,0)+IF(AND(V393&lt;=40,W393&gt;=120),0.15,0)+IF(AND(V393&gt;40,V393&lt;75,W393&lt;25),0.35,0)+IF(AND(V393&gt;=40,V393&lt;75,W393&gt;=25,W393&lt;65),0.25,0)+IF(AND(V393&gt;=40,V393&lt;75,W393&gt;=65,W393&lt;100),0.17,0)+IF(AND(V393&gt;=40,V393&lt;75,W393&gt;=100),0.1,0)+IF(AND(V393&gt;=75,W393&lt;25),0.35,0)+IF(AND(V393&gt;=75,W393&gt;=25,W393&lt;60),0.25,0)+IF(AND(V393&gt;=75,W393&gt;=60,W393&lt;95),0.17,0)+IF(AND(V393&gt;=75,W393&gt;=95),0.1,0),
IF(AF393="DoEVba",IF(AND(V393&lt;20,W393&lt;105),0.2,0)+IF(AND(V393&lt;20,W393&gt;=105),0.15,0)+IF(AND(V393&gt;=20,V393&lt;40,W393&lt;95),0.2,0)+IF(AND(V393&gt;=20,V393&lt;40,W393&gt;=95,W393&lt;150),0.15,0)+IF(AND(V393&gt;=20,V393&lt;40,W393&gt;=150),0.12,0)+IF(AND(V393&gt;=40,V393&lt;75,W393&lt;75),0.2,0)+IF(AND(V393&gt;=40,V393&lt;75,W393&gt;=75,W393&lt;120),0.15,0)+IF(AND(V393&gt;=40,V393&lt;75,W393&gt;=120),0.12,0)+IF(AND(V393&gt;=75,V393&lt;175,W393&lt;65),0.2,0)+IF(AND(V393&gt;=75,V393&lt;175,W393&gt;=65,W393&lt;110),0.15,0)+IF(AND(V393&gt;=75,V393&lt;175,W393&gt;=110),0.12,0)+IF(AND(V393&gt;=175,W393&lt;55),0.2,0)+IF(AND(V393&gt;=175,W393&gt;=55,W393&lt;95),0.15,0)+IF(AND(V393&gt;=175,W393&gt;=95),0.12,0),
IF(AF393="DoEVku",IF(AND(V393&lt;20,W393&lt;55),0.23,0)+IF(AND(V393&lt;20,W393&gt;=55,W393&lt;105),0.2,0)+IF(AND(V393&lt;20,W393&gt;=105),0.17,0)+IF(AND(V393&gt;=20,V393&lt;40,W393&lt;45),0.23,0)+IF(AND(V393&gt;=20,V393&lt;40,W393&gt;=45,W393&lt;95),0.2,0)+IF(AND(V393&gt;=20,V393&lt;40,W393&gt;=95,W393&lt;=150),0.17,0)+IF(AND(V393&gt;=20,V393&lt;40,W393&gt;=150),0.12,0)+IF(AND(V393&gt;=40,V393&lt;75,W393&lt;35),0.23,0)+IF(AND(V393&gt;=40,V393&lt;75,W393&gt;=35,W393&lt;75),0.2,0)+IF(AND(V393&gt;=40,V393&lt;75,W393&gt;=75,W393&lt;120),0.17,0)+IF(AND(V393&gt;=40,V393&lt;75,W393&gt;=120),0.12,0)+IF(AND(V393&gt;=75,V393&lt;175,W393&lt;35),0.23,0)+IF(AND(V393&gt;=75,V393&lt;=175,W393&gt;=35,W393&lt;65),0.2,0)+IF(AND(V393&gt;=75,V393&lt;=175,W393&gt;=65,W393&lt;110),0.17,0)+IF(AND(V393&gt;=75,V393&lt;=175,W393&gt;=110),0.12,0)+IF(AND(V393&gt;175,W393&lt;25),0.23,0)+IF(AND(V393&gt;175,W393&gt;=25,W393&lt;55),0.2,0)+IF(AND(V393&gt;175,W393&gt;=55,W393&lt;95),0.17,0)+IF(AND(V393&gt;175,W393&gt;=95),0.12,0),
IF(AF393="DoEVs1",IF(AND(V393&lt;20,W393&lt;55),0.3,0)+IF(AND(V393&lt;20,W393&gt;=55,W393&lt;105),0.23,0)+IF(AND(V393&lt;20,W393&gt;=105),0.17,0)+IF(AND(V393&gt;=20,V393&lt;40,W393&lt;45),0.3,0)+IF(AND(V393&gt;=20,V393&lt;40,W393&gt;=45,W393&lt;95),0.23,0)+IF(AND(V393&gt;=20,V393&lt;40,W393&gt;=95,W393&lt;=150),0.17,0)+IF(AND(V393&gt;=20,V393&lt;40,W393&gt;=150),0.12,0)+IF(AND(V393&gt;=40,V393&lt;75,W393&lt;35),0.3,0)+IF(AND(V393&gt;=40,V393&lt;75,W393&gt;=35,W393&lt;75),0.23,0)+IF(AND(V393&gt;=40,V393&lt;75,W393&gt;=75,W393&lt;120),0.17,0)+IF(AND(V393&gt;=40,V393&lt;75,W393&gt;=120),0.12,0)+IF(AND(V393&gt;=75,V393&lt;175,W393&lt;35),0.3,0)+IF(AND(V393&gt;=75,V393&lt;=175,W393&gt;=35,W393&lt;65),0.23,0)+IF(AND(V393&gt;=75,V393&lt;=175,W393&gt;=65,W393&lt;110),0.17,0)+IF(AND(V393&gt;=75,V393&lt;=175,W393&gt;=110),0.12,0)+IF(AND(V393&gt;175,W393&lt;25),0.3,0)+IF(AND(V393&gt;175,W393&gt;=25,W393&lt;55),0.23,0)+IF(AND(V393&gt;175,W393&gt;=55,W393&lt;95),0.17,0)+IF(AND(V393&gt;175,W393&gt;=95),0.12,0),
IF(AF393="DoEVsu",IF(AND(V393&lt;20,W393&lt;55),0.3,0)+IF(AND(V393&lt;20,W393&gt;=55,W393&lt;105),0.23,0)+IF(AND(V393&lt;20,W393&gt;=105),0.17,0)+IF(AND(V393&gt;=20,V393&lt;40,W393&lt;45),0.3,0)+IF(AND(V393&gt;=20,V393&lt;40,W393&gt;=45,W393&lt;95),0.23,0)+IF(AND(V393&gt;=20,V393&lt;40,W393&gt;=95,W393&lt;=250),0.17,0)+IF(AND(V393&gt;=20,V393&lt;40,W393&gt;=250),0.12,0)+IF(AND(V393&gt;=40,V393&lt;75,W393&lt;35),0.3,0)+IF(AND(V393&gt;=40,V393&lt;75,W393&gt;=35,W393&lt;75),0.23,0)+IF(AND(V393&gt;=40,V393&lt;75,W393&gt;=75,W393&lt;120),0.17,0)+IF(AND(V393&gt;=40,V393&lt;75,W393&gt;=120),0.12,0)+IF(AND(V393&gt;=75,V393&lt;175,W393&lt;35),0.3,0)+IF(AND(V393&gt;=75,V393&lt;=175,W393&gt;=35,W393&lt;65),0.23,0)+IF(AND(V393&gt;=75,V393&lt;=175,W393&gt;=65,W393&lt;110),0.17,0)+IF(AND(V393&gt;=75,V393&lt;=175,W393&gt;=110),0.12,0)+IF(AND(V393&gt;175,W393&lt;25),0.3,0)+IF(AND(V393&gt;175,W393&gt;=25,W393&lt;55),0.23,0)+IF(AND(V393&gt;175,W393&gt;=55,W393&lt;95),0.17,0)+IF(AND(V393&gt;175,W393&gt;=95),0.12,0),
IF(AF393="DoEVni",IF(AND(V393&lt;20,W393&lt;55),0.3,0)+IF(AND(V393&lt;20,W393&gt;=55,W393&lt;105),0.23,0)+IF(AND(V393&lt;20,W393&gt;=105),0.17,0)+IF(AND(V393&gt;=20,V393&lt;40,W393&lt;45),0.3,0)+IF(AND(V393&gt;=20,V393&lt;40,W393&gt;=45,W393&lt;95),0.23,0)+IF(AND(V393&gt;=20,V393&lt;40,W393&gt;=95,W393&lt;=200),0.17,0)+IF(AND(V393&gt;=20,V393&lt;40,W393&gt;=200),0.12,0)+IF(AND(V393&gt;=40,V393&lt;75,W393&lt;35),0.3,0)+IF(AND(V393&gt;=40,V393&lt;75,W393&gt;=35,W393&lt;75),0.23,0)+IF(AND(V393&gt;=40,V393&lt;75,W393&gt;=75,W393&lt;120),0.17,0)+IF(AND(V393&gt;=40,V393&lt;75,W393&gt;=120),0.12,0)+IF(AND(V393&gt;=75,V393&lt;175,W393&lt;35),0.3,0)+IF(AND(V393&gt;=75,V393&lt;=175,W393&gt;=35,W393&lt;65),0.23,0)+IF(AND(V393&gt;=75,V393&lt;=175,W393&gt;=65,W393&lt;110),0.17,0)+IF(AND(V393&gt;=75,V393&lt;=175,W393&gt;=110),0.12,0)+IF(AND(V393&gt;175,W393&lt;25),0.3,0)+IF(AND(V393&gt;175,W393&gt;=25,W393&lt;55),0.23,0)+IF(AND(V393&gt;175,W393&gt;=55,W393&lt;95),0.17,0)+IF(AND(V393&gt;175,W393&gt;=95),0.12,0),
IF(AF393="DoEVLo",IF(AND(V393&lt;20,W393&lt;55),0.25,0)+IF(AND(V393&lt;20,W393&gt;=55,W393&lt;105),0.2,0)+IF(AND(V393&lt;20,W393&gt;=105),0.15,0)+IF(AND(V393&gt;=20,V393&lt;40,W393&lt;45),0.25,0)+IF(AND(V393&gt;=20,V393&lt;40,W393&gt;=45,W393&lt;95),0.2,0)+IF(AND(V393&gt;=20,V393&lt;40,W393&gt;=95),0.15,0)+IF(AND(V393&gt;=40,V393&lt;75,W393&lt;35),0.25,0)+IF(AND(V393&gt;=40,V393&lt;75,W393&gt;=35,W393&lt;75),0.2,0)+IF(AND(V393&gt;=40,V393&lt;75,W393&gt;=75,W393&lt;120),0.15,0)+IF(AND(V393&gt;=40,V393&lt;75,W393&gt;=120),0.1,0)+IF(AND(V393&gt;=75,V393&lt;175,W393&lt;35),0.25,0)+IF(AND(V393&gt;=75,V393&lt;=175,W393&gt;=35,W393&lt;65),0.2,0)+IF(AND(V393&gt;=75,V393&lt;=175,W393&gt;=65,W393&lt;110),0.15,0)+IF(AND(V393&gt;=75,V393&lt;=175,W393&gt;=110),0.1,0)+IF(AND(V393&gt;175,W393&lt;25),0.25,0)+IF(AND(V393&gt;175,W393&gt;=25,W393&lt;55),0.2,0)+IF(AND(V393&gt;175,W393&gt;=55,W393&lt;95),0.15,0)+IF(AND(V393&gt;175,W393&gt;=95),0.1,0))))))))))))))))</f>
        <v>0.23</v>
      </c>
      <c r="Y393" s="30">
        <f>IF(AG393="None",0,IF(AG393="Fix5",0.05,IF(AG393="Fix3.75",0.0375,IF(AG393="Fix10",0.1,IF(AG393="Fix3",0.03,0)))))</f>
        <v>0</v>
      </c>
      <c r="Z393" s="35">
        <f>T393-AA393-AB393</f>
        <v>-694.54</v>
      </c>
      <c r="AA393" s="29">
        <f>IF(AD393="EUR",((T393-R393)*X393)*U393+(R393*X393),(T393*X393))</f>
        <v>-207.46</v>
      </c>
      <c r="AB393" s="36">
        <f>IF(AD393="EUR",((T393-R393)*Y393)*U393+(R393*Y393),(T393*Y393))</f>
        <v>0</v>
      </c>
      <c r="AC393" s="37" t="b">
        <v>1</v>
      </c>
      <c r="AD393" s="37" t="s">
        <v>38</v>
      </c>
      <c r="AE393" s="37" t="s">
        <v>38</v>
      </c>
      <c r="AF393" s="37" t="str">
        <f t="array" ref="AF393">INDEX('Deal Info'!D:D, MATCH(A393,'Deal Info'!A:A, 0))</f>
        <v>DoEVs1</v>
      </c>
      <c r="AG393" s="38" t="str">
        <f t="array" ref="AG393">INDEX('Deal Info'!G:G, MATCH(A393,'Deal Info'!A:A, 0))</f>
        <v>None</v>
      </c>
    </row>
    <row r="394" spans="1:33" ht="14.25" hidden="1" x14ac:dyDescent="0.2">
      <c r="A394" s="18" t="str">
        <f t="array" ref="A394">IF(G394='Room Info'!$B$1, INDEX('Room Info'!$A$2:$A2446, MATCH(B394,'Room Info'!$B$2:$B2446, 0)),IF(G394='Room Info'!$C$1, INDEX('Room Info'!$A$2:$A2446, MATCH(B394,'Room Info'!$C$2:$C2446, 0)),IF(G394='Room Info'!$D$1, INDEX('Room Info'!$A$2:$A2446, MATCH(B394,'Room Info'!$D$2:$D2446, 0)),IF(G394='Room Info'!$E$1, INDEX('Room Info'!$A$2:$A2446, MATCH(B394,'Room Info'!$E$2:$E2446, 0)),IF(G394='Room Info'!$F$1, INDEX('Room Info'!$A$2:$A2446, MATCH(B394,'Room Info'!$F$2:$F2446, 0)),IF(G394='Room Info'!$H$1, INDEX('Room Info'!$A$2:$A2446, MATCH(B394,'Room Info'!$H$2:$H2446, 0)),IF(G394='Room Info'!$G$1, INDEX('Room Info'!$A$2:$A2446, MATCH(B394,'Room Info'!$G$2:$G2446, 0)))))))))</f>
        <v>S1lense</v>
      </c>
      <c r="B394" s="45" t="s">
        <v>124</v>
      </c>
      <c r="C394" s="46">
        <v>44886</v>
      </c>
      <c r="D394" s="46">
        <v>44915</v>
      </c>
      <c r="E394" s="47">
        <v>44896</v>
      </c>
      <c r="F394" s="48" t="s">
        <v>34</v>
      </c>
      <c r="G394" s="54" t="s">
        <v>35</v>
      </c>
      <c r="H394" s="49" t="s">
        <v>87</v>
      </c>
      <c r="I394" s="49" t="s">
        <v>44</v>
      </c>
      <c r="J394" s="50">
        <v>25</v>
      </c>
      <c r="K394" s="51">
        <v>857</v>
      </c>
      <c r="L394" s="52">
        <v>-1350</v>
      </c>
      <c r="M394" s="53">
        <v>410</v>
      </c>
      <c r="N394" s="28">
        <f>K394*J394</f>
        <v>21425</v>
      </c>
      <c r="O394" s="54">
        <v>1223</v>
      </c>
      <c r="P394" s="29">
        <v>1.4270711789999999</v>
      </c>
      <c r="Q394" s="55"/>
      <c r="R394" s="31">
        <f>M394+Q394</f>
        <v>410</v>
      </c>
      <c r="S394" s="56">
        <v>-1263</v>
      </c>
      <c r="T394" s="32">
        <f>R394+S394+IF(F394="Without EV deal",L394,0)</f>
        <v>-853</v>
      </c>
      <c r="U394" s="57">
        <v>1</v>
      </c>
      <c r="V394" s="58">
        <v>12</v>
      </c>
      <c r="W394" s="58">
        <v>101.5</v>
      </c>
      <c r="X394" s="30">
        <f>IF(AF394="DoEV",IF(AND(V394&lt;20,W394&lt;55),0.3,0)+IF(AND(V394&lt;20,W394&gt;=55,W394&lt;105),0.23,0)+IF(AND(V394&lt;20,W394&gt;=105),0.17,0)+IF(AND(V394&gt;=20,V394&lt;40,W394&lt;45),0.3,0)+IF(AND(V394&gt;=20,V394&lt;40,W394&gt;=45,W394&lt;95),0.23,0)+IF(AND(V394&gt;=20,V394&lt;40,W394&gt;=95),0.17,0)+IF(AND(V394&gt;=40,V394&lt;75,W394&lt;35),0.3,0)+IF(AND(V394&gt;=40,V394&lt;75,W394&gt;=35,W394&lt;75),0.23,0)+IF(AND(V394&gt;=40,V394&lt;75,W394&gt;=75,W394&lt;120),0.17,0)+IF(AND(V394&gt;=40,V394&lt;75,W394&gt;=120),0.12,0)+IF(AND(V394&gt;=75,V394&lt;175,W394&lt;35),0.3,0)+IF(AND(V394&gt;=75,V394&lt;=175,W394&gt;=35,W394&lt;65),0.23,0)+IF(AND(V394&gt;=75,V394&lt;=175,W394&gt;=65,W394&lt;110),0.17,0)+IF(AND(V394&gt;=75,V394&lt;=175,W394&gt;=110),0.12,0)+IF(AND(V394&gt;175,W394&lt;25),0.3,0)+IF(AND(V394&gt;175,W394&gt;=25,W394&lt;55),0.23,0)+IF(AND(V394&gt;175,W394&gt;=55,W394&lt;95),0.17,0)+IF(AND(V394&gt;175,W394&gt;=95),0.12,0),
IF(AF394="Fix15",0.15,
IF(AF394="Fix11.25",0.1125,
IF(AF394="Fix10",0.1,
IF(AF394="Fix9",0.09,
IF(AF394="DoEV2017",IF(AND(W394&lt;74),0.2,0)+IF(AND(W394&gt;=74),0.17,0),
IF(AF394="SF",IF(AND(V394&lt;20,W394&lt;89),0.3,0)+IF(AND(V394&lt;20,W394&gt;=89),0.25,0)+IF(AND(V394&gt;=20,V394&lt;40,W394&lt;74),0.3,0)+IF(AND(V394&gt;=20,V394&lt;40,W394&gt;=75),0.22,0)+IF(AND(V394&gt;=40,V394&lt;75,W394&lt;75),0.26,0)+IF(AND(V394&gt;=40,V394&lt;75,W394&gt;=75),0.22,0)+IF(V394&gt;=75,0.22,0),
IF(AF394="DoEVold",IF(AND(V394&lt;40,W394&lt;35),0.35,0)+IF(AND(V394&lt;40,W394&gt;=35,W394&lt;75),0.25,0)+IF(AND(V394&lt;40,W394&gt;=75),0.17,0)+IF(AND(V394&gt;=40,V394&lt;75,W394&lt;25),0.35,0)+IF(AND(V394&gt;=40,V394&lt;75,W394&gt;=25,W394&lt;65),0.25,0)+IF(AND(V394&gt;=40,V394&lt;75,W394&gt;=65,W394&lt;100),0.17,0)+IF(AND(V394&gt;=40,V394&lt;75,W394&gt;=100),0.1,0)+IF(AND(V394&gt;=75,W394&lt;25),0.35,0)+IF(AND(V394&gt;=75,W394&gt;=25,W394&lt;60),0.25,0)+IF(AND(V394&gt;=75,W394&gt;=60,W394&lt;95),0.17,0)+IF(AND(V394&gt;=75,W394&gt;=95),0.1,0),
IF(AF394="DoEVold15",IF(AND(V394&lt;=40,W394&lt;35),0.35,0)+IF(AND(V394&lt;=40,W394&gt;=35,W394&lt;75),0.25,0)+IF(AND(V394&lt;=40,W394&gt;=75,W394&lt;120),0.17,0)+IF(AND(V394&lt;=40,W394&gt;=120),0.15,0)+IF(AND(V394&gt;40,V394&lt;75,W394&lt;25),0.35,0)+IF(AND(V394&gt;=40,V394&lt;75,W394&gt;=25,W394&lt;65),0.25,0)+IF(AND(V394&gt;=40,V394&lt;75,W394&gt;=65,W394&lt;100),0.17,0)+IF(AND(V394&gt;=40,V394&lt;75,W394&gt;=100),0.1,0)+IF(AND(V394&gt;=75,W394&lt;25),0.35,0)+IF(AND(V394&gt;=75,W394&gt;=25,W394&lt;60),0.25,0)+IF(AND(V394&gt;=75,W394&gt;=60,W394&lt;95),0.17,0)+IF(AND(V394&gt;=75,W394&gt;=95),0.1,0),
IF(AF394="DoEVba",IF(AND(V394&lt;20,W394&lt;105),0.2,0)+IF(AND(V394&lt;20,W394&gt;=105),0.15,0)+IF(AND(V394&gt;=20,V394&lt;40,W394&lt;95),0.2,0)+IF(AND(V394&gt;=20,V394&lt;40,W394&gt;=95,W394&lt;150),0.15,0)+IF(AND(V394&gt;=20,V394&lt;40,W394&gt;=150),0.12,0)+IF(AND(V394&gt;=40,V394&lt;75,W394&lt;75),0.2,0)+IF(AND(V394&gt;=40,V394&lt;75,W394&gt;=75,W394&lt;120),0.15,0)+IF(AND(V394&gt;=40,V394&lt;75,W394&gt;=120),0.12,0)+IF(AND(V394&gt;=75,V394&lt;175,W394&lt;65),0.2,0)+IF(AND(V394&gt;=75,V394&lt;175,W394&gt;=65,W394&lt;110),0.15,0)+IF(AND(V394&gt;=75,V394&lt;175,W394&gt;=110),0.12,0)+IF(AND(V394&gt;=175,W394&lt;55),0.2,0)+IF(AND(V394&gt;=175,W394&gt;=55,W394&lt;95),0.15,0)+IF(AND(V394&gt;=175,W394&gt;=95),0.12,0),
IF(AF394="DoEVku",IF(AND(V394&lt;20,W394&lt;55),0.23,0)+IF(AND(V394&lt;20,W394&gt;=55,W394&lt;105),0.2,0)+IF(AND(V394&lt;20,W394&gt;=105),0.17,0)+IF(AND(V394&gt;=20,V394&lt;40,W394&lt;45),0.23,0)+IF(AND(V394&gt;=20,V394&lt;40,W394&gt;=45,W394&lt;95),0.2,0)+IF(AND(V394&gt;=20,V394&lt;40,W394&gt;=95,W394&lt;=150),0.17,0)+IF(AND(V394&gt;=20,V394&lt;40,W394&gt;=150),0.12,0)+IF(AND(V394&gt;=40,V394&lt;75,W394&lt;35),0.23,0)+IF(AND(V394&gt;=40,V394&lt;75,W394&gt;=35,W394&lt;75),0.2,0)+IF(AND(V394&gt;=40,V394&lt;75,W394&gt;=75,W394&lt;120),0.17,0)+IF(AND(V394&gt;=40,V394&lt;75,W394&gt;=120),0.12,0)+IF(AND(V394&gt;=75,V394&lt;175,W394&lt;35),0.23,0)+IF(AND(V394&gt;=75,V394&lt;=175,W394&gt;=35,W394&lt;65),0.2,0)+IF(AND(V394&gt;=75,V394&lt;=175,W394&gt;=65,W394&lt;110),0.17,0)+IF(AND(V394&gt;=75,V394&lt;=175,W394&gt;=110),0.12,0)+IF(AND(V394&gt;175,W394&lt;25),0.23,0)+IF(AND(V394&gt;175,W394&gt;=25,W394&lt;55),0.2,0)+IF(AND(V394&gt;175,W394&gt;=55,W394&lt;95),0.17,0)+IF(AND(V394&gt;175,W394&gt;=95),0.12,0),
IF(AF394="DoEVs1",IF(AND(V394&lt;20,W394&lt;55),0.3,0)+IF(AND(V394&lt;20,W394&gt;=55,W394&lt;105),0.23,0)+IF(AND(V394&lt;20,W394&gt;=105),0.17,0)+IF(AND(V394&gt;=20,V394&lt;40,W394&lt;45),0.3,0)+IF(AND(V394&gt;=20,V394&lt;40,W394&gt;=45,W394&lt;95),0.23,0)+IF(AND(V394&gt;=20,V394&lt;40,W394&gt;=95,W394&lt;=150),0.17,0)+IF(AND(V394&gt;=20,V394&lt;40,W394&gt;=150),0.12,0)+IF(AND(V394&gt;=40,V394&lt;75,W394&lt;35),0.3,0)+IF(AND(V394&gt;=40,V394&lt;75,W394&gt;=35,W394&lt;75),0.23,0)+IF(AND(V394&gt;=40,V394&lt;75,W394&gt;=75,W394&lt;120),0.17,0)+IF(AND(V394&gt;=40,V394&lt;75,W394&gt;=120),0.12,0)+IF(AND(V394&gt;=75,V394&lt;175,W394&lt;35),0.3,0)+IF(AND(V394&gt;=75,V394&lt;=175,W394&gt;=35,W394&lt;65),0.23,0)+IF(AND(V394&gt;=75,V394&lt;=175,W394&gt;=65,W394&lt;110),0.17,0)+IF(AND(V394&gt;=75,V394&lt;=175,W394&gt;=110),0.12,0)+IF(AND(V394&gt;175,W394&lt;25),0.3,0)+IF(AND(V394&gt;175,W394&gt;=25,W394&lt;55),0.23,0)+IF(AND(V394&gt;175,W394&gt;=55,W394&lt;95),0.17,0)+IF(AND(V394&gt;175,W394&gt;=95),0.12,0),
IF(AF394="DoEVsu",IF(AND(V394&lt;20,W394&lt;55),0.3,0)+IF(AND(V394&lt;20,W394&gt;=55,W394&lt;105),0.23,0)+IF(AND(V394&lt;20,W394&gt;=105),0.17,0)+IF(AND(V394&gt;=20,V394&lt;40,W394&lt;45),0.3,0)+IF(AND(V394&gt;=20,V394&lt;40,W394&gt;=45,W394&lt;95),0.23,0)+IF(AND(V394&gt;=20,V394&lt;40,W394&gt;=95,W394&lt;=250),0.17,0)+IF(AND(V394&gt;=20,V394&lt;40,W394&gt;=250),0.12,0)+IF(AND(V394&gt;=40,V394&lt;75,W394&lt;35),0.3,0)+IF(AND(V394&gt;=40,V394&lt;75,W394&gt;=35,W394&lt;75),0.23,0)+IF(AND(V394&gt;=40,V394&lt;75,W394&gt;=75,W394&lt;120),0.17,0)+IF(AND(V394&gt;=40,V394&lt;75,W394&gt;=120),0.12,0)+IF(AND(V394&gt;=75,V394&lt;175,W394&lt;35),0.3,0)+IF(AND(V394&gt;=75,V394&lt;=175,W394&gt;=35,W394&lt;65),0.23,0)+IF(AND(V394&gt;=75,V394&lt;=175,W394&gt;=65,W394&lt;110),0.17,0)+IF(AND(V394&gt;=75,V394&lt;=175,W394&gt;=110),0.12,0)+IF(AND(V394&gt;175,W394&lt;25),0.3,0)+IF(AND(V394&gt;175,W394&gt;=25,W394&lt;55),0.23,0)+IF(AND(V394&gt;175,W394&gt;=55,W394&lt;95),0.17,0)+IF(AND(V394&gt;175,W394&gt;=95),0.12,0),
IF(AF394="DoEVni",IF(AND(V394&lt;20,W394&lt;55),0.3,0)+IF(AND(V394&lt;20,W394&gt;=55,W394&lt;105),0.23,0)+IF(AND(V394&lt;20,W394&gt;=105),0.17,0)+IF(AND(V394&gt;=20,V394&lt;40,W394&lt;45),0.3,0)+IF(AND(V394&gt;=20,V394&lt;40,W394&gt;=45,W394&lt;95),0.23,0)+IF(AND(V394&gt;=20,V394&lt;40,W394&gt;=95,W394&lt;=200),0.17,0)+IF(AND(V394&gt;=20,V394&lt;40,W394&gt;=200),0.12,0)+IF(AND(V394&gt;=40,V394&lt;75,W394&lt;35),0.3,0)+IF(AND(V394&gt;=40,V394&lt;75,W394&gt;=35,W394&lt;75),0.23,0)+IF(AND(V394&gt;=40,V394&lt;75,W394&gt;=75,W394&lt;120),0.17,0)+IF(AND(V394&gt;=40,V394&lt;75,W394&gt;=120),0.12,0)+IF(AND(V394&gt;=75,V394&lt;175,W394&lt;35),0.3,0)+IF(AND(V394&gt;=75,V394&lt;=175,W394&gt;=35,W394&lt;65),0.23,0)+IF(AND(V394&gt;=75,V394&lt;=175,W394&gt;=65,W394&lt;110),0.17,0)+IF(AND(V394&gt;=75,V394&lt;=175,W394&gt;=110),0.12,0)+IF(AND(V394&gt;175,W394&lt;25),0.3,0)+IF(AND(V394&gt;175,W394&gt;=25,W394&lt;55),0.23,0)+IF(AND(V394&gt;175,W394&gt;=55,W394&lt;95),0.17,0)+IF(AND(V394&gt;175,W394&gt;=95),0.12,0),
IF(AF394="DoEVLo",IF(AND(V394&lt;20,W394&lt;55),0.25,0)+IF(AND(V394&lt;20,W394&gt;=55,W394&lt;105),0.2,0)+IF(AND(V394&lt;20,W394&gt;=105),0.15,0)+IF(AND(V394&gt;=20,V394&lt;40,W394&lt;45),0.25,0)+IF(AND(V394&gt;=20,V394&lt;40,W394&gt;=45,W394&lt;95),0.2,0)+IF(AND(V394&gt;=20,V394&lt;40,W394&gt;=95),0.15,0)+IF(AND(V394&gt;=40,V394&lt;75,W394&lt;35),0.25,0)+IF(AND(V394&gt;=40,V394&lt;75,W394&gt;=35,W394&lt;75),0.2,0)+IF(AND(V394&gt;=40,V394&lt;75,W394&gt;=75,W394&lt;120),0.15,0)+IF(AND(V394&gt;=40,V394&lt;75,W394&gt;=120),0.1,0)+IF(AND(V394&gt;=75,V394&lt;175,W394&lt;35),0.25,0)+IF(AND(V394&gt;=75,V394&lt;=175,W394&gt;=35,W394&lt;65),0.2,0)+IF(AND(V394&gt;=75,V394&lt;=175,W394&gt;=65,W394&lt;110),0.15,0)+IF(AND(V394&gt;=75,V394&lt;=175,W394&gt;=110),0.1,0)+IF(AND(V394&gt;175,W394&lt;25),0.25,0)+IF(AND(V394&gt;175,W394&gt;=25,W394&lt;55),0.2,0)+IF(AND(V394&gt;175,W394&gt;=55,W394&lt;95),0.15,0)+IF(AND(V394&gt;175,W394&gt;=95),0.1,0))))))))))))))))</f>
        <v>0.23</v>
      </c>
      <c r="Y394" s="30">
        <f>IF(AG394="None",0,IF(AG394="Fix5",0.05,IF(AG394="Fix3.75",0.0375,IF(AG394="Fix10",0.1,IF(AG394="Fix3",0.03,0)))))</f>
        <v>0</v>
      </c>
      <c r="Z394" s="35">
        <f>T394-AA394-AB394</f>
        <v>-656.81</v>
      </c>
      <c r="AA394" s="29">
        <f>IF(AD394="EUR",((T394-R394)*X394)*U394+(R394*X394),(T394*X394))</f>
        <v>-196.19</v>
      </c>
      <c r="AB394" s="36">
        <f>IF(AD394="EUR",((T394-R394)*Y394)*U394+(R394*Y394),(T394*Y394))</f>
        <v>0</v>
      </c>
      <c r="AC394" s="37" t="b">
        <v>1</v>
      </c>
      <c r="AD394" s="37" t="s">
        <v>38</v>
      </c>
      <c r="AE394" s="37" t="s">
        <v>38</v>
      </c>
      <c r="AF394" s="37" t="str">
        <f t="array" ref="AF394">INDEX('Deal Info'!D:D, MATCH(A394,'Deal Info'!A:A, 0))</f>
        <v>DoEVs1</v>
      </c>
      <c r="AG394" s="38" t="str">
        <f t="array" ref="AG394">INDEX('Deal Info'!G:G, MATCH(A394,'Deal Info'!A:A, 0))</f>
        <v>None</v>
      </c>
    </row>
    <row r="395" spans="1:33" ht="14.25" hidden="1" x14ac:dyDescent="0.2">
      <c r="A395" s="18" t="str">
        <f t="array" ref="A395">IF(G395='Room Info'!$B$1, INDEX('Room Info'!$A$2:$A2446, MATCH(B395,'Room Info'!$B$2:$B2446, 0)),IF(G395='Room Info'!$C$1, INDEX('Room Info'!$A$2:$A2446, MATCH(B395,'Room Info'!$C$2:$C2446, 0)),IF(G395='Room Info'!$D$1, INDEX('Room Info'!$A$2:$A2446, MATCH(B395,'Room Info'!$D$2:$D2446, 0)),IF(G395='Room Info'!$E$1, INDEX('Room Info'!$A$2:$A2446, MATCH(B395,'Room Info'!$E$2:$E2446, 0)),IF(G395='Room Info'!$F$1, INDEX('Room Info'!$A$2:$A2446, MATCH(B395,'Room Info'!$F$2:$F2446, 0)),IF(G395='Room Info'!$H$1, INDEX('Room Info'!$A$2:$A2446, MATCH(B395,'Room Info'!$H$2:$H2446, 0)),IF(G395='Room Info'!$G$1, INDEX('Room Info'!$A$2:$A2446, MATCH(B395,'Room Info'!$G$2:$G2446, 0)))))))))</f>
        <v>S1lense</v>
      </c>
      <c r="B395" s="45" t="s">
        <v>124</v>
      </c>
      <c r="C395" s="46">
        <v>44916</v>
      </c>
      <c r="D395" s="46">
        <v>44946</v>
      </c>
      <c r="E395" s="47">
        <v>44927</v>
      </c>
      <c r="F395" s="48" t="s">
        <v>34</v>
      </c>
      <c r="G395" s="54" t="s">
        <v>35</v>
      </c>
      <c r="H395" s="49" t="s">
        <v>90</v>
      </c>
      <c r="I395" s="49" t="s">
        <v>44</v>
      </c>
      <c r="J395" s="50">
        <v>5</v>
      </c>
      <c r="K395" s="51">
        <v>4</v>
      </c>
      <c r="L395" s="52">
        <v>-10</v>
      </c>
      <c r="M395" s="53">
        <v>1</v>
      </c>
      <c r="N395" s="28">
        <f>K395*J395</f>
        <v>20</v>
      </c>
      <c r="O395" s="54">
        <v>-100</v>
      </c>
      <c r="P395" s="29">
        <v>-25</v>
      </c>
      <c r="Q395" s="55"/>
      <c r="R395" s="31">
        <f>M395+Q395</f>
        <v>1</v>
      </c>
      <c r="S395" s="56">
        <v>-3</v>
      </c>
      <c r="T395" s="32">
        <f>R395+S395+IF(F395="Without EV deal",L395,0)</f>
        <v>-2</v>
      </c>
      <c r="U395" s="57">
        <v>1</v>
      </c>
      <c r="V395" s="58">
        <v>12</v>
      </c>
      <c r="W395" s="58">
        <v>101.5</v>
      </c>
      <c r="X395" s="30">
        <f>IF(AF395="DoEV",IF(AND(V395&lt;20,W395&lt;55),0.3,0)+IF(AND(V395&lt;20,W395&gt;=55,W395&lt;105),0.23,0)+IF(AND(V395&lt;20,W395&gt;=105),0.17,0)+IF(AND(V395&gt;=20,V395&lt;40,W395&lt;45),0.3,0)+IF(AND(V395&gt;=20,V395&lt;40,W395&gt;=45,W395&lt;95),0.23,0)+IF(AND(V395&gt;=20,V395&lt;40,W395&gt;=95),0.17,0)+IF(AND(V395&gt;=40,V395&lt;75,W395&lt;35),0.3,0)+IF(AND(V395&gt;=40,V395&lt;75,W395&gt;=35,W395&lt;75),0.23,0)+IF(AND(V395&gt;=40,V395&lt;75,W395&gt;=75,W395&lt;120),0.17,0)+IF(AND(V395&gt;=40,V395&lt;75,W395&gt;=120),0.12,0)+IF(AND(V395&gt;=75,V395&lt;175,W395&lt;35),0.3,0)+IF(AND(V395&gt;=75,V395&lt;=175,W395&gt;=35,W395&lt;65),0.23,0)+IF(AND(V395&gt;=75,V395&lt;=175,W395&gt;=65,W395&lt;110),0.17,0)+IF(AND(V395&gt;=75,V395&lt;=175,W395&gt;=110),0.12,0)+IF(AND(V395&gt;175,W395&lt;25),0.3,0)+IF(AND(V395&gt;175,W395&gt;=25,W395&lt;55),0.23,0)+IF(AND(V395&gt;175,W395&gt;=55,W395&lt;95),0.17,0)+IF(AND(V395&gt;175,W395&gt;=95),0.12,0),
IF(AF395="Fix15",0.15,
IF(AF395="Fix11.25",0.1125,
IF(AF395="Fix10",0.1,
IF(AF395="Fix9",0.09,
IF(AF395="DoEV2017",IF(AND(W395&lt;74),0.2,0)+IF(AND(W395&gt;=74),0.17,0),
IF(AF395="SF",IF(AND(V395&lt;20,W395&lt;89),0.3,0)+IF(AND(V395&lt;20,W395&gt;=89),0.25,0)+IF(AND(V395&gt;=20,V395&lt;40,W395&lt;74),0.3,0)+IF(AND(V395&gt;=20,V395&lt;40,W395&gt;=75),0.22,0)+IF(AND(V395&gt;=40,V395&lt;75,W395&lt;75),0.26,0)+IF(AND(V395&gt;=40,V395&lt;75,W395&gt;=75),0.22,0)+IF(V395&gt;=75,0.22,0),
IF(AF395="DoEVold",IF(AND(V395&lt;40,W395&lt;35),0.35,0)+IF(AND(V395&lt;40,W395&gt;=35,W395&lt;75),0.25,0)+IF(AND(V395&lt;40,W395&gt;=75),0.17,0)+IF(AND(V395&gt;=40,V395&lt;75,W395&lt;25),0.35,0)+IF(AND(V395&gt;=40,V395&lt;75,W395&gt;=25,W395&lt;65),0.25,0)+IF(AND(V395&gt;=40,V395&lt;75,W395&gt;=65,W395&lt;100),0.17,0)+IF(AND(V395&gt;=40,V395&lt;75,W395&gt;=100),0.1,0)+IF(AND(V395&gt;=75,W395&lt;25),0.35,0)+IF(AND(V395&gt;=75,W395&gt;=25,W395&lt;60),0.25,0)+IF(AND(V395&gt;=75,W395&gt;=60,W395&lt;95),0.17,0)+IF(AND(V395&gt;=75,W395&gt;=95),0.1,0),
IF(AF395="DoEVold15",IF(AND(V395&lt;=40,W395&lt;35),0.35,0)+IF(AND(V395&lt;=40,W395&gt;=35,W395&lt;75),0.25,0)+IF(AND(V395&lt;=40,W395&gt;=75,W395&lt;120),0.17,0)+IF(AND(V395&lt;=40,W395&gt;=120),0.15,0)+IF(AND(V395&gt;40,V395&lt;75,W395&lt;25),0.35,0)+IF(AND(V395&gt;=40,V395&lt;75,W395&gt;=25,W395&lt;65),0.25,0)+IF(AND(V395&gt;=40,V395&lt;75,W395&gt;=65,W395&lt;100),0.17,0)+IF(AND(V395&gt;=40,V395&lt;75,W395&gt;=100),0.1,0)+IF(AND(V395&gt;=75,W395&lt;25),0.35,0)+IF(AND(V395&gt;=75,W395&gt;=25,W395&lt;60),0.25,0)+IF(AND(V395&gt;=75,W395&gt;=60,W395&lt;95),0.17,0)+IF(AND(V395&gt;=75,W395&gt;=95),0.1,0),
IF(AF395="DoEVba",IF(AND(V395&lt;20,W395&lt;105),0.2,0)+IF(AND(V395&lt;20,W395&gt;=105),0.15,0)+IF(AND(V395&gt;=20,V395&lt;40,W395&lt;95),0.2,0)+IF(AND(V395&gt;=20,V395&lt;40,W395&gt;=95,W395&lt;150),0.15,0)+IF(AND(V395&gt;=20,V395&lt;40,W395&gt;=150),0.12,0)+IF(AND(V395&gt;=40,V395&lt;75,W395&lt;75),0.2,0)+IF(AND(V395&gt;=40,V395&lt;75,W395&gt;=75,W395&lt;120),0.15,0)+IF(AND(V395&gt;=40,V395&lt;75,W395&gt;=120),0.12,0)+IF(AND(V395&gt;=75,V395&lt;175,W395&lt;65),0.2,0)+IF(AND(V395&gt;=75,V395&lt;175,W395&gt;=65,W395&lt;110),0.15,0)+IF(AND(V395&gt;=75,V395&lt;175,W395&gt;=110),0.12,0)+IF(AND(V395&gt;=175,W395&lt;55),0.2,0)+IF(AND(V395&gt;=175,W395&gt;=55,W395&lt;95),0.15,0)+IF(AND(V395&gt;=175,W395&gt;=95),0.12,0),
IF(AF395="DoEVku",IF(AND(V395&lt;20,W395&lt;55),0.23,0)+IF(AND(V395&lt;20,W395&gt;=55,W395&lt;105),0.2,0)+IF(AND(V395&lt;20,W395&gt;=105),0.17,0)+IF(AND(V395&gt;=20,V395&lt;40,W395&lt;45),0.23,0)+IF(AND(V395&gt;=20,V395&lt;40,W395&gt;=45,W395&lt;95),0.2,0)+IF(AND(V395&gt;=20,V395&lt;40,W395&gt;=95,W395&lt;=150),0.17,0)+IF(AND(V395&gt;=20,V395&lt;40,W395&gt;=150),0.12,0)+IF(AND(V395&gt;=40,V395&lt;75,W395&lt;35),0.23,0)+IF(AND(V395&gt;=40,V395&lt;75,W395&gt;=35,W395&lt;75),0.2,0)+IF(AND(V395&gt;=40,V395&lt;75,W395&gt;=75,W395&lt;120),0.17,0)+IF(AND(V395&gt;=40,V395&lt;75,W395&gt;=120),0.12,0)+IF(AND(V395&gt;=75,V395&lt;175,W395&lt;35),0.23,0)+IF(AND(V395&gt;=75,V395&lt;=175,W395&gt;=35,W395&lt;65),0.2,0)+IF(AND(V395&gt;=75,V395&lt;=175,W395&gt;=65,W395&lt;110),0.17,0)+IF(AND(V395&gt;=75,V395&lt;=175,W395&gt;=110),0.12,0)+IF(AND(V395&gt;175,W395&lt;25),0.23,0)+IF(AND(V395&gt;175,W395&gt;=25,W395&lt;55),0.2,0)+IF(AND(V395&gt;175,W395&gt;=55,W395&lt;95),0.17,0)+IF(AND(V395&gt;175,W395&gt;=95),0.12,0),
IF(AF395="DoEVs1",IF(AND(V395&lt;20,W395&lt;55),0.3,0)+IF(AND(V395&lt;20,W395&gt;=55,W395&lt;105),0.23,0)+IF(AND(V395&lt;20,W395&gt;=105),0.17,0)+IF(AND(V395&gt;=20,V395&lt;40,W395&lt;45),0.3,0)+IF(AND(V395&gt;=20,V395&lt;40,W395&gt;=45,W395&lt;95),0.23,0)+IF(AND(V395&gt;=20,V395&lt;40,W395&gt;=95,W395&lt;=150),0.17,0)+IF(AND(V395&gt;=20,V395&lt;40,W395&gt;=150),0.12,0)+IF(AND(V395&gt;=40,V395&lt;75,W395&lt;35),0.3,0)+IF(AND(V395&gt;=40,V395&lt;75,W395&gt;=35,W395&lt;75),0.23,0)+IF(AND(V395&gt;=40,V395&lt;75,W395&gt;=75,W395&lt;120),0.17,0)+IF(AND(V395&gt;=40,V395&lt;75,W395&gt;=120),0.12,0)+IF(AND(V395&gt;=75,V395&lt;175,W395&lt;35),0.3,0)+IF(AND(V395&gt;=75,V395&lt;=175,W395&gt;=35,W395&lt;65),0.23,0)+IF(AND(V395&gt;=75,V395&lt;=175,W395&gt;=65,W395&lt;110),0.17,0)+IF(AND(V395&gt;=75,V395&lt;=175,W395&gt;=110),0.12,0)+IF(AND(V395&gt;175,W395&lt;25),0.3,0)+IF(AND(V395&gt;175,W395&gt;=25,W395&lt;55),0.23,0)+IF(AND(V395&gt;175,W395&gt;=55,W395&lt;95),0.17,0)+IF(AND(V395&gt;175,W395&gt;=95),0.12,0),
IF(AF395="DoEVsu",IF(AND(V395&lt;20,W395&lt;55),0.3,0)+IF(AND(V395&lt;20,W395&gt;=55,W395&lt;105),0.23,0)+IF(AND(V395&lt;20,W395&gt;=105),0.17,0)+IF(AND(V395&gt;=20,V395&lt;40,W395&lt;45),0.3,0)+IF(AND(V395&gt;=20,V395&lt;40,W395&gt;=45,W395&lt;95),0.23,0)+IF(AND(V395&gt;=20,V395&lt;40,W395&gt;=95,W395&lt;=250),0.17,0)+IF(AND(V395&gt;=20,V395&lt;40,W395&gt;=250),0.12,0)+IF(AND(V395&gt;=40,V395&lt;75,W395&lt;35),0.3,0)+IF(AND(V395&gt;=40,V395&lt;75,W395&gt;=35,W395&lt;75),0.23,0)+IF(AND(V395&gt;=40,V395&lt;75,W395&gt;=75,W395&lt;120),0.17,0)+IF(AND(V395&gt;=40,V395&lt;75,W395&gt;=120),0.12,0)+IF(AND(V395&gt;=75,V395&lt;175,W395&lt;35),0.3,0)+IF(AND(V395&gt;=75,V395&lt;=175,W395&gt;=35,W395&lt;65),0.23,0)+IF(AND(V395&gt;=75,V395&lt;=175,W395&gt;=65,W395&lt;110),0.17,0)+IF(AND(V395&gt;=75,V395&lt;=175,W395&gt;=110),0.12,0)+IF(AND(V395&gt;175,W395&lt;25),0.3,0)+IF(AND(V395&gt;175,W395&gt;=25,W395&lt;55),0.23,0)+IF(AND(V395&gt;175,W395&gt;=55,W395&lt;95),0.17,0)+IF(AND(V395&gt;175,W395&gt;=95),0.12,0),
IF(AF395="DoEVni",IF(AND(V395&lt;20,W395&lt;55),0.3,0)+IF(AND(V395&lt;20,W395&gt;=55,W395&lt;105),0.23,0)+IF(AND(V395&lt;20,W395&gt;=105),0.17,0)+IF(AND(V395&gt;=20,V395&lt;40,W395&lt;45),0.3,0)+IF(AND(V395&gt;=20,V395&lt;40,W395&gt;=45,W395&lt;95),0.23,0)+IF(AND(V395&gt;=20,V395&lt;40,W395&gt;=95,W395&lt;=200),0.17,0)+IF(AND(V395&gt;=20,V395&lt;40,W395&gt;=200),0.12,0)+IF(AND(V395&gt;=40,V395&lt;75,W395&lt;35),0.3,0)+IF(AND(V395&gt;=40,V395&lt;75,W395&gt;=35,W395&lt;75),0.23,0)+IF(AND(V395&gt;=40,V395&lt;75,W395&gt;=75,W395&lt;120),0.17,0)+IF(AND(V395&gt;=40,V395&lt;75,W395&gt;=120),0.12,0)+IF(AND(V395&gt;=75,V395&lt;175,W395&lt;35),0.3,0)+IF(AND(V395&gt;=75,V395&lt;=175,W395&gt;=35,W395&lt;65),0.23,0)+IF(AND(V395&gt;=75,V395&lt;=175,W395&gt;=65,W395&lt;110),0.17,0)+IF(AND(V395&gt;=75,V395&lt;=175,W395&gt;=110),0.12,0)+IF(AND(V395&gt;175,W395&lt;25),0.3,0)+IF(AND(V395&gt;175,W395&gt;=25,W395&lt;55),0.23,0)+IF(AND(V395&gt;175,W395&gt;=55,W395&lt;95),0.17,0)+IF(AND(V395&gt;175,W395&gt;=95),0.12,0),
IF(AF395="DoEVLo",IF(AND(V395&lt;20,W395&lt;55),0.25,0)+IF(AND(V395&lt;20,W395&gt;=55,W395&lt;105),0.2,0)+IF(AND(V395&lt;20,W395&gt;=105),0.15,0)+IF(AND(V395&gt;=20,V395&lt;40,W395&lt;45),0.25,0)+IF(AND(V395&gt;=20,V395&lt;40,W395&gt;=45,W395&lt;95),0.2,0)+IF(AND(V395&gt;=20,V395&lt;40,W395&gt;=95),0.15,0)+IF(AND(V395&gt;=40,V395&lt;75,W395&lt;35),0.25,0)+IF(AND(V395&gt;=40,V395&lt;75,W395&gt;=35,W395&lt;75),0.2,0)+IF(AND(V395&gt;=40,V395&lt;75,W395&gt;=75,W395&lt;120),0.15,0)+IF(AND(V395&gt;=40,V395&lt;75,W395&gt;=120),0.1,0)+IF(AND(V395&gt;=75,V395&lt;175,W395&lt;35),0.25,0)+IF(AND(V395&gt;=75,V395&lt;=175,W395&gt;=35,W395&lt;65),0.2,0)+IF(AND(V395&gt;=75,V395&lt;=175,W395&gt;=65,W395&lt;110),0.15,0)+IF(AND(V395&gt;=75,V395&lt;=175,W395&gt;=110),0.1,0)+IF(AND(V395&gt;175,W395&lt;25),0.25,0)+IF(AND(V395&gt;175,W395&gt;=25,W395&lt;55),0.2,0)+IF(AND(V395&gt;175,W395&gt;=55,W395&lt;95),0.15,0)+IF(AND(V395&gt;175,W395&gt;=95),0.1,0))))))))))))))))</f>
        <v>0.23</v>
      </c>
      <c r="Y395" s="30">
        <f>IF(AG395="None",0,IF(AG395="Fix5",0.05,IF(AG395="Fix3.75",0.0375,IF(AG395="Fix10",0.1,IF(AG395="Fix3",0.03,0)))))</f>
        <v>0</v>
      </c>
      <c r="Z395" s="35">
        <f>T395-AA395-AB395</f>
        <v>-1.54</v>
      </c>
      <c r="AA395" s="29">
        <f>IF(AD395="EUR",((T395-R395)*X395)*U395+(R395*X395),(T395*X395))</f>
        <v>-0.46</v>
      </c>
      <c r="AB395" s="36">
        <f>IF(AD395="EUR",((T395-R395)*Y395)*U395+(R395*Y395),(T395*Y395))</f>
        <v>0</v>
      </c>
      <c r="AC395" s="37" t="b">
        <v>1</v>
      </c>
      <c r="AD395" s="37" t="s">
        <v>38</v>
      </c>
      <c r="AE395" s="37" t="s">
        <v>38</v>
      </c>
      <c r="AF395" s="37" t="str">
        <f t="array" ref="AF395">INDEX('Deal Info'!D:D, MATCH(A395,'Deal Info'!A:A, 0))</f>
        <v>DoEVs1</v>
      </c>
      <c r="AG395" s="38" t="str">
        <f t="array" ref="AG395">INDEX('Deal Info'!G:G, MATCH(A395,'Deal Info'!A:A, 0))</f>
        <v>None</v>
      </c>
    </row>
    <row r="396" spans="1:33" ht="14.25" hidden="1" x14ac:dyDescent="0.2">
      <c r="A396" s="18" t="str">
        <f t="array" ref="A396">IF(G396='Room Info'!$B$1, INDEX('Room Info'!$A$2:$A2446, MATCH(B396,'Room Info'!$B$2:$B2446, 0)),IF(G396='Room Info'!$C$1, INDEX('Room Info'!$A$2:$A2446, MATCH(B396,'Room Info'!$C$2:$C2446, 0)),IF(G396='Room Info'!$D$1, INDEX('Room Info'!$A$2:$A2446, MATCH(B396,'Room Info'!$D$2:$D2446, 0)),IF(G396='Room Info'!$E$1, INDEX('Room Info'!$A$2:$A2446, MATCH(B396,'Room Info'!$E$2:$E2446, 0)),IF(G396='Room Info'!$F$1, INDEX('Room Info'!$A$2:$A2446, MATCH(B396,'Room Info'!$F$2:$F2446, 0)),IF(G396='Room Info'!$H$1, INDEX('Room Info'!$A$2:$A2446, MATCH(B396,'Room Info'!$H$2:$H2446, 0)),IF(G396='Room Info'!$G$1, INDEX('Room Info'!$A$2:$A2446, MATCH(B396,'Room Info'!$G$2:$G2446, 0)))))))))</f>
        <v>S1lense</v>
      </c>
      <c r="B396" s="45" t="s">
        <v>124</v>
      </c>
      <c r="C396" s="46">
        <v>44916</v>
      </c>
      <c r="D396" s="46">
        <v>44946</v>
      </c>
      <c r="E396" s="47">
        <v>44927</v>
      </c>
      <c r="F396" s="48" t="s">
        <v>34</v>
      </c>
      <c r="G396" s="54" t="s">
        <v>35</v>
      </c>
      <c r="H396" s="49" t="s">
        <v>115</v>
      </c>
      <c r="I396" s="49" t="s">
        <v>44</v>
      </c>
      <c r="J396" s="50">
        <v>10</v>
      </c>
      <c r="K396" s="51">
        <v>18713</v>
      </c>
      <c r="L396" s="52">
        <v>-10120</v>
      </c>
      <c r="M396" s="53">
        <v>9547</v>
      </c>
      <c r="N396" s="28">
        <f>K396*J396</f>
        <v>187130</v>
      </c>
      <c r="O396" s="54">
        <v>236421</v>
      </c>
      <c r="P396" s="29">
        <v>12.634051189999999</v>
      </c>
      <c r="Q396" s="55"/>
      <c r="R396" s="31">
        <f>M396+Q396</f>
        <v>9547</v>
      </c>
      <c r="S396" s="56">
        <v>-6259</v>
      </c>
      <c r="T396" s="32">
        <f>R396+S396+IF(F396="Without EV deal",L396,0)</f>
        <v>3288</v>
      </c>
      <c r="U396" s="57">
        <v>1</v>
      </c>
      <c r="V396" s="58">
        <v>12</v>
      </c>
      <c r="W396" s="58">
        <v>101.5</v>
      </c>
      <c r="X396" s="30">
        <f>IF(AF396="DoEV",IF(AND(V396&lt;20,W396&lt;55),0.3,0)+IF(AND(V396&lt;20,W396&gt;=55,W396&lt;105),0.23,0)+IF(AND(V396&lt;20,W396&gt;=105),0.17,0)+IF(AND(V396&gt;=20,V396&lt;40,W396&lt;45),0.3,0)+IF(AND(V396&gt;=20,V396&lt;40,W396&gt;=45,W396&lt;95),0.23,0)+IF(AND(V396&gt;=20,V396&lt;40,W396&gt;=95),0.17,0)+IF(AND(V396&gt;=40,V396&lt;75,W396&lt;35),0.3,0)+IF(AND(V396&gt;=40,V396&lt;75,W396&gt;=35,W396&lt;75),0.23,0)+IF(AND(V396&gt;=40,V396&lt;75,W396&gt;=75,W396&lt;120),0.17,0)+IF(AND(V396&gt;=40,V396&lt;75,W396&gt;=120),0.12,0)+IF(AND(V396&gt;=75,V396&lt;175,W396&lt;35),0.3,0)+IF(AND(V396&gt;=75,V396&lt;=175,W396&gt;=35,W396&lt;65),0.23,0)+IF(AND(V396&gt;=75,V396&lt;=175,W396&gt;=65,W396&lt;110),0.17,0)+IF(AND(V396&gt;=75,V396&lt;=175,W396&gt;=110),0.12,0)+IF(AND(V396&gt;175,W396&lt;25),0.3,0)+IF(AND(V396&gt;175,W396&gt;=25,W396&lt;55),0.23,0)+IF(AND(V396&gt;175,W396&gt;=55,W396&lt;95),0.17,0)+IF(AND(V396&gt;175,W396&gt;=95),0.12,0),
IF(AF396="Fix15",0.15,
IF(AF396="Fix11.25",0.1125,
IF(AF396="Fix10",0.1,
IF(AF396="Fix9",0.09,
IF(AF396="DoEV2017",IF(AND(W396&lt;74),0.2,0)+IF(AND(W396&gt;=74),0.17,0),
IF(AF396="SF",IF(AND(V396&lt;20,W396&lt;89),0.3,0)+IF(AND(V396&lt;20,W396&gt;=89),0.25,0)+IF(AND(V396&gt;=20,V396&lt;40,W396&lt;74),0.3,0)+IF(AND(V396&gt;=20,V396&lt;40,W396&gt;=75),0.22,0)+IF(AND(V396&gt;=40,V396&lt;75,W396&lt;75),0.26,0)+IF(AND(V396&gt;=40,V396&lt;75,W396&gt;=75),0.22,0)+IF(V396&gt;=75,0.22,0),
IF(AF396="DoEVold",IF(AND(V396&lt;40,W396&lt;35),0.35,0)+IF(AND(V396&lt;40,W396&gt;=35,W396&lt;75),0.25,0)+IF(AND(V396&lt;40,W396&gt;=75),0.17,0)+IF(AND(V396&gt;=40,V396&lt;75,W396&lt;25),0.35,0)+IF(AND(V396&gt;=40,V396&lt;75,W396&gt;=25,W396&lt;65),0.25,0)+IF(AND(V396&gt;=40,V396&lt;75,W396&gt;=65,W396&lt;100),0.17,0)+IF(AND(V396&gt;=40,V396&lt;75,W396&gt;=100),0.1,0)+IF(AND(V396&gt;=75,W396&lt;25),0.35,0)+IF(AND(V396&gt;=75,W396&gt;=25,W396&lt;60),0.25,0)+IF(AND(V396&gt;=75,W396&gt;=60,W396&lt;95),0.17,0)+IF(AND(V396&gt;=75,W396&gt;=95),0.1,0),
IF(AF396="DoEVold15",IF(AND(V396&lt;=40,W396&lt;35),0.35,0)+IF(AND(V396&lt;=40,W396&gt;=35,W396&lt;75),0.25,0)+IF(AND(V396&lt;=40,W396&gt;=75,W396&lt;120),0.17,0)+IF(AND(V396&lt;=40,W396&gt;=120),0.15,0)+IF(AND(V396&gt;40,V396&lt;75,W396&lt;25),0.35,0)+IF(AND(V396&gt;=40,V396&lt;75,W396&gt;=25,W396&lt;65),0.25,0)+IF(AND(V396&gt;=40,V396&lt;75,W396&gt;=65,W396&lt;100),0.17,0)+IF(AND(V396&gt;=40,V396&lt;75,W396&gt;=100),0.1,0)+IF(AND(V396&gt;=75,W396&lt;25),0.35,0)+IF(AND(V396&gt;=75,W396&gt;=25,W396&lt;60),0.25,0)+IF(AND(V396&gt;=75,W396&gt;=60,W396&lt;95),0.17,0)+IF(AND(V396&gt;=75,W396&gt;=95),0.1,0),
IF(AF396="DoEVba",IF(AND(V396&lt;20,W396&lt;105),0.2,0)+IF(AND(V396&lt;20,W396&gt;=105),0.15,0)+IF(AND(V396&gt;=20,V396&lt;40,W396&lt;95),0.2,0)+IF(AND(V396&gt;=20,V396&lt;40,W396&gt;=95,W396&lt;150),0.15,0)+IF(AND(V396&gt;=20,V396&lt;40,W396&gt;=150),0.12,0)+IF(AND(V396&gt;=40,V396&lt;75,W396&lt;75),0.2,0)+IF(AND(V396&gt;=40,V396&lt;75,W396&gt;=75,W396&lt;120),0.15,0)+IF(AND(V396&gt;=40,V396&lt;75,W396&gt;=120),0.12,0)+IF(AND(V396&gt;=75,V396&lt;175,W396&lt;65),0.2,0)+IF(AND(V396&gt;=75,V396&lt;175,W396&gt;=65,W396&lt;110),0.15,0)+IF(AND(V396&gt;=75,V396&lt;175,W396&gt;=110),0.12,0)+IF(AND(V396&gt;=175,W396&lt;55),0.2,0)+IF(AND(V396&gt;=175,W396&gt;=55,W396&lt;95),0.15,0)+IF(AND(V396&gt;=175,W396&gt;=95),0.12,0),
IF(AF396="DoEVku",IF(AND(V396&lt;20,W396&lt;55),0.23,0)+IF(AND(V396&lt;20,W396&gt;=55,W396&lt;105),0.2,0)+IF(AND(V396&lt;20,W396&gt;=105),0.17,0)+IF(AND(V396&gt;=20,V396&lt;40,W396&lt;45),0.23,0)+IF(AND(V396&gt;=20,V396&lt;40,W396&gt;=45,W396&lt;95),0.2,0)+IF(AND(V396&gt;=20,V396&lt;40,W396&gt;=95,W396&lt;=150),0.17,0)+IF(AND(V396&gt;=20,V396&lt;40,W396&gt;=150),0.12,0)+IF(AND(V396&gt;=40,V396&lt;75,W396&lt;35),0.23,0)+IF(AND(V396&gt;=40,V396&lt;75,W396&gt;=35,W396&lt;75),0.2,0)+IF(AND(V396&gt;=40,V396&lt;75,W396&gt;=75,W396&lt;120),0.17,0)+IF(AND(V396&gt;=40,V396&lt;75,W396&gt;=120),0.12,0)+IF(AND(V396&gt;=75,V396&lt;175,W396&lt;35),0.23,0)+IF(AND(V396&gt;=75,V396&lt;=175,W396&gt;=35,W396&lt;65),0.2,0)+IF(AND(V396&gt;=75,V396&lt;=175,W396&gt;=65,W396&lt;110),0.17,0)+IF(AND(V396&gt;=75,V396&lt;=175,W396&gt;=110),0.12,0)+IF(AND(V396&gt;175,W396&lt;25),0.23,0)+IF(AND(V396&gt;175,W396&gt;=25,W396&lt;55),0.2,0)+IF(AND(V396&gt;175,W396&gt;=55,W396&lt;95),0.17,0)+IF(AND(V396&gt;175,W396&gt;=95),0.12,0),
IF(AF396="DoEVs1",IF(AND(V396&lt;20,W396&lt;55),0.3,0)+IF(AND(V396&lt;20,W396&gt;=55,W396&lt;105),0.23,0)+IF(AND(V396&lt;20,W396&gt;=105),0.17,0)+IF(AND(V396&gt;=20,V396&lt;40,W396&lt;45),0.3,0)+IF(AND(V396&gt;=20,V396&lt;40,W396&gt;=45,W396&lt;95),0.23,0)+IF(AND(V396&gt;=20,V396&lt;40,W396&gt;=95,W396&lt;=150),0.17,0)+IF(AND(V396&gt;=20,V396&lt;40,W396&gt;=150),0.12,0)+IF(AND(V396&gt;=40,V396&lt;75,W396&lt;35),0.3,0)+IF(AND(V396&gt;=40,V396&lt;75,W396&gt;=35,W396&lt;75),0.23,0)+IF(AND(V396&gt;=40,V396&lt;75,W396&gt;=75,W396&lt;120),0.17,0)+IF(AND(V396&gt;=40,V396&lt;75,W396&gt;=120),0.12,0)+IF(AND(V396&gt;=75,V396&lt;175,W396&lt;35),0.3,0)+IF(AND(V396&gt;=75,V396&lt;=175,W396&gt;=35,W396&lt;65),0.23,0)+IF(AND(V396&gt;=75,V396&lt;=175,W396&gt;=65,W396&lt;110),0.17,0)+IF(AND(V396&gt;=75,V396&lt;=175,W396&gt;=110),0.12,0)+IF(AND(V396&gt;175,W396&lt;25),0.3,0)+IF(AND(V396&gt;175,W396&gt;=25,W396&lt;55),0.23,0)+IF(AND(V396&gt;175,W396&gt;=55,W396&lt;95),0.17,0)+IF(AND(V396&gt;175,W396&gt;=95),0.12,0),
IF(AF396="DoEVsu",IF(AND(V396&lt;20,W396&lt;55),0.3,0)+IF(AND(V396&lt;20,W396&gt;=55,W396&lt;105),0.23,0)+IF(AND(V396&lt;20,W396&gt;=105),0.17,0)+IF(AND(V396&gt;=20,V396&lt;40,W396&lt;45),0.3,0)+IF(AND(V396&gt;=20,V396&lt;40,W396&gt;=45,W396&lt;95),0.23,0)+IF(AND(V396&gt;=20,V396&lt;40,W396&gt;=95,W396&lt;=250),0.17,0)+IF(AND(V396&gt;=20,V396&lt;40,W396&gt;=250),0.12,0)+IF(AND(V396&gt;=40,V396&lt;75,W396&lt;35),0.3,0)+IF(AND(V396&gt;=40,V396&lt;75,W396&gt;=35,W396&lt;75),0.23,0)+IF(AND(V396&gt;=40,V396&lt;75,W396&gt;=75,W396&lt;120),0.17,0)+IF(AND(V396&gt;=40,V396&lt;75,W396&gt;=120),0.12,0)+IF(AND(V396&gt;=75,V396&lt;175,W396&lt;35),0.3,0)+IF(AND(V396&gt;=75,V396&lt;=175,W396&gt;=35,W396&lt;65),0.23,0)+IF(AND(V396&gt;=75,V396&lt;=175,W396&gt;=65,W396&lt;110),0.17,0)+IF(AND(V396&gt;=75,V396&lt;=175,W396&gt;=110),0.12,0)+IF(AND(V396&gt;175,W396&lt;25),0.3,0)+IF(AND(V396&gt;175,W396&gt;=25,W396&lt;55),0.23,0)+IF(AND(V396&gt;175,W396&gt;=55,W396&lt;95),0.17,0)+IF(AND(V396&gt;175,W396&gt;=95),0.12,0),
IF(AF396="DoEVni",IF(AND(V396&lt;20,W396&lt;55),0.3,0)+IF(AND(V396&lt;20,W396&gt;=55,W396&lt;105),0.23,0)+IF(AND(V396&lt;20,W396&gt;=105),0.17,0)+IF(AND(V396&gt;=20,V396&lt;40,W396&lt;45),0.3,0)+IF(AND(V396&gt;=20,V396&lt;40,W396&gt;=45,W396&lt;95),0.23,0)+IF(AND(V396&gt;=20,V396&lt;40,W396&gt;=95,W396&lt;=200),0.17,0)+IF(AND(V396&gt;=20,V396&lt;40,W396&gt;=200),0.12,0)+IF(AND(V396&gt;=40,V396&lt;75,W396&lt;35),0.3,0)+IF(AND(V396&gt;=40,V396&lt;75,W396&gt;=35,W396&lt;75),0.23,0)+IF(AND(V396&gt;=40,V396&lt;75,W396&gt;=75,W396&lt;120),0.17,0)+IF(AND(V396&gt;=40,V396&lt;75,W396&gt;=120),0.12,0)+IF(AND(V396&gt;=75,V396&lt;175,W396&lt;35),0.3,0)+IF(AND(V396&gt;=75,V396&lt;=175,W396&gt;=35,W396&lt;65),0.23,0)+IF(AND(V396&gt;=75,V396&lt;=175,W396&gt;=65,W396&lt;110),0.17,0)+IF(AND(V396&gt;=75,V396&lt;=175,W396&gt;=110),0.12,0)+IF(AND(V396&gt;175,W396&lt;25),0.3,0)+IF(AND(V396&gt;175,W396&gt;=25,W396&lt;55),0.23,0)+IF(AND(V396&gt;175,W396&gt;=55,W396&lt;95),0.17,0)+IF(AND(V396&gt;175,W396&gt;=95),0.12,0),
IF(AF396="DoEVLo",IF(AND(V396&lt;20,W396&lt;55),0.25,0)+IF(AND(V396&lt;20,W396&gt;=55,W396&lt;105),0.2,0)+IF(AND(V396&lt;20,W396&gt;=105),0.15,0)+IF(AND(V396&gt;=20,V396&lt;40,W396&lt;45),0.25,0)+IF(AND(V396&gt;=20,V396&lt;40,W396&gt;=45,W396&lt;95),0.2,0)+IF(AND(V396&gt;=20,V396&lt;40,W396&gt;=95),0.15,0)+IF(AND(V396&gt;=40,V396&lt;75,W396&lt;35),0.25,0)+IF(AND(V396&gt;=40,V396&lt;75,W396&gt;=35,W396&lt;75),0.2,0)+IF(AND(V396&gt;=40,V396&lt;75,W396&gt;=75,W396&lt;120),0.15,0)+IF(AND(V396&gt;=40,V396&lt;75,W396&gt;=120),0.1,0)+IF(AND(V396&gt;=75,V396&lt;175,W396&lt;35),0.25,0)+IF(AND(V396&gt;=75,V396&lt;=175,W396&gt;=35,W396&lt;65),0.2,0)+IF(AND(V396&gt;=75,V396&lt;=175,W396&gt;=65,W396&lt;110),0.15,0)+IF(AND(V396&gt;=75,V396&lt;=175,W396&gt;=110),0.1,0)+IF(AND(V396&gt;175,W396&lt;25),0.25,0)+IF(AND(V396&gt;175,W396&gt;=25,W396&lt;55),0.2,0)+IF(AND(V396&gt;175,W396&gt;=55,W396&lt;95),0.15,0)+IF(AND(V396&gt;175,W396&gt;=95),0.1,0))))))))))))))))</f>
        <v>0.23</v>
      </c>
      <c r="Y396" s="30">
        <f>IF(AG396="None",0,IF(AG396="Fix5",0.05,IF(AG396="Fix3.75",0.0375,IF(AG396="Fix10",0.1,IF(AG396="Fix3",0.03,0)))))</f>
        <v>0</v>
      </c>
      <c r="Z396" s="35">
        <f>T396-AA396-AB396</f>
        <v>2531.7600000000002</v>
      </c>
      <c r="AA396" s="29">
        <f>IF(AD396="EUR",((T396-R396)*X396)*U396+(R396*X396),(T396*X396))</f>
        <v>756.24</v>
      </c>
      <c r="AB396" s="36">
        <f>IF(AD396="EUR",((T396-R396)*Y396)*U396+(R396*Y396),(T396*Y396))</f>
        <v>0</v>
      </c>
      <c r="AC396" s="37" t="b">
        <v>1</v>
      </c>
      <c r="AD396" s="37" t="s">
        <v>38</v>
      </c>
      <c r="AE396" s="37" t="s">
        <v>38</v>
      </c>
      <c r="AF396" s="37" t="str">
        <f t="array" ref="AF396">INDEX('Deal Info'!D:D, MATCH(A396,'Deal Info'!A:A, 0))</f>
        <v>DoEVs1</v>
      </c>
      <c r="AG396" s="38" t="str">
        <f t="array" ref="AG396">INDEX('Deal Info'!G:G, MATCH(A396,'Deal Info'!A:A, 0))</f>
        <v>None</v>
      </c>
    </row>
    <row r="397" spans="1:33" ht="14.25" hidden="1" x14ac:dyDescent="0.2">
      <c r="A397" s="18" t="str">
        <f t="array" ref="A397">IF(G397='Room Info'!$B$1, INDEX('Room Info'!$A$2:$A2446, MATCH(B397,'Room Info'!$B$2:$B2446, 0)),IF(G397='Room Info'!$C$1, INDEX('Room Info'!$A$2:$A2446, MATCH(B397,'Room Info'!$C$2:$C2446, 0)),IF(G397='Room Info'!$D$1, INDEX('Room Info'!$A$2:$A2446, MATCH(B397,'Room Info'!$D$2:$D2446, 0)),IF(G397='Room Info'!$E$1, INDEX('Room Info'!$A$2:$A2446, MATCH(B397,'Room Info'!$E$2:$E2446, 0)),IF(G397='Room Info'!$F$1, INDEX('Room Info'!$A$2:$A2446, MATCH(B397,'Room Info'!$F$2:$F2446, 0)),IF(G397='Room Info'!$H$1, INDEX('Room Info'!$A$2:$A2446, MATCH(B397,'Room Info'!$H$2:$H2446, 0)),IF(G397='Room Info'!$G$1, INDEX('Room Info'!$A$2:$A2446, MATCH(B397,'Room Info'!$G$2:$G2446, 0)))))))))</f>
        <v>S1lense</v>
      </c>
      <c r="B397" s="45" t="s">
        <v>124</v>
      </c>
      <c r="C397" s="46">
        <v>44916</v>
      </c>
      <c r="D397" s="46">
        <v>44946</v>
      </c>
      <c r="E397" s="47">
        <v>44927</v>
      </c>
      <c r="F397" s="48" t="s">
        <v>34</v>
      </c>
      <c r="G397" s="54" t="s">
        <v>35</v>
      </c>
      <c r="H397" s="49" t="s">
        <v>87</v>
      </c>
      <c r="I397" s="49" t="s">
        <v>44</v>
      </c>
      <c r="J397" s="50">
        <v>25</v>
      </c>
      <c r="K397" s="51">
        <v>5133</v>
      </c>
      <c r="L397" s="52">
        <v>-7125</v>
      </c>
      <c r="M397" s="53">
        <v>5612</v>
      </c>
      <c r="N397" s="28">
        <f>K397*J397</f>
        <v>128325</v>
      </c>
      <c r="O397" s="54">
        <v>42177</v>
      </c>
      <c r="P397" s="29">
        <v>8.2168322620000005</v>
      </c>
      <c r="Q397" s="55"/>
      <c r="R397" s="31">
        <f>M397+Q397</f>
        <v>5612</v>
      </c>
      <c r="S397" s="56">
        <v>-4707</v>
      </c>
      <c r="T397" s="32">
        <f>R397+S397+IF(F397="Without EV deal",L397,0)</f>
        <v>905</v>
      </c>
      <c r="U397" s="57">
        <v>1</v>
      </c>
      <c r="V397" s="58">
        <v>12</v>
      </c>
      <c r="W397" s="58">
        <v>101.5</v>
      </c>
      <c r="X397" s="30">
        <f>IF(AF397="DoEV",IF(AND(V397&lt;20,W397&lt;55),0.3,0)+IF(AND(V397&lt;20,W397&gt;=55,W397&lt;105),0.23,0)+IF(AND(V397&lt;20,W397&gt;=105),0.17,0)+IF(AND(V397&gt;=20,V397&lt;40,W397&lt;45),0.3,0)+IF(AND(V397&gt;=20,V397&lt;40,W397&gt;=45,W397&lt;95),0.23,0)+IF(AND(V397&gt;=20,V397&lt;40,W397&gt;=95),0.17,0)+IF(AND(V397&gt;=40,V397&lt;75,W397&lt;35),0.3,0)+IF(AND(V397&gt;=40,V397&lt;75,W397&gt;=35,W397&lt;75),0.23,0)+IF(AND(V397&gt;=40,V397&lt;75,W397&gt;=75,W397&lt;120),0.17,0)+IF(AND(V397&gt;=40,V397&lt;75,W397&gt;=120),0.12,0)+IF(AND(V397&gt;=75,V397&lt;175,W397&lt;35),0.3,0)+IF(AND(V397&gt;=75,V397&lt;=175,W397&gt;=35,W397&lt;65),0.23,0)+IF(AND(V397&gt;=75,V397&lt;=175,W397&gt;=65,W397&lt;110),0.17,0)+IF(AND(V397&gt;=75,V397&lt;=175,W397&gt;=110),0.12,0)+IF(AND(V397&gt;175,W397&lt;25),0.3,0)+IF(AND(V397&gt;175,W397&gt;=25,W397&lt;55),0.23,0)+IF(AND(V397&gt;175,W397&gt;=55,W397&lt;95),0.17,0)+IF(AND(V397&gt;175,W397&gt;=95),0.12,0),
IF(AF397="Fix15",0.15,
IF(AF397="Fix11.25",0.1125,
IF(AF397="Fix10",0.1,
IF(AF397="Fix9",0.09,
IF(AF397="DoEV2017",IF(AND(W397&lt;74),0.2,0)+IF(AND(W397&gt;=74),0.17,0),
IF(AF397="SF",IF(AND(V397&lt;20,W397&lt;89),0.3,0)+IF(AND(V397&lt;20,W397&gt;=89),0.25,0)+IF(AND(V397&gt;=20,V397&lt;40,W397&lt;74),0.3,0)+IF(AND(V397&gt;=20,V397&lt;40,W397&gt;=75),0.22,0)+IF(AND(V397&gt;=40,V397&lt;75,W397&lt;75),0.26,0)+IF(AND(V397&gt;=40,V397&lt;75,W397&gt;=75),0.22,0)+IF(V397&gt;=75,0.22,0),
IF(AF397="DoEVold",IF(AND(V397&lt;40,W397&lt;35),0.35,0)+IF(AND(V397&lt;40,W397&gt;=35,W397&lt;75),0.25,0)+IF(AND(V397&lt;40,W397&gt;=75),0.17,0)+IF(AND(V397&gt;=40,V397&lt;75,W397&lt;25),0.35,0)+IF(AND(V397&gt;=40,V397&lt;75,W397&gt;=25,W397&lt;65),0.25,0)+IF(AND(V397&gt;=40,V397&lt;75,W397&gt;=65,W397&lt;100),0.17,0)+IF(AND(V397&gt;=40,V397&lt;75,W397&gt;=100),0.1,0)+IF(AND(V397&gt;=75,W397&lt;25),0.35,0)+IF(AND(V397&gt;=75,W397&gt;=25,W397&lt;60),0.25,0)+IF(AND(V397&gt;=75,W397&gt;=60,W397&lt;95),0.17,0)+IF(AND(V397&gt;=75,W397&gt;=95),0.1,0),
IF(AF397="DoEVold15",IF(AND(V397&lt;=40,W397&lt;35),0.35,0)+IF(AND(V397&lt;=40,W397&gt;=35,W397&lt;75),0.25,0)+IF(AND(V397&lt;=40,W397&gt;=75,W397&lt;120),0.17,0)+IF(AND(V397&lt;=40,W397&gt;=120),0.15,0)+IF(AND(V397&gt;40,V397&lt;75,W397&lt;25),0.35,0)+IF(AND(V397&gt;=40,V397&lt;75,W397&gt;=25,W397&lt;65),0.25,0)+IF(AND(V397&gt;=40,V397&lt;75,W397&gt;=65,W397&lt;100),0.17,0)+IF(AND(V397&gt;=40,V397&lt;75,W397&gt;=100),0.1,0)+IF(AND(V397&gt;=75,W397&lt;25),0.35,0)+IF(AND(V397&gt;=75,W397&gt;=25,W397&lt;60),0.25,0)+IF(AND(V397&gt;=75,W397&gt;=60,W397&lt;95),0.17,0)+IF(AND(V397&gt;=75,W397&gt;=95),0.1,0),
IF(AF397="DoEVba",IF(AND(V397&lt;20,W397&lt;105),0.2,0)+IF(AND(V397&lt;20,W397&gt;=105),0.15,0)+IF(AND(V397&gt;=20,V397&lt;40,W397&lt;95),0.2,0)+IF(AND(V397&gt;=20,V397&lt;40,W397&gt;=95,W397&lt;150),0.15,0)+IF(AND(V397&gt;=20,V397&lt;40,W397&gt;=150),0.12,0)+IF(AND(V397&gt;=40,V397&lt;75,W397&lt;75),0.2,0)+IF(AND(V397&gt;=40,V397&lt;75,W397&gt;=75,W397&lt;120),0.15,0)+IF(AND(V397&gt;=40,V397&lt;75,W397&gt;=120),0.12,0)+IF(AND(V397&gt;=75,V397&lt;175,W397&lt;65),0.2,0)+IF(AND(V397&gt;=75,V397&lt;175,W397&gt;=65,W397&lt;110),0.15,0)+IF(AND(V397&gt;=75,V397&lt;175,W397&gt;=110),0.12,0)+IF(AND(V397&gt;=175,W397&lt;55),0.2,0)+IF(AND(V397&gt;=175,W397&gt;=55,W397&lt;95),0.15,0)+IF(AND(V397&gt;=175,W397&gt;=95),0.12,0),
IF(AF397="DoEVku",IF(AND(V397&lt;20,W397&lt;55),0.23,0)+IF(AND(V397&lt;20,W397&gt;=55,W397&lt;105),0.2,0)+IF(AND(V397&lt;20,W397&gt;=105),0.17,0)+IF(AND(V397&gt;=20,V397&lt;40,W397&lt;45),0.23,0)+IF(AND(V397&gt;=20,V397&lt;40,W397&gt;=45,W397&lt;95),0.2,0)+IF(AND(V397&gt;=20,V397&lt;40,W397&gt;=95,W397&lt;=150),0.17,0)+IF(AND(V397&gt;=20,V397&lt;40,W397&gt;=150),0.12,0)+IF(AND(V397&gt;=40,V397&lt;75,W397&lt;35),0.23,0)+IF(AND(V397&gt;=40,V397&lt;75,W397&gt;=35,W397&lt;75),0.2,0)+IF(AND(V397&gt;=40,V397&lt;75,W397&gt;=75,W397&lt;120),0.17,0)+IF(AND(V397&gt;=40,V397&lt;75,W397&gt;=120),0.12,0)+IF(AND(V397&gt;=75,V397&lt;175,W397&lt;35),0.23,0)+IF(AND(V397&gt;=75,V397&lt;=175,W397&gt;=35,W397&lt;65),0.2,0)+IF(AND(V397&gt;=75,V397&lt;=175,W397&gt;=65,W397&lt;110),0.17,0)+IF(AND(V397&gt;=75,V397&lt;=175,W397&gt;=110),0.12,0)+IF(AND(V397&gt;175,W397&lt;25),0.23,0)+IF(AND(V397&gt;175,W397&gt;=25,W397&lt;55),0.2,0)+IF(AND(V397&gt;175,W397&gt;=55,W397&lt;95),0.17,0)+IF(AND(V397&gt;175,W397&gt;=95),0.12,0),
IF(AF397="DoEVs1",IF(AND(V397&lt;20,W397&lt;55),0.3,0)+IF(AND(V397&lt;20,W397&gt;=55,W397&lt;105),0.23,0)+IF(AND(V397&lt;20,W397&gt;=105),0.17,0)+IF(AND(V397&gt;=20,V397&lt;40,W397&lt;45),0.3,0)+IF(AND(V397&gt;=20,V397&lt;40,W397&gt;=45,W397&lt;95),0.23,0)+IF(AND(V397&gt;=20,V397&lt;40,W397&gt;=95,W397&lt;=150),0.17,0)+IF(AND(V397&gt;=20,V397&lt;40,W397&gt;=150),0.12,0)+IF(AND(V397&gt;=40,V397&lt;75,W397&lt;35),0.3,0)+IF(AND(V397&gt;=40,V397&lt;75,W397&gt;=35,W397&lt;75),0.23,0)+IF(AND(V397&gt;=40,V397&lt;75,W397&gt;=75,W397&lt;120),0.17,0)+IF(AND(V397&gt;=40,V397&lt;75,W397&gt;=120),0.12,0)+IF(AND(V397&gt;=75,V397&lt;175,W397&lt;35),0.3,0)+IF(AND(V397&gt;=75,V397&lt;=175,W397&gt;=35,W397&lt;65),0.23,0)+IF(AND(V397&gt;=75,V397&lt;=175,W397&gt;=65,W397&lt;110),0.17,0)+IF(AND(V397&gt;=75,V397&lt;=175,W397&gt;=110),0.12,0)+IF(AND(V397&gt;175,W397&lt;25),0.3,0)+IF(AND(V397&gt;175,W397&gt;=25,W397&lt;55),0.23,0)+IF(AND(V397&gt;175,W397&gt;=55,W397&lt;95),0.17,0)+IF(AND(V397&gt;175,W397&gt;=95),0.12,0),
IF(AF397="DoEVsu",IF(AND(V397&lt;20,W397&lt;55),0.3,0)+IF(AND(V397&lt;20,W397&gt;=55,W397&lt;105),0.23,0)+IF(AND(V397&lt;20,W397&gt;=105),0.17,0)+IF(AND(V397&gt;=20,V397&lt;40,W397&lt;45),0.3,0)+IF(AND(V397&gt;=20,V397&lt;40,W397&gt;=45,W397&lt;95),0.23,0)+IF(AND(V397&gt;=20,V397&lt;40,W397&gt;=95,W397&lt;=250),0.17,0)+IF(AND(V397&gt;=20,V397&lt;40,W397&gt;=250),0.12,0)+IF(AND(V397&gt;=40,V397&lt;75,W397&lt;35),0.3,0)+IF(AND(V397&gt;=40,V397&lt;75,W397&gt;=35,W397&lt;75),0.23,0)+IF(AND(V397&gt;=40,V397&lt;75,W397&gt;=75,W397&lt;120),0.17,0)+IF(AND(V397&gt;=40,V397&lt;75,W397&gt;=120),0.12,0)+IF(AND(V397&gt;=75,V397&lt;175,W397&lt;35),0.3,0)+IF(AND(V397&gt;=75,V397&lt;=175,W397&gt;=35,W397&lt;65),0.23,0)+IF(AND(V397&gt;=75,V397&lt;=175,W397&gt;=65,W397&lt;110),0.17,0)+IF(AND(V397&gt;=75,V397&lt;=175,W397&gt;=110),0.12,0)+IF(AND(V397&gt;175,W397&lt;25),0.3,0)+IF(AND(V397&gt;175,W397&gt;=25,W397&lt;55),0.23,0)+IF(AND(V397&gt;175,W397&gt;=55,W397&lt;95),0.17,0)+IF(AND(V397&gt;175,W397&gt;=95),0.12,0),
IF(AF397="DoEVni",IF(AND(V397&lt;20,W397&lt;55),0.3,0)+IF(AND(V397&lt;20,W397&gt;=55,W397&lt;105),0.23,0)+IF(AND(V397&lt;20,W397&gt;=105),0.17,0)+IF(AND(V397&gt;=20,V397&lt;40,W397&lt;45),0.3,0)+IF(AND(V397&gt;=20,V397&lt;40,W397&gt;=45,W397&lt;95),0.23,0)+IF(AND(V397&gt;=20,V397&lt;40,W397&gt;=95,W397&lt;=200),0.17,0)+IF(AND(V397&gt;=20,V397&lt;40,W397&gt;=200),0.12,0)+IF(AND(V397&gt;=40,V397&lt;75,W397&lt;35),0.3,0)+IF(AND(V397&gt;=40,V397&lt;75,W397&gt;=35,W397&lt;75),0.23,0)+IF(AND(V397&gt;=40,V397&lt;75,W397&gt;=75,W397&lt;120),0.17,0)+IF(AND(V397&gt;=40,V397&lt;75,W397&gt;=120),0.12,0)+IF(AND(V397&gt;=75,V397&lt;175,W397&lt;35),0.3,0)+IF(AND(V397&gt;=75,V397&lt;=175,W397&gt;=35,W397&lt;65),0.23,0)+IF(AND(V397&gt;=75,V397&lt;=175,W397&gt;=65,W397&lt;110),0.17,0)+IF(AND(V397&gt;=75,V397&lt;=175,W397&gt;=110),0.12,0)+IF(AND(V397&gt;175,W397&lt;25),0.3,0)+IF(AND(V397&gt;175,W397&gt;=25,W397&lt;55),0.23,0)+IF(AND(V397&gt;175,W397&gt;=55,W397&lt;95),0.17,0)+IF(AND(V397&gt;175,W397&gt;=95),0.12,0),
IF(AF397="DoEVLo",IF(AND(V397&lt;20,W397&lt;55),0.25,0)+IF(AND(V397&lt;20,W397&gt;=55,W397&lt;105),0.2,0)+IF(AND(V397&lt;20,W397&gt;=105),0.15,0)+IF(AND(V397&gt;=20,V397&lt;40,W397&lt;45),0.25,0)+IF(AND(V397&gt;=20,V397&lt;40,W397&gt;=45,W397&lt;95),0.2,0)+IF(AND(V397&gt;=20,V397&lt;40,W397&gt;=95),0.15,0)+IF(AND(V397&gt;=40,V397&lt;75,W397&lt;35),0.25,0)+IF(AND(V397&gt;=40,V397&lt;75,W397&gt;=35,W397&lt;75),0.2,0)+IF(AND(V397&gt;=40,V397&lt;75,W397&gt;=75,W397&lt;120),0.15,0)+IF(AND(V397&gt;=40,V397&lt;75,W397&gt;=120),0.1,0)+IF(AND(V397&gt;=75,V397&lt;175,W397&lt;35),0.25,0)+IF(AND(V397&gt;=75,V397&lt;=175,W397&gt;=35,W397&lt;65),0.2,0)+IF(AND(V397&gt;=75,V397&lt;=175,W397&gt;=65,W397&lt;110),0.15,0)+IF(AND(V397&gt;=75,V397&lt;=175,W397&gt;=110),0.1,0)+IF(AND(V397&gt;175,W397&lt;25),0.25,0)+IF(AND(V397&gt;175,W397&gt;=25,W397&lt;55),0.2,0)+IF(AND(V397&gt;175,W397&gt;=55,W397&lt;95),0.15,0)+IF(AND(V397&gt;175,W397&gt;=95),0.1,0))))))))))))))))</f>
        <v>0.23</v>
      </c>
      <c r="Y397" s="30">
        <f>IF(AG397="None",0,IF(AG397="Fix5",0.05,IF(AG397="Fix3.75",0.0375,IF(AG397="Fix10",0.1,IF(AG397="Fix3",0.03,0)))))</f>
        <v>0</v>
      </c>
      <c r="Z397" s="35">
        <f>T397-AA397-AB397</f>
        <v>696.85</v>
      </c>
      <c r="AA397" s="29">
        <f>IF(AD397="EUR",((T397-R397)*X397)*U397+(R397*X397),(T397*X397))</f>
        <v>208.15</v>
      </c>
      <c r="AB397" s="36">
        <f>IF(AD397="EUR",((T397-R397)*Y397)*U397+(R397*Y397),(T397*Y397))</f>
        <v>0</v>
      </c>
      <c r="AC397" s="37" t="b">
        <v>1</v>
      </c>
      <c r="AD397" s="37" t="s">
        <v>38</v>
      </c>
      <c r="AE397" s="37" t="s">
        <v>38</v>
      </c>
      <c r="AF397" s="37" t="str">
        <f t="array" ref="AF397">INDEX('Deal Info'!D:D, MATCH(A397,'Deal Info'!A:A, 0))</f>
        <v>DoEVs1</v>
      </c>
      <c r="AG397" s="38" t="str">
        <f t="array" ref="AG397">INDEX('Deal Info'!G:G, MATCH(A397,'Deal Info'!A:A, 0))</f>
        <v>None</v>
      </c>
    </row>
    <row r="398" spans="1:33" ht="14.25" hidden="1" x14ac:dyDescent="0.2">
      <c r="A398" s="18" t="str">
        <f t="array" ref="A398">IF(G398='Room Info'!$B$1, INDEX('Room Info'!$A$2:$A2446, MATCH(B398,'Room Info'!$B$2:$B2446, 0)),IF(G398='Room Info'!$C$1, INDEX('Room Info'!$A$2:$A2446, MATCH(B398,'Room Info'!$C$2:$C2446, 0)),IF(G398='Room Info'!$D$1, INDEX('Room Info'!$A$2:$A2446, MATCH(B398,'Room Info'!$D$2:$D2446, 0)),IF(G398='Room Info'!$E$1, INDEX('Room Info'!$A$2:$A2446, MATCH(B398,'Room Info'!$E$2:$E2446, 0)),IF(G398='Room Info'!$F$1, INDEX('Room Info'!$A$2:$A2446, MATCH(B398,'Room Info'!$F$2:$F2446, 0)),IF(G398='Room Info'!$H$1, INDEX('Room Info'!$A$2:$A2446, MATCH(B398,'Room Info'!$H$2:$H2446, 0)),IF(G398='Room Info'!$G$1, INDEX('Room Info'!$A$2:$A2446, MATCH(B398,'Room Info'!$G$2:$G2446, 0)))))))))</f>
        <v>S1lense</v>
      </c>
      <c r="B398" s="45" t="s">
        <v>124</v>
      </c>
      <c r="C398" s="46">
        <v>44916</v>
      </c>
      <c r="D398" s="46">
        <v>44946</v>
      </c>
      <c r="E398" s="47">
        <v>44927</v>
      </c>
      <c r="F398" s="48" t="s">
        <v>41</v>
      </c>
      <c r="G398" s="54" t="s">
        <v>35</v>
      </c>
      <c r="H398" s="49" t="s">
        <v>47</v>
      </c>
      <c r="I398" s="49" t="s">
        <v>44</v>
      </c>
      <c r="J398" s="50">
        <v>1</v>
      </c>
      <c r="K398" s="51">
        <v>36</v>
      </c>
      <c r="L398" s="52">
        <v>1</v>
      </c>
      <c r="M398" s="53">
        <v>2</v>
      </c>
      <c r="N398" s="28">
        <f>K398*J398</f>
        <v>36</v>
      </c>
      <c r="O398" s="65"/>
      <c r="P398" s="29">
        <v>0</v>
      </c>
      <c r="Q398" s="55"/>
      <c r="R398" s="31">
        <f>M398+Q398</f>
        <v>2</v>
      </c>
      <c r="S398" s="66"/>
      <c r="T398" s="32">
        <f>R398+S398+IF(F398="Without EV deal",L398,0)</f>
        <v>3</v>
      </c>
      <c r="U398" s="57">
        <v>1</v>
      </c>
      <c r="V398" s="58">
        <v>12</v>
      </c>
      <c r="W398" s="58">
        <v>101.5</v>
      </c>
      <c r="X398" s="30">
        <f>IF(AF398="DoEV",IF(AND(V398&lt;20,W398&lt;55),0.3,0)+IF(AND(V398&lt;20,W398&gt;=55,W398&lt;105),0.23,0)+IF(AND(V398&lt;20,W398&gt;=105),0.17,0)+IF(AND(V398&gt;=20,V398&lt;40,W398&lt;45),0.3,0)+IF(AND(V398&gt;=20,V398&lt;40,W398&gt;=45,W398&lt;95),0.23,0)+IF(AND(V398&gt;=20,V398&lt;40,W398&gt;=95),0.17,0)+IF(AND(V398&gt;=40,V398&lt;75,W398&lt;35),0.3,0)+IF(AND(V398&gt;=40,V398&lt;75,W398&gt;=35,W398&lt;75),0.23,0)+IF(AND(V398&gt;=40,V398&lt;75,W398&gt;=75,W398&lt;120),0.17,0)+IF(AND(V398&gt;=40,V398&lt;75,W398&gt;=120),0.12,0)+IF(AND(V398&gt;=75,V398&lt;175,W398&lt;35),0.3,0)+IF(AND(V398&gt;=75,V398&lt;=175,W398&gt;=35,W398&lt;65),0.23,0)+IF(AND(V398&gt;=75,V398&lt;=175,W398&gt;=65,W398&lt;110),0.17,0)+IF(AND(V398&gt;=75,V398&lt;=175,W398&gt;=110),0.12,0)+IF(AND(V398&gt;175,W398&lt;25),0.3,0)+IF(AND(V398&gt;175,W398&gt;=25,W398&lt;55),0.23,0)+IF(AND(V398&gt;175,W398&gt;=55,W398&lt;95),0.17,0)+IF(AND(V398&gt;175,W398&gt;=95),0.12,0),
IF(AF398="Fix15",0.15,
IF(AF398="Fix11.25",0.1125,
IF(AF398="Fix10",0.1,
IF(AF398="Fix9",0.09,
IF(AF398="DoEV2017",IF(AND(W398&lt;74),0.2,0)+IF(AND(W398&gt;=74),0.17,0),
IF(AF398="SF",IF(AND(V398&lt;20,W398&lt;89),0.3,0)+IF(AND(V398&lt;20,W398&gt;=89),0.25,0)+IF(AND(V398&gt;=20,V398&lt;40,W398&lt;74),0.3,0)+IF(AND(V398&gt;=20,V398&lt;40,W398&gt;=75),0.22,0)+IF(AND(V398&gt;=40,V398&lt;75,W398&lt;75),0.26,0)+IF(AND(V398&gt;=40,V398&lt;75,W398&gt;=75),0.22,0)+IF(V398&gt;=75,0.22,0),
IF(AF398="DoEVold",IF(AND(V398&lt;40,W398&lt;35),0.35,0)+IF(AND(V398&lt;40,W398&gt;=35,W398&lt;75),0.25,0)+IF(AND(V398&lt;40,W398&gt;=75),0.17,0)+IF(AND(V398&gt;=40,V398&lt;75,W398&lt;25),0.35,0)+IF(AND(V398&gt;=40,V398&lt;75,W398&gt;=25,W398&lt;65),0.25,0)+IF(AND(V398&gt;=40,V398&lt;75,W398&gt;=65,W398&lt;100),0.17,0)+IF(AND(V398&gt;=40,V398&lt;75,W398&gt;=100),0.1,0)+IF(AND(V398&gt;=75,W398&lt;25),0.35,0)+IF(AND(V398&gt;=75,W398&gt;=25,W398&lt;60),0.25,0)+IF(AND(V398&gt;=75,W398&gt;=60,W398&lt;95),0.17,0)+IF(AND(V398&gt;=75,W398&gt;=95),0.1,0),
IF(AF398="DoEVold15",IF(AND(V398&lt;=40,W398&lt;35),0.35,0)+IF(AND(V398&lt;=40,W398&gt;=35,W398&lt;75),0.25,0)+IF(AND(V398&lt;=40,W398&gt;=75,W398&lt;120),0.17,0)+IF(AND(V398&lt;=40,W398&gt;=120),0.15,0)+IF(AND(V398&gt;40,V398&lt;75,W398&lt;25),0.35,0)+IF(AND(V398&gt;=40,V398&lt;75,W398&gt;=25,W398&lt;65),0.25,0)+IF(AND(V398&gt;=40,V398&lt;75,W398&gt;=65,W398&lt;100),0.17,0)+IF(AND(V398&gt;=40,V398&lt;75,W398&gt;=100),0.1,0)+IF(AND(V398&gt;=75,W398&lt;25),0.35,0)+IF(AND(V398&gt;=75,W398&gt;=25,W398&lt;60),0.25,0)+IF(AND(V398&gt;=75,W398&gt;=60,W398&lt;95),0.17,0)+IF(AND(V398&gt;=75,W398&gt;=95),0.1,0),
IF(AF398="DoEVba",IF(AND(V398&lt;20,W398&lt;105),0.2,0)+IF(AND(V398&lt;20,W398&gt;=105),0.15,0)+IF(AND(V398&gt;=20,V398&lt;40,W398&lt;95),0.2,0)+IF(AND(V398&gt;=20,V398&lt;40,W398&gt;=95,W398&lt;150),0.15,0)+IF(AND(V398&gt;=20,V398&lt;40,W398&gt;=150),0.12,0)+IF(AND(V398&gt;=40,V398&lt;75,W398&lt;75),0.2,0)+IF(AND(V398&gt;=40,V398&lt;75,W398&gt;=75,W398&lt;120),0.15,0)+IF(AND(V398&gt;=40,V398&lt;75,W398&gt;=120),0.12,0)+IF(AND(V398&gt;=75,V398&lt;175,W398&lt;65),0.2,0)+IF(AND(V398&gt;=75,V398&lt;175,W398&gt;=65,W398&lt;110),0.15,0)+IF(AND(V398&gt;=75,V398&lt;175,W398&gt;=110),0.12,0)+IF(AND(V398&gt;=175,W398&lt;55),0.2,0)+IF(AND(V398&gt;=175,W398&gt;=55,W398&lt;95),0.15,0)+IF(AND(V398&gt;=175,W398&gt;=95),0.12,0),
IF(AF398="DoEVku",IF(AND(V398&lt;20,W398&lt;55),0.23,0)+IF(AND(V398&lt;20,W398&gt;=55,W398&lt;105),0.2,0)+IF(AND(V398&lt;20,W398&gt;=105),0.17,0)+IF(AND(V398&gt;=20,V398&lt;40,W398&lt;45),0.23,0)+IF(AND(V398&gt;=20,V398&lt;40,W398&gt;=45,W398&lt;95),0.2,0)+IF(AND(V398&gt;=20,V398&lt;40,W398&gt;=95,W398&lt;=150),0.17,0)+IF(AND(V398&gt;=20,V398&lt;40,W398&gt;=150),0.12,0)+IF(AND(V398&gt;=40,V398&lt;75,W398&lt;35),0.23,0)+IF(AND(V398&gt;=40,V398&lt;75,W398&gt;=35,W398&lt;75),0.2,0)+IF(AND(V398&gt;=40,V398&lt;75,W398&gt;=75,W398&lt;120),0.17,0)+IF(AND(V398&gt;=40,V398&lt;75,W398&gt;=120),0.12,0)+IF(AND(V398&gt;=75,V398&lt;175,W398&lt;35),0.23,0)+IF(AND(V398&gt;=75,V398&lt;=175,W398&gt;=35,W398&lt;65),0.2,0)+IF(AND(V398&gt;=75,V398&lt;=175,W398&gt;=65,W398&lt;110),0.17,0)+IF(AND(V398&gt;=75,V398&lt;=175,W398&gt;=110),0.12,0)+IF(AND(V398&gt;175,W398&lt;25),0.23,0)+IF(AND(V398&gt;175,W398&gt;=25,W398&lt;55),0.2,0)+IF(AND(V398&gt;175,W398&gt;=55,W398&lt;95),0.17,0)+IF(AND(V398&gt;175,W398&gt;=95),0.12,0),
IF(AF398="DoEVs1",IF(AND(V398&lt;20,W398&lt;55),0.3,0)+IF(AND(V398&lt;20,W398&gt;=55,W398&lt;105),0.23,0)+IF(AND(V398&lt;20,W398&gt;=105),0.17,0)+IF(AND(V398&gt;=20,V398&lt;40,W398&lt;45),0.3,0)+IF(AND(V398&gt;=20,V398&lt;40,W398&gt;=45,W398&lt;95),0.23,0)+IF(AND(V398&gt;=20,V398&lt;40,W398&gt;=95,W398&lt;=150),0.17,0)+IF(AND(V398&gt;=20,V398&lt;40,W398&gt;=150),0.12,0)+IF(AND(V398&gt;=40,V398&lt;75,W398&lt;35),0.3,0)+IF(AND(V398&gt;=40,V398&lt;75,W398&gt;=35,W398&lt;75),0.23,0)+IF(AND(V398&gt;=40,V398&lt;75,W398&gt;=75,W398&lt;120),0.17,0)+IF(AND(V398&gt;=40,V398&lt;75,W398&gt;=120),0.12,0)+IF(AND(V398&gt;=75,V398&lt;175,W398&lt;35),0.3,0)+IF(AND(V398&gt;=75,V398&lt;=175,W398&gt;=35,W398&lt;65),0.23,0)+IF(AND(V398&gt;=75,V398&lt;=175,W398&gt;=65,W398&lt;110),0.17,0)+IF(AND(V398&gt;=75,V398&lt;=175,W398&gt;=110),0.12,0)+IF(AND(V398&gt;175,W398&lt;25),0.3,0)+IF(AND(V398&gt;175,W398&gt;=25,W398&lt;55),0.23,0)+IF(AND(V398&gt;175,W398&gt;=55,W398&lt;95),0.17,0)+IF(AND(V398&gt;175,W398&gt;=95),0.12,0),
IF(AF398="DoEVsu",IF(AND(V398&lt;20,W398&lt;55),0.3,0)+IF(AND(V398&lt;20,W398&gt;=55,W398&lt;105),0.23,0)+IF(AND(V398&lt;20,W398&gt;=105),0.17,0)+IF(AND(V398&gt;=20,V398&lt;40,W398&lt;45),0.3,0)+IF(AND(V398&gt;=20,V398&lt;40,W398&gt;=45,W398&lt;95),0.23,0)+IF(AND(V398&gt;=20,V398&lt;40,W398&gt;=95,W398&lt;=250),0.17,0)+IF(AND(V398&gt;=20,V398&lt;40,W398&gt;=250),0.12,0)+IF(AND(V398&gt;=40,V398&lt;75,W398&lt;35),0.3,0)+IF(AND(V398&gt;=40,V398&lt;75,W398&gt;=35,W398&lt;75),0.23,0)+IF(AND(V398&gt;=40,V398&lt;75,W398&gt;=75,W398&lt;120),0.17,0)+IF(AND(V398&gt;=40,V398&lt;75,W398&gt;=120),0.12,0)+IF(AND(V398&gt;=75,V398&lt;175,W398&lt;35),0.3,0)+IF(AND(V398&gt;=75,V398&lt;=175,W398&gt;=35,W398&lt;65),0.23,0)+IF(AND(V398&gt;=75,V398&lt;=175,W398&gt;=65,W398&lt;110),0.17,0)+IF(AND(V398&gt;=75,V398&lt;=175,W398&gt;=110),0.12,0)+IF(AND(V398&gt;175,W398&lt;25),0.3,0)+IF(AND(V398&gt;175,W398&gt;=25,W398&lt;55),0.23,0)+IF(AND(V398&gt;175,W398&gt;=55,W398&lt;95),0.17,0)+IF(AND(V398&gt;175,W398&gt;=95),0.12,0),
IF(AF398="DoEVni",IF(AND(V398&lt;20,W398&lt;55),0.3,0)+IF(AND(V398&lt;20,W398&gt;=55,W398&lt;105),0.23,0)+IF(AND(V398&lt;20,W398&gt;=105),0.17,0)+IF(AND(V398&gt;=20,V398&lt;40,W398&lt;45),0.3,0)+IF(AND(V398&gt;=20,V398&lt;40,W398&gt;=45,W398&lt;95),0.23,0)+IF(AND(V398&gt;=20,V398&lt;40,W398&gt;=95,W398&lt;=200),0.17,0)+IF(AND(V398&gt;=20,V398&lt;40,W398&gt;=200),0.12,0)+IF(AND(V398&gt;=40,V398&lt;75,W398&lt;35),0.3,0)+IF(AND(V398&gt;=40,V398&lt;75,W398&gt;=35,W398&lt;75),0.23,0)+IF(AND(V398&gt;=40,V398&lt;75,W398&gt;=75,W398&lt;120),0.17,0)+IF(AND(V398&gt;=40,V398&lt;75,W398&gt;=120),0.12,0)+IF(AND(V398&gt;=75,V398&lt;175,W398&lt;35),0.3,0)+IF(AND(V398&gt;=75,V398&lt;=175,W398&gt;=35,W398&lt;65),0.23,0)+IF(AND(V398&gt;=75,V398&lt;=175,W398&gt;=65,W398&lt;110),0.17,0)+IF(AND(V398&gt;=75,V398&lt;=175,W398&gt;=110),0.12,0)+IF(AND(V398&gt;175,W398&lt;25),0.3,0)+IF(AND(V398&gt;175,W398&gt;=25,W398&lt;55),0.23,0)+IF(AND(V398&gt;175,W398&gt;=55,W398&lt;95),0.17,0)+IF(AND(V398&gt;175,W398&gt;=95),0.12,0),
IF(AF398="DoEVLo",IF(AND(V398&lt;20,W398&lt;55),0.25,0)+IF(AND(V398&lt;20,W398&gt;=55,W398&lt;105),0.2,0)+IF(AND(V398&lt;20,W398&gt;=105),0.15,0)+IF(AND(V398&gt;=20,V398&lt;40,W398&lt;45),0.25,0)+IF(AND(V398&gt;=20,V398&lt;40,W398&gt;=45,W398&lt;95),0.2,0)+IF(AND(V398&gt;=20,V398&lt;40,W398&gt;=95),0.15,0)+IF(AND(V398&gt;=40,V398&lt;75,W398&lt;35),0.25,0)+IF(AND(V398&gt;=40,V398&lt;75,W398&gt;=35,W398&lt;75),0.2,0)+IF(AND(V398&gt;=40,V398&lt;75,W398&gt;=75,W398&lt;120),0.15,0)+IF(AND(V398&gt;=40,V398&lt;75,W398&gt;=120),0.1,0)+IF(AND(V398&gt;=75,V398&lt;175,W398&lt;35),0.25,0)+IF(AND(V398&gt;=75,V398&lt;=175,W398&gt;=35,W398&lt;65),0.2,0)+IF(AND(V398&gt;=75,V398&lt;=175,W398&gt;=65,W398&lt;110),0.15,0)+IF(AND(V398&gt;=75,V398&lt;=175,W398&gt;=110),0.1,0)+IF(AND(V398&gt;175,W398&lt;25),0.25,0)+IF(AND(V398&gt;175,W398&gt;=25,W398&lt;55),0.2,0)+IF(AND(V398&gt;175,W398&gt;=55,W398&lt;95),0.15,0)+IF(AND(V398&gt;175,W398&gt;=95),0.1,0))))))))))))))))</f>
        <v>0.23</v>
      </c>
      <c r="Y398" s="30">
        <f>IF(AG398="None",0,IF(AG398="Fix5",0.05,IF(AG398="Fix3.75",0.0375,IF(AG398="Fix10",0.1,IF(AG398="Fix3",0.03,0)))))</f>
        <v>0</v>
      </c>
      <c r="Z398" s="35">
        <f>T398-AA398-AB398</f>
        <v>2.31</v>
      </c>
      <c r="AA398" s="29">
        <f>IF(AD398="EUR",((T398-R398)*X398)*U398+(R398*X398),(T398*X398))</f>
        <v>0.69000000000000006</v>
      </c>
      <c r="AB398" s="36">
        <f>IF(AD398="EUR",((T398-R398)*Y398)*U398+(R398*Y398),(T398*Y398))</f>
        <v>0</v>
      </c>
      <c r="AC398" s="37" t="b">
        <v>1</v>
      </c>
      <c r="AD398" s="37" t="s">
        <v>38</v>
      </c>
      <c r="AE398" s="37" t="s">
        <v>38</v>
      </c>
      <c r="AF398" s="37" t="str">
        <f t="array" ref="AF398">INDEX('Deal Info'!D:D, MATCH(A398,'Deal Info'!A:A, 0))</f>
        <v>DoEVs1</v>
      </c>
      <c r="AG398" s="38" t="str">
        <f t="array" ref="AG398">INDEX('Deal Info'!G:G, MATCH(A398,'Deal Info'!A:A, 0))</f>
        <v>None</v>
      </c>
    </row>
    <row r="399" spans="1:33" ht="14.25" hidden="1" x14ac:dyDescent="0.2">
      <c r="A399" s="18" t="str">
        <f t="array" ref="A399">IF(G399='Room Info'!$B$1, INDEX('Room Info'!$A$2:$A2446, MATCH(B399,'Room Info'!$B$2:$B2446, 0)),IF(G399='Room Info'!$C$1, INDEX('Room Info'!$A$2:$A2446, MATCH(B399,'Room Info'!$C$2:$C2446, 0)),IF(G399='Room Info'!$D$1, INDEX('Room Info'!$A$2:$A2446, MATCH(B399,'Room Info'!$D$2:$D2446, 0)),IF(G399='Room Info'!$E$1, INDEX('Room Info'!$A$2:$A2446, MATCH(B399,'Room Info'!$E$2:$E2446, 0)),IF(G399='Room Info'!$F$1, INDEX('Room Info'!$A$2:$A2446, MATCH(B399,'Room Info'!$F$2:$F2446, 0)),IF(G399='Room Info'!$H$1, INDEX('Room Info'!$A$2:$A2446, MATCH(B399,'Room Info'!$H$2:$H2446, 0)),IF(G399='Room Info'!$G$1, INDEX('Room Info'!$A$2:$A2446, MATCH(B399,'Room Info'!$G$2:$G2446, 0)))))))))</f>
        <v>CrippledMind</v>
      </c>
      <c r="B399" s="45" t="s">
        <v>125</v>
      </c>
      <c r="C399" s="46">
        <v>44628</v>
      </c>
      <c r="D399" s="46">
        <v>44640</v>
      </c>
      <c r="E399" s="47">
        <v>44621</v>
      </c>
      <c r="F399" s="48" t="s">
        <v>34</v>
      </c>
      <c r="G399" s="45" t="s">
        <v>35</v>
      </c>
      <c r="H399" s="49" t="s">
        <v>39</v>
      </c>
      <c r="I399" s="49" t="s">
        <v>37</v>
      </c>
      <c r="J399" s="50">
        <v>5</v>
      </c>
      <c r="K399" s="51">
        <v>90</v>
      </c>
      <c r="L399" s="52">
        <v>0</v>
      </c>
      <c r="M399" s="53">
        <v>6</v>
      </c>
      <c r="N399" s="28">
        <f>K399*J399</f>
        <v>450</v>
      </c>
      <c r="O399" s="54">
        <v>2970</v>
      </c>
      <c r="P399" s="29">
        <v>33</v>
      </c>
      <c r="Q399" s="55"/>
      <c r="R399" s="31">
        <f>M399+Q399</f>
        <v>6</v>
      </c>
      <c r="S399" s="56">
        <v>-13</v>
      </c>
      <c r="T399" s="32">
        <f>R399+S399+IF(F399="Without EV deal",L399,0)</f>
        <v>-7</v>
      </c>
      <c r="U399" s="57">
        <v>1</v>
      </c>
      <c r="V399" s="69">
        <v>9.3910690121786189</v>
      </c>
      <c r="W399" s="69">
        <v>42.3806916426513</v>
      </c>
      <c r="X399" s="30">
        <v>0.17</v>
      </c>
      <c r="Y399" s="30">
        <f>IF(AG399="None",0,IF(AG399="Fix5",0.05,IF(AG399="Fix3.75",0.0375,IF(AG399="Fix10",0.1,IF(AG399="Fix3",0.03,0)))))</f>
        <v>0</v>
      </c>
      <c r="Z399" s="35">
        <f>T399-AA399-AB399</f>
        <v>-5.81</v>
      </c>
      <c r="AA399" s="29">
        <f>IF(AD399="EUR",((T399-R399)*X399)*U399+(R399*X399),(T399*X399))</f>
        <v>-1.1900000000000002</v>
      </c>
      <c r="AB399" s="36">
        <f>IF(AD399="EUR",((T399-R399)*Y399)*U399+(R399*Y399),(T399*Y399))</f>
        <v>0</v>
      </c>
      <c r="AC399" s="37" t="b">
        <v>1</v>
      </c>
      <c r="AD399" s="37" t="s">
        <v>38</v>
      </c>
      <c r="AE399" s="37" t="s">
        <v>38</v>
      </c>
      <c r="AF399" s="37" t="str">
        <f t="array" ref="AF399">INDEX('Deal Info'!D:D, MATCH(A399,'Deal Info'!A:A, 0))</f>
        <v>DoEV</v>
      </c>
      <c r="AG399" s="38" t="str">
        <f t="array" ref="AG399">INDEX('Deal Info'!G:G, MATCH(A399,'Deal Info'!A:A, 0))</f>
        <v>None</v>
      </c>
    </row>
    <row r="400" spans="1:33" ht="14.25" hidden="1" x14ac:dyDescent="0.2">
      <c r="A400" s="18" t="str">
        <f t="array" ref="A400">IF(G400='Room Info'!$B$1, INDEX('Room Info'!$A$2:$A2446, MATCH(B400,'Room Info'!$B$2:$B2446, 0)),IF(G400='Room Info'!$C$1, INDEX('Room Info'!$A$2:$A2446, MATCH(B400,'Room Info'!$C$2:$C2446, 0)),IF(G400='Room Info'!$D$1, INDEX('Room Info'!$A$2:$A2446, MATCH(B400,'Room Info'!$D$2:$D2446, 0)),IF(G400='Room Info'!$E$1, INDEX('Room Info'!$A$2:$A2446, MATCH(B400,'Room Info'!$E$2:$E2446, 0)),IF(G400='Room Info'!$F$1, INDEX('Room Info'!$A$2:$A2446, MATCH(B400,'Room Info'!$F$2:$F2446, 0)),IF(G400='Room Info'!$H$1, INDEX('Room Info'!$A$2:$A2446, MATCH(B400,'Room Info'!$H$2:$H2446, 0)),IF(G400='Room Info'!$G$1, INDEX('Room Info'!$A$2:$A2446, MATCH(B400,'Room Info'!$G$2:$G2446, 0)))))))))</f>
        <v>CrippledMind</v>
      </c>
      <c r="B400" s="45" t="s">
        <v>125</v>
      </c>
      <c r="C400" s="46">
        <v>44628</v>
      </c>
      <c r="D400" s="46">
        <v>44640</v>
      </c>
      <c r="E400" s="47">
        <v>44621</v>
      </c>
      <c r="F400" s="48" t="s">
        <v>34</v>
      </c>
      <c r="G400" s="45" t="s">
        <v>35</v>
      </c>
      <c r="H400" s="49" t="s">
        <v>40</v>
      </c>
      <c r="I400" s="49" t="s">
        <v>37</v>
      </c>
      <c r="J400" s="70">
        <v>10</v>
      </c>
      <c r="K400" s="71">
        <v>649</v>
      </c>
      <c r="L400" s="52">
        <v>200</v>
      </c>
      <c r="M400" s="53">
        <v>69</v>
      </c>
      <c r="N400" s="28">
        <f>K400*J400</f>
        <v>6490</v>
      </c>
      <c r="O400" s="54">
        <v>44781</v>
      </c>
      <c r="P400" s="29">
        <v>69</v>
      </c>
      <c r="Q400" s="55"/>
      <c r="R400" s="31">
        <f>M400+Q400</f>
        <v>69</v>
      </c>
      <c r="S400" s="56">
        <v>336</v>
      </c>
      <c r="T400" s="32">
        <f>R400+S400+IF(F400="Without EV deal",L400,0)</f>
        <v>405</v>
      </c>
      <c r="U400" s="57">
        <v>1</v>
      </c>
      <c r="V400" s="69">
        <v>9.3910690121786189</v>
      </c>
      <c r="W400" s="69">
        <v>42.3806916426513</v>
      </c>
      <c r="X400" s="30">
        <v>0.17</v>
      </c>
      <c r="Y400" s="30">
        <f>IF(AG400="None",0,IF(AG400="Fix5",0.05,IF(AG400="Fix3.75",0.0375,IF(AG400="Fix10",0.1,IF(AG400="Fix3",0.03,0)))))</f>
        <v>0</v>
      </c>
      <c r="Z400" s="35">
        <f>T400-AA400-AB400</f>
        <v>336.15</v>
      </c>
      <c r="AA400" s="29">
        <f>IF(AD400="EUR",((T400-R400)*X400)*U400+(R400*X400),(T400*X400))</f>
        <v>68.850000000000009</v>
      </c>
      <c r="AB400" s="36">
        <f>IF(AD400="EUR",((T400-R400)*Y400)*U400+(R400*Y400),(T400*Y400))</f>
        <v>0</v>
      </c>
      <c r="AC400" s="37" t="b">
        <v>1</v>
      </c>
      <c r="AD400" s="37" t="s">
        <v>38</v>
      </c>
      <c r="AE400" s="37" t="s">
        <v>38</v>
      </c>
      <c r="AF400" s="37" t="str">
        <f t="array" ref="AF400">INDEX('Deal Info'!D:D, MATCH(A400,'Deal Info'!A:A, 0))</f>
        <v>DoEV</v>
      </c>
      <c r="AG400" s="38" t="str">
        <f t="array" ref="AG400">INDEX('Deal Info'!G:G, MATCH(A400,'Deal Info'!A:A, 0))</f>
        <v>None</v>
      </c>
    </row>
    <row r="401" spans="1:33" ht="14.25" hidden="1" x14ac:dyDescent="0.2">
      <c r="A401" s="18" t="str">
        <f t="array" ref="A401">IF(G401='Room Info'!$B$1, INDEX('Room Info'!$A$2:$A2446, MATCH(B401,'Room Info'!$B$2:$B2446, 0)),IF(G401='Room Info'!$C$1, INDEX('Room Info'!$A$2:$A2446, MATCH(B401,'Room Info'!$C$2:$C2446, 0)),IF(G401='Room Info'!$D$1, INDEX('Room Info'!$A$2:$A2446, MATCH(B401,'Room Info'!$D$2:$D2446, 0)),IF(G401='Room Info'!$E$1, INDEX('Room Info'!$A$2:$A2446, MATCH(B401,'Room Info'!$E$2:$E2446, 0)),IF(G401='Room Info'!$F$1, INDEX('Room Info'!$A$2:$A2446, MATCH(B401,'Room Info'!$F$2:$F2446, 0)),IF(G401='Room Info'!$H$1, INDEX('Room Info'!$A$2:$A2446, MATCH(B401,'Room Info'!$H$2:$H2446, 0)),IF(G401='Room Info'!$G$1, INDEX('Room Info'!$A$2:$A2446, MATCH(B401,'Room Info'!$G$2:$G2446, 0)))))))))</f>
        <v>CrippledMind</v>
      </c>
      <c r="B401" s="45" t="s">
        <v>125</v>
      </c>
      <c r="C401" s="46">
        <v>44641</v>
      </c>
      <c r="D401" s="46">
        <v>44671</v>
      </c>
      <c r="E401" s="47">
        <v>44652</v>
      </c>
      <c r="F401" s="48" t="s">
        <v>34</v>
      </c>
      <c r="G401" s="45" t="s">
        <v>35</v>
      </c>
      <c r="H401" s="49" t="s">
        <v>39</v>
      </c>
      <c r="I401" s="49" t="s">
        <v>37</v>
      </c>
      <c r="J401" s="70">
        <v>5</v>
      </c>
      <c r="K401" s="71">
        <v>144</v>
      </c>
      <c r="L401" s="52">
        <v>-95</v>
      </c>
      <c r="M401" s="53">
        <v>42</v>
      </c>
      <c r="N401" s="28">
        <f>K401*J401</f>
        <v>720</v>
      </c>
      <c r="O401" s="54">
        <v>-1895</v>
      </c>
      <c r="P401" s="29">
        <v>-13.159722220000001</v>
      </c>
      <c r="Q401" s="55"/>
      <c r="R401" s="31">
        <f>M401+Q401</f>
        <v>42</v>
      </c>
      <c r="S401" s="56">
        <v>-78</v>
      </c>
      <c r="T401" s="32">
        <f>R401+S401+IF(F401="Without EV deal",L401,0)</f>
        <v>-36</v>
      </c>
      <c r="U401" s="57">
        <v>1</v>
      </c>
      <c r="V401" s="69">
        <v>9.5010395010395019</v>
      </c>
      <c r="W401" s="69">
        <v>94.831728665207862</v>
      </c>
      <c r="X401" s="30">
        <f>IF(AF401="DoEV",IF(AND(V401&lt;20,W401&lt;55),0.3,0)+IF(AND(V401&lt;20,W401&gt;=55,W401&lt;105),0.23,0)+IF(AND(V401&lt;20,W401&gt;=105),0.17,0)+IF(AND(V401&gt;=20,V401&lt;40,W401&lt;45),0.3,0)+IF(AND(V401&gt;=20,V401&lt;40,W401&gt;=45,W401&lt;95),0.23,0)+IF(AND(V401&gt;=20,V401&lt;40,W401&gt;=95),0.17,0)+IF(AND(V401&gt;=40,V401&lt;75,W401&lt;35),0.3,0)+IF(AND(V401&gt;=40,V401&lt;75,W401&gt;=35,W401&lt;75),0.23,0)+IF(AND(V401&gt;=40,V401&lt;75,W401&gt;=75,W401&lt;120),0.17,0)+IF(AND(V401&gt;=40,V401&lt;75,W401&gt;=120),0.12,0)+IF(AND(V401&gt;=75,V401&lt;175,W401&lt;35),0.3,0)+IF(AND(V401&gt;=75,V401&lt;=175,W401&gt;=35,W401&lt;65),0.23,0)+IF(AND(V401&gt;=75,V401&lt;=175,W401&gt;=65,W401&lt;110),0.17,0)+IF(AND(V401&gt;=75,V401&lt;=175,W401&gt;=110),0.12,0)+IF(AND(V401&gt;175,W401&lt;25),0.3,0)+IF(AND(V401&gt;175,W401&gt;=25,W401&lt;55),0.23,0)+IF(AND(V401&gt;175,W401&gt;=55,W401&lt;95),0.17,0)+IF(AND(V401&gt;175,W401&gt;=95),0.12,0),
IF(AF401="Fix15",0.15,
IF(AF401="Fix11.25",0.1125,
IF(AF401="Fix10",0.1,
IF(AF401="Fix9",0.09,
IF(AF401="DoEV2017",IF(AND(W401&lt;74),0.2,0)+IF(AND(W401&gt;=74),0.17,0),
IF(AF401="SF",IF(AND(V401&lt;20,W401&lt;89),0.3,0)+IF(AND(V401&lt;20,W401&gt;=89),0.25,0)+IF(AND(V401&gt;=20,V401&lt;40,W401&lt;74),0.3,0)+IF(AND(V401&gt;=20,V401&lt;40,W401&gt;=75),0.22,0)+IF(AND(V401&gt;=40,V401&lt;75,W401&lt;75),0.26,0)+IF(AND(V401&gt;=40,V401&lt;75,W401&gt;=75),0.22,0)+IF(V401&gt;=75,0.22,0),
IF(AF401="DoEVold",IF(AND(V401&lt;40,W401&lt;35),0.35,0)+IF(AND(V401&lt;40,W401&gt;=35,W401&lt;75),0.25,0)+IF(AND(V401&lt;40,W401&gt;=75),0.17,0)+IF(AND(V401&gt;=40,V401&lt;75,W401&lt;25),0.35,0)+IF(AND(V401&gt;=40,V401&lt;75,W401&gt;=25,W401&lt;65),0.25,0)+IF(AND(V401&gt;=40,V401&lt;75,W401&gt;=65,W401&lt;100),0.17,0)+IF(AND(V401&gt;=40,V401&lt;75,W401&gt;=100),0.1,0)+IF(AND(V401&gt;=75,W401&lt;25),0.35,0)+IF(AND(V401&gt;=75,W401&gt;=25,W401&lt;60),0.25,0)+IF(AND(V401&gt;=75,W401&gt;=60,W401&lt;95),0.17,0)+IF(AND(V401&gt;=75,W401&gt;=95),0.1,0),
IF(AF401="DoEVold15",IF(AND(V401&lt;=40,W401&lt;35),0.35,0)+IF(AND(V401&lt;=40,W401&gt;=35,W401&lt;75),0.25,0)+IF(AND(V401&lt;=40,W401&gt;=75,W401&lt;120),0.17,0)+IF(AND(V401&lt;=40,W401&gt;=120),0.15,0)+IF(AND(V401&gt;40,V401&lt;75,W401&lt;25),0.35,0)+IF(AND(V401&gt;=40,V401&lt;75,W401&gt;=25,W401&lt;65),0.25,0)+IF(AND(V401&gt;=40,V401&lt;75,W401&gt;=65,W401&lt;100),0.17,0)+IF(AND(V401&gt;=40,V401&lt;75,W401&gt;=100),0.1,0)+IF(AND(V401&gt;=75,W401&lt;25),0.35,0)+IF(AND(V401&gt;=75,W401&gt;=25,W401&lt;60),0.25,0)+IF(AND(V401&gt;=75,W401&gt;=60,W401&lt;95),0.17,0)+IF(AND(V401&gt;=75,W401&gt;=95),0.1,0),
IF(AF401="DoEVba",IF(AND(V401&lt;20,W401&lt;105),0.2,0)+IF(AND(V401&lt;20,W401&gt;=105),0.15,0)+IF(AND(V401&gt;=20,V401&lt;40,W401&lt;95),0.2,0)+IF(AND(V401&gt;=20,V401&lt;40,W401&gt;=95,W401&lt;150),0.15,0)+IF(AND(V401&gt;=20,V401&lt;40,W401&gt;=150),0.12,0)+IF(AND(V401&gt;=40,V401&lt;75,W401&lt;75),0.2,0)+IF(AND(V401&gt;=40,V401&lt;75,W401&gt;=75,W401&lt;120),0.15,0)+IF(AND(V401&gt;=40,V401&lt;75,W401&gt;=120),0.12,0)+IF(AND(V401&gt;=75,V401&lt;175,W401&lt;65),0.2,0)+IF(AND(V401&gt;=75,V401&lt;175,W401&gt;=65,W401&lt;110),0.15,0)+IF(AND(V401&gt;=75,V401&lt;175,W401&gt;=110),0.12,0)+IF(AND(V401&gt;=175,W401&lt;55),0.2,0)+IF(AND(V401&gt;=175,W401&gt;=55,W401&lt;95),0.15,0)+IF(AND(V401&gt;=175,W401&gt;=95),0.12,0),
IF(AF401="DoEVku",IF(AND(V401&lt;20,W401&lt;55),0.23,0)+IF(AND(V401&lt;20,W401&gt;=55,W401&lt;105),0.2,0)+IF(AND(V401&lt;20,W401&gt;=105),0.17,0)+IF(AND(V401&gt;=20,V401&lt;40,W401&lt;45),0.23,0)+IF(AND(V401&gt;=20,V401&lt;40,W401&gt;=45,W401&lt;95),0.2,0)+IF(AND(V401&gt;=20,V401&lt;40,W401&gt;=95,W401&lt;=150),0.17,0)+IF(AND(V401&gt;=20,V401&lt;40,W401&gt;=150),0.12,0)+IF(AND(V401&gt;=40,V401&lt;75,W401&lt;35),0.23,0)+IF(AND(V401&gt;=40,V401&lt;75,W401&gt;=35,W401&lt;75),0.2,0)+IF(AND(V401&gt;=40,V401&lt;75,W401&gt;=75,W401&lt;120),0.17,0)+IF(AND(V401&gt;=40,V401&lt;75,W401&gt;=120),0.12,0)+IF(AND(V401&gt;=75,V401&lt;175,W401&lt;35),0.23,0)+IF(AND(V401&gt;=75,V401&lt;=175,W401&gt;=35,W401&lt;65),0.2,0)+IF(AND(V401&gt;=75,V401&lt;=175,W401&gt;=65,W401&lt;110),0.17,0)+IF(AND(V401&gt;=75,V401&lt;=175,W401&gt;=110),0.12,0)+IF(AND(V401&gt;175,W401&lt;25),0.23,0)+IF(AND(V401&gt;175,W401&gt;=25,W401&lt;55),0.2,0)+IF(AND(V401&gt;175,W401&gt;=55,W401&lt;95),0.17,0)+IF(AND(V401&gt;175,W401&gt;=95),0.12,0),
IF(AF401="DoEVs1",IF(AND(V401&lt;20,W401&lt;55),0.3,0)+IF(AND(V401&lt;20,W401&gt;=55,W401&lt;105),0.23,0)+IF(AND(V401&lt;20,W401&gt;=105),0.17,0)+IF(AND(V401&gt;=20,V401&lt;40,W401&lt;45),0.3,0)+IF(AND(V401&gt;=20,V401&lt;40,W401&gt;=45,W401&lt;95),0.23,0)+IF(AND(V401&gt;=20,V401&lt;40,W401&gt;=95,W401&lt;=150),0.17,0)+IF(AND(V401&gt;=20,V401&lt;40,W401&gt;=150),0.12,0)+IF(AND(V401&gt;=40,V401&lt;75,W401&lt;35),0.3,0)+IF(AND(V401&gt;=40,V401&lt;75,W401&gt;=35,W401&lt;75),0.23,0)+IF(AND(V401&gt;=40,V401&lt;75,W401&gt;=75,W401&lt;120),0.17,0)+IF(AND(V401&gt;=40,V401&lt;75,W401&gt;=120),0.12,0)+IF(AND(V401&gt;=75,V401&lt;175,W401&lt;35),0.3,0)+IF(AND(V401&gt;=75,V401&lt;=175,W401&gt;=35,W401&lt;65),0.23,0)+IF(AND(V401&gt;=75,V401&lt;=175,W401&gt;=65,W401&lt;110),0.17,0)+IF(AND(V401&gt;=75,V401&lt;=175,W401&gt;=110),0.12,0)+IF(AND(V401&gt;175,W401&lt;25),0.3,0)+IF(AND(V401&gt;175,W401&gt;=25,W401&lt;55),0.23,0)+IF(AND(V401&gt;175,W401&gt;=55,W401&lt;95),0.17,0)+IF(AND(V401&gt;175,W401&gt;=95),0.12,0),
IF(AF401="DoEVsu",IF(AND(V401&lt;20,W401&lt;55),0.3,0)+IF(AND(V401&lt;20,W401&gt;=55,W401&lt;105),0.23,0)+IF(AND(V401&lt;20,W401&gt;=105),0.17,0)+IF(AND(V401&gt;=20,V401&lt;40,W401&lt;45),0.3,0)+IF(AND(V401&gt;=20,V401&lt;40,W401&gt;=45,W401&lt;95),0.23,0)+IF(AND(V401&gt;=20,V401&lt;40,W401&gt;=95,W401&lt;=250),0.17,0)+IF(AND(V401&gt;=20,V401&lt;40,W401&gt;=250),0.12,0)+IF(AND(V401&gt;=40,V401&lt;75,W401&lt;35),0.3,0)+IF(AND(V401&gt;=40,V401&lt;75,W401&gt;=35,W401&lt;75),0.23,0)+IF(AND(V401&gt;=40,V401&lt;75,W401&gt;=75,W401&lt;120),0.17,0)+IF(AND(V401&gt;=40,V401&lt;75,W401&gt;=120),0.12,0)+IF(AND(V401&gt;=75,V401&lt;175,W401&lt;35),0.3,0)+IF(AND(V401&gt;=75,V401&lt;=175,W401&gt;=35,W401&lt;65),0.23,0)+IF(AND(V401&gt;=75,V401&lt;=175,W401&gt;=65,W401&lt;110),0.17,0)+IF(AND(V401&gt;=75,V401&lt;=175,W401&gt;=110),0.12,0)+IF(AND(V401&gt;175,W401&lt;25),0.3,0)+IF(AND(V401&gt;175,W401&gt;=25,W401&lt;55),0.23,0)+IF(AND(V401&gt;175,W401&gt;=55,W401&lt;95),0.17,0)+IF(AND(V401&gt;175,W401&gt;=95),0.12,0),
IF(AF401="DoEVni",IF(AND(V401&lt;20,W401&lt;55),0.3,0)+IF(AND(V401&lt;20,W401&gt;=55,W401&lt;105),0.23,0)+IF(AND(V401&lt;20,W401&gt;=105),0.17,0)+IF(AND(V401&gt;=20,V401&lt;40,W401&lt;45),0.3,0)+IF(AND(V401&gt;=20,V401&lt;40,W401&gt;=45,W401&lt;95),0.23,0)+IF(AND(V401&gt;=20,V401&lt;40,W401&gt;=95,W401&lt;=200),0.17,0)+IF(AND(V401&gt;=20,V401&lt;40,W401&gt;=200),0.12,0)+IF(AND(V401&gt;=40,V401&lt;75,W401&lt;35),0.3,0)+IF(AND(V401&gt;=40,V401&lt;75,W401&gt;=35,W401&lt;75),0.23,0)+IF(AND(V401&gt;=40,V401&lt;75,W401&gt;=75,W401&lt;120),0.17,0)+IF(AND(V401&gt;=40,V401&lt;75,W401&gt;=120),0.12,0)+IF(AND(V401&gt;=75,V401&lt;175,W401&lt;35),0.3,0)+IF(AND(V401&gt;=75,V401&lt;=175,W401&gt;=35,W401&lt;65),0.23,0)+IF(AND(V401&gt;=75,V401&lt;=175,W401&gt;=65,W401&lt;110),0.17,0)+IF(AND(V401&gt;=75,V401&lt;=175,W401&gt;=110),0.12,0)+IF(AND(V401&gt;175,W401&lt;25),0.3,0)+IF(AND(V401&gt;175,W401&gt;=25,W401&lt;55),0.23,0)+IF(AND(V401&gt;175,W401&gt;=55,W401&lt;95),0.17,0)+IF(AND(V401&gt;175,W401&gt;=95),0.12,0),
IF(AF401="DoEVLo",IF(AND(V401&lt;20,W401&lt;55),0.25,0)+IF(AND(V401&lt;20,W401&gt;=55,W401&lt;105),0.2,0)+IF(AND(V401&lt;20,W401&gt;=105),0.15,0)+IF(AND(V401&gt;=20,V401&lt;40,W401&lt;45),0.25,0)+IF(AND(V401&gt;=20,V401&lt;40,W401&gt;=45,W401&lt;95),0.2,0)+IF(AND(V401&gt;=20,V401&lt;40,W401&gt;=95),0.15,0)+IF(AND(V401&gt;=40,V401&lt;75,W401&lt;35),0.25,0)+IF(AND(V401&gt;=40,V401&lt;75,W401&gt;=35,W401&lt;75),0.2,0)+IF(AND(V401&gt;=40,V401&lt;75,W401&gt;=75,W401&lt;120),0.15,0)+IF(AND(V401&gt;=40,V401&lt;75,W401&gt;=120),0.1,0)+IF(AND(V401&gt;=75,V401&lt;175,W401&lt;35),0.25,0)+IF(AND(V401&gt;=75,V401&lt;=175,W401&gt;=35,W401&lt;65),0.2,0)+IF(AND(V401&gt;=75,V401&lt;=175,W401&gt;=65,W401&lt;110),0.15,0)+IF(AND(V401&gt;=75,V401&lt;=175,W401&gt;=110),0.1,0)+IF(AND(V401&gt;175,W401&lt;25),0.25,0)+IF(AND(V401&gt;175,W401&gt;=25,W401&lt;55),0.2,0)+IF(AND(V401&gt;175,W401&gt;=55,W401&lt;95),0.15,0)+IF(AND(V401&gt;175,W401&gt;=95),0.1,0))))))))))))))))</f>
        <v>0.23</v>
      </c>
      <c r="Y401" s="30">
        <f>IF(AG401="None",0,IF(AG401="Fix5",0.05,IF(AG401="Fix3.75",0.0375,IF(AG401="Fix10",0.1,IF(AG401="Fix3",0.03,0)))))</f>
        <v>0</v>
      </c>
      <c r="Z401" s="35">
        <f>T401-AA401-AB401</f>
        <v>-27.72</v>
      </c>
      <c r="AA401" s="29">
        <f>IF(AD401="EUR",((T401-R401)*X401)*U401+(R401*X401),(T401*X401))</f>
        <v>-8.2800000000000011</v>
      </c>
      <c r="AB401" s="36">
        <f>IF(AD401="EUR",((T401-R401)*Y401)*U401+(R401*Y401),(T401*Y401))</f>
        <v>0</v>
      </c>
      <c r="AC401" s="37" t="b">
        <v>1</v>
      </c>
      <c r="AD401" s="37" t="s">
        <v>38</v>
      </c>
      <c r="AE401" s="37" t="s">
        <v>38</v>
      </c>
      <c r="AF401" s="37" t="str">
        <f t="array" ref="AF401">INDEX('Deal Info'!D:D, MATCH(A401,'Deal Info'!A:A, 0))</f>
        <v>DoEV</v>
      </c>
      <c r="AG401" s="38" t="str">
        <f t="array" ref="AG401">INDEX('Deal Info'!G:G, MATCH(A401,'Deal Info'!A:A, 0))</f>
        <v>None</v>
      </c>
    </row>
    <row r="402" spans="1:33" ht="14.25" hidden="1" x14ac:dyDescent="0.2">
      <c r="A402" s="18" t="str">
        <f t="array" ref="A402">IF(G402='Room Info'!$B$1, INDEX('Room Info'!$A$2:$A2446, MATCH(B402,'Room Info'!$B$2:$B2446, 0)),IF(G402='Room Info'!$C$1, INDEX('Room Info'!$A$2:$A2446, MATCH(B402,'Room Info'!$C$2:$C2446, 0)),IF(G402='Room Info'!$D$1, INDEX('Room Info'!$A$2:$A2446, MATCH(B402,'Room Info'!$D$2:$D2446, 0)),IF(G402='Room Info'!$E$1, INDEX('Room Info'!$A$2:$A2446, MATCH(B402,'Room Info'!$E$2:$E2446, 0)),IF(G402='Room Info'!$F$1, INDEX('Room Info'!$A$2:$A2446, MATCH(B402,'Room Info'!$F$2:$F2446, 0)),IF(G402='Room Info'!$H$1, INDEX('Room Info'!$A$2:$A2446, MATCH(B402,'Room Info'!$H$2:$H2446, 0)),IF(G402='Room Info'!$G$1, INDEX('Room Info'!$A$2:$A2446, MATCH(B402,'Room Info'!$G$2:$G2446, 0)))))))))</f>
        <v>CrippledMind</v>
      </c>
      <c r="B402" s="45" t="s">
        <v>125</v>
      </c>
      <c r="C402" s="46">
        <v>44641</v>
      </c>
      <c r="D402" s="46">
        <v>44671</v>
      </c>
      <c r="E402" s="47">
        <v>44652</v>
      </c>
      <c r="F402" s="48" t="s">
        <v>34</v>
      </c>
      <c r="G402" s="45" t="s">
        <v>35</v>
      </c>
      <c r="H402" s="49" t="s">
        <v>40</v>
      </c>
      <c r="I402" s="49" t="s">
        <v>37</v>
      </c>
      <c r="J402" s="70">
        <v>10</v>
      </c>
      <c r="K402" s="71">
        <v>1299</v>
      </c>
      <c r="L402" s="52">
        <v>360</v>
      </c>
      <c r="M402" s="53">
        <v>658</v>
      </c>
      <c r="N402" s="28">
        <f>K402*J402</f>
        <v>12990</v>
      </c>
      <c r="O402" s="54">
        <v>65338</v>
      </c>
      <c r="P402" s="29">
        <v>50.298691300000002</v>
      </c>
      <c r="Q402" s="55"/>
      <c r="R402" s="31">
        <f>M402+Q402</f>
        <v>658</v>
      </c>
      <c r="S402" s="56">
        <v>279</v>
      </c>
      <c r="T402" s="32">
        <f>R402+S402+IF(F402="Without EV deal",L402,0)</f>
        <v>937</v>
      </c>
      <c r="U402" s="57">
        <v>1</v>
      </c>
      <c r="V402" s="69">
        <v>9.5010395010395019</v>
      </c>
      <c r="W402" s="69">
        <v>94.831728665207862</v>
      </c>
      <c r="X402" s="30">
        <f>IF(AF402="DoEV",IF(AND(V402&lt;20,W402&lt;55),0.3,0)+IF(AND(V402&lt;20,W402&gt;=55,W402&lt;105),0.23,0)+IF(AND(V402&lt;20,W402&gt;=105),0.17,0)+IF(AND(V402&gt;=20,V402&lt;40,W402&lt;45),0.3,0)+IF(AND(V402&gt;=20,V402&lt;40,W402&gt;=45,W402&lt;95),0.23,0)+IF(AND(V402&gt;=20,V402&lt;40,W402&gt;=95),0.17,0)+IF(AND(V402&gt;=40,V402&lt;75,W402&lt;35),0.3,0)+IF(AND(V402&gt;=40,V402&lt;75,W402&gt;=35,W402&lt;75),0.23,0)+IF(AND(V402&gt;=40,V402&lt;75,W402&gt;=75,W402&lt;120),0.17,0)+IF(AND(V402&gt;=40,V402&lt;75,W402&gt;=120),0.12,0)+IF(AND(V402&gt;=75,V402&lt;175,W402&lt;35),0.3,0)+IF(AND(V402&gt;=75,V402&lt;=175,W402&gt;=35,W402&lt;65),0.23,0)+IF(AND(V402&gt;=75,V402&lt;=175,W402&gt;=65,W402&lt;110),0.17,0)+IF(AND(V402&gt;=75,V402&lt;=175,W402&gt;=110),0.12,0)+IF(AND(V402&gt;175,W402&lt;25),0.3,0)+IF(AND(V402&gt;175,W402&gt;=25,W402&lt;55),0.23,0)+IF(AND(V402&gt;175,W402&gt;=55,W402&lt;95),0.17,0)+IF(AND(V402&gt;175,W402&gt;=95),0.12,0),
IF(AF402="Fix15",0.15,
IF(AF402="Fix11.25",0.1125,
IF(AF402="Fix10",0.1,
IF(AF402="Fix9",0.09,
IF(AF402="DoEV2017",IF(AND(W402&lt;74),0.2,0)+IF(AND(W402&gt;=74),0.17,0),
IF(AF402="SF",IF(AND(V402&lt;20,W402&lt;89),0.3,0)+IF(AND(V402&lt;20,W402&gt;=89),0.25,0)+IF(AND(V402&gt;=20,V402&lt;40,W402&lt;74),0.3,0)+IF(AND(V402&gt;=20,V402&lt;40,W402&gt;=75),0.22,0)+IF(AND(V402&gt;=40,V402&lt;75,W402&lt;75),0.26,0)+IF(AND(V402&gt;=40,V402&lt;75,W402&gt;=75),0.22,0)+IF(V402&gt;=75,0.22,0),
IF(AF402="DoEVold",IF(AND(V402&lt;40,W402&lt;35),0.35,0)+IF(AND(V402&lt;40,W402&gt;=35,W402&lt;75),0.25,0)+IF(AND(V402&lt;40,W402&gt;=75),0.17,0)+IF(AND(V402&gt;=40,V402&lt;75,W402&lt;25),0.35,0)+IF(AND(V402&gt;=40,V402&lt;75,W402&gt;=25,W402&lt;65),0.25,0)+IF(AND(V402&gt;=40,V402&lt;75,W402&gt;=65,W402&lt;100),0.17,0)+IF(AND(V402&gt;=40,V402&lt;75,W402&gt;=100),0.1,0)+IF(AND(V402&gt;=75,W402&lt;25),0.35,0)+IF(AND(V402&gt;=75,W402&gt;=25,W402&lt;60),0.25,0)+IF(AND(V402&gt;=75,W402&gt;=60,W402&lt;95),0.17,0)+IF(AND(V402&gt;=75,W402&gt;=95),0.1,0),
IF(AF402="DoEVold15",IF(AND(V402&lt;=40,W402&lt;35),0.35,0)+IF(AND(V402&lt;=40,W402&gt;=35,W402&lt;75),0.25,0)+IF(AND(V402&lt;=40,W402&gt;=75,W402&lt;120),0.17,0)+IF(AND(V402&lt;=40,W402&gt;=120),0.15,0)+IF(AND(V402&gt;40,V402&lt;75,W402&lt;25),0.35,0)+IF(AND(V402&gt;=40,V402&lt;75,W402&gt;=25,W402&lt;65),0.25,0)+IF(AND(V402&gt;=40,V402&lt;75,W402&gt;=65,W402&lt;100),0.17,0)+IF(AND(V402&gt;=40,V402&lt;75,W402&gt;=100),0.1,0)+IF(AND(V402&gt;=75,W402&lt;25),0.35,0)+IF(AND(V402&gt;=75,W402&gt;=25,W402&lt;60),0.25,0)+IF(AND(V402&gt;=75,W402&gt;=60,W402&lt;95),0.17,0)+IF(AND(V402&gt;=75,W402&gt;=95),0.1,0),
IF(AF402="DoEVba",IF(AND(V402&lt;20,W402&lt;105),0.2,0)+IF(AND(V402&lt;20,W402&gt;=105),0.15,0)+IF(AND(V402&gt;=20,V402&lt;40,W402&lt;95),0.2,0)+IF(AND(V402&gt;=20,V402&lt;40,W402&gt;=95,W402&lt;150),0.15,0)+IF(AND(V402&gt;=20,V402&lt;40,W402&gt;=150),0.12,0)+IF(AND(V402&gt;=40,V402&lt;75,W402&lt;75),0.2,0)+IF(AND(V402&gt;=40,V402&lt;75,W402&gt;=75,W402&lt;120),0.15,0)+IF(AND(V402&gt;=40,V402&lt;75,W402&gt;=120),0.12,0)+IF(AND(V402&gt;=75,V402&lt;175,W402&lt;65),0.2,0)+IF(AND(V402&gt;=75,V402&lt;175,W402&gt;=65,W402&lt;110),0.15,0)+IF(AND(V402&gt;=75,V402&lt;175,W402&gt;=110),0.12,0)+IF(AND(V402&gt;=175,W402&lt;55),0.2,0)+IF(AND(V402&gt;=175,W402&gt;=55,W402&lt;95),0.15,0)+IF(AND(V402&gt;=175,W402&gt;=95),0.12,0),
IF(AF402="DoEVku",IF(AND(V402&lt;20,W402&lt;55),0.23,0)+IF(AND(V402&lt;20,W402&gt;=55,W402&lt;105),0.2,0)+IF(AND(V402&lt;20,W402&gt;=105),0.17,0)+IF(AND(V402&gt;=20,V402&lt;40,W402&lt;45),0.23,0)+IF(AND(V402&gt;=20,V402&lt;40,W402&gt;=45,W402&lt;95),0.2,0)+IF(AND(V402&gt;=20,V402&lt;40,W402&gt;=95,W402&lt;=150),0.17,0)+IF(AND(V402&gt;=20,V402&lt;40,W402&gt;=150),0.12,0)+IF(AND(V402&gt;=40,V402&lt;75,W402&lt;35),0.23,0)+IF(AND(V402&gt;=40,V402&lt;75,W402&gt;=35,W402&lt;75),0.2,0)+IF(AND(V402&gt;=40,V402&lt;75,W402&gt;=75,W402&lt;120),0.17,0)+IF(AND(V402&gt;=40,V402&lt;75,W402&gt;=120),0.12,0)+IF(AND(V402&gt;=75,V402&lt;175,W402&lt;35),0.23,0)+IF(AND(V402&gt;=75,V402&lt;=175,W402&gt;=35,W402&lt;65),0.2,0)+IF(AND(V402&gt;=75,V402&lt;=175,W402&gt;=65,W402&lt;110),0.17,0)+IF(AND(V402&gt;=75,V402&lt;=175,W402&gt;=110),0.12,0)+IF(AND(V402&gt;175,W402&lt;25),0.23,0)+IF(AND(V402&gt;175,W402&gt;=25,W402&lt;55),0.2,0)+IF(AND(V402&gt;175,W402&gt;=55,W402&lt;95),0.17,0)+IF(AND(V402&gt;175,W402&gt;=95),0.12,0),
IF(AF402="DoEVs1",IF(AND(V402&lt;20,W402&lt;55),0.3,0)+IF(AND(V402&lt;20,W402&gt;=55,W402&lt;105),0.23,0)+IF(AND(V402&lt;20,W402&gt;=105),0.17,0)+IF(AND(V402&gt;=20,V402&lt;40,W402&lt;45),0.3,0)+IF(AND(V402&gt;=20,V402&lt;40,W402&gt;=45,W402&lt;95),0.23,0)+IF(AND(V402&gt;=20,V402&lt;40,W402&gt;=95,W402&lt;=150),0.17,0)+IF(AND(V402&gt;=20,V402&lt;40,W402&gt;=150),0.12,0)+IF(AND(V402&gt;=40,V402&lt;75,W402&lt;35),0.3,0)+IF(AND(V402&gt;=40,V402&lt;75,W402&gt;=35,W402&lt;75),0.23,0)+IF(AND(V402&gt;=40,V402&lt;75,W402&gt;=75,W402&lt;120),0.17,0)+IF(AND(V402&gt;=40,V402&lt;75,W402&gt;=120),0.12,0)+IF(AND(V402&gt;=75,V402&lt;175,W402&lt;35),0.3,0)+IF(AND(V402&gt;=75,V402&lt;=175,W402&gt;=35,W402&lt;65),0.23,0)+IF(AND(V402&gt;=75,V402&lt;=175,W402&gt;=65,W402&lt;110),0.17,0)+IF(AND(V402&gt;=75,V402&lt;=175,W402&gt;=110),0.12,0)+IF(AND(V402&gt;175,W402&lt;25),0.3,0)+IF(AND(V402&gt;175,W402&gt;=25,W402&lt;55),0.23,0)+IF(AND(V402&gt;175,W402&gt;=55,W402&lt;95),0.17,0)+IF(AND(V402&gt;175,W402&gt;=95),0.12,0),
IF(AF402="DoEVsu",IF(AND(V402&lt;20,W402&lt;55),0.3,0)+IF(AND(V402&lt;20,W402&gt;=55,W402&lt;105),0.23,0)+IF(AND(V402&lt;20,W402&gt;=105),0.17,0)+IF(AND(V402&gt;=20,V402&lt;40,W402&lt;45),0.3,0)+IF(AND(V402&gt;=20,V402&lt;40,W402&gt;=45,W402&lt;95),0.23,0)+IF(AND(V402&gt;=20,V402&lt;40,W402&gt;=95,W402&lt;=250),0.17,0)+IF(AND(V402&gt;=20,V402&lt;40,W402&gt;=250),0.12,0)+IF(AND(V402&gt;=40,V402&lt;75,W402&lt;35),0.3,0)+IF(AND(V402&gt;=40,V402&lt;75,W402&gt;=35,W402&lt;75),0.23,0)+IF(AND(V402&gt;=40,V402&lt;75,W402&gt;=75,W402&lt;120),0.17,0)+IF(AND(V402&gt;=40,V402&lt;75,W402&gt;=120),0.12,0)+IF(AND(V402&gt;=75,V402&lt;175,W402&lt;35),0.3,0)+IF(AND(V402&gt;=75,V402&lt;=175,W402&gt;=35,W402&lt;65),0.23,0)+IF(AND(V402&gt;=75,V402&lt;=175,W402&gt;=65,W402&lt;110),0.17,0)+IF(AND(V402&gt;=75,V402&lt;=175,W402&gt;=110),0.12,0)+IF(AND(V402&gt;175,W402&lt;25),0.3,0)+IF(AND(V402&gt;175,W402&gt;=25,W402&lt;55),0.23,0)+IF(AND(V402&gt;175,W402&gt;=55,W402&lt;95),0.17,0)+IF(AND(V402&gt;175,W402&gt;=95),0.12,0),
IF(AF402="DoEVni",IF(AND(V402&lt;20,W402&lt;55),0.3,0)+IF(AND(V402&lt;20,W402&gt;=55,W402&lt;105),0.23,0)+IF(AND(V402&lt;20,W402&gt;=105),0.17,0)+IF(AND(V402&gt;=20,V402&lt;40,W402&lt;45),0.3,0)+IF(AND(V402&gt;=20,V402&lt;40,W402&gt;=45,W402&lt;95),0.23,0)+IF(AND(V402&gt;=20,V402&lt;40,W402&gt;=95,W402&lt;=200),0.17,0)+IF(AND(V402&gt;=20,V402&lt;40,W402&gt;=200),0.12,0)+IF(AND(V402&gt;=40,V402&lt;75,W402&lt;35),0.3,0)+IF(AND(V402&gt;=40,V402&lt;75,W402&gt;=35,W402&lt;75),0.23,0)+IF(AND(V402&gt;=40,V402&lt;75,W402&gt;=75,W402&lt;120),0.17,0)+IF(AND(V402&gt;=40,V402&lt;75,W402&gt;=120),0.12,0)+IF(AND(V402&gt;=75,V402&lt;175,W402&lt;35),0.3,0)+IF(AND(V402&gt;=75,V402&lt;=175,W402&gt;=35,W402&lt;65),0.23,0)+IF(AND(V402&gt;=75,V402&lt;=175,W402&gt;=65,W402&lt;110),0.17,0)+IF(AND(V402&gt;=75,V402&lt;=175,W402&gt;=110),0.12,0)+IF(AND(V402&gt;175,W402&lt;25),0.3,0)+IF(AND(V402&gt;175,W402&gt;=25,W402&lt;55),0.23,0)+IF(AND(V402&gt;175,W402&gt;=55,W402&lt;95),0.17,0)+IF(AND(V402&gt;175,W402&gt;=95),0.12,0),
IF(AF402="DoEVLo",IF(AND(V402&lt;20,W402&lt;55),0.25,0)+IF(AND(V402&lt;20,W402&gt;=55,W402&lt;105),0.2,0)+IF(AND(V402&lt;20,W402&gt;=105),0.15,0)+IF(AND(V402&gt;=20,V402&lt;40,W402&lt;45),0.25,0)+IF(AND(V402&gt;=20,V402&lt;40,W402&gt;=45,W402&lt;95),0.2,0)+IF(AND(V402&gt;=20,V402&lt;40,W402&gt;=95),0.15,0)+IF(AND(V402&gt;=40,V402&lt;75,W402&lt;35),0.25,0)+IF(AND(V402&gt;=40,V402&lt;75,W402&gt;=35,W402&lt;75),0.2,0)+IF(AND(V402&gt;=40,V402&lt;75,W402&gt;=75,W402&lt;120),0.15,0)+IF(AND(V402&gt;=40,V402&lt;75,W402&gt;=120),0.1,0)+IF(AND(V402&gt;=75,V402&lt;175,W402&lt;35),0.25,0)+IF(AND(V402&gt;=75,V402&lt;=175,W402&gt;=35,W402&lt;65),0.2,0)+IF(AND(V402&gt;=75,V402&lt;=175,W402&gt;=65,W402&lt;110),0.15,0)+IF(AND(V402&gt;=75,V402&lt;=175,W402&gt;=110),0.1,0)+IF(AND(V402&gt;175,W402&lt;25),0.25,0)+IF(AND(V402&gt;175,W402&gt;=25,W402&lt;55),0.2,0)+IF(AND(V402&gt;175,W402&gt;=55,W402&lt;95),0.15,0)+IF(AND(V402&gt;175,W402&gt;=95),0.1,0))))))))))))))))</f>
        <v>0.23</v>
      </c>
      <c r="Y402" s="30">
        <f>IF(AG402="None",0,IF(AG402="Fix5",0.05,IF(AG402="Fix3.75",0.0375,IF(AG402="Fix10",0.1,IF(AG402="Fix3",0.03,0)))))</f>
        <v>0</v>
      </c>
      <c r="Z402" s="35">
        <f>T402-AA402-AB402</f>
        <v>721.49</v>
      </c>
      <c r="AA402" s="29">
        <f>IF(AD402="EUR",((T402-R402)*X402)*U402+(R402*X402),(T402*X402))</f>
        <v>215.51000000000002</v>
      </c>
      <c r="AB402" s="36">
        <f>IF(AD402="EUR",((T402-R402)*Y402)*U402+(R402*Y402),(T402*Y402))</f>
        <v>0</v>
      </c>
      <c r="AC402" s="37" t="b">
        <v>1</v>
      </c>
      <c r="AD402" s="37" t="s">
        <v>38</v>
      </c>
      <c r="AE402" s="37" t="s">
        <v>38</v>
      </c>
      <c r="AF402" s="37" t="str">
        <f t="array" ref="AF402">INDEX('Deal Info'!D:D, MATCH(A402,'Deal Info'!A:A, 0))</f>
        <v>DoEV</v>
      </c>
      <c r="AG402" s="38" t="str">
        <f t="array" ref="AG402">INDEX('Deal Info'!G:G, MATCH(A402,'Deal Info'!A:A, 0))</f>
        <v>None</v>
      </c>
    </row>
    <row r="403" spans="1:33" ht="14.25" hidden="1" x14ac:dyDescent="0.2">
      <c r="A403" s="18" t="str">
        <f t="array" ref="A403">IF(G403='Room Info'!$B$1, INDEX('Room Info'!$A$2:$A2446, MATCH(B403,'Room Info'!$B$2:$B2446, 0)),IF(G403='Room Info'!$C$1, INDEX('Room Info'!$A$2:$A2446, MATCH(B403,'Room Info'!$C$2:$C2446, 0)),IF(G403='Room Info'!$D$1, INDEX('Room Info'!$A$2:$A2446, MATCH(B403,'Room Info'!$D$2:$D2446, 0)),IF(G403='Room Info'!$E$1, INDEX('Room Info'!$A$2:$A2446, MATCH(B403,'Room Info'!$E$2:$E2446, 0)),IF(G403='Room Info'!$F$1, INDEX('Room Info'!$A$2:$A2446, MATCH(B403,'Room Info'!$F$2:$F2446, 0)),IF(G403='Room Info'!$H$1, INDEX('Room Info'!$A$2:$A2446, MATCH(B403,'Room Info'!$H$2:$H2446, 0)),IF(G403='Room Info'!$G$1, INDEX('Room Info'!$A$2:$A2446, MATCH(B403,'Room Info'!$G$2:$G2446, 0)))))))))</f>
        <v>CrippledMind</v>
      </c>
      <c r="B403" s="45" t="s">
        <v>125</v>
      </c>
      <c r="C403" s="46">
        <v>44672</v>
      </c>
      <c r="D403" s="46">
        <v>44701</v>
      </c>
      <c r="E403" s="47">
        <v>44682</v>
      </c>
      <c r="F403" s="48" t="s">
        <v>34</v>
      </c>
      <c r="G403" s="45" t="s">
        <v>35</v>
      </c>
      <c r="H403" s="49" t="s">
        <v>40</v>
      </c>
      <c r="I403" s="49" t="s">
        <v>37</v>
      </c>
      <c r="J403" s="70">
        <v>10</v>
      </c>
      <c r="K403" s="71">
        <v>1308</v>
      </c>
      <c r="L403" s="52">
        <v>190</v>
      </c>
      <c r="M403" s="53">
        <v>801</v>
      </c>
      <c r="N403" s="28">
        <f>K403*J403</f>
        <v>13080</v>
      </c>
      <c r="O403" s="54">
        <v>66660</v>
      </c>
      <c r="P403" s="29">
        <v>50.963302749999997</v>
      </c>
      <c r="Q403" s="55"/>
      <c r="R403" s="31">
        <f>M403+Q403</f>
        <v>801</v>
      </c>
      <c r="S403" s="56">
        <v>266</v>
      </c>
      <c r="T403" s="32">
        <f>R403+S403+IF(F403="Without EV deal",L403,0)</f>
        <v>1067</v>
      </c>
      <c r="U403" s="57">
        <v>1</v>
      </c>
      <c r="V403" s="69">
        <v>11.946107784431138</v>
      </c>
      <c r="W403" s="69">
        <v>98.944360902255639</v>
      </c>
      <c r="X403" s="30">
        <f>IF(AF403="DoEV",IF(AND(V403&lt;20,W403&lt;55),0.3,0)+IF(AND(V403&lt;20,W403&gt;=55,W403&lt;105),0.23,0)+IF(AND(V403&lt;20,W403&gt;=105),0.17,0)+IF(AND(V403&gt;=20,V403&lt;40,W403&lt;45),0.3,0)+IF(AND(V403&gt;=20,V403&lt;40,W403&gt;=45,W403&lt;95),0.23,0)+IF(AND(V403&gt;=20,V403&lt;40,W403&gt;=95),0.17,0)+IF(AND(V403&gt;=40,V403&lt;75,W403&lt;35),0.3,0)+IF(AND(V403&gt;=40,V403&lt;75,W403&gt;=35,W403&lt;75),0.23,0)+IF(AND(V403&gt;=40,V403&lt;75,W403&gt;=75,W403&lt;120),0.17,0)+IF(AND(V403&gt;=40,V403&lt;75,W403&gt;=120),0.12,0)+IF(AND(V403&gt;=75,V403&lt;175,W403&lt;35),0.3,0)+IF(AND(V403&gt;=75,V403&lt;=175,W403&gt;=35,W403&lt;65),0.23,0)+IF(AND(V403&gt;=75,V403&lt;=175,W403&gt;=65,W403&lt;110),0.17,0)+IF(AND(V403&gt;=75,V403&lt;=175,W403&gt;=110),0.12,0)+IF(AND(V403&gt;175,W403&lt;25),0.3,0)+IF(AND(V403&gt;175,W403&gt;=25,W403&lt;55),0.23,0)+IF(AND(V403&gt;175,W403&gt;=55,W403&lt;95),0.17,0)+IF(AND(V403&gt;175,W403&gt;=95),0.12,0),
IF(AF403="Fix15",0.15,
IF(AF403="Fix11.25",0.1125,
IF(AF403="Fix10",0.1,
IF(AF403="Fix9",0.09,
IF(AF403="DoEV2017",IF(AND(W403&lt;74),0.2,0)+IF(AND(W403&gt;=74),0.17,0),
IF(AF403="SF",IF(AND(V403&lt;20,W403&lt;89),0.3,0)+IF(AND(V403&lt;20,W403&gt;=89),0.25,0)+IF(AND(V403&gt;=20,V403&lt;40,W403&lt;74),0.3,0)+IF(AND(V403&gt;=20,V403&lt;40,W403&gt;=75),0.22,0)+IF(AND(V403&gt;=40,V403&lt;75,W403&lt;75),0.26,0)+IF(AND(V403&gt;=40,V403&lt;75,W403&gt;=75),0.22,0)+IF(V403&gt;=75,0.22,0),
IF(AF403="DoEVold",IF(AND(V403&lt;40,W403&lt;35),0.35,0)+IF(AND(V403&lt;40,W403&gt;=35,W403&lt;75),0.25,0)+IF(AND(V403&lt;40,W403&gt;=75),0.17,0)+IF(AND(V403&gt;=40,V403&lt;75,W403&lt;25),0.35,0)+IF(AND(V403&gt;=40,V403&lt;75,W403&gt;=25,W403&lt;65),0.25,0)+IF(AND(V403&gt;=40,V403&lt;75,W403&gt;=65,W403&lt;100),0.17,0)+IF(AND(V403&gt;=40,V403&lt;75,W403&gt;=100),0.1,0)+IF(AND(V403&gt;=75,W403&lt;25),0.35,0)+IF(AND(V403&gt;=75,W403&gt;=25,W403&lt;60),0.25,0)+IF(AND(V403&gt;=75,W403&gt;=60,W403&lt;95),0.17,0)+IF(AND(V403&gt;=75,W403&gt;=95),0.1,0),
IF(AF403="DoEVold15",IF(AND(V403&lt;=40,W403&lt;35),0.35,0)+IF(AND(V403&lt;=40,W403&gt;=35,W403&lt;75),0.25,0)+IF(AND(V403&lt;=40,W403&gt;=75,W403&lt;120),0.17,0)+IF(AND(V403&lt;=40,W403&gt;=120),0.15,0)+IF(AND(V403&gt;40,V403&lt;75,W403&lt;25),0.35,0)+IF(AND(V403&gt;=40,V403&lt;75,W403&gt;=25,W403&lt;65),0.25,0)+IF(AND(V403&gt;=40,V403&lt;75,W403&gt;=65,W403&lt;100),0.17,0)+IF(AND(V403&gt;=40,V403&lt;75,W403&gt;=100),0.1,0)+IF(AND(V403&gt;=75,W403&lt;25),0.35,0)+IF(AND(V403&gt;=75,W403&gt;=25,W403&lt;60),0.25,0)+IF(AND(V403&gt;=75,W403&gt;=60,W403&lt;95),0.17,0)+IF(AND(V403&gt;=75,W403&gt;=95),0.1,0),
IF(AF403="DoEVba",IF(AND(V403&lt;20,W403&lt;105),0.2,0)+IF(AND(V403&lt;20,W403&gt;=105),0.15,0)+IF(AND(V403&gt;=20,V403&lt;40,W403&lt;95),0.2,0)+IF(AND(V403&gt;=20,V403&lt;40,W403&gt;=95,W403&lt;150),0.15,0)+IF(AND(V403&gt;=20,V403&lt;40,W403&gt;=150),0.12,0)+IF(AND(V403&gt;=40,V403&lt;75,W403&lt;75),0.2,0)+IF(AND(V403&gt;=40,V403&lt;75,W403&gt;=75,W403&lt;120),0.15,0)+IF(AND(V403&gt;=40,V403&lt;75,W403&gt;=120),0.12,0)+IF(AND(V403&gt;=75,V403&lt;175,W403&lt;65),0.2,0)+IF(AND(V403&gt;=75,V403&lt;175,W403&gt;=65,W403&lt;110),0.15,0)+IF(AND(V403&gt;=75,V403&lt;175,W403&gt;=110),0.12,0)+IF(AND(V403&gt;=175,W403&lt;55),0.2,0)+IF(AND(V403&gt;=175,W403&gt;=55,W403&lt;95),0.15,0)+IF(AND(V403&gt;=175,W403&gt;=95),0.12,0),
IF(AF403="DoEVku",IF(AND(V403&lt;20,W403&lt;55),0.23,0)+IF(AND(V403&lt;20,W403&gt;=55,W403&lt;105),0.2,0)+IF(AND(V403&lt;20,W403&gt;=105),0.17,0)+IF(AND(V403&gt;=20,V403&lt;40,W403&lt;45),0.23,0)+IF(AND(V403&gt;=20,V403&lt;40,W403&gt;=45,W403&lt;95),0.2,0)+IF(AND(V403&gt;=20,V403&lt;40,W403&gt;=95,W403&lt;=150),0.17,0)+IF(AND(V403&gt;=20,V403&lt;40,W403&gt;=150),0.12,0)+IF(AND(V403&gt;=40,V403&lt;75,W403&lt;35),0.23,0)+IF(AND(V403&gt;=40,V403&lt;75,W403&gt;=35,W403&lt;75),0.2,0)+IF(AND(V403&gt;=40,V403&lt;75,W403&gt;=75,W403&lt;120),0.17,0)+IF(AND(V403&gt;=40,V403&lt;75,W403&gt;=120),0.12,0)+IF(AND(V403&gt;=75,V403&lt;175,W403&lt;35),0.23,0)+IF(AND(V403&gt;=75,V403&lt;=175,W403&gt;=35,W403&lt;65),0.2,0)+IF(AND(V403&gt;=75,V403&lt;=175,W403&gt;=65,W403&lt;110),0.17,0)+IF(AND(V403&gt;=75,V403&lt;=175,W403&gt;=110),0.12,0)+IF(AND(V403&gt;175,W403&lt;25),0.23,0)+IF(AND(V403&gt;175,W403&gt;=25,W403&lt;55),0.2,0)+IF(AND(V403&gt;175,W403&gt;=55,W403&lt;95),0.17,0)+IF(AND(V403&gt;175,W403&gt;=95),0.12,0),
IF(AF403="DoEVs1",IF(AND(V403&lt;20,W403&lt;55),0.3,0)+IF(AND(V403&lt;20,W403&gt;=55,W403&lt;105),0.23,0)+IF(AND(V403&lt;20,W403&gt;=105),0.17,0)+IF(AND(V403&gt;=20,V403&lt;40,W403&lt;45),0.3,0)+IF(AND(V403&gt;=20,V403&lt;40,W403&gt;=45,W403&lt;95),0.23,0)+IF(AND(V403&gt;=20,V403&lt;40,W403&gt;=95,W403&lt;=150),0.17,0)+IF(AND(V403&gt;=20,V403&lt;40,W403&gt;=150),0.12,0)+IF(AND(V403&gt;=40,V403&lt;75,W403&lt;35),0.3,0)+IF(AND(V403&gt;=40,V403&lt;75,W403&gt;=35,W403&lt;75),0.23,0)+IF(AND(V403&gt;=40,V403&lt;75,W403&gt;=75,W403&lt;120),0.17,0)+IF(AND(V403&gt;=40,V403&lt;75,W403&gt;=120),0.12,0)+IF(AND(V403&gt;=75,V403&lt;175,W403&lt;35),0.3,0)+IF(AND(V403&gt;=75,V403&lt;=175,W403&gt;=35,W403&lt;65),0.23,0)+IF(AND(V403&gt;=75,V403&lt;=175,W403&gt;=65,W403&lt;110),0.17,0)+IF(AND(V403&gt;=75,V403&lt;=175,W403&gt;=110),0.12,0)+IF(AND(V403&gt;175,W403&lt;25),0.3,0)+IF(AND(V403&gt;175,W403&gt;=25,W403&lt;55),0.23,0)+IF(AND(V403&gt;175,W403&gt;=55,W403&lt;95),0.17,0)+IF(AND(V403&gt;175,W403&gt;=95),0.12,0),
IF(AF403="DoEVsu",IF(AND(V403&lt;20,W403&lt;55),0.3,0)+IF(AND(V403&lt;20,W403&gt;=55,W403&lt;105),0.23,0)+IF(AND(V403&lt;20,W403&gt;=105),0.17,0)+IF(AND(V403&gt;=20,V403&lt;40,W403&lt;45),0.3,0)+IF(AND(V403&gt;=20,V403&lt;40,W403&gt;=45,W403&lt;95),0.23,0)+IF(AND(V403&gt;=20,V403&lt;40,W403&gt;=95,W403&lt;=250),0.17,0)+IF(AND(V403&gt;=20,V403&lt;40,W403&gt;=250),0.12,0)+IF(AND(V403&gt;=40,V403&lt;75,W403&lt;35),0.3,0)+IF(AND(V403&gt;=40,V403&lt;75,W403&gt;=35,W403&lt;75),0.23,0)+IF(AND(V403&gt;=40,V403&lt;75,W403&gt;=75,W403&lt;120),0.17,0)+IF(AND(V403&gt;=40,V403&lt;75,W403&gt;=120),0.12,0)+IF(AND(V403&gt;=75,V403&lt;175,W403&lt;35),0.3,0)+IF(AND(V403&gt;=75,V403&lt;=175,W403&gt;=35,W403&lt;65),0.23,0)+IF(AND(V403&gt;=75,V403&lt;=175,W403&gt;=65,W403&lt;110),0.17,0)+IF(AND(V403&gt;=75,V403&lt;=175,W403&gt;=110),0.12,0)+IF(AND(V403&gt;175,W403&lt;25),0.3,0)+IF(AND(V403&gt;175,W403&gt;=25,W403&lt;55),0.23,0)+IF(AND(V403&gt;175,W403&gt;=55,W403&lt;95),0.17,0)+IF(AND(V403&gt;175,W403&gt;=95),0.12,0),
IF(AF403="DoEVni",IF(AND(V403&lt;20,W403&lt;55),0.3,0)+IF(AND(V403&lt;20,W403&gt;=55,W403&lt;105),0.23,0)+IF(AND(V403&lt;20,W403&gt;=105),0.17,0)+IF(AND(V403&gt;=20,V403&lt;40,W403&lt;45),0.3,0)+IF(AND(V403&gt;=20,V403&lt;40,W403&gt;=45,W403&lt;95),0.23,0)+IF(AND(V403&gt;=20,V403&lt;40,W403&gt;=95,W403&lt;=200),0.17,0)+IF(AND(V403&gt;=20,V403&lt;40,W403&gt;=200),0.12,0)+IF(AND(V403&gt;=40,V403&lt;75,W403&lt;35),0.3,0)+IF(AND(V403&gt;=40,V403&lt;75,W403&gt;=35,W403&lt;75),0.23,0)+IF(AND(V403&gt;=40,V403&lt;75,W403&gt;=75,W403&lt;120),0.17,0)+IF(AND(V403&gt;=40,V403&lt;75,W403&gt;=120),0.12,0)+IF(AND(V403&gt;=75,V403&lt;175,W403&lt;35),0.3,0)+IF(AND(V403&gt;=75,V403&lt;=175,W403&gt;=35,W403&lt;65),0.23,0)+IF(AND(V403&gt;=75,V403&lt;=175,W403&gt;=65,W403&lt;110),0.17,0)+IF(AND(V403&gt;=75,V403&lt;=175,W403&gt;=110),0.12,0)+IF(AND(V403&gt;175,W403&lt;25),0.3,0)+IF(AND(V403&gt;175,W403&gt;=25,W403&lt;55),0.23,0)+IF(AND(V403&gt;175,W403&gt;=55,W403&lt;95),0.17,0)+IF(AND(V403&gt;175,W403&gt;=95),0.12,0),
IF(AF403="DoEVLo",IF(AND(V403&lt;20,W403&lt;55),0.25,0)+IF(AND(V403&lt;20,W403&gt;=55,W403&lt;105),0.2,0)+IF(AND(V403&lt;20,W403&gt;=105),0.15,0)+IF(AND(V403&gt;=20,V403&lt;40,W403&lt;45),0.25,0)+IF(AND(V403&gt;=20,V403&lt;40,W403&gt;=45,W403&lt;95),0.2,0)+IF(AND(V403&gt;=20,V403&lt;40,W403&gt;=95),0.15,0)+IF(AND(V403&gt;=40,V403&lt;75,W403&lt;35),0.25,0)+IF(AND(V403&gt;=40,V403&lt;75,W403&gt;=35,W403&lt;75),0.2,0)+IF(AND(V403&gt;=40,V403&lt;75,W403&gt;=75,W403&lt;120),0.15,0)+IF(AND(V403&gt;=40,V403&lt;75,W403&gt;=120),0.1,0)+IF(AND(V403&gt;=75,V403&lt;175,W403&lt;35),0.25,0)+IF(AND(V403&gt;=75,V403&lt;=175,W403&gt;=35,W403&lt;65),0.2,0)+IF(AND(V403&gt;=75,V403&lt;=175,W403&gt;=65,W403&lt;110),0.15,0)+IF(AND(V403&gt;=75,V403&lt;=175,W403&gt;=110),0.1,0)+IF(AND(V403&gt;175,W403&lt;25),0.25,0)+IF(AND(V403&gt;175,W403&gt;=25,W403&lt;55),0.2,0)+IF(AND(V403&gt;175,W403&gt;=55,W403&lt;95),0.15,0)+IF(AND(V403&gt;175,W403&gt;=95),0.1,0))))))))))))))))</f>
        <v>0.23</v>
      </c>
      <c r="Y403" s="30">
        <f>IF(AG403="None",0,IF(AG403="Fix5",0.05,IF(AG403="Fix3.75",0.0375,IF(AG403="Fix10",0.1,IF(AG403="Fix3",0.03,0)))))</f>
        <v>0</v>
      </c>
      <c r="Z403" s="35">
        <f>T403-AA403-AB403</f>
        <v>821.59</v>
      </c>
      <c r="AA403" s="29">
        <f>IF(AD403="EUR",((T403-R403)*X403)*U403+(R403*X403),(T403*X403))</f>
        <v>245.41</v>
      </c>
      <c r="AB403" s="36">
        <f>IF(AD403="EUR",((T403-R403)*Y403)*U403+(R403*Y403),(T403*Y403))</f>
        <v>0</v>
      </c>
      <c r="AC403" s="37" t="b">
        <v>1</v>
      </c>
      <c r="AD403" s="37" t="s">
        <v>38</v>
      </c>
      <c r="AE403" s="37" t="s">
        <v>38</v>
      </c>
      <c r="AF403" s="37" t="str">
        <f t="array" ref="AF403">INDEX('Deal Info'!D:D, MATCH(A403,'Deal Info'!A:A, 0))</f>
        <v>DoEV</v>
      </c>
      <c r="AG403" s="38" t="str">
        <f t="array" ref="AG403">INDEX('Deal Info'!G:G, MATCH(A403,'Deal Info'!A:A, 0))</f>
        <v>None</v>
      </c>
    </row>
    <row r="404" spans="1:33" ht="14.25" hidden="1" x14ac:dyDescent="0.2">
      <c r="A404" s="18" t="str">
        <f t="array" ref="A404">IF(G404='Room Info'!$B$1, INDEX('Room Info'!$A$2:$A2446, MATCH(B404,'Room Info'!$B$2:$B2446, 0)),IF(G404='Room Info'!$C$1, INDEX('Room Info'!$A$2:$A2446, MATCH(B404,'Room Info'!$C$2:$C2446, 0)),IF(G404='Room Info'!$D$1, INDEX('Room Info'!$A$2:$A2446, MATCH(B404,'Room Info'!$D$2:$D2446, 0)),IF(G404='Room Info'!$E$1, INDEX('Room Info'!$A$2:$A2446, MATCH(B404,'Room Info'!$E$2:$E2446, 0)),IF(G404='Room Info'!$F$1, INDEX('Room Info'!$A$2:$A2446, MATCH(B404,'Room Info'!$F$2:$F2446, 0)),IF(G404='Room Info'!$H$1, INDEX('Room Info'!$A$2:$A2446, MATCH(B404,'Room Info'!$H$2:$H2446, 0)),IF(G404='Room Info'!$G$1, INDEX('Room Info'!$A$2:$A2446, MATCH(B404,'Room Info'!$G$2:$G2446, 0)))))))))</f>
        <v>CrippledMind</v>
      </c>
      <c r="B404" s="45" t="s">
        <v>125</v>
      </c>
      <c r="C404" s="46">
        <v>44672</v>
      </c>
      <c r="D404" s="46">
        <v>44701</v>
      </c>
      <c r="E404" s="47">
        <v>44682</v>
      </c>
      <c r="F404" s="48" t="s">
        <v>34</v>
      </c>
      <c r="G404" s="45" t="s">
        <v>35</v>
      </c>
      <c r="H404" s="49" t="s">
        <v>46</v>
      </c>
      <c r="I404" s="49" t="s">
        <v>37</v>
      </c>
      <c r="J404" s="70">
        <v>25</v>
      </c>
      <c r="K404" s="71">
        <v>195</v>
      </c>
      <c r="L404" s="52">
        <v>0</v>
      </c>
      <c r="M404" s="53">
        <v>256</v>
      </c>
      <c r="N404" s="28">
        <f>K404*J404</f>
        <v>4875</v>
      </c>
      <c r="O404" s="54">
        <v>3603</v>
      </c>
      <c r="P404" s="29">
        <v>18.476923079999999</v>
      </c>
      <c r="Q404" s="55"/>
      <c r="R404" s="31">
        <f>M404+Q404</f>
        <v>256</v>
      </c>
      <c r="S404" s="56">
        <v>-141</v>
      </c>
      <c r="T404" s="32">
        <f>R404+S404+IF(F404="Without EV deal",L404,0)</f>
        <v>115</v>
      </c>
      <c r="U404" s="57">
        <v>1</v>
      </c>
      <c r="V404" s="69">
        <v>11.946107784431138</v>
      </c>
      <c r="W404" s="69">
        <v>98.944360902255639</v>
      </c>
      <c r="X404" s="30">
        <f>IF(AF404="DoEV",IF(AND(V404&lt;20,W404&lt;55),0.3,0)+IF(AND(V404&lt;20,W404&gt;=55,W404&lt;105),0.23,0)+IF(AND(V404&lt;20,W404&gt;=105),0.17,0)+IF(AND(V404&gt;=20,V404&lt;40,W404&lt;45),0.3,0)+IF(AND(V404&gt;=20,V404&lt;40,W404&gt;=45,W404&lt;95),0.23,0)+IF(AND(V404&gt;=20,V404&lt;40,W404&gt;=95),0.17,0)+IF(AND(V404&gt;=40,V404&lt;75,W404&lt;35),0.3,0)+IF(AND(V404&gt;=40,V404&lt;75,W404&gt;=35,W404&lt;75),0.23,0)+IF(AND(V404&gt;=40,V404&lt;75,W404&gt;=75,W404&lt;120),0.17,0)+IF(AND(V404&gt;=40,V404&lt;75,W404&gt;=120),0.12,0)+IF(AND(V404&gt;=75,V404&lt;175,W404&lt;35),0.3,0)+IF(AND(V404&gt;=75,V404&lt;=175,W404&gt;=35,W404&lt;65),0.23,0)+IF(AND(V404&gt;=75,V404&lt;=175,W404&gt;=65,W404&lt;110),0.17,0)+IF(AND(V404&gt;=75,V404&lt;=175,W404&gt;=110),0.12,0)+IF(AND(V404&gt;175,W404&lt;25),0.3,0)+IF(AND(V404&gt;175,W404&gt;=25,W404&lt;55),0.23,0)+IF(AND(V404&gt;175,W404&gt;=55,W404&lt;95),0.17,0)+IF(AND(V404&gt;175,W404&gt;=95),0.12,0),
IF(AF404="Fix15",0.15,
IF(AF404="Fix11.25",0.1125,
IF(AF404="Fix10",0.1,
IF(AF404="Fix9",0.09,
IF(AF404="DoEV2017",IF(AND(W404&lt;74),0.2,0)+IF(AND(W404&gt;=74),0.17,0),
IF(AF404="SF",IF(AND(V404&lt;20,W404&lt;89),0.3,0)+IF(AND(V404&lt;20,W404&gt;=89),0.25,0)+IF(AND(V404&gt;=20,V404&lt;40,W404&lt;74),0.3,0)+IF(AND(V404&gt;=20,V404&lt;40,W404&gt;=75),0.22,0)+IF(AND(V404&gt;=40,V404&lt;75,W404&lt;75),0.26,0)+IF(AND(V404&gt;=40,V404&lt;75,W404&gt;=75),0.22,0)+IF(V404&gt;=75,0.22,0),
IF(AF404="DoEVold",IF(AND(V404&lt;40,W404&lt;35),0.35,0)+IF(AND(V404&lt;40,W404&gt;=35,W404&lt;75),0.25,0)+IF(AND(V404&lt;40,W404&gt;=75),0.17,0)+IF(AND(V404&gt;=40,V404&lt;75,W404&lt;25),0.35,0)+IF(AND(V404&gt;=40,V404&lt;75,W404&gt;=25,W404&lt;65),0.25,0)+IF(AND(V404&gt;=40,V404&lt;75,W404&gt;=65,W404&lt;100),0.17,0)+IF(AND(V404&gt;=40,V404&lt;75,W404&gt;=100),0.1,0)+IF(AND(V404&gt;=75,W404&lt;25),0.35,0)+IF(AND(V404&gt;=75,W404&gt;=25,W404&lt;60),0.25,0)+IF(AND(V404&gt;=75,W404&gt;=60,W404&lt;95),0.17,0)+IF(AND(V404&gt;=75,W404&gt;=95),0.1,0),
IF(AF404="DoEVold15",IF(AND(V404&lt;=40,W404&lt;35),0.35,0)+IF(AND(V404&lt;=40,W404&gt;=35,W404&lt;75),0.25,0)+IF(AND(V404&lt;=40,W404&gt;=75,W404&lt;120),0.17,0)+IF(AND(V404&lt;=40,W404&gt;=120),0.15,0)+IF(AND(V404&gt;40,V404&lt;75,W404&lt;25),0.35,0)+IF(AND(V404&gt;=40,V404&lt;75,W404&gt;=25,W404&lt;65),0.25,0)+IF(AND(V404&gt;=40,V404&lt;75,W404&gt;=65,W404&lt;100),0.17,0)+IF(AND(V404&gt;=40,V404&lt;75,W404&gt;=100),0.1,0)+IF(AND(V404&gt;=75,W404&lt;25),0.35,0)+IF(AND(V404&gt;=75,W404&gt;=25,W404&lt;60),0.25,0)+IF(AND(V404&gt;=75,W404&gt;=60,W404&lt;95),0.17,0)+IF(AND(V404&gt;=75,W404&gt;=95),0.1,0),
IF(AF404="DoEVba",IF(AND(V404&lt;20,W404&lt;105),0.2,0)+IF(AND(V404&lt;20,W404&gt;=105),0.15,0)+IF(AND(V404&gt;=20,V404&lt;40,W404&lt;95),0.2,0)+IF(AND(V404&gt;=20,V404&lt;40,W404&gt;=95,W404&lt;150),0.15,0)+IF(AND(V404&gt;=20,V404&lt;40,W404&gt;=150),0.12,0)+IF(AND(V404&gt;=40,V404&lt;75,W404&lt;75),0.2,0)+IF(AND(V404&gt;=40,V404&lt;75,W404&gt;=75,W404&lt;120),0.15,0)+IF(AND(V404&gt;=40,V404&lt;75,W404&gt;=120),0.12,0)+IF(AND(V404&gt;=75,V404&lt;175,W404&lt;65),0.2,0)+IF(AND(V404&gt;=75,V404&lt;175,W404&gt;=65,W404&lt;110),0.15,0)+IF(AND(V404&gt;=75,V404&lt;175,W404&gt;=110),0.12,0)+IF(AND(V404&gt;=175,W404&lt;55),0.2,0)+IF(AND(V404&gt;=175,W404&gt;=55,W404&lt;95),0.15,0)+IF(AND(V404&gt;=175,W404&gt;=95),0.12,0),
IF(AF404="DoEVku",IF(AND(V404&lt;20,W404&lt;55),0.23,0)+IF(AND(V404&lt;20,W404&gt;=55,W404&lt;105),0.2,0)+IF(AND(V404&lt;20,W404&gt;=105),0.17,0)+IF(AND(V404&gt;=20,V404&lt;40,W404&lt;45),0.23,0)+IF(AND(V404&gt;=20,V404&lt;40,W404&gt;=45,W404&lt;95),0.2,0)+IF(AND(V404&gt;=20,V404&lt;40,W404&gt;=95,W404&lt;=150),0.17,0)+IF(AND(V404&gt;=20,V404&lt;40,W404&gt;=150),0.12,0)+IF(AND(V404&gt;=40,V404&lt;75,W404&lt;35),0.23,0)+IF(AND(V404&gt;=40,V404&lt;75,W404&gt;=35,W404&lt;75),0.2,0)+IF(AND(V404&gt;=40,V404&lt;75,W404&gt;=75,W404&lt;120),0.17,0)+IF(AND(V404&gt;=40,V404&lt;75,W404&gt;=120),0.12,0)+IF(AND(V404&gt;=75,V404&lt;175,W404&lt;35),0.23,0)+IF(AND(V404&gt;=75,V404&lt;=175,W404&gt;=35,W404&lt;65),0.2,0)+IF(AND(V404&gt;=75,V404&lt;=175,W404&gt;=65,W404&lt;110),0.17,0)+IF(AND(V404&gt;=75,V404&lt;=175,W404&gt;=110),0.12,0)+IF(AND(V404&gt;175,W404&lt;25),0.23,0)+IF(AND(V404&gt;175,W404&gt;=25,W404&lt;55),0.2,0)+IF(AND(V404&gt;175,W404&gt;=55,W404&lt;95),0.17,0)+IF(AND(V404&gt;175,W404&gt;=95),0.12,0),
IF(AF404="DoEVs1",IF(AND(V404&lt;20,W404&lt;55),0.3,0)+IF(AND(V404&lt;20,W404&gt;=55,W404&lt;105),0.23,0)+IF(AND(V404&lt;20,W404&gt;=105),0.17,0)+IF(AND(V404&gt;=20,V404&lt;40,W404&lt;45),0.3,0)+IF(AND(V404&gt;=20,V404&lt;40,W404&gt;=45,W404&lt;95),0.23,0)+IF(AND(V404&gt;=20,V404&lt;40,W404&gt;=95,W404&lt;=150),0.17,0)+IF(AND(V404&gt;=20,V404&lt;40,W404&gt;=150),0.12,0)+IF(AND(V404&gt;=40,V404&lt;75,W404&lt;35),0.3,0)+IF(AND(V404&gt;=40,V404&lt;75,W404&gt;=35,W404&lt;75),0.23,0)+IF(AND(V404&gt;=40,V404&lt;75,W404&gt;=75,W404&lt;120),0.17,0)+IF(AND(V404&gt;=40,V404&lt;75,W404&gt;=120),0.12,0)+IF(AND(V404&gt;=75,V404&lt;175,W404&lt;35),0.3,0)+IF(AND(V404&gt;=75,V404&lt;=175,W404&gt;=35,W404&lt;65),0.23,0)+IF(AND(V404&gt;=75,V404&lt;=175,W404&gt;=65,W404&lt;110),0.17,0)+IF(AND(V404&gt;=75,V404&lt;=175,W404&gt;=110),0.12,0)+IF(AND(V404&gt;175,W404&lt;25),0.3,0)+IF(AND(V404&gt;175,W404&gt;=25,W404&lt;55),0.23,0)+IF(AND(V404&gt;175,W404&gt;=55,W404&lt;95),0.17,0)+IF(AND(V404&gt;175,W404&gt;=95),0.12,0),
IF(AF404="DoEVsu",IF(AND(V404&lt;20,W404&lt;55),0.3,0)+IF(AND(V404&lt;20,W404&gt;=55,W404&lt;105),0.23,0)+IF(AND(V404&lt;20,W404&gt;=105),0.17,0)+IF(AND(V404&gt;=20,V404&lt;40,W404&lt;45),0.3,0)+IF(AND(V404&gt;=20,V404&lt;40,W404&gt;=45,W404&lt;95),0.23,0)+IF(AND(V404&gt;=20,V404&lt;40,W404&gt;=95,W404&lt;=250),0.17,0)+IF(AND(V404&gt;=20,V404&lt;40,W404&gt;=250),0.12,0)+IF(AND(V404&gt;=40,V404&lt;75,W404&lt;35),0.3,0)+IF(AND(V404&gt;=40,V404&lt;75,W404&gt;=35,W404&lt;75),0.23,0)+IF(AND(V404&gt;=40,V404&lt;75,W404&gt;=75,W404&lt;120),0.17,0)+IF(AND(V404&gt;=40,V404&lt;75,W404&gt;=120),0.12,0)+IF(AND(V404&gt;=75,V404&lt;175,W404&lt;35),0.3,0)+IF(AND(V404&gt;=75,V404&lt;=175,W404&gt;=35,W404&lt;65),0.23,0)+IF(AND(V404&gt;=75,V404&lt;=175,W404&gt;=65,W404&lt;110),0.17,0)+IF(AND(V404&gt;=75,V404&lt;=175,W404&gt;=110),0.12,0)+IF(AND(V404&gt;175,W404&lt;25),0.3,0)+IF(AND(V404&gt;175,W404&gt;=25,W404&lt;55),0.23,0)+IF(AND(V404&gt;175,W404&gt;=55,W404&lt;95),0.17,0)+IF(AND(V404&gt;175,W404&gt;=95),0.12,0),
IF(AF404="DoEVni",IF(AND(V404&lt;20,W404&lt;55),0.3,0)+IF(AND(V404&lt;20,W404&gt;=55,W404&lt;105),0.23,0)+IF(AND(V404&lt;20,W404&gt;=105),0.17,0)+IF(AND(V404&gt;=20,V404&lt;40,W404&lt;45),0.3,0)+IF(AND(V404&gt;=20,V404&lt;40,W404&gt;=45,W404&lt;95),0.23,0)+IF(AND(V404&gt;=20,V404&lt;40,W404&gt;=95,W404&lt;=200),0.17,0)+IF(AND(V404&gt;=20,V404&lt;40,W404&gt;=200),0.12,0)+IF(AND(V404&gt;=40,V404&lt;75,W404&lt;35),0.3,0)+IF(AND(V404&gt;=40,V404&lt;75,W404&gt;=35,W404&lt;75),0.23,0)+IF(AND(V404&gt;=40,V404&lt;75,W404&gt;=75,W404&lt;120),0.17,0)+IF(AND(V404&gt;=40,V404&lt;75,W404&gt;=120),0.12,0)+IF(AND(V404&gt;=75,V404&lt;175,W404&lt;35),0.3,0)+IF(AND(V404&gt;=75,V404&lt;=175,W404&gt;=35,W404&lt;65),0.23,0)+IF(AND(V404&gt;=75,V404&lt;=175,W404&gt;=65,W404&lt;110),0.17,0)+IF(AND(V404&gt;=75,V404&lt;=175,W404&gt;=110),0.12,0)+IF(AND(V404&gt;175,W404&lt;25),0.3,0)+IF(AND(V404&gt;175,W404&gt;=25,W404&lt;55),0.23,0)+IF(AND(V404&gt;175,W404&gt;=55,W404&lt;95),0.17,0)+IF(AND(V404&gt;175,W404&gt;=95),0.12,0),
IF(AF404="DoEVLo",IF(AND(V404&lt;20,W404&lt;55),0.25,0)+IF(AND(V404&lt;20,W404&gt;=55,W404&lt;105),0.2,0)+IF(AND(V404&lt;20,W404&gt;=105),0.15,0)+IF(AND(V404&gt;=20,V404&lt;40,W404&lt;45),0.25,0)+IF(AND(V404&gt;=20,V404&lt;40,W404&gt;=45,W404&lt;95),0.2,0)+IF(AND(V404&gt;=20,V404&lt;40,W404&gt;=95),0.15,0)+IF(AND(V404&gt;=40,V404&lt;75,W404&lt;35),0.25,0)+IF(AND(V404&gt;=40,V404&lt;75,W404&gt;=35,W404&lt;75),0.2,0)+IF(AND(V404&gt;=40,V404&lt;75,W404&gt;=75,W404&lt;120),0.15,0)+IF(AND(V404&gt;=40,V404&lt;75,W404&gt;=120),0.1,0)+IF(AND(V404&gt;=75,V404&lt;175,W404&lt;35),0.25,0)+IF(AND(V404&gt;=75,V404&lt;=175,W404&gt;=35,W404&lt;65),0.2,0)+IF(AND(V404&gt;=75,V404&lt;=175,W404&gt;=65,W404&lt;110),0.15,0)+IF(AND(V404&gt;=75,V404&lt;=175,W404&gt;=110),0.1,0)+IF(AND(V404&gt;175,W404&lt;25),0.25,0)+IF(AND(V404&gt;175,W404&gt;=25,W404&lt;55),0.2,0)+IF(AND(V404&gt;175,W404&gt;=55,W404&lt;95),0.15,0)+IF(AND(V404&gt;175,W404&gt;=95),0.1,0))))))))))))))))</f>
        <v>0.23</v>
      </c>
      <c r="Y404" s="30">
        <f>IF(AG404="None",0,IF(AG404="Fix5",0.05,IF(AG404="Fix3.75",0.0375,IF(AG404="Fix10",0.1,IF(AG404="Fix3",0.03,0)))))</f>
        <v>0</v>
      </c>
      <c r="Z404" s="35">
        <f>T404-AA404-AB404</f>
        <v>88.55</v>
      </c>
      <c r="AA404" s="29">
        <f>IF(AD404="EUR",((T404-R404)*X404)*U404+(R404*X404),(T404*X404))</f>
        <v>26.450000000000003</v>
      </c>
      <c r="AB404" s="36">
        <f>IF(AD404="EUR",((T404-R404)*Y404)*U404+(R404*Y404),(T404*Y404))</f>
        <v>0</v>
      </c>
      <c r="AC404" s="37" t="b">
        <v>1</v>
      </c>
      <c r="AD404" s="37" t="s">
        <v>38</v>
      </c>
      <c r="AE404" s="37" t="s">
        <v>38</v>
      </c>
      <c r="AF404" s="37" t="str">
        <f t="array" ref="AF404">INDEX('Deal Info'!D:D, MATCH(A404,'Deal Info'!A:A, 0))</f>
        <v>DoEV</v>
      </c>
      <c r="AG404" s="38" t="str">
        <f t="array" ref="AG404">INDEX('Deal Info'!G:G, MATCH(A404,'Deal Info'!A:A, 0))</f>
        <v>None</v>
      </c>
    </row>
    <row r="405" spans="1:33" ht="14.25" hidden="1" x14ac:dyDescent="0.2">
      <c r="A405" s="18" t="str">
        <f t="array" ref="A405">IF(G405='Room Info'!$B$1, INDEX('Room Info'!$A$2:$A2446, MATCH(B405,'Room Info'!$B$2:$B2446, 0)),IF(G405='Room Info'!$C$1, INDEX('Room Info'!$A$2:$A2446, MATCH(B405,'Room Info'!$C$2:$C2446, 0)),IF(G405='Room Info'!$D$1, INDEX('Room Info'!$A$2:$A2446, MATCH(B405,'Room Info'!$D$2:$D2446, 0)),IF(G405='Room Info'!$E$1, INDEX('Room Info'!$A$2:$A2446, MATCH(B405,'Room Info'!$E$2:$E2446, 0)),IF(G405='Room Info'!$F$1, INDEX('Room Info'!$A$2:$A2446, MATCH(B405,'Room Info'!$F$2:$F2446, 0)),IF(G405='Room Info'!$H$1, INDEX('Room Info'!$A$2:$A2446, MATCH(B405,'Room Info'!$H$2:$H2446, 0)),IF(G405='Room Info'!$G$1, INDEX('Room Info'!$A$2:$A2446, MATCH(B405,'Room Info'!$G$2:$G2446, 0)))))))))</f>
        <v>CrippledMind</v>
      </c>
      <c r="B405" s="45" t="s">
        <v>125</v>
      </c>
      <c r="C405" s="46">
        <v>44702</v>
      </c>
      <c r="D405" s="46">
        <v>44732</v>
      </c>
      <c r="E405" s="47">
        <v>44713</v>
      </c>
      <c r="F405" s="48" t="s">
        <v>34</v>
      </c>
      <c r="G405" s="45" t="s">
        <v>35</v>
      </c>
      <c r="H405" s="49" t="s">
        <v>39</v>
      </c>
      <c r="I405" s="49" t="s">
        <v>37</v>
      </c>
      <c r="J405" s="70">
        <v>5</v>
      </c>
      <c r="K405" s="71">
        <v>12</v>
      </c>
      <c r="L405" s="52">
        <v>-20</v>
      </c>
      <c r="M405" s="62"/>
      <c r="N405" s="28">
        <f>K405*J405</f>
        <v>60</v>
      </c>
      <c r="O405" s="54">
        <v>1463</v>
      </c>
      <c r="P405" s="29">
        <v>121.91666669999999</v>
      </c>
      <c r="Q405" s="55"/>
      <c r="R405" s="31">
        <f>M405+Q405</f>
        <v>0</v>
      </c>
      <c r="S405" s="56">
        <v>8</v>
      </c>
      <c r="T405" s="32">
        <f>R405+S405+IF(F405="Without EV deal",L405,0)</f>
        <v>8</v>
      </c>
      <c r="U405" s="57">
        <v>1</v>
      </c>
      <c r="V405" s="69">
        <v>9.932960893854748</v>
      </c>
      <c r="W405" s="69">
        <v>78.72778402699663</v>
      </c>
      <c r="X405" s="30">
        <f>IF(AF405="DoEV",IF(AND(V405&lt;20,W405&lt;55),0.3,0)+IF(AND(V405&lt;20,W405&gt;=55,W405&lt;105),0.23,0)+IF(AND(V405&lt;20,W405&gt;=105),0.17,0)+IF(AND(V405&gt;=20,V405&lt;40,W405&lt;45),0.3,0)+IF(AND(V405&gt;=20,V405&lt;40,W405&gt;=45,W405&lt;95),0.23,0)+IF(AND(V405&gt;=20,V405&lt;40,W405&gt;=95),0.17,0)+IF(AND(V405&gt;=40,V405&lt;75,W405&lt;35),0.3,0)+IF(AND(V405&gt;=40,V405&lt;75,W405&gt;=35,W405&lt;75),0.23,0)+IF(AND(V405&gt;=40,V405&lt;75,W405&gt;=75,W405&lt;120),0.17,0)+IF(AND(V405&gt;=40,V405&lt;75,W405&gt;=120),0.12,0)+IF(AND(V405&gt;=75,V405&lt;175,W405&lt;35),0.3,0)+IF(AND(V405&gt;=75,V405&lt;=175,W405&gt;=35,W405&lt;65),0.23,0)+IF(AND(V405&gt;=75,V405&lt;=175,W405&gt;=65,W405&lt;110),0.17,0)+IF(AND(V405&gt;=75,V405&lt;=175,W405&gt;=110),0.12,0)+IF(AND(V405&gt;175,W405&lt;25),0.3,0)+IF(AND(V405&gt;175,W405&gt;=25,W405&lt;55),0.23,0)+IF(AND(V405&gt;175,W405&gt;=55,W405&lt;95),0.17,0)+IF(AND(V405&gt;175,W405&gt;=95),0.12,0),
IF(AF405="Fix15",0.15,
IF(AF405="Fix11.25",0.1125,
IF(AF405="Fix10",0.1,
IF(AF405="Fix9",0.09,
IF(AF405="DoEV2017",IF(AND(W405&lt;74),0.2,0)+IF(AND(W405&gt;=74),0.17,0),
IF(AF405="SF",IF(AND(V405&lt;20,W405&lt;89),0.3,0)+IF(AND(V405&lt;20,W405&gt;=89),0.25,0)+IF(AND(V405&gt;=20,V405&lt;40,W405&lt;74),0.3,0)+IF(AND(V405&gt;=20,V405&lt;40,W405&gt;=75),0.22,0)+IF(AND(V405&gt;=40,V405&lt;75,W405&lt;75),0.26,0)+IF(AND(V405&gt;=40,V405&lt;75,W405&gt;=75),0.22,0)+IF(V405&gt;=75,0.22,0),
IF(AF405="DoEVold",IF(AND(V405&lt;40,W405&lt;35),0.35,0)+IF(AND(V405&lt;40,W405&gt;=35,W405&lt;75),0.25,0)+IF(AND(V405&lt;40,W405&gt;=75),0.17,0)+IF(AND(V405&gt;=40,V405&lt;75,W405&lt;25),0.35,0)+IF(AND(V405&gt;=40,V405&lt;75,W405&gt;=25,W405&lt;65),0.25,0)+IF(AND(V405&gt;=40,V405&lt;75,W405&gt;=65,W405&lt;100),0.17,0)+IF(AND(V405&gt;=40,V405&lt;75,W405&gt;=100),0.1,0)+IF(AND(V405&gt;=75,W405&lt;25),0.35,0)+IF(AND(V405&gt;=75,W405&gt;=25,W405&lt;60),0.25,0)+IF(AND(V405&gt;=75,W405&gt;=60,W405&lt;95),0.17,0)+IF(AND(V405&gt;=75,W405&gt;=95),0.1,0),
IF(AF405="DoEVold15",IF(AND(V405&lt;=40,W405&lt;35),0.35,0)+IF(AND(V405&lt;=40,W405&gt;=35,W405&lt;75),0.25,0)+IF(AND(V405&lt;=40,W405&gt;=75,W405&lt;120),0.17,0)+IF(AND(V405&lt;=40,W405&gt;=120),0.15,0)+IF(AND(V405&gt;40,V405&lt;75,W405&lt;25),0.35,0)+IF(AND(V405&gt;=40,V405&lt;75,W405&gt;=25,W405&lt;65),0.25,0)+IF(AND(V405&gt;=40,V405&lt;75,W405&gt;=65,W405&lt;100),0.17,0)+IF(AND(V405&gt;=40,V405&lt;75,W405&gt;=100),0.1,0)+IF(AND(V405&gt;=75,W405&lt;25),0.35,0)+IF(AND(V405&gt;=75,W405&gt;=25,W405&lt;60),0.25,0)+IF(AND(V405&gt;=75,W405&gt;=60,W405&lt;95),0.17,0)+IF(AND(V405&gt;=75,W405&gt;=95),0.1,0),
IF(AF405="DoEVba",IF(AND(V405&lt;20,W405&lt;105),0.2,0)+IF(AND(V405&lt;20,W405&gt;=105),0.15,0)+IF(AND(V405&gt;=20,V405&lt;40,W405&lt;95),0.2,0)+IF(AND(V405&gt;=20,V405&lt;40,W405&gt;=95,W405&lt;150),0.15,0)+IF(AND(V405&gt;=20,V405&lt;40,W405&gt;=150),0.12,0)+IF(AND(V405&gt;=40,V405&lt;75,W405&lt;75),0.2,0)+IF(AND(V405&gt;=40,V405&lt;75,W405&gt;=75,W405&lt;120),0.15,0)+IF(AND(V405&gt;=40,V405&lt;75,W405&gt;=120),0.12,0)+IF(AND(V405&gt;=75,V405&lt;175,W405&lt;65),0.2,0)+IF(AND(V405&gt;=75,V405&lt;175,W405&gt;=65,W405&lt;110),0.15,0)+IF(AND(V405&gt;=75,V405&lt;175,W405&gt;=110),0.12,0)+IF(AND(V405&gt;=175,W405&lt;55),0.2,0)+IF(AND(V405&gt;=175,W405&gt;=55,W405&lt;95),0.15,0)+IF(AND(V405&gt;=175,W405&gt;=95),0.12,0),
IF(AF405="DoEVku",IF(AND(V405&lt;20,W405&lt;55),0.23,0)+IF(AND(V405&lt;20,W405&gt;=55,W405&lt;105),0.2,0)+IF(AND(V405&lt;20,W405&gt;=105),0.17,0)+IF(AND(V405&gt;=20,V405&lt;40,W405&lt;45),0.23,0)+IF(AND(V405&gt;=20,V405&lt;40,W405&gt;=45,W405&lt;95),0.2,0)+IF(AND(V405&gt;=20,V405&lt;40,W405&gt;=95,W405&lt;=150),0.17,0)+IF(AND(V405&gt;=20,V405&lt;40,W405&gt;=150),0.12,0)+IF(AND(V405&gt;=40,V405&lt;75,W405&lt;35),0.23,0)+IF(AND(V405&gt;=40,V405&lt;75,W405&gt;=35,W405&lt;75),0.2,0)+IF(AND(V405&gt;=40,V405&lt;75,W405&gt;=75,W405&lt;120),0.17,0)+IF(AND(V405&gt;=40,V405&lt;75,W405&gt;=120),0.12,0)+IF(AND(V405&gt;=75,V405&lt;175,W405&lt;35),0.23,0)+IF(AND(V405&gt;=75,V405&lt;=175,W405&gt;=35,W405&lt;65),0.2,0)+IF(AND(V405&gt;=75,V405&lt;=175,W405&gt;=65,W405&lt;110),0.17,0)+IF(AND(V405&gt;=75,V405&lt;=175,W405&gt;=110),0.12,0)+IF(AND(V405&gt;175,W405&lt;25),0.23,0)+IF(AND(V405&gt;175,W405&gt;=25,W405&lt;55),0.2,0)+IF(AND(V405&gt;175,W405&gt;=55,W405&lt;95),0.17,0)+IF(AND(V405&gt;175,W405&gt;=95),0.12,0),
IF(AF405="DoEVs1",IF(AND(V405&lt;20,W405&lt;55),0.3,0)+IF(AND(V405&lt;20,W405&gt;=55,W405&lt;105),0.23,0)+IF(AND(V405&lt;20,W405&gt;=105),0.17,0)+IF(AND(V405&gt;=20,V405&lt;40,W405&lt;45),0.3,0)+IF(AND(V405&gt;=20,V405&lt;40,W405&gt;=45,W405&lt;95),0.23,0)+IF(AND(V405&gt;=20,V405&lt;40,W405&gt;=95,W405&lt;=150),0.17,0)+IF(AND(V405&gt;=20,V405&lt;40,W405&gt;=150),0.12,0)+IF(AND(V405&gt;=40,V405&lt;75,W405&lt;35),0.3,0)+IF(AND(V405&gt;=40,V405&lt;75,W405&gt;=35,W405&lt;75),0.23,0)+IF(AND(V405&gt;=40,V405&lt;75,W405&gt;=75,W405&lt;120),0.17,0)+IF(AND(V405&gt;=40,V405&lt;75,W405&gt;=120),0.12,0)+IF(AND(V405&gt;=75,V405&lt;175,W405&lt;35),0.3,0)+IF(AND(V405&gt;=75,V405&lt;=175,W405&gt;=35,W405&lt;65),0.23,0)+IF(AND(V405&gt;=75,V405&lt;=175,W405&gt;=65,W405&lt;110),0.17,0)+IF(AND(V405&gt;=75,V405&lt;=175,W405&gt;=110),0.12,0)+IF(AND(V405&gt;175,W405&lt;25),0.3,0)+IF(AND(V405&gt;175,W405&gt;=25,W405&lt;55),0.23,0)+IF(AND(V405&gt;175,W405&gt;=55,W405&lt;95),0.17,0)+IF(AND(V405&gt;175,W405&gt;=95),0.12,0),
IF(AF405="DoEVsu",IF(AND(V405&lt;20,W405&lt;55),0.3,0)+IF(AND(V405&lt;20,W405&gt;=55,W405&lt;105),0.23,0)+IF(AND(V405&lt;20,W405&gt;=105),0.17,0)+IF(AND(V405&gt;=20,V405&lt;40,W405&lt;45),0.3,0)+IF(AND(V405&gt;=20,V405&lt;40,W405&gt;=45,W405&lt;95),0.23,0)+IF(AND(V405&gt;=20,V405&lt;40,W405&gt;=95,W405&lt;=250),0.17,0)+IF(AND(V405&gt;=20,V405&lt;40,W405&gt;=250),0.12,0)+IF(AND(V405&gt;=40,V405&lt;75,W405&lt;35),0.3,0)+IF(AND(V405&gt;=40,V405&lt;75,W405&gt;=35,W405&lt;75),0.23,0)+IF(AND(V405&gt;=40,V405&lt;75,W405&gt;=75,W405&lt;120),0.17,0)+IF(AND(V405&gt;=40,V405&lt;75,W405&gt;=120),0.12,0)+IF(AND(V405&gt;=75,V405&lt;175,W405&lt;35),0.3,0)+IF(AND(V405&gt;=75,V405&lt;=175,W405&gt;=35,W405&lt;65),0.23,0)+IF(AND(V405&gt;=75,V405&lt;=175,W405&gt;=65,W405&lt;110),0.17,0)+IF(AND(V405&gt;=75,V405&lt;=175,W405&gt;=110),0.12,0)+IF(AND(V405&gt;175,W405&lt;25),0.3,0)+IF(AND(V405&gt;175,W405&gt;=25,W405&lt;55),0.23,0)+IF(AND(V405&gt;175,W405&gt;=55,W405&lt;95),0.17,0)+IF(AND(V405&gt;175,W405&gt;=95),0.12,0),
IF(AF405="DoEVni",IF(AND(V405&lt;20,W405&lt;55),0.3,0)+IF(AND(V405&lt;20,W405&gt;=55,W405&lt;105),0.23,0)+IF(AND(V405&lt;20,W405&gt;=105),0.17,0)+IF(AND(V405&gt;=20,V405&lt;40,W405&lt;45),0.3,0)+IF(AND(V405&gt;=20,V405&lt;40,W405&gt;=45,W405&lt;95),0.23,0)+IF(AND(V405&gt;=20,V405&lt;40,W405&gt;=95,W405&lt;=200),0.17,0)+IF(AND(V405&gt;=20,V405&lt;40,W405&gt;=200),0.12,0)+IF(AND(V405&gt;=40,V405&lt;75,W405&lt;35),0.3,0)+IF(AND(V405&gt;=40,V405&lt;75,W405&gt;=35,W405&lt;75),0.23,0)+IF(AND(V405&gt;=40,V405&lt;75,W405&gt;=75,W405&lt;120),0.17,0)+IF(AND(V405&gt;=40,V405&lt;75,W405&gt;=120),0.12,0)+IF(AND(V405&gt;=75,V405&lt;175,W405&lt;35),0.3,0)+IF(AND(V405&gt;=75,V405&lt;=175,W405&gt;=35,W405&lt;65),0.23,0)+IF(AND(V405&gt;=75,V405&lt;=175,W405&gt;=65,W405&lt;110),0.17,0)+IF(AND(V405&gt;=75,V405&lt;=175,W405&gt;=110),0.12,0)+IF(AND(V405&gt;175,W405&lt;25),0.3,0)+IF(AND(V405&gt;175,W405&gt;=25,W405&lt;55),0.23,0)+IF(AND(V405&gt;175,W405&gt;=55,W405&lt;95),0.17,0)+IF(AND(V405&gt;175,W405&gt;=95),0.12,0),
IF(AF405="DoEVLo",IF(AND(V405&lt;20,W405&lt;55),0.25,0)+IF(AND(V405&lt;20,W405&gt;=55,W405&lt;105),0.2,0)+IF(AND(V405&lt;20,W405&gt;=105),0.15,0)+IF(AND(V405&gt;=20,V405&lt;40,W405&lt;45),0.25,0)+IF(AND(V405&gt;=20,V405&lt;40,W405&gt;=45,W405&lt;95),0.2,0)+IF(AND(V405&gt;=20,V405&lt;40,W405&gt;=95),0.15,0)+IF(AND(V405&gt;=40,V405&lt;75,W405&lt;35),0.25,0)+IF(AND(V405&gt;=40,V405&lt;75,W405&gt;=35,W405&lt;75),0.2,0)+IF(AND(V405&gt;=40,V405&lt;75,W405&gt;=75,W405&lt;120),0.15,0)+IF(AND(V405&gt;=40,V405&lt;75,W405&gt;=120),0.1,0)+IF(AND(V405&gt;=75,V405&lt;175,W405&lt;35),0.25,0)+IF(AND(V405&gt;=75,V405&lt;=175,W405&gt;=35,W405&lt;65),0.2,0)+IF(AND(V405&gt;=75,V405&lt;=175,W405&gt;=65,W405&lt;110),0.15,0)+IF(AND(V405&gt;=75,V405&lt;=175,W405&gt;=110),0.1,0)+IF(AND(V405&gt;175,W405&lt;25),0.25,0)+IF(AND(V405&gt;175,W405&gt;=25,W405&lt;55),0.2,0)+IF(AND(V405&gt;175,W405&gt;=55,W405&lt;95),0.15,0)+IF(AND(V405&gt;175,W405&gt;=95),0.1,0))))))))))))))))</f>
        <v>0.23</v>
      </c>
      <c r="Y405" s="30">
        <f>IF(AG405="None",0,IF(AG405="Fix5",0.05,IF(AG405="Fix3.75",0.0375,IF(AG405="Fix10",0.1,IF(AG405="Fix3",0.03,0)))))</f>
        <v>0</v>
      </c>
      <c r="Z405" s="35">
        <f>T405-AA405-AB405</f>
        <v>6.16</v>
      </c>
      <c r="AA405" s="29">
        <f>IF(AD405="EUR",((T405-R405)*X405)*U405+(R405*X405),(T405*X405))</f>
        <v>1.84</v>
      </c>
      <c r="AB405" s="36">
        <f>IF(AD405="EUR",((T405-R405)*Y405)*U405+(R405*Y405),(T405*Y405))</f>
        <v>0</v>
      </c>
      <c r="AC405" s="37" t="b">
        <v>1</v>
      </c>
      <c r="AD405" s="37" t="s">
        <v>38</v>
      </c>
      <c r="AE405" s="37" t="s">
        <v>38</v>
      </c>
      <c r="AF405" s="37" t="str">
        <f t="array" ref="AF405">INDEX('Deal Info'!D:D, MATCH(A405,'Deal Info'!A:A, 0))</f>
        <v>DoEV</v>
      </c>
      <c r="AG405" s="38" t="str">
        <f t="array" ref="AG405">INDEX('Deal Info'!G:G, MATCH(A405,'Deal Info'!A:A, 0))</f>
        <v>None</v>
      </c>
    </row>
    <row r="406" spans="1:33" ht="14.25" hidden="1" x14ac:dyDescent="0.2">
      <c r="A406" s="18" t="str">
        <f t="array" ref="A406">IF(G406='Room Info'!$B$1, INDEX('Room Info'!$A$2:$A2446, MATCH(B406,'Room Info'!$B$2:$B2446, 0)),IF(G406='Room Info'!$C$1, INDEX('Room Info'!$A$2:$A2446, MATCH(B406,'Room Info'!$C$2:$C2446, 0)),IF(G406='Room Info'!$D$1, INDEX('Room Info'!$A$2:$A2446, MATCH(B406,'Room Info'!$D$2:$D2446, 0)),IF(G406='Room Info'!$E$1, INDEX('Room Info'!$A$2:$A2446, MATCH(B406,'Room Info'!$E$2:$E2446, 0)),IF(G406='Room Info'!$F$1, INDEX('Room Info'!$A$2:$A2446, MATCH(B406,'Room Info'!$F$2:$F2446, 0)),IF(G406='Room Info'!$H$1, INDEX('Room Info'!$A$2:$A2446, MATCH(B406,'Room Info'!$H$2:$H2446, 0)),IF(G406='Room Info'!$G$1, INDEX('Room Info'!$A$2:$A2446, MATCH(B406,'Room Info'!$G$2:$G2446, 0)))))))))</f>
        <v>CrippledMind</v>
      </c>
      <c r="B406" s="45" t="s">
        <v>125</v>
      </c>
      <c r="C406" s="46">
        <v>44702</v>
      </c>
      <c r="D406" s="46">
        <v>44732</v>
      </c>
      <c r="E406" s="47">
        <v>44713</v>
      </c>
      <c r="F406" s="48" t="s">
        <v>34</v>
      </c>
      <c r="G406" s="54" t="s">
        <v>35</v>
      </c>
      <c r="H406" s="49" t="s">
        <v>40</v>
      </c>
      <c r="I406" s="49" t="s">
        <v>37</v>
      </c>
      <c r="J406" s="50">
        <v>10</v>
      </c>
      <c r="K406" s="51">
        <v>883</v>
      </c>
      <c r="L406" s="52">
        <v>350</v>
      </c>
      <c r="M406" s="53">
        <v>675</v>
      </c>
      <c r="N406" s="28">
        <f>K406*J406</f>
        <v>8830</v>
      </c>
      <c r="O406" s="54">
        <v>40163</v>
      </c>
      <c r="P406" s="29">
        <v>45.48471121</v>
      </c>
      <c r="Q406" s="55"/>
      <c r="R406" s="31">
        <f>M406+Q406</f>
        <v>675</v>
      </c>
      <c r="S406" s="56">
        <v>99</v>
      </c>
      <c r="T406" s="32">
        <f>R406+S406+IF(F406="Without EV deal",L406,0)</f>
        <v>774</v>
      </c>
      <c r="U406" s="57">
        <v>1</v>
      </c>
      <c r="V406" s="69">
        <v>9.932960893854748</v>
      </c>
      <c r="W406" s="69">
        <v>78.72778402699663</v>
      </c>
      <c r="X406" s="30">
        <f>IF(AF406="DoEV",IF(AND(V406&lt;20,W406&lt;55),0.3,0)+IF(AND(V406&lt;20,W406&gt;=55,W406&lt;105),0.23,0)+IF(AND(V406&lt;20,W406&gt;=105),0.17,0)+IF(AND(V406&gt;=20,V406&lt;40,W406&lt;45),0.3,0)+IF(AND(V406&gt;=20,V406&lt;40,W406&gt;=45,W406&lt;95),0.23,0)+IF(AND(V406&gt;=20,V406&lt;40,W406&gt;=95),0.17,0)+IF(AND(V406&gt;=40,V406&lt;75,W406&lt;35),0.3,0)+IF(AND(V406&gt;=40,V406&lt;75,W406&gt;=35,W406&lt;75),0.23,0)+IF(AND(V406&gt;=40,V406&lt;75,W406&gt;=75,W406&lt;120),0.17,0)+IF(AND(V406&gt;=40,V406&lt;75,W406&gt;=120),0.12,0)+IF(AND(V406&gt;=75,V406&lt;175,W406&lt;35),0.3,0)+IF(AND(V406&gt;=75,V406&lt;=175,W406&gt;=35,W406&lt;65),0.23,0)+IF(AND(V406&gt;=75,V406&lt;=175,W406&gt;=65,W406&lt;110),0.17,0)+IF(AND(V406&gt;=75,V406&lt;=175,W406&gt;=110),0.12,0)+IF(AND(V406&gt;175,W406&lt;25),0.3,0)+IF(AND(V406&gt;175,W406&gt;=25,W406&lt;55),0.23,0)+IF(AND(V406&gt;175,W406&gt;=55,W406&lt;95),0.17,0)+IF(AND(V406&gt;175,W406&gt;=95),0.12,0),
IF(AF406="Fix15",0.15,
IF(AF406="Fix11.25",0.1125,
IF(AF406="Fix10",0.1,
IF(AF406="Fix9",0.09,
IF(AF406="DoEV2017",IF(AND(W406&lt;74),0.2,0)+IF(AND(W406&gt;=74),0.17,0),
IF(AF406="SF",IF(AND(V406&lt;20,W406&lt;89),0.3,0)+IF(AND(V406&lt;20,W406&gt;=89),0.25,0)+IF(AND(V406&gt;=20,V406&lt;40,W406&lt;74),0.3,0)+IF(AND(V406&gt;=20,V406&lt;40,W406&gt;=75),0.22,0)+IF(AND(V406&gt;=40,V406&lt;75,W406&lt;75),0.26,0)+IF(AND(V406&gt;=40,V406&lt;75,W406&gt;=75),0.22,0)+IF(V406&gt;=75,0.22,0),
IF(AF406="DoEVold",IF(AND(V406&lt;40,W406&lt;35),0.35,0)+IF(AND(V406&lt;40,W406&gt;=35,W406&lt;75),0.25,0)+IF(AND(V406&lt;40,W406&gt;=75),0.17,0)+IF(AND(V406&gt;=40,V406&lt;75,W406&lt;25),0.35,0)+IF(AND(V406&gt;=40,V406&lt;75,W406&gt;=25,W406&lt;65),0.25,0)+IF(AND(V406&gt;=40,V406&lt;75,W406&gt;=65,W406&lt;100),0.17,0)+IF(AND(V406&gt;=40,V406&lt;75,W406&gt;=100),0.1,0)+IF(AND(V406&gt;=75,W406&lt;25),0.35,0)+IF(AND(V406&gt;=75,W406&gt;=25,W406&lt;60),0.25,0)+IF(AND(V406&gt;=75,W406&gt;=60,W406&lt;95),0.17,0)+IF(AND(V406&gt;=75,W406&gt;=95),0.1,0),
IF(AF406="DoEVold15",IF(AND(V406&lt;=40,W406&lt;35),0.35,0)+IF(AND(V406&lt;=40,W406&gt;=35,W406&lt;75),0.25,0)+IF(AND(V406&lt;=40,W406&gt;=75,W406&lt;120),0.17,0)+IF(AND(V406&lt;=40,W406&gt;=120),0.15,0)+IF(AND(V406&gt;40,V406&lt;75,W406&lt;25),0.35,0)+IF(AND(V406&gt;=40,V406&lt;75,W406&gt;=25,W406&lt;65),0.25,0)+IF(AND(V406&gt;=40,V406&lt;75,W406&gt;=65,W406&lt;100),0.17,0)+IF(AND(V406&gt;=40,V406&lt;75,W406&gt;=100),0.1,0)+IF(AND(V406&gt;=75,W406&lt;25),0.35,0)+IF(AND(V406&gt;=75,W406&gt;=25,W406&lt;60),0.25,0)+IF(AND(V406&gt;=75,W406&gt;=60,W406&lt;95),0.17,0)+IF(AND(V406&gt;=75,W406&gt;=95),0.1,0),
IF(AF406="DoEVba",IF(AND(V406&lt;20,W406&lt;105),0.2,0)+IF(AND(V406&lt;20,W406&gt;=105),0.15,0)+IF(AND(V406&gt;=20,V406&lt;40,W406&lt;95),0.2,0)+IF(AND(V406&gt;=20,V406&lt;40,W406&gt;=95,W406&lt;150),0.15,0)+IF(AND(V406&gt;=20,V406&lt;40,W406&gt;=150),0.12,0)+IF(AND(V406&gt;=40,V406&lt;75,W406&lt;75),0.2,0)+IF(AND(V406&gt;=40,V406&lt;75,W406&gt;=75,W406&lt;120),0.15,0)+IF(AND(V406&gt;=40,V406&lt;75,W406&gt;=120),0.12,0)+IF(AND(V406&gt;=75,V406&lt;175,W406&lt;65),0.2,0)+IF(AND(V406&gt;=75,V406&lt;175,W406&gt;=65,W406&lt;110),0.15,0)+IF(AND(V406&gt;=75,V406&lt;175,W406&gt;=110),0.12,0)+IF(AND(V406&gt;=175,W406&lt;55),0.2,0)+IF(AND(V406&gt;=175,W406&gt;=55,W406&lt;95),0.15,0)+IF(AND(V406&gt;=175,W406&gt;=95),0.12,0),
IF(AF406="DoEVku",IF(AND(V406&lt;20,W406&lt;55),0.23,0)+IF(AND(V406&lt;20,W406&gt;=55,W406&lt;105),0.2,0)+IF(AND(V406&lt;20,W406&gt;=105),0.17,0)+IF(AND(V406&gt;=20,V406&lt;40,W406&lt;45),0.23,0)+IF(AND(V406&gt;=20,V406&lt;40,W406&gt;=45,W406&lt;95),0.2,0)+IF(AND(V406&gt;=20,V406&lt;40,W406&gt;=95,W406&lt;=150),0.17,0)+IF(AND(V406&gt;=20,V406&lt;40,W406&gt;=150),0.12,0)+IF(AND(V406&gt;=40,V406&lt;75,W406&lt;35),0.23,0)+IF(AND(V406&gt;=40,V406&lt;75,W406&gt;=35,W406&lt;75),0.2,0)+IF(AND(V406&gt;=40,V406&lt;75,W406&gt;=75,W406&lt;120),0.17,0)+IF(AND(V406&gt;=40,V406&lt;75,W406&gt;=120),0.12,0)+IF(AND(V406&gt;=75,V406&lt;175,W406&lt;35),0.23,0)+IF(AND(V406&gt;=75,V406&lt;=175,W406&gt;=35,W406&lt;65),0.2,0)+IF(AND(V406&gt;=75,V406&lt;=175,W406&gt;=65,W406&lt;110),0.17,0)+IF(AND(V406&gt;=75,V406&lt;=175,W406&gt;=110),0.12,0)+IF(AND(V406&gt;175,W406&lt;25),0.23,0)+IF(AND(V406&gt;175,W406&gt;=25,W406&lt;55),0.2,0)+IF(AND(V406&gt;175,W406&gt;=55,W406&lt;95),0.17,0)+IF(AND(V406&gt;175,W406&gt;=95),0.12,0),
IF(AF406="DoEVs1",IF(AND(V406&lt;20,W406&lt;55),0.3,0)+IF(AND(V406&lt;20,W406&gt;=55,W406&lt;105),0.23,0)+IF(AND(V406&lt;20,W406&gt;=105),0.17,0)+IF(AND(V406&gt;=20,V406&lt;40,W406&lt;45),0.3,0)+IF(AND(V406&gt;=20,V406&lt;40,W406&gt;=45,W406&lt;95),0.23,0)+IF(AND(V406&gt;=20,V406&lt;40,W406&gt;=95,W406&lt;=150),0.17,0)+IF(AND(V406&gt;=20,V406&lt;40,W406&gt;=150),0.12,0)+IF(AND(V406&gt;=40,V406&lt;75,W406&lt;35),0.3,0)+IF(AND(V406&gt;=40,V406&lt;75,W406&gt;=35,W406&lt;75),0.23,0)+IF(AND(V406&gt;=40,V406&lt;75,W406&gt;=75,W406&lt;120),0.17,0)+IF(AND(V406&gt;=40,V406&lt;75,W406&gt;=120),0.12,0)+IF(AND(V406&gt;=75,V406&lt;175,W406&lt;35),0.3,0)+IF(AND(V406&gt;=75,V406&lt;=175,W406&gt;=35,W406&lt;65),0.23,0)+IF(AND(V406&gt;=75,V406&lt;=175,W406&gt;=65,W406&lt;110),0.17,0)+IF(AND(V406&gt;=75,V406&lt;=175,W406&gt;=110),0.12,0)+IF(AND(V406&gt;175,W406&lt;25),0.3,0)+IF(AND(V406&gt;175,W406&gt;=25,W406&lt;55),0.23,0)+IF(AND(V406&gt;175,W406&gt;=55,W406&lt;95),0.17,0)+IF(AND(V406&gt;175,W406&gt;=95),0.12,0),
IF(AF406="DoEVsu",IF(AND(V406&lt;20,W406&lt;55),0.3,0)+IF(AND(V406&lt;20,W406&gt;=55,W406&lt;105),0.23,0)+IF(AND(V406&lt;20,W406&gt;=105),0.17,0)+IF(AND(V406&gt;=20,V406&lt;40,W406&lt;45),0.3,0)+IF(AND(V406&gt;=20,V406&lt;40,W406&gt;=45,W406&lt;95),0.23,0)+IF(AND(V406&gt;=20,V406&lt;40,W406&gt;=95,W406&lt;=250),0.17,0)+IF(AND(V406&gt;=20,V406&lt;40,W406&gt;=250),0.12,0)+IF(AND(V406&gt;=40,V406&lt;75,W406&lt;35),0.3,0)+IF(AND(V406&gt;=40,V406&lt;75,W406&gt;=35,W406&lt;75),0.23,0)+IF(AND(V406&gt;=40,V406&lt;75,W406&gt;=75,W406&lt;120),0.17,0)+IF(AND(V406&gt;=40,V406&lt;75,W406&gt;=120),0.12,0)+IF(AND(V406&gt;=75,V406&lt;175,W406&lt;35),0.3,0)+IF(AND(V406&gt;=75,V406&lt;=175,W406&gt;=35,W406&lt;65),0.23,0)+IF(AND(V406&gt;=75,V406&lt;=175,W406&gt;=65,W406&lt;110),0.17,0)+IF(AND(V406&gt;=75,V406&lt;=175,W406&gt;=110),0.12,0)+IF(AND(V406&gt;175,W406&lt;25),0.3,0)+IF(AND(V406&gt;175,W406&gt;=25,W406&lt;55),0.23,0)+IF(AND(V406&gt;175,W406&gt;=55,W406&lt;95),0.17,0)+IF(AND(V406&gt;175,W406&gt;=95),0.12,0),
IF(AF406="DoEVni",IF(AND(V406&lt;20,W406&lt;55),0.3,0)+IF(AND(V406&lt;20,W406&gt;=55,W406&lt;105),0.23,0)+IF(AND(V406&lt;20,W406&gt;=105),0.17,0)+IF(AND(V406&gt;=20,V406&lt;40,W406&lt;45),0.3,0)+IF(AND(V406&gt;=20,V406&lt;40,W406&gt;=45,W406&lt;95),0.23,0)+IF(AND(V406&gt;=20,V406&lt;40,W406&gt;=95,W406&lt;=200),0.17,0)+IF(AND(V406&gt;=20,V406&lt;40,W406&gt;=200),0.12,0)+IF(AND(V406&gt;=40,V406&lt;75,W406&lt;35),0.3,0)+IF(AND(V406&gt;=40,V406&lt;75,W406&gt;=35,W406&lt;75),0.23,0)+IF(AND(V406&gt;=40,V406&lt;75,W406&gt;=75,W406&lt;120),0.17,0)+IF(AND(V406&gt;=40,V406&lt;75,W406&gt;=120),0.12,0)+IF(AND(V406&gt;=75,V406&lt;175,W406&lt;35),0.3,0)+IF(AND(V406&gt;=75,V406&lt;=175,W406&gt;=35,W406&lt;65),0.23,0)+IF(AND(V406&gt;=75,V406&lt;=175,W406&gt;=65,W406&lt;110),0.17,0)+IF(AND(V406&gt;=75,V406&lt;=175,W406&gt;=110),0.12,0)+IF(AND(V406&gt;175,W406&lt;25),0.3,0)+IF(AND(V406&gt;175,W406&gt;=25,W406&lt;55),0.23,0)+IF(AND(V406&gt;175,W406&gt;=55,W406&lt;95),0.17,0)+IF(AND(V406&gt;175,W406&gt;=95),0.12,0),
IF(AF406="DoEVLo",IF(AND(V406&lt;20,W406&lt;55),0.25,0)+IF(AND(V406&lt;20,W406&gt;=55,W406&lt;105),0.2,0)+IF(AND(V406&lt;20,W406&gt;=105),0.15,0)+IF(AND(V406&gt;=20,V406&lt;40,W406&lt;45),0.25,0)+IF(AND(V406&gt;=20,V406&lt;40,W406&gt;=45,W406&lt;95),0.2,0)+IF(AND(V406&gt;=20,V406&lt;40,W406&gt;=95),0.15,0)+IF(AND(V406&gt;=40,V406&lt;75,W406&lt;35),0.25,0)+IF(AND(V406&gt;=40,V406&lt;75,W406&gt;=35,W406&lt;75),0.2,0)+IF(AND(V406&gt;=40,V406&lt;75,W406&gt;=75,W406&lt;120),0.15,0)+IF(AND(V406&gt;=40,V406&lt;75,W406&gt;=120),0.1,0)+IF(AND(V406&gt;=75,V406&lt;175,W406&lt;35),0.25,0)+IF(AND(V406&gt;=75,V406&lt;=175,W406&gt;=35,W406&lt;65),0.2,0)+IF(AND(V406&gt;=75,V406&lt;=175,W406&gt;=65,W406&lt;110),0.15,0)+IF(AND(V406&gt;=75,V406&lt;=175,W406&gt;=110),0.1,0)+IF(AND(V406&gt;175,W406&lt;25),0.25,0)+IF(AND(V406&gt;175,W406&gt;=25,W406&lt;55),0.2,0)+IF(AND(V406&gt;175,W406&gt;=55,W406&lt;95),0.15,0)+IF(AND(V406&gt;175,W406&gt;=95),0.1,0))))))))))))))))</f>
        <v>0.23</v>
      </c>
      <c r="Y406" s="30">
        <f>IF(AG406="None",0,IF(AG406="Fix5",0.05,IF(AG406="Fix3.75",0.0375,IF(AG406="Fix10",0.1,IF(AG406="Fix3",0.03,0)))))</f>
        <v>0</v>
      </c>
      <c r="Z406" s="35">
        <f>T406-AA406-AB406</f>
        <v>595.98</v>
      </c>
      <c r="AA406" s="29">
        <f>IF(AD406="EUR",((T406-R406)*X406)*U406+(R406*X406),(T406*X406))</f>
        <v>178.02</v>
      </c>
      <c r="AB406" s="36">
        <f>IF(AD406="EUR",((T406-R406)*Y406)*U406+(R406*Y406),(T406*Y406))</f>
        <v>0</v>
      </c>
      <c r="AC406" s="37" t="b">
        <v>1</v>
      </c>
      <c r="AD406" s="37" t="s">
        <v>38</v>
      </c>
      <c r="AE406" s="37" t="s">
        <v>38</v>
      </c>
      <c r="AF406" s="37" t="str">
        <f t="array" ref="AF406">INDEX('Deal Info'!D:D, MATCH(A406,'Deal Info'!A:A, 0))</f>
        <v>DoEV</v>
      </c>
      <c r="AG406" s="38" t="str">
        <f t="array" ref="AG406">INDEX('Deal Info'!G:G, MATCH(A406,'Deal Info'!A:A, 0))</f>
        <v>None</v>
      </c>
    </row>
    <row r="407" spans="1:33" ht="14.25" hidden="1" x14ac:dyDescent="0.2">
      <c r="A407" s="18" t="str">
        <f t="array" ref="A407">IF(G407='Room Info'!$B$1, INDEX('Room Info'!$A$2:$A2446, MATCH(B407,'Room Info'!$B$2:$B2446, 0)),IF(G407='Room Info'!$C$1, INDEX('Room Info'!$A$2:$A2446, MATCH(B407,'Room Info'!$C$2:$C2446, 0)),IF(G407='Room Info'!$D$1, INDEX('Room Info'!$A$2:$A2446, MATCH(B407,'Room Info'!$D$2:$D2446, 0)),IF(G407='Room Info'!$E$1, INDEX('Room Info'!$A$2:$A2446, MATCH(B407,'Room Info'!$E$2:$E2446, 0)),IF(G407='Room Info'!$F$1, INDEX('Room Info'!$A$2:$A2446, MATCH(B407,'Room Info'!$F$2:$F2446, 0)),IF(G407='Room Info'!$H$1, INDEX('Room Info'!$A$2:$A2446, MATCH(B407,'Room Info'!$H$2:$H2446, 0)),IF(G407='Room Info'!$G$1, INDEX('Room Info'!$A$2:$A2446, MATCH(B407,'Room Info'!$G$2:$G2446, 0)))))))))</f>
        <v>CrippledMind</v>
      </c>
      <c r="B407" s="45" t="s">
        <v>125</v>
      </c>
      <c r="C407" s="46">
        <v>44733</v>
      </c>
      <c r="D407" s="46">
        <v>44762</v>
      </c>
      <c r="E407" s="47">
        <v>44743</v>
      </c>
      <c r="F407" s="48" t="s">
        <v>34</v>
      </c>
      <c r="G407" s="54" t="s">
        <v>35</v>
      </c>
      <c r="H407" s="49" t="s">
        <v>39</v>
      </c>
      <c r="I407" s="49" t="s">
        <v>37</v>
      </c>
      <c r="J407" s="50">
        <v>5</v>
      </c>
      <c r="K407" s="51">
        <v>258</v>
      </c>
      <c r="L407" s="52">
        <v>-45</v>
      </c>
      <c r="M407" s="53">
        <v>74</v>
      </c>
      <c r="N407" s="28">
        <f>K407*J407</f>
        <v>1290</v>
      </c>
      <c r="O407" s="54">
        <v>6431</v>
      </c>
      <c r="P407" s="29">
        <v>24.926356590000001</v>
      </c>
      <c r="Q407" s="55"/>
      <c r="R407" s="31">
        <f>M407+Q407</f>
        <v>74</v>
      </c>
      <c r="S407" s="56">
        <v>-57</v>
      </c>
      <c r="T407" s="32">
        <f>R407+S407+IF(F407="Without EV deal",L407,0)</f>
        <v>17</v>
      </c>
      <c r="U407" s="57">
        <v>1</v>
      </c>
      <c r="V407" s="69">
        <v>9.4468267581475125</v>
      </c>
      <c r="W407" s="69">
        <v>181.11901951883794</v>
      </c>
      <c r="X407" s="30">
        <f>IF(AF407="DoEV",IF(AND(V407&lt;20,W407&lt;55),0.3,0)+IF(AND(V407&lt;20,W407&gt;=55,W407&lt;105),0.23,0)+IF(AND(V407&lt;20,W407&gt;=105),0.17,0)+IF(AND(V407&gt;=20,V407&lt;40,W407&lt;45),0.3,0)+IF(AND(V407&gt;=20,V407&lt;40,W407&gt;=45,W407&lt;95),0.23,0)+IF(AND(V407&gt;=20,V407&lt;40,W407&gt;=95),0.17,0)+IF(AND(V407&gt;=40,V407&lt;75,W407&lt;35),0.3,0)+IF(AND(V407&gt;=40,V407&lt;75,W407&gt;=35,W407&lt;75),0.23,0)+IF(AND(V407&gt;=40,V407&lt;75,W407&gt;=75,W407&lt;120),0.17,0)+IF(AND(V407&gt;=40,V407&lt;75,W407&gt;=120),0.12,0)+IF(AND(V407&gt;=75,V407&lt;175,W407&lt;35),0.3,0)+IF(AND(V407&gt;=75,V407&lt;=175,W407&gt;=35,W407&lt;65),0.23,0)+IF(AND(V407&gt;=75,V407&lt;=175,W407&gt;=65,W407&lt;110),0.17,0)+IF(AND(V407&gt;=75,V407&lt;=175,W407&gt;=110),0.12,0)+IF(AND(V407&gt;175,W407&lt;25),0.3,0)+IF(AND(V407&gt;175,W407&gt;=25,W407&lt;55),0.23,0)+IF(AND(V407&gt;175,W407&gt;=55,W407&lt;95),0.17,0)+IF(AND(V407&gt;175,W407&gt;=95),0.12,0),
IF(AF407="Fix15",0.15,
IF(AF407="Fix11.25",0.1125,
IF(AF407="Fix10",0.1,
IF(AF407="Fix9",0.09,
IF(AF407="DoEV2017",IF(AND(W407&lt;74),0.2,0)+IF(AND(W407&gt;=74),0.17,0),
IF(AF407="SF",IF(AND(V407&lt;20,W407&lt;89),0.3,0)+IF(AND(V407&lt;20,W407&gt;=89),0.25,0)+IF(AND(V407&gt;=20,V407&lt;40,W407&lt;74),0.3,0)+IF(AND(V407&gt;=20,V407&lt;40,W407&gt;=75),0.22,0)+IF(AND(V407&gt;=40,V407&lt;75,W407&lt;75),0.26,0)+IF(AND(V407&gt;=40,V407&lt;75,W407&gt;=75),0.22,0)+IF(V407&gt;=75,0.22,0),
IF(AF407="DoEVold",IF(AND(V407&lt;40,W407&lt;35),0.35,0)+IF(AND(V407&lt;40,W407&gt;=35,W407&lt;75),0.25,0)+IF(AND(V407&lt;40,W407&gt;=75),0.17,0)+IF(AND(V407&gt;=40,V407&lt;75,W407&lt;25),0.35,0)+IF(AND(V407&gt;=40,V407&lt;75,W407&gt;=25,W407&lt;65),0.25,0)+IF(AND(V407&gt;=40,V407&lt;75,W407&gt;=65,W407&lt;100),0.17,0)+IF(AND(V407&gt;=40,V407&lt;75,W407&gt;=100),0.1,0)+IF(AND(V407&gt;=75,W407&lt;25),0.35,0)+IF(AND(V407&gt;=75,W407&gt;=25,W407&lt;60),0.25,0)+IF(AND(V407&gt;=75,W407&gt;=60,W407&lt;95),0.17,0)+IF(AND(V407&gt;=75,W407&gt;=95),0.1,0),
IF(AF407="DoEVold15",IF(AND(V407&lt;=40,W407&lt;35),0.35,0)+IF(AND(V407&lt;=40,W407&gt;=35,W407&lt;75),0.25,0)+IF(AND(V407&lt;=40,W407&gt;=75,W407&lt;120),0.17,0)+IF(AND(V407&lt;=40,W407&gt;=120),0.15,0)+IF(AND(V407&gt;40,V407&lt;75,W407&lt;25),0.35,0)+IF(AND(V407&gt;=40,V407&lt;75,W407&gt;=25,W407&lt;65),0.25,0)+IF(AND(V407&gt;=40,V407&lt;75,W407&gt;=65,W407&lt;100),0.17,0)+IF(AND(V407&gt;=40,V407&lt;75,W407&gt;=100),0.1,0)+IF(AND(V407&gt;=75,W407&lt;25),0.35,0)+IF(AND(V407&gt;=75,W407&gt;=25,W407&lt;60),0.25,0)+IF(AND(V407&gt;=75,W407&gt;=60,W407&lt;95),0.17,0)+IF(AND(V407&gt;=75,W407&gt;=95),0.1,0),
IF(AF407="DoEVba",IF(AND(V407&lt;20,W407&lt;105),0.2,0)+IF(AND(V407&lt;20,W407&gt;=105),0.15,0)+IF(AND(V407&gt;=20,V407&lt;40,W407&lt;95),0.2,0)+IF(AND(V407&gt;=20,V407&lt;40,W407&gt;=95,W407&lt;150),0.15,0)+IF(AND(V407&gt;=20,V407&lt;40,W407&gt;=150),0.12,0)+IF(AND(V407&gt;=40,V407&lt;75,W407&lt;75),0.2,0)+IF(AND(V407&gt;=40,V407&lt;75,W407&gt;=75,W407&lt;120),0.15,0)+IF(AND(V407&gt;=40,V407&lt;75,W407&gt;=120),0.12,0)+IF(AND(V407&gt;=75,V407&lt;175,W407&lt;65),0.2,0)+IF(AND(V407&gt;=75,V407&lt;175,W407&gt;=65,W407&lt;110),0.15,0)+IF(AND(V407&gt;=75,V407&lt;175,W407&gt;=110),0.12,0)+IF(AND(V407&gt;=175,W407&lt;55),0.2,0)+IF(AND(V407&gt;=175,W407&gt;=55,W407&lt;95),0.15,0)+IF(AND(V407&gt;=175,W407&gt;=95),0.12,0),
IF(AF407="DoEVku",IF(AND(V407&lt;20,W407&lt;55),0.23,0)+IF(AND(V407&lt;20,W407&gt;=55,W407&lt;105),0.2,0)+IF(AND(V407&lt;20,W407&gt;=105),0.17,0)+IF(AND(V407&gt;=20,V407&lt;40,W407&lt;45),0.23,0)+IF(AND(V407&gt;=20,V407&lt;40,W407&gt;=45,W407&lt;95),0.2,0)+IF(AND(V407&gt;=20,V407&lt;40,W407&gt;=95,W407&lt;=150),0.17,0)+IF(AND(V407&gt;=20,V407&lt;40,W407&gt;=150),0.12,0)+IF(AND(V407&gt;=40,V407&lt;75,W407&lt;35),0.23,0)+IF(AND(V407&gt;=40,V407&lt;75,W407&gt;=35,W407&lt;75),0.2,0)+IF(AND(V407&gt;=40,V407&lt;75,W407&gt;=75,W407&lt;120),0.17,0)+IF(AND(V407&gt;=40,V407&lt;75,W407&gt;=120),0.12,0)+IF(AND(V407&gt;=75,V407&lt;175,W407&lt;35),0.23,0)+IF(AND(V407&gt;=75,V407&lt;=175,W407&gt;=35,W407&lt;65),0.2,0)+IF(AND(V407&gt;=75,V407&lt;=175,W407&gt;=65,W407&lt;110),0.17,0)+IF(AND(V407&gt;=75,V407&lt;=175,W407&gt;=110),0.12,0)+IF(AND(V407&gt;175,W407&lt;25),0.23,0)+IF(AND(V407&gt;175,W407&gt;=25,W407&lt;55),0.2,0)+IF(AND(V407&gt;175,W407&gt;=55,W407&lt;95),0.17,0)+IF(AND(V407&gt;175,W407&gt;=95),0.12,0),
IF(AF407="DoEVs1",IF(AND(V407&lt;20,W407&lt;55),0.3,0)+IF(AND(V407&lt;20,W407&gt;=55,W407&lt;105),0.23,0)+IF(AND(V407&lt;20,W407&gt;=105),0.17,0)+IF(AND(V407&gt;=20,V407&lt;40,W407&lt;45),0.3,0)+IF(AND(V407&gt;=20,V407&lt;40,W407&gt;=45,W407&lt;95),0.23,0)+IF(AND(V407&gt;=20,V407&lt;40,W407&gt;=95,W407&lt;=150),0.17,0)+IF(AND(V407&gt;=20,V407&lt;40,W407&gt;=150),0.12,0)+IF(AND(V407&gt;=40,V407&lt;75,W407&lt;35),0.3,0)+IF(AND(V407&gt;=40,V407&lt;75,W407&gt;=35,W407&lt;75),0.23,0)+IF(AND(V407&gt;=40,V407&lt;75,W407&gt;=75,W407&lt;120),0.17,0)+IF(AND(V407&gt;=40,V407&lt;75,W407&gt;=120),0.12,0)+IF(AND(V407&gt;=75,V407&lt;175,W407&lt;35),0.3,0)+IF(AND(V407&gt;=75,V407&lt;=175,W407&gt;=35,W407&lt;65),0.23,0)+IF(AND(V407&gt;=75,V407&lt;=175,W407&gt;=65,W407&lt;110),0.17,0)+IF(AND(V407&gt;=75,V407&lt;=175,W407&gt;=110),0.12,0)+IF(AND(V407&gt;175,W407&lt;25),0.3,0)+IF(AND(V407&gt;175,W407&gt;=25,W407&lt;55),0.23,0)+IF(AND(V407&gt;175,W407&gt;=55,W407&lt;95),0.17,0)+IF(AND(V407&gt;175,W407&gt;=95),0.12,0),
IF(AF407="DoEVsu",IF(AND(V407&lt;20,W407&lt;55),0.3,0)+IF(AND(V407&lt;20,W407&gt;=55,W407&lt;105),0.23,0)+IF(AND(V407&lt;20,W407&gt;=105),0.17,0)+IF(AND(V407&gt;=20,V407&lt;40,W407&lt;45),0.3,0)+IF(AND(V407&gt;=20,V407&lt;40,W407&gt;=45,W407&lt;95),0.23,0)+IF(AND(V407&gt;=20,V407&lt;40,W407&gt;=95,W407&lt;=250),0.17,0)+IF(AND(V407&gt;=20,V407&lt;40,W407&gt;=250),0.12,0)+IF(AND(V407&gt;=40,V407&lt;75,W407&lt;35),0.3,0)+IF(AND(V407&gt;=40,V407&lt;75,W407&gt;=35,W407&lt;75),0.23,0)+IF(AND(V407&gt;=40,V407&lt;75,W407&gt;=75,W407&lt;120),0.17,0)+IF(AND(V407&gt;=40,V407&lt;75,W407&gt;=120),0.12,0)+IF(AND(V407&gt;=75,V407&lt;175,W407&lt;35),0.3,0)+IF(AND(V407&gt;=75,V407&lt;=175,W407&gt;=35,W407&lt;65),0.23,0)+IF(AND(V407&gt;=75,V407&lt;=175,W407&gt;=65,W407&lt;110),0.17,0)+IF(AND(V407&gt;=75,V407&lt;=175,W407&gt;=110),0.12,0)+IF(AND(V407&gt;175,W407&lt;25),0.3,0)+IF(AND(V407&gt;175,W407&gt;=25,W407&lt;55),0.23,0)+IF(AND(V407&gt;175,W407&gt;=55,W407&lt;95),0.17,0)+IF(AND(V407&gt;175,W407&gt;=95),0.12,0),
IF(AF407="DoEVni",IF(AND(V407&lt;20,W407&lt;55),0.3,0)+IF(AND(V407&lt;20,W407&gt;=55,W407&lt;105),0.23,0)+IF(AND(V407&lt;20,W407&gt;=105),0.17,0)+IF(AND(V407&gt;=20,V407&lt;40,W407&lt;45),0.3,0)+IF(AND(V407&gt;=20,V407&lt;40,W407&gt;=45,W407&lt;95),0.23,0)+IF(AND(V407&gt;=20,V407&lt;40,W407&gt;=95,W407&lt;=200),0.17,0)+IF(AND(V407&gt;=20,V407&lt;40,W407&gt;=200),0.12,0)+IF(AND(V407&gt;=40,V407&lt;75,W407&lt;35),0.3,0)+IF(AND(V407&gt;=40,V407&lt;75,W407&gt;=35,W407&lt;75),0.23,0)+IF(AND(V407&gt;=40,V407&lt;75,W407&gt;=75,W407&lt;120),0.17,0)+IF(AND(V407&gt;=40,V407&lt;75,W407&gt;=120),0.12,0)+IF(AND(V407&gt;=75,V407&lt;175,W407&lt;35),0.3,0)+IF(AND(V407&gt;=75,V407&lt;=175,W407&gt;=35,W407&lt;65),0.23,0)+IF(AND(V407&gt;=75,V407&lt;=175,W407&gt;=65,W407&lt;110),0.17,0)+IF(AND(V407&gt;=75,V407&lt;=175,W407&gt;=110),0.12,0)+IF(AND(V407&gt;175,W407&lt;25),0.3,0)+IF(AND(V407&gt;175,W407&gt;=25,W407&lt;55),0.23,0)+IF(AND(V407&gt;175,W407&gt;=55,W407&lt;95),0.17,0)+IF(AND(V407&gt;175,W407&gt;=95),0.12,0),
IF(AF407="DoEVLo",IF(AND(V407&lt;20,W407&lt;55),0.25,0)+IF(AND(V407&lt;20,W407&gt;=55,W407&lt;105),0.2,0)+IF(AND(V407&lt;20,W407&gt;=105),0.15,0)+IF(AND(V407&gt;=20,V407&lt;40,W407&lt;45),0.25,0)+IF(AND(V407&gt;=20,V407&lt;40,W407&gt;=45,W407&lt;95),0.2,0)+IF(AND(V407&gt;=20,V407&lt;40,W407&gt;=95),0.15,0)+IF(AND(V407&gt;=40,V407&lt;75,W407&lt;35),0.25,0)+IF(AND(V407&gt;=40,V407&lt;75,W407&gt;=35,W407&lt;75),0.2,0)+IF(AND(V407&gt;=40,V407&lt;75,W407&gt;=75,W407&lt;120),0.15,0)+IF(AND(V407&gt;=40,V407&lt;75,W407&gt;=120),0.1,0)+IF(AND(V407&gt;=75,V407&lt;175,W407&lt;35),0.25,0)+IF(AND(V407&gt;=75,V407&lt;=175,W407&gt;=35,W407&lt;65),0.2,0)+IF(AND(V407&gt;=75,V407&lt;=175,W407&gt;=65,W407&lt;110),0.15,0)+IF(AND(V407&gt;=75,V407&lt;=175,W407&gt;=110),0.1,0)+IF(AND(V407&gt;175,W407&lt;25),0.25,0)+IF(AND(V407&gt;175,W407&gt;=25,W407&lt;55),0.2,0)+IF(AND(V407&gt;175,W407&gt;=55,W407&lt;95),0.15,0)+IF(AND(V407&gt;175,W407&gt;=95),0.1,0))))))))))))))))</f>
        <v>0.17</v>
      </c>
      <c r="Y407" s="30">
        <f>IF(AG407="None",0,IF(AG407="Fix5",0.05,IF(AG407="Fix3.75",0.0375,IF(AG407="Fix10",0.1,IF(AG407="Fix3",0.03,0)))))</f>
        <v>0</v>
      </c>
      <c r="Z407" s="35">
        <f>T407-AA407-AB407</f>
        <v>14.11</v>
      </c>
      <c r="AA407" s="29">
        <f>IF(AD407="EUR",((T407-R407)*X407)*U407+(R407*X407),(T407*X407))</f>
        <v>2.89</v>
      </c>
      <c r="AB407" s="36">
        <f>IF(AD407="EUR",((T407-R407)*Y407)*U407+(R407*Y407),(T407*Y407))</f>
        <v>0</v>
      </c>
      <c r="AC407" s="37" t="b">
        <v>1</v>
      </c>
      <c r="AD407" s="37" t="s">
        <v>38</v>
      </c>
      <c r="AE407" s="37" t="s">
        <v>38</v>
      </c>
      <c r="AF407" s="37" t="str">
        <f t="array" ref="AF407">INDEX('Deal Info'!D:D, MATCH(A407,'Deal Info'!A:A, 0))</f>
        <v>DoEV</v>
      </c>
      <c r="AG407" s="38" t="str">
        <f t="array" ref="AG407">INDEX('Deal Info'!G:G, MATCH(A407,'Deal Info'!A:A, 0))</f>
        <v>None</v>
      </c>
    </row>
    <row r="408" spans="1:33" ht="14.25" hidden="1" x14ac:dyDescent="0.2">
      <c r="A408" s="18" t="str">
        <f t="array" ref="A408">IF(G408='Room Info'!$B$1, INDEX('Room Info'!$A$2:$A2446, MATCH(B408,'Room Info'!$B$2:$B2446, 0)),IF(G408='Room Info'!$C$1, INDEX('Room Info'!$A$2:$A2446, MATCH(B408,'Room Info'!$C$2:$C2446, 0)),IF(G408='Room Info'!$D$1, INDEX('Room Info'!$A$2:$A2446, MATCH(B408,'Room Info'!$D$2:$D2446, 0)),IF(G408='Room Info'!$E$1, INDEX('Room Info'!$A$2:$A2446, MATCH(B408,'Room Info'!$E$2:$E2446, 0)),IF(G408='Room Info'!$F$1, INDEX('Room Info'!$A$2:$A2446, MATCH(B408,'Room Info'!$F$2:$F2446, 0)),IF(G408='Room Info'!$H$1, INDEX('Room Info'!$A$2:$A2446, MATCH(B408,'Room Info'!$H$2:$H2446, 0)),IF(G408='Room Info'!$G$1, INDEX('Room Info'!$A$2:$A2446, MATCH(B408,'Room Info'!$G$2:$G2446, 0)))))))))</f>
        <v>CrippledMind</v>
      </c>
      <c r="B408" s="45" t="s">
        <v>125</v>
      </c>
      <c r="C408" s="46">
        <v>44733</v>
      </c>
      <c r="D408" s="46">
        <v>44762</v>
      </c>
      <c r="E408" s="47">
        <v>44743</v>
      </c>
      <c r="F408" s="48" t="s">
        <v>34</v>
      </c>
      <c r="G408" s="54" t="s">
        <v>35</v>
      </c>
      <c r="H408" s="49" t="s">
        <v>40</v>
      </c>
      <c r="I408" s="49" t="s">
        <v>37</v>
      </c>
      <c r="J408" s="50">
        <v>10</v>
      </c>
      <c r="K408" s="51">
        <v>2074</v>
      </c>
      <c r="L408" s="52">
        <v>940</v>
      </c>
      <c r="M408" s="53">
        <v>1035</v>
      </c>
      <c r="N408" s="28">
        <f>K408*J408</f>
        <v>20740</v>
      </c>
      <c r="O408" s="54">
        <v>121120</v>
      </c>
      <c r="P408" s="29">
        <v>58.399228540000003</v>
      </c>
      <c r="Q408" s="55"/>
      <c r="R408" s="31">
        <f>M408+Q408</f>
        <v>1035</v>
      </c>
      <c r="S408" s="56">
        <v>659</v>
      </c>
      <c r="T408" s="32">
        <f>R408+S408+IF(F408="Without EV deal",L408,0)</f>
        <v>1694</v>
      </c>
      <c r="U408" s="57">
        <v>1</v>
      </c>
      <c r="V408" s="69">
        <v>9.4468267581475125</v>
      </c>
      <c r="W408" s="69">
        <v>181.11901951883794</v>
      </c>
      <c r="X408" s="30">
        <f>IF(AF408="DoEV",IF(AND(V408&lt;20,W408&lt;55),0.3,0)+IF(AND(V408&lt;20,W408&gt;=55,W408&lt;105),0.23,0)+IF(AND(V408&lt;20,W408&gt;=105),0.17,0)+IF(AND(V408&gt;=20,V408&lt;40,W408&lt;45),0.3,0)+IF(AND(V408&gt;=20,V408&lt;40,W408&gt;=45,W408&lt;95),0.23,0)+IF(AND(V408&gt;=20,V408&lt;40,W408&gt;=95),0.17,0)+IF(AND(V408&gt;=40,V408&lt;75,W408&lt;35),0.3,0)+IF(AND(V408&gt;=40,V408&lt;75,W408&gt;=35,W408&lt;75),0.23,0)+IF(AND(V408&gt;=40,V408&lt;75,W408&gt;=75,W408&lt;120),0.17,0)+IF(AND(V408&gt;=40,V408&lt;75,W408&gt;=120),0.12,0)+IF(AND(V408&gt;=75,V408&lt;175,W408&lt;35),0.3,0)+IF(AND(V408&gt;=75,V408&lt;=175,W408&gt;=35,W408&lt;65),0.23,0)+IF(AND(V408&gt;=75,V408&lt;=175,W408&gt;=65,W408&lt;110),0.17,0)+IF(AND(V408&gt;=75,V408&lt;=175,W408&gt;=110),0.12,0)+IF(AND(V408&gt;175,W408&lt;25),0.3,0)+IF(AND(V408&gt;175,W408&gt;=25,W408&lt;55),0.23,0)+IF(AND(V408&gt;175,W408&gt;=55,W408&lt;95),0.17,0)+IF(AND(V408&gt;175,W408&gt;=95),0.12,0),
IF(AF408="Fix15",0.15,
IF(AF408="Fix11.25",0.1125,
IF(AF408="Fix10",0.1,
IF(AF408="Fix9",0.09,
IF(AF408="DoEV2017",IF(AND(W408&lt;74),0.2,0)+IF(AND(W408&gt;=74),0.17,0),
IF(AF408="SF",IF(AND(V408&lt;20,W408&lt;89),0.3,0)+IF(AND(V408&lt;20,W408&gt;=89),0.25,0)+IF(AND(V408&gt;=20,V408&lt;40,W408&lt;74),0.3,0)+IF(AND(V408&gt;=20,V408&lt;40,W408&gt;=75),0.22,0)+IF(AND(V408&gt;=40,V408&lt;75,W408&lt;75),0.26,0)+IF(AND(V408&gt;=40,V408&lt;75,W408&gt;=75),0.22,0)+IF(V408&gt;=75,0.22,0),
IF(AF408="DoEVold",IF(AND(V408&lt;40,W408&lt;35),0.35,0)+IF(AND(V408&lt;40,W408&gt;=35,W408&lt;75),0.25,0)+IF(AND(V408&lt;40,W408&gt;=75),0.17,0)+IF(AND(V408&gt;=40,V408&lt;75,W408&lt;25),0.35,0)+IF(AND(V408&gt;=40,V408&lt;75,W408&gt;=25,W408&lt;65),0.25,0)+IF(AND(V408&gt;=40,V408&lt;75,W408&gt;=65,W408&lt;100),0.17,0)+IF(AND(V408&gt;=40,V408&lt;75,W408&gt;=100),0.1,0)+IF(AND(V408&gt;=75,W408&lt;25),0.35,0)+IF(AND(V408&gt;=75,W408&gt;=25,W408&lt;60),0.25,0)+IF(AND(V408&gt;=75,W408&gt;=60,W408&lt;95),0.17,0)+IF(AND(V408&gt;=75,W408&gt;=95),0.1,0),
IF(AF408="DoEVold15",IF(AND(V408&lt;=40,W408&lt;35),0.35,0)+IF(AND(V408&lt;=40,W408&gt;=35,W408&lt;75),0.25,0)+IF(AND(V408&lt;=40,W408&gt;=75,W408&lt;120),0.17,0)+IF(AND(V408&lt;=40,W408&gt;=120),0.15,0)+IF(AND(V408&gt;40,V408&lt;75,W408&lt;25),0.35,0)+IF(AND(V408&gt;=40,V408&lt;75,W408&gt;=25,W408&lt;65),0.25,0)+IF(AND(V408&gt;=40,V408&lt;75,W408&gt;=65,W408&lt;100),0.17,0)+IF(AND(V408&gt;=40,V408&lt;75,W408&gt;=100),0.1,0)+IF(AND(V408&gt;=75,W408&lt;25),0.35,0)+IF(AND(V408&gt;=75,W408&gt;=25,W408&lt;60),0.25,0)+IF(AND(V408&gt;=75,W408&gt;=60,W408&lt;95),0.17,0)+IF(AND(V408&gt;=75,W408&gt;=95),0.1,0),
IF(AF408="DoEVba",IF(AND(V408&lt;20,W408&lt;105),0.2,0)+IF(AND(V408&lt;20,W408&gt;=105),0.15,0)+IF(AND(V408&gt;=20,V408&lt;40,W408&lt;95),0.2,0)+IF(AND(V408&gt;=20,V408&lt;40,W408&gt;=95,W408&lt;150),0.15,0)+IF(AND(V408&gt;=20,V408&lt;40,W408&gt;=150),0.12,0)+IF(AND(V408&gt;=40,V408&lt;75,W408&lt;75),0.2,0)+IF(AND(V408&gt;=40,V408&lt;75,W408&gt;=75,W408&lt;120),0.15,0)+IF(AND(V408&gt;=40,V408&lt;75,W408&gt;=120),0.12,0)+IF(AND(V408&gt;=75,V408&lt;175,W408&lt;65),0.2,0)+IF(AND(V408&gt;=75,V408&lt;175,W408&gt;=65,W408&lt;110),0.15,0)+IF(AND(V408&gt;=75,V408&lt;175,W408&gt;=110),0.12,0)+IF(AND(V408&gt;=175,W408&lt;55),0.2,0)+IF(AND(V408&gt;=175,W408&gt;=55,W408&lt;95),0.15,0)+IF(AND(V408&gt;=175,W408&gt;=95),0.12,0),
IF(AF408="DoEVku",IF(AND(V408&lt;20,W408&lt;55),0.23,0)+IF(AND(V408&lt;20,W408&gt;=55,W408&lt;105),0.2,0)+IF(AND(V408&lt;20,W408&gt;=105),0.17,0)+IF(AND(V408&gt;=20,V408&lt;40,W408&lt;45),0.23,0)+IF(AND(V408&gt;=20,V408&lt;40,W408&gt;=45,W408&lt;95),0.2,0)+IF(AND(V408&gt;=20,V408&lt;40,W408&gt;=95,W408&lt;=150),0.17,0)+IF(AND(V408&gt;=20,V408&lt;40,W408&gt;=150),0.12,0)+IF(AND(V408&gt;=40,V408&lt;75,W408&lt;35),0.23,0)+IF(AND(V408&gt;=40,V408&lt;75,W408&gt;=35,W408&lt;75),0.2,0)+IF(AND(V408&gt;=40,V408&lt;75,W408&gt;=75,W408&lt;120),0.17,0)+IF(AND(V408&gt;=40,V408&lt;75,W408&gt;=120),0.12,0)+IF(AND(V408&gt;=75,V408&lt;175,W408&lt;35),0.23,0)+IF(AND(V408&gt;=75,V408&lt;=175,W408&gt;=35,W408&lt;65),0.2,0)+IF(AND(V408&gt;=75,V408&lt;=175,W408&gt;=65,W408&lt;110),0.17,0)+IF(AND(V408&gt;=75,V408&lt;=175,W408&gt;=110),0.12,0)+IF(AND(V408&gt;175,W408&lt;25),0.23,0)+IF(AND(V408&gt;175,W408&gt;=25,W408&lt;55),0.2,0)+IF(AND(V408&gt;175,W408&gt;=55,W408&lt;95),0.17,0)+IF(AND(V408&gt;175,W408&gt;=95),0.12,0),
IF(AF408="DoEVs1",IF(AND(V408&lt;20,W408&lt;55),0.3,0)+IF(AND(V408&lt;20,W408&gt;=55,W408&lt;105),0.23,0)+IF(AND(V408&lt;20,W408&gt;=105),0.17,0)+IF(AND(V408&gt;=20,V408&lt;40,W408&lt;45),0.3,0)+IF(AND(V408&gt;=20,V408&lt;40,W408&gt;=45,W408&lt;95),0.23,0)+IF(AND(V408&gt;=20,V408&lt;40,W408&gt;=95,W408&lt;=150),0.17,0)+IF(AND(V408&gt;=20,V408&lt;40,W408&gt;=150),0.12,0)+IF(AND(V408&gt;=40,V408&lt;75,W408&lt;35),0.3,0)+IF(AND(V408&gt;=40,V408&lt;75,W408&gt;=35,W408&lt;75),0.23,0)+IF(AND(V408&gt;=40,V408&lt;75,W408&gt;=75,W408&lt;120),0.17,0)+IF(AND(V408&gt;=40,V408&lt;75,W408&gt;=120),0.12,0)+IF(AND(V408&gt;=75,V408&lt;175,W408&lt;35),0.3,0)+IF(AND(V408&gt;=75,V408&lt;=175,W408&gt;=35,W408&lt;65),0.23,0)+IF(AND(V408&gt;=75,V408&lt;=175,W408&gt;=65,W408&lt;110),0.17,0)+IF(AND(V408&gt;=75,V408&lt;=175,W408&gt;=110),0.12,0)+IF(AND(V408&gt;175,W408&lt;25),0.3,0)+IF(AND(V408&gt;175,W408&gt;=25,W408&lt;55),0.23,0)+IF(AND(V408&gt;175,W408&gt;=55,W408&lt;95),0.17,0)+IF(AND(V408&gt;175,W408&gt;=95),0.12,0),
IF(AF408="DoEVsu",IF(AND(V408&lt;20,W408&lt;55),0.3,0)+IF(AND(V408&lt;20,W408&gt;=55,W408&lt;105),0.23,0)+IF(AND(V408&lt;20,W408&gt;=105),0.17,0)+IF(AND(V408&gt;=20,V408&lt;40,W408&lt;45),0.3,0)+IF(AND(V408&gt;=20,V408&lt;40,W408&gt;=45,W408&lt;95),0.23,0)+IF(AND(V408&gt;=20,V408&lt;40,W408&gt;=95,W408&lt;=250),0.17,0)+IF(AND(V408&gt;=20,V408&lt;40,W408&gt;=250),0.12,0)+IF(AND(V408&gt;=40,V408&lt;75,W408&lt;35),0.3,0)+IF(AND(V408&gt;=40,V408&lt;75,W408&gt;=35,W408&lt;75),0.23,0)+IF(AND(V408&gt;=40,V408&lt;75,W408&gt;=75,W408&lt;120),0.17,0)+IF(AND(V408&gt;=40,V408&lt;75,W408&gt;=120),0.12,0)+IF(AND(V408&gt;=75,V408&lt;175,W408&lt;35),0.3,0)+IF(AND(V408&gt;=75,V408&lt;=175,W408&gt;=35,W408&lt;65),0.23,0)+IF(AND(V408&gt;=75,V408&lt;=175,W408&gt;=65,W408&lt;110),0.17,0)+IF(AND(V408&gt;=75,V408&lt;=175,W408&gt;=110),0.12,0)+IF(AND(V408&gt;175,W408&lt;25),0.3,0)+IF(AND(V408&gt;175,W408&gt;=25,W408&lt;55),0.23,0)+IF(AND(V408&gt;175,W408&gt;=55,W408&lt;95),0.17,0)+IF(AND(V408&gt;175,W408&gt;=95),0.12,0),
IF(AF408="DoEVni",IF(AND(V408&lt;20,W408&lt;55),0.3,0)+IF(AND(V408&lt;20,W408&gt;=55,W408&lt;105),0.23,0)+IF(AND(V408&lt;20,W408&gt;=105),0.17,0)+IF(AND(V408&gt;=20,V408&lt;40,W408&lt;45),0.3,0)+IF(AND(V408&gt;=20,V408&lt;40,W408&gt;=45,W408&lt;95),0.23,0)+IF(AND(V408&gt;=20,V408&lt;40,W408&gt;=95,W408&lt;=200),0.17,0)+IF(AND(V408&gt;=20,V408&lt;40,W408&gt;=200),0.12,0)+IF(AND(V408&gt;=40,V408&lt;75,W408&lt;35),0.3,0)+IF(AND(V408&gt;=40,V408&lt;75,W408&gt;=35,W408&lt;75),0.23,0)+IF(AND(V408&gt;=40,V408&lt;75,W408&gt;=75,W408&lt;120),0.17,0)+IF(AND(V408&gt;=40,V408&lt;75,W408&gt;=120),0.12,0)+IF(AND(V408&gt;=75,V408&lt;175,W408&lt;35),0.3,0)+IF(AND(V408&gt;=75,V408&lt;=175,W408&gt;=35,W408&lt;65),0.23,0)+IF(AND(V408&gt;=75,V408&lt;=175,W408&gt;=65,W408&lt;110),0.17,0)+IF(AND(V408&gt;=75,V408&lt;=175,W408&gt;=110),0.12,0)+IF(AND(V408&gt;175,W408&lt;25),0.3,0)+IF(AND(V408&gt;175,W408&gt;=25,W408&lt;55),0.23,0)+IF(AND(V408&gt;175,W408&gt;=55,W408&lt;95),0.17,0)+IF(AND(V408&gt;175,W408&gt;=95),0.12,0),
IF(AF408="DoEVLo",IF(AND(V408&lt;20,W408&lt;55),0.25,0)+IF(AND(V408&lt;20,W408&gt;=55,W408&lt;105),0.2,0)+IF(AND(V408&lt;20,W408&gt;=105),0.15,0)+IF(AND(V408&gt;=20,V408&lt;40,W408&lt;45),0.25,0)+IF(AND(V408&gt;=20,V408&lt;40,W408&gt;=45,W408&lt;95),0.2,0)+IF(AND(V408&gt;=20,V408&lt;40,W408&gt;=95),0.15,0)+IF(AND(V408&gt;=40,V408&lt;75,W408&lt;35),0.25,0)+IF(AND(V408&gt;=40,V408&lt;75,W408&gt;=35,W408&lt;75),0.2,0)+IF(AND(V408&gt;=40,V408&lt;75,W408&gt;=75,W408&lt;120),0.15,0)+IF(AND(V408&gt;=40,V408&lt;75,W408&gt;=120),0.1,0)+IF(AND(V408&gt;=75,V408&lt;175,W408&lt;35),0.25,0)+IF(AND(V408&gt;=75,V408&lt;=175,W408&gt;=35,W408&lt;65),0.2,0)+IF(AND(V408&gt;=75,V408&lt;=175,W408&gt;=65,W408&lt;110),0.15,0)+IF(AND(V408&gt;=75,V408&lt;=175,W408&gt;=110),0.1,0)+IF(AND(V408&gt;175,W408&lt;25),0.25,0)+IF(AND(V408&gt;175,W408&gt;=25,W408&lt;55),0.2,0)+IF(AND(V408&gt;175,W408&gt;=55,W408&lt;95),0.15,0)+IF(AND(V408&gt;175,W408&gt;=95),0.1,0))))))))))))))))</f>
        <v>0.17</v>
      </c>
      <c r="Y408" s="30">
        <f>IF(AG408="None",0,IF(AG408="Fix5",0.05,IF(AG408="Fix3.75",0.0375,IF(AG408="Fix10",0.1,IF(AG408="Fix3",0.03,0)))))</f>
        <v>0</v>
      </c>
      <c r="Z408" s="35">
        <f>T408-AA408-AB408</f>
        <v>1406.02</v>
      </c>
      <c r="AA408" s="29">
        <f>IF(AD408="EUR",((T408-R408)*X408)*U408+(R408*X408),(T408*X408))</f>
        <v>287.98</v>
      </c>
      <c r="AB408" s="36">
        <f>IF(AD408="EUR",((T408-R408)*Y408)*U408+(R408*Y408),(T408*Y408))</f>
        <v>0</v>
      </c>
      <c r="AC408" s="37" t="b">
        <v>1</v>
      </c>
      <c r="AD408" s="37" t="s">
        <v>38</v>
      </c>
      <c r="AE408" s="37" t="s">
        <v>38</v>
      </c>
      <c r="AF408" s="37" t="str">
        <f t="array" ref="AF408">INDEX('Deal Info'!D:D, MATCH(A408,'Deal Info'!A:A, 0))</f>
        <v>DoEV</v>
      </c>
      <c r="AG408" s="38" t="str">
        <f t="array" ref="AG408">INDEX('Deal Info'!G:G, MATCH(A408,'Deal Info'!A:A, 0))</f>
        <v>None</v>
      </c>
    </row>
    <row r="409" spans="1:33" ht="14.25" hidden="1" x14ac:dyDescent="0.2">
      <c r="A409" s="18" t="str">
        <f t="array" ref="A409">IF(G409='Room Info'!$B$1, INDEX('Room Info'!$A$2:$A2446, MATCH(B409,'Room Info'!$B$2:$B2446, 0)),IF(G409='Room Info'!$C$1, INDEX('Room Info'!$A$2:$A2446, MATCH(B409,'Room Info'!$C$2:$C2446, 0)),IF(G409='Room Info'!$D$1, INDEX('Room Info'!$A$2:$A2446, MATCH(B409,'Room Info'!$D$2:$D2446, 0)),IF(G409='Room Info'!$E$1, INDEX('Room Info'!$A$2:$A2446, MATCH(B409,'Room Info'!$E$2:$E2446, 0)),IF(G409='Room Info'!$F$1, INDEX('Room Info'!$A$2:$A2446, MATCH(B409,'Room Info'!$F$2:$F2446, 0)),IF(G409='Room Info'!$H$1, INDEX('Room Info'!$A$2:$A2446, MATCH(B409,'Room Info'!$H$2:$H2446, 0)),IF(G409='Room Info'!$G$1, INDEX('Room Info'!$A$2:$A2446, MATCH(B409,'Room Info'!$G$2:$G2446, 0)))))))))</f>
        <v>CrippledMind</v>
      </c>
      <c r="B409" s="45" t="s">
        <v>125</v>
      </c>
      <c r="C409" s="46">
        <v>44763</v>
      </c>
      <c r="D409" s="46">
        <v>44793</v>
      </c>
      <c r="E409" s="47">
        <v>44774</v>
      </c>
      <c r="F409" s="48" t="s">
        <v>34</v>
      </c>
      <c r="G409" s="45" t="s">
        <v>35</v>
      </c>
      <c r="H409" s="49" t="s">
        <v>39</v>
      </c>
      <c r="I409" s="49" t="s">
        <v>37</v>
      </c>
      <c r="J409" s="70">
        <v>5</v>
      </c>
      <c r="K409" s="71">
        <v>85</v>
      </c>
      <c r="L409" s="72">
        <v>-45</v>
      </c>
      <c r="M409" s="53">
        <v>25</v>
      </c>
      <c r="N409" s="28">
        <f>K409*J409</f>
        <v>425</v>
      </c>
      <c r="O409" s="45">
        <v>877</v>
      </c>
      <c r="P409" s="29">
        <v>10.317647060000001</v>
      </c>
      <c r="Q409" s="55"/>
      <c r="R409" s="31">
        <f>M409+Q409</f>
        <v>25</v>
      </c>
      <c r="S409" s="73">
        <v>-29</v>
      </c>
      <c r="T409" s="32">
        <f>R409+S409+IF(F409="Without EV deal",L409,0)</f>
        <v>-4</v>
      </c>
      <c r="U409" s="57">
        <v>1</v>
      </c>
      <c r="V409" s="69">
        <v>9.8205928237129481</v>
      </c>
      <c r="W409" s="69">
        <v>28.61334392374901</v>
      </c>
      <c r="X409" s="30">
        <f>IF(AF409="DoEV",IF(AND(V409&lt;20,W409&lt;55),0.3,0)+IF(AND(V409&lt;20,W409&gt;=55,W409&lt;105),0.23,0)+IF(AND(V409&lt;20,W409&gt;=105),0.17,0)+IF(AND(V409&gt;=20,V409&lt;40,W409&lt;45),0.3,0)+IF(AND(V409&gt;=20,V409&lt;40,W409&gt;=45,W409&lt;95),0.23,0)+IF(AND(V409&gt;=20,V409&lt;40,W409&gt;=95),0.17,0)+IF(AND(V409&gt;=40,V409&lt;75,W409&lt;35),0.3,0)+IF(AND(V409&gt;=40,V409&lt;75,W409&gt;=35,W409&lt;75),0.23,0)+IF(AND(V409&gt;=40,V409&lt;75,W409&gt;=75,W409&lt;120),0.17,0)+IF(AND(V409&gt;=40,V409&lt;75,W409&gt;=120),0.12,0)+IF(AND(V409&gt;=75,V409&lt;175,W409&lt;35),0.3,0)+IF(AND(V409&gt;=75,V409&lt;=175,W409&gt;=35,W409&lt;65),0.23,0)+IF(AND(V409&gt;=75,V409&lt;=175,W409&gt;=65,W409&lt;110),0.17,0)+IF(AND(V409&gt;=75,V409&lt;=175,W409&gt;=110),0.12,0)+IF(AND(V409&gt;175,W409&lt;25),0.3,0)+IF(AND(V409&gt;175,W409&gt;=25,W409&lt;55),0.23,0)+IF(AND(V409&gt;175,W409&gt;=55,W409&lt;95),0.17,0)+IF(AND(V409&gt;175,W409&gt;=95),0.12,0),
IF(AF409="Fix15",0.15,
IF(AF409="Fix11.25",0.1125,
IF(AF409="Fix10",0.1,
IF(AF409="Fix9",0.09,
IF(AF409="DoEV2017",IF(AND(W409&lt;74),0.2,0)+IF(AND(W409&gt;=74),0.17,0),
IF(AF409="SF",IF(AND(V409&lt;20,W409&lt;89),0.3,0)+IF(AND(V409&lt;20,W409&gt;=89),0.25,0)+IF(AND(V409&gt;=20,V409&lt;40,W409&lt;74),0.3,0)+IF(AND(V409&gt;=20,V409&lt;40,W409&gt;=75),0.22,0)+IF(AND(V409&gt;=40,V409&lt;75,W409&lt;75),0.26,0)+IF(AND(V409&gt;=40,V409&lt;75,W409&gt;=75),0.22,0)+IF(V409&gt;=75,0.22,0),
IF(AF409="DoEVold",IF(AND(V409&lt;40,W409&lt;35),0.35,0)+IF(AND(V409&lt;40,W409&gt;=35,W409&lt;75),0.25,0)+IF(AND(V409&lt;40,W409&gt;=75),0.17,0)+IF(AND(V409&gt;=40,V409&lt;75,W409&lt;25),0.35,0)+IF(AND(V409&gt;=40,V409&lt;75,W409&gt;=25,W409&lt;65),0.25,0)+IF(AND(V409&gt;=40,V409&lt;75,W409&gt;=65,W409&lt;100),0.17,0)+IF(AND(V409&gt;=40,V409&lt;75,W409&gt;=100),0.1,0)+IF(AND(V409&gt;=75,W409&lt;25),0.35,0)+IF(AND(V409&gt;=75,W409&gt;=25,W409&lt;60),0.25,0)+IF(AND(V409&gt;=75,W409&gt;=60,W409&lt;95),0.17,0)+IF(AND(V409&gt;=75,W409&gt;=95),0.1,0),
IF(AF409="DoEVold15",IF(AND(V409&lt;=40,W409&lt;35),0.35,0)+IF(AND(V409&lt;=40,W409&gt;=35,W409&lt;75),0.25,0)+IF(AND(V409&lt;=40,W409&gt;=75,W409&lt;120),0.17,0)+IF(AND(V409&lt;=40,W409&gt;=120),0.15,0)+IF(AND(V409&gt;40,V409&lt;75,W409&lt;25),0.35,0)+IF(AND(V409&gt;=40,V409&lt;75,W409&gt;=25,W409&lt;65),0.25,0)+IF(AND(V409&gt;=40,V409&lt;75,W409&gt;=65,W409&lt;100),0.17,0)+IF(AND(V409&gt;=40,V409&lt;75,W409&gt;=100),0.1,0)+IF(AND(V409&gt;=75,W409&lt;25),0.35,0)+IF(AND(V409&gt;=75,W409&gt;=25,W409&lt;60),0.25,0)+IF(AND(V409&gt;=75,W409&gt;=60,W409&lt;95),0.17,0)+IF(AND(V409&gt;=75,W409&gt;=95),0.1,0),
IF(AF409="DoEVba",IF(AND(V409&lt;20,W409&lt;105),0.2,0)+IF(AND(V409&lt;20,W409&gt;=105),0.15,0)+IF(AND(V409&gt;=20,V409&lt;40,W409&lt;95),0.2,0)+IF(AND(V409&gt;=20,V409&lt;40,W409&gt;=95,W409&lt;150),0.15,0)+IF(AND(V409&gt;=20,V409&lt;40,W409&gt;=150),0.12,0)+IF(AND(V409&gt;=40,V409&lt;75,W409&lt;75),0.2,0)+IF(AND(V409&gt;=40,V409&lt;75,W409&gt;=75,W409&lt;120),0.15,0)+IF(AND(V409&gt;=40,V409&lt;75,W409&gt;=120),0.12,0)+IF(AND(V409&gt;=75,V409&lt;175,W409&lt;65),0.2,0)+IF(AND(V409&gt;=75,V409&lt;175,W409&gt;=65,W409&lt;110),0.15,0)+IF(AND(V409&gt;=75,V409&lt;175,W409&gt;=110),0.12,0)+IF(AND(V409&gt;=175,W409&lt;55),0.2,0)+IF(AND(V409&gt;=175,W409&gt;=55,W409&lt;95),0.15,0)+IF(AND(V409&gt;=175,W409&gt;=95),0.12,0),
IF(AF409="DoEVku",IF(AND(V409&lt;20,W409&lt;55),0.23,0)+IF(AND(V409&lt;20,W409&gt;=55,W409&lt;105),0.2,0)+IF(AND(V409&lt;20,W409&gt;=105),0.17,0)+IF(AND(V409&gt;=20,V409&lt;40,W409&lt;45),0.23,0)+IF(AND(V409&gt;=20,V409&lt;40,W409&gt;=45,W409&lt;95),0.2,0)+IF(AND(V409&gt;=20,V409&lt;40,W409&gt;=95,W409&lt;=150),0.17,0)+IF(AND(V409&gt;=20,V409&lt;40,W409&gt;=150),0.12,0)+IF(AND(V409&gt;=40,V409&lt;75,W409&lt;35),0.23,0)+IF(AND(V409&gt;=40,V409&lt;75,W409&gt;=35,W409&lt;75),0.2,0)+IF(AND(V409&gt;=40,V409&lt;75,W409&gt;=75,W409&lt;120),0.17,0)+IF(AND(V409&gt;=40,V409&lt;75,W409&gt;=120),0.12,0)+IF(AND(V409&gt;=75,V409&lt;175,W409&lt;35),0.23,0)+IF(AND(V409&gt;=75,V409&lt;=175,W409&gt;=35,W409&lt;65),0.2,0)+IF(AND(V409&gt;=75,V409&lt;=175,W409&gt;=65,W409&lt;110),0.17,0)+IF(AND(V409&gt;=75,V409&lt;=175,W409&gt;=110),0.12,0)+IF(AND(V409&gt;175,W409&lt;25),0.23,0)+IF(AND(V409&gt;175,W409&gt;=25,W409&lt;55),0.2,0)+IF(AND(V409&gt;175,W409&gt;=55,W409&lt;95),0.17,0)+IF(AND(V409&gt;175,W409&gt;=95),0.12,0),
IF(AF409="DoEVs1",IF(AND(V409&lt;20,W409&lt;55),0.3,0)+IF(AND(V409&lt;20,W409&gt;=55,W409&lt;105),0.23,0)+IF(AND(V409&lt;20,W409&gt;=105),0.17,0)+IF(AND(V409&gt;=20,V409&lt;40,W409&lt;45),0.3,0)+IF(AND(V409&gt;=20,V409&lt;40,W409&gt;=45,W409&lt;95),0.23,0)+IF(AND(V409&gt;=20,V409&lt;40,W409&gt;=95,W409&lt;=150),0.17,0)+IF(AND(V409&gt;=20,V409&lt;40,W409&gt;=150),0.12,0)+IF(AND(V409&gt;=40,V409&lt;75,W409&lt;35),0.3,0)+IF(AND(V409&gt;=40,V409&lt;75,W409&gt;=35,W409&lt;75),0.23,0)+IF(AND(V409&gt;=40,V409&lt;75,W409&gt;=75,W409&lt;120),0.17,0)+IF(AND(V409&gt;=40,V409&lt;75,W409&gt;=120),0.12,0)+IF(AND(V409&gt;=75,V409&lt;175,W409&lt;35),0.3,0)+IF(AND(V409&gt;=75,V409&lt;=175,W409&gt;=35,W409&lt;65),0.23,0)+IF(AND(V409&gt;=75,V409&lt;=175,W409&gt;=65,W409&lt;110),0.17,0)+IF(AND(V409&gt;=75,V409&lt;=175,W409&gt;=110),0.12,0)+IF(AND(V409&gt;175,W409&lt;25),0.3,0)+IF(AND(V409&gt;175,W409&gt;=25,W409&lt;55),0.23,0)+IF(AND(V409&gt;175,W409&gt;=55,W409&lt;95),0.17,0)+IF(AND(V409&gt;175,W409&gt;=95),0.12,0),
IF(AF409="DoEVsu",IF(AND(V409&lt;20,W409&lt;55),0.3,0)+IF(AND(V409&lt;20,W409&gt;=55,W409&lt;105),0.23,0)+IF(AND(V409&lt;20,W409&gt;=105),0.17,0)+IF(AND(V409&gt;=20,V409&lt;40,W409&lt;45),0.3,0)+IF(AND(V409&gt;=20,V409&lt;40,W409&gt;=45,W409&lt;95),0.23,0)+IF(AND(V409&gt;=20,V409&lt;40,W409&gt;=95,W409&lt;=250),0.17,0)+IF(AND(V409&gt;=20,V409&lt;40,W409&gt;=250),0.12,0)+IF(AND(V409&gt;=40,V409&lt;75,W409&lt;35),0.3,0)+IF(AND(V409&gt;=40,V409&lt;75,W409&gt;=35,W409&lt;75),0.23,0)+IF(AND(V409&gt;=40,V409&lt;75,W409&gt;=75,W409&lt;120),0.17,0)+IF(AND(V409&gt;=40,V409&lt;75,W409&gt;=120),0.12,0)+IF(AND(V409&gt;=75,V409&lt;175,W409&lt;35),0.3,0)+IF(AND(V409&gt;=75,V409&lt;=175,W409&gt;=35,W409&lt;65),0.23,0)+IF(AND(V409&gt;=75,V409&lt;=175,W409&gt;=65,W409&lt;110),0.17,0)+IF(AND(V409&gt;=75,V409&lt;=175,W409&gt;=110),0.12,0)+IF(AND(V409&gt;175,W409&lt;25),0.3,0)+IF(AND(V409&gt;175,W409&gt;=25,W409&lt;55),0.23,0)+IF(AND(V409&gt;175,W409&gt;=55,W409&lt;95),0.17,0)+IF(AND(V409&gt;175,W409&gt;=95),0.12,0),
IF(AF409="DoEVni",IF(AND(V409&lt;20,W409&lt;55),0.3,0)+IF(AND(V409&lt;20,W409&gt;=55,W409&lt;105),0.23,0)+IF(AND(V409&lt;20,W409&gt;=105),0.17,0)+IF(AND(V409&gt;=20,V409&lt;40,W409&lt;45),0.3,0)+IF(AND(V409&gt;=20,V409&lt;40,W409&gt;=45,W409&lt;95),0.23,0)+IF(AND(V409&gt;=20,V409&lt;40,W409&gt;=95,W409&lt;=200),0.17,0)+IF(AND(V409&gt;=20,V409&lt;40,W409&gt;=200),0.12,0)+IF(AND(V409&gt;=40,V409&lt;75,W409&lt;35),0.3,0)+IF(AND(V409&gt;=40,V409&lt;75,W409&gt;=35,W409&lt;75),0.23,0)+IF(AND(V409&gt;=40,V409&lt;75,W409&gt;=75,W409&lt;120),0.17,0)+IF(AND(V409&gt;=40,V409&lt;75,W409&gt;=120),0.12,0)+IF(AND(V409&gt;=75,V409&lt;175,W409&lt;35),0.3,0)+IF(AND(V409&gt;=75,V409&lt;=175,W409&gt;=35,W409&lt;65),0.23,0)+IF(AND(V409&gt;=75,V409&lt;=175,W409&gt;=65,W409&lt;110),0.17,0)+IF(AND(V409&gt;=75,V409&lt;=175,W409&gt;=110),0.12,0)+IF(AND(V409&gt;175,W409&lt;25),0.3,0)+IF(AND(V409&gt;175,W409&gt;=25,W409&lt;55),0.23,0)+IF(AND(V409&gt;175,W409&gt;=55,W409&lt;95),0.17,0)+IF(AND(V409&gt;175,W409&gt;=95),0.12,0),
IF(AF409="DoEVLo",IF(AND(V409&lt;20,W409&lt;55),0.25,0)+IF(AND(V409&lt;20,W409&gt;=55,W409&lt;105),0.2,0)+IF(AND(V409&lt;20,W409&gt;=105),0.15,0)+IF(AND(V409&gt;=20,V409&lt;40,W409&lt;45),0.25,0)+IF(AND(V409&gt;=20,V409&lt;40,W409&gt;=45,W409&lt;95),0.2,0)+IF(AND(V409&gt;=20,V409&lt;40,W409&gt;=95),0.15,0)+IF(AND(V409&gt;=40,V409&lt;75,W409&lt;35),0.25,0)+IF(AND(V409&gt;=40,V409&lt;75,W409&gt;=35,W409&lt;75),0.2,0)+IF(AND(V409&gt;=40,V409&lt;75,W409&gt;=75,W409&lt;120),0.15,0)+IF(AND(V409&gt;=40,V409&lt;75,W409&gt;=120),0.1,0)+IF(AND(V409&gt;=75,V409&lt;175,W409&lt;35),0.25,0)+IF(AND(V409&gt;=75,V409&lt;=175,W409&gt;=35,W409&lt;65),0.2,0)+IF(AND(V409&gt;=75,V409&lt;=175,W409&gt;=65,W409&lt;110),0.15,0)+IF(AND(V409&gt;=75,V409&lt;=175,W409&gt;=110),0.1,0)+IF(AND(V409&gt;175,W409&lt;25),0.25,0)+IF(AND(V409&gt;175,W409&gt;=25,W409&lt;55),0.2,0)+IF(AND(V409&gt;175,W409&gt;=55,W409&lt;95),0.15,0)+IF(AND(V409&gt;175,W409&gt;=95),0.1,0))))))))))))))))</f>
        <v>0.3</v>
      </c>
      <c r="Y409" s="30">
        <f>IF(AG409="None",0,IF(AG409="Fix5",0.05,IF(AG409="Fix3.75",0.0375,IF(AG409="Fix10",0.1,IF(AG409="Fix3",0.03,0)))))</f>
        <v>0</v>
      </c>
      <c r="Z409" s="35">
        <f>T409-AA409-AB409</f>
        <v>-2.8</v>
      </c>
      <c r="AA409" s="29">
        <f>IF(AD409="EUR",((T409-R409)*X409)*U409+(R409*X409),(T409*X409))</f>
        <v>-1.2</v>
      </c>
      <c r="AB409" s="36">
        <f>IF(AD409="EUR",((T409-R409)*Y409)*U409+(R409*Y409),(T409*Y409))</f>
        <v>0</v>
      </c>
      <c r="AC409" s="37" t="b">
        <v>1</v>
      </c>
      <c r="AD409" s="37" t="s">
        <v>38</v>
      </c>
      <c r="AE409" s="37" t="s">
        <v>38</v>
      </c>
      <c r="AF409" s="37" t="str">
        <f t="array" ref="AF409">INDEX('Deal Info'!D:D, MATCH(A409,'Deal Info'!A:A, 0))</f>
        <v>DoEV</v>
      </c>
      <c r="AG409" s="38" t="str">
        <f t="array" ref="AG409">INDEX('Deal Info'!G:G, MATCH(A409,'Deal Info'!A:A, 0))</f>
        <v>None</v>
      </c>
    </row>
    <row r="410" spans="1:33" ht="14.25" hidden="1" x14ac:dyDescent="0.2">
      <c r="A410" s="18" t="str">
        <f t="array" ref="A410">IF(G410='Room Info'!$B$1, INDEX('Room Info'!$A$2:$A2446, MATCH(B410,'Room Info'!$B$2:$B2446, 0)),IF(G410='Room Info'!$C$1, INDEX('Room Info'!$A$2:$A2446, MATCH(B410,'Room Info'!$C$2:$C2446, 0)),IF(G410='Room Info'!$D$1, INDEX('Room Info'!$A$2:$A2446, MATCH(B410,'Room Info'!$D$2:$D2446, 0)),IF(G410='Room Info'!$E$1, INDEX('Room Info'!$A$2:$A2446, MATCH(B410,'Room Info'!$E$2:$E2446, 0)),IF(G410='Room Info'!$F$1, INDEX('Room Info'!$A$2:$A2446, MATCH(B410,'Room Info'!$F$2:$F2446, 0)),IF(G410='Room Info'!$H$1, INDEX('Room Info'!$A$2:$A2446, MATCH(B410,'Room Info'!$H$2:$H2446, 0)),IF(G410='Room Info'!$G$1, INDEX('Room Info'!$A$2:$A2446, MATCH(B410,'Room Info'!$G$2:$G2446, 0)))))))))</f>
        <v>CrippledMind</v>
      </c>
      <c r="B410" s="45" t="s">
        <v>125</v>
      </c>
      <c r="C410" s="46">
        <v>44763</v>
      </c>
      <c r="D410" s="46">
        <v>44793</v>
      </c>
      <c r="E410" s="47">
        <v>44774</v>
      </c>
      <c r="F410" s="48" t="s">
        <v>34</v>
      </c>
      <c r="G410" s="45" t="s">
        <v>35</v>
      </c>
      <c r="H410" s="49" t="s">
        <v>40</v>
      </c>
      <c r="I410" s="49" t="s">
        <v>37</v>
      </c>
      <c r="J410" s="70">
        <v>10</v>
      </c>
      <c r="K410" s="71">
        <v>1184</v>
      </c>
      <c r="L410" s="72">
        <v>-1020</v>
      </c>
      <c r="M410" s="53">
        <v>606</v>
      </c>
      <c r="N410" s="28">
        <f>K410*J410</f>
        <v>11840</v>
      </c>
      <c r="O410" s="45">
        <v>31874</v>
      </c>
      <c r="P410" s="29">
        <v>26.92060811</v>
      </c>
      <c r="Q410" s="55"/>
      <c r="R410" s="31">
        <f>M410+Q410</f>
        <v>606</v>
      </c>
      <c r="S410" s="73">
        <v>-272</v>
      </c>
      <c r="T410" s="32">
        <f>R410+S410+IF(F410="Without EV deal",L410,0)</f>
        <v>334</v>
      </c>
      <c r="U410" s="57">
        <v>1</v>
      </c>
      <c r="V410" s="69">
        <v>9.8205928237129481</v>
      </c>
      <c r="W410" s="69">
        <v>28.61334392374901</v>
      </c>
      <c r="X410" s="30">
        <f>IF(AF410="DoEV",IF(AND(V410&lt;20,W410&lt;55),0.3,0)+IF(AND(V410&lt;20,W410&gt;=55,W410&lt;105),0.23,0)+IF(AND(V410&lt;20,W410&gt;=105),0.17,0)+IF(AND(V410&gt;=20,V410&lt;40,W410&lt;45),0.3,0)+IF(AND(V410&gt;=20,V410&lt;40,W410&gt;=45,W410&lt;95),0.23,0)+IF(AND(V410&gt;=20,V410&lt;40,W410&gt;=95),0.17,0)+IF(AND(V410&gt;=40,V410&lt;75,W410&lt;35),0.3,0)+IF(AND(V410&gt;=40,V410&lt;75,W410&gt;=35,W410&lt;75),0.23,0)+IF(AND(V410&gt;=40,V410&lt;75,W410&gt;=75,W410&lt;120),0.17,0)+IF(AND(V410&gt;=40,V410&lt;75,W410&gt;=120),0.12,0)+IF(AND(V410&gt;=75,V410&lt;175,W410&lt;35),0.3,0)+IF(AND(V410&gt;=75,V410&lt;=175,W410&gt;=35,W410&lt;65),0.23,0)+IF(AND(V410&gt;=75,V410&lt;=175,W410&gt;=65,W410&lt;110),0.17,0)+IF(AND(V410&gt;=75,V410&lt;=175,W410&gt;=110),0.12,0)+IF(AND(V410&gt;175,W410&lt;25),0.3,0)+IF(AND(V410&gt;175,W410&gt;=25,W410&lt;55),0.23,0)+IF(AND(V410&gt;175,W410&gt;=55,W410&lt;95),0.17,0)+IF(AND(V410&gt;175,W410&gt;=95),0.12,0),
IF(AF410="Fix15",0.15,
IF(AF410="Fix11.25",0.1125,
IF(AF410="Fix10",0.1,
IF(AF410="Fix9",0.09,
IF(AF410="DoEV2017",IF(AND(W410&lt;74),0.2,0)+IF(AND(W410&gt;=74),0.17,0),
IF(AF410="SF",IF(AND(V410&lt;20,W410&lt;89),0.3,0)+IF(AND(V410&lt;20,W410&gt;=89),0.25,0)+IF(AND(V410&gt;=20,V410&lt;40,W410&lt;74),0.3,0)+IF(AND(V410&gt;=20,V410&lt;40,W410&gt;=75),0.22,0)+IF(AND(V410&gt;=40,V410&lt;75,W410&lt;75),0.26,0)+IF(AND(V410&gt;=40,V410&lt;75,W410&gt;=75),0.22,0)+IF(V410&gt;=75,0.22,0),
IF(AF410="DoEVold",IF(AND(V410&lt;40,W410&lt;35),0.35,0)+IF(AND(V410&lt;40,W410&gt;=35,W410&lt;75),0.25,0)+IF(AND(V410&lt;40,W410&gt;=75),0.17,0)+IF(AND(V410&gt;=40,V410&lt;75,W410&lt;25),0.35,0)+IF(AND(V410&gt;=40,V410&lt;75,W410&gt;=25,W410&lt;65),0.25,0)+IF(AND(V410&gt;=40,V410&lt;75,W410&gt;=65,W410&lt;100),0.17,0)+IF(AND(V410&gt;=40,V410&lt;75,W410&gt;=100),0.1,0)+IF(AND(V410&gt;=75,W410&lt;25),0.35,0)+IF(AND(V410&gt;=75,W410&gt;=25,W410&lt;60),0.25,0)+IF(AND(V410&gt;=75,W410&gt;=60,W410&lt;95),0.17,0)+IF(AND(V410&gt;=75,W410&gt;=95),0.1,0),
IF(AF410="DoEVold15",IF(AND(V410&lt;=40,W410&lt;35),0.35,0)+IF(AND(V410&lt;=40,W410&gt;=35,W410&lt;75),0.25,0)+IF(AND(V410&lt;=40,W410&gt;=75,W410&lt;120),0.17,0)+IF(AND(V410&lt;=40,W410&gt;=120),0.15,0)+IF(AND(V410&gt;40,V410&lt;75,W410&lt;25),0.35,0)+IF(AND(V410&gt;=40,V410&lt;75,W410&gt;=25,W410&lt;65),0.25,0)+IF(AND(V410&gt;=40,V410&lt;75,W410&gt;=65,W410&lt;100),0.17,0)+IF(AND(V410&gt;=40,V410&lt;75,W410&gt;=100),0.1,0)+IF(AND(V410&gt;=75,W410&lt;25),0.35,0)+IF(AND(V410&gt;=75,W410&gt;=25,W410&lt;60),0.25,0)+IF(AND(V410&gt;=75,W410&gt;=60,W410&lt;95),0.17,0)+IF(AND(V410&gt;=75,W410&gt;=95),0.1,0),
IF(AF410="DoEVba",IF(AND(V410&lt;20,W410&lt;105),0.2,0)+IF(AND(V410&lt;20,W410&gt;=105),0.15,0)+IF(AND(V410&gt;=20,V410&lt;40,W410&lt;95),0.2,0)+IF(AND(V410&gt;=20,V410&lt;40,W410&gt;=95,W410&lt;150),0.15,0)+IF(AND(V410&gt;=20,V410&lt;40,W410&gt;=150),0.12,0)+IF(AND(V410&gt;=40,V410&lt;75,W410&lt;75),0.2,0)+IF(AND(V410&gt;=40,V410&lt;75,W410&gt;=75,W410&lt;120),0.15,0)+IF(AND(V410&gt;=40,V410&lt;75,W410&gt;=120),0.12,0)+IF(AND(V410&gt;=75,V410&lt;175,W410&lt;65),0.2,0)+IF(AND(V410&gt;=75,V410&lt;175,W410&gt;=65,W410&lt;110),0.15,0)+IF(AND(V410&gt;=75,V410&lt;175,W410&gt;=110),0.12,0)+IF(AND(V410&gt;=175,W410&lt;55),0.2,0)+IF(AND(V410&gt;=175,W410&gt;=55,W410&lt;95),0.15,0)+IF(AND(V410&gt;=175,W410&gt;=95),0.12,0),
IF(AF410="DoEVku",IF(AND(V410&lt;20,W410&lt;55),0.23,0)+IF(AND(V410&lt;20,W410&gt;=55,W410&lt;105),0.2,0)+IF(AND(V410&lt;20,W410&gt;=105),0.17,0)+IF(AND(V410&gt;=20,V410&lt;40,W410&lt;45),0.23,0)+IF(AND(V410&gt;=20,V410&lt;40,W410&gt;=45,W410&lt;95),0.2,0)+IF(AND(V410&gt;=20,V410&lt;40,W410&gt;=95,W410&lt;=150),0.17,0)+IF(AND(V410&gt;=20,V410&lt;40,W410&gt;=150),0.12,0)+IF(AND(V410&gt;=40,V410&lt;75,W410&lt;35),0.23,0)+IF(AND(V410&gt;=40,V410&lt;75,W410&gt;=35,W410&lt;75),0.2,0)+IF(AND(V410&gt;=40,V410&lt;75,W410&gt;=75,W410&lt;120),0.17,0)+IF(AND(V410&gt;=40,V410&lt;75,W410&gt;=120),0.12,0)+IF(AND(V410&gt;=75,V410&lt;175,W410&lt;35),0.23,0)+IF(AND(V410&gt;=75,V410&lt;=175,W410&gt;=35,W410&lt;65),0.2,0)+IF(AND(V410&gt;=75,V410&lt;=175,W410&gt;=65,W410&lt;110),0.17,0)+IF(AND(V410&gt;=75,V410&lt;=175,W410&gt;=110),0.12,0)+IF(AND(V410&gt;175,W410&lt;25),0.23,0)+IF(AND(V410&gt;175,W410&gt;=25,W410&lt;55),0.2,0)+IF(AND(V410&gt;175,W410&gt;=55,W410&lt;95),0.17,0)+IF(AND(V410&gt;175,W410&gt;=95),0.12,0),
IF(AF410="DoEVs1",IF(AND(V410&lt;20,W410&lt;55),0.3,0)+IF(AND(V410&lt;20,W410&gt;=55,W410&lt;105),0.23,0)+IF(AND(V410&lt;20,W410&gt;=105),0.17,0)+IF(AND(V410&gt;=20,V410&lt;40,W410&lt;45),0.3,0)+IF(AND(V410&gt;=20,V410&lt;40,W410&gt;=45,W410&lt;95),0.23,0)+IF(AND(V410&gt;=20,V410&lt;40,W410&gt;=95,W410&lt;=150),0.17,0)+IF(AND(V410&gt;=20,V410&lt;40,W410&gt;=150),0.12,0)+IF(AND(V410&gt;=40,V410&lt;75,W410&lt;35),0.3,0)+IF(AND(V410&gt;=40,V410&lt;75,W410&gt;=35,W410&lt;75),0.23,0)+IF(AND(V410&gt;=40,V410&lt;75,W410&gt;=75,W410&lt;120),0.17,0)+IF(AND(V410&gt;=40,V410&lt;75,W410&gt;=120),0.12,0)+IF(AND(V410&gt;=75,V410&lt;175,W410&lt;35),0.3,0)+IF(AND(V410&gt;=75,V410&lt;=175,W410&gt;=35,W410&lt;65),0.23,0)+IF(AND(V410&gt;=75,V410&lt;=175,W410&gt;=65,W410&lt;110),0.17,0)+IF(AND(V410&gt;=75,V410&lt;=175,W410&gt;=110),0.12,0)+IF(AND(V410&gt;175,W410&lt;25),0.3,0)+IF(AND(V410&gt;175,W410&gt;=25,W410&lt;55),0.23,0)+IF(AND(V410&gt;175,W410&gt;=55,W410&lt;95),0.17,0)+IF(AND(V410&gt;175,W410&gt;=95),0.12,0),
IF(AF410="DoEVsu",IF(AND(V410&lt;20,W410&lt;55),0.3,0)+IF(AND(V410&lt;20,W410&gt;=55,W410&lt;105),0.23,0)+IF(AND(V410&lt;20,W410&gt;=105),0.17,0)+IF(AND(V410&gt;=20,V410&lt;40,W410&lt;45),0.3,0)+IF(AND(V410&gt;=20,V410&lt;40,W410&gt;=45,W410&lt;95),0.23,0)+IF(AND(V410&gt;=20,V410&lt;40,W410&gt;=95,W410&lt;=250),0.17,0)+IF(AND(V410&gt;=20,V410&lt;40,W410&gt;=250),0.12,0)+IF(AND(V410&gt;=40,V410&lt;75,W410&lt;35),0.3,0)+IF(AND(V410&gt;=40,V410&lt;75,W410&gt;=35,W410&lt;75),0.23,0)+IF(AND(V410&gt;=40,V410&lt;75,W410&gt;=75,W410&lt;120),0.17,0)+IF(AND(V410&gt;=40,V410&lt;75,W410&gt;=120),0.12,0)+IF(AND(V410&gt;=75,V410&lt;175,W410&lt;35),0.3,0)+IF(AND(V410&gt;=75,V410&lt;=175,W410&gt;=35,W410&lt;65),0.23,0)+IF(AND(V410&gt;=75,V410&lt;=175,W410&gt;=65,W410&lt;110),0.17,0)+IF(AND(V410&gt;=75,V410&lt;=175,W410&gt;=110),0.12,0)+IF(AND(V410&gt;175,W410&lt;25),0.3,0)+IF(AND(V410&gt;175,W410&gt;=25,W410&lt;55),0.23,0)+IF(AND(V410&gt;175,W410&gt;=55,W410&lt;95),0.17,0)+IF(AND(V410&gt;175,W410&gt;=95),0.12,0),
IF(AF410="DoEVni",IF(AND(V410&lt;20,W410&lt;55),0.3,0)+IF(AND(V410&lt;20,W410&gt;=55,W410&lt;105),0.23,0)+IF(AND(V410&lt;20,W410&gt;=105),0.17,0)+IF(AND(V410&gt;=20,V410&lt;40,W410&lt;45),0.3,0)+IF(AND(V410&gt;=20,V410&lt;40,W410&gt;=45,W410&lt;95),0.23,0)+IF(AND(V410&gt;=20,V410&lt;40,W410&gt;=95,W410&lt;=200),0.17,0)+IF(AND(V410&gt;=20,V410&lt;40,W410&gt;=200),0.12,0)+IF(AND(V410&gt;=40,V410&lt;75,W410&lt;35),0.3,0)+IF(AND(V410&gt;=40,V410&lt;75,W410&gt;=35,W410&lt;75),0.23,0)+IF(AND(V410&gt;=40,V410&lt;75,W410&gt;=75,W410&lt;120),0.17,0)+IF(AND(V410&gt;=40,V410&lt;75,W410&gt;=120),0.12,0)+IF(AND(V410&gt;=75,V410&lt;175,W410&lt;35),0.3,0)+IF(AND(V410&gt;=75,V410&lt;=175,W410&gt;=35,W410&lt;65),0.23,0)+IF(AND(V410&gt;=75,V410&lt;=175,W410&gt;=65,W410&lt;110),0.17,0)+IF(AND(V410&gt;=75,V410&lt;=175,W410&gt;=110),0.12,0)+IF(AND(V410&gt;175,W410&lt;25),0.3,0)+IF(AND(V410&gt;175,W410&gt;=25,W410&lt;55),0.23,0)+IF(AND(V410&gt;175,W410&gt;=55,W410&lt;95),0.17,0)+IF(AND(V410&gt;175,W410&gt;=95),0.12,0),
IF(AF410="DoEVLo",IF(AND(V410&lt;20,W410&lt;55),0.25,0)+IF(AND(V410&lt;20,W410&gt;=55,W410&lt;105),0.2,0)+IF(AND(V410&lt;20,W410&gt;=105),0.15,0)+IF(AND(V410&gt;=20,V410&lt;40,W410&lt;45),0.25,0)+IF(AND(V410&gt;=20,V410&lt;40,W410&gt;=45,W410&lt;95),0.2,0)+IF(AND(V410&gt;=20,V410&lt;40,W410&gt;=95),0.15,0)+IF(AND(V410&gt;=40,V410&lt;75,W410&lt;35),0.25,0)+IF(AND(V410&gt;=40,V410&lt;75,W410&gt;=35,W410&lt;75),0.2,0)+IF(AND(V410&gt;=40,V410&lt;75,W410&gt;=75,W410&lt;120),0.15,0)+IF(AND(V410&gt;=40,V410&lt;75,W410&gt;=120),0.1,0)+IF(AND(V410&gt;=75,V410&lt;175,W410&lt;35),0.25,0)+IF(AND(V410&gt;=75,V410&lt;=175,W410&gt;=35,W410&lt;65),0.2,0)+IF(AND(V410&gt;=75,V410&lt;=175,W410&gt;=65,W410&lt;110),0.15,0)+IF(AND(V410&gt;=75,V410&lt;=175,W410&gt;=110),0.1,0)+IF(AND(V410&gt;175,W410&lt;25),0.25,0)+IF(AND(V410&gt;175,W410&gt;=25,W410&lt;55),0.2,0)+IF(AND(V410&gt;175,W410&gt;=55,W410&lt;95),0.15,0)+IF(AND(V410&gt;175,W410&gt;=95),0.1,0))))))))))))))))</f>
        <v>0.3</v>
      </c>
      <c r="Y410" s="30">
        <f>IF(AG410="None",0,IF(AG410="Fix5",0.05,IF(AG410="Fix3.75",0.0375,IF(AG410="Fix10",0.1,IF(AG410="Fix3",0.03,0)))))</f>
        <v>0</v>
      </c>
      <c r="Z410" s="35">
        <f>T410-AA410-AB410</f>
        <v>233.8</v>
      </c>
      <c r="AA410" s="29">
        <f>IF(AD410="EUR",((T410-R410)*X410)*U410+(R410*X410),(T410*X410))</f>
        <v>100.2</v>
      </c>
      <c r="AB410" s="36">
        <f>IF(AD410="EUR",((T410-R410)*Y410)*U410+(R410*Y410),(T410*Y410))</f>
        <v>0</v>
      </c>
      <c r="AC410" s="37" t="b">
        <v>1</v>
      </c>
      <c r="AD410" s="37" t="s">
        <v>38</v>
      </c>
      <c r="AE410" s="37" t="s">
        <v>38</v>
      </c>
      <c r="AF410" s="37" t="str">
        <f t="array" ref="AF410">INDEX('Deal Info'!D:D, MATCH(A410,'Deal Info'!A:A, 0))</f>
        <v>DoEV</v>
      </c>
      <c r="AG410" s="38" t="str">
        <f t="array" ref="AG410">INDEX('Deal Info'!G:G, MATCH(A410,'Deal Info'!A:A, 0))</f>
        <v>None</v>
      </c>
    </row>
    <row r="411" spans="1:33" ht="14.25" hidden="1" x14ac:dyDescent="0.2">
      <c r="A411" s="18" t="str">
        <f t="array" ref="A411">IF(G411='Room Info'!$B$1, INDEX('Room Info'!$A$2:$A2446, MATCH(B411,'Room Info'!$B$2:$B2446, 0)),IF(G411='Room Info'!$C$1, INDEX('Room Info'!$A$2:$A2446, MATCH(B411,'Room Info'!$C$2:$C2446, 0)),IF(G411='Room Info'!$D$1, INDEX('Room Info'!$A$2:$A2446, MATCH(B411,'Room Info'!$D$2:$D2446, 0)),IF(G411='Room Info'!$E$1, INDEX('Room Info'!$A$2:$A2446, MATCH(B411,'Room Info'!$E$2:$E2446, 0)),IF(G411='Room Info'!$F$1, INDEX('Room Info'!$A$2:$A2446, MATCH(B411,'Room Info'!$F$2:$F2446, 0)),IF(G411='Room Info'!$H$1, INDEX('Room Info'!$A$2:$A2446, MATCH(B411,'Room Info'!$H$2:$H2446, 0)),IF(G411='Room Info'!$G$1, INDEX('Room Info'!$A$2:$A2446, MATCH(B411,'Room Info'!$G$2:$G2446, 0)))))))))</f>
        <v>CrippledMind</v>
      </c>
      <c r="B411" s="45" t="s">
        <v>125</v>
      </c>
      <c r="C411" s="46">
        <v>44763</v>
      </c>
      <c r="D411" s="46">
        <v>44793</v>
      </c>
      <c r="E411" s="47">
        <v>44774</v>
      </c>
      <c r="F411" s="45" t="s">
        <v>34</v>
      </c>
      <c r="G411" s="54" t="s">
        <v>35</v>
      </c>
      <c r="H411" s="49" t="s">
        <v>46</v>
      </c>
      <c r="I411" s="49" t="s">
        <v>37</v>
      </c>
      <c r="J411" s="50">
        <v>25</v>
      </c>
      <c r="K411" s="51">
        <v>13</v>
      </c>
      <c r="L411" s="52">
        <v>-75</v>
      </c>
      <c r="M411" s="53">
        <v>14</v>
      </c>
      <c r="N411" s="28">
        <f>K411*J411</f>
        <v>325</v>
      </c>
      <c r="O411" s="54">
        <v>-925</v>
      </c>
      <c r="P411" s="29">
        <v>-71.153846150000007</v>
      </c>
      <c r="Q411" s="55"/>
      <c r="R411" s="31">
        <f>M411+Q411</f>
        <v>14</v>
      </c>
      <c r="S411" s="56">
        <v>-63</v>
      </c>
      <c r="T411" s="32">
        <f>R411+S411+IF(F411="Without EV deal",L411,0)</f>
        <v>-49</v>
      </c>
      <c r="U411" s="57">
        <v>1</v>
      </c>
      <c r="V411" s="69">
        <v>9.8205928237129481</v>
      </c>
      <c r="W411" s="69">
        <v>28.61334392374901</v>
      </c>
      <c r="X411" s="30">
        <f>IF(AF411="DoEV",IF(AND(V411&lt;20,W411&lt;55),0.3,0)+IF(AND(V411&lt;20,W411&gt;=55,W411&lt;105),0.23,0)+IF(AND(V411&lt;20,W411&gt;=105),0.17,0)+IF(AND(V411&gt;=20,V411&lt;40,W411&lt;45),0.3,0)+IF(AND(V411&gt;=20,V411&lt;40,W411&gt;=45,W411&lt;95),0.23,0)+IF(AND(V411&gt;=20,V411&lt;40,W411&gt;=95),0.17,0)+IF(AND(V411&gt;=40,V411&lt;75,W411&lt;35),0.3,0)+IF(AND(V411&gt;=40,V411&lt;75,W411&gt;=35,W411&lt;75),0.23,0)+IF(AND(V411&gt;=40,V411&lt;75,W411&gt;=75,W411&lt;120),0.17,0)+IF(AND(V411&gt;=40,V411&lt;75,W411&gt;=120),0.12,0)+IF(AND(V411&gt;=75,V411&lt;175,W411&lt;35),0.3,0)+IF(AND(V411&gt;=75,V411&lt;=175,W411&gt;=35,W411&lt;65),0.23,0)+IF(AND(V411&gt;=75,V411&lt;=175,W411&gt;=65,W411&lt;110),0.17,0)+IF(AND(V411&gt;=75,V411&lt;=175,W411&gt;=110),0.12,0)+IF(AND(V411&gt;175,W411&lt;25),0.3,0)+IF(AND(V411&gt;175,W411&gt;=25,W411&lt;55),0.23,0)+IF(AND(V411&gt;175,W411&gt;=55,W411&lt;95),0.17,0)+IF(AND(V411&gt;175,W411&gt;=95),0.12,0),
IF(AF411="Fix15",0.15,
IF(AF411="Fix11.25",0.1125,
IF(AF411="Fix10",0.1,
IF(AF411="Fix9",0.09,
IF(AF411="DoEV2017",IF(AND(W411&lt;74),0.2,0)+IF(AND(W411&gt;=74),0.17,0),
IF(AF411="SF",IF(AND(V411&lt;20,W411&lt;89),0.3,0)+IF(AND(V411&lt;20,W411&gt;=89),0.25,0)+IF(AND(V411&gt;=20,V411&lt;40,W411&lt;74),0.3,0)+IF(AND(V411&gt;=20,V411&lt;40,W411&gt;=75),0.22,0)+IF(AND(V411&gt;=40,V411&lt;75,W411&lt;75),0.26,0)+IF(AND(V411&gt;=40,V411&lt;75,W411&gt;=75),0.22,0)+IF(V411&gt;=75,0.22,0),
IF(AF411="DoEVold",IF(AND(V411&lt;40,W411&lt;35),0.35,0)+IF(AND(V411&lt;40,W411&gt;=35,W411&lt;75),0.25,0)+IF(AND(V411&lt;40,W411&gt;=75),0.17,0)+IF(AND(V411&gt;=40,V411&lt;75,W411&lt;25),0.35,0)+IF(AND(V411&gt;=40,V411&lt;75,W411&gt;=25,W411&lt;65),0.25,0)+IF(AND(V411&gt;=40,V411&lt;75,W411&gt;=65,W411&lt;100),0.17,0)+IF(AND(V411&gt;=40,V411&lt;75,W411&gt;=100),0.1,0)+IF(AND(V411&gt;=75,W411&lt;25),0.35,0)+IF(AND(V411&gt;=75,W411&gt;=25,W411&lt;60),0.25,0)+IF(AND(V411&gt;=75,W411&gt;=60,W411&lt;95),0.17,0)+IF(AND(V411&gt;=75,W411&gt;=95),0.1,0),
IF(AF411="DoEVold15",IF(AND(V411&lt;=40,W411&lt;35),0.35,0)+IF(AND(V411&lt;=40,W411&gt;=35,W411&lt;75),0.25,0)+IF(AND(V411&lt;=40,W411&gt;=75,W411&lt;120),0.17,0)+IF(AND(V411&lt;=40,W411&gt;=120),0.15,0)+IF(AND(V411&gt;40,V411&lt;75,W411&lt;25),0.35,0)+IF(AND(V411&gt;=40,V411&lt;75,W411&gt;=25,W411&lt;65),0.25,0)+IF(AND(V411&gt;=40,V411&lt;75,W411&gt;=65,W411&lt;100),0.17,0)+IF(AND(V411&gt;=40,V411&lt;75,W411&gt;=100),0.1,0)+IF(AND(V411&gt;=75,W411&lt;25),0.35,0)+IF(AND(V411&gt;=75,W411&gt;=25,W411&lt;60),0.25,0)+IF(AND(V411&gt;=75,W411&gt;=60,W411&lt;95),0.17,0)+IF(AND(V411&gt;=75,W411&gt;=95),0.1,0),
IF(AF411="DoEVba",IF(AND(V411&lt;20,W411&lt;105),0.2,0)+IF(AND(V411&lt;20,W411&gt;=105),0.15,0)+IF(AND(V411&gt;=20,V411&lt;40,W411&lt;95),0.2,0)+IF(AND(V411&gt;=20,V411&lt;40,W411&gt;=95,W411&lt;150),0.15,0)+IF(AND(V411&gt;=20,V411&lt;40,W411&gt;=150),0.12,0)+IF(AND(V411&gt;=40,V411&lt;75,W411&lt;75),0.2,0)+IF(AND(V411&gt;=40,V411&lt;75,W411&gt;=75,W411&lt;120),0.15,0)+IF(AND(V411&gt;=40,V411&lt;75,W411&gt;=120),0.12,0)+IF(AND(V411&gt;=75,V411&lt;175,W411&lt;65),0.2,0)+IF(AND(V411&gt;=75,V411&lt;175,W411&gt;=65,W411&lt;110),0.15,0)+IF(AND(V411&gt;=75,V411&lt;175,W411&gt;=110),0.12,0)+IF(AND(V411&gt;=175,W411&lt;55),0.2,0)+IF(AND(V411&gt;=175,W411&gt;=55,W411&lt;95),0.15,0)+IF(AND(V411&gt;=175,W411&gt;=95),0.12,0),
IF(AF411="DoEVku",IF(AND(V411&lt;20,W411&lt;55),0.23,0)+IF(AND(V411&lt;20,W411&gt;=55,W411&lt;105),0.2,0)+IF(AND(V411&lt;20,W411&gt;=105),0.17,0)+IF(AND(V411&gt;=20,V411&lt;40,W411&lt;45),0.23,0)+IF(AND(V411&gt;=20,V411&lt;40,W411&gt;=45,W411&lt;95),0.2,0)+IF(AND(V411&gt;=20,V411&lt;40,W411&gt;=95,W411&lt;=150),0.17,0)+IF(AND(V411&gt;=20,V411&lt;40,W411&gt;=150),0.12,0)+IF(AND(V411&gt;=40,V411&lt;75,W411&lt;35),0.23,0)+IF(AND(V411&gt;=40,V411&lt;75,W411&gt;=35,W411&lt;75),0.2,0)+IF(AND(V411&gt;=40,V411&lt;75,W411&gt;=75,W411&lt;120),0.17,0)+IF(AND(V411&gt;=40,V411&lt;75,W411&gt;=120),0.12,0)+IF(AND(V411&gt;=75,V411&lt;175,W411&lt;35),0.23,0)+IF(AND(V411&gt;=75,V411&lt;=175,W411&gt;=35,W411&lt;65),0.2,0)+IF(AND(V411&gt;=75,V411&lt;=175,W411&gt;=65,W411&lt;110),0.17,0)+IF(AND(V411&gt;=75,V411&lt;=175,W411&gt;=110),0.12,0)+IF(AND(V411&gt;175,W411&lt;25),0.23,0)+IF(AND(V411&gt;175,W411&gt;=25,W411&lt;55),0.2,0)+IF(AND(V411&gt;175,W411&gt;=55,W411&lt;95),0.17,0)+IF(AND(V411&gt;175,W411&gt;=95),0.12,0),
IF(AF411="DoEVs1",IF(AND(V411&lt;20,W411&lt;55),0.3,0)+IF(AND(V411&lt;20,W411&gt;=55,W411&lt;105),0.23,0)+IF(AND(V411&lt;20,W411&gt;=105),0.17,0)+IF(AND(V411&gt;=20,V411&lt;40,W411&lt;45),0.3,0)+IF(AND(V411&gt;=20,V411&lt;40,W411&gt;=45,W411&lt;95),0.23,0)+IF(AND(V411&gt;=20,V411&lt;40,W411&gt;=95,W411&lt;=150),0.17,0)+IF(AND(V411&gt;=20,V411&lt;40,W411&gt;=150),0.12,0)+IF(AND(V411&gt;=40,V411&lt;75,W411&lt;35),0.3,0)+IF(AND(V411&gt;=40,V411&lt;75,W411&gt;=35,W411&lt;75),0.23,0)+IF(AND(V411&gt;=40,V411&lt;75,W411&gt;=75,W411&lt;120),0.17,0)+IF(AND(V411&gt;=40,V411&lt;75,W411&gt;=120),0.12,0)+IF(AND(V411&gt;=75,V411&lt;175,W411&lt;35),0.3,0)+IF(AND(V411&gt;=75,V411&lt;=175,W411&gt;=35,W411&lt;65),0.23,0)+IF(AND(V411&gt;=75,V411&lt;=175,W411&gt;=65,W411&lt;110),0.17,0)+IF(AND(V411&gt;=75,V411&lt;=175,W411&gt;=110),0.12,0)+IF(AND(V411&gt;175,W411&lt;25),0.3,0)+IF(AND(V411&gt;175,W411&gt;=25,W411&lt;55),0.23,0)+IF(AND(V411&gt;175,W411&gt;=55,W411&lt;95),0.17,0)+IF(AND(V411&gt;175,W411&gt;=95),0.12,0),
IF(AF411="DoEVsu",IF(AND(V411&lt;20,W411&lt;55),0.3,0)+IF(AND(V411&lt;20,W411&gt;=55,W411&lt;105),0.23,0)+IF(AND(V411&lt;20,W411&gt;=105),0.17,0)+IF(AND(V411&gt;=20,V411&lt;40,W411&lt;45),0.3,0)+IF(AND(V411&gt;=20,V411&lt;40,W411&gt;=45,W411&lt;95),0.23,0)+IF(AND(V411&gt;=20,V411&lt;40,W411&gt;=95,W411&lt;=250),0.17,0)+IF(AND(V411&gt;=20,V411&lt;40,W411&gt;=250),0.12,0)+IF(AND(V411&gt;=40,V411&lt;75,W411&lt;35),0.3,0)+IF(AND(V411&gt;=40,V411&lt;75,W411&gt;=35,W411&lt;75),0.23,0)+IF(AND(V411&gt;=40,V411&lt;75,W411&gt;=75,W411&lt;120),0.17,0)+IF(AND(V411&gt;=40,V411&lt;75,W411&gt;=120),0.12,0)+IF(AND(V411&gt;=75,V411&lt;175,W411&lt;35),0.3,0)+IF(AND(V411&gt;=75,V411&lt;=175,W411&gt;=35,W411&lt;65),0.23,0)+IF(AND(V411&gt;=75,V411&lt;=175,W411&gt;=65,W411&lt;110),0.17,0)+IF(AND(V411&gt;=75,V411&lt;=175,W411&gt;=110),0.12,0)+IF(AND(V411&gt;175,W411&lt;25),0.3,0)+IF(AND(V411&gt;175,W411&gt;=25,W411&lt;55),0.23,0)+IF(AND(V411&gt;175,W411&gt;=55,W411&lt;95),0.17,0)+IF(AND(V411&gt;175,W411&gt;=95),0.12,0),
IF(AF411="DoEVni",IF(AND(V411&lt;20,W411&lt;55),0.3,0)+IF(AND(V411&lt;20,W411&gt;=55,W411&lt;105),0.23,0)+IF(AND(V411&lt;20,W411&gt;=105),0.17,0)+IF(AND(V411&gt;=20,V411&lt;40,W411&lt;45),0.3,0)+IF(AND(V411&gt;=20,V411&lt;40,W411&gt;=45,W411&lt;95),0.23,0)+IF(AND(V411&gt;=20,V411&lt;40,W411&gt;=95,W411&lt;=200),0.17,0)+IF(AND(V411&gt;=20,V411&lt;40,W411&gt;=200),0.12,0)+IF(AND(V411&gt;=40,V411&lt;75,W411&lt;35),0.3,0)+IF(AND(V411&gt;=40,V411&lt;75,W411&gt;=35,W411&lt;75),0.23,0)+IF(AND(V411&gt;=40,V411&lt;75,W411&gt;=75,W411&lt;120),0.17,0)+IF(AND(V411&gt;=40,V411&lt;75,W411&gt;=120),0.12,0)+IF(AND(V411&gt;=75,V411&lt;175,W411&lt;35),0.3,0)+IF(AND(V411&gt;=75,V411&lt;=175,W411&gt;=35,W411&lt;65),0.23,0)+IF(AND(V411&gt;=75,V411&lt;=175,W411&gt;=65,W411&lt;110),0.17,0)+IF(AND(V411&gt;=75,V411&lt;=175,W411&gt;=110),0.12,0)+IF(AND(V411&gt;175,W411&lt;25),0.3,0)+IF(AND(V411&gt;175,W411&gt;=25,W411&lt;55),0.23,0)+IF(AND(V411&gt;175,W411&gt;=55,W411&lt;95),0.17,0)+IF(AND(V411&gt;175,W411&gt;=95),0.12,0),
IF(AF411="DoEVLo",IF(AND(V411&lt;20,W411&lt;55),0.25,0)+IF(AND(V411&lt;20,W411&gt;=55,W411&lt;105),0.2,0)+IF(AND(V411&lt;20,W411&gt;=105),0.15,0)+IF(AND(V411&gt;=20,V411&lt;40,W411&lt;45),0.25,0)+IF(AND(V411&gt;=20,V411&lt;40,W411&gt;=45,W411&lt;95),0.2,0)+IF(AND(V411&gt;=20,V411&lt;40,W411&gt;=95),0.15,0)+IF(AND(V411&gt;=40,V411&lt;75,W411&lt;35),0.25,0)+IF(AND(V411&gt;=40,V411&lt;75,W411&gt;=35,W411&lt;75),0.2,0)+IF(AND(V411&gt;=40,V411&lt;75,W411&gt;=75,W411&lt;120),0.15,0)+IF(AND(V411&gt;=40,V411&lt;75,W411&gt;=120),0.1,0)+IF(AND(V411&gt;=75,V411&lt;175,W411&lt;35),0.25,0)+IF(AND(V411&gt;=75,V411&lt;=175,W411&gt;=35,W411&lt;65),0.2,0)+IF(AND(V411&gt;=75,V411&lt;=175,W411&gt;=65,W411&lt;110),0.15,0)+IF(AND(V411&gt;=75,V411&lt;=175,W411&gt;=110),0.1,0)+IF(AND(V411&gt;175,W411&lt;25),0.25,0)+IF(AND(V411&gt;175,W411&gt;=25,W411&lt;55),0.2,0)+IF(AND(V411&gt;175,W411&gt;=55,W411&lt;95),0.15,0)+IF(AND(V411&gt;175,W411&gt;=95),0.1,0))))))))))))))))</f>
        <v>0.3</v>
      </c>
      <c r="Y411" s="30">
        <f>IF(AG411="None",0,IF(AG411="Fix5",0.05,IF(AG411="Fix3.75",0.0375,IF(AG411="Fix10",0.1,IF(AG411="Fix3",0.03,0)))))</f>
        <v>0</v>
      </c>
      <c r="Z411" s="35">
        <f>T411-AA411-AB411</f>
        <v>-34.299999999999997</v>
      </c>
      <c r="AA411" s="29">
        <f>IF(AD411="EUR",((T411-R411)*X411)*U411+(R411*X411),(T411*X411))</f>
        <v>-14.7</v>
      </c>
      <c r="AB411" s="36">
        <f>IF(AD411="EUR",((T411-R411)*Y411)*U411+(R411*Y411),(T411*Y411))</f>
        <v>0</v>
      </c>
      <c r="AC411" s="37" t="b">
        <v>1</v>
      </c>
      <c r="AD411" s="37" t="s">
        <v>38</v>
      </c>
      <c r="AE411" s="37" t="s">
        <v>38</v>
      </c>
      <c r="AF411" s="37" t="str">
        <f t="array" ref="AF411">INDEX('Deal Info'!D:D, MATCH(A411,'Deal Info'!A:A, 0))</f>
        <v>DoEV</v>
      </c>
      <c r="AG411" s="38" t="str">
        <f t="array" ref="AG411">INDEX('Deal Info'!G:G, MATCH(A411,'Deal Info'!A:A, 0))</f>
        <v>None</v>
      </c>
    </row>
    <row r="412" spans="1:33" ht="14.25" hidden="1" x14ac:dyDescent="0.2">
      <c r="A412" s="18" t="str">
        <f t="array" ref="A412">IF(G412='Room Info'!$B$1, INDEX('Room Info'!$A$2:$A2446, MATCH(B412,'Room Info'!$B$2:$B2446, 0)),IF(G412='Room Info'!$C$1, INDEX('Room Info'!$A$2:$A2446, MATCH(B412,'Room Info'!$C$2:$C2446, 0)),IF(G412='Room Info'!$D$1, INDEX('Room Info'!$A$2:$A2446, MATCH(B412,'Room Info'!$D$2:$D2446, 0)),IF(G412='Room Info'!$E$1, INDEX('Room Info'!$A$2:$A2446, MATCH(B412,'Room Info'!$E$2:$E2446, 0)),IF(G412='Room Info'!$F$1, INDEX('Room Info'!$A$2:$A2446, MATCH(B412,'Room Info'!$F$2:$F2446, 0)),IF(G412='Room Info'!$H$1, INDEX('Room Info'!$A$2:$A2446, MATCH(B412,'Room Info'!$H$2:$H2446, 0)),IF(G412='Room Info'!$G$1, INDEX('Room Info'!$A$2:$A2446, MATCH(B412,'Room Info'!$G$2:$G2446, 0)))))))))</f>
        <v>CrippledMind</v>
      </c>
      <c r="B412" s="45" t="s">
        <v>125</v>
      </c>
      <c r="C412" s="46">
        <v>44794</v>
      </c>
      <c r="D412" s="46">
        <v>44824</v>
      </c>
      <c r="E412" s="47">
        <v>44805</v>
      </c>
      <c r="F412" s="45" t="s">
        <v>34</v>
      </c>
      <c r="G412" s="54" t="s">
        <v>35</v>
      </c>
      <c r="H412" s="49" t="s">
        <v>39</v>
      </c>
      <c r="I412" s="49" t="s">
        <v>37</v>
      </c>
      <c r="J412" s="50">
        <v>5</v>
      </c>
      <c r="K412" s="51">
        <v>37</v>
      </c>
      <c r="L412" s="52">
        <v>-25</v>
      </c>
      <c r="M412" s="53">
        <v>10</v>
      </c>
      <c r="N412" s="28">
        <f>K412*J412</f>
        <v>185</v>
      </c>
      <c r="O412" s="54">
        <v>3620</v>
      </c>
      <c r="P412" s="29">
        <v>97.837837840000006</v>
      </c>
      <c r="Q412" s="55"/>
      <c r="R412" s="31">
        <f>M412+Q412</f>
        <v>10</v>
      </c>
      <c r="S412" s="56">
        <v>16</v>
      </c>
      <c r="T412" s="32">
        <f>R412+S412+IF(F412="Without EV deal",L412,0)</f>
        <v>26</v>
      </c>
      <c r="U412" s="57">
        <v>1</v>
      </c>
      <c r="V412" s="69">
        <v>9.8803363518758083</v>
      </c>
      <c r="W412" s="69">
        <v>66.192078559738135</v>
      </c>
      <c r="X412" s="30">
        <f>IF(AF412="DoEV",IF(AND(V412&lt;20,W412&lt;55),0.3,0)+IF(AND(V412&lt;20,W412&gt;=55,W412&lt;105),0.23,0)+IF(AND(V412&lt;20,W412&gt;=105),0.17,0)+IF(AND(V412&gt;=20,V412&lt;40,W412&lt;45),0.3,0)+IF(AND(V412&gt;=20,V412&lt;40,W412&gt;=45,W412&lt;95),0.23,0)+IF(AND(V412&gt;=20,V412&lt;40,W412&gt;=95),0.17,0)+IF(AND(V412&gt;=40,V412&lt;75,W412&lt;35),0.3,0)+IF(AND(V412&gt;=40,V412&lt;75,W412&gt;=35,W412&lt;75),0.23,0)+IF(AND(V412&gt;=40,V412&lt;75,W412&gt;=75,W412&lt;120),0.17,0)+IF(AND(V412&gt;=40,V412&lt;75,W412&gt;=120),0.12,0)+IF(AND(V412&gt;=75,V412&lt;175,W412&lt;35),0.3,0)+IF(AND(V412&gt;=75,V412&lt;=175,W412&gt;=35,W412&lt;65),0.23,0)+IF(AND(V412&gt;=75,V412&lt;=175,W412&gt;=65,W412&lt;110),0.17,0)+IF(AND(V412&gt;=75,V412&lt;=175,W412&gt;=110),0.12,0)+IF(AND(V412&gt;175,W412&lt;25),0.3,0)+IF(AND(V412&gt;175,W412&gt;=25,W412&lt;55),0.23,0)+IF(AND(V412&gt;175,W412&gt;=55,W412&lt;95),0.17,0)+IF(AND(V412&gt;175,W412&gt;=95),0.12,0),
IF(AF412="Fix15",0.15,
IF(AF412="Fix11.25",0.1125,
IF(AF412="Fix10",0.1,
IF(AF412="Fix9",0.09,
IF(AF412="DoEV2017",IF(AND(W412&lt;74),0.2,0)+IF(AND(W412&gt;=74),0.17,0),
IF(AF412="SF",IF(AND(V412&lt;20,W412&lt;89),0.3,0)+IF(AND(V412&lt;20,W412&gt;=89),0.25,0)+IF(AND(V412&gt;=20,V412&lt;40,W412&lt;74),0.3,0)+IF(AND(V412&gt;=20,V412&lt;40,W412&gt;=75),0.22,0)+IF(AND(V412&gt;=40,V412&lt;75,W412&lt;75),0.26,0)+IF(AND(V412&gt;=40,V412&lt;75,W412&gt;=75),0.22,0)+IF(V412&gt;=75,0.22,0),
IF(AF412="DoEVold",IF(AND(V412&lt;40,W412&lt;35),0.35,0)+IF(AND(V412&lt;40,W412&gt;=35,W412&lt;75),0.25,0)+IF(AND(V412&lt;40,W412&gt;=75),0.17,0)+IF(AND(V412&gt;=40,V412&lt;75,W412&lt;25),0.35,0)+IF(AND(V412&gt;=40,V412&lt;75,W412&gt;=25,W412&lt;65),0.25,0)+IF(AND(V412&gt;=40,V412&lt;75,W412&gt;=65,W412&lt;100),0.17,0)+IF(AND(V412&gt;=40,V412&lt;75,W412&gt;=100),0.1,0)+IF(AND(V412&gt;=75,W412&lt;25),0.35,0)+IF(AND(V412&gt;=75,W412&gt;=25,W412&lt;60),0.25,0)+IF(AND(V412&gt;=75,W412&gt;=60,W412&lt;95),0.17,0)+IF(AND(V412&gt;=75,W412&gt;=95),0.1,0),
IF(AF412="DoEVold15",IF(AND(V412&lt;=40,W412&lt;35),0.35,0)+IF(AND(V412&lt;=40,W412&gt;=35,W412&lt;75),0.25,0)+IF(AND(V412&lt;=40,W412&gt;=75,W412&lt;120),0.17,0)+IF(AND(V412&lt;=40,W412&gt;=120),0.15,0)+IF(AND(V412&gt;40,V412&lt;75,W412&lt;25),0.35,0)+IF(AND(V412&gt;=40,V412&lt;75,W412&gt;=25,W412&lt;65),0.25,0)+IF(AND(V412&gt;=40,V412&lt;75,W412&gt;=65,W412&lt;100),0.17,0)+IF(AND(V412&gt;=40,V412&lt;75,W412&gt;=100),0.1,0)+IF(AND(V412&gt;=75,W412&lt;25),0.35,0)+IF(AND(V412&gt;=75,W412&gt;=25,W412&lt;60),0.25,0)+IF(AND(V412&gt;=75,W412&gt;=60,W412&lt;95),0.17,0)+IF(AND(V412&gt;=75,W412&gt;=95),0.1,0),
IF(AF412="DoEVba",IF(AND(V412&lt;20,W412&lt;105),0.2,0)+IF(AND(V412&lt;20,W412&gt;=105),0.15,0)+IF(AND(V412&gt;=20,V412&lt;40,W412&lt;95),0.2,0)+IF(AND(V412&gt;=20,V412&lt;40,W412&gt;=95,W412&lt;150),0.15,0)+IF(AND(V412&gt;=20,V412&lt;40,W412&gt;=150),0.12,0)+IF(AND(V412&gt;=40,V412&lt;75,W412&lt;75),0.2,0)+IF(AND(V412&gt;=40,V412&lt;75,W412&gt;=75,W412&lt;120),0.15,0)+IF(AND(V412&gt;=40,V412&lt;75,W412&gt;=120),0.12,0)+IF(AND(V412&gt;=75,V412&lt;175,W412&lt;65),0.2,0)+IF(AND(V412&gt;=75,V412&lt;175,W412&gt;=65,W412&lt;110),0.15,0)+IF(AND(V412&gt;=75,V412&lt;175,W412&gt;=110),0.12,0)+IF(AND(V412&gt;=175,W412&lt;55),0.2,0)+IF(AND(V412&gt;=175,W412&gt;=55,W412&lt;95),0.15,0)+IF(AND(V412&gt;=175,W412&gt;=95),0.12,0),
IF(AF412="DoEVku",IF(AND(V412&lt;20,W412&lt;55),0.23,0)+IF(AND(V412&lt;20,W412&gt;=55,W412&lt;105),0.2,0)+IF(AND(V412&lt;20,W412&gt;=105),0.17,0)+IF(AND(V412&gt;=20,V412&lt;40,W412&lt;45),0.23,0)+IF(AND(V412&gt;=20,V412&lt;40,W412&gt;=45,W412&lt;95),0.2,0)+IF(AND(V412&gt;=20,V412&lt;40,W412&gt;=95,W412&lt;=150),0.17,0)+IF(AND(V412&gt;=20,V412&lt;40,W412&gt;=150),0.12,0)+IF(AND(V412&gt;=40,V412&lt;75,W412&lt;35),0.23,0)+IF(AND(V412&gt;=40,V412&lt;75,W412&gt;=35,W412&lt;75),0.2,0)+IF(AND(V412&gt;=40,V412&lt;75,W412&gt;=75,W412&lt;120),0.17,0)+IF(AND(V412&gt;=40,V412&lt;75,W412&gt;=120),0.12,0)+IF(AND(V412&gt;=75,V412&lt;175,W412&lt;35),0.23,0)+IF(AND(V412&gt;=75,V412&lt;=175,W412&gt;=35,W412&lt;65),0.2,0)+IF(AND(V412&gt;=75,V412&lt;=175,W412&gt;=65,W412&lt;110),0.17,0)+IF(AND(V412&gt;=75,V412&lt;=175,W412&gt;=110),0.12,0)+IF(AND(V412&gt;175,W412&lt;25),0.23,0)+IF(AND(V412&gt;175,W412&gt;=25,W412&lt;55),0.2,0)+IF(AND(V412&gt;175,W412&gt;=55,W412&lt;95),0.17,0)+IF(AND(V412&gt;175,W412&gt;=95),0.12,0),
IF(AF412="DoEVs1",IF(AND(V412&lt;20,W412&lt;55),0.3,0)+IF(AND(V412&lt;20,W412&gt;=55,W412&lt;105),0.23,0)+IF(AND(V412&lt;20,W412&gt;=105),0.17,0)+IF(AND(V412&gt;=20,V412&lt;40,W412&lt;45),0.3,0)+IF(AND(V412&gt;=20,V412&lt;40,W412&gt;=45,W412&lt;95),0.23,0)+IF(AND(V412&gt;=20,V412&lt;40,W412&gt;=95,W412&lt;=150),0.17,0)+IF(AND(V412&gt;=20,V412&lt;40,W412&gt;=150),0.12,0)+IF(AND(V412&gt;=40,V412&lt;75,W412&lt;35),0.3,0)+IF(AND(V412&gt;=40,V412&lt;75,W412&gt;=35,W412&lt;75),0.23,0)+IF(AND(V412&gt;=40,V412&lt;75,W412&gt;=75,W412&lt;120),0.17,0)+IF(AND(V412&gt;=40,V412&lt;75,W412&gt;=120),0.12,0)+IF(AND(V412&gt;=75,V412&lt;175,W412&lt;35),0.3,0)+IF(AND(V412&gt;=75,V412&lt;=175,W412&gt;=35,W412&lt;65),0.23,0)+IF(AND(V412&gt;=75,V412&lt;=175,W412&gt;=65,W412&lt;110),0.17,0)+IF(AND(V412&gt;=75,V412&lt;=175,W412&gt;=110),0.12,0)+IF(AND(V412&gt;175,W412&lt;25),0.3,0)+IF(AND(V412&gt;175,W412&gt;=25,W412&lt;55),0.23,0)+IF(AND(V412&gt;175,W412&gt;=55,W412&lt;95),0.17,0)+IF(AND(V412&gt;175,W412&gt;=95),0.12,0),
IF(AF412="DoEVsu",IF(AND(V412&lt;20,W412&lt;55),0.3,0)+IF(AND(V412&lt;20,W412&gt;=55,W412&lt;105),0.23,0)+IF(AND(V412&lt;20,W412&gt;=105),0.17,0)+IF(AND(V412&gt;=20,V412&lt;40,W412&lt;45),0.3,0)+IF(AND(V412&gt;=20,V412&lt;40,W412&gt;=45,W412&lt;95),0.23,0)+IF(AND(V412&gt;=20,V412&lt;40,W412&gt;=95,W412&lt;=250),0.17,0)+IF(AND(V412&gt;=20,V412&lt;40,W412&gt;=250),0.12,0)+IF(AND(V412&gt;=40,V412&lt;75,W412&lt;35),0.3,0)+IF(AND(V412&gt;=40,V412&lt;75,W412&gt;=35,W412&lt;75),0.23,0)+IF(AND(V412&gt;=40,V412&lt;75,W412&gt;=75,W412&lt;120),0.17,0)+IF(AND(V412&gt;=40,V412&lt;75,W412&gt;=120),0.12,0)+IF(AND(V412&gt;=75,V412&lt;175,W412&lt;35),0.3,0)+IF(AND(V412&gt;=75,V412&lt;=175,W412&gt;=35,W412&lt;65),0.23,0)+IF(AND(V412&gt;=75,V412&lt;=175,W412&gt;=65,W412&lt;110),0.17,0)+IF(AND(V412&gt;=75,V412&lt;=175,W412&gt;=110),0.12,0)+IF(AND(V412&gt;175,W412&lt;25),0.3,0)+IF(AND(V412&gt;175,W412&gt;=25,W412&lt;55),0.23,0)+IF(AND(V412&gt;175,W412&gt;=55,W412&lt;95),0.17,0)+IF(AND(V412&gt;175,W412&gt;=95),0.12,0),
IF(AF412="DoEVni",IF(AND(V412&lt;20,W412&lt;55),0.3,0)+IF(AND(V412&lt;20,W412&gt;=55,W412&lt;105),0.23,0)+IF(AND(V412&lt;20,W412&gt;=105),0.17,0)+IF(AND(V412&gt;=20,V412&lt;40,W412&lt;45),0.3,0)+IF(AND(V412&gt;=20,V412&lt;40,W412&gt;=45,W412&lt;95),0.23,0)+IF(AND(V412&gt;=20,V412&lt;40,W412&gt;=95,W412&lt;=200),0.17,0)+IF(AND(V412&gt;=20,V412&lt;40,W412&gt;=200),0.12,0)+IF(AND(V412&gt;=40,V412&lt;75,W412&lt;35),0.3,0)+IF(AND(V412&gt;=40,V412&lt;75,W412&gt;=35,W412&lt;75),0.23,0)+IF(AND(V412&gt;=40,V412&lt;75,W412&gt;=75,W412&lt;120),0.17,0)+IF(AND(V412&gt;=40,V412&lt;75,W412&gt;=120),0.12,0)+IF(AND(V412&gt;=75,V412&lt;175,W412&lt;35),0.3,0)+IF(AND(V412&gt;=75,V412&lt;=175,W412&gt;=35,W412&lt;65),0.23,0)+IF(AND(V412&gt;=75,V412&lt;=175,W412&gt;=65,W412&lt;110),0.17,0)+IF(AND(V412&gt;=75,V412&lt;=175,W412&gt;=110),0.12,0)+IF(AND(V412&gt;175,W412&lt;25),0.3,0)+IF(AND(V412&gt;175,W412&gt;=25,W412&lt;55),0.23,0)+IF(AND(V412&gt;175,W412&gt;=55,W412&lt;95),0.17,0)+IF(AND(V412&gt;175,W412&gt;=95),0.12,0),
IF(AF412="DoEVLo",IF(AND(V412&lt;20,W412&lt;55),0.25,0)+IF(AND(V412&lt;20,W412&gt;=55,W412&lt;105),0.2,0)+IF(AND(V412&lt;20,W412&gt;=105),0.15,0)+IF(AND(V412&gt;=20,V412&lt;40,W412&lt;45),0.25,0)+IF(AND(V412&gt;=20,V412&lt;40,W412&gt;=45,W412&lt;95),0.2,0)+IF(AND(V412&gt;=20,V412&lt;40,W412&gt;=95),0.15,0)+IF(AND(V412&gt;=40,V412&lt;75,W412&lt;35),0.25,0)+IF(AND(V412&gt;=40,V412&lt;75,W412&gt;=35,W412&lt;75),0.2,0)+IF(AND(V412&gt;=40,V412&lt;75,W412&gt;=75,W412&lt;120),0.15,0)+IF(AND(V412&gt;=40,V412&lt;75,W412&gt;=120),0.1,0)+IF(AND(V412&gt;=75,V412&lt;175,W412&lt;35),0.25,0)+IF(AND(V412&gt;=75,V412&lt;=175,W412&gt;=35,W412&lt;65),0.2,0)+IF(AND(V412&gt;=75,V412&lt;=175,W412&gt;=65,W412&lt;110),0.15,0)+IF(AND(V412&gt;=75,V412&lt;=175,W412&gt;=110),0.1,0)+IF(AND(V412&gt;175,W412&lt;25),0.25,0)+IF(AND(V412&gt;175,W412&gt;=25,W412&lt;55),0.2,0)+IF(AND(V412&gt;175,W412&gt;=55,W412&lt;95),0.15,0)+IF(AND(V412&gt;175,W412&gt;=95),0.1,0))))))))))))))))</f>
        <v>0.23</v>
      </c>
      <c r="Y412" s="30">
        <f>IF(AG412="None",0,IF(AG412="Fix5",0.05,IF(AG412="Fix3.75",0.0375,IF(AG412="Fix10",0.1,IF(AG412="Fix3",0.03,0)))))</f>
        <v>0</v>
      </c>
      <c r="Z412" s="35">
        <f>T412-AA412-AB412</f>
        <v>20.02</v>
      </c>
      <c r="AA412" s="29">
        <f>IF(AD412="EUR",((T412-R412)*X412)*U412+(R412*X412),(T412*X412))</f>
        <v>5.98</v>
      </c>
      <c r="AB412" s="36">
        <f>IF(AD412="EUR",((T412-R412)*Y412)*U412+(R412*Y412),(T412*Y412))</f>
        <v>0</v>
      </c>
      <c r="AC412" s="37" t="b">
        <v>1</v>
      </c>
      <c r="AD412" s="37" t="s">
        <v>38</v>
      </c>
      <c r="AE412" s="37" t="s">
        <v>38</v>
      </c>
      <c r="AF412" s="37" t="str">
        <f t="array" ref="AF412">INDEX('Deal Info'!D:D, MATCH(A412,'Deal Info'!A:A, 0))</f>
        <v>DoEV</v>
      </c>
      <c r="AG412" s="38" t="str">
        <f t="array" ref="AG412">INDEX('Deal Info'!G:G, MATCH(A412,'Deal Info'!A:A, 0))</f>
        <v>None</v>
      </c>
    </row>
    <row r="413" spans="1:33" ht="14.25" hidden="1" x14ac:dyDescent="0.2">
      <c r="A413" s="18" t="str">
        <f t="array" ref="A413">IF(G413='Room Info'!$B$1, INDEX('Room Info'!$A$2:$A2446, MATCH(B413,'Room Info'!$B$2:$B2446, 0)),IF(G413='Room Info'!$C$1, INDEX('Room Info'!$A$2:$A2446, MATCH(B413,'Room Info'!$C$2:$C2446, 0)),IF(G413='Room Info'!$D$1, INDEX('Room Info'!$A$2:$A2446, MATCH(B413,'Room Info'!$D$2:$D2446, 0)),IF(G413='Room Info'!$E$1, INDEX('Room Info'!$A$2:$A2446, MATCH(B413,'Room Info'!$E$2:$E2446, 0)),IF(G413='Room Info'!$F$1, INDEX('Room Info'!$A$2:$A2446, MATCH(B413,'Room Info'!$F$2:$F2446, 0)),IF(G413='Room Info'!$H$1, INDEX('Room Info'!$A$2:$A2446, MATCH(B413,'Room Info'!$H$2:$H2446, 0)),IF(G413='Room Info'!$G$1, INDEX('Room Info'!$A$2:$A2446, MATCH(B413,'Room Info'!$G$2:$G2446, 0)))))))))</f>
        <v>CrippledMind</v>
      </c>
      <c r="B413" s="45" t="s">
        <v>125</v>
      </c>
      <c r="C413" s="46">
        <v>44794</v>
      </c>
      <c r="D413" s="46">
        <v>44824</v>
      </c>
      <c r="E413" s="47">
        <v>44805</v>
      </c>
      <c r="F413" s="45" t="s">
        <v>34</v>
      </c>
      <c r="G413" s="54" t="s">
        <v>35</v>
      </c>
      <c r="H413" s="49" t="s">
        <v>40</v>
      </c>
      <c r="I413" s="49" t="s">
        <v>37</v>
      </c>
      <c r="J413" s="50">
        <v>10</v>
      </c>
      <c r="K413" s="51">
        <v>1509</v>
      </c>
      <c r="L413" s="52">
        <v>-200</v>
      </c>
      <c r="M413" s="53">
        <v>735</v>
      </c>
      <c r="N413" s="28">
        <f>K413*J413</f>
        <v>15090</v>
      </c>
      <c r="O413" s="54">
        <v>55523</v>
      </c>
      <c r="P413" s="29">
        <v>36.794565939999998</v>
      </c>
      <c r="Q413" s="55"/>
      <c r="R413" s="31">
        <f>M413+Q413</f>
        <v>735</v>
      </c>
      <c r="S413" s="56">
        <v>-107</v>
      </c>
      <c r="T413" s="32">
        <f>R413+S413+IF(F413="Without EV deal",L413,0)</f>
        <v>628</v>
      </c>
      <c r="U413" s="57">
        <v>1</v>
      </c>
      <c r="V413" s="69">
        <v>9.8803363518758083</v>
      </c>
      <c r="W413" s="69">
        <v>66.192078559738135</v>
      </c>
      <c r="X413" s="30">
        <f>IF(AF413="DoEV",IF(AND(V413&lt;20,W413&lt;55),0.3,0)+IF(AND(V413&lt;20,W413&gt;=55,W413&lt;105),0.23,0)+IF(AND(V413&lt;20,W413&gt;=105),0.17,0)+IF(AND(V413&gt;=20,V413&lt;40,W413&lt;45),0.3,0)+IF(AND(V413&gt;=20,V413&lt;40,W413&gt;=45,W413&lt;95),0.23,0)+IF(AND(V413&gt;=20,V413&lt;40,W413&gt;=95),0.17,0)+IF(AND(V413&gt;=40,V413&lt;75,W413&lt;35),0.3,0)+IF(AND(V413&gt;=40,V413&lt;75,W413&gt;=35,W413&lt;75),0.23,0)+IF(AND(V413&gt;=40,V413&lt;75,W413&gt;=75,W413&lt;120),0.17,0)+IF(AND(V413&gt;=40,V413&lt;75,W413&gt;=120),0.12,0)+IF(AND(V413&gt;=75,V413&lt;175,W413&lt;35),0.3,0)+IF(AND(V413&gt;=75,V413&lt;=175,W413&gt;=35,W413&lt;65),0.23,0)+IF(AND(V413&gt;=75,V413&lt;=175,W413&gt;=65,W413&lt;110),0.17,0)+IF(AND(V413&gt;=75,V413&lt;=175,W413&gt;=110),0.12,0)+IF(AND(V413&gt;175,W413&lt;25),0.3,0)+IF(AND(V413&gt;175,W413&gt;=25,W413&lt;55),0.23,0)+IF(AND(V413&gt;175,W413&gt;=55,W413&lt;95),0.17,0)+IF(AND(V413&gt;175,W413&gt;=95),0.12,0),
IF(AF413="Fix15",0.15,
IF(AF413="Fix11.25",0.1125,
IF(AF413="Fix10",0.1,
IF(AF413="Fix9",0.09,
IF(AF413="DoEV2017",IF(AND(W413&lt;74),0.2,0)+IF(AND(W413&gt;=74),0.17,0),
IF(AF413="SF",IF(AND(V413&lt;20,W413&lt;89),0.3,0)+IF(AND(V413&lt;20,W413&gt;=89),0.25,0)+IF(AND(V413&gt;=20,V413&lt;40,W413&lt;74),0.3,0)+IF(AND(V413&gt;=20,V413&lt;40,W413&gt;=75),0.22,0)+IF(AND(V413&gt;=40,V413&lt;75,W413&lt;75),0.26,0)+IF(AND(V413&gt;=40,V413&lt;75,W413&gt;=75),0.22,0)+IF(V413&gt;=75,0.22,0),
IF(AF413="DoEVold",IF(AND(V413&lt;40,W413&lt;35),0.35,0)+IF(AND(V413&lt;40,W413&gt;=35,W413&lt;75),0.25,0)+IF(AND(V413&lt;40,W413&gt;=75),0.17,0)+IF(AND(V413&gt;=40,V413&lt;75,W413&lt;25),0.35,0)+IF(AND(V413&gt;=40,V413&lt;75,W413&gt;=25,W413&lt;65),0.25,0)+IF(AND(V413&gt;=40,V413&lt;75,W413&gt;=65,W413&lt;100),0.17,0)+IF(AND(V413&gt;=40,V413&lt;75,W413&gt;=100),0.1,0)+IF(AND(V413&gt;=75,W413&lt;25),0.35,0)+IF(AND(V413&gt;=75,W413&gt;=25,W413&lt;60),0.25,0)+IF(AND(V413&gt;=75,W413&gt;=60,W413&lt;95),0.17,0)+IF(AND(V413&gt;=75,W413&gt;=95),0.1,0),
IF(AF413="DoEVold15",IF(AND(V413&lt;=40,W413&lt;35),0.35,0)+IF(AND(V413&lt;=40,W413&gt;=35,W413&lt;75),0.25,0)+IF(AND(V413&lt;=40,W413&gt;=75,W413&lt;120),0.17,0)+IF(AND(V413&lt;=40,W413&gt;=120),0.15,0)+IF(AND(V413&gt;40,V413&lt;75,W413&lt;25),0.35,0)+IF(AND(V413&gt;=40,V413&lt;75,W413&gt;=25,W413&lt;65),0.25,0)+IF(AND(V413&gt;=40,V413&lt;75,W413&gt;=65,W413&lt;100),0.17,0)+IF(AND(V413&gt;=40,V413&lt;75,W413&gt;=100),0.1,0)+IF(AND(V413&gt;=75,W413&lt;25),0.35,0)+IF(AND(V413&gt;=75,W413&gt;=25,W413&lt;60),0.25,0)+IF(AND(V413&gt;=75,W413&gt;=60,W413&lt;95),0.17,0)+IF(AND(V413&gt;=75,W413&gt;=95),0.1,0),
IF(AF413="DoEVba",IF(AND(V413&lt;20,W413&lt;105),0.2,0)+IF(AND(V413&lt;20,W413&gt;=105),0.15,0)+IF(AND(V413&gt;=20,V413&lt;40,W413&lt;95),0.2,0)+IF(AND(V413&gt;=20,V413&lt;40,W413&gt;=95,W413&lt;150),0.15,0)+IF(AND(V413&gt;=20,V413&lt;40,W413&gt;=150),0.12,0)+IF(AND(V413&gt;=40,V413&lt;75,W413&lt;75),0.2,0)+IF(AND(V413&gt;=40,V413&lt;75,W413&gt;=75,W413&lt;120),0.15,0)+IF(AND(V413&gt;=40,V413&lt;75,W413&gt;=120),0.12,0)+IF(AND(V413&gt;=75,V413&lt;175,W413&lt;65),0.2,0)+IF(AND(V413&gt;=75,V413&lt;175,W413&gt;=65,W413&lt;110),0.15,0)+IF(AND(V413&gt;=75,V413&lt;175,W413&gt;=110),0.12,0)+IF(AND(V413&gt;=175,W413&lt;55),0.2,0)+IF(AND(V413&gt;=175,W413&gt;=55,W413&lt;95),0.15,0)+IF(AND(V413&gt;=175,W413&gt;=95),0.12,0),
IF(AF413="DoEVku",IF(AND(V413&lt;20,W413&lt;55),0.23,0)+IF(AND(V413&lt;20,W413&gt;=55,W413&lt;105),0.2,0)+IF(AND(V413&lt;20,W413&gt;=105),0.17,0)+IF(AND(V413&gt;=20,V413&lt;40,W413&lt;45),0.23,0)+IF(AND(V413&gt;=20,V413&lt;40,W413&gt;=45,W413&lt;95),0.2,0)+IF(AND(V413&gt;=20,V413&lt;40,W413&gt;=95,W413&lt;=150),0.17,0)+IF(AND(V413&gt;=20,V413&lt;40,W413&gt;=150),0.12,0)+IF(AND(V413&gt;=40,V413&lt;75,W413&lt;35),0.23,0)+IF(AND(V413&gt;=40,V413&lt;75,W413&gt;=35,W413&lt;75),0.2,0)+IF(AND(V413&gt;=40,V413&lt;75,W413&gt;=75,W413&lt;120),0.17,0)+IF(AND(V413&gt;=40,V413&lt;75,W413&gt;=120),0.12,0)+IF(AND(V413&gt;=75,V413&lt;175,W413&lt;35),0.23,0)+IF(AND(V413&gt;=75,V413&lt;=175,W413&gt;=35,W413&lt;65),0.2,0)+IF(AND(V413&gt;=75,V413&lt;=175,W413&gt;=65,W413&lt;110),0.17,0)+IF(AND(V413&gt;=75,V413&lt;=175,W413&gt;=110),0.12,0)+IF(AND(V413&gt;175,W413&lt;25),0.23,0)+IF(AND(V413&gt;175,W413&gt;=25,W413&lt;55),0.2,0)+IF(AND(V413&gt;175,W413&gt;=55,W413&lt;95),0.17,0)+IF(AND(V413&gt;175,W413&gt;=95),0.12,0),
IF(AF413="DoEVs1",IF(AND(V413&lt;20,W413&lt;55),0.3,0)+IF(AND(V413&lt;20,W413&gt;=55,W413&lt;105),0.23,0)+IF(AND(V413&lt;20,W413&gt;=105),0.17,0)+IF(AND(V413&gt;=20,V413&lt;40,W413&lt;45),0.3,0)+IF(AND(V413&gt;=20,V413&lt;40,W413&gt;=45,W413&lt;95),0.23,0)+IF(AND(V413&gt;=20,V413&lt;40,W413&gt;=95,W413&lt;=150),0.17,0)+IF(AND(V413&gt;=20,V413&lt;40,W413&gt;=150),0.12,0)+IF(AND(V413&gt;=40,V413&lt;75,W413&lt;35),0.3,0)+IF(AND(V413&gt;=40,V413&lt;75,W413&gt;=35,W413&lt;75),0.23,0)+IF(AND(V413&gt;=40,V413&lt;75,W413&gt;=75,W413&lt;120),0.17,0)+IF(AND(V413&gt;=40,V413&lt;75,W413&gt;=120),0.12,0)+IF(AND(V413&gt;=75,V413&lt;175,W413&lt;35),0.3,0)+IF(AND(V413&gt;=75,V413&lt;=175,W413&gt;=35,W413&lt;65),0.23,0)+IF(AND(V413&gt;=75,V413&lt;=175,W413&gt;=65,W413&lt;110),0.17,0)+IF(AND(V413&gt;=75,V413&lt;=175,W413&gt;=110),0.12,0)+IF(AND(V413&gt;175,W413&lt;25),0.3,0)+IF(AND(V413&gt;175,W413&gt;=25,W413&lt;55),0.23,0)+IF(AND(V413&gt;175,W413&gt;=55,W413&lt;95),0.17,0)+IF(AND(V413&gt;175,W413&gt;=95),0.12,0),
IF(AF413="DoEVsu",IF(AND(V413&lt;20,W413&lt;55),0.3,0)+IF(AND(V413&lt;20,W413&gt;=55,W413&lt;105),0.23,0)+IF(AND(V413&lt;20,W413&gt;=105),0.17,0)+IF(AND(V413&gt;=20,V413&lt;40,W413&lt;45),0.3,0)+IF(AND(V413&gt;=20,V413&lt;40,W413&gt;=45,W413&lt;95),0.23,0)+IF(AND(V413&gt;=20,V413&lt;40,W413&gt;=95,W413&lt;=250),0.17,0)+IF(AND(V413&gt;=20,V413&lt;40,W413&gt;=250),0.12,0)+IF(AND(V413&gt;=40,V413&lt;75,W413&lt;35),0.3,0)+IF(AND(V413&gt;=40,V413&lt;75,W413&gt;=35,W413&lt;75),0.23,0)+IF(AND(V413&gt;=40,V413&lt;75,W413&gt;=75,W413&lt;120),0.17,0)+IF(AND(V413&gt;=40,V413&lt;75,W413&gt;=120),0.12,0)+IF(AND(V413&gt;=75,V413&lt;175,W413&lt;35),0.3,0)+IF(AND(V413&gt;=75,V413&lt;=175,W413&gt;=35,W413&lt;65),0.23,0)+IF(AND(V413&gt;=75,V413&lt;=175,W413&gt;=65,W413&lt;110),0.17,0)+IF(AND(V413&gt;=75,V413&lt;=175,W413&gt;=110),0.12,0)+IF(AND(V413&gt;175,W413&lt;25),0.3,0)+IF(AND(V413&gt;175,W413&gt;=25,W413&lt;55),0.23,0)+IF(AND(V413&gt;175,W413&gt;=55,W413&lt;95),0.17,0)+IF(AND(V413&gt;175,W413&gt;=95),0.12,0),
IF(AF413="DoEVni",IF(AND(V413&lt;20,W413&lt;55),0.3,0)+IF(AND(V413&lt;20,W413&gt;=55,W413&lt;105),0.23,0)+IF(AND(V413&lt;20,W413&gt;=105),0.17,0)+IF(AND(V413&gt;=20,V413&lt;40,W413&lt;45),0.3,0)+IF(AND(V413&gt;=20,V413&lt;40,W413&gt;=45,W413&lt;95),0.23,0)+IF(AND(V413&gt;=20,V413&lt;40,W413&gt;=95,W413&lt;=200),0.17,0)+IF(AND(V413&gt;=20,V413&lt;40,W413&gt;=200),0.12,0)+IF(AND(V413&gt;=40,V413&lt;75,W413&lt;35),0.3,0)+IF(AND(V413&gt;=40,V413&lt;75,W413&gt;=35,W413&lt;75),0.23,0)+IF(AND(V413&gt;=40,V413&lt;75,W413&gt;=75,W413&lt;120),0.17,0)+IF(AND(V413&gt;=40,V413&lt;75,W413&gt;=120),0.12,0)+IF(AND(V413&gt;=75,V413&lt;175,W413&lt;35),0.3,0)+IF(AND(V413&gt;=75,V413&lt;=175,W413&gt;=35,W413&lt;65),0.23,0)+IF(AND(V413&gt;=75,V413&lt;=175,W413&gt;=65,W413&lt;110),0.17,0)+IF(AND(V413&gt;=75,V413&lt;=175,W413&gt;=110),0.12,0)+IF(AND(V413&gt;175,W413&lt;25),0.3,0)+IF(AND(V413&gt;175,W413&gt;=25,W413&lt;55),0.23,0)+IF(AND(V413&gt;175,W413&gt;=55,W413&lt;95),0.17,0)+IF(AND(V413&gt;175,W413&gt;=95),0.12,0),
IF(AF413="DoEVLo",IF(AND(V413&lt;20,W413&lt;55),0.25,0)+IF(AND(V413&lt;20,W413&gt;=55,W413&lt;105),0.2,0)+IF(AND(V413&lt;20,W413&gt;=105),0.15,0)+IF(AND(V413&gt;=20,V413&lt;40,W413&lt;45),0.25,0)+IF(AND(V413&gt;=20,V413&lt;40,W413&gt;=45,W413&lt;95),0.2,0)+IF(AND(V413&gt;=20,V413&lt;40,W413&gt;=95),0.15,0)+IF(AND(V413&gt;=40,V413&lt;75,W413&lt;35),0.25,0)+IF(AND(V413&gt;=40,V413&lt;75,W413&gt;=35,W413&lt;75),0.2,0)+IF(AND(V413&gt;=40,V413&lt;75,W413&gt;=75,W413&lt;120),0.15,0)+IF(AND(V413&gt;=40,V413&lt;75,W413&gt;=120),0.1,0)+IF(AND(V413&gt;=75,V413&lt;175,W413&lt;35),0.25,0)+IF(AND(V413&gt;=75,V413&lt;=175,W413&gt;=35,W413&lt;65),0.2,0)+IF(AND(V413&gt;=75,V413&lt;=175,W413&gt;=65,W413&lt;110),0.15,0)+IF(AND(V413&gt;=75,V413&lt;=175,W413&gt;=110),0.1,0)+IF(AND(V413&gt;175,W413&lt;25),0.25,0)+IF(AND(V413&gt;175,W413&gt;=25,W413&lt;55),0.2,0)+IF(AND(V413&gt;175,W413&gt;=55,W413&lt;95),0.15,0)+IF(AND(V413&gt;175,W413&gt;=95),0.1,0))))))))))))))))</f>
        <v>0.23</v>
      </c>
      <c r="Y413" s="30">
        <f>IF(AG413="None",0,IF(AG413="Fix5",0.05,IF(AG413="Fix3.75",0.0375,IF(AG413="Fix10",0.1,IF(AG413="Fix3",0.03,0)))))</f>
        <v>0</v>
      </c>
      <c r="Z413" s="35">
        <f>T413-AA413-AB413</f>
        <v>483.56</v>
      </c>
      <c r="AA413" s="29">
        <f>IF(AD413="EUR",((T413-R413)*X413)*U413+(R413*X413),(T413*X413))</f>
        <v>144.44</v>
      </c>
      <c r="AB413" s="36">
        <f>IF(AD413="EUR",((T413-R413)*Y413)*U413+(R413*Y413),(T413*Y413))</f>
        <v>0</v>
      </c>
      <c r="AC413" s="37" t="b">
        <v>1</v>
      </c>
      <c r="AD413" s="37" t="s">
        <v>38</v>
      </c>
      <c r="AE413" s="37" t="s">
        <v>38</v>
      </c>
      <c r="AF413" s="37" t="str">
        <f t="array" ref="AF413">INDEX('Deal Info'!D:D, MATCH(A413,'Deal Info'!A:A, 0))</f>
        <v>DoEV</v>
      </c>
      <c r="AG413" s="38" t="str">
        <f t="array" ref="AG413">INDEX('Deal Info'!G:G, MATCH(A413,'Deal Info'!A:A, 0))</f>
        <v>None</v>
      </c>
    </row>
    <row r="414" spans="1:33" ht="14.25" hidden="1" x14ac:dyDescent="0.2">
      <c r="A414" s="18" t="str">
        <f t="array" ref="A414">IF(G414='Room Info'!$B$1, INDEX('Room Info'!$A$2:$A2446, MATCH(B414,'Room Info'!$B$2:$B2446, 0)),IF(G414='Room Info'!$C$1, INDEX('Room Info'!$A$2:$A2446, MATCH(B414,'Room Info'!$C$2:$C2446, 0)),IF(G414='Room Info'!$D$1, INDEX('Room Info'!$A$2:$A2446, MATCH(B414,'Room Info'!$D$2:$D2446, 0)),IF(G414='Room Info'!$E$1, INDEX('Room Info'!$A$2:$A2446, MATCH(B414,'Room Info'!$E$2:$E2446, 0)),IF(G414='Room Info'!$F$1, INDEX('Room Info'!$A$2:$A2446, MATCH(B414,'Room Info'!$F$2:$F2446, 0)),IF(G414='Room Info'!$H$1, INDEX('Room Info'!$A$2:$A2446, MATCH(B414,'Room Info'!$H$2:$H2446, 0)),IF(G414='Room Info'!$G$1, INDEX('Room Info'!$A$2:$A2446, MATCH(B414,'Room Info'!$G$2:$G2446, 0)))))))))</f>
        <v>CrippledMind</v>
      </c>
      <c r="B414" s="45" t="s">
        <v>125</v>
      </c>
      <c r="C414" s="46">
        <v>44825</v>
      </c>
      <c r="D414" s="46">
        <v>44854</v>
      </c>
      <c r="E414" s="47">
        <v>44835</v>
      </c>
      <c r="F414" s="48" t="s">
        <v>34</v>
      </c>
      <c r="G414" s="45" t="s">
        <v>35</v>
      </c>
      <c r="H414" s="49" t="s">
        <v>39</v>
      </c>
      <c r="I414" s="49" t="s">
        <v>37</v>
      </c>
      <c r="J414" s="70">
        <v>5</v>
      </c>
      <c r="K414" s="71">
        <v>33</v>
      </c>
      <c r="L414" s="72">
        <v>0</v>
      </c>
      <c r="M414" s="53">
        <v>6</v>
      </c>
      <c r="N414" s="28">
        <f>K414*J414</f>
        <v>165</v>
      </c>
      <c r="O414" s="45">
        <v>5848</v>
      </c>
      <c r="P414" s="29">
        <v>177.21212120000001</v>
      </c>
      <c r="Q414" s="55"/>
      <c r="R414" s="31">
        <f>M414+Q414</f>
        <v>6</v>
      </c>
      <c r="S414" s="73">
        <v>38</v>
      </c>
      <c r="T414" s="32">
        <f>R414+S414+IF(F414="Without EV deal",L414,0)</f>
        <v>44</v>
      </c>
      <c r="U414" s="57">
        <v>1</v>
      </c>
      <c r="V414" s="69">
        <v>9.7881899871630296</v>
      </c>
      <c r="W414" s="69">
        <v>41.069901639344259</v>
      </c>
      <c r="X414" s="30">
        <f>IF(AF414="DoEV",IF(AND(V414&lt;20,W414&lt;55),0.3,0)+IF(AND(V414&lt;20,W414&gt;=55,W414&lt;105),0.23,0)+IF(AND(V414&lt;20,W414&gt;=105),0.17,0)+IF(AND(V414&gt;=20,V414&lt;40,W414&lt;45),0.3,0)+IF(AND(V414&gt;=20,V414&lt;40,W414&gt;=45,W414&lt;95),0.23,0)+IF(AND(V414&gt;=20,V414&lt;40,W414&gt;=95),0.17,0)+IF(AND(V414&gt;=40,V414&lt;75,W414&lt;35),0.3,0)+IF(AND(V414&gt;=40,V414&lt;75,W414&gt;=35,W414&lt;75),0.23,0)+IF(AND(V414&gt;=40,V414&lt;75,W414&gt;=75,W414&lt;120),0.17,0)+IF(AND(V414&gt;=40,V414&lt;75,W414&gt;=120),0.12,0)+IF(AND(V414&gt;=75,V414&lt;175,W414&lt;35),0.3,0)+IF(AND(V414&gt;=75,V414&lt;=175,W414&gt;=35,W414&lt;65),0.23,0)+IF(AND(V414&gt;=75,V414&lt;=175,W414&gt;=65,W414&lt;110),0.17,0)+IF(AND(V414&gt;=75,V414&lt;=175,W414&gt;=110),0.12,0)+IF(AND(V414&gt;175,W414&lt;25),0.3,0)+IF(AND(V414&gt;175,W414&gt;=25,W414&lt;55),0.23,0)+IF(AND(V414&gt;175,W414&gt;=55,W414&lt;95),0.17,0)+IF(AND(V414&gt;175,W414&gt;=95),0.12,0),
IF(AF414="Fix15",0.15,
IF(AF414="Fix11.25",0.1125,
IF(AF414="Fix10",0.1,
IF(AF414="Fix9",0.09,
IF(AF414="DoEV2017",IF(AND(W414&lt;74),0.2,0)+IF(AND(W414&gt;=74),0.17,0),
IF(AF414="SF",IF(AND(V414&lt;20,W414&lt;89),0.3,0)+IF(AND(V414&lt;20,W414&gt;=89),0.25,0)+IF(AND(V414&gt;=20,V414&lt;40,W414&lt;74),0.3,0)+IF(AND(V414&gt;=20,V414&lt;40,W414&gt;=75),0.22,0)+IF(AND(V414&gt;=40,V414&lt;75,W414&lt;75),0.26,0)+IF(AND(V414&gt;=40,V414&lt;75,W414&gt;=75),0.22,0)+IF(V414&gt;=75,0.22,0),
IF(AF414="DoEVold",IF(AND(V414&lt;40,W414&lt;35),0.35,0)+IF(AND(V414&lt;40,W414&gt;=35,W414&lt;75),0.25,0)+IF(AND(V414&lt;40,W414&gt;=75),0.17,0)+IF(AND(V414&gt;=40,V414&lt;75,W414&lt;25),0.35,0)+IF(AND(V414&gt;=40,V414&lt;75,W414&gt;=25,W414&lt;65),0.25,0)+IF(AND(V414&gt;=40,V414&lt;75,W414&gt;=65,W414&lt;100),0.17,0)+IF(AND(V414&gt;=40,V414&lt;75,W414&gt;=100),0.1,0)+IF(AND(V414&gt;=75,W414&lt;25),0.35,0)+IF(AND(V414&gt;=75,W414&gt;=25,W414&lt;60),0.25,0)+IF(AND(V414&gt;=75,W414&gt;=60,W414&lt;95),0.17,0)+IF(AND(V414&gt;=75,W414&gt;=95),0.1,0),
IF(AF414="DoEVold15",IF(AND(V414&lt;=40,W414&lt;35),0.35,0)+IF(AND(V414&lt;=40,W414&gt;=35,W414&lt;75),0.25,0)+IF(AND(V414&lt;=40,W414&gt;=75,W414&lt;120),0.17,0)+IF(AND(V414&lt;=40,W414&gt;=120),0.15,0)+IF(AND(V414&gt;40,V414&lt;75,W414&lt;25),0.35,0)+IF(AND(V414&gt;=40,V414&lt;75,W414&gt;=25,W414&lt;65),0.25,0)+IF(AND(V414&gt;=40,V414&lt;75,W414&gt;=65,W414&lt;100),0.17,0)+IF(AND(V414&gt;=40,V414&lt;75,W414&gt;=100),0.1,0)+IF(AND(V414&gt;=75,W414&lt;25),0.35,0)+IF(AND(V414&gt;=75,W414&gt;=25,W414&lt;60),0.25,0)+IF(AND(V414&gt;=75,W414&gt;=60,W414&lt;95),0.17,0)+IF(AND(V414&gt;=75,W414&gt;=95),0.1,0),
IF(AF414="DoEVba",IF(AND(V414&lt;20,W414&lt;105),0.2,0)+IF(AND(V414&lt;20,W414&gt;=105),0.15,0)+IF(AND(V414&gt;=20,V414&lt;40,W414&lt;95),0.2,0)+IF(AND(V414&gt;=20,V414&lt;40,W414&gt;=95,W414&lt;150),0.15,0)+IF(AND(V414&gt;=20,V414&lt;40,W414&gt;=150),0.12,0)+IF(AND(V414&gt;=40,V414&lt;75,W414&lt;75),0.2,0)+IF(AND(V414&gt;=40,V414&lt;75,W414&gt;=75,W414&lt;120),0.15,0)+IF(AND(V414&gt;=40,V414&lt;75,W414&gt;=120),0.12,0)+IF(AND(V414&gt;=75,V414&lt;175,W414&lt;65),0.2,0)+IF(AND(V414&gt;=75,V414&lt;175,W414&gt;=65,W414&lt;110),0.15,0)+IF(AND(V414&gt;=75,V414&lt;175,W414&gt;=110),0.12,0)+IF(AND(V414&gt;=175,W414&lt;55),0.2,0)+IF(AND(V414&gt;=175,W414&gt;=55,W414&lt;95),0.15,0)+IF(AND(V414&gt;=175,W414&gt;=95),0.12,0),
IF(AF414="DoEVku",IF(AND(V414&lt;20,W414&lt;55),0.23,0)+IF(AND(V414&lt;20,W414&gt;=55,W414&lt;105),0.2,0)+IF(AND(V414&lt;20,W414&gt;=105),0.17,0)+IF(AND(V414&gt;=20,V414&lt;40,W414&lt;45),0.23,0)+IF(AND(V414&gt;=20,V414&lt;40,W414&gt;=45,W414&lt;95),0.2,0)+IF(AND(V414&gt;=20,V414&lt;40,W414&gt;=95,W414&lt;=150),0.17,0)+IF(AND(V414&gt;=20,V414&lt;40,W414&gt;=150),0.12,0)+IF(AND(V414&gt;=40,V414&lt;75,W414&lt;35),0.23,0)+IF(AND(V414&gt;=40,V414&lt;75,W414&gt;=35,W414&lt;75),0.2,0)+IF(AND(V414&gt;=40,V414&lt;75,W414&gt;=75,W414&lt;120),0.17,0)+IF(AND(V414&gt;=40,V414&lt;75,W414&gt;=120),0.12,0)+IF(AND(V414&gt;=75,V414&lt;175,W414&lt;35),0.23,0)+IF(AND(V414&gt;=75,V414&lt;=175,W414&gt;=35,W414&lt;65),0.2,0)+IF(AND(V414&gt;=75,V414&lt;=175,W414&gt;=65,W414&lt;110),0.17,0)+IF(AND(V414&gt;=75,V414&lt;=175,W414&gt;=110),0.12,0)+IF(AND(V414&gt;175,W414&lt;25),0.23,0)+IF(AND(V414&gt;175,W414&gt;=25,W414&lt;55),0.2,0)+IF(AND(V414&gt;175,W414&gt;=55,W414&lt;95),0.17,0)+IF(AND(V414&gt;175,W414&gt;=95),0.12,0),
IF(AF414="DoEVs1",IF(AND(V414&lt;20,W414&lt;55),0.3,0)+IF(AND(V414&lt;20,W414&gt;=55,W414&lt;105),0.23,0)+IF(AND(V414&lt;20,W414&gt;=105),0.17,0)+IF(AND(V414&gt;=20,V414&lt;40,W414&lt;45),0.3,0)+IF(AND(V414&gt;=20,V414&lt;40,W414&gt;=45,W414&lt;95),0.23,0)+IF(AND(V414&gt;=20,V414&lt;40,W414&gt;=95,W414&lt;=150),0.17,0)+IF(AND(V414&gt;=20,V414&lt;40,W414&gt;=150),0.12,0)+IF(AND(V414&gt;=40,V414&lt;75,W414&lt;35),0.3,0)+IF(AND(V414&gt;=40,V414&lt;75,W414&gt;=35,W414&lt;75),0.23,0)+IF(AND(V414&gt;=40,V414&lt;75,W414&gt;=75,W414&lt;120),0.17,0)+IF(AND(V414&gt;=40,V414&lt;75,W414&gt;=120),0.12,0)+IF(AND(V414&gt;=75,V414&lt;175,W414&lt;35),0.3,0)+IF(AND(V414&gt;=75,V414&lt;=175,W414&gt;=35,W414&lt;65),0.23,0)+IF(AND(V414&gt;=75,V414&lt;=175,W414&gt;=65,W414&lt;110),0.17,0)+IF(AND(V414&gt;=75,V414&lt;=175,W414&gt;=110),0.12,0)+IF(AND(V414&gt;175,W414&lt;25),0.3,0)+IF(AND(V414&gt;175,W414&gt;=25,W414&lt;55),0.23,0)+IF(AND(V414&gt;175,W414&gt;=55,W414&lt;95),0.17,0)+IF(AND(V414&gt;175,W414&gt;=95),0.12,0),
IF(AF414="DoEVsu",IF(AND(V414&lt;20,W414&lt;55),0.3,0)+IF(AND(V414&lt;20,W414&gt;=55,W414&lt;105),0.23,0)+IF(AND(V414&lt;20,W414&gt;=105),0.17,0)+IF(AND(V414&gt;=20,V414&lt;40,W414&lt;45),0.3,0)+IF(AND(V414&gt;=20,V414&lt;40,W414&gt;=45,W414&lt;95),0.23,0)+IF(AND(V414&gt;=20,V414&lt;40,W414&gt;=95,W414&lt;=250),0.17,0)+IF(AND(V414&gt;=20,V414&lt;40,W414&gt;=250),0.12,0)+IF(AND(V414&gt;=40,V414&lt;75,W414&lt;35),0.3,0)+IF(AND(V414&gt;=40,V414&lt;75,W414&gt;=35,W414&lt;75),0.23,0)+IF(AND(V414&gt;=40,V414&lt;75,W414&gt;=75,W414&lt;120),0.17,0)+IF(AND(V414&gt;=40,V414&lt;75,W414&gt;=120),0.12,0)+IF(AND(V414&gt;=75,V414&lt;175,W414&lt;35),0.3,0)+IF(AND(V414&gt;=75,V414&lt;=175,W414&gt;=35,W414&lt;65),0.23,0)+IF(AND(V414&gt;=75,V414&lt;=175,W414&gt;=65,W414&lt;110),0.17,0)+IF(AND(V414&gt;=75,V414&lt;=175,W414&gt;=110),0.12,0)+IF(AND(V414&gt;175,W414&lt;25),0.3,0)+IF(AND(V414&gt;175,W414&gt;=25,W414&lt;55),0.23,0)+IF(AND(V414&gt;175,W414&gt;=55,W414&lt;95),0.17,0)+IF(AND(V414&gt;175,W414&gt;=95),0.12,0),
IF(AF414="DoEVni",IF(AND(V414&lt;20,W414&lt;55),0.3,0)+IF(AND(V414&lt;20,W414&gt;=55,W414&lt;105),0.23,0)+IF(AND(V414&lt;20,W414&gt;=105),0.17,0)+IF(AND(V414&gt;=20,V414&lt;40,W414&lt;45),0.3,0)+IF(AND(V414&gt;=20,V414&lt;40,W414&gt;=45,W414&lt;95),0.23,0)+IF(AND(V414&gt;=20,V414&lt;40,W414&gt;=95,W414&lt;=200),0.17,0)+IF(AND(V414&gt;=20,V414&lt;40,W414&gt;=200),0.12,0)+IF(AND(V414&gt;=40,V414&lt;75,W414&lt;35),0.3,0)+IF(AND(V414&gt;=40,V414&lt;75,W414&gt;=35,W414&lt;75),0.23,0)+IF(AND(V414&gt;=40,V414&lt;75,W414&gt;=75,W414&lt;120),0.17,0)+IF(AND(V414&gt;=40,V414&lt;75,W414&gt;=120),0.12,0)+IF(AND(V414&gt;=75,V414&lt;175,W414&lt;35),0.3,0)+IF(AND(V414&gt;=75,V414&lt;=175,W414&gt;=35,W414&lt;65),0.23,0)+IF(AND(V414&gt;=75,V414&lt;=175,W414&gt;=65,W414&lt;110),0.17,0)+IF(AND(V414&gt;=75,V414&lt;=175,W414&gt;=110),0.12,0)+IF(AND(V414&gt;175,W414&lt;25),0.3,0)+IF(AND(V414&gt;175,W414&gt;=25,W414&lt;55),0.23,0)+IF(AND(V414&gt;175,W414&gt;=55,W414&lt;95),0.17,0)+IF(AND(V414&gt;175,W414&gt;=95),0.12,0),
IF(AF414="DoEVLo",IF(AND(V414&lt;20,W414&lt;55),0.25,0)+IF(AND(V414&lt;20,W414&gt;=55,W414&lt;105),0.2,0)+IF(AND(V414&lt;20,W414&gt;=105),0.15,0)+IF(AND(V414&gt;=20,V414&lt;40,W414&lt;45),0.25,0)+IF(AND(V414&gt;=20,V414&lt;40,W414&gt;=45,W414&lt;95),0.2,0)+IF(AND(V414&gt;=20,V414&lt;40,W414&gt;=95),0.15,0)+IF(AND(V414&gt;=40,V414&lt;75,W414&lt;35),0.25,0)+IF(AND(V414&gt;=40,V414&lt;75,W414&gt;=35,W414&lt;75),0.2,0)+IF(AND(V414&gt;=40,V414&lt;75,W414&gt;=75,W414&lt;120),0.15,0)+IF(AND(V414&gt;=40,V414&lt;75,W414&gt;=120),0.1,0)+IF(AND(V414&gt;=75,V414&lt;175,W414&lt;35),0.25,0)+IF(AND(V414&gt;=75,V414&lt;=175,W414&gt;=35,W414&lt;65),0.2,0)+IF(AND(V414&gt;=75,V414&lt;=175,W414&gt;=65,W414&lt;110),0.15,0)+IF(AND(V414&gt;=75,V414&lt;=175,W414&gt;=110),0.1,0)+IF(AND(V414&gt;175,W414&lt;25),0.25,0)+IF(AND(V414&gt;175,W414&gt;=25,W414&lt;55),0.2,0)+IF(AND(V414&gt;175,W414&gt;=55,W414&lt;95),0.15,0)+IF(AND(V414&gt;175,W414&gt;=95),0.1,0))))))))))))))))</f>
        <v>0.3</v>
      </c>
      <c r="Y414" s="30">
        <f>IF(AG414="None",0,IF(AG414="Fix5",0.05,IF(AG414="Fix3.75",0.0375,IF(AG414="Fix10",0.1,IF(AG414="Fix3",0.03,0)))))</f>
        <v>0</v>
      </c>
      <c r="Z414" s="35">
        <f>T414-AA414-AB414</f>
        <v>30.8</v>
      </c>
      <c r="AA414" s="29">
        <f>IF(AD414="EUR",((T414-R414)*X414)*U414+(R414*X414),(T414*X414))</f>
        <v>13.2</v>
      </c>
      <c r="AB414" s="36">
        <f>IF(AD414="EUR",((T414-R414)*Y414)*U414+(R414*Y414),(T414*Y414))</f>
        <v>0</v>
      </c>
      <c r="AC414" s="37" t="b">
        <v>1</v>
      </c>
      <c r="AD414" s="37" t="s">
        <v>38</v>
      </c>
      <c r="AE414" s="37" t="s">
        <v>38</v>
      </c>
      <c r="AF414" s="37" t="str">
        <f t="array" ref="AF414">INDEX('Deal Info'!D:D, MATCH(A414,'Deal Info'!A:A, 0))</f>
        <v>DoEV</v>
      </c>
      <c r="AG414" s="38" t="str">
        <f t="array" ref="AG414">INDEX('Deal Info'!G:G, MATCH(A414,'Deal Info'!A:A, 0))</f>
        <v>None</v>
      </c>
    </row>
    <row r="415" spans="1:33" ht="14.25" hidden="1" x14ac:dyDescent="0.2">
      <c r="A415" s="18" t="str">
        <f t="array" ref="A415">IF(G415='Room Info'!$B$1, INDEX('Room Info'!$A$2:$A2446, MATCH(B415,'Room Info'!$B$2:$B2446, 0)),IF(G415='Room Info'!$C$1, INDEX('Room Info'!$A$2:$A2446, MATCH(B415,'Room Info'!$C$2:$C2446, 0)),IF(G415='Room Info'!$D$1, INDEX('Room Info'!$A$2:$A2446, MATCH(B415,'Room Info'!$D$2:$D2446, 0)),IF(G415='Room Info'!$E$1, INDEX('Room Info'!$A$2:$A2446, MATCH(B415,'Room Info'!$E$2:$E2446, 0)),IF(G415='Room Info'!$F$1, INDEX('Room Info'!$A$2:$A2446, MATCH(B415,'Room Info'!$F$2:$F2446, 0)),IF(G415='Room Info'!$H$1, INDEX('Room Info'!$A$2:$A2446, MATCH(B415,'Room Info'!$H$2:$H2446, 0)),IF(G415='Room Info'!$G$1, INDEX('Room Info'!$A$2:$A2446, MATCH(B415,'Room Info'!$G$2:$G2446, 0)))))))))</f>
        <v>CrippledMind</v>
      </c>
      <c r="B415" s="45" t="s">
        <v>125</v>
      </c>
      <c r="C415" s="46">
        <v>44825</v>
      </c>
      <c r="D415" s="46">
        <v>44854</v>
      </c>
      <c r="E415" s="47">
        <v>44835</v>
      </c>
      <c r="F415" s="45" t="s">
        <v>34</v>
      </c>
      <c r="G415" s="45" t="s">
        <v>35</v>
      </c>
      <c r="H415" s="49" t="s">
        <v>40</v>
      </c>
      <c r="I415" s="49" t="s">
        <v>37</v>
      </c>
      <c r="J415" s="70">
        <v>10</v>
      </c>
      <c r="K415" s="71">
        <v>682</v>
      </c>
      <c r="L415" s="52">
        <v>40</v>
      </c>
      <c r="M415" s="53">
        <v>225</v>
      </c>
      <c r="N415" s="28">
        <f>K415*J415</f>
        <v>6820</v>
      </c>
      <c r="O415" s="54">
        <v>37555</v>
      </c>
      <c r="P415" s="29">
        <v>55.065982400000003</v>
      </c>
      <c r="Q415" s="55"/>
      <c r="R415" s="31">
        <f>M415+Q415</f>
        <v>225</v>
      </c>
      <c r="S415" s="56">
        <v>185</v>
      </c>
      <c r="T415" s="32">
        <f>R415+S415+IF(F415="Without EV deal",L415,0)</f>
        <v>410</v>
      </c>
      <c r="U415" s="57">
        <v>1</v>
      </c>
      <c r="V415" s="69">
        <v>9.7881899871630296</v>
      </c>
      <c r="W415" s="69">
        <v>41.069901639344259</v>
      </c>
      <c r="X415" s="30">
        <f>IF(AF415="DoEV",IF(AND(V415&lt;20,W415&lt;55),0.3,0)+IF(AND(V415&lt;20,W415&gt;=55,W415&lt;105),0.23,0)+IF(AND(V415&lt;20,W415&gt;=105),0.17,0)+IF(AND(V415&gt;=20,V415&lt;40,W415&lt;45),0.3,0)+IF(AND(V415&gt;=20,V415&lt;40,W415&gt;=45,W415&lt;95),0.23,0)+IF(AND(V415&gt;=20,V415&lt;40,W415&gt;=95),0.17,0)+IF(AND(V415&gt;=40,V415&lt;75,W415&lt;35),0.3,0)+IF(AND(V415&gt;=40,V415&lt;75,W415&gt;=35,W415&lt;75),0.23,0)+IF(AND(V415&gt;=40,V415&lt;75,W415&gt;=75,W415&lt;120),0.17,0)+IF(AND(V415&gt;=40,V415&lt;75,W415&gt;=120),0.12,0)+IF(AND(V415&gt;=75,V415&lt;175,W415&lt;35),0.3,0)+IF(AND(V415&gt;=75,V415&lt;=175,W415&gt;=35,W415&lt;65),0.23,0)+IF(AND(V415&gt;=75,V415&lt;=175,W415&gt;=65,W415&lt;110),0.17,0)+IF(AND(V415&gt;=75,V415&lt;=175,W415&gt;=110),0.12,0)+IF(AND(V415&gt;175,W415&lt;25),0.3,0)+IF(AND(V415&gt;175,W415&gt;=25,W415&lt;55),0.23,0)+IF(AND(V415&gt;175,W415&gt;=55,W415&lt;95),0.17,0)+IF(AND(V415&gt;175,W415&gt;=95),0.12,0),
IF(AF415="Fix15",0.15,
IF(AF415="Fix11.25",0.1125,
IF(AF415="Fix10",0.1,
IF(AF415="Fix9",0.09,
IF(AF415="DoEV2017",IF(AND(W415&lt;74),0.2,0)+IF(AND(W415&gt;=74),0.17,0),
IF(AF415="SF",IF(AND(V415&lt;20,W415&lt;89),0.3,0)+IF(AND(V415&lt;20,W415&gt;=89),0.25,0)+IF(AND(V415&gt;=20,V415&lt;40,W415&lt;74),0.3,0)+IF(AND(V415&gt;=20,V415&lt;40,W415&gt;=75),0.22,0)+IF(AND(V415&gt;=40,V415&lt;75,W415&lt;75),0.26,0)+IF(AND(V415&gt;=40,V415&lt;75,W415&gt;=75),0.22,0)+IF(V415&gt;=75,0.22,0),
IF(AF415="DoEVold",IF(AND(V415&lt;40,W415&lt;35),0.35,0)+IF(AND(V415&lt;40,W415&gt;=35,W415&lt;75),0.25,0)+IF(AND(V415&lt;40,W415&gt;=75),0.17,0)+IF(AND(V415&gt;=40,V415&lt;75,W415&lt;25),0.35,0)+IF(AND(V415&gt;=40,V415&lt;75,W415&gt;=25,W415&lt;65),0.25,0)+IF(AND(V415&gt;=40,V415&lt;75,W415&gt;=65,W415&lt;100),0.17,0)+IF(AND(V415&gt;=40,V415&lt;75,W415&gt;=100),0.1,0)+IF(AND(V415&gt;=75,W415&lt;25),0.35,0)+IF(AND(V415&gt;=75,W415&gt;=25,W415&lt;60),0.25,0)+IF(AND(V415&gt;=75,W415&gt;=60,W415&lt;95),0.17,0)+IF(AND(V415&gt;=75,W415&gt;=95),0.1,0),
IF(AF415="DoEVold15",IF(AND(V415&lt;=40,W415&lt;35),0.35,0)+IF(AND(V415&lt;=40,W415&gt;=35,W415&lt;75),0.25,0)+IF(AND(V415&lt;=40,W415&gt;=75,W415&lt;120),0.17,0)+IF(AND(V415&lt;=40,W415&gt;=120),0.15,0)+IF(AND(V415&gt;40,V415&lt;75,W415&lt;25),0.35,0)+IF(AND(V415&gt;=40,V415&lt;75,W415&gt;=25,W415&lt;65),0.25,0)+IF(AND(V415&gt;=40,V415&lt;75,W415&gt;=65,W415&lt;100),0.17,0)+IF(AND(V415&gt;=40,V415&lt;75,W415&gt;=100),0.1,0)+IF(AND(V415&gt;=75,W415&lt;25),0.35,0)+IF(AND(V415&gt;=75,W415&gt;=25,W415&lt;60),0.25,0)+IF(AND(V415&gt;=75,W415&gt;=60,W415&lt;95),0.17,0)+IF(AND(V415&gt;=75,W415&gt;=95),0.1,0),
IF(AF415="DoEVba",IF(AND(V415&lt;20,W415&lt;105),0.2,0)+IF(AND(V415&lt;20,W415&gt;=105),0.15,0)+IF(AND(V415&gt;=20,V415&lt;40,W415&lt;95),0.2,0)+IF(AND(V415&gt;=20,V415&lt;40,W415&gt;=95,W415&lt;150),0.15,0)+IF(AND(V415&gt;=20,V415&lt;40,W415&gt;=150),0.12,0)+IF(AND(V415&gt;=40,V415&lt;75,W415&lt;75),0.2,0)+IF(AND(V415&gt;=40,V415&lt;75,W415&gt;=75,W415&lt;120),0.15,0)+IF(AND(V415&gt;=40,V415&lt;75,W415&gt;=120),0.12,0)+IF(AND(V415&gt;=75,V415&lt;175,W415&lt;65),0.2,0)+IF(AND(V415&gt;=75,V415&lt;175,W415&gt;=65,W415&lt;110),0.15,0)+IF(AND(V415&gt;=75,V415&lt;175,W415&gt;=110),0.12,0)+IF(AND(V415&gt;=175,W415&lt;55),0.2,0)+IF(AND(V415&gt;=175,W415&gt;=55,W415&lt;95),0.15,0)+IF(AND(V415&gt;=175,W415&gt;=95),0.12,0),
IF(AF415="DoEVku",IF(AND(V415&lt;20,W415&lt;55),0.23,0)+IF(AND(V415&lt;20,W415&gt;=55,W415&lt;105),0.2,0)+IF(AND(V415&lt;20,W415&gt;=105),0.17,0)+IF(AND(V415&gt;=20,V415&lt;40,W415&lt;45),0.23,0)+IF(AND(V415&gt;=20,V415&lt;40,W415&gt;=45,W415&lt;95),0.2,0)+IF(AND(V415&gt;=20,V415&lt;40,W415&gt;=95,W415&lt;=150),0.17,0)+IF(AND(V415&gt;=20,V415&lt;40,W415&gt;=150),0.12,0)+IF(AND(V415&gt;=40,V415&lt;75,W415&lt;35),0.23,0)+IF(AND(V415&gt;=40,V415&lt;75,W415&gt;=35,W415&lt;75),0.2,0)+IF(AND(V415&gt;=40,V415&lt;75,W415&gt;=75,W415&lt;120),0.17,0)+IF(AND(V415&gt;=40,V415&lt;75,W415&gt;=120),0.12,0)+IF(AND(V415&gt;=75,V415&lt;175,W415&lt;35),0.23,0)+IF(AND(V415&gt;=75,V415&lt;=175,W415&gt;=35,W415&lt;65),0.2,0)+IF(AND(V415&gt;=75,V415&lt;=175,W415&gt;=65,W415&lt;110),0.17,0)+IF(AND(V415&gt;=75,V415&lt;=175,W415&gt;=110),0.12,0)+IF(AND(V415&gt;175,W415&lt;25),0.23,0)+IF(AND(V415&gt;175,W415&gt;=25,W415&lt;55),0.2,0)+IF(AND(V415&gt;175,W415&gt;=55,W415&lt;95),0.17,0)+IF(AND(V415&gt;175,W415&gt;=95),0.12,0),
IF(AF415="DoEVs1",IF(AND(V415&lt;20,W415&lt;55),0.3,0)+IF(AND(V415&lt;20,W415&gt;=55,W415&lt;105),0.23,0)+IF(AND(V415&lt;20,W415&gt;=105),0.17,0)+IF(AND(V415&gt;=20,V415&lt;40,W415&lt;45),0.3,0)+IF(AND(V415&gt;=20,V415&lt;40,W415&gt;=45,W415&lt;95),0.23,0)+IF(AND(V415&gt;=20,V415&lt;40,W415&gt;=95,W415&lt;=150),0.17,0)+IF(AND(V415&gt;=20,V415&lt;40,W415&gt;=150),0.12,0)+IF(AND(V415&gt;=40,V415&lt;75,W415&lt;35),0.3,0)+IF(AND(V415&gt;=40,V415&lt;75,W415&gt;=35,W415&lt;75),0.23,0)+IF(AND(V415&gt;=40,V415&lt;75,W415&gt;=75,W415&lt;120),0.17,0)+IF(AND(V415&gt;=40,V415&lt;75,W415&gt;=120),0.12,0)+IF(AND(V415&gt;=75,V415&lt;175,W415&lt;35),0.3,0)+IF(AND(V415&gt;=75,V415&lt;=175,W415&gt;=35,W415&lt;65),0.23,0)+IF(AND(V415&gt;=75,V415&lt;=175,W415&gt;=65,W415&lt;110),0.17,0)+IF(AND(V415&gt;=75,V415&lt;=175,W415&gt;=110),0.12,0)+IF(AND(V415&gt;175,W415&lt;25),0.3,0)+IF(AND(V415&gt;175,W415&gt;=25,W415&lt;55),0.23,0)+IF(AND(V415&gt;175,W415&gt;=55,W415&lt;95),0.17,0)+IF(AND(V415&gt;175,W415&gt;=95),0.12,0),
IF(AF415="DoEVsu",IF(AND(V415&lt;20,W415&lt;55),0.3,0)+IF(AND(V415&lt;20,W415&gt;=55,W415&lt;105),0.23,0)+IF(AND(V415&lt;20,W415&gt;=105),0.17,0)+IF(AND(V415&gt;=20,V415&lt;40,W415&lt;45),0.3,0)+IF(AND(V415&gt;=20,V415&lt;40,W415&gt;=45,W415&lt;95),0.23,0)+IF(AND(V415&gt;=20,V415&lt;40,W415&gt;=95,W415&lt;=250),0.17,0)+IF(AND(V415&gt;=20,V415&lt;40,W415&gt;=250),0.12,0)+IF(AND(V415&gt;=40,V415&lt;75,W415&lt;35),0.3,0)+IF(AND(V415&gt;=40,V415&lt;75,W415&gt;=35,W415&lt;75),0.23,0)+IF(AND(V415&gt;=40,V415&lt;75,W415&gt;=75,W415&lt;120),0.17,0)+IF(AND(V415&gt;=40,V415&lt;75,W415&gt;=120),0.12,0)+IF(AND(V415&gt;=75,V415&lt;175,W415&lt;35),0.3,0)+IF(AND(V415&gt;=75,V415&lt;=175,W415&gt;=35,W415&lt;65),0.23,0)+IF(AND(V415&gt;=75,V415&lt;=175,W415&gt;=65,W415&lt;110),0.17,0)+IF(AND(V415&gt;=75,V415&lt;=175,W415&gt;=110),0.12,0)+IF(AND(V415&gt;175,W415&lt;25),0.3,0)+IF(AND(V415&gt;175,W415&gt;=25,W415&lt;55),0.23,0)+IF(AND(V415&gt;175,W415&gt;=55,W415&lt;95),0.17,0)+IF(AND(V415&gt;175,W415&gt;=95),0.12,0),
IF(AF415="DoEVni",IF(AND(V415&lt;20,W415&lt;55),0.3,0)+IF(AND(V415&lt;20,W415&gt;=55,W415&lt;105),0.23,0)+IF(AND(V415&lt;20,W415&gt;=105),0.17,0)+IF(AND(V415&gt;=20,V415&lt;40,W415&lt;45),0.3,0)+IF(AND(V415&gt;=20,V415&lt;40,W415&gt;=45,W415&lt;95),0.23,0)+IF(AND(V415&gt;=20,V415&lt;40,W415&gt;=95,W415&lt;=200),0.17,0)+IF(AND(V415&gt;=20,V415&lt;40,W415&gt;=200),0.12,0)+IF(AND(V415&gt;=40,V415&lt;75,W415&lt;35),0.3,0)+IF(AND(V415&gt;=40,V415&lt;75,W415&gt;=35,W415&lt;75),0.23,0)+IF(AND(V415&gt;=40,V415&lt;75,W415&gt;=75,W415&lt;120),0.17,0)+IF(AND(V415&gt;=40,V415&lt;75,W415&gt;=120),0.12,0)+IF(AND(V415&gt;=75,V415&lt;175,W415&lt;35),0.3,0)+IF(AND(V415&gt;=75,V415&lt;=175,W415&gt;=35,W415&lt;65),0.23,0)+IF(AND(V415&gt;=75,V415&lt;=175,W415&gt;=65,W415&lt;110),0.17,0)+IF(AND(V415&gt;=75,V415&lt;=175,W415&gt;=110),0.12,0)+IF(AND(V415&gt;175,W415&lt;25),0.3,0)+IF(AND(V415&gt;175,W415&gt;=25,W415&lt;55),0.23,0)+IF(AND(V415&gt;175,W415&gt;=55,W415&lt;95),0.17,0)+IF(AND(V415&gt;175,W415&gt;=95),0.12,0),
IF(AF415="DoEVLo",IF(AND(V415&lt;20,W415&lt;55),0.25,0)+IF(AND(V415&lt;20,W415&gt;=55,W415&lt;105),0.2,0)+IF(AND(V415&lt;20,W415&gt;=105),0.15,0)+IF(AND(V415&gt;=20,V415&lt;40,W415&lt;45),0.25,0)+IF(AND(V415&gt;=20,V415&lt;40,W415&gt;=45,W415&lt;95),0.2,0)+IF(AND(V415&gt;=20,V415&lt;40,W415&gt;=95),0.15,0)+IF(AND(V415&gt;=40,V415&lt;75,W415&lt;35),0.25,0)+IF(AND(V415&gt;=40,V415&lt;75,W415&gt;=35,W415&lt;75),0.2,0)+IF(AND(V415&gt;=40,V415&lt;75,W415&gt;=75,W415&lt;120),0.15,0)+IF(AND(V415&gt;=40,V415&lt;75,W415&gt;=120),0.1,0)+IF(AND(V415&gt;=75,V415&lt;175,W415&lt;35),0.25,0)+IF(AND(V415&gt;=75,V415&lt;=175,W415&gt;=35,W415&lt;65),0.2,0)+IF(AND(V415&gt;=75,V415&lt;=175,W415&gt;=65,W415&lt;110),0.15,0)+IF(AND(V415&gt;=75,V415&lt;=175,W415&gt;=110),0.1,0)+IF(AND(V415&gt;175,W415&lt;25),0.25,0)+IF(AND(V415&gt;175,W415&gt;=25,W415&lt;55),0.2,0)+IF(AND(V415&gt;175,W415&gt;=55,W415&lt;95),0.15,0)+IF(AND(V415&gt;175,W415&gt;=95),0.1,0))))))))))))))))</f>
        <v>0.3</v>
      </c>
      <c r="Y415" s="30">
        <f>IF(AG415="None",0,IF(AG415="Fix5",0.05,IF(AG415="Fix3.75",0.0375,IF(AG415="Fix10",0.1,IF(AG415="Fix3",0.03,0)))))</f>
        <v>0</v>
      </c>
      <c r="Z415" s="35">
        <f>T415-AA415-AB415</f>
        <v>287</v>
      </c>
      <c r="AA415" s="29">
        <f>IF(AD415="EUR",((T415-R415)*X415)*U415+(R415*X415),(T415*X415))</f>
        <v>123</v>
      </c>
      <c r="AB415" s="36">
        <f>IF(AD415="EUR",((T415-R415)*Y415)*U415+(R415*Y415),(T415*Y415))</f>
        <v>0</v>
      </c>
      <c r="AC415" s="37" t="b">
        <v>1</v>
      </c>
      <c r="AD415" s="37" t="s">
        <v>38</v>
      </c>
      <c r="AE415" s="37" t="s">
        <v>38</v>
      </c>
      <c r="AF415" s="37" t="str">
        <f t="array" ref="AF415">INDEX('Deal Info'!D:D, MATCH(A415,'Deal Info'!A:A, 0))</f>
        <v>DoEV</v>
      </c>
      <c r="AG415" s="38" t="str">
        <f t="array" ref="AG415">INDEX('Deal Info'!G:G, MATCH(A415,'Deal Info'!A:A, 0))</f>
        <v>None</v>
      </c>
    </row>
    <row r="416" spans="1:33" ht="14.25" hidden="1" x14ac:dyDescent="0.2">
      <c r="A416" s="18" t="str">
        <f t="array" ref="A416">IF(G416='Room Info'!$B$1, INDEX('Room Info'!$A$2:$A2446, MATCH(B416,'Room Info'!$B$2:$B2446, 0)),IF(G416='Room Info'!$C$1, INDEX('Room Info'!$A$2:$A2446, MATCH(B416,'Room Info'!$C$2:$C2446, 0)),IF(G416='Room Info'!$D$1, INDEX('Room Info'!$A$2:$A2446, MATCH(B416,'Room Info'!$D$2:$D2446, 0)),IF(G416='Room Info'!$E$1, INDEX('Room Info'!$A$2:$A2446, MATCH(B416,'Room Info'!$E$2:$E2446, 0)),IF(G416='Room Info'!$F$1, INDEX('Room Info'!$A$2:$A2446, MATCH(B416,'Room Info'!$F$2:$F2446, 0)),IF(G416='Room Info'!$H$1, INDEX('Room Info'!$A$2:$A2446, MATCH(B416,'Room Info'!$H$2:$H2446, 0)),IF(G416='Room Info'!$G$1, INDEX('Room Info'!$A$2:$A2446, MATCH(B416,'Room Info'!$G$2:$G2446, 0)))))))))</f>
        <v>CrippledMind</v>
      </c>
      <c r="B416" s="45" t="s">
        <v>125</v>
      </c>
      <c r="C416" s="46">
        <v>44825</v>
      </c>
      <c r="D416" s="46">
        <v>44854</v>
      </c>
      <c r="E416" s="47">
        <v>44835</v>
      </c>
      <c r="F416" s="45" t="s">
        <v>34</v>
      </c>
      <c r="G416" s="45" t="s">
        <v>35</v>
      </c>
      <c r="H416" s="49" t="s">
        <v>115</v>
      </c>
      <c r="I416" s="49" t="s">
        <v>37</v>
      </c>
      <c r="J416" s="70">
        <v>10</v>
      </c>
      <c r="K416" s="71">
        <v>64</v>
      </c>
      <c r="L416" s="52">
        <v>-70</v>
      </c>
      <c r="M416" s="53">
        <v>21</v>
      </c>
      <c r="N416" s="28">
        <f>K416*J416</f>
        <v>640</v>
      </c>
      <c r="O416" s="54">
        <v>-834</v>
      </c>
      <c r="P416" s="29">
        <v>-13.03125</v>
      </c>
      <c r="Q416" s="55"/>
      <c r="R416" s="31">
        <f>M416+Q416</f>
        <v>21</v>
      </c>
      <c r="S416" s="56">
        <v>-73</v>
      </c>
      <c r="T416" s="32">
        <f>R416+S416+IF(F416="Without EV deal",L416,0)</f>
        <v>-52</v>
      </c>
      <c r="U416" s="57">
        <v>1</v>
      </c>
      <c r="V416" s="69">
        <v>9.7881899871630296</v>
      </c>
      <c r="W416" s="69">
        <v>41.069901639344259</v>
      </c>
      <c r="X416" s="30">
        <f>IF(AF416="DoEV",IF(AND(V416&lt;20,W416&lt;55),0.3,0)+IF(AND(V416&lt;20,W416&gt;=55,W416&lt;105),0.23,0)+IF(AND(V416&lt;20,W416&gt;=105),0.17,0)+IF(AND(V416&gt;=20,V416&lt;40,W416&lt;45),0.3,0)+IF(AND(V416&gt;=20,V416&lt;40,W416&gt;=45,W416&lt;95),0.23,0)+IF(AND(V416&gt;=20,V416&lt;40,W416&gt;=95),0.17,0)+IF(AND(V416&gt;=40,V416&lt;75,W416&lt;35),0.3,0)+IF(AND(V416&gt;=40,V416&lt;75,W416&gt;=35,W416&lt;75),0.23,0)+IF(AND(V416&gt;=40,V416&lt;75,W416&gt;=75,W416&lt;120),0.17,0)+IF(AND(V416&gt;=40,V416&lt;75,W416&gt;=120),0.12,0)+IF(AND(V416&gt;=75,V416&lt;175,W416&lt;35),0.3,0)+IF(AND(V416&gt;=75,V416&lt;=175,W416&gt;=35,W416&lt;65),0.23,0)+IF(AND(V416&gt;=75,V416&lt;=175,W416&gt;=65,W416&lt;110),0.17,0)+IF(AND(V416&gt;=75,V416&lt;=175,W416&gt;=110),0.12,0)+IF(AND(V416&gt;175,W416&lt;25),0.3,0)+IF(AND(V416&gt;175,W416&gt;=25,W416&lt;55),0.23,0)+IF(AND(V416&gt;175,W416&gt;=55,W416&lt;95),0.17,0)+IF(AND(V416&gt;175,W416&gt;=95),0.12,0),
IF(AF416="Fix15",0.15,
IF(AF416="Fix11.25",0.1125,
IF(AF416="Fix10",0.1,
IF(AF416="Fix9",0.09,
IF(AF416="DoEV2017",IF(AND(W416&lt;74),0.2,0)+IF(AND(W416&gt;=74),0.17,0),
IF(AF416="SF",IF(AND(V416&lt;20,W416&lt;89),0.3,0)+IF(AND(V416&lt;20,W416&gt;=89),0.25,0)+IF(AND(V416&gt;=20,V416&lt;40,W416&lt;74),0.3,0)+IF(AND(V416&gt;=20,V416&lt;40,W416&gt;=75),0.22,0)+IF(AND(V416&gt;=40,V416&lt;75,W416&lt;75),0.26,0)+IF(AND(V416&gt;=40,V416&lt;75,W416&gt;=75),0.22,0)+IF(V416&gt;=75,0.22,0),
IF(AF416="DoEVold",IF(AND(V416&lt;40,W416&lt;35),0.35,0)+IF(AND(V416&lt;40,W416&gt;=35,W416&lt;75),0.25,0)+IF(AND(V416&lt;40,W416&gt;=75),0.17,0)+IF(AND(V416&gt;=40,V416&lt;75,W416&lt;25),0.35,0)+IF(AND(V416&gt;=40,V416&lt;75,W416&gt;=25,W416&lt;65),0.25,0)+IF(AND(V416&gt;=40,V416&lt;75,W416&gt;=65,W416&lt;100),0.17,0)+IF(AND(V416&gt;=40,V416&lt;75,W416&gt;=100),0.1,0)+IF(AND(V416&gt;=75,W416&lt;25),0.35,0)+IF(AND(V416&gt;=75,W416&gt;=25,W416&lt;60),0.25,0)+IF(AND(V416&gt;=75,W416&gt;=60,W416&lt;95),0.17,0)+IF(AND(V416&gt;=75,W416&gt;=95),0.1,0),
IF(AF416="DoEVold15",IF(AND(V416&lt;=40,W416&lt;35),0.35,0)+IF(AND(V416&lt;=40,W416&gt;=35,W416&lt;75),0.25,0)+IF(AND(V416&lt;=40,W416&gt;=75,W416&lt;120),0.17,0)+IF(AND(V416&lt;=40,W416&gt;=120),0.15,0)+IF(AND(V416&gt;40,V416&lt;75,W416&lt;25),0.35,0)+IF(AND(V416&gt;=40,V416&lt;75,W416&gt;=25,W416&lt;65),0.25,0)+IF(AND(V416&gt;=40,V416&lt;75,W416&gt;=65,W416&lt;100),0.17,0)+IF(AND(V416&gt;=40,V416&lt;75,W416&gt;=100),0.1,0)+IF(AND(V416&gt;=75,W416&lt;25),0.35,0)+IF(AND(V416&gt;=75,W416&gt;=25,W416&lt;60),0.25,0)+IF(AND(V416&gt;=75,W416&gt;=60,W416&lt;95),0.17,0)+IF(AND(V416&gt;=75,W416&gt;=95),0.1,0),
IF(AF416="DoEVba",IF(AND(V416&lt;20,W416&lt;105),0.2,0)+IF(AND(V416&lt;20,W416&gt;=105),0.15,0)+IF(AND(V416&gt;=20,V416&lt;40,W416&lt;95),0.2,0)+IF(AND(V416&gt;=20,V416&lt;40,W416&gt;=95,W416&lt;150),0.15,0)+IF(AND(V416&gt;=20,V416&lt;40,W416&gt;=150),0.12,0)+IF(AND(V416&gt;=40,V416&lt;75,W416&lt;75),0.2,0)+IF(AND(V416&gt;=40,V416&lt;75,W416&gt;=75,W416&lt;120),0.15,0)+IF(AND(V416&gt;=40,V416&lt;75,W416&gt;=120),0.12,0)+IF(AND(V416&gt;=75,V416&lt;175,W416&lt;65),0.2,0)+IF(AND(V416&gt;=75,V416&lt;175,W416&gt;=65,W416&lt;110),0.15,0)+IF(AND(V416&gt;=75,V416&lt;175,W416&gt;=110),0.12,0)+IF(AND(V416&gt;=175,W416&lt;55),0.2,0)+IF(AND(V416&gt;=175,W416&gt;=55,W416&lt;95),0.15,0)+IF(AND(V416&gt;=175,W416&gt;=95),0.12,0),
IF(AF416="DoEVku",IF(AND(V416&lt;20,W416&lt;55),0.23,0)+IF(AND(V416&lt;20,W416&gt;=55,W416&lt;105),0.2,0)+IF(AND(V416&lt;20,W416&gt;=105),0.17,0)+IF(AND(V416&gt;=20,V416&lt;40,W416&lt;45),0.23,0)+IF(AND(V416&gt;=20,V416&lt;40,W416&gt;=45,W416&lt;95),0.2,0)+IF(AND(V416&gt;=20,V416&lt;40,W416&gt;=95,W416&lt;=150),0.17,0)+IF(AND(V416&gt;=20,V416&lt;40,W416&gt;=150),0.12,0)+IF(AND(V416&gt;=40,V416&lt;75,W416&lt;35),0.23,0)+IF(AND(V416&gt;=40,V416&lt;75,W416&gt;=35,W416&lt;75),0.2,0)+IF(AND(V416&gt;=40,V416&lt;75,W416&gt;=75,W416&lt;120),0.17,0)+IF(AND(V416&gt;=40,V416&lt;75,W416&gt;=120),0.12,0)+IF(AND(V416&gt;=75,V416&lt;175,W416&lt;35),0.23,0)+IF(AND(V416&gt;=75,V416&lt;=175,W416&gt;=35,W416&lt;65),0.2,0)+IF(AND(V416&gt;=75,V416&lt;=175,W416&gt;=65,W416&lt;110),0.17,0)+IF(AND(V416&gt;=75,V416&lt;=175,W416&gt;=110),0.12,0)+IF(AND(V416&gt;175,W416&lt;25),0.23,0)+IF(AND(V416&gt;175,W416&gt;=25,W416&lt;55),0.2,0)+IF(AND(V416&gt;175,W416&gt;=55,W416&lt;95),0.17,0)+IF(AND(V416&gt;175,W416&gt;=95),0.12,0),
IF(AF416="DoEVs1",IF(AND(V416&lt;20,W416&lt;55),0.3,0)+IF(AND(V416&lt;20,W416&gt;=55,W416&lt;105),0.23,0)+IF(AND(V416&lt;20,W416&gt;=105),0.17,0)+IF(AND(V416&gt;=20,V416&lt;40,W416&lt;45),0.3,0)+IF(AND(V416&gt;=20,V416&lt;40,W416&gt;=45,W416&lt;95),0.23,0)+IF(AND(V416&gt;=20,V416&lt;40,W416&gt;=95,W416&lt;=150),0.17,0)+IF(AND(V416&gt;=20,V416&lt;40,W416&gt;=150),0.12,0)+IF(AND(V416&gt;=40,V416&lt;75,W416&lt;35),0.3,0)+IF(AND(V416&gt;=40,V416&lt;75,W416&gt;=35,W416&lt;75),0.23,0)+IF(AND(V416&gt;=40,V416&lt;75,W416&gt;=75,W416&lt;120),0.17,0)+IF(AND(V416&gt;=40,V416&lt;75,W416&gt;=120),0.12,0)+IF(AND(V416&gt;=75,V416&lt;175,W416&lt;35),0.3,0)+IF(AND(V416&gt;=75,V416&lt;=175,W416&gt;=35,W416&lt;65),0.23,0)+IF(AND(V416&gt;=75,V416&lt;=175,W416&gt;=65,W416&lt;110),0.17,0)+IF(AND(V416&gt;=75,V416&lt;=175,W416&gt;=110),0.12,0)+IF(AND(V416&gt;175,W416&lt;25),0.3,0)+IF(AND(V416&gt;175,W416&gt;=25,W416&lt;55),0.23,0)+IF(AND(V416&gt;175,W416&gt;=55,W416&lt;95),0.17,0)+IF(AND(V416&gt;175,W416&gt;=95),0.12,0),
IF(AF416="DoEVsu",IF(AND(V416&lt;20,W416&lt;55),0.3,0)+IF(AND(V416&lt;20,W416&gt;=55,W416&lt;105),0.23,0)+IF(AND(V416&lt;20,W416&gt;=105),0.17,0)+IF(AND(V416&gt;=20,V416&lt;40,W416&lt;45),0.3,0)+IF(AND(V416&gt;=20,V416&lt;40,W416&gt;=45,W416&lt;95),0.23,0)+IF(AND(V416&gt;=20,V416&lt;40,W416&gt;=95,W416&lt;=250),0.17,0)+IF(AND(V416&gt;=20,V416&lt;40,W416&gt;=250),0.12,0)+IF(AND(V416&gt;=40,V416&lt;75,W416&lt;35),0.3,0)+IF(AND(V416&gt;=40,V416&lt;75,W416&gt;=35,W416&lt;75),0.23,0)+IF(AND(V416&gt;=40,V416&lt;75,W416&gt;=75,W416&lt;120),0.17,0)+IF(AND(V416&gt;=40,V416&lt;75,W416&gt;=120),0.12,0)+IF(AND(V416&gt;=75,V416&lt;175,W416&lt;35),0.3,0)+IF(AND(V416&gt;=75,V416&lt;=175,W416&gt;=35,W416&lt;65),0.23,0)+IF(AND(V416&gt;=75,V416&lt;=175,W416&gt;=65,W416&lt;110),0.17,0)+IF(AND(V416&gt;=75,V416&lt;=175,W416&gt;=110),0.12,0)+IF(AND(V416&gt;175,W416&lt;25),0.3,0)+IF(AND(V416&gt;175,W416&gt;=25,W416&lt;55),0.23,0)+IF(AND(V416&gt;175,W416&gt;=55,W416&lt;95),0.17,0)+IF(AND(V416&gt;175,W416&gt;=95),0.12,0),
IF(AF416="DoEVni",IF(AND(V416&lt;20,W416&lt;55),0.3,0)+IF(AND(V416&lt;20,W416&gt;=55,W416&lt;105),0.23,0)+IF(AND(V416&lt;20,W416&gt;=105),0.17,0)+IF(AND(V416&gt;=20,V416&lt;40,W416&lt;45),0.3,0)+IF(AND(V416&gt;=20,V416&lt;40,W416&gt;=45,W416&lt;95),0.23,0)+IF(AND(V416&gt;=20,V416&lt;40,W416&gt;=95,W416&lt;=200),0.17,0)+IF(AND(V416&gt;=20,V416&lt;40,W416&gt;=200),0.12,0)+IF(AND(V416&gt;=40,V416&lt;75,W416&lt;35),0.3,0)+IF(AND(V416&gt;=40,V416&lt;75,W416&gt;=35,W416&lt;75),0.23,0)+IF(AND(V416&gt;=40,V416&lt;75,W416&gt;=75,W416&lt;120),0.17,0)+IF(AND(V416&gt;=40,V416&lt;75,W416&gt;=120),0.12,0)+IF(AND(V416&gt;=75,V416&lt;175,W416&lt;35),0.3,0)+IF(AND(V416&gt;=75,V416&lt;=175,W416&gt;=35,W416&lt;65),0.23,0)+IF(AND(V416&gt;=75,V416&lt;=175,W416&gt;=65,W416&lt;110),0.17,0)+IF(AND(V416&gt;=75,V416&lt;=175,W416&gt;=110),0.12,0)+IF(AND(V416&gt;175,W416&lt;25),0.3,0)+IF(AND(V416&gt;175,W416&gt;=25,W416&lt;55),0.23,0)+IF(AND(V416&gt;175,W416&gt;=55,W416&lt;95),0.17,0)+IF(AND(V416&gt;175,W416&gt;=95),0.12,0),
IF(AF416="DoEVLo",IF(AND(V416&lt;20,W416&lt;55),0.25,0)+IF(AND(V416&lt;20,W416&gt;=55,W416&lt;105),0.2,0)+IF(AND(V416&lt;20,W416&gt;=105),0.15,0)+IF(AND(V416&gt;=20,V416&lt;40,W416&lt;45),0.25,0)+IF(AND(V416&gt;=20,V416&lt;40,W416&gt;=45,W416&lt;95),0.2,0)+IF(AND(V416&gt;=20,V416&lt;40,W416&gt;=95),0.15,0)+IF(AND(V416&gt;=40,V416&lt;75,W416&lt;35),0.25,0)+IF(AND(V416&gt;=40,V416&lt;75,W416&gt;=35,W416&lt;75),0.2,0)+IF(AND(V416&gt;=40,V416&lt;75,W416&gt;=75,W416&lt;120),0.15,0)+IF(AND(V416&gt;=40,V416&lt;75,W416&gt;=120),0.1,0)+IF(AND(V416&gt;=75,V416&lt;175,W416&lt;35),0.25,0)+IF(AND(V416&gt;=75,V416&lt;=175,W416&gt;=35,W416&lt;65),0.2,0)+IF(AND(V416&gt;=75,V416&lt;=175,W416&gt;=65,W416&lt;110),0.15,0)+IF(AND(V416&gt;=75,V416&lt;=175,W416&gt;=110),0.1,0)+IF(AND(V416&gt;175,W416&lt;25),0.25,0)+IF(AND(V416&gt;175,W416&gt;=25,W416&lt;55),0.2,0)+IF(AND(V416&gt;175,W416&gt;=55,W416&lt;95),0.15,0)+IF(AND(V416&gt;175,W416&gt;=95),0.1,0))))))))))))))))</f>
        <v>0.3</v>
      </c>
      <c r="Y416" s="30">
        <f>IF(AG416="None",0,IF(AG416="Fix5",0.05,IF(AG416="Fix3.75",0.0375,IF(AG416="Fix10",0.1,IF(AG416="Fix3",0.03,0)))))</f>
        <v>0</v>
      </c>
      <c r="Z416" s="35">
        <f>T416-AA416-AB416</f>
        <v>-36.4</v>
      </c>
      <c r="AA416" s="29">
        <f>IF(AD416="EUR",((T416-R416)*X416)*U416+(R416*X416),(T416*X416))</f>
        <v>-15.6</v>
      </c>
      <c r="AB416" s="36">
        <f>IF(AD416="EUR",((T416-R416)*Y416)*U416+(R416*Y416),(T416*Y416))</f>
        <v>0</v>
      </c>
      <c r="AC416" s="37" t="b">
        <v>1</v>
      </c>
      <c r="AD416" s="37" t="s">
        <v>38</v>
      </c>
      <c r="AE416" s="37" t="s">
        <v>38</v>
      </c>
      <c r="AF416" s="37" t="str">
        <f t="array" ref="AF416">INDEX('Deal Info'!D:D, MATCH(A416,'Deal Info'!A:A, 0))</f>
        <v>DoEV</v>
      </c>
      <c r="AG416" s="38" t="str">
        <f t="array" ref="AG416">INDEX('Deal Info'!G:G, MATCH(A416,'Deal Info'!A:A, 0))</f>
        <v>None</v>
      </c>
    </row>
    <row r="417" spans="1:33" ht="14.25" hidden="1" x14ac:dyDescent="0.2">
      <c r="A417" s="18" t="str">
        <f t="array" ref="A417">IF(G417='Room Info'!$B$1, INDEX('Room Info'!$A$2:$A2446, MATCH(B417,'Room Info'!$B$2:$B2446, 0)),IF(G417='Room Info'!$C$1, INDEX('Room Info'!$A$2:$A2446, MATCH(B417,'Room Info'!$C$2:$C2446, 0)),IF(G417='Room Info'!$D$1, INDEX('Room Info'!$A$2:$A2446, MATCH(B417,'Room Info'!$D$2:$D2446, 0)),IF(G417='Room Info'!$E$1, INDEX('Room Info'!$A$2:$A2446, MATCH(B417,'Room Info'!$E$2:$E2446, 0)),IF(G417='Room Info'!$F$1, INDEX('Room Info'!$A$2:$A2446, MATCH(B417,'Room Info'!$F$2:$F2446, 0)),IF(G417='Room Info'!$H$1, INDEX('Room Info'!$A$2:$A2446, MATCH(B417,'Room Info'!$H$2:$H2446, 0)),IF(G417='Room Info'!$G$1, INDEX('Room Info'!$A$2:$A2446, MATCH(B417,'Room Info'!$G$2:$G2446, 0)))))))))</f>
        <v>CrippledMind</v>
      </c>
      <c r="B417" s="45" t="s">
        <v>125</v>
      </c>
      <c r="C417" s="46">
        <v>44855</v>
      </c>
      <c r="D417" s="46">
        <v>44885</v>
      </c>
      <c r="E417" s="47">
        <v>44866</v>
      </c>
      <c r="F417" s="45" t="s">
        <v>34</v>
      </c>
      <c r="G417" s="45" t="s">
        <v>35</v>
      </c>
      <c r="H417" s="49" t="s">
        <v>39</v>
      </c>
      <c r="I417" s="49" t="s">
        <v>37</v>
      </c>
      <c r="J417" s="70">
        <v>5</v>
      </c>
      <c r="K417" s="71">
        <v>73</v>
      </c>
      <c r="L417" s="52">
        <v>40</v>
      </c>
      <c r="M417" s="53">
        <v>16</v>
      </c>
      <c r="N417" s="28">
        <f>K417*J417</f>
        <v>365</v>
      </c>
      <c r="O417" s="54">
        <v>4892</v>
      </c>
      <c r="P417" s="29">
        <v>67.013698629999993</v>
      </c>
      <c r="Q417" s="55"/>
      <c r="R417" s="31">
        <f>M417+Q417</f>
        <v>16</v>
      </c>
      <c r="S417" s="56">
        <v>16</v>
      </c>
      <c r="T417" s="32">
        <f>R417+S417+IF(F417="Without EV deal",L417,0)</f>
        <v>32</v>
      </c>
      <c r="U417" s="57">
        <v>1</v>
      </c>
      <c r="V417" s="69">
        <v>8.5573122529644277</v>
      </c>
      <c r="W417" s="69">
        <v>22.436951501154731</v>
      </c>
      <c r="X417" s="30">
        <f>IF(AF417="DoEV",IF(AND(V417&lt;20,W417&lt;55),0.3,0)+IF(AND(V417&lt;20,W417&gt;=55,W417&lt;105),0.23,0)+IF(AND(V417&lt;20,W417&gt;=105),0.17,0)+IF(AND(V417&gt;=20,V417&lt;40,W417&lt;45),0.3,0)+IF(AND(V417&gt;=20,V417&lt;40,W417&gt;=45,W417&lt;95),0.23,0)+IF(AND(V417&gt;=20,V417&lt;40,W417&gt;=95),0.17,0)+IF(AND(V417&gt;=40,V417&lt;75,W417&lt;35),0.3,0)+IF(AND(V417&gt;=40,V417&lt;75,W417&gt;=35,W417&lt;75),0.23,0)+IF(AND(V417&gt;=40,V417&lt;75,W417&gt;=75,W417&lt;120),0.17,0)+IF(AND(V417&gt;=40,V417&lt;75,W417&gt;=120),0.12,0)+IF(AND(V417&gt;=75,V417&lt;175,W417&lt;35),0.3,0)+IF(AND(V417&gt;=75,V417&lt;=175,W417&gt;=35,W417&lt;65),0.23,0)+IF(AND(V417&gt;=75,V417&lt;=175,W417&gt;=65,W417&lt;110),0.17,0)+IF(AND(V417&gt;=75,V417&lt;=175,W417&gt;=110),0.12,0)+IF(AND(V417&gt;175,W417&lt;25),0.3,0)+IF(AND(V417&gt;175,W417&gt;=25,W417&lt;55),0.23,0)+IF(AND(V417&gt;175,W417&gt;=55,W417&lt;95),0.17,0)+IF(AND(V417&gt;175,W417&gt;=95),0.12,0),
IF(AF417="Fix15",0.15,
IF(AF417="Fix11.25",0.1125,
IF(AF417="Fix10",0.1,
IF(AF417="Fix9",0.09,
IF(AF417="DoEV2017",IF(AND(W417&lt;74),0.2,0)+IF(AND(W417&gt;=74),0.17,0),
IF(AF417="SF",IF(AND(V417&lt;20,W417&lt;89),0.3,0)+IF(AND(V417&lt;20,W417&gt;=89),0.25,0)+IF(AND(V417&gt;=20,V417&lt;40,W417&lt;74),0.3,0)+IF(AND(V417&gt;=20,V417&lt;40,W417&gt;=75),0.22,0)+IF(AND(V417&gt;=40,V417&lt;75,W417&lt;75),0.26,0)+IF(AND(V417&gt;=40,V417&lt;75,W417&gt;=75),0.22,0)+IF(V417&gt;=75,0.22,0),
IF(AF417="DoEVold",IF(AND(V417&lt;40,W417&lt;35),0.35,0)+IF(AND(V417&lt;40,W417&gt;=35,W417&lt;75),0.25,0)+IF(AND(V417&lt;40,W417&gt;=75),0.17,0)+IF(AND(V417&gt;=40,V417&lt;75,W417&lt;25),0.35,0)+IF(AND(V417&gt;=40,V417&lt;75,W417&gt;=25,W417&lt;65),0.25,0)+IF(AND(V417&gt;=40,V417&lt;75,W417&gt;=65,W417&lt;100),0.17,0)+IF(AND(V417&gt;=40,V417&lt;75,W417&gt;=100),0.1,0)+IF(AND(V417&gt;=75,W417&lt;25),0.35,0)+IF(AND(V417&gt;=75,W417&gt;=25,W417&lt;60),0.25,0)+IF(AND(V417&gt;=75,W417&gt;=60,W417&lt;95),0.17,0)+IF(AND(V417&gt;=75,W417&gt;=95),0.1,0),
IF(AF417="DoEVold15",IF(AND(V417&lt;=40,W417&lt;35),0.35,0)+IF(AND(V417&lt;=40,W417&gt;=35,W417&lt;75),0.25,0)+IF(AND(V417&lt;=40,W417&gt;=75,W417&lt;120),0.17,0)+IF(AND(V417&lt;=40,W417&gt;=120),0.15,0)+IF(AND(V417&gt;40,V417&lt;75,W417&lt;25),0.35,0)+IF(AND(V417&gt;=40,V417&lt;75,W417&gt;=25,W417&lt;65),0.25,0)+IF(AND(V417&gt;=40,V417&lt;75,W417&gt;=65,W417&lt;100),0.17,0)+IF(AND(V417&gt;=40,V417&lt;75,W417&gt;=100),0.1,0)+IF(AND(V417&gt;=75,W417&lt;25),0.35,0)+IF(AND(V417&gt;=75,W417&gt;=25,W417&lt;60),0.25,0)+IF(AND(V417&gt;=75,W417&gt;=60,W417&lt;95),0.17,0)+IF(AND(V417&gt;=75,W417&gt;=95),0.1,0),
IF(AF417="DoEVba",IF(AND(V417&lt;20,W417&lt;105),0.2,0)+IF(AND(V417&lt;20,W417&gt;=105),0.15,0)+IF(AND(V417&gt;=20,V417&lt;40,W417&lt;95),0.2,0)+IF(AND(V417&gt;=20,V417&lt;40,W417&gt;=95,W417&lt;150),0.15,0)+IF(AND(V417&gt;=20,V417&lt;40,W417&gt;=150),0.12,0)+IF(AND(V417&gt;=40,V417&lt;75,W417&lt;75),0.2,0)+IF(AND(V417&gt;=40,V417&lt;75,W417&gt;=75,W417&lt;120),0.15,0)+IF(AND(V417&gt;=40,V417&lt;75,W417&gt;=120),0.12,0)+IF(AND(V417&gt;=75,V417&lt;175,W417&lt;65),0.2,0)+IF(AND(V417&gt;=75,V417&lt;175,W417&gt;=65,W417&lt;110),0.15,0)+IF(AND(V417&gt;=75,V417&lt;175,W417&gt;=110),0.12,0)+IF(AND(V417&gt;=175,W417&lt;55),0.2,0)+IF(AND(V417&gt;=175,W417&gt;=55,W417&lt;95),0.15,0)+IF(AND(V417&gt;=175,W417&gt;=95),0.12,0),
IF(AF417="DoEVku",IF(AND(V417&lt;20,W417&lt;55),0.23,0)+IF(AND(V417&lt;20,W417&gt;=55,W417&lt;105),0.2,0)+IF(AND(V417&lt;20,W417&gt;=105),0.17,0)+IF(AND(V417&gt;=20,V417&lt;40,W417&lt;45),0.23,0)+IF(AND(V417&gt;=20,V417&lt;40,W417&gt;=45,W417&lt;95),0.2,0)+IF(AND(V417&gt;=20,V417&lt;40,W417&gt;=95,W417&lt;=150),0.17,0)+IF(AND(V417&gt;=20,V417&lt;40,W417&gt;=150),0.12,0)+IF(AND(V417&gt;=40,V417&lt;75,W417&lt;35),0.23,0)+IF(AND(V417&gt;=40,V417&lt;75,W417&gt;=35,W417&lt;75),0.2,0)+IF(AND(V417&gt;=40,V417&lt;75,W417&gt;=75,W417&lt;120),0.17,0)+IF(AND(V417&gt;=40,V417&lt;75,W417&gt;=120),0.12,0)+IF(AND(V417&gt;=75,V417&lt;175,W417&lt;35),0.23,0)+IF(AND(V417&gt;=75,V417&lt;=175,W417&gt;=35,W417&lt;65),0.2,0)+IF(AND(V417&gt;=75,V417&lt;=175,W417&gt;=65,W417&lt;110),0.17,0)+IF(AND(V417&gt;=75,V417&lt;=175,W417&gt;=110),0.12,0)+IF(AND(V417&gt;175,W417&lt;25),0.23,0)+IF(AND(V417&gt;175,W417&gt;=25,W417&lt;55),0.2,0)+IF(AND(V417&gt;175,W417&gt;=55,W417&lt;95),0.17,0)+IF(AND(V417&gt;175,W417&gt;=95),0.12,0),
IF(AF417="DoEVs1",IF(AND(V417&lt;20,W417&lt;55),0.3,0)+IF(AND(V417&lt;20,W417&gt;=55,W417&lt;105),0.23,0)+IF(AND(V417&lt;20,W417&gt;=105),0.17,0)+IF(AND(V417&gt;=20,V417&lt;40,W417&lt;45),0.3,0)+IF(AND(V417&gt;=20,V417&lt;40,W417&gt;=45,W417&lt;95),0.23,0)+IF(AND(V417&gt;=20,V417&lt;40,W417&gt;=95,W417&lt;=150),0.17,0)+IF(AND(V417&gt;=20,V417&lt;40,W417&gt;=150),0.12,0)+IF(AND(V417&gt;=40,V417&lt;75,W417&lt;35),0.3,0)+IF(AND(V417&gt;=40,V417&lt;75,W417&gt;=35,W417&lt;75),0.23,0)+IF(AND(V417&gt;=40,V417&lt;75,W417&gt;=75,W417&lt;120),0.17,0)+IF(AND(V417&gt;=40,V417&lt;75,W417&gt;=120),0.12,0)+IF(AND(V417&gt;=75,V417&lt;175,W417&lt;35),0.3,0)+IF(AND(V417&gt;=75,V417&lt;=175,W417&gt;=35,W417&lt;65),0.23,0)+IF(AND(V417&gt;=75,V417&lt;=175,W417&gt;=65,W417&lt;110),0.17,0)+IF(AND(V417&gt;=75,V417&lt;=175,W417&gt;=110),0.12,0)+IF(AND(V417&gt;175,W417&lt;25),0.3,0)+IF(AND(V417&gt;175,W417&gt;=25,W417&lt;55),0.23,0)+IF(AND(V417&gt;175,W417&gt;=55,W417&lt;95),0.17,0)+IF(AND(V417&gt;175,W417&gt;=95),0.12,0),
IF(AF417="DoEVsu",IF(AND(V417&lt;20,W417&lt;55),0.3,0)+IF(AND(V417&lt;20,W417&gt;=55,W417&lt;105),0.23,0)+IF(AND(V417&lt;20,W417&gt;=105),0.17,0)+IF(AND(V417&gt;=20,V417&lt;40,W417&lt;45),0.3,0)+IF(AND(V417&gt;=20,V417&lt;40,W417&gt;=45,W417&lt;95),0.23,0)+IF(AND(V417&gt;=20,V417&lt;40,W417&gt;=95,W417&lt;=250),0.17,0)+IF(AND(V417&gt;=20,V417&lt;40,W417&gt;=250),0.12,0)+IF(AND(V417&gt;=40,V417&lt;75,W417&lt;35),0.3,0)+IF(AND(V417&gt;=40,V417&lt;75,W417&gt;=35,W417&lt;75),0.23,0)+IF(AND(V417&gt;=40,V417&lt;75,W417&gt;=75,W417&lt;120),0.17,0)+IF(AND(V417&gt;=40,V417&lt;75,W417&gt;=120),0.12,0)+IF(AND(V417&gt;=75,V417&lt;175,W417&lt;35),0.3,0)+IF(AND(V417&gt;=75,V417&lt;=175,W417&gt;=35,W417&lt;65),0.23,0)+IF(AND(V417&gt;=75,V417&lt;=175,W417&gt;=65,W417&lt;110),0.17,0)+IF(AND(V417&gt;=75,V417&lt;=175,W417&gt;=110),0.12,0)+IF(AND(V417&gt;175,W417&lt;25),0.3,0)+IF(AND(V417&gt;175,W417&gt;=25,W417&lt;55),0.23,0)+IF(AND(V417&gt;175,W417&gt;=55,W417&lt;95),0.17,0)+IF(AND(V417&gt;175,W417&gt;=95),0.12,0),
IF(AF417="DoEVni",IF(AND(V417&lt;20,W417&lt;55),0.3,0)+IF(AND(V417&lt;20,W417&gt;=55,W417&lt;105),0.23,0)+IF(AND(V417&lt;20,W417&gt;=105),0.17,0)+IF(AND(V417&gt;=20,V417&lt;40,W417&lt;45),0.3,0)+IF(AND(V417&gt;=20,V417&lt;40,W417&gt;=45,W417&lt;95),0.23,0)+IF(AND(V417&gt;=20,V417&lt;40,W417&gt;=95,W417&lt;=200),0.17,0)+IF(AND(V417&gt;=20,V417&lt;40,W417&gt;=200),0.12,0)+IF(AND(V417&gt;=40,V417&lt;75,W417&lt;35),0.3,0)+IF(AND(V417&gt;=40,V417&lt;75,W417&gt;=35,W417&lt;75),0.23,0)+IF(AND(V417&gt;=40,V417&lt;75,W417&gt;=75,W417&lt;120),0.17,0)+IF(AND(V417&gt;=40,V417&lt;75,W417&gt;=120),0.12,0)+IF(AND(V417&gt;=75,V417&lt;175,W417&lt;35),0.3,0)+IF(AND(V417&gt;=75,V417&lt;=175,W417&gt;=35,W417&lt;65),0.23,0)+IF(AND(V417&gt;=75,V417&lt;=175,W417&gt;=65,W417&lt;110),0.17,0)+IF(AND(V417&gt;=75,V417&lt;=175,W417&gt;=110),0.12,0)+IF(AND(V417&gt;175,W417&lt;25),0.3,0)+IF(AND(V417&gt;175,W417&gt;=25,W417&lt;55),0.23,0)+IF(AND(V417&gt;175,W417&gt;=55,W417&lt;95),0.17,0)+IF(AND(V417&gt;175,W417&gt;=95),0.12,0),
IF(AF417="DoEVLo",IF(AND(V417&lt;20,W417&lt;55),0.25,0)+IF(AND(V417&lt;20,W417&gt;=55,W417&lt;105),0.2,0)+IF(AND(V417&lt;20,W417&gt;=105),0.15,0)+IF(AND(V417&gt;=20,V417&lt;40,W417&lt;45),0.25,0)+IF(AND(V417&gt;=20,V417&lt;40,W417&gt;=45,W417&lt;95),0.2,0)+IF(AND(V417&gt;=20,V417&lt;40,W417&gt;=95),0.15,0)+IF(AND(V417&gt;=40,V417&lt;75,W417&lt;35),0.25,0)+IF(AND(V417&gt;=40,V417&lt;75,W417&gt;=35,W417&lt;75),0.2,0)+IF(AND(V417&gt;=40,V417&lt;75,W417&gt;=75,W417&lt;120),0.15,0)+IF(AND(V417&gt;=40,V417&lt;75,W417&gt;=120),0.1,0)+IF(AND(V417&gt;=75,V417&lt;175,W417&lt;35),0.25,0)+IF(AND(V417&gt;=75,V417&lt;=175,W417&gt;=35,W417&lt;65),0.2,0)+IF(AND(V417&gt;=75,V417&lt;=175,W417&gt;=65,W417&lt;110),0.15,0)+IF(AND(V417&gt;=75,V417&lt;=175,W417&gt;=110),0.1,0)+IF(AND(V417&gt;175,W417&lt;25),0.25,0)+IF(AND(V417&gt;175,W417&gt;=25,W417&lt;55),0.2,0)+IF(AND(V417&gt;175,W417&gt;=55,W417&lt;95),0.15,0)+IF(AND(V417&gt;175,W417&gt;=95),0.1,0))))))))))))))))</f>
        <v>0.3</v>
      </c>
      <c r="Y417" s="30">
        <f>IF(AG417="None",0,IF(AG417="Fix5",0.05,IF(AG417="Fix3.75",0.0375,IF(AG417="Fix10",0.1,IF(AG417="Fix3",0.03,0)))))</f>
        <v>0</v>
      </c>
      <c r="Z417" s="35">
        <f>T417-AA417-AB417</f>
        <v>22.4</v>
      </c>
      <c r="AA417" s="29">
        <f>IF(AD417="EUR",((T417-R417)*X417)*U417+(R417*X417),(T417*X417))</f>
        <v>9.6</v>
      </c>
      <c r="AB417" s="36">
        <f>IF(AD417="EUR",((T417-R417)*Y417)*U417+(R417*Y417),(T417*Y417))</f>
        <v>0</v>
      </c>
      <c r="AC417" s="37" t="b">
        <v>1</v>
      </c>
      <c r="AD417" s="37" t="s">
        <v>38</v>
      </c>
      <c r="AE417" s="37" t="s">
        <v>38</v>
      </c>
      <c r="AF417" s="37" t="str">
        <f t="array" ref="AF417">INDEX('Deal Info'!D:D, MATCH(A417,'Deal Info'!A:A, 0))</f>
        <v>DoEV</v>
      </c>
      <c r="AG417" s="38" t="str">
        <f t="array" ref="AG417">INDEX('Deal Info'!G:G, MATCH(A417,'Deal Info'!A:A, 0))</f>
        <v>None</v>
      </c>
    </row>
    <row r="418" spans="1:33" ht="14.25" hidden="1" x14ac:dyDescent="0.2">
      <c r="A418" s="18" t="str">
        <f t="array" ref="A418">IF(G418='Room Info'!$B$1, INDEX('Room Info'!$A$2:$A2446, MATCH(B418,'Room Info'!$B$2:$B2446, 0)),IF(G418='Room Info'!$C$1, INDEX('Room Info'!$A$2:$A2446, MATCH(B418,'Room Info'!$C$2:$C2446, 0)),IF(G418='Room Info'!$D$1, INDEX('Room Info'!$A$2:$A2446, MATCH(B418,'Room Info'!$D$2:$D2446, 0)),IF(G418='Room Info'!$E$1, INDEX('Room Info'!$A$2:$A2446, MATCH(B418,'Room Info'!$E$2:$E2446, 0)),IF(G418='Room Info'!$F$1, INDEX('Room Info'!$A$2:$A2446, MATCH(B418,'Room Info'!$F$2:$F2446, 0)),IF(G418='Room Info'!$H$1, INDEX('Room Info'!$A$2:$A2446, MATCH(B418,'Room Info'!$H$2:$H2446, 0)),IF(G418='Room Info'!$G$1, INDEX('Room Info'!$A$2:$A2446, MATCH(B418,'Room Info'!$G$2:$G2446, 0)))))))))</f>
        <v>CrippledMind</v>
      </c>
      <c r="B418" s="45" t="s">
        <v>125</v>
      </c>
      <c r="C418" s="46">
        <v>44855</v>
      </c>
      <c r="D418" s="46">
        <v>44885</v>
      </c>
      <c r="E418" s="47">
        <v>44866</v>
      </c>
      <c r="F418" s="45" t="s">
        <v>34</v>
      </c>
      <c r="G418" s="45" t="s">
        <v>35</v>
      </c>
      <c r="H418" s="49" t="s">
        <v>40</v>
      </c>
      <c r="I418" s="49" t="s">
        <v>37</v>
      </c>
      <c r="J418" s="70">
        <v>10</v>
      </c>
      <c r="K418" s="71">
        <v>180</v>
      </c>
      <c r="L418" s="52">
        <v>130</v>
      </c>
      <c r="M418" s="53">
        <v>69</v>
      </c>
      <c r="N418" s="28">
        <f>K418*J418</f>
        <v>1800</v>
      </c>
      <c r="O418" s="54">
        <v>11577</v>
      </c>
      <c r="P418" s="29">
        <v>64.316666670000004</v>
      </c>
      <c r="Q418" s="55"/>
      <c r="R418" s="31">
        <f>M418+Q418</f>
        <v>69</v>
      </c>
      <c r="S418" s="56">
        <v>91</v>
      </c>
      <c r="T418" s="32">
        <f>R418+S418+IF(F418="Without EV deal",L418,0)</f>
        <v>160</v>
      </c>
      <c r="U418" s="57">
        <v>1</v>
      </c>
      <c r="V418" s="69">
        <v>8.5573122529644277</v>
      </c>
      <c r="W418" s="69">
        <v>22.436951501154731</v>
      </c>
      <c r="X418" s="30">
        <f>IF(AF418="DoEV",IF(AND(V418&lt;20,W418&lt;55),0.3,0)+IF(AND(V418&lt;20,W418&gt;=55,W418&lt;105),0.23,0)+IF(AND(V418&lt;20,W418&gt;=105),0.17,0)+IF(AND(V418&gt;=20,V418&lt;40,W418&lt;45),0.3,0)+IF(AND(V418&gt;=20,V418&lt;40,W418&gt;=45,W418&lt;95),0.23,0)+IF(AND(V418&gt;=20,V418&lt;40,W418&gt;=95),0.17,0)+IF(AND(V418&gt;=40,V418&lt;75,W418&lt;35),0.3,0)+IF(AND(V418&gt;=40,V418&lt;75,W418&gt;=35,W418&lt;75),0.23,0)+IF(AND(V418&gt;=40,V418&lt;75,W418&gt;=75,W418&lt;120),0.17,0)+IF(AND(V418&gt;=40,V418&lt;75,W418&gt;=120),0.12,0)+IF(AND(V418&gt;=75,V418&lt;175,W418&lt;35),0.3,0)+IF(AND(V418&gt;=75,V418&lt;=175,W418&gt;=35,W418&lt;65),0.23,0)+IF(AND(V418&gt;=75,V418&lt;=175,W418&gt;=65,W418&lt;110),0.17,0)+IF(AND(V418&gt;=75,V418&lt;=175,W418&gt;=110),0.12,0)+IF(AND(V418&gt;175,W418&lt;25),0.3,0)+IF(AND(V418&gt;175,W418&gt;=25,W418&lt;55),0.23,0)+IF(AND(V418&gt;175,W418&gt;=55,W418&lt;95),0.17,0)+IF(AND(V418&gt;175,W418&gt;=95),0.12,0),
IF(AF418="Fix15",0.15,
IF(AF418="Fix11.25",0.1125,
IF(AF418="Fix10",0.1,
IF(AF418="Fix9",0.09,
IF(AF418="DoEV2017",IF(AND(W418&lt;74),0.2,0)+IF(AND(W418&gt;=74),0.17,0),
IF(AF418="SF",IF(AND(V418&lt;20,W418&lt;89),0.3,0)+IF(AND(V418&lt;20,W418&gt;=89),0.25,0)+IF(AND(V418&gt;=20,V418&lt;40,W418&lt;74),0.3,0)+IF(AND(V418&gt;=20,V418&lt;40,W418&gt;=75),0.22,0)+IF(AND(V418&gt;=40,V418&lt;75,W418&lt;75),0.26,0)+IF(AND(V418&gt;=40,V418&lt;75,W418&gt;=75),0.22,0)+IF(V418&gt;=75,0.22,0),
IF(AF418="DoEVold",IF(AND(V418&lt;40,W418&lt;35),0.35,0)+IF(AND(V418&lt;40,W418&gt;=35,W418&lt;75),0.25,0)+IF(AND(V418&lt;40,W418&gt;=75),0.17,0)+IF(AND(V418&gt;=40,V418&lt;75,W418&lt;25),0.35,0)+IF(AND(V418&gt;=40,V418&lt;75,W418&gt;=25,W418&lt;65),0.25,0)+IF(AND(V418&gt;=40,V418&lt;75,W418&gt;=65,W418&lt;100),0.17,0)+IF(AND(V418&gt;=40,V418&lt;75,W418&gt;=100),0.1,0)+IF(AND(V418&gt;=75,W418&lt;25),0.35,0)+IF(AND(V418&gt;=75,W418&gt;=25,W418&lt;60),0.25,0)+IF(AND(V418&gt;=75,W418&gt;=60,W418&lt;95),0.17,0)+IF(AND(V418&gt;=75,W418&gt;=95),0.1,0),
IF(AF418="DoEVold15",IF(AND(V418&lt;=40,W418&lt;35),0.35,0)+IF(AND(V418&lt;=40,W418&gt;=35,W418&lt;75),0.25,0)+IF(AND(V418&lt;=40,W418&gt;=75,W418&lt;120),0.17,0)+IF(AND(V418&lt;=40,W418&gt;=120),0.15,0)+IF(AND(V418&gt;40,V418&lt;75,W418&lt;25),0.35,0)+IF(AND(V418&gt;=40,V418&lt;75,W418&gt;=25,W418&lt;65),0.25,0)+IF(AND(V418&gt;=40,V418&lt;75,W418&gt;=65,W418&lt;100),0.17,0)+IF(AND(V418&gt;=40,V418&lt;75,W418&gt;=100),0.1,0)+IF(AND(V418&gt;=75,W418&lt;25),0.35,0)+IF(AND(V418&gt;=75,W418&gt;=25,W418&lt;60),0.25,0)+IF(AND(V418&gt;=75,W418&gt;=60,W418&lt;95),0.17,0)+IF(AND(V418&gt;=75,W418&gt;=95),0.1,0),
IF(AF418="DoEVba",IF(AND(V418&lt;20,W418&lt;105),0.2,0)+IF(AND(V418&lt;20,W418&gt;=105),0.15,0)+IF(AND(V418&gt;=20,V418&lt;40,W418&lt;95),0.2,0)+IF(AND(V418&gt;=20,V418&lt;40,W418&gt;=95,W418&lt;150),0.15,0)+IF(AND(V418&gt;=20,V418&lt;40,W418&gt;=150),0.12,0)+IF(AND(V418&gt;=40,V418&lt;75,W418&lt;75),0.2,0)+IF(AND(V418&gt;=40,V418&lt;75,W418&gt;=75,W418&lt;120),0.15,0)+IF(AND(V418&gt;=40,V418&lt;75,W418&gt;=120),0.12,0)+IF(AND(V418&gt;=75,V418&lt;175,W418&lt;65),0.2,0)+IF(AND(V418&gt;=75,V418&lt;175,W418&gt;=65,W418&lt;110),0.15,0)+IF(AND(V418&gt;=75,V418&lt;175,W418&gt;=110),0.12,0)+IF(AND(V418&gt;=175,W418&lt;55),0.2,0)+IF(AND(V418&gt;=175,W418&gt;=55,W418&lt;95),0.15,0)+IF(AND(V418&gt;=175,W418&gt;=95),0.12,0),
IF(AF418="DoEVku",IF(AND(V418&lt;20,W418&lt;55),0.23,0)+IF(AND(V418&lt;20,W418&gt;=55,W418&lt;105),0.2,0)+IF(AND(V418&lt;20,W418&gt;=105),0.17,0)+IF(AND(V418&gt;=20,V418&lt;40,W418&lt;45),0.23,0)+IF(AND(V418&gt;=20,V418&lt;40,W418&gt;=45,W418&lt;95),0.2,0)+IF(AND(V418&gt;=20,V418&lt;40,W418&gt;=95,W418&lt;=150),0.17,0)+IF(AND(V418&gt;=20,V418&lt;40,W418&gt;=150),0.12,0)+IF(AND(V418&gt;=40,V418&lt;75,W418&lt;35),0.23,0)+IF(AND(V418&gt;=40,V418&lt;75,W418&gt;=35,W418&lt;75),0.2,0)+IF(AND(V418&gt;=40,V418&lt;75,W418&gt;=75,W418&lt;120),0.17,0)+IF(AND(V418&gt;=40,V418&lt;75,W418&gt;=120),0.12,0)+IF(AND(V418&gt;=75,V418&lt;175,W418&lt;35),0.23,0)+IF(AND(V418&gt;=75,V418&lt;=175,W418&gt;=35,W418&lt;65),0.2,0)+IF(AND(V418&gt;=75,V418&lt;=175,W418&gt;=65,W418&lt;110),0.17,0)+IF(AND(V418&gt;=75,V418&lt;=175,W418&gt;=110),0.12,0)+IF(AND(V418&gt;175,W418&lt;25),0.23,0)+IF(AND(V418&gt;175,W418&gt;=25,W418&lt;55),0.2,0)+IF(AND(V418&gt;175,W418&gt;=55,W418&lt;95),0.17,0)+IF(AND(V418&gt;175,W418&gt;=95),0.12,0),
IF(AF418="DoEVs1",IF(AND(V418&lt;20,W418&lt;55),0.3,0)+IF(AND(V418&lt;20,W418&gt;=55,W418&lt;105),0.23,0)+IF(AND(V418&lt;20,W418&gt;=105),0.17,0)+IF(AND(V418&gt;=20,V418&lt;40,W418&lt;45),0.3,0)+IF(AND(V418&gt;=20,V418&lt;40,W418&gt;=45,W418&lt;95),0.23,0)+IF(AND(V418&gt;=20,V418&lt;40,W418&gt;=95,W418&lt;=150),0.17,0)+IF(AND(V418&gt;=20,V418&lt;40,W418&gt;=150),0.12,0)+IF(AND(V418&gt;=40,V418&lt;75,W418&lt;35),0.3,0)+IF(AND(V418&gt;=40,V418&lt;75,W418&gt;=35,W418&lt;75),0.23,0)+IF(AND(V418&gt;=40,V418&lt;75,W418&gt;=75,W418&lt;120),0.17,0)+IF(AND(V418&gt;=40,V418&lt;75,W418&gt;=120),0.12,0)+IF(AND(V418&gt;=75,V418&lt;175,W418&lt;35),0.3,0)+IF(AND(V418&gt;=75,V418&lt;=175,W418&gt;=35,W418&lt;65),0.23,0)+IF(AND(V418&gt;=75,V418&lt;=175,W418&gt;=65,W418&lt;110),0.17,0)+IF(AND(V418&gt;=75,V418&lt;=175,W418&gt;=110),0.12,0)+IF(AND(V418&gt;175,W418&lt;25),0.3,0)+IF(AND(V418&gt;175,W418&gt;=25,W418&lt;55),0.23,0)+IF(AND(V418&gt;175,W418&gt;=55,W418&lt;95),0.17,0)+IF(AND(V418&gt;175,W418&gt;=95),0.12,0),
IF(AF418="DoEVsu",IF(AND(V418&lt;20,W418&lt;55),0.3,0)+IF(AND(V418&lt;20,W418&gt;=55,W418&lt;105),0.23,0)+IF(AND(V418&lt;20,W418&gt;=105),0.17,0)+IF(AND(V418&gt;=20,V418&lt;40,W418&lt;45),0.3,0)+IF(AND(V418&gt;=20,V418&lt;40,W418&gt;=45,W418&lt;95),0.23,0)+IF(AND(V418&gt;=20,V418&lt;40,W418&gt;=95,W418&lt;=250),0.17,0)+IF(AND(V418&gt;=20,V418&lt;40,W418&gt;=250),0.12,0)+IF(AND(V418&gt;=40,V418&lt;75,W418&lt;35),0.3,0)+IF(AND(V418&gt;=40,V418&lt;75,W418&gt;=35,W418&lt;75),0.23,0)+IF(AND(V418&gt;=40,V418&lt;75,W418&gt;=75,W418&lt;120),0.17,0)+IF(AND(V418&gt;=40,V418&lt;75,W418&gt;=120),0.12,0)+IF(AND(V418&gt;=75,V418&lt;175,W418&lt;35),0.3,0)+IF(AND(V418&gt;=75,V418&lt;=175,W418&gt;=35,W418&lt;65),0.23,0)+IF(AND(V418&gt;=75,V418&lt;=175,W418&gt;=65,W418&lt;110),0.17,0)+IF(AND(V418&gt;=75,V418&lt;=175,W418&gt;=110),0.12,0)+IF(AND(V418&gt;175,W418&lt;25),0.3,0)+IF(AND(V418&gt;175,W418&gt;=25,W418&lt;55),0.23,0)+IF(AND(V418&gt;175,W418&gt;=55,W418&lt;95),0.17,0)+IF(AND(V418&gt;175,W418&gt;=95),0.12,0),
IF(AF418="DoEVni",IF(AND(V418&lt;20,W418&lt;55),0.3,0)+IF(AND(V418&lt;20,W418&gt;=55,W418&lt;105),0.23,0)+IF(AND(V418&lt;20,W418&gt;=105),0.17,0)+IF(AND(V418&gt;=20,V418&lt;40,W418&lt;45),0.3,0)+IF(AND(V418&gt;=20,V418&lt;40,W418&gt;=45,W418&lt;95),0.23,0)+IF(AND(V418&gt;=20,V418&lt;40,W418&gt;=95,W418&lt;=200),0.17,0)+IF(AND(V418&gt;=20,V418&lt;40,W418&gt;=200),0.12,0)+IF(AND(V418&gt;=40,V418&lt;75,W418&lt;35),0.3,0)+IF(AND(V418&gt;=40,V418&lt;75,W418&gt;=35,W418&lt;75),0.23,0)+IF(AND(V418&gt;=40,V418&lt;75,W418&gt;=75,W418&lt;120),0.17,0)+IF(AND(V418&gt;=40,V418&lt;75,W418&gt;=120),0.12,0)+IF(AND(V418&gt;=75,V418&lt;175,W418&lt;35),0.3,0)+IF(AND(V418&gt;=75,V418&lt;=175,W418&gt;=35,W418&lt;65),0.23,0)+IF(AND(V418&gt;=75,V418&lt;=175,W418&gt;=65,W418&lt;110),0.17,0)+IF(AND(V418&gt;=75,V418&lt;=175,W418&gt;=110),0.12,0)+IF(AND(V418&gt;175,W418&lt;25),0.3,0)+IF(AND(V418&gt;175,W418&gt;=25,W418&lt;55),0.23,0)+IF(AND(V418&gt;175,W418&gt;=55,W418&lt;95),0.17,0)+IF(AND(V418&gt;175,W418&gt;=95),0.12,0),
IF(AF418="DoEVLo",IF(AND(V418&lt;20,W418&lt;55),0.25,0)+IF(AND(V418&lt;20,W418&gt;=55,W418&lt;105),0.2,0)+IF(AND(V418&lt;20,W418&gt;=105),0.15,0)+IF(AND(V418&gt;=20,V418&lt;40,W418&lt;45),0.25,0)+IF(AND(V418&gt;=20,V418&lt;40,W418&gt;=45,W418&lt;95),0.2,0)+IF(AND(V418&gt;=20,V418&lt;40,W418&gt;=95),0.15,0)+IF(AND(V418&gt;=40,V418&lt;75,W418&lt;35),0.25,0)+IF(AND(V418&gt;=40,V418&lt;75,W418&gt;=35,W418&lt;75),0.2,0)+IF(AND(V418&gt;=40,V418&lt;75,W418&gt;=75,W418&lt;120),0.15,0)+IF(AND(V418&gt;=40,V418&lt;75,W418&gt;=120),0.1,0)+IF(AND(V418&gt;=75,V418&lt;175,W418&lt;35),0.25,0)+IF(AND(V418&gt;=75,V418&lt;=175,W418&gt;=35,W418&lt;65),0.2,0)+IF(AND(V418&gt;=75,V418&lt;=175,W418&gt;=65,W418&lt;110),0.15,0)+IF(AND(V418&gt;=75,V418&lt;=175,W418&gt;=110),0.1,0)+IF(AND(V418&gt;175,W418&lt;25),0.25,0)+IF(AND(V418&gt;175,W418&gt;=25,W418&lt;55),0.2,0)+IF(AND(V418&gt;175,W418&gt;=55,W418&lt;95),0.15,0)+IF(AND(V418&gt;175,W418&gt;=95),0.1,0))))))))))))))))</f>
        <v>0.3</v>
      </c>
      <c r="Y418" s="30">
        <f>IF(AG418="None",0,IF(AG418="Fix5",0.05,IF(AG418="Fix3.75",0.0375,IF(AG418="Fix10",0.1,IF(AG418="Fix3",0.03,0)))))</f>
        <v>0</v>
      </c>
      <c r="Z418" s="35">
        <f>T418-AA418-AB418</f>
        <v>112</v>
      </c>
      <c r="AA418" s="29">
        <f>IF(AD418="EUR",((T418-R418)*X418)*U418+(R418*X418),(T418*X418))</f>
        <v>48</v>
      </c>
      <c r="AB418" s="36">
        <f>IF(AD418="EUR",((T418-R418)*Y418)*U418+(R418*Y418),(T418*Y418))</f>
        <v>0</v>
      </c>
      <c r="AC418" s="37" t="b">
        <v>1</v>
      </c>
      <c r="AD418" s="37" t="s">
        <v>38</v>
      </c>
      <c r="AE418" s="37" t="s">
        <v>38</v>
      </c>
      <c r="AF418" s="37" t="str">
        <f t="array" ref="AF418">INDEX('Deal Info'!D:D, MATCH(A418,'Deal Info'!A:A, 0))</f>
        <v>DoEV</v>
      </c>
      <c r="AG418" s="38" t="str">
        <f t="array" ref="AG418">INDEX('Deal Info'!G:G, MATCH(A418,'Deal Info'!A:A, 0))</f>
        <v>None</v>
      </c>
    </row>
    <row r="419" spans="1:33" ht="14.25" hidden="1" x14ac:dyDescent="0.2">
      <c r="A419" s="18" t="str">
        <f t="array" ref="A419">IF(G419='Room Info'!$B$1, INDEX('Room Info'!$A$2:$A2446, MATCH(B419,'Room Info'!$B$2:$B2446, 0)),IF(G419='Room Info'!$C$1, INDEX('Room Info'!$A$2:$A2446, MATCH(B419,'Room Info'!$C$2:$C2446, 0)),IF(G419='Room Info'!$D$1, INDEX('Room Info'!$A$2:$A2446, MATCH(B419,'Room Info'!$D$2:$D2446, 0)),IF(G419='Room Info'!$E$1, INDEX('Room Info'!$A$2:$A2446, MATCH(B419,'Room Info'!$E$2:$E2446, 0)),IF(G419='Room Info'!$F$1, INDEX('Room Info'!$A$2:$A2446, MATCH(B419,'Room Info'!$F$2:$F2446, 0)),IF(G419='Room Info'!$H$1, INDEX('Room Info'!$A$2:$A2446, MATCH(B419,'Room Info'!$H$2:$H2446, 0)),IF(G419='Room Info'!$G$1, INDEX('Room Info'!$A$2:$A2446, MATCH(B419,'Room Info'!$G$2:$G2446, 0)))))))))</f>
        <v>CrippledMind</v>
      </c>
      <c r="B419" s="45" t="s">
        <v>125</v>
      </c>
      <c r="C419" s="46">
        <v>44886</v>
      </c>
      <c r="D419" s="46">
        <v>44915</v>
      </c>
      <c r="E419" s="47">
        <v>44896</v>
      </c>
      <c r="F419" s="45" t="s">
        <v>34</v>
      </c>
      <c r="G419" s="54" t="s">
        <v>35</v>
      </c>
      <c r="H419" s="49" t="s">
        <v>39</v>
      </c>
      <c r="I419" s="49" t="s">
        <v>37</v>
      </c>
      <c r="J419" s="50">
        <v>5</v>
      </c>
      <c r="K419" s="51">
        <v>210</v>
      </c>
      <c r="L419" s="52">
        <v>55</v>
      </c>
      <c r="M419" s="53">
        <v>114</v>
      </c>
      <c r="N419" s="28">
        <f>K419*J419</f>
        <v>1050</v>
      </c>
      <c r="O419" s="54">
        <v>19795</v>
      </c>
      <c r="P419" s="29">
        <v>94.261904759999993</v>
      </c>
      <c r="Q419" s="55"/>
      <c r="R419" s="31">
        <f>M419+Q419</f>
        <v>114</v>
      </c>
      <c r="S419" s="56">
        <v>87</v>
      </c>
      <c r="T419" s="32">
        <f>R419+S419+IF(F419="Without EV deal",L419,0)</f>
        <v>201</v>
      </c>
      <c r="U419" s="57">
        <v>1</v>
      </c>
      <c r="V419" s="69">
        <v>8.7432567432567438</v>
      </c>
      <c r="W419" s="69">
        <v>32.825297074954292</v>
      </c>
      <c r="X419" s="30">
        <f>IF(AF419="DoEV",IF(AND(V419&lt;20,W419&lt;55),0.3,0)+IF(AND(V419&lt;20,W419&gt;=55,W419&lt;105),0.23,0)+IF(AND(V419&lt;20,W419&gt;=105),0.17,0)+IF(AND(V419&gt;=20,V419&lt;40,W419&lt;45),0.3,0)+IF(AND(V419&gt;=20,V419&lt;40,W419&gt;=45,W419&lt;95),0.23,0)+IF(AND(V419&gt;=20,V419&lt;40,W419&gt;=95),0.17,0)+IF(AND(V419&gt;=40,V419&lt;75,W419&lt;35),0.3,0)+IF(AND(V419&gt;=40,V419&lt;75,W419&gt;=35,W419&lt;75),0.23,0)+IF(AND(V419&gt;=40,V419&lt;75,W419&gt;=75,W419&lt;120),0.17,0)+IF(AND(V419&gt;=40,V419&lt;75,W419&gt;=120),0.12,0)+IF(AND(V419&gt;=75,V419&lt;175,W419&lt;35),0.3,0)+IF(AND(V419&gt;=75,V419&lt;=175,W419&gt;=35,W419&lt;65),0.23,0)+IF(AND(V419&gt;=75,V419&lt;=175,W419&gt;=65,W419&lt;110),0.17,0)+IF(AND(V419&gt;=75,V419&lt;=175,W419&gt;=110),0.12,0)+IF(AND(V419&gt;175,W419&lt;25),0.3,0)+IF(AND(V419&gt;175,W419&gt;=25,W419&lt;55),0.23,0)+IF(AND(V419&gt;175,W419&gt;=55,W419&lt;95),0.17,0)+IF(AND(V419&gt;175,W419&gt;=95),0.12,0),
IF(AF419="Fix15",0.15,
IF(AF419="Fix11.25",0.1125,
IF(AF419="Fix10",0.1,
IF(AF419="Fix9",0.09,
IF(AF419="DoEV2017",IF(AND(W419&lt;74),0.2,0)+IF(AND(W419&gt;=74),0.17,0),
IF(AF419="SF",IF(AND(V419&lt;20,W419&lt;89),0.3,0)+IF(AND(V419&lt;20,W419&gt;=89),0.25,0)+IF(AND(V419&gt;=20,V419&lt;40,W419&lt;74),0.3,0)+IF(AND(V419&gt;=20,V419&lt;40,W419&gt;=75),0.22,0)+IF(AND(V419&gt;=40,V419&lt;75,W419&lt;75),0.26,0)+IF(AND(V419&gt;=40,V419&lt;75,W419&gt;=75),0.22,0)+IF(V419&gt;=75,0.22,0),
IF(AF419="DoEVold",IF(AND(V419&lt;40,W419&lt;35),0.35,0)+IF(AND(V419&lt;40,W419&gt;=35,W419&lt;75),0.25,0)+IF(AND(V419&lt;40,W419&gt;=75),0.17,0)+IF(AND(V419&gt;=40,V419&lt;75,W419&lt;25),0.35,0)+IF(AND(V419&gt;=40,V419&lt;75,W419&gt;=25,W419&lt;65),0.25,0)+IF(AND(V419&gt;=40,V419&lt;75,W419&gt;=65,W419&lt;100),0.17,0)+IF(AND(V419&gt;=40,V419&lt;75,W419&gt;=100),0.1,0)+IF(AND(V419&gt;=75,W419&lt;25),0.35,0)+IF(AND(V419&gt;=75,W419&gt;=25,W419&lt;60),0.25,0)+IF(AND(V419&gt;=75,W419&gt;=60,W419&lt;95),0.17,0)+IF(AND(V419&gt;=75,W419&gt;=95),0.1,0),
IF(AF419="DoEVold15",IF(AND(V419&lt;=40,W419&lt;35),0.35,0)+IF(AND(V419&lt;=40,W419&gt;=35,W419&lt;75),0.25,0)+IF(AND(V419&lt;=40,W419&gt;=75,W419&lt;120),0.17,0)+IF(AND(V419&lt;=40,W419&gt;=120),0.15,0)+IF(AND(V419&gt;40,V419&lt;75,W419&lt;25),0.35,0)+IF(AND(V419&gt;=40,V419&lt;75,W419&gt;=25,W419&lt;65),0.25,0)+IF(AND(V419&gt;=40,V419&lt;75,W419&gt;=65,W419&lt;100),0.17,0)+IF(AND(V419&gt;=40,V419&lt;75,W419&gt;=100),0.1,0)+IF(AND(V419&gt;=75,W419&lt;25),0.35,0)+IF(AND(V419&gt;=75,W419&gt;=25,W419&lt;60),0.25,0)+IF(AND(V419&gt;=75,W419&gt;=60,W419&lt;95),0.17,0)+IF(AND(V419&gt;=75,W419&gt;=95),0.1,0),
IF(AF419="DoEVba",IF(AND(V419&lt;20,W419&lt;105),0.2,0)+IF(AND(V419&lt;20,W419&gt;=105),0.15,0)+IF(AND(V419&gt;=20,V419&lt;40,W419&lt;95),0.2,0)+IF(AND(V419&gt;=20,V419&lt;40,W419&gt;=95,W419&lt;150),0.15,0)+IF(AND(V419&gt;=20,V419&lt;40,W419&gt;=150),0.12,0)+IF(AND(V419&gt;=40,V419&lt;75,W419&lt;75),0.2,0)+IF(AND(V419&gt;=40,V419&lt;75,W419&gt;=75,W419&lt;120),0.15,0)+IF(AND(V419&gt;=40,V419&lt;75,W419&gt;=120),0.12,0)+IF(AND(V419&gt;=75,V419&lt;175,W419&lt;65),0.2,0)+IF(AND(V419&gt;=75,V419&lt;175,W419&gt;=65,W419&lt;110),0.15,0)+IF(AND(V419&gt;=75,V419&lt;175,W419&gt;=110),0.12,0)+IF(AND(V419&gt;=175,W419&lt;55),0.2,0)+IF(AND(V419&gt;=175,W419&gt;=55,W419&lt;95),0.15,0)+IF(AND(V419&gt;=175,W419&gt;=95),0.12,0),
IF(AF419="DoEVku",IF(AND(V419&lt;20,W419&lt;55),0.23,0)+IF(AND(V419&lt;20,W419&gt;=55,W419&lt;105),0.2,0)+IF(AND(V419&lt;20,W419&gt;=105),0.17,0)+IF(AND(V419&gt;=20,V419&lt;40,W419&lt;45),0.23,0)+IF(AND(V419&gt;=20,V419&lt;40,W419&gt;=45,W419&lt;95),0.2,0)+IF(AND(V419&gt;=20,V419&lt;40,W419&gt;=95,W419&lt;=150),0.17,0)+IF(AND(V419&gt;=20,V419&lt;40,W419&gt;=150),0.12,0)+IF(AND(V419&gt;=40,V419&lt;75,W419&lt;35),0.23,0)+IF(AND(V419&gt;=40,V419&lt;75,W419&gt;=35,W419&lt;75),0.2,0)+IF(AND(V419&gt;=40,V419&lt;75,W419&gt;=75,W419&lt;120),0.17,0)+IF(AND(V419&gt;=40,V419&lt;75,W419&gt;=120),0.12,0)+IF(AND(V419&gt;=75,V419&lt;175,W419&lt;35),0.23,0)+IF(AND(V419&gt;=75,V419&lt;=175,W419&gt;=35,W419&lt;65),0.2,0)+IF(AND(V419&gt;=75,V419&lt;=175,W419&gt;=65,W419&lt;110),0.17,0)+IF(AND(V419&gt;=75,V419&lt;=175,W419&gt;=110),0.12,0)+IF(AND(V419&gt;175,W419&lt;25),0.23,0)+IF(AND(V419&gt;175,W419&gt;=25,W419&lt;55),0.2,0)+IF(AND(V419&gt;175,W419&gt;=55,W419&lt;95),0.17,0)+IF(AND(V419&gt;175,W419&gt;=95),0.12,0),
IF(AF419="DoEVs1",IF(AND(V419&lt;20,W419&lt;55),0.3,0)+IF(AND(V419&lt;20,W419&gt;=55,W419&lt;105),0.23,0)+IF(AND(V419&lt;20,W419&gt;=105),0.17,0)+IF(AND(V419&gt;=20,V419&lt;40,W419&lt;45),0.3,0)+IF(AND(V419&gt;=20,V419&lt;40,W419&gt;=45,W419&lt;95),0.23,0)+IF(AND(V419&gt;=20,V419&lt;40,W419&gt;=95,W419&lt;=150),0.17,0)+IF(AND(V419&gt;=20,V419&lt;40,W419&gt;=150),0.12,0)+IF(AND(V419&gt;=40,V419&lt;75,W419&lt;35),0.3,0)+IF(AND(V419&gt;=40,V419&lt;75,W419&gt;=35,W419&lt;75),0.23,0)+IF(AND(V419&gt;=40,V419&lt;75,W419&gt;=75,W419&lt;120),0.17,0)+IF(AND(V419&gt;=40,V419&lt;75,W419&gt;=120),0.12,0)+IF(AND(V419&gt;=75,V419&lt;175,W419&lt;35),0.3,0)+IF(AND(V419&gt;=75,V419&lt;=175,W419&gt;=35,W419&lt;65),0.23,0)+IF(AND(V419&gt;=75,V419&lt;=175,W419&gt;=65,W419&lt;110),0.17,0)+IF(AND(V419&gt;=75,V419&lt;=175,W419&gt;=110),0.12,0)+IF(AND(V419&gt;175,W419&lt;25),0.3,0)+IF(AND(V419&gt;175,W419&gt;=25,W419&lt;55),0.23,0)+IF(AND(V419&gt;175,W419&gt;=55,W419&lt;95),0.17,0)+IF(AND(V419&gt;175,W419&gt;=95),0.12,0),
IF(AF419="DoEVsu",IF(AND(V419&lt;20,W419&lt;55),0.3,0)+IF(AND(V419&lt;20,W419&gt;=55,W419&lt;105),0.23,0)+IF(AND(V419&lt;20,W419&gt;=105),0.17,0)+IF(AND(V419&gt;=20,V419&lt;40,W419&lt;45),0.3,0)+IF(AND(V419&gt;=20,V419&lt;40,W419&gt;=45,W419&lt;95),0.23,0)+IF(AND(V419&gt;=20,V419&lt;40,W419&gt;=95,W419&lt;=250),0.17,0)+IF(AND(V419&gt;=20,V419&lt;40,W419&gt;=250),0.12,0)+IF(AND(V419&gt;=40,V419&lt;75,W419&lt;35),0.3,0)+IF(AND(V419&gt;=40,V419&lt;75,W419&gt;=35,W419&lt;75),0.23,0)+IF(AND(V419&gt;=40,V419&lt;75,W419&gt;=75,W419&lt;120),0.17,0)+IF(AND(V419&gt;=40,V419&lt;75,W419&gt;=120),0.12,0)+IF(AND(V419&gt;=75,V419&lt;175,W419&lt;35),0.3,0)+IF(AND(V419&gt;=75,V419&lt;=175,W419&gt;=35,W419&lt;65),0.23,0)+IF(AND(V419&gt;=75,V419&lt;=175,W419&gt;=65,W419&lt;110),0.17,0)+IF(AND(V419&gt;=75,V419&lt;=175,W419&gt;=110),0.12,0)+IF(AND(V419&gt;175,W419&lt;25),0.3,0)+IF(AND(V419&gt;175,W419&gt;=25,W419&lt;55),0.23,0)+IF(AND(V419&gt;175,W419&gt;=55,W419&lt;95),0.17,0)+IF(AND(V419&gt;175,W419&gt;=95),0.12,0),
IF(AF419="DoEVni",IF(AND(V419&lt;20,W419&lt;55),0.3,0)+IF(AND(V419&lt;20,W419&gt;=55,W419&lt;105),0.23,0)+IF(AND(V419&lt;20,W419&gt;=105),0.17,0)+IF(AND(V419&gt;=20,V419&lt;40,W419&lt;45),0.3,0)+IF(AND(V419&gt;=20,V419&lt;40,W419&gt;=45,W419&lt;95),0.23,0)+IF(AND(V419&gt;=20,V419&lt;40,W419&gt;=95,W419&lt;=200),0.17,0)+IF(AND(V419&gt;=20,V419&lt;40,W419&gt;=200),0.12,0)+IF(AND(V419&gt;=40,V419&lt;75,W419&lt;35),0.3,0)+IF(AND(V419&gt;=40,V419&lt;75,W419&gt;=35,W419&lt;75),0.23,0)+IF(AND(V419&gt;=40,V419&lt;75,W419&gt;=75,W419&lt;120),0.17,0)+IF(AND(V419&gt;=40,V419&lt;75,W419&gt;=120),0.12,0)+IF(AND(V419&gt;=75,V419&lt;175,W419&lt;35),0.3,0)+IF(AND(V419&gt;=75,V419&lt;=175,W419&gt;=35,W419&lt;65),0.23,0)+IF(AND(V419&gt;=75,V419&lt;=175,W419&gt;=65,W419&lt;110),0.17,0)+IF(AND(V419&gt;=75,V419&lt;=175,W419&gt;=110),0.12,0)+IF(AND(V419&gt;175,W419&lt;25),0.3,0)+IF(AND(V419&gt;175,W419&gt;=25,W419&lt;55),0.23,0)+IF(AND(V419&gt;175,W419&gt;=55,W419&lt;95),0.17,0)+IF(AND(V419&gt;175,W419&gt;=95),0.12,0),
IF(AF419="DoEVLo",IF(AND(V419&lt;20,W419&lt;55),0.25,0)+IF(AND(V419&lt;20,W419&gt;=55,W419&lt;105),0.2,0)+IF(AND(V419&lt;20,W419&gt;=105),0.15,0)+IF(AND(V419&gt;=20,V419&lt;40,W419&lt;45),0.25,0)+IF(AND(V419&gt;=20,V419&lt;40,W419&gt;=45,W419&lt;95),0.2,0)+IF(AND(V419&gt;=20,V419&lt;40,W419&gt;=95),0.15,0)+IF(AND(V419&gt;=40,V419&lt;75,W419&lt;35),0.25,0)+IF(AND(V419&gt;=40,V419&lt;75,W419&gt;=35,W419&lt;75),0.2,0)+IF(AND(V419&gt;=40,V419&lt;75,W419&gt;=75,W419&lt;120),0.15,0)+IF(AND(V419&gt;=40,V419&lt;75,W419&gt;=120),0.1,0)+IF(AND(V419&gt;=75,V419&lt;175,W419&lt;35),0.25,0)+IF(AND(V419&gt;=75,V419&lt;=175,W419&gt;=35,W419&lt;65),0.2,0)+IF(AND(V419&gt;=75,V419&lt;=175,W419&gt;=65,W419&lt;110),0.15,0)+IF(AND(V419&gt;=75,V419&lt;=175,W419&gt;=110),0.1,0)+IF(AND(V419&gt;175,W419&lt;25),0.25,0)+IF(AND(V419&gt;175,W419&gt;=25,W419&lt;55),0.2,0)+IF(AND(V419&gt;175,W419&gt;=55,W419&lt;95),0.15,0)+IF(AND(V419&gt;175,W419&gt;=95),0.1,0))))))))))))))))</f>
        <v>0.3</v>
      </c>
      <c r="Y419" s="30">
        <f>IF(AG419="None",0,IF(AG419="Fix5",0.05,IF(AG419="Fix3.75",0.0375,IF(AG419="Fix10",0.1,IF(AG419="Fix3",0.03,0)))))</f>
        <v>0</v>
      </c>
      <c r="Z419" s="35">
        <f>T419-AA419-AB419</f>
        <v>140.69999999999999</v>
      </c>
      <c r="AA419" s="29">
        <f>IF(AD419="EUR",((T419-R419)*X419)*U419+(R419*X419),(T419*X419))</f>
        <v>60.3</v>
      </c>
      <c r="AB419" s="36">
        <f>IF(AD419="EUR",((T419-R419)*Y419)*U419+(R419*Y419),(T419*Y419))</f>
        <v>0</v>
      </c>
      <c r="AC419" s="37" t="b">
        <v>1</v>
      </c>
      <c r="AD419" s="37" t="s">
        <v>38</v>
      </c>
      <c r="AE419" s="37" t="s">
        <v>38</v>
      </c>
      <c r="AF419" s="37" t="str">
        <f t="array" ref="AF419">INDEX('Deal Info'!D:D, MATCH(A419,'Deal Info'!A:A, 0))</f>
        <v>DoEV</v>
      </c>
      <c r="AG419" s="38" t="str">
        <f t="array" ref="AG419">INDEX('Deal Info'!G:G, MATCH(A419,'Deal Info'!A:A, 0))</f>
        <v>None</v>
      </c>
    </row>
    <row r="420" spans="1:33" ht="14.25" hidden="1" x14ac:dyDescent="0.2">
      <c r="A420" s="18" t="str">
        <f t="array" ref="A420">IF(G420='Room Info'!$B$1, INDEX('Room Info'!$A$2:$A2446, MATCH(B420,'Room Info'!$B$2:$B2446, 0)),IF(G420='Room Info'!$C$1, INDEX('Room Info'!$A$2:$A2446, MATCH(B420,'Room Info'!$C$2:$C2446, 0)),IF(G420='Room Info'!$D$1, INDEX('Room Info'!$A$2:$A2446, MATCH(B420,'Room Info'!$D$2:$D2446, 0)),IF(G420='Room Info'!$E$1, INDEX('Room Info'!$A$2:$A2446, MATCH(B420,'Room Info'!$E$2:$E2446, 0)),IF(G420='Room Info'!$F$1, INDEX('Room Info'!$A$2:$A2446, MATCH(B420,'Room Info'!$F$2:$F2446, 0)),IF(G420='Room Info'!$H$1, INDEX('Room Info'!$A$2:$A2446, MATCH(B420,'Room Info'!$H$2:$H2446, 0)),IF(G420='Room Info'!$G$1, INDEX('Room Info'!$A$2:$A2446, MATCH(B420,'Room Info'!$G$2:$G2446, 0)))))))))</f>
        <v>CrippledMind</v>
      </c>
      <c r="B420" s="45" t="s">
        <v>125</v>
      </c>
      <c r="C420" s="46">
        <v>44886</v>
      </c>
      <c r="D420" s="46">
        <v>44915</v>
      </c>
      <c r="E420" s="47">
        <v>44896</v>
      </c>
      <c r="F420" s="45" t="s">
        <v>34</v>
      </c>
      <c r="G420" s="54" t="s">
        <v>35</v>
      </c>
      <c r="H420" s="49" t="s">
        <v>40</v>
      </c>
      <c r="I420" s="49" t="s">
        <v>37</v>
      </c>
      <c r="J420" s="50">
        <v>10</v>
      </c>
      <c r="K420" s="51">
        <v>439</v>
      </c>
      <c r="L420" s="52">
        <v>-290</v>
      </c>
      <c r="M420" s="53">
        <v>31</v>
      </c>
      <c r="N420" s="28">
        <f>K420*J420</f>
        <v>4390</v>
      </c>
      <c r="O420" s="54">
        <v>10098</v>
      </c>
      <c r="P420" s="29">
        <v>23.002277899999999</v>
      </c>
      <c r="Q420" s="55"/>
      <c r="R420" s="31">
        <f>M420+Q420</f>
        <v>31</v>
      </c>
      <c r="S420" s="56">
        <v>-139</v>
      </c>
      <c r="T420" s="32">
        <f>R420+S420+IF(F420="Without EV deal",L420,0)</f>
        <v>-108</v>
      </c>
      <c r="U420" s="57">
        <v>1</v>
      </c>
      <c r="V420" s="69">
        <v>8.7432567432567438</v>
      </c>
      <c r="W420" s="69">
        <v>32.825297074954292</v>
      </c>
      <c r="X420" s="30">
        <f>IF(AF420="DoEV",IF(AND(V420&lt;20,W420&lt;55),0.3,0)+IF(AND(V420&lt;20,W420&gt;=55,W420&lt;105),0.23,0)+IF(AND(V420&lt;20,W420&gt;=105),0.17,0)+IF(AND(V420&gt;=20,V420&lt;40,W420&lt;45),0.3,0)+IF(AND(V420&gt;=20,V420&lt;40,W420&gt;=45,W420&lt;95),0.23,0)+IF(AND(V420&gt;=20,V420&lt;40,W420&gt;=95),0.17,0)+IF(AND(V420&gt;=40,V420&lt;75,W420&lt;35),0.3,0)+IF(AND(V420&gt;=40,V420&lt;75,W420&gt;=35,W420&lt;75),0.23,0)+IF(AND(V420&gt;=40,V420&lt;75,W420&gt;=75,W420&lt;120),0.17,0)+IF(AND(V420&gt;=40,V420&lt;75,W420&gt;=120),0.12,0)+IF(AND(V420&gt;=75,V420&lt;175,W420&lt;35),0.3,0)+IF(AND(V420&gt;=75,V420&lt;=175,W420&gt;=35,W420&lt;65),0.23,0)+IF(AND(V420&gt;=75,V420&lt;=175,W420&gt;=65,W420&lt;110),0.17,0)+IF(AND(V420&gt;=75,V420&lt;=175,W420&gt;=110),0.12,0)+IF(AND(V420&gt;175,W420&lt;25),0.3,0)+IF(AND(V420&gt;175,W420&gt;=25,W420&lt;55),0.23,0)+IF(AND(V420&gt;175,W420&gt;=55,W420&lt;95),0.17,0)+IF(AND(V420&gt;175,W420&gt;=95),0.12,0),
IF(AF420="Fix15",0.15,
IF(AF420="Fix11.25",0.1125,
IF(AF420="Fix10",0.1,
IF(AF420="Fix9",0.09,
IF(AF420="DoEV2017",IF(AND(W420&lt;74),0.2,0)+IF(AND(W420&gt;=74),0.17,0),
IF(AF420="SF",IF(AND(V420&lt;20,W420&lt;89),0.3,0)+IF(AND(V420&lt;20,W420&gt;=89),0.25,0)+IF(AND(V420&gt;=20,V420&lt;40,W420&lt;74),0.3,0)+IF(AND(V420&gt;=20,V420&lt;40,W420&gt;=75),0.22,0)+IF(AND(V420&gt;=40,V420&lt;75,W420&lt;75),0.26,0)+IF(AND(V420&gt;=40,V420&lt;75,W420&gt;=75),0.22,0)+IF(V420&gt;=75,0.22,0),
IF(AF420="DoEVold",IF(AND(V420&lt;40,W420&lt;35),0.35,0)+IF(AND(V420&lt;40,W420&gt;=35,W420&lt;75),0.25,0)+IF(AND(V420&lt;40,W420&gt;=75),0.17,0)+IF(AND(V420&gt;=40,V420&lt;75,W420&lt;25),0.35,0)+IF(AND(V420&gt;=40,V420&lt;75,W420&gt;=25,W420&lt;65),0.25,0)+IF(AND(V420&gt;=40,V420&lt;75,W420&gt;=65,W420&lt;100),0.17,0)+IF(AND(V420&gt;=40,V420&lt;75,W420&gt;=100),0.1,0)+IF(AND(V420&gt;=75,W420&lt;25),0.35,0)+IF(AND(V420&gt;=75,W420&gt;=25,W420&lt;60),0.25,0)+IF(AND(V420&gt;=75,W420&gt;=60,W420&lt;95),0.17,0)+IF(AND(V420&gt;=75,W420&gt;=95),0.1,0),
IF(AF420="DoEVold15",IF(AND(V420&lt;=40,W420&lt;35),0.35,0)+IF(AND(V420&lt;=40,W420&gt;=35,W420&lt;75),0.25,0)+IF(AND(V420&lt;=40,W420&gt;=75,W420&lt;120),0.17,0)+IF(AND(V420&lt;=40,W420&gt;=120),0.15,0)+IF(AND(V420&gt;40,V420&lt;75,W420&lt;25),0.35,0)+IF(AND(V420&gt;=40,V420&lt;75,W420&gt;=25,W420&lt;65),0.25,0)+IF(AND(V420&gt;=40,V420&lt;75,W420&gt;=65,W420&lt;100),0.17,0)+IF(AND(V420&gt;=40,V420&lt;75,W420&gt;=100),0.1,0)+IF(AND(V420&gt;=75,W420&lt;25),0.35,0)+IF(AND(V420&gt;=75,W420&gt;=25,W420&lt;60),0.25,0)+IF(AND(V420&gt;=75,W420&gt;=60,W420&lt;95),0.17,0)+IF(AND(V420&gt;=75,W420&gt;=95),0.1,0),
IF(AF420="DoEVba",IF(AND(V420&lt;20,W420&lt;105),0.2,0)+IF(AND(V420&lt;20,W420&gt;=105),0.15,0)+IF(AND(V420&gt;=20,V420&lt;40,W420&lt;95),0.2,0)+IF(AND(V420&gt;=20,V420&lt;40,W420&gt;=95,W420&lt;150),0.15,0)+IF(AND(V420&gt;=20,V420&lt;40,W420&gt;=150),0.12,0)+IF(AND(V420&gt;=40,V420&lt;75,W420&lt;75),0.2,0)+IF(AND(V420&gt;=40,V420&lt;75,W420&gt;=75,W420&lt;120),0.15,0)+IF(AND(V420&gt;=40,V420&lt;75,W420&gt;=120),0.12,0)+IF(AND(V420&gt;=75,V420&lt;175,W420&lt;65),0.2,0)+IF(AND(V420&gt;=75,V420&lt;175,W420&gt;=65,W420&lt;110),0.15,0)+IF(AND(V420&gt;=75,V420&lt;175,W420&gt;=110),0.12,0)+IF(AND(V420&gt;=175,W420&lt;55),0.2,0)+IF(AND(V420&gt;=175,W420&gt;=55,W420&lt;95),0.15,0)+IF(AND(V420&gt;=175,W420&gt;=95),0.12,0),
IF(AF420="DoEVku",IF(AND(V420&lt;20,W420&lt;55),0.23,0)+IF(AND(V420&lt;20,W420&gt;=55,W420&lt;105),0.2,0)+IF(AND(V420&lt;20,W420&gt;=105),0.17,0)+IF(AND(V420&gt;=20,V420&lt;40,W420&lt;45),0.23,0)+IF(AND(V420&gt;=20,V420&lt;40,W420&gt;=45,W420&lt;95),0.2,0)+IF(AND(V420&gt;=20,V420&lt;40,W420&gt;=95,W420&lt;=150),0.17,0)+IF(AND(V420&gt;=20,V420&lt;40,W420&gt;=150),0.12,0)+IF(AND(V420&gt;=40,V420&lt;75,W420&lt;35),0.23,0)+IF(AND(V420&gt;=40,V420&lt;75,W420&gt;=35,W420&lt;75),0.2,0)+IF(AND(V420&gt;=40,V420&lt;75,W420&gt;=75,W420&lt;120),0.17,0)+IF(AND(V420&gt;=40,V420&lt;75,W420&gt;=120),0.12,0)+IF(AND(V420&gt;=75,V420&lt;175,W420&lt;35),0.23,0)+IF(AND(V420&gt;=75,V420&lt;=175,W420&gt;=35,W420&lt;65),0.2,0)+IF(AND(V420&gt;=75,V420&lt;=175,W420&gt;=65,W420&lt;110),0.17,0)+IF(AND(V420&gt;=75,V420&lt;=175,W420&gt;=110),0.12,0)+IF(AND(V420&gt;175,W420&lt;25),0.23,0)+IF(AND(V420&gt;175,W420&gt;=25,W420&lt;55),0.2,0)+IF(AND(V420&gt;175,W420&gt;=55,W420&lt;95),0.17,0)+IF(AND(V420&gt;175,W420&gt;=95),0.12,0),
IF(AF420="DoEVs1",IF(AND(V420&lt;20,W420&lt;55),0.3,0)+IF(AND(V420&lt;20,W420&gt;=55,W420&lt;105),0.23,0)+IF(AND(V420&lt;20,W420&gt;=105),0.17,0)+IF(AND(V420&gt;=20,V420&lt;40,W420&lt;45),0.3,0)+IF(AND(V420&gt;=20,V420&lt;40,W420&gt;=45,W420&lt;95),0.23,0)+IF(AND(V420&gt;=20,V420&lt;40,W420&gt;=95,W420&lt;=150),0.17,0)+IF(AND(V420&gt;=20,V420&lt;40,W420&gt;=150),0.12,0)+IF(AND(V420&gt;=40,V420&lt;75,W420&lt;35),0.3,0)+IF(AND(V420&gt;=40,V420&lt;75,W420&gt;=35,W420&lt;75),0.23,0)+IF(AND(V420&gt;=40,V420&lt;75,W420&gt;=75,W420&lt;120),0.17,0)+IF(AND(V420&gt;=40,V420&lt;75,W420&gt;=120),0.12,0)+IF(AND(V420&gt;=75,V420&lt;175,W420&lt;35),0.3,0)+IF(AND(V420&gt;=75,V420&lt;=175,W420&gt;=35,W420&lt;65),0.23,0)+IF(AND(V420&gt;=75,V420&lt;=175,W420&gt;=65,W420&lt;110),0.17,0)+IF(AND(V420&gt;=75,V420&lt;=175,W420&gt;=110),0.12,0)+IF(AND(V420&gt;175,W420&lt;25),0.3,0)+IF(AND(V420&gt;175,W420&gt;=25,W420&lt;55),0.23,0)+IF(AND(V420&gt;175,W420&gt;=55,W420&lt;95),0.17,0)+IF(AND(V420&gt;175,W420&gt;=95),0.12,0),
IF(AF420="DoEVsu",IF(AND(V420&lt;20,W420&lt;55),0.3,0)+IF(AND(V420&lt;20,W420&gt;=55,W420&lt;105),0.23,0)+IF(AND(V420&lt;20,W420&gt;=105),0.17,0)+IF(AND(V420&gt;=20,V420&lt;40,W420&lt;45),0.3,0)+IF(AND(V420&gt;=20,V420&lt;40,W420&gt;=45,W420&lt;95),0.23,0)+IF(AND(V420&gt;=20,V420&lt;40,W420&gt;=95,W420&lt;=250),0.17,0)+IF(AND(V420&gt;=20,V420&lt;40,W420&gt;=250),0.12,0)+IF(AND(V420&gt;=40,V420&lt;75,W420&lt;35),0.3,0)+IF(AND(V420&gt;=40,V420&lt;75,W420&gt;=35,W420&lt;75),0.23,0)+IF(AND(V420&gt;=40,V420&lt;75,W420&gt;=75,W420&lt;120),0.17,0)+IF(AND(V420&gt;=40,V420&lt;75,W420&gt;=120),0.12,0)+IF(AND(V420&gt;=75,V420&lt;175,W420&lt;35),0.3,0)+IF(AND(V420&gt;=75,V420&lt;=175,W420&gt;=35,W420&lt;65),0.23,0)+IF(AND(V420&gt;=75,V420&lt;=175,W420&gt;=65,W420&lt;110),0.17,0)+IF(AND(V420&gt;=75,V420&lt;=175,W420&gt;=110),0.12,0)+IF(AND(V420&gt;175,W420&lt;25),0.3,0)+IF(AND(V420&gt;175,W420&gt;=25,W420&lt;55),0.23,0)+IF(AND(V420&gt;175,W420&gt;=55,W420&lt;95),0.17,0)+IF(AND(V420&gt;175,W420&gt;=95),0.12,0),
IF(AF420="DoEVni",IF(AND(V420&lt;20,W420&lt;55),0.3,0)+IF(AND(V420&lt;20,W420&gt;=55,W420&lt;105),0.23,0)+IF(AND(V420&lt;20,W420&gt;=105),0.17,0)+IF(AND(V420&gt;=20,V420&lt;40,W420&lt;45),0.3,0)+IF(AND(V420&gt;=20,V420&lt;40,W420&gt;=45,W420&lt;95),0.23,0)+IF(AND(V420&gt;=20,V420&lt;40,W420&gt;=95,W420&lt;=200),0.17,0)+IF(AND(V420&gt;=20,V420&lt;40,W420&gt;=200),0.12,0)+IF(AND(V420&gt;=40,V420&lt;75,W420&lt;35),0.3,0)+IF(AND(V420&gt;=40,V420&lt;75,W420&gt;=35,W420&lt;75),0.23,0)+IF(AND(V420&gt;=40,V420&lt;75,W420&gt;=75,W420&lt;120),0.17,0)+IF(AND(V420&gt;=40,V420&lt;75,W420&gt;=120),0.12,0)+IF(AND(V420&gt;=75,V420&lt;175,W420&lt;35),0.3,0)+IF(AND(V420&gt;=75,V420&lt;=175,W420&gt;=35,W420&lt;65),0.23,0)+IF(AND(V420&gt;=75,V420&lt;=175,W420&gt;=65,W420&lt;110),0.17,0)+IF(AND(V420&gt;=75,V420&lt;=175,W420&gt;=110),0.12,0)+IF(AND(V420&gt;175,W420&lt;25),0.3,0)+IF(AND(V420&gt;175,W420&gt;=25,W420&lt;55),0.23,0)+IF(AND(V420&gt;175,W420&gt;=55,W420&lt;95),0.17,0)+IF(AND(V420&gt;175,W420&gt;=95),0.12,0),
IF(AF420="DoEVLo",IF(AND(V420&lt;20,W420&lt;55),0.25,0)+IF(AND(V420&lt;20,W420&gt;=55,W420&lt;105),0.2,0)+IF(AND(V420&lt;20,W420&gt;=105),0.15,0)+IF(AND(V420&gt;=20,V420&lt;40,W420&lt;45),0.25,0)+IF(AND(V420&gt;=20,V420&lt;40,W420&gt;=45,W420&lt;95),0.2,0)+IF(AND(V420&gt;=20,V420&lt;40,W420&gt;=95),0.15,0)+IF(AND(V420&gt;=40,V420&lt;75,W420&lt;35),0.25,0)+IF(AND(V420&gt;=40,V420&lt;75,W420&gt;=35,W420&lt;75),0.2,0)+IF(AND(V420&gt;=40,V420&lt;75,W420&gt;=75,W420&lt;120),0.15,0)+IF(AND(V420&gt;=40,V420&lt;75,W420&gt;=120),0.1,0)+IF(AND(V420&gt;=75,V420&lt;175,W420&lt;35),0.25,0)+IF(AND(V420&gt;=75,V420&lt;=175,W420&gt;=35,W420&lt;65),0.2,0)+IF(AND(V420&gt;=75,V420&lt;=175,W420&gt;=65,W420&lt;110),0.15,0)+IF(AND(V420&gt;=75,V420&lt;=175,W420&gt;=110),0.1,0)+IF(AND(V420&gt;175,W420&lt;25),0.25,0)+IF(AND(V420&gt;175,W420&gt;=25,W420&lt;55),0.2,0)+IF(AND(V420&gt;175,W420&gt;=55,W420&lt;95),0.15,0)+IF(AND(V420&gt;175,W420&gt;=95),0.1,0))))))))))))))))</f>
        <v>0.3</v>
      </c>
      <c r="Y420" s="30">
        <f>IF(AG420="None",0,IF(AG420="Fix5",0.05,IF(AG420="Fix3.75",0.0375,IF(AG420="Fix10",0.1,IF(AG420="Fix3",0.03,0)))))</f>
        <v>0</v>
      </c>
      <c r="Z420" s="35">
        <f>T420-AA420-AB420</f>
        <v>-75.599999999999994</v>
      </c>
      <c r="AA420" s="29">
        <f>IF(AD420="EUR",((T420-R420)*X420)*U420+(R420*X420),(T420*X420))</f>
        <v>-32.4</v>
      </c>
      <c r="AB420" s="36">
        <f>IF(AD420="EUR",((T420-R420)*Y420)*U420+(R420*Y420),(T420*Y420))</f>
        <v>0</v>
      </c>
      <c r="AC420" s="37" t="b">
        <v>1</v>
      </c>
      <c r="AD420" s="37" t="s">
        <v>38</v>
      </c>
      <c r="AE420" s="37" t="s">
        <v>38</v>
      </c>
      <c r="AF420" s="37" t="str">
        <f t="array" ref="AF420">INDEX('Deal Info'!D:D, MATCH(A420,'Deal Info'!A:A, 0))</f>
        <v>DoEV</v>
      </c>
      <c r="AG420" s="38" t="str">
        <f t="array" ref="AG420">INDEX('Deal Info'!G:G, MATCH(A420,'Deal Info'!A:A, 0))</f>
        <v>None</v>
      </c>
    </row>
    <row r="421" spans="1:33" ht="14.25" hidden="1" x14ac:dyDescent="0.2">
      <c r="A421" s="18" t="str">
        <f t="array" ref="A421">IF(G421='Room Info'!$B$1, INDEX('Room Info'!$A$2:$A2446, MATCH(B421,'Room Info'!$B$2:$B2446, 0)),IF(G421='Room Info'!$C$1, INDEX('Room Info'!$A$2:$A2446, MATCH(B421,'Room Info'!$C$2:$C2446, 0)),IF(G421='Room Info'!$D$1, INDEX('Room Info'!$A$2:$A2446, MATCH(B421,'Room Info'!$D$2:$D2446, 0)),IF(G421='Room Info'!$E$1, INDEX('Room Info'!$A$2:$A2446, MATCH(B421,'Room Info'!$E$2:$E2446, 0)),IF(G421='Room Info'!$F$1, INDEX('Room Info'!$A$2:$A2446, MATCH(B421,'Room Info'!$F$2:$F2446, 0)),IF(G421='Room Info'!$H$1, INDEX('Room Info'!$A$2:$A2446, MATCH(B421,'Room Info'!$H$2:$H2446, 0)),IF(G421='Room Info'!$G$1, INDEX('Room Info'!$A$2:$A2446, MATCH(B421,'Room Info'!$G$2:$G2446, 0)))))))))</f>
        <v>CrippledMind</v>
      </c>
      <c r="B421" s="45" t="s">
        <v>125</v>
      </c>
      <c r="C421" s="46">
        <v>44886</v>
      </c>
      <c r="D421" s="46">
        <v>44915</v>
      </c>
      <c r="E421" s="47">
        <v>44896</v>
      </c>
      <c r="F421" s="48" t="s">
        <v>41</v>
      </c>
      <c r="G421" s="45" t="s">
        <v>35</v>
      </c>
      <c r="H421" s="49" t="s">
        <v>36</v>
      </c>
      <c r="I421" s="49" t="s">
        <v>37</v>
      </c>
      <c r="J421" s="70">
        <v>2</v>
      </c>
      <c r="K421" s="71">
        <v>26</v>
      </c>
      <c r="L421" s="52">
        <v>6</v>
      </c>
      <c r="M421" s="53">
        <v>2</v>
      </c>
      <c r="N421" s="28">
        <f>K421*J421</f>
        <v>52</v>
      </c>
      <c r="O421" s="65"/>
      <c r="P421" s="29">
        <v>0</v>
      </c>
      <c r="Q421" s="55"/>
      <c r="R421" s="31">
        <f>M421+Q421</f>
        <v>2</v>
      </c>
      <c r="S421" s="66"/>
      <c r="T421" s="32">
        <f>R421+S421+IF(F421="Without EV deal",L421,0)</f>
        <v>8</v>
      </c>
      <c r="U421" s="57">
        <v>1</v>
      </c>
      <c r="V421" s="69">
        <v>8.7432567432567438</v>
      </c>
      <c r="W421" s="69">
        <v>32.825297074954292</v>
      </c>
      <c r="X421" s="30">
        <f>IF(AF421="DoEV",IF(AND(V421&lt;20,W421&lt;55),0.3,0)+IF(AND(V421&lt;20,W421&gt;=55,W421&lt;105),0.23,0)+IF(AND(V421&lt;20,W421&gt;=105),0.17,0)+IF(AND(V421&gt;=20,V421&lt;40,W421&lt;45),0.3,0)+IF(AND(V421&gt;=20,V421&lt;40,W421&gt;=45,W421&lt;95),0.23,0)+IF(AND(V421&gt;=20,V421&lt;40,W421&gt;=95),0.17,0)+IF(AND(V421&gt;=40,V421&lt;75,W421&lt;35),0.3,0)+IF(AND(V421&gt;=40,V421&lt;75,W421&gt;=35,W421&lt;75),0.23,0)+IF(AND(V421&gt;=40,V421&lt;75,W421&gt;=75,W421&lt;120),0.17,0)+IF(AND(V421&gt;=40,V421&lt;75,W421&gt;=120),0.12,0)+IF(AND(V421&gt;=75,V421&lt;175,W421&lt;35),0.3,0)+IF(AND(V421&gt;=75,V421&lt;=175,W421&gt;=35,W421&lt;65),0.23,0)+IF(AND(V421&gt;=75,V421&lt;=175,W421&gt;=65,W421&lt;110),0.17,0)+IF(AND(V421&gt;=75,V421&lt;=175,W421&gt;=110),0.12,0)+IF(AND(V421&gt;175,W421&lt;25),0.3,0)+IF(AND(V421&gt;175,W421&gt;=25,W421&lt;55),0.23,0)+IF(AND(V421&gt;175,W421&gt;=55,W421&lt;95),0.17,0)+IF(AND(V421&gt;175,W421&gt;=95),0.12,0),
IF(AF421="Fix15",0.15,
IF(AF421="Fix11.25",0.1125,
IF(AF421="Fix10",0.1,
IF(AF421="Fix9",0.09,
IF(AF421="DoEV2017",IF(AND(W421&lt;74),0.2,0)+IF(AND(W421&gt;=74),0.17,0),
IF(AF421="SF",IF(AND(V421&lt;20,W421&lt;89),0.3,0)+IF(AND(V421&lt;20,W421&gt;=89),0.25,0)+IF(AND(V421&gt;=20,V421&lt;40,W421&lt;74),0.3,0)+IF(AND(V421&gt;=20,V421&lt;40,W421&gt;=75),0.22,0)+IF(AND(V421&gt;=40,V421&lt;75,W421&lt;75),0.26,0)+IF(AND(V421&gt;=40,V421&lt;75,W421&gt;=75),0.22,0)+IF(V421&gt;=75,0.22,0),
IF(AF421="DoEVold",IF(AND(V421&lt;40,W421&lt;35),0.35,0)+IF(AND(V421&lt;40,W421&gt;=35,W421&lt;75),0.25,0)+IF(AND(V421&lt;40,W421&gt;=75),0.17,0)+IF(AND(V421&gt;=40,V421&lt;75,W421&lt;25),0.35,0)+IF(AND(V421&gt;=40,V421&lt;75,W421&gt;=25,W421&lt;65),0.25,0)+IF(AND(V421&gt;=40,V421&lt;75,W421&gt;=65,W421&lt;100),0.17,0)+IF(AND(V421&gt;=40,V421&lt;75,W421&gt;=100),0.1,0)+IF(AND(V421&gt;=75,W421&lt;25),0.35,0)+IF(AND(V421&gt;=75,W421&gt;=25,W421&lt;60),0.25,0)+IF(AND(V421&gt;=75,W421&gt;=60,W421&lt;95),0.17,0)+IF(AND(V421&gt;=75,W421&gt;=95),0.1,0),
IF(AF421="DoEVold15",IF(AND(V421&lt;=40,W421&lt;35),0.35,0)+IF(AND(V421&lt;=40,W421&gt;=35,W421&lt;75),0.25,0)+IF(AND(V421&lt;=40,W421&gt;=75,W421&lt;120),0.17,0)+IF(AND(V421&lt;=40,W421&gt;=120),0.15,0)+IF(AND(V421&gt;40,V421&lt;75,W421&lt;25),0.35,0)+IF(AND(V421&gt;=40,V421&lt;75,W421&gt;=25,W421&lt;65),0.25,0)+IF(AND(V421&gt;=40,V421&lt;75,W421&gt;=65,W421&lt;100),0.17,0)+IF(AND(V421&gt;=40,V421&lt;75,W421&gt;=100),0.1,0)+IF(AND(V421&gt;=75,W421&lt;25),0.35,0)+IF(AND(V421&gt;=75,W421&gt;=25,W421&lt;60),0.25,0)+IF(AND(V421&gt;=75,W421&gt;=60,W421&lt;95),0.17,0)+IF(AND(V421&gt;=75,W421&gt;=95),0.1,0),
IF(AF421="DoEVba",IF(AND(V421&lt;20,W421&lt;105),0.2,0)+IF(AND(V421&lt;20,W421&gt;=105),0.15,0)+IF(AND(V421&gt;=20,V421&lt;40,W421&lt;95),0.2,0)+IF(AND(V421&gt;=20,V421&lt;40,W421&gt;=95,W421&lt;150),0.15,0)+IF(AND(V421&gt;=20,V421&lt;40,W421&gt;=150),0.12,0)+IF(AND(V421&gt;=40,V421&lt;75,W421&lt;75),0.2,0)+IF(AND(V421&gt;=40,V421&lt;75,W421&gt;=75,W421&lt;120),0.15,0)+IF(AND(V421&gt;=40,V421&lt;75,W421&gt;=120),0.12,0)+IF(AND(V421&gt;=75,V421&lt;175,W421&lt;65),0.2,0)+IF(AND(V421&gt;=75,V421&lt;175,W421&gt;=65,W421&lt;110),0.15,0)+IF(AND(V421&gt;=75,V421&lt;175,W421&gt;=110),0.12,0)+IF(AND(V421&gt;=175,W421&lt;55),0.2,0)+IF(AND(V421&gt;=175,W421&gt;=55,W421&lt;95),0.15,0)+IF(AND(V421&gt;=175,W421&gt;=95),0.12,0),
IF(AF421="DoEVku",IF(AND(V421&lt;20,W421&lt;55),0.23,0)+IF(AND(V421&lt;20,W421&gt;=55,W421&lt;105),0.2,0)+IF(AND(V421&lt;20,W421&gt;=105),0.17,0)+IF(AND(V421&gt;=20,V421&lt;40,W421&lt;45),0.23,0)+IF(AND(V421&gt;=20,V421&lt;40,W421&gt;=45,W421&lt;95),0.2,0)+IF(AND(V421&gt;=20,V421&lt;40,W421&gt;=95,W421&lt;=150),0.17,0)+IF(AND(V421&gt;=20,V421&lt;40,W421&gt;=150),0.12,0)+IF(AND(V421&gt;=40,V421&lt;75,W421&lt;35),0.23,0)+IF(AND(V421&gt;=40,V421&lt;75,W421&gt;=35,W421&lt;75),0.2,0)+IF(AND(V421&gt;=40,V421&lt;75,W421&gt;=75,W421&lt;120),0.17,0)+IF(AND(V421&gt;=40,V421&lt;75,W421&gt;=120),0.12,0)+IF(AND(V421&gt;=75,V421&lt;175,W421&lt;35),0.23,0)+IF(AND(V421&gt;=75,V421&lt;=175,W421&gt;=35,W421&lt;65),0.2,0)+IF(AND(V421&gt;=75,V421&lt;=175,W421&gt;=65,W421&lt;110),0.17,0)+IF(AND(V421&gt;=75,V421&lt;=175,W421&gt;=110),0.12,0)+IF(AND(V421&gt;175,W421&lt;25),0.23,0)+IF(AND(V421&gt;175,W421&gt;=25,W421&lt;55),0.2,0)+IF(AND(V421&gt;175,W421&gt;=55,W421&lt;95),0.17,0)+IF(AND(V421&gt;175,W421&gt;=95),0.12,0),
IF(AF421="DoEVs1",IF(AND(V421&lt;20,W421&lt;55),0.3,0)+IF(AND(V421&lt;20,W421&gt;=55,W421&lt;105),0.23,0)+IF(AND(V421&lt;20,W421&gt;=105),0.17,0)+IF(AND(V421&gt;=20,V421&lt;40,W421&lt;45),0.3,0)+IF(AND(V421&gt;=20,V421&lt;40,W421&gt;=45,W421&lt;95),0.23,0)+IF(AND(V421&gt;=20,V421&lt;40,W421&gt;=95,W421&lt;=150),0.17,0)+IF(AND(V421&gt;=20,V421&lt;40,W421&gt;=150),0.12,0)+IF(AND(V421&gt;=40,V421&lt;75,W421&lt;35),0.3,0)+IF(AND(V421&gt;=40,V421&lt;75,W421&gt;=35,W421&lt;75),0.23,0)+IF(AND(V421&gt;=40,V421&lt;75,W421&gt;=75,W421&lt;120),0.17,0)+IF(AND(V421&gt;=40,V421&lt;75,W421&gt;=120),0.12,0)+IF(AND(V421&gt;=75,V421&lt;175,W421&lt;35),0.3,0)+IF(AND(V421&gt;=75,V421&lt;=175,W421&gt;=35,W421&lt;65),0.23,0)+IF(AND(V421&gt;=75,V421&lt;=175,W421&gt;=65,W421&lt;110),0.17,0)+IF(AND(V421&gt;=75,V421&lt;=175,W421&gt;=110),0.12,0)+IF(AND(V421&gt;175,W421&lt;25),0.3,0)+IF(AND(V421&gt;175,W421&gt;=25,W421&lt;55),0.23,0)+IF(AND(V421&gt;175,W421&gt;=55,W421&lt;95),0.17,0)+IF(AND(V421&gt;175,W421&gt;=95),0.12,0),
IF(AF421="DoEVsu",IF(AND(V421&lt;20,W421&lt;55),0.3,0)+IF(AND(V421&lt;20,W421&gt;=55,W421&lt;105),0.23,0)+IF(AND(V421&lt;20,W421&gt;=105),0.17,0)+IF(AND(V421&gt;=20,V421&lt;40,W421&lt;45),0.3,0)+IF(AND(V421&gt;=20,V421&lt;40,W421&gt;=45,W421&lt;95),0.23,0)+IF(AND(V421&gt;=20,V421&lt;40,W421&gt;=95,W421&lt;=250),0.17,0)+IF(AND(V421&gt;=20,V421&lt;40,W421&gt;=250),0.12,0)+IF(AND(V421&gt;=40,V421&lt;75,W421&lt;35),0.3,0)+IF(AND(V421&gt;=40,V421&lt;75,W421&gt;=35,W421&lt;75),0.23,0)+IF(AND(V421&gt;=40,V421&lt;75,W421&gt;=75,W421&lt;120),0.17,0)+IF(AND(V421&gt;=40,V421&lt;75,W421&gt;=120),0.12,0)+IF(AND(V421&gt;=75,V421&lt;175,W421&lt;35),0.3,0)+IF(AND(V421&gt;=75,V421&lt;=175,W421&gt;=35,W421&lt;65),0.23,0)+IF(AND(V421&gt;=75,V421&lt;=175,W421&gt;=65,W421&lt;110),0.17,0)+IF(AND(V421&gt;=75,V421&lt;=175,W421&gt;=110),0.12,0)+IF(AND(V421&gt;175,W421&lt;25),0.3,0)+IF(AND(V421&gt;175,W421&gt;=25,W421&lt;55),0.23,0)+IF(AND(V421&gt;175,W421&gt;=55,W421&lt;95),0.17,0)+IF(AND(V421&gt;175,W421&gt;=95),0.12,0),
IF(AF421="DoEVni",IF(AND(V421&lt;20,W421&lt;55),0.3,0)+IF(AND(V421&lt;20,W421&gt;=55,W421&lt;105),0.23,0)+IF(AND(V421&lt;20,W421&gt;=105),0.17,0)+IF(AND(V421&gt;=20,V421&lt;40,W421&lt;45),0.3,0)+IF(AND(V421&gt;=20,V421&lt;40,W421&gt;=45,W421&lt;95),0.23,0)+IF(AND(V421&gt;=20,V421&lt;40,W421&gt;=95,W421&lt;=200),0.17,0)+IF(AND(V421&gt;=20,V421&lt;40,W421&gt;=200),0.12,0)+IF(AND(V421&gt;=40,V421&lt;75,W421&lt;35),0.3,0)+IF(AND(V421&gt;=40,V421&lt;75,W421&gt;=35,W421&lt;75),0.23,0)+IF(AND(V421&gt;=40,V421&lt;75,W421&gt;=75,W421&lt;120),0.17,0)+IF(AND(V421&gt;=40,V421&lt;75,W421&gt;=120),0.12,0)+IF(AND(V421&gt;=75,V421&lt;175,W421&lt;35),0.3,0)+IF(AND(V421&gt;=75,V421&lt;=175,W421&gt;=35,W421&lt;65),0.23,0)+IF(AND(V421&gt;=75,V421&lt;=175,W421&gt;=65,W421&lt;110),0.17,0)+IF(AND(V421&gt;=75,V421&lt;=175,W421&gt;=110),0.12,0)+IF(AND(V421&gt;175,W421&lt;25),0.3,0)+IF(AND(V421&gt;175,W421&gt;=25,W421&lt;55),0.23,0)+IF(AND(V421&gt;175,W421&gt;=55,W421&lt;95),0.17,0)+IF(AND(V421&gt;175,W421&gt;=95),0.12,0),
IF(AF421="DoEVLo",IF(AND(V421&lt;20,W421&lt;55),0.25,0)+IF(AND(V421&lt;20,W421&gt;=55,W421&lt;105),0.2,0)+IF(AND(V421&lt;20,W421&gt;=105),0.15,0)+IF(AND(V421&gt;=20,V421&lt;40,W421&lt;45),0.25,0)+IF(AND(V421&gt;=20,V421&lt;40,W421&gt;=45,W421&lt;95),0.2,0)+IF(AND(V421&gt;=20,V421&lt;40,W421&gt;=95),0.15,0)+IF(AND(V421&gt;=40,V421&lt;75,W421&lt;35),0.25,0)+IF(AND(V421&gt;=40,V421&lt;75,W421&gt;=35,W421&lt;75),0.2,0)+IF(AND(V421&gt;=40,V421&lt;75,W421&gt;=75,W421&lt;120),0.15,0)+IF(AND(V421&gt;=40,V421&lt;75,W421&gt;=120),0.1,0)+IF(AND(V421&gt;=75,V421&lt;175,W421&lt;35),0.25,0)+IF(AND(V421&gt;=75,V421&lt;=175,W421&gt;=35,W421&lt;65),0.2,0)+IF(AND(V421&gt;=75,V421&lt;=175,W421&gt;=65,W421&lt;110),0.15,0)+IF(AND(V421&gt;=75,V421&lt;=175,W421&gt;=110),0.1,0)+IF(AND(V421&gt;175,W421&lt;25),0.25,0)+IF(AND(V421&gt;175,W421&gt;=25,W421&lt;55),0.2,0)+IF(AND(V421&gt;175,W421&gt;=55,W421&lt;95),0.15,0)+IF(AND(V421&gt;175,W421&gt;=95),0.1,0))))))))))))))))</f>
        <v>0.3</v>
      </c>
      <c r="Y421" s="30">
        <f>IF(AG421="None",0,IF(AG421="Fix5",0.05,IF(AG421="Fix3.75",0.0375,IF(AG421="Fix10",0.1,IF(AG421="Fix3",0.03,0)))))</f>
        <v>0</v>
      </c>
      <c r="Z421" s="35">
        <f>T421-AA421-AB421</f>
        <v>5.6</v>
      </c>
      <c r="AA421" s="29">
        <f>IF(AD421="EUR",((T421-R421)*X421)*U421+(R421*X421),(T421*X421))</f>
        <v>2.4</v>
      </c>
      <c r="AB421" s="36">
        <f>IF(AD421="EUR",((T421-R421)*Y421)*U421+(R421*Y421),(T421*Y421))</f>
        <v>0</v>
      </c>
      <c r="AC421" s="37" t="b">
        <v>1</v>
      </c>
      <c r="AD421" s="37" t="s">
        <v>38</v>
      </c>
      <c r="AE421" s="37" t="s">
        <v>38</v>
      </c>
      <c r="AF421" s="37" t="str">
        <f t="array" ref="AF421">INDEX('Deal Info'!D:D, MATCH(A421,'Deal Info'!A:A, 0))</f>
        <v>DoEV</v>
      </c>
      <c r="AG421" s="38" t="str">
        <f t="array" ref="AG421">INDEX('Deal Info'!G:G, MATCH(A421,'Deal Info'!A:A, 0))</f>
        <v>None</v>
      </c>
    </row>
    <row r="422" spans="1:33" ht="14.25" hidden="1" x14ac:dyDescent="0.2">
      <c r="A422" s="18" t="str">
        <f t="array" ref="A422">IF(G422='Room Info'!$B$1, INDEX('Room Info'!$A$2:$A2446, MATCH(B422,'Room Info'!$B$2:$B2446, 0)),IF(G422='Room Info'!$C$1, INDEX('Room Info'!$A$2:$A2446, MATCH(B422,'Room Info'!$C$2:$C2446, 0)),IF(G422='Room Info'!$D$1, INDEX('Room Info'!$A$2:$A2446, MATCH(B422,'Room Info'!$D$2:$D2446, 0)),IF(G422='Room Info'!$E$1, INDEX('Room Info'!$A$2:$A2446, MATCH(B422,'Room Info'!$E$2:$E2446, 0)),IF(G422='Room Info'!$F$1, INDEX('Room Info'!$A$2:$A2446, MATCH(B422,'Room Info'!$F$2:$F2446, 0)),IF(G422='Room Info'!$H$1, INDEX('Room Info'!$A$2:$A2446, MATCH(B422,'Room Info'!$H$2:$H2446, 0)),IF(G422='Room Info'!$G$1, INDEX('Room Info'!$A$2:$A2446, MATCH(B422,'Room Info'!$G$2:$G2446, 0)))))))))</f>
        <v>CrippledMind</v>
      </c>
      <c r="B422" s="45" t="s">
        <v>125</v>
      </c>
      <c r="C422" s="46">
        <v>44916</v>
      </c>
      <c r="D422" s="46">
        <v>44946</v>
      </c>
      <c r="E422" s="47">
        <v>44927</v>
      </c>
      <c r="F422" s="48" t="s">
        <v>34</v>
      </c>
      <c r="G422" s="45" t="s">
        <v>35</v>
      </c>
      <c r="H422" s="49" t="s">
        <v>40</v>
      </c>
      <c r="I422" s="49" t="s">
        <v>37</v>
      </c>
      <c r="J422" s="70">
        <v>10</v>
      </c>
      <c r="K422" s="71">
        <v>326</v>
      </c>
      <c r="L422" s="52">
        <v>440</v>
      </c>
      <c r="M422" s="53">
        <v>75</v>
      </c>
      <c r="N422" s="28">
        <f>K422*J422</f>
        <v>3260</v>
      </c>
      <c r="O422" s="54">
        <v>18843</v>
      </c>
      <c r="P422" s="29">
        <v>57.800613499999997</v>
      </c>
      <c r="Q422" s="55"/>
      <c r="R422" s="31">
        <f>M422+Q422</f>
        <v>75</v>
      </c>
      <c r="S422" s="56">
        <v>111</v>
      </c>
      <c r="T422" s="32">
        <f>R422+S422+IF(F422="Without EV deal",L422,0)</f>
        <v>186</v>
      </c>
      <c r="U422" s="57">
        <v>1</v>
      </c>
      <c r="V422" s="69">
        <v>10</v>
      </c>
      <c r="W422" s="69">
        <v>18.600000000000001</v>
      </c>
      <c r="X422" s="30">
        <f>IF(AF422="DoEV",IF(AND(V422&lt;20,W422&lt;55),0.3,0)+IF(AND(V422&lt;20,W422&gt;=55,W422&lt;105),0.23,0)+IF(AND(V422&lt;20,W422&gt;=105),0.17,0)+IF(AND(V422&gt;=20,V422&lt;40,W422&lt;45),0.3,0)+IF(AND(V422&gt;=20,V422&lt;40,W422&gt;=45,W422&lt;95),0.23,0)+IF(AND(V422&gt;=20,V422&lt;40,W422&gt;=95),0.17,0)+IF(AND(V422&gt;=40,V422&lt;75,W422&lt;35),0.3,0)+IF(AND(V422&gt;=40,V422&lt;75,W422&gt;=35,W422&lt;75),0.23,0)+IF(AND(V422&gt;=40,V422&lt;75,W422&gt;=75,W422&lt;120),0.17,0)+IF(AND(V422&gt;=40,V422&lt;75,W422&gt;=120),0.12,0)+IF(AND(V422&gt;=75,V422&lt;175,W422&lt;35),0.3,0)+IF(AND(V422&gt;=75,V422&lt;=175,W422&gt;=35,W422&lt;65),0.23,0)+IF(AND(V422&gt;=75,V422&lt;=175,W422&gt;=65,W422&lt;110),0.17,0)+IF(AND(V422&gt;=75,V422&lt;=175,W422&gt;=110),0.12,0)+IF(AND(V422&gt;175,W422&lt;25),0.3,0)+IF(AND(V422&gt;175,W422&gt;=25,W422&lt;55),0.23,0)+IF(AND(V422&gt;175,W422&gt;=55,W422&lt;95),0.17,0)+IF(AND(V422&gt;175,W422&gt;=95),0.12,0),
IF(AF422="Fix15",0.15,
IF(AF422="Fix11.25",0.1125,
IF(AF422="Fix10",0.1,
IF(AF422="Fix9",0.09,
IF(AF422="DoEV2017",IF(AND(W422&lt;74),0.2,0)+IF(AND(W422&gt;=74),0.17,0),
IF(AF422="SF",IF(AND(V422&lt;20,W422&lt;89),0.3,0)+IF(AND(V422&lt;20,W422&gt;=89),0.25,0)+IF(AND(V422&gt;=20,V422&lt;40,W422&lt;74),0.3,0)+IF(AND(V422&gt;=20,V422&lt;40,W422&gt;=75),0.22,0)+IF(AND(V422&gt;=40,V422&lt;75,W422&lt;75),0.26,0)+IF(AND(V422&gt;=40,V422&lt;75,W422&gt;=75),0.22,0)+IF(V422&gt;=75,0.22,0),
IF(AF422="DoEVold",IF(AND(V422&lt;40,W422&lt;35),0.35,0)+IF(AND(V422&lt;40,W422&gt;=35,W422&lt;75),0.25,0)+IF(AND(V422&lt;40,W422&gt;=75),0.17,0)+IF(AND(V422&gt;=40,V422&lt;75,W422&lt;25),0.35,0)+IF(AND(V422&gt;=40,V422&lt;75,W422&gt;=25,W422&lt;65),0.25,0)+IF(AND(V422&gt;=40,V422&lt;75,W422&gt;=65,W422&lt;100),0.17,0)+IF(AND(V422&gt;=40,V422&lt;75,W422&gt;=100),0.1,0)+IF(AND(V422&gt;=75,W422&lt;25),0.35,0)+IF(AND(V422&gt;=75,W422&gt;=25,W422&lt;60),0.25,0)+IF(AND(V422&gt;=75,W422&gt;=60,W422&lt;95),0.17,0)+IF(AND(V422&gt;=75,W422&gt;=95),0.1,0),
IF(AF422="DoEVold15",IF(AND(V422&lt;=40,W422&lt;35),0.35,0)+IF(AND(V422&lt;=40,W422&gt;=35,W422&lt;75),0.25,0)+IF(AND(V422&lt;=40,W422&gt;=75,W422&lt;120),0.17,0)+IF(AND(V422&lt;=40,W422&gt;=120),0.15,0)+IF(AND(V422&gt;40,V422&lt;75,W422&lt;25),0.35,0)+IF(AND(V422&gt;=40,V422&lt;75,W422&gt;=25,W422&lt;65),0.25,0)+IF(AND(V422&gt;=40,V422&lt;75,W422&gt;=65,W422&lt;100),0.17,0)+IF(AND(V422&gt;=40,V422&lt;75,W422&gt;=100),0.1,0)+IF(AND(V422&gt;=75,W422&lt;25),0.35,0)+IF(AND(V422&gt;=75,W422&gt;=25,W422&lt;60),0.25,0)+IF(AND(V422&gt;=75,W422&gt;=60,W422&lt;95),0.17,0)+IF(AND(V422&gt;=75,W422&gt;=95),0.1,0),
IF(AF422="DoEVba",IF(AND(V422&lt;20,W422&lt;105),0.2,0)+IF(AND(V422&lt;20,W422&gt;=105),0.15,0)+IF(AND(V422&gt;=20,V422&lt;40,W422&lt;95),0.2,0)+IF(AND(V422&gt;=20,V422&lt;40,W422&gt;=95,W422&lt;150),0.15,0)+IF(AND(V422&gt;=20,V422&lt;40,W422&gt;=150),0.12,0)+IF(AND(V422&gt;=40,V422&lt;75,W422&lt;75),0.2,0)+IF(AND(V422&gt;=40,V422&lt;75,W422&gt;=75,W422&lt;120),0.15,0)+IF(AND(V422&gt;=40,V422&lt;75,W422&gt;=120),0.12,0)+IF(AND(V422&gt;=75,V422&lt;175,W422&lt;65),0.2,0)+IF(AND(V422&gt;=75,V422&lt;175,W422&gt;=65,W422&lt;110),0.15,0)+IF(AND(V422&gt;=75,V422&lt;175,W422&gt;=110),0.12,0)+IF(AND(V422&gt;=175,W422&lt;55),0.2,0)+IF(AND(V422&gt;=175,W422&gt;=55,W422&lt;95),0.15,0)+IF(AND(V422&gt;=175,W422&gt;=95),0.12,0),
IF(AF422="DoEVku",IF(AND(V422&lt;20,W422&lt;55),0.23,0)+IF(AND(V422&lt;20,W422&gt;=55,W422&lt;105),0.2,0)+IF(AND(V422&lt;20,W422&gt;=105),0.17,0)+IF(AND(V422&gt;=20,V422&lt;40,W422&lt;45),0.23,0)+IF(AND(V422&gt;=20,V422&lt;40,W422&gt;=45,W422&lt;95),0.2,0)+IF(AND(V422&gt;=20,V422&lt;40,W422&gt;=95,W422&lt;=150),0.17,0)+IF(AND(V422&gt;=20,V422&lt;40,W422&gt;=150),0.12,0)+IF(AND(V422&gt;=40,V422&lt;75,W422&lt;35),0.23,0)+IF(AND(V422&gt;=40,V422&lt;75,W422&gt;=35,W422&lt;75),0.2,0)+IF(AND(V422&gt;=40,V422&lt;75,W422&gt;=75,W422&lt;120),0.17,0)+IF(AND(V422&gt;=40,V422&lt;75,W422&gt;=120),0.12,0)+IF(AND(V422&gt;=75,V422&lt;175,W422&lt;35),0.23,0)+IF(AND(V422&gt;=75,V422&lt;=175,W422&gt;=35,W422&lt;65),0.2,0)+IF(AND(V422&gt;=75,V422&lt;=175,W422&gt;=65,W422&lt;110),0.17,0)+IF(AND(V422&gt;=75,V422&lt;=175,W422&gt;=110),0.12,0)+IF(AND(V422&gt;175,W422&lt;25),0.23,0)+IF(AND(V422&gt;175,W422&gt;=25,W422&lt;55),0.2,0)+IF(AND(V422&gt;175,W422&gt;=55,W422&lt;95),0.17,0)+IF(AND(V422&gt;175,W422&gt;=95),0.12,0),
IF(AF422="DoEVs1",IF(AND(V422&lt;20,W422&lt;55),0.3,0)+IF(AND(V422&lt;20,W422&gt;=55,W422&lt;105),0.23,0)+IF(AND(V422&lt;20,W422&gt;=105),0.17,0)+IF(AND(V422&gt;=20,V422&lt;40,W422&lt;45),0.3,0)+IF(AND(V422&gt;=20,V422&lt;40,W422&gt;=45,W422&lt;95),0.23,0)+IF(AND(V422&gt;=20,V422&lt;40,W422&gt;=95,W422&lt;=150),0.17,0)+IF(AND(V422&gt;=20,V422&lt;40,W422&gt;=150),0.12,0)+IF(AND(V422&gt;=40,V422&lt;75,W422&lt;35),0.3,0)+IF(AND(V422&gt;=40,V422&lt;75,W422&gt;=35,W422&lt;75),0.23,0)+IF(AND(V422&gt;=40,V422&lt;75,W422&gt;=75,W422&lt;120),0.17,0)+IF(AND(V422&gt;=40,V422&lt;75,W422&gt;=120),0.12,0)+IF(AND(V422&gt;=75,V422&lt;175,W422&lt;35),0.3,0)+IF(AND(V422&gt;=75,V422&lt;=175,W422&gt;=35,W422&lt;65),0.23,0)+IF(AND(V422&gt;=75,V422&lt;=175,W422&gt;=65,W422&lt;110),0.17,0)+IF(AND(V422&gt;=75,V422&lt;=175,W422&gt;=110),0.12,0)+IF(AND(V422&gt;175,W422&lt;25),0.3,0)+IF(AND(V422&gt;175,W422&gt;=25,W422&lt;55),0.23,0)+IF(AND(V422&gt;175,W422&gt;=55,W422&lt;95),0.17,0)+IF(AND(V422&gt;175,W422&gt;=95),0.12,0),
IF(AF422="DoEVsu",IF(AND(V422&lt;20,W422&lt;55),0.3,0)+IF(AND(V422&lt;20,W422&gt;=55,W422&lt;105),0.23,0)+IF(AND(V422&lt;20,W422&gt;=105),0.17,0)+IF(AND(V422&gt;=20,V422&lt;40,W422&lt;45),0.3,0)+IF(AND(V422&gt;=20,V422&lt;40,W422&gt;=45,W422&lt;95),0.23,0)+IF(AND(V422&gt;=20,V422&lt;40,W422&gt;=95,W422&lt;=250),0.17,0)+IF(AND(V422&gt;=20,V422&lt;40,W422&gt;=250),0.12,0)+IF(AND(V422&gt;=40,V422&lt;75,W422&lt;35),0.3,0)+IF(AND(V422&gt;=40,V422&lt;75,W422&gt;=35,W422&lt;75),0.23,0)+IF(AND(V422&gt;=40,V422&lt;75,W422&gt;=75,W422&lt;120),0.17,0)+IF(AND(V422&gt;=40,V422&lt;75,W422&gt;=120),0.12,0)+IF(AND(V422&gt;=75,V422&lt;175,W422&lt;35),0.3,0)+IF(AND(V422&gt;=75,V422&lt;=175,W422&gt;=35,W422&lt;65),0.23,0)+IF(AND(V422&gt;=75,V422&lt;=175,W422&gt;=65,W422&lt;110),0.17,0)+IF(AND(V422&gt;=75,V422&lt;=175,W422&gt;=110),0.12,0)+IF(AND(V422&gt;175,W422&lt;25),0.3,0)+IF(AND(V422&gt;175,W422&gt;=25,W422&lt;55),0.23,0)+IF(AND(V422&gt;175,W422&gt;=55,W422&lt;95),0.17,0)+IF(AND(V422&gt;175,W422&gt;=95),0.12,0),
IF(AF422="DoEVni",IF(AND(V422&lt;20,W422&lt;55),0.3,0)+IF(AND(V422&lt;20,W422&gt;=55,W422&lt;105),0.23,0)+IF(AND(V422&lt;20,W422&gt;=105),0.17,0)+IF(AND(V422&gt;=20,V422&lt;40,W422&lt;45),0.3,0)+IF(AND(V422&gt;=20,V422&lt;40,W422&gt;=45,W422&lt;95),0.23,0)+IF(AND(V422&gt;=20,V422&lt;40,W422&gt;=95,W422&lt;=200),0.17,0)+IF(AND(V422&gt;=20,V422&lt;40,W422&gt;=200),0.12,0)+IF(AND(V422&gt;=40,V422&lt;75,W422&lt;35),0.3,0)+IF(AND(V422&gt;=40,V422&lt;75,W422&gt;=35,W422&lt;75),0.23,0)+IF(AND(V422&gt;=40,V422&lt;75,W422&gt;=75,W422&lt;120),0.17,0)+IF(AND(V422&gt;=40,V422&lt;75,W422&gt;=120),0.12,0)+IF(AND(V422&gt;=75,V422&lt;175,W422&lt;35),0.3,0)+IF(AND(V422&gt;=75,V422&lt;=175,W422&gt;=35,W422&lt;65),0.23,0)+IF(AND(V422&gt;=75,V422&lt;=175,W422&gt;=65,W422&lt;110),0.17,0)+IF(AND(V422&gt;=75,V422&lt;=175,W422&gt;=110),0.12,0)+IF(AND(V422&gt;175,W422&lt;25),0.3,0)+IF(AND(V422&gt;175,W422&gt;=25,W422&lt;55),0.23,0)+IF(AND(V422&gt;175,W422&gt;=55,W422&lt;95),0.17,0)+IF(AND(V422&gt;175,W422&gt;=95),0.12,0),
IF(AF422="DoEVLo",IF(AND(V422&lt;20,W422&lt;55),0.25,0)+IF(AND(V422&lt;20,W422&gt;=55,W422&lt;105),0.2,0)+IF(AND(V422&lt;20,W422&gt;=105),0.15,0)+IF(AND(V422&gt;=20,V422&lt;40,W422&lt;45),0.25,0)+IF(AND(V422&gt;=20,V422&lt;40,W422&gt;=45,W422&lt;95),0.2,0)+IF(AND(V422&gt;=20,V422&lt;40,W422&gt;=95),0.15,0)+IF(AND(V422&gt;=40,V422&lt;75,W422&lt;35),0.25,0)+IF(AND(V422&gt;=40,V422&lt;75,W422&gt;=35,W422&lt;75),0.2,0)+IF(AND(V422&gt;=40,V422&lt;75,W422&gt;=75,W422&lt;120),0.15,0)+IF(AND(V422&gt;=40,V422&lt;75,W422&gt;=120),0.1,0)+IF(AND(V422&gt;=75,V422&lt;175,W422&lt;35),0.25,0)+IF(AND(V422&gt;=75,V422&lt;=175,W422&gt;=35,W422&lt;65),0.2,0)+IF(AND(V422&gt;=75,V422&lt;=175,W422&gt;=65,W422&lt;110),0.15,0)+IF(AND(V422&gt;=75,V422&lt;=175,W422&gt;=110),0.1,0)+IF(AND(V422&gt;175,W422&lt;25),0.25,0)+IF(AND(V422&gt;175,W422&gt;=25,W422&lt;55),0.2,0)+IF(AND(V422&gt;175,W422&gt;=55,W422&lt;95),0.15,0)+IF(AND(V422&gt;175,W422&gt;=95),0.1,0))))))))))))))))</f>
        <v>0.3</v>
      </c>
      <c r="Y422" s="30">
        <f>IF(AG422="None",0,IF(AG422="Fix5",0.05,IF(AG422="Fix3.75",0.0375,IF(AG422="Fix10",0.1,IF(AG422="Fix3",0.03,0)))))</f>
        <v>0</v>
      </c>
      <c r="Z422" s="35">
        <f>T422-AA422-AB422</f>
        <v>130.19999999999999</v>
      </c>
      <c r="AA422" s="29">
        <f>IF(AD422="EUR",((T422-R422)*X422)*U422+(R422*X422),(T422*X422))</f>
        <v>55.8</v>
      </c>
      <c r="AB422" s="36">
        <f>IF(AD422="EUR",((T422-R422)*Y422)*U422+(R422*Y422),(T422*Y422))</f>
        <v>0</v>
      </c>
      <c r="AC422" s="37" t="b">
        <v>1</v>
      </c>
      <c r="AD422" s="37" t="s">
        <v>38</v>
      </c>
      <c r="AE422" s="37" t="s">
        <v>38</v>
      </c>
      <c r="AF422" s="37" t="str">
        <f t="array" ref="AF422">INDEX('Deal Info'!D:D, MATCH(A422,'Deal Info'!A:A, 0))</f>
        <v>DoEV</v>
      </c>
      <c r="AG422" s="38" t="str">
        <f t="array" ref="AG422">INDEX('Deal Info'!G:G, MATCH(A422,'Deal Info'!A:A, 0))</f>
        <v>None</v>
      </c>
    </row>
    <row r="423" spans="1:33" ht="14.25" hidden="1" x14ac:dyDescent="0.2">
      <c r="A423" s="18" t="str">
        <f t="array" ref="A423">IF(G423='Room Info'!$B$1, INDEX('Room Info'!$A$2:$A2446, MATCH(B423,'Room Info'!$B$2:$B2446, 0)),IF(G423='Room Info'!$C$1, INDEX('Room Info'!$A$2:$A2446, MATCH(B423,'Room Info'!$C$2:$C2446, 0)),IF(G423='Room Info'!$D$1, INDEX('Room Info'!$A$2:$A2446, MATCH(B423,'Room Info'!$D$2:$D2446, 0)),IF(G423='Room Info'!$E$1, INDEX('Room Info'!$A$2:$A2446, MATCH(B423,'Room Info'!$E$2:$E2446, 0)),IF(G423='Room Info'!$F$1, INDEX('Room Info'!$A$2:$A2446, MATCH(B423,'Room Info'!$F$2:$F2446, 0)),IF(G423='Room Info'!$H$1, INDEX('Room Info'!$A$2:$A2446, MATCH(B423,'Room Info'!$H$2:$H2446, 0)),IF(G423='Room Info'!$G$1, INDEX('Room Info'!$A$2:$A2446, MATCH(B423,'Room Info'!$G$2:$G2446, 0)))))))))</f>
        <v>Freedoom</v>
      </c>
      <c r="B423" s="45" t="s">
        <v>110</v>
      </c>
      <c r="C423" s="46">
        <v>44470</v>
      </c>
      <c r="D423" s="46">
        <v>44500</v>
      </c>
      <c r="E423" s="47">
        <v>44470</v>
      </c>
      <c r="F423" s="48" t="s">
        <v>49</v>
      </c>
      <c r="G423" s="45" t="s">
        <v>61</v>
      </c>
      <c r="H423" s="49" t="s">
        <v>65</v>
      </c>
      <c r="I423" s="49" t="s">
        <v>37</v>
      </c>
      <c r="J423" s="50">
        <v>25</v>
      </c>
      <c r="K423" s="51">
        <v>1737</v>
      </c>
      <c r="L423" s="52">
        <v>-1450</v>
      </c>
      <c r="M423" s="53">
        <v>1224</v>
      </c>
      <c r="N423" s="28">
        <f>K423*J423</f>
        <v>43425</v>
      </c>
      <c r="O423" s="54">
        <v>110070</v>
      </c>
      <c r="P423" s="29">
        <v>63.367875650000002</v>
      </c>
      <c r="Q423" s="55"/>
      <c r="R423" s="31">
        <f>M423+Q423</f>
        <v>1224</v>
      </c>
      <c r="S423" s="56">
        <v>729</v>
      </c>
      <c r="T423" s="32">
        <f>R423+S423+IF(F423="Without EV deal",L423,0)</f>
        <v>1953</v>
      </c>
      <c r="U423" s="57">
        <v>1</v>
      </c>
      <c r="V423" s="58"/>
      <c r="W423" s="58"/>
      <c r="X423" s="30">
        <f>IF(AF423="DoEV",IF(AND(V423&lt;20,W423&lt;55),0.3,0)+IF(AND(V423&lt;20,W423&gt;=55,W423&lt;105),0.23,0)+IF(AND(V423&lt;20,W423&gt;=105),0.17,0)+IF(AND(V423&gt;=20,V423&lt;40,W423&lt;45),0.3,0)+IF(AND(V423&gt;=20,V423&lt;40,W423&gt;=45,W423&lt;95),0.23,0)+IF(AND(V423&gt;=20,V423&lt;40,W423&gt;=95),0.17,0)+IF(AND(V423&gt;=40,V423&lt;75,W423&lt;35),0.3,0)+IF(AND(V423&gt;=40,V423&lt;75,W423&gt;=35,W423&lt;75),0.23,0)+IF(AND(V423&gt;=40,V423&lt;75,W423&gt;=75,W423&lt;120),0.17,0)+IF(AND(V423&gt;=40,V423&lt;75,W423&gt;=120),0.12,0)+IF(AND(V423&gt;=75,V423&lt;175,W423&lt;35),0.3,0)+IF(AND(V423&gt;=75,V423&lt;=175,W423&gt;=35,W423&lt;65),0.23,0)+IF(AND(V423&gt;=75,V423&lt;=175,W423&gt;=65,W423&lt;110),0.17,0)+IF(AND(V423&gt;=75,V423&lt;=175,W423&gt;=110),0.12,0)+IF(AND(V423&gt;175,W423&lt;25),0.3,0)+IF(AND(V423&gt;175,W423&gt;=25,W423&lt;55),0.23,0)+IF(AND(V423&gt;175,W423&gt;=55,W423&lt;95),0.17,0)+IF(AND(V423&gt;175,W423&gt;=95),0.12,0),
IF(AF423="Fix15",0.15,
IF(AF423="Fix11.25",0.1125,
IF(AF423="Fix10",0.1,
IF(AF423="Fix9",0.09,
IF(AF423="DoEV2017",IF(AND(W423&lt;74),0.2,0)+IF(AND(W423&gt;=74),0.17,0),
IF(AF423="SF",IF(AND(V423&lt;20,W423&lt;89),0.3,0)+IF(AND(V423&lt;20,W423&gt;=89),0.25,0)+IF(AND(V423&gt;=20,V423&lt;40,W423&lt;74),0.3,0)+IF(AND(V423&gt;=20,V423&lt;40,W423&gt;=75),0.22,0)+IF(AND(V423&gt;=40,V423&lt;75,W423&lt;75),0.26,0)+IF(AND(V423&gt;=40,V423&lt;75,W423&gt;=75),0.22,0)+IF(V423&gt;=75,0.22,0),
IF(AF423="DoEVold",IF(AND(V423&lt;40,W423&lt;35),0.35,0)+IF(AND(V423&lt;40,W423&gt;=35,W423&lt;75),0.25,0)+IF(AND(V423&lt;40,W423&gt;=75),0.17,0)+IF(AND(V423&gt;=40,V423&lt;75,W423&lt;25),0.35,0)+IF(AND(V423&gt;=40,V423&lt;75,W423&gt;=25,W423&lt;65),0.25,0)+IF(AND(V423&gt;=40,V423&lt;75,W423&gt;=65,W423&lt;100),0.17,0)+IF(AND(V423&gt;=40,V423&lt;75,W423&gt;=100),0.1,0)+IF(AND(V423&gt;=75,W423&lt;25),0.35,0)+IF(AND(V423&gt;=75,W423&gt;=25,W423&lt;60),0.25,0)+IF(AND(V423&gt;=75,W423&gt;=60,W423&lt;95),0.17,0)+IF(AND(V423&gt;=75,W423&gt;=95),0.1,0),
IF(AF423="DoEVold15",IF(AND(V423&lt;=40,W423&lt;35),0.35,0)+IF(AND(V423&lt;=40,W423&gt;=35,W423&lt;75),0.25,0)+IF(AND(V423&lt;=40,W423&gt;=75,W423&lt;120),0.17,0)+IF(AND(V423&lt;=40,W423&gt;=120),0.15,0)+IF(AND(V423&gt;40,V423&lt;75,W423&lt;25),0.35,0)+IF(AND(V423&gt;=40,V423&lt;75,W423&gt;=25,W423&lt;65),0.25,0)+IF(AND(V423&gt;=40,V423&lt;75,W423&gt;=65,W423&lt;100),0.17,0)+IF(AND(V423&gt;=40,V423&lt;75,W423&gt;=100),0.1,0)+IF(AND(V423&gt;=75,W423&lt;25),0.35,0)+IF(AND(V423&gt;=75,W423&gt;=25,W423&lt;60),0.25,0)+IF(AND(V423&gt;=75,W423&gt;=60,W423&lt;95),0.17,0)+IF(AND(V423&gt;=75,W423&gt;=95),0.1,0),
IF(AF423="DoEVba",IF(AND(V423&lt;20,W423&lt;105),0.2,0)+IF(AND(V423&lt;20,W423&gt;=105),0.15,0)+IF(AND(V423&gt;=20,V423&lt;40,W423&lt;95),0.2,0)+IF(AND(V423&gt;=20,V423&lt;40,W423&gt;=95,W423&lt;150),0.15,0)+IF(AND(V423&gt;=20,V423&lt;40,W423&gt;=150),0.12,0)+IF(AND(V423&gt;=40,V423&lt;75,W423&lt;75),0.2,0)+IF(AND(V423&gt;=40,V423&lt;75,W423&gt;=75,W423&lt;120),0.15,0)+IF(AND(V423&gt;=40,V423&lt;75,W423&gt;=120),0.12,0)+IF(AND(V423&gt;=75,V423&lt;175,W423&lt;65),0.2,0)+IF(AND(V423&gt;=75,V423&lt;175,W423&gt;=65,W423&lt;110),0.15,0)+IF(AND(V423&gt;=75,V423&lt;175,W423&gt;=110),0.12,0)+IF(AND(V423&gt;=175,W423&lt;55),0.2,0)+IF(AND(V423&gt;=175,W423&gt;=55,W423&lt;95),0.15,0)+IF(AND(V423&gt;=175,W423&gt;=95),0.12,0),
IF(AF423="DoEVku",IF(AND(V423&lt;20,W423&lt;55),0.23,0)+IF(AND(V423&lt;20,W423&gt;=55,W423&lt;105),0.2,0)+IF(AND(V423&lt;20,W423&gt;=105),0.17,0)+IF(AND(V423&gt;=20,V423&lt;40,W423&lt;45),0.23,0)+IF(AND(V423&gt;=20,V423&lt;40,W423&gt;=45,W423&lt;95),0.2,0)+IF(AND(V423&gt;=20,V423&lt;40,W423&gt;=95,W423&lt;=150),0.17,0)+IF(AND(V423&gt;=20,V423&lt;40,W423&gt;=150),0.12,0)+IF(AND(V423&gt;=40,V423&lt;75,W423&lt;35),0.23,0)+IF(AND(V423&gt;=40,V423&lt;75,W423&gt;=35,W423&lt;75),0.2,0)+IF(AND(V423&gt;=40,V423&lt;75,W423&gt;=75,W423&lt;120),0.17,0)+IF(AND(V423&gt;=40,V423&lt;75,W423&gt;=120),0.12,0)+IF(AND(V423&gt;=75,V423&lt;175,W423&lt;35),0.23,0)+IF(AND(V423&gt;=75,V423&lt;=175,W423&gt;=35,W423&lt;65),0.2,0)+IF(AND(V423&gt;=75,V423&lt;=175,W423&gt;=65,W423&lt;110),0.17,0)+IF(AND(V423&gt;=75,V423&lt;=175,W423&gt;=110),0.12,0)+IF(AND(V423&gt;175,W423&lt;25),0.23,0)+IF(AND(V423&gt;175,W423&gt;=25,W423&lt;55),0.2,0)+IF(AND(V423&gt;175,W423&gt;=55,W423&lt;95),0.17,0)+IF(AND(V423&gt;175,W423&gt;=95),0.12,0),
IF(AF423="DoEVs1",IF(AND(V423&lt;20,W423&lt;55),0.3,0)+IF(AND(V423&lt;20,W423&gt;=55,W423&lt;105),0.23,0)+IF(AND(V423&lt;20,W423&gt;=105),0.17,0)+IF(AND(V423&gt;=20,V423&lt;40,W423&lt;45),0.3,0)+IF(AND(V423&gt;=20,V423&lt;40,W423&gt;=45,W423&lt;95),0.23,0)+IF(AND(V423&gt;=20,V423&lt;40,W423&gt;=95,W423&lt;=150),0.17,0)+IF(AND(V423&gt;=20,V423&lt;40,W423&gt;=150),0.12,0)+IF(AND(V423&gt;=40,V423&lt;75,W423&lt;35),0.3,0)+IF(AND(V423&gt;=40,V423&lt;75,W423&gt;=35,W423&lt;75),0.23,0)+IF(AND(V423&gt;=40,V423&lt;75,W423&gt;=75,W423&lt;120),0.17,0)+IF(AND(V423&gt;=40,V423&lt;75,W423&gt;=120),0.12,0)+IF(AND(V423&gt;=75,V423&lt;175,W423&lt;35),0.3,0)+IF(AND(V423&gt;=75,V423&lt;=175,W423&gt;=35,W423&lt;65),0.23,0)+IF(AND(V423&gt;=75,V423&lt;=175,W423&gt;=65,W423&lt;110),0.17,0)+IF(AND(V423&gt;=75,V423&lt;=175,W423&gt;=110),0.12,0)+IF(AND(V423&gt;175,W423&lt;25),0.3,0)+IF(AND(V423&gt;175,W423&gt;=25,W423&lt;55),0.23,0)+IF(AND(V423&gt;175,W423&gt;=55,W423&lt;95),0.17,0)+IF(AND(V423&gt;175,W423&gt;=95),0.12,0),
IF(AF423="DoEVsu",IF(AND(V423&lt;20,W423&lt;55),0.3,0)+IF(AND(V423&lt;20,W423&gt;=55,W423&lt;105),0.23,0)+IF(AND(V423&lt;20,W423&gt;=105),0.17,0)+IF(AND(V423&gt;=20,V423&lt;40,W423&lt;45),0.3,0)+IF(AND(V423&gt;=20,V423&lt;40,W423&gt;=45,W423&lt;95),0.23,0)+IF(AND(V423&gt;=20,V423&lt;40,W423&gt;=95,W423&lt;=250),0.17,0)+IF(AND(V423&gt;=20,V423&lt;40,W423&gt;=250),0.12,0)+IF(AND(V423&gt;=40,V423&lt;75,W423&lt;35),0.3,0)+IF(AND(V423&gt;=40,V423&lt;75,W423&gt;=35,W423&lt;75),0.23,0)+IF(AND(V423&gt;=40,V423&lt;75,W423&gt;=75,W423&lt;120),0.17,0)+IF(AND(V423&gt;=40,V423&lt;75,W423&gt;=120),0.12,0)+IF(AND(V423&gt;=75,V423&lt;175,W423&lt;35),0.3,0)+IF(AND(V423&gt;=75,V423&lt;=175,W423&gt;=35,W423&lt;65),0.23,0)+IF(AND(V423&gt;=75,V423&lt;=175,W423&gt;=65,W423&lt;110),0.17,0)+IF(AND(V423&gt;=75,V423&lt;=175,W423&gt;=110),0.12,0)+IF(AND(V423&gt;175,W423&lt;25),0.3,0)+IF(AND(V423&gt;175,W423&gt;=25,W423&lt;55),0.23,0)+IF(AND(V423&gt;175,W423&gt;=55,W423&lt;95),0.17,0)+IF(AND(V423&gt;175,W423&gt;=95),0.12,0),
IF(AF423="DoEVni",IF(AND(V423&lt;20,W423&lt;55),0.3,0)+IF(AND(V423&lt;20,W423&gt;=55,W423&lt;105),0.23,0)+IF(AND(V423&lt;20,W423&gt;=105),0.17,0)+IF(AND(V423&gt;=20,V423&lt;40,W423&lt;45),0.3,0)+IF(AND(V423&gt;=20,V423&lt;40,W423&gt;=45,W423&lt;95),0.23,0)+IF(AND(V423&gt;=20,V423&lt;40,W423&gt;=95,W423&lt;=200),0.17,0)+IF(AND(V423&gt;=20,V423&lt;40,W423&gt;=200),0.12,0)+IF(AND(V423&gt;=40,V423&lt;75,W423&lt;35),0.3,0)+IF(AND(V423&gt;=40,V423&lt;75,W423&gt;=35,W423&lt;75),0.23,0)+IF(AND(V423&gt;=40,V423&lt;75,W423&gt;=75,W423&lt;120),0.17,0)+IF(AND(V423&gt;=40,V423&lt;75,W423&gt;=120),0.12,0)+IF(AND(V423&gt;=75,V423&lt;175,W423&lt;35),0.3,0)+IF(AND(V423&gt;=75,V423&lt;=175,W423&gt;=35,W423&lt;65),0.23,0)+IF(AND(V423&gt;=75,V423&lt;=175,W423&gt;=65,W423&lt;110),0.17,0)+IF(AND(V423&gt;=75,V423&lt;=175,W423&gt;=110),0.12,0)+IF(AND(V423&gt;175,W423&lt;25),0.3,0)+IF(AND(V423&gt;175,W423&gt;=25,W423&lt;55),0.23,0)+IF(AND(V423&gt;175,W423&gt;=55,W423&lt;95),0.17,0)+IF(AND(V423&gt;175,W423&gt;=95),0.12,0),
IF(AF423="DoEVLo",IF(AND(V423&lt;20,W423&lt;55),0.25,0)+IF(AND(V423&lt;20,W423&gt;=55,W423&lt;105),0.2,0)+IF(AND(V423&lt;20,W423&gt;=105),0.15,0)+IF(AND(V423&gt;=20,V423&lt;40,W423&lt;45),0.25,0)+IF(AND(V423&gt;=20,V423&lt;40,W423&gt;=45,W423&lt;95),0.2,0)+IF(AND(V423&gt;=20,V423&lt;40,W423&gt;=95),0.15,0)+IF(AND(V423&gt;=40,V423&lt;75,W423&lt;35),0.25,0)+IF(AND(V423&gt;=40,V423&lt;75,W423&gt;=35,W423&lt;75),0.2,0)+IF(AND(V423&gt;=40,V423&lt;75,W423&gt;=75,W423&lt;120),0.15,0)+IF(AND(V423&gt;=40,V423&lt;75,W423&gt;=120),0.1,0)+IF(AND(V423&gt;=75,V423&lt;175,W423&lt;35),0.25,0)+IF(AND(V423&gt;=75,V423&lt;=175,W423&gt;=35,W423&lt;65),0.2,0)+IF(AND(V423&gt;=75,V423&lt;=175,W423&gt;=65,W423&lt;110),0.15,0)+IF(AND(V423&gt;=75,V423&lt;=175,W423&gt;=110),0.1,0)+IF(AND(V423&gt;175,W423&lt;25),0.25,0)+IF(AND(V423&gt;175,W423&gt;=25,W423&lt;55),0.2,0)+IF(AND(V423&gt;175,W423&gt;=55,W423&lt;95),0.15,0)+IF(AND(V423&gt;175,W423&gt;=95),0.1,0))))))))))))))))</f>
        <v>0.35</v>
      </c>
      <c r="Y423" s="30">
        <f>IF(AG423="None",0,IF(AG423="Fix5",0.05,IF(AG423="Fix3.75",0.0375,IF(AG423="Fix10",0.1,IF(AG423="Fix3",0.03,0)))))</f>
        <v>0</v>
      </c>
      <c r="Z423" s="59">
        <v>1621</v>
      </c>
      <c r="AA423" s="60">
        <v>332</v>
      </c>
      <c r="AB423" s="36">
        <f>IF(AD423="EUR",((T423-R423)*Y423)*U423+(R423*Y423),(T423*Y423))</f>
        <v>0</v>
      </c>
      <c r="AC423" s="37" t="b">
        <v>1</v>
      </c>
      <c r="AD423" s="37" t="s">
        <v>38</v>
      </c>
      <c r="AE423" s="37" t="s">
        <v>38</v>
      </c>
      <c r="AF423" s="37" t="str">
        <f t="array" ref="AF423">INDEX('Deal Info'!D:D, MATCH(A423,'Deal Info'!A:A, 0))</f>
        <v>DoEVold</v>
      </c>
      <c r="AG423" s="38" t="str">
        <f t="array" ref="AG423">INDEX('Deal Info'!G:G, MATCH(A423,'Deal Info'!A:A, 0))</f>
        <v>None</v>
      </c>
    </row>
    <row r="424" spans="1:33" ht="14.25" hidden="1" x14ac:dyDescent="0.2">
      <c r="A424" s="18" t="str">
        <f t="array" ref="A424">IF(G424='Room Info'!$B$1, INDEX('Room Info'!$A$2:$A2446, MATCH(B424,'Room Info'!$B$2:$B2446, 0)),IF(G424='Room Info'!$C$1, INDEX('Room Info'!$A$2:$A2446, MATCH(B424,'Room Info'!$C$2:$C2446, 0)),IF(G424='Room Info'!$D$1, INDEX('Room Info'!$A$2:$A2446, MATCH(B424,'Room Info'!$D$2:$D2446, 0)),IF(G424='Room Info'!$E$1, INDEX('Room Info'!$A$2:$A2446, MATCH(B424,'Room Info'!$E$2:$E2446, 0)),IF(G424='Room Info'!$F$1, INDEX('Room Info'!$A$2:$A2446, MATCH(B424,'Room Info'!$F$2:$F2446, 0)),IF(G424='Room Info'!$H$1, INDEX('Room Info'!$A$2:$A2446, MATCH(B424,'Room Info'!$H$2:$H2446, 0)),IF(G424='Room Info'!$G$1, INDEX('Room Info'!$A$2:$A2446, MATCH(B424,'Room Info'!$G$2:$G2446, 0)))))))))</f>
        <v>Freedoom</v>
      </c>
      <c r="B424" s="45" t="s">
        <v>110</v>
      </c>
      <c r="C424" s="46">
        <v>44470</v>
      </c>
      <c r="D424" s="46">
        <v>44500</v>
      </c>
      <c r="E424" s="47">
        <v>44470</v>
      </c>
      <c r="F424" s="48" t="s">
        <v>49</v>
      </c>
      <c r="G424" s="45" t="s">
        <v>61</v>
      </c>
      <c r="H424" s="49" t="s">
        <v>64</v>
      </c>
      <c r="I424" s="49" t="s">
        <v>37</v>
      </c>
      <c r="J424" s="50">
        <v>10</v>
      </c>
      <c r="K424" s="51">
        <v>546</v>
      </c>
      <c r="L424" s="52">
        <v>-620</v>
      </c>
      <c r="M424" s="53">
        <v>11</v>
      </c>
      <c r="N424" s="28">
        <f>K424*J424</f>
        <v>5460</v>
      </c>
      <c r="O424" s="54">
        <v>32208</v>
      </c>
      <c r="P424" s="29">
        <v>58.989010989999997</v>
      </c>
      <c r="Q424" s="55"/>
      <c r="R424" s="31">
        <f>M424+Q424</f>
        <v>11</v>
      </c>
      <c r="S424" s="56">
        <v>79</v>
      </c>
      <c r="T424" s="32">
        <f>R424+S424+IF(F424="Without EV deal",L424,0)</f>
        <v>90</v>
      </c>
      <c r="U424" s="57">
        <v>1</v>
      </c>
      <c r="V424" s="58"/>
      <c r="W424" s="58"/>
      <c r="X424" s="30">
        <f>IF(AF424="DoEV",IF(AND(V424&lt;20,W424&lt;55),0.3,0)+IF(AND(V424&lt;20,W424&gt;=55,W424&lt;105),0.23,0)+IF(AND(V424&lt;20,W424&gt;=105),0.17,0)+IF(AND(V424&gt;=20,V424&lt;40,W424&lt;45),0.3,0)+IF(AND(V424&gt;=20,V424&lt;40,W424&gt;=45,W424&lt;95),0.23,0)+IF(AND(V424&gt;=20,V424&lt;40,W424&gt;=95),0.17,0)+IF(AND(V424&gt;=40,V424&lt;75,W424&lt;35),0.3,0)+IF(AND(V424&gt;=40,V424&lt;75,W424&gt;=35,W424&lt;75),0.23,0)+IF(AND(V424&gt;=40,V424&lt;75,W424&gt;=75,W424&lt;120),0.17,0)+IF(AND(V424&gt;=40,V424&lt;75,W424&gt;=120),0.12,0)+IF(AND(V424&gt;=75,V424&lt;175,W424&lt;35),0.3,0)+IF(AND(V424&gt;=75,V424&lt;=175,W424&gt;=35,W424&lt;65),0.23,0)+IF(AND(V424&gt;=75,V424&lt;=175,W424&gt;=65,W424&lt;110),0.17,0)+IF(AND(V424&gt;=75,V424&lt;=175,W424&gt;=110),0.12,0)+IF(AND(V424&gt;175,W424&lt;25),0.3,0)+IF(AND(V424&gt;175,W424&gt;=25,W424&lt;55),0.23,0)+IF(AND(V424&gt;175,W424&gt;=55,W424&lt;95),0.17,0)+IF(AND(V424&gt;175,W424&gt;=95),0.12,0),
IF(AF424="Fix15",0.15,
IF(AF424="Fix11.25",0.1125,
IF(AF424="Fix10",0.1,
IF(AF424="Fix9",0.09,
IF(AF424="DoEV2017",IF(AND(W424&lt;74),0.2,0)+IF(AND(W424&gt;=74),0.17,0),
IF(AF424="SF",IF(AND(V424&lt;20,W424&lt;89),0.3,0)+IF(AND(V424&lt;20,W424&gt;=89),0.25,0)+IF(AND(V424&gt;=20,V424&lt;40,W424&lt;74),0.3,0)+IF(AND(V424&gt;=20,V424&lt;40,W424&gt;=75),0.22,0)+IF(AND(V424&gt;=40,V424&lt;75,W424&lt;75),0.26,0)+IF(AND(V424&gt;=40,V424&lt;75,W424&gt;=75),0.22,0)+IF(V424&gt;=75,0.22,0),
IF(AF424="DoEVold",IF(AND(V424&lt;40,W424&lt;35),0.35,0)+IF(AND(V424&lt;40,W424&gt;=35,W424&lt;75),0.25,0)+IF(AND(V424&lt;40,W424&gt;=75),0.17,0)+IF(AND(V424&gt;=40,V424&lt;75,W424&lt;25),0.35,0)+IF(AND(V424&gt;=40,V424&lt;75,W424&gt;=25,W424&lt;65),0.25,0)+IF(AND(V424&gt;=40,V424&lt;75,W424&gt;=65,W424&lt;100),0.17,0)+IF(AND(V424&gt;=40,V424&lt;75,W424&gt;=100),0.1,0)+IF(AND(V424&gt;=75,W424&lt;25),0.35,0)+IF(AND(V424&gt;=75,W424&gt;=25,W424&lt;60),0.25,0)+IF(AND(V424&gt;=75,W424&gt;=60,W424&lt;95),0.17,0)+IF(AND(V424&gt;=75,W424&gt;=95),0.1,0),
IF(AF424="DoEVold15",IF(AND(V424&lt;=40,W424&lt;35),0.35,0)+IF(AND(V424&lt;=40,W424&gt;=35,W424&lt;75),0.25,0)+IF(AND(V424&lt;=40,W424&gt;=75,W424&lt;120),0.17,0)+IF(AND(V424&lt;=40,W424&gt;=120),0.15,0)+IF(AND(V424&gt;40,V424&lt;75,W424&lt;25),0.35,0)+IF(AND(V424&gt;=40,V424&lt;75,W424&gt;=25,W424&lt;65),0.25,0)+IF(AND(V424&gt;=40,V424&lt;75,W424&gt;=65,W424&lt;100),0.17,0)+IF(AND(V424&gt;=40,V424&lt;75,W424&gt;=100),0.1,0)+IF(AND(V424&gt;=75,W424&lt;25),0.35,0)+IF(AND(V424&gt;=75,W424&gt;=25,W424&lt;60),0.25,0)+IF(AND(V424&gt;=75,W424&gt;=60,W424&lt;95),0.17,0)+IF(AND(V424&gt;=75,W424&gt;=95),0.1,0),
IF(AF424="DoEVba",IF(AND(V424&lt;20,W424&lt;105),0.2,0)+IF(AND(V424&lt;20,W424&gt;=105),0.15,0)+IF(AND(V424&gt;=20,V424&lt;40,W424&lt;95),0.2,0)+IF(AND(V424&gt;=20,V424&lt;40,W424&gt;=95,W424&lt;150),0.15,0)+IF(AND(V424&gt;=20,V424&lt;40,W424&gt;=150),0.12,0)+IF(AND(V424&gt;=40,V424&lt;75,W424&lt;75),0.2,0)+IF(AND(V424&gt;=40,V424&lt;75,W424&gt;=75,W424&lt;120),0.15,0)+IF(AND(V424&gt;=40,V424&lt;75,W424&gt;=120),0.12,0)+IF(AND(V424&gt;=75,V424&lt;175,W424&lt;65),0.2,0)+IF(AND(V424&gt;=75,V424&lt;175,W424&gt;=65,W424&lt;110),0.15,0)+IF(AND(V424&gt;=75,V424&lt;175,W424&gt;=110),0.12,0)+IF(AND(V424&gt;=175,W424&lt;55),0.2,0)+IF(AND(V424&gt;=175,W424&gt;=55,W424&lt;95),0.15,0)+IF(AND(V424&gt;=175,W424&gt;=95),0.12,0),
IF(AF424="DoEVku",IF(AND(V424&lt;20,W424&lt;55),0.23,0)+IF(AND(V424&lt;20,W424&gt;=55,W424&lt;105),0.2,0)+IF(AND(V424&lt;20,W424&gt;=105),0.17,0)+IF(AND(V424&gt;=20,V424&lt;40,W424&lt;45),0.23,0)+IF(AND(V424&gt;=20,V424&lt;40,W424&gt;=45,W424&lt;95),0.2,0)+IF(AND(V424&gt;=20,V424&lt;40,W424&gt;=95,W424&lt;=150),0.17,0)+IF(AND(V424&gt;=20,V424&lt;40,W424&gt;=150),0.12,0)+IF(AND(V424&gt;=40,V424&lt;75,W424&lt;35),0.23,0)+IF(AND(V424&gt;=40,V424&lt;75,W424&gt;=35,W424&lt;75),0.2,0)+IF(AND(V424&gt;=40,V424&lt;75,W424&gt;=75,W424&lt;120),0.17,0)+IF(AND(V424&gt;=40,V424&lt;75,W424&gt;=120),0.12,0)+IF(AND(V424&gt;=75,V424&lt;175,W424&lt;35),0.23,0)+IF(AND(V424&gt;=75,V424&lt;=175,W424&gt;=35,W424&lt;65),0.2,0)+IF(AND(V424&gt;=75,V424&lt;=175,W424&gt;=65,W424&lt;110),0.17,0)+IF(AND(V424&gt;=75,V424&lt;=175,W424&gt;=110),0.12,0)+IF(AND(V424&gt;175,W424&lt;25),0.23,0)+IF(AND(V424&gt;175,W424&gt;=25,W424&lt;55),0.2,0)+IF(AND(V424&gt;175,W424&gt;=55,W424&lt;95),0.17,0)+IF(AND(V424&gt;175,W424&gt;=95),0.12,0),
IF(AF424="DoEVs1",IF(AND(V424&lt;20,W424&lt;55),0.3,0)+IF(AND(V424&lt;20,W424&gt;=55,W424&lt;105),0.23,0)+IF(AND(V424&lt;20,W424&gt;=105),0.17,0)+IF(AND(V424&gt;=20,V424&lt;40,W424&lt;45),0.3,0)+IF(AND(V424&gt;=20,V424&lt;40,W424&gt;=45,W424&lt;95),0.23,0)+IF(AND(V424&gt;=20,V424&lt;40,W424&gt;=95,W424&lt;=150),0.17,0)+IF(AND(V424&gt;=20,V424&lt;40,W424&gt;=150),0.12,0)+IF(AND(V424&gt;=40,V424&lt;75,W424&lt;35),0.3,0)+IF(AND(V424&gt;=40,V424&lt;75,W424&gt;=35,W424&lt;75),0.23,0)+IF(AND(V424&gt;=40,V424&lt;75,W424&gt;=75,W424&lt;120),0.17,0)+IF(AND(V424&gt;=40,V424&lt;75,W424&gt;=120),0.12,0)+IF(AND(V424&gt;=75,V424&lt;175,W424&lt;35),0.3,0)+IF(AND(V424&gt;=75,V424&lt;=175,W424&gt;=35,W424&lt;65),0.23,0)+IF(AND(V424&gt;=75,V424&lt;=175,W424&gt;=65,W424&lt;110),0.17,0)+IF(AND(V424&gt;=75,V424&lt;=175,W424&gt;=110),0.12,0)+IF(AND(V424&gt;175,W424&lt;25),0.3,0)+IF(AND(V424&gt;175,W424&gt;=25,W424&lt;55),0.23,0)+IF(AND(V424&gt;175,W424&gt;=55,W424&lt;95),0.17,0)+IF(AND(V424&gt;175,W424&gt;=95),0.12,0),
IF(AF424="DoEVsu",IF(AND(V424&lt;20,W424&lt;55),0.3,0)+IF(AND(V424&lt;20,W424&gt;=55,W424&lt;105),0.23,0)+IF(AND(V424&lt;20,W424&gt;=105),0.17,0)+IF(AND(V424&gt;=20,V424&lt;40,W424&lt;45),0.3,0)+IF(AND(V424&gt;=20,V424&lt;40,W424&gt;=45,W424&lt;95),0.23,0)+IF(AND(V424&gt;=20,V424&lt;40,W424&gt;=95,W424&lt;=250),0.17,0)+IF(AND(V424&gt;=20,V424&lt;40,W424&gt;=250),0.12,0)+IF(AND(V424&gt;=40,V424&lt;75,W424&lt;35),0.3,0)+IF(AND(V424&gt;=40,V424&lt;75,W424&gt;=35,W424&lt;75),0.23,0)+IF(AND(V424&gt;=40,V424&lt;75,W424&gt;=75,W424&lt;120),0.17,0)+IF(AND(V424&gt;=40,V424&lt;75,W424&gt;=120),0.12,0)+IF(AND(V424&gt;=75,V424&lt;175,W424&lt;35),0.3,0)+IF(AND(V424&gt;=75,V424&lt;=175,W424&gt;=35,W424&lt;65),0.23,0)+IF(AND(V424&gt;=75,V424&lt;=175,W424&gt;=65,W424&lt;110),0.17,0)+IF(AND(V424&gt;=75,V424&lt;=175,W424&gt;=110),0.12,0)+IF(AND(V424&gt;175,W424&lt;25),0.3,0)+IF(AND(V424&gt;175,W424&gt;=25,W424&lt;55),0.23,0)+IF(AND(V424&gt;175,W424&gt;=55,W424&lt;95),0.17,0)+IF(AND(V424&gt;175,W424&gt;=95),0.12,0),
IF(AF424="DoEVni",IF(AND(V424&lt;20,W424&lt;55),0.3,0)+IF(AND(V424&lt;20,W424&gt;=55,W424&lt;105),0.23,0)+IF(AND(V424&lt;20,W424&gt;=105),0.17,0)+IF(AND(V424&gt;=20,V424&lt;40,W424&lt;45),0.3,0)+IF(AND(V424&gt;=20,V424&lt;40,W424&gt;=45,W424&lt;95),0.23,0)+IF(AND(V424&gt;=20,V424&lt;40,W424&gt;=95,W424&lt;=200),0.17,0)+IF(AND(V424&gt;=20,V424&lt;40,W424&gt;=200),0.12,0)+IF(AND(V424&gt;=40,V424&lt;75,W424&lt;35),0.3,0)+IF(AND(V424&gt;=40,V424&lt;75,W424&gt;=35,W424&lt;75),0.23,0)+IF(AND(V424&gt;=40,V424&lt;75,W424&gt;=75,W424&lt;120),0.17,0)+IF(AND(V424&gt;=40,V424&lt;75,W424&gt;=120),0.12,0)+IF(AND(V424&gt;=75,V424&lt;175,W424&lt;35),0.3,0)+IF(AND(V424&gt;=75,V424&lt;=175,W424&gt;=35,W424&lt;65),0.23,0)+IF(AND(V424&gt;=75,V424&lt;=175,W424&gt;=65,W424&lt;110),0.17,0)+IF(AND(V424&gt;=75,V424&lt;=175,W424&gt;=110),0.12,0)+IF(AND(V424&gt;175,W424&lt;25),0.3,0)+IF(AND(V424&gt;175,W424&gt;=25,W424&lt;55),0.23,0)+IF(AND(V424&gt;175,W424&gt;=55,W424&lt;95),0.17,0)+IF(AND(V424&gt;175,W424&gt;=95),0.12,0),
IF(AF424="DoEVLo",IF(AND(V424&lt;20,W424&lt;55),0.25,0)+IF(AND(V424&lt;20,W424&gt;=55,W424&lt;105),0.2,0)+IF(AND(V424&lt;20,W424&gt;=105),0.15,0)+IF(AND(V424&gt;=20,V424&lt;40,W424&lt;45),0.25,0)+IF(AND(V424&gt;=20,V424&lt;40,W424&gt;=45,W424&lt;95),0.2,0)+IF(AND(V424&gt;=20,V424&lt;40,W424&gt;=95),0.15,0)+IF(AND(V424&gt;=40,V424&lt;75,W424&lt;35),0.25,0)+IF(AND(V424&gt;=40,V424&lt;75,W424&gt;=35,W424&lt;75),0.2,0)+IF(AND(V424&gt;=40,V424&lt;75,W424&gt;=75,W424&lt;120),0.15,0)+IF(AND(V424&gt;=40,V424&lt;75,W424&gt;=120),0.1,0)+IF(AND(V424&gt;=75,V424&lt;175,W424&lt;35),0.25,0)+IF(AND(V424&gt;=75,V424&lt;=175,W424&gt;=35,W424&lt;65),0.2,0)+IF(AND(V424&gt;=75,V424&lt;=175,W424&gt;=65,W424&lt;110),0.15,0)+IF(AND(V424&gt;=75,V424&lt;=175,W424&gt;=110),0.1,0)+IF(AND(V424&gt;175,W424&lt;25),0.25,0)+IF(AND(V424&gt;175,W424&gt;=25,W424&lt;55),0.2,0)+IF(AND(V424&gt;175,W424&gt;=55,W424&lt;95),0.15,0)+IF(AND(V424&gt;175,W424&gt;=95),0.1,0))))))))))))))))</f>
        <v>0.35</v>
      </c>
      <c r="Y424" s="30">
        <f>IF(AG424="None",0,IF(AG424="Fix5",0.05,IF(AG424="Fix3.75",0.0375,IF(AG424="Fix10",0.1,IF(AG424="Fix3",0.03,0)))))</f>
        <v>0</v>
      </c>
      <c r="Z424" s="59">
        <v>75</v>
      </c>
      <c r="AA424" s="60">
        <v>15</v>
      </c>
      <c r="AB424" s="36">
        <f>IF(AD424="EUR",((T424-R424)*Y424)*U424+(R424*Y424),(T424*Y424))</f>
        <v>0</v>
      </c>
      <c r="AC424" s="37" t="b">
        <v>1</v>
      </c>
      <c r="AD424" s="37" t="s">
        <v>38</v>
      </c>
      <c r="AE424" s="37" t="s">
        <v>38</v>
      </c>
      <c r="AF424" s="37" t="str">
        <f t="array" ref="AF424">INDEX('Deal Info'!D:D, MATCH(A424,'Deal Info'!A:A, 0))</f>
        <v>DoEVold</v>
      </c>
      <c r="AG424" s="38" t="str">
        <f t="array" ref="AG424">INDEX('Deal Info'!G:G, MATCH(A424,'Deal Info'!A:A, 0))</f>
        <v>None</v>
      </c>
    </row>
    <row r="425" spans="1:33" ht="14.25" hidden="1" x14ac:dyDescent="0.2">
      <c r="A425" s="18" t="str">
        <f t="array" ref="A425">IF(G425='Room Info'!$B$1, INDEX('Room Info'!$A$2:$A2446, MATCH(B425,'Room Info'!$B$2:$B2446, 0)),IF(G425='Room Info'!$C$1, INDEX('Room Info'!$A$2:$A2446, MATCH(B425,'Room Info'!$C$2:$C2446, 0)),IF(G425='Room Info'!$D$1, INDEX('Room Info'!$A$2:$A2446, MATCH(B425,'Room Info'!$D$2:$D2446, 0)),IF(G425='Room Info'!$E$1, INDEX('Room Info'!$A$2:$A2446, MATCH(B425,'Room Info'!$E$2:$E2446, 0)),IF(G425='Room Info'!$F$1, INDEX('Room Info'!$A$2:$A2446, MATCH(B425,'Room Info'!$F$2:$F2446, 0)),IF(G425='Room Info'!$H$1, INDEX('Room Info'!$A$2:$A2446, MATCH(B425,'Room Info'!$H$2:$H2446, 0)),IF(G425='Room Info'!$G$1, INDEX('Room Info'!$A$2:$A2446, MATCH(B425,'Room Info'!$G$2:$G2446, 0)))))))))</f>
        <v>Freedoom</v>
      </c>
      <c r="B425" s="45" t="s">
        <v>110</v>
      </c>
      <c r="C425" s="46">
        <v>44501</v>
      </c>
      <c r="D425" s="46">
        <v>44530</v>
      </c>
      <c r="E425" s="47">
        <v>44501</v>
      </c>
      <c r="F425" s="48" t="s">
        <v>49</v>
      </c>
      <c r="G425" s="54" t="s">
        <v>61</v>
      </c>
      <c r="H425" s="49" t="s">
        <v>64</v>
      </c>
      <c r="I425" s="49" t="s">
        <v>37</v>
      </c>
      <c r="J425" s="50">
        <v>10</v>
      </c>
      <c r="K425" s="51">
        <v>1262</v>
      </c>
      <c r="L425" s="52">
        <v>-1290</v>
      </c>
      <c r="M425" s="53">
        <v>480</v>
      </c>
      <c r="N425" s="28">
        <f>K425*J425</f>
        <v>12620</v>
      </c>
      <c r="O425" s="54">
        <v>93812</v>
      </c>
      <c r="P425" s="29">
        <v>74.335974640000003</v>
      </c>
      <c r="Q425" s="55"/>
      <c r="R425" s="31">
        <f>M425+Q425</f>
        <v>480</v>
      </c>
      <c r="S425" s="56">
        <v>665</v>
      </c>
      <c r="T425" s="32">
        <f>R425+S425+IF(F425="Without EV deal",L425,0)</f>
        <v>1145</v>
      </c>
      <c r="U425" s="57">
        <v>1</v>
      </c>
      <c r="V425" s="58"/>
      <c r="W425" s="58"/>
      <c r="X425" s="30">
        <f>IF(AF425="DoEV",IF(AND(V425&lt;20,W425&lt;55),0.3,0)+IF(AND(V425&lt;20,W425&gt;=55,W425&lt;105),0.23,0)+IF(AND(V425&lt;20,W425&gt;=105),0.17,0)+IF(AND(V425&gt;=20,V425&lt;40,W425&lt;45),0.3,0)+IF(AND(V425&gt;=20,V425&lt;40,W425&gt;=45,W425&lt;95),0.23,0)+IF(AND(V425&gt;=20,V425&lt;40,W425&gt;=95),0.17,0)+IF(AND(V425&gt;=40,V425&lt;75,W425&lt;35),0.3,0)+IF(AND(V425&gt;=40,V425&lt;75,W425&gt;=35,W425&lt;75),0.23,0)+IF(AND(V425&gt;=40,V425&lt;75,W425&gt;=75,W425&lt;120),0.17,0)+IF(AND(V425&gt;=40,V425&lt;75,W425&gt;=120),0.12,0)+IF(AND(V425&gt;=75,V425&lt;175,W425&lt;35),0.3,0)+IF(AND(V425&gt;=75,V425&lt;=175,W425&gt;=35,W425&lt;65),0.23,0)+IF(AND(V425&gt;=75,V425&lt;=175,W425&gt;=65,W425&lt;110),0.17,0)+IF(AND(V425&gt;=75,V425&lt;=175,W425&gt;=110),0.12,0)+IF(AND(V425&gt;175,W425&lt;25),0.3,0)+IF(AND(V425&gt;175,W425&gt;=25,W425&lt;55),0.23,0)+IF(AND(V425&gt;175,W425&gt;=55,W425&lt;95),0.17,0)+IF(AND(V425&gt;175,W425&gt;=95),0.12,0),
IF(AF425="Fix15",0.15,
IF(AF425="Fix11.25",0.1125,
IF(AF425="Fix10",0.1,
IF(AF425="Fix9",0.09,
IF(AF425="DoEV2017",IF(AND(W425&lt;74),0.2,0)+IF(AND(W425&gt;=74),0.17,0),
IF(AF425="SF",IF(AND(V425&lt;20,W425&lt;89),0.3,0)+IF(AND(V425&lt;20,W425&gt;=89),0.25,0)+IF(AND(V425&gt;=20,V425&lt;40,W425&lt;74),0.3,0)+IF(AND(V425&gt;=20,V425&lt;40,W425&gt;=75),0.22,0)+IF(AND(V425&gt;=40,V425&lt;75,W425&lt;75),0.26,0)+IF(AND(V425&gt;=40,V425&lt;75,W425&gt;=75),0.22,0)+IF(V425&gt;=75,0.22,0),
IF(AF425="DoEVold",IF(AND(V425&lt;40,W425&lt;35),0.35,0)+IF(AND(V425&lt;40,W425&gt;=35,W425&lt;75),0.25,0)+IF(AND(V425&lt;40,W425&gt;=75),0.17,0)+IF(AND(V425&gt;=40,V425&lt;75,W425&lt;25),0.35,0)+IF(AND(V425&gt;=40,V425&lt;75,W425&gt;=25,W425&lt;65),0.25,0)+IF(AND(V425&gt;=40,V425&lt;75,W425&gt;=65,W425&lt;100),0.17,0)+IF(AND(V425&gt;=40,V425&lt;75,W425&gt;=100),0.1,0)+IF(AND(V425&gt;=75,W425&lt;25),0.35,0)+IF(AND(V425&gt;=75,W425&gt;=25,W425&lt;60),0.25,0)+IF(AND(V425&gt;=75,W425&gt;=60,W425&lt;95),0.17,0)+IF(AND(V425&gt;=75,W425&gt;=95),0.1,0),
IF(AF425="DoEVold15",IF(AND(V425&lt;=40,W425&lt;35),0.35,0)+IF(AND(V425&lt;=40,W425&gt;=35,W425&lt;75),0.25,0)+IF(AND(V425&lt;=40,W425&gt;=75,W425&lt;120),0.17,0)+IF(AND(V425&lt;=40,W425&gt;=120),0.15,0)+IF(AND(V425&gt;40,V425&lt;75,W425&lt;25),0.35,0)+IF(AND(V425&gt;=40,V425&lt;75,W425&gt;=25,W425&lt;65),0.25,0)+IF(AND(V425&gt;=40,V425&lt;75,W425&gt;=65,W425&lt;100),0.17,0)+IF(AND(V425&gt;=40,V425&lt;75,W425&gt;=100),0.1,0)+IF(AND(V425&gt;=75,W425&lt;25),0.35,0)+IF(AND(V425&gt;=75,W425&gt;=25,W425&lt;60),0.25,0)+IF(AND(V425&gt;=75,W425&gt;=60,W425&lt;95),0.17,0)+IF(AND(V425&gt;=75,W425&gt;=95),0.1,0),
IF(AF425="DoEVba",IF(AND(V425&lt;20,W425&lt;105),0.2,0)+IF(AND(V425&lt;20,W425&gt;=105),0.15,0)+IF(AND(V425&gt;=20,V425&lt;40,W425&lt;95),0.2,0)+IF(AND(V425&gt;=20,V425&lt;40,W425&gt;=95,W425&lt;150),0.15,0)+IF(AND(V425&gt;=20,V425&lt;40,W425&gt;=150),0.12,0)+IF(AND(V425&gt;=40,V425&lt;75,W425&lt;75),0.2,0)+IF(AND(V425&gt;=40,V425&lt;75,W425&gt;=75,W425&lt;120),0.15,0)+IF(AND(V425&gt;=40,V425&lt;75,W425&gt;=120),0.12,0)+IF(AND(V425&gt;=75,V425&lt;175,W425&lt;65),0.2,0)+IF(AND(V425&gt;=75,V425&lt;175,W425&gt;=65,W425&lt;110),0.15,0)+IF(AND(V425&gt;=75,V425&lt;175,W425&gt;=110),0.12,0)+IF(AND(V425&gt;=175,W425&lt;55),0.2,0)+IF(AND(V425&gt;=175,W425&gt;=55,W425&lt;95),0.15,0)+IF(AND(V425&gt;=175,W425&gt;=95),0.12,0),
IF(AF425="DoEVku",IF(AND(V425&lt;20,W425&lt;55),0.23,0)+IF(AND(V425&lt;20,W425&gt;=55,W425&lt;105),0.2,0)+IF(AND(V425&lt;20,W425&gt;=105),0.17,0)+IF(AND(V425&gt;=20,V425&lt;40,W425&lt;45),0.23,0)+IF(AND(V425&gt;=20,V425&lt;40,W425&gt;=45,W425&lt;95),0.2,0)+IF(AND(V425&gt;=20,V425&lt;40,W425&gt;=95,W425&lt;=150),0.17,0)+IF(AND(V425&gt;=20,V425&lt;40,W425&gt;=150),0.12,0)+IF(AND(V425&gt;=40,V425&lt;75,W425&lt;35),0.23,0)+IF(AND(V425&gt;=40,V425&lt;75,W425&gt;=35,W425&lt;75),0.2,0)+IF(AND(V425&gt;=40,V425&lt;75,W425&gt;=75,W425&lt;120),0.17,0)+IF(AND(V425&gt;=40,V425&lt;75,W425&gt;=120),0.12,0)+IF(AND(V425&gt;=75,V425&lt;175,W425&lt;35),0.23,0)+IF(AND(V425&gt;=75,V425&lt;=175,W425&gt;=35,W425&lt;65),0.2,0)+IF(AND(V425&gt;=75,V425&lt;=175,W425&gt;=65,W425&lt;110),0.17,0)+IF(AND(V425&gt;=75,V425&lt;=175,W425&gt;=110),0.12,0)+IF(AND(V425&gt;175,W425&lt;25),0.23,0)+IF(AND(V425&gt;175,W425&gt;=25,W425&lt;55),0.2,0)+IF(AND(V425&gt;175,W425&gt;=55,W425&lt;95),0.17,0)+IF(AND(V425&gt;175,W425&gt;=95),0.12,0),
IF(AF425="DoEVs1",IF(AND(V425&lt;20,W425&lt;55),0.3,0)+IF(AND(V425&lt;20,W425&gt;=55,W425&lt;105),0.23,0)+IF(AND(V425&lt;20,W425&gt;=105),0.17,0)+IF(AND(V425&gt;=20,V425&lt;40,W425&lt;45),0.3,0)+IF(AND(V425&gt;=20,V425&lt;40,W425&gt;=45,W425&lt;95),0.23,0)+IF(AND(V425&gt;=20,V425&lt;40,W425&gt;=95,W425&lt;=150),0.17,0)+IF(AND(V425&gt;=20,V425&lt;40,W425&gt;=150),0.12,0)+IF(AND(V425&gt;=40,V425&lt;75,W425&lt;35),0.3,0)+IF(AND(V425&gt;=40,V425&lt;75,W425&gt;=35,W425&lt;75),0.23,0)+IF(AND(V425&gt;=40,V425&lt;75,W425&gt;=75,W425&lt;120),0.17,0)+IF(AND(V425&gt;=40,V425&lt;75,W425&gt;=120),0.12,0)+IF(AND(V425&gt;=75,V425&lt;175,W425&lt;35),0.3,0)+IF(AND(V425&gt;=75,V425&lt;=175,W425&gt;=35,W425&lt;65),0.23,0)+IF(AND(V425&gt;=75,V425&lt;=175,W425&gt;=65,W425&lt;110),0.17,0)+IF(AND(V425&gt;=75,V425&lt;=175,W425&gt;=110),0.12,0)+IF(AND(V425&gt;175,W425&lt;25),0.3,0)+IF(AND(V425&gt;175,W425&gt;=25,W425&lt;55),0.23,0)+IF(AND(V425&gt;175,W425&gt;=55,W425&lt;95),0.17,0)+IF(AND(V425&gt;175,W425&gt;=95),0.12,0),
IF(AF425="DoEVsu",IF(AND(V425&lt;20,W425&lt;55),0.3,0)+IF(AND(V425&lt;20,W425&gt;=55,W425&lt;105),0.23,0)+IF(AND(V425&lt;20,W425&gt;=105),0.17,0)+IF(AND(V425&gt;=20,V425&lt;40,W425&lt;45),0.3,0)+IF(AND(V425&gt;=20,V425&lt;40,W425&gt;=45,W425&lt;95),0.23,0)+IF(AND(V425&gt;=20,V425&lt;40,W425&gt;=95,W425&lt;=250),0.17,0)+IF(AND(V425&gt;=20,V425&lt;40,W425&gt;=250),0.12,0)+IF(AND(V425&gt;=40,V425&lt;75,W425&lt;35),0.3,0)+IF(AND(V425&gt;=40,V425&lt;75,W425&gt;=35,W425&lt;75),0.23,0)+IF(AND(V425&gt;=40,V425&lt;75,W425&gt;=75,W425&lt;120),0.17,0)+IF(AND(V425&gt;=40,V425&lt;75,W425&gt;=120),0.12,0)+IF(AND(V425&gt;=75,V425&lt;175,W425&lt;35),0.3,0)+IF(AND(V425&gt;=75,V425&lt;=175,W425&gt;=35,W425&lt;65),0.23,0)+IF(AND(V425&gt;=75,V425&lt;=175,W425&gt;=65,W425&lt;110),0.17,0)+IF(AND(V425&gt;=75,V425&lt;=175,W425&gt;=110),0.12,0)+IF(AND(V425&gt;175,W425&lt;25),0.3,0)+IF(AND(V425&gt;175,W425&gt;=25,W425&lt;55),0.23,0)+IF(AND(V425&gt;175,W425&gt;=55,W425&lt;95),0.17,0)+IF(AND(V425&gt;175,W425&gt;=95),0.12,0),
IF(AF425="DoEVni",IF(AND(V425&lt;20,W425&lt;55),0.3,0)+IF(AND(V425&lt;20,W425&gt;=55,W425&lt;105),0.23,0)+IF(AND(V425&lt;20,W425&gt;=105),0.17,0)+IF(AND(V425&gt;=20,V425&lt;40,W425&lt;45),0.3,0)+IF(AND(V425&gt;=20,V425&lt;40,W425&gt;=45,W425&lt;95),0.23,0)+IF(AND(V425&gt;=20,V425&lt;40,W425&gt;=95,W425&lt;=200),0.17,0)+IF(AND(V425&gt;=20,V425&lt;40,W425&gt;=200),0.12,0)+IF(AND(V425&gt;=40,V425&lt;75,W425&lt;35),0.3,0)+IF(AND(V425&gt;=40,V425&lt;75,W425&gt;=35,W425&lt;75),0.23,0)+IF(AND(V425&gt;=40,V425&lt;75,W425&gt;=75,W425&lt;120),0.17,0)+IF(AND(V425&gt;=40,V425&lt;75,W425&gt;=120),0.12,0)+IF(AND(V425&gt;=75,V425&lt;175,W425&lt;35),0.3,0)+IF(AND(V425&gt;=75,V425&lt;=175,W425&gt;=35,W425&lt;65),0.23,0)+IF(AND(V425&gt;=75,V425&lt;=175,W425&gt;=65,W425&lt;110),0.17,0)+IF(AND(V425&gt;=75,V425&lt;=175,W425&gt;=110),0.12,0)+IF(AND(V425&gt;175,W425&lt;25),0.3,0)+IF(AND(V425&gt;175,W425&gt;=25,W425&lt;55),0.23,0)+IF(AND(V425&gt;175,W425&gt;=55,W425&lt;95),0.17,0)+IF(AND(V425&gt;175,W425&gt;=95),0.12,0),
IF(AF425="DoEVLo",IF(AND(V425&lt;20,W425&lt;55),0.25,0)+IF(AND(V425&lt;20,W425&gt;=55,W425&lt;105),0.2,0)+IF(AND(V425&lt;20,W425&gt;=105),0.15,0)+IF(AND(V425&gt;=20,V425&lt;40,W425&lt;45),0.25,0)+IF(AND(V425&gt;=20,V425&lt;40,W425&gt;=45,W425&lt;95),0.2,0)+IF(AND(V425&gt;=20,V425&lt;40,W425&gt;=95),0.15,0)+IF(AND(V425&gt;=40,V425&lt;75,W425&lt;35),0.25,0)+IF(AND(V425&gt;=40,V425&lt;75,W425&gt;=35,W425&lt;75),0.2,0)+IF(AND(V425&gt;=40,V425&lt;75,W425&gt;=75,W425&lt;120),0.15,0)+IF(AND(V425&gt;=40,V425&lt;75,W425&gt;=120),0.1,0)+IF(AND(V425&gt;=75,V425&lt;175,W425&lt;35),0.25,0)+IF(AND(V425&gt;=75,V425&lt;=175,W425&gt;=35,W425&lt;65),0.2,0)+IF(AND(V425&gt;=75,V425&lt;=175,W425&gt;=65,W425&lt;110),0.15,0)+IF(AND(V425&gt;=75,V425&lt;=175,W425&gt;=110),0.1,0)+IF(AND(V425&gt;175,W425&lt;25),0.25,0)+IF(AND(V425&gt;175,W425&gt;=25,W425&lt;55),0.2,0)+IF(AND(V425&gt;175,W425&gt;=55,W425&lt;95),0.15,0)+IF(AND(V425&gt;175,W425&gt;=95),0.1,0))))))))))))))))</f>
        <v>0.35</v>
      </c>
      <c r="Y425" s="30">
        <f>IF(AG425="None",0,IF(AG425="Fix5",0.05,IF(AG425="Fix3.75",0.0375,IF(AG425="Fix10",0.1,IF(AG425="Fix3",0.03,0)))))</f>
        <v>0</v>
      </c>
      <c r="Z425" s="59">
        <v>950</v>
      </c>
      <c r="AA425" s="60">
        <v>195</v>
      </c>
      <c r="AB425" s="36">
        <f>IF(AD425="EUR",((T425-R425)*Y425)*U425+(R425*Y425),(T425*Y425))</f>
        <v>0</v>
      </c>
      <c r="AC425" s="37" t="b">
        <v>1</v>
      </c>
      <c r="AD425" s="37" t="s">
        <v>38</v>
      </c>
      <c r="AE425" s="37" t="s">
        <v>38</v>
      </c>
      <c r="AF425" s="37" t="str">
        <f t="array" ref="AF425">INDEX('Deal Info'!D:D, MATCH(A425,'Deal Info'!A:A, 0))</f>
        <v>DoEVold</v>
      </c>
      <c r="AG425" s="38" t="str">
        <f t="array" ref="AG425">INDEX('Deal Info'!G:G, MATCH(A425,'Deal Info'!A:A, 0))</f>
        <v>None</v>
      </c>
    </row>
    <row r="426" spans="1:33" ht="14.25" hidden="1" x14ac:dyDescent="0.2">
      <c r="A426" s="18" t="str">
        <f t="array" ref="A426">IF(G426='Room Info'!$B$1, INDEX('Room Info'!$A$2:$A2446, MATCH(B426,'Room Info'!$B$2:$B2446, 0)),IF(G426='Room Info'!$C$1, INDEX('Room Info'!$A$2:$A2446, MATCH(B426,'Room Info'!$C$2:$C2446, 0)),IF(G426='Room Info'!$D$1, INDEX('Room Info'!$A$2:$A2446, MATCH(B426,'Room Info'!$D$2:$D2446, 0)),IF(G426='Room Info'!$E$1, INDEX('Room Info'!$A$2:$A2446, MATCH(B426,'Room Info'!$E$2:$E2446, 0)),IF(G426='Room Info'!$F$1, INDEX('Room Info'!$A$2:$A2446, MATCH(B426,'Room Info'!$F$2:$F2446, 0)),IF(G426='Room Info'!$H$1, INDEX('Room Info'!$A$2:$A2446, MATCH(B426,'Room Info'!$H$2:$H2446, 0)),IF(G426='Room Info'!$G$1, INDEX('Room Info'!$A$2:$A2446, MATCH(B426,'Room Info'!$G$2:$G2446, 0)))))))))</f>
        <v>Freedoom</v>
      </c>
      <c r="B426" s="45" t="s">
        <v>110</v>
      </c>
      <c r="C426" s="46">
        <v>44501</v>
      </c>
      <c r="D426" s="46">
        <v>44530</v>
      </c>
      <c r="E426" s="47">
        <v>44501</v>
      </c>
      <c r="F426" s="48" t="s">
        <v>49</v>
      </c>
      <c r="G426" s="54" t="s">
        <v>61</v>
      </c>
      <c r="H426" s="49" t="s">
        <v>65</v>
      </c>
      <c r="I426" s="49" t="s">
        <v>37</v>
      </c>
      <c r="J426" s="50">
        <v>25</v>
      </c>
      <c r="K426" s="51">
        <v>495</v>
      </c>
      <c r="L426" s="52">
        <v>-1525</v>
      </c>
      <c r="M426" s="53">
        <v>5</v>
      </c>
      <c r="N426" s="28">
        <f>K426*J426</f>
        <v>12375</v>
      </c>
      <c r="O426" s="54">
        <v>30463</v>
      </c>
      <c r="P426" s="29">
        <v>61.541414140000001</v>
      </c>
      <c r="Q426" s="55"/>
      <c r="R426" s="31">
        <f>M426+Q426</f>
        <v>5</v>
      </c>
      <c r="S426" s="56">
        <v>254</v>
      </c>
      <c r="T426" s="32">
        <f>R426+S426+IF(F426="Without EV deal",L426,0)</f>
        <v>259</v>
      </c>
      <c r="U426" s="57">
        <v>1</v>
      </c>
      <c r="V426" s="58"/>
      <c r="W426" s="58"/>
      <c r="X426" s="30">
        <f>IF(AF426="DoEV",IF(AND(V426&lt;20,W426&lt;55),0.3,0)+IF(AND(V426&lt;20,W426&gt;=55,W426&lt;105),0.23,0)+IF(AND(V426&lt;20,W426&gt;=105),0.17,0)+IF(AND(V426&gt;=20,V426&lt;40,W426&lt;45),0.3,0)+IF(AND(V426&gt;=20,V426&lt;40,W426&gt;=45,W426&lt;95),0.23,0)+IF(AND(V426&gt;=20,V426&lt;40,W426&gt;=95),0.17,0)+IF(AND(V426&gt;=40,V426&lt;75,W426&lt;35),0.3,0)+IF(AND(V426&gt;=40,V426&lt;75,W426&gt;=35,W426&lt;75),0.23,0)+IF(AND(V426&gt;=40,V426&lt;75,W426&gt;=75,W426&lt;120),0.17,0)+IF(AND(V426&gt;=40,V426&lt;75,W426&gt;=120),0.12,0)+IF(AND(V426&gt;=75,V426&lt;175,W426&lt;35),0.3,0)+IF(AND(V426&gt;=75,V426&lt;=175,W426&gt;=35,W426&lt;65),0.23,0)+IF(AND(V426&gt;=75,V426&lt;=175,W426&gt;=65,W426&lt;110),0.17,0)+IF(AND(V426&gt;=75,V426&lt;=175,W426&gt;=110),0.12,0)+IF(AND(V426&gt;175,W426&lt;25),0.3,0)+IF(AND(V426&gt;175,W426&gt;=25,W426&lt;55),0.23,0)+IF(AND(V426&gt;175,W426&gt;=55,W426&lt;95),0.17,0)+IF(AND(V426&gt;175,W426&gt;=95),0.12,0),
IF(AF426="Fix15",0.15,
IF(AF426="Fix11.25",0.1125,
IF(AF426="Fix10",0.1,
IF(AF426="Fix9",0.09,
IF(AF426="DoEV2017",IF(AND(W426&lt;74),0.2,0)+IF(AND(W426&gt;=74),0.17,0),
IF(AF426="SF",IF(AND(V426&lt;20,W426&lt;89),0.3,0)+IF(AND(V426&lt;20,W426&gt;=89),0.25,0)+IF(AND(V426&gt;=20,V426&lt;40,W426&lt;74),0.3,0)+IF(AND(V426&gt;=20,V426&lt;40,W426&gt;=75),0.22,0)+IF(AND(V426&gt;=40,V426&lt;75,W426&lt;75),0.26,0)+IF(AND(V426&gt;=40,V426&lt;75,W426&gt;=75),0.22,0)+IF(V426&gt;=75,0.22,0),
IF(AF426="DoEVold",IF(AND(V426&lt;40,W426&lt;35),0.35,0)+IF(AND(V426&lt;40,W426&gt;=35,W426&lt;75),0.25,0)+IF(AND(V426&lt;40,W426&gt;=75),0.17,0)+IF(AND(V426&gt;=40,V426&lt;75,W426&lt;25),0.35,0)+IF(AND(V426&gt;=40,V426&lt;75,W426&gt;=25,W426&lt;65),0.25,0)+IF(AND(V426&gt;=40,V426&lt;75,W426&gt;=65,W426&lt;100),0.17,0)+IF(AND(V426&gt;=40,V426&lt;75,W426&gt;=100),0.1,0)+IF(AND(V426&gt;=75,W426&lt;25),0.35,0)+IF(AND(V426&gt;=75,W426&gt;=25,W426&lt;60),0.25,0)+IF(AND(V426&gt;=75,W426&gt;=60,W426&lt;95),0.17,0)+IF(AND(V426&gt;=75,W426&gt;=95),0.1,0),
IF(AF426="DoEVold15",IF(AND(V426&lt;=40,W426&lt;35),0.35,0)+IF(AND(V426&lt;=40,W426&gt;=35,W426&lt;75),0.25,0)+IF(AND(V426&lt;=40,W426&gt;=75,W426&lt;120),0.17,0)+IF(AND(V426&lt;=40,W426&gt;=120),0.15,0)+IF(AND(V426&gt;40,V426&lt;75,W426&lt;25),0.35,0)+IF(AND(V426&gt;=40,V426&lt;75,W426&gt;=25,W426&lt;65),0.25,0)+IF(AND(V426&gt;=40,V426&lt;75,W426&gt;=65,W426&lt;100),0.17,0)+IF(AND(V426&gt;=40,V426&lt;75,W426&gt;=100),0.1,0)+IF(AND(V426&gt;=75,W426&lt;25),0.35,0)+IF(AND(V426&gt;=75,W426&gt;=25,W426&lt;60),0.25,0)+IF(AND(V426&gt;=75,W426&gt;=60,W426&lt;95),0.17,0)+IF(AND(V426&gt;=75,W426&gt;=95),0.1,0),
IF(AF426="DoEVba",IF(AND(V426&lt;20,W426&lt;105),0.2,0)+IF(AND(V426&lt;20,W426&gt;=105),0.15,0)+IF(AND(V426&gt;=20,V426&lt;40,W426&lt;95),0.2,0)+IF(AND(V426&gt;=20,V426&lt;40,W426&gt;=95,W426&lt;150),0.15,0)+IF(AND(V426&gt;=20,V426&lt;40,W426&gt;=150),0.12,0)+IF(AND(V426&gt;=40,V426&lt;75,W426&lt;75),0.2,0)+IF(AND(V426&gt;=40,V426&lt;75,W426&gt;=75,W426&lt;120),0.15,0)+IF(AND(V426&gt;=40,V426&lt;75,W426&gt;=120),0.12,0)+IF(AND(V426&gt;=75,V426&lt;175,W426&lt;65),0.2,0)+IF(AND(V426&gt;=75,V426&lt;175,W426&gt;=65,W426&lt;110),0.15,0)+IF(AND(V426&gt;=75,V426&lt;175,W426&gt;=110),0.12,0)+IF(AND(V426&gt;=175,W426&lt;55),0.2,0)+IF(AND(V426&gt;=175,W426&gt;=55,W426&lt;95),0.15,0)+IF(AND(V426&gt;=175,W426&gt;=95),0.12,0),
IF(AF426="DoEVku",IF(AND(V426&lt;20,W426&lt;55),0.23,0)+IF(AND(V426&lt;20,W426&gt;=55,W426&lt;105),0.2,0)+IF(AND(V426&lt;20,W426&gt;=105),0.17,0)+IF(AND(V426&gt;=20,V426&lt;40,W426&lt;45),0.23,0)+IF(AND(V426&gt;=20,V426&lt;40,W426&gt;=45,W426&lt;95),0.2,0)+IF(AND(V426&gt;=20,V426&lt;40,W426&gt;=95,W426&lt;=150),0.17,0)+IF(AND(V426&gt;=20,V426&lt;40,W426&gt;=150),0.12,0)+IF(AND(V426&gt;=40,V426&lt;75,W426&lt;35),0.23,0)+IF(AND(V426&gt;=40,V426&lt;75,W426&gt;=35,W426&lt;75),0.2,0)+IF(AND(V426&gt;=40,V426&lt;75,W426&gt;=75,W426&lt;120),0.17,0)+IF(AND(V426&gt;=40,V426&lt;75,W426&gt;=120),0.12,0)+IF(AND(V426&gt;=75,V426&lt;175,W426&lt;35),0.23,0)+IF(AND(V426&gt;=75,V426&lt;=175,W426&gt;=35,W426&lt;65),0.2,0)+IF(AND(V426&gt;=75,V426&lt;=175,W426&gt;=65,W426&lt;110),0.17,0)+IF(AND(V426&gt;=75,V426&lt;=175,W426&gt;=110),0.12,0)+IF(AND(V426&gt;175,W426&lt;25),0.23,0)+IF(AND(V426&gt;175,W426&gt;=25,W426&lt;55),0.2,0)+IF(AND(V426&gt;175,W426&gt;=55,W426&lt;95),0.17,0)+IF(AND(V426&gt;175,W426&gt;=95),0.12,0),
IF(AF426="DoEVs1",IF(AND(V426&lt;20,W426&lt;55),0.3,0)+IF(AND(V426&lt;20,W426&gt;=55,W426&lt;105),0.23,0)+IF(AND(V426&lt;20,W426&gt;=105),0.17,0)+IF(AND(V426&gt;=20,V426&lt;40,W426&lt;45),0.3,0)+IF(AND(V426&gt;=20,V426&lt;40,W426&gt;=45,W426&lt;95),0.23,0)+IF(AND(V426&gt;=20,V426&lt;40,W426&gt;=95,W426&lt;=150),0.17,0)+IF(AND(V426&gt;=20,V426&lt;40,W426&gt;=150),0.12,0)+IF(AND(V426&gt;=40,V426&lt;75,W426&lt;35),0.3,0)+IF(AND(V426&gt;=40,V426&lt;75,W426&gt;=35,W426&lt;75),0.23,0)+IF(AND(V426&gt;=40,V426&lt;75,W426&gt;=75,W426&lt;120),0.17,0)+IF(AND(V426&gt;=40,V426&lt;75,W426&gt;=120),0.12,0)+IF(AND(V426&gt;=75,V426&lt;175,W426&lt;35),0.3,0)+IF(AND(V426&gt;=75,V426&lt;=175,W426&gt;=35,W426&lt;65),0.23,0)+IF(AND(V426&gt;=75,V426&lt;=175,W426&gt;=65,W426&lt;110),0.17,0)+IF(AND(V426&gt;=75,V426&lt;=175,W426&gt;=110),0.12,0)+IF(AND(V426&gt;175,W426&lt;25),0.3,0)+IF(AND(V426&gt;175,W426&gt;=25,W426&lt;55),0.23,0)+IF(AND(V426&gt;175,W426&gt;=55,W426&lt;95),0.17,0)+IF(AND(V426&gt;175,W426&gt;=95),0.12,0),
IF(AF426="DoEVsu",IF(AND(V426&lt;20,W426&lt;55),0.3,0)+IF(AND(V426&lt;20,W426&gt;=55,W426&lt;105),0.23,0)+IF(AND(V426&lt;20,W426&gt;=105),0.17,0)+IF(AND(V426&gt;=20,V426&lt;40,W426&lt;45),0.3,0)+IF(AND(V426&gt;=20,V426&lt;40,W426&gt;=45,W426&lt;95),0.23,0)+IF(AND(V426&gt;=20,V426&lt;40,W426&gt;=95,W426&lt;=250),0.17,0)+IF(AND(V426&gt;=20,V426&lt;40,W426&gt;=250),0.12,0)+IF(AND(V426&gt;=40,V426&lt;75,W426&lt;35),0.3,0)+IF(AND(V426&gt;=40,V426&lt;75,W426&gt;=35,W426&lt;75),0.23,0)+IF(AND(V426&gt;=40,V426&lt;75,W426&gt;=75,W426&lt;120),0.17,0)+IF(AND(V426&gt;=40,V426&lt;75,W426&gt;=120),0.12,0)+IF(AND(V426&gt;=75,V426&lt;175,W426&lt;35),0.3,0)+IF(AND(V426&gt;=75,V426&lt;=175,W426&gt;=35,W426&lt;65),0.23,0)+IF(AND(V426&gt;=75,V426&lt;=175,W426&gt;=65,W426&lt;110),0.17,0)+IF(AND(V426&gt;=75,V426&lt;=175,W426&gt;=110),0.12,0)+IF(AND(V426&gt;175,W426&lt;25),0.3,0)+IF(AND(V426&gt;175,W426&gt;=25,W426&lt;55),0.23,0)+IF(AND(V426&gt;175,W426&gt;=55,W426&lt;95),0.17,0)+IF(AND(V426&gt;175,W426&gt;=95),0.12,0),
IF(AF426="DoEVni",IF(AND(V426&lt;20,W426&lt;55),0.3,0)+IF(AND(V426&lt;20,W426&gt;=55,W426&lt;105),0.23,0)+IF(AND(V426&lt;20,W426&gt;=105),0.17,0)+IF(AND(V426&gt;=20,V426&lt;40,W426&lt;45),0.3,0)+IF(AND(V426&gt;=20,V426&lt;40,W426&gt;=45,W426&lt;95),0.23,0)+IF(AND(V426&gt;=20,V426&lt;40,W426&gt;=95,W426&lt;=200),0.17,0)+IF(AND(V426&gt;=20,V426&lt;40,W426&gt;=200),0.12,0)+IF(AND(V426&gt;=40,V426&lt;75,W426&lt;35),0.3,0)+IF(AND(V426&gt;=40,V426&lt;75,W426&gt;=35,W426&lt;75),0.23,0)+IF(AND(V426&gt;=40,V426&lt;75,W426&gt;=75,W426&lt;120),0.17,0)+IF(AND(V426&gt;=40,V426&lt;75,W426&gt;=120),0.12,0)+IF(AND(V426&gt;=75,V426&lt;175,W426&lt;35),0.3,0)+IF(AND(V426&gt;=75,V426&lt;=175,W426&gt;=35,W426&lt;65),0.23,0)+IF(AND(V426&gt;=75,V426&lt;=175,W426&gt;=65,W426&lt;110),0.17,0)+IF(AND(V426&gt;=75,V426&lt;=175,W426&gt;=110),0.12,0)+IF(AND(V426&gt;175,W426&lt;25),0.3,0)+IF(AND(V426&gt;175,W426&gt;=25,W426&lt;55),0.23,0)+IF(AND(V426&gt;175,W426&gt;=55,W426&lt;95),0.17,0)+IF(AND(V426&gt;175,W426&gt;=95),0.12,0),
IF(AF426="DoEVLo",IF(AND(V426&lt;20,W426&lt;55),0.25,0)+IF(AND(V426&lt;20,W426&gt;=55,W426&lt;105),0.2,0)+IF(AND(V426&lt;20,W426&gt;=105),0.15,0)+IF(AND(V426&gt;=20,V426&lt;40,W426&lt;45),0.25,0)+IF(AND(V426&gt;=20,V426&lt;40,W426&gt;=45,W426&lt;95),0.2,0)+IF(AND(V426&gt;=20,V426&lt;40,W426&gt;=95),0.15,0)+IF(AND(V426&gt;=40,V426&lt;75,W426&lt;35),0.25,0)+IF(AND(V426&gt;=40,V426&lt;75,W426&gt;=35,W426&lt;75),0.2,0)+IF(AND(V426&gt;=40,V426&lt;75,W426&gt;=75,W426&lt;120),0.15,0)+IF(AND(V426&gt;=40,V426&lt;75,W426&gt;=120),0.1,0)+IF(AND(V426&gt;=75,V426&lt;175,W426&lt;35),0.25,0)+IF(AND(V426&gt;=75,V426&lt;=175,W426&gt;=35,W426&lt;65),0.2,0)+IF(AND(V426&gt;=75,V426&lt;=175,W426&gt;=65,W426&lt;110),0.15,0)+IF(AND(V426&gt;=75,V426&lt;=175,W426&gt;=110),0.1,0)+IF(AND(V426&gt;175,W426&lt;25),0.25,0)+IF(AND(V426&gt;175,W426&gt;=25,W426&lt;55),0.2,0)+IF(AND(V426&gt;175,W426&gt;=55,W426&lt;95),0.15,0)+IF(AND(V426&gt;175,W426&gt;=95),0.1,0))))))))))))))))</f>
        <v>0.35</v>
      </c>
      <c r="Y426" s="30">
        <f>IF(AG426="None",0,IF(AG426="Fix5",0.05,IF(AG426="Fix3.75",0.0375,IF(AG426="Fix10",0.1,IF(AG426="Fix3",0.03,0)))))</f>
        <v>0</v>
      </c>
      <c r="Z426" s="59">
        <v>215</v>
      </c>
      <c r="AA426" s="60">
        <v>44</v>
      </c>
      <c r="AB426" s="36">
        <f>IF(AD426="EUR",((T426-R426)*Y426)*U426+(R426*Y426),(T426*Y426))</f>
        <v>0</v>
      </c>
      <c r="AC426" s="37" t="b">
        <v>1</v>
      </c>
      <c r="AD426" s="37" t="s">
        <v>38</v>
      </c>
      <c r="AE426" s="37" t="s">
        <v>38</v>
      </c>
      <c r="AF426" s="37" t="str">
        <f t="array" ref="AF426">INDEX('Deal Info'!D:D, MATCH(A426,'Deal Info'!A:A, 0))</f>
        <v>DoEVold</v>
      </c>
      <c r="AG426" s="38" t="str">
        <f t="array" ref="AG426">INDEX('Deal Info'!G:G, MATCH(A426,'Deal Info'!A:A, 0))</f>
        <v>None</v>
      </c>
    </row>
    <row r="427" spans="1:33" ht="14.25" hidden="1" x14ac:dyDescent="0.2">
      <c r="A427" s="18" t="str">
        <f t="array" ref="A427">IF(G427='Room Info'!$B$1, INDEX('Room Info'!$A$2:$A2446, MATCH(B427,'Room Info'!$B$2:$B2446, 0)),IF(G427='Room Info'!$C$1, INDEX('Room Info'!$A$2:$A2446, MATCH(B427,'Room Info'!$C$2:$C2446, 0)),IF(G427='Room Info'!$D$1, INDEX('Room Info'!$A$2:$A2446, MATCH(B427,'Room Info'!$D$2:$D2446, 0)),IF(G427='Room Info'!$E$1, INDEX('Room Info'!$A$2:$A2446, MATCH(B427,'Room Info'!$E$2:$E2446, 0)),IF(G427='Room Info'!$F$1, INDEX('Room Info'!$A$2:$A2446, MATCH(B427,'Room Info'!$F$2:$F2446, 0)),IF(G427='Room Info'!$H$1, INDEX('Room Info'!$A$2:$A2446, MATCH(B427,'Room Info'!$H$2:$H2446, 0)),IF(G427='Room Info'!$G$1, INDEX('Room Info'!$A$2:$A2446, MATCH(B427,'Room Info'!$G$2:$G2446, 0)))))))))</f>
        <v>Freedoom</v>
      </c>
      <c r="B427" s="45" t="s">
        <v>110</v>
      </c>
      <c r="C427" s="46">
        <v>44531</v>
      </c>
      <c r="D427" s="46">
        <v>44550</v>
      </c>
      <c r="E427" s="47">
        <v>44531</v>
      </c>
      <c r="F427" s="48" t="s">
        <v>49</v>
      </c>
      <c r="G427" s="54" t="s">
        <v>61</v>
      </c>
      <c r="H427" s="49" t="s">
        <v>126</v>
      </c>
      <c r="I427" s="49" t="s">
        <v>37</v>
      </c>
      <c r="J427" s="50">
        <v>5</v>
      </c>
      <c r="K427" s="51">
        <v>1</v>
      </c>
      <c r="L427" s="52">
        <v>-5</v>
      </c>
      <c r="M427" s="53">
        <v>5</v>
      </c>
      <c r="N427" s="28">
        <f>K427*J427</f>
        <v>5</v>
      </c>
      <c r="O427" s="54">
        <v>-387</v>
      </c>
      <c r="P427" s="29">
        <v>-387</v>
      </c>
      <c r="Q427" s="55"/>
      <c r="R427" s="31">
        <f>M427+Q427</f>
        <v>5</v>
      </c>
      <c r="S427" s="56">
        <v>-4</v>
      </c>
      <c r="T427" s="32">
        <f>R427+S427+IF(F427="Without EV deal",L427,0)</f>
        <v>1</v>
      </c>
      <c r="U427" s="57">
        <v>1</v>
      </c>
      <c r="V427" s="58"/>
      <c r="W427" s="58"/>
      <c r="X427" s="30">
        <f>IF(AF427="DoEV",IF(AND(V427&lt;20,W427&lt;55),0.3,0)+IF(AND(V427&lt;20,W427&gt;=55,W427&lt;105),0.23,0)+IF(AND(V427&lt;20,W427&gt;=105),0.17,0)+IF(AND(V427&gt;=20,V427&lt;40,W427&lt;45),0.3,0)+IF(AND(V427&gt;=20,V427&lt;40,W427&gt;=45,W427&lt;95),0.23,0)+IF(AND(V427&gt;=20,V427&lt;40,W427&gt;=95),0.17,0)+IF(AND(V427&gt;=40,V427&lt;75,W427&lt;35),0.3,0)+IF(AND(V427&gt;=40,V427&lt;75,W427&gt;=35,W427&lt;75),0.23,0)+IF(AND(V427&gt;=40,V427&lt;75,W427&gt;=75,W427&lt;120),0.17,0)+IF(AND(V427&gt;=40,V427&lt;75,W427&gt;=120),0.12,0)+IF(AND(V427&gt;=75,V427&lt;175,W427&lt;35),0.3,0)+IF(AND(V427&gt;=75,V427&lt;=175,W427&gt;=35,W427&lt;65),0.23,0)+IF(AND(V427&gt;=75,V427&lt;=175,W427&gt;=65,W427&lt;110),0.17,0)+IF(AND(V427&gt;=75,V427&lt;=175,W427&gt;=110),0.12,0)+IF(AND(V427&gt;175,W427&lt;25),0.3,0)+IF(AND(V427&gt;175,W427&gt;=25,W427&lt;55),0.23,0)+IF(AND(V427&gt;175,W427&gt;=55,W427&lt;95),0.17,0)+IF(AND(V427&gt;175,W427&gt;=95),0.12,0),
IF(AF427="Fix15",0.15,
IF(AF427="Fix11.25",0.1125,
IF(AF427="Fix10",0.1,
IF(AF427="Fix9",0.09,
IF(AF427="DoEV2017",IF(AND(W427&lt;74),0.2,0)+IF(AND(W427&gt;=74),0.17,0),
IF(AF427="SF",IF(AND(V427&lt;20,W427&lt;89),0.3,0)+IF(AND(V427&lt;20,W427&gt;=89),0.25,0)+IF(AND(V427&gt;=20,V427&lt;40,W427&lt;74),0.3,0)+IF(AND(V427&gt;=20,V427&lt;40,W427&gt;=75),0.22,0)+IF(AND(V427&gt;=40,V427&lt;75,W427&lt;75),0.26,0)+IF(AND(V427&gt;=40,V427&lt;75,W427&gt;=75),0.22,0)+IF(V427&gt;=75,0.22,0),
IF(AF427="DoEVold",IF(AND(V427&lt;40,W427&lt;35),0.35,0)+IF(AND(V427&lt;40,W427&gt;=35,W427&lt;75),0.25,0)+IF(AND(V427&lt;40,W427&gt;=75),0.17,0)+IF(AND(V427&gt;=40,V427&lt;75,W427&lt;25),0.35,0)+IF(AND(V427&gt;=40,V427&lt;75,W427&gt;=25,W427&lt;65),0.25,0)+IF(AND(V427&gt;=40,V427&lt;75,W427&gt;=65,W427&lt;100),0.17,0)+IF(AND(V427&gt;=40,V427&lt;75,W427&gt;=100),0.1,0)+IF(AND(V427&gt;=75,W427&lt;25),0.35,0)+IF(AND(V427&gt;=75,W427&gt;=25,W427&lt;60),0.25,0)+IF(AND(V427&gt;=75,W427&gt;=60,W427&lt;95),0.17,0)+IF(AND(V427&gt;=75,W427&gt;=95),0.1,0),
IF(AF427="DoEVold15",IF(AND(V427&lt;=40,W427&lt;35),0.35,0)+IF(AND(V427&lt;=40,W427&gt;=35,W427&lt;75),0.25,0)+IF(AND(V427&lt;=40,W427&gt;=75,W427&lt;120),0.17,0)+IF(AND(V427&lt;=40,W427&gt;=120),0.15,0)+IF(AND(V427&gt;40,V427&lt;75,W427&lt;25),0.35,0)+IF(AND(V427&gt;=40,V427&lt;75,W427&gt;=25,W427&lt;65),0.25,0)+IF(AND(V427&gt;=40,V427&lt;75,W427&gt;=65,W427&lt;100),0.17,0)+IF(AND(V427&gt;=40,V427&lt;75,W427&gt;=100),0.1,0)+IF(AND(V427&gt;=75,W427&lt;25),0.35,0)+IF(AND(V427&gt;=75,W427&gt;=25,W427&lt;60),0.25,0)+IF(AND(V427&gt;=75,W427&gt;=60,W427&lt;95),0.17,0)+IF(AND(V427&gt;=75,W427&gt;=95),0.1,0),
IF(AF427="DoEVba",IF(AND(V427&lt;20,W427&lt;105),0.2,0)+IF(AND(V427&lt;20,W427&gt;=105),0.15,0)+IF(AND(V427&gt;=20,V427&lt;40,W427&lt;95),0.2,0)+IF(AND(V427&gt;=20,V427&lt;40,W427&gt;=95,W427&lt;150),0.15,0)+IF(AND(V427&gt;=20,V427&lt;40,W427&gt;=150),0.12,0)+IF(AND(V427&gt;=40,V427&lt;75,W427&lt;75),0.2,0)+IF(AND(V427&gt;=40,V427&lt;75,W427&gt;=75,W427&lt;120),0.15,0)+IF(AND(V427&gt;=40,V427&lt;75,W427&gt;=120),0.12,0)+IF(AND(V427&gt;=75,V427&lt;175,W427&lt;65),0.2,0)+IF(AND(V427&gt;=75,V427&lt;175,W427&gt;=65,W427&lt;110),0.15,0)+IF(AND(V427&gt;=75,V427&lt;175,W427&gt;=110),0.12,0)+IF(AND(V427&gt;=175,W427&lt;55),0.2,0)+IF(AND(V427&gt;=175,W427&gt;=55,W427&lt;95),0.15,0)+IF(AND(V427&gt;=175,W427&gt;=95),0.12,0),
IF(AF427="DoEVku",IF(AND(V427&lt;20,W427&lt;55),0.23,0)+IF(AND(V427&lt;20,W427&gt;=55,W427&lt;105),0.2,0)+IF(AND(V427&lt;20,W427&gt;=105),0.17,0)+IF(AND(V427&gt;=20,V427&lt;40,W427&lt;45),0.23,0)+IF(AND(V427&gt;=20,V427&lt;40,W427&gt;=45,W427&lt;95),0.2,0)+IF(AND(V427&gt;=20,V427&lt;40,W427&gt;=95,W427&lt;=150),0.17,0)+IF(AND(V427&gt;=20,V427&lt;40,W427&gt;=150),0.12,0)+IF(AND(V427&gt;=40,V427&lt;75,W427&lt;35),0.23,0)+IF(AND(V427&gt;=40,V427&lt;75,W427&gt;=35,W427&lt;75),0.2,0)+IF(AND(V427&gt;=40,V427&lt;75,W427&gt;=75,W427&lt;120),0.17,0)+IF(AND(V427&gt;=40,V427&lt;75,W427&gt;=120),0.12,0)+IF(AND(V427&gt;=75,V427&lt;175,W427&lt;35),0.23,0)+IF(AND(V427&gt;=75,V427&lt;=175,W427&gt;=35,W427&lt;65),0.2,0)+IF(AND(V427&gt;=75,V427&lt;=175,W427&gt;=65,W427&lt;110),0.17,0)+IF(AND(V427&gt;=75,V427&lt;=175,W427&gt;=110),0.12,0)+IF(AND(V427&gt;175,W427&lt;25),0.23,0)+IF(AND(V427&gt;175,W427&gt;=25,W427&lt;55),0.2,0)+IF(AND(V427&gt;175,W427&gt;=55,W427&lt;95),0.17,0)+IF(AND(V427&gt;175,W427&gt;=95),0.12,0),
IF(AF427="DoEVs1",IF(AND(V427&lt;20,W427&lt;55),0.3,0)+IF(AND(V427&lt;20,W427&gt;=55,W427&lt;105),0.23,0)+IF(AND(V427&lt;20,W427&gt;=105),0.17,0)+IF(AND(V427&gt;=20,V427&lt;40,W427&lt;45),0.3,0)+IF(AND(V427&gt;=20,V427&lt;40,W427&gt;=45,W427&lt;95),0.23,0)+IF(AND(V427&gt;=20,V427&lt;40,W427&gt;=95,W427&lt;=150),0.17,0)+IF(AND(V427&gt;=20,V427&lt;40,W427&gt;=150),0.12,0)+IF(AND(V427&gt;=40,V427&lt;75,W427&lt;35),0.3,0)+IF(AND(V427&gt;=40,V427&lt;75,W427&gt;=35,W427&lt;75),0.23,0)+IF(AND(V427&gt;=40,V427&lt;75,W427&gt;=75,W427&lt;120),0.17,0)+IF(AND(V427&gt;=40,V427&lt;75,W427&gt;=120),0.12,0)+IF(AND(V427&gt;=75,V427&lt;175,W427&lt;35),0.3,0)+IF(AND(V427&gt;=75,V427&lt;=175,W427&gt;=35,W427&lt;65),0.23,0)+IF(AND(V427&gt;=75,V427&lt;=175,W427&gt;=65,W427&lt;110),0.17,0)+IF(AND(V427&gt;=75,V427&lt;=175,W427&gt;=110),0.12,0)+IF(AND(V427&gt;175,W427&lt;25),0.3,0)+IF(AND(V427&gt;175,W427&gt;=25,W427&lt;55),0.23,0)+IF(AND(V427&gt;175,W427&gt;=55,W427&lt;95),0.17,0)+IF(AND(V427&gt;175,W427&gt;=95),0.12,0),
IF(AF427="DoEVsu",IF(AND(V427&lt;20,W427&lt;55),0.3,0)+IF(AND(V427&lt;20,W427&gt;=55,W427&lt;105),0.23,0)+IF(AND(V427&lt;20,W427&gt;=105),0.17,0)+IF(AND(V427&gt;=20,V427&lt;40,W427&lt;45),0.3,0)+IF(AND(V427&gt;=20,V427&lt;40,W427&gt;=45,W427&lt;95),0.23,0)+IF(AND(V427&gt;=20,V427&lt;40,W427&gt;=95,W427&lt;=250),0.17,0)+IF(AND(V427&gt;=20,V427&lt;40,W427&gt;=250),0.12,0)+IF(AND(V427&gt;=40,V427&lt;75,W427&lt;35),0.3,0)+IF(AND(V427&gt;=40,V427&lt;75,W427&gt;=35,W427&lt;75),0.23,0)+IF(AND(V427&gt;=40,V427&lt;75,W427&gt;=75,W427&lt;120),0.17,0)+IF(AND(V427&gt;=40,V427&lt;75,W427&gt;=120),0.12,0)+IF(AND(V427&gt;=75,V427&lt;175,W427&lt;35),0.3,0)+IF(AND(V427&gt;=75,V427&lt;=175,W427&gt;=35,W427&lt;65),0.23,0)+IF(AND(V427&gt;=75,V427&lt;=175,W427&gt;=65,W427&lt;110),0.17,0)+IF(AND(V427&gt;=75,V427&lt;=175,W427&gt;=110),0.12,0)+IF(AND(V427&gt;175,W427&lt;25),0.3,0)+IF(AND(V427&gt;175,W427&gt;=25,W427&lt;55),0.23,0)+IF(AND(V427&gt;175,W427&gt;=55,W427&lt;95),0.17,0)+IF(AND(V427&gt;175,W427&gt;=95),0.12,0),
IF(AF427="DoEVni",IF(AND(V427&lt;20,W427&lt;55),0.3,0)+IF(AND(V427&lt;20,W427&gt;=55,W427&lt;105),0.23,0)+IF(AND(V427&lt;20,W427&gt;=105),0.17,0)+IF(AND(V427&gt;=20,V427&lt;40,W427&lt;45),0.3,0)+IF(AND(V427&gt;=20,V427&lt;40,W427&gt;=45,W427&lt;95),0.23,0)+IF(AND(V427&gt;=20,V427&lt;40,W427&gt;=95,W427&lt;=200),0.17,0)+IF(AND(V427&gt;=20,V427&lt;40,W427&gt;=200),0.12,0)+IF(AND(V427&gt;=40,V427&lt;75,W427&lt;35),0.3,0)+IF(AND(V427&gt;=40,V427&lt;75,W427&gt;=35,W427&lt;75),0.23,0)+IF(AND(V427&gt;=40,V427&lt;75,W427&gt;=75,W427&lt;120),0.17,0)+IF(AND(V427&gt;=40,V427&lt;75,W427&gt;=120),0.12,0)+IF(AND(V427&gt;=75,V427&lt;175,W427&lt;35),0.3,0)+IF(AND(V427&gt;=75,V427&lt;=175,W427&gt;=35,W427&lt;65),0.23,0)+IF(AND(V427&gt;=75,V427&lt;=175,W427&gt;=65,W427&lt;110),0.17,0)+IF(AND(V427&gt;=75,V427&lt;=175,W427&gt;=110),0.12,0)+IF(AND(V427&gt;175,W427&lt;25),0.3,0)+IF(AND(V427&gt;175,W427&gt;=25,W427&lt;55),0.23,0)+IF(AND(V427&gt;175,W427&gt;=55,W427&lt;95),0.17,0)+IF(AND(V427&gt;175,W427&gt;=95),0.12,0),
IF(AF427="DoEVLo",IF(AND(V427&lt;20,W427&lt;55),0.25,0)+IF(AND(V427&lt;20,W427&gt;=55,W427&lt;105),0.2,0)+IF(AND(V427&lt;20,W427&gt;=105),0.15,0)+IF(AND(V427&gt;=20,V427&lt;40,W427&lt;45),0.25,0)+IF(AND(V427&gt;=20,V427&lt;40,W427&gt;=45,W427&lt;95),0.2,0)+IF(AND(V427&gt;=20,V427&lt;40,W427&gt;=95),0.15,0)+IF(AND(V427&gt;=40,V427&lt;75,W427&lt;35),0.25,0)+IF(AND(V427&gt;=40,V427&lt;75,W427&gt;=35,W427&lt;75),0.2,0)+IF(AND(V427&gt;=40,V427&lt;75,W427&gt;=75,W427&lt;120),0.15,0)+IF(AND(V427&gt;=40,V427&lt;75,W427&gt;=120),0.1,0)+IF(AND(V427&gt;=75,V427&lt;175,W427&lt;35),0.25,0)+IF(AND(V427&gt;=75,V427&lt;=175,W427&gt;=35,W427&lt;65),0.2,0)+IF(AND(V427&gt;=75,V427&lt;=175,W427&gt;=65,W427&lt;110),0.15,0)+IF(AND(V427&gt;=75,V427&lt;=175,W427&gt;=110),0.1,0)+IF(AND(V427&gt;175,W427&lt;25),0.25,0)+IF(AND(V427&gt;175,W427&gt;=25,W427&lt;55),0.2,0)+IF(AND(V427&gt;175,W427&gt;=55,W427&lt;95),0.15,0)+IF(AND(V427&gt;175,W427&gt;=95),0.1,0))))))))))))))))</f>
        <v>0.35</v>
      </c>
      <c r="Y427" s="30">
        <f>IF(AG427="None",0,IF(AG427="Fix5",0.05,IF(AG427="Fix3.75",0.0375,IF(AG427="Fix10",0.1,IF(AG427="Fix3",0.03,0)))))</f>
        <v>0</v>
      </c>
      <c r="Z427" s="59">
        <v>1</v>
      </c>
      <c r="AA427" s="60">
        <v>0</v>
      </c>
      <c r="AB427" s="36">
        <f>IF(AD427="EUR",((T427-R427)*Y427)*U427+(R427*Y427),(T427*Y427))</f>
        <v>0</v>
      </c>
      <c r="AC427" s="37" t="b">
        <v>1</v>
      </c>
      <c r="AD427" s="37" t="s">
        <v>38</v>
      </c>
      <c r="AE427" s="37" t="s">
        <v>38</v>
      </c>
      <c r="AF427" s="37" t="str">
        <f t="array" ref="AF427">INDEX('Deal Info'!D:D, MATCH(A427,'Deal Info'!A:A, 0))</f>
        <v>DoEVold</v>
      </c>
      <c r="AG427" s="38" t="str">
        <f t="array" ref="AG427">INDEX('Deal Info'!G:G, MATCH(A427,'Deal Info'!A:A, 0))</f>
        <v>None</v>
      </c>
    </row>
    <row r="428" spans="1:33" ht="14.25" hidden="1" x14ac:dyDescent="0.2">
      <c r="A428" s="18" t="str">
        <f t="array" ref="A428">IF(G428='Room Info'!$B$1, INDEX('Room Info'!$A$2:$A2446, MATCH(B428,'Room Info'!$B$2:$B2446, 0)),IF(G428='Room Info'!$C$1, INDEX('Room Info'!$A$2:$A2446, MATCH(B428,'Room Info'!$C$2:$C2446, 0)),IF(G428='Room Info'!$D$1, INDEX('Room Info'!$A$2:$A2446, MATCH(B428,'Room Info'!$D$2:$D2446, 0)),IF(G428='Room Info'!$E$1, INDEX('Room Info'!$A$2:$A2446, MATCH(B428,'Room Info'!$E$2:$E2446, 0)),IF(G428='Room Info'!$F$1, INDEX('Room Info'!$A$2:$A2446, MATCH(B428,'Room Info'!$F$2:$F2446, 0)),IF(G428='Room Info'!$H$1, INDEX('Room Info'!$A$2:$A2446, MATCH(B428,'Room Info'!$H$2:$H2446, 0)),IF(G428='Room Info'!$G$1, INDEX('Room Info'!$A$2:$A2446, MATCH(B428,'Room Info'!$G$2:$G2446, 0)))))))))</f>
        <v>Freedoom</v>
      </c>
      <c r="B428" s="45" t="s">
        <v>110</v>
      </c>
      <c r="C428" s="46">
        <v>44531</v>
      </c>
      <c r="D428" s="46">
        <v>44550</v>
      </c>
      <c r="E428" s="47">
        <v>44531</v>
      </c>
      <c r="F428" s="48" t="s">
        <v>49</v>
      </c>
      <c r="G428" s="54" t="s">
        <v>61</v>
      </c>
      <c r="H428" s="49" t="s">
        <v>64</v>
      </c>
      <c r="I428" s="49" t="s">
        <v>37</v>
      </c>
      <c r="J428" s="50">
        <v>10</v>
      </c>
      <c r="K428" s="51">
        <v>697</v>
      </c>
      <c r="L428" s="52">
        <v>-120</v>
      </c>
      <c r="M428" s="53">
        <v>105</v>
      </c>
      <c r="N428" s="28">
        <f>K428*J428</f>
        <v>6970</v>
      </c>
      <c r="O428" s="54">
        <v>49432</v>
      </c>
      <c r="P428" s="29">
        <v>70.921090390000003</v>
      </c>
      <c r="Q428" s="55"/>
      <c r="R428" s="31">
        <f>M428+Q428</f>
        <v>105</v>
      </c>
      <c r="S428" s="56">
        <v>234</v>
      </c>
      <c r="T428" s="32">
        <f>R428+S428+IF(F428="Without EV deal",L428,0)</f>
        <v>339</v>
      </c>
      <c r="U428" s="57">
        <v>1</v>
      </c>
      <c r="V428" s="58"/>
      <c r="W428" s="58"/>
      <c r="X428" s="30">
        <f>IF(AF428="DoEV",IF(AND(V428&lt;20,W428&lt;55),0.3,0)+IF(AND(V428&lt;20,W428&gt;=55,W428&lt;105),0.23,0)+IF(AND(V428&lt;20,W428&gt;=105),0.17,0)+IF(AND(V428&gt;=20,V428&lt;40,W428&lt;45),0.3,0)+IF(AND(V428&gt;=20,V428&lt;40,W428&gt;=45,W428&lt;95),0.23,0)+IF(AND(V428&gt;=20,V428&lt;40,W428&gt;=95),0.17,0)+IF(AND(V428&gt;=40,V428&lt;75,W428&lt;35),0.3,0)+IF(AND(V428&gt;=40,V428&lt;75,W428&gt;=35,W428&lt;75),0.23,0)+IF(AND(V428&gt;=40,V428&lt;75,W428&gt;=75,W428&lt;120),0.17,0)+IF(AND(V428&gt;=40,V428&lt;75,W428&gt;=120),0.12,0)+IF(AND(V428&gt;=75,V428&lt;175,W428&lt;35),0.3,0)+IF(AND(V428&gt;=75,V428&lt;=175,W428&gt;=35,W428&lt;65),0.23,0)+IF(AND(V428&gt;=75,V428&lt;=175,W428&gt;=65,W428&lt;110),0.17,0)+IF(AND(V428&gt;=75,V428&lt;=175,W428&gt;=110),0.12,0)+IF(AND(V428&gt;175,W428&lt;25),0.3,0)+IF(AND(V428&gt;175,W428&gt;=25,W428&lt;55),0.23,0)+IF(AND(V428&gt;175,W428&gt;=55,W428&lt;95),0.17,0)+IF(AND(V428&gt;175,W428&gt;=95),0.12,0),
IF(AF428="Fix15",0.15,
IF(AF428="Fix11.25",0.1125,
IF(AF428="Fix10",0.1,
IF(AF428="Fix9",0.09,
IF(AF428="DoEV2017",IF(AND(W428&lt;74),0.2,0)+IF(AND(W428&gt;=74),0.17,0),
IF(AF428="SF",IF(AND(V428&lt;20,W428&lt;89),0.3,0)+IF(AND(V428&lt;20,W428&gt;=89),0.25,0)+IF(AND(V428&gt;=20,V428&lt;40,W428&lt;74),0.3,0)+IF(AND(V428&gt;=20,V428&lt;40,W428&gt;=75),0.22,0)+IF(AND(V428&gt;=40,V428&lt;75,W428&lt;75),0.26,0)+IF(AND(V428&gt;=40,V428&lt;75,W428&gt;=75),0.22,0)+IF(V428&gt;=75,0.22,0),
IF(AF428="DoEVold",IF(AND(V428&lt;40,W428&lt;35),0.35,0)+IF(AND(V428&lt;40,W428&gt;=35,W428&lt;75),0.25,0)+IF(AND(V428&lt;40,W428&gt;=75),0.17,0)+IF(AND(V428&gt;=40,V428&lt;75,W428&lt;25),0.35,0)+IF(AND(V428&gt;=40,V428&lt;75,W428&gt;=25,W428&lt;65),0.25,0)+IF(AND(V428&gt;=40,V428&lt;75,W428&gt;=65,W428&lt;100),0.17,0)+IF(AND(V428&gt;=40,V428&lt;75,W428&gt;=100),0.1,0)+IF(AND(V428&gt;=75,W428&lt;25),0.35,0)+IF(AND(V428&gt;=75,W428&gt;=25,W428&lt;60),0.25,0)+IF(AND(V428&gt;=75,W428&gt;=60,W428&lt;95),0.17,0)+IF(AND(V428&gt;=75,W428&gt;=95),0.1,0),
IF(AF428="DoEVold15",IF(AND(V428&lt;=40,W428&lt;35),0.35,0)+IF(AND(V428&lt;=40,W428&gt;=35,W428&lt;75),0.25,0)+IF(AND(V428&lt;=40,W428&gt;=75,W428&lt;120),0.17,0)+IF(AND(V428&lt;=40,W428&gt;=120),0.15,0)+IF(AND(V428&gt;40,V428&lt;75,W428&lt;25),0.35,0)+IF(AND(V428&gt;=40,V428&lt;75,W428&gt;=25,W428&lt;65),0.25,0)+IF(AND(V428&gt;=40,V428&lt;75,W428&gt;=65,W428&lt;100),0.17,0)+IF(AND(V428&gt;=40,V428&lt;75,W428&gt;=100),0.1,0)+IF(AND(V428&gt;=75,W428&lt;25),0.35,0)+IF(AND(V428&gt;=75,W428&gt;=25,W428&lt;60),0.25,0)+IF(AND(V428&gt;=75,W428&gt;=60,W428&lt;95),0.17,0)+IF(AND(V428&gt;=75,W428&gt;=95),0.1,0),
IF(AF428="DoEVba",IF(AND(V428&lt;20,W428&lt;105),0.2,0)+IF(AND(V428&lt;20,W428&gt;=105),0.15,0)+IF(AND(V428&gt;=20,V428&lt;40,W428&lt;95),0.2,0)+IF(AND(V428&gt;=20,V428&lt;40,W428&gt;=95,W428&lt;150),0.15,0)+IF(AND(V428&gt;=20,V428&lt;40,W428&gt;=150),0.12,0)+IF(AND(V428&gt;=40,V428&lt;75,W428&lt;75),0.2,0)+IF(AND(V428&gt;=40,V428&lt;75,W428&gt;=75,W428&lt;120),0.15,0)+IF(AND(V428&gt;=40,V428&lt;75,W428&gt;=120),0.12,0)+IF(AND(V428&gt;=75,V428&lt;175,W428&lt;65),0.2,0)+IF(AND(V428&gt;=75,V428&lt;175,W428&gt;=65,W428&lt;110),0.15,0)+IF(AND(V428&gt;=75,V428&lt;175,W428&gt;=110),0.12,0)+IF(AND(V428&gt;=175,W428&lt;55),0.2,0)+IF(AND(V428&gt;=175,W428&gt;=55,W428&lt;95),0.15,0)+IF(AND(V428&gt;=175,W428&gt;=95),0.12,0),
IF(AF428="DoEVku",IF(AND(V428&lt;20,W428&lt;55),0.23,0)+IF(AND(V428&lt;20,W428&gt;=55,W428&lt;105),0.2,0)+IF(AND(V428&lt;20,W428&gt;=105),0.17,0)+IF(AND(V428&gt;=20,V428&lt;40,W428&lt;45),0.23,0)+IF(AND(V428&gt;=20,V428&lt;40,W428&gt;=45,W428&lt;95),0.2,0)+IF(AND(V428&gt;=20,V428&lt;40,W428&gt;=95,W428&lt;=150),0.17,0)+IF(AND(V428&gt;=20,V428&lt;40,W428&gt;=150),0.12,0)+IF(AND(V428&gt;=40,V428&lt;75,W428&lt;35),0.23,0)+IF(AND(V428&gt;=40,V428&lt;75,W428&gt;=35,W428&lt;75),0.2,0)+IF(AND(V428&gt;=40,V428&lt;75,W428&gt;=75,W428&lt;120),0.17,0)+IF(AND(V428&gt;=40,V428&lt;75,W428&gt;=120),0.12,0)+IF(AND(V428&gt;=75,V428&lt;175,W428&lt;35),0.23,0)+IF(AND(V428&gt;=75,V428&lt;=175,W428&gt;=35,W428&lt;65),0.2,0)+IF(AND(V428&gt;=75,V428&lt;=175,W428&gt;=65,W428&lt;110),0.17,0)+IF(AND(V428&gt;=75,V428&lt;=175,W428&gt;=110),0.12,0)+IF(AND(V428&gt;175,W428&lt;25),0.23,0)+IF(AND(V428&gt;175,W428&gt;=25,W428&lt;55),0.2,0)+IF(AND(V428&gt;175,W428&gt;=55,W428&lt;95),0.17,0)+IF(AND(V428&gt;175,W428&gt;=95),0.12,0),
IF(AF428="DoEVs1",IF(AND(V428&lt;20,W428&lt;55),0.3,0)+IF(AND(V428&lt;20,W428&gt;=55,W428&lt;105),0.23,0)+IF(AND(V428&lt;20,W428&gt;=105),0.17,0)+IF(AND(V428&gt;=20,V428&lt;40,W428&lt;45),0.3,0)+IF(AND(V428&gt;=20,V428&lt;40,W428&gt;=45,W428&lt;95),0.23,0)+IF(AND(V428&gt;=20,V428&lt;40,W428&gt;=95,W428&lt;=150),0.17,0)+IF(AND(V428&gt;=20,V428&lt;40,W428&gt;=150),0.12,0)+IF(AND(V428&gt;=40,V428&lt;75,W428&lt;35),0.3,0)+IF(AND(V428&gt;=40,V428&lt;75,W428&gt;=35,W428&lt;75),0.23,0)+IF(AND(V428&gt;=40,V428&lt;75,W428&gt;=75,W428&lt;120),0.17,0)+IF(AND(V428&gt;=40,V428&lt;75,W428&gt;=120),0.12,0)+IF(AND(V428&gt;=75,V428&lt;175,W428&lt;35),0.3,0)+IF(AND(V428&gt;=75,V428&lt;=175,W428&gt;=35,W428&lt;65),0.23,0)+IF(AND(V428&gt;=75,V428&lt;=175,W428&gt;=65,W428&lt;110),0.17,0)+IF(AND(V428&gt;=75,V428&lt;=175,W428&gt;=110),0.12,0)+IF(AND(V428&gt;175,W428&lt;25),0.3,0)+IF(AND(V428&gt;175,W428&gt;=25,W428&lt;55),0.23,0)+IF(AND(V428&gt;175,W428&gt;=55,W428&lt;95),0.17,0)+IF(AND(V428&gt;175,W428&gt;=95),0.12,0),
IF(AF428="DoEVsu",IF(AND(V428&lt;20,W428&lt;55),0.3,0)+IF(AND(V428&lt;20,W428&gt;=55,W428&lt;105),0.23,0)+IF(AND(V428&lt;20,W428&gt;=105),0.17,0)+IF(AND(V428&gt;=20,V428&lt;40,W428&lt;45),0.3,0)+IF(AND(V428&gt;=20,V428&lt;40,W428&gt;=45,W428&lt;95),0.23,0)+IF(AND(V428&gt;=20,V428&lt;40,W428&gt;=95,W428&lt;=250),0.17,0)+IF(AND(V428&gt;=20,V428&lt;40,W428&gt;=250),0.12,0)+IF(AND(V428&gt;=40,V428&lt;75,W428&lt;35),0.3,0)+IF(AND(V428&gt;=40,V428&lt;75,W428&gt;=35,W428&lt;75),0.23,0)+IF(AND(V428&gt;=40,V428&lt;75,W428&gt;=75,W428&lt;120),0.17,0)+IF(AND(V428&gt;=40,V428&lt;75,W428&gt;=120),0.12,0)+IF(AND(V428&gt;=75,V428&lt;175,W428&lt;35),0.3,0)+IF(AND(V428&gt;=75,V428&lt;=175,W428&gt;=35,W428&lt;65),0.23,0)+IF(AND(V428&gt;=75,V428&lt;=175,W428&gt;=65,W428&lt;110),0.17,0)+IF(AND(V428&gt;=75,V428&lt;=175,W428&gt;=110),0.12,0)+IF(AND(V428&gt;175,W428&lt;25),0.3,0)+IF(AND(V428&gt;175,W428&gt;=25,W428&lt;55),0.23,0)+IF(AND(V428&gt;175,W428&gt;=55,W428&lt;95),0.17,0)+IF(AND(V428&gt;175,W428&gt;=95),0.12,0),
IF(AF428="DoEVni",IF(AND(V428&lt;20,W428&lt;55),0.3,0)+IF(AND(V428&lt;20,W428&gt;=55,W428&lt;105),0.23,0)+IF(AND(V428&lt;20,W428&gt;=105),0.17,0)+IF(AND(V428&gt;=20,V428&lt;40,W428&lt;45),0.3,0)+IF(AND(V428&gt;=20,V428&lt;40,W428&gt;=45,W428&lt;95),0.23,0)+IF(AND(V428&gt;=20,V428&lt;40,W428&gt;=95,W428&lt;=200),0.17,0)+IF(AND(V428&gt;=20,V428&lt;40,W428&gt;=200),0.12,0)+IF(AND(V428&gt;=40,V428&lt;75,W428&lt;35),0.3,0)+IF(AND(V428&gt;=40,V428&lt;75,W428&gt;=35,W428&lt;75),0.23,0)+IF(AND(V428&gt;=40,V428&lt;75,W428&gt;=75,W428&lt;120),0.17,0)+IF(AND(V428&gt;=40,V428&lt;75,W428&gt;=120),0.12,0)+IF(AND(V428&gt;=75,V428&lt;175,W428&lt;35),0.3,0)+IF(AND(V428&gt;=75,V428&lt;=175,W428&gt;=35,W428&lt;65),0.23,0)+IF(AND(V428&gt;=75,V428&lt;=175,W428&gt;=65,W428&lt;110),0.17,0)+IF(AND(V428&gt;=75,V428&lt;=175,W428&gt;=110),0.12,0)+IF(AND(V428&gt;175,W428&lt;25),0.3,0)+IF(AND(V428&gt;175,W428&gt;=25,W428&lt;55),0.23,0)+IF(AND(V428&gt;175,W428&gt;=55,W428&lt;95),0.17,0)+IF(AND(V428&gt;175,W428&gt;=95),0.12,0),
IF(AF428="DoEVLo",IF(AND(V428&lt;20,W428&lt;55),0.25,0)+IF(AND(V428&lt;20,W428&gt;=55,W428&lt;105),0.2,0)+IF(AND(V428&lt;20,W428&gt;=105),0.15,0)+IF(AND(V428&gt;=20,V428&lt;40,W428&lt;45),0.25,0)+IF(AND(V428&gt;=20,V428&lt;40,W428&gt;=45,W428&lt;95),0.2,0)+IF(AND(V428&gt;=20,V428&lt;40,W428&gt;=95),0.15,0)+IF(AND(V428&gt;=40,V428&lt;75,W428&lt;35),0.25,0)+IF(AND(V428&gt;=40,V428&lt;75,W428&gt;=35,W428&lt;75),0.2,0)+IF(AND(V428&gt;=40,V428&lt;75,W428&gt;=75,W428&lt;120),0.15,0)+IF(AND(V428&gt;=40,V428&lt;75,W428&gt;=120),0.1,0)+IF(AND(V428&gt;=75,V428&lt;175,W428&lt;35),0.25,0)+IF(AND(V428&gt;=75,V428&lt;=175,W428&gt;=35,W428&lt;65),0.2,0)+IF(AND(V428&gt;=75,V428&lt;=175,W428&gt;=65,W428&lt;110),0.15,0)+IF(AND(V428&gt;=75,V428&lt;=175,W428&gt;=110),0.1,0)+IF(AND(V428&gt;175,W428&lt;25),0.25,0)+IF(AND(V428&gt;175,W428&gt;=25,W428&lt;55),0.2,0)+IF(AND(V428&gt;175,W428&gt;=55,W428&lt;95),0.15,0)+IF(AND(V428&gt;175,W428&gt;=95),0.1,0))))))))))))))))</f>
        <v>0.35</v>
      </c>
      <c r="Y428" s="30">
        <f>IF(AG428="None",0,IF(AG428="Fix5",0.05,IF(AG428="Fix3.75",0.0375,IF(AG428="Fix10",0.1,IF(AG428="Fix3",0.03,0)))))</f>
        <v>0</v>
      </c>
      <c r="Z428" s="59">
        <v>281</v>
      </c>
      <c r="AA428" s="60">
        <v>58</v>
      </c>
      <c r="AB428" s="36">
        <f>IF(AD428="EUR",((T428-R428)*Y428)*U428+(R428*Y428),(T428*Y428))</f>
        <v>0</v>
      </c>
      <c r="AC428" s="37" t="b">
        <v>1</v>
      </c>
      <c r="AD428" s="37" t="s">
        <v>38</v>
      </c>
      <c r="AE428" s="37" t="s">
        <v>38</v>
      </c>
      <c r="AF428" s="37" t="str">
        <f t="array" ref="AF428">INDEX('Deal Info'!D:D, MATCH(A428,'Deal Info'!A:A, 0))</f>
        <v>DoEVold</v>
      </c>
      <c r="AG428" s="38" t="str">
        <f t="array" ref="AG428">INDEX('Deal Info'!G:G, MATCH(A428,'Deal Info'!A:A, 0))</f>
        <v>None</v>
      </c>
    </row>
    <row r="429" spans="1:33" ht="14.25" hidden="1" x14ac:dyDescent="0.2">
      <c r="A429" s="18" t="str">
        <f t="array" ref="A429">IF(G429='Room Info'!$B$1, INDEX('Room Info'!$A$2:$A2446, MATCH(B429,'Room Info'!$B$2:$B2446, 0)),IF(G429='Room Info'!$C$1, INDEX('Room Info'!$A$2:$A2446, MATCH(B429,'Room Info'!$C$2:$C2446, 0)),IF(G429='Room Info'!$D$1, INDEX('Room Info'!$A$2:$A2446, MATCH(B429,'Room Info'!$D$2:$D2446, 0)),IF(G429='Room Info'!$E$1, INDEX('Room Info'!$A$2:$A2446, MATCH(B429,'Room Info'!$E$2:$E2446, 0)),IF(G429='Room Info'!$F$1, INDEX('Room Info'!$A$2:$A2446, MATCH(B429,'Room Info'!$F$2:$F2446, 0)),IF(G429='Room Info'!$H$1, INDEX('Room Info'!$A$2:$A2446, MATCH(B429,'Room Info'!$H$2:$H2446, 0)),IF(G429='Room Info'!$G$1, INDEX('Room Info'!$A$2:$A2446, MATCH(B429,'Room Info'!$G$2:$G2446, 0)))))))))</f>
        <v>Freedoom</v>
      </c>
      <c r="B429" s="45" t="s">
        <v>110</v>
      </c>
      <c r="C429" s="46">
        <v>44531</v>
      </c>
      <c r="D429" s="46">
        <v>44550</v>
      </c>
      <c r="E429" s="47">
        <v>44531</v>
      </c>
      <c r="F429" s="48" t="s">
        <v>49</v>
      </c>
      <c r="G429" s="54" t="s">
        <v>61</v>
      </c>
      <c r="H429" s="49" t="s">
        <v>65</v>
      </c>
      <c r="I429" s="49" t="s">
        <v>37</v>
      </c>
      <c r="J429" s="50">
        <v>25</v>
      </c>
      <c r="K429" s="51">
        <v>442</v>
      </c>
      <c r="L429" s="52">
        <v>-1050</v>
      </c>
      <c r="M429" s="53">
        <v>0</v>
      </c>
      <c r="N429" s="28">
        <f>K429*J429</f>
        <v>11050</v>
      </c>
      <c r="O429" s="54">
        <v>32612</v>
      </c>
      <c r="P429" s="29">
        <v>73.782805429999996</v>
      </c>
      <c r="Q429" s="55"/>
      <c r="R429" s="31">
        <f>M429+Q429</f>
        <v>0</v>
      </c>
      <c r="S429" s="56">
        <v>427</v>
      </c>
      <c r="T429" s="32">
        <f>R429+S429+IF(F429="Without EV deal",L429,0)</f>
        <v>427</v>
      </c>
      <c r="U429" s="57">
        <v>1</v>
      </c>
      <c r="V429" s="58"/>
      <c r="W429" s="58"/>
      <c r="X429" s="30">
        <f>IF(AF429="DoEV",IF(AND(V429&lt;20,W429&lt;55),0.3,0)+IF(AND(V429&lt;20,W429&gt;=55,W429&lt;105),0.23,0)+IF(AND(V429&lt;20,W429&gt;=105),0.17,0)+IF(AND(V429&gt;=20,V429&lt;40,W429&lt;45),0.3,0)+IF(AND(V429&gt;=20,V429&lt;40,W429&gt;=45,W429&lt;95),0.23,0)+IF(AND(V429&gt;=20,V429&lt;40,W429&gt;=95),0.17,0)+IF(AND(V429&gt;=40,V429&lt;75,W429&lt;35),0.3,0)+IF(AND(V429&gt;=40,V429&lt;75,W429&gt;=35,W429&lt;75),0.23,0)+IF(AND(V429&gt;=40,V429&lt;75,W429&gt;=75,W429&lt;120),0.17,0)+IF(AND(V429&gt;=40,V429&lt;75,W429&gt;=120),0.12,0)+IF(AND(V429&gt;=75,V429&lt;175,W429&lt;35),0.3,0)+IF(AND(V429&gt;=75,V429&lt;=175,W429&gt;=35,W429&lt;65),0.23,0)+IF(AND(V429&gt;=75,V429&lt;=175,W429&gt;=65,W429&lt;110),0.17,0)+IF(AND(V429&gt;=75,V429&lt;=175,W429&gt;=110),0.12,0)+IF(AND(V429&gt;175,W429&lt;25),0.3,0)+IF(AND(V429&gt;175,W429&gt;=25,W429&lt;55),0.23,0)+IF(AND(V429&gt;175,W429&gt;=55,W429&lt;95),0.17,0)+IF(AND(V429&gt;175,W429&gt;=95),0.12,0),
IF(AF429="Fix15",0.15,
IF(AF429="Fix11.25",0.1125,
IF(AF429="Fix10",0.1,
IF(AF429="Fix9",0.09,
IF(AF429="DoEV2017",IF(AND(W429&lt;74),0.2,0)+IF(AND(W429&gt;=74),0.17,0),
IF(AF429="SF",IF(AND(V429&lt;20,W429&lt;89),0.3,0)+IF(AND(V429&lt;20,W429&gt;=89),0.25,0)+IF(AND(V429&gt;=20,V429&lt;40,W429&lt;74),0.3,0)+IF(AND(V429&gt;=20,V429&lt;40,W429&gt;=75),0.22,0)+IF(AND(V429&gt;=40,V429&lt;75,W429&lt;75),0.26,0)+IF(AND(V429&gt;=40,V429&lt;75,W429&gt;=75),0.22,0)+IF(V429&gt;=75,0.22,0),
IF(AF429="DoEVold",IF(AND(V429&lt;40,W429&lt;35),0.35,0)+IF(AND(V429&lt;40,W429&gt;=35,W429&lt;75),0.25,0)+IF(AND(V429&lt;40,W429&gt;=75),0.17,0)+IF(AND(V429&gt;=40,V429&lt;75,W429&lt;25),0.35,0)+IF(AND(V429&gt;=40,V429&lt;75,W429&gt;=25,W429&lt;65),0.25,0)+IF(AND(V429&gt;=40,V429&lt;75,W429&gt;=65,W429&lt;100),0.17,0)+IF(AND(V429&gt;=40,V429&lt;75,W429&gt;=100),0.1,0)+IF(AND(V429&gt;=75,W429&lt;25),0.35,0)+IF(AND(V429&gt;=75,W429&gt;=25,W429&lt;60),0.25,0)+IF(AND(V429&gt;=75,W429&gt;=60,W429&lt;95),0.17,0)+IF(AND(V429&gt;=75,W429&gt;=95),0.1,0),
IF(AF429="DoEVold15",IF(AND(V429&lt;=40,W429&lt;35),0.35,0)+IF(AND(V429&lt;=40,W429&gt;=35,W429&lt;75),0.25,0)+IF(AND(V429&lt;=40,W429&gt;=75,W429&lt;120),0.17,0)+IF(AND(V429&lt;=40,W429&gt;=120),0.15,0)+IF(AND(V429&gt;40,V429&lt;75,W429&lt;25),0.35,0)+IF(AND(V429&gt;=40,V429&lt;75,W429&gt;=25,W429&lt;65),0.25,0)+IF(AND(V429&gt;=40,V429&lt;75,W429&gt;=65,W429&lt;100),0.17,0)+IF(AND(V429&gt;=40,V429&lt;75,W429&gt;=100),0.1,0)+IF(AND(V429&gt;=75,W429&lt;25),0.35,0)+IF(AND(V429&gt;=75,W429&gt;=25,W429&lt;60),0.25,0)+IF(AND(V429&gt;=75,W429&gt;=60,W429&lt;95),0.17,0)+IF(AND(V429&gt;=75,W429&gt;=95),0.1,0),
IF(AF429="DoEVba",IF(AND(V429&lt;20,W429&lt;105),0.2,0)+IF(AND(V429&lt;20,W429&gt;=105),0.15,0)+IF(AND(V429&gt;=20,V429&lt;40,W429&lt;95),0.2,0)+IF(AND(V429&gt;=20,V429&lt;40,W429&gt;=95,W429&lt;150),0.15,0)+IF(AND(V429&gt;=20,V429&lt;40,W429&gt;=150),0.12,0)+IF(AND(V429&gt;=40,V429&lt;75,W429&lt;75),0.2,0)+IF(AND(V429&gt;=40,V429&lt;75,W429&gt;=75,W429&lt;120),0.15,0)+IF(AND(V429&gt;=40,V429&lt;75,W429&gt;=120),0.12,0)+IF(AND(V429&gt;=75,V429&lt;175,W429&lt;65),0.2,0)+IF(AND(V429&gt;=75,V429&lt;175,W429&gt;=65,W429&lt;110),0.15,0)+IF(AND(V429&gt;=75,V429&lt;175,W429&gt;=110),0.12,0)+IF(AND(V429&gt;=175,W429&lt;55),0.2,0)+IF(AND(V429&gt;=175,W429&gt;=55,W429&lt;95),0.15,0)+IF(AND(V429&gt;=175,W429&gt;=95),0.12,0),
IF(AF429="DoEVku",IF(AND(V429&lt;20,W429&lt;55),0.23,0)+IF(AND(V429&lt;20,W429&gt;=55,W429&lt;105),0.2,0)+IF(AND(V429&lt;20,W429&gt;=105),0.17,0)+IF(AND(V429&gt;=20,V429&lt;40,W429&lt;45),0.23,0)+IF(AND(V429&gt;=20,V429&lt;40,W429&gt;=45,W429&lt;95),0.2,0)+IF(AND(V429&gt;=20,V429&lt;40,W429&gt;=95,W429&lt;=150),0.17,0)+IF(AND(V429&gt;=20,V429&lt;40,W429&gt;=150),0.12,0)+IF(AND(V429&gt;=40,V429&lt;75,W429&lt;35),0.23,0)+IF(AND(V429&gt;=40,V429&lt;75,W429&gt;=35,W429&lt;75),0.2,0)+IF(AND(V429&gt;=40,V429&lt;75,W429&gt;=75,W429&lt;120),0.17,0)+IF(AND(V429&gt;=40,V429&lt;75,W429&gt;=120),0.12,0)+IF(AND(V429&gt;=75,V429&lt;175,W429&lt;35),0.23,0)+IF(AND(V429&gt;=75,V429&lt;=175,W429&gt;=35,W429&lt;65),0.2,0)+IF(AND(V429&gt;=75,V429&lt;=175,W429&gt;=65,W429&lt;110),0.17,0)+IF(AND(V429&gt;=75,V429&lt;=175,W429&gt;=110),0.12,0)+IF(AND(V429&gt;175,W429&lt;25),0.23,0)+IF(AND(V429&gt;175,W429&gt;=25,W429&lt;55),0.2,0)+IF(AND(V429&gt;175,W429&gt;=55,W429&lt;95),0.17,0)+IF(AND(V429&gt;175,W429&gt;=95),0.12,0),
IF(AF429="DoEVs1",IF(AND(V429&lt;20,W429&lt;55),0.3,0)+IF(AND(V429&lt;20,W429&gt;=55,W429&lt;105),0.23,0)+IF(AND(V429&lt;20,W429&gt;=105),0.17,0)+IF(AND(V429&gt;=20,V429&lt;40,W429&lt;45),0.3,0)+IF(AND(V429&gt;=20,V429&lt;40,W429&gt;=45,W429&lt;95),0.23,0)+IF(AND(V429&gt;=20,V429&lt;40,W429&gt;=95,W429&lt;=150),0.17,0)+IF(AND(V429&gt;=20,V429&lt;40,W429&gt;=150),0.12,0)+IF(AND(V429&gt;=40,V429&lt;75,W429&lt;35),0.3,0)+IF(AND(V429&gt;=40,V429&lt;75,W429&gt;=35,W429&lt;75),0.23,0)+IF(AND(V429&gt;=40,V429&lt;75,W429&gt;=75,W429&lt;120),0.17,0)+IF(AND(V429&gt;=40,V429&lt;75,W429&gt;=120),0.12,0)+IF(AND(V429&gt;=75,V429&lt;175,W429&lt;35),0.3,0)+IF(AND(V429&gt;=75,V429&lt;=175,W429&gt;=35,W429&lt;65),0.23,0)+IF(AND(V429&gt;=75,V429&lt;=175,W429&gt;=65,W429&lt;110),0.17,0)+IF(AND(V429&gt;=75,V429&lt;=175,W429&gt;=110),0.12,0)+IF(AND(V429&gt;175,W429&lt;25),0.3,0)+IF(AND(V429&gt;175,W429&gt;=25,W429&lt;55),0.23,0)+IF(AND(V429&gt;175,W429&gt;=55,W429&lt;95),0.17,0)+IF(AND(V429&gt;175,W429&gt;=95),0.12,0),
IF(AF429="DoEVsu",IF(AND(V429&lt;20,W429&lt;55),0.3,0)+IF(AND(V429&lt;20,W429&gt;=55,W429&lt;105),0.23,0)+IF(AND(V429&lt;20,W429&gt;=105),0.17,0)+IF(AND(V429&gt;=20,V429&lt;40,W429&lt;45),0.3,0)+IF(AND(V429&gt;=20,V429&lt;40,W429&gt;=45,W429&lt;95),0.23,0)+IF(AND(V429&gt;=20,V429&lt;40,W429&gt;=95,W429&lt;=250),0.17,0)+IF(AND(V429&gt;=20,V429&lt;40,W429&gt;=250),0.12,0)+IF(AND(V429&gt;=40,V429&lt;75,W429&lt;35),0.3,0)+IF(AND(V429&gt;=40,V429&lt;75,W429&gt;=35,W429&lt;75),0.23,0)+IF(AND(V429&gt;=40,V429&lt;75,W429&gt;=75,W429&lt;120),0.17,0)+IF(AND(V429&gt;=40,V429&lt;75,W429&gt;=120),0.12,0)+IF(AND(V429&gt;=75,V429&lt;175,W429&lt;35),0.3,0)+IF(AND(V429&gt;=75,V429&lt;=175,W429&gt;=35,W429&lt;65),0.23,0)+IF(AND(V429&gt;=75,V429&lt;=175,W429&gt;=65,W429&lt;110),0.17,0)+IF(AND(V429&gt;=75,V429&lt;=175,W429&gt;=110),0.12,0)+IF(AND(V429&gt;175,W429&lt;25),0.3,0)+IF(AND(V429&gt;175,W429&gt;=25,W429&lt;55),0.23,0)+IF(AND(V429&gt;175,W429&gt;=55,W429&lt;95),0.17,0)+IF(AND(V429&gt;175,W429&gt;=95),0.12,0),
IF(AF429="DoEVni",IF(AND(V429&lt;20,W429&lt;55),0.3,0)+IF(AND(V429&lt;20,W429&gt;=55,W429&lt;105),0.23,0)+IF(AND(V429&lt;20,W429&gt;=105),0.17,0)+IF(AND(V429&gt;=20,V429&lt;40,W429&lt;45),0.3,0)+IF(AND(V429&gt;=20,V429&lt;40,W429&gt;=45,W429&lt;95),0.23,0)+IF(AND(V429&gt;=20,V429&lt;40,W429&gt;=95,W429&lt;=200),0.17,0)+IF(AND(V429&gt;=20,V429&lt;40,W429&gt;=200),0.12,0)+IF(AND(V429&gt;=40,V429&lt;75,W429&lt;35),0.3,0)+IF(AND(V429&gt;=40,V429&lt;75,W429&gt;=35,W429&lt;75),0.23,0)+IF(AND(V429&gt;=40,V429&lt;75,W429&gt;=75,W429&lt;120),0.17,0)+IF(AND(V429&gt;=40,V429&lt;75,W429&gt;=120),0.12,0)+IF(AND(V429&gt;=75,V429&lt;175,W429&lt;35),0.3,0)+IF(AND(V429&gt;=75,V429&lt;=175,W429&gt;=35,W429&lt;65),0.23,0)+IF(AND(V429&gt;=75,V429&lt;=175,W429&gt;=65,W429&lt;110),0.17,0)+IF(AND(V429&gt;=75,V429&lt;=175,W429&gt;=110),0.12,0)+IF(AND(V429&gt;175,W429&lt;25),0.3,0)+IF(AND(V429&gt;175,W429&gt;=25,W429&lt;55),0.23,0)+IF(AND(V429&gt;175,W429&gt;=55,W429&lt;95),0.17,0)+IF(AND(V429&gt;175,W429&gt;=95),0.12,0),
IF(AF429="DoEVLo",IF(AND(V429&lt;20,W429&lt;55),0.25,0)+IF(AND(V429&lt;20,W429&gt;=55,W429&lt;105),0.2,0)+IF(AND(V429&lt;20,W429&gt;=105),0.15,0)+IF(AND(V429&gt;=20,V429&lt;40,W429&lt;45),0.25,0)+IF(AND(V429&gt;=20,V429&lt;40,W429&gt;=45,W429&lt;95),0.2,0)+IF(AND(V429&gt;=20,V429&lt;40,W429&gt;=95),0.15,0)+IF(AND(V429&gt;=40,V429&lt;75,W429&lt;35),0.25,0)+IF(AND(V429&gt;=40,V429&lt;75,W429&gt;=35,W429&lt;75),0.2,0)+IF(AND(V429&gt;=40,V429&lt;75,W429&gt;=75,W429&lt;120),0.15,0)+IF(AND(V429&gt;=40,V429&lt;75,W429&gt;=120),0.1,0)+IF(AND(V429&gt;=75,V429&lt;175,W429&lt;35),0.25,0)+IF(AND(V429&gt;=75,V429&lt;=175,W429&gt;=35,W429&lt;65),0.2,0)+IF(AND(V429&gt;=75,V429&lt;=175,W429&gt;=65,W429&lt;110),0.15,0)+IF(AND(V429&gt;=75,V429&lt;=175,W429&gt;=110),0.1,0)+IF(AND(V429&gt;175,W429&lt;25),0.25,0)+IF(AND(V429&gt;175,W429&gt;=25,W429&lt;55),0.2,0)+IF(AND(V429&gt;175,W429&gt;=55,W429&lt;95),0.15,0)+IF(AND(V429&gt;175,W429&gt;=95),0.1,0))))))))))))))))</f>
        <v>0.35</v>
      </c>
      <c r="Y429" s="30">
        <f>IF(AG429="None",0,IF(AG429="Fix5",0.05,IF(AG429="Fix3.75",0.0375,IF(AG429="Fix10",0.1,IF(AG429="Fix3",0.03,0)))))</f>
        <v>0</v>
      </c>
      <c r="Z429" s="59">
        <v>354</v>
      </c>
      <c r="AA429" s="60">
        <v>73</v>
      </c>
      <c r="AB429" s="36">
        <f>IF(AD429="EUR",((T429-R429)*Y429)*U429+(R429*Y429),(T429*Y429))</f>
        <v>0</v>
      </c>
      <c r="AC429" s="37" t="b">
        <v>1</v>
      </c>
      <c r="AD429" s="37" t="s">
        <v>38</v>
      </c>
      <c r="AE429" s="37" t="s">
        <v>38</v>
      </c>
      <c r="AF429" s="37" t="str">
        <f t="array" ref="AF429">INDEX('Deal Info'!D:D, MATCH(A429,'Deal Info'!A:A, 0))</f>
        <v>DoEVold</v>
      </c>
      <c r="AG429" s="38" t="str">
        <f t="array" ref="AG429">INDEX('Deal Info'!G:G, MATCH(A429,'Deal Info'!A:A, 0))</f>
        <v>None</v>
      </c>
    </row>
    <row r="430" spans="1:33" ht="14.25" x14ac:dyDescent="0.2">
      <c r="A430" s="18" t="str">
        <f t="array" ref="A430">IF(G430='Room Info'!$B$1, INDEX('Room Info'!$A$2:$A2446, MATCH(B430,'Room Info'!$B$2:$B2446, 0)),IF(G430='Room Info'!$C$1, INDEX('Room Info'!$A$2:$A2446, MATCH(B430,'Room Info'!$C$2:$C2446, 0)),IF(G430='Room Info'!$D$1, INDEX('Room Info'!$A$2:$A2446, MATCH(B430,'Room Info'!$D$2:$D2446, 0)),IF(G430='Room Info'!$E$1, INDEX('Room Info'!$A$2:$A2446, MATCH(B430,'Room Info'!$E$2:$E2446, 0)),IF(G430='Room Info'!$F$1, INDEX('Room Info'!$A$2:$A2446, MATCH(B430,'Room Info'!$F$2:$F2446, 0)),IF(G430='Room Info'!$H$1, INDEX('Room Info'!$A$2:$A2446, MATCH(B430,'Room Info'!$H$2:$H2446, 0)),IF(G430='Room Info'!$G$1, INDEX('Room Info'!$A$2:$A2446, MATCH(B430,'Room Info'!$G$2:$G2446, 0)))))))))</f>
        <v>Freedoom</v>
      </c>
      <c r="B430" s="45" t="s">
        <v>110</v>
      </c>
      <c r="C430" s="111">
        <v>44682</v>
      </c>
      <c r="D430" s="111">
        <v>44712</v>
      </c>
      <c r="E430" s="47">
        <v>44682</v>
      </c>
      <c r="F430" s="48" t="s">
        <v>49</v>
      </c>
      <c r="G430" s="45" t="s">
        <v>61</v>
      </c>
      <c r="H430" s="49" t="s">
        <v>64</v>
      </c>
      <c r="I430" s="49" t="s">
        <v>37</v>
      </c>
      <c r="J430" s="70">
        <v>10</v>
      </c>
      <c r="K430" s="71">
        <v>100</v>
      </c>
      <c r="L430" s="113">
        <v>-60</v>
      </c>
      <c r="M430" s="62">
        <v>238</v>
      </c>
      <c r="N430" s="28">
        <f>K430*J430</f>
        <v>1000</v>
      </c>
      <c r="O430" s="65">
        <v>5910</v>
      </c>
      <c r="P430" s="29">
        <v>59.1</v>
      </c>
      <c r="Q430" s="55"/>
      <c r="R430" s="31">
        <f>M430+Q430</f>
        <v>238</v>
      </c>
      <c r="S430" s="66">
        <v>20</v>
      </c>
      <c r="T430" s="32">
        <f>R430+S430+IF(F430="Without EV deal",L430,0)</f>
        <v>258</v>
      </c>
      <c r="U430" s="57">
        <v>1</v>
      </c>
      <c r="V430" s="58"/>
      <c r="W430" s="58"/>
      <c r="X430" s="78">
        <f>IF(AF430="DoEV",IF(AND(V430&lt;20,W430&lt;55),0.3,0)+IF(AND(V430&lt;20,W430&gt;=55,W430&lt;105),0.23,0)+IF(AND(V430&lt;20,W430&gt;=105),0.17,0)+IF(AND(V430&gt;=20,V430&lt;40,W430&lt;45),0.3,0)+IF(AND(V430&gt;=20,V430&lt;40,W430&gt;=45,W430&lt;95),0.23,0)+IF(AND(V430&gt;=20,V430&lt;40,W430&gt;=95),0.17,0)+IF(AND(V430&gt;=40,V430&lt;75,W430&lt;35),0.3,0)+IF(AND(V430&gt;=40,V430&lt;75,W430&gt;=35,W430&lt;75),0.23,0)+IF(AND(V430&gt;=40,V430&lt;75,W430&gt;=75,W430&lt;120),0.17,0)+IF(AND(V430&gt;=40,V430&lt;75,W430&gt;=120),0.12,0)+IF(AND(V430&gt;=75,V430&lt;175,W430&lt;35),0.3,0)+IF(AND(V430&gt;=75,V430&lt;=175,W430&gt;=35,W430&lt;65),0.23,0)+IF(AND(V430&gt;=75,V430&lt;=175,W430&gt;=65,W430&lt;110),0.17,0)+IF(AND(V430&gt;=75,V430&lt;=175,W430&gt;=110),0.12,0)+IF(AND(V430&gt;175,W430&lt;25),0.3,0)+IF(AND(V430&gt;175,W430&gt;=25,W430&lt;55),0.23,0)+IF(AND(V430&gt;175,W430&gt;=55,W430&lt;95),0.17,0)+IF(AND(V430&gt;175,W430&gt;=95),0.12,0),
IF(AF430="Fix15",0.15,
IF(AF430="Fix11.25",0.1125,
IF(AF430="Fix10",0.1,
IF(AF430="Fix9",0.09,
IF(AF430="DoEV2017",IF(AND(W430&lt;74),0.2,0)+IF(AND(W430&gt;=74),0.17,0),
IF(AF430="SF",IF(AND(V430&lt;20,W430&lt;89),0.3,0)+IF(AND(V430&lt;20,W430&gt;=89),0.25,0)+IF(AND(V430&gt;=20,V430&lt;40,W430&lt;74),0.3,0)+IF(AND(V430&gt;=20,V430&lt;40,W430&gt;=75),0.22,0)+IF(AND(V430&gt;=40,V430&lt;75,W430&lt;75),0.26,0)+IF(AND(V430&gt;=40,V430&lt;75,W430&gt;=75),0.22,0)+IF(V430&gt;=75,0.22,0),
IF(AF430="DoEVold",IF(AND(V430&lt;40,W430&lt;35),0.35,0)+IF(AND(V430&lt;40,W430&gt;=35,W430&lt;75),0.25,0)+IF(AND(V430&lt;40,W430&gt;=75),0.17,0)+IF(AND(V430&gt;=40,V430&lt;75,W430&lt;25),0.35,0)+IF(AND(V430&gt;=40,V430&lt;75,W430&gt;=25,W430&lt;65),0.25,0)+IF(AND(V430&gt;=40,V430&lt;75,W430&gt;=65,W430&lt;100),0.17,0)+IF(AND(V430&gt;=40,V430&lt;75,W430&gt;=100),0.1,0)+IF(AND(V430&gt;=75,W430&lt;25),0.35,0)+IF(AND(V430&gt;=75,W430&gt;=25,W430&lt;60),0.25,0)+IF(AND(V430&gt;=75,W430&gt;=60,W430&lt;95),0.17,0)+IF(AND(V430&gt;=75,W430&gt;=95),0.1,0),
IF(AF430="DoEVold15",IF(AND(V430&lt;=40,W430&lt;35),0.35,0)+IF(AND(V430&lt;=40,W430&gt;=35,W430&lt;75),0.25,0)+IF(AND(V430&lt;=40,W430&gt;=75,W430&lt;120),0.17,0)+IF(AND(V430&lt;=40,W430&gt;=120),0.15,0)+IF(AND(V430&gt;40,V430&lt;75,W430&lt;25),0.35,0)+IF(AND(V430&gt;=40,V430&lt;75,W430&gt;=25,W430&lt;65),0.25,0)+IF(AND(V430&gt;=40,V430&lt;75,W430&gt;=65,W430&lt;100),0.17,0)+IF(AND(V430&gt;=40,V430&lt;75,W430&gt;=100),0.1,0)+IF(AND(V430&gt;=75,W430&lt;25),0.35,0)+IF(AND(V430&gt;=75,W430&gt;=25,W430&lt;60),0.25,0)+IF(AND(V430&gt;=75,W430&gt;=60,W430&lt;95),0.17,0)+IF(AND(V430&gt;=75,W430&gt;=95),0.1,0),
IF(AF430="DoEVba",IF(AND(V430&lt;20,W430&lt;105),0.2,0)+IF(AND(V430&lt;20,W430&gt;=105),0.15,0)+IF(AND(V430&gt;=20,V430&lt;40,W430&lt;95),0.2,0)+IF(AND(V430&gt;=20,V430&lt;40,W430&gt;=95,W430&lt;150),0.15,0)+IF(AND(V430&gt;=20,V430&lt;40,W430&gt;=150),0.12,0)+IF(AND(V430&gt;=40,V430&lt;75,W430&lt;75),0.2,0)+IF(AND(V430&gt;=40,V430&lt;75,W430&gt;=75,W430&lt;120),0.15,0)+IF(AND(V430&gt;=40,V430&lt;75,W430&gt;=120),0.12,0)+IF(AND(V430&gt;=75,V430&lt;175,W430&lt;65),0.2,0)+IF(AND(V430&gt;=75,V430&lt;175,W430&gt;=65,W430&lt;110),0.15,0)+IF(AND(V430&gt;=75,V430&lt;175,W430&gt;=110),0.12,0)+IF(AND(V430&gt;=175,W430&lt;55),0.2,0)+IF(AND(V430&gt;=175,W430&gt;=55,W430&lt;95),0.15,0)+IF(AND(V430&gt;=175,W430&gt;=95),0.12,0),
IF(AF430="DoEVku",IF(AND(V430&lt;20,W430&lt;55),0.23,0)+IF(AND(V430&lt;20,W430&gt;=55,W430&lt;105),0.2,0)+IF(AND(V430&lt;20,W430&gt;=105),0.17,0)+IF(AND(V430&gt;=20,V430&lt;40,W430&lt;45),0.23,0)+IF(AND(V430&gt;=20,V430&lt;40,W430&gt;=45,W430&lt;95),0.2,0)+IF(AND(V430&gt;=20,V430&lt;40,W430&gt;=95,W430&lt;=150),0.17,0)+IF(AND(V430&gt;=20,V430&lt;40,W430&gt;=150),0.12,0)+IF(AND(V430&gt;=40,V430&lt;75,W430&lt;35),0.23,0)+IF(AND(V430&gt;=40,V430&lt;75,W430&gt;=35,W430&lt;75),0.2,0)+IF(AND(V430&gt;=40,V430&lt;75,W430&gt;=75,W430&lt;120),0.17,0)+IF(AND(V430&gt;=40,V430&lt;75,W430&gt;=120),0.12,0)+IF(AND(V430&gt;=75,V430&lt;175,W430&lt;35),0.23,0)+IF(AND(V430&gt;=75,V430&lt;=175,W430&gt;=35,W430&lt;65),0.2,0)+IF(AND(V430&gt;=75,V430&lt;=175,W430&gt;=65,W430&lt;110),0.17,0)+IF(AND(V430&gt;=75,V430&lt;=175,W430&gt;=110),0.12,0)+IF(AND(V430&gt;175,W430&lt;25),0.23,0)+IF(AND(V430&gt;175,W430&gt;=25,W430&lt;55),0.2,0)+IF(AND(V430&gt;175,W430&gt;=55,W430&lt;95),0.17,0)+IF(AND(V430&gt;175,W430&gt;=95),0.12,0),
IF(AF430="DoEVs1",IF(AND(V430&lt;20,W430&lt;55),0.3,0)+IF(AND(V430&lt;20,W430&gt;=55,W430&lt;105),0.23,0)+IF(AND(V430&lt;20,W430&gt;=105),0.17,0)+IF(AND(V430&gt;=20,V430&lt;40,W430&lt;45),0.3,0)+IF(AND(V430&gt;=20,V430&lt;40,W430&gt;=45,W430&lt;95),0.23,0)+IF(AND(V430&gt;=20,V430&lt;40,W430&gt;=95,W430&lt;=150),0.17,0)+IF(AND(V430&gt;=20,V430&lt;40,W430&gt;=150),0.12,0)+IF(AND(V430&gt;=40,V430&lt;75,W430&lt;35),0.3,0)+IF(AND(V430&gt;=40,V430&lt;75,W430&gt;=35,W430&lt;75),0.23,0)+IF(AND(V430&gt;=40,V430&lt;75,W430&gt;=75,W430&lt;120),0.17,0)+IF(AND(V430&gt;=40,V430&lt;75,W430&gt;=120),0.12,0)+IF(AND(V430&gt;=75,V430&lt;175,W430&lt;35),0.3,0)+IF(AND(V430&gt;=75,V430&lt;=175,W430&gt;=35,W430&lt;65),0.23,0)+IF(AND(V430&gt;=75,V430&lt;=175,W430&gt;=65,W430&lt;110),0.17,0)+IF(AND(V430&gt;=75,V430&lt;=175,W430&gt;=110),0.12,0)+IF(AND(V430&gt;175,W430&lt;25),0.3,0)+IF(AND(V430&gt;175,W430&gt;=25,W430&lt;55),0.23,0)+IF(AND(V430&gt;175,W430&gt;=55,W430&lt;95),0.17,0)+IF(AND(V430&gt;175,W430&gt;=95),0.12,0),
IF(AF430="DoEVsu",IF(AND(V430&lt;20,W430&lt;55),0.3,0)+IF(AND(V430&lt;20,W430&gt;=55,W430&lt;105),0.23,0)+IF(AND(V430&lt;20,W430&gt;=105),0.17,0)+IF(AND(V430&gt;=20,V430&lt;40,W430&lt;45),0.3,0)+IF(AND(V430&gt;=20,V430&lt;40,W430&gt;=45,W430&lt;95),0.23,0)+IF(AND(V430&gt;=20,V430&lt;40,W430&gt;=95,W430&lt;=250),0.17,0)+IF(AND(V430&gt;=20,V430&lt;40,W430&gt;=250),0.12,0)+IF(AND(V430&gt;=40,V430&lt;75,W430&lt;35),0.3,0)+IF(AND(V430&gt;=40,V430&lt;75,W430&gt;=35,W430&lt;75),0.23,0)+IF(AND(V430&gt;=40,V430&lt;75,W430&gt;=75,W430&lt;120),0.17,0)+IF(AND(V430&gt;=40,V430&lt;75,W430&gt;=120),0.12,0)+IF(AND(V430&gt;=75,V430&lt;175,W430&lt;35),0.3,0)+IF(AND(V430&gt;=75,V430&lt;=175,W430&gt;=35,W430&lt;65),0.23,0)+IF(AND(V430&gt;=75,V430&lt;=175,W430&gt;=65,W430&lt;110),0.17,0)+IF(AND(V430&gt;=75,V430&lt;=175,W430&gt;=110),0.12,0)+IF(AND(V430&gt;175,W430&lt;25),0.3,0)+IF(AND(V430&gt;175,W430&gt;=25,W430&lt;55),0.23,0)+IF(AND(V430&gt;175,W430&gt;=55,W430&lt;95),0.17,0)+IF(AND(V430&gt;175,W430&gt;=95),0.12,0),
IF(AF430="DoEVni",IF(AND(V430&lt;20,W430&lt;55),0.3,0)+IF(AND(V430&lt;20,W430&gt;=55,W430&lt;105),0.23,0)+IF(AND(V430&lt;20,W430&gt;=105),0.17,0)+IF(AND(V430&gt;=20,V430&lt;40,W430&lt;45),0.3,0)+IF(AND(V430&gt;=20,V430&lt;40,W430&gt;=45,W430&lt;95),0.23,0)+IF(AND(V430&gt;=20,V430&lt;40,W430&gt;=95,W430&lt;=200),0.17,0)+IF(AND(V430&gt;=20,V430&lt;40,W430&gt;=200),0.12,0)+IF(AND(V430&gt;=40,V430&lt;75,W430&lt;35),0.3,0)+IF(AND(V430&gt;=40,V430&lt;75,W430&gt;=35,W430&lt;75),0.23,0)+IF(AND(V430&gt;=40,V430&lt;75,W430&gt;=75,W430&lt;120),0.17,0)+IF(AND(V430&gt;=40,V430&lt;75,W430&gt;=120),0.12,0)+IF(AND(V430&gt;=75,V430&lt;175,W430&lt;35),0.3,0)+IF(AND(V430&gt;=75,V430&lt;=175,W430&gt;=35,W430&lt;65),0.23,0)+IF(AND(V430&gt;=75,V430&lt;=175,W430&gt;=65,W430&lt;110),0.17,0)+IF(AND(V430&gt;=75,V430&lt;=175,W430&gt;=110),0.12,0)+IF(AND(V430&gt;175,W430&lt;25),0.3,0)+IF(AND(V430&gt;175,W430&gt;=25,W430&lt;55),0.23,0)+IF(AND(V430&gt;175,W430&gt;=55,W430&lt;95),0.17,0)+IF(AND(V430&gt;175,W430&gt;=95),0.12,0),
IF(AF430="DoEVLo",IF(AND(V430&lt;20,W430&lt;55),0.25,0)+IF(AND(V430&lt;20,W430&gt;=55,W430&lt;105),0.2,0)+IF(AND(V430&lt;20,W430&gt;=105),0.15,0)+IF(AND(V430&gt;=20,V430&lt;40,W430&lt;45),0.25,0)+IF(AND(V430&gt;=20,V430&lt;40,W430&gt;=45,W430&lt;95),0.2,0)+IF(AND(V430&gt;=20,V430&lt;40,W430&gt;=95),0.15,0)+IF(AND(V430&gt;=40,V430&lt;75,W430&lt;35),0.25,0)+IF(AND(V430&gt;=40,V430&lt;75,W430&gt;=35,W430&lt;75),0.2,0)+IF(AND(V430&gt;=40,V430&lt;75,W430&gt;=75,W430&lt;120),0.15,0)+IF(AND(V430&gt;=40,V430&lt;75,W430&gt;=120),0.1,0)+IF(AND(V430&gt;=75,V430&lt;175,W430&lt;35),0.25,0)+IF(AND(V430&gt;=75,V430&lt;=175,W430&gt;=35,W430&lt;65),0.2,0)+IF(AND(V430&gt;=75,V430&lt;=175,W430&gt;=65,W430&lt;110),0.15,0)+IF(AND(V430&gt;=75,V430&lt;=175,W430&gt;=110),0.1,0)+IF(AND(V430&gt;175,W430&lt;25),0.25,0)+IF(AND(V430&gt;175,W430&gt;=25,W430&lt;55),0.2,0)+IF(AND(V430&gt;175,W430&gt;=55,W430&lt;95),0.15,0)+IF(AND(V430&gt;175,W430&gt;=95),0.1,0))))))))))))))))</f>
        <v>0.35</v>
      </c>
      <c r="Y430" s="30">
        <f>IF(AG430="None",0,IF(AG430="Fix5",0.05,IF(AG430="Fix3.75",0.0375,IF(AG430="Fix10",0.1,IF(AG430="Fix3",0.03,0)))))</f>
        <v>0</v>
      </c>
      <c r="Z430" s="35">
        <v>214</v>
      </c>
      <c r="AA430" s="60">
        <v>44</v>
      </c>
      <c r="AB430" s="36">
        <f>IF(AD430="EUR",((T430-R430)*Y430)*U430+(R430*Y430),(T430*Y430))</f>
        <v>0</v>
      </c>
      <c r="AC430" s="37" t="b">
        <v>1</v>
      </c>
      <c r="AD430" s="37" t="s">
        <v>38</v>
      </c>
      <c r="AE430" s="37" t="s">
        <v>38</v>
      </c>
      <c r="AF430" s="37" t="str">
        <f t="array" ref="AF430">INDEX('Deal Info'!D:D, MATCH(A430,'Deal Info'!A:A, 0))</f>
        <v>DoEVold</v>
      </c>
      <c r="AG430" s="38" t="str">
        <f t="array" ref="AG430">INDEX('Deal Info'!G:G, MATCH(A430,'Deal Info'!A:A, 0))</f>
        <v>None</v>
      </c>
    </row>
    <row r="431" spans="1:33" ht="14.25" x14ac:dyDescent="0.2">
      <c r="A431" s="18" t="str">
        <f t="array" ref="A431">IF(G431='Room Info'!$B$1, INDEX('Room Info'!$A$2:$A2446, MATCH(B431,'Room Info'!$B$2:$B2446, 0)),IF(G431='Room Info'!$C$1, INDEX('Room Info'!$A$2:$A2446, MATCH(B431,'Room Info'!$C$2:$C2446, 0)),IF(G431='Room Info'!$D$1, INDEX('Room Info'!$A$2:$A2446, MATCH(B431,'Room Info'!$D$2:$D2446, 0)),IF(G431='Room Info'!$E$1, INDEX('Room Info'!$A$2:$A2446, MATCH(B431,'Room Info'!$E$2:$E2446, 0)),IF(G431='Room Info'!$F$1, INDEX('Room Info'!$A$2:$A2446, MATCH(B431,'Room Info'!$F$2:$F2446, 0)),IF(G431='Room Info'!$H$1, INDEX('Room Info'!$A$2:$A2446, MATCH(B431,'Room Info'!$H$2:$H2446, 0)),IF(G431='Room Info'!$G$1, INDEX('Room Info'!$A$2:$A2446, MATCH(B431,'Room Info'!$G$2:$G2446, 0)))))))))</f>
        <v>Freedoom</v>
      </c>
      <c r="B431" s="45" t="s">
        <v>110</v>
      </c>
      <c r="C431" s="46">
        <v>44682</v>
      </c>
      <c r="D431" s="46">
        <v>44712</v>
      </c>
      <c r="E431" s="47">
        <v>44682</v>
      </c>
      <c r="F431" s="48" t="s">
        <v>49</v>
      </c>
      <c r="G431" s="129" t="s">
        <v>61</v>
      </c>
      <c r="H431" s="49" t="s">
        <v>227</v>
      </c>
      <c r="I431" s="49" t="s">
        <v>37</v>
      </c>
      <c r="J431" s="70">
        <v>10</v>
      </c>
      <c r="K431" s="71">
        <v>656</v>
      </c>
      <c r="L431" s="52">
        <v>320</v>
      </c>
      <c r="M431" s="53">
        <v>0</v>
      </c>
      <c r="N431" s="28">
        <f>K431*J431</f>
        <v>6560</v>
      </c>
      <c r="O431" s="54">
        <v>56231</v>
      </c>
      <c r="P431" s="29">
        <v>85.717987800000003</v>
      </c>
      <c r="Q431" s="55"/>
      <c r="R431" s="31">
        <f>M431+Q431</f>
        <v>0</v>
      </c>
      <c r="S431" s="56">
        <v>399</v>
      </c>
      <c r="T431" s="32">
        <f>R431+S431+IF(F431="Without EV deal",L431,0)</f>
        <v>399</v>
      </c>
      <c r="U431" s="57">
        <v>1</v>
      </c>
      <c r="V431" s="58"/>
      <c r="W431" s="58"/>
      <c r="X431" s="78">
        <f>IF(AF431="DoEV",IF(AND(V431&lt;20,W431&lt;55),0.3,0)+IF(AND(V431&lt;20,W431&gt;=55,W431&lt;105),0.23,0)+IF(AND(V431&lt;20,W431&gt;=105),0.17,0)+IF(AND(V431&gt;=20,V431&lt;40,W431&lt;45),0.3,0)+IF(AND(V431&gt;=20,V431&lt;40,W431&gt;=45,W431&lt;95),0.23,0)+IF(AND(V431&gt;=20,V431&lt;40,W431&gt;=95),0.17,0)+IF(AND(V431&gt;=40,V431&lt;75,W431&lt;35),0.3,0)+IF(AND(V431&gt;=40,V431&lt;75,W431&gt;=35,W431&lt;75),0.23,0)+IF(AND(V431&gt;=40,V431&lt;75,W431&gt;=75,W431&lt;120),0.17,0)+IF(AND(V431&gt;=40,V431&lt;75,W431&gt;=120),0.12,0)+IF(AND(V431&gt;=75,V431&lt;175,W431&lt;35),0.3,0)+IF(AND(V431&gt;=75,V431&lt;=175,W431&gt;=35,W431&lt;65),0.23,0)+IF(AND(V431&gt;=75,V431&lt;=175,W431&gt;=65,W431&lt;110),0.17,0)+IF(AND(V431&gt;=75,V431&lt;=175,W431&gt;=110),0.12,0)+IF(AND(V431&gt;175,W431&lt;25),0.3,0)+IF(AND(V431&gt;175,W431&gt;=25,W431&lt;55),0.23,0)+IF(AND(V431&gt;175,W431&gt;=55,W431&lt;95),0.17,0)+IF(AND(V431&gt;175,W431&gt;=95),0.12,0),
IF(AF431="Fix15",0.15,
IF(AF431="Fix11.25",0.1125,
IF(AF431="Fix10",0.1,
IF(AF431="Fix9",0.09,
IF(AF431="DoEV2017",IF(AND(W431&lt;74),0.2,0)+IF(AND(W431&gt;=74),0.17,0),
IF(AF431="SF",IF(AND(V431&lt;20,W431&lt;89),0.3,0)+IF(AND(V431&lt;20,W431&gt;=89),0.25,0)+IF(AND(V431&gt;=20,V431&lt;40,W431&lt;74),0.3,0)+IF(AND(V431&gt;=20,V431&lt;40,W431&gt;=75),0.22,0)+IF(AND(V431&gt;=40,V431&lt;75,W431&lt;75),0.26,0)+IF(AND(V431&gt;=40,V431&lt;75,W431&gt;=75),0.22,0)+IF(V431&gt;=75,0.22,0),
IF(AF431="DoEVold",IF(AND(V431&lt;40,W431&lt;35),0.35,0)+IF(AND(V431&lt;40,W431&gt;=35,W431&lt;75),0.25,0)+IF(AND(V431&lt;40,W431&gt;=75),0.17,0)+IF(AND(V431&gt;=40,V431&lt;75,W431&lt;25),0.35,0)+IF(AND(V431&gt;=40,V431&lt;75,W431&gt;=25,W431&lt;65),0.25,0)+IF(AND(V431&gt;=40,V431&lt;75,W431&gt;=65,W431&lt;100),0.17,0)+IF(AND(V431&gt;=40,V431&lt;75,W431&gt;=100),0.1,0)+IF(AND(V431&gt;=75,W431&lt;25),0.35,0)+IF(AND(V431&gt;=75,W431&gt;=25,W431&lt;60),0.25,0)+IF(AND(V431&gt;=75,W431&gt;=60,W431&lt;95),0.17,0)+IF(AND(V431&gt;=75,W431&gt;=95),0.1,0),
IF(AF431="DoEVold15",IF(AND(V431&lt;=40,W431&lt;35),0.35,0)+IF(AND(V431&lt;=40,W431&gt;=35,W431&lt;75),0.25,0)+IF(AND(V431&lt;=40,W431&gt;=75,W431&lt;120),0.17,0)+IF(AND(V431&lt;=40,W431&gt;=120),0.15,0)+IF(AND(V431&gt;40,V431&lt;75,W431&lt;25),0.35,0)+IF(AND(V431&gt;=40,V431&lt;75,W431&gt;=25,W431&lt;65),0.25,0)+IF(AND(V431&gt;=40,V431&lt;75,W431&gt;=65,W431&lt;100),0.17,0)+IF(AND(V431&gt;=40,V431&lt;75,W431&gt;=100),0.1,0)+IF(AND(V431&gt;=75,W431&lt;25),0.35,0)+IF(AND(V431&gt;=75,W431&gt;=25,W431&lt;60),0.25,0)+IF(AND(V431&gt;=75,W431&gt;=60,W431&lt;95),0.17,0)+IF(AND(V431&gt;=75,W431&gt;=95),0.1,0),
IF(AF431="DoEVba",IF(AND(V431&lt;20,W431&lt;105),0.2,0)+IF(AND(V431&lt;20,W431&gt;=105),0.15,0)+IF(AND(V431&gt;=20,V431&lt;40,W431&lt;95),0.2,0)+IF(AND(V431&gt;=20,V431&lt;40,W431&gt;=95,W431&lt;150),0.15,0)+IF(AND(V431&gt;=20,V431&lt;40,W431&gt;=150),0.12,0)+IF(AND(V431&gt;=40,V431&lt;75,W431&lt;75),0.2,0)+IF(AND(V431&gt;=40,V431&lt;75,W431&gt;=75,W431&lt;120),0.15,0)+IF(AND(V431&gt;=40,V431&lt;75,W431&gt;=120),0.12,0)+IF(AND(V431&gt;=75,V431&lt;175,W431&lt;65),0.2,0)+IF(AND(V431&gt;=75,V431&lt;175,W431&gt;=65,W431&lt;110),0.15,0)+IF(AND(V431&gt;=75,V431&lt;175,W431&gt;=110),0.12,0)+IF(AND(V431&gt;=175,W431&lt;55),0.2,0)+IF(AND(V431&gt;=175,W431&gt;=55,W431&lt;95),0.15,0)+IF(AND(V431&gt;=175,W431&gt;=95),0.12,0),
IF(AF431="DoEVku",IF(AND(V431&lt;20,W431&lt;55),0.23,0)+IF(AND(V431&lt;20,W431&gt;=55,W431&lt;105),0.2,0)+IF(AND(V431&lt;20,W431&gt;=105),0.17,0)+IF(AND(V431&gt;=20,V431&lt;40,W431&lt;45),0.23,0)+IF(AND(V431&gt;=20,V431&lt;40,W431&gt;=45,W431&lt;95),0.2,0)+IF(AND(V431&gt;=20,V431&lt;40,W431&gt;=95,W431&lt;=150),0.17,0)+IF(AND(V431&gt;=20,V431&lt;40,W431&gt;=150),0.12,0)+IF(AND(V431&gt;=40,V431&lt;75,W431&lt;35),0.23,0)+IF(AND(V431&gt;=40,V431&lt;75,W431&gt;=35,W431&lt;75),0.2,0)+IF(AND(V431&gt;=40,V431&lt;75,W431&gt;=75,W431&lt;120),0.17,0)+IF(AND(V431&gt;=40,V431&lt;75,W431&gt;=120),0.12,0)+IF(AND(V431&gt;=75,V431&lt;175,W431&lt;35),0.23,0)+IF(AND(V431&gt;=75,V431&lt;=175,W431&gt;=35,W431&lt;65),0.2,0)+IF(AND(V431&gt;=75,V431&lt;=175,W431&gt;=65,W431&lt;110),0.17,0)+IF(AND(V431&gt;=75,V431&lt;=175,W431&gt;=110),0.12,0)+IF(AND(V431&gt;175,W431&lt;25),0.23,0)+IF(AND(V431&gt;175,W431&gt;=25,W431&lt;55),0.2,0)+IF(AND(V431&gt;175,W431&gt;=55,W431&lt;95),0.17,0)+IF(AND(V431&gt;175,W431&gt;=95),0.12,0),
IF(AF431="DoEVs1",IF(AND(V431&lt;20,W431&lt;55),0.3,0)+IF(AND(V431&lt;20,W431&gt;=55,W431&lt;105),0.23,0)+IF(AND(V431&lt;20,W431&gt;=105),0.17,0)+IF(AND(V431&gt;=20,V431&lt;40,W431&lt;45),0.3,0)+IF(AND(V431&gt;=20,V431&lt;40,W431&gt;=45,W431&lt;95),0.23,0)+IF(AND(V431&gt;=20,V431&lt;40,W431&gt;=95,W431&lt;=150),0.17,0)+IF(AND(V431&gt;=20,V431&lt;40,W431&gt;=150),0.12,0)+IF(AND(V431&gt;=40,V431&lt;75,W431&lt;35),0.3,0)+IF(AND(V431&gt;=40,V431&lt;75,W431&gt;=35,W431&lt;75),0.23,0)+IF(AND(V431&gt;=40,V431&lt;75,W431&gt;=75,W431&lt;120),0.17,0)+IF(AND(V431&gt;=40,V431&lt;75,W431&gt;=120),0.12,0)+IF(AND(V431&gt;=75,V431&lt;175,W431&lt;35),0.3,0)+IF(AND(V431&gt;=75,V431&lt;=175,W431&gt;=35,W431&lt;65),0.23,0)+IF(AND(V431&gt;=75,V431&lt;=175,W431&gt;=65,W431&lt;110),0.17,0)+IF(AND(V431&gt;=75,V431&lt;=175,W431&gt;=110),0.12,0)+IF(AND(V431&gt;175,W431&lt;25),0.3,0)+IF(AND(V431&gt;175,W431&gt;=25,W431&lt;55),0.23,0)+IF(AND(V431&gt;175,W431&gt;=55,W431&lt;95),0.17,0)+IF(AND(V431&gt;175,W431&gt;=95),0.12,0),
IF(AF431="DoEVsu",IF(AND(V431&lt;20,W431&lt;55),0.3,0)+IF(AND(V431&lt;20,W431&gt;=55,W431&lt;105),0.23,0)+IF(AND(V431&lt;20,W431&gt;=105),0.17,0)+IF(AND(V431&gt;=20,V431&lt;40,W431&lt;45),0.3,0)+IF(AND(V431&gt;=20,V431&lt;40,W431&gt;=45,W431&lt;95),0.23,0)+IF(AND(V431&gt;=20,V431&lt;40,W431&gt;=95,W431&lt;=250),0.17,0)+IF(AND(V431&gt;=20,V431&lt;40,W431&gt;=250),0.12,0)+IF(AND(V431&gt;=40,V431&lt;75,W431&lt;35),0.3,0)+IF(AND(V431&gt;=40,V431&lt;75,W431&gt;=35,W431&lt;75),0.23,0)+IF(AND(V431&gt;=40,V431&lt;75,W431&gt;=75,W431&lt;120),0.17,0)+IF(AND(V431&gt;=40,V431&lt;75,W431&gt;=120),0.12,0)+IF(AND(V431&gt;=75,V431&lt;175,W431&lt;35),0.3,0)+IF(AND(V431&gt;=75,V431&lt;=175,W431&gt;=35,W431&lt;65),0.23,0)+IF(AND(V431&gt;=75,V431&lt;=175,W431&gt;=65,W431&lt;110),0.17,0)+IF(AND(V431&gt;=75,V431&lt;=175,W431&gt;=110),0.12,0)+IF(AND(V431&gt;175,W431&lt;25),0.3,0)+IF(AND(V431&gt;175,W431&gt;=25,W431&lt;55),0.23,0)+IF(AND(V431&gt;175,W431&gt;=55,W431&lt;95),0.17,0)+IF(AND(V431&gt;175,W431&gt;=95),0.12,0),
IF(AF431="DoEVni",IF(AND(V431&lt;20,W431&lt;55),0.3,0)+IF(AND(V431&lt;20,W431&gt;=55,W431&lt;105),0.23,0)+IF(AND(V431&lt;20,W431&gt;=105),0.17,0)+IF(AND(V431&gt;=20,V431&lt;40,W431&lt;45),0.3,0)+IF(AND(V431&gt;=20,V431&lt;40,W431&gt;=45,W431&lt;95),0.23,0)+IF(AND(V431&gt;=20,V431&lt;40,W431&gt;=95,W431&lt;=200),0.17,0)+IF(AND(V431&gt;=20,V431&lt;40,W431&gt;=200),0.12,0)+IF(AND(V431&gt;=40,V431&lt;75,W431&lt;35),0.3,0)+IF(AND(V431&gt;=40,V431&lt;75,W431&gt;=35,W431&lt;75),0.23,0)+IF(AND(V431&gt;=40,V431&lt;75,W431&gt;=75,W431&lt;120),0.17,0)+IF(AND(V431&gt;=40,V431&lt;75,W431&gt;=120),0.12,0)+IF(AND(V431&gt;=75,V431&lt;175,W431&lt;35),0.3,0)+IF(AND(V431&gt;=75,V431&lt;=175,W431&gt;=35,W431&lt;65),0.23,0)+IF(AND(V431&gt;=75,V431&lt;=175,W431&gt;=65,W431&lt;110),0.17,0)+IF(AND(V431&gt;=75,V431&lt;=175,W431&gt;=110),0.12,0)+IF(AND(V431&gt;175,W431&lt;25),0.3,0)+IF(AND(V431&gt;175,W431&gt;=25,W431&lt;55),0.23,0)+IF(AND(V431&gt;175,W431&gt;=55,W431&lt;95),0.17,0)+IF(AND(V431&gt;175,W431&gt;=95),0.12,0),
IF(AF431="DoEVLo",IF(AND(V431&lt;20,W431&lt;55),0.25,0)+IF(AND(V431&lt;20,W431&gt;=55,W431&lt;105),0.2,0)+IF(AND(V431&lt;20,W431&gt;=105),0.15,0)+IF(AND(V431&gt;=20,V431&lt;40,W431&lt;45),0.25,0)+IF(AND(V431&gt;=20,V431&lt;40,W431&gt;=45,W431&lt;95),0.2,0)+IF(AND(V431&gt;=20,V431&lt;40,W431&gt;=95),0.15,0)+IF(AND(V431&gt;=40,V431&lt;75,W431&lt;35),0.25,0)+IF(AND(V431&gt;=40,V431&lt;75,W431&gt;=35,W431&lt;75),0.2,0)+IF(AND(V431&gt;=40,V431&lt;75,W431&gt;=75,W431&lt;120),0.15,0)+IF(AND(V431&gt;=40,V431&lt;75,W431&gt;=120),0.1,0)+IF(AND(V431&gt;=75,V431&lt;175,W431&lt;35),0.25,0)+IF(AND(V431&gt;=75,V431&lt;=175,W431&gt;=35,W431&lt;65),0.2,0)+IF(AND(V431&gt;=75,V431&lt;=175,W431&gt;=65,W431&lt;110),0.15,0)+IF(AND(V431&gt;=75,V431&lt;=175,W431&gt;=110),0.1,0)+IF(AND(V431&gt;175,W431&lt;25),0.25,0)+IF(AND(V431&gt;175,W431&gt;=25,W431&lt;55),0.2,0)+IF(AND(V431&gt;175,W431&gt;=55,W431&lt;95),0.15,0)+IF(AND(V431&gt;175,W431&gt;=95),0.1,0))))))))))))))))</f>
        <v>0.35</v>
      </c>
      <c r="Y431" s="30">
        <f>IF(AG431="None",0,IF(AG431="Fix5",0.05,IF(AG431="Fix3.75",0.0375,IF(AG431="Fix10",0.1,IF(AG431="Fix3",0.03,0)))))</f>
        <v>0</v>
      </c>
      <c r="Z431" s="35">
        <v>331</v>
      </c>
      <c r="AA431" s="29">
        <v>68</v>
      </c>
      <c r="AB431" s="36">
        <f>IF(AD431="EUR",((T431-R431)*Y431)*U431+(R431*Y431),(T431*Y431))</f>
        <v>0</v>
      </c>
      <c r="AC431" s="37" t="b">
        <v>1</v>
      </c>
      <c r="AD431" s="61" t="s">
        <v>38</v>
      </c>
      <c r="AE431" s="61" t="s">
        <v>38</v>
      </c>
      <c r="AF431" s="37" t="str">
        <f t="array" ref="AF431">INDEX('Deal Info'!D:D, MATCH(A431,'Deal Info'!A:A, 0))</f>
        <v>DoEVold</v>
      </c>
      <c r="AG431" s="38" t="str">
        <f t="array" ref="AG431">INDEX('Deal Info'!G:G, MATCH(A431,'Deal Info'!A:A, 0))</f>
        <v>None</v>
      </c>
    </row>
    <row r="432" spans="1:33" ht="14.25" x14ac:dyDescent="0.2">
      <c r="A432" s="18" t="str">
        <f t="array" ref="A432">IF(G432='Room Info'!$B$1, INDEX('Room Info'!$A$2:$A2446, MATCH(B432,'Room Info'!$B$2:$B2446, 0)),IF(G432='Room Info'!$C$1, INDEX('Room Info'!$A$2:$A2446, MATCH(B432,'Room Info'!$C$2:$C2446, 0)),IF(G432='Room Info'!$D$1, INDEX('Room Info'!$A$2:$A2446, MATCH(B432,'Room Info'!$D$2:$D2446, 0)),IF(G432='Room Info'!$E$1, INDEX('Room Info'!$A$2:$A2446, MATCH(B432,'Room Info'!$E$2:$E2446, 0)),IF(G432='Room Info'!$F$1, INDEX('Room Info'!$A$2:$A2446, MATCH(B432,'Room Info'!$F$2:$F2446, 0)),IF(G432='Room Info'!$H$1, INDEX('Room Info'!$A$2:$A2446, MATCH(B432,'Room Info'!$H$2:$H2446, 0)),IF(G432='Room Info'!$G$1, INDEX('Room Info'!$A$2:$A2446, MATCH(B432,'Room Info'!$G$2:$G2446, 0)))))))))</f>
        <v>fortunate773</v>
      </c>
      <c r="B432" s="45" t="s">
        <v>66</v>
      </c>
      <c r="C432" s="111">
        <v>44713</v>
      </c>
      <c r="D432" s="111">
        <v>44742</v>
      </c>
      <c r="E432" s="47">
        <v>44713</v>
      </c>
      <c r="F432" s="45" t="s">
        <v>49</v>
      </c>
      <c r="G432" s="129" t="s">
        <v>61</v>
      </c>
      <c r="H432" s="49" t="s">
        <v>100</v>
      </c>
      <c r="I432" s="49" t="s">
        <v>101</v>
      </c>
      <c r="J432" s="70">
        <v>500</v>
      </c>
      <c r="K432" s="71">
        <v>493</v>
      </c>
      <c r="L432" s="52">
        <v>-2000</v>
      </c>
      <c r="M432" s="53">
        <v>0</v>
      </c>
      <c r="N432" s="28">
        <f>K432*J432</f>
        <v>246500</v>
      </c>
      <c r="O432" s="54">
        <v>24751</v>
      </c>
      <c r="P432" s="29">
        <v>50.204868150000003</v>
      </c>
      <c r="Q432" s="55"/>
      <c r="R432" s="31">
        <f>M432+Q432</f>
        <v>0</v>
      </c>
      <c r="S432" s="56">
        <v>2201</v>
      </c>
      <c r="T432" s="32">
        <f>R432+S432+IF(F432="Without EV deal",L432,0)</f>
        <v>2201</v>
      </c>
      <c r="U432" s="57">
        <v>1</v>
      </c>
      <c r="V432" s="58"/>
      <c r="W432" s="58"/>
      <c r="X432" s="78">
        <v>0.17</v>
      </c>
      <c r="Y432" s="30">
        <v>0.06</v>
      </c>
      <c r="Z432" s="35">
        <v>1717</v>
      </c>
      <c r="AA432" s="29">
        <v>484</v>
      </c>
      <c r="AB432" s="36"/>
      <c r="AC432" s="37" t="b">
        <v>1</v>
      </c>
      <c r="AD432" s="61" t="s">
        <v>50</v>
      </c>
      <c r="AE432" s="61"/>
      <c r="AF432" s="37" t="str">
        <f t="array" ref="AF432">INDEX('Deal Info'!D:D, MATCH(A432,'Deal Info'!A:A, 0))</f>
        <v>Fix15</v>
      </c>
      <c r="AG432" s="38" t="str">
        <f t="array" ref="AG432">INDEX('Deal Info'!G:G, MATCH(A432,'Deal Info'!A:A, 0))</f>
        <v>Fix5</v>
      </c>
    </row>
    <row r="433" spans="1:33" ht="14.25" x14ac:dyDescent="0.2">
      <c r="A433" s="18" t="str">
        <f t="array" ref="A433">IF(G433='Room Info'!$B$1, INDEX('Room Info'!$A$2:$A2446, MATCH(B433,'Room Info'!$B$2:$B2446, 0)),IF(G433='Room Info'!$C$1, INDEX('Room Info'!$A$2:$A2446, MATCH(B433,'Room Info'!$C$2:$C2446, 0)),IF(G433='Room Info'!$D$1, INDEX('Room Info'!$A$2:$A2446, MATCH(B433,'Room Info'!$D$2:$D2446, 0)),IF(G433='Room Info'!$E$1, INDEX('Room Info'!$A$2:$A2446, MATCH(B433,'Room Info'!$E$2:$E2446, 0)),IF(G433='Room Info'!$F$1, INDEX('Room Info'!$A$2:$A2446, MATCH(B433,'Room Info'!$F$2:$F2446, 0)),IF(G433='Room Info'!$H$1, INDEX('Room Info'!$A$2:$A2446, MATCH(B433,'Room Info'!$H$2:$H2446, 0)),IF(G433='Room Info'!$G$1, INDEX('Room Info'!$A$2:$A2446, MATCH(B433,'Room Info'!$G$2:$G2446, 0)))))))))</f>
        <v>Lo4io</v>
      </c>
      <c r="B433" s="45" t="s">
        <v>107</v>
      </c>
      <c r="C433" s="136">
        <v>44702</v>
      </c>
      <c r="D433" s="136">
        <v>44732</v>
      </c>
      <c r="E433" s="47">
        <v>44713</v>
      </c>
      <c r="F433" s="48" t="s">
        <v>34</v>
      </c>
      <c r="G433" s="45" t="s">
        <v>61</v>
      </c>
      <c r="H433" s="49" t="s">
        <v>112</v>
      </c>
      <c r="I433" s="49" t="s">
        <v>37</v>
      </c>
      <c r="J433" s="74">
        <v>50</v>
      </c>
      <c r="K433" s="134">
        <v>1664</v>
      </c>
      <c r="L433" s="72">
        <v>-2369</v>
      </c>
      <c r="M433" s="76">
        <v>1940</v>
      </c>
      <c r="N433" s="28">
        <f>K433*J433</f>
        <v>83200</v>
      </c>
      <c r="O433" s="45">
        <v>82565</v>
      </c>
      <c r="P433" s="29">
        <v>49.61838942</v>
      </c>
      <c r="Q433" s="55"/>
      <c r="R433" s="31">
        <f>M433+Q433</f>
        <v>1940</v>
      </c>
      <c r="S433" s="73">
        <v>116</v>
      </c>
      <c r="T433" s="32">
        <f>R433+S433+IF(F433="Without EV deal",L433,0)</f>
        <v>2056</v>
      </c>
      <c r="U433" s="57">
        <v>1.0529999999999999</v>
      </c>
      <c r="V433" s="69">
        <v>48.608649415101027</v>
      </c>
      <c r="W433" s="69">
        <v>89.099369188696443</v>
      </c>
      <c r="X433" s="30">
        <f>IF(AF433="DoEV",IF(AND(V433&lt;20,W433&lt;55),0.3,0)+IF(AND(V433&lt;20,W433&gt;=55,W433&lt;105),0.23,0)+IF(AND(V433&lt;20,W433&gt;=105),0.17,0)+IF(AND(V433&gt;=20,V433&lt;40,W433&lt;45),0.3,0)+IF(AND(V433&gt;=20,V433&lt;40,W433&gt;=45,W433&lt;95),0.23,0)+IF(AND(V433&gt;=20,V433&lt;40,W433&gt;=95),0.17,0)+IF(AND(V433&gt;=40,V433&lt;75,W433&lt;35),0.3,0)+IF(AND(V433&gt;=40,V433&lt;75,W433&gt;=35,W433&lt;75),0.23,0)+IF(AND(V433&gt;=40,V433&lt;75,W433&gt;=75,W433&lt;120),0.17,0)+IF(AND(V433&gt;=40,V433&lt;75,W433&gt;=120),0.12,0)+IF(AND(V433&gt;=75,V433&lt;175,W433&lt;35),0.3,0)+IF(AND(V433&gt;=75,V433&lt;=175,W433&gt;=35,W433&lt;65),0.23,0)+IF(AND(V433&gt;=75,V433&lt;=175,W433&gt;=65,W433&lt;110),0.17,0)+IF(AND(V433&gt;=75,V433&lt;=175,W433&gt;=110),0.12,0)+IF(AND(V433&gt;175,W433&lt;25),0.3,0)+IF(AND(V433&gt;175,W433&gt;=25,W433&lt;55),0.23,0)+IF(AND(V433&gt;175,W433&gt;=55,W433&lt;95),0.17,0)+IF(AND(V433&gt;175,W433&gt;=95),0.12,0),
IF(AF433="Fix15",0.15,
IF(AF433="Fix11.25",0.1125,
IF(AF433="Fix10",0.1,
IF(AF433="Fix9",0.09,
IF(AF433="DoEV2017",IF(AND(W433&lt;74),0.2,0)+IF(AND(W433&gt;=74),0.17,0),
IF(AF433="SF",IF(AND(V433&lt;20,W433&lt;89),0.3,0)+IF(AND(V433&lt;20,W433&gt;=89),0.25,0)+IF(AND(V433&gt;=20,V433&lt;40,W433&lt;74),0.3,0)+IF(AND(V433&gt;=20,V433&lt;40,W433&gt;=75),0.22,0)+IF(AND(V433&gt;=40,V433&lt;75,W433&lt;75),0.26,0)+IF(AND(V433&gt;=40,V433&lt;75,W433&gt;=75),0.22,0)+IF(V433&gt;=75,0.22,0),
IF(AF433="DoEVold",IF(AND(V433&lt;40,W433&lt;35),0.35,0)+IF(AND(V433&lt;40,W433&gt;=35,W433&lt;75),0.25,0)+IF(AND(V433&lt;40,W433&gt;=75),0.17,0)+IF(AND(V433&gt;=40,V433&lt;75,W433&lt;25),0.35,0)+IF(AND(V433&gt;=40,V433&lt;75,W433&gt;=25,W433&lt;65),0.25,0)+IF(AND(V433&gt;=40,V433&lt;75,W433&gt;=65,W433&lt;100),0.17,0)+IF(AND(V433&gt;=40,V433&lt;75,W433&gt;=100),0.1,0)+IF(AND(V433&gt;=75,W433&lt;25),0.35,0)+IF(AND(V433&gt;=75,W433&gt;=25,W433&lt;60),0.25,0)+IF(AND(V433&gt;=75,W433&gt;=60,W433&lt;95),0.17,0)+IF(AND(V433&gt;=75,W433&gt;=95),0.1,0),
IF(AF433="DoEVold15",IF(AND(V433&lt;=40,W433&lt;35),0.35,0)+IF(AND(V433&lt;=40,W433&gt;=35,W433&lt;75),0.25,0)+IF(AND(V433&lt;=40,W433&gt;=75,W433&lt;120),0.17,0)+IF(AND(V433&lt;=40,W433&gt;=120),0.15,0)+IF(AND(V433&gt;40,V433&lt;75,W433&lt;25),0.35,0)+IF(AND(V433&gt;=40,V433&lt;75,W433&gt;=25,W433&lt;65),0.25,0)+IF(AND(V433&gt;=40,V433&lt;75,W433&gt;=65,W433&lt;100),0.17,0)+IF(AND(V433&gt;=40,V433&lt;75,W433&gt;=100),0.1,0)+IF(AND(V433&gt;=75,W433&lt;25),0.35,0)+IF(AND(V433&gt;=75,W433&gt;=25,W433&lt;60),0.25,0)+IF(AND(V433&gt;=75,W433&gt;=60,W433&lt;95),0.17,0)+IF(AND(V433&gt;=75,W433&gt;=95),0.1,0),
IF(AF433="DoEVba",IF(AND(V433&lt;20,W433&lt;105),0.2,0)+IF(AND(V433&lt;20,W433&gt;=105),0.15,0)+IF(AND(V433&gt;=20,V433&lt;40,W433&lt;95),0.2,0)+IF(AND(V433&gt;=20,V433&lt;40,W433&gt;=95,W433&lt;150),0.15,0)+IF(AND(V433&gt;=20,V433&lt;40,W433&gt;=150),0.12,0)+IF(AND(V433&gt;=40,V433&lt;75,W433&lt;75),0.2,0)+IF(AND(V433&gt;=40,V433&lt;75,W433&gt;=75,W433&lt;120),0.15,0)+IF(AND(V433&gt;=40,V433&lt;75,W433&gt;=120),0.12,0)+IF(AND(V433&gt;=75,V433&lt;175,W433&lt;65),0.2,0)+IF(AND(V433&gt;=75,V433&lt;175,W433&gt;=65,W433&lt;110),0.15,0)+IF(AND(V433&gt;=75,V433&lt;175,W433&gt;=110),0.12,0)+IF(AND(V433&gt;=175,W433&lt;55),0.2,0)+IF(AND(V433&gt;=175,W433&gt;=55,W433&lt;95),0.15,0)+IF(AND(V433&gt;=175,W433&gt;=95),0.12,0),
IF(AF433="DoEVku",IF(AND(V433&lt;20,W433&lt;55),0.23,0)+IF(AND(V433&lt;20,W433&gt;=55,W433&lt;105),0.2,0)+IF(AND(V433&lt;20,W433&gt;=105),0.17,0)+IF(AND(V433&gt;=20,V433&lt;40,W433&lt;45),0.23,0)+IF(AND(V433&gt;=20,V433&lt;40,W433&gt;=45,W433&lt;95),0.2,0)+IF(AND(V433&gt;=20,V433&lt;40,W433&gt;=95,W433&lt;=150),0.17,0)+IF(AND(V433&gt;=20,V433&lt;40,W433&gt;=150),0.12,0)+IF(AND(V433&gt;=40,V433&lt;75,W433&lt;35),0.23,0)+IF(AND(V433&gt;=40,V433&lt;75,W433&gt;=35,W433&lt;75),0.2,0)+IF(AND(V433&gt;=40,V433&lt;75,W433&gt;=75,W433&lt;120),0.17,0)+IF(AND(V433&gt;=40,V433&lt;75,W433&gt;=120),0.12,0)+IF(AND(V433&gt;=75,V433&lt;175,W433&lt;35),0.23,0)+IF(AND(V433&gt;=75,V433&lt;=175,W433&gt;=35,W433&lt;65),0.2,0)+IF(AND(V433&gt;=75,V433&lt;=175,W433&gt;=65,W433&lt;110),0.17,0)+IF(AND(V433&gt;=75,V433&lt;=175,W433&gt;=110),0.12,0)+IF(AND(V433&gt;175,W433&lt;25),0.23,0)+IF(AND(V433&gt;175,W433&gt;=25,W433&lt;55),0.2,0)+IF(AND(V433&gt;175,W433&gt;=55,W433&lt;95),0.17,0)+IF(AND(V433&gt;175,W433&gt;=95),0.12,0),
IF(AF433="DoEVs1",IF(AND(V433&lt;20,W433&lt;55),0.3,0)+IF(AND(V433&lt;20,W433&gt;=55,W433&lt;105),0.23,0)+IF(AND(V433&lt;20,W433&gt;=105),0.17,0)+IF(AND(V433&gt;=20,V433&lt;40,W433&lt;45),0.3,0)+IF(AND(V433&gt;=20,V433&lt;40,W433&gt;=45,W433&lt;95),0.23,0)+IF(AND(V433&gt;=20,V433&lt;40,W433&gt;=95,W433&lt;=150),0.17,0)+IF(AND(V433&gt;=20,V433&lt;40,W433&gt;=150),0.12,0)+IF(AND(V433&gt;=40,V433&lt;75,W433&lt;35),0.3,0)+IF(AND(V433&gt;=40,V433&lt;75,W433&gt;=35,W433&lt;75),0.23,0)+IF(AND(V433&gt;=40,V433&lt;75,W433&gt;=75,W433&lt;120),0.17,0)+IF(AND(V433&gt;=40,V433&lt;75,W433&gt;=120),0.12,0)+IF(AND(V433&gt;=75,V433&lt;175,W433&lt;35),0.3,0)+IF(AND(V433&gt;=75,V433&lt;=175,W433&gt;=35,W433&lt;65),0.23,0)+IF(AND(V433&gt;=75,V433&lt;=175,W433&gt;=65,W433&lt;110),0.17,0)+IF(AND(V433&gt;=75,V433&lt;=175,W433&gt;=110),0.12,0)+IF(AND(V433&gt;175,W433&lt;25),0.3,0)+IF(AND(V433&gt;175,W433&gt;=25,W433&lt;55),0.23,0)+IF(AND(V433&gt;175,W433&gt;=55,W433&lt;95),0.17,0)+IF(AND(V433&gt;175,W433&gt;=95),0.12,0),
IF(AF433="DoEVsu",IF(AND(V433&lt;20,W433&lt;55),0.3,0)+IF(AND(V433&lt;20,W433&gt;=55,W433&lt;105),0.23,0)+IF(AND(V433&lt;20,W433&gt;=105),0.17,0)+IF(AND(V433&gt;=20,V433&lt;40,W433&lt;45),0.3,0)+IF(AND(V433&gt;=20,V433&lt;40,W433&gt;=45,W433&lt;95),0.23,0)+IF(AND(V433&gt;=20,V433&lt;40,W433&gt;=95,W433&lt;=250),0.17,0)+IF(AND(V433&gt;=20,V433&lt;40,W433&gt;=250),0.12,0)+IF(AND(V433&gt;=40,V433&lt;75,W433&lt;35),0.3,0)+IF(AND(V433&gt;=40,V433&lt;75,W433&gt;=35,W433&lt;75),0.23,0)+IF(AND(V433&gt;=40,V433&lt;75,W433&gt;=75,W433&lt;120),0.17,0)+IF(AND(V433&gt;=40,V433&lt;75,W433&gt;=120),0.12,0)+IF(AND(V433&gt;=75,V433&lt;175,W433&lt;35),0.3,0)+IF(AND(V433&gt;=75,V433&lt;=175,W433&gt;=35,W433&lt;65),0.23,0)+IF(AND(V433&gt;=75,V433&lt;=175,W433&gt;=65,W433&lt;110),0.17,0)+IF(AND(V433&gt;=75,V433&lt;=175,W433&gt;=110),0.12,0)+IF(AND(V433&gt;175,W433&lt;25),0.3,0)+IF(AND(V433&gt;175,W433&gt;=25,W433&lt;55),0.23,0)+IF(AND(V433&gt;175,W433&gt;=55,W433&lt;95),0.17,0)+IF(AND(V433&gt;175,W433&gt;=95),0.12,0),
IF(AF433="DoEVni",IF(AND(V433&lt;20,W433&lt;55),0.3,0)+IF(AND(V433&lt;20,W433&gt;=55,W433&lt;105),0.23,0)+IF(AND(V433&lt;20,W433&gt;=105),0.17,0)+IF(AND(V433&gt;=20,V433&lt;40,W433&lt;45),0.3,0)+IF(AND(V433&gt;=20,V433&lt;40,W433&gt;=45,W433&lt;95),0.23,0)+IF(AND(V433&gt;=20,V433&lt;40,W433&gt;=95,W433&lt;=200),0.17,0)+IF(AND(V433&gt;=20,V433&lt;40,W433&gt;=200),0.12,0)+IF(AND(V433&gt;=40,V433&lt;75,W433&lt;35),0.3,0)+IF(AND(V433&gt;=40,V433&lt;75,W433&gt;=35,W433&lt;75),0.23,0)+IF(AND(V433&gt;=40,V433&lt;75,W433&gt;=75,W433&lt;120),0.17,0)+IF(AND(V433&gt;=40,V433&lt;75,W433&gt;=120),0.12,0)+IF(AND(V433&gt;=75,V433&lt;175,W433&lt;35),0.3,0)+IF(AND(V433&gt;=75,V433&lt;=175,W433&gt;=35,W433&lt;65),0.23,0)+IF(AND(V433&gt;=75,V433&lt;=175,W433&gt;=65,W433&lt;110),0.17,0)+IF(AND(V433&gt;=75,V433&lt;=175,W433&gt;=110),0.12,0)+IF(AND(V433&gt;175,W433&lt;25),0.3,0)+IF(AND(V433&gt;175,W433&gt;=25,W433&lt;55),0.23,0)+IF(AND(V433&gt;175,W433&gt;=55,W433&lt;95),0.17,0)+IF(AND(V433&gt;175,W433&gt;=95),0.12,0),
IF(AF433="DoEVLo",IF(AND(V433&lt;20,W433&lt;55),0.25,0)+IF(AND(V433&lt;20,W433&gt;=55,W433&lt;105),0.2,0)+IF(AND(V433&lt;20,W433&gt;=105),0.15,0)+IF(AND(V433&gt;=20,V433&lt;40,W433&lt;45),0.25,0)+IF(AND(V433&gt;=20,V433&lt;40,W433&gt;=45,W433&lt;95),0.2,0)+IF(AND(V433&gt;=20,V433&lt;40,W433&gt;=95),0.15,0)+IF(AND(V433&gt;=40,V433&lt;75,W433&lt;35),0.25,0)+IF(AND(V433&gt;=40,V433&lt;75,W433&gt;=35,W433&lt;75),0.2,0)+IF(AND(V433&gt;=40,V433&lt;75,W433&gt;=75,W433&lt;120),0.15,0)+IF(AND(V433&gt;=40,V433&lt;75,W433&gt;=120),0.1,0)+IF(AND(V433&gt;=75,V433&lt;175,W433&lt;35),0.25,0)+IF(AND(V433&gt;=75,V433&lt;=175,W433&gt;=35,W433&lt;65),0.2,0)+IF(AND(V433&gt;=75,V433&lt;=175,W433&gt;=65,W433&lt;110),0.15,0)+IF(AND(V433&gt;=75,V433&lt;=175,W433&gt;=110),0.1,0)+IF(AND(V433&gt;175,W433&lt;25),0.25,0)+IF(AND(V433&gt;175,W433&gt;=25,W433&lt;55),0.2,0)+IF(AND(V433&gt;175,W433&gt;=55,W433&lt;95),0.15,0)+IF(AND(V433&gt;175,W433&gt;=95),0.1,0))))))))))))))))</f>
        <v>0.15</v>
      </c>
      <c r="Y433" s="30">
        <f>IF(AG433="None",0,IF(AG433="Fix5",0.05,IF(AG433="Fix3.75",0.0375,IF(AG433="Fix10",0.1,IF(AG433="Fix3",0.03,0)))))</f>
        <v>0</v>
      </c>
      <c r="Z433" s="35">
        <f>T433-AA433-AB433</f>
        <v>1746.6777999999999</v>
      </c>
      <c r="AA433" s="29">
        <f>IF(AD433="EUR",((T433-R433)*X433)*U433+(R433*X433),(T433*X433))</f>
        <v>309.32220000000001</v>
      </c>
      <c r="AB433" s="36">
        <f>IF(AD433="EUR",((T433-R433)*Y433)*U433+(R433*Y433),(T433*Y433))</f>
        <v>0</v>
      </c>
      <c r="AC433" s="37" t="b">
        <v>1</v>
      </c>
      <c r="AD433" s="37" t="s">
        <v>50</v>
      </c>
      <c r="AE433" s="37"/>
      <c r="AF433" s="37" t="str">
        <f t="array" ref="AF433">INDEX('Deal Info'!D:D, MATCH(A433,'Deal Info'!A:A, 0))</f>
        <v>DoEVLo</v>
      </c>
      <c r="AG433" s="38" t="str">
        <f t="array" ref="AG433">INDEX('Deal Info'!G:G, MATCH(A433,'Deal Info'!A:A, 0))</f>
        <v>None</v>
      </c>
    </row>
    <row r="434" spans="1:33" ht="14.25" x14ac:dyDescent="0.2">
      <c r="A434" s="18" t="s">
        <v>98</v>
      </c>
      <c r="B434" s="129" t="s">
        <v>99</v>
      </c>
      <c r="C434" s="92">
        <v>44713</v>
      </c>
      <c r="D434" s="92">
        <v>44742</v>
      </c>
      <c r="E434" s="47">
        <v>44713</v>
      </c>
      <c r="F434" s="45" t="s">
        <v>49</v>
      </c>
      <c r="G434" s="54" t="s">
        <v>61</v>
      </c>
      <c r="H434" s="49" t="s">
        <v>112</v>
      </c>
      <c r="I434" s="49" t="s">
        <v>37</v>
      </c>
      <c r="J434" s="50">
        <v>50</v>
      </c>
      <c r="K434" s="51">
        <v>401</v>
      </c>
      <c r="L434" s="52">
        <v>-2300</v>
      </c>
      <c r="M434" s="53">
        <v>475</v>
      </c>
      <c r="N434" s="28">
        <f>K434*J434</f>
        <v>20050</v>
      </c>
      <c r="O434" s="54">
        <v>9157</v>
      </c>
      <c r="P434" s="29">
        <v>22.83541147</v>
      </c>
      <c r="Q434" s="55"/>
      <c r="R434" s="31">
        <f>M434+Q434</f>
        <v>475</v>
      </c>
      <c r="S434" s="56">
        <v>-1075</v>
      </c>
      <c r="T434" s="32">
        <f>R434+S434+IF(F434="Without EV deal",L434,0)</f>
        <v>-600</v>
      </c>
      <c r="U434" s="57">
        <v>1.0209999999999999</v>
      </c>
      <c r="V434" s="69"/>
      <c r="W434" s="69"/>
      <c r="X434" s="30">
        <v>0.25</v>
      </c>
      <c r="Y434" s="30">
        <f>IF(AG434="None",0,IF(AG434="Fix5",0.05, IF(AG434="Fix6.25",0.0625,IF(AG434="Fix3.75",0.0375,IF(AG434="Fix10",0.1,IF(AG434="Fix3",0.03,0))))))</f>
        <v>0</v>
      </c>
      <c r="Z434" s="35">
        <f>T434-AA434-AB434</f>
        <v>-444.35625000000005</v>
      </c>
      <c r="AA434" s="29">
        <f>IF(AD434="EUR",((T434-R434)*X434)*U434+(R434*X434),(T434*X434))</f>
        <v>-155.64374999999995</v>
      </c>
      <c r="AB434" s="36">
        <f>IF(AD434="EUR",((T434-R434)*Y434)*U434+(R434*Y434),(T434*Y434))</f>
        <v>0</v>
      </c>
      <c r="AC434" s="37" t="b">
        <v>1</v>
      </c>
      <c r="AD434" s="61" t="s">
        <v>50</v>
      </c>
      <c r="AE434" s="61"/>
      <c r="AF434" s="37" t="str">
        <f t="array" ref="AF434">INDEX('Deal Info'!D:D, MATCH(A434,'Deal Info'!A:A, 0))</f>
        <v>DoEVold</v>
      </c>
      <c r="AG434" s="38" t="str">
        <f t="array" ref="AG434">INDEX('Deal Info'!G:G, MATCH(A434,'Deal Info'!A:A, 0))</f>
        <v>None</v>
      </c>
    </row>
    <row r="435" spans="1:33" ht="14.25" x14ac:dyDescent="0.2">
      <c r="A435" s="18" t="str">
        <f t="array" ref="A435">IF(G435='Room Info'!$B$1, INDEX('Room Info'!$A$2:$A2446, MATCH(B435,'Room Info'!$B$2:$B2446, 0)),IF(G435='Room Info'!$C$1, INDEX('Room Info'!$A$2:$A2446, MATCH(B435,'Room Info'!$C$2:$C2446, 0)),IF(G435='Room Info'!$D$1, INDEX('Room Info'!$A$2:$A2446, MATCH(B435,'Room Info'!$D$2:$D2446, 0)),IF(G435='Room Info'!$E$1, INDEX('Room Info'!$A$2:$A2446, MATCH(B435,'Room Info'!$E$2:$E2446, 0)),IF(G435='Room Info'!$F$1, INDEX('Room Info'!$A$2:$A2446, MATCH(B435,'Room Info'!$F$2:$F2446, 0)),IF(G435='Room Info'!$H$1, INDEX('Room Info'!$A$2:$A2446, MATCH(B435,'Room Info'!$H$2:$H2446, 0)),IF(G435='Room Info'!$G$1, INDEX('Room Info'!$A$2:$A2446, MATCH(B435,'Room Info'!$G$2:$G2446, 0)))))))))</f>
        <v>Freedoom</v>
      </c>
      <c r="B435" s="129" t="s">
        <v>110</v>
      </c>
      <c r="C435" s="46">
        <v>44713</v>
      </c>
      <c r="D435" s="46">
        <v>44742</v>
      </c>
      <c r="E435" s="47">
        <v>44713</v>
      </c>
      <c r="F435" s="48" t="s">
        <v>41</v>
      </c>
      <c r="G435" s="45" t="s">
        <v>61</v>
      </c>
      <c r="H435" s="49" t="s">
        <v>132</v>
      </c>
      <c r="I435" s="49" t="s">
        <v>37</v>
      </c>
      <c r="J435" s="70">
        <v>5</v>
      </c>
      <c r="K435" s="71">
        <v>1119</v>
      </c>
      <c r="L435" s="52">
        <v>-300</v>
      </c>
      <c r="M435" s="53">
        <v>96</v>
      </c>
      <c r="N435" s="28">
        <f>K435*J435</f>
        <v>5595</v>
      </c>
      <c r="O435" s="54">
        <v>41150</v>
      </c>
      <c r="P435" s="29">
        <v>36.77390527</v>
      </c>
      <c r="Q435" s="55"/>
      <c r="R435" s="31">
        <f>M435+Q435</f>
        <v>96</v>
      </c>
      <c r="S435" s="56">
        <v>-132</v>
      </c>
      <c r="T435" s="32">
        <f>R435+S435+IF(F435="Without EV deal",L435,0)</f>
        <v>-336</v>
      </c>
      <c r="U435" s="57">
        <v>1</v>
      </c>
      <c r="V435" s="69"/>
      <c r="W435" s="69"/>
      <c r="X435" s="30">
        <f>IF(AF435="DoEV",IF(AND(V435&lt;20,W435&lt;55),0.3,0)+IF(AND(V435&lt;20,W435&gt;=55,W435&lt;105),0.23,0)+IF(AND(V435&lt;20,W435&gt;=105),0.17,0)+IF(AND(V435&gt;=20,V435&lt;40,W435&lt;45),0.3,0)+IF(AND(V435&gt;=20,V435&lt;40,W435&gt;=45,W435&lt;95),0.23,0)+IF(AND(V435&gt;=20,V435&lt;40,W435&gt;=95),0.17,0)+IF(AND(V435&gt;=40,V435&lt;75,W435&lt;35),0.3,0)+IF(AND(V435&gt;=40,V435&lt;75,W435&gt;=35,W435&lt;75),0.23,0)+IF(AND(V435&gt;=40,V435&lt;75,W435&gt;=75,W435&lt;120),0.17,0)+IF(AND(V435&gt;=40,V435&lt;75,W435&gt;=120),0.12,0)+IF(AND(V435&gt;=75,V435&lt;175,W435&lt;35),0.3,0)+IF(AND(V435&gt;=75,V435&lt;=175,W435&gt;=35,W435&lt;65),0.23,0)+IF(AND(V435&gt;=75,V435&lt;=175,W435&gt;=65,W435&lt;110),0.17,0)+IF(AND(V435&gt;=75,V435&lt;=175,W435&gt;=110),0.12,0)+IF(AND(V435&gt;175,W435&lt;25),0.3,0)+IF(AND(V435&gt;175,W435&gt;=25,W435&lt;55),0.23,0)+IF(AND(V435&gt;175,W435&gt;=55,W435&lt;95),0.17,0)+IF(AND(V435&gt;175,W435&gt;=95),0.12,0),
IF(AF435="Fix15",0.15,
IF(AF435="Fix11.25",0.1125,
IF(AF435="Fix10",0.1,
IF(AF435="Fix9",0.09,
IF(AF435="DoEV2017",IF(AND(W435&lt;74),0.2,0)+IF(AND(W435&gt;=74),0.17,0),
IF(AF435="SF",IF(AND(V435&lt;20,W435&lt;89),0.3,0)+IF(AND(V435&lt;20,W435&gt;=89),0.25,0)+IF(AND(V435&gt;=20,V435&lt;40,W435&lt;74),0.3,0)+IF(AND(V435&gt;=20,V435&lt;40,W435&gt;=75),0.22,0)+IF(AND(V435&gt;=40,V435&lt;75,W435&lt;75),0.26,0)+IF(AND(V435&gt;=40,V435&lt;75,W435&gt;=75),0.22,0)+IF(V435&gt;=75,0.22,0),
IF(AF435="DoEVold",IF(AND(V435&lt;40,W435&lt;35),0.35,0)+IF(AND(V435&lt;40,W435&gt;=35,W435&lt;75),0.25,0)+IF(AND(V435&lt;40,W435&gt;=75),0.17,0)+IF(AND(V435&gt;=40,V435&lt;75,W435&lt;25),0.35,0)+IF(AND(V435&gt;=40,V435&lt;75,W435&gt;=25,W435&lt;65),0.25,0)+IF(AND(V435&gt;=40,V435&lt;75,W435&gt;=65,W435&lt;100),0.17,0)+IF(AND(V435&gt;=40,V435&lt;75,W435&gt;=100),0.1,0)+IF(AND(V435&gt;=75,W435&lt;25),0.35,0)+IF(AND(V435&gt;=75,W435&gt;=25,W435&lt;60),0.25,0)+IF(AND(V435&gt;=75,W435&gt;=60,W435&lt;95),0.17,0)+IF(AND(V435&gt;=75,W435&gt;=95),0.1,0),
IF(AF435="DoEVold15",IF(AND(V435&lt;=40,W435&lt;35),0.35,0)+IF(AND(V435&lt;=40,W435&gt;=35,W435&lt;75),0.25,0)+IF(AND(V435&lt;=40,W435&gt;=75,W435&lt;120),0.17,0)+IF(AND(V435&lt;=40,W435&gt;=120),0.15,0)+IF(AND(V435&gt;40,V435&lt;75,W435&lt;25),0.35,0)+IF(AND(V435&gt;=40,V435&lt;75,W435&gt;=25,W435&lt;65),0.25,0)+IF(AND(V435&gt;=40,V435&lt;75,W435&gt;=65,W435&lt;100),0.17,0)+IF(AND(V435&gt;=40,V435&lt;75,W435&gt;=100),0.1,0)+IF(AND(V435&gt;=75,W435&lt;25),0.35,0)+IF(AND(V435&gt;=75,W435&gt;=25,W435&lt;60),0.25,0)+IF(AND(V435&gt;=75,W435&gt;=60,W435&lt;95),0.17,0)+IF(AND(V435&gt;=75,W435&gt;=95),0.1,0),
IF(AF435="DoEVba",IF(AND(V435&lt;20,W435&lt;105),0.2,0)+IF(AND(V435&lt;20,W435&gt;=105),0.15,0)+IF(AND(V435&gt;=20,V435&lt;40,W435&lt;95),0.2,0)+IF(AND(V435&gt;=20,V435&lt;40,W435&gt;=95,W435&lt;150),0.15,0)+IF(AND(V435&gt;=20,V435&lt;40,W435&gt;=150),0.12,0)+IF(AND(V435&gt;=40,V435&lt;75,W435&lt;75),0.2,0)+IF(AND(V435&gt;=40,V435&lt;75,W435&gt;=75,W435&lt;120),0.15,0)+IF(AND(V435&gt;=40,V435&lt;75,W435&gt;=120),0.12,0)+IF(AND(V435&gt;=75,V435&lt;175,W435&lt;65),0.2,0)+IF(AND(V435&gt;=75,V435&lt;175,W435&gt;=65,W435&lt;110),0.15,0)+IF(AND(V435&gt;=75,V435&lt;175,W435&gt;=110),0.12,0)+IF(AND(V435&gt;=175,W435&lt;55),0.2,0)+IF(AND(V435&gt;=175,W435&gt;=55,W435&lt;95),0.15,0)+IF(AND(V435&gt;=175,W435&gt;=95),0.12,0),
IF(AF435="DoEVku",IF(AND(V435&lt;20,W435&lt;55),0.23,0)+IF(AND(V435&lt;20,W435&gt;=55,W435&lt;105),0.2,0)+IF(AND(V435&lt;20,W435&gt;=105),0.17,0)+IF(AND(V435&gt;=20,V435&lt;40,W435&lt;45),0.23,0)+IF(AND(V435&gt;=20,V435&lt;40,W435&gt;=45,W435&lt;95),0.2,0)+IF(AND(V435&gt;=20,V435&lt;40,W435&gt;=95,W435&lt;=150),0.17,0)+IF(AND(V435&gt;=20,V435&lt;40,W435&gt;=150),0.12,0)+IF(AND(V435&gt;=40,V435&lt;75,W435&lt;35),0.23,0)+IF(AND(V435&gt;=40,V435&lt;75,W435&gt;=35,W435&lt;75),0.2,0)+IF(AND(V435&gt;=40,V435&lt;75,W435&gt;=75,W435&lt;120),0.17,0)+IF(AND(V435&gt;=40,V435&lt;75,W435&gt;=120),0.12,0)+IF(AND(V435&gt;=75,V435&lt;175,W435&lt;35),0.23,0)+IF(AND(V435&gt;=75,V435&lt;=175,W435&gt;=35,W435&lt;65),0.2,0)+IF(AND(V435&gt;=75,V435&lt;=175,W435&gt;=65,W435&lt;110),0.17,0)+IF(AND(V435&gt;=75,V435&lt;=175,W435&gt;=110),0.12,0)+IF(AND(V435&gt;175,W435&lt;25),0.23,0)+IF(AND(V435&gt;175,W435&gt;=25,W435&lt;55),0.2,0)+IF(AND(V435&gt;175,W435&gt;=55,W435&lt;95),0.17,0)+IF(AND(V435&gt;175,W435&gt;=95),0.12,0),
IF(AF435="DoEVs1",IF(AND(V435&lt;20,W435&lt;55),0.3,0)+IF(AND(V435&lt;20,W435&gt;=55,W435&lt;105),0.23,0)+IF(AND(V435&lt;20,W435&gt;=105),0.17,0)+IF(AND(V435&gt;=20,V435&lt;40,W435&lt;45),0.3,0)+IF(AND(V435&gt;=20,V435&lt;40,W435&gt;=45,W435&lt;95),0.23,0)+IF(AND(V435&gt;=20,V435&lt;40,W435&gt;=95,W435&lt;=150),0.17,0)+IF(AND(V435&gt;=20,V435&lt;40,W435&gt;=150),0.12,0)+IF(AND(V435&gt;=40,V435&lt;75,W435&lt;35),0.3,0)+IF(AND(V435&gt;=40,V435&lt;75,W435&gt;=35,W435&lt;75),0.23,0)+IF(AND(V435&gt;=40,V435&lt;75,W435&gt;=75,W435&lt;120),0.17,0)+IF(AND(V435&gt;=40,V435&lt;75,W435&gt;=120),0.12,0)+IF(AND(V435&gt;=75,V435&lt;175,W435&lt;35),0.3,0)+IF(AND(V435&gt;=75,V435&lt;=175,W435&gt;=35,W435&lt;65),0.23,0)+IF(AND(V435&gt;=75,V435&lt;=175,W435&gt;=65,W435&lt;110),0.17,0)+IF(AND(V435&gt;=75,V435&lt;=175,W435&gt;=110),0.12,0)+IF(AND(V435&gt;175,W435&lt;25),0.3,0)+IF(AND(V435&gt;175,W435&gt;=25,W435&lt;55),0.23,0)+IF(AND(V435&gt;175,W435&gt;=55,W435&lt;95),0.17,0)+IF(AND(V435&gt;175,W435&gt;=95),0.12,0),
IF(AF435="DoEVsu",IF(AND(V435&lt;20,W435&lt;55),0.3,0)+IF(AND(V435&lt;20,W435&gt;=55,W435&lt;105),0.23,0)+IF(AND(V435&lt;20,W435&gt;=105),0.17,0)+IF(AND(V435&gt;=20,V435&lt;40,W435&lt;45),0.3,0)+IF(AND(V435&gt;=20,V435&lt;40,W435&gt;=45,W435&lt;95),0.23,0)+IF(AND(V435&gt;=20,V435&lt;40,W435&gt;=95,W435&lt;=250),0.17,0)+IF(AND(V435&gt;=20,V435&lt;40,W435&gt;=250),0.12,0)+IF(AND(V435&gt;=40,V435&lt;75,W435&lt;35),0.3,0)+IF(AND(V435&gt;=40,V435&lt;75,W435&gt;=35,W435&lt;75),0.23,0)+IF(AND(V435&gt;=40,V435&lt;75,W435&gt;=75,W435&lt;120),0.17,0)+IF(AND(V435&gt;=40,V435&lt;75,W435&gt;=120),0.12,0)+IF(AND(V435&gt;=75,V435&lt;175,W435&lt;35),0.3,0)+IF(AND(V435&gt;=75,V435&lt;=175,W435&gt;=35,W435&lt;65),0.23,0)+IF(AND(V435&gt;=75,V435&lt;=175,W435&gt;=65,W435&lt;110),0.17,0)+IF(AND(V435&gt;=75,V435&lt;=175,W435&gt;=110),0.12,0)+IF(AND(V435&gt;175,W435&lt;25),0.3,0)+IF(AND(V435&gt;175,W435&gt;=25,W435&lt;55),0.23,0)+IF(AND(V435&gt;175,W435&gt;=55,W435&lt;95),0.17,0)+IF(AND(V435&gt;175,W435&gt;=95),0.12,0),
IF(AF435="DoEVni",IF(AND(V435&lt;20,W435&lt;55),0.3,0)+IF(AND(V435&lt;20,W435&gt;=55,W435&lt;105),0.23,0)+IF(AND(V435&lt;20,W435&gt;=105),0.17,0)+IF(AND(V435&gt;=20,V435&lt;40,W435&lt;45),0.3,0)+IF(AND(V435&gt;=20,V435&lt;40,W435&gt;=45,W435&lt;95),0.23,0)+IF(AND(V435&gt;=20,V435&lt;40,W435&gt;=95,W435&lt;=200),0.17,0)+IF(AND(V435&gt;=20,V435&lt;40,W435&gt;=200),0.12,0)+IF(AND(V435&gt;=40,V435&lt;75,W435&lt;35),0.3,0)+IF(AND(V435&gt;=40,V435&lt;75,W435&gt;=35,W435&lt;75),0.23,0)+IF(AND(V435&gt;=40,V435&lt;75,W435&gt;=75,W435&lt;120),0.17,0)+IF(AND(V435&gt;=40,V435&lt;75,W435&gt;=120),0.12,0)+IF(AND(V435&gt;=75,V435&lt;175,W435&lt;35),0.3,0)+IF(AND(V435&gt;=75,V435&lt;=175,W435&gt;=35,W435&lt;65),0.23,0)+IF(AND(V435&gt;=75,V435&lt;=175,W435&gt;=65,W435&lt;110),0.17,0)+IF(AND(V435&gt;=75,V435&lt;=175,W435&gt;=110),0.12,0)+IF(AND(V435&gt;175,W435&lt;25),0.3,0)+IF(AND(V435&gt;175,W435&gt;=25,W435&lt;55),0.23,0)+IF(AND(V435&gt;175,W435&gt;=55,W435&lt;95),0.17,0)+IF(AND(V435&gt;175,W435&gt;=95),0.12,0),
IF(AF435="DoEVLo",IF(AND(V435&lt;20,W435&lt;55),0.25,0)+IF(AND(V435&lt;20,W435&gt;=55,W435&lt;105),0.2,0)+IF(AND(V435&lt;20,W435&gt;=105),0.15,0)+IF(AND(V435&gt;=20,V435&lt;40,W435&lt;45),0.25,0)+IF(AND(V435&gt;=20,V435&lt;40,W435&gt;=45,W435&lt;95),0.2,0)+IF(AND(V435&gt;=20,V435&lt;40,W435&gt;=95),0.15,0)+IF(AND(V435&gt;=40,V435&lt;75,W435&lt;35),0.25,0)+IF(AND(V435&gt;=40,V435&lt;75,W435&gt;=35,W435&lt;75),0.2,0)+IF(AND(V435&gt;=40,V435&lt;75,W435&gt;=75,W435&lt;120),0.15,0)+IF(AND(V435&gt;=40,V435&lt;75,W435&gt;=120),0.1,0)+IF(AND(V435&gt;=75,V435&lt;175,W435&lt;35),0.25,0)+IF(AND(V435&gt;=75,V435&lt;=175,W435&gt;=35,W435&lt;65),0.2,0)+IF(AND(V435&gt;=75,V435&lt;=175,W435&gt;=65,W435&lt;110),0.15,0)+IF(AND(V435&gt;=75,V435&lt;=175,W435&gt;=110),0.1,0)+IF(AND(V435&gt;175,W435&lt;25),0.25,0)+IF(AND(V435&gt;175,W435&gt;=25,W435&lt;55),0.2,0)+IF(AND(V435&gt;175,W435&gt;=55,W435&lt;95),0.15,0)+IF(AND(V435&gt;175,W435&gt;=95),0.1,0))))))))))))))))</f>
        <v>0.35</v>
      </c>
      <c r="Y435" s="30">
        <f>IF(AG435="None",0,IF(AG435="Fix5",0.05,IF(AG435="Fix3.75",0.0375,IF(AG435="Fix10",0.1,IF(AG435="Fix3",0.03,0)))))</f>
        <v>0</v>
      </c>
      <c r="Z435" s="35">
        <v>-153</v>
      </c>
      <c r="AA435" s="29">
        <v>-51</v>
      </c>
      <c r="AB435" s="36">
        <f>IF(AD435="EUR",((T435-R435)*Y435)*U435+(R435*Y435),(T435*Y435))</f>
        <v>0</v>
      </c>
      <c r="AC435" s="37" t="b">
        <v>1</v>
      </c>
      <c r="AD435" s="61" t="s">
        <v>38</v>
      </c>
      <c r="AE435" s="61" t="s">
        <v>38</v>
      </c>
      <c r="AF435" s="37" t="str">
        <f t="array" ref="AF435">INDEX('Deal Info'!D:D, MATCH(A435,'Deal Info'!A:A, 0))</f>
        <v>DoEVold</v>
      </c>
      <c r="AG435" s="38" t="str">
        <f t="array" ref="AG435">INDEX('Deal Info'!G:G, MATCH(A435,'Deal Info'!A:A, 0))</f>
        <v>None</v>
      </c>
    </row>
    <row r="436" spans="1:33" ht="14.25" x14ac:dyDescent="0.2">
      <c r="A436" s="18" t="str">
        <f t="array" ref="A436">IF(G436='Room Info'!$B$1, INDEX('Room Info'!$A$2:$A2446, MATCH(B436,'Room Info'!$B$2:$B2446, 0)),IF(G436='Room Info'!$C$1, INDEX('Room Info'!$A$2:$A2446, MATCH(B436,'Room Info'!$C$2:$C2446, 0)),IF(G436='Room Info'!$D$1, INDEX('Room Info'!$A$2:$A2446, MATCH(B436,'Room Info'!$D$2:$D2446, 0)),IF(G436='Room Info'!$E$1, INDEX('Room Info'!$A$2:$A2446, MATCH(B436,'Room Info'!$E$2:$E2446, 0)),IF(G436='Room Info'!$F$1, INDEX('Room Info'!$A$2:$A2446, MATCH(B436,'Room Info'!$F$2:$F2446, 0)),IF(G436='Room Info'!$H$1, INDEX('Room Info'!$A$2:$A2446, MATCH(B436,'Room Info'!$H$2:$H2446, 0)),IF(G436='Room Info'!$G$1, INDEX('Room Info'!$A$2:$A2446, MATCH(B436,'Room Info'!$G$2:$G2446, 0)))))))))</f>
        <v>fortunate773</v>
      </c>
      <c r="B436" s="45" t="s">
        <v>66</v>
      </c>
      <c r="C436" s="111">
        <v>44713</v>
      </c>
      <c r="D436" s="111">
        <v>44742</v>
      </c>
      <c r="E436" s="47">
        <v>44713</v>
      </c>
      <c r="F436" s="129" t="s">
        <v>49</v>
      </c>
      <c r="G436" s="45" t="s">
        <v>61</v>
      </c>
      <c r="H436" s="49" t="s">
        <v>135</v>
      </c>
      <c r="I436" s="49" t="s">
        <v>101</v>
      </c>
      <c r="J436" s="70">
        <v>250</v>
      </c>
      <c r="K436" s="71">
        <v>1507</v>
      </c>
      <c r="L436" s="113">
        <v>7500</v>
      </c>
      <c r="M436" s="62">
        <v>2550</v>
      </c>
      <c r="N436" s="28">
        <f>K436*J436</f>
        <v>376750</v>
      </c>
      <c r="O436" s="65">
        <v>66203</v>
      </c>
      <c r="P436" s="29">
        <v>43.930325150000002</v>
      </c>
      <c r="Q436" s="55"/>
      <c r="R436" s="31">
        <f>M436+Q436</f>
        <v>2550</v>
      </c>
      <c r="S436" s="66">
        <v>-945</v>
      </c>
      <c r="T436" s="32">
        <f>R436+S436+IF(F436="Without EV deal",L436,0)</f>
        <v>1605</v>
      </c>
      <c r="U436" s="57">
        <v>1</v>
      </c>
      <c r="V436" s="58"/>
      <c r="W436" s="58"/>
      <c r="X436" s="78">
        <v>0.17</v>
      </c>
      <c r="Y436" s="30">
        <v>0.06</v>
      </c>
      <c r="Z436" s="35">
        <v>1252</v>
      </c>
      <c r="AA436" s="29">
        <v>353</v>
      </c>
      <c r="AB436" s="36"/>
      <c r="AC436" s="37" t="b">
        <v>1</v>
      </c>
      <c r="AD436" s="37" t="s">
        <v>50</v>
      </c>
      <c r="AE436" s="37"/>
      <c r="AF436" s="37" t="str">
        <f t="array" ref="AF436">INDEX('Deal Info'!D:D, MATCH(A436,'Deal Info'!A:A, 0))</f>
        <v>Fix15</v>
      </c>
      <c r="AG436" s="38" t="str">
        <f t="array" ref="AG436">INDEX('Deal Info'!G:G, MATCH(A436,'Deal Info'!A:A, 0))</f>
        <v>Fix5</v>
      </c>
    </row>
    <row r="437" spans="1:33" ht="14.25" x14ac:dyDescent="0.2">
      <c r="A437" s="18" t="str">
        <f t="array" ref="A437">IF(G437='Room Info'!$B$1, INDEX('Room Info'!$A$2:$A2446, MATCH(B437,'Room Info'!$B$2:$B2446, 0)),IF(G437='Room Info'!$C$1, INDEX('Room Info'!$A$2:$A2446, MATCH(B437,'Room Info'!$C$2:$C2446, 0)),IF(G437='Room Info'!$D$1, INDEX('Room Info'!$A$2:$A2446, MATCH(B437,'Room Info'!$D$2:$D2446, 0)),IF(G437='Room Info'!$E$1, INDEX('Room Info'!$A$2:$A2446, MATCH(B437,'Room Info'!$E$2:$E2446, 0)),IF(G437='Room Info'!$F$1, INDEX('Room Info'!$A$2:$A2446, MATCH(B437,'Room Info'!$F$2:$F2446, 0)),IF(G437='Room Info'!$H$1, INDEX('Room Info'!$A$2:$A2446, MATCH(B437,'Room Info'!$H$2:$H2446, 0)),IF(G437='Room Info'!$G$1, INDEX('Room Info'!$A$2:$A2446, MATCH(B437,'Room Info'!$G$2:$G2446, 0)))))))))</f>
        <v>fortunate773</v>
      </c>
      <c r="B437" s="129" t="s">
        <v>66</v>
      </c>
      <c r="C437" s="46">
        <v>44713</v>
      </c>
      <c r="D437" s="46">
        <v>44742</v>
      </c>
      <c r="E437" s="47">
        <v>44713</v>
      </c>
      <c r="F437" s="133" t="s">
        <v>49</v>
      </c>
      <c r="G437" s="129" t="s">
        <v>61</v>
      </c>
      <c r="H437" s="49" t="s">
        <v>59</v>
      </c>
      <c r="I437" s="49" t="s">
        <v>101</v>
      </c>
      <c r="J437" s="70">
        <v>100</v>
      </c>
      <c r="K437" s="71">
        <v>399</v>
      </c>
      <c r="L437" s="72">
        <v>-3000</v>
      </c>
      <c r="M437" s="53">
        <v>23700</v>
      </c>
      <c r="N437" s="28">
        <f>K437*J437</f>
        <v>39900</v>
      </c>
      <c r="O437" s="45">
        <v>9261</v>
      </c>
      <c r="P437" s="29">
        <v>23.21052632</v>
      </c>
      <c r="Q437" s="55"/>
      <c r="R437" s="31">
        <f>M437+Q437</f>
        <v>23700</v>
      </c>
      <c r="S437" s="73">
        <v>-2045</v>
      </c>
      <c r="T437" s="32">
        <f>R437+S437+IF(F437="Without EV deal",L437,0)</f>
        <v>21655</v>
      </c>
      <c r="U437" s="57">
        <v>1</v>
      </c>
      <c r="V437" s="58"/>
      <c r="W437" s="58"/>
      <c r="X437" s="78">
        <v>0.17</v>
      </c>
      <c r="Y437" s="30">
        <v>0.06</v>
      </c>
      <c r="Z437" s="35">
        <v>16891</v>
      </c>
      <c r="AA437" s="29">
        <v>4764</v>
      </c>
      <c r="AB437" s="36"/>
      <c r="AC437" s="37" t="b">
        <v>1</v>
      </c>
      <c r="AD437" s="83" t="s">
        <v>50</v>
      </c>
      <c r="AE437" s="83"/>
      <c r="AF437" s="37" t="str">
        <f t="array" ref="AF437">INDEX('Deal Info'!D:D, MATCH(A437,'Deal Info'!A:A, 0))</f>
        <v>Fix15</v>
      </c>
      <c r="AG437" s="38" t="str">
        <f t="array" ref="AG437">INDEX('Deal Info'!G:G, MATCH(A437,'Deal Info'!A:A, 0))</f>
        <v>Fix5</v>
      </c>
    </row>
    <row r="438" spans="1:33" ht="14.25" x14ac:dyDescent="0.2">
      <c r="A438" s="18" t="str">
        <f t="array" ref="A438">IF(G438='Room Info'!$B$1, INDEX('Room Info'!$A$2:$A2446, MATCH(B438,'Room Info'!$B$2:$B2446, 0)),IF(G438='Room Info'!$C$1, INDEX('Room Info'!$A$2:$A2446, MATCH(B438,'Room Info'!$C$2:$C2446, 0)),IF(G438='Room Info'!$D$1, INDEX('Room Info'!$A$2:$A2446, MATCH(B438,'Room Info'!$D$2:$D2446, 0)),IF(G438='Room Info'!$E$1, INDEX('Room Info'!$A$2:$A2446, MATCH(B438,'Room Info'!$E$2:$E2446, 0)),IF(G438='Room Info'!$F$1, INDEX('Room Info'!$A$2:$A2446, MATCH(B438,'Room Info'!$F$2:$F2446, 0)),IF(G438='Room Info'!$H$1, INDEX('Room Info'!$A$2:$A2446, MATCH(B438,'Room Info'!$H$2:$H2446, 0)),IF(G438='Room Info'!$G$1, INDEX('Room Info'!$A$2:$A2446, MATCH(B438,'Room Info'!$G$2:$G2446, 0)))))))))</f>
        <v>Freedoom</v>
      </c>
      <c r="B438" s="45" t="s">
        <v>110</v>
      </c>
      <c r="C438" s="111">
        <v>44713</v>
      </c>
      <c r="D438" s="111">
        <v>44742</v>
      </c>
      <c r="E438" s="47">
        <v>44713</v>
      </c>
      <c r="F438" s="133" t="s">
        <v>41</v>
      </c>
      <c r="G438" s="65" t="s">
        <v>61</v>
      </c>
      <c r="H438" s="49" t="s">
        <v>227</v>
      </c>
      <c r="I438" s="49" t="s">
        <v>37</v>
      </c>
      <c r="J438" s="50">
        <v>10</v>
      </c>
      <c r="K438" s="123">
        <v>56</v>
      </c>
      <c r="L438" s="113">
        <v>50</v>
      </c>
      <c r="M438" s="62">
        <v>0</v>
      </c>
      <c r="N438" s="28">
        <f>K438*J438</f>
        <v>560</v>
      </c>
      <c r="O438" s="65">
        <v>1655</v>
      </c>
      <c r="P438" s="29">
        <v>29.553571430000002</v>
      </c>
      <c r="Q438" s="55"/>
      <c r="R438" s="31">
        <f>M438+Q438</f>
        <v>0</v>
      </c>
      <c r="S438" s="66">
        <v>-20</v>
      </c>
      <c r="T438" s="32">
        <f>R438+S438+IF(F438="Without EV deal",L438,0)</f>
        <v>30</v>
      </c>
      <c r="U438" s="57">
        <v>1</v>
      </c>
      <c r="V438" s="58"/>
      <c r="W438" s="58"/>
      <c r="X438" s="78">
        <f>IF(AF438="DoEV",IF(AND(V438&lt;20,W438&lt;55),0.3,0)+IF(AND(V438&lt;20,W438&gt;=55,W438&lt;105),0.23,0)+IF(AND(V438&lt;20,W438&gt;=105),0.17,0)+IF(AND(V438&gt;=20,V438&lt;40,W438&lt;45),0.3,0)+IF(AND(V438&gt;=20,V438&lt;40,W438&gt;=45,W438&lt;95),0.23,0)+IF(AND(V438&gt;=20,V438&lt;40,W438&gt;=95),0.17,0)+IF(AND(V438&gt;=40,V438&lt;75,W438&lt;35),0.3,0)+IF(AND(V438&gt;=40,V438&lt;75,W438&gt;=35,W438&lt;75),0.23,0)+IF(AND(V438&gt;=40,V438&lt;75,W438&gt;=75,W438&lt;120),0.17,0)+IF(AND(V438&gt;=40,V438&lt;75,W438&gt;=120),0.12,0)+IF(AND(V438&gt;=75,V438&lt;175,W438&lt;35),0.3,0)+IF(AND(V438&gt;=75,V438&lt;=175,W438&gt;=35,W438&lt;65),0.23,0)+IF(AND(V438&gt;=75,V438&lt;=175,W438&gt;=65,W438&lt;110),0.17,0)+IF(AND(V438&gt;=75,V438&lt;=175,W438&gt;=110),0.12,0)+IF(AND(V438&gt;175,W438&lt;25),0.3,0)+IF(AND(V438&gt;175,W438&gt;=25,W438&lt;55),0.23,0)+IF(AND(V438&gt;175,W438&gt;=55,W438&lt;95),0.17,0)+IF(AND(V438&gt;175,W438&gt;=95),0.12,0),
IF(AF438="Fix15",0.15,
IF(AF438="Fix11.25",0.1125,
IF(AF438="Fix10",0.1,
IF(AF438="Fix9",0.09,
IF(AF438="DoEV2017",IF(AND(W438&lt;74),0.2,0)+IF(AND(W438&gt;=74),0.17,0),
IF(AF438="SF",IF(AND(V438&lt;20,W438&lt;89),0.3,0)+IF(AND(V438&lt;20,W438&gt;=89),0.25,0)+IF(AND(V438&gt;=20,V438&lt;40,W438&lt;74),0.3,0)+IF(AND(V438&gt;=20,V438&lt;40,W438&gt;=75),0.22,0)+IF(AND(V438&gt;=40,V438&lt;75,W438&lt;75),0.26,0)+IF(AND(V438&gt;=40,V438&lt;75,W438&gt;=75),0.22,0)+IF(V438&gt;=75,0.22,0),
IF(AF438="DoEVold",IF(AND(V438&lt;40,W438&lt;35),0.35,0)+IF(AND(V438&lt;40,W438&gt;=35,W438&lt;75),0.25,0)+IF(AND(V438&lt;40,W438&gt;=75),0.17,0)+IF(AND(V438&gt;=40,V438&lt;75,W438&lt;25),0.35,0)+IF(AND(V438&gt;=40,V438&lt;75,W438&gt;=25,W438&lt;65),0.25,0)+IF(AND(V438&gt;=40,V438&lt;75,W438&gt;=65,W438&lt;100),0.17,0)+IF(AND(V438&gt;=40,V438&lt;75,W438&gt;=100),0.1,0)+IF(AND(V438&gt;=75,W438&lt;25),0.35,0)+IF(AND(V438&gt;=75,W438&gt;=25,W438&lt;60),0.25,0)+IF(AND(V438&gt;=75,W438&gt;=60,W438&lt;95),0.17,0)+IF(AND(V438&gt;=75,W438&gt;=95),0.1,0),
IF(AF438="DoEVold15",IF(AND(V438&lt;=40,W438&lt;35),0.35,0)+IF(AND(V438&lt;=40,W438&gt;=35,W438&lt;75),0.25,0)+IF(AND(V438&lt;=40,W438&gt;=75,W438&lt;120),0.17,0)+IF(AND(V438&lt;=40,W438&gt;=120),0.15,0)+IF(AND(V438&gt;40,V438&lt;75,W438&lt;25),0.35,0)+IF(AND(V438&gt;=40,V438&lt;75,W438&gt;=25,W438&lt;65),0.25,0)+IF(AND(V438&gt;=40,V438&lt;75,W438&gt;=65,W438&lt;100),0.17,0)+IF(AND(V438&gt;=40,V438&lt;75,W438&gt;=100),0.1,0)+IF(AND(V438&gt;=75,W438&lt;25),0.35,0)+IF(AND(V438&gt;=75,W438&gt;=25,W438&lt;60),0.25,0)+IF(AND(V438&gt;=75,W438&gt;=60,W438&lt;95),0.17,0)+IF(AND(V438&gt;=75,W438&gt;=95),0.1,0),
IF(AF438="DoEVba",IF(AND(V438&lt;20,W438&lt;105),0.2,0)+IF(AND(V438&lt;20,W438&gt;=105),0.15,0)+IF(AND(V438&gt;=20,V438&lt;40,W438&lt;95),0.2,0)+IF(AND(V438&gt;=20,V438&lt;40,W438&gt;=95,W438&lt;150),0.15,0)+IF(AND(V438&gt;=20,V438&lt;40,W438&gt;=150),0.12,0)+IF(AND(V438&gt;=40,V438&lt;75,W438&lt;75),0.2,0)+IF(AND(V438&gt;=40,V438&lt;75,W438&gt;=75,W438&lt;120),0.15,0)+IF(AND(V438&gt;=40,V438&lt;75,W438&gt;=120),0.12,0)+IF(AND(V438&gt;=75,V438&lt;175,W438&lt;65),0.2,0)+IF(AND(V438&gt;=75,V438&lt;175,W438&gt;=65,W438&lt;110),0.15,0)+IF(AND(V438&gt;=75,V438&lt;175,W438&gt;=110),0.12,0)+IF(AND(V438&gt;=175,W438&lt;55),0.2,0)+IF(AND(V438&gt;=175,W438&gt;=55,W438&lt;95),0.15,0)+IF(AND(V438&gt;=175,W438&gt;=95),0.12,0),
IF(AF438="DoEVku",IF(AND(V438&lt;20,W438&lt;55),0.23,0)+IF(AND(V438&lt;20,W438&gt;=55,W438&lt;105),0.2,0)+IF(AND(V438&lt;20,W438&gt;=105),0.17,0)+IF(AND(V438&gt;=20,V438&lt;40,W438&lt;45),0.23,0)+IF(AND(V438&gt;=20,V438&lt;40,W438&gt;=45,W438&lt;95),0.2,0)+IF(AND(V438&gt;=20,V438&lt;40,W438&gt;=95,W438&lt;=150),0.17,0)+IF(AND(V438&gt;=20,V438&lt;40,W438&gt;=150),0.12,0)+IF(AND(V438&gt;=40,V438&lt;75,W438&lt;35),0.23,0)+IF(AND(V438&gt;=40,V438&lt;75,W438&gt;=35,W438&lt;75),0.2,0)+IF(AND(V438&gt;=40,V438&lt;75,W438&gt;=75,W438&lt;120),0.17,0)+IF(AND(V438&gt;=40,V438&lt;75,W438&gt;=120),0.12,0)+IF(AND(V438&gt;=75,V438&lt;175,W438&lt;35),0.23,0)+IF(AND(V438&gt;=75,V438&lt;=175,W438&gt;=35,W438&lt;65),0.2,0)+IF(AND(V438&gt;=75,V438&lt;=175,W438&gt;=65,W438&lt;110),0.17,0)+IF(AND(V438&gt;=75,V438&lt;=175,W438&gt;=110),0.12,0)+IF(AND(V438&gt;175,W438&lt;25),0.23,0)+IF(AND(V438&gt;175,W438&gt;=25,W438&lt;55),0.2,0)+IF(AND(V438&gt;175,W438&gt;=55,W438&lt;95),0.17,0)+IF(AND(V438&gt;175,W438&gt;=95),0.12,0),
IF(AF438="DoEVs1",IF(AND(V438&lt;20,W438&lt;55),0.3,0)+IF(AND(V438&lt;20,W438&gt;=55,W438&lt;105),0.23,0)+IF(AND(V438&lt;20,W438&gt;=105),0.17,0)+IF(AND(V438&gt;=20,V438&lt;40,W438&lt;45),0.3,0)+IF(AND(V438&gt;=20,V438&lt;40,W438&gt;=45,W438&lt;95),0.23,0)+IF(AND(V438&gt;=20,V438&lt;40,W438&gt;=95,W438&lt;=150),0.17,0)+IF(AND(V438&gt;=20,V438&lt;40,W438&gt;=150),0.12,0)+IF(AND(V438&gt;=40,V438&lt;75,W438&lt;35),0.3,0)+IF(AND(V438&gt;=40,V438&lt;75,W438&gt;=35,W438&lt;75),0.23,0)+IF(AND(V438&gt;=40,V438&lt;75,W438&gt;=75,W438&lt;120),0.17,0)+IF(AND(V438&gt;=40,V438&lt;75,W438&gt;=120),0.12,0)+IF(AND(V438&gt;=75,V438&lt;175,W438&lt;35),0.3,0)+IF(AND(V438&gt;=75,V438&lt;=175,W438&gt;=35,W438&lt;65),0.23,0)+IF(AND(V438&gt;=75,V438&lt;=175,W438&gt;=65,W438&lt;110),0.17,0)+IF(AND(V438&gt;=75,V438&lt;=175,W438&gt;=110),0.12,0)+IF(AND(V438&gt;175,W438&lt;25),0.3,0)+IF(AND(V438&gt;175,W438&gt;=25,W438&lt;55),0.23,0)+IF(AND(V438&gt;175,W438&gt;=55,W438&lt;95),0.17,0)+IF(AND(V438&gt;175,W438&gt;=95),0.12,0),
IF(AF438="DoEVsu",IF(AND(V438&lt;20,W438&lt;55),0.3,0)+IF(AND(V438&lt;20,W438&gt;=55,W438&lt;105),0.23,0)+IF(AND(V438&lt;20,W438&gt;=105),0.17,0)+IF(AND(V438&gt;=20,V438&lt;40,W438&lt;45),0.3,0)+IF(AND(V438&gt;=20,V438&lt;40,W438&gt;=45,W438&lt;95),0.23,0)+IF(AND(V438&gt;=20,V438&lt;40,W438&gt;=95,W438&lt;=250),0.17,0)+IF(AND(V438&gt;=20,V438&lt;40,W438&gt;=250),0.12,0)+IF(AND(V438&gt;=40,V438&lt;75,W438&lt;35),0.3,0)+IF(AND(V438&gt;=40,V438&lt;75,W438&gt;=35,W438&lt;75),0.23,0)+IF(AND(V438&gt;=40,V438&lt;75,W438&gt;=75,W438&lt;120),0.17,0)+IF(AND(V438&gt;=40,V438&lt;75,W438&gt;=120),0.12,0)+IF(AND(V438&gt;=75,V438&lt;175,W438&lt;35),0.3,0)+IF(AND(V438&gt;=75,V438&lt;=175,W438&gt;=35,W438&lt;65),0.23,0)+IF(AND(V438&gt;=75,V438&lt;=175,W438&gt;=65,W438&lt;110),0.17,0)+IF(AND(V438&gt;=75,V438&lt;=175,W438&gt;=110),0.12,0)+IF(AND(V438&gt;175,W438&lt;25),0.3,0)+IF(AND(V438&gt;175,W438&gt;=25,W438&lt;55),0.23,0)+IF(AND(V438&gt;175,W438&gt;=55,W438&lt;95),0.17,0)+IF(AND(V438&gt;175,W438&gt;=95),0.12,0),
IF(AF438="DoEVni",IF(AND(V438&lt;20,W438&lt;55),0.3,0)+IF(AND(V438&lt;20,W438&gt;=55,W438&lt;105),0.23,0)+IF(AND(V438&lt;20,W438&gt;=105),0.17,0)+IF(AND(V438&gt;=20,V438&lt;40,W438&lt;45),0.3,0)+IF(AND(V438&gt;=20,V438&lt;40,W438&gt;=45,W438&lt;95),0.23,0)+IF(AND(V438&gt;=20,V438&lt;40,W438&gt;=95,W438&lt;=200),0.17,0)+IF(AND(V438&gt;=20,V438&lt;40,W438&gt;=200),0.12,0)+IF(AND(V438&gt;=40,V438&lt;75,W438&lt;35),0.3,0)+IF(AND(V438&gt;=40,V438&lt;75,W438&gt;=35,W438&lt;75),0.23,0)+IF(AND(V438&gt;=40,V438&lt;75,W438&gt;=75,W438&lt;120),0.17,0)+IF(AND(V438&gt;=40,V438&lt;75,W438&gt;=120),0.12,0)+IF(AND(V438&gt;=75,V438&lt;175,W438&lt;35),0.3,0)+IF(AND(V438&gt;=75,V438&lt;=175,W438&gt;=35,W438&lt;65),0.23,0)+IF(AND(V438&gt;=75,V438&lt;=175,W438&gt;=65,W438&lt;110),0.17,0)+IF(AND(V438&gt;=75,V438&lt;=175,W438&gt;=110),0.12,0)+IF(AND(V438&gt;175,W438&lt;25),0.3,0)+IF(AND(V438&gt;175,W438&gt;=25,W438&lt;55),0.23,0)+IF(AND(V438&gt;175,W438&gt;=55,W438&lt;95),0.17,0)+IF(AND(V438&gt;175,W438&gt;=95),0.12,0),
IF(AF438="DoEVLo",IF(AND(V438&lt;20,W438&lt;55),0.25,0)+IF(AND(V438&lt;20,W438&gt;=55,W438&lt;105),0.2,0)+IF(AND(V438&lt;20,W438&gt;=105),0.15,0)+IF(AND(V438&gt;=20,V438&lt;40,W438&lt;45),0.25,0)+IF(AND(V438&gt;=20,V438&lt;40,W438&gt;=45,W438&lt;95),0.2,0)+IF(AND(V438&gt;=20,V438&lt;40,W438&gt;=95),0.15,0)+IF(AND(V438&gt;=40,V438&lt;75,W438&lt;35),0.25,0)+IF(AND(V438&gt;=40,V438&lt;75,W438&gt;=35,W438&lt;75),0.2,0)+IF(AND(V438&gt;=40,V438&lt;75,W438&gt;=75,W438&lt;120),0.15,0)+IF(AND(V438&gt;=40,V438&lt;75,W438&gt;=120),0.1,0)+IF(AND(V438&gt;=75,V438&lt;175,W438&lt;35),0.25,0)+IF(AND(V438&gt;=75,V438&lt;=175,W438&gt;=35,W438&lt;65),0.2,0)+IF(AND(V438&gt;=75,V438&lt;=175,W438&gt;=65,W438&lt;110),0.15,0)+IF(AND(V438&gt;=75,V438&lt;=175,W438&gt;=110),0.1,0)+IF(AND(V438&gt;175,W438&lt;25),0.25,0)+IF(AND(V438&gt;175,W438&gt;=25,W438&lt;55),0.2,0)+IF(AND(V438&gt;175,W438&gt;=55,W438&lt;95),0.15,0)+IF(AND(V438&gt;175,W438&gt;=95),0.1,0))))))))))))))))</f>
        <v>0.35</v>
      </c>
      <c r="Y438" s="30">
        <f>IF(AG438="None",0,IF(AG438="Fix5",0.05,IF(AG438="Fix3.75",0.0375,IF(AG438="Fix10",0.1,IF(AG438="Fix3",0.03,0)))))</f>
        <v>0</v>
      </c>
      <c r="Z438" s="35">
        <v>38</v>
      </c>
      <c r="AA438" s="29">
        <v>13</v>
      </c>
      <c r="AB438" s="36">
        <f>IF(AD438="EUR",((T438-R438)*Y438)*U438+(R438*Y438),(T438*Y438))</f>
        <v>0</v>
      </c>
      <c r="AC438" s="37" t="b">
        <v>1</v>
      </c>
      <c r="AD438" s="83" t="s">
        <v>38</v>
      </c>
      <c r="AE438" s="83" t="s">
        <v>38</v>
      </c>
      <c r="AF438" s="37" t="str">
        <f t="array" ref="AF438">INDEX('Deal Info'!D:D, MATCH(A438,'Deal Info'!A:A, 0))</f>
        <v>DoEVold</v>
      </c>
      <c r="AG438" s="38" t="str">
        <f t="array" ref="AG438">INDEX('Deal Info'!G:G, MATCH(A438,'Deal Info'!A:A, 0))</f>
        <v>None</v>
      </c>
    </row>
    <row r="439" spans="1:33" ht="14.25" x14ac:dyDescent="0.2">
      <c r="A439" s="18" t="str">
        <f t="array" ref="A439">IF(G439='Room Info'!$B$1, INDEX('Room Info'!$A$2:$A2446, MATCH(B439,'Room Info'!$B$2:$B2446, 0)),IF(G439='Room Info'!$C$1, INDEX('Room Info'!$A$2:$A2446, MATCH(B439,'Room Info'!$C$2:$C2446, 0)),IF(G439='Room Info'!$D$1, INDEX('Room Info'!$A$2:$A2446, MATCH(B439,'Room Info'!$D$2:$D2446, 0)),IF(G439='Room Info'!$E$1, INDEX('Room Info'!$A$2:$A2446, MATCH(B439,'Room Info'!$E$2:$E2446, 0)),IF(G439='Room Info'!$F$1, INDEX('Room Info'!$A$2:$A2446, MATCH(B439,'Room Info'!$F$2:$F2446, 0)),IF(G439='Room Info'!$H$1, INDEX('Room Info'!$A$2:$A2446, MATCH(B439,'Room Info'!$H$2:$H2446, 0)),IF(G439='Room Info'!$G$1, INDEX('Room Info'!$A$2:$A2446, MATCH(B439,'Room Info'!$G$2:$G2446, 0)))))))))</f>
        <v>fortunate773</v>
      </c>
      <c r="B439" s="45" t="s">
        <v>66</v>
      </c>
      <c r="C439" s="46">
        <v>44743</v>
      </c>
      <c r="D439" s="46">
        <v>44773</v>
      </c>
      <c r="E439" s="47">
        <v>44743</v>
      </c>
      <c r="F439" s="129" t="s">
        <v>49</v>
      </c>
      <c r="G439" s="54" t="s">
        <v>61</v>
      </c>
      <c r="H439" s="49" t="s">
        <v>100</v>
      </c>
      <c r="I439" s="49" t="s">
        <v>101</v>
      </c>
      <c r="J439" s="50">
        <v>500</v>
      </c>
      <c r="K439" s="51">
        <v>391</v>
      </c>
      <c r="L439" s="52">
        <v>2500</v>
      </c>
      <c r="M439" s="53">
        <v>2309</v>
      </c>
      <c r="N439" s="28">
        <f>K439*J439</f>
        <v>195500</v>
      </c>
      <c r="O439" s="54">
        <v>26001</v>
      </c>
      <c r="P439" s="29">
        <v>66.498721230000001</v>
      </c>
      <c r="Q439" s="55"/>
      <c r="R439" s="31">
        <f>M439+Q439</f>
        <v>2309</v>
      </c>
      <c r="S439" s="56">
        <v>9019</v>
      </c>
      <c r="T439" s="32">
        <f>R439+S439+IF(F439="Without EV deal",L439,0)</f>
        <v>11328</v>
      </c>
      <c r="U439" s="57">
        <v>1</v>
      </c>
      <c r="V439" s="58"/>
      <c r="W439" s="58"/>
      <c r="X439" s="78">
        <v>0.17</v>
      </c>
      <c r="Y439" s="30">
        <v>0.06</v>
      </c>
      <c r="Z439" s="35">
        <v>8836</v>
      </c>
      <c r="AA439" s="60">
        <v>2492</v>
      </c>
      <c r="AB439" s="36"/>
      <c r="AC439" s="37" t="b">
        <v>1</v>
      </c>
      <c r="AD439" s="37" t="s">
        <v>50</v>
      </c>
      <c r="AE439" s="37"/>
      <c r="AF439" s="37" t="str">
        <f t="array" ref="AF439">INDEX('Deal Info'!D:D, MATCH(A439,'Deal Info'!A:A, 0))</f>
        <v>Fix15</v>
      </c>
      <c r="AG439" s="38" t="str">
        <f t="array" ref="AG439">INDEX('Deal Info'!G:G, MATCH(A439,'Deal Info'!A:A, 0))</f>
        <v>Fix5</v>
      </c>
    </row>
    <row r="440" spans="1:33" ht="14.25" x14ac:dyDescent="0.2">
      <c r="A440" s="18" t="str">
        <f t="array" ref="A440">IF(G440='Room Info'!$B$1, INDEX('Room Info'!$A$2:$A2446, MATCH(B440,'Room Info'!$B$2:$B2446, 0)),IF(G440='Room Info'!$C$1, INDEX('Room Info'!$A$2:$A2446, MATCH(B440,'Room Info'!$C$2:$C2446, 0)),IF(G440='Room Info'!$D$1, INDEX('Room Info'!$A$2:$A2446, MATCH(B440,'Room Info'!$D$2:$D2446, 0)),IF(G440='Room Info'!$E$1, INDEX('Room Info'!$A$2:$A2446, MATCH(B440,'Room Info'!$E$2:$E2446, 0)),IF(G440='Room Info'!$F$1, INDEX('Room Info'!$A$2:$A2446, MATCH(B440,'Room Info'!$F$2:$F2446, 0)),IF(G440='Room Info'!$H$1, INDEX('Room Info'!$A$2:$A2446, MATCH(B440,'Room Info'!$H$2:$H2446, 0)),IF(G440='Room Info'!$G$1, INDEX('Room Info'!$A$2:$A2446, MATCH(B440,'Room Info'!$G$2:$G2446, 0)))))))))</f>
        <v>Lo4io</v>
      </c>
      <c r="B440" s="45" t="s">
        <v>107</v>
      </c>
      <c r="C440" s="136">
        <v>44733</v>
      </c>
      <c r="D440" s="136">
        <v>44762</v>
      </c>
      <c r="E440" s="47">
        <v>44743</v>
      </c>
      <c r="F440" s="48" t="s">
        <v>34</v>
      </c>
      <c r="G440" s="129" t="s">
        <v>61</v>
      </c>
      <c r="H440" s="49" t="s">
        <v>112</v>
      </c>
      <c r="I440" s="49" t="s">
        <v>37</v>
      </c>
      <c r="J440" s="74">
        <v>50</v>
      </c>
      <c r="K440" s="134">
        <v>160</v>
      </c>
      <c r="L440" s="135">
        <v>562</v>
      </c>
      <c r="M440" s="79">
        <v>4005</v>
      </c>
      <c r="N440" s="28">
        <f>K440*J440</f>
        <v>8000</v>
      </c>
      <c r="O440" s="129">
        <v>10754</v>
      </c>
      <c r="P440" s="29">
        <v>67.212500000000006</v>
      </c>
      <c r="Q440" s="55"/>
      <c r="R440" s="31">
        <f>M440+Q440</f>
        <v>4005</v>
      </c>
      <c r="S440" s="97">
        <v>236</v>
      </c>
      <c r="T440" s="32">
        <f>R440+S440+IF(F440="Without EV deal",L440,0)</f>
        <v>4241</v>
      </c>
      <c r="U440" s="57">
        <v>1.0209999999999999</v>
      </c>
      <c r="V440" s="58">
        <v>82.061705989110706</v>
      </c>
      <c r="W440" s="58">
        <v>38.190773177636238</v>
      </c>
      <c r="X440" s="78">
        <f>IF(AF440="DoEV",IF(AND(V440&lt;20,W440&lt;55),0.3,0)+IF(AND(V440&lt;20,W440&gt;=55,W440&lt;105),0.23,0)+IF(AND(V440&lt;20,W440&gt;=105),0.17,0)+IF(AND(V440&gt;=20,V440&lt;40,W440&lt;45),0.3,0)+IF(AND(V440&gt;=20,V440&lt;40,W440&gt;=45,W440&lt;95),0.23,0)+IF(AND(V440&gt;=20,V440&lt;40,W440&gt;=95),0.17,0)+IF(AND(V440&gt;=40,V440&lt;75,W440&lt;35),0.3,0)+IF(AND(V440&gt;=40,V440&lt;75,W440&gt;=35,W440&lt;75),0.23,0)+IF(AND(V440&gt;=40,V440&lt;75,W440&gt;=75,W440&lt;120),0.17,0)+IF(AND(V440&gt;=40,V440&lt;75,W440&gt;=120),0.12,0)+IF(AND(V440&gt;=75,V440&lt;175,W440&lt;35),0.3,0)+IF(AND(V440&gt;=75,V440&lt;=175,W440&gt;=35,W440&lt;65),0.23,0)+IF(AND(V440&gt;=75,V440&lt;=175,W440&gt;=65,W440&lt;110),0.17,0)+IF(AND(V440&gt;=75,V440&lt;=175,W440&gt;=110),0.12,0)+IF(AND(V440&gt;175,W440&lt;25),0.3,0)+IF(AND(V440&gt;175,W440&gt;=25,W440&lt;55),0.23,0)+IF(AND(V440&gt;175,W440&gt;=55,W440&lt;95),0.17,0)+IF(AND(V440&gt;175,W440&gt;=95),0.12,0),
IF(AF440="Fix15",0.15,
IF(AF440="Fix11.25",0.1125,
IF(AF440="Fix10",0.1,
IF(AF440="Fix9",0.09,
IF(AF440="DoEV2017",IF(AND(W440&lt;74),0.2,0)+IF(AND(W440&gt;=74),0.17,0),
IF(AF440="SF",IF(AND(V440&lt;20,W440&lt;89),0.3,0)+IF(AND(V440&lt;20,W440&gt;=89),0.25,0)+IF(AND(V440&gt;=20,V440&lt;40,W440&lt;74),0.3,0)+IF(AND(V440&gt;=20,V440&lt;40,W440&gt;=75),0.22,0)+IF(AND(V440&gt;=40,V440&lt;75,W440&lt;75),0.26,0)+IF(AND(V440&gt;=40,V440&lt;75,W440&gt;=75),0.22,0)+IF(V440&gt;=75,0.22,0),
IF(AF440="DoEVold",IF(AND(V440&lt;40,W440&lt;35),0.35,0)+IF(AND(V440&lt;40,W440&gt;=35,W440&lt;75),0.25,0)+IF(AND(V440&lt;40,W440&gt;=75),0.17,0)+IF(AND(V440&gt;=40,V440&lt;75,W440&lt;25),0.35,0)+IF(AND(V440&gt;=40,V440&lt;75,W440&gt;=25,W440&lt;65),0.25,0)+IF(AND(V440&gt;=40,V440&lt;75,W440&gt;=65,W440&lt;100),0.17,0)+IF(AND(V440&gt;=40,V440&lt;75,W440&gt;=100),0.1,0)+IF(AND(V440&gt;=75,W440&lt;25),0.35,0)+IF(AND(V440&gt;=75,W440&gt;=25,W440&lt;60),0.25,0)+IF(AND(V440&gt;=75,W440&gt;=60,W440&lt;95),0.17,0)+IF(AND(V440&gt;=75,W440&gt;=95),0.1,0),
IF(AF440="DoEVold15",IF(AND(V440&lt;=40,W440&lt;35),0.35,0)+IF(AND(V440&lt;=40,W440&gt;=35,W440&lt;75),0.25,0)+IF(AND(V440&lt;=40,W440&gt;=75,W440&lt;120),0.17,0)+IF(AND(V440&lt;=40,W440&gt;=120),0.15,0)+IF(AND(V440&gt;40,V440&lt;75,W440&lt;25),0.35,0)+IF(AND(V440&gt;=40,V440&lt;75,W440&gt;=25,W440&lt;65),0.25,0)+IF(AND(V440&gt;=40,V440&lt;75,W440&gt;=65,W440&lt;100),0.17,0)+IF(AND(V440&gt;=40,V440&lt;75,W440&gt;=100),0.1,0)+IF(AND(V440&gt;=75,W440&lt;25),0.35,0)+IF(AND(V440&gt;=75,W440&gt;=25,W440&lt;60),0.25,0)+IF(AND(V440&gt;=75,W440&gt;=60,W440&lt;95),0.17,0)+IF(AND(V440&gt;=75,W440&gt;=95),0.1,0),
IF(AF440="DoEVba",IF(AND(V440&lt;20,W440&lt;105),0.2,0)+IF(AND(V440&lt;20,W440&gt;=105),0.15,0)+IF(AND(V440&gt;=20,V440&lt;40,W440&lt;95),0.2,0)+IF(AND(V440&gt;=20,V440&lt;40,W440&gt;=95,W440&lt;150),0.15,0)+IF(AND(V440&gt;=20,V440&lt;40,W440&gt;=150),0.12,0)+IF(AND(V440&gt;=40,V440&lt;75,W440&lt;75),0.2,0)+IF(AND(V440&gt;=40,V440&lt;75,W440&gt;=75,W440&lt;120),0.15,0)+IF(AND(V440&gt;=40,V440&lt;75,W440&gt;=120),0.12,0)+IF(AND(V440&gt;=75,V440&lt;175,W440&lt;65),0.2,0)+IF(AND(V440&gt;=75,V440&lt;175,W440&gt;=65,W440&lt;110),0.15,0)+IF(AND(V440&gt;=75,V440&lt;175,W440&gt;=110),0.12,0)+IF(AND(V440&gt;=175,W440&lt;55),0.2,0)+IF(AND(V440&gt;=175,W440&gt;=55,W440&lt;95),0.15,0)+IF(AND(V440&gt;=175,W440&gt;=95),0.12,0),
IF(AF440="DoEVku",IF(AND(V440&lt;20,W440&lt;55),0.23,0)+IF(AND(V440&lt;20,W440&gt;=55,W440&lt;105),0.2,0)+IF(AND(V440&lt;20,W440&gt;=105),0.17,0)+IF(AND(V440&gt;=20,V440&lt;40,W440&lt;45),0.23,0)+IF(AND(V440&gt;=20,V440&lt;40,W440&gt;=45,W440&lt;95),0.2,0)+IF(AND(V440&gt;=20,V440&lt;40,W440&gt;=95,W440&lt;=150),0.17,0)+IF(AND(V440&gt;=20,V440&lt;40,W440&gt;=150),0.12,0)+IF(AND(V440&gt;=40,V440&lt;75,W440&lt;35),0.23,0)+IF(AND(V440&gt;=40,V440&lt;75,W440&gt;=35,W440&lt;75),0.2,0)+IF(AND(V440&gt;=40,V440&lt;75,W440&gt;=75,W440&lt;120),0.17,0)+IF(AND(V440&gt;=40,V440&lt;75,W440&gt;=120),0.12,0)+IF(AND(V440&gt;=75,V440&lt;175,W440&lt;35),0.23,0)+IF(AND(V440&gt;=75,V440&lt;=175,W440&gt;=35,W440&lt;65),0.2,0)+IF(AND(V440&gt;=75,V440&lt;=175,W440&gt;=65,W440&lt;110),0.17,0)+IF(AND(V440&gt;=75,V440&lt;=175,W440&gt;=110),0.12,0)+IF(AND(V440&gt;175,W440&lt;25),0.23,0)+IF(AND(V440&gt;175,W440&gt;=25,W440&lt;55),0.2,0)+IF(AND(V440&gt;175,W440&gt;=55,W440&lt;95),0.17,0)+IF(AND(V440&gt;175,W440&gt;=95),0.12,0),
IF(AF440="DoEVs1",IF(AND(V440&lt;20,W440&lt;55),0.3,0)+IF(AND(V440&lt;20,W440&gt;=55,W440&lt;105),0.23,0)+IF(AND(V440&lt;20,W440&gt;=105),0.17,0)+IF(AND(V440&gt;=20,V440&lt;40,W440&lt;45),0.3,0)+IF(AND(V440&gt;=20,V440&lt;40,W440&gt;=45,W440&lt;95),0.23,0)+IF(AND(V440&gt;=20,V440&lt;40,W440&gt;=95,W440&lt;=150),0.17,0)+IF(AND(V440&gt;=20,V440&lt;40,W440&gt;=150),0.12,0)+IF(AND(V440&gt;=40,V440&lt;75,W440&lt;35),0.3,0)+IF(AND(V440&gt;=40,V440&lt;75,W440&gt;=35,W440&lt;75),0.23,0)+IF(AND(V440&gt;=40,V440&lt;75,W440&gt;=75,W440&lt;120),0.17,0)+IF(AND(V440&gt;=40,V440&lt;75,W440&gt;=120),0.12,0)+IF(AND(V440&gt;=75,V440&lt;175,W440&lt;35),0.3,0)+IF(AND(V440&gt;=75,V440&lt;=175,W440&gt;=35,W440&lt;65),0.23,0)+IF(AND(V440&gt;=75,V440&lt;=175,W440&gt;=65,W440&lt;110),0.17,0)+IF(AND(V440&gt;=75,V440&lt;=175,W440&gt;=110),0.12,0)+IF(AND(V440&gt;175,W440&lt;25),0.3,0)+IF(AND(V440&gt;175,W440&gt;=25,W440&lt;55),0.23,0)+IF(AND(V440&gt;175,W440&gt;=55,W440&lt;95),0.17,0)+IF(AND(V440&gt;175,W440&gt;=95),0.12,0),
IF(AF440="DoEVsu",IF(AND(V440&lt;20,W440&lt;55),0.3,0)+IF(AND(V440&lt;20,W440&gt;=55,W440&lt;105),0.23,0)+IF(AND(V440&lt;20,W440&gt;=105),0.17,0)+IF(AND(V440&gt;=20,V440&lt;40,W440&lt;45),0.3,0)+IF(AND(V440&gt;=20,V440&lt;40,W440&gt;=45,W440&lt;95),0.23,0)+IF(AND(V440&gt;=20,V440&lt;40,W440&gt;=95,W440&lt;=250),0.17,0)+IF(AND(V440&gt;=20,V440&lt;40,W440&gt;=250),0.12,0)+IF(AND(V440&gt;=40,V440&lt;75,W440&lt;35),0.3,0)+IF(AND(V440&gt;=40,V440&lt;75,W440&gt;=35,W440&lt;75),0.23,0)+IF(AND(V440&gt;=40,V440&lt;75,W440&gt;=75,W440&lt;120),0.17,0)+IF(AND(V440&gt;=40,V440&lt;75,W440&gt;=120),0.12,0)+IF(AND(V440&gt;=75,V440&lt;175,W440&lt;35),0.3,0)+IF(AND(V440&gt;=75,V440&lt;=175,W440&gt;=35,W440&lt;65),0.23,0)+IF(AND(V440&gt;=75,V440&lt;=175,W440&gt;=65,W440&lt;110),0.17,0)+IF(AND(V440&gt;=75,V440&lt;=175,W440&gt;=110),0.12,0)+IF(AND(V440&gt;175,W440&lt;25),0.3,0)+IF(AND(V440&gt;175,W440&gt;=25,W440&lt;55),0.23,0)+IF(AND(V440&gt;175,W440&gt;=55,W440&lt;95),0.17,0)+IF(AND(V440&gt;175,W440&gt;=95),0.12,0),
IF(AF440="DoEVni",IF(AND(V440&lt;20,W440&lt;55),0.3,0)+IF(AND(V440&lt;20,W440&gt;=55,W440&lt;105),0.23,0)+IF(AND(V440&lt;20,W440&gt;=105),0.17,0)+IF(AND(V440&gt;=20,V440&lt;40,W440&lt;45),0.3,0)+IF(AND(V440&gt;=20,V440&lt;40,W440&gt;=45,W440&lt;95),0.23,0)+IF(AND(V440&gt;=20,V440&lt;40,W440&gt;=95,W440&lt;=200),0.17,0)+IF(AND(V440&gt;=20,V440&lt;40,W440&gt;=200),0.12,0)+IF(AND(V440&gt;=40,V440&lt;75,W440&lt;35),0.3,0)+IF(AND(V440&gt;=40,V440&lt;75,W440&gt;=35,W440&lt;75),0.23,0)+IF(AND(V440&gt;=40,V440&lt;75,W440&gt;=75,W440&lt;120),0.17,0)+IF(AND(V440&gt;=40,V440&lt;75,W440&gt;=120),0.12,0)+IF(AND(V440&gt;=75,V440&lt;175,W440&lt;35),0.3,0)+IF(AND(V440&gt;=75,V440&lt;=175,W440&gt;=35,W440&lt;65),0.23,0)+IF(AND(V440&gt;=75,V440&lt;=175,W440&gt;=65,W440&lt;110),0.17,0)+IF(AND(V440&gt;=75,V440&lt;=175,W440&gt;=110),0.12,0)+IF(AND(V440&gt;175,W440&lt;25),0.3,0)+IF(AND(V440&gt;175,W440&gt;=25,W440&lt;55),0.23,0)+IF(AND(V440&gt;175,W440&gt;=55,W440&lt;95),0.17,0)+IF(AND(V440&gt;175,W440&gt;=95),0.12,0),
IF(AF440="DoEVLo",IF(AND(V440&lt;20,W440&lt;55),0.25,0)+IF(AND(V440&lt;20,W440&gt;=55,W440&lt;105),0.2,0)+IF(AND(V440&lt;20,W440&gt;=105),0.15,0)+IF(AND(V440&gt;=20,V440&lt;40,W440&lt;45),0.25,0)+IF(AND(V440&gt;=20,V440&lt;40,W440&gt;=45,W440&lt;95),0.2,0)+IF(AND(V440&gt;=20,V440&lt;40,W440&gt;=95),0.15,0)+IF(AND(V440&gt;=40,V440&lt;75,W440&lt;35),0.25,0)+IF(AND(V440&gt;=40,V440&lt;75,W440&gt;=35,W440&lt;75),0.2,0)+IF(AND(V440&gt;=40,V440&lt;75,W440&gt;=75,W440&lt;120),0.15,0)+IF(AND(V440&gt;=40,V440&lt;75,W440&gt;=120),0.1,0)+IF(AND(V440&gt;=75,V440&lt;175,W440&lt;35),0.25,0)+IF(AND(V440&gt;=75,V440&lt;=175,W440&gt;=35,W440&lt;65),0.2,0)+IF(AND(V440&gt;=75,V440&lt;=175,W440&gt;=65,W440&lt;110),0.15,0)+IF(AND(V440&gt;=75,V440&lt;=175,W440&gt;=110),0.1,0)+IF(AND(V440&gt;175,W440&lt;25),0.25,0)+IF(AND(V440&gt;175,W440&gt;=25,W440&lt;55),0.2,0)+IF(AND(V440&gt;175,W440&gt;=55,W440&lt;95),0.15,0)+IF(AND(V440&gt;175,W440&gt;=95),0.1,0))))))))))))))))</f>
        <v>0.2</v>
      </c>
      <c r="Y440" s="30">
        <f>IF(AG440="None",0,IF(AG440="Fix5",0.05,IF(AG440="Fix3.75",0.0375,IF(AG440="Fix10",0.1,IF(AG440="Fix3",0.03,0)))))</f>
        <v>0</v>
      </c>
      <c r="Z440" s="35">
        <f>T440-AA440-AB440</f>
        <v>3391.8087999999998</v>
      </c>
      <c r="AA440" s="60">
        <f>IF(AD440="EUR",((T440-R440)*X440)*U440+(R440*X440),(T440*X440))</f>
        <v>849.19119999999998</v>
      </c>
      <c r="AB440" s="36">
        <f>IF(AD440="EUR",((T440-R440)*Y440)*U440+(R440*Y440),(T440*Y440))</f>
        <v>0</v>
      </c>
      <c r="AC440" s="37" t="b">
        <v>1</v>
      </c>
      <c r="AD440" s="37" t="s">
        <v>50</v>
      </c>
      <c r="AE440" s="37"/>
      <c r="AF440" s="37" t="str">
        <f t="array" ref="AF440">INDEX('Deal Info'!D:D, MATCH(A440,'Deal Info'!A:A, 0))</f>
        <v>DoEVLo</v>
      </c>
      <c r="AG440" s="38" t="str">
        <f t="array" ref="AG440">INDEX('Deal Info'!G:G, MATCH(A440,'Deal Info'!A:A, 0))</f>
        <v>None</v>
      </c>
    </row>
    <row r="441" spans="1:33" ht="14.25" x14ac:dyDescent="0.2">
      <c r="A441" s="18" t="str">
        <f t="array" ref="A441">IF(G441='Room Info'!$B$1, INDEX('Room Info'!$A$2:$A2446, MATCH(B441,'Room Info'!$B$2:$B2446, 0)),IF(G441='Room Info'!$C$1, INDEX('Room Info'!$A$2:$A2446, MATCH(B441,'Room Info'!$C$2:$C2446, 0)),IF(G441='Room Info'!$D$1, INDEX('Room Info'!$A$2:$A2446, MATCH(B441,'Room Info'!$D$2:$D2446, 0)),IF(G441='Room Info'!$E$1, INDEX('Room Info'!$A$2:$A2446, MATCH(B441,'Room Info'!$E$2:$E2446, 0)),IF(G441='Room Info'!$F$1, INDEX('Room Info'!$A$2:$A2446, MATCH(B441,'Room Info'!$F$2:$F2446, 0)),IF(G441='Room Info'!$H$1, INDEX('Room Info'!$A$2:$A2446, MATCH(B441,'Room Info'!$H$2:$H2446, 0)),IF(G441='Room Info'!$G$1, INDEX('Room Info'!$A$2:$A2446, MATCH(B441,'Room Info'!$G$2:$G2446, 0)))))))))</f>
        <v>Lo4io</v>
      </c>
      <c r="B441" s="96" t="s">
        <v>107</v>
      </c>
      <c r="C441" s="46">
        <v>44733</v>
      </c>
      <c r="D441" s="46">
        <v>44762</v>
      </c>
      <c r="E441" s="47">
        <v>44743</v>
      </c>
      <c r="F441" s="133" t="s">
        <v>34</v>
      </c>
      <c r="G441" s="129" t="s">
        <v>61</v>
      </c>
      <c r="H441" s="49" t="s">
        <v>112</v>
      </c>
      <c r="I441" s="110" t="s">
        <v>37</v>
      </c>
      <c r="J441" s="50">
        <v>50</v>
      </c>
      <c r="K441" s="51">
        <v>160</v>
      </c>
      <c r="L441" s="52">
        <v>562</v>
      </c>
      <c r="M441" s="62">
        <v>4005</v>
      </c>
      <c r="N441" s="28">
        <f>K441*J441</f>
        <v>8000</v>
      </c>
      <c r="O441" s="54">
        <v>10754</v>
      </c>
      <c r="P441" s="29">
        <v>67.212500000000006</v>
      </c>
      <c r="Q441" s="55"/>
      <c r="R441" s="31">
        <f>M441+Q441</f>
        <v>4005</v>
      </c>
      <c r="S441" s="56">
        <v>236</v>
      </c>
      <c r="T441" s="32">
        <f>R441+S441+IF(F441="Without EV deal",L441,0)</f>
        <v>4241</v>
      </c>
      <c r="U441" s="57">
        <v>1.0209999999999999</v>
      </c>
      <c r="V441" s="58"/>
      <c r="W441" s="58"/>
      <c r="X441" s="30">
        <v>0.2</v>
      </c>
      <c r="Y441" s="30">
        <f>IF(AG441="None",0,IF(AG441="Fix5",0.05, IF(AG441="Fix6.25",0.0625,IF(AG441="Fix3.75",0.0375,IF(AG441="Fix10",0.1,IF(AG441="Fix3",0.03,0))))))</f>
        <v>0</v>
      </c>
      <c r="Z441" s="35">
        <f>T441-AA441-AB441</f>
        <v>3391.8087999999998</v>
      </c>
      <c r="AA441" s="29">
        <f>IF(AD441="EUR",((T441-R441)*X441)*U441+(R441*X441),(T441*X441))</f>
        <v>849.19119999999998</v>
      </c>
      <c r="AB441" s="36">
        <f>IF(AD441="EUR",((T441-R441)*Y441)*U441+(R441*Y441),(T441*Y441))</f>
        <v>0</v>
      </c>
      <c r="AC441" s="37" t="b">
        <v>1</v>
      </c>
      <c r="AD441" s="129" t="s">
        <v>50</v>
      </c>
      <c r="AE441" s="129"/>
      <c r="AF441" s="83" t="str">
        <f t="array" ref="AF441">INDEX('Deal Info'!D:D, MATCH(A441,'Deal Info'!A:A, 0))</f>
        <v>DoEVLo</v>
      </c>
      <c r="AG441" s="84" t="str">
        <f t="array" ref="AG441">INDEX('Deal Info'!G:G, MATCH(A441,'Deal Info'!A:A, 0))</f>
        <v>None</v>
      </c>
    </row>
    <row r="442" spans="1:33" ht="14.25" x14ac:dyDescent="0.2">
      <c r="A442" s="18" t="str">
        <f t="array" ref="A442">IF(G442='Room Info'!$B$1, INDEX('Room Info'!$A$2:$A2446, MATCH(B442,'Room Info'!$B$2:$B2446, 0)),IF(G442='Room Info'!$C$1, INDEX('Room Info'!$A$2:$A2446, MATCH(B442,'Room Info'!$C$2:$C2446, 0)),IF(G442='Room Info'!$D$1, INDEX('Room Info'!$A$2:$A2446, MATCH(B442,'Room Info'!$D$2:$D2446, 0)),IF(G442='Room Info'!$E$1, INDEX('Room Info'!$A$2:$A2446, MATCH(B442,'Room Info'!$E$2:$E2446, 0)),IF(G442='Room Info'!$F$1, INDEX('Room Info'!$A$2:$A2446, MATCH(B442,'Room Info'!$F$2:$F2446, 0)),IF(G442='Room Info'!$H$1, INDEX('Room Info'!$A$2:$A2446, MATCH(B442,'Room Info'!$H$2:$H2446, 0)),IF(G442='Room Info'!$G$1, INDEX('Room Info'!$A$2:$A2446, MATCH(B442,'Room Info'!$G$2:$G2446, 0)))))))))</f>
        <v>Freedoom</v>
      </c>
      <c r="B442" s="101" t="s">
        <v>110</v>
      </c>
      <c r="C442" s="111">
        <v>44743</v>
      </c>
      <c r="D442" s="111">
        <v>44773</v>
      </c>
      <c r="E442" s="21">
        <v>44743</v>
      </c>
      <c r="F442" s="133" t="s">
        <v>41</v>
      </c>
      <c r="G442" s="65" t="s">
        <v>61</v>
      </c>
      <c r="H442" s="110" t="s">
        <v>132</v>
      </c>
      <c r="I442" s="110" t="s">
        <v>37</v>
      </c>
      <c r="J442" s="50">
        <v>5</v>
      </c>
      <c r="K442" s="123">
        <v>1025</v>
      </c>
      <c r="L442" s="113">
        <v>-525</v>
      </c>
      <c r="M442" s="62">
        <v>16</v>
      </c>
      <c r="N442" s="28">
        <f>K442*J442</f>
        <v>5125</v>
      </c>
      <c r="O442" s="65">
        <v>48868</v>
      </c>
      <c r="P442" s="29">
        <v>47.676097560000002</v>
      </c>
      <c r="Q442" s="55"/>
      <c r="R442" s="31">
        <f>M442+Q442</f>
        <v>16</v>
      </c>
      <c r="S442" s="66">
        <v>-20</v>
      </c>
      <c r="T442" s="32">
        <f>R442+S442+IF(F442="Without EV deal",L442,0)</f>
        <v>-529</v>
      </c>
      <c r="U442" s="57">
        <v>1</v>
      </c>
      <c r="V442" s="58"/>
      <c r="W442" s="58"/>
      <c r="X442" s="30">
        <f>IF(AF442="DoEV",IF(AND(V442&lt;20,W442&lt;55),0.3,0)+IF(AND(V442&lt;20,W442&gt;=55,W442&lt;105),0.23,0)+IF(AND(V442&lt;20,W442&gt;=105),0.17,0)+IF(AND(V442&gt;=20,V442&lt;40,W442&lt;45),0.3,0)+IF(AND(V442&gt;=20,V442&lt;40,W442&gt;=45,W442&lt;95),0.23,0)+IF(AND(V442&gt;=20,V442&lt;40,W442&gt;=95),0.17,0)+IF(AND(V442&gt;=40,V442&lt;75,W442&lt;35),0.3,0)+IF(AND(V442&gt;=40,V442&lt;75,W442&gt;=35,W442&lt;75),0.23,0)+IF(AND(V442&gt;=40,V442&lt;75,W442&gt;=75,W442&lt;120),0.17,0)+IF(AND(V442&gt;=40,V442&lt;75,W442&gt;=120),0.12,0)+IF(AND(V442&gt;=75,V442&lt;175,W442&lt;35),0.3,0)+IF(AND(V442&gt;=75,V442&lt;=175,W442&gt;=35,W442&lt;65),0.23,0)+IF(AND(V442&gt;=75,V442&lt;=175,W442&gt;=65,W442&lt;110),0.17,0)+IF(AND(V442&gt;=75,V442&lt;=175,W442&gt;=110),0.12,0)+IF(AND(V442&gt;175,W442&lt;25),0.3,0)+IF(AND(V442&gt;175,W442&gt;=25,W442&lt;55),0.23,0)+IF(AND(V442&gt;175,W442&gt;=55,W442&lt;95),0.17,0)+IF(AND(V442&gt;175,W442&gt;=95),0.12,0),
IF(AF442="Fix15",0.15,
IF(AF442="Fix11.25",0.1125,
IF(AF442="Fix10",0.1,
IF(AF442="Fix9",0.09,
IF(AF442="DoEV2017",IF(AND(W442&lt;74),0.2,0)+IF(AND(W442&gt;=74),0.17,0),
IF(AF442="SF",IF(AND(V442&lt;20,W442&lt;89),0.3,0)+IF(AND(V442&lt;20,W442&gt;=89),0.25,0)+IF(AND(V442&gt;=20,V442&lt;40,W442&lt;74),0.3,0)+IF(AND(V442&gt;=20,V442&lt;40,W442&gt;=75),0.22,0)+IF(AND(V442&gt;=40,V442&lt;75,W442&lt;75),0.26,0)+IF(AND(V442&gt;=40,V442&lt;75,W442&gt;=75),0.22,0)+IF(V442&gt;=75,0.22,0),
IF(AF442="DoEVold",IF(AND(V442&lt;40,W442&lt;35),0.35,0)+IF(AND(V442&lt;40,W442&gt;=35,W442&lt;75),0.25,0)+IF(AND(V442&lt;40,W442&gt;=75),0.17,0)+IF(AND(V442&gt;=40,V442&lt;75,W442&lt;25),0.35,0)+IF(AND(V442&gt;=40,V442&lt;75,W442&gt;=25,W442&lt;65),0.25,0)+IF(AND(V442&gt;=40,V442&lt;75,W442&gt;=65,W442&lt;100),0.17,0)+IF(AND(V442&gt;=40,V442&lt;75,W442&gt;=100),0.1,0)+IF(AND(V442&gt;=75,W442&lt;25),0.35,0)+IF(AND(V442&gt;=75,W442&gt;=25,W442&lt;60),0.25,0)+IF(AND(V442&gt;=75,W442&gt;=60,W442&lt;95),0.17,0)+IF(AND(V442&gt;=75,W442&gt;=95),0.1,0),
IF(AF442="DoEVold15",IF(AND(V442&lt;=40,W442&lt;35),0.35,0)+IF(AND(V442&lt;=40,W442&gt;=35,W442&lt;75),0.25,0)+IF(AND(V442&lt;=40,W442&gt;=75,W442&lt;120),0.17,0)+IF(AND(V442&lt;=40,W442&gt;=120),0.15,0)+IF(AND(V442&gt;40,V442&lt;75,W442&lt;25),0.35,0)+IF(AND(V442&gt;=40,V442&lt;75,W442&gt;=25,W442&lt;65),0.25,0)+IF(AND(V442&gt;=40,V442&lt;75,W442&gt;=65,W442&lt;100),0.17,0)+IF(AND(V442&gt;=40,V442&lt;75,W442&gt;=100),0.1,0)+IF(AND(V442&gt;=75,W442&lt;25),0.35,0)+IF(AND(V442&gt;=75,W442&gt;=25,W442&lt;60),0.25,0)+IF(AND(V442&gt;=75,W442&gt;=60,W442&lt;95),0.17,0)+IF(AND(V442&gt;=75,W442&gt;=95),0.1,0),
IF(AF442="DoEVba",IF(AND(V442&lt;20,W442&lt;105),0.2,0)+IF(AND(V442&lt;20,W442&gt;=105),0.15,0)+IF(AND(V442&gt;=20,V442&lt;40,W442&lt;95),0.2,0)+IF(AND(V442&gt;=20,V442&lt;40,W442&gt;=95,W442&lt;150),0.15,0)+IF(AND(V442&gt;=20,V442&lt;40,W442&gt;=150),0.12,0)+IF(AND(V442&gt;=40,V442&lt;75,W442&lt;75),0.2,0)+IF(AND(V442&gt;=40,V442&lt;75,W442&gt;=75,W442&lt;120),0.15,0)+IF(AND(V442&gt;=40,V442&lt;75,W442&gt;=120),0.12,0)+IF(AND(V442&gt;=75,V442&lt;175,W442&lt;65),0.2,0)+IF(AND(V442&gt;=75,V442&lt;175,W442&gt;=65,W442&lt;110),0.15,0)+IF(AND(V442&gt;=75,V442&lt;175,W442&gt;=110),0.12,0)+IF(AND(V442&gt;=175,W442&lt;55),0.2,0)+IF(AND(V442&gt;=175,W442&gt;=55,W442&lt;95),0.15,0)+IF(AND(V442&gt;=175,W442&gt;=95),0.12,0),
IF(AF442="DoEVku",IF(AND(V442&lt;20,W442&lt;55),0.23,0)+IF(AND(V442&lt;20,W442&gt;=55,W442&lt;105),0.2,0)+IF(AND(V442&lt;20,W442&gt;=105),0.17,0)+IF(AND(V442&gt;=20,V442&lt;40,W442&lt;45),0.23,0)+IF(AND(V442&gt;=20,V442&lt;40,W442&gt;=45,W442&lt;95),0.2,0)+IF(AND(V442&gt;=20,V442&lt;40,W442&gt;=95,W442&lt;=150),0.17,0)+IF(AND(V442&gt;=20,V442&lt;40,W442&gt;=150),0.12,0)+IF(AND(V442&gt;=40,V442&lt;75,W442&lt;35),0.23,0)+IF(AND(V442&gt;=40,V442&lt;75,W442&gt;=35,W442&lt;75),0.2,0)+IF(AND(V442&gt;=40,V442&lt;75,W442&gt;=75,W442&lt;120),0.17,0)+IF(AND(V442&gt;=40,V442&lt;75,W442&gt;=120),0.12,0)+IF(AND(V442&gt;=75,V442&lt;175,W442&lt;35),0.23,0)+IF(AND(V442&gt;=75,V442&lt;=175,W442&gt;=35,W442&lt;65),0.2,0)+IF(AND(V442&gt;=75,V442&lt;=175,W442&gt;=65,W442&lt;110),0.17,0)+IF(AND(V442&gt;=75,V442&lt;=175,W442&gt;=110),0.12,0)+IF(AND(V442&gt;175,W442&lt;25),0.23,0)+IF(AND(V442&gt;175,W442&gt;=25,W442&lt;55),0.2,0)+IF(AND(V442&gt;175,W442&gt;=55,W442&lt;95),0.17,0)+IF(AND(V442&gt;175,W442&gt;=95),0.12,0),
IF(AF442="DoEVs1",IF(AND(V442&lt;20,W442&lt;55),0.3,0)+IF(AND(V442&lt;20,W442&gt;=55,W442&lt;105),0.23,0)+IF(AND(V442&lt;20,W442&gt;=105),0.17,0)+IF(AND(V442&gt;=20,V442&lt;40,W442&lt;45),0.3,0)+IF(AND(V442&gt;=20,V442&lt;40,W442&gt;=45,W442&lt;95),0.23,0)+IF(AND(V442&gt;=20,V442&lt;40,W442&gt;=95,W442&lt;=150),0.17,0)+IF(AND(V442&gt;=20,V442&lt;40,W442&gt;=150),0.12,0)+IF(AND(V442&gt;=40,V442&lt;75,W442&lt;35),0.3,0)+IF(AND(V442&gt;=40,V442&lt;75,W442&gt;=35,W442&lt;75),0.23,0)+IF(AND(V442&gt;=40,V442&lt;75,W442&gt;=75,W442&lt;120),0.17,0)+IF(AND(V442&gt;=40,V442&lt;75,W442&gt;=120),0.12,0)+IF(AND(V442&gt;=75,V442&lt;175,W442&lt;35),0.3,0)+IF(AND(V442&gt;=75,V442&lt;=175,W442&gt;=35,W442&lt;65),0.23,0)+IF(AND(V442&gt;=75,V442&lt;=175,W442&gt;=65,W442&lt;110),0.17,0)+IF(AND(V442&gt;=75,V442&lt;=175,W442&gt;=110),0.12,0)+IF(AND(V442&gt;175,W442&lt;25),0.3,0)+IF(AND(V442&gt;175,W442&gt;=25,W442&lt;55),0.23,0)+IF(AND(V442&gt;175,W442&gt;=55,W442&lt;95),0.17,0)+IF(AND(V442&gt;175,W442&gt;=95),0.12,0),
IF(AF442="DoEVsu",IF(AND(V442&lt;20,W442&lt;55),0.3,0)+IF(AND(V442&lt;20,W442&gt;=55,W442&lt;105),0.23,0)+IF(AND(V442&lt;20,W442&gt;=105),0.17,0)+IF(AND(V442&gt;=20,V442&lt;40,W442&lt;45),0.3,0)+IF(AND(V442&gt;=20,V442&lt;40,W442&gt;=45,W442&lt;95),0.23,0)+IF(AND(V442&gt;=20,V442&lt;40,W442&gt;=95,W442&lt;=250),0.17,0)+IF(AND(V442&gt;=20,V442&lt;40,W442&gt;=250),0.12,0)+IF(AND(V442&gt;=40,V442&lt;75,W442&lt;35),0.3,0)+IF(AND(V442&gt;=40,V442&lt;75,W442&gt;=35,W442&lt;75),0.23,0)+IF(AND(V442&gt;=40,V442&lt;75,W442&gt;=75,W442&lt;120),0.17,0)+IF(AND(V442&gt;=40,V442&lt;75,W442&gt;=120),0.12,0)+IF(AND(V442&gt;=75,V442&lt;175,W442&lt;35),0.3,0)+IF(AND(V442&gt;=75,V442&lt;=175,W442&gt;=35,W442&lt;65),0.23,0)+IF(AND(V442&gt;=75,V442&lt;=175,W442&gt;=65,W442&lt;110),0.17,0)+IF(AND(V442&gt;=75,V442&lt;=175,W442&gt;=110),0.12,0)+IF(AND(V442&gt;175,W442&lt;25),0.3,0)+IF(AND(V442&gt;175,W442&gt;=25,W442&lt;55),0.23,0)+IF(AND(V442&gt;175,W442&gt;=55,W442&lt;95),0.17,0)+IF(AND(V442&gt;175,W442&gt;=95),0.12,0),
IF(AF442="DoEVni",IF(AND(V442&lt;20,W442&lt;55),0.3,0)+IF(AND(V442&lt;20,W442&gt;=55,W442&lt;105),0.23,0)+IF(AND(V442&lt;20,W442&gt;=105),0.17,0)+IF(AND(V442&gt;=20,V442&lt;40,W442&lt;45),0.3,0)+IF(AND(V442&gt;=20,V442&lt;40,W442&gt;=45,W442&lt;95),0.23,0)+IF(AND(V442&gt;=20,V442&lt;40,W442&gt;=95,W442&lt;=200),0.17,0)+IF(AND(V442&gt;=20,V442&lt;40,W442&gt;=200),0.12,0)+IF(AND(V442&gt;=40,V442&lt;75,W442&lt;35),0.3,0)+IF(AND(V442&gt;=40,V442&lt;75,W442&gt;=35,W442&lt;75),0.23,0)+IF(AND(V442&gt;=40,V442&lt;75,W442&gt;=75,W442&lt;120),0.17,0)+IF(AND(V442&gt;=40,V442&lt;75,W442&gt;=120),0.12,0)+IF(AND(V442&gt;=75,V442&lt;175,W442&lt;35),0.3,0)+IF(AND(V442&gt;=75,V442&lt;=175,W442&gt;=35,W442&lt;65),0.23,0)+IF(AND(V442&gt;=75,V442&lt;=175,W442&gt;=65,W442&lt;110),0.17,0)+IF(AND(V442&gt;=75,V442&lt;=175,W442&gt;=110),0.12,0)+IF(AND(V442&gt;175,W442&lt;25),0.3,0)+IF(AND(V442&gt;175,W442&gt;=25,W442&lt;55),0.23,0)+IF(AND(V442&gt;175,W442&gt;=55,W442&lt;95),0.17,0)+IF(AND(V442&gt;175,W442&gt;=95),0.12,0),
IF(AF442="DoEVLo",IF(AND(V442&lt;20,W442&lt;55),0.25,0)+IF(AND(V442&lt;20,W442&gt;=55,W442&lt;105),0.2,0)+IF(AND(V442&lt;20,W442&gt;=105),0.15,0)+IF(AND(V442&gt;=20,V442&lt;40,W442&lt;45),0.25,0)+IF(AND(V442&gt;=20,V442&lt;40,W442&gt;=45,W442&lt;95),0.2,0)+IF(AND(V442&gt;=20,V442&lt;40,W442&gt;=95),0.15,0)+IF(AND(V442&gt;=40,V442&lt;75,W442&lt;35),0.25,0)+IF(AND(V442&gt;=40,V442&lt;75,W442&gt;=35,W442&lt;75),0.2,0)+IF(AND(V442&gt;=40,V442&lt;75,W442&gt;=75,W442&lt;120),0.15,0)+IF(AND(V442&gt;=40,V442&lt;75,W442&gt;=120),0.1,0)+IF(AND(V442&gt;=75,V442&lt;175,W442&lt;35),0.25,0)+IF(AND(V442&gt;=75,V442&lt;=175,W442&gt;=35,W442&lt;65),0.2,0)+IF(AND(V442&gt;=75,V442&lt;=175,W442&gt;=65,W442&lt;110),0.15,0)+IF(AND(V442&gt;=75,V442&lt;=175,W442&gt;=110),0.1,0)+IF(AND(V442&gt;175,W442&lt;25),0.25,0)+IF(AND(V442&gt;175,W442&gt;=25,W442&lt;55),0.2,0)+IF(AND(V442&gt;175,W442&gt;=55,W442&lt;95),0.15,0)+IF(AND(V442&gt;175,W442&gt;=95),0.1,0))))))))))))))))</f>
        <v>0.35</v>
      </c>
      <c r="Y442" s="30">
        <f>IF(AG442="None",0,IF(AG442="Fix5",0.05,IF(AG442="Fix3.75",0.0375,IF(AG442="Fix10",0.1,IF(AG442="Fix3",0.03,0)))))</f>
        <v>0</v>
      </c>
      <c r="Z442" s="35">
        <v>-382</v>
      </c>
      <c r="AA442" s="29">
        <v>-127</v>
      </c>
      <c r="AB442" s="36">
        <f>IF(AD442="EUR",((T442-R442)*Y442)*U442+(R442*Y442),(T442*Y442))</f>
        <v>0</v>
      </c>
      <c r="AC442" s="37" t="b">
        <v>1</v>
      </c>
      <c r="AD442" s="82" t="s">
        <v>38</v>
      </c>
      <c r="AE442" s="83" t="s">
        <v>38</v>
      </c>
      <c r="AF442" s="83" t="str">
        <f t="array" ref="AF442">INDEX('Deal Info'!D:D, MATCH(A442,'Deal Info'!A:A, 0))</f>
        <v>DoEVold</v>
      </c>
      <c r="AG442" s="84" t="str">
        <f t="array" ref="AG442">INDEX('Deal Info'!G:G, MATCH(A442,'Deal Info'!A:A, 0))</f>
        <v>None</v>
      </c>
    </row>
    <row r="443" spans="1:33" ht="14.25" x14ac:dyDescent="0.2">
      <c r="A443" s="18" t="str">
        <f t="array" ref="A443">IF(G443='Room Info'!$B$1, INDEX('Room Info'!$A$2:$A2446, MATCH(B443,'Room Info'!$B$2:$B2446, 0)),IF(G443='Room Info'!$C$1, INDEX('Room Info'!$A$2:$A2446, MATCH(B443,'Room Info'!$C$2:$C2446, 0)),IF(G443='Room Info'!$D$1, INDEX('Room Info'!$A$2:$A2446, MATCH(B443,'Room Info'!$D$2:$D2446, 0)),IF(G443='Room Info'!$E$1, INDEX('Room Info'!$A$2:$A2446, MATCH(B443,'Room Info'!$E$2:$E2446, 0)),IF(G443='Room Info'!$F$1, INDEX('Room Info'!$A$2:$A2446, MATCH(B443,'Room Info'!$F$2:$F2446, 0)),IF(G443='Room Info'!$H$1, INDEX('Room Info'!$A$2:$A2446, MATCH(B443,'Room Info'!$H$2:$H2446, 0)),IF(G443='Room Info'!$G$1, INDEX('Room Info'!$A$2:$A2446, MATCH(B443,'Room Info'!$G$2:$G2446, 0)))))))))</f>
        <v>vezuxa</v>
      </c>
      <c r="B443" s="45" t="s">
        <v>133</v>
      </c>
      <c r="C443" s="46">
        <v>44743</v>
      </c>
      <c r="D443" s="46">
        <v>44773</v>
      </c>
      <c r="E443" s="47">
        <v>44743</v>
      </c>
      <c r="F443" s="48" t="s">
        <v>41</v>
      </c>
      <c r="G443" s="45" t="s">
        <v>61</v>
      </c>
      <c r="H443" s="49" t="s">
        <v>132</v>
      </c>
      <c r="I443" s="49" t="s">
        <v>37</v>
      </c>
      <c r="J443" s="50">
        <v>5</v>
      </c>
      <c r="K443" s="51">
        <v>1174</v>
      </c>
      <c r="L443" s="52">
        <v>-255</v>
      </c>
      <c r="M443" s="53">
        <v>5</v>
      </c>
      <c r="N443" s="28">
        <f>K443*J443</f>
        <v>5870</v>
      </c>
      <c r="O443" s="54"/>
      <c r="P443" s="29">
        <v>0</v>
      </c>
      <c r="Q443" s="55"/>
      <c r="R443" s="31">
        <f>M443+Q443</f>
        <v>5</v>
      </c>
      <c r="S443" s="56"/>
      <c r="T443" s="32">
        <f>R443+S443+IF(F443="Without EV deal",L443,0)</f>
        <v>-250</v>
      </c>
      <c r="U443" s="57">
        <v>1</v>
      </c>
      <c r="V443" s="58"/>
      <c r="W443" s="58"/>
      <c r="X443" s="30">
        <v>0.17</v>
      </c>
      <c r="Y443" s="30">
        <f>IF(AG443="None",0,IF(AG443="Fix5",0.05, IF(AG443="Fix6.25",0.0625,IF(AG443="Fix3.75",0.0375,IF(AG443="Fix10",0.1,IF(AG443="Fix3",0.03,0))))))</f>
        <v>0</v>
      </c>
      <c r="Z443" s="59">
        <f>T443-AA443-AB443</f>
        <v>-207.5</v>
      </c>
      <c r="AA443" s="60">
        <f>IF(AD443="EUR",((T443-R443)*X443)*U443+(R443*X443),(T443*X443))</f>
        <v>-42.5</v>
      </c>
      <c r="AB443" s="36">
        <f>IF(AD443="EUR",((T443-R443)*Y443)*U443+(R443*Y443),(T443*Y443))</f>
        <v>0</v>
      </c>
      <c r="AC443" s="37" t="b">
        <v>1</v>
      </c>
      <c r="AD443" s="37" t="s">
        <v>50</v>
      </c>
      <c r="AE443" s="37"/>
      <c r="AF443" s="37" t="str">
        <f t="array" ref="AF443">INDEX('Deal Info'!D:D, MATCH(A443,'Deal Info'!A:A, 0))</f>
        <v>DoEV</v>
      </c>
      <c r="AG443" s="38" t="str">
        <f t="array" ref="AG443">INDEX('Deal Info'!G:G, MATCH(A443,'Deal Info'!A:A, 0))</f>
        <v>None</v>
      </c>
    </row>
    <row r="444" spans="1:33" ht="14.25" x14ac:dyDescent="0.2">
      <c r="A444" s="18" t="str">
        <f t="array" ref="A444">IF(G444='Room Info'!$B$1, INDEX('Room Info'!$A$2:$A2446, MATCH(B444,'Room Info'!$B$2:$B2446, 0)),IF(G444='Room Info'!$C$1, INDEX('Room Info'!$A$2:$A2446, MATCH(B444,'Room Info'!$C$2:$C2446, 0)),IF(G444='Room Info'!$D$1, INDEX('Room Info'!$A$2:$A2446, MATCH(B444,'Room Info'!$D$2:$D2446, 0)),IF(G444='Room Info'!$E$1, INDEX('Room Info'!$A$2:$A2446, MATCH(B444,'Room Info'!$E$2:$E2446, 0)),IF(G444='Room Info'!$F$1, INDEX('Room Info'!$A$2:$A2446, MATCH(B444,'Room Info'!$F$2:$F2446, 0)),IF(G444='Room Info'!$H$1, INDEX('Room Info'!$A$2:$A2446, MATCH(B444,'Room Info'!$H$2:$H2446, 0)),IF(G444='Room Info'!$G$1, INDEX('Room Info'!$A$2:$A2446, MATCH(B444,'Room Info'!$G$2:$G2446, 0)))))))))</f>
        <v>fortunate773</v>
      </c>
      <c r="B444" s="45" t="s">
        <v>66</v>
      </c>
      <c r="C444" s="46">
        <v>44743</v>
      </c>
      <c r="D444" s="46">
        <v>44773</v>
      </c>
      <c r="E444" s="47">
        <v>44743</v>
      </c>
      <c r="F444" s="48" t="s">
        <v>49</v>
      </c>
      <c r="G444" s="45" t="s">
        <v>61</v>
      </c>
      <c r="H444" s="49" t="s">
        <v>135</v>
      </c>
      <c r="I444" s="49" t="s">
        <v>101</v>
      </c>
      <c r="J444" s="70">
        <v>250</v>
      </c>
      <c r="K444" s="71">
        <v>1032</v>
      </c>
      <c r="L444" s="52">
        <v>-8250</v>
      </c>
      <c r="M444" s="53">
        <v>0</v>
      </c>
      <c r="N444" s="28">
        <f>K444*J444</f>
        <v>258000</v>
      </c>
      <c r="O444" s="54">
        <v>24336</v>
      </c>
      <c r="P444" s="29">
        <v>23.581395350000001</v>
      </c>
      <c r="Q444" s="55"/>
      <c r="R444" s="31">
        <f>M444+Q444</f>
        <v>0</v>
      </c>
      <c r="S444" s="56">
        <v>-8422</v>
      </c>
      <c r="T444" s="32">
        <f>R444+S444+IF(F444="Without EV deal",L444,0)</f>
        <v>-8422</v>
      </c>
      <c r="U444" s="57">
        <v>1</v>
      </c>
      <c r="V444" s="58"/>
      <c r="W444" s="58"/>
      <c r="X444" s="30">
        <v>0.17</v>
      </c>
      <c r="Y444" s="30">
        <v>0.06</v>
      </c>
      <c r="Z444" s="59">
        <v>-6569</v>
      </c>
      <c r="AA444" s="60">
        <v>-1853</v>
      </c>
      <c r="AB444" s="36"/>
      <c r="AC444" s="37" t="b">
        <v>1</v>
      </c>
      <c r="AD444" s="37" t="s">
        <v>50</v>
      </c>
      <c r="AE444" s="37"/>
      <c r="AF444" s="37" t="str">
        <f t="array" ref="AF444">INDEX('Deal Info'!D:D, MATCH(A444,'Deal Info'!A:A, 0))</f>
        <v>Fix15</v>
      </c>
      <c r="AG444" s="38" t="str">
        <f t="array" ref="AG444">INDEX('Deal Info'!G:G, MATCH(A444,'Deal Info'!A:A, 0))</f>
        <v>Fix5</v>
      </c>
    </row>
    <row r="445" spans="1:33" ht="14.25" x14ac:dyDescent="0.2">
      <c r="A445" s="18" t="str">
        <f t="array" ref="A445">IF(G445='Room Info'!$B$1, INDEX('Room Info'!$A$2:$A2446, MATCH(B445,'Room Info'!$B$2:$B2446, 0)),IF(G445='Room Info'!$C$1, INDEX('Room Info'!$A$2:$A2446, MATCH(B445,'Room Info'!$C$2:$C2446, 0)),IF(G445='Room Info'!$D$1, INDEX('Room Info'!$A$2:$A2446, MATCH(B445,'Room Info'!$D$2:$D2446, 0)),IF(G445='Room Info'!$E$1, INDEX('Room Info'!$A$2:$A2446, MATCH(B445,'Room Info'!$E$2:$E2446, 0)),IF(G445='Room Info'!$F$1, INDEX('Room Info'!$A$2:$A2446, MATCH(B445,'Room Info'!$F$2:$F2446, 0)),IF(G445='Room Info'!$H$1, INDEX('Room Info'!$A$2:$A2446, MATCH(B445,'Room Info'!$H$2:$H2446, 0)),IF(G445='Room Info'!$G$1, INDEX('Room Info'!$A$2:$A2446, MATCH(B445,'Room Info'!$G$2:$G2446, 0)))))))))</f>
        <v>vezuxa</v>
      </c>
      <c r="B445" s="45" t="s">
        <v>133</v>
      </c>
      <c r="C445" s="46">
        <v>44743</v>
      </c>
      <c r="D445" s="46">
        <v>44773</v>
      </c>
      <c r="E445" s="47">
        <v>44743</v>
      </c>
      <c r="F445" s="133" t="s">
        <v>41</v>
      </c>
      <c r="G445" s="129" t="s">
        <v>61</v>
      </c>
      <c r="H445" s="49" t="s">
        <v>182</v>
      </c>
      <c r="I445" s="49" t="s">
        <v>37</v>
      </c>
      <c r="J445" s="50">
        <v>2</v>
      </c>
      <c r="K445" s="51">
        <v>1282</v>
      </c>
      <c r="L445" s="52">
        <v>-52</v>
      </c>
      <c r="M445" s="53">
        <v>180</v>
      </c>
      <c r="N445" s="28">
        <f>K445*J445</f>
        <v>2564</v>
      </c>
      <c r="O445" s="54"/>
      <c r="P445" s="29">
        <v>0</v>
      </c>
      <c r="Q445" s="55"/>
      <c r="R445" s="31">
        <f>M445+Q445</f>
        <v>180</v>
      </c>
      <c r="S445" s="56"/>
      <c r="T445" s="32">
        <f>R445+S445+IF(F445="Without EV deal",L445,0)</f>
        <v>128</v>
      </c>
      <c r="U445" s="57">
        <v>1</v>
      </c>
      <c r="V445" s="58"/>
      <c r="W445" s="58"/>
      <c r="X445" s="30">
        <v>0.17</v>
      </c>
      <c r="Y445" s="30">
        <f>IF(AG445="None",0,IF(AG445="Fix5",0.05, IF(AG445="Fix6.25",0.0625,IF(AG445="Fix3.75",0.0375,IF(AG445="Fix10",0.1,IF(AG445="Fix3",0.03,0))))))</f>
        <v>0</v>
      </c>
      <c r="Z445" s="59">
        <f>T445-AA445-AB445</f>
        <v>106.24</v>
      </c>
      <c r="AA445" s="60">
        <f>IF(AD445="EUR",((T445-R445)*X445)*U445+(R445*X445),(T445*X445))</f>
        <v>21.76</v>
      </c>
      <c r="AB445" s="36">
        <f>IF(AD445="EUR",((T445-R445)*Y445)*U445+(R445*Y445),(T445*Y445))</f>
        <v>0</v>
      </c>
      <c r="AC445" s="37" t="b">
        <v>1</v>
      </c>
      <c r="AD445" s="37" t="s">
        <v>50</v>
      </c>
      <c r="AE445" s="37"/>
      <c r="AF445" s="37" t="str">
        <f t="array" ref="AF445">INDEX('Deal Info'!D:D, MATCH(A445,'Deal Info'!A:A, 0))</f>
        <v>DoEV</v>
      </c>
      <c r="AG445" s="38" t="str">
        <f t="array" ref="AG445">INDEX('Deal Info'!G:G, MATCH(A445,'Deal Info'!A:A, 0))</f>
        <v>None</v>
      </c>
    </row>
    <row r="446" spans="1:33" ht="14.25" x14ac:dyDescent="0.2">
      <c r="A446" s="18" t="str">
        <f t="array" ref="A446">IF(G446='Room Info'!$B$1, INDEX('Room Info'!$A$2:$A2446, MATCH(B446,'Room Info'!$B$2:$B2446, 0)),IF(G446='Room Info'!$C$1, INDEX('Room Info'!$A$2:$A2446, MATCH(B446,'Room Info'!$C$2:$C2446, 0)),IF(G446='Room Info'!$D$1, INDEX('Room Info'!$A$2:$A2446, MATCH(B446,'Room Info'!$D$2:$D2446, 0)),IF(G446='Room Info'!$E$1, INDEX('Room Info'!$A$2:$A2446, MATCH(B446,'Room Info'!$E$2:$E2446, 0)),IF(G446='Room Info'!$F$1, INDEX('Room Info'!$A$2:$A2446, MATCH(B446,'Room Info'!$F$2:$F2446, 0)),IF(G446='Room Info'!$H$1, INDEX('Room Info'!$A$2:$A2446, MATCH(B446,'Room Info'!$H$2:$H2446, 0)),IF(G446='Room Info'!$G$1, INDEX('Room Info'!$A$2:$A2446, MATCH(B446,'Room Info'!$G$2:$G2446, 0)))))))))</f>
        <v>Lo4io</v>
      </c>
      <c r="B446" s="45" t="s">
        <v>107</v>
      </c>
      <c r="C446" s="136">
        <v>44733</v>
      </c>
      <c r="D446" s="136">
        <v>44762</v>
      </c>
      <c r="E446" s="47">
        <v>44743</v>
      </c>
      <c r="F446" s="48" t="s">
        <v>34</v>
      </c>
      <c r="G446" s="45" t="s">
        <v>61</v>
      </c>
      <c r="H446" s="49" t="s">
        <v>199</v>
      </c>
      <c r="I446" s="49" t="s">
        <v>68</v>
      </c>
      <c r="J446" s="74">
        <v>100</v>
      </c>
      <c r="K446" s="134">
        <v>4</v>
      </c>
      <c r="L446" s="135">
        <v>408</v>
      </c>
      <c r="M446" s="79">
        <v>0</v>
      </c>
      <c r="N446" s="28">
        <f>K446*J446</f>
        <v>400</v>
      </c>
      <c r="O446" s="129">
        <v>119</v>
      </c>
      <c r="P446" s="29">
        <v>29.75</v>
      </c>
      <c r="Q446" s="55"/>
      <c r="R446" s="31">
        <f>M446+Q446</f>
        <v>0</v>
      </c>
      <c r="S446" s="97">
        <v>-1</v>
      </c>
      <c r="T446" s="32">
        <f>R446+S446+IF(F446="Without EV deal",L446,0)</f>
        <v>-1</v>
      </c>
      <c r="U446" s="57">
        <v>1.0209999999999999</v>
      </c>
      <c r="V446" s="58">
        <v>82.061705989110706</v>
      </c>
      <c r="W446" s="58">
        <v>38.190773177636238</v>
      </c>
      <c r="X446" s="30">
        <f>IF(AF446="DoEV",IF(AND(V446&lt;20,W446&lt;55),0.3,0)+IF(AND(V446&lt;20,W446&gt;=55,W446&lt;105),0.23,0)+IF(AND(V446&lt;20,W446&gt;=105),0.17,0)+IF(AND(V446&gt;=20,V446&lt;40,W446&lt;45),0.3,0)+IF(AND(V446&gt;=20,V446&lt;40,W446&gt;=45,W446&lt;95),0.23,0)+IF(AND(V446&gt;=20,V446&lt;40,W446&gt;=95),0.17,0)+IF(AND(V446&gt;=40,V446&lt;75,W446&lt;35),0.3,0)+IF(AND(V446&gt;=40,V446&lt;75,W446&gt;=35,W446&lt;75),0.23,0)+IF(AND(V446&gt;=40,V446&lt;75,W446&gt;=75,W446&lt;120),0.17,0)+IF(AND(V446&gt;=40,V446&lt;75,W446&gt;=120),0.12,0)+IF(AND(V446&gt;=75,V446&lt;175,W446&lt;35),0.3,0)+IF(AND(V446&gt;=75,V446&lt;=175,W446&gt;=35,W446&lt;65),0.23,0)+IF(AND(V446&gt;=75,V446&lt;=175,W446&gt;=65,W446&lt;110),0.17,0)+IF(AND(V446&gt;=75,V446&lt;=175,W446&gt;=110),0.12,0)+IF(AND(V446&gt;175,W446&lt;25),0.3,0)+IF(AND(V446&gt;175,W446&gt;=25,W446&lt;55),0.23,0)+IF(AND(V446&gt;175,W446&gt;=55,W446&lt;95),0.17,0)+IF(AND(V446&gt;175,W446&gt;=95),0.12,0),
IF(AF446="Fix15",0.15,
IF(AF446="Fix11.25",0.1125,
IF(AF446="Fix10",0.1,
IF(AF446="Fix9",0.09,
IF(AF446="DoEV2017",IF(AND(W446&lt;74),0.2,0)+IF(AND(W446&gt;=74),0.17,0),
IF(AF446="SF",IF(AND(V446&lt;20,W446&lt;89),0.3,0)+IF(AND(V446&lt;20,W446&gt;=89),0.25,0)+IF(AND(V446&gt;=20,V446&lt;40,W446&lt;74),0.3,0)+IF(AND(V446&gt;=20,V446&lt;40,W446&gt;=75),0.22,0)+IF(AND(V446&gt;=40,V446&lt;75,W446&lt;75),0.26,0)+IF(AND(V446&gt;=40,V446&lt;75,W446&gt;=75),0.22,0)+IF(V446&gt;=75,0.22,0),
IF(AF446="DoEVold",IF(AND(V446&lt;40,W446&lt;35),0.35,0)+IF(AND(V446&lt;40,W446&gt;=35,W446&lt;75),0.25,0)+IF(AND(V446&lt;40,W446&gt;=75),0.17,0)+IF(AND(V446&gt;=40,V446&lt;75,W446&lt;25),0.35,0)+IF(AND(V446&gt;=40,V446&lt;75,W446&gt;=25,W446&lt;65),0.25,0)+IF(AND(V446&gt;=40,V446&lt;75,W446&gt;=65,W446&lt;100),0.17,0)+IF(AND(V446&gt;=40,V446&lt;75,W446&gt;=100),0.1,0)+IF(AND(V446&gt;=75,W446&lt;25),0.35,0)+IF(AND(V446&gt;=75,W446&gt;=25,W446&lt;60),0.25,0)+IF(AND(V446&gt;=75,W446&gt;=60,W446&lt;95),0.17,0)+IF(AND(V446&gt;=75,W446&gt;=95),0.1,0),
IF(AF446="DoEVold15",IF(AND(V446&lt;=40,W446&lt;35),0.35,0)+IF(AND(V446&lt;=40,W446&gt;=35,W446&lt;75),0.25,0)+IF(AND(V446&lt;=40,W446&gt;=75,W446&lt;120),0.17,0)+IF(AND(V446&lt;=40,W446&gt;=120),0.15,0)+IF(AND(V446&gt;40,V446&lt;75,W446&lt;25),0.35,0)+IF(AND(V446&gt;=40,V446&lt;75,W446&gt;=25,W446&lt;65),0.25,0)+IF(AND(V446&gt;=40,V446&lt;75,W446&gt;=65,W446&lt;100),0.17,0)+IF(AND(V446&gt;=40,V446&lt;75,W446&gt;=100),0.1,0)+IF(AND(V446&gt;=75,W446&lt;25),0.35,0)+IF(AND(V446&gt;=75,W446&gt;=25,W446&lt;60),0.25,0)+IF(AND(V446&gt;=75,W446&gt;=60,W446&lt;95),0.17,0)+IF(AND(V446&gt;=75,W446&gt;=95),0.1,0),
IF(AF446="DoEVba",IF(AND(V446&lt;20,W446&lt;105),0.2,0)+IF(AND(V446&lt;20,W446&gt;=105),0.15,0)+IF(AND(V446&gt;=20,V446&lt;40,W446&lt;95),0.2,0)+IF(AND(V446&gt;=20,V446&lt;40,W446&gt;=95,W446&lt;150),0.15,0)+IF(AND(V446&gt;=20,V446&lt;40,W446&gt;=150),0.12,0)+IF(AND(V446&gt;=40,V446&lt;75,W446&lt;75),0.2,0)+IF(AND(V446&gt;=40,V446&lt;75,W446&gt;=75,W446&lt;120),0.15,0)+IF(AND(V446&gt;=40,V446&lt;75,W446&gt;=120),0.12,0)+IF(AND(V446&gt;=75,V446&lt;175,W446&lt;65),0.2,0)+IF(AND(V446&gt;=75,V446&lt;175,W446&gt;=65,W446&lt;110),0.15,0)+IF(AND(V446&gt;=75,V446&lt;175,W446&gt;=110),0.12,0)+IF(AND(V446&gt;=175,W446&lt;55),0.2,0)+IF(AND(V446&gt;=175,W446&gt;=55,W446&lt;95),0.15,0)+IF(AND(V446&gt;=175,W446&gt;=95),0.12,0),
IF(AF446="DoEVku",IF(AND(V446&lt;20,W446&lt;55),0.23,0)+IF(AND(V446&lt;20,W446&gt;=55,W446&lt;105),0.2,0)+IF(AND(V446&lt;20,W446&gt;=105),0.17,0)+IF(AND(V446&gt;=20,V446&lt;40,W446&lt;45),0.23,0)+IF(AND(V446&gt;=20,V446&lt;40,W446&gt;=45,W446&lt;95),0.2,0)+IF(AND(V446&gt;=20,V446&lt;40,W446&gt;=95,W446&lt;=150),0.17,0)+IF(AND(V446&gt;=20,V446&lt;40,W446&gt;=150),0.12,0)+IF(AND(V446&gt;=40,V446&lt;75,W446&lt;35),0.23,0)+IF(AND(V446&gt;=40,V446&lt;75,W446&gt;=35,W446&lt;75),0.2,0)+IF(AND(V446&gt;=40,V446&lt;75,W446&gt;=75,W446&lt;120),0.17,0)+IF(AND(V446&gt;=40,V446&lt;75,W446&gt;=120),0.12,0)+IF(AND(V446&gt;=75,V446&lt;175,W446&lt;35),0.23,0)+IF(AND(V446&gt;=75,V446&lt;=175,W446&gt;=35,W446&lt;65),0.2,0)+IF(AND(V446&gt;=75,V446&lt;=175,W446&gt;=65,W446&lt;110),0.17,0)+IF(AND(V446&gt;=75,V446&lt;=175,W446&gt;=110),0.12,0)+IF(AND(V446&gt;175,W446&lt;25),0.23,0)+IF(AND(V446&gt;175,W446&gt;=25,W446&lt;55),0.2,0)+IF(AND(V446&gt;175,W446&gt;=55,W446&lt;95),0.17,0)+IF(AND(V446&gt;175,W446&gt;=95),0.12,0),
IF(AF446="DoEVs1",IF(AND(V446&lt;20,W446&lt;55),0.3,0)+IF(AND(V446&lt;20,W446&gt;=55,W446&lt;105),0.23,0)+IF(AND(V446&lt;20,W446&gt;=105),0.17,0)+IF(AND(V446&gt;=20,V446&lt;40,W446&lt;45),0.3,0)+IF(AND(V446&gt;=20,V446&lt;40,W446&gt;=45,W446&lt;95),0.23,0)+IF(AND(V446&gt;=20,V446&lt;40,W446&gt;=95,W446&lt;=150),0.17,0)+IF(AND(V446&gt;=20,V446&lt;40,W446&gt;=150),0.12,0)+IF(AND(V446&gt;=40,V446&lt;75,W446&lt;35),0.3,0)+IF(AND(V446&gt;=40,V446&lt;75,W446&gt;=35,W446&lt;75),0.23,0)+IF(AND(V446&gt;=40,V446&lt;75,W446&gt;=75,W446&lt;120),0.17,0)+IF(AND(V446&gt;=40,V446&lt;75,W446&gt;=120),0.12,0)+IF(AND(V446&gt;=75,V446&lt;175,W446&lt;35),0.3,0)+IF(AND(V446&gt;=75,V446&lt;=175,W446&gt;=35,W446&lt;65),0.23,0)+IF(AND(V446&gt;=75,V446&lt;=175,W446&gt;=65,W446&lt;110),0.17,0)+IF(AND(V446&gt;=75,V446&lt;=175,W446&gt;=110),0.12,0)+IF(AND(V446&gt;175,W446&lt;25),0.3,0)+IF(AND(V446&gt;175,W446&gt;=25,W446&lt;55),0.23,0)+IF(AND(V446&gt;175,W446&gt;=55,W446&lt;95),0.17,0)+IF(AND(V446&gt;175,W446&gt;=95),0.12,0),
IF(AF446="DoEVsu",IF(AND(V446&lt;20,W446&lt;55),0.3,0)+IF(AND(V446&lt;20,W446&gt;=55,W446&lt;105),0.23,0)+IF(AND(V446&lt;20,W446&gt;=105),0.17,0)+IF(AND(V446&gt;=20,V446&lt;40,W446&lt;45),0.3,0)+IF(AND(V446&gt;=20,V446&lt;40,W446&gt;=45,W446&lt;95),0.23,0)+IF(AND(V446&gt;=20,V446&lt;40,W446&gt;=95,W446&lt;=250),0.17,0)+IF(AND(V446&gt;=20,V446&lt;40,W446&gt;=250),0.12,0)+IF(AND(V446&gt;=40,V446&lt;75,W446&lt;35),0.3,0)+IF(AND(V446&gt;=40,V446&lt;75,W446&gt;=35,W446&lt;75),0.23,0)+IF(AND(V446&gt;=40,V446&lt;75,W446&gt;=75,W446&lt;120),0.17,0)+IF(AND(V446&gt;=40,V446&lt;75,W446&gt;=120),0.12,0)+IF(AND(V446&gt;=75,V446&lt;175,W446&lt;35),0.3,0)+IF(AND(V446&gt;=75,V446&lt;=175,W446&gt;=35,W446&lt;65),0.23,0)+IF(AND(V446&gt;=75,V446&lt;=175,W446&gt;=65,W446&lt;110),0.17,0)+IF(AND(V446&gt;=75,V446&lt;=175,W446&gt;=110),0.12,0)+IF(AND(V446&gt;175,W446&lt;25),0.3,0)+IF(AND(V446&gt;175,W446&gt;=25,W446&lt;55),0.23,0)+IF(AND(V446&gt;175,W446&gt;=55,W446&lt;95),0.17,0)+IF(AND(V446&gt;175,W446&gt;=95),0.12,0),
IF(AF446="DoEVni",IF(AND(V446&lt;20,W446&lt;55),0.3,0)+IF(AND(V446&lt;20,W446&gt;=55,W446&lt;105),0.23,0)+IF(AND(V446&lt;20,W446&gt;=105),0.17,0)+IF(AND(V446&gt;=20,V446&lt;40,W446&lt;45),0.3,0)+IF(AND(V446&gt;=20,V446&lt;40,W446&gt;=45,W446&lt;95),0.23,0)+IF(AND(V446&gt;=20,V446&lt;40,W446&gt;=95,W446&lt;=200),0.17,0)+IF(AND(V446&gt;=20,V446&lt;40,W446&gt;=200),0.12,0)+IF(AND(V446&gt;=40,V446&lt;75,W446&lt;35),0.3,0)+IF(AND(V446&gt;=40,V446&lt;75,W446&gt;=35,W446&lt;75),0.23,0)+IF(AND(V446&gt;=40,V446&lt;75,W446&gt;=75,W446&lt;120),0.17,0)+IF(AND(V446&gt;=40,V446&lt;75,W446&gt;=120),0.12,0)+IF(AND(V446&gt;=75,V446&lt;175,W446&lt;35),0.3,0)+IF(AND(V446&gt;=75,V446&lt;=175,W446&gt;=35,W446&lt;65),0.23,0)+IF(AND(V446&gt;=75,V446&lt;=175,W446&gt;=65,W446&lt;110),0.17,0)+IF(AND(V446&gt;=75,V446&lt;=175,W446&gt;=110),0.12,0)+IF(AND(V446&gt;175,W446&lt;25),0.3,0)+IF(AND(V446&gt;175,W446&gt;=25,W446&lt;55),0.23,0)+IF(AND(V446&gt;175,W446&gt;=55,W446&lt;95),0.17,0)+IF(AND(V446&gt;175,W446&gt;=95),0.12,0),
IF(AF446="DoEVLo",IF(AND(V446&lt;20,W446&lt;55),0.25,0)+IF(AND(V446&lt;20,W446&gt;=55,W446&lt;105),0.2,0)+IF(AND(V446&lt;20,W446&gt;=105),0.15,0)+IF(AND(V446&gt;=20,V446&lt;40,W446&lt;45),0.25,0)+IF(AND(V446&gt;=20,V446&lt;40,W446&gt;=45,W446&lt;95),0.2,0)+IF(AND(V446&gt;=20,V446&lt;40,W446&gt;=95),0.15,0)+IF(AND(V446&gt;=40,V446&lt;75,W446&lt;35),0.25,0)+IF(AND(V446&gt;=40,V446&lt;75,W446&gt;=35,W446&lt;75),0.2,0)+IF(AND(V446&gt;=40,V446&lt;75,W446&gt;=75,W446&lt;120),0.15,0)+IF(AND(V446&gt;=40,V446&lt;75,W446&gt;=120),0.1,0)+IF(AND(V446&gt;=75,V446&lt;175,W446&lt;35),0.25,0)+IF(AND(V446&gt;=75,V446&lt;=175,W446&gt;=35,W446&lt;65),0.2,0)+IF(AND(V446&gt;=75,V446&lt;=175,W446&gt;=65,W446&lt;110),0.15,0)+IF(AND(V446&gt;=75,V446&lt;=175,W446&gt;=110),0.1,0)+IF(AND(V446&gt;175,W446&lt;25),0.25,0)+IF(AND(V446&gt;175,W446&gt;=25,W446&lt;55),0.2,0)+IF(AND(V446&gt;175,W446&gt;=55,W446&lt;95),0.15,0)+IF(AND(V446&gt;175,W446&gt;=95),0.1,0))))))))))))))))</f>
        <v>0.2</v>
      </c>
      <c r="Y446" s="30">
        <f>IF(AG446="None",0,IF(AG446="Fix5",0.05,IF(AG446="Fix3.75",0.0375,IF(AG446="Fix10",0.1,IF(AG446="Fix3",0.03,0)))))</f>
        <v>0</v>
      </c>
      <c r="Z446" s="59">
        <f>T446-AA446-AB446</f>
        <v>-0.79580000000000006</v>
      </c>
      <c r="AA446" s="60">
        <f>IF(AD446="EUR",((T446-R446)*X446)*U446+(R446*X446),(T446*X446))</f>
        <v>-0.20419999999999999</v>
      </c>
      <c r="AB446" s="36">
        <f>IF(AD446="EUR",((T446-R446)*Y446)*U446+(R446*Y446),(T446*Y446))</f>
        <v>0</v>
      </c>
      <c r="AC446" s="37" t="b">
        <v>1</v>
      </c>
      <c r="AD446" s="37" t="s">
        <v>50</v>
      </c>
      <c r="AE446" s="37"/>
      <c r="AF446" s="37" t="str">
        <f t="array" ref="AF446">INDEX('Deal Info'!D:D, MATCH(A446,'Deal Info'!A:A, 0))</f>
        <v>DoEVLo</v>
      </c>
      <c r="AG446" s="38" t="str">
        <f t="array" ref="AG446">INDEX('Deal Info'!G:G, MATCH(A446,'Deal Info'!A:A, 0))</f>
        <v>None</v>
      </c>
    </row>
    <row r="447" spans="1:33" ht="14.25" x14ac:dyDescent="0.2">
      <c r="A447" s="18" t="str">
        <f t="array" ref="A447">IF(G447='Room Info'!$B$1, INDEX('Room Info'!$A$2:$A2446, MATCH(B447,'Room Info'!$B$2:$B2446, 0)),IF(G447='Room Info'!$C$1, INDEX('Room Info'!$A$2:$A2446, MATCH(B447,'Room Info'!$C$2:$C2446, 0)),IF(G447='Room Info'!$D$1, INDEX('Room Info'!$A$2:$A2446, MATCH(B447,'Room Info'!$D$2:$D2446, 0)),IF(G447='Room Info'!$E$1, INDEX('Room Info'!$A$2:$A2446, MATCH(B447,'Room Info'!$E$2:$E2446, 0)),IF(G447='Room Info'!$F$1, INDEX('Room Info'!$A$2:$A2446, MATCH(B447,'Room Info'!$F$2:$F2446, 0)),IF(G447='Room Info'!$H$1, INDEX('Room Info'!$A$2:$A2446, MATCH(B447,'Room Info'!$H$2:$H2446, 0)),IF(G447='Room Info'!$G$1, INDEX('Room Info'!$A$2:$A2446, MATCH(B447,'Room Info'!$G$2:$G2446, 0)))))))))</f>
        <v>Lo4io</v>
      </c>
      <c r="B447" s="45" t="s">
        <v>107</v>
      </c>
      <c r="C447" s="46">
        <v>44733</v>
      </c>
      <c r="D447" s="46">
        <v>44762</v>
      </c>
      <c r="E447" s="47">
        <v>44743</v>
      </c>
      <c r="F447" s="48" t="s">
        <v>34</v>
      </c>
      <c r="G447" s="129" t="s">
        <v>61</v>
      </c>
      <c r="H447" s="49" t="s">
        <v>199</v>
      </c>
      <c r="I447" s="49" t="s">
        <v>68</v>
      </c>
      <c r="J447" s="50">
        <v>100</v>
      </c>
      <c r="K447" s="51">
        <v>4</v>
      </c>
      <c r="L447" s="52">
        <v>408</v>
      </c>
      <c r="M447" s="53">
        <v>0</v>
      </c>
      <c r="N447" s="28">
        <f>K447*J447</f>
        <v>400</v>
      </c>
      <c r="O447" s="54">
        <v>119</v>
      </c>
      <c r="P447" s="29">
        <v>29.75</v>
      </c>
      <c r="Q447" s="55"/>
      <c r="R447" s="31">
        <f>M447+Q447</f>
        <v>0</v>
      </c>
      <c r="S447" s="56">
        <v>-1</v>
      </c>
      <c r="T447" s="32">
        <f>R447+S447+IF(F447="Without EV deal",L447,0)</f>
        <v>-1</v>
      </c>
      <c r="U447" s="57">
        <v>1.0209999999999999</v>
      </c>
      <c r="V447" s="58"/>
      <c r="W447" s="58"/>
      <c r="X447" s="30">
        <v>0.2</v>
      </c>
      <c r="Y447" s="30">
        <f>IF(AG447="None",0,IF(AG447="Fix5",0.05, IF(AG447="Fix6.25",0.0625,IF(AG447="Fix3.75",0.0375,IF(AG447="Fix10",0.1,IF(AG447="Fix3",0.03,0))))))</f>
        <v>0</v>
      </c>
      <c r="Z447" s="59">
        <f>T447-AA447-AB447</f>
        <v>-0.79580000000000006</v>
      </c>
      <c r="AA447" s="60">
        <f>IF(AD447="EUR",((T447-R447)*X447)*U447+(R447*X447),(T447*X447))</f>
        <v>-0.20419999999999999</v>
      </c>
      <c r="AB447" s="36">
        <f>IF(AD447="EUR",((T447-R447)*Y447)*U447+(R447*Y447),(T447*Y447))</f>
        <v>0</v>
      </c>
      <c r="AC447" s="37" t="b">
        <v>1</v>
      </c>
      <c r="AD447" s="129" t="s">
        <v>50</v>
      </c>
      <c r="AE447" s="129"/>
      <c r="AF447" s="37" t="str">
        <f t="array" ref="AF447">INDEX('Deal Info'!D:D, MATCH(A447,'Deal Info'!A:A, 0))</f>
        <v>DoEVLo</v>
      </c>
      <c r="AG447" s="38" t="str">
        <f t="array" ref="AG447">INDEX('Deal Info'!G:G, MATCH(A447,'Deal Info'!A:A, 0))</f>
        <v>None</v>
      </c>
    </row>
    <row r="448" spans="1:33" ht="14.25" x14ac:dyDescent="0.2">
      <c r="A448" s="18" t="str">
        <f t="array" ref="A448">IF(G448='Room Info'!$B$1, INDEX('Room Info'!$A$2:$A2446, MATCH(B448,'Room Info'!$B$2:$B2446, 0)),IF(G448='Room Info'!$C$1, INDEX('Room Info'!$A$2:$A2446, MATCH(B448,'Room Info'!$C$2:$C2446, 0)),IF(G448='Room Info'!$D$1, INDEX('Room Info'!$A$2:$A2446, MATCH(B448,'Room Info'!$D$2:$D2446, 0)),IF(G448='Room Info'!$E$1, INDEX('Room Info'!$A$2:$A2446, MATCH(B448,'Room Info'!$E$2:$E2446, 0)),IF(G448='Room Info'!$F$1, INDEX('Room Info'!$A$2:$A2446, MATCH(B448,'Room Info'!$F$2:$F2446, 0)),IF(G448='Room Info'!$H$1, INDEX('Room Info'!$A$2:$A2446, MATCH(B448,'Room Info'!$H$2:$H2446, 0)),IF(G448='Room Info'!$G$1, INDEX('Room Info'!$A$2:$A2446, MATCH(B448,'Room Info'!$G$2:$G2446, 0)))))))))</f>
        <v>Lo4io</v>
      </c>
      <c r="B448" s="45" t="s">
        <v>107</v>
      </c>
      <c r="C448" s="136">
        <v>44733</v>
      </c>
      <c r="D448" s="136">
        <v>44762</v>
      </c>
      <c r="E448" s="47">
        <v>44743</v>
      </c>
      <c r="F448" s="48" t="s">
        <v>34</v>
      </c>
      <c r="G448" s="45" t="s">
        <v>61</v>
      </c>
      <c r="H448" s="49" t="s">
        <v>59</v>
      </c>
      <c r="I448" s="49" t="s">
        <v>37</v>
      </c>
      <c r="J448" s="74">
        <v>100</v>
      </c>
      <c r="K448" s="134">
        <v>1768</v>
      </c>
      <c r="L448" s="72">
        <v>-7862</v>
      </c>
      <c r="M448" s="79">
        <v>1270</v>
      </c>
      <c r="N448" s="28">
        <f>K448*J448</f>
        <v>176800</v>
      </c>
      <c r="O448" s="45">
        <v>62817</v>
      </c>
      <c r="P448" s="29">
        <v>35.529977379999998</v>
      </c>
      <c r="Q448" s="55"/>
      <c r="R448" s="31">
        <f>M448+Q448</f>
        <v>1270</v>
      </c>
      <c r="S448" s="73">
        <v>-4609</v>
      </c>
      <c r="T448" s="32">
        <f>R448+S448+IF(F448="Without EV deal",L448,0)</f>
        <v>-3339</v>
      </c>
      <c r="U448" s="57">
        <v>1.0209999999999999</v>
      </c>
      <c r="V448" s="58">
        <v>82.061705989110706</v>
      </c>
      <c r="W448" s="58">
        <v>38.190773177636238</v>
      </c>
      <c r="X448" s="30">
        <f>IF(AF448="DoEV",IF(AND(V448&lt;20,W448&lt;55),0.3,0)+IF(AND(V448&lt;20,W448&gt;=55,W448&lt;105),0.23,0)+IF(AND(V448&lt;20,W448&gt;=105),0.17,0)+IF(AND(V448&gt;=20,V448&lt;40,W448&lt;45),0.3,0)+IF(AND(V448&gt;=20,V448&lt;40,W448&gt;=45,W448&lt;95),0.23,0)+IF(AND(V448&gt;=20,V448&lt;40,W448&gt;=95),0.17,0)+IF(AND(V448&gt;=40,V448&lt;75,W448&lt;35),0.3,0)+IF(AND(V448&gt;=40,V448&lt;75,W448&gt;=35,W448&lt;75),0.23,0)+IF(AND(V448&gt;=40,V448&lt;75,W448&gt;=75,W448&lt;120),0.17,0)+IF(AND(V448&gt;=40,V448&lt;75,W448&gt;=120),0.12,0)+IF(AND(V448&gt;=75,V448&lt;175,W448&lt;35),0.3,0)+IF(AND(V448&gt;=75,V448&lt;=175,W448&gt;=35,W448&lt;65),0.23,0)+IF(AND(V448&gt;=75,V448&lt;=175,W448&gt;=65,W448&lt;110),0.17,0)+IF(AND(V448&gt;=75,V448&lt;=175,W448&gt;=110),0.12,0)+IF(AND(V448&gt;175,W448&lt;25),0.3,0)+IF(AND(V448&gt;175,W448&gt;=25,W448&lt;55),0.23,0)+IF(AND(V448&gt;175,W448&gt;=55,W448&lt;95),0.17,0)+IF(AND(V448&gt;175,W448&gt;=95),0.12,0),
IF(AF448="Fix15",0.15,
IF(AF448="Fix11.25",0.1125,
IF(AF448="Fix10",0.1,
IF(AF448="Fix9",0.09,
IF(AF448="DoEV2017",IF(AND(W448&lt;74),0.2,0)+IF(AND(W448&gt;=74),0.17,0),
IF(AF448="SF",IF(AND(V448&lt;20,W448&lt;89),0.3,0)+IF(AND(V448&lt;20,W448&gt;=89),0.25,0)+IF(AND(V448&gt;=20,V448&lt;40,W448&lt;74),0.3,0)+IF(AND(V448&gt;=20,V448&lt;40,W448&gt;=75),0.22,0)+IF(AND(V448&gt;=40,V448&lt;75,W448&lt;75),0.26,0)+IF(AND(V448&gt;=40,V448&lt;75,W448&gt;=75),0.22,0)+IF(V448&gt;=75,0.22,0),
IF(AF448="DoEVold",IF(AND(V448&lt;40,W448&lt;35),0.35,0)+IF(AND(V448&lt;40,W448&gt;=35,W448&lt;75),0.25,0)+IF(AND(V448&lt;40,W448&gt;=75),0.17,0)+IF(AND(V448&gt;=40,V448&lt;75,W448&lt;25),0.35,0)+IF(AND(V448&gt;=40,V448&lt;75,W448&gt;=25,W448&lt;65),0.25,0)+IF(AND(V448&gt;=40,V448&lt;75,W448&gt;=65,W448&lt;100),0.17,0)+IF(AND(V448&gt;=40,V448&lt;75,W448&gt;=100),0.1,0)+IF(AND(V448&gt;=75,W448&lt;25),0.35,0)+IF(AND(V448&gt;=75,W448&gt;=25,W448&lt;60),0.25,0)+IF(AND(V448&gt;=75,W448&gt;=60,W448&lt;95),0.17,0)+IF(AND(V448&gt;=75,W448&gt;=95),0.1,0),
IF(AF448="DoEVold15",IF(AND(V448&lt;=40,W448&lt;35),0.35,0)+IF(AND(V448&lt;=40,W448&gt;=35,W448&lt;75),0.25,0)+IF(AND(V448&lt;=40,W448&gt;=75,W448&lt;120),0.17,0)+IF(AND(V448&lt;=40,W448&gt;=120),0.15,0)+IF(AND(V448&gt;40,V448&lt;75,W448&lt;25),0.35,0)+IF(AND(V448&gt;=40,V448&lt;75,W448&gt;=25,W448&lt;65),0.25,0)+IF(AND(V448&gt;=40,V448&lt;75,W448&gt;=65,W448&lt;100),0.17,0)+IF(AND(V448&gt;=40,V448&lt;75,W448&gt;=100),0.1,0)+IF(AND(V448&gt;=75,W448&lt;25),0.35,0)+IF(AND(V448&gt;=75,W448&gt;=25,W448&lt;60),0.25,0)+IF(AND(V448&gt;=75,W448&gt;=60,W448&lt;95),0.17,0)+IF(AND(V448&gt;=75,W448&gt;=95),0.1,0),
IF(AF448="DoEVba",IF(AND(V448&lt;20,W448&lt;105),0.2,0)+IF(AND(V448&lt;20,W448&gt;=105),0.15,0)+IF(AND(V448&gt;=20,V448&lt;40,W448&lt;95),0.2,0)+IF(AND(V448&gt;=20,V448&lt;40,W448&gt;=95,W448&lt;150),0.15,0)+IF(AND(V448&gt;=20,V448&lt;40,W448&gt;=150),0.12,0)+IF(AND(V448&gt;=40,V448&lt;75,W448&lt;75),0.2,0)+IF(AND(V448&gt;=40,V448&lt;75,W448&gt;=75,W448&lt;120),0.15,0)+IF(AND(V448&gt;=40,V448&lt;75,W448&gt;=120),0.12,0)+IF(AND(V448&gt;=75,V448&lt;175,W448&lt;65),0.2,0)+IF(AND(V448&gt;=75,V448&lt;175,W448&gt;=65,W448&lt;110),0.15,0)+IF(AND(V448&gt;=75,V448&lt;175,W448&gt;=110),0.12,0)+IF(AND(V448&gt;=175,W448&lt;55),0.2,0)+IF(AND(V448&gt;=175,W448&gt;=55,W448&lt;95),0.15,0)+IF(AND(V448&gt;=175,W448&gt;=95),0.12,0),
IF(AF448="DoEVku",IF(AND(V448&lt;20,W448&lt;55),0.23,0)+IF(AND(V448&lt;20,W448&gt;=55,W448&lt;105),0.2,0)+IF(AND(V448&lt;20,W448&gt;=105),0.17,0)+IF(AND(V448&gt;=20,V448&lt;40,W448&lt;45),0.23,0)+IF(AND(V448&gt;=20,V448&lt;40,W448&gt;=45,W448&lt;95),0.2,0)+IF(AND(V448&gt;=20,V448&lt;40,W448&gt;=95,W448&lt;=150),0.17,0)+IF(AND(V448&gt;=20,V448&lt;40,W448&gt;=150),0.12,0)+IF(AND(V448&gt;=40,V448&lt;75,W448&lt;35),0.23,0)+IF(AND(V448&gt;=40,V448&lt;75,W448&gt;=35,W448&lt;75),0.2,0)+IF(AND(V448&gt;=40,V448&lt;75,W448&gt;=75,W448&lt;120),0.17,0)+IF(AND(V448&gt;=40,V448&lt;75,W448&gt;=120),0.12,0)+IF(AND(V448&gt;=75,V448&lt;175,W448&lt;35),0.23,0)+IF(AND(V448&gt;=75,V448&lt;=175,W448&gt;=35,W448&lt;65),0.2,0)+IF(AND(V448&gt;=75,V448&lt;=175,W448&gt;=65,W448&lt;110),0.17,0)+IF(AND(V448&gt;=75,V448&lt;=175,W448&gt;=110),0.12,0)+IF(AND(V448&gt;175,W448&lt;25),0.23,0)+IF(AND(V448&gt;175,W448&gt;=25,W448&lt;55),0.2,0)+IF(AND(V448&gt;175,W448&gt;=55,W448&lt;95),0.17,0)+IF(AND(V448&gt;175,W448&gt;=95),0.12,0),
IF(AF448="DoEVs1",IF(AND(V448&lt;20,W448&lt;55),0.3,0)+IF(AND(V448&lt;20,W448&gt;=55,W448&lt;105),0.23,0)+IF(AND(V448&lt;20,W448&gt;=105),0.17,0)+IF(AND(V448&gt;=20,V448&lt;40,W448&lt;45),0.3,0)+IF(AND(V448&gt;=20,V448&lt;40,W448&gt;=45,W448&lt;95),0.23,0)+IF(AND(V448&gt;=20,V448&lt;40,W448&gt;=95,W448&lt;=150),0.17,0)+IF(AND(V448&gt;=20,V448&lt;40,W448&gt;=150),0.12,0)+IF(AND(V448&gt;=40,V448&lt;75,W448&lt;35),0.3,0)+IF(AND(V448&gt;=40,V448&lt;75,W448&gt;=35,W448&lt;75),0.23,0)+IF(AND(V448&gt;=40,V448&lt;75,W448&gt;=75,W448&lt;120),0.17,0)+IF(AND(V448&gt;=40,V448&lt;75,W448&gt;=120),0.12,0)+IF(AND(V448&gt;=75,V448&lt;175,W448&lt;35),0.3,0)+IF(AND(V448&gt;=75,V448&lt;=175,W448&gt;=35,W448&lt;65),0.23,0)+IF(AND(V448&gt;=75,V448&lt;=175,W448&gt;=65,W448&lt;110),0.17,0)+IF(AND(V448&gt;=75,V448&lt;=175,W448&gt;=110),0.12,0)+IF(AND(V448&gt;175,W448&lt;25),0.3,0)+IF(AND(V448&gt;175,W448&gt;=25,W448&lt;55),0.23,0)+IF(AND(V448&gt;175,W448&gt;=55,W448&lt;95),0.17,0)+IF(AND(V448&gt;175,W448&gt;=95),0.12,0),
IF(AF448="DoEVsu",IF(AND(V448&lt;20,W448&lt;55),0.3,0)+IF(AND(V448&lt;20,W448&gt;=55,W448&lt;105),0.23,0)+IF(AND(V448&lt;20,W448&gt;=105),0.17,0)+IF(AND(V448&gt;=20,V448&lt;40,W448&lt;45),0.3,0)+IF(AND(V448&gt;=20,V448&lt;40,W448&gt;=45,W448&lt;95),0.23,0)+IF(AND(V448&gt;=20,V448&lt;40,W448&gt;=95,W448&lt;=250),0.17,0)+IF(AND(V448&gt;=20,V448&lt;40,W448&gt;=250),0.12,0)+IF(AND(V448&gt;=40,V448&lt;75,W448&lt;35),0.3,0)+IF(AND(V448&gt;=40,V448&lt;75,W448&gt;=35,W448&lt;75),0.23,0)+IF(AND(V448&gt;=40,V448&lt;75,W448&gt;=75,W448&lt;120),0.17,0)+IF(AND(V448&gt;=40,V448&lt;75,W448&gt;=120),0.12,0)+IF(AND(V448&gt;=75,V448&lt;175,W448&lt;35),0.3,0)+IF(AND(V448&gt;=75,V448&lt;=175,W448&gt;=35,W448&lt;65),0.23,0)+IF(AND(V448&gt;=75,V448&lt;=175,W448&gt;=65,W448&lt;110),0.17,0)+IF(AND(V448&gt;=75,V448&lt;=175,W448&gt;=110),0.12,0)+IF(AND(V448&gt;175,W448&lt;25),0.3,0)+IF(AND(V448&gt;175,W448&gt;=25,W448&lt;55),0.23,0)+IF(AND(V448&gt;175,W448&gt;=55,W448&lt;95),0.17,0)+IF(AND(V448&gt;175,W448&gt;=95),0.12,0),
IF(AF448="DoEVni",IF(AND(V448&lt;20,W448&lt;55),0.3,0)+IF(AND(V448&lt;20,W448&gt;=55,W448&lt;105),0.23,0)+IF(AND(V448&lt;20,W448&gt;=105),0.17,0)+IF(AND(V448&gt;=20,V448&lt;40,W448&lt;45),0.3,0)+IF(AND(V448&gt;=20,V448&lt;40,W448&gt;=45,W448&lt;95),0.23,0)+IF(AND(V448&gt;=20,V448&lt;40,W448&gt;=95,W448&lt;=200),0.17,0)+IF(AND(V448&gt;=20,V448&lt;40,W448&gt;=200),0.12,0)+IF(AND(V448&gt;=40,V448&lt;75,W448&lt;35),0.3,0)+IF(AND(V448&gt;=40,V448&lt;75,W448&gt;=35,W448&lt;75),0.23,0)+IF(AND(V448&gt;=40,V448&lt;75,W448&gt;=75,W448&lt;120),0.17,0)+IF(AND(V448&gt;=40,V448&lt;75,W448&gt;=120),0.12,0)+IF(AND(V448&gt;=75,V448&lt;175,W448&lt;35),0.3,0)+IF(AND(V448&gt;=75,V448&lt;=175,W448&gt;=35,W448&lt;65),0.23,0)+IF(AND(V448&gt;=75,V448&lt;=175,W448&gt;=65,W448&lt;110),0.17,0)+IF(AND(V448&gt;=75,V448&lt;=175,W448&gt;=110),0.12,0)+IF(AND(V448&gt;175,W448&lt;25),0.3,0)+IF(AND(V448&gt;175,W448&gt;=25,W448&lt;55),0.23,0)+IF(AND(V448&gt;175,W448&gt;=55,W448&lt;95),0.17,0)+IF(AND(V448&gt;175,W448&gt;=95),0.12,0),
IF(AF448="DoEVLo",IF(AND(V448&lt;20,W448&lt;55),0.25,0)+IF(AND(V448&lt;20,W448&gt;=55,W448&lt;105),0.2,0)+IF(AND(V448&lt;20,W448&gt;=105),0.15,0)+IF(AND(V448&gt;=20,V448&lt;40,W448&lt;45),0.25,0)+IF(AND(V448&gt;=20,V448&lt;40,W448&gt;=45,W448&lt;95),0.2,0)+IF(AND(V448&gt;=20,V448&lt;40,W448&gt;=95),0.15,0)+IF(AND(V448&gt;=40,V448&lt;75,W448&lt;35),0.25,0)+IF(AND(V448&gt;=40,V448&lt;75,W448&gt;=35,W448&lt;75),0.2,0)+IF(AND(V448&gt;=40,V448&lt;75,W448&gt;=75,W448&lt;120),0.15,0)+IF(AND(V448&gt;=40,V448&lt;75,W448&gt;=120),0.1,0)+IF(AND(V448&gt;=75,V448&lt;175,W448&lt;35),0.25,0)+IF(AND(V448&gt;=75,V448&lt;=175,W448&gt;=35,W448&lt;65),0.2,0)+IF(AND(V448&gt;=75,V448&lt;=175,W448&gt;=65,W448&lt;110),0.15,0)+IF(AND(V448&gt;=75,V448&lt;=175,W448&gt;=110),0.1,0)+IF(AND(V448&gt;175,W448&lt;25),0.25,0)+IF(AND(V448&gt;175,W448&gt;=25,W448&lt;55),0.2,0)+IF(AND(V448&gt;175,W448&gt;=55,W448&lt;95),0.15,0)+IF(AND(V448&gt;175,W448&gt;=95),0.1,0))))))))))))))))</f>
        <v>0.2</v>
      </c>
      <c r="Y448" s="30">
        <f>IF(AG448="None",0,IF(AG448="Fix5",0.05,IF(AG448="Fix3.75",0.0375,IF(AG448="Fix10",0.1,IF(AG448="Fix3",0.03,0)))))</f>
        <v>0</v>
      </c>
      <c r="Z448" s="59">
        <f>T448-AA448-AB448</f>
        <v>-2651.8422</v>
      </c>
      <c r="AA448" s="60">
        <f>IF(AD448="EUR",((T448-R448)*X448)*U448+(R448*X448),(T448*X448))</f>
        <v>-687.15779999999995</v>
      </c>
      <c r="AB448" s="36">
        <f>IF(AD448="EUR",((T448-R448)*Y448)*U448+(R448*Y448),(T448*Y448))</f>
        <v>0</v>
      </c>
      <c r="AC448" s="37" t="b">
        <v>1</v>
      </c>
      <c r="AD448" s="37" t="s">
        <v>50</v>
      </c>
      <c r="AE448" s="37"/>
      <c r="AF448" s="37" t="str">
        <f t="array" ref="AF448">INDEX('Deal Info'!D:D, MATCH(A448,'Deal Info'!A:A, 0))</f>
        <v>DoEVLo</v>
      </c>
      <c r="AG448" s="38" t="str">
        <f t="array" ref="AG448">INDEX('Deal Info'!G:G, MATCH(A448,'Deal Info'!A:A, 0))</f>
        <v>None</v>
      </c>
    </row>
    <row r="449" spans="1:33" ht="14.25" x14ac:dyDescent="0.2">
      <c r="A449" s="18" t="str">
        <f t="array" ref="A449">IF(G449='Room Info'!$B$1, INDEX('Room Info'!$A$2:$A2446, MATCH(B449,'Room Info'!$B$2:$B2446, 0)),IF(G449='Room Info'!$C$1, INDEX('Room Info'!$A$2:$A2446, MATCH(B449,'Room Info'!$C$2:$C2446, 0)),IF(G449='Room Info'!$D$1, INDEX('Room Info'!$A$2:$A2446, MATCH(B449,'Room Info'!$D$2:$D2446, 0)),IF(G449='Room Info'!$E$1, INDEX('Room Info'!$A$2:$A2446, MATCH(B449,'Room Info'!$E$2:$E2446, 0)),IF(G449='Room Info'!$F$1, INDEX('Room Info'!$A$2:$A2446, MATCH(B449,'Room Info'!$F$2:$F2446, 0)),IF(G449='Room Info'!$H$1, INDEX('Room Info'!$A$2:$A2446, MATCH(B449,'Room Info'!$H$2:$H2446, 0)),IF(G449='Room Info'!$G$1, INDEX('Room Info'!$A$2:$A2446, MATCH(B449,'Room Info'!$G$2:$G2446, 0)))))))))</f>
        <v>fortunate773</v>
      </c>
      <c r="B449" s="45" t="s">
        <v>66</v>
      </c>
      <c r="C449" s="46">
        <v>44743</v>
      </c>
      <c r="D449" s="46">
        <v>44773</v>
      </c>
      <c r="E449" s="47">
        <v>44743</v>
      </c>
      <c r="F449" s="129" t="s">
        <v>49</v>
      </c>
      <c r="G449" s="65" t="s">
        <v>61</v>
      </c>
      <c r="H449" s="49" t="s">
        <v>59</v>
      </c>
      <c r="I449" s="49" t="s">
        <v>101</v>
      </c>
      <c r="J449" s="50">
        <v>100</v>
      </c>
      <c r="K449" s="123">
        <v>96</v>
      </c>
      <c r="L449" s="113">
        <v>-1900</v>
      </c>
      <c r="M449" s="53">
        <v>19891</v>
      </c>
      <c r="N449" s="28">
        <f>K449*J449</f>
        <v>9600</v>
      </c>
      <c r="O449" s="65">
        <v>1041</v>
      </c>
      <c r="P449" s="29">
        <v>10.84375</v>
      </c>
      <c r="Q449" s="55"/>
      <c r="R449" s="31">
        <f>M449+Q449</f>
        <v>19891</v>
      </c>
      <c r="S449" s="66">
        <v>-641</v>
      </c>
      <c r="T449" s="32">
        <f>R449+S449+IF(F449="Without EV deal",L449,0)</f>
        <v>19250</v>
      </c>
      <c r="U449" s="57">
        <v>1</v>
      </c>
      <c r="V449" s="58"/>
      <c r="W449" s="58"/>
      <c r="X449" s="30">
        <v>0.17</v>
      </c>
      <c r="Y449" s="30">
        <v>0.06</v>
      </c>
      <c r="Z449" s="59">
        <v>15015</v>
      </c>
      <c r="AA449" s="60">
        <v>4235</v>
      </c>
      <c r="AB449" s="36"/>
      <c r="AC449" s="37" t="b">
        <v>1</v>
      </c>
      <c r="AD449" s="37" t="s">
        <v>50</v>
      </c>
      <c r="AE449" s="37"/>
      <c r="AF449" s="37" t="str">
        <f t="array" ref="AF449">INDEX('Deal Info'!D:D, MATCH(A449,'Deal Info'!A:A, 0))</f>
        <v>Fix15</v>
      </c>
      <c r="AG449" s="38" t="str">
        <f t="array" ref="AG449">INDEX('Deal Info'!G:G, MATCH(A449,'Deal Info'!A:A, 0))</f>
        <v>Fix5</v>
      </c>
    </row>
    <row r="450" spans="1:33" ht="14.25" x14ac:dyDescent="0.2">
      <c r="A450" s="18" t="str">
        <f t="array" ref="A450">IF(G450='Room Info'!$B$1, INDEX('Room Info'!$A$2:$A2446, MATCH(B450,'Room Info'!$B$2:$B2446, 0)),IF(G450='Room Info'!$C$1, INDEX('Room Info'!$A$2:$A2446, MATCH(B450,'Room Info'!$C$2:$C2446, 0)),IF(G450='Room Info'!$D$1, INDEX('Room Info'!$A$2:$A2446, MATCH(B450,'Room Info'!$D$2:$D2446, 0)),IF(G450='Room Info'!$E$1, INDEX('Room Info'!$A$2:$A2446, MATCH(B450,'Room Info'!$E$2:$E2446, 0)),IF(G450='Room Info'!$F$1, INDEX('Room Info'!$A$2:$A2446, MATCH(B450,'Room Info'!$F$2:$F2446, 0)),IF(G450='Room Info'!$H$1, INDEX('Room Info'!$A$2:$A2446, MATCH(B450,'Room Info'!$H$2:$H2446, 0)),IF(G450='Room Info'!$G$1, INDEX('Room Info'!$A$2:$A2446, MATCH(B450,'Room Info'!$G$2:$G2446, 0)))))))))</f>
        <v>Lo4io</v>
      </c>
      <c r="B450" s="45" t="s">
        <v>107</v>
      </c>
      <c r="C450" s="46">
        <v>44733</v>
      </c>
      <c r="D450" s="46">
        <v>44762</v>
      </c>
      <c r="E450" s="47">
        <v>44743</v>
      </c>
      <c r="F450" s="48" t="s">
        <v>34</v>
      </c>
      <c r="G450" s="45" t="s">
        <v>61</v>
      </c>
      <c r="H450" s="49" t="s">
        <v>59</v>
      </c>
      <c r="I450" s="49" t="s">
        <v>37</v>
      </c>
      <c r="J450" s="50">
        <v>100</v>
      </c>
      <c r="K450" s="51">
        <v>1768</v>
      </c>
      <c r="L450" s="52">
        <v>-7862</v>
      </c>
      <c r="M450" s="53">
        <v>1270</v>
      </c>
      <c r="N450" s="28">
        <f>K450*J450</f>
        <v>176800</v>
      </c>
      <c r="O450" s="65">
        <v>62817</v>
      </c>
      <c r="P450" s="29">
        <v>35.529977379999998</v>
      </c>
      <c r="Q450" s="55"/>
      <c r="R450" s="31">
        <f>M450+Q450</f>
        <v>1270</v>
      </c>
      <c r="S450" s="66">
        <v>-4609</v>
      </c>
      <c r="T450" s="32">
        <f>R450+S450+IF(F450="Without EV deal",L450,0)</f>
        <v>-3339</v>
      </c>
      <c r="U450" s="57">
        <v>1.0209999999999999</v>
      </c>
      <c r="V450" s="58"/>
      <c r="W450" s="58"/>
      <c r="X450" s="78">
        <v>0.2</v>
      </c>
      <c r="Y450" s="30">
        <f>IF(AG450="None",0,IF(AG450="Fix5",0.05, IF(AG450="Fix6.25",0.0625,IF(AG450="Fix3.75",0.0375,IF(AG450="Fix10",0.1,IF(AG450="Fix3",0.03,0))))))</f>
        <v>0</v>
      </c>
      <c r="Z450" s="35">
        <f>T450-AA450-AB450</f>
        <v>-2651.8422</v>
      </c>
      <c r="AA450" s="29">
        <f>IF(AD450="EUR",((T450-R450)*X450)*U450+(R450*X450),(T450*X450))</f>
        <v>-687.15779999999995</v>
      </c>
      <c r="AB450" s="36">
        <f>IF(AD450="EUR",((T450-R450)*Y450)*U450+(R450*Y450),(T450*Y450))</f>
        <v>0</v>
      </c>
      <c r="AC450" s="37" t="b">
        <v>1</v>
      </c>
      <c r="AD450" s="129" t="s">
        <v>50</v>
      </c>
      <c r="AE450" s="129"/>
      <c r="AF450" s="37" t="str">
        <f t="array" ref="AF450">INDEX('Deal Info'!D:D, MATCH(A450,'Deal Info'!A:A, 0))</f>
        <v>DoEVLo</v>
      </c>
      <c r="AG450" s="38" t="str">
        <f t="array" ref="AG450">INDEX('Deal Info'!G:G, MATCH(A450,'Deal Info'!A:A, 0))</f>
        <v>None</v>
      </c>
    </row>
    <row r="451" spans="1:33" ht="14.25" x14ac:dyDescent="0.2">
      <c r="A451" s="18" t="str">
        <f t="array" ref="A451">IF(G451='Room Info'!$B$1, INDEX('Room Info'!$A$2:$A2446, MATCH(B451,'Room Info'!$B$2:$B2446, 0)),IF(G451='Room Info'!$C$1, INDEX('Room Info'!$A$2:$A2446, MATCH(B451,'Room Info'!$C$2:$C2446, 0)),IF(G451='Room Info'!$D$1, INDEX('Room Info'!$A$2:$A2446, MATCH(B451,'Room Info'!$D$2:$D2446, 0)),IF(G451='Room Info'!$E$1, INDEX('Room Info'!$A$2:$A2446, MATCH(B451,'Room Info'!$E$2:$E2446, 0)),IF(G451='Room Info'!$F$1, INDEX('Room Info'!$A$2:$A2446, MATCH(B451,'Room Info'!$F$2:$F2446, 0)),IF(G451='Room Info'!$H$1, INDEX('Room Info'!$A$2:$A2446, MATCH(B451,'Room Info'!$H$2:$H2446, 0)),IF(G451='Room Info'!$G$1, INDEX('Room Info'!$A$2:$A2446, MATCH(B451,'Room Info'!$G$2:$G2446, 0)))))))))</f>
        <v>fortunate773</v>
      </c>
      <c r="B451" s="45" t="s">
        <v>66</v>
      </c>
      <c r="C451" s="46">
        <v>44774</v>
      </c>
      <c r="D451" s="46">
        <v>44804</v>
      </c>
      <c r="E451" s="47">
        <v>44774</v>
      </c>
      <c r="F451" s="48" t="s">
        <v>49</v>
      </c>
      <c r="G451" s="45" t="s">
        <v>61</v>
      </c>
      <c r="H451" s="49" t="s">
        <v>67</v>
      </c>
      <c r="I451" s="49" t="s">
        <v>68</v>
      </c>
      <c r="J451" s="50">
        <v>500</v>
      </c>
      <c r="K451" s="51">
        <v>13</v>
      </c>
      <c r="L451" s="52">
        <v>2500</v>
      </c>
      <c r="M451" s="53">
        <v>12</v>
      </c>
      <c r="N451" s="28">
        <f>K451*J451</f>
        <v>6500</v>
      </c>
      <c r="O451" s="54">
        <v>-145</v>
      </c>
      <c r="P451" s="29">
        <v>-11.15384615</v>
      </c>
      <c r="Q451" s="55"/>
      <c r="R451" s="31">
        <f>M451+Q451</f>
        <v>12</v>
      </c>
      <c r="S451" s="66">
        <v>-737</v>
      </c>
      <c r="T451" s="32">
        <f>R451+S451+IF(F451="Without EV deal",L451,0)</f>
        <v>-725</v>
      </c>
      <c r="U451" s="57">
        <v>1</v>
      </c>
      <c r="V451" s="58"/>
      <c r="W451" s="58"/>
      <c r="X451" s="78">
        <f>IF(AF451="DoEV",IF(AND(V451&lt;20,W451&lt;55),0.3,0)+IF(AND(V451&lt;20,W451&gt;=55,W451&lt;105),0.23,0)+IF(AND(V451&lt;20,W451&gt;=105),0.17,0)+IF(AND(V451&gt;=20,V451&lt;40,W451&lt;45),0.3,0)+IF(AND(V451&gt;=20,V451&lt;40,W451&gt;=45,W451&lt;95),0.23,0)+IF(AND(V451&gt;=20,V451&lt;40,W451&gt;=95),0.17,0)+IF(AND(V451&gt;=40,V451&lt;75,W451&lt;35),0.3,0)+IF(AND(V451&gt;=40,V451&lt;75,W451&gt;=35,W451&lt;75),0.23,0)+IF(AND(V451&gt;=40,V451&lt;75,W451&gt;=75,W451&lt;120),0.17,0)+IF(AND(V451&gt;=40,V451&lt;75,W451&gt;=120),0.12,0)+IF(AND(V451&gt;=75,V451&lt;175,W451&lt;35),0.3,0)+IF(AND(V451&gt;=75,V451&lt;=175,W451&gt;=35,W451&lt;65),0.23,0)+IF(AND(V451&gt;=75,V451&lt;=175,W451&gt;=65,W451&lt;110),0.17,0)+IF(AND(V451&gt;=75,V451&lt;=175,W451&gt;=110),0.12,0)+IF(AND(V451&gt;175,W451&lt;25),0.3,0)+IF(AND(V451&gt;175,W451&gt;=25,W451&lt;55),0.23,0)+IF(AND(V451&gt;175,W451&gt;=55,W451&lt;95),0.17,0)+IF(AND(V451&gt;175,W451&gt;=95),0.12,0),
IF(AF451="Fix15",0.15,
IF(AF451="Fix11.25",0.1125,
IF(AF451="Fix10",0.1,
IF(AF451="Fix9",0.09,
IF(AF451="DoEV2017",IF(AND(W451&lt;74),0.2,0)+IF(AND(W451&gt;=74),0.17,0),
IF(AF451="SF",IF(AND(V451&lt;20,W451&lt;89),0.3,0)+IF(AND(V451&lt;20,W451&gt;=89),0.25,0)+IF(AND(V451&gt;=20,V451&lt;40,W451&lt;74),0.3,0)+IF(AND(V451&gt;=20,V451&lt;40,W451&gt;=75),0.22,0)+IF(AND(V451&gt;=40,V451&lt;75,W451&lt;75),0.26,0)+IF(AND(V451&gt;=40,V451&lt;75,W451&gt;=75),0.22,0)+IF(V451&gt;=75,0.22,0),
IF(AF451="DoEVold",IF(AND(V451&lt;40,W451&lt;35),0.35,0)+IF(AND(V451&lt;40,W451&gt;=35,W451&lt;75),0.25,0)+IF(AND(V451&lt;40,W451&gt;=75),0.17,0)+IF(AND(V451&gt;=40,V451&lt;75,W451&lt;25),0.35,0)+IF(AND(V451&gt;=40,V451&lt;75,W451&gt;=25,W451&lt;65),0.25,0)+IF(AND(V451&gt;=40,V451&lt;75,W451&gt;=65,W451&lt;100),0.17,0)+IF(AND(V451&gt;=40,V451&lt;75,W451&gt;=100),0.1,0)+IF(AND(V451&gt;=75,W451&lt;25),0.35,0)+IF(AND(V451&gt;=75,W451&gt;=25,W451&lt;60),0.25,0)+IF(AND(V451&gt;=75,W451&gt;=60,W451&lt;95),0.17,0)+IF(AND(V451&gt;=75,W451&gt;=95),0.1,0),
IF(AF451="DoEVold15",IF(AND(V451&lt;=40,W451&lt;35),0.35,0)+IF(AND(V451&lt;=40,W451&gt;=35,W451&lt;75),0.25,0)+IF(AND(V451&lt;=40,W451&gt;=75,W451&lt;120),0.17,0)+IF(AND(V451&lt;=40,W451&gt;=120),0.15,0)+IF(AND(V451&gt;40,V451&lt;75,W451&lt;25),0.35,0)+IF(AND(V451&gt;=40,V451&lt;75,W451&gt;=25,W451&lt;65),0.25,0)+IF(AND(V451&gt;=40,V451&lt;75,W451&gt;=65,W451&lt;100),0.17,0)+IF(AND(V451&gt;=40,V451&lt;75,W451&gt;=100),0.1,0)+IF(AND(V451&gt;=75,W451&lt;25),0.35,0)+IF(AND(V451&gt;=75,W451&gt;=25,W451&lt;60),0.25,0)+IF(AND(V451&gt;=75,W451&gt;=60,W451&lt;95),0.17,0)+IF(AND(V451&gt;=75,W451&gt;=95),0.1,0),
IF(AF451="DoEVba",IF(AND(V451&lt;20,W451&lt;105),0.2,0)+IF(AND(V451&lt;20,W451&gt;=105),0.15,0)+IF(AND(V451&gt;=20,V451&lt;40,W451&lt;95),0.2,0)+IF(AND(V451&gt;=20,V451&lt;40,W451&gt;=95,W451&lt;150),0.15,0)+IF(AND(V451&gt;=20,V451&lt;40,W451&gt;=150),0.12,0)+IF(AND(V451&gt;=40,V451&lt;75,W451&lt;75),0.2,0)+IF(AND(V451&gt;=40,V451&lt;75,W451&gt;=75,W451&lt;120),0.15,0)+IF(AND(V451&gt;=40,V451&lt;75,W451&gt;=120),0.12,0)+IF(AND(V451&gt;=75,V451&lt;175,W451&lt;65),0.2,0)+IF(AND(V451&gt;=75,V451&lt;175,W451&gt;=65,W451&lt;110),0.15,0)+IF(AND(V451&gt;=75,V451&lt;175,W451&gt;=110),0.12,0)+IF(AND(V451&gt;=175,W451&lt;55),0.2,0)+IF(AND(V451&gt;=175,W451&gt;=55,W451&lt;95),0.15,0)+IF(AND(V451&gt;=175,W451&gt;=95),0.12,0),
IF(AF451="DoEVku",IF(AND(V451&lt;20,W451&lt;55),0.23,0)+IF(AND(V451&lt;20,W451&gt;=55,W451&lt;105),0.2,0)+IF(AND(V451&lt;20,W451&gt;=105),0.17,0)+IF(AND(V451&gt;=20,V451&lt;40,W451&lt;45),0.23,0)+IF(AND(V451&gt;=20,V451&lt;40,W451&gt;=45,W451&lt;95),0.2,0)+IF(AND(V451&gt;=20,V451&lt;40,W451&gt;=95,W451&lt;=150),0.17,0)+IF(AND(V451&gt;=20,V451&lt;40,W451&gt;=150),0.12,0)+IF(AND(V451&gt;=40,V451&lt;75,W451&lt;35),0.23,0)+IF(AND(V451&gt;=40,V451&lt;75,W451&gt;=35,W451&lt;75),0.2,0)+IF(AND(V451&gt;=40,V451&lt;75,W451&gt;=75,W451&lt;120),0.17,0)+IF(AND(V451&gt;=40,V451&lt;75,W451&gt;=120),0.12,0)+IF(AND(V451&gt;=75,V451&lt;175,W451&lt;35),0.23,0)+IF(AND(V451&gt;=75,V451&lt;=175,W451&gt;=35,W451&lt;65),0.2,0)+IF(AND(V451&gt;=75,V451&lt;=175,W451&gt;=65,W451&lt;110),0.17,0)+IF(AND(V451&gt;=75,V451&lt;=175,W451&gt;=110),0.12,0)+IF(AND(V451&gt;175,W451&lt;25),0.23,0)+IF(AND(V451&gt;175,W451&gt;=25,W451&lt;55),0.2,0)+IF(AND(V451&gt;175,W451&gt;=55,W451&lt;95),0.17,0)+IF(AND(V451&gt;175,W451&gt;=95),0.12,0),
IF(AF451="DoEVs1",IF(AND(V451&lt;20,W451&lt;55),0.3,0)+IF(AND(V451&lt;20,W451&gt;=55,W451&lt;105),0.23,0)+IF(AND(V451&lt;20,W451&gt;=105),0.17,0)+IF(AND(V451&gt;=20,V451&lt;40,W451&lt;45),0.3,0)+IF(AND(V451&gt;=20,V451&lt;40,W451&gt;=45,W451&lt;95),0.23,0)+IF(AND(V451&gt;=20,V451&lt;40,W451&gt;=95,W451&lt;=150),0.17,0)+IF(AND(V451&gt;=20,V451&lt;40,W451&gt;=150),0.12,0)+IF(AND(V451&gt;=40,V451&lt;75,W451&lt;35),0.3,0)+IF(AND(V451&gt;=40,V451&lt;75,W451&gt;=35,W451&lt;75),0.23,0)+IF(AND(V451&gt;=40,V451&lt;75,W451&gt;=75,W451&lt;120),0.17,0)+IF(AND(V451&gt;=40,V451&lt;75,W451&gt;=120),0.12,0)+IF(AND(V451&gt;=75,V451&lt;175,W451&lt;35),0.3,0)+IF(AND(V451&gt;=75,V451&lt;=175,W451&gt;=35,W451&lt;65),0.23,0)+IF(AND(V451&gt;=75,V451&lt;=175,W451&gt;=65,W451&lt;110),0.17,0)+IF(AND(V451&gt;=75,V451&lt;=175,W451&gt;=110),0.12,0)+IF(AND(V451&gt;175,W451&lt;25),0.3,0)+IF(AND(V451&gt;175,W451&gt;=25,W451&lt;55),0.23,0)+IF(AND(V451&gt;175,W451&gt;=55,W451&lt;95),0.17,0)+IF(AND(V451&gt;175,W451&gt;=95),0.12,0),
IF(AF451="DoEVsu",IF(AND(V451&lt;20,W451&lt;55),0.3,0)+IF(AND(V451&lt;20,W451&gt;=55,W451&lt;105),0.23,0)+IF(AND(V451&lt;20,W451&gt;=105),0.17,0)+IF(AND(V451&gt;=20,V451&lt;40,W451&lt;45),0.3,0)+IF(AND(V451&gt;=20,V451&lt;40,W451&gt;=45,W451&lt;95),0.23,0)+IF(AND(V451&gt;=20,V451&lt;40,W451&gt;=95,W451&lt;=250),0.17,0)+IF(AND(V451&gt;=20,V451&lt;40,W451&gt;=250),0.12,0)+IF(AND(V451&gt;=40,V451&lt;75,W451&lt;35),0.3,0)+IF(AND(V451&gt;=40,V451&lt;75,W451&gt;=35,W451&lt;75),0.23,0)+IF(AND(V451&gt;=40,V451&lt;75,W451&gt;=75,W451&lt;120),0.17,0)+IF(AND(V451&gt;=40,V451&lt;75,W451&gt;=120),0.12,0)+IF(AND(V451&gt;=75,V451&lt;175,W451&lt;35),0.3,0)+IF(AND(V451&gt;=75,V451&lt;=175,W451&gt;=35,W451&lt;65),0.23,0)+IF(AND(V451&gt;=75,V451&lt;=175,W451&gt;=65,W451&lt;110),0.17,0)+IF(AND(V451&gt;=75,V451&lt;=175,W451&gt;=110),0.12,0)+IF(AND(V451&gt;175,W451&lt;25),0.3,0)+IF(AND(V451&gt;175,W451&gt;=25,W451&lt;55),0.23,0)+IF(AND(V451&gt;175,W451&gt;=55,W451&lt;95),0.17,0)+IF(AND(V451&gt;175,W451&gt;=95),0.12,0),
IF(AF451="DoEVni",IF(AND(V451&lt;20,W451&lt;55),0.3,0)+IF(AND(V451&lt;20,W451&gt;=55,W451&lt;105),0.23,0)+IF(AND(V451&lt;20,W451&gt;=105),0.17,0)+IF(AND(V451&gt;=20,V451&lt;40,W451&lt;45),0.3,0)+IF(AND(V451&gt;=20,V451&lt;40,W451&gt;=45,W451&lt;95),0.23,0)+IF(AND(V451&gt;=20,V451&lt;40,W451&gt;=95,W451&lt;=200),0.17,0)+IF(AND(V451&gt;=20,V451&lt;40,W451&gt;=200),0.12,0)+IF(AND(V451&gt;=40,V451&lt;75,W451&lt;35),0.3,0)+IF(AND(V451&gt;=40,V451&lt;75,W451&gt;=35,W451&lt;75),0.23,0)+IF(AND(V451&gt;=40,V451&lt;75,W451&gt;=75,W451&lt;120),0.17,0)+IF(AND(V451&gt;=40,V451&lt;75,W451&gt;=120),0.12,0)+IF(AND(V451&gt;=75,V451&lt;175,W451&lt;35),0.3,0)+IF(AND(V451&gt;=75,V451&lt;=175,W451&gt;=35,W451&lt;65),0.23,0)+IF(AND(V451&gt;=75,V451&lt;=175,W451&gt;=65,W451&lt;110),0.17,0)+IF(AND(V451&gt;=75,V451&lt;=175,W451&gt;=110),0.12,0)+IF(AND(V451&gt;175,W451&lt;25),0.3,0)+IF(AND(V451&gt;175,W451&gt;=25,W451&lt;55),0.23,0)+IF(AND(V451&gt;175,W451&gt;=55,W451&lt;95),0.17,0)+IF(AND(V451&gt;175,W451&gt;=95),0.12,0),
IF(AF451="DoEVLo",IF(AND(V451&lt;20,W451&lt;55),0.25,0)+IF(AND(V451&lt;20,W451&gt;=55,W451&lt;105),0.2,0)+IF(AND(V451&lt;20,W451&gt;=105),0.15,0)+IF(AND(V451&gt;=20,V451&lt;40,W451&lt;45),0.25,0)+IF(AND(V451&gt;=20,V451&lt;40,W451&gt;=45,W451&lt;95),0.2,0)+IF(AND(V451&gt;=20,V451&lt;40,W451&gt;=95),0.15,0)+IF(AND(V451&gt;=40,V451&lt;75,W451&lt;35),0.25,0)+IF(AND(V451&gt;=40,V451&lt;75,W451&gt;=35,W451&lt;75),0.2,0)+IF(AND(V451&gt;=40,V451&lt;75,W451&gt;=75,W451&lt;120),0.15,0)+IF(AND(V451&gt;=40,V451&lt;75,W451&gt;=120),0.1,0)+IF(AND(V451&gt;=75,V451&lt;175,W451&lt;35),0.25,0)+IF(AND(V451&gt;=75,V451&lt;=175,W451&gt;=35,W451&lt;65),0.2,0)+IF(AND(V451&gt;=75,V451&lt;=175,W451&gt;=65,W451&lt;110),0.15,0)+IF(AND(V451&gt;=75,V451&lt;=175,W451&gt;=110),0.1,0)+IF(AND(V451&gt;175,W451&lt;25),0.25,0)+IF(AND(V451&gt;175,W451&gt;=25,W451&lt;55),0.2,0)+IF(AND(V451&gt;175,W451&gt;=55,W451&lt;95),0.15,0)+IF(AND(V451&gt;175,W451&gt;=95),0.1,0))))))))))))))))</f>
        <v>0.15</v>
      </c>
      <c r="Y451" s="30">
        <f>IF(AG451="None",0,IF(AG451="Fix5",0.05,IF(AG451="Fix3.75",0.0375,IF(AG451="Fix10",0.1,IF(AG451="Fix3",0.03,0)))))</f>
        <v>0.05</v>
      </c>
      <c r="Z451" s="35">
        <v>-580</v>
      </c>
      <c r="AA451" s="29">
        <v>-145</v>
      </c>
      <c r="AB451" s="36"/>
      <c r="AC451" s="37" t="b">
        <v>1</v>
      </c>
      <c r="AD451" s="61" t="s">
        <v>50</v>
      </c>
      <c r="AE451" s="61"/>
      <c r="AF451" s="37" t="str">
        <f t="array" ref="AF451">INDEX('Deal Info'!D:D, MATCH(A451,'Deal Info'!A:A, 0))</f>
        <v>Fix15</v>
      </c>
      <c r="AG451" s="38" t="str">
        <f t="array" ref="AG451">INDEX('Deal Info'!G:G, MATCH(A451,'Deal Info'!A:A, 0))</f>
        <v>Fix5</v>
      </c>
    </row>
    <row r="452" spans="1:33" ht="14.25" x14ac:dyDescent="0.2">
      <c r="A452" s="18" t="str">
        <f t="array" ref="A452">IF(G452='Room Info'!$B$1, INDEX('Room Info'!$A$2:$A2446, MATCH(B452,'Room Info'!$B$2:$B2446, 0)),IF(G452='Room Info'!$C$1, INDEX('Room Info'!$A$2:$A2446, MATCH(B452,'Room Info'!$C$2:$C2446, 0)),IF(G452='Room Info'!$D$1, INDEX('Room Info'!$A$2:$A2446, MATCH(B452,'Room Info'!$D$2:$D2446, 0)),IF(G452='Room Info'!$E$1, INDEX('Room Info'!$A$2:$A2446, MATCH(B452,'Room Info'!$E$2:$E2446, 0)),IF(G452='Room Info'!$F$1, INDEX('Room Info'!$A$2:$A2446, MATCH(B452,'Room Info'!$F$2:$F2446, 0)),IF(G452='Room Info'!$H$1, INDEX('Room Info'!$A$2:$A2446, MATCH(B452,'Room Info'!$H$2:$H2446, 0)),IF(G452='Room Info'!$G$1, INDEX('Room Info'!$A$2:$A2446, MATCH(B452,'Room Info'!$G$2:$G2446, 0)))))))))</f>
        <v>fortunate773</v>
      </c>
      <c r="B452" s="45" t="s">
        <v>66</v>
      </c>
      <c r="C452" s="46">
        <v>44774</v>
      </c>
      <c r="D452" s="46">
        <v>44804</v>
      </c>
      <c r="E452" s="47">
        <v>44774</v>
      </c>
      <c r="F452" s="48" t="s">
        <v>49</v>
      </c>
      <c r="G452" s="45" t="s">
        <v>61</v>
      </c>
      <c r="H452" s="49" t="s">
        <v>100</v>
      </c>
      <c r="I452" s="49" t="s">
        <v>101</v>
      </c>
      <c r="J452" s="70">
        <v>500</v>
      </c>
      <c r="K452" s="71">
        <v>272</v>
      </c>
      <c r="L452" s="52">
        <v>-36000</v>
      </c>
      <c r="M452" s="53">
        <v>8436</v>
      </c>
      <c r="N452" s="28">
        <f>K452*J452</f>
        <v>136000</v>
      </c>
      <c r="O452" s="54">
        <v>-12827</v>
      </c>
      <c r="P452" s="29">
        <v>-47.158088239999998</v>
      </c>
      <c r="Q452" s="55"/>
      <c r="R452" s="31">
        <f>M452+Q452</f>
        <v>8436</v>
      </c>
      <c r="S452" s="66">
        <v>-22416</v>
      </c>
      <c r="T452" s="32">
        <f>R452+S452+IF(F452="Without EV deal",L452,0)</f>
        <v>-13980</v>
      </c>
      <c r="U452" s="57">
        <v>1</v>
      </c>
      <c r="V452" s="58"/>
      <c r="W452" s="58"/>
      <c r="X452" s="78">
        <f>IF(AF452="DoEV",IF(AND(V452&lt;20,W452&lt;55),0.3,0)+IF(AND(V452&lt;20,W452&gt;=55,W452&lt;105),0.23,0)+IF(AND(V452&lt;20,W452&gt;=105),0.17,0)+IF(AND(V452&gt;=20,V452&lt;40,W452&lt;45),0.3,0)+IF(AND(V452&gt;=20,V452&lt;40,W452&gt;=45,W452&lt;95),0.23,0)+IF(AND(V452&gt;=20,V452&lt;40,W452&gt;=95),0.17,0)+IF(AND(V452&gt;=40,V452&lt;75,W452&lt;35),0.3,0)+IF(AND(V452&gt;=40,V452&lt;75,W452&gt;=35,W452&lt;75),0.23,0)+IF(AND(V452&gt;=40,V452&lt;75,W452&gt;=75,W452&lt;120),0.17,0)+IF(AND(V452&gt;=40,V452&lt;75,W452&gt;=120),0.12,0)+IF(AND(V452&gt;=75,V452&lt;175,W452&lt;35),0.3,0)+IF(AND(V452&gt;=75,V452&lt;=175,W452&gt;=35,W452&lt;65),0.23,0)+IF(AND(V452&gt;=75,V452&lt;=175,W452&gt;=65,W452&lt;110),0.17,0)+IF(AND(V452&gt;=75,V452&lt;=175,W452&gt;=110),0.12,0)+IF(AND(V452&gt;175,W452&lt;25),0.3,0)+IF(AND(V452&gt;175,W452&gt;=25,W452&lt;55),0.23,0)+IF(AND(V452&gt;175,W452&gt;=55,W452&lt;95),0.17,0)+IF(AND(V452&gt;175,W452&gt;=95),0.12,0),
IF(AF452="Fix15",0.15,
IF(AF452="Fix11.25",0.1125,
IF(AF452="Fix10",0.1,
IF(AF452="Fix9",0.09,
IF(AF452="DoEV2017",IF(AND(W452&lt;74),0.2,0)+IF(AND(W452&gt;=74),0.17,0),
IF(AF452="SF",IF(AND(V452&lt;20,W452&lt;89),0.3,0)+IF(AND(V452&lt;20,W452&gt;=89),0.25,0)+IF(AND(V452&gt;=20,V452&lt;40,W452&lt;74),0.3,0)+IF(AND(V452&gt;=20,V452&lt;40,W452&gt;=75),0.22,0)+IF(AND(V452&gt;=40,V452&lt;75,W452&lt;75),0.26,0)+IF(AND(V452&gt;=40,V452&lt;75,W452&gt;=75),0.22,0)+IF(V452&gt;=75,0.22,0),
IF(AF452="DoEVold",IF(AND(V452&lt;40,W452&lt;35),0.35,0)+IF(AND(V452&lt;40,W452&gt;=35,W452&lt;75),0.25,0)+IF(AND(V452&lt;40,W452&gt;=75),0.17,0)+IF(AND(V452&gt;=40,V452&lt;75,W452&lt;25),0.35,0)+IF(AND(V452&gt;=40,V452&lt;75,W452&gt;=25,W452&lt;65),0.25,0)+IF(AND(V452&gt;=40,V452&lt;75,W452&gt;=65,W452&lt;100),0.17,0)+IF(AND(V452&gt;=40,V452&lt;75,W452&gt;=100),0.1,0)+IF(AND(V452&gt;=75,W452&lt;25),0.35,0)+IF(AND(V452&gt;=75,W452&gt;=25,W452&lt;60),0.25,0)+IF(AND(V452&gt;=75,W452&gt;=60,W452&lt;95),0.17,0)+IF(AND(V452&gt;=75,W452&gt;=95),0.1,0),
IF(AF452="DoEVold15",IF(AND(V452&lt;=40,W452&lt;35),0.35,0)+IF(AND(V452&lt;=40,W452&gt;=35,W452&lt;75),0.25,0)+IF(AND(V452&lt;=40,W452&gt;=75,W452&lt;120),0.17,0)+IF(AND(V452&lt;=40,W452&gt;=120),0.15,0)+IF(AND(V452&gt;40,V452&lt;75,W452&lt;25),0.35,0)+IF(AND(V452&gt;=40,V452&lt;75,W452&gt;=25,W452&lt;65),0.25,0)+IF(AND(V452&gt;=40,V452&lt;75,W452&gt;=65,W452&lt;100),0.17,0)+IF(AND(V452&gt;=40,V452&lt;75,W452&gt;=100),0.1,0)+IF(AND(V452&gt;=75,W452&lt;25),0.35,0)+IF(AND(V452&gt;=75,W452&gt;=25,W452&lt;60),0.25,0)+IF(AND(V452&gt;=75,W452&gt;=60,W452&lt;95),0.17,0)+IF(AND(V452&gt;=75,W452&gt;=95),0.1,0),
IF(AF452="DoEVba",IF(AND(V452&lt;20,W452&lt;105),0.2,0)+IF(AND(V452&lt;20,W452&gt;=105),0.15,0)+IF(AND(V452&gt;=20,V452&lt;40,W452&lt;95),0.2,0)+IF(AND(V452&gt;=20,V452&lt;40,W452&gt;=95,W452&lt;150),0.15,0)+IF(AND(V452&gt;=20,V452&lt;40,W452&gt;=150),0.12,0)+IF(AND(V452&gt;=40,V452&lt;75,W452&lt;75),0.2,0)+IF(AND(V452&gt;=40,V452&lt;75,W452&gt;=75,W452&lt;120),0.15,0)+IF(AND(V452&gt;=40,V452&lt;75,W452&gt;=120),0.12,0)+IF(AND(V452&gt;=75,V452&lt;175,W452&lt;65),0.2,0)+IF(AND(V452&gt;=75,V452&lt;175,W452&gt;=65,W452&lt;110),0.15,0)+IF(AND(V452&gt;=75,V452&lt;175,W452&gt;=110),0.12,0)+IF(AND(V452&gt;=175,W452&lt;55),0.2,0)+IF(AND(V452&gt;=175,W452&gt;=55,W452&lt;95),0.15,0)+IF(AND(V452&gt;=175,W452&gt;=95),0.12,0),
IF(AF452="DoEVku",IF(AND(V452&lt;20,W452&lt;55),0.23,0)+IF(AND(V452&lt;20,W452&gt;=55,W452&lt;105),0.2,0)+IF(AND(V452&lt;20,W452&gt;=105),0.17,0)+IF(AND(V452&gt;=20,V452&lt;40,W452&lt;45),0.23,0)+IF(AND(V452&gt;=20,V452&lt;40,W452&gt;=45,W452&lt;95),0.2,0)+IF(AND(V452&gt;=20,V452&lt;40,W452&gt;=95,W452&lt;=150),0.17,0)+IF(AND(V452&gt;=20,V452&lt;40,W452&gt;=150),0.12,0)+IF(AND(V452&gt;=40,V452&lt;75,W452&lt;35),0.23,0)+IF(AND(V452&gt;=40,V452&lt;75,W452&gt;=35,W452&lt;75),0.2,0)+IF(AND(V452&gt;=40,V452&lt;75,W452&gt;=75,W452&lt;120),0.17,0)+IF(AND(V452&gt;=40,V452&lt;75,W452&gt;=120),0.12,0)+IF(AND(V452&gt;=75,V452&lt;175,W452&lt;35),0.23,0)+IF(AND(V452&gt;=75,V452&lt;=175,W452&gt;=35,W452&lt;65),0.2,0)+IF(AND(V452&gt;=75,V452&lt;=175,W452&gt;=65,W452&lt;110),0.17,0)+IF(AND(V452&gt;=75,V452&lt;=175,W452&gt;=110),0.12,0)+IF(AND(V452&gt;175,W452&lt;25),0.23,0)+IF(AND(V452&gt;175,W452&gt;=25,W452&lt;55),0.2,0)+IF(AND(V452&gt;175,W452&gt;=55,W452&lt;95),0.17,0)+IF(AND(V452&gt;175,W452&gt;=95),0.12,0),
IF(AF452="DoEVs1",IF(AND(V452&lt;20,W452&lt;55),0.3,0)+IF(AND(V452&lt;20,W452&gt;=55,W452&lt;105),0.23,0)+IF(AND(V452&lt;20,W452&gt;=105),0.17,0)+IF(AND(V452&gt;=20,V452&lt;40,W452&lt;45),0.3,0)+IF(AND(V452&gt;=20,V452&lt;40,W452&gt;=45,W452&lt;95),0.23,0)+IF(AND(V452&gt;=20,V452&lt;40,W452&gt;=95,W452&lt;=150),0.17,0)+IF(AND(V452&gt;=20,V452&lt;40,W452&gt;=150),0.12,0)+IF(AND(V452&gt;=40,V452&lt;75,W452&lt;35),0.3,0)+IF(AND(V452&gt;=40,V452&lt;75,W452&gt;=35,W452&lt;75),0.23,0)+IF(AND(V452&gt;=40,V452&lt;75,W452&gt;=75,W452&lt;120),0.17,0)+IF(AND(V452&gt;=40,V452&lt;75,W452&gt;=120),0.12,0)+IF(AND(V452&gt;=75,V452&lt;175,W452&lt;35),0.3,0)+IF(AND(V452&gt;=75,V452&lt;=175,W452&gt;=35,W452&lt;65),0.23,0)+IF(AND(V452&gt;=75,V452&lt;=175,W452&gt;=65,W452&lt;110),0.17,0)+IF(AND(V452&gt;=75,V452&lt;=175,W452&gt;=110),0.12,0)+IF(AND(V452&gt;175,W452&lt;25),0.3,0)+IF(AND(V452&gt;175,W452&gt;=25,W452&lt;55),0.23,0)+IF(AND(V452&gt;175,W452&gt;=55,W452&lt;95),0.17,0)+IF(AND(V452&gt;175,W452&gt;=95),0.12,0),
IF(AF452="DoEVsu",IF(AND(V452&lt;20,W452&lt;55),0.3,0)+IF(AND(V452&lt;20,W452&gt;=55,W452&lt;105),0.23,0)+IF(AND(V452&lt;20,W452&gt;=105),0.17,0)+IF(AND(V452&gt;=20,V452&lt;40,W452&lt;45),0.3,0)+IF(AND(V452&gt;=20,V452&lt;40,W452&gt;=45,W452&lt;95),0.23,0)+IF(AND(V452&gt;=20,V452&lt;40,W452&gt;=95,W452&lt;=250),0.17,0)+IF(AND(V452&gt;=20,V452&lt;40,W452&gt;=250),0.12,0)+IF(AND(V452&gt;=40,V452&lt;75,W452&lt;35),0.3,0)+IF(AND(V452&gt;=40,V452&lt;75,W452&gt;=35,W452&lt;75),0.23,0)+IF(AND(V452&gt;=40,V452&lt;75,W452&gt;=75,W452&lt;120),0.17,0)+IF(AND(V452&gt;=40,V452&lt;75,W452&gt;=120),0.12,0)+IF(AND(V452&gt;=75,V452&lt;175,W452&lt;35),0.3,0)+IF(AND(V452&gt;=75,V452&lt;=175,W452&gt;=35,W452&lt;65),0.23,0)+IF(AND(V452&gt;=75,V452&lt;=175,W452&gt;=65,W452&lt;110),0.17,0)+IF(AND(V452&gt;=75,V452&lt;=175,W452&gt;=110),0.12,0)+IF(AND(V452&gt;175,W452&lt;25),0.3,0)+IF(AND(V452&gt;175,W452&gt;=25,W452&lt;55),0.23,0)+IF(AND(V452&gt;175,W452&gt;=55,W452&lt;95),0.17,0)+IF(AND(V452&gt;175,W452&gt;=95),0.12,0),
IF(AF452="DoEVni",IF(AND(V452&lt;20,W452&lt;55),0.3,0)+IF(AND(V452&lt;20,W452&gt;=55,W452&lt;105),0.23,0)+IF(AND(V452&lt;20,W452&gt;=105),0.17,0)+IF(AND(V452&gt;=20,V452&lt;40,W452&lt;45),0.3,0)+IF(AND(V452&gt;=20,V452&lt;40,W452&gt;=45,W452&lt;95),0.23,0)+IF(AND(V452&gt;=20,V452&lt;40,W452&gt;=95,W452&lt;=200),0.17,0)+IF(AND(V452&gt;=20,V452&lt;40,W452&gt;=200),0.12,0)+IF(AND(V452&gt;=40,V452&lt;75,W452&lt;35),0.3,0)+IF(AND(V452&gt;=40,V452&lt;75,W452&gt;=35,W452&lt;75),0.23,0)+IF(AND(V452&gt;=40,V452&lt;75,W452&gt;=75,W452&lt;120),0.17,0)+IF(AND(V452&gt;=40,V452&lt;75,W452&gt;=120),0.12,0)+IF(AND(V452&gt;=75,V452&lt;175,W452&lt;35),0.3,0)+IF(AND(V452&gt;=75,V452&lt;=175,W452&gt;=35,W452&lt;65),0.23,0)+IF(AND(V452&gt;=75,V452&lt;=175,W452&gt;=65,W452&lt;110),0.17,0)+IF(AND(V452&gt;=75,V452&lt;=175,W452&gt;=110),0.12,0)+IF(AND(V452&gt;175,W452&lt;25),0.3,0)+IF(AND(V452&gt;175,W452&gt;=25,W452&lt;55),0.23,0)+IF(AND(V452&gt;175,W452&gt;=55,W452&lt;95),0.17,0)+IF(AND(V452&gt;175,W452&gt;=95),0.12,0),
IF(AF452="DoEVLo",IF(AND(V452&lt;20,W452&lt;55),0.25,0)+IF(AND(V452&lt;20,W452&gt;=55,W452&lt;105),0.2,0)+IF(AND(V452&lt;20,W452&gt;=105),0.15,0)+IF(AND(V452&gt;=20,V452&lt;40,W452&lt;45),0.25,0)+IF(AND(V452&gt;=20,V452&lt;40,W452&gt;=45,W452&lt;95),0.2,0)+IF(AND(V452&gt;=20,V452&lt;40,W452&gt;=95),0.15,0)+IF(AND(V452&gt;=40,V452&lt;75,W452&lt;35),0.25,0)+IF(AND(V452&gt;=40,V452&lt;75,W452&gt;=35,W452&lt;75),0.2,0)+IF(AND(V452&gt;=40,V452&lt;75,W452&gt;=75,W452&lt;120),0.15,0)+IF(AND(V452&gt;=40,V452&lt;75,W452&gt;=120),0.1,0)+IF(AND(V452&gt;=75,V452&lt;175,W452&lt;35),0.25,0)+IF(AND(V452&gt;=75,V452&lt;=175,W452&gt;=35,W452&lt;65),0.2,0)+IF(AND(V452&gt;=75,V452&lt;=175,W452&gt;=65,W452&lt;110),0.15,0)+IF(AND(V452&gt;=75,V452&lt;=175,W452&gt;=110),0.1,0)+IF(AND(V452&gt;175,W452&lt;25),0.25,0)+IF(AND(V452&gt;175,W452&gt;=25,W452&lt;55),0.2,0)+IF(AND(V452&gt;175,W452&gt;=55,W452&lt;95),0.15,0)+IF(AND(V452&gt;175,W452&gt;=95),0.1,0))))))))))))))))</f>
        <v>0.15</v>
      </c>
      <c r="Y452" s="30">
        <f>IF(AG452="None",0,IF(AG452="Fix5",0.05,IF(AG452="Fix3.75",0.0375,IF(AG452="Fix10",0.1,IF(AG452="Fix3",0.03,0)))))</f>
        <v>0.05</v>
      </c>
      <c r="Z452" s="35">
        <v>-11184</v>
      </c>
      <c r="AA452" s="29">
        <v>-2796</v>
      </c>
      <c r="AB452" s="36"/>
      <c r="AC452" s="37" t="b">
        <v>1</v>
      </c>
      <c r="AD452" s="61" t="s">
        <v>50</v>
      </c>
      <c r="AE452" s="61"/>
      <c r="AF452" s="37" t="str">
        <f t="array" ref="AF452">INDEX('Deal Info'!D:D, MATCH(A452,'Deal Info'!A:A, 0))</f>
        <v>Fix15</v>
      </c>
      <c r="AG452" s="38" t="str">
        <f t="array" ref="AG452">INDEX('Deal Info'!G:G, MATCH(A452,'Deal Info'!A:A, 0))</f>
        <v>Fix5</v>
      </c>
    </row>
    <row r="453" spans="1:33" ht="14.25" x14ac:dyDescent="0.2">
      <c r="A453" s="18" t="str">
        <f t="array" ref="A453">IF(G453='Room Info'!$B$1, INDEX('Room Info'!$A$2:$A2446, MATCH(B453,'Room Info'!$B$2:$B2446, 0)),IF(G453='Room Info'!$C$1, INDEX('Room Info'!$A$2:$A2446, MATCH(B453,'Room Info'!$C$2:$C2446, 0)),IF(G453='Room Info'!$D$1, INDEX('Room Info'!$A$2:$A2446, MATCH(B453,'Room Info'!$D$2:$D2446, 0)),IF(G453='Room Info'!$E$1, INDEX('Room Info'!$A$2:$A2446, MATCH(B453,'Room Info'!$E$2:$E2446, 0)),IF(G453='Room Info'!$F$1, INDEX('Room Info'!$A$2:$A2446, MATCH(B453,'Room Info'!$F$2:$F2446, 0)),IF(G453='Room Info'!$H$1, INDEX('Room Info'!$A$2:$A2446, MATCH(B453,'Room Info'!$H$2:$H2446, 0)),IF(G453='Room Info'!$G$1, INDEX('Room Info'!$A$2:$A2446, MATCH(B453,'Room Info'!$G$2:$G2446, 0)))))))))</f>
        <v>Lo4io</v>
      </c>
      <c r="B453" s="45" t="s">
        <v>107</v>
      </c>
      <c r="C453" s="283">
        <v>44763</v>
      </c>
      <c r="D453" s="283">
        <v>44793</v>
      </c>
      <c r="E453" s="47">
        <v>44774</v>
      </c>
      <c r="F453" s="48" t="s">
        <v>34</v>
      </c>
      <c r="G453" s="45" t="s">
        <v>61</v>
      </c>
      <c r="H453" s="49" t="s">
        <v>109</v>
      </c>
      <c r="I453" s="49" t="s">
        <v>37</v>
      </c>
      <c r="J453" s="70">
        <v>50</v>
      </c>
      <c r="K453" s="71">
        <v>66</v>
      </c>
      <c r="L453" s="72">
        <v>-450</v>
      </c>
      <c r="M453" s="93">
        <v>1431</v>
      </c>
      <c r="N453" s="28">
        <f>K453*J453</f>
        <v>3300</v>
      </c>
      <c r="O453" s="45">
        <v>1830</v>
      </c>
      <c r="P453" s="29">
        <v>27.727272729999999</v>
      </c>
      <c r="Q453" s="55"/>
      <c r="R453" s="31">
        <f>M453+Q453</f>
        <v>1431</v>
      </c>
      <c r="S453" s="73">
        <v>-114</v>
      </c>
      <c r="T453" s="32">
        <f>R453+S453+IF(F453="Without EV deal",L453,0)</f>
        <v>1317</v>
      </c>
      <c r="U453" s="57">
        <v>1.004</v>
      </c>
      <c r="V453" s="58">
        <v>72.441895562933894</v>
      </c>
      <c r="W453" s="58">
        <v>7.6889208333333334</v>
      </c>
      <c r="X453" s="30">
        <f>IF(AF453="DoEV",IF(AND(V453&lt;20,W453&lt;55),0.3,0)+IF(AND(V453&lt;20,W453&gt;=55,W453&lt;105),0.23,0)+IF(AND(V453&lt;20,W453&gt;=105),0.17,0)+IF(AND(V453&gt;=20,V453&lt;40,W453&lt;45),0.3,0)+IF(AND(V453&gt;=20,V453&lt;40,W453&gt;=45,W453&lt;95),0.23,0)+IF(AND(V453&gt;=20,V453&lt;40,W453&gt;=95),0.17,0)+IF(AND(V453&gt;=40,V453&lt;75,W453&lt;35),0.3,0)+IF(AND(V453&gt;=40,V453&lt;75,W453&gt;=35,W453&lt;75),0.23,0)+IF(AND(V453&gt;=40,V453&lt;75,W453&gt;=75,W453&lt;120),0.17,0)+IF(AND(V453&gt;=40,V453&lt;75,W453&gt;=120),0.12,0)+IF(AND(V453&gt;=75,V453&lt;175,W453&lt;35),0.3,0)+IF(AND(V453&gt;=75,V453&lt;=175,W453&gt;=35,W453&lt;65),0.23,0)+IF(AND(V453&gt;=75,V453&lt;=175,W453&gt;=65,W453&lt;110),0.17,0)+IF(AND(V453&gt;=75,V453&lt;=175,W453&gt;=110),0.12,0)+IF(AND(V453&gt;175,W453&lt;25),0.3,0)+IF(AND(V453&gt;175,W453&gt;=25,W453&lt;55),0.23,0)+IF(AND(V453&gt;175,W453&gt;=55,W453&lt;95),0.17,0)+IF(AND(V453&gt;175,W453&gt;=95),0.12,0),
IF(AF453="Fix15",0.15,
IF(AF453="Fix11.25",0.1125,
IF(AF453="Fix10",0.1,
IF(AF453="Fix9",0.09,
IF(AF453="DoEV2017",IF(AND(W453&lt;74),0.2,0)+IF(AND(W453&gt;=74),0.17,0),
IF(AF453="SF",IF(AND(V453&lt;20,W453&lt;89),0.3,0)+IF(AND(V453&lt;20,W453&gt;=89),0.25,0)+IF(AND(V453&gt;=20,V453&lt;40,W453&lt;74),0.3,0)+IF(AND(V453&gt;=20,V453&lt;40,W453&gt;=75),0.22,0)+IF(AND(V453&gt;=40,V453&lt;75,W453&lt;75),0.26,0)+IF(AND(V453&gt;=40,V453&lt;75,W453&gt;=75),0.22,0)+IF(V453&gt;=75,0.22,0),
IF(AF453="DoEVold",IF(AND(V453&lt;40,W453&lt;35),0.35,0)+IF(AND(V453&lt;40,W453&gt;=35,W453&lt;75),0.25,0)+IF(AND(V453&lt;40,W453&gt;=75),0.17,0)+IF(AND(V453&gt;=40,V453&lt;75,W453&lt;25),0.35,0)+IF(AND(V453&gt;=40,V453&lt;75,W453&gt;=25,W453&lt;65),0.25,0)+IF(AND(V453&gt;=40,V453&lt;75,W453&gt;=65,W453&lt;100),0.17,0)+IF(AND(V453&gt;=40,V453&lt;75,W453&gt;=100),0.1,0)+IF(AND(V453&gt;=75,W453&lt;25),0.35,0)+IF(AND(V453&gt;=75,W453&gt;=25,W453&lt;60),0.25,0)+IF(AND(V453&gt;=75,W453&gt;=60,W453&lt;95),0.17,0)+IF(AND(V453&gt;=75,W453&gt;=95),0.1,0),
IF(AF453="DoEVold15",IF(AND(V453&lt;=40,W453&lt;35),0.35,0)+IF(AND(V453&lt;=40,W453&gt;=35,W453&lt;75),0.25,0)+IF(AND(V453&lt;=40,W453&gt;=75,W453&lt;120),0.17,0)+IF(AND(V453&lt;=40,W453&gt;=120),0.15,0)+IF(AND(V453&gt;40,V453&lt;75,W453&lt;25),0.35,0)+IF(AND(V453&gt;=40,V453&lt;75,W453&gt;=25,W453&lt;65),0.25,0)+IF(AND(V453&gt;=40,V453&lt;75,W453&gt;=65,W453&lt;100),0.17,0)+IF(AND(V453&gt;=40,V453&lt;75,W453&gt;=100),0.1,0)+IF(AND(V453&gt;=75,W453&lt;25),0.35,0)+IF(AND(V453&gt;=75,W453&gt;=25,W453&lt;60),0.25,0)+IF(AND(V453&gt;=75,W453&gt;=60,W453&lt;95),0.17,0)+IF(AND(V453&gt;=75,W453&gt;=95),0.1,0),
IF(AF453="DoEVba",IF(AND(V453&lt;20,W453&lt;105),0.2,0)+IF(AND(V453&lt;20,W453&gt;=105),0.15,0)+IF(AND(V453&gt;=20,V453&lt;40,W453&lt;95),0.2,0)+IF(AND(V453&gt;=20,V453&lt;40,W453&gt;=95,W453&lt;150),0.15,0)+IF(AND(V453&gt;=20,V453&lt;40,W453&gt;=150),0.12,0)+IF(AND(V453&gt;=40,V453&lt;75,W453&lt;75),0.2,0)+IF(AND(V453&gt;=40,V453&lt;75,W453&gt;=75,W453&lt;120),0.15,0)+IF(AND(V453&gt;=40,V453&lt;75,W453&gt;=120),0.12,0)+IF(AND(V453&gt;=75,V453&lt;175,W453&lt;65),0.2,0)+IF(AND(V453&gt;=75,V453&lt;175,W453&gt;=65,W453&lt;110),0.15,0)+IF(AND(V453&gt;=75,V453&lt;175,W453&gt;=110),0.12,0)+IF(AND(V453&gt;=175,W453&lt;55),0.2,0)+IF(AND(V453&gt;=175,W453&gt;=55,W453&lt;95),0.15,0)+IF(AND(V453&gt;=175,W453&gt;=95),0.12,0),
IF(AF453="DoEVku",IF(AND(V453&lt;20,W453&lt;55),0.23,0)+IF(AND(V453&lt;20,W453&gt;=55,W453&lt;105),0.2,0)+IF(AND(V453&lt;20,W453&gt;=105),0.17,0)+IF(AND(V453&gt;=20,V453&lt;40,W453&lt;45),0.23,0)+IF(AND(V453&gt;=20,V453&lt;40,W453&gt;=45,W453&lt;95),0.2,0)+IF(AND(V453&gt;=20,V453&lt;40,W453&gt;=95,W453&lt;=150),0.17,0)+IF(AND(V453&gt;=20,V453&lt;40,W453&gt;=150),0.12,0)+IF(AND(V453&gt;=40,V453&lt;75,W453&lt;35),0.23,0)+IF(AND(V453&gt;=40,V453&lt;75,W453&gt;=35,W453&lt;75),0.2,0)+IF(AND(V453&gt;=40,V453&lt;75,W453&gt;=75,W453&lt;120),0.17,0)+IF(AND(V453&gt;=40,V453&lt;75,W453&gt;=120),0.12,0)+IF(AND(V453&gt;=75,V453&lt;175,W453&lt;35),0.23,0)+IF(AND(V453&gt;=75,V453&lt;=175,W453&gt;=35,W453&lt;65),0.2,0)+IF(AND(V453&gt;=75,V453&lt;=175,W453&gt;=65,W453&lt;110),0.17,0)+IF(AND(V453&gt;=75,V453&lt;=175,W453&gt;=110),0.12,0)+IF(AND(V453&gt;175,W453&lt;25),0.23,0)+IF(AND(V453&gt;175,W453&gt;=25,W453&lt;55),0.2,0)+IF(AND(V453&gt;175,W453&gt;=55,W453&lt;95),0.17,0)+IF(AND(V453&gt;175,W453&gt;=95),0.12,0),
IF(AF453="DoEVs1",IF(AND(V453&lt;20,W453&lt;55),0.3,0)+IF(AND(V453&lt;20,W453&gt;=55,W453&lt;105),0.23,0)+IF(AND(V453&lt;20,W453&gt;=105),0.17,0)+IF(AND(V453&gt;=20,V453&lt;40,W453&lt;45),0.3,0)+IF(AND(V453&gt;=20,V453&lt;40,W453&gt;=45,W453&lt;95),0.23,0)+IF(AND(V453&gt;=20,V453&lt;40,W453&gt;=95,W453&lt;=150),0.17,0)+IF(AND(V453&gt;=20,V453&lt;40,W453&gt;=150),0.12,0)+IF(AND(V453&gt;=40,V453&lt;75,W453&lt;35),0.3,0)+IF(AND(V453&gt;=40,V453&lt;75,W453&gt;=35,W453&lt;75),0.23,0)+IF(AND(V453&gt;=40,V453&lt;75,W453&gt;=75,W453&lt;120),0.17,0)+IF(AND(V453&gt;=40,V453&lt;75,W453&gt;=120),0.12,0)+IF(AND(V453&gt;=75,V453&lt;175,W453&lt;35),0.3,0)+IF(AND(V453&gt;=75,V453&lt;=175,W453&gt;=35,W453&lt;65),0.23,0)+IF(AND(V453&gt;=75,V453&lt;=175,W453&gt;=65,W453&lt;110),0.17,0)+IF(AND(V453&gt;=75,V453&lt;=175,W453&gt;=110),0.12,0)+IF(AND(V453&gt;175,W453&lt;25),0.3,0)+IF(AND(V453&gt;175,W453&gt;=25,W453&lt;55),0.23,0)+IF(AND(V453&gt;175,W453&gt;=55,W453&lt;95),0.17,0)+IF(AND(V453&gt;175,W453&gt;=95),0.12,0),
IF(AF453="DoEVsu",IF(AND(V453&lt;20,W453&lt;55),0.3,0)+IF(AND(V453&lt;20,W453&gt;=55,W453&lt;105),0.23,0)+IF(AND(V453&lt;20,W453&gt;=105),0.17,0)+IF(AND(V453&gt;=20,V453&lt;40,W453&lt;45),0.3,0)+IF(AND(V453&gt;=20,V453&lt;40,W453&gt;=45,W453&lt;95),0.23,0)+IF(AND(V453&gt;=20,V453&lt;40,W453&gt;=95,W453&lt;=250),0.17,0)+IF(AND(V453&gt;=20,V453&lt;40,W453&gt;=250),0.12,0)+IF(AND(V453&gt;=40,V453&lt;75,W453&lt;35),0.3,0)+IF(AND(V453&gt;=40,V453&lt;75,W453&gt;=35,W453&lt;75),0.23,0)+IF(AND(V453&gt;=40,V453&lt;75,W453&gt;=75,W453&lt;120),0.17,0)+IF(AND(V453&gt;=40,V453&lt;75,W453&gt;=120),0.12,0)+IF(AND(V453&gt;=75,V453&lt;175,W453&lt;35),0.3,0)+IF(AND(V453&gt;=75,V453&lt;=175,W453&gt;=35,W453&lt;65),0.23,0)+IF(AND(V453&gt;=75,V453&lt;=175,W453&gt;=65,W453&lt;110),0.17,0)+IF(AND(V453&gt;=75,V453&lt;=175,W453&gt;=110),0.12,0)+IF(AND(V453&gt;175,W453&lt;25),0.3,0)+IF(AND(V453&gt;175,W453&gt;=25,W453&lt;55),0.23,0)+IF(AND(V453&gt;175,W453&gt;=55,W453&lt;95),0.17,0)+IF(AND(V453&gt;175,W453&gt;=95),0.12,0),
IF(AF453="DoEVni",IF(AND(V453&lt;20,W453&lt;55),0.3,0)+IF(AND(V453&lt;20,W453&gt;=55,W453&lt;105),0.23,0)+IF(AND(V453&lt;20,W453&gt;=105),0.17,0)+IF(AND(V453&gt;=20,V453&lt;40,W453&lt;45),0.3,0)+IF(AND(V453&gt;=20,V453&lt;40,W453&gt;=45,W453&lt;95),0.23,0)+IF(AND(V453&gt;=20,V453&lt;40,W453&gt;=95,W453&lt;=200),0.17,0)+IF(AND(V453&gt;=20,V453&lt;40,W453&gt;=200),0.12,0)+IF(AND(V453&gt;=40,V453&lt;75,W453&lt;35),0.3,0)+IF(AND(V453&gt;=40,V453&lt;75,W453&gt;=35,W453&lt;75),0.23,0)+IF(AND(V453&gt;=40,V453&lt;75,W453&gt;=75,W453&lt;120),0.17,0)+IF(AND(V453&gt;=40,V453&lt;75,W453&gt;=120),0.12,0)+IF(AND(V453&gt;=75,V453&lt;175,W453&lt;35),0.3,0)+IF(AND(V453&gt;=75,V453&lt;=175,W453&gt;=35,W453&lt;65),0.23,0)+IF(AND(V453&gt;=75,V453&lt;=175,W453&gt;=65,W453&lt;110),0.17,0)+IF(AND(V453&gt;=75,V453&lt;=175,W453&gt;=110),0.12,0)+IF(AND(V453&gt;175,W453&lt;25),0.3,0)+IF(AND(V453&gt;175,W453&gt;=25,W453&lt;55),0.23,0)+IF(AND(V453&gt;175,W453&gt;=55,W453&lt;95),0.17,0)+IF(AND(V453&gt;175,W453&gt;=95),0.12,0),
IF(AF453="DoEVLo",IF(AND(V453&lt;20,W453&lt;55),0.25,0)+IF(AND(V453&lt;20,W453&gt;=55,W453&lt;105),0.2,0)+IF(AND(V453&lt;20,W453&gt;=105),0.15,0)+IF(AND(V453&gt;=20,V453&lt;40,W453&lt;45),0.25,0)+IF(AND(V453&gt;=20,V453&lt;40,W453&gt;=45,W453&lt;95),0.2,0)+IF(AND(V453&gt;=20,V453&lt;40,W453&gt;=95),0.15,0)+IF(AND(V453&gt;=40,V453&lt;75,W453&lt;35),0.25,0)+IF(AND(V453&gt;=40,V453&lt;75,W453&gt;=35,W453&lt;75),0.2,0)+IF(AND(V453&gt;=40,V453&lt;75,W453&gt;=75,W453&lt;120),0.15,0)+IF(AND(V453&gt;=40,V453&lt;75,W453&gt;=120),0.1,0)+IF(AND(V453&gt;=75,V453&lt;175,W453&lt;35),0.25,0)+IF(AND(V453&gt;=75,V453&lt;=175,W453&gt;=35,W453&lt;65),0.2,0)+IF(AND(V453&gt;=75,V453&lt;=175,W453&gt;=65,W453&lt;110),0.15,0)+IF(AND(V453&gt;=75,V453&lt;=175,W453&gt;=110),0.1,0)+IF(AND(V453&gt;175,W453&lt;25),0.25,0)+IF(AND(V453&gt;175,W453&gt;=25,W453&lt;55),0.2,0)+IF(AND(V453&gt;175,W453&gt;=55,W453&lt;95),0.15,0)+IF(AND(V453&gt;175,W453&gt;=95),0.1,0))))))))))))))))</f>
        <v>0.25</v>
      </c>
      <c r="Y453" s="30">
        <f>IF(AG453="None",0,IF(AG453="Fix5",0.05,IF(AG453="Fix3.75",0.0375,IF(AG453="Fix10",0.1,IF(AG453="Fix3",0.03,0)))))</f>
        <v>0</v>
      </c>
      <c r="Z453" s="59">
        <f>T453-AA453-AB453</f>
        <v>987.86400000000003</v>
      </c>
      <c r="AA453" s="60">
        <f>IF(AD453="EUR",((T453-R453)*X453)*U453+(R453*X453),(T453*X453))</f>
        <v>329.13600000000002</v>
      </c>
      <c r="AB453" s="36">
        <f>IF(AD453="EUR",((T453-R453)*Y453)*U453+(R453*Y453),(T453*Y453))</f>
        <v>0</v>
      </c>
      <c r="AC453" s="37" t="b">
        <v>1</v>
      </c>
      <c r="AD453" s="37" t="s">
        <v>50</v>
      </c>
      <c r="AE453" s="37"/>
      <c r="AF453" s="37" t="str">
        <f t="array" ref="AF453">INDEX('Deal Info'!D:D, MATCH(A453,'Deal Info'!A:A, 0))</f>
        <v>DoEVLo</v>
      </c>
      <c r="AG453" s="38" t="str">
        <f t="array" ref="AG453">INDEX('Deal Info'!G:G, MATCH(A453,'Deal Info'!A:A, 0))</f>
        <v>None</v>
      </c>
    </row>
    <row r="454" spans="1:33" ht="14.25" x14ac:dyDescent="0.2">
      <c r="A454" s="18" t="str">
        <f t="array" ref="A454">IF(G454='Room Info'!$B$1, INDEX('Room Info'!$A$2:$A2446, MATCH(B454,'Room Info'!$B$2:$B2446, 0)),IF(G454='Room Info'!$C$1, INDEX('Room Info'!$A$2:$A2446, MATCH(B454,'Room Info'!$C$2:$C2446, 0)),IF(G454='Room Info'!$D$1, INDEX('Room Info'!$A$2:$A2446, MATCH(B454,'Room Info'!$D$2:$D2446, 0)),IF(G454='Room Info'!$E$1, INDEX('Room Info'!$A$2:$A2446, MATCH(B454,'Room Info'!$E$2:$E2446, 0)),IF(G454='Room Info'!$F$1, INDEX('Room Info'!$A$2:$A2446, MATCH(B454,'Room Info'!$F$2:$F2446, 0)),IF(G454='Room Info'!$H$1, INDEX('Room Info'!$A$2:$A2446, MATCH(B454,'Room Info'!$H$2:$H2446, 0)),IF(G454='Room Info'!$G$1, INDEX('Room Info'!$A$2:$A2446, MATCH(B454,'Room Info'!$G$2:$G2446, 0)))))))))</f>
        <v>Lo4io</v>
      </c>
      <c r="B454" s="45" t="s">
        <v>107</v>
      </c>
      <c r="C454" s="283">
        <v>44763</v>
      </c>
      <c r="D454" s="283">
        <v>44793</v>
      </c>
      <c r="E454" s="47">
        <v>44774</v>
      </c>
      <c r="F454" s="133" t="s">
        <v>34</v>
      </c>
      <c r="G454" s="129" t="s">
        <v>61</v>
      </c>
      <c r="H454" s="49" t="s">
        <v>112</v>
      </c>
      <c r="I454" s="49" t="s">
        <v>37</v>
      </c>
      <c r="J454" s="70">
        <v>50</v>
      </c>
      <c r="K454" s="71">
        <v>509</v>
      </c>
      <c r="L454" s="135">
        <v>904</v>
      </c>
      <c r="M454" s="93">
        <v>316</v>
      </c>
      <c r="N454" s="28">
        <f>K454*J454</f>
        <v>25450</v>
      </c>
      <c r="O454" s="129">
        <v>22597</v>
      </c>
      <c r="P454" s="29">
        <v>44.394891940000001</v>
      </c>
      <c r="Q454" s="55"/>
      <c r="R454" s="31">
        <f>M454+Q454</f>
        <v>316</v>
      </c>
      <c r="S454" s="97">
        <v>-228</v>
      </c>
      <c r="T454" s="32">
        <f>R454+S454+IF(F454="Without EV deal",L454,0)</f>
        <v>88</v>
      </c>
      <c r="U454" s="57">
        <v>1.004</v>
      </c>
      <c r="V454" s="58">
        <v>72.441895562933894</v>
      </c>
      <c r="W454" s="58">
        <v>7.6889208333333334</v>
      </c>
      <c r="X454" s="30">
        <f>IF(AF454="DoEV",IF(AND(V454&lt;20,W454&lt;55),0.3,0)+IF(AND(V454&lt;20,W454&gt;=55,W454&lt;105),0.23,0)+IF(AND(V454&lt;20,W454&gt;=105),0.17,0)+IF(AND(V454&gt;=20,V454&lt;40,W454&lt;45),0.3,0)+IF(AND(V454&gt;=20,V454&lt;40,W454&gt;=45,W454&lt;95),0.23,0)+IF(AND(V454&gt;=20,V454&lt;40,W454&gt;=95),0.17,0)+IF(AND(V454&gt;=40,V454&lt;75,W454&lt;35),0.3,0)+IF(AND(V454&gt;=40,V454&lt;75,W454&gt;=35,W454&lt;75),0.23,0)+IF(AND(V454&gt;=40,V454&lt;75,W454&gt;=75,W454&lt;120),0.17,0)+IF(AND(V454&gt;=40,V454&lt;75,W454&gt;=120),0.12,0)+IF(AND(V454&gt;=75,V454&lt;175,W454&lt;35),0.3,0)+IF(AND(V454&gt;=75,V454&lt;=175,W454&gt;=35,W454&lt;65),0.23,0)+IF(AND(V454&gt;=75,V454&lt;=175,W454&gt;=65,W454&lt;110),0.17,0)+IF(AND(V454&gt;=75,V454&lt;=175,W454&gt;=110),0.12,0)+IF(AND(V454&gt;175,W454&lt;25),0.3,0)+IF(AND(V454&gt;175,W454&gt;=25,W454&lt;55),0.23,0)+IF(AND(V454&gt;175,W454&gt;=55,W454&lt;95),0.17,0)+IF(AND(V454&gt;175,W454&gt;=95),0.12,0),
IF(AF454="Fix15",0.15,
IF(AF454="Fix11.25",0.1125,
IF(AF454="Fix10",0.1,
IF(AF454="Fix9",0.09,
IF(AF454="DoEV2017",IF(AND(W454&lt;74),0.2,0)+IF(AND(W454&gt;=74),0.17,0),
IF(AF454="SF",IF(AND(V454&lt;20,W454&lt;89),0.3,0)+IF(AND(V454&lt;20,W454&gt;=89),0.25,0)+IF(AND(V454&gt;=20,V454&lt;40,W454&lt;74),0.3,0)+IF(AND(V454&gt;=20,V454&lt;40,W454&gt;=75),0.22,0)+IF(AND(V454&gt;=40,V454&lt;75,W454&lt;75),0.26,0)+IF(AND(V454&gt;=40,V454&lt;75,W454&gt;=75),0.22,0)+IF(V454&gt;=75,0.22,0),
IF(AF454="DoEVold",IF(AND(V454&lt;40,W454&lt;35),0.35,0)+IF(AND(V454&lt;40,W454&gt;=35,W454&lt;75),0.25,0)+IF(AND(V454&lt;40,W454&gt;=75),0.17,0)+IF(AND(V454&gt;=40,V454&lt;75,W454&lt;25),0.35,0)+IF(AND(V454&gt;=40,V454&lt;75,W454&gt;=25,W454&lt;65),0.25,0)+IF(AND(V454&gt;=40,V454&lt;75,W454&gt;=65,W454&lt;100),0.17,0)+IF(AND(V454&gt;=40,V454&lt;75,W454&gt;=100),0.1,0)+IF(AND(V454&gt;=75,W454&lt;25),0.35,0)+IF(AND(V454&gt;=75,W454&gt;=25,W454&lt;60),0.25,0)+IF(AND(V454&gt;=75,W454&gt;=60,W454&lt;95),0.17,0)+IF(AND(V454&gt;=75,W454&gt;=95),0.1,0),
IF(AF454="DoEVold15",IF(AND(V454&lt;=40,W454&lt;35),0.35,0)+IF(AND(V454&lt;=40,W454&gt;=35,W454&lt;75),0.25,0)+IF(AND(V454&lt;=40,W454&gt;=75,W454&lt;120),0.17,0)+IF(AND(V454&lt;=40,W454&gt;=120),0.15,0)+IF(AND(V454&gt;40,V454&lt;75,W454&lt;25),0.35,0)+IF(AND(V454&gt;=40,V454&lt;75,W454&gt;=25,W454&lt;65),0.25,0)+IF(AND(V454&gt;=40,V454&lt;75,W454&gt;=65,W454&lt;100),0.17,0)+IF(AND(V454&gt;=40,V454&lt;75,W454&gt;=100),0.1,0)+IF(AND(V454&gt;=75,W454&lt;25),0.35,0)+IF(AND(V454&gt;=75,W454&gt;=25,W454&lt;60),0.25,0)+IF(AND(V454&gt;=75,W454&gt;=60,W454&lt;95),0.17,0)+IF(AND(V454&gt;=75,W454&gt;=95),0.1,0),
IF(AF454="DoEVba",IF(AND(V454&lt;20,W454&lt;105),0.2,0)+IF(AND(V454&lt;20,W454&gt;=105),0.15,0)+IF(AND(V454&gt;=20,V454&lt;40,W454&lt;95),0.2,0)+IF(AND(V454&gt;=20,V454&lt;40,W454&gt;=95,W454&lt;150),0.15,0)+IF(AND(V454&gt;=20,V454&lt;40,W454&gt;=150),0.12,0)+IF(AND(V454&gt;=40,V454&lt;75,W454&lt;75),0.2,0)+IF(AND(V454&gt;=40,V454&lt;75,W454&gt;=75,W454&lt;120),0.15,0)+IF(AND(V454&gt;=40,V454&lt;75,W454&gt;=120),0.12,0)+IF(AND(V454&gt;=75,V454&lt;175,W454&lt;65),0.2,0)+IF(AND(V454&gt;=75,V454&lt;175,W454&gt;=65,W454&lt;110),0.15,0)+IF(AND(V454&gt;=75,V454&lt;175,W454&gt;=110),0.12,0)+IF(AND(V454&gt;=175,W454&lt;55),0.2,0)+IF(AND(V454&gt;=175,W454&gt;=55,W454&lt;95),0.15,0)+IF(AND(V454&gt;=175,W454&gt;=95),0.12,0),
IF(AF454="DoEVku",IF(AND(V454&lt;20,W454&lt;55),0.23,0)+IF(AND(V454&lt;20,W454&gt;=55,W454&lt;105),0.2,0)+IF(AND(V454&lt;20,W454&gt;=105),0.17,0)+IF(AND(V454&gt;=20,V454&lt;40,W454&lt;45),0.23,0)+IF(AND(V454&gt;=20,V454&lt;40,W454&gt;=45,W454&lt;95),0.2,0)+IF(AND(V454&gt;=20,V454&lt;40,W454&gt;=95,W454&lt;=150),0.17,0)+IF(AND(V454&gt;=20,V454&lt;40,W454&gt;=150),0.12,0)+IF(AND(V454&gt;=40,V454&lt;75,W454&lt;35),0.23,0)+IF(AND(V454&gt;=40,V454&lt;75,W454&gt;=35,W454&lt;75),0.2,0)+IF(AND(V454&gt;=40,V454&lt;75,W454&gt;=75,W454&lt;120),0.17,0)+IF(AND(V454&gt;=40,V454&lt;75,W454&gt;=120),0.12,0)+IF(AND(V454&gt;=75,V454&lt;175,W454&lt;35),0.23,0)+IF(AND(V454&gt;=75,V454&lt;=175,W454&gt;=35,W454&lt;65),0.2,0)+IF(AND(V454&gt;=75,V454&lt;=175,W454&gt;=65,W454&lt;110),0.17,0)+IF(AND(V454&gt;=75,V454&lt;=175,W454&gt;=110),0.12,0)+IF(AND(V454&gt;175,W454&lt;25),0.23,0)+IF(AND(V454&gt;175,W454&gt;=25,W454&lt;55),0.2,0)+IF(AND(V454&gt;175,W454&gt;=55,W454&lt;95),0.17,0)+IF(AND(V454&gt;175,W454&gt;=95),0.12,0),
IF(AF454="DoEVs1",IF(AND(V454&lt;20,W454&lt;55),0.3,0)+IF(AND(V454&lt;20,W454&gt;=55,W454&lt;105),0.23,0)+IF(AND(V454&lt;20,W454&gt;=105),0.17,0)+IF(AND(V454&gt;=20,V454&lt;40,W454&lt;45),0.3,0)+IF(AND(V454&gt;=20,V454&lt;40,W454&gt;=45,W454&lt;95),0.23,0)+IF(AND(V454&gt;=20,V454&lt;40,W454&gt;=95,W454&lt;=150),0.17,0)+IF(AND(V454&gt;=20,V454&lt;40,W454&gt;=150),0.12,0)+IF(AND(V454&gt;=40,V454&lt;75,W454&lt;35),0.3,0)+IF(AND(V454&gt;=40,V454&lt;75,W454&gt;=35,W454&lt;75),0.23,0)+IF(AND(V454&gt;=40,V454&lt;75,W454&gt;=75,W454&lt;120),0.17,0)+IF(AND(V454&gt;=40,V454&lt;75,W454&gt;=120),0.12,0)+IF(AND(V454&gt;=75,V454&lt;175,W454&lt;35),0.3,0)+IF(AND(V454&gt;=75,V454&lt;=175,W454&gt;=35,W454&lt;65),0.23,0)+IF(AND(V454&gt;=75,V454&lt;=175,W454&gt;=65,W454&lt;110),0.17,0)+IF(AND(V454&gt;=75,V454&lt;=175,W454&gt;=110),0.12,0)+IF(AND(V454&gt;175,W454&lt;25),0.3,0)+IF(AND(V454&gt;175,W454&gt;=25,W454&lt;55),0.23,0)+IF(AND(V454&gt;175,W454&gt;=55,W454&lt;95),0.17,0)+IF(AND(V454&gt;175,W454&gt;=95),0.12,0),
IF(AF454="DoEVsu",IF(AND(V454&lt;20,W454&lt;55),0.3,0)+IF(AND(V454&lt;20,W454&gt;=55,W454&lt;105),0.23,0)+IF(AND(V454&lt;20,W454&gt;=105),0.17,0)+IF(AND(V454&gt;=20,V454&lt;40,W454&lt;45),0.3,0)+IF(AND(V454&gt;=20,V454&lt;40,W454&gt;=45,W454&lt;95),0.23,0)+IF(AND(V454&gt;=20,V454&lt;40,W454&gt;=95,W454&lt;=250),0.17,0)+IF(AND(V454&gt;=20,V454&lt;40,W454&gt;=250),0.12,0)+IF(AND(V454&gt;=40,V454&lt;75,W454&lt;35),0.3,0)+IF(AND(V454&gt;=40,V454&lt;75,W454&gt;=35,W454&lt;75),0.23,0)+IF(AND(V454&gt;=40,V454&lt;75,W454&gt;=75,W454&lt;120),0.17,0)+IF(AND(V454&gt;=40,V454&lt;75,W454&gt;=120),0.12,0)+IF(AND(V454&gt;=75,V454&lt;175,W454&lt;35),0.3,0)+IF(AND(V454&gt;=75,V454&lt;=175,W454&gt;=35,W454&lt;65),0.23,0)+IF(AND(V454&gt;=75,V454&lt;=175,W454&gt;=65,W454&lt;110),0.17,0)+IF(AND(V454&gt;=75,V454&lt;=175,W454&gt;=110),0.12,0)+IF(AND(V454&gt;175,W454&lt;25),0.3,0)+IF(AND(V454&gt;175,W454&gt;=25,W454&lt;55),0.23,0)+IF(AND(V454&gt;175,W454&gt;=55,W454&lt;95),0.17,0)+IF(AND(V454&gt;175,W454&gt;=95),0.12,0),
IF(AF454="DoEVni",IF(AND(V454&lt;20,W454&lt;55),0.3,0)+IF(AND(V454&lt;20,W454&gt;=55,W454&lt;105),0.23,0)+IF(AND(V454&lt;20,W454&gt;=105),0.17,0)+IF(AND(V454&gt;=20,V454&lt;40,W454&lt;45),0.3,0)+IF(AND(V454&gt;=20,V454&lt;40,W454&gt;=45,W454&lt;95),0.23,0)+IF(AND(V454&gt;=20,V454&lt;40,W454&gt;=95,W454&lt;=200),0.17,0)+IF(AND(V454&gt;=20,V454&lt;40,W454&gt;=200),0.12,0)+IF(AND(V454&gt;=40,V454&lt;75,W454&lt;35),0.3,0)+IF(AND(V454&gt;=40,V454&lt;75,W454&gt;=35,W454&lt;75),0.23,0)+IF(AND(V454&gt;=40,V454&lt;75,W454&gt;=75,W454&lt;120),0.17,0)+IF(AND(V454&gt;=40,V454&lt;75,W454&gt;=120),0.12,0)+IF(AND(V454&gt;=75,V454&lt;175,W454&lt;35),0.3,0)+IF(AND(V454&gt;=75,V454&lt;=175,W454&gt;=35,W454&lt;65),0.23,0)+IF(AND(V454&gt;=75,V454&lt;=175,W454&gt;=65,W454&lt;110),0.17,0)+IF(AND(V454&gt;=75,V454&lt;=175,W454&gt;=110),0.12,0)+IF(AND(V454&gt;175,W454&lt;25),0.3,0)+IF(AND(V454&gt;175,W454&gt;=25,W454&lt;55),0.23,0)+IF(AND(V454&gt;175,W454&gt;=55,W454&lt;95),0.17,0)+IF(AND(V454&gt;175,W454&gt;=95),0.12,0),
IF(AF454="DoEVLo",IF(AND(V454&lt;20,W454&lt;55),0.25,0)+IF(AND(V454&lt;20,W454&gt;=55,W454&lt;105),0.2,0)+IF(AND(V454&lt;20,W454&gt;=105),0.15,0)+IF(AND(V454&gt;=20,V454&lt;40,W454&lt;45),0.25,0)+IF(AND(V454&gt;=20,V454&lt;40,W454&gt;=45,W454&lt;95),0.2,0)+IF(AND(V454&gt;=20,V454&lt;40,W454&gt;=95),0.15,0)+IF(AND(V454&gt;=40,V454&lt;75,W454&lt;35),0.25,0)+IF(AND(V454&gt;=40,V454&lt;75,W454&gt;=35,W454&lt;75),0.2,0)+IF(AND(V454&gt;=40,V454&lt;75,W454&gt;=75,W454&lt;120),0.15,0)+IF(AND(V454&gt;=40,V454&lt;75,W454&gt;=120),0.1,0)+IF(AND(V454&gt;=75,V454&lt;175,W454&lt;35),0.25,0)+IF(AND(V454&gt;=75,V454&lt;=175,W454&gt;=35,W454&lt;65),0.2,0)+IF(AND(V454&gt;=75,V454&lt;=175,W454&gt;=65,W454&lt;110),0.15,0)+IF(AND(V454&gt;=75,V454&lt;=175,W454&gt;=110),0.1,0)+IF(AND(V454&gt;175,W454&lt;25),0.25,0)+IF(AND(V454&gt;175,W454&gt;=25,W454&lt;55),0.2,0)+IF(AND(V454&gt;175,W454&gt;=55,W454&lt;95),0.15,0)+IF(AND(V454&gt;175,W454&gt;=95),0.1,0))))))))))))))))</f>
        <v>0.25</v>
      </c>
      <c r="Y454" s="30">
        <f>IF(AG454="None",0,IF(AG454="Fix5",0.05,IF(AG454="Fix3.75",0.0375,IF(AG454="Fix10",0.1,IF(AG454="Fix3",0.03,0)))))</f>
        <v>0</v>
      </c>
      <c r="Z454" s="59">
        <f>T454-AA454-AB454</f>
        <v>66.228000000000009</v>
      </c>
      <c r="AA454" s="60">
        <f>IF(AD454="EUR",((T454-R454)*X454)*U454+(R454*X454),(T454*X454))</f>
        <v>21.771999999999998</v>
      </c>
      <c r="AB454" s="36">
        <f>IF(AD454="EUR",((T454-R454)*Y454)*U454+(R454*Y454),(T454*Y454))</f>
        <v>0</v>
      </c>
      <c r="AC454" s="37" t="b">
        <v>1</v>
      </c>
      <c r="AD454" s="37" t="s">
        <v>50</v>
      </c>
      <c r="AE454" s="37"/>
      <c r="AF454" s="37" t="str">
        <f t="array" ref="AF454">INDEX('Deal Info'!D:D, MATCH(A454,'Deal Info'!A:A, 0))</f>
        <v>DoEVLo</v>
      </c>
      <c r="AG454" s="38" t="str">
        <f t="array" ref="AG454">INDEX('Deal Info'!G:G, MATCH(A454,'Deal Info'!A:A, 0))</f>
        <v>None</v>
      </c>
    </row>
    <row r="455" spans="1:33" ht="14.25" x14ac:dyDescent="0.2">
      <c r="A455" s="18" t="str">
        <f t="array" ref="A455">IF(G455='Room Info'!$B$1, INDEX('Room Info'!$A$2:$A2446, MATCH(B455,'Room Info'!$B$2:$B2446, 0)),IF(G455='Room Info'!$C$1, INDEX('Room Info'!$A$2:$A2446, MATCH(B455,'Room Info'!$C$2:$C2446, 0)),IF(G455='Room Info'!$D$1, INDEX('Room Info'!$A$2:$A2446, MATCH(B455,'Room Info'!$D$2:$D2446, 0)),IF(G455='Room Info'!$E$1, INDEX('Room Info'!$A$2:$A2446, MATCH(B455,'Room Info'!$E$2:$E2446, 0)),IF(G455='Room Info'!$F$1, INDEX('Room Info'!$A$2:$A2446, MATCH(B455,'Room Info'!$F$2:$F2446, 0)),IF(G455='Room Info'!$H$1, INDEX('Room Info'!$A$2:$A2446, MATCH(B455,'Room Info'!$H$2:$H2446, 0)),IF(G455='Room Info'!$G$1, INDEX('Room Info'!$A$2:$A2446, MATCH(B455,'Room Info'!$G$2:$G2446, 0)))))))))</f>
        <v>Freedoom</v>
      </c>
      <c r="B455" s="45" t="s">
        <v>110</v>
      </c>
      <c r="C455" s="46">
        <v>44774</v>
      </c>
      <c r="D455" s="46">
        <v>44804</v>
      </c>
      <c r="E455" s="47">
        <v>44774</v>
      </c>
      <c r="F455" s="48" t="s">
        <v>41</v>
      </c>
      <c r="G455" s="45" t="s">
        <v>61</v>
      </c>
      <c r="H455" s="49" t="s">
        <v>132</v>
      </c>
      <c r="I455" s="49" t="s">
        <v>37</v>
      </c>
      <c r="J455" s="70">
        <v>5</v>
      </c>
      <c r="K455" s="71">
        <v>701</v>
      </c>
      <c r="L455" s="72">
        <v>120</v>
      </c>
      <c r="M455" s="53">
        <v>139</v>
      </c>
      <c r="N455" s="28">
        <f>K455*J455</f>
        <v>3505</v>
      </c>
      <c r="O455" s="45">
        <v>51359</v>
      </c>
      <c r="P455" s="29">
        <v>73.265335239999999</v>
      </c>
      <c r="Q455" s="55"/>
      <c r="R455" s="31">
        <f>M455+Q455</f>
        <v>139</v>
      </c>
      <c r="S455" s="73">
        <v>149</v>
      </c>
      <c r="T455" s="32">
        <f>R455+S455+IF(F455="Without EV deal",L455,0)</f>
        <v>408</v>
      </c>
      <c r="U455" s="57">
        <v>1</v>
      </c>
      <c r="V455" s="58"/>
      <c r="W455" s="58"/>
      <c r="X455" s="30">
        <f>IF(AF455="DoEV",IF(AND(V455&lt;20,W455&lt;55),0.3,0)+IF(AND(V455&lt;20,W455&gt;=55,W455&lt;105),0.23,0)+IF(AND(V455&lt;20,W455&gt;=105),0.17,0)+IF(AND(V455&gt;=20,V455&lt;40,W455&lt;45),0.3,0)+IF(AND(V455&gt;=20,V455&lt;40,W455&gt;=45,W455&lt;95),0.23,0)+IF(AND(V455&gt;=20,V455&lt;40,W455&gt;=95),0.17,0)+IF(AND(V455&gt;=40,V455&lt;75,W455&lt;35),0.3,0)+IF(AND(V455&gt;=40,V455&lt;75,W455&gt;=35,W455&lt;75),0.23,0)+IF(AND(V455&gt;=40,V455&lt;75,W455&gt;=75,W455&lt;120),0.17,0)+IF(AND(V455&gt;=40,V455&lt;75,W455&gt;=120),0.12,0)+IF(AND(V455&gt;=75,V455&lt;175,W455&lt;35),0.3,0)+IF(AND(V455&gt;=75,V455&lt;=175,W455&gt;=35,W455&lt;65),0.23,0)+IF(AND(V455&gt;=75,V455&lt;=175,W455&gt;=65,W455&lt;110),0.17,0)+IF(AND(V455&gt;=75,V455&lt;=175,W455&gt;=110),0.12,0)+IF(AND(V455&gt;175,W455&lt;25),0.3,0)+IF(AND(V455&gt;175,W455&gt;=25,W455&lt;55),0.23,0)+IF(AND(V455&gt;175,W455&gt;=55,W455&lt;95),0.17,0)+IF(AND(V455&gt;175,W455&gt;=95),0.12,0),
IF(AF455="Fix15",0.15,
IF(AF455="Fix11.25",0.1125,
IF(AF455="Fix10",0.1,
IF(AF455="Fix9",0.09,
IF(AF455="DoEV2017",IF(AND(W455&lt;74),0.2,0)+IF(AND(W455&gt;=74),0.17,0),
IF(AF455="SF",IF(AND(V455&lt;20,W455&lt;89),0.3,0)+IF(AND(V455&lt;20,W455&gt;=89),0.25,0)+IF(AND(V455&gt;=20,V455&lt;40,W455&lt;74),0.3,0)+IF(AND(V455&gt;=20,V455&lt;40,W455&gt;=75),0.22,0)+IF(AND(V455&gt;=40,V455&lt;75,W455&lt;75),0.26,0)+IF(AND(V455&gt;=40,V455&lt;75,W455&gt;=75),0.22,0)+IF(V455&gt;=75,0.22,0),
IF(AF455="DoEVold",IF(AND(V455&lt;40,W455&lt;35),0.35,0)+IF(AND(V455&lt;40,W455&gt;=35,W455&lt;75),0.25,0)+IF(AND(V455&lt;40,W455&gt;=75),0.17,0)+IF(AND(V455&gt;=40,V455&lt;75,W455&lt;25),0.35,0)+IF(AND(V455&gt;=40,V455&lt;75,W455&gt;=25,W455&lt;65),0.25,0)+IF(AND(V455&gt;=40,V455&lt;75,W455&gt;=65,W455&lt;100),0.17,0)+IF(AND(V455&gt;=40,V455&lt;75,W455&gt;=100),0.1,0)+IF(AND(V455&gt;=75,W455&lt;25),0.35,0)+IF(AND(V455&gt;=75,W455&gt;=25,W455&lt;60),0.25,0)+IF(AND(V455&gt;=75,W455&gt;=60,W455&lt;95),0.17,0)+IF(AND(V455&gt;=75,W455&gt;=95),0.1,0),
IF(AF455="DoEVold15",IF(AND(V455&lt;=40,W455&lt;35),0.35,0)+IF(AND(V455&lt;=40,W455&gt;=35,W455&lt;75),0.25,0)+IF(AND(V455&lt;=40,W455&gt;=75,W455&lt;120),0.17,0)+IF(AND(V455&lt;=40,W455&gt;=120),0.15,0)+IF(AND(V455&gt;40,V455&lt;75,W455&lt;25),0.35,0)+IF(AND(V455&gt;=40,V455&lt;75,W455&gt;=25,W455&lt;65),0.25,0)+IF(AND(V455&gt;=40,V455&lt;75,W455&gt;=65,W455&lt;100),0.17,0)+IF(AND(V455&gt;=40,V455&lt;75,W455&gt;=100),0.1,0)+IF(AND(V455&gt;=75,W455&lt;25),0.35,0)+IF(AND(V455&gt;=75,W455&gt;=25,W455&lt;60),0.25,0)+IF(AND(V455&gt;=75,W455&gt;=60,W455&lt;95),0.17,0)+IF(AND(V455&gt;=75,W455&gt;=95),0.1,0),
IF(AF455="DoEVba",IF(AND(V455&lt;20,W455&lt;105),0.2,0)+IF(AND(V455&lt;20,W455&gt;=105),0.15,0)+IF(AND(V455&gt;=20,V455&lt;40,W455&lt;95),0.2,0)+IF(AND(V455&gt;=20,V455&lt;40,W455&gt;=95,W455&lt;150),0.15,0)+IF(AND(V455&gt;=20,V455&lt;40,W455&gt;=150),0.12,0)+IF(AND(V455&gt;=40,V455&lt;75,W455&lt;75),0.2,0)+IF(AND(V455&gt;=40,V455&lt;75,W455&gt;=75,W455&lt;120),0.15,0)+IF(AND(V455&gt;=40,V455&lt;75,W455&gt;=120),0.12,0)+IF(AND(V455&gt;=75,V455&lt;175,W455&lt;65),0.2,0)+IF(AND(V455&gt;=75,V455&lt;175,W455&gt;=65,W455&lt;110),0.15,0)+IF(AND(V455&gt;=75,V455&lt;175,W455&gt;=110),0.12,0)+IF(AND(V455&gt;=175,W455&lt;55),0.2,0)+IF(AND(V455&gt;=175,W455&gt;=55,W455&lt;95),0.15,0)+IF(AND(V455&gt;=175,W455&gt;=95),0.12,0),
IF(AF455="DoEVku",IF(AND(V455&lt;20,W455&lt;55),0.23,0)+IF(AND(V455&lt;20,W455&gt;=55,W455&lt;105),0.2,0)+IF(AND(V455&lt;20,W455&gt;=105),0.17,0)+IF(AND(V455&gt;=20,V455&lt;40,W455&lt;45),0.23,0)+IF(AND(V455&gt;=20,V455&lt;40,W455&gt;=45,W455&lt;95),0.2,0)+IF(AND(V455&gt;=20,V455&lt;40,W455&gt;=95,W455&lt;=150),0.17,0)+IF(AND(V455&gt;=20,V455&lt;40,W455&gt;=150),0.12,0)+IF(AND(V455&gt;=40,V455&lt;75,W455&lt;35),0.23,0)+IF(AND(V455&gt;=40,V455&lt;75,W455&gt;=35,W455&lt;75),0.2,0)+IF(AND(V455&gt;=40,V455&lt;75,W455&gt;=75,W455&lt;120),0.17,0)+IF(AND(V455&gt;=40,V455&lt;75,W455&gt;=120),0.12,0)+IF(AND(V455&gt;=75,V455&lt;175,W455&lt;35),0.23,0)+IF(AND(V455&gt;=75,V455&lt;=175,W455&gt;=35,W455&lt;65),0.2,0)+IF(AND(V455&gt;=75,V455&lt;=175,W455&gt;=65,W455&lt;110),0.17,0)+IF(AND(V455&gt;=75,V455&lt;=175,W455&gt;=110),0.12,0)+IF(AND(V455&gt;175,W455&lt;25),0.23,0)+IF(AND(V455&gt;175,W455&gt;=25,W455&lt;55),0.2,0)+IF(AND(V455&gt;175,W455&gt;=55,W455&lt;95),0.17,0)+IF(AND(V455&gt;175,W455&gt;=95),0.12,0),
IF(AF455="DoEVs1",IF(AND(V455&lt;20,W455&lt;55),0.3,0)+IF(AND(V455&lt;20,W455&gt;=55,W455&lt;105),0.23,0)+IF(AND(V455&lt;20,W455&gt;=105),0.17,0)+IF(AND(V455&gt;=20,V455&lt;40,W455&lt;45),0.3,0)+IF(AND(V455&gt;=20,V455&lt;40,W455&gt;=45,W455&lt;95),0.23,0)+IF(AND(V455&gt;=20,V455&lt;40,W455&gt;=95,W455&lt;=150),0.17,0)+IF(AND(V455&gt;=20,V455&lt;40,W455&gt;=150),0.12,0)+IF(AND(V455&gt;=40,V455&lt;75,W455&lt;35),0.3,0)+IF(AND(V455&gt;=40,V455&lt;75,W455&gt;=35,W455&lt;75),0.23,0)+IF(AND(V455&gt;=40,V455&lt;75,W455&gt;=75,W455&lt;120),0.17,0)+IF(AND(V455&gt;=40,V455&lt;75,W455&gt;=120),0.12,0)+IF(AND(V455&gt;=75,V455&lt;175,W455&lt;35),0.3,0)+IF(AND(V455&gt;=75,V455&lt;=175,W455&gt;=35,W455&lt;65),0.23,0)+IF(AND(V455&gt;=75,V455&lt;=175,W455&gt;=65,W455&lt;110),0.17,0)+IF(AND(V455&gt;=75,V455&lt;=175,W455&gt;=110),0.12,0)+IF(AND(V455&gt;175,W455&lt;25),0.3,0)+IF(AND(V455&gt;175,W455&gt;=25,W455&lt;55),0.23,0)+IF(AND(V455&gt;175,W455&gt;=55,W455&lt;95),0.17,0)+IF(AND(V455&gt;175,W455&gt;=95),0.12,0),
IF(AF455="DoEVsu",IF(AND(V455&lt;20,W455&lt;55),0.3,0)+IF(AND(V455&lt;20,W455&gt;=55,W455&lt;105),0.23,0)+IF(AND(V455&lt;20,W455&gt;=105),0.17,0)+IF(AND(V455&gt;=20,V455&lt;40,W455&lt;45),0.3,0)+IF(AND(V455&gt;=20,V455&lt;40,W455&gt;=45,W455&lt;95),0.23,0)+IF(AND(V455&gt;=20,V455&lt;40,W455&gt;=95,W455&lt;=250),0.17,0)+IF(AND(V455&gt;=20,V455&lt;40,W455&gt;=250),0.12,0)+IF(AND(V455&gt;=40,V455&lt;75,W455&lt;35),0.3,0)+IF(AND(V455&gt;=40,V455&lt;75,W455&gt;=35,W455&lt;75),0.23,0)+IF(AND(V455&gt;=40,V455&lt;75,W455&gt;=75,W455&lt;120),0.17,0)+IF(AND(V455&gt;=40,V455&lt;75,W455&gt;=120),0.12,0)+IF(AND(V455&gt;=75,V455&lt;175,W455&lt;35),0.3,0)+IF(AND(V455&gt;=75,V455&lt;=175,W455&gt;=35,W455&lt;65),0.23,0)+IF(AND(V455&gt;=75,V455&lt;=175,W455&gt;=65,W455&lt;110),0.17,0)+IF(AND(V455&gt;=75,V455&lt;=175,W455&gt;=110),0.12,0)+IF(AND(V455&gt;175,W455&lt;25),0.3,0)+IF(AND(V455&gt;175,W455&gt;=25,W455&lt;55),0.23,0)+IF(AND(V455&gt;175,W455&gt;=55,W455&lt;95),0.17,0)+IF(AND(V455&gt;175,W455&gt;=95),0.12,0),
IF(AF455="DoEVni",IF(AND(V455&lt;20,W455&lt;55),0.3,0)+IF(AND(V455&lt;20,W455&gt;=55,W455&lt;105),0.23,0)+IF(AND(V455&lt;20,W455&gt;=105),0.17,0)+IF(AND(V455&gt;=20,V455&lt;40,W455&lt;45),0.3,0)+IF(AND(V455&gt;=20,V455&lt;40,W455&gt;=45,W455&lt;95),0.23,0)+IF(AND(V455&gt;=20,V455&lt;40,W455&gt;=95,W455&lt;=200),0.17,0)+IF(AND(V455&gt;=20,V455&lt;40,W455&gt;=200),0.12,0)+IF(AND(V455&gt;=40,V455&lt;75,W455&lt;35),0.3,0)+IF(AND(V455&gt;=40,V455&lt;75,W455&gt;=35,W455&lt;75),0.23,0)+IF(AND(V455&gt;=40,V455&lt;75,W455&gt;=75,W455&lt;120),0.17,0)+IF(AND(V455&gt;=40,V455&lt;75,W455&gt;=120),0.12,0)+IF(AND(V455&gt;=75,V455&lt;175,W455&lt;35),0.3,0)+IF(AND(V455&gt;=75,V455&lt;=175,W455&gt;=35,W455&lt;65),0.23,0)+IF(AND(V455&gt;=75,V455&lt;=175,W455&gt;=65,W455&lt;110),0.17,0)+IF(AND(V455&gt;=75,V455&lt;=175,W455&gt;=110),0.12,0)+IF(AND(V455&gt;175,W455&lt;25),0.3,0)+IF(AND(V455&gt;175,W455&gt;=25,W455&lt;55),0.23,0)+IF(AND(V455&gt;175,W455&gt;=55,W455&lt;95),0.17,0)+IF(AND(V455&gt;175,W455&gt;=95),0.12,0),
IF(AF455="DoEVLo",IF(AND(V455&lt;20,W455&lt;55),0.25,0)+IF(AND(V455&lt;20,W455&gt;=55,W455&lt;105),0.2,0)+IF(AND(V455&lt;20,W455&gt;=105),0.15,0)+IF(AND(V455&gt;=20,V455&lt;40,W455&lt;45),0.25,0)+IF(AND(V455&gt;=20,V455&lt;40,W455&gt;=45,W455&lt;95),0.2,0)+IF(AND(V455&gt;=20,V455&lt;40,W455&gt;=95),0.15,0)+IF(AND(V455&gt;=40,V455&lt;75,W455&lt;35),0.25,0)+IF(AND(V455&gt;=40,V455&lt;75,W455&gt;=35,W455&lt;75),0.2,0)+IF(AND(V455&gt;=40,V455&lt;75,W455&gt;=75,W455&lt;120),0.15,0)+IF(AND(V455&gt;=40,V455&lt;75,W455&gt;=120),0.1,0)+IF(AND(V455&gt;=75,V455&lt;175,W455&lt;35),0.25,0)+IF(AND(V455&gt;=75,V455&lt;=175,W455&gt;=35,W455&lt;65),0.2,0)+IF(AND(V455&gt;=75,V455&lt;=175,W455&gt;=65,W455&lt;110),0.15,0)+IF(AND(V455&gt;=75,V455&lt;=175,W455&gt;=110),0.1,0)+IF(AND(V455&gt;175,W455&lt;25),0.25,0)+IF(AND(V455&gt;175,W455&gt;=25,W455&lt;55),0.2,0)+IF(AND(V455&gt;175,W455&gt;=55,W455&lt;95),0.15,0)+IF(AND(V455&gt;175,W455&gt;=95),0.1,0))))))))))))))))</f>
        <v>0.35</v>
      </c>
      <c r="Y455" s="30">
        <f>IF(AG455="None",0,IF(AG455="Fix5",0.05,IF(AG455="Fix3.75",0.0375,IF(AG455="Fix10",0.1,IF(AG455="Fix3",0.03,0)))))</f>
        <v>0</v>
      </c>
      <c r="Z455" s="35">
        <v>194</v>
      </c>
      <c r="AA455" s="29">
        <v>65</v>
      </c>
      <c r="AB455" s="36">
        <f>IF(AD455="EUR",((T455-R455)*Y455)*U455+(R455*Y455),(T455*Y455))</f>
        <v>0</v>
      </c>
      <c r="AC455" s="37" t="b">
        <v>1</v>
      </c>
      <c r="AD455" s="37" t="s">
        <v>38</v>
      </c>
      <c r="AE455" s="37" t="s">
        <v>38</v>
      </c>
      <c r="AF455" s="37" t="str">
        <f t="array" ref="AF455">INDEX('Deal Info'!D:D, MATCH(A455,'Deal Info'!A:A, 0))</f>
        <v>DoEVold</v>
      </c>
      <c r="AG455" s="38" t="str">
        <f t="array" ref="AG455">INDEX('Deal Info'!G:G, MATCH(A455,'Deal Info'!A:A, 0))</f>
        <v>None</v>
      </c>
    </row>
    <row r="456" spans="1:33" ht="14.25" x14ac:dyDescent="0.2">
      <c r="A456" s="18" t="str">
        <f t="array" ref="A456">IF(G456='Room Info'!$B$1, INDEX('Room Info'!$A$2:$A2446, MATCH(B456,'Room Info'!$B$2:$B2446, 0)),IF(G456='Room Info'!$C$1, INDEX('Room Info'!$A$2:$A2446, MATCH(B456,'Room Info'!$C$2:$C2446, 0)),IF(G456='Room Info'!$D$1, INDEX('Room Info'!$A$2:$A2446, MATCH(B456,'Room Info'!$D$2:$D2446, 0)),IF(G456='Room Info'!$E$1, INDEX('Room Info'!$A$2:$A2446, MATCH(B456,'Room Info'!$E$2:$E2446, 0)),IF(G456='Room Info'!$F$1, INDEX('Room Info'!$A$2:$A2446, MATCH(B456,'Room Info'!$F$2:$F2446, 0)),IF(G456='Room Info'!$H$1, INDEX('Room Info'!$A$2:$A2446, MATCH(B456,'Room Info'!$H$2:$H2446, 0)),IF(G456='Room Info'!$G$1, INDEX('Room Info'!$A$2:$A2446, MATCH(B456,'Room Info'!$G$2:$G2446, 0)))))))))</f>
        <v>vezuxa</v>
      </c>
      <c r="B456" s="45" t="s">
        <v>133</v>
      </c>
      <c r="C456" s="46">
        <v>44774</v>
      </c>
      <c r="D456" s="46">
        <v>44804</v>
      </c>
      <c r="E456" s="47">
        <v>44774</v>
      </c>
      <c r="F456" s="48" t="s">
        <v>41</v>
      </c>
      <c r="G456" s="45" t="s">
        <v>61</v>
      </c>
      <c r="H456" s="49" t="s">
        <v>132</v>
      </c>
      <c r="I456" s="49" t="s">
        <v>37</v>
      </c>
      <c r="J456" s="50">
        <v>5</v>
      </c>
      <c r="K456" s="51">
        <v>2856</v>
      </c>
      <c r="L456" s="52">
        <v>1070</v>
      </c>
      <c r="M456" s="53">
        <v>69</v>
      </c>
      <c r="N456" s="28">
        <f>K456*J456</f>
        <v>14280</v>
      </c>
      <c r="O456" s="54">
        <v>218773</v>
      </c>
      <c r="P456" s="29">
        <v>76.60119048</v>
      </c>
      <c r="Q456" s="55"/>
      <c r="R456" s="31">
        <f>M456+Q456</f>
        <v>69</v>
      </c>
      <c r="S456" s="66"/>
      <c r="T456" s="32">
        <f>R456+S456+IF(F456="Without EV deal",L456,0)</f>
        <v>1139</v>
      </c>
      <c r="U456" s="57">
        <v>1</v>
      </c>
      <c r="V456" s="58"/>
      <c r="W456" s="58"/>
      <c r="X456" s="78">
        <v>0.17</v>
      </c>
      <c r="Y456" s="30">
        <f>IF(AG456="None",0,IF(AG456="Fix5",0.05, IF(AG456="Fix6.25",0.0625,IF(AG456="Fix3.75",0.0375,IF(AG456="Fix10",0.1,IF(AG456="Fix3",0.03,0))))))</f>
        <v>0</v>
      </c>
      <c r="Z456" s="35">
        <f>T456-AA456-AB456</f>
        <v>945.37</v>
      </c>
      <c r="AA456" s="29">
        <f>IF(AD456="EUR",((T456-R456)*X456)*U456+(R456*X456),(T456*X456))</f>
        <v>193.63</v>
      </c>
      <c r="AB456" s="36">
        <f>IF(AD456="EUR",((T456-R456)*Y456)*U456+(R456*Y456),(T456*Y456))</f>
        <v>0</v>
      </c>
      <c r="AC456" s="37" t="b">
        <v>1</v>
      </c>
      <c r="AD456" s="61" t="s">
        <v>50</v>
      </c>
      <c r="AE456" s="61"/>
      <c r="AF456" s="37" t="str">
        <f t="array" ref="AF456">INDEX('Deal Info'!D:D, MATCH(A456,'Deal Info'!A:A, 0))</f>
        <v>DoEV</v>
      </c>
      <c r="AG456" s="38" t="str">
        <f t="array" ref="AG456">INDEX('Deal Info'!G:G, MATCH(A456,'Deal Info'!A:A, 0))</f>
        <v>None</v>
      </c>
    </row>
    <row r="457" spans="1:33" ht="14.25" x14ac:dyDescent="0.2">
      <c r="A457" s="18" t="str">
        <f t="array" ref="A457">IF(G457='Room Info'!$B$1, INDEX('Room Info'!$A$2:$A2446, MATCH(B457,'Room Info'!$B$2:$B2446, 0)),IF(G457='Room Info'!$C$1, INDEX('Room Info'!$A$2:$A2446, MATCH(B457,'Room Info'!$C$2:$C2446, 0)),IF(G457='Room Info'!$D$1, INDEX('Room Info'!$A$2:$A2446, MATCH(B457,'Room Info'!$D$2:$D2446, 0)),IF(G457='Room Info'!$E$1, INDEX('Room Info'!$A$2:$A2446, MATCH(B457,'Room Info'!$E$2:$E2446, 0)),IF(G457='Room Info'!$F$1, INDEX('Room Info'!$A$2:$A2446, MATCH(B457,'Room Info'!$F$2:$F2446, 0)),IF(G457='Room Info'!$H$1, INDEX('Room Info'!$A$2:$A2446, MATCH(B457,'Room Info'!$H$2:$H2446, 0)),IF(G457='Room Info'!$G$1, INDEX('Room Info'!$A$2:$A2446, MATCH(B457,'Room Info'!$G$2:$G2446, 0)))))))))</f>
        <v>fortunate773</v>
      </c>
      <c r="B457" s="45" t="s">
        <v>66</v>
      </c>
      <c r="C457" s="111">
        <v>44774</v>
      </c>
      <c r="D457" s="46">
        <v>44804</v>
      </c>
      <c r="E457" s="47">
        <v>44774</v>
      </c>
      <c r="F457" s="48" t="s">
        <v>49</v>
      </c>
      <c r="G457" s="65" t="s">
        <v>61</v>
      </c>
      <c r="H457" s="49" t="s">
        <v>134</v>
      </c>
      <c r="I457" s="49" t="s">
        <v>68</v>
      </c>
      <c r="J457" s="50">
        <v>250</v>
      </c>
      <c r="K457" s="123">
        <v>1</v>
      </c>
      <c r="L457" s="52">
        <v>500</v>
      </c>
      <c r="M457" s="53">
        <v>7</v>
      </c>
      <c r="N457" s="28">
        <f>K457*J457</f>
        <v>250</v>
      </c>
      <c r="O457" s="54">
        <v>378</v>
      </c>
      <c r="P457" s="29">
        <v>378</v>
      </c>
      <c r="Q457" s="55"/>
      <c r="R457" s="31">
        <f>M457+Q457</f>
        <v>7</v>
      </c>
      <c r="S457" s="66">
        <v>268</v>
      </c>
      <c r="T457" s="32">
        <f>R457+S457+IF(F457="Without EV deal",L457,0)</f>
        <v>275</v>
      </c>
      <c r="U457" s="57">
        <v>1</v>
      </c>
      <c r="V457" s="58"/>
      <c r="W457" s="58"/>
      <c r="X457" s="78">
        <f>IF(AF457="DoEV",IF(AND(V457&lt;20,W457&lt;55),0.3,0)+IF(AND(V457&lt;20,W457&gt;=55,W457&lt;105),0.23,0)+IF(AND(V457&lt;20,W457&gt;=105),0.17,0)+IF(AND(V457&gt;=20,V457&lt;40,W457&lt;45),0.3,0)+IF(AND(V457&gt;=20,V457&lt;40,W457&gt;=45,W457&lt;95),0.23,0)+IF(AND(V457&gt;=20,V457&lt;40,W457&gt;=95),0.17,0)+IF(AND(V457&gt;=40,V457&lt;75,W457&lt;35),0.3,0)+IF(AND(V457&gt;=40,V457&lt;75,W457&gt;=35,W457&lt;75),0.23,0)+IF(AND(V457&gt;=40,V457&lt;75,W457&gt;=75,W457&lt;120),0.17,0)+IF(AND(V457&gt;=40,V457&lt;75,W457&gt;=120),0.12,0)+IF(AND(V457&gt;=75,V457&lt;175,W457&lt;35),0.3,0)+IF(AND(V457&gt;=75,V457&lt;=175,W457&gt;=35,W457&lt;65),0.23,0)+IF(AND(V457&gt;=75,V457&lt;=175,W457&gt;=65,W457&lt;110),0.17,0)+IF(AND(V457&gt;=75,V457&lt;=175,W457&gt;=110),0.12,0)+IF(AND(V457&gt;175,W457&lt;25),0.3,0)+IF(AND(V457&gt;175,W457&gt;=25,W457&lt;55),0.23,0)+IF(AND(V457&gt;175,W457&gt;=55,W457&lt;95),0.17,0)+IF(AND(V457&gt;175,W457&gt;=95),0.12,0),
IF(AF457="Fix15",0.15,
IF(AF457="Fix11.25",0.1125,
IF(AF457="Fix10",0.1,
IF(AF457="Fix9",0.09,
IF(AF457="DoEV2017",IF(AND(W457&lt;74),0.2,0)+IF(AND(W457&gt;=74),0.17,0),
IF(AF457="SF",IF(AND(V457&lt;20,W457&lt;89),0.3,0)+IF(AND(V457&lt;20,W457&gt;=89),0.25,0)+IF(AND(V457&gt;=20,V457&lt;40,W457&lt;74),0.3,0)+IF(AND(V457&gt;=20,V457&lt;40,W457&gt;=75),0.22,0)+IF(AND(V457&gt;=40,V457&lt;75,W457&lt;75),0.26,0)+IF(AND(V457&gt;=40,V457&lt;75,W457&gt;=75),0.22,0)+IF(V457&gt;=75,0.22,0),
IF(AF457="DoEVold",IF(AND(V457&lt;40,W457&lt;35),0.35,0)+IF(AND(V457&lt;40,W457&gt;=35,W457&lt;75),0.25,0)+IF(AND(V457&lt;40,W457&gt;=75),0.17,0)+IF(AND(V457&gt;=40,V457&lt;75,W457&lt;25),0.35,0)+IF(AND(V457&gt;=40,V457&lt;75,W457&gt;=25,W457&lt;65),0.25,0)+IF(AND(V457&gt;=40,V457&lt;75,W457&gt;=65,W457&lt;100),0.17,0)+IF(AND(V457&gt;=40,V457&lt;75,W457&gt;=100),0.1,0)+IF(AND(V457&gt;=75,W457&lt;25),0.35,0)+IF(AND(V457&gt;=75,W457&gt;=25,W457&lt;60),0.25,0)+IF(AND(V457&gt;=75,W457&gt;=60,W457&lt;95),0.17,0)+IF(AND(V457&gt;=75,W457&gt;=95),0.1,0),
IF(AF457="DoEVold15",IF(AND(V457&lt;=40,W457&lt;35),0.35,0)+IF(AND(V457&lt;=40,W457&gt;=35,W457&lt;75),0.25,0)+IF(AND(V457&lt;=40,W457&gt;=75,W457&lt;120),0.17,0)+IF(AND(V457&lt;=40,W457&gt;=120),0.15,0)+IF(AND(V457&gt;40,V457&lt;75,W457&lt;25),0.35,0)+IF(AND(V457&gt;=40,V457&lt;75,W457&gt;=25,W457&lt;65),0.25,0)+IF(AND(V457&gt;=40,V457&lt;75,W457&gt;=65,W457&lt;100),0.17,0)+IF(AND(V457&gt;=40,V457&lt;75,W457&gt;=100),0.1,0)+IF(AND(V457&gt;=75,W457&lt;25),0.35,0)+IF(AND(V457&gt;=75,W457&gt;=25,W457&lt;60),0.25,0)+IF(AND(V457&gt;=75,W457&gt;=60,W457&lt;95),0.17,0)+IF(AND(V457&gt;=75,W457&gt;=95),0.1,0),
IF(AF457="DoEVba",IF(AND(V457&lt;20,W457&lt;105),0.2,0)+IF(AND(V457&lt;20,W457&gt;=105),0.15,0)+IF(AND(V457&gt;=20,V457&lt;40,W457&lt;95),0.2,0)+IF(AND(V457&gt;=20,V457&lt;40,W457&gt;=95,W457&lt;150),0.15,0)+IF(AND(V457&gt;=20,V457&lt;40,W457&gt;=150),0.12,0)+IF(AND(V457&gt;=40,V457&lt;75,W457&lt;75),0.2,0)+IF(AND(V457&gt;=40,V457&lt;75,W457&gt;=75,W457&lt;120),0.15,0)+IF(AND(V457&gt;=40,V457&lt;75,W457&gt;=120),0.12,0)+IF(AND(V457&gt;=75,V457&lt;175,W457&lt;65),0.2,0)+IF(AND(V457&gt;=75,V457&lt;175,W457&gt;=65,W457&lt;110),0.15,0)+IF(AND(V457&gt;=75,V457&lt;175,W457&gt;=110),0.12,0)+IF(AND(V457&gt;=175,W457&lt;55),0.2,0)+IF(AND(V457&gt;=175,W457&gt;=55,W457&lt;95),0.15,0)+IF(AND(V457&gt;=175,W457&gt;=95),0.12,0),
IF(AF457="DoEVku",IF(AND(V457&lt;20,W457&lt;55),0.23,0)+IF(AND(V457&lt;20,W457&gt;=55,W457&lt;105),0.2,0)+IF(AND(V457&lt;20,W457&gt;=105),0.17,0)+IF(AND(V457&gt;=20,V457&lt;40,W457&lt;45),0.23,0)+IF(AND(V457&gt;=20,V457&lt;40,W457&gt;=45,W457&lt;95),0.2,0)+IF(AND(V457&gt;=20,V457&lt;40,W457&gt;=95,W457&lt;=150),0.17,0)+IF(AND(V457&gt;=20,V457&lt;40,W457&gt;=150),0.12,0)+IF(AND(V457&gt;=40,V457&lt;75,W457&lt;35),0.23,0)+IF(AND(V457&gt;=40,V457&lt;75,W457&gt;=35,W457&lt;75),0.2,0)+IF(AND(V457&gt;=40,V457&lt;75,W457&gt;=75,W457&lt;120),0.17,0)+IF(AND(V457&gt;=40,V457&lt;75,W457&gt;=120),0.12,0)+IF(AND(V457&gt;=75,V457&lt;175,W457&lt;35),0.23,0)+IF(AND(V457&gt;=75,V457&lt;=175,W457&gt;=35,W457&lt;65),0.2,0)+IF(AND(V457&gt;=75,V457&lt;=175,W457&gt;=65,W457&lt;110),0.17,0)+IF(AND(V457&gt;=75,V457&lt;=175,W457&gt;=110),0.12,0)+IF(AND(V457&gt;175,W457&lt;25),0.23,0)+IF(AND(V457&gt;175,W457&gt;=25,W457&lt;55),0.2,0)+IF(AND(V457&gt;175,W457&gt;=55,W457&lt;95),0.17,0)+IF(AND(V457&gt;175,W457&gt;=95),0.12,0),
IF(AF457="DoEVs1",IF(AND(V457&lt;20,W457&lt;55),0.3,0)+IF(AND(V457&lt;20,W457&gt;=55,W457&lt;105),0.23,0)+IF(AND(V457&lt;20,W457&gt;=105),0.17,0)+IF(AND(V457&gt;=20,V457&lt;40,W457&lt;45),0.3,0)+IF(AND(V457&gt;=20,V457&lt;40,W457&gt;=45,W457&lt;95),0.23,0)+IF(AND(V457&gt;=20,V457&lt;40,W457&gt;=95,W457&lt;=150),0.17,0)+IF(AND(V457&gt;=20,V457&lt;40,W457&gt;=150),0.12,0)+IF(AND(V457&gt;=40,V457&lt;75,W457&lt;35),0.3,0)+IF(AND(V457&gt;=40,V457&lt;75,W457&gt;=35,W457&lt;75),0.23,0)+IF(AND(V457&gt;=40,V457&lt;75,W457&gt;=75,W457&lt;120),0.17,0)+IF(AND(V457&gt;=40,V457&lt;75,W457&gt;=120),0.12,0)+IF(AND(V457&gt;=75,V457&lt;175,W457&lt;35),0.3,0)+IF(AND(V457&gt;=75,V457&lt;=175,W457&gt;=35,W457&lt;65),0.23,0)+IF(AND(V457&gt;=75,V457&lt;=175,W457&gt;=65,W457&lt;110),0.17,0)+IF(AND(V457&gt;=75,V457&lt;=175,W457&gt;=110),0.12,0)+IF(AND(V457&gt;175,W457&lt;25),0.3,0)+IF(AND(V457&gt;175,W457&gt;=25,W457&lt;55),0.23,0)+IF(AND(V457&gt;175,W457&gt;=55,W457&lt;95),0.17,0)+IF(AND(V457&gt;175,W457&gt;=95),0.12,0),
IF(AF457="DoEVsu",IF(AND(V457&lt;20,W457&lt;55),0.3,0)+IF(AND(V457&lt;20,W457&gt;=55,W457&lt;105),0.23,0)+IF(AND(V457&lt;20,W457&gt;=105),0.17,0)+IF(AND(V457&gt;=20,V457&lt;40,W457&lt;45),0.3,0)+IF(AND(V457&gt;=20,V457&lt;40,W457&gt;=45,W457&lt;95),0.23,0)+IF(AND(V457&gt;=20,V457&lt;40,W457&gt;=95,W457&lt;=250),0.17,0)+IF(AND(V457&gt;=20,V457&lt;40,W457&gt;=250),0.12,0)+IF(AND(V457&gt;=40,V457&lt;75,W457&lt;35),0.3,0)+IF(AND(V457&gt;=40,V457&lt;75,W457&gt;=35,W457&lt;75),0.23,0)+IF(AND(V457&gt;=40,V457&lt;75,W457&gt;=75,W457&lt;120),0.17,0)+IF(AND(V457&gt;=40,V457&lt;75,W457&gt;=120),0.12,0)+IF(AND(V457&gt;=75,V457&lt;175,W457&lt;35),0.3,0)+IF(AND(V457&gt;=75,V457&lt;=175,W457&gt;=35,W457&lt;65),0.23,0)+IF(AND(V457&gt;=75,V457&lt;=175,W457&gt;=65,W457&lt;110),0.17,0)+IF(AND(V457&gt;=75,V457&lt;=175,W457&gt;=110),0.12,0)+IF(AND(V457&gt;175,W457&lt;25),0.3,0)+IF(AND(V457&gt;175,W457&gt;=25,W457&lt;55),0.23,0)+IF(AND(V457&gt;175,W457&gt;=55,W457&lt;95),0.17,0)+IF(AND(V457&gt;175,W457&gt;=95),0.12,0),
IF(AF457="DoEVni",IF(AND(V457&lt;20,W457&lt;55),0.3,0)+IF(AND(V457&lt;20,W457&gt;=55,W457&lt;105),0.23,0)+IF(AND(V457&lt;20,W457&gt;=105),0.17,0)+IF(AND(V457&gt;=20,V457&lt;40,W457&lt;45),0.3,0)+IF(AND(V457&gt;=20,V457&lt;40,W457&gt;=45,W457&lt;95),0.23,0)+IF(AND(V457&gt;=20,V457&lt;40,W457&gt;=95,W457&lt;=200),0.17,0)+IF(AND(V457&gt;=20,V457&lt;40,W457&gt;=200),0.12,0)+IF(AND(V457&gt;=40,V457&lt;75,W457&lt;35),0.3,0)+IF(AND(V457&gt;=40,V457&lt;75,W457&gt;=35,W457&lt;75),0.23,0)+IF(AND(V457&gt;=40,V457&lt;75,W457&gt;=75,W457&lt;120),0.17,0)+IF(AND(V457&gt;=40,V457&lt;75,W457&gt;=120),0.12,0)+IF(AND(V457&gt;=75,V457&lt;175,W457&lt;35),0.3,0)+IF(AND(V457&gt;=75,V457&lt;=175,W457&gt;=35,W457&lt;65),0.23,0)+IF(AND(V457&gt;=75,V457&lt;=175,W457&gt;=65,W457&lt;110),0.17,0)+IF(AND(V457&gt;=75,V457&lt;=175,W457&gt;=110),0.12,0)+IF(AND(V457&gt;175,W457&lt;25),0.3,0)+IF(AND(V457&gt;175,W457&gt;=25,W457&lt;55),0.23,0)+IF(AND(V457&gt;175,W457&gt;=55,W457&lt;95),0.17,0)+IF(AND(V457&gt;175,W457&gt;=95),0.12,0),
IF(AF457="DoEVLo",IF(AND(V457&lt;20,W457&lt;55),0.25,0)+IF(AND(V457&lt;20,W457&gt;=55,W457&lt;105),0.2,0)+IF(AND(V457&lt;20,W457&gt;=105),0.15,0)+IF(AND(V457&gt;=20,V457&lt;40,W457&lt;45),0.25,0)+IF(AND(V457&gt;=20,V457&lt;40,W457&gt;=45,W457&lt;95),0.2,0)+IF(AND(V457&gt;=20,V457&lt;40,W457&gt;=95),0.15,0)+IF(AND(V457&gt;=40,V457&lt;75,W457&lt;35),0.25,0)+IF(AND(V457&gt;=40,V457&lt;75,W457&gt;=35,W457&lt;75),0.2,0)+IF(AND(V457&gt;=40,V457&lt;75,W457&gt;=75,W457&lt;120),0.15,0)+IF(AND(V457&gt;=40,V457&lt;75,W457&gt;=120),0.1,0)+IF(AND(V457&gt;=75,V457&lt;175,W457&lt;35),0.25,0)+IF(AND(V457&gt;=75,V457&lt;=175,W457&gt;=35,W457&lt;65),0.2,0)+IF(AND(V457&gt;=75,V457&lt;=175,W457&gt;=65,W457&lt;110),0.15,0)+IF(AND(V457&gt;=75,V457&lt;=175,W457&gt;=110),0.1,0)+IF(AND(V457&gt;175,W457&lt;25),0.25,0)+IF(AND(V457&gt;175,W457&gt;=25,W457&lt;55),0.2,0)+IF(AND(V457&gt;175,W457&gt;=55,W457&lt;95),0.15,0)+IF(AND(V457&gt;175,W457&gt;=95),0.1,0))))))))))))))))</f>
        <v>0.15</v>
      </c>
      <c r="Y457" s="30">
        <f>IF(AG457="None",0,IF(AG457="Fix5",0.05,IF(AG457="Fix3.75",0.0375,IF(AG457="Fix10",0.1,IF(AG457="Fix3",0.03,0)))))</f>
        <v>0.05</v>
      </c>
      <c r="Z457" s="35">
        <v>220</v>
      </c>
      <c r="AA457" s="29">
        <v>55</v>
      </c>
      <c r="AB457" s="36"/>
      <c r="AC457" s="37" t="b">
        <v>1</v>
      </c>
      <c r="AD457" s="61" t="s">
        <v>50</v>
      </c>
      <c r="AE457" s="61"/>
      <c r="AF457" s="37" t="str">
        <f t="array" ref="AF457">INDEX('Deal Info'!D:D, MATCH(A457,'Deal Info'!A:A, 0))</f>
        <v>Fix15</v>
      </c>
      <c r="AG457" s="38" t="str">
        <f t="array" ref="AG457">INDEX('Deal Info'!G:G, MATCH(A457,'Deal Info'!A:A, 0))</f>
        <v>Fix5</v>
      </c>
    </row>
    <row r="458" spans="1:33" ht="14.25" x14ac:dyDescent="0.2">
      <c r="A458" s="18" t="str">
        <f t="array" ref="A458">IF(G458='Room Info'!$B$1, INDEX('Room Info'!$A$2:$A2446, MATCH(B458,'Room Info'!$B$2:$B2446, 0)),IF(G458='Room Info'!$C$1, INDEX('Room Info'!$A$2:$A2446, MATCH(B458,'Room Info'!$C$2:$C2446, 0)),IF(G458='Room Info'!$D$1, INDEX('Room Info'!$A$2:$A2446, MATCH(B458,'Room Info'!$D$2:$D2446, 0)),IF(G458='Room Info'!$E$1, INDEX('Room Info'!$A$2:$A2446, MATCH(B458,'Room Info'!$E$2:$E2446, 0)),IF(G458='Room Info'!$F$1, INDEX('Room Info'!$A$2:$A2446, MATCH(B458,'Room Info'!$F$2:$F2446, 0)),IF(G458='Room Info'!$H$1, INDEX('Room Info'!$A$2:$A2446, MATCH(B458,'Room Info'!$H$2:$H2446, 0)),IF(G458='Room Info'!$G$1, INDEX('Room Info'!$A$2:$A2446, MATCH(B458,'Room Info'!$G$2:$G2446, 0)))))))))</f>
        <v>fortunate773</v>
      </c>
      <c r="B458" s="45" t="s">
        <v>66</v>
      </c>
      <c r="C458" s="46">
        <v>44774</v>
      </c>
      <c r="D458" s="46">
        <v>44804</v>
      </c>
      <c r="E458" s="47">
        <v>44774</v>
      </c>
      <c r="F458" s="48" t="s">
        <v>49</v>
      </c>
      <c r="G458" s="54" t="s">
        <v>61</v>
      </c>
      <c r="H458" s="49" t="s">
        <v>135</v>
      </c>
      <c r="I458" s="49" t="s">
        <v>101</v>
      </c>
      <c r="J458" s="50">
        <v>250</v>
      </c>
      <c r="K458" s="51">
        <v>1121</v>
      </c>
      <c r="L458" s="52">
        <v>-27175</v>
      </c>
      <c r="M458" s="53">
        <v>8120</v>
      </c>
      <c r="N458" s="28">
        <f>K458*J458</f>
        <v>280250</v>
      </c>
      <c r="O458" s="54">
        <v>13309</v>
      </c>
      <c r="P458" s="29">
        <v>11.87243533</v>
      </c>
      <c r="Q458" s="55"/>
      <c r="R458" s="31">
        <f>M458+Q458</f>
        <v>8120</v>
      </c>
      <c r="S458" s="56">
        <v>-15888</v>
      </c>
      <c r="T458" s="32">
        <f>R458+S458+IF(F458="Without EV deal",L458,0)</f>
        <v>-7768</v>
      </c>
      <c r="U458" s="57">
        <v>1</v>
      </c>
      <c r="V458" s="58"/>
      <c r="W458" s="58"/>
      <c r="X458" s="30">
        <f>IF(AF458="DoEV",IF(AND(V458&lt;20,W458&lt;55),0.3,0)+IF(AND(V458&lt;20,W458&gt;=55,W458&lt;105),0.23,0)+IF(AND(V458&lt;20,W458&gt;=105),0.17,0)+IF(AND(V458&gt;=20,V458&lt;40,W458&lt;45),0.3,0)+IF(AND(V458&gt;=20,V458&lt;40,W458&gt;=45,W458&lt;95),0.23,0)+IF(AND(V458&gt;=20,V458&lt;40,W458&gt;=95),0.17,0)+IF(AND(V458&gt;=40,V458&lt;75,W458&lt;35),0.3,0)+IF(AND(V458&gt;=40,V458&lt;75,W458&gt;=35,W458&lt;75),0.23,0)+IF(AND(V458&gt;=40,V458&lt;75,W458&gt;=75,W458&lt;120),0.17,0)+IF(AND(V458&gt;=40,V458&lt;75,W458&gt;=120),0.12,0)+IF(AND(V458&gt;=75,V458&lt;175,W458&lt;35),0.3,0)+IF(AND(V458&gt;=75,V458&lt;=175,W458&gt;=35,W458&lt;65),0.23,0)+IF(AND(V458&gt;=75,V458&lt;=175,W458&gt;=65,W458&lt;110),0.17,0)+IF(AND(V458&gt;=75,V458&lt;=175,W458&gt;=110),0.12,0)+IF(AND(V458&gt;175,W458&lt;25),0.3,0)+IF(AND(V458&gt;175,W458&gt;=25,W458&lt;55),0.23,0)+IF(AND(V458&gt;175,W458&gt;=55,W458&lt;95),0.17,0)+IF(AND(V458&gt;175,W458&gt;=95),0.12,0),
IF(AF458="Fix15",0.15,
IF(AF458="Fix11.25",0.1125,
IF(AF458="Fix10",0.1,
IF(AF458="Fix9",0.09,
IF(AF458="DoEV2017",IF(AND(W458&lt;74),0.2,0)+IF(AND(W458&gt;=74),0.17,0),
IF(AF458="SF",IF(AND(V458&lt;20,W458&lt;89),0.3,0)+IF(AND(V458&lt;20,W458&gt;=89),0.25,0)+IF(AND(V458&gt;=20,V458&lt;40,W458&lt;74),0.3,0)+IF(AND(V458&gt;=20,V458&lt;40,W458&gt;=75),0.22,0)+IF(AND(V458&gt;=40,V458&lt;75,W458&lt;75),0.26,0)+IF(AND(V458&gt;=40,V458&lt;75,W458&gt;=75),0.22,0)+IF(V458&gt;=75,0.22,0),
IF(AF458="DoEVold",IF(AND(V458&lt;40,W458&lt;35),0.35,0)+IF(AND(V458&lt;40,W458&gt;=35,W458&lt;75),0.25,0)+IF(AND(V458&lt;40,W458&gt;=75),0.17,0)+IF(AND(V458&gt;=40,V458&lt;75,W458&lt;25),0.35,0)+IF(AND(V458&gt;=40,V458&lt;75,W458&gt;=25,W458&lt;65),0.25,0)+IF(AND(V458&gt;=40,V458&lt;75,W458&gt;=65,W458&lt;100),0.17,0)+IF(AND(V458&gt;=40,V458&lt;75,W458&gt;=100),0.1,0)+IF(AND(V458&gt;=75,W458&lt;25),0.35,0)+IF(AND(V458&gt;=75,W458&gt;=25,W458&lt;60),0.25,0)+IF(AND(V458&gt;=75,W458&gt;=60,W458&lt;95),0.17,0)+IF(AND(V458&gt;=75,W458&gt;=95),0.1,0),
IF(AF458="DoEVold15",IF(AND(V458&lt;=40,W458&lt;35),0.35,0)+IF(AND(V458&lt;=40,W458&gt;=35,W458&lt;75),0.25,0)+IF(AND(V458&lt;=40,W458&gt;=75,W458&lt;120),0.17,0)+IF(AND(V458&lt;=40,W458&gt;=120),0.15,0)+IF(AND(V458&gt;40,V458&lt;75,W458&lt;25),0.35,0)+IF(AND(V458&gt;=40,V458&lt;75,W458&gt;=25,W458&lt;65),0.25,0)+IF(AND(V458&gt;=40,V458&lt;75,W458&gt;=65,W458&lt;100),0.17,0)+IF(AND(V458&gt;=40,V458&lt;75,W458&gt;=100),0.1,0)+IF(AND(V458&gt;=75,W458&lt;25),0.35,0)+IF(AND(V458&gt;=75,W458&gt;=25,W458&lt;60),0.25,0)+IF(AND(V458&gt;=75,W458&gt;=60,W458&lt;95),0.17,0)+IF(AND(V458&gt;=75,W458&gt;=95),0.1,0),
IF(AF458="DoEVba",IF(AND(V458&lt;20,W458&lt;105),0.2,0)+IF(AND(V458&lt;20,W458&gt;=105),0.15,0)+IF(AND(V458&gt;=20,V458&lt;40,W458&lt;95),0.2,0)+IF(AND(V458&gt;=20,V458&lt;40,W458&gt;=95,W458&lt;150),0.15,0)+IF(AND(V458&gt;=20,V458&lt;40,W458&gt;=150),0.12,0)+IF(AND(V458&gt;=40,V458&lt;75,W458&lt;75),0.2,0)+IF(AND(V458&gt;=40,V458&lt;75,W458&gt;=75,W458&lt;120),0.15,0)+IF(AND(V458&gt;=40,V458&lt;75,W458&gt;=120),0.12,0)+IF(AND(V458&gt;=75,V458&lt;175,W458&lt;65),0.2,0)+IF(AND(V458&gt;=75,V458&lt;175,W458&gt;=65,W458&lt;110),0.15,0)+IF(AND(V458&gt;=75,V458&lt;175,W458&gt;=110),0.12,0)+IF(AND(V458&gt;=175,W458&lt;55),0.2,0)+IF(AND(V458&gt;=175,W458&gt;=55,W458&lt;95),0.15,0)+IF(AND(V458&gt;=175,W458&gt;=95),0.12,0),
IF(AF458="DoEVku",IF(AND(V458&lt;20,W458&lt;55),0.23,0)+IF(AND(V458&lt;20,W458&gt;=55,W458&lt;105),0.2,0)+IF(AND(V458&lt;20,W458&gt;=105),0.17,0)+IF(AND(V458&gt;=20,V458&lt;40,W458&lt;45),0.23,0)+IF(AND(V458&gt;=20,V458&lt;40,W458&gt;=45,W458&lt;95),0.2,0)+IF(AND(V458&gt;=20,V458&lt;40,W458&gt;=95,W458&lt;=150),0.17,0)+IF(AND(V458&gt;=20,V458&lt;40,W458&gt;=150),0.12,0)+IF(AND(V458&gt;=40,V458&lt;75,W458&lt;35),0.23,0)+IF(AND(V458&gt;=40,V458&lt;75,W458&gt;=35,W458&lt;75),0.2,0)+IF(AND(V458&gt;=40,V458&lt;75,W458&gt;=75,W458&lt;120),0.17,0)+IF(AND(V458&gt;=40,V458&lt;75,W458&gt;=120),0.12,0)+IF(AND(V458&gt;=75,V458&lt;175,W458&lt;35),0.23,0)+IF(AND(V458&gt;=75,V458&lt;=175,W458&gt;=35,W458&lt;65),0.2,0)+IF(AND(V458&gt;=75,V458&lt;=175,W458&gt;=65,W458&lt;110),0.17,0)+IF(AND(V458&gt;=75,V458&lt;=175,W458&gt;=110),0.12,0)+IF(AND(V458&gt;175,W458&lt;25),0.23,0)+IF(AND(V458&gt;175,W458&gt;=25,W458&lt;55),0.2,0)+IF(AND(V458&gt;175,W458&gt;=55,W458&lt;95),0.17,0)+IF(AND(V458&gt;175,W458&gt;=95),0.12,0),
IF(AF458="DoEVs1",IF(AND(V458&lt;20,W458&lt;55),0.3,0)+IF(AND(V458&lt;20,W458&gt;=55,W458&lt;105),0.23,0)+IF(AND(V458&lt;20,W458&gt;=105),0.17,0)+IF(AND(V458&gt;=20,V458&lt;40,W458&lt;45),0.3,0)+IF(AND(V458&gt;=20,V458&lt;40,W458&gt;=45,W458&lt;95),0.23,0)+IF(AND(V458&gt;=20,V458&lt;40,W458&gt;=95,W458&lt;=150),0.17,0)+IF(AND(V458&gt;=20,V458&lt;40,W458&gt;=150),0.12,0)+IF(AND(V458&gt;=40,V458&lt;75,W458&lt;35),0.3,0)+IF(AND(V458&gt;=40,V458&lt;75,W458&gt;=35,W458&lt;75),0.23,0)+IF(AND(V458&gt;=40,V458&lt;75,W458&gt;=75,W458&lt;120),0.17,0)+IF(AND(V458&gt;=40,V458&lt;75,W458&gt;=120),0.12,0)+IF(AND(V458&gt;=75,V458&lt;175,W458&lt;35),0.3,0)+IF(AND(V458&gt;=75,V458&lt;=175,W458&gt;=35,W458&lt;65),0.23,0)+IF(AND(V458&gt;=75,V458&lt;=175,W458&gt;=65,W458&lt;110),0.17,0)+IF(AND(V458&gt;=75,V458&lt;=175,W458&gt;=110),0.12,0)+IF(AND(V458&gt;175,W458&lt;25),0.3,0)+IF(AND(V458&gt;175,W458&gt;=25,W458&lt;55),0.23,0)+IF(AND(V458&gt;175,W458&gt;=55,W458&lt;95),0.17,0)+IF(AND(V458&gt;175,W458&gt;=95),0.12,0),
IF(AF458="DoEVsu",IF(AND(V458&lt;20,W458&lt;55),0.3,0)+IF(AND(V458&lt;20,W458&gt;=55,W458&lt;105),0.23,0)+IF(AND(V458&lt;20,W458&gt;=105),0.17,0)+IF(AND(V458&gt;=20,V458&lt;40,W458&lt;45),0.3,0)+IF(AND(V458&gt;=20,V458&lt;40,W458&gt;=45,W458&lt;95),0.23,0)+IF(AND(V458&gt;=20,V458&lt;40,W458&gt;=95,W458&lt;=250),0.17,0)+IF(AND(V458&gt;=20,V458&lt;40,W458&gt;=250),0.12,0)+IF(AND(V458&gt;=40,V458&lt;75,W458&lt;35),0.3,0)+IF(AND(V458&gt;=40,V458&lt;75,W458&gt;=35,W458&lt;75),0.23,0)+IF(AND(V458&gt;=40,V458&lt;75,W458&gt;=75,W458&lt;120),0.17,0)+IF(AND(V458&gt;=40,V458&lt;75,W458&gt;=120),0.12,0)+IF(AND(V458&gt;=75,V458&lt;175,W458&lt;35),0.3,0)+IF(AND(V458&gt;=75,V458&lt;=175,W458&gt;=35,W458&lt;65),0.23,0)+IF(AND(V458&gt;=75,V458&lt;=175,W458&gt;=65,W458&lt;110),0.17,0)+IF(AND(V458&gt;=75,V458&lt;=175,W458&gt;=110),0.12,0)+IF(AND(V458&gt;175,W458&lt;25),0.3,0)+IF(AND(V458&gt;175,W458&gt;=25,W458&lt;55),0.23,0)+IF(AND(V458&gt;175,W458&gt;=55,W458&lt;95),0.17,0)+IF(AND(V458&gt;175,W458&gt;=95),0.12,0),
IF(AF458="DoEVni",IF(AND(V458&lt;20,W458&lt;55),0.3,0)+IF(AND(V458&lt;20,W458&gt;=55,W458&lt;105),0.23,0)+IF(AND(V458&lt;20,W458&gt;=105),0.17,0)+IF(AND(V458&gt;=20,V458&lt;40,W458&lt;45),0.3,0)+IF(AND(V458&gt;=20,V458&lt;40,W458&gt;=45,W458&lt;95),0.23,0)+IF(AND(V458&gt;=20,V458&lt;40,W458&gt;=95,W458&lt;=200),0.17,0)+IF(AND(V458&gt;=20,V458&lt;40,W458&gt;=200),0.12,0)+IF(AND(V458&gt;=40,V458&lt;75,W458&lt;35),0.3,0)+IF(AND(V458&gt;=40,V458&lt;75,W458&gt;=35,W458&lt;75),0.23,0)+IF(AND(V458&gt;=40,V458&lt;75,W458&gt;=75,W458&lt;120),0.17,0)+IF(AND(V458&gt;=40,V458&lt;75,W458&gt;=120),0.12,0)+IF(AND(V458&gt;=75,V458&lt;175,W458&lt;35),0.3,0)+IF(AND(V458&gt;=75,V458&lt;=175,W458&gt;=35,W458&lt;65),0.23,0)+IF(AND(V458&gt;=75,V458&lt;=175,W458&gt;=65,W458&lt;110),0.17,0)+IF(AND(V458&gt;=75,V458&lt;=175,W458&gt;=110),0.12,0)+IF(AND(V458&gt;175,W458&lt;25),0.3,0)+IF(AND(V458&gt;175,W458&gt;=25,W458&lt;55),0.23,0)+IF(AND(V458&gt;175,W458&gt;=55,W458&lt;95),0.17,0)+IF(AND(V458&gt;175,W458&gt;=95),0.12,0),
IF(AF458="DoEVLo",IF(AND(V458&lt;20,W458&lt;55),0.25,0)+IF(AND(V458&lt;20,W458&gt;=55,W458&lt;105),0.2,0)+IF(AND(V458&lt;20,W458&gt;=105),0.15,0)+IF(AND(V458&gt;=20,V458&lt;40,W458&lt;45),0.25,0)+IF(AND(V458&gt;=20,V458&lt;40,W458&gt;=45,W458&lt;95),0.2,0)+IF(AND(V458&gt;=20,V458&lt;40,W458&gt;=95),0.15,0)+IF(AND(V458&gt;=40,V458&lt;75,W458&lt;35),0.25,0)+IF(AND(V458&gt;=40,V458&lt;75,W458&gt;=35,W458&lt;75),0.2,0)+IF(AND(V458&gt;=40,V458&lt;75,W458&gt;=75,W458&lt;120),0.15,0)+IF(AND(V458&gt;=40,V458&lt;75,W458&gt;=120),0.1,0)+IF(AND(V458&gt;=75,V458&lt;175,W458&lt;35),0.25,0)+IF(AND(V458&gt;=75,V458&lt;=175,W458&gt;=35,W458&lt;65),0.2,0)+IF(AND(V458&gt;=75,V458&lt;=175,W458&gt;=65,W458&lt;110),0.15,0)+IF(AND(V458&gt;=75,V458&lt;=175,W458&gt;=110),0.1,0)+IF(AND(V458&gt;175,W458&lt;25),0.25,0)+IF(AND(V458&gt;175,W458&gt;=25,W458&lt;55),0.2,0)+IF(AND(V458&gt;175,W458&gt;=55,W458&lt;95),0.15,0)+IF(AND(V458&gt;175,W458&gt;=95),0.1,0))))))))))))))))</f>
        <v>0.15</v>
      </c>
      <c r="Y458" s="30">
        <f>IF(AG458="None",0,IF(AG458="Fix5",0.05,IF(AG458="Fix3.75",0.0375,IF(AG458="Fix10",0.1,IF(AG458="Fix3",0.03,0)))))</f>
        <v>0.05</v>
      </c>
      <c r="Z458" s="59">
        <v>-6215</v>
      </c>
      <c r="AA458" s="60">
        <v>-1554</v>
      </c>
      <c r="AB458" s="36"/>
      <c r="AC458" s="37" t="b">
        <v>1</v>
      </c>
      <c r="AD458" s="61" t="s">
        <v>50</v>
      </c>
      <c r="AE458" s="61"/>
      <c r="AF458" s="37" t="str">
        <f t="array" ref="AF458">INDEX('Deal Info'!D:D, MATCH(A458,'Deal Info'!A:A, 0))</f>
        <v>Fix15</v>
      </c>
      <c r="AG458" s="38" t="str">
        <f t="array" ref="AG458">INDEX('Deal Info'!G:G, MATCH(A458,'Deal Info'!A:A, 0))</f>
        <v>Fix5</v>
      </c>
    </row>
    <row r="459" spans="1:33" ht="14.25" x14ac:dyDescent="0.2">
      <c r="A459" s="18" t="str">
        <f t="array" ref="A459">IF(G459='Room Info'!$B$1, INDEX('Room Info'!$A$2:$A2446, MATCH(B459,'Room Info'!$B$2:$B2446, 0)),IF(G459='Room Info'!$C$1, INDEX('Room Info'!$A$2:$A2446, MATCH(B459,'Room Info'!$C$2:$C2446, 0)),IF(G459='Room Info'!$D$1, INDEX('Room Info'!$A$2:$A2446, MATCH(B459,'Room Info'!$D$2:$D2446, 0)),IF(G459='Room Info'!$E$1, INDEX('Room Info'!$A$2:$A2446, MATCH(B459,'Room Info'!$E$2:$E2446, 0)),IF(G459='Room Info'!$F$1, INDEX('Room Info'!$A$2:$A2446, MATCH(B459,'Room Info'!$F$2:$F2446, 0)),IF(G459='Room Info'!$H$1, INDEX('Room Info'!$A$2:$A2446, MATCH(B459,'Room Info'!$H$2:$H2446, 0)),IF(G459='Room Info'!$G$1, INDEX('Room Info'!$A$2:$A2446, MATCH(B459,'Room Info'!$G$2:$G2446, 0)))))))))</f>
        <v>vezuxa</v>
      </c>
      <c r="B459" s="45" t="s">
        <v>133</v>
      </c>
      <c r="C459" s="46">
        <v>44774</v>
      </c>
      <c r="D459" s="46">
        <v>44804</v>
      </c>
      <c r="E459" s="47">
        <v>44774</v>
      </c>
      <c r="F459" s="48" t="s">
        <v>41</v>
      </c>
      <c r="G459" s="129" t="s">
        <v>61</v>
      </c>
      <c r="H459" s="49" t="s">
        <v>182</v>
      </c>
      <c r="I459" s="49" t="s">
        <v>37</v>
      </c>
      <c r="J459" s="50">
        <v>2</v>
      </c>
      <c r="K459" s="51">
        <v>287</v>
      </c>
      <c r="L459" s="52">
        <v>102</v>
      </c>
      <c r="M459" s="53">
        <v>241</v>
      </c>
      <c r="N459" s="28">
        <f>K459*J459</f>
        <v>574</v>
      </c>
      <c r="O459" s="54">
        <v>36141</v>
      </c>
      <c r="P459" s="29">
        <v>125.92682929999999</v>
      </c>
      <c r="Q459" s="55"/>
      <c r="R459" s="31">
        <f>M459+Q459</f>
        <v>241</v>
      </c>
      <c r="S459" s="56"/>
      <c r="T459" s="32">
        <f>R459+S459+IF(F459="Without EV deal",L459,0)</f>
        <v>343</v>
      </c>
      <c r="U459" s="57">
        <v>1</v>
      </c>
      <c r="V459" s="58"/>
      <c r="W459" s="58"/>
      <c r="X459" s="30">
        <v>0.17</v>
      </c>
      <c r="Y459" s="30">
        <f>IF(AG459="None",0,IF(AG459="Fix5",0.05, IF(AG459="Fix6.25",0.0625,IF(AG459="Fix3.75",0.0375,IF(AG459="Fix10",0.1,IF(AG459="Fix3",0.03,0))))))</f>
        <v>0</v>
      </c>
      <c r="Z459" s="59">
        <f>T459-AA459-AB459</f>
        <v>284.69</v>
      </c>
      <c r="AA459" s="60">
        <f>IF(AD459="EUR",((T459-R459)*X459)*U459+(R459*X459),(T459*X459))</f>
        <v>58.31</v>
      </c>
      <c r="AB459" s="36">
        <f>IF(AD459="EUR",((T459-R459)*Y459)*U459+(R459*Y459),(T459*Y459))</f>
        <v>0</v>
      </c>
      <c r="AC459" s="37" t="b">
        <v>1</v>
      </c>
      <c r="AD459" s="61" t="s">
        <v>50</v>
      </c>
      <c r="AE459" s="61"/>
      <c r="AF459" s="37" t="str">
        <f t="array" ref="AF459">INDEX('Deal Info'!D:D, MATCH(A459,'Deal Info'!A:A, 0))</f>
        <v>DoEV</v>
      </c>
      <c r="AG459" s="38" t="str">
        <f t="array" ref="AG459">INDEX('Deal Info'!G:G, MATCH(A459,'Deal Info'!A:A, 0))</f>
        <v>None</v>
      </c>
    </row>
    <row r="460" spans="1:33" ht="14.25" x14ac:dyDescent="0.2">
      <c r="A460" s="18" t="str">
        <f t="array" ref="A460">IF(G460='Room Info'!$B$1, INDEX('Room Info'!$A$2:$A2446, MATCH(B460,'Room Info'!$B$2:$B2446, 0)),IF(G460='Room Info'!$C$1, INDEX('Room Info'!$A$2:$A2446, MATCH(B460,'Room Info'!$C$2:$C2446, 0)),IF(G460='Room Info'!$D$1, INDEX('Room Info'!$A$2:$A2446, MATCH(B460,'Room Info'!$D$2:$D2446, 0)),IF(G460='Room Info'!$E$1, INDEX('Room Info'!$A$2:$A2446, MATCH(B460,'Room Info'!$E$2:$E2446, 0)),IF(G460='Room Info'!$F$1, INDEX('Room Info'!$A$2:$A2446, MATCH(B460,'Room Info'!$F$2:$F2446, 0)),IF(G460='Room Info'!$H$1, INDEX('Room Info'!$A$2:$A2446, MATCH(B460,'Room Info'!$H$2:$H2446, 0)),IF(G460='Room Info'!$G$1, INDEX('Room Info'!$A$2:$A2446, MATCH(B460,'Room Info'!$G$2:$G2446, 0)))))))))</f>
        <v>Lo4io</v>
      </c>
      <c r="B460" s="45" t="s">
        <v>107</v>
      </c>
      <c r="C460" s="283">
        <v>44763</v>
      </c>
      <c r="D460" s="283">
        <v>44793</v>
      </c>
      <c r="E460" s="47">
        <v>44774</v>
      </c>
      <c r="F460" s="133" t="s">
        <v>34</v>
      </c>
      <c r="G460" s="129" t="s">
        <v>61</v>
      </c>
      <c r="H460" s="49" t="s">
        <v>184</v>
      </c>
      <c r="I460" s="49" t="s">
        <v>37</v>
      </c>
      <c r="J460" s="70">
        <v>100</v>
      </c>
      <c r="K460" s="71">
        <v>23</v>
      </c>
      <c r="L460" s="135">
        <v>400</v>
      </c>
      <c r="M460" s="93">
        <v>0</v>
      </c>
      <c r="N460" s="28">
        <f>K460*J460</f>
        <v>2300</v>
      </c>
      <c r="O460" s="129">
        <v>-53</v>
      </c>
      <c r="P460" s="29">
        <v>-2.3043478259999999</v>
      </c>
      <c r="Q460" s="55"/>
      <c r="R460" s="31">
        <f>M460+Q460</f>
        <v>0</v>
      </c>
      <c r="S460" s="97">
        <v>-217</v>
      </c>
      <c r="T460" s="32">
        <f>R460+S460+IF(F460="Without EV deal",L460,0)</f>
        <v>-217</v>
      </c>
      <c r="U460" s="57">
        <v>1.004</v>
      </c>
      <c r="V460" s="58">
        <v>72.441895562933894</v>
      </c>
      <c r="W460" s="58">
        <v>7.6889208333333334</v>
      </c>
      <c r="X460" s="30">
        <f>IF(AF460="DoEV",IF(AND(V460&lt;20,W460&lt;55),0.3,0)+IF(AND(V460&lt;20,W460&gt;=55,W460&lt;105),0.23,0)+IF(AND(V460&lt;20,W460&gt;=105),0.17,0)+IF(AND(V460&gt;=20,V460&lt;40,W460&lt;45),0.3,0)+IF(AND(V460&gt;=20,V460&lt;40,W460&gt;=45,W460&lt;95),0.23,0)+IF(AND(V460&gt;=20,V460&lt;40,W460&gt;=95),0.17,0)+IF(AND(V460&gt;=40,V460&lt;75,W460&lt;35),0.3,0)+IF(AND(V460&gt;=40,V460&lt;75,W460&gt;=35,W460&lt;75),0.23,0)+IF(AND(V460&gt;=40,V460&lt;75,W460&gt;=75,W460&lt;120),0.17,0)+IF(AND(V460&gt;=40,V460&lt;75,W460&gt;=120),0.12,0)+IF(AND(V460&gt;=75,V460&lt;175,W460&lt;35),0.3,0)+IF(AND(V460&gt;=75,V460&lt;=175,W460&gt;=35,W460&lt;65),0.23,0)+IF(AND(V460&gt;=75,V460&lt;=175,W460&gt;=65,W460&lt;110),0.17,0)+IF(AND(V460&gt;=75,V460&lt;=175,W460&gt;=110),0.12,0)+IF(AND(V460&gt;175,W460&lt;25),0.3,0)+IF(AND(V460&gt;175,W460&gt;=25,W460&lt;55),0.23,0)+IF(AND(V460&gt;175,W460&gt;=55,W460&lt;95),0.17,0)+IF(AND(V460&gt;175,W460&gt;=95),0.12,0),
IF(AF460="Fix15",0.15,
IF(AF460="Fix11.25",0.1125,
IF(AF460="Fix10",0.1,
IF(AF460="Fix9",0.09,
IF(AF460="DoEV2017",IF(AND(W460&lt;74),0.2,0)+IF(AND(W460&gt;=74),0.17,0),
IF(AF460="SF",IF(AND(V460&lt;20,W460&lt;89),0.3,0)+IF(AND(V460&lt;20,W460&gt;=89),0.25,0)+IF(AND(V460&gt;=20,V460&lt;40,W460&lt;74),0.3,0)+IF(AND(V460&gt;=20,V460&lt;40,W460&gt;=75),0.22,0)+IF(AND(V460&gt;=40,V460&lt;75,W460&lt;75),0.26,0)+IF(AND(V460&gt;=40,V460&lt;75,W460&gt;=75),0.22,0)+IF(V460&gt;=75,0.22,0),
IF(AF460="DoEVold",IF(AND(V460&lt;40,W460&lt;35),0.35,0)+IF(AND(V460&lt;40,W460&gt;=35,W460&lt;75),0.25,0)+IF(AND(V460&lt;40,W460&gt;=75),0.17,0)+IF(AND(V460&gt;=40,V460&lt;75,W460&lt;25),0.35,0)+IF(AND(V460&gt;=40,V460&lt;75,W460&gt;=25,W460&lt;65),0.25,0)+IF(AND(V460&gt;=40,V460&lt;75,W460&gt;=65,W460&lt;100),0.17,0)+IF(AND(V460&gt;=40,V460&lt;75,W460&gt;=100),0.1,0)+IF(AND(V460&gt;=75,W460&lt;25),0.35,0)+IF(AND(V460&gt;=75,W460&gt;=25,W460&lt;60),0.25,0)+IF(AND(V460&gt;=75,W460&gt;=60,W460&lt;95),0.17,0)+IF(AND(V460&gt;=75,W460&gt;=95),0.1,0),
IF(AF460="DoEVold15",IF(AND(V460&lt;=40,W460&lt;35),0.35,0)+IF(AND(V460&lt;=40,W460&gt;=35,W460&lt;75),0.25,0)+IF(AND(V460&lt;=40,W460&gt;=75,W460&lt;120),0.17,0)+IF(AND(V460&lt;=40,W460&gt;=120),0.15,0)+IF(AND(V460&gt;40,V460&lt;75,W460&lt;25),0.35,0)+IF(AND(V460&gt;=40,V460&lt;75,W460&gt;=25,W460&lt;65),0.25,0)+IF(AND(V460&gt;=40,V460&lt;75,W460&gt;=65,W460&lt;100),0.17,0)+IF(AND(V460&gt;=40,V460&lt;75,W460&gt;=100),0.1,0)+IF(AND(V460&gt;=75,W460&lt;25),0.35,0)+IF(AND(V460&gt;=75,W460&gt;=25,W460&lt;60),0.25,0)+IF(AND(V460&gt;=75,W460&gt;=60,W460&lt;95),0.17,0)+IF(AND(V460&gt;=75,W460&gt;=95),0.1,0),
IF(AF460="DoEVba",IF(AND(V460&lt;20,W460&lt;105),0.2,0)+IF(AND(V460&lt;20,W460&gt;=105),0.15,0)+IF(AND(V460&gt;=20,V460&lt;40,W460&lt;95),0.2,0)+IF(AND(V460&gt;=20,V460&lt;40,W460&gt;=95,W460&lt;150),0.15,0)+IF(AND(V460&gt;=20,V460&lt;40,W460&gt;=150),0.12,0)+IF(AND(V460&gt;=40,V460&lt;75,W460&lt;75),0.2,0)+IF(AND(V460&gt;=40,V460&lt;75,W460&gt;=75,W460&lt;120),0.15,0)+IF(AND(V460&gt;=40,V460&lt;75,W460&gt;=120),0.12,0)+IF(AND(V460&gt;=75,V460&lt;175,W460&lt;65),0.2,0)+IF(AND(V460&gt;=75,V460&lt;175,W460&gt;=65,W460&lt;110),0.15,0)+IF(AND(V460&gt;=75,V460&lt;175,W460&gt;=110),0.12,0)+IF(AND(V460&gt;=175,W460&lt;55),0.2,0)+IF(AND(V460&gt;=175,W460&gt;=55,W460&lt;95),0.15,0)+IF(AND(V460&gt;=175,W460&gt;=95),0.12,0),
IF(AF460="DoEVku",IF(AND(V460&lt;20,W460&lt;55),0.23,0)+IF(AND(V460&lt;20,W460&gt;=55,W460&lt;105),0.2,0)+IF(AND(V460&lt;20,W460&gt;=105),0.17,0)+IF(AND(V460&gt;=20,V460&lt;40,W460&lt;45),0.23,0)+IF(AND(V460&gt;=20,V460&lt;40,W460&gt;=45,W460&lt;95),0.2,0)+IF(AND(V460&gt;=20,V460&lt;40,W460&gt;=95,W460&lt;=150),0.17,0)+IF(AND(V460&gt;=20,V460&lt;40,W460&gt;=150),0.12,0)+IF(AND(V460&gt;=40,V460&lt;75,W460&lt;35),0.23,0)+IF(AND(V460&gt;=40,V460&lt;75,W460&gt;=35,W460&lt;75),0.2,0)+IF(AND(V460&gt;=40,V460&lt;75,W460&gt;=75,W460&lt;120),0.17,0)+IF(AND(V460&gt;=40,V460&lt;75,W460&gt;=120),0.12,0)+IF(AND(V460&gt;=75,V460&lt;175,W460&lt;35),0.23,0)+IF(AND(V460&gt;=75,V460&lt;=175,W460&gt;=35,W460&lt;65),0.2,0)+IF(AND(V460&gt;=75,V460&lt;=175,W460&gt;=65,W460&lt;110),0.17,0)+IF(AND(V460&gt;=75,V460&lt;=175,W460&gt;=110),0.12,0)+IF(AND(V460&gt;175,W460&lt;25),0.23,0)+IF(AND(V460&gt;175,W460&gt;=25,W460&lt;55),0.2,0)+IF(AND(V460&gt;175,W460&gt;=55,W460&lt;95),0.17,0)+IF(AND(V460&gt;175,W460&gt;=95),0.12,0),
IF(AF460="DoEVs1",IF(AND(V460&lt;20,W460&lt;55),0.3,0)+IF(AND(V460&lt;20,W460&gt;=55,W460&lt;105),0.23,0)+IF(AND(V460&lt;20,W460&gt;=105),0.17,0)+IF(AND(V460&gt;=20,V460&lt;40,W460&lt;45),0.3,0)+IF(AND(V460&gt;=20,V460&lt;40,W460&gt;=45,W460&lt;95),0.23,0)+IF(AND(V460&gt;=20,V460&lt;40,W460&gt;=95,W460&lt;=150),0.17,0)+IF(AND(V460&gt;=20,V460&lt;40,W460&gt;=150),0.12,0)+IF(AND(V460&gt;=40,V460&lt;75,W460&lt;35),0.3,0)+IF(AND(V460&gt;=40,V460&lt;75,W460&gt;=35,W460&lt;75),0.23,0)+IF(AND(V460&gt;=40,V460&lt;75,W460&gt;=75,W460&lt;120),0.17,0)+IF(AND(V460&gt;=40,V460&lt;75,W460&gt;=120),0.12,0)+IF(AND(V460&gt;=75,V460&lt;175,W460&lt;35),0.3,0)+IF(AND(V460&gt;=75,V460&lt;=175,W460&gt;=35,W460&lt;65),0.23,0)+IF(AND(V460&gt;=75,V460&lt;=175,W460&gt;=65,W460&lt;110),0.17,0)+IF(AND(V460&gt;=75,V460&lt;=175,W460&gt;=110),0.12,0)+IF(AND(V460&gt;175,W460&lt;25),0.3,0)+IF(AND(V460&gt;175,W460&gt;=25,W460&lt;55),0.23,0)+IF(AND(V460&gt;175,W460&gt;=55,W460&lt;95),0.17,0)+IF(AND(V460&gt;175,W460&gt;=95),0.12,0),
IF(AF460="DoEVsu",IF(AND(V460&lt;20,W460&lt;55),0.3,0)+IF(AND(V460&lt;20,W460&gt;=55,W460&lt;105),0.23,0)+IF(AND(V460&lt;20,W460&gt;=105),0.17,0)+IF(AND(V460&gt;=20,V460&lt;40,W460&lt;45),0.3,0)+IF(AND(V460&gt;=20,V460&lt;40,W460&gt;=45,W460&lt;95),0.23,0)+IF(AND(V460&gt;=20,V460&lt;40,W460&gt;=95,W460&lt;=250),0.17,0)+IF(AND(V460&gt;=20,V460&lt;40,W460&gt;=250),0.12,0)+IF(AND(V460&gt;=40,V460&lt;75,W460&lt;35),0.3,0)+IF(AND(V460&gt;=40,V460&lt;75,W460&gt;=35,W460&lt;75),0.23,0)+IF(AND(V460&gt;=40,V460&lt;75,W460&gt;=75,W460&lt;120),0.17,0)+IF(AND(V460&gt;=40,V460&lt;75,W460&gt;=120),0.12,0)+IF(AND(V460&gt;=75,V460&lt;175,W460&lt;35),0.3,0)+IF(AND(V460&gt;=75,V460&lt;=175,W460&gt;=35,W460&lt;65),0.23,0)+IF(AND(V460&gt;=75,V460&lt;=175,W460&gt;=65,W460&lt;110),0.17,0)+IF(AND(V460&gt;=75,V460&lt;=175,W460&gt;=110),0.12,0)+IF(AND(V460&gt;175,W460&lt;25),0.3,0)+IF(AND(V460&gt;175,W460&gt;=25,W460&lt;55),0.23,0)+IF(AND(V460&gt;175,W460&gt;=55,W460&lt;95),0.17,0)+IF(AND(V460&gt;175,W460&gt;=95),0.12,0),
IF(AF460="DoEVni",IF(AND(V460&lt;20,W460&lt;55),0.3,0)+IF(AND(V460&lt;20,W460&gt;=55,W460&lt;105),0.23,0)+IF(AND(V460&lt;20,W460&gt;=105),0.17,0)+IF(AND(V460&gt;=20,V460&lt;40,W460&lt;45),0.3,0)+IF(AND(V460&gt;=20,V460&lt;40,W460&gt;=45,W460&lt;95),0.23,0)+IF(AND(V460&gt;=20,V460&lt;40,W460&gt;=95,W460&lt;=200),0.17,0)+IF(AND(V460&gt;=20,V460&lt;40,W460&gt;=200),0.12,0)+IF(AND(V460&gt;=40,V460&lt;75,W460&lt;35),0.3,0)+IF(AND(V460&gt;=40,V460&lt;75,W460&gt;=35,W460&lt;75),0.23,0)+IF(AND(V460&gt;=40,V460&lt;75,W460&gt;=75,W460&lt;120),0.17,0)+IF(AND(V460&gt;=40,V460&lt;75,W460&gt;=120),0.12,0)+IF(AND(V460&gt;=75,V460&lt;175,W460&lt;35),0.3,0)+IF(AND(V460&gt;=75,V460&lt;=175,W460&gt;=35,W460&lt;65),0.23,0)+IF(AND(V460&gt;=75,V460&lt;=175,W460&gt;=65,W460&lt;110),0.17,0)+IF(AND(V460&gt;=75,V460&lt;=175,W460&gt;=110),0.12,0)+IF(AND(V460&gt;175,W460&lt;25),0.3,0)+IF(AND(V460&gt;175,W460&gt;=25,W460&lt;55),0.23,0)+IF(AND(V460&gt;175,W460&gt;=55,W460&lt;95),0.17,0)+IF(AND(V460&gt;175,W460&gt;=95),0.12,0),
IF(AF460="DoEVLo",IF(AND(V460&lt;20,W460&lt;55),0.25,0)+IF(AND(V460&lt;20,W460&gt;=55,W460&lt;105),0.2,0)+IF(AND(V460&lt;20,W460&gt;=105),0.15,0)+IF(AND(V460&gt;=20,V460&lt;40,W460&lt;45),0.25,0)+IF(AND(V460&gt;=20,V460&lt;40,W460&gt;=45,W460&lt;95),0.2,0)+IF(AND(V460&gt;=20,V460&lt;40,W460&gt;=95),0.15,0)+IF(AND(V460&gt;=40,V460&lt;75,W460&lt;35),0.25,0)+IF(AND(V460&gt;=40,V460&lt;75,W460&gt;=35,W460&lt;75),0.2,0)+IF(AND(V460&gt;=40,V460&lt;75,W460&gt;=75,W460&lt;120),0.15,0)+IF(AND(V460&gt;=40,V460&lt;75,W460&gt;=120),0.1,0)+IF(AND(V460&gt;=75,V460&lt;175,W460&lt;35),0.25,0)+IF(AND(V460&gt;=75,V460&lt;=175,W460&gt;=35,W460&lt;65),0.2,0)+IF(AND(V460&gt;=75,V460&lt;=175,W460&gt;=65,W460&lt;110),0.15,0)+IF(AND(V460&gt;=75,V460&lt;=175,W460&gt;=110),0.1,0)+IF(AND(V460&gt;175,W460&lt;25),0.25,0)+IF(AND(V460&gt;175,W460&gt;=25,W460&lt;55),0.2,0)+IF(AND(V460&gt;175,W460&gt;=55,W460&lt;95),0.15,0)+IF(AND(V460&gt;175,W460&gt;=95),0.1,0))))))))))))))))</f>
        <v>0.25</v>
      </c>
      <c r="Y460" s="30">
        <f>IF(AG460="None",0,IF(AG460="Fix5",0.05,IF(AG460="Fix3.75",0.0375,IF(AG460="Fix10",0.1,IF(AG460="Fix3",0.03,0)))))</f>
        <v>0</v>
      </c>
      <c r="Z460" s="59">
        <f>T460-AA460-AB460</f>
        <v>-162.53300000000002</v>
      </c>
      <c r="AA460" s="60">
        <f>IF(AD460="EUR",((T460-R460)*X460)*U460+(R460*X460),(T460*X460))</f>
        <v>-54.466999999999999</v>
      </c>
      <c r="AB460" s="36">
        <f>IF(AD460="EUR",((T460-R460)*Y460)*U460+(R460*Y460),(T460*Y460))</f>
        <v>0</v>
      </c>
      <c r="AC460" s="37" t="b">
        <v>1</v>
      </c>
      <c r="AD460" s="61" t="s">
        <v>50</v>
      </c>
      <c r="AE460" s="61"/>
      <c r="AF460" s="37" t="str">
        <f t="array" ref="AF460">INDEX('Deal Info'!D:D, MATCH(A460,'Deal Info'!A:A, 0))</f>
        <v>DoEVLo</v>
      </c>
      <c r="AG460" s="38" t="str">
        <f t="array" ref="AG460">INDEX('Deal Info'!G:G, MATCH(A460,'Deal Info'!A:A, 0))</f>
        <v>None</v>
      </c>
    </row>
    <row r="461" spans="1:33" ht="14.25" x14ac:dyDescent="0.2">
      <c r="A461" s="18" t="str">
        <f t="array" ref="A461">IF(G461='Room Info'!$B$1, INDEX('Room Info'!$A$2:$A2446, MATCH(B461,'Room Info'!$B$2:$B2446, 0)),IF(G461='Room Info'!$C$1, INDEX('Room Info'!$A$2:$A2446, MATCH(B461,'Room Info'!$C$2:$C2446, 0)),IF(G461='Room Info'!$D$1, INDEX('Room Info'!$A$2:$A2446, MATCH(B461,'Room Info'!$D$2:$D2446, 0)),IF(G461='Room Info'!$E$1, INDEX('Room Info'!$A$2:$A2446, MATCH(B461,'Room Info'!$E$2:$E2446, 0)),IF(G461='Room Info'!$F$1, INDEX('Room Info'!$A$2:$A2446, MATCH(B461,'Room Info'!$F$2:$F2446, 0)),IF(G461='Room Info'!$H$1, INDEX('Room Info'!$A$2:$A2446, MATCH(B461,'Room Info'!$H$2:$H2446, 0)),IF(G461='Room Info'!$G$1, INDEX('Room Info'!$A$2:$A2446, MATCH(B461,'Room Info'!$G$2:$G2446, 0)))))))))</f>
        <v>Lo4io</v>
      </c>
      <c r="B461" s="45" t="s">
        <v>107</v>
      </c>
      <c r="C461" s="283">
        <v>44763</v>
      </c>
      <c r="D461" s="283">
        <v>44793</v>
      </c>
      <c r="E461" s="47">
        <v>44774</v>
      </c>
      <c r="F461" s="48" t="s">
        <v>34</v>
      </c>
      <c r="G461" s="45" t="s">
        <v>61</v>
      </c>
      <c r="H461" s="49" t="s">
        <v>200</v>
      </c>
      <c r="I461" s="49" t="s">
        <v>37</v>
      </c>
      <c r="J461" s="70">
        <v>100</v>
      </c>
      <c r="K461" s="71">
        <v>1464</v>
      </c>
      <c r="L461" s="72">
        <v>-2400</v>
      </c>
      <c r="M461" s="93">
        <v>3028</v>
      </c>
      <c r="N461" s="28">
        <f>K461*J461</f>
        <v>146400</v>
      </c>
      <c r="O461" s="45">
        <v>49984</v>
      </c>
      <c r="P461" s="29">
        <v>34.142076500000002</v>
      </c>
      <c r="Q461" s="55"/>
      <c r="R461" s="31">
        <f>M461+Q461</f>
        <v>3028</v>
      </c>
      <c r="S461" s="73">
        <v>-3755</v>
      </c>
      <c r="T461" s="32">
        <f>R461+S461+IF(F461="Without EV deal",L461,0)</f>
        <v>-727</v>
      </c>
      <c r="U461" s="57">
        <v>1.004</v>
      </c>
      <c r="V461" s="58">
        <v>72.441895562933894</v>
      </c>
      <c r="W461" s="58">
        <v>7.6889208333333334</v>
      </c>
      <c r="X461" s="78">
        <f>IF(AF461="DoEV",IF(AND(V461&lt;20,W461&lt;55),0.3,0)+IF(AND(V461&lt;20,W461&gt;=55,W461&lt;105),0.23,0)+IF(AND(V461&lt;20,W461&gt;=105),0.17,0)+IF(AND(V461&gt;=20,V461&lt;40,W461&lt;45),0.3,0)+IF(AND(V461&gt;=20,V461&lt;40,W461&gt;=45,W461&lt;95),0.23,0)+IF(AND(V461&gt;=20,V461&lt;40,W461&gt;=95),0.17,0)+IF(AND(V461&gt;=40,V461&lt;75,W461&lt;35),0.3,0)+IF(AND(V461&gt;=40,V461&lt;75,W461&gt;=35,W461&lt;75),0.23,0)+IF(AND(V461&gt;=40,V461&lt;75,W461&gt;=75,W461&lt;120),0.17,0)+IF(AND(V461&gt;=40,V461&lt;75,W461&gt;=120),0.12,0)+IF(AND(V461&gt;=75,V461&lt;175,W461&lt;35),0.3,0)+IF(AND(V461&gt;=75,V461&lt;=175,W461&gt;=35,W461&lt;65),0.23,0)+IF(AND(V461&gt;=75,V461&lt;=175,W461&gt;=65,W461&lt;110),0.17,0)+IF(AND(V461&gt;=75,V461&lt;=175,W461&gt;=110),0.12,0)+IF(AND(V461&gt;175,W461&lt;25),0.3,0)+IF(AND(V461&gt;175,W461&gt;=25,W461&lt;55),0.23,0)+IF(AND(V461&gt;175,W461&gt;=55,W461&lt;95),0.17,0)+IF(AND(V461&gt;175,W461&gt;=95),0.12,0),
IF(AF461="Fix15",0.15,
IF(AF461="Fix11.25",0.1125,
IF(AF461="Fix10",0.1,
IF(AF461="Fix9",0.09,
IF(AF461="DoEV2017",IF(AND(W461&lt;74),0.2,0)+IF(AND(W461&gt;=74),0.17,0),
IF(AF461="SF",IF(AND(V461&lt;20,W461&lt;89),0.3,0)+IF(AND(V461&lt;20,W461&gt;=89),0.25,0)+IF(AND(V461&gt;=20,V461&lt;40,W461&lt;74),0.3,0)+IF(AND(V461&gt;=20,V461&lt;40,W461&gt;=75),0.22,0)+IF(AND(V461&gt;=40,V461&lt;75,W461&lt;75),0.26,0)+IF(AND(V461&gt;=40,V461&lt;75,W461&gt;=75),0.22,0)+IF(V461&gt;=75,0.22,0),
IF(AF461="DoEVold",IF(AND(V461&lt;40,W461&lt;35),0.35,0)+IF(AND(V461&lt;40,W461&gt;=35,W461&lt;75),0.25,0)+IF(AND(V461&lt;40,W461&gt;=75),0.17,0)+IF(AND(V461&gt;=40,V461&lt;75,W461&lt;25),0.35,0)+IF(AND(V461&gt;=40,V461&lt;75,W461&gt;=25,W461&lt;65),0.25,0)+IF(AND(V461&gt;=40,V461&lt;75,W461&gt;=65,W461&lt;100),0.17,0)+IF(AND(V461&gt;=40,V461&lt;75,W461&gt;=100),0.1,0)+IF(AND(V461&gt;=75,W461&lt;25),0.35,0)+IF(AND(V461&gt;=75,W461&gt;=25,W461&lt;60),0.25,0)+IF(AND(V461&gt;=75,W461&gt;=60,W461&lt;95),0.17,0)+IF(AND(V461&gt;=75,W461&gt;=95),0.1,0),
IF(AF461="DoEVold15",IF(AND(V461&lt;=40,W461&lt;35),0.35,0)+IF(AND(V461&lt;=40,W461&gt;=35,W461&lt;75),0.25,0)+IF(AND(V461&lt;=40,W461&gt;=75,W461&lt;120),0.17,0)+IF(AND(V461&lt;=40,W461&gt;=120),0.15,0)+IF(AND(V461&gt;40,V461&lt;75,W461&lt;25),0.35,0)+IF(AND(V461&gt;=40,V461&lt;75,W461&gt;=25,W461&lt;65),0.25,0)+IF(AND(V461&gt;=40,V461&lt;75,W461&gt;=65,W461&lt;100),0.17,0)+IF(AND(V461&gt;=40,V461&lt;75,W461&gt;=100),0.1,0)+IF(AND(V461&gt;=75,W461&lt;25),0.35,0)+IF(AND(V461&gt;=75,W461&gt;=25,W461&lt;60),0.25,0)+IF(AND(V461&gt;=75,W461&gt;=60,W461&lt;95),0.17,0)+IF(AND(V461&gt;=75,W461&gt;=95),0.1,0),
IF(AF461="DoEVba",IF(AND(V461&lt;20,W461&lt;105),0.2,0)+IF(AND(V461&lt;20,W461&gt;=105),0.15,0)+IF(AND(V461&gt;=20,V461&lt;40,W461&lt;95),0.2,0)+IF(AND(V461&gt;=20,V461&lt;40,W461&gt;=95,W461&lt;150),0.15,0)+IF(AND(V461&gt;=20,V461&lt;40,W461&gt;=150),0.12,0)+IF(AND(V461&gt;=40,V461&lt;75,W461&lt;75),0.2,0)+IF(AND(V461&gt;=40,V461&lt;75,W461&gt;=75,W461&lt;120),0.15,0)+IF(AND(V461&gt;=40,V461&lt;75,W461&gt;=120),0.12,0)+IF(AND(V461&gt;=75,V461&lt;175,W461&lt;65),0.2,0)+IF(AND(V461&gt;=75,V461&lt;175,W461&gt;=65,W461&lt;110),0.15,0)+IF(AND(V461&gt;=75,V461&lt;175,W461&gt;=110),0.12,0)+IF(AND(V461&gt;=175,W461&lt;55),0.2,0)+IF(AND(V461&gt;=175,W461&gt;=55,W461&lt;95),0.15,0)+IF(AND(V461&gt;=175,W461&gt;=95),0.12,0),
IF(AF461="DoEVku",IF(AND(V461&lt;20,W461&lt;55),0.23,0)+IF(AND(V461&lt;20,W461&gt;=55,W461&lt;105),0.2,0)+IF(AND(V461&lt;20,W461&gt;=105),0.17,0)+IF(AND(V461&gt;=20,V461&lt;40,W461&lt;45),0.23,0)+IF(AND(V461&gt;=20,V461&lt;40,W461&gt;=45,W461&lt;95),0.2,0)+IF(AND(V461&gt;=20,V461&lt;40,W461&gt;=95,W461&lt;=150),0.17,0)+IF(AND(V461&gt;=20,V461&lt;40,W461&gt;=150),0.12,0)+IF(AND(V461&gt;=40,V461&lt;75,W461&lt;35),0.23,0)+IF(AND(V461&gt;=40,V461&lt;75,W461&gt;=35,W461&lt;75),0.2,0)+IF(AND(V461&gt;=40,V461&lt;75,W461&gt;=75,W461&lt;120),0.17,0)+IF(AND(V461&gt;=40,V461&lt;75,W461&gt;=120),0.12,0)+IF(AND(V461&gt;=75,V461&lt;175,W461&lt;35),0.23,0)+IF(AND(V461&gt;=75,V461&lt;=175,W461&gt;=35,W461&lt;65),0.2,0)+IF(AND(V461&gt;=75,V461&lt;=175,W461&gt;=65,W461&lt;110),0.17,0)+IF(AND(V461&gt;=75,V461&lt;=175,W461&gt;=110),0.12,0)+IF(AND(V461&gt;175,W461&lt;25),0.23,0)+IF(AND(V461&gt;175,W461&gt;=25,W461&lt;55),0.2,0)+IF(AND(V461&gt;175,W461&gt;=55,W461&lt;95),0.17,0)+IF(AND(V461&gt;175,W461&gt;=95),0.12,0),
IF(AF461="DoEVs1",IF(AND(V461&lt;20,W461&lt;55),0.3,0)+IF(AND(V461&lt;20,W461&gt;=55,W461&lt;105),0.23,0)+IF(AND(V461&lt;20,W461&gt;=105),0.17,0)+IF(AND(V461&gt;=20,V461&lt;40,W461&lt;45),0.3,0)+IF(AND(V461&gt;=20,V461&lt;40,W461&gt;=45,W461&lt;95),0.23,0)+IF(AND(V461&gt;=20,V461&lt;40,W461&gt;=95,W461&lt;=150),0.17,0)+IF(AND(V461&gt;=20,V461&lt;40,W461&gt;=150),0.12,0)+IF(AND(V461&gt;=40,V461&lt;75,W461&lt;35),0.3,0)+IF(AND(V461&gt;=40,V461&lt;75,W461&gt;=35,W461&lt;75),0.23,0)+IF(AND(V461&gt;=40,V461&lt;75,W461&gt;=75,W461&lt;120),0.17,0)+IF(AND(V461&gt;=40,V461&lt;75,W461&gt;=120),0.12,0)+IF(AND(V461&gt;=75,V461&lt;175,W461&lt;35),0.3,0)+IF(AND(V461&gt;=75,V461&lt;=175,W461&gt;=35,W461&lt;65),0.23,0)+IF(AND(V461&gt;=75,V461&lt;=175,W461&gt;=65,W461&lt;110),0.17,0)+IF(AND(V461&gt;=75,V461&lt;=175,W461&gt;=110),0.12,0)+IF(AND(V461&gt;175,W461&lt;25),0.3,0)+IF(AND(V461&gt;175,W461&gt;=25,W461&lt;55),0.23,0)+IF(AND(V461&gt;175,W461&gt;=55,W461&lt;95),0.17,0)+IF(AND(V461&gt;175,W461&gt;=95),0.12,0),
IF(AF461="DoEVsu",IF(AND(V461&lt;20,W461&lt;55),0.3,0)+IF(AND(V461&lt;20,W461&gt;=55,W461&lt;105),0.23,0)+IF(AND(V461&lt;20,W461&gt;=105),0.17,0)+IF(AND(V461&gt;=20,V461&lt;40,W461&lt;45),0.3,0)+IF(AND(V461&gt;=20,V461&lt;40,W461&gt;=45,W461&lt;95),0.23,0)+IF(AND(V461&gt;=20,V461&lt;40,W461&gt;=95,W461&lt;=250),0.17,0)+IF(AND(V461&gt;=20,V461&lt;40,W461&gt;=250),0.12,0)+IF(AND(V461&gt;=40,V461&lt;75,W461&lt;35),0.3,0)+IF(AND(V461&gt;=40,V461&lt;75,W461&gt;=35,W461&lt;75),0.23,0)+IF(AND(V461&gt;=40,V461&lt;75,W461&gt;=75,W461&lt;120),0.17,0)+IF(AND(V461&gt;=40,V461&lt;75,W461&gt;=120),0.12,0)+IF(AND(V461&gt;=75,V461&lt;175,W461&lt;35),0.3,0)+IF(AND(V461&gt;=75,V461&lt;=175,W461&gt;=35,W461&lt;65),0.23,0)+IF(AND(V461&gt;=75,V461&lt;=175,W461&gt;=65,W461&lt;110),0.17,0)+IF(AND(V461&gt;=75,V461&lt;=175,W461&gt;=110),0.12,0)+IF(AND(V461&gt;175,W461&lt;25),0.3,0)+IF(AND(V461&gt;175,W461&gt;=25,W461&lt;55),0.23,0)+IF(AND(V461&gt;175,W461&gt;=55,W461&lt;95),0.17,0)+IF(AND(V461&gt;175,W461&gt;=95),0.12,0),
IF(AF461="DoEVni",IF(AND(V461&lt;20,W461&lt;55),0.3,0)+IF(AND(V461&lt;20,W461&gt;=55,W461&lt;105),0.23,0)+IF(AND(V461&lt;20,W461&gt;=105),0.17,0)+IF(AND(V461&gt;=20,V461&lt;40,W461&lt;45),0.3,0)+IF(AND(V461&gt;=20,V461&lt;40,W461&gt;=45,W461&lt;95),0.23,0)+IF(AND(V461&gt;=20,V461&lt;40,W461&gt;=95,W461&lt;=200),0.17,0)+IF(AND(V461&gt;=20,V461&lt;40,W461&gt;=200),0.12,0)+IF(AND(V461&gt;=40,V461&lt;75,W461&lt;35),0.3,0)+IF(AND(V461&gt;=40,V461&lt;75,W461&gt;=35,W461&lt;75),0.23,0)+IF(AND(V461&gt;=40,V461&lt;75,W461&gt;=75,W461&lt;120),0.17,0)+IF(AND(V461&gt;=40,V461&lt;75,W461&gt;=120),0.12,0)+IF(AND(V461&gt;=75,V461&lt;175,W461&lt;35),0.3,0)+IF(AND(V461&gt;=75,V461&lt;=175,W461&gt;=35,W461&lt;65),0.23,0)+IF(AND(V461&gt;=75,V461&lt;=175,W461&gt;=65,W461&lt;110),0.17,0)+IF(AND(V461&gt;=75,V461&lt;=175,W461&gt;=110),0.12,0)+IF(AND(V461&gt;175,W461&lt;25),0.3,0)+IF(AND(V461&gt;175,W461&gt;=25,W461&lt;55),0.23,0)+IF(AND(V461&gt;175,W461&gt;=55,W461&lt;95),0.17,0)+IF(AND(V461&gt;175,W461&gt;=95),0.12,0),
IF(AF461="DoEVLo",IF(AND(V461&lt;20,W461&lt;55),0.25,0)+IF(AND(V461&lt;20,W461&gt;=55,W461&lt;105),0.2,0)+IF(AND(V461&lt;20,W461&gt;=105),0.15,0)+IF(AND(V461&gt;=20,V461&lt;40,W461&lt;45),0.25,0)+IF(AND(V461&gt;=20,V461&lt;40,W461&gt;=45,W461&lt;95),0.2,0)+IF(AND(V461&gt;=20,V461&lt;40,W461&gt;=95),0.15,0)+IF(AND(V461&gt;=40,V461&lt;75,W461&lt;35),0.25,0)+IF(AND(V461&gt;=40,V461&lt;75,W461&gt;=35,W461&lt;75),0.2,0)+IF(AND(V461&gt;=40,V461&lt;75,W461&gt;=75,W461&lt;120),0.15,0)+IF(AND(V461&gt;=40,V461&lt;75,W461&gt;=120),0.1,0)+IF(AND(V461&gt;=75,V461&lt;175,W461&lt;35),0.25,0)+IF(AND(V461&gt;=75,V461&lt;=175,W461&gt;=35,W461&lt;65),0.2,0)+IF(AND(V461&gt;=75,V461&lt;=175,W461&gt;=65,W461&lt;110),0.15,0)+IF(AND(V461&gt;=75,V461&lt;=175,W461&gt;=110),0.1,0)+IF(AND(V461&gt;175,W461&lt;25),0.25,0)+IF(AND(V461&gt;175,W461&gt;=25,W461&lt;55),0.2,0)+IF(AND(V461&gt;175,W461&gt;=55,W461&lt;95),0.15,0)+IF(AND(V461&gt;175,W461&gt;=95),0.1,0))))))))))))))))</f>
        <v>0.25</v>
      </c>
      <c r="Y461" s="30">
        <f>IF(AG461="None",0,IF(AG461="Fix5",0.05,IF(AG461="Fix3.75",0.0375,IF(AG461="Fix10",0.1,IF(AG461="Fix3",0.03,0)))))</f>
        <v>0</v>
      </c>
      <c r="Z461" s="35">
        <f>T461-AA461-AB461</f>
        <v>-541.495</v>
      </c>
      <c r="AA461" s="29">
        <f>IF(AD461="EUR",((T461-R461)*X461)*U461+(R461*X461),(T461*X461))</f>
        <v>-185.505</v>
      </c>
      <c r="AB461" s="36">
        <f>IF(AD461="EUR",((T461-R461)*Y461)*U461+(R461*Y461),(T461*Y461))</f>
        <v>0</v>
      </c>
      <c r="AC461" s="37" t="b">
        <v>1</v>
      </c>
      <c r="AD461" s="61" t="s">
        <v>50</v>
      </c>
      <c r="AE461" s="61"/>
      <c r="AF461" s="37" t="str">
        <f t="array" ref="AF461">INDEX('Deal Info'!D:D, MATCH(A461,'Deal Info'!A:A, 0))</f>
        <v>DoEVLo</v>
      </c>
      <c r="AG461" s="38" t="str">
        <f t="array" ref="AG461">INDEX('Deal Info'!G:G, MATCH(A461,'Deal Info'!A:A, 0))</f>
        <v>None</v>
      </c>
    </row>
    <row r="462" spans="1:33" ht="14.25" x14ac:dyDescent="0.2">
      <c r="A462" s="18" t="str">
        <f t="array" ref="A462">IF(G462='Room Info'!$B$1, INDEX('Room Info'!$A$2:$A2446, MATCH(B462,'Room Info'!$B$2:$B2446, 0)),IF(G462='Room Info'!$C$1, INDEX('Room Info'!$A$2:$A2446, MATCH(B462,'Room Info'!$C$2:$C2446, 0)),IF(G462='Room Info'!$D$1, INDEX('Room Info'!$A$2:$A2446, MATCH(B462,'Room Info'!$D$2:$D2446, 0)),IF(G462='Room Info'!$E$1, INDEX('Room Info'!$A$2:$A2446, MATCH(B462,'Room Info'!$E$2:$E2446, 0)),IF(G462='Room Info'!$F$1, INDEX('Room Info'!$A$2:$A2446, MATCH(B462,'Room Info'!$F$2:$F2446, 0)),IF(G462='Room Info'!$H$1, INDEX('Room Info'!$A$2:$A2446, MATCH(B462,'Room Info'!$H$2:$H2446, 0)),IF(G462='Room Info'!$G$1, INDEX('Room Info'!$A$2:$A2446, MATCH(B462,'Room Info'!$G$2:$G2446, 0)))))))))</f>
        <v>fortunate773</v>
      </c>
      <c r="B462" s="45" t="s">
        <v>66</v>
      </c>
      <c r="C462" s="46">
        <v>44774</v>
      </c>
      <c r="D462" s="46">
        <v>44804</v>
      </c>
      <c r="E462" s="47">
        <v>44774</v>
      </c>
      <c r="F462" s="133" t="s">
        <v>49</v>
      </c>
      <c r="G462" s="65" t="s">
        <v>61</v>
      </c>
      <c r="H462" s="49" t="s">
        <v>59</v>
      </c>
      <c r="I462" s="49" t="s">
        <v>101</v>
      </c>
      <c r="J462" s="50">
        <v>100</v>
      </c>
      <c r="K462" s="123">
        <v>16</v>
      </c>
      <c r="L462" s="52">
        <v>-400</v>
      </c>
      <c r="M462" s="53">
        <v>0</v>
      </c>
      <c r="N462" s="28">
        <f>K462*J462</f>
        <v>1600</v>
      </c>
      <c r="O462" s="54">
        <v>1092</v>
      </c>
      <c r="P462" s="29">
        <v>68.25</v>
      </c>
      <c r="Q462" s="55"/>
      <c r="R462" s="31">
        <f>M462+Q462</f>
        <v>0</v>
      </c>
      <c r="S462" s="56">
        <v>55</v>
      </c>
      <c r="T462" s="32">
        <f>R462+S462+IF(F462="Without EV deal",L462,0)</f>
        <v>55</v>
      </c>
      <c r="U462" s="57">
        <v>1</v>
      </c>
      <c r="V462" s="58"/>
      <c r="W462" s="58"/>
      <c r="X462" s="78">
        <f>IF(AF462="DoEV",IF(AND(V462&lt;20,W462&lt;55),0.3,0)+IF(AND(V462&lt;20,W462&gt;=55,W462&lt;105),0.23,0)+IF(AND(V462&lt;20,W462&gt;=105),0.17,0)+IF(AND(V462&gt;=20,V462&lt;40,W462&lt;45),0.3,0)+IF(AND(V462&gt;=20,V462&lt;40,W462&gt;=45,W462&lt;95),0.23,0)+IF(AND(V462&gt;=20,V462&lt;40,W462&gt;=95),0.17,0)+IF(AND(V462&gt;=40,V462&lt;75,W462&lt;35),0.3,0)+IF(AND(V462&gt;=40,V462&lt;75,W462&gt;=35,W462&lt;75),0.23,0)+IF(AND(V462&gt;=40,V462&lt;75,W462&gt;=75,W462&lt;120),0.17,0)+IF(AND(V462&gt;=40,V462&lt;75,W462&gt;=120),0.12,0)+IF(AND(V462&gt;=75,V462&lt;175,W462&lt;35),0.3,0)+IF(AND(V462&gt;=75,V462&lt;=175,W462&gt;=35,W462&lt;65),0.23,0)+IF(AND(V462&gt;=75,V462&lt;=175,W462&gt;=65,W462&lt;110),0.17,0)+IF(AND(V462&gt;=75,V462&lt;=175,W462&gt;=110),0.12,0)+IF(AND(V462&gt;175,W462&lt;25),0.3,0)+IF(AND(V462&gt;175,W462&gt;=25,W462&lt;55),0.23,0)+IF(AND(V462&gt;175,W462&gt;=55,W462&lt;95),0.17,0)+IF(AND(V462&gt;175,W462&gt;=95),0.12,0),
IF(AF462="Fix15",0.15,
IF(AF462="Fix11.25",0.1125,
IF(AF462="Fix10",0.1,
IF(AF462="Fix9",0.09,
IF(AF462="DoEV2017",IF(AND(W462&lt;74),0.2,0)+IF(AND(W462&gt;=74),0.17,0),
IF(AF462="SF",IF(AND(V462&lt;20,W462&lt;89),0.3,0)+IF(AND(V462&lt;20,W462&gt;=89),0.25,0)+IF(AND(V462&gt;=20,V462&lt;40,W462&lt;74),0.3,0)+IF(AND(V462&gt;=20,V462&lt;40,W462&gt;=75),0.22,0)+IF(AND(V462&gt;=40,V462&lt;75,W462&lt;75),0.26,0)+IF(AND(V462&gt;=40,V462&lt;75,W462&gt;=75),0.22,0)+IF(V462&gt;=75,0.22,0),
IF(AF462="DoEVold",IF(AND(V462&lt;40,W462&lt;35),0.35,0)+IF(AND(V462&lt;40,W462&gt;=35,W462&lt;75),0.25,0)+IF(AND(V462&lt;40,W462&gt;=75),0.17,0)+IF(AND(V462&gt;=40,V462&lt;75,W462&lt;25),0.35,0)+IF(AND(V462&gt;=40,V462&lt;75,W462&gt;=25,W462&lt;65),0.25,0)+IF(AND(V462&gt;=40,V462&lt;75,W462&gt;=65,W462&lt;100),0.17,0)+IF(AND(V462&gt;=40,V462&lt;75,W462&gt;=100),0.1,0)+IF(AND(V462&gt;=75,W462&lt;25),0.35,0)+IF(AND(V462&gt;=75,W462&gt;=25,W462&lt;60),0.25,0)+IF(AND(V462&gt;=75,W462&gt;=60,W462&lt;95),0.17,0)+IF(AND(V462&gt;=75,W462&gt;=95),0.1,0),
IF(AF462="DoEVold15",IF(AND(V462&lt;=40,W462&lt;35),0.35,0)+IF(AND(V462&lt;=40,W462&gt;=35,W462&lt;75),0.25,0)+IF(AND(V462&lt;=40,W462&gt;=75,W462&lt;120),0.17,0)+IF(AND(V462&lt;=40,W462&gt;=120),0.15,0)+IF(AND(V462&gt;40,V462&lt;75,W462&lt;25),0.35,0)+IF(AND(V462&gt;=40,V462&lt;75,W462&gt;=25,W462&lt;65),0.25,0)+IF(AND(V462&gt;=40,V462&lt;75,W462&gt;=65,W462&lt;100),0.17,0)+IF(AND(V462&gt;=40,V462&lt;75,W462&gt;=100),0.1,0)+IF(AND(V462&gt;=75,W462&lt;25),0.35,0)+IF(AND(V462&gt;=75,W462&gt;=25,W462&lt;60),0.25,0)+IF(AND(V462&gt;=75,W462&gt;=60,W462&lt;95),0.17,0)+IF(AND(V462&gt;=75,W462&gt;=95),0.1,0),
IF(AF462="DoEVba",IF(AND(V462&lt;20,W462&lt;105),0.2,0)+IF(AND(V462&lt;20,W462&gt;=105),0.15,0)+IF(AND(V462&gt;=20,V462&lt;40,W462&lt;95),0.2,0)+IF(AND(V462&gt;=20,V462&lt;40,W462&gt;=95,W462&lt;150),0.15,0)+IF(AND(V462&gt;=20,V462&lt;40,W462&gt;=150),0.12,0)+IF(AND(V462&gt;=40,V462&lt;75,W462&lt;75),0.2,0)+IF(AND(V462&gt;=40,V462&lt;75,W462&gt;=75,W462&lt;120),0.15,0)+IF(AND(V462&gt;=40,V462&lt;75,W462&gt;=120),0.12,0)+IF(AND(V462&gt;=75,V462&lt;175,W462&lt;65),0.2,0)+IF(AND(V462&gt;=75,V462&lt;175,W462&gt;=65,W462&lt;110),0.15,0)+IF(AND(V462&gt;=75,V462&lt;175,W462&gt;=110),0.12,0)+IF(AND(V462&gt;=175,W462&lt;55),0.2,0)+IF(AND(V462&gt;=175,W462&gt;=55,W462&lt;95),0.15,0)+IF(AND(V462&gt;=175,W462&gt;=95),0.12,0),
IF(AF462="DoEVku",IF(AND(V462&lt;20,W462&lt;55),0.23,0)+IF(AND(V462&lt;20,W462&gt;=55,W462&lt;105),0.2,0)+IF(AND(V462&lt;20,W462&gt;=105),0.17,0)+IF(AND(V462&gt;=20,V462&lt;40,W462&lt;45),0.23,0)+IF(AND(V462&gt;=20,V462&lt;40,W462&gt;=45,W462&lt;95),0.2,0)+IF(AND(V462&gt;=20,V462&lt;40,W462&gt;=95,W462&lt;=150),0.17,0)+IF(AND(V462&gt;=20,V462&lt;40,W462&gt;=150),0.12,0)+IF(AND(V462&gt;=40,V462&lt;75,W462&lt;35),0.23,0)+IF(AND(V462&gt;=40,V462&lt;75,W462&gt;=35,W462&lt;75),0.2,0)+IF(AND(V462&gt;=40,V462&lt;75,W462&gt;=75,W462&lt;120),0.17,0)+IF(AND(V462&gt;=40,V462&lt;75,W462&gt;=120),0.12,0)+IF(AND(V462&gt;=75,V462&lt;175,W462&lt;35),0.23,0)+IF(AND(V462&gt;=75,V462&lt;=175,W462&gt;=35,W462&lt;65),0.2,0)+IF(AND(V462&gt;=75,V462&lt;=175,W462&gt;=65,W462&lt;110),0.17,0)+IF(AND(V462&gt;=75,V462&lt;=175,W462&gt;=110),0.12,0)+IF(AND(V462&gt;175,W462&lt;25),0.23,0)+IF(AND(V462&gt;175,W462&gt;=25,W462&lt;55),0.2,0)+IF(AND(V462&gt;175,W462&gt;=55,W462&lt;95),0.17,0)+IF(AND(V462&gt;175,W462&gt;=95),0.12,0),
IF(AF462="DoEVs1",IF(AND(V462&lt;20,W462&lt;55),0.3,0)+IF(AND(V462&lt;20,W462&gt;=55,W462&lt;105),0.23,0)+IF(AND(V462&lt;20,W462&gt;=105),0.17,0)+IF(AND(V462&gt;=20,V462&lt;40,W462&lt;45),0.3,0)+IF(AND(V462&gt;=20,V462&lt;40,W462&gt;=45,W462&lt;95),0.23,0)+IF(AND(V462&gt;=20,V462&lt;40,W462&gt;=95,W462&lt;=150),0.17,0)+IF(AND(V462&gt;=20,V462&lt;40,W462&gt;=150),0.12,0)+IF(AND(V462&gt;=40,V462&lt;75,W462&lt;35),0.3,0)+IF(AND(V462&gt;=40,V462&lt;75,W462&gt;=35,W462&lt;75),0.23,0)+IF(AND(V462&gt;=40,V462&lt;75,W462&gt;=75,W462&lt;120),0.17,0)+IF(AND(V462&gt;=40,V462&lt;75,W462&gt;=120),0.12,0)+IF(AND(V462&gt;=75,V462&lt;175,W462&lt;35),0.3,0)+IF(AND(V462&gt;=75,V462&lt;=175,W462&gt;=35,W462&lt;65),0.23,0)+IF(AND(V462&gt;=75,V462&lt;=175,W462&gt;=65,W462&lt;110),0.17,0)+IF(AND(V462&gt;=75,V462&lt;=175,W462&gt;=110),0.12,0)+IF(AND(V462&gt;175,W462&lt;25),0.3,0)+IF(AND(V462&gt;175,W462&gt;=25,W462&lt;55),0.23,0)+IF(AND(V462&gt;175,W462&gt;=55,W462&lt;95),0.17,0)+IF(AND(V462&gt;175,W462&gt;=95),0.12,0),
IF(AF462="DoEVsu",IF(AND(V462&lt;20,W462&lt;55),0.3,0)+IF(AND(V462&lt;20,W462&gt;=55,W462&lt;105),0.23,0)+IF(AND(V462&lt;20,W462&gt;=105),0.17,0)+IF(AND(V462&gt;=20,V462&lt;40,W462&lt;45),0.3,0)+IF(AND(V462&gt;=20,V462&lt;40,W462&gt;=45,W462&lt;95),0.23,0)+IF(AND(V462&gt;=20,V462&lt;40,W462&gt;=95,W462&lt;=250),0.17,0)+IF(AND(V462&gt;=20,V462&lt;40,W462&gt;=250),0.12,0)+IF(AND(V462&gt;=40,V462&lt;75,W462&lt;35),0.3,0)+IF(AND(V462&gt;=40,V462&lt;75,W462&gt;=35,W462&lt;75),0.23,0)+IF(AND(V462&gt;=40,V462&lt;75,W462&gt;=75,W462&lt;120),0.17,0)+IF(AND(V462&gt;=40,V462&lt;75,W462&gt;=120),0.12,0)+IF(AND(V462&gt;=75,V462&lt;175,W462&lt;35),0.3,0)+IF(AND(V462&gt;=75,V462&lt;=175,W462&gt;=35,W462&lt;65),0.23,0)+IF(AND(V462&gt;=75,V462&lt;=175,W462&gt;=65,W462&lt;110),0.17,0)+IF(AND(V462&gt;=75,V462&lt;=175,W462&gt;=110),0.12,0)+IF(AND(V462&gt;175,W462&lt;25),0.3,0)+IF(AND(V462&gt;175,W462&gt;=25,W462&lt;55),0.23,0)+IF(AND(V462&gt;175,W462&gt;=55,W462&lt;95),0.17,0)+IF(AND(V462&gt;175,W462&gt;=95),0.12,0),
IF(AF462="DoEVni",IF(AND(V462&lt;20,W462&lt;55),0.3,0)+IF(AND(V462&lt;20,W462&gt;=55,W462&lt;105),0.23,0)+IF(AND(V462&lt;20,W462&gt;=105),0.17,0)+IF(AND(V462&gt;=20,V462&lt;40,W462&lt;45),0.3,0)+IF(AND(V462&gt;=20,V462&lt;40,W462&gt;=45,W462&lt;95),0.23,0)+IF(AND(V462&gt;=20,V462&lt;40,W462&gt;=95,W462&lt;=200),0.17,0)+IF(AND(V462&gt;=20,V462&lt;40,W462&gt;=200),0.12,0)+IF(AND(V462&gt;=40,V462&lt;75,W462&lt;35),0.3,0)+IF(AND(V462&gt;=40,V462&lt;75,W462&gt;=35,W462&lt;75),0.23,0)+IF(AND(V462&gt;=40,V462&lt;75,W462&gt;=75,W462&lt;120),0.17,0)+IF(AND(V462&gt;=40,V462&lt;75,W462&gt;=120),0.12,0)+IF(AND(V462&gt;=75,V462&lt;175,W462&lt;35),0.3,0)+IF(AND(V462&gt;=75,V462&lt;=175,W462&gt;=35,W462&lt;65),0.23,0)+IF(AND(V462&gt;=75,V462&lt;=175,W462&gt;=65,W462&lt;110),0.17,0)+IF(AND(V462&gt;=75,V462&lt;=175,W462&gt;=110),0.12,0)+IF(AND(V462&gt;175,W462&lt;25),0.3,0)+IF(AND(V462&gt;175,W462&gt;=25,W462&lt;55),0.23,0)+IF(AND(V462&gt;175,W462&gt;=55,W462&lt;95),0.17,0)+IF(AND(V462&gt;175,W462&gt;=95),0.12,0),
IF(AF462="DoEVLo",IF(AND(V462&lt;20,W462&lt;55),0.25,0)+IF(AND(V462&lt;20,W462&gt;=55,W462&lt;105),0.2,0)+IF(AND(V462&lt;20,W462&gt;=105),0.15,0)+IF(AND(V462&gt;=20,V462&lt;40,W462&lt;45),0.25,0)+IF(AND(V462&gt;=20,V462&lt;40,W462&gt;=45,W462&lt;95),0.2,0)+IF(AND(V462&gt;=20,V462&lt;40,W462&gt;=95),0.15,0)+IF(AND(V462&gt;=40,V462&lt;75,W462&lt;35),0.25,0)+IF(AND(V462&gt;=40,V462&lt;75,W462&gt;=35,W462&lt;75),0.2,0)+IF(AND(V462&gt;=40,V462&lt;75,W462&gt;=75,W462&lt;120),0.15,0)+IF(AND(V462&gt;=40,V462&lt;75,W462&gt;=120),0.1,0)+IF(AND(V462&gt;=75,V462&lt;175,W462&lt;35),0.25,0)+IF(AND(V462&gt;=75,V462&lt;=175,W462&gt;=35,W462&lt;65),0.2,0)+IF(AND(V462&gt;=75,V462&lt;=175,W462&gt;=65,W462&lt;110),0.15,0)+IF(AND(V462&gt;=75,V462&lt;=175,W462&gt;=110),0.1,0)+IF(AND(V462&gt;175,W462&lt;25),0.25,0)+IF(AND(V462&gt;175,W462&gt;=25,W462&lt;55),0.2,0)+IF(AND(V462&gt;175,W462&gt;=55,W462&lt;95),0.15,0)+IF(AND(V462&gt;175,W462&gt;=95),0.1,0))))))))))))))))</f>
        <v>0.15</v>
      </c>
      <c r="Y462" s="78">
        <f>IF(AG462="None",0,IF(AG462="Fix5",0.05,IF(AG462="Fix3.75",0.0375,IF(AG462="Fix10",0.1,IF(AG462="Fix3",0.03,0)))))</f>
        <v>0.05</v>
      </c>
      <c r="Z462" s="59">
        <v>44</v>
      </c>
      <c r="AA462" s="60">
        <v>11</v>
      </c>
      <c r="AB462" s="36"/>
      <c r="AC462" s="37" t="b">
        <v>1</v>
      </c>
      <c r="AD462" s="61" t="s">
        <v>50</v>
      </c>
      <c r="AE462" s="61"/>
      <c r="AF462" s="37" t="str">
        <f t="array" ref="AF462">INDEX('Deal Info'!D:D, MATCH(A462,'Deal Info'!A:A, 0))</f>
        <v>Fix15</v>
      </c>
      <c r="AG462" s="38" t="str">
        <f t="array" ref="AG462">INDEX('Deal Info'!G:G, MATCH(A462,'Deal Info'!A:A, 0))</f>
        <v>Fix5</v>
      </c>
    </row>
    <row r="463" spans="1:33" ht="14.25" x14ac:dyDescent="0.2">
      <c r="A463" s="18" t="str">
        <f t="array" ref="A463">IF(G463='Room Info'!$B$1, INDEX('Room Info'!$A$2:$A2446, MATCH(B463,'Room Info'!$B$2:$B2446, 0)),IF(G463='Room Info'!$C$1, INDEX('Room Info'!$A$2:$A2446, MATCH(B463,'Room Info'!$C$2:$C2446, 0)),IF(G463='Room Info'!$D$1, INDEX('Room Info'!$A$2:$A2446, MATCH(B463,'Room Info'!$D$2:$D2446, 0)),IF(G463='Room Info'!$E$1, INDEX('Room Info'!$A$2:$A2446, MATCH(B463,'Room Info'!$E$2:$E2446, 0)),IF(G463='Room Info'!$F$1, INDEX('Room Info'!$A$2:$A2446, MATCH(B463,'Room Info'!$F$2:$F2446, 0)),IF(G463='Room Info'!$H$1, INDEX('Room Info'!$A$2:$A2446, MATCH(B463,'Room Info'!$H$2:$H2446, 0)),IF(G463='Room Info'!$G$1, INDEX('Room Info'!$A$2:$A2446, MATCH(B463,'Room Info'!$G$2:$G2446, 0)))))))))</f>
        <v>vezuxa</v>
      </c>
      <c r="B463" s="45" t="s">
        <v>133</v>
      </c>
      <c r="C463" s="46">
        <v>44774</v>
      </c>
      <c r="D463" s="46">
        <v>44804</v>
      </c>
      <c r="E463" s="47">
        <v>44774</v>
      </c>
      <c r="F463" s="48" t="s">
        <v>41</v>
      </c>
      <c r="G463" s="45" t="s">
        <v>61</v>
      </c>
      <c r="H463" s="49" t="s">
        <v>227</v>
      </c>
      <c r="I463" s="49" t="s">
        <v>37</v>
      </c>
      <c r="J463" s="50">
        <v>10</v>
      </c>
      <c r="K463" s="123">
        <v>5</v>
      </c>
      <c r="L463" s="52">
        <v>-10</v>
      </c>
      <c r="M463" s="53">
        <v>0</v>
      </c>
      <c r="N463" s="28">
        <f>K463*J463</f>
        <v>50</v>
      </c>
      <c r="O463" s="54">
        <v>-1532</v>
      </c>
      <c r="P463" s="29">
        <v>-306.39999999999998</v>
      </c>
      <c r="Q463" s="55"/>
      <c r="R463" s="31">
        <f>M463+Q463</f>
        <v>0</v>
      </c>
      <c r="S463" s="56"/>
      <c r="T463" s="32">
        <f>R463+S463+IF(F463="Without EV deal",L463,0)</f>
        <v>-10</v>
      </c>
      <c r="U463" s="57">
        <v>1</v>
      </c>
      <c r="V463" s="58"/>
      <c r="W463" s="58"/>
      <c r="X463" s="78">
        <v>0.17</v>
      </c>
      <c r="Y463" s="78">
        <f>IF(AG463="None",0,IF(AG463="Fix5",0.05, IF(AG463="Fix6.25",0.0625,IF(AG463="Fix3.75",0.0375,IF(AG463="Fix10",0.1,IF(AG463="Fix3",0.03,0))))))</f>
        <v>0</v>
      </c>
      <c r="Z463" s="59">
        <f>T463-AA463-AB463</f>
        <v>-8.3000000000000007</v>
      </c>
      <c r="AA463" s="60">
        <f>IF(AD463="EUR",((T463-R463)*X463)*U463+(R463*X463),(T463*X463))</f>
        <v>-1.7000000000000002</v>
      </c>
      <c r="AB463" s="36">
        <f>IF(AD463="EUR",((T463-R463)*Y463)*U463+(R463*Y463),(T463*Y463))</f>
        <v>0</v>
      </c>
      <c r="AC463" s="37" t="b">
        <v>1</v>
      </c>
      <c r="AD463" s="61" t="s">
        <v>50</v>
      </c>
      <c r="AE463" s="61"/>
      <c r="AF463" s="37" t="str">
        <f t="array" ref="AF463">INDEX('Deal Info'!D:D, MATCH(A463,'Deal Info'!A:A, 0))</f>
        <v>DoEV</v>
      </c>
      <c r="AG463" s="38" t="str">
        <f t="array" ref="AG463">INDEX('Deal Info'!G:G, MATCH(A463,'Deal Info'!A:A, 0))</f>
        <v>None</v>
      </c>
    </row>
    <row r="464" spans="1:33" ht="14.25" x14ac:dyDescent="0.2">
      <c r="A464" s="18" t="str">
        <f t="array" ref="A464">IF(G464='Room Info'!$B$1, INDEX('Room Info'!$A$2:$A2446, MATCH(B464,'Room Info'!$B$2:$B2446, 0)),IF(G464='Room Info'!$C$1, INDEX('Room Info'!$A$2:$A2446, MATCH(B464,'Room Info'!$C$2:$C2446, 0)),IF(G464='Room Info'!$D$1, INDEX('Room Info'!$A$2:$A2446, MATCH(B464,'Room Info'!$D$2:$D2446, 0)),IF(G464='Room Info'!$E$1, INDEX('Room Info'!$A$2:$A2446, MATCH(B464,'Room Info'!$E$2:$E2446, 0)),IF(G464='Room Info'!$F$1, INDEX('Room Info'!$A$2:$A2446, MATCH(B464,'Room Info'!$F$2:$F2446, 0)),IF(G464='Room Info'!$H$1, INDEX('Room Info'!$A$2:$A2446, MATCH(B464,'Room Info'!$H$2:$H2446, 0)),IF(G464='Room Info'!$G$1, INDEX('Room Info'!$A$2:$A2446, MATCH(B464,'Room Info'!$G$2:$G2446, 0)))))))))</f>
        <v>fortunate773</v>
      </c>
      <c r="B464" s="45" t="s">
        <v>66</v>
      </c>
      <c r="C464" s="46">
        <v>44805</v>
      </c>
      <c r="D464" s="46">
        <v>44834</v>
      </c>
      <c r="E464" s="47">
        <v>44805</v>
      </c>
      <c r="F464" s="48" t="s">
        <v>49</v>
      </c>
      <c r="G464" s="54" t="s">
        <v>61</v>
      </c>
      <c r="H464" s="49" t="s">
        <v>67</v>
      </c>
      <c r="I464" s="49" t="s">
        <v>68</v>
      </c>
      <c r="J464" s="50">
        <v>500</v>
      </c>
      <c r="K464" s="51">
        <v>1</v>
      </c>
      <c r="L464" s="52">
        <v>-500</v>
      </c>
      <c r="M464" s="53"/>
      <c r="N464" s="28">
        <f>K464*J464</f>
        <v>500</v>
      </c>
      <c r="O464" s="54">
        <v>-33</v>
      </c>
      <c r="P464" s="29">
        <v>-33</v>
      </c>
      <c r="Q464" s="55"/>
      <c r="R464" s="31">
        <f>M464+Q464</f>
        <v>0</v>
      </c>
      <c r="S464" s="56">
        <v>-89</v>
      </c>
      <c r="T464" s="32">
        <f>R464+S464+IF(F464="Without EV deal",L464,0)</f>
        <v>-89</v>
      </c>
      <c r="U464" s="57">
        <v>1</v>
      </c>
      <c r="V464" s="58"/>
      <c r="W464" s="58"/>
      <c r="X464" s="30">
        <f>IF(AF464="DoEV",IF(AND(V464&lt;20,W464&lt;55),0.3,0)+IF(AND(V464&lt;20,W464&gt;=55,W464&lt;105),0.23,0)+IF(AND(V464&lt;20,W464&gt;=105),0.17,0)+IF(AND(V464&gt;=20,V464&lt;40,W464&lt;45),0.3,0)+IF(AND(V464&gt;=20,V464&lt;40,W464&gt;=45,W464&lt;95),0.23,0)+IF(AND(V464&gt;=20,V464&lt;40,W464&gt;=95),0.17,0)+IF(AND(V464&gt;=40,V464&lt;75,W464&lt;35),0.3,0)+IF(AND(V464&gt;=40,V464&lt;75,W464&gt;=35,W464&lt;75),0.23,0)+IF(AND(V464&gt;=40,V464&lt;75,W464&gt;=75,W464&lt;120),0.17,0)+IF(AND(V464&gt;=40,V464&lt;75,W464&gt;=120),0.12,0)+IF(AND(V464&gt;=75,V464&lt;175,W464&lt;35),0.3,0)+IF(AND(V464&gt;=75,V464&lt;=175,W464&gt;=35,W464&lt;65),0.23,0)+IF(AND(V464&gt;=75,V464&lt;=175,W464&gt;=65,W464&lt;110),0.17,0)+IF(AND(V464&gt;=75,V464&lt;=175,W464&gt;=110),0.12,0)+IF(AND(V464&gt;175,W464&lt;25),0.3,0)+IF(AND(V464&gt;175,W464&gt;=25,W464&lt;55),0.23,0)+IF(AND(V464&gt;175,W464&gt;=55,W464&lt;95),0.17,0)+IF(AND(V464&gt;175,W464&gt;=95),0.12,0),
IF(AF464="Fix15",0.15,
IF(AF464="Fix11.25",0.1125,
IF(AF464="Fix10",0.1,
IF(AF464="Fix9",0.09,
IF(AF464="DoEV2017",IF(AND(W464&lt;74),0.2,0)+IF(AND(W464&gt;=74),0.17,0),
IF(AF464="SF",IF(AND(V464&lt;20,W464&lt;89),0.3,0)+IF(AND(V464&lt;20,W464&gt;=89),0.25,0)+IF(AND(V464&gt;=20,V464&lt;40,W464&lt;74),0.3,0)+IF(AND(V464&gt;=20,V464&lt;40,W464&gt;=75),0.22,0)+IF(AND(V464&gt;=40,V464&lt;75,W464&lt;75),0.26,0)+IF(AND(V464&gt;=40,V464&lt;75,W464&gt;=75),0.22,0)+IF(V464&gt;=75,0.22,0),
IF(AF464="DoEVold",IF(AND(V464&lt;40,W464&lt;35),0.35,0)+IF(AND(V464&lt;40,W464&gt;=35,W464&lt;75),0.25,0)+IF(AND(V464&lt;40,W464&gt;=75),0.17,0)+IF(AND(V464&gt;=40,V464&lt;75,W464&lt;25),0.35,0)+IF(AND(V464&gt;=40,V464&lt;75,W464&gt;=25,W464&lt;65),0.25,0)+IF(AND(V464&gt;=40,V464&lt;75,W464&gt;=65,W464&lt;100),0.17,0)+IF(AND(V464&gt;=40,V464&lt;75,W464&gt;=100),0.1,0)+IF(AND(V464&gt;=75,W464&lt;25),0.35,0)+IF(AND(V464&gt;=75,W464&gt;=25,W464&lt;60),0.25,0)+IF(AND(V464&gt;=75,W464&gt;=60,W464&lt;95),0.17,0)+IF(AND(V464&gt;=75,W464&gt;=95),0.1,0),
IF(AF464="DoEVold15",IF(AND(V464&lt;=40,W464&lt;35),0.35,0)+IF(AND(V464&lt;=40,W464&gt;=35,W464&lt;75),0.25,0)+IF(AND(V464&lt;=40,W464&gt;=75,W464&lt;120),0.17,0)+IF(AND(V464&lt;=40,W464&gt;=120),0.15,0)+IF(AND(V464&gt;40,V464&lt;75,W464&lt;25),0.35,0)+IF(AND(V464&gt;=40,V464&lt;75,W464&gt;=25,W464&lt;65),0.25,0)+IF(AND(V464&gt;=40,V464&lt;75,W464&gt;=65,W464&lt;100),0.17,0)+IF(AND(V464&gt;=40,V464&lt;75,W464&gt;=100),0.1,0)+IF(AND(V464&gt;=75,W464&lt;25),0.35,0)+IF(AND(V464&gt;=75,W464&gt;=25,W464&lt;60),0.25,0)+IF(AND(V464&gt;=75,W464&gt;=60,W464&lt;95),0.17,0)+IF(AND(V464&gt;=75,W464&gt;=95),0.1,0),
IF(AF464="DoEVba",IF(AND(V464&lt;20,W464&lt;105),0.2,0)+IF(AND(V464&lt;20,W464&gt;=105),0.15,0)+IF(AND(V464&gt;=20,V464&lt;40,W464&lt;95),0.2,0)+IF(AND(V464&gt;=20,V464&lt;40,W464&gt;=95,W464&lt;150),0.15,0)+IF(AND(V464&gt;=20,V464&lt;40,W464&gt;=150),0.12,0)+IF(AND(V464&gt;=40,V464&lt;75,W464&lt;75),0.2,0)+IF(AND(V464&gt;=40,V464&lt;75,W464&gt;=75,W464&lt;120),0.15,0)+IF(AND(V464&gt;=40,V464&lt;75,W464&gt;=120),0.12,0)+IF(AND(V464&gt;=75,V464&lt;175,W464&lt;65),0.2,0)+IF(AND(V464&gt;=75,V464&lt;175,W464&gt;=65,W464&lt;110),0.15,0)+IF(AND(V464&gt;=75,V464&lt;175,W464&gt;=110),0.12,0)+IF(AND(V464&gt;=175,W464&lt;55),0.2,0)+IF(AND(V464&gt;=175,W464&gt;=55,W464&lt;95),0.15,0)+IF(AND(V464&gt;=175,W464&gt;=95),0.12,0),
IF(AF464="DoEVku",IF(AND(V464&lt;20,W464&lt;55),0.23,0)+IF(AND(V464&lt;20,W464&gt;=55,W464&lt;105),0.2,0)+IF(AND(V464&lt;20,W464&gt;=105),0.17,0)+IF(AND(V464&gt;=20,V464&lt;40,W464&lt;45),0.23,0)+IF(AND(V464&gt;=20,V464&lt;40,W464&gt;=45,W464&lt;95),0.2,0)+IF(AND(V464&gt;=20,V464&lt;40,W464&gt;=95,W464&lt;=150),0.17,0)+IF(AND(V464&gt;=20,V464&lt;40,W464&gt;=150),0.12,0)+IF(AND(V464&gt;=40,V464&lt;75,W464&lt;35),0.23,0)+IF(AND(V464&gt;=40,V464&lt;75,W464&gt;=35,W464&lt;75),0.2,0)+IF(AND(V464&gt;=40,V464&lt;75,W464&gt;=75,W464&lt;120),0.17,0)+IF(AND(V464&gt;=40,V464&lt;75,W464&gt;=120),0.12,0)+IF(AND(V464&gt;=75,V464&lt;175,W464&lt;35),0.23,0)+IF(AND(V464&gt;=75,V464&lt;=175,W464&gt;=35,W464&lt;65),0.2,0)+IF(AND(V464&gt;=75,V464&lt;=175,W464&gt;=65,W464&lt;110),0.17,0)+IF(AND(V464&gt;=75,V464&lt;=175,W464&gt;=110),0.12,0)+IF(AND(V464&gt;175,W464&lt;25),0.23,0)+IF(AND(V464&gt;175,W464&gt;=25,W464&lt;55),0.2,0)+IF(AND(V464&gt;175,W464&gt;=55,W464&lt;95),0.17,0)+IF(AND(V464&gt;175,W464&gt;=95),0.12,0),
IF(AF464="DoEVs1",IF(AND(V464&lt;20,W464&lt;55),0.3,0)+IF(AND(V464&lt;20,W464&gt;=55,W464&lt;105),0.23,0)+IF(AND(V464&lt;20,W464&gt;=105),0.17,0)+IF(AND(V464&gt;=20,V464&lt;40,W464&lt;45),0.3,0)+IF(AND(V464&gt;=20,V464&lt;40,W464&gt;=45,W464&lt;95),0.23,0)+IF(AND(V464&gt;=20,V464&lt;40,W464&gt;=95,W464&lt;=150),0.17,0)+IF(AND(V464&gt;=20,V464&lt;40,W464&gt;=150),0.12,0)+IF(AND(V464&gt;=40,V464&lt;75,W464&lt;35),0.3,0)+IF(AND(V464&gt;=40,V464&lt;75,W464&gt;=35,W464&lt;75),0.23,0)+IF(AND(V464&gt;=40,V464&lt;75,W464&gt;=75,W464&lt;120),0.17,0)+IF(AND(V464&gt;=40,V464&lt;75,W464&gt;=120),0.12,0)+IF(AND(V464&gt;=75,V464&lt;175,W464&lt;35),0.3,0)+IF(AND(V464&gt;=75,V464&lt;=175,W464&gt;=35,W464&lt;65),0.23,0)+IF(AND(V464&gt;=75,V464&lt;=175,W464&gt;=65,W464&lt;110),0.17,0)+IF(AND(V464&gt;=75,V464&lt;=175,W464&gt;=110),0.12,0)+IF(AND(V464&gt;175,W464&lt;25),0.3,0)+IF(AND(V464&gt;175,W464&gt;=25,W464&lt;55),0.23,0)+IF(AND(V464&gt;175,W464&gt;=55,W464&lt;95),0.17,0)+IF(AND(V464&gt;175,W464&gt;=95),0.12,0),
IF(AF464="DoEVsu",IF(AND(V464&lt;20,W464&lt;55),0.3,0)+IF(AND(V464&lt;20,W464&gt;=55,W464&lt;105),0.23,0)+IF(AND(V464&lt;20,W464&gt;=105),0.17,0)+IF(AND(V464&gt;=20,V464&lt;40,W464&lt;45),0.3,0)+IF(AND(V464&gt;=20,V464&lt;40,W464&gt;=45,W464&lt;95),0.23,0)+IF(AND(V464&gt;=20,V464&lt;40,W464&gt;=95,W464&lt;=250),0.17,0)+IF(AND(V464&gt;=20,V464&lt;40,W464&gt;=250),0.12,0)+IF(AND(V464&gt;=40,V464&lt;75,W464&lt;35),0.3,0)+IF(AND(V464&gt;=40,V464&lt;75,W464&gt;=35,W464&lt;75),0.23,0)+IF(AND(V464&gt;=40,V464&lt;75,W464&gt;=75,W464&lt;120),0.17,0)+IF(AND(V464&gt;=40,V464&lt;75,W464&gt;=120),0.12,0)+IF(AND(V464&gt;=75,V464&lt;175,W464&lt;35),0.3,0)+IF(AND(V464&gt;=75,V464&lt;=175,W464&gt;=35,W464&lt;65),0.23,0)+IF(AND(V464&gt;=75,V464&lt;=175,W464&gt;=65,W464&lt;110),0.17,0)+IF(AND(V464&gt;=75,V464&lt;=175,W464&gt;=110),0.12,0)+IF(AND(V464&gt;175,W464&lt;25),0.3,0)+IF(AND(V464&gt;175,W464&gt;=25,W464&lt;55),0.23,0)+IF(AND(V464&gt;175,W464&gt;=55,W464&lt;95),0.17,0)+IF(AND(V464&gt;175,W464&gt;=95),0.12,0),
IF(AF464="DoEVni",IF(AND(V464&lt;20,W464&lt;55),0.3,0)+IF(AND(V464&lt;20,W464&gt;=55,W464&lt;105),0.23,0)+IF(AND(V464&lt;20,W464&gt;=105),0.17,0)+IF(AND(V464&gt;=20,V464&lt;40,W464&lt;45),0.3,0)+IF(AND(V464&gt;=20,V464&lt;40,W464&gt;=45,W464&lt;95),0.23,0)+IF(AND(V464&gt;=20,V464&lt;40,W464&gt;=95,W464&lt;=200),0.17,0)+IF(AND(V464&gt;=20,V464&lt;40,W464&gt;=200),0.12,0)+IF(AND(V464&gt;=40,V464&lt;75,W464&lt;35),0.3,0)+IF(AND(V464&gt;=40,V464&lt;75,W464&gt;=35,W464&lt;75),0.23,0)+IF(AND(V464&gt;=40,V464&lt;75,W464&gt;=75,W464&lt;120),0.17,0)+IF(AND(V464&gt;=40,V464&lt;75,W464&gt;=120),0.12,0)+IF(AND(V464&gt;=75,V464&lt;175,W464&lt;35),0.3,0)+IF(AND(V464&gt;=75,V464&lt;=175,W464&gt;=35,W464&lt;65),0.23,0)+IF(AND(V464&gt;=75,V464&lt;=175,W464&gt;=65,W464&lt;110),0.17,0)+IF(AND(V464&gt;=75,V464&lt;=175,W464&gt;=110),0.12,0)+IF(AND(V464&gt;175,W464&lt;25),0.3,0)+IF(AND(V464&gt;175,W464&gt;=25,W464&lt;55),0.23,0)+IF(AND(V464&gt;175,W464&gt;=55,W464&lt;95),0.17,0)+IF(AND(V464&gt;175,W464&gt;=95),0.12,0),
IF(AF464="DoEVLo",IF(AND(V464&lt;20,W464&lt;55),0.25,0)+IF(AND(V464&lt;20,W464&gt;=55,W464&lt;105),0.2,0)+IF(AND(V464&lt;20,W464&gt;=105),0.15,0)+IF(AND(V464&gt;=20,V464&lt;40,W464&lt;45),0.25,0)+IF(AND(V464&gt;=20,V464&lt;40,W464&gt;=45,W464&lt;95),0.2,0)+IF(AND(V464&gt;=20,V464&lt;40,W464&gt;=95),0.15,0)+IF(AND(V464&gt;=40,V464&lt;75,W464&lt;35),0.25,0)+IF(AND(V464&gt;=40,V464&lt;75,W464&gt;=35,W464&lt;75),0.2,0)+IF(AND(V464&gt;=40,V464&lt;75,W464&gt;=75,W464&lt;120),0.15,0)+IF(AND(V464&gt;=40,V464&lt;75,W464&gt;=120),0.1,0)+IF(AND(V464&gt;=75,V464&lt;175,W464&lt;35),0.25,0)+IF(AND(V464&gt;=75,V464&lt;=175,W464&gt;=35,W464&lt;65),0.2,0)+IF(AND(V464&gt;=75,V464&lt;=175,W464&gt;=65,W464&lt;110),0.15,0)+IF(AND(V464&gt;=75,V464&lt;=175,W464&gt;=110),0.1,0)+IF(AND(V464&gt;175,W464&lt;25),0.25,0)+IF(AND(V464&gt;175,W464&gt;=25,W464&lt;55),0.2,0)+IF(AND(V464&gt;175,W464&gt;=55,W464&lt;95),0.15,0)+IF(AND(V464&gt;175,W464&gt;=95),0.1,0))))))))))))))))</f>
        <v>0.15</v>
      </c>
      <c r="Y464" s="30">
        <f>IF(AG464="None",0,IF(AG464="Fix5",0.05,IF(AG464="Fix3.75",0.0375,IF(AG464="Fix10",0.1,IF(AG464="Fix3",0.03,0)))))</f>
        <v>0.05</v>
      </c>
      <c r="Z464" s="59">
        <v>-71</v>
      </c>
      <c r="AA464" s="60">
        <v>-18</v>
      </c>
      <c r="AB464" s="36"/>
      <c r="AC464" s="37" t="b">
        <v>1</v>
      </c>
      <c r="AD464" s="61" t="s">
        <v>50</v>
      </c>
      <c r="AE464" s="61"/>
      <c r="AF464" s="37" t="str">
        <f t="array" ref="AF464">INDEX('Deal Info'!D:D, MATCH(A464,'Deal Info'!A:A, 0))</f>
        <v>Fix15</v>
      </c>
      <c r="AG464" s="38" t="str">
        <f t="array" ref="AG464">INDEX('Deal Info'!G:G, MATCH(A464,'Deal Info'!A:A, 0))</f>
        <v>Fix5</v>
      </c>
    </row>
    <row r="465" spans="1:33" ht="14.25" x14ac:dyDescent="0.2">
      <c r="A465" s="18" t="str">
        <f t="array" ref="A465">IF(G465='Room Info'!$B$1, INDEX('Room Info'!$A$2:$A2446, MATCH(B465,'Room Info'!$B$2:$B2446, 0)),IF(G465='Room Info'!$C$1, INDEX('Room Info'!$A$2:$A2446, MATCH(B465,'Room Info'!$C$2:$C2446, 0)),IF(G465='Room Info'!$D$1, INDEX('Room Info'!$A$2:$A2446, MATCH(B465,'Room Info'!$D$2:$D2446, 0)),IF(G465='Room Info'!$E$1, INDEX('Room Info'!$A$2:$A2446, MATCH(B465,'Room Info'!$E$2:$E2446, 0)),IF(G465='Room Info'!$F$1, INDEX('Room Info'!$A$2:$A2446, MATCH(B465,'Room Info'!$F$2:$F2446, 0)),IF(G465='Room Info'!$H$1, INDEX('Room Info'!$A$2:$A2446, MATCH(B465,'Room Info'!$H$2:$H2446, 0)),IF(G465='Room Info'!$G$1, INDEX('Room Info'!$A$2:$A2446, MATCH(B465,'Room Info'!$G$2:$G2446, 0)))))))))</f>
        <v>fortunate773</v>
      </c>
      <c r="B465" s="45" t="s">
        <v>66</v>
      </c>
      <c r="C465" s="46">
        <v>44805</v>
      </c>
      <c r="D465" s="46">
        <v>44834</v>
      </c>
      <c r="E465" s="47">
        <v>44805</v>
      </c>
      <c r="F465" s="48" t="s">
        <v>49</v>
      </c>
      <c r="G465" s="54" t="s">
        <v>61</v>
      </c>
      <c r="H465" s="49" t="s">
        <v>100</v>
      </c>
      <c r="I465" s="49" t="s">
        <v>101</v>
      </c>
      <c r="J465" s="50">
        <v>500</v>
      </c>
      <c r="K465" s="51">
        <v>387</v>
      </c>
      <c r="L465" s="52">
        <v>8000</v>
      </c>
      <c r="M465" s="53">
        <v>17803</v>
      </c>
      <c r="N465" s="28">
        <f>K465*J465</f>
        <v>193500</v>
      </c>
      <c r="O465" s="54">
        <v>33953</v>
      </c>
      <c r="P465" s="29">
        <v>87.733850129999993</v>
      </c>
      <c r="Q465" s="55"/>
      <c r="R465" s="31">
        <f>M465+Q465</f>
        <v>17803</v>
      </c>
      <c r="S465" s="56">
        <v>16468</v>
      </c>
      <c r="T465" s="32">
        <f>R465+S465+IF(F465="Without EV deal",L465,0)</f>
        <v>34271</v>
      </c>
      <c r="U465" s="57">
        <v>1</v>
      </c>
      <c r="V465" s="58"/>
      <c r="W465" s="58"/>
      <c r="X465" s="30">
        <f>IF(AF465="DoEV",IF(AND(V465&lt;20,W465&lt;55),0.3,0)+IF(AND(V465&lt;20,W465&gt;=55,W465&lt;105),0.23,0)+IF(AND(V465&lt;20,W465&gt;=105),0.17,0)+IF(AND(V465&gt;=20,V465&lt;40,W465&lt;45),0.3,0)+IF(AND(V465&gt;=20,V465&lt;40,W465&gt;=45,W465&lt;95),0.23,0)+IF(AND(V465&gt;=20,V465&lt;40,W465&gt;=95),0.17,0)+IF(AND(V465&gt;=40,V465&lt;75,W465&lt;35),0.3,0)+IF(AND(V465&gt;=40,V465&lt;75,W465&gt;=35,W465&lt;75),0.23,0)+IF(AND(V465&gt;=40,V465&lt;75,W465&gt;=75,W465&lt;120),0.17,0)+IF(AND(V465&gt;=40,V465&lt;75,W465&gt;=120),0.12,0)+IF(AND(V465&gt;=75,V465&lt;175,W465&lt;35),0.3,0)+IF(AND(V465&gt;=75,V465&lt;=175,W465&gt;=35,W465&lt;65),0.23,0)+IF(AND(V465&gt;=75,V465&lt;=175,W465&gt;=65,W465&lt;110),0.17,0)+IF(AND(V465&gt;=75,V465&lt;=175,W465&gt;=110),0.12,0)+IF(AND(V465&gt;175,W465&lt;25),0.3,0)+IF(AND(V465&gt;175,W465&gt;=25,W465&lt;55),0.23,0)+IF(AND(V465&gt;175,W465&gt;=55,W465&lt;95),0.17,0)+IF(AND(V465&gt;175,W465&gt;=95),0.12,0),
IF(AF465="Fix15",0.15,
IF(AF465="Fix11.25",0.1125,
IF(AF465="Fix10",0.1,
IF(AF465="Fix9",0.09,
IF(AF465="DoEV2017",IF(AND(W465&lt;74),0.2,0)+IF(AND(W465&gt;=74),0.17,0),
IF(AF465="SF",IF(AND(V465&lt;20,W465&lt;89),0.3,0)+IF(AND(V465&lt;20,W465&gt;=89),0.25,0)+IF(AND(V465&gt;=20,V465&lt;40,W465&lt;74),0.3,0)+IF(AND(V465&gt;=20,V465&lt;40,W465&gt;=75),0.22,0)+IF(AND(V465&gt;=40,V465&lt;75,W465&lt;75),0.26,0)+IF(AND(V465&gt;=40,V465&lt;75,W465&gt;=75),0.22,0)+IF(V465&gt;=75,0.22,0),
IF(AF465="DoEVold",IF(AND(V465&lt;40,W465&lt;35),0.35,0)+IF(AND(V465&lt;40,W465&gt;=35,W465&lt;75),0.25,0)+IF(AND(V465&lt;40,W465&gt;=75),0.17,0)+IF(AND(V465&gt;=40,V465&lt;75,W465&lt;25),0.35,0)+IF(AND(V465&gt;=40,V465&lt;75,W465&gt;=25,W465&lt;65),0.25,0)+IF(AND(V465&gt;=40,V465&lt;75,W465&gt;=65,W465&lt;100),0.17,0)+IF(AND(V465&gt;=40,V465&lt;75,W465&gt;=100),0.1,0)+IF(AND(V465&gt;=75,W465&lt;25),0.35,0)+IF(AND(V465&gt;=75,W465&gt;=25,W465&lt;60),0.25,0)+IF(AND(V465&gt;=75,W465&gt;=60,W465&lt;95),0.17,0)+IF(AND(V465&gt;=75,W465&gt;=95),0.1,0),
IF(AF465="DoEVold15",IF(AND(V465&lt;=40,W465&lt;35),0.35,0)+IF(AND(V465&lt;=40,W465&gt;=35,W465&lt;75),0.25,0)+IF(AND(V465&lt;=40,W465&gt;=75,W465&lt;120),0.17,0)+IF(AND(V465&lt;=40,W465&gt;=120),0.15,0)+IF(AND(V465&gt;40,V465&lt;75,W465&lt;25),0.35,0)+IF(AND(V465&gt;=40,V465&lt;75,W465&gt;=25,W465&lt;65),0.25,0)+IF(AND(V465&gt;=40,V465&lt;75,W465&gt;=65,W465&lt;100),0.17,0)+IF(AND(V465&gt;=40,V465&lt;75,W465&gt;=100),0.1,0)+IF(AND(V465&gt;=75,W465&lt;25),0.35,0)+IF(AND(V465&gt;=75,W465&gt;=25,W465&lt;60),0.25,0)+IF(AND(V465&gt;=75,W465&gt;=60,W465&lt;95),0.17,0)+IF(AND(V465&gt;=75,W465&gt;=95),0.1,0),
IF(AF465="DoEVba",IF(AND(V465&lt;20,W465&lt;105),0.2,0)+IF(AND(V465&lt;20,W465&gt;=105),0.15,0)+IF(AND(V465&gt;=20,V465&lt;40,W465&lt;95),0.2,0)+IF(AND(V465&gt;=20,V465&lt;40,W465&gt;=95,W465&lt;150),0.15,0)+IF(AND(V465&gt;=20,V465&lt;40,W465&gt;=150),0.12,0)+IF(AND(V465&gt;=40,V465&lt;75,W465&lt;75),0.2,0)+IF(AND(V465&gt;=40,V465&lt;75,W465&gt;=75,W465&lt;120),0.15,0)+IF(AND(V465&gt;=40,V465&lt;75,W465&gt;=120),0.12,0)+IF(AND(V465&gt;=75,V465&lt;175,W465&lt;65),0.2,0)+IF(AND(V465&gt;=75,V465&lt;175,W465&gt;=65,W465&lt;110),0.15,0)+IF(AND(V465&gt;=75,V465&lt;175,W465&gt;=110),0.12,0)+IF(AND(V465&gt;=175,W465&lt;55),0.2,0)+IF(AND(V465&gt;=175,W465&gt;=55,W465&lt;95),0.15,0)+IF(AND(V465&gt;=175,W465&gt;=95),0.12,0),
IF(AF465="DoEVku",IF(AND(V465&lt;20,W465&lt;55),0.23,0)+IF(AND(V465&lt;20,W465&gt;=55,W465&lt;105),0.2,0)+IF(AND(V465&lt;20,W465&gt;=105),0.17,0)+IF(AND(V465&gt;=20,V465&lt;40,W465&lt;45),0.23,0)+IF(AND(V465&gt;=20,V465&lt;40,W465&gt;=45,W465&lt;95),0.2,0)+IF(AND(V465&gt;=20,V465&lt;40,W465&gt;=95,W465&lt;=150),0.17,0)+IF(AND(V465&gt;=20,V465&lt;40,W465&gt;=150),0.12,0)+IF(AND(V465&gt;=40,V465&lt;75,W465&lt;35),0.23,0)+IF(AND(V465&gt;=40,V465&lt;75,W465&gt;=35,W465&lt;75),0.2,0)+IF(AND(V465&gt;=40,V465&lt;75,W465&gt;=75,W465&lt;120),0.17,0)+IF(AND(V465&gt;=40,V465&lt;75,W465&gt;=120),0.12,0)+IF(AND(V465&gt;=75,V465&lt;175,W465&lt;35),0.23,0)+IF(AND(V465&gt;=75,V465&lt;=175,W465&gt;=35,W465&lt;65),0.2,0)+IF(AND(V465&gt;=75,V465&lt;=175,W465&gt;=65,W465&lt;110),0.17,0)+IF(AND(V465&gt;=75,V465&lt;=175,W465&gt;=110),0.12,0)+IF(AND(V465&gt;175,W465&lt;25),0.23,0)+IF(AND(V465&gt;175,W465&gt;=25,W465&lt;55),0.2,0)+IF(AND(V465&gt;175,W465&gt;=55,W465&lt;95),0.17,0)+IF(AND(V465&gt;175,W465&gt;=95),0.12,0),
IF(AF465="DoEVs1",IF(AND(V465&lt;20,W465&lt;55),0.3,0)+IF(AND(V465&lt;20,W465&gt;=55,W465&lt;105),0.23,0)+IF(AND(V465&lt;20,W465&gt;=105),0.17,0)+IF(AND(V465&gt;=20,V465&lt;40,W465&lt;45),0.3,0)+IF(AND(V465&gt;=20,V465&lt;40,W465&gt;=45,W465&lt;95),0.23,0)+IF(AND(V465&gt;=20,V465&lt;40,W465&gt;=95,W465&lt;=150),0.17,0)+IF(AND(V465&gt;=20,V465&lt;40,W465&gt;=150),0.12,0)+IF(AND(V465&gt;=40,V465&lt;75,W465&lt;35),0.3,0)+IF(AND(V465&gt;=40,V465&lt;75,W465&gt;=35,W465&lt;75),0.23,0)+IF(AND(V465&gt;=40,V465&lt;75,W465&gt;=75,W465&lt;120),0.17,0)+IF(AND(V465&gt;=40,V465&lt;75,W465&gt;=120),0.12,0)+IF(AND(V465&gt;=75,V465&lt;175,W465&lt;35),0.3,0)+IF(AND(V465&gt;=75,V465&lt;=175,W465&gt;=35,W465&lt;65),0.23,0)+IF(AND(V465&gt;=75,V465&lt;=175,W465&gt;=65,W465&lt;110),0.17,0)+IF(AND(V465&gt;=75,V465&lt;=175,W465&gt;=110),0.12,0)+IF(AND(V465&gt;175,W465&lt;25),0.3,0)+IF(AND(V465&gt;175,W465&gt;=25,W465&lt;55),0.23,0)+IF(AND(V465&gt;175,W465&gt;=55,W465&lt;95),0.17,0)+IF(AND(V465&gt;175,W465&gt;=95),0.12,0),
IF(AF465="DoEVsu",IF(AND(V465&lt;20,W465&lt;55),0.3,0)+IF(AND(V465&lt;20,W465&gt;=55,W465&lt;105),0.23,0)+IF(AND(V465&lt;20,W465&gt;=105),0.17,0)+IF(AND(V465&gt;=20,V465&lt;40,W465&lt;45),0.3,0)+IF(AND(V465&gt;=20,V465&lt;40,W465&gt;=45,W465&lt;95),0.23,0)+IF(AND(V465&gt;=20,V465&lt;40,W465&gt;=95,W465&lt;=250),0.17,0)+IF(AND(V465&gt;=20,V465&lt;40,W465&gt;=250),0.12,0)+IF(AND(V465&gt;=40,V465&lt;75,W465&lt;35),0.3,0)+IF(AND(V465&gt;=40,V465&lt;75,W465&gt;=35,W465&lt;75),0.23,0)+IF(AND(V465&gt;=40,V465&lt;75,W465&gt;=75,W465&lt;120),0.17,0)+IF(AND(V465&gt;=40,V465&lt;75,W465&gt;=120),0.12,0)+IF(AND(V465&gt;=75,V465&lt;175,W465&lt;35),0.3,0)+IF(AND(V465&gt;=75,V465&lt;=175,W465&gt;=35,W465&lt;65),0.23,0)+IF(AND(V465&gt;=75,V465&lt;=175,W465&gt;=65,W465&lt;110),0.17,0)+IF(AND(V465&gt;=75,V465&lt;=175,W465&gt;=110),0.12,0)+IF(AND(V465&gt;175,W465&lt;25),0.3,0)+IF(AND(V465&gt;175,W465&gt;=25,W465&lt;55),0.23,0)+IF(AND(V465&gt;175,W465&gt;=55,W465&lt;95),0.17,0)+IF(AND(V465&gt;175,W465&gt;=95),0.12,0),
IF(AF465="DoEVni",IF(AND(V465&lt;20,W465&lt;55),0.3,0)+IF(AND(V465&lt;20,W465&gt;=55,W465&lt;105),0.23,0)+IF(AND(V465&lt;20,W465&gt;=105),0.17,0)+IF(AND(V465&gt;=20,V465&lt;40,W465&lt;45),0.3,0)+IF(AND(V465&gt;=20,V465&lt;40,W465&gt;=45,W465&lt;95),0.23,0)+IF(AND(V465&gt;=20,V465&lt;40,W465&gt;=95,W465&lt;=200),0.17,0)+IF(AND(V465&gt;=20,V465&lt;40,W465&gt;=200),0.12,0)+IF(AND(V465&gt;=40,V465&lt;75,W465&lt;35),0.3,0)+IF(AND(V465&gt;=40,V465&lt;75,W465&gt;=35,W465&lt;75),0.23,0)+IF(AND(V465&gt;=40,V465&lt;75,W465&gt;=75,W465&lt;120),0.17,0)+IF(AND(V465&gt;=40,V465&lt;75,W465&gt;=120),0.12,0)+IF(AND(V465&gt;=75,V465&lt;175,W465&lt;35),0.3,0)+IF(AND(V465&gt;=75,V465&lt;=175,W465&gt;=35,W465&lt;65),0.23,0)+IF(AND(V465&gt;=75,V465&lt;=175,W465&gt;=65,W465&lt;110),0.17,0)+IF(AND(V465&gt;=75,V465&lt;=175,W465&gt;=110),0.12,0)+IF(AND(V465&gt;175,W465&lt;25),0.3,0)+IF(AND(V465&gt;175,W465&gt;=25,W465&lt;55),0.23,0)+IF(AND(V465&gt;175,W465&gt;=55,W465&lt;95),0.17,0)+IF(AND(V465&gt;175,W465&gt;=95),0.12,0),
IF(AF465="DoEVLo",IF(AND(V465&lt;20,W465&lt;55),0.25,0)+IF(AND(V465&lt;20,W465&gt;=55,W465&lt;105),0.2,0)+IF(AND(V465&lt;20,W465&gt;=105),0.15,0)+IF(AND(V465&gt;=20,V465&lt;40,W465&lt;45),0.25,0)+IF(AND(V465&gt;=20,V465&lt;40,W465&gt;=45,W465&lt;95),0.2,0)+IF(AND(V465&gt;=20,V465&lt;40,W465&gt;=95),0.15,0)+IF(AND(V465&gt;=40,V465&lt;75,W465&lt;35),0.25,0)+IF(AND(V465&gt;=40,V465&lt;75,W465&gt;=35,W465&lt;75),0.2,0)+IF(AND(V465&gt;=40,V465&lt;75,W465&gt;=75,W465&lt;120),0.15,0)+IF(AND(V465&gt;=40,V465&lt;75,W465&gt;=120),0.1,0)+IF(AND(V465&gt;=75,V465&lt;175,W465&lt;35),0.25,0)+IF(AND(V465&gt;=75,V465&lt;=175,W465&gt;=35,W465&lt;65),0.2,0)+IF(AND(V465&gt;=75,V465&lt;=175,W465&gt;=65,W465&lt;110),0.15,0)+IF(AND(V465&gt;=75,V465&lt;=175,W465&gt;=110),0.1,0)+IF(AND(V465&gt;175,W465&lt;25),0.25,0)+IF(AND(V465&gt;175,W465&gt;=25,W465&lt;55),0.2,0)+IF(AND(V465&gt;175,W465&gt;=55,W465&lt;95),0.15,0)+IF(AND(V465&gt;175,W465&gt;=95),0.1,0))))))))))))))))</f>
        <v>0.15</v>
      </c>
      <c r="Y465" s="30">
        <f>IF(AG465="None",0,IF(AG465="Fix5",0.05,IF(AG465="Fix3.75",0.0375,IF(AG465="Fix10",0.1,IF(AG465="Fix3",0.03,0)))))</f>
        <v>0.05</v>
      </c>
      <c r="Z465" s="59">
        <v>27417</v>
      </c>
      <c r="AA465" s="60">
        <v>6854</v>
      </c>
      <c r="AB465" s="36"/>
      <c r="AC465" s="37" t="b">
        <v>1</v>
      </c>
      <c r="AD465" s="61" t="s">
        <v>50</v>
      </c>
      <c r="AE465" s="61"/>
      <c r="AF465" s="37" t="str">
        <f t="array" ref="AF465">INDEX('Deal Info'!D:D, MATCH(A465,'Deal Info'!A:A, 0))</f>
        <v>Fix15</v>
      </c>
      <c r="AG465" s="38" t="str">
        <f t="array" ref="AG465">INDEX('Deal Info'!G:G, MATCH(A465,'Deal Info'!A:A, 0))</f>
        <v>Fix5</v>
      </c>
    </row>
    <row r="466" spans="1:33" ht="14.25" x14ac:dyDescent="0.2">
      <c r="A466" s="18" t="str">
        <f t="array" ref="A466">IF(G466='Room Info'!$B$1, INDEX('Room Info'!$A$2:$A2446, MATCH(B466,'Room Info'!$B$2:$B2446, 0)),IF(G466='Room Info'!$C$1, INDEX('Room Info'!$A$2:$A2446, MATCH(B466,'Room Info'!$C$2:$C2446, 0)),IF(G466='Room Info'!$D$1, INDEX('Room Info'!$A$2:$A2446, MATCH(B466,'Room Info'!$D$2:$D2446, 0)),IF(G466='Room Info'!$E$1, INDEX('Room Info'!$A$2:$A2446, MATCH(B466,'Room Info'!$E$2:$E2446, 0)),IF(G466='Room Info'!$F$1, INDEX('Room Info'!$A$2:$A2446, MATCH(B466,'Room Info'!$F$2:$F2446, 0)),IF(G466='Room Info'!$H$1, INDEX('Room Info'!$A$2:$A2446, MATCH(B466,'Room Info'!$H$2:$H2446, 0)),IF(G466='Room Info'!$G$1, INDEX('Room Info'!$A$2:$A2446, MATCH(B466,'Room Info'!$G$2:$G2446, 0)))))))))</f>
        <v>Lo4io</v>
      </c>
      <c r="B466" s="45" t="s">
        <v>107</v>
      </c>
      <c r="C466" s="283">
        <v>44794</v>
      </c>
      <c r="D466" s="283">
        <v>44824</v>
      </c>
      <c r="E466" s="47">
        <v>44805</v>
      </c>
      <c r="F466" s="48" t="s">
        <v>34</v>
      </c>
      <c r="G466" s="45" t="s">
        <v>61</v>
      </c>
      <c r="H466" s="49" t="s">
        <v>109</v>
      </c>
      <c r="I466" s="49" t="s">
        <v>37</v>
      </c>
      <c r="J466" s="70">
        <v>50</v>
      </c>
      <c r="K466" s="71">
        <v>1679</v>
      </c>
      <c r="L466" s="135">
        <v>-3600</v>
      </c>
      <c r="M466" s="93">
        <v>2737</v>
      </c>
      <c r="N466" s="28">
        <f>K466*J466</f>
        <v>83950</v>
      </c>
      <c r="O466" s="129">
        <v>64197</v>
      </c>
      <c r="P466" s="29">
        <v>38.235259079999999</v>
      </c>
      <c r="Q466" s="55"/>
      <c r="R466" s="31">
        <f>M466+Q466</f>
        <v>2737</v>
      </c>
      <c r="S466" s="97">
        <v>-1373</v>
      </c>
      <c r="T466" s="32">
        <f>R466+S466+IF(F466="Without EV deal",L466,0)</f>
        <v>1364</v>
      </c>
      <c r="U466" s="57">
        <v>1</v>
      </c>
      <c r="V466" s="58">
        <v>54.817007534983851</v>
      </c>
      <c r="W466" s="58">
        <v>27.035405007363771</v>
      </c>
      <c r="X466" s="30">
        <f>IF(AF466="DoEV",IF(AND(V466&lt;20,W466&lt;55),0.3,0)+IF(AND(V466&lt;20,W466&gt;=55,W466&lt;105),0.23,0)+IF(AND(V466&lt;20,W466&gt;=105),0.17,0)+IF(AND(V466&gt;=20,V466&lt;40,W466&lt;45),0.3,0)+IF(AND(V466&gt;=20,V466&lt;40,W466&gt;=45,W466&lt;95),0.23,0)+IF(AND(V466&gt;=20,V466&lt;40,W466&gt;=95),0.17,0)+IF(AND(V466&gt;=40,V466&lt;75,W466&lt;35),0.3,0)+IF(AND(V466&gt;=40,V466&lt;75,W466&gt;=35,W466&lt;75),0.23,0)+IF(AND(V466&gt;=40,V466&lt;75,W466&gt;=75,W466&lt;120),0.17,0)+IF(AND(V466&gt;=40,V466&lt;75,W466&gt;=120),0.12,0)+IF(AND(V466&gt;=75,V466&lt;175,W466&lt;35),0.3,0)+IF(AND(V466&gt;=75,V466&lt;=175,W466&gt;=35,W466&lt;65),0.23,0)+IF(AND(V466&gt;=75,V466&lt;=175,W466&gt;=65,W466&lt;110),0.17,0)+IF(AND(V466&gt;=75,V466&lt;=175,W466&gt;=110),0.12,0)+IF(AND(V466&gt;175,W466&lt;25),0.3,0)+IF(AND(V466&gt;175,W466&gt;=25,W466&lt;55),0.23,0)+IF(AND(V466&gt;175,W466&gt;=55,W466&lt;95),0.17,0)+IF(AND(V466&gt;175,W466&gt;=95),0.12,0),
IF(AF466="Fix15",0.15,
IF(AF466="Fix11.25",0.1125,
IF(AF466="Fix10",0.1,
IF(AF466="Fix9",0.09,
IF(AF466="DoEV2017",IF(AND(W466&lt;74),0.2,0)+IF(AND(W466&gt;=74),0.17,0),
IF(AF466="SF",IF(AND(V466&lt;20,W466&lt;89),0.3,0)+IF(AND(V466&lt;20,W466&gt;=89),0.25,0)+IF(AND(V466&gt;=20,V466&lt;40,W466&lt;74),0.3,0)+IF(AND(V466&gt;=20,V466&lt;40,W466&gt;=75),0.22,0)+IF(AND(V466&gt;=40,V466&lt;75,W466&lt;75),0.26,0)+IF(AND(V466&gt;=40,V466&lt;75,W466&gt;=75),0.22,0)+IF(V466&gt;=75,0.22,0),
IF(AF466="DoEVold",IF(AND(V466&lt;40,W466&lt;35),0.35,0)+IF(AND(V466&lt;40,W466&gt;=35,W466&lt;75),0.25,0)+IF(AND(V466&lt;40,W466&gt;=75),0.17,0)+IF(AND(V466&gt;=40,V466&lt;75,W466&lt;25),0.35,0)+IF(AND(V466&gt;=40,V466&lt;75,W466&gt;=25,W466&lt;65),0.25,0)+IF(AND(V466&gt;=40,V466&lt;75,W466&gt;=65,W466&lt;100),0.17,0)+IF(AND(V466&gt;=40,V466&lt;75,W466&gt;=100),0.1,0)+IF(AND(V466&gt;=75,W466&lt;25),0.35,0)+IF(AND(V466&gt;=75,W466&gt;=25,W466&lt;60),0.25,0)+IF(AND(V466&gt;=75,W466&gt;=60,W466&lt;95),0.17,0)+IF(AND(V466&gt;=75,W466&gt;=95),0.1,0),
IF(AF466="DoEVold15",IF(AND(V466&lt;=40,W466&lt;35),0.35,0)+IF(AND(V466&lt;=40,W466&gt;=35,W466&lt;75),0.25,0)+IF(AND(V466&lt;=40,W466&gt;=75,W466&lt;120),0.17,0)+IF(AND(V466&lt;=40,W466&gt;=120),0.15,0)+IF(AND(V466&gt;40,V466&lt;75,W466&lt;25),0.35,0)+IF(AND(V466&gt;=40,V466&lt;75,W466&gt;=25,W466&lt;65),0.25,0)+IF(AND(V466&gt;=40,V466&lt;75,W466&gt;=65,W466&lt;100),0.17,0)+IF(AND(V466&gt;=40,V466&lt;75,W466&gt;=100),0.1,0)+IF(AND(V466&gt;=75,W466&lt;25),0.35,0)+IF(AND(V466&gt;=75,W466&gt;=25,W466&lt;60),0.25,0)+IF(AND(V466&gt;=75,W466&gt;=60,W466&lt;95),0.17,0)+IF(AND(V466&gt;=75,W466&gt;=95),0.1,0),
IF(AF466="DoEVba",IF(AND(V466&lt;20,W466&lt;105),0.2,0)+IF(AND(V466&lt;20,W466&gt;=105),0.15,0)+IF(AND(V466&gt;=20,V466&lt;40,W466&lt;95),0.2,0)+IF(AND(V466&gt;=20,V466&lt;40,W466&gt;=95,W466&lt;150),0.15,0)+IF(AND(V466&gt;=20,V466&lt;40,W466&gt;=150),0.12,0)+IF(AND(V466&gt;=40,V466&lt;75,W466&lt;75),0.2,0)+IF(AND(V466&gt;=40,V466&lt;75,W466&gt;=75,W466&lt;120),0.15,0)+IF(AND(V466&gt;=40,V466&lt;75,W466&gt;=120),0.12,0)+IF(AND(V466&gt;=75,V466&lt;175,W466&lt;65),0.2,0)+IF(AND(V466&gt;=75,V466&lt;175,W466&gt;=65,W466&lt;110),0.15,0)+IF(AND(V466&gt;=75,V466&lt;175,W466&gt;=110),0.12,0)+IF(AND(V466&gt;=175,W466&lt;55),0.2,0)+IF(AND(V466&gt;=175,W466&gt;=55,W466&lt;95),0.15,0)+IF(AND(V466&gt;=175,W466&gt;=95),0.12,0),
IF(AF466="DoEVku",IF(AND(V466&lt;20,W466&lt;55),0.23,0)+IF(AND(V466&lt;20,W466&gt;=55,W466&lt;105),0.2,0)+IF(AND(V466&lt;20,W466&gt;=105),0.17,0)+IF(AND(V466&gt;=20,V466&lt;40,W466&lt;45),0.23,0)+IF(AND(V466&gt;=20,V466&lt;40,W466&gt;=45,W466&lt;95),0.2,0)+IF(AND(V466&gt;=20,V466&lt;40,W466&gt;=95,W466&lt;=150),0.17,0)+IF(AND(V466&gt;=20,V466&lt;40,W466&gt;=150),0.12,0)+IF(AND(V466&gt;=40,V466&lt;75,W466&lt;35),0.23,0)+IF(AND(V466&gt;=40,V466&lt;75,W466&gt;=35,W466&lt;75),0.2,0)+IF(AND(V466&gt;=40,V466&lt;75,W466&gt;=75,W466&lt;120),0.17,0)+IF(AND(V466&gt;=40,V466&lt;75,W466&gt;=120),0.12,0)+IF(AND(V466&gt;=75,V466&lt;175,W466&lt;35),0.23,0)+IF(AND(V466&gt;=75,V466&lt;=175,W466&gt;=35,W466&lt;65),0.2,0)+IF(AND(V466&gt;=75,V466&lt;=175,W466&gt;=65,W466&lt;110),0.17,0)+IF(AND(V466&gt;=75,V466&lt;=175,W466&gt;=110),0.12,0)+IF(AND(V466&gt;175,W466&lt;25),0.23,0)+IF(AND(V466&gt;175,W466&gt;=25,W466&lt;55),0.2,0)+IF(AND(V466&gt;175,W466&gt;=55,W466&lt;95),0.17,0)+IF(AND(V466&gt;175,W466&gt;=95),0.12,0),
IF(AF466="DoEVs1",IF(AND(V466&lt;20,W466&lt;55),0.3,0)+IF(AND(V466&lt;20,W466&gt;=55,W466&lt;105),0.23,0)+IF(AND(V466&lt;20,W466&gt;=105),0.17,0)+IF(AND(V466&gt;=20,V466&lt;40,W466&lt;45),0.3,0)+IF(AND(V466&gt;=20,V466&lt;40,W466&gt;=45,W466&lt;95),0.23,0)+IF(AND(V466&gt;=20,V466&lt;40,W466&gt;=95,W466&lt;=150),0.17,0)+IF(AND(V466&gt;=20,V466&lt;40,W466&gt;=150),0.12,0)+IF(AND(V466&gt;=40,V466&lt;75,W466&lt;35),0.3,0)+IF(AND(V466&gt;=40,V466&lt;75,W466&gt;=35,W466&lt;75),0.23,0)+IF(AND(V466&gt;=40,V466&lt;75,W466&gt;=75,W466&lt;120),0.17,0)+IF(AND(V466&gt;=40,V466&lt;75,W466&gt;=120),0.12,0)+IF(AND(V466&gt;=75,V466&lt;175,W466&lt;35),0.3,0)+IF(AND(V466&gt;=75,V466&lt;=175,W466&gt;=35,W466&lt;65),0.23,0)+IF(AND(V466&gt;=75,V466&lt;=175,W466&gt;=65,W466&lt;110),0.17,0)+IF(AND(V466&gt;=75,V466&lt;=175,W466&gt;=110),0.12,0)+IF(AND(V466&gt;175,W466&lt;25),0.3,0)+IF(AND(V466&gt;175,W466&gt;=25,W466&lt;55),0.23,0)+IF(AND(V466&gt;175,W466&gt;=55,W466&lt;95),0.17,0)+IF(AND(V466&gt;175,W466&gt;=95),0.12,0),
IF(AF466="DoEVsu",IF(AND(V466&lt;20,W466&lt;55),0.3,0)+IF(AND(V466&lt;20,W466&gt;=55,W466&lt;105),0.23,0)+IF(AND(V466&lt;20,W466&gt;=105),0.17,0)+IF(AND(V466&gt;=20,V466&lt;40,W466&lt;45),0.3,0)+IF(AND(V466&gt;=20,V466&lt;40,W466&gt;=45,W466&lt;95),0.23,0)+IF(AND(V466&gt;=20,V466&lt;40,W466&gt;=95,W466&lt;=250),0.17,0)+IF(AND(V466&gt;=20,V466&lt;40,W466&gt;=250),0.12,0)+IF(AND(V466&gt;=40,V466&lt;75,W466&lt;35),0.3,0)+IF(AND(V466&gt;=40,V466&lt;75,W466&gt;=35,W466&lt;75),0.23,0)+IF(AND(V466&gt;=40,V466&lt;75,W466&gt;=75,W466&lt;120),0.17,0)+IF(AND(V466&gt;=40,V466&lt;75,W466&gt;=120),0.12,0)+IF(AND(V466&gt;=75,V466&lt;175,W466&lt;35),0.3,0)+IF(AND(V466&gt;=75,V466&lt;=175,W466&gt;=35,W466&lt;65),0.23,0)+IF(AND(V466&gt;=75,V466&lt;=175,W466&gt;=65,W466&lt;110),0.17,0)+IF(AND(V466&gt;=75,V466&lt;=175,W466&gt;=110),0.12,0)+IF(AND(V466&gt;175,W466&lt;25),0.3,0)+IF(AND(V466&gt;175,W466&gt;=25,W466&lt;55),0.23,0)+IF(AND(V466&gt;175,W466&gt;=55,W466&lt;95),0.17,0)+IF(AND(V466&gt;175,W466&gt;=95),0.12,0),
IF(AF466="DoEVni",IF(AND(V466&lt;20,W466&lt;55),0.3,0)+IF(AND(V466&lt;20,W466&gt;=55,W466&lt;105),0.23,0)+IF(AND(V466&lt;20,W466&gt;=105),0.17,0)+IF(AND(V466&gt;=20,V466&lt;40,W466&lt;45),0.3,0)+IF(AND(V466&gt;=20,V466&lt;40,W466&gt;=45,W466&lt;95),0.23,0)+IF(AND(V466&gt;=20,V466&lt;40,W466&gt;=95,W466&lt;=200),0.17,0)+IF(AND(V466&gt;=20,V466&lt;40,W466&gt;=200),0.12,0)+IF(AND(V466&gt;=40,V466&lt;75,W466&lt;35),0.3,0)+IF(AND(V466&gt;=40,V466&lt;75,W466&gt;=35,W466&lt;75),0.23,0)+IF(AND(V466&gt;=40,V466&lt;75,W466&gt;=75,W466&lt;120),0.17,0)+IF(AND(V466&gt;=40,V466&lt;75,W466&gt;=120),0.12,0)+IF(AND(V466&gt;=75,V466&lt;175,W466&lt;35),0.3,0)+IF(AND(V466&gt;=75,V466&lt;=175,W466&gt;=35,W466&lt;65),0.23,0)+IF(AND(V466&gt;=75,V466&lt;=175,W466&gt;=65,W466&lt;110),0.17,0)+IF(AND(V466&gt;=75,V466&lt;=175,W466&gt;=110),0.12,0)+IF(AND(V466&gt;175,W466&lt;25),0.3,0)+IF(AND(V466&gt;175,W466&gt;=25,W466&lt;55),0.23,0)+IF(AND(V466&gt;175,W466&gt;=55,W466&lt;95),0.17,0)+IF(AND(V466&gt;175,W466&gt;=95),0.12,0),
IF(AF466="DoEVLo",IF(AND(V466&lt;20,W466&lt;55),0.25,0)+IF(AND(V466&lt;20,W466&gt;=55,W466&lt;105),0.2,0)+IF(AND(V466&lt;20,W466&gt;=105),0.15,0)+IF(AND(V466&gt;=20,V466&lt;40,W466&lt;45),0.25,0)+IF(AND(V466&gt;=20,V466&lt;40,W466&gt;=45,W466&lt;95),0.2,0)+IF(AND(V466&gt;=20,V466&lt;40,W466&gt;=95),0.15,0)+IF(AND(V466&gt;=40,V466&lt;75,W466&lt;35),0.25,0)+IF(AND(V466&gt;=40,V466&lt;75,W466&gt;=35,W466&lt;75),0.2,0)+IF(AND(V466&gt;=40,V466&lt;75,W466&gt;=75,W466&lt;120),0.15,0)+IF(AND(V466&gt;=40,V466&lt;75,W466&gt;=120),0.1,0)+IF(AND(V466&gt;=75,V466&lt;175,W466&lt;35),0.25,0)+IF(AND(V466&gt;=75,V466&lt;=175,W466&gt;=35,W466&lt;65),0.2,0)+IF(AND(V466&gt;=75,V466&lt;=175,W466&gt;=65,W466&lt;110),0.15,0)+IF(AND(V466&gt;=75,V466&lt;=175,W466&gt;=110),0.1,0)+IF(AND(V466&gt;175,W466&lt;25),0.25,0)+IF(AND(V466&gt;175,W466&gt;=25,W466&lt;55),0.2,0)+IF(AND(V466&gt;175,W466&gt;=55,W466&lt;95),0.15,0)+IF(AND(V466&gt;175,W466&gt;=95),0.1,0))))))))))))))))</f>
        <v>0.25</v>
      </c>
      <c r="Y466" s="30">
        <f>IF(AG466="None",0,IF(AG466="Fix5",0.05,IF(AG466="Fix3.75",0.0375,IF(AG466="Fix10",0.1,IF(AG466="Fix3",0.03,0)))))</f>
        <v>0</v>
      </c>
      <c r="Z466" s="59">
        <f>T466-AA466-AB466</f>
        <v>1023</v>
      </c>
      <c r="AA466" s="60">
        <f>IF(AD466="EUR",((T466-R466)*X466)*U466+(R466*X466),(T466*X466))</f>
        <v>341</v>
      </c>
      <c r="AB466" s="36">
        <f>IF(AD466="EUR",((T466-R466)*Y466)*U466+(R466*Y466),(T466*Y466))</f>
        <v>0</v>
      </c>
      <c r="AC466" s="37" t="b">
        <v>1</v>
      </c>
      <c r="AD466" s="61" t="s">
        <v>38</v>
      </c>
      <c r="AE466" s="61" t="s">
        <v>38</v>
      </c>
      <c r="AF466" s="37" t="str">
        <f t="array" ref="AF466">INDEX('Deal Info'!D:D, MATCH(A466,'Deal Info'!A:A, 0))</f>
        <v>DoEVLo</v>
      </c>
      <c r="AG466" s="38" t="str">
        <f t="array" ref="AG466">INDEX('Deal Info'!G:G, MATCH(A466,'Deal Info'!A:A, 0))</f>
        <v>None</v>
      </c>
    </row>
    <row r="467" spans="1:33" ht="14.25" x14ac:dyDescent="0.2">
      <c r="A467" s="18" t="str">
        <f t="array" ref="A467">IF(G467='Room Info'!$B$1, INDEX('Room Info'!$A$2:$A2446, MATCH(B467,'Room Info'!$B$2:$B2446, 0)),IF(G467='Room Info'!$C$1, INDEX('Room Info'!$A$2:$A2446, MATCH(B467,'Room Info'!$C$2:$C2446, 0)),IF(G467='Room Info'!$D$1, INDEX('Room Info'!$A$2:$A2446, MATCH(B467,'Room Info'!$D$2:$D2446, 0)),IF(G467='Room Info'!$E$1, INDEX('Room Info'!$A$2:$A2446, MATCH(B467,'Room Info'!$E$2:$E2446, 0)),IF(G467='Room Info'!$F$1, INDEX('Room Info'!$A$2:$A2446, MATCH(B467,'Room Info'!$F$2:$F2446, 0)),IF(G467='Room Info'!$H$1, INDEX('Room Info'!$A$2:$A2446, MATCH(B467,'Room Info'!$H$2:$H2446, 0)),IF(G467='Room Info'!$G$1, INDEX('Room Info'!$A$2:$A2446, MATCH(B467,'Room Info'!$G$2:$G2446, 0)))))))))</f>
        <v>Lo4io</v>
      </c>
      <c r="B467" s="45" t="s">
        <v>107</v>
      </c>
      <c r="C467" s="46">
        <v>44794</v>
      </c>
      <c r="D467" s="46">
        <v>44824</v>
      </c>
      <c r="E467" s="47">
        <v>44805</v>
      </c>
      <c r="F467" s="48" t="s">
        <v>34</v>
      </c>
      <c r="G467" s="45" t="s">
        <v>61</v>
      </c>
      <c r="H467" s="49" t="s">
        <v>109</v>
      </c>
      <c r="I467" s="49" t="s">
        <v>37</v>
      </c>
      <c r="J467" s="50">
        <v>50</v>
      </c>
      <c r="K467" s="123">
        <v>1679</v>
      </c>
      <c r="L467" s="52">
        <v>-3600</v>
      </c>
      <c r="M467" s="53">
        <v>2737</v>
      </c>
      <c r="N467" s="28">
        <f>K467*J467</f>
        <v>83950</v>
      </c>
      <c r="O467" s="54">
        <v>64197</v>
      </c>
      <c r="P467" s="29">
        <v>38.235259079999999</v>
      </c>
      <c r="Q467" s="55"/>
      <c r="R467" s="31">
        <f>M467+Q467</f>
        <v>2737</v>
      </c>
      <c r="S467" s="56">
        <v>-1373</v>
      </c>
      <c r="T467" s="32">
        <f>R467+S467+IF(F467="Without EV deal",L467,0)</f>
        <v>1364</v>
      </c>
      <c r="U467" s="57">
        <v>1</v>
      </c>
      <c r="V467" s="58"/>
      <c r="W467" s="58"/>
      <c r="X467" s="30">
        <v>0.25</v>
      </c>
      <c r="Y467" s="30">
        <f>IF(AG467="None",0,IF(AG467="Fix5",0.05, IF(AG467="Fix6.25",0.0625,IF(AG467="Fix3.75",0.0375,IF(AG467="Fix10",0.1,IF(AG467="Fix3",0.03,0))))))</f>
        <v>0</v>
      </c>
      <c r="Z467" s="59">
        <f>T467-AA467-AB467</f>
        <v>1023</v>
      </c>
      <c r="AA467" s="60">
        <f>IF(AD467="EUR",((T467-R467)*X467)*U467+(R467*X467),(T467*X467))</f>
        <v>341</v>
      </c>
      <c r="AB467" s="36">
        <f>IF(AD467="EUR",((T467-R467)*Y467)*U467+(R467*Y467),(T467*Y467))</f>
        <v>0</v>
      </c>
      <c r="AC467" s="37" t="b">
        <v>1</v>
      </c>
      <c r="AD467" s="61" t="s">
        <v>38</v>
      </c>
      <c r="AE467" s="61" t="s">
        <v>38</v>
      </c>
      <c r="AF467" s="37" t="str">
        <f t="array" ref="AF467">INDEX('Deal Info'!D:D, MATCH(A467,'Deal Info'!A:A, 0))</f>
        <v>DoEVLo</v>
      </c>
      <c r="AG467" s="38" t="str">
        <f t="array" ref="AG467">INDEX('Deal Info'!G:G, MATCH(A467,'Deal Info'!A:A, 0))</f>
        <v>None</v>
      </c>
    </row>
    <row r="468" spans="1:33" ht="14.25" x14ac:dyDescent="0.2">
      <c r="A468" s="18" t="str">
        <f t="array" ref="A468">IF(G468='Room Info'!$B$1, INDEX('Room Info'!$A$2:$A2446, MATCH(B468,'Room Info'!$B$2:$B2446, 0)),IF(G468='Room Info'!$C$1, INDEX('Room Info'!$A$2:$A2446, MATCH(B468,'Room Info'!$C$2:$C2446, 0)),IF(G468='Room Info'!$D$1, INDEX('Room Info'!$A$2:$A2446, MATCH(B468,'Room Info'!$D$2:$D2446, 0)),IF(G468='Room Info'!$E$1, INDEX('Room Info'!$A$2:$A2446, MATCH(B468,'Room Info'!$E$2:$E2446, 0)),IF(G468='Room Info'!$F$1, INDEX('Room Info'!$A$2:$A2446, MATCH(B468,'Room Info'!$F$2:$F2446, 0)),IF(G468='Room Info'!$H$1, INDEX('Room Info'!$A$2:$A2446, MATCH(B468,'Room Info'!$H$2:$H2446, 0)),IF(G468='Room Info'!$G$1, INDEX('Room Info'!$A$2:$A2446, MATCH(B468,'Room Info'!$G$2:$G2446, 0)))))))))</f>
        <v>Mackevgen</v>
      </c>
      <c r="B468" s="45" t="s">
        <v>127</v>
      </c>
      <c r="C468" s="136">
        <v>44805</v>
      </c>
      <c r="D468" s="136">
        <v>44834</v>
      </c>
      <c r="E468" s="47">
        <v>44805</v>
      </c>
      <c r="F468" s="48" t="s">
        <v>49</v>
      </c>
      <c r="G468" s="45" t="s">
        <v>61</v>
      </c>
      <c r="H468" s="49" t="s">
        <v>112</v>
      </c>
      <c r="I468" s="49" t="s">
        <v>37</v>
      </c>
      <c r="J468" s="74">
        <v>50</v>
      </c>
      <c r="K468" s="134">
        <v>1197</v>
      </c>
      <c r="L468" s="135">
        <v>50</v>
      </c>
      <c r="M468" s="79">
        <v>103</v>
      </c>
      <c r="N468" s="28">
        <f>K468*J468</f>
        <v>59850</v>
      </c>
      <c r="O468" s="129">
        <v>104934</v>
      </c>
      <c r="P468" s="29">
        <v>87.6641604</v>
      </c>
      <c r="Q468" s="55"/>
      <c r="R468" s="31">
        <f>M468+Q468</f>
        <v>103</v>
      </c>
      <c r="S468" s="97">
        <v>4665</v>
      </c>
      <c r="T468" s="32">
        <f>R468+S468+IF(F468="Without EV deal",L468,0)</f>
        <v>4768</v>
      </c>
      <c r="U468" s="57">
        <v>1</v>
      </c>
      <c r="V468" s="58"/>
      <c r="W468" s="58"/>
      <c r="X468" s="30">
        <v>0.12</v>
      </c>
      <c r="Y468" s="30">
        <f>IF(AG468="None",0,IF(AG468="Fix5",0.05, IF(AG468="Fix6.25",0.0625,IF(AG468="Fix3.75",0.0375,IF(AG468="Fix10",0.1,IF(AG468="Fix3",0.03,0))))))</f>
        <v>0</v>
      </c>
      <c r="Z468" s="59">
        <f>T468-AA468-AB468</f>
        <v>4196</v>
      </c>
      <c r="AA468" s="60">
        <v>572</v>
      </c>
      <c r="AB468" s="36">
        <f>IF(AD468="EUR",((T468-R468)*Y468)*U468+(R468*Y468),(T468*Y468))</f>
        <v>0</v>
      </c>
      <c r="AC468" s="37" t="b">
        <v>1</v>
      </c>
      <c r="AD468" s="61" t="s">
        <v>38</v>
      </c>
      <c r="AE468" s="61" t="s">
        <v>38</v>
      </c>
      <c r="AF468" s="37" t="str">
        <f t="array" ref="AF468">INDEX('Deal Info'!D:D, MATCH(A468,'Deal Info'!A:A, 0))</f>
        <v>DoEV</v>
      </c>
      <c r="AG468" s="38" t="str">
        <f t="array" ref="AG468">INDEX('Deal Info'!G:G, MATCH(A468,'Deal Info'!A:A, 0))</f>
        <v>None</v>
      </c>
    </row>
    <row r="469" spans="1:33" ht="14.25" x14ac:dyDescent="0.2">
      <c r="A469" s="18" t="str">
        <f t="array" ref="A469">IF(G469='Room Info'!$B$1, INDEX('Room Info'!$A$2:$A2446, MATCH(B469,'Room Info'!$B$2:$B2446, 0)),IF(G469='Room Info'!$C$1, INDEX('Room Info'!$A$2:$A2446, MATCH(B469,'Room Info'!$C$2:$C2446, 0)),IF(G469='Room Info'!$D$1, INDEX('Room Info'!$A$2:$A2446, MATCH(B469,'Room Info'!$D$2:$D2446, 0)),IF(G469='Room Info'!$E$1, INDEX('Room Info'!$A$2:$A2446, MATCH(B469,'Room Info'!$E$2:$E2446, 0)),IF(G469='Room Info'!$F$1, INDEX('Room Info'!$A$2:$A2446, MATCH(B469,'Room Info'!$F$2:$F2446, 0)),IF(G469='Room Info'!$H$1, INDEX('Room Info'!$A$2:$A2446, MATCH(B469,'Room Info'!$H$2:$H2446, 0)),IF(G469='Room Info'!$G$1, INDEX('Room Info'!$A$2:$A2446, MATCH(B469,'Room Info'!$G$2:$G2446, 0)))))))))</f>
        <v>Freedoom</v>
      </c>
      <c r="B469" s="45" t="s">
        <v>110</v>
      </c>
      <c r="C469" s="46">
        <v>44805</v>
      </c>
      <c r="D469" s="46">
        <v>44834</v>
      </c>
      <c r="E469" s="47">
        <v>44805</v>
      </c>
      <c r="F469" s="48" t="s">
        <v>41</v>
      </c>
      <c r="G469" s="45" t="s">
        <v>61</v>
      </c>
      <c r="H469" s="49" t="s">
        <v>132</v>
      </c>
      <c r="I469" s="49" t="s">
        <v>37</v>
      </c>
      <c r="J469" s="70">
        <v>5</v>
      </c>
      <c r="K469" s="71">
        <v>646</v>
      </c>
      <c r="L469" s="135">
        <v>-35</v>
      </c>
      <c r="M469" s="53">
        <v>26</v>
      </c>
      <c r="N469" s="28">
        <f>K469*J469</f>
        <v>3230</v>
      </c>
      <c r="O469" s="129">
        <v>27228</v>
      </c>
      <c r="P469" s="29">
        <v>42.148606809999997</v>
      </c>
      <c r="Q469" s="55"/>
      <c r="R469" s="31">
        <f>M469+Q469</f>
        <v>26</v>
      </c>
      <c r="S469" s="97">
        <v>-45</v>
      </c>
      <c r="T469" s="32">
        <f>R469+S469+IF(F469="Without EV deal",L469,0)</f>
        <v>-54</v>
      </c>
      <c r="U469" s="57">
        <v>1</v>
      </c>
      <c r="V469" s="58"/>
      <c r="W469" s="58"/>
      <c r="X469" s="30">
        <f>IF(AF469="DoEV",IF(AND(V469&lt;20,W469&lt;55),0.3,0)+IF(AND(V469&lt;20,W469&gt;=55,W469&lt;105),0.23,0)+IF(AND(V469&lt;20,W469&gt;=105),0.17,0)+IF(AND(V469&gt;=20,V469&lt;40,W469&lt;45),0.3,0)+IF(AND(V469&gt;=20,V469&lt;40,W469&gt;=45,W469&lt;95),0.23,0)+IF(AND(V469&gt;=20,V469&lt;40,W469&gt;=95),0.17,0)+IF(AND(V469&gt;=40,V469&lt;75,W469&lt;35),0.3,0)+IF(AND(V469&gt;=40,V469&lt;75,W469&gt;=35,W469&lt;75),0.23,0)+IF(AND(V469&gt;=40,V469&lt;75,W469&gt;=75,W469&lt;120),0.17,0)+IF(AND(V469&gt;=40,V469&lt;75,W469&gt;=120),0.12,0)+IF(AND(V469&gt;=75,V469&lt;175,W469&lt;35),0.3,0)+IF(AND(V469&gt;=75,V469&lt;=175,W469&gt;=35,W469&lt;65),0.23,0)+IF(AND(V469&gt;=75,V469&lt;=175,W469&gt;=65,W469&lt;110),0.17,0)+IF(AND(V469&gt;=75,V469&lt;=175,W469&gt;=110),0.12,0)+IF(AND(V469&gt;175,W469&lt;25),0.3,0)+IF(AND(V469&gt;175,W469&gt;=25,W469&lt;55),0.23,0)+IF(AND(V469&gt;175,W469&gt;=55,W469&lt;95),0.17,0)+IF(AND(V469&gt;175,W469&gt;=95),0.12,0),
IF(AF469="Fix15",0.15,
IF(AF469="Fix11.25",0.1125,
IF(AF469="Fix10",0.1,
IF(AF469="Fix9",0.09,
IF(AF469="DoEV2017",IF(AND(W469&lt;74),0.2,0)+IF(AND(W469&gt;=74),0.17,0),
IF(AF469="SF",IF(AND(V469&lt;20,W469&lt;89),0.3,0)+IF(AND(V469&lt;20,W469&gt;=89),0.25,0)+IF(AND(V469&gt;=20,V469&lt;40,W469&lt;74),0.3,0)+IF(AND(V469&gt;=20,V469&lt;40,W469&gt;=75),0.22,0)+IF(AND(V469&gt;=40,V469&lt;75,W469&lt;75),0.26,0)+IF(AND(V469&gt;=40,V469&lt;75,W469&gt;=75),0.22,0)+IF(V469&gt;=75,0.22,0),
IF(AF469="DoEVold",IF(AND(V469&lt;40,W469&lt;35),0.35,0)+IF(AND(V469&lt;40,W469&gt;=35,W469&lt;75),0.25,0)+IF(AND(V469&lt;40,W469&gt;=75),0.17,0)+IF(AND(V469&gt;=40,V469&lt;75,W469&lt;25),0.35,0)+IF(AND(V469&gt;=40,V469&lt;75,W469&gt;=25,W469&lt;65),0.25,0)+IF(AND(V469&gt;=40,V469&lt;75,W469&gt;=65,W469&lt;100),0.17,0)+IF(AND(V469&gt;=40,V469&lt;75,W469&gt;=100),0.1,0)+IF(AND(V469&gt;=75,W469&lt;25),0.35,0)+IF(AND(V469&gt;=75,W469&gt;=25,W469&lt;60),0.25,0)+IF(AND(V469&gt;=75,W469&gt;=60,W469&lt;95),0.17,0)+IF(AND(V469&gt;=75,W469&gt;=95),0.1,0),
IF(AF469="DoEVold15",IF(AND(V469&lt;=40,W469&lt;35),0.35,0)+IF(AND(V469&lt;=40,W469&gt;=35,W469&lt;75),0.25,0)+IF(AND(V469&lt;=40,W469&gt;=75,W469&lt;120),0.17,0)+IF(AND(V469&lt;=40,W469&gt;=120),0.15,0)+IF(AND(V469&gt;40,V469&lt;75,W469&lt;25),0.35,0)+IF(AND(V469&gt;=40,V469&lt;75,W469&gt;=25,W469&lt;65),0.25,0)+IF(AND(V469&gt;=40,V469&lt;75,W469&gt;=65,W469&lt;100),0.17,0)+IF(AND(V469&gt;=40,V469&lt;75,W469&gt;=100),0.1,0)+IF(AND(V469&gt;=75,W469&lt;25),0.35,0)+IF(AND(V469&gt;=75,W469&gt;=25,W469&lt;60),0.25,0)+IF(AND(V469&gt;=75,W469&gt;=60,W469&lt;95),0.17,0)+IF(AND(V469&gt;=75,W469&gt;=95),0.1,0),
IF(AF469="DoEVba",IF(AND(V469&lt;20,W469&lt;105),0.2,0)+IF(AND(V469&lt;20,W469&gt;=105),0.15,0)+IF(AND(V469&gt;=20,V469&lt;40,W469&lt;95),0.2,0)+IF(AND(V469&gt;=20,V469&lt;40,W469&gt;=95,W469&lt;150),0.15,0)+IF(AND(V469&gt;=20,V469&lt;40,W469&gt;=150),0.12,0)+IF(AND(V469&gt;=40,V469&lt;75,W469&lt;75),0.2,0)+IF(AND(V469&gt;=40,V469&lt;75,W469&gt;=75,W469&lt;120),0.15,0)+IF(AND(V469&gt;=40,V469&lt;75,W469&gt;=120),0.12,0)+IF(AND(V469&gt;=75,V469&lt;175,W469&lt;65),0.2,0)+IF(AND(V469&gt;=75,V469&lt;175,W469&gt;=65,W469&lt;110),0.15,0)+IF(AND(V469&gt;=75,V469&lt;175,W469&gt;=110),0.12,0)+IF(AND(V469&gt;=175,W469&lt;55),0.2,0)+IF(AND(V469&gt;=175,W469&gt;=55,W469&lt;95),0.15,0)+IF(AND(V469&gt;=175,W469&gt;=95),0.12,0),
IF(AF469="DoEVku",IF(AND(V469&lt;20,W469&lt;55),0.23,0)+IF(AND(V469&lt;20,W469&gt;=55,W469&lt;105),0.2,0)+IF(AND(V469&lt;20,W469&gt;=105),0.17,0)+IF(AND(V469&gt;=20,V469&lt;40,W469&lt;45),0.23,0)+IF(AND(V469&gt;=20,V469&lt;40,W469&gt;=45,W469&lt;95),0.2,0)+IF(AND(V469&gt;=20,V469&lt;40,W469&gt;=95,W469&lt;=150),0.17,0)+IF(AND(V469&gt;=20,V469&lt;40,W469&gt;=150),0.12,0)+IF(AND(V469&gt;=40,V469&lt;75,W469&lt;35),0.23,0)+IF(AND(V469&gt;=40,V469&lt;75,W469&gt;=35,W469&lt;75),0.2,0)+IF(AND(V469&gt;=40,V469&lt;75,W469&gt;=75,W469&lt;120),0.17,0)+IF(AND(V469&gt;=40,V469&lt;75,W469&gt;=120),0.12,0)+IF(AND(V469&gt;=75,V469&lt;175,W469&lt;35),0.23,0)+IF(AND(V469&gt;=75,V469&lt;=175,W469&gt;=35,W469&lt;65),0.2,0)+IF(AND(V469&gt;=75,V469&lt;=175,W469&gt;=65,W469&lt;110),0.17,0)+IF(AND(V469&gt;=75,V469&lt;=175,W469&gt;=110),0.12,0)+IF(AND(V469&gt;175,W469&lt;25),0.23,0)+IF(AND(V469&gt;175,W469&gt;=25,W469&lt;55),0.2,0)+IF(AND(V469&gt;175,W469&gt;=55,W469&lt;95),0.17,0)+IF(AND(V469&gt;175,W469&gt;=95),0.12,0),
IF(AF469="DoEVs1",IF(AND(V469&lt;20,W469&lt;55),0.3,0)+IF(AND(V469&lt;20,W469&gt;=55,W469&lt;105),0.23,0)+IF(AND(V469&lt;20,W469&gt;=105),0.17,0)+IF(AND(V469&gt;=20,V469&lt;40,W469&lt;45),0.3,0)+IF(AND(V469&gt;=20,V469&lt;40,W469&gt;=45,W469&lt;95),0.23,0)+IF(AND(V469&gt;=20,V469&lt;40,W469&gt;=95,W469&lt;=150),0.17,0)+IF(AND(V469&gt;=20,V469&lt;40,W469&gt;=150),0.12,0)+IF(AND(V469&gt;=40,V469&lt;75,W469&lt;35),0.3,0)+IF(AND(V469&gt;=40,V469&lt;75,W469&gt;=35,W469&lt;75),0.23,0)+IF(AND(V469&gt;=40,V469&lt;75,W469&gt;=75,W469&lt;120),0.17,0)+IF(AND(V469&gt;=40,V469&lt;75,W469&gt;=120),0.12,0)+IF(AND(V469&gt;=75,V469&lt;175,W469&lt;35),0.3,0)+IF(AND(V469&gt;=75,V469&lt;=175,W469&gt;=35,W469&lt;65),0.23,0)+IF(AND(V469&gt;=75,V469&lt;=175,W469&gt;=65,W469&lt;110),0.17,0)+IF(AND(V469&gt;=75,V469&lt;=175,W469&gt;=110),0.12,0)+IF(AND(V469&gt;175,W469&lt;25),0.3,0)+IF(AND(V469&gt;175,W469&gt;=25,W469&lt;55),0.23,0)+IF(AND(V469&gt;175,W469&gt;=55,W469&lt;95),0.17,0)+IF(AND(V469&gt;175,W469&gt;=95),0.12,0),
IF(AF469="DoEVsu",IF(AND(V469&lt;20,W469&lt;55),0.3,0)+IF(AND(V469&lt;20,W469&gt;=55,W469&lt;105),0.23,0)+IF(AND(V469&lt;20,W469&gt;=105),0.17,0)+IF(AND(V469&gt;=20,V469&lt;40,W469&lt;45),0.3,0)+IF(AND(V469&gt;=20,V469&lt;40,W469&gt;=45,W469&lt;95),0.23,0)+IF(AND(V469&gt;=20,V469&lt;40,W469&gt;=95,W469&lt;=250),0.17,0)+IF(AND(V469&gt;=20,V469&lt;40,W469&gt;=250),0.12,0)+IF(AND(V469&gt;=40,V469&lt;75,W469&lt;35),0.3,0)+IF(AND(V469&gt;=40,V469&lt;75,W469&gt;=35,W469&lt;75),0.23,0)+IF(AND(V469&gt;=40,V469&lt;75,W469&gt;=75,W469&lt;120),0.17,0)+IF(AND(V469&gt;=40,V469&lt;75,W469&gt;=120),0.12,0)+IF(AND(V469&gt;=75,V469&lt;175,W469&lt;35),0.3,0)+IF(AND(V469&gt;=75,V469&lt;=175,W469&gt;=35,W469&lt;65),0.23,0)+IF(AND(V469&gt;=75,V469&lt;=175,W469&gt;=65,W469&lt;110),0.17,0)+IF(AND(V469&gt;=75,V469&lt;=175,W469&gt;=110),0.12,0)+IF(AND(V469&gt;175,W469&lt;25),0.3,0)+IF(AND(V469&gt;175,W469&gt;=25,W469&lt;55),0.23,0)+IF(AND(V469&gt;175,W469&gt;=55,W469&lt;95),0.17,0)+IF(AND(V469&gt;175,W469&gt;=95),0.12,0),
IF(AF469="DoEVni",IF(AND(V469&lt;20,W469&lt;55),0.3,0)+IF(AND(V469&lt;20,W469&gt;=55,W469&lt;105),0.23,0)+IF(AND(V469&lt;20,W469&gt;=105),0.17,0)+IF(AND(V469&gt;=20,V469&lt;40,W469&lt;45),0.3,0)+IF(AND(V469&gt;=20,V469&lt;40,W469&gt;=45,W469&lt;95),0.23,0)+IF(AND(V469&gt;=20,V469&lt;40,W469&gt;=95,W469&lt;=200),0.17,0)+IF(AND(V469&gt;=20,V469&lt;40,W469&gt;=200),0.12,0)+IF(AND(V469&gt;=40,V469&lt;75,W469&lt;35),0.3,0)+IF(AND(V469&gt;=40,V469&lt;75,W469&gt;=35,W469&lt;75),0.23,0)+IF(AND(V469&gt;=40,V469&lt;75,W469&gt;=75,W469&lt;120),0.17,0)+IF(AND(V469&gt;=40,V469&lt;75,W469&gt;=120),0.12,0)+IF(AND(V469&gt;=75,V469&lt;175,W469&lt;35),0.3,0)+IF(AND(V469&gt;=75,V469&lt;=175,W469&gt;=35,W469&lt;65),0.23,0)+IF(AND(V469&gt;=75,V469&lt;=175,W469&gt;=65,W469&lt;110),0.17,0)+IF(AND(V469&gt;=75,V469&lt;=175,W469&gt;=110),0.12,0)+IF(AND(V469&gt;175,W469&lt;25),0.3,0)+IF(AND(V469&gt;175,W469&gt;=25,W469&lt;55),0.23,0)+IF(AND(V469&gt;175,W469&gt;=55,W469&lt;95),0.17,0)+IF(AND(V469&gt;175,W469&gt;=95),0.12,0),
IF(AF469="DoEVLo",IF(AND(V469&lt;20,W469&lt;55),0.25,0)+IF(AND(V469&lt;20,W469&gt;=55,W469&lt;105),0.2,0)+IF(AND(V469&lt;20,W469&gt;=105),0.15,0)+IF(AND(V469&gt;=20,V469&lt;40,W469&lt;45),0.25,0)+IF(AND(V469&gt;=20,V469&lt;40,W469&gt;=45,W469&lt;95),0.2,0)+IF(AND(V469&gt;=20,V469&lt;40,W469&gt;=95),0.15,0)+IF(AND(V469&gt;=40,V469&lt;75,W469&lt;35),0.25,0)+IF(AND(V469&gt;=40,V469&lt;75,W469&gt;=35,W469&lt;75),0.2,0)+IF(AND(V469&gt;=40,V469&lt;75,W469&gt;=75,W469&lt;120),0.15,0)+IF(AND(V469&gt;=40,V469&lt;75,W469&gt;=120),0.1,0)+IF(AND(V469&gt;=75,V469&lt;175,W469&lt;35),0.25,0)+IF(AND(V469&gt;=75,V469&lt;=175,W469&gt;=35,W469&lt;65),0.2,0)+IF(AND(V469&gt;=75,V469&lt;=175,W469&gt;=65,W469&lt;110),0.15,0)+IF(AND(V469&gt;=75,V469&lt;=175,W469&gt;=110),0.1,0)+IF(AND(V469&gt;175,W469&lt;25),0.25,0)+IF(AND(V469&gt;175,W469&gt;=25,W469&lt;55),0.2,0)+IF(AND(V469&gt;175,W469&gt;=55,W469&lt;95),0.15,0)+IF(AND(V469&gt;175,W469&gt;=95),0.1,0))))))))))))))))</f>
        <v>0.35</v>
      </c>
      <c r="Y469" s="30">
        <f>IF(AG469="None",0,IF(AG469="Fix5",0.05,IF(AG469="Fix3.75",0.0375,IF(AG469="Fix10",0.1,IF(AG469="Fix3",0.03,0)))))</f>
        <v>0</v>
      </c>
      <c r="Z469" s="59">
        <v>-7</v>
      </c>
      <c r="AA469" s="60">
        <v>-2</v>
      </c>
      <c r="AB469" s="36">
        <f>IF(AD469="EUR",((T469-R469)*Y469)*U469+(R469*Y469),(T469*Y469))</f>
        <v>0</v>
      </c>
      <c r="AC469" s="37" t="b">
        <v>1</v>
      </c>
      <c r="AD469" s="61" t="s">
        <v>38</v>
      </c>
      <c r="AE469" s="61" t="s">
        <v>38</v>
      </c>
      <c r="AF469" s="37" t="str">
        <f t="array" ref="AF469">INDEX('Deal Info'!D:D, MATCH(A469,'Deal Info'!A:A, 0))</f>
        <v>DoEVold</v>
      </c>
      <c r="AG469" s="38" t="str">
        <f t="array" ref="AG469">INDEX('Deal Info'!G:G, MATCH(A469,'Deal Info'!A:A, 0))</f>
        <v>None</v>
      </c>
    </row>
    <row r="470" spans="1:33" ht="14.25" x14ac:dyDescent="0.2">
      <c r="A470" s="18" t="str">
        <f t="array" ref="A470">IF(G470='Room Info'!$B$1, INDEX('Room Info'!$A$2:$A2446, MATCH(B470,'Room Info'!$B$2:$B2446, 0)),IF(G470='Room Info'!$C$1, INDEX('Room Info'!$A$2:$A2446, MATCH(B470,'Room Info'!$C$2:$C2446, 0)),IF(G470='Room Info'!$D$1, INDEX('Room Info'!$A$2:$A2446, MATCH(B470,'Room Info'!$D$2:$D2446, 0)),IF(G470='Room Info'!$E$1, INDEX('Room Info'!$A$2:$A2446, MATCH(B470,'Room Info'!$E$2:$E2446, 0)),IF(G470='Room Info'!$F$1, INDEX('Room Info'!$A$2:$A2446, MATCH(B470,'Room Info'!$F$2:$F2446, 0)),IF(G470='Room Info'!$H$1, INDEX('Room Info'!$A$2:$A2446, MATCH(B470,'Room Info'!$H$2:$H2446, 0)),IF(G470='Room Info'!$G$1, INDEX('Room Info'!$A$2:$A2446, MATCH(B470,'Room Info'!$G$2:$G2446, 0)))))))))</f>
        <v>vezuxa</v>
      </c>
      <c r="B470" s="45" t="s">
        <v>133</v>
      </c>
      <c r="C470" s="46">
        <v>44805</v>
      </c>
      <c r="D470" s="46">
        <v>44834</v>
      </c>
      <c r="E470" s="47">
        <v>44805</v>
      </c>
      <c r="F470" s="133" t="s">
        <v>41</v>
      </c>
      <c r="G470" s="45" t="s">
        <v>61</v>
      </c>
      <c r="H470" s="110" t="s">
        <v>132</v>
      </c>
      <c r="I470" s="49" t="s">
        <v>37</v>
      </c>
      <c r="J470" s="50">
        <v>5</v>
      </c>
      <c r="K470" s="51">
        <v>1351</v>
      </c>
      <c r="L470" s="52">
        <v>5</v>
      </c>
      <c r="M470" s="53">
        <v>11</v>
      </c>
      <c r="N470" s="28">
        <f>K470*J470</f>
        <v>6755</v>
      </c>
      <c r="O470" s="54">
        <v>98474</v>
      </c>
      <c r="P470" s="29">
        <v>72.889711320000004</v>
      </c>
      <c r="Q470" s="55"/>
      <c r="R470" s="31">
        <f>M470+Q470</f>
        <v>11</v>
      </c>
      <c r="S470" s="56"/>
      <c r="T470" s="32">
        <f>R470+S470+IF(F470="Without EV deal",L470,0)</f>
        <v>16</v>
      </c>
      <c r="U470" s="57">
        <v>1</v>
      </c>
      <c r="V470" s="58"/>
      <c r="W470" s="58"/>
      <c r="X470" s="30">
        <v>0.17</v>
      </c>
      <c r="Y470" s="30">
        <f>IF(AG470="None",0,IF(AG470="Fix5",0.05, IF(AG470="Fix6.25",0.0625,IF(AG470="Fix3.75",0.0375,IF(AG470="Fix10",0.1,IF(AG470="Fix3",0.03,0))))))</f>
        <v>0</v>
      </c>
      <c r="Z470" s="35">
        <f>T470-AA470-AB470</f>
        <v>13.28</v>
      </c>
      <c r="AA470" s="29">
        <f>IF(AD470="EUR",((T470-R470)*X470)*U470+(R470*X470),(T470*X470))</f>
        <v>2.72</v>
      </c>
      <c r="AB470" s="36">
        <f>IF(AD470="EUR",((T470-R470)*Y470)*U470+(R470*Y470),(T470*Y470))</f>
        <v>0</v>
      </c>
      <c r="AC470" s="37" t="b">
        <v>1</v>
      </c>
      <c r="AD470" s="82" t="s">
        <v>50</v>
      </c>
      <c r="AE470" s="83"/>
      <c r="AF470" s="83" t="str">
        <f t="array" ref="AF470">INDEX('Deal Info'!D:D, MATCH(A470,'Deal Info'!A:A, 0))</f>
        <v>DoEV</v>
      </c>
      <c r="AG470" s="84" t="str">
        <f t="array" ref="AG470">INDEX('Deal Info'!G:G, MATCH(A470,'Deal Info'!A:A, 0))</f>
        <v>None</v>
      </c>
    </row>
    <row r="471" spans="1:33" ht="14.25" x14ac:dyDescent="0.2">
      <c r="A471" s="18" t="str">
        <f t="array" ref="A471">IF(G471='Room Info'!$B$1, INDEX('Room Info'!$A$2:$A2446, MATCH(B471,'Room Info'!$B$2:$B2446, 0)),IF(G471='Room Info'!$C$1, INDEX('Room Info'!$A$2:$A2446, MATCH(B471,'Room Info'!$C$2:$C2446, 0)),IF(G471='Room Info'!$D$1, INDEX('Room Info'!$A$2:$A2446, MATCH(B471,'Room Info'!$D$2:$D2446, 0)),IF(G471='Room Info'!$E$1, INDEX('Room Info'!$A$2:$A2446, MATCH(B471,'Room Info'!$E$2:$E2446, 0)),IF(G471='Room Info'!$F$1, INDEX('Room Info'!$A$2:$A2446, MATCH(B471,'Room Info'!$F$2:$F2446, 0)),IF(G471='Room Info'!$H$1, INDEX('Room Info'!$A$2:$A2446, MATCH(B471,'Room Info'!$H$2:$H2446, 0)),IF(G471='Room Info'!$G$1, INDEX('Room Info'!$A$2:$A2446, MATCH(B471,'Room Info'!$G$2:$G2446, 0)))))))))</f>
        <v>fortunate773</v>
      </c>
      <c r="B471" s="129" t="s">
        <v>66</v>
      </c>
      <c r="C471" s="111">
        <v>44805</v>
      </c>
      <c r="D471" s="111">
        <v>44834</v>
      </c>
      <c r="E471" s="21">
        <v>44805</v>
      </c>
      <c r="F471" s="133" t="s">
        <v>49</v>
      </c>
      <c r="G471" s="65" t="s">
        <v>61</v>
      </c>
      <c r="H471" s="110" t="s">
        <v>135</v>
      </c>
      <c r="I471" s="110" t="s">
        <v>101</v>
      </c>
      <c r="J471" s="50">
        <v>250</v>
      </c>
      <c r="K471" s="123">
        <v>983</v>
      </c>
      <c r="L471" s="113">
        <v>15000</v>
      </c>
      <c r="M471" s="62">
        <v>1297</v>
      </c>
      <c r="N471" s="28">
        <f>K471*J471</f>
        <v>245750</v>
      </c>
      <c r="O471" s="65">
        <v>46249</v>
      </c>
      <c r="P471" s="29">
        <v>47.048830109999997</v>
      </c>
      <c r="Q471" s="103"/>
      <c r="R471" s="31">
        <f>M471+Q471</f>
        <v>1297</v>
      </c>
      <c r="S471" s="66">
        <v>2518</v>
      </c>
      <c r="T471" s="32">
        <f>R471+S471+IF(F471="Without EV deal",L471,0)</f>
        <v>3815</v>
      </c>
      <c r="U471" s="114">
        <v>1</v>
      </c>
      <c r="V471" s="69"/>
      <c r="W471" s="69"/>
      <c r="X471" s="30">
        <f>IF(AF471="DoEV",IF(AND(V471&lt;20,W471&lt;55),0.3,0)+IF(AND(V471&lt;20,W471&gt;=55,W471&lt;105),0.23,0)+IF(AND(V471&lt;20,W471&gt;=105),0.17,0)+IF(AND(V471&gt;=20,V471&lt;40,W471&lt;45),0.3,0)+IF(AND(V471&gt;=20,V471&lt;40,W471&gt;=45,W471&lt;95),0.23,0)+IF(AND(V471&gt;=20,V471&lt;40,W471&gt;=95),0.17,0)+IF(AND(V471&gt;=40,V471&lt;75,W471&lt;35),0.3,0)+IF(AND(V471&gt;=40,V471&lt;75,W471&gt;=35,W471&lt;75),0.23,0)+IF(AND(V471&gt;=40,V471&lt;75,W471&gt;=75,W471&lt;120),0.17,0)+IF(AND(V471&gt;=40,V471&lt;75,W471&gt;=120),0.12,0)+IF(AND(V471&gt;=75,V471&lt;175,W471&lt;35),0.3,0)+IF(AND(V471&gt;=75,V471&lt;=175,W471&gt;=35,W471&lt;65),0.23,0)+IF(AND(V471&gt;=75,V471&lt;=175,W471&gt;=65,W471&lt;110),0.17,0)+IF(AND(V471&gt;=75,V471&lt;=175,W471&gt;=110),0.12,0)+IF(AND(V471&gt;175,W471&lt;25),0.3,0)+IF(AND(V471&gt;175,W471&gt;=25,W471&lt;55),0.23,0)+IF(AND(V471&gt;175,W471&gt;=55,W471&lt;95),0.17,0)+IF(AND(V471&gt;175,W471&gt;=95),0.12,0),
IF(AF471="Fix15",0.15,
IF(AF471="Fix11.25",0.1125,
IF(AF471="Fix10",0.1,
IF(AF471="Fix9",0.09,
IF(AF471="DoEV2017",IF(AND(W471&lt;74),0.2,0)+IF(AND(W471&gt;=74),0.17,0),
IF(AF471="SF",IF(AND(V471&lt;20,W471&lt;89),0.3,0)+IF(AND(V471&lt;20,W471&gt;=89),0.25,0)+IF(AND(V471&gt;=20,V471&lt;40,W471&lt;74),0.3,0)+IF(AND(V471&gt;=20,V471&lt;40,W471&gt;=75),0.22,0)+IF(AND(V471&gt;=40,V471&lt;75,W471&lt;75),0.26,0)+IF(AND(V471&gt;=40,V471&lt;75,W471&gt;=75),0.22,0)+IF(V471&gt;=75,0.22,0),
IF(AF471="DoEVold",IF(AND(V471&lt;40,W471&lt;35),0.35,0)+IF(AND(V471&lt;40,W471&gt;=35,W471&lt;75),0.25,0)+IF(AND(V471&lt;40,W471&gt;=75),0.17,0)+IF(AND(V471&gt;=40,V471&lt;75,W471&lt;25),0.35,0)+IF(AND(V471&gt;=40,V471&lt;75,W471&gt;=25,W471&lt;65),0.25,0)+IF(AND(V471&gt;=40,V471&lt;75,W471&gt;=65,W471&lt;100),0.17,0)+IF(AND(V471&gt;=40,V471&lt;75,W471&gt;=100),0.1,0)+IF(AND(V471&gt;=75,W471&lt;25),0.35,0)+IF(AND(V471&gt;=75,W471&gt;=25,W471&lt;60),0.25,0)+IF(AND(V471&gt;=75,W471&gt;=60,W471&lt;95),0.17,0)+IF(AND(V471&gt;=75,W471&gt;=95),0.1,0),
IF(AF471="DoEVold15",IF(AND(V471&lt;=40,W471&lt;35),0.35,0)+IF(AND(V471&lt;=40,W471&gt;=35,W471&lt;75),0.25,0)+IF(AND(V471&lt;=40,W471&gt;=75,W471&lt;120),0.17,0)+IF(AND(V471&lt;=40,W471&gt;=120),0.15,0)+IF(AND(V471&gt;40,V471&lt;75,W471&lt;25),0.35,0)+IF(AND(V471&gt;=40,V471&lt;75,W471&gt;=25,W471&lt;65),0.25,0)+IF(AND(V471&gt;=40,V471&lt;75,W471&gt;=65,W471&lt;100),0.17,0)+IF(AND(V471&gt;=40,V471&lt;75,W471&gt;=100),0.1,0)+IF(AND(V471&gt;=75,W471&lt;25),0.35,0)+IF(AND(V471&gt;=75,W471&gt;=25,W471&lt;60),0.25,0)+IF(AND(V471&gt;=75,W471&gt;=60,W471&lt;95),0.17,0)+IF(AND(V471&gt;=75,W471&gt;=95),0.1,0),
IF(AF471="DoEVba",IF(AND(V471&lt;20,W471&lt;105),0.2,0)+IF(AND(V471&lt;20,W471&gt;=105),0.15,0)+IF(AND(V471&gt;=20,V471&lt;40,W471&lt;95),0.2,0)+IF(AND(V471&gt;=20,V471&lt;40,W471&gt;=95,W471&lt;150),0.15,0)+IF(AND(V471&gt;=20,V471&lt;40,W471&gt;=150),0.12,0)+IF(AND(V471&gt;=40,V471&lt;75,W471&lt;75),0.2,0)+IF(AND(V471&gt;=40,V471&lt;75,W471&gt;=75,W471&lt;120),0.15,0)+IF(AND(V471&gt;=40,V471&lt;75,W471&gt;=120),0.12,0)+IF(AND(V471&gt;=75,V471&lt;175,W471&lt;65),0.2,0)+IF(AND(V471&gt;=75,V471&lt;175,W471&gt;=65,W471&lt;110),0.15,0)+IF(AND(V471&gt;=75,V471&lt;175,W471&gt;=110),0.12,0)+IF(AND(V471&gt;=175,W471&lt;55),0.2,0)+IF(AND(V471&gt;=175,W471&gt;=55,W471&lt;95),0.15,0)+IF(AND(V471&gt;=175,W471&gt;=95),0.12,0),
IF(AF471="DoEVku",IF(AND(V471&lt;20,W471&lt;55),0.23,0)+IF(AND(V471&lt;20,W471&gt;=55,W471&lt;105),0.2,0)+IF(AND(V471&lt;20,W471&gt;=105),0.17,0)+IF(AND(V471&gt;=20,V471&lt;40,W471&lt;45),0.23,0)+IF(AND(V471&gt;=20,V471&lt;40,W471&gt;=45,W471&lt;95),0.2,0)+IF(AND(V471&gt;=20,V471&lt;40,W471&gt;=95,W471&lt;=150),0.17,0)+IF(AND(V471&gt;=20,V471&lt;40,W471&gt;=150),0.12,0)+IF(AND(V471&gt;=40,V471&lt;75,W471&lt;35),0.23,0)+IF(AND(V471&gt;=40,V471&lt;75,W471&gt;=35,W471&lt;75),0.2,0)+IF(AND(V471&gt;=40,V471&lt;75,W471&gt;=75,W471&lt;120),0.17,0)+IF(AND(V471&gt;=40,V471&lt;75,W471&gt;=120),0.12,0)+IF(AND(V471&gt;=75,V471&lt;175,W471&lt;35),0.23,0)+IF(AND(V471&gt;=75,V471&lt;=175,W471&gt;=35,W471&lt;65),0.2,0)+IF(AND(V471&gt;=75,V471&lt;=175,W471&gt;=65,W471&lt;110),0.17,0)+IF(AND(V471&gt;=75,V471&lt;=175,W471&gt;=110),0.12,0)+IF(AND(V471&gt;175,W471&lt;25),0.23,0)+IF(AND(V471&gt;175,W471&gt;=25,W471&lt;55),0.2,0)+IF(AND(V471&gt;175,W471&gt;=55,W471&lt;95),0.17,0)+IF(AND(V471&gt;175,W471&gt;=95),0.12,0),
IF(AF471="DoEVs1",IF(AND(V471&lt;20,W471&lt;55),0.3,0)+IF(AND(V471&lt;20,W471&gt;=55,W471&lt;105),0.23,0)+IF(AND(V471&lt;20,W471&gt;=105),0.17,0)+IF(AND(V471&gt;=20,V471&lt;40,W471&lt;45),0.3,0)+IF(AND(V471&gt;=20,V471&lt;40,W471&gt;=45,W471&lt;95),0.23,0)+IF(AND(V471&gt;=20,V471&lt;40,W471&gt;=95,W471&lt;=150),0.17,0)+IF(AND(V471&gt;=20,V471&lt;40,W471&gt;=150),0.12,0)+IF(AND(V471&gt;=40,V471&lt;75,W471&lt;35),0.3,0)+IF(AND(V471&gt;=40,V471&lt;75,W471&gt;=35,W471&lt;75),0.23,0)+IF(AND(V471&gt;=40,V471&lt;75,W471&gt;=75,W471&lt;120),0.17,0)+IF(AND(V471&gt;=40,V471&lt;75,W471&gt;=120),0.12,0)+IF(AND(V471&gt;=75,V471&lt;175,W471&lt;35),0.3,0)+IF(AND(V471&gt;=75,V471&lt;=175,W471&gt;=35,W471&lt;65),0.23,0)+IF(AND(V471&gt;=75,V471&lt;=175,W471&gt;=65,W471&lt;110),0.17,0)+IF(AND(V471&gt;=75,V471&lt;=175,W471&gt;=110),0.12,0)+IF(AND(V471&gt;175,W471&lt;25),0.3,0)+IF(AND(V471&gt;175,W471&gt;=25,W471&lt;55),0.23,0)+IF(AND(V471&gt;175,W471&gt;=55,W471&lt;95),0.17,0)+IF(AND(V471&gt;175,W471&gt;=95),0.12,0),
IF(AF471="DoEVsu",IF(AND(V471&lt;20,W471&lt;55),0.3,0)+IF(AND(V471&lt;20,W471&gt;=55,W471&lt;105),0.23,0)+IF(AND(V471&lt;20,W471&gt;=105),0.17,0)+IF(AND(V471&gt;=20,V471&lt;40,W471&lt;45),0.3,0)+IF(AND(V471&gt;=20,V471&lt;40,W471&gt;=45,W471&lt;95),0.23,0)+IF(AND(V471&gt;=20,V471&lt;40,W471&gt;=95,W471&lt;=250),0.17,0)+IF(AND(V471&gt;=20,V471&lt;40,W471&gt;=250),0.12,0)+IF(AND(V471&gt;=40,V471&lt;75,W471&lt;35),0.3,0)+IF(AND(V471&gt;=40,V471&lt;75,W471&gt;=35,W471&lt;75),0.23,0)+IF(AND(V471&gt;=40,V471&lt;75,W471&gt;=75,W471&lt;120),0.17,0)+IF(AND(V471&gt;=40,V471&lt;75,W471&gt;=120),0.12,0)+IF(AND(V471&gt;=75,V471&lt;175,W471&lt;35),0.3,0)+IF(AND(V471&gt;=75,V471&lt;=175,W471&gt;=35,W471&lt;65),0.23,0)+IF(AND(V471&gt;=75,V471&lt;=175,W471&gt;=65,W471&lt;110),0.17,0)+IF(AND(V471&gt;=75,V471&lt;=175,W471&gt;=110),0.12,0)+IF(AND(V471&gt;175,W471&lt;25),0.3,0)+IF(AND(V471&gt;175,W471&gt;=25,W471&lt;55),0.23,0)+IF(AND(V471&gt;175,W471&gt;=55,W471&lt;95),0.17,0)+IF(AND(V471&gt;175,W471&gt;=95),0.12,0),
IF(AF471="DoEVni",IF(AND(V471&lt;20,W471&lt;55),0.3,0)+IF(AND(V471&lt;20,W471&gt;=55,W471&lt;105),0.23,0)+IF(AND(V471&lt;20,W471&gt;=105),0.17,0)+IF(AND(V471&gt;=20,V471&lt;40,W471&lt;45),0.3,0)+IF(AND(V471&gt;=20,V471&lt;40,W471&gt;=45,W471&lt;95),0.23,0)+IF(AND(V471&gt;=20,V471&lt;40,W471&gt;=95,W471&lt;=200),0.17,0)+IF(AND(V471&gt;=20,V471&lt;40,W471&gt;=200),0.12,0)+IF(AND(V471&gt;=40,V471&lt;75,W471&lt;35),0.3,0)+IF(AND(V471&gt;=40,V471&lt;75,W471&gt;=35,W471&lt;75),0.23,0)+IF(AND(V471&gt;=40,V471&lt;75,W471&gt;=75,W471&lt;120),0.17,0)+IF(AND(V471&gt;=40,V471&lt;75,W471&gt;=120),0.12,0)+IF(AND(V471&gt;=75,V471&lt;175,W471&lt;35),0.3,0)+IF(AND(V471&gt;=75,V471&lt;=175,W471&gt;=35,W471&lt;65),0.23,0)+IF(AND(V471&gt;=75,V471&lt;=175,W471&gt;=65,W471&lt;110),0.17,0)+IF(AND(V471&gt;=75,V471&lt;=175,W471&gt;=110),0.12,0)+IF(AND(V471&gt;175,W471&lt;25),0.3,0)+IF(AND(V471&gt;175,W471&gt;=25,W471&lt;55),0.23,0)+IF(AND(V471&gt;175,W471&gt;=55,W471&lt;95),0.17,0)+IF(AND(V471&gt;175,W471&gt;=95),0.12,0),
IF(AF471="DoEVLo",IF(AND(V471&lt;20,W471&lt;55),0.25,0)+IF(AND(V471&lt;20,W471&gt;=55,W471&lt;105),0.2,0)+IF(AND(V471&lt;20,W471&gt;=105),0.15,0)+IF(AND(V471&gt;=20,V471&lt;40,W471&lt;45),0.25,0)+IF(AND(V471&gt;=20,V471&lt;40,W471&gt;=45,W471&lt;95),0.2,0)+IF(AND(V471&gt;=20,V471&lt;40,W471&gt;=95),0.15,0)+IF(AND(V471&gt;=40,V471&lt;75,W471&lt;35),0.25,0)+IF(AND(V471&gt;=40,V471&lt;75,W471&gt;=35,W471&lt;75),0.2,0)+IF(AND(V471&gt;=40,V471&lt;75,W471&gt;=75,W471&lt;120),0.15,0)+IF(AND(V471&gt;=40,V471&lt;75,W471&gt;=120),0.1,0)+IF(AND(V471&gt;=75,V471&lt;175,W471&lt;35),0.25,0)+IF(AND(V471&gt;=75,V471&lt;=175,W471&gt;=35,W471&lt;65),0.2,0)+IF(AND(V471&gt;=75,V471&lt;=175,W471&gt;=65,W471&lt;110),0.15,0)+IF(AND(V471&gt;=75,V471&lt;=175,W471&gt;=110),0.1,0)+IF(AND(V471&gt;175,W471&lt;25),0.25,0)+IF(AND(V471&gt;175,W471&gt;=25,W471&lt;55),0.2,0)+IF(AND(V471&gt;175,W471&gt;=55,W471&lt;95),0.15,0)+IF(AND(V471&gt;175,W471&gt;=95),0.1,0))))))))))))))))</f>
        <v>0.15</v>
      </c>
      <c r="Y471" s="30">
        <f>IF(AG471="None",0,IF(AG471="Fix5",0.05,IF(AG471="Fix3.75",0.0375,IF(AG471="Fix10",0.1,IF(AG471="Fix3",0.03,0)))))</f>
        <v>0.05</v>
      </c>
      <c r="Z471" s="35">
        <v>3052</v>
      </c>
      <c r="AA471" s="29">
        <v>763</v>
      </c>
      <c r="AB471" s="36"/>
      <c r="AC471" s="61" t="b">
        <v>1</v>
      </c>
      <c r="AD471" s="82" t="s">
        <v>50</v>
      </c>
      <c r="AE471" s="83"/>
      <c r="AF471" s="83" t="str">
        <f t="array" ref="AF471">INDEX('Deal Info'!D:D, MATCH(A471,'Deal Info'!A:A, 0))</f>
        <v>Fix15</v>
      </c>
      <c r="AG471" s="84" t="str">
        <f t="array" ref="AG471">INDEX('Deal Info'!G:G, MATCH(A471,'Deal Info'!A:A, 0))</f>
        <v>Fix5</v>
      </c>
    </row>
    <row r="472" spans="1:33" ht="14.25" x14ac:dyDescent="0.2">
      <c r="A472" s="18" t="str">
        <f t="array" ref="A472">IF(G472='Room Info'!$B$1, INDEX('Room Info'!$A$2:$A2446, MATCH(B472,'Room Info'!$B$2:$B2446, 0)),IF(G472='Room Info'!$C$1, INDEX('Room Info'!$A$2:$A2446, MATCH(B472,'Room Info'!$C$2:$C2446, 0)),IF(G472='Room Info'!$D$1, INDEX('Room Info'!$A$2:$A2446, MATCH(B472,'Room Info'!$D$2:$D2446, 0)),IF(G472='Room Info'!$E$1, INDEX('Room Info'!$A$2:$A2446, MATCH(B472,'Room Info'!$E$2:$E2446, 0)),IF(G472='Room Info'!$F$1, INDEX('Room Info'!$A$2:$A2446, MATCH(B472,'Room Info'!$F$2:$F2446, 0)),IF(G472='Room Info'!$H$1, INDEX('Room Info'!$A$2:$A2446, MATCH(B472,'Room Info'!$H$2:$H2446, 0)),IF(G472='Room Info'!$G$1, INDEX('Room Info'!$A$2:$A2446, MATCH(B472,'Room Info'!$G$2:$G2446, 0)))))))))</f>
        <v>Mackevgen</v>
      </c>
      <c r="B472" s="45" t="s">
        <v>127</v>
      </c>
      <c r="C472" s="136">
        <v>44805</v>
      </c>
      <c r="D472" s="136">
        <v>44834</v>
      </c>
      <c r="E472" s="47">
        <v>44805</v>
      </c>
      <c r="F472" s="48" t="s">
        <v>49</v>
      </c>
      <c r="G472" s="45" t="s">
        <v>61</v>
      </c>
      <c r="H472" s="110" t="s">
        <v>179</v>
      </c>
      <c r="I472" s="110" t="s">
        <v>37</v>
      </c>
      <c r="J472" s="74">
        <v>25</v>
      </c>
      <c r="K472" s="134">
        <v>569</v>
      </c>
      <c r="L472" s="135">
        <v>100</v>
      </c>
      <c r="M472" s="79">
        <v>1702</v>
      </c>
      <c r="N472" s="28">
        <f>K472*J472</f>
        <v>14225</v>
      </c>
      <c r="O472" s="129">
        <v>49751</v>
      </c>
      <c r="P472" s="29">
        <v>87.435852370000006</v>
      </c>
      <c r="Q472" s="55"/>
      <c r="R472" s="31">
        <f>M472+Q472</f>
        <v>1702</v>
      </c>
      <c r="S472" s="97">
        <v>1103</v>
      </c>
      <c r="T472" s="32">
        <f>R472+S472+IF(F472="Without EV deal",L472,0)</f>
        <v>2805</v>
      </c>
      <c r="U472" s="57">
        <v>1</v>
      </c>
      <c r="V472" s="69"/>
      <c r="W472" s="69"/>
      <c r="X472" s="30">
        <v>0.12</v>
      </c>
      <c r="Y472" s="30">
        <f>IF(AG472="None",0,IF(AG472="Fix5",0.05, IF(AG472="Fix6.25",0.0625,IF(AG472="Fix3.75",0.0375,IF(AG472="Fix10",0.1,IF(AG472="Fix3",0.03,0))))))</f>
        <v>0</v>
      </c>
      <c r="Z472" s="35">
        <f>T472-AA472-AB472</f>
        <v>2468</v>
      </c>
      <c r="AA472" s="29">
        <v>337</v>
      </c>
      <c r="AB472" s="36">
        <f>IF(AD472="EUR",((T472-R472)*Y472)*U472+(R472*Y472),(T472*Y472))</f>
        <v>0</v>
      </c>
      <c r="AC472" s="61" t="b">
        <v>1</v>
      </c>
      <c r="AD472" s="82" t="s">
        <v>38</v>
      </c>
      <c r="AE472" s="83" t="s">
        <v>38</v>
      </c>
      <c r="AF472" s="83" t="str">
        <f t="array" ref="AF472">INDEX('Deal Info'!D:D, MATCH(A472,'Deal Info'!A:A, 0))</f>
        <v>DoEV</v>
      </c>
      <c r="AG472" s="84" t="str">
        <f t="array" ref="AG472">INDEX('Deal Info'!G:G, MATCH(A472,'Deal Info'!A:A, 0))</f>
        <v>None</v>
      </c>
    </row>
    <row r="473" spans="1:33" ht="14.25" x14ac:dyDescent="0.2">
      <c r="A473" s="18" t="str">
        <f t="array" ref="A473">IF(G473='Room Info'!$B$1, INDEX('Room Info'!$A$2:$A2446, MATCH(B473,'Room Info'!$B$2:$B2446, 0)),IF(G473='Room Info'!$C$1, INDEX('Room Info'!$A$2:$A2446, MATCH(B473,'Room Info'!$C$2:$C2446, 0)),IF(G473='Room Info'!$D$1, INDEX('Room Info'!$A$2:$A2446, MATCH(B473,'Room Info'!$D$2:$D2446, 0)),IF(G473='Room Info'!$E$1, INDEX('Room Info'!$A$2:$A2446, MATCH(B473,'Room Info'!$E$2:$E2446, 0)),IF(G473='Room Info'!$F$1, INDEX('Room Info'!$A$2:$A2446, MATCH(B473,'Room Info'!$F$2:$F2446, 0)),IF(G473='Room Info'!$H$1, INDEX('Room Info'!$A$2:$A2446, MATCH(B473,'Room Info'!$H$2:$H2446, 0)),IF(G473='Room Info'!$G$1, INDEX('Room Info'!$A$2:$A2446, MATCH(B473,'Room Info'!$G$2:$G2446, 0)))))))))</f>
        <v>vezuxa</v>
      </c>
      <c r="B473" s="45" t="s">
        <v>133</v>
      </c>
      <c r="C473" s="46">
        <v>44805</v>
      </c>
      <c r="D473" s="46">
        <v>44834</v>
      </c>
      <c r="E473" s="47">
        <v>44805</v>
      </c>
      <c r="F473" s="48" t="s">
        <v>41</v>
      </c>
      <c r="G473" s="45" t="s">
        <v>61</v>
      </c>
      <c r="H473" s="110" t="s">
        <v>182</v>
      </c>
      <c r="I473" s="110" t="s">
        <v>37</v>
      </c>
      <c r="J473" s="50">
        <v>2</v>
      </c>
      <c r="K473" s="123">
        <v>719</v>
      </c>
      <c r="L473" s="113">
        <v>114</v>
      </c>
      <c r="M473" s="62">
        <v>210</v>
      </c>
      <c r="N473" s="28">
        <f>K473*J473</f>
        <v>1438</v>
      </c>
      <c r="O473" s="65">
        <v>76161</v>
      </c>
      <c r="P473" s="29">
        <v>105.9262865</v>
      </c>
      <c r="Q473" s="55"/>
      <c r="R473" s="31">
        <f>M473+Q473</f>
        <v>210</v>
      </c>
      <c r="S473" s="66"/>
      <c r="T473" s="32">
        <f>R473+S473+IF(F473="Without EV deal",L473,0)</f>
        <v>324</v>
      </c>
      <c r="U473" s="57">
        <v>1</v>
      </c>
      <c r="V473" s="69"/>
      <c r="W473" s="69"/>
      <c r="X473" s="30">
        <v>0.17</v>
      </c>
      <c r="Y473" s="30">
        <f>IF(AG473="None",0,IF(AG473="Fix5",0.05, IF(AG473="Fix6.25",0.0625,IF(AG473="Fix3.75",0.0375,IF(AG473="Fix10",0.1,IF(AG473="Fix3",0.03,0))))))</f>
        <v>0</v>
      </c>
      <c r="Z473" s="35">
        <f>T473-AA473-AB473</f>
        <v>268.92</v>
      </c>
      <c r="AA473" s="29">
        <f>IF(AD473="EUR",((T473-R473)*X473)*U473+(R473*X473),(T473*X473))</f>
        <v>55.080000000000005</v>
      </c>
      <c r="AB473" s="36">
        <f>IF(AD473="EUR",((T473-R473)*Y473)*U473+(R473*Y473),(T473*Y473))</f>
        <v>0</v>
      </c>
      <c r="AC473" s="61" t="b">
        <v>1</v>
      </c>
      <c r="AD473" s="82" t="s">
        <v>50</v>
      </c>
      <c r="AE473" s="83"/>
      <c r="AF473" s="83" t="str">
        <f t="array" ref="AF473">INDEX('Deal Info'!D:D, MATCH(A473,'Deal Info'!A:A, 0))</f>
        <v>DoEV</v>
      </c>
      <c r="AG473" s="84" t="str">
        <f t="array" ref="AG473">INDEX('Deal Info'!G:G, MATCH(A473,'Deal Info'!A:A, 0))</f>
        <v>None</v>
      </c>
    </row>
    <row r="474" spans="1:33" ht="14.25" x14ac:dyDescent="0.2">
      <c r="A474" s="18" t="str">
        <f t="array" ref="A474">IF(G474='Room Info'!$B$1, INDEX('Room Info'!$A$2:$A2446, MATCH(B474,'Room Info'!$B$2:$B2446, 0)),IF(G474='Room Info'!$C$1, INDEX('Room Info'!$A$2:$A2446, MATCH(B474,'Room Info'!$C$2:$C2446, 0)),IF(G474='Room Info'!$D$1, INDEX('Room Info'!$A$2:$A2446, MATCH(B474,'Room Info'!$D$2:$D2446, 0)),IF(G474='Room Info'!$E$1, INDEX('Room Info'!$A$2:$A2446, MATCH(B474,'Room Info'!$E$2:$E2446, 0)),IF(G474='Room Info'!$F$1, INDEX('Room Info'!$A$2:$A2446, MATCH(B474,'Room Info'!$F$2:$F2446, 0)),IF(G474='Room Info'!$H$1, INDEX('Room Info'!$A$2:$A2446, MATCH(B474,'Room Info'!$H$2:$H2446, 0)),IF(G474='Room Info'!$G$1, INDEX('Room Info'!$A$2:$A2446, MATCH(B474,'Room Info'!$G$2:$G2446, 0)))))))))</f>
        <v>Lo4io</v>
      </c>
      <c r="B474" s="129" t="s">
        <v>107</v>
      </c>
      <c r="C474" s="283">
        <v>44794</v>
      </c>
      <c r="D474" s="283">
        <v>44824</v>
      </c>
      <c r="E474" s="21">
        <v>44805</v>
      </c>
      <c r="F474" s="133" t="s">
        <v>34</v>
      </c>
      <c r="G474" s="129" t="s">
        <v>61</v>
      </c>
      <c r="H474" s="110" t="s">
        <v>59</v>
      </c>
      <c r="I474" s="110" t="s">
        <v>101</v>
      </c>
      <c r="J474" s="70">
        <v>100</v>
      </c>
      <c r="K474" s="71">
        <v>179</v>
      </c>
      <c r="L474" s="135">
        <v>-1500</v>
      </c>
      <c r="M474" s="93">
        <v>8</v>
      </c>
      <c r="N474" s="28">
        <f>K474*J474</f>
        <v>17900</v>
      </c>
      <c r="O474" s="129">
        <v>9374</v>
      </c>
      <c r="P474" s="29">
        <v>52.368715080000001</v>
      </c>
      <c r="Q474" s="103"/>
      <c r="R474" s="31">
        <f>M474+Q474</f>
        <v>8</v>
      </c>
      <c r="S474" s="97">
        <v>110</v>
      </c>
      <c r="T474" s="32">
        <f>R474+S474+IF(F474="Without EV deal",L474,0)</f>
        <v>118</v>
      </c>
      <c r="U474" s="114">
        <v>1</v>
      </c>
      <c r="V474" s="69">
        <v>54.817007534983851</v>
      </c>
      <c r="W474" s="69">
        <v>27.035405007363771</v>
      </c>
      <c r="X474" s="30">
        <f>IF(AF474="DoEV",IF(AND(V474&lt;20,W474&lt;55),0.3,0)+IF(AND(V474&lt;20,W474&gt;=55,W474&lt;105),0.23,0)+IF(AND(V474&lt;20,W474&gt;=105),0.17,0)+IF(AND(V474&gt;=20,V474&lt;40,W474&lt;45),0.3,0)+IF(AND(V474&gt;=20,V474&lt;40,W474&gt;=45,W474&lt;95),0.23,0)+IF(AND(V474&gt;=20,V474&lt;40,W474&gt;=95),0.17,0)+IF(AND(V474&gt;=40,V474&lt;75,W474&lt;35),0.3,0)+IF(AND(V474&gt;=40,V474&lt;75,W474&gt;=35,W474&lt;75),0.23,0)+IF(AND(V474&gt;=40,V474&lt;75,W474&gt;=75,W474&lt;120),0.17,0)+IF(AND(V474&gt;=40,V474&lt;75,W474&gt;=120),0.12,0)+IF(AND(V474&gt;=75,V474&lt;175,W474&lt;35),0.3,0)+IF(AND(V474&gt;=75,V474&lt;=175,W474&gt;=35,W474&lt;65),0.23,0)+IF(AND(V474&gt;=75,V474&lt;=175,W474&gt;=65,W474&lt;110),0.17,0)+IF(AND(V474&gt;=75,V474&lt;=175,W474&gt;=110),0.12,0)+IF(AND(V474&gt;175,W474&lt;25),0.3,0)+IF(AND(V474&gt;175,W474&gt;=25,W474&lt;55),0.23,0)+IF(AND(V474&gt;175,W474&gt;=55,W474&lt;95),0.17,0)+IF(AND(V474&gt;175,W474&gt;=95),0.12,0),
IF(AF474="Fix15",0.15,
IF(AF474="Fix11.25",0.1125,
IF(AF474="Fix10",0.1,
IF(AF474="Fix9",0.09,
IF(AF474="DoEV2017",IF(AND(W474&lt;74),0.2,0)+IF(AND(W474&gt;=74),0.17,0),
IF(AF474="SF",IF(AND(V474&lt;20,W474&lt;89),0.3,0)+IF(AND(V474&lt;20,W474&gt;=89),0.25,0)+IF(AND(V474&gt;=20,V474&lt;40,W474&lt;74),0.3,0)+IF(AND(V474&gt;=20,V474&lt;40,W474&gt;=75),0.22,0)+IF(AND(V474&gt;=40,V474&lt;75,W474&lt;75),0.26,0)+IF(AND(V474&gt;=40,V474&lt;75,W474&gt;=75),0.22,0)+IF(V474&gt;=75,0.22,0),
IF(AF474="DoEVold",IF(AND(V474&lt;40,W474&lt;35),0.35,0)+IF(AND(V474&lt;40,W474&gt;=35,W474&lt;75),0.25,0)+IF(AND(V474&lt;40,W474&gt;=75),0.17,0)+IF(AND(V474&gt;=40,V474&lt;75,W474&lt;25),0.35,0)+IF(AND(V474&gt;=40,V474&lt;75,W474&gt;=25,W474&lt;65),0.25,0)+IF(AND(V474&gt;=40,V474&lt;75,W474&gt;=65,W474&lt;100),0.17,0)+IF(AND(V474&gt;=40,V474&lt;75,W474&gt;=100),0.1,0)+IF(AND(V474&gt;=75,W474&lt;25),0.35,0)+IF(AND(V474&gt;=75,W474&gt;=25,W474&lt;60),0.25,0)+IF(AND(V474&gt;=75,W474&gt;=60,W474&lt;95),0.17,0)+IF(AND(V474&gt;=75,W474&gt;=95),0.1,0),
IF(AF474="DoEVold15",IF(AND(V474&lt;=40,W474&lt;35),0.35,0)+IF(AND(V474&lt;=40,W474&gt;=35,W474&lt;75),0.25,0)+IF(AND(V474&lt;=40,W474&gt;=75,W474&lt;120),0.17,0)+IF(AND(V474&lt;=40,W474&gt;=120),0.15,0)+IF(AND(V474&gt;40,V474&lt;75,W474&lt;25),0.35,0)+IF(AND(V474&gt;=40,V474&lt;75,W474&gt;=25,W474&lt;65),0.25,0)+IF(AND(V474&gt;=40,V474&lt;75,W474&gt;=65,W474&lt;100),0.17,0)+IF(AND(V474&gt;=40,V474&lt;75,W474&gt;=100),0.1,0)+IF(AND(V474&gt;=75,W474&lt;25),0.35,0)+IF(AND(V474&gt;=75,W474&gt;=25,W474&lt;60),0.25,0)+IF(AND(V474&gt;=75,W474&gt;=60,W474&lt;95),0.17,0)+IF(AND(V474&gt;=75,W474&gt;=95),0.1,0),
IF(AF474="DoEVba",IF(AND(V474&lt;20,W474&lt;105),0.2,0)+IF(AND(V474&lt;20,W474&gt;=105),0.15,0)+IF(AND(V474&gt;=20,V474&lt;40,W474&lt;95),0.2,0)+IF(AND(V474&gt;=20,V474&lt;40,W474&gt;=95,W474&lt;150),0.15,0)+IF(AND(V474&gt;=20,V474&lt;40,W474&gt;=150),0.12,0)+IF(AND(V474&gt;=40,V474&lt;75,W474&lt;75),0.2,0)+IF(AND(V474&gt;=40,V474&lt;75,W474&gt;=75,W474&lt;120),0.15,0)+IF(AND(V474&gt;=40,V474&lt;75,W474&gt;=120),0.12,0)+IF(AND(V474&gt;=75,V474&lt;175,W474&lt;65),0.2,0)+IF(AND(V474&gt;=75,V474&lt;175,W474&gt;=65,W474&lt;110),0.15,0)+IF(AND(V474&gt;=75,V474&lt;175,W474&gt;=110),0.12,0)+IF(AND(V474&gt;=175,W474&lt;55),0.2,0)+IF(AND(V474&gt;=175,W474&gt;=55,W474&lt;95),0.15,0)+IF(AND(V474&gt;=175,W474&gt;=95),0.12,0),
IF(AF474="DoEVku",IF(AND(V474&lt;20,W474&lt;55),0.23,0)+IF(AND(V474&lt;20,W474&gt;=55,W474&lt;105),0.2,0)+IF(AND(V474&lt;20,W474&gt;=105),0.17,0)+IF(AND(V474&gt;=20,V474&lt;40,W474&lt;45),0.23,0)+IF(AND(V474&gt;=20,V474&lt;40,W474&gt;=45,W474&lt;95),0.2,0)+IF(AND(V474&gt;=20,V474&lt;40,W474&gt;=95,W474&lt;=150),0.17,0)+IF(AND(V474&gt;=20,V474&lt;40,W474&gt;=150),0.12,0)+IF(AND(V474&gt;=40,V474&lt;75,W474&lt;35),0.23,0)+IF(AND(V474&gt;=40,V474&lt;75,W474&gt;=35,W474&lt;75),0.2,0)+IF(AND(V474&gt;=40,V474&lt;75,W474&gt;=75,W474&lt;120),0.17,0)+IF(AND(V474&gt;=40,V474&lt;75,W474&gt;=120),0.12,0)+IF(AND(V474&gt;=75,V474&lt;175,W474&lt;35),0.23,0)+IF(AND(V474&gt;=75,V474&lt;=175,W474&gt;=35,W474&lt;65),0.2,0)+IF(AND(V474&gt;=75,V474&lt;=175,W474&gt;=65,W474&lt;110),0.17,0)+IF(AND(V474&gt;=75,V474&lt;=175,W474&gt;=110),0.12,0)+IF(AND(V474&gt;175,W474&lt;25),0.23,0)+IF(AND(V474&gt;175,W474&gt;=25,W474&lt;55),0.2,0)+IF(AND(V474&gt;175,W474&gt;=55,W474&lt;95),0.17,0)+IF(AND(V474&gt;175,W474&gt;=95),0.12,0),
IF(AF474="DoEVs1",IF(AND(V474&lt;20,W474&lt;55),0.3,0)+IF(AND(V474&lt;20,W474&gt;=55,W474&lt;105),0.23,0)+IF(AND(V474&lt;20,W474&gt;=105),0.17,0)+IF(AND(V474&gt;=20,V474&lt;40,W474&lt;45),0.3,0)+IF(AND(V474&gt;=20,V474&lt;40,W474&gt;=45,W474&lt;95),0.23,0)+IF(AND(V474&gt;=20,V474&lt;40,W474&gt;=95,W474&lt;=150),0.17,0)+IF(AND(V474&gt;=20,V474&lt;40,W474&gt;=150),0.12,0)+IF(AND(V474&gt;=40,V474&lt;75,W474&lt;35),0.3,0)+IF(AND(V474&gt;=40,V474&lt;75,W474&gt;=35,W474&lt;75),0.23,0)+IF(AND(V474&gt;=40,V474&lt;75,W474&gt;=75,W474&lt;120),0.17,0)+IF(AND(V474&gt;=40,V474&lt;75,W474&gt;=120),0.12,0)+IF(AND(V474&gt;=75,V474&lt;175,W474&lt;35),0.3,0)+IF(AND(V474&gt;=75,V474&lt;=175,W474&gt;=35,W474&lt;65),0.23,0)+IF(AND(V474&gt;=75,V474&lt;=175,W474&gt;=65,W474&lt;110),0.17,0)+IF(AND(V474&gt;=75,V474&lt;=175,W474&gt;=110),0.12,0)+IF(AND(V474&gt;175,W474&lt;25),0.3,0)+IF(AND(V474&gt;175,W474&gt;=25,W474&lt;55),0.23,0)+IF(AND(V474&gt;175,W474&gt;=55,W474&lt;95),0.17,0)+IF(AND(V474&gt;175,W474&gt;=95),0.12,0),
IF(AF474="DoEVsu",IF(AND(V474&lt;20,W474&lt;55),0.3,0)+IF(AND(V474&lt;20,W474&gt;=55,W474&lt;105),0.23,0)+IF(AND(V474&lt;20,W474&gt;=105),0.17,0)+IF(AND(V474&gt;=20,V474&lt;40,W474&lt;45),0.3,0)+IF(AND(V474&gt;=20,V474&lt;40,W474&gt;=45,W474&lt;95),0.23,0)+IF(AND(V474&gt;=20,V474&lt;40,W474&gt;=95,W474&lt;=250),0.17,0)+IF(AND(V474&gt;=20,V474&lt;40,W474&gt;=250),0.12,0)+IF(AND(V474&gt;=40,V474&lt;75,W474&lt;35),0.3,0)+IF(AND(V474&gt;=40,V474&lt;75,W474&gt;=35,W474&lt;75),0.23,0)+IF(AND(V474&gt;=40,V474&lt;75,W474&gt;=75,W474&lt;120),0.17,0)+IF(AND(V474&gt;=40,V474&lt;75,W474&gt;=120),0.12,0)+IF(AND(V474&gt;=75,V474&lt;175,W474&lt;35),0.3,0)+IF(AND(V474&gt;=75,V474&lt;=175,W474&gt;=35,W474&lt;65),0.23,0)+IF(AND(V474&gt;=75,V474&lt;=175,W474&gt;=65,W474&lt;110),0.17,0)+IF(AND(V474&gt;=75,V474&lt;=175,W474&gt;=110),0.12,0)+IF(AND(V474&gt;175,W474&lt;25),0.3,0)+IF(AND(V474&gt;175,W474&gt;=25,W474&lt;55),0.23,0)+IF(AND(V474&gt;175,W474&gt;=55,W474&lt;95),0.17,0)+IF(AND(V474&gt;175,W474&gt;=95),0.12,0),
IF(AF474="DoEVni",IF(AND(V474&lt;20,W474&lt;55),0.3,0)+IF(AND(V474&lt;20,W474&gt;=55,W474&lt;105),0.23,0)+IF(AND(V474&lt;20,W474&gt;=105),0.17,0)+IF(AND(V474&gt;=20,V474&lt;40,W474&lt;45),0.3,0)+IF(AND(V474&gt;=20,V474&lt;40,W474&gt;=45,W474&lt;95),0.23,0)+IF(AND(V474&gt;=20,V474&lt;40,W474&gt;=95,W474&lt;=200),0.17,0)+IF(AND(V474&gt;=20,V474&lt;40,W474&gt;=200),0.12,0)+IF(AND(V474&gt;=40,V474&lt;75,W474&lt;35),0.3,0)+IF(AND(V474&gt;=40,V474&lt;75,W474&gt;=35,W474&lt;75),0.23,0)+IF(AND(V474&gt;=40,V474&lt;75,W474&gt;=75,W474&lt;120),0.17,0)+IF(AND(V474&gt;=40,V474&lt;75,W474&gt;=120),0.12,0)+IF(AND(V474&gt;=75,V474&lt;175,W474&lt;35),0.3,0)+IF(AND(V474&gt;=75,V474&lt;=175,W474&gt;=35,W474&lt;65),0.23,0)+IF(AND(V474&gt;=75,V474&lt;=175,W474&gt;=65,W474&lt;110),0.17,0)+IF(AND(V474&gt;=75,V474&lt;=175,W474&gt;=110),0.12,0)+IF(AND(V474&gt;175,W474&lt;25),0.3,0)+IF(AND(V474&gt;175,W474&gt;=25,W474&lt;55),0.23,0)+IF(AND(V474&gt;175,W474&gt;=55,W474&lt;95),0.17,0)+IF(AND(V474&gt;175,W474&gt;=95),0.12,0),
IF(AF474="DoEVLo",IF(AND(V474&lt;20,W474&lt;55),0.25,0)+IF(AND(V474&lt;20,W474&gt;=55,W474&lt;105),0.2,0)+IF(AND(V474&lt;20,W474&gt;=105),0.15,0)+IF(AND(V474&gt;=20,V474&lt;40,W474&lt;45),0.25,0)+IF(AND(V474&gt;=20,V474&lt;40,W474&gt;=45,W474&lt;95),0.2,0)+IF(AND(V474&gt;=20,V474&lt;40,W474&gt;=95),0.15,0)+IF(AND(V474&gt;=40,V474&lt;75,W474&lt;35),0.25,0)+IF(AND(V474&gt;=40,V474&lt;75,W474&gt;=35,W474&lt;75),0.2,0)+IF(AND(V474&gt;=40,V474&lt;75,W474&gt;=75,W474&lt;120),0.15,0)+IF(AND(V474&gt;=40,V474&lt;75,W474&gt;=120),0.1,0)+IF(AND(V474&gt;=75,V474&lt;175,W474&lt;35),0.25,0)+IF(AND(V474&gt;=75,V474&lt;=175,W474&gt;=35,W474&lt;65),0.2,0)+IF(AND(V474&gt;=75,V474&lt;=175,W474&gt;=65,W474&lt;110),0.15,0)+IF(AND(V474&gt;=75,V474&lt;=175,W474&gt;=110),0.1,0)+IF(AND(V474&gt;175,W474&lt;25),0.25,0)+IF(AND(V474&gt;175,W474&gt;=25,W474&lt;55),0.2,0)+IF(AND(V474&gt;175,W474&gt;=55,W474&lt;95),0.15,0)+IF(AND(V474&gt;175,W474&gt;=95),0.1,0))))))))))))))))</f>
        <v>0.25</v>
      </c>
      <c r="Y474" s="30">
        <f>IF(AG474="None",0,IF(AG474="Fix5",0.05,IF(AG474="Fix3.75",0.0375,IF(AG474="Fix10",0.1,IF(AG474="Fix3",0.03,0)))))</f>
        <v>0</v>
      </c>
      <c r="Z474" s="35">
        <f>T474-AA474-AB474</f>
        <v>88.5</v>
      </c>
      <c r="AA474" s="29">
        <f>IF(AD474="EUR",((T474-R474)*X474)*U474+(R474*X474),(T474*X474))</f>
        <v>29.5</v>
      </c>
      <c r="AB474" s="36">
        <f>IF(AD474="EUR",((T474-R474)*Y474)*U474+(R474*Y474),(T474*Y474))</f>
        <v>0</v>
      </c>
      <c r="AC474" s="61" t="b">
        <v>1</v>
      </c>
      <c r="AD474" s="82" t="s">
        <v>38</v>
      </c>
      <c r="AE474" s="83" t="s">
        <v>38</v>
      </c>
      <c r="AF474" s="83" t="str">
        <f t="array" ref="AF474">INDEX('Deal Info'!D:D, MATCH(A474,'Deal Info'!A:A, 0))</f>
        <v>DoEVLo</v>
      </c>
      <c r="AG474" s="84" t="str">
        <f t="array" ref="AG474">INDEX('Deal Info'!G:G, MATCH(A474,'Deal Info'!A:A, 0))</f>
        <v>None</v>
      </c>
    </row>
    <row r="475" spans="1:33" ht="14.25" hidden="1" x14ac:dyDescent="0.2">
      <c r="A475" s="18" t="str">
        <f t="array" ref="A475">IF(G475='Room Info'!$B$1, INDEX('Room Info'!$A$2:$A2446, MATCH(B475,'Room Info'!$B$2:$B2446, 0)),IF(G475='Room Info'!$C$1, INDEX('Room Info'!$A$2:$A2446, MATCH(B475,'Room Info'!$C$2:$C2446, 0)),IF(G475='Room Info'!$D$1, INDEX('Room Info'!$A$2:$A2446, MATCH(B475,'Room Info'!$D$2:$D2446, 0)),IF(G475='Room Info'!$E$1, INDEX('Room Info'!$A$2:$A2446, MATCH(B475,'Room Info'!$E$2:$E2446, 0)),IF(G475='Room Info'!$F$1, INDEX('Room Info'!$A$2:$A2446, MATCH(B475,'Room Info'!$F$2:$F2446, 0)),IF(G475='Room Info'!$H$1, INDEX('Room Info'!$A$2:$A2446, MATCH(B475,'Room Info'!$H$2:$H2446, 0)),IF(G475='Room Info'!$G$1, INDEX('Room Info'!$A$2:$A2446, MATCH(B475,'Room Info'!$G$2:$G2446, 0)))))))))</f>
        <v>fortunate773</v>
      </c>
      <c r="B475" s="45" t="s">
        <v>66</v>
      </c>
      <c r="C475" s="46">
        <v>44886</v>
      </c>
      <c r="D475" s="46">
        <v>44915</v>
      </c>
      <c r="E475" s="47">
        <v>44896</v>
      </c>
      <c r="F475" s="48" t="s">
        <v>49</v>
      </c>
      <c r="G475" s="45" t="s">
        <v>35</v>
      </c>
      <c r="H475" s="49" t="s">
        <v>70</v>
      </c>
      <c r="I475" s="49" t="s">
        <v>37</v>
      </c>
      <c r="J475" s="70">
        <v>100</v>
      </c>
      <c r="K475" s="71">
        <v>456</v>
      </c>
      <c r="L475" s="52">
        <v>-4800</v>
      </c>
      <c r="M475" s="53">
        <v>709</v>
      </c>
      <c r="N475" s="28">
        <f>K475*J475</f>
        <v>45600</v>
      </c>
      <c r="O475" s="54">
        <v>8473</v>
      </c>
      <c r="P475" s="29">
        <v>18.581140349999998</v>
      </c>
      <c r="Q475" s="55"/>
      <c r="R475" s="31">
        <f>M475+Q475</f>
        <v>709</v>
      </c>
      <c r="S475" s="56">
        <v>-1013</v>
      </c>
      <c r="T475" s="32">
        <f>R475+S475+IF(F475="Without EV deal",L475,0)</f>
        <v>-304</v>
      </c>
      <c r="U475" s="57">
        <v>1</v>
      </c>
      <c r="V475" s="58"/>
      <c r="W475" s="58"/>
      <c r="X475" s="30">
        <f>IF(AF475="DoEV",IF(AND(V475&lt;20,W475&lt;55),0.3,0)+IF(AND(V475&lt;20,W475&gt;=55,W475&lt;105),0.23,0)+IF(AND(V475&lt;20,W475&gt;=105),0.17,0)+IF(AND(V475&gt;=20,V475&lt;40,W475&lt;45),0.3,0)+IF(AND(V475&gt;=20,V475&lt;40,W475&gt;=45,W475&lt;95),0.23,0)+IF(AND(V475&gt;=20,V475&lt;40,W475&gt;=95),0.17,0)+IF(AND(V475&gt;=40,V475&lt;75,W475&lt;35),0.3,0)+IF(AND(V475&gt;=40,V475&lt;75,W475&gt;=35,W475&lt;75),0.23,0)+IF(AND(V475&gt;=40,V475&lt;75,W475&gt;=75,W475&lt;120),0.17,0)+IF(AND(V475&gt;=40,V475&lt;75,W475&gt;=120),0.12,0)+IF(AND(V475&gt;=75,V475&lt;175,W475&lt;35),0.3,0)+IF(AND(V475&gt;=75,V475&lt;=175,W475&gt;=35,W475&lt;65),0.23,0)+IF(AND(V475&gt;=75,V475&lt;=175,W475&gt;=65,W475&lt;110),0.17,0)+IF(AND(V475&gt;=75,V475&lt;=175,W475&gt;=110),0.12,0)+IF(AND(V475&gt;175,W475&lt;25),0.3,0)+IF(AND(V475&gt;175,W475&gt;=25,W475&lt;55),0.23,0)+IF(AND(V475&gt;175,W475&gt;=55,W475&lt;95),0.17,0)+IF(AND(V475&gt;175,W475&gt;=95),0.12,0),
IF(AF475="Fix15",0.15,
IF(AF475="Fix11.25",0.1125,
IF(AF475="Fix10",0.1,
IF(AF475="Fix9",0.09,
IF(AF475="DoEV2017",IF(AND(W475&lt;74),0.2,0)+IF(AND(W475&gt;=74),0.17,0),
IF(AF475="SF",IF(AND(V475&lt;20,W475&lt;89),0.3,0)+IF(AND(V475&lt;20,W475&gt;=89),0.25,0)+IF(AND(V475&gt;=20,V475&lt;40,W475&lt;74),0.3,0)+IF(AND(V475&gt;=20,V475&lt;40,W475&gt;=75),0.22,0)+IF(AND(V475&gt;=40,V475&lt;75,W475&lt;75),0.26,0)+IF(AND(V475&gt;=40,V475&lt;75,W475&gt;=75),0.22,0)+IF(V475&gt;=75,0.22,0),
IF(AF475="DoEVold",IF(AND(V475&lt;40,W475&lt;35),0.35,0)+IF(AND(V475&lt;40,W475&gt;=35,W475&lt;75),0.25,0)+IF(AND(V475&lt;40,W475&gt;=75),0.17,0)+IF(AND(V475&gt;=40,V475&lt;75,W475&lt;25),0.35,0)+IF(AND(V475&gt;=40,V475&lt;75,W475&gt;=25,W475&lt;65),0.25,0)+IF(AND(V475&gt;=40,V475&lt;75,W475&gt;=65,W475&lt;100),0.17,0)+IF(AND(V475&gt;=40,V475&lt;75,W475&gt;=100),0.1,0)+IF(AND(V475&gt;=75,W475&lt;25),0.35,0)+IF(AND(V475&gt;=75,W475&gt;=25,W475&lt;60),0.25,0)+IF(AND(V475&gt;=75,W475&gt;=60,W475&lt;95),0.17,0)+IF(AND(V475&gt;=75,W475&gt;=95),0.1,0),
IF(AF475="DoEVold15",IF(AND(V475&lt;=40,W475&lt;35),0.35,0)+IF(AND(V475&lt;=40,W475&gt;=35,W475&lt;75),0.25,0)+IF(AND(V475&lt;=40,W475&gt;=75,W475&lt;120),0.17,0)+IF(AND(V475&lt;=40,W475&gt;=120),0.15,0)+IF(AND(V475&gt;40,V475&lt;75,W475&lt;25),0.35,0)+IF(AND(V475&gt;=40,V475&lt;75,W475&gt;=25,W475&lt;65),0.25,0)+IF(AND(V475&gt;=40,V475&lt;75,W475&gt;=65,W475&lt;100),0.17,0)+IF(AND(V475&gt;=40,V475&lt;75,W475&gt;=100),0.1,0)+IF(AND(V475&gt;=75,W475&lt;25),0.35,0)+IF(AND(V475&gt;=75,W475&gt;=25,W475&lt;60),0.25,0)+IF(AND(V475&gt;=75,W475&gt;=60,W475&lt;95),0.17,0)+IF(AND(V475&gt;=75,W475&gt;=95),0.1,0),
IF(AF475="DoEVba",IF(AND(V475&lt;20,W475&lt;105),0.2,0)+IF(AND(V475&lt;20,W475&gt;=105),0.15,0)+IF(AND(V475&gt;=20,V475&lt;40,W475&lt;95),0.2,0)+IF(AND(V475&gt;=20,V475&lt;40,W475&gt;=95,W475&lt;150),0.15,0)+IF(AND(V475&gt;=20,V475&lt;40,W475&gt;=150),0.12,0)+IF(AND(V475&gt;=40,V475&lt;75,W475&lt;75),0.2,0)+IF(AND(V475&gt;=40,V475&lt;75,W475&gt;=75,W475&lt;120),0.15,0)+IF(AND(V475&gt;=40,V475&lt;75,W475&gt;=120),0.12,0)+IF(AND(V475&gt;=75,V475&lt;175,W475&lt;65),0.2,0)+IF(AND(V475&gt;=75,V475&lt;175,W475&gt;=65,W475&lt;110),0.15,0)+IF(AND(V475&gt;=75,V475&lt;175,W475&gt;=110),0.12,0)+IF(AND(V475&gt;=175,W475&lt;55),0.2,0)+IF(AND(V475&gt;=175,W475&gt;=55,W475&lt;95),0.15,0)+IF(AND(V475&gt;=175,W475&gt;=95),0.12,0),
IF(AF475="DoEVku",IF(AND(V475&lt;20,W475&lt;55),0.23,0)+IF(AND(V475&lt;20,W475&gt;=55,W475&lt;105),0.2,0)+IF(AND(V475&lt;20,W475&gt;=105),0.17,0)+IF(AND(V475&gt;=20,V475&lt;40,W475&lt;45),0.23,0)+IF(AND(V475&gt;=20,V475&lt;40,W475&gt;=45,W475&lt;95),0.2,0)+IF(AND(V475&gt;=20,V475&lt;40,W475&gt;=95,W475&lt;=150),0.17,0)+IF(AND(V475&gt;=20,V475&lt;40,W475&gt;=150),0.12,0)+IF(AND(V475&gt;=40,V475&lt;75,W475&lt;35),0.23,0)+IF(AND(V475&gt;=40,V475&lt;75,W475&gt;=35,W475&lt;75),0.2,0)+IF(AND(V475&gt;=40,V475&lt;75,W475&gt;=75,W475&lt;120),0.17,0)+IF(AND(V475&gt;=40,V475&lt;75,W475&gt;=120),0.12,0)+IF(AND(V475&gt;=75,V475&lt;175,W475&lt;35),0.23,0)+IF(AND(V475&gt;=75,V475&lt;=175,W475&gt;=35,W475&lt;65),0.2,0)+IF(AND(V475&gt;=75,V475&lt;=175,W475&gt;=65,W475&lt;110),0.17,0)+IF(AND(V475&gt;=75,V475&lt;=175,W475&gt;=110),0.12,0)+IF(AND(V475&gt;175,W475&lt;25),0.23,0)+IF(AND(V475&gt;175,W475&gt;=25,W475&lt;55),0.2,0)+IF(AND(V475&gt;175,W475&gt;=55,W475&lt;95),0.17,0)+IF(AND(V475&gt;175,W475&gt;=95),0.12,0),
IF(AF475="DoEVs1",IF(AND(V475&lt;20,W475&lt;55),0.3,0)+IF(AND(V475&lt;20,W475&gt;=55,W475&lt;105),0.23,0)+IF(AND(V475&lt;20,W475&gt;=105),0.17,0)+IF(AND(V475&gt;=20,V475&lt;40,W475&lt;45),0.3,0)+IF(AND(V475&gt;=20,V475&lt;40,W475&gt;=45,W475&lt;95),0.23,0)+IF(AND(V475&gt;=20,V475&lt;40,W475&gt;=95,W475&lt;=150),0.17,0)+IF(AND(V475&gt;=20,V475&lt;40,W475&gt;=150),0.12,0)+IF(AND(V475&gt;=40,V475&lt;75,W475&lt;35),0.3,0)+IF(AND(V475&gt;=40,V475&lt;75,W475&gt;=35,W475&lt;75),0.23,0)+IF(AND(V475&gt;=40,V475&lt;75,W475&gt;=75,W475&lt;120),0.17,0)+IF(AND(V475&gt;=40,V475&lt;75,W475&gt;=120),0.12,0)+IF(AND(V475&gt;=75,V475&lt;175,W475&lt;35),0.3,0)+IF(AND(V475&gt;=75,V475&lt;=175,W475&gt;=35,W475&lt;65),0.23,0)+IF(AND(V475&gt;=75,V475&lt;=175,W475&gt;=65,W475&lt;110),0.17,0)+IF(AND(V475&gt;=75,V475&lt;=175,W475&gt;=110),0.12,0)+IF(AND(V475&gt;175,W475&lt;25),0.3,0)+IF(AND(V475&gt;175,W475&gt;=25,W475&lt;55),0.23,0)+IF(AND(V475&gt;175,W475&gt;=55,W475&lt;95),0.17,0)+IF(AND(V475&gt;175,W475&gt;=95),0.12,0),
IF(AF475="DoEVsu",IF(AND(V475&lt;20,W475&lt;55),0.3,0)+IF(AND(V475&lt;20,W475&gt;=55,W475&lt;105),0.23,0)+IF(AND(V475&lt;20,W475&gt;=105),0.17,0)+IF(AND(V475&gt;=20,V475&lt;40,W475&lt;45),0.3,0)+IF(AND(V475&gt;=20,V475&lt;40,W475&gt;=45,W475&lt;95),0.23,0)+IF(AND(V475&gt;=20,V475&lt;40,W475&gt;=95,W475&lt;=250),0.17,0)+IF(AND(V475&gt;=20,V475&lt;40,W475&gt;=250),0.12,0)+IF(AND(V475&gt;=40,V475&lt;75,W475&lt;35),0.3,0)+IF(AND(V475&gt;=40,V475&lt;75,W475&gt;=35,W475&lt;75),0.23,0)+IF(AND(V475&gt;=40,V475&lt;75,W475&gt;=75,W475&lt;120),0.17,0)+IF(AND(V475&gt;=40,V475&lt;75,W475&gt;=120),0.12,0)+IF(AND(V475&gt;=75,V475&lt;175,W475&lt;35),0.3,0)+IF(AND(V475&gt;=75,V475&lt;=175,W475&gt;=35,W475&lt;65),0.23,0)+IF(AND(V475&gt;=75,V475&lt;=175,W475&gt;=65,W475&lt;110),0.17,0)+IF(AND(V475&gt;=75,V475&lt;=175,W475&gt;=110),0.12,0)+IF(AND(V475&gt;175,W475&lt;25),0.3,0)+IF(AND(V475&gt;175,W475&gt;=25,W475&lt;55),0.23,0)+IF(AND(V475&gt;175,W475&gt;=55,W475&lt;95),0.17,0)+IF(AND(V475&gt;175,W475&gt;=95),0.12,0),
IF(AF475="DoEVni",IF(AND(V475&lt;20,W475&lt;55),0.3,0)+IF(AND(V475&lt;20,W475&gt;=55,W475&lt;105),0.23,0)+IF(AND(V475&lt;20,W475&gt;=105),0.17,0)+IF(AND(V475&gt;=20,V475&lt;40,W475&lt;45),0.3,0)+IF(AND(V475&gt;=20,V475&lt;40,W475&gt;=45,W475&lt;95),0.23,0)+IF(AND(V475&gt;=20,V475&lt;40,W475&gt;=95,W475&lt;=200),0.17,0)+IF(AND(V475&gt;=20,V475&lt;40,W475&gt;=200),0.12,0)+IF(AND(V475&gt;=40,V475&lt;75,W475&lt;35),0.3,0)+IF(AND(V475&gt;=40,V475&lt;75,W475&gt;=35,W475&lt;75),0.23,0)+IF(AND(V475&gt;=40,V475&lt;75,W475&gt;=75,W475&lt;120),0.17,0)+IF(AND(V475&gt;=40,V475&lt;75,W475&gt;=120),0.12,0)+IF(AND(V475&gt;=75,V475&lt;175,W475&lt;35),0.3,0)+IF(AND(V475&gt;=75,V475&lt;=175,W475&gt;=35,W475&lt;65),0.23,0)+IF(AND(V475&gt;=75,V475&lt;=175,W475&gt;=65,W475&lt;110),0.17,0)+IF(AND(V475&gt;=75,V475&lt;=175,W475&gt;=110),0.12,0)+IF(AND(V475&gt;175,W475&lt;25),0.3,0)+IF(AND(V475&gt;175,W475&gt;=25,W475&lt;55),0.23,0)+IF(AND(V475&gt;175,W475&gt;=55,W475&lt;95),0.17,0)+IF(AND(V475&gt;175,W475&gt;=95),0.12,0),
IF(AF475="DoEVLo",IF(AND(V475&lt;20,W475&lt;55),0.25,0)+IF(AND(V475&lt;20,W475&gt;=55,W475&lt;105),0.2,0)+IF(AND(V475&lt;20,W475&gt;=105),0.15,0)+IF(AND(V475&gt;=20,V475&lt;40,W475&lt;45),0.25,0)+IF(AND(V475&gt;=20,V475&lt;40,W475&gt;=45,W475&lt;95),0.2,0)+IF(AND(V475&gt;=20,V475&lt;40,W475&gt;=95),0.15,0)+IF(AND(V475&gt;=40,V475&lt;75,W475&lt;35),0.25,0)+IF(AND(V475&gt;=40,V475&lt;75,W475&gt;=35,W475&lt;75),0.2,0)+IF(AND(V475&gt;=40,V475&lt;75,W475&gt;=75,W475&lt;120),0.15,0)+IF(AND(V475&gt;=40,V475&lt;75,W475&gt;=120),0.1,0)+IF(AND(V475&gt;=75,V475&lt;175,W475&lt;35),0.25,0)+IF(AND(V475&gt;=75,V475&lt;=175,W475&gt;=35,W475&lt;65),0.2,0)+IF(AND(V475&gt;=75,V475&lt;=175,W475&gt;=65,W475&lt;110),0.15,0)+IF(AND(V475&gt;=75,V475&lt;=175,W475&gt;=110),0.1,0)+IF(AND(V475&gt;175,W475&lt;25),0.25,0)+IF(AND(V475&gt;175,W475&gt;=25,W475&lt;55),0.2,0)+IF(AND(V475&gt;175,W475&gt;=55,W475&lt;95),0.15,0)+IF(AND(V475&gt;175,W475&gt;=95),0.1,0))))))))))))))))</f>
        <v>0.15</v>
      </c>
      <c r="Y475" s="30">
        <f>IF(AG475="None",0,IF(AG475="Fix5",0.05,IF(AG475="Fix3.75",0.0375,IF(AG475="Fix10",0.1,IF(AG475="Fix3",0.03,0)))))</f>
        <v>0.05</v>
      </c>
      <c r="Z475" s="59">
        <v>-243</v>
      </c>
      <c r="AA475" s="60">
        <v>-61</v>
      </c>
      <c r="AB475" s="36"/>
      <c r="AC475" s="37" t="b">
        <v>0</v>
      </c>
      <c r="AD475" s="61" t="s">
        <v>38</v>
      </c>
      <c r="AE475" s="83" t="s">
        <v>38</v>
      </c>
      <c r="AF475" s="37" t="str">
        <f t="array" ref="AF475">INDEX('Deal Info'!D:D, MATCH(A475,'Deal Info'!A:A, 0))</f>
        <v>Fix15</v>
      </c>
      <c r="AG475" s="38" t="str">
        <f t="array" ref="AG475">INDEX('Deal Info'!G:G, MATCH(A475,'Deal Info'!A:A, 0))</f>
        <v>Fix5</v>
      </c>
    </row>
    <row r="476" spans="1:33" ht="14.25" x14ac:dyDescent="0.2">
      <c r="A476" s="18" t="str">
        <f t="array" ref="A476">IF(G476='Room Info'!$B$1, INDEX('Room Info'!$A$2:$A2446, MATCH(B476,'Room Info'!$B$2:$B2446, 0)),IF(G476='Room Info'!$C$1, INDEX('Room Info'!$A$2:$A2446, MATCH(B476,'Room Info'!$C$2:$C2446, 0)),IF(G476='Room Info'!$D$1, INDEX('Room Info'!$A$2:$A2446, MATCH(B476,'Room Info'!$D$2:$D2446, 0)),IF(G476='Room Info'!$E$1, INDEX('Room Info'!$A$2:$A2446, MATCH(B476,'Room Info'!$E$2:$E2446, 0)),IF(G476='Room Info'!$F$1, INDEX('Room Info'!$A$2:$A2446, MATCH(B476,'Room Info'!$F$2:$F2446, 0)),IF(G476='Room Info'!$H$1, INDEX('Room Info'!$A$2:$A2446, MATCH(B476,'Room Info'!$H$2:$H2446, 0)),IF(G476='Room Info'!$G$1, INDEX('Room Info'!$A$2:$A2446, MATCH(B476,'Room Info'!$G$2:$G2446, 0)))))))))</f>
        <v>Lo4io</v>
      </c>
      <c r="B476" s="45" t="s">
        <v>107</v>
      </c>
      <c r="C476" s="136">
        <v>44794</v>
      </c>
      <c r="D476" s="136">
        <v>44824</v>
      </c>
      <c r="E476" s="47">
        <v>44805</v>
      </c>
      <c r="F476" s="48" t="s">
        <v>34</v>
      </c>
      <c r="G476" s="45" t="s">
        <v>61</v>
      </c>
      <c r="H476" s="110" t="s">
        <v>59</v>
      </c>
      <c r="I476" s="110" t="s">
        <v>37</v>
      </c>
      <c r="J476" s="74">
        <v>100</v>
      </c>
      <c r="K476" s="134">
        <v>179</v>
      </c>
      <c r="L476" s="135">
        <v>-1500</v>
      </c>
      <c r="M476" s="79">
        <v>8</v>
      </c>
      <c r="N476" s="28">
        <f>K476*J476</f>
        <v>17900</v>
      </c>
      <c r="O476" s="129">
        <v>9374</v>
      </c>
      <c r="P476" s="29">
        <v>52.368715080000001</v>
      </c>
      <c r="Q476" s="55"/>
      <c r="R476" s="31">
        <f>M476+Q476</f>
        <v>8</v>
      </c>
      <c r="S476" s="97">
        <v>110</v>
      </c>
      <c r="T476" s="32">
        <f>R476+S476+IF(F476="Without EV deal",L476,0)</f>
        <v>118</v>
      </c>
      <c r="U476" s="57">
        <v>1</v>
      </c>
      <c r="V476" s="69"/>
      <c r="W476" s="69"/>
      <c r="X476" s="30">
        <v>0.25</v>
      </c>
      <c r="Y476" s="30">
        <f>IF(AG476="None",0,IF(AG476="Fix5",0.05, IF(AG476="Fix6.25",0.0625,IF(AG476="Fix3.75",0.0375,IF(AG476="Fix10",0.1,IF(AG476="Fix3",0.03,0))))))</f>
        <v>0</v>
      </c>
      <c r="Z476" s="35">
        <f>T476-AA476-AB476</f>
        <v>88.5</v>
      </c>
      <c r="AA476" s="29">
        <f>IF(AD476="EUR",((T476-R476)*X476)*U476+(R476*X476),(T476*X476))</f>
        <v>29.5</v>
      </c>
      <c r="AB476" s="36">
        <f>IF(AD476="EUR",((T476-R476)*Y476)*U476+(R476*Y476),(T476*Y476))</f>
        <v>0</v>
      </c>
      <c r="AC476" s="61" t="b">
        <v>1</v>
      </c>
      <c r="AD476" s="82" t="s">
        <v>38</v>
      </c>
      <c r="AE476" s="83" t="s">
        <v>38</v>
      </c>
      <c r="AF476" s="83" t="str">
        <f t="array" ref="AF476">INDEX('Deal Info'!D:D, MATCH(A476,'Deal Info'!A:A, 0))</f>
        <v>DoEVLo</v>
      </c>
      <c r="AG476" s="84" t="str">
        <f t="array" ref="AG476">INDEX('Deal Info'!G:G, MATCH(A476,'Deal Info'!A:A, 0))</f>
        <v>None</v>
      </c>
    </row>
    <row r="477" spans="1:33" ht="28.5" x14ac:dyDescent="0.2">
      <c r="A477" s="18" t="str">
        <f t="array" ref="A477">IF(G477='Room Info'!$B$1, INDEX('Room Info'!$A$2:$A2446, MATCH(B477,'Room Info'!$B$2:$B2446, 0)),IF(G477='Room Info'!$C$1, INDEX('Room Info'!$A$2:$A2446, MATCH(B477,'Room Info'!$C$2:$C2446, 0)),IF(G477='Room Info'!$D$1, INDEX('Room Info'!$A$2:$A2446, MATCH(B477,'Room Info'!$D$2:$D2446, 0)),IF(G477='Room Info'!$E$1, INDEX('Room Info'!$A$2:$A2446, MATCH(B477,'Room Info'!$E$2:$E2446, 0)),IF(G477='Room Info'!$F$1, INDEX('Room Info'!$A$2:$A2446, MATCH(B477,'Room Info'!$F$2:$F2446, 0)),IF(G477='Room Info'!$H$1, INDEX('Room Info'!$A$2:$A2446, MATCH(B477,'Room Info'!$H$2:$H2446, 0)),IF(G477='Room Info'!$G$1, INDEX('Room Info'!$A$2:$A2446, MATCH(B477,'Room Info'!$G$2:$G2446, 0)))))))))</f>
        <v>fortunate773</v>
      </c>
      <c r="B477" s="45" t="s">
        <v>95</v>
      </c>
      <c r="C477" s="46">
        <v>44835</v>
      </c>
      <c r="D477" s="46">
        <v>44865</v>
      </c>
      <c r="E477" s="47">
        <v>44835</v>
      </c>
      <c r="F477" s="48" t="s">
        <v>49</v>
      </c>
      <c r="G477" s="45" t="s">
        <v>61</v>
      </c>
      <c r="H477" s="49" t="s">
        <v>67</v>
      </c>
      <c r="I477" s="49" t="s">
        <v>68</v>
      </c>
      <c r="J477" s="70">
        <v>500</v>
      </c>
      <c r="K477" s="71">
        <v>1</v>
      </c>
      <c r="L477" s="52">
        <v>1500</v>
      </c>
      <c r="M477" s="53">
        <v>0</v>
      </c>
      <c r="N477" s="28">
        <f>K477*J477</f>
        <v>500</v>
      </c>
      <c r="O477" s="54">
        <v>256</v>
      </c>
      <c r="P477" s="29">
        <v>256</v>
      </c>
      <c r="Q477" s="55"/>
      <c r="R477" s="31">
        <f>M477+Q477</f>
        <v>0</v>
      </c>
      <c r="S477" s="56">
        <v>348</v>
      </c>
      <c r="T477" s="32">
        <f>R477+S477+IF(F477="Without EV deal",L477,0)</f>
        <v>348</v>
      </c>
      <c r="U477" s="57">
        <v>1</v>
      </c>
      <c r="V477" s="58"/>
      <c r="W477" s="58"/>
      <c r="X477" s="78">
        <f>IF(AF477="DoEV",IF(AND(V477&lt;20,W477&lt;55),0.3,0)+IF(AND(V477&lt;20,W477&gt;=55,W477&lt;105),0.23,0)+IF(AND(V477&lt;20,W477&gt;=105),0.17,0)+IF(AND(V477&gt;=20,V477&lt;40,W477&lt;45),0.3,0)+IF(AND(V477&gt;=20,V477&lt;40,W477&gt;=45,W477&lt;95),0.23,0)+IF(AND(V477&gt;=20,V477&lt;40,W477&gt;=95),0.17,0)+IF(AND(V477&gt;=40,V477&lt;75,W477&lt;35),0.3,0)+IF(AND(V477&gt;=40,V477&lt;75,W477&gt;=35,W477&lt;75),0.23,0)+IF(AND(V477&gt;=40,V477&lt;75,W477&gt;=75,W477&lt;120),0.17,0)+IF(AND(V477&gt;=40,V477&lt;75,W477&gt;=120),0.12,0)+IF(AND(V477&gt;=75,V477&lt;175,W477&lt;35),0.3,0)+IF(AND(V477&gt;=75,V477&lt;=175,W477&gt;=35,W477&lt;65),0.23,0)+IF(AND(V477&gt;=75,V477&lt;=175,W477&gt;=65,W477&lt;110),0.17,0)+IF(AND(V477&gt;=75,V477&lt;=175,W477&gt;=110),0.12,0)+IF(AND(V477&gt;175,W477&lt;25),0.3,0)+IF(AND(V477&gt;175,W477&gt;=25,W477&lt;55),0.23,0)+IF(AND(V477&gt;175,W477&gt;=55,W477&lt;95),0.17,0)+IF(AND(V477&gt;175,W477&gt;=95),0.12,0),
IF(AF477="Fix15",0.15,
IF(AF477="Fix11.25",0.1125,
IF(AF477="Fix10",0.1,
IF(AF477="Fix9",0.09,
IF(AF477="DoEV2017",IF(AND(W477&lt;74),0.2,0)+IF(AND(W477&gt;=74),0.17,0),
IF(AF477="SF",IF(AND(V477&lt;20,W477&lt;89),0.3,0)+IF(AND(V477&lt;20,W477&gt;=89),0.25,0)+IF(AND(V477&gt;=20,V477&lt;40,W477&lt;74),0.3,0)+IF(AND(V477&gt;=20,V477&lt;40,W477&gt;=75),0.22,0)+IF(AND(V477&gt;=40,V477&lt;75,W477&lt;75),0.26,0)+IF(AND(V477&gt;=40,V477&lt;75,W477&gt;=75),0.22,0)+IF(V477&gt;=75,0.22,0),
IF(AF477="DoEVold",IF(AND(V477&lt;40,W477&lt;35),0.35,0)+IF(AND(V477&lt;40,W477&gt;=35,W477&lt;75),0.25,0)+IF(AND(V477&lt;40,W477&gt;=75),0.17,0)+IF(AND(V477&gt;=40,V477&lt;75,W477&lt;25),0.35,0)+IF(AND(V477&gt;=40,V477&lt;75,W477&gt;=25,W477&lt;65),0.25,0)+IF(AND(V477&gt;=40,V477&lt;75,W477&gt;=65,W477&lt;100),0.17,0)+IF(AND(V477&gt;=40,V477&lt;75,W477&gt;=100),0.1,0)+IF(AND(V477&gt;=75,W477&lt;25),0.35,0)+IF(AND(V477&gt;=75,W477&gt;=25,W477&lt;60),0.25,0)+IF(AND(V477&gt;=75,W477&gt;=60,W477&lt;95),0.17,0)+IF(AND(V477&gt;=75,W477&gt;=95),0.1,0),
IF(AF477="DoEVold15",IF(AND(V477&lt;=40,W477&lt;35),0.35,0)+IF(AND(V477&lt;=40,W477&gt;=35,W477&lt;75),0.25,0)+IF(AND(V477&lt;=40,W477&gt;=75,W477&lt;120),0.17,0)+IF(AND(V477&lt;=40,W477&gt;=120),0.15,0)+IF(AND(V477&gt;40,V477&lt;75,W477&lt;25),0.35,0)+IF(AND(V477&gt;=40,V477&lt;75,W477&gt;=25,W477&lt;65),0.25,0)+IF(AND(V477&gt;=40,V477&lt;75,W477&gt;=65,W477&lt;100),0.17,0)+IF(AND(V477&gt;=40,V477&lt;75,W477&gt;=100),0.1,0)+IF(AND(V477&gt;=75,W477&lt;25),0.35,0)+IF(AND(V477&gt;=75,W477&gt;=25,W477&lt;60),0.25,0)+IF(AND(V477&gt;=75,W477&gt;=60,W477&lt;95),0.17,0)+IF(AND(V477&gt;=75,W477&gt;=95),0.1,0),
IF(AF477="DoEVba",IF(AND(V477&lt;20,W477&lt;105),0.2,0)+IF(AND(V477&lt;20,W477&gt;=105),0.15,0)+IF(AND(V477&gt;=20,V477&lt;40,W477&lt;95),0.2,0)+IF(AND(V477&gt;=20,V477&lt;40,W477&gt;=95,W477&lt;150),0.15,0)+IF(AND(V477&gt;=20,V477&lt;40,W477&gt;=150),0.12,0)+IF(AND(V477&gt;=40,V477&lt;75,W477&lt;75),0.2,0)+IF(AND(V477&gt;=40,V477&lt;75,W477&gt;=75,W477&lt;120),0.15,0)+IF(AND(V477&gt;=40,V477&lt;75,W477&gt;=120),0.12,0)+IF(AND(V477&gt;=75,V477&lt;175,W477&lt;65),0.2,0)+IF(AND(V477&gt;=75,V477&lt;175,W477&gt;=65,W477&lt;110),0.15,0)+IF(AND(V477&gt;=75,V477&lt;175,W477&gt;=110),0.12,0)+IF(AND(V477&gt;=175,W477&lt;55),0.2,0)+IF(AND(V477&gt;=175,W477&gt;=55,W477&lt;95),0.15,0)+IF(AND(V477&gt;=175,W477&gt;=95),0.12,0),
IF(AF477="DoEVku",IF(AND(V477&lt;20,W477&lt;55),0.23,0)+IF(AND(V477&lt;20,W477&gt;=55,W477&lt;105),0.2,0)+IF(AND(V477&lt;20,W477&gt;=105),0.17,0)+IF(AND(V477&gt;=20,V477&lt;40,W477&lt;45),0.23,0)+IF(AND(V477&gt;=20,V477&lt;40,W477&gt;=45,W477&lt;95),0.2,0)+IF(AND(V477&gt;=20,V477&lt;40,W477&gt;=95,W477&lt;=150),0.17,0)+IF(AND(V477&gt;=20,V477&lt;40,W477&gt;=150),0.12,0)+IF(AND(V477&gt;=40,V477&lt;75,W477&lt;35),0.23,0)+IF(AND(V477&gt;=40,V477&lt;75,W477&gt;=35,W477&lt;75),0.2,0)+IF(AND(V477&gt;=40,V477&lt;75,W477&gt;=75,W477&lt;120),0.17,0)+IF(AND(V477&gt;=40,V477&lt;75,W477&gt;=120),0.12,0)+IF(AND(V477&gt;=75,V477&lt;175,W477&lt;35),0.23,0)+IF(AND(V477&gt;=75,V477&lt;=175,W477&gt;=35,W477&lt;65),0.2,0)+IF(AND(V477&gt;=75,V477&lt;=175,W477&gt;=65,W477&lt;110),0.17,0)+IF(AND(V477&gt;=75,V477&lt;=175,W477&gt;=110),0.12,0)+IF(AND(V477&gt;175,W477&lt;25),0.23,0)+IF(AND(V477&gt;175,W477&gt;=25,W477&lt;55),0.2,0)+IF(AND(V477&gt;175,W477&gt;=55,W477&lt;95),0.17,0)+IF(AND(V477&gt;175,W477&gt;=95),0.12,0),
IF(AF477="DoEVs1",IF(AND(V477&lt;20,W477&lt;55),0.3,0)+IF(AND(V477&lt;20,W477&gt;=55,W477&lt;105),0.23,0)+IF(AND(V477&lt;20,W477&gt;=105),0.17,0)+IF(AND(V477&gt;=20,V477&lt;40,W477&lt;45),0.3,0)+IF(AND(V477&gt;=20,V477&lt;40,W477&gt;=45,W477&lt;95),0.23,0)+IF(AND(V477&gt;=20,V477&lt;40,W477&gt;=95,W477&lt;=150),0.17,0)+IF(AND(V477&gt;=20,V477&lt;40,W477&gt;=150),0.12,0)+IF(AND(V477&gt;=40,V477&lt;75,W477&lt;35),0.3,0)+IF(AND(V477&gt;=40,V477&lt;75,W477&gt;=35,W477&lt;75),0.23,0)+IF(AND(V477&gt;=40,V477&lt;75,W477&gt;=75,W477&lt;120),0.17,0)+IF(AND(V477&gt;=40,V477&lt;75,W477&gt;=120),0.12,0)+IF(AND(V477&gt;=75,V477&lt;175,W477&lt;35),0.3,0)+IF(AND(V477&gt;=75,V477&lt;=175,W477&gt;=35,W477&lt;65),0.23,0)+IF(AND(V477&gt;=75,V477&lt;=175,W477&gt;=65,W477&lt;110),0.17,0)+IF(AND(V477&gt;=75,V477&lt;=175,W477&gt;=110),0.12,0)+IF(AND(V477&gt;175,W477&lt;25),0.3,0)+IF(AND(V477&gt;175,W477&gt;=25,W477&lt;55),0.23,0)+IF(AND(V477&gt;175,W477&gt;=55,W477&lt;95),0.17,0)+IF(AND(V477&gt;175,W477&gt;=95),0.12,0),
IF(AF477="DoEVsu",IF(AND(V477&lt;20,W477&lt;55),0.3,0)+IF(AND(V477&lt;20,W477&gt;=55,W477&lt;105),0.23,0)+IF(AND(V477&lt;20,W477&gt;=105),0.17,0)+IF(AND(V477&gt;=20,V477&lt;40,W477&lt;45),0.3,0)+IF(AND(V477&gt;=20,V477&lt;40,W477&gt;=45,W477&lt;95),0.23,0)+IF(AND(V477&gt;=20,V477&lt;40,W477&gt;=95,W477&lt;=250),0.17,0)+IF(AND(V477&gt;=20,V477&lt;40,W477&gt;=250),0.12,0)+IF(AND(V477&gt;=40,V477&lt;75,W477&lt;35),0.3,0)+IF(AND(V477&gt;=40,V477&lt;75,W477&gt;=35,W477&lt;75),0.23,0)+IF(AND(V477&gt;=40,V477&lt;75,W477&gt;=75,W477&lt;120),0.17,0)+IF(AND(V477&gt;=40,V477&lt;75,W477&gt;=120),0.12,0)+IF(AND(V477&gt;=75,V477&lt;175,W477&lt;35),0.3,0)+IF(AND(V477&gt;=75,V477&lt;=175,W477&gt;=35,W477&lt;65),0.23,0)+IF(AND(V477&gt;=75,V477&lt;=175,W477&gt;=65,W477&lt;110),0.17,0)+IF(AND(V477&gt;=75,V477&lt;=175,W477&gt;=110),0.12,0)+IF(AND(V477&gt;175,W477&lt;25),0.3,0)+IF(AND(V477&gt;175,W477&gt;=25,W477&lt;55),0.23,0)+IF(AND(V477&gt;175,W477&gt;=55,W477&lt;95),0.17,0)+IF(AND(V477&gt;175,W477&gt;=95),0.12,0),
IF(AF477="DoEVni",IF(AND(V477&lt;20,W477&lt;55),0.3,0)+IF(AND(V477&lt;20,W477&gt;=55,W477&lt;105),0.23,0)+IF(AND(V477&lt;20,W477&gt;=105),0.17,0)+IF(AND(V477&gt;=20,V477&lt;40,W477&lt;45),0.3,0)+IF(AND(V477&gt;=20,V477&lt;40,W477&gt;=45,W477&lt;95),0.23,0)+IF(AND(V477&gt;=20,V477&lt;40,W477&gt;=95,W477&lt;=200),0.17,0)+IF(AND(V477&gt;=20,V477&lt;40,W477&gt;=200),0.12,0)+IF(AND(V477&gt;=40,V477&lt;75,W477&lt;35),0.3,0)+IF(AND(V477&gt;=40,V477&lt;75,W477&gt;=35,W477&lt;75),0.23,0)+IF(AND(V477&gt;=40,V477&lt;75,W477&gt;=75,W477&lt;120),0.17,0)+IF(AND(V477&gt;=40,V477&lt;75,W477&gt;=120),0.12,0)+IF(AND(V477&gt;=75,V477&lt;175,W477&lt;35),0.3,0)+IF(AND(V477&gt;=75,V477&lt;=175,W477&gt;=35,W477&lt;65),0.23,0)+IF(AND(V477&gt;=75,V477&lt;=175,W477&gt;=65,W477&lt;110),0.17,0)+IF(AND(V477&gt;=75,V477&lt;=175,W477&gt;=110),0.12,0)+IF(AND(V477&gt;175,W477&lt;25),0.3,0)+IF(AND(V477&gt;175,W477&gt;=25,W477&lt;55),0.23,0)+IF(AND(V477&gt;175,W477&gt;=55,W477&lt;95),0.17,0)+IF(AND(V477&gt;175,W477&gt;=95),0.12,0),
IF(AF477="DoEVLo",IF(AND(V477&lt;20,W477&lt;55),0.25,0)+IF(AND(V477&lt;20,W477&gt;=55,W477&lt;105),0.2,0)+IF(AND(V477&lt;20,W477&gt;=105),0.15,0)+IF(AND(V477&gt;=20,V477&lt;40,W477&lt;45),0.25,0)+IF(AND(V477&gt;=20,V477&lt;40,W477&gt;=45,W477&lt;95),0.2,0)+IF(AND(V477&gt;=20,V477&lt;40,W477&gt;=95),0.15,0)+IF(AND(V477&gt;=40,V477&lt;75,W477&lt;35),0.25,0)+IF(AND(V477&gt;=40,V477&lt;75,W477&gt;=35,W477&lt;75),0.2,0)+IF(AND(V477&gt;=40,V477&lt;75,W477&gt;=75,W477&lt;120),0.15,0)+IF(AND(V477&gt;=40,V477&lt;75,W477&gt;=120),0.1,0)+IF(AND(V477&gt;=75,V477&lt;175,W477&lt;35),0.25,0)+IF(AND(V477&gt;=75,V477&lt;=175,W477&gt;=35,W477&lt;65),0.2,0)+IF(AND(V477&gt;=75,V477&lt;=175,W477&gt;=65,W477&lt;110),0.15,0)+IF(AND(V477&gt;=75,V477&lt;=175,W477&gt;=110),0.1,0)+IF(AND(V477&gt;175,W477&lt;25),0.25,0)+IF(AND(V477&gt;175,W477&gt;=25,W477&lt;55),0.2,0)+IF(AND(V477&gt;175,W477&gt;=55,W477&lt;95),0.15,0)+IF(AND(V477&gt;175,W477&gt;=95),0.1,0))))))))))))))))</f>
        <v>0.15</v>
      </c>
      <c r="Y477" s="30">
        <f>IF(AG477="None",0,IF(AG477="Fix5",0.05,IF(AG477="Fix3.75",0.0375,IF(AG477="Fix10",0.1,IF(AG477="Fix3",0.03,0)))))</f>
        <v>0.05</v>
      </c>
      <c r="Z477" s="35">
        <v>278</v>
      </c>
      <c r="AA477" s="29">
        <v>70</v>
      </c>
      <c r="AB477" s="36"/>
      <c r="AC477" s="37" t="b">
        <v>0</v>
      </c>
      <c r="AD477" s="61" t="s">
        <v>50</v>
      </c>
      <c r="AE477" s="61"/>
      <c r="AF477" s="37" t="str">
        <f t="array" ref="AF477">INDEX('Deal Info'!D:D, MATCH(A477,'Deal Info'!A:A, 0))</f>
        <v>Fix15</v>
      </c>
      <c r="AG477" s="38" t="str">
        <f t="array" ref="AG477">INDEX('Deal Info'!G:G, MATCH(A477,'Deal Info'!A:A, 0))</f>
        <v>Fix5</v>
      </c>
    </row>
    <row r="478" spans="1:33" ht="14.25" x14ac:dyDescent="0.2">
      <c r="A478" s="18" t="str">
        <f t="array" ref="A478">IF(G478='Room Info'!$B$1, INDEX('Room Info'!$A$2:$A2446, MATCH(B478,'Room Info'!$B$2:$B2446, 0)),IF(G478='Room Info'!$C$1, INDEX('Room Info'!$A$2:$A2446, MATCH(B478,'Room Info'!$C$2:$C2446, 0)),IF(G478='Room Info'!$D$1, INDEX('Room Info'!$A$2:$A2446, MATCH(B478,'Room Info'!$D$2:$D2446, 0)),IF(G478='Room Info'!$E$1, INDEX('Room Info'!$A$2:$A2446, MATCH(B478,'Room Info'!$E$2:$E2446, 0)),IF(G478='Room Info'!$F$1, INDEX('Room Info'!$A$2:$A2446, MATCH(B478,'Room Info'!$F$2:$F2446, 0)),IF(G478='Room Info'!$H$1, INDEX('Room Info'!$A$2:$A2446, MATCH(B478,'Room Info'!$H$2:$H2446, 0)),IF(G478='Room Info'!$G$1, INDEX('Room Info'!$A$2:$A2446, MATCH(B478,'Room Info'!$G$2:$G2446, 0)))))))))</f>
        <v>fortunate773</v>
      </c>
      <c r="B478" s="45" t="s">
        <v>95</v>
      </c>
      <c r="C478" s="111">
        <v>44835</v>
      </c>
      <c r="D478" s="111">
        <v>44865</v>
      </c>
      <c r="E478" s="47">
        <v>44835</v>
      </c>
      <c r="F478" s="48" t="s">
        <v>49</v>
      </c>
      <c r="G478" s="45" t="s">
        <v>61</v>
      </c>
      <c r="H478" s="110" t="s">
        <v>100</v>
      </c>
      <c r="I478" s="49" t="s">
        <v>101</v>
      </c>
      <c r="J478" s="70">
        <v>500</v>
      </c>
      <c r="K478" s="71">
        <v>479</v>
      </c>
      <c r="L478" s="113">
        <v>-13500</v>
      </c>
      <c r="M478" s="62">
        <v>209</v>
      </c>
      <c r="N478" s="28">
        <f>K478*J478</f>
        <v>239500</v>
      </c>
      <c r="O478" s="65">
        <v>11319</v>
      </c>
      <c r="P478" s="29">
        <v>23.630480169999998</v>
      </c>
      <c r="Q478" s="55"/>
      <c r="R478" s="31">
        <f>M478+Q478</f>
        <v>209</v>
      </c>
      <c r="S478" s="66">
        <v>-9629</v>
      </c>
      <c r="T478" s="32">
        <f>R478+S478+IF(F478="Without EV deal",L478,0)</f>
        <v>-9420</v>
      </c>
      <c r="U478" s="57">
        <v>1</v>
      </c>
      <c r="V478" s="58"/>
      <c r="W478" s="58"/>
      <c r="X478" s="78">
        <f>IF(AF478="DoEV",IF(AND(V478&lt;20,W478&lt;55),0.3,0)+IF(AND(V478&lt;20,W478&gt;=55,W478&lt;105),0.23,0)+IF(AND(V478&lt;20,W478&gt;=105),0.17,0)+IF(AND(V478&gt;=20,V478&lt;40,W478&lt;45),0.3,0)+IF(AND(V478&gt;=20,V478&lt;40,W478&gt;=45,W478&lt;95),0.23,0)+IF(AND(V478&gt;=20,V478&lt;40,W478&gt;=95),0.17,0)+IF(AND(V478&gt;=40,V478&lt;75,W478&lt;35),0.3,0)+IF(AND(V478&gt;=40,V478&lt;75,W478&gt;=35,W478&lt;75),0.23,0)+IF(AND(V478&gt;=40,V478&lt;75,W478&gt;=75,W478&lt;120),0.17,0)+IF(AND(V478&gt;=40,V478&lt;75,W478&gt;=120),0.12,0)+IF(AND(V478&gt;=75,V478&lt;175,W478&lt;35),0.3,0)+IF(AND(V478&gt;=75,V478&lt;=175,W478&gt;=35,W478&lt;65),0.23,0)+IF(AND(V478&gt;=75,V478&lt;=175,W478&gt;=65,W478&lt;110),0.17,0)+IF(AND(V478&gt;=75,V478&lt;=175,W478&gt;=110),0.12,0)+IF(AND(V478&gt;175,W478&lt;25),0.3,0)+IF(AND(V478&gt;175,W478&gt;=25,W478&lt;55),0.23,0)+IF(AND(V478&gt;175,W478&gt;=55,W478&lt;95),0.17,0)+IF(AND(V478&gt;175,W478&gt;=95),0.12,0),
IF(AF478="Fix15",0.15,
IF(AF478="Fix11.25",0.1125,
IF(AF478="Fix10",0.1,
IF(AF478="Fix9",0.09,
IF(AF478="DoEV2017",IF(AND(W478&lt;74),0.2,0)+IF(AND(W478&gt;=74),0.17,0),
IF(AF478="SF",IF(AND(V478&lt;20,W478&lt;89),0.3,0)+IF(AND(V478&lt;20,W478&gt;=89),0.25,0)+IF(AND(V478&gt;=20,V478&lt;40,W478&lt;74),0.3,0)+IF(AND(V478&gt;=20,V478&lt;40,W478&gt;=75),0.22,0)+IF(AND(V478&gt;=40,V478&lt;75,W478&lt;75),0.26,0)+IF(AND(V478&gt;=40,V478&lt;75,W478&gt;=75),0.22,0)+IF(V478&gt;=75,0.22,0),
IF(AF478="DoEVold",IF(AND(V478&lt;40,W478&lt;35),0.35,0)+IF(AND(V478&lt;40,W478&gt;=35,W478&lt;75),0.25,0)+IF(AND(V478&lt;40,W478&gt;=75),0.17,0)+IF(AND(V478&gt;=40,V478&lt;75,W478&lt;25),0.35,0)+IF(AND(V478&gt;=40,V478&lt;75,W478&gt;=25,W478&lt;65),0.25,0)+IF(AND(V478&gt;=40,V478&lt;75,W478&gt;=65,W478&lt;100),0.17,0)+IF(AND(V478&gt;=40,V478&lt;75,W478&gt;=100),0.1,0)+IF(AND(V478&gt;=75,W478&lt;25),0.35,0)+IF(AND(V478&gt;=75,W478&gt;=25,W478&lt;60),0.25,0)+IF(AND(V478&gt;=75,W478&gt;=60,W478&lt;95),0.17,0)+IF(AND(V478&gt;=75,W478&gt;=95),0.1,0),
IF(AF478="DoEVold15",IF(AND(V478&lt;=40,W478&lt;35),0.35,0)+IF(AND(V478&lt;=40,W478&gt;=35,W478&lt;75),0.25,0)+IF(AND(V478&lt;=40,W478&gt;=75,W478&lt;120),0.17,0)+IF(AND(V478&lt;=40,W478&gt;=120),0.15,0)+IF(AND(V478&gt;40,V478&lt;75,W478&lt;25),0.35,0)+IF(AND(V478&gt;=40,V478&lt;75,W478&gt;=25,W478&lt;65),0.25,0)+IF(AND(V478&gt;=40,V478&lt;75,W478&gt;=65,W478&lt;100),0.17,0)+IF(AND(V478&gt;=40,V478&lt;75,W478&gt;=100),0.1,0)+IF(AND(V478&gt;=75,W478&lt;25),0.35,0)+IF(AND(V478&gt;=75,W478&gt;=25,W478&lt;60),0.25,0)+IF(AND(V478&gt;=75,W478&gt;=60,W478&lt;95),0.17,0)+IF(AND(V478&gt;=75,W478&gt;=95),0.1,0),
IF(AF478="DoEVba",IF(AND(V478&lt;20,W478&lt;105),0.2,0)+IF(AND(V478&lt;20,W478&gt;=105),0.15,0)+IF(AND(V478&gt;=20,V478&lt;40,W478&lt;95),0.2,0)+IF(AND(V478&gt;=20,V478&lt;40,W478&gt;=95,W478&lt;150),0.15,0)+IF(AND(V478&gt;=20,V478&lt;40,W478&gt;=150),0.12,0)+IF(AND(V478&gt;=40,V478&lt;75,W478&lt;75),0.2,0)+IF(AND(V478&gt;=40,V478&lt;75,W478&gt;=75,W478&lt;120),0.15,0)+IF(AND(V478&gt;=40,V478&lt;75,W478&gt;=120),0.12,0)+IF(AND(V478&gt;=75,V478&lt;175,W478&lt;65),0.2,0)+IF(AND(V478&gt;=75,V478&lt;175,W478&gt;=65,W478&lt;110),0.15,0)+IF(AND(V478&gt;=75,V478&lt;175,W478&gt;=110),0.12,0)+IF(AND(V478&gt;=175,W478&lt;55),0.2,0)+IF(AND(V478&gt;=175,W478&gt;=55,W478&lt;95),0.15,0)+IF(AND(V478&gt;=175,W478&gt;=95),0.12,0),
IF(AF478="DoEVku",IF(AND(V478&lt;20,W478&lt;55),0.23,0)+IF(AND(V478&lt;20,W478&gt;=55,W478&lt;105),0.2,0)+IF(AND(V478&lt;20,W478&gt;=105),0.17,0)+IF(AND(V478&gt;=20,V478&lt;40,W478&lt;45),0.23,0)+IF(AND(V478&gt;=20,V478&lt;40,W478&gt;=45,W478&lt;95),0.2,0)+IF(AND(V478&gt;=20,V478&lt;40,W478&gt;=95,W478&lt;=150),0.17,0)+IF(AND(V478&gt;=20,V478&lt;40,W478&gt;=150),0.12,0)+IF(AND(V478&gt;=40,V478&lt;75,W478&lt;35),0.23,0)+IF(AND(V478&gt;=40,V478&lt;75,W478&gt;=35,W478&lt;75),0.2,0)+IF(AND(V478&gt;=40,V478&lt;75,W478&gt;=75,W478&lt;120),0.17,0)+IF(AND(V478&gt;=40,V478&lt;75,W478&gt;=120),0.12,0)+IF(AND(V478&gt;=75,V478&lt;175,W478&lt;35),0.23,0)+IF(AND(V478&gt;=75,V478&lt;=175,W478&gt;=35,W478&lt;65),0.2,0)+IF(AND(V478&gt;=75,V478&lt;=175,W478&gt;=65,W478&lt;110),0.17,0)+IF(AND(V478&gt;=75,V478&lt;=175,W478&gt;=110),0.12,0)+IF(AND(V478&gt;175,W478&lt;25),0.23,0)+IF(AND(V478&gt;175,W478&gt;=25,W478&lt;55),0.2,0)+IF(AND(V478&gt;175,W478&gt;=55,W478&lt;95),0.17,0)+IF(AND(V478&gt;175,W478&gt;=95),0.12,0),
IF(AF478="DoEVs1",IF(AND(V478&lt;20,W478&lt;55),0.3,0)+IF(AND(V478&lt;20,W478&gt;=55,W478&lt;105),0.23,0)+IF(AND(V478&lt;20,W478&gt;=105),0.17,0)+IF(AND(V478&gt;=20,V478&lt;40,W478&lt;45),0.3,0)+IF(AND(V478&gt;=20,V478&lt;40,W478&gt;=45,W478&lt;95),0.23,0)+IF(AND(V478&gt;=20,V478&lt;40,W478&gt;=95,W478&lt;=150),0.17,0)+IF(AND(V478&gt;=20,V478&lt;40,W478&gt;=150),0.12,0)+IF(AND(V478&gt;=40,V478&lt;75,W478&lt;35),0.3,0)+IF(AND(V478&gt;=40,V478&lt;75,W478&gt;=35,W478&lt;75),0.23,0)+IF(AND(V478&gt;=40,V478&lt;75,W478&gt;=75,W478&lt;120),0.17,0)+IF(AND(V478&gt;=40,V478&lt;75,W478&gt;=120),0.12,0)+IF(AND(V478&gt;=75,V478&lt;175,W478&lt;35),0.3,0)+IF(AND(V478&gt;=75,V478&lt;=175,W478&gt;=35,W478&lt;65),0.23,0)+IF(AND(V478&gt;=75,V478&lt;=175,W478&gt;=65,W478&lt;110),0.17,0)+IF(AND(V478&gt;=75,V478&lt;=175,W478&gt;=110),0.12,0)+IF(AND(V478&gt;175,W478&lt;25),0.3,0)+IF(AND(V478&gt;175,W478&gt;=25,W478&lt;55),0.23,0)+IF(AND(V478&gt;175,W478&gt;=55,W478&lt;95),0.17,0)+IF(AND(V478&gt;175,W478&gt;=95),0.12,0),
IF(AF478="DoEVsu",IF(AND(V478&lt;20,W478&lt;55),0.3,0)+IF(AND(V478&lt;20,W478&gt;=55,W478&lt;105),0.23,0)+IF(AND(V478&lt;20,W478&gt;=105),0.17,0)+IF(AND(V478&gt;=20,V478&lt;40,W478&lt;45),0.3,0)+IF(AND(V478&gt;=20,V478&lt;40,W478&gt;=45,W478&lt;95),0.23,0)+IF(AND(V478&gt;=20,V478&lt;40,W478&gt;=95,W478&lt;=250),0.17,0)+IF(AND(V478&gt;=20,V478&lt;40,W478&gt;=250),0.12,0)+IF(AND(V478&gt;=40,V478&lt;75,W478&lt;35),0.3,0)+IF(AND(V478&gt;=40,V478&lt;75,W478&gt;=35,W478&lt;75),0.23,0)+IF(AND(V478&gt;=40,V478&lt;75,W478&gt;=75,W478&lt;120),0.17,0)+IF(AND(V478&gt;=40,V478&lt;75,W478&gt;=120),0.12,0)+IF(AND(V478&gt;=75,V478&lt;175,W478&lt;35),0.3,0)+IF(AND(V478&gt;=75,V478&lt;=175,W478&gt;=35,W478&lt;65),0.23,0)+IF(AND(V478&gt;=75,V478&lt;=175,W478&gt;=65,W478&lt;110),0.17,0)+IF(AND(V478&gt;=75,V478&lt;=175,W478&gt;=110),0.12,0)+IF(AND(V478&gt;175,W478&lt;25),0.3,0)+IF(AND(V478&gt;175,W478&gt;=25,W478&lt;55),0.23,0)+IF(AND(V478&gt;175,W478&gt;=55,W478&lt;95),0.17,0)+IF(AND(V478&gt;175,W478&gt;=95),0.12,0),
IF(AF478="DoEVni",IF(AND(V478&lt;20,W478&lt;55),0.3,0)+IF(AND(V478&lt;20,W478&gt;=55,W478&lt;105),0.23,0)+IF(AND(V478&lt;20,W478&gt;=105),0.17,0)+IF(AND(V478&gt;=20,V478&lt;40,W478&lt;45),0.3,0)+IF(AND(V478&gt;=20,V478&lt;40,W478&gt;=45,W478&lt;95),0.23,0)+IF(AND(V478&gt;=20,V478&lt;40,W478&gt;=95,W478&lt;=200),0.17,0)+IF(AND(V478&gt;=20,V478&lt;40,W478&gt;=200),0.12,0)+IF(AND(V478&gt;=40,V478&lt;75,W478&lt;35),0.3,0)+IF(AND(V478&gt;=40,V478&lt;75,W478&gt;=35,W478&lt;75),0.23,0)+IF(AND(V478&gt;=40,V478&lt;75,W478&gt;=75,W478&lt;120),0.17,0)+IF(AND(V478&gt;=40,V478&lt;75,W478&gt;=120),0.12,0)+IF(AND(V478&gt;=75,V478&lt;175,W478&lt;35),0.3,0)+IF(AND(V478&gt;=75,V478&lt;=175,W478&gt;=35,W478&lt;65),0.23,0)+IF(AND(V478&gt;=75,V478&lt;=175,W478&gt;=65,W478&lt;110),0.17,0)+IF(AND(V478&gt;=75,V478&lt;=175,W478&gt;=110),0.12,0)+IF(AND(V478&gt;175,W478&lt;25),0.3,0)+IF(AND(V478&gt;175,W478&gt;=25,W478&lt;55),0.23,0)+IF(AND(V478&gt;175,W478&gt;=55,W478&lt;95),0.17,0)+IF(AND(V478&gt;175,W478&gt;=95),0.12,0),
IF(AF478="DoEVLo",IF(AND(V478&lt;20,W478&lt;55),0.25,0)+IF(AND(V478&lt;20,W478&gt;=55,W478&lt;105),0.2,0)+IF(AND(V478&lt;20,W478&gt;=105),0.15,0)+IF(AND(V478&gt;=20,V478&lt;40,W478&lt;45),0.25,0)+IF(AND(V478&gt;=20,V478&lt;40,W478&gt;=45,W478&lt;95),0.2,0)+IF(AND(V478&gt;=20,V478&lt;40,W478&gt;=95),0.15,0)+IF(AND(V478&gt;=40,V478&lt;75,W478&lt;35),0.25,0)+IF(AND(V478&gt;=40,V478&lt;75,W478&gt;=35,W478&lt;75),0.2,0)+IF(AND(V478&gt;=40,V478&lt;75,W478&gt;=75,W478&lt;120),0.15,0)+IF(AND(V478&gt;=40,V478&lt;75,W478&gt;=120),0.1,0)+IF(AND(V478&gt;=75,V478&lt;175,W478&lt;35),0.25,0)+IF(AND(V478&gt;=75,V478&lt;=175,W478&gt;=35,W478&lt;65),0.2,0)+IF(AND(V478&gt;=75,V478&lt;=175,W478&gt;=65,W478&lt;110),0.15,0)+IF(AND(V478&gt;=75,V478&lt;=175,W478&gt;=110),0.1,0)+IF(AND(V478&gt;175,W478&lt;25),0.25,0)+IF(AND(V478&gt;175,W478&gt;=25,W478&lt;55),0.2,0)+IF(AND(V478&gt;175,W478&gt;=55,W478&lt;95),0.15,0)+IF(AND(V478&gt;175,W478&gt;=95),0.1,0))))))))))))))))</f>
        <v>0.15</v>
      </c>
      <c r="Y478" s="30">
        <f>IF(AG478="None",0,IF(AG478="Fix5",0.05,IF(AG478="Fix3.75",0.0375,IF(AG478="Fix10",0.1,IF(AG478="Fix3",0.03,0)))))</f>
        <v>0.05</v>
      </c>
      <c r="Z478" s="35">
        <v>-7536</v>
      </c>
      <c r="AA478" s="29">
        <v>-1884</v>
      </c>
      <c r="AB478" s="36"/>
      <c r="AC478" s="37" t="b">
        <v>0</v>
      </c>
      <c r="AD478" s="61" t="s">
        <v>50</v>
      </c>
      <c r="AE478" s="61"/>
      <c r="AF478" s="37" t="str">
        <f t="array" ref="AF478">INDEX('Deal Info'!D:D, MATCH(A478,'Deal Info'!A:A, 0))</f>
        <v>Fix15</v>
      </c>
      <c r="AG478" s="38" t="str">
        <f t="array" ref="AG478">INDEX('Deal Info'!G:G, MATCH(A478,'Deal Info'!A:A, 0))</f>
        <v>Fix5</v>
      </c>
    </row>
    <row r="479" spans="1:33" ht="28.5" x14ac:dyDescent="0.2">
      <c r="A479" s="18" t="str">
        <f t="array" ref="A479">IF(G479='Room Info'!$B$1, INDEX('Room Info'!$A$2:$A2446, MATCH(B479,'Room Info'!$B$2:$B2446, 0)),IF(G479='Room Info'!$C$1, INDEX('Room Info'!$A$2:$A2446, MATCH(B479,'Room Info'!$C$2:$C2446, 0)),IF(G479='Room Info'!$D$1, INDEX('Room Info'!$A$2:$A2446, MATCH(B479,'Room Info'!$D$2:$D2446, 0)),IF(G479='Room Info'!$E$1, INDEX('Room Info'!$A$2:$A2446, MATCH(B479,'Room Info'!$E$2:$E2446, 0)),IF(G479='Room Info'!$F$1, INDEX('Room Info'!$A$2:$A2446, MATCH(B479,'Room Info'!$F$2:$F2446, 0)),IF(G479='Room Info'!$H$1, INDEX('Room Info'!$A$2:$A2446, MATCH(B479,'Room Info'!$H$2:$H2446, 0)),IF(G479='Room Info'!$G$1, INDEX('Room Info'!$A$2:$A2446, MATCH(B479,'Room Info'!$G$2:$G2446, 0)))))))))</f>
        <v>Lo4io</v>
      </c>
      <c r="B479" s="45" t="s">
        <v>107</v>
      </c>
      <c r="C479" s="283">
        <v>44825</v>
      </c>
      <c r="D479" s="283">
        <v>44854</v>
      </c>
      <c r="E479" s="47">
        <v>44835</v>
      </c>
      <c r="F479" s="133" t="s">
        <v>34</v>
      </c>
      <c r="G479" s="129" t="s">
        <v>61</v>
      </c>
      <c r="H479" s="49" t="s">
        <v>57</v>
      </c>
      <c r="I479" s="49" t="s">
        <v>101</v>
      </c>
      <c r="J479" s="70">
        <v>50</v>
      </c>
      <c r="K479" s="71">
        <v>617</v>
      </c>
      <c r="L479" s="135">
        <v>-1856</v>
      </c>
      <c r="M479" s="79">
        <v>748</v>
      </c>
      <c r="N479" s="28">
        <f>K479*J479</f>
        <v>30850</v>
      </c>
      <c r="O479" s="129">
        <v>39358</v>
      </c>
      <c r="P479" s="29">
        <v>63.789303080000003</v>
      </c>
      <c r="Q479" s="55"/>
      <c r="R479" s="31">
        <f>M479+Q479</f>
        <v>748</v>
      </c>
      <c r="S479" s="97">
        <v>923</v>
      </c>
      <c r="T479" s="32">
        <f>R479+S479+IF(F479="Without EV deal",L479,0)</f>
        <v>1671</v>
      </c>
      <c r="U479" s="57">
        <v>1</v>
      </c>
      <c r="V479" s="58">
        <v>46.543296089385478</v>
      </c>
      <c r="W479" s="58">
        <v>67.528522130532622</v>
      </c>
      <c r="X479" s="78">
        <f>IF(AF479="DoEV",IF(AND(V479&lt;20,W479&lt;55),0.3,0)+IF(AND(V479&lt;20,W479&gt;=55,W479&lt;105),0.23,0)+IF(AND(V479&lt;20,W479&gt;=105),0.17,0)+IF(AND(V479&gt;=20,V479&lt;40,W479&lt;45),0.3,0)+IF(AND(V479&gt;=20,V479&lt;40,W479&gt;=45,W479&lt;95),0.23,0)+IF(AND(V479&gt;=20,V479&lt;40,W479&gt;=95),0.17,0)+IF(AND(V479&gt;=40,V479&lt;75,W479&lt;35),0.3,0)+IF(AND(V479&gt;=40,V479&lt;75,W479&gt;=35,W479&lt;75),0.23,0)+IF(AND(V479&gt;=40,V479&lt;75,W479&gt;=75,W479&lt;120),0.17,0)+IF(AND(V479&gt;=40,V479&lt;75,W479&gt;=120),0.12,0)+IF(AND(V479&gt;=75,V479&lt;175,W479&lt;35),0.3,0)+IF(AND(V479&gt;=75,V479&lt;=175,W479&gt;=35,W479&lt;65),0.23,0)+IF(AND(V479&gt;=75,V479&lt;=175,W479&gt;=65,W479&lt;110),0.17,0)+IF(AND(V479&gt;=75,V479&lt;=175,W479&gt;=110),0.12,0)+IF(AND(V479&gt;175,W479&lt;25),0.3,0)+IF(AND(V479&gt;175,W479&gt;=25,W479&lt;55),0.23,0)+IF(AND(V479&gt;175,W479&gt;=55,W479&lt;95),0.17,0)+IF(AND(V479&gt;175,W479&gt;=95),0.12,0),
IF(AF479="Fix15",0.15,
IF(AF479="Fix11.25",0.1125,
IF(AF479="Fix10",0.1,
IF(AF479="Fix9",0.09,
IF(AF479="DoEV2017",IF(AND(W479&lt;74),0.2,0)+IF(AND(W479&gt;=74),0.17,0),
IF(AF479="SF",IF(AND(V479&lt;20,W479&lt;89),0.3,0)+IF(AND(V479&lt;20,W479&gt;=89),0.25,0)+IF(AND(V479&gt;=20,V479&lt;40,W479&lt;74),0.3,0)+IF(AND(V479&gt;=20,V479&lt;40,W479&gt;=75),0.22,0)+IF(AND(V479&gt;=40,V479&lt;75,W479&lt;75),0.26,0)+IF(AND(V479&gt;=40,V479&lt;75,W479&gt;=75),0.22,0)+IF(V479&gt;=75,0.22,0),
IF(AF479="DoEVold",IF(AND(V479&lt;40,W479&lt;35),0.35,0)+IF(AND(V479&lt;40,W479&gt;=35,W479&lt;75),0.25,0)+IF(AND(V479&lt;40,W479&gt;=75),0.17,0)+IF(AND(V479&gt;=40,V479&lt;75,W479&lt;25),0.35,0)+IF(AND(V479&gt;=40,V479&lt;75,W479&gt;=25,W479&lt;65),0.25,0)+IF(AND(V479&gt;=40,V479&lt;75,W479&gt;=65,W479&lt;100),0.17,0)+IF(AND(V479&gt;=40,V479&lt;75,W479&gt;=100),0.1,0)+IF(AND(V479&gt;=75,W479&lt;25),0.35,0)+IF(AND(V479&gt;=75,W479&gt;=25,W479&lt;60),0.25,0)+IF(AND(V479&gt;=75,W479&gt;=60,W479&lt;95),0.17,0)+IF(AND(V479&gt;=75,W479&gt;=95),0.1,0),
IF(AF479="DoEVold15",IF(AND(V479&lt;=40,W479&lt;35),0.35,0)+IF(AND(V479&lt;=40,W479&gt;=35,W479&lt;75),0.25,0)+IF(AND(V479&lt;=40,W479&gt;=75,W479&lt;120),0.17,0)+IF(AND(V479&lt;=40,W479&gt;=120),0.15,0)+IF(AND(V479&gt;40,V479&lt;75,W479&lt;25),0.35,0)+IF(AND(V479&gt;=40,V479&lt;75,W479&gt;=25,W479&lt;65),0.25,0)+IF(AND(V479&gt;=40,V479&lt;75,W479&gt;=65,W479&lt;100),0.17,0)+IF(AND(V479&gt;=40,V479&lt;75,W479&gt;=100),0.1,0)+IF(AND(V479&gt;=75,W479&lt;25),0.35,0)+IF(AND(V479&gt;=75,W479&gt;=25,W479&lt;60),0.25,0)+IF(AND(V479&gt;=75,W479&gt;=60,W479&lt;95),0.17,0)+IF(AND(V479&gt;=75,W479&gt;=95),0.1,0),
IF(AF479="DoEVba",IF(AND(V479&lt;20,W479&lt;105),0.2,0)+IF(AND(V479&lt;20,W479&gt;=105),0.15,0)+IF(AND(V479&gt;=20,V479&lt;40,W479&lt;95),0.2,0)+IF(AND(V479&gt;=20,V479&lt;40,W479&gt;=95,W479&lt;150),0.15,0)+IF(AND(V479&gt;=20,V479&lt;40,W479&gt;=150),0.12,0)+IF(AND(V479&gt;=40,V479&lt;75,W479&lt;75),0.2,0)+IF(AND(V479&gt;=40,V479&lt;75,W479&gt;=75,W479&lt;120),0.15,0)+IF(AND(V479&gt;=40,V479&lt;75,W479&gt;=120),0.12,0)+IF(AND(V479&gt;=75,V479&lt;175,W479&lt;65),0.2,0)+IF(AND(V479&gt;=75,V479&lt;175,W479&gt;=65,W479&lt;110),0.15,0)+IF(AND(V479&gt;=75,V479&lt;175,W479&gt;=110),0.12,0)+IF(AND(V479&gt;=175,W479&lt;55),0.2,0)+IF(AND(V479&gt;=175,W479&gt;=55,W479&lt;95),0.15,0)+IF(AND(V479&gt;=175,W479&gt;=95),0.12,0),
IF(AF479="DoEVku",IF(AND(V479&lt;20,W479&lt;55),0.23,0)+IF(AND(V479&lt;20,W479&gt;=55,W479&lt;105),0.2,0)+IF(AND(V479&lt;20,W479&gt;=105),0.17,0)+IF(AND(V479&gt;=20,V479&lt;40,W479&lt;45),0.23,0)+IF(AND(V479&gt;=20,V479&lt;40,W479&gt;=45,W479&lt;95),0.2,0)+IF(AND(V479&gt;=20,V479&lt;40,W479&gt;=95,W479&lt;=150),0.17,0)+IF(AND(V479&gt;=20,V479&lt;40,W479&gt;=150),0.12,0)+IF(AND(V479&gt;=40,V479&lt;75,W479&lt;35),0.23,0)+IF(AND(V479&gt;=40,V479&lt;75,W479&gt;=35,W479&lt;75),0.2,0)+IF(AND(V479&gt;=40,V479&lt;75,W479&gt;=75,W479&lt;120),0.17,0)+IF(AND(V479&gt;=40,V479&lt;75,W479&gt;=120),0.12,0)+IF(AND(V479&gt;=75,V479&lt;175,W479&lt;35),0.23,0)+IF(AND(V479&gt;=75,V479&lt;=175,W479&gt;=35,W479&lt;65),0.2,0)+IF(AND(V479&gt;=75,V479&lt;=175,W479&gt;=65,W479&lt;110),0.17,0)+IF(AND(V479&gt;=75,V479&lt;=175,W479&gt;=110),0.12,0)+IF(AND(V479&gt;175,W479&lt;25),0.23,0)+IF(AND(V479&gt;175,W479&gt;=25,W479&lt;55),0.2,0)+IF(AND(V479&gt;175,W479&gt;=55,W479&lt;95),0.17,0)+IF(AND(V479&gt;175,W479&gt;=95),0.12,0),
IF(AF479="DoEVs1",IF(AND(V479&lt;20,W479&lt;55),0.3,0)+IF(AND(V479&lt;20,W479&gt;=55,W479&lt;105),0.23,0)+IF(AND(V479&lt;20,W479&gt;=105),0.17,0)+IF(AND(V479&gt;=20,V479&lt;40,W479&lt;45),0.3,0)+IF(AND(V479&gt;=20,V479&lt;40,W479&gt;=45,W479&lt;95),0.23,0)+IF(AND(V479&gt;=20,V479&lt;40,W479&gt;=95,W479&lt;=150),0.17,0)+IF(AND(V479&gt;=20,V479&lt;40,W479&gt;=150),0.12,0)+IF(AND(V479&gt;=40,V479&lt;75,W479&lt;35),0.3,0)+IF(AND(V479&gt;=40,V479&lt;75,W479&gt;=35,W479&lt;75),0.23,0)+IF(AND(V479&gt;=40,V479&lt;75,W479&gt;=75,W479&lt;120),0.17,0)+IF(AND(V479&gt;=40,V479&lt;75,W479&gt;=120),0.12,0)+IF(AND(V479&gt;=75,V479&lt;175,W479&lt;35),0.3,0)+IF(AND(V479&gt;=75,V479&lt;=175,W479&gt;=35,W479&lt;65),0.23,0)+IF(AND(V479&gt;=75,V479&lt;=175,W479&gt;=65,W479&lt;110),0.17,0)+IF(AND(V479&gt;=75,V479&lt;=175,W479&gt;=110),0.12,0)+IF(AND(V479&gt;175,W479&lt;25),0.3,0)+IF(AND(V479&gt;175,W479&gt;=25,W479&lt;55),0.23,0)+IF(AND(V479&gt;175,W479&gt;=55,W479&lt;95),0.17,0)+IF(AND(V479&gt;175,W479&gt;=95),0.12,0),
IF(AF479="DoEVsu",IF(AND(V479&lt;20,W479&lt;55),0.3,0)+IF(AND(V479&lt;20,W479&gt;=55,W479&lt;105),0.23,0)+IF(AND(V479&lt;20,W479&gt;=105),0.17,0)+IF(AND(V479&gt;=20,V479&lt;40,W479&lt;45),0.3,0)+IF(AND(V479&gt;=20,V479&lt;40,W479&gt;=45,W479&lt;95),0.23,0)+IF(AND(V479&gt;=20,V479&lt;40,W479&gt;=95,W479&lt;=250),0.17,0)+IF(AND(V479&gt;=20,V479&lt;40,W479&gt;=250),0.12,0)+IF(AND(V479&gt;=40,V479&lt;75,W479&lt;35),0.3,0)+IF(AND(V479&gt;=40,V479&lt;75,W479&gt;=35,W479&lt;75),0.23,0)+IF(AND(V479&gt;=40,V479&lt;75,W479&gt;=75,W479&lt;120),0.17,0)+IF(AND(V479&gt;=40,V479&lt;75,W479&gt;=120),0.12,0)+IF(AND(V479&gt;=75,V479&lt;175,W479&lt;35),0.3,0)+IF(AND(V479&gt;=75,V479&lt;=175,W479&gt;=35,W479&lt;65),0.23,0)+IF(AND(V479&gt;=75,V479&lt;=175,W479&gt;=65,W479&lt;110),0.17,0)+IF(AND(V479&gt;=75,V479&lt;=175,W479&gt;=110),0.12,0)+IF(AND(V479&gt;175,W479&lt;25),0.3,0)+IF(AND(V479&gt;175,W479&gt;=25,W479&lt;55),0.23,0)+IF(AND(V479&gt;175,W479&gt;=55,W479&lt;95),0.17,0)+IF(AND(V479&gt;175,W479&gt;=95),0.12,0),
IF(AF479="DoEVni",IF(AND(V479&lt;20,W479&lt;55),0.3,0)+IF(AND(V479&lt;20,W479&gt;=55,W479&lt;105),0.23,0)+IF(AND(V479&lt;20,W479&gt;=105),0.17,0)+IF(AND(V479&gt;=20,V479&lt;40,W479&lt;45),0.3,0)+IF(AND(V479&gt;=20,V479&lt;40,W479&gt;=45,W479&lt;95),0.23,0)+IF(AND(V479&gt;=20,V479&lt;40,W479&gt;=95,W479&lt;=200),0.17,0)+IF(AND(V479&gt;=20,V479&lt;40,W479&gt;=200),0.12,0)+IF(AND(V479&gt;=40,V479&lt;75,W479&lt;35),0.3,0)+IF(AND(V479&gt;=40,V479&lt;75,W479&gt;=35,W479&lt;75),0.23,0)+IF(AND(V479&gt;=40,V479&lt;75,W479&gt;=75,W479&lt;120),0.17,0)+IF(AND(V479&gt;=40,V479&lt;75,W479&gt;=120),0.12,0)+IF(AND(V479&gt;=75,V479&lt;175,W479&lt;35),0.3,0)+IF(AND(V479&gt;=75,V479&lt;=175,W479&gt;=35,W479&lt;65),0.23,0)+IF(AND(V479&gt;=75,V479&lt;=175,W479&gt;=65,W479&lt;110),0.17,0)+IF(AND(V479&gt;=75,V479&lt;=175,W479&gt;=110),0.12,0)+IF(AND(V479&gt;175,W479&lt;25),0.3,0)+IF(AND(V479&gt;175,W479&gt;=25,W479&lt;55),0.23,0)+IF(AND(V479&gt;175,W479&gt;=55,W479&lt;95),0.17,0)+IF(AND(V479&gt;175,W479&gt;=95),0.12,0),
IF(AF479="DoEVLo",IF(AND(V479&lt;20,W479&lt;55),0.25,0)+IF(AND(V479&lt;20,W479&gt;=55,W479&lt;105),0.2,0)+IF(AND(V479&lt;20,W479&gt;=105),0.15,0)+IF(AND(V479&gt;=20,V479&lt;40,W479&lt;45),0.25,0)+IF(AND(V479&gt;=20,V479&lt;40,W479&gt;=45,W479&lt;95),0.2,0)+IF(AND(V479&gt;=20,V479&lt;40,W479&gt;=95),0.15,0)+IF(AND(V479&gt;=40,V479&lt;75,W479&lt;35),0.25,0)+IF(AND(V479&gt;=40,V479&lt;75,W479&gt;=35,W479&lt;75),0.2,0)+IF(AND(V479&gt;=40,V479&lt;75,W479&gt;=75,W479&lt;120),0.15,0)+IF(AND(V479&gt;=40,V479&lt;75,W479&gt;=120),0.1,0)+IF(AND(V479&gt;=75,V479&lt;175,W479&lt;35),0.25,0)+IF(AND(V479&gt;=75,V479&lt;=175,W479&gt;=35,W479&lt;65),0.2,0)+IF(AND(V479&gt;=75,V479&lt;=175,W479&gt;=65,W479&lt;110),0.15,0)+IF(AND(V479&gt;=75,V479&lt;=175,W479&gt;=110),0.1,0)+IF(AND(V479&gt;175,W479&lt;25),0.25,0)+IF(AND(V479&gt;175,W479&gt;=25,W479&lt;55),0.2,0)+IF(AND(V479&gt;175,W479&gt;=55,W479&lt;95),0.15,0)+IF(AND(V479&gt;175,W479&gt;=95),0.1,0))))))))))))))))</f>
        <v>0.2</v>
      </c>
      <c r="Y479" s="30">
        <f>IF(AG479="None",0,IF(AG479="Fix5",0.05,IF(AG479="Fix3.75",0.0375,IF(AG479="Fix10",0.1,IF(AG479="Fix3",0.03,0)))))</f>
        <v>0</v>
      </c>
      <c r="Z479" s="35">
        <f>T479-AA479-AB479</f>
        <v>1336.8</v>
      </c>
      <c r="AA479" s="29">
        <f>IF(AD479="EUR",((T479-R479)*X479)*U479+(R479*X479),(T479*X479))</f>
        <v>334.20000000000005</v>
      </c>
      <c r="AB479" s="36">
        <f>IF(AD479="EUR",((T479-R479)*Y479)*U479+(R479*Y479),(T479*Y479))</f>
        <v>0</v>
      </c>
      <c r="AC479" s="37" t="b">
        <v>1</v>
      </c>
      <c r="AD479" s="61" t="s">
        <v>38</v>
      </c>
      <c r="AE479" s="61" t="s">
        <v>38</v>
      </c>
      <c r="AF479" s="37" t="str">
        <f t="array" ref="AF479">INDEX('Deal Info'!D:D, MATCH(A479,'Deal Info'!A:A, 0))</f>
        <v>DoEVLo</v>
      </c>
      <c r="AG479" s="38" t="str">
        <f t="array" ref="AG479">INDEX('Deal Info'!G:G, MATCH(A479,'Deal Info'!A:A, 0))</f>
        <v>None</v>
      </c>
    </row>
    <row r="480" spans="1:33" ht="14.25" x14ac:dyDescent="0.2">
      <c r="A480" s="18" t="str">
        <f t="array" ref="A480">IF(G480='Room Info'!$B$1, INDEX('Room Info'!$A$2:$A2446, MATCH(B480,'Room Info'!$B$2:$B2446, 0)),IF(G480='Room Info'!$C$1, INDEX('Room Info'!$A$2:$A2446, MATCH(B480,'Room Info'!$C$2:$C2446, 0)),IF(G480='Room Info'!$D$1, INDEX('Room Info'!$A$2:$A2446, MATCH(B480,'Room Info'!$D$2:$D2446, 0)),IF(G480='Room Info'!$E$1, INDEX('Room Info'!$A$2:$A2446, MATCH(B480,'Room Info'!$E$2:$E2446, 0)),IF(G480='Room Info'!$F$1, INDEX('Room Info'!$A$2:$A2446, MATCH(B480,'Room Info'!$F$2:$F2446, 0)),IF(G480='Room Info'!$H$1, INDEX('Room Info'!$A$2:$A2446, MATCH(B480,'Room Info'!$H$2:$H2446, 0)),IF(G480='Room Info'!$G$1, INDEX('Room Info'!$A$2:$A2446, MATCH(B480,'Room Info'!$G$2:$G2446, 0)))))))))</f>
        <v>Lo4io</v>
      </c>
      <c r="B480" s="45" t="s">
        <v>107</v>
      </c>
      <c r="C480" s="136">
        <v>44825</v>
      </c>
      <c r="D480" s="136">
        <v>44854</v>
      </c>
      <c r="E480" s="47">
        <v>44835</v>
      </c>
      <c r="F480" s="48" t="s">
        <v>34</v>
      </c>
      <c r="G480" s="45" t="s">
        <v>61</v>
      </c>
      <c r="H480" s="49" t="s">
        <v>57</v>
      </c>
      <c r="I480" s="49" t="s">
        <v>37</v>
      </c>
      <c r="J480" s="74">
        <v>50</v>
      </c>
      <c r="K480" s="134">
        <v>617</v>
      </c>
      <c r="L480" s="72">
        <v>-1856</v>
      </c>
      <c r="M480" s="76">
        <v>748</v>
      </c>
      <c r="N480" s="28">
        <f>K480*J480</f>
        <v>30850</v>
      </c>
      <c r="O480" s="45">
        <v>39358</v>
      </c>
      <c r="P480" s="29">
        <v>63.789303080000003</v>
      </c>
      <c r="Q480" s="55"/>
      <c r="R480" s="31">
        <f>M480+Q480</f>
        <v>748</v>
      </c>
      <c r="S480" s="73">
        <v>923</v>
      </c>
      <c r="T480" s="32">
        <f>R480+S480+IF(F480="Without EV deal",L480,0)</f>
        <v>1671</v>
      </c>
      <c r="U480" s="57">
        <v>1</v>
      </c>
      <c r="V480" s="69"/>
      <c r="W480" s="69"/>
      <c r="X480" s="30">
        <v>0.2</v>
      </c>
      <c r="Y480" s="30">
        <f>IF(AG480="None",0,IF(AG480="Fix5",0.05, IF(AG480="Fix6.25",0.0625,IF(AG480="Fix3.75",0.0375,IF(AG480="Fix10",0.1,IF(AG480="Fix3",0.03,0))))))</f>
        <v>0</v>
      </c>
      <c r="Z480" s="35">
        <f>T480-AA480-AB480</f>
        <v>1336.8</v>
      </c>
      <c r="AA480" s="29">
        <f>IF(AD480="EUR",((T480-R480)*X480)*U480+(R480*X480),(T480*X480))</f>
        <v>334.20000000000005</v>
      </c>
      <c r="AB480" s="36">
        <f>IF(AD480="EUR",((T480-R480)*Y480)*U480+(R480*Y480),(T480*Y480))</f>
        <v>0</v>
      </c>
      <c r="AC480" s="37" t="b">
        <v>1</v>
      </c>
      <c r="AD480" s="61" t="s">
        <v>38</v>
      </c>
      <c r="AE480" s="61" t="s">
        <v>38</v>
      </c>
      <c r="AF480" s="37" t="str">
        <f t="array" ref="AF480">INDEX('Deal Info'!D:D, MATCH(A480,'Deal Info'!A:A, 0))</f>
        <v>DoEVLo</v>
      </c>
      <c r="AG480" s="38" t="str">
        <f t="array" ref="AG480">INDEX('Deal Info'!G:G, MATCH(A480,'Deal Info'!A:A, 0))</f>
        <v>None</v>
      </c>
    </row>
    <row r="481" spans="1:33" ht="14.25" hidden="1" x14ac:dyDescent="0.2">
      <c r="A481" s="18" t="str">
        <f t="array" ref="A481">IF(G481='Room Info'!$B$1, INDEX('Room Info'!$A$2:$A2446, MATCH(B481,'Room Info'!$B$2:$B2446, 0)),IF(G481='Room Info'!$C$1, INDEX('Room Info'!$A$2:$A2446, MATCH(B481,'Room Info'!$C$2:$C2446, 0)),IF(G481='Room Info'!$D$1, INDEX('Room Info'!$A$2:$A2446, MATCH(B481,'Room Info'!$D$2:$D2446, 0)),IF(G481='Room Info'!$E$1, INDEX('Room Info'!$A$2:$A2446, MATCH(B481,'Room Info'!$E$2:$E2446, 0)),IF(G481='Room Info'!$F$1, INDEX('Room Info'!$A$2:$A2446, MATCH(B481,'Room Info'!$F$2:$F2446, 0)),IF(G481='Room Info'!$H$1, INDEX('Room Info'!$A$2:$A2446, MATCH(B481,'Room Info'!$H$2:$H2446, 0)),IF(G481='Room Info'!$G$1, INDEX('Room Info'!$A$2:$A2446, MATCH(B481,'Room Info'!$G$2:$G2446, 0)))))))))</f>
        <v>fortunate773</v>
      </c>
      <c r="B481" s="45" t="s">
        <v>66</v>
      </c>
      <c r="C481" s="46">
        <v>44916</v>
      </c>
      <c r="D481" s="46">
        <v>44957</v>
      </c>
      <c r="E481" s="47">
        <v>44927</v>
      </c>
      <c r="F481" s="48" t="s">
        <v>49</v>
      </c>
      <c r="G481" s="45" t="s">
        <v>35</v>
      </c>
      <c r="H481" s="49" t="s">
        <v>70</v>
      </c>
      <c r="I481" s="49" t="s">
        <v>37</v>
      </c>
      <c r="J481" s="70">
        <v>100</v>
      </c>
      <c r="K481" s="71">
        <v>43</v>
      </c>
      <c r="L481" s="72">
        <v>0</v>
      </c>
      <c r="M481" s="53">
        <v>50</v>
      </c>
      <c r="N481" s="28">
        <f>K481*J481</f>
        <v>4300</v>
      </c>
      <c r="O481" s="45">
        <v>-1703</v>
      </c>
      <c r="P481" s="29">
        <v>-39.604651160000003</v>
      </c>
      <c r="Q481" s="55"/>
      <c r="R481" s="31">
        <f>M481+Q481</f>
        <v>50</v>
      </c>
      <c r="S481" s="73">
        <v>-540</v>
      </c>
      <c r="T481" s="32">
        <f>R481+S481+IF(F481="Without EV deal",L481,0)</f>
        <v>-490</v>
      </c>
      <c r="U481" s="57">
        <v>1</v>
      </c>
      <c r="V481" s="58"/>
      <c r="W481" s="58"/>
      <c r="X481" s="30">
        <f>IF(AF481="DoEV",IF(AND(V481&lt;20,W481&lt;55),0.3,0)+IF(AND(V481&lt;20,W481&gt;=55,W481&lt;105),0.23,0)+IF(AND(V481&lt;20,W481&gt;=105),0.17,0)+IF(AND(V481&gt;=20,V481&lt;40,W481&lt;45),0.3,0)+IF(AND(V481&gt;=20,V481&lt;40,W481&gt;=45,W481&lt;95),0.23,0)+IF(AND(V481&gt;=20,V481&lt;40,W481&gt;=95),0.17,0)+IF(AND(V481&gt;=40,V481&lt;75,W481&lt;35),0.3,0)+IF(AND(V481&gt;=40,V481&lt;75,W481&gt;=35,W481&lt;75),0.23,0)+IF(AND(V481&gt;=40,V481&lt;75,W481&gt;=75,W481&lt;120),0.17,0)+IF(AND(V481&gt;=40,V481&lt;75,W481&gt;=120),0.12,0)+IF(AND(V481&gt;=75,V481&lt;175,W481&lt;35),0.3,0)+IF(AND(V481&gt;=75,V481&lt;=175,W481&gt;=35,W481&lt;65),0.23,0)+IF(AND(V481&gt;=75,V481&lt;=175,W481&gt;=65,W481&lt;110),0.17,0)+IF(AND(V481&gt;=75,V481&lt;=175,W481&gt;=110),0.12,0)+IF(AND(V481&gt;175,W481&lt;25),0.3,0)+IF(AND(V481&gt;175,W481&gt;=25,W481&lt;55),0.23,0)+IF(AND(V481&gt;175,W481&gt;=55,W481&lt;95),0.17,0)+IF(AND(V481&gt;175,W481&gt;=95),0.12,0),
IF(AF481="Fix15",0.15,
IF(AF481="Fix11.25",0.1125,
IF(AF481="Fix10",0.1,
IF(AF481="Fix9",0.09,
IF(AF481="DoEV2017",IF(AND(W481&lt;74),0.2,0)+IF(AND(W481&gt;=74),0.17,0),
IF(AF481="SF",IF(AND(V481&lt;20,W481&lt;89),0.3,0)+IF(AND(V481&lt;20,W481&gt;=89),0.25,0)+IF(AND(V481&gt;=20,V481&lt;40,W481&lt;74),0.3,0)+IF(AND(V481&gt;=20,V481&lt;40,W481&gt;=75),0.22,0)+IF(AND(V481&gt;=40,V481&lt;75,W481&lt;75),0.26,0)+IF(AND(V481&gt;=40,V481&lt;75,W481&gt;=75),0.22,0)+IF(V481&gt;=75,0.22,0),
IF(AF481="DoEVold",IF(AND(V481&lt;40,W481&lt;35),0.35,0)+IF(AND(V481&lt;40,W481&gt;=35,W481&lt;75),0.25,0)+IF(AND(V481&lt;40,W481&gt;=75),0.17,0)+IF(AND(V481&gt;=40,V481&lt;75,W481&lt;25),0.35,0)+IF(AND(V481&gt;=40,V481&lt;75,W481&gt;=25,W481&lt;65),0.25,0)+IF(AND(V481&gt;=40,V481&lt;75,W481&gt;=65,W481&lt;100),0.17,0)+IF(AND(V481&gt;=40,V481&lt;75,W481&gt;=100),0.1,0)+IF(AND(V481&gt;=75,W481&lt;25),0.35,0)+IF(AND(V481&gt;=75,W481&gt;=25,W481&lt;60),0.25,0)+IF(AND(V481&gt;=75,W481&gt;=60,W481&lt;95),0.17,0)+IF(AND(V481&gt;=75,W481&gt;=95),0.1,0),
IF(AF481="DoEVold15",IF(AND(V481&lt;=40,W481&lt;35),0.35,0)+IF(AND(V481&lt;=40,W481&gt;=35,W481&lt;75),0.25,0)+IF(AND(V481&lt;=40,W481&gt;=75,W481&lt;120),0.17,0)+IF(AND(V481&lt;=40,W481&gt;=120),0.15,0)+IF(AND(V481&gt;40,V481&lt;75,W481&lt;25),0.35,0)+IF(AND(V481&gt;=40,V481&lt;75,W481&gt;=25,W481&lt;65),0.25,0)+IF(AND(V481&gt;=40,V481&lt;75,W481&gt;=65,W481&lt;100),0.17,0)+IF(AND(V481&gt;=40,V481&lt;75,W481&gt;=100),0.1,0)+IF(AND(V481&gt;=75,W481&lt;25),0.35,0)+IF(AND(V481&gt;=75,W481&gt;=25,W481&lt;60),0.25,0)+IF(AND(V481&gt;=75,W481&gt;=60,W481&lt;95),0.17,0)+IF(AND(V481&gt;=75,W481&gt;=95),0.1,0),
IF(AF481="DoEVba",IF(AND(V481&lt;20,W481&lt;105),0.2,0)+IF(AND(V481&lt;20,W481&gt;=105),0.15,0)+IF(AND(V481&gt;=20,V481&lt;40,W481&lt;95),0.2,0)+IF(AND(V481&gt;=20,V481&lt;40,W481&gt;=95,W481&lt;150),0.15,0)+IF(AND(V481&gt;=20,V481&lt;40,W481&gt;=150),0.12,0)+IF(AND(V481&gt;=40,V481&lt;75,W481&lt;75),0.2,0)+IF(AND(V481&gt;=40,V481&lt;75,W481&gt;=75,W481&lt;120),0.15,0)+IF(AND(V481&gt;=40,V481&lt;75,W481&gt;=120),0.12,0)+IF(AND(V481&gt;=75,V481&lt;175,W481&lt;65),0.2,0)+IF(AND(V481&gt;=75,V481&lt;175,W481&gt;=65,W481&lt;110),0.15,0)+IF(AND(V481&gt;=75,V481&lt;175,W481&gt;=110),0.12,0)+IF(AND(V481&gt;=175,W481&lt;55),0.2,0)+IF(AND(V481&gt;=175,W481&gt;=55,W481&lt;95),0.15,0)+IF(AND(V481&gt;=175,W481&gt;=95),0.12,0),
IF(AF481="DoEVku",IF(AND(V481&lt;20,W481&lt;55),0.23,0)+IF(AND(V481&lt;20,W481&gt;=55,W481&lt;105),0.2,0)+IF(AND(V481&lt;20,W481&gt;=105),0.17,0)+IF(AND(V481&gt;=20,V481&lt;40,W481&lt;45),0.23,0)+IF(AND(V481&gt;=20,V481&lt;40,W481&gt;=45,W481&lt;95),0.2,0)+IF(AND(V481&gt;=20,V481&lt;40,W481&gt;=95,W481&lt;=150),0.17,0)+IF(AND(V481&gt;=20,V481&lt;40,W481&gt;=150),0.12,0)+IF(AND(V481&gt;=40,V481&lt;75,W481&lt;35),0.23,0)+IF(AND(V481&gt;=40,V481&lt;75,W481&gt;=35,W481&lt;75),0.2,0)+IF(AND(V481&gt;=40,V481&lt;75,W481&gt;=75,W481&lt;120),0.17,0)+IF(AND(V481&gt;=40,V481&lt;75,W481&gt;=120),0.12,0)+IF(AND(V481&gt;=75,V481&lt;175,W481&lt;35),0.23,0)+IF(AND(V481&gt;=75,V481&lt;=175,W481&gt;=35,W481&lt;65),0.2,0)+IF(AND(V481&gt;=75,V481&lt;=175,W481&gt;=65,W481&lt;110),0.17,0)+IF(AND(V481&gt;=75,V481&lt;=175,W481&gt;=110),0.12,0)+IF(AND(V481&gt;175,W481&lt;25),0.23,0)+IF(AND(V481&gt;175,W481&gt;=25,W481&lt;55),0.2,0)+IF(AND(V481&gt;175,W481&gt;=55,W481&lt;95),0.17,0)+IF(AND(V481&gt;175,W481&gt;=95),0.12,0),
IF(AF481="DoEVs1",IF(AND(V481&lt;20,W481&lt;55),0.3,0)+IF(AND(V481&lt;20,W481&gt;=55,W481&lt;105),0.23,0)+IF(AND(V481&lt;20,W481&gt;=105),0.17,0)+IF(AND(V481&gt;=20,V481&lt;40,W481&lt;45),0.3,0)+IF(AND(V481&gt;=20,V481&lt;40,W481&gt;=45,W481&lt;95),0.23,0)+IF(AND(V481&gt;=20,V481&lt;40,W481&gt;=95,W481&lt;=150),0.17,0)+IF(AND(V481&gt;=20,V481&lt;40,W481&gt;=150),0.12,0)+IF(AND(V481&gt;=40,V481&lt;75,W481&lt;35),0.3,0)+IF(AND(V481&gt;=40,V481&lt;75,W481&gt;=35,W481&lt;75),0.23,0)+IF(AND(V481&gt;=40,V481&lt;75,W481&gt;=75,W481&lt;120),0.17,0)+IF(AND(V481&gt;=40,V481&lt;75,W481&gt;=120),0.12,0)+IF(AND(V481&gt;=75,V481&lt;175,W481&lt;35),0.3,0)+IF(AND(V481&gt;=75,V481&lt;=175,W481&gt;=35,W481&lt;65),0.23,0)+IF(AND(V481&gt;=75,V481&lt;=175,W481&gt;=65,W481&lt;110),0.17,0)+IF(AND(V481&gt;=75,V481&lt;=175,W481&gt;=110),0.12,0)+IF(AND(V481&gt;175,W481&lt;25),0.3,0)+IF(AND(V481&gt;175,W481&gt;=25,W481&lt;55),0.23,0)+IF(AND(V481&gt;175,W481&gt;=55,W481&lt;95),0.17,0)+IF(AND(V481&gt;175,W481&gt;=95),0.12,0),
IF(AF481="DoEVsu",IF(AND(V481&lt;20,W481&lt;55),0.3,0)+IF(AND(V481&lt;20,W481&gt;=55,W481&lt;105),0.23,0)+IF(AND(V481&lt;20,W481&gt;=105),0.17,0)+IF(AND(V481&gt;=20,V481&lt;40,W481&lt;45),0.3,0)+IF(AND(V481&gt;=20,V481&lt;40,W481&gt;=45,W481&lt;95),0.23,0)+IF(AND(V481&gt;=20,V481&lt;40,W481&gt;=95,W481&lt;=250),0.17,0)+IF(AND(V481&gt;=20,V481&lt;40,W481&gt;=250),0.12,0)+IF(AND(V481&gt;=40,V481&lt;75,W481&lt;35),0.3,0)+IF(AND(V481&gt;=40,V481&lt;75,W481&gt;=35,W481&lt;75),0.23,0)+IF(AND(V481&gt;=40,V481&lt;75,W481&gt;=75,W481&lt;120),0.17,0)+IF(AND(V481&gt;=40,V481&lt;75,W481&gt;=120),0.12,0)+IF(AND(V481&gt;=75,V481&lt;175,W481&lt;35),0.3,0)+IF(AND(V481&gt;=75,V481&lt;=175,W481&gt;=35,W481&lt;65),0.23,0)+IF(AND(V481&gt;=75,V481&lt;=175,W481&gt;=65,W481&lt;110),0.17,0)+IF(AND(V481&gt;=75,V481&lt;=175,W481&gt;=110),0.12,0)+IF(AND(V481&gt;175,W481&lt;25),0.3,0)+IF(AND(V481&gt;175,W481&gt;=25,W481&lt;55),0.23,0)+IF(AND(V481&gt;175,W481&gt;=55,W481&lt;95),0.17,0)+IF(AND(V481&gt;175,W481&gt;=95),0.12,0),
IF(AF481="DoEVni",IF(AND(V481&lt;20,W481&lt;55),0.3,0)+IF(AND(V481&lt;20,W481&gt;=55,W481&lt;105),0.23,0)+IF(AND(V481&lt;20,W481&gt;=105),0.17,0)+IF(AND(V481&gt;=20,V481&lt;40,W481&lt;45),0.3,0)+IF(AND(V481&gt;=20,V481&lt;40,W481&gt;=45,W481&lt;95),0.23,0)+IF(AND(V481&gt;=20,V481&lt;40,W481&gt;=95,W481&lt;=200),0.17,0)+IF(AND(V481&gt;=20,V481&lt;40,W481&gt;=200),0.12,0)+IF(AND(V481&gt;=40,V481&lt;75,W481&lt;35),0.3,0)+IF(AND(V481&gt;=40,V481&lt;75,W481&gt;=35,W481&lt;75),0.23,0)+IF(AND(V481&gt;=40,V481&lt;75,W481&gt;=75,W481&lt;120),0.17,0)+IF(AND(V481&gt;=40,V481&lt;75,W481&gt;=120),0.12,0)+IF(AND(V481&gt;=75,V481&lt;175,W481&lt;35),0.3,0)+IF(AND(V481&gt;=75,V481&lt;=175,W481&gt;=35,W481&lt;65),0.23,0)+IF(AND(V481&gt;=75,V481&lt;=175,W481&gt;=65,W481&lt;110),0.17,0)+IF(AND(V481&gt;=75,V481&lt;=175,W481&gt;=110),0.12,0)+IF(AND(V481&gt;175,W481&lt;25),0.3,0)+IF(AND(V481&gt;175,W481&gt;=25,W481&lt;55),0.23,0)+IF(AND(V481&gt;175,W481&gt;=55,W481&lt;95),0.17,0)+IF(AND(V481&gt;175,W481&gt;=95),0.12,0),
IF(AF481="DoEVLo",IF(AND(V481&lt;20,W481&lt;55),0.25,0)+IF(AND(V481&lt;20,W481&gt;=55,W481&lt;105),0.2,0)+IF(AND(V481&lt;20,W481&gt;=105),0.15,0)+IF(AND(V481&gt;=20,V481&lt;40,W481&lt;45),0.25,0)+IF(AND(V481&gt;=20,V481&lt;40,W481&gt;=45,W481&lt;95),0.2,0)+IF(AND(V481&gt;=20,V481&lt;40,W481&gt;=95),0.15,0)+IF(AND(V481&gt;=40,V481&lt;75,W481&lt;35),0.25,0)+IF(AND(V481&gt;=40,V481&lt;75,W481&gt;=35,W481&lt;75),0.2,0)+IF(AND(V481&gt;=40,V481&lt;75,W481&gt;=75,W481&lt;120),0.15,0)+IF(AND(V481&gt;=40,V481&lt;75,W481&gt;=120),0.1,0)+IF(AND(V481&gt;=75,V481&lt;175,W481&lt;35),0.25,0)+IF(AND(V481&gt;=75,V481&lt;=175,W481&gt;=35,W481&lt;65),0.2,0)+IF(AND(V481&gt;=75,V481&lt;=175,W481&gt;=65,W481&lt;110),0.15,0)+IF(AND(V481&gt;=75,V481&lt;=175,W481&gt;=110),0.1,0)+IF(AND(V481&gt;175,W481&lt;25),0.25,0)+IF(AND(V481&gt;175,W481&gt;=25,W481&lt;55),0.2,0)+IF(AND(V481&gt;175,W481&gt;=55,W481&lt;95),0.15,0)+IF(AND(V481&gt;175,W481&gt;=95),0.1,0))))))))))))))))</f>
        <v>0.15</v>
      </c>
      <c r="Y481" s="30">
        <f>IF(AG481="None",0,IF(AG481="Fix5",0.05,IF(AG481="Fix3.75",0.0375,IF(AG481="Fix10",0.1,IF(AG481="Fix3",0.03,0)))))</f>
        <v>0.05</v>
      </c>
      <c r="Z481" s="59">
        <v>-392</v>
      </c>
      <c r="AA481" s="60">
        <v>-98</v>
      </c>
      <c r="AB481" s="36"/>
      <c r="AC481" s="37" t="b">
        <v>0</v>
      </c>
      <c r="AD481" s="61" t="s">
        <v>38</v>
      </c>
      <c r="AE481" s="83" t="s">
        <v>38</v>
      </c>
      <c r="AF481" s="37" t="str">
        <f t="array" ref="AF481">INDEX('Deal Info'!D:D, MATCH(A481,'Deal Info'!A:A, 0))</f>
        <v>Fix15</v>
      </c>
      <c r="AG481" s="38" t="str">
        <f t="array" ref="AG481">INDEX('Deal Info'!G:G, MATCH(A481,'Deal Info'!A:A, 0))</f>
        <v>Fix5</v>
      </c>
    </row>
    <row r="482" spans="1:33" ht="14.25" hidden="1" x14ac:dyDescent="0.2">
      <c r="A482" s="18" t="str">
        <f t="array" ref="A482">IF(G482='Room Info'!$B$1, INDEX('Room Info'!$A$2:$A2446, MATCH(B482,'Room Info'!$B$2:$B2446, 0)),IF(G482='Room Info'!$C$1, INDEX('Room Info'!$A$2:$A2446, MATCH(B482,'Room Info'!$C$2:$C2446, 0)),IF(G482='Room Info'!$D$1, INDEX('Room Info'!$A$2:$A2446, MATCH(B482,'Room Info'!$D$2:$D2446, 0)),IF(G482='Room Info'!$E$1, INDEX('Room Info'!$A$2:$A2446, MATCH(B482,'Room Info'!$E$2:$E2446, 0)),IF(G482='Room Info'!$F$1, INDEX('Room Info'!$A$2:$A2446, MATCH(B482,'Room Info'!$F$2:$F2446, 0)),IF(G482='Room Info'!$H$1, INDEX('Room Info'!$A$2:$A2446, MATCH(B482,'Room Info'!$H$2:$H2446, 0)),IF(G482='Room Info'!$G$1, INDEX('Room Info'!$A$2:$A2446, MATCH(B482,'Room Info'!$G$2:$G2446, 0)))))))))</f>
        <v>fortunate773</v>
      </c>
      <c r="B482" s="45" t="s">
        <v>66</v>
      </c>
      <c r="C482" s="46">
        <v>44916</v>
      </c>
      <c r="D482" s="46">
        <v>44957</v>
      </c>
      <c r="E482" s="47">
        <v>44927</v>
      </c>
      <c r="F482" s="48" t="s">
        <v>49</v>
      </c>
      <c r="G482" s="45" t="s">
        <v>35</v>
      </c>
      <c r="H482" s="49" t="s">
        <v>142</v>
      </c>
      <c r="I482" s="49" t="s">
        <v>37</v>
      </c>
      <c r="J482" s="70">
        <v>500</v>
      </c>
      <c r="K482" s="71">
        <v>6</v>
      </c>
      <c r="L482" s="72">
        <v>500</v>
      </c>
      <c r="M482" s="53">
        <v>35</v>
      </c>
      <c r="N482" s="28">
        <f>K482*J482</f>
        <v>3000</v>
      </c>
      <c r="O482" s="45">
        <v>215</v>
      </c>
      <c r="P482" s="29">
        <v>35.833333330000002</v>
      </c>
      <c r="Q482" s="55"/>
      <c r="R482" s="31">
        <f>M482+Q482</f>
        <v>35</v>
      </c>
      <c r="S482" s="73">
        <v>59</v>
      </c>
      <c r="T482" s="32">
        <f>R482+S482+IF(F482="Without EV deal",L482,0)</f>
        <v>94</v>
      </c>
      <c r="U482" s="57">
        <v>1</v>
      </c>
      <c r="V482" s="58"/>
      <c r="W482" s="58"/>
      <c r="X482" s="30">
        <f>IF(AF482="DoEV",IF(AND(V482&lt;20,W482&lt;55),0.3,0)+IF(AND(V482&lt;20,W482&gt;=55,W482&lt;105),0.23,0)+IF(AND(V482&lt;20,W482&gt;=105),0.17,0)+IF(AND(V482&gt;=20,V482&lt;40,W482&lt;45),0.3,0)+IF(AND(V482&gt;=20,V482&lt;40,W482&gt;=45,W482&lt;95),0.23,0)+IF(AND(V482&gt;=20,V482&lt;40,W482&gt;=95),0.17,0)+IF(AND(V482&gt;=40,V482&lt;75,W482&lt;35),0.3,0)+IF(AND(V482&gt;=40,V482&lt;75,W482&gt;=35,W482&lt;75),0.23,0)+IF(AND(V482&gt;=40,V482&lt;75,W482&gt;=75,W482&lt;120),0.17,0)+IF(AND(V482&gt;=40,V482&lt;75,W482&gt;=120),0.12,0)+IF(AND(V482&gt;=75,V482&lt;175,W482&lt;35),0.3,0)+IF(AND(V482&gt;=75,V482&lt;=175,W482&gt;=35,W482&lt;65),0.23,0)+IF(AND(V482&gt;=75,V482&lt;=175,W482&gt;=65,W482&lt;110),0.17,0)+IF(AND(V482&gt;=75,V482&lt;=175,W482&gt;=110),0.12,0)+IF(AND(V482&gt;175,W482&lt;25),0.3,0)+IF(AND(V482&gt;175,W482&gt;=25,W482&lt;55),0.23,0)+IF(AND(V482&gt;175,W482&gt;=55,W482&lt;95),0.17,0)+IF(AND(V482&gt;175,W482&gt;=95),0.12,0),
IF(AF482="Fix15",0.15,
IF(AF482="Fix11.25",0.1125,
IF(AF482="Fix10",0.1,
IF(AF482="Fix9",0.09,
IF(AF482="DoEV2017",IF(AND(W482&lt;74),0.2,0)+IF(AND(W482&gt;=74),0.17,0),
IF(AF482="SF",IF(AND(V482&lt;20,W482&lt;89),0.3,0)+IF(AND(V482&lt;20,W482&gt;=89),0.25,0)+IF(AND(V482&gt;=20,V482&lt;40,W482&lt;74),0.3,0)+IF(AND(V482&gt;=20,V482&lt;40,W482&gt;=75),0.22,0)+IF(AND(V482&gt;=40,V482&lt;75,W482&lt;75),0.26,0)+IF(AND(V482&gt;=40,V482&lt;75,W482&gt;=75),0.22,0)+IF(V482&gt;=75,0.22,0),
IF(AF482="DoEVold",IF(AND(V482&lt;40,W482&lt;35),0.35,0)+IF(AND(V482&lt;40,W482&gt;=35,W482&lt;75),0.25,0)+IF(AND(V482&lt;40,W482&gt;=75),0.17,0)+IF(AND(V482&gt;=40,V482&lt;75,W482&lt;25),0.35,0)+IF(AND(V482&gt;=40,V482&lt;75,W482&gt;=25,W482&lt;65),0.25,0)+IF(AND(V482&gt;=40,V482&lt;75,W482&gt;=65,W482&lt;100),0.17,0)+IF(AND(V482&gt;=40,V482&lt;75,W482&gt;=100),0.1,0)+IF(AND(V482&gt;=75,W482&lt;25),0.35,0)+IF(AND(V482&gt;=75,W482&gt;=25,W482&lt;60),0.25,0)+IF(AND(V482&gt;=75,W482&gt;=60,W482&lt;95),0.17,0)+IF(AND(V482&gt;=75,W482&gt;=95),0.1,0),
IF(AF482="DoEVold15",IF(AND(V482&lt;=40,W482&lt;35),0.35,0)+IF(AND(V482&lt;=40,W482&gt;=35,W482&lt;75),0.25,0)+IF(AND(V482&lt;=40,W482&gt;=75,W482&lt;120),0.17,0)+IF(AND(V482&lt;=40,W482&gt;=120),0.15,0)+IF(AND(V482&gt;40,V482&lt;75,W482&lt;25),0.35,0)+IF(AND(V482&gt;=40,V482&lt;75,W482&gt;=25,W482&lt;65),0.25,0)+IF(AND(V482&gt;=40,V482&lt;75,W482&gt;=65,W482&lt;100),0.17,0)+IF(AND(V482&gt;=40,V482&lt;75,W482&gt;=100),0.1,0)+IF(AND(V482&gt;=75,W482&lt;25),0.35,0)+IF(AND(V482&gt;=75,W482&gt;=25,W482&lt;60),0.25,0)+IF(AND(V482&gt;=75,W482&gt;=60,W482&lt;95),0.17,0)+IF(AND(V482&gt;=75,W482&gt;=95),0.1,0),
IF(AF482="DoEVba",IF(AND(V482&lt;20,W482&lt;105),0.2,0)+IF(AND(V482&lt;20,W482&gt;=105),0.15,0)+IF(AND(V482&gt;=20,V482&lt;40,W482&lt;95),0.2,0)+IF(AND(V482&gt;=20,V482&lt;40,W482&gt;=95,W482&lt;150),0.15,0)+IF(AND(V482&gt;=20,V482&lt;40,W482&gt;=150),0.12,0)+IF(AND(V482&gt;=40,V482&lt;75,W482&lt;75),0.2,0)+IF(AND(V482&gt;=40,V482&lt;75,W482&gt;=75,W482&lt;120),0.15,0)+IF(AND(V482&gt;=40,V482&lt;75,W482&gt;=120),0.12,0)+IF(AND(V482&gt;=75,V482&lt;175,W482&lt;65),0.2,0)+IF(AND(V482&gt;=75,V482&lt;175,W482&gt;=65,W482&lt;110),0.15,0)+IF(AND(V482&gt;=75,V482&lt;175,W482&gt;=110),0.12,0)+IF(AND(V482&gt;=175,W482&lt;55),0.2,0)+IF(AND(V482&gt;=175,W482&gt;=55,W482&lt;95),0.15,0)+IF(AND(V482&gt;=175,W482&gt;=95),0.12,0),
IF(AF482="DoEVku",IF(AND(V482&lt;20,W482&lt;55),0.23,0)+IF(AND(V482&lt;20,W482&gt;=55,W482&lt;105),0.2,0)+IF(AND(V482&lt;20,W482&gt;=105),0.17,0)+IF(AND(V482&gt;=20,V482&lt;40,W482&lt;45),0.23,0)+IF(AND(V482&gt;=20,V482&lt;40,W482&gt;=45,W482&lt;95),0.2,0)+IF(AND(V482&gt;=20,V482&lt;40,W482&gt;=95,W482&lt;=150),0.17,0)+IF(AND(V482&gt;=20,V482&lt;40,W482&gt;=150),0.12,0)+IF(AND(V482&gt;=40,V482&lt;75,W482&lt;35),0.23,0)+IF(AND(V482&gt;=40,V482&lt;75,W482&gt;=35,W482&lt;75),0.2,0)+IF(AND(V482&gt;=40,V482&lt;75,W482&gt;=75,W482&lt;120),0.17,0)+IF(AND(V482&gt;=40,V482&lt;75,W482&gt;=120),0.12,0)+IF(AND(V482&gt;=75,V482&lt;175,W482&lt;35),0.23,0)+IF(AND(V482&gt;=75,V482&lt;=175,W482&gt;=35,W482&lt;65),0.2,0)+IF(AND(V482&gt;=75,V482&lt;=175,W482&gt;=65,W482&lt;110),0.17,0)+IF(AND(V482&gt;=75,V482&lt;=175,W482&gt;=110),0.12,0)+IF(AND(V482&gt;175,W482&lt;25),0.23,0)+IF(AND(V482&gt;175,W482&gt;=25,W482&lt;55),0.2,0)+IF(AND(V482&gt;175,W482&gt;=55,W482&lt;95),0.17,0)+IF(AND(V482&gt;175,W482&gt;=95),0.12,0),
IF(AF482="DoEVs1",IF(AND(V482&lt;20,W482&lt;55),0.3,0)+IF(AND(V482&lt;20,W482&gt;=55,W482&lt;105),0.23,0)+IF(AND(V482&lt;20,W482&gt;=105),0.17,0)+IF(AND(V482&gt;=20,V482&lt;40,W482&lt;45),0.3,0)+IF(AND(V482&gt;=20,V482&lt;40,W482&gt;=45,W482&lt;95),0.23,0)+IF(AND(V482&gt;=20,V482&lt;40,W482&gt;=95,W482&lt;=150),0.17,0)+IF(AND(V482&gt;=20,V482&lt;40,W482&gt;=150),0.12,0)+IF(AND(V482&gt;=40,V482&lt;75,W482&lt;35),0.3,0)+IF(AND(V482&gt;=40,V482&lt;75,W482&gt;=35,W482&lt;75),0.23,0)+IF(AND(V482&gt;=40,V482&lt;75,W482&gt;=75,W482&lt;120),0.17,0)+IF(AND(V482&gt;=40,V482&lt;75,W482&gt;=120),0.12,0)+IF(AND(V482&gt;=75,V482&lt;175,W482&lt;35),0.3,0)+IF(AND(V482&gt;=75,V482&lt;=175,W482&gt;=35,W482&lt;65),0.23,0)+IF(AND(V482&gt;=75,V482&lt;=175,W482&gt;=65,W482&lt;110),0.17,0)+IF(AND(V482&gt;=75,V482&lt;=175,W482&gt;=110),0.12,0)+IF(AND(V482&gt;175,W482&lt;25),0.3,0)+IF(AND(V482&gt;175,W482&gt;=25,W482&lt;55),0.23,0)+IF(AND(V482&gt;175,W482&gt;=55,W482&lt;95),0.17,0)+IF(AND(V482&gt;175,W482&gt;=95),0.12,0),
IF(AF482="DoEVsu",IF(AND(V482&lt;20,W482&lt;55),0.3,0)+IF(AND(V482&lt;20,W482&gt;=55,W482&lt;105),0.23,0)+IF(AND(V482&lt;20,W482&gt;=105),0.17,0)+IF(AND(V482&gt;=20,V482&lt;40,W482&lt;45),0.3,0)+IF(AND(V482&gt;=20,V482&lt;40,W482&gt;=45,W482&lt;95),0.23,0)+IF(AND(V482&gt;=20,V482&lt;40,W482&gt;=95,W482&lt;=250),0.17,0)+IF(AND(V482&gt;=20,V482&lt;40,W482&gt;=250),0.12,0)+IF(AND(V482&gt;=40,V482&lt;75,W482&lt;35),0.3,0)+IF(AND(V482&gt;=40,V482&lt;75,W482&gt;=35,W482&lt;75),0.23,0)+IF(AND(V482&gt;=40,V482&lt;75,W482&gt;=75,W482&lt;120),0.17,0)+IF(AND(V482&gt;=40,V482&lt;75,W482&gt;=120),0.12,0)+IF(AND(V482&gt;=75,V482&lt;175,W482&lt;35),0.3,0)+IF(AND(V482&gt;=75,V482&lt;=175,W482&gt;=35,W482&lt;65),0.23,0)+IF(AND(V482&gt;=75,V482&lt;=175,W482&gt;=65,W482&lt;110),0.17,0)+IF(AND(V482&gt;=75,V482&lt;=175,W482&gt;=110),0.12,0)+IF(AND(V482&gt;175,W482&lt;25),0.3,0)+IF(AND(V482&gt;175,W482&gt;=25,W482&lt;55),0.23,0)+IF(AND(V482&gt;175,W482&gt;=55,W482&lt;95),0.17,0)+IF(AND(V482&gt;175,W482&gt;=95),0.12,0),
IF(AF482="DoEVni",IF(AND(V482&lt;20,W482&lt;55),0.3,0)+IF(AND(V482&lt;20,W482&gt;=55,W482&lt;105),0.23,0)+IF(AND(V482&lt;20,W482&gt;=105),0.17,0)+IF(AND(V482&gt;=20,V482&lt;40,W482&lt;45),0.3,0)+IF(AND(V482&gt;=20,V482&lt;40,W482&gt;=45,W482&lt;95),0.23,0)+IF(AND(V482&gt;=20,V482&lt;40,W482&gt;=95,W482&lt;=200),0.17,0)+IF(AND(V482&gt;=20,V482&lt;40,W482&gt;=200),0.12,0)+IF(AND(V482&gt;=40,V482&lt;75,W482&lt;35),0.3,0)+IF(AND(V482&gt;=40,V482&lt;75,W482&gt;=35,W482&lt;75),0.23,0)+IF(AND(V482&gt;=40,V482&lt;75,W482&gt;=75,W482&lt;120),0.17,0)+IF(AND(V482&gt;=40,V482&lt;75,W482&gt;=120),0.12,0)+IF(AND(V482&gt;=75,V482&lt;175,W482&lt;35),0.3,0)+IF(AND(V482&gt;=75,V482&lt;=175,W482&gt;=35,W482&lt;65),0.23,0)+IF(AND(V482&gt;=75,V482&lt;=175,W482&gt;=65,W482&lt;110),0.17,0)+IF(AND(V482&gt;=75,V482&lt;=175,W482&gt;=110),0.12,0)+IF(AND(V482&gt;175,W482&lt;25),0.3,0)+IF(AND(V482&gt;175,W482&gt;=25,W482&lt;55),0.23,0)+IF(AND(V482&gt;175,W482&gt;=55,W482&lt;95),0.17,0)+IF(AND(V482&gt;175,W482&gt;=95),0.12,0),
IF(AF482="DoEVLo",IF(AND(V482&lt;20,W482&lt;55),0.25,0)+IF(AND(V482&lt;20,W482&gt;=55,W482&lt;105),0.2,0)+IF(AND(V482&lt;20,W482&gt;=105),0.15,0)+IF(AND(V482&gt;=20,V482&lt;40,W482&lt;45),0.25,0)+IF(AND(V482&gt;=20,V482&lt;40,W482&gt;=45,W482&lt;95),0.2,0)+IF(AND(V482&gt;=20,V482&lt;40,W482&gt;=95),0.15,0)+IF(AND(V482&gt;=40,V482&lt;75,W482&lt;35),0.25,0)+IF(AND(V482&gt;=40,V482&lt;75,W482&gt;=35,W482&lt;75),0.2,0)+IF(AND(V482&gt;=40,V482&lt;75,W482&gt;=75,W482&lt;120),0.15,0)+IF(AND(V482&gt;=40,V482&lt;75,W482&gt;=120),0.1,0)+IF(AND(V482&gt;=75,V482&lt;175,W482&lt;35),0.25,0)+IF(AND(V482&gt;=75,V482&lt;=175,W482&gt;=35,W482&lt;65),0.2,0)+IF(AND(V482&gt;=75,V482&lt;=175,W482&gt;=65,W482&lt;110),0.15,0)+IF(AND(V482&gt;=75,V482&lt;=175,W482&gt;=110),0.1,0)+IF(AND(V482&gt;175,W482&lt;25),0.25,0)+IF(AND(V482&gt;175,W482&gt;=25,W482&lt;55),0.2,0)+IF(AND(V482&gt;175,W482&gt;=55,W482&lt;95),0.15,0)+IF(AND(V482&gt;175,W482&gt;=95),0.1,0))))))))))))))))</f>
        <v>0.15</v>
      </c>
      <c r="Y482" s="30">
        <f>IF(AG482="None",0,IF(AG482="Fix5",0.05,IF(AG482="Fix3.75",0.0375,IF(AG482="Fix10",0.1,IF(AG482="Fix3",0.03,0)))))</f>
        <v>0.05</v>
      </c>
      <c r="Z482" s="59">
        <v>75</v>
      </c>
      <c r="AA482" s="60">
        <v>19</v>
      </c>
      <c r="AB482" s="36"/>
      <c r="AC482" s="37" t="b">
        <v>0</v>
      </c>
      <c r="AD482" s="61" t="s">
        <v>38</v>
      </c>
      <c r="AE482" s="83" t="s">
        <v>38</v>
      </c>
      <c r="AF482" s="37" t="str">
        <f t="array" ref="AF482">INDEX('Deal Info'!D:D, MATCH(A482,'Deal Info'!A:A, 0))</f>
        <v>Fix15</v>
      </c>
      <c r="AG482" s="38" t="str">
        <f t="array" ref="AG482">INDEX('Deal Info'!G:G, MATCH(A482,'Deal Info'!A:A, 0))</f>
        <v>Fix5</v>
      </c>
    </row>
    <row r="483" spans="1:33" ht="14.25" hidden="1" x14ac:dyDescent="0.2">
      <c r="A483" s="18" t="str">
        <f t="array" ref="A483">IF(G483='Room Info'!$B$1, INDEX('Room Info'!$A$2:$A2446, MATCH(B483,'Room Info'!$B$2:$B2446, 0)),IF(G483='Room Info'!$C$1, INDEX('Room Info'!$A$2:$A2446, MATCH(B483,'Room Info'!$C$2:$C2446, 0)),IF(G483='Room Info'!$D$1, INDEX('Room Info'!$A$2:$A2446, MATCH(B483,'Room Info'!$D$2:$D2446, 0)),IF(G483='Room Info'!$E$1, INDEX('Room Info'!$A$2:$A2446, MATCH(B483,'Room Info'!$E$2:$E2446, 0)),IF(G483='Room Info'!$F$1, INDEX('Room Info'!$A$2:$A2446, MATCH(B483,'Room Info'!$F$2:$F2446, 0)),IF(G483='Room Info'!$H$1, INDEX('Room Info'!$A$2:$A2446, MATCH(B483,'Room Info'!$H$2:$H2446, 0)),IF(G483='Room Info'!$G$1, INDEX('Room Info'!$A$2:$A2446, MATCH(B483,'Room Info'!$G$2:$G2446, 0)))))))))</f>
        <v>fortunate773</v>
      </c>
      <c r="B483" s="45" t="s">
        <v>66</v>
      </c>
      <c r="C483" s="46">
        <v>44916</v>
      </c>
      <c r="D483" s="46">
        <v>44957</v>
      </c>
      <c r="E483" s="47">
        <v>44927</v>
      </c>
      <c r="F483" s="48" t="s">
        <v>49</v>
      </c>
      <c r="G483" s="45" t="s">
        <v>35</v>
      </c>
      <c r="H483" s="49" t="s">
        <v>88</v>
      </c>
      <c r="I483" s="49" t="s">
        <v>37</v>
      </c>
      <c r="J483" s="50">
        <v>250</v>
      </c>
      <c r="K483" s="51">
        <v>68</v>
      </c>
      <c r="L483" s="52">
        <v>-7250</v>
      </c>
      <c r="M483" s="53">
        <v>198</v>
      </c>
      <c r="N483" s="28">
        <f>K483*J483</f>
        <v>17000</v>
      </c>
      <c r="O483" s="54">
        <v>-4822</v>
      </c>
      <c r="P483" s="29">
        <v>-70.91176471</v>
      </c>
      <c r="Q483" s="55"/>
      <c r="R483" s="31">
        <f>M483+Q483</f>
        <v>198</v>
      </c>
      <c r="S483" s="56">
        <v>-3095</v>
      </c>
      <c r="T483" s="32">
        <f>R483+S483+IF(F483="Without EV deal",L483,0)</f>
        <v>-2897</v>
      </c>
      <c r="U483" s="57">
        <v>1</v>
      </c>
      <c r="V483" s="58"/>
      <c r="W483" s="58"/>
      <c r="X483" s="30">
        <f>IF(AF483="DoEV",IF(AND(V483&lt;20,W483&lt;55),0.3,0)+IF(AND(V483&lt;20,W483&gt;=55,W483&lt;105),0.23,0)+IF(AND(V483&lt;20,W483&gt;=105),0.17,0)+IF(AND(V483&gt;=20,V483&lt;40,W483&lt;45),0.3,0)+IF(AND(V483&gt;=20,V483&lt;40,W483&gt;=45,W483&lt;95),0.23,0)+IF(AND(V483&gt;=20,V483&lt;40,W483&gt;=95),0.17,0)+IF(AND(V483&gt;=40,V483&lt;75,W483&lt;35),0.3,0)+IF(AND(V483&gt;=40,V483&lt;75,W483&gt;=35,W483&lt;75),0.23,0)+IF(AND(V483&gt;=40,V483&lt;75,W483&gt;=75,W483&lt;120),0.17,0)+IF(AND(V483&gt;=40,V483&lt;75,W483&gt;=120),0.12,0)+IF(AND(V483&gt;=75,V483&lt;175,W483&lt;35),0.3,0)+IF(AND(V483&gt;=75,V483&lt;=175,W483&gt;=35,W483&lt;65),0.23,0)+IF(AND(V483&gt;=75,V483&lt;=175,W483&gt;=65,W483&lt;110),0.17,0)+IF(AND(V483&gt;=75,V483&lt;=175,W483&gt;=110),0.12,0)+IF(AND(V483&gt;175,W483&lt;25),0.3,0)+IF(AND(V483&gt;175,W483&gt;=25,W483&lt;55),0.23,0)+IF(AND(V483&gt;175,W483&gt;=55,W483&lt;95),0.17,0)+IF(AND(V483&gt;175,W483&gt;=95),0.12,0),
IF(AF483="Fix15",0.15,
IF(AF483="Fix11.25",0.1125,
IF(AF483="Fix10",0.1,
IF(AF483="Fix9",0.09,
IF(AF483="DoEV2017",IF(AND(W483&lt;74),0.2,0)+IF(AND(W483&gt;=74),0.17,0),
IF(AF483="SF",IF(AND(V483&lt;20,W483&lt;89),0.3,0)+IF(AND(V483&lt;20,W483&gt;=89),0.25,0)+IF(AND(V483&gt;=20,V483&lt;40,W483&lt;74),0.3,0)+IF(AND(V483&gt;=20,V483&lt;40,W483&gt;=75),0.22,0)+IF(AND(V483&gt;=40,V483&lt;75,W483&lt;75),0.26,0)+IF(AND(V483&gt;=40,V483&lt;75,W483&gt;=75),0.22,0)+IF(V483&gt;=75,0.22,0),
IF(AF483="DoEVold",IF(AND(V483&lt;40,W483&lt;35),0.35,0)+IF(AND(V483&lt;40,W483&gt;=35,W483&lt;75),0.25,0)+IF(AND(V483&lt;40,W483&gt;=75),0.17,0)+IF(AND(V483&gt;=40,V483&lt;75,W483&lt;25),0.35,0)+IF(AND(V483&gt;=40,V483&lt;75,W483&gt;=25,W483&lt;65),0.25,0)+IF(AND(V483&gt;=40,V483&lt;75,W483&gt;=65,W483&lt;100),0.17,0)+IF(AND(V483&gt;=40,V483&lt;75,W483&gt;=100),0.1,0)+IF(AND(V483&gt;=75,W483&lt;25),0.35,0)+IF(AND(V483&gt;=75,W483&gt;=25,W483&lt;60),0.25,0)+IF(AND(V483&gt;=75,W483&gt;=60,W483&lt;95),0.17,0)+IF(AND(V483&gt;=75,W483&gt;=95),0.1,0),
IF(AF483="DoEVold15",IF(AND(V483&lt;=40,W483&lt;35),0.35,0)+IF(AND(V483&lt;=40,W483&gt;=35,W483&lt;75),0.25,0)+IF(AND(V483&lt;=40,W483&gt;=75,W483&lt;120),0.17,0)+IF(AND(V483&lt;=40,W483&gt;=120),0.15,0)+IF(AND(V483&gt;40,V483&lt;75,W483&lt;25),0.35,0)+IF(AND(V483&gt;=40,V483&lt;75,W483&gt;=25,W483&lt;65),0.25,0)+IF(AND(V483&gt;=40,V483&lt;75,W483&gt;=65,W483&lt;100),0.17,0)+IF(AND(V483&gt;=40,V483&lt;75,W483&gt;=100),0.1,0)+IF(AND(V483&gt;=75,W483&lt;25),0.35,0)+IF(AND(V483&gt;=75,W483&gt;=25,W483&lt;60),0.25,0)+IF(AND(V483&gt;=75,W483&gt;=60,W483&lt;95),0.17,0)+IF(AND(V483&gt;=75,W483&gt;=95),0.1,0),
IF(AF483="DoEVba",IF(AND(V483&lt;20,W483&lt;105),0.2,0)+IF(AND(V483&lt;20,W483&gt;=105),0.15,0)+IF(AND(V483&gt;=20,V483&lt;40,W483&lt;95),0.2,0)+IF(AND(V483&gt;=20,V483&lt;40,W483&gt;=95,W483&lt;150),0.15,0)+IF(AND(V483&gt;=20,V483&lt;40,W483&gt;=150),0.12,0)+IF(AND(V483&gt;=40,V483&lt;75,W483&lt;75),0.2,0)+IF(AND(V483&gt;=40,V483&lt;75,W483&gt;=75,W483&lt;120),0.15,0)+IF(AND(V483&gt;=40,V483&lt;75,W483&gt;=120),0.12,0)+IF(AND(V483&gt;=75,V483&lt;175,W483&lt;65),0.2,0)+IF(AND(V483&gt;=75,V483&lt;175,W483&gt;=65,W483&lt;110),0.15,0)+IF(AND(V483&gt;=75,V483&lt;175,W483&gt;=110),0.12,0)+IF(AND(V483&gt;=175,W483&lt;55),0.2,0)+IF(AND(V483&gt;=175,W483&gt;=55,W483&lt;95),0.15,0)+IF(AND(V483&gt;=175,W483&gt;=95),0.12,0),
IF(AF483="DoEVku",IF(AND(V483&lt;20,W483&lt;55),0.23,0)+IF(AND(V483&lt;20,W483&gt;=55,W483&lt;105),0.2,0)+IF(AND(V483&lt;20,W483&gt;=105),0.17,0)+IF(AND(V483&gt;=20,V483&lt;40,W483&lt;45),0.23,0)+IF(AND(V483&gt;=20,V483&lt;40,W483&gt;=45,W483&lt;95),0.2,0)+IF(AND(V483&gt;=20,V483&lt;40,W483&gt;=95,W483&lt;=150),0.17,0)+IF(AND(V483&gt;=20,V483&lt;40,W483&gt;=150),0.12,0)+IF(AND(V483&gt;=40,V483&lt;75,W483&lt;35),0.23,0)+IF(AND(V483&gt;=40,V483&lt;75,W483&gt;=35,W483&lt;75),0.2,0)+IF(AND(V483&gt;=40,V483&lt;75,W483&gt;=75,W483&lt;120),0.17,0)+IF(AND(V483&gt;=40,V483&lt;75,W483&gt;=120),0.12,0)+IF(AND(V483&gt;=75,V483&lt;175,W483&lt;35),0.23,0)+IF(AND(V483&gt;=75,V483&lt;=175,W483&gt;=35,W483&lt;65),0.2,0)+IF(AND(V483&gt;=75,V483&lt;=175,W483&gt;=65,W483&lt;110),0.17,0)+IF(AND(V483&gt;=75,V483&lt;=175,W483&gt;=110),0.12,0)+IF(AND(V483&gt;175,W483&lt;25),0.23,0)+IF(AND(V483&gt;175,W483&gt;=25,W483&lt;55),0.2,0)+IF(AND(V483&gt;175,W483&gt;=55,W483&lt;95),0.17,0)+IF(AND(V483&gt;175,W483&gt;=95),0.12,0),
IF(AF483="DoEVs1",IF(AND(V483&lt;20,W483&lt;55),0.3,0)+IF(AND(V483&lt;20,W483&gt;=55,W483&lt;105),0.23,0)+IF(AND(V483&lt;20,W483&gt;=105),0.17,0)+IF(AND(V483&gt;=20,V483&lt;40,W483&lt;45),0.3,0)+IF(AND(V483&gt;=20,V483&lt;40,W483&gt;=45,W483&lt;95),0.23,0)+IF(AND(V483&gt;=20,V483&lt;40,W483&gt;=95,W483&lt;=150),0.17,0)+IF(AND(V483&gt;=20,V483&lt;40,W483&gt;=150),0.12,0)+IF(AND(V483&gt;=40,V483&lt;75,W483&lt;35),0.3,0)+IF(AND(V483&gt;=40,V483&lt;75,W483&gt;=35,W483&lt;75),0.23,0)+IF(AND(V483&gt;=40,V483&lt;75,W483&gt;=75,W483&lt;120),0.17,0)+IF(AND(V483&gt;=40,V483&lt;75,W483&gt;=120),0.12,0)+IF(AND(V483&gt;=75,V483&lt;175,W483&lt;35),0.3,0)+IF(AND(V483&gt;=75,V483&lt;=175,W483&gt;=35,W483&lt;65),0.23,0)+IF(AND(V483&gt;=75,V483&lt;=175,W483&gt;=65,W483&lt;110),0.17,0)+IF(AND(V483&gt;=75,V483&lt;=175,W483&gt;=110),0.12,0)+IF(AND(V483&gt;175,W483&lt;25),0.3,0)+IF(AND(V483&gt;175,W483&gt;=25,W483&lt;55),0.23,0)+IF(AND(V483&gt;175,W483&gt;=55,W483&lt;95),0.17,0)+IF(AND(V483&gt;175,W483&gt;=95),0.12,0),
IF(AF483="DoEVsu",IF(AND(V483&lt;20,W483&lt;55),0.3,0)+IF(AND(V483&lt;20,W483&gt;=55,W483&lt;105),0.23,0)+IF(AND(V483&lt;20,W483&gt;=105),0.17,0)+IF(AND(V483&gt;=20,V483&lt;40,W483&lt;45),0.3,0)+IF(AND(V483&gt;=20,V483&lt;40,W483&gt;=45,W483&lt;95),0.23,0)+IF(AND(V483&gt;=20,V483&lt;40,W483&gt;=95,W483&lt;=250),0.17,0)+IF(AND(V483&gt;=20,V483&lt;40,W483&gt;=250),0.12,0)+IF(AND(V483&gt;=40,V483&lt;75,W483&lt;35),0.3,0)+IF(AND(V483&gt;=40,V483&lt;75,W483&gt;=35,W483&lt;75),0.23,0)+IF(AND(V483&gt;=40,V483&lt;75,W483&gt;=75,W483&lt;120),0.17,0)+IF(AND(V483&gt;=40,V483&lt;75,W483&gt;=120),0.12,0)+IF(AND(V483&gt;=75,V483&lt;175,W483&lt;35),0.3,0)+IF(AND(V483&gt;=75,V483&lt;=175,W483&gt;=35,W483&lt;65),0.23,0)+IF(AND(V483&gt;=75,V483&lt;=175,W483&gt;=65,W483&lt;110),0.17,0)+IF(AND(V483&gt;=75,V483&lt;=175,W483&gt;=110),0.12,0)+IF(AND(V483&gt;175,W483&lt;25),0.3,0)+IF(AND(V483&gt;175,W483&gt;=25,W483&lt;55),0.23,0)+IF(AND(V483&gt;175,W483&gt;=55,W483&lt;95),0.17,0)+IF(AND(V483&gt;175,W483&gt;=95),0.12,0),
IF(AF483="DoEVni",IF(AND(V483&lt;20,W483&lt;55),0.3,0)+IF(AND(V483&lt;20,W483&gt;=55,W483&lt;105),0.23,0)+IF(AND(V483&lt;20,W483&gt;=105),0.17,0)+IF(AND(V483&gt;=20,V483&lt;40,W483&lt;45),0.3,0)+IF(AND(V483&gt;=20,V483&lt;40,W483&gt;=45,W483&lt;95),0.23,0)+IF(AND(V483&gt;=20,V483&lt;40,W483&gt;=95,W483&lt;=200),0.17,0)+IF(AND(V483&gt;=20,V483&lt;40,W483&gt;=200),0.12,0)+IF(AND(V483&gt;=40,V483&lt;75,W483&lt;35),0.3,0)+IF(AND(V483&gt;=40,V483&lt;75,W483&gt;=35,W483&lt;75),0.23,0)+IF(AND(V483&gt;=40,V483&lt;75,W483&gt;=75,W483&lt;120),0.17,0)+IF(AND(V483&gt;=40,V483&lt;75,W483&gt;=120),0.12,0)+IF(AND(V483&gt;=75,V483&lt;175,W483&lt;35),0.3,0)+IF(AND(V483&gt;=75,V483&lt;=175,W483&gt;=35,W483&lt;65),0.23,0)+IF(AND(V483&gt;=75,V483&lt;=175,W483&gt;=65,W483&lt;110),0.17,0)+IF(AND(V483&gt;=75,V483&lt;=175,W483&gt;=110),0.12,0)+IF(AND(V483&gt;175,W483&lt;25),0.3,0)+IF(AND(V483&gt;175,W483&gt;=25,W483&lt;55),0.23,0)+IF(AND(V483&gt;175,W483&gt;=55,W483&lt;95),0.17,0)+IF(AND(V483&gt;175,W483&gt;=95),0.12,0),
IF(AF483="DoEVLo",IF(AND(V483&lt;20,W483&lt;55),0.25,0)+IF(AND(V483&lt;20,W483&gt;=55,W483&lt;105),0.2,0)+IF(AND(V483&lt;20,W483&gt;=105),0.15,0)+IF(AND(V483&gt;=20,V483&lt;40,W483&lt;45),0.25,0)+IF(AND(V483&gt;=20,V483&lt;40,W483&gt;=45,W483&lt;95),0.2,0)+IF(AND(V483&gt;=20,V483&lt;40,W483&gt;=95),0.15,0)+IF(AND(V483&gt;=40,V483&lt;75,W483&lt;35),0.25,0)+IF(AND(V483&gt;=40,V483&lt;75,W483&gt;=35,W483&lt;75),0.2,0)+IF(AND(V483&gt;=40,V483&lt;75,W483&gt;=75,W483&lt;120),0.15,0)+IF(AND(V483&gt;=40,V483&lt;75,W483&gt;=120),0.1,0)+IF(AND(V483&gt;=75,V483&lt;175,W483&lt;35),0.25,0)+IF(AND(V483&gt;=75,V483&lt;=175,W483&gt;=35,W483&lt;65),0.2,0)+IF(AND(V483&gt;=75,V483&lt;=175,W483&gt;=65,W483&lt;110),0.15,0)+IF(AND(V483&gt;=75,V483&lt;=175,W483&gt;=110),0.1,0)+IF(AND(V483&gt;175,W483&lt;25),0.25,0)+IF(AND(V483&gt;175,W483&gt;=25,W483&lt;55),0.2,0)+IF(AND(V483&gt;175,W483&gt;=55,W483&lt;95),0.15,0)+IF(AND(V483&gt;175,W483&gt;=95),0.1,0))))))))))))))))</f>
        <v>0.15</v>
      </c>
      <c r="Y483" s="30">
        <f>IF(AG483="None",0,IF(AG483="Fix5",0.05,IF(AG483="Fix3.75",0.0375,IF(AG483="Fix10",0.1,IF(AG483="Fix3",0.03,0)))))</f>
        <v>0.05</v>
      </c>
      <c r="Z483" s="59">
        <v>-2317</v>
      </c>
      <c r="AA483" s="60">
        <v>-579</v>
      </c>
      <c r="AB483" s="36"/>
      <c r="AC483" s="37" t="b">
        <v>0</v>
      </c>
      <c r="AD483" s="61" t="s">
        <v>38</v>
      </c>
      <c r="AE483" s="83" t="s">
        <v>38</v>
      </c>
      <c r="AF483" s="37" t="str">
        <f t="array" ref="AF483">INDEX('Deal Info'!D:D, MATCH(A483,'Deal Info'!A:A, 0))</f>
        <v>Fix15</v>
      </c>
      <c r="AG483" s="38" t="str">
        <f t="array" ref="AG483">INDEX('Deal Info'!G:G, MATCH(A483,'Deal Info'!A:A, 0))</f>
        <v>Fix5</v>
      </c>
    </row>
    <row r="484" spans="1:33" ht="14.25" hidden="1" x14ac:dyDescent="0.2">
      <c r="A484" s="18" t="str">
        <f t="array" ref="A484">IF(G484='Room Info'!$B$1, INDEX('Room Info'!$A$2:$A2446, MATCH(B484,'Room Info'!$B$2:$B2446, 0)),IF(G484='Room Info'!$C$1, INDEX('Room Info'!$A$2:$A2446, MATCH(B484,'Room Info'!$C$2:$C2446, 0)),IF(G484='Room Info'!$D$1, INDEX('Room Info'!$A$2:$A2446, MATCH(B484,'Room Info'!$D$2:$D2446, 0)),IF(G484='Room Info'!$E$1, INDEX('Room Info'!$A$2:$A2446, MATCH(B484,'Room Info'!$E$2:$E2446, 0)),IF(G484='Room Info'!$F$1, INDEX('Room Info'!$A$2:$A2446, MATCH(B484,'Room Info'!$F$2:$F2446, 0)),IF(G484='Room Info'!$H$1, INDEX('Room Info'!$A$2:$A2446, MATCH(B484,'Room Info'!$H$2:$H2446, 0)),IF(G484='Room Info'!$G$1, INDEX('Room Info'!$A$2:$A2446, MATCH(B484,'Room Info'!$G$2:$G2446, 0)))))))))</f>
        <v>fortunate773</v>
      </c>
      <c r="B484" s="45" t="s">
        <v>66</v>
      </c>
      <c r="C484" s="46">
        <v>44916</v>
      </c>
      <c r="D484" s="46">
        <v>44957</v>
      </c>
      <c r="E484" s="47">
        <v>44927</v>
      </c>
      <c r="F484" s="45" t="s">
        <v>49</v>
      </c>
      <c r="G484" s="54" t="s">
        <v>35</v>
      </c>
      <c r="H484" s="49" t="s">
        <v>143</v>
      </c>
      <c r="I484" s="49" t="s">
        <v>37</v>
      </c>
      <c r="J484" s="50">
        <v>1000</v>
      </c>
      <c r="K484" s="51">
        <v>1</v>
      </c>
      <c r="L484" s="52">
        <v>1000</v>
      </c>
      <c r="M484" s="53">
        <v>12</v>
      </c>
      <c r="N484" s="28">
        <f>K484*J484</f>
        <v>1000</v>
      </c>
      <c r="O484" s="54">
        <v>609</v>
      </c>
      <c r="P484" s="29">
        <v>609</v>
      </c>
      <c r="Q484" s="55"/>
      <c r="R484" s="31">
        <f>M484+Q484</f>
        <v>12</v>
      </c>
      <c r="S484" s="56">
        <v>1098</v>
      </c>
      <c r="T484" s="32">
        <f>R484+S484+IF(F484="Without EV deal",L484,0)</f>
        <v>1110</v>
      </c>
      <c r="U484" s="57">
        <v>1</v>
      </c>
      <c r="V484" s="58"/>
      <c r="W484" s="58"/>
      <c r="X484" s="30">
        <f>IF(AF484="DoEV",IF(AND(V484&lt;20,W484&lt;55),0.3,0)+IF(AND(V484&lt;20,W484&gt;=55,W484&lt;105),0.23,0)+IF(AND(V484&lt;20,W484&gt;=105),0.17,0)+IF(AND(V484&gt;=20,V484&lt;40,W484&lt;45),0.3,0)+IF(AND(V484&gt;=20,V484&lt;40,W484&gt;=45,W484&lt;95),0.23,0)+IF(AND(V484&gt;=20,V484&lt;40,W484&gt;=95),0.17,0)+IF(AND(V484&gt;=40,V484&lt;75,W484&lt;35),0.3,0)+IF(AND(V484&gt;=40,V484&lt;75,W484&gt;=35,W484&lt;75),0.23,0)+IF(AND(V484&gt;=40,V484&lt;75,W484&gt;=75,W484&lt;120),0.17,0)+IF(AND(V484&gt;=40,V484&lt;75,W484&gt;=120),0.12,0)+IF(AND(V484&gt;=75,V484&lt;175,W484&lt;35),0.3,0)+IF(AND(V484&gt;=75,V484&lt;=175,W484&gt;=35,W484&lt;65),0.23,0)+IF(AND(V484&gt;=75,V484&lt;=175,W484&gt;=65,W484&lt;110),0.17,0)+IF(AND(V484&gt;=75,V484&lt;=175,W484&gt;=110),0.12,0)+IF(AND(V484&gt;175,W484&lt;25),0.3,0)+IF(AND(V484&gt;175,W484&gt;=25,W484&lt;55),0.23,0)+IF(AND(V484&gt;175,W484&gt;=55,W484&lt;95),0.17,0)+IF(AND(V484&gt;175,W484&gt;=95),0.12,0),
IF(AF484="Fix15",0.15,
IF(AF484="Fix11.25",0.1125,
IF(AF484="Fix10",0.1,
IF(AF484="Fix9",0.09,
IF(AF484="DoEV2017",IF(AND(W484&lt;74),0.2,0)+IF(AND(W484&gt;=74),0.17,0),
IF(AF484="SF",IF(AND(V484&lt;20,W484&lt;89),0.3,0)+IF(AND(V484&lt;20,W484&gt;=89),0.25,0)+IF(AND(V484&gt;=20,V484&lt;40,W484&lt;74),0.3,0)+IF(AND(V484&gt;=20,V484&lt;40,W484&gt;=75),0.22,0)+IF(AND(V484&gt;=40,V484&lt;75,W484&lt;75),0.26,0)+IF(AND(V484&gt;=40,V484&lt;75,W484&gt;=75),0.22,0)+IF(V484&gt;=75,0.22,0),
IF(AF484="DoEVold",IF(AND(V484&lt;40,W484&lt;35),0.35,0)+IF(AND(V484&lt;40,W484&gt;=35,W484&lt;75),0.25,0)+IF(AND(V484&lt;40,W484&gt;=75),0.17,0)+IF(AND(V484&gt;=40,V484&lt;75,W484&lt;25),0.35,0)+IF(AND(V484&gt;=40,V484&lt;75,W484&gt;=25,W484&lt;65),0.25,0)+IF(AND(V484&gt;=40,V484&lt;75,W484&gt;=65,W484&lt;100),0.17,0)+IF(AND(V484&gt;=40,V484&lt;75,W484&gt;=100),0.1,0)+IF(AND(V484&gt;=75,W484&lt;25),0.35,0)+IF(AND(V484&gt;=75,W484&gt;=25,W484&lt;60),0.25,0)+IF(AND(V484&gt;=75,W484&gt;=60,W484&lt;95),0.17,0)+IF(AND(V484&gt;=75,W484&gt;=95),0.1,0),
IF(AF484="DoEVold15",IF(AND(V484&lt;=40,W484&lt;35),0.35,0)+IF(AND(V484&lt;=40,W484&gt;=35,W484&lt;75),0.25,0)+IF(AND(V484&lt;=40,W484&gt;=75,W484&lt;120),0.17,0)+IF(AND(V484&lt;=40,W484&gt;=120),0.15,0)+IF(AND(V484&gt;40,V484&lt;75,W484&lt;25),0.35,0)+IF(AND(V484&gt;=40,V484&lt;75,W484&gt;=25,W484&lt;65),0.25,0)+IF(AND(V484&gt;=40,V484&lt;75,W484&gt;=65,W484&lt;100),0.17,0)+IF(AND(V484&gt;=40,V484&lt;75,W484&gt;=100),0.1,0)+IF(AND(V484&gt;=75,W484&lt;25),0.35,0)+IF(AND(V484&gt;=75,W484&gt;=25,W484&lt;60),0.25,0)+IF(AND(V484&gt;=75,W484&gt;=60,W484&lt;95),0.17,0)+IF(AND(V484&gt;=75,W484&gt;=95),0.1,0),
IF(AF484="DoEVba",IF(AND(V484&lt;20,W484&lt;105),0.2,0)+IF(AND(V484&lt;20,W484&gt;=105),0.15,0)+IF(AND(V484&gt;=20,V484&lt;40,W484&lt;95),0.2,0)+IF(AND(V484&gt;=20,V484&lt;40,W484&gt;=95,W484&lt;150),0.15,0)+IF(AND(V484&gt;=20,V484&lt;40,W484&gt;=150),0.12,0)+IF(AND(V484&gt;=40,V484&lt;75,W484&lt;75),0.2,0)+IF(AND(V484&gt;=40,V484&lt;75,W484&gt;=75,W484&lt;120),0.15,0)+IF(AND(V484&gt;=40,V484&lt;75,W484&gt;=120),0.12,0)+IF(AND(V484&gt;=75,V484&lt;175,W484&lt;65),0.2,0)+IF(AND(V484&gt;=75,V484&lt;175,W484&gt;=65,W484&lt;110),0.15,0)+IF(AND(V484&gt;=75,V484&lt;175,W484&gt;=110),0.12,0)+IF(AND(V484&gt;=175,W484&lt;55),0.2,0)+IF(AND(V484&gt;=175,W484&gt;=55,W484&lt;95),0.15,0)+IF(AND(V484&gt;=175,W484&gt;=95),0.12,0),
IF(AF484="DoEVku",IF(AND(V484&lt;20,W484&lt;55),0.23,0)+IF(AND(V484&lt;20,W484&gt;=55,W484&lt;105),0.2,0)+IF(AND(V484&lt;20,W484&gt;=105),0.17,0)+IF(AND(V484&gt;=20,V484&lt;40,W484&lt;45),0.23,0)+IF(AND(V484&gt;=20,V484&lt;40,W484&gt;=45,W484&lt;95),0.2,0)+IF(AND(V484&gt;=20,V484&lt;40,W484&gt;=95,W484&lt;=150),0.17,0)+IF(AND(V484&gt;=20,V484&lt;40,W484&gt;=150),0.12,0)+IF(AND(V484&gt;=40,V484&lt;75,W484&lt;35),0.23,0)+IF(AND(V484&gt;=40,V484&lt;75,W484&gt;=35,W484&lt;75),0.2,0)+IF(AND(V484&gt;=40,V484&lt;75,W484&gt;=75,W484&lt;120),0.17,0)+IF(AND(V484&gt;=40,V484&lt;75,W484&gt;=120),0.12,0)+IF(AND(V484&gt;=75,V484&lt;175,W484&lt;35),0.23,0)+IF(AND(V484&gt;=75,V484&lt;=175,W484&gt;=35,W484&lt;65),0.2,0)+IF(AND(V484&gt;=75,V484&lt;=175,W484&gt;=65,W484&lt;110),0.17,0)+IF(AND(V484&gt;=75,V484&lt;=175,W484&gt;=110),0.12,0)+IF(AND(V484&gt;175,W484&lt;25),0.23,0)+IF(AND(V484&gt;175,W484&gt;=25,W484&lt;55),0.2,0)+IF(AND(V484&gt;175,W484&gt;=55,W484&lt;95),0.17,0)+IF(AND(V484&gt;175,W484&gt;=95),0.12,0),
IF(AF484="DoEVs1",IF(AND(V484&lt;20,W484&lt;55),0.3,0)+IF(AND(V484&lt;20,W484&gt;=55,W484&lt;105),0.23,0)+IF(AND(V484&lt;20,W484&gt;=105),0.17,0)+IF(AND(V484&gt;=20,V484&lt;40,W484&lt;45),0.3,0)+IF(AND(V484&gt;=20,V484&lt;40,W484&gt;=45,W484&lt;95),0.23,0)+IF(AND(V484&gt;=20,V484&lt;40,W484&gt;=95,W484&lt;=150),0.17,0)+IF(AND(V484&gt;=20,V484&lt;40,W484&gt;=150),0.12,0)+IF(AND(V484&gt;=40,V484&lt;75,W484&lt;35),0.3,0)+IF(AND(V484&gt;=40,V484&lt;75,W484&gt;=35,W484&lt;75),0.23,0)+IF(AND(V484&gt;=40,V484&lt;75,W484&gt;=75,W484&lt;120),0.17,0)+IF(AND(V484&gt;=40,V484&lt;75,W484&gt;=120),0.12,0)+IF(AND(V484&gt;=75,V484&lt;175,W484&lt;35),0.3,0)+IF(AND(V484&gt;=75,V484&lt;=175,W484&gt;=35,W484&lt;65),0.23,0)+IF(AND(V484&gt;=75,V484&lt;=175,W484&gt;=65,W484&lt;110),0.17,0)+IF(AND(V484&gt;=75,V484&lt;=175,W484&gt;=110),0.12,0)+IF(AND(V484&gt;175,W484&lt;25),0.3,0)+IF(AND(V484&gt;175,W484&gt;=25,W484&lt;55),0.23,0)+IF(AND(V484&gt;175,W484&gt;=55,W484&lt;95),0.17,0)+IF(AND(V484&gt;175,W484&gt;=95),0.12,0),
IF(AF484="DoEVsu",IF(AND(V484&lt;20,W484&lt;55),0.3,0)+IF(AND(V484&lt;20,W484&gt;=55,W484&lt;105),0.23,0)+IF(AND(V484&lt;20,W484&gt;=105),0.17,0)+IF(AND(V484&gt;=20,V484&lt;40,W484&lt;45),0.3,0)+IF(AND(V484&gt;=20,V484&lt;40,W484&gt;=45,W484&lt;95),0.23,0)+IF(AND(V484&gt;=20,V484&lt;40,W484&gt;=95,W484&lt;=250),0.17,0)+IF(AND(V484&gt;=20,V484&lt;40,W484&gt;=250),0.12,0)+IF(AND(V484&gt;=40,V484&lt;75,W484&lt;35),0.3,0)+IF(AND(V484&gt;=40,V484&lt;75,W484&gt;=35,W484&lt;75),0.23,0)+IF(AND(V484&gt;=40,V484&lt;75,W484&gt;=75,W484&lt;120),0.17,0)+IF(AND(V484&gt;=40,V484&lt;75,W484&gt;=120),0.12,0)+IF(AND(V484&gt;=75,V484&lt;175,W484&lt;35),0.3,0)+IF(AND(V484&gt;=75,V484&lt;=175,W484&gt;=35,W484&lt;65),0.23,0)+IF(AND(V484&gt;=75,V484&lt;=175,W484&gt;=65,W484&lt;110),0.17,0)+IF(AND(V484&gt;=75,V484&lt;=175,W484&gt;=110),0.12,0)+IF(AND(V484&gt;175,W484&lt;25),0.3,0)+IF(AND(V484&gt;175,W484&gt;=25,W484&lt;55),0.23,0)+IF(AND(V484&gt;175,W484&gt;=55,W484&lt;95),0.17,0)+IF(AND(V484&gt;175,W484&gt;=95),0.12,0),
IF(AF484="DoEVni",IF(AND(V484&lt;20,W484&lt;55),0.3,0)+IF(AND(V484&lt;20,W484&gt;=55,W484&lt;105),0.23,0)+IF(AND(V484&lt;20,W484&gt;=105),0.17,0)+IF(AND(V484&gt;=20,V484&lt;40,W484&lt;45),0.3,0)+IF(AND(V484&gt;=20,V484&lt;40,W484&gt;=45,W484&lt;95),0.23,0)+IF(AND(V484&gt;=20,V484&lt;40,W484&gt;=95,W484&lt;=200),0.17,0)+IF(AND(V484&gt;=20,V484&lt;40,W484&gt;=200),0.12,0)+IF(AND(V484&gt;=40,V484&lt;75,W484&lt;35),0.3,0)+IF(AND(V484&gt;=40,V484&lt;75,W484&gt;=35,W484&lt;75),0.23,0)+IF(AND(V484&gt;=40,V484&lt;75,W484&gt;=75,W484&lt;120),0.17,0)+IF(AND(V484&gt;=40,V484&lt;75,W484&gt;=120),0.12,0)+IF(AND(V484&gt;=75,V484&lt;175,W484&lt;35),0.3,0)+IF(AND(V484&gt;=75,V484&lt;=175,W484&gt;=35,W484&lt;65),0.23,0)+IF(AND(V484&gt;=75,V484&lt;=175,W484&gt;=65,W484&lt;110),0.17,0)+IF(AND(V484&gt;=75,V484&lt;=175,W484&gt;=110),0.12,0)+IF(AND(V484&gt;175,W484&lt;25),0.3,0)+IF(AND(V484&gt;175,W484&gt;=25,W484&lt;55),0.23,0)+IF(AND(V484&gt;175,W484&gt;=55,W484&lt;95),0.17,0)+IF(AND(V484&gt;175,W484&gt;=95),0.12,0),
IF(AF484="DoEVLo",IF(AND(V484&lt;20,W484&lt;55),0.25,0)+IF(AND(V484&lt;20,W484&gt;=55,W484&lt;105),0.2,0)+IF(AND(V484&lt;20,W484&gt;=105),0.15,0)+IF(AND(V484&gt;=20,V484&lt;40,W484&lt;45),0.25,0)+IF(AND(V484&gt;=20,V484&lt;40,W484&gt;=45,W484&lt;95),0.2,0)+IF(AND(V484&gt;=20,V484&lt;40,W484&gt;=95),0.15,0)+IF(AND(V484&gt;=40,V484&lt;75,W484&lt;35),0.25,0)+IF(AND(V484&gt;=40,V484&lt;75,W484&gt;=35,W484&lt;75),0.2,0)+IF(AND(V484&gt;=40,V484&lt;75,W484&gt;=75,W484&lt;120),0.15,0)+IF(AND(V484&gt;=40,V484&lt;75,W484&gt;=120),0.1,0)+IF(AND(V484&gt;=75,V484&lt;175,W484&lt;35),0.25,0)+IF(AND(V484&gt;=75,V484&lt;=175,W484&gt;=35,W484&lt;65),0.2,0)+IF(AND(V484&gt;=75,V484&lt;=175,W484&gt;=65,W484&lt;110),0.15,0)+IF(AND(V484&gt;=75,V484&lt;=175,W484&gt;=110),0.1,0)+IF(AND(V484&gt;175,W484&lt;25),0.25,0)+IF(AND(V484&gt;175,W484&gt;=25,W484&lt;55),0.2,0)+IF(AND(V484&gt;175,W484&gt;=55,W484&lt;95),0.15,0)+IF(AND(V484&gt;175,W484&gt;=95),0.1,0))))))))))))))))</f>
        <v>0.15</v>
      </c>
      <c r="Y484" s="30">
        <f>IF(AG484="None",0,IF(AG484="Fix5",0.05,IF(AG484="Fix3.75",0.0375,IF(AG484="Fix10",0.1,IF(AG484="Fix3",0.03,0)))))</f>
        <v>0.05</v>
      </c>
      <c r="Z484" s="59">
        <v>888</v>
      </c>
      <c r="AA484" s="60">
        <v>222</v>
      </c>
      <c r="AB484" s="36"/>
      <c r="AC484" s="37" t="b">
        <v>0</v>
      </c>
      <c r="AD484" s="61" t="s">
        <v>38</v>
      </c>
      <c r="AE484" s="83" t="s">
        <v>38</v>
      </c>
      <c r="AF484" s="37" t="str">
        <f t="array" ref="AF484">INDEX('Deal Info'!D:D, MATCH(A484,'Deal Info'!A:A, 0))</f>
        <v>Fix15</v>
      </c>
      <c r="AG484" s="38" t="str">
        <f t="array" ref="AG484">INDEX('Deal Info'!G:G, MATCH(A484,'Deal Info'!A:A, 0))</f>
        <v>Fix5</v>
      </c>
    </row>
    <row r="485" spans="1:33" ht="14.25" x14ac:dyDescent="0.2">
      <c r="A485" s="18" t="str">
        <f t="array" ref="A485">IF(G485='Room Info'!$B$1, INDEX('Room Info'!$A$2:$A2446, MATCH(B485,'Room Info'!$B$2:$B2446, 0)),IF(G485='Room Info'!$C$1, INDEX('Room Info'!$A$2:$A2446, MATCH(B485,'Room Info'!$C$2:$C2446, 0)),IF(G485='Room Info'!$D$1, INDEX('Room Info'!$A$2:$A2446, MATCH(B485,'Room Info'!$D$2:$D2446, 0)),IF(G485='Room Info'!$E$1, INDEX('Room Info'!$A$2:$A2446, MATCH(B485,'Room Info'!$E$2:$E2446, 0)),IF(G485='Room Info'!$F$1, INDEX('Room Info'!$A$2:$A2446, MATCH(B485,'Room Info'!$F$2:$F2446, 0)),IF(G485='Room Info'!$H$1, INDEX('Room Info'!$A$2:$A2446, MATCH(B485,'Room Info'!$H$2:$H2446, 0)),IF(G485='Room Info'!$G$1, INDEX('Room Info'!$A$2:$A2446, MATCH(B485,'Room Info'!$G$2:$G2446, 0)))))))))</f>
        <v>Mackevgen</v>
      </c>
      <c r="B485" s="45" t="s">
        <v>128</v>
      </c>
      <c r="C485" s="111">
        <v>44835</v>
      </c>
      <c r="D485" s="111">
        <v>44865</v>
      </c>
      <c r="E485" s="47">
        <v>44835</v>
      </c>
      <c r="F485" s="48" t="s">
        <v>49</v>
      </c>
      <c r="G485" s="65" t="s">
        <v>61</v>
      </c>
      <c r="H485" s="49" t="s">
        <v>57</v>
      </c>
      <c r="I485" s="49" t="s">
        <v>101</v>
      </c>
      <c r="J485" s="50">
        <v>50</v>
      </c>
      <c r="K485" s="123">
        <v>2612</v>
      </c>
      <c r="L485" s="113">
        <v>-3900</v>
      </c>
      <c r="M485" s="53">
        <v>0</v>
      </c>
      <c r="N485" s="28">
        <f>K485*J485</f>
        <v>130600</v>
      </c>
      <c r="O485" s="65">
        <v>100832</v>
      </c>
      <c r="P485" s="29">
        <v>38.603369069999999</v>
      </c>
      <c r="Q485" s="55"/>
      <c r="R485" s="31">
        <f>M485+Q485</f>
        <v>0</v>
      </c>
      <c r="S485" s="66">
        <v>-2750</v>
      </c>
      <c r="T485" s="32">
        <f>R485+S485+IF(F485="Without EV deal",L485,0)</f>
        <v>-2750</v>
      </c>
      <c r="U485" s="57">
        <v>1</v>
      </c>
      <c r="V485" s="69"/>
      <c r="W485" s="69"/>
      <c r="X485" s="30">
        <v>0.23</v>
      </c>
      <c r="Y485" s="30">
        <f>IF(AG485="None",0,IF(AG485="Fix5",0.05, IF(AG485="Fix6.25",0.0625,IF(AG485="Fix3.75",0.0375,IF(AG485="Fix10",0.1,IF(AG485="Fix3",0.03,0))))))</f>
        <v>0</v>
      </c>
      <c r="Z485" s="35">
        <f>T485-AA485-AB485</f>
        <v>-2117</v>
      </c>
      <c r="AA485" s="29">
        <v>-633</v>
      </c>
      <c r="AB485" s="36">
        <f>IF(AD485="EUR",((T485-R485)*Y485)*U485+(R485*Y485),(T485*Y485))</f>
        <v>0</v>
      </c>
      <c r="AC485" s="37" t="b">
        <v>1</v>
      </c>
      <c r="AD485" s="61" t="s">
        <v>38</v>
      </c>
      <c r="AE485" s="61" t="s">
        <v>38</v>
      </c>
      <c r="AF485" s="37" t="str">
        <f t="array" ref="AF485">INDEX('Deal Info'!D:D, MATCH(A485,'Deal Info'!A:A, 0))</f>
        <v>DoEV</v>
      </c>
      <c r="AG485" s="38" t="str">
        <f t="array" ref="AG485">INDEX('Deal Info'!G:G, MATCH(A485,'Deal Info'!A:A, 0))</f>
        <v>None</v>
      </c>
    </row>
    <row r="486" spans="1:33" ht="14.25" hidden="1" x14ac:dyDescent="0.2">
      <c r="A486" s="18" t="str">
        <f t="array" ref="A486">IF(G486='Room Info'!$B$1, INDEX('Room Info'!$A$2:$A2446, MATCH(B486,'Room Info'!$B$2:$B2446, 0)),IF(G486='Room Info'!$C$1, INDEX('Room Info'!$A$2:$A2446, MATCH(B486,'Room Info'!$C$2:$C2446, 0)),IF(G486='Room Info'!$D$1, INDEX('Room Info'!$A$2:$A2446, MATCH(B486,'Room Info'!$D$2:$D2446, 0)),IF(G486='Room Info'!$E$1, INDEX('Room Info'!$A$2:$A2446, MATCH(B486,'Room Info'!$E$2:$E2446, 0)),IF(G486='Room Info'!$F$1, INDEX('Room Info'!$A$2:$A2446, MATCH(B486,'Room Info'!$F$2:$F2446, 0)),IF(G486='Room Info'!$H$1, INDEX('Room Info'!$A$2:$A2446, MATCH(B486,'Room Info'!$H$2:$H2446, 0)),IF(G486='Room Info'!$G$1, INDEX('Room Info'!$A$2:$A2446, MATCH(B486,'Room Info'!$G$2:$G2446, 0)))))))))</f>
        <v>mr_al3x</v>
      </c>
      <c r="B486" s="45" t="s">
        <v>144</v>
      </c>
      <c r="C486" s="46">
        <v>44687</v>
      </c>
      <c r="D486" s="46">
        <v>44712</v>
      </c>
      <c r="E486" s="47">
        <v>44682</v>
      </c>
      <c r="F486" s="48" t="s">
        <v>49</v>
      </c>
      <c r="G486" s="45" t="s">
        <v>35</v>
      </c>
      <c r="H486" s="49" t="s">
        <v>72</v>
      </c>
      <c r="I486" s="49" t="s">
        <v>37</v>
      </c>
      <c r="J486" s="50">
        <v>50</v>
      </c>
      <c r="K486" s="51">
        <v>7</v>
      </c>
      <c r="L486" s="52">
        <v>-100</v>
      </c>
      <c r="M486" s="53">
        <v>17</v>
      </c>
      <c r="N486" s="28">
        <f>K486*J486</f>
        <v>350</v>
      </c>
      <c r="O486" s="54">
        <v>-1417</v>
      </c>
      <c r="P486" s="29">
        <v>-202.42857140000001</v>
      </c>
      <c r="Q486" s="55"/>
      <c r="R486" s="31">
        <f>M486+Q486</f>
        <v>17</v>
      </c>
      <c r="S486" s="56">
        <v>-154</v>
      </c>
      <c r="T486" s="32">
        <f>R486+S486+IF(F486="Without EV deal",L486,0)</f>
        <v>-137</v>
      </c>
      <c r="U486" s="57">
        <v>1</v>
      </c>
      <c r="V486" s="58"/>
      <c r="W486" s="58"/>
      <c r="X486" s="78">
        <v>0.17</v>
      </c>
      <c r="Y486" s="30">
        <f>IF(AG486="None",0,IF(AG486="Fix5",0.05,IF(AG486="Fix3.75",0.0375,IF(AG486="Fix10",0.1,IF(AG486="Fix3",0.03,0)))))</f>
        <v>0</v>
      </c>
      <c r="Z486" s="35">
        <f>T486-AA486-AB486</f>
        <v>-113.71</v>
      </c>
      <c r="AA486" s="29">
        <f>IF(AD486="EUR",((T486-R486)*X486)*U486+(R486*X486),(T486*X486))</f>
        <v>-23.290000000000003</v>
      </c>
      <c r="AB486" s="36">
        <f>IF(AD486="EUR",((T486-R486)*Y486)*U486+(R486*Y486),(T486*Y486))</f>
        <v>0</v>
      </c>
      <c r="AC486" s="37" t="b">
        <v>1</v>
      </c>
      <c r="AD486" s="37" t="s">
        <v>38</v>
      </c>
      <c r="AE486" s="37" t="s">
        <v>38</v>
      </c>
      <c r="AF486" s="37" t="str">
        <f t="array" ref="AF486">INDEX('Deal Info'!D:D, MATCH(A486,'Deal Info'!A:A, 0))</f>
        <v>DoEVold15</v>
      </c>
      <c r="AG486" s="38" t="str">
        <f t="array" ref="AG486">INDEX('Deal Info'!G:G, MATCH(A486,'Deal Info'!A:A, 0))</f>
        <v>None</v>
      </c>
    </row>
    <row r="487" spans="1:33" ht="14.25" hidden="1" x14ac:dyDescent="0.2">
      <c r="A487" s="18" t="str">
        <f t="array" ref="A487">IF(G487='Room Info'!$B$1, INDEX('Room Info'!$A$2:$A2446, MATCH(B487,'Room Info'!$B$2:$B2446, 0)),IF(G487='Room Info'!$C$1, INDEX('Room Info'!$A$2:$A2446, MATCH(B487,'Room Info'!$C$2:$C2446, 0)),IF(G487='Room Info'!$D$1, INDEX('Room Info'!$A$2:$A2446, MATCH(B487,'Room Info'!$D$2:$D2446, 0)),IF(G487='Room Info'!$E$1, INDEX('Room Info'!$A$2:$A2446, MATCH(B487,'Room Info'!$E$2:$E2446, 0)),IF(G487='Room Info'!$F$1, INDEX('Room Info'!$A$2:$A2446, MATCH(B487,'Room Info'!$F$2:$F2446, 0)),IF(G487='Room Info'!$H$1, INDEX('Room Info'!$A$2:$A2446, MATCH(B487,'Room Info'!$H$2:$H2446, 0)),IF(G487='Room Info'!$G$1, INDEX('Room Info'!$A$2:$A2446, MATCH(B487,'Room Info'!$G$2:$G2446, 0)))))))))</f>
        <v>mr_al3x</v>
      </c>
      <c r="B487" s="45" t="s">
        <v>144</v>
      </c>
      <c r="C487" s="46">
        <v>44713</v>
      </c>
      <c r="D487" s="46">
        <v>44736</v>
      </c>
      <c r="E487" s="47">
        <v>44713</v>
      </c>
      <c r="F487" s="48" t="s">
        <v>41</v>
      </c>
      <c r="G487" s="45" t="s">
        <v>35</v>
      </c>
      <c r="H487" s="49" t="s">
        <v>72</v>
      </c>
      <c r="I487" s="49" t="s">
        <v>37</v>
      </c>
      <c r="J487" s="50">
        <v>50</v>
      </c>
      <c r="K487" s="51">
        <v>85</v>
      </c>
      <c r="L487" s="52">
        <v>-50</v>
      </c>
      <c r="M487" s="53">
        <v>44</v>
      </c>
      <c r="N487" s="28">
        <f>K487*J487</f>
        <v>4250</v>
      </c>
      <c r="O487" s="65"/>
      <c r="P487" s="29">
        <v>0</v>
      </c>
      <c r="Q487" s="55"/>
      <c r="R487" s="31">
        <f>M487+Q487</f>
        <v>44</v>
      </c>
      <c r="S487" s="66"/>
      <c r="T487" s="32">
        <f>R487+S487+IF(F487="Without EV deal",L487,0)</f>
        <v>-6</v>
      </c>
      <c r="U487" s="57">
        <v>1</v>
      </c>
      <c r="V487" s="58"/>
      <c r="W487" s="58"/>
      <c r="X487" s="78">
        <v>0.15</v>
      </c>
      <c r="Y487" s="30">
        <f>IF(AG487="None",0,IF(AG487="Fix5",0.05,IF(AG487="Fix3.75",0.0375,IF(AG487="Fix10",0.1,IF(AG487="Fix3",0.03,0)))))</f>
        <v>0</v>
      </c>
      <c r="Z487" s="35">
        <f>T487-AA487-AB487</f>
        <v>-5.0999999999999996</v>
      </c>
      <c r="AA487" s="29">
        <f>IF(AD487="EUR",((T487-R487)*X487)*U487+(R487*X487),(T487*X487))</f>
        <v>-0.89999999999999991</v>
      </c>
      <c r="AB487" s="36">
        <f>IF(AD487="EUR",((T487-R487)*Y487)*U487+(R487*Y487),(T487*Y487))</f>
        <v>0</v>
      </c>
      <c r="AC487" s="37" t="b">
        <v>1</v>
      </c>
      <c r="AD487" s="37" t="s">
        <v>38</v>
      </c>
      <c r="AE487" s="37" t="s">
        <v>38</v>
      </c>
      <c r="AF487" s="37" t="str">
        <f t="array" ref="AF487">INDEX('Deal Info'!D:D, MATCH(A487,'Deal Info'!A:A, 0))</f>
        <v>DoEVold15</v>
      </c>
      <c r="AG487" s="38" t="str">
        <f t="array" ref="AG487">INDEX('Deal Info'!G:G, MATCH(A487,'Deal Info'!A:A, 0))</f>
        <v>None</v>
      </c>
    </row>
    <row r="488" spans="1:33" ht="14.25" hidden="1" x14ac:dyDescent="0.2">
      <c r="A488" s="18" t="str">
        <f t="array" ref="A488">IF(G488='Room Info'!$B$1, INDEX('Room Info'!$A$2:$A2446, MATCH(B488,'Room Info'!$B$2:$B2446, 0)),IF(G488='Room Info'!$C$1, INDEX('Room Info'!$A$2:$A2446, MATCH(B488,'Room Info'!$C$2:$C2446, 0)),IF(G488='Room Info'!$D$1, INDEX('Room Info'!$A$2:$A2446, MATCH(B488,'Room Info'!$D$2:$D2446, 0)),IF(G488='Room Info'!$E$1, INDEX('Room Info'!$A$2:$A2446, MATCH(B488,'Room Info'!$E$2:$E2446, 0)),IF(G488='Room Info'!$F$1, INDEX('Room Info'!$A$2:$A2446, MATCH(B488,'Room Info'!$F$2:$F2446, 0)),IF(G488='Room Info'!$H$1, INDEX('Room Info'!$A$2:$A2446, MATCH(B488,'Room Info'!$H$2:$H2446, 0)),IF(G488='Room Info'!$G$1, INDEX('Room Info'!$A$2:$A2446, MATCH(B488,'Room Info'!$G$2:$G2446, 0)))))))))</f>
        <v>mr_al3x</v>
      </c>
      <c r="B488" s="45" t="s">
        <v>144</v>
      </c>
      <c r="C488" s="46">
        <v>44713</v>
      </c>
      <c r="D488" s="46">
        <v>44742</v>
      </c>
      <c r="E488" s="47">
        <v>44713</v>
      </c>
      <c r="F488" s="48" t="s">
        <v>49</v>
      </c>
      <c r="G488" s="45" t="s">
        <v>35</v>
      </c>
      <c r="H488" s="49" t="s">
        <v>46</v>
      </c>
      <c r="I488" s="49" t="s">
        <v>37</v>
      </c>
      <c r="J488" s="70">
        <v>25</v>
      </c>
      <c r="K488" s="71">
        <v>2074</v>
      </c>
      <c r="L488" s="72">
        <v>2575</v>
      </c>
      <c r="M488" s="53">
        <v>1763</v>
      </c>
      <c r="N488" s="28">
        <f>K488*J488</f>
        <v>51850</v>
      </c>
      <c r="O488" s="45">
        <v>77743</v>
      </c>
      <c r="P488" s="29">
        <v>37.48457088</v>
      </c>
      <c r="Q488" s="55"/>
      <c r="R488" s="31">
        <f>M488+Q488</f>
        <v>1763</v>
      </c>
      <c r="S488" s="73">
        <v>17</v>
      </c>
      <c r="T488" s="32">
        <f>R488+S488+IF(F488="Without EV deal",L488,0)</f>
        <v>1780</v>
      </c>
      <c r="U488" s="57">
        <v>1</v>
      </c>
      <c r="V488" s="58"/>
      <c r="W488" s="58"/>
      <c r="X488" s="78">
        <v>0.15</v>
      </c>
      <c r="Y488" s="30">
        <f>IF(AG488="None",0,IF(AG488="Fix5",0.05,IF(AG488="Fix3.75",0.0375,IF(AG488="Fix10",0.1,IF(AG488="Fix3",0.03,0)))))</f>
        <v>0</v>
      </c>
      <c r="Z488" s="35">
        <f>T488-AA488-AB488</f>
        <v>1513</v>
      </c>
      <c r="AA488" s="29">
        <f>IF(AD488="EUR",((T488-R488)*X488)*U488+(R488*X488),(T488*X488))</f>
        <v>267</v>
      </c>
      <c r="AB488" s="36">
        <f>IF(AD488="EUR",((T488-R488)*Y488)*U488+(R488*Y488),(T488*Y488))</f>
        <v>0</v>
      </c>
      <c r="AC488" s="37" t="b">
        <v>1</v>
      </c>
      <c r="AD488" s="37" t="s">
        <v>38</v>
      </c>
      <c r="AE488" s="37" t="s">
        <v>38</v>
      </c>
      <c r="AF488" s="37" t="str">
        <f t="array" ref="AF488">INDEX('Deal Info'!D:D, MATCH(A488,'Deal Info'!A:A, 0))</f>
        <v>DoEVold15</v>
      </c>
      <c r="AG488" s="38" t="str">
        <f t="array" ref="AG488">INDEX('Deal Info'!G:G, MATCH(A488,'Deal Info'!A:A, 0))</f>
        <v>None</v>
      </c>
    </row>
    <row r="489" spans="1:33" ht="14.25" hidden="1" x14ac:dyDescent="0.2">
      <c r="A489" s="18" t="str">
        <f t="array" ref="A489">IF(G489='Room Info'!$B$1, INDEX('Room Info'!$A$2:$A2446, MATCH(B489,'Room Info'!$B$2:$B2446, 0)),IF(G489='Room Info'!$C$1, INDEX('Room Info'!$A$2:$A2446, MATCH(B489,'Room Info'!$C$2:$C2446, 0)),IF(G489='Room Info'!$D$1, INDEX('Room Info'!$A$2:$A2446, MATCH(B489,'Room Info'!$D$2:$D2446, 0)),IF(G489='Room Info'!$E$1, INDEX('Room Info'!$A$2:$A2446, MATCH(B489,'Room Info'!$E$2:$E2446, 0)),IF(G489='Room Info'!$F$1, INDEX('Room Info'!$A$2:$A2446, MATCH(B489,'Room Info'!$F$2:$F2446, 0)),IF(G489='Room Info'!$H$1, INDEX('Room Info'!$A$2:$A2446, MATCH(B489,'Room Info'!$H$2:$H2446, 0)),IF(G489='Room Info'!$G$1, INDEX('Room Info'!$A$2:$A2446, MATCH(B489,'Room Info'!$G$2:$G2446, 0)))))))))</f>
        <v>mr_al3x</v>
      </c>
      <c r="B489" s="45" t="s">
        <v>144</v>
      </c>
      <c r="C489" s="46">
        <v>44737</v>
      </c>
      <c r="D489" s="46">
        <v>44742</v>
      </c>
      <c r="E489" s="47">
        <v>44713</v>
      </c>
      <c r="F489" s="48" t="s">
        <v>49</v>
      </c>
      <c r="G489" s="45" t="s">
        <v>35</v>
      </c>
      <c r="H489" s="49" t="s">
        <v>72</v>
      </c>
      <c r="I489" s="49" t="s">
        <v>37</v>
      </c>
      <c r="J489" s="70">
        <v>50</v>
      </c>
      <c r="K489" s="71">
        <v>378</v>
      </c>
      <c r="L489" s="72">
        <v>1750</v>
      </c>
      <c r="M489" s="53">
        <v>743</v>
      </c>
      <c r="N489" s="28">
        <f>K489*J489</f>
        <v>18900</v>
      </c>
      <c r="O489" s="45">
        <v>29319</v>
      </c>
      <c r="P489" s="29">
        <v>77.563492060000002</v>
      </c>
      <c r="Q489" s="55"/>
      <c r="R489" s="31">
        <f>M489+Q489</f>
        <v>743</v>
      </c>
      <c r="S489" s="73">
        <v>1404</v>
      </c>
      <c r="T489" s="32">
        <f>R489+S489+IF(F489="Without EV deal",L489,0)</f>
        <v>2147</v>
      </c>
      <c r="U489" s="57">
        <v>1</v>
      </c>
      <c r="V489" s="58"/>
      <c r="W489" s="58"/>
      <c r="X489" s="78">
        <v>0.15</v>
      </c>
      <c r="Y489" s="30">
        <f>IF(AG489="None",0,IF(AG489="Fix5",0.05,IF(AG489="Fix3.75",0.0375,IF(AG489="Fix10",0.1,IF(AG489="Fix3",0.03,0)))))</f>
        <v>0</v>
      </c>
      <c r="Z489" s="35">
        <f>T489-AA489-AB489</f>
        <v>1824.95</v>
      </c>
      <c r="AA489" s="29">
        <f>IF(AD489="EUR",((T489-R489)*X489)*U489+(R489*X489),(T489*X489))</f>
        <v>322.05</v>
      </c>
      <c r="AB489" s="36">
        <f>IF(AD489="EUR",((T489-R489)*Y489)*U489+(R489*Y489),(T489*Y489))</f>
        <v>0</v>
      </c>
      <c r="AC489" s="37" t="b">
        <v>1</v>
      </c>
      <c r="AD489" s="37" t="s">
        <v>38</v>
      </c>
      <c r="AE489" s="37" t="s">
        <v>38</v>
      </c>
      <c r="AF489" s="37" t="str">
        <f t="array" ref="AF489">INDEX('Deal Info'!D:D, MATCH(A489,'Deal Info'!A:A, 0))</f>
        <v>DoEVold15</v>
      </c>
      <c r="AG489" s="38" t="str">
        <f t="array" ref="AG489">INDEX('Deal Info'!G:G, MATCH(A489,'Deal Info'!A:A, 0))</f>
        <v>None</v>
      </c>
    </row>
    <row r="490" spans="1:33" ht="14.25" hidden="1" x14ac:dyDescent="0.2">
      <c r="A490" s="18" t="str">
        <f t="array" ref="A490">IF(G490='Room Info'!$B$1, INDEX('Room Info'!$A$2:$A2446, MATCH(B490,'Room Info'!$B$2:$B2446, 0)),IF(G490='Room Info'!$C$1, INDEX('Room Info'!$A$2:$A2446, MATCH(B490,'Room Info'!$C$2:$C2446, 0)),IF(G490='Room Info'!$D$1, INDEX('Room Info'!$A$2:$A2446, MATCH(B490,'Room Info'!$D$2:$D2446, 0)),IF(G490='Room Info'!$E$1, INDEX('Room Info'!$A$2:$A2446, MATCH(B490,'Room Info'!$E$2:$E2446, 0)),IF(G490='Room Info'!$F$1, INDEX('Room Info'!$A$2:$A2446, MATCH(B490,'Room Info'!$F$2:$F2446, 0)),IF(G490='Room Info'!$H$1, INDEX('Room Info'!$A$2:$A2446, MATCH(B490,'Room Info'!$H$2:$H2446, 0)),IF(G490='Room Info'!$G$1, INDEX('Room Info'!$A$2:$A2446, MATCH(B490,'Room Info'!$G$2:$G2446, 0)))))))))</f>
        <v>mr_al3x</v>
      </c>
      <c r="B490" s="45" t="s">
        <v>144</v>
      </c>
      <c r="C490" s="46">
        <v>44743</v>
      </c>
      <c r="D490" s="46">
        <v>44773</v>
      </c>
      <c r="E490" s="47">
        <v>44743</v>
      </c>
      <c r="F490" s="45" t="s">
        <v>49</v>
      </c>
      <c r="G490" s="45" t="s">
        <v>35</v>
      </c>
      <c r="H490" s="49" t="s">
        <v>86</v>
      </c>
      <c r="I490" s="49" t="s">
        <v>37</v>
      </c>
      <c r="J490" s="70">
        <v>5</v>
      </c>
      <c r="K490" s="71">
        <v>1</v>
      </c>
      <c r="L490" s="52">
        <v>-5</v>
      </c>
      <c r="M490" s="62"/>
      <c r="N490" s="28">
        <f>K490*J490</f>
        <v>5</v>
      </c>
      <c r="O490" s="54">
        <v>-635</v>
      </c>
      <c r="P490" s="29">
        <v>-635</v>
      </c>
      <c r="Q490" s="55"/>
      <c r="R490" s="31">
        <f>M490+Q490</f>
        <v>0</v>
      </c>
      <c r="S490" s="56">
        <v>-6</v>
      </c>
      <c r="T490" s="32">
        <f>R490+S490+IF(F490="Without EV deal",L490,0)</f>
        <v>-6</v>
      </c>
      <c r="U490" s="57">
        <v>1</v>
      </c>
      <c r="V490" s="58"/>
      <c r="W490" s="58"/>
      <c r="X490" s="78">
        <v>0.1</v>
      </c>
      <c r="Y490" s="30">
        <f>IF(AG490="None",0,IF(AG490="Fix5",0.05,IF(AG490="Fix3.75",0.0375,IF(AG490="Fix10",0.1,IF(AG490="Fix3",0.03,0)))))</f>
        <v>0</v>
      </c>
      <c r="Z490" s="35">
        <f>T490-AA490-AB490</f>
        <v>-5.4</v>
      </c>
      <c r="AA490" s="29">
        <f>IF(AD490="EUR",((T490-R490)*X490)*U490+(R490*X490),(T490*X490))</f>
        <v>-0.60000000000000009</v>
      </c>
      <c r="AB490" s="36">
        <f>IF(AD490="EUR",((T490-R490)*Y490)*U490+(R490*Y490),(T490*Y490))</f>
        <v>0</v>
      </c>
      <c r="AC490" s="37" t="b">
        <v>1</v>
      </c>
      <c r="AD490" s="37" t="s">
        <v>38</v>
      </c>
      <c r="AE490" s="37" t="s">
        <v>38</v>
      </c>
      <c r="AF490" s="37" t="str">
        <f t="array" ref="AF490">INDEX('Deal Info'!D:D, MATCH(A490,'Deal Info'!A:A, 0))</f>
        <v>DoEVold15</v>
      </c>
      <c r="AG490" s="38" t="str">
        <f t="array" ref="AG490">INDEX('Deal Info'!G:G, MATCH(A490,'Deal Info'!A:A, 0))</f>
        <v>None</v>
      </c>
    </row>
    <row r="491" spans="1:33" ht="14.25" hidden="1" x14ac:dyDescent="0.2">
      <c r="A491" s="18" t="str">
        <f t="array" ref="A491">IF(G491='Room Info'!$B$1, INDEX('Room Info'!$A$2:$A2446, MATCH(B491,'Room Info'!$B$2:$B2446, 0)),IF(G491='Room Info'!$C$1, INDEX('Room Info'!$A$2:$A2446, MATCH(B491,'Room Info'!$C$2:$C2446, 0)),IF(G491='Room Info'!$D$1, INDEX('Room Info'!$A$2:$A2446, MATCH(B491,'Room Info'!$D$2:$D2446, 0)),IF(G491='Room Info'!$E$1, INDEX('Room Info'!$A$2:$A2446, MATCH(B491,'Room Info'!$E$2:$E2446, 0)),IF(G491='Room Info'!$F$1, INDEX('Room Info'!$A$2:$A2446, MATCH(B491,'Room Info'!$F$2:$F2446, 0)),IF(G491='Room Info'!$H$1, INDEX('Room Info'!$A$2:$A2446, MATCH(B491,'Room Info'!$H$2:$H2446, 0)),IF(G491='Room Info'!$G$1, INDEX('Room Info'!$A$2:$A2446, MATCH(B491,'Room Info'!$G$2:$G2446, 0)))))))))</f>
        <v>mr_al3x</v>
      </c>
      <c r="B491" s="45" t="s">
        <v>144</v>
      </c>
      <c r="C491" s="46">
        <v>44743</v>
      </c>
      <c r="D491" s="46">
        <v>44773</v>
      </c>
      <c r="E491" s="47">
        <v>44743</v>
      </c>
      <c r="F491" s="45" t="s">
        <v>49</v>
      </c>
      <c r="G491" s="54" t="s">
        <v>35</v>
      </c>
      <c r="H491" s="49" t="s">
        <v>46</v>
      </c>
      <c r="I491" s="49" t="s">
        <v>37</v>
      </c>
      <c r="J491" s="50">
        <v>25</v>
      </c>
      <c r="K491" s="51">
        <v>890</v>
      </c>
      <c r="L491" s="52">
        <v>2075</v>
      </c>
      <c r="M491" s="53">
        <v>1091</v>
      </c>
      <c r="N491" s="28">
        <f>K491*J491</f>
        <v>22250</v>
      </c>
      <c r="O491" s="54">
        <v>53221</v>
      </c>
      <c r="P491" s="29">
        <v>59.798876399999997</v>
      </c>
      <c r="Q491" s="55"/>
      <c r="R491" s="31">
        <f>M491+Q491</f>
        <v>1091</v>
      </c>
      <c r="S491" s="56">
        <v>1091</v>
      </c>
      <c r="T491" s="32">
        <f>R491+S491+IF(F491="Without EV deal",L491,0)</f>
        <v>2182</v>
      </c>
      <c r="U491" s="57">
        <v>1</v>
      </c>
      <c r="V491" s="58"/>
      <c r="W491" s="58"/>
      <c r="X491" s="78">
        <v>0.1</v>
      </c>
      <c r="Y491" s="30">
        <f>IF(AG491="None",0,IF(AG491="Fix5",0.05,IF(AG491="Fix3.75",0.0375,IF(AG491="Fix10",0.1,IF(AG491="Fix3",0.03,0)))))</f>
        <v>0</v>
      </c>
      <c r="Z491" s="35">
        <f>T491-AA491-AB491</f>
        <v>1963.8</v>
      </c>
      <c r="AA491" s="29">
        <f>IF(AD491="EUR",((T491-R491)*X491)*U491+(R491*X491),(T491*X491))</f>
        <v>218.20000000000002</v>
      </c>
      <c r="AB491" s="36">
        <f>IF(AD491="EUR",((T491-R491)*Y491)*U491+(R491*Y491),(T491*Y491))</f>
        <v>0</v>
      </c>
      <c r="AC491" s="37" t="b">
        <v>1</v>
      </c>
      <c r="AD491" s="37" t="s">
        <v>38</v>
      </c>
      <c r="AE491" s="37" t="s">
        <v>38</v>
      </c>
      <c r="AF491" s="37" t="str">
        <f t="array" ref="AF491">INDEX('Deal Info'!D:D, MATCH(A491,'Deal Info'!A:A, 0))</f>
        <v>DoEVold15</v>
      </c>
      <c r="AG491" s="38" t="str">
        <f t="array" ref="AG491">INDEX('Deal Info'!G:G, MATCH(A491,'Deal Info'!A:A, 0))</f>
        <v>None</v>
      </c>
    </row>
    <row r="492" spans="1:33" ht="14.25" hidden="1" x14ac:dyDescent="0.2">
      <c r="A492" s="18" t="str">
        <f t="array" ref="A492">IF(G492='Room Info'!$B$1, INDEX('Room Info'!$A$2:$A2446, MATCH(B492,'Room Info'!$B$2:$B2446, 0)),IF(G492='Room Info'!$C$1, INDEX('Room Info'!$A$2:$A2446, MATCH(B492,'Room Info'!$C$2:$C2446, 0)),IF(G492='Room Info'!$D$1, INDEX('Room Info'!$A$2:$A2446, MATCH(B492,'Room Info'!$D$2:$D2446, 0)),IF(G492='Room Info'!$E$1, INDEX('Room Info'!$A$2:$A2446, MATCH(B492,'Room Info'!$E$2:$E2446, 0)),IF(G492='Room Info'!$F$1, INDEX('Room Info'!$A$2:$A2446, MATCH(B492,'Room Info'!$F$2:$F2446, 0)),IF(G492='Room Info'!$H$1, INDEX('Room Info'!$A$2:$A2446, MATCH(B492,'Room Info'!$H$2:$H2446, 0)),IF(G492='Room Info'!$G$1, INDEX('Room Info'!$A$2:$A2446, MATCH(B492,'Room Info'!$G$2:$G2446, 0)))))))))</f>
        <v>mr_al3x</v>
      </c>
      <c r="B492" s="45" t="s">
        <v>144</v>
      </c>
      <c r="C492" s="46">
        <v>44743</v>
      </c>
      <c r="D492" s="46">
        <v>44773</v>
      </c>
      <c r="E492" s="47">
        <v>44743</v>
      </c>
      <c r="F492" s="45" t="s">
        <v>49</v>
      </c>
      <c r="G492" s="54" t="s">
        <v>35</v>
      </c>
      <c r="H492" s="49" t="s">
        <v>72</v>
      </c>
      <c r="I492" s="49" t="s">
        <v>37</v>
      </c>
      <c r="J492" s="50">
        <v>50</v>
      </c>
      <c r="K492" s="51">
        <v>1056</v>
      </c>
      <c r="L492" s="52">
        <v>-750</v>
      </c>
      <c r="M492" s="53">
        <v>2589</v>
      </c>
      <c r="N492" s="28">
        <f>K492*J492</f>
        <v>52800</v>
      </c>
      <c r="O492" s="54">
        <v>31760</v>
      </c>
      <c r="P492" s="29">
        <v>30.075757580000001</v>
      </c>
      <c r="Q492" s="55"/>
      <c r="R492" s="31">
        <f>M492+Q492</f>
        <v>2589</v>
      </c>
      <c r="S492" s="56">
        <v>-327</v>
      </c>
      <c r="T492" s="32">
        <f>R492+S492+IF(F492="Without EV deal",L492,0)</f>
        <v>2262</v>
      </c>
      <c r="U492" s="57">
        <v>1</v>
      </c>
      <c r="V492" s="58"/>
      <c r="W492" s="58"/>
      <c r="X492" s="78">
        <v>0.1</v>
      </c>
      <c r="Y492" s="30">
        <f>IF(AG492="None",0,IF(AG492="Fix5",0.05,IF(AG492="Fix3.75",0.0375,IF(AG492="Fix10",0.1,IF(AG492="Fix3",0.03,0)))))</f>
        <v>0</v>
      </c>
      <c r="Z492" s="35">
        <f>T492-AA492-AB492</f>
        <v>2035.8</v>
      </c>
      <c r="AA492" s="29">
        <f>IF(AD492="EUR",((T492-R492)*X492)*U492+(R492*X492),(T492*X492))</f>
        <v>226.20000000000002</v>
      </c>
      <c r="AB492" s="36">
        <f>IF(AD492="EUR",((T492-R492)*Y492)*U492+(R492*Y492),(T492*Y492))</f>
        <v>0</v>
      </c>
      <c r="AC492" s="37" t="b">
        <v>1</v>
      </c>
      <c r="AD492" s="37" t="s">
        <v>38</v>
      </c>
      <c r="AE492" s="37" t="s">
        <v>38</v>
      </c>
      <c r="AF492" s="37" t="str">
        <f t="array" ref="AF492">INDEX('Deal Info'!D:D, MATCH(A492,'Deal Info'!A:A, 0))</f>
        <v>DoEVold15</v>
      </c>
      <c r="AG492" s="38" t="str">
        <f t="array" ref="AG492">INDEX('Deal Info'!G:G, MATCH(A492,'Deal Info'!A:A, 0))</f>
        <v>None</v>
      </c>
    </row>
    <row r="493" spans="1:33" ht="14.25" hidden="1" x14ac:dyDescent="0.2">
      <c r="A493" s="18" t="str">
        <f t="array" ref="A493">IF(G493='Room Info'!$B$1, INDEX('Room Info'!$A$2:$A2446, MATCH(B493,'Room Info'!$B$2:$B2446, 0)),IF(G493='Room Info'!$C$1, INDEX('Room Info'!$A$2:$A2446, MATCH(B493,'Room Info'!$C$2:$C2446, 0)),IF(G493='Room Info'!$D$1, INDEX('Room Info'!$A$2:$A2446, MATCH(B493,'Room Info'!$D$2:$D2446, 0)),IF(G493='Room Info'!$E$1, INDEX('Room Info'!$A$2:$A2446, MATCH(B493,'Room Info'!$E$2:$E2446, 0)),IF(G493='Room Info'!$F$1, INDEX('Room Info'!$A$2:$A2446, MATCH(B493,'Room Info'!$F$2:$F2446, 0)),IF(G493='Room Info'!$H$1, INDEX('Room Info'!$A$2:$A2446, MATCH(B493,'Room Info'!$H$2:$H2446, 0)),IF(G493='Room Info'!$G$1, INDEX('Room Info'!$A$2:$A2446, MATCH(B493,'Room Info'!$G$2:$G2446, 0)))))))))</f>
        <v>mr_al3x</v>
      </c>
      <c r="B493" s="45" t="s">
        <v>144</v>
      </c>
      <c r="C493" s="46">
        <v>44743</v>
      </c>
      <c r="D493" s="46">
        <v>44773</v>
      </c>
      <c r="E493" s="47">
        <v>44743</v>
      </c>
      <c r="F493" s="48" t="s">
        <v>41</v>
      </c>
      <c r="G493" s="54" t="s">
        <v>35</v>
      </c>
      <c r="H493" s="49" t="s">
        <v>45</v>
      </c>
      <c r="I493" s="49" t="s">
        <v>37</v>
      </c>
      <c r="J493" s="50">
        <v>0.25</v>
      </c>
      <c r="K493" s="51">
        <v>2</v>
      </c>
      <c r="L493" s="52">
        <v>0</v>
      </c>
      <c r="M493" s="62"/>
      <c r="N493" s="28">
        <f>K493*J493</f>
        <v>0.5</v>
      </c>
      <c r="O493" s="65"/>
      <c r="P493" s="29">
        <v>0</v>
      </c>
      <c r="Q493" s="55"/>
      <c r="R493" s="31">
        <f>M493+Q493</f>
        <v>0</v>
      </c>
      <c r="S493" s="66"/>
      <c r="T493" s="32">
        <f>R493+S493+IF(F493="Without EV deal",L493,0)</f>
        <v>0</v>
      </c>
      <c r="U493" s="57">
        <v>1</v>
      </c>
      <c r="V493" s="58"/>
      <c r="W493" s="58"/>
      <c r="X493" s="78">
        <v>0.1</v>
      </c>
      <c r="Y493" s="30">
        <f>IF(AG493="None",0,IF(AG493="Fix5",0.05,IF(AG493="Fix3.75",0.0375,IF(AG493="Fix10",0.1,IF(AG493="Fix3",0.03,0)))))</f>
        <v>0</v>
      </c>
      <c r="Z493" s="35">
        <f>T493-AA493-AB493</f>
        <v>0</v>
      </c>
      <c r="AA493" s="29">
        <f>IF(AD493="EUR",((T493-R493)*X493)*U493+(R493*X493),(T493*X493))</f>
        <v>0</v>
      </c>
      <c r="AB493" s="36">
        <f>IF(AD493="EUR",((T493-R493)*Y493)*U493+(R493*Y493),(T493*Y493))</f>
        <v>0</v>
      </c>
      <c r="AC493" s="37" t="b">
        <v>1</v>
      </c>
      <c r="AD493" s="37" t="s">
        <v>38</v>
      </c>
      <c r="AE493" s="37" t="s">
        <v>38</v>
      </c>
      <c r="AF493" s="37" t="str">
        <f t="array" ref="AF493">INDEX('Deal Info'!D:D, MATCH(A493,'Deal Info'!A:A, 0))</f>
        <v>DoEVold15</v>
      </c>
      <c r="AG493" s="38" t="str">
        <f t="array" ref="AG493">INDEX('Deal Info'!G:G, MATCH(A493,'Deal Info'!A:A, 0))</f>
        <v>None</v>
      </c>
    </row>
    <row r="494" spans="1:33" ht="14.25" hidden="1" x14ac:dyDescent="0.2">
      <c r="A494" s="18" t="str">
        <f t="array" ref="A494">IF(G494='Room Info'!$B$1, INDEX('Room Info'!$A$2:$A2446, MATCH(B494,'Room Info'!$B$2:$B2446, 0)),IF(G494='Room Info'!$C$1, INDEX('Room Info'!$A$2:$A2446, MATCH(B494,'Room Info'!$C$2:$C2446, 0)),IF(G494='Room Info'!$D$1, INDEX('Room Info'!$A$2:$A2446, MATCH(B494,'Room Info'!$D$2:$D2446, 0)),IF(G494='Room Info'!$E$1, INDEX('Room Info'!$A$2:$A2446, MATCH(B494,'Room Info'!$E$2:$E2446, 0)),IF(G494='Room Info'!$F$1, INDEX('Room Info'!$A$2:$A2446, MATCH(B494,'Room Info'!$F$2:$F2446, 0)),IF(G494='Room Info'!$H$1, INDEX('Room Info'!$A$2:$A2446, MATCH(B494,'Room Info'!$H$2:$H2446, 0)),IF(G494='Room Info'!$G$1, INDEX('Room Info'!$A$2:$A2446, MATCH(B494,'Room Info'!$G$2:$G2446, 0)))))))))</f>
        <v>mr_al3x</v>
      </c>
      <c r="B494" s="45" t="s">
        <v>144</v>
      </c>
      <c r="C494" s="46">
        <v>44805</v>
      </c>
      <c r="D494" s="46">
        <v>44834</v>
      </c>
      <c r="E494" s="47">
        <v>44805</v>
      </c>
      <c r="F494" s="48" t="s">
        <v>49</v>
      </c>
      <c r="G494" s="54" t="s">
        <v>35</v>
      </c>
      <c r="H494" s="49" t="s">
        <v>46</v>
      </c>
      <c r="I494" s="49" t="s">
        <v>37</v>
      </c>
      <c r="J494" s="50">
        <v>25</v>
      </c>
      <c r="K494" s="51">
        <v>234</v>
      </c>
      <c r="L494" s="52">
        <v>725</v>
      </c>
      <c r="M494" s="53">
        <v>445</v>
      </c>
      <c r="N494" s="28">
        <f>K494*J494</f>
        <v>5850</v>
      </c>
      <c r="O494" s="54">
        <v>14126</v>
      </c>
      <c r="P494" s="29">
        <v>60.367521369999999</v>
      </c>
      <c r="Q494" s="55"/>
      <c r="R494" s="31">
        <f>M494+Q494</f>
        <v>445</v>
      </c>
      <c r="S494" s="56">
        <v>308</v>
      </c>
      <c r="T494" s="32">
        <f>R494+S494+IF(F494="Without EV deal",L494,0)</f>
        <v>753</v>
      </c>
      <c r="U494" s="57">
        <v>1</v>
      </c>
      <c r="V494" s="58"/>
      <c r="W494" s="58"/>
      <c r="X494" s="78">
        <v>0.15</v>
      </c>
      <c r="Y494" s="30">
        <f>IF(AG494="None",0,IF(AG494="Fix5",0.05,IF(AG494="Fix3.75",0.0375,IF(AG494="Fix10",0.1,IF(AG494="Fix3",0.03,0)))))</f>
        <v>0</v>
      </c>
      <c r="Z494" s="35">
        <f>T494-AA494-AB494</f>
        <v>640.04999999999995</v>
      </c>
      <c r="AA494" s="29">
        <f>IF(AD494="EUR",((T494-R494)*X494)*U494+(R494*X494),(T494*X494))</f>
        <v>112.95</v>
      </c>
      <c r="AB494" s="36">
        <f>IF(AD494="EUR",((T494-R494)*Y494)*U494+(R494*Y494),(T494*Y494))</f>
        <v>0</v>
      </c>
      <c r="AC494" s="37" t="b">
        <v>1</v>
      </c>
      <c r="AD494" s="37" t="s">
        <v>38</v>
      </c>
      <c r="AE494" s="37" t="s">
        <v>38</v>
      </c>
      <c r="AF494" s="37" t="str">
        <f t="array" ref="AF494">INDEX('Deal Info'!D:D, MATCH(A494,'Deal Info'!A:A, 0))</f>
        <v>DoEVold15</v>
      </c>
      <c r="AG494" s="38" t="str">
        <f t="array" ref="AG494">INDEX('Deal Info'!G:G, MATCH(A494,'Deal Info'!A:A, 0))</f>
        <v>None</v>
      </c>
    </row>
    <row r="495" spans="1:33" ht="14.25" hidden="1" x14ac:dyDescent="0.2">
      <c r="A495" s="18" t="str">
        <f t="array" ref="A495">IF(G495='Room Info'!$B$1, INDEX('Room Info'!$A$2:$A2446, MATCH(B495,'Room Info'!$B$2:$B2446, 0)),IF(G495='Room Info'!$C$1, INDEX('Room Info'!$A$2:$A2446, MATCH(B495,'Room Info'!$C$2:$C2446, 0)),IF(G495='Room Info'!$D$1, INDEX('Room Info'!$A$2:$A2446, MATCH(B495,'Room Info'!$D$2:$D2446, 0)),IF(G495='Room Info'!$E$1, INDEX('Room Info'!$A$2:$A2446, MATCH(B495,'Room Info'!$E$2:$E2446, 0)),IF(G495='Room Info'!$F$1, INDEX('Room Info'!$A$2:$A2446, MATCH(B495,'Room Info'!$F$2:$F2446, 0)),IF(G495='Room Info'!$H$1, INDEX('Room Info'!$A$2:$A2446, MATCH(B495,'Room Info'!$H$2:$H2446, 0)),IF(G495='Room Info'!$G$1, INDEX('Room Info'!$A$2:$A2446, MATCH(B495,'Room Info'!$G$2:$G2446, 0)))))))))</f>
        <v>mr_al3x</v>
      </c>
      <c r="B495" s="45" t="s">
        <v>144</v>
      </c>
      <c r="C495" s="46">
        <v>44835</v>
      </c>
      <c r="D495" s="46">
        <v>44865</v>
      </c>
      <c r="E495" s="47">
        <v>44835</v>
      </c>
      <c r="F495" s="48" t="s">
        <v>49</v>
      </c>
      <c r="G495" s="54" t="s">
        <v>35</v>
      </c>
      <c r="H495" s="49" t="s">
        <v>46</v>
      </c>
      <c r="I495" s="49" t="s">
        <v>37</v>
      </c>
      <c r="J495" s="50">
        <v>25</v>
      </c>
      <c r="K495" s="51">
        <v>3365</v>
      </c>
      <c r="L495" s="52">
        <v>1025</v>
      </c>
      <c r="M495" s="53">
        <v>2938</v>
      </c>
      <c r="N495" s="28">
        <f>K495*J495</f>
        <v>84125</v>
      </c>
      <c r="O495" s="54">
        <v>105694</v>
      </c>
      <c r="P495" s="29">
        <v>31.409806840000002</v>
      </c>
      <c r="Q495" s="55"/>
      <c r="R495" s="31">
        <f>M495+Q495</f>
        <v>2938</v>
      </c>
      <c r="S495" s="56">
        <v>-930</v>
      </c>
      <c r="T495" s="32">
        <f>R495+S495+IF(F495="Without EV deal",L495,0)</f>
        <v>2008</v>
      </c>
      <c r="U495" s="57">
        <v>1</v>
      </c>
      <c r="V495" s="58"/>
      <c r="W495" s="58"/>
      <c r="X495" s="78">
        <v>0.15</v>
      </c>
      <c r="Y495" s="30">
        <f>IF(AG495="None",0,IF(AG495="Fix5",0.05,IF(AG495="Fix3.75",0.0375,IF(AG495="Fix10",0.1,IF(AG495="Fix3",0.03,0)))))</f>
        <v>0</v>
      </c>
      <c r="Z495" s="35">
        <f>T495-AA495-AB495</f>
        <v>1706.8</v>
      </c>
      <c r="AA495" s="29">
        <f>IF(AD495="EUR",((T495-R495)*X495)*U495+(R495*X495),(T495*X495))</f>
        <v>301.2</v>
      </c>
      <c r="AB495" s="36">
        <f>IF(AD495="EUR",((T495-R495)*Y495)*U495+(R495*Y495),(T495*Y495))</f>
        <v>0</v>
      </c>
      <c r="AC495" s="37" t="b">
        <v>1</v>
      </c>
      <c r="AD495" s="37" t="s">
        <v>38</v>
      </c>
      <c r="AE495" s="37" t="s">
        <v>38</v>
      </c>
      <c r="AF495" s="37" t="str">
        <f t="array" ref="AF495">INDEX('Deal Info'!D:D, MATCH(A495,'Deal Info'!A:A, 0))</f>
        <v>DoEVold15</v>
      </c>
      <c r="AG495" s="38" t="str">
        <f t="array" ref="AG495">INDEX('Deal Info'!G:G, MATCH(A495,'Deal Info'!A:A, 0))</f>
        <v>None</v>
      </c>
    </row>
    <row r="496" spans="1:33" ht="14.25" hidden="1" x14ac:dyDescent="0.2">
      <c r="A496" s="18" t="str">
        <f t="array" ref="A496">IF(G496='Room Info'!$B$1, INDEX('Room Info'!$A$2:$A2446, MATCH(B496,'Room Info'!$B$2:$B2446, 0)),IF(G496='Room Info'!$C$1, INDEX('Room Info'!$A$2:$A2446, MATCH(B496,'Room Info'!$C$2:$C2446, 0)),IF(G496='Room Info'!$D$1, INDEX('Room Info'!$A$2:$A2446, MATCH(B496,'Room Info'!$D$2:$D2446, 0)),IF(G496='Room Info'!$E$1, INDEX('Room Info'!$A$2:$A2446, MATCH(B496,'Room Info'!$E$2:$E2446, 0)),IF(G496='Room Info'!$F$1, INDEX('Room Info'!$A$2:$A2446, MATCH(B496,'Room Info'!$F$2:$F2446, 0)),IF(G496='Room Info'!$H$1, INDEX('Room Info'!$A$2:$A2446, MATCH(B496,'Room Info'!$H$2:$H2446, 0)),IF(G496='Room Info'!$G$1, INDEX('Room Info'!$A$2:$A2446, MATCH(B496,'Room Info'!$G$2:$G2446, 0)))))))))</f>
        <v>mr_al3x</v>
      </c>
      <c r="B496" s="45" t="s">
        <v>144</v>
      </c>
      <c r="C496" s="46">
        <v>44835</v>
      </c>
      <c r="D496" s="46">
        <v>44865</v>
      </c>
      <c r="E496" s="47">
        <v>44835</v>
      </c>
      <c r="F496" s="48" t="s">
        <v>41</v>
      </c>
      <c r="G496" s="54" t="s">
        <v>35</v>
      </c>
      <c r="H496" s="49" t="s">
        <v>72</v>
      </c>
      <c r="I496" s="49" t="s">
        <v>37</v>
      </c>
      <c r="J496" s="50">
        <v>50</v>
      </c>
      <c r="K496" s="51">
        <v>1</v>
      </c>
      <c r="L496" s="52">
        <v>50</v>
      </c>
      <c r="M496" s="53">
        <v>2</v>
      </c>
      <c r="N496" s="28">
        <f>K496*J496</f>
        <v>50</v>
      </c>
      <c r="O496" s="65"/>
      <c r="P496" s="29">
        <v>0</v>
      </c>
      <c r="Q496" s="55"/>
      <c r="R496" s="31">
        <f>M496+Q496</f>
        <v>2</v>
      </c>
      <c r="S496" s="66"/>
      <c r="T496" s="32">
        <f>R496+S496+IF(F496="Without EV deal",L496,0)</f>
        <v>52</v>
      </c>
      <c r="U496" s="57">
        <v>1</v>
      </c>
      <c r="V496" s="58"/>
      <c r="W496" s="58"/>
      <c r="X496" s="78">
        <v>0.15</v>
      </c>
      <c r="Y496" s="30">
        <f>IF(AG496="None",0,IF(AG496="Fix5",0.05,IF(AG496="Fix3.75",0.0375,IF(AG496="Fix10",0.1,IF(AG496="Fix3",0.03,0)))))</f>
        <v>0</v>
      </c>
      <c r="Z496" s="35">
        <f>T496-AA496-AB496</f>
        <v>44.2</v>
      </c>
      <c r="AA496" s="29">
        <f>IF(AD496="EUR",((T496-R496)*X496)*U496+(R496*X496),(T496*X496))</f>
        <v>7.8</v>
      </c>
      <c r="AB496" s="36">
        <f>IF(AD496="EUR",((T496-R496)*Y496)*U496+(R496*Y496),(T496*Y496))</f>
        <v>0</v>
      </c>
      <c r="AC496" s="37" t="b">
        <v>1</v>
      </c>
      <c r="AD496" s="37" t="s">
        <v>38</v>
      </c>
      <c r="AE496" s="37" t="s">
        <v>38</v>
      </c>
      <c r="AF496" s="37" t="str">
        <f t="array" ref="AF496">INDEX('Deal Info'!D:D, MATCH(A496,'Deal Info'!A:A, 0))</f>
        <v>DoEVold15</v>
      </c>
      <c r="AG496" s="38" t="str">
        <f t="array" ref="AG496">INDEX('Deal Info'!G:G, MATCH(A496,'Deal Info'!A:A, 0))</f>
        <v>None</v>
      </c>
    </row>
    <row r="497" spans="1:33" ht="14.25" hidden="1" x14ac:dyDescent="0.2">
      <c r="A497" s="18" t="str">
        <f t="array" ref="A497">IF(G497='Room Info'!$B$1, INDEX('Room Info'!$A$2:$A2446, MATCH(B497,'Room Info'!$B$2:$B2446, 0)),IF(G497='Room Info'!$C$1, INDEX('Room Info'!$A$2:$A2446, MATCH(B497,'Room Info'!$C$2:$C2446, 0)),IF(G497='Room Info'!$D$1, INDEX('Room Info'!$A$2:$A2446, MATCH(B497,'Room Info'!$D$2:$D2446, 0)),IF(G497='Room Info'!$E$1, INDEX('Room Info'!$A$2:$A2446, MATCH(B497,'Room Info'!$E$2:$E2446, 0)),IF(G497='Room Info'!$F$1, INDEX('Room Info'!$A$2:$A2446, MATCH(B497,'Room Info'!$F$2:$F2446, 0)),IF(G497='Room Info'!$H$1, INDEX('Room Info'!$A$2:$A2446, MATCH(B497,'Room Info'!$H$2:$H2446, 0)),IF(G497='Room Info'!$G$1, INDEX('Room Info'!$A$2:$A2446, MATCH(B497,'Room Info'!$G$2:$G2446, 0)))))))))</f>
        <v>mr_al3x</v>
      </c>
      <c r="B497" s="45" t="s">
        <v>144</v>
      </c>
      <c r="C497" s="46">
        <v>44866</v>
      </c>
      <c r="D497" s="46">
        <v>44895</v>
      </c>
      <c r="E497" s="47">
        <v>44866</v>
      </c>
      <c r="F497" s="48" t="s">
        <v>49</v>
      </c>
      <c r="G497" s="54" t="s">
        <v>35</v>
      </c>
      <c r="H497" s="49" t="s">
        <v>46</v>
      </c>
      <c r="I497" s="49" t="s">
        <v>37</v>
      </c>
      <c r="J497" s="50">
        <v>25</v>
      </c>
      <c r="K497" s="51">
        <v>3234</v>
      </c>
      <c r="L497" s="52">
        <v>-2650</v>
      </c>
      <c r="M497" s="53">
        <v>3368</v>
      </c>
      <c r="N497" s="28">
        <f>K497*J497</f>
        <v>80850</v>
      </c>
      <c r="O497" s="54">
        <v>71661</v>
      </c>
      <c r="P497" s="29">
        <v>22.15862709</v>
      </c>
      <c r="Q497" s="55"/>
      <c r="R497" s="31">
        <f>M497+Q497</f>
        <v>3368</v>
      </c>
      <c r="S497" s="56">
        <v>-2101</v>
      </c>
      <c r="T497" s="32">
        <f>R497+S497+IF(F497="Without EV deal",L497,0)</f>
        <v>1267</v>
      </c>
      <c r="U497" s="57">
        <v>1</v>
      </c>
      <c r="V497" s="69">
        <v>25</v>
      </c>
      <c r="W497" s="69">
        <v>50.68</v>
      </c>
      <c r="X497" s="30">
        <f>IF(AF497="DoEV",IF(AND(V497&lt;20,W497&lt;55),0.3,0)+IF(AND(V497&lt;20,W497&gt;=55,W497&lt;105),0.23,0)+IF(AND(V497&lt;20,W497&gt;=105),0.17,0)+IF(AND(V497&gt;=20,V497&lt;40,W497&lt;45),0.3,0)+IF(AND(V497&gt;=20,V497&lt;40,W497&gt;=45,W497&lt;95),0.23,0)+IF(AND(V497&gt;=20,V497&lt;40,W497&gt;=95),0.17,0)+IF(AND(V497&gt;=40,V497&lt;75,W497&lt;35),0.3,0)+IF(AND(V497&gt;=40,V497&lt;75,W497&gt;=35,W497&lt;75),0.23,0)+IF(AND(V497&gt;=40,V497&lt;75,W497&gt;=75,W497&lt;120),0.17,0)+IF(AND(V497&gt;=40,V497&lt;75,W497&gt;=120),0.12,0)+IF(AND(V497&gt;=75,V497&lt;175,W497&lt;35),0.3,0)+IF(AND(V497&gt;=75,V497&lt;=175,W497&gt;=35,W497&lt;65),0.23,0)+IF(AND(V497&gt;=75,V497&lt;=175,W497&gt;=65,W497&lt;110),0.17,0)+IF(AND(V497&gt;=75,V497&lt;=175,W497&gt;=110),0.12,0)+IF(AND(V497&gt;175,W497&lt;25),0.3,0)+IF(AND(V497&gt;175,W497&gt;=25,W497&lt;55),0.23,0)+IF(AND(V497&gt;175,W497&gt;=55,W497&lt;95),0.17,0)+IF(AND(V497&gt;175,W497&gt;=95),0.12,0),
IF(AF497="Fix15",0.15,
IF(AF497="Fix11.25",0.1125,
IF(AF497="Fix10",0.1,
IF(AF497="Fix9",0.09,
IF(AF497="DoEV2017",IF(AND(W497&lt;74),0.2,0)+IF(AND(W497&gt;=74),0.17,0),
IF(AF497="SF",IF(AND(V497&lt;20,W497&lt;89),0.3,0)+IF(AND(V497&lt;20,W497&gt;=89),0.25,0)+IF(AND(V497&gt;=20,V497&lt;40,W497&lt;74),0.3,0)+IF(AND(V497&gt;=20,V497&lt;40,W497&gt;=75),0.22,0)+IF(AND(V497&gt;=40,V497&lt;75,W497&lt;75),0.26,0)+IF(AND(V497&gt;=40,V497&lt;75,W497&gt;=75),0.22,0)+IF(V497&gt;=75,0.22,0),
IF(AF497="DoEVold",IF(AND(V497&lt;40,W497&lt;35),0.35,0)+IF(AND(V497&lt;40,W497&gt;=35,W497&lt;75),0.25,0)+IF(AND(V497&lt;40,W497&gt;=75),0.17,0)+IF(AND(V497&gt;=40,V497&lt;75,W497&lt;25),0.35,0)+IF(AND(V497&gt;=40,V497&lt;75,W497&gt;=25,W497&lt;65),0.25,0)+IF(AND(V497&gt;=40,V497&lt;75,W497&gt;=65,W497&lt;100),0.17,0)+IF(AND(V497&gt;=40,V497&lt;75,W497&gt;=100),0.1,0)+IF(AND(V497&gt;=75,W497&lt;25),0.35,0)+IF(AND(V497&gt;=75,W497&gt;=25,W497&lt;60),0.25,0)+IF(AND(V497&gt;=75,W497&gt;=60,W497&lt;95),0.17,0)+IF(AND(V497&gt;=75,W497&gt;=95),0.1,0),
IF(AF497="DoEVold15",IF(AND(V497&lt;=40,W497&lt;35),0.35,0)+IF(AND(V497&lt;=40,W497&gt;=35,W497&lt;75),0.25,0)+IF(AND(V497&lt;=40,W497&gt;=75,W497&lt;120),0.17,0)+IF(AND(V497&lt;=40,W497&gt;=120),0.15,0)+IF(AND(V497&gt;40,V497&lt;75,W497&lt;25),0.35,0)+IF(AND(V497&gt;=40,V497&lt;75,W497&gt;=25,W497&lt;65),0.25,0)+IF(AND(V497&gt;=40,V497&lt;75,W497&gt;=65,W497&lt;100),0.17,0)+IF(AND(V497&gt;=40,V497&lt;75,W497&gt;=100),0.1,0)+IF(AND(V497&gt;=75,W497&lt;25),0.35,0)+IF(AND(V497&gt;=75,W497&gt;=25,W497&lt;60),0.25,0)+IF(AND(V497&gt;=75,W497&gt;=60,W497&lt;95),0.17,0)+IF(AND(V497&gt;=75,W497&gt;=95),0.1,0),
IF(AF497="DoEVba",IF(AND(V497&lt;20,W497&lt;105),0.2,0)+IF(AND(V497&lt;20,W497&gt;=105),0.15,0)+IF(AND(V497&gt;=20,V497&lt;40,W497&lt;95),0.2,0)+IF(AND(V497&gt;=20,V497&lt;40,W497&gt;=95,W497&lt;150),0.15,0)+IF(AND(V497&gt;=20,V497&lt;40,W497&gt;=150),0.12,0)+IF(AND(V497&gt;=40,V497&lt;75,W497&lt;75),0.2,0)+IF(AND(V497&gt;=40,V497&lt;75,W497&gt;=75,W497&lt;120),0.15,0)+IF(AND(V497&gt;=40,V497&lt;75,W497&gt;=120),0.12,0)+IF(AND(V497&gt;=75,V497&lt;175,W497&lt;65),0.2,0)+IF(AND(V497&gt;=75,V497&lt;175,W497&gt;=65,W497&lt;110),0.15,0)+IF(AND(V497&gt;=75,V497&lt;175,W497&gt;=110),0.12,0)+IF(AND(V497&gt;=175,W497&lt;55),0.2,0)+IF(AND(V497&gt;=175,W497&gt;=55,W497&lt;95),0.15,0)+IF(AND(V497&gt;=175,W497&gt;=95),0.12,0),
IF(AF497="DoEVku",IF(AND(V497&lt;20,W497&lt;55),0.23,0)+IF(AND(V497&lt;20,W497&gt;=55,W497&lt;105),0.2,0)+IF(AND(V497&lt;20,W497&gt;=105),0.17,0)+IF(AND(V497&gt;=20,V497&lt;40,W497&lt;45),0.23,0)+IF(AND(V497&gt;=20,V497&lt;40,W497&gt;=45,W497&lt;95),0.2,0)+IF(AND(V497&gt;=20,V497&lt;40,W497&gt;=95,W497&lt;=150),0.17,0)+IF(AND(V497&gt;=20,V497&lt;40,W497&gt;=150),0.12,0)+IF(AND(V497&gt;=40,V497&lt;75,W497&lt;35),0.23,0)+IF(AND(V497&gt;=40,V497&lt;75,W497&gt;=35,W497&lt;75),0.2,0)+IF(AND(V497&gt;=40,V497&lt;75,W497&gt;=75,W497&lt;120),0.17,0)+IF(AND(V497&gt;=40,V497&lt;75,W497&gt;=120),0.12,0)+IF(AND(V497&gt;=75,V497&lt;175,W497&lt;35),0.23,0)+IF(AND(V497&gt;=75,V497&lt;=175,W497&gt;=35,W497&lt;65),0.2,0)+IF(AND(V497&gt;=75,V497&lt;=175,W497&gt;=65,W497&lt;110),0.17,0)+IF(AND(V497&gt;=75,V497&lt;=175,W497&gt;=110),0.12,0)+IF(AND(V497&gt;175,W497&lt;25),0.23,0)+IF(AND(V497&gt;175,W497&gt;=25,W497&lt;55),0.2,0)+IF(AND(V497&gt;175,W497&gt;=55,W497&lt;95),0.17,0)+IF(AND(V497&gt;175,W497&gt;=95),0.12,0),
IF(AF497="DoEVs1",IF(AND(V497&lt;20,W497&lt;55),0.3,0)+IF(AND(V497&lt;20,W497&gt;=55,W497&lt;105),0.23,0)+IF(AND(V497&lt;20,W497&gt;=105),0.17,0)+IF(AND(V497&gt;=20,V497&lt;40,W497&lt;45),0.3,0)+IF(AND(V497&gt;=20,V497&lt;40,W497&gt;=45,W497&lt;95),0.23,0)+IF(AND(V497&gt;=20,V497&lt;40,W497&gt;=95,W497&lt;=150),0.17,0)+IF(AND(V497&gt;=20,V497&lt;40,W497&gt;=150),0.12,0)+IF(AND(V497&gt;=40,V497&lt;75,W497&lt;35),0.3,0)+IF(AND(V497&gt;=40,V497&lt;75,W497&gt;=35,W497&lt;75),0.23,0)+IF(AND(V497&gt;=40,V497&lt;75,W497&gt;=75,W497&lt;120),0.17,0)+IF(AND(V497&gt;=40,V497&lt;75,W497&gt;=120),0.12,0)+IF(AND(V497&gt;=75,V497&lt;175,W497&lt;35),0.3,0)+IF(AND(V497&gt;=75,V497&lt;=175,W497&gt;=35,W497&lt;65),0.23,0)+IF(AND(V497&gt;=75,V497&lt;=175,W497&gt;=65,W497&lt;110),0.17,0)+IF(AND(V497&gt;=75,V497&lt;=175,W497&gt;=110),0.12,0)+IF(AND(V497&gt;175,W497&lt;25),0.3,0)+IF(AND(V497&gt;175,W497&gt;=25,W497&lt;55),0.23,0)+IF(AND(V497&gt;175,W497&gt;=55,W497&lt;95),0.17,0)+IF(AND(V497&gt;175,W497&gt;=95),0.12,0),
IF(AF497="DoEVsu",IF(AND(V497&lt;20,W497&lt;55),0.3,0)+IF(AND(V497&lt;20,W497&gt;=55,W497&lt;105),0.23,0)+IF(AND(V497&lt;20,W497&gt;=105),0.17,0)+IF(AND(V497&gt;=20,V497&lt;40,W497&lt;45),0.3,0)+IF(AND(V497&gt;=20,V497&lt;40,W497&gt;=45,W497&lt;95),0.23,0)+IF(AND(V497&gt;=20,V497&lt;40,W497&gt;=95,W497&lt;=250),0.17,0)+IF(AND(V497&gt;=20,V497&lt;40,W497&gt;=250),0.12,0)+IF(AND(V497&gt;=40,V497&lt;75,W497&lt;35),0.3,0)+IF(AND(V497&gt;=40,V497&lt;75,W497&gt;=35,W497&lt;75),0.23,0)+IF(AND(V497&gt;=40,V497&lt;75,W497&gt;=75,W497&lt;120),0.17,0)+IF(AND(V497&gt;=40,V497&lt;75,W497&gt;=120),0.12,0)+IF(AND(V497&gt;=75,V497&lt;175,W497&lt;35),0.3,0)+IF(AND(V497&gt;=75,V497&lt;=175,W497&gt;=35,W497&lt;65),0.23,0)+IF(AND(V497&gt;=75,V497&lt;=175,W497&gt;=65,W497&lt;110),0.17,0)+IF(AND(V497&gt;=75,V497&lt;=175,W497&gt;=110),0.12,0)+IF(AND(V497&gt;175,W497&lt;25),0.3,0)+IF(AND(V497&gt;175,W497&gt;=25,W497&lt;55),0.23,0)+IF(AND(V497&gt;175,W497&gt;=55,W497&lt;95),0.17,0)+IF(AND(V497&gt;175,W497&gt;=95),0.12,0),
IF(AF497="DoEVni",IF(AND(V497&lt;20,W497&lt;55),0.3,0)+IF(AND(V497&lt;20,W497&gt;=55,W497&lt;105),0.23,0)+IF(AND(V497&lt;20,W497&gt;=105),0.17,0)+IF(AND(V497&gt;=20,V497&lt;40,W497&lt;45),0.3,0)+IF(AND(V497&gt;=20,V497&lt;40,W497&gt;=45,W497&lt;95),0.23,0)+IF(AND(V497&gt;=20,V497&lt;40,W497&gt;=95,W497&lt;=200),0.17,0)+IF(AND(V497&gt;=20,V497&lt;40,W497&gt;=200),0.12,0)+IF(AND(V497&gt;=40,V497&lt;75,W497&lt;35),0.3,0)+IF(AND(V497&gt;=40,V497&lt;75,W497&gt;=35,W497&lt;75),0.23,0)+IF(AND(V497&gt;=40,V497&lt;75,W497&gt;=75,W497&lt;120),0.17,0)+IF(AND(V497&gt;=40,V497&lt;75,W497&gt;=120),0.12,0)+IF(AND(V497&gt;=75,V497&lt;175,W497&lt;35),0.3,0)+IF(AND(V497&gt;=75,V497&lt;=175,W497&gt;=35,W497&lt;65),0.23,0)+IF(AND(V497&gt;=75,V497&lt;=175,W497&gt;=65,W497&lt;110),0.17,0)+IF(AND(V497&gt;=75,V497&lt;=175,W497&gt;=110),0.12,0)+IF(AND(V497&gt;175,W497&lt;25),0.3,0)+IF(AND(V497&gt;175,W497&gt;=25,W497&lt;55),0.23,0)+IF(AND(V497&gt;175,W497&gt;=55,W497&lt;95),0.17,0)+IF(AND(V497&gt;175,W497&gt;=95),0.12,0),
IF(AF497="DoEVLo",IF(AND(V497&lt;20,W497&lt;55),0.25,0)+IF(AND(V497&lt;20,W497&gt;=55,W497&lt;105),0.2,0)+IF(AND(V497&lt;20,W497&gt;=105),0.15,0)+IF(AND(V497&gt;=20,V497&lt;40,W497&lt;45),0.25,0)+IF(AND(V497&gt;=20,V497&lt;40,W497&gt;=45,W497&lt;95),0.2,0)+IF(AND(V497&gt;=20,V497&lt;40,W497&gt;=95),0.15,0)+IF(AND(V497&gt;=40,V497&lt;75,W497&lt;35),0.25,0)+IF(AND(V497&gt;=40,V497&lt;75,W497&gt;=35,W497&lt;75),0.2,0)+IF(AND(V497&gt;=40,V497&lt;75,W497&gt;=75,W497&lt;120),0.15,0)+IF(AND(V497&gt;=40,V497&lt;75,W497&gt;=120),0.1,0)+IF(AND(V497&gt;=75,V497&lt;175,W497&lt;35),0.25,0)+IF(AND(V497&gt;=75,V497&lt;=175,W497&gt;=35,W497&lt;65),0.2,0)+IF(AND(V497&gt;=75,V497&lt;=175,W497&gt;=65,W497&lt;110),0.15,0)+IF(AND(V497&gt;=75,V497&lt;=175,W497&gt;=110),0.1,0)+IF(AND(V497&gt;175,W497&lt;25),0.25,0)+IF(AND(V497&gt;175,W497&gt;=25,W497&lt;55),0.2,0)+IF(AND(V497&gt;175,W497&gt;=55,W497&lt;95),0.15,0)+IF(AND(V497&gt;175,W497&gt;=95),0.1,0))))))))))))))))</f>
        <v>0.25</v>
      </c>
      <c r="Y497" s="30">
        <f>IF(AG497="None",0,IF(AG497="Fix5",0.05,IF(AG497="Fix3.75",0.0375,IF(AG497="Fix10",0.1,IF(AG497="Fix3",0.03,0)))))</f>
        <v>0</v>
      </c>
      <c r="Z497" s="35">
        <f>T497-AA497-AB497</f>
        <v>950.25</v>
      </c>
      <c r="AA497" s="29">
        <f>IF(AD497="EUR",((T497-R497)*X497)*U497+(R497*X497),(T497*X497))</f>
        <v>316.75</v>
      </c>
      <c r="AB497" s="36">
        <f>IF(AD497="EUR",((T497-R497)*Y497)*U497+(R497*Y497),(T497*Y497))</f>
        <v>0</v>
      </c>
      <c r="AC497" s="37" t="b">
        <v>0</v>
      </c>
      <c r="AD497" s="37" t="s">
        <v>38</v>
      </c>
      <c r="AE497" s="37" t="s">
        <v>38</v>
      </c>
      <c r="AF497" s="37" t="str">
        <f t="array" ref="AF497">INDEX('Deal Info'!D:D, MATCH(A497,'Deal Info'!A:A, 0))</f>
        <v>DoEVold15</v>
      </c>
      <c r="AG497" s="38" t="str">
        <f t="array" ref="AG497">INDEX('Deal Info'!G:G, MATCH(A497,'Deal Info'!A:A, 0))</f>
        <v>None</v>
      </c>
    </row>
    <row r="498" spans="1:33" ht="14.25" hidden="1" x14ac:dyDescent="0.2">
      <c r="A498" s="18" t="str">
        <f t="array" ref="A498">IF(G498='Room Info'!$B$1, INDEX('Room Info'!$A$2:$A2446, MATCH(B498,'Room Info'!$B$2:$B2446, 0)),IF(G498='Room Info'!$C$1, INDEX('Room Info'!$A$2:$A2446, MATCH(B498,'Room Info'!$C$2:$C2446, 0)),IF(G498='Room Info'!$D$1, INDEX('Room Info'!$A$2:$A2446, MATCH(B498,'Room Info'!$D$2:$D2446, 0)),IF(G498='Room Info'!$E$1, INDEX('Room Info'!$A$2:$A2446, MATCH(B498,'Room Info'!$E$2:$E2446, 0)),IF(G498='Room Info'!$F$1, INDEX('Room Info'!$A$2:$A2446, MATCH(B498,'Room Info'!$F$2:$F2446, 0)),IF(G498='Room Info'!$H$1, INDEX('Room Info'!$A$2:$A2446, MATCH(B498,'Room Info'!$H$2:$H2446, 0)),IF(G498='Room Info'!$G$1, INDEX('Room Info'!$A$2:$A2446, MATCH(B498,'Room Info'!$G$2:$G2446, 0)))))))))</f>
        <v>mr_al3x</v>
      </c>
      <c r="B498" s="45" t="s">
        <v>144</v>
      </c>
      <c r="C498" s="46">
        <v>44896</v>
      </c>
      <c r="D498" s="46">
        <v>44915</v>
      </c>
      <c r="E498" s="47">
        <v>44896</v>
      </c>
      <c r="F498" s="48" t="s">
        <v>49</v>
      </c>
      <c r="G498" s="45" t="s">
        <v>35</v>
      </c>
      <c r="H498" s="49" t="s">
        <v>46</v>
      </c>
      <c r="I498" s="49" t="s">
        <v>37</v>
      </c>
      <c r="J498" s="70">
        <v>25</v>
      </c>
      <c r="K498" s="71">
        <v>582</v>
      </c>
      <c r="L498" s="52">
        <v>-75</v>
      </c>
      <c r="M498" s="53">
        <v>210</v>
      </c>
      <c r="N498" s="28">
        <f>K498*J498</f>
        <v>14550</v>
      </c>
      <c r="O498" s="54">
        <v>14516</v>
      </c>
      <c r="P498" s="29">
        <v>24.941580760000001</v>
      </c>
      <c r="Q498" s="55"/>
      <c r="R498" s="31">
        <f>M498+Q498</f>
        <v>210</v>
      </c>
      <c r="S498" s="56">
        <v>-321</v>
      </c>
      <c r="T498" s="32">
        <f>R498+S498+IF(F498="Without EV deal",L498,0)</f>
        <v>-111</v>
      </c>
      <c r="U498" s="57">
        <v>1</v>
      </c>
      <c r="V498" s="69">
        <v>13.449229553536151</v>
      </c>
      <c r="W498" s="69">
        <v>41.489365452408933</v>
      </c>
      <c r="X498" s="30">
        <f>IF(AF498="DoEV",IF(AND(V498&lt;20,W498&lt;55),0.3,0)+IF(AND(V498&lt;20,W498&gt;=55,W498&lt;105),0.23,0)+IF(AND(V498&lt;20,W498&gt;=105),0.17,0)+IF(AND(V498&gt;=20,V498&lt;40,W498&lt;45),0.3,0)+IF(AND(V498&gt;=20,V498&lt;40,W498&gt;=45,W498&lt;95),0.23,0)+IF(AND(V498&gt;=20,V498&lt;40,W498&gt;=95),0.17,0)+IF(AND(V498&gt;=40,V498&lt;75,W498&lt;35),0.3,0)+IF(AND(V498&gt;=40,V498&lt;75,W498&gt;=35,W498&lt;75),0.23,0)+IF(AND(V498&gt;=40,V498&lt;75,W498&gt;=75,W498&lt;120),0.17,0)+IF(AND(V498&gt;=40,V498&lt;75,W498&gt;=120),0.12,0)+IF(AND(V498&gt;=75,V498&lt;175,W498&lt;35),0.3,0)+IF(AND(V498&gt;=75,V498&lt;=175,W498&gt;=35,W498&lt;65),0.23,0)+IF(AND(V498&gt;=75,V498&lt;=175,W498&gt;=65,W498&lt;110),0.17,0)+IF(AND(V498&gt;=75,V498&lt;=175,W498&gt;=110),0.12,0)+IF(AND(V498&gt;175,W498&lt;25),0.3,0)+IF(AND(V498&gt;175,W498&gt;=25,W498&lt;55),0.23,0)+IF(AND(V498&gt;175,W498&gt;=55,W498&lt;95),0.17,0)+IF(AND(V498&gt;175,W498&gt;=95),0.12,0),
IF(AF498="Fix15",0.15,
IF(AF498="Fix11.25",0.1125,
IF(AF498="Fix10",0.1,
IF(AF498="Fix9",0.09,
IF(AF498="DoEV2017",IF(AND(W498&lt;74),0.2,0)+IF(AND(W498&gt;=74),0.17,0),
IF(AF498="SF",IF(AND(V498&lt;20,W498&lt;89),0.3,0)+IF(AND(V498&lt;20,W498&gt;=89),0.25,0)+IF(AND(V498&gt;=20,V498&lt;40,W498&lt;74),0.3,0)+IF(AND(V498&gt;=20,V498&lt;40,W498&gt;=75),0.22,0)+IF(AND(V498&gt;=40,V498&lt;75,W498&lt;75),0.26,0)+IF(AND(V498&gt;=40,V498&lt;75,W498&gt;=75),0.22,0)+IF(V498&gt;=75,0.22,0),
IF(AF498="DoEVold",IF(AND(V498&lt;40,W498&lt;35),0.35,0)+IF(AND(V498&lt;40,W498&gt;=35,W498&lt;75),0.25,0)+IF(AND(V498&lt;40,W498&gt;=75),0.17,0)+IF(AND(V498&gt;=40,V498&lt;75,W498&lt;25),0.35,0)+IF(AND(V498&gt;=40,V498&lt;75,W498&gt;=25,W498&lt;65),0.25,0)+IF(AND(V498&gt;=40,V498&lt;75,W498&gt;=65,W498&lt;100),0.17,0)+IF(AND(V498&gt;=40,V498&lt;75,W498&gt;=100),0.1,0)+IF(AND(V498&gt;=75,W498&lt;25),0.35,0)+IF(AND(V498&gt;=75,W498&gt;=25,W498&lt;60),0.25,0)+IF(AND(V498&gt;=75,W498&gt;=60,W498&lt;95),0.17,0)+IF(AND(V498&gt;=75,W498&gt;=95),0.1,0),
IF(AF498="DoEVold15",IF(AND(V498&lt;=40,W498&lt;35),0.35,0)+IF(AND(V498&lt;=40,W498&gt;=35,W498&lt;75),0.25,0)+IF(AND(V498&lt;=40,W498&gt;=75,W498&lt;120),0.17,0)+IF(AND(V498&lt;=40,W498&gt;=120),0.15,0)+IF(AND(V498&gt;40,V498&lt;75,W498&lt;25),0.35,0)+IF(AND(V498&gt;=40,V498&lt;75,W498&gt;=25,W498&lt;65),0.25,0)+IF(AND(V498&gt;=40,V498&lt;75,W498&gt;=65,W498&lt;100),0.17,0)+IF(AND(V498&gt;=40,V498&lt;75,W498&gt;=100),0.1,0)+IF(AND(V498&gt;=75,W498&lt;25),0.35,0)+IF(AND(V498&gt;=75,W498&gt;=25,W498&lt;60),0.25,0)+IF(AND(V498&gt;=75,W498&gt;=60,W498&lt;95),0.17,0)+IF(AND(V498&gt;=75,W498&gt;=95),0.1,0),
IF(AF498="DoEVba",IF(AND(V498&lt;20,W498&lt;105),0.2,0)+IF(AND(V498&lt;20,W498&gt;=105),0.15,0)+IF(AND(V498&gt;=20,V498&lt;40,W498&lt;95),0.2,0)+IF(AND(V498&gt;=20,V498&lt;40,W498&gt;=95,W498&lt;150),0.15,0)+IF(AND(V498&gt;=20,V498&lt;40,W498&gt;=150),0.12,0)+IF(AND(V498&gt;=40,V498&lt;75,W498&lt;75),0.2,0)+IF(AND(V498&gt;=40,V498&lt;75,W498&gt;=75,W498&lt;120),0.15,0)+IF(AND(V498&gt;=40,V498&lt;75,W498&gt;=120),0.12,0)+IF(AND(V498&gt;=75,V498&lt;175,W498&lt;65),0.2,0)+IF(AND(V498&gt;=75,V498&lt;175,W498&gt;=65,W498&lt;110),0.15,0)+IF(AND(V498&gt;=75,V498&lt;175,W498&gt;=110),0.12,0)+IF(AND(V498&gt;=175,W498&lt;55),0.2,0)+IF(AND(V498&gt;=175,W498&gt;=55,W498&lt;95),0.15,0)+IF(AND(V498&gt;=175,W498&gt;=95),0.12,0),
IF(AF498="DoEVku",IF(AND(V498&lt;20,W498&lt;55),0.23,0)+IF(AND(V498&lt;20,W498&gt;=55,W498&lt;105),0.2,0)+IF(AND(V498&lt;20,W498&gt;=105),0.17,0)+IF(AND(V498&gt;=20,V498&lt;40,W498&lt;45),0.23,0)+IF(AND(V498&gt;=20,V498&lt;40,W498&gt;=45,W498&lt;95),0.2,0)+IF(AND(V498&gt;=20,V498&lt;40,W498&gt;=95,W498&lt;=150),0.17,0)+IF(AND(V498&gt;=20,V498&lt;40,W498&gt;=150),0.12,0)+IF(AND(V498&gt;=40,V498&lt;75,W498&lt;35),0.23,0)+IF(AND(V498&gt;=40,V498&lt;75,W498&gt;=35,W498&lt;75),0.2,0)+IF(AND(V498&gt;=40,V498&lt;75,W498&gt;=75,W498&lt;120),0.17,0)+IF(AND(V498&gt;=40,V498&lt;75,W498&gt;=120),0.12,0)+IF(AND(V498&gt;=75,V498&lt;175,W498&lt;35),0.23,0)+IF(AND(V498&gt;=75,V498&lt;=175,W498&gt;=35,W498&lt;65),0.2,0)+IF(AND(V498&gt;=75,V498&lt;=175,W498&gt;=65,W498&lt;110),0.17,0)+IF(AND(V498&gt;=75,V498&lt;=175,W498&gt;=110),0.12,0)+IF(AND(V498&gt;175,W498&lt;25),0.23,0)+IF(AND(V498&gt;175,W498&gt;=25,W498&lt;55),0.2,0)+IF(AND(V498&gt;175,W498&gt;=55,W498&lt;95),0.17,0)+IF(AND(V498&gt;175,W498&gt;=95),0.12,0),
IF(AF498="DoEVs1",IF(AND(V498&lt;20,W498&lt;55),0.3,0)+IF(AND(V498&lt;20,W498&gt;=55,W498&lt;105),0.23,0)+IF(AND(V498&lt;20,W498&gt;=105),0.17,0)+IF(AND(V498&gt;=20,V498&lt;40,W498&lt;45),0.3,0)+IF(AND(V498&gt;=20,V498&lt;40,W498&gt;=45,W498&lt;95),0.23,0)+IF(AND(V498&gt;=20,V498&lt;40,W498&gt;=95,W498&lt;=150),0.17,0)+IF(AND(V498&gt;=20,V498&lt;40,W498&gt;=150),0.12,0)+IF(AND(V498&gt;=40,V498&lt;75,W498&lt;35),0.3,0)+IF(AND(V498&gt;=40,V498&lt;75,W498&gt;=35,W498&lt;75),0.23,0)+IF(AND(V498&gt;=40,V498&lt;75,W498&gt;=75,W498&lt;120),0.17,0)+IF(AND(V498&gt;=40,V498&lt;75,W498&gt;=120),0.12,0)+IF(AND(V498&gt;=75,V498&lt;175,W498&lt;35),0.3,0)+IF(AND(V498&gt;=75,V498&lt;=175,W498&gt;=35,W498&lt;65),0.23,0)+IF(AND(V498&gt;=75,V498&lt;=175,W498&gt;=65,W498&lt;110),0.17,0)+IF(AND(V498&gt;=75,V498&lt;=175,W498&gt;=110),0.12,0)+IF(AND(V498&gt;175,W498&lt;25),0.3,0)+IF(AND(V498&gt;175,W498&gt;=25,W498&lt;55),0.23,0)+IF(AND(V498&gt;175,W498&gt;=55,W498&lt;95),0.17,0)+IF(AND(V498&gt;175,W498&gt;=95),0.12,0),
IF(AF498="DoEVsu",IF(AND(V498&lt;20,W498&lt;55),0.3,0)+IF(AND(V498&lt;20,W498&gt;=55,W498&lt;105),0.23,0)+IF(AND(V498&lt;20,W498&gt;=105),0.17,0)+IF(AND(V498&gt;=20,V498&lt;40,W498&lt;45),0.3,0)+IF(AND(V498&gt;=20,V498&lt;40,W498&gt;=45,W498&lt;95),0.23,0)+IF(AND(V498&gt;=20,V498&lt;40,W498&gt;=95,W498&lt;=250),0.17,0)+IF(AND(V498&gt;=20,V498&lt;40,W498&gt;=250),0.12,0)+IF(AND(V498&gt;=40,V498&lt;75,W498&lt;35),0.3,0)+IF(AND(V498&gt;=40,V498&lt;75,W498&gt;=35,W498&lt;75),0.23,0)+IF(AND(V498&gt;=40,V498&lt;75,W498&gt;=75,W498&lt;120),0.17,0)+IF(AND(V498&gt;=40,V498&lt;75,W498&gt;=120),0.12,0)+IF(AND(V498&gt;=75,V498&lt;175,W498&lt;35),0.3,0)+IF(AND(V498&gt;=75,V498&lt;=175,W498&gt;=35,W498&lt;65),0.23,0)+IF(AND(V498&gt;=75,V498&lt;=175,W498&gt;=65,W498&lt;110),0.17,0)+IF(AND(V498&gt;=75,V498&lt;=175,W498&gt;=110),0.12,0)+IF(AND(V498&gt;175,W498&lt;25),0.3,0)+IF(AND(V498&gt;175,W498&gt;=25,W498&lt;55),0.23,0)+IF(AND(V498&gt;175,W498&gt;=55,W498&lt;95),0.17,0)+IF(AND(V498&gt;175,W498&gt;=95),0.12,0),
IF(AF498="DoEVni",IF(AND(V498&lt;20,W498&lt;55),0.3,0)+IF(AND(V498&lt;20,W498&gt;=55,W498&lt;105),0.23,0)+IF(AND(V498&lt;20,W498&gt;=105),0.17,0)+IF(AND(V498&gt;=20,V498&lt;40,W498&lt;45),0.3,0)+IF(AND(V498&gt;=20,V498&lt;40,W498&gt;=45,W498&lt;95),0.23,0)+IF(AND(V498&gt;=20,V498&lt;40,W498&gt;=95,W498&lt;=200),0.17,0)+IF(AND(V498&gt;=20,V498&lt;40,W498&gt;=200),0.12,0)+IF(AND(V498&gt;=40,V498&lt;75,W498&lt;35),0.3,0)+IF(AND(V498&gt;=40,V498&lt;75,W498&gt;=35,W498&lt;75),0.23,0)+IF(AND(V498&gt;=40,V498&lt;75,W498&gt;=75,W498&lt;120),0.17,0)+IF(AND(V498&gt;=40,V498&lt;75,W498&gt;=120),0.12,0)+IF(AND(V498&gt;=75,V498&lt;175,W498&lt;35),0.3,0)+IF(AND(V498&gt;=75,V498&lt;=175,W498&gt;=35,W498&lt;65),0.23,0)+IF(AND(V498&gt;=75,V498&lt;=175,W498&gt;=65,W498&lt;110),0.17,0)+IF(AND(V498&gt;=75,V498&lt;=175,W498&gt;=110),0.12,0)+IF(AND(V498&gt;175,W498&lt;25),0.3,0)+IF(AND(V498&gt;175,W498&gt;=25,W498&lt;55),0.23,0)+IF(AND(V498&gt;175,W498&gt;=55,W498&lt;95),0.17,0)+IF(AND(V498&gt;175,W498&gt;=95),0.12,0),
IF(AF498="DoEVLo",IF(AND(V498&lt;20,W498&lt;55),0.25,0)+IF(AND(V498&lt;20,W498&gt;=55,W498&lt;105),0.2,0)+IF(AND(V498&lt;20,W498&gt;=105),0.15,0)+IF(AND(V498&gt;=20,V498&lt;40,W498&lt;45),0.25,0)+IF(AND(V498&gt;=20,V498&lt;40,W498&gt;=45,W498&lt;95),0.2,0)+IF(AND(V498&gt;=20,V498&lt;40,W498&gt;=95),0.15,0)+IF(AND(V498&gt;=40,V498&lt;75,W498&lt;35),0.25,0)+IF(AND(V498&gt;=40,V498&lt;75,W498&gt;=35,W498&lt;75),0.2,0)+IF(AND(V498&gt;=40,V498&lt;75,W498&gt;=75,W498&lt;120),0.15,0)+IF(AND(V498&gt;=40,V498&lt;75,W498&gt;=120),0.1,0)+IF(AND(V498&gt;=75,V498&lt;175,W498&lt;35),0.25,0)+IF(AND(V498&gt;=75,V498&lt;=175,W498&gt;=35,W498&lt;65),0.2,0)+IF(AND(V498&gt;=75,V498&lt;=175,W498&gt;=65,W498&lt;110),0.15,0)+IF(AND(V498&gt;=75,V498&lt;=175,W498&gt;=110),0.1,0)+IF(AND(V498&gt;175,W498&lt;25),0.25,0)+IF(AND(V498&gt;175,W498&gt;=25,W498&lt;55),0.2,0)+IF(AND(V498&gt;175,W498&gt;=55,W498&lt;95),0.15,0)+IF(AND(V498&gt;175,W498&gt;=95),0.1,0))))))))))))))))</f>
        <v>0.25</v>
      </c>
      <c r="Y498" s="30">
        <f>IF(AG498="None",0,IF(AG498="Fix5",0.05,IF(AG498="Fix3.75",0.0375,IF(AG498="Fix10",0.1,IF(AG498="Fix3",0.03,0)))))</f>
        <v>0</v>
      </c>
      <c r="Z498" s="35">
        <f>T498-AA498-AB498</f>
        <v>-83.25</v>
      </c>
      <c r="AA498" s="29">
        <f>IF(AD498="EUR",((T498-R498)*X498)*U498+(R498*X498),(T498*X498))</f>
        <v>-27.75</v>
      </c>
      <c r="AB498" s="36">
        <f>IF(AD498="EUR",((T498-R498)*Y498)*U498+(R498*Y498),(T498*Y498))</f>
        <v>0</v>
      </c>
      <c r="AC498" s="37" t="b">
        <v>0</v>
      </c>
      <c r="AD498" s="37" t="s">
        <v>38</v>
      </c>
      <c r="AE498" s="37" t="s">
        <v>38</v>
      </c>
      <c r="AF498" s="37" t="str">
        <f t="array" ref="AF498">INDEX('Deal Info'!D:D, MATCH(A498,'Deal Info'!A:A, 0))</f>
        <v>DoEVold15</v>
      </c>
      <c r="AG498" s="38" t="str">
        <f t="array" ref="AG498">INDEX('Deal Info'!G:G, MATCH(A498,'Deal Info'!A:A, 0))</f>
        <v>None</v>
      </c>
    </row>
    <row r="499" spans="1:33" ht="14.25" hidden="1" x14ac:dyDescent="0.2">
      <c r="A499" s="18" t="str">
        <f t="array" ref="A499">IF(G499='Room Info'!$B$1, INDEX('Room Info'!$A$2:$A2446, MATCH(B499,'Room Info'!$B$2:$B2446, 0)),IF(G499='Room Info'!$C$1, INDEX('Room Info'!$A$2:$A2446, MATCH(B499,'Room Info'!$C$2:$C2446, 0)),IF(G499='Room Info'!$D$1, INDEX('Room Info'!$A$2:$A2446, MATCH(B499,'Room Info'!$D$2:$D2446, 0)),IF(G499='Room Info'!$E$1, INDEX('Room Info'!$A$2:$A2446, MATCH(B499,'Room Info'!$E$2:$E2446, 0)),IF(G499='Room Info'!$F$1, INDEX('Room Info'!$A$2:$A2446, MATCH(B499,'Room Info'!$F$2:$F2446, 0)),IF(G499='Room Info'!$H$1, INDEX('Room Info'!$A$2:$A2446, MATCH(B499,'Room Info'!$H$2:$H2446, 0)),IF(G499='Room Info'!$G$1, INDEX('Room Info'!$A$2:$A2446, MATCH(B499,'Room Info'!$G$2:$G2446, 0)))))))))</f>
        <v>mr_al3x</v>
      </c>
      <c r="B499" s="45" t="s">
        <v>144</v>
      </c>
      <c r="C499" s="46">
        <v>44896</v>
      </c>
      <c r="D499" s="46">
        <v>44915</v>
      </c>
      <c r="E499" s="47">
        <v>44896</v>
      </c>
      <c r="F499" s="48" t="s">
        <v>41</v>
      </c>
      <c r="G499" s="45" t="s">
        <v>35</v>
      </c>
      <c r="H499" s="49" t="s">
        <v>40</v>
      </c>
      <c r="I499" s="49" t="s">
        <v>37</v>
      </c>
      <c r="J499" s="70">
        <v>10</v>
      </c>
      <c r="K499" s="71">
        <v>1949</v>
      </c>
      <c r="L499" s="52">
        <v>340</v>
      </c>
      <c r="M499" s="53">
        <v>329</v>
      </c>
      <c r="N499" s="28">
        <f>K499*J499</f>
        <v>19490</v>
      </c>
      <c r="O499" s="54">
        <v>122260.77</v>
      </c>
      <c r="P499" s="29">
        <v>62.73</v>
      </c>
      <c r="Q499" s="55"/>
      <c r="R499" s="31">
        <f>M499+Q499</f>
        <v>329</v>
      </c>
      <c r="S499" s="56"/>
      <c r="T499" s="32">
        <f>R499+S499+IF(F499="Without EV deal",L499,0)</f>
        <v>669</v>
      </c>
      <c r="U499" s="57">
        <v>1</v>
      </c>
      <c r="V499" s="69">
        <v>13.449229553536151</v>
      </c>
      <c r="W499" s="69">
        <v>41.489365452408933</v>
      </c>
      <c r="X499" s="30">
        <f>IF(AF499="DoEV",IF(AND(V499&lt;20,W499&lt;55),0.3,0)+IF(AND(V499&lt;20,W499&gt;=55,W499&lt;105),0.23,0)+IF(AND(V499&lt;20,W499&gt;=105),0.17,0)+IF(AND(V499&gt;=20,V499&lt;40,W499&lt;45),0.3,0)+IF(AND(V499&gt;=20,V499&lt;40,W499&gt;=45,W499&lt;95),0.23,0)+IF(AND(V499&gt;=20,V499&lt;40,W499&gt;=95),0.17,0)+IF(AND(V499&gt;=40,V499&lt;75,W499&lt;35),0.3,0)+IF(AND(V499&gt;=40,V499&lt;75,W499&gt;=35,W499&lt;75),0.23,0)+IF(AND(V499&gt;=40,V499&lt;75,W499&gt;=75,W499&lt;120),0.17,0)+IF(AND(V499&gt;=40,V499&lt;75,W499&gt;=120),0.12,0)+IF(AND(V499&gt;=75,V499&lt;175,W499&lt;35),0.3,0)+IF(AND(V499&gt;=75,V499&lt;=175,W499&gt;=35,W499&lt;65),0.23,0)+IF(AND(V499&gt;=75,V499&lt;=175,W499&gt;=65,W499&lt;110),0.17,0)+IF(AND(V499&gt;=75,V499&lt;=175,W499&gt;=110),0.12,0)+IF(AND(V499&gt;175,W499&lt;25),0.3,0)+IF(AND(V499&gt;175,W499&gt;=25,W499&lt;55),0.23,0)+IF(AND(V499&gt;175,W499&gt;=55,W499&lt;95),0.17,0)+IF(AND(V499&gt;175,W499&gt;=95),0.12,0),
IF(AF499="Fix15",0.15,
IF(AF499="Fix11.25",0.1125,
IF(AF499="Fix10",0.1,
IF(AF499="Fix9",0.09,
IF(AF499="DoEV2017",IF(AND(W499&lt;74),0.2,0)+IF(AND(W499&gt;=74),0.17,0),
IF(AF499="SF",IF(AND(V499&lt;20,W499&lt;89),0.3,0)+IF(AND(V499&lt;20,W499&gt;=89),0.25,0)+IF(AND(V499&gt;=20,V499&lt;40,W499&lt;74),0.3,0)+IF(AND(V499&gt;=20,V499&lt;40,W499&gt;=75),0.22,0)+IF(AND(V499&gt;=40,V499&lt;75,W499&lt;75),0.26,0)+IF(AND(V499&gt;=40,V499&lt;75,W499&gt;=75),0.22,0)+IF(V499&gt;=75,0.22,0),
IF(AF499="DoEVold",IF(AND(V499&lt;40,W499&lt;35),0.35,0)+IF(AND(V499&lt;40,W499&gt;=35,W499&lt;75),0.25,0)+IF(AND(V499&lt;40,W499&gt;=75),0.17,0)+IF(AND(V499&gt;=40,V499&lt;75,W499&lt;25),0.35,0)+IF(AND(V499&gt;=40,V499&lt;75,W499&gt;=25,W499&lt;65),0.25,0)+IF(AND(V499&gt;=40,V499&lt;75,W499&gt;=65,W499&lt;100),0.17,0)+IF(AND(V499&gt;=40,V499&lt;75,W499&gt;=100),0.1,0)+IF(AND(V499&gt;=75,W499&lt;25),0.35,0)+IF(AND(V499&gt;=75,W499&gt;=25,W499&lt;60),0.25,0)+IF(AND(V499&gt;=75,W499&gt;=60,W499&lt;95),0.17,0)+IF(AND(V499&gt;=75,W499&gt;=95),0.1,0),
IF(AF499="DoEVold15",IF(AND(V499&lt;=40,W499&lt;35),0.35,0)+IF(AND(V499&lt;=40,W499&gt;=35,W499&lt;75),0.25,0)+IF(AND(V499&lt;=40,W499&gt;=75,W499&lt;120),0.17,0)+IF(AND(V499&lt;=40,W499&gt;=120),0.15,0)+IF(AND(V499&gt;40,V499&lt;75,W499&lt;25),0.35,0)+IF(AND(V499&gt;=40,V499&lt;75,W499&gt;=25,W499&lt;65),0.25,0)+IF(AND(V499&gt;=40,V499&lt;75,W499&gt;=65,W499&lt;100),0.17,0)+IF(AND(V499&gt;=40,V499&lt;75,W499&gt;=100),0.1,0)+IF(AND(V499&gt;=75,W499&lt;25),0.35,0)+IF(AND(V499&gt;=75,W499&gt;=25,W499&lt;60),0.25,0)+IF(AND(V499&gt;=75,W499&gt;=60,W499&lt;95),0.17,0)+IF(AND(V499&gt;=75,W499&gt;=95),0.1,0),
IF(AF499="DoEVba",IF(AND(V499&lt;20,W499&lt;105),0.2,0)+IF(AND(V499&lt;20,W499&gt;=105),0.15,0)+IF(AND(V499&gt;=20,V499&lt;40,W499&lt;95),0.2,0)+IF(AND(V499&gt;=20,V499&lt;40,W499&gt;=95,W499&lt;150),0.15,0)+IF(AND(V499&gt;=20,V499&lt;40,W499&gt;=150),0.12,0)+IF(AND(V499&gt;=40,V499&lt;75,W499&lt;75),0.2,0)+IF(AND(V499&gt;=40,V499&lt;75,W499&gt;=75,W499&lt;120),0.15,0)+IF(AND(V499&gt;=40,V499&lt;75,W499&gt;=120),0.12,0)+IF(AND(V499&gt;=75,V499&lt;175,W499&lt;65),0.2,0)+IF(AND(V499&gt;=75,V499&lt;175,W499&gt;=65,W499&lt;110),0.15,0)+IF(AND(V499&gt;=75,V499&lt;175,W499&gt;=110),0.12,0)+IF(AND(V499&gt;=175,W499&lt;55),0.2,0)+IF(AND(V499&gt;=175,W499&gt;=55,W499&lt;95),0.15,0)+IF(AND(V499&gt;=175,W499&gt;=95),0.12,0),
IF(AF499="DoEVku",IF(AND(V499&lt;20,W499&lt;55),0.23,0)+IF(AND(V499&lt;20,W499&gt;=55,W499&lt;105),0.2,0)+IF(AND(V499&lt;20,W499&gt;=105),0.17,0)+IF(AND(V499&gt;=20,V499&lt;40,W499&lt;45),0.23,0)+IF(AND(V499&gt;=20,V499&lt;40,W499&gt;=45,W499&lt;95),0.2,0)+IF(AND(V499&gt;=20,V499&lt;40,W499&gt;=95,W499&lt;=150),0.17,0)+IF(AND(V499&gt;=20,V499&lt;40,W499&gt;=150),0.12,0)+IF(AND(V499&gt;=40,V499&lt;75,W499&lt;35),0.23,0)+IF(AND(V499&gt;=40,V499&lt;75,W499&gt;=35,W499&lt;75),0.2,0)+IF(AND(V499&gt;=40,V499&lt;75,W499&gt;=75,W499&lt;120),0.17,0)+IF(AND(V499&gt;=40,V499&lt;75,W499&gt;=120),0.12,0)+IF(AND(V499&gt;=75,V499&lt;175,W499&lt;35),0.23,0)+IF(AND(V499&gt;=75,V499&lt;=175,W499&gt;=35,W499&lt;65),0.2,0)+IF(AND(V499&gt;=75,V499&lt;=175,W499&gt;=65,W499&lt;110),0.17,0)+IF(AND(V499&gt;=75,V499&lt;=175,W499&gt;=110),0.12,0)+IF(AND(V499&gt;175,W499&lt;25),0.23,0)+IF(AND(V499&gt;175,W499&gt;=25,W499&lt;55),0.2,0)+IF(AND(V499&gt;175,W499&gt;=55,W499&lt;95),0.17,0)+IF(AND(V499&gt;175,W499&gt;=95),0.12,0),
IF(AF499="DoEVs1",IF(AND(V499&lt;20,W499&lt;55),0.3,0)+IF(AND(V499&lt;20,W499&gt;=55,W499&lt;105),0.23,0)+IF(AND(V499&lt;20,W499&gt;=105),0.17,0)+IF(AND(V499&gt;=20,V499&lt;40,W499&lt;45),0.3,0)+IF(AND(V499&gt;=20,V499&lt;40,W499&gt;=45,W499&lt;95),0.23,0)+IF(AND(V499&gt;=20,V499&lt;40,W499&gt;=95,W499&lt;=150),0.17,0)+IF(AND(V499&gt;=20,V499&lt;40,W499&gt;=150),0.12,0)+IF(AND(V499&gt;=40,V499&lt;75,W499&lt;35),0.3,0)+IF(AND(V499&gt;=40,V499&lt;75,W499&gt;=35,W499&lt;75),0.23,0)+IF(AND(V499&gt;=40,V499&lt;75,W499&gt;=75,W499&lt;120),0.17,0)+IF(AND(V499&gt;=40,V499&lt;75,W499&gt;=120),0.12,0)+IF(AND(V499&gt;=75,V499&lt;175,W499&lt;35),0.3,0)+IF(AND(V499&gt;=75,V499&lt;=175,W499&gt;=35,W499&lt;65),0.23,0)+IF(AND(V499&gt;=75,V499&lt;=175,W499&gt;=65,W499&lt;110),0.17,0)+IF(AND(V499&gt;=75,V499&lt;=175,W499&gt;=110),0.12,0)+IF(AND(V499&gt;175,W499&lt;25),0.3,0)+IF(AND(V499&gt;175,W499&gt;=25,W499&lt;55),0.23,0)+IF(AND(V499&gt;175,W499&gt;=55,W499&lt;95),0.17,0)+IF(AND(V499&gt;175,W499&gt;=95),0.12,0),
IF(AF499="DoEVsu",IF(AND(V499&lt;20,W499&lt;55),0.3,0)+IF(AND(V499&lt;20,W499&gt;=55,W499&lt;105),0.23,0)+IF(AND(V499&lt;20,W499&gt;=105),0.17,0)+IF(AND(V499&gt;=20,V499&lt;40,W499&lt;45),0.3,0)+IF(AND(V499&gt;=20,V499&lt;40,W499&gt;=45,W499&lt;95),0.23,0)+IF(AND(V499&gt;=20,V499&lt;40,W499&gt;=95,W499&lt;=250),0.17,0)+IF(AND(V499&gt;=20,V499&lt;40,W499&gt;=250),0.12,0)+IF(AND(V499&gt;=40,V499&lt;75,W499&lt;35),0.3,0)+IF(AND(V499&gt;=40,V499&lt;75,W499&gt;=35,W499&lt;75),0.23,0)+IF(AND(V499&gt;=40,V499&lt;75,W499&gt;=75,W499&lt;120),0.17,0)+IF(AND(V499&gt;=40,V499&lt;75,W499&gt;=120),0.12,0)+IF(AND(V499&gt;=75,V499&lt;175,W499&lt;35),0.3,0)+IF(AND(V499&gt;=75,V499&lt;=175,W499&gt;=35,W499&lt;65),0.23,0)+IF(AND(V499&gt;=75,V499&lt;=175,W499&gt;=65,W499&lt;110),0.17,0)+IF(AND(V499&gt;=75,V499&lt;=175,W499&gt;=110),0.12,0)+IF(AND(V499&gt;175,W499&lt;25),0.3,0)+IF(AND(V499&gt;175,W499&gt;=25,W499&lt;55),0.23,0)+IF(AND(V499&gt;175,W499&gt;=55,W499&lt;95),0.17,0)+IF(AND(V499&gt;175,W499&gt;=95),0.12,0),
IF(AF499="DoEVni",IF(AND(V499&lt;20,W499&lt;55),0.3,0)+IF(AND(V499&lt;20,W499&gt;=55,W499&lt;105),0.23,0)+IF(AND(V499&lt;20,W499&gt;=105),0.17,0)+IF(AND(V499&gt;=20,V499&lt;40,W499&lt;45),0.3,0)+IF(AND(V499&gt;=20,V499&lt;40,W499&gt;=45,W499&lt;95),0.23,0)+IF(AND(V499&gt;=20,V499&lt;40,W499&gt;=95,W499&lt;=200),0.17,0)+IF(AND(V499&gt;=20,V499&lt;40,W499&gt;=200),0.12,0)+IF(AND(V499&gt;=40,V499&lt;75,W499&lt;35),0.3,0)+IF(AND(V499&gt;=40,V499&lt;75,W499&gt;=35,W499&lt;75),0.23,0)+IF(AND(V499&gt;=40,V499&lt;75,W499&gt;=75,W499&lt;120),0.17,0)+IF(AND(V499&gt;=40,V499&lt;75,W499&gt;=120),0.12,0)+IF(AND(V499&gt;=75,V499&lt;175,W499&lt;35),0.3,0)+IF(AND(V499&gt;=75,V499&lt;=175,W499&gt;=35,W499&lt;65),0.23,0)+IF(AND(V499&gt;=75,V499&lt;=175,W499&gt;=65,W499&lt;110),0.17,0)+IF(AND(V499&gt;=75,V499&lt;=175,W499&gt;=110),0.12,0)+IF(AND(V499&gt;175,W499&lt;25),0.3,0)+IF(AND(V499&gt;175,W499&gt;=25,W499&lt;55),0.23,0)+IF(AND(V499&gt;175,W499&gt;=55,W499&lt;95),0.17,0)+IF(AND(V499&gt;175,W499&gt;=95),0.12,0),
IF(AF499="DoEVLo",IF(AND(V499&lt;20,W499&lt;55),0.25,0)+IF(AND(V499&lt;20,W499&gt;=55,W499&lt;105),0.2,0)+IF(AND(V499&lt;20,W499&gt;=105),0.15,0)+IF(AND(V499&gt;=20,V499&lt;40,W499&lt;45),0.25,0)+IF(AND(V499&gt;=20,V499&lt;40,W499&gt;=45,W499&lt;95),0.2,0)+IF(AND(V499&gt;=20,V499&lt;40,W499&gt;=95),0.15,0)+IF(AND(V499&gt;=40,V499&lt;75,W499&lt;35),0.25,0)+IF(AND(V499&gt;=40,V499&lt;75,W499&gt;=35,W499&lt;75),0.2,0)+IF(AND(V499&gt;=40,V499&lt;75,W499&gt;=75,W499&lt;120),0.15,0)+IF(AND(V499&gt;=40,V499&lt;75,W499&gt;=120),0.1,0)+IF(AND(V499&gt;=75,V499&lt;175,W499&lt;35),0.25,0)+IF(AND(V499&gt;=75,V499&lt;=175,W499&gt;=35,W499&lt;65),0.2,0)+IF(AND(V499&gt;=75,V499&lt;=175,W499&gt;=65,W499&lt;110),0.15,0)+IF(AND(V499&gt;=75,V499&lt;=175,W499&gt;=110),0.1,0)+IF(AND(V499&gt;175,W499&lt;25),0.25,0)+IF(AND(V499&gt;175,W499&gt;=25,W499&lt;55),0.2,0)+IF(AND(V499&gt;175,W499&gt;=55,W499&lt;95),0.15,0)+IF(AND(V499&gt;175,W499&gt;=95),0.1,0))))))))))))))))</f>
        <v>0.25</v>
      </c>
      <c r="Y499" s="30">
        <f>IF(AG499="None",0,IF(AG499="Fix5",0.05,IF(AG499="Fix3.75",0.0375,IF(AG499="Fix10",0.1,IF(AG499="Fix3",0.03,0)))))</f>
        <v>0</v>
      </c>
      <c r="Z499" s="35">
        <f>T499-AA499-AB499</f>
        <v>501.75</v>
      </c>
      <c r="AA499" s="29">
        <f>IF(AD499="EUR",((T499-R499)*X499)*U499+(R499*X499),(T499*X499))</f>
        <v>167.25</v>
      </c>
      <c r="AB499" s="36">
        <f>IF(AD499="EUR",((T499-R499)*Y499)*U499+(R499*Y499),(T499*Y499))</f>
        <v>0</v>
      </c>
      <c r="AC499" s="37" t="b">
        <v>0</v>
      </c>
      <c r="AD499" s="37" t="s">
        <v>38</v>
      </c>
      <c r="AE499" s="37" t="s">
        <v>38</v>
      </c>
      <c r="AF499" s="37" t="str">
        <f t="array" ref="AF499">INDEX('Deal Info'!D:D, MATCH(A499,'Deal Info'!A:A, 0))</f>
        <v>DoEVold15</v>
      </c>
      <c r="AG499" s="38" t="str">
        <f t="array" ref="AG499">INDEX('Deal Info'!G:G, MATCH(A499,'Deal Info'!A:A, 0))</f>
        <v>None</v>
      </c>
    </row>
    <row r="500" spans="1:33" ht="14.25" hidden="1" x14ac:dyDescent="0.2">
      <c r="A500" s="18" t="str">
        <f t="array" ref="A500">IF(G500='Room Info'!$B$1, INDEX('Room Info'!$A$2:$A2446, MATCH(B500,'Room Info'!$B$2:$B2446, 0)),IF(G500='Room Info'!$C$1, INDEX('Room Info'!$A$2:$A2446, MATCH(B500,'Room Info'!$C$2:$C2446, 0)),IF(G500='Room Info'!$D$1, INDEX('Room Info'!$A$2:$A2446, MATCH(B500,'Room Info'!$D$2:$D2446, 0)),IF(G500='Room Info'!$E$1, INDEX('Room Info'!$A$2:$A2446, MATCH(B500,'Room Info'!$E$2:$E2446, 0)),IF(G500='Room Info'!$F$1, INDEX('Room Info'!$A$2:$A2446, MATCH(B500,'Room Info'!$F$2:$F2446, 0)),IF(G500='Room Info'!$H$1, INDEX('Room Info'!$A$2:$A2446, MATCH(B500,'Room Info'!$H$2:$H2446, 0)),IF(G500='Room Info'!$G$1, INDEX('Room Info'!$A$2:$A2446, MATCH(B500,'Room Info'!$G$2:$G2446, 0)))))))))</f>
        <v>benyya</v>
      </c>
      <c r="B500" s="45" t="s">
        <v>145</v>
      </c>
      <c r="C500" s="46">
        <v>44700</v>
      </c>
      <c r="D500" s="46">
        <v>44712</v>
      </c>
      <c r="E500" s="47">
        <v>44682</v>
      </c>
      <c r="F500" s="48" t="s">
        <v>49</v>
      </c>
      <c r="G500" s="45" t="s">
        <v>35</v>
      </c>
      <c r="H500" s="49" t="s">
        <v>70</v>
      </c>
      <c r="I500" s="49" t="s">
        <v>37</v>
      </c>
      <c r="J500" s="70">
        <v>100</v>
      </c>
      <c r="K500" s="71">
        <v>3</v>
      </c>
      <c r="L500" s="52">
        <v>-300</v>
      </c>
      <c r="M500" s="53">
        <v>11</v>
      </c>
      <c r="N500" s="28">
        <f>K500*J500</f>
        <v>300</v>
      </c>
      <c r="O500" s="54">
        <v>-1236</v>
      </c>
      <c r="P500" s="29">
        <v>-412</v>
      </c>
      <c r="Q500" s="55"/>
      <c r="R500" s="31">
        <f>M500+Q500</f>
        <v>11</v>
      </c>
      <c r="S500" s="56">
        <v>-248</v>
      </c>
      <c r="T500" s="32">
        <f>R500+S500+IF(F500="Without EV deal",L500,0)</f>
        <v>-237</v>
      </c>
      <c r="U500" s="57">
        <v>1</v>
      </c>
      <c r="V500" s="58"/>
      <c r="W500" s="58"/>
      <c r="X500" s="30">
        <f>IF(AF500="DoEV",IF(AND(V500&lt;20,W500&lt;55),0.3,0)+IF(AND(V500&lt;20,W500&gt;=55,W500&lt;105),0.23,0)+IF(AND(V500&lt;20,W500&gt;=105),0.17,0)+IF(AND(V500&gt;=20,V500&lt;40,W500&lt;45),0.3,0)+IF(AND(V500&gt;=20,V500&lt;40,W500&gt;=45,W500&lt;95),0.23,0)+IF(AND(V500&gt;=20,V500&lt;40,W500&gt;=95),0.17,0)+IF(AND(V500&gt;=40,V500&lt;75,W500&lt;35),0.3,0)+IF(AND(V500&gt;=40,V500&lt;75,W500&gt;=35,W500&lt;75),0.23,0)+IF(AND(V500&gt;=40,V500&lt;75,W500&gt;=75,W500&lt;120),0.17,0)+IF(AND(V500&gt;=40,V500&lt;75,W500&gt;=120),0.12,0)+IF(AND(V500&gt;=75,V500&lt;175,W500&lt;35),0.3,0)+IF(AND(V500&gt;=75,V500&lt;=175,W500&gt;=35,W500&lt;65),0.23,0)+IF(AND(V500&gt;=75,V500&lt;=175,W500&gt;=65,W500&lt;110),0.17,0)+IF(AND(V500&gt;=75,V500&lt;=175,W500&gt;=110),0.12,0)+IF(AND(V500&gt;175,W500&lt;25),0.3,0)+IF(AND(V500&gt;175,W500&gt;=25,W500&lt;55),0.23,0)+IF(AND(V500&gt;175,W500&gt;=55,W500&lt;95),0.17,0)+IF(AND(V500&gt;175,W500&gt;=95),0.12,0),
IF(AF500="Fix15",0.15,
IF(AF500="Fix18.75",0.1875,
IF(AF500="Fix11.25",0.1125,
IF(AF500="Fix10",0.1,
IF(AF500="Fix9",0.09,
IF(AF500="DoEV2017",IF(AND(W500&lt;74),0.2,0)+IF(AND(W500&gt;=74),0.17,0),
IF(AF500="SF",IF(AND(V500&lt;20,W500&lt;89),0.3,0)+IF(AND(V500&lt;20,W500&gt;=89),0.25,0)+IF(AND(V500&gt;=20,V500&lt;40,W500&lt;74),0.3,0)+IF(AND(V500&gt;=20,V500&lt;40,W500&gt;=75),0.22,0)+IF(AND(V500&gt;=40,V500&lt;75,W500&lt;75),0.26,0)+IF(AND(V500&gt;=40,V500&lt;75,W500&gt;=75),0.22,0)+IF(V500&gt;=75,0.22,0),
IF(AF500="DoEVold",IF(AND(V500&lt;40,W500&lt;35),0.35,0)+IF(AND(V500&lt;40,W500&gt;=35,W500&lt;75),0.25,0)+IF(AND(V500&lt;40,W500&gt;=75),0.17,0)+IF(AND(V500&gt;=40,V500&lt;75,W500&lt;25),0.35,0)+IF(AND(V500&gt;=40,V500&lt;75,W500&gt;=25,W500&lt;65),0.25,0)+IF(AND(V500&gt;=40,V500&lt;75,W500&gt;=65,W500&lt;100),0.17,0)+IF(AND(V500&gt;=40,V500&lt;75,W500&gt;=100),0.1,0)+IF(AND(V500&gt;=75,W500&lt;25),0.35,0)+IF(AND(V500&gt;=75,W500&gt;=25,W500&lt;60),0.25,0)+IF(AND(V500&gt;=75,W500&gt;=60,W500&lt;95),0.17,0)+IF(AND(V500&gt;=75,W500&gt;=95),0.1,0),
IF(AF500="DoEVold15",IF(AND(V500&lt;=40,W500&lt;35),0.35,0)+IF(AND(V500&lt;=40,W500&gt;=35,W500&lt;75),0.25,0)+IF(AND(V500&lt;=40,W500&gt;=75,W500&lt;120),0.17,0)+IF(AND(V500&lt;=40,W500&gt;=120),0.15,0)+IF(AND(V500&gt;40,V500&lt;75,W500&lt;25),0.35,0)+IF(AND(V500&gt;=40,V500&lt;75,W500&gt;=25,W500&lt;65),0.25,0)+IF(AND(V500&gt;=40,V500&lt;75,W500&gt;=65,W500&lt;100),0.17,0)+IF(AND(V500&gt;=40,V500&lt;75,W500&gt;=100),0.1,0)+IF(AND(V500&gt;=75,W500&lt;25),0.35,0)+IF(AND(V500&gt;=75,W500&gt;=25,W500&lt;60),0.25,0)+IF(AND(V500&gt;=75,W500&gt;=60,W500&lt;95),0.17,0)+IF(AND(V500&gt;=75,W500&gt;=95),0.1,0),
IF(AF500="DoEVba",IF(AND(V500&lt;20,W500&lt;105),0.2,0)+IF(AND(V500&lt;20,W500&gt;=105),0.15,0)+IF(AND(V500&gt;=20,V500&lt;40,W500&lt;95),0.2,0)+IF(AND(V500&gt;=20,V500&lt;40,W500&gt;=95,W500&lt;150),0.15,0)+IF(AND(V500&gt;=20,V500&lt;40,W500&gt;=150),0.12,0)+IF(AND(V500&gt;=40,V500&lt;75,W500&lt;75),0.2,0)+IF(AND(V500&gt;=40,V500&lt;75,W500&gt;=75,W500&lt;120),0.15,0)+IF(AND(V500&gt;=40,V500&lt;75,W500&gt;=120),0.12,0)+IF(AND(V500&gt;=75,V500&lt;175,W500&lt;65),0.2,0)+IF(AND(V500&gt;=75,V500&lt;175,W500&gt;=65,W500&lt;110),0.15,0)+IF(AND(V500&gt;=75,V500&lt;175,W500&gt;=110),0.12,0)+IF(AND(V500&gt;=175,W500&lt;55),0.2,0)+IF(AND(V500&gt;=175,W500&gt;=55,W500&lt;95),0.15,0)+IF(AND(V500&gt;=175,W500&gt;=95),0.12,0),
IF(AF500="DoEVku",IF(AND(V500&lt;20,W500&lt;55),0.23,0)+IF(AND(V500&lt;20,W500&gt;=55,W500&lt;105),0.2,0)+IF(AND(V500&lt;20,W500&gt;=105),0.17,0)+IF(AND(V500&gt;=20,V500&lt;40,W500&lt;45),0.23,0)+IF(AND(V500&gt;=20,V500&lt;40,W500&gt;=45,W500&lt;95),0.2,0)+IF(AND(V500&gt;=20,V500&lt;40,W500&gt;=95,W500&lt;=150),0.17,0)+IF(AND(V500&gt;=20,V500&lt;40,W500&gt;=150),0.12,0)+IF(AND(V500&gt;=40,V500&lt;75,W500&lt;35),0.23,0)+IF(AND(V500&gt;=40,V500&lt;75,W500&gt;=35,W500&lt;75),0.2,0)+IF(AND(V500&gt;=40,V500&lt;75,W500&gt;=75,W500&lt;120),0.17,0)+IF(AND(V500&gt;=40,V500&lt;75,W500&gt;=120),0.12,0)+IF(AND(V500&gt;=75,V500&lt;175,W500&lt;35),0.23,0)+IF(AND(V500&gt;=75,V500&lt;=175,W500&gt;=35,W500&lt;65),0.2,0)+IF(AND(V500&gt;=75,V500&lt;=175,W500&gt;=65,W500&lt;110),0.17,0)+IF(AND(V500&gt;=75,V500&lt;=175,W500&gt;=110),0.12,0)+IF(AND(V500&gt;175,W500&lt;25),0.23,0)+IF(AND(V500&gt;175,W500&gt;=25,W500&lt;55),0.2,0)+IF(AND(V500&gt;175,W500&gt;=55,W500&lt;95),0.17,0)+IF(AND(V500&gt;175,W500&gt;=95),0.12,0),
IF(AF500="DoEVs1",IF(AND(V500&lt;20,W500&lt;55),0.3,0)+IF(AND(V500&lt;20,W500&gt;=55,W500&lt;105),0.23,0)+IF(AND(V500&lt;20,W500&gt;=105),0.17,0)+IF(AND(V500&gt;=20,V500&lt;40,W500&lt;45),0.3,0)+IF(AND(V500&gt;=20,V500&lt;40,W500&gt;=45,W500&lt;95),0.23,0)+IF(AND(V500&gt;=20,V500&lt;40,W500&gt;=95,W500&lt;=150),0.17,0)+IF(AND(V500&gt;=20,V500&lt;40,W500&gt;=150),0.12,0)+IF(AND(V500&gt;=40,V500&lt;75,W500&lt;35),0.3,0)+IF(AND(V500&gt;=40,V500&lt;75,W500&gt;=35,W500&lt;75),0.23,0)+IF(AND(V500&gt;=40,V500&lt;75,W500&gt;=75,W500&lt;120),0.17,0)+IF(AND(V500&gt;=40,V500&lt;75,W500&gt;=120),0.12,0)+IF(AND(V500&gt;=75,V500&lt;175,W500&lt;35),0.3,0)+IF(AND(V500&gt;=75,V500&lt;=175,W500&gt;=35,W500&lt;65),0.23,0)+IF(AND(V500&gt;=75,V500&lt;=175,W500&gt;=65,W500&lt;110),0.17,0)+IF(AND(V500&gt;=75,V500&lt;=175,W500&gt;=110),0.12,0)+IF(AND(V500&gt;175,W500&lt;25),0.3,0)+IF(AND(V500&gt;175,W500&gt;=25,W500&lt;55),0.23,0)+IF(AND(V500&gt;175,W500&gt;=55,W500&lt;95),0.17,0)+IF(AND(V500&gt;175,W500&gt;=95),0.12,0),
IF(AF500="DoEVsu",IF(AND(V500&lt;20,W500&lt;55),0.3,0)+IF(AND(V500&lt;20,W500&gt;=55,W500&lt;105),0.23,0)+IF(AND(V500&lt;20,W500&gt;=105),0.17,0)+IF(AND(V500&gt;=20,V500&lt;40,W500&lt;45),0.3,0)+IF(AND(V500&gt;=20,V500&lt;40,W500&gt;=45,W500&lt;95),0.23,0)+IF(AND(V500&gt;=20,V500&lt;40,W500&gt;=95,W500&lt;=250),0.17,0)+IF(AND(V500&gt;=20,V500&lt;40,W500&gt;=250),0.12,0)+IF(AND(V500&gt;=40,V500&lt;75,W500&lt;35),0.3,0)+IF(AND(V500&gt;=40,V500&lt;75,W500&gt;=35,W500&lt;75),0.23,0)+IF(AND(V500&gt;=40,V500&lt;75,W500&gt;=75,W500&lt;120),0.17,0)+IF(AND(V500&gt;=40,V500&lt;75,W500&gt;=120),0.12,0)+IF(AND(V500&gt;=75,V500&lt;175,W500&lt;35),0.3,0)+IF(AND(V500&gt;=75,V500&lt;=175,W500&gt;=35,W500&lt;65),0.23,0)+IF(AND(V500&gt;=75,V500&lt;=175,W500&gt;=65,W500&lt;110),0.17,0)+IF(AND(V500&gt;=75,V500&lt;=175,W500&gt;=110),0.12,0)+IF(AND(V500&gt;175,W500&lt;25),0.3,0)+IF(AND(V500&gt;175,W500&gt;=25,W500&lt;55),0.23,0)+IF(AND(V500&gt;175,W500&gt;=55,W500&lt;95),0.17,0)+IF(AND(V500&gt;175,W500&gt;=95),0.12,0),
IF(AF500="DoEVni",IF(AND(V500&lt;20,W500&lt;55),0.3,0)+IF(AND(V500&lt;20,W500&gt;=55,W500&lt;105),0.23,0)+IF(AND(V500&lt;20,W500&gt;=105),0.17,0)+IF(AND(V500&gt;=20,V500&lt;40,W500&lt;45),0.3,0)+IF(AND(V500&gt;=20,V500&lt;40,W500&gt;=45,W500&lt;95),0.23,0)+IF(AND(V500&gt;=20,V500&lt;40,W500&gt;=95,W500&lt;=200),0.17,0)+IF(AND(V500&gt;=20,V500&lt;40,W500&gt;=200),0.12,0)+IF(AND(V500&gt;=40,V500&lt;75,W500&lt;35),0.3,0)+IF(AND(V500&gt;=40,V500&lt;75,W500&gt;=35,W500&lt;75),0.23,0)+IF(AND(V500&gt;=40,V500&lt;75,W500&gt;=75,W500&lt;120),0.17,0)+IF(AND(V500&gt;=40,V500&lt;75,W500&gt;=120),0.12,0)+IF(AND(V500&gt;=75,V500&lt;175,W500&lt;35),0.3,0)+IF(AND(V500&gt;=75,V500&lt;=175,W500&gt;=35,W500&lt;65),0.23,0)+IF(AND(V500&gt;=75,V500&lt;=175,W500&gt;=65,W500&lt;110),0.17,0)+IF(AND(V500&gt;=75,V500&lt;=175,W500&gt;=110),0.12,0)+IF(AND(V500&gt;175,W500&lt;25),0.3,0)+IF(AND(V500&gt;175,W500&gt;=25,W500&lt;55),0.23,0)+IF(AND(V500&gt;175,W500&gt;=55,W500&lt;95),0.17,0)+IF(AND(V500&gt;175,W500&gt;=95),0.12,0),
IF(AF500="DoEVLo",IF(AND(V500&lt;20,W500&lt;55),0.25,0)+IF(AND(V500&lt;20,W500&gt;=55,W500&lt;105),0.2,0)+IF(AND(V500&lt;20,W500&gt;=105),0.15,0)+IF(AND(V500&gt;=20,V500&lt;40,W500&lt;45),0.25,0)+IF(AND(V500&gt;=20,V500&lt;40,W500&gt;=45,W500&lt;95),0.2,0)+IF(AND(V500&gt;=20,V500&lt;40,W500&gt;=95),0.15,0)+IF(AND(V500&gt;=40,V500&lt;75,W500&lt;35),0.25,0)+IF(AND(V500&gt;=40,V500&lt;75,W500&gt;=35,W500&lt;75),0.2,0)+IF(AND(V500&gt;=40,V500&lt;75,W500&gt;=75,W500&lt;120),0.15,0)+IF(AND(V500&gt;=40,V500&lt;75,W500&gt;=120),0.1,0)+IF(AND(V500&gt;=75,V500&lt;175,W500&lt;35),0.25,0)+IF(AND(V500&gt;=75,V500&lt;=175,W500&gt;=35,W500&lt;65),0.2,0)+IF(AND(V500&gt;=75,V500&lt;=175,W500&gt;=65,W500&lt;110),0.15,0)+IF(AND(V500&gt;=75,V500&lt;=175,W500&gt;=110),0.1,0)+IF(AND(V500&gt;175,W500&lt;25),0.25,0)+IF(AND(V500&gt;175,W500&gt;=25,W500&lt;55),0.2,0)+IF(AND(V500&gt;175,W500&gt;=55,W500&lt;95),0.15,0)+IF(AND(V500&gt;175,W500&gt;=95),0.1,0)))))))))))))))))</f>
        <v>0.1875</v>
      </c>
      <c r="Y500" s="30">
        <f>IF(AG500="None",0,IF(AG500="Fix5",0.05, IF(AG500="Fix6.25",0.0625,IF(AG500="Fix3.75",0.0375,IF(AG500="Fix10",0.1,IF(AG500="Fix3",0.03,0))))))</f>
        <v>6.25E-2</v>
      </c>
      <c r="Z500" s="35">
        <f>T500-AA500-AB500</f>
        <v>-177.75</v>
      </c>
      <c r="AA500" s="29">
        <f>IF(AD500="EUR",((T500-R500)*X500)*U500+(R500*X500),(T500*X500))</f>
        <v>-44.4375</v>
      </c>
      <c r="AB500" s="36">
        <f>IF(AD500="EUR",((T500-R500)*Y500)*U500+(R500*Y500),(T500*Y500))</f>
        <v>-14.8125</v>
      </c>
      <c r="AC500" s="37" t="b">
        <v>1</v>
      </c>
      <c r="AD500" s="37" t="s">
        <v>38</v>
      </c>
      <c r="AE500" s="37" t="s">
        <v>38</v>
      </c>
      <c r="AF500" s="37" t="s">
        <v>146</v>
      </c>
      <c r="AG500" s="38" t="s">
        <v>147</v>
      </c>
    </row>
    <row r="501" spans="1:33" ht="14.25" hidden="1" x14ac:dyDescent="0.2">
      <c r="A501" s="18" t="str">
        <f t="array" ref="A501">IF(G501='Room Info'!$B$1, INDEX('Room Info'!$A$2:$A2446, MATCH(B501,'Room Info'!$B$2:$B2446, 0)),IF(G501='Room Info'!$C$1, INDEX('Room Info'!$A$2:$A2446, MATCH(B501,'Room Info'!$C$2:$C2446, 0)),IF(G501='Room Info'!$D$1, INDEX('Room Info'!$A$2:$A2446, MATCH(B501,'Room Info'!$D$2:$D2446, 0)),IF(G501='Room Info'!$E$1, INDEX('Room Info'!$A$2:$A2446, MATCH(B501,'Room Info'!$E$2:$E2446, 0)),IF(G501='Room Info'!$F$1, INDEX('Room Info'!$A$2:$A2446, MATCH(B501,'Room Info'!$F$2:$F2446, 0)),IF(G501='Room Info'!$H$1, INDEX('Room Info'!$A$2:$A2446, MATCH(B501,'Room Info'!$H$2:$H2446, 0)),IF(G501='Room Info'!$G$1, INDEX('Room Info'!$A$2:$A2446, MATCH(B501,'Room Info'!$G$2:$G2446, 0)))))))))</f>
        <v>benyya</v>
      </c>
      <c r="B501" s="45" t="s">
        <v>145</v>
      </c>
      <c r="C501" s="46">
        <v>44700</v>
      </c>
      <c r="D501" s="46">
        <v>44712</v>
      </c>
      <c r="E501" s="47">
        <v>44682</v>
      </c>
      <c r="F501" s="48" t="s">
        <v>49</v>
      </c>
      <c r="G501" s="45" t="s">
        <v>35</v>
      </c>
      <c r="H501" s="49" t="s">
        <v>84</v>
      </c>
      <c r="I501" s="49" t="s">
        <v>44</v>
      </c>
      <c r="J501" s="70">
        <v>100</v>
      </c>
      <c r="K501" s="71">
        <v>1009</v>
      </c>
      <c r="L501" s="52">
        <v>-4500</v>
      </c>
      <c r="M501" s="53">
        <v>3800</v>
      </c>
      <c r="N501" s="28">
        <f>K501*J501</f>
        <v>100900</v>
      </c>
      <c r="O501" s="54">
        <v>7063</v>
      </c>
      <c r="P501" s="29">
        <v>7</v>
      </c>
      <c r="Q501" s="55"/>
      <c r="R501" s="31">
        <f>M501+Q501</f>
        <v>3800</v>
      </c>
      <c r="S501" s="56">
        <v>-3429</v>
      </c>
      <c r="T501" s="32">
        <f>R501+S501+IF(F501="Without EV deal",L501,0)</f>
        <v>371</v>
      </c>
      <c r="U501" s="57">
        <v>1</v>
      </c>
      <c r="V501" s="58"/>
      <c r="W501" s="58"/>
      <c r="X501" s="30">
        <f>IF(AF501="DoEV",IF(AND(V501&lt;20,W501&lt;55),0.3,0)+IF(AND(V501&lt;20,W501&gt;=55,W501&lt;105),0.23,0)+IF(AND(V501&lt;20,W501&gt;=105),0.17,0)+IF(AND(V501&gt;=20,V501&lt;40,W501&lt;45),0.3,0)+IF(AND(V501&gt;=20,V501&lt;40,W501&gt;=45,W501&lt;95),0.23,0)+IF(AND(V501&gt;=20,V501&lt;40,W501&gt;=95),0.17,0)+IF(AND(V501&gt;=40,V501&lt;75,W501&lt;35),0.3,0)+IF(AND(V501&gt;=40,V501&lt;75,W501&gt;=35,W501&lt;75),0.23,0)+IF(AND(V501&gt;=40,V501&lt;75,W501&gt;=75,W501&lt;120),0.17,0)+IF(AND(V501&gt;=40,V501&lt;75,W501&gt;=120),0.12,0)+IF(AND(V501&gt;=75,V501&lt;175,W501&lt;35),0.3,0)+IF(AND(V501&gt;=75,V501&lt;=175,W501&gt;=35,W501&lt;65),0.23,0)+IF(AND(V501&gt;=75,V501&lt;=175,W501&gt;=65,W501&lt;110),0.17,0)+IF(AND(V501&gt;=75,V501&lt;=175,W501&gt;=110),0.12,0)+IF(AND(V501&gt;175,W501&lt;25),0.3,0)+IF(AND(V501&gt;175,W501&gt;=25,W501&lt;55),0.23,0)+IF(AND(V501&gt;175,W501&gt;=55,W501&lt;95),0.17,0)+IF(AND(V501&gt;175,W501&gt;=95),0.12,0),
IF(AF501="Fix15",0.15,
IF(AF501="Fix18.75",0.1875,
IF(AF501="Fix11.25",0.1125,
IF(AF501="Fix10",0.1,
IF(AF501="Fix9",0.09,
IF(AF501="DoEV2017",IF(AND(W501&lt;74),0.2,0)+IF(AND(W501&gt;=74),0.17,0),
IF(AF501="SF",IF(AND(V501&lt;20,W501&lt;89),0.3,0)+IF(AND(V501&lt;20,W501&gt;=89),0.25,0)+IF(AND(V501&gt;=20,V501&lt;40,W501&lt;74),0.3,0)+IF(AND(V501&gt;=20,V501&lt;40,W501&gt;=75),0.22,0)+IF(AND(V501&gt;=40,V501&lt;75,W501&lt;75),0.26,0)+IF(AND(V501&gt;=40,V501&lt;75,W501&gt;=75),0.22,0)+IF(V501&gt;=75,0.22,0),
IF(AF501="DoEVold",IF(AND(V501&lt;40,W501&lt;35),0.35,0)+IF(AND(V501&lt;40,W501&gt;=35,W501&lt;75),0.25,0)+IF(AND(V501&lt;40,W501&gt;=75),0.17,0)+IF(AND(V501&gt;=40,V501&lt;75,W501&lt;25),0.35,0)+IF(AND(V501&gt;=40,V501&lt;75,W501&gt;=25,W501&lt;65),0.25,0)+IF(AND(V501&gt;=40,V501&lt;75,W501&gt;=65,W501&lt;100),0.17,0)+IF(AND(V501&gt;=40,V501&lt;75,W501&gt;=100),0.1,0)+IF(AND(V501&gt;=75,W501&lt;25),0.35,0)+IF(AND(V501&gt;=75,W501&gt;=25,W501&lt;60),0.25,0)+IF(AND(V501&gt;=75,W501&gt;=60,W501&lt;95),0.17,0)+IF(AND(V501&gt;=75,W501&gt;=95),0.1,0),
IF(AF501="DoEVold15",IF(AND(V501&lt;=40,W501&lt;35),0.35,0)+IF(AND(V501&lt;=40,W501&gt;=35,W501&lt;75),0.25,0)+IF(AND(V501&lt;=40,W501&gt;=75,W501&lt;120),0.17,0)+IF(AND(V501&lt;=40,W501&gt;=120),0.15,0)+IF(AND(V501&gt;40,V501&lt;75,W501&lt;25),0.35,0)+IF(AND(V501&gt;=40,V501&lt;75,W501&gt;=25,W501&lt;65),0.25,0)+IF(AND(V501&gt;=40,V501&lt;75,W501&gt;=65,W501&lt;100),0.17,0)+IF(AND(V501&gt;=40,V501&lt;75,W501&gt;=100),0.1,0)+IF(AND(V501&gt;=75,W501&lt;25),0.35,0)+IF(AND(V501&gt;=75,W501&gt;=25,W501&lt;60),0.25,0)+IF(AND(V501&gt;=75,W501&gt;=60,W501&lt;95),0.17,0)+IF(AND(V501&gt;=75,W501&gt;=95),0.1,0),
IF(AF501="DoEVba",IF(AND(V501&lt;20,W501&lt;105),0.2,0)+IF(AND(V501&lt;20,W501&gt;=105),0.15,0)+IF(AND(V501&gt;=20,V501&lt;40,W501&lt;95),0.2,0)+IF(AND(V501&gt;=20,V501&lt;40,W501&gt;=95,W501&lt;150),0.15,0)+IF(AND(V501&gt;=20,V501&lt;40,W501&gt;=150),0.12,0)+IF(AND(V501&gt;=40,V501&lt;75,W501&lt;75),0.2,0)+IF(AND(V501&gt;=40,V501&lt;75,W501&gt;=75,W501&lt;120),0.15,0)+IF(AND(V501&gt;=40,V501&lt;75,W501&gt;=120),0.12,0)+IF(AND(V501&gt;=75,V501&lt;175,W501&lt;65),0.2,0)+IF(AND(V501&gt;=75,V501&lt;175,W501&gt;=65,W501&lt;110),0.15,0)+IF(AND(V501&gt;=75,V501&lt;175,W501&gt;=110),0.12,0)+IF(AND(V501&gt;=175,W501&lt;55),0.2,0)+IF(AND(V501&gt;=175,W501&gt;=55,W501&lt;95),0.15,0)+IF(AND(V501&gt;=175,W501&gt;=95),0.12,0),
IF(AF501="DoEVku",IF(AND(V501&lt;20,W501&lt;55),0.23,0)+IF(AND(V501&lt;20,W501&gt;=55,W501&lt;105),0.2,0)+IF(AND(V501&lt;20,W501&gt;=105),0.17,0)+IF(AND(V501&gt;=20,V501&lt;40,W501&lt;45),0.23,0)+IF(AND(V501&gt;=20,V501&lt;40,W501&gt;=45,W501&lt;95),0.2,0)+IF(AND(V501&gt;=20,V501&lt;40,W501&gt;=95,W501&lt;=150),0.17,0)+IF(AND(V501&gt;=20,V501&lt;40,W501&gt;=150),0.12,0)+IF(AND(V501&gt;=40,V501&lt;75,W501&lt;35),0.23,0)+IF(AND(V501&gt;=40,V501&lt;75,W501&gt;=35,W501&lt;75),0.2,0)+IF(AND(V501&gt;=40,V501&lt;75,W501&gt;=75,W501&lt;120),0.17,0)+IF(AND(V501&gt;=40,V501&lt;75,W501&gt;=120),0.12,0)+IF(AND(V501&gt;=75,V501&lt;175,W501&lt;35),0.23,0)+IF(AND(V501&gt;=75,V501&lt;=175,W501&gt;=35,W501&lt;65),0.2,0)+IF(AND(V501&gt;=75,V501&lt;=175,W501&gt;=65,W501&lt;110),0.17,0)+IF(AND(V501&gt;=75,V501&lt;=175,W501&gt;=110),0.12,0)+IF(AND(V501&gt;175,W501&lt;25),0.23,0)+IF(AND(V501&gt;175,W501&gt;=25,W501&lt;55),0.2,0)+IF(AND(V501&gt;175,W501&gt;=55,W501&lt;95),0.17,0)+IF(AND(V501&gt;175,W501&gt;=95),0.12,0),
IF(AF501="DoEVs1",IF(AND(V501&lt;20,W501&lt;55),0.3,0)+IF(AND(V501&lt;20,W501&gt;=55,W501&lt;105),0.23,0)+IF(AND(V501&lt;20,W501&gt;=105),0.17,0)+IF(AND(V501&gt;=20,V501&lt;40,W501&lt;45),0.3,0)+IF(AND(V501&gt;=20,V501&lt;40,W501&gt;=45,W501&lt;95),0.23,0)+IF(AND(V501&gt;=20,V501&lt;40,W501&gt;=95,W501&lt;=150),0.17,0)+IF(AND(V501&gt;=20,V501&lt;40,W501&gt;=150),0.12,0)+IF(AND(V501&gt;=40,V501&lt;75,W501&lt;35),0.3,0)+IF(AND(V501&gt;=40,V501&lt;75,W501&gt;=35,W501&lt;75),0.23,0)+IF(AND(V501&gt;=40,V501&lt;75,W501&gt;=75,W501&lt;120),0.17,0)+IF(AND(V501&gt;=40,V501&lt;75,W501&gt;=120),0.12,0)+IF(AND(V501&gt;=75,V501&lt;175,W501&lt;35),0.3,0)+IF(AND(V501&gt;=75,V501&lt;=175,W501&gt;=35,W501&lt;65),0.23,0)+IF(AND(V501&gt;=75,V501&lt;=175,W501&gt;=65,W501&lt;110),0.17,0)+IF(AND(V501&gt;=75,V501&lt;=175,W501&gt;=110),0.12,0)+IF(AND(V501&gt;175,W501&lt;25),0.3,0)+IF(AND(V501&gt;175,W501&gt;=25,W501&lt;55),0.23,0)+IF(AND(V501&gt;175,W501&gt;=55,W501&lt;95),0.17,0)+IF(AND(V501&gt;175,W501&gt;=95),0.12,0),
IF(AF501="DoEVsu",IF(AND(V501&lt;20,W501&lt;55),0.3,0)+IF(AND(V501&lt;20,W501&gt;=55,W501&lt;105),0.23,0)+IF(AND(V501&lt;20,W501&gt;=105),0.17,0)+IF(AND(V501&gt;=20,V501&lt;40,W501&lt;45),0.3,0)+IF(AND(V501&gt;=20,V501&lt;40,W501&gt;=45,W501&lt;95),0.23,0)+IF(AND(V501&gt;=20,V501&lt;40,W501&gt;=95,W501&lt;=250),0.17,0)+IF(AND(V501&gt;=20,V501&lt;40,W501&gt;=250),0.12,0)+IF(AND(V501&gt;=40,V501&lt;75,W501&lt;35),0.3,0)+IF(AND(V501&gt;=40,V501&lt;75,W501&gt;=35,W501&lt;75),0.23,0)+IF(AND(V501&gt;=40,V501&lt;75,W501&gt;=75,W501&lt;120),0.17,0)+IF(AND(V501&gt;=40,V501&lt;75,W501&gt;=120),0.12,0)+IF(AND(V501&gt;=75,V501&lt;175,W501&lt;35),0.3,0)+IF(AND(V501&gt;=75,V501&lt;=175,W501&gt;=35,W501&lt;65),0.23,0)+IF(AND(V501&gt;=75,V501&lt;=175,W501&gt;=65,W501&lt;110),0.17,0)+IF(AND(V501&gt;=75,V501&lt;=175,W501&gt;=110),0.12,0)+IF(AND(V501&gt;175,W501&lt;25),0.3,0)+IF(AND(V501&gt;175,W501&gt;=25,W501&lt;55),0.23,0)+IF(AND(V501&gt;175,W501&gt;=55,W501&lt;95),0.17,0)+IF(AND(V501&gt;175,W501&gt;=95),0.12,0),
IF(AF501="DoEVni",IF(AND(V501&lt;20,W501&lt;55),0.3,0)+IF(AND(V501&lt;20,W501&gt;=55,W501&lt;105),0.23,0)+IF(AND(V501&lt;20,W501&gt;=105),0.17,0)+IF(AND(V501&gt;=20,V501&lt;40,W501&lt;45),0.3,0)+IF(AND(V501&gt;=20,V501&lt;40,W501&gt;=45,W501&lt;95),0.23,0)+IF(AND(V501&gt;=20,V501&lt;40,W501&gt;=95,W501&lt;=200),0.17,0)+IF(AND(V501&gt;=20,V501&lt;40,W501&gt;=200),0.12,0)+IF(AND(V501&gt;=40,V501&lt;75,W501&lt;35),0.3,0)+IF(AND(V501&gt;=40,V501&lt;75,W501&gt;=35,W501&lt;75),0.23,0)+IF(AND(V501&gt;=40,V501&lt;75,W501&gt;=75,W501&lt;120),0.17,0)+IF(AND(V501&gt;=40,V501&lt;75,W501&gt;=120),0.12,0)+IF(AND(V501&gt;=75,V501&lt;175,W501&lt;35),0.3,0)+IF(AND(V501&gt;=75,V501&lt;=175,W501&gt;=35,W501&lt;65),0.23,0)+IF(AND(V501&gt;=75,V501&lt;=175,W501&gt;=65,W501&lt;110),0.17,0)+IF(AND(V501&gt;=75,V501&lt;=175,W501&gt;=110),0.12,0)+IF(AND(V501&gt;175,W501&lt;25),0.3,0)+IF(AND(V501&gt;175,W501&gt;=25,W501&lt;55),0.23,0)+IF(AND(V501&gt;175,W501&gt;=55,W501&lt;95),0.17,0)+IF(AND(V501&gt;175,W501&gt;=95),0.12,0),
IF(AF501="DoEVLo",IF(AND(V501&lt;20,W501&lt;55),0.25,0)+IF(AND(V501&lt;20,W501&gt;=55,W501&lt;105),0.2,0)+IF(AND(V501&lt;20,W501&gt;=105),0.15,0)+IF(AND(V501&gt;=20,V501&lt;40,W501&lt;45),0.25,0)+IF(AND(V501&gt;=20,V501&lt;40,W501&gt;=45,W501&lt;95),0.2,0)+IF(AND(V501&gt;=20,V501&lt;40,W501&gt;=95),0.15,0)+IF(AND(V501&gt;=40,V501&lt;75,W501&lt;35),0.25,0)+IF(AND(V501&gt;=40,V501&lt;75,W501&gt;=35,W501&lt;75),0.2,0)+IF(AND(V501&gt;=40,V501&lt;75,W501&gt;=75,W501&lt;120),0.15,0)+IF(AND(V501&gt;=40,V501&lt;75,W501&gt;=120),0.1,0)+IF(AND(V501&gt;=75,V501&lt;175,W501&lt;35),0.25,0)+IF(AND(V501&gt;=75,V501&lt;=175,W501&gt;=35,W501&lt;65),0.2,0)+IF(AND(V501&gt;=75,V501&lt;=175,W501&gt;=65,W501&lt;110),0.15,0)+IF(AND(V501&gt;=75,V501&lt;=175,W501&gt;=110),0.1,0)+IF(AND(V501&gt;175,W501&lt;25),0.25,0)+IF(AND(V501&gt;175,W501&gt;=25,W501&lt;55),0.2,0)+IF(AND(V501&gt;175,W501&gt;=55,W501&lt;95),0.15,0)+IF(AND(V501&gt;175,W501&gt;=95),0.1,0)))))))))))))))))</f>
        <v>0.1875</v>
      </c>
      <c r="Y501" s="30">
        <f>IF(AG501="None",0,IF(AG501="Fix5",0.05, IF(AG501="Fix6.25",0.0625,IF(AG501="Fix3.75",0.0375,IF(AG501="Fix10",0.1,IF(AG501="Fix3",0.03,0))))))</f>
        <v>6.25E-2</v>
      </c>
      <c r="Z501" s="35">
        <f>T501-AA501-AB501</f>
        <v>278.25</v>
      </c>
      <c r="AA501" s="29">
        <f>IF(AD501="EUR",((T501-R501)*X501)*U501+(R501*X501),(T501*X501))</f>
        <v>69.5625</v>
      </c>
      <c r="AB501" s="36">
        <f>IF(AD501="EUR",((T501-R501)*Y501)*U501+(R501*Y501),(T501*Y501))</f>
        <v>23.1875</v>
      </c>
      <c r="AC501" s="37" t="b">
        <v>1</v>
      </c>
      <c r="AD501" s="37" t="s">
        <v>38</v>
      </c>
      <c r="AE501" s="37" t="s">
        <v>38</v>
      </c>
      <c r="AF501" s="37" t="s">
        <v>146</v>
      </c>
      <c r="AG501" s="38" t="s">
        <v>147</v>
      </c>
    </row>
    <row r="502" spans="1:33" ht="14.25" hidden="1" x14ac:dyDescent="0.2">
      <c r="A502" s="18" t="str">
        <f t="array" ref="A502">IF(G502='Room Info'!$B$1, INDEX('Room Info'!$A$2:$A2446, MATCH(B502,'Room Info'!$B$2:$B2446, 0)),IF(G502='Room Info'!$C$1, INDEX('Room Info'!$A$2:$A2446, MATCH(B502,'Room Info'!$C$2:$C2446, 0)),IF(G502='Room Info'!$D$1, INDEX('Room Info'!$A$2:$A2446, MATCH(B502,'Room Info'!$D$2:$D2446, 0)),IF(G502='Room Info'!$E$1, INDEX('Room Info'!$A$2:$A2446, MATCH(B502,'Room Info'!$E$2:$E2446, 0)),IF(G502='Room Info'!$F$1, INDEX('Room Info'!$A$2:$A2446, MATCH(B502,'Room Info'!$F$2:$F2446, 0)),IF(G502='Room Info'!$H$1, INDEX('Room Info'!$A$2:$A2446, MATCH(B502,'Room Info'!$H$2:$H2446, 0)),IF(G502='Room Info'!$G$1, INDEX('Room Info'!$A$2:$A2446, MATCH(B502,'Room Info'!$G$2:$G2446, 0)))))))))</f>
        <v>benyya</v>
      </c>
      <c r="B502" s="45" t="s">
        <v>145</v>
      </c>
      <c r="C502" s="46">
        <v>44700</v>
      </c>
      <c r="D502" s="46">
        <v>44712</v>
      </c>
      <c r="E502" s="47">
        <v>44682</v>
      </c>
      <c r="F502" s="48" t="s">
        <v>49</v>
      </c>
      <c r="G502" s="45" t="s">
        <v>35</v>
      </c>
      <c r="H502" s="49" t="s">
        <v>148</v>
      </c>
      <c r="I502" s="49" t="s">
        <v>44</v>
      </c>
      <c r="J502" s="70">
        <v>250</v>
      </c>
      <c r="K502" s="71">
        <v>327</v>
      </c>
      <c r="L502" s="52">
        <v>-500</v>
      </c>
      <c r="M502" s="53">
        <v>3079</v>
      </c>
      <c r="N502" s="28">
        <f>K502*J502</f>
        <v>81750</v>
      </c>
      <c r="O502" s="54">
        <v>4905</v>
      </c>
      <c r="P502" s="29">
        <v>15</v>
      </c>
      <c r="Q502" s="55"/>
      <c r="R502" s="31">
        <f>M502+Q502</f>
        <v>3079</v>
      </c>
      <c r="S502" s="56">
        <v>-529</v>
      </c>
      <c r="T502" s="32">
        <f>R502+S502+IF(F502="Without EV deal",L502,0)</f>
        <v>2550</v>
      </c>
      <c r="U502" s="57">
        <v>1</v>
      </c>
      <c r="V502" s="58"/>
      <c r="W502" s="58"/>
      <c r="X502" s="30">
        <f>IF(AF502="DoEV",IF(AND(V502&lt;20,W502&lt;55),0.3,0)+IF(AND(V502&lt;20,W502&gt;=55,W502&lt;105),0.23,0)+IF(AND(V502&lt;20,W502&gt;=105),0.17,0)+IF(AND(V502&gt;=20,V502&lt;40,W502&lt;45),0.3,0)+IF(AND(V502&gt;=20,V502&lt;40,W502&gt;=45,W502&lt;95),0.23,0)+IF(AND(V502&gt;=20,V502&lt;40,W502&gt;=95),0.17,0)+IF(AND(V502&gt;=40,V502&lt;75,W502&lt;35),0.3,0)+IF(AND(V502&gt;=40,V502&lt;75,W502&gt;=35,W502&lt;75),0.23,0)+IF(AND(V502&gt;=40,V502&lt;75,W502&gt;=75,W502&lt;120),0.17,0)+IF(AND(V502&gt;=40,V502&lt;75,W502&gt;=120),0.12,0)+IF(AND(V502&gt;=75,V502&lt;175,W502&lt;35),0.3,0)+IF(AND(V502&gt;=75,V502&lt;=175,W502&gt;=35,W502&lt;65),0.23,0)+IF(AND(V502&gt;=75,V502&lt;=175,W502&gt;=65,W502&lt;110),0.17,0)+IF(AND(V502&gt;=75,V502&lt;=175,W502&gt;=110),0.12,0)+IF(AND(V502&gt;175,W502&lt;25),0.3,0)+IF(AND(V502&gt;175,W502&gt;=25,W502&lt;55),0.23,0)+IF(AND(V502&gt;175,W502&gt;=55,W502&lt;95),0.17,0)+IF(AND(V502&gt;175,W502&gt;=95),0.12,0),
IF(AF502="Fix15",0.15,
IF(AF502="Fix18.75",0.1875,
IF(AF502="Fix11.25",0.1125,
IF(AF502="Fix10",0.1,
IF(AF502="Fix9",0.09,
IF(AF502="DoEV2017",IF(AND(W502&lt;74),0.2,0)+IF(AND(W502&gt;=74),0.17,0),
IF(AF502="SF",IF(AND(V502&lt;20,W502&lt;89),0.3,0)+IF(AND(V502&lt;20,W502&gt;=89),0.25,0)+IF(AND(V502&gt;=20,V502&lt;40,W502&lt;74),0.3,0)+IF(AND(V502&gt;=20,V502&lt;40,W502&gt;=75),0.22,0)+IF(AND(V502&gt;=40,V502&lt;75,W502&lt;75),0.26,0)+IF(AND(V502&gt;=40,V502&lt;75,W502&gt;=75),0.22,0)+IF(V502&gt;=75,0.22,0),
IF(AF502="DoEVold",IF(AND(V502&lt;40,W502&lt;35),0.35,0)+IF(AND(V502&lt;40,W502&gt;=35,W502&lt;75),0.25,0)+IF(AND(V502&lt;40,W502&gt;=75),0.17,0)+IF(AND(V502&gt;=40,V502&lt;75,W502&lt;25),0.35,0)+IF(AND(V502&gt;=40,V502&lt;75,W502&gt;=25,W502&lt;65),0.25,0)+IF(AND(V502&gt;=40,V502&lt;75,W502&gt;=65,W502&lt;100),0.17,0)+IF(AND(V502&gt;=40,V502&lt;75,W502&gt;=100),0.1,0)+IF(AND(V502&gt;=75,W502&lt;25),0.35,0)+IF(AND(V502&gt;=75,W502&gt;=25,W502&lt;60),0.25,0)+IF(AND(V502&gt;=75,W502&gt;=60,W502&lt;95),0.17,0)+IF(AND(V502&gt;=75,W502&gt;=95),0.1,0),
IF(AF502="DoEVold15",IF(AND(V502&lt;=40,W502&lt;35),0.35,0)+IF(AND(V502&lt;=40,W502&gt;=35,W502&lt;75),0.25,0)+IF(AND(V502&lt;=40,W502&gt;=75,W502&lt;120),0.17,0)+IF(AND(V502&lt;=40,W502&gt;=120),0.15,0)+IF(AND(V502&gt;40,V502&lt;75,W502&lt;25),0.35,0)+IF(AND(V502&gt;=40,V502&lt;75,W502&gt;=25,W502&lt;65),0.25,0)+IF(AND(V502&gt;=40,V502&lt;75,W502&gt;=65,W502&lt;100),0.17,0)+IF(AND(V502&gt;=40,V502&lt;75,W502&gt;=100),0.1,0)+IF(AND(V502&gt;=75,W502&lt;25),0.35,0)+IF(AND(V502&gt;=75,W502&gt;=25,W502&lt;60),0.25,0)+IF(AND(V502&gt;=75,W502&gt;=60,W502&lt;95),0.17,0)+IF(AND(V502&gt;=75,W502&gt;=95),0.1,0),
IF(AF502="DoEVba",IF(AND(V502&lt;20,W502&lt;105),0.2,0)+IF(AND(V502&lt;20,W502&gt;=105),0.15,0)+IF(AND(V502&gt;=20,V502&lt;40,W502&lt;95),0.2,0)+IF(AND(V502&gt;=20,V502&lt;40,W502&gt;=95,W502&lt;150),0.15,0)+IF(AND(V502&gt;=20,V502&lt;40,W502&gt;=150),0.12,0)+IF(AND(V502&gt;=40,V502&lt;75,W502&lt;75),0.2,0)+IF(AND(V502&gt;=40,V502&lt;75,W502&gt;=75,W502&lt;120),0.15,0)+IF(AND(V502&gt;=40,V502&lt;75,W502&gt;=120),0.12,0)+IF(AND(V502&gt;=75,V502&lt;175,W502&lt;65),0.2,0)+IF(AND(V502&gt;=75,V502&lt;175,W502&gt;=65,W502&lt;110),0.15,0)+IF(AND(V502&gt;=75,V502&lt;175,W502&gt;=110),0.12,0)+IF(AND(V502&gt;=175,W502&lt;55),0.2,0)+IF(AND(V502&gt;=175,W502&gt;=55,W502&lt;95),0.15,0)+IF(AND(V502&gt;=175,W502&gt;=95),0.12,0),
IF(AF502="DoEVku",IF(AND(V502&lt;20,W502&lt;55),0.23,0)+IF(AND(V502&lt;20,W502&gt;=55,W502&lt;105),0.2,0)+IF(AND(V502&lt;20,W502&gt;=105),0.17,0)+IF(AND(V502&gt;=20,V502&lt;40,W502&lt;45),0.23,0)+IF(AND(V502&gt;=20,V502&lt;40,W502&gt;=45,W502&lt;95),0.2,0)+IF(AND(V502&gt;=20,V502&lt;40,W502&gt;=95,W502&lt;=150),0.17,0)+IF(AND(V502&gt;=20,V502&lt;40,W502&gt;=150),0.12,0)+IF(AND(V502&gt;=40,V502&lt;75,W502&lt;35),0.23,0)+IF(AND(V502&gt;=40,V502&lt;75,W502&gt;=35,W502&lt;75),0.2,0)+IF(AND(V502&gt;=40,V502&lt;75,W502&gt;=75,W502&lt;120),0.17,0)+IF(AND(V502&gt;=40,V502&lt;75,W502&gt;=120),0.12,0)+IF(AND(V502&gt;=75,V502&lt;175,W502&lt;35),0.23,0)+IF(AND(V502&gt;=75,V502&lt;=175,W502&gt;=35,W502&lt;65),0.2,0)+IF(AND(V502&gt;=75,V502&lt;=175,W502&gt;=65,W502&lt;110),0.17,0)+IF(AND(V502&gt;=75,V502&lt;=175,W502&gt;=110),0.12,0)+IF(AND(V502&gt;175,W502&lt;25),0.23,0)+IF(AND(V502&gt;175,W502&gt;=25,W502&lt;55),0.2,0)+IF(AND(V502&gt;175,W502&gt;=55,W502&lt;95),0.17,0)+IF(AND(V502&gt;175,W502&gt;=95),0.12,0),
IF(AF502="DoEVs1",IF(AND(V502&lt;20,W502&lt;55),0.3,0)+IF(AND(V502&lt;20,W502&gt;=55,W502&lt;105),0.23,0)+IF(AND(V502&lt;20,W502&gt;=105),0.17,0)+IF(AND(V502&gt;=20,V502&lt;40,W502&lt;45),0.3,0)+IF(AND(V502&gt;=20,V502&lt;40,W502&gt;=45,W502&lt;95),0.23,0)+IF(AND(V502&gt;=20,V502&lt;40,W502&gt;=95,W502&lt;=150),0.17,0)+IF(AND(V502&gt;=20,V502&lt;40,W502&gt;=150),0.12,0)+IF(AND(V502&gt;=40,V502&lt;75,W502&lt;35),0.3,0)+IF(AND(V502&gt;=40,V502&lt;75,W502&gt;=35,W502&lt;75),0.23,0)+IF(AND(V502&gt;=40,V502&lt;75,W502&gt;=75,W502&lt;120),0.17,0)+IF(AND(V502&gt;=40,V502&lt;75,W502&gt;=120),0.12,0)+IF(AND(V502&gt;=75,V502&lt;175,W502&lt;35),0.3,0)+IF(AND(V502&gt;=75,V502&lt;=175,W502&gt;=35,W502&lt;65),0.23,0)+IF(AND(V502&gt;=75,V502&lt;=175,W502&gt;=65,W502&lt;110),0.17,0)+IF(AND(V502&gt;=75,V502&lt;=175,W502&gt;=110),0.12,0)+IF(AND(V502&gt;175,W502&lt;25),0.3,0)+IF(AND(V502&gt;175,W502&gt;=25,W502&lt;55),0.23,0)+IF(AND(V502&gt;175,W502&gt;=55,W502&lt;95),0.17,0)+IF(AND(V502&gt;175,W502&gt;=95),0.12,0),
IF(AF502="DoEVsu",IF(AND(V502&lt;20,W502&lt;55),0.3,0)+IF(AND(V502&lt;20,W502&gt;=55,W502&lt;105),0.23,0)+IF(AND(V502&lt;20,W502&gt;=105),0.17,0)+IF(AND(V502&gt;=20,V502&lt;40,W502&lt;45),0.3,0)+IF(AND(V502&gt;=20,V502&lt;40,W502&gt;=45,W502&lt;95),0.23,0)+IF(AND(V502&gt;=20,V502&lt;40,W502&gt;=95,W502&lt;=250),0.17,0)+IF(AND(V502&gt;=20,V502&lt;40,W502&gt;=250),0.12,0)+IF(AND(V502&gt;=40,V502&lt;75,W502&lt;35),0.3,0)+IF(AND(V502&gt;=40,V502&lt;75,W502&gt;=35,W502&lt;75),0.23,0)+IF(AND(V502&gt;=40,V502&lt;75,W502&gt;=75,W502&lt;120),0.17,0)+IF(AND(V502&gt;=40,V502&lt;75,W502&gt;=120),0.12,0)+IF(AND(V502&gt;=75,V502&lt;175,W502&lt;35),0.3,0)+IF(AND(V502&gt;=75,V502&lt;=175,W502&gt;=35,W502&lt;65),0.23,0)+IF(AND(V502&gt;=75,V502&lt;=175,W502&gt;=65,W502&lt;110),0.17,0)+IF(AND(V502&gt;=75,V502&lt;=175,W502&gt;=110),0.12,0)+IF(AND(V502&gt;175,W502&lt;25),0.3,0)+IF(AND(V502&gt;175,W502&gt;=25,W502&lt;55),0.23,0)+IF(AND(V502&gt;175,W502&gt;=55,W502&lt;95),0.17,0)+IF(AND(V502&gt;175,W502&gt;=95),0.12,0),
IF(AF502="DoEVni",IF(AND(V502&lt;20,W502&lt;55),0.3,0)+IF(AND(V502&lt;20,W502&gt;=55,W502&lt;105),0.23,0)+IF(AND(V502&lt;20,W502&gt;=105),0.17,0)+IF(AND(V502&gt;=20,V502&lt;40,W502&lt;45),0.3,0)+IF(AND(V502&gt;=20,V502&lt;40,W502&gt;=45,W502&lt;95),0.23,0)+IF(AND(V502&gt;=20,V502&lt;40,W502&gt;=95,W502&lt;=200),0.17,0)+IF(AND(V502&gt;=20,V502&lt;40,W502&gt;=200),0.12,0)+IF(AND(V502&gt;=40,V502&lt;75,W502&lt;35),0.3,0)+IF(AND(V502&gt;=40,V502&lt;75,W502&gt;=35,W502&lt;75),0.23,0)+IF(AND(V502&gt;=40,V502&lt;75,W502&gt;=75,W502&lt;120),0.17,0)+IF(AND(V502&gt;=40,V502&lt;75,W502&gt;=120),0.12,0)+IF(AND(V502&gt;=75,V502&lt;175,W502&lt;35),0.3,0)+IF(AND(V502&gt;=75,V502&lt;=175,W502&gt;=35,W502&lt;65),0.23,0)+IF(AND(V502&gt;=75,V502&lt;=175,W502&gt;=65,W502&lt;110),0.17,0)+IF(AND(V502&gt;=75,V502&lt;=175,W502&gt;=110),0.12,0)+IF(AND(V502&gt;175,W502&lt;25),0.3,0)+IF(AND(V502&gt;175,W502&gt;=25,W502&lt;55),0.23,0)+IF(AND(V502&gt;175,W502&gt;=55,W502&lt;95),0.17,0)+IF(AND(V502&gt;175,W502&gt;=95),0.12,0),
IF(AF502="DoEVLo",IF(AND(V502&lt;20,W502&lt;55),0.25,0)+IF(AND(V502&lt;20,W502&gt;=55,W502&lt;105),0.2,0)+IF(AND(V502&lt;20,W502&gt;=105),0.15,0)+IF(AND(V502&gt;=20,V502&lt;40,W502&lt;45),0.25,0)+IF(AND(V502&gt;=20,V502&lt;40,W502&gt;=45,W502&lt;95),0.2,0)+IF(AND(V502&gt;=20,V502&lt;40,W502&gt;=95),0.15,0)+IF(AND(V502&gt;=40,V502&lt;75,W502&lt;35),0.25,0)+IF(AND(V502&gt;=40,V502&lt;75,W502&gt;=35,W502&lt;75),0.2,0)+IF(AND(V502&gt;=40,V502&lt;75,W502&gt;=75,W502&lt;120),0.15,0)+IF(AND(V502&gt;=40,V502&lt;75,W502&gt;=120),0.1,0)+IF(AND(V502&gt;=75,V502&lt;175,W502&lt;35),0.25,0)+IF(AND(V502&gt;=75,V502&lt;=175,W502&gt;=35,W502&lt;65),0.2,0)+IF(AND(V502&gt;=75,V502&lt;=175,W502&gt;=65,W502&lt;110),0.15,0)+IF(AND(V502&gt;=75,V502&lt;=175,W502&gt;=110),0.1,0)+IF(AND(V502&gt;175,W502&lt;25),0.25,0)+IF(AND(V502&gt;175,W502&gt;=25,W502&lt;55),0.2,0)+IF(AND(V502&gt;175,W502&gt;=55,W502&lt;95),0.15,0)+IF(AND(V502&gt;175,W502&gt;=95),0.1,0)))))))))))))))))</f>
        <v>0.1875</v>
      </c>
      <c r="Y502" s="30">
        <f>IF(AG502="None",0,IF(AG502="Fix5",0.05, IF(AG502="Fix6.25",0.0625,IF(AG502="Fix3.75",0.0375,IF(AG502="Fix10",0.1,IF(AG502="Fix3",0.03,0))))))</f>
        <v>6.25E-2</v>
      </c>
      <c r="Z502" s="35">
        <f>T502-AA502-AB502</f>
        <v>1912.5</v>
      </c>
      <c r="AA502" s="29">
        <f>IF(AD502="EUR",((T502-R502)*X502)*U502+(R502*X502),(T502*X502))</f>
        <v>478.125</v>
      </c>
      <c r="AB502" s="36">
        <f>IF(AD502="EUR",((T502-R502)*Y502)*U502+(R502*Y502),(T502*Y502))</f>
        <v>159.375</v>
      </c>
      <c r="AC502" s="37" t="b">
        <v>1</v>
      </c>
      <c r="AD502" s="37" t="s">
        <v>38</v>
      </c>
      <c r="AE502" s="37" t="s">
        <v>38</v>
      </c>
      <c r="AF502" s="37" t="s">
        <v>146</v>
      </c>
      <c r="AG502" s="38" t="s">
        <v>147</v>
      </c>
    </row>
    <row r="503" spans="1:33" ht="14.25" hidden="1" x14ac:dyDescent="0.2">
      <c r="A503" s="18" t="str">
        <f t="array" ref="A503">IF(G503='Room Info'!$B$1, INDEX('Room Info'!$A$2:$A2446, MATCH(B503,'Room Info'!$B$2:$B2446, 0)),IF(G503='Room Info'!$C$1, INDEX('Room Info'!$A$2:$A2446, MATCH(B503,'Room Info'!$C$2:$C2446, 0)),IF(G503='Room Info'!$D$1, INDEX('Room Info'!$A$2:$A2446, MATCH(B503,'Room Info'!$D$2:$D2446, 0)),IF(G503='Room Info'!$E$1, INDEX('Room Info'!$A$2:$A2446, MATCH(B503,'Room Info'!$E$2:$E2446, 0)),IF(G503='Room Info'!$F$1, INDEX('Room Info'!$A$2:$A2446, MATCH(B503,'Room Info'!$F$2:$F2446, 0)),IF(G503='Room Info'!$H$1, INDEX('Room Info'!$A$2:$A2446, MATCH(B503,'Room Info'!$H$2:$H2446, 0)),IF(G503='Room Info'!$G$1, INDEX('Room Info'!$A$2:$A2446, MATCH(B503,'Room Info'!$G$2:$G2446, 0)))))))))</f>
        <v>benyya</v>
      </c>
      <c r="B503" s="45" t="s">
        <v>145</v>
      </c>
      <c r="C503" s="46">
        <v>44700</v>
      </c>
      <c r="D503" s="46">
        <v>44712</v>
      </c>
      <c r="E503" s="47">
        <v>44682</v>
      </c>
      <c r="F503" s="48" t="s">
        <v>49</v>
      </c>
      <c r="G503" s="45" t="s">
        <v>35</v>
      </c>
      <c r="H503" s="49" t="s">
        <v>88</v>
      </c>
      <c r="I503" s="49" t="s">
        <v>37</v>
      </c>
      <c r="J503" s="70">
        <v>250</v>
      </c>
      <c r="K503" s="71">
        <v>435</v>
      </c>
      <c r="L503" s="52">
        <v>4750</v>
      </c>
      <c r="M503" s="53">
        <v>4095</v>
      </c>
      <c r="N503" s="28">
        <f>K503*J503</f>
        <v>108750</v>
      </c>
      <c r="O503" s="54">
        <v>20445</v>
      </c>
      <c r="P503" s="29">
        <v>47</v>
      </c>
      <c r="Q503" s="55"/>
      <c r="R503" s="31">
        <f>M503+Q503</f>
        <v>4095</v>
      </c>
      <c r="S503" s="56">
        <v>3792</v>
      </c>
      <c r="T503" s="32">
        <f>R503+S503+IF(F503="Without EV deal",L503,0)</f>
        <v>7887</v>
      </c>
      <c r="U503" s="57">
        <v>1</v>
      </c>
      <c r="V503" s="58"/>
      <c r="W503" s="58"/>
      <c r="X503" s="30">
        <f>IF(AF503="DoEV",IF(AND(V503&lt;20,W503&lt;55),0.3,0)+IF(AND(V503&lt;20,W503&gt;=55,W503&lt;105),0.23,0)+IF(AND(V503&lt;20,W503&gt;=105),0.17,0)+IF(AND(V503&gt;=20,V503&lt;40,W503&lt;45),0.3,0)+IF(AND(V503&gt;=20,V503&lt;40,W503&gt;=45,W503&lt;95),0.23,0)+IF(AND(V503&gt;=20,V503&lt;40,W503&gt;=95),0.17,0)+IF(AND(V503&gt;=40,V503&lt;75,W503&lt;35),0.3,0)+IF(AND(V503&gt;=40,V503&lt;75,W503&gt;=35,W503&lt;75),0.23,0)+IF(AND(V503&gt;=40,V503&lt;75,W503&gt;=75,W503&lt;120),0.17,0)+IF(AND(V503&gt;=40,V503&lt;75,W503&gt;=120),0.12,0)+IF(AND(V503&gt;=75,V503&lt;175,W503&lt;35),0.3,0)+IF(AND(V503&gt;=75,V503&lt;=175,W503&gt;=35,W503&lt;65),0.23,0)+IF(AND(V503&gt;=75,V503&lt;=175,W503&gt;=65,W503&lt;110),0.17,0)+IF(AND(V503&gt;=75,V503&lt;=175,W503&gt;=110),0.12,0)+IF(AND(V503&gt;175,W503&lt;25),0.3,0)+IF(AND(V503&gt;175,W503&gt;=25,W503&lt;55),0.23,0)+IF(AND(V503&gt;175,W503&gt;=55,W503&lt;95),0.17,0)+IF(AND(V503&gt;175,W503&gt;=95),0.12,0),
IF(AF503="Fix15",0.15,
IF(AF503="Fix18.75",0.1875,
IF(AF503="Fix11.25",0.1125,
IF(AF503="Fix10",0.1,
IF(AF503="Fix9",0.09,
IF(AF503="DoEV2017",IF(AND(W503&lt;74),0.2,0)+IF(AND(W503&gt;=74),0.17,0),
IF(AF503="SF",IF(AND(V503&lt;20,W503&lt;89),0.3,0)+IF(AND(V503&lt;20,W503&gt;=89),0.25,0)+IF(AND(V503&gt;=20,V503&lt;40,W503&lt;74),0.3,0)+IF(AND(V503&gt;=20,V503&lt;40,W503&gt;=75),0.22,0)+IF(AND(V503&gt;=40,V503&lt;75,W503&lt;75),0.26,0)+IF(AND(V503&gt;=40,V503&lt;75,W503&gt;=75),0.22,0)+IF(V503&gt;=75,0.22,0),
IF(AF503="DoEVold",IF(AND(V503&lt;40,W503&lt;35),0.35,0)+IF(AND(V503&lt;40,W503&gt;=35,W503&lt;75),0.25,0)+IF(AND(V503&lt;40,W503&gt;=75),0.17,0)+IF(AND(V503&gt;=40,V503&lt;75,W503&lt;25),0.35,0)+IF(AND(V503&gt;=40,V503&lt;75,W503&gt;=25,W503&lt;65),0.25,0)+IF(AND(V503&gt;=40,V503&lt;75,W503&gt;=65,W503&lt;100),0.17,0)+IF(AND(V503&gt;=40,V503&lt;75,W503&gt;=100),0.1,0)+IF(AND(V503&gt;=75,W503&lt;25),0.35,0)+IF(AND(V503&gt;=75,W503&gt;=25,W503&lt;60),0.25,0)+IF(AND(V503&gt;=75,W503&gt;=60,W503&lt;95),0.17,0)+IF(AND(V503&gt;=75,W503&gt;=95),0.1,0),
IF(AF503="DoEVold15",IF(AND(V503&lt;=40,W503&lt;35),0.35,0)+IF(AND(V503&lt;=40,W503&gt;=35,W503&lt;75),0.25,0)+IF(AND(V503&lt;=40,W503&gt;=75,W503&lt;120),0.17,0)+IF(AND(V503&lt;=40,W503&gt;=120),0.15,0)+IF(AND(V503&gt;40,V503&lt;75,W503&lt;25),0.35,0)+IF(AND(V503&gt;=40,V503&lt;75,W503&gt;=25,W503&lt;65),0.25,0)+IF(AND(V503&gt;=40,V503&lt;75,W503&gt;=65,W503&lt;100),0.17,0)+IF(AND(V503&gt;=40,V503&lt;75,W503&gt;=100),0.1,0)+IF(AND(V503&gt;=75,W503&lt;25),0.35,0)+IF(AND(V503&gt;=75,W503&gt;=25,W503&lt;60),0.25,0)+IF(AND(V503&gt;=75,W503&gt;=60,W503&lt;95),0.17,0)+IF(AND(V503&gt;=75,W503&gt;=95),0.1,0),
IF(AF503="DoEVba",IF(AND(V503&lt;20,W503&lt;105),0.2,0)+IF(AND(V503&lt;20,W503&gt;=105),0.15,0)+IF(AND(V503&gt;=20,V503&lt;40,W503&lt;95),0.2,0)+IF(AND(V503&gt;=20,V503&lt;40,W503&gt;=95,W503&lt;150),0.15,0)+IF(AND(V503&gt;=20,V503&lt;40,W503&gt;=150),0.12,0)+IF(AND(V503&gt;=40,V503&lt;75,W503&lt;75),0.2,0)+IF(AND(V503&gt;=40,V503&lt;75,W503&gt;=75,W503&lt;120),0.15,0)+IF(AND(V503&gt;=40,V503&lt;75,W503&gt;=120),0.12,0)+IF(AND(V503&gt;=75,V503&lt;175,W503&lt;65),0.2,0)+IF(AND(V503&gt;=75,V503&lt;175,W503&gt;=65,W503&lt;110),0.15,0)+IF(AND(V503&gt;=75,V503&lt;175,W503&gt;=110),0.12,0)+IF(AND(V503&gt;=175,W503&lt;55),0.2,0)+IF(AND(V503&gt;=175,W503&gt;=55,W503&lt;95),0.15,0)+IF(AND(V503&gt;=175,W503&gt;=95),0.12,0),
IF(AF503="DoEVku",IF(AND(V503&lt;20,W503&lt;55),0.23,0)+IF(AND(V503&lt;20,W503&gt;=55,W503&lt;105),0.2,0)+IF(AND(V503&lt;20,W503&gt;=105),0.17,0)+IF(AND(V503&gt;=20,V503&lt;40,W503&lt;45),0.23,0)+IF(AND(V503&gt;=20,V503&lt;40,W503&gt;=45,W503&lt;95),0.2,0)+IF(AND(V503&gt;=20,V503&lt;40,W503&gt;=95,W503&lt;=150),0.17,0)+IF(AND(V503&gt;=20,V503&lt;40,W503&gt;=150),0.12,0)+IF(AND(V503&gt;=40,V503&lt;75,W503&lt;35),0.23,0)+IF(AND(V503&gt;=40,V503&lt;75,W503&gt;=35,W503&lt;75),0.2,0)+IF(AND(V503&gt;=40,V503&lt;75,W503&gt;=75,W503&lt;120),0.17,0)+IF(AND(V503&gt;=40,V503&lt;75,W503&gt;=120),0.12,0)+IF(AND(V503&gt;=75,V503&lt;175,W503&lt;35),0.23,0)+IF(AND(V503&gt;=75,V503&lt;=175,W503&gt;=35,W503&lt;65),0.2,0)+IF(AND(V503&gt;=75,V503&lt;=175,W503&gt;=65,W503&lt;110),0.17,0)+IF(AND(V503&gt;=75,V503&lt;=175,W503&gt;=110),0.12,0)+IF(AND(V503&gt;175,W503&lt;25),0.23,0)+IF(AND(V503&gt;175,W503&gt;=25,W503&lt;55),0.2,0)+IF(AND(V503&gt;175,W503&gt;=55,W503&lt;95),0.17,0)+IF(AND(V503&gt;175,W503&gt;=95),0.12,0),
IF(AF503="DoEVs1",IF(AND(V503&lt;20,W503&lt;55),0.3,0)+IF(AND(V503&lt;20,W503&gt;=55,W503&lt;105),0.23,0)+IF(AND(V503&lt;20,W503&gt;=105),0.17,0)+IF(AND(V503&gt;=20,V503&lt;40,W503&lt;45),0.3,0)+IF(AND(V503&gt;=20,V503&lt;40,W503&gt;=45,W503&lt;95),0.23,0)+IF(AND(V503&gt;=20,V503&lt;40,W503&gt;=95,W503&lt;=150),0.17,0)+IF(AND(V503&gt;=20,V503&lt;40,W503&gt;=150),0.12,0)+IF(AND(V503&gt;=40,V503&lt;75,W503&lt;35),0.3,0)+IF(AND(V503&gt;=40,V503&lt;75,W503&gt;=35,W503&lt;75),0.23,0)+IF(AND(V503&gt;=40,V503&lt;75,W503&gt;=75,W503&lt;120),0.17,0)+IF(AND(V503&gt;=40,V503&lt;75,W503&gt;=120),0.12,0)+IF(AND(V503&gt;=75,V503&lt;175,W503&lt;35),0.3,0)+IF(AND(V503&gt;=75,V503&lt;=175,W503&gt;=35,W503&lt;65),0.23,0)+IF(AND(V503&gt;=75,V503&lt;=175,W503&gt;=65,W503&lt;110),0.17,0)+IF(AND(V503&gt;=75,V503&lt;=175,W503&gt;=110),0.12,0)+IF(AND(V503&gt;175,W503&lt;25),0.3,0)+IF(AND(V503&gt;175,W503&gt;=25,W503&lt;55),0.23,0)+IF(AND(V503&gt;175,W503&gt;=55,W503&lt;95),0.17,0)+IF(AND(V503&gt;175,W503&gt;=95),0.12,0),
IF(AF503="DoEVsu",IF(AND(V503&lt;20,W503&lt;55),0.3,0)+IF(AND(V503&lt;20,W503&gt;=55,W503&lt;105),0.23,0)+IF(AND(V503&lt;20,W503&gt;=105),0.17,0)+IF(AND(V503&gt;=20,V503&lt;40,W503&lt;45),0.3,0)+IF(AND(V503&gt;=20,V503&lt;40,W503&gt;=45,W503&lt;95),0.23,0)+IF(AND(V503&gt;=20,V503&lt;40,W503&gt;=95,W503&lt;=250),0.17,0)+IF(AND(V503&gt;=20,V503&lt;40,W503&gt;=250),0.12,0)+IF(AND(V503&gt;=40,V503&lt;75,W503&lt;35),0.3,0)+IF(AND(V503&gt;=40,V503&lt;75,W503&gt;=35,W503&lt;75),0.23,0)+IF(AND(V503&gt;=40,V503&lt;75,W503&gt;=75,W503&lt;120),0.17,0)+IF(AND(V503&gt;=40,V503&lt;75,W503&gt;=120),0.12,0)+IF(AND(V503&gt;=75,V503&lt;175,W503&lt;35),0.3,0)+IF(AND(V503&gt;=75,V503&lt;=175,W503&gt;=35,W503&lt;65),0.23,0)+IF(AND(V503&gt;=75,V503&lt;=175,W503&gt;=65,W503&lt;110),0.17,0)+IF(AND(V503&gt;=75,V503&lt;=175,W503&gt;=110),0.12,0)+IF(AND(V503&gt;175,W503&lt;25),0.3,0)+IF(AND(V503&gt;175,W503&gt;=25,W503&lt;55),0.23,0)+IF(AND(V503&gt;175,W503&gt;=55,W503&lt;95),0.17,0)+IF(AND(V503&gt;175,W503&gt;=95),0.12,0),
IF(AF503="DoEVni",IF(AND(V503&lt;20,W503&lt;55),0.3,0)+IF(AND(V503&lt;20,W503&gt;=55,W503&lt;105),0.23,0)+IF(AND(V503&lt;20,W503&gt;=105),0.17,0)+IF(AND(V503&gt;=20,V503&lt;40,W503&lt;45),0.3,0)+IF(AND(V503&gt;=20,V503&lt;40,W503&gt;=45,W503&lt;95),0.23,0)+IF(AND(V503&gt;=20,V503&lt;40,W503&gt;=95,W503&lt;=200),0.17,0)+IF(AND(V503&gt;=20,V503&lt;40,W503&gt;=200),0.12,0)+IF(AND(V503&gt;=40,V503&lt;75,W503&lt;35),0.3,0)+IF(AND(V503&gt;=40,V503&lt;75,W503&gt;=35,W503&lt;75),0.23,0)+IF(AND(V503&gt;=40,V503&lt;75,W503&gt;=75,W503&lt;120),0.17,0)+IF(AND(V503&gt;=40,V503&lt;75,W503&gt;=120),0.12,0)+IF(AND(V503&gt;=75,V503&lt;175,W503&lt;35),0.3,0)+IF(AND(V503&gt;=75,V503&lt;=175,W503&gt;=35,W503&lt;65),0.23,0)+IF(AND(V503&gt;=75,V503&lt;=175,W503&gt;=65,W503&lt;110),0.17,0)+IF(AND(V503&gt;=75,V503&lt;=175,W503&gt;=110),0.12,0)+IF(AND(V503&gt;175,W503&lt;25),0.3,0)+IF(AND(V503&gt;175,W503&gt;=25,W503&lt;55),0.23,0)+IF(AND(V503&gt;175,W503&gt;=55,W503&lt;95),0.17,0)+IF(AND(V503&gt;175,W503&gt;=95),0.12,0),
IF(AF503="DoEVLo",IF(AND(V503&lt;20,W503&lt;55),0.25,0)+IF(AND(V503&lt;20,W503&gt;=55,W503&lt;105),0.2,0)+IF(AND(V503&lt;20,W503&gt;=105),0.15,0)+IF(AND(V503&gt;=20,V503&lt;40,W503&lt;45),0.25,0)+IF(AND(V503&gt;=20,V503&lt;40,W503&gt;=45,W503&lt;95),0.2,0)+IF(AND(V503&gt;=20,V503&lt;40,W503&gt;=95),0.15,0)+IF(AND(V503&gt;=40,V503&lt;75,W503&lt;35),0.25,0)+IF(AND(V503&gt;=40,V503&lt;75,W503&gt;=35,W503&lt;75),0.2,0)+IF(AND(V503&gt;=40,V503&lt;75,W503&gt;=75,W503&lt;120),0.15,0)+IF(AND(V503&gt;=40,V503&lt;75,W503&gt;=120),0.1,0)+IF(AND(V503&gt;=75,V503&lt;175,W503&lt;35),0.25,0)+IF(AND(V503&gt;=75,V503&lt;=175,W503&gt;=35,W503&lt;65),0.2,0)+IF(AND(V503&gt;=75,V503&lt;=175,W503&gt;=65,W503&lt;110),0.15,0)+IF(AND(V503&gt;=75,V503&lt;=175,W503&gt;=110),0.1,0)+IF(AND(V503&gt;175,W503&lt;25),0.25,0)+IF(AND(V503&gt;175,W503&gt;=25,W503&lt;55),0.2,0)+IF(AND(V503&gt;175,W503&gt;=55,W503&lt;95),0.15,0)+IF(AND(V503&gt;175,W503&gt;=95),0.1,0)))))))))))))))))</f>
        <v>0.1875</v>
      </c>
      <c r="Y503" s="30">
        <f>IF(AG503="None",0,IF(AG503="Fix5",0.05, IF(AG503="Fix6.25",0.0625,IF(AG503="Fix3.75",0.0375,IF(AG503="Fix10",0.1,IF(AG503="Fix3",0.03,0))))))</f>
        <v>6.25E-2</v>
      </c>
      <c r="Z503" s="35">
        <f>T503-AA503-AB503</f>
        <v>5915.25</v>
      </c>
      <c r="AA503" s="29">
        <f>IF(AD503="EUR",((T503-R503)*X503)*U503+(R503*X503),(T503*X503))</f>
        <v>1478.8125</v>
      </c>
      <c r="AB503" s="36">
        <f>IF(AD503="EUR",((T503-R503)*Y503)*U503+(R503*Y503),(T503*Y503))</f>
        <v>492.9375</v>
      </c>
      <c r="AC503" s="37" t="b">
        <v>1</v>
      </c>
      <c r="AD503" s="37" t="s">
        <v>38</v>
      </c>
      <c r="AE503" s="37" t="s">
        <v>38</v>
      </c>
      <c r="AF503" s="37" t="s">
        <v>146</v>
      </c>
      <c r="AG503" s="38" t="s">
        <v>147</v>
      </c>
    </row>
    <row r="504" spans="1:33" ht="14.25" hidden="1" x14ac:dyDescent="0.2">
      <c r="A504" s="18" t="str">
        <f t="array" ref="A504">IF(G504='Room Info'!$B$1, INDEX('Room Info'!$A$2:$A2446, MATCH(B504,'Room Info'!$B$2:$B2446, 0)),IF(G504='Room Info'!$C$1, INDEX('Room Info'!$A$2:$A2446, MATCH(B504,'Room Info'!$C$2:$C2446, 0)),IF(G504='Room Info'!$D$1, INDEX('Room Info'!$A$2:$A2446, MATCH(B504,'Room Info'!$D$2:$D2446, 0)),IF(G504='Room Info'!$E$1, INDEX('Room Info'!$A$2:$A2446, MATCH(B504,'Room Info'!$E$2:$E2446, 0)),IF(G504='Room Info'!$F$1, INDEX('Room Info'!$A$2:$A2446, MATCH(B504,'Room Info'!$F$2:$F2446, 0)),IF(G504='Room Info'!$H$1, INDEX('Room Info'!$A$2:$A2446, MATCH(B504,'Room Info'!$H$2:$H2446, 0)),IF(G504='Room Info'!$G$1, INDEX('Room Info'!$A$2:$A2446, MATCH(B504,'Room Info'!$G$2:$G2446, 0)))))))))</f>
        <v>benyya</v>
      </c>
      <c r="B504" s="45" t="s">
        <v>145</v>
      </c>
      <c r="C504" s="46">
        <v>44713</v>
      </c>
      <c r="D504" s="46">
        <v>44742</v>
      </c>
      <c r="E504" s="47">
        <v>44713</v>
      </c>
      <c r="F504" s="48" t="s">
        <v>41</v>
      </c>
      <c r="G504" s="45" t="s">
        <v>35</v>
      </c>
      <c r="H504" s="49" t="s">
        <v>88</v>
      </c>
      <c r="I504" s="49" t="s">
        <v>37</v>
      </c>
      <c r="J504" s="70">
        <v>250</v>
      </c>
      <c r="K504" s="71">
        <v>0</v>
      </c>
      <c r="L504" s="52">
        <v>0</v>
      </c>
      <c r="M504" s="62"/>
      <c r="N504" s="28">
        <f>K504*J504</f>
        <v>0</v>
      </c>
      <c r="O504" s="54">
        <v>0</v>
      </c>
      <c r="P504" s="29" t="s">
        <v>334</v>
      </c>
      <c r="Q504" s="55"/>
      <c r="R504" s="31">
        <f>M504+Q504</f>
        <v>0</v>
      </c>
      <c r="S504" s="66"/>
      <c r="T504" s="32">
        <f>R504+S504+IF(F504="Without EV deal",L504,0)</f>
        <v>0</v>
      </c>
      <c r="U504" s="57">
        <v>1</v>
      </c>
      <c r="V504" s="58"/>
      <c r="W504" s="58"/>
      <c r="X504" s="30">
        <f>IF(AF504="DoEV",IF(AND(V504&lt;20,W504&lt;55),0.3,0)+IF(AND(V504&lt;20,W504&gt;=55,W504&lt;105),0.23,0)+IF(AND(V504&lt;20,W504&gt;=105),0.17,0)+IF(AND(V504&gt;=20,V504&lt;40,W504&lt;45),0.3,0)+IF(AND(V504&gt;=20,V504&lt;40,W504&gt;=45,W504&lt;95),0.23,0)+IF(AND(V504&gt;=20,V504&lt;40,W504&gt;=95),0.17,0)+IF(AND(V504&gt;=40,V504&lt;75,W504&lt;35),0.3,0)+IF(AND(V504&gt;=40,V504&lt;75,W504&gt;=35,W504&lt;75),0.23,0)+IF(AND(V504&gt;=40,V504&lt;75,W504&gt;=75,W504&lt;120),0.17,0)+IF(AND(V504&gt;=40,V504&lt;75,W504&gt;=120),0.12,0)+IF(AND(V504&gt;=75,V504&lt;175,W504&lt;35),0.3,0)+IF(AND(V504&gt;=75,V504&lt;=175,W504&gt;=35,W504&lt;65),0.23,0)+IF(AND(V504&gt;=75,V504&lt;=175,W504&gt;=65,W504&lt;110),0.17,0)+IF(AND(V504&gt;=75,V504&lt;=175,W504&gt;=110),0.12,0)+IF(AND(V504&gt;175,W504&lt;25),0.3,0)+IF(AND(V504&gt;175,W504&gt;=25,W504&lt;55),0.23,0)+IF(AND(V504&gt;175,W504&gt;=55,W504&lt;95),0.17,0)+IF(AND(V504&gt;175,W504&gt;=95),0.12,0),
IF(AF504="Fix15",0.15,
IF(AF504="Fix18.75",0.1875,
IF(AF504="Fix11.25",0.1125,
IF(AF504="Fix10",0.1,
IF(AF504="Fix9",0.09,
IF(AF504="DoEV2017",IF(AND(W504&lt;74),0.2,0)+IF(AND(W504&gt;=74),0.17,0),
IF(AF504="SF",IF(AND(V504&lt;20,W504&lt;89),0.3,0)+IF(AND(V504&lt;20,W504&gt;=89),0.25,0)+IF(AND(V504&gt;=20,V504&lt;40,W504&lt;74),0.3,0)+IF(AND(V504&gt;=20,V504&lt;40,W504&gt;=75),0.22,0)+IF(AND(V504&gt;=40,V504&lt;75,W504&lt;75),0.26,0)+IF(AND(V504&gt;=40,V504&lt;75,W504&gt;=75),0.22,0)+IF(V504&gt;=75,0.22,0),
IF(AF504="DoEVold",IF(AND(V504&lt;40,W504&lt;35),0.35,0)+IF(AND(V504&lt;40,W504&gt;=35,W504&lt;75),0.25,0)+IF(AND(V504&lt;40,W504&gt;=75),0.17,0)+IF(AND(V504&gt;=40,V504&lt;75,W504&lt;25),0.35,0)+IF(AND(V504&gt;=40,V504&lt;75,W504&gt;=25,W504&lt;65),0.25,0)+IF(AND(V504&gt;=40,V504&lt;75,W504&gt;=65,W504&lt;100),0.17,0)+IF(AND(V504&gt;=40,V504&lt;75,W504&gt;=100),0.1,0)+IF(AND(V504&gt;=75,W504&lt;25),0.35,0)+IF(AND(V504&gt;=75,W504&gt;=25,W504&lt;60),0.25,0)+IF(AND(V504&gt;=75,W504&gt;=60,W504&lt;95),0.17,0)+IF(AND(V504&gt;=75,W504&gt;=95),0.1,0),
IF(AF504="DoEVold15",IF(AND(V504&lt;=40,W504&lt;35),0.35,0)+IF(AND(V504&lt;=40,W504&gt;=35,W504&lt;75),0.25,0)+IF(AND(V504&lt;=40,W504&gt;=75,W504&lt;120),0.17,0)+IF(AND(V504&lt;=40,W504&gt;=120),0.15,0)+IF(AND(V504&gt;40,V504&lt;75,W504&lt;25),0.35,0)+IF(AND(V504&gt;=40,V504&lt;75,W504&gt;=25,W504&lt;65),0.25,0)+IF(AND(V504&gt;=40,V504&lt;75,W504&gt;=65,W504&lt;100),0.17,0)+IF(AND(V504&gt;=40,V504&lt;75,W504&gt;=100),0.1,0)+IF(AND(V504&gt;=75,W504&lt;25),0.35,0)+IF(AND(V504&gt;=75,W504&gt;=25,W504&lt;60),0.25,0)+IF(AND(V504&gt;=75,W504&gt;=60,W504&lt;95),0.17,0)+IF(AND(V504&gt;=75,W504&gt;=95),0.1,0),
IF(AF504="DoEVba",IF(AND(V504&lt;20,W504&lt;105),0.2,0)+IF(AND(V504&lt;20,W504&gt;=105),0.15,0)+IF(AND(V504&gt;=20,V504&lt;40,W504&lt;95),0.2,0)+IF(AND(V504&gt;=20,V504&lt;40,W504&gt;=95,W504&lt;150),0.15,0)+IF(AND(V504&gt;=20,V504&lt;40,W504&gt;=150),0.12,0)+IF(AND(V504&gt;=40,V504&lt;75,W504&lt;75),0.2,0)+IF(AND(V504&gt;=40,V504&lt;75,W504&gt;=75,W504&lt;120),0.15,0)+IF(AND(V504&gt;=40,V504&lt;75,W504&gt;=120),0.12,0)+IF(AND(V504&gt;=75,V504&lt;175,W504&lt;65),0.2,0)+IF(AND(V504&gt;=75,V504&lt;175,W504&gt;=65,W504&lt;110),0.15,0)+IF(AND(V504&gt;=75,V504&lt;175,W504&gt;=110),0.12,0)+IF(AND(V504&gt;=175,W504&lt;55),0.2,0)+IF(AND(V504&gt;=175,W504&gt;=55,W504&lt;95),0.15,0)+IF(AND(V504&gt;=175,W504&gt;=95),0.12,0),
IF(AF504="DoEVku",IF(AND(V504&lt;20,W504&lt;55),0.23,0)+IF(AND(V504&lt;20,W504&gt;=55,W504&lt;105),0.2,0)+IF(AND(V504&lt;20,W504&gt;=105),0.17,0)+IF(AND(V504&gt;=20,V504&lt;40,W504&lt;45),0.23,0)+IF(AND(V504&gt;=20,V504&lt;40,W504&gt;=45,W504&lt;95),0.2,0)+IF(AND(V504&gt;=20,V504&lt;40,W504&gt;=95,W504&lt;=150),0.17,0)+IF(AND(V504&gt;=20,V504&lt;40,W504&gt;=150),0.12,0)+IF(AND(V504&gt;=40,V504&lt;75,W504&lt;35),0.23,0)+IF(AND(V504&gt;=40,V504&lt;75,W504&gt;=35,W504&lt;75),0.2,0)+IF(AND(V504&gt;=40,V504&lt;75,W504&gt;=75,W504&lt;120),0.17,0)+IF(AND(V504&gt;=40,V504&lt;75,W504&gt;=120),0.12,0)+IF(AND(V504&gt;=75,V504&lt;175,W504&lt;35),0.23,0)+IF(AND(V504&gt;=75,V504&lt;=175,W504&gt;=35,W504&lt;65),0.2,0)+IF(AND(V504&gt;=75,V504&lt;=175,W504&gt;=65,W504&lt;110),0.17,0)+IF(AND(V504&gt;=75,V504&lt;=175,W504&gt;=110),0.12,0)+IF(AND(V504&gt;175,W504&lt;25),0.23,0)+IF(AND(V504&gt;175,W504&gt;=25,W504&lt;55),0.2,0)+IF(AND(V504&gt;175,W504&gt;=55,W504&lt;95),0.17,0)+IF(AND(V504&gt;175,W504&gt;=95),0.12,0),
IF(AF504="DoEVs1",IF(AND(V504&lt;20,W504&lt;55),0.3,0)+IF(AND(V504&lt;20,W504&gt;=55,W504&lt;105),0.23,0)+IF(AND(V504&lt;20,W504&gt;=105),0.17,0)+IF(AND(V504&gt;=20,V504&lt;40,W504&lt;45),0.3,0)+IF(AND(V504&gt;=20,V504&lt;40,W504&gt;=45,W504&lt;95),0.23,0)+IF(AND(V504&gt;=20,V504&lt;40,W504&gt;=95,W504&lt;=150),0.17,0)+IF(AND(V504&gt;=20,V504&lt;40,W504&gt;=150),0.12,0)+IF(AND(V504&gt;=40,V504&lt;75,W504&lt;35),0.3,0)+IF(AND(V504&gt;=40,V504&lt;75,W504&gt;=35,W504&lt;75),0.23,0)+IF(AND(V504&gt;=40,V504&lt;75,W504&gt;=75,W504&lt;120),0.17,0)+IF(AND(V504&gt;=40,V504&lt;75,W504&gt;=120),0.12,0)+IF(AND(V504&gt;=75,V504&lt;175,W504&lt;35),0.3,0)+IF(AND(V504&gt;=75,V504&lt;=175,W504&gt;=35,W504&lt;65),0.23,0)+IF(AND(V504&gt;=75,V504&lt;=175,W504&gt;=65,W504&lt;110),0.17,0)+IF(AND(V504&gt;=75,V504&lt;=175,W504&gt;=110),0.12,0)+IF(AND(V504&gt;175,W504&lt;25),0.3,0)+IF(AND(V504&gt;175,W504&gt;=25,W504&lt;55),0.23,0)+IF(AND(V504&gt;175,W504&gt;=55,W504&lt;95),0.17,0)+IF(AND(V504&gt;175,W504&gt;=95),0.12,0),
IF(AF504="DoEVsu",IF(AND(V504&lt;20,W504&lt;55),0.3,0)+IF(AND(V504&lt;20,W504&gt;=55,W504&lt;105),0.23,0)+IF(AND(V504&lt;20,W504&gt;=105),0.17,0)+IF(AND(V504&gt;=20,V504&lt;40,W504&lt;45),0.3,0)+IF(AND(V504&gt;=20,V504&lt;40,W504&gt;=45,W504&lt;95),0.23,0)+IF(AND(V504&gt;=20,V504&lt;40,W504&gt;=95,W504&lt;=250),0.17,0)+IF(AND(V504&gt;=20,V504&lt;40,W504&gt;=250),0.12,0)+IF(AND(V504&gt;=40,V504&lt;75,W504&lt;35),0.3,0)+IF(AND(V504&gt;=40,V504&lt;75,W504&gt;=35,W504&lt;75),0.23,0)+IF(AND(V504&gt;=40,V504&lt;75,W504&gt;=75,W504&lt;120),0.17,0)+IF(AND(V504&gt;=40,V504&lt;75,W504&gt;=120),0.12,0)+IF(AND(V504&gt;=75,V504&lt;175,W504&lt;35),0.3,0)+IF(AND(V504&gt;=75,V504&lt;=175,W504&gt;=35,W504&lt;65),0.23,0)+IF(AND(V504&gt;=75,V504&lt;=175,W504&gt;=65,W504&lt;110),0.17,0)+IF(AND(V504&gt;=75,V504&lt;=175,W504&gt;=110),0.12,0)+IF(AND(V504&gt;175,W504&lt;25),0.3,0)+IF(AND(V504&gt;175,W504&gt;=25,W504&lt;55),0.23,0)+IF(AND(V504&gt;175,W504&gt;=55,W504&lt;95),0.17,0)+IF(AND(V504&gt;175,W504&gt;=95),0.12,0),
IF(AF504="DoEVni",IF(AND(V504&lt;20,W504&lt;55),0.3,0)+IF(AND(V504&lt;20,W504&gt;=55,W504&lt;105),0.23,0)+IF(AND(V504&lt;20,W504&gt;=105),0.17,0)+IF(AND(V504&gt;=20,V504&lt;40,W504&lt;45),0.3,0)+IF(AND(V504&gt;=20,V504&lt;40,W504&gt;=45,W504&lt;95),0.23,0)+IF(AND(V504&gt;=20,V504&lt;40,W504&gt;=95,W504&lt;=200),0.17,0)+IF(AND(V504&gt;=20,V504&lt;40,W504&gt;=200),0.12,0)+IF(AND(V504&gt;=40,V504&lt;75,W504&lt;35),0.3,0)+IF(AND(V504&gt;=40,V504&lt;75,W504&gt;=35,W504&lt;75),0.23,0)+IF(AND(V504&gt;=40,V504&lt;75,W504&gt;=75,W504&lt;120),0.17,0)+IF(AND(V504&gt;=40,V504&lt;75,W504&gt;=120),0.12,0)+IF(AND(V504&gt;=75,V504&lt;175,W504&lt;35),0.3,0)+IF(AND(V504&gt;=75,V504&lt;=175,W504&gt;=35,W504&lt;65),0.23,0)+IF(AND(V504&gt;=75,V504&lt;=175,W504&gt;=65,W504&lt;110),0.17,0)+IF(AND(V504&gt;=75,V504&lt;=175,W504&gt;=110),0.12,0)+IF(AND(V504&gt;175,W504&lt;25),0.3,0)+IF(AND(V504&gt;175,W504&gt;=25,W504&lt;55),0.23,0)+IF(AND(V504&gt;175,W504&gt;=55,W504&lt;95),0.17,0)+IF(AND(V504&gt;175,W504&gt;=95),0.12,0),
IF(AF504="DoEVLo",IF(AND(V504&lt;20,W504&lt;55),0.25,0)+IF(AND(V504&lt;20,W504&gt;=55,W504&lt;105),0.2,0)+IF(AND(V504&lt;20,W504&gt;=105),0.15,0)+IF(AND(V504&gt;=20,V504&lt;40,W504&lt;45),0.25,0)+IF(AND(V504&gt;=20,V504&lt;40,W504&gt;=45,W504&lt;95),0.2,0)+IF(AND(V504&gt;=20,V504&lt;40,W504&gt;=95),0.15,0)+IF(AND(V504&gt;=40,V504&lt;75,W504&lt;35),0.25,0)+IF(AND(V504&gt;=40,V504&lt;75,W504&gt;=35,W504&lt;75),0.2,0)+IF(AND(V504&gt;=40,V504&lt;75,W504&gt;=75,W504&lt;120),0.15,0)+IF(AND(V504&gt;=40,V504&lt;75,W504&gt;=120),0.1,0)+IF(AND(V504&gt;=75,V504&lt;175,W504&lt;35),0.25,0)+IF(AND(V504&gt;=75,V504&lt;=175,W504&gt;=35,W504&lt;65),0.2,0)+IF(AND(V504&gt;=75,V504&lt;=175,W504&gt;=65,W504&lt;110),0.15,0)+IF(AND(V504&gt;=75,V504&lt;=175,W504&gt;=110),0.1,0)+IF(AND(V504&gt;175,W504&lt;25),0.25,0)+IF(AND(V504&gt;175,W504&gt;=25,W504&lt;55),0.2,0)+IF(AND(V504&gt;175,W504&gt;=55,W504&lt;95),0.15,0)+IF(AND(V504&gt;175,W504&gt;=95),0.1,0)))))))))))))))))</f>
        <v>0.1875</v>
      </c>
      <c r="Y504" s="30">
        <f>IF(AG504="None",0,IF(AG504="Fix5",0.05, IF(AG504="Fix6.25",0.0625,IF(AG504="Fix3.75",0.0375,IF(AG504="Fix10",0.1,IF(AG504="Fix3",0.03,0))))))</f>
        <v>6.25E-2</v>
      </c>
      <c r="Z504" s="35">
        <f>T504-AA504-AB504</f>
        <v>0</v>
      </c>
      <c r="AA504" s="29">
        <f>IF(AD504="EUR",((T504-R504)*X504)*U504+(R504*X504),(T504*X504))</f>
        <v>0</v>
      </c>
      <c r="AB504" s="36">
        <f>IF(AD504="EUR",((T504-R504)*Y504)*U504+(R504*Y504),(T504*Y504))</f>
        <v>0</v>
      </c>
      <c r="AC504" s="37" t="b">
        <v>1</v>
      </c>
      <c r="AD504" s="37" t="s">
        <v>38</v>
      </c>
      <c r="AE504" s="37" t="s">
        <v>38</v>
      </c>
      <c r="AF504" s="37" t="s">
        <v>146</v>
      </c>
      <c r="AG504" s="38" t="s">
        <v>147</v>
      </c>
    </row>
    <row r="505" spans="1:33" ht="14.25" hidden="1" x14ac:dyDescent="0.2">
      <c r="A505" s="18" t="str">
        <f t="array" ref="A505">IF(G505='Room Info'!$B$1, INDEX('Room Info'!$A$2:$A2446, MATCH(B505,'Room Info'!$B$2:$B2446, 0)),IF(G505='Room Info'!$C$1, INDEX('Room Info'!$A$2:$A2446, MATCH(B505,'Room Info'!$C$2:$C2446, 0)),IF(G505='Room Info'!$D$1, INDEX('Room Info'!$A$2:$A2446, MATCH(B505,'Room Info'!$D$2:$D2446, 0)),IF(G505='Room Info'!$E$1, INDEX('Room Info'!$A$2:$A2446, MATCH(B505,'Room Info'!$E$2:$E2446, 0)),IF(G505='Room Info'!$F$1, INDEX('Room Info'!$A$2:$A2446, MATCH(B505,'Room Info'!$F$2:$F2446, 0)),IF(G505='Room Info'!$H$1, INDEX('Room Info'!$A$2:$A2446, MATCH(B505,'Room Info'!$H$2:$H2446, 0)),IF(G505='Room Info'!$G$1, INDEX('Room Info'!$A$2:$A2446, MATCH(B505,'Room Info'!$G$2:$G2446, 0)))))))))</f>
        <v>benyya</v>
      </c>
      <c r="B505" s="45" t="s">
        <v>145</v>
      </c>
      <c r="C505" s="46">
        <v>44743</v>
      </c>
      <c r="D505" s="46">
        <v>44773</v>
      </c>
      <c r="E505" s="47">
        <v>44743</v>
      </c>
      <c r="F505" s="48" t="s">
        <v>49</v>
      </c>
      <c r="G505" s="45" t="s">
        <v>35</v>
      </c>
      <c r="H505" s="49" t="s">
        <v>70</v>
      </c>
      <c r="I505" s="49" t="s">
        <v>37</v>
      </c>
      <c r="J505" s="70">
        <v>100</v>
      </c>
      <c r="K505" s="71">
        <v>119</v>
      </c>
      <c r="L505" s="52">
        <v>-800</v>
      </c>
      <c r="M505" s="53">
        <v>442</v>
      </c>
      <c r="N505" s="28">
        <f>K505*J505</f>
        <v>11900</v>
      </c>
      <c r="O505" s="54">
        <v>220</v>
      </c>
      <c r="P505" s="29">
        <v>1.8487394960000001</v>
      </c>
      <c r="Q505" s="55"/>
      <c r="R505" s="31">
        <f>M505+Q505</f>
        <v>442</v>
      </c>
      <c r="S505" s="56">
        <v>-578</v>
      </c>
      <c r="T505" s="32">
        <f>R505+S505+IF(F505="Without EV deal",L505,0)</f>
        <v>-136</v>
      </c>
      <c r="U505" s="57">
        <v>1</v>
      </c>
      <c r="V505" s="58"/>
      <c r="W505" s="58"/>
      <c r="X505" s="30">
        <f>IF(AF505="DoEV",IF(AND(V505&lt;20,W505&lt;55),0.3,0)+IF(AND(V505&lt;20,W505&gt;=55,W505&lt;105),0.23,0)+IF(AND(V505&lt;20,W505&gt;=105),0.17,0)+IF(AND(V505&gt;=20,V505&lt;40,W505&lt;45),0.3,0)+IF(AND(V505&gt;=20,V505&lt;40,W505&gt;=45,W505&lt;95),0.23,0)+IF(AND(V505&gt;=20,V505&lt;40,W505&gt;=95),0.17,0)+IF(AND(V505&gt;=40,V505&lt;75,W505&lt;35),0.3,0)+IF(AND(V505&gt;=40,V505&lt;75,W505&gt;=35,W505&lt;75),0.23,0)+IF(AND(V505&gt;=40,V505&lt;75,W505&gt;=75,W505&lt;120),0.17,0)+IF(AND(V505&gt;=40,V505&lt;75,W505&gt;=120),0.12,0)+IF(AND(V505&gt;=75,V505&lt;175,W505&lt;35),0.3,0)+IF(AND(V505&gt;=75,V505&lt;=175,W505&gt;=35,W505&lt;65),0.23,0)+IF(AND(V505&gt;=75,V505&lt;=175,W505&gt;=65,W505&lt;110),0.17,0)+IF(AND(V505&gt;=75,V505&lt;=175,W505&gt;=110),0.12,0)+IF(AND(V505&gt;175,W505&lt;25),0.3,0)+IF(AND(V505&gt;175,W505&gt;=25,W505&lt;55),0.23,0)+IF(AND(V505&gt;175,W505&gt;=55,W505&lt;95),0.17,0)+IF(AND(V505&gt;175,W505&gt;=95),0.12,0),
IF(AF505="Fix15",0.15,
IF(AF505="Fix18.75",0.1875,
IF(AF505="Fix11.25",0.1125,
IF(AF505="Fix10",0.1,
IF(AF505="Fix9",0.09,
IF(AF505="DoEV2017",IF(AND(W505&lt;74),0.2,0)+IF(AND(W505&gt;=74),0.17,0),
IF(AF505="SF",IF(AND(V505&lt;20,W505&lt;89),0.3,0)+IF(AND(V505&lt;20,W505&gt;=89),0.25,0)+IF(AND(V505&gt;=20,V505&lt;40,W505&lt;74),0.3,0)+IF(AND(V505&gt;=20,V505&lt;40,W505&gt;=75),0.22,0)+IF(AND(V505&gt;=40,V505&lt;75,W505&lt;75),0.26,0)+IF(AND(V505&gt;=40,V505&lt;75,W505&gt;=75),0.22,0)+IF(V505&gt;=75,0.22,0),
IF(AF505="DoEVold",IF(AND(V505&lt;40,W505&lt;35),0.35,0)+IF(AND(V505&lt;40,W505&gt;=35,W505&lt;75),0.25,0)+IF(AND(V505&lt;40,W505&gt;=75),0.17,0)+IF(AND(V505&gt;=40,V505&lt;75,W505&lt;25),0.35,0)+IF(AND(V505&gt;=40,V505&lt;75,W505&gt;=25,W505&lt;65),0.25,0)+IF(AND(V505&gt;=40,V505&lt;75,W505&gt;=65,W505&lt;100),0.17,0)+IF(AND(V505&gt;=40,V505&lt;75,W505&gt;=100),0.1,0)+IF(AND(V505&gt;=75,W505&lt;25),0.35,0)+IF(AND(V505&gt;=75,W505&gt;=25,W505&lt;60),0.25,0)+IF(AND(V505&gt;=75,W505&gt;=60,W505&lt;95),0.17,0)+IF(AND(V505&gt;=75,W505&gt;=95),0.1,0),
IF(AF505="DoEVold15",IF(AND(V505&lt;=40,W505&lt;35),0.35,0)+IF(AND(V505&lt;=40,W505&gt;=35,W505&lt;75),0.25,0)+IF(AND(V505&lt;=40,W505&gt;=75,W505&lt;120),0.17,0)+IF(AND(V505&lt;=40,W505&gt;=120),0.15,0)+IF(AND(V505&gt;40,V505&lt;75,W505&lt;25),0.35,0)+IF(AND(V505&gt;=40,V505&lt;75,W505&gt;=25,W505&lt;65),0.25,0)+IF(AND(V505&gt;=40,V505&lt;75,W505&gt;=65,W505&lt;100),0.17,0)+IF(AND(V505&gt;=40,V505&lt;75,W505&gt;=100),0.1,0)+IF(AND(V505&gt;=75,W505&lt;25),0.35,0)+IF(AND(V505&gt;=75,W505&gt;=25,W505&lt;60),0.25,0)+IF(AND(V505&gt;=75,W505&gt;=60,W505&lt;95),0.17,0)+IF(AND(V505&gt;=75,W505&gt;=95),0.1,0),
IF(AF505="DoEVba",IF(AND(V505&lt;20,W505&lt;105),0.2,0)+IF(AND(V505&lt;20,W505&gt;=105),0.15,0)+IF(AND(V505&gt;=20,V505&lt;40,W505&lt;95),0.2,0)+IF(AND(V505&gt;=20,V505&lt;40,W505&gt;=95,W505&lt;150),0.15,0)+IF(AND(V505&gt;=20,V505&lt;40,W505&gt;=150),0.12,0)+IF(AND(V505&gt;=40,V505&lt;75,W505&lt;75),0.2,0)+IF(AND(V505&gt;=40,V505&lt;75,W505&gt;=75,W505&lt;120),0.15,0)+IF(AND(V505&gt;=40,V505&lt;75,W505&gt;=120),0.12,0)+IF(AND(V505&gt;=75,V505&lt;175,W505&lt;65),0.2,0)+IF(AND(V505&gt;=75,V505&lt;175,W505&gt;=65,W505&lt;110),0.15,0)+IF(AND(V505&gt;=75,V505&lt;175,W505&gt;=110),0.12,0)+IF(AND(V505&gt;=175,W505&lt;55),0.2,0)+IF(AND(V505&gt;=175,W505&gt;=55,W505&lt;95),0.15,0)+IF(AND(V505&gt;=175,W505&gt;=95),0.12,0),
IF(AF505="DoEVku",IF(AND(V505&lt;20,W505&lt;55),0.23,0)+IF(AND(V505&lt;20,W505&gt;=55,W505&lt;105),0.2,0)+IF(AND(V505&lt;20,W505&gt;=105),0.17,0)+IF(AND(V505&gt;=20,V505&lt;40,W505&lt;45),0.23,0)+IF(AND(V505&gt;=20,V505&lt;40,W505&gt;=45,W505&lt;95),0.2,0)+IF(AND(V505&gt;=20,V505&lt;40,W505&gt;=95,W505&lt;=150),0.17,0)+IF(AND(V505&gt;=20,V505&lt;40,W505&gt;=150),0.12,0)+IF(AND(V505&gt;=40,V505&lt;75,W505&lt;35),0.23,0)+IF(AND(V505&gt;=40,V505&lt;75,W505&gt;=35,W505&lt;75),0.2,0)+IF(AND(V505&gt;=40,V505&lt;75,W505&gt;=75,W505&lt;120),0.17,0)+IF(AND(V505&gt;=40,V505&lt;75,W505&gt;=120),0.12,0)+IF(AND(V505&gt;=75,V505&lt;175,W505&lt;35),0.23,0)+IF(AND(V505&gt;=75,V505&lt;=175,W505&gt;=35,W505&lt;65),0.2,0)+IF(AND(V505&gt;=75,V505&lt;=175,W505&gt;=65,W505&lt;110),0.17,0)+IF(AND(V505&gt;=75,V505&lt;=175,W505&gt;=110),0.12,0)+IF(AND(V505&gt;175,W505&lt;25),0.23,0)+IF(AND(V505&gt;175,W505&gt;=25,W505&lt;55),0.2,0)+IF(AND(V505&gt;175,W505&gt;=55,W505&lt;95),0.17,0)+IF(AND(V505&gt;175,W505&gt;=95),0.12,0),
IF(AF505="DoEVs1",IF(AND(V505&lt;20,W505&lt;55),0.3,0)+IF(AND(V505&lt;20,W505&gt;=55,W505&lt;105),0.23,0)+IF(AND(V505&lt;20,W505&gt;=105),0.17,0)+IF(AND(V505&gt;=20,V505&lt;40,W505&lt;45),0.3,0)+IF(AND(V505&gt;=20,V505&lt;40,W505&gt;=45,W505&lt;95),0.23,0)+IF(AND(V505&gt;=20,V505&lt;40,W505&gt;=95,W505&lt;=150),0.17,0)+IF(AND(V505&gt;=20,V505&lt;40,W505&gt;=150),0.12,0)+IF(AND(V505&gt;=40,V505&lt;75,W505&lt;35),0.3,0)+IF(AND(V505&gt;=40,V505&lt;75,W505&gt;=35,W505&lt;75),0.23,0)+IF(AND(V505&gt;=40,V505&lt;75,W505&gt;=75,W505&lt;120),0.17,0)+IF(AND(V505&gt;=40,V505&lt;75,W505&gt;=120),0.12,0)+IF(AND(V505&gt;=75,V505&lt;175,W505&lt;35),0.3,0)+IF(AND(V505&gt;=75,V505&lt;=175,W505&gt;=35,W505&lt;65),0.23,0)+IF(AND(V505&gt;=75,V505&lt;=175,W505&gt;=65,W505&lt;110),0.17,0)+IF(AND(V505&gt;=75,V505&lt;=175,W505&gt;=110),0.12,0)+IF(AND(V505&gt;175,W505&lt;25),0.3,0)+IF(AND(V505&gt;175,W505&gt;=25,W505&lt;55),0.23,0)+IF(AND(V505&gt;175,W505&gt;=55,W505&lt;95),0.17,0)+IF(AND(V505&gt;175,W505&gt;=95),0.12,0),
IF(AF505="DoEVsu",IF(AND(V505&lt;20,W505&lt;55),0.3,0)+IF(AND(V505&lt;20,W505&gt;=55,W505&lt;105),0.23,0)+IF(AND(V505&lt;20,W505&gt;=105),0.17,0)+IF(AND(V505&gt;=20,V505&lt;40,W505&lt;45),0.3,0)+IF(AND(V505&gt;=20,V505&lt;40,W505&gt;=45,W505&lt;95),0.23,0)+IF(AND(V505&gt;=20,V505&lt;40,W505&gt;=95,W505&lt;=250),0.17,0)+IF(AND(V505&gt;=20,V505&lt;40,W505&gt;=250),0.12,0)+IF(AND(V505&gt;=40,V505&lt;75,W505&lt;35),0.3,0)+IF(AND(V505&gt;=40,V505&lt;75,W505&gt;=35,W505&lt;75),0.23,0)+IF(AND(V505&gt;=40,V505&lt;75,W505&gt;=75,W505&lt;120),0.17,0)+IF(AND(V505&gt;=40,V505&lt;75,W505&gt;=120),0.12,0)+IF(AND(V505&gt;=75,V505&lt;175,W505&lt;35),0.3,0)+IF(AND(V505&gt;=75,V505&lt;=175,W505&gt;=35,W505&lt;65),0.23,0)+IF(AND(V505&gt;=75,V505&lt;=175,W505&gt;=65,W505&lt;110),0.17,0)+IF(AND(V505&gt;=75,V505&lt;=175,W505&gt;=110),0.12,0)+IF(AND(V505&gt;175,W505&lt;25),0.3,0)+IF(AND(V505&gt;175,W505&gt;=25,W505&lt;55),0.23,0)+IF(AND(V505&gt;175,W505&gt;=55,W505&lt;95),0.17,0)+IF(AND(V505&gt;175,W505&gt;=95),0.12,0),
IF(AF505="DoEVni",IF(AND(V505&lt;20,W505&lt;55),0.3,0)+IF(AND(V505&lt;20,W505&gt;=55,W505&lt;105),0.23,0)+IF(AND(V505&lt;20,W505&gt;=105),0.17,0)+IF(AND(V505&gt;=20,V505&lt;40,W505&lt;45),0.3,0)+IF(AND(V505&gt;=20,V505&lt;40,W505&gt;=45,W505&lt;95),0.23,0)+IF(AND(V505&gt;=20,V505&lt;40,W505&gt;=95,W505&lt;=200),0.17,0)+IF(AND(V505&gt;=20,V505&lt;40,W505&gt;=200),0.12,0)+IF(AND(V505&gt;=40,V505&lt;75,W505&lt;35),0.3,0)+IF(AND(V505&gt;=40,V505&lt;75,W505&gt;=35,W505&lt;75),0.23,0)+IF(AND(V505&gt;=40,V505&lt;75,W505&gt;=75,W505&lt;120),0.17,0)+IF(AND(V505&gt;=40,V505&lt;75,W505&gt;=120),0.12,0)+IF(AND(V505&gt;=75,V505&lt;175,W505&lt;35),0.3,0)+IF(AND(V505&gt;=75,V505&lt;=175,W505&gt;=35,W505&lt;65),0.23,0)+IF(AND(V505&gt;=75,V505&lt;=175,W505&gt;=65,W505&lt;110),0.17,0)+IF(AND(V505&gt;=75,V505&lt;=175,W505&gt;=110),0.12,0)+IF(AND(V505&gt;175,W505&lt;25),0.3,0)+IF(AND(V505&gt;175,W505&gt;=25,W505&lt;55),0.23,0)+IF(AND(V505&gt;175,W505&gt;=55,W505&lt;95),0.17,0)+IF(AND(V505&gt;175,W505&gt;=95),0.12,0),
IF(AF505="DoEVLo",IF(AND(V505&lt;20,W505&lt;55),0.25,0)+IF(AND(V505&lt;20,W505&gt;=55,W505&lt;105),0.2,0)+IF(AND(V505&lt;20,W505&gt;=105),0.15,0)+IF(AND(V505&gt;=20,V505&lt;40,W505&lt;45),0.25,0)+IF(AND(V505&gt;=20,V505&lt;40,W505&gt;=45,W505&lt;95),0.2,0)+IF(AND(V505&gt;=20,V505&lt;40,W505&gt;=95),0.15,0)+IF(AND(V505&gt;=40,V505&lt;75,W505&lt;35),0.25,0)+IF(AND(V505&gt;=40,V505&lt;75,W505&gt;=35,W505&lt;75),0.2,0)+IF(AND(V505&gt;=40,V505&lt;75,W505&gt;=75,W505&lt;120),0.15,0)+IF(AND(V505&gt;=40,V505&lt;75,W505&gt;=120),0.1,0)+IF(AND(V505&gt;=75,V505&lt;175,W505&lt;35),0.25,0)+IF(AND(V505&gt;=75,V505&lt;=175,W505&gt;=35,W505&lt;65),0.2,0)+IF(AND(V505&gt;=75,V505&lt;=175,W505&gt;=65,W505&lt;110),0.15,0)+IF(AND(V505&gt;=75,V505&lt;=175,W505&gt;=110),0.1,0)+IF(AND(V505&gt;175,W505&lt;25),0.25,0)+IF(AND(V505&gt;175,W505&gt;=25,W505&lt;55),0.2,0)+IF(AND(V505&gt;175,W505&gt;=55,W505&lt;95),0.15,0)+IF(AND(V505&gt;175,W505&gt;=95),0.1,0)))))))))))))))))</f>
        <v>0.1875</v>
      </c>
      <c r="Y505" s="30">
        <f>IF(AG505="None",0,IF(AG505="Fix5",0.05, IF(AG505="Fix6.25",0.0625,IF(AG505="Fix3.75",0.0375,IF(AG505="Fix10",0.1,IF(AG505="Fix3",0.03,0))))))</f>
        <v>6.25E-2</v>
      </c>
      <c r="Z505" s="35">
        <f>T505-AA505-AB505</f>
        <v>-102</v>
      </c>
      <c r="AA505" s="29">
        <f>IF(AD505="EUR",((T505-R505)*X505)*U505+(R505*X505),(T505*X505))</f>
        <v>-25.5</v>
      </c>
      <c r="AB505" s="36">
        <f>IF(AD505="EUR",((T505-R505)*Y505)*U505+(R505*Y505),(T505*Y505))</f>
        <v>-8.5</v>
      </c>
      <c r="AC505" s="37" t="b">
        <v>1</v>
      </c>
      <c r="AD505" s="37" t="s">
        <v>38</v>
      </c>
      <c r="AE505" s="37" t="s">
        <v>38</v>
      </c>
      <c r="AF505" s="37" t="s">
        <v>146</v>
      </c>
      <c r="AG505" s="38" t="s">
        <v>147</v>
      </c>
    </row>
    <row r="506" spans="1:33" ht="14.25" hidden="1" x14ac:dyDescent="0.2">
      <c r="A506" s="18" t="str">
        <f t="array" ref="A506">IF(G506='Room Info'!$B$1, INDEX('Room Info'!$A$2:$A2446, MATCH(B506,'Room Info'!$B$2:$B2446, 0)),IF(G506='Room Info'!$C$1, INDEX('Room Info'!$A$2:$A2446, MATCH(B506,'Room Info'!$C$2:$C2446, 0)),IF(G506='Room Info'!$D$1, INDEX('Room Info'!$A$2:$A2446, MATCH(B506,'Room Info'!$D$2:$D2446, 0)),IF(G506='Room Info'!$E$1, INDEX('Room Info'!$A$2:$A2446, MATCH(B506,'Room Info'!$E$2:$E2446, 0)),IF(G506='Room Info'!$F$1, INDEX('Room Info'!$A$2:$A2446, MATCH(B506,'Room Info'!$F$2:$F2446, 0)),IF(G506='Room Info'!$H$1, INDEX('Room Info'!$A$2:$A2446, MATCH(B506,'Room Info'!$H$2:$H2446, 0)),IF(G506='Room Info'!$G$1, INDEX('Room Info'!$A$2:$A2446, MATCH(B506,'Room Info'!$G$2:$G2446, 0)))))))))</f>
        <v>benyya</v>
      </c>
      <c r="B506" s="45" t="s">
        <v>145</v>
      </c>
      <c r="C506" s="46">
        <v>44743</v>
      </c>
      <c r="D506" s="46">
        <v>44773</v>
      </c>
      <c r="E506" s="47">
        <v>44743</v>
      </c>
      <c r="F506" s="48" t="s">
        <v>49</v>
      </c>
      <c r="G506" s="54" t="s">
        <v>35</v>
      </c>
      <c r="H506" s="49" t="s">
        <v>84</v>
      </c>
      <c r="I506" s="49" t="s">
        <v>44</v>
      </c>
      <c r="J506" s="50">
        <v>100</v>
      </c>
      <c r="K506" s="51">
        <v>4229</v>
      </c>
      <c r="L506" s="52">
        <v>-15300</v>
      </c>
      <c r="M506" s="53">
        <v>15716</v>
      </c>
      <c r="N506" s="28">
        <f>K506*J506</f>
        <v>422900</v>
      </c>
      <c r="O506" s="54">
        <v>44264</v>
      </c>
      <c r="P506" s="29">
        <v>10.46677702</v>
      </c>
      <c r="Q506" s="55"/>
      <c r="R506" s="31">
        <f>M506+Q506</f>
        <v>15716</v>
      </c>
      <c r="S506" s="56">
        <v>-8156</v>
      </c>
      <c r="T506" s="32">
        <f>R506+S506+IF(F506="Without EV deal",L506,0)</f>
        <v>7560</v>
      </c>
      <c r="U506" s="57">
        <v>1</v>
      </c>
      <c r="V506" s="58"/>
      <c r="W506" s="58"/>
      <c r="X506" s="30">
        <f>IF(AF506="DoEV",IF(AND(V506&lt;20,W506&lt;55),0.3,0)+IF(AND(V506&lt;20,W506&gt;=55,W506&lt;105),0.23,0)+IF(AND(V506&lt;20,W506&gt;=105),0.17,0)+IF(AND(V506&gt;=20,V506&lt;40,W506&lt;45),0.3,0)+IF(AND(V506&gt;=20,V506&lt;40,W506&gt;=45,W506&lt;95),0.23,0)+IF(AND(V506&gt;=20,V506&lt;40,W506&gt;=95),0.17,0)+IF(AND(V506&gt;=40,V506&lt;75,W506&lt;35),0.3,0)+IF(AND(V506&gt;=40,V506&lt;75,W506&gt;=35,W506&lt;75),0.23,0)+IF(AND(V506&gt;=40,V506&lt;75,W506&gt;=75,W506&lt;120),0.17,0)+IF(AND(V506&gt;=40,V506&lt;75,W506&gt;=120),0.12,0)+IF(AND(V506&gt;=75,V506&lt;175,W506&lt;35),0.3,0)+IF(AND(V506&gt;=75,V506&lt;=175,W506&gt;=35,W506&lt;65),0.23,0)+IF(AND(V506&gt;=75,V506&lt;=175,W506&gt;=65,W506&lt;110),0.17,0)+IF(AND(V506&gt;=75,V506&lt;=175,W506&gt;=110),0.12,0)+IF(AND(V506&gt;175,W506&lt;25),0.3,0)+IF(AND(V506&gt;175,W506&gt;=25,W506&lt;55),0.23,0)+IF(AND(V506&gt;175,W506&gt;=55,W506&lt;95),0.17,0)+IF(AND(V506&gt;175,W506&gt;=95),0.12,0),
IF(AF506="Fix15",0.15,
IF(AF506="Fix18.75",0.1875,
IF(AF506="Fix11.25",0.1125,
IF(AF506="Fix10",0.1,
IF(AF506="Fix9",0.09,
IF(AF506="DoEV2017",IF(AND(W506&lt;74),0.2,0)+IF(AND(W506&gt;=74),0.17,0),
IF(AF506="SF",IF(AND(V506&lt;20,W506&lt;89),0.3,0)+IF(AND(V506&lt;20,W506&gt;=89),0.25,0)+IF(AND(V506&gt;=20,V506&lt;40,W506&lt;74),0.3,0)+IF(AND(V506&gt;=20,V506&lt;40,W506&gt;=75),0.22,0)+IF(AND(V506&gt;=40,V506&lt;75,W506&lt;75),0.26,0)+IF(AND(V506&gt;=40,V506&lt;75,W506&gt;=75),0.22,0)+IF(V506&gt;=75,0.22,0),
IF(AF506="DoEVold",IF(AND(V506&lt;40,W506&lt;35),0.35,0)+IF(AND(V506&lt;40,W506&gt;=35,W506&lt;75),0.25,0)+IF(AND(V506&lt;40,W506&gt;=75),0.17,0)+IF(AND(V506&gt;=40,V506&lt;75,W506&lt;25),0.35,0)+IF(AND(V506&gt;=40,V506&lt;75,W506&gt;=25,W506&lt;65),0.25,0)+IF(AND(V506&gt;=40,V506&lt;75,W506&gt;=65,W506&lt;100),0.17,0)+IF(AND(V506&gt;=40,V506&lt;75,W506&gt;=100),0.1,0)+IF(AND(V506&gt;=75,W506&lt;25),0.35,0)+IF(AND(V506&gt;=75,W506&gt;=25,W506&lt;60),0.25,0)+IF(AND(V506&gt;=75,W506&gt;=60,W506&lt;95),0.17,0)+IF(AND(V506&gt;=75,W506&gt;=95),0.1,0),
IF(AF506="DoEVold15",IF(AND(V506&lt;=40,W506&lt;35),0.35,0)+IF(AND(V506&lt;=40,W506&gt;=35,W506&lt;75),0.25,0)+IF(AND(V506&lt;=40,W506&gt;=75,W506&lt;120),0.17,0)+IF(AND(V506&lt;=40,W506&gt;=120),0.15,0)+IF(AND(V506&gt;40,V506&lt;75,W506&lt;25),0.35,0)+IF(AND(V506&gt;=40,V506&lt;75,W506&gt;=25,W506&lt;65),0.25,0)+IF(AND(V506&gt;=40,V506&lt;75,W506&gt;=65,W506&lt;100),0.17,0)+IF(AND(V506&gt;=40,V506&lt;75,W506&gt;=100),0.1,0)+IF(AND(V506&gt;=75,W506&lt;25),0.35,0)+IF(AND(V506&gt;=75,W506&gt;=25,W506&lt;60),0.25,0)+IF(AND(V506&gt;=75,W506&gt;=60,W506&lt;95),0.17,0)+IF(AND(V506&gt;=75,W506&gt;=95),0.1,0),
IF(AF506="DoEVba",IF(AND(V506&lt;20,W506&lt;105),0.2,0)+IF(AND(V506&lt;20,W506&gt;=105),0.15,0)+IF(AND(V506&gt;=20,V506&lt;40,W506&lt;95),0.2,0)+IF(AND(V506&gt;=20,V506&lt;40,W506&gt;=95,W506&lt;150),0.15,0)+IF(AND(V506&gt;=20,V506&lt;40,W506&gt;=150),0.12,0)+IF(AND(V506&gt;=40,V506&lt;75,W506&lt;75),0.2,0)+IF(AND(V506&gt;=40,V506&lt;75,W506&gt;=75,W506&lt;120),0.15,0)+IF(AND(V506&gt;=40,V506&lt;75,W506&gt;=120),0.12,0)+IF(AND(V506&gt;=75,V506&lt;175,W506&lt;65),0.2,0)+IF(AND(V506&gt;=75,V506&lt;175,W506&gt;=65,W506&lt;110),0.15,0)+IF(AND(V506&gt;=75,V506&lt;175,W506&gt;=110),0.12,0)+IF(AND(V506&gt;=175,W506&lt;55),0.2,0)+IF(AND(V506&gt;=175,W506&gt;=55,W506&lt;95),0.15,0)+IF(AND(V506&gt;=175,W506&gt;=95),0.12,0),
IF(AF506="DoEVku",IF(AND(V506&lt;20,W506&lt;55),0.23,0)+IF(AND(V506&lt;20,W506&gt;=55,W506&lt;105),0.2,0)+IF(AND(V506&lt;20,W506&gt;=105),0.17,0)+IF(AND(V506&gt;=20,V506&lt;40,W506&lt;45),0.23,0)+IF(AND(V506&gt;=20,V506&lt;40,W506&gt;=45,W506&lt;95),0.2,0)+IF(AND(V506&gt;=20,V506&lt;40,W506&gt;=95,W506&lt;=150),0.17,0)+IF(AND(V506&gt;=20,V506&lt;40,W506&gt;=150),0.12,0)+IF(AND(V506&gt;=40,V506&lt;75,W506&lt;35),0.23,0)+IF(AND(V506&gt;=40,V506&lt;75,W506&gt;=35,W506&lt;75),0.2,0)+IF(AND(V506&gt;=40,V506&lt;75,W506&gt;=75,W506&lt;120),0.17,0)+IF(AND(V506&gt;=40,V506&lt;75,W506&gt;=120),0.12,0)+IF(AND(V506&gt;=75,V506&lt;175,W506&lt;35),0.23,0)+IF(AND(V506&gt;=75,V506&lt;=175,W506&gt;=35,W506&lt;65),0.2,0)+IF(AND(V506&gt;=75,V506&lt;=175,W506&gt;=65,W506&lt;110),0.17,0)+IF(AND(V506&gt;=75,V506&lt;=175,W506&gt;=110),0.12,0)+IF(AND(V506&gt;175,W506&lt;25),0.23,0)+IF(AND(V506&gt;175,W506&gt;=25,W506&lt;55),0.2,0)+IF(AND(V506&gt;175,W506&gt;=55,W506&lt;95),0.17,0)+IF(AND(V506&gt;175,W506&gt;=95),0.12,0),
IF(AF506="DoEVs1",IF(AND(V506&lt;20,W506&lt;55),0.3,0)+IF(AND(V506&lt;20,W506&gt;=55,W506&lt;105),0.23,0)+IF(AND(V506&lt;20,W506&gt;=105),0.17,0)+IF(AND(V506&gt;=20,V506&lt;40,W506&lt;45),0.3,0)+IF(AND(V506&gt;=20,V506&lt;40,W506&gt;=45,W506&lt;95),0.23,0)+IF(AND(V506&gt;=20,V506&lt;40,W506&gt;=95,W506&lt;=150),0.17,0)+IF(AND(V506&gt;=20,V506&lt;40,W506&gt;=150),0.12,0)+IF(AND(V506&gt;=40,V506&lt;75,W506&lt;35),0.3,0)+IF(AND(V506&gt;=40,V506&lt;75,W506&gt;=35,W506&lt;75),0.23,0)+IF(AND(V506&gt;=40,V506&lt;75,W506&gt;=75,W506&lt;120),0.17,0)+IF(AND(V506&gt;=40,V506&lt;75,W506&gt;=120),0.12,0)+IF(AND(V506&gt;=75,V506&lt;175,W506&lt;35),0.3,0)+IF(AND(V506&gt;=75,V506&lt;=175,W506&gt;=35,W506&lt;65),0.23,0)+IF(AND(V506&gt;=75,V506&lt;=175,W506&gt;=65,W506&lt;110),0.17,0)+IF(AND(V506&gt;=75,V506&lt;=175,W506&gt;=110),0.12,0)+IF(AND(V506&gt;175,W506&lt;25),0.3,0)+IF(AND(V506&gt;175,W506&gt;=25,W506&lt;55),0.23,0)+IF(AND(V506&gt;175,W506&gt;=55,W506&lt;95),0.17,0)+IF(AND(V506&gt;175,W506&gt;=95),0.12,0),
IF(AF506="DoEVsu",IF(AND(V506&lt;20,W506&lt;55),0.3,0)+IF(AND(V506&lt;20,W506&gt;=55,W506&lt;105),0.23,0)+IF(AND(V506&lt;20,W506&gt;=105),0.17,0)+IF(AND(V506&gt;=20,V506&lt;40,W506&lt;45),0.3,0)+IF(AND(V506&gt;=20,V506&lt;40,W506&gt;=45,W506&lt;95),0.23,0)+IF(AND(V506&gt;=20,V506&lt;40,W506&gt;=95,W506&lt;=250),0.17,0)+IF(AND(V506&gt;=20,V506&lt;40,W506&gt;=250),0.12,0)+IF(AND(V506&gt;=40,V506&lt;75,W506&lt;35),0.3,0)+IF(AND(V506&gt;=40,V506&lt;75,W506&gt;=35,W506&lt;75),0.23,0)+IF(AND(V506&gt;=40,V506&lt;75,W506&gt;=75,W506&lt;120),0.17,0)+IF(AND(V506&gt;=40,V506&lt;75,W506&gt;=120),0.12,0)+IF(AND(V506&gt;=75,V506&lt;175,W506&lt;35),0.3,0)+IF(AND(V506&gt;=75,V506&lt;=175,W506&gt;=35,W506&lt;65),0.23,0)+IF(AND(V506&gt;=75,V506&lt;=175,W506&gt;=65,W506&lt;110),0.17,0)+IF(AND(V506&gt;=75,V506&lt;=175,W506&gt;=110),0.12,0)+IF(AND(V506&gt;175,W506&lt;25),0.3,0)+IF(AND(V506&gt;175,W506&gt;=25,W506&lt;55),0.23,0)+IF(AND(V506&gt;175,W506&gt;=55,W506&lt;95),0.17,0)+IF(AND(V506&gt;175,W506&gt;=95),0.12,0),
IF(AF506="DoEVni",IF(AND(V506&lt;20,W506&lt;55),0.3,0)+IF(AND(V506&lt;20,W506&gt;=55,W506&lt;105),0.23,0)+IF(AND(V506&lt;20,W506&gt;=105),0.17,0)+IF(AND(V506&gt;=20,V506&lt;40,W506&lt;45),0.3,0)+IF(AND(V506&gt;=20,V506&lt;40,W506&gt;=45,W506&lt;95),0.23,0)+IF(AND(V506&gt;=20,V506&lt;40,W506&gt;=95,W506&lt;=200),0.17,0)+IF(AND(V506&gt;=20,V506&lt;40,W506&gt;=200),0.12,0)+IF(AND(V506&gt;=40,V506&lt;75,W506&lt;35),0.3,0)+IF(AND(V506&gt;=40,V506&lt;75,W506&gt;=35,W506&lt;75),0.23,0)+IF(AND(V506&gt;=40,V506&lt;75,W506&gt;=75,W506&lt;120),0.17,0)+IF(AND(V506&gt;=40,V506&lt;75,W506&gt;=120),0.12,0)+IF(AND(V506&gt;=75,V506&lt;175,W506&lt;35),0.3,0)+IF(AND(V506&gt;=75,V506&lt;=175,W506&gt;=35,W506&lt;65),0.23,0)+IF(AND(V506&gt;=75,V506&lt;=175,W506&gt;=65,W506&lt;110),0.17,0)+IF(AND(V506&gt;=75,V506&lt;=175,W506&gt;=110),0.12,0)+IF(AND(V506&gt;175,W506&lt;25),0.3,0)+IF(AND(V506&gt;175,W506&gt;=25,W506&lt;55),0.23,0)+IF(AND(V506&gt;175,W506&gt;=55,W506&lt;95),0.17,0)+IF(AND(V506&gt;175,W506&gt;=95),0.12,0),
IF(AF506="DoEVLo",IF(AND(V506&lt;20,W506&lt;55),0.25,0)+IF(AND(V506&lt;20,W506&gt;=55,W506&lt;105),0.2,0)+IF(AND(V506&lt;20,W506&gt;=105),0.15,0)+IF(AND(V506&gt;=20,V506&lt;40,W506&lt;45),0.25,0)+IF(AND(V506&gt;=20,V506&lt;40,W506&gt;=45,W506&lt;95),0.2,0)+IF(AND(V506&gt;=20,V506&lt;40,W506&gt;=95),0.15,0)+IF(AND(V506&gt;=40,V506&lt;75,W506&lt;35),0.25,0)+IF(AND(V506&gt;=40,V506&lt;75,W506&gt;=35,W506&lt;75),0.2,0)+IF(AND(V506&gt;=40,V506&lt;75,W506&gt;=75,W506&lt;120),0.15,0)+IF(AND(V506&gt;=40,V506&lt;75,W506&gt;=120),0.1,0)+IF(AND(V506&gt;=75,V506&lt;175,W506&lt;35),0.25,0)+IF(AND(V506&gt;=75,V506&lt;=175,W506&gt;=35,W506&lt;65),0.2,0)+IF(AND(V506&gt;=75,V506&lt;=175,W506&gt;=65,W506&lt;110),0.15,0)+IF(AND(V506&gt;=75,V506&lt;=175,W506&gt;=110),0.1,0)+IF(AND(V506&gt;175,W506&lt;25),0.25,0)+IF(AND(V506&gt;175,W506&gt;=25,W506&lt;55),0.2,0)+IF(AND(V506&gt;175,W506&gt;=55,W506&lt;95),0.15,0)+IF(AND(V506&gt;175,W506&gt;=95),0.1,0)))))))))))))))))</f>
        <v>0.1875</v>
      </c>
      <c r="Y506" s="30">
        <f>IF(AG506="None",0,IF(AG506="Fix5",0.05, IF(AG506="Fix6.25",0.0625,IF(AG506="Fix3.75",0.0375,IF(AG506="Fix10",0.1,IF(AG506="Fix3",0.03,0))))))</f>
        <v>6.25E-2</v>
      </c>
      <c r="Z506" s="35">
        <f>T506-AA506-AB506</f>
        <v>5670</v>
      </c>
      <c r="AA506" s="29">
        <f>IF(AD506="EUR",((T506-R506)*X506)*U506+(R506*X506),(T506*X506))</f>
        <v>1417.5</v>
      </c>
      <c r="AB506" s="36">
        <f>IF(AD506="EUR",((T506-R506)*Y506)*U506+(R506*Y506),(T506*Y506))</f>
        <v>472.5</v>
      </c>
      <c r="AC506" s="37" t="b">
        <v>1</v>
      </c>
      <c r="AD506" s="37" t="s">
        <v>38</v>
      </c>
      <c r="AE506" s="37" t="s">
        <v>38</v>
      </c>
      <c r="AF506" s="37" t="s">
        <v>146</v>
      </c>
      <c r="AG506" s="38" t="s">
        <v>147</v>
      </c>
    </row>
    <row r="507" spans="1:33" ht="14.25" hidden="1" x14ac:dyDescent="0.2">
      <c r="A507" s="18" t="str">
        <f t="array" ref="A507">IF(G507='Room Info'!$B$1, INDEX('Room Info'!$A$2:$A2446, MATCH(B507,'Room Info'!$B$2:$B2446, 0)),IF(G507='Room Info'!$C$1, INDEX('Room Info'!$A$2:$A2446, MATCH(B507,'Room Info'!$C$2:$C2446, 0)),IF(G507='Room Info'!$D$1, INDEX('Room Info'!$A$2:$A2446, MATCH(B507,'Room Info'!$D$2:$D2446, 0)),IF(G507='Room Info'!$E$1, INDEX('Room Info'!$A$2:$A2446, MATCH(B507,'Room Info'!$E$2:$E2446, 0)),IF(G507='Room Info'!$F$1, INDEX('Room Info'!$A$2:$A2446, MATCH(B507,'Room Info'!$F$2:$F2446, 0)),IF(G507='Room Info'!$H$1, INDEX('Room Info'!$A$2:$A2446, MATCH(B507,'Room Info'!$H$2:$H2446, 0)),IF(G507='Room Info'!$G$1, INDEX('Room Info'!$A$2:$A2446, MATCH(B507,'Room Info'!$G$2:$G2446, 0)))))))))</f>
        <v>benyya</v>
      </c>
      <c r="B507" s="45" t="s">
        <v>145</v>
      </c>
      <c r="C507" s="46">
        <v>44743</v>
      </c>
      <c r="D507" s="46">
        <v>44773</v>
      </c>
      <c r="E507" s="47">
        <v>44743</v>
      </c>
      <c r="F507" s="48" t="s">
        <v>49</v>
      </c>
      <c r="G507" s="54" t="s">
        <v>35</v>
      </c>
      <c r="H507" s="49" t="s">
        <v>88</v>
      </c>
      <c r="I507" s="49" t="s">
        <v>37</v>
      </c>
      <c r="J507" s="50">
        <v>250</v>
      </c>
      <c r="K507" s="51">
        <v>938</v>
      </c>
      <c r="L507" s="52">
        <v>-8750</v>
      </c>
      <c r="M507" s="53">
        <v>8715</v>
      </c>
      <c r="N507" s="28">
        <f>K507*J507</f>
        <v>234500</v>
      </c>
      <c r="O507" s="54">
        <v>18783</v>
      </c>
      <c r="P507" s="29">
        <v>20.024520259999999</v>
      </c>
      <c r="Q507" s="55"/>
      <c r="R507" s="31">
        <f>M507+Q507</f>
        <v>8715</v>
      </c>
      <c r="S507" s="56">
        <v>-2800</v>
      </c>
      <c r="T507" s="32">
        <f>R507+S507+IF(F507="Without EV deal",L507,0)</f>
        <v>5915</v>
      </c>
      <c r="U507" s="57">
        <v>1</v>
      </c>
      <c r="V507" s="58"/>
      <c r="W507" s="58"/>
      <c r="X507" s="30">
        <f>IF(AF507="DoEV",IF(AND(V507&lt;20,W507&lt;55),0.3,0)+IF(AND(V507&lt;20,W507&gt;=55,W507&lt;105),0.23,0)+IF(AND(V507&lt;20,W507&gt;=105),0.17,0)+IF(AND(V507&gt;=20,V507&lt;40,W507&lt;45),0.3,0)+IF(AND(V507&gt;=20,V507&lt;40,W507&gt;=45,W507&lt;95),0.23,0)+IF(AND(V507&gt;=20,V507&lt;40,W507&gt;=95),0.17,0)+IF(AND(V507&gt;=40,V507&lt;75,W507&lt;35),0.3,0)+IF(AND(V507&gt;=40,V507&lt;75,W507&gt;=35,W507&lt;75),0.23,0)+IF(AND(V507&gt;=40,V507&lt;75,W507&gt;=75,W507&lt;120),0.17,0)+IF(AND(V507&gt;=40,V507&lt;75,W507&gt;=120),0.12,0)+IF(AND(V507&gt;=75,V507&lt;175,W507&lt;35),0.3,0)+IF(AND(V507&gt;=75,V507&lt;=175,W507&gt;=35,W507&lt;65),0.23,0)+IF(AND(V507&gt;=75,V507&lt;=175,W507&gt;=65,W507&lt;110),0.17,0)+IF(AND(V507&gt;=75,V507&lt;=175,W507&gt;=110),0.12,0)+IF(AND(V507&gt;175,W507&lt;25),0.3,0)+IF(AND(V507&gt;175,W507&gt;=25,W507&lt;55),0.23,0)+IF(AND(V507&gt;175,W507&gt;=55,W507&lt;95),0.17,0)+IF(AND(V507&gt;175,W507&gt;=95),0.12,0),
IF(AF507="Fix15",0.15,
IF(AF507="Fix18.75",0.1875,
IF(AF507="Fix11.25",0.1125,
IF(AF507="Fix10",0.1,
IF(AF507="Fix9",0.09,
IF(AF507="DoEV2017",IF(AND(W507&lt;74),0.2,0)+IF(AND(W507&gt;=74),0.17,0),
IF(AF507="SF",IF(AND(V507&lt;20,W507&lt;89),0.3,0)+IF(AND(V507&lt;20,W507&gt;=89),0.25,0)+IF(AND(V507&gt;=20,V507&lt;40,W507&lt;74),0.3,0)+IF(AND(V507&gt;=20,V507&lt;40,W507&gt;=75),0.22,0)+IF(AND(V507&gt;=40,V507&lt;75,W507&lt;75),0.26,0)+IF(AND(V507&gt;=40,V507&lt;75,W507&gt;=75),0.22,0)+IF(V507&gt;=75,0.22,0),
IF(AF507="DoEVold",IF(AND(V507&lt;40,W507&lt;35),0.35,0)+IF(AND(V507&lt;40,W507&gt;=35,W507&lt;75),0.25,0)+IF(AND(V507&lt;40,W507&gt;=75),0.17,0)+IF(AND(V507&gt;=40,V507&lt;75,W507&lt;25),0.35,0)+IF(AND(V507&gt;=40,V507&lt;75,W507&gt;=25,W507&lt;65),0.25,0)+IF(AND(V507&gt;=40,V507&lt;75,W507&gt;=65,W507&lt;100),0.17,0)+IF(AND(V507&gt;=40,V507&lt;75,W507&gt;=100),0.1,0)+IF(AND(V507&gt;=75,W507&lt;25),0.35,0)+IF(AND(V507&gt;=75,W507&gt;=25,W507&lt;60),0.25,0)+IF(AND(V507&gt;=75,W507&gt;=60,W507&lt;95),0.17,0)+IF(AND(V507&gt;=75,W507&gt;=95),0.1,0),
IF(AF507="DoEVold15",IF(AND(V507&lt;=40,W507&lt;35),0.35,0)+IF(AND(V507&lt;=40,W507&gt;=35,W507&lt;75),0.25,0)+IF(AND(V507&lt;=40,W507&gt;=75,W507&lt;120),0.17,0)+IF(AND(V507&lt;=40,W507&gt;=120),0.15,0)+IF(AND(V507&gt;40,V507&lt;75,W507&lt;25),0.35,0)+IF(AND(V507&gt;=40,V507&lt;75,W507&gt;=25,W507&lt;65),0.25,0)+IF(AND(V507&gt;=40,V507&lt;75,W507&gt;=65,W507&lt;100),0.17,0)+IF(AND(V507&gt;=40,V507&lt;75,W507&gt;=100),0.1,0)+IF(AND(V507&gt;=75,W507&lt;25),0.35,0)+IF(AND(V507&gt;=75,W507&gt;=25,W507&lt;60),0.25,0)+IF(AND(V507&gt;=75,W507&gt;=60,W507&lt;95),0.17,0)+IF(AND(V507&gt;=75,W507&gt;=95),0.1,0),
IF(AF507="DoEVba",IF(AND(V507&lt;20,W507&lt;105),0.2,0)+IF(AND(V507&lt;20,W507&gt;=105),0.15,0)+IF(AND(V507&gt;=20,V507&lt;40,W507&lt;95),0.2,0)+IF(AND(V507&gt;=20,V507&lt;40,W507&gt;=95,W507&lt;150),0.15,0)+IF(AND(V507&gt;=20,V507&lt;40,W507&gt;=150),0.12,0)+IF(AND(V507&gt;=40,V507&lt;75,W507&lt;75),0.2,0)+IF(AND(V507&gt;=40,V507&lt;75,W507&gt;=75,W507&lt;120),0.15,0)+IF(AND(V507&gt;=40,V507&lt;75,W507&gt;=120),0.12,0)+IF(AND(V507&gt;=75,V507&lt;175,W507&lt;65),0.2,0)+IF(AND(V507&gt;=75,V507&lt;175,W507&gt;=65,W507&lt;110),0.15,0)+IF(AND(V507&gt;=75,V507&lt;175,W507&gt;=110),0.12,0)+IF(AND(V507&gt;=175,W507&lt;55),0.2,0)+IF(AND(V507&gt;=175,W507&gt;=55,W507&lt;95),0.15,0)+IF(AND(V507&gt;=175,W507&gt;=95),0.12,0),
IF(AF507="DoEVku",IF(AND(V507&lt;20,W507&lt;55),0.23,0)+IF(AND(V507&lt;20,W507&gt;=55,W507&lt;105),0.2,0)+IF(AND(V507&lt;20,W507&gt;=105),0.17,0)+IF(AND(V507&gt;=20,V507&lt;40,W507&lt;45),0.23,0)+IF(AND(V507&gt;=20,V507&lt;40,W507&gt;=45,W507&lt;95),0.2,0)+IF(AND(V507&gt;=20,V507&lt;40,W507&gt;=95,W507&lt;=150),0.17,0)+IF(AND(V507&gt;=20,V507&lt;40,W507&gt;=150),0.12,0)+IF(AND(V507&gt;=40,V507&lt;75,W507&lt;35),0.23,0)+IF(AND(V507&gt;=40,V507&lt;75,W507&gt;=35,W507&lt;75),0.2,0)+IF(AND(V507&gt;=40,V507&lt;75,W507&gt;=75,W507&lt;120),0.17,0)+IF(AND(V507&gt;=40,V507&lt;75,W507&gt;=120),0.12,0)+IF(AND(V507&gt;=75,V507&lt;175,W507&lt;35),0.23,0)+IF(AND(V507&gt;=75,V507&lt;=175,W507&gt;=35,W507&lt;65),0.2,0)+IF(AND(V507&gt;=75,V507&lt;=175,W507&gt;=65,W507&lt;110),0.17,0)+IF(AND(V507&gt;=75,V507&lt;=175,W507&gt;=110),0.12,0)+IF(AND(V507&gt;175,W507&lt;25),0.23,0)+IF(AND(V507&gt;175,W507&gt;=25,W507&lt;55),0.2,0)+IF(AND(V507&gt;175,W507&gt;=55,W507&lt;95),0.17,0)+IF(AND(V507&gt;175,W507&gt;=95),0.12,0),
IF(AF507="DoEVs1",IF(AND(V507&lt;20,W507&lt;55),0.3,0)+IF(AND(V507&lt;20,W507&gt;=55,W507&lt;105),0.23,0)+IF(AND(V507&lt;20,W507&gt;=105),0.17,0)+IF(AND(V507&gt;=20,V507&lt;40,W507&lt;45),0.3,0)+IF(AND(V507&gt;=20,V507&lt;40,W507&gt;=45,W507&lt;95),0.23,0)+IF(AND(V507&gt;=20,V507&lt;40,W507&gt;=95,W507&lt;=150),0.17,0)+IF(AND(V507&gt;=20,V507&lt;40,W507&gt;=150),0.12,0)+IF(AND(V507&gt;=40,V507&lt;75,W507&lt;35),0.3,0)+IF(AND(V507&gt;=40,V507&lt;75,W507&gt;=35,W507&lt;75),0.23,0)+IF(AND(V507&gt;=40,V507&lt;75,W507&gt;=75,W507&lt;120),0.17,0)+IF(AND(V507&gt;=40,V507&lt;75,W507&gt;=120),0.12,0)+IF(AND(V507&gt;=75,V507&lt;175,W507&lt;35),0.3,0)+IF(AND(V507&gt;=75,V507&lt;=175,W507&gt;=35,W507&lt;65),0.23,0)+IF(AND(V507&gt;=75,V507&lt;=175,W507&gt;=65,W507&lt;110),0.17,0)+IF(AND(V507&gt;=75,V507&lt;=175,W507&gt;=110),0.12,0)+IF(AND(V507&gt;175,W507&lt;25),0.3,0)+IF(AND(V507&gt;175,W507&gt;=25,W507&lt;55),0.23,0)+IF(AND(V507&gt;175,W507&gt;=55,W507&lt;95),0.17,0)+IF(AND(V507&gt;175,W507&gt;=95),0.12,0),
IF(AF507="DoEVsu",IF(AND(V507&lt;20,W507&lt;55),0.3,0)+IF(AND(V507&lt;20,W507&gt;=55,W507&lt;105),0.23,0)+IF(AND(V507&lt;20,W507&gt;=105),0.17,0)+IF(AND(V507&gt;=20,V507&lt;40,W507&lt;45),0.3,0)+IF(AND(V507&gt;=20,V507&lt;40,W507&gt;=45,W507&lt;95),0.23,0)+IF(AND(V507&gt;=20,V507&lt;40,W507&gt;=95,W507&lt;=250),0.17,0)+IF(AND(V507&gt;=20,V507&lt;40,W507&gt;=250),0.12,0)+IF(AND(V507&gt;=40,V507&lt;75,W507&lt;35),0.3,0)+IF(AND(V507&gt;=40,V507&lt;75,W507&gt;=35,W507&lt;75),0.23,0)+IF(AND(V507&gt;=40,V507&lt;75,W507&gt;=75,W507&lt;120),0.17,0)+IF(AND(V507&gt;=40,V507&lt;75,W507&gt;=120),0.12,0)+IF(AND(V507&gt;=75,V507&lt;175,W507&lt;35),0.3,0)+IF(AND(V507&gt;=75,V507&lt;=175,W507&gt;=35,W507&lt;65),0.23,0)+IF(AND(V507&gt;=75,V507&lt;=175,W507&gt;=65,W507&lt;110),0.17,0)+IF(AND(V507&gt;=75,V507&lt;=175,W507&gt;=110),0.12,0)+IF(AND(V507&gt;175,W507&lt;25),0.3,0)+IF(AND(V507&gt;175,W507&gt;=25,W507&lt;55),0.23,0)+IF(AND(V507&gt;175,W507&gt;=55,W507&lt;95),0.17,0)+IF(AND(V507&gt;175,W507&gt;=95),0.12,0),
IF(AF507="DoEVni",IF(AND(V507&lt;20,W507&lt;55),0.3,0)+IF(AND(V507&lt;20,W507&gt;=55,W507&lt;105),0.23,0)+IF(AND(V507&lt;20,W507&gt;=105),0.17,0)+IF(AND(V507&gt;=20,V507&lt;40,W507&lt;45),0.3,0)+IF(AND(V507&gt;=20,V507&lt;40,W507&gt;=45,W507&lt;95),0.23,0)+IF(AND(V507&gt;=20,V507&lt;40,W507&gt;=95,W507&lt;=200),0.17,0)+IF(AND(V507&gt;=20,V507&lt;40,W507&gt;=200),0.12,0)+IF(AND(V507&gt;=40,V507&lt;75,W507&lt;35),0.3,0)+IF(AND(V507&gt;=40,V507&lt;75,W507&gt;=35,W507&lt;75),0.23,0)+IF(AND(V507&gt;=40,V507&lt;75,W507&gt;=75,W507&lt;120),0.17,0)+IF(AND(V507&gt;=40,V507&lt;75,W507&gt;=120),0.12,0)+IF(AND(V507&gt;=75,V507&lt;175,W507&lt;35),0.3,0)+IF(AND(V507&gt;=75,V507&lt;=175,W507&gt;=35,W507&lt;65),0.23,0)+IF(AND(V507&gt;=75,V507&lt;=175,W507&gt;=65,W507&lt;110),0.17,0)+IF(AND(V507&gt;=75,V507&lt;=175,W507&gt;=110),0.12,0)+IF(AND(V507&gt;175,W507&lt;25),0.3,0)+IF(AND(V507&gt;175,W507&gt;=25,W507&lt;55),0.23,0)+IF(AND(V507&gt;175,W507&gt;=55,W507&lt;95),0.17,0)+IF(AND(V507&gt;175,W507&gt;=95),0.12,0),
IF(AF507="DoEVLo",IF(AND(V507&lt;20,W507&lt;55),0.25,0)+IF(AND(V507&lt;20,W507&gt;=55,W507&lt;105),0.2,0)+IF(AND(V507&lt;20,W507&gt;=105),0.15,0)+IF(AND(V507&gt;=20,V507&lt;40,W507&lt;45),0.25,0)+IF(AND(V507&gt;=20,V507&lt;40,W507&gt;=45,W507&lt;95),0.2,0)+IF(AND(V507&gt;=20,V507&lt;40,W507&gt;=95),0.15,0)+IF(AND(V507&gt;=40,V507&lt;75,W507&lt;35),0.25,0)+IF(AND(V507&gt;=40,V507&lt;75,W507&gt;=35,W507&lt;75),0.2,0)+IF(AND(V507&gt;=40,V507&lt;75,W507&gt;=75,W507&lt;120),0.15,0)+IF(AND(V507&gt;=40,V507&lt;75,W507&gt;=120),0.1,0)+IF(AND(V507&gt;=75,V507&lt;175,W507&lt;35),0.25,0)+IF(AND(V507&gt;=75,V507&lt;=175,W507&gt;=35,W507&lt;65),0.2,0)+IF(AND(V507&gt;=75,V507&lt;=175,W507&gt;=65,W507&lt;110),0.15,0)+IF(AND(V507&gt;=75,V507&lt;=175,W507&gt;=110),0.1,0)+IF(AND(V507&gt;175,W507&lt;25),0.25,0)+IF(AND(V507&gt;175,W507&gt;=25,W507&lt;55),0.2,0)+IF(AND(V507&gt;175,W507&gt;=55,W507&lt;95),0.15,0)+IF(AND(V507&gt;175,W507&gt;=95),0.1,0)))))))))))))))))</f>
        <v>0.1875</v>
      </c>
      <c r="Y507" s="30">
        <f>IF(AG507="None",0,IF(AG507="Fix5",0.05, IF(AG507="Fix6.25",0.0625,IF(AG507="Fix3.75",0.0375,IF(AG507="Fix10",0.1,IF(AG507="Fix3",0.03,0))))))</f>
        <v>6.25E-2</v>
      </c>
      <c r="Z507" s="35">
        <f>T507-AA507-AB507</f>
        <v>4436.25</v>
      </c>
      <c r="AA507" s="29">
        <f>IF(AD507="EUR",((T507-R507)*X507)*U507+(R507*X507),(T507*X507))</f>
        <v>1109.0625</v>
      </c>
      <c r="AB507" s="36">
        <f>IF(AD507="EUR",((T507-R507)*Y507)*U507+(R507*Y507),(T507*Y507))</f>
        <v>369.6875</v>
      </c>
      <c r="AC507" s="37" t="b">
        <v>1</v>
      </c>
      <c r="AD507" s="37" t="s">
        <v>38</v>
      </c>
      <c r="AE507" s="37" t="s">
        <v>38</v>
      </c>
      <c r="AF507" s="37" t="s">
        <v>146</v>
      </c>
      <c r="AG507" s="38" t="s">
        <v>147</v>
      </c>
    </row>
    <row r="508" spans="1:33" ht="14.25" hidden="1" x14ac:dyDescent="0.2">
      <c r="A508" s="18" t="str">
        <f t="array" ref="A508">IF(G508='Room Info'!$B$1, INDEX('Room Info'!$A$2:$A2446, MATCH(B508,'Room Info'!$B$2:$B2446, 0)),IF(G508='Room Info'!$C$1, INDEX('Room Info'!$A$2:$A2446, MATCH(B508,'Room Info'!$C$2:$C2446, 0)),IF(G508='Room Info'!$D$1, INDEX('Room Info'!$A$2:$A2446, MATCH(B508,'Room Info'!$D$2:$D2446, 0)),IF(G508='Room Info'!$E$1, INDEX('Room Info'!$A$2:$A2446, MATCH(B508,'Room Info'!$E$2:$E2446, 0)),IF(G508='Room Info'!$F$1, INDEX('Room Info'!$A$2:$A2446, MATCH(B508,'Room Info'!$F$2:$F2446, 0)),IF(G508='Room Info'!$H$1, INDEX('Room Info'!$A$2:$A2446, MATCH(B508,'Room Info'!$H$2:$H2446, 0)),IF(G508='Room Info'!$G$1, INDEX('Room Info'!$A$2:$A2446, MATCH(B508,'Room Info'!$G$2:$G2446, 0)))))))))</f>
        <v>benyya</v>
      </c>
      <c r="B508" s="45" t="s">
        <v>145</v>
      </c>
      <c r="C508" s="46">
        <v>44743</v>
      </c>
      <c r="D508" s="46">
        <v>44773</v>
      </c>
      <c r="E508" s="47">
        <v>44743</v>
      </c>
      <c r="F508" s="48" t="s">
        <v>49</v>
      </c>
      <c r="G508" s="45" t="s">
        <v>35</v>
      </c>
      <c r="H508" s="49" t="s">
        <v>148</v>
      </c>
      <c r="I508" s="49" t="s">
        <v>44</v>
      </c>
      <c r="J508" s="70">
        <v>250</v>
      </c>
      <c r="K508" s="71">
        <v>837</v>
      </c>
      <c r="L508" s="72">
        <v>-26750</v>
      </c>
      <c r="M508" s="53">
        <v>7776</v>
      </c>
      <c r="N508" s="28">
        <f>K508*J508</f>
        <v>209250</v>
      </c>
      <c r="O508" s="45">
        <v>5659</v>
      </c>
      <c r="P508" s="29">
        <v>6.761051374</v>
      </c>
      <c r="Q508" s="55"/>
      <c r="R508" s="31">
        <f>M508+Q508</f>
        <v>7776</v>
      </c>
      <c r="S508" s="73">
        <v>-5948</v>
      </c>
      <c r="T508" s="32">
        <f>R508+S508+IF(F508="Without EV deal",L508,0)</f>
        <v>1828</v>
      </c>
      <c r="U508" s="57">
        <v>1</v>
      </c>
      <c r="V508" s="58"/>
      <c r="W508" s="58"/>
      <c r="X508" s="30">
        <f>IF(AF508="DoEV",IF(AND(V508&lt;20,W508&lt;55),0.3,0)+IF(AND(V508&lt;20,W508&gt;=55,W508&lt;105),0.23,0)+IF(AND(V508&lt;20,W508&gt;=105),0.17,0)+IF(AND(V508&gt;=20,V508&lt;40,W508&lt;45),0.3,0)+IF(AND(V508&gt;=20,V508&lt;40,W508&gt;=45,W508&lt;95),0.23,0)+IF(AND(V508&gt;=20,V508&lt;40,W508&gt;=95),0.17,0)+IF(AND(V508&gt;=40,V508&lt;75,W508&lt;35),0.3,0)+IF(AND(V508&gt;=40,V508&lt;75,W508&gt;=35,W508&lt;75),0.23,0)+IF(AND(V508&gt;=40,V508&lt;75,W508&gt;=75,W508&lt;120),0.17,0)+IF(AND(V508&gt;=40,V508&lt;75,W508&gt;=120),0.12,0)+IF(AND(V508&gt;=75,V508&lt;175,W508&lt;35),0.3,0)+IF(AND(V508&gt;=75,V508&lt;=175,W508&gt;=35,W508&lt;65),0.23,0)+IF(AND(V508&gt;=75,V508&lt;=175,W508&gt;=65,W508&lt;110),0.17,0)+IF(AND(V508&gt;=75,V508&lt;=175,W508&gt;=110),0.12,0)+IF(AND(V508&gt;175,W508&lt;25),0.3,0)+IF(AND(V508&gt;175,W508&gt;=25,W508&lt;55),0.23,0)+IF(AND(V508&gt;175,W508&gt;=55,W508&lt;95),0.17,0)+IF(AND(V508&gt;175,W508&gt;=95),0.12,0),
IF(AF508="Fix15",0.15,
IF(AF508="Fix18.75",0.1875,
IF(AF508="Fix11.25",0.1125,
IF(AF508="Fix10",0.1,
IF(AF508="Fix9",0.09,
IF(AF508="DoEV2017",IF(AND(W508&lt;74),0.2,0)+IF(AND(W508&gt;=74),0.17,0),
IF(AF508="SF",IF(AND(V508&lt;20,W508&lt;89),0.3,0)+IF(AND(V508&lt;20,W508&gt;=89),0.25,0)+IF(AND(V508&gt;=20,V508&lt;40,W508&lt;74),0.3,0)+IF(AND(V508&gt;=20,V508&lt;40,W508&gt;=75),0.22,0)+IF(AND(V508&gt;=40,V508&lt;75,W508&lt;75),0.26,0)+IF(AND(V508&gt;=40,V508&lt;75,W508&gt;=75),0.22,0)+IF(V508&gt;=75,0.22,0),
IF(AF508="DoEVold",IF(AND(V508&lt;40,W508&lt;35),0.35,0)+IF(AND(V508&lt;40,W508&gt;=35,W508&lt;75),0.25,0)+IF(AND(V508&lt;40,W508&gt;=75),0.17,0)+IF(AND(V508&gt;=40,V508&lt;75,W508&lt;25),0.35,0)+IF(AND(V508&gt;=40,V508&lt;75,W508&gt;=25,W508&lt;65),0.25,0)+IF(AND(V508&gt;=40,V508&lt;75,W508&gt;=65,W508&lt;100),0.17,0)+IF(AND(V508&gt;=40,V508&lt;75,W508&gt;=100),0.1,0)+IF(AND(V508&gt;=75,W508&lt;25),0.35,0)+IF(AND(V508&gt;=75,W508&gt;=25,W508&lt;60),0.25,0)+IF(AND(V508&gt;=75,W508&gt;=60,W508&lt;95),0.17,0)+IF(AND(V508&gt;=75,W508&gt;=95),0.1,0),
IF(AF508="DoEVold15",IF(AND(V508&lt;=40,W508&lt;35),0.35,0)+IF(AND(V508&lt;=40,W508&gt;=35,W508&lt;75),0.25,0)+IF(AND(V508&lt;=40,W508&gt;=75,W508&lt;120),0.17,0)+IF(AND(V508&lt;=40,W508&gt;=120),0.15,0)+IF(AND(V508&gt;40,V508&lt;75,W508&lt;25),0.35,0)+IF(AND(V508&gt;=40,V508&lt;75,W508&gt;=25,W508&lt;65),0.25,0)+IF(AND(V508&gt;=40,V508&lt;75,W508&gt;=65,W508&lt;100),0.17,0)+IF(AND(V508&gt;=40,V508&lt;75,W508&gt;=100),0.1,0)+IF(AND(V508&gt;=75,W508&lt;25),0.35,0)+IF(AND(V508&gt;=75,W508&gt;=25,W508&lt;60),0.25,0)+IF(AND(V508&gt;=75,W508&gt;=60,W508&lt;95),0.17,0)+IF(AND(V508&gt;=75,W508&gt;=95),0.1,0),
IF(AF508="DoEVba",IF(AND(V508&lt;20,W508&lt;105),0.2,0)+IF(AND(V508&lt;20,W508&gt;=105),0.15,0)+IF(AND(V508&gt;=20,V508&lt;40,W508&lt;95),0.2,0)+IF(AND(V508&gt;=20,V508&lt;40,W508&gt;=95,W508&lt;150),0.15,0)+IF(AND(V508&gt;=20,V508&lt;40,W508&gt;=150),0.12,0)+IF(AND(V508&gt;=40,V508&lt;75,W508&lt;75),0.2,0)+IF(AND(V508&gt;=40,V508&lt;75,W508&gt;=75,W508&lt;120),0.15,0)+IF(AND(V508&gt;=40,V508&lt;75,W508&gt;=120),0.12,0)+IF(AND(V508&gt;=75,V508&lt;175,W508&lt;65),0.2,0)+IF(AND(V508&gt;=75,V508&lt;175,W508&gt;=65,W508&lt;110),0.15,0)+IF(AND(V508&gt;=75,V508&lt;175,W508&gt;=110),0.12,0)+IF(AND(V508&gt;=175,W508&lt;55),0.2,0)+IF(AND(V508&gt;=175,W508&gt;=55,W508&lt;95),0.15,0)+IF(AND(V508&gt;=175,W508&gt;=95),0.12,0),
IF(AF508="DoEVku",IF(AND(V508&lt;20,W508&lt;55),0.23,0)+IF(AND(V508&lt;20,W508&gt;=55,W508&lt;105),0.2,0)+IF(AND(V508&lt;20,W508&gt;=105),0.17,0)+IF(AND(V508&gt;=20,V508&lt;40,W508&lt;45),0.23,0)+IF(AND(V508&gt;=20,V508&lt;40,W508&gt;=45,W508&lt;95),0.2,0)+IF(AND(V508&gt;=20,V508&lt;40,W508&gt;=95,W508&lt;=150),0.17,0)+IF(AND(V508&gt;=20,V508&lt;40,W508&gt;=150),0.12,0)+IF(AND(V508&gt;=40,V508&lt;75,W508&lt;35),0.23,0)+IF(AND(V508&gt;=40,V508&lt;75,W508&gt;=35,W508&lt;75),0.2,0)+IF(AND(V508&gt;=40,V508&lt;75,W508&gt;=75,W508&lt;120),0.17,0)+IF(AND(V508&gt;=40,V508&lt;75,W508&gt;=120),0.12,0)+IF(AND(V508&gt;=75,V508&lt;175,W508&lt;35),0.23,0)+IF(AND(V508&gt;=75,V508&lt;=175,W508&gt;=35,W508&lt;65),0.2,0)+IF(AND(V508&gt;=75,V508&lt;=175,W508&gt;=65,W508&lt;110),0.17,0)+IF(AND(V508&gt;=75,V508&lt;=175,W508&gt;=110),0.12,0)+IF(AND(V508&gt;175,W508&lt;25),0.23,0)+IF(AND(V508&gt;175,W508&gt;=25,W508&lt;55),0.2,0)+IF(AND(V508&gt;175,W508&gt;=55,W508&lt;95),0.17,0)+IF(AND(V508&gt;175,W508&gt;=95),0.12,0),
IF(AF508="DoEVs1",IF(AND(V508&lt;20,W508&lt;55),0.3,0)+IF(AND(V508&lt;20,W508&gt;=55,W508&lt;105),0.23,0)+IF(AND(V508&lt;20,W508&gt;=105),0.17,0)+IF(AND(V508&gt;=20,V508&lt;40,W508&lt;45),0.3,0)+IF(AND(V508&gt;=20,V508&lt;40,W508&gt;=45,W508&lt;95),0.23,0)+IF(AND(V508&gt;=20,V508&lt;40,W508&gt;=95,W508&lt;=150),0.17,0)+IF(AND(V508&gt;=20,V508&lt;40,W508&gt;=150),0.12,0)+IF(AND(V508&gt;=40,V508&lt;75,W508&lt;35),0.3,0)+IF(AND(V508&gt;=40,V508&lt;75,W508&gt;=35,W508&lt;75),0.23,0)+IF(AND(V508&gt;=40,V508&lt;75,W508&gt;=75,W508&lt;120),0.17,0)+IF(AND(V508&gt;=40,V508&lt;75,W508&gt;=120),0.12,0)+IF(AND(V508&gt;=75,V508&lt;175,W508&lt;35),0.3,0)+IF(AND(V508&gt;=75,V508&lt;=175,W508&gt;=35,W508&lt;65),0.23,0)+IF(AND(V508&gt;=75,V508&lt;=175,W508&gt;=65,W508&lt;110),0.17,0)+IF(AND(V508&gt;=75,V508&lt;=175,W508&gt;=110),0.12,0)+IF(AND(V508&gt;175,W508&lt;25),0.3,0)+IF(AND(V508&gt;175,W508&gt;=25,W508&lt;55),0.23,0)+IF(AND(V508&gt;175,W508&gt;=55,W508&lt;95),0.17,0)+IF(AND(V508&gt;175,W508&gt;=95),0.12,0),
IF(AF508="DoEVsu",IF(AND(V508&lt;20,W508&lt;55),0.3,0)+IF(AND(V508&lt;20,W508&gt;=55,W508&lt;105),0.23,0)+IF(AND(V508&lt;20,W508&gt;=105),0.17,0)+IF(AND(V508&gt;=20,V508&lt;40,W508&lt;45),0.3,0)+IF(AND(V508&gt;=20,V508&lt;40,W508&gt;=45,W508&lt;95),0.23,0)+IF(AND(V508&gt;=20,V508&lt;40,W508&gt;=95,W508&lt;=250),0.17,0)+IF(AND(V508&gt;=20,V508&lt;40,W508&gt;=250),0.12,0)+IF(AND(V508&gt;=40,V508&lt;75,W508&lt;35),0.3,0)+IF(AND(V508&gt;=40,V508&lt;75,W508&gt;=35,W508&lt;75),0.23,0)+IF(AND(V508&gt;=40,V508&lt;75,W508&gt;=75,W508&lt;120),0.17,0)+IF(AND(V508&gt;=40,V508&lt;75,W508&gt;=120),0.12,0)+IF(AND(V508&gt;=75,V508&lt;175,W508&lt;35),0.3,0)+IF(AND(V508&gt;=75,V508&lt;=175,W508&gt;=35,W508&lt;65),0.23,0)+IF(AND(V508&gt;=75,V508&lt;=175,W508&gt;=65,W508&lt;110),0.17,0)+IF(AND(V508&gt;=75,V508&lt;=175,W508&gt;=110),0.12,0)+IF(AND(V508&gt;175,W508&lt;25),0.3,0)+IF(AND(V508&gt;175,W508&gt;=25,W508&lt;55),0.23,0)+IF(AND(V508&gt;175,W508&gt;=55,W508&lt;95),0.17,0)+IF(AND(V508&gt;175,W508&gt;=95),0.12,0),
IF(AF508="DoEVni",IF(AND(V508&lt;20,W508&lt;55),0.3,0)+IF(AND(V508&lt;20,W508&gt;=55,W508&lt;105),0.23,0)+IF(AND(V508&lt;20,W508&gt;=105),0.17,0)+IF(AND(V508&gt;=20,V508&lt;40,W508&lt;45),0.3,0)+IF(AND(V508&gt;=20,V508&lt;40,W508&gt;=45,W508&lt;95),0.23,0)+IF(AND(V508&gt;=20,V508&lt;40,W508&gt;=95,W508&lt;=200),0.17,0)+IF(AND(V508&gt;=20,V508&lt;40,W508&gt;=200),0.12,0)+IF(AND(V508&gt;=40,V508&lt;75,W508&lt;35),0.3,0)+IF(AND(V508&gt;=40,V508&lt;75,W508&gt;=35,W508&lt;75),0.23,0)+IF(AND(V508&gt;=40,V508&lt;75,W508&gt;=75,W508&lt;120),0.17,0)+IF(AND(V508&gt;=40,V508&lt;75,W508&gt;=120),0.12,0)+IF(AND(V508&gt;=75,V508&lt;175,W508&lt;35),0.3,0)+IF(AND(V508&gt;=75,V508&lt;=175,W508&gt;=35,W508&lt;65),0.23,0)+IF(AND(V508&gt;=75,V508&lt;=175,W508&gt;=65,W508&lt;110),0.17,0)+IF(AND(V508&gt;=75,V508&lt;=175,W508&gt;=110),0.12,0)+IF(AND(V508&gt;175,W508&lt;25),0.3,0)+IF(AND(V508&gt;175,W508&gt;=25,W508&lt;55),0.23,0)+IF(AND(V508&gt;175,W508&gt;=55,W508&lt;95),0.17,0)+IF(AND(V508&gt;175,W508&gt;=95),0.12,0),
IF(AF508="DoEVLo",IF(AND(V508&lt;20,W508&lt;55),0.25,0)+IF(AND(V508&lt;20,W508&gt;=55,W508&lt;105),0.2,0)+IF(AND(V508&lt;20,W508&gt;=105),0.15,0)+IF(AND(V508&gt;=20,V508&lt;40,W508&lt;45),0.25,0)+IF(AND(V508&gt;=20,V508&lt;40,W508&gt;=45,W508&lt;95),0.2,0)+IF(AND(V508&gt;=20,V508&lt;40,W508&gt;=95),0.15,0)+IF(AND(V508&gt;=40,V508&lt;75,W508&lt;35),0.25,0)+IF(AND(V508&gt;=40,V508&lt;75,W508&gt;=35,W508&lt;75),0.2,0)+IF(AND(V508&gt;=40,V508&lt;75,W508&gt;=75,W508&lt;120),0.15,0)+IF(AND(V508&gt;=40,V508&lt;75,W508&gt;=120),0.1,0)+IF(AND(V508&gt;=75,V508&lt;175,W508&lt;35),0.25,0)+IF(AND(V508&gt;=75,V508&lt;=175,W508&gt;=35,W508&lt;65),0.2,0)+IF(AND(V508&gt;=75,V508&lt;=175,W508&gt;=65,W508&lt;110),0.15,0)+IF(AND(V508&gt;=75,V508&lt;=175,W508&gt;=110),0.1,0)+IF(AND(V508&gt;175,W508&lt;25),0.25,0)+IF(AND(V508&gt;175,W508&gt;=25,W508&lt;55),0.2,0)+IF(AND(V508&gt;175,W508&gt;=55,W508&lt;95),0.15,0)+IF(AND(V508&gt;175,W508&gt;=95),0.1,0)))))))))))))))))</f>
        <v>0.1875</v>
      </c>
      <c r="Y508" s="30">
        <f>IF(AG508="None",0,IF(AG508="Fix5",0.05, IF(AG508="Fix6.25",0.0625,IF(AG508="Fix3.75",0.0375,IF(AG508="Fix10",0.1,IF(AG508="Fix3",0.03,0))))))</f>
        <v>6.25E-2</v>
      </c>
      <c r="Z508" s="35">
        <f>T508-AA508-AB508</f>
        <v>1371</v>
      </c>
      <c r="AA508" s="29">
        <f>IF(AD508="EUR",((T508-R508)*X508)*U508+(R508*X508),(T508*X508))</f>
        <v>342.75</v>
      </c>
      <c r="AB508" s="36">
        <f>IF(AD508="EUR",((T508-R508)*Y508)*U508+(R508*Y508),(T508*Y508))</f>
        <v>114.25</v>
      </c>
      <c r="AC508" s="37" t="b">
        <v>1</v>
      </c>
      <c r="AD508" s="37" t="s">
        <v>38</v>
      </c>
      <c r="AE508" s="37" t="s">
        <v>38</v>
      </c>
      <c r="AF508" s="37" t="s">
        <v>146</v>
      </c>
      <c r="AG508" s="38" t="s">
        <v>147</v>
      </c>
    </row>
    <row r="509" spans="1:33" ht="14.25" hidden="1" x14ac:dyDescent="0.2">
      <c r="A509" s="18" t="str">
        <f t="array" ref="A509">IF(G509='Room Info'!$B$1, INDEX('Room Info'!$A$2:$A2446, MATCH(B509,'Room Info'!$B$2:$B2446, 0)),IF(G509='Room Info'!$C$1, INDEX('Room Info'!$A$2:$A2446, MATCH(B509,'Room Info'!$C$2:$C2446, 0)),IF(G509='Room Info'!$D$1, INDEX('Room Info'!$A$2:$A2446, MATCH(B509,'Room Info'!$D$2:$D2446, 0)),IF(G509='Room Info'!$E$1, INDEX('Room Info'!$A$2:$A2446, MATCH(B509,'Room Info'!$E$2:$E2446, 0)),IF(G509='Room Info'!$F$1, INDEX('Room Info'!$A$2:$A2446, MATCH(B509,'Room Info'!$F$2:$F2446, 0)),IF(G509='Room Info'!$H$1, INDEX('Room Info'!$A$2:$A2446, MATCH(B509,'Room Info'!$H$2:$H2446, 0)),IF(G509='Room Info'!$G$1, INDEX('Room Info'!$A$2:$A2446, MATCH(B509,'Room Info'!$G$2:$G2446, 0)))))))))</f>
        <v>benyya</v>
      </c>
      <c r="B509" s="45" t="s">
        <v>145</v>
      </c>
      <c r="C509" s="46">
        <v>44774</v>
      </c>
      <c r="D509" s="46">
        <v>44804</v>
      </c>
      <c r="E509" s="47">
        <v>44774</v>
      </c>
      <c r="F509" s="48" t="s">
        <v>49</v>
      </c>
      <c r="G509" s="45" t="s">
        <v>35</v>
      </c>
      <c r="H509" s="49" t="s">
        <v>85</v>
      </c>
      <c r="I509" s="49" t="s">
        <v>44</v>
      </c>
      <c r="J509" s="70">
        <v>50</v>
      </c>
      <c r="K509" s="71">
        <v>1</v>
      </c>
      <c r="L509" s="72">
        <v>-50</v>
      </c>
      <c r="M509" s="53">
        <v>2</v>
      </c>
      <c r="N509" s="28">
        <f>K509*J509</f>
        <v>50</v>
      </c>
      <c r="O509" s="45">
        <v>27</v>
      </c>
      <c r="P509" s="29">
        <v>27</v>
      </c>
      <c r="Q509" s="55"/>
      <c r="R509" s="31">
        <f>M509+Q509</f>
        <v>2</v>
      </c>
      <c r="S509" s="73">
        <v>1</v>
      </c>
      <c r="T509" s="32">
        <f>R509+S509+IF(F509="Without EV deal",L509,0)</f>
        <v>3</v>
      </c>
      <c r="U509" s="57">
        <v>1</v>
      </c>
      <c r="V509" s="58"/>
      <c r="W509" s="58"/>
      <c r="X509" s="30">
        <f>IF(AF509="DoEV",IF(AND(V509&lt;20,W509&lt;55),0.3,0)+IF(AND(V509&lt;20,W509&gt;=55,W509&lt;105),0.23,0)+IF(AND(V509&lt;20,W509&gt;=105),0.17,0)+IF(AND(V509&gt;=20,V509&lt;40,W509&lt;45),0.3,0)+IF(AND(V509&gt;=20,V509&lt;40,W509&gt;=45,W509&lt;95),0.23,0)+IF(AND(V509&gt;=20,V509&lt;40,W509&gt;=95),0.17,0)+IF(AND(V509&gt;=40,V509&lt;75,W509&lt;35),0.3,0)+IF(AND(V509&gt;=40,V509&lt;75,W509&gt;=35,W509&lt;75),0.23,0)+IF(AND(V509&gt;=40,V509&lt;75,W509&gt;=75,W509&lt;120),0.17,0)+IF(AND(V509&gt;=40,V509&lt;75,W509&gt;=120),0.12,0)+IF(AND(V509&gt;=75,V509&lt;175,W509&lt;35),0.3,0)+IF(AND(V509&gt;=75,V509&lt;=175,W509&gt;=35,W509&lt;65),0.23,0)+IF(AND(V509&gt;=75,V509&lt;=175,W509&gt;=65,W509&lt;110),0.17,0)+IF(AND(V509&gt;=75,V509&lt;=175,W509&gt;=110),0.12,0)+IF(AND(V509&gt;175,W509&lt;25),0.3,0)+IF(AND(V509&gt;175,W509&gt;=25,W509&lt;55),0.23,0)+IF(AND(V509&gt;175,W509&gt;=55,W509&lt;95),0.17,0)+IF(AND(V509&gt;175,W509&gt;=95),0.12,0),
IF(AF509="Fix15",0.15,
IF(AF509="Fix18.75",0.1875,
IF(AF509="Fix11.25",0.1125,
IF(AF509="Fix10",0.1,
IF(AF509="Fix9",0.09,
IF(AF509="DoEV2017",IF(AND(W509&lt;74),0.2,0)+IF(AND(W509&gt;=74),0.17,0),
IF(AF509="SF",IF(AND(V509&lt;20,W509&lt;89),0.3,0)+IF(AND(V509&lt;20,W509&gt;=89),0.25,0)+IF(AND(V509&gt;=20,V509&lt;40,W509&lt;74),0.3,0)+IF(AND(V509&gt;=20,V509&lt;40,W509&gt;=75),0.22,0)+IF(AND(V509&gt;=40,V509&lt;75,W509&lt;75),0.26,0)+IF(AND(V509&gt;=40,V509&lt;75,W509&gt;=75),0.22,0)+IF(V509&gt;=75,0.22,0),
IF(AF509="DoEVold",IF(AND(V509&lt;40,W509&lt;35),0.35,0)+IF(AND(V509&lt;40,W509&gt;=35,W509&lt;75),0.25,0)+IF(AND(V509&lt;40,W509&gt;=75),0.17,0)+IF(AND(V509&gt;=40,V509&lt;75,W509&lt;25),0.35,0)+IF(AND(V509&gt;=40,V509&lt;75,W509&gt;=25,W509&lt;65),0.25,0)+IF(AND(V509&gt;=40,V509&lt;75,W509&gt;=65,W509&lt;100),0.17,0)+IF(AND(V509&gt;=40,V509&lt;75,W509&gt;=100),0.1,0)+IF(AND(V509&gt;=75,W509&lt;25),0.35,0)+IF(AND(V509&gt;=75,W509&gt;=25,W509&lt;60),0.25,0)+IF(AND(V509&gt;=75,W509&gt;=60,W509&lt;95),0.17,0)+IF(AND(V509&gt;=75,W509&gt;=95),0.1,0),
IF(AF509="DoEVold15",IF(AND(V509&lt;=40,W509&lt;35),0.35,0)+IF(AND(V509&lt;=40,W509&gt;=35,W509&lt;75),0.25,0)+IF(AND(V509&lt;=40,W509&gt;=75,W509&lt;120),0.17,0)+IF(AND(V509&lt;=40,W509&gt;=120),0.15,0)+IF(AND(V509&gt;40,V509&lt;75,W509&lt;25),0.35,0)+IF(AND(V509&gt;=40,V509&lt;75,W509&gt;=25,W509&lt;65),0.25,0)+IF(AND(V509&gt;=40,V509&lt;75,W509&gt;=65,W509&lt;100),0.17,0)+IF(AND(V509&gt;=40,V509&lt;75,W509&gt;=100),0.1,0)+IF(AND(V509&gt;=75,W509&lt;25),0.35,0)+IF(AND(V509&gt;=75,W509&gt;=25,W509&lt;60),0.25,0)+IF(AND(V509&gt;=75,W509&gt;=60,W509&lt;95),0.17,0)+IF(AND(V509&gt;=75,W509&gt;=95),0.1,0),
IF(AF509="DoEVba",IF(AND(V509&lt;20,W509&lt;105),0.2,0)+IF(AND(V509&lt;20,W509&gt;=105),0.15,0)+IF(AND(V509&gt;=20,V509&lt;40,W509&lt;95),0.2,0)+IF(AND(V509&gt;=20,V509&lt;40,W509&gt;=95,W509&lt;150),0.15,0)+IF(AND(V509&gt;=20,V509&lt;40,W509&gt;=150),0.12,0)+IF(AND(V509&gt;=40,V509&lt;75,W509&lt;75),0.2,0)+IF(AND(V509&gt;=40,V509&lt;75,W509&gt;=75,W509&lt;120),0.15,0)+IF(AND(V509&gt;=40,V509&lt;75,W509&gt;=120),0.12,0)+IF(AND(V509&gt;=75,V509&lt;175,W509&lt;65),0.2,0)+IF(AND(V509&gt;=75,V509&lt;175,W509&gt;=65,W509&lt;110),0.15,0)+IF(AND(V509&gt;=75,V509&lt;175,W509&gt;=110),0.12,0)+IF(AND(V509&gt;=175,W509&lt;55),0.2,0)+IF(AND(V509&gt;=175,W509&gt;=55,W509&lt;95),0.15,0)+IF(AND(V509&gt;=175,W509&gt;=95),0.12,0),
IF(AF509="DoEVku",IF(AND(V509&lt;20,W509&lt;55),0.23,0)+IF(AND(V509&lt;20,W509&gt;=55,W509&lt;105),0.2,0)+IF(AND(V509&lt;20,W509&gt;=105),0.17,0)+IF(AND(V509&gt;=20,V509&lt;40,W509&lt;45),0.23,0)+IF(AND(V509&gt;=20,V509&lt;40,W509&gt;=45,W509&lt;95),0.2,0)+IF(AND(V509&gt;=20,V509&lt;40,W509&gt;=95,W509&lt;=150),0.17,0)+IF(AND(V509&gt;=20,V509&lt;40,W509&gt;=150),0.12,0)+IF(AND(V509&gt;=40,V509&lt;75,W509&lt;35),0.23,0)+IF(AND(V509&gt;=40,V509&lt;75,W509&gt;=35,W509&lt;75),0.2,0)+IF(AND(V509&gt;=40,V509&lt;75,W509&gt;=75,W509&lt;120),0.17,0)+IF(AND(V509&gt;=40,V509&lt;75,W509&gt;=120),0.12,0)+IF(AND(V509&gt;=75,V509&lt;175,W509&lt;35),0.23,0)+IF(AND(V509&gt;=75,V509&lt;=175,W509&gt;=35,W509&lt;65),0.2,0)+IF(AND(V509&gt;=75,V509&lt;=175,W509&gt;=65,W509&lt;110),0.17,0)+IF(AND(V509&gt;=75,V509&lt;=175,W509&gt;=110),0.12,0)+IF(AND(V509&gt;175,W509&lt;25),0.23,0)+IF(AND(V509&gt;175,W509&gt;=25,W509&lt;55),0.2,0)+IF(AND(V509&gt;175,W509&gt;=55,W509&lt;95),0.17,0)+IF(AND(V509&gt;175,W509&gt;=95),0.12,0),
IF(AF509="DoEVs1",IF(AND(V509&lt;20,W509&lt;55),0.3,0)+IF(AND(V509&lt;20,W509&gt;=55,W509&lt;105),0.23,0)+IF(AND(V509&lt;20,W509&gt;=105),0.17,0)+IF(AND(V509&gt;=20,V509&lt;40,W509&lt;45),0.3,0)+IF(AND(V509&gt;=20,V509&lt;40,W509&gt;=45,W509&lt;95),0.23,0)+IF(AND(V509&gt;=20,V509&lt;40,W509&gt;=95,W509&lt;=150),0.17,0)+IF(AND(V509&gt;=20,V509&lt;40,W509&gt;=150),0.12,0)+IF(AND(V509&gt;=40,V509&lt;75,W509&lt;35),0.3,0)+IF(AND(V509&gt;=40,V509&lt;75,W509&gt;=35,W509&lt;75),0.23,0)+IF(AND(V509&gt;=40,V509&lt;75,W509&gt;=75,W509&lt;120),0.17,0)+IF(AND(V509&gt;=40,V509&lt;75,W509&gt;=120),0.12,0)+IF(AND(V509&gt;=75,V509&lt;175,W509&lt;35),0.3,0)+IF(AND(V509&gt;=75,V509&lt;=175,W509&gt;=35,W509&lt;65),0.23,0)+IF(AND(V509&gt;=75,V509&lt;=175,W509&gt;=65,W509&lt;110),0.17,0)+IF(AND(V509&gt;=75,V509&lt;=175,W509&gt;=110),0.12,0)+IF(AND(V509&gt;175,W509&lt;25),0.3,0)+IF(AND(V509&gt;175,W509&gt;=25,W509&lt;55),0.23,0)+IF(AND(V509&gt;175,W509&gt;=55,W509&lt;95),0.17,0)+IF(AND(V509&gt;175,W509&gt;=95),0.12,0),
IF(AF509="DoEVsu",IF(AND(V509&lt;20,W509&lt;55),0.3,0)+IF(AND(V509&lt;20,W509&gt;=55,W509&lt;105),0.23,0)+IF(AND(V509&lt;20,W509&gt;=105),0.17,0)+IF(AND(V509&gt;=20,V509&lt;40,W509&lt;45),0.3,0)+IF(AND(V509&gt;=20,V509&lt;40,W509&gt;=45,W509&lt;95),0.23,0)+IF(AND(V509&gt;=20,V509&lt;40,W509&gt;=95,W509&lt;=250),0.17,0)+IF(AND(V509&gt;=20,V509&lt;40,W509&gt;=250),0.12,0)+IF(AND(V509&gt;=40,V509&lt;75,W509&lt;35),0.3,0)+IF(AND(V509&gt;=40,V509&lt;75,W509&gt;=35,W509&lt;75),0.23,0)+IF(AND(V509&gt;=40,V509&lt;75,W509&gt;=75,W509&lt;120),0.17,0)+IF(AND(V509&gt;=40,V509&lt;75,W509&gt;=120),0.12,0)+IF(AND(V509&gt;=75,V509&lt;175,W509&lt;35),0.3,0)+IF(AND(V509&gt;=75,V509&lt;=175,W509&gt;=35,W509&lt;65),0.23,0)+IF(AND(V509&gt;=75,V509&lt;=175,W509&gt;=65,W509&lt;110),0.17,0)+IF(AND(V509&gt;=75,V509&lt;=175,W509&gt;=110),0.12,0)+IF(AND(V509&gt;175,W509&lt;25),0.3,0)+IF(AND(V509&gt;175,W509&gt;=25,W509&lt;55),0.23,0)+IF(AND(V509&gt;175,W509&gt;=55,W509&lt;95),0.17,0)+IF(AND(V509&gt;175,W509&gt;=95),0.12,0),
IF(AF509="DoEVni",IF(AND(V509&lt;20,W509&lt;55),0.3,0)+IF(AND(V509&lt;20,W509&gt;=55,W509&lt;105),0.23,0)+IF(AND(V509&lt;20,W509&gt;=105),0.17,0)+IF(AND(V509&gt;=20,V509&lt;40,W509&lt;45),0.3,0)+IF(AND(V509&gt;=20,V509&lt;40,W509&gt;=45,W509&lt;95),0.23,0)+IF(AND(V509&gt;=20,V509&lt;40,W509&gt;=95,W509&lt;=200),0.17,0)+IF(AND(V509&gt;=20,V509&lt;40,W509&gt;=200),0.12,0)+IF(AND(V509&gt;=40,V509&lt;75,W509&lt;35),0.3,0)+IF(AND(V509&gt;=40,V509&lt;75,W509&gt;=35,W509&lt;75),0.23,0)+IF(AND(V509&gt;=40,V509&lt;75,W509&gt;=75,W509&lt;120),0.17,0)+IF(AND(V509&gt;=40,V509&lt;75,W509&gt;=120),0.12,0)+IF(AND(V509&gt;=75,V509&lt;175,W509&lt;35),0.3,0)+IF(AND(V509&gt;=75,V509&lt;=175,W509&gt;=35,W509&lt;65),0.23,0)+IF(AND(V509&gt;=75,V509&lt;=175,W509&gt;=65,W509&lt;110),0.17,0)+IF(AND(V509&gt;=75,V509&lt;=175,W509&gt;=110),0.12,0)+IF(AND(V509&gt;175,W509&lt;25),0.3,0)+IF(AND(V509&gt;175,W509&gt;=25,W509&lt;55),0.23,0)+IF(AND(V509&gt;175,W509&gt;=55,W509&lt;95),0.17,0)+IF(AND(V509&gt;175,W509&gt;=95),0.12,0),
IF(AF509="DoEVLo",IF(AND(V509&lt;20,W509&lt;55),0.25,0)+IF(AND(V509&lt;20,W509&gt;=55,W509&lt;105),0.2,0)+IF(AND(V509&lt;20,W509&gt;=105),0.15,0)+IF(AND(V509&gt;=20,V509&lt;40,W509&lt;45),0.25,0)+IF(AND(V509&gt;=20,V509&lt;40,W509&gt;=45,W509&lt;95),0.2,0)+IF(AND(V509&gt;=20,V509&lt;40,W509&gt;=95),0.15,0)+IF(AND(V509&gt;=40,V509&lt;75,W509&lt;35),0.25,0)+IF(AND(V509&gt;=40,V509&lt;75,W509&gt;=35,W509&lt;75),0.2,0)+IF(AND(V509&gt;=40,V509&lt;75,W509&gt;=75,W509&lt;120),0.15,0)+IF(AND(V509&gt;=40,V509&lt;75,W509&gt;=120),0.1,0)+IF(AND(V509&gt;=75,V509&lt;175,W509&lt;35),0.25,0)+IF(AND(V509&gt;=75,V509&lt;=175,W509&gt;=35,W509&lt;65),0.2,0)+IF(AND(V509&gt;=75,V509&lt;=175,W509&gt;=65,W509&lt;110),0.15,0)+IF(AND(V509&gt;=75,V509&lt;=175,W509&gt;=110),0.1,0)+IF(AND(V509&gt;175,W509&lt;25),0.25,0)+IF(AND(V509&gt;175,W509&gt;=25,W509&lt;55),0.2,0)+IF(AND(V509&gt;175,W509&gt;=55,W509&lt;95),0.15,0)+IF(AND(V509&gt;175,W509&gt;=95),0.1,0)))))))))))))))))</f>
        <v>0.1875</v>
      </c>
      <c r="Y509" s="30">
        <f>IF(AG509="None",0,IF(AG509="Fix5",0.05, IF(AG509="Fix6.25",0.0625,IF(AG509="Fix3.75",0.0375,IF(AG509="Fix10",0.1,IF(AG509="Fix3",0.03,0))))))</f>
        <v>6.25E-2</v>
      </c>
      <c r="Z509" s="35">
        <f>T509-AA509-AB509</f>
        <v>2.25</v>
      </c>
      <c r="AA509" s="29">
        <f>IF(AD509="EUR",((T509-R509)*X509)*U509+(R509*X509),(T509*X509))</f>
        <v>0.5625</v>
      </c>
      <c r="AB509" s="36">
        <f>IF(AD509="EUR",((T509-R509)*Y509)*U509+(R509*Y509),(T509*Y509))</f>
        <v>0.1875</v>
      </c>
      <c r="AC509" s="37" t="b">
        <v>1</v>
      </c>
      <c r="AD509" s="37" t="s">
        <v>38</v>
      </c>
      <c r="AE509" s="37" t="s">
        <v>38</v>
      </c>
      <c r="AF509" s="37" t="s">
        <v>146</v>
      </c>
      <c r="AG509" s="38" t="s">
        <v>147</v>
      </c>
    </row>
    <row r="510" spans="1:33" ht="14.25" hidden="1" x14ac:dyDescent="0.2">
      <c r="A510" s="18" t="str">
        <f t="array" ref="A510">IF(G510='Room Info'!$B$1, INDEX('Room Info'!$A$2:$A2446, MATCH(B510,'Room Info'!$B$2:$B2446, 0)),IF(G510='Room Info'!$C$1, INDEX('Room Info'!$A$2:$A2446, MATCH(B510,'Room Info'!$C$2:$C2446, 0)),IF(G510='Room Info'!$D$1, INDEX('Room Info'!$A$2:$A2446, MATCH(B510,'Room Info'!$D$2:$D2446, 0)),IF(G510='Room Info'!$E$1, INDEX('Room Info'!$A$2:$A2446, MATCH(B510,'Room Info'!$E$2:$E2446, 0)),IF(G510='Room Info'!$F$1, INDEX('Room Info'!$A$2:$A2446, MATCH(B510,'Room Info'!$F$2:$F2446, 0)),IF(G510='Room Info'!$H$1, INDEX('Room Info'!$A$2:$A2446, MATCH(B510,'Room Info'!$H$2:$H2446, 0)),IF(G510='Room Info'!$G$1, INDEX('Room Info'!$A$2:$A2446, MATCH(B510,'Room Info'!$G$2:$G2446, 0)))))))))</f>
        <v>benyya</v>
      </c>
      <c r="B510" s="45" t="s">
        <v>145</v>
      </c>
      <c r="C510" s="46">
        <v>44774</v>
      </c>
      <c r="D510" s="46">
        <v>44804</v>
      </c>
      <c r="E510" s="47">
        <v>44774</v>
      </c>
      <c r="F510" s="48" t="s">
        <v>49</v>
      </c>
      <c r="G510" s="45" t="s">
        <v>35</v>
      </c>
      <c r="H510" s="49" t="s">
        <v>70</v>
      </c>
      <c r="I510" s="49" t="s">
        <v>37</v>
      </c>
      <c r="J510" s="50">
        <v>100</v>
      </c>
      <c r="K510" s="51">
        <v>106</v>
      </c>
      <c r="L510" s="52">
        <v>900</v>
      </c>
      <c r="M510" s="53">
        <v>409</v>
      </c>
      <c r="N510" s="28">
        <f>K510*J510</f>
        <v>10600</v>
      </c>
      <c r="O510" s="54">
        <v>2047</v>
      </c>
      <c r="P510" s="29">
        <v>19.31132075</v>
      </c>
      <c r="Q510" s="55"/>
      <c r="R510" s="31">
        <f>M510+Q510</f>
        <v>409</v>
      </c>
      <c r="S510" s="56">
        <v>-196</v>
      </c>
      <c r="T510" s="32">
        <f>R510+S510+IF(F510="Without EV deal",L510,0)</f>
        <v>213</v>
      </c>
      <c r="U510" s="57">
        <v>1</v>
      </c>
      <c r="V510" s="58"/>
      <c r="W510" s="58"/>
      <c r="X510" s="30">
        <f>IF(AF510="DoEV",IF(AND(V510&lt;20,W510&lt;55),0.3,0)+IF(AND(V510&lt;20,W510&gt;=55,W510&lt;105),0.23,0)+IF(AND(V510&lt;20,W510&gt;=105),0.17,0)+IF(AND(V510&gt;=20,V510&lt;40,W510&lt;45),0.3,0)+IF(AND(V510&gt;=20,V510&lt;40,W510&gt;=45,W510&lt;95),0.23,0)+IF(AND(V510&gt;=20,V510&lt;40,W510&gt;=95),0.17,0)+IF(AND(V510&gt;=40,V510&lt;75,W510&lt;35),0.3,0)+IF(AND(V510&gt;=40,V510&lt;75,W510&gt;=35,W510&lt;75),0.23,0)+IF(AND(V510&gt;=40,V510&lt;75,W510&gt;=75,W510&lt;120),0.17,0)+IF(AND(V510&gt;=40,V510&lt;75,W510&gt;=120),0.12,0)+IF(AND(V510&gt;=75,V510&lt;175,W510&lt;35),0.3,0)+IF(AND(V510&gt;=75,V510&lt;=175,W510&gt;=35,W510&lt;65),0.23,0)+IF(AND(V510&gt;=75,V510&lt;=175,W510&gt;=65,W510&lt;110),0.17,0)+IF(AND(V510&gt;=75,V510&lt;=175,W510&gt;=110),0.12,0)+IF(AND(V510&gt;175,W510&lt;25),0.3,0)+IF(AND(V510&gt;175,W510&gt;=25,W510&lt;55),0.23,0)+IF(AND(V510&gt;175,W510&gt;=55,W510&lt;95),0.17,0)+IF(AND(V510&gt;175,W510&gt;=95),0.12,0),
IF(AF510="Fix15",0.15,
IF(AF510="Fix18.75",0.1875,
IF(AF510="Fix11.25",0.1125,
IF(AF510="Fix10",0.1,
IF(AF510="Fix9",0.09,
IF(AF510="DoEV2017",IF(AND(W510&lt;74),0.2,0)+IF(AND(W510&gt;=74),0.17,0),
IF(AF510="SF",IF(AND(V510&lt;20,W510&lt;89),0.3,0)+IF(AND(V510&lt;20,W510&gt;=89),0.25,0)+IF(AND(V510&gt;=20,V510&lt;40,W510&lt;74),0.3,0)+IF(AND(V510&gt;=20,V510&lt;40,W510&gt;=75),0.22,0)+IF(AND(V510&gt;=40,V510&lt;75,W510&lt;75),0.26,0)+IF(AND(V510&gt;=40,V510&lt;75,W510&gt;=75),0.22,0)+IF(V510&gt;=75,0.22,0),
IF(AF510="DoEVold",IF(AND(V510&lt;40,W510&lt;35),0.35,0)+IF(AND(V510&lt;40,W510&gt;=35,W510&lt;75),0.25,0)+IF(AND(V510&lt;40,W510&gt;=75),0.17,0)+IF(AND(V510&gt;=40,V510&lt;75,W510&lt;25),0.35,0)+IF(AND(V510&gt;=40,V510&lt;75,W510&gt;=25,W510&lt;65),0.25,0)+IF(AND(V510&gt;=40,V510&lt;75,W510&gt;=65,W510&lt;100),0.17,0)+IF(AND(V510&gt;=40,V510&lt;75,W510&gt;=100),0.1,0)+IF(AND(V510&gt;=75,W510&lt;25),0.35,0)+IF(AND(V510&gt;=75,W510&gt;=25,W510&lt;60),0.25,0)+IF(AND(V510&gt;=75,W510&gt;=60,W510&lt;95),0.17,0)+IF(AND(V510&gt;=75,W510&gt;=95),0.1,0),
IF(AF510="DoEVold15",IF(AND(V510&lt;=40,W510&lt;35),0.35,0)+IF(AND(V510&lt;=40,W510&gt;=35,W510&lt;75),0.25,0)+IF(AND(V510&lt;=40,W510&gt;=75,W510&lt;120),0.17,0)+IF(AND(V510&lt;=40,W510&gt;=120),0.15,0)+IF(AND(V510&gt;40,V510&lt;75,W510&lt;25),0.35,0)+IF(AND(V510&gt;=40,V510&lt;75,W510&gt;=25,W510&lt;65),0.25,0)+IF(AND(V510&gt;=40,V510&lt;75,W510&gt;=65,W510&lt;100),0.17,0)+IF(AND(V510&gt;=40,V510&lt;75,W510&gt;=100),0.1,0)+IF(AND(V510&gt;=75,W510&lt;25),0.35,0)+IF(AND(V510&gt;=75,W510&gt;=25,W510&lt;60),0.25,0)+IF(AND(V510&gt;=75,W510&gt;=60,W510&lt;95),0.17,0)+IF(AND(V510&gt;=75,W510&gt;=95),0.1,0),
IF(AF510="DoEVba",IF(AND(V510&lt;20,W510&lt;105),0.2,0)+IF(AND(V510&lt;20,W510&gt;=105),0.15,0)+IF(AND(V510&gt;=20,V510&lt;40,W510&lt;95),0.2,0)+IF(AND(V510&gt;=20,V510&lt;40,W510&gt;=95,W510&lt;150),0.15,0)+IF(AND(V510&gt;=20,V510&lt;40,W510&gt;=150),0.12,0)+IF(AND(V510&gt;=40,V510&lt;75,W510&lt;75),0.2,0)+IF(AND(V510&gt;=40,V510&lt;75,W510&gt;=75,W510&lt;120),0.15,0)+IF(AND(V510&gt;=40,V510&lt;75,W510&gt;=120),0.12,0)+IF(AND(V510&gt;=75,V510&lt;175,W510&lt;65),0.2,0)+IF(AND(V510&gt;=75,V510&lt;175,W510&gt;=65,W510&lt;110),0.15,0)+IF(AND(V510&gt;=75,V510&lt;175,W510&gt;=110),0.12,0)+IF(AND(V510&gt;=175,W510&lt;55),0.2,0)+IF(AND(V510&gt;=175,W510&gt;=55,W510&lt;95),0.15,0)+IF(AND(V510&gt;=175,W510&gt;=95),0.12,0),
IF(AF510="DoEVku",IF(AND(V510&lt;20,W510&lt;55),0.23,0)+IF(AND(V510&lt;20,W510&gt;=55,W510&lt;105),0.2,0)+IF(AND(V510&lt;20,W510&gt;=105),0.17,0)+IF(AND(V510&gt;=20,V510&lt;40,W510&lt;45),0.23,0)+IF(AND(V510&gt;=20,V510&lt;40,W510&gt;=45,W510&lt;95),0.2,0)+IF(AND(V510&gt;=20,V510&lt;40,W510&gt;=95,W510&lt;=150),0.17,0)+IF(AND(V510&gt;=20,V510&lt;40,W510&gt;=150),0.12,0)+IF(AND(V510&gt;=40,V510&lt;75,W510&lt;35),0.23,0)+IF(AND(V510&gt;=40,V510&lt;75,W510&gt;=35,W510&lt;75),0.2,0)+IF(AND(V510&gt;=40,V510&lt;75,W510&gt;=75,W510&lt;120),0.17,0)+IF(AND(V510&gt;=40,V510&lt;75,W510&gt;=120),0.12,0)+IF(AND(V510&gt;=75,V510&lt;175,W510&lt;35),0.23,0)+IF(AND(V510&gt;=75,V510&lt;=175,W510&gt;=35,W510&lt;65),0.2,0)+IF(AND(V510&gt;=75,V510&lt;=175,W510&gt;=65,W510&lt;110),0.17,0)+IF(AND(V510&gt;=75,V510&lt;=175,W510&gt;=110),0.12,0)+IF(AND(V510&gt;175,W510&lt;25),0.23,0)+IF(AND(V510&gt;175,W510&gt;=25,W510&lt;55),0.2,0)+IF(AND(V510&gt;175,W510&gt;=55,W510&lt;95),0.17,0)+IF(AND(V510&gt;175,W510&gt;=95),0.12,0),
IF(AF510="DoEVs1",IF(AND(V510&lt;20,W510&lt;55),0.3,0)+IF(AND(V510&lt;20,W510&gt;=55,W510&lt;105),0.23,0)+IF(AND(V510&lt;20,W510&gt;=105),0.17,0)+IF(AND(V510&gt;=20,V510&lt;40,W510&lt;45),0.3,0)+IF(AND(V510&gt;=20,V510&lt;40,W510&gt;=45,W510&lt;95),0.23,0)+IF(AND(V510&gt;=20,V510&lt;40,W510&gt;=95,W510&lt;=150),0.17,0)+IF(AND(V510&gt;=20,V510&lt;40,W510&gt;=150),0.12,0)+IF(AND(V510&gt;=40,V510&lt;75,W510&lt;35),0.3,0)+IF(AND(V510&gt;=40,V510&lt;75,W510&gt;=35,W510&lt;75),0.23,0)+IF(AND(V510&gt;=40,V510&lt;75,W510&gt;=75,W510&lt;120),0.17,0)+IF(AND(V510&gt;=40,V510&lt;75,W510&gt;=120),0.12,0)+IF(AND(V510&gt;=75,V510&lt;175,W510&lt;35),0.3,0)+IF(AND(V510&gt;=75,V510&lt;=175,W510&gt;=35,W510&lt;65),0.23,0)+IF(AND(V510&gt;=75,V510&lt;=175,W510&gt;=65,W510&lt;110),0.17,0)+IF(AND(V510&gt;=75,V510&lt;=175,W510&gt;=110),0.12,0)+IF(AND(V510&gt;175,W510&lt;25),0.3,0)+IF(AND(V510&gt;175,W510&gt;=25,W510&lt;55),0.23,0)+IF(AND(V510&gt;175,W510&gt;=55,W510&lt;95),0.17,0)+IF(AND(V510&gt;175,W510&gt;=95),0.12,0),
IF(AF510="DoEVsu",IF(AND(V510&lt;20,W510&lt;55),0.3,0)+IF(AND(V510&lt;20,W510&gt;=55,W510&lt;105),0.23,0)+IF(AND(V510&lt;20,W510&gt;=105),0.17,0)+IF(AND(V510&gt;=20,V510&lt;40,W510&lt;45),0.3,0)+IF(AND(V510&gt;=20,V510&lt;40,W510&gt;=45,W510&lt;95),0.23,0)+IF(AND(V510&gt;=20,V510&lt;40,W510&gt;=95,W510&lt;=250),0.17,0)+IF(AND(V510&gt;=20,V510&lt;40,W510&gt;=250),0.12,0)+IF(AND(V510&gt;=40,V510&lt;75,W510&lt;35),0.3,0)+IF(AND(V510&gt;=40,V510&lt;75,W510&gt;=35,W510&lt;75),0.23,0)+IF(AND(V510&gt;=40,V510&lt;75,W510&gt;=75,W510&lt;120),0.17,0)+IF(AND(V510&gt;=40,V510&lt;75,W510&gt;=120),0.12,0)+IF(AND(V510&gt;=75,V510&lt;175,W510&lt;35),0.3,0)+IF(AND(V510&gt;=75,V510&lt;=175,W510&gt;=35,W510&lt;65),0.23,0)+IF(AND(V510&gt;=75,V510&lt;=175,W510&gt;=65,W510&lt;110),0.17,0)+IF(AND(V510&gt;=75,V510&lt;=175,W510&gt;=110),0.12,0)+IF(AND(V510&gt;175,W510&lt;25),0.3,0)+IF(AND(V510&gt;175,W510&gt;=25,W510&lt;55),0.23,0)+IF(AND(V510&gt;175,W510&gt;=55,W510&lt;95),0.17,0)+IF(AND(V510&gt;175,W510&gt;=95),0.12,0),
IF(AF510="DoEVni",IF(AND(V510&lt;20,W510&lt;55),0.3,0)+IF(AND(V510&lt;20,W510&gt;=55,W510&lt;105),0.23,0)+IF(AND(V510&lt;20,W510&gt;=105),0.17,0)+IF(AND(V510&gt;=20,V510&lt;40,W510&lt;45),0.3,0)+IF(AND(V510&gt;=20,V510&lt;40,W510&gt;=45,W510&lt;95),0.23,0)+IF(AND(V510&gt;=20,V510&lt;40,W510&gt;=95,W510&lt;=200),0.17,0)+IF(AND(V510&gt;=20,V510&lt;40,W510&gt;=200),0.12,0)+IF(AND(V510&gt;=40,V510&lt;75,W510&lt;35),0.3,0)+IF(AND(V510&gt;=40,V510&lt;75,W510&gt;=35,W510&lt;75),0.23,0)+IF(AND(V510&gt;=40,V510&lt;75,W510&gt;=75,W510&lt;120),0.17,0)+IF(AND(V510&gt;=40,V510&lt;75,W510&gt;=120),0.12,0)+IF(AND(V510&gt;=75,V510&lt;175,W510&lt;35),0.3,0)+IF(AND(V510&gt;=75,V510&lt;=175,W510&gt;=35,W510&lt;65),0.23,0)+IF(AND(V510&gt;=75,V510&lt;=175,W510&gt;=65,W510&lt;110),0.17,0)+IF(AND(V510&gt;=75,V510&lt;=175,W510&gt;=110),0.12,0)+IF(AND(V510&gt;175,W510&lt;25),0.3,0)+IF(AND(V510&gt;175,W510&gt;=25,W510&lt;55),0.23,0)+IF(AND(V510&gt;175,W510&gt;=55,W510&lt;95),0.17,0)+IF(AND(V510&gt;175,W510&gt;=95),0.12,0),
IF(AF510="DoEVLo",IF(AND(V510&lt;20,W510&lt;55),0.25,0)+IF(AND(V510&lt;20,W510&gt;=55,W510&lt;105),0.2,0)+IF(AND(V510&lt;20,W510&gt;=105),0.15,0)+IF(AND(V510&gt;=20,V510&lt;40,W510&lt;45),0.25,0)+IF(AND(V510&gt;=20,V510&lt;40,W510&gt;=45,W510&lt;95),0.2,0)+IF(AND(V510&gt;=20,V510&lt;40,W510&gt;=95),0.15,0)+IF(AND(V510&gt;=40,V510&lt;75,W510&lt;35),0.25,0)+IF(AND(V510&gt;=40,V510&lt;75,W510&gt;=35,W510&lt;75),0.2,0)+IF(AND(V510&gt;=40,V510&lt;75,W510&gt;=75,W510&lt;120),0.15,0)+IF(AND(V510&gt;=40,V510&lt;75,W510&gt;=120),0.1,0)+IF(AND(V510&gt;=75,V510&lt;175,W510&lt;35),0.25,0)+IF(AND(V510&gt;=75,V510&lt;=175,W510&gt;=35,W510&lt;65),0.2,0)+IF(AND(V510&gt;=75,V510&lt;=175,W510&gt;=65,W510&lt;110),0.15,0)+IF(AND(V510&gt;=75,V510&lt;=175,W510&gt;=110),0.1,0)+IF(AND(V510&gt;175,W510&lt;25),0.25,0)+IF(AND(V510&gt;175,W510&gt;=25,W510&lt;55),0.2,0)+IF(AND(V510&gt;175,W510&gt;=55,W510&lt;95),0.15,0)+IF(AND(V510&gt;175,W510&gt;=95),0.1,0)))))))))))))))))</f>
        <v>0.1875</v>
      </c>
      <c r="Y510" s="30">
        <f>IF(AG510="None",0,IF(AG510="Fix5",0.05, IF(AG510="Fix6.25",0.0625,IF(AG510="Fix3.75",0.0375,IF(AG510="Fix10",0.1,IF(AG510="Fix3",0.03,0))))))</f>
        <v>6.25E-2</v>
      </c>
      <c r="Z510" s="35">
        <f>T510-AA510-AB510</f>
        <v>159.75</v>
      </c>
      <c r="AA510" s="29">
        <f>IF(AD510="EUR",((T510-R510)*X510)*U510+(R510*X510),(T510*X510))</f>
        <v>39.9375</v>
      </c>
      <c r="AB510" s="36">
        <f>IF(AD510="EUR",((T510-R510)*Y510)*U510+(R510*Y510),(T510*Y510))</f>
        <v>13.3125</v>
      </c>
      <c r="AC510" s="37" t="b">
        <v>1</v>
      </c>
      <c r="AD510" s="37" t="s">
        <v>38</v>
      </c>
      <c r="AE510" s="37" t="s">
        <v>38</v>
      </c>
      <c r="AF510" s="37" t="s">
        <v>146</v>
      </c>
      <c r="AG510" s="38" t="s">
        <v>147</v>
      </c>
    </row>
    <row r="511" spans="1:33" ht="14.25" hidden="1" x14ac:dyDescent="0.2">
      <c r="A511" s="18" t="str">
        <f t="array" ref="A511">IF(G511='Room Info'!$B$1, INDEX('Room Info'!$A$2:$A2446, MATCH(B511,'Room Info'!$B$2:$B2446, 0)),IF(G511='Room Info'!$C$1, INDEX('Room Info'!$A$2:$A2446, MATCH(B511,'Room Info'!$C$2:$C2446, 0)),IF(G511='Room Info'!$D$1, INDEX('Room Info'!$A$2:$A2446, MATCH(B511,'Room Info'!$D$2:$D2446, 0)),IF(G511='Room Info'!$E$1, INDEX('Room Info'!$A$2:$A2446, MATCH(B511,'Room Info'!$E$2:$E2446, 0)),IF(G511='Room Info'!$F$1, INDEX('Room Info'!$A$2:$A2446, MATCH(B511,'Room Info'!$F$2:$F2446, 0)),IF(G511='Room Info'!$H$1, INDEX('Room Info'!$A$2:$A2446, MATCH(B511,'Room Info'!$H$2:$H2446, 0)),IF(G511='Room Info'!$G$1, INDEX('Room Info'!$A$2:$A2446, MATCH(B511,'Room Info'!$G$2:$G2446, 0)))))))))</f>
        <v>benyya</v>
      </c>
      <c r="B511" s="45" t="s">
        <v>145</v>
      </c>
      <c r="C511" s="46">
        <v>44774</v>
      </c>
      <c r="D511" s="46">
        <v>44804</v>
      </c>
      <c r="E511" s="47">
        <v>44774</v>
      </c>
      <c r="F511" s="48" t="s">
        <v>49</v>
      </c>
      <c r="G511" s="45" t="s">
        <v>35</v>
      </c>
      <c r="H511" s="49" t="s">
        <v>84</v>
      </c>
      <c r="I511" s="49" t="s">
        <v>44</v>
      </c>
      <c r="J511" s="50">
        <v>100</v>
      </c>
      <c r="K511" s="51">
        <v>2365</v>
      </c>
      <c r="L511" s="52">
        <v>29700</v>
      </c>
      <c r="M511" s="53">
        <v>9147</v>
      </c>
      <c r="N511" s="28">
        <f>K511*J511</f>
        <v>236500</v>
      </c>
      <c r="O511" s="54">
        <v>14527</v>
      </c>
      <c r="P511" s="29">
        <v>6.1424947149999998</v>
      </c>
      <c r="Q511" s="55"/>
      <c r="R511" s="31">
        <f>M511+Q511</f>
        <v>9147</v>
      </c>
      <c r="S511" s="56">
        <v>-8391</v>
      </c>
      <c r="T511" s="32">
        <f>R511+S511+IF(F511="Without EV deal",L511,0)</f>
        <v>756</v>
      </c>
      <c r="U511" s="57">
        <v>1</v>
      </c>
      <c r="V511" s="58"/>
      <c r="W511" s="58"/>
      <c r="X511" s="30">
        <f>IF(AF511="DoEV",IF(AND(V511&lt;20,W511&lt;55),0.3,0)+IF(AND(V511&lt;20,W511&gt;=55,W511&lt;105),0.23,0)+IF(AND(V511&lt;20,W511&gt;=105),0.17,0)+IF(AND(V511&gt;=20,V511&lt;40,W511&lt;45),0.3,0)+IF(AND(V511&gt;=20,V511&lt;40,W511&gt;=45,W511&lt;95),0.23,0)+IF(AND(V511&gt;=20,V511&lt;40,W511&gt;=95),0.17,0)+IF(AND(V511&gt;=40,V511&lt;75,W511&lt;35),0.3,0)+IF(AND(V511&gt;=40,V511&lt;75,W511&gt;=35,W511&lt;75),0.23,0)+IF(AND(V511&gt;=40,V511&lt;75,W511&gt;=75,W511&lt;120),0.17,0)+IF(AND(V511&gt;=40,V511&lt;75,W511&gt;=120),0.12,0)+IF(AND(V511&gt;=75,V511&lt;175,W511&lt;35),0.3,0)+IF(AND(V511&gt;=75,V511&lt;=175,W511&gt;=35,W511&lt;65),0.23,0)+IF(AND(V511&gt;=75,V511&lt;=175,W511&gt;=65,W511&lt;110),0.17,0)+IF(AND(V511&gt;=75,V511&lt;=175,W511&gt;=110),0.12,0)+IF(AND(V511&gt;175,W511&lt;25),0.3,0)+IF(AND(V511&gt;175,W511&gt;=25,W511&lt;55),0.23,0)+IF(AND(V511&gt;175,W511&gt;=55,W511&lt;95),0.17,0)+IF(AND(V511&gt;175,W511&gt;=95),0.12,0),
IF(AF511="Fix15",0.15,
IF(AF511="Fix18.75",0.1875,
IF(AF511="Fix11.25",0.1125,
IF(AF511="Fix10",0.1,
IF(AF511="Fix9",0.09,
IF(AF511="DoEV2017",IF(AND(W511&lt;74),0.2,0)+IF(AND(W511&gt;=74),0.17,0),
IF(AF511="SF",IF(AND(V511&lt;20,W511&lt;89),0.3,0)+IF(AND(V511&lt;20,W511&gt;=89),0.25,0)+IF(AND(V511&gt;=20,V511&lt;40,W511&lt;74),0.3,0)+IF(AND(V511&gt;=20,V511&lt;40,W511&gt;=75),0.22,0)+IF(AND(V511&gt;=40,V511&lt;75,W511&lt;75),0.26,0)+IF(AND(V511&gt;=40,V511&lt;75,W511&gt;=75),0.22,0)+IF(V511&gt;=75,0.22,0),
IF(AF511="DoEVold",IF(AND(V511&lt;40,W511&lt;35),0.35,0)+IF(AND(V511&lt;40,W511&gt;=35,W511&lt;75),0.25,0)+IF(AND(V511&lt;40,W511&gt;=75),0.17,0)+IF(AND(V511&gt;=40,V511&lt;75,W511&lt;25),0.35,0)+IF(AND(V511&gt;=40,V511&lt;75,W511&gt;=25,W511&lt;65),0.25,0)+IF(AND(V511&gt;=40,V511&lt;75,W511&gt;=65,W511&lt;100),0.17,0)+IF(AND(V511&gt;=40,V511&lt;75,W511&gt;=100),0.1,0)+IF(AND(V511&gt;=75,W511&lt;25),0.35,0)+IF(AND(V511&gt;=75,W511&gt;=25,W511&lt;60),0.25,0)+IF(AND(V511&gt;=75,W511&gt;=60,W511&lt;95),0.17,0)+IF(AND(V511&gt;=75,W511&gt;=95),0.1,0),
IF(AF511="DoEVold15",IF(AND(V511&lt;=40,W511&lt;35),0.35,0)+IF(AND(V511&lt;=40,W511&gt;=35,W511&lt;75),0.25,0)+IF(AND(V511&lt;=40,W511&gt;=75,W511&lt;120),0.17,0)+IF(AND(V511&lt;=40,W511&gt;=120),0.15,0)+IF(AND(V511&gt;40,V511&lt;75,W511&lt;25),0.35,0)+IF(AND(V511&gt;=40,V511&lt;75,W511&gt;=25,W511&lt;65),0.25,0)+IF(AND(V511&gt;=40,V511&lt;75,W511&gt;=65,W511&lt;100),0.17,0)+IF(AND(V511&gt;=40,V511&lt;75,W511&gt;=100),0.1,0)+IF(AND(V511&gt;=75,W511&lt;25),0.35,0)+IF(AND(V511&gt;=75,W511&gt;=25,W511&lt;60),0.25,0)+IF(AND(V511&gt;=75,W511&gt;=60,W511&lt;95),0.17,0)+IF(AND(V511&gt;=75,W511&gt;=95),0.1,0),
IF(AF511="DoEVba",IF(AND(V511&lt;20,W511&lt;105),0.2,0)+IF(AND(V511&lt;20,W511&gt;=105),0.15,0)+IF(AND(V511&gt;=20,V511&lt;40,W511&lt;95),0.2,0)+IF(AND(V511&gt;=20,V511&lt;40,W511&gt;=95,W511&lt;150),0.15,0)+IF(AND(V511&gt;=20,V511&lt;40,W511&gt;=150),0.12,0)+IF(AND(V511&gt;=40,V511&lt;75,W511&lt;75),0.2,0)+IF(AND(V511&gt;=40,V511&lt;75,W511&gt;=75,W511&lt;120),0.15,0)+IF(AND(V511&gt;=40,V511&lt;75,W511&gt;=120),0.12,0)+IF(AND(V511&gt;=75,V511&lt;175,W511&lt;65),0.2,0)+IF(AND(V511&gt;=75,V511&lt;175,W511&gt;=65,W511&lt;110),0.15,0)+IF(AND(V511&gt;=75,V511&lt;175,W511&gt;=110),0.12,0)+IF(AND(V511&gt;=175,W511&lt;55),0.2,0)+IF(AND(V511&gt;=175,W511&gt;=55,W511&lt;95),0.15,0)+IF(AND(V511&gt;=175,W511&gt;=95),0.12,0),
IF(AF511="DoEVku",IF(AND(V511&lt;20,W511&lt;55),0.23,0)+IF(AND(V511&lt;20,W511&gt;=55,W511&lt;105),0.2,0)+IF(AND(V511&lt;20,W511&gt;=105),0.17,0)+IF(AND(V511&gt;=20,V511&lt;40,W511&lt;45),0.23,0)+IF(AND(V511&gt;=20,V511&lt;40,W511&gt;=45,W511&lt;95),0.2,0)+IF(AND(V511&gt;=20,V511&lt;40,W511&gt;=95,W511&lt;=150),0.17,0)+IF(AND(V511&gt;=20,V511&lt;40,W511&gt;=150),0.12,0)+IF(AND(V511&gt;=40,V511&lt;75,W511&lt;35),0.23,0)+IF(AND(V511&gt;=40,V511&lt;75,W511&gt;=35,W511&lt;75),0.2,0)+IF(AND(V511&gt;=40,V511&lt;75,W511&gt;=75,W511&lt;120),0.17,0)+IF(AND(V511&gt;=40,V511&lt;75,W511&gt;=120),0.12,0)+IF(AND(V511&gt;=75,V511&lt;175,W511&lt;35),0.23,0)+IF(AND(V511&gt;=75,V511&lt;=175,W511&gt;=35,W511&lt;65),0.2,0)+IF(AND(V511&gt;=75,V511&lt;=175,W511&gt;=65,W511&lt;110),0.17,0)+IF(AND(V511&gt;=75,V511&lt;=175,W511&gt;=110),0.12,0)+IF(AND(V511&gt;175,W511&lt;25),0.23,0)+IF(AND(V511&gt;175,W511&gt;=25,W511&lt;55),0.2,0)+IF(AND(V511&gt;175,W511&gt;=55,W511&lt;95),0.17,0)+IF(AND(V511&gt;175,W511&gt;=95),0.12,0),
IF(AF511="DoEVs1",IF(AND(V511&lt;20,W511&lt;55),0.3,0)+IF(AND(V511&lt;20,W511&gt;=55,W511&lt;105),0.23,0)+IF(AND(V511&lt;20,W511&gt;=105),0.17,0)+IF(AND(V511&gt;=20,V511&lt;40,W511&lt;45),0.3,0)+IF(AND(V511&gt;=20,V511&lt;40,W511&gt;=45,W511&lt;95),0.23,0)+IF(AND(V511&gt;=20,V511&lt;40,W511&gt;=95,W511&lt;=150),0.17,0)+IF(AND(V511&gt;=20,V511&lt;40,W511&gt;=150),0.12,0)+IF(AND(V511&gt;=40,V511&lt;75,W511&lt;35),0.3,0)+IF(AND(V511&gt;=40,V511&lt;75,W511&gt;=35,W511&lt;75),0.23,0)+IF(AND(V511&gt;=40,V511&lt;75,W511&gt;=75,W511&lt;120),0.17,0)+IF(AND(V511&gt;=40,V511&lt;75,W511&gt;=120),0.12,0)+IF(AND(V511&gt;=75,V511&lt;175,W511&lt;35),0.3,0)+IF(AND(V511&gt;=75,V511&lt;=175,W511&gt;=35,W511&lt;65),0.23,0)+IF(AND(V511&gt;=75,V511&lt;=175,W511&gt;=65,W511&lt;110),0.17,0)+IF(AND(V511&gt;=75,V511&lt;=175,W511&gt;=110),0.12,0)+IF(AND(V511&gt;175,W511&lt;25),0.3,0)+IF(AND(V511&gt;175,W511&gt;=25,W511&lt;55),0.23,0)+IF(AND(V511&gt;175,W511&gt;=55,W511&lt;95),0.17,0)+IF(AND(V511&gt;175,W511&gt;=95),0.12,0),
IF(AF511="DoEVsu",IF(AND(V511&lt;20,W511&lt;55),0.3,0)+IF(AND(V511&lt;20,W511&gt;=55,W511&lt;105),0.23,0)+IF(AND(V511&lt;20,W511&gt;=105),0.17,0)+IF(AND(V511&gt;=20,V511&lt;40,W511&lt;45),0.3,0)+IF(AND(V511&gt;=20,V511&lt;40,W511&gt;=45,W511&lt;95),0.23,0)+IF(AND(V511&gt;=20,V511&lt;40,W511&gt;=95,W511&lt;=250),0.17,0)+IF(AND(V511&gt;=20,V511&lt;40,W511&gt;=250),0.12,0)+IF(AND(V511&gt;=40,V511&lt;75,W511&lt;35),0.3,0)+IF(AND(V511&gt;=40,V511&lt;75,W511&gt;=35,W511&lt;75),0.23,0)+IF(AND(V511&gt;=40,V511&lt;75,W511&gt;=75,W511&lt;120),0.17,0)+IF(AND(V511&gt;=40,V511&lt;75,W511&gt;=120),0.12,0)+IF(AND(V511&gt;=75,V511&lt;175,W511&lt;35),0.3,0)+IF(AND(V511&gt;=75,V511&lt;=175,W511&gt;=35,W511&lt;65),0.23,0)+IF(AND(V511&gt;=75,V511&lt;=175,W511&gt;=65,W511&lt;110),0.17,0)+IF(AND(V511&gt;=75,V511&lt;=175,W511&gt;=110),0.12,0)+IF(AND(V511&gt;175,W511&lt;25),0.3,0)+IF(AND(V511&gt;175,W511&gt;=25,W511&lt;55),0.23,0)+IF(AND(V511&gt;175,W511&gt;=55,W511&lt;95),0.17,0)+IF(AND(V511&gt;175,W511&gt;=95),0.12,0),
IF(AF511="DoEVni",IF(AND(V511&lt;20,W511&lt;55),0.3,0)+IF(AND(V511&lt;20,W511&gt;=55,W511&lt;105),0.23,0)+IF(AND(V511&lt;20,W511&gt;=105),0.17,0)+IF(AND(V511&gt;=20,V511&lt;40,W511&lt;45),0.3,0)+IF(AND(V511&gt;=20,V511&lt;40,W511&gt;=45,W511&lt;95),0.23,0)+IF(AND(V511&gt;=20,V511&lt;40,W511&gt;=95,W511&lt;=200),0.17,0)+IF(AND(V511&gt;=20,V511&lt;40,W511&gt;=200),0.12,0)+IF(AND(V511&gt;=40,V511&lt;75,W511&lt;35),0.3,0)+IF(AND(V511&gt;=40,V511&lt;75,W511&gt;=35,W511&lt;75),0.23,0)+IF(AND(V511&gt;=40,V511&lt;75,W511&gt;=75,W511&lt;120),0.17,0)+IF(AND(V511&gt;=40,V511&lt;75,W511&gt;=120),0.12,0)+IF(AND(V511&gt;=75,V511&lt;175,W511&lt;35),0.3,0)+IF(AND(V511&gt;=75,V511&lt;=175,W511&gt;=35,W511&lt;65),0.23,0)+IF(AND(V511&gt;=75,V511&lt;=175,W511&gt;=65,W511&lt;110),0.17,0)+IF(AND(V511&gt;=75,V511&lt;=175,W511&gt;=110),0.12,0)+IF(AND(V511&gt;175,W511&lt;25),0.3,0)+IF(AND(V511&gt;175,W511&gt;=25,W511&lt;55),0.23,0)+IF(AND(V511&gt;175,W511&gt;=55,W511&lt;95),0.17,0)+IF(AND(V511&gt;175,W511&gt;=95),0.12,0),
IF(AF511="DoEVLo",IF(AND(V511&lt;20,W511&lt;55),0.25,0)+IF(AND(V511&lt;20,W511&gt;=55,W511&lt;105),0.2,0)+IF(AND(V511&lt;20,W511&gt;=105),0.15,0)+IF(AND(V511&gt;=20,V511&lt;40,W511&lt;45),0.25,0)+IF(AND(V511&gt;=20,V511&lt;40,W511&gt;=45,W511&lt;95),0.2,0)+IF(AND(V511&gt;=20,V511&lt;40,W511&gt;=95),0.15,0)+IF(AND(V511&gt;=40,V511&lt;75,W511&lt;35),0.25,0)+IF(AND(V511&gt;=40,V511&lt;75,W511&gt;=35,W511&lt;75),0.2,0)+IF(AND(V511&gt;=40,V511&lt;75,W511&gt;=75,W511&lt;120),0.15,0)+IF(AND(V511&gt;=40,V511&lt;75,W511&gt;=120),0.1,0)+IF(AND(V511&gt;=75,V511&lt;175,W511&lt;35),0.25,0)+IF(AND(V511&gt;=75,V511&lt;=175,W511&gt;=35,W511&lt;65),0.2,0)+IF(AND(V511&gt;=75,V511&lt;=175,W511&gt;=65,W511&lt;110),0.15,0)+IF(AND(V511&gt;=75,V511&lt;=175,W511&gt;=110),0.1,0)+IF(AND(V511&gt;175,W511&lt;25),0.25,0)+IF(AND(V511&gt;175,W511&gt;=25,W511&lt;55),0.2,0)+IF(AND(V511&gt;175,W511&gt;=55,W511&lt;95),0.15,0)+IF(AND(V511&gt;175,W511&gt;=95),0.1,0)))))))))))))))))</f>
        <v>0.1875</v>
      </c>
      <c r="Y511" s="30">
        <f>IF(AG511="None",0,IF(AG511="Fix5",0.05, IF(AG511="Fix6.25",0.0625,IF(AG511="Fix3.75",0.0375,IF(AG511="Fix10",0.1,IF(AG511="Fix3",0.03,0))))))</f>
        <v>6.25E-2</v>
      </c>
      <c r="Z511" s="35">
        <f>T511-AA511-AB511</f>
        <v>567</v>
      </c>
      <c r="AA511" s="29">
        <f>IF(AD511="EUR",((T511-R511)*X511)*U511+(R511*X511),(T511*X511))</f>
        <v>141.75</v>
      </c>
      <c r="AB511" s="36">
        <f>IF(AD511="EUR",((T511-R511)*Y511)*U511+(R511*Y511),(T511*Y511))</f>
        <v>47.25</v>
      </c>
      <c r="AC511" s="37" t="b">
        <v>1</v>
      </c>
      <c r="AD511" s="37" t="s">
        <v>38</v>
      </c>
      <c r="AE511" s="37" t="s">
        <v>38</v>
      </c>
      <c r="AF511" s="37" t="s">
        <v>146</v>
      </c>
      <c r="AG511" s="38" t="s">
        <v>147</v>
      </c>
    </row>
    <row r="512" spans="1:33" ht="14.25" hidden="1" x14ac:dyDescent="0.2">
      <c r="A512" s="18" t="str">
        <f t="array" ref="A512">IF(G512='Room Info'!$B$1, INDEX('Room Info'!$A$2:$A2446, MATCH(B512,'Room Info'!$B$2:$B2446, 0)),IF(G512='Room Info'!$C$1, INDEX('Room Info'!$A$2:$A2446, MATCH(B512,'Room Info'!$C$2:$C2446, 0)),IF(G512='Room Info'!$D$1, INDEX('Room Info'!$A$2:$A2446, MATCH(B512,'Room Info'!$D$2:$D2446, 0)),IF(G512='Room Info'!$E$1, INDEX('Room Info'!$A$2:$A2446, MATCH(B512,'Room Info'!$E$2:$E2446, 0)),IF(G512='Room Info'!$F$1, INDEX('Room Info'!$A$2:$A2446, MATCH(B512,'Room Info'!$F$2:$F2446, 0)),IF(G512='Room Info'!$H$1, INDEX('Room Info'!$A$2:$A2446, MATCH(B512,'Room Info'!$H$2:$H2446, 0)),IF(G512='Room Info'!$G$1, INDEX('Room Info'!$A$2:$A2446, MATCH(B512,'Room Info'!$G$2:$G2446, 0)))))))))</f>
        <v>benyya</v>
      </c>
      <c r="B512" s="45" t="s">
        <v>145</v>
      </c>
      <c r="C512" s="46">
        <v>44774</v>
      </c>
      <c r="D512" s="46">
        <v>44804</v>
      </c>
      <c r="E512" s="47">
        <v>44774</v>
      </c>
      <c r="F512" s="45" t="s">
        <v>49</v>
      </c>
      <c r="G512" s="54" t="s">
        <v>35</v>
      </c>
      <c r="H512" s="49" t="s">
        <v>88</v>
      </c>
      <c r="I512" s="49" t="s">
        <v>37</v>
      </c>
      <c r="J512" s="50">
        <v>250</v>
      </c>
      <c r="K512" s="51">
        <v>1242</v>
      </c>
      <c r="L512" s="52">
        <v>-7000</v>
      </c>
      <c r="M512" s="53">
        <v>11979</v>
      </c>
      <c r="N512" s="28">
        <f>K512*J512</f>
        <v>310500</v>
      </c>
      <c r="O512" s="54">
        <v>18013</v>
      </c>
      <c r="P512" s="29">
        <v>14.50322061</v>
      </c>
      <c r="Q512" s="55"/>
      <c r="R512" s="31">
        <f>M512+Q512</f>
        <v>11979</v>
      </c>
      <c r="S512" s="56">
        <v>-7738</v>
      </c>
      <c r="T512" s="32">
        <f>R512+S512+IF(F512="Without EV deal",L512,0)</f>
        <v>4241</v>
      </c>
      <c r="U512" s="57">
        <v>1</v>
      </c>
      <c r="V512" s="58"/>
      <c r="W512" s="58"/>
      <c r="X512" s="30">
        <f>IF(AF512="DoEV",IF(AND(V512&lt;20,W512&lt;55),0.3,0)+IF(AND(V512&lt;20,W512&gt;=55,W512&lt;105),0.23,0)+IF(AND(V512&lt;20,W512&gt;=105),0.17,0)+IF(AND(V512&gt;=20,V512&lt;40,W512&lt;45),0.3,0)+IF(AND(V512&gt;=20,V512&lt;40,W512&gt;=45,W512&lt;95),0.23,0)+IF(AND(V512&gt;=20,V512&lt;40,W512&gt;=95),0.17,0)+IF(AND(V512&gt;=40,V512&lt;75,W512&lt;35),0.3,0)+IF(AND(V512&gt;=40,V512&lt;75,W512&gt;=35,W512&lt;75),0.23,0)+IF(AND(V512&gt;=40,V512&lt;75,W512&gt;=75,W512&lt;120),0.17,0)+IF(AND(V512&gt;=40,V512&lt;75,W512&gt;=120),0.12,0)+IF(AND(V512&gt;=75,V512&lt;175,W512&lt;35),0.3,0)+IF(AND(V512&gt;=75,V512&lt;=175,W512&gt;=35,W512&lt;65),0.23,0)+IF(AND(V512&gt;=75,V512&lt;=175,W512&gt;=65,W512&lt;110),0.17,0)+IF(AND(V512&gt;=75,V512&lt;=175,W512&gt;=110),0.12,0)+IF(AND(V512&gt;175,W512&lt;25),0.3,0)+IF(AND(V512&gt;175,W512&gt;=25,W512&lt;55),0.23,0)+IF(AND(V512&gt;175,W512&gt;=55,W512&lt;95),0.17,0)+IF(AND(V512&gt;175,W512&gt;=95),0.12,0),
IF(AF512="Fix15",0.15,
IF(AF512="Fix18.75",0.1875,
IF(AF512="Fix11.25",0.1125,
IF(AF512="Fix10",0.1,
IF(AF512="Fix9",0.09,
IF(AF512="DoEV2017",IF(AND(W512&lt;74),0.2,0)+IF(AND(W512&gt;=74),0.17,0),
IF(AF512="SF",IF(AND(V512&lt;20,W512&lt;89),0.3,0)+IF(AND(V512&lt;20,W512&gt;=89),0.25,0)+IF(AND(V512&gt;=20,V512&lt;40,W512&lt;74),0.3,0)+IF(AND(V512&gt;=20,V512&lt;40,W512&gt;=75),0.22,0)+IF(AND(V512&gt;=40,V512&lt;75,W512&lt;75),0.26,0)+IF(AND(V512&gt;=40,V512&lt;75,W512&gt;=75),0.22,0)+IF(V512&gt;=75,0.22,0),
IF(AF512="DoEVold",IF(AND(V512&lt;40,W512&lt;35),0.35,0)+IF(AND(V512&lt;40,W512&gt;=35,W512&lt;75),0.25,0)+IF(AND(V512&lt;40,W512&gt;=75),0.17,0)+IF(AND(V512&gt;=40,V512&lt;75,W512&lt;25),0.35,0)+IF(AND(V512&gt;=40,V512&lt;75,W512&gt;=25,W512&lt;65),0.25,0)+IF(AND(V512&gt;=40,V512&lt;75,W512&gt;=65,W512&lt;100),0.17,0)+IF(AND(V512&gt;=40,V512&lt;75,W512&gt;=100),0.1,0)+IF(AND(V512&gt;=75,W512&lt;25),0.35,0)+IF(AND(V512&gt;=75,W512&gt;=25,W512&lt;60),0.25,0)+IF(AND(V512&gt;=75,W512&gt;=60,W512&lt;95),0.17,0)+IF(AND(V512&gt;=75,W512&gt;=95),0.1,0),
IF(AF512="DoEVold15",IF(AND(V512&lt;=40,W512&lt;35),0.35,0)+IF(AND(V512&lt;=40,W512&gt;=35,W512&lt;75),0.25,0)+IF(AND(V512&lt;=40,W512&gt;=75,W512&lt;120),0.17,0)+IF(AND(V512&lt;=40,W512&gt;=120),0.15,0)+IF(AND(V512&gt;40,V512&lt;75,W512&lt;25),0.35,0)+IF(AND(V512&gt;=40,V512&lt;75,W512&gt;=25,W512&lt;65),0.25,0)+IF(AND(V512&gt;=40,V512&lt;75,W512&gt;=65,W512&lt;100),0.17,0)+IF(AND(V512&gt;=40,V512&lt;75,W512&gt;=100),0.1,0)+IF(AND(V512&gt;=75,W512&lt;25),0.35,0)+IF(AND(V512&gt;=75,W512&gt;=25,W512&lt;60),0.25,0)+IF(AND(V512&gt;=75,W512&gt;=60,W512&lt;95),0.17,0)+IF(AND(V512&gt;=75,W512&gt;=95),0.1,0),
IF(AF512="DoEVba",IF(AND(V512&lt;20,W512&lt;105),0.2,0)+IF(AND(V512&lt;20,W512&gt;=105),0.15,0)+IF(AND(V512&gt;=20,V512&lt;40,W512&lt;95),0.2,0)+IF(AND(V512&gt;=20,V512&lt;40,W512&gt;=95,W512&lt;150),0.15,0)+IF(AND(V512&gt;=20,V512&lt;40,W512&gt;=150),0.12,0)+IF(AND(V512&gt;=40,V512&lt;75,W512&lt;75),0.2,0)+IF(AND(V512&gt;=40,V512&lt;75,W512&gt;=75,W512&lt;120),0.15,0)+IF(AND(V512&gt;=40,V512&lt;75,W512&gt;=120),0.12,0)+IF(AND(V512&gt;=75,V512&lt;175,W512&lt;65),0.2,0)+IF(AND(V512&gt;=75,V512&lt;175,W512&gt;=65,W512&lt;110),0.15,0)+IF(AND(V512&gt;=75,V512&lt;175,W512&gt;=110),0.12,0)+IF(AND(V512&gt;=175,W512&lt;55),0.2,0)+IF(AND(V512&gt;=175,W512&gt;=55,W512&lt;95),0.15,0)+IF(AND(V512&gt;=175,W512&gt;=95),0.12,0),
IF(AF512="DoEVku",IF(AND(V512&lt;20,W512&lt;55),0.23,0)+IF(AND(V512&lt;20,W512&gt;=55,W512&lt;105),0.2,0)+IF(AND(V512&lt;20,W512&gt;=105),0.17,0)+IF(AND(V512&gt;=20,V512&lt;40,W512&lt;45),0.23,0)+IF(AND(V512&gt;=20,V512&lt;40,W512&gt;=45,W512&lt;95),0.2,0)+IF(AND(V512&gt;=20,V512&lt;40,W512&gt;=95,W512&lt;=150),0.17,0)+IF(AND(V512&gt;=20,V512&lt;40,W512&gt;=150),0.12,0)+IF(AND(V512&gt;=40,V512&lt;75,W512&lt;35),0.23,0)+IF(AND(V512&gt;=40,V512&lt;75,W512&gt;=35,W512&lt;75),0.2,0)+IF(AND(V512&gt;=40,V512&lt;75,W512&gt;=75,W512&lt;120),0.17,0)+IF(AND(V512&gt;=40,V512&lt;75,W512&gt;=120),0.12,0)+IF(AND(V512&gt;=75,V512&lt;175,W512&lt;35),0.23,0)+IF(AND(V512&gt;=75,V512&lt;=175,W512&gt;=35,W512&lt;65),0.2,0)+IF(AND(V512&gt;=75,V512&lt;=175,W512&gt;=65,W512&lt;110),0.17,0)+IF(AND(V512&gt;=75,V512&lt;=175,W512&gt;=110),0.12,0)+IF(AND(V512&gt;175,W512&lt;25),0.23,0)+IF(AND(V512&gt;175,W512&gt;=25,W512&lt;55),0.2,0)+IF(AND(V512&gt;175,W512&gt;=55,W512&lt;95),0.17,0)+IF(AND(V512&gt;175,W512&gt;=95),0.12,0),
IF(AF512="DoEVs1",IF(AND(V512&lt;20,W512&lt;55),0.3,0)+IF(AND(V512&lt;20,W512&gt;=55,W512&lt;105),0.23,0)+IF(AND(V512&lt;20,W512&gt;=105),0.17,0)+IF(AND(V512&gt;=20,V512&lt;40,W512&lt;45),0.3,0)+IF(AND(V512&gt;=20,V512&lt;40,W512&gt;=45,W512&lt;95),0.23,0)+IF(AND(V512&gt;=20,V512&lt;40,W512&gt;=95,W512&lt;=150),0.17,0)+IF(AND(V512&gt;=20,V512&lt;40,W512&gt;=150),0.12,0)+IF(AND(V512&gt;=40,V512&lt;75,W512&lt;35),0.3,0)+IF(AND(V512&gt;=40,V512&lt;75,W512&gt;=35,W512&lt;75),0.23,0)+IF(AND(V512&gt;=40,V512&lt;75,W512&gt;=75,W512&lt;120),0.17,0)+IF(AND(V512&gt;=40,V512&lt;75,W512&gt;=120),0.12,0)+IF(AND(V512&gt;=75,V512&lt;175,W512&lt;35),0.3,0)+IF(AND(V512&gt;=75,V512&lt;=175,W512&gt;=35,W512&lt;65),0.23,0)+IF(AND(V512&gt;=75,V512&lt;=175,W512&gt;=65,W512&lt;110),0.17,0)+IF(AND(V512&gt;=75,V512&lt;=175,W512&gt;=110),0.12,0)+IF(AND(V512&gt;175,W512&lt;25),0.3,0)+IF(AND(V512&gt;175,W512&gt;=25,W512&lt;55),0.23,0)+IF(AND(V512&gt;175,W512&gt;=55,W512&lt;95),0.17,0)+IF(AND(V512&gt;175,W512&gt;=95),0.12,0),
IF(AF512="DoEVsu",IF(AND(V512&lt;20,W512&lt;55),0.3,0)+IF(AND(V512&lt;20,W512&gt;=55,W512&lt;105),0.23,0)+IF(AND(V512&lt;20,W512&gt;=105),0.17,0)+IF(AND(V512&gt;=20,V512&lt;40,W512&lt;45),0.3,0)+IF(AND(V512&gt;=20,V512&lt;40,W512&gt;=45,W512&lt;95),0.23,0)+IF(AND(V512&gt;=20,V512&lt;40,W512&gt;=95,W512&lt;=250),0.17,0)+IF(AND(V512&gt;=20,V512&lt;40,W512&gt;=250),0.12,0)+IF(AND(V512&gt;=40,V512&lt;75,W512&lt;35),0.3,0)+IF(AND(V512&gt;=40,V512&lt;75,W512&gt;=35,W512&lt;75),0.23,0)+IF(AND(V512&gt;=40,V512&lt;75,W512&gt;=75,W512&lt;120),0.17,0)+IF(AND(V512&gt;=40,V512&lt;75,W512&gt;=120),0.12,0)+IF(AND(V512&gt;=75,V512&lt;175,W512&lt;35),0.3,0)+IF(AND(V512&gt;=75,V512&lt;=175,W512&gt;=35,W512&lt;65),0.23,0)+IF(AND(V512&gt;=75,V512&lt;=175,W512&gt;=65,W512&lt;110),0.17,0)+IF(AND(V512&gt;=75,V512&lt;=175,W512&gt;=110),0.12,0)+IF(AND(V512&gt;175,W512&lt;25),0.3,0)+IF(AND(V512&gt;175,W512&gt;=25,W512&lt;55),0.23,0)+IF(AND(V512&gt;175,W512&gt;=55,W512&lt;95),0.17,0)+IF(AND(V512&gt;175,W512&gt;=95),0.12,0),
IF(AF512="DoEVni",IF(AND(V512&lt;20,W512&lt;55),0.3,0)+IF(AND(V512&lt;20,W512&gt;=55,W512&lt;105),0.23,0)+IF(AND(V512&lt;20,W512&gt;=105),0.17,0)+IF(AND(V512&gt;=20,V512&lt;40,W512&lt;45),0.3,0)+IF(AND(V512&gt;=20,V512&lt;40,W512&gt;=45,W512&lt;95),0.23,0)+IF(AND(V512&gt;=20,V512&lt;40,W512&gt;=95,W512&lt;=200),0.17,0)+IF(AND(V512&gt;=20,V512&lt;40,W512&gt;=200),0.12,0)+IF(AND(V512&gt;=40,V512&lt;75,W512&lt;35),0.3,0)+IF(AND(V512&gt;=40,V512&lt;75,W512&gt;=35,W512&lt;75),0.23,0)+IF(AND(V512&gt;=40,V512&lt;75,W512&gt;=75,W512&lt;120),0.17,0)+IF(AND(V512&gt;=40,V512&lt;75,W512&gt;=120),0.12,0)+IF(AND(V512&gt;=75,V512&lt;175,W512&lt;35),0.3,0)+IF(AND(V512&gt;=75,V512&lt;=175,W512&gt;=35,W512&lt;65),0.23,0)+IF(AND(V512&gt;=75,V512&lt;=175,W512&gt;=65,W512&lt;110),0.17,0)+IF(AND(V512&gt;=75,V512&lt;=175,W512&gt;=110),0.12,0)+IF(AND(V512&gt;175,W512&lt;25),0.3,0)+IF(AND(V512&gt;175,W512&gt;=25,W512&lt;55),0.23,0)+IF(AND(V512&gt;175,W512&gt;=55,W512&lt;95),0.17,0)+IF(AND(V512&gt;175,W512&gt;=95),0.12,0),
IF(AF512="DoEVLo",IF(AND(V512&lt;20,W512&lt;55),0.25,0)+IF(AND(V512&lt;20,W512&gt;=55,W512&lt;105),0.2,0)+IF(AND(V512&lt;20,W512&gt;=105),0.15,0)+IF(AND(V512&gt;=20,V512&lt;40,W512&lt;45),0.25,0)+IF(AND(V512&gt;=20,V512&lt;40,W512&gt;=45,W512&lt;95),0.2,0)+IF(AND(V512&gt;=20,V512&lt;40,W512&gt;=95),0.15,0)+IF(AND(V512&gt;=40,V512&lt;75,W512&lt;35),0.25,0)+IF(AND(V512&gt;=40,V512&lt;75,W512&gt;=35,W512&lt;75),0.2,0)+IF(AND(V512&gt;=40,V512&lt;75,W512&gt;=75,W512&lt;120),0.15,0)+IF(AND(V512&gt;=40,V512&lt;75,W512&gt;=120),0.1,0)+IF(AND(V512&gt;=75,V512&lt;175,W512&lt;35),0.25,0)+IF(AND(V512&gt;=75,V512&lt;=175,W512&gt;=35,W512&lt;65),0.2,0)+IF(AND(V512&gt;=75,V512&lt;=175,W512&gt;=65,W512&lt;110),0.15,0)+IF(AND(V512&gt;=75,V512&lt;=175,W512&gt;=110),0.1,0)+IF(AND(V512&gt;175,W512&lt;25),0.25,0)+IF(AND(V512&gt;175,W512&gt;=25,W512&lt;55),0.2,0)+IF(AND(V512&gt;175,W512&gt;=55,W512&lt;95),0.15,0)+IF(AND(V512&gt;175,W512&gt;=95),0.1,0)))))))))))))))))</f>
        <v>0.1875</v>
      </c>
      <c r="Y512" s="30">
        <f>IF(AG512="None",0,IF(AG512="Fix5",0.05, IF(AG512="Fix6.25",0.0625,IF(AG512="Fix3.75",0.0375,IF(AG512="Fix10",0.1,IF(AG512="Fix3",0.03,0))))))</f>
        <v>6.25E-2</v>
      </c>
      <c r="Z512" s="35">
        <f>T512-AA512-AB512</f>
        <v>3180.75</v>
      </c>
      <c r="AA512" s="29">
        <f>IF(AD512="EUR",((T512-R512)*X512)*U512+(R512*X512),(T512*X512))</f>
        <v>795.1875</v>
      </c>
      <c r="AB512" s="36">
        <f>IF(AD512="EUR",((T512-R512)*Y512)*U512+(R512*Y512),(T512*Y512))</f>
        <v>265.0625</v>
      </c>
      <c r="AC512" s="37" t="b">
        <v>1</v>
      </c>
      <c r="AD512" s="37" t="s">
        <v>38</v>
      </c>
      <c r="AE512" s="37" t="s">
        <v>38</v>
      </c>
      <c r="AF512" s="37" t="s">
        <v>146</v>
      </c>
      <c r="AG512" s="38" t="s">
        <v>147</v>
      </c>
    </row>
    <row r="513" spans="1:33" ht="14.25" hidden="1" x14ac:dyDescent="0.2">
      <c r="A513" s="18" t="str">
        <f t="array" ref="A513">IF(G513='Room Info'!$B$1, INDEX('Room Info'!$A$2:$A2446, MATCH(B513,'Room Info'!$B$2:$B2446, 0)),IF(G513='Room Info'!$C$1, INDEX('Room Info'!$A$2:$A2446, MATCH(B513,'Room Info'!$C$2:$C2446, 0)),IF(G513='Room Info'!$D$1, INDEX('Room Info'!$A$2:$A2446, MATCH(B513,'Room Info'!$D$2:$D2446, 0)),IF(G513='Room Info'!$E$1, INDEX('Room Info'!$A$2:$A2446, MATCH(B513,'Room Info'!$E$2:$E2446, 0)),IF(G513='Room Info'!$F$1, INDEX('Room Info'!$A$2:$A2446, MATCH(B513,'Room Info'!$F$2:$F2446, 0)),IF(G513='Room Info'!$H$1, INDEX('Room Info'!$A$2:$A2446, MATCH(B513,'Room Info'!$H$2:$H2446, 0)),IF(G513='Room Info'!$G$1, INDEX('Room Info'!$A$2:$A2446, MATCH(B513,'Room Info'!$G$2:$G2446, 0)))))))))</f>
        <v>benyya</v>
      </c>
      <c r="B513" s="45" t="s">
        <v>145</v>
      </c>
      <c r="C513" s="46">
        <v>44774</v>
      </c>
      <c r="D513" s="46">
        <v>44804</v>
      </c>
      <c r="E513" s="47">
        <v>44774</v>
      </c>
      <c r="F513" s="48" t="s">
        <v>49</v>
      </c>
      <c r="G513" s="45" t="s">
        <v>35</v>
      </c>
      <c r="H513" s="49" t="s">
        <v>148</v>
      </c>
      <c r="I513" s="49" t="s">
        <v>44</v>
      </c>
      <c r="J513" s="70">
        <v>250</v>
      </c>
      <c r="K513" s="71">
        <v>797</v>
      </c>
      <c r="L513" s="72">
        <v>1750</v>
      </c>
      <c r="M513" s="53">
        <v>7687</v>
      </c>
      <c r="N513" s="28">
        <f>K513*J513</f>
        <v>199250</v>
      </c>
      <c r="O513" s="45">
        <v>18559</v>
      </c>
      <c r="P513" s="29">
        <v>23.286072770000001</v>
      </c>
      <c r="Q513" s="55"/>
      <c r="R513" s="31">
        <f>M513+Q513</f>
        <v>7687</v>
      </c>
      <c r="S513" s="73">
        <v>4117</v>
      </c>
      <c r="T513" s="32">
        <f>R513+S513+IF(F513="Without EV deal",L513,0)</f>
        <v>11804</v>
      </c>
      <c r="U513" s="57">
        <v>1</v>
      </c>
      <c r="V513" s="58"/>
      <c r="W513" s="58"/>
      <c r="X513" s="30">
        <f>IF(AF513="DoEV",IF(AND(V513&lt;20,W513&lt;55),0.3,0)+IF(AND(V513&lt;20,W513&gt;=55,W513&lt;105),0.23,0)+IF(AND(V513&lt;20,W513&gt;=105),0.17,0)+IF(AND(V513&gt;=20,V513&lt;40,W513&lt;45),0.3,0)+IF(AND(V513&gt;=20,V513&lt;40,W513&gt;=45,W513&lt;95),0.23,0)+IF(AND(V513&gt;=20,V513&lt;40,W513&gt;=95),0.17,0)+IF(AND(V513&gt;=40,V513&lt;75,W513&lt;35),0.3,0)+IF(AND(V513&gt;=40,V513&lt;75,W513&gt;=35,W513&lt;75),0.23,0)+IF(AND(V513&gt;=40,V513&lt;75,W513&gt;=75,W513&lt;120),0.17,0)+IF(AND(V513&gt;=40,V513&lt;75,W513&gt;=120),0.12,0)+IF(AND(V513&gt;=75,V513&lt;175,W513&lt;35),0.3,0)+IF(AND(V513&gt;=75,V513&lt;=175,W513&gt;=35,W513&lt;65),0.23,0)+IF(AND(V513&gt;=75,V513&lt;=175,W513&gt;=65,W513&lt;110),0.17,0)+IF(AND(V513&gt;=75,V513&lt;=175,W513&gt;=110),0.12,0)+IF(AND(V513&gt;175,W513&lt;25),0.3,0)+IF(AND(V513&gt;175,W513&gt;=25,W513&lt;55),0.23,0)+IF(AND(V513&gt;175,W513&gt;=55,W513&lt;95),0.17,0)+IF(AND(V513&gt;175,W513&gt;=95),0.12,0),
IF(AF513="Fix15",0.15,
IF(AF513="Fix18.75",0.1875,
IF(AF513="Fix11.25",0.1125,
IF(AF513="Fix10",0.1,
IF(AF513="Fix9",0.09,
IF(AF513="DoEV2017",IF(AND(W513&lt;74),0.2,0)+IF(AND(W513&gt;=74),0.17,0),
IF(AF513="SF",IF(AND(V513&lt;20,W513&lt;89),0.3,0)+IF(AND(V513&lt;20,W513&gt;=89),0.25,0)+IF(AND(V513&gt;=20,V513&lt;40,W513&lt;74),0.3,0)+IF(AND(V513&gt;=20,V513&lt;40,W513&gt;=75),0.22,0)+IF(AND(V513&gt;=40,V513&lt;75,W513&lt;75),0.26,0)+IF(AND(V513&gt;=40,V513&lt;75,W513&gt;=75),0.22,0)+IF(V513&gt;=75,0.22,0),
IF(AF513="DoEVold",IF(AND(V513&lt;40,W513&lt;35),0.35,0)+IF(AND(V513&lt;40,W513&gt;=35,W513&lt;75),0.25,0)+IF(AND(V513&lt;40,W513&gt;=75),0.17,0)+IF(AND(V513&gt;=40,V513&lt;75,W513&lt;25),0.35,0)+IF(AND(V513&gt;=40,V513&lt;75,W513&gt;=25,W513&lt;65),0.25,0)+IF(AND(V513&gt;=40,V513&lt;75,W513&gt;=65,W513&lt;100),0.17,0)+IF(AND(V513&gt;=40,V513&lt;75,W513&gt;=100),0.1,0)+IF(AND(V513&gt;=75,W513&lt;25),0.35,0)+IF(AND(V513&gt;=75,W513&gt;=25,W513&lt;60),0.25,0)+IF(AND(V513&gt;=75,W513&gt;=60,W513&lt;95),0.17,0)+IF(AND(V513&gt;=75,W513&gt;=95),0.1,0),
IF(AF513="DoEVold15",IF(AND(V513&lt;=40,W513&lt;35),0.35,0)+IF(AND(V513&lt;=40,W513&gt;=35,W513&lt;75),0.25,0)+IF(AND(V513&lt;=40,W513&gt;=75,W513&lt;120),0.17,0)+IF(AND(V513&lt;=40,W513&gt;=120),0.15,0)+IF(AND(V513&gt;40,V513&lt;75,W513&lt;25),0.35,0)+IF(AND(V513&gt;=40,V513&lt;75,W513&gt;=25,W513&lt;65),0.25,0)+IF(AND(V513&gt;=40,V513&lt;75,W513&gt;=65,W513&lt;100),0.17,0)+IF(AND(V513&gt;=40,V513&lt;75,W513&gt;=100),0.1,0)+IF(AND(V513&gt;=75,W513&lt;25),0.35,0)+IF(AND(V513&gt;=75,W513&gt;=25,W513&lt;60),0.25,0)+IF(AND(V513&gt;=75,W513&gt;=60,W513&lt;95),0.17,0)+IF(AND(V513&gt;=75,W513&gt;=95),0.1,0),
IF(AF513="DoEVba",IF(AND(V513&lt;20,W513&lt;105),0.2,0)+IF(AND(V513&lt;20,W513&gt;=105),0.15,0)+IF(AND(V513&gt;=20,V513&lt;40,W513&lt;95),0.2,0)+IF(AND(V513&gt;=20,V513&lt;40,W513&gt;=95,W513&lt;150),0.15,0)+IF(AND(V513&gt;=20,V513&lt;40,W513&gt;=150),0.12,0)+IF(AND(V513&gt;=40,V513&lt;75,W513&lt;75),0.2,0)+IF(AND(V513&gt;=40,V513&lt;75,W513&gt;=75,W513&lt;120),0.15,0)+IF(AND(V513&gt;=40,V513&lt;75,W513&gt;=120),0.12,0)+IF(AND(V513&gt;=75,V513&lt;175,W513&lt;65),0.2,0)+IF(AND(V513&gt;=75,V513&lt;175,W513&gt;=65,W513&lt;110),0.15,0)+IF(AND(V513&gt;=75,V513&lt;175,W513&gt;=110),0.12,0)+IF(AND(V513&gt;=175,W513&lt;55),0.2,0)+IF(AND(V513&gt;=175,W513&gt;=55,W513&lt;95),0.15,0)+IF(AND(V513&gt;=175,W513&gt;=95),0.12,0),
IF(AF513="DoEVku",IF(AND(V513&lt;20,W513&lt;55),0.23,0)+IF(AND(V513&lt;20,W513&gt;=55,W513&lt;105),0.2,0)+IF(AND(V513&lt;20,W513&gt;=105),0.17,0)+IF(AND(V513&gt;=20,V513&lt;40,W513&lt;45),0.23,0)+IF(AND(V513&gt;=20,V513&lt;40,W513&gt;=45,W513&lt;95),0.2,0)+IF(AND(V513&gt;=20,V513&lt;40,W513&gt;=95,W513&lt;=150),0.17,0)+IF(AND(V513&gt;=20,V513&lt;40,W513&gt;=150),0.12,0)+IF(AND(V513&gt;=40,V513&lt;75,W513&lt;35),0.23,0)+IF(AND(V513&gt;=40,V513&lt;75,W513&gt;=35,W513&lt;75),0.2,0)+IF(AND(V513&gt;=40,V513&lt;75,W513&gt;=75,W513&lt;120),0.17,0)+IF(AND(V513&gt;=40,V513&lt;75,W513&gt;=120),0.12,0)+IF(AND(V513&gt;=75,V513&lt;175,W513&lt;35),0.23,0)+IF(AND(V513&gt;=75,V513&lt;=175,W513&gt;=35,W513&lt;65),0.2,0)+IF(AND(V513&gt;=75,V513&lt;=175,W513&gt;=65,W513&lt;110),0.17,0)+IF(AND(V513&gt;=75,V513&lt;=175,W513&gt;=110),0.12,0)+IF(AND(V513&gt;175,W513&lt;25),0.23,0)+IF(AND(V513&gt;175,W513&gt;=25,W513&lt;55),0.2,0)+IF(AND(V513&gt;175,W513&gt;=55,W513&lt;95),0.17,0)+IF(AND(V513&gt;175,W513&gt;=95),0.12,0),
IF(AF513="DoEVs1",IF(AND(V513&lt;20,W513&lt;55),0.3,0)+IF(AND(V513&lt;20,W513&gt;=55,W513&lt;105),0.23,0)+IF(AND(V513&lt;20,W513&gt;=105),0.17,0)+IF(AND(V513&gt;=20,V513&lt;40,W513&lt;45),0.3,0)+IF(AND(V513&gt;=20,V513&lt;40,W513&gt;=45,W513&lt;95),0.23,0)+IF(AND(V513&gt;=20,V513&lt;40,W513&gt;=95,W513&lt;=150),0.17,0)+IF(AND(V513&gt;=20,V513&lt;40,W513&gt;=150),0.12,0)+IF(AND(V513&gt;=40,V513&lt;75,W513&lt;35),0.3,0)+IF(AND(V513&gt;=40,V513&lt;75,W513&gt;=35,W513&lt;75),0.23,0)+IF(AND(V513&gt;=40,V513&lt;75,W513&gt;=75,W513&lt;120),0.17,0)+IF(AND(V513&gt;=40,V513&lt;75,W513&gt;=120),0.12,0)+IF(AND(V513&gt;=75,V513&lt;175,W513&lt;35),0.3,0)+IF(AND(V513&gt;=75,V513&lt;=175,W513&gt;=35,W513&lt;65),0.23,0)+IF(AND(V513&gt;=75,V513&lt;=175,W513&gt;=65,W513&lt;110),0.17,0)+IF(AND(V513&gt;=75,V513&lt;=175,W513&gt;=110),0.12,0)+IF(AND(V513&gt;175,W513&lt;25),0.3,0)+IF(AND(V513&gt;175,W513&gt;=25,W513&lt;55),0.23,0)+IF(AND(V513&gt;175,W513&gt;=55,W513&lt;95),0.17,0)+IF(AND(V513&gt;175,W513&gt;=95),0.12,0),
IF(AF513="DoEVsu",IF(AND(V513&lt;20,W513&lt;55),0.3,0)+IF(AND(V513&lt;20,W513&gt;=55,W513&lt;105),0.23,0)+IF(AND(V513&lt;20,W513&gt;=105),0.17,0)+IF(AND(V513&gt;=20,V513&lt;40,W513&lt;45),0.3,0)+IF(AND(V513&gt;=20,V513&lt;40,W513&gt;=45,W513&lt;95),0.23,0)+IF(AND(V513&gt;=20,V513&lt;40,W513&gt;=95,W513&lt;=250),0.17,0)+IF(AND(V513&gt;=20,V513&lt;40,W513&gt;=250),0.12,0)+IF(AND(V513&gt;=40,V513&lt;75,W513&lt;35),0.3,0)+IF(AND(V513&gt;=40,V513&lt;75,W513&gt;=35,W513&lt;75),0.23,0)+IF(AND(V513&gt;=40,V513&lt;75,W513&gt;=75,W513&lt;120),0.17,0)+IF(AND(V513&gt;=40,V513&lt;75,W513&gt;=120),0.12,0)+IF(AND(V513&gt;=75,V513&lt;175,W513&lt;35),0.3,0)+IF(AND(V513&gt;=75,V513&lt;=175,W513&gt;=35,W513&lt;65),0.23,0)+IF(AND(V513&gt;=75,V513&lt;=175,W513&gt;=65,W513&lt;110),0.17,0)+IF(AND(V513&gt;=75,V513&lt;=175,W513&gt;=110),0.12,0)+IF(AND(V513&gt;175,W513&lt;25),0.3,0)+IF(AND(V513&gt;175,W513&gt;=25,W513&lt;55),0.23,0)+IF(AND(V513&gt;175,W513&gt;=55,W513&lt;95),0.17,0)+IF(AND(V513&gt;175,W513&gt;=95),0.12,0),
IF(AF513="DoEVni",IF(AND(V513&lt;20,W513&lt;55),0.3,0)+IF(AND(V513&lt;20,W513&gt;=55,W513&lt;105),0.23,0)+IF(AND(V513&lt;20,W513&gt;=105),0.17,0)+IF(AND(V513&gt;=20,V513&lt;40,W513&lt;45),0.3,0)+IF(AND(V513&gt;=20,V513&lt;40,W513&gt;=45,W513&lt;95),0.23,0)+IF(AND(V513&gt;=20,V513&lt;40,W513&gt;=95,W513&lt;=200),0.17,0)+IF(AND(V513&gt;=20,V513&lt;40,W513&gt;=200),0.12,0)+IF(AND(V513&gt;=40,V513&lt;75,W513&lt;35),0.3,0)+IF(AND(V513&gt;=40,V513&lt;75,W513&gt;=35,W513&lt;75),0.23,0)+IF(AND(V513&gt;=40,V513&lt;75,W513&gt;=75,W513&lt;120),0.17,0)+IF(AND(V513&gt;=40,V513&lt;75,W513&gt;=120),0.12,0)+IF(AND(V513&gt;=75,V513&lt;175,W513&lt;35),0.3,0)+IF(AND(V513&gt;=75,V513&lt;=175,W513&gt;=35,W513&lt;65),0.23,0)+IF(AND(V513&gt;=75,V513&lt;=175,W513&gt;=65,W513&lt;110),0.17,0)+IF(AND(V513&gt;=75,V513&lt;=175,W513&gt;=110),0.12,0)+IF(AND(V513&gt;175,W513&lt;25),0.3,0)+IF(AND(V513&gt;175,W513&gt;=25,W513&lt;55),0.23,0)+IF(AND(V513&gt;175,W513&gt;=55,W513&lt;95),0.17,0)+IF(AND(V513&gt;175,W513&gt;=95),0.12,0),
IF(AF513="DoEVLo",IF(AND(V513&lt;20,W513&lt;55),0.25,0)+IF(AND(V513&lt;20,W513&gt;=55,W513&lt;105),0.2,0)+IF(AND(V513&lt;20,W513&gt;=105),0.15,0)+IF(AND(V513&gt;=20,V513&lt;40,W513&lt;45),0.25,0)+IF(AND(V513&gt;=20,V513&lt;40,W513&gt;=45,W513&lt;95),0.2,0)+IF(AND(V513&gt;=20,V513&lt;40,W513&gt;=95),0.15,0)+IF(AND(V513&gt;=40,V513&lt;75,W513&lt;35),0.25,0)+IF(AND(V513&gt;=40,V513&lt;75,W513&gt;=35,W513&lt;75),0.2,0)+IF(AND(V513&gt;=40,V513&lt;75,W513&gt;=75,W513&lt;120),0.15,0)+IF(AND(V513&gt;=40,V513&lt;75,W513&gt;=120),0.1,0)+IF(AND(V513&gt;=75,V513&lt;175,W513&lt;35),0.25,0)+IF(AND(V513&gt;=75,V513&lt;=175,W513&gt;=35,W513&lt;65),0.2,0)+IF(AND(V513&gt;=75,V513&lt;=175,W513&gt;=65,W513&lt;110),0.15,0)+IF(AND(V513&gt;=75,V513&lt;=175,W513&gt;=110),0.1,0)+IF(AND(V513&gt;175,W513&lt;25),0.25,0)+IF(AND(V513&gt;175,W513&gt;=25,W513&lt;55),0.2,0)+IF(AND(V513&gt;175,W513&gt;=55,W513&lt;95),0.15,0)+IF(AND(V513&gt;175,W513&gt;=95),0.1,0)))))))))))))))))</f>
        <v>0.1875</v>
      </c>
      <c r="Y513" s="30">
        <f>IF(AG513="None",0,IF(AG513="Fix5",0.05, IF(AG513="Fix6.25",0.0625,IF(AG513="Fix3.75",0.0375,IF(AG513="Fix10",0.1,IF(AG513="Fix3",0.03,0))))))</f>
        <v>6.25E-2</v>
      </c>
      <c r="Z513" s="35">
        <f>T513-AA513-AB513</f>
        <v>8853</v>
      </c>
      <c r="AA513" s="29">
        <f>IF(AD513="EUR",((T513-R513)*X513)*U513+(R513*X513),(T513*X513))</f>
        <v>2213.25</v>
      </c>
      <c r="AB513" s="36">
        <f>IF(AD513="EUR",((T513-R513)*Y513)*U513+(R513*Y513),(T513*Y513))</f>
        <v>737.75</v>
      </c>
      <c r="AC513" s="37" t="b">
        <v>1</v>
      </c>
      <c r="AD513" s="37" t="s">
        <v>38</v>
      </c>
      <c r="AE513" s="37" t="s">
        <v>38</v>
      </c>
      <c r="AF513" s="37" t="s">
        <v>146</v>
      </c>
      <c r="AG513" s="38" t="s">
        <v>147</v>
      </c>
    </row>
    <row r="514" spans="1:33" ht="14.25" hidden="1" x14ac:dyDescent="0.2">
      <c r="A514" s="18" t="str">
        <f t="array" ref="A514">IF(G514='Room Info'!$B$1, INDEX('Room Info'!$A$2:$A2446, MATCH(B514,'Room Info'!$B$2:$B2446, 0)),IF(G514='Room Info'!$C$1, INDEX('Room Info'!$A$2:$A2446, MATCH(B514,'Room Info'!$C$2:$C2446, 0)),IF(G514='Room Info'!$D$1, INDEX('Room Info'!$A$2:$A2446, MATCH(B514,'Room Info'!$D$2:$D2446, 0)),IF(G514='Room Info'!$E$1, INDEX('Room Info'!$A$2:$A2446, MATCH(B514,'Room Info'!$E$2:$E2446, 0)),IF(G514='Room Info'!$F$1, INDEX('Room Info'!$A$2:$A2446, MATCH(B514,'Room Info'!$F$2:$F2446, 0)),IF(G514='Room Info'!$H$1, INDEX('Room Info'!$A$2:$A2446, MATCH(B514,'Room Info'!$H$2:$H2446, 0)),IF(G514='Room Info'!$G$1, INDEX('Room Info'!$A$2:$A2446, MATCH(B514,'Room Info'!$G$2:$G2446, 0)))))))))</f>
        <v>benyya</v>
      </c>
      <c r="B514" s="45" t="s">
        <v>145</v>
      </c>
      <c r="C514" s="46">
        <v>44774</v>
      </c>
      <c r="D514" s="46">
        <v>44804</v>
      </c>
      <c r="E514" s="47">
        <v>44774</v>
      </c>
      <c r="F514" s="45" t="s">
        <v>49</v>
      </c>
      <c r="G514" s="45" t="s">
        <v>35</v>
      </c>
      <c r="H514" s="49" t="s">
        <v>142</v>
      </c>
      <c r="I514" s="49" t="s">
        <v>37</v>
      </c>
      <c r="J514" s="70">
        <v>500</v>
      </c>
      <c r="K514" s="71">
        <v>124</v>
      </c>
      <c r="L514" s="52">
        <v>5500</v>
      </c>
      <c r="M514" s="53">
        <v>2392</v>
      </c>
      <c r="N514" s="28">
        <f>K514*J514</f>
        <v>62000</v>
      </c>
      <c r="O514" s="54">
        <v>4597</v>
      </c>
      <c r="P514" s="29">
        <v>37.072580649999999</v>
      </c>
      <c r="Q514" s="55"/>
      <c r="R514" s="31">
        <f>M514+Q514</f>
        <v>2392</v>
      </c>
      <c r="S514" s="56">
        <v>1128</v>
      </c>
      <c r="T514" s="32">
        <f>R514+S514+IF(F514="Without EV deal",L514,0)</f>
        <v>3520</v>
      </c>
      <c r="U514" s="57">
        <v>1</v>
      </c>
      <c r="V514" s="58"/>
      <c r="W514" s="58"/>
      <c r="X514" s="30">
        <f>IF(AF514="DoEV",IF(AND(V514&lt;20,W514&lt;55),0.3,0)+IF(AND(V514&lt;20,W514&gt;=55,W514&lt;105),0.23,0)+IF(AND(V514&lt;20,W514&gt;=105),0.17,0)+IF(AND(V514&gt;=20,V514&lt;40,W514&lt;45),0.3,0)+IF(AND(V514&gt;=20,V514&lt;40,W514&gt;=45,W514&lt;95),0.23,0)+IF(AND(V514&gt;=20,V514&lt;40,W514&gt;=95),0.17,0)+IF(AND(V514&gt;=40,V514&lt;75,W514&lt;35),0.3,0)+IF(AND(V514&gt;=40,V514&lt;75,W514&gt;=35,W514&lt;75),0.23,0)+IF(AND(V514&gt;=40,V514&lt;75,W514&gt;=75,W514&lt;120),0.17,0)+IF(AND(V514&gt;=40,V514&lt;75,W514&gt;=120),0.12,0)+IF(AND(V514&gt;=75,V514&lt;175,W514&lt;35),0.3,0)+IF(AND(V514&gt;=75,V514&lt;=175,W514&gt;=35,W514&lt;65),0.23,0)+IF(AND(V514&gt;=75,V514&lt;=175,W514&gt;=65,W514&lt;110),0.17,0)+IF(AND(V514&gt;=75,V514&lt;=175,W514&gt;=110),0.12,0)+IF(AND(V514&gt;175,W514&lt;25),0.3,0)+IF(AND(V514&gt;175,W514&gt;=25,W514&lt;55),0.23,0)+IF(AND(V514&gt;175,W514&gt;=55,W514&lt;95),0.17,0)+IF(AND(V514&gt;175,W514&gt;=95),0.12,0),
IF(AF514="Fix15",0.15,
IF(AF514="Fix18.75",0.1875,
IF(AF514="Fix11.25",0.1125,
IF(AF514="Fix10",0.1,
IF(AF514="Fix9",0.09,
IF(AF514="DoEV2017",IF(AND(W514&lt;74),0.2,0)+IF(AND(W514&gt;=74),0.17,0),
IF(AF514="SF",IF(AND(V514&lt;20,W514&lt;89),0.3,0)+IF(AND(V514&lt;20,W514&gt;=89),0.25,0)+IF(AND(V514&gt;=20,V514&lt;40,W514&lt;74),0.3,0)+IF(AND(V514&gt;=20,V514&lt;40,W514&gt;=75),0.22,0)+IF(AND(V514&gt;=40,V514&lt;75,W514&lt;75),0.26,0)+IF(AND(V514&gt;=40,V514&lt;75,W514&gt;=75),0.22,0)+IF(V514&gt;=75,0.22,0),
IF(AF514="DoEVold",IF(AND(V514&lt;40,W514&lt;35),0.35,0)+IF(AND(V514&lt;40,W514&gt;=35,W514&lt;75),0.25,0)+IF(AND(V514&lt;40,W514&gt;=75),0.17,0)+IF(AND(V514&gt;=40,V514&lt;75,W514&lt;25),0.35,0)+IF(AND(V514&gt;=40,V514&lt;75,W514&gt;=25,W514&lt;65),0.25,0)+IF(AND(V514&gt;=40,V514&lt;75,W514&gt;=65,W514&lt;100),0.17,0)+IF(AND(V514&gt;=40,V514&lt;75,W514&gt;=100),0.1,0)+IF(AND(V514&gt;=75,W514&lt;25),0.35,0)+IF(AND(V514&gt;=75,W514&gt;=25,W514&lt;60),0.25,0)+IF(AND(V514&gt;=75,W514&gt;=60,W514&lt;95),0.17,0)+IF(AND(V514&gt;=75,W514&gt;=95),0.1,0),
IF(AF514="DoEVold15",IF(AND(V514&lt;=40,W514&lt;35),0.35,0)+IF(AND(V514&lt;=40,W514&gt;=35,W514&lt;75),0.25,0)+IF(AND(V514&lt;=40,W514&gt;=75,W514&lt;120),0.17,0)+IF(AND(V514&lt;=40,W514&gt;=120),0.15,0)+IF(AND(V514&gt;40,V514&lt;75,W514&lt;25),0.35,0)+IF(AND(V514&gt;=40,V514&lt;75,W514&gt;=25,W514&lt;65),0.25,0)+IF(AND(V514&gt;=40,V514&lt;75,W514&gt;=65,W514&lt;100),0.17,0)+IF(AND(V514&gt;=40,V514&lt;75,W514&gt;=100),0.1,0)+IF(AND(V514&gt;=75,W514&lt;25),0.35,0)+IF(AND(V514&gt;=75,W514&gt;=25,W514&lt;60),0.25,0)+IF(AND(V514&gt;=75,W514&gt;=60,W514&lt;95),0.17,0)+IF(AND(V514&gt;=75,W514&gt;=95),0.1,0),
IF(AF514="DoEVba",IF(AND(V514&lt;20,W514&lt;105),0.2,0)+IF(AND(V514&lt;20,W514&gt;=105),0.15,0)+IF(AND(V514&gt;=20,V514&lt;40,W514&lt;95),0.2,0)+IF(AND(V514&gt;=20,V514&lt;40,W514&gt;=95,W514&lt;150),0.15,0)+IF(AND(V514&gt;=20,V514&lt;40,W514&gt;=150),0.12,0)+IF(AND(V514&gt;=40,V514&lt;75,W514&lt;75),0.2,0)+IF(AND(V514&gt;=40,V514&lt;75,W514&gt;=75,W514&lt;120),0.15,0)+IF(AND(V514&gt;=40,V514&lt;75,W514&gt;=120),0.12,0)+IF(AND(V514&gt;=75,V514&lt;175,W514&lt;65),0.2,0)+IF(AND(V514&gt;=75,V514&lt;175,W514&gt;=65,W514&lt;110),0.15,0)+IF(AND(V514&gt;=75,V514&lt;175,W514&gt;=110),0.12,0)+IF(AND(V514&gt;=175,W514&lt;55),0.2,0)+IF(AND(V514&gt;=175,W514&gt;=55,W514&lt;95),0.15,0)+IF(AND(V514&gt;=175,W514&gt;=95),0.12,0),
IF(AF514="DoEVku",IF(AND(V514&lt;20,W514&lt;55),0.23,0)+IF(AND(V514&lt;20,W514&gt;=55,W514&lt;105),0.2,0)+IF(AND(V514&lt;20,W514&gt;=105),0.17,0)+IF(AND(V514&gt;=20,V514&lt;40,W514&lt;45),0.23,0)+IF(AND(V514&gt;=20,V514&lt;40,W514&gt;=45,W514&lt;95),0.2,0)+IF(AND(V514&gt;=20,V514&lt;40,W514&gt;=95,W514&lt;=150),0.17,0)+IF(AND(V514&gt;=20,V514&lt;40,W514&gt;=150),0.12,0)+IF(AND(V514&gt;=40,V514&lt;75,W514&lt;35),0.23,0)+IF(AND(V514&gt;=40,V514&lt;75,W514&gt;=35,W514&lt;75),0.2,0)+IF(AND(V514&gt;=40,V514&lt;75,W514&gt;=75,W514&lt;120),0.17,0)+IF(AND(V514&gt;=40,V514&lt;75,W514&gt;=120),0.12,0)+IF(AND(V514&gt;=75,V514&lt;175,W514&lt;35),0.23,0)+IF(AND(V514&gt;=75,V514&lt;=175,W514&gt;=35,W514&lt;65),0.2,0)+IF(AND(V514&gt;=75,V514&lt;=175,W514&gt;=65,W514&lt;110),0.17,0)+IF(AND(V514&gt;=75,V514&lt;=175,W514&gt;=110),0.12,0)+IF(AND(V514&gt;175,W514&lt;25),0.23,0)+IF(AND(V514&gt;175,W514&gt;=25,W514&lt;55),0.2,0)+IF(AND(V514&gt;175,W514&gt;=55,W514&lt;95),0.17,0)+IF(AND(V514&gt;175,W514&gt;=95),0.12,0),
IF(AF514="DoEVs1",IF(AND(V514&lt;20,W514&lt;55),0.3,0)+IF(AND(V514&lt;20,W514&gt;=55,W514&lt;105),0.23,0)+IF(AND(V514&lt;20,W514&gt;=105),0.17,0)+IF(AND(V514&gt;=20,V514&lt;40,W514&lt;45),0.3,0)+IF(AND(V514&gt;=20,V514&lt;40,W514&gt;=45,W514&lt;95),0.23,0)+IF(AND(V514&gt;=20,V514&lt;40,W514&gt;=95,W514&lt;=150),0.17,0)+IF(AND(V514&gt;=20,V514&lt;40,W514&gt;=150),0.12,0)+IF(AND(V514&gt;=40,V514&lt;75,W514&lt;35),0.3,0)+IF(AND(V514&gt;=40,V514&lt;75,W514&gt;=35,W514&lt;75),0.23,0)+IF(AND(V514&gt;=40,V514&lt;75,W514&gt;=75,W514&lt;120),0.17,0)+IF(AND(V514&gt;=40,V514&lt;75,W514&gt;=120),0.12,0)+IF(AND(V514&gt;=75,V514&lt;175,W514&lt;35),0.3,0)+IF(AND(V514&gt;=75,V514&lt;=175,W514&gt;=35,W514&lt;65),0.23,0)+IF(AND(V514&gt;=75,V514&lt;=175,W514&gt;=65,W514&lt;110),0.17,0)+IF(AND(V514&gt;=75,V514&lt;=175,W514&gt;=110),0.12,0)+IF(AND(V514&gt;175,W514&lt;25),0.3,0)+IF(AND(V514&gt;175,W514&gt;=25,W514&lt;55),0.23,0)+IF(AND(V514&gt;175,W514&gt;=55,W514&lt;95),0.17,0)+IF(AND(V514&gt;175,W514&gt;=95),0.12,0),
IF(AF514="DoEVsu",IF(AND(V514&lt;20,W514&lt;55),0.3,0)+IF(AND(V514&lt;20,W514&gt;=55,W514&lt;105),0.23,0)+IF(AND(V514&lt;20,W514&gt;=105),0.17,0)+IF(AND(V514&gt;=20,V514&lt;40,W514&lt;45),0.3,0)+IF(AND(V514&gt;=20,V514&lt;40,W514&gt;=45,W514&lt;95),0.23,0)+IF(AND(V514&gt;=20,V514&lt;40,W514&gt;=95,W514&lt;=250),0.17,0)+IF(AND(V514&gt;=20,V514&lt;40,W514&gt;=250),0.12,0)+IF(AND(V514&gt;=40,V514&lt;75,W514&lt;35),0.3,0)+IF(AND(V514&gt;=40,V514&lt;75,W514&gt;=35,W514&lt;75),0.23,0)+IF(AND(V514&gt;=40,V514&lt;75,W514&gt;=75,W514&lt;120),0.17,0)+IF(AND(V514&gt;=40,V514&lt;75,W514&gt;=120),0.12,0)+IF(AND(V514&gt;=75,V514&lt;175,W514&lt;35),0.3,0)+IF(AND(V514&gt;=75,V514&lt;=175,W514&gt;=35,W514&lt;65),0.23,0)+IF(AND(V514&gt;=75,V514&lt;=175,W514&gt;=65,W514&lt;110),0.17,0)+IF(AND(V514&gt;=75,V514&lt;=175,W514&gt;=110),0.12,0)+IF(AND(V514&gt;175,W514&lt;25),0.3,0)+IF(AND(V514&gt;175,W514&gt;=25,W514&lt;55),0.23,0)+IF(AND(V514&gt;175,W514&gt;=55,W514&lt;95),0.17,0)+IF(AND(V514&gt;175,W514&gt;=95),0.12,0),
IF(AF514="DoEVni",IF(AND(V514&lt;20,W514&lt;55),0.3,0)+IF(AND(V514&lt;20,W514&gt;=55,W514&lt;105),0.23,0)+IF(AND(V514&lt;20,W514&gt;=105),0.17,0)+IF(AND(V514&gt;=20,V514&lt;40,W514&lt;45),0.3,0)+IF(AND(V514&gt;=20,V514&lt;40,W514&gt;=45,W514&lt;95),0.23,0)+IF(AND(V514&gt;=20,V514&lt;40,W514&gt;=95,W514&lt;=200),0.17,0)+IF(AND(V514&gt;=20,V514&lt;40,W514&gt;=200),0.12,0)+IF(AND(V514&gt;=40,V514&lt;75,W514&lt;35),0.3,0)+IF(AND(V514&gt;=40,V514&lt;75,W514&gt;=35,W514&lt;75),0.23,0)+IF(AND(V514&gt;=40,V514&lt;75,W514&gt;=75,W514&lt;120),0.17,0)+IF(AND(V514&gt;=40,V514&lt;75,W514&gt;=120),0.12,0)+IF(AND(V514&gt;=75,V514&lt;175,W514&lt;35),0.3,0)+IF(AND(V514&gt;=75,V514&lt;=175,W514&gt;=35,W514&lt;65),0.23,0)+IF(AND(V514&gt;=75,V514&lt;=175,W514&gt;=65,W514&lt;110),0.17,0)+IF(AND(V514&gt;=75,V514&lt;=175,W514&gt;=110),0.12,0)+IF(AND(V514&gt;175,W514&lt;25),0.3,0)+IF(AND(V514&gt;175,W514&gt;=25,W514&lt;55),0.23,0)+IF(AND(V514&gt;175,W514&gt;=55,W514&lt;95),0.17,0)+IF(AND(V514&gt;175,W514&gt;=95),0.12,0),
IF(AF514="DoEVLo",IF(AND(V514&lt;20,W514&lt;55),0.25,0)+IF(AND(V514&lt;20,W514&gt;=55,W514&lt;105),0.2,0)+IF(AND(V514&lt;20,W514&gt;=105),0.15,0)+IF(AND(V514&gt;=20,V514&lt;40,W514&lt;45),0.25,0)+IF(AND(V514&gt;=20,V514&lt;40,W514&gt;=45,W514&lt;95),0.2,0)+IF(AND(V514&gt;=20,V514&lt;40,W514&gt;=95),0.15,0)+IF(AND(V514&gt;=40,V514&lt;75,W514&lt;35),0.25,0)+IF(AND(V514&gt;=40,V514&lt;75,W514&gt;=35,W514&lt;75),0.2,0)+IF(AND(V514&gt;=40,V514&lt;75,W514&gt;=75,W514&lt;120),0.15,0)+IF(AND(V514&gt;=40,V514&lt;75,W514&gt;=120),0.1,0)+IF(AND(V514&gt;=75,V514&lt;175,W514&lt;35),0.25,0)+IF(AND(V514&gt;=75,V514&lt;=175,W514&gt;=35,W514&lt;65),0.2,0)+IF(AND(V514&gt;=75,V514&lt;=175,W514&gt;=65,W514&lt;110),0.15,0)+IF(AND(V514&gt;=75,V514&lt;=175,W514&gt;=110),0.1,0)+IF(AND(V514&gt;175,W514&lt;25),0.25,0)+IF(AND(V514&gt;175,W514&gt;=25,W514&lt;55),0.2,0)+IF(AND(V514&gt;175,W514&gt;=55,W514&lt;95),0.15,0)+IF(AND(V514&gt;175,W514&gt;=95),0.1,0)))))))))))))))))</f>
        <v>0.1875</v>
      </c>
      <c r="Y514" s="30">
        <f>IF(AG514="None",0,IF(AG514="Fix5",0.05, IF(AG514="Fix6.25",0.0625,IF(AG514="Fix3.75",0.0375,IF(AG514="Fix10",0.1,IF(AG514="Fix3",0.03,0))))))</f>
        <v>6.25E-2</v>
      </c>
      <c r="Z514" s="35">
        <f>T514-AA514-AB514</f>
        <v>2640</v>
      </c>
      <c r="AA514" s="29">
        <f>IF(AD514="EUR",((T514-R514)*X514)*U514+(R514*X514),(T514*X514))</f>
        <v>660</v>
      </c>
      <c r="AB514" s="36">
        <f>IF(AD514="EUR",((T514-R514)*Y514)*U514+(R514*Y514),(T514*Y514))</f>
        <v>220</v>
      </c>
      <c r="AC514" s="37" t="b">
        <v>1</v>
      </c>
      <c r="AD514" s="37" t="s">
        <v>38</v>
      </c>
      <c r="AE514" s="37" t="s">
        <v>38</v>
      </c>
      <c r="AF514" s="37" t="s">
        <v>146</v>
      </c>
      <c r="AG514" s="38" t="s">
        <v>147</v>
      </c>
    </row>
    <row r="515" spans="1:33" ht="14.25" hidden="1" x14ac:dyDescent="0.2">
      <c r="A515" s="18" t="str">
        <f t="array" ref="A515">IF(G515='Room Info'!$B$1, INDEX('Room Info'!$A$2:$A2446, MATCH(B515,'Room Info'!$B$2:$B2446, 0)),IF(G515='Room Info'!$C$1, INDEX('Room Info'!$A$2:$A2446, MATCH(B515,'Room Info'!$C$2:$C2446, 0)),IF(G515='Room Info'!$D$1, INDEX('Room Info'!$A$2:$A2446, MATCH(B515,'Room Info'!$D$2:$D2446, 0)),IF(G515='Room Info'!$E$1, INDEX('Room Info'!$A$2:$A2446, MATCH(B515,'Room Info'!$E$2:$E2446, 0)),IF(G515='Room Info'!$F$1, INDEX('Room Info'!$A$2:$A2446, MATCH(B515,'Room Info'!$F$2:$F2446, 0)),IF(G515='Room Info'!$H$1, INDEX('Room Info'!$A$2:$A2446, MATCH(B515,'Room Info'!$H$2:$H2446, 0)),IF(G515='Room Info'!$G$1, INDEX('Room Info'!$A$2:$A2446, MATCH(B515,'Room Info'!$G$2:$G2446, 0)))))))))</f>
        <v>benyya</v>
      </c>
      <c r="B515" s="45" t="s">
        <v>145</v>
      </c>
      <c r="C515" s="46">
        <v>44774</v>
      </c>
      <c r="D515" s="46">
        <v>44804</v>
      </c>
      <c r="E515" s="47">
        <v>44774</v>
      </c>
      <c r="F515" s="45" t="s">
        <v>49</v>
      </c>
      <c r="G515" s="54" t="s">
        <v>35</v>
      </c>
      <c r="H515" s="49" t="s">
        <v>149</v>
      </c>
      <c r="I515" s="49" t="s">
        <v>44</v>
      </c>
      <c r="J515" s="50">
        <v>500</v>
      </c>
      <c r="K515" s="51">
        <v>121</v>
      </c>
      <c r="L515" s="52">
        <v>-5500</v>
      </c>
      <c r="M515" s="53">
        <v>2334</v>
      </c>
      <c r="N515" s="28">
        <f>K515*J515</f>
        <v>60500</v>
      </c>
      <c r="O515" s="54">
        <v>1306</v>
      </c>
      <c r="P515" s="29">
        <v>10.79338843</v>
      </c>
      <c r="Q515" s="55"/>
      <c r="R515" s="31">
        <f>M515+Q515</f>
        <v>2334</v>
      </c>
      <c r="S515" s="56">
        <v>-1070</v>
      </c>
      <c r="T515" s="32">
        <f>R515+S515+IF(F515="Without EV deal",L515,0)</f>
        <v>1264</v>
      </c>
      <c r="U515" s="57">
        <v>1</v>
      </c>
      <c r="V515" s="58"/>
      <c r="W515" s="58"/>
      <c r="X515" s="30">
        <f>IF(AF515="DoEV",IF(AND(V515&lt;20,W515&lt;55),0.3,0)+IF(AND(V515&lt;20,W515&gt;=55,W515&lt;105),0.23,0)+IF(AND(V515&lt;20,W515&gt;=105),0.17,0)+IF(AND(V515&gt;=20,V515&lt;40,W515&lt;45),0.3,0)+IF(AND(V515&gt;=20,V515&lt;40,W515&gt;=45,W515&lt;95),0.23,0)+IF(AND(V515&gt;=20,V515&lt;40,W515&gt;=95),0.17,0)+IF(AND(V515&gt;=40,V515&lt;75,W515&lt;35),0.3,0)+IF(AND(V515&gt;=40,V515&lt;75,W515&gt;=35,W515&lt;75),0.23,0)+IF(AND(V515&gt;=40,V515&lt;75,W515&gt;=75,W515&lt;120),0.17,0)+IF(AND(V515&gt;=40,V515&lt;75,W515&gt;=120),0.12,0)+IF(AND(V515&gt;=75,V515&lt;175,W515&lt;35),0.3,0)+IF(AND(V515&gt;=75,V515&lt;=175,W515&gt;=35,W515&lt;65),0.23,0)+IF(AND(V515&gt;=75,V515&lt;=175,W515&gt;=65,W515&lt;110),0.17,0)+IF(AND(V515&gt;=75,V515&lt;=175,W515&gt;=110),0.12,0)+IF(AND(V515&gt;175,W515&lt;25),0.3,0)+IF(AND(V515&gt;175,W515&gt;=25,W515&lt;55),0.23,0)+IF(AND(V515&gt;175,W515&gt;=55,W515&lt;95),0.17,0)+IF(AND(V515&gt;175,W515&gt;=95),0.12,0),
IF(AF515="Fix15",0.15,
IF(AF515="Fix18.75",0.1875,
IF(AF515="Fix11.25",0.1125,
IF(AF515="Fix10",0.1,
IF(AF515="Fix9",0.09,
IF(AF515="DoEV2017",IF(AND(W515&lt;74),0.2,0)+IF(AND(W515&gt;=74),0.17,0),
IF(AF515="SF",IF(AND(V515&lt;20,W515&lt;89),0.3,0)+IF(AND(V515&lt;20,W515&gt;=89),0.25,0)+IF(AND(V515&gt;=20,V515&lt;40,W515&lt;74),0.3,0)+IF(AND(V515&gt;=20,V515&lt;40,W515&gt;=75),0.22,0)+IF(AND(V515&gt;=40,V515&lt;75,W515&lt;75),0.26,0)+IF(AND(V515&gt;=40,V515&lt;75,W515&gt;=75),0.22,0)+IF(V515&gt;=75,0.22,0),
IF(AF515="DoEVold",IF(AND(V515&lt;40,W515&lt;35),0.35,0)+IF(AND(V515&lt;40,W515&gt;=35,W515&lt;75),0.25,0)+IF(AND(V515&lt;40,W515&gt;=75),0.17,0)+IF(AND(V515&gt;=40,V515&lt;75,W515&lt;25),0.35,0)+IF(AND(V515&gt;=40,V515&lt;75,W515&gt;=25,W515&lt;65),0.25,0)+IF(AND(V515&gt;=40,V515&lt;75,W515&gt;=65,W515&lt;100),0.17,0)+IF(AND(V515&gt;=40,V515&lt;75,W515&gt;=100),0.1,0)+IF(AND(V515&gt;=75,W515&lt;25),0.35,0)+IF(AND(V515&gt;=75,W515&gt;=25,W515&lt;60),0.25,0)+IF(AND(V515&gt;=75,W515&gt;=60,W515&lt;95),0.17,0)+IF(AND(V515&gt;=75,W515&gt;=95),0.1,0),
IF(AF515="DoEVold15",IF(AND(V515&lt;=40,W515&lt;35),0.35,0)+IF(AND(V515&lt;=40,W515&gt;=35,W515&lt;75),0.25,0)+IF(AND(V515&lt;=40,W515&gt;=75,W515&lt;120),0.17,0)+IF(AND(V515&lt;=40,W515&gt;=120),0.15,0)+IF(AND(V515&gt;40,V515&lt;75,W515&lt;25),0.35,0)+IF(AND(V515&gt;=40,V515&lt;75,W515&gt;=25,W515&lt;65),0.25,0)+IF(AND(V515&gt;=40,V515&lt;75,W515&gt;=65,W515&lt;100),0.17,0)+IF(AND(V515&gt;=40,V515&lt;75,W515&gt;=100),0.1,0)+IF(AND(V515&gt;=75,W515&lt;25),0.35,0)+IF(AND(V515&gt;=75,W515&gt;=25,W515&lt;60),0.25,0)+IF(AND(V515&gt;=75,W515&gt;=60,W515&lt;95),0.17,0)+IF(AND(V515&gt;=75,W515&gt;=95),0.1,0),
IF(AF515="DoEVba",IF(AND(V515&lt;20,W515&lt;105),0.2,0)+IF(AND(V515&lt;20,W515&gt;=105),0.15,0)+IF(AND(V515&gt;=20,V515&lt;40,W515&lt;95),0.2,0)+IF(AND(V515&gt;=20,V515&lt;40,W515&gt;=95,W515&lt;150),0.15,0)+IF(AND(V515&gt;=20,V515&lt;40,W515&gt;=150),0.12,0)+IF(AND(V515&gt;=40,V515&lt;75,W515&lt;75),0.2,0)+IF(AND(V515&gt;=40,V515&lt;75,W515&gt;=75,W515&lt;120),0.15,0)+IF(AND(V515&gt;=40,V515&lt;75,W515&gt;=120),0.12,0)+IF(AND(V515&gt;=75,V515&lt;175,W515&lt;65),0.2,0)+IF(AND(V515&gt;=75,V515&lt;175,W515&gt;=65,W515&lt;110),0.15,0)+IF(AND(V515&gt;=75,V515&lt;175,W515&gt;=110),0.12,0)+IF(AND(V515&gt;=175,W515&lt;55),0.2,0)+IF(AND(V515&gt;=175,W515&gt;=55,W515&lt;95),0.15,0)+IF(AND(V515&gt;=175,W515&gt;=95),0.12,0),
IF(AF515="DoEVku",IF(AND(V515&lt;20,W515&lt;55),0.23,0)+IF(AND(V515&lt;20,W515&gt;=55,W515&lt;105),0.2,0)+IF(AND(V515&lt;20,W515&gt;=105),0.17,0)+IF(AND(V515&gt;=20,V515&lt;40,W515&lt;45),0.23,0)+IF(AND(V515&gt;=20,V515&lt;40,W515&gt;=45,W515&lt;95),0.2,0)+IF(AND(V515&gt;=20,V515&lt;40,W515&gt;=95,W515&lt;=150),0.17,0)+IF(AND(V515&gt;=20,V515&lt;40,W515&gt;=150),0.12,0)+IF(AND(V515&gt;=40,V515&lt;75,W515&lt;35),0.23,0)+IF(AND(V515&gt;=40,V515&lt;75,W515&gt;=35,W515&lt;75),0.2,0)+IF(AND(V515&gt;=40,V515&lt;75,W515&gt;=75,W515&lt;120),0.17,0)+IF(AND(V515&gt;=40,V515&lt;75,W515&gt;=120),0.12,0)+IF(AND(V515&gt;=75,V515&lt;175,W515&lt;35),0.23,0)+IF(AND(V515&gt;=75,V515&lt;=175,W515&gt;=35,W515&lt;65),0.2,0)+IF(AND(V515&gt;=75,V515&lt;=175,W515&gt;=65,W515&lt;110),0.17,0)+IF(AND(V515&gt;=75,V515&lt;=175,W515&gt;=110),0.12,0)+IF(AND(V515&gt;175,W515&lt;25),0.23,0)+IF(AND(V515&gt;175,W515&gt;=25,W515&lt;55),0.2,0)+IF(AND(V515&gt;175,W515&gt;=55,W515&lt;95),0.17,0)+IF(AND(V515&gt;175,W515&gt;=95),0.12,0),
IF(AF515="DoEVs1",IF(AND(V515&lt;20,W515&lt;55),0.3,0)+IF(AND(V515&lt;20,W515&gt;=55,W515&lt;105),0.23,0)+IF(AND(V515&lt;20,W515&gt;=105),0.17,0)+IF(AND(V515&gt;=20,V515&lt;40,W515&lt;45),0.3,0)+IF(AND(V515&gt;=20,V515&lt;40,W515&gt;=45,W515&lt;95),0.23,0)+IF(AND(V515&gt;=20,V515&lt;40,W515&gt;=95,W515&lt;=150),0.17,0)+IF(AND(V515&gt;=20,V515&lt;40,W515&gt;=150),0.12,0)+IF(AND(V515&gt;=40,V515&lt;75,W515&lt;35),0.3,0)+IF(AND(V515&gt;=40,V515&lt;75,W515&gt;=35,W515&lt;75),0.23,0)+IF(AND(V515&gt;=40,V515&lt;75,W515&gt;=75,W515&lt;120),0.17,0)+IF(AND(V515&gt;=40,V515&lt;75,W515&gt;=120),0.12,0)+IF(AND(V515&gt;=75,V515&lt;175,W515&lt;35),0.3,0)+IF(AND(V515&gt;=75,V515&lt;=175,W515&gt;=35,W515&lt;65),0.23,0)+IF(AND(V515&gt;=75,V515&lt;=175,W515&gt;=65,W515&lt;110),0.17,0)+IF(AND(V515&gt;=75,V515&lt;=175,W515&gt;=110),0.12,0)+IF(AND(V515&gt;175,W515&lt;25),0.3,0)+IF(AND(V515&gt;175,W515&gt;=25,W515&lt;55),0.23,0)+IF(AND(V515&gt;175,W515&gt;=55,W515&lt;95),0.17,0)+IF(AND(V515&gt;175,W515&gt;=95),0.12,0),
IF(AF515="DoEVsu",IF(AND(V515&lt;20,W515&lt;55),0.3,0)+IF(AND(V515&lt;20,W515&gt;=55,W515&lt;105),0.23,0)+IF(AND(V515&lt;20,W515&gt;=105),0.17,0)+IF(AND(V515&gt;=20,V515&lt;40,W515&lt;45),0.3,0)+IF(AND(V515&gt;=20,V515&lt;40,W515&gt;=45,W515&lt;95),0.23,0)+IF(AND(V515&gt;=20,V515&lt;40,W515&gt;=95,W515&lt;=250),0.17,0)+IF(AND(V515&gt;=20,V515&lt;40,W515&gt;=250),0.12,0)+IF(AND(V515&gt;=40,V515&lt;75,W515&lt;35),0.3,0)+IF(AND(V515&gt;=40,V515&lt;75,W515&gt;=35,W515&lt;75),0.23,0)+IF(AND(V515&gt;=40,V515&lt;75,W515&gt;=75,W515&lt;120),0.17,0)+IF(AND(V515&gt;=40,V515&lt;75,W515&gt;=120),0.12,0)+IF(AND(V515&gt;=75,V515&lt;175,W515&lt;35),0.3,0)+IF(AND(V515&gt;=75,V515&lt;=175,W515&gt;=35,W515&lt;65),0.23,0)+IF(AND(V515&gt;=75,V515&lt;=175,W515&gt;=65,W515&lt;110),0.17,0)+IF(AND(V515&gt;=75,V515&lt;=175,W515&gt;=110),0.12,0)+IF(AND(V515&gt;175,W515&lt;25),0.3,0)+IF(AND(V515&gt;175,W515&gt;=25,W515&lt;55),0.23,0)+IF(AND(V515&gt;175,W515&gt;=55,W515&lt;95),0.17,0)+IF(AND(V515&gt;175,W515&gt;=95),0.12,0),
IF(AF515="DoEVni",IF(AND(V515&lt;20,W515&lt;55),0.3,0)+IF(AND(V515&lt;20,W515&gt;=55,W515&lt;105),0.23,0)+IF(AND(V515&lt;20,W515&gt;=105),0.17,0)+IF(AND(V515&gt;=20,V515&lt;40,W515&lt;45),0.3,0)+IF(AND(V515&gt;=20,V515&lt;40,W515&gt;=45,W515&lt;95),0.23,0)+IF(AND(V515&gt;=20,V515&lt;40,W515&gt;=95,W515&lt;=200),0.17,0)+IF(AND(V515&gt;=20,V515&lt;40,W515&gt;=200),0.12,0)+IF(AND(V515&gt;=40,V515&lt;75,W515&lt;35),0.3,0)+IF(AND(V515&gt;=40,V515&lt;75,W515&gt;=35,W515&lt;75),0.23,0)+IF(AND(V515&gt;=40,V515&lt;75,W515&gt;=75,W515&lt;120),0.17,0)+IF(AND(V515&gt;=40,V515&lt;75,W515&gt;=120),0.12,0)+IF(AND(V515&gt;=75,V515&lt;175,W515&lt;35),0.3,0)+IF(AND(V515&gt;=75,V515&lt;=175,W515&gt;=35,W515&lt;65),0.23,0)+IF(AND(V515&gt;=75,V515&lt;=175,W515&gt;=65,W515&lt;110),0.17,0)+IF(AND(V515&gt;=75,V515&lt;=175,W515&gt;=110),0.12,0)+IF(AND(V515&gt;175,W515&lt;25),0.3,0)+IF(AND(V515&gt;175,W515&gt;=25,W515&lt;55),0.23,0)+IF(AND(V515&gt;175,W515&gt;=55,W515&lt;95),0.17,0)+IF(AND(V515&gt;175,W515&gt;=95),0.12,0),
IF(AF515="DoEVLo",IF(AND(V515&lt;20,W515&lt;55),0.25,0)+IF(AND(V515&lt;20,W515&gt;=55,W515&lt;105),0.2,0)+IF(AND(V515&lt;20,W515&gt;=105),0.15,0)+IF(AND(V515&gt;=20,V515&lt;40,W515&lt;45),0.25,0)+IF(AND(V515&gt;=20,V515&lt;40,W515&gt;=45,W515&lt;95),0.2,0)+IF(AND(V515&gt;=20,V515&lt;40,W515&gt;=95),0.15,0)+IF(AND(V515&gt;=40,V515&lt;75,W515&lt;35),0.25,0)+IF(AND(V515&gt;=40,V515&lt;75,W515&gt;=35,W515&lt;75),0.2,0)+IF(AND(V515&gt;=40,V515&lt;75,W515&gt;=75,W515&lt;120),0.15,0)+IF(AND(V515&gt;=40,V515&lt;75,W515&gt;=120),0.1,0)+IF(AND(V515&gt;=75,V515&lt;175,W515&lt;35),0.25,0)+IF(AND(V515&gt;=75,V515&lt;=175,W515&gt;=35,W515&lt;65),0.2,0)+IF(AND(V515&gt;=75,V515&lt;=175,W515&gt;=65,W515&lt;110),0.15,0)+IF(AND(V515&gt;=75,V515&lt;=175,W515&gt;=110),0.1,0)+IF(AND(V515&gt;175,W515&lt;25),0.25,0)+IF(AND(V515&gt;175,W515&gt;=25,W515&lt;55),0.2,0)+IF(AND(V515&gt;175,W515&gt;=55,W515&lt;95),0.15,0)+IF(AND(V515&gt;175,W515&gt;=95),0.1,0)))))))))))))))))</f>
        <v>0.1875</v>
      </c>
      <c r="Y515" s="30">
        <f>IF(AG515="None",0,IF(AG515="Fix5",0.05, IF(AG515="Fix6.25",0.0625,IF(AG515="Fix3.75",0.0375,IF(AG515="Fix10",0.1,IF(AG515="Fix3",0.03,0))))))</f>
        <v>6.25E-2</v>
      </c>
      <c r="Z515" s="35">
        <f>T515-AA515-AB515</f>
        <v>948</v>
      </c>
      <c r="AA515" s="29">
        <f>IF(AD515="EUR",((T515-R515)*X515)*U515+(R515*X515),(T515*X515))</f>
        <v>237</v>
      </c>
      <c r="AB515" s="36">
        <f>IF(AD515="EUR",((T515-R515)*Y515)*U515+(R515*Y515),(T515*Y515))</f>
        <v>79</v>
      </c>
      <c r="AC515" s="37" t="b">
        <v>1</v>
      </c>
      <c r="AD515" s="37" t="s">
        <v>38</v>
      </c>
      <c r="AE515" s="37" t="s">
        <v>38</v>
      </c>
      <c r="AF515" s="37" t="s">
        <v>146</v>
      </c>
      <c r="AG515" s="38" t="s">
        <v>147</v>
      </c>
    </row>
    <row r="516" spans="1:33" ht="14.25" hidden="1" x14ac:dyDescent="0.2">
      <c r="A516" s="18" t="str">
        <f t="array" ref="A516">IF(G516='Room Info'!$B$1, INDEX('Room Info'!$A$2:$A2446, MATCH(B516,'Room Info'!$B$2:$B2446, 0)),IF(G516='Room Info'!$C$1, INDEX('Room Info'!$A$2:$A2446, MATCH(B516,'Room Info'!$C$2:$C2446, 0)),IF(G516='Room Info'!$D$1, INDEX('Room Info'!$A$2:$A2446, MATCH(B516,'Room Info'!$D$2:$D2446, 0)),IF(G516='Room Info'!$E$1, INDEX('Room Info'!$A$2:$A2446, MATCH(B516,'Room Info'!$E$2:$E2446, 0)),IF(G516='Room Info'!$F$1, INDEX('Room Info'!$A$2:$A2446, MATCH(B516,'Room Info'!$F$2:$F2446, 0)),IF(G516='Room Info'!$H$1, INDEX('Room Info'!$A$2:$A2446, MATCH(B516,'Room Info'!$H$2:$H2446, 0)),IF(G516='Room Info'!$G$1, INDEX('Room Info'!$A$2:$A2446, MATCH(B516,'Room Info'!$G$2:$G2446, 0)))))))))</f>
        <v>benyya</v>
      </c>
      <c r="B516" s="45" t="s">
        <v>145</v>
      </c>
      <c r="C516" s="46">
        <v>44805</v>
      </c>
      <c r="D516" s="46">
        <v>44834</v>
      </c>
      <c r="E516" s="47">
        <v>44805</v>
      </c>
      <c r="F516" s="45" t="s">
        <v>49</v>
      </c>
      <c r="G516" s="54" t="s">
        <v>35</v>
      </c>
      <c r="H516" s="49" t="s">
        <v>70</v>
      </c>
      <c r="I516" s="49" t="s">
        <v>37</v>
      </c>
      <c r="J516" s="50">
        <v>100</v>
      </c>
      <c r="K516" s="51">
        <v>296</v>
      </c>
      <c r="L516" s="52">
        <v>-600</v>
      </c>
      <c r="M516" s="53">
        <v>1034</v>
      </c>
      <c r="N516" s="28">
        <f>K516*J516</f>
        <v>29600</v>
      </c>
      <c r="O516" s="54">
        <v>3761</v>
      </c>
      <c r="P516" s="29">
        <v>12.706081080000001</v>
      </c>
      <c r="Q516" s="55"/>
      <c r="R516" s="31">
        <f>M516+Q516</f>
        <v>1034</v>
      </c>
      <c r="S516" s="56">
        <v>-732</v>
      </c>
      <c r="T516" s="32">
        <f>R516+S516+IF(F516="Without EV deal",L516,0)</f>
        <v>302</v>
      </c>
      <c r="U516" s="57">
        <v>1</v>
      </c>
      <c r="V516" s="58"/>
      <c r="W516" s="58"/>
      <c r="X516" s="30">
        <f>IF(AF516="DoEV",IF(AND(V516&lt;20,W516&lt;55),0.3,0)+IF(AND(V516&lt;20,W516&gt;=55,W516&lt;105),0.23,0)+IF(AND(V516&lt;20,W516&gt;=105),0.17,0)+IF(AND(V516&gt;=20,V516&lt;40,W516&lt;45),0.3,0)+IF(AND(V516&gt;=20,V516&lt;40,W516&gt;=45,W516&lt;95),0.23,0)+IF(AND(V516&gt;=20,V516&lt;40,W516&gt;=95),0.17,0)+IF(AND(V516&gt;=40,V516&lt;75,W516&lt;35),0.3,0)+IF(AND(V516&gt;=40,V516&lt;75,W516&gt;=35,W516&lt;75),0.23,0)+IF(AND(V516&gt;=40,V516&lt;75,W516&gt;=75,W516&lt;120),0.17,0)+IF(AND(V516&gt;=40,V516&lt;75,W516&gt;=120),0.12,0)+IF(AND(V516&gt;=75,V516&lt;175,W516&lt;35),0.3,0)+IF(AND(V516&gt;=75,V516&lt;=175,W516&gt;=35,W516&lt;65),0.23,0)+IF(AND(V516&gt;=75,V516&lt;=175,W516&gt;=65,W516&lt;110),0.17,0)+IF(AND(V516&gt;=75,V516&lt;=175,W516&gt;=110),0.12,0)+IF(AND(V516&gt;175,W516&lt;25),0.3,0)+IF(AND(V516&gt;175,W516&gt;=25,W516&lt;55),0.23,0)+IF(AND(V516&gt;175,W516&gt;=55,W516&lt;95),0.17,0)+IF(AND(V516&gt;175,W516&gt;=95),0.12,0),
IF(AF516="Fix15",0.15,
IF(AF516="Fix18.75",0.1875,
IF(AF516="Fix11.25",0.1125,
IF(AF516="Fix10",0.1,
IF(AF516="Fix9",0.09,
IF(AF516="DoEV2017",IF(AND(W516&lt;74),0.2,0)+IF(AND(W516&gt;=74),0.17,0),
IF(AF516="SF",IF(AND(V516&lt;20,W516&lt;89),0.3,0)+IF(AND(V516&lt;20,W516&gt;=89),0.25,0)+IF(AND(V516&gt;=20,V516&lt;40,W516&lt;74),0.3,0)+IF(AND(V516&gt;=20,V516&lt;40,W516&gt;=75),0.22,0)+IF(AND(V516&gt;=40,V516&lt;75,W516&lt;75),0.26,0)+IF(AND(V516&gt;=40,V516&lt;75,W516&gt;=75),0.22,0)+IF(V516&gt;=75,0.22,0),
IF(AF516="DoEVold",IF(AND(V516&lt;40,W516&lt;35),0.35,0)+IF(AND(V516&lt;40,W516&gt;=35,W516&lt;75),0.25,0)+IF(AND(V516&lt;40,W516&gt;=75),0.17,0)+IF(AND(V516&gt;=40,V516&lt;75,W516&lt;25),0.35,0)+IF(AND(V516&gt;=40,V516&lt;75,W516&gt;=25,W516&lt;65),0.25,0)+IF(AND(V516&gt;=40,V516&lt;75,W516&gt;=65,W516&lt;100),0.17,0)+IF(AND(V516&gt;=40,V516&lt;75,W516&gt;=100),0.1,0)+IF(AND(V516&gt;=75,W516&lt;25),0.35,0)+IF(AND(V516&gt;=75,W516&gt;=25,W516&lt;60),0.25,0)+IF(AND(V516&gt;=75,W516&gt;=60,W516&lt;95),0.17,0)+IF(AND(V516&gt;=75,W516&gt;=95),0.1,0),
IF(AF516="DoEVold15",IF(AND(V516&lt;=40,W516&lt;35),0.35,0)+IF(AND(V516&lt;=40,W516&gt;=35,W516&lt;75),0.25,0)+IF(AND(V516&lt;=40,W516&gt;=75,W516&lt;120),0.17,0)+IF(AND(V516&lt;=40,W516&gt;=120),0.15,0)+IF(AND(V516&gt;40,V516&lt;75,W516&lt;25),0.35,0)+IF(AND(V516&gt;=40,V516&lt;75,W516&gt;=25,W516&lt;65),0.25,0)+IF(AND(V516&gt;=40,V516&lt;75,W516&gt;=65,W516&lt;100),0.17,0)+IF(AND(V516&gt;=40,V516&lt;75,W516&gt;=100),0.1,0)+IF(AND(V516&gt;=75,W516&lt;25),0.35,0)+IF(AND(V516&gt;=75,W516&gt;=25,W516&lt;60),0.25,0)+IF(AND(V516&gt;=75,W516&gt;=60,W516&lt;95),0.17,0)+IF(AND(V516&gt;=75,W516&gt;=95),0.1,0),
IF(AF516="DoEVba",IF(AND(V516&lt;20,W516&lt;105),0.2,0)+IF(AND(V516&lt;20,W516&gt;=105),0.15,0)+IF(AND(V516&gt;=20,V516&lt;40,W516&lt;95),0.2,0)+IF(AND(V516&gt;=20,V516&lt;40,W516&gt;=95,W516&lt;150),0.15,0)+IF(AND(V516&gt;=20,V516&lt;40,W516&gt;=150),0.12,0)+IF(AND(V516&gt;=40,V516&lt;75,W516&lt;75),0.2,0)+IF(AND(V516&gt;=40,V516&lt;75,W516&gt;=75,W516&lt;120),0.15,0)+IF(AND(V516&gt;=40,V516&lt;75,W516&gt;=120),0.12,0)+IF(AND(V516&gt;=75,V516&lt;175,W516&lt;65),0.2,0)+IF(AND(V516&gt;=75,V516&lt;175,W516&gt;=65,W516&lt;110),0.15,0)+IF(AND(V516&gt;=75,V516&lt;175,W516&gt;=110),0.12,0)+IF(AND(V516&gt;=175,W516&lt;55),0.2,0)+IF(AND(V516&gt;=175,W516&gt;=55,W516&lt;95),0.15,0)+IF(AND(V516&gt;=175,W516&gt;=95),0.12,0),
IF(AF516="DoEVku",IF(AND(V516&lt;20,W516&lt;55),0.23,0)+IF(AND(V516&lt;20,W516&gt;=55,W516&lt;105),0.2,0)+IF(AND(V516&lt;20,W516&gt;=105),0.17,0)+IF(AND(V516&gt;=20,V516&lt;40,W516&lt;45),0.23,0)+IF(AND(V516&gt;=20,V516&lt;40,W516&gt;=45,W516&lt;95),0.2,0)+IF(AND(V516&gt;=20,V516&lt;40,W516&gt;=95,W516&lt;=150),0.17,0)+IF(AND(V516&gt;=20,V516&lt;40,W516&gt;=150),0.12,0)+IF(AND(V516&gt;=40,V516&lt;75,W516&lt;35),0.23,0)+IF(AND(V516&gt;=40,V516&lt;75,W516&gt;=35,W516&lt;75),0.2,0)+IF(AND(V516&gt;=40,V516&lt;75,W516&gt;=75,W516&lt;120),0.17,0)+IF(AND(V516&gt;=40,V516&lt;75,W516&gt;=120),0.12,0)+IF(AND(V516&gt;=75,V516&lt;175,W516&lt;35),0.23,0)+IF(AND(V516&gt;=75,V516&lt;=175,W516&gt;=35,W516&lt;65),0.2,0)+IF(AND(V516&gt;=75,V516&lt;=175,W516&gt;=65,W516&lt;110),0.17,0)+IF(AND(V516&gt;=75,V516&lt;=175,W516&gt;=110),0.12,0)+IF(AND(V516&gt;175,W516&lt;25),0.23,0)+IF(AND(V516&gt;175,W516&gt;=25,W516&lt;55),0.2,0)+IF(AND(V516&gt;175,W516&gt;=55,W516&lt;95),0.17,0)+IF(AND(V516&gt;175,W516&gt;=95),0.12,0),
IF(AF516="DoEVs1",IF(AND(V516&lt;20,W516&lt;55),0.3,0)+IF(AND(V516&lt;20,W516&gt;=55,W516&lt;105),0.23,0)+IF(AND(V516&lt;20,W516&gt;=105),0.17,0)+IF(AND(V516&gt;=20,V516&lt;40,W516&lt;45),0.3,0)+IF(AND(V516&gt;=20,V516&lt;40,W516&gt;=45,W516&lt;95),0.23,0)+IF(AND(V516&gt;=20,V516&lt;40,W516&gt;=95,W516&lt;=150),0.17,0)+IF(AND(V516&gt;=20,V516&lt;40,W516&gt;=150),0.12,0)+IF(AND(V516&gt;=40,V516&lt;75,W516&lt;35),0.3,0)+IF(AND(V516&gt;=40,V516&lt;75,W516&gt;=35,W516&lt;75),0.23,0)+IF(AND(V516&gt;=40,V516&lt;75,W516&gt;=75,W516&lt;120),0.17,0)+IF(AND(V516&gt;=40,V516&lt;75,W516&gt;=120),0.12,0)+IF(AND(V516&gt;=75,V516&lt;175,W516&lt;35),0.3,0)+IF(AND(V516&gt;=75,V516&lt;=175,W516&gt;=35,W516&lt;65),0.23,0)+IF(AND(V516&gt;=75,V516&lt;=175,W516&gt;=65,W516&lt;110),0.17,0)+IF(AND(V516&gt;=75,V516&lt;=175,W516&gt;=110),0.12,0)+IF(AND(V516&gt;175,W516&lt;25),0.3,0)+IF(AND(V516&gt;175,W516&gt;=25,W516&lt;55),0.23,0)+IF(AND(V516&gt;175,W516&gt;=55,W516&lt;95),0.17,0)+IF(AND(V516&gt;175,W516&gt;=95),0.12,0),
IF(AF516="DoEVsu",IF(AND(V516&lt;20,W516&lt;55),0.3,0)+IF(AND(V516&lt;20,W516&gt;=55,W516&lt;105),0.23,0)+IF(AND(V516&lt;20,W516&gt;=105),0.17,0)+IF(AND(V516&gt;=20,V516&lt;40,W516&lt;45),0.3,0)+IF(AND(V516&gt;=20,V516&lt;40,W516&gt;=45,W516&lt;95),0.23,0)+IF(AND(V516&gt;=20,V516&lt;40,W516&gt;=95,W516&lt;=250),0.17,0)+IF(AND(V516&gt;=20,V516&lt;40,W516&gt;=250),0.12,0)+IF(AND(V516&gt;=40,V516&lt;75,W516&lt;35),0.3,0)+IF(AND(V516&gt;=40,V516&lt;75,W516&gt;=35,W516&lt;75),0.23,0)+IF(AND(V516&gt;=40,V516&lt;75,W516&gt;=75,W516&lt;120),0.17,0)+IF(AND(V516&gt;=40,V516&lt;75,W516&gt;=120),0.12,0)+IF(AND(V516&gt;=75,V516&lt;175,W516&lt;35),0.3,0)+IF(AND(V516&gt;=75,V516&lt;=175,W516&gt;=35,W516&lt;65),0.23,0)+IF(AND(V516&gt;=75,V516&lt;=175,W516&gt;=65,W516&lt;110),0.17,0)+IF(AND(V516&gt;=75,V516&lt;=175,W516&gt;=110),0.12,0)+IF(AND(V516&gt;175,W516&lt;25),0.3,0)+IF(AND(V516&gt;175,W516&gt;=25,W516&lt;55),0.23,0)+IF(AND(V516&gt;175,W516&gt;=55,W516&lt;95),0.17,0)+IF(AND(V516&gt;175,W516&gt;=95),0.12,0),
IF(AF516="DoEVni",IF(AND(V516&lt;20,W516&lt;55),0.3,0)+IF(AND(V516&lt;20,W516&gt;=55,W516&lt;105),0.23,0)+IF(AND(V516&lt;20,W516&gt;=105),0.17,0)+IF(AND(V516&gt;=20,V516&lt;40,W516&lt;45),0.3,0)+IF(AND(V516&gt;=20,V516&lt;40,W516&gt;=45,W516&lt;95),0.23,0)+IF(AND(V516&gt;=20,V516&lt;40,W516&gt;=95,W516&lt;=200),0.17,0)+IF(AND(V516&gt;=20,V516&lt;40,W516&gt;=200),0.12,0)+IF(AND(V516&gt;=40,V516&lt;75,W516&lt;35),0.3,0)+IF(AND(V516&gt;=40,V516&lt;75,W516&gt;=35,W516&lt;75),0.23,0)+IF(AND(V516&gt;=40,V516&lt;75,W516&gt;=75,W516&lt;120),0.17,0)+IF(AND(V516&gt;=40,V516&lt;75,W516&gt;=120),0.12,0)+IF(AND(V516&gt;=75,V516&lt;175,W516&lt;35),0.3,0)+IF(AND(V516&gt;=75,V516&lt;=175,W516&gt;=35,W516&lt;65),0.23,0)+IF(AND(V516&gt;=75,V516&lt;=175,W516&gt;=65,W516&lt;110),0.17,0)+IF(AND(V516&gt;=75,V516&lt;=175,W516&gt;=110),0.12,0)+IF(AND(V516&gt;175,W516&lt;25),0.3,0)+IF(AND(V516&gt;175,W516&gt;=25,W516&lt;55),0.23,0)+IF(AND(V516&gt;175,W516&gt;=55,W516&lt;95),0.17,0)+IF(AND(V516&gt;175,W516&gt;=95),0.12,0),
IF(AF516="DoEVLo",IF(AND(V516&lt;20,W516&lt;55),0.25,0)+IF(AND(V516&lt;20,W516&gt;=55,W516&lt;105),0.2,0)+IF(AND(V516&lt;20,W516&gt;=105),0.15,0)+IF(AND(V516&gt;=20,V516&lt;40,W516&lt;45),0.25,0)+IF(AND(V516&gt;=20,V516&lt;40,W516&gt;=45,W516&lt;95),0.2,0)+IF(AND(V516&gt;=20,V516&lt;40,W516&gt;=95),0.15,0)+IF(AND(V516&gt;=40,V516&lt;75,W516&lt;35),0.25,0)+IF(AND(V516&gt;=40,V516&lt;75,W516&gt;=35,W516&lt;75),0.2,0)+IF(AND(V516&gt;=40,V516&lt;75,W516&gt;=75,W516&lt;120),0.15,0)+IF(AND(V516&gt;=40,V516&lt;75,W516&gt;=120),0.1,0)+IF(AND(V516&gt;=75,V516&lt;175,W516&lt;35),0.25,0)+IF(AND(V516&gt;=75,V516&lt;=175,W516&gt;=35,W516&lt;65),0.2,0)+IF(AND(V516&gt;=75,V516&lt;=175,W516&gt;=65,W516&lt;110),0.15,0)+IF(AND(V516&gt;=75,V516&lt;=175,W516&gt;=110),0.1,0)+IF(AND(V516&gt;175,W516&lt;25),0.25,0)+IF(AND(V516&gt;175,W516&gt;=25,W516&lt;55),0.2,0)+IF(AND(V516&gt;175,W516&gt;=55,W516&lt;95),0.15,0)+IF(AND(V516&gt;175,W516&gt;=95),0.1,0)))))))))))))))))</f>
        <v>0.1875</v>
      </c>
      <c r="Y516" s="30">
        <f>IF(AG516="None",0,IF(AG516="Fix5",0.05, IF(AG516="Fix6.25",0.0625,IF(AG516="Fix3.75",0.0375,IF(AG516="Fix10",0.1,IF(AG516="Fix3",0.03,0))))))</f>
        <v>6.25E-2</v>
      </c>
      <c r="Z516" s="35">
        <f>T516-AA516-AB516</f>
        <v>226.5</v>
      </c>
      <c r="AA516" s="29">
        <f>IF(AD516="EUR",((T516-R516)*X516)*U516+(R516*X516),(T516*X516))</f>
        <v>56.625</v>
      </c>
      <c r="AB516" s="36">
        <f>IF(AD516="EUR",((T516-R516)*Y516)*U516+(R516*Y516),(T516*Y516))</f>
        <v>18.875</v>
      </c>
      <c r="AC516" s="37" t="b">
        <v>1</v>
      </c>
      <c r="AD516" s="37" t="s">
        <v>38</v>
      </c>
      <c r="AE516" s="37" t="s">
        <v>38</v>
      </c>
      <c r="AF516" s="37" t="s">
        <v>146</v>
      </c>
      <c r="AG516" s="38" t="s">
        <v>147</v>
      </c>
    </row>
    <row r="517" spans="1:33" ht="14.25" hidden="1" x14ac:dyDescent="0.2">
      <c r="A517" s="18" t="str">
        <f t="array" ref="A517">IF(G517='Room Info'!$B$1, INDEX('Room Info'!$A$2:$A2446, MATCH(B517,'Room Info'!$B$2:$B2446, 0)),IF(G517='Room Info'!$C$1, INDEX('Room Info'!$A$2:$A2446, MATCH(B517,'Room Info'!$C$2:$C2446, 0)),IF(G517='Room Info'!$D$1, INDEX('Room Info'!$A$2:$A2446, MATCH(B517,'Room Info'!$D$2:$D2446, 0)),IF(G517='Room Info'!$E$1, INDEX('Room Info'!$A$2:$A2446, MATCH(B517,'Room Info'!$E$2:$E2446, 0)),IF(G517='Room Info'!$F$1, INDEX('Room Info'!$A$2:$A2446, MATCH(B517,'Room Info'!$F$2:$F2446, 0)),IF(G517='Room Info'!$H$1, INDEX('Room Info'!$A$2:$A2446, MATCH(B517,'Room Info'!$H$2:$H2446, 0)),IF(G517='Room Info'!$G$1, INDEX('Room Info'!$A$2:$A2446, MATCH(B517,'Room Info'!$G$2:$G2446, 0)))))))))</f>
        <v>benyya</v>
      </c>
      <c r="B517" s="45" t="s">
        <v>145</v>
      </c>
      <c r="C517" s="46">
        <v>44805</v>
      </c>
      <c r="D517" s="46">
        <v>44834</v>
      </c>
      <c r="E517" s="47">
        <v>44805</v>
      </c>
      <c r="F517" s="48" t="s">
        <v>49</v>
      </c>
      <c r="G517" s="45" t="s">
        <v>35</v>
      </c>
      <c r="H517" s="49" t="s">
        <v>84</v>
      </c>
      <c r="I517" s="49" t="s">
        <v>44</v>
      </c>
      <c r="J517" s="50">
        <v>100</v>
      </c>
      <c r="K517" s="51">
        <v>4259</v>
      </c>
      <c r="L517" s="52">
        <v>18700</v>
      </c>
      <c r="M517" s="53">
        <v>14889</v>
      </c>
      <c r="N517" s="28">
        <f>K517*J517</f>
        <v>425900</v>
      </c>
      <c r="O517" s="54">
        <v>56823</v>
      </c>
      <c r="P517" s="29">
        <v>13.34186429</v>
      </c>
      <c r="Q517" s="55"/>
      <c r="R517" s="31">
        <f>M517+Q517</f>
        <v>14889</v>
      </c>
      <c r="S517" s="56">
        <v>-2898</v>
      </c>
      <c r="T517" s="32">
        <f>R517+S517+IF(F517="Without EV deal",L517,0)</f>
        <v>11991</v>
      </c>
      <c r="U517" s="57">
        <v>1</v>
      </c>
      <c r="V517" s="58"/>
      <c r="W517" s="58"/>
      <c r="X517" s="30">
        <f>IF(AF517="DoEV",IF(AND(V517&lt;20,W517&lt;55),0.3,0)+IF(AND(V517&lt;20,W517&gt;=55,W517&lt;105),0.23,0)+IF(AND(V517&lt;20,W517&gt;=105),0.17,0)+IF(AND(V517&gt;=20,V517&lt;40,W517&lt;45),0.3,0)+IF(AND(V517&gt;=20,V517&lt;40,W517&gt;=45,W517&lt;95),0.23,0)+IF(AND(V517&gt;=20,V517&lt;40,W517&gt;=95),0.17,0)+IF(AND(V517&gt;=40,V517&lt;75,W517&lt;35),0.3,0)+IF(AND(V517&gt;=40,V517&lt;75,W517&gt;=35,W517&lt;75),0.23,0)+IF(AND(V517&gt;=40,V517&lt;75,W517&gt;=75,W517&lt;120),0.17,0)+IF(AND(V517&gt;=40,V517&lt;75,W517&gt;=120),0.12,0)+IF(AND(V517&gt;=75,V517&lt;175,W517&lt;35),0.3,0)+IF(AND(V517&gt;=75,V517&lt;=175,W517&gt;=35,W517&lt;65),0.23,0)+IF(AND(V517&gt;=75,V517&lt;=175,W517&gt;=65,W517&lt;110),0.17,0)+IF(AND(V517&gt;=75,V517&lt;=175,W517&gt;=110),0.12,0)+IF(AND(V517&gt;175,W517&lt;25),0.3,0)+IF(AND(V517&gt;175,W517&gt;=25,W517&lt;55),0.23,0)+IF(AND(V517&gt;175,W517&gt;=55,W517&lt;95),0.17,0)+IF(AND(V517&gt;175,W517&gt;=95),0.12,0),
IF(AF517="Fix15",0.15,
IF(AF517="Fix18.75",0.1875,
IF(AF517="Fix11.25",0.1125,
IF(AF517="Fix10",0.1,
IF(AF517="Fix9",0.09,
IF(AF517="DoEV2017",IF(AND(W517&lt;74),0.2,0)+IF(AND(W517&gt;=74),0.17,0),
IF(AF517="SF",IF(AND(V517&lt;20,W517&lt;89),0.3,0)+IF(AND(V517&lt;20,W517&gt;=89),0.25,0)+IF(AND(V517&gt;=20,V517&lt;40,W517&lt;74),0.3,0)+IF(AND(V517&gt;=20,V517&lt;40,W517&gt;=75),0.22,0)+IF(AND(V517&gt;=40,V517&lt;75,W517&lt;75),0.26,0)+IF(AND(V517&gt;=40,V517&lt;75,W517&gt;=75),0.22,0)+IF(V517&gt;=75,0.22,0),
IF(AF517="DoEVold",IF(AND(V517&lt;40,W517&lt;35),0.35,0)+IF(AND(V517&lt;40,W517&gt;=35,W517&lt;75),0.25,0)+IF(AND(V517&lt;40,W517&gt;=75),0.17,0)+IF(AND(V517&gt;=40,V517&lt;75,W517&lt;25),0.35,0)+IF(AND(V517&gt;=40,V517&lt;75,W517&gt;=25,W517&lt;65),0.25,0)+IF(AND(V517&gt;=40,V517&lt;75,W517&gt;=65,W517&lt;100),0.17,0)+IF(AND(V517&gt;=40,V517&lt;75,W517&gt;=100),0.1,0)+IF(AND(V517&gt;=75,W517&lt;25),0.35,0)+IF(AND(V517&gt;=75,W517&gt;=25,W517&lt;60),0.25,0)+IF(AND(V517&gt;=75,W517&gt;=60,W517&lt;95),0.17,0)+IF(AND(V517&gt;=75,W517&gt;=95),0.1,0),
IF(AF517="DoEVold15",IF(AND(V517&lt;=40,W517&lt;35),0.35,0)+IF(AND(V517&lt;=40,W517&gt;=35,W517&lt;75),0.25,0)+IF(AND(V517&lt;=40,W517&gt;=75,W517&lt;120),0.17,0)+IF(AND(V517&lt;=40,W517&gt;=120),0.15,0)+IF(AND(V517&gt;40,V517&lt;75,W517&lt;25),0.35,0)+IF(AND(V517&gt;=40,V517&lt;75,W517&gt;=25,W517&lt;65),0.25,0)+IF(AND(V517&gt;=40,V517&lt;75,W517&gt;=65,W517&lt;100),0.17,0)+IF(AND(V517&gt;=40,V517&lt;75,W517&gt;=100),0.1,0)+IF(AND(V517&gt;=75,W517&lt;25),0.35,0)+IF(AND(V517&gt;=75,W517&gt;=25,W517&lt;60),0.25,0)+IF(AND(V517&gt;=75,W517&gt;=60,W517&lt;95),0.17,0)+IF(AND(V517&gt;=75,W517&gt;=95),0.1,0),
IF(AF517="DoEVba",IF(AND(V517&lt;20,W517&lt;105),0.2,0)+IF(AND(V517&lt;20,W517&gt;=105),0.15,0)+IF(AND(V517&gt;=20,V517&lt;40,W517&lt;95),0.2,0)+IF(AND(V517&gt;=20,V517&lt;40,W517&gt;=95,W517&lt;150),0.15,0)+IF(AND(V517&gt;=20,V517&lt;40,W517&gt;=150),0.12,0)+IF(AND(V517&gt;=40,V517&lt;75,W517&lt;75),0.2,0)+IF(AND(V517&gt;=40,V517&lt;75,W517&gt;=75,W517&lt;120),0.15,0)+IF(AND(V517&gt;=40,V517&lt;75,W517&gt;=120),0.12,0)+IF(AND(V517&gt;=75,V517&lt;175,W517&lt;65),0.2,0)+IF(AND(V517&gt;=75,V517&lt;175,W517&gt;=65,W517&lt;110),0.15,0)+IF(AND(V517&gt;=75,V517&lt;175,W517&gt;=110),0.12,0)+IF(AND(V517&gt;=175,W517&lt;55),0.2,0)+IF(AND(V517&gt;=175,W517&gt;=55,W517&lt;95),0.15,0)+IF(AND(V517&gt;=175,W517&gt;=95),0.12,0),
IF(AF517="DoEVku",IF(AND(V517&lt;20,W517&lt;55),0.23,0)+IF(AND(V517&lt;20,W517&gt;=55,W517&lt;105),0.2,0)+IF(AND(V517&lt;20,W517&gt;=105),0.17,0)+IF(AND(V517&gt;=20,V517&lt;40,W517&lt;45),0.23,0)+IF(AND(V517&gt;=20,V517&lt;40,W517&gt;=45,W517&lt;95),0.2,0)+IF(AND(V517&gt;=20,V517&lt;40,W517&gt;=95,W517&lt;=150),0.17,0)+IF(AND(V517&gt;=20,V517&lt;40,W517&gt;=150),0.12,0)+IF(AND(V517&gt;=40,V517&lt;75,W517&lt;35),0.23,0)+IF(AND(V517&gt;=40,V517&lt;75,W517&gt;=35,W517&lt;75),0.2,0)+IF(AND(V517&gt;=40,V517&lt;75,W517&gt;=75,W517&lt;120),0.17,0)+IF(AND(V517&gt;=40,V517&lt;75,W517&gt;=120),0.12,0)+IF(AND(V517&gt;=75,V517&lt;175,W517&lt;35),0.23,0)+IF(AND(V517&gt;=75,V517&lt;=175,W517&gt;=35,W517&lt;65),0.2,0)+IF(AND(V517&gt;=75,V517&lt;=175,W517&gt;=65,W517&lt;110),0.17,0)+IF(AND(V517&gt;=75,V517&lt;=175,W517&gt;=110),0.12,0)+IF(AND(V517&gt;175,W517&lt;25),0.23,0)+IF(AND(V517&gt;175,W517&gt;=25,W517&lt;55),0.2,0)+IF(AND(V517&gt;175,W517&gt;=55,W517&lt;95),0.17,0)+IF(AND(V517&gt;175,W517&gt;=95),0.12,0),
IF(AF517="DoEVs1",IF(AND(V517&lt;20,W517&lt;55),0.3,0)+IF(AND(V517&lt;20,W517&gt;=55,W517&lt;105),0.23,0)+IF(AND(V517&lt;20,W517&gt;=105),0.17,0)+IF(AND(V517&gt;=20,V517&lt;40,W517&lt;45),0.3,0)+IF(AND(V517&gt;=20,V517&lt;40,W517&gt;=45,W517&lt;95),0.23,0)+IF(AND(V517&gt;=20,V517&lt;40,W517&gt;=95,W517&lt;=150),0.17,0)+IF(AND(V517&gt;=20,V517&lt;40,W517&gt;=150),0.12,0)+IF(AND(V517&gt;=40,V517&lt;75,W517&lt;35),0.3,0)+IF(AND(V517&gt;=40,V517&lt;75,W517&gt;=35,W517&lt;75),0.23,0)+IF(AND(V517&gt;=40,V517&lt;75,W517&gt;=75,W517&lt;120),0.17,0)+IF(AND(V517&gt;=40,V517&lt;75,W517&gt;=120),0.12,0)+IF(AND(V517&gt;=75,V517&lt;175,W517&lt;35),0.3,0)+IF(AND(V517&gt;=75,V517&lt;=175,W517&gt;=35,W517&lt;65),0.23,0)+IF(AND(V517&gt;=75,V517&lt;=175,W517&gt;=65,W517&lt;110),0.17,0)+IF(AND(V517&gt;=75,V517&lt;=175,W517&gt;=110),0.12,0)+IF(AND(V517&gt;175,W517&lt;25),0.3,0)+IF(AND(V517&gt;175,W517&gt;=25,W517&lt;55),0.23,0)+IF(AND(V517&gt;175,W517&gt;=55,W517&lt;95),0.17,0)+IF(AND(V517&gt;175,W517&gt;=95),0.12,0),
IF(AF517="DoEVsu",IF(AND(V517&lt;20,W517&lt;55),0.3,0)+IF(AND(V517&lt;20,W517&gt;=55,W517&lt;105),0.23,0)+IF(AND(V517&lt;20,W517&gt;=105),0.17,0)+IF(AND(V517&gt;=20,V517&lt;40,W517&lt;45),0.3,0)+IF(AND(V517&gt;=20,V517&lt;40,W517&gt;=45,W517&lt;95),0.23,0)+IF(AND(V517&gt;=20,V517&lt;40,W517&gt;=95,W517&lt;=250),0.17,0)+IF(AND(V517&gt;=20,V517&lt;40,W517&gt;=250),0.12,0)+IF(AND(V517&gt;=40,V517&lt;75,W517&lt;35),0.3,0)+IF(AND(V517&gt;=40,V517&lt;75,W517&gt;=35,W517&lt;75),0.23,0)+IF(AND(V517&gt;=40,V517&lt;75,W517&gt;=75,W517&lt;120),0.17,0)+IF(AND(V517&gt;=40,V517&lt;75,W517&gt;=120),0.12,0)+IF(AND(V517&gt;=75,V517&lt;175,W517&lt;35),0.3,0)+IF(AND(V517&gt;=75,V517&lt;=175,W517&gt;=35,W517&lt;65),0.23,0)+IF(AND(V517&gt;=75,V517&lt;=175,W517&gt;=65,W517&lt;110),0.17,0)+IF(AND(V517&gt;=75,V517&lt;=175,W517&gt;=110),0.12,0)+IF(AND(V517&gt;175,W517&lt;25),0.3,0)+IF(AND(V517&gt;175,W517&gt;=25,W517&lt;55),0.23,0)+IF(AND(V517&gt;175,W517&gt;=55,W517&lt;95),0.17,0)+IF(AND(V517&gt;175,W517&gt;=95),0.12,0),
IF(AF517="DoEVni",IF(AND(V517&lt;20,W517&lt;55),0.3,0)+IF(AND(V517&lt;20,W517&gt;=55,W517&lt;105),0.23,0)+IF(AND(V517&lt;20,W517&gt;=105),0.17,0)+IF(AND(V517&gt;=20,V517&lt;40,W517&lt;45),0.3,0)+IF(AND(V517&gt;=20,V517&lt;40,W517&gt;=45,W517&lt;95),0.23,0)+IF(AND(V517&gt;=20,V517&lt;40,W517&gt;=95,W517&lt;=200),0.17,0)+IF(AND(V517&gt;=20,V517&lt;40,W517&gt;=200),0.12,0)+IF(AND(V517&gt;=40,V517&lt;75,W517&lt;35),0.3,0)+IF(AND(V517&gt;=40,V517&lt;75,W517&gt;=35,W517&lt;75),0.23,0)+IF(AND(V517&gt;=40,V517&lt;75,W517&gt;=75,W517&lt;120),0.17,0)+IF(AND(V517&gt;=40,V517&lt;75,W517&gt;=120),0.12,0)+IF(AND(V517&gt;=75,V517&lt;175,W517&lt;35),0.3,0)+IF(AND(V517&gt;=75,V517&lt;=175,W517&gt;=35,W517&lt;65),0.23,0)+IF(AND(V517&gt;=75,V517&lt;=175,W517&gt;=65,W517&lt;110),0.17,0)+IF(AND(V517&gt;=75,V517&lt;=175,W517&gt;=110),0.12,0)+IF(AND(V517&gt;175,W517&lt;25),0.3,0)+IF(AND(V517&gt;175,W517&gt;=25,W517&lt;55),0.23,0)+IF(AND(V517&gt;175,W517&gt;=55,W517&lt;95),0.17,0)+IF(AND(V517&gt;175,W517&gt;=95),0.12,0),
IF(AF517="DoEVLo",IF(AND(V517&lt;20,W517&lt;55),0.25,0)+IF(AND(V517&lt;20,W517&gt;=55,W517&lt;105),0.2,0)+IF(AND(V517&lt;20,W517&gt;=105),0.15,0)+IF(AND(V517&gt;=20,V517&lt;40,W517&lt;45),0.25,0)+IF(AND(V517&gt;=20,V517&lt;40,W517&gt;=45,W517&lt;95),0.2,0)+IF(AND(V517&gt;=20,V517&lt;40,W517&gt;=95),0.15,0)+IF(AND(V517&gt;=40,V517&lt;75,W517&lt;35),0.25,0)+IF(AND(V517&gt;=40,V517&lt;75,W517&gt;=35,W517&lt;75),0.2,0)+IF(AND(V517&gt;=40,V517&lt;75,W517&gt;=75,W517&lt;120),0.15,0)+IF(AND(V517&gt;=40,V517&lt;75,W517&gt;=120),0.1,0)+IF(AND(V517&gt;=75,V517&lt;175,W517&lt;35),0.25,0)+IF(AND(V517&gt;=75,V517&lt;=175,W517&gt;=35,W517&lt;65),0.2,0)+IF(AND(V517&gt;=75,V517&lt;=175,W517&gt;=65,W517&lt;110),0.15,0)+IF(AND(V517&gt;=75,V517&lt;=175,W517&gt;=110),0.1,0)+IF(AND(V517&gt;175,W517&lt;25),0.25,0)+IF(AND(V517&gt;175,W517&gt;=25,W517&lt;55),0.2,0)+IF(AND(V517&gt;175,W517&gt;=55,W517&lt;95),0.15,0)+IF(AND(V517&gt;175,W517&gt;=95),0.1,0)))))))))))))))))</f>
        <v>0.1875</v>
      </c>
      <c r="Y517" s="30">
        <f>IF(AG517="None",0,IF(AG517="Fix5",0.05, IF(AG517="Fix6.25",0.0625,IF(AG517="Fix3.75",0.0375,IF(AG517="Fix10",0.1,IF(AG517="Fix3",0.03,0))))))</f>
        <v>6.25E-2</v>
      </c>
      <c r="Z517" s="35">
        <f>T517-AA517-AB517</f>
        <v>8993.25</v>
      </c>
      <c r="AA517" s="29">
        <f>IF(AD517="EUR",((T517-R517)*X517)*U517+(R517*X517),(T517*X517))</f>
        <v>2248.3125</v>
      </c>
      <c r="AB517" s="36">
        <f>IF(AD517="EUR",((T517-R517)*Y517)*U517+(R517*Y517),(T517*Y517))</f>
        <v>749.4375</v>
      </c>
      <c r="AC517" s="37" t="b">
        <v>1</v>
      </c>
      <c r="AD517" s="37" t="s">
        <v>38</v>
      </c>
      <c r="AE517" s="37" t="s">
        <v>38</v>
      </c>
      <c r="AF517" s="37" t="s">
        <v>146</v>
      </c>
      <c r="AG517" s="38" t="s">
        <v>147</v>
      </c>
    </row>
    <row r="518" spans="1:33" ht="14.25" hidden="1" x14ac:dyDescent="0.2">
      <c r="A518" s="18" t="str">
        <f t="array" ref="A518">IF(G518='Room Info'!$B$1, INDEX('Room Info'!$A$2:$A2446, MATCH(B518,'Room Info'!$B$2:$B2446, 0)),IF(G518='Room Info'!$C$1, INDEX('Room Info'!$A$2:$A2446, MATCH(B518,'Room Info'!$C$2:$C2446, 0)),IF(G518='Room Info'!$D$1, INDEX('Room Info'!$A$2:$A2446, MATCH(B518,'Room Info'!$D$2:$D2446, 0)),IF(G518='Room Info'!$E$1, INDEX('Room Info'!$A$2:$A2446, MATCH(B518,'Room Info'!$E$2:$E2446, 0)),IF(G518='Room Info'!$F$1, INDEX('Room Info'!$A$2:$A2446, MATCH(B518,'Room Info'!$F$2:$F2446, 0)),IF(G518='Room Info'!$H$1, INDEX('Room Info'!$A$2:$A2446, MATCH(B518,'Room Info'!$H$2:$H2446, 0)),IF(G518='Room Info'!$G$1, INDEX('Room Info'!$A$2:$A2446, MATCH(B518,'Room Info'!$G$2:$G2446, 0)))))))))</f>
        <v>benyya</v>
      </c>
      <c r="B518" s="45" t="s">
        <v>145</v>
      </c>
      <c r="C518" s="46">
        <v>44805</v>
      </c>
      <c r="D518" s="46">
        <v>44834</v>
      </c>
      <c r="E518" s="47">
        <v>44805</v>
      </c>
      <c r="F518" s="48" t="s">
        <v>49</v>
      </c>
      <c r="G518" s="54" t="s">
        <v>35</v>
      </c>
      <c r="H518" s="49" t="s">
        <v>148</v>
      </c>
      <c r="I518" s="49" t="s">
        <v>44</v>
      </c>
      <c r="J518" s="50">
        <v>250</v>
      </c>
      <c r="K518" s="51">
        <v>751</v>
      </c>
      <c r="L518" s="52">
        <v>-5000</v>
      </c>
      <c r="M518" s="53">
        <v>6558</v>
      </c>
      <c r="N518" s="28">
        <f>K518*J518</f>
        <v>187750</v>
      </c>
      <c r="O518" s="54">
        <v>10192</v>
      </c>
      <c r="P518" s="29">
        <v>13.57123835</v>
      </c>
      <c r="Q518" s="55"/>
      <c r="R518" s="31">
        <f>M518+Q518</f>
        <v>6558</v>
      </c>
      <c r="S518" s="56">
        <v>-669</v>
      </c>
      <c r="T518" s="32">
        <f>R518+S518+IF(F518="Without EV deal",L518,0)</f>
        <v>5889</v>
      </c>
      <c r="U518" s="57">
        <v>1</v>
      </c>
      <c r="V518" s="58"/>
      <c r="W518" s="58"/>
      <c r="X518" s="30">
        <f>IF(AF518="DoEV",IF(AND(V518&lt;20,W518&lt;55),0.3,0)+IF(AND(V518&lt;20,W518&gt;=55,W518&lt;105),0.23,0)+IF(AND(V518&lt;20,W518&gt;=105),0.17,0)+IF(AND(V518&gt;=20,V518&lt;40,W518&lt;45),0.3,0)+IF(AND(V518&gt;=20,V518&lt;40,W518&gt;=45,W518&lt;95),0.23,0)+IF(AND(V518&gt;=20,V518&lt;40,W518&gt;=95),0.17,0)+IF(AND(V518&gt;=40,V518&lt;75,W518&lt;35),0.3,0)+IF(AND(V518&gt;=40,V518&lt;75,W518&gt;=35,W518&lt;75),0.23,0)+IF(AND(V518&gt;=40,V518&lt;75,W518&gt;=75,W518&lt;120),0.17,0)+IF(AND(V518&gt;=40,V518&lt;75,W518&gt;=120),0.12,0)+IF(AND(V518&gt;=75,V518&lt;175,W518&lt;35),0.3,0)+IF(AND(V518&gt;=75,V518&lt;=175,W518&gt;=35,W518&lt;65),0.23,0)+IF(AND(V518&gt;=75,V518&lt;=175,W518&gt;=65,W518&lt;110),0.17,0)+IF(AND(V518&gt;=75,V518&lt;=175,W518&gt;=110),0.12,0)+IF(AND(V518&gt;175,W518&lt;25),0.3,0)+IF(AND(V518&gt;175,W518&gt;=25,W518&lt;55),0.23,0)+IF(AND(V518&gt;175,W518&gt;=55,W518&lt;95),0.17,0)+IF(AND(V518&gt;175,W518&gt;=95),0.12,0),
IF(AF518="Fix15",0.15,
IF(AF518="Fix18.75",0.1875,
IF(AF518="Fix11.25",0.1125,
IF(AF518="Fix10",0.1,
IF(AF518="Fix9",0.09,
IF(AF518="DoEV2017",IF(AND(W518&lt;74),0.2,0)+IF(AND(W518&gt;=74),0.17,0),
IF(AF518="SF",IF(AND(V518&lt;20,W518&lt;89),0.3,0)+IF(AND(V518&lt;20,W518&gt;=89),0.25,0)+IF(AND(V518&gt;=20,V518&lt;40,W518&lt;74),0.3,0)+IF(AND(V518&gt;=20,V518&lt;40,W518&gt;=75),0.22,0)+IF(AND(V518&gt;=40,V518&lt;75,W518&lt;75),0.26,0)+IF(AND(V518&gt;=40,V518&lt;75,W518&gt;=75),0.22,0)+IF(V518&gt;=75,0.22,0),
IF(AF518="DoEVold",IF(AND(V518&lt;40,W518&lt;35),0.35,0)+IF(AND(V518&lt;40,W518&gt;=35,W518&lt;75),0.25,0)+IF(AND(V518&lt;40,W518&gt;=75),0.17,0)+IF(AND(V518&gt;=40,V518&lt;75,W518&lt;25),0.35,0)+IF(AND(V518&gt;=40,V518&lt;75,W518&gt;=25,W518&lt;65),0.25,0)+IF(AND(V518&gt;=40,V518&lt;75,W518&gt;=65,W518&lt;100),0.17,0)+IF(AND(V518&gt;=40,V518&lt;75,W518&gt;=100),0.1,0)+IF(AND(V518&gt;=75,W518&lt;25),0.35,0)+IF(AND(V518&gt;=75,W518&gt;=25,W518&lt;60),0.25,0)+IF(AND(V518&gt;=75,W518&gt;=60,W518&lt;95),0.17,0)+IF(AND(V518&gt;=75,W518&gt;=95),0.1,0),
IF(AF518="DoEVold15",IF(AND(V518&lt;=40,W518&lt;35),0.35,0)+IF(AND(V518&lt;=40,W518&gt;=35,W518&lt;75),0.25,0)+IF(AND(V518&lt;=40,W518&gt;=75,W518&lt;120),0.17,0)+IF(AND(V518&lt;=40,W518&gt;=120),0.15,0)+IF(AND(V518&gt;40,V518&lt;75,W518&lt;25),0.35,0)+IF(AND(V518&gt;=40,V518&lt;75,W518&gt;=25,W518&lt;65),0.25,0)+IF(AND(V518&gt;=40,V518&lt;75,W518&gt;=65,W518&lt;100),0.17,0)+IF(AND(V518&gt;=40,V518&lt;75,W518&gt;=100),0.1,0)+IF(AND(V518&gt;=75,W518&lt;25),0.35,0)+IF(AND(V518&gt;=75,W518&gt;=25,W518&lt;60),0.25,0)+IF(AND(V518&gt;=75,W518&gt;=60,W518&lt;95),0.17,0)+IF(AND(V518&gt;=75,W518&gt;=95),0.1,0),
IF(AF518="DoEVba",IF(AND(V518&lt;20,W518&lt;105),0.2,0)+IF(AND(V518&lt;20,W518&gt;=105),0.15,0)+IF(AND(V518&gt;=20,V518&lt;40,W518&lt;95),0.2,0)+IF(AND(V518&gt;=20,V518&lt;40,W518&gt;=95,W518&lt;150),0.15,0)+IF(AND(V518&gt;=20,V518&lt;40,W518&gt;=150),0.12,0)+IF(AND(V518&gt;=40,V518&lt;75,W518&lt;75),0.2,0)+IF(AND(V518&gt;=40,V518&lt;75,W518&gt;=75,W518&lt;120),0.15,0)+IF(AND(V518&gt;=40,V518&lt;75,W518&gt;=120),0.12,0)+IF(AND(V518&gt;=75,V518&lt;175,W518&lt;65),0.2,0)+IF(AND(V518&gt;=75,V518&lt;175,W518&gt;=65,W518&lt;110),0.15,0)+IF(AND(V518&gt;=75,V518&lt;175,W518&gt;=110),0.12,0)+IF(AND(V518&gt;=175,W518&lt;55),0.2,0)+IF(AND(V518&gt;=175,W518&gt;=55,W518&lt;95),0.15,0)+IF(AND(V518&gt;=175,W518&gt;=95),0.12,0),
IF(AF518="DoEVku",IF(AND(V518&lt;20,W518&lt;55),0.23,0)+IF(AND(V518&lt;20,W518&gt;=55,W518&lt;105),0.2,0)+IF(AND(V518&lt;20,W518&gt;=105),0.17,0)+IF(AND(V518&gt;=20,V518&lt;40,W518&lt;45),0.23,0)+IF(AND(V518&gt;=20,V518&lt;40,W518&gt;=45,W518&lt;95),0.2,0)+IF(AND(V518&gt;=20,V518&lt;40,W518&gt;=95,W518&lt;=150),0.17,0)+IF(AND(V518&gt;=20,V518&lt;40,W518&gt;=150),0.12,0)+IF(AND(V518&gt;=40,V518&lt;75,W518&lt;35),0.23,0)+IF(AND(V518&gt;=40,V518&lt;75,W518&gt;=35,W518&lt;75),0.2,0)+IF(AND(V518&gt;=40,V518&lt;75,W518&gt;=75,W518&lt;120),0.17,0)+IF(AND(V518&gt;=40,V518&lt;75,W518&gt;=120),0.12,0)+IF(AND(V518&gt;=75,V518&lt;175,W518&lt;35),0.23,0)+IF(AND(V518&gt;=75,V518&lt;=175,W518&gt;=35,W518&lt;65),0.2,0)+IF(AND(V518&gt;=75,V518&lt;=175,W518&gt;=65,W518&lt;110),0.17,0)+IF(AND(V518&gt;=75,V518&lt;=175,W518&gt;=110),0.12,0)+IF(AND(V518&gt;175,W518&lt;25),0.23,0)+IF(AND(V518&gt;175,W518&gt;=25,W518&lt;55),0.2,0)+IF(AND(V518&gt;175,W518&gt;=55,W518&lt;95),0.17,0)+IF(AND(V518&gt;175,W518&gt;=95),0.12,0),
IF(AF518="DoEVs1",IF(AND(V518&lt;20,W518&lt;55),0.3,0)+IF(AND(V518&lt;20,W518&gt;=55,W518&lt;105),0.23,0)+IF(AND(V518&lt;20,W518&gt;=105),0.17,0)+IF(AND(V518&gt;=20,V518&lt;40,W518&lt;45),0.3,0)+IF(AND(V518&gt;=20,V518&lt;40,W518&gt;=45,W518&lt;95),0.23,0)+IF(AND(V518&gt;=20,V518&lt;40,W518&gt;=95,W518&lt;=150),0.17,0)+IF(AND(V518&gt;=20,V518&lt;40,W518&gt;=150),0.12,0)+IF(AND(V518&gt;=40,V518&lt;75,W518&lt;35),0.3,0)+IF(AND(V518&gt;=40,V518&lt;75,W518&gt;=35,W518&lt;75),0.23,0)+IF(AND(V518&gt;=40,V518&lt;75,W518&gt;=75,W518&lt;120),0.17,0)+IF(AND(V518&gt;=40,V518&lt;75,W518&gt;=120),0.12,0)+IF(AND(V518&gt;=75,V518&lt;175,W518&lt;35),0.3,0)+IF(AND(V518&gt;=75,V518&lt;=175,W518&gt;=35,W518&lt;65),0.23,0)+IF(AND(V518&gt;=75,V518&lt;=175,W518&gt;=65,W518&lt;110),0.17,0)+IF(AND(V518&gt;=75,V518&lt;=175,W518&gt;=110),0.12,0)+IF(AND(V518&gt;175,W518&lt;25),0.3,0)+IF(AND(V518&gt;175,W518&gt;=25,W518&lt;55),0.23,0)+IF(AND(V518&gt;175,W518&gt;=55,W518&lt;95),0.17,0)+IF(AND(V518&gt;175,W518&gt;=95),0.12,0),
IF(AF518="DoEVsu",IF(AND(V518&lt;20,W518&lt;55),0.3,0)+IF(AND(V518&lt;20,W518&gt;=55,W518&lt;105),0.23,0)+IF(AND(V518&lt;20,W518&gt;=105),0.17,0)+IF(AND(V518&gt;=20,V518&lt;40,W518&lt;45),0.3,0)+IF(AND(V518&gt;=20,V518&lt;40,W518&gt;=45,W518&lt;95),0.23,0)+IF(AND(V518&gt;=20,V518&lt;40,W518&gt;=95,W518&lt;=250),0.17,0)+IF(AND(V518&gt;=20,V518&lt;40,W518&gt;=250),0.12,0)+IF(AND(V518&gt;=40,V518&lt;75,W518&lt;35),0.3,0)+IF(AND(V518&gt;=40,V518&lt;75,W518&gt;=35,W518&lt;75),0.23,0)+IF(AND(V518&gt;=40,V518&lt;75,W518&gt;=75,W518&lt;120),0.17,0)+IF(AND(V518&gt;=40,V518&lt;75,W518&gt;=120),0.12,0)+IF(AND(V518&gt;=75,V518&lt;175,W518&lt;35),0.3,0)+IF(AND(V518&gt;=75,V518&lt;=175,W518&gt;=35,W518&lt;65),0.23,0)+IF(AND(V518&gt;=75,V518&lt;=175,W518&gt;=65,W518&lt;110),0.17,0)+IF(AND(V518&gt;=75,V518&lt;=175,W518&gt;=110),0.12,0)+IF(AND(V518&gt;175,W518&lt;25),0.3,0)+IF(AND(V518&gt;175,W518&gt;=25,W518&lt;55),0.23,0)+IF(AND(V518&gt;175,W518&gt;=55,W518&lt;95),0.17,0)+IF(AND(V518&gt;175,W518&gt;=95),0.12,0),
IF(AF518="DoEVni",IF(AND(V518&lt;20,W518&lt;55),0.3,0)+IF(AND(V518&lt;20,W518&gt;=55,W518&lt;105),0.23,0)+IF(AND(V518&lt;20,W518&gt;=105),0.17,0)+IF(AND(V518&gt;=20,V518&lt;40,W518&lt;45),0.3,0)+IF(AND(V518&gt;=20,V518&lt;40,W518&gt;=45,W518&lt;95),0.23,0)+IF(AND(V518&gt;=20,V518&lt;40,W518&gt;=95,W518&lt;=200),0.17,0)+IF(AND(V518&gt;=20,V518&lt;40,W518&gt;=200),0.12,0)+IF(AND(V518&gt;=40,V518&lt;75,W518&lt;35),0.3,0)+IF(AND(V518&gt;=40,V518&lt;75,W518&gt;=35,W518&lt;75),0.23,0)+IF(AND(V518&gt;=40,V518&lt;75,W518&gt;=75,W518&lt;120),0.17,0)+IF(AND(V518&gt;=40,V518&lt;75,W518&gt;=120),0.12,0)+IF(AND(V518&gt;=75,V518&lt;175,W518&lt;35),0.3,0)+IF(AND(V518&gt;=75,V518&lt;=175,W518&gt;=35,W518&lt;65),0.23,0)+IF(AND(V518&gt;=75,V518&lt;=175,W518&gt;=65,W518&lt;110),0.17,0)+IF(AND(V518&gt;=75,V518&lt;=175,W518&gt;=110),0.12,0)+IF(AND(V518&gt;175,W518&lt;25),0.3,0)+IF(AND(V518&gt;175,W518&gt;=25,W518&lt;55),0.23,0)+IF(AND(V518&gt;175,W518&gt;=55,W518&lt;95),0.17,0)+IF(AND(V518&gt;175,W518&gt;=95),0.12,0),
IF(AF518="DoEVLo",IF(AND(V518&lt;20,W518&lt;55),0.25,0)+IF(AND(V518&lt;20,W518&gt;=55,W518&lt;105),0.2,0)+IF(AND(V518&lt;20,W518&gt;=105),0.15,0)+IF(AND(V518&gt;=20,V518&lt;40,W518&lt;45),0.25,0)+IF(AND(V518&gt;=20,V518&lt;40,W518&gt;=45,W518&lt;95),0.2,0)+IF(AND(V518&gt;=20,V518&lt;40,W518&gt;=95),0.15,0)+IF(AND(V518&gt;=40,V518&lt;75,W518&lt;35),0.25,0)+IF(AND(V518&gt;=40,V518&lt;75,W518&gt;=35,W518&lt;75),0.2,0)+IF(AND(V518&gt;=40,V518&lt;75,W518&gt;=75,W518&lt;120),0.15,0)+IF(AND(V518&gt;=40,V518&lt;75,W518&gt;=120),0.1,0)+IF(AND(V518&gt;=75,V518&lt;175,W518&lt;35),0.25,0)+IF(AND(V518&gt;=75,V518&lt;=175,W518&gt;=35,W518&lt;65),0.2,0)+IF(AND(V518&gt;=75,V518&lt;=175,W518&gt;=65,W518&lt;110),0.15,0)+IF(AND(V518&gt;=75,V518&lt;=175,W518&gt;=110),0.1,0)+IF(AND(V518&gt;175,W518&lt;25),0.25,0)+IF(AND(V518&gt;175,W518&gt;=25,W518&lt;55),0.2,0)+IF(AND(V518&gt;175,W518&gt;=55,W518&lt;95),0.15,0)+IF(AND(V518&gt;175,W518&gt;=95),0.1,0)))))))))))))))))</f>
        <v>0.1875</v>
      </c>
      <c r="Y518" s="30">
        <f>IF(AG518="None",0,IF(AG518="Fix5",0.05, IF(AG518="Fix6.25",0.0625,IF(AG518="Fix3.75",0.0375,IF(AG518="Fix10",0.1,IF(AG518="Fix3",0.03,0))))))</f>
        <v>6.25E-2</v>
      </c>
      <c r="Z518" s="35">
        <f>T518-AA518-AB518</f>
        <v>4416.75</v>
      </c>
      <c r="AA518" s="29">
        <f>IF(AD518="EUR",((T518-R518)*X518)*U518+(R518*X518),(T518*X518))</f>
        <v>1104.1875</v>
      </c>
      <c r="AB518" s="36">
        <f>IF(AD518="EUR",((T518-R518)*Y518)*U518+(R518*Y518),(T518*Y518))</f>
        <v>368.0625</v>
      </c>
      <c r="AC518" s="37" t="b">
        <v>1</v>
      </c>
      <c r="AD518" s="37" t="s">
        <v>38</v>
      </c>
      <c r="AE518" s="37" t="s">
        <v>38</v>
      </c>
      <c r="AF518" s="37" t="s">
        <v>146</v>
      </c>
      <c r="AG518" s="38" t="s">
        <v>147</v>
      </c>
    </row>
    <row r="519" spans="1:33" ht="14.25" hidden="1" x14ac:dyDescent="0.2">
      <c r="A519" s="18" t="str">
        <f t="array" ref="A519">IF(G519='Room Info'!$B$1, INDEX('Room Info'!$A$2:$A2446, MATCH(B519,'Room Info'!$B$2:$B2446, 0)),IF(G519='Room Info'!$C$1, INDEX('Room Info'!$A$2:$A2446, MATCH(B519,'Room Info'!$C$2:$C2446, 0)),IF(G519='Room Info'!$D$1, INDEX('Room Info'!$A$2:$A2446, MATCH(B519,'Room Info'!$D$2:$D2446, 0)),IF(G519='Room Info'!$E$1, INDEX('Room Info'!$A$2:$A2446, MATCH(B519,'Room Info'!$E$2:$E2446, 0)),IF(G519='Room Info'!$F$1, INDEX('Room Info'!$A$2:$A2446, MATCH(B519,'Room Info'!$F$2:$F2446, 0)),IF(G519='Room Info'!$H$1, INDEX('Room Info'!$A$2:$A2446, MATCH(B519,'Room Info'!$H$2:$H2446, 0)),IF(G519='Room Info'!$G$1, INDEX('Room Info'!$A$2:$A2446, MATCH(B519,'Room Info'!$G$2:$G2446, 0)))))))))</f>
        <v>benyya</v>
      </c>
      <c r="B519" s="45" t="s">
        <v>145</v>
      </c>
      <c r="C519" s="46">
        <v>44805</v>
      </c>
      <c r="D519" s="46">
        <v>44834</v>
      </c>
      <c r="E519" s="47">
        <v>44805</v>
      </c>
      <c r="F519" s="48" t="s">
        <v>49</v>
      </c>
      <c r="G519" s="54" t="s">
        <v>35</v>
      </c>
      <c r="H519" s="49" t="s">
        <v>88</v>
      </c>
      <c r="I519" s="49" t="s">
        <v>37</v>
      </c>
      <c r="J519" s="50">
        <v>250</v>
      </c>
      <c r="K519" s="51">
        <v>938</v>
      </c>
      <c r="L519" s="52">
        <v>-7250</v>
      </c>
      <c r="M519" s="53">
        <v>8199</v>
      </c>
      <c r="N519" s="28">
        <f>K519*J519</f>
        <v>234500</v>
      </c>
      <c r="O519" s="54">
        <v>14111</v>
      </c>
      <c r="P519" s="29">
        <v>15.043710020000001</v>
      </c>
      <c r="Q519" s="55"/>
      <c r="R519" s="31">
        <f>M519+Q519</f>
        <v>8199</v>
      </c>
      <c r="S519" s="56">
        <v>-4189</v>
      </c>
      <c r="T519" s="32">
        <f>R519+S519+IF(F519="Without EV deal",L519,0)</f>
        <v>4010</v>
      </c>
      <c r="U519" s="57">
        <v>1</v>
      </c>
      <c r="V519" s="58"/>
      <c r="W519" s="58"/>
      <c r="X519" s="30">
        <f>IF(AF519="DoEV",IF(AND(V519&lt;20,W519&lt;55),0.3,0)+IF(AND(V519&lt;20,W519&gt;=55,W519&lt;105),0.23,0)+IF(AND(V519&lt;20,W519&gt;=105),0.17,0)+IF(AND(V519&gt;=20,V519&lt;40,W519&lt;45),0.3,0)+IF(AND(V519&gt;=20,V519&lt;40,W519&gt;=45,W519&lt;95),0.23,0)+IF(AND(V519&gt;=20,V519&lt;40,W519&gt;=95),0.17,0)+IF(AND(V519&gt;=40,V519&lt;75,W519&lt;35),0.3,0)+IF(AND(V519&gt;=40,V519&lt;75,W519&gt;=35,W519&lt;75),0.23,0)+IF(AND(V519&gt;=40,V519&lt;75,W519&gt;=75,W519&lt;120),0.17,0)+IF(AND(V519&gt;=40,V519&lt;75,W519&gt;=120),0.12,0)+IF(AND(V519&gt;=75,V519&lt;175,W519&lt;35),0.3,0)+IF(AND(V519&gt;=75,V519&lt;=175,W519&gt;=35,W519&lt;65),0.23,0)+IF(AND(V519&gt;=75,V519&lt;=175,W519&gt;=65,W519&lt;110),0.17,0)+IF(AND(V519&gt;=75,V519&lt;=175,W519&gt;=110),0.12,0)+IF(AND(V519&gt;175,W519&lt;25),0.3,0)+IF(AND(V519&gt;175,W519&gt;=25,W519&lt;55),0.23,0)+IF(AND(V519&gt;175,W519&gt;=55,W519&lt;95),0.17,0)+IF(AND(V519&gt;175,W519&gt;=95),0.12,0),
IF(AF519="Fix15",0.15,
IF(AF519="Fix18.75",0.1875,
IF(AF519="Fix11.25",0.1125,
IF(AF519="Fix10",0.1,
IF(AF519="Fix9",0.09,
IF(AF519="DoEV2017",IF(AND(W519&lt;74),0.2,0)+IF(AND(W519&gt;=74),0.17,0),
IF(AF519="SF",IF(AND(V519&lt;20,W519&lt;89),0.3,0)+IF(AND(V519&lt;20,W519&gt;=89),0.25,0)+IF(AND(V519&gt;=20,V519&lt;40,W519&lt;74),0.3,0)+IF(AND(V519&gt;=20,V519&lt;40,W519&gt;=75),0.22,0)+IF(AND(V519&gt;=40,V519&lt;75,W519&lt;75),0.26,0)+IF(AND(V519&gt;=40,V519&lt;75,W519&gt;=75),0.22,0)+IF(V519&gt;=75,0.22,0),
IF(AF519="DoEVold",IF(AND(V519&lt;40,W519&lt;35),0.35,0)+IF(AND(V519&lt;40,W519&gt;=35,W519&lt;75),0.25,0)+IF(AND(V519&lt;40,W519&gt;=75),0.17,0)+IF(AND(V519&gt;=40,V519&lt;75,W519&lt;25),0.35,0)+IF(AND(V519&gt;=40,V519&lt;75,W519&gt;=25,W519&lt;65),0.25,0)+IF(AND(V519&gt;=40,V519&lt;75,W519&gt;=65,W519&lt;100),0.17,0)+IF(AND(V519&gt;=40,V519&lt;75,W519&gt;=100),0.1,0)+IF(AND(V519&gt;=75,W519&lt;25),0.35,0)+IF(AND(V519&gt;=75,W519&gt;=25,W519&lt;60),0.25,0)+IF(AND(V519&gt;=75,W519&gt;=60,W519&lt;95),0.17,0)+IF(AND(V519&gt;=75,W519&gt;=95),0.1,0),
IF(AF519="DoEVold15",IF(AND(V519&lt;=40,W519&lt;35),0.35,0)+IF(AND(V519&lt;=40,W519&gt;=35,W519&lt;75),0.25,0)+IF(AND(V519&lt;=40,W519&gt;=75,W519&lt;120),0.17,0)+IF(AND(V519&lt;=40,W519&gt;=120),0.15,0)+IF(AND(V519&gt;40,V519&lt;75,W519&lt;25),0.35,0)+IF(AND(V519&gt;=40,V519&lt;75,W519&gt;=25,W519&lt;65),0.25,0)+IF(AND(V519&gt;=40,V519&lt;75,W519&gt;=65,W519&lt;100),0.17,0)+IF(AND(V519&gt;=40,V519&lt;75,W519&gt;=100),0.1,0)+IF(AND(V519&gt;=75,W519&lt;25),0.35,0)+IF(AND(V519&gt;=75,W519&gt;=25,W519&lt;60),0.25,0)+IF(AND(V519&gt;=75,W519&gt;=60,W519&lt;95),0.17,0)+IF(AND(V519&gt;=75,W519&gt;=95),0.1,0),
IF(AF519="DoEVba",IF(AND(V519&lt;20,W519&lt;105),0.2,0)+IF(AND(V519&lt;20,W519&gt;=105),0.15,0)+IF(AND(V519&gt;=20,V519&lt;40,W519&lt;95),0.2,0)+IF(AND(V519&gt;=20,V519&lt;40,W519&gt;=95,W519&lt;150),0.15,0)+IF(AND(V519&gt;=20,V519&lt;40,W519&gt;=150),0.12,0)+IF(AND(V519&gt;=40,V519&lt;75,W519&lt;75),0.2,0)+IF(AND(V519&gt;=40,V519&lt;75,W519&gt;=75,W519&lt;120),0.15,0)+IF(AND(V519&gt;=40,V519&lt;75,W519&gt;=120),0.12,0)+IF(AND(V519&gt;=75,V519&lt;175,W519&lt;65),0.2,0)+IF(AND(V519&gt;=75,V519&lt;175,W519&gt;=65,W519&lt;110),0.15,0)+IF(AND(V519&gt;=75,V519&lt;175,W519&gt;=110),0.12,0)+IF(AND(V519&gt;=175,W519&lt;55),0.2,0)+IF(AND(V519&gt;=175,W519&gt;=55,W519&lt;95),0.15,0)+IF(AND(V519&gt;=175,W519&gt;=95),0.12,0),
IF(AF519="DoEVku",IF(AND(V519&lt;20,W519&lt;55),0.23,0)+IF(AND(V519&lt;20,W519&gt;=55,W519&lt;105),0.2,0)+IF(AND(V519&lt;20,W519&gt;=105),0.17,0)+IF(AND(V519&gt;=20,V519&lt;40,W519&lt;45),0.23,0)+IF(AND(V519&gt;=20,V519&lt;40,W519&gt;=45,W519&lt;95),0.2,0)+IF(AND(V519&gt;=20,V519&lt;40,W519&gt;=95,W519&lt;=150),0.17,0)+IF(AND(V519&gt;=20,V519&lt;40,W519&gt;=150),0.12,0)+IF(AND(V519&gt;=40,V519&lt;75,W519&lt;35),0.23,0)+IF(AND(V519&gt;=40,V519&lt;75,W519&gt;=35,W519&lt;75),0.2,0)+IF(AND(V519&gt;=40,V519&lt;75,W519&gt;=75,W519&lt;120),0.17,0)+IF(AND(V519&gt;=40,V519&lt;75,W519&gt;=120),0.12,0)+IF(AND(V519&gt;=75,V519&lt;175,W519&lt;35),0.23,0)+IF(AND(V519&gt;=75,V519&lt;=175,W519&gt;=35,W519&lt;65),0.2,0)+IF(AND(V519&gt;=75,V519&lt;=175,W519&gt;=65,W519&lt;110),0.17,0)+IF(AND(V519&gt;=75,V519&lt;=175,W519&gt;=110),0.12,0)+IF(AND(V519&gt;175,W519&lt;25),0.23,0)+IF(AND(V519&gt;175,W519&gt;=25,W519&lt;55),0.2,0)+IF(AND(V519&gt;175,W519&gt;=55,W519&lt;95),0.17,0)+IF(AND(V519&gt;175,W519&gt;=95),0.12,0),
IF(AF519="DoEVs1",IF(AND(V519&lt;20,W519&lt;55),0.3,0)+IF(AND(V519&lt;20,W519&gt;=55,W519&lt;105),0.23,0)+IF(AND(V519&lt;20,W519&gt;=105),0.17,0)+IF(AND(V519&gt;=20,V519&lt;40,W519&lt;45),0.3,0)+IF(AND(V519&gt;=20,V519&lt;40,W519&gt;=45,W519&lt;95),0.23,0)+IF(AND(V519&gt;=20,V519&lt;40,W519&gt;=95,W519&lt;=150),0.17,0)+IF(AND(V519&gt;=20,V519&lt;40,W519&gt;=150),0.12,0)+IF(AND(V519&gt;=40,V519&lt;75,W519&lt;35),0.3,0)+IF(AND(V519&gt;=40,V519&lt;75,W519&gt;=35,W519&lt;75),0.23,0)+IF(AND(V519&gt;=40,V519&lt;75,W519&gt;=75,W519&lt;120),0.17,0)+IF(AND(V519&gt;=40,V519&lt;75,W519&gt;=120),0.12,0)+IF(AND(V519&gt;=75,V519&lt;175,W519&lt;35),0.3,0)+IF(AND(V519&gt;=75,V519&lt;=175,W519&gt;=35,W519&lt;65),0.23,0)+IF(AND(V519&gt;=75,V519&lt;=175,W519&gt;=65,W519&lt;110),0.17,0)+IF(AND(V519&gt;=75,V519&lt;=175,W519&gt;=110),0.12,0)+IF(AND(V519&gt;175,W519&lt;25),0.3,0)+IF(AND(V519&gt;175,W519&gt;=25,W519&lt;55),0.23,0)+IF(AND(V519&gt;175,W519&gt;=55,W519&lt;95),0.17,0)+IF(AND(V519&gt;175,W519&gt;=95),0.12,0),
IF(AF519="DoEVsu",IF(AND(V519&lt;20,W519&lt;55),0.3,0)+IF(AND(V519&lt;20,W519&gt;=55,W519&lt;105),0.23,0)+IF(AND(V519&lt;20,W519&gt;=105),0.17,0)+IF(AND(V519&gt;=20,V519&lt;40,W519&lt;45),0.3,0)+IF(AND(V519&gt;=20,V519&lt;40,W519&gt;=45,W519&lt;95),0.23,0)+IF(AND(V519&gt;=20,V519&lt;40,W519&gt;=95,W519&lt;=250),0.17,0)+IF(AND(V519&gt;=20,V519&lt;40,W519&gt;=250),0.12,0)+IF(AND(V519&gt;=40,V519&lt;75,W519&lt;35),0.3,0)+IF(AND(V519&gt;=40,V519&lt;75,W519&gt;=35,W519&lt;75),0.23,0)+IF(AND(V519&gt;=40,V519&lt;75,W519&gt;=75,W519&lt;120),0.17,0)+IF(AND(V519&gt;=40,V519&lt;75,W519&gt;=120),0.12,0)+IF(AND(V519&gt;=75,V519&lt;175,W519&lt;35),0.3,0)+IF(AND(V519&gt;=75,V519&lt;=175,W519&gt;=35,W519&lt;65),0.23,0)+IF(AND(V519&gt;=75,V519&lt;=175,W519&gt;=65,W519&lt;110),0.17,0)+IF(AND(V519&gt;=75,V519&lt;=175,W519&gt;=110),0.12,0)+IF(AND(V519&gt;175,W519&lt;25),0.3,0)+IF(AND(V519&gt;175,W519&gt;=25,W519&lt;55),0.23,0)+IF(AND(V519&gt;175,W519&gt;=55,W519&lt;95),0.17,0)+IF(AND(V519&gt;175,W519&gt;=95),0.12,0),
IF(AF519="DoEVni",IF(AND(V519&lt;20,W519&lt;55),0.3,0)+IF(AND(V519&lt;20,W519&gt;=55,W519&lt;105),0.23,0)+IF(AND(V519&lt;20,W519&gt;=105),0.17,0)+IF(AND(V519&gt;=20,V519&lt;40,W519&lt;45),0.3,0)+IF(AND(V519&gt;=20,V519&lt;40,W519&gt;=45,W519&lt;95),0.23,0)+IF(AND(V519&gt;=20,V519&lt;40,W519&gt;=95,W519&lt;=200),0.17,0)+IF(AND(V519&gt;=20,V519&lt;40,W519&gt;=200),0.12,0)+IF(AND(V519&gt;=40,V519&lt;75,W519&lt;35),0.3,0)+IF(AND(V519&gt;=40,V519&lt;75,W519&gt;=35,W519&lt;75),0.23,0)+IF(AND(V519&gt;=40,V519&lt;75,W519&gt;=75,W519&lt;120),0.17,0)+IF(AND(V519&gt;=40,V519&lt;75,W519&gt;=120),0.12,0)+IF(AND(V519&gt;=75,V519&lt;175,W519&lt;35),0.3,0)+IF(AND(V519&gt;=75,V519&lt;=175,W519&gt;=35,W519&lt;65),0.23,0)+IF(AND(V519&gt;=75,V519&lt;=175,W519&gt;=65,W519&lt;110),0.17,0)+IF(AND(V519&gt;=75,V519&lt;=175,W519&gt;=110),0.12,0)+IF(AND(V519&gt;175,W519&lt;25),0.3,0)+IF(AND(V519&gt;175,W519&gt;=25,W519&lt;55),0.23,0)+IF(AND(V519&gt;175,W519&gt;=55,W519&lt;95),0.17,0)+IF(AND(V519&gt;175,W519&gt;=95),0.12,0),
IF(AF519="DoEVLo",IF(AND(V519&lt;20,W519&lt;55),0.25,0)+IF(AND(V519&lt;20,W519&gt;=55,W519&lt;105),0.2,0)+IF(AND(V519&lt;20,W519&gt;=105),0.15,0)+IF(AND(V519&gt;=20,V519&lt;40,W519&lt;45),0.25,0)+IF(AND(V519&gt;=20,V519&lt;40,W519&gt;=45,W519&lt;95),0.2,0)+IF(AND(V519&gt;=20,V519&lt;40,W519&gt;=95),0.15,0)+IF(AND(V519&gt;=40,V519&lt;75,W519&lt;35),0.25,0)+IF(AND(V519&gt;=40,V519&lt;75,W519&gt;=35,W519&lt;75),0.2,0)+IF(AND(V519&gt;=40,V519&lt;75,W519&gt;=75,W519&lt;120),0.15,0)+IF(AND(V519&gt;=40,V519&lt;75,W519&gt;=120),0.1,0)+IF(AND(V519&gt;=75,V519&lt;175,W519&lt;35),0.25,0)+IF(AND(V519&gt;=75,V519&lt;=175,W519&gt;=35,W519&lt;65),0.2,0)+IF(AND(V519&gt;=75,V519&lt;=175,W519&gt;=65,W519&lt;110),0.15,0)+IF(AND(V519&gt;=75,V519&lt;=175,W519&gt;=110),0.1,0)+IF(AND(V519&gt;175,W519&lt;25),0.25,0)+IF(AND(V519&gt;175,W519&gt;=25,W519&lt;55),0.2,0)+IF(AND(V519&gt;175,W519&gt;=55,W519&lt;95),0.15,0)+IF(AND(V519&gt;175,W519&gt;=95),0.1,0)))))))))))))))))</f>
        <v>0.1875</v>
      </c>
      <c r="Y519" s="30">
        <f>IF(AG519="None",0,IF(AG519="Fix5",0.05, IF(AG519="Fix6.25",0.0625,IF(AG519="Fix3.75",0.0375,IF(AG519="Fix10",0.1,IF(AG519="Fix3",0.03,0))))))</f>
        <v>6.25E-2</v>
      </c>
      <c r="Z519" s="35">
        <f>T519-AA519-AB519</f>
        <v>3007.5</v>
      </c>
      <c r="AA519" s="29">
        <f>IF(AD519="EUR",((T519-R519)*X519)*U519+(R519*X519),(T519*X519))</f>
        <v>751.875</v>
      </c>
      <c r="AB519" s="36">
        <f>IF(AD519="EUR",((T519-R519)*Y519)*U519+(R519*Y519),(T519*Y519))</f>
        <v>250.625</v>
      </c>
      <c r="AC519" s="37" t="b">
        <v>1</v>
      </c>
      <c r="AD519" s="37" t="s">
        <v>38</v>
      </c>
      <c r="AE519" s="37" t="s">
        <v>38</v>
      </c>
      <c r="AF519" s="37" t="s">
        <v>146</v>
      </c>
      <c r="AG519" s="38" t="s">
        <v>147</v>
      </c>
    </row>
    <row r="520" spans="1:33" ht="14.25" hidden="1" x14ac:dyDescent="0.2">
      <c r="A520" s="18" t="str">
        <f t="array" ref="A520">IF(G520='Room Info'!$B$1, INDEX('Room Info'!$A$2:$A2446, MATCH(B520,'Room Info'!$B$2:$B2446, 0)),IF(G520='Room Info'!$C$1, INDEX('Room Info'!$A$2:$A2446, MATCH(B520,'Room Info'!$C$2:$C2446, 0)),IF(G520='Room Info'!$D$1, INDEX('Room Info'!$A$2:$A2446, MATCH(B520,'Room Info'!$D$2:$D2446, 0)),IF(G520='Room Info'!$E$1, INDEX('Room Info'!$A$2:$A2446, MATCH(B520,'Room Info'!$E$2:$E2446, 0)),IF(G520='Room Info'!$F$1, INDEX('Room Info'!$A$2:$A2446, MATCH(B520,'Room Info'!$F$2:$F2446, 0)),IF(G520='Room Info'!$H$1, INDEX('Room Info'!$A$2:$A2446, MATCH(B520,'Room Info'!$H$2:$H2446, 0)),IF(G520='Room Info'!$G$1, INDEX('Room Info'!$A$2:$A2446, MATCH(B520,'Room Info'!$G$2:$G2446, 0)))))))))</f>
        <v>benyya</v>
      </c>
      <c r="B520" s="45" t="s">
        <v>145</v>
      </c>
      <c r="C520" s="46">
        <v>44805</v>
      </c>
      <c r="D520" s="46">
        <v>44834</v>
      </c>
      <c r="E520" s="47">
        <v>44805</v>
      </c>
      <c r="F520" s="48" t="s">
        <v>49</v>
      </c>
      <c r="G520" s="54" t="s">
        <v>35</v>
      </c>
      <c r="H520" s="49" t="s">
        <v>149</v>
      </c>
      <c r="I520" s="49" t="s">
        <v>44</v>
      </c>
      <c r="J520" s="50">
        <v>500</v>
      </c>
      <c r="K520" s="51">
        <v>4</v>
      </c>
      <c r="L520" s="52">
        <v>500</v>
      </c>
      <c r="M520" s="53">
        <v>70</v>
      </c>
      <c r="N520" s="28">
        <f>K520*J520</f>
        <v>2000</v>
      </c>
      <c r="O520" s="54">
        <v>142</v>
      </c>
      <c r="P520" s="29">
        <v>35.5</v>
      </c>
      <c r="Q520" s="55"/>
      <c r="R520" s="31">
        <f>M520+Q520</f>
        <v>70</v>
      </c>
      <c r="S520" s="56">
        <v>132</v>
      </c>
      <c r="T520" s="32">
        <f>R520+S520+IF(F520="Without EV deal",L520,0)</f>
        <v>202</v>
      </c>
      <c r="U520" s="57">
        <v>1</v>
      </c>
      <c r="V520" s="58"/>
      <c r="W520" s="58"/>
      <c r="X520" s="30">
        <f>IF(AF520="DoEV",IF(AND(V520&lt;20,W520&lt;55),0.3,0)+IF(AND(V520&lt;20,W520&gt;=55,W520&lt;105),0.23,0)+IF(AND(V520&lt;20,W520&gt;=105),0.17,0)+IF(AND(V520&gt;=20,V520&lt;40,W520&lt;45),0.3,0)+IF(AND(V520&gt;=20,V520&lt;40,W520&gt;=45,W520&lt;95),0.23,0)+IF(AND(V520&gt;=20,V520&lt;40,W520&gt;=95),0.17,0)+IF(AND(V520&gt;=40,V520&lt;75,W520&lt;35),0.3,0)+IF(AND(V520&gt;=40,V520&lt;75,W520&gt;=35,W520&lt;75),0.23,0)+IF(AND(V520&gt;=40,V520&lt;75,W520&gt;=75,W520&lt;120),0.17,0)+IF(AND(V520&gt;=40,V520&lt;75,W520&gt;=120),0.12,0)+IF(AND(V520&gt;=75,V520&lt;175,W520&lt;35),0.3,0)+IF(AND(V520&gt;=75,V520&lt;=175,W520&gt;=35,W520&lt;65),0.23,0)+IF(AND(V520&gt;=75,V520&lt;=175,W520&gt;=65,W520&lt;110),0.17,0)+IF(AND(V520&gt;=75,V520&lt;=175,W520&gt;=110),0.12,0)+IF(AND(V520&gt;175,W520&lt;25),0.3,0)+IF(AND(V520&gt;175,W520&gt;=25,W520&lt;55),0.23,0)+IF(AND(V520&gt;175,W520&gt;=55,W520&lt;95),0.17,0)+IF(AND(V520&gt;175,W520&gt;=95),0.12,0),
IF(AF520="Fix15",0.15,
IF(AF520="Fix18.75",0.1875,
IF(AF520="Fix11.25",0.1125,
IF(AF520="Fix10",0.1,
IF(AF520="Fix9",0.09,
IF(AF520="DoEV2017",IF(AND(W520&lt;74),0.2,0)+IF(AND(W520&gt;=74),0.17,0),
IF(AF520="SF",IF(AND(V520&lt;20,W520&lt;89),0.3,0)+IF(AND(V520&lt;20,W520&gt;=89),0.25,0)+IF(AND(V520&gt;=20,V520&lt;40,W520&lt;74),0.3,0)+IF(AND(V520&gt;=20,V520&lt;40,W520&gt;=75),0.22,0)+IF(AND(V520&gt;=40,V520&lt;75,W520&lt;75),0.26,0)+IF(AND(V520&gt;=40,V520&lt;75,W520&gt;=75),0.22,0)+IF(V520&gt;=75,0.22,0),
IF(AF520="DoEVold",IF(AND(V520&lt;40,W520&lt;35),0.35,0)+IF(AND(V520&lt;40,W520&gt;=35,W520&lt;75),0.25,0)+IF(AND(V520&lt;40,W520&gt;=75),0.17,0)+IF(AND(V520&gt;=40,V520&lt;75,W520&lt;25),0.35,0)+IF(AND(V520&gt;=40,V520&lt;75,W520&gt;=25,W520&lt;65),0.25,0)+IF(AND(V520&gt;=40,V520&lt;75,W520&gt;=65,W520&lt;100),0.17,0)+IF(AND(V520&gt;=40,V520&lt;75,W520&gt;=100),0.1,0)+IF(AND(V520&gt;=75,W520&lt;25),0.35,0)+IF(AND(V520&gt;=75,W520&gt;=25,W520&lt;60),0.25,0)+IF(AND(V520&gt;=75,W520&gt;=60,W520&lt;95),0.17,0)+IF(AND(V520&gt;=75,W520&gt;=95),0.1,0),
IF(AF520="DoEVold15",IF(AND(V520&lt;=40,W520&lt;35),0.35,0)+IF(AND(V520&lt;=40,W520&gt;=35,W520&lt;75),0.25,0)+IF(AND(V520&lt;=40,W520&gt;=75,W520&lt;120),0.17,0)+IF(AND(V520&lt;=40,W520&gt;=120),0.15,0)+IF(AND(V520&gt;40,V520&lt;75,W520&lt;25),0.35,0)+IF(AND(V520&gt;=40,V520&lt;75,W520&gt;=25,W520&lt;65),0.25,0)+IF(AND(V520&gt;=40,V520&lt;75,W520&gt;=65,W520&lt;100),0.17,0)+IF(AND(V520&gt;=40,V520&lt;75,W520&gt;=100),0.1,0)+IF(AND(V520&gt;=75,W520&lt;25),0.35,0)+IF(AND(V520&gt;=75,W520&gt;=25,W520&lt;60),0.25,0)+IF(AND(V520&gt;=75,W520&gt;=60,W520&lt;95),0.17,0)+IF(AND(V520&gt;=75,W520&gt;=95),0.1,0),
IF(AF520="DoEVba",IF(AND(V520&lt;20,W520&lt;105),0.2,0)+IF(AND(V520&lt;20,W520&gt;=105),0.15,0)+IF(AND(V520&gt;=20,V520&lt;40,W520&lt;95),0.2,0)+IF(AND(V520&gt;=20,V520&lt;40,W520&gt;=95,W520&lt;150),0.15,0)+IF(AND(V520&gt;=20,V520&lt;40,W520&gt;=150),0.12,0)+IF(AND(V520&gt;=40,V520&lt;75,W520&lt;75),0.2,0)+IF(AND(V520&gt;=40,V520&lt;75,W520&gt;=75,W520&lt;120),0.15,0)+IF(AND(V520&gt;=40,V520&lt;75,W520&gt;=120),0.12,0)+IF(AND(V520&gt;=75,V520&lt;175,W520&lt;65),0.2,0)+IF(AND(V520&gt;=75,V520&lt;175,W520&gt;=65,W520&lt;110),0.15,0)+IF(AND(V520&gt;=75,V520&lt;175,W520&gt;=110),0.12,0)+IF(AND(V520&gt;=175,W520&lt;55),0.2,0)+IF(AND(V520&gt;=175,W520&gt;=55,W520&lt;95),0.15,0)+IF(AND(V520&gt;=175,W520&gt;=95),0.12,0),
IF(AF520="DoEVku",IF(AND(V520&lt;20,W520&lt;55),0.23,0)+IF(AND(V520&lt;20,W520&gt;=55,W520&lt;105),0.2,0)+IF(AND(V520&lt;20,W520&gt;=105),0.17,0)+IF(AND(V520&gt;=20,V520&lt;40,W520&lt;45),0.23,0)+IF(AND(V520&gt;=20,V520&lt;40,W520&gt;=45,W520&lt;95),0.2,0)+IF(AND(V520&gt;=20,V520&lt;40,W520&gt;=95,W520&lt;=150),0.17,0)+IF(AND(V520&gt;=20,V520&lt;40,W520&gt;=150),0.12,0)+IF(AND(V520&gt;=40,V520&lt;75,W520&lt;35),0.23,0)+IF(AND(V520&gt;=40,V520&lt;75,W520&gt;=35,W520&lt;75),0.2,0)+IF(AND(V520&gt;=40,V520&lt;75,W520&gt;=75,W520&lt;120),0.17,0)+IF(AND(V520&gt;=40,V520&lt;75,W520&gt;=120),0.12,0)+IF(AND(V520&gt;=75,V520&lt;175,W520&lt;35),0.23,0)+IF(AND(V520&gt;=75,V520&lt;=175,W520&gt;=35,W520&lt;65),0.2,0)+IF(AND(V520&gt;=75,V520&lt;=175,W520&gt;=65,W520&lt;110),0.17,0)+IF(AND(V520&gt;=75,V520&lt;=175,W520&gt;=110),0.12,0)+IF(AND(V520&gt;175,W520&lt;25),0.23,0)+IF(AND(V520&gt;175,W520&gt;=25,W520&lt;55),0.2,0)+IF(AND(V520&gt;175,W520&gt;=55,W520&lt;95),0.17,0)+IF(AND(V520&gt;175,W520&gt;=95),0.12,0),
IF(AF520="DoEVs1",IF(AND(V520&lt;20,W520&lt;55),0.3,0)+IF(AND(V520&lt;20,W520&gt;=55,W520&lt;105),0.23,0)+IF(AND(V520&lt;20,W520&gt;=105),0.17,0)+IF(AND(V520&gt;=20,V520&lt;40,W520&lt;45),0.3,0)+IF(AND(V520&gt;=20,V520&lt;40,W520&gt;=45,W520&lt;95),0.23,0)+IF(AND(V520&gt;=20,V520&lt;40,W520&gt;=95,W520&lt;=150),0.17,0)+IF(AND(V520&gt;=20,V520&lt;40,W520&gt;=150),0.12,0)+IF(AND(V520&gt;=40,V520&lt;75,W520&lt;35),0.3,0)+IF(AND(V520&gt;=40,V520&lt;75,W520&gt;=35,W520&lt;75),0.23,0)+IF(AND(V520&gt;=40,V520&lt;75,W520&gt;=75,W520&lt;120),0.17,0)+IF(AND(V520&gt;=40,V520&lt;75,W520&gt;=120),0.12,0)+IF(AND(V520&gt;=75,V520&lt;175,W520&lt;35),0.3,0)+IF(AND(V520&gt;=75,V520&lt;=175,W520&gt;=35,W520&lt;65),0.23,0)+IF(AND(V520&gt;=75,V520&lt;=175,W520&gt;=65,W520&lt;110),0.17,0)+IF(AND(V520&gt;=75,V520&lt;=175,W520&gt;=110),0.12,0)+IF(AND(V520&gt;175,W520&lt;25),0.3,0)+IF(AND(V520&gt;175,W520&gt;=25,W520&lt;55),0.23,0)+IF(AND(V520&gt;175,W520&gt;=55,W520&lt;95),0.17,0)+IF(AND(V520&gt;175,W520&gt;=95),0.12,0),
IF(AF520="DoEVsu",IF(AND(V520&lt;20,W520&lt;55),0.3,0)+IF(AND(V520&lt;20,W520&gt;=55,W520&lt;105),0.23,0)+IF(AND(V520&lt;20,W520&gt;=105),0.17,0)+IF(AND(V520&gt;=20,V520&lt;40,W520&lt;45),0.3,0)+IF(AND(V520&gt;=20,V520&lt;40,W520&gt;=45,W520&lt;95),0.23,0)+IF(AND(V520&gt;=20,V520&lt;40,W520&gt;=95,W520&lt;=250),0.17,0)+IF(AND(V520&gt;=20,V520&lt;40,W520&gt;=250),0.12,0)+IF(AND(V520&gt;=40,V520&lt;75,W520&lt;35),0.3,0)+IF(AND(V520&gt;=40,V520&lt;75,W520&gt;=35,W520&lt;75),0.23,0)+IF(AND(V520&gt;=40,V520&lt;75,W520&gt;=75,W520&lt;120),0.17,0)+IF(AND(V520&gt;=40,V520&lt;75,W520&gt;=120),0.12,0)+IF(AND(V520&gt;=75,V520&lt;175,W520&lt;35),0.3,0)+IF(AND(V520&gt;=75,V520&lt;=175,W520&gt;=35,W520&lt;65),0.23,0)+IF(AND(V520&gt;=75,V520&lt;=175,W520&gt;=65,W520&lt;110),0.17,0)+IF(AND(V520&gt;=75,V520&lt;=175,W520&gt;=110),0.12,0)+IF(AND(V520&gt;175,W520&lt;25),0.3,0)+IF(AND(V520&gt;175,W520&gt;=25,W520&lt;55),0.23,0)+IF(AND(V520&gt;175,W520&gt;=55,W520&lt;95),0.17,0)+IF(AND(V520&gt;175,W520&gt;=95),0.12,0),
IF(AF520="DoEVni",IF(AND(V520&lt;20,W520&lt;55),0.3,0)+IF(AND(V520&lt;20,W520&gt;=55,W520&lt;105),0.23,0)+IF(AND(V520&lt;20,W520&gt;=105),0.17,0)+IF(AND(V520&gt;=20,V520&lt;40,W520&lt;45),0.3,0)+IF(AND(V520&gt;=20,V520&lt;40,W520&gt;=45,W520&lt;95),0.23,0)+IF(AND(V520&gt;=20,V520&lt;40,W520&gt;=95,W520&lt;=200),0.17,0)+IF(AND(V520&gt;=20,V520&lt;40,W520&gt;=200),0.12,0)+IF(AND(V520&gt;=40,V520&lt;75,W520&lt;35),0.3,0)+IF(AND(V520&gt;=40,V520&lt;75,W520&gt;=35,W520&lt;75),0.23,0)+IF(AND(V520&gt;=40,V520&lt;75,W520&gt;=75,W520&lt;120),0.17,0)+IF(AND(V520&gt;=40,V520&lt;75,W520&gt;=120),0.12,0)+IF(AND(V520&gt;=75,V520&lt;175,W520&lt;35),0.3,0)+IF(AND(V520&gt;=75,V520&lt;=175,W520&gt;=35,W520&lt;65),0.23,0)+IF(AND(V520&gt;=75,V520&lt;=175,W520&gt;=65,W520&lt;110),0.17,0)+IF(AND(V520&gt;=75,V520&lt;=175,W520&gt;=110),0.12,0)+IF(AND(V520&gt;175,W520&lt;25),0.3,0)+IF(AND(V520&gt;175,W520&gt;=25,W520&lt;55),0.23,0)+IF(AND(V520&gt;175,W520&gt;=55,W520&lt;95),0.17,0)+IF(AND(V520&gt;175,W520&gt;=95),0.12,0),
IF(AF520="DoEVLo",IF(AND(V520&lt;20,W520&lt;55),0.25,0)+IF(AND(V520&lt;20,W520&gt;=55,W520&lt;105),0.2,0)+IF(AND(V520&lt;20,W520&gt;=105),0.15,0)+IF(AND(V520&gt;=20,V520&lt;40,W520&lt;45),0.25,0)+IF(AND(V520&gt;=20,V520&lt;40,W520&gt;=45,W520&lt;95),0.2,0)+IF(AND(V520&gt;=20,V520&lt;40,W520&gt;=95),0.15,0)+IF(AND(V520&gt;=40,V520&lt;75,W520&lt;35),0.25,0)+IF(AND(V520&gt;=40,V520&lt;75,W520&gt;=35,W520&lt;75),0.2,0)+IF(AND(V520&gt;=40,V520&lt;75,W520&gt;=75,W520&lt;120),0.15,0)+IF(AND(V520&gt;=40,V520&lt;75,W520&gt;=120),0.1,0)+IF(AND(V520&gt;=75,V520&lt;175,W520&lt;35),0.25,0)+IF(AND(V520&gt;=75,V520&lt;=175,W520&gt;=35,W520&lt;65),0.2,0)+IF(AND(V520&gt;=75,V520&lt;=175,W520&gt;=65,W520&lt;110),0.15,0)+IF(AND(V520&gt;=75,V520&lt;=175,W520&gt;=110),0.1,0)+IF(AND(V520&gt;175,W520&lt;25),0.25,0)+IF(AND(V520&gt;175,W520&gt;=25,W520&lt;55),0.2,0)+IF(AND(V520&gt;175,W520&gt;=55,W520&lt;95),0.15,0)+IF(AND(V520&gt;175,W520&gt;=95),0.1,0)))))))))))))))))</f>
        <v>0.1875</v>
      </c>
      <c r="Y520" s="30">
        <f>IF(AG520="None",0,IF(AG520="Fix5",0.05, IF(AG520="Fix6.25",0.0625,IF(AG520="Fix3.75",0.0375,IF(AG520="Fix10",0.1,IF(AG520="Fix3",0.03,0))))))</f>
        <v>6.25E-2</v>
      </c>
      <c r="Z520" s="35">
        <f>T520-AA520-AB520</f>
        <v>151.5</v>
      </c>
      <c r="AA520" s="29">
        <f>IF(AD520="EUR",((T520-R520)*X520)*U520+(R520*X520),(T520*X520))</f>
        <v>37.875</v>
      </c>
      <c r="AB520" s="36">
        <f>IF(AD520="EUR",((T520-R520)*Y520)*U520+(R520*Y520),(T520*Y520))</f>
        <v>12.625</v>
      </c>
      <c r="AC520" s="37" t="b">
        <v>1</v>
      </c>
      <c r="AD520" s="37" t="s">
        <v>38</v>
      </c>
      <c r="AE520" s="37" t="s">
        <v>38</v>
      </c>
      <c r="AF520" s="37" t="s">
        <v>146</v>
      </c>
      <c r="AG520" s="38" t="s">
        <v>147</v>
      </c>
    </row>
    <row r="521" spans="1:33" ht="14.25" hidden="1" x14ac:dyDescent="0.2">
      <c r="A521" s="18" t="str">
        <f t="array" ref="A521">IF(G521='Room Info'!$B$1, INDEX('Room Info'!$A$2:$A2446, MATCH(B521,'Room Info'!$B$2:$B2446, 0)),IF(G521='Room Info'!$C$1, INDEX('Room Info'!$A$2:$A2446, MATCH(B521,'Room Info'!$C$2:$C2446, 0)),IF(G521='Room Info'!$D$1, INDEX('Room Info'!$A$2:$A2446, MATCH(B521,'Room Info'!$D$2:$D2446, 0)),IF(G521='Room Info'!$E$1, INDEX('Room Info'!$A$2:$A2446, MATCH(B521,'Room Info'!$E$2:$E2446, 0)),IF(G521='Room Info'!$F$1, INDEX('Room Info'!$A$2:$A2446, MATCH(B521,'Room Info'!$F$2:$F2446, 0)),IF(G521='Room Info'!$H$1, INDEX('Room Info'!$A$2:$A2446, MATCH(B521,'Room Info'!$H$2:$H2446, 0)),IF(G521='Room Info'!$G$1, INDEX('Room Info'!$A$2:$A2446, MATCH(B521,'Room Info'!$G$2:$G2446, 0)))))))))</f>
        <v>benyya</v>
      </c>
      <c r="B521" s="45" t="s">
        <v>145</v>
      </c>
      <c r="C521" s="46">
        <v>44835</v>
      </c>
      <c r="D521" s="46">
        <v>44865</v>
      </c>
      <c r="E521" s="47">
        <v>44835</v>
      </c>
      <c r="F521" s="48" t="s">
        <v>49</v>
      </c>
      <c r="G521" s="54" t="s">
        <v>35</v>
      </c>
      <c r="H521" s="49" t="s">
        <v>85</v>
      </c>
      <c r="I521" s="49" t="s">
        <v>44</v>
      </c>
      <c r="J521" s="50">
        <v>50</v>
      </c>
      <c r="K521" s="51">
        <v>13</v>
      </c>
      <c r="L521" s="52">
        <v>-400</v>
      </c>
      <c r="M521" s="53">
        <v>27</v>
      </c>
      <c r="N521" s="28">
        <f>K521*J521</f>
        <v>650</v>
      </c>
      <c r="O521" s="54">
        <v>-1154</v>
      </c>
      <c r="P521" s="29">
        <v>-88.769230769999993</v>
      </c>
      <c r="Q521" s="55"/>
      <c r="R521" s="31">
        <f>M521+Q521</f>
        <v>27</v>
      </c>
      <c r="S521" s="56">
        <v>-222</v>
      </c>
      <c r="T521" s="32">
        <f>R521+S521+IF(F521="Without EV deal",L521,0)</f>
        <v>-195</v>
      </c>
      <c r="U521" s="57">
        <v>1</v>
      </c>
      <c r="V521" s="58"/>
      <c r="W521" s="58"/>
      <c r="X521" s="30">
        <f>IF(AF521="DoEV",IF(AND(V521&lt;20,W521&lt;55),0.3,0)+IF(AND(V521&lt;20,W521&gt;=55,W521&lt;105),0.23,0)+IF(AND(V521&lt;20,W521&gt;=105),0.17,0)+IF(AND(V521&gt;=20,V521&lt;40,W521&lt;45),0.3,0)+IF(AND(V521&gt;=20,V521&lt;40,W521&gt;=45,W521&lt;95),0.23,0)+IF(AND(V521&gt;=20,V521&lt;40,W521&gt;=95),0.17,0)+IF(AND(V521&gt;=40,V521&lt;75,W521&lt;35),0.3,0)+IF(AND(V521&gt;=40,V521&lt;75,W521&gt;=35,W521&lt;75),0.23,0)+IF(AND(V521&gt;=40,V521&lt;75,W521&gt;=75,W521&lt;120),0.17,0)+IF(AND(V521&gt;=40,V521&lt;75,W521&gt;=120),0.12,0)+IF(AND(V521&gt;=75,V521&lt;175,W521&lt;35),0.3,0)+IF(AND(V521&gt;=75,V521&lt;=175,W521&gt;=35,W521&lt;65),0.23,0)+IF(AND(V521&gt;=75,V521&lt;=175,W521&gt;=65,W521&lt;110),0.17,0)+IF(AND(V521&gt;=75,V521&lt;=175,W521&gt;=110),0.12,0)+IF(AND(V521&gt;175,W521&lt;25),0.3,0)+IF(AND(V521&gt;175,W521&gt;=25,W521&lt;55),0.23,0)+IF(AND(V521&gt;175,W521&gt;=55,W521&lt;95),0.17,0)+IF(AND(V521&gt;175,W521&gt;=95),0.12,0),
IF(AF521="Fix15",0.15,
IF(AF521="Fix18.75",0.1875,
IF(AF521="Fix11.25",0.1125,
IF(AF521="Fix10",0.1,
IF(AF521="Fix9",0.09,
IF(AF521="DoEV2017",IF(AND(W521&lt;74),0.2,0)+IF(AND(W521&gt;=74),0.17,0),
IF(AF521="SF",IF(AND(V521&lt;20,W521&lt;89),0.3,0)+IF(AND(V521&lt;20,W521&gt;=89),0.25,0)+IF(AND(V521&gt;=20,V521&lt;40,W521&lt;74),0.3,0)+IF(AND(V521&gt;=20,V521&lt;40,W521&gt;=75),0.22,0)+IF(AND(V521&gt;=40,V521&lt;75,W521&lt;75),0.26,0)+IF(AND(V521&gt;=40,V521&lt;75,W521&gt;=75),0.22,0)+IF(V521&gt;=75,0.22,0),
IF(AF521="DoEVold",IF(AND(V521&lt;40,W521&lt;35),0.35,0)+IF(AND(V521&lt;40,W521&gt;=35,W521&lt;75),0.25,0)+IF(AND(V521&lt;40,W521&gt;=75),0.17,0)+IF(AND(V521&gt;=40,V521&lt;75,W521&lt;25),0.35,0)+IF(AND(V521&gt;=40,V521&lt;75,W521&gt;=25,W521&lt;65),0.25,0)+IF(AND(V521&gt;=40,V521&lt;75,W521&gt;=65,W521&lt;100),0.17,0)+IF(AND(V521&gt;=40,V521&lt;75,W521&gt;=100),0.1,0)+IF(AND(V521&gt;=75,W521&lt;25),0.35,0)+IF(AND(V521&gt;=75,W521&gt;=25,W521&lt;60),0.25,0)+IF(AND(V521&gt;=75,W521&gt;=60,W521&lt;95),0.17,0)+IF(AND(V521&gt;=75,W521&gt;=95),0.1,0),
IF(AF521="DoEVold15",IF(AND(V521&lt;=40,W521&lt;35),0.35,0)+IF(AND(V521&lt;=40,W521&gt;=35,W521&lt;75),0.25,0)+IF(AND(V521&lt;=40,W521&gt;=75,W521&lt;120),0.17,0)+IF(AND(V521&lt;=40,W521&gt;=120),0.15,0)+IF(AND(V521&gt;40,V521&lt;75,W521&lt;25),0.35,0)+IF(AND(V521&gt;=40,V521&lt;75,W521&gt;=25,W521&lt;65),0.25,0)+IF(AND(V521&gt;=40,V521&lt;75,W521&gt;=65,W521&lt;100),0.17,0)+IF(AND(V521&gt;=40,V521&lt;75,W521&gt;=100),0.1,0)+IF(AND(V521&gt;=75,W521&lt;25),0.35,0)+IF(AND(V521&gt;=75,W521&gt;=25,W521&lt;60),0.25,0)+IF(AND(V521&gt;=75,W521&gt;=60,W521&lt;95),0.17,0)+IF(AND(V521&gt;=75,W521&gt;=95),0.1,0),
IF(AF521="DoEVba",IF(AND(V521&lt;20,W521&lt;105),0.2,0)+IF(AND(V521&lt;20,W521&gt;=105),0.15,0)+IF(AND(V521&gt;=20,V521&lt;40,W521&lt;95),0.2,0)+IF(AND(V521&gt;=20,V521&lt;40,W521&gt;=95,W521&lt;150),0.15,0)+IF(AND(V521&gt;=20,V521&lt;40,W521&gt;=150),0.12,0)+IF(AND(V521&gt;=40,V521&lt;75,W521&lt;75),0.2,0)+IF(AND(V521&gt;=40,V521&lt;75,W521&gt;=75,W521&lt;120),0.15,0)+IF(AND(V521&gt;=40,V521&lt;75,W521&gt;=120),0.12,0)+IF(AND(V521&gt;=75,V521&lt;175,W521&lt;65),0.2,0)+IF(AND(V521&gt;=75,V521&lt;175,W521&gt;=65,W521&lt;110),0.15,0)+IF(AND(V521&gt;=75,V521&lt;175,W521&gt;=110),0.12,0)+IF(AND(V521&gt;=175,W521&lt;55),0.2,0)+IF(AND(V521&gt;=175,W521&gt;=55,W521&lt;95),0.15,0)+IF(AND(V521&gt;=175,W521&gt;=95),0.12,0),
IF(AF521="DoEVku",IF(AND(V521&lt;20,W521&lt;55),0.23,0)+IF(AND(V521&lt;20,W521&gt;=55,W521&lt;105),0.2,0)+IF(AND(V521&lt;20,W521&gt;=105),0.17,0)+IF(AND(V521&gt;=20,V521&lt;40,W521&lt;45),0.23,0)+IF(AND(V521&gt;=20,V521&lt;40,W521&gt;=45,W521&lt;95),0.2,0)+IF(AND(V521&gt;=20,V521&lt;40,W521&gt;=95,W521&lt;=150),0.17,0)+IF(AND(V521&gt;=20,V521&lt;40,W521&gt;=150),0.12,0)+IF(AND(V521&gt;=40,V521&lt;75,W521&lt;35),0.23,0)+IF(AND(V521&gt;=40,V521&lt;75,W521&gt;=35,W521&lt;75),0.2,0)+IF(AND(V521&gt;=40,V521&lt;75,W521&gt;=75,W521&lt;120),0.17,0)+IF(AND(V521&gt;=40,V521&lt;75,W521&gt;=120),0.12,0)+IF(AND(V521&gt;=75,V521&lt;175,W521&lt;35),0.23,0)+IF(AND(V521&gt;=75,V521&lt;=175,W521&gt;=35,W521&lt;65),0.2,0)+IF(AND(V521&gt;=75,V521&lt;=175,W521&gt;=65,W521&lt;110),0.17,0)+IF(AND(V521&gt;=75,V521&lt;=175,W521&gt;=110),0.12,0)+IF(AND(V521&gt;175,W521&lt;25),0.23,0)+IF(AND(V521&gt;175,W521&gt;=25,W521&lt;55),0.2,0)+IF(AND(V521&gt;175,W521&gt;=55,W521&lt;95),0.17,0)+IF(AND(V521&gt;175,W521&gt;=95),0.12,0),
IF(AF521="DoEVs1",IF(AND(V521&lt;20,W521&lt;55),0.3,0)+IF(AND(V521&lt;20,W521&gt;=55,W521&lt;105),0.23,0)+IF(AND(V521&lt;20,W521&gt;=105),0.17,0)+IF(AND(V521&gt;=20,V521&lt;40,W521&lt;45),0.3,0)+IF(AND(V521&gt;=20,V521&lt;40,W521&gt;=45,W521&lt;95),0.23,0)+IF(AND(V521&gt;=20,V521&lt;40,W521&gt;=95,W521&lt;=150),0.17,0)+IF(AND(V521&gt;=20,V521&lt;40,W521&gt;=150),0.12,0)+IF(AND(V521&gt;=40,V521&lt;75,W521&lt;35),0.3,0)+IF(AND(V521&gt;=40,V521&lt;75,W521&gt;=35,W521&lt;75),0.23,0)+IF(AND(V521&gt;=40,V521&lt;75,W521&gt;=75,W521&lt;120),0.17,0)+IF(AND(V521&gt;=40,V521&lt;75,W521&gt;=120),0.12,0)+IF(AND(V521&gt;=75,V521&lt;175,W521&lt;35),0.3,0)+IF(AND(V521&gt;=75,V521&lt;=175,W521&gt;=35,W521&lt;65),0.23,0)+IF(AND(V521&gt;=75,V521&lt;=175,W521&gt;=65,W521&lt;110),0.17,0)+IF(AND(V521&gt;=75,V521&lt;=175,W521&gt;=110),0.12,0)+IF(AND(V521&gt;175,W521&lt;25),0.3,0)+IF(AND(V521&gt;175,W521&gt;=25,W521&lt;55),0.23,0)+IF(AND(V521&gt;175,W521&gt;=55,W521&lt;95),0.17,0)+IF(AND(V521&gt;175,W521&gt;=95),0.12,0),
IF(AF521="DoEVsu",IF(AND(V521&lt;20,W521&lt;55),0.3,0)+IF(AND(V521&lt;20,W521&gt;=55,W521&lt;105),0.23,0)+IF(AND(V521&lt;20,W521&gt;=105),0.17,0)+IF(AND(V521&gt;=20,V521&lt;40,W521&lt;45),0.3,0)+IF(AND(V521&gt;=20,V521&lt;40,W521&gt;=45,W521&lt;95),0.23,0)+IF(AND(V521&gt;=20,V521&lt;40,W521&gt;=95,W521&lt;=250),0.17,0)+IF(AND(V521&gt;=20,V521&lt;40,W521&gt;=250),0.12,0)+IF(AND(V521&gt;=40,V521&lt;75,W521&lt;35),0.3,0)+IF(AND(V521&gt;=40,V521&lt;75,W521&gt;=35,W521&lt;75),0.23,0)+IF(AND(V521&gt;=40,V521&lt;75,W521&gt;=75,W521&lt;120),0.17,0)+IF(AND(V521&gt;=40,V521&lt;75,W521&gt;=120),0.12,0)+IF(AND(V521&gt;=75,V521&lt;175,W521&lt;35),0.3,0)+IF(AND(V521&gt;=75,V521&lt;=175,W521&gt;=35,W521&lt;65),0.23,0)+IF(AND(V521&gt;=75,V521&lt;=175,W521&gt;=65,W521&lt;110),0.17,0)+IF(AND(V521&gt;=75,V521&lt;=175,W521&gt;=110),0.12,0)+IF(AND(V521&gt;175,W521&lt;25),0.3,0)+IF(AND(V521&gt;175,W521&gt;=25,W521&lt;55),0.23,0)+IF(AND(V521&gt;175,W521&gt;=55,W521&lt;95),0.17,0)+IF(AND(V521&gt;175,W521&gt;=95),0.12,0),
IF(AF521="DoEVni",IF(AND(V521&lt;20,W521&lt;55),0.3,0)+IF(AND(V521&lt;20,W521&gt;=55,W521&lt;105),0.23,0)+IF(AND(V521&lt;20,W521&gt;=105),0.17,0)+IF(AND(V521&gt;=20,V521&lt;40,W521&lt;45),0.3,0)+IF(AND(V521&gt;=20,V521&lt;40,W521&gt;=45,W521&lt;95),0.23,0)+IF(AND(V521&gt;=20,V521&lt;40,W521&gt;=95,W521&lt;=200),0.17,0)+IF(AND(V521&gt;=20,V521&lt;40,W521&gt;=200),0.12,0)+IF(AND(V521&gt;=40,V521&lt;75,W521&lt;35),0.3,0)+IF(AND(V521&gt;=40,V521&lt;75,W521&gt;=35,W521&lt;75),0.23,0)+IF(AND(V521&gt;=40,V521&lt;75,W521&gt;=75,W521&lt;120),0.17,0)+IF(AND(V521&gt;=40,V521&lt;75,W521&gt;=120),0.12,0)+IF(AND(V521&gt;=75,V521&lt;175,W521&lt;35),0.3,0)+IF(AND(V521&gt;=75,V521&lt;=175,W521&gt;=35,W521&lt;65),0.23,0)+IF(AND(V521&gt;=75,V521&lt;=175,W521&gt;=65,W521&lt;110),0.17,0)+IF(AND(V521&gt;=75,V521&lt;=175,W521&gt;=110),0.12,0)+IF(AND(V521&gt;175,W521&lt;25),0.3,0)+IF(AND(V521&gt;175,W521&gt;=25,W521&lt;55),0.23,0)+IF(AND(V521&gt;175,W521&gt;=55,W521&lt;95),0.17,0)+IF(AND(V521&gt;175,W521&gt;=95),0.12,0),
IF(AF521="DoEVLo",IF(AND(V521&lt;20,W521&lt;55),0.25,0)+IF(AND(V521&lt;20,W521&gt;=55,W521&lt;105),0.2,0)+IF(AND(V521&lt;20,W521&gt;=105),0.15,0)+IF(AND(V521&gt;=20,V521&lt;40,W521&lt;45),0.25,0)+IF(AND(V521&gt;=20,V521&lt;40,W521&gt;=45,W521&lt;95),0.2,0)+IF(AND(V521&gt;=20,V521&lt;40,W521&gt;=95),0.15,0)+IF(AND(V521&gt;=40,V521&lt;75,W521&lt;35),0.25,0)+IF(AND(V521&gt;=40,V521&lt;75,W521&gt;=35,W521&lt;75),0.2,0)+IF(AND(V521&gt;=40,V521&lt;75,W521&gt;=75,W521&lt;120),0.15,0)+IF(AND(V521&gt;=40,V521&lt;75,W521&gt;=120),0.1,0)+IF(AND(V521&gt;=75,V521&lt;175,W521&lt;35),0.25,0)+IF(AND(V521&gt;=75,V521&lt;=175,W521&gt;=35,W521&lt;65),0.2,0)+IF(AND(V521&gt;=75,V521&lt;=175,W521&gt;=65,W521&lt;110),0.15,0)+IF(AND(V521&gt;=75,V521&lt;=175,W521&gt;=110),0.1,0)+IF(AND(V521&gt;175,W521&lt;25),0.25,0)+IF(AND(V521&gt;175,W521&gt;=25,W521&lt;55),0.2,0)+IF(AND(V521&gt;175,W521&gt;=55,W521&lt;95),0.15,0)+IF(AND(V521&gt;175,W521&gt;=95),0.1,0)))))))))))))))))</f>
        <v>0.1875</v>
      </c>
      <c r="Y521" s="30">
        <f>IF(AG521="None",0,IF(AG521="Fix5",0.05, IF(AG521="Fix6.25",0.0625,IF(AG521="Fix3.75",0.0375,IF(AG521="Fix10",0.1,IF(AG521="Fix3",0.03,0))))))</f>
        <v>6.25E-2</v>
      </c>
      <c r="Z521" s="35">
        <f>T521-AA521-AB521</f>
        <v>-146.25</v>
      </c>
      <c r="AA521" s="29">
        <f>IF(AD521="EUR",((T521-R521)*X521)*U521+(R521*X521),(T521*X521))</f>
        <v>-36.5625</v>
      </c>
      <c r="AB521" s="36">
        <f>IF(AD521="EUR",((T521-R521)*Y521)*U521+(R521*Y521),(T521*Y521))</f>
        <v>-12.1875</v>
      </c>
      <c r="AC521" s="37" t="b">
        <v>1</v>
      </c>
      <c r="AD521" s="37" t="s">
        <v>38</v>
      </c>
      <c r="AE521" s="37" t="s">
        <v>38</v>
      </c>
      <c r="AF521" s="37" t="s">
        <v>146</v>
      </c>
      <c r="AG521" s="38" t="s">
        <v>147</v>
      </c>
    </row>
    <row r="522" spans="1:33" ht="14.25" hidden="1" x14ac:dyDescent="0.2">
      <c r="A522" s="18" t="str">
        <f t="array" ref="A522">IF(G522='Room Info'!$B$1, INDEX('Room Info'!$A$2:$A2446, MATCH(B522,'Room Info'!$B$2:$B2446, 0)),IF(G522='Room Info'!$C$1, INDEX('Room Info'!$A$2:$A2446, MATCH(B522,'Room Info'!$C$2:$C2446, 0)),IF(G522='Room Info'!$D$1, INDEX('Room Info'!$A$2:$A2446, MATCH(B522,'Room Info'!$D$2:$D2446, 0)),IF(G522='Room Info'!$E$1, INDEX('Room Info'!$A$2:$A2446, MATCH(B522,'Room Info'!$E$2:$E2446, 0)),IF(G522='Room Info'!$F$1, INDEX('Room Info'!$A$2:$A2446, MATCH(B522,'Room Info'!$F$2:$F2446, 0)),IF(G522='Room Info'!$H$1, INDEX('Room Info'!$A$2:$A2446, MATCH(B522,'Room Info'!$H$2:$H2446, 0)),IF(G522='Room Info'!$G$1, INDEX('Room Info'!$A$2:$A2446, MATCH(B522,'Room Info'!$G$2:$G2446, 0)))))))))</f>
        <v>benyya</v>
      </c>
      <c r="B522" s="45" t="s">
        <v>145</v>
      </c>
      <c r="C522" s="46">
        <v>44835</v>
      </c>
      <c r="D522" s="46">
        <v>44865</v>
      </c>
      <c r="E522" s="47">
        <v>44835</v>
      </c>
      <c r="F522" s="48" t="s">
        <v>49</v>
      </c>
      <c r="G522" s="54" t="s">
        <v>35</v>
      </c>
      <c r="H522" s="49" t="s">
        <v>70</v>
      </c>
      <c r="I522" s="49" t="s">
        <v>37</v>
      </c>
      <c r="J522" s="50">
        <v>100</v>
      </c>
      <c r="K522" s="51">
        <v>23</v>
      </c>
      <c r="L522" s="52">
        <v>-9</v>
      </c>
      <c r="M522" s="53">
        <v>80</v>
      </c>
      <c r="N522" s="28">
        <f>K522*J522</f>
        <v>2300</v>
      </c>
      <c r="O522" s="54">
        <v>6</v>
      </c>
      <c r="P522" s="29">
        <v>0.26086956519999999</v>
      </c>
      <c r="Q522" s="55"/>
      <c r="R522" s="31">
        <f>M522+Q522</f>
        <v>80</v>
      </c>
      <c r="S522" s="56">
        <v>-135</v>
      </c>
      <c r="T522" s="32">
        <f>R522+S522+IF(F522="Without EV deal",L522,0)</f>
        <v>-55</v>
      </c>
      <c r="U522" s="57">
        <v>1</v>
      </c>
      <c r="V522" s="58"/>
      <c r="W522" s="58"/>
      <c r="X522" s="30">
        <f>IF(AF522="DoEV",IF(AND(V522&lt;20,W522&lt;55),0.3,0)+IF(AND(V522&lt;20,W522&gt;=55,W522&lt;105),0.23,0)+IF(AND(V522&lt;20,W522&gt;=105),0.17,0)+IF(AND(V522&gt;=20,V522&lt;40,W522&lt;45),0.3,0)+IF(AND(V522&gt;=20,V522&lt;40,W522&gt;=45,W522&lt;95),0.23,0)+IF(AND(V522&gt;=20,V522&lt;40,W522&gt;=95),0.17,0)+IF(AND(V522&gt;=40,V522&lt;75,W522&lt;35),0.3,0)+IF(AND(V522&gt;=40,V522&lt;75,W522&gt;=35,W522&lt;75),0.23,0)+IF(AND(V522&gt;=40,V522&lt;75,W522&gt;=75,W522&lt;120),0.17,0)+IF(AND(V522&gt;=40,V522&lt;75,W522&gt;=120),0.12,0)+IF(AND(V522&gt;=75,V522&lt;175,W522&lt;35),0.3,0)+IF(AND(V522&gt;=75,V522&lt;=175,W522&gt;=35,W522&lt;65),0.23,0)+IF(AND(V522&gt;=75,V522&lt;=175,W522&gt;=65,W522&lt;110),0.17,0)+IF(AND(V522&gt;=75,V522&lt;=175,W522&gt;=110),0.12,0)+IF(AND(V522&gt;175,W522&lt;25),0.3,0)+IF(AND(V522&gt;175,W522&gt;=25,W522&lt;55),0.23,0)+IF(AND(V522&gt;175,W522&gt;=55,W522&lt;95),0.17,0)+IF(AND(V522&gt;175,W522&gt;=95),0.12,0),
IF(AF522="Fix15",0.15,
IF(AF522="Fix18.75",0.1875,
IF(AF522="Fix11.25",0.1125,
IF(AF522="Fix10",0.1,
IF(AF522="Fix9",0.09,
IF(AF522="DoEV2017",IF(AND(W522&lt;74),0.2,0)+IF(AND(W522&gt;=74),0.17,0),
IF(AF522="SF",IF(AND(V522&lt;20,W522&lt;89),0.3,0)+IF(AND(V522&lt;20,W522&gt;=89),0.25,0)+IF(AND(V522&gt;=20,V522&lt;40,W522&lt;74),0.3,0)+IF(AND(V522&gt;=20,V522&lt;40,W522&gt;=75),0.22,0)+IF(AND(V522&gt;=40,V522&lt;75,W522&lt;75),0.26,0)+IF(AND(V522&gt;=40,V522&lt;75,W522&gt;=75),0.22,0)+IF(V522&gt;=75,0.22,0),
IF(AF522="DoEVold",IF(AND(V522&lt;40,W522&lt;35),0.35,0)+IF(AND(V522&lt;40,W522&gt;=35,W522&lt;75),0.25,0)+IF(AND(V522&lt;40,W522&gt;=75),0.17,0)+IF(AND(V522&gt;=40,V522&lt;75,W522&lt;25),0.35,0)+IF(AND(V522&gt;=40,V522&lt;75,W522&gt;=25,W522&lt;65),0.25,0)+IF(AND(V522&gt;=40,V522&lt;75,W522&gt;=65,W522&lt;100),0.17,0)+IF(AND(V522&gt;=40,V522&lt;75,W522&gt;=100),0.1,0)+IF(AND(V522&gt;=75,W522&lt;25),0.35,0)+IF(AND(V522&gt;=75,W522&gt;=25,W522&lt;60),0.25,0)+IF(AND(V522&gt;=75,W522&gt;=60,W522&lt;95),0.17,0)+IF(AND(V522&gt;=75,W522&gt;=95),0.1,0),
IF(AF522="DoEVold15",IF(AND(V522&lt;=40,W522&lt;35),0.35,0)+IF(AND(V522&lt;=40,W522&gt;=35,W522&lt;75),0.25,0)+IF(AND(V522&lt;=40,W522&gt;=75,W522&lt;120),0.17,0)+IF(AND(V522&lt;=40,W522&gt;=120),0.15,0)+IF(AND(V522&gt;40,V522&lt;75,W522&lt;25),0.35,0)+IF(AND(V522&gt;=40,V522&lt;75,W522&gt;=25,W522&lt;65),0.25,0)+IF(AND(V522&gt;=40,V522&lt;75,W522&gt;=65,W522&lt;100),0.17,0)+IF(AND(V522&gt;=40,V522&lt;75,W522&gt;=100),0.1,0)+IF(AND(V522&gt;=75,W522&lt;25),0.35,0)+IF(AND(V522&gt;=75,W522&gt;=25,W522&lt;60),0.25,0)+IF(AND(V522&gt;=75,W522&gt;=60,W522&lt;95),0.17,0)+IF(AND(V522&gt;=75,W522&gt;=95),0.1,0),
IF(AF522="DoEVba",IF(AND(V522&lt;20,W522&lt;105),0.2,0)+IF(AND(V522&lt;20,W522&gt;=105),0.15,0)+IF(AND(V522&gt;=20,V522&lt;40,W522&lt;95),0.2,0)+IF(AND(V522&gt;=20,V522&lt;40,W522&gt;=95,W522&lt;150),0.15,0)+IF(AND(V522&gt;=20,V522&lt;40,W522&gt;=150),0.12,0)+IF(AND(V522&gt;=40,V522&lt;75,W522&lt;75),0.2,0)+IF(AND(V522&gt;=40,V522&lt;75,W522&gt;=75,W522&lt;120),0.15,0)+IF(AND(V522&gt;=40,V522&lt;75,W522&gt;=120),0.12,0)+IF(AND(V522&gt;=75,V522&lt;175,W522&lt;65),0.2,0)+IF(AND(V522&gt;=75,V522&lt;175,W522&gt;=65,W522&lt;110),0.15,0)+IF(AND(V522&gt;=75,V522&lt;175,W522&gt;=110),0.12,0)+IF(AND(V522&gt;=175,W522&lt;55),0.2,0)+IF(AND(V522&gt;=175,W522&gt;=55,W522&lt;95),0.15,0)+IF(AND(V522&gt;=175,W522&gt;=95),0.12,0),
IF(AF522="DoEVku",IF(AND(V522&lt;20,W522&lt;55),0.23,0)+IF(AND(V522&lt;20,W522&gt;=55,W522&lt;105),0.2,0)+IF(AND(V522&lt;20,W522&gt;=105),0.17,0)+IF(AND(V522&gt;=20,V522&lt;40,W522&lt;45),0.23,0)+IF(AND(V522&gt;=20,V522&lt;40,W522&gt;=45,W522&lt;95),0.2,0)+IF(AND(V522&gt;=20,V522&lt;40,W522&gt;=95,W522&lt;=150),0.17,0)+IF(AND(V522&gt;=20,V522&lt;40,W522&gt;=150),0.12,0)+IF(AND(V522&gt;=40,V522&lt;75,W522&lt;35),0.23,0)+IF(AND(V522&gt;=40,V522&lt;75,W522&gt;=35,W522&lt;75),0.2,0)+IF(AND(V522&gt;=40,V522&lt;75,W522&gt;=75,W522&lt;120),0.17,0)+IF(AND(V522&gt;=40,V522&lt;75,W522&gt;=120),0.12,0)+IF(AND(V522&gt;=75,V522&lt;175,W522&lt;35),0.23,0)+IF(AND(V522&gt;=75,V522&lt;=175,W522&gt;=35,W522&lt;65),0.2,0)+IF(AND(V522&gt;=75,V522&lt;=175,W522&gt;=65,W522&lt;110),0.17,0)+IF(AND(V522&gt;=75,V522&lt;=175,W522&gt;=110),0.12,0)+IF(AND(V522&gt;175,W522&lt;25),0.23,0)+IF(AND(V522&gt;175,W522&gt;=25,W522&lt;55),0.2,0)+IF(AND(V522&gt;175,W522&gt;=55,W522&lt;95),0.17,0)+IF(AND(V522&gt;175,W522&gt;=95),0.12,0),
IF(AF522="DoEVs1",IF(AND(V522&lt;20,W522&lt;55),0.3,0)+IF(AND(V522&lt;20,W522&gt;=55,W522&lt;105),0.23,0)+IF(AND(V522&lt;20,W522&gt;=105),0.17,0)+IF(AND(V522&gt;=20,V522&lt;40,W522&lt;45),0.3,0)+IF(AND(V522&gt;=20,V522&lt;40,W522&gt;=45,W522&lt;95),0.23,0)+IF(AND(V522&gt;=20,V522&lt;40,W522&gt;=95,W522&lt;=150),0.17,0)+IF(AND(V522&gt;=20,V522&lt;40,W522&gt;=150),0.12,0)+IF(AND(V522&gt;=40,V522&lt;75,W522&lt;35),0.3,0)+IF(AND(V522&gt;=40,V522&lt;75,W522&gt;=35,W522&lt;75),0.23,0)+IF(AND(V522&gt;=40,V522&lt;75,W522&gt;=75,W522&lt;120),0.17,0)+IF(AND(V522&gt;=40,V522&lt;75,W522&gt;=120),0.12,0)+IF(AND(V522&gt;=75,V522&lt;175,W522&lt;35),0.3,0)+IF(AND(V522&gt;=75,V522&lt;=175,W522&gt;=35,W522&lt;65),0.23,0)+IF(AND(V522&gt;=75,V522&lt;=175,W522&gt;=65,W522&lt;110),0.17,0)+IF(AND(V522&gt;=75,V522&lt;=175,W522&gt;=110),0.12,0)+IF(AND(V522&gt;175,W522&lt;25),0.3,0)+IF(AND(V522&gt;175,W522&gt;=25,W522&lt;55),0.23,0)+IF(AND(V522&gt;175,W522&gt;=55,W522&lt;95),0.17,0)+IF(AND(V522&gt;175,W522&gt;=95),0.12,0),
IF(AF522="DoEVsu",IF(AND(V522&lt;20,W522&lt;55),0.3,0)+IF(AND(V522&lt;20,W522&gt;=55,W522&lt;105),0.23,0)+IF(AND(V522&lt;20,W522&gt;=105),0.17,0)+IF(AND(V522&gt;=20,V522&lt;40,W522&lt;45),0.3,0)+IF(AND(V522&gt;=20,V522&lt;40,W522&gt;=45,W522&lt;95),0.23,0)+IF(AND(V522&gt;=20,V522&lt;40,W522&gt;=95,W522&lt;=250),0.17,0)+IF(AND(V522&gt;=20,V522&lt;40,W522&gt;=250),0.12,0)+IF(AND(V522&gt;=40,V522&lt;75,W522&lt;35),0.3,0)+IF(AND(V522&gt;=40,V522&lt;75,W522&gt;=35,W522&lt;75),0.23,0)+IF(AND(V522&gt;=40,V522&lt;75,W522&gt;=75,W522&lt;120),0.17,0)+IF(AND(V522&gt;=40,V522&lt;75,W522&gt;=120),0.12,0)+IF(AND(V522&gt;=75,V522&lt;175,W522&lt;35),0.3,0)+IF(AND(V522&gt;=75,V522&lt;=175,W522&gt;=35,W522&lt;65),0.23,0)+IF(AND(V522&gt;=75,V522&lt;=175,W522&gt;=65,W522&lt;110),0.17,0)+IF(AND(V522&gt;=75,V522&lt;=175,W522&gt;=110),0.12,0)+IF(AND(V522&gt;175,W522&lt;25),0.3,0)+IF(AND(V522&gt;175,W522&gt;=25,W522&lt;55),0.23,0)+IF(AND(V522&gt;175,W522&gt;=55,W522&lt;95),0.17,0)+IF(AND(V522&gt;175,W522&gt;=95),0.12,0),
IF(AF522="DoEVni",IF(AND(V522&lt;20,W522&lt;55),0.3,0)+IF(AND(V522&lt;20,W522&gt;=55,W522&lt;105),0.23,0)+IF(AND(V522&lt;20,W522&gt;=105),0.17,0)+IF(AND(V522&gt;=20,V522&lt;40,W522&lt;45),0.3,0)+IF(AND(V522&gt;=20,V522&lt;40,W522&gt;=45,W522&lt;95),0.23,0)+IF(AND(V522&gt;=20,V522&lt;40,W522&gt;=95,W522&lt;=200),0.17,0)+IF(AND(V522&gt;=20,V522&lt;40,W522&gt;=200),0.12,0)+IF(AND(V522&gt;=40,V522&lt;75,W522&lt;35),0.3,0)+IF(AND(V522&gt;=40,V522&lt;75,W522&gt;=35,W522&lt;75),0.23,0)+IF(AND(V522&gt;=40,V522&lt;75,W522&gt;=75,W522&lt;120),0.17,0)+IF(AND(V522&gt;=40,V522&lt;75,W522&gt;=120),0.12,0)+IF(AND(V522&gt;=75,V522&lt;175,W522&lt;35),0.3,0)+IF(AND(V522&gt;=75,V522&lt;=175,W522&gt;=35,W522&lt;65),0.23,0)+IF(AND(V522&gt;=75,V522&lt;=175,W522&gt;=65,W522&lt;110),0.17,0)+IF(AND(V522&gt;=75,V522&lt;=175,W522&gt;=110),0.12,0)+IF(AND(V522&gt;175,W522&lt;25),0.3,0)+IF(AND(V522&gt;175,W522&gt;=25,W522&lt;55),0.23,0)+IF(AND(V522&gt;175,W522&gt;=55,W522&lt;95),0.17,0)+IF(AND(V522&gt;175,W522&gt;=95),0.12,0),
IF(AF522="DoEVLo",IF(AND(V522&lt;20,W522&lt;55),0.25,0)+IF(AND(V522&lt;20,W522&gt;=55,W522&lt;105),0.2,0)+IF(AND(V522&lt;20,W522&gt;=105),0.15,0)+IF(AND(V522&gt;=20,V522&lt;40,W522&lt;45),0.25,0)+IF(AND(V522&gt;=20,V522&lt;40,W522&gt;=45,W522&lt;95),0.2,0)+IF(AND(V522&gt;=20,V522&lt;40,W522&gt;=95),0.15,0)+IF(AND(V522&gt;=40,V522&lt;75,W522&lt;35),0.25,0)+IF(AND(V522&gt;=40,V522&lt;75,W522&gt;=35,W522&lt;75),0.2,0)+IF(AND(V522&gt;=40,V522&lt;75,W522&gt;=75,W522&lt;120),0.15,0)+IF(AND(V522&gt;=40,V522&lt;75,W522&gt;=120),0.1,0)+IF(AND(V522&gt;=75,V522&lt;175,W522&lt;35),0.25,0)+IF(AND(V522&gt;=75,V522&lt;=175,W522&gt;=35,W522&lt;65),0.2,0)+IF(AND(V522&gt;=75,V522&lt;=175,W522&gt;=65,W522&lt;110),0.15,0)+IF(AND(V522&gt;=75,V522&lt;=175,W522&gt;=110),0.1,0)+IF(AND(V522&gt;175,W522&lt;25),0.25,0)+IF(AND(V522&gt;175,W522&gt;=25,W522&lt;55),0.2,0)+IF(AND(V522&gt;175,W522&gt;=55,W522&lt;95),0.15,0)+IF(AND(V522&gt;175,W522&gt;=95),0.1,0)))))))))))))))))</f>
        <v>0.1875</v>
      </c>
      <c r="Y522" s="30">
        <f>IF(AG522="None",0,IF(AG522="Fix5",0.05, IF(AG522="Fix6.25",0.0625,IF(AG522="Fix3.75",0.0375,IF(AG522="Fix10",0.1,IF(AG522="Fix3",0.03,0))))))</f>
        <v>6.25E-2</v>
      </c>
      <c r="Z522" s="35">
        <f>T522-AA522-AB522</f>
        <v>-41.25</v>
      </c>
      <c r="AA522" s="29">
        <f>IF(AD522="EUR",((T522-R522)*X522)*U522+(R522*X522),(T522*X522))</f>
        <v>-10.3125</v>
      </c>
      <c r="AB522" s="36">
        <f>IF(AD522="EUR",((T522-R522)*Y522)*U522+(R522*Y522),(T522*Y522))</f>
        <v>-3.4375</v>
      </c>
      <c r="AC522" s="37" t="b">
        <v>1</v>
      </c>
      <c r="AD522" s="37" t="s">
        <v>38</v>
      </c>
      <c r="AE522" s="37" t="s">
        <v>38</v>
      </c>
      <c r="AF522" s="37" t="s">
        <v>146</v>
      </c>
      <c r="AG522" s="38" t="s">
        <v>147</v>
      </c>
    </row>
    <row r="523" spans="1:33" ht="14.25" hidden="1" x14ac:dyDescent="0.2">
      <c r="A523" s="18" t="str">
        <f t="array" ref="A523">IF(G523='Room Info'!$B$1, INDEX('Room Info'!$A$2:$A2446, MATCH(B523,'Room Info'!$B$2:$B2446, 0)),IF(G523='Room Info'!$C$1, INDEX('Room Info'!$A$2:$A2446, MATCH(B523,'Room Info'!$C$2:$C2446, 0)),IF(G523='Room Info'!$D$1, INDEX('Room Info'!$A$2:$A2446, MATCH(B523,'Room Info'!$D$2:$D2446, 0)),IF(G523='Room Info'!$E$1, INDEX('Room Info'!$A$2:$A2446, MATCH(B523,'Room Info'!$E$2:$E2446, 0)),IF(G523='Room Info'!$F$1, INDEX('Room Info'!$A$2:$A2446, MATCH(B523,'Room Info'!$F$2:$F2446, 0)),IF(G523='Room Info'!$H$1, INDEX('Room Info'!$A$2:$A2446, MATCH(B523,'Room Info'!$H$2:$H2446, 0)),IF(G523='Room Info'!$G$1, INDEX('Room Info'!$A$2:$A2446, MATCH(B523,'Room Info'!$G$2:$G2446, 0)))))))))</f>
        <v>benyya</v>
      </c>
      <c r="B523" s="45" t="s">
        <v>145</v>
      </c>
      <c r="C523" s="46">
        <v>44835</v>
      </c>
      <c r="D523" s="46">
        <v>44865</v>
      </c>
      <c r="E523" s="47">
        <v>44835</v>
      </c>
      <c r="F523" s="48" t="s">
        <v>49</v>
      </c>
      <c r="G523" s="54" t="s">
        <v>35</v>
      </c>
      <c r="H523" s="49" t="s">
        <v>142</v>
      </c>
      <c r="I523" s="49" t="s">
        <v>37</v>
      </c>
      <c r="J523" s="50">
        <v>500</v>
      </c>
      <c r="K523" s="51">
        <v>106</v>
      </c>
      <c r="L523" s="52">
        <v>2500</v>
      </c>
      <c r="M523" s="53">
        <v>1852</v>
      </c>
      <c r="N523" s="28">
        <f>K523*J523</f>
        <v>53000</v>
      </c>
      <c r="O523" s="54">
        <v>2993</v>
      </c>
      <c r="P523" s="29">
        <v>28.23584906</v>
      </c>
      <c r="Q523" s="55"/>
      <c r="R523" s="31">
        <f>M523+Q523</f>
        <v>1852</v>
      </c>
      <c r="S523" s="56">
        <v>-161</v>
      </c>
      <c r="T523" s="32">
        <f>R523+S523+IF(F523="Without EV deal",L523,0)</f>
        <v>1691</v>
      </c>
      <c r="U523" s="57">
        <v>1</v>
      </c>
      <c r="V523" s="58"/>
      <c r="W523" s="58"/>
      <c r="X523" s="30">
        <f>IF(AF523="DoEV",IF(AND(V523&lt;20,W523&lt;55),0.3,0)+IF(AND(V523&lt;20,W523&gt;=55,W523&lt;105),0.23,0)+IF(AND(V523&lt;20,W523&gt;=105),0.17,0)+IF(AND(V523&gt;=20,V523&lt;40,W523&lt;45),0.3,0)+IF(AND(V523&gt;=20,V523&lt;40,W523&gt;=45,W523&lt;95),0.23,0)+IF(AND(V523&gt;=20,V523&lt;40,W523&gt;=95),0.17,0)+IF(AND(V523&gt;=40,V523&lt;75,W523&lt;35),0.3,0)+IF(AND(V523&gt;=40,V523&lt;75,W523&gt;=35,W523&lt;75),0.23,0)+IF(AND(V523&gt;=40,V523&lt;75,W523&gt;=75,W523&lt;120),0.17,0)+IF(AND(V523&gt;=40,V523&lt;75,W523&gt;=120),0.12,0)+IF(AND(V523&gt;=75,V523&lt;175,W523&lt;35),0.3,0)+IF(AND(V523&gt;=75,V523&lt;=175,W523&gt;=35,W523&lt;65),0.23,0)+IF(AND(V523&gt;=75,V523&lt;=175,W523&gt;=65,W523&lt;110),0.17,0)+IF(AND(V523&gt;=75,V523&lt;=175,W523&gt;=110),0.12,0)+IF(AND(V523&gt;175,W523&lt;25),0.3,0)+IF(AND(V523&gt;175,W523&gt;=25,W523&lt;55),0.23,0)+IF(AND(V523&gt;175,W523&gt;=55,W523&lt;95),0.17,0)+IF(AND(V523&gt;175,W523&gt;=95),0.12,0),
IF(AF523="Fix15",0.15,
IF(AF523="Fix18.75",0.1875,
IF(AF523="Fix11.25",0.1125,
IF(AF523="Fix10",0.1,
IF(AF523="Fix9",0.09,
IF(AF523="DoEV2017",IF(AND(W523&lt;74),0.2,0)+IF(AND(W523&gt;=74),0.17,0),
IF(AF523="SF",IF(AND(V523&lt;20,W523&lt;89),0.3,0)+IF(AND(V523&lt;20,W523&gt;=89),0.25,0)+IF(AND(V523&gt;=20,V523&lt;40,W523&lt;74),0.3,0)+IF(AND(V523&gt;=20,V523&lt;40,W523&gt;=75),0.22,0)+IF(AND(V523&gt;=40,V523&lt;75,W523&lt;75),0.26,0)+IF(AND(V523&gt;=40,V523&lt;75,W523&gt;=75),0.22,0)+IF(V523&gt;=75,0.22,0),
IF(AF523="DoEVold",IF(AND(V523&lt;40,W523&lt;35),0.35,0)+IF(AND(V523&lt;40,W523&gt;=35,W523&lt;75),0.25,0)+IF(AND(V523&lt;40,W523&gt;=75),0.17,0)+IF(AND(V523&gt;=40,V523&lt;75,W523&lt;25),0.35,0)+IF(AND(V523&gt;=40,V523&lt;75,W523&gt;=25,W523&lt;65),0.25,0)+IF(AND(V523&gt;=40,V523&lt;75,W523&gt;=65,W523&lt;100),0.17,0)+IF(AND(V523&gt;=40,V523&lt;75,W523&gt;=100),0.1,0)+IF(AND(V523&gt;=75,W523&lt;25),0.35,0)+IF(AND(V523&gt;=75,W523&gt;=25,W523&lt;60),0.25,0)+IF(AND(V523&gt;=75,W523&gt;=60,W523&lt;95),0.17,0)+IF(AND(V523&gt;=75,W523&gt;=95),0.1,0),
IF(AF523="DoEVold15",IF(AND(V523&lt;=40,W523&lt;35),0.35,0)+IF(AND(V523&lt;=40,W523&gt;=35,W523&lt;75),0.25,0)+IF(AND(V523&lt;=40,W523&gt;=75,W523&lt;120),0.17,0)+IF(AND(V523&lt;=40,W523&gt;=120),0.15,0)+IF(AND(V523&gt;40,V523&lt;75,W523&lt;25),0.35,0)+IF(AND(V523&gt;=40,V523&lt;75,W523&gt;=25,W523&lt;65),0.25,0)+IF(AND(V523&gt;=40,V523&lt;75,W523&gt;=65,W523&lt;100),0.17,0)+IF(AND(V523&gt;=40,V523&lt;75,W523&gt;=100),0.1,0)+IF(AND(V523&gt;=75,W523&lt;25),0.35,0)+IF(AND(V523&gt;=75,W523&gt;=25,W523&lt;60),0.25,0)+IF(AND(V523&gt;=75,W523&gt;=60,W523&lt;95),0.17,0)+IF(AND(V523&gt;=75,W523&gt;=95),0.1,0),
IF(AF523="DoEVba",IF(AND(V523&lt;20,W523&lt;105),0.2,0)+IF(AND(V523&lt;20,W523&gt;=105),0.15,0)+IF(AND(V523&gt;=20,V523&lt;40,W523&lt;95),0.2,0)+IF(AND(V523&gt;=20,V523&lt;40,W523&gt;=95,W523&lt;150),0.15,0)+IF(AND(V523&gt;=20,V523&lt;40,W523&gt;=150),0.12,0)+IF(AND(V523&gt;=40,V523&lt;75,W523&lt;75),0.2,0)+IF(AND(V523&gt;=40,V523&lt;75,W523&gt;=75,W523&lt;120),0.15,0)+IF(AND(V523&gt;=40,V523&lt;75,W523&gt;=120),0.12,0)+IF(AND(V523&gt;=75,V523&lt;175,W523&lt;65),0.2,0)+IF(AND(V523&gt;=75,V523&lt;175,W523&gt;=65,W523&lt;110),0.15,0)+IF(AND(V523&gt;=75,V523&lt;175,W523&gt;=110),0.12,0)+IF(AND(V523&gt;=175,W523&lt;55),0.2,0)+IF(AND(V523&gt;=175,W523&gt;=55,W523&lt;95),0.15,0)+IF(AND(V523&gt;=175,W523&gt;=95),0.12,0),
IF(AF523="DoEVku",IF(AND(V523&lt;20,W523&lt;55),0.23,0)+IF(AND(V523&lt;20,W523&gt;=55,W523&lt;105),0.2,0)+IF(AND(V523&lt;20,W523&gt;=105),0.17,0)+IF(AND(V523&gt;=20,V523&lt;40,W523&lt;45),0.23,0)+IF(AND(V523&gt;=20,V523&lt;40,W523&gt;=45,W523&lt;95),0.2,0)+IF(AND(V523&gt;=20,V523&lt;40,W523&gt;=95,W523&lt;=150),0.17,0)+IF(AND(V523&gt;=20,V523&lt;40,W523&gt;=150),0.12,0)+IF(AND(V523&gt;=40,V523&lt;75,W523&lt;35),0.23,0)+IF(AND(V523&gt;=40,V523&lt;75,W523&gt;=35,W523&lt;75),0.2,0)+IF(AND(V523&gt;=40,V523&lt;75,W523&gt;=75,W523&lt;120),0.17,0)+IF(AND(V523&gt;=40,V523&lt;75,W523&gt;=120),0.12,0)+IF(AND(V523&gt;=75,V523&lt;175,W523&lt;35),0.23,0)+IF(AND(V523&gt;=75,V523&lt;=175,W523&gt;=35,W523&lt;65),0.2,0)+IF(AND(V523&gt;=75,V523&lt;=175,W523&gt;=65,W523&lt;110),0.17,0)+IF(AND(V523&gt;=75,V523&lt;=175,W523&gt;=110),0.12,0)+IF(AND(V523&gt;175,W523&lt;25),0.23,0)+IF(AND(V523&gt;175,W523&gt;=25,W523&lt;55),0.2,0)+IF(AND(V523&gt;175,W523&gt;=55,W523&lt;95),0.17,0)+IF(AND(V523&gt;175,W523&gt;=95),0.12,0),
IF(AF523="DoEVs1",IF(AND(V523&lt;20,W523&lt;55),0.3,0)+IF(AND(V523&lt;20,W523&gt;=55,W523&lt;105),0.23,0)+IF(AND(V523&lt;20,W523&gt;=105),0.17,0)+IF(AND(V523&gt;=20,V523&lt;40,W523&lt;45),0.3,0)+IF(AND(V523&gt;=20,V523&lt;40,W523&gt;=45,W523&lt;95),0.23,0)+IF(AND(V523&gt;=20,V523&lt;40,W523&gt;=95,W523&lt;=150),0.17,0)+IF(AND(V523&gt;=20,V523&lt;40,W523&gt;=150),0.12,0)+IF(AND(V523&gt;=40,V523&lt;75,W523&lt;35),0.3,0)+IF(AND(V523&gt;=40,V523&lt;75,W523&gt;=35,W523&lt;75),0.23,0)+IF(AND(V523&gt;=40,V523&lt;75,W523&gt;=75,W523&lt;120),0.17,0)+IF(AND(V523&gt;=40,V523&lt;75,W523&gt;=120),0.12,0)+IF(AND(V523&gt;=75,V523&lt;175,W523&lt;35),0.3,0)+IF(AND(V523&gt;=75,V523&lt;=175,W523&gt;=35,W523&lt;65),0.23,0)+IF(AND(V523&gt;=75,V523&lt;=175,W523&gt;=65,W523&lt;110),0.17,0)+IF(AND(V523&gt;=75,V523&lt;=175,W523&gt;=110),0.12,0)+IF(AND(V523&gt;175,W523&lt;25),0.3,0)+IF(AND(V523&gt;175,W523&gt;=25,W523&lt;55),0.23,0)+IF(AND(V523&gt;175,W523&gt;=55,W523&lt;95),0.17,0)+IF(AND(V523&gt;175,W523&gt;=95),0.12,0),
IF(AF523="DoEVsu",IF(AND(V523&lt;20,W523&lt;55),0.3,0)+IF(AND(V523&lt;20,W523&gt;=55,W523&lt;105),0.23,0)+IF(AND(V523&lt;20,W523&gt;=105),0.17,0)+IF(AND(V523&gt;=20,V523&lt;40,W523&lt;45),0.3,0)+IF(AND(V523&gt;=20,V523&lt;40,W523&gt;=45,W523&lt;95),0.23,0)+IF(AND(V523&gt;=20,V523&lt;40,W523&gt;=95,W523&lt;=250),0.17,0)+IF(AND(V523&gt;=20,V523&lt;40,W523&gt;=250),0.12,0)+IF(AND(V523&gt;=40,V523&lt;75,W523&lt;35),0.3,0)+IF(AND(V523&gt;=40,V523&lt;75,W523&gt;=35,W523&lt;75),0.23,0)+IF(AND(V523&gt;=40,V523&lt;75,W523&gt;=75,W523&lt;120),0.17,0)+IF(AND(V523&gt;=40,V523&lt;75,W523&gt;=120),0.12,0)+IF(AND(V523&gt;=75,V523&lt;175,W523&lt;35),0.3,0)+IF(AND(V523&gt;=75,V523&lt;=175,W523&gt;=35,W523&lt;65),0.23,0)+IF(AND(V523&gt;=75,V523&lt;=175,W523&gt;=65,W523&lt;110),0.17,0)+IF(AND(V523&gt;=75,V523&lt;=175,W523&gt;=110),0.12,0)+IF(AND(V523&gt;175,W523&lt;25),0.3,0)+IF(AND(V523&gt;175,W523&gt;=25,W523&lt;55),0.23,0)+IF(AND(V523&gt;175,W523&gt;=55,W523&lt;95),0.17,0)+IF(AND(V523&gt;175,W523&gt;=95),0.12,0),
IF(AF523="DoEVni",IF(AND(V523&lt;20,W523&lt;55),0.3,0)+IF(AND(V523&lt;20,W523&gt;=55,W523&lt;105),0.23,0)+IF(AND(V523&lt;20,W523&gt;=105),0.17,0)+IF(AND(V523&gt;=20,V523&lt;40,W523&lt;45),0.3,0)+IF(AND(V523&gt;=20,V523&lt;40,W523&gt;=45,W523&lt;95),0.23,0)+IF(AND(V523&gt;=20,V523&lt;40,W523&gt;=95,W523&lt;=200),0.17,0)+IF(AND(V523&gt;=20,V523&lt;40,W523&gt;=200),0.12,0)+IF(AND(V523&gt;=40,V523&lt;75,W523&lt;35),0.3,0)+IF(AND(V523&gt;=40,V523&lt;75,W523&gt;=35,W523&lt;75),0.23,0)+IF(AND(V523&gt;=40,V523&lt;75,W523&gt;=75,W523&lt;120),0.17,0)+IF(AND(V523&gt;=40,V523&lt;75,W523&gt;=120),0.12,0)+IF(AND(V523&gt;=75,V523&lt;175,W523&lt;35),0.3,0)+IF(AND(V523&gt;=75,V523&lt;=175,W523&gt;=35,W523&lt;65),0.23,0)+IF(AND(V523&gt;=75,V523&lt;=175,W523&gt;=65,W523&lt;110),0.17,0)+IF(AND(V523&gt;=75,V523&lt;=175,W523&gt;=110),0.12,0)+IF(AND(V523&gt;175,W523&lt;25),0.3,0)+IF(AND(V523&gt;175,W523&gt;=25,W523&lt;55),0.23,0)+IF(AND(V523&gt;175,W523&gt;=55,W523&lt;95),0.17,0)+IF(AND(V523&gt;175,W523&gt;=95),0.12,0),
IF(AF523="DoEVLo",IF(AND(V523&lt;20,W523&lt;55),0.25,0)+IF(AND(V523&lt;20,W523&gt;=55,W523&lt;105),0.2,0)+IF(AND(V523&lt;20,W523&gt;=105),0.15,0)+IF(AND(V523&gt;=20,V523&lt;40,W523&lt;45),0.25,0)+IF(AND(V523&gt;=20,V523&lt;40,W523&gt;=45,W523&lt;95),0.2,0)+IF(AND(V523&gt;=20,V523&lt;40,W523&gt;=95),0.15,0)+IF(AND(V523&gt;=40,V523&lt;75,W523&lt;35),0.25,0)+IF(AND(V523&gt;=40,V523&lt;75,W523&gt;=35,W523&lt;75),0.2,0)+IF(AND(V523&gt;=40,V523&lt;75,W523&gt;=75,W523&lt;120),0.15,0)+IF(AND(V523&gt;=40,V523&lt;75,W523&gt;=120),0.1,0)+IF(AND(V523&gt;=75,V523&lt;175,W523&lt;35),0.25,0)+IF(AND(V523&gt;=75,V523&lt;=175,W523&gt;=35,W523&lt;65),0.2,0)+IF(AND(V523&gt;=75,V523&lt;=175,W523&gt;=65,W523&lt;110),0.15,0)+IF(AND(V523&gt;=75,V523&lt;=175,W523&gt;=110),0.1,0)+IF(AND(V523&gt;175,W523&lt;25),0.25,0)+IF(AND(V523&gt;175,W523&gt;=25,W523&lt;55),0.2,0)+IF(AND(V523&gt;175,W523&gt;=55,W523&lt;95),0.15,0)+IF(AND(V523&gt;175,W523&gt;=95),0.1,0)))))))))))))))))</f>
        <v>0.1875</v>
      </c>
      <c r="Y523" s="30">
        <f>IF(AG523="None",0,IF(AG523="Fix5",0.05, IF(AG523="Fix6.25",0.0625,IF(AG523="Fix3.75",0.0375,IF(AG523="Fix10",0.1,IF(AG523="Fix3",0.03,0))))))</f>
        <v>6.25E-2</v>
      </c>
      <c r="Z523" s="35">
        <f>T523-AA523-AB523</f>
        <v>1268.25</v>
      </c>
      <c r="AA523" s="29">
        <f>IF(AD523="EUR",((T523-R523)*X523)*U523+(R523*X523),(T523*X523))</f>
        <v>317.0625</v>
      </c>
      <c r="AB523" s="36">
        <f>IF(AD523="EUR",((T523-R523)*Y523)*U523+(R523*Y523),(T523*Y523))</f>
        <v>105.6875</v>
      </c>
      <c r="AC523" s="37" t="b">
        <v>1</v>
      </c>
      <c r="AD523" s="37" t="s">
        <v>38</v>
      </c>
      <c r="AE523" s="37" t="s">
        <v>38</v>
      </c>
      <c r="AF523" s="37" t="s">
        <v>146</v>
      </c>
      <c r="AG523" s="38" t="s">
        <v>147</v>
      </c>
    </row>
    <row r="524" spans="1:33" ht="14.25" hidden="1" x14ac:dyDescent="0.2">
      <c r="A524" s="18" t="str">
        <f t="array" ref="A524">IF(G524='Room Info'!$B$1, INDEX('Room Info'!$A$2:$A2446, MATCH(B524,'Room Info'!$B$2:$B2446, 0)),IF(G524='Room Info'!$C$1, INDEX('Room Info'!$A$2:$A2446, MATCH(B524,'Room Info'!$C$2:$C2446, 0)),IF(G524='Room Info'!$D$1, INDEX('Room Info'!$A$2:$A2446, MATCH(B524,'Room Info'!$D$2:$D2446, 0)),IF(G524='Room Info'!$E$1, INDEX('Room Info'!$A$2:$A2446, MATCH(B524,'Room Info'!$E$2:$E2446, 0)),IF(G524='Room Info'!$F$1, INDEX('Room Info'!$A$2:$A2446, MATCH(B524,'Room Info'!$F$2:$F2446, 0)),IF(G524='Room Info'!$H$1, INDEX('Room Info'!$A$2:$A2446, MATCH(B524,'Room Info'!$H$2:$H2446, 0)),IF(G524='Room Info'!$G$1, INDEX('Room Info'!$A$2:$A2446, MATCH(B524,'Room Info'!$G$2:$G2446, 0)))))))))</f>
        <v>benyya</v>
      </c>
      <c r="B524" s="45" t="s">
        <v>145</v>
      </c>
      <c r="C524" s="46">
        <v>44835</v>
      </c>
      <c r="D524" s="46">
        <v>44865</v>
      </c>
      <c r="E524" s="47">
        <v>44835</v>
      </c>
      <c r="F524" s="48" t="s">
        <v>49</v>
      </c>
      <c r="G524" s="54" t="s">
        <v>35</v>
      </c>
      <c r="H524" s="49" t="s">
        <v>149</v>
      </c>
      <c r="I524" s="49" t="s">
        <v>44</v>
      </c>
      <c r="J524" s="50">
        <v>500</v>
      </c>
      <c r="K524" s="51">
        <v>115</v>
      </c>
      <c r="L524" s="52">
        <v>1500</v>
      </c>
      <c r="M524" s="53">
        <v>2009</v>
      </c>
      <c r="N524" s="28">
        <f>K524*J524</f>
        <v>57500</v>
      </c>
      <c r="O524" s="54">
        <v>-1241</v>
      </c>
      <c r="P524" s="29">
        <v>-10.791304350000001</v>
      </c>
      <c r="Q524" s="55"/>
      <c r="R524" s="31">
        <f>M524+Q524</f>
        <v>2009</v>
      </c>
      <c r="S524" s="56">
        <v>-5147</v>
      </c>
      <c r="T524" s="32">
        <f>R524+S524+IF(F524="Without EV deal",L524,0)</f>
        <v>-3138</v>
      </c>
      <c r="U524" s="57">
        <v>1</v>
      </c>
      <c r="V524" s="58"/>
      <c r="W524" s="58"/>
      <c r="X524" s="30">
        <f>IF(AF524="DoEV",IF(AND(V524&lt;20,W524&lt;55),0.3,0)+IF(AND(V524&lt;20,W524&gt;=55,W524&lt;105),0.23,0)+IF(AND(V524&lt;20,W524&gt;=105),0.17,0)+IF(AND(V524&gt;=20,V524&lt;40,W524&lt;45),0.3,0)+IF(AND(V524&gt;=20,V524&lt;40,W524&gt;=45,W524&lt;95),0.23,0)+IF(AND(V524&gt;=20,V524&lt;40,W524&gt;=95),0.17,0)+IF(AND(V524&gt;=40,V524&lt;75,W524&lt;35),0.3,0)+IF(AND(V524&gt;=40,V524&lt;75,W524&gt;=35,W524&lt;75),0.23,0)+IF(AND(V524&gt;=40,V524&lt;75,W524&gt;=75,W524&lt;120),0.17,0)+IF(AND(V524&gt;=40,V524&lt;75,W524&gt;=120),0.12,0)+IF(AND(V524&gt;=75,V524&lt;175,W524&lt;35),0.3,0)+IF(AND(V524&gt;=75,V524&lt;=175,W524&gt;=35,W524&lt;65),0.23,0)+IF(AND(V524&gt;=75,V524&lt;=175,W524&gt;=65,W524&lt;110),0.17,0)+IF(AND(V524&gt;=75,V524&lt;=175,W524&gt;=110),0.12,0)+IF(AND(V524&gt;175,W524&lt;25),0.3,0)+IF(AND(V524&gt;175,W524&gt;=25,W524&lt;55),0.23,0)+IF(AND(V524&gt;175,W524&gt;=55,W524&lt;95),0.17,0)+IF(AND(V524&gt;175,W524&gt;=95),0.12,0),
IF(AF524="Fix15",0.15,
IF(AF524="Fix18.75",0.1875,
IF(AF524="Fix11.25",0.1125,
IF(AF524="Fix10",0.1,
IF(AF524="Fix9",0.09,
IF(AF524="DoEV2017",IF(AND(W524&lt;74),0.2,0)+IF(AND(W524&gt;=74),0.17,0),
IF(AF524="SF",IF(AND(V524&lt;20,W524&lt;89),0.3,0)+IF(AND(V524&lt;20,W524&gt;=89),0.25,0)+IF(AND(V524&gt;=20,V524&lt;40,W524&lt;74),0.3,0)+IF(AND(V524&gt;=20,V524&lt;40,W524&gt;=75),0.22,0)+IF(AND(V524&gt;=40,V524&lt;75,W524&lt;75),0.26,0)+IF(AND(V524&gt;=40,V524&lt;75,W524&gt;=75),0.22,0)+IF(V524&gt;=75,0.22,0),
IF(AF524="DoEVold",IF(AND(V524&lt;40,W524&lt;35),0.35,0)+IF(AND(V524&lt;40,W524&gt;=35,W524&lt;75),0.25,0)+IF(AND(V524&lt;40,W524&gt;=75),0.17,0)+IF(AND(V524&gt;=40,V524&lt;75,W524&lt;25),0.35,0)+IF(AND(V524&gt;=40,V524&lt;75,W524&gt;=25,W524&lt;65),0.25,0)+IF(AND(V524&gt;=40,V524&lt;75,W524&gt;=65,W524&lt;100),0.17,0)+IF(AND(V524&gt;=40,V524&lt;75,W524&gt;=100),0.1,0)+IF(AND(V524&gt;=75,W524&lt;25),0.35,0)+IF(AND(V524&gt;=75,W524&gt;=25,W524&lt;60),0.25,0)+IF(AND(V524&gt;=75,W524&gt;=60,W524&lt;95),0.17,0)+IF(AND(V524&gt;=75,W524&gt;=95),0.1,0),
IF(AF524="DoEVold15",IF(AND(V524&lt;=40,W524&lt;35),0.35,0)+IF(AND(V524&lt;=40,W524&gt;=35,W524&lt;75),0.25,0)+IF(AND(V524&lt;=40,W524&gt;=75,W524&lt;120),0.17,0)+IF(AND(V524&lt;=40,W524&gt;=120),0.15,0)+IF(AND(V524&gt;40,V524&lt;75,W524&lt;25),0.35,0)+IF(AND(V524&gt;=40,V524&lt;75,W524&gt;=25,W524&lt;65),0.25,0)+IF(AND(V524&gt;=40,V524&lt;75,W524&gt;=65,W524&lt;100),0.17,0)+IF(AND(V524&gt;=40,V524&lt;75,W524&gt;=100),0.1,0)+IF(AND(V524&gt;=75,W524&lt;25),0.35,0)+IF(AND(V524&gt;=75,W524&gt;=25,W524&lt;60),0.25,0)+IF(AND(V524&gt;=75,W524&gt;=60,W524&lt;95),0.17,0)+IF(AND(V524&gt;=75,W524&gt;=95),0.1,0),
IF(AF524="DoEVba",IF(AND(V524&lt;20,W524&lt;105),0.2,0)+IF(AND(V524&lt;20,W524&gt;=105),0.15,0)+IF(AND(V524&gt;=20,V524&lt;40,W524&lt;95),0.2,0)+IF(AND(V524&gt;=20,V524&lt;40,W524&gt;=95,W524&lt;150),0.15,0)+IF(AND(V524&gt;=20,V524&lt;40,W524&gt;=150),0.12,0)+IF(AND(V524&gt;=40,V524&lt;75,W524&lt;75),0.2,0)+IF(AND(V524&gt;=40,V524&lt;75,W524&gt;=75,W524&lt;120),0.15,0)+IF(AND(V524&gt;=40,V524&lt;75,W524&gt;=120),0.12,0)+IF(AND(V524&gt;=75,V524&lt;175,W524&lt;65),0.2,0)+IF(AND(V524&gt;=75,V524&lt;175,W524&gt;=65,W524&lt;110),0.15,0)+IF(AND(V524&gt;=75,V524&lt;175,W524&gt;=110),0.12,0)+IF(AND(V524&gt;=175,W524&lt;55),0.2,0)+IF(AND(V524&gt;=175,W524&gt;=55,W524&lt;95),0.15,0)+IF(AND(V524&gt;=175,W524&gt;=95),0.12,0),
IF(AF524="DoEVku",IF(AND(V524&lt;20,W524&lt;55),0.23,0)+IF(AND(V524&lt;20,W524&gt;=55,W524&lt;105),0.2,0)+IF(AND(V524&lt;20,W524&gt;=105),0.17,0)+IF(AND(V524&gt;=20,V524&lt;40,W524&lt;45),0.23,0)+IF(AND(V524&gt;=20,V524&lt;40,W524&gt;=45,W524&lt;95),0.2,0)+IF(AND(V524&gt;=20,V524&lt;40,W524&gt;=95,W524&lt;=150),0.17,0)+IF(AND(V524&gt;=20,V524&lt;40,W524&gt;=150),0.12,0)+IF(AND(V524&gt;=40,V524&lt;75,W524&lt;35),0.23,0)+IF(AND(V524&gt;=40,V524&lt;75,W524&gt;=35,W524&lt;75),0.2,0)+IF(AND(V524&gt;=40,V524&lt;75,W524&gt;=75,W524&lt;120),0.17,0)+IF(AND(V524&gt;=40,V524&lt;75,W524&gt;=120),0.12,0)+IF(AND(V524&gt;=75,V524&lt;175,W524&lt;35),0.23,0)+IF(AND(V524&gt;=75,V524&lt;=175,W524&gt;=35,W524&lt;65),0.2,0)+IF(AND(V524&gt;=75,V524&lt;=175,W524&gt;=65,W524&lt;110),0.17,0)+IF(AND(V524&gt;=75,V524&lt;=175,W524&gt;=110),0.12,0)+IF(AND(V524&gt;175,W524&lt;25),0.23,0)+IF(AND(V524&gt;175,W524&gt;=25,W524&lt;55),0.2,0)+IF(AND(V524&gt;175,W524&gt;=55,W524&lt;95),0.17,0)+IF(AND(V524&gt;175,W524&gt;=95),0.12,0),
IF(AF524="DoEVs1",IF(AND(V524&lt;20,W524&lt;55),0.3,0)+IF(AND(V524&lt;20,W524&gt;=55,W524&lt;105),0.23,0)+IF(AND(V524&lt;20,W524&gt;=105),0.17,0)+IF(AND(V524&gt;=20,V524&lt;40,W524&lt;45),0.3,0)+IF(AND(V524&gt;=20,V524&lt;40,W524&gt;=45,W524&lt;95),0.23,0)+IF(AND(V524&gt;=20,V524&lt;40,W524&gt;=95,W524&lt;=150),0.17,0)+IF(AND(V524&gt;=20,V524&lt;40,W524&gt;=150),0.12,0)+IF(AND(V524&gt;=40,V524&lt;75,W524&lt;35),0.3,0)+IF(AND(V524&gt;=40,V524&lt;75,W524&gt;=35,W524&lt;75),0.23,0)+IF(AND(V524&gt;=40,V524&lt;75,W524&gt;=75,W524&lt;120),0.17,0)+IF(AND(V524&gt;=40,V524&lt;75,W524&gt;=120),0.12,0)+IF(AND(V524&gt;=75,V524&lt;175,W524&lt;35),0.3,0)+IF(AND(V524&gt;=75,V524&lt;=175,W524&gt;=35,W524&lt;65),0.23,0)+IF(AND(V524&gt;=75,V524&lt;=175,W524&gt;=65,W524&lt;110),0.17,0)+IF(AND(V524&gt;=75,V524&lt;=175,W524&gt;=110),0.12,0)+IF(AND(V524&gt;175,W524&lt;25),0.3,0)+IF(AND(V524&gt;175,W524&gt;=25,W524&lt;55),0.23,0)+IF(AND(V524&gt;175,W524&gt;=55,W524&lt;95),0.17,0)+IF(AND(V524&gt;175,W524&gt;=95),0.12,0),
IF(AF524="DoEVsu",IF(AND(V524&lt;20,W524&lt;55),0.3,0)+IF(AND(V524&lt;20,W524&gt;=55,W524&lt;105),0.23,0)+IF(AND(V524&lt;20,W524&gt;=105),0.17,0)+IF(AND(V524&gt;=20,V524&lt;40,W524&lt;45),0.3,0)+IF(AND(V524&gt;=20,V524&lt;40,W524&gt;=45,W524&lt;95),0.23,0)+IF(AND(V524&gt;=20,V524&lt;40,W524&gt;=95,W524&lt;=250),0.17,0)+IF(AND(V524&gt;=20,V524&lt;40,W524&gt;=250),0.12,0)+IF(AND(V524&gt;=40,V524&lt;75,W524&lt;35),0.3,0)+IF(AND(V524&gt;=40,V524&lt;75,W524&gt;=35,W524&lt;75),0.23,0)+IF(AND(V524&gt;=40,V524&lt;75,W524&gt;=75,W524&lt;120),0.17,0)+IF(AND(V524&gt;=40,V524&lt;75,W524&gt;=120),0.12,0)+IF(AND(V524&gt;=75,V524&lt;175,W524&lt;35),0.3,0)+IF(AND(V524&gt;=75,V524&lt;=175,W524&gt;=35,W524&lt;65),0.23,0)+IF(AND(V524&gt;=75,V524&lt;=175,W524&gt;=65,W524&lt;110),0.17,0)+IF(AND(V524&gt;=75,V524&lt;=175,W524&gt;=110),0.12,0)+IF(AND(V524&gt;175,W524&lt;25),0.3,0)+IF(AND(V524&gt;175,W524&gt;=25,W524&lt;55),0.23,0)+IF(AND(V524&gt;175,W524&gt;=55,W524&lt;95),0.17,0)+IF(AND(V524&gt;175,W524&gt;=95),0.12,0),
IF(AF524="DoEVni",IF(AND(V524&lt;20,W524&lt;55),0.3,0)+IF(AND(V524&lt;20,W524&gt;=55,W524&lt;105),0.23,0)+IF(AND(V524&lt;20,W524&gt;=105),0.17,0)+IF(AND(V524&gt;=20,V524&lt;40,W524&lt;45),0.3,0)+IF(AND(V524&gt;=20,V524&lt;40,W524&gt;=45,W524&lt;95),0.23,0)+IF(AND(V524&gt;=20,V524&lt;40,W524&gt;=95,W524&lt;=200),0.17,0)+IF(AND(V524&gt;=20,V524&lt;40,W524&gt;=200),0.12,0)+IF(AND(V524&gt;=40,V524&lt;75,W524&lt;35),0.3,0)+IF(AND(V524&gt;=40,V524&lt;75,W524&gt;=35,W524&lt;75),0.23,0)+IF(AND(V524&gt;=40,V524&lt;75,W524&gt;=75,W524&lt;120),0.17,0)+IF(AND(V524&gt;=40,V524&lt;75,W524&gt;=120),0.12,0)+IF(AND(V524&gt;=75,V524&lt;175,W524&lt;35),0.3,0)+IF(AND(V524&gt;=75,V524&lt;=175,W524&gt;=35,W524&lt;65),0.23,0)+IF(AND(V524&gt;=75,V524&lt;=175,W524&gt;=65,W524&lt;110),0.17,0)+IF(AND(V524&gt;=75,V524&lt;=175,W524&gt;=110),0.12,0)+IF(AND(V524&gt;175,W524&lt;25),0.3,0)+IF(AND(V524&gt;175,W524&gt;=25,W524&lt;55),0.23,0)+IF(AND(V524&gt;175,W524&gt;=55,W524&lt;95),0.17,0)+IF(AND(V524&gt;175,W524&gt;=95),0.12,0),
IF(AF524="DoEVLo",IF(AND(V524&lt;20,W524&lt;55),0.25,0)+IF(AND(V524&lt;20,W524&gt;=55,W524&lt;105),0.2,0)+IF(AND(V524&lt;20,W524&gt;=105),0.15,0)+IF(AND(V524&gt;=20,V524&lt;40,W524&lt;45),0.25,0)+IF(AND(V524&gt;=20,V524&lt;40,W524&gt;=45,W524&lt;95),0.2,0)+IF(AND(V524&gt;=20,V524&lt;40,W524&gt;=95),0.15,0)+IF(AND(V524&gt;=40,V524&lt;75,W524&lt;35),0.25,0)+IF(AND(V524&gt;=40,V524&lt;75,W524&gt;=35,W524&lt;75),0.2,0)+IF(AND(V524&gt;=40,V524&lt;75,W524&gt;=75,W524&lt;120),0.15,0)+IF(AND(V524&gt;=40,V524&lt;75,W524&gt;=120),0.1,0)+IF(AND(V524&gt;=75,V524&lt;175,W524&lt;35),0.25,0)+IF(AND(V524&gt;=75,V524&lt;=175,W524&gt;=35,W524&lt;65),0.2,0)+IF(AND(V524&gt;=75,V524&lt;=175,W524&gt;=65,W524&lt;110),0.15,0)+IF(AND(V524&gt;=75,V524&lt;=175,W524&gt;=110),0.1,0)+IF(AND(V524&gt;175,W524&lt;25),0.25,0)+IF(AND(V524&gt;175,W524&gt;=25,W524&lt;55),0.2,0)+IF(AND(V524&gt;175,W524&gt;=55,W524&lt;95),0.15,0)+IF(AND(V524&gt;175,W524&gt;=95),0.1,0)))))))))))))))))</f>
        <v>0.1875</v>
      </c>
      <c r="Y524" s="30">
        <f>IF(AG524="None",0,IF(AG524="Fix5",0.05, IF(AG524="Fix6.25",0.0625,IF(AG524="Fix3.75",0.0375,IF(AG524="Fix10",0.1,IF(AG524="Fix3",0.03,0))))))</f>
        <v>6.25E-2</v>
      </c>
      <c r="Z524" s="35">
        <f>T524-AA524-AB524</f>
        <v>-2353.5</v>
      </c>
      <c r="AA524" s="29">
        <f>IF(AD524="EUR",((T524-R524)*X524)*U524+(R524*X524),(T524*X524))</f>
        <v>-588.375</v>
      </c>
      <c r="AB524" s="36">
        <f>IF(AD524="EUR",((T524-R524)*Y524)*U524+(R524*Y524),(T524*Y524))</f>
        <v>-196.125</v>
      </c>
      <c r="AC524" s="37" t="b">
        <v>1</v>
      </c>
      <c r="AD524" s="37" t="s">
        <v>38</v>
      </c>
      <c r="AE524" s="37" t="s">
        <v>38</v>
      </c>
      <c r="AF524" s="37" t="s">
        <v>146</v>
      </c>
      <c r="AG524" s="38" t="s">
        <v>147</v>
      </c>
    </row>
    <row r="525" spans="1:33" ht="14.25" hidden="1" x14ac:dyDescent="0.2">
      <c r="A525" s="18" t="str">
        <f t="array" ref="A525">IF(G525='Room Info'!$B$1, INDEX('Room Info'!$A$2:$A2446, MATCH(B525,'Room Info'!$B$2:$B2446, 0)),IF(G525='Room Info'!$C$1, INDEX('Room Info'!$A$2:$A2446, MATCH(B525,'Room Info'!$C$2:$C2446, 0)),IF(G525='Room Info'!$D$1, INDEX('Room Info'!$A$2:$A2446, MATCH(B525,'Room Info'!$D$2:$D2446, 0)),IF(G525='Room Info'!$E$1, INDEX('Room Info'!$A$2:$A2446, MATCH(B525,'Room Info'!$E$2:$E2446, 0)),IF(G525='Room Info'!$F$1, INDEX('Room Info'!$A$2:$A2446, MATCH(B525,'Room Info'!$F$2:$F2446, 0)),IF(G525='Room Info'!$H$1, INDEX('Room Info'!$A$2:$A2446, MATCH(B525,'Room Info'!$H$2:$H2446, 0)),IF(G525='Room Info'!$G$1, INDEX('Room Info'!$A$2:$A2446, MATCH(B525,'Room Info'!$G$2:$G2446, 0)))))))))</f>
        <v>benyya</v>
      </c>
      <c r="B525" s="45" t="s">
        <v>145</v>
      </c>
      <c r="C525" s="46">
        <v>44835</v>
      </c>
      <c r="D525" s="46">
        <v>44865</v>
      </c>
      <c r="E525" s="47">
        <v>44835</v>
      </c>
      <c r="F525" s="48" t="s">
        <v>49</v>
      </c>
      <c r="G525" s="45" t="s">
        <v>35</v>
      </c>
      <c r="H525" s="49" t="s">
        <v>148</v>
      </c>
      <c r="I525" s="49" t="s">
        <v>44</v>
      </c>
      <c r="J525" s="50">
        <v>250</v>
      </c>
      <c r="K525" s="51">
        <v>760</v>
      </c>
      <c r="L525" s="52">
        <v>-1750</v>
      </c>
      <c r="M525" s="53">
        <v>6639</v>
      </c>
      <c r="N525" s="28">
        <f>K525*J525</f>
        <v>190000</v>
      </c>
      <c r="O525" s="54">
        <v>14712</v>
      </c>
      <c r="P525" s="29">
        <v>19.357894739999999</v>
      </c>
      <c r="Q525" s="55"/>
      <c r="R525" s="31">
        <f>M525+Q525</f>
        <v>6639</v>
      </c>
      <c r="S525" s="56">
        <v>694</v>
      </c>
      <c r="T525" s="32">
        <f>R525+S525+IF(F525="Without EV deal",L525,0)</f>
        <v>7333</v>
      </c>
      <c r="U525" s="57">
        <v>1</v>
      </c>
      <c r="V525" s="58"/>
      <c r="W525" s="58"/>
      <c r="X525" s="30">
        <f>IF(AF525="DoEV",IF(AND(V525&lt;20,W525&lt;55),0.3,0)+IF(AND(V525&lt;20,W525&gt;=55,W525&lt;105),0.23,0)+IF(AND(V525&lt;20,W525&gt;=105),0.17,0)+IF(AND(V525&gt;=20,V525&lt;40,W525&lt;45),0.3,0)+IF(AND(V525&gt;=20,V525&lt;40,W525&gt;=45,W525&lt;95),0.23,0)+IF(AND(V525&gt;=20,V525&lt;40,W525&gt;=95),0.17,0)+IF(AND(V525&gt;=40,V525&lt;75,W525&lt;35),0.3,0)+IF(AND(V525&gt;=40,V525&lt;75,W525&gt;=35,W525&lt;75),0.23,0)+IF(AND(V525&gt;=40,V525&lt;75,W525&gt;=75,W525&lt;120),0.17,0)+IF(AND(V525&gt;=40,V525&lt;75,W525&gt;=120),0.12,0)+IF(AND(V525&gt;=75,V525&lt;175,W525&lt;35),0.3,0)+IF(AND(V525&gt;=75,V525&lt;=175,W525&gt;=35,W525&lt;65),0.23,0)+IF(AND(V525&gt;=75,V525&lt;=175,W525&gt;=65,W525&lt;110),0.17,0)+IF(AND(V525&gt;=75,V525&lt;=175,W525&gt;=110),0.12,0)+IF(AND(V525&gt;175,W525&lt;25),0.3,0)+IF(AND(V525&gt;175,W525&gt;=25,W525&lt;55),0.23,0)+IF(AND(V525&gt;175,W525&gt;=55,W525&lt;95),0.17,0)+IF(AND(V525&gt;175,W525&gt;=95),0.12,0),
IF(AF525="Fix15",0.15,
IF(AF525="Fix18.75",0.1875,
IF(AF525="Fix11.25",0.1125,
IF(AF525="Fix10",0.1,
IF(AF525="Fix9",0.09,
IF(AF525="DoEV2017",IF(AND(W525&lt;74),0.2,0)+IF(AND(W525&gt;=74),0.17,0),
IF(AF525="SF",IF(AND(V525&lt;20,W525&lt;89),0.3,0)+IF(AND(V525&lt;20,W525&gt;=89),0.25,0)+IF(AND(V525&gt;=20,V525&lt;40,W525&lt;74),0.3,0)+IF(AND(V525&gt;=20,V525&lt;40,W525&gt;=75),0.22,0)+IF(AND(V525&gt;=40,V525&lt;75,W525&lt;75),0.26,0)+IF(AND(V525&gt;=40,V525&lt;75,W525&gt;=75),0.22,0)+IF(V525&gt;=75,0.22,0),
IF(AF525="DoEVold",IF(AND(V525&lt;40,W525&lt;35),0.35,0)+IF(AND(V525&lt;40,W525&gt;=35,W525&lt;75),0.25,0)+IF(AND(V525&lt;40,W525&gt;=75),0.17,0)+IF(AND(V525&gt;=40,V525&lt;75,W525&lt;25),0.35,0)+IF(AND(V525&gt;=40,V525&lt;75,W525&gt;=25,W525&lt;65),0.25,0)+IF(AND(V525&gt;=40,V525&lt;75,W525&gt;=65,W525&lt;100),0.17,0)+IF(AND(V525&gt;=40,V525&lt;75,W525&gt;=100),0.1,0)+IF(AND(V525&gt;=75,W525&lt;25),0.35,0)+IF(AND(V525&gt;=75,W525&gt;=25,W525&lt;60),0.25,0)+IF(AND(V525&gt;=75,W525&gt;=60,W525&lt;95),0.17,0)+IF(AND(V525&gt;=75,W525&gt;=95),0.1,0),
IF(AF525="DoEVold15",IF(AND(V525&lt;=40,W525&lt;35),0.35,0)+IF(AND(V525&lt;=40,W525&gt;=35,W525&lt;75),0.25,0)+IF(AND(V525&lt;=40,W525&gt;=75,W525&lt;120),0.17,0)+IF(AND(V525&lt;=40,W525&gt;=120),0.15,0)+IF(AND(V525&gt;40,V525&lt;75,W525&lt;25),0.35,0)+IF(AND(V525&gt;=40,V525&lt;75,W525&gt;=25,W525&lt;65),0.25,0)+IF(AND(V525&gt;=40,V525&lt;75,W525&gt;=65,W525&lt;100),0.17,0)+IF(AND(V525&gt;=40,V525&lt;75,W525&gt;=100),0.1,0)+IF(AND(V525&gt;=75,W525&lt;25),0.35,0)+IF(AND(V525&gt;=75,W525&gt;=25,W525&lt;60),0.25,0)+IF(AND(V525&gt;=75,W525&gt;=60,W525&lt;95),0.17,0)+IF(AND(V525&gt;=75,W525&gt;=95),0.1,0),
IF(AF525="DoEVba",IF(AND(V525&lt;20,W525&lt;105),0.2,0)+IF(AND(V525&lt;20,W525&gt;=105),0.15,0)+IF(AND(V525&gt;=20,V525&lt;40,W525&lt;95),0.2,0)+IF(AND(V525&gt;=20,V525&lt;40,W525&gt;=95,W525&lt;150),0.15,0)+IF(AND(V525&gt;=20,V525&lt;40,W525&gt;=150),0.12,0)+IF(AND(V525&gt;=40,V525&lt;75,W525&lt;75),0.2,0)+IF(AND(V525&gt;=40,V525&lt;75,W525&gt;=75,W525&lt;120),0.15,0)+IF(AND(V525&gt;=40,V525&lt;75,W525&gt;=120),0.12,0)+IF(AND(V525&gt;=75,V525&lt;175,W525&lt;65),0.2,0)+IF(AND(V525&gt;=75,V525&lt;175,W525&gt;=65,W525&lt;110),0.15,0)+IF(AND(V525&gt;=75,V525&lt;175,W525&gt;=110),0.12,0)+IF(AND(V525&gt;=175,W525&lt;55),0.2,0)+IF(AND(V525&gt;=175,W525&gt;=55,W525&lt;95),0.15,0)+IF(AND(V525&gt;=175,W525&gt;=95),0.12,0),
IF(AF525="DoEVku",IF(AND(V525&lt;20,W525&lt;55),0.23,0)+IF(AND(V525&lt;20,W525&gt;=55,W525&lt;105),0.2,0)+IF(AND(V525&lt;20,W525&gt;=105),0.17,0)+IF(AND(V525&gt;=20,V525&lt;40,W525&lt;45),0.23,0)+IF(AND(V525&gt;=20,V525&lt;40,W525&gt;=45,W525&lt;95),0.2,0)+IF(AND(V525&gt;=20,V525&lt;40,W525&gt;=95,W525&lt;=150),0.17,0)+IF(AND(V525&gt;=20,V525&lt;40,W525&gt;=150),0.12,0)+IF(AND(V525&gt;=40,V525&lt;75,W525&lt;35),0.23,0)+IF(AND(V525&gt;=40,V525&lt;75,W525&gt;=35,W525&lt;75),0.2,0)+IF(AND(V525&gt;=40,V525&lt;75,W525&gt;=75,W525&lt;120),0.17,0)+IF(AND(V525&gt;=40,V525&lt;75,W525&gt;=120),0.12,0)+IF(AND(V525&gt;=75,V525&lt;175,W525&lt;35),0.23,0)+IF(AND(V525&gt;=75,V525&lt;=175,W525&gt;=35,W525&lt;65),0.2,0)+IF(AND(V525&gt;=75,V525&lt;=175,W525&gt;=65,W525&lt;110),0.17,0)+IF(AND(V525&gt;=75,V525&lt;=175,W525&gt;=110),0.12,0)+IF(AND(V525&gt;175,W525&lt;25),0.23,0)+IF(AND(V525&gt;175,W525&gt;=25,W525&lt;55),0.2,0)+IF(AND(V525&gt;175,W525&gt;=55,W525&lt;95),0.17,0)+IF(AND(V525&gt;175,W525&gt;=95),0.12,0),
IF(AF525="DoEVs1",IF(AND(V525&lt;20,W525&lt;55),0.3,0)+IF(AND(V525&lt;20,W525&gt;=55,W525&lt;105),0.23,0)+IF(AND(V525&lt;20,W525&gt;=105),0.17,0)+IF(AND(V525&gt;=20,V525&lt;40,W525&lt;45),0.3,0)+IF(AND(V525&gt;=20,V525&lt;40,W525&gt;=45,W525&lt;95),0.23,0)+IF(AND(V525&gt;=20,V525&lt;40,W525&gt;=95,W525&lt;=150),0.17,0)+IF(AND(V525&gt;=20,V525&lt;40,W525&gt;=150),0.12,0)+IF(AND(V525&gt;=40,V525&lt;75,W525&lt;35),0.3,0)+IF(AND(V525&gt;=40,V525&lt;75,W525&gt;=35,W525&lt;75),0.23,0)+IF(AND(V525&gt;=40,V525&lt;75,W525&gt;=75,W525&lt;120),0.17,0)+IF(AND(V525&gt;=40,V525&lt;75,W525&gt;=120),0.12,0)+IF(AND(V525&gt;=75,V525&lt;175,W525&lt;35),0.3,0)+IF(AND(V525&gt;=75,V525&lt;=175,W525&gt;=35,W525&lt;65),0.23,0)+IF(AND(V525&gt;=75,V525&lt;=175,W525&gt;=65,W525&lt;110),0.17,0)+IF(AND(V525&gt;=75,V525&lt;=175,W525&gt;=110),0.12,0)+IF(AND(V525&gt;175,W525&lt;25),0.3,0)+IF(AND(V525&gt;175,W525&gt;=25,W525&lt;55),0.23,0)+IF(AND(V525&gt;175,W525&gt;=55,W525&lt;95),0.17,0)+IF(AND(V525&gt;175,W525&gt;=95),0.12,0),
IF(AF525="DoEVsu",IF(AND(V525&lt;20,W525&lt;55),0.3,0)+IF(AND(V525&lt;20,W525&gt;=55,W525&lt;105),0.23,0)+IF(AND(V525&lt;20,W525&gt;=105),0.17,0)+IF(AND(V525&gt;=20,V525&lt;40,W525&lt;45),0.3,0)+IF(AND(V525&gt;=20,V525&lt;40,W525&gt;=45,W525&lt;95),0.23,0)+IF(AND(V525&gt;=20,V525&lt;40,W525&gt;=95,W525&lt;=250),0.17,0)+IF(AND(V525&gt;=20,V525&lt;40,W525&gt;=250),0.12,0)+IF(AND(V525&gt;=40,V525&lt;75,W525&lt;35),0.3,0)+IF(AND(V525&gt;=40,V525&lt;75,W525&gt;=35,W525&lt;75),0.23,0)+IF(AND(V525&gt;=40,V525&lt;75,W525&gt;=75,W525&lt;120),0.17,0)+IF(AND(V525&gt;=40,V525&lt;75,W525&gt;=120),0.12,0)+IF(AND(V525&gt;=75,V525&lt;175,W525&lt;35),0.3,0)+IF(AND(V525&gt;=75,V525&lt;=175,W525&gt;=35,W525&lt;65),0.23,0)+IF(AND(V525&gt;=75,V525&lt;=175,W525&gt;=65,W525&lt;110),0.17,0)+IF(AND(V525&gt;=75,V525&lt;=175,W525&gt;=110),0.12,0)+IF(AND(V525&gt;175,W525&lt;25),0.3,0)+IF(AND(V525&gt;175,W525&gt;=25,W525&lt;55),0.23,0)+IF(AND(V525&gt;175,W525&gt;=55,W525&lt;95),0.17,0)+IF(AND(V525&gt;175,W525&gt;=95),0.12,0),
IF(AF525="DoEVni",IF(AND(V525&lt;20,W525&lt;55),0.3,0)+IF(AND(V525&lt;20,W525&gt;=55,W525&lt;105),0.23,0)+IF(AND(V525&lt;20,W525&gt;=105),0.17,0)+IF(AND(V525&gt;=20,V525&lt;40,W525&lt;45),0.3,0)+IF(AND(V525&gt;=20,V525&lt;40,W525&gt;=45,W525&lt;95),0.23,0)+IF(AND(V525&gt;=20,V525&lt;40,W525&gt;=95,W525&lt;=200),0.17,0)+IF(AND(V525&gt;=20,V525&lt;40,W525&gt;=200),0.12,0)+IF(AND(V525&gt;=40,V525&lt;75,W525&lt;35),0.3,0)+IF(AND(V525&gt;=40,V525&lt;75,W525&gt;=35,W525&lt;75),0.23,0)+IF(AND(V525&gt;=40,V525&lt;75,W525&gt;=75,W525&lt;120),0.17,0)+IF(AND(V525&gt;=40,V525&lt;75,W525&gt;=120),0.12,0)+IF(AND(V525&gt;=75,V525&lt;175,W525&lt;35),0.3,0)+IF(AND(V525&gt;=75,V525&lt;=175,W525&gt;=35,W525&lt;65),0.23,0)+IF(AND(V525&gt;=75,V525&lt;=175,W525&gt;=65,W525&lt;110),0.17,0)+IF(AND(V525&gt;=75,V525&lt;=175,W525&gt;=110),0.12,0)+IF(AND(V525&gt;175,W525&lt;25),0.3,0)+IF(AND(V525&gt;175,W525&gt;=25,W525&lt;55),0.23,0)+IF(AND(V525&gt;175,W525&gt;=55,W525&lt;95),0.17,0)+IF(AND(V525&gt;175,W525&gt;=95),0.12,0),
IF(AF525="DoEVLo",IF(AND(V525&lt;20,W525&lt;55),0.25,0)+IF(AND(V525&lt;20,W525&gt;=55,W525&lt;105),0.2,0)+IF(AND(V525&lt;20,W525&gt;=105),0.15,0)+IF(AND(V525&gt;=20,V525&lt;40,W525&lt;45),0.25,0)+IF(AND(V525&gt;=20,V525&lt;40,W525&gt;=45,W525&lt;95),0.2,0)+IF(AND(V525&gt;=20,V525&lt;40,W525&gt;=95),0.15,0)+IF(AND(V525&gt;=40,V525&lt;75,W525&lt;35),0.25,0)+IF(AND(V525&gt;=40,V525&lt;75,W525&gt;=35,W525&lt;75),0.2,0)+IF(AND(V525&gt;=40,V525&lt;75,W525&gt;=75,W525&lt;120),0.15,0)+IF(AND(V525&gt;=40,V525&lt;75,W525&gt;=120),0.1,0)+IF(AND(V525&gt;=75,V525&lt;175,W525&lt;35),0.25,0)+IF(AND(V525&gt;=75,V525&lt;=175,W525&gt;=35,W525&lt;65),0.2,0)+IF(AND(V525&gt;=75,V525&lt;=175,W525&gt;=65,W525&lt;110),0.15,0)+IF(AND(V525&gt;=75,V525&lt;=175,W525&gt;=110),0.1,0)+IF(AND(V525&gt;175,W525&lt;25),0.25,0)+IF(AND(V525&gt;175,W525&gt;=25,W525&lt;55),0.2,0)+IF(AND(V525&gt;175,W525&gt;=55,W525&lt;95),0.15,0)+IF(AND(V525&gt;175,W525&gt;=95),0.1,0)))))))))))))))))</f>
        <v>0.1875</v>
      </c>
      <c r="Y525" s="30">
        <f>IF(AG525="None",0,IF(AG525="Fix5",0.05, IF(AG525="Fix6.25",0.0625,IF(AG525="Fix3.75",0.0375,IF(AG525="Fix10",0.1,IF(AG525="Fix3",0.03,0))))))</f>
        <v>6.25E-2</v>
      </c>
      <c r="Z525" s="35">
        <f>T525-AA525-AB525</f>
        <v>5499.75</v>
      </c>
      <c r="AA525" s="29">
        <f>IF(AD525="EUR",((T525-R525)*X525)*U525+(R525*X525),(T525*X525))</f>
        <v>1374.9375</v>
      </c>
      <c r="AB525" s="36">
        <f>IF(AD525="EUR",((T525-R525)*Y525)*U525+(R525*Y525),(T525*Y525))</f>
        <v>458.3125</v>
      </c>
      <c r="AC525" s="37" t="b">
        <v>1</v>
      </c>
      <c r="AD525" s="37" t="s">
        <v>38</v>
      </c>
      <c r="AE525" s="37" t="s">
        <v>38</v>
      </c>
      <c r="AF525" s="37" t="s">
        <v>146</v>
      </c>
      <c r="AG525" s="38" t="s">
        <v>147</v>
      </c>
    </row>
    <row r="526" spans="1:33" ht="14.25" hidden="1" x14ac:dyDescent="0.2">
      <c r="A526" s="18" t="str">
        <f t="array" ref="A526">IF(G526='Room Info'!$B$1, INDEX('Room Info'!$A$2:$A2446, MATCH(B526,'Room Info'!$B$2:$B2446, 0)),IF(G526='Room Info'!$C$1, INDEX('Room Info'!$A$2:$A2446, MATCH(B526,'Room Info'!$C$2:$C2446, 0)),IF(G526='Room Info'!$D$1, INDEX('Room Info'!$A$2:$A2446, MATCH(B526,'Room Info'!$D$2:$D2446, 0)),IF(G526='Room Info'!$E$1, INDEX('Room Info'!$A$2:$A2446, MATCH(B526,'Room Info'!$E$2:$E2446, 0)),IF(G526='Room Info'!$F$1, INDEX('Room Info'!$A$2:$A2446, MATCH(B526,'Room Info'!$F$2:$F2446, 0)),IF(G526='Room Info'!$H$1, INDEX('Room Info'!$A$2:$A2446, MATCH(B526,'Room Info'!$H$2:$H2446, 0)),IF(G526='Room Info'!$G$1, INDEX('Room Info'!$A$2:$A2446, MATCH(B526,'Room Info'!$G$2:$G2446, 0)))))))))</f>
        <v>benyya</v>
      </c>
      <c r="B526" s="54" t="s">
        <v>145</v>
      </c>
      <c r="C526" s="46">
        <v>44835</v>
      </c>
      <c r="D526" s="46">
        <v>44865</v>
      </c>
      <c r="E526" s="47">
        <v>44835</v>
      </c>
      <c r="F526" s="45" t="s">
        <v>49</v>
      </c>
      <c r="G526" s="54" t="s">
        <v>35</v>
      </c>
      <c r="H526" s="49" t="s">
        <v>88</v>
      </c>
      <c r="I526" s="49" t="s">
        <v>37</v>
      </c>
      <c r="J526" s="50">
        <v>250</v>
      </c>
      <c r="K526" s="51">
        <v>906</v>
      </c>
      <c r="L526" s="52">
        <v>-3500</v>
      </c>
      <c r="M526" s="53">
        <v>7914</v>
      </c>
      <c r="N526" s="28">
        <f>K526*J526</f>
        <v>226500</v>
      </c>
      <c r="O526" s="54">
        <v>17957</v>
      </c>
      <c r="P526" s="29">
        <v>19.820088299999998</v>
      </c>
      <c r="Q526" s="55"/>
      <c r="R526" s="31">
        <f>M526+Q526</f>
        <v>7914</v>
      </c>
      <c r="S526" s="56">
        <v>-4441</v>
      </c>
      <c r="T526" s="32">
        <f>R526+S526+IF(F526="Without EV deal",L526,0)</f>
        <v>3473</v>
      </c>
      <c r="U526" s="57">
        <v>1</v>
      </c>
      <c r="V526" s="58"/>
      <c r="W526" s="58"/>
      <c r="X526" s="30">
        <f>IF(AF526="DoEV",IF(AND(V526&lt;20,W526&lt;55),0.3,0)+IF(AND(V526&lt;20,W526&gt;=55,W526&lt;105),0.23,0)+IF(AND(V526&lt;20,W526&gt;=105),0.17,0)+IF(AND(V526&gt;=20,V526&lt;40,W526&lt;45),0.3,0)+IF(AND(V526&gt;=20,V526&lt;40,W526&gt;=45,W526&lt;95),0.23,0)+IF(AND(V526&gt;=20,V526&lt;40,W526&gt;=95),0.17,0)+IF(AND(V526&gt;=40,V526&lt;75,W526&lt;35),0.3,0)+IF(AND(V526&gt;=40,V526&lt;75,W526&gt;=35,W526&lt;75),0.23,0)+IF(AND(V526&gt;=40,V526&lt;75,W526&gt;=75,W526&lt;120),0.17,0)+IF(AND(V526&gt;=40,V526&lt;75,W526&gt;=120),0.12,0)+IF(AND(V526&gt;=75,V526&lt;175,W526&lt;35),0.3,0)+IF(AND(V526&gt;=75,V526&lt;=175,W526&gt;=35,W526&lt;65),0.23,0)+IF(AND(V526&gt;=75,V526&lt;=175,W526&gt;=65,W526&lt;110),0.17,0)+IF(AND(V526&gt;=75,V526&lt;=175,W526&gt;=110),0.12,0)+IF(AND(V526&gt;175,W526&lt;25),0.3,0)+IF(AND(V526&gt;175,W526&gt;=25,W526&lt;55),0.23,0)+IF(AND(V526&gt;175,W526&gt;=55,W526&lt;95),0.17,0)+IF(AND(V526&gt;175,W526&gt;=95),0.12,0),
IF(AF526="Fix15",0.15,
IF(AF526="Fix18.75",0.1875,
IF(AF526="Fix11.25",0.1125,
IF(AF526="Fix10",0.1,
IF(AF526="Fix9",0.09,
IF(AF526="DoEV2017",IF(AND(W526&lt;74),0.2,0)+IF(AND(W526&gt;=74),0.17,0),
IF(AF526="SF",IF(AND(V526&lt;20,W526&lt;89),0.3,0)+IF(AND(V526&lt;20,W526&gt;=89),0.25,0)+IF(AND(V526&gt;=20,V526&lt;40,W526&lt;74),0.3,0)+IF(AND(V526&gt;=20,V526&lt;40,W526&gt;=75),0.22,0)+IF(AND(V526&gt;=40,V526&lt;75,W526&lt;75),0.26,0)+IF(AND(V526&gt;=40,V526&lt;75,W526&gt;=75),0.22,0)+IF(V526&gt;=75,0.22,0),
IF(AF526="DoEVold",IF(AND(V526&lt;40,W526&lt;35),0.35,0)+IF(AND(V526&lt;40,W526&gt;=35,W526&lt;75),0.25,0)+IF(AND(V526&lt;40,W526&gt;=75),0.17,0)+IF(AND(V526&gt;=40,V526&lt;75,W526&lt;25),0.35,0)+IF(AND(V526&gt;=40,V526&lt;75,W526&gt;=25,W526&lt;65),0.25,0)+IF(AND(V526&gt;=40,V526&lt;75,W526&gt;=65,W526&lt;100),0.17,0)+IF(AND(V526&gt;=40,V526&lt;75,W526&gt;=100),0.1,0)+IF(AND(V526&gt;=75,W526&lt;25),0.35,0)+IF(AND(V526&gt;=75,W526&gt;=25,W526&lt;60),0.25,0)+IF(AND(V526&gt;=75,W526&gt;=60,W526&lt;95),0.17,0)+IF(AND(V526&gt;=75,W526&gt;=95),0.1,0),
IF(AF526="DoEVold15",IF(AND(V526&lt;=40,W526&lt;35),0.35,0)+IF(AND(V526&lt;=40,W526&gt;=35,W526&lt;75),0.25,0)+IF(AND(V526&lt;=40,W526&gt;=75,W526&lt;120),0.17,0)+IF(AND(V526&lt;=40,W526&gt;=120),0.15,0)+IF(AND(V526&gt;40,V526&lt;75,W526&lt;25),0.35,0)+IF(AND(V526&gt;=40,V526&lt;75,W526&gt;=25,W526&lt;65),0.25,0)+IF(AND(V526&gt;=40,V526&lt;75,W526&gt;=65,W526&lt;100),0.17,0)+IF(AND(V526&gt;=40,V526&lt;75,W526&gt;=100),0.1,0)+IF(AND(V526&gt;=75,W526&lt;25),0.35,0)+IF(AND(V526&gt;=75,W526&gt;=25,W526&lt;60),0.25,0)+IF(AND(V526&gt;=75,W526&gt;=60,W526&lt;95),0.17,0)+IF(AND(V526&gt;=75,W526&gt;=95),0.1,0),
IF(AF526="DoEVba",IF(AND(V526&lt;20,W526&lt;105),0.2,0)+IF(AND(V526&lt;20,W526&gt;=105),0.15,0)+IF(AND(V526&gt;=20,V526&lt;40,W526&lt;95),0.2,0)+IF(AND(V526&gt;=20,V526&lt;40,W526&gt;=95,W526&lt;150),0.15,0)+IF(AND(V526&gt;=20,V526&lt;40,W526&gt;=150),0.12,0)+IF(AND(V526&gt;=40,V526&lt;75,W526&lt;75),0.2,0)+IF(AND(V526&gt;=40,V526&lt;75,W526&gt;=75,W526&lt;120),0.15,0)+IF(AND(V526&gt;=40,V526&lt;75,W526&gt;=120),0.12,0)+IF(AND(V526&gt;=75,V526&lt;175,W526&lt;65),0.2,0)+IF(AND(V526&gt;=75,V526&lt;175,W526&gt;=65,W526&lt;110),0.15,0)+IF(AND(V526&gt;=75,V526&lt;175,W526&gt;=110),0.12,0)+IF(AND(V526&gt;=175,W526&lt;55),0.2,0)+IF(AND(V526&gt;=175,W526&gt;=55,W526&lt;95),0.15,0)+IF(AND(V526&gt;=175,W526&gt;=95),0.12,0),
IF(AF526="DoEVku",IF(AND(V526&lt;20,W526&lt;55),0.23,0)+IF(AND(V526&lt;20,W526&gt;=55,W526&lt;105),0.2,0)+IF(AND(V526&lt;20,W526&gt;=105),0.17,0)+IF(AND(V526&gt;=20,V526&lt;40,W526&lt;45),0.23,0)+IF(AND(V526&gt;=20,V526&lt;40,W526&gt;=45,W526&lt;95),0.2,0)+IF(AND(V526&gt;=20,V526&lt;40,W526&gt;=95,W526&lt;=150),0.17,0)+IF(AND(V526&gt;=20,V526&lt;40,W526&gt;=150),0.12,0)+IF(AND(V526&gt;=40,V526&lt;75,W526&lt;35),0.23,0)+IF(AND(V526&gt;=40,V526&lt;75,W526&gt;=35,W526&lt;75),0.2,0)+IF(AND(V526&gt;=40,V526&lt;75,W526&gt;=75,W526&lt;120),0.17,0)+IF(AND(V526&gt;=40,V526&lt;75,W526&gt;=120),0.12,0)+IF(AND(V526&gt;=75,V526&lt;175,W526&lt;35),0.23,0)+IF(AND(V526&gt;=75,V526&lt;=175,W526&gt;=35,W526&lt;65),0.2,0)+IF(AND(V526&gt;=75,V526&lt;=175,W526&gt;=65,W526&lt;110),0.17,0)+IF(AND(V526&gt;=75,V526&lt;=175,W526&gt;=110),0.12,0)+IF(AND(V526&gt;175,W526&lt;25),0.23,0)+IF(AND(V526&gt;175,W526&gt;=25,W526&lt;55),0.2,0)+IF(AND(V526&gt;175,W526&gt;=55,W526&lt;95),0.17,0)+IF(AND(V526&gt;175,W526&gt;=95),0.12,0),
IF(AF526="DoEVs1",IF(AND(V526&lt;20,W526&lt;55),0.3,0)+IF(AND(V526&lt;20,W526&gt;=55,W526&lt;105),0.23,0)+IF(AND(V526&lt;20,W526&gt;=105),0.17,0)+IF(AND(V526&gt;=20,V526&lt;40,W526&lt;45),0.3,0)+IF(AND(V526&gt;=20,V526&lt;40,W526&gt;=45,W526&lt;95),0.23,0)+IF(AND(V526&gt;=20,V526&lt;40,W526&gt;=95,W526&lt;=150),0.17,0)+IF(AND(V526&gt;=20,V526&lt;40,W526&gt;=150),0.12,0)+IF(AND(V526&gt;=40,V526&lt;75,W526&lt;35),0.3,0)+IF(AND(V526&gt;=40,V526&lt;75,W526&gt;=35,W526&lt;75),0.23,0)+IF(AND(V526&gt;=40,V526&lt;75,W526&gt;=75,W526&lt;120),0.17,0)+IF(AND(V526&gt;=40,V526&lt;75,W526&gt;=120),0.12,0)+IF(AND(V526&gt;=75,V526&lt;175,W526&lt;35),0.3,0)+IF(AND(V526&gt;=75,V526&lt;=175,W526&gt;=35,W526&lt;65),0.23,0)+IF(AND(V526&gt;=75,V526&lt;=175,W526&gt;=65,W526&lt;110),0.17,0)+IF(AND(V526&gt;=75,V526&lt;=175,W526&gt;=110),0.12,0)+IF(AND(V526&gt;175,W526&lt;25),0.3,0)+IF(AND(V526&gt;175,W526&gt;=25,W526&lt;55),0.23,0)+IF(AND(V526&gt;175,W526&gt;=55,W526&lt;95),0.17,0)+IF(AND(V526&gt;175,W526&gt;=95),0.12,0),
IF(AF526="DoEVsu",IF(AND(V526&lt;20,W526&lt;55),0.3,0)+IF(AND(V526&lt;20,W526&gt;=55,W526&lt;105),0.23,0)+IF(AND(V526&lt;20,W526&gt;=105),0.17,0)+IF(AND(V526&gt;=20,V526&lt;40,W526&lt;45),0.3,0)+IF(AND(V526&gt;=20,V526&lt;40,W526&gt;=45,W526&lt;95),0.23,0)+IF(AND(V526&gt;=20,V526&lt;40,W526&gt;=95,W526&lt;=250),0.17,0)+IF(AND(V526&gt;=20,V526&lt;40,W526&gt;=250),0.12,0)+IF(AND(V526&gt;=40,V526&lt;75,W526&lt;35),0.3,0)+IF(AND(V526&gt;=40,V526&lt;75,W526&gt;=35,W526&lt;75),0.23,0)+IF(AND(V526&gt;=40,V526&lt;75,W526&gt;=75,W526&lt;120),0.17,0)+IF(AND(V526&gt;=40,V526&lt;75,W526&gt;=120),0.12,0)+IF(AND(V526&gt;=75,V526&lt;175,W526&lt;35),0.3,0)+IF(AND(V526&gt;=75,V526&lt;=175,W526&gt;=35,W526&lt;65),0.23,0)+IF(AND(V526&gt;=75,V526&lt;=175,W526&gt;=65,W526&lt;110),0.17,0)+IF(AND(V526&gt;=75,V526&lt;=175,W526&gt;=110),0.12,0)+IF(AND(V526&gt;175,W526&lt;25),0.3,0)+IF(AND(V526&gt;175,W526&gt;=25,W526&lt;55),0.23,0)+IF(AND(V526&gt;175,W526&gt;=55,W526&lt;95),0.17,0)+IF(AND(V526&gt;175,W526&gt;=95),0.12,0),
IF(AF526="DoEVni",IF(AND(V526&lt;20,W526&lt;55),0.3,0)+IF(AND(V526&lt;20,W526&gt;=55,W526&lt;105),0.23,0)+IF(AND(V526&lt;20,W526&gt;=105),0.17,0)+IF(AND(V526&gt;=20,V526&lt;40,W526&lt;45),0.3,0)+IF(AND(V526&gt;=20,V526&lt;40,W526&gt;=45,W526&lt;95),0.23,0)+IF(AND(V526&gt;=20,V526&lt;40,W526&gt;=95,W526&lt;=200),0.17,0)+IF(AND(V526&gt;=20,V526&lt;40,W526&gt;=200),0.12,0)+IF(AND(V526&gt;=40,V526&lt;75,W526&lt;35),0.3,0)+IF(AND(V526&gt;=40,V526&lt;75,W526&gt;=35,W526&lt;75),0.23,0)+IF(AND(V526&gt;=40,V526&lt;75,W526&gt;=75,W526&lt;120),0.17,0)+IF(AND(V526&gt;=40,V526&lt;75,W526&gt;=120),0.12,0)+IF(AND(V526&gt;=75,V526&lt;175,W526&lt;35),0.3,0)+IF(AND(V526&gt;=75,V526&lt;=175,W526&gt;=35,W526&lt;65),0.23,0)+IF(AND(V526&gt;=75,V526&lt;=175,W526&gt;=65,W526&lt;110),0.17,0)+IF(AND(V526&gt;=75,V526&lt;=175,W526&gt;=110),0.12,0)+IF(AND(V526&gt;175,W526&lt;25),0.3,0)+IF(AND(V526&gt;175,W526&gt;=25,W526&lt;55),0.23,0)+IF(AND(V526&gt;175,W526&gt;=55,W526&lt;95),0.17,0)+IF(AND(V526&gt;175,W526&gt;=95),0.12,0),
IF(AF526="DoEVLo",IF(AND(V526&lt;20,W526&lt;55),0.25,0)+IF(AND(V526&lt;20,W526&gt;=55,W526&lt;105),0.2,0)+IF(AND(V526&lt;20,W526&gt;=105),0.15,0)+IF(AND(V526&gt;=20,V526&lt;40,W526&lt;45),0.25,0)+IF(AND(V526&gt;=20,V526&lt;40,W526&gt;=45,W526&lt;95),0.2,0)+IF(AND(V526&gt;=20,V526&lt;40,W526&gt;=95),0.15,0)+IF(AND(V526&gt;=40,V526&lt;75,W526&lt;35),0.25,0)+IF(AND(V526&gt;=40,V526&lt;75,W526&gt;=35,W526&lt;75),0.2,0)+IF(AND(V526&gt;=40,V526&lt;75,W526&gt;=75,W526&lt;120),0.15,0)+IF(AND(V526&gt;=40,V526&lt;75,W526&gt;=120),0.1,0)+IF(AND(V526&gt;=75,V526&lt;175,W526&lt;35),0.25,0)+IF(AND(V526&gt;=75,V526&lt;=175,W526&gt;=35,W526&lt;65),0.2,0)+IF(AND(V526&gt;=75,V526&lt;=175,W526&gt;=65,W526&lt;110),0.15,0)+IF(AND(V526&gt;=75,V526&lt;=175,W526&gt;=110),0.1,0)+IF(AND(V526&gt;175,W526&lt;25),0.25,0)+IF(AND(V526&gt;175,W526&gt;=25,W526&lt;55),0.2,0)+IF(AND(V526&gt;175,W526&gt;=55,W526&lt;95),0.15,0)+IF(AND(V526&gt;175,W526&gt;=95),0.1,0)))))))))))))))))</f>
        <v>0.1875</v>
      </c>
      <c r="Y526" s="30">
        <f>IF(AG526="None",0,IF(AG526="Fix5",0.05, IF(AG526="Fix6.25",0.0625,IF(AG526="Fix3.75",0.0375,IF(AG526="Fix10",0.1,IF(AG526="Fix3",0.03,0))))))</f>
        <v>6.25E-2</v>
      </c>
      <c r="Z526" s="35">
        <f>T526-AA526-AB526</f>
        <v>2604.75</v>
      </c>
      <c r="AA526" s="29">
        <f>IF(AD526="EUR",((T526-R526)*X526)*U526+(R526*X526),(T526*X526))</f>
        <v>651.1875</v>
      </c>
      <c r="AB526" s="36">
        <f>IF(AD526="EUR",((T526-R526)*Y526)*U526+(R526*Y526),(T526*Y526))</f>
        <v>217.0625</v>
      </c>
      <c r="AC526" s="37" t="b">
        <v>1</v>
      </c>
      <c r="AD526" s="37" t="s">
        <v>38</v>
      </c>
      <c r="AE526" s="37" t="s">
        <v>38</v>
      </c>
      <c r="AF526" s="37" t="s">
        <v>146</v>
      </c>
      <c r="AG526" s="38" t="s">
        <v>147</v>
      </c>
    </row>
    <row r="527" spans="1:33" ht="14.25" hidden="1" x14ac:dyDescent="0.2">
      <c r="A527" s="18" t="str">
        <f t="array" ref="A527">IF(G527='Room Info'!$B$1, INDEX('Room Info'!$A$2:$A2446, MATCH(B527,'Room Info'!$B$2:$B2446, 0)),IF(G527='Room Info'!$C$1, INDEX('Room Info'!$A$2:$A2446, MATCH(B527,'Room Info'!$C$2:$C2446, 0)),IF(G527='Room Info'!$D$1, INDEX('Room Info'!$A$2:$A2446, MATCH(B527,'Room Info'!$D$2:$D2446, 0)),IF(G527='Room Info'!$E$1, INDEX('Room Info'!$A$2:$A2446, MATCH(B527,'Room Info'!$E$2:$E2446, 0)),IF(G527='Room Info'!$F$1, INDEX('Room Info'!$A$2:$A2446, MATCH(B527,'Room Info'!$F$2:$F2446, 0)),IF(G527='Room Info'!$H$1, INDEX('Room Info'!$A$2:$A2446, MATCH(B527,'Room Info'!$H$2:$H2446, 0)),IF(G527='Room Info'!$G$1, INDEX('Room Info'!$A$2:$A2446, MATCH(B527,'Room Info'!$G$2:$G2446, 0)))))))))</f>
        <v>benyya</v>
      </c>
      <c r="B527" s="45" t="s">
        <v>145</v>
      </c>
      <c r="C527" s="46">
        <v>44835</v>
      </c>
      <c r="D527" s="46">
        <v>44865</v>
      </c>
      <c r="E527" s="47">
        <v>44835</v>
      </c>
      <c r="F527" s="48" t="s">
        <v>49</v>
      </c>
      <c r="G527" s="45" t="s">
        <v>35</v>
      </c>
      <c r="H527" s="49" t="s">
        <v>84</v>
      </c>
      <c r="I527" s="49" t="s">
        <v>44</v>
      </c>
      <c r="J527" s="70">
        <v>100</v>
      </c>
      <c r="K527" s="71">
        <v>3494</v>
      </c>
      <c r="L527" s="52">
        <v>1900</v>
      </c>
      <c r="M527" s="53">
        <v>12229</v>
      </c>
      <c r="N527" s="28">
        <f>K527*J527</f>
        <v>349400</v>
      </c>
      <c r="O527" s="54">
        <v>33585</v>
      </c>
      <c r="P527" s="29">
        <v>9.6121923299999992</v>
      </c>
      <c r="Q527" s="55"/>
      <c r="R527" s="31">
        <f>M527+Q527</f>
        <v>12229</v>
      </c>
      <c r="S527" s="56">
        <v>-10193</v>
      </c>
      <c r="T527" s="32">
        <f>R527+S527+IF(F527="Without EV deal",L527,0)</f>
        <v>2036</v>
      </c>
      <c r="U527" s="57">
        <v>1</v>
      </c>
      <c r="V527" s="58"/>
      <c r="W527" s="58"/>
      <c r="X527" s="30">
        <f>IF(AF527="DoEV",IF(AND(V527&lt;20,W527&lt;55),0.3,0)+IF(AND(V527&lt;20,W527&gt;=55,W527&lt;105),0.23,0)+IF(AND(V527&lt;20,W527&gt;=105),0.17,0)+IF(AND(V527&gt;=20,V527&lt;40,W527&lt;45),0.3,0)+IF(AND(V527&gt;=20,V527&lt;40,W527&gt;=45,W527&lt;95),0.23,0)+IF(AND(V527&gt;=20,V527&lt;40,W527&gt;=95),0.17,0)+IF(AND(V527&gt;=40,V527&lt;75,W527&lt;35),0.3,0)+IF(AND(V527&gt;=40,V527&lt;75,W527&gt;=35,W527&lt;75),0.23,0)+IF(AND(V527&gt;=40,V527&lt;75,W527&gt;=75,W527&lt;120),0.17,0)+IF(AND(V527&gt;=40,V527&lt;75,W527&gt;=120),0.12,0)+IF(AND(V527&gt;=75,V527&lt;175,W527&lt;35),0.3,0)+IF(AND(V527&gt;=75,V527&lt;=175,W527&gt;=35,W527&lt;65),0.23,0)+IF(AND(V527&gt;=75,V527&lt;=175,W527&gt;=65,W527&lt;110),0.17,0)+IF(AND(V527&gt;=75,V527&lt;=175,W527&gt;=110),0.12,0)+IF(AND(V527&gt;175,W527&lt;25),0.3,0)+IF(AND(V527&gt;175,W527&gt;=25,W527&lt;55),0.23,0)+IF(AND(V527&gt;175,W527&gt;=55,W527&lt;95),0.17,0)+IF(AND(V527&gt;175,W527&gt;=95),0.12,0),
IF(AF527="Fix15",0.15,
IF(AF527="Fix18.75",0.1875,
IF(AF527="Fix11.25",0.1125,
IF(AF527="Fix10",0.1,
IF(AF527="Fix9",0.09,
IF(AF527="DoEV2017",IF(AND(W527&lt;74),0.2,0)+IF(AND(W527&gt;=74),0.17,0),
IF(AF527="SF",IF(AND(V527&lt;20,W527&lt;89),0.3,0)+IF(AND(V527&lt;20,W527&gt;=89),0.25,0)+IF(AND(V527&gt;=20,V527&lt;40,W527&lt;74),0.3,0)+IF(AND(V527&gt;=20,V527&lt;40,W527&gt;=75),0.22,0)+IF(AND(V527&gt;=40,V527&lt;75,W527&lt;75),0.26,0)+IF(AND(V527&gt;=40,V527&lt;75,W527&gt;=75),0.22,0)+IF(V527&gt;=75,0.22,0),
IF(AF527="DoEVold",IF(AND(V527&lt;40,W527&lt;35),0.35,0)+IF(AND(V527&lt;40,W527&gt;=35,W527&lt;75),0.25,0)+IF(AND(V527&lt;40,W527&gt;=75),0.17,0)+IF(AND(V527&gt;=40,V527&lt;75,W527&lt;25),0.35,0)+IF(AND(V527&gt;=40,V527&lt;75,W527&gt;=25,W527&lt;65),0.25,0)+IF(AND(V527&gt;=40,V527&lt;75,W527&gt;=65,W527&lt;100),0.17,0)+IF(AND(V527&gt;=40,V527&lt;75,W527&gt;=100),0.1,0)+IF(AND(V527&gt;=75,W527&lt;25),0.35,0)+IF(AND(V527&gt;=75,W527&gt;=25,W527&lt;60),0.25,0)+IF(AND(V527&gt;=75,W527&gt;=60,W527&lt;95),0.17,0)+IF(AND(V527&gt;=75,W527&gt;=95),0.1,0),
IF(AF527="DoEVold15",IF(AND(V527&lt;=40,W527&lt;35),0.35,0)+IF(AND(V527&lt;=40,W527&gt;=35,W527&lt;75),0.25,0)+IF(AND(V527&lt;=40,W527&gt;=75,W527&lt;120),0.17,0)+IF(AND(V527&lt;=40,W527&gt;=120),0.15,0)+IF(AND(V527&gt;40,V527&lt;75,W527&lt;25),0.35,0)+IF(AND(V527&gt;=40,V527&lt;75,W527&gt;=25,W527&lt;65),0.25,0)+IF(AND(V527&gt;=40,V527&lt;75,W527&gt;=65,W527&lt;100),0.17,0)+IF(AND(V527&gt;=40,V527&lt;75,W527&gt;=100),0.1,0)+IF(AND(V527&gt;=75,W527&lt;25),0.35,0)+IF(AND(V527&gt;=75,W527&gt;=25,W527&lt;60),0.25,0)+IF(AND(V527&gt;=75,W527&gt;=60,W527&lt;95),0.17,0)+IF(AND(V527&gt;=75,W527&gt;=95),0.1,0),
IF(AF527="DoEVba",IF(AND(V527&lt;20,W527&lt;105),0.2,0)+IF(AND(V527&lt;20,W527&gt;=105),0.15,0)+IF(AND(V527&gt;=20,V527&lt;40,W527&lt;95),0.2,0)+IF(AND(V527&gt;=20,V527&lt;40,W527&gt;=95,W527&lt;150),0.15,0)+IF(AND(V527&gt;=20,V527&lt;40,W527&gt;=150),0.12,0)+IF(AND(V527&gt;=40,V527&lt;75,W527&lt;75),0.2,0)+IF(AND(V527&gt;=40,V527&lt;75,W527&gt;=75,W527&lt;120),0.15,0)+IF(AND(V527&gt;=40,V527&lt;75,W527&gt;=120),0.12,0)+IF(AND(V527&gt;=75,V527&lt;175,W527&lt;65),0.2,0)+IF(AND(V527&gt;=75,V527&lt;175,W527&gt;=65,W527&lt;110),0.15,0)+IF(AND(V527&gt;=75,V527&lt;175,W527&gt;=110),0.12,0)+IF(AND(V527&gt;=175,W527&lt;55),0.2,0)+IF(AND(V527&gt;=175,W527&gt;=55,W527&lt;95),0.15,0)+IF(AND(V527&gt;=175,W527&gt;=95),0.12,0),
IF(AF527="DoEVku",IF(AND(V527&lt;20,W527&lt;55),0.23,0)+IF(AND(V527&lt;20,W527&gt;=55,W527&lt;105),0.2,0)+IF(AND(V527&lt;20,W527&gt;=105),0.17,0)+IF(AND(V527&gt;=20,V527&lt;40,W527&lt;45),0.23,0)+IF(AND(V527&gt;=20,V527&lt;40,W527&gt;=45,W527&lt;95),0.2,0)+IF(AND(V527&gt;=20,V527&lt;40,W527&gt;=95,W527&lt;=150),0.17,0)+IF(AND(V527&gt;=20,V527&lt;40,W527&gt;=150),0.12,0)+IF(AND(V527&gt;=40,V527&lt;75,W527&lt;35),0.23,0)+IF(AND(V527&gt;=40,V527&lt;75,W527&gt;=35,W527&lt;75),0.2,0)+IF(AND(V527&gt;=40,V527&lt;75,W527&gt;=75,W527&lt;120),0.17,0)+IF(AND(V527&gt;=40,V527&lt;75,W527&gt;=120),0.12,0)+IF(AND(V527&gt;=75,V527&lt;175,W527&lt;35),0.23,0)+IF(AND(V527&gt;=75,V527&lt;=175,W527&gt;=35,W527&lt;65),0.2,0)+IF(AND(V527&gt;=75,V527&lt;=175,W527&gt;=65,W527&lt;110),0.17,0)+IF(AND(V527&gt;=75,V527&lt;=175,W527&gt;=110),0.12,0)+IF(AND(V527&gt;175,W527&lt;25),0.23,0)+IF(AND(V527&gt;175,W527&gt;=25,W527&lt;55),0.2,0)+IF(AND(V527&gt;175,W527&gt;=55,W527&lt;95),0.17,0)+IF(AND(V527&gt;175,W527&gt;=95),0.12,0),
IF(AF527="DoEVs1",IF(AND(V527&lt;20,W527&lt;55),0.3,0)+IF(AND(V527&lt;20,W527&gt;=55,W527&lt;105),0.23,0)+IF(AND(V527&lt;20,W527&gt;=105),0.17,0)+IF(AND(V527&gt;=20,V527&lt;40,W527&lt;45),0.3,0)+IF(AND(V527&gt;=20,V527&lt;40,W527&gt;=45,W527&lt;95),0.23,0)+IF(AND(V527&gt;=20,V527&lt;40,W527&gt;=95,W527&lt;=150),0.17,0)+IF(AND(V527&gt;=20,V527&lt;40,W527&gt;=150),0.12,0)+IF(AND(V527&gt;=40,V527&lt;75,W527&lt;35),0.3,0)+IF(AND(V527&gt;=40,V527&lt;75,W527&gt;=35,W527&lt;75),0.23,0)+IF(AND(V527&gt;=40,V527&lt;75,W527&gt;=75,W527&lt;120),0.17,0)+IF(AND(V527&gt;=40,V527&lt;75,W527&gt;=120),0.12,0)+IF(AND(V527&gt;=75,V527&lt;175,W527&lt;35),0.3,0)+IF(AND(V527&gt;=75,V527&lt;=175,W527&gt;=35,W527&lt;65),0.23,0)+IF(AND(V527&gt;=75,V527&lt;=175,W527&gt;=65,W527&lt;110),0.17,0)+IF(AND(V527&gt;=75,V527&lt;=175,W527&gt;=110),0.12,0)+IF(AND(V527&gt;175,W527&lt;25),0.3,0)+IF(AND(V527&gt;175,W527&gt;=25,W527&lt;55),0.23,0)+IF(AND(V527&gt;175,W527&gt;=55,W527&lt;95),0.17,0)+IF(AND(V527&gt;175,W527&gt;=95),0.12,0),
IF(AF527="DoEVsu",IF(AND(V527&lt;20,W527&lt;55),0.3,0)+IF(AND(V527&lt;20,W527&gt;=55,W527&lt;105),0.23,0)+IF(AND(V527&lt;20,W527&gt;=105),0.17,0)+IF(AND(V527&gt;=20,V527&lt;40,W527&lt;45),0.3,0)+IF(AND(V527&gt;=20,V527&lt;40,W527&gt;=45,W527&lt;95),0.23,0)+IF(AND(V527&gt;=20,V527&lt;40,W527&gt;=95,W527&lt;=250),0.17,0)+IF(AND(V527&gt;=20,V527&lt;40,W527&gt;=250),0.12,0)+IF(AND(V527&gt;=40,V527&lt;75,W527&lt;35),0.3,0)+IF(AND(V527&gt;=40,V527&lt;75,W527&gt;=35,W527&lt;75),0.23,0)+IF(AND(V527&gt;=40,V527&lt;75,W527&gt;=75,W527&lt;120),0.17,0)+IF(AND(V527&gt;=40,V527&lt;75,W527&gt;=120),0.12,0)+IF(AND(V527&gt;=75,V527&lt;175,W527&lt;35),0.3,0)+IF(AND(V527&gt;=75,V527&lt;=175,W527&gt;=35,W527&lt;65),0.23,0)+IF(AND(V527&gt;=75,V527&lt;=175,W527&gt;=65,W527&lt;110),0.17,0)+IF(AND(V527&gt;=75,V527&lt;=175,W527&gt;=110),0.12,0)+IF(AND(V527&gt;175,W527&lt;25),0.3,0)+IF(AND(V527&gt;175,W527&gt;=25,W527&lt;55),0.23,0)+IF(AND(V527&gt;175,W527&gt;=55,W527&lt;95),0.17,0)+IF(AND(V527&gt;175,W527&gt;=95),0.12,0),
IF(AF527="DoEVni",IF(AND(V527&lt;20,W527&lt;55),0.3,0)+IF(AND(V527&lt;20,W527&gt;=55,W527&lt;105),0.23,0)+IF(AND(V527&lt;20,W527&gt;=105),0.17,0)+IF(AND(V527&gt;=20,V527&lt;40,W527&lt;45),0.3,0)+IF(AND(V527&gt;=20,V527&lt;40,W527&gt;=45,W527&lt;95),0.23,0)+IF(AND(V527&gt;=20,V527&lt;40,W527&gt;=95,W527&lt;=200),0.17,0)+IF(AND(V527&gt;=20,V527&lt;40,W527&gt;=200),0.12,0)+IF(AND(V527&gt;=40,V527&lt;75,W527&lt;35),0.3,0)+IF(AND(V527&gt;=40,V527&lt;75,W527&gt;=35,W527&lt;75),0.23,0)+IF(AND(V527&gt;=40,V527&lt;75,W527&gt;=75,W527&lt;120),0.17,0)+IF(AND(V527&gt;=40,V527&lt;75,W527&gt;=120),0.12,0)+IF(AND(V527&gt;=75,V527&lt;175,W527&lt;35),0.3,0)+IF(AND(V527&gt;=75,V527&lt;=175,W527&gt;=35,W527&lt;65),0.23,0)+IF(AND(V527&gt;=75,V527&lt;=175,W527&gt;=65,W527&lt;110),0.17,0)+IF(AND(V527&gt;=75,V527&lt;=175,W527&gt;=110),0.12,0)+IF(AND(V527&gt;175,W527&lt;25),0.3,0)+IF(AND(V527&gt;175,W527&gt;=25,W527&lt;55),0.23,0)+IF(AND(V527&gt;175,W527&gt;=55,W527&lt;95),0.17,0)+IF(AND(V527&gt;175,W527&gt;=95),0.12,0),
IF(AF527="DoEVLo",IF(AND(V527&lt;20,W527&lt;55),0.25,0)+IF(AND(V527&lt;20,W527&gt;=55,W527&lt;105),0.2,0)+IF(AND(V527&lt;20,W527&gt;=105),0.15,0)+IF(AND(V527&gt;=20,V527&lt;40,W527&lt;45),0.25,0)+IF(AND(V527&gt;=20,V527&lt;40,W527&gt;=45,W527&lt;95),0.2,0)+IF(AND(V527&gt;=20,V527&lt;40,W527&gt;=95),0.15,0)+IF(AND(V527&gt;=40,V527&lt;75,W527&lt;35),0.25,0)+IF(AND(V527&gt;=40,V527&lt;75,W527&gt;=35,W527&lt;75),0.2,0)+IF(AND(V527&gt;=40,V527&lt;75,W527&gt;=75,W527&lt;120),0.15,0)+IF(AND(V527&gt;=40,V527&lt;75,W527&gt;=120),0.1,0)+IF(AND(V527&gt;=75,V527&lt;175,W527&lt;35),0.25,0)+IF(AND(V527&gt;=75,V527&lt;=175,W527&gt;=35,W527&lt;65),0.2,0)+IF(AND(V527&gt;=75,V527&lt;=175,W527&gt;=65,W527&lt;110),0.15,0)+IF(AND(V527&gt;=75,V527&lt;=175,W527&gt;=110),0.1,0)+IF(AND(V527&gt;175,W527&lt;25),0.25,0)+IF(AND(V527&gt;175,W527&gt;=25,W527&lt;55),0.2,0)+IF(AND(V527&gt;175,W527&gt;=55,W527&lt;95),0.15,0)+IF(AND(V527&gt;175,W527&gt;=95),0.1,0)))))))))))))))))</f>
        <v>0.1875</v>
      </c>
      <c r="Y527" s="30">
        <f>IF(AG527="None",0,IF(AG527="Fix5",0.05, IF(AG527="Fix6.25",0.0625,IF(AG527="Fix3.75",0.0375,IF(AG527="Fix10",0.1,IF(AG527="Fix3",0.03,0))))))</f>
        <v>6.25E-2</v>
      </c>
      <c r="Z527" s="35">
        <f>T527-AA527-AB527</f>
        <v>1527</v>
      </c>
      <c r="AA527" s="29">
        <f>IF(AD527="EUR",((T527-R527)*X527)*U527+(R527*X527),(T527*X527))</f>
        <v>381.75</v>
      </c>
      <c r="AB527" s="36">
        <f>IF(AD527="EUR",((T527-R527)*Y527)*U527+(R527*Y527),(T527*Y527))</f>
        <v>127.25</v>
      </c>
      <c r="AC527" s="37" t="b">
        <v>1</v>
      </c>
      <c r="AD527" s="37" t="s">
        <v>38</v>
      </c>
      <c r="AE527" s="37" t="s">
        <v>38</v>
      </c>
      <c r="AF527" s="37" t="s">
        <v>146</v>
      </c>
      <c r="AG527" s="38" t="s">
        <v>147</v>
      </c>
    </row>
    <row r="528" spans="1:33" ht="14.25" hidden="1" x14ac:dyDescent="0.2">
      <c r="A528" s="18" t="str">
        <f t="array" ref="A528">IF(G528='Room Info'!$B$1, INDEX('Room Info'!$A$2:$A2446, MATCH(B528,'Room Info'!$B$2:$B2446, 0)),IF(G528='Room Info'!$C$1, INDEX('Room Info'!$A$2:$A2446, MATCH(B528,'Room Info'!$C$2:$C2446, 0)),IF(G528='Room Info'!$D$1, INDEX('Room Info'!$A$2:$A2446, MATCH(B528,'Room Info'!$D$2:$D2446, 0)),IF(G528='Room Info'!$E$1, INDEX('Room Info'!$A$2:$A2446, MATCH(B528,'Room Info'!$E$2:$E2446, 0)),IF(G528='Room Info'!$F$1, INDEX('Room Info'!$A$2:$A2446, MATCH(B528,'Room Info'!$F$2:$F2446, 0)),IF(G528='Room Info'!$H$1, INDEX('Room Info'!$A$2:$A2446, MATCH(B528,'Room Info'!$H$2:$H2446, 0)),IF(G528='Room Info'!$G$1, INDEX('Room Info'!$A$2:$A2446, MATCH(B528,'Room Info'!$G$2:$G2446, 0)))))))))</f>
        <v>benyya</v>
      </c>
      <c r="B528" s="45" t="s">
        <v>145</v>
      </c>
      <c r="C528" s="46">
        <v>44866</v>
      </c>
      <c r="D528" s="46">
        <v>44895</v>
      </c>
      <c r="E528" s="47">
        <v>44866</v>
      </c>
      <c r="F528" s="48" t="s">
        <v>41</v>
      </c>
      <c r="G528" s="45" t="s">
        <v>69</v>
      </c>
      <c r="H528" s="49" t="s">
        <v>70</v>
      </c>
      <c r="I528" s="49" t="s">
        <v>37</v>
      </c>
      <c r="J528" s="70">
        <v>100</v>
      </c>
      <c r="K528" s="71">
        <v>1</v>
      </c>
      <c r="L528" s="52">
        <v>0</v>
      </c>
      <c r="M528" s="53">
        <v>6586</v>
      </c>
      <c r="N528" s="28">
        <f>K528*J528</f>
        <v>100</v>
      </c>
      <c r="O528" s="54">
        <v>0</v>
      </c>
      <c r="P528" s="29">
        <v>0</v>
      </c>
      <c r="Q528" s="55"/>
      <c r="R528" s="31">
        <f>M528+Q528</f>
        <v>6586</v>
      </c>
      <c r="S528" s="56"/>
      <c r="T528" s="32">
        <f>R528+S528+IF(F528="Without EV deal",L528,0)</f>
        <v>6586</v>
      </c>
      <c r="U528" s="57">
        <v>1</v>
      </c>
      <c r="V528" s="58">
        <v>147.51</v>
      </c>
      <c r="W528" s="58">
        <v>85</v>
      </c>
      <c r="X528" s="78">
        <v>0.17</v>
      </c>
      <c r="Y528" s="78">
        <v>0</v>
      </c>
      <c r="Z528" s="35">
        <f>T528-AA528-AB528</f>
        <v>5486</v>
      </c>
      <c r="AA528" s="60">
        <v>1100</v>
      </c>
      <c r="AB528" s="36">
        <f>IF(AD528="EUR",((T528-R528)*Y528)*U528+(R528*Y528),(T528*Y528))</f>
        <v>0</v>
      </c>
      <c r="AC528" s="37" t="b">
        <v>1</v>
      </c>
      <c r="AD528" s="37" t="s">
        <v>38</v>
      </c>
      <c r="AE528" s="37" t="s">
        <v>38</v>
      </c>
      <c r="AF528" s="37" t="s">
        <v>146</v>
      </c>
      <c r="AG528" s="38" t="s">
        <v>147</v>
      </c>
    </row>
    <row r="529" spans="1:33" ht="14.25" hidden="1" x14ac:dyDescent="0.2">
      <c r="A529" s="18" t="str">
        <f t="array" ref="A529">IF(G529='Room Info'!$B$1, INDEX('Room Info'!$A$2:$A2446, MATCH(B529,'Room Info'!$B$2:$B2446, 0)),IF(G529='Room Info'!$C$1, INDEX('Room Info'!$A$2:$A2446, MATCH(B529,'Room Info'!$C$2:$C2446, 0)),IF(G529='Room Info'!$D$1, INDEX('Room Info'!$A$2:$A2446, MATCH(B529,'Room Info'!$D$2:$D2446, 0)),IF(G529='Room Info'!$E$1, INDEX('Room Info'!$A$2:$A2446, MATCH(B529,'Room Info'!$E$2:$E2446, 0)),IF(G529='Room Info'!$F$1, INDEX('Room Info'!$A$2:$A2446, MATCH(B529,'Room Info'!$F$2:$F2446, 0)),IF(G529='Room Info'!$H$1, INDEX('Room Info'!$A$2:$A2446, MATCH(B529,'Room Info'!$H$2:$H2446, 0)),IF(G529='Room Info'!$G$1, INDEX('Room Info'!$A$2:$A2446, MATCH(B529,'Room Info'!$G$2:$G2446, 0)))))))))</f>
        <v>benyya</v>
      </c>
      <c r="B529" s="45" t="s">
        <v>145</v>
      </c>
      <c r="C529" s="46">
        <v>44866</v>
      </c>
      <c r="D529" s="46">
        <v>44895</v>
      </c>
      <c r="E529" s="47">
        <v>44866</v>
      </c>
      <c r="F529" s="48" t="s">
        <v>49</v>
      </c>
      <c r="G529" s="45" t="s">
        <v>35</v>
      </c>
      <c r="H529" s="49" t="s">
        <v>70</v>
      </c>
      <c r="I529" s="49" t="s">
        <v>37</v>
      </c>
      <c r="J529" s="70">
        <v>100</v>
      </c>
      <c r="K529" s="71">
        <v>3</v>
      </c>
      <c r="L529" s="52">
        <v>-300</v>
      </c>
      <c r="M529" s="53">
        <v>7</v>
      </c>
      <c r="N529" s="28">
        <f>K529*J529</f>
        <v>300</v>
      </c>
      <c r="O529" s="54">
        <v>69</v>
      </c>
      <c r="P529" s="29">
        <v>23</v>
      </c>
      <c r="Q529" s="55"/>
      <c r="R529" s="31">
        <f>M529+Q529</f>
        <v>7</v>
      </c>
      <c r="S529" s="56">
        <v>-4</v>
      </c>
      <c r="T529" s="32">
        <f>R529+S529+IF(F529="Without EV deal",L529,0)</f>
        <v>3</v>
      </c>
      <c r="U529" s="57">
        <v>1</v>
      </c>
      <c r="V529" s="58">
        <v>147.51</v>
      </c>
      <c r="W529" s="58">
        <v>85</v>
      </c>
      <c r="X529" s="30">
        <f>IF(AF529="DoEV",IF(AND(V529&lt;20,W529&lt;55),0.3,0)+IF(AND(V529&lt;20,W529&gt;=55,W529&lt;105),0.23,0)+IF(AND(V529&lt;20,W529&gt;=105),0.17,0)+IF(AND(V529&gt;=20,V529&lt;40,W529&lt;45),0.3,0)+IF(AND(V529&gt;=20,V529&lt;40,W529&gt;=45,W529&lt;95),0.23,0)+IF(AND(V529&gt;=20,V529&lt;40,W529&gt;=95),0.17,0)+IF(AND(V529&gt;=40,V529&lt;75,W529&lt;35),0.3,0)+IF(AND(V529&gt;=40,V529&lt;75,W529&gt;=35,W529&lt;75),0.23,0)+IF(AND(V529&gt;=40,V529&lt;75,W529&gt;=75,W529&lt;120),0.17,0)+IF(AND(V529&gt;=40,V529&lt;75,W529&gt;=120),0.12,0)+IF(AND(V529&gt;=75,V529&lt;175,W529&lt;35),0.3,0)+IF(AND(V529&gt;=75,V529&lt;=175,W529&gt;=35,W529&lt;65),0.23,0)+IF(AND(V529&gt;=75,V529&lt;=175,W529&gt;=65,W529&lt;110),0.17,0)+IF(AND(V529&gt;=75,V529&lt;=175,W529&gt;=110),0.12,0)+IF(AND(V529&gt;175,W529&lt;25),0.3,0)+IF(AND(V529&gt;175,W529&gt;=25,W529&lt;55),0.23,0)+IF(AND(V529&gt;175,W529&gt;=55,W529&lt;95),0.17,0)+IF(AND(V529&gt;175,W529&gt;=95),0.12,0),
IF(AF529="Fix15",0.15,
IF(AF529="Fix18.75",0.1875,
IF(AF529="Fix11.25",0.1125,
IF(AF529="Fix10",0.1,
IF(AF529="Fix9",0.09,
IF(AF529="DoEV2017",IF(AND(W529&lt;74),0.2,0)+IF(AND(W529&gt;=74),0.17,0),
IF(AF529="SF",IF(AND(V529&lt;20,W529&lt;89),0.3,0)+IF(AND(V529&lt;20,W529&gt;=89),0.25,0)+IF(AND(V529&gt;=20,V529&lt;40,W529&lt;74),0.3,0)+IF(AND(V529&gt;=20,V529&lt;40,W529&gt;=75),0.22,0)+IF(AND(V529&gt;=40,V529&lt;75,W529&lt;75),0.26,0)+IF(AND(V529&gt;=40,V529&lt;75,W529&gt;=75),0.22,0)+IF(V529&gt;=75,0.22,0),
IF(AF529="DoEVold",IF(AND(V529&lt;40,W529&lt;35),0.35,0)+IF(AND(V529&lt;40,W529&gt;=35,W529&lt;75),0.25,0)+IF(AND(V529&lt;40,W529&gt;=75),0.17,0)+IF(AND(V529&gt;=40,V529&lt;75,W529&lt;25),0.35,0)+IF(AND(V529&gt;=40,V529&lt;75,W529&gt;=25,W529&lt;65),0.25,0)+IF(AND(V529&gt;=40,V529&lt;75,W529&gt;=65,W529&lt;100),0.17,0)+IF(AND(V529&gt;=40,V529&lt;75,W529&gt;=100),0.1,0)+IF(AND(V529&gt;=75,W529&lt;25),0.35,0)+IF(AND(V529&gt;=75,W529&gt;=25,W529&lt;60),0.25,0)+IF(AND(V529&gt;=75,W529&gt;=60,W529&lt;95),0.17,0)+IF(AND(V529&gt;=75,W529&gt;=95),0.1,0),
IF(AF529="DoEVold15",IF(AND(V529&lt;=40,W529&lt;35),0.35,0)+IF(AND(V529&lt;=40,W529&gt;=35,W529&lt;75),0.25,0)+IF(AND(V529&lt;=40,W529&gt;=75,W529&lt;120),0.17,0)+IF(AND(V529&lt;=40,W529&gt;=120),0.15,0)+IF(AND(V529&gt;40,V529&lt;75,W529&lt;25),0.35,0)+IF(AND(V529&gt;=40,V529&lt;75,W529&gt;=25,W529&lt;65),0.25,0)+IF(AND(V529&gt;=40,V529&lt;75,W529&gt;=65,W529&lt;100),0.17,0)+IF(AND(V529&gt;=40,V529&lt;75,W529&gt;=100),0.1,0)+IF(AND(V529&gt;=75,W529&lt;25),0.35,0)+IF(AND(V529&gt;=75,W529&gt;=25,W529&lt;60),0.25,0)+IF(AND(V529&gt;=75,W529&gt;=60,W529&lt;95),0.17,0)+IF(AND(V529&gt;=75,W529&gt;=95),0.1,0),
IF(AF529="DoEVba",IF(AND(V529&lt;20,W529&lt;105),0.2,0)+IF(AND(V529&lt;20,W529&gt;=105),0.15,0)+IF(AND(V529&gt;=20,V529&lt;40,W529&lt;95),0.2,0)+IF(AND(V529&gt;=20,V529&lt;40,W529&gt;=95,W529&lt;150),0.15,0)+IF(AND(V529&gt;=20,V529&lt;40,W529&gt;=150),0.12,0)+IF(AND(V529&gt;=40,V529&lt;75,W529&lt;75),0.2,0)+IF(AND(V529&gt;=40,V529&lt;75,W529&gt;=75,W529&lt;120),0.15,0)+IF(AND(V529&gt;=40,V529&lt;75,W529&gt;=120),0.12,0)+IF(AND(V529&gt;=75,V529&lt;175,W529&lt;65),0.2,0)+IF(AND(V529&gt;=75,V529&lt;175,W529&gt;=65,W529&lt;110),0.15,0)+IF(AND(V529&gt;=75,V529&lt;175,W529&gt;=110),0.12,0)+IF(AND(V529&gt;=175,W529&lt;55),0.2,0)+IF(AND(V529&gt;=175,W529&gt;=55,W529&lt;95),0.15,0)+IF(AND(V529&gt;=175,W529&gt;=95),0.12,0),
IF(AF529="DoEVku",IF(AND(V529&lt;20,W529&lt;55),0.23,0)+IF(AND(V529&lt;20,W529&gt;=55,W529&lt;105),0.2,0)+IF(AND(V529&lt;20,W529&gt;=105),0.17,0)+IF(AND(V529&gt;=20,V529&lt;40,W529&lt;45),0.23,0)+IF(AND(V529&gt;=20,V529&lt;40,W529&gt;=45,W529&lt;95),0.2,0)+IF(AND(V529&gt;=20,V529&lt;40,W529&gt;=95,W529&lt;=150),0.17,0)+IF(AND(V529&gt;=20,V529&lt;40,W529&gt;=150),0.12,0)+IF(AND(V529&gt;=40,V529&lt;75,W529&lt;35),0.23,0)+IF(AND(V529&gt;=40,V529&lt;75,W529&gt;=35,W529&lt;75),0.2,0)+IF(AND(V529&gt;=40,V529&lt;75,W529&gt;=75,W529&lt;120),0.17,0)+IF(AND(V529&gt;=40,V529&lt;75,W529&gt;=120),0.12,0)+IF(AND(V529&gt;=75,V529&lt;175,W529&lt;35),0.23,0)+IF(AND(V529&gt;=75,V529&lt;=175,W529&gt;=35,W529&lt;65),0.2,0)+IF(AND(V529&gt;=75,V529&lt;=175,W529&gt;=65,W529&lt;110),0.17,0)+IF(AND(V529&gt;=75,V529&lt;=175,W529&gt;=110),0.12,0)+IF(AND(V529&gt;175,W529&lt;25),0.23,0)+IF(AND(V529&gt;175,W529&gt;=25,W529&lt;55),0.2,0)+IF(AND(V529&gt;175,W529&gt;=55,W529&lt;95),0.17,0)+IF(AND(V529&gt;175,W529&gt;=95),0.12,0),
IF(AF529="DoEVs1",IF(AND(V529&lt;20,W529&lt;55),0.3,0)+IF(AND(V529&lt;20,W529&gt;=55,W529&lt;105),0.23,0)+IF(AND(V529&lt;20,W529&gt;=105),0.17,0)+IF(AND(V529&gt;=20,V529&lt;40,W529&lt;45),0.3,0)+IF(AND(V529&gt;=20,V529&lt;40,W529&gt;=45,W529&lt;95),0.23,0)+IF(AND(V529&gt;=20,V529&lt;40,W529&gt;=95,W529&lt;=150),0.17,0)+IF(AND(V529&gt;=20,V529&lt;40,W529&gt;=150),0.12,0)+IF(AND(V529&gt;=40,V529&lt;75,W529&lt;35),0.3,0)+IF(AND(V529&gt;=40,V529&lt;75,W529&gt;=35,W529&lt;75),0.23,0)+IF(AND(V529&gt;=40,V529&lt;75,W529&gt;=75,W529&lt;120),0.17,0)+IF(AND(V529&gt;=40,V529&lt;75,W529&gt;=120),0.12,0)+IF(AND(V529&gt;=75,V529&lt;175,W529&lt;35),0.3,0)+IF(AND(V529&gt;=75,V529&lt;=175,W529&gt;=35,W529&lt;65),0.23,0)+IF(AND(V529&gt;=75,V529&lt;=175,W529&gt;=65,W529&lt;110),0.17,0)+IF(AND(V529&gt;=75,V529&lt;=175,W529&gt;=110),0.12,0)+IF(AND(V529&gt;175,W529&lt;25),0.3,0)+IF(AND(V529&gt;175,W529&gt;=25,W529&lt;55),0.23,0)+IF(AND(V529&gt;175,W529&gt;=55,W529&lt;95),0.17,0)+IF(AND(V529&gt;175,W529&gt;=95),0.12,0),
IF(AF529="DoEVsu",IF(AND(V529&lt;20,W529&lt;55),0.3,0)+IF(AND(V529&lt;20,W529&gt;=55,W529&lt;105),0.23,0)+IF(AND(V529&lt;20,W529&gt;=105),0.17,0)+IF(AND(V529&gt;=20,V529&lt;40,W529&lt;45),0.3,0)+IF(AND(V529&gt;=20,V529&lt;40,W529&gt;=45,W529&lt;95),0.23,0)+IF(AND(V529&gt;=20,V529&lt;40,W529&gt;=95,W529&lt;=250),0.17,0)+IF(AND(V529&gt;=20,V529&lt;40,W529&gt;=250),0.12,0)+IF(AND(V529&gt;=40,V529&lt;75,W529&lt;35),0.3,0)+IF(AND(V529&gt;=40,V529&lt;75,W529&gt;=35,W529&lt;75),0.23,0)+IF(AND(V529&gt;=40,V529&lt;75,W529&gt;=75,W529&lt;120),0.17,0)+IF(AND(V529&gt;=40,V529&lt;75,W529&gt;=120),0.12,0)+IF(AND(V529&gt;=75,V529&lt;175,W529&lt;35),0.3,0)+IF(AND(V529&gt;=75,V529&lt;=175,W529&gt;=35,W529&lt;65),0.23,0)+IF(AND(V529&gt;=75,V529&lt;=175,W529&gt;=65,W529&lt;110),0.17,0)+IF(AND(V529&gt;=75,V529&lt;=175,W529&gt;=110),0.12,0)+IF(AND(V529&gt;175,W529&lt;25),0.3,0)+IF(AND(V529&gt;175,W529&gt;=25,W529&lt;55),0.23,0)+IF(AND(V529&gt;175,W529&gt;=55,W529&lt;95),0.17,0)+IF(AND(V529&gt;175,W529&gt;=95),0.12,0),
IF(AF529="DoEVni",IF(AND(V529&lt;20,W529&lt;55),0.3,0)+IF(AND(V529&lt;20,W529&gt;=55,W529&lt;105),0.23,0)+IF(AND(V529&lt;20,W529&gt;=105),0.17,0)+IF(AND(V529&gt;=20,V529&lt;40,W529&lt;45),0.3,0)+IF(AND(V529&gt;=20,V529&lt;40,W529&gt;=45,W529&lt;95),0.23,0)+IF(AND(V529&gt;=20,V529&lt;40,W529&gt;=95,W529&lt;=200),0.17,0)+IF(AND(V529&gt;=20,V529&lt;40,W529&gt;=200),0.12,0)+IF(AND(V529&gt;=40,V529&lt;75,W529&lt;35),0.3,0)+IF(AND(V529&gt;=40,V529&lt;75,W529&gt;=35,W529&lt;75),0.23,0)+IF(AND(V529&gt;=40,V529&lt;75,W529&gt;=75,W529&lt;120),0.17,0)+IF(AND(V529&gt;=40,V529&lt;75,W529&gt;=120),0.12,0)+IF(AND(V529&gt;=75,V529&lt;175,W529&lt;35),0.3,0)+IF(AND(V529&gt;=75,V529&lt;=175,W529&gt;=35,W529&lt;65),0.23,0)+IF(AND(V529&gt;=75,V529&lt;=175,W529&gt;=65,W529&lt;110),0.17,0)+IF(AND(V529&gt;=75,V529&lt;=175,W529&gt;=110),0.12,0)+IF(AND(V529&gt;175,W529&lt;25),0.3,0)+IF(AND(V529&gt;175,W529&gt;=25,W529&lt;55),0.23,0)+IF(AND(V529&gt;175,W529&gt;=55,W529&lt;95),0.17,0)+IF(AND(V529&gt;175,W529&gt;=95),0.12,0),
IF(AF529="DoEVLo",IF(AND(V529&lt;20,W529&lt;55),0.25,0)+IF(AND(V529&lt;20,W529&gt;=55,W529&lt;105),0.2,0)+IF(AND(V529&lt;20,W529&gt;=105),0.15,0)+IF(AND(V529&gt;=20,V529&lt;40,W529&lt;45),0.25,0)+IF(AND(V529&gt;=20,V529&lt;40,W529&gt;=45,W529&lt;95),0.2,0)+IF(AND(V529&gt;=20,V529&lt;40,W529&gt;=95),0.15,0)+IF(AND(V529&gt;=40,V529&lt;75,W529&lt;35),0.25,0)+IF(AND(V529&gt;=40,V529&lt;75,W529&gt;=35,W529&lt;75),0.2,0)+IF(AND(V529&gt;=40,V529&lt;75,W529&gt;=75,W529&lt;120),0.15,0)+IF(AND(V529&gt;=40,V529&lt;75,W529&gt;=120),0.1,0)+IF(AND(V529&gt;=75,V529&lt;175,W529&lt;35),0.25,0)+IF(AND(V529&gt;=75,V529&lt;=175,W529&gt;=35,W529&lt;65),0.2,0)+IF(AND(V529&gt;=75,V529&lt;=175,W529&gt;=65,W529&lt;110),0.15,0)+IF(AND(V529&gt;=75,V529&lt;=175,W529&gt;=110),0.1,0)+IF(AND(V529&gt;175,W529&lt;25),0.25,0)+IF(AND(V529&gt;175,W529&gt;=25,W529&lt;55),0.2,0)+IF(AND(V529&gt;175,W529&gt;=55,W529&lt;95),0.15,0)+IF(AND(V529&gt;175,W529&gt;=95),0.1,0)))))))))))))))))</f>
        <v>0.1875</v>
      </c>
      <c r="Y529" s="30">
        <f>IF(AG529="None",0,IF(AG529="Fix5",0.05, IF(AG529="Fix6.25",0.0625,IF(AG529="Fix3.75",0.0375,IF(AG529="Fix10",0.1,IF(AG529="Fix3",0.03,0))))))</f>
        <v>6.25E-2</v>
      </c>
      <c r="Z529" s="35">
        <f>T529-AA529-AB529</f>
        <v>2.25</v>
      </c>
      <c r="AA529" s="29">
        <f>IF(AD529="EUR",((T529-R529)*X529)*U529+(R529*X529),(T529*X529))</f>
        <v>0.5625</v>
      </c>
      <c r="AB529" s="36">
        <f>IF(AD529="EUR",((T529-R529)*Y529)*U529+(R529*Y529),(T529*Y529))</f>
        <v>0.1875</v>
      </c>
      <c r="AC529" s="37" t="b">
        <v>1</v>
      </c>
      <c r="AD529" s="37" t="s">
        <v>38</v>
      </c>
      <c r="AE529" s="37" t="s">
        <v>38</v>
      </c>
      <c r="AF529" s="37" t="s">
        <v>146</v>
      </c>
      <c r="AG529" s="38" t="s">
        <v>147</v>
      </c>
    </row>
    <row r="530" spans="1:33" ht="14.25" hidden="1" x14ac:dyDescent="0.2">
      <c r="A530" s="18" t="str">
        <f t="array" ref="A530">IF(G530='Room Info'!$B$1, INDEX('Room Info'!$A$2:$A2446, MATCH(B530,'Room Info'!$B$2:$B2446, 0)),IF(G530='Room Info'!$C$1, INDEX('Room Info'!$A$2:$A2446, MATCH(B530,'Room Info'!$C$2:$C2446, 0)),IF(G530='Room Info'!$D$1, INDEX('Room Info'!$A$2:$A2446, MATCH(B530,'Room Info'!$D$2:$D2446, 0)),IF(G530='Room Info'!$E$1, INDEX('Room Info'!$A$2:$A2446, MATCH(B530,'Room Info'!$E$2:$E2446, 0)),IF(G530='Room Info'!$F$1, INDEX('Room Info'!$A$2:$A2446, MATCH(B530,'Room Info'!$F$2:$F2446, 0)),IF(G530='Room Info'!$H$1, INDEX('Room Info'!$A$2:$A2446, MATCH(B530,'Room Info'!$H$2:$H2446, 0)),IF(G530='Room Info'!$G$1, INDEX('Room Info'!$A$2:$A2446, MATCH(B530,'Room Info'!$G$2:$G2446, 0)))))))))</f>
        <v>benyya</v>
      </c>
      <c r="B530" s="45" t="s">
        <v>145</v>
      </c>
      <c r="C530" s="46">
        <v>44866</v>
      </c>
      <c r="D530" s="46">
        <v>44895</v>
      </c>
      <c r="E530" s="47">
        <v>44866</v>
      </c>
      <c r="F530" s="48" t="s">
        <v>49</v>
      </c>
      <c r="G530" s="45" t="s">
        <v>35</v>
      </c>
      <c r="H530" s="49" t="s">
        <v>149</v>
      </c>
      <c r="I530" s="49" t="s">
        <v>44</v>
      </c>
      <c r="J530" s="70">
        <v>500</v>
      </c>
      <c r="K530" s="71">
        <v>56</v>
      </c>
      <c r="L530" s="52">
        <v>1000</v>
      </c>
      <c r="M530" s="53">
        <v>638</v>
      </c>
      <c r="N530" s="28">
        <f>K530*J530</f>
        <v>28000</v>
      </c>
      <c r="O530" s="54">
        <v>953</v>
      </c>
      <c r="P530" s="29">
        <v>17.01785714</v>
      </c>
      <c r="Q530" s="55"/>
      <c r="R530" s="31">
        <f>M530+Q530</f>
        <v>638</v>
      </c>
      <c r="S530" s="56">
        <v>-18</v>
      </c>
      <c r="T530" s="32">
        <f>R530+S530+IF(F530="Without EV deal",L530,0)</f>
        <v>620</v>
      </c>
      <c r="U530" s="57">
        <v>1</v>
      </c>
      <c r="V530" s="58">
        <v>147.51</v>
      </c>
      <c r="W530" s="58">
        <v>85</v>
      </c>
      <c r="X530" s="30">
        <f>IF(AF530="DoEV",IF(AND(V530&lt;20,W530&lt;55),0.3,0)+IF(AND(V530&lt;20,W530&gt;=55,W530&lt;105),0.23,0)+IF(AND(V530&lt;20,W530&gt;=105),0.17,0)+IF(AND(V530&gt;=20,V530&lt;40,W530&lt;45),0.3,0)+IF(AND(V530&gt;=20,V530&lt;40,W530&gt;=45,W530&lt;95),0.23,0)+IF(AND(V530&gt;=20,V530&lt;40,W530&gt;=95),0.17,0)+IF(AND(V530&gt;=40,V530&lt;75,W530&lt;35),0.3,0)+IF(AND(V530&gt;=40,V530&lt;75,W530&gt;=35,W530&lt;75),0.23,0)+IF(AND(V530&gt;=40,V530&lt;75,W530&gt;=75,W530&lt;120),0.17,0)+IF(AND(V530&gt;=40,V530&lt;75,W530&gt;=120),0.12,0)+IF(AND(V530&gt;=75,V530&lt;175,W530&lt;35),0.3,0)+IF(AND(V530&gt;=75,V530&lt;=175,W530&gt;=35,W530&lt;65),0.23,0)+IF(AND(V530&gt;=75,V530&lt;=175,W530&gt;=65,W530&lt;110),0.17,0)+IF(AND(V530&gt;=75,V530&lt;=175,W530&gt;=110),0.12,0)+IF(AND(V530&gt;175,W530&lt;25),0.3,0)+IF(AND(V530&gt;175,W530&gt;=25,W530&lt;55),0.23,0)+IF(AND(V530&gt;175,W530&gt;=55,W530&lt;95),0.17,0)+IF(AND(V530&gt;175,W530&gt;=95),0.12,0),
IF(AF530="Fix15",0.15,
IF(AF530="Fix18.75",0.1875,
IF(AF530="Fix11.25",0.1125,
IF(AF530="Fix10",0.1,
IF(AF530="Fix9",0.09,
IF(AF530="DoEV2017",IF(AND(W530&lt;74),0.2,0)+IF(AND(W530&gt;=74),0.17,0),
IF(AF530="SF",IF(AND(V530&lt;20,W530&lt;89),0.3,0)+IF(AND(V530&lt;20,W530&gt;=89),0.25,0)+IF(AND(V530&gt;=20,V530&lt;40,W530&lt;74),0.3,0)+IF(AND(V530&gt;=20,V530&lt;40,W530&gt;=75),0.22,0)+IF(AND(V530&gt;=40,V530&lt;75,W530&lt;75),0.26,0)+IF(AND(V530&gt;=40,V530&lt;75,W530&gt;=75),0.22,0)+IF(V530&gt;=75,0.22,0),
IF(AF530="DoEVold",IF(AND(V530&lt;40,W530&lt;35),0.35,0)+IF(AND(V530&lt;40,W530&gt;=35,W530&lt;75),0.25,0)+IF(AND(V530&lt;40,W530&gt;=75),0.17,0)+IF(AND(V530&gt;=40,V530&lt;75,W530&lt;25),0.35,0)+IF(AND(V530&gt;=40,V530&lt;75,W530&gt;=25,W530&lt;65),0.25,0)+IF(AND(V530&gt;=40,V530&lt;75,W530&gt;=65,W530&lt;100),0.17,0)+IF(AND(V530&gt;=40,V530&lt;75,W530&gt;=100),0.1,0)+IF(AND(V530&gt;=75,W530&lt;25),0.35,0)+IF(AND(V530&gt;=75,W530&gt;=25,W530&lt;60),0.25,0)+IF(AND(V530&gt;=75,W530&gt;=60,W530&lt;95),0.17,0)+IF(AND(V530&gt;=75,W530&gt;=95),0.1,0),
IF(AF530="DoEVold15",IF(AND(V530&lt;=40,W530&lt;35),0.35,0)+IF(AND(V530&lt;=40,W530&gt;=35,W530&lt;75),0.25,0)+IF(AND(V530&lt;=40,W530&gt;=75,W530&lt;120),0.17,0)+IF(AND(V530&lt;=40,W530&gt;=120),0.15,0)+IF(AND(V530&gt;40,V530&lt;75,W530&lt;25),0.35,0)+IF(AND(V530&gt;=40,V530&lt;75,W530&gt;=25,W530&lt;65),0.25,0)+IF(AND(V530&gt;=40,V530&lt;75,W530&gt;=65,W530&lt;100),0.17,0)+IF(AND(V530&gt;=40,V530&lt;75,W530&gt;=100),0.1,0)+IF(AND(V530&gt;=75,W530&lt;25),0.35,0)+IF(AND(V530&gt;=75,W530&gt;=25,W530&lt;60),0.25,0)+IF(AND(V530&gt;=75,W530&gt;=60,W530&lt;95),0.17,0)+IF(AND(V530&gt;=75,W530&gt;=95),0.1,0),
IF(AF530="DoEVba",IF(AND(V530&lt;20,W530&lt;105),0.2,0)+IF(AND(V530&lt;20,W530&gt;=105),0.15,0)+IF(AND(V530&gt;=20,V530&lt;40,W530&lt;95),0.2,0)+IF(AND(V530&gt;=20,V530&lt;40,W530&gt;=95,W530&lt;150),0.15,0)+IF(AND(V530&gt;=20,V530&lt;40,W530&gt;=150),0.12,0)+IF(AND(V530&gt;=40,V530&lt;75,W530&lt;75),0.2,0)+IF(AND(V530&gt;=40,V530&lt;75,W530&gt;=75,W530&lt;120),0.15,0)+IF(AND(V530&gt;=40,V530&lt;75,W530&gt;=120),0.12,0)+IF(AND(V530&gt;=75,V530&lt;175,W530&lt;65),0.2,0)+IF(AND(V530&gt;=75,V530&lt;175,W530&gt;=65,W530&lt;110),0.15,0)+IF(AND(V530&gt;=75,V530&lt;175,W530&gt;=110),0.12,0)+IF(AND(V530&gt;=175,W530&lt;55),0.2,0)+IF(AND(V530&gt;=175,W530&gt;=55,W530&lt;95),0.15,0)+IF(AND(V530&gt;=175,W530&gt;=95),0.12,0),
IF(AF530="DoEVku",IF(AND(V530&lt;20,W530&lt;55),0.23,0)+IF(AND(V530&lt;20,W530&gt;=55,W530&lt;105),0.2,0)+IF(AND(V530&lt;20,W530&gt;=105),0.17,0)+IF(AND(V530&gt;=20,V530&lt;40,W530&lt;45),0.23,0)+IF(AND(V530&gt;=20,V530&lt;40,W530&gt;=45,W530&lt;95),0.2,0)+IF(AND(V530&gt;=20,V530&lt;40,W530&gt;=95,W530&lt;=150),0.17,0)+IF(AND(V530&gt;=20,V530&lt;40,W530&gt;=150),0.12,0)+IF(AND(V530&gt;=40,V530&lt;75,W530&lt;35),0.23,0)+IF(AND(V530&gt;=40,V530&lt;75,W530&gt;=35,W530&lt;75),0.2,0)+IF(AND(V530&gt;=40,V530&lt;75,W530&gt;=75,W530&lt;120),0.17,0)+IF(AND(V530&gt;=40,V530&lt;75,W530&gt;=120),0.12,0)+IF(AND(V530&gt;=75,V530&lt;175,W530&lt;35),0.23,0)+IF(AND(V530&gt;=75,V530&lt;=175,W530&gt;=35,W530&lt;65),0.2,0)+IF(AND(V530&gt;=75,V530&lt;=175,W530&gt;=65,W530&lt;110),0.17,0)+IF(AND(V530&gt;=75,V530&lt;=175,W530&gt;=110),0.12,0)+IF(AND(V530&gt;175,W530&lt;25),0.23,0)+IF(AND(V530&gt;175,W530&gt;=25,W530&lt;55),0.2,0)+IF(AND(V530&gt;175,W530&gt;=55,W530&lt;95),0.17,0)+IF(AND(V530&gt;175,W530&gt;=95),0.12,0),
IF(AF530="DoEVs1",IF(AND(V530&lt;20,W530&lt;55),0.3,0)+IF(AND(V530&lt;20,W530&gt;=55,W530&lt;105),0.23,0)+IF(AND(V530&lt;20,W530&gt;=105),0.17,0)+IF(AND(V530&gt;=20,V530&lt;40,W530&lt;45),0.3,0)+IF(AND(V530&gt;=20,V530&lt;40,W530&gt;=45,W530&lt;95),0.23,0)+IF(AND(V530&gt;=20,V530&lt;40,W530&gt;=95,W530&lt;=150),0.17,0)+IF(AND(V530&gt;=20,V530&lt;40,W530&gt;=150),0.12,0)+IF(AND(V530&gt;=40,V530&lt;75,W530&lt;35),0.3,0)+IF(AND(V530&gt;=40,V530&lt;75,W530&gt;=35,W530&lt;75),0.23,0)+IF(AND(V530&gt;=40,V530&lt;75,W530&gt;=75,W530&lt;120),0.17,0)+IF(AND(V530&gt;=40,V530&lt;75,W530&gt;=120),0.12,0)+IF(AND(V530&gt;=75,V530&lt;175,W530&lt;35),0.3,0)+IF(AND(V530&gt;=75,V530&lt;=175,W530&gt;=35,W530&lt;65),0.23,0)+IF(AND(V530&gt;=75,V530&lt;=175,W530&gt;=65,W530&lt;110),0.17,0)+IF(AND(V530&gt;=75,V530&lt;=175,W530&gt;=110),0.12,0)+IF(AND(V530&gt;175,W530&lt;25),0.3,0)+IF(AND(V530&gt;175,W530&gt;=25,W530&lt;55),0.23,0)+IF(AND(V530&gt;175,W530&gt;=55,W530&lt;95),0.17,0)+IF(AND(V530&gt;175,W530&gt;=95),0.12,0),
IF(AF530="DoEVsu",IF(AND(V530&lt;20,W530&lt;55),0.3,0)+IF(AND(V530&lt;20,W530&gt;=55,W530&lt;105),0.23,0)+IF(AND(V530&lt;20,W530&gt;=105),0.17,0)+IF(AND(V530&gt;=20,V530&lt;40,W530&lt;45),0.3,0)+IF(AND(V530&gt;=20,V530&lt;40,W530&gt;=45,W530&lt;95),0.23,0)+IF(AND(V530&gt;=20,V530&lt;40,W530&gt;=95,W530&lt;=250),0.17,0)+IF(AND(V530&gt;=20,V530&lt;40,W530&gt;=250),0.12,0)+IF(AND(V530&gt;=40,V530&lt;75,W530&lt;35),0.3,0)+IF(AND(V530&gt;=40,V530&lt;75,W530&gt;=35,W530&lt;75),0.23,0)+IF(AND(V530&gt;=40,V530&lt;75,W530&gt;=75,W530&lt;120),0.17,0)+IF(AND(V530&gt;=40,V530&lt;75,W530&gt;=120),0.12,0)+IF(AND(V530&gt;=75,V530&lt;175,W530&lt;35),0.3,0)+IF(AND(V530&gt;=75,V530&lt;=175,W530&gt;=35,W530&lt;65),0.23,0)+IF(AND(V530&gt;=75,V530&lt;=175,W530&gt;=65,W530&lt;110),0.17,0)+IF(AND(V530&gt;=75,V530&lt;=175,W530&gt;=110),0.12,0)+IF(AND(V530&gt;175,W530&lt;25),0.3,0)+IF(AND(V530&gt;175,W530&gt;=25,W530&lt;55),0.23,0)+IF(AND(V530&gt;175,W530&gt;=55,W530&lt;95),0.17,0)+IF(AND(V530&gt;175,W530&gt;=95),0.12,0),
IF(AF530="DoEVni",IF(AND(V530&lt;20,W530&lt;55),0.3,0)+IF(AND(V530&lt;20,W530&gt;=55,W530&lt;105),0.23,0)+IF(AND(V530&lt;20,W530&gt;=105),0.17,0)+IF(AND(V530&gt;=20,V530&lt;40,W530&lt;45),0.3,0)+IF(AND(V530&gt;=20,V530&lt;40,W530&gt;=45,W530&lt;95),0.23,0)+IF(AND(V530&gt;=20,V530&lt;40,W530&gt;=95,W530&lt;=200),0.17,0)+IF(AND(V530&gt;=20,V530&lt;40,W530&gt;=200),0.12,0)+IF(AND(V530&gt;=40,V530&lt;75,W530&lt;35),0.3,0)+IF(AND(V530&gt;=40,V530&lt;75,W530&gt;=35,W530&lt;75),0.23,0)+IF(AND(V530&gt;=40,V530&lt;75,W530&gt;=75,W530&lt;120),0.17,0)+IF(AND(V530&gt;=40,V530&lt;75,W530&gt;=120),0.12,0)+IF(AND(V530&gt;=75,V530&lt;175,W530&lt;35),0.3,0)+IF(AND(V530&gt;=75,V530&lt;=175,W530&gt;=35,W530&lt;65),0.23,0)+IF(AND(V530&gt;=75,V530&lt;=175,W530&gt;=65,W530&lt;110),0.17,0)+IF(AND(V530&gt;=75,V530&lt;=175,W530&gt;=110),0.12,0)+IF(AND(V530&gt;175,W530&lt;25),0.3,0)+IF(AND(V530&gt;175,W530&gt;=25,W530&lt;55),0.23,0)+IF(AND(V530&gt;175,W530&gt;=55,W530&lt;95),0.17,0)+IF(AND(V530&gt;175,W530&gt;=95),0.12,0),
IF(AF530="DoEVLo",IF(AND(V530&lt;20,W530&lt;55),0.25,0)+IF(AND(V530&lt;20,W530&gt;=55,W530&lt;105),0.2,0)+IF(AND(V530&lt;20,W530&gt;=105),0.15,0)+IF(AND(V530&gt;=20,V530&lt;40,W530&lt;45),0.25,0)+IF(AND(V530&gt;=20,V530&lt;40,W530&gt;=45,W530&lt;95),0.2,0)+IF(AND(V530&gt;=20,V530&lt;40,W530&gt;=95),0.15,0)+IF(AND(V530&gt;=40,V530&lt;75,W530&lt;35),0.25,0)+IF(AND(V530&gt;=40,V530&lt;75,W530&gt;=35,W530&lt;75),0.2,0)+IF(AND(V530&gt;=40,V530&lt;75,W530&gt;=75,W530&lt;120),0.15,0)+IF(AND(V530&gt;=40,V530&lt;75,W530&gt;=120),0.1,0)+IF(AND(V530&gt;=75,V530&lt;175,W530&lt;35),0.25,0)+IF(AND(V530&gt;=75,V530&lt;=175,W530&gt;=35,W530&lt;65),0.2,0)+IF(AND(V530&gt;=75,V530&lt;=175,W530&gt;=65,W530&lt;110),0.15,0)+IF(AND(V530&gt;=75,V530&lt;=175,W530&gt;=110),0.1,0)+IF(AND(V530&gt;175,W530&lt;25),0.25,0)+IF(AND(V530&gt;175,W530&gt;=25,W530&lt;55),0.2,0)+IF(AND(V530&gt;175,W530&gt;=55,W530&lt;95),0.15,0)+IF(AND(V530&gt;175,W530&gt;=95),0.1,0)))))))))))))))))</f>
        <v>0.1875</v>
      </c>
      <c r="Y530" s="30">
        <f>IF(AG530="None",0,IF(AG530="Fix5",0.05, IF(AG530="Fix6.25",0.0625,IF(AG530="Fix3.75",0.0375,IF(AG530="Fix10",0.1,IF(AG530="Fix3",0.03,0))))))</f>
        <v>6.25E-2</v>
      </c>
      <c r="Z530" s="35">
        <f>T530-AA530-AB530</f>
        <v>465</v>
      </c>
      <c r="AA530" s="29">
        <f>IF(AD530="EUR",((T530-R530)*X530)*U530+(R530*X530),(T530*X530))</f>
        <v>116.25</v>
      </c>
      <c r="AB530" s="36">
        <f>IF(AD530="EUR",((T530-R530)*Y530)*U530+(R530*Y530),(T530*Y530))</f>
        <v>38.75</v>
      </c>
      <c r="AC530" s="37" t="b">
        <v>1</v>
      </c>
      <c r="AD530" s="37" t="s">
        <v>38</v>
      </c>
      <c r="AE530" s="37" t="s">
        <v>38</v>
      </c>
      <c r="AF530" s="37" t="s">
        <v>146</v>
      </c>
      <c r="AG530" s="38" t="s">
        <v>147</v>
      </c>
    </row>
    <row r="531" spans="1:33" ht="14.25" hidden="1" x14ac:dyDescent="0.2">
      <c r="A531" s="18" t="str">
        <f t="array" ref="A531">IF(G531='Room Info'!$B$1, INDEX('Room Info'!$A$2:$A2446, MATCH(B531,'Room Info'!$B$2:$B2446, 0)),IF(G531='Room Info'!$C$1, INDEX('Room Info'!$A$2:$A2446, MATCH(B531,'Room Info'!$C$2:$C2446, 0)),IF(G531='Room Info'!$D$1, INDEX('Room Info'!$A$2:$A2446, MATCH(B531,'Room Info'!$D$2:$D2446, 0)),IF(G531='Room Info'!$E$1, INDEX('Room Info'!$A$2:$A2446, MATCH(B531,'Room Info'!$E$2:$E2446, 0)),IF(G531='Room Info'!$F$1, INDEX('Room Info'!$A$2:$A2446, MATCH(B531,'Room Info'!$F$2:$F2446, 0)),IF(G531='Room Info'!$H$1, INDEX('Room Info'!$A$2:$A2446, MATCH(B531,'Room Info'!$H$2:$H2446, 0)),IF(G531='Room Info'!$G$1, INDEX('Room Info'!$A$2:$A2446, MATCH(B531,'Room Info'!$G$2:$G2446, 0)))))))))</f>
        <v>benyya</v>
      </c>
      <c r="B531" s="45" t="s">
        <v>145</v>
      </c>
      <c r="C531" s="46">
        <v>44866</v>
      </c>
      <c r="D531" s="46">
        <v>44895</v>
      </c>
      <c r="E531" s="47">
        <v>44866</v>
      </c>
      <c r="F531" s="48" t="s">
        <v>49</v>
      </c>
      <c r="G531" s="45" t="s">
        <v>35</v>
      </c>
      <c r="H531" s="49" t="s">
        <v>85</v>
      </c>
      <c r="I531" s="49" t="s">
        <v>44</v>
      </c>
      <c r="J531" s="70">
        <v>50</v>
      </c>
      <c r="K531" s="71">
        <v>112</v>
      </c>
      <c r="L531" s="52">
        <v>1500</v>
      </c>
      <c r="M531" s="53">
        <v>153</v>
      </c>
      <c r="N531" s="28">
        <f>K531*J531</f>
        <v>5600</v>
      </c>
      <c r="O531" s="54">
        <v>1363</v>
      </c>
      <c r="P531" s="29">
        <v>12.16964286</v>
      </c>
      <c r="Q531" s="55"/>
      <c r="R531" s="31">
        <f>M531+Q531</f>
        <v>153</v>
      </c>
      <c r="S531" s="56">
        <v>-165</v>
      </c>
      <c r="T531" s="32">
        <f>R531+S531+IF(F531="Without EV deal",L531,0)</f>
        <v>-12</v>
      </c>
      <c r="U531" s="57">
        <v>1</v>
      </c>
      <c r="V531" s="58">
        <v>147.51</v>
      </c>
      <c r="W531" s="58">
        <v>85</v>
      </c>
      <c r="X531" s="30">
        <f>IF(AF531="DoEV",IF(AND(V531&lt;20,W531&lt;55),0.3,0)+IF(AND(V531&lt;20,W531&gt;=55,W531&lt;105),0.23,0)+IF(AND(V531&lt;20,W531&gt;=105),0.17,0)+IF(AND(V531&gt;=20,V531&lt;40,W531&lt;45),0.3,0)+IF(AND(V531&gt;=20,V531&lt;40,W531&gt;=45,W531&lt;95),0.23,0)+IF(AND(V531&gt;=20,V531&lt;40,W531&gt;=95),0.17,0)+IF(AND(V531&gt;=40,V531&lt;75,W531&lt;35),0.3,0)+IF(AND(V531&gt;=40,V531&lt;75,W531&gt;=35,W531&lt;75),0.23,0)+IF(AND(V531&gt;=40,V531&lt;75,W531&gt;=75,W531&lt;120),0.17,0)+IF(AND(V531&gt;=40,V531&lt;75,W531&gt;=120),0.12,0)+IF(AND(V531&gt;=75,V531&lt;175,W531&lt;35),0.3,0)+IF(AND(V531&gt;=75,V531&lt;=175,W531&gt;=35,W531&lt;65),0.23,0)+IF(AND(V531&gt;=75,V531&lt;=175,W531&gt;=65,W531&lt;110),0.17,0)+IF(AND(V531&gt;=75,V531&lt;=175,W531&gt;=110),0.12,0)+IF(AND(V531&gt;175,W531&lt;25),0.3,0)+IF(AND(V531&gt;175,W531&gt;=25,W531&lt;55),0.23,0)+IF(AND(V531&gt;175,W531&gt;=55,W531&lt;95),0.17,0)+IF(AND(V531&gt;175,W531&gt;=95),0.12,0),
IF(AF531="Fix15",0.15,
IF(AF531="Fix18.75",0.1875,
IF(AF531="Fix11.25",0.1125,
IF(AF531="Fix10",0.1,
IF(AF531="Fix9",0.09,
IF(AF531="DoEV2017",IF(AND(W531&lt;74),0.2,0)+IF(AND(W531&gt;=74),0.17,0),
IF(AF531="SF",IF(AND(V531&lt;20,W531&lt;89),0.3,0)+IF(AND(V531&lt;20,W531&gt;=89),0.25,0)+IF(AND(V531&gt;=20,V531&lt;40,W531&lt;74),0.3,0)+IF(AND(V531&gt;=20,V531&lt;40,W531&gt;=75),0.22,0)+IF(AND(V531&gt;=40,V531&lt;75,W531&lt;75),0.26,0)+IF(AND(V531&gt;=40,V531&lt;75,W531&gt;=75),0.22,0)+IF(V531&gt;=75,0.22,0),
IF(AF531="DoEVold",IF(AND(V531&lt;40,W531&lt;35),0.35,0)+IF(AND(V531&lt;40,W531&gt;=35,W531&lt;75),0.25,0)+IF(AND(V531&lt;40,W531&gt;=75),0.17,0)+IF(AND(V531&gt;=40,V531&lt;75,W531&lt;25),0.35,0)+IF(AND(V531&gt;=40,V531&lt;75,W531&gt;=25,W531&lt;65),0.25,0)+IF(AND(V531&gt;=40,V531&lt;75,W531&gt;=65,W531&lt;100),0.17,0)+IF(AND(V531&gt;=40,V531&lt;75,W531&gt;=100),0.1,0)+IF(AND(V531&gt;=75,W531&lt;25),0.35,0)+IF(AND(V531&gt;=75,W531&gt;=25,W531&lt;60),0.25,0)+IF(AND(V531&gt;=75,W531&gt;=60,W531&lt;95),0.17,0)+IF(AND(V531&gt;=75,W531&gt;=95),0.1,0),
IF(AF531="DoEVold15",IF(AND(V531&lt;=40,W531&lt;35),0.35,0)+IF(AND(V531&lt;=40,W531&gt;=35,W531&lt;75),0.25,0)+IF(AND(V531&lt;=40,W531&gt;=75,W531&lt;120),0.17,0)+IF(AND(V531&lt;=40,W531&gt;=120),0.15,0)+IF(AND(V531&gt;40,V531&lt;75,W531&lt;25),0.35,0)+IF(AND(V531&gt;=40,V531&lt;75,W531&gt;=25,W531&lt;65),0.25,0)+IF(AND(V531&gt;=40,V531&lt;75,W531&gt;=65,W531&lt;100),0.17,0)+IF(AND(V531&gt;=40,V531&lt;75,W531&gt;=100),0.1,0)+IF(AND(V531&gt;=75,W531&lt;25),0.35,0)+IF(AND(V531&gt;=75,W531&gt;=25,W531&lt;60),0.25,0)+IF(AND(V531&gt;=75,W531&gt;=60,W531&lt;95),0.17,0)+IF(AND(V531&gt;=75,W531&gt;=95),0.1,0),
IF(AF531="DoEVba",IF(AND(V531&lt;20,W531&lt;105),0.2,0)+IF(AND(V531&lt;20,W531&gt;=105),0.15,0)+IF(AND(V531&gt;=20,V531&lt;40,W531&lt;95),0.2,0)+IF(AND(V531&gt;=20,V531&lt;40,W531&gt;=95,W531&lt;150),0.15,0)+IF(AND(V531&gt;=20,V531&lt;40,W531&gt;=150),0.12,0)+IF(AND(V531&gt;=40,V531&lt;75,W531&lt;75),0.2,0)+IF(AND(V531&gt;=40,V531&lt;75,W531&gt;=75,W531&lt;120),0.15,0)+IF(AND(V531&gt;=40,V531&lt;75,W531&gt;=120),0.12,0)+IF(AND(V531&gt;=75,V531&lt;175,W531&lt;65),0.2,0)+IF(AND(V531&gt;=75,V531&lt;175,W531&gt;=65,W531&lt;110),0.15,0)+IF(AND(V531&gt;=75,V531&lt;175,W531&gt;=110),0.12,0)+IF(AND(V531&gt;=175,W531&lt;55),0.2,0)+IF(AND(V531&gt;=175,W531&gt;=55,W531&lt;95),0.15,0)+IF(AND(V531&gt;=175,W531&gt;=95),0.12,0),
IF(AF531="DoEVku",IF(AND(V531&lt;20,W531&lt;55),0.23,0)+IF(AND(V531&lt;20,W531&gt;=55,W531&lt;105),0.2,0)+IF(AND(V531&lt;20,W531&gt;=105),0.17,0)+IF(AND(V531&gt;=20,V531&lt;40,W531&lt;45),0.23,0)+IF(AND(V531&gt;=20,V531&lt;40,W531&gt;=45,W531&lt;95),0.2,0)+IF(AND(V531&gt;=20,V531&lt;40,W531&gt;=95,W531&lt;=150),0.17,0)+IF(AND(V531&gt;=20,V531&lt;40,W531&gt;=150),0.12,0)+IF(AND(V531&gt;=40,V531&lt;75,W531&lt;35),0.23,0)+IF(AND(V531&gt;=40,V531&lt;75,W531&gt;=35,W531&lt;75),0.2,0)+IF(AND(V531&gt;=40,V531&lt;75,W531&gt;=75,W531&lt;120),0.17,0)+IF(AND(V531&gt;=40,V531&lt;75,W531&gt;=120),0.12,0)+IF(AND(V531&gt;=75,V531&lt;175,W531&lt;35),0.23,0)+IF(AND(V531&gt;=75,V531&lt;=175,W531&gt;=35,W531&lt;65),0.2,0)+IF(AND(V531&gt;=75,V531&lt;=175,W531&gt;=65,W531&lt;110),0.17,0)+IF(AND(V531&gt;=75,V531&lt;=175,W531&gt;=110),0.12,0)+IF(AND(V531&gt;175,W531&lt;25),0.23,0)+IF(AND(V531&gt;175,W531&gt;=25,W531&lt;55),0.2,0)+IF(AND(V531&gt;175,W531&gt;=55,W531&lt;95),0.17,0)+IF(AND(V531&gt;175,W531&gt;=95),0.12,0),
IF(AF531="DoEVs1",IF(AND(V531&lt;20,W531&lt;55),0.3,0)+IF(AND(V531&lt;20,W531&gt;=55,W531&lt;105),0.23,0)+IF(AND(V531&lt;20,W531&gt;=105),0.17,0)+IF(AND(V531&gt;=20,V531&lt;40,W531&lt;45),0.3,0)+IF(AND(V531&gt;=20,V531&lt;40,W531&gt;=45,W531&lt;95),0.23,0)+IF(AND(V531&gt;=20,V531&lt;40,W531&gt;=95,W531&lt;=150),0.17,0)+IF(AND(V531&gt;=20,V531&lt;40,W531&gt;=150),0.12,0)+IF(AND(V531&gt;=40,V531&lt;75,W531&lt;35),0.3,0)+IF(AND(V531&gt;=40,V531&lt;75,W531&gt;=35,W531&lt;75),0.23,0)+IF(AND(V531&gt;=40,V531&lt;75,W531&gt;=75,W531&lt;120),0.17,0)+IF(AND(V531&gt;=40,V531&lt;75,W531&gt;=120),0.12,0)+IF(AND(V531&gt;=75,V531&lt;175,W531&lt;35),0.3,0)+IF(AND(V531&gt;=75,V531&lt;=175,W531&gt;=35,W531&lt;65),0.23,0)+IF(AND(V531&gt;=75,V531&lt;=175,W531&gt;=65,W531&lt;110),0.17,0)+IF(AND(V531&gt;=75,V531&lt;=175,W531&gt;=110),0.12,0)+IF(AND(V531&gt;175,W531&lt;25),0.3,0)+IF(AND(V531&gt;175,W531&gt;=25,W531&lt;55),0.23,0)+IF(AND(V531&gt;175,W531&gt;=55,W531&lt;95),0.17,0)+IF(AND(V531&gt;175,W531&gt;=95),0.12,0),
IF(AF531="DoEVsu",IF(AND(V531&lt;20,W531&lt;55),0.3,0)+IF(AND(V531&lt;20,W531&gt;=55,W531&lt;105),0.23,0)+IF(AND(V531&lt;20,W531&gt;=105),0.17,0)+IF(AND(V531&gt;=20,V531&lt;40,W531&lt;45),0.3,0)+IF(AND(V531&gt;=20,V531&lt;40,W531&gt;=45,W531&lt;95),0.23,0)+IF(AND(V531&gt;=20,V531&lt;40,W531&gt;=95,W531&lt;=250),0.17,0)+IF(AND(V531&gt;=20,V531&lt;40,W531&gt;=250),0.12,0)+IF(AND(V531&gt;=40,V531&lt;75,W531&lt;35),0.3,0)+IF(AND(V531&gt;=40,V531&lt;75,W531&gt;=35,W531&lt;75),0.23,0)+IF(AND(V531&gt;=40,V531&lt;75,W531&gt;=75,W531&lt;120),0.17,0)+IF(AND(V531&gt;=40,V531&lt;75,W531&gt;=120),0.12,0)+IF(AND(V531&gt;=75,V531&lt;175,W531&lt;35),0.3,0)+IF(AND(V531&gt;=75,V531&lt;=175,W531&gt;=35,W531&lt;65),0.23,0)+IF(AND(V531&gt;=75,V531&lt;=175,W531&gt;=65,W531&lt;110),0.17,0)+IF(AND(V531&gt;=75,V531&lt;=175,W531&gt;=110),0.12,0)+IF(AND(V531&gt;175,W531&lt;25),0.3,0)+IF(AND(V531&gt;175,W531&gt;=25,W531&lt;55),0.23,0)+IF(AND(V531&gt;175,W531&gt;=55,W531&lt;95),0.17,0)+IF(AND(V531&gt;175,W531&gt;=95),0.12,0),
IF(AF531="DoEVni",IF(AND(V531&lt;20,W531&lt;55),0.3,0)+IF(AND(V531&lt;20,W531&gt;=55,W531&lt;105),0.23,0)+IF(AND(V531&lt;20,W531&gt;=105),0.17,0)+IF(AND(V531&gt;=20,V531&lt;40,W531&lt;45),0.3,0)+IF(AND(V531&gt;=20,V531&lt;40,W531&gt;=45,W531&lt;95),0.23,0)+IF(AND(V531&gt;=20,V531&lt;40,W531&gt;=95,W531&lt;=200),0.17,0)+IF(AND(V531&gt;=20,V531&lt;40,W531&gt;=200),0.12,0)+IF(AND(V531&gt;=40,V531&lt;75,W531&lt;35),0.3,0)+IF(AND(V531&gt;=40,V531&lt;75,W531&gt;=35,W531&lt;75),0.23,0)+IF(AND(V531&gt;=40,V531&lt;75,W531&gt;=75,W531&lt;120),0.17,0)+IF(AND(V531&gt;=40,V531&lt;75,W531&gt;=120),0.12,0)+IF(AND(V531&gt;=75,V531&lt;175,W531&lt;35),0.3,0)+IF(AND(V531&gt;=75,V531&lt;=175,W531&gt;=35,W531&lt;65),0.23,0)+IF(AND(V531&gt;=75,V531&lt;=175,W531&gt;=65,W531&lt;110),0.17,0)+IF(AND(V531&gt;=75,V531&lt;=175,W531&gt;=110),0.12,0)+IF(AND(V531&gt;175,W531&lt;25),0.3,0)+IF(AND(V531&gt;175,W531&gt;=25,W531&lt;55),0.23,0)+IF(AND(V531&gt;175,W531&gt;=55,W531&lt;95),0.17,0)+IF(AND(V531&gt;175,W531&gt;=95),0.12,0),
IF(AF531="DoEVLo",IF(AND(V531&lt;20,W531&lt;55),0.25,0)+IF(AND(V531&lt;20,W531&gt;=55,W531&lt;105),0.2,0)+IF(AND(V531&lt;20,W531&gt;=105),0.15,0)+IF(AND(V531&gt;=20,V531&lt;40,W531&lt;45),0.25,0)+IF(AND(V531&gt;=20,V531&lt;40,W531&gt;=45,W531&lt;95),0.2,0)+IF(AND(V531&gt;=20,V531&lt;40,W531&gt;=95),0.15,0)+IF(AND(V531&gt;=40,V531&lt;75,W531&lt;35),0.25,0)+IF(AND(V531&gt;=40,V531&lt;75,W531&gt;=35,W531&lt;75),0.2,0)+IF(AND(V531&gt;=40,V531&lt;75,W531&gt;=75,W531&lt;120),0.15,0)+IF(AND(V531&gt;=40,V531&lt;75,W531&gt;=120),0.1,0)+IF(AND(V531&gt;=75,V531&lt;175,W531&lt;35),0.25,0)+IF(AND(V531&gt;=75,V531&lt;=175,W531&gt;=35,W531&lt;65),0.2,0)+IF(AND(V531&gt;=75,V531&lt;=175,W531&gt;=65,W531&lt;110),0.15,0)+IF(AND(V531&gt;=75,V531&lt;=175,W531&gt;=110),0.1,0)+IF(AND(V531&gt;175,W531&lt;25),0.25,0)+IF(AND(V531&gt;175,W531&gt;=25,W531&lt;55),0.2,0)+IF(AND(V531&gt;175,W531&gt;=55,W531&lt;95),0.15,0)+IF(AND(V531&gt;175,W531&gt;=95),0.1,0)))))))))))))))))</f>
        <v>0.1875</v>
      </c>
      <c r="Y531" s="30">
        <f>IF(AG531="None",0,IF(AG531="Fix5",0.05, IF(AG531="Fix6.25",0.0625,IF(AG531="Fix3.75",0.0375,IF(AG531="Fix10",0.1,IF(AG531="Fix3",0.03,0))))))</f>
        <v>6.25E-2</v>
      </c>
      <c r="Z531" s="35">
        <f>T531-AA531-AB531</f>
        <v>-9</v>
      </c>
      <c r="AA531" s="29">
        <f>IF(AD531="EUR",((T531-R531)*X531)*U531+(R531*X531),(T531*X531))</f>
        <v>-2.25</v>
      </c>
      <c r="AB531" s="36">
        <f>IF(AD531="EUR",((T531-R531)*Y531)*U531+(R531*Y531),(T531*Y531))</f>
        <v>-0.75</v>
      </c>
      <c r="AC531" s="37" t="b">
        <v>1</v>
      </c>
      <c r="AD531" s="37" t="s">
        <v>38</v>
      </c>
      <c r="AE531" s="37" t="s">
        <v>38</v>
      </c>
      <c r="AF531" s="37" t="s">
        <v>146</v>
      </c>
      <c r="AG531" s="38" t="s">
        <v>147</v>
      </c>
    </row>
    <row r="532" spans="1:33" ht="14.25" hidden="1" x14ac:dyDescent="0.2">
      <c r="A532" s="18" t="str">
        <f t="array" ref="A532">IF(G532='Room Info'!$B$1, INDEX('Room Info'!$A$2:$A2446, MATCH(B532,'Room Info'!$B$2:$B2446, 0)),IF(G532='Room Info'!$C$1, INDEX('Room Info'!$A$2:$A2446, MATCH(B532,'Room Info'!$C$2:$C2446, 0)),IF(G532='Room Info'!$D$1, INDEX('Room Info'!$A$2:$A2446, MATCH(B532,'Room Info'!$D$2:$D2446, 0)),IF(G532='Room Info'!$E$1, INDEX('Room Info'!$A$2:$A2446, MATCH(B532,'Room Info'!$E$2:$E2446, 0)),IF(G532='Room Info'!$F$1, INDEX('Room Info'!$A$2:$A2446, MATCH(B532,'Room Info'!$F$2:$F2446, 0)),IF(G532='Room Info'!$H$1, INDEX('Room Info'!$A$2:$A2446, MATCH(B532,'Room Info'!$H$2:$H2446, 0)),IF(G532='Room Info'!$G$1, INDEX('Room Info'!$A$2:$A2446, MATCH(B532,'Room Info'!$G$2:$G2446, 0)))))))))</f>
        <v>benyya</v>
      </c>
      <c r="B532" s="45" t="s">
        <v>145</v>
      </c>
      <c r="C532" s="46">
        <v>44866</v>
      </c>
      <c r="D532" s="46">
        <v>44895</v>
      </c>
      <c r="E532" s="47">
        <v>44866</v>
      </c>
      <c r="F532" s="48" t="s">
        <v>49</v>
      </c>
      <c r="G532" s="45" t="s">
        <v>35</v>
      </c>
      <c r="H532" s="49" t="s">
        <v>142</v>
      </c>
      <c r="I532" s="49" t="s">
        <v>37</v>
      </c>
      <c r="J532" s="70">
        <v>500</v>
      </c>
      <c r="K532" s="71">
        <v>131</v>
      </c>
      <c r="L532" s="52">
        <v>6500</v>
      </c>
      <c r="M532" s="53">
        <v>1492</v>
      </c>
      <c r="N532" s="28">
        <f>K532*J532</f>
        <v>65500</v>
      </c>
      <c r="O532" s="54">
        <v>-1755</v>
      </c>
      <c r="P532" s="29">
        <v>-13.39694656</v>
      </c>
      <c r="Q532" s="55"/>
      <c r="R532" s="31">
        <f>M532+Q532</f>
        <v>1492</v>
      </c>
      <c r="S532" s="56">
        <v>-5168</v>
      </c>
      <c r="T532" s="32">
        <f>R532+S532+IF(F532="Without EV deal",L532,0)</f>
        <v>-3676</v>
      </c>
      <c r="U532" s="57">
        <v>1</v>
      </c>
      <c r="V532" s="58">
        <v>147.51</v>
      </c>
      <c r="W532" s="58">
        <v>85</v>
      </c>
      <c r="X532" s="30">
        <f>IF(AF532="DoEV",IF(AND(V532&lt;20,W532&lt;55),0.3,0)+IF(AND(V532&lt;20,W532&gt;=55,W532&lt;105),0.23,0)+IF(AND(V532&lt;20,W532&gt;=105),0.17,0)+IF(AND(V532&gt;=20,V532&lt;40,W532&lt;45),0.3,0)+IF(AND(V532&gt;=20,V532&lt;40,W532&gt;=45,W532&lt;95),0.23,0)+IF(AND(V532&gt;=20,V532&lt;40,W532&gt;=95),0.17,0)+IF(AND(V532&gt;=40,V532&lt;75,W532&lt;35),0.3,0)+IF(AND(V532&gt;=40,V532&lt;75,W532&gt;=35,W532&lt;75),0.23,0)+IF(AND(V532&gt;=40,V532&lt;75,W532&gt;=75,W532&lt;120),0.17,0)+IF(AND(V532&gt;=40,V532&lt;75,W532&gt;=120),0.12,0)+IF(AND(V532&gt;=75,V532&lt;175,W532&lt;35),0.3,0)+IF(AND(V532&gt;=75,V532&lt;=175,W532&gt;=35,W532&lt;65),0.23,0)+IF(AND(V532&gt;=75,V532&lt;=175,W532&gt;=65,W532&lt;110),0.17,0)+IF(AND(V532&gt;=75,V532&lt;=175,W532&gt;=110),0.12,0)+IF(AND(V532&gt;175,W532&lt;25),0.3,0)+IF(AND(V532&gt;175,W532&gt;=25,W532&lt;55),0.23,0)+IF(AND(V532&gt;175,W532&gt;=55,W532&lt;95),0.17,0)+IF(AND(V532&gt;175,W532&gt;=95),0.12,0),
IF(AF532="Fix15",0.15,
IF(AF532="Fix18.75",0.1875,
IF(AF532="Fix11.25",0.1125,
IF(AF532="Fix10",0.1,
IF(AF532="Fix9",0.09,
IF(AF532="DoEV2017",IF(AND(W532&lt;74),0.2,0)+IF(AND(W532&gt;=74),0.17,0),
IF(AF532="SF",IF(AND(V532&lt;20,W532&lt;89),0.3,0)+IF(AND(V532&lt;20,W532&gt;=89),0.25,0)+IF(AND(V532&gt;=20,V532&lt;40,W532&lt;74),0.3,0)+IF(AND(V532&gt;=20,V532&lt;40,W532&gt;=75),0.22,0)+IF(AND(V532&gt;=40,V532&lt;75,W532&lt;75),0.26,0)+IF(AND(V532&gt;=40,V532&lt;75,W532&gt;=75),0.22,0)+IF(V532&gt;=75,0.22,0),
IF(AF532="DoEVold",IF(AND(V532&lt;40,W532&lt;35),0.35,0)+IF(AND(V532&lt;40,W532&gt;=35,W532&lt;75),0.25,0)+IF(AND(V532&lt;40,W532&gt;=75),0.17,0)+IF(AND(V532&gt;=40,V532&lt;75,W532&lt;25),0.35,0)+IF(AND(V532&gt;=40,V532&lt;75,W532&gt;=25,W532&lt;65),0.25,0)+IF(AND(V532&gt;=40,V532&lt;75,W532&gt;=65,W532&lt;100),0.17,0)+IF(AND(V532&gt;=40,V532&lt;75,W532&gt;=100),0.1,0)+IF(AND(V532&gt;=75,W532&lt;25),0.35,0)+IF(AND(V532&gt;=75,W532&gt;=25,W532&lt;60),0.25,0)+IF(AND(V532&gt;=75,W532&gt;=60,W532&lt;95),0.17,0)+IF(AND(V532&gt;=75,W532&gt;=95),0.1,0),
IF(AF532="DoEVold15",IF(AND(V532&lt;=40,W532&lt;35),0.35,0)+IF(AND(V532&lt;=40,W532&gt;=35,W532&lt;75),0.25,0)+IF(AND(V532&lt;=40,W532&gt;=75,W532&lt;120),0.17,0)+IF(AND(V532&lt;=40,W532&gt;=120),0.15,0)+IF(AND(V532&gt;40,V532&lt;75,W532&lt;25),0.35,0)+IF(AND(V532&gt;=40,V532&lt;75,W532&gt;=25,W532&lt;65),0.25,0)+IF(AND(V532&gt;=40,V532&lt;75,W532&gt;=65,W532&lt;100),0.17,0)+IF(AND(V532&gt;=40,V532&lt;75,W532&gt;=100),0.1,0)+IF(AND(V532&gt;=75,W532&lt;25),0.35,0)+IF(AND(V532&gt;=75,W532&gt;=25,W532&lt;60),0.25,0)+IF(AND(V532&gt;=75,W532&gt;=60,W532&lt;95),0.17,0)+IF(AND(V532&gt;=75,W532&gt;=95),0.1,0),
IF(AF532="DoEVba",IF(AND(V532&lt;20,W532&lt;105),0.2,0)+IF(AND(V532&lt;20,W532&gt;=105),0.15,0)+IF(AND(V532&gt;=20,V532&lt;40,W532&lt;95),0.2,0)+IF(AND(V532&gt;=20,V532&lt;40,W532&gt;=95,W532&lt;150),0.15,0)+IF(AND(V532&gt;=20,V532&lt;40,W532&gt;=150),0.12,0)+IF(AND(V532&gt;=40,V532&lt;75,W532&lt;75),0.2,0)+IF(AND(V532&gt;=40,V532&lt;75,W532&gt;=75,W532&lt;120),0.15,0)+IF(AND(V532&gt;=40,V532&lt;75,W532&gt;=120),0.12,0)+IF(AND(V532&gt;=75,V532&lt;175,W532&lt;65),0.2,0)+IF(AND(V532&gt;=75,V532&lt;175,W532&gt;=65,W532&lt;110),0.15,0)+IF(AND(V532&gt;=75,V532&lt;175,W532&gt;=110),0.12,0)+IF(AND(V532&gt;=175,W532&lt;55),0.2,0)+IF(AND(V532&gt;=175,W532&gt;=55,W532&lt;95),0.15,0)+IF(AND(V532&gt;=175,W532&gt;=95),0.12,0),
IF(AF532="DoEVku",IF(AND(V532&lt;20,W532&lt;55),0.23,0)+IF(AND(V532&lt;20,W532&gt;=55,W532&lt;105),0.2,0)+IF(AND(V532&lt;20,W532&gt;=105),0.17,0)+IF(AND(V532&gt;=20,V532&lt;40,W532&lt;45),0.23,0)+IF(AND(V532&gt;=20,V532&lt;40,W532&gt;=45,W532&lt;95),0.2,0)+IF(AND(V532&gt;=20,V532&lt;40,W532&gt;=95,W532&lt;=150),0.17,0)+IF(AND(V532&gt;=20,V532&lt;40,W532&gt;=150),0.12,0)+IF(AND(V532&gt;=40,V532&lt;75,W532&lt;35),0.23,0)+IF(AND(V532&gt;=40,V532&lt;75,W532&gt;=35,W532&lt;75),0.2,0)+IF(AND(V532&gt;=40,V532&lt;75,W532&gt;=75,W532&lt;120),0.17,0)+IF(AND(V532&gt;=40,V532&lt;75,W532&gt;=120),0.12,0)+IF(AND(V532&gt;=75,V532&lt;175,W532&lt;35),0.23,0)+IF(AND(V532&gt;=75,V532&lt;=175,W532&gt;=35,W532&lt;65),0.2,0)+IF(AND(V532&gt;=75,V532&lt;=175,W532&gt;=65,W532&lt;110),0.17,0)+IF(AND(V532&gt;=75,V532&lt;=175,W532&gt;=110),0.12,0)+IF(AND(V532&gt;175,W532&lt;25),0.23,0)+IF(AND(V532&gt;175,W532&gt;=25,W532&lt;55),0.2,0)+IF(AND(V532&gt;175,W532&gt;=55,W532&lt;95),0.17,0)+IF(AND(V532&gt;175,W532&gt;=95),0.12,0),
IF(AF532="DoEVs1",IF(AND(V532&lt;20,W532&lt;55),0.3,0)+IF(AND(V532&lt;20,W532&gt;=55,W532&lt;105),0.23,0)+IF(AND(V532&lt;20,W532&gt;=105),0.17,0)+IF(AND(V532&gt;=20,V532&lt;40,W532&lt;45),0.3,0)+IF(AND(V532&gt;=20,V532&lt;40,W532&gt;=45,W532&lt;95),0.23,0)+IF(AND(V532&gt;=20,V532&lt;40,W532&gt;=95,W532&lt;=150),0.17,0)+IF(AND(V532&gt;=20,V532&lt;40,W532&gt;=150),0.12,0)+IF(AND(V532&gt;=40,V532&lt;75,W532&lt;35),0.3,0)+IF(AND(V532&gt;=40,V532&lt;75,W532&gt;=35,W532&lt;75),0.23,0)+IF(AND(V532&gt;=40,V532&lt;75,W532&gt;=75,W532&lt;120),0.17,0)+IF(AND(V532&gt;=40,V532&lt;75,W532&gt;=120),0.12,0)+IF(AND(V532&gt;=75,V532&lt;175,W532&lt;35),0.3,0)+IF(AND(V532&gt;=75,V532&lt;=175,W532&gt;=35,W532&lt;65),0.23,0)+IF(AND(V532&gt;=75,V532&lt;=175,W532&gt;=65,W532&lt;110),0.17,0)+IF(AND(V532&gt;=75,V532&lt;=175,W532&gt;=110),0.12,0)+IF(AND(V532&gt;175,W532&lt;25),0.3,0)+IF(AND(V532&gt;175,W532&gt;=25,W532&lt;55),0.23,0)+IF(AND(V532&gt;175,W532&gt;=55,W532&lt;95),0.17,0)+IF(AND(V532&gt;175,W532&gt;=95),0.12,0),
IF(AF532="DoEVsu",IF(AND(V532&lt;20,W532&lt;55),0.3,0)+IF(AND(V532&lt;20,W532&gt;=55,W532&lt;105),0.23,0)+IF(AND(V532&lt;20,W532&gt;=105),0.17,0)+IF(AND(V532&gt;=20,V532&lt;40,W532&lt;45),0.3,0)+IF(AND(V532&gt;=20,V532&lt;40,W532&gt;=45,W532&lt;95),0.23,0)+IF(AND(V532&gt;=20,V532&lt;40,W532&gt;=95,W532&lt;=250),0.17,0)+IF(AND(V532&gt;=20,V532&lt;40,W532&gt;=250),0.12,0)+IF(AND(V532&gt;=40,V532&lt;75,W532&lt;35),0.3,0)+IF(AND(V532&gt;=40,V532&lt;75,W532&gt;=35,W532&lt;75),0.23,0)+IF(AND(V532&gt;=40,V532&lt;75,W532&gt;=75,W532&lt;120),0.17,0)+IF(AND(V532&gt;=40,V532&lt;75,W532&gt;=120),0.12,0)+IF(AND(V532&gt;=75,V532&lt;175,W532&lt;35),0.3,0)+IF(AND(V532&gt;=75,V532&lt;=175,W532&gt;=35,W532&lt;65),0.23,0)+IF(AND(V532&gt;=75,V532&lt;=175,W532&gt;=65,W532&lt;110),0.17,0)+IF(AND(V532&gt;=75,V532&lt;=175,W532&gt;=110),0.12,0)+IF(AND(V532&gt;175,W532&lt;25),0.3,0)+IF(AND(V532&gt;175,W532&gt;=25,W532&lt;55),0.23,0)+IF(AND(V532&gt;175,W532&gt;=55,W532&lt;95),0.17,0)+IF(AND(V532&gt;175,W532&gt;=95),0.12,0),
IF(AF532="DoEVni",IF(AND(V532&lt;20,W532&lt;55),0.3,0)+IF(AND(V532&lt;20,W532&gt;=55,W532&lt;105),0.23,0)+IF(AND(V532&lt;20,W532&gt;=105),0.17,0)+IF(AND(V532&gt;=20,V532&lt;40,W532&lt;45),0.3,0)+IF(AND(V532&gt;=20,V532&lt;40,W532&gt;=45,W532&lt;95),0.23,0)+IF(AND(V532&gt;=20,V532&lt;40,W532&gt;=95,W532&lt;=200),0.17,0)+IF(AND(V532&gt;=20,V532&lt;40,W532&gt;=200),0.12,0)+IF(AND(V532&gt;=40,V532&lt;75,W532&lt;35),0.3,0)+IF(AND(V532&gt;=40,V532&lt;75,W532&gt;=35,W532&lt;75),0.23,0)+IF(AND(V532&gt;=40,V532&lt;75,W532&gt;=75,W532&lt;120),0.17,0)+IF(AND(V532&gt;=40,V532&lt;75,W532&gt;=120),0.12,0)+IF(AND(V532&gt;=75,V532&lt;175,W532&lt;35),0.3,0)+IF(AND(V532&gt;=75,V532&lt;=175,W532&gt;=35,W532&lt;65),0.23,0)+IF(AND(V532&gt;=75,V532&lt;=175,W532&gt;=65,W532&lt;110),0.17,0)+IF(AND(V532&gt;=75,V532&lt;=175,W532&gt;=110),0.12,0)+IF(AND(V532&gt;175,W532&lt;25),0.3,0)+IF(AND(V532&gt;175,W532&gt;=25,W532&lt;55),0.23,0)+IF(AND(V532&gt;175,W532&gt;=55,W532&lt;95),0.17,0)+IF(AND(V532&gt;175,W532&gt;=95),0.12,0),
IF(AF532="DoEVLo",IF(AND(V532&lt;20,W532&lt;55),0.25,0)+IF(AND(V532&lt;20,W532&gt;=55,W532&lt;105),0.2,0)+IF(AND(V532&lt;20,W532&gt;=105),0.15,0)+IF(AND(V532&gt;=20,V532&lt;40,W532&lt;45),0.25,0)+IF(AND(V532&gt;=20,V532&lt;40,W532&gt;=45,W532&lt;95),0.2,0)+IF(AND(V532&gt;=20,V532&lt;40,W532&gt;=95),0.15,0)+IF(AND(V532&gt;=40,V532&lt;75,W532&lt;35),0.25,0)+IF(AND(V532&gt;=40,V532&lt;75,W532&gt;=35,W532&lt;75),0.2,0)+IF(AND(V532&gt;=40,V532&lt;75,W532&gt;=75,W532&lt;120),0.15,0)+IF(AND(V532&gt;=40,V532&lt;75,W532&gt;=120),0.1,0)+IF(AND(V532&gt;=75,V532&lt;175,W532&lt;35),0.25,0)+IF(AND(V532&gt;=75,V532&lt;=175,W532&gt;=35,W532&lt;65),0.2,0)+IF(AND(V532&gt;=75,V532&lt;=175,W532&gt;=65,W532&lt;110),0.15,0)+IF(AND(V532&gt;=75,V532&lt;=175,W532&gt;=110),0.1,0)+IF(AND(V532&gt;175,W532&lt;25),0.25,0)+IF(AND(V532&gt;175,W532&gt;=25,W532&lt;55),0.2,0)+IF(AND(V532&gt;175,W532&gt;=55,W532&lt;95),0.15,0)+IF(AND(V532&gt;175,W532&gt;=95),0.1,0)))))))))))))))))</f>
        <v>0.1875</v>
      </c>
      <c r="Y532" s="30">
        <f>IF(AG532="None",0,IF(AG532="Fix5",0.05, IF(AG532="Fix6.25",0.0625,IF(AG532="Fix3.75",0.0375,IF(AG532="Fix10",0.1,IF(AG532="Fix3",0.03,0))))))</f>
        <v>6.25E-2</v>
      </c>
      <c r="Z532" s="35">
        <f>T532-AA532-AB532</f>
        <v>-2757</v>
      </c>
      <c r="AA532" s="29">
        <f>IF(AD532="EUR",((T532-R532)*X532)*U532+(R532*X532),(T532*X532))</f>
        <v>-689.25</v>
      </c>
      <c r="AB532" s="36">
        <f>IF(AD532="EUR",((T532-R532)*Y532)*U532+(R532*Y532),(T532*Y532))</f>
        <v>-229.75</v>
      </c>
      <c r="AC532" s="37" t="b">
        <v>1</v>
      </c>
      <c r="AD532" s="37" t="s">
        <v>38</v>
      </c>
      <c r="AE532" s="37" t="s">
        <v>38</v>
      </c>
      <c r="AF532" s="37" t="s">
        <v>146</v>
      </c>
      <c r="AG532" s="38" t="s">
        <v>147</v>
      </c>
    </row>
    <row r="533" spans="1:33" ht="14.25" hidden="1" x14ac:dyDescent="0.2">
      <c r="A533" s="18" t="str">
        <f t="array" ref="A533">IF(G533='Room Info'!$B$1, INDEX('Room Info'!$A$2:$A2446, MATCH(B533,'Room Info'!$B$2:$B2446, 0)),IF(G533='Room Info'!$C$1, INDEX('Room Info'!$A$2:$A2446, MATCH(B533,'Room Info'!$C$2:$C2446, 0)),IF(G533='Room Info'!$D$1, INDEX('Room Info'!$A$2:$A2446, MATCH(B533,'Room Info'!$D$2:$D2446, 0)),IF(G533='Room Info'!$E$1, INDEX('Room Info'!$A$2:$A2446, MATCH(B533,'Room Info'!$E$2:$E2446, 0)),IF(G533='Room Info'!$F$1, INDEX('Room Info'!$A$2:$A2446, MATCH(B533,'Room Info'!$F$2:$F2446, 0)),IF(G533='Room Info'!$H$1, INDEX('Room Info'!$A$2:$A2446, MATCH(B533,'Room Info'!$H$2:$H2446, 0)),IF(G533='Room Info'!$G$1, INDEX('Room Info'!$A$2:$A2446, MATCH(B533,'Room Info'!$G$2:$G2446, 0)))))))))</f>
        <v>benyya</v>
      </c>
      <c r="B533" s="45" t="s">
        <v>145</v>
      </c>
      <c r="C533" s="46">
        <v>44866</v>
      </c>
      <c r="D533" s="46">
        <v>44895</v>
      </c>
      <c r="E533" s="47">
        <v>44866</v>
      </c>
      <c r="F533" s="48" t="s">
        <v>49</v>
      </c>
      <c r="G533" s="45" t="s">
        <v>35</v>
      </c>
      <c r="H533" s="49" t="s">
        <v>88</v>
      </c>
      <c r="I533" s="49" t="s">
        <v>37</v>
      </c>
      <c r="J533" s="70">
        <v>250</v>
      </c>
      <c r="K533" s="71">
        <v>709</v>
      </c>
      <c r="L533" s="52">
        <v>-1750</v>
      </c>
      <c r="M533" s="53">
        <v>4037</v>
      </c>
      <c r="N533" s="28">
        <f>K533*J533</f>
        <v>177250</v>
      </c>
      <c r="O533" s="54">
        <v>23177</v>
      </c>
      <c r="P533" s="29">
        <v>32.689703809999997</v>
      </c>
      <c r="Q533" s="55"/>
      <c r="R533" s="31">
        <f>M533+Q533</f>
        <v>4037</v>
      </c>
      <c r="S533" s="56">
        <v>1179</v>
      </c>
      <c r="T533" s="32">
        <f>R533+S533+IF(F533="Without EV deal",L533,0)</f>
        <v>5216</v>
      </c>
      <c r="U533" s="57">
        <v>1</v>
      </c>
      <c r="V533" s="58">
        <v>147.51</v>
      </c>
      <c r="W533" s="58">
        <v>85</v>
      </c>
      <c r="X533" s="30">
        <f>IF(AF533="DoEV",IF(AND(V533&lt;20,W533&lt;55),0.3,0)+IF(AND(V533&lt;20,W533&gt;=55,W533&lt;105),0.23,0)+IF(AND(V533&lt;20,W533&gt;=105),0.17,0)+IF(AND(V533&gt;=20,V533&lt;40,W533&lt;45),0.3,0)+IF(AND(V533&gt;=20,V533&lt;40,W533&gt;=45,W533&lt;95),0.23,0)+IF(AND(V533&gt;=20,V533&lt;40,W533&gt;=95),0.17,0)+IF(AND(V533&gt;=40,V533&lt;75,W533&lt;35),0.3,0)+IF(AND(V533&gt;=40,V533&lt;75,W533&gt;=35,W533&lt;75),0.23,0)+IF(AND(V533&gt;=40,V533&lt;75,W533&gt;=75,W533&lt;120),0.17,0)+IF(AND(V533&gt;=40,V533&lt;75,W533&gt;=120),0.12,0)+IF(AND(V533&gt;=75,V533&lt;175,W533&lt;35),0.3,0)+IF(AND(V533&gt;=75,V533&lt;=175,W533&gt;=35,W533&lt;65),0.23,0)+IF(AND(V533&gt;=75,V533&lt;=175,W533&gt;=65,W533&lt;110),0.17,0)+IF(AND(V533&gt;=75,V533&lt;=175,W533&gt;=110),0.12,0)+IF(AND(V533&gt;175,W533&lt;25),0.3,0)+IF(AND(V533&gt;175,W533&gt;=25,W533&lt;55),0.23,0)+IF(AND(V533&gt;175,W533&gt;=55,W533&lt;95),0.17,0)+IF(AND(V533&gt;175,W533&gt;=95),0.12,0),
IF(AF533="Fix15",0.15,
IF(AF533="Fix18.75",0.1875,
IF(AF533="Fix11.25",0.1125,
IF(AF533="Fix10",0.1,
IF(AF533="Fix9",0.09,
IF(AF533="DoEV2017",IF(AND(W533&lt;74),0.2,0)+IF(AND(W533&gt;=74),0.17,0),
IF(AF533="SF",IF(AND(V533&lt;20,W533&lt;89),0.3,0)+IF(AND(V533&lt;20,W533&gt;=89),0.25,0)+IF(AND(V533&gt;=20,V533&lt;40,W533&lt;74),0.3,0)+IF(AND(V533&gt;=20,V533&lt;40,W533&gt;=75),0.22,0)+IF(AND(V533&gt;=40,V533&lt;75,W533&lt;75),0.26,0)+IF(AND(V533&gt;=40,V533&lt;75,W533&gt;=75),0.22,0)+IF(V533&gt;=75,0.22,0),
IF(AF533="DoEVold",IF(AND(V533&lt;40,W533&lt;35),0.35,0)+IF(AND(V533&lt;40,W533&gt;=35,W533&lt;75),0.25,0)+IF(AND(V533&lt;40,W533&gt;=75),0.17,0)+IF(AND(V533&gt;=40,V533&lt;75,W533&lt;25),0.35,0)+IF(AND(V533&gt;=40,V533&lt;75,W533&gt;=25,W533&lt;65),0.25,0)+IF(AND(V533&gt;=40,V533&lt;75,W533&gt;=65,W533&lt;100),0.17,0)+IF(AND(V533&gt;=40,V533&lt;75,W533&gt;=100),0.1,0)+IF(AND(V533&gt;=75,W533&lt;25),0.35,0)+IF(AND(V533&gt;=75,W533&gt;=25,W533&lt;60),0.25,0)+IF(AND(V533&gt;=75,W533&gt;=60,W533&lt;95),0.17,0)+IF(AND(V533&gt;=75,W533&gt;=95),0.1,0),
IF(AF533="DoEVold15",IF(AND(V533&lt;=40,W533&lt;35),0.35,0)+IF(AND(V533&lt;=40,W533&gt;=35,W533&lt;75),0.25,0)+IF(AND(V533&lt;=40,W533&gt;=75,W533&lt;120),0.17,0)+IF(AND(V533&lt;=40,W533&gt;=120),0.15,0)+IF(AND(V533&gt;40,V533&lt;75,W533&lt;25),0.35,0)+IF(AND(V533&gt;=40,V533&lt;75,W533&gt;=25,W533&lt;65),0.25,0)+IF(AND(V533&gt;=40,V533&lt;75,W533&gt;=65,W533&lt;100),0.17,0)+IF(AND(V533&gt;=40,V533&lt;75,W533&gt;=100),0.1,0)+IF(AND(V533&gt;=75,W533&lt;25),0.35,0)+IF(AND(V533&gt;=75,W533&gt;=25,W533&lt;60),0.25,0)+IF(AND(V533&gt;=75,W533&gt;=60,W533&lt;95),0.17,0)+IF(AND(V533&gt;=75,W533&gt;=95),0.1,0),
IF(AF533="DoEVba",IF(AND(V533&lt;20,W533&lt;105),0.2,0)+IF(AND(V533&lt;20,W533&gt;=105),0.15,0)+IF(AND(V533&gt;=20,V533&lt;40,W533&lt;95),0.2,0)+IF(AND(V533&gt;=20,V533&lt;40,W533&gt;=95,W533&lt;150),0.15,0)+IF(AND(V533&gt;=20,V533&lt;40,W533&gt;=150),0.12,0)+IF(AND(V533&gt;=40,V533&lt;75,W533&lt;75),0.2,0)+IF(AND(V533&gt;=40,V533&lt;75,W533&gt;=75,W533&lt;120),0.15,0)+IF(AND(V533&gt;=40,V533&lt;75,W533&gt;=120),0.12,0)+IF(AND(V533&gt;=75,V533&lt;175,W533&lt;65),0.2,0)+IF(AND(V533&gt;=75,V533&lt;175,W533&gt;=65,W533&lt;110),0.15,0)+IF(AND(V533&gt;=75,V533&lt;175,W533&gt;=110),0.12,0)+IF(AND(V533&gt;=175,W533&lt;55),0.2,0)+IF(AND(V533&gt;=175,W533&gt;=55,W533&lt;95),0.15,0)+IF(AND(V533&gt;=175,W533&gt;=95),0.12,0),
IF(AF533="DoEVku",IF(AND(V533&lt;20,W533&lt;55),0.23,0)+IF(AND(V533&lt;20,W533&gt;=55,W533&lt;105),0.2,0)+IF(AND(V533&lt;20,W533&gt;=105),0.17,0)+IF(AND(V533&gt;=20,V533&lt;40,W533&lt;45),0.23,0)+IF(AND(V533&gt;=20,V533&lt;40,W533&gt;=45,W533&lt;95),0.2,0)+IF(AND(V533&gt;=20,V533&lt;40,W533&gt;=95,W533&lt;=150),0.17,0)+IF(AND(V533&gt;=20,V533&lt;40,W533&gt;=150),0.12,0)+IF(AND(V533&gt;=40,V533&lt;75,W533&lt;35),0.23,0)+IF(AND(V533&gt;=40,V533&lt;75,W533&gt;=35,W533&lt;75),0.2,0)+IF(AND(V533&gt;=40,V533&lt;75,W533&gt;=75,W533&lt;120),0.17,0)+IF(AND(V533&gt;=40,V533&lt;75,W533&gt;=120),0.12,0)+IF(AND(V533&gt;=75,V533&lt;175,W533&lt;35),0.23,0)+IF(AND(V533&gt;=75,V533&lt;=175,W533&gt;=35,W533&lt;65),0.2,0)+IF(AND(V533&gt;=75,V533&lt;=175,W533&gt;=65,W533&lt;110),0.17,0)+IF(AND(V533&gt;=75,V533&lt;=175,W533&gt;=110),0.12,0)+IF(AND(V533&gt;175,W533&lt;25),0.23,0)+IF(AND(V533&gt;175,W533&gt;=25,W533&lt;55),0.2,0)+IF(AND(V533&gt;175,W533&gt;=55,W533&lt;95),0.17,0)+IF(AND(V533&gt;175,W533&gt;=95),0.12,0),
IF(AF533="DoEVs1",IF(AND(V533&lt;20,W533&lt;55),0.3,0)+IF(AND(V533&lt;20,W533&gt;=55,W533&lt;105),0.23,0)+IF(AND(V533&lt;20,W533&gt;=105),0.17,0)+IF(AND(V533&gt;=20,V533&lt;40,W533&lt;45),0.3,0)+IF(AND(V533&gt;=20,V533&lt;40,W533&gt;=45,W533&lt;95),0.23,0)+IF(AND(V533&gt;=20,V533&lt;40,W533&gt;=95,W533&lt;=150),0.17,0)+IF(AND(V533&gt;=20,V533&lt;40,W533&gt;=150),0.12,0)+IF(AND(V533&gt;=40,V533&lt;75,W533&lt;35),0.3,0)+IF(AND(V533&gt;=40,V533&lt;75,W533&gt;=35,W533&lt;75),0.23,0)+IF(AND(V533&gt;=40,V533&lt;75,W533&gt;=75,W533&lt;120),0.17,0)+IF(AND(V533&gt;=40,V533&lt;75,W533&gt;=120),0.12,0)+IF(AND(V533&gt;=75,V533&lt;175,W533&lt;35),0.3,0)+IF(AND(V533&gt;=75,V533&lt;=175,W533&gt;=35,W533&lt;65),0.23,0)+IF(AND(V533&gt;=75,V533&lt;=175,W533&gt;=65,W533&lt;110),0.17,0)+IF(AND(V533&gt;=75,V533&lt;=175,W533&gt;=110),0.12,0)+IF(AND(V533&gt;175,W533&lt;25),0.3,0)+IF(AND(V533&gt;175,W533&gt;=25,W533&lt;55),0.23,0)+IF(AND(V533&gt;175,W533&gt;=55,W533&lt;95),0.17,0)+IF(AND(V533&gt;175,W533&gt;=95),0.12,0),
IF(AF533="DoEVsu",IF(AND(V533&lt;20,W533&lt;55),0.3,0)+IF(AND(V533&lt;20,W533&gt;=55,W533&lt;105),0.23,0)+IF(AND(V533&lt;20,W533&gt;=105),0.17,0)+IF(AND(V533&gt;=20,V533&lt;40,W533&lt;45),0.3,0)+IF(AND(V533&gt;=20,V533&lt;40,W533&gt;=45,W533&lt;95),0.23,0)+IF(AND(V533&gt;=20,V533&lt;40,W533&gt;=95,W533&lt;=250),0.17,0)+IF(AND(V533&gt;=20,V533&lt;40,W533&gt;=250),0.12,0)+IF(AND(V533&gt;=40,V533&lt;75,W533&lt;35),0.3,0)+IF(AND(V533&gt;=40,V533&lt;75,W533&gt;=35,W533&lt;75),0.23,0)+IF(AND(V533&gt;=40,V533&lt;75,W533&gt;=75,W533&lt;120),0.17,0)+IF(AND(V533&gt;=40,V533&lt;75,W533&gt;=120),0.12,0)+IF(AND(V533&gt;=75,V533&lt;175,W533&lt;35),0.3,0)+IF(AND(V533&gt;=75,V533&lt;=175,W533&gt;=35,W533&lt;65),0.23,0)+IF(AND(V533&gt;=75,V533&lt;=175,W533&gt;=65,W533&lt;110),0.17,0)+IF(AND(V533&gt;=75,V533&lt;=175,W533&gt;=110),0.12,0)+IF(AND(V533&gt;175,W533&lt;25),0.3,0)+IF(AND(V533&gt;175,W533&gt;=25,W533&lt;55),0.23,0)+IF(AND(V533&gt;175,W533&gt;=55,W533&lt;95),0.17,0)+IF(AND(V533&gt;175,W533&gt;=95),0.12,0),
IF(AF533="DoEVni",IF(AND(V533&lt;20,W533&lt;55),0.3,0)+IF(AND(V533&lt;20,W533&gt;=55,W533&lt;105),0.23,0)+IF(AND(V533&lt;20,W533&gt;=105),0.17,0)+IF(AND(V533&gt;=20,V533&lt;40,W533&lt;45),0.3,0)+IF(AND(V533&gt;=20,V533&lt;40,W533&gt;=45,W533&lt;95),0.23,0)+IF(AND(V533&gt;=20,V533&lt;40,W533&gt;=95,W533&lt;=200),0.17,0)+IF(AND(V533&gt;=20,V533&lt;40,W533&gt;=200),0.12,0)+IF(AND(V533&gt;=40,V533&lt;75,W533&lt;35),0.3,0)+IF(AND(V533&gt;=40,V533&lt;75,W533&gt;=35,W533&lt;75),0.23,0)+IF(AND(V533&gt;=40,V533&lt;75,W533&gt;=75,W533&lt;120),0.17,0)+IF(AND(V533&gt;=40,V533&lt;75,W533&gt;=120),0.12,0)+IF(AND(V533&gt;=75,V533&lt;175,W533&lt;35),0.3,0)+IF(AND(V533&gt;=75,V533&lt;=175,W533&gt;=35,W533&lt;65),0.23,0)+IF(AND(V533&gt;=75,V533&lt;=175,W533&gt;=65,W533&lt;110),0.17,0)+IF(AND(V533&gt;=75,V533&lt;=175,W533&gt;=110),0.12,0)+IF(AND(V533&gt;175,W533&lt;25),0.3,0)+IF(AND(V533&gt;175,W533&gt;=25,W533&lt;55),0.23,0)+IF(AND(V533&gt;175,W533&gt;=55,W533&lt;95),0.17,0)+IF(AND(V533&gt;175,W533&gt;=95),0.12,0),
IF(AF533="DoEVLo",IF(AND(V533&lt;20,W533&lt;55),0.25,0)+IF(AND(V533&lt;20,W533&gt;=55,W533&lt;105),0.2,0)+IF(AND(V533&lt;20,W533&gt;=105),0.15,0)+IF(AND(V533&gt;=20,V533&lt;40,W533&lt;45),0.25,0)+IF(AND(V533&gt;=20,V533&lt;40,W533&gt;=45,W533&lt;95),0.2,0)+IF(AND(V533&gt;=20,V533&lt;40,W533&gt;=95),0.15,0)+IF(AND(V533&gt;=40,V533&lt;75,W533&lt;35),0.25,0)+IF(AND(V533&gt;=40,V533&lt;75,W533&gt;=35,W533&lt;75),0.2,0)+IF(AND(V533&gt;=40,V533&lt;75,W533&gt;=75,W533&lt;120),0.15,0)+IF(AND(V533&gt;=40,V533&lt;75,W533&gt;=120),0.1,0)+IF(AND(V533&gt;=75,V533&lt;175,W533&lt;35),0.25,0)+IF(AND(V533&gt;=75,V533&lt;=175,W533&gt;=35,W533&lt;65),0.2,0)+IF(AND(V533&gt;=75,V533&lt;=175,W533&gt;=65,W533&lt;110),0.15,0)+IF(AND(V533&gt;=75,V533&lt;=175,W533&gt;=110),0.1,0)+IF(AND(V533&gt;175,W533&lt;25),0.25,0)+IF(AND(V533&gt;175,W533&gt;=25,W533&lt;55),0.2,0)+IF(AND(V533&gt;175,W533&gt;=55,W533&lt;95),0.15,0)+IF(AND(V533&gt;175,W533&gt;=95),0.1,0)))))))))))))))))</f>
        <v>0.1875</v>
      </c>
      <c r="Y533" s="30">
        <f>IF(AG533="None",0,IF(AG533="Fix5",0.05, IF(AG533="Fix6.25",0.0625,IF(AG533="Fix3.75",0.0375,IF(AG533="Fix10",0.1,IF(AG533="Fix3",0.03,0))))))</f>
        <v>6.25E-2</v>
      </c>
      <c r="Z533" s="35">
        <f>T533-AA533-AB533</f>
        <v>3912</v>
      </c>
      <c r="AA533" s="29">
        <f>IF(AD533="EUR",((T533-R533)*X533)*U533+(R533*X533),(T533*X533))</f>
        <v>978</v>
      </c>
      <c r="AB533" s="36">
        <f>IF(AD533="EUR",((T533-R533)*Y533)*U533+(R533*Y533),(T533*Y533))</f>
        <v>326</v>
      </c>
      <c r="AC533" s="37" t="b">
        <v>1</v>
      </c>
      <c r="AD533" s="37" t="s">
        <v>38</v>
      </c>
      <c r="AE533" s="37" t="s">
        <v>38</v>
      </c>
      <c r="AF533" s="37" t="s">
        <v>146</v>
      </c>
      <c r="AG533" s="38" t="s">
        <v>147</v>
      </c>
    </row>
    <row r="534" spans="1:33" ht="14.25" hidden="1" x14ac:dyDescent="0.2">
      <c r="A534" s="18" t="str">
        <f t="array" ref="A534">IF(G534='Room Info'!$B$1, INDEX('Room Info'!$A$2:$A2446, MATCH(B534,'Room Info'!$B$2:$B2446, 0)),IF(G534='Room Info'!$C$1, INDEX('Room Info'!$A$2:$A2446, MATCH(B534,'Room Info'!$C$2:$C2446, 0)),IF(G534='Room Info'!$D$1, INDEX('Room Info'!$A$2:$A2446, MATCH(B534,'Room Info'!$D$2:$D2446, 0)),IF(G534='Room Info'!$E$1, INDEX('Room Info'!$A$2:$A2446, MATCH(B534,'Room Info'!$E$2:$E2446, 0)),IF(G534='Room Info'!$F$1, INDEX('Room Info'!$A$2:$A2446, MATCH(B534,'Room Info'!$F$2:$F2446, 0)),IF(G534='Room Info'!$H$1, INDEX('Room Info'!$A$2:$A2446, MATCH(B534,'Room Info'!$H$2:$H2446, 0)),IF(G534='Room Info'!$G$1, INDEX('Room Info'!$A$2:$A2446, MATCH(B534,'Room Info'!$G$2:$G2446, 0)))))))))</f>
        <v>benyya</v>
      </c>
      <c r="B534" s="45" t="s">
        <v>145</v>
      </c>
      <c r="C534" s="46">
        <v>44866</v>
      </c>
      <c r="D534" s="46">
        <v>44895</v>
      </c>
      <c r="E534" s="47">
        <v>44866</v>
      </c>
      <c r="F534" s="48" t="s">
        <v>49</v>
      </c>
      <c r="G534" s="45" t="s">
        <v>35</v>
      </c>
      <c r="H534" s="49" t="s">
        <v>84</v>
      </c>
      <c r="I534" s="49" t="s">
        <v>44</v>
      </c>
      <c r="J534" s="70">
        <v>100</v>
      </c>
      <c r="K534" s="71">
        <v>1604</v>
      </c>
      <c r="L534" s="52">
        <v>-12800</v>
      </c>
      <c r="M534" s="53">
        <v>3653</v>
      </c>
      <c r="N534" s="28">
        <f>K534*J534</f>
        <v>160400</v>
      </c>
      <c r="O534" s="54">
        <v>12310</v>
      </c>
      <c r="P534" s="29">
        <v>7.6745635910000001</v>
      </c>
      <c r="Q534" s="55"/>
      <c r="R534" s="31">
        <f>M534+Q534</f>
        <v>3653</v>
      </c>
      <c r="S534" s="56">
        <v>-5273</v>
      </c>
      <c r="T534" s="32">
        <f>R534+S534+IF(F534="Without EV deal",L534,0)</f>
        <v>-1620</v>
      </c>
      <c r="U534" s="57">
        <v>1</v>
      </c>
      <c r="V534" s="58">
        <v>147.51</v>
      </c>
      <c r="W534" s="58">
        <v>85</v>
      </c>
      <c r="X534" s="30">
        <f>IF(AF534="DoEV",IF(AND(V534&lt;20,W534&lt;55),0.3,0)+IF(AND(V534&lt;20,W534&gt;=55,W534&lt;105),0.23,0)+IF(AND(V534&lt;20,W534&gt;=105),0.17,0)+IF(AND(V534&gt;=20,V534&lt;40,W534&lt;45),0.3,0)+IF(AND(V534&gt;=20,V534&lt;40,W534&gt;=45,W534&lt;95),0.23,0)+IF(AND(V534&gt;=20,V534&lt;40,W534&gt;=95),0.17,0)+IF(AND(V534&gt;=40,V534&lt;75,W534&lt;35),0.3,0)+IF(AND(V534&gt;=40,V534&lt;75,W534&gt;=35,W534&lt;75),0.23,0)+IF(AND(V534&gt;=40,V534&lt;75,W534&gt;=75,W534&lt;120),0.17,0)+IF(AND(V534&gt;=40,V534&lt;75,W534&gt;=120),0.12,0)+IF(AND(V534&gt;=75,V534&lt;175,W534&lt;35),0.3,0)+IF(AND(V534&gt;=75,V534&lt;=175,W534&gt;=35,W534&lt;65),0.23,0)+IF(AND(V534&gt;=75,V534&lt;=175,W534&gt;=65,W534&lt;110),0.17,0)+IF(AND(V534&gt;=75,V534&lt;=175,W534&gt;=110),0.12,0)+IF(AND(V534&gt;175,W534&lt;25),0.3,0)+IF(AND(V534&gt;175,W534&gt;=25,W534&lt;55),0.23,0)+IF(AND(V534&gt;175,W534&gt;=55,W534&lt;95),0.17,0)+IF(AND(V534&gt;175,W534&gt;=95),0.12,0),
IF(AF534="Fix15",0.15,
IF(AF534="Fix18.75",0.1875,
IF(AF534="Fix11.25",0.1125,
IF(AF534="Fix10",0.1,
IF(AF534="Fix9",0.09,
IF(AF534="DoEV2017",IF(AND(W534&lt;74),0.2,0)+IF(AND(W534&gt;=74),0.17,0),
IF(AF534="SF",IF(AND(V534&lt;20,W534&lt;89),0.3,0)+IF(AND(V534&lt;20,W534&gt;=89),0.25,0)+IF(AND(V534&gt;=20,V534&lt;40,W534&lt;74),0.3,0)+IF(AND(V534&gt;=20,V534&lt;40,W534&gt;=75),0.22,0)+IF(AND(V534&gt;=40,V534&lt;75,W534&lt;75),0.26,0)+IF(AND(V534&gt;=40,V534&lt;75,W534&gt;=75),0.22,0)+IF(V534&gt;=75,0.22,0),
IF(AF534="DoEVold",IF(AND(V534&lt;40,W534&lt;35),0.35,0)+IF(AND(V534&lt;40,W534&gt;=35,W534&lt;75),0.25,0)+IF(AND(V534&lt;40,W534&gt;=75),0.17,0)+IF(AND(V534&gt;=40,V534&lt;75,W534&lt;25),0.35,0)+IF(AND(V534&gt;=40,V534&lt;75,W534&gt;=25,W534&lt;65),0.25,0)+IF(AND(V534&gt;=40,V534&lt;75,W534&gt;=65,W534&lt;100),0.17,0)+IF(AND(V534&gt;=40,V534&lt;75,W534&gt;=100),0.1,0)+IF(AND(V534&gt;=75,W534&lt;25),0.35,0)+IF(AND(V534&gt;=75,W534&gt;=25,W534&lt;60),0.25,0)+IF(AND(V534&gt;=75,W534&gt;=60,W534&lt;95),0.17,0)+IF(AND(V534&gt;=75,W534&gt;=95),0.1,0),
IF(AF534="DoEVold15",IF(AND(V534&lt;=40,W534&lt;35),0.35,0)+IF(AND(V534&lt;=40,W534&gt;=35,W534&lt;75),0.25,0)+IF(AND(V534&lt;=40,W534&gt;=75,W534&lt;120),0.17,0)+IF(AND(V534&lt;=40,W534&gt;=120),0.15,0)+IF(AND(V534&gt;40,V534&lt;75,W534&lt;25),0.35,0)+IF(AND(V534&gt;=40,V534&lt;75,W534&gt;=25,W534&lt;65),0.25,0)+IF(AND(V534&gt;=40,V534&lt;75,W534&gt;=65,W534&lt;100),0.17,0)+IF(AND(V534&gt;=40,V534&lt;75,W534&gt;=100),0.1,0)+IF(AND(V534&gt;=75,W534&lt;25),0.35,0)+IF(AND(V534&gt;=75,W534&gt;=25,W534&lt;60),0.25,0)+IF(AND(V534&gt;=75,W534&gt;=60,W534&lt;95),0.17,0)+IF(AND(V534&gt;=75,W534&gt;=95),0.1,0),
IF(AF534="DoEVba",IF(AND(V534&lt;20,W534&lt;105),0.2,0)+IF(AND(V534&lt;20,W534&gt;=105),0.15,0)+IF(AND(V534&gt;=20,V534&lt;40,W534&lt;95),0.2,0)+IF(AND(V534&gt;=20,V534&lt;40,W534&gt;=95,W534&lt;150),0.15,0)+IF(AND(V534&gt;=20,V534&lt;40,W534&gt;=150),0.12,0)+IF(AND(V534&gt;=40,V534&lt;75,W534&lt;75),0.2,0)+IF(AND(V534&gt;=40,V534&lt;75,W534&gt;=75,W534&lt;120),0.15,0)+IF(AND(V534&gt;=40,V534&lt;75,W534&gt;=120),0.12,0)+IF(AND(V534&gt;=75,V534&lt;175,W534&lt;65),0.2,0)+IF(AND(V534&gt;=75,V534&lt;175,W534&gt;=65,W534&lt;110),0.15,0)+IF(AND(V534&gt;=75,V534&lt;175,W534&gt;=110),0.12,0)+IF(AND(V534&gt;=175,W534&lt;55),0.2,0)+IF(AND(V534&gt;=175,W534&gt;=55,W534&lt;95),0.15,0)+IF(AND(V534&gt;=175,W534&gt;=95),0.12,0),
IF(AF534="DoEVku",IF(AND(V534&lt;20,W534&lt;55),0.23,0)+IF(AND(V534&lt;20,W534&gt;=55,W534&lt;105),0.2,0)+IF(AND(V534&lt;20,W534&gt;=105),0.17,0)+IF(AND(V534&gt;=20,V534&lt;40,W534&lt;45),0.23,0)+IF(AND(V534&gt;=20,V534&lt;40,W534&gt;=45,W534&lt;95),0.2,0)+IF(AND(V534&gt;=20,V534&lt;40,W534&gt;=95,W534&lt;=150),0.17,0)+IF(AND(V534&gt;=20,V534&lt;40,W534&gt;=150),0.12,0)+IF(AND(V534&gt;=40,V534&lt;75,W534&lt;35),0.23,0)+IF(AND(V534&gt;=40,V534&lt;75,W534&gt;=35,W534&lt;75),0.2,0)+IF(AND(V534&gt;=40,V534&lt;75,W534&gt;=75,W534&lt;120),0.17,0)+IF(AND(V534&gt;=40,V534&lt;75,W534&gt;=120),0.12,0)+IF(AND(V534&gt;=75,V534&lt;175,W534&lt;35),0.23,0)+IF(AND(V534&gt;=75,V534&lt;=175,W534&gt;=35,W534&lt;65),0.2,0)+IF(AND(V534&gt;=75,V534&lt;=175,W534&gt;=65,W534&lt;110),0.17,0)+IF(AND(V534&gt;=75,V534&lt;=175,W534&gt;=110),0.12,0)+IF(AND(V534&gt;175,W534&lt;25),0.23,0)+IF(AND(V534&gt;175,W534&gt;=25,W534&lt;55),0.2,0)+IF(AND(V534&gt;175,W534&gt;=55,W534&lt;95),0.17,0)+IF(AND(V534&gt;175,W534&gt;=95),0.12,0),
IF(AF534="DoEVs1",IF(AND(V534&lt;20,W534&lt;55),0.3,0)+IF(AND(V534&lt;20,W534&gt;=55,W534&lt;105),0.23,0)+IF(AND(V534&lt;20,W534&gt;=105),0.17,0)+IF(AND(V534&gt;=20,V534&lt;40,W534&lt;45),0.3,0)+IF(AND(V534&gt;=20,V534&lt;40,W534&gt;=45,W534&lt;95),0.23,0)+IF(AND(V534&gt;=20,V534&lt;40,W534&gt;=95,W534&lt;=150),0.17,0)+IF(AND(V534&gt;=20,V534&lt;40,W534&gt;=150),0.12,0)+IF(AND(V534&gt;=40,V534&lt;75,W534&lt;35),0.3,0)+IF(AND(V534&gt;=40,V534&lt;75,W534&gt;=35,W534&lt;75),0.23,0)+IF(AND(V534&gt;=40,V534&lt;75,W534&gt;=75,W534&lt;120),0.17,0)+IF(AND(V534&gt;=40,V534&lt;75,W534&gt;=120),0.12,0)+IF(AND(V534&gt;=75,V534&lt;175,W534&lt;35),0.3,0)+IF(AND(V534&gt;=75,V534&lt;=175,W534&gt;=35,W534&lt;65),0.23,0)+IF(AND(V534&gt;=75,V534&lt;=175,W534&gt;=65,W534&lt;110),0.17,0)+IF(AND(V534&gt;=75,V534&lt;=175,W534&gt;=110),0.12,0)+IF(AND(V534&gt;175,W534&lt;25),0.3,0)+IF(AND(V534&gt;175,W534&gt;=25,W534&lt;55),0.23,0)+IF(AND(V534&gt;175,W534&gt;=55,W534&lt;95),0.17,0)+IF(AND(V534&gt;175,W534&gt;=95),0.12,0),
IF(AF534="DoEVsu",IF(AND(V534&lt;20,W534&lt;55),0.3,0)+IF(AND(V534&lt;20,W534&gt;=55,W534&lt;105),0.23,0)+IF(AND(V534&lt;20,W534&gt;=105),0.17,0)+IF(AND(V534&gt;=20,V534&lt;40,W534&lt;45),0.3,0)+IF(AND(V534&gt;=20,V534&lt;40,W534&gt;=45,W534&lt;95),0.23,0)+IF(AND(V534&gt;=20,V534&lt;40,W534&gt;=95,W534&lt;=250),0.17,0)+IF(AND(V534&gt;=20,V534&lt;40,W534&gt;=250),0.12,0)+IF(AND(V534&gt;=40,V534&lt;75,W534&lt;35),0.3,0)+IF(AND(V534&gt;=40,V534&lt;75,W534&gt;=35,W534&lt;75),0.23,0)+IF(AND(V534&gt;=40,V534&lt;75,W534&gt;=75,W534&lt;120),0.17,0)+IF(AND(V534&gt;=40,V534&lt;75,W534&gt;=120),0.12,0)+IF(AND(V534&gt;=75,V534&lt;175,W534&lt;35),0.3,0)+IF(AND(V534&gt;=75,V534&lt;=175,W534&gt;=35,W534&lt;65),0.23,0)+IF(AND(V534&gt;=75,V534&lt;=175,W534&gt;=65,W534&lt;110),0.17,0)+IF(AND(V534&gt;=75,V534&lt;=175,W534&gt;=110),0.12,0)+IF(AND(V534&gt;175,W534&lt;25),0.3,0)+IF(AND(V534&gt;175,W534&gt;=25,W534&lt;55),0.23,0)+IF(AND(V534&gt;175,W534&gt;=55,W534&lt;95),0.17,0)+IF(AND(V534&gt;175,W534&gt;=95),0.12,0),
IF(AF534="DoEVni",IF(AND(V534&lt;20,W534&lt;55),0.3,0)+IF(AND(V534&lt;20,W534&gt;=55,W534&lt;105),0.23,0)+IF(AND(V534&lt;20,W534&gt;=105),0.17,0)+IF(AND(V534&gt;=20,V534&lt;40,W534&lt;45),0.3,0)+IF(AND(V534&gt;=20,V534&lt;40,W534&gt;=45,W534&lt;95),0.23,0)+IF(AND(V534&gt;=20,V534&lt;40,W534&gt;=95,W534&lt;=200),0.17,0)+IF(AND(V534&gt;=20,V534&lt;40,W534&gt;=200),0.12,0)+IF(AND(V534&gt;=40,V534&lt;75,W534&lt;35),0.3,0)+IF(AND(V534&gt;=40,V534&lt;75,W534&gt;=35,W534&lt;75),0.23,0)+IF(AND(V534&gt;=40,V534&lt;75,W534&gt;=75,W534&lt;120),0.17,0)+IF(AND(V534&gt;=40,V534&lt;75,W534&gt;=120),0.12,0)+IF(AND(V534&gt;=75,V534&lt;175,W534&lt;35),0.3,0)+IF(AND(V534&gt;=75,V534&lt;=175,W534&gt;=35,W534&lt;65),0.23,0)+IF(AND(V534&gt;=75,V534&lt;=175,W534&gt;=65,W534&lt;110),0.17,0)+IF(AND(V534&gt;=75,V534&lt;=175,W534&gt;=110),0.12,0)+IF(AND(V534&gt;175,W534&lt;25),0.3,0)+IF(AND(V534&gt;175,W534&gt;=25,W534&lt;55),0.23,0)+IF(AND(V534&gt;175,W534&gt;=55,W534&lt;95),0.17,0)+IF(AND(V534&gt;175,W534&gt;=95),0.12,0),
IF(AF534="DoEVLo",IF(AND(V534&lt;20,W534&lt;55),0.25,0)+IF(AND(V534&lt;20,W534&gt;=55,W534&lt;105),0.2,0)+IF(AND(V534&lt;20,W534&gt;=105),0.15,0)+IF(AND(V534&gt;=20,V534&lt;40,W534&lt;45),0.25,0)+IF(AND(V534&gt;=20,V534&lt;40,W534&gt;=45,W534&lt;95),0.2,0)+IF(AND(V534&gt;=20,V534&lt;40,W534&gt;=95),0.15,0)+IF(AND(V534&gt;=40,V534&lt;75,W534&lt;35),0.25,0)+IF(AND(V534&gt;=40,V534&lt;75,W534&gt;=35,W534&lt;75),0.2,0)+IF(AND(V534&gt;=40,V534&lt;75,W534&gt;=75,W534&lt;120),0.15,0)+IF(AND(V534&gt;=40,V534&lt;75,W534&gt;=120),0.1,0)+IF(AND(V534&gt;=75,V534&lt;175,W534&lt;35),0.25,0)+IF(AND(V534&gt;=75,V534&lt;=175,W534&gt;=35,W534&lt;65),0.2,0)+IF(AND(V534&gt;=75,V534&lt;=175,W534&gt;=65,W534&lt;110),0.15,0)+IF(AND(V534&gt;=75,V534&lt;=175,W534&gt;=110),0.1,0)+IF(AND(V534&gt;175,W534&lt;25),0.25,0)+IF(AND(V534&gt;175,W534&gt;=25,W534&lt;55),0.2,0)+IF(AND(V534&gt;175,W534&gt;=55,W534&lt;95),0.15,0)+IF(AND(V534&gt;175,W534&gt;=95),0.1,0)))))))))))))))))</f>
        <v>0.1875</v>
      </c>
      <c r="Y534" s="30">
        <f>IF(AG534="None",0,IF(AG534="Fix5",0.05, IF(AG534="Fix6.25",0.0625,IF(AG534="Fix3.75",0.0375,IF(AG534="Fix10",0.1,IF(AG534="Fix3",0.03,0))))))</f>
        <v>6.25E-2</v>
      </c>
      <c r="Z534" s="35">
        <f>T534-AA534-AB534</f>
        <v>-1215</v>
      </c>
      <c r="AA534" s="29">
        <f>IF(AD534="EUR",((T534-R534)*X534)*U534+(R534*X534),(T534*X534))</f>
        <v>-303.75</v>
      </c>
      <c r="AB534" s="36">
        <f>IF(AD534="EUR",((T534-R534)*Y534)*U534+(R534*Y534),(T534*Y534))</f>
        <v>-101.25</v>
      </c>
      <c r="AC534" s="37" t="b">
        <v>1</v>
      </c>
      <c r="AD534" s="37" t="s">
        <v>38</v>
      </c>
      <c r="AE534" s="37" t="s">
        <v>38</v>
      </c>
      <c r="AF534" s="37" t="s">
        <v>146</v>
      </c>
      <c r="AG534" s="38" t="s">
        <v>147</v>
      </c>
    </row>
    <row r="535" spans="1:33" ht="14.25" hidden="1" x14ac:dyDescent="0.2">
      <c r="A535" s="18" t="str">
        <f t="array" ref="A535">IF(G535='Room Info'!$B$1, INDEX('Room Info'!$A$2:$A2446, MATCH(B535,'Room Info'!$B$2:$B2446, 0)),IF(G535='Room Info'!$C$1, INDEX('Room Info'!$A$2:$A2446, MATCH(B535,'Room Info'!$C$2:$C2446, 0)),IF(G535='Room Info'!$D$1, INDEX('Room Info'!$A$2:$A2446, MATCH(B535,'Room Info'!$D$2:$D2446, 0)),IF(G535='Room Info'!$E$1, INDEX('Room Info'!$A$2:$A2446, MATCH(B535,'Room Info'!$E$2:$E2446, 0)),IF(G535='Room Info'!$F$1, INDEX('Room Info'!$A$2:$A2446, MATCH(B535,'Room Info'!$F$2:$F2446, 0)),IF(G535='Room Info'!$H$1, INDEX('Room Info'!$A$2:$A2446, MATCH(B535,'Room Info'!$H$2:$H2446, 0)),IF(G535='Room Info'!$G$1, INDEX('Room Info'!$A$2:$A2446, MATCH(B535,'Room Info'!$G$2:$G2446, 0)))))))))</f>
        <v>benyya</v>
      </c>
      <c r="B535" s="45" t="s">
        <v>145</v>
      </c>
      <c r="C535" s="46">
        <v>44866</v>
      </c>
      <c r="D535" s="46">
        <v>44895</v>
      </c>
      <c r="E535" s="47">
        <v>44866</v>
      </c>
      <c r="F535" s="48" t="s">
        <v>49</v>
      </c>
      <c r="G535" s="45" t="s">
        <v>35</v>
      </c>
      <c r="H535" s="49" t="s">
        <v>148</v>
      </c>
      <c r="I535" s="49" t="s">
        <v>44</v>
      </c>
      <c r="J535" s="70">
        <v>250</v>
      </c>
      <c r="K535" s="71">
        <v>1766</v>
      </c>
      <c r="L535" s="52">
        <v>-16500</v>
      </c>
      <c r="M535" s="53">
        <v>10056</v>
      </c>
      <c r="N535" s="28">
        <f>K535*J535</f>
        <v>441500</v>
      </c>
      <c r="O535" s="54">
        <v>7436</v>
      </c>
      <c r="P535" s="29">
        <v>4.2106455269999996</v>
      </c>
      <c r="Q535" s="55"/>
      <c r="R535" s="31">
        <f>M535+Q535</f>
        <v>10056</v>
      </c>
      <c r="S535" s="56">
        <v>-18037</v>
      </c>
      <c r="T535" s="32">
        <f>R535+S535+IF(F535="Without EV deal",L535,0)</f>
        <v>-7981</v>
      </c>
      <c r="U535" s="57">
        <v>1</v>
      </c>
      <c r="V535" s="58">
        <v>147.51</v>
      </c>
      <c r="W535" s="58">
        <v>85</v>
      </c>
      <c r="X535" s="30">
        <f>IF(AF535="DoEV",IF(AND(V535&lt;20,W535&lt;55),0.3,0)+IF(AND(V535&lt;20,W535&gt;=55,W535&lt;105),0.23,0)+IF(AND(V535&lt;20,W535&gt;=105),0.17,0)+IF(AND(V535&gt;=20,V535&lt;40,W535&lt;45),0.3,0)+IF(AND(V535&gt;=20,V535&lt;40,W535&gt;=45,W535&lt;95),0.23,0)+IF(AND(V535&gt;=20,V535&lt;40,W535&gt;=95),0.17,0)+IF(AND(V535&gt;=40,V535&lt;75,W535&lt;35),0.3,0)+IF(AND(V535&gt;=40,V535&lt;75,W535&gt;=35,W535&lt;75),0.23,0)+IF(AND(V535&gt;=40,V535&lt;75,W535&gt;=75,W535&lt;120),0.17,0)+IF(AND(V535&gt;=40,V535&lt;75,W535&gt;=120),0.12,0)+IF(AND(V535&gt;=75,V535&lt;175,W535&lt;35),0.3,0)+IF(AND(V535&gt;=75,V535&lt;=175,W535&gt;=35,W535&lt;65),0.23,0)+IF(AND(V535&gt;=75,V535&lt;=175,W535&gt;=65,W535&lt;110),0.17,0)+IF(AND(V535&gt;=75,V535&lt;=175,W535&gt;=110),0.12,0)+IF(AND(V535&gt;175,W535&lt;25),0.3,0)+IF(AND(V535&gt;175,W535&gt;=25,W535&lt;55),0.23,0)+IF(AND(V535&gt;175,W535&gt;=55,W535&lt;95),0.17,0)+IF(AND(V535&gt;175,W535&gt;=95),0.12,0),
IF(AF535="Fix15",0.15,
IF(AF535="Fix18.75",0.1875,
IF(AF535="Fix11.25",0.1125,
IF(AF535="Fix10",0.1,
IF(AF535="Fix9",0.09,
IF(AF535="DoEV2017",IF(AND(W535&lt;74),0.2,0)+IF(AND(W535&gt;=74),0.17,0),
IF(AF535="SF",IF(AND(V535&lt;20,W535&lt;89),0.3,0)+IF(AND(V535&lt;20,W535&gt;=89),0.25,0)+IF(AND(V535&gt;=20,V535&lt;40,W535&lt;74),0.3,0)+IF(AND(V535&gt;=20,V535&lt;40,W535&gt;=75),0.22,0)+IF(AND(V535&gt;=40,V535&lt;75,W535&lt;75),0.26,0)+IF(AND(V535&gt;=40,V535&lt;75,W535&gt;=75),0.22,0)+IF(V535&gt;=75,0.22,0),
IF(AF535="DoEVold",IF(AND(V535&lt;40,W535&lt;35),0.35,0)+IF(AND(V535&lt;40,W535&gt;=35,W535&lt;75),0.25,0)+IF(AND(V535&lt;40,W535&gt;=75),0.17,0)+IF(AND(V535&gt;=40,V535&lt;75,W535&lt;25),0.35,0)+IF(AND(V535&gt;=40,V535&lt;75,W535&gt;=25,W535&lt;65),0.25,0)+IF(AND(V535&gt;=40,V535&lt;75,W535&gt;=65,W535&lt;100),0.17,0)+IF(AND(V535&gt;=40,V535&lt;75,W535&gt;=100),0.1,0)+IF(AND(V535&gt;=75,W535&lt;25),0.35,0)+IF(AND(V535&gt;=75,W535&gt;=25,W535&lt;60),0.25,0)+IF(AND(V535&gt;=75,W535&gt;=60,W535&lt;95),0.17,0)+IF(AND(V535&gt;=75,W535&gt;=95),0.1,0),
IF(AF535="DoEVold15",IF(AND(V535&lt;=40,W535&lt;35),0.35,0)+IF(AND(V535&lt;=40,W535&gt;=35,W535&lt;75),0.25,0)+IF(AND(V535&lt;=40,W535&gt;=75,W535&lt;120),0.17,0)+IF(AND(V535&lt;=40,W535&gt;=120),0.15,0)+IF(AND(V535&gt;40,V535&lt;75,W535&lt;25),0.35,0)+IF(AND(V535&gt;=40,V535&lt;75,W535&gt;=25,W535&lt;65),0.25,0)+IF(AND(V535&gt;=40,V535&lt;75,W535&gt;=65,W535&lt;100),0.17,0)+IF(AND(V535&gt;=40,V535&lt;75,W535&gt;=100),0.1,0)+IF(AND(V535&gt;=75,W535&lt;25),0.35,0)+IF(AND(V535&gt;=75,W535&gt;=25,W535&lt;60),0.25,0)+IF(AND(V535&gt;=75,W535&gt;=60,W535&lt;95),0.17,0)+IF(AND(V535&gt;=75,W535&gt;=95),0.1,0),
IF(AF535="DoEVba",IF(AND(V535&lt;20,W535&lt;105),0.2,0)+IF(AND(V535&lt;20,W535&gt;=105),0.15,0)+IF(AND(V535&gt;=20,V535&lt;40,W535&lt;95),0.2,0)+IF(AND(V535&gt;=20,V535&lt;40,W535&gt;=95,W535&lt;150),0.15,0)+IF(AND(V535&gt;=20,V535&lt;40,W535&gt;=150),0.12,0)+IF(AND(V535&gt;=40,V535&lt;75,W535&lt;75),0.2,0)+IF(AND(V535&gt;=40,V535&lt;75,W535&gt;=75,W535&lt;120),0.15,0)+IF(AND(V535&gt;=40,V535&lt;75,W535&gt;=120),0.12,0)+IF(AND(V535&gt;=75,V535&lt;175,W535&lt;65),0.2,0)+IF(AND(V535&gt;=75,V535&lt;175,W535&gt;=65,W535&lt;110),0.15,0)+IF(AND(V535&gt;=75,V535&lt;175,W535&gt;=110),0.12,0)+IF(AND(V535&gt;=175,W535&lt;55),0.2,0)+IF(AND(V535&gt;=175,W535&gt;=55,W535&lt;95),0.15,0)+IF(AND(V535&gt;=175,W535&gt;=95),0.12,0),
IF(AF535="DoEVku",IF(AND(V535&lt;20,W535&lt;55),0.23,0)+IF(AND(V535&lt;20,W535&gt;=55,W535&lt;105),0.2,0)+IF(AND(V535&lt;20,W535&gt;=105),0.17,0)+IF(AND(V535&gt;=20,V535&lt;40,W535&lt;45),0.23,0)+IF(AND(V535&gt;=20,V535&lt;40,W535&gt;=45,W535&lt;95),0.2,0)+IF(AND(V535&gt;=20,V535&lt;40,W535&gt;=95,W535&lt;=150),0.17,0)+IF(AND(V535&gt;=20,V535&lt;40,W535&gt;=150),0.12,0)+IF(AND(V535&gt;=40,V535&lt;75,W535&lt;35),0.23,0)+IF(AND(V535&gt;=40,V535&lt;75,W535&gt;=35,W535&lt;75),0.2,0)+IF(AND(V535&gt;=40,V535&lt;75,W535&gt;=75,W535&lt;120),0.17,0)+IF(AND(V535&gt;=40,V535&lt;75,W535&gt;=120),0.12,0)+IF(AND(V535&gt;=75,V535&lt;175,W535&lt;35),0.23,0)+IF(AND(V535&gt;=75,V535&lt;=175,W535&gt;=35,W535&lt;65),0.2,0)+IF(AND(V535&gt;=75,V535&lt;=175,W535&gt;=65,W535&lt;110),0.17,0)+IF(AND(V535&gt;=75,V535&lt;=175,W535&gt;=110),0.12,0)+IF(AND(V535&gt;175,W535&lt;25),0.23,0)+IF(AND(V535&gt;175,W535&gt;=25,W535&lt;55),0.2,0)+IF(AND(V535&gt;175,W535&gt;=55,W535&lt;95),0.17,0)+IF(AND(V535&gt;175,W535&gt;=95),0.12,0),
IF(AF535="DoEVs1",IF(AND(V535&lt;20,W535&lt;55),0.3,0)+IF(AND(V535&lt;20,W535&gt;=55,W535&lt;105),0.23,0)+IF(AND(V535&lt;20,W535&gt;=105),0.17,0)+IF(AND(V535&gt;=20,V535&lt;40,W535&lt;45),0.3,0)+IF(AND(V535&gt;=20,V535&lt;40,W535&gt;=45,W535&lt;95),0.23,0)+IF(AND(V535&gt;=20,V535&lt;40,W535&gt;=95,W535&lt;=150),0.17,0)+IF(AND(V535&gt;=20,V535&lt;40,W535&gt;=150),0.12,0)+IF(AND(V535&gt;=40,V535&lt;75,W535&lt;35),0.3,0)+IF(AND(V535&gt;=40,V535&lt;75,W535&gt;=35,W535&lt;75),0.23,0)+IF(AND(V535&gt;=40,V535&lt;75,W535&gt;=75,W535&lt;120),0.17,0)+IF(AND(V535&gt;=40,V535&lt;75,W535&gt;=120),0.12,0)+IF(AND(V535&gt;=75,V535&lt;175,W535&lt;35),0.3,0)+IF(AND(V535&gt;=75,V535&lt;=175,W535&gt;=35,W535&lt;65),0.23,0)+IF(AND(V535&gt;=75,V535&lt;=175,W535&gt;=65,W535&lt;110),0.17,0)+IF(AND(V535&gt;=75,V535&lt;=175,W535&gt;=110),0.12,0)+IF(AND(V535&gt;175,W535&lt;25),0.3,0)+IF(AND(V535&gt;175,W535&gt;=25,W535&lt;55),0.23,0)+IF(AND(V535&gt;175,W535&gt;=55,W535&lt;95),0.17,0)+IF(AND(V535&gt;175,W535&gt;=95),0.12,0),
IF(AF535="DoEVsu",IF(AND(V535&lt;20,W535&lt;55),0.3,0)+IF(AND(V535&lt;20,W535&gt;=55,W535&lt;105),0.23,0)+IF(AND(V535&lt;20,W535&gt;=105),0.17,0)+IF(AND(V535&gt;=20,V535&lt;40,W535&lt;45),0.3,0)+IF(AND(V535&gt;=20,V535&lt;40,W535&gt;=45,W535&lt;95),0.23,0)+IF(AND(V535&gt;=20,V535&lt;40,W535&gt;=95,W535&lt;=250),0.17,0)+IF(AND(V535&gt;=20,V535&lt;40,W535&gt;=250),0.12,0)+IF(AND(V535&gt;=40,V535&lt;75,W535&lt;35),0.3,0)+IF(AND(V535&gt;=40,V535&lt;75,W535&gt;=35,W535&lt;75),0.23,0)+IF(AND(V535&gt;=40,V535&lt;75,W535&gt;=75,W535&lt;120),0.17,0)+IF(AND(V535&gt;=40,V535&lt;75,W535&gt;=120),0.12,0)+IF(AND(V535&gt;=75,V535&lt;175,W535&lt;35),0.3,0)+IF(AND(V535&gt;=75,V535&lt;=175,W535&gt;=35,W535&lt;65),0.23,0)+IF(AND(V535&gt;=75,V535&lt;=175,W535&gt;=65,W535&lt;110),0.17,0)+IF(AND(V535&gt;=75,V535&lt;=175,W535&gt;=110),0.12,0)+IF(AND(V535&gt;175,W535&lt;25),0.3,0)+IF(AND(V535&gt;175,W535&gt;=25,W535&lt;55),0.23,0)+IF(AND(V535&gt;175,W535&gt;=55,W535&lt;95),0.17,0)+IF(AND(V535&gt;175,W535&gt;=95),0.12,0),
IF(AF535="DoEVni",IF(AND(V535&lt;20,W535&lt;55),0.3,0)+IF(AND(V535&lt;20,W535&gt;=55,W535&lt;105),0.23,0)+IF(AND(V535&lt;20,W535&gt;=105),0.17,0)+IF(AND(V535&gt;=20,V535&lt;40,W535&lt;45),0.3,0)+IF(AND(V535&gt;=20,V535&lt;40,W535&gt;=45,W535&lt;95),0.23,0)+IF(AND(V535&gt;=20,V535&lt;40,W535&gt;=95,W535&lt;=200),0.17,0)+IF(AND(V535&gt;=20,V535&lt;40,W535&gt;=200),0.12,0)+IF(AND(V535&gt;=40,V535&lt;75,W535&lt;35),0.3,0)+IF(AND(V535&gt;=40,V535&lt;75,W535&gt;=35,W535&lt;75),0.23,0)+IF(AND(V535&gt;=40,V535&lt;75,W535&gt;=75,W535&lt;120),0.17,0)+IF(AND(V535&gt;=40,V535&lt;75,W535&gt;=120),0.12,0)+IF(AND(V535&gt;=75,V535&lt;175,W535&lt;35),0.3,0)+IF(AND(V535&gt;=75,V535&lt;=175,W535&gt;=35,W535&lt;65),0.23,0)+IF(AND(V535&gt;=75,V535&lt;=175,W535&gt;=65,W535&lt;110),0.17,0)+IF(AND(V535&gt;=75,V535&lt;=175,W535&gt;=110),0.12,0)+IF(AND(V535&gt;175,W535&lt;25),0.3,0)+IF(AND(V535&gt;175,W535&gt;=25,W535&lt;55),0.23,0)+IF(AND(V535&gt;175,W535&gt;=55,W535&lt;95),0.17,0)+IF(AND(V535&gt;175,W535&gt;=95),0.12,0),
IF(AF535="DoEVLo",IF(AND(V535&lt;20,W535&lt;55),0.25,0)+IF(AND(V535&lt;20,W535&gt;=55,W535&lt;105),0.2,0)+IF(AND(V535&lt;20,W535&gt;=105),0.15,0)+IF(AND(V535&gt;=20,V535&lt;40,W535&lt;45),0.25,0)+IF(AND(V535&gt;=20,V535&lt;40,W535&gt;=45,W535&lt;95),0.2,0)+IF(AND(V535&gt;=20,V535&lt;40,W535&gt;=95),0.15,0)+IF(AND(V535&gt;=40,V535&lt;75,W535&lt;35),0.25,0)+IF(AND(V535&gt;=40,V535&lt;75,W535&gt;=35,W535&lt;75),0.2,0)+IF(AND(V535&gt;=40,V535&lt;75,W535&gt;=75,W535&lt;120),0.15,0)+IF(AND(V535&gt;=40,V535&lt;75,W535&gt;=120),0.1,0)+IF(AND(V535&gt;=75,V535&lt;175,W535&lt;35),0.25,0)+IF(AND(V535&gt;=75,V535&lt;=175,W535&gt;=35,W535&lt;65),0.2,0)+IF(AND(V535&gt;=75,V535&lt;=175,W535&gt;=65,W535&lt;110),0.15,0)+IF(AND(V535&gt;=75,V535&lt;=175,W535&gt;=110),0.1,0)+IF(AND(V535&gt;175,W535&lt;25),0.25,0)+IF(AND(V535&gt;175,W535&gt;=25,W535&lt;55),0.2,0)+IF(AND(V535&gt;175,W535&gt;=55,W535&lt;95),0.15,0)+IF(AND(V535&gt;175,W535&gt;=95),0.1,0)))))))))))))))))</f>
        <v>0.1875</v>
      </c>
      <c r="Y535" s="30">
        <f>IF(AG535="None",0,IF(AG535="Fix5",0.05, IF(AG535="Fix6.25",0.0625,IF(AG535="Fix3.75",0.0375,IF(AG535="Fix10",0.1,IF(AG535="Fix3",0.03,0))))))</f>
        <v>6.25E-2</v>
      </c>
      <c r="Z535" s="35">
        <f>T535-AA535-AB535</f>
        <v>-5985.75</v>
      </c>
      <c r="AA535" s="29">
        <f>IF(AD535="EUR",((T535-R535)*X535)*U535+(R535*X535),(T535*X535))</f>
        <v>-1496.4375</v>
      </c>
      <c r="AB535" s="36">
        <f>IF(AD535="EUR",((T535-R535)*Y535)*U535+(R535*Y535),(T535*Y535))</f>
        <v>-498.8125</v>
      </c>
      <c r="AC535" s="37" t="b">
        <v>1</v>
      </c>
      <c r="AD535" s="37" t="s">
        <v>38</v>
      </c>
      <c r="AE535" s="37" t="s">
        <v>38</v>
      </c>
      <c r="AF535" s="37" t="s">
        <v>146</v>
      </c>
      <c r="AG535" s="38" t="s">
        <v>147</v>
      </c>
    </row>
    <row r="536" spans="1:33" ht="14.25" hidden="1" x14ac:dyDescent="0.2">
      <c r="A536" s="18" t="str">
        <f t="array" ref="A536">IF(G536='Room Info'!$B$1, INDEX('Room Info'!$A$2:$A2446, MATCH(B536,'Room Info'!$B$2:$B2446, 0)),IF(G536='Room Info'!$C$1, INDEX('Room Info'!$A$2:$A2446, MATCH(B536,'Room Info'!$C$2:$C2446, 0)),IF(G536='Room Info'!$D$1, INDEX('Room Info'!$A$2:$A2446, MATCH(B536,'Room Info'!$D$2:$D2446, 0)),IF(G536='Room Info'!$E$1, INDEX('Room Info'!$A$2:$A2446, MATCH(B536,'Room Info'!$E$2:$E2446, 0)),IF(G536='Room Info'!$F$1, INDEX('Room Info'!$A$2:$A2446, MATCH(B536,'Room Info'!$F$2:$F2446, 0)),IF(G536='Room Info'!$H$1, INDEX('Room Info'!$A$2:$A2446, MATCH(B536,'Room Info'!$H$2:$H2446, 0)),IF(G536='Room Info'!$G$1, INDEX('Room Info'!$A$2:$A2446, MATCH(B536,'Room Info'!$G$2:$G2446, 0)))))))))</f>
        <v>benyya</v>
      </c>
      <c r="B536" s="45" t="s">
        <v>145</v>
      </c>
      <c r="C536" s="46">
        <v>44866</v>
      </c>
      <c r="D536" s="46">
        <v>44895</v>
      </c>
      <c r="E536" s="47">
        <v>44866</v>
      </c>
      <c r="F536" s="48" t="s">
        <v>41</v>
      </c>
      <c r="G536" s="45" t="s">
        <v>35</v>
      </c>
      <c r="H536" s="49" t="s">
        <v>87</v>
      </c>
      <c r="I536" s="49" t="s">
        <v>44</v>
      </c>
      <c r="J536" s="70">
        <v>25</v>
      </c>
      <c r="K536" s="71">
        <v>14</v>
      </c>
      <c r="L536" s="52">
        <v>75</v>
      </c>
      <c r="M536" s="53">
        <v>10</v>
      </c>
      <c r="N536" s="28">
        <f>K536*J536</f>
        <v>350</v>
      </c>
      <c r="O536" s="65"/>
      <c r="P536" s="29">
        <v>0</v>
      </c>
      <c r="Q536" s="55"/>
      <c r="R536" s="31">
        <f>M536+Q536</f>
        <v>10</v>
      </c>
      <c r="S536" s="66"/>
      <c r="T536" s="32">
        <f>R536+S536+IF(F536="Without EV deal",L536,0)</f>
        <v>85</v>
      </c>
      <c r="U536" s="57">
        <v>1</v>
      </c>
      <c r="V536" s="58">
        <v>147.51</v>
      </c>
      <c r="W536" s="58">
        <v>85</v>
      </c>
      <c r="X536" s="30">
        <f>IF(AF536="DoEV",IF(AND(V536&lt;20,W536&lt;55),0.3,0)+IF(AND(V536&lt;20,W536&gt;=55,W536&lt;105),0.23,0)+IF(AND(V536&lt;20,W536&gt;=105),0.17,0)+IF(AND(V536&gt;=20,V536&lt;40,W536&lt;45),0.3,0)+IF(AND(V536&gt;=20,V536&lt;40,W536&gt;=45,W536&lt;95),0.23,0)+IF(AND(V536&gt;=20,V536&lt;40,W536&gt;=95),0.17,0)+IF(AND(V536&gt;=40,V536&lt;75,W536&lt;35),0.3,0)+IF(AND(V536&gt;=40,V536&lt;75,W536&gt;=35,W536&lt;75),0.23,0)+IF(AND(V536&gt;=40,V536&lt;75,W536&gt;=75,W536&lt;120),0.17,0)+IF(AND(V536&gt;=40,V536&lt;75,W536&gt;=120),0.12,0)+IF(AND(V536&gt;=75,V536&lt;175,W536&lt;35),0.3,0)+IF(AND(V536&gt;=75,V536&lt;=175,W536&gt;=35,W536&lt;65),0.23,0)+IF(AND(V536&gt;=75,V536&lt;=175,W536&gt;=65,W536&lt;110),0.17,0)+IF(AND(V536&gt;=75,V536&lt;=175,W536&gt;=110),0.12,0)+IF(AND(V536&gt;175,W536&lt;25),0.3,0)+IF(AND(V536&gt;175,W536&gt;=25,W536&lt;55),0.23,0)+IF(AND(V536&gt;175,W536&gt;=55,W536&lt;95),0.17,0)+IF(AND(V536&gt;175,W536&gt;=95),0.12,0),
IF(AF536="Fix15",0.15,
IF(AF536="Fix18.75",0.1875,
IF(AF536="Fix11.25",0.1125,
IF(AF536="Fix10",0.1,
IF(AF536="Fix9",0.09,
IF(AF536="DoEV2017",IF(AND(W536&lt;74),0.2,0)+IF(AND(W536&gt;=74),0.17,0),
IF(AF536="SF",IF(AND(V536&lt;20,W536&lt;89),0.3,0)+IF(AND(V536&lt;20,W536&gt;=89),0.25,0)+IF(AND(V536&gt;=20,V536&lt;40,W536&lt;74),0.3,0)+IF(AND(V536&gt;=20,V536&lt;40,W536&gt;=75),0.22,0)+IF(AND(V536&gt;=40,V536&lt;75,W536&lt;75),0.26,0)+IF(AND(V536&gt;=40,V536&lt;75,W536&gt;=75),0.22,0)+IF(V536&gt;=75,0.22,0),
IF(AF536="DoEVold",IF(AND(V536&lt;40,W536&lt;35),0.35,0)+IF(AND(V536&lt;40,W536&gt;=35,W536&lt;75),0.25,0)+IF(AND(V536&lt;40,W536&gt;=75),0.17,0)+IF(AND(V536&gt;=40,V536&lt;75,W536&lt;25),0.35,0)+IF(AND(V536&gt;=40,V536&lt;75,W536&gt;=25,W536&lt;65),0.25,0)+IF(AND(V536&gt;=40,V536&lt;75,W536&gt;=65,W536&lt;100),0.17,0)+IF(AND(V536&gt;=40,V536&lt;75,W536&gt;=100),0.1,0)+IF(AND(V536&gt;=75,W536&lt;25),0.35,0)+IF(AND(V536&gt;=75,W536&gt;=25,W536&lt;60),0.25,0)+IF(AND(V536&gt;=75,W536&gt;=60,W536&lt;95),0.17,0)+IF(AND(V536&gt;=75,W536&gt;=95),0.1,0),
IF(AF536="DoEVold15",IF(AND(V536&lt;=40,W536&lt;35),0.35,0)+IF(AND(V536&lt;=40,W536&gt;=35,W536&lt;75),0.25,0)+IF(AND(V536&lt;=40,W536&gt;=75,W536&lt;120),0.17,0)+IF(AND(V536&lt;=40,W536&gt;=120),0.15,0)+IF(AND(V536&gt;40,V536&lt;75,W536&lt;25),0.35,0)+IF(AND(V536&gt;=40,V536&lt;75,W536&gt;=25,W536&lt;65),0.25,0)+IF(AND(V536&gt;=40,V536&lt;75,W536&gt;=65,W536&lt;100),0.17,0)+IF(AND(V536&gt;=40,V536&lt;75,W536&gt;=100),0.1,0)+IF(AND(V536&gt;=75,W536&lt;25),0.35,0)+IF(AND(V536&gt;=75,W536&gt;=25,W536&lt;60),0.25,0)+IF(AND(V536&gt;=75,W536&gt;=60,W536&lt;95),0.17,0)+IF(AND(V536&gt;=75,W536&gt;=95),0.1,0),
IF(AF536="DoEVba",IF(AND(V536&lt;20,W536&lt;105),0.2,0)+IF(AND(V536&lt;20,W536&gt;=105),0.15,0)+IF(AND(V536&gt;=20,V536&lt;40,W536&lt;95),0.2,0)+IF(AND(V536&gt;=20,V536&lt;40,W536&gt;=95,W536&lt;150),0.15,0)+IF(AND(V536&gt;=20,V536&lt;40,W536&gt;=150),0.12,0)+IF(AND(V536&gt;=40,V536&lt;75,W536&lt;75),0.2,0)+IF(AND(V536&gt;=40,V536&lt;75,W536&gt;=75,W536&lt;120),0.15,0)+IF(AND(V536&gt;=40,V536&lt;75,W536&gt;=120),0.12,0)+IF(AND(V536&gt;=75,V536&lt;175,W536&lt;65),0.2,0)+IF(AND(V536&gt;=75,V536&lt;175,W536&gt;=65,W536&lt;110),0.15,0)+IF(AND(V536&gt;=75,V536&lt;175,W536&gt;=110),0.12,0)+IF(AND(V536&gt;=175,W536&lt;55),0.2,0)+IF(AND(V536&gt;=175,W536&gt;=55,W536&lt;95),0.15,0)+IF(AND(V536&gt;=175,W536&gt;=95),0.12,0),
IF(AF536="DoEVku",IF(AND(V536&lt;20,W536&lt;55),0.23,0)+IF(AND(V536&lt;20,W536&gt;=55,W536&lt;105),0.2,0)+IF(AND(V536&lt;20,W536&gt;=105),0.17,0)+IF(AND(V536&gt;=20,V536&lt;40,W536&lt;45),0.23,0)+IF(AND(V536&gt;=20,V536&lt;40,W536&gt;=45,W536&lt;95),0.2,0)+IF(AND(V536&gt;=20,V536&lt;40,W536&gt;=95,W536&lt;=150),0.17,0)+IF(AND(V536&gt;=20,V536&lt;40,W536&gt;=150),0.12,0)+IF(AND(V536&gt;=40,V536&lt;75,W536&lt;35),0.23,0)+IF(AND(V536&gt;=40,V536&lt;75,W536&gt;=35,W536&lt;75),0.2,0)+IF(AND(V536&gt;=40,V536&lt;75,W536&gt;=75,W536&lt;120),0.17,0)+IF(AND(V536&gt;=40,V536&lt;75,W536&gt;=120),0.12,0)+IF(AND(V536&gt;=75,V536&lt;175,W536&lt;35),0.23,0)+IF(AND(V536&gt;=75,V536&lt;=175,W536&gt;=35,W536&lt;65),0.2,0)+IF(AND(V536&gt;=75,V536&lt;=175,W536&gt;=65,W536&lt;110),0.17,0)+IF(AND(V536&gt;=75,V536&lt;=175,W536&gt;=110),0.12,0)+IF(AND(V536&gt;175,W536&lt;25),0.23,0)+IF(AND(V536&gt;175,W536&gt;=25,W536&lt;55),0.2,0)+IF(AND(V536&gt;175,W536&gt;=55,W536&lt;95),0.17,0)+IF(AND(V536&gt;175,W536&gt;=95),0.12,0),
IF(AF536="DoEVs1",IF(AND(V536&lt;20,W536&lt;55),0.3,0)+IF(AND(V536&lt;20,W536&gt;=55,W536&lt;105),0.23,0)+IF(AND(V536&lt;20,W536&gt;=105),0.17,0)+IF(AND(V536&gt;=20,V536&lt;40,W536&lt;45),0.3,0)+IF(AND(V536&gt;=20,V536&lt;40,W536&gt;=45,W536&lt;95),0.23,0)+IF(AND(V536&gt;=20,V536&lt;40,W536&gt;=95,W536&lt;=150),0.17,0)+IF(AND(V536&gt;=20,V536&lt;40,W536&gt;=150),0.12,0)+IF(AND(V536&gt;=40,V536&lt;75,W536&lt;35),0.3,0)+IF(AND(V536&gt;=40,V536&lt;75,W536&gt;=35,W536&lt;75),0.23,0)+IF(AND(V536&gt;=40,V536&lt;75,W536&gt;=75,W536&lt;120),0.17,0)+IF(AND(V536&gt;=40,V536&lt;75,W536&gt;=120),0.12,0)+IF(AND(V536&gt;=75,V536&lt;175,W536&lt;35),0.3,0)+IF(AND(V536&gt;=75,V536&lt;=175,W536&gt;=35,W536&lt;65),0.23,0)+IF(AND(V536&gt;=75,V536&lt;=175,W536&gt;=65,W536&lt;110),0.17,0)+IF(AND(V536&gt;=75,V536&lt;=175,W536&gt;=110),0.12,0)+IF(AND(V536&gt;175,W536&lt;25),0.3,0)+IF(AND(V536&gt;175,W536&gt;=25,W536&lt;55),0.23,0)+IF(AND(V536&gt;175,W536&gt;=55,W536&lt;95),0.17,0)+IF(AND(V536&gt;175,W536&gt;=95),0.12,0),
IF(AF536="DoEVsu",IF(AND(V536&lt;20,W536&lt;55),0.3,0)+IF(AND(V536&lt;20,W536&gt;=55,W536&lt;105),0.23,0)+IF(AND(V536&lt;20,W536&gt;=105),0.17,0)+IF(AND(V536&gt;=20,V536&lt;40,W536&lt;45),0.3,0)+IF(AND(V536&gt;=20,V536&lt;40,W536&gt;=45,W536&lt;95),0.23,0)+IF(AND(V536&gt;=20,V536&lt;40,W536&gt;=95,W536&lt;=250),0.17,0)+IF(AND(V536&gt;=20,V536&lt;40,W536&gt;=250),0.12,0)+IF(AND(V536&gt;=40,V536&lt;75,W536&lt;35),0.3,0)+IF(AND(V536&gt;=40,V536&lt;75,W536&gt;=35,W536&lt;75),0.23,0)+IF(AND(V536&gt;=40,V536&lt;75,W536&gt;=75,W536&lt;120),0.17,0)+IF(AND(V536&gt;=40,V536&lt;75,W536&gt;=120),0.12,0)+IF(AND(V536&gt;=75,V536&lt;175,W536&lt;35),0.3,0)+IF(AND(V536&gt;=75,V536&lt;=175,W536&gt;=35,W536&lt;65),0.23,0)+IF(AND(V536&gt;=75,V536&lt;=175,W536&gt;=65,W536&lt;110),0.17,0)+IF(AND(V536&gt;=75,V536&lt;=175,W536&gt;=110),0.12,0)+IF(AND(V536&gt;175,W536&lt;25),0.3,0)+IF(AND(V536&gt;175,W536&gt;=25,W536&lt;55),0.23,0)+IF(AND(V536&gt;175,W536&gt;=55,W536&lt;95),0.17,0)+IF(AND(V536&gt;175,W536&gt;=95),0.12,0),
IF(AF536="DoEVni",IF(AND(V536&lt;20,W536&lt;55),0.3,0)+IF(AND(V536&lt;20,W536&gt;=55,W536&lt;105),0.23,0)+IF(AND(V536&lt;20,W536&gt;=105),0.17,0)+IF(AND(V536&gt;=20,V536&lt;40,W536&lt;45),0.3,0)+IF(AND(V536&gt;=20,V536&lt;40,W536&gt;=45,W536&lt;95),0.23,0)+IF(AND(V536&gt;=20,V536&lt;40,W536&gt;=95,W536&lt;=200),0.17,0)+IF(AND(V536&gt;=20,V536&lt;40,W536&gt;=200),0.12,0)+IF(AND(V536&gt;=40,V536&lt;75,W536&lt;35),0.3,0)+IF(AND(V536&gt;=40,V536&lt;75,W536&gt;=35,W536&lt;75),0.23,0)+IF(AND(V536&gt;=40,V536&lt;75,W536&gt;=75,W536&lt;120),0.17,0)+IF(AND(V536&gt;=40,V536&lt;75,W536&gt;=120),0.12,0)+IF(AND(V536&gt;=75,V536&lt;175,W536&lt;35),0.3,0)+IF(AND(V536&gt;=75,V536&lt;=175,W536&gt;=35,W536&lt;65),0.23,0)+IF(AND(V536&gt;=75,V536&lt;=175,W536&gt;=65,W536&lt;110),0.17,0)+IF(AND(V536&gt;=75,V536&lt;=175,W536&gt;=110),0.12,0)+IF(AND(V536&gt;175,W536&lt;25),0.3,0)+IF(AND(V536&gt;175,W536&gt;=25,W536&lt;55),0.23,0)+IF(AND(V536&gt;175,W536&gt;=55,W536&lt;95),0.17,0)+IF(AND(V536&gt;175,W536&gt;=95),0.12,0),
IF(AF536="DoEVLo",IF(AND(V536&lt;20,W536&lt;55),0.25,0)+IF(AND(V536&lt;20,W536&gt;=55,W536&lt;105),0.2,0)+IF(AND(V536&lt;20,W536&gt;=105),0.15,0)+IF(AND(V536&gt;=20,V536&lt;40,W536&lt;45),0.25,0)+IF(AND(V536&gt;=20,V536&lt;40,W536&gt;=45,W536&lt;95),0.2,0)+IF(AND(V536&gt;=20,V536&lt;40,W536&gt;=95),0.15,0)+IF(AND(V536&gt;=40,V536&lt;75,W536&lt;35),0.25,0)+IF(AND(V536&gt;=40,V536&lt;75,W536&gt;=35,W536&lt;75),0.2,0)+IF(AND(V536&gt;=40,V536&lt;75,W536&gt;=75,W536&lt;120),0.15,0)+IF(AND(V536&gt;=40,V536&lt;75,W536&gt;=120),0.1,0)+IF(AND(V536&gt;=75,V536&lt;175,W536&lt;35),0.25,0)+IF(AND(V536&gt;=75,V536&lt;=175,W536&gt;=35,W536&lt;65),0.2,0)+IF(AND(V536&gt;=75,V536&lt;=175,W536&gt;=65,W536&lt;110),0.15,0)+IF(AND(V536&gt;=75,V536&lt;=175,W536&gt;=110),0.1,0)+IF(AND(V536&gt;175,W536&lt;25),0.25,0)+IF(AND(V536&gt;175,W536&gt;=25,W536&lt;55),0.2,0)+IF(AND(V536&gt;175,W536&gt;=55,W536&lt;95),0.15,0)+IF(AND(V536&gt;175,W536&gt;=95),0.1,0)))))))))))))))))</f>
        <v>0.1875</v>
      </c>
      <c r="Y536" s="30">
        <f>IF(AG536="None",0,IF(AG536="Fix5",0.05, IF(AG536="Fix6.25",0.0625,IF(AG536="Fix3.75",0.0375,IF(AG536="Fix10",0.1,IF(AG536="Fix3",0.03,0))))))</f>
        <v>6.25E-2</v>
      </c>
      <c r="Z536" s="35">
        <f>T536-AA536-AB536</f>
        <v>63.75</v>
      </c>
      <c r="AA536" s="29">
        <f>IF(AD536="EUR",((T536-R536)*X536)*U536+(R536*X536),(T536*X536))</f>
        <v>15.9375</v>
      </c>
      <c r="AB536" s="36">
        <f>IF(AD536="EUR",((T536-R536)*Y536)*U536+(R536*Y536),(T536*Y536))</f>
        <v>5.3125</v>
      </c>
      <c r="AC536" s="37" t="b">
        <v>1</v>
      </c>
      <c r="AD536" s="37" t="s">
        <v>38</v>
      </c>
      <c r="AE536" s="37" t="s">
        <v>38</v>
      </c>
      <c r="AF536" s="37" t="s">
        <v>146</v>
      </c>
      <c r="AG536" s="38" t="s">
        <v>147</v>
      </c>
    </row>
    <row r="537" spans="1:33" ht="14.25" hidden="1" x14ac:dyDescent="0.2">
      <c r="A537" s="18" t="str">
        <f t="array" ref="A537">IF(G537='Room Info'!$B$1, INDEX('Room Info'!$A$2:$A2446, MATCH(B537,'Room Info'!$B$2:$B2446, 0)),IF(G537='Room Info'!$C$1, INDEX('Room Info'!$A$2:$A2446, MATCH(B537,'Room Info'!$C$2:$C2446, 0)),IF(G537='Room Info'!$D$1, INDEX('Room Info'!$A$2:$A2446, MATCH(B537,'Room Info'!$D$2:$D2446, 0)),IF(G537='Room Info'!$E$1, INDEX('Room Info'!$A$2:$A2446, MATCH(B537,'Room Info'!$E$2:$E2446, 0)),IF(G537='Room Info'!$F$1, INDEX('Room Info'!$A$2:$A2446, MATCH(B537,'Room Info'!$F$2:$F2446, 0)),IF(G537='Room Info'!$H$1, INDEX('Room Info'!$A$2:$A2446, MATCH(B537,'Room Info'!$H$2:$H2446, 0)),IF(G537='Room Info'!$G$1, INDEX('Room Info'!$A$2:$A2446, MATCH(B537,'Room Info'!$G$2:$G2446, 0)))))))))</f>
        <v>benyya</v>
      </c>
      <c r="B537" s="45" t="s">
        <v>145</v>
      </c>
      <c r="C537" s="46">
        <v>44896</v>
      </c>
      <c r="D537" s="46">
        <v>44915</v>
      </c>
      <c r="E537" s="47">
        <v>44896</v>
      </c>
      <c r="F537" s="48" t="s">
        <v>49</v>
      </c>
      <c r="G537" s="54" t="s">
        <v>35</v>
      </c>
      <c r="H537" s="49" t="s">
        <v>70</v>
      </c>
      <c r="I537" s="49" t="s">
        <v>37</v>
      </c>
      <c r="J537" s="50">
        <v>100</v>
      </c>
      <c r="K537" s="51">
        <v>4</v>
      </c>
      <c r="L537" s="52">
        <v>300</v>
      </c>
      <c r="M537" s="53">
        <v>12</v>
      </c>
      <c r="N537" s="28">
        <f>K537*J537</f>
        <v>400</v>
      </c>
      <c r="O537" s="54">
        <v>898</v>
      </c>
      <c r="P537" s="29">
        <v>224.5</v>
      </c>
      <c r="Q537" s="55"/>
      <c r="R537" s="31">
        <f>M537+Q537</f>
        <v>12</v>
      </c>
      <c r="S537" s="56">
        <v>145</v>
      </c>
      <c r="T537" s="32">
        <f>R537+S537+IF(F537="Without EV deal",L537,0)</f>
        <v>157</v>
      </c>
      <c r="U537" s="57">
        <v>1</v>
      </c>
      <c r="V537" s="58">
        <v>147.51</v>
      </c>
      <c r="W537" s="58">
        <v>85</v>
      </c>
      <c r="X537" s="30">
        <f>IF(AF537="DoEV",IF(AND(V537&lt;20,W537&lt;55),0.3,0)+IF(AND(V537&lt;20,W537&gt;=55,W537&lt;105),0.23,0)+IF(AND(V537&lt;20,W537&gt;=105),0.17,0)+IF(AND(V537&gt;=20,V537&lt;40,W537&lt;45),0.3,0)+IF(AND(V537&gt;=20,V537&lt;40,W537&gt;=45,W537&lt;95),0.23,0)+IF(AND(V537&gt;=20,V537&lt;40,W537&gt;=95),0.17,0)+IF(AND(V537&gt;=40,V537&lt;75,W537&lt;35),0.3,0)+IF(AND(V537&gt;=40,V537&lt;75,W537&gt;=35,W537&lt;75),0.23,0)+IF(AND(V537&gt;=40,V537&lt;75,W537&gt;=75,W537&lt;120),0.17,0)+IF(AND(V537&gt;=40,V537&lt;75,W537&gt;=120),0.12,0)+IF(AND(V537&gt;=75,V537&lt;175,W537&lt;35),0.3,0)+IF(AND(V537&gt;=75,V537&lt;=175,W537&gt;=35,W537&lt;65),0.23,0)+IF(AND(V537&gt;=75,V537&lt;=175,W537&gt;=65,W537&lt;110),0.17,0)+IF(AND(V537&gt;=75,V537&lt;=175,W537&gt;=110),0.12,0)+IF(AND(V537&gt;175,W537&lt;25),0.3,0)+IF(AND(V537&gt;175,W537&gt;=25,W537&lt;55),0.23,0)+IF(AND(V537&gt;175,W537&gt;=55,W537&lt;95),0.17,0)+IF(AND(V537&gt;175,W537&gt;=95),0.12,0),
IF(AF537="Fix15",0.15,
IF(AF537="Fix18.75",0.1875,
IF(AF537="Fix11.25",0.1125,
IF(AF537="Fix10",0.1,
IF(AF537="Fix9",0.09,
IF(AF537="DoEV2017",IF(AND(W537&lt;74),0.2,0)+IF(AND(W537&gt;=74),0.17,0),
IF(AF537="SF",IF(AND(V537&lt;20,W537&lt;89),0.3,0)+IF(AND(V537&lt;20,W537&gt;=89),0.25,0)+IF(AND(V537&gt;=20,V537&lt;40,W537&lt;74),0.3,0)+IF(AND(V537&gt;=20,V537&lt;40,W537&gt;=75),0.22,0)+IF(AND(V537&gt;=40,V537&lt;75,W537&lt;75),0.26,0)+IF(AND(V537&gt;=40,V537&lt;75,W537&gt;=75),0.22,0)+IF(V537&gt;=75,0.22,0),
IF(AF537="DoEVold",IF(AND(V537&lt;40,W537&lt;35),0.35,0)+IF(AND(V537&lt;40,W537&gt;=35,W537&lt;75),0.25,0)+IF(AND(V537&lt;40,W537&gt;=75),0.17,0)+IF(AND(V537&gt;=40,V537&lt;75,W537&lt;25),0.35,0)+IF(AND(V537&gt;=40,V537&lt;75,W537&gt;=25,W537&lt;65),0.25,0)+IF(AND(V537&gt;=40,V537&lt;75,W537&gt;=65,W537&lt;100),0.17,0)+IF(AND(V537&gt;=40,V537&lt;75,W537&gt;=100),0.1,0)+IF(AND(V537&gt;=75,W537&lt;25),0.35,0)+IF(AND(V537&gt;=75,W537&gt;=25,W537&lt;60),0.25,0)+IF(AND(V537&gt;=75,W537&gt;=60,W537&lt;95),0.17,0)+IF(AND(V537&gt;=75,W537&gt;=95),0.1,0),
IF(AF537="DoEVold15",IF(AND(V537&lt;=40,W537&lt;35),0.35,0)+IF(AND(V537&lt;=40,W537&gt;=35,W537&lt;75),0.25,0)+IF(AND(V537&lt;=40,W537&gt;=75,W537&lt;120),0.17,0)+IF(AND(V537&lt;=40,W537&gt;=120),0.15,0)+IF(AND(V537&gt;40,V537&lt;75,W537&lt;25),0.35,0)+IF(AND(V537&gt;=40,V537&lt;75,W537&gt;=25,W537&lt;65),0.25,0)+IF(AND(V537&gt;=40,V537&lt;75,W537&gt;=65,W537&lt;100),0.17,0)+IF(AND(V537&gt;=40,V537&lt;75,W537&gt;=100),0.1,0)+IF(AND(V537&gt;=75,W537&lt;25),0.35,0)+IF(AND(V537&gt;=75,W537&gt;=25,W537&lt;60),0.25,0)+IF(AND(V537&gt;=75,W537&gt;=60,W537&lt;95),0.17,0)+IF(AND(V537&gt;=75,W537&gt;=95),0.1,0),
IF(AF537="DoEVba",IF(AND(V537&lt;20,W537&lt;105),0.2,0)+IF(AND(V537&lt;20,W537&gt;=105),0.15,0)+IF(AND(V537&gt;=20,V537&lt;40,W537&lt;95),0.2,0)+IF(AND(V537&gt;=20,V537&lt;40,W537&gt;=95,W537&lt;150),0.15,0)+IF(AND(V537&gt;=20,V537&lt;40,W537&gt;=150),0.12,0)+IF(AND(V537&gt;=40,V537&lt;75,W537&lt;75),0.2,0)+IF(AND(V537&gt;=40,V537&lt;75,W537&gt;=75,W537&lt;120),0.15,0)+IF(AND(V537&gt;=40,V537&lt;75,W537&gt;=120),0.12,0)+IF(AND(V537&gt;=75,V537&lt;175,W537&lt;65),0.2,0)+IF(AND(V537&gt;=75,V537&lt;175,W537&gt;=65,W537&lt;110),0.15,0)+IF(AND(V537&gt;=75,V537&lt;175,W537&gt;=110),0.12,0)+IF(AND(V537&gt;=175,W537&lt;55),0.2,0)+IF(AND(V537&gt;=175,W537&gt;=55,W537&lt;95),0.15,0)+IF(AND(V537&gt;=175,W537&gt;=95),0.12,0),
IF(AF537="DoEVku",IF(AND(V537&lt;20,W537&lt;55),0.23,0)+IF(AND(V537&lt;20,W537&gt;=55,W537&lt;105),0.2,0)+IF(AND(V537&lt;20,W537&gt;=105),0.17,0)+IF(AND(V537&gt;=20,V537&lt;40,W537&lt;45),0.23,0)+IF(AND(V537&gt;=20,V537&lt;40,W537&gt;=45,W537&lt;95),0.2,0)+IF(AND(V537&gt;=20,V537&lt;40,W537&gt;=95,W537&lt;=150),0.17,0)+IF(AND(V537&gt;=20,V537&lt;40,W537&gt;=150),0.12,0)+IF(AND(V537&gt;=40,V537&lt;75,W537&lt;35),0.23,0)+IF(AND(V537&gt;=40,V537&lt;75,W537&gt;=35,W537&lt;75),0.2,0)+IF(AND(V537&gt;=40,V537&lt;75,W537&gt;=75,W537&lt;120),0.17,0)+IF(AND(V537&gt;=40,V537&lt;75,W537&gt;=120),0.12,0)+IF(AND(V537&gt;=75,V537&lt;175,W537&lt;35),0.23,0)+IF(AND(V537&gt;=75,V537&lt;=175,W537&gt;=35,W537&lt;65),0.2,0)+IF(AND(V537&gt;=75,V537&lt;=175,W537&gt;=65,W537&lt;110),0.17,0)+IF(AND(V537&gt;=75,V537&lt;=175,W537&gt;=110),0.12,0)+IF(AND(V537&gt;175,W537&lt;25),0.23,0)+IF(AND(V537&gt;175,W537&gt;=25,W537&lt;55),0.2,0)+IF(AND(V537&gt;175,W537&gt;=55,W537&lt;95),0.17,0)+IF(AND(V537&gt;175,W537&gt;=95),0.12,0),
IF(AF537="DoEVs1",IF(AND(V537&lt;20,W537&lt;55),0.3,0)+IF(AND(V537&lt;20,W537&gt;=55,W537&lt;105),0.23,0)+IF(AND(V537&lt;20,W537&gt;=105),0.17,0)+IF(AND(V537&gt;=20,V537&lt;40,W537&lt;45),0.3,0)+IF(AND(V537&gt;=20,V537&lt;40,W537&gt;=45,W537&lt;95),0.23,0)+IF(AND(V537&gt;=20,V537&lt;40,W537&gt;=95,W537&lt;=150),0.17,0)+IF(AND(V537&gt;=20,V537&lt;40,W537&gt;=150),0.12,0)+IF(AND(V537&gt;=40,V537&lt;75,W537&lt;35),0.3,0)+IF(AND(V537&gt;=40,V537&lt;75,W537&gt;=35,W537&lt;75),0.23,0)+IF(AND(V537&gt;=40,V537&lt;75,W537&gt;=75,W537&lt;120),0.17,0)+IF(AND(V537&gt;=40,V537&lt;75,W537&gt;=120),0.12,0)+IF(AND(V537&gt;=75,V537&lt;175,W537&lt;35),0.3,0)+IF(AND(V537&gt;=75,V537&lt;=175,W537&gt;=35,W537&lt;65),0.23,0)+IF(AND(V537&gt;=75,V537&lt;=175,W537&gt;=65,W537&lt;110),0.17,0)+IF(AND(V537&gt;=75,V537&lt;=175,W537&gt;=110),0.12,0)+IF(AND(V537&gt;175,W537&lt;25),0.3,0)+IF(AND(V537&gt;175,W537&gt;=25,W537&lt;55),0.23,0)+IF(AND(V537&gt;175,W537&gt;=55,W537&lt;95),0.17,0)+IF(AND(V537&gt;175,W537&gt;=95),0.12,0),
IF(AF537="DoEVsu",IF(AND(V537&lt;20,W537&lt;55),0.3,0)+IF(AND(V537&lt;20,W537&gt;=55,W537&lt;105),0.23,0)+IF(AND(V537&lt;20,W537&gt;=105),0.17,0)+IF(AND(V537&gt;=20,V537&lt;40,W537&lt;45),0.3,0)+IF(AND(V537&gt;=20,V537&lt;40,W537&gt;=45,W537&lt;95),0.23,0)+IF(AND(V537&gt;=20,V537&lt;40,W537&gt;=95,W537&lt;=250),0.17,0)+IF(AND(V537&gt;=20,V537&lt;40,W537&gt;=250),0.12,0)+IF(AND(V537&gt;=40,V537&lt;75,W537&lt;35),0.3,0)+IF(AND(V537&gt;=40,V537&lt;75,W537&gt;=35,W537&lt;75),0.23,0)+IF(AND(V537&gt;=40,V537&lt;75,W537&gt;=75,W537&lt;120),0.17,0)+IF(AND(V537&gt;=40,V537&lt;75,W537&gt;=120),0.12,0)+IF(AND(V537&gt;=75,V537&lt;175,W537&lt;35),0.3,0)+IF(AND(V537&gt;=75,V537&lt;=175,W537&gt;=35,W537&lt;65),0.23,0)+IF(AND(V537&gt;=75,V537&lt;=175,W537&gt;=65,W537&lt;110),0.17,0)+IF(AND(V537&gt;=75,V537&lt;=175,W537&gt;=110),0.12,0)+IF(AND(V537&gt;175,W537&lt;25),0.3,0)+IF(AND(V537&gt;175,W537&gt;=25,W537&lt;55),0.23,0)+IF(AND(V537&gt;175,W537&gt;=55,W537&lt;95),0.17,0)+IF(AND(V537&gt;175,W537&gt;=95),0.12,0),
IF(AF537="DoEVni",IF(AND(V537&lt;20,W537&lt;55),0.3,0)+IF(AND(V537&lt;20,W537&gt;=55,W537&lt;105),0.23,0)+IF(AND(V537&lt;20,W537&gt;=105),0.17,0)+IF(AND(V537&gt;=20,V537&lt;40,W537&lt;45),0.3,0)+IF(AND(V537&gt;=20,V537&lt;40,W537&gt;=45,W537&lt;95),0.23,0)+IF(AND(V537&gt;=20,V537&lt;40,W537&gt;=95,W537&lt;=200),0.17,0)+IF(AND(V537&gt;=20,V537&lt;40,W537&gt;=200),0.12,0)+IF(AND(V537&gt;=40,V537&lt;75,W537&lt;35),0.3,0)+IF(AND(V537&gt;=40,V537&lt;75,W537&gt;=35,W537&lt;75),0.23,0)+IF(AND(V537&gt;=40,V537&lt;75,W537&gt;=75,W537&lt;120),0.17,0)+IF(AND(V537&gt;=40,V537&lt;75,W537&gt;=120),0.12,0)+IF(AND(V537&gt;=75,V537&lt;175,W537&lt;35),0.3,0)+IF(AND(V537&gt;=75,V537&lt;=175,W537&gt;=35,W537&lt;65),0.23,0)+IF(AND(V537&gt;=75,V537&lt;=175,W537&gt;=65,W537&lt;110),0.17,0)+IF(AND(V537&gt;=75,V537&lt;=175,W537&gt;=110),0.12,0)+IF(AND(V537&gt;175,W537&lt;25),0.3,0)+IF(AND(V537&gt;175,W537&gt;=25,W537&lt;55),0.23,0)+IF(AND(V537&gt;175,W537&gt;=55,W537&lt;95),0.17,0)+IF(AND(V537&gt;175,W537&gt;=95),0.12,0),
IF(AF537="DoEVLo",IF(AND(V537&lt;20,W537&lt;55),0.25,0)+IF(AND(V537&lt;20,W537&gt;=55,W537&lt;105),0.2,0)+IF(AND(V537&lt;20,W537&gt;=105),0.15,0)+IF(AND(V537&gt;=20,V537&lt;40,W537&lt;45),0.25,0)+IF(AND(V537&gt;=20,V537&lt;40,W537&gt;=45,W537&lt;95),0.2,0)+IF(AND(V537&gt;=20,V537&lt;40,W537&gt;=95),0.15,0)+IF(AND(V537&gt;=40,V537&lt;75,W537&lt;35),0.25,0)+IF(AND(V537&gt;=40,V537&lt;75,W537&gt;=35,W537&lt;75),0.2,0)+IF(AND(V537&gt;=40,V537&lt;75,W537&gt;=75,W537&lt;120),0.15,0)+IF(AND(V537&gt;=40,V537&lt;75,W537&gt;=120),0.1,0)+IF(AND(V537&gt;=75,V537&lt;175,W537&lt;35),0.25,0)+IF(AND(V537&gt;=75,V537&lt;=175,W537&gt;=35,W537&lt;65),0.2,0)+IF(AND(V537&gt;=75,V537&lt;=175,W537&gt;=65,W537&lt;110),0.15,0)+IF(AND(V537&gt;=75,V537&lt;=175,W537&gt;=110),0.1,0)+IF(AND(V537&gt;175,W537&lt;25),0.25,0)+IF(AND(V537&gt;175,W537&gt;=25,W537&lt;55),0.2,0)+IF(AND(V537&gt;175,W537&gt;=55,W537&lt;95),0.15,0)+IF(AND(V537&gt;175,W537&gt;=95),0.1,0)))))))))))))))))</f>
        <v>0.1875</v>
      </c>
      <c r="Y537" s="30">
        <f>IF(AG537="None",0,IF(AG537="Fix5",0.05, IF(AG537="Fix6.25",0.0625,IF(AG537="Fix3.75",0.0375,IF(AG537="Fix10",0.1,IF(AG537="Fix3",0.03,0))))))</f>
        <v>6.25E-2</v>
      </c>
      <c r="Z537" s="35">
        <f>T537-AA537-AB537</f>
        <v>117.75</v>
      </c>
      <c r="AA537" s="29">
        <f>IF(AD537="EUR",((T537-R537)*X537)*U537+(R537*X537),(T537*X537))</f>
        <v>29.4375</v>
      </c>
      <c r="AB537" s="36">
        <f>IF(AD537="EUR",((T537-R537)*Y537)*U537+(R537*Y537),(T537*Y537))</f>
        <v>9.8125</v>
      </c>
      <c r="AC537" s="37" t="b">
        <v>1</v>
      </c>
      <c r="AD537" s="37" t="s">
        <v>38</v>
      </c>
      <c r="AE537" s="37" t="s">
        <v>38</v>
      </c>
      <c r="AF537" s="37" t="s">
        <v>146</v>
      </c>
      <c r="AG537" s="38" t="s">
        <v>147</v>
      </c>
    </row>
    <row r="538" spans="1:33" ht="14.25" hidden="1" x14ac:dyDescent="0.2">
      <c r="A538" s="18" t="str">
        <f t="array" ref="A538">IF(G538='Room Info'!$B$1, INDEX('Room Info'!$A$2:$A2446, MATCH(B538,'Room Info'!$B$2:$B2446, 0)),IF(G538='Room Info'!$C$1, INDEX('Room Info'!$A$2:$A2446, MATCH(B538,'Room Info'!$C$2:$C2446, 0)),IF(G538='Room Info'!$D$1, INDEX('Room Info'!$A$2:$A2446, MATCH(B538,'Room Info'!$D$2:$D2446, 0)),IF(G538='Room Info'!$E$1, INDEX('Room Info'!$A$2:$A2446, MATCH(B538,'Room Info'!$E$2:$E2446, 0)),IF(G538='Room Info'!$F$1, INDEX('Room Info'!$A$2:$A2446, MATCH(B538,'Room Info'!$F$2:$F2446, 0)),IF(G538='Room Info'!$H$1, INDEX('Room Info'!$A$2:$A2446, MATCH(B538,'Room Info'!$H$2:$H2446, 0)),IF(G538='Room Info'!$G$1, INDEX('Room Info'!$A$2:$A2446, MATCH(B538,'Room Info'!$G$2:$G2446, 0)))))))))</f>
        <v>benyya</v>
      </c>
      <c r="B538" s="45" t="s">
        <v>145</v>
      </c>
      <c r="C538" s="46">
        <v>44896</v>
      </c>
      <c r="D538" s="46">
        <v>44915</v>
      </c>
      <c r="E538" s="47">
        <v>44896</v>
      </c>
      <c r="F538" s="48" t="s">
        <v>49</v>
      </c>
      <c r="G538" s="45" t="s">
        <v>35</v>
      </c>
      <c r="H538" s="49" t="s">
        <v>84</v>
      </c>
      <c r="I538" s="49" t="s">
        <v>44</v>
      </c>
      <c r="J538" s="70">
        <v>100</v>
      </c>
      <c r="K538" s="71">
        <v>2336</v>
      </c>
      <c r="L538" s="72">
        <v>-1200</v>
      </c>
      <c r="M538" s="53">
        <v>6979</v>
      </c>
      <c r="N538" s="28">
        <f>K538*J538</f>
        <v>233600</v>
      </c>
      <c r="O538" s="45">
        <v>24492</v>
      </c>
      <c r="P538" s="29">
        <v>10.484589039999999</v>
      </c>
      <c r="Q538" s="55"/>
      <c r="R538" s="31">
        <f>M538+Q538</f>
        <v>6979</v>
      </c>
      <c r="S538" s="73">
        <v>-5195</v>
      </c>
      <c r="T538" s="32">
        <f>R538+S538+IF(F538="Without EV deal",L538,0)</f>
        <v>1784</v>
      </c>
      <c r="U538" s="57">
        <v>1</v>
      </c>
      <c r="V538" s="58">
        <v>147.51</v>
      </c>
      <c r="W538" s="58">
        <v>85</v>
      </c>
      <c r="X538" s="30">
        <f>IF(AF538="DoEV",IF(AND(V538&lt;20,W538&lt;55),0.3,0)+IF(AND(V538&lt;20,W538&gt;=55,W538&lt;105),0.23,0)+IF(AND(V538&lt;20,W538&gt;=105),0.17,0)+IF(AND(V538&gt;=20,V538&lt;40,W538&lt;45),0.3,0)+IF(AND(V538&gt;=20,V538&lt;40,W538&gt;=45,W538&lt;95),0.23,0)+IF(AND(V538&gt;=20,V538&lt;40,W538&gt;=95),0.17,0)+IF(AND(V538&gt;=40,V538&lt;75,W538&lt;35),0.3,0)+IF(AND(V538&gt;=40,V538&lt;75,W538&gt;=35,W538&lt;75),0.23,0)+IF(AND(V538&gt;=40,V538&lt;75,W538&gt;=75,W538&lt;120),0.17,0)+IF(AND(V538&gt;=40,V538&lt;75,W538&gt;=120),0.12,0)+IF(AND(V538&gt;=75,V538&lt;175,W538&lt;35),0.3,0)+IF(AND(V538&gt;=75,V538&lt;=175,W538&gt;=35,W538&lt;65),0.23,0)+IF(AND(V538&gt;=75,V538&lt;=175,W538&gt;=65,W538&lt;110),0.17,0)+IF(AND(V538&gt;=75,V538&lt;=175,W538&gt;=110),0.12,0)+IF(AND(V538&gt;175,W538&lt;25),0.3,0)+IF(AND(V538&gt;175,W538&gt;=25,W538&lt;55),0.23,0)+IF(AND(V538&gt;175,W538&gt;=55,W538&lt;95),0.17,0)+IF(AND(V538&gt;175,W538&gt;=95),0.12,0),
IF(AF538="Fix15",0.15,
IF(AF538="Fix18.75",0.1875,
IF(AF538="Fix11.25",0.1125,
IF(AF538="Fix10",0.1,
IF(AF538="Fix9",0.09,
IF(AF538="DoEV2017",IF(AND(W538&lt;74),0.2,0)+IF(AND(W538&gt;=74),0.17,0),
IF(AF538="SF",IF(AND(V538&lt;20,W538&lt;89),0.3,0)+IF(AND(V538&lt;20,W538&gt;=89),0.25,0)+IF(AND(V538&gt;=20,V538&lt;40,W538&lt;74),0.3,0)+IF(AND(V538&gt;=20,V538&lt;40,W538&gt;=75),0.22,0)+IF(AND(V538&gt;=40,V538&lt;75,W538&lt;75),0.26,0)+IF(AND(V538&gt;=40,V538&lt;75,W538&gt;=75),0.22,0)+IF(V538&gt;=75,0.22,0),
IF(AF538="DoEVold",IF(AND(V538&lt;40,W538&lt;35),0.35,0)+IF(AND(V538&lt;40,W538&gt;=35,W538&lt;75),0.25,0)+IF(AND(V538&lt;40,W538&gt;=75),0.17,0)+IF(AND(V538&gt;=40,V538&lt;75,W538&lt;25),0.35,0)+IF(AND(V538&gt;=40,V538&lt;75,W538&gt;=25,W538&lt;65),0.25,0)+IF(AND(V538&gt;=40,V538&lt;75,W538&gt;=65,W538&lt;100),0.17,0)+IF(AND(V538&gt;=40,V538&lt;75,W538&gt;=100),0.1,0)+IF(AND(V538&gt;=75,W538&lt;25),0.35,0)+IF(AND(V538&gt;=75,W538&gt;=25,W538&lt;60),0.25,0)+IF(AND(V538&gt;=75,W538&gt;=60,W538&lt;95),0.17,0)+IF(AND(V538&gt;=75,W538&gt;=95),0.1,0),
IF(AF538="DoEVold15",IF(AND(V538&lt;=40,W538&lt;35),0.35,0)+IF(AND(V538&lt;=40,W538&gt;=35,W538&lt;75),0.25,0)+IF(AND(V538&lt;=40,W538&gt;=75,W538&lt;120),0.17,0)+IF(AND(V538&lt;=40,W538&gt;=120),0.15,0)+IF(AND(V538&gt;40,V538&lt;75,W538&lt;25),0.35,0)+IF(AND(V538&gt;=40,V538&lt;75,W538&gt;=25,W538&lt;65),0.25,0)+IF(AND(V538&gt;=40,V538&lt;75,W538&gt;=65,W538&lt;100),0.17,0)+IF(AND(V538&gt;=40,V538&lt;75,W538&gt;=100),0.1,0)+IF(AND(V538&gt;=75,W538&lt;25),0.35,0)+IF(AND(V538&gt;=75,W538&gt;=25,W538&lt;60),0.25,0)+IF(AND(V538&gt;=75,W538&gt;=60,W538&lt;95),0.17,0)+IF(AND(V538&gt;=75,W538&gt;=95),0.1,0),
IF(AF538="DoEVba",IF(AND(V538&lt;20,W538&lt;105),0.2,0)+IF(AND(V538&lt;20,W538&gt;=105),0.15,0)+IF(AND(V538&gt;=20,V538&lt;40,W538&lt;95),0.2,0)+IF(AND(V538&gt;=20,V538&lt;40,W538&gt;=95,W538&lt;150),0.15,0)+IF(AND(V538&gt;=20,V538&lt;40,W538&gt;=150),0.12,0)+IF(AND(V538&gt;=40,V538&lt;75,W538&lt;75),0.2,0)+IF(AND(V538&gt;=40,V538&lt;75,W538&gt;=75,W538&lt;120),0.15,0)+IF(AND(V538&gt;=40,V538&lt;75,W538&gt;=120),0.12,0)+IF(AND(V538&gt;=75,V538&lt;175,W538&lt;65),0.2,0)+IF(AND(V538&gt;=75,V538&lt;175,W538&gt;=65,W538&lt;110),0.15,0)+IF(AND(V538&gt;=75,V538&lt;175,W538&gt;=110),0.12,0)+IF(AND(V538&gt;=175,W538&lt;55),0.2,0)+IF(AND(V538&gt;=175,W538&gt;=55,W538&lt;95),0.15,0)+IF(AND(V538&gt;=175,W538&gt;=95),0.12,0),
IF(AF538="DoEVku",IF(AND(V538&lt;20,W538&lt;55),0.23,0)+IF(AND(V538&lt;20,W538&gt;=55,W538&lt;105),0.2,0)+IF(AND(V538&lt;20,W538&gt;=105),0.17,0)+IF(AND(V538&gt;=20,V538&lt;40,W538&lt;45),0.23,0)+IF(AND(V538&gt;=20,V538&lt;40,W538&gt;=45,W538&lt;95),0.2,0)+IF(AND(V538&gt;=20,V538&lt;40,W538&gt;=95,W538&lt;=150),0.17,0)+IF(AND(V538&gt;=20,V538&lt;40,W538&gt;=150),0.12,0)+IF(AND(V538&gt;=40,V538&lt;75,W538&lt;35),0.23,0)+IF(AND(V538&gt;=40,V538&lt;75,W538&gt;=35,W538&lt;75),0.2,0)+IF(AND(V538&gt;=40,V538&lt;75,W538&gt;=75,W538&lt;120),0.17,0)+IF(AND(V538&gt;=40,V538&lt;75,W538&gt;=120),0.12,0)+IF(AND(V538&gt;=75,V538&lt;175,W538&lt;35),0.23,0)+IF(AND(V538&gt;=75,V538&lt;=175,W538&gt;=35,W538&lt;65),0.2,0)+IF(AND(V538&gt;=75,V538&lt;=175,W538&gt;=65,W538&lt;110),0.17,0)+IF(AND(V538&gt;=75,V538&lt;=175,W538&gt;=110),0.12,0)+IF(AND(V538&gt;175,W538&lt;25),0.23,0)+IF(AND(V538&gt;175,W538&gt;=25,W538&lt;55),0.2,0)+IF(AND(V538&gt;175,W538&gt;=55,W538&lt;95),0.17,0)+IF(AND(V538&gt;175,W538&gt;=95),0.12,0),
IF(AF538="DoEVs1",IF(AND(V538&lt;20,W538&lt;55),0.3,0)+IF(AND(V538&lt;20,W538&gt;=55,W538&lt;105),0.23,0)+IF(AND(V538&lt;20,W538&gt;=105),0.17,0)+IF(AND(V538&gt;=20,V538&lt;40,W538&lt;45),0.3,0)+IF(AND(V538&gt;=20,V538&lt;40,W538&gt;=45,W538&lt;95),0.23,0)+IF(AND(V538&gt;=20,V538&lt;40,W538&gt;=95,W538&lt;=150),0.17,0)+IF(AND(V538&gt;=20,V538&lt;40,W538&gt;=150),0.12,0)+IF(AND(V538&gt;=40,V538&lt;75,W538&lt;35),0.3,0)+IF(AND(V538&gt;=40,V538&lt;75,W538&gt;=35,W538&lt;75),0.23,0)+IF(AND(V538&gt;=40,V538&lt;75,W538&gt;=75,W538&lt;120),0.17,0)+IF(AND(V538&gt;=40,V538&lt;75,W538&gt;=120),0.12,0)+IF(AND(V538&gt;=75,V538&lt;175,W538&lt;35),0.3,0)+IF(AND(V538&gt;=75,V538&lt;=175,W538&gt;=35,W538&lt;65),0.23,0)+IF(AND(V538&gt;=75,V538&lt;=175,W538&gt;=65,W538&lt;110),0.17,0)+IF(AND(V538&gt;=75,V538&lt;=175,W538&gt;=110),0.12,0)+IF(AND(V538&gt;175,W538&lt;25),0.3,0)+IF(AND(V538&gt;175,W538&gt;=25,W538&lt;55),0.23,0)+IF(AND(V538&gt;175,W538&gt;=55,W538&lt;95),0.17,0)+IF(AND(V538&gt;175,W538&gt;=95),0.12,0),
IF(AF538="DoEVsu",IF(AND(V538&lt;20,W538&lt;55),0.3,0)+IF(AND(V538&lt;20,W538&gt;=55,W538&lt;105),0.23,0)+IF(AND(V538&lt;20,W538&gt;=105),0.17,0)+IF(AND(V538&gt;=20,V538&lt;40,W538&lt;45),0.3,0)+IF(AND(V538&gt;=20,V538&lt;40,W538&gt;=45,W538&lt;95),0.23,0)+IF(AND(V538&gt;=20,V538&lt;40,W538&gt;=95,W538&lt;=250),0.17,0)+IF(AND(V538&gt;=20,V538&lt;40,W538&gt;=250),0.12,0)+IF(AND(V538&gt;=40,V538&lt;75,W538&lt;35),0.3,0)+IF(AND(V538&gt;=40,V538&lt;75,W538&gt;=35,W538&lt;75),0.23,0)+IF(AND(V538&gt;=40,V538&lt;75,W538&gt;=75,W538&lt;120),0.17,0)+IF(AND(V538&gt;=40,V538&lt;75,W538&gt;=120),0.12,0)+IF(AND(V538&gt;=75,V538&lt;175,W538&lt;35),0.3,0)+IF(AND(V538&gt;=75,V538&lt;=175,W538&gt;=35,W538&lt;65),0.23,0)+IF(AND(V538&gt;=75,V538&lt;=175,W538&gt;=65,W538&lt;110),0.17,0)+IF(AND(V538&gt;=75,V538&lt;=175,W538&gt;=110),0.12,0)+IF(AND(V538&gt;175,W538&lt;25),0.3,0)+IF(AND(V538&gt;175,W538&gt;=25,W538&lt;55),0.23,0)+IF(AND(V538&gt;175,W538&gt;=55,W538&lt;95),0.17,0)+IF(AND(V538&gt;175,W538&gt;=95),0.12,0),
IF(AF538="DoEVni",IF(AND(V538&lt;20,W538&lt;55),0.3,0)+IF(AND(V538&lt;20,W538&gt;=55,W538&lt;105),0.23,0)+IF(AND(V538&lt;20,W538&gt;=105),0.17,0)+IF(AND(V538&gt;=20,V538&lt;40,W538&lt;45),0.3,0)+IF(AND(V538&gt;=20,V538&lt;40,W538&gt;=45,W538&lt;95),0.23,0)+IF(AND(V538&gt;=20,V538&lt;40,W538&gt;=95,W538&lt;=200),0.17,0)+IF(AND(V538&gt;=20,V538&lt;40,W538&gt;=200),0.12,0)+IF(AND(V538&gt;=40,V538&lt;75,W538&lt;35),0.3,0)+IF(AND(V538&gt;=40,V538&lt;75,W538&gt;=35,W538&lt;75),0.23,0)+IF(AND(V538&gt;=40,V538&lt;75,W538&gt;=75,W538&lt;120),0.17,0)+IF(AND(V538&gt;=40,V538&lt;75,W538&gt;=120),0.12,0)+IF(AND(V538&gt;=75,V538&lt;175,W538&lt;35),0.3,0)+IF(AND(V538&gt;=75,V538&lt;=175,W538&gt;=35,W538&lt;65),0.23,0)+IF(AND(V538&gt;=75,V538&lt;=175,W538&gt;=65,W538&lt;110),0.17,0)+IF(AND(V538&gt;=75,V538&lt;=175,W538&gt;=110),0.12,0)+IF(AND(V538&gt;175,W538&lt;25),0.3,0)+IF(AND(V538&gt;175,W538&gt;=25,W538&lt;55),0.23,0)+IF(AND(V538&gt;175,W538&gt;=55,W538&lt;95),0.17,0)+IF(AND(V538&gt;175,W538&gt;=95),0.12,0),
IF(AF538="DoEVLo",IF(AND(V538&lt;20,W538&lt;55),0.25,0)+IF(AND(V538&lt;20,W538&gt;=55,W538&lt;105),0.2,0)+IF(AND(V538&lt;20,W538&gt;=105),0.15,0)+IF(AND(V538&gt;=20,V538&lt;40,W538&lt;45),0.25,0)+IF(AND(V538&gt;=20,V538&lt;40,W538&gt;=45,W538&lt;95),0.2,0)+IF(AND(V538&gt;=20,V538&lt;40,W538&gt;=95),0.15,0)+IF(AND(V538&gt;=40,V538&lt;75,W538&lt;35),0.25,0)+IF(AND(V538&gt;=40,V538&lt;75,W538&gt;=35,W538&lt;75),0.2,0)+IF(AND(V538&gt;=40,V538&lt;75,W538&gt;=75,W538&lt;120),0.15,0)+IF(AND(V538&gt;=40,V538&lt;75,W538&gt;=120),0.1,0)+IF(AND(V538&gt;=75,V538&lt;175,W538&lt;35),0.25,0)+IF(AND(V538&gt;=75,V538&lt;=175,W538&gt;=35,W538&lt;65),0.2,0)+IF(AND(V538&gt;=75,V538&lt;=175,W538&gt;=65,W538&lt;110),0.15,0)+IF(AND(V538&gt;=75,V538&lt;=175,W538&gt;=110),0.1,0)+IF(AND(V538&gt;175,W538&lt;25),0.25,0)+IF(AND(V538&gt;175,W538&gt;=25,W538&lt;55),0.2,0)+IF(AND(V538&gt;175,W538&gt;=55,W538&lt;95),0.15,0)+IF(AND(V538&gt;175,W538&gt;=95),0.1,0)))))))))))))))))</f>
        <v>0.1875</v>
      </c>
      <c r="Y538" s="30">
        <f>IF(AG538="None",0,IF(AG538="Fix5",0.05, IF(AG538="Fix6.25",0.0625,IF(AG538="Fix3.75",0.0375,IF(AG538="Fix10",0.1,IF(AG538="Fix3",0.03,0))))))</f>
        <v>6.25E-2</v>
      </c>
      <c r="Z538" s="35">
        <f>T538-AA538-AB538</f>
        <v>1338</v>
      </c>
      <c r="AA538" s="29">
        <f>IF(AD538="EUR",((T538-R538)*X538)*U538+(R538*X538),(T538*X538))</f>
        <v>334.5</v>
      </c>
      <c r="AB538" s="36">
        <f>IF(AD538="EUR",((T538-R538)*Y538)*U538+(R538*Y538),(T538*Y538))</f>
        <v>111.5</v>
      </c>
      <c r="AC538" s="37" t="b">
        <v>1</v>
      </c>
      <c r="AD538" s="37" t="s">
        <v>38</v>
      </c>
      <c r="AE538" s="37" t="s">
        <v>38</v>
      </c>
      <c r="AF538" s="37" t="s">
        <v>146</v>
      </c>
      <c r="AG538" s="38" t="s">
        <v>147</v>
      </c>
    </row>
    <row r="539" spans="1:33" ht="14.25" hidden="1" x14ac:dyDescent="0.2">
      <c r="A539" s="18" t="str">
        <f t="array" ref="A539">IF(G539='Room Info'!$B$1, INDEX('Room Info'!$A$2:$A2446, MATCH(B539,'Room Info'!$B$2:$B2446, 0)),IF(G539='Room Info'!$C$1, INDEX('Room Info'!$A$2:$A2446, MATCH(B539,'Room Info'!$C$2:$C2446, 0)),IF(G539='Room Info'!$D$1, INDEX('Room Info'!$A$2:$A2446, MATCH(B539,'Room Info'!$D$2:$D2446, 0)),IF(G539='Room Info'!$E$1, INDEX('Room Info'!$A$2:$A2446, MATCH(B539,'Room Info'!$E$2:$E2446, 0)),IF(G539='Room Info'!$F$1, INDEX('Room Info'!$A$2:$A2446, MATCH(B539,'Room Info'!$F$2:$F2446, 0)),IF(G539='Room Info'!$H$1, INDEX('Room Info'!$A$2:$A2446, MATCH(B539,'Room Info'!$H$2:$H2446, 0)),IF(G539='Room Info'!$G$1, INDEX('Room Info'!$A$2:$A2446, MATCH(B539,'Room Info'!$G$2:$G2446, 0)))))))))</f>
        <v>benyya</v>
      </c>
      <c r="B539" s="45" t="s">
        <v>145</v>
      </c>
      <c r="C539" s="46">
        <v>44896</v>
      </c>
      <c r="D539" s="46">
        <v>44915</v>
      </c>
      <c r="E539" s="47">
        <v>44896</v>
      </c>
      <c r="F539" s="48" t="s">
        <v>49</v>
      </c>
      <c r="G539" s="45" t="s">
        <v>35</v>
      </c>
      <c r="H539" s="49" t="s">
        <v>88</v>
      </c>
      <c r="I539" s="49" t="s">
        <v>37</v>
      </c>
      <c r="J539" s="70">
        <v>250</v>
      </c>
      <c r="K539" s="71">
        <v>794</v>
      </c>
      <c r="L539" s="72">
        <v>-8750</v>
      </c>
      <c r="M539" s="53">
        <v>5931</v>
      </c>
      <c r="N539" s="28">
        <f>K539*J539</f>
        <v>198500</v>
      </c>
      <c r="O539" s="45">
        <v>10366</v>
      </c>
      <c r="P539" s="29">
        <v>13.05541562</v>
      </c>
      <c r="Q539" s="55"/>
      <c r="R539" s="31">
        <f>M539+Q539</f>
        <v>5931</v>
      </c>
      <c r="S539" s="73">
        <v>-5569</v>
      </c>
      <c r="T539" s="32">
        <f>R539+S539+IF(F539="Without EV deal",L539,0)</f>
        <v>362</v>
      </c>
      <c r="U539" s="57">
        <v>1</v>
      </c>
      <c r="V539" s="58">
        <v>147.51</v>
      </c>
      <c r="W539" s="58">
        <v>85</v>
      </c>
      <c r="X539" s="30">
        <f>IF(AF539="DoEV",IF(AND(V539&lt;20,W539&lt;55),0.3,0)+IF(AND(V539&lt;20,W539&gt;=55,W539&lt;105),0.23,0)+IF(AND(V539&lt;20,W539&gt;=105),0.17,0)+IF(AND(V539&gt;=20,V539&lt;40,W539&lt;45),0.3,0)+IF(AND(V539&gt;=20,V539&lt;40,W539&gt;=45,W539&lt;95),0.23,0)+IF(AND(V539&gt;=20,V539&lt;40,W539&gt;=95),0.17,0)+IF(AND(V539&gt;=40,V539&lt;75,W539&lt;35),0.3,0)+IF(AND(V539&gt;=40,V539&lt;75,W539&gt;=35,W539&lt;75),0.23,0)+IF(AND(V539&gt;=40,V539&lt;75,W539&gt;=75,W539&lt;120),0.17,0)+IF(AND(V539&gt;=40,V539&lt;75,W539&gt;=120),0.12,0)+IF(AND(V539&gt;=75,V539&lt;175,W539&lt;35),0.3,0)+IF(AND(V539&gt;=75,V539&lt;=175,W539&gt;=35,W539&lt;65),0.23,0)+IF(AND(V539&gt;=75,V539&lt;=175,W539&gt;=65,W539&lt;110),0.17,0)+IF(AND(V539&gt;=75,V539&lt;=175,W539&gt;=110),0.12,0)+IF(AND(V539&gt;175,W539&lt;25),0.3,0)+IF(AND(V539&gt;175,W539&gt;=25,W539&lt;55),0.23,0)+IF(AND(V539&gt;175,W539&gt;=55,W539&lt;95),0.17,0)+IF(AND(V539&gt;175,W539&gt;=95),0.12,0),
IF(AF539="Fix15",0.15,
IF(AF539="Fix18.75",0.1875,
IF(AF539="Fix11.25",0.1125,
IF(AF539="Fix10",0.1,
IF(AF539="Fix9",0.09,
IF(AF539="DoEV2017",IF(AND(W539&lt;74),0.2,0)+IF(AND(W539&gt;=74),0.17,0),
IF(AF539="SF",IF(AND(V539&lt;20,W539&lt;89),0.3,0)+IF(AND(V539&lt;20,W539&gt;=89),0.25,0)+IF(AND(V539&gt;=20,V539&lt;40,W539&lt;74),0.3,0)+IF(AND(V539&gt;=20,V539&lt;40,W539&gt;=75),0.22,0)+IF(AND(V539&gt;=40,V539&lt;75,W539&lt;75),0.26,0)+IF(AND(V539&gt;=40,V539&lt;75,W539&gt;=75),0.22,0)+IF(V539&gt;=75,0.22,0),
IF(AF539="DoEVold",IF(AND(V539&lt;40,W539&lt;35),0.35,0)+IF(AND(V539&lt;40,W539&gt;=35,W539&lt;75),0.25,0)+IF(AND(V539&lt;40,W539&gt;=75),0.17,0)+IF(AND(V539&gt;=40,V539&lt;75,W539&lt;25),0.35,0)+IF(AND(V539&gt;=40,V539&lt;75,W539&gt;=25,W539&lt;65),0.25,0)+IF(AND(V539&gt;=40,V539&lt;75,W539&gt;=65,W539&lt;100),0.17,0)+IF(AND(V539&gt;=40,V539&lt;75,W539&gt;=100),0.1,0)+IF(AND(V539&gt;=75,W539&lt;25),0.35,0)+IF(AND(V539&gt;=75,W539&gt;=25,W539&lt;60),0.25,0)+IF(AND(V539&gt;=75,W539&gt;=60,W539&lt;95),0.17,0)+IF(AND(V539&gt;=75,W539&gt;=95),0.1,0),
IF(AF539="DoEVold15",IF(AND(V539&lt;=40,W539&lt;35),0.35,0)+IF(AND(V539&lt;=40,W539&gt;=35,W539&lt;75),0.25,0)+IF(AND(V539&lt;=40,W539&gt;=75,W539&lt;120),0.17,0)+IF(AND(V539&lt;=40,W539&gt;=120),0.15,0)+IF(AND(V539&gt;40,V539&lt;75,W539&lt;25),0.35,0)+IF(AND(V539&gt;=40,V539&lt;75,W539&gt;=25,W539&lt;65),0.25,0)+IF(AND(V539&gt;=40,V539&lt;75,W539&gt;=65,W539&lt;100),0.17,0)+IF(AND(V539&gt;=40,V539&lt;75,W539&gt;=100),0.1,0)+IF(AND(V539&gt;=75,W539&lt;25),0.35,0)+IF(AND(V539&gt;=75,W539&gt;=25,W539&lt;60),0.25,0)+IF(AND(V539&gt;=75,W539&gt;=60,W539&lt;95),0.17,0)+IF(AND(V539&gt;=75,W539&gt;=95),0.1,0),
IF(AF539="DoEVba",IF(AND(V539&lt;20,W539&lt;105),0.2,0)+IF(AND(V539&lt;20,W539&gt;=105),0.15,0)+IF(AND(V539&gt;=20,V539&lt;40,W539&lt;95),0.2,0)+IF(AND(V539&gt;=20,V539&lt;40,W539&gt;=95,W539&lt;150),0.15,0)+IF(AND(V539&gt;=20,V539&lt;40,W539&gt;=150),0.12,0)+IF(AND(V539&gt;=40,V539&lt;75,W539&lt;75),0.2,0)+IF(AND(V539&gt;=40,V539&lt;75,W539&gt;=75,W539&lt;120),0.15,0)+IF(AND(V539&gt;=40,V539&lt;75,W539&gt;=120),0.12,0)+IF(AND(V539&gt;=75,V539&lt;175,W539&lt;65),0.2,0)+IF(AND(V539&gt;=75,V539&lt;175,W539&gt;=65,W539&lt;110),0.15,0)+IF(AND(V539&gt;=75,V539&lt;175,W539&gt;=110),0.12,0)+IF(AND(V539&gt;=175,W539&lt;55),0.2,0)+IF(AND(V539&gt;=175,W539&gt;=55,W539&lt;95),0.15,0)+IF(AND(V539&gt;=175,W539&gt;=95),0.12,0),
IF(AF539="DoEVku",IF(AND(V539&lt;20,W539&lt;55),0.23,0)+IF(AND(V539&lt;20,W539&gt;=55,W539&lt;105),0.2,0)+IF(AND(V539&lt;20,W539&gt;=105),0.17,0)+IF(AND(V539&gt;=20,V539&lt;40,W539&lt;45),0.23,0)+IF(AND(V539&gt;=20,V539&lt;40,W539&gt;=45,W539&lt;95),0.2,0)+IF(AND(V539&gt;=20,V539&lt;40,W539&gt;=95,W539&lt;=150),0.17,0)+IF(AND(V539&gt;=20,V539&lt;40,W539&gt;=150),0.12,0)+IF(AND(V539&gt;=40,V539&lt;75,W539&lt;35),0.23,0)+IF(AND(V539&gt;=40,V539&lt;75,W539&gt;=35,W539&lt;75),0.2,0)+IF(AND(V539&gt;=40,V539&lt;75,W539&gt;=75,W539&lt;120),0.17,0)+IF(AND(V539&gt;=40,V539&lt;75,W539&gt;=120),0.12,0)+IF(AND(V539&gt;=75,V539&lt;175,W539&lt;35),0.23,0)+IF(AND(V539&gt;=75,V539&lt;=175,W539&gt;=35,W539&lt;65),0.2,0)+IF(AND(V539&gt;=75,V539&lt;=175,W539&gt;=65,W539&lt;110),0.17,0)+IF(AND(V539&gt;=75,V539&lt;=175,W539&gt;=110),0.12,0)+IF(AND(V539&gt;175,W539&lt;25),0.23,0)+IF(AND(V539&gt;175,W539&gt;=25,W539&lt;55),0.2,0)+IF(AND(V539&gt;175,W539&gt;=55,W539&lt;95),0.17,0)+IF(AND(V539&gt;175,W539&gt;=95),0.12,0),
IF(AF539="DoEVs1",IF(AND(V539&lt;20,W539&lt;55),0.3,0)+IF(AND(V539&lt;20,W539&gt;=55,W539&lt;105),0.23,0)+IF(AND(V539&lt;20,W539&gt;=105),0.17,0)+IF(AND(V539&gt;=20,V539&lt;40,W539&lt;45),0.3,0)+IF(AND(V539&gt;=20,V539&lt;40,W539&gt;=45,W539&lt;95),0.23,0)+IF(AND(V539&gt;=20,V539&lt;40,W539&gt;=95,W539&lt;=150),0.17,0)+IF(AND(V539&gt;=20,V539&lt;40,W539&gt;=150),0.12,0)+IF(AND(V539&gt;=40,V539&lt;75,W539&lt;35),0.3,0)+IF(AND(V539&gt;=40,V539&lt;75,W539&gt;=35,W539&lt;75),0.23,0)+IF(AND(V539&gt;=40,V539&lt;75,W539&gt;=75,W539&lt;120),0.17,0)+IF(AND(V539&gt;=40,V539&lt;75,W539&gt;=120),0.12,0)+IF(AND(V539&gt;=75,V539&lt;175,W539&lt;35),0.3,0)+IF(AND(V539&gt;=75,V539&lt;=175,W539&gt;=35,W539&lt;65),0.23,0)+IF(AND(V539&gt;=75,V539&lt;=175,W539&gt;=65,W539&lt;110),0.17,0)+IF(AND(V539&gt;=75,V539&lt;=175,W539&gt;=110),0.12,0)+IF(AND(V539&gt;175,W539&lt;25),0.3,0)+IF(AND(V539&gt;175,W539&gt;=25,W539&lt;55),0.23,0)+IF(AND(V539&gt;175,W539&gt;=55,W539&lt;95),0.17,0)+IF(AND(V539&gt;175,W539&gt;=95),0.12,0),
IF(AF539="DoEVsu",IF(AND(V539&lt;20,W539&lt;55),0.3,0)+IF(AND(V539&lt;20,W539&gt;=55,W539&lt;105),0.23,0)+IF(AND(V539&lt;20,W539&gt;=105),0.17,0)+IF(AND(V539&gt;=20,V539&lt;40,W539&lt;45),0.3,0)+IF(AND(V539&gt;=20,V539&lt;40,W539&gt;=45,W539&lt;95),0.23,0)+IF(AND(V539&gt;=20,V539&lt;40,W539&gt;=95,W539&lt;=250),0.17,0)+IF(AND(V539&gt;=20,V539&lt;40,W539&gt;=250),0.12,0)+IF(AND(V539&gt;=40,V539&lt;75,W539&lt;35),0.3,0)+IF(AND(V539&gt;=40,V539&lt;75,W539&gt;=35,W539&lt;75),0.23,0)+IF(AND(V539&gt;=40,V539&lt;75,W539&gt;=75,W539&lt;120),0.17,0)+IF(AND(V539&gt;=40,V539&lt;75,W539&gt;=120),0.12,0)+IF(AND(V539&gt;=75,V539&lt;175,W539&lt;35),0.3,0)+IF(AND(V539&gt;=75,V539&lt;=175,W539&gt;=35,W539&lt;65),0.23,0)+IF(AND(V539&gt;=75,V539&lt;=175,W539&gt;=65,W539&lt;110),0.17,0)+IF(AND(V539&gt;=75,V539&lt;=175,W539&gt;=110),0.12,0)+IF(AND(V539&gt;175,W539&lt;25),0.3,0)+IF(AND(V539&gt;175,W539&gt;=25,W539&lt;55),0.23,0)+IF(AND(V539&gt;175,W539&gt;=55,W539&lt;95),0.17,0)+IF(AND(V539&gt;175,W539&gt;=95),0.12,0),
IF(AF539="DoEVni",IF(AND(V539&lt;20,W539&lt;55),0.3,0)+IF(AND(V539&lt;20,W539&gt;=55,W539&lt;105),0.23,0)+IF(AND(V539&lt;20,W539&gt;=105),0.17,0)+IF(AND(V539&gt;=20,V539&lt;40,W539&lt;45),0.3,0)+IF(AND(V539&gt;=20,V539&lt;40,W539&gt;=45,W539&lt;95),0.23,0)+IF(AND(V539&gt;=20,V539&lt;40,W539&gt;=95,W539&lt;=200),0.17,0)+IF(AND(V539&gt;=20,V539&lt;40,W539&gt;=200),0.12,0)+IF(AND(V539&gt;=40,V539&lt;75,W539&lt;35),0.3,0)+IF(AND(V539&gt;=40,V539&lt;75,W539&gt;=35,W539&lt;75),0.23,0)+IF(AND(V539&gt;=40,V539&lt;75,W539&gt;=75,W539&lt;120),0.17,0)+IF(AND(V539&gt;=40,V539&lt;75,W539&gt;=120),0.12,0)+IF(AND(V539&gt;=75,V539&lt;175,W539&lt;35),0.3,0)+IF(AND(V539&gt;=75,V539&lt;=175,W539&gt;=35,W539&lt;65),0.23,0)+IF(AND(V539&gt;=75,V539&lt;=175,W539&gt;=65,W539&lt;110),0.17,0)+IF(AND(V539&gt;=75,V539&lt;=175,W539&gt;=110),0.12,0)+IF(AND(V539&gt;175,W539&lt;25),0.3,0)+IF(AND(V539&gt;175,W539&gt;=25,W539&lt;55),0.23,0)+IF(AND(V539&gt;175,W539&gt;=55,W539&lt;95),0.17,0)+IF(AND(V539&gt;175,W539&gt;=95),0.12,0),
IF(AF539="DoEVLo",IF(AND(V539&lt;20,W539&lt;55),0.25,0)+IF(AND(V539&lt;20,W539&gt;=55,W539&lt;105),0.2,0)+IF(AND(V539&lt;20,W539&gt;=105),0.15,0)+IF(AND(V539&gt;=20,V539&lt;40,W539&lt;45),0.25,0)+IF(AND(V539&gt;=20,V539&lt;40,W539&gt;=45,W539&lt;95),0.2,0)+IF(AND(V539&gt;=20,V539&lt;40,W539&gt;=95),0.15,0)+IF(AND(V539&gt;=40,V539&lt;75,W539&lt;35),0.25,0)+IF(AND(V539&gt;=40,V539&lt;75,W539&gt;=35,W539&lt;75),0.2,0)+IF(AND(V539&gt;=40,V539&lt;75,W539&gt;=75,W539&lt;120),0.15,0)+IF(AND(V539&gt;=40,V539&lt;75,W539&gt;=120),0.1,0)+IF(AND(V539&gt;=75,V539&lt;175,W539&lt;35),0.25,0)+IF(AND(V539&gt;=75,V539&lt;=175,W539&gt;=35,W539&lt;65),0.2,0)+IF(AND(V539&gt;=75,V539&lt;=175,W539&gt;=65,W539&lt;110),0.15,0)+IF(AND(V539&gt;=75,V539&lt;=175,W539&gt;=110),0.1,0)+IF(AND(V539&gt;175,W539&lt;25),0.25,0)+IF(AND(V539&gt;175,W539&gt;=25,W539&lt;55),0.2,0)+IF(AND(V539&gt;175,W539&gt;=55,W539&lt;95),0.15,0)+IF(AND(V539&gt;175,W539&gt;=95),0.1,0)))))))))))))))))</f>
        <v>0.1875</v>
      </c>
      <c r="Y539" s="30">
        <f>IF(AG539="None",0,IF(AG539="Fix5",0.05, IF(AG539="Fix6.25",0.0625,IF(AG539="Fix3.75",0.0375,IF(AG539="Fix10",0.1,IF(AG539="Fix3",0.03,0))))))</f>
        <v>6.25E-2</v>
      </c>
      <c r="Z539" s="35">
        <f>T539-AA539-AB539</f>
        <v>271.5</v>
      </c>
      <c r="AA539" s="29">
        <f>IF(AD539="EUR",((T539-R539)*X539)*U539+(R539*X539),(T539*X539))</f>
        <v>67.875</v>
      </c>
      <c r="AB539" s="36">
        <f>IF(AD539="EUR",((T539-R539)*Y539)*U539+(R539*Y539),(T539*Y539))</f>
        <v>22.625</v>
      </c>
      <c r="AC539" s="37" t="b">
        <v>1</v>
      </c>
      <c r="AD539" s="37" t="s">
        <v>38</v>
      </c>
      <c r="AE539" s="37" t="s">
        <v>38</v>
      </c>
      <c r="AF539" s="37" t="s">
        <v>146</v>
      </c>
      <c r="AG539" s="38" t="s">
        <v>147</v>
      </c>
    </row>
    <row r="540" spans="1:33" ht="14.25" hidden="1" x14ac:dyDescent="0.2">
      <c r="A540" s="18" t="str">
        <f t="array" ref="A540">IF(G540='Room Info'!$B$1, INDEX('Room Info'!$A$2:$A2446, MATCH(B540,'Room Info'!$B$2:$B2446, 0)),IF(G540='Room Info'!$C$1, INDEX('Room Info'!$A$2:$A2446, MATCH(B540,'Room Info'!$C$2:$C2446, 0)),IF(G540='Room Info'!$D$1, INDEX('Room Info'!$A$2:$A2446, MATCH(B540,'Room Info'!$D$2:$D2446, 0)),IF(G540='Room Info'!$E$1, INDEX('Room Info'!$A$2:$A2446, MATCH(B540,'Room Info'!$E$2:$E2446, 0)),IF(G540='Room Info'!$F$1, INDEX('Room Info'!$A$2:$A2446, MATCH(B540,'Room Info'!$F$2:$F2446, 0)),IF(G540='Room Info'!$H$1, INDEX('Room Info'!$A$2:$A2446, MATCH(B540,'Room Info'!$H$2:$H2446, 0)),IF(G540='Room Info'!$G$1, INDEX('Room Info'!$A$2:$A2446, MATCH(B540,'Room Info'!$G$2:$G2446, 0)))))))))</f>
        <v>benyya</v>
      </c>
      <c r="B540" s="45" t="s">
        <v>145</v>
      </c>
      <c r="C540" s="46">
        <v>44896</v>
      </c>
      <c r="D540" s="46">
        <v>44915</v>
      </c>
      <c r="E540" s="47">
        <v>44896</v>
      </c>
      <c r="F540" s="48" t="s">
        <v>49</v>
      </c>
      <c r="G540" s="45" t="s">
        <v>35</v>
      </c>
      <c r="H540" s="49" t="s">
        <v>148</v>
      </c>
      <c r="I540" s="49" t="s">
        <v>44</v>
      </c>
      <c r="J540" s="70">
        <v>250</v>
      </c>
      <c r="K540" s="71">
        <v>1506</v>
      </c>
      <c r="L540" s="72">
        <v>-7500</v>
      </c>
      <c r="M540" s="53">
        <v>11449</v>
      </c>
      <c r="N540" s="28">
        <f>K540*J540</f>
        <v>376500</v>
      </c>
      <c r="O540" s="45">
        <v>5426</v>
      </c>
      <c r="P540" s="29">
        <v>3.6029216470000001</v>
      </c>
      <c r="Q540" s="55"/>
      <c r="R540" s="31">
        <f>M540+Q540</f>
        <v>11449</v>
      </c>
      <c r="S540" s="73">
        <v>-15551</v>
      </c>
      <c r="T540" s="32">
        <f>R540+S540+IF(F540="Without EV deal",L540,0)</f>
        <v>-4102</v>
      </c>
      <c r="U540" s="57">
        <v>1</v>
      </c>
      <c r="V540" s="58">
        <v>147.51</v>
      </c>
      <c r="W540" s="58">
        <v>85</v>
      </c>
      <c r="X540" s="30">
        <f>IF(AF540="DoEV",IF(AND(V540&lt;20,W540&lt;55),0.3,0)+IF(AND(V540&lt;20,W540&gt;=55,W540&lt;105),0.23,0)+IF(AND(V540&lt;20,W540&gt;=105),0.17,0)+IF(AND(V540&gt;=20,V540&lt;40,W540&lt;45),0.3,0)+IF(AND(V540&gt;=20,V540&lt;40,W540&gt;=45,W540&lt;95),0.23,0)+IF(AND(V540&gt;=20,V540&lt;40,W540&gt;=95),0.17,0)+IF(AND(V540&gt;=40,V540&lt;75,W540&lt;35),0.3,0)+IF(AND(V540&gt;=40,V540&lt;75,W540&gt;=35,W540&lt;75),0.23,0)+IF(AND(V540&gt;=40,V540&lt;75,W540&gt;=75,W540&lt;120),0.17,0)+IF(AND(V540&gt;=40,V540&lt;75,W540&gt;=120),0.12,0)+IF(AND(V540&gt;=75,V540&lt;175,W540&lt;35),0.3,0)+IF(AND(V540&gt;=75,V540&lt;=175,W540&gt;=35,W540&lt;65),0.23,0)+IF(AND(V540&gt;=75,V540&lt;=175,W540&gt;=65,W540&lt;110),0.17,0)+IF(AND(V540&gt;=75,V540&lt;=175,W540&gt;=110),0.12,0)+IF(AND(V540&gt;175,W540&lt;25),0.3,0)+IF(AND(V540&gt;175,W540&gt;=25,W540&lt;55),0.23,0)+IF(AND(V540&gt;175,W540&gt;=55,W540&lt;95),0.17,0)+IF(AND(V540&gt;175,W540&gt;=95),0.12,0),
IF(AF540="Fix15",0.15,
IF(AF540="Fix18.75",0.1875,
IF(AF540="Fix11.25",0.1125,
IF(AF540="Fix10",0.1,
IF(AF540="Fix9",0.09,
IF(AF540="DoEV2017",IF(AND(W540&lt;74),0.2,0)+IF(AND(W540&gt;=74),0.17,0),
IF(AF540="SF",IF(AND(V540&lt;20,W540&lt;89),0.3,0)+IF(AND(V540&lt;20,W540&gt;=89),0.25,0)+IF(AND(V540&gt;=20,V540&lt;40,W540&lt;74),0.3,0)+IF(AND(V540&gt;=20,V540&lt;40,W540&gt;=75),0.22,0)+IF(AND(V540&gt;=40,V540&lt;75,W540&lt;75),0.26,0)+IF(AND(V540&gt;=40,V540&lt;75,W540&gt;=75),0.22,0)+IF(V540&gt;=75,0.22,0),
IF(AF540="DoEVold",IF(AND(V540&lt;40,W540&lt;35),0.35,0)+IF(AND(V540&lt;40,W540&gt;=35,W540&lt;75),0.25,0)+IF(AND(V540&lt;40,W540&gt;=75),0.17,0)+IF(AND(V540&gt;=40,V540&lt;75,W540&lt;25),0.35,0)+IF(AND(V540&gt;=40,V540&lt;75,W540&gt;=25,W540&lt;65),0.25,0)+IF(AND(V540&gt;=40,V540&lt;75,W540&gt;=65,W540&lt;100),0.17,0)+IF(AND(V540&gt;=40,V540&lt;75,W540&gt;=100),0.1,0)+IF(AND(V540&gt;=75,W540&lt;25),0.35,0)+IF(AND(V540&gt;=75,W540&gt;=25,W540&lt;60),0.25,0)+IF(AND(V540&gt;=75,W540&gt;=60,W540&lt;95),0.17,0)+IF(AND(V540&gt;=75,W540&gt;=95),0.1,0),
IF(AF540="DoEVold15",IF(AND(V540&lt;=40,W540&lt;35),0.35,0)+IF(AND(V540&lt;=40,W540&gt;=35,W540&lt;75),0.25,0)+IF(AND(V540&lt;=40,W540&gt;=75,W540&lt;120),0.17,0)+IF(AND(V540&lt;=40,W540&gt;=120),0.15,0)+IF(AND(V540&gt;40,V540&lt;75,W540&lt;25),0.35,0)+IF(AND(V540&gt;=40,V540&lt;75,W540&gt;=25,W540&lt;65),0.25,0)+IF(AND(V540&gt;=40,V540&lt;75,W540&gt;=65,W540&lt;100),0.17,0)+IF(AND(V540&gt;=40,V540&lt;75,W540&gt;=100),0.1,0)+IF(AND(V540&gt;=75,W540&lt;25),0.35,0)+IF(AND(V540&gt;=75,W540&gt;=25,W540&lt;60),0.25,0)+IF(AND(V540&gt;=75,W540&gt;=60,W540&lt;95),0.17,0)+IF(AND(V540&gt;=75,W540&gt;=95),0.1,0),
IF(AF540="DoEVba",IF(AND(V540&lt;20,W540&lt;105),0.2,0)+IF(AND(V540&lt;20,W540&gt;=105),0.15,0)+IF(AND(V540&gt;=20,V540&lt;40,W540&lt;95),0.2,0)+IF(AND(V540&gt;=20,V540&lt;40,W540&gt;=95,W540&lt;150),0.15,0)+IF(AND(V540&gt;=20,V540&lt;40,W540&gt;=150),0.12,0)+IF(AND(V540&gt;=40,V540&lt;75,W540&lt;75),0.2,0)+IF(AND(V540&gt;=40,V540&lt;75,W540&gt;=75,W540&lt;120),0.15,0)+IF(AND(V540&gt;=40,V540&lt;75,W540&gt;=120),0.12,0)+IF(AND(V540&gt;=75,V540&lt;175,W540&lt;65),0.2,0)+IF(AND(V540&gt;=75,V540&lt;175,W540&gt;=65,W540&lt;110),0.15,0)+IF(AND(V540&gt;=75,V540&lt;175,W540&gt;=110),0.12,0)+IF(AND(V540&gt;=175,W540&lt;55),0.2,0)+IF(AND(V540&gt;=175,W540&gt;=55,W540&lt;95),0.15,0)+IF(AND(V540&gt;=175,W540&gt;=95),0.12,0),
IF(AF540="DoEVku",IF(AND(V540&lt;20,W540&lt;55),0.23,0)+IF(AND(V540&lt;20,W540&gt;=55,W540&lt;105),0.2,0)+IF(AND(V540&lt;20,W540&gt;=105),0.17,0)+IF(AND(V540&gt;=20,V540&lt;40,W540&lt;45),0.23,0)+IF(AND(V540&gt;=20,V540&lt;40,W540&gt;=45,W540&lt;95),0.2,0)+IF(AND(V540&gt;=20,V540&lt;40,W540&gt;=95,W540&lt;=150),0.17,0)+IF(AND(V540&gt;=20,V540&lt;40,W540&gt;=150),0.12,0)+IF(AND(V540&gt;=40,V540&lt;75,W540&lt;35),0.23,0)+IF(AND(V540&gt;=40,V540&lt;75,W540&gt;=35,W540&lt;75),0.2,0)+IF(AND(V540&gt;=40,V540&lt;75,W540&gt;=75,W540&lt;120),0.17,0)+IF(AND(V540&gt;=40,V540&lt;75,W540&gt;=120),0.12,0)+IF(AND(V540&gt;=75,V540&lt;175,W540&lt;35),0.23,0)+IF(AND(V540&gt;=75,V540&lt;=175,W540&gt;=35,W540&lt;65),0.2,0)+IF(AND(V540&gt;=75,V540&lt;=175,W540&gt;=65,W540&lt;110),0.17,0)+IF(AND(V540&gt;=75,V540&lt;=175,W540&gt;=110),0.12,0)+IF(AND(V540&gt;175,W540&lt;25),0.23,0)+IF(AND(V540&gt;175,W540&gt;=25,W540&lt;55),0.2,0)+IF(AND(V540&gt;175,W540&gt;=55,W540&lt;95),0.17,0)+IF(AND(V540&gt;175,W540&gt;=95),0.12,0),
IF(AF540="DoEVs1",IF(AND(V540&lt;20,W540&lt;55),0.3,0)+IF(AND(V540&lt;20,W540&gt;=55,W540&lt;105),0.23,0)+IF(AND(V540&lt;20,W540&gt;=105),0.17,0)+IF(AND(V540&gt;=20,V540&lt;40,W540&lt;45),0.3,0)+IF(AND(V540&gt;=20,V540&lt;40,W540&gt;=45,W540&lt;95),0.23,0)+IF(AND(V540&gt;=20,V540&lt;40,W540&gt;=95,W540&lt;=150),0.17,0)+IF(AND(V540&gt;=20,V540&lt;40,W540&gt;=150),0.12,0)+IF(AND(V540&gt;=40,V540&lt;75,W540&lt;35),0.3,0)+IF(AND(V540&gt;=40,V540&lt;75,W540&gt;=35,W540&lt;75),0.23,0)+IF(AND(V540&gt;=40,V540&lt;75,W540&gt;=75,W540&lt;120),0.17,0)+IF(AND(V540&gt;=40,V540&lt;75,W540&gt;=120),0.12,0)+IF(AND(V540&gt;=75,V540&lt;175,W540&lt;35),0.3,0)+IF(AND(V540&gt;=75,V540&lt;=175,W540&gt;=35,W540&lt;65),0.23,0)+IF(AND(V540&gt;=75,V540&lt;=175,W540&gt;=65,W540&lt;110),0.17,0)+IF(AND(V540&gt;=75,V540&lt;=175,W540&gt;=110),0.12,0)+IF(AND(V540&gt;175,W540&lt;25),0.3,0)+IF(AND(V540&gt;175,W540&gt;=25,W540&lt;55),0.23,0)+IF(AND(V540&gt;175,W540&gt;=55,W540&lt;95),0.17,0)+IF(AND(V540&gt;175,W540&gt;=95),0.12,0),
IF(AF540="DoEVsu",IF(AND(V540&lt;20,W540&lt;55),0.3,0)+IF(AND(V540&lt;20,W540&gt;=55,W540&lt;105),0.23,0)+IF(AND(V540&lt;20,W540&gt;=105),0.17,0)+IF(AND(V540&gt;=20,V540&lt;40,W540&lt;45),0.3,0)+IF(AND(V540&gt;=20,V540&lt;40,W540&gt;=45,W540&lt;95),0.23,0)+IF(AND(V540&gt;=20,V540&lt;40,W540&gt;=95,W540&lt;=250),0.17,0)+IF(AND(V540&gt;=20,V540&lt;40,W540&gt;=250),0.12,0)+IF(AND(V540&gt;=40,V540&lt;75,W540&lt;35),0.3,0)+IF(AND(V540&gt;=40,V540&lt;75,W540&gt;=35,W540&lt;75),0.23,0)+IF(AND(V540&gt;=40,V540&lt;75,W540&gt;=75,W540&lt;120),0.17,0)+IF(AND(V540&gt;=40,V540&lt;75,W540&gt;=120),0.12,0)+IF(AND(V540&gt;=75,V540&lt;175,W540&lt;35),0.3,0)+IF(AND(V540&gt;=75,V540&lt;=175,W540&gt;=35,W540&lt;65),0.23,0)+IF(AND(V540&gt;=75,V540&lt;=175,W540&gt;=65,W540&lt;110),0.17,0)+IF(AND(V540&gt;=75,V540&lt;=175,W540&gt;=110),0.12,0)+IF(AND(V540&gt;175,W540&lt;25),0.3,0)+IF(AND(V540&gt;175,W540&gt;=25,W540&lt;55),0.23,0)+IF(AND(V540&gt;175,W540&gt;=55,W540&lt;95),0.17,0)+IF(AND(V540&gt;175,W540&gt;=95),0.12,0),
IF(AF540="DoEVni",IF(AND(V540&lt;20,W540&lt;55),0.3,0)+IF(AND(V540&lt;20,W540&gt;=55,W540&lt;105),0.23,0)+IF(AND(V540&lt;20,W540&gt;=105),0.17,0)+IF(AND(V540&gt;=20,V540&lt;40,W540&lt;45),0.3,0)+IF(AND(V540&gt;=20,V540&lt;40,W540&gt;=45,W540&lt;95),0.23,0)+IF(AND(V540&gt;=20,V540&lt;40,W540&gt;=95,W540&lt;=200),0.17,0)+IF(AND(V540&gt;=20,V540&lt;40,W540&gt;=200),0.12,0)+IF(AND(V540&gt;=40,V540&lt;75,W540&lt;35),0.3,0)+IF(AND(V540&gt;=40,V540&lt;75,W540&gt;=35,W540&lt;75),0.23,0)+IF(AND(V540&gt;=40,V540&lt;75,W540&gt;=75,W540&lt;120),0.17,0)+IF(AND(V540&gt;=40,V540&lt;75,W540&gt;=120),0.12,0)+IF(AND(V540&gt;=75,V540&lt;175,W540&lt;35),0.3,0)+IF(AND(V540&gt;=75,V540&lt;=175,W540&gt;=35,W540&lt;65),0.23,0)+IF(AND(V540&gt;=75,V540&lt;=175,W540&gt;=65,W540&lt;110),0.17,0)+IF(AND(V540&gt;=75,V540&lt;=175,W540&gt;=110),0.12,0)+IF(AND(V540&gt;175,W540&lt;25),0.3,0)+IF(AND(V540&gt;175,W540&gt;=25,W540&lt;55),0.23,0)+IF(AND(V540&gt;175,W540&gt;=55,W540&lt;95),0.17,0)+IF(AND(V540&gt;175,W540&gt;=95),0.12,0),
IF(AF540="DoEVLo",IF(AND(V540&lt;20,W540&lt;55),0.25,0)+IF(AND(V540&lt;20,W540&gt;=55,W540&lt;105),0.2,0)+IF(AND(V540&lt;20,W540&gt;=105),0.15,0)+IF(AND(V540&gt;=20,V540&lt;40,W540&lt;45),0.25,0)+IF(AND(V540&gt;=20,V540&lt;40,W540&gt;=45,W540&lt;95),0.2,0)+IF(AND(V540&gt;=20,V540&lt;40,W540&gt;=95),0.15,0)+IF(AND(V540&gt;=40,V540&lt;75,W540&lt;35),0.25,0)+IF(AND(V540&gt;=40,V540&lt;75,W540&gt;=35,W540&lt;75),0.2,0)+IF(AND(V540&gt;=40,V540&lt;75,W540&gt;=75,W540&lt;120),0.15,0)+IF(AND(V540&gt;=40,V540&lt;75,W540&gt;=120),0.1,0)+IF(AND(V540&gt;=75,V540&lt;175,W540&lt;35),0.25,0)+IF(AND(V540&gt;=75,V540&lt;=175,W540&gt;=35,W540&lt;65),0.2,0)+IF(AND(V540&gt;=75,V540&lt;=175,W540&gt;=65,W540&lt;110),0.15,0)+IF(AND(V540&gt;=75,V540&lt;=175,W540&gt;=110),0.1,0)+IF(AND(V540&gt;175,W540&lt;25),0.25,0)+IF(AND(V540&gt;175,W540&gt;=25,W540&lt;55),0.2,0)+IF(AND(V540&gt;175,W540&gt;=55,W540&lt;95),0.15,0)+IF(AND(V540&gt;175,W540&gt;=95),0.1,0)))))))))))))))))</f>
        <v>0.1875</v>
      </c>
      <c r="Y540" s="30">
        <f>IF(AG540="None",0,IF(AG540="Fix5",0.05, IF(AG540="Fix6.25",0.0625,IF(AG540="Fix3.75",0.0375,IF(AG540="Fix10",0.1,IF(AG540="Fix3",0.03,0))))))</f>
        <v>6.25E-2</v>
      </c>
      <c r="Z540" s="35">
        <f>T540-AA540-AB540</f>
        <v>-3076.5</v>
      </c>
      <c r="AA540" s="29">
        <f>IF(AD540="EUR",((T540-R540)*X540)*U540+(R540*X540),(T540*X540))</f>
        <v>-769.125</v>
      </c>
      <c r="AB540" s="36">
        <f>IF(AD540="EUR",((T540-R540)*Y540)*U540+(R540*Y540),(T540*Y540))</f>
        <v>-256.375</v>
      </c>
      <c r="AC540" s="37" t="b">
        <v>1</v>
      </c>
      <c r="AD540" s="37" t="s">
        <v>38</v>
      </c>
      <c r="AE540" s="37" t="s">
        <v>38</v>
      </c>
      <c r="AF540" s="37" t="s">
        <v>146</v>
      </c>
      <c r="AG540" s="38" t="s">
        <v>147</v>
      </c>
    </row>
    <row r="541" spans="1:33" ht="14.25" hidden="1" x14ac:dyDescent="0.2">
      <c r="A541" s="18" t="str">
        <f t="array" ref="A541">IF(G541='Room Info'!$B$1, INDEX('Room Info'!$A$2:$A2446, MATCH(B541,'Room Info'!$B$2:$B2446, 0)),IF(G541='Room Info'!$C$1, INDEX('Room Info'!$A$2:$A2446, MATCH(B541,'Room Info'!$C$2:$C2446, 0)),IF(G541='Room Info'!$D$1, INDEX('Room Info'!$A$2:$A2446, MATCH(B541,'Room Info'!$D$2:$D2446, 0)),IF(G541='Room Info'!$E$1, INDEX('Room Info'!$A$2:$A2446, MATCH(B541,'Room Info'!$E$2:$E2446, 0)),IF(G541='Room Info'!$F$1, INDEX('Room Info'!$A$2:$A2446, MATCH(B541,'Room Info'!$F$2:$F2446, 0)),IF(G541='Room Info'!$H$1, INDEX('Room Info'!$A$2:$A2446, MATCH(B541,'Room Info'!$H$2:$H2446, 0)),IF(G541='Room Info'!$G$1, INDEX('Room Info'!$A$2:$A2446, MATCH(B541,'Room Info'!$G$2:$G2446, 0)))))))))</f>
        <v>benyya</v>
      </c>
      <c r="B541" s="45" t="s">
        <v>145</v>
      </c>
      <c r="C541" s="46">
        <v>44896</v>
      </c>
      <c r="D541" s="46">
        <v>44915</v>
      </c>
      <c r="E541" s="47">
        <v>44896</v>
      </c>
      <c r="F541" s="48" t="s">
        <v>49</v>
      </c>
      <c r="G541" s="45" t="s">
        <v>35</v>
      </c>
      <c r="H541" s="49" t="s">
        <v>142</v>
      </c>
      <c r="I541" s="49" t="s">
        <v>37</v>
      </c>
      <c r="J541" s="50">
        <v>500</v>
      </c>
      <c r="K541" s="51">
        <v>301</v>
      </c>
      <c r="L541" s="52">
        <v>-35500</v>
      </c>
      <c r="M541" s="53">
        <v>4497</v>
      </c>
      <c r="N541" s="28">
        <f>K541*J541</f>
        <v>150500</v>
      </c>
      <c r="O541" s="54">
        <v>-13783</v>
      </c>
      <c r="P541" s="29">
        <v>-45.79069767</v>
      </c>
      <c r="Q541" s="55"/>
      <c r="R541" s="31">
        <f>M541+Q541</f>
        <v>4497</v>
      </c>
      <c r="S541" s="56">
        <v>-20754</v>
      </c>
      <c r="T541" s="32">
        <f>R541+S541+IF(F541="Without EV deal",L541,0)</f>
        <v>-16257</v>
      </c>
      <c r="U541" s="57">
        <v>1</v>
      </c>
      <c r="V541" s="58">
        <v>147.51</v>
      </c>
      <c r="W541" s="58">
        <v>85</v>
      </c>
      <c r="X541" s="30">
        <f>IF(AF541="DoEV",IF(AND(V541&lt;20,W541&lt;55),0.3,0)+IF(AND(V541&lt;20,W541&gt;=55,W541&lt;105),0.23,0)+IF(AND(V541&lt;20,W541&gt;=105),0.17,0)+IF(AND(V541&gt;=20,V541&lt;40,W541&lt;45),0.3,0)+IF(AND(V541&gt;=20,V541&lt;40,W541&gt;=45,W541&lt;95),0.23,0)+IF(AND(V541&gt;=20,V541&lt;40,W541&gt;=95),0.17,0)+IF(AND(V541&gt;=40,V541&lt;75,W541&lt;35),0.3,0)+IF(AND(V541&gt;=40,V541&lt;75,W541&gt;=35,W541&lt;75),0.23,0)+IF(AND(V541&gt;=40,V541&lt;75,W541&gt;=75,W541&lt;120),0.17,0)+IF(AND(V541&gt;=40,V541&lt;75,W541&gt;=120),0.12,0)+IF(AND(V541&gt;=75,V541&lt;175,W541&lt;35),0.3,0)+IF(AND(V541&gt;=75,V541&lt;=175,W541&gt;=35,W541&lt;65),0.23,0)+IF(AND(V541&gt;=75,V541&lt;=175,W541&gt;=65,W541&lt;110),0.17,0)+IF(AND(V541&gt;=75,V541&lt;=175,W541&gt;=110),0.12,0)+IF(AND(V541&gt;175,W541&lt;25),0.3,0)+IF(AND(V541&gt;175,W541&gt;=25,W541&lt;55),0.23,0)+IF(AND(V541&gt;175,W541&gt;=55,W541&lt;95),0.17,0)+IF(AND(V541&gt;175,W541&gt;=95),0.12,0),
IF(AF541="Fix15",0.15,
IF(AF541="Fix18.75",0.1875,
IF(AF541="Fix11.25",0.1125,
IF(AF541="Fix10",0.1,
IF(AF541="Fix9",0.09,
IF(AF541="DoEV2017",IF(AND(W541&lt;74),0.2,0)+IF(AND(W541&gt;=74),0.17,0),
IF(AF541="SF",IF(AND(V541&lt;20,W541&lt;89),0.3,0)+IF(AND(V541&lt;20,W541&gt;=89),0.25,0)+IF(AND(V541&gt;=20,V541&lt;40,W541&lt;74),0.3,0)+IF(AND(V541&gt;=20,V541&lt;40,W541&gt;=75),0.22,0)+IF(AND(V541&gt;=40,V541&lt;75,W541&lt;75),0.26,0)+IF(AND(V541&gt;=40,V541&lt;75,W541&gt;=75),0.22,0)+IF(V541&gt;=75,0.22,0),
IF(AF541="DoEVold",IF(AND(V541&lt;40,W541&lt;35),0.35,0)+IF(AND(V541&lt;40,W541&gt;=35,W541&lt;75),0.25,0)+IF(AND(V541&lt;40,W541&gt;=75),0.17,0)+IF(AND(V541&gt;=40,V541&lt;75,W541&lt;25),0.35,0)+IF(AND(V541&gt;=40,V541&lt;75,W541&gt;=25,W541&lt;65),0.25,0)+IF(AND(V541&gt;=40,V541&lt;75,W541&gt;=65,W541&lt;100),0.17,0)+IF(AND(V541&gt;=40,V541&lt;75,W541&gt;=100),0.1,0)+IF(AND(V541&gt;=75,W541&lt;25),0.35,0)+IF(AND(V541&gt;=75,W541&gt;=25,W541&lt;60),0.25,0)+IF(AND(V541&gt;=75,W541&gt;=60,W541&lt;95),0.17,0)+IF(AND(V541&gt;=75,W541&gt;=95),0.1,0),
IF(AF541="DoEVold15",IF(AND(V541&lt;=40,W541&lt;35),0.35,0)+IF(AND(V541&lt;=40,W541&gt;=35,W541&lt;75),0.25,0)+IF(AND(V541&lt;=40,W541&gt;=75,W541&lt;120),0.17,0)+IF(AND(V541&lt;=40,W541&gt;=120),0.15,0)+IF(AND(V541&gt;40,V541&lt;75,W541&lt;25),0.35,0)+IF(AND(V541&gt;=40,V541&lt;75,W541&gt;=25,W541&lt;65),0.25,0)+IF(AND(V541&gt;=40,V541&lt;75,W541&gt;=65,W541&lt;100),0.17,0)+IF(AND(V541&gt;=40,V541&lt;75,W541&gt;=100),0.1,0)+IF(AND(V541&gt;=75,W541&lt;25),0.35,0)+IF(AND(V541&gt;=75,W541&gt;=25,W541&lt;60),0.25,0)+IF(AND(V541&gt;=75,W541&gt;=60,W541&lt;95),0.17,0)+IF(AND(V541&gt;=75,W541&gt;=95),0.1,0),
IF(AF541="DoEVba",IF(AND(V541&lt;20,W541&lt;105),0.2,0)+IF(AND(V541&lt;20,W541&gt;=105),0.15,0)+IF(AND(V541&gt;=20,V541&lt;40,W541&lt;95),0.2,0)+IF(AND(V541&gt;=20,V541&lt;40,W541&gt;=95,W541&lt;150),0.15,0)+IF(AND(V541&gt;=20,V541&lt;40,W541&gt;=150),0.12,0)+IF(AND(V541&gt;=40,V541&lt;75,W541&lt;75),0.2,0)+IF(AND(V541&gt;=40,V541&lt;75,W541&gt;=75,W541&lt;120),0.15,0)+IF(AND(V541&gt;=40,V541&lt;75,W541&gt;=120),0.12,0)+IF(AND(V541&gt;=75,V541&lt;175,W541&lt;65),0.2,0)+IF(AND(V541&gt;=75,V541&lt;175,W541&gt;=65,W541&lt;110),0.15,0)+IF(AND(V541&gt;=75,V541&lt;175,W541&gt;=110),0.12,0)+IF(AND(V541&gt;=175,W541&lt;55),0.2,0)+IF(AND(V541&gt;=175,W541&gt;=55,W541&lt;95),0.15,0)+IF(AND(V541&gt;=175,W541&gt;=95),0.12,0),
IF(AF541="DoEVku",IF(AND(V541&lt;20,W541&lt;55),0.23,0)+IF(AND(V541&lt;20,W541&gt;=55,W541&lt;105),0.2,0)+IF(AND(V541&lt;20,W541&gt;=105),0.17,0)+IF(AND(V541&gt;=20,V541&lt;40,W541&lt;45),0.23,0)+IF(AND(V541&gt;=20,V541&lt;40,W541&gt;=45,W541&lt;95),0.2,0)+IF(AND(V541&gt;=20,V541&lt;40,W541&gt;=95,W541&lt;=150),0.17,0)+IF(AND(V541&gt;=20,V541&lt;40,W541&gt;=150),0.12,0)+IF(AND(V541&gt;=40,V541&lt;75,W541&lt;35),0.23,0)+IF(AND(V541&gt;=40,V541&lt;75,W541&gt;=35,W541&lt;75),0.2,0)+IF(AND(V541&gt;=40,V541&lt;75,W541&gt;=75,W541&lt;120),0.17,0)+IF(AND(V541&gt;=40,V541&lt;75,W541&gt;=120),0.12,0)+IF(AND(V541&gt;=75,V541&lt;175,W541&lt;35),0.23,0)+IF(AND(V541&gt;=75,V541&lt;=175,W541&gt;=35,W541&lt;65),0.2,0)+IF(AND(V541&gt;=75,V541&lt;=175,W541&gt;=65,W541&lt;110),0.17,0)+IF(AND(V541&gt;=75,V541&lt;=175,W541&gt;=110),0.12,0)+IF(AND(V541&gt;175,W541&lt;25),0.23,0)+IF(AND(V541&gt;175,W541&gt;=25,W541&lt;55),0.2,0)+IF(AND(V541&gt;175,W541&gt;=55,W541&lt;95),0.17,0)+IF(AND(V541&gt;175,W541&gt;=95),0.12,0),
IF(AF541="DoEVs1",IF(AND(V541&lt;20,W541&lt;55),0.3,0)+IF(AND(V541&lt;20,W541&gt;=55,W541&lt;105),0.23,0)+IF(AND(V541&lt;20,W541&gt;=105),0.17,0)+IF(AND(V541&gt;=20,V541&lt;40,W541&lt;45),0.3,0)+IF(AND(V541&gt;=20,V541&lt;40,W541&gt;=45,W541&lt;95),0.23,0)+IF(AND(V541&gt;=20,V541&lt;40,W541&gt;=95,W541&lt;=150),0.17,0)+IF(AND(V541&gt;=20,V541&lt;40,W541&gt;=150),0.12,0)+IF(AND(V541&gt;=40,V541&lt;75,W541&lt;35),0.3,0)+IF(AND(V541&gt;=40,V541&lt;75,W541&gt;=35,W541&lt;75),0.23,0)+IF(AND(V541&gt;=40,V541&lt;75,W541&gt;=75,W541&lt;120),0.17,0)+IF(AND(V541&gt;=40,V541&lt;75,W541&gt;=120),0.12,0)+IF(AND(V541&gt;=75,V541&lt;175,W541&lt;35),0.3,0)+IF(AND(V541&gt;=75,V541&lt;=175,W541&gt;=35,W541&lt;65),0.23,0)+IF(AND(V541&gt;=75,V541&lt;=175,W541&gt;=65,W541&lt;110),0.17,0)+IF(AND(V541&gt;=75,V541&lt;=175,W541&gt;=110),0.12,0)+IF(AND(V541&gt;175,W541&lt;25),0.3,0)+IF(AND(V541&gt;175,W541&gt;=25,W541&lt;55),0.23,0)+IF(AND(V541&gt;175,W541&gt;=55,W541&lt;95),0.17,0)+IF(AND(V541&gt;175,W541&gt;=95),0.12,0),
IF(AF541="DoEVsu",IF(AND(V541&lt;20,W541&lt;55),0.3,0)+IF(AND(V541&lt;20,W541&gt;=55,W541&lt;105),0.23,0)+IF(AND(V541&lt;20,W541&gt;=105),0.17,0)+IF(AND(V541&gt;=20,V541&lt;40,W541&lt;45),0.3,0)+IF(AND(V541&gt;=20,V541&lt;40,W541&gt;=45,W541&lt;95),0.23,0)+IF(AND(V541&gt;=20,V541&lt;40,W541&gt;=95,W541&lt;=250),0.17,0)+IF(AND(V541&gt;=20,V541&lt;40,W541&gt;=250),0.12,0)+IF(AND(V541&gt;=40,V541&lt;75,W541&lt;35),0.3,0)+IF(AND(V541&gt;=40,V541&lt;75,W541&gt;=35,W541&lt;75),0.23,0)+IF(AND(V541&gt;=40,V541&lt;75,W541&gt;=75,W541&lt;120),0.17,0)+IF(AND(V541&gt;=40,V541&lt;75,W541&gt;=120),0.12,0)+IF(AND(V541&gt;=75,V541&lt;175,W541&lt;35),0.3,0)+IF(AND(V541&gt;=75,V541&lt;=175,W541&gt;=35,W541&lt;65),0.23,0)+IF(AND(V541&gt;=75,V541&lt;=175,W541&gt;=65,W541&lt;110),0.17,0)+IF(AND(V541&gt;=75,V541&lt;=175,W541&gt;=110),0.12,0)+IF(AND(V541&gt;175,W541&lt;25),0.3,0)+IF(AND(V541&gt;175,W541&gt;=25,W541&lt;55),0.23,0)+IF(AND(V541&gt;175,W541&gt;=55,W541&lt;95),0.17,0)+IF(AND(V541&gt;175,W541&gt;=95),0.12,0),
IF(AF541="DoEVni",IF(AND(V541&lt;20,W541&lt;55),0.3,0)+IF(AND(V541&lt;20,W541&gt;=55,W541&lt;105),0.23,0)+IF(AND(V541&lt;20,W541&gt;=105),0.17,0)+IF(AND(V541&gt;=20,V541&lt;40,W541&lt;45),0.3,0)+IF(AND(V541&gt;=20,V541&lt;40,W541&gt;=45,W541&lt;95),0.23,0)+IF(AND(V541&gt;=20,V541&lt;40,W541&gt;=95,W541&lt;=200),0.17,0)+IF(AND(V541&gt;=20,V541&lt;40,W541&gt;=200),0.12,0)+IF(AND(V541&gt;=40,V541&lt;75,W541&lt;35),0.3,0)+IF(AND(V541&gt;=40,V541&lt;75,W541&gt;=35,W541&lt;75),0.23,0)+IF(AND(V541&gt;=40,V541&lt;75,W541&gt;=75,W541&lt;120),0.17,0)+IF(AND(V541&gt;=40,V541&lt;75,W541&gt;=120),0.12,0)+IF(AND(V541&gt;=75,V541&lt;175,W541&lt;35),0.3,0)+IF(AND(V541&gt;=75,V541&lt;=175,W541&gt;=35,W541&lt;65),0.23,0)+IF(AND(V541&gt;=75,V541&lt;=175,W541&gt;=65,W541&lt;110),0.17,0)+IF(AND(V541&gt;=75,V541&lt;=175,W541&gt;=110),0.12,0)+IF(AND(V541&gt;175,W541&lt;25),0.3,0)+IF(AND(V541&gt;175,W541&gt;=25,W541&lt;55),0.23,0)+IF(AND(V541&gt;175,W541&gt;=55,W541&lt;95),0.17,0)+IF(AND(V541&gt;175,W541&gt;=95),0.12,0),
IF(AF541="DoEVLo",IF(AND(V541&lt;20,W541&lt;55),0.25,0)+IF(AND(V541&lt;20,W541&gt;=55,W541&lt;105),0.2,0)+IF(AND(V541&lt;20,W541&gt;=105),0.15,0)+IF(AND(V541&gt;=20,V541&lt;40,W541&lt;45),0.25,0)+IF(AND(V541&gt;=20,V541&lt;40,W541&gt;=45,W541&lt;95),0.2,0)+IF(AND(V541&gt;=20,V541&lt;40,W541&gt;=95),0.15,0)+IF(AND(V541&gt;=40,V541&lt;75,W541&lt;35),0.25,0)+IF(AND(V541&gt;=40,V541&lt;75,W541&gt;=35,W541&lt;75),0.2,0)+IF(AND(V541&gt;=40,V541&lt;75,W541&gt;=75,W541&lt;120),0.15,0)+IF(AND(V541&gt;=40,V541&lt;75,W541&gt;=120),0.1,0)+IF(AND(V541&gt;=75,V541&lt;175,W541&lt;35),0.25,0)+IF(AND(V541&gt;=75,V541&lt;=175,W541&gt;=35,W541&lt;65),0.2,0)+IF(AND(V541&gt;=75,V541&lt;=175,W541&gt;=65,W541&lt;110),0.15,0)+IF(AND(V541&gt;=75,V541&lt;=175,W541&gt;=110),0.1,0)+IF(AND(V541&gt;175,W541&lt;25),0.25,0)+IF(AND(V541&gt;175,W541&gt;=25,W541&lt;55),0.2,0)+IF(AND(V541&gt;175,W541&gt;=55,W541&lt;95),0.15,0)+IF(AND(V541&gt;175,W541&gt;=95),0.1,0)))))))))))))))))</f>
        <v>0.1875</v>
      </c>
      <c r="Y541" s="30">
        <f>IF(AG541="None",0,IF(AG541="Fix5",0.05, IF(AG541="Fix6.25",0.0625,IF(AG541="Fix3.75",0.0375,IF(AG541="Fix10",0.1,IF(AG541="Fix3",0.03,0))))))</f>
        <v>6.25E-2</v>
      </c>
      <c r="Z541" s="35">
        <f>T541-AA541-AB541</f>
        <v>-12192.75</v>
      </c>
      <c r="AA541" s="29">
        <f>IF(AD541="EUR",((T541-R541)*X541)*U541+(R541*X541),(T541*X541))</f>
        <v>-3048.1875</v>
      </c>
      <c r="AB541" s="36">
        <f>IF(AD541="EUR",((T541-R541)*Y541)*U541+(R541*Y541),(T541*Y541))</f>
        <v>-1016.0625</v>
      </c>
      <c r="AC541" s="37" t="b">
        <v>1</v>
      </c>
      <c r="AD541" s="37" t="s">
        <v>38</v>
      </c>
      <c r="AE541" s="37" t="s">
        <v>38</v>
      </c>
      <c r="AF541" s="37" t="s">
        <v>146</v>
      </c>
      <c r="AG541" s="38" t="s">
        <v>147</v>
      </c>
    </row>
    <row r="542" spans="1:33" ht="14.25" hidden="1" x14ac:dyDescent="0.2">
      <c r="A542" s="18" t="str">
        <f t="array" ref="A542">IF(G542='Room Info'!$B$1, INDEX('Room Info'!$A$2:$A2446, MATCH(B542,'Room Info'!$B$2:$B2446, 0)),IF(G542='Room Info'!$C$1, INDEX('Room Info'!$A$2:$A2446, MATCH(B542,'Room Info'!$C$2:$C2446, 0)),IF(G542='Room Info'!$D$1, INDEX('Room Info'!$A$2:$A2446, MATCH(B542,'Room Info'!$D$2:$D2446, 0)),IF(G542='Room Info'!$E$1, INDEX('Room Info'!$A$2:$A2446, MATCH(B542,'Room Info'!$E$2:$E2446, 0)),IF(G542='Room Info'!$F$1, INDEX('Room Info'!$A$2:$A2446, MATCH(B542,'Room Info'!$F$2:$F2446, 0)),IF(G542='Room Info'!$H$1, INDEX('Room Info'!$A$2:$A2446, MATCH(B542,'Room Info'!$H$2:$H2446, 0)),IF(G542='Room Info'!$G$1, INDEX('Room Info'!$A$2:$A2446, MATCH(B542,'Room Info'!$G$2:$G2446, 0)))))))))</f>
        <v>benyya</v>
      </c>
      <c r="B542" s="45" t="s">
        <v>145</v>
      </c>
      <c r="C542" s="46">
        <v>44896</v>
      </c>
      <c r="D542" s="46">
        <v>44915</v>
      </c>
      <c r="E542" s="47">
        <v>44896</v>
      </c>
      <c r="F542" s="48" t="s">
        <v>49</v>
      </c>
      <c r="G542" s="45" t="s">
        <v>35</v>
      </c>
      <c r="H542" s="49" t="s">
        <v>149</v>
      </c>
      <c r="I542" s="49" t="s">
        <v>44</v>
      </c>
      <c r="J542" s="50">
        <v>500</v>
      </c>
      <c r="K542" s="51">
        <v>126</v>
      </c>
      <c r="L542" s="52">
        <v>-5000</v>
      </c>
      <c r="M542" s="53">
        <v>1882</v>
      </c>
      <c r="N542" s="28">
        <f>K542*J542</f>
        <v>63000</v>
      </c>
      <c r="O542" s="54">
        <v>-974</v>
      </c>
      <c r="P542" s="29">
        <v>-7.7301587300000003</v>
      </c>
      <c r="Q542" s="55"/>
      <c r="R542" s="31">
        <f>M542+Q542</f>
        <v>1882</v>
      </c>
      <c r="S542" s="56">
        <v>-4790</v>
      </c>
      <c r="T542" s="32">
        <f>R542+S542+IF(F542="Without EV deal",L542,0)</f>
        <v>-2908</v>
      </c>
      <c r="U542" s="57">
        <v>1</v>
      </c>
      <c r="V542" s="58">
        <v>147.51</v>
      </c>
      <c r="W542" s="58">
        <v>85</v>
      </c>
      <c r="X542" s="30">
        <f>IF(AF542="DoEV",IF(AND(V542&lt;20,W542&lt;55),0.3,0)+IF(AND(V542&lt;20,W542&gt;=55,W542&lt;105),0.23,0)+IF(AND(V542&lt;20,W542&gt;=105),0.17,0)+IF(AND(V542&gt;=20,V542&lt;40,W542&lt;45),0.3,0)+IF(AND(V542&gt;=20,V542&lt;40,W542&gt;=45,W542&lt;95),0.23,0)+IF(AND(V542&gt;=20,V542&lt;40,W542&gt;=95),0.17,0)+IF(AND(V542&gt;=40,V542&lt;75,W542&lt;35),0.3,0)+IF(AND(V542&gt;=40,V542&lt;75,W542&gt;=35,W542&lt;75),0.23,0)+IF(AND(V542&gt;=40,V542&lt;75,W542&gt;=75,W542&lt;120),0.17,0)+IF(AND(V542&gt;=40,V542&lt;75,W542&gt;=120),0.12,0)+IF(AND(V542&gt;=75,V542&lt;175,W542&lt;35),0.3,0)+IF(AND(V542&gt;=75,V542&lt;=175,W542&gt;=35,W542&lt;65),0.23,0)+IF(AND(V542&gt;=75,V542&lt;=175,W542&gt;=65,W542&lt;110),0.17,0)+IF(AND(V542&gt;=75,V542&lt;=175,W542&gt;=110),0.12,0)+IF(AND(V542&gt;175,W542&lt;25),0.3,0)+IF(AND(V542&gt;175,W542&gt;=25,W542&lt;55),0.23,0)+IF(AND(V542&gt;175,W542&gt;=55,W542&lt;95),0.17,0)+IF(AND(V542&gt;175,W542&gt;=95),0.12,0),
IF(AF542="Fix15",0.15,
IF(AF542="Fix18.75",0.1875,
IF(AF542="Fix11.25",0.1125,
IF(AF542="Fix10",0.1,
IF(AF542="Fix9",0.09,
IF(AF542="DoEV2017",IF(AND(W542&lt;74),0.2,0)+IF(AND(W542&gt;=74),0.17,0),
IF(AF542="SF",IF(AND(V542&lt;20,W542&lt;89),0.3,0)+IF(AND(V542&lt;20,W542&gt;=89),0.25,0)+IF(AND(V542&gt;=20,V542&lt;40,W542&lt;74),0.3,0)+IF(AND(V542&gt;=20,V542&lt;40,W542&gt;=75),0.22,0)+IF(AND(V542&gt;=40,V542&lt;75,W542&lt;75),0.26,0)+IF(AND(V542&gt;=40,V542&lt;75,W542&gt;=75),0.22,0)+IF(V542&gt;=75,0.22,0),
IF(AF542="DoEVold",IF(AND(V542&lt;40,W542&lt;35),0.35,0)+IF(AND(V542&lt;40,W542&gt;=35,W542&lt;75),0.25,0)+IF(AND(V542&lt;40,W542&gt;=75),0.17,0)+IF(AND(V542&gt;=40,V542&lt;75,W542&lt;25),0.35,0)+IF(AND(V542&gt;=40,V542&lt;75,W542&gt;=25,W542&lt;65),0.25,0)+IF(AND(V542&gt;=40,V542&lt;75,W542&gt;=65,W542&lt;100),0.17,0)+IF(AND(V542&gt;=40,V542&lt;75,W542&gt;=100),0.1,0)+IF(AND(V542&gt;=75,W542&lt;25),0.35,0)+IF(AND(V542&gt;=75,W542&gt;=25,W542&lt;60),0.25,0)+IF(AND(V542&gt;=75,W542&gt;=60,W542&lt;95),0.17,0)+IF(AND(V542&gt;=75,W542&gt;=95),0.1,0),
IF(AF542="DoEVold15",IF(AND(V542&lt;=40,W542&lt;35),0.35,0)+IF(AND(V542&lt;=40,W542&gt;=35,W542&lt;75),0.25,0)+IF(AND(V542&lt;=40,W542&gt;=75,W542&lt;120),0.17,0)+IF(AND(V542&lt;=40,W542&gt;=120),0.15,0)+IF(AND(V542&gt;40,V542&lt;75,W542&lt;25),0.35,0)+IF(AND(V542&gt;=40,V542&lt;75,W542&gt;=25,W542&lt;65),0.25,0)+IF(AND(V542&gt;=40,V542&lt;75,W542&gt;=65,W542&lt;100),0.17,0)+IF(AND(V542&gt;=40,V542&lt;75,W542&gt;=100),0.1,0)+IF(AND(V542&gt;=75,W542&lt;25),0.35,0)+IF(AND(V542&gt;=75,W542&gt;=25,W542&lt;60),0.25,0)+IF(AND(V542&gt;=75,W542&gt;=60,W542&lt;95),0.17,0)+IF(AND(V542&gt;=75,W542&gt;=95),0.1,0),
IF(AF542="DoEVba",IF(AND(V542&lt;20,W542&lt;105),0.2,0)+IF(AND(V542&lt;20,W542&gt;=105),0.15,0)+IF(AND(V542&gt;=20,V542&lt;40,W542&lt;95),0.2,0)+IF(AND(V542&gt;=20,V542&lt;40,W542&gt;=95,W542&lt;150),0.15,0)+IF(AND(V542&gt;=20,V542&lt;40,W542&gt;=150),0.12,0)+IF(AND(V542&gt;=40,V542&lt;75,W542&lt;75),0.2,0)+IF(AND(V542&gt;=40,V542&lt;75,W542&gt;=75,W542&lt;120),0.15,0)+IF(AND(V542&gt;=40,V542&lt;75,W542&gt;=120),0.12,0)+IF(AND(V542&gt;=75,V542&lt;175,W542&lt;65),0.2,0)+IF(AND(V542&gt;=75,V542&lt;175,W542&gt;=65,W542&lt;110),0.15,0)+IF(AND(V542&gt;=75,V542&lt;175,W542&gt;=110),0.12,0)+IF(AND(V542&gt;=175,W542&lt;55),0.2,0)+IF(AND(V542&gt;=175,W542&gt;=55,W542&lt;95),0.15,0)+IF(AND(V542&gt;=175,W542&gt;=95),0.12,0),
IF(AF542="DoEVku",IF(AND(V542&lt;20,W542&lt;55),0.23,0)+IF(AND(V542&lt;20,W542&gt;=55,W542&lt;105),0.2,0)+IF(AND(V542&lt;20,W542&gt;=105),0.17,0)+IF(AND(V542&gt;=20,V542&lt;40,W542&lt;45),0.23,0)+IF(AND(V542&gt;=20,V542&lt;40,W542&gt;=45,W542&lt;95),0.2,0)+IF(AND(V542&gt;=20,V542&lt;40,W542&gt;=95,W542&lt;=150),0.17,0)+IF(AND(V542&gt;=20,V542&lt;40,W542&gt;=150),0.12,0)+IF(AND(V542&gt;=40,V542&lt;75,W542&lt;35),0.23,0)+IF(AND(V542&gt;=40,V542&lt;75,W542&gt;=35,W542&lt;75),0.2,0)+IF(AND(V542&gt;=40,V542&lt;75,W542&gt;=75,W542&lt;120),0.17,0)+IF(AND(V542&gt;=40,V542&lt;75,W542&gt;=120),0.12,0)+IF(AND(V542&gt;=75,V542&lt;175,W542&lt;35),0.23,0)+IF(AND(V542&gt;=75,V542&lt;=175,W542&gt;=35,W542&lt;65),0.2,0)+IF(AND(V542&gt;=75,V542&lt;=175,W542&gt;=65,W542&lt;110),0.17,0)+IF(AND(V542&gt;=75,V542&lt;=175,W542&gt;=110),0.12,0)+IF(AND(V542&gt;175,W542&lt;25),0.23,0)+IF(AND(V542&gt;175,W542&gt;=25,W542&lt;55),0.2,0)+IF(AND(V542&gt;175,W542&gt;=55,W542&lt;95),0.17,0)+IF(AND(V542&gt;175,W542&gt;=95),0.12,0),
IF(AF542="DoEVs1",IF(AND(V542&lt;20,W542&lt;55),0.3,0)+IF(AND(V542&lt;20,W542&gt;=55,W542&lt;105),0.23,0)+IF(AND(V542&lt;20,W542&gt;=105),0.17,0)+IF(AND(V542&gt;=20,V542&lt;40,W542&lt;45),0.3,0)+IF(AND(V542&gt;=20,V542&lt;40,W542&gt;=45,W542&lt;95),0.23,0)+IF(AND(V542&gt;=20,V542&lt;40,W542&gt;=95,W542&lt;=150),0.17,0)+IF(AND(V542&gt;=20,V542&lt;40,W542&gt;=150),0.12,0)+IF(AND(V542&gt;=40,V542&lt;75,W542&lt;35),0.3,0)+IF(AND(V542&gt;=40,V542&lt;75,W542&gt;=35,W542&lt;75),0.23,0)+IF(AND(V542&gt;=40,V542&lt;75,W542&gt;=75,W542&lt;120),0.17,0)+IF(AND(V542&gt;=40,V542&lt;75,W542&gt;=120),0.12,0)+IF(AND(V542&gt;=75,V542&lt;175,W542&lt;35),0.3,0)+IF(AND(V542&gt;=75,V542&lt;=175,W542&gt;=35,W542&lt;65),0.23,0)+IF(AND(V542&gt;=75,V542&lt;=175,W542&gt;=65,W542&lt;110),0.17,0)+IF(AND(V542&gt;=75,V542&lt;=175,W542&gt;=110),0.12,0)+IF(AND(V542&gt;175,W542&lt;25),0.3,0)+IF(AND(V542&gt;175,W542&gt;=25,W542&lt;55),0.23,0)+IF(AND(V542&gt;175,W542&gt;=55,W542&lt;95),0.17,0)+IF(AND(V542&gt;175,W542&gt;=95),0.12,0),
IF(AF542="DoEVsu",IF(AND(V542&lt;20,W542&lt;55),0.3,0)+IF(AND(V542&lt;20,W542&gt;=55,W542&lt;105),0.23,0)+IF(AND(V542&lt;20,W542&gt;=105),0.17,0)+IF(AND(V542&gt;=20,V542&lt;40,W542&lt;45),0.3,0)+IF(AND(V542&gt;=20,V542&lt;40,W542&gt;=45,W542&lt;95),0.23,0)+IF(AND(V542&gt;=20,V542&lt;40,W542&gt;=95,W542&lt;=250),0.17,0)+IF(AND(V542&gt;=20,V542&lt;40,W542&gt;=250),0.12,0)+IF(AND(V542&gt;=40,V542&lt;75,W542&lt;35),0.3,0)+IF(AND(V542&gt;=40,V542&lt;75,W542&gt;=35,W542&lt;75),0.23,0)+IF(AND(V542&gt;=40,V542&lt;75,W542&gt;=75,W542&lt;120),0.17,0)+IF(AND(V542&gt;=40,V542&lt;75,W542&gt;=120),0.12,0)+IF(AND(V542&gt;=75,V542&lt;175,W542&lt;35),0.3,0)+IF(AND(V542&gt;=75,V542&lt;=175,W542&gt;=35,W542&lt;65),0.23,0)+IF(AND(V542&gt;=75,V542&lt;=175,W542&gt;=65,W542&lt;110),0.17,0)+IF(AND(V542&gt;=75,V542&lt;=175,W542&gt;=110),0.12,0)+IF(AND(V542&gt;175,W542&lt;25),0.3,0)+IF(AND(V542&gt;175,W542&gt;=25,W542&lt;55),0.23,0)+IF(AND(V542&gt;175,W542&gt;=55,W542&lt;95),0.17,0)+IF(AND(V542&gt;175,W542&gt;=95),0.12,0),
IF(AF542="DoEVni",IF(AND(V542&lt;20,W542&lt;55),0.3,0)+IF(AND(V542&lt;20,W542&gt;=55,W542&lt;105),0.23,0)+IF(AND(V542&lt;20,W542&gt;=105),0.17,0)+IF(AND(V542&gt;=20,V542&lt;40,W542&lt;45),0.3,0)+IF(AND(V542&gt;=20,V542&lt;40,W542&gt;=45,W542&lt;95),0.23,0)+IF(AND(V542&gt;=20,V542&lt;40,W542&gt;=95,W542&lt;=200),0.17,0)+IF(AND(V542&gt;=20,V542&lt;40,W542&gt;=200),0.12,0)+IF(AND(V542&gt;=40,V542&lt;75,W542&lt;35),0.3,0)+IF(AND(V542&gt;=40,V542&lt;75,W542&gt;=35,W542&lt;75),0.23,0)+IF(AND(V542&gt;=40,V542&lt;75,W542&gt;=75,W542&lt;120),0.17,0)+IF(AND(V542&gt;=40,V542&lt;75,W542&gt;=120),0.12,0)+IF(AND(V542&gt;=75,V542&lt;175,W542&lt;35),0.3,0)+IF(AND(V542&gt;=75,V542&lt;=175,W542&gt;=35,W542&lt;65),0.23,0)+IF(AND(V542&gt;=75,V542&lt;=175,W542&gt;=65,W542&lt;110),0.17,0)+IF(AND(V542&gt;=75,V542&lt;=175,W542&gt;=110),0.12,0)+IF(AND(V542&gt;175,W542&lt;25),0.3,0)+IF(AND(V542&gt;175,W542&gt;=25,W542&lt;55),0.23,0)+IF(AND(V542&gt;175,W542&gt;=55,W542&lt;95),0.17,0)+IF(AND(V542&gt;175,W542&gt;=95),0.12,0),
IF(AF542="DoEVLo",IF(AND(V542&lt;20,W542&lt;55),0.25,0)+IF(AND(V542&lt;20,W542&gt;=55,W542&lt;105),0.2,0)+IF(AND(V542&lt;20,W542&gt;=105),0.15,0)+IF(AND(V542&gt;=20,V542&lt;40,W542&lt;45),0.25,0)+IF(AND(V542&gt;=20,V542&lt;40,W542&gt;=45,W542&lt;95),0.2,0)+IF(AND(V542&gt;=20,V542&lt;40,W542&gt;=95),0.15,0)+IF(AND(V542&gt;=40,V542&lt;75,W542&lt;35),0.25,0)+IF(AND(V542&gt;=40,V542&lt;75,W542&gt;=35,W542&lt;75),0.2,0)+IF(AND(V542&gt;=40,V542&lt;75,W542&gt;=75,W542&lt;120),0.15,0)+IF(AND(V542&gt;=40,V542&lt;75,W542&gt;=120),0.1,0)+IF(AND(V542&gt;=75,V542&lt;175,W542&lt;35),0.25,0)+IF(AND(V542&gt;=75,V542&lt;=175,W542&gt;=35,W542&lt;65),0.2,0)+IF(AND(V542&gt;=75,V542&lt;=175,W542&gt;=65,W542&lt;110),0.15,0)+IF(AND(V542&gt;=75,V542&lt;=175,W542&gt;=110),0.1,0)+IF(AND(V542&gt;175,W542&lt;25),0.25,0)+IF(AND(V542&gt;175,W542&gt;=25,W542&lt;55),0.2,0)+IF(AND(V542&gt;175,W542&gt;=55,W542&lt;95),0.15,0)+IF(AND(V542&gt;175,W542&gt;=95),0.1,0)))))))))))))))))</f>
        <v>0.1875</v>
      </c>
      <c r="Y542" s="30">
        <f>IF(AG542="None",0,IF(AG542="Fix5",0.05, IF(AG542="Fix6.25",0.0625,IF(AG542="Fix3.75",0.0375,IF(AG542="Fix10",0.1,IF(AG542="Fix3",0.03,0))))))</f>
        <v>6.25E-2</v>
      </c>
      <c r="Z542" s="35">
        <f>T542-AA542-AB542</f>
        <v>-2181</v>
      </c>
      <c r="AA542" s="29">
        <f>IF(AD542="EUR",((T542-R542)*X542)*U542+(R542*X542),(T542*X542))</f>
        <v>-545.25</v>
      </c>
      <c r="AB542" s="36">
        <f>IF(AD542="EUR",((T542-R542)*Y542)*U542+(R542*Y542),(T542*Y542))</f>
        <v>-181.75</v>
      </c>
      <c r="AC542" s="37" t="b">
        <v>1</v>
      </c>
      <c r="AD542" s="37" t="s">
        <v>38</v>
      </c>
      <c r="AE542" s="37" t="s">
        <v>38</v>
      </c>
      <c r="AF542" s="37" t="s">
        <v>146</v>
      </c>
      <c r="AG542" s="38" t="s">
        <v>147</v>
      </c>
    </row>
    <row r="543" spans="1:33" ht="14.25" hidden="1" x14ac:dyDescent="0.2">
      <c r="A543" s="18" t="str">
        <f t="array" ref="A543">IF(G543='Room Info'!$B$1, INDEX('Room Info'!$A$2:$A2446, MATCH(B543,'Room Info'!$B$2:$B2446, 0)),IF(G543='Room Info'!$C$1, INDEX('Room Info'!$A$2:$A2446, MATCH(B543,'Room Info'!$C$2:$C2446, 0)),IF(G543='Room Info'!$D$1, INDEX('Room Info'!$A$2:$A2446, MATCH(B543,'Room Info'!$D$2:$D2446, 0)),IF(G543='Room Info'!$E$1, INDEX('Room Info'!$A$2:$A2446, MATCH(B543,'Room Info'!$E$2:$E2446, 0)),IF(G543='Room Info'!$F$1, INDEX('Room Info'!$A$2:$A2446, MATCH(B543,'Room Info'!$F$2:$F2446, 0)),IF(G543='Room Info'!$H$1, INDEX('Room Info'!$A$2:$A2446, MATCH(B543,'Room Info'!$H$2:$H2446, 0)),IF(G543='Room Info'!$G$1, INDEX('Room Info'!$A$2:$A2446, MATCH(B543,'Room Info'!$G$2:$G2446, 0)))))))))</f>
        <v>benyya</v>
      </c>
      <c r="B543" s="45" t="s">
        <v>145</v>
      </c>
      <c r="C543" s="46">
        <v>44916</v>
      </c>
      <c r="D543" s="46">
        <v>44957</v>
      </c>
      <c r="E543" s="47">
        <v>44927</v>
      </c>
      <c r="F543" s="45" t="s">
        <v>49</v>
      </c>
      <c r="G543" s="54" t="s">
        <v>35</v>
      </c>
      <c r="H543" s="49" t="s">
        <v>85</v>
      </c>
      <c r="I543" s="49" t="s">
        <v>44</v>
      </c>
      <c r="J543" s="50">
        <v>50</v>
      </c>
      <c r="K543" s="51">
        <v>803</v>
      </c>
      <c r="L543" s="52">
        <v>850</v>
      </c>
      <c r="M543" s="53">
        <v>2329</v>
      </c>
      <c r="N543" s="28">
        <f>K543*J543</f>
        <v>40150</v>
      </c>
      <c r="O543" s="54">
        <v>9926</v>
      </c>
      <c r="P543" s="29">
        <v>12.3611457</v>
      </c>
      <c r="Q543" s="55"/>
      <c r="R543" s="31">
        <f>M543+Q543</f>
        <v>2329</v>
      </c>
      <c r="S543" s="56">
        <v>-964</v>
      </c>
      <c r="T543" s="32">
        <f>R543+S543+IF(F543="Without EV deal",L543,0)</f>
        <v>1365</v>
      </c>
      <c r="U543" s="57">
        <v>1</v>
      </c>
      <c r="V543" s="58">
        <v>147.51</v>
      </c>
      <c r="W543" s="58">
        <v>85</v>
      </c>
      <c r="X543" s="30">
        <f>IF(AF543="DoEV",IF(AND(V543&lt;20,W543&lt;55),0.3,0)+IF(AND(V543&lt;20,W543&gt;=55,W543&lt;105),0.23,0)+IF(AND(V543&lt;20,W543&gt;=105),0.17,0)+IF(AND(V543&gt;=20,V543&lt;40,W543&lt;45),0.3,0)+IF(AND(V543&gt;=20,V543&lt;40,W543&gt;=45,W543&lt;95),0.23,0)+IF(AND(V543&gt;=20,V543&lt;40,W543&gt;=95),0.17,0)+IF(AND(V543&gt;=40,V543&lt;75,W543&lt;35),0.3,0)+IF(AND(V543&gt;=40,V543&lt;75,W543&gt;=35,W543&lt;75),0.23,0)+IF(AND(V543&gt;=40,V543&lt;75,W543&gt;=75,W543&lt;120),0.17,0)+IF(AND(V543&gt;=40,V543&lt;75,W543&gt;=120),0.12,0)+IF(AND(V543&gt;=75,V543&lt;175,W543&lt;35),0.3,0)+IF(AND(V543&gt;=75,V543&lt;=175,W543&gt;=35,W543&lt;65),0.23,0)+IF(AND(V543&gt;=75,V543&lt;=175,W543&gt;=65,W543&lt;110),0.17,0)+IF(AND(V543&gt;=75,V543&lt;=175,W543&gt;=110),0.12,0)+IF(AND(V543&gt;175,W543&lt;25),0.3,0)+IF(AND(V543&gt;175,W543&gt;=25,W543&lt;55),0.23,0)+IF(AND(V543&gt;175,W543&gt;=55,W543&lt;95),0.17,0)+IF(AND(V543&gt;175,W543&gt;=95),0.12,0),
IF(AF543="Fix15",0.15,
IF(AF543="Fix18.75",0.1875,
IF(AF543="Fix11.25",0.1125,
IF(AF543="Fix10",0.1,
IF(AF543="Fix9",0.09,
IF(AF543="DoEV2017",IF(AND(W543&lt;74),0.2,0)+IF(AND(W543&gt;=74),0.17,0),
IF(AF543="SF",IF(AND(V543&lt;20,W543&lt;89),0.3,0)+IF(AND(V543&lt;20,W543&gt;=89),0.25,0)+IF(AND(V543&gt;=20,V543&lt;40,W543&lt;74),0.3,0)+IF(AND(V543&gt;=20,V543&lt;40,W543&gt;=75),0.22,0)+IF(AND(V543&gt;=40,V543&lt;75,W543&lt;75),0.26,0)+IF(AND(V543&gt;=40,V543&lt;75,W543&gt;=75),0.22,0)+IF(V543&gt;=75,0.22,0),
IF(AF543="DoEVold",IF(AND(V543&lt;40,W543&lt;35),0.35,0)+IF(AND(V543&lt;40,W543&gt;=35,W543&lt;75),0.25,0)+IF(AND(V543&lt;40,W543&gt;=75),0.17,0)+IF(AND(V543&gt;=40,V543&lt;75,W543&lt;25),0.35,0)+IF(AND(V543&gt;=40,V543&lt;75,W543&gt;=25,W543&lt;65),0.25,0)+IF(AND(V543&gt;=40,V543&lt;75,W543&gt;=65,W543&lt;100),0.17,0)+IF(AND(V543&gt;=40,V543&lt;75,W543&gt;=100),0.1,0)+IF(AND(V543&gt;=75,W543&lt;25),0.35,0)+IF(AND(V543&gt;=75,W543&gt;=25,W543&lt;60),0.25,0)+IF(AND(V543&gt;=75,W543&gt;=60,W543&lt;95),0.17,0)+IF(AND(V543&gt;=75,W543&gt;=95),0.1,0),
IF(AF543="DoEVold15",IF(AND(V543&lt;=40,W543&lt;35),0.35,0)+IF(AND(V543&lt;=40,W543&gt;=35,W543&lt;75),0.25,0)+IF(AND(V543&lt;=40,W543&gt;=75,W543&lt;120),0.17,0)+IF(AND(V543&lt;=40,W543&gt;=120),0.15,0)+IF(AND(V543&gt;40,V543&lt;75,W543&lt;25),0.35,0)+IF(AND(V543&gt;=40,V543&lt;75,W543&gt;=25,W543&lt;65),0.25,0)+IF(AND(V543&gt;=40,V543&lt;75,W543&gt;=65,W543&lt;100),0.17,0)+IF(AND(V543&gt;=40,V543&lt;75,W543&gt;=100),0.1,0)+IF(AND(V543&gt;=75,W543&lt;25),0.35,0)+IF(AND(V543&gt;=75,W543&gt;=25,W543&lt;60),0.25,0)+IF(AND(V543&gt;=75,W543&gt;=60,W543&lt;95),0.17,0)+IF(AND(V543&gt;=75,W543&gt;=95),0.1,0),
IF(AF543="DoEVba",IF(AND(V543&lt;20,W543&lt;105),0.2,0)+IF(AND(V543&lt;20,W543&gt;=105),0.15,0)+IF(AND(V543&gt;=20,V543&lt;40,W543&lt;95),0.2,0)+IF(AND(V543&gt;=20,V543&lt;40,W543&gt;=95,W543&lt;150),0.15,0)+IF(AND(V543&gt;=20,V543&lt;40,W543&gt;=150),0.12,0)+IF(AND(V543&gt;=40,V543&lt;75,W543&lt;75),0.2,0)+IF(AND(V543&gt;=40,V543&lt;75,W543&gt;=75,W543&lt;120),0.15,0)+IF(AND(V543&gt;=40,V543&lt;75,W543&gt;=120),0.12,0)+IF(AND(V543&gt;=75,V543&lt;175,W543&lt;65),0.2,0)+IF(AND(V543&gt;=75,V543&lt;175,W543&gt;=65,W543&lt;110),0.15,0)+IF(AND(V543&gt;=75,V543&lt;175,W543&gt;=110),0.12,0)+IF(AND(V543&gt;=175,W543&lt;55),0.2,0)+IF(AND(V543&gt;=175,W543&gt;=55,W543&lt;95),0.15,0)+IF(AND(V543&gt;=175,W543&gt;=95),0.12,0),
IF(AF543="DoEVku",IF(AND(V543&lt;20,W543&lt;55),0.23,0)+IF(AND(V543&lt;20,W543&gt;=55,W543&lt;105),0.2,0)+IF(AND(V543&lt;20,W543&gt;=105),0.17,0)+IF(AND(V543&gt;=20,V543&lt;40,W543&lt;45),0.23,0)+IF(AND(V543&gt;=20,V543&lt;40,W543&gt;=45,W543&lt;95),0.2,0)+IF(AND(V543&gt;=20,V543&lt;40,W543&gt;=95,W543&lt;=150),0.17,0)+IF(AND(V543&gt;=20,V543&lt;40,W543&gt;=150),0.12,0)+IF(AND(V543&gt;=40,V543&lt;75,W543&lt;35),0.23,0)+IF(AND(V543&gt;=40,V543&lt;75,W543&gt;=35,W543&lt;75),0.2,0)+IF(AND(V543&gt;=40,V543&lt;75,W543&gt;=75,W543&lt;120),0.17,0)+IF(AND(V543&gt;=40,V543&lt;75,W543&gt;=120),0.12,0)+IF(AND(V543&gt;=75,V543&lt;175,W543&lt;35),0.23,0)+IF(AND(V543&gt;=75,V543&lt;=175,W543&gt;=35,W543&lt;65),0.2,0)+IF(AND(V543&gt;=75,V543&lt;=175,W543&gt;=65,W543&lt;110),0.17,0)+IF(AND(V543&gt;=75,V543&lt;=175,W543&gt;=110),0.12,0)+IF(AND(V543&gt;175,W543&lt;25),0.23,0)+IF(AND(V543&gt;175,W543&gt;=25,W543&lt;55),0.2,0)+IF(AND(V543&gt;175,W543&gt;=55,W543&lt;95),0.17,0)+IF(AND(V543&gt;175,W543&gt;=95),0.12,0),
IF(AF543="DoEVs1",IF(AND(V543&lt;20,W543&lt;55),0.3,0)+IF(AND(V543&lt;20,W543&gt;=55,W543&lt;105),0.23,0)+IF(AND(V543&lt;20,W543&gt;=105),0.17,0)+IF(AND(V543&gt;=20,V543&lt;40,W543&lt;45),0.3,0)+IF(AND(V543&gt;=20,V543&lt;40,W543&gt;=45,W543&lt;95),0.23,0)+IF(AND(V543&gt;=20,V543&lt;40,W543&gt;=95,W543&lt;=150),0.17,0)+IF(AND(V543&gt;=20,V543&lt;40,W543&gt;=150),0.12,0)+IF(AND(V543&gt;=40,V543&lt;75,W543&lt;35),0.3,0)+IF(AND(V543&gt;=40,V543&lt;75,W543&gt;=35,W543&lt;75),0.23,0)+IF(AND(V543&gt;=40,V543&lt;75,W543&gt;=75,W543&lt;120),0.17,0)+IF(AND(V543&gt;=40,V543&lt;75,W543&gt;=120),0.12,0)+IF(AND(V543&gt;=75,V543&lt;175,W543&lt;35),0.3,0)+IF(AND(V543&gt;=75,V543&lt;=175,W543&gt;=35,W543&lt;65),0.23,0)+IF(AND(V543&gt;=75,V543&lt;=175,W543&gt;=65,W543&lt;110),0.17,0)+IF(AND(V543&gt;=75,V543&lt;=175,W543&gt;=110),0.12,0)+IF(AND(V543&gt;175,W543&lt;25),0.3,0)+IF(AND(V543&gt;175,W543&gt;=25,W543&lt;55),0.23,0)+IF(AND(V543&gt;175,W543&gt;=55,W543&lt;95),0.17,0)+IF(AND(V543&gt;175,W543&gt;=95),0.12,0),
IF(AF543="DoEVsu",IF(AND(V543&lt;20,W543&lt;55),0.3,0)+IF(AND(V543&lt;20,W543&gt;=55,W543&lt;105),0.23,0)+IF(AND(V543&lt;20,W543&gt;=105),0.17,0)+IF(AND(V543&gt;=20,V543&lt;40,W543&lt;45),0.3,0)+IF(AND(V543&gt;=20,V543&lt;40,W543&gt;=45,W543&lt;95),0.23,0)+IF(AND(V543&gt;=20,V543&lt;40,W543&gt;=95,W543&lt;=250),0.17,0)+IF(AND(V543&gt;=20,V543&lt;40,W543&gt;=250),0.12,0)+IF(AND(V543&gt;=40,V543&lt;75,W543&lt;35),0.3,0)+IF(AND(V543&gt;=40,V543&lt;75,W543&gt;=35,W543&lt;75),0.23,0)+IF(AND(V543&gt;=40,V543&lt;75,W543&gt;=75,W543&lt;120),0.17,0)+IF(AND(V543&gt;=40,V543&lt;75,W543&gt;=120),0.12,0)+IF(AND(V543&gt;=75,V543&lt;175,W543&lt;35),0.3,0)+IF(AND(V543&gt;=75,V543&lt;=175,W543&gt;=35,W543&lt;65),0.23,0)+IF(AND(V543&gt;=75,V543&lt;=175,W543&gt;=65,W543&lt;110),0.17,0)+IF(AND(V543&gt;=75,V543&lt;=175,W543&gt;=110),0.12,0)+IF(AND(V543&gt;175,W543&lt;25),0.3,0)+IF(AND(V543&gt;175,W543&gt;=25,W543&lt;55),0.23,0)+IF(AND(V543&gt;175,W543&gt;=55,W543&lt;95),0.17,0)+IF(AND(V543&gt;175,W543&gt;=95),0.12,0),
IF(AF543="DoEVni",IF(AND(V543&lt;20,W543&lt;55),0.3,0)+IF(AND(V543&lt;20,W543&gt;=55,W543&lt;105),0.23,0)+IF(AND(V543&lt;20,W543&gt;=105),0.17,0)+IF(AND(V543&gt;=20,V543&lt;40,W543&lt;45),0.3,0)+IF(AND(V543&gt;=20,V543&lt;40,W543&gt;=45,W543&lt;95),0.23,0)+IF(AND(V543&gt;=20,V543&lt;40,W543&gt;=95,W543&lt;=200),0.17,0)+IF(AND(V543&gt;=20,V543&lt;40,W543&gt;=200),0.12,0)+IF(AND(V543&gt;=40,V543&lt;75,W543&lt;35),0.3,0)+IF(AND(V543&gt;=40,V543&lt;75,W543&gt;=35,W543&lt;75),0.23,0)+IF(AND(V543&gt;=40,V543&lt;75,W543&gt;=75,W543&lt;120),0.17,0)+IF(AND(V543&gt;=40,V543&lt;75,W543&gt;=120),0.12,0)+IF(AND(V543&gt;=75,V543&lt;175,W543&lt;35),0.3,0)+IF(AND(V543&gt;=75,V543&lt;=175,W543&gt;=35,W543&lt;65),0.23,0)+IF(AND(V543&gt;=75,V543&lt;=175,W543&gt;=65,W543&lt;110),0.17,0)+IF(AND(V543&gt;=75,V543&lt;=175,W543&gt;=110),0.12,0)+IF(AND(V543&gt;175,W543&lt;25),0.3,0)+IF(AND(V543&gt;175,W543&gt;=25,W543&lt;55),0.23,0)+IF(AND(V543&gt;175,W543&gt;=55,W543&lt;95),0.17,0)+IF(AND(V543&gt;175,W543&gt;=95),0.12,0),
IF(AF543="DoEVLo",IF(AND(V543&lt;20,W543&lt;55),0.25,0)+IF(AND(V543&lt;20,W543&gt;=55,W543&lt;105),0.2,0)+IF(AND(V543&lt;20,W543&gt;=105),0.15,0)+IF(AND(V543&gt;=20,V543&lt;40,W543&lt;45),0.25,0)+IF(AND(V543&gt;=20,V543&lt;40,W543&gt;=45,W543&lt;95),0.2,0)+IF(AND(V543&gt;=20,V543&lt;40,W543&gt;=95),0.15,0)+IF(AND(V543&gt;=40,V543&lt;75,W543&lt;35),0.25,0)+IF(AND(V543&gt;=40,V543&lt;75,W543&gt;=35,W543&lt;75),0.2,0)+IF(AND(V543&gt;=40,V543&lt;75,W543&gt;=75,W543&lt;120),0.15,0)+IF(AND(V543&gt;=40,V543&lt;75,W543&gt;=120),0.1,0)+IF(AND(V543&gt;=75,V543&lt;175,W543&lt;35),0.25,0)+IF(AND(V543&gt;=75,V543&lt;=175,W543&gt;=35,W543&lt;65),0.2,0)+IF(AND(V543&gt;=75,V543&lt;=175,W543&gt;=65,W543&lt;110),0.15,0)+IF(AND(V543&gt;=75,V543&lt;=175,W543&gt;=110),0.1,0)+IF(AND(V543&gt;175,W543&lt;25),0.25,0)+IF(AND(V543&gt;175,W543&gt;=25,W543&lt;55),0.2,0)+IF(AND(V543&gt;175,W543&gt;=55,W543&lt;95),0.15,0)+IF(AND(V543&gt;175,W543&gt;=95),0.1,0)))))))))))))))))</f>
        <v>0.1875</v>
      </c>
      <c r="Y543" s="30">
        <f>IF(AG543="None",0,IF(AG543="Fix5",0.05, IF(AG543="Fix6.25",0.0625,IF(AG543="Fix3.75",0.0375,IF(AG543="Fix10",0.1,IF(AG543="Fix3",0.03,0))))))</f>
        <v>6.25E-2</v>
      </c>
      <c r="Z543" s="35">
        <f>T543-AA543-AB543</f>
        <v>1023.75</v>
      </c>
      <c r="AA543" s="29">
        <f>IF(AD543="EUR",((T543-R543)*X543)*U543+(R543*X543),(T543*X543))</f>
        <v>255.9375</v>
      </c>
      <c r="AB543" s="36">
        <f>IF(AD543="EUR",((T543-R543)*Y543)*U543+(R543*Y543),(T543*Y543))</f>
        <v>85.3125</v>
      </c>
      <c r="AC543" s="37" t="b">
        <v>1</v>
      </c>
      <c r="AD543" s="37" t="s">
        <v>38</v>
      </c>
      <c r="AE543" s="37" t="s">
        <v>38</v>
      </c>
      <c r="AF543" s="37" t="s">
        <v>146</v>
      </c>
      <c r="AG543" s="38" t="s">
        <v>147</v>
      </c>
    </row>
    <row r="544" spans="1:33" ht="14.25" hidden="1" x14ac:dyDescent="0.2">
      <c r="A544" s="18" t="str">
        <f t="array" ref="A544">IF(G544='Room Info'!$B$1, INDEX('Room Info'!$A$2:$A2446, MATCH(B544,'Room Info'!$B$2:$B2446, 0)),IF(G544='Room Info'!$C$1, INDEX('Room Info'!$A$2:$A2446, MATCH(B544,'Room Info'!$C$2:$C2446, 0)),IF(G544='Room Info'!$D$1, INDEX('Room Info'!$A$2:$A2446, MATCH(B544,'Room Info'!$D$2:$D2446, 0)),IF(G544='Room Info'!$E$1, INDEX('Room Info'!$A$2:$A2446, MATCH(B544,'Room Info'!$E$2:$E2446, 0)),IF(G544='Room Info'!$F$1, INDEX('Room Info'!$A$2:$A2446, MATCH(B544,'Room Info'!$F$2:$F2446, 0)),IF(G544='Room Info'!$H$1, INDEX('Room Info'!$A$2:$A2446, MATCH(B544,'Room Info'!$H$2:$H2446, 0)),IF(G544='Room Info'!$G$1, INDEX('Room Info'!$A$2:$A2446, MATCH(B544,'Room Info'!$G$2:$G2446, 0)))))))))</f>
        <v>benyya</v>
      </c>
      <c r="B544" s="45" t="s">
        <v>145</v>
      </c>
      <c r="C544" s="46">
        <v>44916</v>
      </c>
      <c r="D544" s="46">
        <v>44957</v>
      </c>
      <c r="E544" s="47">
        <v>44927</v>
      </c>
      <c r="F544" s="48" t="s">
        <v>49</v>
      </c>
      <c r="G544" s="45" t="s">
        <v>35</v>
      </c>
      <c r="H544" s="49" t="s">
        <v>70</v>
      </c>
      <c r="I544" s="49" t="s">
        <v>37</v>
      </c>
      <c r="J544" s="70">
        <v>100</v>
      </c>
      <c r="K544" s="71">
        <v>7</v>
      </c>
      <c r="L544" s="72">
        <v>0</v>
      </c>
      <c r="M544" s="53">
        <v>34</v>
      </c>
      <c r="N544" s="28">
        <f>K544*J544</f>
        <v>700</v>
      </c>
      <c r="O544" s="45">
        <v>-1229</v>
      </c>
      <c r="P544" s="29">
        <v>-175.57142859999999</v>
      </c>
      <c r="Q544" s="55"/>
      <c r="R544" s="31">
        <f>M544+Q544</f>
        <v>34</v>
      </c>
      <c r="S544" s="73">
        <v>-267</v>
      </c>
      <c r="T544" s="32">
        <f>R544+S544+IF(F544="Without EV deal",L544,0)</f>
        <v>-233</v>
      </c>
      <c r="U544" s="57">
        <v>1</v>
      </c>
      <c r="V544" s="58">
        <v>147.51</v>
      </c>
      <c r="W544" s="58">
        <v>85</v>
      </c>
      <c r="X544" s="30">
        <f>IF(AF544="DoEV",IF(AND(V544&lt;20,W544&lt;55),0.3,0)+IF(AND(V544&lt;20,W544&gt;=55,W544&lt;105),0.23,0)+IF(AND(V544&lt;20,W544&gt;=105),0.17,0)+IF(AND(V544&gt;=20,V544&lt;40,W544&lt;45),0.3,0)+IF(AND(V544&gt;=20,V544&lt;40,W544&gt;=45,W544&lt;95),0.23,0)+IF(AND(V544&gt;=20,V544&lt;40,W544&gt;=95),0.17,0)+IF(AND(V544&gt;=40,V544&lt;75,W544&lt;35),0.3,0)+IF(AND(V544&gt;=40,V544&lt;75,W544&gt;=35,W544&lt;75),0.23,0)+IF(AND(V544&gt;=40,V544&lt;75,W544&gt;=75,W544&lt;120),0.17,0)+IF(AND(V544&gt;=40,V544&lt;75,W544&gt;=120),0.12,0)+IF(AND(V544&gt;=75,V544&lt;175,W544&lt;35),0.3,0)+IF(AND(V544&gt;=75,V544&lt;=175,W544&gt;=35,W544&lt;65),0.23,0)+IF(AND(V544&gt;=75,V544&lt;=175,W544&gt;=65,W544&lt;110),0.17,0)+IF(AND(V544&gt;=75,V544&lt;=175,W544&gt;=110),0.12,0)+IF(AND(V544&gt;175,W544&lt;25),0.3,0)+IF(AND(V544&gt;175,W544&gt;=25,W544&lt;55),0.23,0)+IF(AND(V544&gt;175,W544&gt;=55,W544&lt;95),0.17,0)+IF(AND(V544&gt;175,W544&gt;=95),0.12,0),
IF(AF544="Fix15",0.15,
IF(AF544="Fix18.75",0.1875,
IF(AF544="Fix11.25",0.1125,
IF(AF544="Fix10",0.1,
IF(AF544="Fix9",0.09,
IF(AF544="DoEV2017",IF(AND(W544&lt;74),0.2,0)+IF(AND(W544&gt;=74),0.17,0),
IF(AF544="SF",IF(AND(V544&lt;20,W544&lt;89),0.3,0)+IF(AND(V544&lt;20,W544&gt;=89),0.25,0)+IF(AND(V544&gt;=20,V544&lt;40,W544&lt;74),0.3,0)+IF(AND(V544&gt;=20,V544&lt;40,W544&gt;=75),0.22,0)+IF(AND(V544&gt;=40,V544&lt;75,W544&lt;75),0.26,0)+IF(AND(V544&gt;=40,V544&lt;75,W544&gt;=75),0.22,0)+IF(V544&gt;=75,0.22,0),
IF(AF544="DoEVold",IF(AND(V544&lt;40,W544&lt;35),0.35,0)+IF(AND(V544&lt;40,W544&gt;=35,W544&lt;75),0.25,0)+IF(AND(V544&lt;40,W544&gt;=75),0.17,0)+IF(AND(V544&gt;=40,V544&lt;75,W544&lt;25),0.35,0)+IF(AND(V544&gt;=40,V544&lt;75,W544&gt;=25,W544&lt;65),0.25,0)+IF(AND(V544&gt;=40,V544&lt;75,W544&gt;=65,W544&lt;100),0.17,0)+IF(AND(V544&gt;=40,V544&lt;75,W544&gt;=100),0.1,0)+IF(AND(V544&gt;=75,W544&lt;25),0.35,0)+IF(AND(V544&gt;=75,W544&gt;=25,W544&lt;60),0.25,0)+IF(AND(V544&gt;=75,W544&gt;=60,W544&lt;95),0.17,0)+IF(AND(V544&gt;=75,W544&gt;=95),0.1,0),
IF(AF544="DoEVold15",IF(AND(V544&lt;=40,W544&lt;35),0.35,0)+IF(AND(V544&lt;=40,W544&gt;=35,W544&lt;75),0.25,0)+IF(AND(V544&lt;=40,W544&gt;=75,W544&lt;120),0.17,0)+IF(AND(V544&lt;=40,W544&gt;=120),0.15,0)+IF(AND(V544&gt;40,V544&lt;75,W544&lt;25),0.35,0)+IF(AND(V544&gt;=40,V544&lt;75,W544&gt;=25,W544&lt;65),0.25,0)+IF(AND(V544&gt;=40,V544&lt;75,W544&gt;=65,W544&lt;100),0.17,0)+IF(AND(V544&gt;=40,V544&lt;75,W544&gt;=100),0.1,0)+IF(AND(V544&gt;=75,W544&lt;25),0.35,0)+IF(AND(V544&gt;=75,W544&gt;=25,W544&lt;60),0.25,0)+IF(AND(V544&gt;=75,W544&gt;=60,W544&lt;95),0.17,0)+IF(AND(V544&gt;=75,W544&gt;=95),0.1,0),
IF(AF544="DoEVba",IF(AND(V544&lt;20,W544&lt;105),0.2,0)+IF(AND(V544&lt;20,W544&gt;=105),0.15,0)+IF(AND(V544&gt;=20,V544&lt;40,W544&lt;95),0.2,0)+IF(AND(V544&gt;=20,V544&lt;40,W544&gt;=95,W544&lt;150),0.15,0)+IF(AND(V544&gt;=20,V544&lt;40,W544&gt;=150),0.12,0)+IF(AND(V544&gt;=40,V544&lt;75,W544&lt;75),0.2,0)+IF(AND(V544&gt;=40,V544&lt;75,W544&gt;=75,W544&lt;120),0.15,0)+IF(AND(V544&gt;=40,V544&lt;75,W544&gt;=120),0.12,0)+IF(AND(V544&gt;=75,V544&lt;175,W544&lt;65),0.2,0)+IF(AND(V544&gt;=75,V544&lt;175,W544&gt;=65,W544&lt;110),0.15,0)+IF(AND(V544&gt;=75,V544&lt;175,W544&gt;=110),0.12,0)+IF(AND(V544&gt;=175,W544&lt;55),0.2,0)+IF(AND(V544&gt;=175,W544&gt;=55,W544&lt;95),0.15,0)+IF(AND(V544&gt;=175,W544&gt;=95),0.12,0),
IF(AF544="DoEVku",IF(AND(V544&lt;20,W544&lt;55),0.23,0)+IF(AND(V544&lt;20,W544&gt;=55,W544&lt;105),0.2,0)+IF(AND(V544&lt;20,W544&gt;=105),0.17,0)+IF(AND(V544&gt;=20,V544&lt;40,W544&lt;45),0.23,0)+IF(AND(V544&gt;=20,V544&lt;40,W544&gt;=45,W544&lt;95),0.2,0)+IF(AND(V544&gt;=20,V544&lt;40,W544&gt;=95,W544&lt;=150),0.17,0)+IF(AND(V544&gt;=20,V544&lt;40,W544&gt;=150),0.12,0)+IF(AND(V544&gt;=40,V544&lt;75,W544&lt;35),0.23,0)+IF(AND(V544&gt;=40,V544&lt;75,W544&gt;=35,W544&lt;75),0.2,0)+IF(AND(V544&gt;=40,V544&lt;75,W544&gt;=75,W544&lt;120),0.17,0)+IF(AND(V544&gt;=40,V544&lt;75,W544&gt;=120),0.12,0)+IF(AND(V544&gt;=75,V544&lt;175,W544&lt;35),0.23,0)+IF(AND(V544&gt;=75,V544&lt;=175,W544&gt;=35,W544&lt;65),0.2,0)+IF(AND(V544&gt;=75,V544&lt;=175,W544&gt;=65,W544&lt;110),0.17,0)+IF(AND(V544&gt;=75,V544&lt;=175,W544&gt;=110),0.12,0)+IF(AND(V544&gt;175,W544&lt;25),0.23,0)+IF(AND(V544&gt;175,W544&gt;=25,W544&lt;55),0.2,0)+IF(AND(V544&gt;175,W544&gt;=55,W544&lt;95),0.17,0)+IF(AND(V544&gt;175,W544&gt;=95),0.12,0),
IF(AF544="DoEVs1",IF(AND(V544&lt;20,W544&lt;55),0.3,0)+IF(AND(V544&lt;20,W544&gt;=55,W544&lt;105),0.23,0)+IF(AND(V544&lt;20,W544&gt;=105),0.17,0)+IF(AND(V544&gt;=20,V544&lt;40,W544&lt;45),0.3,0)+IF(AND(V544&gt;=20,V544&lt;40,W544&gt;=45,W544&lt;95),0.23,0)+IF(AND(V544&gt;=20,V544&lt;40,W544&gt;=95,W544&lt;=150),0.17,0)+IF(AND(V544&gt;=20,V544&lt;40,W544&gt;=150),0.12,0)+IF(AND(V544&gt;=40,V544&lt;75,W544&lt;35),0.3,0)+IF(AND(V544&gt;=40,V544&lt;75,W544&gt;=35,W544&lt;75),0.23,0)+IF(AND(V544&gt;=40,V544&lt;75,W544&gt;=75,W544&lt;120),0.17,0)+IF(AND(V544&gt;=40,V544&lt;75,W544&gt;=120),0.12,0)+IF(AND(V544&gt;=75,V544&lt;175,W544&lt;35),0.3,0)+IF(AND(V544&gt;=75,V544&lt;=175,W544&gt;=35,W544&lt;65),0.23,0)+IF(AND(V544&gt;=75,V544&lt;=175,W544&gt;=65,W544&lt;110),0.17,0)+IF(AND(V544&gt;=75,V544&lt;=175,W544&gt;=110),0.12,0)+IF(AND(V544&gt;175,W544&lt;25),0.3,0)+IF(AND(V544&gt;175,W544&gt;=25,W544&lt;55),0.23,0)+IF(AND(V544&gt;175,W544&gt;=55,W544&lt;95),0.17,0)+IF(AND(V544&gt;175,W544&gt;=95),0.12,0),
IF(AF544="DoEVsu",IF(AND(V544&lt;20,W544&lt;55),0.3,0)+IF(AND(V544&lt;20,W544&gt;=55,W544&lt;105),0.23,0)+IF(AND(V544&lt;20,W544&gt;=105),0.17,0)+IF(AND(V544&gt;=20,V544&lt;40,W544&lt;45),0.3,0)+IF(AND(V544&gt;=20,V544&lt;40,W544&gt;=45,W544&lt;95),0.23,0)+IF(AND(V544&gt;=20,V544&lt;40,W544&gt;=95,W544&lt;=250),0.17,0)+IF(AND(V544&gt;=20,V544&lt;40,W544&gt;=250),0.12,0)+IF(AND(V544&gt;=40,V544&lt;75,W544&lt;35),0.3,0)+IF(AND(V544&gt;=40,V544&lt;75,W544&gt;=35,W544&lt;75),0.23,0)+IF(AND(V544&gt;=40,V544&lt;75,W544&gt;=75,W544&lt;120),0.17,0)+IF(AND(V544&gt;=40,V544&lt;75,W544&gt;=120),0.12,0)+IF(AND(V544&gt;=75,V544&lt;175,W544&lt;35),0.3,0)+IF(AND(V544&gt;=75,V544&lt;=175,W544&gt;=35,W544&lt;65),0.23,0)+IF(AND(V544&gt;=75,V544&lt;=175,W544&gt;=65,W544&lt;110),0.17,0)+IF(AND(V544&gt;=75,V544&lt;=175,W544&gt;=110),0.12,0)+IF(AND(V544&gt;175,W544&lt;25),0.3,0)+IF(AND(V544&gt;175,W544&gt;=25,W544&lt;55),0.23,0)+IF(AND(V544&gt;175,W544&gt;=55,W544&lt;95),0.17,0)+IF(AND(V544&gt;175,W544&gt;=95),0.12,0),
IF(AF544="DoEVni",IF(AND(V544&lt;20,W544&lt;55),0.3,0)+IF(AND(V544&lt;20,W544&gt;=55,W544&lt;105),0.23,0)+IF(AND(V544&lt;20,W544&gt;=105),0.17,0)+IF(AND(V544&gt;=20,V544&lt;40,W544&lt;45),0.3,0)+IF(AND(V544&gt;=20,V544&lt;40,W544&gt;=45,W544&lt;95),0.23,0)+IF(AND(V544&gt;=20,V544&lt;40,W544&gt;=95,W544&lt;=200),0.17,0)+IF(AND(V544&gt;=20,V544&lt;40,W544&gt;=200),0.12,0)+IF(AND(V544&gt;=40,V544&lt;75,W544&lt;35),0.3,0)+IF(AND(V544&gt;=40,V544&lt;75,W544&gt;=35,W544&lt;75),0.23,0)+IF(AND(V544&gt;=40,V544&lt;75,W544&gt;=75,W544&lt;120),0.17,0)+IF(AND(V544&gt;=40,V544&lt;75,W544&gt;=120),0.12,0)+IF(AND(V544&gt;=75,V544&lt;175,W544&lt;35),0.3,0)+IF(AND(V544&gt;=75,V544&lt;=175,W544&gt;=35,W544&lt;65),0.23,0)+IF(AND(V544&gt;=75,V544&lt;=175,W544&gt;=65,W544&lt;110),0.17,0)+IF(AND(V544&gt;=75,V544&lt;=175,W544&gt;=110),0.12,0)+IF(AND(V544&gt;175,W544&lt;25),0.3,0)+IF(AND(V544&gt;175,W544&gt;=25,W544&lt;55),0.23,0)+IF(AND(V544&gt;175,W544&gt;=55,W544&lt;95),0.17,0)+IF(AND(V544&gt;175,W544&gt;=95),0.12,0),
IF(AF544="DoEVLo",IF(AND(V544&lt;20,W544&lt;55),0.25,0)+IF(AND(V544&lt;20,W544&gt;=55,W544&lt;105),0.2,0)+IF(AND(V544&lt;20,W544&gt;=105),0.15,0)+IF(AND(V544&gt;=20,V544&lt;40,W544&lt;45),0.25,0)+IF(AND(V544&gt;=20,V544&lt;40,W544&gt;=45,W544&lt;95),0.2,0)+IF(AND(V544&gt;=20,V544&lt;40,W544&gt;=95),0.15,0)+IF(AND(V544&gt;=40,V544&lt;75,W544&lt;35),0.25,0)+IF(AND(V544&gt;=40,V544&lt;75,W544&gt;=35,W544&lt;75),0.2,0)+IF(AND(V544&gt;=40,V544&lt;75,W544&gt;=75,W544&lt;120),0.15,0)+IF(AND(V544&gt;=40,V544&lt;75,W544&gt;=120),0.1,0)+IF(AND(V544&gt;=75,V544&lt;175,W544&lt;35),0.25,0)+IF(AND(V544&gt;=75,V544&lt;=175,W544&gt;=35,W544&lt;65),0.2,0)+IF(AND(V544&gt;=75,V544&lt;=175,W544&gt;=65,W544&lt;110),0.15,0)+IF(AND(V544&gt;=75,V544&lt;=175,W544&gt;=110),0.1,0)+IF(AND(V544&gt;175,W544&lt;25),0.25,0)+IF(AND(V544&gt;175,W544&gt;=25,W544&lt;55),0.2,0)+IF(AND(V544&gt;175,W544&gt;=55,W544&lt;95),0.15,0)+IF(AND(V544&gt;175,W544&gt;=95),0.1,0)))))))))))))))))</f>
        <v>0.1875</v>
      </c>
      <c r="Y544" s="30">
        <f>IF(AG544="None",0,IF(AG544="Fix5",0.05, IF(AG544="Fix6.25",0.0625,IF(AG544="Fix3.75",0.0375,IF(AG544="Fix10",0.1,IF(AG544="Fix3",0.03,0))))))</f>
        <v>6.25E-2</v>
      </c>
      <c r="Z544" s="35">
        <f>T544-AA544-AB544</f>
        <v>-174.75</v>
      </c>
      <c r="AA544" s="29">
        <f>IF(AD544="EUR",((T544-R544)*X544)*U544+(R544*X544),(T544*X544))</f>
        <v>-43.6875</v>
      </c>
      <c r="AB544" s="36">
        <f>IF(AD544="EUR",((T544-R544)*Y544)*U544+(R544*Y544),(T544*Y544))</f>
        <v>-14.5625</v>
      </c>
      <c r="AC544" s="37" t="b">
        <v>1</v>
      </c>
      <c r="AD544" s="37" t="s">
        <v>38</v>
      </c>
      <c r="AE544" s="37" t="s">
        <v>38</v>
      </c>
      <c r="AF544" s="37" t="s">
        <v>146</v>
      </c>
      <c r="AG544" s="38" t="s">
        <v>147</v>
      </c>
    </row>
    <row r="545" spans="1:33" ht="14.25" hidden="1" x14ac:dyDescent="0.2">
      <c r="A545" s="18" t="str">
        <f t="array" ref="A545">IF(G545='Room Info'!$B$1, INDEX('Room Info'!$A$2:$A2446, MATCH(B545,'Room Info'!$B$2:$B2446, 0)),IF(G545='Room Info'!$C$1, INDEX('Room Info'!$A$2:$A2446, MATCH(B545,'Room Info'!$C$2:$C2446, 0)),IF(G545='Room Info'!$D$1, INDEX('Room Info'!$A$2:$A2446, MATCH(B545,'Room Info'!$D$2:$D2446, 0)),IF(G545='Room Info'!$E$1, INDEX('Room Info'!$A$2:$A2446, MATCH(B545,'Room Info'!$E$2:$E2446, 0)),IF(G545='Room Info'!$F$1, INDEX('Room Info'!$A$2:$A2446, MATCH(B545,'Room Info'!$F$2:$F2446, 0)),IF(G545='Room Info'!$H$1, INDEX('Room Info'!$A$2:$A2446, MATCH(B545,'Room Info'!$H$2:$H2446, 0)),IF(G545='Room Info'!$G$1, INDEX('Room Info'!$A$2:$A2446, MATCH(B545,'Room Info'!$G$2:$G2446, 0)))))))))</f>
        <v>benyya</v>
      </c>
      <c r="B545" s="45" t="s">
        <v>145</v>
      </c>
      <c r="C545" s="46">
        <v>44916</v>
      </c>
      <c r="D545" s="46">
        <v>44957</v>
      </c>
      <c r="E545" s="47">
        <v>44927</v>
      </c>
      <c r="F545" s="45" t="s">
        <v>49</v>
      </c>
      <c r="G545" s="45" t="s">
        <v>35</v>
      </c>
      <c r="H545" s="49" t="s">
        <v>84</v>
      </c>
      <c r="I545" s="49" t="s">
        <v>44</v>
      </c>
      <c r="J545" s="70">
        <v>100</v>
      </c>
      <c r="K545" s="71">
        <v>7092</v>
      </c>
      <c r="L545" s="52">
        <v>-18800</v>
      </c>
      <c r="M545" s="53">
        <v>34284</v>
      </c>
      <c r="N545" s="28">
        <f>K545*J545</f>
        <v>709200</v>
      </c>
      <c r="O545" s="54">
        <v>67155</v>
      </c>
      <c r="P545" s="29">
        <v>9.4691201350000007</v>
      </c>
      <c r="Q545" s="55"/>
      <c r="R545" s="31">
        <f>M545+Q545</f>
        <v>34284</v>
      </c>
      <c r="S545" s="56">
        <v>-15645</v>
      </c>
      <c r="T545" s="32">
        <f>R545+S545+IF(F545="Without EV deal",L545,0)</f>
        <v>18639</v>
      </c>
      <c r="U545" s="57">
        <v>1</v>
      </c>
      <c r="V545" s="58">
        <v>147.51</v>
      </c>
      <c r="W545" s="58">
        <v>85</v>
      </c>
      <c r="X545" s="30">
        <f>IF(AF545="DoEV",IF(AND(V545&lt;20,W545&lt;55),0.3,0)+IF(AND(V545&lt;20,W545&gt;=55,W545&lt;105),0.23,0)+IF(AND(V545&lt;20,W545&gt;=105),0.17,0)+IF(AND(V545&gt;=20,V545&lt;40,W545&lt;45),0.3,0)+IF(AND(V545&gt;=20,V545&lt;40,W545&gt;=45,W545&lt;95),0.23,0)+IF(AND(V545&gt;=20,V545&lt;40,W545&gt;=95),0.17,0)+IF(AND(V545&gt;=40,V545&lt;75,W545&lt;35),0.3,0)+IF(AND(V545&gt;=40,V545&lt;75,W545&gt;=35,W545&lt;75),0.23,0)+IF(AND(V545&gt;=40,V545&lt;75,W545&gt;=75,W545&lt;120),0.17,0)+IF(AND(V545&gt;=40,V545&lt;75,W545&gt;=120),0.12,0)+IF(AND(V545&gt;=75,V545&lt;175,W545&lt;35),0.3,0)+IF(AND(V545&gt;=75,V545&lt;=175,W545&gt;=35,W545&lt;65),0.23,0)+IF(AND(V545&gt;=75,V545&lt;=175,W545&gt;=65,W545&lt;110),0.17,0)+IF(AND(V545&gt;=75,V545&lt;=175,W545&gt;=110),0.12,0)+IF(AND(V545&gt;175,W545&lt;25),0.3,0)+IF(AND(V545&gt;175,W545&gt;=25,W545&lt;55),0.23,0)+IF(AND(V545&gt;175,W545&gt;=55,W545&lt;95),0.17,0)+IF(AND(V545&gt;175,W545&gt;=95),0.12,0),
IF(AF545="Fix15",0.15,
IF(AF545="Fix18.75",0.1875,
IF(AF545="Fix11.25",0.1125,
IF(AF545="Fix10",0.1,
IF(AF545="Fix9",0.09,
IF(AF545="DoEV2017",IF(AND(W545&lt;74),0.2,0)+IF(AND(W545&gt;=74),0.17,0),
IF(AF545="SF",IF(AND(V545&lt;20,W545&lt;89),0.3,0)+IF(AND(V545&lt;20,W545&gt;=89),0.25,0)+IF(AND(V545&gt;=20,V545&lt;40,W545&lt;74),0.3,0)+IF(AND(V545&gt;=20,V545&lt;40,W545&gt;=75),0.22,0)+IF(AND(V545&gt;=40,V545&lt;75,W545&lt;75),0.26,0)+IF(AND(V545&gt;=40,V545&lt;75,W545&gt;=75),0.22,0)+IF(V545&gt;=75,0.22,0),
IF(AF545="DoEVold",IF(AND(V545&lt;40,W545&lt;35),0.35,0)+IF(AND(V545&lt;40,W545&gt;=35,W545&lt;75),0.25,0)+IF(AND(V545&lt;40,W545&gt;=75),0.17,0)+IF(AND(V545&gt;=40,V545&lt;75,W545&lt;25),0.35,0)+IF(AND(V545&gt;=40,V545&lt;75,W545&gt;=25,W545&lt;65),0.25,0)+IF(AND(V545&gt;=40,V545&lt;75,W545&gt;=65,W545&lt;100),0.17,0)+IF(AND(V545&gt;=40,V545&lt;75,W545&gt;=100),0.1,0)+IF(AND(V545&gt;=75,W545&lt;25),0.35,0)+IF(AND(V545&gt;=75,W545&gt;=25,W545&lt;60),0.25,0)+IF(AND(V545&gt;=75,W545&gt;=60,W545&lt;95),0.17,0)+IF(AND(V545&gt;=75,W545&gt;=95),0.1,0),
IF(AF545="DoEVold15",IF(AND(V545&lt;=40,W545&lt;35),0.35,0)+IF(AND(V545&lt;=40,W545&gt;=35,W545&lt;75),0.25,0)+IF(AND(V545&lt;=40,W545&gt;=75,W545&lt;120),0.17,0)+IF(AND(V545&lt;=40,W545&gt;=120),0.15,0)+IF(AND(V545&gt;40,V545&lt;75,W545&lt;25),0.35,0)+IF(AND(V545&gt;=40,V545&lt;75,W545&gt;=25,W545&lt;65),0.25,0)+IF(AND(V545&gt;=40,V545&lt;75,W545&gt;=65,W545&lt;100),0.17,0)+IF(AND(V545&gt;=40,V545&lt;75,W545&gt;=100),0.1,0)+IF(AND(V545&gt;=75,W545&lt;25),0.35,0)+IF(AND(V545&gt;=75,W545&gt;=25,W545&lt;60),0.25,0)+IF(AND(V545&gt;=75,W545&gt;=60,W545&lt;95),0.17,0)+IF(AND(V545&gt;=75,W545&gt;=95),0.1,0),
IF(AF545="DoEVba",IF(AND(V545&lt;20,W545&lt;105),0.2,0)+IF(AND(V545&lt;20,W545&gt;=105),0.15,0)+IF(AND(V545&gt;=20,V545&lt;40,W545&lt;95),0.2,0)+IF(AND(V545&gt;=20,V545&lt;40,W545&gt;=95,W545&lt;150),0.15,0)+IF(AND(V545&gt;=20,V545&lt;40,W545&gt;=150),0.12,0)+IF(AND(V545&gt;=40,V545&lt;75,W545&lt;75),0.2,0)+IF(AND(V545&gt;=40,V545&lt;75,W545&gt;=75,W545&lt;120),0.15,0)+IF(AND(V545&gt;=40,V545&lt;75,W545&gt;=120),0.12,0)+IF(AND(V545&gt;=75,V545&lt;175,W545&lt;65),0.2,0)+IF(AND(V545&gt;=75,V545&lt;175,W545&gt;=65,W545&lt;110),0.15,0)+IF(AND(V545&gt;=75,V545&lt;175,W545&gt;=110),0.12,0)+IF(AND(V545&gt;=175,W545&lt;55),0.2,0)+IF(AND(V545&gt;=175,W545&gt;=55,W545&lt;95),0.15,0)+IF(AND(V545&gt;=175,W545&gt;=95),0.12,0),
IF(AF545="DoEVku",IF(AND(V545&lt;20,W545&lt;55),0.23,0)+IF(AND(V545&lt;20,W545&gt;=55,W545&lt;105),0.2,0)+IF(AND(V545&lt;20,W545&gt;=105),0.17,0)+IF(AND(V545&gt;=20,V545&lt;40,W545&lt;45),0.23,0)+IF(AND(V545&gt;=20,V545&lt;40,W545&gt;=45,W545&lt;95),0.2,0)+IF(AND(V545&gt;=20,V545&lt;40,W545&gt;=95,W545&lt;=150),0.17,0)+IF(AND(V545&gt;=20,V545&lt;40,W545&gt;=150),0.12,0)+IF(AND(V545&gt;=40,V545&lt;75,W545&lt;35),0.23,0)+IF(AND(V545&gt;=40,V545&lt;75,W545&gt;=35,W545&lt;75),0.2,0)+IF(AND(V545&gt;=40,V545&lt;75,W545&gt;=75,W545&lt;120),0.17,0)+IF(AND(V545&gt;=40,V545&lt;75,W545&gt;=120),0.12,0)+IF(AND(V545&gt;=75,V545&lt;175,W545&lt;35),0.23,0)+IF(AND(V545&gt;=75,V545&lt;=175,W545&gt;=35,W545&lt;65),0.2,0)+IF(AND(V545&gt;=75,V545&lt;=175,W545&gt;=65,W545&lt;110),0.17,0)+IF(AND(V545&gt;=75,V545&lt;=175,W545&gt;=110),0.12,0)+IF(AND(V545&gt;175,W545&lt;25),0.23,0)+IF(AND(V545&gt;175,W545&gt;=25,W545&lt;55),0.2,0)+IF(AND(V545&gt;175,W545&gt;=55,W545&lt;95),0.17,0)+IF(AND(V545&gt;175,W545&gt;=95),0.12,0),
IF(AF545="DoEVs1",IF(AND(V545&lt;20,W545&lt;55),0.3,0)+IF(AND(V545&lt;20,W545&gt;=55,W545&lt;105),0.23,0)+IF(AND(V545&lt;20,W545&gt;=105),0.17,0)+IF(AND(V545&gt;=20,V545&lt;40,W545&lt;45),0.3,0)+IF(AND(V545&gt;=20,V545&lt;40,W545&gt;=45,W545&lt;95),0.23,0)+IF(AND(V545&gt;=20,V545&lt;40,W545&gt;=95,W545&lt;=150),0.17,0)+IF(AND(V545&gt;=20,V545&lt;40,W545&gt;=150),0.12,0)+IF(AND(V545&gt;=40,V545&lt;75,W545&lt;35),0.3,0)+IF(AND(V545&gt;=40,V545&lt;75,W545&gt;=35,W545&lt;75),0.23,0)+IF(AND(V545&gt;=40,V545&lt;75,W545&gt;=75,W545&lt;120),0.17,0)+IF(AND(V545&gt;=40,V545&lt;75,W545&gt;=120),0.12,0)+IF(AND(V545&gt;=75,V545&lt;175,W545&lt;35),0.3,0)+IF(AND(V545&gt;=75,V545&lt;=175,W545&gt;=35,W545&lt;65),0.23,0)+IF(AND(V545&gt;=75,V545&lt;=175,W545&gt;=65,W545&lt;110),0.17,0)+IF(AND(V545&gt;=75,V545&lt;=175,W545&gt;=110),0.12,0)+IF(AND(V545&gt;175,W545&lt;25),0.3,0)+IF(AND(V545&gt;175,W545&gt;=25,W545&lt;55),0.23,0)+IF(AND(V545&gt;175,W545&gt;=55,W545&lt;95),0.17,0)+IF(AND(V545&gt;175,W545&gt;=95),0.12,0),
IF(AF545="DoEVsu",IF(AND(V545&lt;20,W545&lt;55),0.3,0)+IF(AND(V545&lt;20,W545&gt;=55,W545&lt;105),0.23,0)+IF(AND(V545&lt;20,W545&gt;=105),0.17,0)+IF(AND(V545&gt;=20,V545&lt;40,W545&lt;45),0.3,0)+IF(AND(V545&gt;=20,V545&lt;40,W545&gt;=45,W545&lt;95),0.23,0)+IF(AND(V545&gt;=20,V545&lt;40,W545&gt;=95,W545&lt;=250),0.17,0)+IF(AND(V545&gt;=20,V545&lt;40,W545&gt;=250),0.12,0)+IF(AND(V545&gt;=40,V545&lt;75,W545&lt;35),0.3,0)+IF(AND(V545&gt;=40,V545&lt;75,W545&gt;=35,W545&lt;75),0.23,0)+IF(AND(V545&gt;=40,V545&lt;75,W545&gt;=75,W545&lt;120),0.17,0)+IF(AND(V545&gt;=40,V545&lt;75,W545&gt;=120),0.12,0)+IF(AND(V545&gt;=75,V545&lt;175,W545&lt;35),0.3,0)+IF(AND(V545&gt;=75,V545&lt;=175,W545&gt;=35,W545&lt;65),0.23,0)+IF(AND(V545&gt;=75,V545&lt;=175,W545&gt;=65,W545&lt;110),0.17,0)+IF(AND(V545&gt;=75,V545&lt;=175,W545&gt;=110),0.12,0)+IF(AND(V545&gt;175,W545&lt;25),0.3,0)+IF(AND(V545&gt;175,W545&gt;=25,W545&lt;55),0.23,0)+IF(AND(V545&gt;175,W545&gt;=55,W545&lt;95),0.17,0)+IF(AND(V545&gt;175,W545&gt;=95),0.12,0),
IF(AF545="DoEVni",IF(AND(V545&lt;20,W545&lt;55),0.3,0)+IF(AND(V545&lt;20,W545&gt;=55,W545&lt;105),0.23,0)+IF(AND(V545&lt;20,W545&gt;=105),0.17,0)+IF(AND(V545&gt;=20,V545&lt;40,W545&lt;45),0.3,0)+IF(AND(V545&gt;=20,V545&lt;40,W545&gt;=45,W545&lt;95),0.23,0)+IF(AND(V545&gt;=20,V545&lt;40,W545&gt;=95,W545&lt;=200),0.17,0)+IF(AND(V545&gt;=20,V545&lt;40,W545&gt;=200),0.12,0)+IF(AND(V545&gt;=40,V545&lt;75,W545&lt;35),0.3,0)+IF(AND(V545&gt;=40,V545&lt;75,W545&gt;=35,W545&lt;75),0.23,0)+IF(AND(V545&gt;=40,V545&lt;75,W545&gt;=75,W545&lt;120),0.17,0)+IF(AND(V545&gt;=40,V545&lt;75,W545&gt;=120),0.12,0)+IF(AND(V545&gt;=75,V545&lt;175,W545&lt;35),0.3,0)+IF(AND(V545&gt;=75,V545&lt;=175,W545&gt;=35,W545&lt;65),0.23,0)+IF(AND(V545&gt;=75,V545&lt;=175,W545&gt;=65,W545&lt;110),0.17,0)+IF(AND(V545&gt;=75,V545&lt;=175,W545&gt;=110),0.12,0)+IF(AND(V545&gt;175,W545&lt;25),0.3,0)+IF(AND(V545&gt;175,W545&gt;=25,W545&lt;55),0.23,0)+IF(AND(V545&gt;175,W545&gt;=55,W545&lt;95),0.17,0)+IF(AND(V545&gt;175,W545&gt;=95),0.12,0),
IF(AF545="DoEVLo",IF(AND(V545&lt;20,W545&lt;55),0.25,0)+IF(AND(V545&lt;20,W545&gt;=55,W545&lt;105),0.2,0)+IF(AND(V545&lt;20,W545&gt;=105),0.15,0)+IF(AND(V545&gt;=20,V545&lt;40,W545&lt;45),0.25,0)+IF(AND(V545&gt;=20,V545&lt;40,W545&gt;=45,W545&lt;95),0.2,0)+IF(AND(V545&gt;=20,V545&lt;40,W545&gt;=95),0.15,0)+IF(AND(V545&gt;=40,V545&lt;75,W545&lt;35),0.25,0)+IF(AND(V545&gt;=40,V545&lt;75,W545&gt;=35,W545&lt;75),0.2,0)+IF(AND(V545&gt;=40,V545&lt;75,W545&gt;=75,W545&lt;120),0.15,0)+IF(AND(V545&gt;=40,V545&lt;75,W545&gt;=120),0.1,0)+IF(AND(V545&gt;=75,V545&lt;175,W545&lt;35),0.25,0)+IF(AND(V545&gt;=75,V545&lt;=175,W545&gt;=35,W545&lt;65),0.2,0)+IF(AND(V545&gt;=75,V545&lt;=175,W545&gt;=65,W545&lt;110),0.15,0)+IF(AND(V545&gt;=75,V545&lt;=175,W545&gt;=110),0.1,0)+IF(AND(V545&gt;175,W545&lt;25),0.25,0)+IF(AND(V545&gt;175,W545&gt;=25,W545&lt;55),0.2,0)+IF(AND(V545&gt;175,W545&gt;=55,W545&lt;95),0.15,0)+IF(AND(V545&gt;175,W545&gt;=95),0.1,0)))))))))))))))))</f>
        <v>0.1875</v>
      </c>
      <c r="Y545" s="30">
        <f>IF(AG545="None",0,IF(AG545="Fix5",0.05, IF(AG545="Fix6.25",0.0625,IF(AG545="Fix3.75",0.0375,IF(AG545="Fix10",0.1,IF(AG545="Fix3",0.03,0))))))</f>
        <v>6.25E-2</v>
      </c>
      <c r="Z545" s="35">
        <f>T545-AA545-AB545</f>
        <v>13979.25</v>
      </c>
      <c r="AA545" s="29">
        <f>IF(AD545="EUR",((T545-R545)*X545)*U545+(R545*X545),(T545*X545))</f>
        <v>3494.8125</v>
      </c>
      <c r="AB545" s="36">
        <f>IF(AD545="EUR",((T545-R545)*Y545)*U545+(R545*Y545),(T545*Y545))</f>
        <v>1164.9375</v>
      </c>
      <c r="AC545" s="37" t="b">
        <v>1</v>
      </c>
      <c r="AD545" s="37" t="s">
        <v>38</v>
      </c>
      <c r="AE545" s="37" t="s">
        <v>38</v>
      </c>
      <c r="AF545" s="37" t="s">
        <v>146</v>
      </c>
      <c r="AG545" s="38" t="s">
        <v>147</v>
      </c>
    </row>
    <row r="546" spans="1:33" ht="14.25" hidden="1" x14ac:dyDescent="0.2">
      <c r="A546" s="18" t="str">
        <f t="array" ref="A546">IF(G546='Room Info'!$B$1, INDEX('Room Info'!$A$2:$A2446, MATCH(B546,'Room Info'!$B$2:$B2446, 0)),IF(G546='Room Info'!$C$1, INDEX('Room Info'!$A$2:$A2446, MATCH(B546,'Room Info'!$C$2:$C2446, 0)),IF(G546='Room Info'!$D$1, INDEX('Room Info'!$A$2:$A2446, MATCH(B546,'Room Info'!$D$2:$D2446, 0)),IF(G546='Room Info'!$E$1, INDEX('Room Info'!$A$2:$A2446, MATCH(B546,'Room Info'!$E$2:$E2446, 0)),IF(G546='Room Info'!$F$1, INDEX('Room Info'!$A$2:$A2446, MATCH(B546,'Room Info'!$F$2:$F2446, 0)),IF(G546='Room Info'!$H$1, INDEX('Room Info'!$A$2:$A2446, MATCH(B546,'Room Info'!$H$2:$H2446, 0)),IF(G546='Room Info'!$G$1, INDEX('Room Info'!$A$2:$A2446, MATCH(B546,'Room Info'!$G$2:$G2446, 0)))))))))</f>
        <v>benyya</v>
      </c>
      <c r="B546" s="45" t="s">
        <v>145</v>
      </c>
      <c r="C546" s="46">
        <v>44916</v>
      </c>
      <c r="D546" s="46">
        <v>44957</v>
      </c>
      <c r="E546" s="47">
        <v>44927</v>
      </c>
      <c r="F546" s="45" t="s">
        <v>49</v>
      </c>
      <c r="G546" s="45" t="s">
        <v>35</v>
      </c>
      <c r="H546" s="49" t="s">
        <v>88</v>
      </c>
      <c r="I546" s="49" t="s">
        <v>37</v>
      </c>
      <c r="J546" s="70">
        <v>250</v>
      </c>
      <c r="K546" s="71">
        <v>1732</v>
      </c>
      <c r="L546" s="52">
        <v>-6500</v>
      </c>
      <c r="M546" s="53">
        <v>20932</v>
      </c>
      <c r="N546" s="28">
        <f>K546*J546</f>
        <v>433000</v>
      </c>
      <c r="O546" s="54">
        <v>56397</v>
      </c>
      <c r="P546" s="29">
        <v>32.561778289999999</v>
      </c>
      <c r="Q546" s="55"/>
      <c r="R546" s="31">
        <f>M546+Q546</f>
        <v>20932</v>
      </c>
      <c r="S546" s="56">
        <v>4929</v>
      </c>
      <c r="T546" s="32">
        <f>R546+S546+IF(F546="Without EV deal",L546,0)</f>
        <v>25861</v>
      </c>
      <c r="U546" s="57">
        <v>1</v>
      </c>
      <c r="V546" s="58">
        <v>147.51</v>
      </c>
      <c r="W546" s="58">
        <v>85</v>
      </c>
      <c r="X546" s="30">
        <f>IF(AF546="DoEV",IF(AND(V546&lt;20,W546&lt;55),0.3,0)+IF(AND(V546&lt;20,W546&gt;=55,W546&lt;105),0.23,0)+IF(AND(V546&lt;20,W546&gt;=105),0.17,0)+IF(AND(V546&gt;=20,V546&lt;40,W546&lt;45),0.3,0)+IF(AND(V546&gt;=20,V546&lt;40,W546&gt;=45,W546&lt;95),0.23,0)+IF(AND(V546&gt;=20,V546&lt;40,W546&gt;=95),0.17,0)+IF(AND(V546&gt;=40,V546&lt;75,W546&lt;35),0.3,0)+IF(AND(V546&gt;=40,V546&lt;75,W546&gt;=35,W546&lt;75),0.23,0)+IF(AND(V546&gt;=40,V546&lt;75,W546&gt;=75,W546&lt;120),0.17,0)+IF(AND(V546&gt;=40,V546&lt;75,W546&gt;=120),0.12,0)+IF(AND(V546&gt;=75,V546&lt;175,W546&lt;35),0.3,0)+IF(AND(V546&gt;=75,V546&lt;=175,W546&gt;=35,W546&lt;65),0.23,0)+IF(AND(V546&gt;=75,V546&lt;=175,W546&gt;=65,W546&lt;110),0.17,0)+IF(AND(V546&gt;=75,V546&lt;=175,W546&gt;=110),0.12,0)+IF(AND(V546&gt;175,W546&lt;25),0.3,0)+IF(AND(V546&gt;175,W546&gt;=25,W546&lt;55),0.23,0)+IF(AND(V546&gt;175,W546&gt;=55,W546&lt;95),0.17,0)+IF(AND(V546&gt;175,W546&gt;=95),0.12,0),
IF(AF546="Fix15",0.15,
IF(AF546="Fix18.75",0.1875,
IF(AF546="Fix11.25",0.1125,
IF(AF546="Fix10",0.1,
IF(AF546="Fix9",0.09,
IF(AF546="DoEV2017",IF(AND(W546&lt;74),0.2,0)+IF(AND(W546&gt;=74),0.17,0),
IF(AF546="SF",IF(AND(V546&lt;20,W546&lt;89),0.3,0)+IF(AND(V546&lt;20,W546&gt;=89),0.25,0)+IF(AND(V546&gt;=20,V546&lt;40,W546&lt;74),0.3,0)+IF(AND(V546&gt;=20,V546&lt;40,W546&gt;=75),0.22,0)+IF(AND(V546&gt;=40,V546&lt;75,W546&lt;75),0.26,0)+IF(AND(V546&gt;=40,V546&lt;75,W546&gt;=75),0.22,0)+IF(V546&gt;=75,0.22,0),
IF(AF546="DoEVold",IF(AND(V546&lt;40,W546&lt;35),0.35,0)+IF(AND(V546&lt;40,W546&gt;=35,W546&lt;75),0.25,0)+IF(AND(V546&lt;40,W546&gt;=75),0.17,0)+IF(AND(V546&gt;=40,V546&lt;75,W546&lt;25),0.35,0)+IF(AND(V546&gt;=40,V546&lt;75,W546&gt;=25,W546&lt;65),0.25,0)+IF(AND(V546&gt;=40,V546&lt;75,W546&gt;=65,W546&lt;100),0.17,0)+IF(AND(V546&gt;=40,V546&lt;75,W546&gt;=100),0.1,0)+IF(AND(V546&gt;=75,W546&lt;25),0.35,0)+IF(AND(V546&gt;=75,W546&gt;=25,W546&lt;60),0.25,0)+IF(AND(V546&gt;=75,W546&gt;=60,W546&lt;95),0.17,0)+IF(AND(V546&gt;=75,W546&gt;=95),0.1,0),
IF(AF546="DoEVold15",IF(AND(V546&lt;=40,W546&lt;35),0.35,0)+IF(AND(V546&lt;=40,W546&gt;=35,W546&lt;75),0.25,0)+IF(AND(V546&lt;=40,W546&gt;=75,W546&lt;120),0.17,0)+IF(AND(V546&lt;=40,W546&gt;=120),0.15,0)+IF(AND(V546&gt;40,V546&lt;75,W546&lt;25),0.35,0)+IF(AND(V546&gt;=40,V546&lt;75,W546&gt;=25,W546&lt;65),0.25,0)+IF(AND(V546&gt;=40,V546&lt;75,W546&gt;=65,W546&lt;100),0.17,0)+IF(AND(V546&gt;=40,V546&lt;75,W546&gt;=100),0.1,0)+IF(AND(V546&gt;=75,W546&lt;25),0.35,0)+IF(AND(V546&gt;=75,W546&gt;=25,W546&lt;60),0.25,0)+IF(AND(V546&gt;=75,W546&gt;=60,W546&lt;95),0.17,0)+IF(AND(V546&gt;=75,W546&gt;=95),0.1,0),
IF(AF546="DoEVba",IF(AND(V546&lt;20,W546&lt;105),0.2,0)+IF(AND(V546&lt;20,W546&gt;=105),0.15,0)+IF(AND(V546&gt;=20,V546&lt;40,W546&lt;95),0.2,0)+IF(AND(V546&gt;=20,V546&lt;40,W546&gt;=95,W546&lt;150),0.15,0)+IF(AND(V546&gt;=20,V546&lt;40,W546&gt;=150),0.12,0)+IF(AND(V546&gt;=40,V546&lt;75,W546&lt;75),0.2,0)+IF(AND(V546&gt;=40,V546&lt;75,W546&gt;=75,W546&lt;120),0.15,0)+IF(AND(V546&gt;=40,V546&lt;75,W546&gt;=120),0.12,0)+IF(AND(V546&gt;=75,V546&lt;175,W546&lt;65),0.2,0)+IF(AND(V546&gt;=75,V546&lt;175,W546&gt;=65,W546&lt;110),0.15,0)+IF(AND(V546&gt;=75,V546&lt;175,W546&gt;=110),0.12,0)+IF(AND(V546&gt;=175,W546&lt;55),0.2,0)+IF(AND(V546&gt;=175,W546&gt;=55,W546&lt;95),0.15,0)+IF(AND(V546&gt;=175,W546&gt;=95),0.12,0),
IF(AF546="DoEVku",IF(AND(V546&lt;20,W546&lt;55),0.23,0)+IF(AND(V546&lt;20,W546&gt;=55,W546&lt;105),0.2,0)+IF(AND(V546&lt;20,W546&gt;=105),0.17,0)+IF(AND(V546&gt;=20,V546&lt;40,W546&lt;45),0.23,0)+IF(AND(V546&gt;=20,V546&lt;40,W546&gt;=45,W546&lt;95),0.2,0)+IF(AND(V546&gt;=20,V546&lt;40,W546&gt;=95,W546&lt;=150),0.17,0)+IF(AND(V546&gt;=20,V546&lt;40,W546&gt;=150),0.12,0)+IF(AND(V546&gt;=40,V546&lt;75,W546&lt;35),0.23,0)+IF(AND(V546&gt;=40,V546&lt;75,W546&gt;=35,W546&lt;75),0.2,0)+IF(AND(V546&gt;=40,V546&lt;75,W546&gt;=75,W546&lt;120),0.17,0)+IF(AND(V546&gt;=40,V546&lt;75,W546&gt;=120),0.12,0)+IF(AND(V546&gt;=75,V546&lt;175,W546&lt;35),0.23,0)+IF(AND(V546&gt;=75,V546&lt;=175,W546&gt;=35,W546&lt;65),0.2,0)+IF(AND(V546&gt;=75,V546&lt;=175,W546&gt;=65,W546&lt;110),0.17,0)+IF(AND(V546&gt;=75,V546&lt;=175,W546&gt;=110),0.12,0)+IF(AND(V546&gt;175,W546&lt;25),0.23,0)+IF(AND(V546&gt;175,W546&gt;=25,W546&lt;55),0.2,0)+IF(AND(V546&gt;175,W546&gt;=55,W546&lt;95),0.17,0)+IF(AND(V546&gt;175,W546&gt;=95),0.12,0),
IF(AF546="DoEVs1",IF(AND(V546&lt;20,W546&lt;55),0.3,0)+IF(AND(V546&lt;20,W546&gt;=55,W546&lt;105),0.23,0)+IF(AND(V546&lt;20,W546&gt;=105),0.17,0)+IF(AND(V546&gt;=20,V546&lt;40,W546&lt;45),0.3,0)+IF(AND(V546&gt;=20,V546&lt;40,W546&gt;=45,W546&lt;95),0.23,0)+IF(AND(V546&gt;=20,V546&lt;40,W546&gt;=95,W546&lt;=150),0.17,0)+IF(AND(V546&gt;=20,V546&lt;40,W546&gt;=150),0.12,0)+IF(AND(V546&gt;=40,V546&lt;75,W546&lt;35),0.3,0)+IF(AND(V546&gt;=40,V546&lt;75,W546&gt;=35,W546&lt;75),0.23,0)+IF(AND(V546&gt;=40,V546&lt;75,W546&gt;=75,W546&lt;120),0.17,0)+IF(AND(V546&gt;=40,V546&lt;75,W546&gt;=120),0.12,0)+IF(AND(V546&gt;=75,V546&lt;175,W546&lt;35),0.3,0)+IF(AND(V546&gt;=75,V546&lt;=175,W546&gt;=35,W546&lt;65),0.23,0)+IF(AND(V546&gt;=75,V546&lt;=175,W546&gt;=65,W546&lt;110),0.17,0)+IF(AND(V546&gt;=75,V546&lt;=175,W546&gt;=110),0.12,0)+IF(AND(V546&gt;175,W546&lt;25),0.3,0)+IF(AND(V546&gt;175,W546&gt;=25,W546&lt;55),0.23,0)+IF(AND(V546&gt;175,W546&gt;=55,W546&lt;95),0.17,0)+IF(AND(V546&gt;175,W546&gt;=95),0.12,0),
IF(AF546="DoEVsu",IF(AND(V546&lt;20,W546&lt;55),0.3,0)+IF(AND(V546&lt;20,W546&gt;=55,W546&lt;105),0.23,0)+IF(AND(V546&lt;20,W546&gt;=105),0.17,0)+IF(AND(V546&gt;=20,V546&lt;40,W546&lt;45),0.3,0)+IF(AND(V546&gt;=20,V546&lt;40,W546&gt;=45,W546&lt;95),0.23,0)+IF(AND(V546&gt;=20,V546&lt;40,W546&gt;=95,W546&lt;=250),0.17,0)+IF(AND(V546&gt;=20,V546&lt;40,W546&gt;=250),0.12,0)+IF(AND(V546&gt;=40,V546&lt;75,W546&lt;35),0.3,0)+IF(AND(V546&gt;=40,V546&lt;75,W546&gt;=35,W546&lt;75),0.23,0)+IF(AND(V546&gt;=40,V546&lt;75,W546&gt;=75,W546&lt;120),0.17,0)+IF(AND(V546&gt;=40,V546&lt;75,W546&gt;=120),0.12,0)+IF(AND(V546&gt;=75,V546&lt;175,W546&lt;35),0.3,0)+IF(AND(V546&gt;=75,V546&lt;=175,W546&gt;=35,W546&lt;65),0.23,0)+IF(AND(V546&gt;=75,V546&lt;=175,W546&gt;=65,W546&lt;110),0.17,0)+IF(AND(V546&gt;=75,V546&lt;=175,W546&gt;=110),0.12,0)+IF(AND(V546&gt;175,W546&lt;25),0.3,0)+IF(AND(V546&gt;175,W546&gt;=25,W546&lt;55),0.23,0)+IF(AND(V546&gt;175,W546&gt;=55,W546&lt;95),0.17,0)+IF(AND(V546&gt;175,W546&gt;=95),0.12,0),
IF(AF546="DoEVni",IF(AND(V546&lt;20,W546&lt;55),0.3,0)+IF(AND(V546&lt;20,W546&gt;=55,W546&lt;105),0.23,0)+IF(AND(V546&lt;20,W546&gt;=105),0.17,0)+IF(AND(V546&gt;=20,V546&lt;40,W546&lt;45),0.3,0)+IF(AND(V546&gt;=20,V546&lt;40,W546&gt;=45,W546&lt;95),0.23,0)+IF(AND(V546&gt;=20,V546&lt;40,W546&gt;=95,W546&lt;=200),0.17,0)+IF(AND(V546&gt;=20,V546&lt;40,W546&gt;=200),0.12,0)+IF(AND(V546&gt;=40,V546&lt;75,W546&lt;35),0.3,0)+IF(AND(V546&gt;=40,V546&lt;75,W546&gt;=35,W546&lt;75),0.23,0)+IF(AND(V546&gt;=40,V546&lt;75,W546&gt;=75,W546&lt;120),0.17,0)+IF(AND(V546&gt;=40,V546&lt;75,W546&gt;=120),0.12,0)+IF(AND(V546&gt;=75,V546&lt;175,W546&lt;35),0.3,0)+IF(AND(V546&gt;=75,V546&lt;=175,W546&gt;=35,W546&lt;65),0.23,0)+IF(AND(V546&gt;=75,V546&lt;=175,W546&gt;=65,W546&lt;110),0.17,0)+IF(AND(V546&gt;=75,V546&lt;=175,W546&gt;=110),0.12,0)+IF(AND(V546&gt;175,W546&lt;25),0.3,0)+IF(AND(V546&gt;175,W546&gt;=25,W546&lt;55),0.23,0)+IF(AND(V546&gt;175,W546&gt;=55,W546&lt;95),0.17,0)+IF(AND(V546&gt;175,W546&gt;=95),0.12,0),
IF(AF546="DoEVLo",IF(AND(V546&lt;20,W546&lt;55),0.25,0)+IF(AND(V546&lt;20,W546&gt;=55,W546&lt;105),0.2,0)+IF(AND(V546&lt;20,W546&gt;=105),0.15,0)+IF(AND(V546&gt;=20,V546&lt;40,W546&lt;45),0.25,0)+IF(AND(V546&gt;=20,V546&lt;40,W546&gt;=45,W546&lt;95),0.2,0)+IF(AND(V546&gt;=20,V546&lt;40,W546&gt;=95),0.15,0)+IF(AND(V546&gt;=40,V546&lt;75,W546&lt;35),0.25,0)+IF(AND(V546&gt;=40,V546&lt;75,W546&gt;=35,W546&lt;75),0.2,0)+IF(AND(V546&gt;=40,V546&lt;75,W546&gt;=75,W546&lt;120),0.15,0)+IF(AND(V546&gt;=40,V546&lt;75,W546&gt;=120),0.1,0)+IF(AND(V546&gt;=75,V546&lt;175,W546&lt;35),0.25,0)+IF(AND(V546&gt;=75,V546&lt;=175,W546&gt;=35,W546&lt;65),0.2,0)+IF(AND(V546&gt;=75,V546&lt;=175,W546&gt;=65,W546&lt;110),0.15,0)+IF(AND(V546&gt;=75,V546&lt;=175,W546&gt;=110),0.1,0)+IF(AND(V546&gt;175,W546&lt;25),0.25,0)+IF(AND(V546&gt;175,W546&gt;=25,W546&lt;55),0.2,0)+IF(AND(V546&gt;175,W546&gt;=55,W546&lt;95),0.15,0)+IF(AND(V546&gt;175,W546&gt;=95),0.1,0)))))))))))))))))</f>
        <v>0.1875</v>
      </c>
      <c r="Y546" s="30">
        <f>IF(AG546="None",0,IF(AG546="Fix5",0.05, IF(AG546="Fix6.25",0.0625,IF(AG546="Fix3.75",0.0375,IF(AG546="Fix10",0.1,IF(AG546="Fix3",0.03,0))))))</f>
        <v>6.25E-2</v>
      </c>
      <c r="Z546" s="35">
        <f>T546-AA546-AB546</f>
        <v>19395.75</v>
      </c>
      <c r="AA546" s="29">
        <f>IF(AD546="EUR",((T546-R546)*X546)*U546+(R546*X546),(T546*X546))</f>
        <v>4848.9375</v>
      </c>
      <c r="AB546" s="36">
        <f>IF(AD546="EUR",((T546-R546)*Y546)*U546+(R546*Y546),(T546*Y546))</f>
        <v>1616.3125</v>
      </c>
      <c r="AC546" s="37" t="b">
        <v>1</v>
      </c>
      <c r="AD546" s="37" t="s">
        <v>38</v>
      </c>
      <c r="AE546" s="37" t="s">
        <v>38</v>
      </c>
      <c r="AF546" s="37" t="s">
        <v>146</v>
      </c>
      <c r="AG546" s="38" t="s">
        <v>147</v>
      </c>
    </row>
    <row r="547" spans="1:33" ht="14.25" hidden="1" x14ac:dyDescent="0.2">
      <c r="A547" s="18" t="str">
        <f t="array" ref="A547">IF(G547='Room Info'!$B$1, INDEX('Room Info'!$A$2:$A2446, MATCH(B547,'Room Info'!$B$2:$B2446, 0)),IF(G547='Room Info'!$C$1, INDEX('Room Info'!$A$2:$A2446, MATCH(B547,'Room Info'!$C$2:$C2446, 0)),IF(G547='Room Info'!$D$1, INDEX('Room Info'!$A$2:$A2446, MATCH(B547,'Room Info'!$D$2:$D2446, 0)),IF(G547='Room Info'!$E$1, INDEX('Room Info'!$A$2:$A2446, MATCH(B547,'Room Info'!$E$2:$E2446, 0)),IF(G547='Room Info'!$F$1, INDEX('Room Info'!$A$2:$A2446, MATCH(B547,'Room Info'!$F$2:$F2446, 0)),IF(G547='Room Info'!$H$1, INDEX('Room Info'!$A$2:$A2446, MATCH(B547,'Room Info'!$H$2:$H2446, 0)),IF(G547='Room Info'!$G$1, INDEX('Room Info'!$A$2:$A2446, MATCH(B547,'Room Info'!$G$2:$G2446, 0)))))))))</f>
        <v>benyya</v>
      </c>
      <c r="B547" s="45" t="s">
        <v>145</v>
      </c>
      <c r="C547" s="46">
        <v>44916</v>
      </c>
      <c r="D547" s="46">
        <v>44957</v>
      </c>
      <c r="E547" s="47">
        <v>44927</v>
      </c>
      <c r="F547" s="45" t="s">
        <v>49</v>
      </c>
      <c r="G547" s="45" t="s">
        <v>35</v>
      </c>
      <c r="H547" s="49" t="s">
        <v>148</v>
      </c>
      <c r="I547" s="49" t="s">
        <v>44</v>
      </c>
      <c r="J547" s="50">
        <v>250</v>
      </c>
      <c r="K547" s="51">
        <v>1682</v>
      </c>
      <c r="L547" s="52">
        <v>-22750</v>
      </c>
      <c r="M547" s="53">
        <v>20328</v>
      </c>
      <c r="N547" s="28">
        <f>K547*J547</f>
        <v>420500</v>
      </c>
      <c r="O547" s="54">
        <v>16267</v>
      </c>
      <c r="P547" s="29">
        <v>9.6712247320000007</v>
      </c>
      <c r="Q547" s="55"/>
      <c r="R547" s="31">
        <f>M547+Q547</f>
        <v>20328</v>
      </c>
      <c r="S547" s="56">
        <v>-7883</v>
      </c>
      <c r="T547" s="32">
        <f>R547+S547+IF(F547="Without EV deal",L547,0)</f>
        <v>12445</v>
      </c>
      <c r="U547" s="57">
        <v>1</v>
      </c>
      <c r="V547" s="58">
        <v>147.51</v>
      </c>
      <c r="W547" s="58">
        <v>85</v>
      </c>
      <c r="X547" s="30">
        <f>IF(AF547="DoEV",IF(AND(V547&lt;20,W547&lt;55),0.3,0)+IF(AND(V547&lt;20,W547&gt;=55,W547&lt;105),0.23,0)+IF(AND(V547&lt;20,W547&gt;=105),0.17,0)+IF(AND(V547&gt;=20,V547&lt;40,W547&lt;45),0.3,0)+IF(AND(V547&gt;=20,V547&lt;40,W547&gt;=45,W547&lt;95),0.23,0)+IF(AND(V547&gt;=20,V547&lt;40,W547&gt;=95),0.17,0)+IF(AND(V547&gt;=40,V547&lt;75,W547&lt;35),0.3,0)+IF(AND(V547&gt;=40,V547&lt;75,W547&gt;=35,W547&lt;75),0.23,0)+IF(AND(V547&gt;=40,V547&lt;75,W547&gt;=75,W547&lt;120),0.17,0)+IF(AND(V547&gt;=40,V547&lt;75,W547&gt;=120),0.12,0)+IF(AND(V547&gt;=75,V547&lt;175,W547&lt;35),0.3,0)+IF(AND(V547&gt;=75,V547&lt;=175,W547&gt;=35,W547&lt;65),0.23,0)+IF(AND(V547&gt;=75,V547&lt;=175,W547&gt;=65,W547&lt;110),0.17,0)+IF(AND(V547&gt;=75,V547&lt;=175,W547&gt;=110),0.12,0)+IF(AND(V547&gt;175,W547&lt;25),0.3,0)+IF(AND(V547&gt;175,W547&gt;=25,W547&lt;55),0.23,0)+IF(AND(V547&gt;175,W547&gt;=55,W547&lt;95),0.17,0)+IF(AND(V547&gt;175,W547&gt;=95),0.12,0),
IF(AF547="Fix15",0.15,
IF(AF547="Fix18.75",0.1875,
IF(AF547="Fix11.25",0.1125,
IF(AF547="Fix10",0.1,
IF(AF547="Fix9",0.09,
IF(AF547="DoEV2017",IF(AND(W547&lt;74),0.2,0)+IF(AND(W547&gt;=74),0.17,0),
IF(AF547="SF",IF(AND(V547&lt;20,W547&lt;89),0.3,0)+IF(AND(V547&lt;20,W547&gt;=89),0.25,0)+IF(AND(V547&gt;=20,V547&lt;40,W547&lt;74),0.3,0)+IF(AND(V547&gt;=20,V547&lt;40,W547&gt;=75),0.22,0)+IF(AND(V547&gt;=40,V547&lt;75,W547&lt;75),0.26,0)+IF(AND(V547&gt;=40,V547&lt;75,W547&gt;=75),0.22,0)+IF(V547&gt;=75,0.22,0),
IF(AF547="DoEVold",IF(AND(V547&lt;40,W547&lt;35),0.35,0)+IF(AND(V547&lt;40,W547&gt;=35,W547&lt;75),0.25,0)+IF(AND(V547&lt;40,W547&gt;=75),0.17,0)+IF(AND(V547&gt;=40,V547&lt;75,W547&lt;25),0.35,0)+IF(AND(V547&gt;=40,V547&lt;75,W547&gt;=25,W547&lt;65),0.25,0)+IF(AND(V547&gt;=40,V547&lt;75,W547&gt;=65,W547&lt;100),0.17,0)+IF(AND(V547&gt;=40,V547&lt;75,W547&gt;=100),0.1,0)+IF(AND(V547&gt;=75,W547&lt;25),0.35,0)+IF(AND(V547&gt;=75,W547&gt;=25,W547&lt;60),0.25,0)+IF(AND(V547&gt;=75,W547&gt;=60,W547&lt;95),0.17,0)+IF(AND(V547&gt;=75,W547&gt;=95),0.1,0),
IF(AF547="DoEVold15",IF(AND(V547&lt;=40,W547&lt;35),0.35,0)+IF(AND(V547&lt;=40,W547&gt;=35,W547&lt;75),0.25,0)+IF(AND(V547&lt;=40,W547&gt;=75,W547&lt;120),0.17,0)+IF(AND(V547&lt;=40,W547&gt;=120),0.15,0)+IF(AND(V547&gt;40,V547&lt;75,W547&lt;25),0.35,0)+IF(AND(V547&gt;=40,V547&lt;75,W547&gt;=25,W547&lt;65),0.25,0)+IF(AND(V547&gt;=40,V547&lt;75,W547&gt;=65,W547&lt;100),0.17,0)+IF(AND(V547&gt;=40,V547&lt;75,W547&gt;=100),0.1,0)+IF(AND(V547&gt;=75,W547&lt;25),0.35,0)+IF(AND(V547&gt;=75,W547&gt;=25,W547&lt;60),0.25,0)+IF(AND(V547&gt;=75,W547&gt;=60,W547&lt;95),0.17,0)+IF(AND(V547&gt;=75,W547&gt;=95),0.1,0),
IF(AF547="DoEVba",IF(AND(V547&lt;20,W547&lt;105),0.2,0)+IF(AND(V547&lt;20,W547&gt;=105),0.15,0)+IF(AND(V547&gt;=20,V547&lt;40,W547&lt;95),0.2,0)+IF(AND(V547&gt;=20,V547&lt;40,W547&gt;=95,W547&lt;150),0.15,0)+IF(AND(V547&gt;=20,V547&lt;40,W547&gt;=150),0.12,0)+IF(AND(V547&gt;=40,V547&lt;75,W547&lt;75),0.2,0)+IF(AND(V547&gt;=40,V547&lt;75,W547&gt;=75,W547&lt;120),0.15,0)+IF(AND(V547&gt;=40,V547&lt;75,W547&gt;=120),0.12,0)+IF(AND(V547&gt;=75,V547&lt;175,W547&lt;65),0.2,0)+IF(AND(V547&gt;=75,V547&lt;175,W547&gt;=65,W547&lt;110),0.15,0)+IF(AND(V547&gt;=75,V547&lt;175,W547&gt;=110),0.12,0)+IF(AND(V547&gt;=175,W547&lt;55),0.2,0)+IF(AND(V547&gt;=175,W547&gt;=55,W547&lt;95),0.15,0)+IF(AND(V547&gt;=175,W547&gt;=95),0.12,0),
IF(AF547="DoEVku",IF(AND(V547&lt;20,W547&lt;55),0.23,0)+IF(AND(V547&lt;20,W547&gt;=55,W547&lt;105),0.2,0)+IF(AND(V547&lt;20,W547&gt;=105),0.17,0)+IF(AND(V547&gt;=20,V547&lt;40,W547&lt;45),0.23,0)+IF(AND(V547&gt;=20,V547&lt;40,W547&gt;=45,W547&lt;95),0.2,0)+IF(AND(V547&gt;=20,V547&lt;40,W547&gt;=95,W547&lt;=150),0.17,0)+IF(AND(V547&gt;=20,V547&lt;40,W547&gt;=150),0.12,0)+IF(AND(V547&gt;=40,V547&lt;75,W547&lt;35),0.23,0)+IF(AND(V547&gt;=40,V547&lt;75,W547&gt;=35,W547&lt;75),0.2,0)+IF(AND(V547&gt;=40,V547&lt;75,W547&gt;=75,W547&lt;120),0.17,0)+IF(AND(V547&gt;=40,V547&lt;75,W547&gt;=120),0.12,0)+IF(AND(V547&gt;=75,V547&lt;175,W547&lt;35),0.23,0)+IF(AND(V547&gt;=75,V547&lt;=175,W547&gt;=35,W547&lt;65),0.2,0)+IF(AND(V547&gt;=75,V547&lt;=175,W547&gt;=65,W547&lt;110),0.17,0)+IF(AND(V547&gt;=75,V547&lt;=175,W547&gt;=110),0.12,0)+IF(AND(V547&gt;175,W547&lt;25),0.23,0)+IF(AND(V547&gt;175,W547&gt;=25,W547&lt;55),0.2,0)+IF(AND(V547&gt;175,W547&gt;=55,W547&lt;95),0.17,0)+IF(AND(V547&gt;175,W547&gt;=95),0.12,0),
IF(AF547="DoEVs1",IF(AND(V547&lt;20,W547&lt;55),0.3,0)+IF(AND(V547&lt;20,W547&gt;=55,W547&lt;105),0.23,0)+IF(AND(V547&lt;20,W547&gt;=105),0.17,0)+IF(AND(V547&gt;=20,V547&lt;40,W547&lt;45),0.3,0)+IF(AND(V547&gt;=20,V547&lt;40,W547&gt;=45,W547&lt;95),0.23,0)+IF(AND(V547&gt;=20,V547&lt;40,W547&gt;=95,W547&lt;=150),0.17,0)+IF(AND(V547&gt;=20,V547&lt;40,W547&gt;=150),0.12,0)+IF(AND(V547&gt;=40,V547&lt;75,W547&lt;35),0.3,0)+IF(AND(V547&gt;=40,V547&lt;75,W547&gt;=35,W547&lt;75),0.23,0)+IF(AND(V547&gt;=40,V547&lt;75,W547&gt;=75,W547&lt;120),0.17,0)+IF(AND(V547&gt;=40,V547&lt;75,W547&gt;=120),0.12,0)+IF(AND(V547&gt;=75,V547&lt;175,W547&lt;35),0.3,0)+IF(AND(V547&gt;=75,V547&lt;=175,W547&gt;=35,W547&lt;65),0.23,0)+IF(AND(V547&gt;=75,V547&lt;=175,W547&gt;=65,W547&lt;110),0.17,0)+IF(AND(V547&gt;=75,V547&lt;=175,W547&gt;=110),0.12,0)+IF(AND(V547&gt;175,W547&lt;25),0.3,0)+IF(AND(V547&gt;175,W547&gt;=25,W547&lt;55),0.23,0)+IF(AND(V547&gt;175,W547&gt;=55,W547&lt;95),0.17,0)+IF(AND(V547&gt;175,W547&gt;=95),0.12,0),
IF(AF547="DoEVsu",IF(AND(V547&lt;20,W547&lt;55),0.3,0)+IF(AND(V547&lt;20,W547&gt;=55,W547&lt;105),0.23,0)+IF(AND(V547&lt;20,W547&gt;=105),0.17,0)+IF(AND(V547&gt;=20,V547&lt;40,W547&lt;45),0.3,0)+IF(AND(V547&gt;=20,V547&lt;40,W547&gt;=45,W547&lt;95),0.23,0)+IF(AND(V547&gt;=20,V547&lt;40,W547&gt;=95,W547&lt;=250),0.17,0)+IF(AND(V547&gt;=20,V547&lt;40,W547&gt;=250),0.12,0)+IF(AND(V547&gt;=40,V547&lt;75,W547&lt;35),0.3,0)+IF(AND(V547&gt;=40,V547&lt;75,W547&gt;=35,W547&lt;75),0.23,0)+IF(AND(V547&gt;=40,V547&lt;75,W547&gt;=75,W547&lt;120),0.17,0)+IF(AND(V547&gt;=40,V547&lt;75,W547&gt;=120),0.12,0)+IF(AND(V547&gt;=75,V547&lt;175,W547&lt;35),0.3,0)+IF(AND(V547&gt;=75,V547&lt;=175,W547&gt;=35,W547&lt;65),0.23,0)+IF(AND(V547&gt;=75,V547&lt;=175,W547&gt;=65,W547&lt;110),0.17,0)+IF(AND(V547&gt;=75,V547&lt;=175,W547&gt;=110),0.12,0)+IF(AND(V547&gt;175,W547&lt;25),0.3,0)+IF(AND(V547&gt;175,W547&gt;=25,W547&lt;55),0.23,0)+IF(AND(V547&gt;175,W547&gt;=55,W547&lt;95),0.17,0)+IF(AND(V547&gt;175,W547&gt;=95),0.12,0),
IF(AF547="DoEVni",IF(AND(V547&lt;20,W547&lt;55),0.3,0)+IF(AND(V547&lt;20,W547&gt;=55,W547&lt;105),0.23,0)+IF(AND(V547&lt;20,W547&gt;=105),0.17,0)+IF(AND(V547&gt;=20,V547&lt;40,W547&lt;45),0.3,0)+IF(AND(V547&gt;=20,V547&lt;40,W547&gt;=45,W547&lt;95),0.23,0)+IF(AND(V547&gt;=20,V547&lt;40,W547&gt;=95,W547&lt;=200),0.17,0)+IF(AND(V547&gt;=20,V547&lt;40,W547&gt;=200),0.12,0)+IF(AND(V547&gt;=40,V547&lt;75,W547&lt;35),0.3,0)+IF(AND(V547&gt;=40,V547&lt;75,W547&gt;=35,W547&lt;75),0.23,0)+IF(AND(V547&gt;=40,V547&lt;75,W547&gt;=75,W547&lt;120),0.17,0)+IF(AND(V547&gt;=40,V547&lt;75,W547&gt;=120),0.12,0)+IF(AND(V547&gt;=75,V547&lt;175,W547&lt;35),0.3,0)+IF(AND(V547&gt;=75,V547&lt;=175,W547&gt;=35,W547&lt;65),0.23,0)+IF(AND(V547&gt;=75,V547&lt;=175,W547&gt;=65,W547&lt;110),0.17,0)+IF(AND(V547&gt;=75,V547&lt;=175,W547&gt;=110),0.12,0)+IF(AND(V547&gt;175,W547&lt;25),0.3,0)+IF(AND(V547&gt;175,W547&gt;=25,W547&lt;55),0.23,0)+IF(AND(V547&gt;175,W547&gt;=55,W547&lt;95),0.17,0)+IF(AND(V547&gt;175,W547&gt;=95),0.12,0),
IF(AF547="DoEVLo",IF(AND(V547&lt;20,W547&lt;55),0.25,0)+IF(AND(V547&lt;20,W547&gt;=55,W547&lt;105),0.2,0)+IF(AND(V547&lt;20,W547&gt;=105),0.15,0)+IF(AND(V547&gt;=20,V547&lt;40,W547&lt;45),0.25,0)+IF(AND(V547&gt;=20,V547&lt;40,W547&gt;=45,W547&lt;95),0.2,0)+IF(AND(V547&gt;=20,V547&lt;40,W547&gt;=95),0.15,0)+IF(AND(V547&gt;=40,V547&lt;75,W547&lt;35),0.25,0)+IF(AND(V547&gt;=40,V547&lt;75,W547&gt;=35,W547&lt;75),0.2,0)+IF(AND(V547&gt;=40,V547&lt;75,W547&gt;=75,W547&lt;120),0.15,0)+IF(AND(V547&gt;=40,V547&lt;75,W547&gt;=120),0.1,0)+IF(AND(V547&gt;=75,V547&lt;175,W547&lt;35),0.25,0)+IF(AND(V547&gt;=75,V547&lt;=175,W547&gt;=35,W547&lt;65),0.2,0)+IF(AND(V547&gt;=75,V547&lt;=175,W547&gt;=65,W547&lt;110),0.15,0)+IF(AND(V547&gt;=75,V547&lt;=175,W547&gt;=110),0.1,0)+IF(AND(V547&gt;175,W547&lt;25),0.25,0)+IF(AND(V547&gt;175,W547&gt;=25,W547&lt;55),0.2,0)+IF(AND(V547&gt;175,W547&gt;=55,W547&lt;95),0.15,0)+IF(AND(V547&gt;175,W547&gt;=95),0.1,0)))))))))))))))))</f>
        <v>0.1875</v>
      </c>
      <c r="Y547" s="30">
        <f>IF(AG547="None",0,IF(AG547="Fix5",0.05, IF(AG547="Fix6.25",0.0625,IF(AG547="Fix3.75",0.0375,IF(AG547="Fix10",0.1,IF(AG547="Fix3",0.03,0))))))</f>
        <v>6.25E-2</v>
      </c>
      <c r="Z547" s="35">
        <f>T547-AA547-AB547</f>
        <v>9333.75</v>
      </c>
      <c r="AA547" s="29">
        <f>IF(AD547="EUR",((T547-R547)*X547)*U547+(R547*X547),(T547*X547))</f>
        <v>2333.4375</v>
      </c>
      <c r="AB547" s="36">
        <f>IF(AD547="EUR",((T547-R547)*Y547)*U547+(R547*Y547),(T547*Y547))</f>
        <v>777.8125</v>
      </c>
      <c r="AC547" s="37" t="b">
        <v>1</v>
      </c>
      <c r="AD547" s="37" t="s">
        <v>38</v>
      </c>
      <c r="AE547" s="37" t="s">
        <v>38</v>
      </c>
      <c r="AF547" s="37" t="s">
        <v>146</v>
      </c>
      <c r="AG547" s="38" t="s">
        <v>147</v>
      </c>
    </row>
    <row r="548" spans="1:33" ht="14.25" hidden="1" x14ac:dyDescent="0.2">
      <c r="A548" s="18" t="str">
        <f t="array" ref="A548">IF(G548='Room Info'!$B$1, INDEX('Room Info'!$A$2:$A2446, MATCH(B548,'Room Info'!$B$2:$B2446, 0)),IF(G548='Room Info'!$C$1, INDEX('Room Info'!$A$2:$A2446, MATCH(B548,'Room Info'!$C$2:$C2446, 0)),IF(G548='Room Info'!$D$1, INDEX('Room Info'!$A$2:$A2446, MATCH(B548,'Room Info'!$D$2:$D2446, 0)),IF(G548='Room Info'!$E$1, INDEX('Room Info'!$A$2:$A2446, MATCH(B548,'Room Info'!$E$2:$E2446, 0)),IF(G548='Room Info'!$F$1, INDEX('Room Info'!$A$2:$A2446, MATCH(B548,'Room Info'!$F$2:$F2446, 0)),IF(G548='Room Info'!$H$1, INDEX('Room Info'!$A$2:$A2446, MATCH(B548,'Room Info'!$H$2:$H2446, 0)),IF(G548='Room Info'!$G$1, INDEX('Room Info'!$A$2:$A2446, MATCH(B548,'Room Info'!$G$2:$G2446, 0)))))))))</f>
        <v>benyya</v>
      </c>
      <c r="B548" s="45" t="s">
        <v>145</v>
      </c>
      <c r="C548" s="46">
        <v>44916</v>
      </c>
      <c r="D548" s="46">
        <v>44957</v>
      </c>
      <c r="E548" s="47">
        <v>44927</v>
      </c>
      <c r="F548" s="45" t="s">
        <v>49</v>
      </c>
      <c r="G548" s="54" t="s">
        <v>35</v>
      </c>
      <c r="H548" s="49" t="s">
        <v>142</v>
      </c>
      <c r="I548" s="49" t="s">
        <v>37</v>
      </c>
      <c r="J548" s="50">
        <v>500</v>
      </c>
      <c r="K548" s="51">
        <v>146</v>
      </c>
      <c r="L548" s="52">
        <v>36500</v>
      </c>
      <c r="M548" s="53">
        <v>3529</v>
      </c>
      <c r="N548" s="28">
        <f>K548*J548</f>
        <v>73000</v>
      </c>
      <c r="O548" s="54">
        <v>-3811</v>
      </c>
      <c r="P548" s="29">
        <v>-26.10273973</v>
      </c>
      <c r="Q548" s="55"/>
      <c r="R548" s="31">
        <f>M548+Q548</f>
        <v>3529</v>
      </c>
      <c r="S548" s="56">
        <v>-7171</v>
      </c>
      <c r="T548" s="32">
        <f>R548+S548+IF(F548="Without EV deal",L548,0)</f>
        <v>-3642</v>
      </c>
      <c r="U548" s="57">
        <v>1</v>
      </c>
      <c r="V548" s="58">
        <v>147.51</v>
      </c>
      <c r="W548" s="58">
        <v>85</v>
      </c>
      <c r="X548" s="30">
        <f>IF(AF548="DoEV",IF(AND(V548&lt;20,W548&lt;55),0.3,0)+IF(AND(V548&lt;20,W548&gt;=55,W548&lt;105),0.23,0)+IF(AND(V548&lt;20,W548&gt;=105),0.17,0)+IF(AND(V548&gt;=20,V548&lt;40,W548&lt;45),0.3,0)+IF(AND(V548&gt;=20,V548&lt;40,W548&gt;=45,W548&lt;95),0.23,0)+IF(AND(V548&gt;=20,V548&lt;40,W548&gt;=95),0.17,0)+IF(AND(V548&gt;=40,V548&lt;75,W548&lt;35),0.3,0)+IF(AND(V548&gt;=40,V548&lt;75,W548&gt;=35,W548&lt;75),0.23,0)+IF(AND(V548&gt;=40,V548&lt;75,W548&gt;=75,W548&lt;120),0.17,0)+IF(AND(V548&gt;=40,V548&lt;75,W548&gt;=120),0.12,0)+IF(AND(V548&gt;=75,V548&lt;175,W548&lt;35),0.3,0)+IF(AND(V548&gt;=75,V548&lt;=175,W548&gt;=35,W548&lt;65),0.23,0)+IF(AND(V548&gt;=75,V548&lt;=175,W548&gt;=65,W548&lt;110),0.17,0)+IF(AND(V548&gt;=75,V548&lt;=175,W548&gt;=110),0.12,0)+IF(AND(V548&gt;175,W548&lt;25),0.3,0)+IF(AND(V548&gt;175,W548&gt;=25,W548&lt;55),0.23,0)+IF(AND(V548&gt;175,W548&gt;=55,W548&lt;95),0.17,0)+IF(AND(V548&gt;175,W548&gt;=95),0.12,0),
IF(AF548="Fix15",0.15,
IF(AF548="Fix18.75",0.1875,
IF(AF548="Fix11.25",0.1125,
IF(AF548="Fix10",0.1,
IF(AF548="Fix9",0.09,
IF(AF548="DoEV2017",IF(AND(W548&lt;74),0.2,0)+IF(AND(W548&gt;=74),0.17,0),
IF(AF548="SF",IF(AND(V548&lt;20,W548&lt;89),0.3,0)+IF(AND(V548&lt;20,W548&gt;=89),0.25,0)+IF(AND(V548&gt;=20,V548&lt;40,W548&lt;74),0.3,0)+IF(AND(V548&gt;=20,V548&lt;40,W548&gt;=75),0.22,0)+IF(AND(V548&gt;=40,V548&lt;75,W548&lt;75),0.26,0)+IF(AND(V548&gt;=40,V548&lt;75,W548&gt;=75),0.22,0)+IF(V548&gt;=75,0.22,0),
IF(AF548="DoEVold",IF(AND(V548&lt;40,W548&lt;35),0.35,0)+IF(AND(V548&lt;40,W548&gt;=35,W548&lt;75),0.25,0)+IF(AND(V548&lt;40,W548&gt;=75),0.17,0)+IF(AND(V548&gt;=40,V548&lt;75,W548&lt;25),0.35,0)+IF(AND(V548&gt;=40,V548&lt;75,W548&gt;=25,W548&lt;65),0.25,0)+IF(AND(V548&gt;=40,V548&lt;75,W548&gt;=65,W548&lt;100),0.17,0)+IF(AND(V548&gt;=40,V548&lt;75,W548&gt;=100),0.1,0)+IF(AND(V548&gt;=75,W548&lt;25),0.35,0)+IF(AND(V548&gt;=75,W548&gt;=25,W548&lt;60),0.25,0)+IF(AND(V548&gt;=75,W548&gt;=60,W548&lt;95),0.17,0)+IF(AND(V548&gt;=75,W548&gt;=95),0.1,0),
IF(AF548="DoEVold15",IF(AND(V548&lt;=40,W548&lt;35),0.35,0)+IF(AND(V548&lt;=40,W548&gt;=35,W548&lt;75),0.25,0)+IF(AND(V548&lt;=40,W548&gt;=75,W548&lt;120),0.17,0)+IF(AND(V548&lt;=40,W548&gt;=120),0.15,0)+IF(AND(V548&gt;40,V548&lt;75,W548&lt;25),0.35,0)+IF(AND(V548&gt;=40,V548&lt;75,W548&gt;=25,W548&lt;65),0.25,0)+IF(AND(V548&gt;=40,V548&lt;75,W548&gt;=65,W548&lt;100),0.17,0)+IF(AND(V548&gt;=40,V548&lt;75,W548&gt;=100),0.1,0)+IF(AND(V548&gt;=75,W548&lt;25),0.35,0)+IF(AND(V548&gt;=75,W548&gt;=25,W548&lt;60),0.25,0)+IF(AND(V548&gt;=75,W548&gt;=60,W548&lt;95),0.17,0)+IF(AND(V548&gt;=75,W548&gt;=95),0.1,0),
IF(AF548="DoEVba",IF(AND(V548&lt;20,W548&lt;105),0.2,0)+IF(AND(V548&lt;20,W548&gt;=105),0.15,0)+IF(AND(V548&gt;=20,V548&lt;40,W548&lt;95),0.2,0)+IF(AND(V548&gt;=20,V548&lt;40,W548&gt;=95,W548&lt;150),0.15,0)+IF(AND(V548&gt;=20,V548&lt;40,W548&gt;=150),0.12,0)+IF(AND(V548&gt;=40,V548&lt;75,W548&lt;75),0.2,0)+IF(AND(V548&gt;=40,V548&lt;75,W548&gt;=75,W548&lt;120),0.15,0)+IF(AND(V548&gt;=40,V548&lt;75,W548&gt;=120),0.12,0)+IF(AND(V548&gt;=75,V548&lt;175,W548&lt;65),0.2,0)+IF(AND(V548&gt;=75,V548&lt;175,W548&gt;=65,W548&lt;110),0.15,0)+IF(AND(V548&gt;=75,V548&lt;175,W548&gt;=110),0.12,0)+IF(AND(V548&gt;=175,W548&lt;55),0.2,0)+IF(AND(V548&gt;=175,W548&gt;=55,W548&lt;95),0.15,0)+IF(AND(V548&gt;=175,W548&gt;=95),0.12,0),
IF(AF548="DoEVku",IF(AND(V548&lt;20,W548&lt;55),0.23,0)+IF(AND(V548&lt;20,W548&gt;=55,W548&lt;105),0.2,0)+IF(AND(V548&lt;20,W548&gt;=105),0.17,0)+IF(AND(V548&gt;=20,V548&lt;40,W548&lt;45),0.23,0)+IF(AND(V548&gt;=20,V548&lt;40,W548&gt;=45,W548&lt;95),0.2,0)+IF(AND(V548&gt;=20,V548&lt;40,W548&gt;=95,W548&lt;=150),0.17,0)+IF(AND(V548&gt;=20,V548&lt;40,W548&gt;=150),0.12,0)+IF(AND(V548&gt;=40,V548&lt;75,W548&lt;35),0.23,0)+IF(AND(V548&gt;=40,V548&lt;75,W548&gt;=35,W548&lt;75),0.2,0)+IF(AND(V548&gt;=40,V548&lt;75,W548&gt;=75,W548&lt;120),0.17,0)+IF(AND(V548&gt;=40,V548&lt;75,W548&gt;=120),0.12,0)+IF(AND(V548&gt;=75,V548&lt;175,W548&lt;35),0.23,0)+IF(AND(V548&gt;=75,V548&lt;=175,W548&gt;=35,W548&lt;65),0.2,0)+IF(AND(V548&gt;=75,V548&lt;=175,W548&gt;=65,W548&lt;110),0.17,0)+IF(AND(V548&gt;=75,V548&lt;=175,W548&gt;=110),0.12,0)+IF(AND(V548&gt;175,W548&lt;25),0.23,0)+IF(AND(V548&gt;175,W548&gt;=25,W548&lt;55),0.2,0)+IF(AND(V548&gt;175,W548&gt;=55,W548&lt;95),0.17,0)+IF(AND(V548&gt;175,W548&gt;=95),0.12,0),
IF(AF548="DoEVs1",IF(AND(V548&lt;20,W548&lt;55),0.3,0)+IF(AND(V548&lt;20,W548&gt;=55,W548&lt;105),0.23,0)+IF(AND(V548&lt;20,W548&gt;=105),0.17,0)+IF(AND(V548&gt;=20,V548&lt;40,W548&lt;45),0.3,0)+IF(AND(V548&gt;=20,V548&lt;40,W548&gt;=45,W548&lt;95),0.23,0)+IF(AND(V548&gt;=20,V548&lt;40,W548&gt;=95,W548&lt;=150),0.17,0)+IF(AND(V548&gt;=20,V548&lt;40,W548&gt;=150),0.12,0)+IF(AND(V548&gt;=40,V548&lt;75,W548&lt;35),0.3,0)+IF(AND(V548&gt;=40,V548&lt;75,W548&gt;=35,W548&lt;75),0.23,0)+IF(AND(V548&gt;=40,V548&lt;75,W548&gt;=75,W548&lt;120),0.17,0)+IF(AND(V548&gt;=40,V548&lt;75,W548&gt;=120),0.12,0)+IF(AND(V548&gt;=75,V548&lt;175,W548&lt;35),0.3,0)+IF(AND(V548&gt;=75,V548&lt;=175,W548&gt;=35,W548&lt;65),0.23,0)+IF(AND(V548&gt;=75,V548&lt;=175,W548&gt;=65,W548&lt;110),0.17,0)+IF(AND(V548&gt;=75,V548&lt;=175,W548&gt;=110),0.12,0)+IF(AND(V548&gt;175,W548&lt;25),0.3,0)+IF(AND(V548&gt;175,W548&gt;=25,W548&lt;55),0.23,0)+IF(AND(V548&gt;175,W548&gt;=55,W548&lt;95),0.17,0)+IF(AND(V548&gt;175,W548&gt;=95),0.12,0),
IF(AF548="DoEVsu",IF(AND(V548&lt;20,W548&lt;55),0.3,0)+IF(AND(V548&lt;20,W548&gt;=55,W548&lt;105),0.23,0)+IF(AND(V548&lt;20,W548&gt;=105),0.17,0)+IF(AND(V548&gt;=20,V548&lt;40,W548&lt;45),0.3,0)+IF(AND(V548&gt;=20,V548&lt;40,W548&gt;=45,W548&lt;95),0.23,0)+IF(AND(V548&gt;=20,V548&lt;40,W548&gt;=95,W548&lt;=250),0.17,0)+IF(AND(V548&gt;=20,V548&lt;40,W548&gt;=250),0.12,0)+IF(AND(V548&gt;=40,V548&lt;75,W548&lt;35),0.3,0)+IF(AND(V548&gt;=40,V548&lt;75,W548&gt;=35,W548&lt;75),0.23,0)+IF(AND(V548&gt;=40,V548&lt;75,W548&gt;=75,W548&lt;120),0.17,0)+IF(AND(V548&gt;=40,V548&lt;75,W548&gt;=120),0.12,0)+IF(AND(V548&gt;=75,V548&lt;175,W548&lt;35),0.3,0)+IF(AND(V548&gt;=75,V548&lt;=175,W548&gt;=35,W548&lt;65),0.23,0)+IF(AND(V548&gt;=75,V548&lt;=175,W548&gt;=65,W548&lt;110),0.17,0)+IF(AND(V548&gt;=75,V548&lt;=175,W548&gt;=110),0.12,0)+IF(AND(V548&gt;175,W548&lt;25),0.3,0)+IF(AND(V548&gt;175,W548&gt;=25,W548&lt;55),0.23,0)+IF(AND(V548&gt;175,W548&gt;=55,W548&lt;95),0.17,0)+IF(AND(V548&gt;175,W548&gt;=95),0.12,0),
IF(AF548="DoEVni",IF(AND(V548&lt;20,W548&lt;55),0.3,0)+IF(AND(V548&lt;20,W548&gt;=55,W548&lt;105),0.23,0)+IF(AND(V548&lt;20,W548&gt;=105),0.17,0)+IF(AND(V548&gt;=20,V548&lt;40,W548&lt;45),0.3,0)+IF(AND(V548&gt;=20,V548&lt;40,W548&gt;=45,W548&lt;95),0.23,0)+IF(AND(V548&gt;=20,V548&lt;40,W548&gt;=95,W548&lt;=200),0.17,0)+IF(AND(V548&gt;=20,V548&lt;40,W548&gt;=200),0.12,0)+IF(AND(V548&gt;=40,V548&lt;75,W548&lt;35),0.3,0)+IF(AND(V548&gt;=40,V548&lt;75,W548&gt;=35,W548&lt;75),0.23,0)+IF(AND(V548&gt;=40,V548&lt;75,W548&gt;=75,W548&lt;120),0.17,0)+IF(AND(V548&gt;=40,V548&lt;75,W548&gt;=120),0.12,0)+IF(AND(V548&gt;=75,V548&lt;175,W548&lt;35),0.3,0)+IF(AND(V548&gt;=75,V548&lt;=175,W548&gt;=35,W548&lt;65),0.23,0)+IF(AND(V548&gt;=75,V548&lt;=175,W548&gt;=65,W548&lt;110),0.17,0)+IF(AND(V548&gt;=75,V548&lt;=175,W548&gt;=110),0.12,0)+IF(AND(V548&gt;175,W548&lt;25),0.3,0)+IF(AND(V548&gt;175,W548&gt;=25,W548&lt;55),0.23,0)+IF(AND(V548&gt;175,W548&gt;=55,W548&lt;95),0.17,0)+IF(AND(V548&gt;175,W548&gt;=95),0.12,0),
IF(AF548="DoEVLo",IF(AND(V548&lt;20,W548&lt;55),0.25,0)+IF(AND(V548&lt;20,W548&gt;=55,W548&lt;105),0.2,0)+IF(AND(V548&lt;20,W548&gt;=105),0.15,0)+IF(AND(V548&gt;=20,V548&lt;40,W548&lt;45),0.25,0)+IF(AND(V548&gt;=20,V548&lt;40,W548&gt;=45,W548&lt;95),0.2,0)+IF(AND(V548&gt;=20,V548&lt;40,W548&gt;=95),0.15,0)+IF(AND(V548&gt;=40,V548&lt;75,W548&lt;35),0.25,0)+IF(AND(V548&gt;=40,V548&lt;75,W548&gt;=35,W548&lt;75),0.2,0)+IF(AND(V548&gt;=40,V548&lt;75,W548&gt;=75,W548&lt;120),0.15,0)+IF(AND(V548&gt;=40,V548&lt;75,W548&gt;=120),0.1,0)+IF(AND(V548&gt;=75,V548&lt;175,W548&lt;35),0.25,0)+IF(AND(V548&gt;=75,V548&lt;=175,W548&gt;=35,W548&lt;65),0.2,0)+IF(AND(V548&gt;=75,V548&lt;=175,W548&gt;=65,W548&lt;110),0.15,0)+IF(AND(V548&gt;=75,V548&lt;=175,W548&gt;=110),0.1,0)+IF(AND(V548&gt;175,W548&lt;25),0.25,0)+IF(AND(V548&gt;175,W548&gt;=25,W548&lt;55),0.2,0)+IF(AND(V548&gt;175,W548&gt;=55,W548&lt;95),0.15,0)+IF(AND(V548&gt;175,W548&gt;=95),0.1,0)))))))))))))))))</f>
        <v>0.1875</v>
      </c>
      <c r="Y548" s="30">
        <f>IF(AG548="None",0,IF(AG548="Fix5",0.05, IF(AG548="Fix6.25",0.0625,IF(AG548="Fix3.75",0.0375,IF(AG548="Fix10",0.1,IF(AG548="Fix3",0.03,0))))))</f>
        <v>6.25E-2</v>
      </c>
      <c r="Z548" s="35">
        <f>T548-AA548-AB548</f>
        <v>-2731.5</v>
      </c>
      <c r="AA548" s="29">
        <f>IF(AD548="EUR",((T548-R548)*X548)*U548+(R548*X548),(T548*X548))</f>
        <v>-682.875</v>
      </c>
      <c r="AB548" s="36">
        <f>IF(AD548="EUR",((T548-R548)*Y548)*U548+(R548*Y548),(T548*Y548))</f>
        <v>-227.625</v>
      </c>
      <c r="AC548" s="37" t="b">
        <v>1</v>
      </c>
      <c r="AD548" s="37" t="s">
        <v>38</v>
      </c>
      <c r="AE548" s="37" t="s">
        <v>38</v>
      </c>
      <c r="AF548" s="37" t="s">
        <v>146</v>
      </c>
      <c r="AG548" s="38" t="s">
        <v>147</v>
      </c>
    </row>
    <row r="549" spans="1:33" ht="14.25" hidden="1" x14ac:dyDescent="0.2">
      <c r="A549" s="18" t="str">
        <f t="array" ref="A549">IF(G549='Room Info'!$B$1, INDEX('Room Info'!$A$2:$A2446, MATCH(B549,'Room Info'!$B$2:$B2446, 0)),IF(G549='Room Info'!$C$1, INDEX('Room Info'!$A$2:$A2446, MATCH(B549,'Room Info'!$C$2:$C2446, 0)),IF(G549='Room Info'!$D$1, INDEX('Room Info'!$A$2:$A2446, MATCH(B549,'Room Info'!$D$2:$D2446, 0)),IF(G549='Room Info'!$E$1, INDEX('Room Info'!$A$2:$A2446, MATCH(B549,'Room Info'!$E$2:$E2446, 0)),IF(G549='Room Info'!$F$1, INDEX('Room Info'!$A$2:$A2446, MATCH(B549,'Room Info'!$F$2:$F2446, 0)),IF(G549='Room Info'!$H$1, INDEX('Room Info'!$A$2:$A2446, MATCH(B549,'Room Info'!$H$2:$H2446, 0)),IF(G549='Room Info'!$G$1, INDEX('Room Info'!$A$2:$A2446, MATCH(B549,'Room Info'!$G$2:$G2446, 0)))))))))</f>
        <v>benyya</v>
      </c>
      <c r="B549" s="45" t="s">
        <v>145</v>
      </c>
      <c r="C549" s="46">
        <v>44916</v>
      </c>
      <c r="D549" s="46">
        <v>44957</v>
      </c>
      <c r="E549" s="47">
        <v>44927</v>
      </c>
      <c r="F549" s="45" t="s">
        <v>49</v>
      </c>
      <c r="G549" s="54" t="s">
        <v>35</v>
      </c>
      <c r="H549" s="49" t="s">
        <v>149</v>
      </c>
      <c r="I549" s="49" t="s">
        <v>44</v>
      </c>
      <c r="J549" s="50">
        <v>500</v>
      </c>
      <c r="K549" s="51">
        <v>42</v>
      </c>
      <c r="L549" s="52">
        <v>-4500</v>
      </c>
      <c r="M549" s="53">
        <v>1015</v>
      </c>
      <c r="N549" s="28">
        <f>K549*J549</f>
        <v>21000</v>
      </c>
      <c r="O549" s="54">
        <v>786</v>
      </c>
      <c r="P549" s="29">
        <v>18.714285709999999</v>
      </c>
      <c r="Q549" s="55"/>
      <c r="R549" s="31">
        <f>M549+Q549</f>
        <v>1015</v>
      </c>
      <c r="S549" s="56">
        <v>203</v>
      </c>
      <c r="T549" s="32">
        <f>R549+S549+IF(F549="Without EV deal",L549,0)</f>
        <v>1218</v>
      </c>
      <c r="U549" s="57">
        <v>1</v>
      </c>
      <c r="V549" s="58">
        <v>147.51</v>
      </c>
      <c r="W549" s="58">
        <v>85</v>
      </c>
      <c r="X549" s="30">
        <f>IF(AF549="DoEV",IF(AND(V549&lt;20,W549&lt;55),0.3,0)+IF(AND(V549&lt;20,W549&gt;=55,W549&lt;105),0.23,0)+IF(AND(V549&lt;20,W549&gt;=105),0.17,0)+IF(AND(V549&gt;=20,V549&lt;40,W549&lt;45),0.3,0)+IF(AND(V549&gt;=20,V549&lt;40,W549&gt;=45,W549&lt;95),0.23,0)+IF(AND(V549&gt;=20,V549&lt;40,W549&gt;=95),0.17,0)+IF(AND(V549&gt;=40,V549&lt;75,W549&lt;35),0.3,0)+IF(AND(V549&gt;=40,V549&lt;75,W549&gt;=35,W549&lt;75),0.23,0)+IF(AND(V549&gt;=40,V549&lt;75,W549&gt;=75,W549&lt;120),0.17,0)+IF(AND(V549&gt;=40,V549&lt;75,W549&gt;=120),0.12,0)+IF(AND(V549&gt;=75,V549&lt;175,W549&lt;35),0.3,0)+IF(AND(V549&gt;=75,V549&lt;=175,W549&gt;=35,W549&lt;65),0.23,0)+IF(AND(V549&gt;=75,V549&lt;=175,W549&gt;=65,W549&lt;110),0.17,0)+IF(AND(V549&gt;=75,V549&lt;=175,W549&gt;=110),0.12,0)+IF(AND(V549&gt;175,W549&lt;25),0.3,0)+IF(AND(V549&gt;175,W549&gt;=25,W549&lt;55),0.23,0)+IF(AND(V549&gt;175,W549&gt;=55,W549&lt;95),0.17,0)+IF(AND(V549&gt;175,W549&gt;=95),0.12,0),
IF(AF549="Fix15",0.15,
IF(AF549="Fix18.75",0.1875,
IF(AF549="Fix11.25",0.1125,
IF(AF549="Fix10",0.1,
IF(AF549="Fix9",0.09,
IF(AF549="DoEV2017",IF(AND(W549&lt;74),0.2,0)+IF(AND(W549&gt;=74),0.17,0),
IF(AF549="SF",IF(AND(V549&lt;20,W549&lt;89),0.3,0)+IF(AND(V549&lt;20,W549&gt;=89),0.25,0)+IF(AND(V549&gt;=20,V549&lt;40,W549&lt;74),0.3,0)+IF(AND(V549&gt;=20,V549&lt;40,W549&gt;=75),0.22,0)+IF(AND(V549&gt;=40,V549&lt;75,W549&lt;75),0.26,0)+IF(AND(V549&gt;=40,V549&lt;75,W549&gt;=75),0.22,0)+IF(V549&gt;=75,0.22,0),
IF(AF549="DoEVold",IF(AND(V549&lt;40,W549&lt;35),0.35,0)+IF(AND(V549&lt;40,W549&gt;=35,W549&lt;75),0.25,0)+IF(AND(V549&lt;40,W549&gt;=75),0.17,0)+IF(AND(V549&gt;=40,V549&lt;75,W549&lt;25),0.35,0)+IF(AND(V549&gt;=40,V549&lt;75,W549&gt;=25,W549&lt;65),0.25,0)+IF(AND(V549&gt;=40,V549&lt;75,W549&gt;=65,W549&lt;100),0.17,0)+IF(AND(V549&gt;=40,V549&lt;75,W549&gt;=100),0.1,0)+IF(AND(V549&gt;=75,W549&lt;25),0.35,0)+IF(AND(V549&gt;=75,W549&gt;=25,W549&lt;60),0.25,0)+IF(AND(V549&gt;=75,W549&gt;=60,W549&lt;95),0.17,0)+IF(AND(V549&gt;=75,W549&gt;=95),0.1,0),
IF(AF549="DoEVold15",IF(AND(V549&lt;=40,W549&lt;35),0.35,0)+IF(AND(V549&lt;=40,W549&gt;=35,W549&lt;75),0.25,0)+IF(AND(V549&lt;=40,W549&gt;=75,W549&lt;120),0.17,0)+IF(AND(V549&lt;=40,W549&gt;=120),0.15,0)+IF(AND(V549&gt;40,V549&lt;75,W549&lt;25),0.35,0)+IF(AND(V549&gt;=40,V549&lt;75,W549&gt;=25,W549&lt;65),0.25,0)+IF(AND(V549&gt;=40,V549&lt;75,W549&gt;=65,W549&lt;100),0.17,0)+IF(AND(V549&gt;=40,V549&lt;75,W549&gt;=100),0.1,0)+IF(AND(V549&gt;=75,W549&lt;25),0.35,0)+IF(AND(V549&gt;=75,W549&gt;=25,W549&lt;60),0.25,0)+IF(AND(V549&gt;=75,W549&gt;=60,W549&lt;95),0.17,0)+IF(AND(V549&gt;=75,W549&gt;=95),0.1,0),
IF(AF549="DoEVba",IF(AND(V549&lt;20,W549&lt;105),0.2,0)+IF(AND(V549&lt;20,W549&gt;=105),0.15,0)+IF(AND(V549&gt;=20,V549&lt;40,W549&lt;95),0.2,0)+IF(AND(V549&gt;=20,V549&lt;40,W549&gt;=95,W549&lt;150),0.15,0)+IF(AND(V549&gt;=20,V549&lt;40,W549&gt;=150),0.12,0)+IF(AND(V549&gt;=40,V549&lt;75,W549&lt;75),0.2,0)+IF(AND(V549&gt;=40,V549&lt;75,W549&gt;=75,W549&lt;120),0.15,0)+IF(AND(V549&gt;=40,V549&lt;75,W549&gt;=120),0.12,0)+IF(AND(V549&gt;=75,V549&lt;175,W549&lt;65),0.2,0)+IF(AND(V549&gt;=75,V549&lt;175,W549&gt;=65,W549&lt;110),0.15,0)+IF(AND(V549&gt;=75,V549&lt;175,W549&gt;=110),0.12,0)+IF(AND(V549&gt;=175,W549&lt;55),0.2,0)+IF(AND(V549&gt;=175,W549&gt;=55,W549&lt;95),0.15,0)+IF(AND(V549&gt;=175,W549&gt;=95),0.12,0),
IF(AF549="DoEVku",IF(AND(V549&lt;20,W549&lt;55),0.23,0)+IF(AND(V549&lt;20,W549&gt;=55,W549&lt;105),0.2,0)+IF(AND(V549&lt;20,W549&gt;=105),0.17,0)+IF(AND(V549&gt;=20,V549&lt;40,W549&lt;45),0.23,0)+IF(AND(V549&gt;=20,V549&lt;40,W549&gt;=45,W549&lt;95),0.2,0)+IF(AND(V549&gt;=20,V549&lt;40,W549&gt;=95,W549&lt;=150),0.17,0)+IF(AND(V549&gt;=20,V549&lt;40,W549&gt;=150),0.12,0)+IF(AND(V549&gt;=40,V549&lt;75,W549&lt;35),0.23,0)+IF(AND(V549&gt;=40,V549&lt;75,W549&gt;=35,W549&lt;75),0.2,0)+IF(AND(V549&gt;=40,V549&lt;75,W549&gt;=75,W549&lt;120),0.17,0)+IF(AND(V549&gt;=40,V549&lt;75,W549&gt;=120),0.12,0)+IF(AND(V549&gt;=75,V549&lt;175,W549&lt;35),0.23,0)+IF(AND(V549&gt;=75,V549&lt;=175,W549&gt;=35,W549&lt;65),0.2,0)+IF(AND(V549&gt;=75,V549&lt;=175,W549&gt;=65,W549&lt;110),0.17,0)+IF(AND(V549&gt;=75,V549&lt;=175,W549&gt;=110),0.12,0)+IF(AND(V549&gt;175,W549&lt;25),0.23,0)+IF(AND(V549&gt;175,W549&gt;=25,W549&lt;55),0.2,0)+IF(AND(V549&gt;175,W549&gt;=55,W549&lt;95),0.17,0)+IF(AND(V549&gt;175,W549&gt;=95),0.12,0),
IF(AF549="DoEVs1",IF(AND(V549&lt;20,W549&lt;55),0.3,0)+IF(AND(V549&lt;20,W549&gt;=55,W549&lt;105),0.23,0)+IF(AND(V549&lt;20,W549&gt;=105),0.17,0)+IF(AND(V549&gt;=20,V549&lt;40,W549&lt;45),0.3,0)+IF(AND(V549&gt;=20,V549&lt;40,W549&gt;=45,W549&lt;95),0.23,0)+IF(AND(V549&gt;=20,V549&lt;40,W549&gt;=95,W549&lt;=150),0.17,0)+IF(AND(V549&gt;=20,V549&lt;40,W549&gt;=150),0.12,0)+IF(AND(V549&gt;=40,V549&lt;75,W549&lt;35),0.3,0)+IF(AND(V549&gt;=40,V549&lt;75,W549&gt;=35,W549&lt;75),0.23,0)+IF(AND(V549&gt;=40,V549&lt;75,W549&gt;=75,W549&lt;120),0.17,0)+IF(AND(V549&gt;=40,V549&lt;75,W549&gt;=120),0.12,0)+IF(AND(V549&gt;=75,V549&lt;175,W549&lt;35),0.3,0)+IF(AND(V549&gt;=75,V549&lt;=175,W549&gt;=35,W549&lt;65),0.23,0)+IF(AND(V549&gt;=75,V549&lt;=175,W549&gt;=65,W549&lt;110),0.17,0)+IF(AND(V549&gt;=75,V549&lt;=175,W549&gt;=110),0.12,0)+IF(AND(V549&gt;175,W549&lt;25),0.3,0)+IF(AND(V549&gt;175,W549&gt;=25,W549&lt;55),0.23,0)+IF(AND(V549&gt;175,W549&gt;=55,W549&lt;95),0.17,0)+IF(AND(V549&gt;175,W549&gt;=95),0.12,0),
IF(AF549="DoEVsu",IF(AND(V549&lt;20,W549&lt;55),0.3,0)+IF(AND(V549&lt;20,W549&gt;=55,W549&lt;105),0.23,0)+IF(AND(V549&lt;20,W549&gt;=105),0.17,0)+IF(AND(V549&gt;=20,V549&lt;40,W549&lt;45),0.3,0)+IF(AND(V549&gt;=20,V549&lt;40,W549&gt;=45,W549&lt;95),0.23,0)+IF(AND(V549&gt;=20,V549&lt;40,W549&gt;=95,W549&lt;=250),0.17,0)+IF(AND(V549&gt;=20,V549&lt;40,W549&gt;=250),0.12,0)+IF(AND(V549&gt;=40,V549&lt;75,W549&lt;35),0.3,0)+IF(AND(V549&gt;=40,V549&lt;75,W549&gt;=35,W549&lt;75),0.23,0)+IF(AND(V549&gt;=40,V549&lt;75,W549&gt;=75,W549&lt;120),0.17,0)+IF(AND(V549&gt;=40,V549&lt;75,W549&gt;=120),0.12,0)+IF(AND(V549&gt;=75,V549&lt;175,W549&lt;35),0.3,0)+IF(AND(V549&gt;=75,V549&lt;=175,W549&gt;=35,W549&lt;65),0.23,0)+IF(AND(V549&gt;=75,V549&lt;=175,W549&gt;=65,W549&lt;110),0.17,0)+IF(AND(V549&gt;=75,V549&lt;=175,W549&gt;=110),0.12,0)+IF(AND(V549&gt;175,W549&lt;25),0.3,0)+IF(AND(V549&gt;175,W549&gt;=25,W549&lt;55),0.23,0)+IF(AND(V549&gt;175,W549&gt;=55,W549&lt;95),0.17,0)+IF(AND(V549&gt;175,W549&gt;=95),0.12,0),
IF(AF549="DoEVni",IF(AND(V549&lt;20,W549&lt;55),0.3,0)+IF(AND(V549&lt;20,W549&gt;=55,W549&lt;105),0.23,0)+IF(AND(V549&lt;20,W549&gt;=105),0.17,0)+IF(AND(V549&gt;=20,V549&lt;40,W549&lt;45),0.3,0)+IF(AND(V549&gt;=20,V549&lt;40,W549&gt;=45,W549&lt;95),0.23,0)+IF(AND(V549&gt;=20,V549&lt;40,W549&gt;=95,W549&lt;=200),0.17,0)+IF(AND(V549&gt;=20,V549&lt;40,W549&gt;=200),0.12,0)+IF(AND(V549&gt;=40,V549&lt;75,W549&lt;35),0.3,0)+IF(AND(V549&gt;=40,V549&lt;75,W549&gt;=35,W549&lt;75),0.23,0)+IF(AND(V549&gt;=40,V549&lt;75,W549&gt;=75,W549&lt;120),0.17,0)+IF(AND(V549&gt;=40,V549&lt;75,W549&gt;=120),0.12,0)+IF(AND(V549&gt;=75,V549&lt;175,W549&lt;35),0.3,0)+IF(AND(V549&gt;=75,V549&lt;=175,W549&gt;=35,W549&lt;65),0.23,0)+IF(AND(V549&gt;=75,V549&lt;=175,W549&gt;=65,W549&lt;110),0.17,0)+IF(AND(V549&gt;=75,V549&lt;=175,W549&gt;=110),0.12,0)+IF(AND(V549&gt;175,W549&lt;25),0.3,0)+IF(AND(V549&gt;175,W549&gt;=25,W549&lt;55),0.23,0)+IF(AND(V549&gt;175,W549&gt;=55,W549&lt;95),0.17,0)+IF(AND(V549&gt;175,W549&gt;=95),0.12,0),
IF(AF549="DoEVLo",IF(AND(V549&lt;20,W549&lt;55),0.25,0)+IF(AND(V549&lt;20,W549&gt;=55,W549&lt;105),0.2,0)+IF(AND(V549&lt;20,W549&gt;=105),0.15,0)+IF(AND(V549&gt;=20,V549&lt;40,W549&lt;45),0.25,0)+IF(AND(V549&gt;=20,V549&lt;40,W549&gt;=45,W549&lt;95),0.2,0)+IF(AND(V549&gt;=20,V549&lt;40,W549&gt;=95),0.15,0)+IF(AND(V549&gt;=40,V549&lt;75,W549&lt;35),0.25,0)+IF(AND(V549&gt;=40,V549&lt;75,W549&gt;=35,W549&lt;75),0.2,0)+IF(AND(V549&gt;=40,V549&lt;75,W549&gt;=75,W549&lt;120),0.15,0)+IF(AND(V549&gt;=40,V549&lt;75,W549&gt;=120),0.1,0)+IF(AND(V549&gt;=75,V549&lt;175,W549&lt;35),0.25,0)+IF(AND(V549&gt;=75,V549&lt;=175,W549&gt;=35,W549&lt;65),0.2,0)+IF(AND(V549&gt;=75,V549&lt;=175,W549&gt;=65,W549&lt;110),0.15,0)+IF(AND(V549&gt;=75,V549&lt;=175,W549&gt;=110),0.1,0)+IF(AND(V549&gt;175,W549&lt;25),0.25,0)+IF(AND(V549&gt;175,W549&gt;=25,W549&lt;55),0.2,0)+IF(AND(V549&gt;175,W549&gt;=55,W549&lt;95),0.15,0)+IF(AND(V549&gt;175,W549&gt;=95),0.1,0)))))))))))))))))</f>
        <v>0.1875</v>
      </c>
      <c r="Y549" s="30">
        <f>IF(AG549="None",0,IF(AG549="Fix5",0.05, IF(AG549="Fix6.25",0.0625,IF(AG549="Fix3.75",0.0375,IF(AG549="Fix10",0.1,IF(AG549="Fix3",0.03,0))))))</f>
        <v>6.25E-2</v>
      </c>
      <c r="Z549" s="35">
        <f>T549-AA549-AB549</f>
        <v>913.5</v>
      </c>
      <c r="AA549" s="29">
        <f>IF(AD549="EUR",((T549-R549)*X549)*U549+(R549*X549),(T549*X549))</f>
        <v>228.375</v>
      </c>
      <c r="AB549" s="36">
        <f>IF(AD549="EUR",((T549-R549)*Y549)*U549+(R549*Y549),(T549*Y549))</f>
        <v>76.125</v>
      </c>
      <c r="AC549" s="37" t="b">
        <v>1</v>
      </c>
      <c r="AD549" s="37" t="s">
        <v>38</v>
      </c>
      <c r="AE549" s="37" t="s">
        <v>38</v>
      </c>
      <c r="AF549" s="37" t="s">
        <v>146</v>
      </c>
      <c r="AG549" s="38" t="s">
        <v>147</v>
      </c>
    </row>
    <row r="550" spans="1:33" ht="14.25" hidden="1" x14ac:dyDescent="0.2">
      <c r="A550" s="18" t="str">
        <f t="array" ref="A550">IF(G550='Room Info'!$B$1, INDEX('Room Info'!$A$2:$A2446, MATCH(B550,'Room Info'!$B$2:$B2446, 0)),IF(G550='Room Info'!$C$1, INDEX('Room Info'!$A$2:$A2446, MATCH(B550,'Room Info'!$C$2:$C2446, 0)),IF(G550='Room Info'!$D$1, INDEX('Room Info'!$A$2:$A2446, MATCH(B550,'Room Info'!$D$2:$D2446, 0)),IF(G550='Room Info'!$E$1, INDEX('Room Info'!$A$2:$A2446, MATCH(B550,'Room Info'!$E$2:$E2446, 0)),IF(G550='Room Info'!$F$1, INDEX('Room Info'!$A$2:$A2446, MATCH(B550,'Room Info'!$F$2:$F2446, 0)),IF(G550='Room Info'!$H$1, INDEX('Room Info'!$A$2:$A2446, MATCH(B550,'Room Info'!$H$2:$H2446, 0)),IF(G550='Room Info'!$G$1, INDEX('Room Info'!$A$2:$A2446, MATCH(B550,'Room Info'!$G$2:$G2446, 0)))))))))</f>
        <v>dimandmb1</v>
      </c>
      <c r="B550" s="45" t="s">
        <v>150</v>
      </c>
      <c r="C550" s="46">
        <v>44715</v>
      </c>
      <c r="D550" s="46">
        <v>44742</v>
      </c>
      <c r="E550" s="47">
        <v>44713</v>
      </c>
      <c r="F550" s="45" t="s">
        <v>41</v>
      </c>
      <c r="G550" s="54" t="s">
        <v>53</v>
      </c>
      <c r="H550" s="49" t="s">
        <v>54</v>
      </c>
      <c r="I550" s="49" t="s">
        <v>37</v>
      </c>
      <c r="J550" s="50">
        <v>5</v>
      </c>
      <c r="K550" s="51">
        <v>231</v>
      </c>
      <c r="L550" s="52">
        <v>5</v>
      </c>
      <c r="M550" s="53">
        <v>40</v>
      </c>
      <c r="N550" s="28">
        <f>K550*J550</f>
        <v>1155</v>
      </c>
      <c r="O550" s="54">
        <v>20860</v>
      </c>
      <c r="P550" s="29">
        <v>90.303030300000003</v>
      </c>
      <c r="Q550" s="103"/>
      <c r="R550" s="31">
        <f>M550+Q550</f>
        <v>40</v>
      </c>
      <c r="S550" s="66"/>
      <c r="T550" s="32">
        <f>R550+S550+IF(F550="Without EV deal",L550,0)</f>
        <v>45</v>
      </c>
      <c r="U550" s="57">
        <v>1</v>
      </c>
      <c r="V550" s="58"/>
      <c r="W550" s="58"/>
      <c r="X550" s="78">
        <v>0.23</v>
      </c>
      <c r="Y550" s="30">
        <f>IF(AG550="None",0,IF(AG550="Fix5",0.05, IF(AG550="Fix6.25",0.0625,IF(AG550="Fix3.75",0.0375,IF(AG550="Fix10",0.1,IF(AG550="Fix3",0.03,0))))))</f>
        <v>0</v>
      </c>
      <c r="Z550" s="35">
        <f>T550-AA550-AB550</f>
        <v>34.65</v>
      </c>
      <c r="AA550" s="29">
        <f>IF(AD550="EUR",((T550-R550)*X550)*U550+(R550*X550),(T550*X550))</f>
        <v>10.35</v>
      </c>
      <c r="AB550" s="36">
        <f>IF(AD550="EUR",((T550-R550)*Y550)*U550+(R550*Y550),(T550*Y550))</f>
        <v>0</v>
      </c>
      <c r="AC550" s="37" t="b">
        <v>1</v>
      </c>
      <c r="AD550" s="37" t="s">
        <v>38</v>
      </c>
      <c r="AE550" s="37" t="s">
        <v>38</v>
      </c>
      <c r="AF550" s="37" t="str">
        <f t="array" ref="AF550">INDEX('Deal Info'!D:D, MATCH(A550,'Deal Info'!A:A, 0))</f>
        <v>DoEV</v>
      </c>
      <c r="AG550" s="38" t="str">
        <f t="array" ref="AG550">INDEX('Deal Info'!G:G, MATCH(A550,'Deal Info'!A:A, 0))</f>
        <v>None</v>
      </c>
    </row>
    <row r="551" spans="1:33" ht="14.25" hidden="1" x14ac:dyDescent="0.2">
      <c r="A551" s="18" t="str">
        <f t="array" ref="A551">IF(G551='Room Info'!$B$1, INDEX('Room Info'!$A$2:$A2446, MATCH(B551,'Room Info'!$B$2:$B2446, 0)),IF(G551='Room Info'!$C$1, INDEX('Room Info'!$A$2:$A2446, MATCH(B551,'Room Info'!$C$2:$C2446, 0)),IF(G551='Room Info'!$D$1, INDEX('Room Info'!$A$2:$A2446, MATCH(B551,'Room Info'!$D$2:$D2446, 0)),IF(G551='Room Info'!$E$1, INDEX('Room Info'!$A$2:$A2446, MATCH(B551,'Room Info'!$E$2:$E2446, 0)),IF(G551='Room Info'!$F$1, INDEX('Room Info'!$A$2:$A2446, MATCH(B551,'Room Info'!$F$2:$F2446, 0)),IF(G551='Room Info'!$H$1, INDEX('Room Info'!$A$2:$A2446, MATCH(B551,'Room Info'!$H$2:$H2446, 0)),IF(G551='Room Info'!$G$1, INDEX('Room Info'!$A$2:$A2446, MATCH(B551,'Room Info'!$G$2:$G2446, 0)))))))))</f>
        <v>dimandmb1</v>
      </c>
      <c r="B551" s="45" t="s">
        <v>150</v>
      </c>
      <c r="C551" s="46">
        <v>44715</v>
      </c>
      <c r="D551" s="46">
        <v>44742</v>
      </c>
      <c r="E551" s="47">
        <v>44713</v>
      </c>
      <c r="F551" s="48" t="s">
        <v>41</v>
      </c>
      <c r="G551" s="45" t="s">
        <v>53</v>
      </c>
      <c r="H551" s="49" t="s">
        <v>55</v>
      </c>
      <c r="I551" s="49" t="s">
        <v>37</v>
      </c>
      <c r="J551" s="50">
        <v>10</v>
      </c>
      <c r="K551" s="51">
        <v>1121</v>
      </c>
      <c r="L551" s="52">
        <v>137</v>
      </c>
      <c r="M551" s="53">
        <v>392</v>
      </c>
      <c r="N551" s="28">
        <f>K551*J551</f>
        <v>11210</v>
      </c>
      <c r="O551" s="54">
        <v>54452</v>
      </c>
      <c r="P551" s="29">
        <v>48.574487070000004</v>
      </c>
      <c r="Q551" s="103"/>
      <c r="R551" s="31">
        <f>M551+Q551</f>
        <v>392</v>
      </c>
      <c r="S551" s="66"/>
      <c r="T551" s="32">
        <f>R551+S551+IF(F551="Without EV deal",L551,0)</f>
        <v>529</v>
      </c>
      <c r="U551" s="57">
        <v>1</v>
      </c>
      <c r="V551" s="58"/>
      <c r="W551" s="58"/>
      <c r="X551" s="78">
        <v>0.23</v>
      </c>
      <c r="Y551" s="30">
        <f>IF(AG551="None",0,IF(AG551="Fix5",0.05, IF(AG551="Fix6.25",0.0625,IF(AG551="Fix3.75",0.0375,IF(AG551="Fix10",0.1,IF(AG551="Fix3",0.03,0))))))</f>
        <v>0</v>
      </c>
      <c r="Z551" s="35">
        <f>T551-AA551-AB551</f>
        <v>407.33</v>
      </c>
      <c r="AA551" s="29">
        <f>IF(AD551="EUR",((T551-R551)*X551)*U551+(R551*X551),(T551*X551))</f>
        <v>121.67</v>
      </c>
      <c r="AB551" s="36">
        <f>IF(AD551="EUR",((T551-R551)*Y551)*U551+(R551*Y551),(T551*Y551))</f>
        <v>0</v>
      </c>
      <c r="AC551" s="37" t="b">
        <v>1</v>
      </c>
      <c r="AD551" s="37" t="s">
        <v>38</v>
      </c>
      <c r="AE551" s="37" t="s">
        <v>38</v>
      </c>
      <c r="AF551" s="37" t="str">
        <f t="array" ref="AF551">INDEX('Deal Info'!D:D, MATCH(A551,'Deal Info'!A:A, 0))</f>
        <v>DoEV</v>
      </c>
      <c r="AG551" s="38" t="str">
        <f t="array" ref="AG551">INDEX('Deal Info'!G:G, MATCH(A551,'Deal Info'!A:A, 0))</f>
        <v>None</v>
      </c>
    </row>
    <row r="552" spans="1:33" ht="14.25" hidden="1" x14ac:dyDescent="0.2">
      <c r="A552" s="18" t="str">
        <f t="array" ref="A552">IF(G552='Room Info'!$B$1, INDEX('Room Info'!$A$2:$A2446, MATCH(B552,'Room Info'!$B$2:$B2446, 0)),IF(G552='Room Info'!$C$1, INDEX('Room Info'!$A$2:$A2446, MATCH(B552,'Room Info'!$C$2:$C2446, 0)),IF(G552='Room Info'!$D$1, INDEX('Room Info'!$A$2:$A2446, MATCH(B552,'Room Info'!$D$2:$D2446, 0)),IF(G552='Room Info'!$E$1, INDEX('Room Info'!$A$2:$A2446, MATCH(B552,'Room Info'!$E$2:$E2446, 0)),IF(G552='Room Info'!$F$1, INDEX('Room Info'!$A$2:$A2446, MATCH(B552,'Room Info'!$F$2:$F2446, 0)),IF(G552='Room Info'!$H$1, INDEX('Room Info'!$A$2:$A2446, MATCH(B552,'Room Info'!$H$2:$H2446, 0)),IF(G552='Room Info'!$G$1, INDEX('Room Info'!$A$2:$A2446, MATCH(B552,'Room Info'!$G$2:$G2446, 0)))))))))</f>
        <v>dimandmb1</v>
      </c>
      <c r="B552" s="45" t="s">
        <v>150</v>
      </c>
      <c r="C552" s="46">
        <v>44715</v>
      </c>
      <c r="D552" s="46">
        <v>44742</v>
      </c>
      <c r="E552" s="47">
        <v>44713</v>
      </c>
      <c r="F552" s="48" t="s">
        <v>41</v>
      </c>
      <c r="G552" s="54" t="s">
        <v>53</v>
      </c>
      <c r="H552" s="49" t="s">
        <v>56</v>
      </c>
      <c r="I552" s="49" t="s">
        <v>37</v>
      </c>
      <c r="J552" s="50">
        <v>20</v>
      </c>
      <c r="K552" s="51">
        <v>25</v>
      </c>
      <c r="L552" s="52">
        <v>0</v>
      </c>
      <c r="M552" s="53">
        <v>18</v>
      </c>
      <c r="N552" s="28">
        <f>K552*J552</f>
        <v>500</v>
      </c>
      <c r="O552" s="54">
        <v>4679</v>
      </c>
      <c r="P552" s="29">
        <v>187.16</v>
      </c>
      <c r="Q552" s="103"/>
      <c r="R552" s="31">
        <f>M552+Q552</f>
        <v>18</v>
      </c>
      <c r="S552" s="66"/>
      <c r="T552" s="32">
        <f>R552+S552+IF(F552="Without EV deal",L552,0)</f>
        <v>18</v>
      </c>
      <c r="U552" s="57">
        <v>1</v>
      </c>
      <c r="V552" s="58"/>
      <c r="W552" s="58"/>
      <c r="X552" s="78">
        <v>0.23</v>
      </c>
      <c r="Y552" s="30">
        <f>IF(AG552="None",0,IF(AG552="Fix5",0.05, IF(AG552="Fix6.25",0.0625,IF(AG552="Fix3.75",0.0375,IF(AG552="Fix10",0.1,IF(AG552="Fix3",0.03,0))))))</f>
        <v>0</v>
      </c>
      <c r="Z552" s="35">
        <f>T552-AA552-AB552</f>
        <v>13.86</v>
      </c>
      <c r="AA552" s="29">
        <f>IF(AD552="EUR",((T552-R552)*X552)*U552+(R552*X552),(T552*X552))</f>
        <v>4.1400000000000006</v>
      </c>
      <c r="AB552" s="36">
        <f>IF(AD552="EUR",((T552-R552)*Y552)*U552+(R552*Y552),(T552*Y552))</f>
        <v>0</v>
      </c>
      <c r="AC552" s="37" t="b">
        <v>1</v>
      </c>
      <c r="AD552" s="37" t="s">
        <v>38</v>
      </c>
      <c r="AE552" s="37" t="s">
        <v>38</v>
      </c>
      <c r="AF552" s="37" t="str">
        <f t="array" ref="AF552">INDEX('Deal Info'!D:D, MATCH(A552,'Deal Info'!A:A, 0))</f>
        <v>DoEV</v>
      </c>
      <c r="AG552" s="38" t="str">
        <f t="array" ref="AG552">INDEX('Deal Info'!G:G, MATCH(A552,'Deal Info'!A:A, 0))</f>
        <v>None</v>
      </c>
    </row>
    <row r="553" spans="1:33" ht="14.25" hidden="1" x14ac:dyDescent="0.2">
      <c r="A553" s="18" t="str">
        <f t="array" ref="A553">IF(G553='Room Info'!$B$1, INDEX('Room Info'!$A$2:$A2446, MATCH(B553,'Room Info'!$B$2:$B2446, 0)),IF(G553='Room Info'!$C$1, INDEX('Room Info'!$A$2:$A2446, MATCH(B553,'Room Info'!$C$2:$C2446, 0)),IF(G553='Room Info'!$D$1, INDEX('Room Info'!$A$2:$A2446, MATCH(B553,'Room Info'!$D$2:$D2446, 0)),IF(G553='Room Info'!$E$1, INDEX('Room Info'!$A$2:$A2446, MATCH(B553,'Room Info'!$E$2:$E2446, 0)),IF(G553='Room Info'!$F$1, INDEX('Room Info'!$A$2:$A2446, MATCH(B553,'Room Info'!$F$2:$F2446, 0)),IF(G553='Room Info'!$H$1, INDEX('Room Info'!$A$2:$A2446, MATCH(B553,'Room Info'!$H$2:$H2446, 0)),IF(G553='Room Info'!$G$1, INDEX('Room Info'!$A$2:$A2446, MATCH(B553,'Room Info'!$G$2:$G2446, 0)))))))))</f>
        <v>dimandmb1</v>
      </c>
      <c r="B553" s="45" t="s">
        <v>150</v>
      </c>
      <c r="C553" s="46">
        <v>44743</v>
      </c>
      <c r="D553" s="46">
        <v>44773</v>
      </c>
      <c r="E553" s="47">
        <v>44743</v>
      </c>
      <c r="F553" s="48" t="s">
        <v>41</v>
      </c>
      <c r="G553" s="54" t="s">
        <v>53</v>
      </c>
      <c r="H553" s="49" t="s">
        <v>55</v>
      </c>
      <c r="I553" s="49" t="s">
        <v>37</v>
      </c>
      <c r="J553" s="50">
        <v>10</v>
      </c>
      <c r="K553" s="51">
        <v>1627</v>
      </c>
      <c r="L553" s="52">
        <v>-192.34</v>
      </c>
      <c r="M553" s="53">
        <v>569</v>
      </c>
      <c r="N553" s="28">
        <f>K553*J553</f>
        <v>16270</v>
      </c>
      <c r="O553" s="54">
        <v>64621</v>
      </c>
      <c r="P553" s="29">
        <v>39.717885680000002</v>
      </c>
      <c r="Q553" s="103"/>
      <c r="R553" s="31">
        <f>M553+Q553</f>
        <v>569</v>
      </c>
      <c r="S553" s="66"/>
      <c r="T553" s="32">
        <f>R553+S553+IF(F553="Without EV deal",L553,0)</f>
        <v>376.65999999999997</v>
      </c>
      <c r="U553" s="57">
        <v>1</v>
      </c>
      <c r="V553" s="58"/>
      <c r="W553" s="58"/>
      <c r="X553" s="78">
        <v>0.23</v>
      </c>
      <c r="Y553" s="30">
        <f>IF(AG553="None",0,IF(AG553="Fix5",0.05, IF(AG553="Fix6.25",0.0625,IF(AG553="Fix3.75",0.0375,IF(AG553="Fix10",0.1,IF(AG553="Fix3",0.03,0))))))</f>
        <v>0</v>
      </c>
      <c r="Z553" s="35">
        <f>T553-AA553-AB553</f>
        <v>290.02819999999997</v>
      </c>
      <c r="AA553" s="29">
        <f>IF(AD553="EUR",((T553-R553)*X553)*U553+(R553*X553),(T553*X553))</f>
        <v>86.631799999999998</v>
      </c>
      <c r="AB553" s="36">
        <f>IF(AD553="EUR",((T553-R553)*Y553)*U553+(R553*Y553),(T553*Y553))</f>
        <v>0</v>
      </c>
      <c r="AC553" s="37" t="b">
        <v>1</v>
      </c>
      <c r="AD553" s="37" t="s">
        <v>38</v>
      </c>
      <c r="AE553" s="37" t="s">
        <v>38</v>
      </c>
      <c r="AF553" s="37" t="str">
        <f t="array" ref="AF553">INDEX('Deal Info'!D:D, MATCH(A553,'Deal Info'!A:A, 0))</f>
        <v>DoEV</v>
      </c>
      <c r="AG553" s="38" t="str">
        <f t="array" ref="AG553">INDEX('Deal Info'!G:G, MATCH(A553,'Deal Info'!A:A, 0))</f>
        <v>None</v>
      </c>
    </row>
    <row r="554" spans="1:33" ht="14.25" hidden="1" x14ac:dyDescent="0.2">
      <c r="A554" s="18" t="str">
        <f t="array" ref="A554">IF(G554='Room Info'!$B$1, INDEX('Room Info'!$A$2:$A2446, MATCH(B554,'Room Info'!$B$2:$B2446, 0)),IF(G554='Room Info'!$C$1, INDEX('Room Info'!$A$2:$A2446, MATCH(B554,'Room Info'!$C$2:$C2446, 0)),IF(G554='Room Info'!$D$1, INDEX('Room Info'!$A$2:$A2446, MATCH(B554,'Room Info'!$D$2:$D2446, 0)),IF(G554='Room Info'!$E$1, INDEX('Room Info'!$A$2:$A2446, MATCH(B554,'Room Info'!$E$2:$E2446, 0)),IF(G554='Room Info'!$F$1, INDEX('Room Info'!$A$2:$A2446, MATCH(B554,'Room Info'!$F$2:$F2446, 0)),IF(G554='Room Info'!$H$1, INDEX('Room Info'!$A$2:$A2446, MATCH(B554,'Room Info'!$H$2:$H2446, 0)),IF(G554='Room Info'!$G$1, INDEX('Room Info'!$A$2:$A2446, MATCH(B554,'Room Info'!$G$2:$G2446, 0)))))))))</f>
        <v>dimandmb1</v>
      </c>
      <c r="B554" s="45" t="s">
        <v>150</v>
      </c>
      <c r="C554" s="46">
        <v>44743</v>
      </c>
      <c r="D554" s="46">
        <v>44773</v>
      </c>
      <c r="E554" s="47">
        <v>44743</v>
      </c>
      <c r="F554" s="48" t="s">
        <v>41</v>
      </c>
      <c r="G554" s="54" t="s">
        <v>53</v>
      </c>
      <c r="H554" s="49" t="s">
        <v>56</v>
      </c>
      <c r="I554" s="49" t="s">
        <v>37</v>
      </c>
      <c r="J554" s="50">
        <v>20</v>
      </c>
      <c r="K554" s="51">
        <v>375</v>
      </c>
      <c r="L554" s="52">
        <v>-88.66</v>
      </c>
      <c r="M554" s="53">
        <v>263</v>
      </c>
      <c r="N554" s="28">
        <f>K554*J554</f>
        <v>7500</v>
      </c>
      <c r="O554" s="54">
        <v>13099</v>
      </c>
      <c r="P554" s="29">
        <v>34.930666670000001</v>
      </c>
      <c r="Q554" s="103"/>
      <c r="R554" s="31">
        <f>M554+Q554</f>
        <v>263</v>
      </c>
      <c r="S554" s="66"/>
      <c r="T554" s="32">
        <f>R554+S554+IF(F554="Without EV deal",L554,0)</f>
        <v>174.34</v>
      </c>
      <c r="U554" s="57">
        <v>1</v>
      </c>
      <c r="V554" s="58"/>
      <c r="W554" s="58"/>
      <c r="X554" s="78">
        <v>0.23</v>
      </c>
      <c r="Y554" s="30">
        <f>IF(AG554="None",0,IF(AG554="Fix5",0.05, IF(AG554="Fix6.25",0.0625,IF(AG554="Fix3.75",0.0375,IF(AG554="Fix10",0.1,IF(AG554="Fix3",0.03,0))))))</f>
        <v>0</v>
      </c>
      <c r="Z554" s="35">
        <f>T554-AA554-AB554</f>
        <v>134.24180000000001</v>
      </c>
      <c r="AA554" s="29">
        <f>IF(AD554="EUR",((T554-R554)*X554)*U554+(R554*X554),(T554*X554))</f>
        <v>40.098200000000006</v>
      </c>
      <c r="AB554" s="36">
        <f>IF(AD554="EUR",((T554-R554)*Y554)*U554+(R554*Y554),(T554*Y554))</f>
        <v>0</v>
      </c>
      <c r="AC554" s="37" t="b">
        <v>1</v>
      </c>
      <c r="AD554" s="37" t="s">
        <v>38</v>
      </c>
      <c r="AE554" s="37" t="s">
        <v>38</v>
      </c>
      <c r="AF554" s="37" t="str">
        <f t="array" ref="AF554">INDEX('Deal Info'!D:D, MATCH(A554,'Deal Info'!A:A, 0))</f>
        <v>DoEV</v>
      </c>
      <c r="AG554" s="38" t="str">
        <f t="array" ref="AG554">INDEX('Deal Info'!G:G, MATCH(A554,'Deal Info'!A:A, 0))</f>
        <v>None</v>
      </c>
    </row>
    <row r="555" spans="1:33" ht="14.25" hidden="1" x14ac:dyDescent="0.2">
      <c r="A555" s="18" t="str">
        <f t="array" ref="A555">IF(G555='Room Info'!$B$1, INDEX('Room Info'!$A$2:$A2446, MATCH(B555,'Room Info'!$B$2:$B2446, 0)),IF(G555='Room Info'!$C$1, INDEX('Room Info'!$A$2:$A2446, MATCH(B555,'Room Info'!$C$2:$C2446, 0)),IF(G555='Room Info'!$D$1, INDEX('Room Info'!$A$2:$A2446, MATCH(B555,'Room Info'!$D$2:$D2446, 0)),IF(G555='Room Info'!$E$1, INDEX('Room Info'!$A$2:$A2446, MATCH(B555,'Room Info'!$E$2:$E2446, 0)),IF(G555='Room Info'!$F$1, INDEX('Room Info'!$A$2:$A2446, MATCH(B555,'Room Info'!$F$2:$F2446, 0)),IF(G555='Room Info'!$H$1, INDEX('Room Info'!$A$2:$A2446, MATCH(B555,'Room Info'!$H$2:$H2446, 0)),IF(G555='Room Info'!$G$1, INDEX('Room Info'!$A$2:$A2446, MATCH(B555,'Room Info'!$G$2:$G2446, 0)))))))))</f>
        <v>dimandmb1</v>
      </c>
      <c r="B555" s="45" t="s">
        <v>150</v>
      </c>
      <c r="C555" s="46">
        <v>44774</v>
      </c>
      <c r="D555" s="46">
        <v>44804</v>
      </c>
      <c r="E555" s="47">
        <v>44774</v>
      </c>
      <c r="F555" s="48" t="s">
        <v>41</v>
      </c>
      <c r="G555" s="54" t="s">
        <v>53</v>
      </c>
      <c r="H555" s="49" t="s">
        <v>55</v>
      </c>
      <c r="I555" s="49" t="s">
        <v>37</v>
      </c>
      <c r="J555" s="50">
        <v>10</v>
      </c>
      <c r="K555" s="51">
        <v>1099</v>
      </c>
      <c r="L555" s="52">
        <v>-90.72</v>
      </c>
      <c r="M555" s="53">
        <v>385</v>
      </c>
      <c r="N555" s="28">
        <f>K555*J555</f>
        <v>10990</v>
      </c>
      <c r="O555" s="54">
        <v>58247</v>
      </c>
      <c r="P555" s="29">
        <v>53</v>
      </c>
      <c r="Q555" s="103"/>
      <c r="R555" s="31">
        <f>M555+Q555</f>
        <v>385</v>
      </c>
      <c r="S555" s="66"/>
      <c r="T555" s="32">
        <f>R555+S555+IF(F555="Without EV deal",L555,0)</f>
        <v>294.27999999999997</v>
      </c>
      <c r="U555" s="57">
        <v>1</v>
      </c>
      <c r="V555" s="58"/>
      <c r="W555" s="58"/>
      <c r="X555" s="78">
        <v>0.3</v>
      </c>
      <c r="Y555" s="30">
        <f>IF(AG555="None",0,IF(AG555="Fix5",0.05, IF(AG555="Fix6.25",0.0625,IF(AG555="Fix3.75",0.0375,IF(AG555="Fix10",0.1,IF(AG555="Fix3",0.03,0))))))</f>
        <v>0</v>
      </c>
      <c r="Z555" s="35">
        <f>T555-AA555-AB555</f>
        <v>205.99599999999998</v>
      </c>
      <c r="AA555" s="29">
        <f>IF(AD555="EUR",((T555-R555)*X555)*U555+(R555*X555),(T555*X555))</f>
        <v>88.283999999999992</v>
      </c>
      <c r="AB555" s="36">
        <f>IF(AD555="EUR",((T555-R555)*Y555)*U555+(R555*Y555),(T555*Y555))</f>
        <v>0</v>
      </c>
      <c r="AC555" s="37" t="b">
        <v>1</v>
      </c>
      <c r="AD555" s="37" t="s">
        <v>38</v>
      </c>
      <c r="AE555" s="37" t="s">
        <v>38</v>
      </c>
      <c r="AF555" s="37" t="str">
        <f t="array" ref="AF555">INDEX('Deal Info'!D:D, MATCH(A555,'Deal Info'!A:A, 0))</f>
        <v>DoEV</v>
      </c>
      <c r="AG555" s="38" t="str">
        <f t="array" ref="AG555">INDEX('Deal Info'!G:G, MATCH(A555,'Deal Info'!A:A, 0))</f>
        <v>None</v>
      </c>
    </row>
    <row r="556" spans="1:33" ht="14.25" hidden="1" x14ac:dyDescent="0.2">
      <c r="A556" s="18" t="str">
        <f t="array" ref="A556">IF(G556='Room Info'!$B$1, INDEX('Room Info'!$A$2:$A2446, MATCH(B556,'Room Info'!$B$2:$B2446, 0)),IF(G556='Room Info'!$C$1, INDEX('Room Info'!$A$2:$A2446, MATCH(B556,'Room Info'!$C$2:$C2446, 0)),IF(G556='Room Info'!$D$1, INDEX('Room Info'!$A$2:$A2446, MATCH(B556,'Room Info'!$D$2:$D2446, 0)),IF(G556='Room Info'!$E$1, INDEX('Room Info'!$A$2:$A2446, MATCH(B556,'Room Info'!$E$2:$E2446, 0)),IF(G556='Room Info'!$F$1, INDEX('Room Info'!$A$2:$A2446, MATCH(B556,'Room Info'!$F$2:$F2446, 0)),IF(G556='Room Info'!$H$1, INDEX('Room Info'!$A$2:$A2446, MATCH(B556,'Room Info'!$H$2:$H2446, 0)),IF(G556='Room Info'!$G$1, INDEX('Room Info'!$A$2:$A2446, MATCH(B556,'Room Info'!$G$2:$G2446, 0)))))))))</f>
        <v>dimandmb1</v>
      </c>
      <c r="B556" s="45" t="s">
        <v>150</v>
      </c>
      <c r="C556" s="46">
        <v>44774</v>
      </c>
      <c r="D556" s="46">
        <v>44804</v>
      </c>
      <c r="E556" s="47">
        <v>44774</v>
      </c>
      <c r="F556" s="48" t="s">
        <v>41</v>
      </c>
      <c r="G556" s="54" t="s">
        <v>53</v>
      </c>
      <c r="H556" s="49" t="s">
        <v>56</v>
      </c>
      <c r="I556" s="49" t="s">
        <v>37</v>
      </c>
      <c r="J556" s="50">
        <v>20</v>
      </c>
      <c r="K556" s="51">
        <v>250</v>
      </c>
      <c r="L556" s="52">
        <v>-41.28</v>
      </c>
      <c r="M556" s="53">
        <v>175</v>
      </c>
      <c r="N556" s="28">
        <f>K556*J556</f>
        <v>5000</v>
      </c>
      <c r="O556" s="54">
        <v>5750</v>
      </c>
      <c r="P556" s="29">
        <v>23</v>
      </c>
      <c r="Q556" s="103"/>
      <c r="R556" s="31">
        <f>M556+Q556</f>
        <v>175</v>
      </c>
      <c r="S556" s="66"/>
      <c r="T556" s="32">
        <f>R556+S556+IF(F556="Without EV deal",L556,0)</f>
        <v>133.72</v>
      </c>
      <c r="U556" s="57">
        <v>1</v>
      </c>
      <c r="V556" s="58"/>
      <c r="W556" s="58"/>
      <c r="X556" s="78">
        <v>0.3</v>
      </c>
      <c r="Y556" s="30">
        <f>IF(AG556="None",0,IF(AG556="Fix5",0.05, IF(AG556="Fix6.25",0.0625,IF(AG556="Fix3.75",0.0375,IF(AG556="Fix10",0.1,IF(AG556="Fix3",0.03,0))))))</f>
        <v>0</v>
      </c>
      <c r="Z556" s="35">
        <f>T556-AA556-AB556</f>
        <v>93.603999999999999</v>
      </c>
      <c r="AA556" s="29">
        <f>IF(AD556="EUR",((T556-R556)*X556)*U556+(R556*X556),(T556*X556))</f>
        <v>40.116</v>
      </c>
      <c r="AB556" s="36">
        <f>IF(AD556="EUR",((T556-R556)*Y556)*U556+(R556*Y556),(T556*Y556))</f>
        <v>0</v>
      </c>
      <c r="AC556" s="37" t="b">
        <v>1</v>
      </c>
      <c r="AD556" s="37" t="s">
        <v>38</v>
      </c>
      <c r="AE556" s="37" t="s">
        <v>38</v>
      </c>
      <c r="AF556" s="37" t="str">
        <f t="array" ref="AF556">INDEX('Deal Info'!D:D, MATCH(A556,'Deal Info'!A:A, 0))</f>
        <v>DoEV</v>
      </c>
      <c r="AG556" s="38" t="str">
        <f t="array" ref="AG556">INDEX('Deal Info'!G:G, MATCH(A556,'Deal Info'!A:A, 0))</f>
        <v>None</v>
      </c>
    </row>
    <row r="557" spans="1:33" ht="14.25" hidden="1" x14ac:dyDescent="0.2">
      <c r="A557" s="18" t="str">
        <f t="array" ref="A557">IF(G557='Room Info'!$B$1, INDEX('Room Info'!$A$2:$A2446, MATCH(B557,'Room Info'!$B$2:$B2446, 0)),IF(G557='Room Info'!$C$1, INDEX('Room Info'!$A$2:$A2446, MATCH(B557,'Room Info'!$C$2:$C2446, 0)),IF(G557='Room Info'!$D$1, INDEX('Room Info'!$A$2:$A2446, MATCH(B557,'Room Info'!$D$2:$D2446, 0)),IF(G557='Room Info'!$E$1, INDEX('Room Info'!$A$2:$A2446, MATCH(B557,'Room Info'!$E$2:$E2446, 0)),IF(G557='Room Info'!$F$1, INDEX('Room Info'!$A$2:$A2446, MATCH(B557,'Room Info'!$F$2:$F2446, 0)),IF(G557='Room Info'!$H$1, INDEX('Room Info'!$A$2:$A2446, MATCH(B557,'Room Info'!$H$2:$H2446, 0)),IF(G557='Room Info'!$G$1, INDEX('Room Info'!$A$2:$A2446, MATCH(B557,'Room Info'!$G$2:$G2446, 0)))))))))</f>
        <v>dimandmb1</v>
      </c>
      <c r="B557" s="45" t="s">
        <v>150</v>
      </c>
      <c r="C557" s="46">
        <v>44805</v>
      </c>
      <c r="D557" s="46">
        <v>44834</v>
      </c>
      <c r="E557" s="47">
        <v>44805</v>
      </c>
      <c r="F557" s="48" t="s">
        <v>41</v>
      </c>
      <c r="G557" s="45" t="s">
        <v>53</v>
      </c>
      <c r="H557" s="49" t="s">
        <v>55</v>
      </c>
      <c r="I557" s="49" t="s">
        <v>37</v>
      </c>
      <c r="J557" s="50">
        <v>10</v>
      </c>
      <c r="K557" s="51">
        <v>2552</v>
      </c>
      <c r="L557" s="52">
        <v>-128</v>
      </c>
      <c r="M557" s="53">
        <v>893</v>
      </c>
      <c r="N557" s="28">
        <f>K557*J557</f>
        <v>25520</v>
      </c>
      <c r="O557" s="54">
        <v>132704</v>
      </c>
      <c r="P557" s="29">
        <v>52</v>
      </c>
      <c r="Q557" s="103"/>
      <c r="R557" s="31">
        <f>M557+Q557</f>
        <v>893</v>
      </c>
      <c r="S557" s="66"/>
      <c r="T557" s="32">
        <f>R557+S557+IF(F557="Without EV deal",L557,0)</f>
        <v>765</v>
      </c>
      <c r="U557" s="57">
        <v>1</v>
      </c>
      <c r="V557" s="58"/>
      <c r="W557" s="58"/>
      <c r="X557" s="78">
        <v>0.17</v>
      </c>
      <c r="Y557" s="30">
        <f>IF(AG557="None",0,IF(AG557="Fix5",0.05, IF(AG557="Fix6.25",0.0625,IF(AG557="Fix3.75",0.0375,IF(AG557="Fix10",0.1,IF(AG557="Fix3",0.03,0))))))</f>
        <v>0</v>
      </c>
      <c r="Z557" s="35">
        <f>T557-AA557-AB557</f>
        <v>634.95000000000005</v>
      </c>
      <c r="AA557" s="29">
        <f>IF(AD557="EUR",((T557-R557)*X557)*U557+(R557*X557),(T557*X557))</f>
        <v>130.05000000000001</v>
      </c>
      <c r="AB557" s="36">
        <f>IF(AD557="EUR",((T557-R557)*Y557)*U557+(R557*Y557),(T557*Y557))</f>
        <v>0</v>
      </c>
      <c r="AC557" s="37" t="b">
        <v>1</v>
      </c>
      <c r="AD557" s="37" t="s">
        <v>38</v>
      </c>
      <c r="AE557" s="37" t="s">
        <v>38</v>
      </c>
      <c r="AF557" s="37" t="str">
        <f t="array" ref="AF557">INDEX('Deal Info'!D:D, MATCH(A557,'Deal Info'!A:A, 0))</f>
        <v>DoEV</v>
      </c>
      <c r="AG557" s="38" t="str">
        <f t="array" ref="AG557">INDEX('Deal Info'!G:G, MATCH(A557,'Deal Info'!A:A, 0))</f>
        <v>None</v>
      </c>
    </row>
    <row r="558" spans="1:33" ht="14.25" hidden="1" x14ac:dyDescent="0.2">
      <c r="A558" s="18" t="str">
        <f t="array" ref="A558">IF(G558='Room Info'!$B$1, INDEX('Room Info'!$A$2:$A2446, MATCH(B558,'Room Info'!$B$2:$B2446, 0)),IF(G558='Room Info'!$C$1, INDEX('Room Info'!$A$2:$A2446, MATCH(B558,'Room Info'!$C$2:$C2446, 0)),IF(G558='Room Info'!$D$1, INDEX('Room Info'!$A$2:$A2446, MATCH(B558,'Room Info'!$D$2:$D2446, 0)),IF(G558='Room Info'!$E$1, INDEX('Room Info'!$A$2:$A2446, MATCH(B558,'Room Info'!$E$2:$E2446, 0)),IF(G558='Room Info'!$F$1, INDEX('Room Info'!$A$2:$A2446, MATCH(B558,'Room Info'!$F$2:$F2446, 0)),IF(G558='Room Info'!$H$1, INDEX('Room Info'!$A$2:$A2446, MATCH(B558,'Room Info'!$H$2:$H2446, 0)),IF(G558='Room Info'!$G$1, INDEX('Room Info'!$A$2:$A2446, MATCH(B558,'Room Info'!$G$2:$G2446, 0)))))))))</f>
        <v>dimandmb1</v>
      </c>
      <c r="B558" s="54" t="s">
        <v>150</v>
      </c>
      <c r="C558" s="46">
        <v>44805</v>
      </c>
      <c r="D558" s="46">
        <v>44834</v>
      </c>
      <c r="E558" s="47">
        <v>44805</v>
      </c>
      <c r="F558" s="45" t="s">
        <v>41</v>
      </c>
      <c r="G558" s="54" t="s">
        <v>53</v>
      </c>
      <c r="H558" s="49" t="s">
        <v>56</v>
      </c>
      <c r="I558" s="49" t="s">
        <v>37</v>
      </c>
      <c r="J558" s="50">
        <v>20</v>
      </c>
      <c r="K558" s="51">
        <v>961</v>
      </c>
      <c r="L558" s="52">
        <v>-97</v>
      </c>
      <c r="M558" s="53">
        <v>673</v>
      </c>
      <c r="N558" s="28">
        <f>K558*J558</f>
        <v>19220</v>
      </c>
      <c r="O558" s="54">
        <v>36518</v>
      </c>
      <c r="P558" s="29">
        <v>38</v>
      </c>
      <c r="Q558" s="103"/>
      <c r="R558" s="31">
        <f>M558+Q558</f>
        <v>673</v>
      </c>
      <c r="S558" s="66"/>
      <c r="T558" s="32">
        <f>R558+S558+IF(F558="Without EV deal",L558,0)</f>
        <v>576</v>
      </c>
      <c r="U558" s="57">
        <v>1</v>
      </c>
      <c r="V558" s="58"/>
      <c r="W558" s="58"/>
      <c r="X558" s="78">
        <v>0.17</v>
      </c>
      <c r="Y558" s="30">
        <f>IF(AG558="None",0,IF(AG558="Fix5",0.05, IF(AG558="Fix6.25",0.0625,IF(AG558="Fix3.75",0.0375,IF(AG558="Fix10",0.1,IF(AG558="Fix3",0.03,0))))))</f>
        <v>0</v>
      </c>
      <c r="Z558" s="35">
        <f>T558-AA558-AB558</f>
        <v>478.08</v>
      </c>
      <c r="AA558" s="29">
        <f>IF(AD558="EUR",((T558-R558)*X558)*U558+(R558*X558),(T558*X558))</f>
        <v>97.92</v>
      </c>
      <c r="AB558" s="36">
        <f>IF(AD558="EUR",((T558-R558)*Y558)*U558+(R558*Y558),(T558*Y558))</f>
        <v>0</v>
      </c>
      <c r="AC558" s="37" t="b">
        <v>1</v>
      </c>
      <c r="AD558" s="37" t="s">
        <v>38</v>
      </c>
      <c r="AE558" s="37" t="s">
        <v>38</v>
      </c>
      <c r="AF558" s="37" t="str">
        <f t="array" ref="AF558">INDEX('Deal Info'!D:D, MATCH(A558,'Deal Info'!A:A, 0))</f>
        <v>DoEV</v>
      </c>
      <c r="AG558" s="38" t="str">
        <f t="array" ref="AG558">INDEX('Deal Info'!G:G, MATCH(A558,'Deal Info'!A:A, 0))</f>
        <v>None</v>
      </c>
    </row>
    <row r="559" spans="1:33" ht="14.25" hidden="1" x14ac:dyDescent="0.2">
      <c r="A559" s="18" t="str">
        <f t="array" ref="A559">IF(G559='Room Info'!$B$1, INDEX('Room Info'!$A$2:$A2446, MATCH(B559,'Room Info'!$B$2:$B2446, 0)),IF(G559='Room Info'!$C$1, INDEX('Room Info'!$A$2:$A2446, MATCH(B559,'Room Info'!$C$2:$C2446, 0)),IF(G559='Room Info'!$D$1, INDEX('Room Info'!$A$2:$A2446, MATCH(B559,'Room Info'!$D$2:$D2446, 0)),IF(G559='Room Info'!$E$1, INDEX('Room Info'!$A$2:$A2446, MATCH(B559,'Room Info'!$E$2:$E2446, 0)),IF(G559='Room Info'!$F$1, INDEX('Room Info'!$A$2:$A2446, MATCH(B559,'Room Info'!$F$2:$F2446, 0)),IF(G559='Room Info'!$H$1, INDEX('Room Info'!$A$2:$A2446, MATCH(B559,'Room Info'!$H$2:$H2446, 0)),IF(G559='Room Info'!$G$1, INDEX('Room Info'!$A$2:$A2446, MATCH(B559,'Room Info'!$G$2:$G2446, 0)))))))))</f>
        <v>dimandmb1</v>
      </c>
      <c r="B559" s="45" t="s">
        <v>150</v>
      </c>
      <c r="C559" s="46">
        <v>44835</v>
      </c>
      <c r="D559" s="46">
        <v>44865</v>
      </c>
      <c r="E559" s="47">
        <v>44835</v>
      </c>
      <c r="F559" s="48" t="s">
        <v>41</v>
      </c>
      <c r="G559" s="45" t="s">
        <v>53</v>
      </c>
      <c r="H559" s="49" t="s">
        <v>54</v>
      </c>
      <c r="I559" s="49" t="s">
        <v>37</v>
      </c>
      <c r="J559" s="70">
        <v>5</v>
      </c>
      <c r="K559" s="71">
        <v>2332</v>
      </c>
      <c r="L559" s="52">
        <v>-751.33</v>
      </c>
      <c r="M559" s="53">
        <v>408</v>
      </c>
      <c r="N559" s="28">
        <f>K559*J559</f>
        <v>11660</v>
      </c>
      <c r="O559" s="54">
        <v>86284</v>
      </c>
      <c r="P559" s="29">
        <v>37</v>
      </c>
      <c r="Q559" s="103"/>
      <c r="R559" s="31">
        <f>M559+Q559</f>
        <v>408</v>
      </c>
      <c r="S559" s="66"/>
      <c r="T559" s="32">
        <f>R559+S559+IF(F559="Without EV deal",L559,0)</f>
        <v>-343.33000000000004</v>
      </c>
      <c r="U559" s="57">
        <v>1</v>
      </c>
      <c r="V559" s="58">
        <v>13</v>
      </c>
      <c r="W559" s="58">
        <v>4</v>
      </c>
      <c r="X559" s="30">
        <f>IF(AF559="DoEV",IF(AND(V559&lt;20,W559&lt;55),0.3,0)+IF(AND(V559&lt;20,W559&gt;=55,W559&lt;105),0.23,0)+IF(AND(V559&lt;20,W559&gt;=105),0.17,0)+IF(AND(V559&gt;=20,V559&lt;40,W559&lt;45),0.3,0)+IF(AND(V559&gt;=20,V559&lt;40,W559&gt;=45,W559&lt;95),0.23,0)+IF(AND(V559&gt;=20,V559&lt;40,W559&gt;=95),0.17,0)+IF(AND(V559&gt;=40,V559&lt;75,W559&lt;35),0.3,0)+IF(AND(V559&gt;=40,V559&lt;75,W559&gt;=35,W559&lt;75),0.23,0)+IF(AND(V559&gt;=40,V559&lt;75,W559&gt;=75,W559&lt;120),0.17,0)+IF(AND(V559&gt;=40,V559&lt;75,W559&gt;=120),0.12,0)+IF(AND(V559&gt;=75,V559&lt;175,W559&lt;35),0.3,0)+IF(AND(V559&gt;=75,V559&lt;=175,W559&gt;=35,W559&lt;65),0.23,0)+IF(AND(V559&gt;=75,V559&lt;=175,W559&gt;=65,W559&lt;110),0.17,0)+IF(AND(V559&gt;=75,V559&lt;=175,W559&gt;=110),0.12,0)+IF(AND(V559&gt;175,W559&lt;25),0.3,0)+IF(AND(V559&gt;175,W559&gt;=25,W559&lt;55),0.23,0)+IF(AND(V559&gt;175,W559&gt;=55,W559&lt;95),0.17,0)+IF(AND(V559&gt;175,W559&gt;=95),0.12,0),
IF(AF559="Fix15",0.15,
IF(AF559="Fix18.75",0.1875,
IF(AF559="Fix11.25",0.1125,
IF(AF559="Fix10",0.1,
IF(AF559="Fix9",0.09,
IF(AF559="DoEV2017",IF(AND(W559&lt;74),0.2,0)+IF(AND(W559&gt;=74),0.17,0),
IF(AF559="SF",IF(AND(V559&lt;20,W559&lt;89),0.3,0)+IF(AND(V559&lt;20,W559&gt;=89),0.25,0)+IF(AND(V559&gt;=20,V559&lt;40,W559&lt;74),0.3,0)+IF(AND(V559&gt;=20,V559&lt;40,W559&gt;=75),0.22,0)+IF(AND(V559&gt;=40,V559&lt;75,W559&lt;75),0.26,0)+IF(AND(V559&gt;=40,V559&lt;75,W559&gt;=75),0.22,0)+IF(V559&gt;=75,0.22,0),
IF(AF559="DoEVold",IF(AND(V559&lt;40,W559&lt;35),0.35,0)+IF(AND(V559&lt;40,W559&gt;=35,W559&lt;75),0.25,0)+IF(AND(V559&lt;40,W559&gt;=75),0.17,0)+IF(AND(V559&gt;=40,V559&lt;75,W559&lt;25),0.35,0)+IF(AND(V559&gt;=40,V559&lt;75,W559&gt;=25,W559&lt;65),0.25,0)+IF(AND(V559&gt;=40,V559&lt;75,W559&gt;=65,W559&lt;100),0.17,0)+IF(AND(V559&gt;=40,V559&lt;75,W559&gt;=100),0.1,0)+IF(AND(V559&gt;=75,W559&lt;25),0.35,0)+IF(AND(V559&gt;=75,W559&gt;=25,W559&lt;60),0.25,0)+IF(AND(V559&gt;=75,W559&gt;=60,W559&lt;95),0.17,0)+IF(AND(V559&gt;=75,W559&gt;=95),0.1,0),
IF(AF559="DoEVold15",IF(AND(V559&lt;=40,W559&lt;35),0.35,0)+IF(AND(V559&lt;=40,W559&gt;=35,W559&lt;75),0.25,0)+IF(AND(V559&lt;=40,W559&gt;=75,W559&lt;120),0.17,0)+IF(AND(V559&lt;=40,W559&gt;=120),0.15,0)+IF(AND(V559&gt;40,V559&lt;75,W559&lt;25),0.35,0)+IF(AND(V559&gt;=40,V559&lt;75,W559&gt;=25,W559&lt;65),0.25,0)+IF(AND(V559&gt;=40,V559&lt;75,W559&gt;=65,W559&lt;100),0.17,0)+IF(AND(V559&gt;=40,V559&lt;75,W559&gt;=100),0.1,0)+IF(AND(V559&gt;=75,W559&lt;25),0.35,0)+IF(AND(V559&gt;=75,W559&gt;=25,W559&lt;60),0.25,0)+IF(AND(V559&gt;=75,W559&gt;=60,W559&lt;95),0.17,0)+IF(AND(V559&gt;=75,W559&gt;=95),0.1,0),
IF(AF559="DoEVba",IF(AND(V559&lt;20,W559&lt;105),0.2,0)+IF(AND(V559&lt;20,W559&gt;=105),0.15,0)+IF(AND(V559&gt;=20,V559&lt;40,W559&lt;95),0.2,0)+IF(AND(V559&gt;=20,V559&lt;40,W559&gt;=95,W559&lt;150),0.15,0)+IF(AND(V559&gt;=20,V559&lt;40,W559&gt;=150),0.12,0)+IF(AND(V559&gt;=40,V559&lt;75,W559&lt;75),0.2,0)+IF(AND(V559&gt;=40,V559&lt;75,W559&gt;=75,W559&lt;120),0.15,0)+IF(AND(V559&gt;=40,V559&lt;75,W559&gt;=120),0.12,0)+IF(AND(V559&gt;=75,V559&lt;175,W559&lt;65),0.2,0)+IF(AND(V559&gt;=75,V559&lt;175,W559&gt;=65,W559&lt;110),0.15,0)+IF(AND(V559&gt;=75,V559&lt;175,W559&gt;=110),0.12,0)+IF(AND(V559&gt;=175,W559&lt;55),0.2,0)+IF(AND(V559&gt;=175,W559&gt;=55,W559&lt;95),0.15,0)+IF(AND(V559&gt;=175,W559&gt;=95),0.12,0),
IF(AF559="DoEVku",IF(AND(V559&lt;20,W559&lt;55),0.23,0)+IF(AND(V559&lt;20,W559&gt;=55,W559&lt;105),0.2,0)+IF(AND(V559&lt;20,W559&gt;=105),0.17,0)+IF(AND(V559&gt;=20,V559&lt;40,W559&lt;45),0.23,0)+IF(AND(V559&gt;=20,V559&lt;40,W559&gt;=45,W559&lt;95),0.2,0)+IF(AND(V559&gt;=20,V559&lt;40,W559&gt;=95,W559&lt;=150),0.17,0)+IF(AND(V559&gt;=20,V559&lt;40,W559&gt;=150),0.12,0)+IF(AND(V559&gt;=40,V559&lt;75,W559&lt;35),0.23,0)+IF(AND(V559&gt;=40,V559&lt;75,W559&gt;=35,W559&lt;75),0.2,0)+IF(AND(V559&gt;=40,V559&lt;75,W559&gt;=75,W559&lt;120),0.17,0)+IF(AND(V559&gt;=40,V559&lt;75,W559&gt;=120),0.12,0)+IF(AND(V559&gt;=75,V559&lt;175,W559&lt;35),0.23,0)+IF(AND(V559&gt;=75,V559&lt;=175,W559&gt;=35,W559&lt;65),0.2,0)+IF(AND(V559&gt;=75,V559&lt;=175,W559&gt;=65,W559&lt;110),0.17,0)+IF(AND(V559&gt;=75,V559&lt;=175,W559&gt;=110),0.12,0)+IF(AND(V559&gt;175,W559&lt;25),0.23,0)+IF(AND(V559&gt;175,W559&gt;=25,W559&lt;55),0.2,0)+IF(AND(V559&gt;175,W559&gt;=55,W559&lt;95),0.17,0)+IF(AND(V559&gt;175,W559&gt;=95),0.12,0),
IF(AF559="DoEVs1",IF(AND(V559&lt;20,W559&lt;55),0.3,0)+IF(AND(V559&lt;20,W559&gt;=55,W559&lt;105),0.23,0)+IF(AND(V559&lt;20,W559&gt;=105),0.17,0)+IF(AND(V559&gt;=20,V559&lt;40,W559&lt;45),0.3,0)+IF(AND(V559&gt;=20,V559&lt;40,W559&gt;=45,W559&lt;95),0.23,0)+IF(AND(V559&gt;=20,V559&lt;40,W559&gt;=95,W559&lt;=150),0.17,0)+IF(AND(V559&gt;=20,V559&lt;40,W559&gt;=150),0.12,0)+IF(AND(V559&gt;=40,V559&lt;75,W559&lt;35),0.3,0)+IF(AND(V559&gt;=40,V559&lt;75,W559&gt;=35,W559&lt;75),0.23,0)+IF(AND(V559&gt;=40,V559&lt;75,W559&gt;=75,W559&lt;120),0.17,0)+IF(AND(V559&gt;=40,V559&lt;75,W559&gt;=120),0.12,0)+IF(AND(V559&gt;=75,V559&lt;175,W559&lt;35),0.3,0)+IF(AND(V559&gt;=75,V559&lt;=175,W559&gt;=35,W559&lt;65),0.23,0)+IF(AND(V559&gt;=75,V559&lt;=175,W559&gt;=65,W559&lt;110),0.17,0)+IF(AND(V559&gt;=75,V559&lt;=175,W559&gt;=110),0.12,0)+IF(AND(V559&gt;175,W559&lt;25),0.3,0)+IF(AND(V559&gt;175,W559&gt;=25,W559&lt;55),0.23,0)+IF(AND(V559&gt;175,W559&gt;=55,W559&lt;95),0.17,0)+IF(AND(V559&gt;175,W559&gt;=95),0.12,0),
IF(AF559="DoEVsu",IF(AND(V559&lt;20,W559&lt;55),0.3,0)+IF(AND(V559&lt;20,W559&gt;=55,W559&lt;105),0.23,0)+IF(AND(V559&lt;20,W559&gt;=105),0.17,0)+IF(AND(V559&gt;=20,V559&lt;40,W559&lt;45),0.3,0)+IF(AND(V559&gt;=20,V559&lt;40,W559&gt;=45,W559&lt;95),0.23,0)+IF(AND(V559&gt;=20,V559&lt;40,W559&gt;=95,W559&lt;=250),0.17,0)+IF(AND(V559&gt;=20,V559&lt;40,W559&gt;=250),0.12,0)+IF(AND(V559&gt;=40,V559&lt;75,W559&lt;35),0.3,0)+IF(AND(V559&gt;=40,V559&lt;75,W559&gt;=35,W559&lt;75),0.23,0)+IF(AND(V559&gt;=40,V559&lt;75,W559&gt;=75,W559&lt;120),0.17,0)+IF(AND(V559&gt;=40,V559&lt;75,W559&gt;=120),0.12,0)+IF(AND(V559&gt;=75,V559&lt;175,W559&lt;35),0.3,0)+IF(AND(V559&gt;=75,V559&lt;=175,W559&gt;=35,W559&lt;65),0.23,0)+IF(AND(V559&gt;=75,V559&lt;=175,W559&gt;=65,W559&lt;110),0.17,0)+IF(AND(V559&gt;=75,V559&lt;=175,W559&gt;=110),0.12,0)+IF(AND(V559&gt;175,W559&lt;25),0.3,0)+IF(AND(V559&gt;175,W559&gt;=25,W559&lt;55),0.23,0)+IF(AND(V559&gt;175,W559&gt;=55,W559&lt;95),0.17,0)+IF(AND(V559&gt;175,W559&gt;=95),0.12,0),
IF(AF559="DoEVni",IF(AND(V559&lt;20,W559&lt;55),0.3,0)+IF(AND(V559&lt;20,W559&gt;=55,W559&lt;105),0.23,0)+IF(AND(V559&lt;20,W559&gt;=105),0.17,0)+IF(AND(V559&gt;=20,V559&lt;40,W559&lt;45),0.3,0)+IF(AND(V559&gt;=20,V559&lt;40,W559&gt;=45,W559&lt;95),0.23,0)+IF(AND(V559&gt;=20,V559&lt;40,W559&gt;=95,W559&lt;=200),0.17,0)+IF(AND(V559&gt;=20,V559&lt;40,W559&gt;=200),0.12,0)+IF(AND(V559&gt;=40,V559&lt;75,W559&lt;35),0.3,0)+IF(AND(V559&gt;=40,V559&lt;75,W559&gt;=35,W559&lt;75),0.23,0)+IF(AND(V559&gt;=40,V559&lt;75,W559&gt;=75,W559&lt;120),0.17,0)+IF(AND(V559&gt;=40,V559&lt;75,W559&gt;=120),0.12,0)+IF(AND(V559&gt;=75,V559&lt;175,W559&lt;35),0.3,0)+IF(AND(V559&gt;=75,V559&lt;=175,W559&gt;=35,W559&lt;65),0.23,0)+IF(AND(V559&gt;=75,V559&lt;=175,W559&gt;=65,W559&lt;110),0.17,0)+IF(AND(V559&gt;=75,V559&lt;=175,W559&gt;=110),0.12,0)+IF(AND(V559&gt;175,W559&lt;25),0.3,0)+IF(AND(V559&gt;175,W559&gt;=25,W559&lt;55),0.23,0)+IF(AND(V559&gt;175,W559&gt;=55,W559&lt;95),0.17,0)+IF(AND(V559&gt;175,W559&gt;=95),0.12,0),
IF(AF559="DoEVLo",IF(AND(V559&lt;20,W559&lt;55),0.25,0)+IF(AND(V559&lt;20,W559&gt;=55,W559&lt;105),0.2,0)+IF(AND(V559&lt;20,W559&gt;=105),0.15,0)+IF(AND(V559&gt;=20,V559&lt;40,W559&lt;45),0.25,0)+IF(AND(V559&gt;=20,V559&lt;40,W559&gt;=45,W559&lt;95),0.2,0)+IF(AND(V559&gt;=20,V559&lt;40,W559&gt;=95),0.15,0)+IF(AND(V559&gt;=40,V559&lt;75,W559&lt;35),0.25,0)+IF(AND(V559&gt;=40,V559&lt;75,W559&gt;=35,W559&lt;75),0.2,0)+IF(AND(V559&gt;=40,V559&lt;75,W559&gt;=75,W559&lt;120),0.15,0)+IF(AND(V559&gt;=40,V559&lt;75,W559&gt;=120),0.1,0)+IF(AND(V559&gt;=75,V559&lt;175,W559&lt;35),0.25,0)+IF(AND(V559&gt;=75,V559&lt;=175,W559&gt;=35,W559&lt;65),0.2,0)+IF(AND(V559&gt;=75,V559&lt;=175,W559&gt;=65,W559&lt;110),0.15,0)+IF(AND(V559&gt;=75,V559&lt;=175,W559&gt;=110),0.1,0)+IF(AND(V559&gt;175,W559&lt;25),0.25,0)+IF(AND(V559&gt;175,W559&gt;=25,W559&lt;55),0.2,0)+IF(AND(V559&gt;175,W559&gt;=55,W559&lt;95),0.15,0)+IF(AND(V559&gt;175,W559&gt;=95),0.1,0)))))))))))))))))</f>
        <v>0.3</v>
      </c>
      <c r="Y559" s="30">
        <f>IF(AG559="None",0,IF(AG559="Fix5",0.05, IF(AG559="Fix6.25",0.0625,IF(AG559="Fix3.75",0.0375,IF(AG559="Fix10",0.1,IF(AG559="Fix3",0.03,0))))))</f>
        <v>0</v>
      </c>
      <c r="Z559" s="35">
        <f>T559-AA559-AB559</f>
        <v>-240.33100000000002</v>
      </c>
      <c r="AA559" s="29">
        <f>IF(AD559="EUR",((T559-R559)*X559)*U559+(R559*X559),(T559*X559))</f>
        <v>-102.99900000000001</v>
      </c>
      <c r="AB559" s="36">
        <f>IF(AD559="EUR",((T559-R559)*Y559)*U559+(R559*Y559),(T559*Y559))</f>
        <v>0</v>
      </c>
      <c r="AC559" s="37" t="b">
        <v>1</v>
      </c>
      <c r="AD559" s="37" t="s">
        <v>38</v>
      </c>
      <c r="AE559" s="37" t="s">
        <v>38</v>
      </c>
      <c r="AF559" s="37" t="str">
        <f t="array" ref="AF559">INDEX('Deal Info'!D:D, MATCH(A559,'Deal Info'!A:A, 0))</f>
        <v>DoEV</v>
      </c>
      <c r="AG559" s="38" t="str">
        <f t="array" ref="AG559">INDEX('Deal Info'!G:G, MATCH(A559,'Deal Info'!A:A, 0))</f>
        <v>None</v>
      </c>
    </row>
    <row r="560" spans="1:33" ht="14.25" hidden="1" x14ac:dyDescent="0.2">
      <c r="A560" s="18" t="str">
        <f t="array" ref="A560">IF(G560='Room Info'!$B$1, INDEX('Room Info'!$A$2:$A2446, MATCH(B560,'Room Info'!$B$2:$B2446, 0)),IF(G560='Room Info'!$C$1, INDEX('Room Info'!$A$2:$A2446, MATCH(B560,'Room Info'!$C$2:$C2446, 0)),IF(G560='Room Info'!$D$1, INDEX('Room Info'!$A$2:$A2446, MATCH(B560,'Room Info'!$D$2:$D2446, 0)),IF(G560='Room Info'!$E$1, INDEX('Room Info'!$A$2:$A2446, MATCH(B560,'Room Info'!$E$2:$E2446, 0)),IF(G560='Room Info'!$F$1, INDEX('Room Info'!$A$2:$A2446, MATCH(B560,'Room Info'!$F$2:$F2446, 0)),IF(G560='Room Info'!$H$1, INDEX('Room Info'!$A$2:$A2446, MATCH(B560,'Room Info'!$H$2:$H2446, 0)),IF(G560='Room Info'!$G$1, INDEX('Room Info'!$A$2:$A2446, MATCH(B560,'Room Info'!$G$2:$G2446, 0)))))))))</f>
        <v>dimandmb1</v>
      </c>
      <c r="B560" s="45" t="s">
        <v>150</v>
      </c>
      <c r="C560" s="46">
        <v>44835</v>
      </c>
      <c r="D560" s="46">
        <v>44865</v>
      </c>
      <c r="E560" s="47">
        <v>44835</v>
      </c>
      <c r="F560" s="48" t="s">
        <v>41</v>
      </c>
      <c r="G560" s="45" t="s">
        <v>53</v>
      </c>
      <c r="H560" s="49" t="s">
        <v>55</v>
      </c>
      <c r="I560" s="49" t="s">
        <v>37</v>
      </c>
      <c r="J560" s="70">
        <v>10</v>
      </c>
      <c r="K560" s="71">
        <v>860</v>
      </c>
      <c r="L560" s="52">
        <v>-554.15</v>
      </c>
      <c r="M560" s="53">
        <v>301</v>
      </c>
      <c r="N560" s="28">
        <f>K560*J560</f>
        <v>8600</v>
      </c>
      <c r="O560" s="54">
        <v>29240</v>
      </c>
      <c r="P560" s="29">
        <v>34</v>
      </c>
      <c r="Q560" s="103"/>
      <c r="R560" s="31">
        <f>M560+Q560</f>
        <v>301</v>
      </c>
      <c r="S560" s="66"/>
      <c r="T560" s="32">
        <f>R560+S560+IF(F560="Without EV deal",L560,0)</f>
        <v>-253.14999999999998</v>
      </c>
      <c r="U560" s="57">
        <v>1</v>
      </c>
      <c r="V560" s="58">
        <v>13</v>
      </c>
      <c r="W560" s="58">
        <v>4</v>
      </c>
      <c r="X560" s="30">
        <f>IF(AF560="DoEV",IF(AND(V560&lt;20,W560&lt;55),0.3,0)+IF(AND(V560&lt;20,W560&gt;=55,W560&lt;105),0.23,0)+IF(AND(V560&lt;20,W560&gt;=105),0.17,0)+IF(AND(V560&gt;=20,V560&lt;40,W560&lt;45),0.3,0)+IF(AND(V560&gt;=20,V560&lt;40,W560&gt;=45,W560&lt;95),0.23,0)+IF(AND(V560&gt;=20,V560&lt;40,W560&gt;=95),0.17,0)+IF(AND(V560&gt;=40,V560&lt;75,W560&lt;35),0.3,0)+IF(AND(V560&gt;=40,V560&lt;75,W560&gt;=35,W560&lt;75),0.23,0)+IF(AND(V560&gt;=40,V560&lt;75,W560&gt;=75,W560&lt;120),0.17,0)+IF(AND(V560&gt;=40,V560&lt;75,W560&gt;=120),0.12,0)+IF(AND(V560&gt;=75,V560&lt;175,W560&lt;35),0.3,0)+IF(AND(V560&gt;=75,V560&lt;=175,W560&gt;=35,W560&lt;65),0.23,0)+IF(AND(V560&gt;=75,V560&lt;=175,W560&gt;=65,W560&lt;110),0.17,0)+IF(AND(V560&gt;=75,V560&lt;=175,W560&gt;=110),0.12,0)+IF(AND(V560&gt;175,W560&lt;25),0.3,0)+IF(AND(V560&gt;175,W560&gt;=25,W560&lt;55),0.23,0)+IF(AND(V560&gt;175,W560&gt;=55,W560&lt;95),0.17,0)+IF(AND(V560&gt;175,W560&gt;=95),0.12,0),
IF(AF560="Fix15",0.15,
IF(AF560="Fix18.75",0.1875,
IF(AF560="Fix11.25",0.1125,
IF(AF560="Fix10",0.1,
IF(AF560="Fix9",0.09,
IF(AF560="DoEV2017",IF(AND(W560&lt;74),0.2,0)+IF(AND(W560&gt;=74),0.17,0),
IF(AF560="SF",IF(AND(V560&lt;20,W560&lt;89),0.3,0)+IF(AND(V560&lt;20,W560&gt;=89),0.25,0)+IF(AND(V560&gt;=20,V560&lt;40,W560&lt;74),0.3,0)+IF(AND(V560&gt;=20,V560&lt;40,W560&gt;=75),0.22,0)+IF(AND(V560&gt;=40,V560&lt;75,W560&lt;75),0.26,0)+IF(AND(V560&gt;=40,V560&lt;75,W560&gt;=75),0.22,0)+IF(V560&gt;=75,0.22,0),
IF(AF560="DoEVold",IF(AND(V560&lt;40,W560&lt;35),0.35,0)+IF(AND(V560&lt;40,W560&gt;=35,W560&lt;75),0.25,0)+IF(AND(V560&lt;40,W560&gt;=75),0.17,0)+IF(AND(V560&gt;=40,V560&lt;75,W560&lt;25),0.35,0)+IF(AND(V560&gt;=40,V560&lt;75,W560&gt;=25,W560&lt;65),0.25,0)+IF(AND(V560&gt;=40,V560&lt;75,W560&gt;=65,W560&lt;100),0.17,0)+IF(AND(V560&gt;=40,V560&lt;75,W560&gt;=100),0.1,0)+IF(AND(V560&gt;=75,W560&lt;25),0.35,0)+IF(AND(V560&gt;=75,W560&gt;=25,W560&lt;60),0.25,0)+IF(AND(V560&gt;=75,W560&gt;=60,W560&lt;95),0.17,0)+IF(AND(V560&gt;=75,W560&gt;=95),0.1,0),
IF(AF560="DoEVold15",IF(AND(V560&lt;=40,W560&lt;35),0.35,0)+IF(AND(V560&lt;=40,W560&gt;=35,W560&lt;75),0.25,0)+IF(AND(V560&lt;=40,W560&gt;=75,W560&lt;120),0.17,0)+IF(AND(V560&lt;=40,W560&gt;=120),0.15,0)+IF(AND(V560&gt;40,V560&lt;75,W560&lt;25),0.35,0)+IF(AND(V560&gt;=40,V560&lt;75,W560&gt;=25,W560&lt;65),0.25,0)+IF(AND(V560&gt;=40,V560&lt;75,W560&gt;=65,W560&lt;100),0.17,0)+IF(AND(V560&gt;=40,V560&lt;75,W560&gt;=100),0.1,0)+IF(AND(V560&gt;=75,W560&lt;25),0.35,0)+IF(AND(V560&gt;=75,W560&gt;=25,W560&lt;60),0.25,0)+IF(AND(V560&gt;=75,W560&gt;=60,W560&lt;95),0.17,0)+IF(AND(V560&gt;=75,W560&gt;=95),0.1,0),
IF(AF560="DoEVba",IF(AND(V560&lt;20,W560&lt;105),0.2,0)+IF(AND(V560&lt;20,W560&gt;=105),0.15,0)+IF(AND(V560&gt;=20,V560&lt;40,W560&lt;95),0.2,0)+IF(AND(V560&gt;=20,V560&lt;40,W560&gt;=95,W560&lt;150),0.15,0)+IF(AND(V560&gt;=20,V560&lt;40,W560&gt;=150),0.12,0)+IF(AND(V560&gt;=40,V560&lt;75,W560&lt;75),0.2,0)+IF(AND(V560&gt;=40,V560&lt;75,W560&gt;=75,W560&lt;120),0.15,0)+IF(AND(V560&gt;=40,V560&lt;75,W560&gt;=120),0.12,0)+IF(AND(V560&gt;=75,V560&lt;175,W560&lt;65),0.2,0)+IF(AND(V560&gt;=75,V560&lt;175,W560&gt;=65,W560&lt;110),0.15,0)+IF(AND(V560&gt;=75,V560&lt;175,W560&gt;=110),0.12,0)+IF(AND(V560&gt;=175,W560&lt;55),0.2,0)+IF(AND(V560&gt;=175,W560&gt;=55,W560&lt;95),0.15,0)+IF(AND(V560&gt;=175,W560&gt;=95),0.12,0),
IF(AF560="DoEVku",IF(AND(V560&lt;20,W560&lt;55),0.23,0)+IF(AND(V560&lt;20,W560&gt;=55,W560&lt;105),0.2,0)+IF(AND(V560&lt;20,W560&gt;=105),0.17,0)+IF(AND(V560&gt;=20,V560&lt;40,W560&lt;45),0.23,0)+IF(AND(V560&gt;=20,V560&lt;40,W560&gt;=45,W560&lt;95),0.2,0)+IF(AND(V560&gt;=20,V560&lt;40,W560&gt;=95,W560&lt;=150),0.17,0)+IF(AND(V560&gt;=20,V560&lt;40,W560&gt;=150),0.12,0)+IF(AND(V560&gt;=40,V560&lt;75,W560&lt;35),0.23,0)+IF(AND(V560&gt;=40,V560&lt;75,W560&gt;=35,W560&lt;75),0.2,0)+IF(AND(V560&gt;=40,V560&lt;75,W560&gt;=75,W560&lt;120),0.17,0)+IF(AND(V560&gt;=40,V560&lt;75,W560&gt;=120),0.12,0)+IF(AND(V560&gt;=75,V560&lt;175,W560&lt;35),0.23,0)+IF(AND(V560&gt;=75,V560&lt;=175,W560&gt;=35,W560&lt;65),0.2,0)+IF(AND(V560&gt;=75,V560&lt;=175,W560&gt;=65,W560&lt;110),0.17,0)+IF(AND(V560&gt;=75,V560&lt;=175,W560&gt;=110),0.12,0)+IF(AND(V560&gt;175,W560&lt;25),0.23,0)+IF(AND(V560&gt;175,W560&gt;=25,W560&lt;55),0.2,0)+IF(AND(V560&gt;175,W560&gt;=55,W560&lt;95),0.17,0)+IF(AND(V560&gt;175,W560&gt;=95),0.12,0),
IF(AF560="DoEVs1",IF(AND(V560&lt;20,W560&lt;55),0.3,0)+IF(AND(V560&lt;20,W560&gt;=55,W560&lt;105),0.23,0)+IF(AND(V560&lt;20,W560&gt;=105),0.17,0)+IF(AND(V560&gt;=20,V560&lt;40,W560&lt;45),0.3,0)+IF(AND(V560&gt;=20,V560&lt;40,W560&gt;=45,W560&lt;95),0.23,0)+IF(AND(V560&gt;=20,V560&lt;40,W560&gt;=95,W560&lt;=150),0.17,0)+IF(AND(V560&gt;=20,V560&lt;40,W560&gt;=150),0.12,0)+IF(AND(V560&gt;=40,V560&lt;75,W560&lt;35),0.3,0)+IF(AND(V560&gt;=40,V560&lt;75,W560&gt;=35,W560&lt;75),0.23,0)+IF(AND(V560&gt;=40,V560&lt;75,W560&gt;=75,W560&lt;120),0.17,0)+IF(AND(V560&gt;=40,V560&lt;75,W560&gt;=120),0.12,0)+IF(AND(V560&gt;=75,V560&lt;175,W560&lt;35),0.3,0)+IF(AND(V560&gt;=75,V560&lt;=175,W560&gt;=35,W560&lt;65),0.23,0)+IF(AND(V560&gt;=75,V560&lt;=175,W560&gt;=65,W560&lt;110),0.17,0)+IF(AND(V560&gt;=75,V560&lt;=175,W560&gt;=110),0.12,0)+IF(AND(V560&gt;175,W560&lt;25),0.3,0)+IF(AND(V560&gt;175,W560&gt;=25,W560&lt;55),0.23,0)+IF(AND(V560&gt;175,W560&gt;=55,W560&lt;95),0.17,0)+IF(AND(V560&gt;175,W560&gt;=95),0.12,0),
IF(AF560="DoEVsu",IF(AND(V560&lt;20,W560&lt;55),0.3,0)+IF(AND(V560&lt;20,W560&gt;=55,W560&lt;105),0.23,0)+IF(AND(V560&lt;20,W560&gt;=105),0.17,0)+IF(AND(V560&gt;=20,V560&lt;40,W560&lt;45),0.3,0)+IF(AND(V560&gt;=20,V560&lt;40,W560&gt;=45,W560&lt;95),0.23,0)+IF(AND(V560&gt;=20,V560&lt;40,W560&gt;=95,W560&lt;=250),0.17,0)+IF(AND(V560&gt;=20,V560&lt;40,W560&gt;=250),0.12,0)+IF(AND(V560&gt;=40,V560&lt;75,W560&lt;35),0.3,0)+IF(AND(V560&gt;=40,V560&lt;75,W560&gt;=35,W560&lt;75),0.23,0)+IF(AND(V560&gt;=40,V560&lt;75,W560&gt;=75,W560&lt;120),0.17,0)+IF(AND(V560&gt;=40,V560&lt;75,W560&gt;=120),0.12,0)+IF(AND(V560&gt;=75,V560&lt;175,W560&lt;35),0.3,0)+IF(AND(V560&gt;=75,V560&lt;=175,W560&gt;=35,W560&lt;65),0.23,0)+IF(AND(V560&gt;=75,V560&lt;=175,W560&gt;=65,W560&lt;110),0.17,0)+IF(AND(V560&gt;=75,V560&lt;=175,W560&gt;=110),0.12,0)+IF(AND(V560&gt;175,W560&lt;25),0.3,0)+IF(AND(V560&gt;175,W560&gt;=25,W560&lt;55),0.23,0)+IF(AND(V560&gt;175,W560&gt;=55,W560&lt;95),0.17,0)+IF(AND(V560&gt;175,W560&gt;=95),0.12,0),
IF(AF560="DoEVni",IF(AND(V560&lt;20,W560&lt;55),0.3,0)+IF(AND(V560&lt;20,W560&gt;=55,W560&lt;105),0.23,0)+IF(AND(V560&lt;20,W560&gt;=105),0.17,0)+IF(AND(V560&gt;=20,V560&lt;40,W560&lt;45),0.3,0)+IF(AND(V560&gt;=20,V560&lt;40,W560&gt;=45,W560&lt;95),0.23,0)+IF(AND(V560&gt;=20,V560&lt;40,W560&gt;=95,W560&lt;=200),0.17,0)+IF(AND(V560&gt;=20,V560&lt;40,W560&gt;=200),0.12,0)+IF(AND(V560&gt;=40,V560&lt;75,W560&lt;35),0.3,0)+IF(AND(V560&gt;=40,V560&lt;75,W560&gt;=35,W560&lt;75),0.23,0)+IF(AND(V560&gt;=40,V560&lt;75,W560&gt;=75,W560&lt;120),0.17,0)+IF(AND(V560&gt;=40,V560&lt;75,W560&gt;=120),0.12,0)+IF(AND(V560&gt;=75,V560&lt;175,W560&lt;35),0.3,0)+IF(AND(V560&gt;=75,V560&lt;=175,W560&gt;=35,W560&lt;65),0.23,0)+IF(AND(V560&gt;=75,V560&lt;=175,W560&gt;=65,W560&lt;110),0.17,0)+IF(AND(V560&gt;=75,V560&lt;=175,W560&gt;=110),0.12,0)+IF(AND(V560&gt;175,W560&lt;25),0.3,0)+IF(AND(V560&gt;175,W560&gt;=25,W560&lt;55),0.23,0)+IF(AND(V560&gt;175,W560&gt;=55,W560&lt;95),0.17,0)+IF(AND(V560&gt;175,W560&gt;=95),0.12,0),
IF(AF560="DoEVLo",IF(AND(V560&lt;20,W560&lt;55),0.25,0)+IF(AND(V560&lt;20,W560&gt;=55,W560&lt;105),0.2,0)+IF(AND(V560&lt;20,W560&gt;=105),0.15,0)+IF(AND(V560&gt;=20,V560&lt;40,W560&lt;45),0.25,0)+IF(AND(V560&gt;=20,V560&lt;40,W560&gt;=45,W560&lt;95),0.2,0)+IF(AND(V560&gt;=20,V560&lt;40,W560&gt;=95),0.15,0)+IF(AND(V560&gt;=40,V560&lt;75,W560&lt;35),0.25,0)+IF(AND(V560&gt;=40,V560&lt;75,W560&gt;=35,W560&lt;75),0.2,0)+IF(AND(V560&gt;=40,V560&lt;75,W560&gt;=75,W560&lt;120),0.15,0)+IF(AND(V560&gt;=40,V560&lt;75,W560&gt;=120),0.1,0)+IF(AND(V560&gt;=75,V560&lt;175,W560&lt;35),0.25,0)+IF(AND(V560&gt;=75,V560&lt;=175,W560&gt;=35,W560&lt;65),0.2,0)+IF(AND(V560&gt;=75,V560&lt;=175,W560&gt;=65,W560&lt;110),0.15,0)+IF(AND(V560&gt;=75,V560&lt;=175,W560&gt;=110),0.1,0)+IF(AND(V560&gt;175,W560&lt;25),0.25,0)+IF(AND(V560&gt;175,W560&gt;=25,W560&lt;55),0.2,0)+IF(AND(V560&gt;175,W560&gt;=55,W560&lt;95),0.15,0)+IF(AND(V560&gt;175,W560&gt;=95),0.1,0)))))))))))))))))</f>
        <v>0.3</v>
      </c>
      <c r="Y560" s="30">
        <f>IF(AG560="None",0,IF(AG560="Fix5",0.05, IF(AG560="Fix6.25",0.0625,IF(AG560="Fix3.75",0.0375,IF(AG560="Fix10",0.1,IF(AG560="Fix3",0.03,0))))))</f>
        <v>0</v>
      </c>
      <c r="Z560" s="35">
        <f>T560-AA560-AB560</f>
        <v>-177.20499999999998</v>
      </c>
      <c r="AA560" s="29">
        <f>IF(AD560="EUR",((T560-R560)*X560)*U560+(R560*X560),(T560*X560))</f>
        <v>-75.944999999999993</v>
      </c>
      <c r="AB560" s="36">
        <f>IF(AD560="EUR",((T560-R560)*Y560)*U560+(R560*Y560),(T560*Y560))</f>
        <v>0</v>
      </c>
      <c r="AC560" s="37" t="b">
        <v>1</v>
      </c>
      <c r="AD560" s="37" t="s">
        <v>38</v>
      </c>
      <c r="AE560" s="37" t="s">
        <v>38</v>
      </c>
      <c r="AF560" s="37" t="str">
        <f t="array" ref="AF560">INDEX('Deal Info'!D:D, MATCH(A560,'Deal Info'!A:A, 0))</f>
        <v>DoEV</v>
      </c>
      <c r="AG560" s="38" t="str">
        <f t="array" ref="AG560">INDEX('Deal Info'!G:G, MATCH(A560,'Deal Info'!A:A, 0))</f>
        <v>None</v>
      </c>
    </row>
    <row r="561" spans="1:33" ht="14.25" hidden="1" x14ac:dyDescent="0.2">
      <c r="A561" s="18" t="str">
        <f t="array" ref="A561">IF(G561='Room Info'!$B$1, INDEX('Room Info'!$A$2:$A2446, MATCH(B561,'Room Info'!$B$2:$B2446, 0)),IF(G561='Room Info'!$C$1, INDEX('Room Info'!$A$2:$A2446, MATCH(B561,'Room Info'!$C$2:$C2446, 0)),IF(G561='Room Info'!$D$1, INDEX('Room Info'!$A$2:$A2446, MATCH(B561,'Room Info'!$D$2:$D2446, 0)),IF(G561='Room Info'!$E$1, INDEX('Room Info'!$A$2:$A2446, MATCH(B561,'Room Info'!$E$2:$E2446, 0)),IF(G561='Room Info'!$F$1, INDEX('Room Info'!$A$2:$A2446, MATCH(B561,'Room Info'!$F$2:$F2446, 0)),IF(G561='Room Info'!$H$1, INDEX('Room Info'!$A$2:$A2446, MATCH(B561,'Room Info'!$H$2:$H2446, 0)),IF(G561='Room Info'!$G$1, INDEX('Room Info'!$A$2:$A2446, MATCH(B561,'Room Info'!$G$2:$G2446, 0)))))))))</f>
        <v>dimandmb1</v>
      </c>
      <c r="B561" s="45" t="s">
        <v>150</v>
      </c>
      <c r="C561" s="46">
        <v>44835</v>
      </c>
      <c r="D561" s="46">
        <v>44865</v>
      </c>
      <c r="E561" s="47">
        <v>44835</v>
      </c>
      <c r="F561" s="48" t="s">
        <v>41</v>
      </c>
      <c r="G561" s="45" t="s">
        <v>53</v>
      </c>
      <c r="H561" s="49" t="s">
        <v>56</v>
      </c>
      <c r="I561" s="49" t="s">
        <v>37</v>
      </c>
      <c r="J561" s="70">
        <v>20</v>
      </c>
      <c r="K561" s="71">
        <v>577</v>
      </c>
      <c r="L561" s="52">
        <v>-743.59</v>
      </c>
      <c r="M561" s="53">
        <v>404</v>
      </c>
      <c r="N561" s="28">
        <f>K561*J561</f>
        <v>11540</v>
      </c>
      <c r="O561" s="54">
        <v>12694</v>
      </c>
      <c r="P561" s="29">
        <v>22</v>
      </c>
      <c r="Q561" s="103"/>
      <c r="R561" s="31">
        <f>M561+Q561</f>
        <v>404</v>
      </c>
      <c r="S561" s="66"/>
      <c r="T561" s="32">
        <f>R561+S561+IF(F561="Without EV deal",L561,0)</f>
        <v>-339.59000000000003</v>
      </c>
      <c r="U561" s="57">
        <v>1</v>
      </c>
      <c r="V561" s="58">
        <v>13</v>
      </c>
      <c r="W561" s="58">
        <v>4</v>
      </c>
      <c r="X561" s="30">
        <f>IF(AF561="DoEV",IF(AND(V561&lt;20,W561&lt;55),0.3,0)+IF(AND(V561&lt;20,W561&gt;=55,W561&lt;105),0.23,0)+IF(AND(V561&lt;20,W561&gt;=105),0.17,0)+IF(AND(V561&gt;=20,V561&lt;40,W561&lt;45),0.3,0)+IF(AND(V561&gt;=20,V561&lt;40,W561&gt;=45,W561&lt;95),0.23,0)+IF(AND(V561&gt;=20,V561&lt;40,W561&gt;=95),0.17,0)+IF(AND(V561&gt;=40,V561&lt;75,W561&lt;35),0.3,0)+IF(AND(V561&gt;=40,V561&lt;75,W561&gt;=35,W561&lt;75),0.23,0)+IF(AND(V561&gt;=40,V561&lt;75,W561&gt;=75,W561&lt;120),0.17,0)+IF(AND(V561&gt;=40,V561&lt;75,W561&gt;=120),0.12,0)+IF(AND(V561&gt;=75,V561&lt;175,W561&lt;35),0.3,0)+IF(AND(V561&gt;=75,V561&lt;=175,W561&gt;=35,W561&lt;65),0.23,0)+IF(AND(V561&gt;=75,V561&lt;=175,W561&gt;=65,W561&lt;110),0.17,0)+IF(AND(V561&gt;=75,V561&lt;=175,W561&gt;=110),0.12,0)+IF(AND(V561&gt;175,W561&lt;25),0.3,0)+IF(AND(V561&gt;175,W561&gt;=25,W561&lt;55),0.23,0)+IF(AND(V561&gt;175,W561&gt;=55,W561&lt;95),0.17,0)+IF(AND(V561&gt;175,W561&gt;=95),0.12,0),
IF(AF561="Fix15",0.15,
IF(AF561="Fix18.75",0.1875,
IF(AF561="Fix11.25",0.1125,
IF(AF561="Fix10",0.1,
IF(AF561="Fix9",0.09,
IF(AF561="DoEV2017",IF(AND(W561&lt;74),0.2,0)+IF(AND(W561&gt;=74),0.17,0),
IF(AF561="SF",IF(AND(V561&lt;20,W561&lt;89),0.3,0)+IF(AND(V561&lt;20,W561&gt;=89),0.25,0)+IF(AND(V561&gt;=20,V561&lt;40,W561&lt;74),0.3,0)+IF(AND(V561&gt;=20,V561&lt;40,W561&gt;=75),0.22,0)+IF(AND(V561&gt;=40,V561&lt;75,W561&lt;75),0.26,0)+IF(AND(V561&gt;=40,V561&lt;75,W561&gt;=75),0.22,0)+IF(V561&gt;=75,0.22,0),
IF(AF561="DoEVold",IF(AND(V561&lt;40,W561&lt;35),0.35,0)+IF(AND(V561&lt;40,W561&gt;=35,W561&lt;75),0.25,0)+IF(AND(V561&lt;40,W561&gt;=75),0.17,0)+IF(AND(V561&gt;=40,V561&lt;75,W561&lt;25),0.35,0)+IF(AND(V561&gt;=40,V561&lt;75,W561&gt;=25,W561&lt;65),0.25,0)+IF(AND(V561&gt;=40,V561&lt;75,W561&gt;=65,W561&lt;100),0.17,0)+IF(AND(V561&gt;=40,V561&lt;75,W561&gt;=100),0.1,0)+IF(AND(V561&gt;=75,W561&lt;25),0.35,0)+IF(AND(V561&gt;=75,W561&gt;=25,W561&lt;60),0.25,0)+IF(AND(V561&gt;=75,W561&gt;=60,W561&lt;95),0.17,0)+IF(AND(V561&gt;=75,W561&gt;=95),0.1,0),
IF(AF561="DoEVold15",IF(AND(V561&lt;=40,W561&lt;35),0.35,0)+IF(AND(V561&lt;=40,W561&gt;=35,W561&lt;75),0.25,0)+IF(AND(V561&lt;=40,W561&gt;=75,W561&lt;120),0.17,0)+IF(AND(V561&lt;=40,W561&gt;=120),0.15,0)+IF(AND(V561&gt;40,V561&lt;75,W561&lt;25),0.35,0)+IF(AND(V561&gt;=40,V561&lt;75,W561&gt;=25,W561&lt;65),0.25,0)+IF(AND(V561&gt;=40,V561&lt;75,W561&gt;=65,W561&lt;100),0.17,0)+IF(AND(V561&gt;=40,V561&lt;75,W561&gt;=100),0.1,0)+IF(AND(V561&gt;=75,W561&lt;25),0.35,0)+IF(AND(V561&gt;=75,W561&gt;=25,W561&lt;60),0.25,0)+IF(AND(V561&gt;=75,W561&gt;=60,W561&lt;95),0.17,0)+IF(AND(V561&gt;=75,W561&gt;=95),0.1,0),
IF(AF561="DoEVba",IF(AND(V561&lt;20,W561&lt;105),0.2,0)+IF(AND(V561&lt;20,W561&gt;=105),0.15,0)+IF(AND(V561&gt;=20,V561&lt;40,W561&lt;95),0.2,0)+IF(AND(V561&gt;=20,V561&lt;40,W561&gt;=95,W561&lt;150),0.15,0)+IF(AND(V561&gt;=20,V561&lt;40,W561&gt;=150),0.12,0)+IF(AND(V561&gt;=40,V561&lt;75,W561&lt;75),0.2,0)+IF(AND(V561&gt;=40,V561&lt;75,W561&gt;=75,W561&lt;120),0.15,0)+IF(AND(V561&gt;=40,V561&lt;75,W561&gt;=120),0.12,0)+IF(AND(V561&gt;=75,V561&lt;175,W561&lt;65),0.2,0)+IF(AND(V561&gt;=75,V561&lt;175,W561&gt;=65,W561&lt;110),0.15,0)+IF(AND(V561&gt;=75,V561&lt;175,W561&gt;=110),0.12,0)+IF(AND(V561&gt;=175,W561&lt;55),0.2,0)+IF(AND(V561&gt;=175,W561&gt;=55,W561&lt;95),0.15,0)+IF(AND(V561&gt;=175,W561&gt;=95),0.12,0),
IF(AF561="DoEVku",IF(AND(V561&lt;20,W561&lt;55),0.23,0)+IF(AND(V561&lt;20,W561&gt;=55,W561&lt;105),0.2,0)+IF(AND(V561&lt;20,W561&gt;=105),0.17,0)+IF(AND(V561&gt;=20,V561&lt;40,W561&lt;45),0.23,0)+IF(AND(V561&gt;=20,V561&lt;40,W561&gt;=45,W561&lt;95),0.2,0)+IF(AND(V561&gt;=20,V561&lt;40,W561&gt;=95,W561&lt;=150),0.17,0)+IF(AND(V561&gt;=20,V561&lt;40,W561&gt;=150),0.12,0)+IF(AND(V561&gt;=40,V561&lt;75,W561&lt;35),0.23,0)+IF(AND(V561&gt;=40,V561&lt;75,W561&gt;=35,W561&lt;75),0.2,0)+IF(AND(V561&gt;=40,V561&lt;75,W561&gt;=75,W561&lt;120),0.17,0)+IF(AND(V561&gt;=40,V561&lt;75,W561&gt;=120),0.12,0)+IF(AND(V561&gt;=75,V561&lt;175,W561&lt;35),0.23,0)+IF(AND(V561&gt;=75,V561&lt;=175,W561&gt;=35,W561&lt;65),0.2,0)+IF(AND(V561&gt;=75,V561&lt;=175,W561&gt;=65,W561&lt;110),0.17,0)+IF(AND(V561&gt;=75,V561&lt;=175,W561&gt;=110),0.12,0)+IF(AND(V561&gt;175,W561&lt;25),0.23,0)+IF(AND(V561&gt;175,W561&gt;=25,W561&lt;55),0.2,0)+IF(AND(V561&gt;175,W561&gt;=55,W561&lt;95),0.17,0)+IF(AND(V561&gt;175,W561&gt;=95),0.12,0),
IF(AF561="DoEVs1",IF(AND(V561&lt;20,W561&lt;55),0.3,0)+IF(AND(V561&lt;20,W561&gt;=55,W561&lt;105),0.23,0)+IF(AND(V561&lt;20,W561&gt;=105),0.17,0)+IF(AND(V561&gt;=20,V561&lt;40,W561&lt;45),0.3,0)+IF(AND(V561&gt;=20,V561&lt;40,W561&gt;=45,W561&lt;95),0.23,0)+IF(AND(V561&gt;=20,V561&lt;40,W561&gt;=95,W561&lt;=150),0.17,0)+IF(AND(V561&gt;=20,V561&lt;40,W561&gt;=150),0.12,0)+IF(AND(V561&gt;=40,V561&lt;75,W561&lt;35),0.3,0)+IF(AND(V561&gt;=40,V561&lt;75,W561&gt;=35,W561&lt;75),0.23,0)+IF(AND(V561&gt;=40,V561&lt;75,W561&gt;=75,W561&lt;120),0.17,0)+IF(AND(V561&gt;=40,V561&lt;75,W561&gt;=120),0.12,0)+IF(AND(V561&gt;=75,V561&lt;175,W561&lt;35),0.3,0)+IF(AND(V561&gt;=75,V561&lt;=175,W561&gt;=35,W561&lt;65),0.23,0)+IF(AND(V561&gt;=75,V561&lt;=175,W561&gt;=65,W561&lt;110),0.17,0)+IF(AND(V561&gt;=75,V561&lt;=175,W561&gt;=110),0.12,0)+IF(AND(V561&gt;175,W561&lt;25),0.3,0)+IF(AND(V561&gt;175,W561&gt;=25,W561&lt;55),0.23,0)+IF(AND(V561&gt;175,W561&gt;=55,W561&lt;95),0.17,0)+IF(AND(V561&gt;175,W561&gt;=95),0.12,0),
IF(AF561="DoEVsu",IF(AND(V561&lt;20,W561&lt;55),0.3,0)+IF(AND(V561&lt;20,W561&gt;=55,W561&lt;105),0.23,0)+IF(AND(V561&lt;20,W561&gt;=105),0.17,0)+IF(AND(V561&gt;=20,V561&lt;40,W561&lt;45),0.3,0)+IF(AND(V561&gt;=20,V561&lt;40,W561&gt;=45,W561&lt;95),0.23,0)+IF(AND(V561&gt;=20,V561&lt;40,W561&gt;=95,W561&lt;=250),0.17,0)+IF(AND(V561&gt;=20,V561&lt;40,W561&gt;=250),0.12,0)+IF(AND(V561&gt;=40,V561&lt;75,W561&lt;35),0.3,0)+IF(AND(V561&gt;=40,V561&lt;75,W561&gt;=35,W561&lt;75),0.23,0)+IF(AND(V561&gt;=40,V561&lt;75,W561&gt;=75,W561&lt;120),0.17,0)+IF(AND(V561&gt;=40,V561&lt;75,W561&gt;=120),0.12,0)+IF(AND(V561&gt;=75,V561&lt;175,W561&lt;35),0.3,0)+IF(AND(V561&gt;=75,V561&lt;=175,W561&gt;=35,W561&lt;65),0.23,0)+IF(AND(V561&gt;=75,V561&lt;=175,W561&gt;=65,W561&lt;110),0.17,0)+IF(AND(V561&gt;=75,V561&lt;=175,W561&gt;=110),0.12,0)+IF(AND(V561&gt;175,W561&lt;25),0.3,0)+IF(AND(V561&gt;175,W561&gt;=25,W561&lt;55),0.23,0)+IF(AND(V561&gt;175,W561&gt;=55,W561&lt;95),0.17,0)+IF(AND(V561&gt;175,W561&gt;=95),0.12,0),
IF(AF561="DoEVni",IF(AND(V561&lt;20,W561&lt;55),0.3,0)+IF(AND(V561&lt;20,W561&gt;=55,W561&lt;105),0.23,0)+IF(AND(V561&lt;20,W561&gt;=105),0.17,0)+IF(AND(V561&gt;=20,V561&lt;40,W561&lt;45),0.3,0)+IF(AND(V561&gt;=20,V561&lt;40,W561&gt;=45,W561&lt;95),0.23,0)+IF(AND(V561&gt;=20,V561&lt;40,W561&gt;=95,W561&lt;=200),0.17,0)+IF(AND(V561&gt;=20,V561&lt;40,W561&gt;=200),0.12,0)+IF(AND(V561&gt;=40,V561&lt;75,W561&lt;35),0.3,0)+IF(AND(V561&gt;=40,V561&lt;75,W561&gt;=35,W561&lt;75),0.23,0)+IF(AND(V561&gt;=40,V561&lt;75,W561&gt;=75,W561&lt;120),0.17,0)+IF(AND(V561&gt;=40,V561&lt;75,W561&gt;=120),0.12,0)+IF(AND(V561&gt;=75,V561&lt;175,W561&lt;35),0.3,0)+IF(AND(V561&gt;=75,V561&lt;=175,W561&gt;=35,W561&lt;65),0.23,0)+IF(AND(V561&gt;=75,V561&lt;=175,W561&gt;=65,W561&lt;110),0.17,0)+IF(AND(V561&gt;=75,V561&lt;=175,W561&gt;=110),0.12,0)+IF(AND(V561&gt;175,W561&lt;25),0.3,0)+IF(AND(V561&gt;175,W561&gt;=25,W561&lt;55),0.23,0)+IF(AND(V561&gt;175,W561&gt;=55,W561&lt;95),0.17,0)+IF(AND(V561&gt;175,W561&gt;=95),0.12,0),
IF(AF561="DoEVLo",IF(AND(V561&lt;20,W561&lt;55),0.25,0)+IF(AND(V561&lt;20,W561&gt;=55,W561&lt;105),0.2,0)+IF(AND(V561&lt;20,W561&gt;=105),0.15,0)+IF(AND(V561&gt;=20,V561&lt;40,W561&lt;45),0.25,0)+IF(AND(V561&gt;=20,V561&lt;40,W561&gt;=45,W561&lt;95),0.2,0)+IF(AND(V561&gt;=20,V561&lt;40,W561&gt;=95),0.15,0)+IF(AND(V561&gt;=40,V561&lt;75,W561&lt;35),0.25,0)+IF(AND(V561&gt;=40,V561&lt;75,W561&gt;=35,W561&lt;75),0.2,0)+IF(AND(V561&gt;=40,V561&lt;75,W561&gt;=75,W561&lt;120),0.15,0)+IF(AND(V561&gt;=40,V561&lt;75,W561&gt;=120),0.1,0)+IF(AND(V561&gt;=75,V561&lt;175,W561&lt;35),0.25,0)+IF(AND(V561&gt;=75,V561&lt;=175,W561&gt;=35,W561&lt;65),0.2,0)+IF(AND(V561&gt;=75,V561&lt;=175,W561&gt;=65,W561&lt;110),0.15,0)+IF(AND(V561&gt;=75,V561&lt;=175,W561&gt;=110),0.1,0)+IF(AND(V561&gt;175,W561&lt;25),0.25,0)+IF(AND(V561&gt;175,W561&gt;=25,W561&lt;55),0.2,0)+IF(AND(V561&gt;175,W561&gt;=55,W561&lt;95),0.15,0)+IF(AND(V561&gt;175,W561&gt;=95),0.1,0)))))))))))))))))</f>
        <v>0.3</v>
      </c>
      <c r="Y561" s="30">
        <f>IF(AG561="None",0,IF(AG561="Fix5",0.05, IF(AG561="Fix6.25",0.0625,IF(AG561="Fix3.75",0.0375,IF(AG561="Fix10",0.1,IF(AG561="Fix3",0.03,0))))))</f>
        <v>0</v>
      </c>
      <c r="Z561" s="35">
        <f>T561-AA561-AB561</f>
        <v>-237.71300000000002</v>
      </c>
      <c r="AA561" s="29">
        <f>IF(AD561="EUR",((T561-R561)*X561)*U561+(R561*X561),(T561*X561))</f>
        <v>-101.87700000000001</v>
      </c>
      <c r="AB561" s="36">
        <f>IF(AD561="EUR",((T561-R561)*Y561)*U561+(R561*Y561),(T561*Y561))</f>
        <v>0</v>
      </c>
      <c r="AC561" s="37" t="b">
        <v>1</v>
      </c>
      <c r="AD561" s="37" t="s">
        <v>38</v>
      </c>
      <c r="AE561" s="37" t="s">
        <v>38</v>
      </c>
      <c r="AF561" s="37" t="str">
        <f t="array" ref="AF561">INDEX('Deal Info'!D:D, MATCH(A561,'Deal Info'!A:A, 0))</f>
        <v>DoEV</v>
      </c>
      <c r="AG561" s="38" t="str">
        <f t="array" ref="AG561">INDEX('Deal Info'!G:G, MATCH(A561,'Deal Info'!A:A, 0))</f>
        <v>None</v>
      </c>
    </row>
    <row r="562" spans="1:33" ht="14.25" hidden="1" x14ac:dyDescent="0.2">
      <c r="A562" s="18" t="str">
        <f t="array" ref="A562">IF(G562='Room Info'!$B$1, INDEX('Room Info'!$A$2:$A2446, MATCH(B562,'Room Info'!$B$2:$B2446, 0)),IF(G562='Room Info'!$C$1, INDEX('Room Info'!$A$2:$A2446, MATCH(B562,'Room Info'!$C$2:$C2446, 0)),IF(G562='Room Info'!$D$1, INDEX('Room Info'!$A$2:$A2446, MATCH(B562,'Room Info'!$D$2:$D2446, 0)),IF(G562='Room Info'!$E$1, INDEX('Room Info'!$A$2:$A2446, MATCH(B562,'Room Info'!$E$2:$E2446, 0)),IF(G562='Room Info'!$F$1, INDEX('Room Info'!$A$2:$A2446, MATCH(B562,'Room Info'!$F$2:$F2446, 0)),IF(G562='Room Info'!$H$1, INDEX('Room Info'!$A$2:$A2446, MATCH(B562,'Room Info'!$H$2:$H2446, 0)),IF(G562='Room Info'!$G$1, INDEX('Room Info'!$A$2:$A2446, MATCH(B562,'Room Info'!$G$2:$G2446, 0)))))))))</f>
        <v>dimandmb1</v>
      </c>
      <c r="B562" s="54" t="s">
        <v>150</v>
      </c>
      <c r="C562" s="46">
        <v>44835</v>
      </c>
      <c r="D562" s="46">
        <v>44865</v>
      </c>
      <c r="E562" s="47">
        <v>44835</v>
      </c>
      <c r="F562" s="48" t="s">
        <v>41</v>
      </c>
      <c r="G562" s="54" t="s">
        <v>53</v>
      </c>
      <c r="H562" s="49" t="s">
        <v>57</v>
      </c>
      <c r="I562" s="49" t="s">
        <v>37</v>
      </c>
      <c r="J562" s="50">
        <v>50</v>
      </c>
      <c r="K562" s="51">
        <v>162</v>
      </c>
      <c r="L562" s="52">
        <v>-521.92999999999995</v>
      </c>
      <c r="M562" s="53">
        <v>284</v>
      </c>
      <c r="N562" s="28">
        <f>K562*J562</f>
        <v>8100</v>
      </c>
      <c r="O562" s="54">
        <v>4374</v>
      </c>
      <c r="P562" s="29">
        <v>27</v>
      </c>
      <c r="Q562" s="103"/>
      <c r="R562" s="31">
        <f>M562+Q562</f>
        <v>284</v>
      </c>
      <c r="S562" s="66"/>
      <c r="T562" s="32">
        <f>R562+S562+IF(F562="Without EV deal",L562,0)</f>
        <v>-237.92999999999995</v>
      </c>
      <c r="U562" s="57">
        <v>1</v>
      </c>
      <c r="V562" s="58">
        <v>13</v>
      </c>
      <c r="W562" s="58">
        <v>4</v>
      </c>
      <c r="X562" s="30">
        <f>IF(AF562="DoEV",IF(AND(V562&lt;20,W562&lt;55),0.3,0)+IF(AND(V562&lt;20,W562&gt;=55,W562&lt;105),0.23,0)+IF(AND(V562&lt;20,W562&gt;=105),0.17,0)+IF(AND(V562&gt;=20,V562&lt;40,W562&lt;45),0.3,0)+IF(AND(V562&gt;=20,V562&lt;40,W562&gt;=45,W562&lt;95),0.23,0)+IF(AND(V562&gt;=20,V562&lt;40,W562&gt;=95),0.17,0)+IF(AND(V562&gt;=40,V562&lt;75,W562&lt;35),0.3,0)+IF(AND(V562&gt;=40,V562&lt;75,W562&gt;=35,W562&lt;75),0.23,0)+IF(AND(V562&gt;=40,V562&lt;75,W562&gt;=75,W562&lt;120),0.17,0)+IF(AND(V562&gt;=40,V562&lt;75,W562&gt;=120),0.12,0)+IF(AND(V562&gt;=75,V562&lt;175,W562&lt;35),0.3,0)+IF(AND(V562&gt;=75,V562&lt;=175,W562&gt;=35,W562&lt;65),0.23,0)+IF(AND(V562&gt;=75,V562&lt;=175,W562&gt;=65,W562&lt;110),0.17,0)+IF(AND(V562&gt;=75,V562&lt;=175,W562&gt;=110),0.12,0)+IF(AND(V562&gt;175,W562&lt;25),0.3,0)+IF(AND(V562&gt;175,W562&gt;=25,W562&lt;55),0.23,0)+IF(AND(V562&gt;175,W562&gt;=55,W562&lt;95),0.17,0)+IF(AND(V562&gt;175,W562&gt;=95),0.12,0),
IF(AF562="Fix15",0.15,
IF(AF562="Fix18.75",0.1875,
IF(AF562="Fix11.25",0.1125,
IF(AF562="Fix10",0.1,
IF(AF562="Fix9",0.09,
IF(AF562="DoEV2017",IF(AND(W562&lt;74),0.2,0)+IF(AND(W562&gt;=74),0.17,0),
IF(AF562="SF",IF(AND(V562&lt;20,W562&lt;89),0.3,0)+IF(AND(V562&lt;20,W562&gt;=89),0.25,0)+IF(AND(V562&gt;=20,V562&lt;40,W562&lt;74),0.3,0)+IF(AND(V562&gt;=20,V562&lt;40,W562&gt;=75),0.22,0)+IF(AND(V562&gt;=40,V562&lt;75,W562&lt;75),0.26,0)+IF(AND(V562&gt;=40,V562&lt;75,W562&gt;=75),0.22,0)+IF(V562&gt;=75,0.22,0),
IF(AF562="DoEVold",IF(AND(V562&lt;40,W562&lt;35),0.35,0)+IF(AND(V562&lt;40,W562&gt;=35,W562&lt;75),0.25,0)+IF(AND(V562&lt;40,W562&gt;=75),0.17,0)+IF(AND(V562&gt;=40,V562&lt;75,W562&lt;25),0.35,0)+IF(AND(V562&gt;=40,V562&lt;75,W562&gt;=25,W562&lt;65),0.25,0)+IF(AND(V562&gt;=40,V562&lt;75,W562&gt;=65,W562&lt;100),0.17,0)+IF(AND(V562&gt;=40,V562&lt;75,W562&gt;=100),0.1,0)+IF(AND(V562&gt;=75,W562&lt;25),0.35,0)+IF(AND(V562&gt;=75,W562&gt;=25,W562&lt;60),0.25,0)+IF(AND(V562&gt;=75,W562&gt;=60,W562&lt;95),0.17,0)+IF(AND(V562&gt;=75,W562&gt;=95),0.1,0),
IF(AF562="DoEVold15",IF(AND(V562&lt;=40,W562&lt;35),0.35,0)+IF(AND(V562&lt;=40,W562&gt;=35,W562&lt;75),0.25,0)+IF(AND(V562&lt;=40,W562&gt;=75,W562&lt;120),0.17,0)+IF(AND(V562&lt;=40,W562&gt;=120),0.15,0)+IF(AND(V562&gt;40,V562&lt;75,W562&lt;25),0.35,0)+IF(AND(V562&gt;=40,V562&lt;75,W562&gt;=25,W562&lt;65),0.25,0)+IF(AND(V562&gt;=40,V562&lt;75,W562&gt;=65,W562&lt;100),0.17,0)+IF(AND(V562&gt;=40,V562&lt;75,W562&gt;=100),0.1,0)+IF(AND(V562&gt;=75,W562&lt;25),0.35,0)+IF(AND(V562&gt;=75,W562&gt;=25,W562&lt;60),0.25,0)+IF(AND(V562&gt;=75,W562&gt;=60,W562&lt;95),0.17,0)+IF(AND(V562&gt;=75,W562&gt;=95),0.1,0),
IF(AF562="DoEVba",IF(AND(V562&lt;20,W562&lt;105),0.2,0)+IF(AND(V562&lt;20,W562&gt;=105),0.15,0)+IF(AND(V562&gt;=20,V562&lt;40,W562&lt;95),0.2,0)+IF(AND(V562&gt;=20,V562&lt;40,W562&gt;=95,W562&lt;150),0.15,0)+IF(AND(V562&gt;=20,V562&lt;40,W562&gt;=150),0.12,0)+IF(AND(V562&gt;=40,V562&lt;75,W562&lt;75),0.2,0)+IF(AND(V562&gt;=40,V562&lt;75,W562&gt;=75,W562&lt;120),0.15,0)+IF(AND(V562&gt;=40,V562&lt;75,W562&gt;=120),0.12,0)+IF(AND(V562&gt;=75,V562&lt;175,W562&lt;65),0.2,0)+IF(AND(V562&gt;=75,V562&lt;175,W562&gt;=65,W562&lt;110),0.15,0)+IF(AND(V562&gt;=75,V562&lt;175,W562&gt;=110),0.12,0)+IF(AND(V562&gt;=175,W562&lt;55),0.2,0)+IF(AND(V562&gt;=175,W562&gt;=55,W562&lt;95),0.15,0)+IF(AND(V562&gt;=175,W562&gt;=95),0.12,0),
IF(AF562="DoEVku",IF(AND(V562&lt;20,W562&lt;55),0.23,0)+IF(AND(V562&lt;20,W562&gt;=55,W562&lt;105),0.2,0)+IF(AND(V562&lt;20,W562&gt;=105),0.17,0)+IF(AND(V562&gt;=20,V562&lt;40,W562&lt;45),0.23,0)+IF(AND(V562&gt;=20,V562&lt;40,W562&gt;=45,W562&lt;95),0.2,0)+IF(AND(V562&gt;=20,V562&lt;40,W562&gt;=95,W562&lt;=150),0.17,0)+IF(AND(V562&gt;=20,V562&lt;40,W562&gt;=150),0.12,0)+IF(AND(V562&gt;=40,V562&lt;75,W562&lt;35),0.23,0)+IF(AND(V562&gt;=40,V562&lt;75,W562&gt;=35,W562&lt;75),0.2,0)+IF(AND(V562&gt;=40,V562&lt;75,W562&gt;=75,W562&lt;120),0.17,0)+IF(AND(V562&gt;=40,V562&lt;75,W562&gt;=120),0.12,0)+IF(AND(V562&gt;=75,V562&lt;175,W562&lt;35),0.23,0)+IF(AND(V562&gt;=75,V562&lt;=175,W562&gt;=35,W562&lt;65),0.2,0)+IF(AND(V562&gt;=75,V562&lt;=175,W562&gt;=65,W562&lt;110),0.17,0)+IF(AND(V562&gt;=75,V562&lt;=175,W562&gt;=110),0.12,0)+IF(AND(V562&gt;175,W562&lt;25),0.23,0)+IF(AND(V562&gt;175,W562&gt;=25,W562&lt;55),0.2,0)+IF(AND(V562&gt;175,W562&gt;=55,W562&lt;95),0.17,0)+IF(AND(V562&gt;175,W562&gt;=95),0.12,0),
IF(AF562="DoEVs1",IF(AND(V562&lt;20,W562&lt;55),0.3,0)+IF(AND(V562&lt;20,W562&gt;=55,W562&lt;105),0.23,0)+IF(AND(V562&lt;20,W562&gt;=105),0.17,0)+IF(AND(V562&gt;=20,V562&lt;40,W562&lt;45),0.3,0)+IF(AND(V562&gt;=20,V562&lt;40,W562&gt;=45,W562&lt;95),0.23,0)+IF(AND(V562&gt;=20,V562&lt;40,W562&gt;=95,W562&lt;=150),0.17,0)+IF(AND(V562&gt;=20,V562&lt;40,W562&gt;=150),0.12,0)+IF(AND(V562&gt;=40,V562&lt;75,W562&lt;35),0.3,0)+IF(AND(V562&gt;=40,V562&lt;75,W562&gt;=35,W562&lt;75),0.23,0)+IF(AND(V562&gt;=40,V562&lt;75,W562&gt;=75,W562&lt;120),0.17,0)+IF(AND(V562&gt;=40,V562&lt;75,W562&gt;=120),0.12,0)+IF(AND(V562&gt;=75,V562&lt;175,W562&lt;35),0.3,0)+IF(AND(V562&gt;=75,V562&lt;=175,W562&gt;=35,W562&lt;65),0.23,0)+IF(AND(V562&gt;=75,V562&lt;=175,W562&gt;=65,W562&lt;110),0.17,0)+IF(AND(V562&gt;=75,V562&lt;=175,W562&gt;=110),0.12,0)+IF(AND(V562&gt;175,W562&lt;25),0.3,0)+IF(AND(V562&gt;175,W562&gt;=25,W562&lt;55),0.23,0)+IF(AND(V562&gt;175,W562&gt;=55,W562&lt;95),0.17,0)+IF(AND(V562&gt;175,W562&gt;=95),0.12,0),
IF(AF562="DoEVsu",IF(AND(V562&lt;20,W562&lt;55),0.3,0)+IF(AND(V562&lt;20,W562&gt;=55,W562&lt;105),0.23,0)+IF(AND(V562&lt;20,W562&gt;=105),0.17,0)+IF(AND(V562&gt;=20,V562&lt;40,W562&lt;45),0.3,0)+IF(AND(V562&gt;=20,V562&lt;40,W562&gt;=45,W562&lt;95),0.23,0)+IF(AND(V562&gt;=20,V562&lt;40,W562&gt;=95,W562&lt;=250),0.17,0)+IF(AND(V562&gt;=20,V562&lt;40,W562&gt;=250),0.12,0)+IF(AND(V562&gt;=40,V562&lt;75,W562&lt;35),0.3,0)+IF(AND(V562&gt;=40,V562&lt;75,W562&gt;=35,W562&lt;75),0.23,0)+IF(AND(V562&gt;=40,V562&lt;75,W562&gt;=75,W562&lt;120),0.17,0)+IF(AND(V562&gt;=40,V562&lt;75,W562&gt;=120),0.12,0)+IF(AND(V562&gt;=75,V562&lt;175,W562&lt;35),0.3,0)+IF(AND(V562&gt;=75,V562&lt;=175,W562&gt;=35,W562&lt;65),0.23,0)+IF(AND(V562&gt;=75,V562&lt;=175,W562&gt;=65,W562&lt;110),0.17,0)+IF(AND(V562&gt;=75,V562&lt;=175,W562&gt;=110),0.12,0)+IF(AND(V562&gt;175,W562&lt;25),0.3,0)+IF(AND(V562&gt;175,W562&gt;=25,W562&lt;55),0.23,0)+IF(AND(V562&gt;175,W562&gt;=55,W562&lt;95),0.17,0)+IF(AND(V562&gt;175,W562&gt;=95),0.12,0),
IF(AF562="DoEVni",IF(AND(V562&lt;20,W562&lt;55),0.3,0)+IF(AND(V562&lt;20,W562&gt;=55,W562&lt;105),0.23,0)+IF(AND(V562&lt;20,W562&gt;=105),0.17,0)+IF(AND(V562&gt;=20,V562&lt;40,W562&lt;45),0.3,0)+IF(AND(V562&gt;=20,V562&lt;40,W562&gt;=45,W562&lt;95),0.23,0)+IF(AND(V562&gt;=20,V562&lt;40,W562&gt;=95,W562&lt;=200),0.17,0)+IF(AND(V562&gt;=20,V562&lt;40,W562&gt;=200),0.12,0)+IF(AND(V562&gt;=40,V562&lt;75,W562&lt;35),0.3,0)+IF(AND(V562&gt;=40,V562&lt;75,W562&gt;=35,W562&lt;75),0.23,0)+IF(AND(V562&gt;=40,V562&lt;75,W562&gt;=75,W562&lt;120),0.17,0)+IF(AND(V562&gt;=40,V562&lt;75,W562&gt;=120),0.12,0)+IF(AND(V562&gt;=75,V562&lt;175,W562&lt;35),0.3,0)+IF(AND(V562&gt;=75,V562&lt;=175,W562&gt;=35,W562&lt;65),0.23,0)+IF(AND(V562&gt;=75,V562&lt;=175,W562&gt;=65,W562&lt;110),0.17,0)+IF(AND(V562&gt;=75,V562&lt;=175,W562&gt;=110),0.12,0)+IF(AND(V562&gt;175,W562&lt;25),0.3,0)+IF(AND(V562&gt;175,W562&gt;=25,W562&lt;55),0.23,0)+IF(AND(V562&gt;175,W562&gt;=55,W562&lt;95),0.17,0)+IF(AND(V562&gt;175,W562&gt;=95),0.12,0),
IF(AF562="DoEVLo",IF(AND(V562&lt;20,W562&lt;55),0.25,0)+IF(AND(V562&lt;20,W562&gt;=55,W562&lt;105),0.2,0)+IF(AND(V562&lt;20,W562&gt;=105),0.15,0)+IF(AND(V562&gt;=20,V562&lt;40,W562&lt;45),0.25,0)+IF(AND(V562&gt;=20,V562&lt;40,W562&gt;=45,W562&lt;95),0.2,0)+IF(AND(V562&gt;=20,V562&lt;40,W562&gt;=95),0.15,0)+IF(AND(V562&gt;=40,V562&lt;75,W562&lt;35),0.25,0)+IF(AND(V562&gt;=40,V562&lt;75,W562&gt;=35,W562&lt;75),0.2,0)+IF(AND(V562&gt;=40,V562&lt;75,W562&gt;=75,W562&lt;120),0.15,0)+IF(AND(V562&gt;=40,V562&lt;75,W562&gt;=120),0.1,0)+IF(AND(V562&gt;=75,V562&lt;175,W562&lt;35),0.25,0)+IF(AND(V562&gt;=75,V562&lt;=175,W562&gt;=35,W562&lt;65),0.2,0)+IF(AND(V562&gt;=75,V562&lt;=175,W562&gt;=65,W562&lt;110),0.15,0)+IF(AND(V562&gt;=75,V562&lt;=175,W562&gt;=110),0.1,0)+IF(AND(V562&gt;175,W562&lt;25),0.25,0)+IF(AND(V562&gt;175,W562&gt;=25,W562&lt;55),0.2,0)+IF(AND(V562&gt;175,W562&gt;=55,W562&lt;95),0.15,0)+IF(AND(V562&gt;175,W562&gt;=95),0.1,0)))))))))))))))))</f>
        <v>0.3</v>
      </c>
      <c r="Y562" s="30">
        <f>IF(AG562="None",0,IF(AG562="Fix5",0.05, IF(AG562="Fix6.25",0.0625,IF(AG562="Fix3.75",0.0375,IF(AG562="Fix10",0.1,IF(AG562="Fix3",0.03,0))))))</f>
        <v>0</v>
      </c>
      <c r="Z562" s="35">
        <f>T562-AA562-AB562</f>
        <v>-166.55099999999999</v>
      </c>
      <c r="AA562" s="29">
        <f>IF(AD562="EUR",((T562-R562)*X562)*U562+(R562*X562),(T562*X562))</f>
        <v>-71.378999999999976</v>
      </c>
      <c r="AB562" s="36">
        <f>IF(AD562="EUR",((T562-R562)*Y562)*U562+(R562*Y562),(T562*Y562))</f>
        <v>0</v>
      </c>
      <c r="AC562" s="37" t="b">
        <v>1</v>
      </c>
      <c r="AD562" s="37" t="s">
        <v>38</v>
      </c>
      <c r="AE562" s="37" t="s">
        <v>38</v>
      </c>
      <c r="AF562" s="37" t="str">
        <f t="array" ref="AF562">INDEX('Deal Info'!D:D, MATCH(A562,'Deal Info'!A:A, 0))</f>
        <v>DoEV</v>
      </c>
      <c r="AG562" s="38" t="str">
        <f t="array" ref="AG562">INDEX('Deal Info'!G:G, MATCH(A562,'Deal Info'!A:A, 0))</f>
        <v>None</v>
      </c>
    </row>
    <row r="563" spans="1:33" ht="14.25" hidden="1" x14ac:dyDescent="0.2">
      <c r="A563" s="18" t="str">
        <f t="array" ref="A563">IF(G563='Room Info'!$B$1, INDEX('Room Info'!$A$2:$A2446, MATCH(B563,'Room Info'!$B$2:$B2446, 0)),IF(G563='Room Info'!$C$1, INDEX('Room Info'!$A$2:$A2446, MATCH(B563,'Room Info'!$C$2:$C2446, 0)),IF(G563='Room Info'!$D$1, INDEX('Room Info'!$A$2:$A2446, MATCH(B563,'Room Info'!$D$2:$D2446, 0)),IF(G563='Room Info'!$E$1, INDEX('Room Info'!$A$2:$A2446, MATCH(B563,'Room Info'!$E$2:$E2446, 0)),IF(G563='Room Info'!$F$1, INDEX('Room Info'!$A$2:$A2446, MATCH(B563,'Room Info'!$F$2:$F2446, 0)),IF(G563='Room Info'!$H$1, INDEX('Room Info'!$A$2:$A2446, MATCH(B563,'Room Info'!$H$2:$H2446, 0)),IF(G563='Room Info'!$G$1, INDEX('Room Info'!$A$2:$A2446, MATCH(B563,'Room Info'!$G$2:$G2446, 0)))))))))</f>
        <v>dimandmb1</v>
      </c>
      <c r="B563" s="54" t="s">
        <v>150</v>
      </c>
      <c r="C563" s="46">
        <v>44835</v>
      </c>
      <c r="D563" s="46">
        <v>44865</v>
      </c>
      <c r="E563" s="47">
        <v>44835</v>
      </c>
      <c r="F563" s="48" t="s">
        <v>41</v>
      </c>
      <c r="G563" s="54" t="s">
        <v>53</v>
      </c>
      <c r="H563" s="49" t="s">
        <v>59</v>
      </c>
      <c r="I563" s="49" t="s">
        <v>37</v>
      </c>
      <c r="J563" s="50">
        <v>100</v>
      </c>
      <c r="K563" s="51">
        <v>9</v>
      </c>
      <c r="L563" s="52">
        <v>-57.99</v>
      </c>
      <c r="M563" s="53">
        <v>32</v>
      </c>
      <c r="N563" s="28">
        <f>K563*J563</f>
        <v>900</v>
      </c>
      <c r="O563" s="65"/>
      <c r="P563" s="29">
        <v>0</v>
      </c>
      <c r="Q563" s="103"/>
      <c r="R563" s="31">
        <f>M563+Q563</f>
        <v>32</v>
      </c>
      <c r="S563" s="66"/>
      <c r="T563" s="32">
        <f>R563+S563+IF(F563="Without EV deal",L563,0)</f>
        <v>-25.990000000000002</v>
      </c>
      <c r="U563" s="57">
        <v>1</v>
      </c>
      <c r="V563" s="58">
        <v>13</v>
      </c>
      <c r="W563" s="58">
        <v>4</v>
      </c>
      <c r="X563" s="30">
        <f>IF(AF563="DoEV",IF(AND(V563&lt;20,W563&lt;55),0.3,0)+IF(AND(V563&lt;20,W563&gt;=55,W563&lt;105),0.23,0)+IF(AND(V563&lt;20,W563&gt;=105),0.17,0)+IF(AND(V563&gt;=20,V563&lt;40,W563&lt;45),0.3,0)+IF(AND(V563&gt;=20,V563&lt;40,W563&gt;=45,W563&lt;95),0.23,0)+IF(AND(V563&gt;=20,V563&lt;40,W563&gt;=95),0.17,0)+IF(AND(V563&gt;=40,V563&lt;75,W563&lt;35),0.3,0)+IF(AND(V563&gt;=40,V563&lt;75,W563&gt;=35,W563&lt;75),0.23,0)+IF(AND(V563&gt;=40,V563&lt;75,W563&gt;=75,W563&lt;120),0.17,0)+IF(AND(V563&gt;=40,V563&lt;75,W563&gt;=120),0.12,0)+IF(AND(V563&gt;=75,V563&lt;175,W563&lt;35),0.3,0)+IF(AND(V563&gt;=75,V563&lt;=175,W563&gt;=35,W563&lt;65),0.23,0)+IF(AND(V563&gt;=75,V563&lt;=175,W563&gt;=65,W563&lt;110),0.17,0)+IF(AND(V563&gt;=75,V563&lt;=175,W563&gt;=110),0.12,0)+IF(AND(V563&gt;175,W563&lt;25),0.3,0)+IF(AND(V563&gt;175,W563&gt;=25,W563&lt;55),0.23,0)+IF(AND(V563&gt;175,W563&gt;=55,W563&lt;95),0.17,0)+IF(AND(V563&gt;175,W563&gt;=95),0.12,0),
IF(AF563="Fix15",0.15,
IF(AF563="Fix18.75",0.1875,
IF(AF563="Fix11.25",0.1125,
IF(AF563="Fix10",0.1,
IF(AF563="Fix9",0.09,
IF(AF563="DoEV2017",IF(AND(W563&lt;74),0.2,0)+IF(AND(W563&gt;=74),0.17,0),
IF(AF563="SF",IF(AND(V563&lt;20,W563&lt;89),0.3,0)+IF(AND(V563&lt;20,W563&gt;=89),0.25,0)+IF(AND(V563&gt;=20,V563&lt;40,W563&lt;74),0.3,0)+IF(AND(V563&gt;=20,V563&lt;40,W563&gt;=75),0.22,0)+IF(AND(V563&gt;=40,V563&lt;75,W563&lt;75),0.26,0)+IF(AND(V563&gt;=40,V563&lt;75,W563&gt;=75),0.22,0)+IF(V563&gt;=75,0.22,0),
IF(AF563="DoEVold",IF(AND(V563&lt;40,W563&lt;35),0.35,0)+IF(AND(V563&lt;40,W563&gt;=35,W563&lt;75),0.25,0)+IF(AND(V563&lt;40,W563&gt;=75),0.17,0)+IF(AND(V563&gt;=40,V563&lt;75,W563&lt;25),0.35,0)+IF(AND(V563&gt;=40,V563&lt;75,W563&gt;=25,W563&lt;65),0.25,0)+IF(AND(V563&gt;=40,V563&lt;75,W563&gt;=65,W563&lt;100),0.17,0)+IF(AND(V563&gt;=40,V563&lt;75,W563&gt;=100),0.1,0)+IF(AND(V563&gt;=75,W563&lt;25),0.35,0)+IF(AND(V563&gt;=75,W563&gt;=25,W563&lt;60),0.25,0)+IF(AND(V563&gt;=75,W563&gt;=60,W563&lt;95),0.17,0)+IF(AND(V563&gt;=75,W563&gt;=95),0.1,0),
IF(AF563="DoEVold15",IF(AND(V563&lt;=40,W563&lt;35),0.35,0)+IF(AND(V563&lt;=40,W563&gt;=35,W563&lt;75),0.25,0)+IF(AND(V563&lt;=40,W563&gt;=75,W563&lt;120),0.17,0)+IF(AND(V563&lt;=40,W563&gt;=120),0.15,0)+IF(AND(V563&gt;40,V563&lt;75,W563&lt;25),0.35,0)+IF(AND(V563&gt;=40,V563&lt;75,W563&gt;=25,W563&lt;65),0.25,0)+IF(AND(V563&gt;=40,V563&lt;75,W563&gt;=65,W563&lt;100),0.17,0)+IF(AND(V563&gt;=40,V563&lt;75,W563&gt;=100),0.1,0)+IF(AND(V563&gt;=75,W563&lt;25),0.35,0)+IF(AND(V563&gt;=75,W563&gt;=25,W563&lt;60),0.25,0)+IF(AND(V563&gt;=75,W563&gt;=60,W563&lt;95),0.17,0)+IF(AND(V563&gt;=75,W563&gt;=95),0.1,0),
IF(AF563="DoEVba",IF(AND(V563&lt;20,W563&lt;105),0.2,0)+IF(AND(V563&lt;20,W563&gt;=105),0.15,0)+IF(AND(V563&gt;=20,V563&lt;40,W563&lt;95),0.2,0)+IF(AND(V563&gt;=20,V563&lt;40,W563&gt;=95,W563&lt;150),0.15,0)+IF(AND(V563&gt;=20,V563&lt;40,W563&gt;=150),0.12,0)+IF(AND(V563&gt;=40,V563&lt;75,W563&lt;75),0.2,0)+IF(AND(V563&gt;=40,V563&lt;75,W563&gt;=75,W563&lt;120),0.15,0)+IF(AND(V563&gt;=40,V563&lt;75,W563&gt;=120),0.12,0)+IF(AND(V563&gt;=75,V563&lt;175,W563&lt;65),0.2,0)+IF(AND(V563&gt;=75,V563&lt;175,W563&gt;=65,W563&lt;110),0.15,0)+IF(AND(V563&gt;=75,V563&lt;175,W563&gt;=110),0.12,0)+IF(AND(V563&gt;=175,W563&lt;55),0.2,0)+IF(AND(V563&gt;=175,W563&gt;=55,W563&lt;95),0.15,0)+IF(AND(V563&gt;=175,W563&gt;=95),0.12,0),
IF(AF563="DoEVku",IF(AND(V563&lt;20,W563&lt;55),0.23,0)+IF(AND(V563&lt;20,W563&gt;=55,W563&lt;105),0.2,0)+IF(AND(V563&lt;20,W563&gt;=105),0.17,0)+IF(AND(V563&gt;=20,V563&lt;40,W563&lt;45),0.23,0)+IF(AND(V563&gt;=20,V563&lt;40,W563&gt;=45,W563&lt;95),0.2,0)+IF(AND(V563&gt;=20,V563&lt;40,W563&gt;=95,W563&lt;=150),0.17,0)+IF(AND(V563&gt;=20,V563&lt;40,W563&gt;=150),0.12,0)+IF(AND(V563&gt;=40,V563&lt;75,W563&lt;35),0.23,0)+IF(AND(V563&gt;=40,V563&lt;75,W563&gt;=35,W563&lt;75),0.2,0)+IF(AND(V563&gt;=40,V563&lt;75,W563&gt;=75,W563&lt;120),0.17,0)+IF(AND(V563&gt;=40,V563&lt;75,W563&gt;=120),0.12,0)+IF(AND(V563&gt;=75,V563&lt;175,W563&lt;35),0.23,0)+IF(AND(V563&gt;=75,V563&lt;=175,W563&gt;=35,W563&lt;65),0.2,0)+IF(AND(V563&gt;=75,V563&lt;=175,W563&gt;=65,W563&lt;110),0.17,0)+IF(AND(V563&gt;=75,V563&lt;=175,W563&gt;=110),0.12,0)+IF(AND(V563&gt;175,W563&lt;25),0.23,0)+IF(AND(V563&gt;175,W563&gt;=25,W563&lt;55),0.2,0)+IF(AND(V563&gt;175,W563&gt;=55,W563&lt;95),0.17,0)+IF(AND(V563&gt;175,W563&gt;=95),0.12,0),
IF(AF563="DoEVs1",IF(AND(V563&lt;20,W563&lt;55),0.3,0)+IF(AND(V563&lt;20,W563&gt;=55,W563&lt;105),0.23,0)+IF(AND(V563&lt;20,W563&gt;=105),0.17,0)+IF(AND(V563&gt;=20,V563&lt;40,W563&lt;45),0.3,0)+IF(AND(V563&gt;=20,V563&lt;40,W563&gt;=45,W563&lt;95),0.23,0)+IF(AND(V563&gt;=20,V563&lt;40,W563&gt;=95,W563&lt;=150),0.17,0)+IF(AND(V563&gt;=20,V563&lt;40,W563&gt;=150),0.12,0)+IF(AND(V563&gt;=40,V563&lt;75,W563&lt;35),0.3,0)+IF(AND(V563&gt;=40,V563&lt;75,W563&gt;=35,W563&lt;75),0.23,0)+IF(AND(V563&gt;=40,V563&lt;75,W563&gt;=75,W563&lt;120),0.17,0)+IF(AND(V563&gt;=40,V563&lt;75,W563&gt;=120),0.12,0)+IF(AND(V563&gt;=75,V563&lt;175,W563&lt;35),0.3,0)+IF(AND(V563&gt;=75,V563&lt;=175,W563&gt;=35,W563&lt;65),0.23,0)+IF(AND(V563&gt;=75,V563&lt;=175,W563&gt;=65,W563&lt;110),0.17,0)+IF(AND(V563&gt;=75,V563&lt;=175,W563&gt;=110),0.12,0)+IF(AND(V563&gt;175,W563&lt;25),0.3,0)+IF(AND(V563&gt;175,W563&gt;=25,W563&lt;55),0.23,0)+IF(AND(V563&gt;175,W563&gt;=55,W563&lt;95),0.17,0)+IF(AND(V563&gt;175,W563&gt;=95),0.12,0),
IF(AF563="DoEVsu",IF(AND(V563&lt;20,W563&lt;55),0.3,0)+IF(AND(V563&lt;20,W563&gt;=55,W563&lt;105),0.23,0)+IF(AND(V563&lt;20,W563&gt;=105),0.17,0)+IF(AND(V563&gt;=20,V563&lt;40,W563&lt;45),0.3,0)+IF(AND(V563&gt;=20,V563&lt;40,W563&gt;=45,W563&lt;95),0.23,0)+IF(AND(V563&gt;=20,V563&lt;40,W563&gt;=95,W563&lt;=250),0.17,0)+IF(AND(V563&gt;=20,V563&lt;40,W563&gt;=250),0.12,0)+IF(AND(V563&gt;=40,V563&lt;75,W563&lt;35),0.3,0)+IF(AND(V563&gt;=40,V563&lt;75,W563&gt;=35,W563&lt;75),0.23,0)+IF(AND(V563&gt;=40,V563&lt;75,W563&gt;=75,W563&lt;120),0.17,0)+IF(AND(V563&gt;=40,V563&lt;75,W563&gt;=120),0.12,0)+IF(AND(V563&gt;=75,V563&lt;175,W563&lt;35),0.3,0)+IF(AND(V563&gt;=75,V563&lt;=175,W563&gt;=35,W563&lt;65),0.23,0)+IF(AND(V563&gt;=75,V563&lt;=175,W563&gt;=65,W563&lt;110),0.17,0)+IF(AND(V563&gt;=75,V563&lt;=175,W563&gt;=110),0.12,0)+IF(AND(V563&gt;175,W563&lt;25),0.3,0)+IF(AND(V563&gt;175,W563&gt;=25,W563&lt;55),0.23,0)+IF(AND(V563&gt;175,W563&gt;=55,W563&lt;95),0.17,0)+IF(AND(V563&gt;175,W563&gt;=95),0.12,0),
IF(AF563="DoEVni",IF(AND(V563&lt;20,W563&lt;55),0.3,0)+IF(AND(V563&lt;20,W563&gt;=55,W563&lt;105),0.23,0)+IF(AND(V563&lt;20,W563&gt;=105),0.17,0)+IF(AND(V563&gt;=20,V563&lt;40,W563&lt;45),0.3,0)+IF(AND(V563&gt;=20,V563&lt;40,W563&gt;=45,W563&lt;95),0.23,0)+IF(AND(V563&gt;=20,V563&lt;40,W563&gt;=95,W563&lt;=200),0.17,0)+IF(AND(V563&gt;=20,V563&lt;40,W563&gt;=200),0.12,0)+IF(AND(V563&gt;=40,V563&lt;75,W563&lt;35),0.3,0)+IF(AND(V563&gt;=40,V563&lt;75,W563&gt;=35,W563&lt;75),0.23,0)+IF(AND(V563&gt;=40,V563&lt;75,W563&gt;=75,W563&lt;120),0.17,0)+IF(AND(V563&gt;=40,V563&lt;75,W563&gt;=120),0.12,0)+IF(AND(V563&gt;=75,V563&lt;175,W563&lt;35),0.3,0)+IF(AND(V563&gt;=75,V563&lt;=175,W563&gt;=35,W563&lt;65),0.23,0)+IF(AND(V563&gt;=75,V563&lt;=175,W563&gt;=65,W563&lt;110),0.17,0)+IF(AND(V563&gt;=75,V563&lt;=175,W563&gt;=110),0.12,0)+IF(AND(V563&gt;175,W563&lt;25),0.3,0)+IF(AND(V563&gt;175,W563&gt;=25,W563&lt;55),0.23,0)+IF(AND(V563&gt;175,W563&gt;=55,W563&lt;95),0.17,0)+IF(AND(V563&gt;175,W563&gt;=95),0.12,0),
IF(AF563="DoEVLo",IF(AND(V563&lt;20,W563&lt;55),0.25,0)+IF(AND(V563&lt;20,W563&gt;=55,W563&lt;105),0.2,0)+IF(AND(V563&lt;20,W563&gt;=105),0.15,0)+IF(AND(V563&gt;=20,V563&lt;40,W563&lt;45),0.25,0)+IF(AND(V563&gt;=20,V563&lt;40,W563&gt;=45,W563&lt;95),0.2,0)+IF(AND(V563&gt;=20,V563&lt;40,W563&gt;=95),0.15,0)+IF(AND(V563&gt;=40,V563&lt;75,W563&lt;35),0.25,0)+IF(AND(V563&gt;=40,V563&lt;75,W563&gt;=35,W563&lt;75),0.2,0)+IF(AND(V563&gt;=40,V563&lt;75,W563&gt;=75,W563&lt;120),0.15,0)+IF(AND(V563&gt;=40,V563&lt;75,W563&gt;=120),0.1,0)+IF(AND(V563&gt;=75,V563&lt;175,W563&lt;35),0.25,0)+IF(AND(V563&gt;=75,V563&lt;=175,W563&gt;=35,W563&lt;65),0.2,0)+IF(AND(V563&gt;=75,V563&lt;=175,W563&gt;=65,W563&lt;110),0.15,0)+IF(AND(V563&gt;=75,V563&lt;=175,W563&gt;=110),0.1,0)+IF(AND(V563&gt;175,W563&lt;25),0.25,0)+IF(AND(V563&gt;175,W563&gt;=25,W563&lt;55),0.2,0)+IF(AND(V563&gt;175,W563&gt;=55,W563&lt;95),0.15,0)+IF(AND(V563&gt;175,W563&gt;=95),0.1,0)))))))))))))))))</f>
        <v>0.3</v>
      </c>
      <c r="Y563" s="30">
        <f>IF(AG563="None",0,IF(AG563="Fix5",0.05, IF(AG563="Fix6.25",0.0625,IF(AG563="Fix3.75",0.0375,IF(AG563="Fix10",0.1,IF(AG563="Fix3",0.03,0))))))</f>
        <v>0</v>
      </c>
      <c r="Z563" s="35">
        <f>T563-AA563-AB563</f>
        <v>-18.193000000000001</v>
      </c>
      <c r="AA563" s="29">
        <f>IF(AD563="EUR",((T563-R563)*X563)*U563+(R563*X563),(T563*X563))</f>
        <v>-7.7970000000000006</v>
      </c>
      <c r="AB563" s="36">
        <f>IF(AD563="EUR",((T563-R563)*Y563)*U563+(R563*Y563),(T563*Y563))</f>
        <v>0</v>
      </c>
      <c r="AC563" s="37" t="b">
        <v>1</v>
      </c>
      <c r="AD563" s="37" t="s">
        <v>38</v>
      </c>
      <c r="AE563" s="37" t="s">
        <v>38</v>
      </c>
      <c r="AF563" s="37" t="str">
        <f t="array" ref="AF563">INDEX('Deal Info'!D:D, MATCH(A563,'Deal Info'!A:A, 0))</f>
        <v>DoEV</v>
      </c>
      <c r="AG563" s="38" t="str">
        <f t="array" ref="AG563">INDEX('Deal Info'!G:G, MATCH(A563,'Deal Info'!A:A, 0))</f>
        <v>None</v>
      </c>
    </row>
    <row r="564" spans="1:33" ht="14.25" hidden="1" x14ac:dyDescent="0.2">
      <c r="A564" s="18" t="str">
        <f t="array" ref="A564">IF(G564='Room Info'!$B$1, INDEX('Room Info'!$A$2:$A2446, MATCH(B564,'Room Info'!$B$2:$B2446, 0)),IF(G564='Room Info'!$C$1, INDEX('Room Info'!$A$2:$A2446, MATCH(B564,'Room Info'!$C$2:$C2446, 0)),IF(G564='Room Info'!$D$1, INDEX('Room Info'!$A$2:$A2446, MATCH(B564,'Room Info'!$D$2:$D2446, 0)),IF(G564='Room Info'!$E$1, INDEX('Room Info'!$A$2:$A2446, MATCH(B564,'Room Info'!$E$2:$E2446, 0)),IF(G564='Room Info'!$F$1, INDEX('Room Info'!$A$2:$A2446, MATCH(B564,'Room Info'!$F$2:$F2446, 0)),IF(G564='Room Info'!$H$1, INDEX('Room Info'!$A$2:$A2446, MATCH(B564,'Room Info'!$H$2:$H2446, 0)),IF(G564='Room Info'!$G$1, INDEX('Room Info'!$A$2:$A2446, MATCH(B564,'Room Info'!$G$2:$G2446, 0)))))))))</f>
        <v>dimandmb1</v>
      </c>
      <c r="B564" s="54" t="s">
        <v>150</v>
      </c>
      <c r="C564" s="46">
        <v>44866</v>
      </c>
      <c r="D564" s="46">
        <v>44895</v>
      </c>
      <c r="E564" s="47">
        <v>44866</v>
      </c>
      <c r="F564" s="48" t="s">
        <v>41</v>
      </c>
      <c r="G564" s="54" t="s">
        <v>53</v>
      </c>
      <c r="H564" s="49" t="s">
        <v>54</v>
      </c>
      <c r="I564" s="49" t="s">
        <v>37</v>
      </c>
      <c r="J564" s="50">
        <v>5</v>
      </c>
      <c r="K564" s="51">
        <v>2302</v>
      </c>
      <c r="L564" s="52">
        <v>130.87</v>
      </c>
      <c r="M564" s="53">
        <v>403</v>
      </c>
      <c r="N564" s="28">
        <f>K564*J564</f>
        <v>11510</v>
      </c>
      <c r="O564" s="65"/>
      <c r="P564" s="29">
        <v>0</v>
      </c>
      <c r="Q564" s="103"/>
      <c r="R564" s="31">
        <f>M564+Q564</f>
        <v>403</v>
      </c>
      <c r="S564" s="66"/>
      <c r="T564" s="32">
        <f>R564+S564+IF(F564="Without EV deal",L564,0)</f>
        <v>533.87</v>
      </c>
      <c r="U564" s="57">
        <v>1</v>
      </c>
      <c r="V564" s="58">
        <v>13</v>
      </c>
      <c r="W564" s="58">
        <v>4</v>
      </c>
      <c r="X564" s="30">
        <f>IF(AF564="DoEV",IF(AND(V564&lt;20,W564&lt;55),0.3,0)+IF(AND(V564&lt;20,W564&gt;=55,W564&lt;105),0.23,0)+IF(AND(V564&lt;20,W564&gt;=105),0.17,0)+IF(AND(V564&gt;=20,V564&lt;40,W564&lt;45),0.3,0)+IF(AND(V564&gt;=20,V564&lt;40,W564&gt;=45,W564&lt;95),0.23,0)+IF(AND(V564&gt;=20,V564&lt;40,W564&gt;=95),0.17,0)+IF(AND(V564&gt;=40,V564&lt;75,W564&lt;35),0.3,0)+IF(AND(V564&gt;=40,V564&lt;75,W564&gt;=35,W564&lt;75),0.23,0)+IF(AND(V564&gt;=40,V564&lt;75,W564&gt;=75,W564&lt;120),0.17,0)+IF(AND(V564&gt;=40,V564&lt;75,W564&gt;=120),0.12,0)+IF(AND(V564&gt;=75,V564&lt;175,W564&lt;35),0.3,0)+IF(AND(V564&gt;=75,V564&lt;=175,W564&gt;=35,W564&lt;65),0.23,0)+IF(AND(V564&gt;=75,V564&lt;=175,W564&gt;=65,W564&lt;110),0.17,0)+IF(AND(V564&gt;=75,V564&lt;=175,W564&gt;=110),0.12,0)+IF(AND(V564&gt;175,W564&lt;25),0.3,0)+IF(AND(V564&gt;175,W564&gt;=25,W564&lt;55),0.23,0)+IF(AND(V564&gt;175,W564&gt;=55,W564&lt;95),0.17,0)+IF(AND(V564&gt;175,W564&gt;=95),0.12,0),
IF(AF564="Fix15",0.15,
IF(AF564="Fix18.75",0.1875,
IF(AF564="Fix11.25",0.1125,
IF(AF564="Fix10",0.1,
IF(AF564="Fix9",0.09,
IF(AF564="DoEV2017",IF(AND(W564&lt;74),0.2,0)+IF(AND(W564&gt;=74),0.17,0),
IF(AF564="SF",IF(AND(V564&lt;20,W564&lt;89),0.3,0)+IF(AND(V564&lt;20,W564&gt;=89),0.25,0)+IF(AND(V564&gt;=20,V564&lt;40,W564&lt;74),0.3,0)+IF(AND(V564&gt;=20,V564&lt;40,W564&gt;=75),0.22,0)+IF(AND(V564&gt;=40,V564&lt;75,W564&lt;75),0.26,0)+IF(AND(V564&gt;=40,V564&lt;75,W564&gt;=75),0.22,0)+IF(V564&gt;=75,0.22,0),
IF(AF564="DoEVold",IF(AND(V564&lt;40,W564&lt;35),0.35,0)+IF(AND(V564&lt;40,W564&gt;=35,W564&lt;75),0.25,0)+IF(AND(V564&lt;40,W564&gt;=75),0.17,0)+IF(AND(V564&gt;=40,V564&lt;75,W564&lt;25),0.35,0)+IF(AND(V564&gt;=40,V564&lt;75,W564&gt;=25,W564&lt;65),0.25,0)+IF(AND(V564&gt;=40,V564&lt;75,W564&gt;=65,W564&lt;100),0.17,0)+IF(AND(V564&gt;=40,V564&lt;75,W564&gt;=100),0.1,0)+IF(AND(V564&gt;=75,W564&lt;25),0.35,0)+IF(AND(V564&gt;=75,W564&gt;=25,W564&lt;60),0.25,0)+IF(AND(V564&gt;=75,W564&gt;=60,W564&lt;95),0.17,0)+IF(AND(V564&gt;=75,W564&gt;=95),0.1,0),
IF(AF564="DoEVold15",IF(AND(V564&lt;=40,W564&lt;35),0.35,0)+IF(AND(V564&lt;=40,W564&gt;=35,W564&lt;75),0.25,0)+IF(AND(V564&lt;=40,W564&gt;=75,W564&lt;120),0.17,0)+IF(AND(V564&lt;=40,W564&gt;=120),0.15,0)+IF(AND(V564&gt;40,V564&lt;75,W564&lt;25),0.35,0)+IF(AND(V564&gt;=40,V564&lt;75,W564&gt;=25,W564&lt;65),0.25,0)+IF(AND(V564&gt;=40,V564&lt;75,W564&gt;=65,W564&lt;100),0.17,0)+IF(AND(V564&gt;=40,V564&lt;75,W564&gt;=100),0.1,0)+IF(AND(V564&gt;=75,W564&lt;25),0.35,0)+IF(AND(V564&gt;=75,W564&gt;=25,W564&lt;60),0.25,0)+IF(AND(V564&gt;=75,W564&gt;=60,W564&lt;95),0.17,0)+IF(AND(V564&gt;=75,W564&gt;=95),0.1,0),
IF(AF564="DoEVba",IF(AND(V564&lt;20,W564&lt;105),0.2,0)+IF(AND(V564&lt;20,W564&gt;=105),0.15,0)+IF(AND(V564&gt;=20,V564&lt;40,W564&lt;95),0.2,0)+IF(AND(V564&gt;=20,V564&lt;40,W564&gt;=95,W564&lt;150),0.15,0)+IF(AND(V564&gt;=20,V564&lt;40,W564&gt;=150),0.12,0)+IF(AND(V564&gt;=40,V564&lt;75,W564&lt;75),0.2,0)+IF(AND(V564&gt;=40,V564&lt;75,W564&gt;=75,W564&lt;120),0.15,0)+IF(AND(V564&gt;=40,V564&lt;75,W564&gt;=120),0.12,0)+IF(AND(V564&gt;=75,V564&lt;175,W564&lt;65),0.2,0)+IF(AND(V564&gt;=75,V564&lt;175,W564&gt;=65,W564&lt;110),0.15,0)+IF(AND(V564&gt;=75,V564&lt;175,W564&gt;=110),0.12,0)+IF(AND(V564&gt;=175,W564&lt;55),0.2,0)+IF(AND(V564&gt;=175,W564&gt;=55,W564&lt;95),0.15,0)+IF(AND(V564&gt;=175,W564&gt;=95),0.12,0),
IF(AF564="DoEVku",IF(AND(V564&lt;20,W564&lt;55),0.23,0)+IF(AND(V564&lt;20,W564&gt;=55,W564&lt;105),0.2,0)+IF(AND(V564&lt;20,W564&gt;=105),0.17,0)+IF(AND(V564&gt;=20,V564&lt;40,W564&lt;45),0.23,0)+IF(AND(V564&gt;=20,V564&lt;40,W564&gt;=45,W564&lt;95),0.2,0)+IF(AND(V564&gt;=20,V564&lt;40,W564&gt;=95,W564&lt;=150),0.17,0)+IF(AND(V564&gt;=20,V564&lt;40,W564&gt;=150),0.12,0)+IF(AND(V564&gt;=40,V564&lt;75,W564&lt;35),0.23,0)+IF(AND(V564&gt;=40,V564&lt;75,W564&gt;=35,W564&lt;75),0.2,0)+IF(AND(V564&gt;=40,V564&lt;75,W564&gt;=75,W564&lt;120),0.17,0)+IF(AND(V564&gt;=40,V564&lt;75,W564&gt;=120),0.12,0)+IF(AND(V564&gt;=75,V564&lt;175,W564&lt;35),0.23,0)+IF(AND(V564&gt;=75,V564&lt;=175,W564&gt;=35,W564&lt;65),0.2,0)+IF(AND(V564&gt;=75,V564&lt;=175,W564&gt;=65,W564&lt;110),0.17,0)+IF(AND(V564&gt;=75,V564&lt;=175,W564&gt;=110),0.12,0)+IF(AND(V564&gt;175,W564&lt;25),0.23,0)+IF(AND(V564&gt;175,W564&gt;=25,W564&lt;55),0.2,0)+IF(AND(V564&gt;175,W564&gt;=55,W564&lt;95),0.17,0)+IF(AND(V564&gt;175,W564&gt;=95),0.12,0),
IF(AF564="DoEVs1",IF(AND(V564&lt;20,W564&lt;55),0.3,0)+IF(AND(V564&lt;20,W564&gt;=55,W564&lt;105),0.23,0)+IF(AND(V564&lt;20,W564&gt;=105),0.17,0)+IF(AND(V564&gt;=20,V564&lt;40,W564&lt;45),0.3,0)+IF(AND(V564&gt;=20,V564&lt;40,W564&gt;=45,W564&lt;95),0.23,0)+IF(AND(V564&gt;=20,V564&lt;40,W564&gt;=95,W564&lt;=150),0.17,0)+IF(AND(V564&gt;=20,V564&lt;40,W564&gt;=150),0.12,0)+IF(AND(V564&gt;=40,V564&lt;75,W564&lt;35),0.3,0)+IF(AND(V564&gt;=40,V564&lt;75,W564&gt;=35,W564&lt;75),0.23,0)+IF(AND(V564&gt;=40,V564&lt;75,W564&gt;=75,W564&lt;120),0.17,0)+IF(AND(V564&gt;=40,V564&lt;75,W564&gt;=120),0.12,0)+IF(AND(V564&gt;=75,V564&lt;175,W564&lt;35),0.3,0)+IF(AND(V564&gt;=75,V564&lt;=175,W564&gt;=35,W564&lt;65),0.23,0)+IF(AND(V564&gt;=75,V564&lt;=175,W564&gt;=65,W564&lt;110),0.17,0)+IF(AND(V564&gt;=75,V564&lt;=175,W564&gt;=110),0.12,0)+IF(AND(V564&gt;175,W564&lt;25),0.3,0)+IF(AND(V564&gt;175,W564&gt;=25,W564&lt;55),0.23,0)+IF(AND(V564&gt;175,W564&gt;=55,W564&lt;95),0.17,0)+IF(AND(V564&gt;175,W564&gt;=95),0.12,0),
IF(AF564="DoEVsu",IF(AND(V564&lt;20,W564&lt;55),0.3,0)+IF(AND(V564&lt;20,W564&gt;=55,W564&lt;105),0.23,0)+IF(AND(V564&lt;20,W564&gt;=105),0.17,0)+IF(AND(V564&gt;=20,V564&lt;40,W564&lt;45),0.3,0)+IF(AND(V564&gt;=20,V564&lt;40,W564&gt;=45,W564&lt;95),0.23,0)+IF(AND(V564&gt;=20,V564&lt;40,W564&gt;=95,W564&lt;=250),0.17,0)+IF(AND(V564&gt;=20,V564&lt;40,W564&gt;=250),0.12,0)+IF(AND(V564&gt;=40,V564&lt;75,W564&lt;35),0.3,0)+IF(AND(V564&gt;=40,V564&lt;75,W564&gt;=35,W564&lt;75),0.23,0)+IF(AND(V564&gt;=40,V564&lt;75,W564&gt;=75,W564&lt;120),0.17,0)+IF(AND(V564&gt;=40,V564&lt;75,W564&gt;=120),0.12,0)+IF(AND(V564&gt;=75,V564&lt;175,W564&lt;35),0.3,0)+IF(AND(V564&gt;=75,V564&lt;=175,W564&gt;=35,W564&lt;65),0.23,0)+IF(AND(V564&gt;=75,V564&lt;=175,W564&gt;=65,W564&lt;110),0.17,0)+IF(AND(V564&gt;=75,V564&lt;=175,W564&gt;=110),0.12,0)+IF(AND(V564&gt;175,W564&lt;25),0.3,0)+IF(AND(V564&gt;175,W564&gt;=25,W564&lt;55),0.23,0)+IF(AND(V564&gt;175,W564&gt;=55,W564&lt;95),0.17,0)+IF(AND(V564&gt;175,W564&gt;=95),0.12,0),
IF(AF564="DoEVni",IF(AND(V564&lt;20,W564&lt;55),0.3,0)+IF(AND(V564&lt;20,W564&gt;=55,W564&lt;105),0.23,0)+IF(AND(V564&lt;20,W564&gt;=105),0.17,0)+IF(AND(V564&gt;=20,V564&lt;40,W564&lt;45),0.3,0)+IF(AND(V564&gt;=20,V564&lt;40,W564&gt;=45,W564&lt;95),0.23,0)+IF(AND(V564&gt;=20,V564&lt;40,W564&gt;=95,W564&lt;=200),0.17,0)+IF(AND(V564&gt;=20,V564&lt;40,W564&gt;=200),0.12,0)+IF(AND(V564&gt;=40,V564&lt;75,W564&lt;35),0.3,0)+IF(AND(V564&gt;=40,V564&lt;75,W564&gt;=35,W564&lt;75),0.23,0)+IF(AND(V564&gt;=40,V564&lt;75,W564&gt;=75,W564&lt;120),0.17,0)+IF(AND(V564&gt;=40,V564&lt;75,W564&gt;=120),0.12,0)+IF(AND(V564&gt;=75,V564&lt;175,W564&lt;35),0.3,0)+IF(AND(V564&gt;=75,V564&lt;=175,W564&gt;=35,W564&lt;65),0.23,0)+IF(AND(V564&gt;=75,V564&lt;=175,W564&gt;=65,W564&lt;110),0.17,0)+IF(AND(V564&gt;=75,V564&lt;=175,W564&gt;=110),0.12,0)+IF(AND(V564&gt;175,W564&lt;25),0.3,0)+IF(AND(V564&gt;175,W564&gt;=25,W564&lt;55),0.23,0)+IF(AND(V564&gt;175,W564&gt;=55,W564&lt;95),0.17,0)+IF(AND(V564&gt;175,W564&gt;=95),0.12,0),
IF(AF564="DoEVLo",IF(AND(V564&lt;20,W564&lt;55),0.25,0)+IF(AND(V564&lt;20,W564&gt;=55,W564&lt;105),0.2,0)+IF(AND(V564&lt;20,W564&gt;=105),0.15,0)+IF(AND(V564&gt;=20,V564&lt;40,W564&lt;45),0.25,0)+IF(AND(V564&gt;=20,V564&lt;40,W564&gt;=45,W564&lt;95),0.2,0)+IF(AND(V564&gt;=20,V564&lt;40,W564&gt;=95),0.15,0)+IF(AND(V564&gt;=40,V564&lt;75,W564&lt;35),0.25,0)+IF(AND(V564&gt;=40,V564&lt;75,W564&gt;=35,W564&lt;75),0.2,0)+IF(AND(V564&gt;=40,V564&lt;75,W564&gt;=75,W564&lt;120),0.15,0)+IF(AND(V564&gt;=40,V564&lt;75,W564&gt;=120),0.1,0)+IF(AND(V564&gt;=75,V564&lt;175,W564&lt;35),0.25,0)+IF(AND(V564&gt;=75,V564&lt;=175,W564&gt;=35,W564&lt;65),0.2,0)+IF(AND(V564&gt;=75,V564&lt;=175,W564&gt;=65,W564&lt;110),0.15,0)+IF(AND(V564&gt;=75,V564&lt;=175,W564&gt;=110),0.1,0)+IF(AND(V564&gt;175,W564&lt;25),0.25,0)+IF(AND(V564&gt;175,W564&gt;=25,W564&lt;55),0.2,0)+IF(AND(V564&gt;175,W564&gt;=55,W564&lt;95),0.15,0)+IF(AND(V564&gt;175,W564&gt;=95),0.1,0)))))))))))))))))</f>
        <v>0.3</v>
      </c>
      <c r="Y564" s="30">
        <f>IF(AG564="None",0,IF(AG564="Fix5",0.05, IF(AG564="Fix6.25",0.0625,IF(AG564="Fix3.75",0.0375,IF(AG564="Fix10",0.1,IF(AG564="Fix3",0.03,0))))))</f>
        <v>0</v>
      </c>
      <c r="Z564" s="35">
        <f>T564-AA564-AB564</f>
        <v>373.709</v>
      </c>
      <c r="AA564" s="29">
        <f>IF(AD564="EUR",((T564-R564)*X564)*U564+(R564*X564),(T564*X564))</f>
        <v>160.161</v>
      </c>
      <c r="AB564" s="36">
        <f>IF(AD564="EUR",((T564-R564)*Y564)*U564+(R564*Y564),(T564*Y564))</f>
        <v>0</v>
      </c>
      <c r="AC564" s="37" t="b">
        <v>1</v>
      </c>
      <c r="AD564" s="37" t="s">
        <v>38</v>
      </c>
      <c r="AE564" s="37" t="s">
        <v>38</v>
      </c>
      <c r="AF564" s="37" t="str">
        <f t="array" ref="AF564">INDEX('Deal Info'!D:D, MATCH(A564,'Deal Info'!A:A, 0))</f>
        <v>DoEV</v>
      </c>
      <c r="AG564" s="38" t="str">
        <f t="array" ref="AG564">INDEX('Deal Info'!G:G, MATCH(A564,'Deal Info'!A:A, 0))</f>
        <v>None</v>
      </c>
    </row>
    <row r="565" spans="1:33" ht="14.25" hidden="1" x14ac:dyDescent="0.2">
      <c r="A565" s="18" t="str">
        <f t="array" ref="A565">IF(G565='Room Info'!$B$1, INDEX('Room Info'!$A$2:$A2446, MATCH(B565,'Room Info'!$B$2:$B2446, 0)),IF(G565='Room Info'!$C$1, INDEX('Room Info'!$A$2:$A2446, MATCH(B565,'Room Info'!$C$2:$C2446, 0)),IF(G565='Room Info'!$D$1, INDEX('Room Info'!$A$2:$A2446, MATCH(B565,'Room Info'!$D$2:$D2446, 0)),IF(G565='Room Info'!$E$1, INDEX('Room Info'!$A$2:$A2446, MATCH(B565,'Room Info'!$E$2:$E2446, 0)),IF(G565='Room Info'!$F$1, INDEX('Room Info'!$A$2:$A2446, MATCH(B565,'Room Info'!$F$2:$F2446, 0)),IF(G565='Room Info'!$H$1, INDEX('Room Info'!$A$2:$A2446, MATCH(B565,'Room Info'!$H$2:$H2446, 0)),IF(G565='Room Info'!$G$1, INDEX('Room Info'!$A$2:$A2446, MATCH(B565,'Room Info'!$G$2:$G2446, 0)))))))))</f>
        <v>dimandmb1</v>
      </c>
      <c r="B565" s="54" t="s">
        <v>150</v>
      </c>
      <c r="C565" s="46">
        <v>44866</v>
      </c>
      <c r="D565" s="46">
        <v>44895</v>
      </c>
      <c r="E565" s="47">
        <v>44866</v>
      </c>
      <c r="F565" s="48" t="s">
        <v>41</v>
      </c>
      <c r="G565" s="54" t="s">
        <v>53</v>
      </c>
      <c r="H565" s="49" t="s">
        <v>55</v>
      </c>
      <c r="I565" s="49" t="s">
        <v>37</v>
      </c>
      <c r="J565" s="50">
        <v>10</v>
      </c>
      <c r="K565" s="51">
        <v>177</v>
      </c>
      <c r="L565" s="52">
        <v>20.13</v>
      </c>
      <c r="M565" s="53">
        <v>62</v>
      </c>
      <c r="N565" s="28">
        <f>K565*J565</f>
        <v>1770</v>
      </c>
      <c r="O565" s="65"/>
      <c r="P565" s="29">
        <v>0</v>
      </c>
      <c r="Q565" s="103"/>
      <c r="R565" s="31">
        <f>M565+Q565</f>
        <v>62</v>
      </c>
      <c r="S565" s="66"/>
      <c r="T565" s="32">
        <f>R565+S565+IF(F565="Without EV deal",L565,0)</f>
        <v>82.13</v>
      </c>
      <c r="U565" s="57">
        <v>1</v>
      </c>
      <c r="V565" s="58">
        <v>13</v>
      </c>
      <c r="W565" s="58">
        <v>4</v>
      </c>
      <c r="X565" s="30">
        <f>IF(AF565="DoEV",IF(AND(V565&lt;20,W565&lt;55),0.3,0)+IF(AND(V565&lt;20,W565&gt;=55,W565&lt;105),0.23,0)+IF(AND(V565&lt;20,W565&gt;=105),0.17,0)+IF(AND(V565&gt;=20,V565&lt;40,W565&lt;45),0.3,0)+IF(AND(V565&gt;=20,V565&lt;40,W565&gt;=45,W565&lt;95),0.23,0)+IF(AND(V565&gt;=20,V565&lt;40,W565&gt;=95),0.17,0)+IF(AND(V565&gt;=40,V565&lt;75,W565&lt;35),0.3,0)+IF(AND(V565&gt;=40,V565&lt;75,W565&gt;=35,W565&lt;75),0.23,0)+IF(AND(V565&gt;=40,V565&lt;75,W565&gt;=75,W565&lt;120),0.17,0)+IF(AND(V565&gt;=40,V565&lt;75,W565&gt;=120),0.12,0)+IF(AND(V565&gt;=75,V565&lt;175,W565&lt;35),0.3,0)+IF(AND(V565&gt;=75,V565&lt;=175,W565&gt;=35,W565&lt;65),0.23,0)+IF(AND(V565&gt;=75,V565&lt;=175,W565&gt;=65,W565&lt;110),0.17,0)+IF(AND(V565&gt;=75,V565&lt;=175,W565&gt;=110),0.12,0)+IF(AND(V565&gt;175,W565&lt;25),0.3,0)+IF(AND(V565&gt;175,W565&gt;=25,W565&lt;55),0.23,0)+IF(AND(V565&gt;175,W565&gt;=55,W565&lt;95),0.17,0)+IF(AND(V565&gt;175,W565&gt;=95),0.12,0),
IF(AF565="Fix15",0.15,
IF(AF565="Fix18.75",0.1875,
IF(AF565="Fix11.25",0.1125,
IF(AF565="Fix10",0.1,
IF(AF565="Fix9",0.09,
IF(AF565="DoEV2017",IF(AND(W565&lt;74),0.2,0)+IF(AND(W565&gt;=74),0.17,0),
IF(AF565="SF",IF(AND(V565&lt;20,W565&lt;89),0.3,0)+IF(AND(V565&lt;20,W565&gt;=89),0.25,0)+IF(AND(V565&gt;=20,V565&lt;40,W565&lt;74),0.3,0)+IF(AND(V565&gt;=20,V565&lt;40,W565&gt;=75),0.22,0)+IF(AND(V565&gt;=40,V565&lt;75,W565&lt;75),0.26,0)+IF(AND(V565&gt;=40,V565&lt;75,W565&gt;=75),0.22,0)+IF(V565&gt;=75,0.22,0),
IF(AF565="DoEVold",IF(AND(V565&lt;40,W565&lt;35),0.35,0)+IF(AND(V565&lt;40,W565&gt;=35,W565&lt;75),0.25,0)+IF(AND(V565&lt;40,W565&gt;=75),0.17,0)+IF(AND(V565&gt;=40,V565&lt;75,W565&lt;25),0.35,0)+IF(AND(V565&gt;=40,V565&lt;75,W565&gt;=25,W565&lt;65),0.25,0)+IF(AND(V565&gt;=40,V565&lt;75,W565&gt;=65,W565&lt;100),0.17,0)+IF(AND(V565&gt;=40,V565&lt;75,W565&gt;=100),0.1,0)+IF(AND(V565&gt;=75,W565&lt;25),0.35,0)+IF(AND(V565&gt;=75,W565&gt;=25,W565&lt;60),0.25,0)+IF(AND(V565&gt;=75,W565&gt;=60,W565&lt;95),0.17,0)+IF(AND(V565&gt;=75,W565&gt;=95),0.1,0),
IF(AF565="DoEVold15",IF(AND(V565&lt;=40,W565&lt;35),0.35,0)+IF(AND(V565&lt;=40,W565&gt;=35,W565&lt;75),0.25,0)+IF(AND(V565&lt;=40,W565&gt;=75,W565&lt;120),0.17,0)+IF(AND(V565&lt;=40,W565&gt;=120),0.15,0)+IF(AND(V565&gt;40,V565&lt;75,W565&lt;25),0.35,0)+IF(AND(V565&gt;=40,V565&lt;75,W565&gt;=25,W565&lt;65),0.25,0)+IF(AND(V565&gt;=40,V565&lt;75,W565&gt;=65,W565&lt;100),0.17,0)+IF(AND(V565&gt;=40,V565&lt;75,W565&gt;=100),0.1,0)+IF(AND(V565&gt;=75,W565&lt;25),0.35,0)+IF(AND(V565&gt;=75,W565&gt;=25,W565&lt;60),0.25,0)+IF(AND(V565&gt;=75,W565&gt;=60,W565&lt;95),0.17,0)+IF(AND(V565&gt;=75,W565&gt;=95),0.1,0),
IF(AF565="DoEVba",IF(AND(V565&lt;20,W565&lt;105),0.2,0)+IF(AND(V565&lt;20,W565&gt;=105),0.15,0)+IF(AND(V565&gt;=20,V565&lt;40,W565&lt;95),0.2,0)+IF(AND(V565&gt;=20,V565&lt;40,W565&gt;=95,W565&lt;150),0.15,0)+IF(AND(V565&gt;=20,V565&lt;40,W565&gt;=150),0.12,0)+IF(AND(V565&gt;=40,V565&lt;75,W565&lt;75),0.2,0)+IF(AND(V565&gt;=40,V565&lt;75,W565&gt;=75,W565&lt;120),0.15,0)+IF(AND(V565&gt;=40,V565&lt;75,W565&gt;=120),0.12,0)+IF(AND(V565&gt;=75,V565&lt;175,W565&lt;65),0.2,0)+IF(AND(V565&gt;=75,V565&lt;175,W565&gt;=65,W565&lt;110),0.15,0)+IF(AND(V565&gt;=75,V565&lt;175,W565&gt;=110),0.12,0)+IF(AND(V565&gt;=175,W565&lt;55),0.2,0)+IF(AND(V565&gt;=175,W565&gt;=55,W565&lt;95),0.15,0)+IF(AND(V565&gt;=175,W565&gt;=95),0.12,0),
IF(AF565="DoEVku",IF(AND(V565&lt;20,W565&lt;55),0.23,0)+IF(AND(V565&lt;20,W565&gt;=55,W565&lt;105),0.2,0)+IF(AND(V565&lt;20,W565&gt;=105),0.17,0)+IF(AND(V565&gt;=20,V565&lt;40,W565&lt;45),0.23,0)+IF(AND(V565&gt;=20,V565&lt;40,W565&gt;=45,W565&lt;95),0.2,0)+IF(AND(V565&gt;=20,V565&lt;40,W565&gt;=95,W565&lt;=150),0.17,0)+IF(AND(V565&gt;=20,V565&lt;40,W565&gt;=150),0.12,0)+IF(AND(V565&gt;=40,V565&lt;75,W565&lt;35),0.23,0)+IF(AND(V565&gt;=40,V565&lt;75,W565&gt;=35,W565&lt;75),0.2,0)+IF(AND(V565&gt;=40,V565&lt;75,W565&gt;=75,W565&lt;120),0.17,0)+IF(AND(V565&gt;=40,V565&lt;75,W565&gt;=120),0.12,0)+IF(AND(V565&gt;=75,V565&lt;175,W565&lt;35),0.23,0)+IF(AND(V565&gt;=75,V565&lt;=175,W565&gt;=35,W565&lt;65),0.2,0)+IF(AND(V565&gt;=75,V565&lt;=175,W565&gt;=65,W565&lt;110),0.17,0)+IF(AND(V565&gt;=75,V565&lt;=175,W565&gt;=110),0.12,0)+IF(AND(V565&gt;175,W565&lt;25),0.23,0)+IF(AND(V565&gt;175,W565&gt;=25,W565&lt;55),0.2,0)+IF(AND(V565&gt;175,W565&gt;=55,W565&lt;95),0.17,0)+IF(AND(V565&gt;175,W565&gt;=95),0.12,0),
IF(AF565="DoEVs1",IF(AND(V565&lt;20,W565&lt;55),0.3,0)+IF(AND(V565&lt;20,W565&gt;=55,W565&lt;105),0.23,0)+IF(AND(V565&lt;20,W565&gt;=105),0.17,0)+IF(AND(V565&gt;=20,V565&lt;40,W565&lt;45),0.3,0)+IF(AND(V565&gt;=20,V565&lt;40,W565&gt;=45,W565&lt;95),0.23,0)+IF(AND(V565&gt;=20,V565&lt;40,W565&gt;=95,W565&lt;=150),0.17,0)+IF(AND(V565&gt;=20,V565&lt;40,W565&gt;=150),0.12,0)+IF(AND(V565&gt;=40,V565&lt;75,W565&lt;35),0.3,0)+IF(AND(V565&gt;=40,V565&lt;75,W565&gt;=35,W565&lt;75),0.23,0)+IF(AND(V565&gt;=40,V565&lt;75,W565&gt;=75,W565&lt;120),0.17,0)+IF(AND(V565&gt;=40,V565&lt;75,W565&gt;=120),0.12,0)+IF(AND(V565&gt;=75,V565&lt;175,W565&lt;35),0.3,0)+IF(AND(V565&gt;=75,V565&lt;=175,W565&gt;=35,W565&lt;65),0.23,0)+IF(AND(V565&gt;=75,V565&lt;=175,W565&gt;=65,W565&lt;110),0.17,0)+IF(AND(V565&gt;=75,V565&lt;=175,W565&gt;=110),0.12,0)+IF(AND(V565&gt;175,W565&lt;25),0.3,0)+IF(AND(V565&gt;175,W565&gt;=25,W565&lt;55),0.23,0)+IF(AND(V565&gt;175,W565&gt;=55,W565&lt;95),0.17,0)+IF(AND(V565&gt;175,W565&gt;=95),0.12,0),
IF(AF565="DoEVsu",IF(AND(V565&lt;20,W565&lt;55),0.3,0)+IF(AND(V565&lt;20,W565&gt;=55,W565&lt;105),0.23,0)+IF(AND(V565&lt;20,W565&gt;=105),0.17,0)+IF(AND(V565&gt;=20,V565&lt;40,W565&lt;45),0.3,0)+IF(AND(V565&gt;=20,V565&lt;40,W565&gt;=45,W565&lt;95),0.23,0)+IF(AND(V565&gt;=20,V565&lt;40,W565&gt;=95,W565&lt;=250),0.17,0)+IF(AND(V565&gt;=20,V565&lt;40,W565&gt;=250),0.12,0)+IF(AND(V565&gt;=40,V565&lt;75,W565&lt;35),0.3,0)+IF(AND(V565&gt;=40,V565&lt;75,W565&gt;=35,W565&lt;75),0.23,0)+IF(AND(V565&gt;=40,V565&lt;75,W565&gt;=75,W565&lt;120),0.17,0)+IF(AND(V565&gt;=40,V565&lt;75,W565&gt;=120),0.12,0)+IF(AND(V565&gt;=75,V565&lt;175,W565&lt;35),0.3,0)+IF(AND(V565&gt;=75,V565&lt;=175,W565&gt;=35,W565&lt;65),0.23,0)+IF(AND(V565&gt;=75,V565&lt;=175,W565&gt;=65,W565&lt;110),0.17,0)+IF(AND(V565&gt;=75,V565&lt;=175,W565&gt;=110),0.12,0)+IF(AND(V565&gt;175,W565&lt;25),0.3,0)+IF(AND(V565&gt;175,W565&gt;=25,W565&lt;55),0.23,0)+IF(AND(V565&gt;175,W565&gt;=55,W565&lt;95),0.17,0)+IF(AND(V565&gt;175,W565&gt;=95),0.12,0),
IF(AF565="DoEVni",IF(AND(V565&lt;20,W565&lt;55),0.3,0)+IF(AND(V565&lt;20,W565&gt;=55,W565&lt;105),0.23,0)+IF(AND(V565&lt;20,W565&gt;=105),0.17,0)+IF(AND(V565&gt;=20,V565&lt;40,W565&lt;45),0.3,0)+IF(AND(V565&gt;=20,V565&lt;40,W565&gt;=45,W565&lt;95),0.23,0)+IF(AND(V565&gt;=20,V565&lt;40,W565&gt;=95,W565&lt;=200),0.17,0)+IF(AND(V565&gt;=20,V565&lt;40,W565&gt;=200),0.12,0)+IF(AND(V565&gt;=40,V565&lt;75,W565&lt;35),0.3,0)+IF(AND(V565&gt;=40,V565&lt;75,W565&gt;=35,W565&lt;75),0.23,0)+IF(AND(V565&gt;=40,V565&lt;75,W565&gt;=75,W565&lt;120),0.17,0)+IF(AND(V565&gt;=40,V565&lt;75,W565&gt;=120),0.12,0)+IF(AND(V565&gt;=75,V565&lt;175,W565&lt;35),0.3,0)+IF(AND(V565&gt;=75,V565&lt;=175,W565&gt;=35,W565&lt;65),0.23,0)+IF(AND(V565&gt;=75,V565&lt;=175,W565&gt;=65,W565&lt;110),0.17,0)+IF(AND(V565&gt;=75,V565&lt;=175,W565&gt;=110),0.12,0)+IF(AND(V565&gt;175,W565&lt;25),0.3,0)+IF(AND(V565&gt;175,W565&gt;=25,W565&lt;55),0.23,0)+IF(AND(V565&gt;175,W565&gt;=55,W565&lt;95),0.17,0)+IF(AND(V565&gt;175,W565&gt;=95),0.12,0),
IF(AF565="DoEVLo",IF(AND(V565&lt;20,W565&lt;55),0.25,0)+IF(AND(V565&lt;20,W565&gt;=55,W565&lt;105),0.2,0)+IF(AND(V565&lt;20,W565&gt;=105),0.15,0)+IF(AND(V565&gt;=20,V565&lt;40,W565&lt;45),0.25,0)+IF(AND(V565&gt;=20,V565&lt;40,W565&gt;=45,W565&lt;95),0.2,0)+IF(AND(V565&gt;=20,V565&lt;40,W565&gt;=95),0.15,0)+IF(AND(V565&gt;=40,V565&lt;75,W565&lt;35),0.25,0)+IF(AND(V565&gt;=40,V565&lt;75,W565&gt;=35,W565&lt;75),0.2,0)+IF(AND(V565&gt;=40,V565&lt;75,W565&gt;=75,W565&lt;120),0.15,0)+IF(AND(V565&gt;=40,V565&lt;75,W565&gt;=120),0.1,0)+IF(AND(V565&gt;=75,V565&lt;175,W565&lt;35),0.25,0)+IF(AND(V565&gt;=75,V565&lt;=175,W565&gt;=35,W565&lt;65),0.2,0)+IF(AND(V565&gt;=75,V565&lt;=175,W565&gt;=65,W565&lt;110),0.15,0)+IF(AND(V565&gt;=75,V565&lt;=175,W565&gt;=110),0.1,0)+IF(AND(V565&gt;175,W565&lt;25),0.25,0)+IF(AND(V565&gt;175,W565&gt;=25,W565&lt;55),0.2,0)+IF(AND(V565&gt;175,W565&gt;=55,W565&lt;95),0.15,0)+IF(AND(V565&gt;175,W565&gt;=95),0.1,0)))))))))))))))))</f>
        <v>0.3</v>
      </c>
      <c r="Y565" s="30">
        <f>IF(AG565="None",0,IF(AG565="Fix5",0.05, IF(AG565="Fix6.25",0.0625,IF(AG565="Fix3.75",0.0375,IF(AG565="Fix10",0.1,IF(AG565="Fix3",0.03,0))))))</f>
        <v>0</v>
      </c>
      <c r="Z565" s="35">
        <f>T565-AA565-AB565</f>
        <v>57.491</v>
      </c>
      <c r="AA565" s="29">
        <f>IF(AD565="EUR",((T565-R565)*X565)*U565+(R565*X565),(T565*X565))</f>
        <v>24.638999999999999</v>
      </c>
      <c r="AB565" s="36">
        <f>IF(AD565="EUR",((T565-R565)*Y565)*U565+(R565*Y565),(T565*Y565))</f>
        <v>0</v>
      </c>
      <c r="AC565" s="37" t="b">
        <v>1</v>
      </c>
      <c r="AD565" s="37" t="s">
        <v>38</v>
      </c>
      <c r="AE565" s="37" t="s">
        <v>38</v>
      </c>
      <c r="AF565" s="37" t="str">
        <f t="array" ref="AF565">INDEX('Deal Info'!D:D, MATCH(A565,'Deal Info'!A:A, 0))</f>
        <v>DoEV</v>
      </c>
      <c r="AG565" s="38" t="str">
        <f t="array" ref="AG565">INDEX('Deal Info'!G:G, MATCH(A565,'Deal Info'!A:A, 0))</f>
        <v>None</v>
      </c>
    </row>
    <row r="566" spans="1:33" ht="14.25" hidden="1" x14ac:dyDescent="0.2">
      <c r="A566" s="18" t="str">
        <f t="array" ref="A566">IF(G566='Room Info'!$B$1, INDEX('Room Info'!$A$2:$A2446, MATCH(B566,'Room Info'!$B$2:$B2446, 0)),IF(G566='Room Info'!$C$1, INDEX('Room Info'!$A$2:$A2446, MATCH(B566,'Room Info'!$C$2:$C2446, 0)),IF(G566='Room Info'!$D$1, INDEX('Room Info'!$A$2:$A2446, MATCH(B566,'Room Info'!$D$2:$D2446, 0)),IF(G566='Room Info'!$E$1, INDEX('Room Info'!$A$2:$A2446, MATCH(B566,'Room Info'!$E$2:$E2446, 0)),IF(G566='Room Info'!$F$1, INDEX('Room Info'!$A$2:$A2446, MATCH(B566,'Room Info'!$F$2:$F2446, 0)),IF(G566='Room Info'!$H$1, INDEX('Room Info'!$A$2:$A2446, MATCH(B566,'Room Info'!$H$2:$H2446, 0)),IF(G566='Room Info'!$G$1, INDEX('Room Info'!$A$2:$A2446, MATCH(B566,'Room Info'!$G$2:$G2446, 0)))))))))</f>
        <v>dimandmb1</v>
      </c>
      <c r="B566" s="45" t="s">
        <v>150</v>
      </c>
      <c r="C566" s="46">
        <v>44896</v>
      </c>
      <c r="D566" s="46">
        <v>44922</v>
      </c>
      <c r="E566" s="47">
        <v>44896</v>
      </c>
      <c r="F566" s="48" t="s">
        <v>41</v>
      </c>
      <c r="G566" s="45" t="s">
        <v>53</v>
      </c>
      <c r="H566" s="49" t="s">
        <v>54</v>
      </c>
      <c r="I566" s="49" t="s">
        <v>37</v>
      </c>
      <c r="J566" s="50">
        <v>5</v>
      </c>
      <c r="K566" s="51">
        <v>1345</v>
      </c>
      <c r="L566" s="52">
        <v>264.77999999999997</v>
      </c>
      <c r="M566" s="53">
        <v>235</v>
      </c>
      <c r="N566" s="28">
        <f>K566*J566</f>
        <v>6725</v>
      </c>
      <c r="O566" s="65"/>
      <c r="P566" s="29">
        <v>0</v>
      </c>
      <c r="Q566" s="103"/>
      <c r="R566" s="31">
        <f>M566+Q566</f>
        <v>235</v>
      </c>
      <c r="S566" s="66"/>
      <c r="T566" s="32">
        <f>R566+S566+IF(F566="Without EV deal",L566,0)</f>
        <v>499.78</v>
      </c>
      <c r="U566" s="57">
        <v>1</v>
      </c>
      <c r="V566" s="58">
        <v>13</v>
      </c>
      <c r="W566" s="58">
        <v>4</v>
      </c>
      <c r="X566" s="30">
        <f>IF(AF566="DoEV",IF(AND(V566&lt;20,W566&lt;55),0.3,0)+IF(AND(V566&lt;20,W566&gt;=55,W566&lt;105),0.23,0)+IF(AND(V566&lt;20,W566&gt;=105),0.17,0)+IF(AND(V566&gt;=20,V566&lt;40,W566&lt;45),0.3,0)+IF(AND(V566&gt;=20,V566&lt;40,W566&gt;=45,W566&lt;95),0.23,0)+IF(AND(V566&gt;=20,V566&lt;40,W566&gt;=95),0.17,0)+IF(AND(V566&gt;=40,V566&lt;75,W566&lt;35),0.3,0)+IF(AND(V566&gt;=40,V566&lt;75,W566&gt;=35,W566&lt;75),0.23,0)+IF(AND(V566&gt;=40,V566&lt;75,W566&gt;=75,W566&lt;120),0.17,0)+IF(AND(V566&gt;=40,V566&lt;75,W566&gt;=120),0.12,0)+IF(AND(V566&gt;=75,V566&lt;175,W566&lt;35),0.3,0)+IF(AND(V566&gt;=75,V566&lt;=175,W566&gt;=35,W566&lt;65),0.23,0)+IF(AND(V566&gt;=75,V566&lt;=175,W566&gt;=65,W566&lt;110),0.17,0)+IF(AND(V566&gt;=75,V566&lt;=175,W566&gt;=110),0.12,0)+IF(AND(V566&gt;175,W566&lt;25),0.3,0)+IF(AND(V566&gt;175,W566&gt;=25,W566&lt;55),0.23,0)+IF(AND(V566&gt;175,W566&gt;=55,W566&lt;95),0.17,0)+IF(AND(V566&gt;175,W566&gt;=95),0.12,0),
IF(AF566="Fix15",0.15,
IF(AF566="Fix18.75",0.1875,
IF(AF566="Fix11.25",0.1125,
IF(AF566="Fix10",0.1,
IF(AF566="Fix9",0.09,
IF(AF566="DoEV2017",IF(AND(W566&lt;74),0.2,0)+IF(AND(W566&gt;=74),0.17,0),
IF(AF566="SF",IF(AND(V566&lt;20,W566&lt;89),0.3,0)+IF(AND(V566&lt;20,W566&gt;=89),0.25,0)+IF(AND(V566&gt;=20,V566&lt;40,W566&lt;74),0.3,0)+IF(AND(V566&gt;=20,V566&lt;40,W566&gt;=75),0.22,0)+IF(AND(V566&gt;=40,V566&lt;75,W566&lt;75),0.26,0)+IF(AND(V566&gt;=40,V566&lt;75,W566&gt;=75),0.22,0)+IF(V566&gt;=75,0.22,0),
IF(AF566="DoEVold",IF(AND(V566&lt;40,W566&lt;35),0.35,0)+IF(AND(V566&lt;40,W566&gt;=35,W566&lt;75),0.25,0)+IF(AND(V566&lt;40,W566&gt;=75),0.17,0)+IF(AND(V566&gt;=40,V566&lt;75,W566&lt;25),0.35,0)+IF(AND(V566&gt;=40,V566&lt;75,W566&gt;=25,W566&lt;65),0.25,0)+IF(AND(V566&gt;=40,V566&lt;75,W566&gt;=65,W566&lt;100),0.17,0)+IF(AND(V566&gt;=40,V566&lt;75,W566&gt;=100),0.1,0)+IF(AND(V566&gt;=75,W566&lt;25),0.35,0)+IF(AND(V566&gt;=75,W566&gt;=25,W566&lt;60),0.25,0)+IF(AND(V566&gt;=75,W566&gt;=60,W566&lt;95),0.17,0)+IF(AND(V566&gt;=75,W566&gt;=95),0.1,0),
IF(AF566="DoEVold15",IF(AND(V566&lt;=40,W566&lt;35),0.35,0)+IF(AND(V566&lt;=40,W566&gt;=35,W566&lt;75),0.25,0)+IF(AND(V566&lt;=40,W566&gt;=75,W566&lt;120),0.17,0)+IF(AND(V566&lt;=40,W566&gt;=120),0.15,0)+IF(AND(V566&gt;40,V566&lt;75,W566&lt;25),0.35,0)+IF(AND(V566&gt;=40,V566&lt;75,W566&gt;=25,W566&lt;65),0.25,0)+IF(AND(V566&gt;=40,V566&lt;75,W566&gt;=65,W566&lt;100),0.17,0)+IF(AND(V566&gt;=40,V566&lt;75,W566&gt;=100),0.1,0)+IF(AND(V566&gt;=75,W566&lt;25),0.35,0)+IF(AND(V566&gt;=75,W566&gt;=25,W566&lt;60),0.25,0)+IF(AND(V566&gt;=75,W566&gt;=60,W566&lt;95),0.17,0)+IF(AND(V566&gt;=75,W566&gt;=95),0.1,0),
IF(AF566="DoEVba",IF(AND(V566&lt;20,W566&lt;105),0.2,0)+IF(AND(V566&lt;20,W566&gt;=105),0.15,0)+IF(AND(V566&gt;=20,V566&lt;40,W566&lt;95),0.2,0)+IF(AND(V566&gt;=20,V566&lt;40,W566&gt;=95,W566&lt;150),0.15,0)+IF(AND(V566&gt;=20,V566&lt;40,W566&gt;=150),0.12,0)+IF(AND(V566&gt;=40,V566&lt;75,W566&lt;75),0.2,0)+IF(AND(V566&gt;=40,V566&lt;75,W566&gt;=75,W566&lt;120),0.15,0)+IF(AND(V566&gt;=40,V566&lt;75,W566&gt;=120),0.12,0)+IF(AND(V566&gt;=75,V566&lt;175,W566&lt;65),0.2,0)+IF(AND(V566&gt;=75,V566&lt;175,W566&gt;=65,W566&lt;110),0.15,0)+IF(AND(V566&gt;=75,V566&lt;175,W566&gt;=110),0.12,0)+IF(AND(V566&gt;=175,W566&lt;55),0.2,0)+IF(AND(V566&gt;=175,W566&gt;=55,W566&lt;95),0.15,0)+IF(AND(V566&gt;=175,W566&gt;=95),0.12,0),
IF(AF566="DoEVku",IF(AND(V566&lt;20,W566&lt;55),0.23,0)+IF(AND(V566&lt;20,W566&gt;=55,W566&lt;105),0.2,0)+IF(AND(V566&lt;20,W566&gt;=105),0.17,0)+IF(AND(V566&gt;=20,V566&lt;40,W566&lt;45),0.23,0)+IF(AND(V566&gt;=20,V566&lt;40,W566&gt;=45,W566&lt;95),0.2,0)+IF(AND(V566&gt;=20,V566&lt;40,W566&gt;=95,W566&lt;=150),0.17,0)+IF(AND(V566&gt;=20,V566&lt;40,W566&gt;=150),0.12,0)+IF(AND(V566&gt;=40,V566&lt;75,W566&lt;35),0.23,0)+IF(AND(V566&gt;=40,V566&lt;75,W566&gt;=35,W566&lt;75),0.2,0)+IF(AND(V566&gt;=40,V566&lt;75,W566&gt;=75,W566&lt;120),0.17,0)+IF(AND(V566&gt;=40,V566&lt;75,W566&gt;=120),0.12,0)+IF(AND(V566&gt;=75,V566&lt;175,W566&lt;35),0.23,0)+IF(AND(V566&gt;=75,V566&lt;=175,W566&gt;=35,W566&lt;65),0.2,0)+IF(AND(V566&gt;=75,V566&lt;=175,W566&gt;=65,W566&lt;110),0.17,0)+IF(AND(V566&gt;=75,V566&lt;=175,W566&gt;=110),0.12,0)+IF(AND(V566&gt;175,W566&lt;25),0.23,0)+IF(AND(V566&gt;175,W566&gt;=25,W566&lt;55),0.2,0)+IF(AND(V566&gt;175,W566&gt;=55,W566&lt;95),0.17,0)+IF(AND(V566&gt;175,W566&gt;=95),0.12,0),
IF(AF566="DoEVs1",IF(AND(V566&lt;20,W566&lt;55),0.3,0)+IF(AND(V566&lt;20,W566&gt;=55,W566&lt;105),0.23,0)+IF(AND(V566&lt;20,W566&gt;=105),0.17,0)+IF(AND(V566&gt;=20,V566&lt;40,W566&lt;45),0.3,0)+IF(AND(V566&gt;=20,V566&lt;40,W566&gt;=45,W566&lt;95),0.23,0)+IF(AND(V566&gt;=20,V566&lt;40,W566&gt;=95,W566&lt;=150),0.17,0)+IF(AND(V566&gt;=20,V566&lt;40,W566&gt;=150),0.12,0)+IF(AND(V566&gt;=40,V566&lt;75,W566&lt;35),0.3,0)+IF(AND(V566&gt;=40,V566&lt;75,W566&gt;=35,W566&lt;75),0.23,0)+IF(AND(V566&gt;=40,V566&lt;75,W566&gt;=75,W566&lt;120),0.17,0)+IF(AND(V566&gt;=40,V566&lt;75,W566&gt;=120),0.12,0)+IF(AND(V566&gt;=75,V566&lt;175,W566&lt;35),0.3,0)+IF(AND(V566&gt;=75,V566&lt;=175,W566&gt;=35,W566&lt;65),0.23,0)+IF(AND(V566&gt;=75,V566&lt;=175,W566&gt;=65,W566&lt;110),0.17,0)+IF(AND(V566&gt;=75,V566&lt;=175,W566&gt;=110),0.12,0)+IF(AND(V566&gt;175,W566&lt;25),0.3,0)+IF(AND(V566&gt;175,W566&gt;=25,W566&lt;55),0.23,0)+IF(AND(V566&gt;175,W566&gt;=55,W566&lt;95),0.17,0)+IF(AND(V566&gt;175,W566&gt;=95),0.12,0),
IF(AF566="DoEVsu",IF(AND(V566&lt;20,W566&lt;55),0.3,0)+IF(AND(V566&lt;20,W566&gt;=55,W566&lt;105),0.23,0)+IF(AND(V566&lt;20,W566&gt;=105),0.17,0)+IF(AND(V566&gt;=20,V566&lt;40,W566&lt;45),0.3,0)+IF(AND(V566&gt;=20,V566&lt;40,W566&gt;=45,W566&lt;95),0.23,0)+IF(AND(V566&gt;=20,V566&lt;40,W566&gt;=95,W566&lt;=250),0.17,0)+IF(AND(V566&gt;=20,V566&lt;40,W566&gt;=250),0.12,0)+IF(AND(V566&gt;=40,V566&lt;75,W566&lt;35),0.3,0)+IF(AND(V566&gt;=40,V566&lt;75,W566&gt;=35,W566&lt;75),0.23,0)+IF(AND(V566&gt;=40,V566&lt;75,W566&gt;=75,W566&lt;120),0.17,0)+IF(AND(V566&gt;=40,V566&lt;75,W566&gt;=120),0.12,0)+IF(AND(V566&gt;=75,V566&lt;175,W566&lt;35),0.3,0)+IF(AND(V566&gt;=75,V566&lt;=175,W566&gt;=35,W566&lt;65),0.23,0)+IF(AND(V566&gt;=75,V566&lt;=175,W566&gt;=65,W566&lt;110),0.17,0)+IF(AND(V566&gt;=75,V566&lt;=175,W566&gt;=110),0.12,0)+IF(AND(V566&gt;175,W566&lt;25),0.3,0)+IF(AND(V566&gt;175,W566&gt;=25,W566&lt;55),0.23,0)+IF(AND(V566&gt;175,W566&gt;=55,W566&lt;95),0.17,0)+IF(AND(V566&gt;175,W566&gt;=95),0.12,0),
IF(AF566="DoEVni",IF(AND(V566&lt;20,W566&lt;55),0.3,0)+IF(AND(V566&lt;20,W566&gt;=55,W566&lt;105),0.23,0)+IF(AND(V566&lt;20,W566&gt;=105),0.17,0)+IF(AND(V566&gt;=20,V566&lt;40,W566&lt;45),0.3,0)+IF(AND(V566&gt;=20,V566&lt;40,W566&gt;=45,W566&lt;95),0.23,0)+IF(AND(V566&gt;=20,V566&lt;40,W566&gt;=95,W566&lt;=200),0.17,0)+IF(AND(V566&gt;=20,V566&lt;40,W566&gt;=200),0.12,0)+IF(AND(V566&gt;=40,V566&lt;75,W566&lt;35),0.3,0)+IF(AND(V566&gt;=40,V566&lt;75,W566&gt;=35,W566&lt;75),0.23,0)+IF(AND(V566&gt;=40,V566&lt;75,W566&gt;=75,W566&lt;120),0.17,0)+IF(AND(V566&gt;=40,V566&lt;75,W566&gt;=120),0.12,0)+IF(AND(V566&gt;=75,V566&lt;175,W566&lt;35),0.3,0)+IF(AND(V566&gt;=75,V566&lt;=175,W566&gt;=35,W566&lt;65),0.23,0)+IF(AND(V566&gt;=75,V566&lt;=175,W566&gt;=65,W566&lt;110),0.17,0)+IF(AND(V566&gt;=75,V566&lt;=175,W566&gt;=110),0.12,0)+IF(AND(V566&gt;175,W566&lt;25),0.3,0)+IF(AND(V566&gt;175,W566&gt;=25,W566&lt;55),0.23,0)+IF(AND(V566&gt;175,W566&gt;=55,W566&lt;95),0.17,0)+IF(AND(V566&gt;175,W566&gt;=95),0.12,0),
IF(AF566="DoEVLo",IF(AND(V566&lt;20,W566&lt;55),0.25,0)+IF(AND(V566&lt;20,W566&gt;=55,W566&lt;105),0.2,0)+IF(AND(V566&lt;20,W566&gt;=105),0.15,0)+IF(AND(V566&gt;=20,V566&lt;40,W566&lt;45),0.25,0)+IF(AND(V566&gt;=20,V566&lt;40,W566&gt;=45,W566&lt;95),0.2,0)+IF(AND(V566&gt;=20,V566&lt;40,W566&gt;=95),0.15,0)+IF(AND(V566&gt;=40,V566&lt;75,W566&lt;35),0.25,0)+IF(AND(V566&gt;=40,V566&lt;75,W566&gt;=35,W566&lt;75),0.2,0)+IF(AND(V566&gt;=40,V566&lt;75,W566&gt;=75,W566&lt;120),0.15,0)+IF(AND(V566&gt;=40,V566&lt;75,W566&gt;=120),0.1,0)+IF(AND(V566&gt;=75,V566&lt;175,W566&lt;35),0.25,0)+IF(AND(V566&gt;=75,V566&lt;=175,W566&gt;=35,W566&lt;65),0.2,0)+IF(AND(V566&gt;=75,V566&lt;=175,W566&gt;=65,W566&lt;110),0.15,0)+IF(AND(V566&gt;=75,V566&lt;=175,W566&gt;=110),0.1,0)+IF(AND(V566&gt;175,W566&lt;25),0.25,0)+IF(AND(V566&gt;175,W566&gt;=25,W566&lt;55),0.2,0)+IF(AND(V566&gt;175,W566&gt;=55,W566&lt;95),0.15,0)+IF(AND(V566&gt;175,W566&gt;=95),0.1,0)))))))))))))))))</f>
        <v>0.3</v>
      </c>
      <c r="Y566" s="30">
        <f>IF(AG566="None",0,IF(AG566="Fix5",0.05, IF(AG566="Fix6.25",0.0625,IF(AG566="Fix3.75",0.0375,IF(AG566="Fix10",0.1,IF(AG566="Fix3",0.03,0))))))</f>
        <v>0</v>
      </c>
      <c r="Z566" s="35">
        <f>T566-AA566-AB566</f>
        <v>349.846</v>
      </c>
      <c r="AA566" s="29">
        <f>IF(AD566="EUR",((T566-R566)*X566)*U566+(R566*X566),(T566*X566))</f>
        <v>149.934</v>
      </c>
      <c r="AB566" s="36">
        <f>IF(AD566="EUR",((T566-R566)*Y566)*U566+(R566*Y566),(T566*Y566))</f>
        <v>0</v>
      </c>
      <c r="AC566" s="37" t="b">
        <v>1</v>
      </c>
      <c r="AD566" s="37" t="s">
        <v>38</v>
      </c>
      <c r="AE566" s="37" t="s">
        <v>38</v>
      </c>
      <c r="AF566" s="37" t="str">
        <f t="array" ref="AF566">INDEX('Deal Info'!D:D, MATCH(A566,'Deal Info'!A:A, 0))</f>
        <v>DoEV</v>
      </c>
      <c r="AG566" s="38" t="str">
        <f t="array" ref="AG566">INDEX('Deal Info'!G:G, MATCH(A566,'Deal Info'!A:A, 0))</f>
        <v>None</v>
      </c>
    </row>
    <row r="567" spans="1:33" ht="14.25" hidden="1" x14ac:dyDescent="0.2">
      <c r="A567" s="18" t="str">
        <f t="array" ref="A567">IF(G567='Room Info'!$B$1, INDEX('Room Info'!$A$2:$A2446, MATCH(B567,'Room Info'!$B$2:$B2446, 0)),IF(G567='Room Info'!$C$1, INDEX('Room Info'!$A$2:$A2446, MATCH(B567,'Room Info'!$C$2:$C2446, 0)),IF(G567='Room Info'!$D$1, INDEX('Room Info'!$A$2:$A2446, MATCH(B567,'Room Info'!$D$2:$D2446, 0)),IF(G567='Room Info'!$E$1, INDEX('Room Info'!$A$2:$A2446, MATCH(B567,'Room Info'!$E$2:$E2446, 0)),IF(G567='Room Info'!$F$1, INDEX('Room Info'!$A$2:$A2446, MATCH(B567,'Room Info'!$F$2:$F2446, 0)),IF(G567='Room Info'!$H$1, INDEX('Room Info'!$A$2:$A2446, MATCH(B567,'Room Info'!$H$2:$H2446, 0)),IF(G567='Room Info'!$G$1, INDEX('Room Info'!$A$2:$A2446, MATCH(B567,'Room Info'!$G$2:$G2446, 0)))))))))</f>
        <v>dimandmb1</v>
      </c>
      <c r="B567" s="45" t="s">
        <v>150</v>
      </c>
      <c r="C567" s="46">
        <v>44896</v>
      </c>
      <c r="D567" s="46">
        <v>44922</v>
      </c>
      <c r="E567" s="47">
        <v>44896</v>
      </c>
      <c r="F567" s="48" t="s">
        <v>41</v>
      </c>
      <c r="G567" s="45" t="s">
        <v>53</v>
      </c>
      <c r="H567" s="49" t="s">
        <v>55</v>
      </c>
      <c r="I567" s="49" t="s">
        <v>37</v>
      </c>
      <c r="J567" s="50">
        <v>10</v>
      </c>
      <c r="K567" s="51">
        <v>252</v>
      </c>
      <c r="L567" s="52">
        <v>99.22</v>
      </c>
      <c r="M567" s="53">
        <v>88</v>
      </c>
      <c r="N567" s="28">
        <f>K567*J567</f>
        <v>2520</v>
      </c>
      <c r="O567" s="65"/>
      <c r="P567" s="29">
        <v>0</v>
      </c>
      <c r="Q567" s="103"/>
      <c r="R567" s="31">
        <f>M567+Q567</f>
        <v>88</v>
      </c>
      <c r="S567" s="66"/>
      <c r="T567" s="32">
        <f>R567+S567+IF(F567="Without EV deal",L567,0)</f>
        <v>187.22</v>
      </c>
      <c r="U567" s="57">
        <v>1</v>
      </c>
      <c r="V567" s="58">
        <v>13</v>
      </c>
      <c r="W567" s="58">
        <v>4</v>
      </c>
      <c r="X567" s="30">
        <f>IF(AF567="DoEV",IF(AND(V567&lt;20,W567&lt;55),0.3,0)+IF(AND(V567&lt;20,W567&gt;=55,W567&lt;105),0.23,0)+IF(AND(V567&lt;20,W567&gt;=105),0.17,0)+IF(AND(V567&gt;=20,V567&lt;40,W567&lt;45),0.3,0)+IF(AND(V567&gt;=20,V567&lt;40,W567&gt;=45,W567&lt;95),0.23,0)+IF(AND(V567&gt;=20,V567&lt;40,W567&gt;=95),0.17,0)+IF(AND(V567&gt;=40,V567&lt;75,W567&lt;35),0.3,0)+IF(AND(V567&gt;=40,V567&lt;75,W567&gt;=35,W567&lt;75),0.23,0)+IF(AND(V567&gt;=40,V567&lt;75,W567&gt;=75,W567&lt;120),0.17,0)+IF(AND(V567&gt;=40,V567&lt;75,W567&gt;=120),0.12,0)+IF(AND(V567&gt;=75,V567&lt;175,W567&lt;35),0.3,0)+IF(AND(V567&gt;=75,V567&lt;=175,W567&gt;=35,W567&lt;65),0.23,0)+IF(AND(V567&gt;=75,V567&lt;=175,W567&gt;=65,W567&lt;110),0.17,0)+IF(AND(V567&gt;=75,V567&lt;=175,W567&gt;=110),0.12,0)+IF(AND(V567&gt;175,W567&lt;25),0.3,0)+IF(AND(V567&gt;175,W567&gt;=25,W567&lt;55),0.23,0)+IF(AND(V567&gt;175,W567&gt;=55,W567&lt;95),0.17,0)+IF(AND(V567&gt;175,W567&gt;=95),0.12,0),
IF(AF567="Fix15",0.15,
IF(AF567="Fix18.75",0.1875,
IF(AF567="Fix11.25",0.1125,
IF(AF567="Fix10",0.1,
IF(AF567="Fix9",0.09,
IF(AF567="DoEV2017",IF(AND(W567&lt;74),0.2,0)+IF(AND(W567&gt;=74),0.17,0),
IF(AF567="SF",IF(AND(V567&lt;20,W567&lt;89),0.3,0)+IF(AND(V567&lt;20,W567&gt;=89),0.25,0)+IF(AND(V567&gt;=20,V567&lt;40,W567&lt;74),0.3,0)+IF(AND(V567&gt;=20,V567&lt;40,W567&gt;=75),0.22,0)+IF(AND(V567&gt;=40,V567&lt;75,W567&lt;75),0.26,0)+IF(AND(V567&gt;=40,V567&lt;75,W567&gt;=75),0.22,0)+IF(V567&gt;=75,0.22,0),
IF(AF567="DoEVold",IF(AND(V567&lt;40,W567&lt;35),0.35,0)+IF(AND(V567&lt;40,W567&gt;=35,W567&lt;75),0.25,0)+IF(AND(V567&lt;40,W567&gt;=75),0.17,0)+IF(AND(V567&gt;=40,V567&lt;75,W567&lt;25),0.35,0)+IF(AND(V567&gt;=40,V567&lt;75,W567&gt;=25,W567&lt;65),0.25,0)+IF(AND(V567&gt;=40,V567&lt;75,W567&gt;=65,W567&lt;100),0.17,0)+IF(AND(V567&gt;=40,V567&lt;75,W567&gt;=100),0.1,0)+IF(AND(V567&gt;=75,W567&lt;25),0.35,0)+IF(AND(V567&gt;=75,W567&gt;=25,W567&lt;60),0.25,0)+IF(AND(V567&gt;=75,W567&gt;=60,W567&lt;95),0.17,0)+IF(AND(V567&gt;=75,W567&gt;=95),0.1,0),
IF(AF567="DoEVold15",IF(AND(V567&lt;=40,W567&lt;35),0.35,0)+IF(AND(V567&lt;=40,W567&gt;=35,W567&lt;75),0.25,0)+IF(AND(V567&lt;=40,W567&gt;=75,W567&lt;120),0.17,0)+IF(AND(V567&lt;=40,W567&gt;=120),0.15,0)+IF(AND(V567&gt;40,V567&lt;75,W567&lt;25),0.35,0)+IF(AND(V567&gt;=40,V567&lt;75,W567&gt;=25,W567&lt;65),0.25,0)+IF(AND(V567&gt;=40,V567&lt;75,W567&gt;=65,W567&lt;100),0.17,0)+IF(AND(V567&gt;=40,V567&lt;75,W567&gt;=100),0.1,0)+IF(AND(V567&gt;=75,W567&lt;25),0.35,0)+IF(AND(V567&gt;=75,W567&gt;=25,W567&lt;60),0.25,0)+IF(AND(V567&gt;=75,W567&gt;=60,W567&lt;95),0.17,0)+IF(AND(V567&gt;=75,W567&gt;=95),0.1,0),
IF(AF567="DoEVba",IF(AND(V567&lt;20,W567&lt;105),0.2,0)+IF(AND(V567&lt;20,W567&gt;=105),0.15,0)+IF(AND(V567&gt;=20,V567&lt;40,W567&lt;95),0.2,0)+IF(AND(V567&gt;=20,V567&lt;40,W567&gt;=95,W567&lt;150),0.15,0)+IF(AND(V567&gt;=20,V567&lt;40,W567&gt;=150),0.12,0)+IF(AND(V567&gt;=40,V567&lt;75,W567&lt;75),0.2,0)+IF(AND(V567&gt;=40,V567&lt;75,W567&gt;=75,W567&lt;120),0.15,0)+IF(AND(V567&gt;=40,V567&lt;75,W567&gt;=120),0.12,0)+IF(AND(V567&gt;=75,V567&lt;175,W567&lt;65),0.2,0)+IF(AND(V567&gt;=75,V567&lt;175,W567&gt;=65,W567&lt;110),0.15,0)+IF(AND(V567&gt;=75,V567&lt;175,W567&gt;=110),0.12,0)+IF(AND(V567&gt;=175,W567&lt;55),0.2,0)+IF(AND(V567&gt;=175,W567&gt;=55,W567&lt;95),0.15,0)+IF(AND(V567&gt;=175,W567&gt;=95),0.12,0),
IF(AF567="DoEVku",IF(AND(V567&lt;20,W567&lt;55),0.23,0)+IF(AND(V567&lt;20,W567&gt;=55,W567&lt;105),0.2,0)+IF(AND(V567&lt;20,W567&gt;=105),0.17,0)+IF(AND(V567&gt;=20,V567&lt;40,W567&lt;45),0.23,0)+IF(AND(V567&gt;=20,V567&lt;40,W567&gt;=45,W567&lt;95),0.2,0)+IF(AND(V567&gt;=20,V567&lt;40,W567&gt;=95,W567&lt;=150),0.17,0)+IF(AND(V567&gt;=20,V567&lt;40,W567&gt;=150),0.12,0)+IF(AND(V567&gt;=40,V567&lt;75,W567&lt;35),0.23,0)+IF(AND(V567&gt;=40,V567&lt;75,W567&gt;=35,W567&lt;75),0.2,0)+IF(AND(V567&gt;=40,V567&lt;75,W567&gt;=75,W567&lt;120),0.17,0)+IF(AND(V567&gt;=40,V567&lt;75,W567&gt;=120),0.12,0)+IF(AND(V567&gt;=75,V567&lt;175,W567&lt;35),0.23,0)+IF(AND(V567&gt;=75,V567&lt;=175,W567&gt;=35,W567&lt;65),0.2,0)+IF(AND(V567&gt;=75,V567&lt;=175,W567&gt;=65,W567&lt;110),0.17,0)+IF(AND(V567&gt;=75,V567&lt;=175,W567&gt;=110),0.12,0)+IF(AND(V567&gt;175,W567&lt;25),0.23,0)+IF(AND(V567&gt;175,W567&gt;=25,W567&lt;55),0.2,0)+IF(AND(V567&gt;175,W567&gt;=55,W567&lt;95),0.17,0)+IF(AND(V567&gt;175,W567&gt;=95),0.12,0),
IF(AF567="DoEVs1",IF(AND(V567&lt;20,W567&lt;55),0.3,0)+IF(AND(V567&lt;20,W567&gt;=55,W567&lt;105),0.23,0)+IF(AND(V567&lt;20,W567&gt;=105),0.17,0)+IF(AND(V567&gt;=20,V567&lt;40,W567&lt;45),0.3,0)+IF(AND(V567&gt;=20,V567&lt;40,W567&gt;=45,W567&lt;95),0.23,0)+IF(AND(V567&gt;=20,V567&lt;40,W567&gt;=95,W567&lt;=150),0.17,0)+IF(AND(V567&gt;=20,V567&lt;40,W567&gt;=150),0.12,0)+IF(AND(V567&gt;=40,V567&lt;75,W567&lt;35),0.3,0)+IF(AND(V567&gt;=40,V567&lt;75,W567&gt;=35,W567&lt;75),0.23,0)+IF(AND(V567&gt;=40,V567&lt;75,W567&gt;=75,W567&lt;120),0.17,0)+IF(AND(V567&gt;=40,V567&lt;75,W567&gt;=120),0.12,0)+IF(AND(V567&gt;=75,V567&lt;175,W567&lt;35),0.3,0)+IF(AND(V567&gt;=75,V567&lt;=175,W567&gt;=35,W567&lt;65),0.23,0)+IF(AND(V567&gt;=75,V567&lt;=175,W567&gt;=65,W567&lt;110),0.17,0)+IF(AND(V567&gt;=75,V567&lt;=175,W567&gt;=110),0.12,0)+IF(AND(V567&gt;175,W567&lt;25),0.3,0)+IF(AND(V567&gt;175,W567&gt;=25,W567&lt;55),0.23,0)+IF(AND(V567&gt;175,W567&gt;=55,W567&lt;95),0.17,0)+IF(AND(V567&gt;175,W567&gt;=95),0.12,0),
IF(AF567="DoEVsu",IF(AND(V567&lt;20,W567&lt;55),0.3,0)+IF(AND(V567&lt;20,W567&gt;=55,W567&lt;105),0.23,0)+IF(AND(V567&lt;20,W567&gt;=105),0.17,0)+IF(AND(V567&gt;=20,V567&lt;40,W567&lt;45),0.3,0)+IF(AND(V567&gt;=20,V567&lt;40,W567&gt;=45,W567&lt;95),0.23,0)+IF(AND(V567&gt;=20,V567&lt;40,W567&gt;=95,W567&lt;=250),0.17,0)+IF(AND(V567&gt;=20,V567&lt;40,W567&gt;=250),0.12,0)+IF(AND(V567&gt;=40,V567&lt;75,W567&lt;35),0.3,0)+IF(AND(V567&gt;=40,V567&lt;75,W567&gt;=35,W567&lt;75),0.23,0)+IF(AND(V567&gt;=40,V567&lt;75,W567&gt;=75,W567&lt;120),0.17,0)+IF(AND(V567&gt;=40,V567&lt;75,W567&gt;=120),0.12,0)+IF(AND(V567&gt;=75,V567&lt;175,W567&lt;35),0.3,0)+IF(AND(V567&gt;=75,V567&lt;=175,W567&gt;=35,W567&lt;65),0.23,0)+IF(AND(V567&gt;=75,V567&lt;=175,W567&gt;=65,W567&lt;110),0.17,0)+IF(AND(V567&gt;=75,V567&lt;=175,W567&gt;=110),0.12,0)+IF(AND(V567&gt;175,W567&lt;25),0.3,0)+IF(AND(V567&gt;175,W567&gt;=25,W567&lt;55),0.23,0)+IF(AND(V567&gt;175,W567&gt;=55,W567&lt;95),0.17,0)+IF(AND(V567&gt;175,W567&gt;=95),0.12,0),
IF(AF567="DoEVni",IF(AND(V567&lt;20,W567&lt;55),0.3,0)+IF(AND(V567&lt;20,W567&gt;=55,W567&lt;105),0.23,0)+IF(AND(V567&lt;20,W567&gt;=105),0.17,0)+IF(AND(V567&gt;=20,V567&lt;40,W567&lt;45),0.3,0)+IF(AND(V567&gt;=20,V567&lt;40,W567&gt;=45,W567&lt;95),0.23,0)+IF(AND(V567&gt;=20,V567&lt;40,W567&gt;=95,W567&lt;=200),0.17,0)+IF(AND(V567&gt;=20,V567&lt;40,W567&gt;=200),0.12,0)+IF(AND(V567&gt;=40,V567&lt;75,W567&lt;35),0.3,0)+IF(AND(V567&gt;=40,V567&lt;75,W567&gt;=35,W567&lt;75),0.23,0)+IF(AND(V567&gt;=40,V567&lt;75,W567&gt;=75,W567&lt;120),0.17,0)+IF(AND(V567&gt;=40,V567&lt;75,W567&gt;=120),0.12,0)+IF(AND(V567&gt;=75,V567&lt;175,W567&lt;35),0.3,0)+IF(AND(V567&gt;=75,V567&lt;=175,W567&gt;=35,W567&lt;65),0.23,0)+IF(AND(V567&gt;=75,V567&lt;=175,W567&gt;=65,W567&lt;110),0.17,0)+IF(AND(V567&gt;=75,V567&lt;=175,W567&gt;=110),0.12,0)+IF(AND(V567&gt;175,W567&lt;25),0.3,0)+IF(AND(V567&gt;175,W567&gt;=25,W567&lt;55),0.23,0)+IF(AND(V567&gt;175,W567&gt;=55,W567&lt;95),0.17,0)+IF(AND(V567&gt;175,W567&gt;=95),0.12,0),
IF(AF567="DoEVLo",IF(AND(V567&lt;20,W567&lt;55),0.25,0)+IF(AND(V567&lt;20,W567&gt;=55,W567&lt;105),0.2,0)+IF(AND(V567&lt;20,W567&gt;=105),0.15,0)+IF(AND(V567&gt;=20,V567&lt;40,W567&lt;45),0.25,0)+IF(AND(V567&gt;=20,V567&lt;40,W567&gt;=45,W567&lt;95),0.2,0)+IF(AND(V567&gt;=20,V567&lt;40,W567&gt;=95),0.15,0)+IF(AND(V567&gt;=40,V567&lt;75,W567&lt;35),0.25,0)+IF(AND(V567&gt;=40,V567&lt;75,W567&gt;=35,W567&lt;75),0.2,0)+IF(AND(V567&gt;=40,V567&lt;75,W567&gt;=75,W567&lt;120),0.15,0)+IF(AND(V567&gt;=40,V567&lt;75,W567&gt;=120),0.1,0)+IF(AND(V567&gt;=75,V567&lt;175,W567&lt;35),0.25,0)+IF(AND(V567&gt;=75,V567&lt;=175,W567&gt;=35,W567&lt;65),0.2,0)+IF(AND(V567&gt;=75,V567&lt;=175,W567&gt;=65,W567&lt;110),0.15,0)+IF(AND(V567&gt;=75,V567&lt;=175,W567&gt;=110),0.1,0)+IF(AND(V567&gt;175,W567&lt;25),0.25,0)+IF(AND(V567&gt;175,W567&gt;=25,W567&lt;55),0.2,0)+IF(AND(V567&gt;175,W567&gt;=55,W567&lt;95),0.15,0)+IF(AND(V567&gt;175,W567&gt;=95),0.1,0)))))))))))))))))</f>
        <v>0.3</v>
      </c>
      <c r="Y567" s="30">
        <f>IF(AG567="None",0,IF(AG567="Fix5",0.05, IF(AG567="Fix6.25",0.0625,IF(AG567="Fix3.75",0.0375,IF(AG567="Fix10",0.1,IF(AG567="Fix3",0.03,0))))))</f>
        <v>0</v>
      </c>
      <c r="Z567" s="35">
        <f>T567-AA567-AB567</f>
        <v>131.054</v>
      </c>
      <c r="AA567" s="29">
        <f>IF(AD567="EUR",((T567-R567)*X567)*U567+(R567*X567),(T567*X567))</f>
        <v>56.165999999999997</v>
      </c>
      <c r="AB567" s="36">
        <f>IF(AD567="EUR",((T567-R567)*Y567)*U567+(R567*Y567),(T567*Y567))</f>
        <v>0</v>
      </c>
      <c r="AC567" s="37" t="b">
        <v>1</v>
      </c>
      <c r="AD567" s="37" t="s">
        <v>38</v>
      </c>
      <c r="AE567" s="37" t="s">
        <v>38</v>
      </c>
      <c r="AF567" s="37" t="str">
        <f t="array" ref="AF567">INDEX('Deal Info'!D:D, MATCH(A567,'Deal Info'!A:A, 0))</f>
        <v>DoEV</v>
      </c>
      <c r="AG567" s="38" t="str">
        <f t="array" ref="AG567">INDEX('Deal Info'!G:G, MATCH(A567,'Deal Info'!A:A, 0))</f>
        <v>None</v>
      </c>
    </row>
    <row r="568" spans="1:33" ht="14.25" hidden="1" x14ac:dyDescent="0.2">
      <c r="A568" s="18" t="str">
        <f t="array" ref="A568">IF(G568='Room Info'!$B$1, INDEX('Room Info'!$A$2:$A2446, MATCH(B568,'Room Info'!$B$2:$B2446, 0)),IF(G568='Room Info'!$C$1, INDEX('Room Info'!$A$2:$A2446, MATCH(B568,'Room Info'!$C$2:$C2446, 0)),IF(G568='Room Info'!$D$1, INDEX('Room Info'!$A$2:$A2446, MATCH(B568,'Room Info'!$D$2:$D2446, 0)),IF(G568='Room Info'!$E$1, INDEX('Room Info'!$A$2:$A2446, MATCH(B568,'Room Info'!$E$2:$E2446, 0)),IF(G568='Room Info'!$F$1, INDEX('Room Info'!$A$2:$A2446, MATCH(B568,'Room Info'!$F$2:$F2446, 0)),IF(G568='Room Info'!$H$1, INDEX('Room Info'!$A$2:$A2446, MATCH(B568,'Room Info'!$H$2:$H2446, 0)),IF(G568='Room Info'!$G$1, INDEX('Room Info'!$A$2:$A2446, MATCH(B568,'Room Info'!$G$2:$G2446, 0)))))))))</f>
        <v>dimandmb1</v>
      </c>
      <c r="B568" s="45" t="s">
        <v>150</v>
      </c>
      <c r="C568" s="46">
        <v>44923</v>
      </c>
      <c r="D568" s="46">
        <v>44957</v>
      </c>
      <c r="E568" s="47">
        <v>44927</v>
      </c>
      <c r="F568" s="48" t="s">
        <v>41</v>
      </c>
      <c r="G568" s="45" t="s">
        <v>53</v>
      </c>
      <c r="H568" s="49" t="s">
        <v>54</v>
      </c>
      <c r="I568" s="49" t="s">
        <v>37</v>
      </c>
      <c r="J568" s="50">
        <v>5</v>
      </c>
      <c r="K568" s="51">
        <v>231</v>
      </c>
      <c r="L568" s="52">
        <v>-15.6</v>
      </c>
      <c r="M568" s="53">
        <v>40</v>
      </c>
      <c r="N568" s="28">
        <f>K568*J568</f>
        <v>1155</v>
      </c>
      <c r="O568" s="54">
        <v>27489</v>
      </c>
      <c r="P568" s="29">
        <v>119</v>
      </c>
      <c r="Q568" s="103"/>
      <c r="R568" s="31">
        <f>M568+Q568</f>
        <v>40</v>
      </c>
      <c r="S568" s="66"/>
      <c r="T568" s="32">
        <f>R568+S568+IF(F568="Without EV deal",L568,0)</f>
        <v>24.4</v>
      </c>
      <c r="U568" s="57">
        <v>1</v>
      </c>
      <c r="V568" s="69">
        <v>9.6797892985860834</v>
      </c>
      <c r="W568" s="69">
        <v>97.419475869969915</v>
      </c>
      <c r="X568" s="30">
        <f>IF(AF568="DoEV",IF(AND(V568&lt;20,W568&lt;55),0.3,0)+IF(AND(V568&lt;20,W568&gt;=55,W568&lt;105),0.23,0)+IF(AND(V568&lt;20,W568&gt;=105),0.17,0)+IF(AND(V568&gt;=20,V568&lt;40,W568&lt;45),0.3,0)+IF(AND(V568&gt;=20,V568&lt;40,W568&gt;=45,W568&lt;95),0.23,0)+IF(AND(V568&gt;=20,V568&lt;40,W568&gt;=95),0.17,0)+IF(AND(V568&gt;=40,V568&lt;75,W568&lt;35),0.3,0)+IF(AND(V568&gt;=40,V568&lt;75,W568&gt;=35,W568&lt;75),0.23,0)+IF(AND(V568&gt;=40,V568&lt;75,W568&gt;=75,W568&lt;120),0.17,0)+IF(AND(V568&gt;=40,V568&lt;75,W568&gt;=120),0.12,0)+IF(AND(V568&gt;=75,V568&lt;175,W568&lt;35),0.3,0)+IF(AND(V568&gt;=75,V568&lt;=175,W568&gt;=35,W568&lt;65),0.23,0)+IF(AND(V568&gt;=75,V568&lt;=175,W568&gt;=65,W568&lt;110),0.17,0)+IF(AND(V568&gt;=75,V568&lt;=175,W568&gt;=110),0.12,0)+IF(AND(V568&gt;175,W568&lt;25),0.3,0)+IF(AND(V568&gt;175,W568&gt;=25,W568&lt;55),0.23,0)+IF(AND(V568&gt;175,W568&gt;=55,W568&lt;95),0.17,0)+IF(AND(V568&gt;175,W568&gt;=95),0.12,0),
IF(AF568="Fix15",0.15,
IF(AF568="Fix18.75",0.1875,
IF(AF568="Fix11.25",0.1125,
IF(AF568="Fix10",0.1,
IF(AF568="Fix9",0.09,
IF(AF568="DoEV2017",IF(AND(W568&lt;74),0.2,0)+IF(AND(W568&gt;=74),0.17,0),
IF(AF568="SF",IF(AND(V568&lt;20,W568&lt;89),0.3,0)+IF(AND(V568&lt;20,W568&gt;=89),0.25,0)+IF(AND(V568&gt;=20,V568&lt;40,W568&lt;74),0.3,0)+IF(AND(V568&gt;=20,V568&lt;40,W568&gt;=75),0.22,0)+IF(AND(V568&gt;=40,V568&lt;75,W568&lt;75),0.26,0)+IF(AND(V568&gt;=40,V568&lt;75,W568&gt;=75),0.22,0)+IF(V568&gt;=75,0.22,0),
IF(AF568="DoEVold",IF(AND(V568&lt;40,W568&lt;35),0.35,0)+IF(AND(V568&lt;40,W568&gt;=35,W568&lt;75),0.25,0)+IF(AND(V568&lt;40,W568&gt;=75),0.17,0)+IF(AND(V568&gt;=40,V568&lt;75,W568&lt;25),0.35,0)+IF(AND(V568&gt;=40,V568&lt;75,W568&gt;=25,W568&lt;65),0.25,0)+IF(AND(V568&gt;=40,V568&lt;75,W568&gt;=65,W568&lt;100),0.17,0)+IF(AND(V568&gt;=40,V568&lt;75,W568&gt;=100),0.1,0)+IF(AND(V568&gt;=75,W568&lt;25),0.35,0)+IF(AND(V568&gt;=75,W568&gt;=25,W568&lt;60),0.25,0)+IF(AND(V568&gt;=75,W568&gt;=60,W568&lt;95),0.17,0)+IF(AND(V568&gt;=75,W568&gt;=95),0.1,0),
IF(AF568="DoEVold15",IF(AND(V568&lt;=40,W568&lt;35),0.35,0)+IF(AND(V568&lt;=40,W568&gt;=35,W568&lt;75),0.25,0)+IF(AND(V568&lt;=40,W568&gt;=75,W568&lt;120),0.17,0)+IF(AND(V568&lt;=40,W568&gt;=120),0.15,0)+IF(AND(V568&gt;40,V568&lt;75,W568&lt;25),0.35,0)+IF(AND(V568&gt;=40,V568&lt;75,W568&gt;=25,W568&lt;65),0.25,0)+IF(AND(V568&gt;=40,V568&lt;75,W568&gt;=65,W568&lt;100),0.17,0)+IF(AND(V568&gt;=40,V568&lt;75,W568&gt;=100),0.1,0)+IF(AND(V568&gt;=75,W568&lt;25),0.35,0)+IF(AND(V568&gt;=75,W568&gt;=25,W568&lt;60),0.25,0)+IF(AND(V568&gt;=75,W568&gt;=60,W568&lt;95),0.17,0)+IF(AND(V568&gt;=75,W568&gt;=95),0.1,0),
IF(AF568="DoEVba",IF(AND(V568&lt;20,W568&lt;105),0.2,0)+IF(AND(V568&lt;20,W568&gt;=105),0.15,0)+IF(AND(V568&gt;=20,V568&lt;40,W568&lt;95),0.2,0)+IF(AND(V568&gt;=20,V568&lt;40,W568&gt;=95,W568&lt;150),0.15,0)+IF(AND(V568&gt;=20,V568&lt;40,W568&gt;=150),0.12,0)+IF(AND(V568&gt;=40,V568&lt;75,W568&lt;75),0.2,0)+IF(AND(V568&gt;=40,V568&lt;75,W568&gt;=75,W568&lt;120),0.15,0)+IF(AND(V568&gt;=40,V568&lt;75,W568&gt;=120),0.12,0)+IF(AND(V568&gt;=75,V568&lt;175,W568&lt;65),0.2,0)+IF(AND(V568&gt;=75,V568&lt;175,W568&gt;=65,W568&lt;110),0.15,0)+IF(AND(V568&gt;=75,V568&lt;175,W568&gt;=110),0.12,0)+IF(AND(V568&gt;=175,W568&lt;55),0.2,0)+IF(AND(V568&gt;=175,W568&gt;=55,W568&lt;95),0.15,0)+IF(AND(V568&gt;=175,W568&gt;=95),0.12,0),
IF(AF568="DoEVku",IF(AND(V568&lt;20,W568&lt;55),0.23,0)+IF(AND(V568&lt;20,W568&gt;=55,W568&lt;105),0.2,0)+IF(AND(V568&lt;20,W568&gt;=105),0.17,0)+IF(AND(V568&gt;=20,V568&lt;40,W568&lt;45),0.23,0)+IF(AND(V568&gt;=20,V568&lt;40,W568&gt;=45,W568&lt;95),0.2,0)+IF(AND(V568&gt;=20,V568&lt;40,W568&gt;=95,W568&lt;=150),0.17,0)+IF(AND(V568&gt;=20,V568&lt;40,W568&gt;=150),0.12,0)+IF(AND(V568&gt;=40,V568&lt;75,W568&lt;35),0.23,0)+IF(AND(V568&gt;=40,V568&lt;75,W568&gt;=35,W568&lt;75),0.2,0)+IF(AND(V568&gt;=40,V568&lt;75,W568&gt;=75,W568&lt;120),0.17,0)+IF(AND(V568&gt;=40,V568&lt;75,W568&gt;=120),0.12,0)+IF(AND(V568&gt;=75,V568&lt;175,W568&lt;35),0.23,0)+IF(AND(V568&gt;=75,V568&lt;=175,W568&gt;=35,W568&lt;65),0.2,0)+IF(AND(V568&gt;=75,V568&lt;=175,W568&gt;=65,W568&lt;110),0.17,0)+IF(AND(V568&gt;=75,V568&lt;=175,W568&gt;=110),0.12,0)+IF(AND(V568&gt;175,W568&lt;25),0.23,0)+IF(AND(V568&gt;175,W568&gt;=25,W568&lt;55),0.2,0)+IF(AND(V568&gt;175,W568&gt;=55,W568&lt;95),0.17,0)+IF(AND(V568&gt;175,W568&gt;=95),0.12,0),
IF(AF568="DoEVs1",IF(AND(V568&lt;20,W568&lt;55),0.3,0)+IF(AND(V568&lt;20,W568&gt;=55,W568&lt;105),0.23,0)+IF(AND(V568&lt;20,W568&gt;=105),0.17,0)+IF(AND(V568&gt;=20,V568&lt;40,W568&lt;45),0.3,0)+IF(AND(V568&gt;=20,V568&lt;40,W568&gt;=45,W568&lt;95),0.23,0)+IF(AND(V568&gt;=20,V568&lt;40,W568&gt;=95,W568&lt;=150),0.17,0)+IF(AND(V568&gt;=20,V568&lt;40,W568&gt;=150),0.12,0)+IF(AND(V568&gt;=40,V568&lt;75,W568&lt;35),0.3,0)+IF(AND(V568&gt;=40,V568&lt;75,W568&gt;=35,W568&lt;75),0.23,0)+IF(AND(V568&gt;=40,V568&lt;75,W568&gt;=75,W568&lt;120),0.17,0)+IF(AND(V568&gt;=40,V568&lt;75,W568&gt;=120),0.12,0)+IF(AND(V568&gt;=75,V568&lt;175,W568&lt;35),0.3,0)+IF(AND(V568&gt;=75,V568&lt;=175,W568&gt;=35,W568&lt;65),0.23,0)+IF(AND(V568&gt;=75,V568&lt;=175,W568&gt;=65,W568&lt;110),0.17,0)+IF(AND(V568&gt;=75,V568&lt;=175,W568&gt;=110),0.12,0)+IF(AND(V568&gt;175,W568&lt;25),0.3,0)+IF(AND(V568&gt;175,W568&gt;=25,W568&lt;55),0.23,0)+IF(AND(V568&gt;175,W568&gt;=55,W568&lt;95),0.17,0)+IF(AND(V568&gt;175,W568&gt;=95),0.12,0),
IF(AF568="DoEVsu",IF(AND(V568&lt;20,W568&lt;55),0.3,0)+IF(AND(V568&lt;20,W568&gt;=55,W568&lt;105),0.23,0)+IF(AND(V568&lt;20,W568&gt;=105),0.17,0)+IF(AND(V568&gt;=20,V568&lt;40,W568&lt;45),0.3,0)+IF(AND(V568&gt;=20,V568&lt;40,W568&gt;=45,W568&lt;95),0.23,0)+IF(AND(V568&gt;=20,V568&lt;40,W568&gt;=95,W568&lt;=250),0.17,0)+IF(AND(V568&gt;=20,V568&lt;40,W568&gt;=250),0.12,0)+IF(AND(V568&gt;=40,V568&lt;75,W568&lt;35),0.3,0)+IF(AND(V568&gt;=40,V568&lt;75,W568&gt;=35,W568&lt;75),0.23,0)+IF(AND(V568&gt;=40,V568&lt;75,W568&gt;=75,W568&lt;120),0.17,0)+IF(AND(V568&gt;=40,V568&lt;75,W568&gt;=120),0.12,0)+IF(AND(V568&gt;=75,V568&lt;175,W568&lt;35),0.3,0)+IF(AND(V568&gt;=75,V568&lt;=175,W568&gt;=35,W568&lt;65),0.23,0)+IF(AND(V568&gt;=75,V568&lt;=175,W568&gt;=65,W568&lt;110),0.17,0)+IF(AND(V568&gt;=75,V568&lt;=175,W568&gt;=110),0.12,0)+IF(AND(V568&gt;175,W568&lt;25),0.3,0)+IF(AND(V568&gt;175,W568&gt;=25,W568&lt;55),0.23,0)+IF(AND(V568&gt;175,W568&gt;=55,W568&lt;95),0.17,0)+IF(AND(V568&gt;175,W568&gt;=95),0.12,0),
IF(AF568="DoEVni",IF(AND(V568&lt;20,W568&lt;55),0.3,0)+IF(AND(V568&lt;20,W568&gt;=55,W568&lt;105),0.23,0)+IF(AND(V568&lt;20,W568&gt;=105),0.17,0)+IF(AND(V568&gt;=20,V568&lt;40,W568&lt;45),0.3,0)+IF(AND(V568&gt;=20,V568&lt;40,W568&gt;=45,W568&lt;95),0.23,0)+IF(AND(V568&gt;=20,V568&lt;40,W568&gt;=95,W568&lt;=200),0.17,0)+IF(AND(V568&gt;=20,V568&lt;40,W568&gt;=200),0.12,0)+IF(AND(V568&gt;=40,V568&lt;75,W568&lt;35),0.3,0)+IF(AND(V568&gt;=40,V568&lt;75,W568&gt;=35,W568&lt;75),0.23,0)+IF(AND(V568&gt;=40,V568&lt;75,W568&gt;=75,W568&lt;120),0.17,0)+IF(AND(V568&gt;=40,V568&lt;75,W568&gt;=120),0.12,0)+IF(AND(V568&gt;=75,V568&lt;175,W568&lt;35),0.3,0)+IF(AND(V568&gt;=75,V568&lt;=175,W568&gt;=35,W568&lt;65),0.23,0)+IF(AND(V568&gt;=75,V568&lt;=175,W568&gt;=65,W568&lt;110),0.17,0)+IF(AND(V568&gt;=75,V568&lt;=175,W568&gt;=110),0.12,0)+IF(AND(V568&gt;175,W568&lt;25),0.3,0)+IF(AND(V568&gt;175,W568&gt;=25,W568&lt;55),0.23,0)+IF(AND(V568&gt;175,W568&gt;=55,W568&lt;95),0.17,0)+IF(AND(V568&gt;175,W568&gt;=95),0.12,0),
IF(AF568="DoEVLo",IF(AND(V568&lt;20,W568&lt;55),0.25,0)+IF(AND(V568&lt;20,W568&gt;=55,W568&lt;105),0.2,0)+IF(AND(V568&lt;20,W568&gt;=105),0.15,0)+IF(AND(V568&gt;=20,V568&lt;40,W568&lt;45),0.25,0)+IF(AND(V568&gt;=20,V568&lt;40,W568&gt;=45,W568&lt;95),0.2,0)+IF(AND(V568&gt;=20,V568&lt;40,W568&gt;=95),0.15,0)+IF(AND(V568&gt;=40,V568&lt;75,W568&lt;35),0.25,0)+IF(AND(V568&gt;=40,V568&lt;75,W568&gt;=35,W568&lt;75),0.2,0)+IF(AND(V568&gt;=40,V568&lt;75,W568&gt;=75,W568&lt;120),0.15,0)+IF(AND(V568&gt;=40,V568&lt;75,W568&gt;=120),0.1,0)+IF(AND(V568&gt;=75,V568&lt;175,W568&lt;35),0.25,0)+IF(AND(V568&gt;=75,V568&lt;=175,W568&gt;=35,W568&lt;65),0.2,0)+IF(AND(V568&gt;=75,V568&lt;=175,W568&gt;=65,W568&lt;110),0.15,0)+IF(AND(V568&gt;=75,V568&lt;=175,W568&gt;=110),0.1,0)+IF(AND(V568&gt;175,W568&lt;25),0.25,0)+IF(AND(V568&gt;175,W568&gt;=25,W568&lt;55),0.2,0)+IF(AND(V568&gt;175,W568&gt;=55,W568&lt;95),0.15,0)+IF(AND(V568&gt;175,W568&gt;=95),0.1,0)))))))))))))))))</f>
        <v>0.23</v>
      </c>
      <c r="Y568" s="30">
        <f>IF(AG568="None",0,IF(AG568="Fix5",0.05, IF(AG568="Fix6.25",0.0625,IF(AG568="Fix3.75",0.0375,IF(AG568="Fix10",0.1,IF(AG568="Fix3",0.03,0))))))</f>
        <v>0</v>
      </c>
      <c r="Z568" s="35">
        <f>T568-AA568-AB568</f>
        <v>18.787999999999997</v>
      </c>
      <c r="AA568" s="29">
        <f>IF(AD568="EUR",((T568-R568)*X568)*U568+(R568*X568),(T568*X568))</f>
        <v>5.6120000000000001</v>
      </c>
      <c r="AB568" s="36">
        <f>IF(AD568="EUR",((T568-R568)*Y568)*U568+(R568*Y568),(T568*Y568))</f>
        <v>0</v>
      </c>
      <c r="AC568" s="37" t="b">
        <v>1</v>
      </c>
      <c r="AD568" s="37" t="s">
        <v>38</v>
      </c>
      <c r="AE568" s="37" t="s">
        <v>38</v>
      </c>
      <c r="AF568" s="37" t="str">
        <f t="array" ref="AF568">INDEX('Deal Info'!D:D, MATCH(A568,'Deal Info'!A:A, 0))</f>
        <v>DoEV</v>
      </c>
      <c r="AG568" s="38" t="str">
        <f t="array" ref="AG568">INDEX('Deal Info'!G:G, MATCH(A568,'Deal Info'!A:A, 0))</f>
        <v>None</v>
      </c>
    </row>
    <row r="569" spans="1:33" ht="14.25" hidden="1" x14ac:dyDescent="0.2">
      <c r="A569" s="18" t="str">
        <f t="array" ref="A569">IF(G569='Room Info'!$B$1, INDEX('Room Info'!$A$2:$A2446, MATCH(B569,'Room Info'!$B$2:$B2446, 0)),IF(G569='Room Info'!$C$1, INDEX('Room Info'!$A$2:$A2446, MATCH(B569,'Room Info'!$C$2:$C2446, 0)),IF(G569='Room Info'!$D$1, INDEX('Room Info'!$A$2:$A2446, MATCH(B569,'Room Info'!$D$2:$D2446, 0)),IF(G569='Room Info'!$E$1, INDEX('Room Info'!$A$2:$A2446, MATCH(B569,'Room Info'!$E$2:$E2446, 0)),IF(G569='Room Info'!$F$1, INDEX('Room Info'!$A$2:$A2446, MATCH(B569,'Room Info'!$F$2:$F2446, 0)),IF(G569='Room Info'!$H$1, INDEX('Room Info'!$A$2:$A2446, MATCH(B569,'Room Info'!$H$2:$H2446, 0)),IF(G569='Room Info'!$G$1, INDEX('Room Info'!$A$2:$A2446, MATCH(B569,'Room Info'!$G$2:$G2446, 0)))))))))</f>
        <v>dimandmb1</v>
      </c>
      <c r="B569" s="45" t="s">
        <v>150</v>
      </c>
      <c r="C569" s="46">
        <v>44923</v>
      </c>
      <c r="D569" s="46">
        <v>44957</v>
      </c>
      <c r="E569" s="47">
        <v>44927</v>
      </c>
      <c r="F569" s="48" t="s">
        <v>41</v>
      </c>
      <c r="G569" s="45" t="s">
        <v>53</v>
      </c>
      <c r="H569" s="49" t="s">
        <v>55</v>
      </c>
      <c r="I569" s="49" t="s">
        <v>37</v>
      </c>
      <c r="J569" s="50">
        <v>10</v>
      </c>
      <c r="K569" s="51">
        <v>3376</v>
      </c>
      <c r="L569" s="52">
        <v>-263.39999999999998</v>
      </c>
      <c r="M569" s="53">
        <v>1182</v>
      </c>
      <c r="N569" s="28">
        <f>K569*J569</f>
        <v>33760</v>
      </c>
      <c r="O569" s="54">
        <v>131664</v>
      </c>
      <c r="P569" s="29">
        <v>39</v>
      </c>
      <c r="Q569" s="103"/>
      <c r="R569" s="31">
        <f>M569+Q569</f>
        <v>1182</v>
      </c>
      <c r="S569" s="66"/>
      <c r="T569" s="32">
        <f>R569+S569+IF(F569="Without EV deal",L569,0)</f>
        <v>918.6</v>
      </c>
      <c r="U569" s="57">
        <v>1</v>
      </c>
      <c r="V569" s="69">
        <v>9.6797892985860834</v>
      </c>
      <c r="W569" s="69">
        <v>97.419475869969915</v>
      </c>
      <c r="X569" s="30">
        <f>IF(AF569="DoEV",IF(AND(V569&lt;20,W569&lt;55),0.3,0)+IF(AND(V569&lt;20,W569&gt;=55,W569&lt;105),0.23,0)+IF(AND(V569&lt;20,W569&gt;=105),0.17,0)+IF(AND(V569&gt;=20,V569&lt;40,W569&lt;45),0.3,0)+IF(AND(V569&gt;=20,V569&lt;40,W569&gt;=45,W569&lt;95),0.23,0)+IF(AND(V569&gt;=20,V569&lt;40,W569&gt;=95),0.17,0)+IF(AND(V569&gt;=40,V569&lt;75,W569&lt;35),0.3,0)+IF(AND(V569&gt;=40,V569&lt;75,W569&gt;=35,W569&lt;75),0.23,0)+IF(AND(V569&gt;=40,V569&lt;75,W569&gt;=75,W569&lt;120),0.17,0)+IF(AND(V569&gt;=40,V569&lt;75,W569&gt;=120),0.12,0)+IF(AND(V569&gt;=75,V569&lt;175,W569&lt;35),0.3,0)+IF(AND(V569&gt;=75,V569&lt;=175,W569&gt;=35,W569&lt;65),0.23,0)+IF(AND(V569&gt;=75,V569&lt;=175,W569&gt;=65,W569&lt;110),0.17,0)+IF(AND(V569&gt;=75,V569&lt;=175,W569&gt;=110),0.12,0)+IF(AND(V569&gt;175,W569&lt;25),0.3,0)+IF(AND(V569&gt;175,W569&gt;=25,W569&lt;55),0.23,0)+IF(AND(V569&gt;175,W569&gt;=55,W569&lt;95),0.17,0)+IF(AND(V569&gt;175,W569&gt;=95),0.12,0),
IF(AF569="Fix15",0.15,
IF(AF569="Fix18.75",0.1875,
IF(AF569="Fix11.25",0.1125,
IF(AF569="Fix10",0.1,
IF(AF569="Fix9",0.09,
IF(AF569="DoEV2017",IF(AND(W569&lt;74),0.2,0)+IF(AND(W569&gt;=74),0.17,0),
IF(AF569="SF",IF(AND(V569&lt;20,W569&lt;89),0.3,0)+IF(AND(V569&lt;20,W569&gt;=89),0.25,0)+IF(AND(V569&gt;=20,V569&lt;40,W569&lt;74),0.3,0)+IF(AND(V569&gt;=20,V569&lt;40,W569&gt;=75),0.22,0)+IF(AND(V569&gt;=40,V569&lt;75,W569&lt;75),0.26,0)+IF(AND(V569&gt;=40,V569&lt;75,W569&gt;=75),0.22,0)+IF(V569&gt;=75,0.22,0),
IF(AF569="DoEVold",IF(AND(V569&lt;40,W569&lt;35),0.35,0)+IF(AND(V569&lt;40,W569&gt;=35,W569&lt;75),0.25,0)+IF(AND(V569&lt;40,W569&gt;=75),0.17,0)+IF(AND(V569&gt;=40,V569&lt;75,W569&lt;25),0.35,0)+IF(AND(V569&gt;=40,V569&lt;75,W569&gt;=25,W569&lt;65),0.25,0)+IF(AND(V569&gt;=40,V569&lt;75,W569&gt;=65,W569&lt;100),0.17,0)+IF(AND(V569&gt;=40,V569&lt;75,W569&gt;=100),0.1,0)+IF(AND(V569&gt;=75,W569&lt;25),0.35,0)+IF(AND(V569&gt;=75,W569&gt;=25,W569&lt;60),0.25,0)+IF(AND(V569&gt;=75,W569&gt;=60,W569&lt;95),0.17,0)+IF(AND(V569&gt;=75,W569&gt;=95),0.1,0),
IF(AF569="DoEVold15",IF(AND(V569&lt;=40,W569&lt;35),0.35,0)+IF(AND(V569&lt;=40,W569&gt;=35,W569&lt;75),0.25,0)+IF(AND(V569&lt;=40,W569&gt;=75,W569&lt;120),0.17,0)+IF(AND(V569&lt;=40,W569&gt;=120),0.15,0)+IF(AND(V569&gt;40,V569&lt;75,W569&lt;25),0.35,0)+IF(AND(V569&gt;=40,V569&lt;75,W569&gt;=25,W569&lt;65),0.25,0)+IF(AND(V569&gt;=40,V569&lt;75,W569&gt;=65,W569&lt;100),0.17,0)+IF(AND(V569&gt;=40,V569&lt;75,W569&gt;=100),0.1,0)+IF(AND(V569&gt;=75,W569&lt;25),0.35,0)+IF(AND(V569&gt;=75,W569&gt;=25,W569&lt;60),0.25,0)+IF(AND(V569&gt;=75,W569&gt;=60,W569&lt;95),0.17,0)+IF(AND(V569&gt;=75,W569&gt;=95),0.1,0),
IF(AF569="DoEVba",IF(AND(V569&lt;20,W569&lt;105),0.2,0)+IF(AND(V569&lt;20,W569&gt;=105),0.15,0)+IF(AND(V569&gt;=20,V569&lt;40,W569&lt;95),0.2,0)+IF(AND(V569&gt;=20,V569&lt;40,W569&gt;=95,W569&lt;150),0.15,0)+IF(AND(V569&gt;=20,V569&lt;40,W569&gt;=150),0.12,0)+IF(AND(V569&gt;=40,V569&lt;75,W569&lt;75),0.2,0)+IF(AND(V569&gt;=40,V569&lt;75,W569&gt;=75,W569&lt;120),0.15,0)+IF(AND(V569&gt;=40,V569&lt;75,W569&gt;=120),0.12,0)+IF(AND(V569&gt;=75,V569&lt;175,W569&lt;65),0.2,0)+IF(AND(V569&gt;=75,V569&lt;175,W569&gt;=65,W569&lt;110),0.15,0)+IF(AND(V569&gt;=75,V569&lt;175,W569&gt;=110),0.12,0)+IF(AND(V569&gt;=175,W569&lt;55),0.2,0)+IF(AND(V569&gt;=175,W569&gt;=55,W569&lt;95),0.15,0)+IF(AND(V569&gt;=175,W569&gt;=95),0.12,0),
IF(AF569="DoEVku",IF(AND(V569&lt;20,W569&lt;55),0.23,0)+IF(AND(V569&lt;20,W569&gt;=55,W569&lt;105),0.2,0)+IF(AND(V569&lt;20,W569&gt;=105),0.17,0)+IF(AND(V569&gt;=20,V569&lt;40,W569&lt;45),0.23,0)+IF(AND(V569&gt;=20,V569&lt;40,W569&gt;=45,W569&lt;95),0.2,0)+IF(AND(V569&gt;=20,V569&lt;40,W569&gt;=95,W569&lt;=150),0.17,0)+IF(AND(V569&gt;=20,V569&lt;40,W569&gt;=150),0.12,0)+IF(AND(V569&gt;=40,V569&lt;75,W569&lt;35),0.23,0)+IF(AND(V569&gt;=40,V569&lt;75,W569&gt;=35,W569&lt;75),0.2,0)+IF(AND(V569&gt;=40,V569&lt;75,W569&gt;=75,W569&lt;120),0.17,0)+IF(AND(V569&gt;=40,V569&lt;75,W569&gt;=120),0.12,0)+IF(AND(V569&gt;=75,V569&lt;175,W569&lt;35),0.23,0)+IF(AND(V569&gt;=75,V569&lt;=175,W569&gt;=35,W569&lt;65),0.2,0)+IF(AND(V569&gt;=75,V569&lt;=175,W569&gt;=65,W569&lt;110),0.17,0)+IF(AND(V569&gt;=75,V569&lt;=175,W569&gt;=110),0.12,0)+IF(AND(V569&gt;175,W569&lt;25),0.23,0)+IF(AND(V569&gt;175,W569&gt;=25,W569&lt;55),0.2,0)+IF(AND(V569&gt;175,W569&gt;=55,W569&lt;95),0.17,0)+IF(AND(V569&gt;175,W569&gt;=95),0.12,0),
IF(AF569="DoEVs1",IF(AND(V569&lt;20,W569&lt;55),0.3,0)+IF(AND(V569&lt;20,W569&gt;=55,W569&lt;105),0.23,0)+IF(AND(V569&lt;20,W569&gt;=105),0.17,0)+IF(AND(V569&gt;=20,V569&lt;40,W569&lt;45),0.3,0)+IF(AND(V569&gt;=20,V569&lt;40,W569&gt;=45,W569&lt;95),0.23,0)+IF(AND(V569&gt;=20,V569&lt;40,W569&gt;=95,W569&lt;=150),0.17,0)+IF(AND(V569&gt;=20,V569&lt;40,W569&gt;=150),0.12,0)+IF(AND(V569&gt;=40,V569&lt;75,W569&lt;35),0.3,0)+IF(AND(V569&gt;=40,V569&lt;75,W569&gt;=35,W569&lt;75),0.23,0)+IF(AND(V569&gt;=40,V569&lt;75,W569&gt;=75,W569&lt;120),0.17,0)+IF(AND(V569&gt;=40,V569&lt;75,W569&gt;=120),0.12,0)+IF(AND(V569&gt;=75,V569&lt;175,W569&lt;35),0.3,0)+IF(AND(V569&gt;=75,V569&lt;=175,W569&gt;=35,W569&lt;65),0.23,0)+IF(AND(V569&gt;=75,V569&lt;=175,W569&gt;=65,W569&lt;110),0.17,0)+IF(AND(V569&gt;=75,V569&lt;=175,W569&gt;=110),0.12,0)+IF(AND(V569&gt;175,W569&lt;25),0.3,0)+IF(AND(V569&gt;175,W569&gt;=25,W569&lt;55),0.23,0)+IF(AND(V569&gt;175,W569&gt;=55,W569&lt;95),0.17,0)+IF(AND(V569&gt;175,W569&gt;=95),0.12,0),
IF(AF569="DoEVsu",IF(AND(V569&lt;20,W569&lt;55),0.3,0)+IF(AND(V569&lt;20,W569&gt;=55,W569&lt;105),0.23,0)+IF(AND(V569&lt;20,W569&gt;=105),0.17,0)+IF(AND(V569&gt;=20,V569&lt;40,W569&lt;45),0.3,0)+IF(AND(V569&gt;=20,V569&lt;40,W569&gt;=45,W569&lt;95),0.23,0)+IF(AND(V569&gt;=20,V569&lt;40,W569&gt;=95,W569&lt;=250),0.17,0)+IF(AND(V569&gt;=20,V569&lt;40,W569&gt;=250),0.12,0)+IF(AND(V569&gt;=40,V569&lt;75,W569&lt;35),0.3,0)+IF(AND(V569&gt;=40,V569&lt;75,W569&gt;=35,W569&lt;75),0.23,0)+IF(AND(V569&gt;=40,V569&lt;75,W569&gt;=75,W569&lt;120),0.17,0)+IF(AND(V569&gt;=40,V569&lt;75,W569&gt;=120),0.12,0)+IF(AND(V569&gt;=75,V569&lt;175,W569&lt;35),0.3,0)+IF(AND(V569&gt;=75,V569&lt;=175,W569&gt;=35,W569&lt;65),0.23,0)+IF(AND(V569&gt;=75,V569&lt;=175,W569&gt;=65,W569&lt;110),0.17,0)+IF(AND(V569&gt;=75,V569&lt;=175,W569&gt;=110),0.12,0)+IF(AND(V569&gt;175,W569&lt;25),0.3,0)+IF(AND(V569&gt;175,W569&gt;=25,W569&lt;55),0.23,0)+IF(AND(V569&gt;175,W569&gt;=55,W569&lt;95),0.17,0)+IF(AND(V569&gt;175,W569&gt;=95),0.12,0),
IF(AF569="DoEVni",IF(AND(V569&lt;20,W569&lt;55),0.3,0)+IF(AND(V569&lt;20,W569&gt;=55,W569&lt;105),0.23,0)+IF(AND(V569&lt;20,W569&gt;=105),0.17,0)+IF(AND(V569&gt;=20,V569&lt;40,W569&lt;45),0.3,0)+IF(AND(V569&gt;=20,V569&lt;40,W569&gt;=45,W569&lt;95),0.23,0)+IF(AND(V569&gt;=20,V569&lt;40,W569&gt;=95,W569&lt;=200),0.17,0)+IF(AND(V569&gt;=20,V569&lt;40,W569&gt;=200),0.12,0)+IF(AND(V569&gt;=40,V569&lt;75,W569&lt;35),0.3,0)+IF(AND(V569&gt;=40,V569&lt;75,W569&gt;=35,W569&lt;75),0.23,0)+IF(AND(V569&gt;=40,V569&lt;75,W569&gt;=75,W569&lt;120),0.17,0)+IF(AND(V569&gt;=40,V569&lt;75,W569&gt;=120),0.12,0)+IF(AND(V569&gt;=75,V569&lt;175,W569&lt;35),0.3,0)+IF(AND(V569&gt;=75,V569&lt;=175,W569&gt;=35,W569&lt;65),0.23,0)+IF(AND(V569&gt;=75,V569&lt;=175,W569&gt;=65,W569&lt;110),0.17,0)+IF(AND(V569&gt;=75,V569&lt;=175,W569&gt;=110),0.12,0)+IF(AND(V569&gt;175,W569&lt;25),0.3,0)+IF(AND(V569&gt;175,W569&gt;=25,W569&lt;55),0.23,0)+IF(AND(V569&gt;175,W569&gt;=55,W569&lt;95),0.17,0)+IF(AND(V569&gt;175,W569&gt;=95),0.12,0),
IF(AF569="DoEVLo",IF(AND(V569&lt;20,W569&lt;55),0.25,0)+IF(AND(V569&lt;20,W569&gt;=55,W569&lt;105),0.2,0)+IF(AND(V569&lt;20,W569&gt;=105),0.15,0)+IF(AND(V569&gt;=20,V569&lt;40,W569&lt;45),0.25,0)+IF(AND(V569&gt;=20,V569&lt;40,W569&gt;=45,W569&lt;95),0.2,0)+IF(AND(V569&gt;=20,V569&lt;40,W569&gt;=95),0.15,0)+IF(AND(V569&gt;=40,V569&lt;75,W569&lt;35),0.25,0)+IF(AND(V569&gt;=40,V569&lt;75,W569&gt;=35,W569&lt;75),0.2,0)+IF(AND(V569&gt;=40,V569&lt;75,W569&gt;=75,W569&lt;120),0.15,0)+IF(AND(V569&gt;=40,V569&lt;75,W569&gt;=120),0.1,0)+IF(AND(V569&gt;=75,V569&lt;175,W569&lt;35),0.25,0)+IF(AND(V569&gt;=75,V569&lt;=175,W569&gt;=35,W569&lt;65),0.2,0)+IF(AND(V569&gt;=75,V569&lt;=175,W569&gt;=65,W569&lt;110),0.15,0)+IF(AND(V569&gt;=75,V569&lt;=175,W569&gt;=110),0.1,0)+IF(AND(V569&gt;175,W569&lt;25),0.25,0)+IF(AND(V569&gt;175,W569&gt;=25,W569&lt;55),0.2,0)+IF(AND(V569&gt;175,W569&gt;=55,W569&lt;95),0.15,0)+IF(AND(V569&gt;175,W569&gt;=95),0.1,0)))))))))))))))))</f>
        <v>0.23</v>
      </c>
      <c r="Y569" s="30">
        <f>IF(AG569="None",0,IF(AG569="Fix5",0.05, IF(AG569="Fix6.25",0.0625,IF(AG569="Fix3.75",0.0375,IF(AG569="Fix10",0.1,IF(AG569="Fix3",0.03,0))))))</f>
        <v>0</v>
      </c>
      <c r="Z569" s="35">
        <f>T569-AA569-AB569</f>
        <v>707.322</v>
      </c>
      <c r="AA569" s="29">
        <f>IF(AD569="EUR",((T569-R569)*X569)*U569+(R569*X569),(T569*X569))</f>
        <v>211.27800000000002</v>
      </c>
      <c r="AB569" s="36">
        <f>IF(AD569="EUR",((T569-R569)*Y569)*U569+(R569*Y569),(T569*Y569))</f>
        <v>0</v>
      </c>
      <c r="AC569" s="37" t="b">
        <v>1</v>
      </c>
      <c r="AD569" s="37" t="s">
        <v>38</v>
      </c>
      <c r="AE569" s="37" t="s">
        <v>38</v>
      </c>
      <c r="AF569" s="37" t="str">
        <f t="array" ref="AF569">INDEX('Deal Info'!D:D, MATCH(A569,'Deal Info'!A:A, 0))</f>
        <v>DoEV</v>
      </c>
      <c r="AG569" s="38" t="str">
        <f t="array" ref="AG569">INDEX('Deal Info'!G:G, MATCH(A569,'Deal Info'!A:A, 0))</f>
        <v>None</v>
      </c>
    </row>
    <row r="570" spans="1:33" ht="14.25" x14ac:dyDescent="0.2">
      <c r="A570" s="18" t="str">
        <f t="array" ref="A570">IF(G570='Room Info'!$B$1, INDEX('Room Info'!$A$2:$A2446, MATCH(B570,'Room Info'!$B$2:$B2446, 0)),IF(G570='Room Info'!$C$1, INDEX('Room Info'!$A$2:$A2446, MATCH(B570,'Room Info'!$C$2:$C2446, 0)),IF(G570='Room Info'!$D$1, INDEX('Room Info'!$A$2:$A2446, MATCH(B570,'Room Info'!$D$2:$D2446, 0)),IF(G570='Room Info'!$E$1, INDEX('Room Info'!$A$2:$A2446, MATCH(B570,'Room Info'!$E$2:$E2446, 0)),IF(G570='Room Info'!$F$1, INDEX('Room Info'!$A$2:$A2446, MATCH(B570,'Room Info'!$F$2:$F2446, 0)),IF(G570='Room Info'!$H$1, INDEX('Room Info'!$A$2:$A2446, MATCH(B570,'Room Info'!$H$2:$H2446, 0)),IF(G570='Room Info'!$G$1, INDEX('Room Info'!$A$2:$A2446, MATCH(B570,'Room Info'!$G$2:$G2446, 0)))))))))</f>
        <v>Freedoom</v>
      </c>
      <c r="B570" s="45" t="s">
        <v>110</v>
      </c>
      <c r="C570" s="111">
        <v>44835</v>
      </c>
      <c r="D570" s="111">
        <v>44865</v>
      </c>
      <c r="E570" s="47">
        <v>44835</v>
      </c>
      <c r="F570" s="48" t="s">
        <v>41</v>
      </c>
      <c r="G570" s="45" t="s">
        <v>61</v>
      </c>
      <c r="H570" s="49" t="s">
        <v>131</v>
      </c>
      <c r="I570" s="49" t="s">
        <v>68</v>
      </c>
      <c r="J570" s="50">
        <v>5</v>
      </c>
      <c r="K570" s="123">
        <v>225</v>
      </c>
      <c r="L570" s="113">
        <v>-65</v>
      </c>
      <c r="M570" s="62">
        <v>0</v>
      </c>
      <c r="N570" s="28">
        <f>K570*J570</f>
        <v>1125</v>
      </c>
      <c r="O570" s="65">
        <v>4050</v>
      </c>
      <c r="P570" s="29">
        <v>18</v>
      </c>
      <c r="Q570" s="55"/>
      <c r="R570" s="31">
        <f>M570+Q570</f>
        <v>0</v>
      </c>
      <c r="S570" s="66">
        <v>-36</v>
      </c>
      <c r="T570" s="32">
        <f>R570+S570+IF(F570="Without EV deal",L570,0)</f>
        <v>-101</v>
      </c>
      <c r="U570" s="57">
        <v>1</v>
      </c>
      <c r="V570" s="58"/>
      <c r="W570" s="58"/>
      <c r="X570" s="78">
        <f>IF(AF570="DoEV",IF(AND(V570&lt;20,W570&lt;55),0.3,0)+IF(AND(V570&lt;20,W570&gt;=55,W570&lt;105),0.23,0)+IF(AND(V570&lt;20,W570&gt;=105),0.17,0)+IF(AND(V570&gt;=20,V570&lt;40,W570&lt;45),0.3,0)+IF(AND(V570&gt;=20,V570&lt;40,W570&gt;=45,W570&lt;95),0.23,0)+IF(AND(V570&gt;=20,V570&lt;40,W570&gt;=95),0.17,0)+IF(AND(V570&gt;=40,V570&lt;75,W570&lt;35),0.3,0)+IF(AND(V570&gt;=40,V570&lt;75,W570&gt;=35,W570&lt;75),0.23,0)+IF(AND(V570&gt;=40,V570&lt;75,W570&gt;=75,W570&lt;120),0.17,0)+IF(AND(V570&gt;=40,V570&lt;75,W570&gt;=120),0.12,0)+IF(AND(V570&gt;=75,V570&lt;175,W570&lt;35),0.3,0)+IF(AND(V570&gt;=75,V570&lt;=175,W570&gt;=35,W570&lt;65),0.23,0)+IF(AND(V570&gt;=75,V570&lt;=175,W570&gt;=65,W570&lt;110),0.17,0)+IF(AND(V570&gt;=75,V570&lt;=175,W570&gt;=110),0.12,0)+IF(AND(V570&gt;175,W570&lt;25),0.3,0)+IF(AND(V570&gt;175,W570&gt;=25,W570&lt;55),0.23,0)+IF(AND(V570&gt;175,W570&gt;=55,W570&lt;95),0.17,0)+IF(AND(V570&gt;175,W570&gt;=95),0.12,0),
IF(AF570="Fix15",0.15,
IF(AF570="Fix11.25",0.1125,
IF(AF570="Fix10",0.1,
IF(AF570="Fix9",0.09,
IF(AF570="DoEV2017",IF(AND(W570&lt;74),0.2,0)+IF(AND(W570&gt;=74),0.17,0),
IF(AF570="SF",IF(AND(V570&lt;20,W570&lt;89),0.3,0)+IF(AND(V570&lt;20,W570&gt;=89),0.25,0)+IF(AND(V570&gt;=20,V570&lt;40,W570&lt;74),0.3,0)+IF(AND(V570&gt;=20,V570&lt;40,W570&gt;=75),0.22,0)+IF(AND(V570&gt;=40,V570&lt;75,W570&lt;75),0.26,0)+IF(AND(V570&gt;=40,V570&lt;75,W570&gt;=75),0.22,0)+IF(V570&gt;=75,0.22,0),
IF(AF570="DoEVold",IF(AND(V570&lt;40,W570&lt;35),0.35,0)+IF(AND(V570&lt;40,W570&gt;=35,W570&lt;75),0.25,0)+IF(AND(V570&lt;40,W570&gt;=75),0.17,0)+IF(AND(V570&gt;=40,V570&lt;75,W570&lt;25),0.35,0)+IF(AND(V570&gt;=40,V570&lt;75,W570&gt;=25,W570&lt;65),0.25,0)+IF(AND(V570&gt;=40,V570&lt;75,W570&gt;=65,W570&lt;100),0.17,0)+IF(AND(V570&gt;=40,V570&lt;75,W570&gt;=100),0.1,0)+IF(AND(V570&gt;=75,W570&lt;25),0.35,0)+IF(AND(V570&gt;=75,W570&gt;=25,W570&lt;60),0.25,0)+IF(AND(V570&gt;=75,W570&gt;=60,W570&lt;95),0.17,0)+IF(AND(V570&gt;=75,W570&gt;=95),0.1,0),
IF(AF570="DoEVold15",IF(AND(V570&lt;=40,W570&lt;35),0.35,0)+IF(AND(V570&lt;=40,W570&gt;=35,W570&lt;75),0.25,0)+IF(AND(V570&lt;=40,W570&gt;=75,W570&lt;120),0.17,0)+IF(AND(V570&lt;=40,W570&gt;=120),0.15,0)+IF(AND(V570&gt;40,V570&lt;75,W570&lt;25),0.35,0)+IF(AND(V570&gt;=40,V570&lt;75,W570&gt;=25,W570&lt;65),0.25,0)+IF(AND(V570&gt;=40,V570&lt;75,W570&gt;=65,W570&lt;100),0.17,0)+IF(AND(V570&gt;=40,V570&lt;75,W570&gt;=100),0.1,0)+IF(AND(V570&gt;=75,W570&lt;25),0.35,0)+IF(AND(V570&gt;=75,W570&gt;=25,W570&lt;60),0.25,0)+IF(AND(V570&gt;=75,W570&gt;=60,W570&lt;95),0.17,0)+IF(AND(V570&gt;=75,W570&gt;=95),0.1,0),
IF(AF570="DoEVba",IF(AND(V570&lt;20,W570&lt;105),0.2,0)+IF(AND(V570&lt;20,W570&gt;=105),0.15,0)+IF(AND(V570&gt;=20,V570&lt;40,W570&lt;95),0.2,0)+IF(AND(V570&gt;=20,V570&lt;40,W570&gt;=95,W570&lt;150),0.15,0)+IF(AND(V570&gt;=20,V570&lt;40,W570&gt;=150),0.12,0)+IF(AND(V570&gt;=40,V570&lt;75,W570&lt;75),0.2,0)+IF(AND(V570&gt;=40,V570&lt;75,W570&gt;=75,W570&lt;120),0.15,0)+IF(AND(V570&gt;=40,V570&lt;75,W570&gt;=120),0.12,0)+IF(AND(V570&gt;=75,V570&lt;175,W570&lt;65),0.2,0)+IF(AND(V570&gt;=75,V570&lt;175,W570&gt;=65,W570&lt;110),0.15,0)+IF(AND(V570&gt;=75,V570&lt;175,W570&gt;=110),0.12,0)+IF(AND(V570&gt;=175,W570&lt;55),0.2,0)+IF(AND(V570&gt;=175,W570&gt;=55,W570&lt;95),0.15,0)+IF(AND(V570&gt;=175,W570&gt;=95),0.12,0),
IF(AF570="DoEVku",IF(AND(V570&lt;20,W570&lt;55),0.23,0)+IF(AND(V570&lt;20,W570&gt;=55,W570&lt;105),0.2,0)+IF(AND(V570&lt;20,W570&gt;=105),0.17,0)+IF(AND(V570&gt;=20,V570&lt;40,W570&lt;45),0.23,0)+IF(AND(V570&gt;=20,V570&lt;40,W570&gt;=45,W570&lt;95),0.2,0)+IF(AND(V570&gt;=20,V570&lt;40,W570&gt;=95,W570&lt;=150),0.17,0)+IF(AND(V570&gt;=20,V570&lt;40,W570&gt;=150),0.12,0)+IF(AND(V570&gt;=40,V570&lt;75,W570&lt;35),0.23,0)+IF(AND(V570&gt;=40,V570&lt;75,W570&gt;=35,W570&lt;75),0.2,0)+IF(AND(V570&gt;=40,V570&lt;75,W570&gt;=75,W570&lt;120),0.17,0)+IF(AND(V570&gt;=40,V570&lt;75,W570&gt;=120),0.12,0)+IF(AND(V570&gt;=75,V570&lt;175,W570&lt;35),0.23,0)+IF(AND(V570&gt;=75,V570&lt;=175,W570&gt;=35,W570&lt;65),0.2,0)+IF(AND(V570&gt;=75,V570&lt;=175,W570&gt;=65,W570&lt;110),0.17,0)+IF(AND(V570&gt;=75,V570&lt;=175,W570&gt;=110),0.12,0)+IF(AND(V570&gt;175,W570&lt;25),0.23,0)+IF(AND(V570&gt;175,W570&gt;=25,W570&lt;55),0.2,0)+IF(AND(V570&gt;175,W570&gt;=55,W570&lt;95),0.17,0)+IF(AND(V570&gt;175,W570&gt;=95),0.12,0),
IF(AF570="DoEVs1",IF(AND(V570&lt;20,W570&lt;55),0.3,0)+IF(AND(V570&lt;20,W570&gt;=55,W570&lt;105),0.23,0)+IF(AND(V570&lt;20,W570&gt;=105),0.17,0)+IF(AND(V570&gt;=20,V570&lt;40,W570&lt;45),0.3,0)+IF(AND(V570&gt;=20,V570&lt;40,W570&gt;=45,W570&lt;95),0.23,0)+IF(AND(V570&gt;=20,V570&lt;40,W570&gt;=95,W570&lt;=150),0.17,0)+IF(AND(V570&gt;=20,V570&lt;40,W570&gt;=150),0.12,0)+IF(AND(V570&gt;=40,V570&lt;75,W570&lt;35),0.3,0)+IF(AND(V570&gt;=40,V570&lt;75,W570&gt;=35,W570&lt;75),0.23,0)+IF(AND(V570&gt;=40,V570&lt;75,W570&gt;=75,W570&lt;120),0.17,0)+IF(AND(V570&gt;=40,V570&lt;75,W570&gt;=120),0.12,0)+IF(AND(V570&gt;=75,V570&lt;175,W570&lt;35),0.3,0)+IF(AND(V570&gt;=75,V570&lt;=175,W570&gt;=35,W570&lt;65),0.23,0)+IF(AND(V570&gt;=75,V570&lt;=175,W570&gt;=65,W570&lt;110),0.17,0)+IF(AND(V570&gt;=75,V570&lt;=175,W570&gt;=110),0.12,0)+IF(AND(V570&gt;175,W570&lt;25),0.3,0)+IF(AND(V570&gt;175,W570&gt;=25,W570&lt;55),0.23,0)+IF(AND(V570&gt;175,W570&gt;=55,W570&lt;95),0.17,0)+IF(AND(V570&gt;175,W570&gt;=95),0.12,0),
IF(AF570="DoEVsu",IF(AND(V570&lt;20,W570&lt;55),0.3,0)+IF(AND(V570&lt;20,W570&gt;=55,W570&lt;105),0.23,0)+IF(AND(V570&lt;20,W570&gt;=105),0.17,0)+IF(AND(V570&gt;=20,V570&lt;40,W570&lt;45),0.3,0)+IF(AND(V570&gt;=20,V570&lt;40,W570&gt;=45,W570&lt;95),0.23,0)+IF(AND(V570&gt;=20,V570&lt;40,W570&gt;=95,W570&lt;=250),0.17,0)+IF(AND(V570&gt;=20,V570&lt;40,W570&gt;=250),0.12,0)+IF(AND(V570&gt;=40,V570&lt;75,W570&lt;35),0.3,0)+IF(AND(V570&gt;=40,V570&lt;75,W570&gt;=35,W570&lt;75),0.23,0)+IF(AND(V570&gt;=40,V570&lt;75,W570&gt;=75,W570&lt;120),0.17,0)+IF(AND(V570&gt;=40,V570&lt;75,W570&gt;=120),0.12,0)+IF(AND(V570&gt;=75,V570&lt;175,W570&lt;35),0.3,0)+IF(AND(V570&gt;=75,V570&lt;=175,W570&gt;=35,W570&lt;65),0.23,0)+IF(AND(V570&gt;=75,V570&lt;=175,W570&gt;=65,W570&lt;110),0.17,0)+IF(AND(V570&gt;=75,V570&lt;=175,W570&gt;=110),0.12,0)+IF(AND(V570&gt;175,W570&lt;25),0.3,0)+IF(AND(V570&gt;175,W570&gt;=25,W570&lt;55),0.23,0)+IF(AND(V570&gt;175,W570&gt;=55,W570&lt;95),0.17,0)+IF(AND(V570&gt;175,W570&gt;=95),0.12,0),
IF(AF570="DoEVni",IF(AND(V570&lt;20,W570&lt;55),0.3,0)+IF(AND(V570&lt;20,W570&gt;=55,W570&lt;105),0.23,0)+IF(AND(V570&lt;20,W570&gt;=105),0.17,0)+IF(AND(V570&gt;=20,V570&lt;40,W570&lt;45),0.3,0)+IF(AND(V570&gt;=20,V570&lt;40,W570&gt;=45,W570&lt;95),0.23,0)+IF(AND(V570&gt;=20,V570&lt;40,W570&gt;=95,W570&lt;=200),0.17,0)+IF(AND(V570&gt;=20,V570&lt;40,W570&gt;=200),0.12,0)+IF(AND(V570&gt;=40,V570&lt;75,W570&lt;35),0.3,0)+IF(AND(V570&gt;=40,V570&lt;75,W570&gt;=35,W570&lt;75),0.23,0)+IF(AND(V570&gt;=40,V570&lt;75,W570&gt;=75,W570&lt;120),0.17,0)+IF(AND(V570&gt;=40,V570&lt;75,W570&gt;=120),0.12,0)+IF(AND(V570&gt;=75,V570&lt;175,W570&lt;35),0.3,0)+IF(AND(V570&gt;=75,V570&lt;=175,W570&gt;=35,W570&lt;65),0.23,0)+IF(AND(V570&gt;=75,V570&lt;=175,W570&gt;=65,W570&lt;110),0.17,0)+IF(AND(V570&gt;=75,V570&lt;=175,W570&gt;=110),0.12,0)+IF(AND(V570&gt;175,W570&lt;25),0.3,0)+IF(AND(V570&gt;175,W570&gt;=25,W570&lt;55),0.23,0)+IF(AND(V570&gt;175,W570&gt;=55,W570&lt;95),0.17,0)+IF(AND(V570&gt;175,W570&gt;=95),0.12,0),
IF(AF570="DoEVLo",IF(AND(V570&lt;20,W570&lt;55),0.25,0)+IF(AND(V570&lt;20,W570&gt;=55,W570&lt;105),0.2,0)+IF(AND(V570&lt;20,W570&gt;=105),0.15,0)+IF(AND(V570&gt;=20,V570&lt;40,W570&lt;45),0.25,0)+IF(AND(V570&gt;=20,V570&lt;40,W570&gt;=45,W570&lt;95),0.2,0)+IF(AND(V570&gt;=20,V570&lt;40,W570&gt;=95),0.15,0)+IF(AND(V570&gt;=40,V570&lt;75,W570&lt;35),0.25,0)+IF(AND(V570&gt;=40,V570&lt;75,W570&gt;=35,W570&lt;75),0.2,0)+IF(AND(V570&gt;=40,V570&lt;75,W570&gt;=75,W570&lt;120),0.15,0)+IF(AND(V570&gt;=40,V570&lt;75,W570&gt;=120),0.1,0)+IF(AND(V570&gt;=75,V570&lt;175,W570&lt;35),0.25,0)+IF(AND(V570&gt;=75,V570&lt;=175,W570&gt;=35,W570&lt;65),0.2,0)+IF(AND(V570&gt;=75,V570&lt;=175,W570&gt;=65,W570&lt;110),0.15,0)+IF(AND(V570&gt;=75,V570&lt;=175,W570&gt;=110),0.1,0)+IF(AND(V570&gt;175,W570&lt;25),0.25,0)+IF(AND(V570&gt;175,W570&gt;=25,W570&lt;55),0.2,0)+IF(AND(V570&gt;175,W570&gt;=55,W570&lt;95),0.15,0)+IF(AND(V570&gt;175,W570&gt;=95),0.1,0))))))))))))))))</f>
        <v>0.35</v>
      </c>
      <c r="Y570" s="30">
        <f>IF(AG570="None",0,IF(AG570="Fix5",0.05,IF(AG570="Fix3.75",0.0375,IF(AG570="Fix10",0.1,IF(AG570="Fix3",0.03,0)))))</f>
        <v>0</v>
      </c>
      <c r="Z570" s="35">
        <v>-49</v>
      </c>
      <c r="AA570" s="29">
        <v>-16</v>
      </c>
      <c r="AB570" s="36">
        <f>IF(AD570="EUR",((T570-R570)*Y570)*U570+(R570*Y570),(T570*Y570))</f>
        <v>0</v>
      </c>
      <c r="AC570" s="37" t="b">
        <v>1</v>
      </c>
      <c r="AD570" s="83" t="s">
        <v>38</v>
      </c>
      <c r="AE570" s="83" t="s">
        <v>38</v>
      </c>
      <c r="AF570" s="37" t="str">
        <f t="array" ref="AF570">INDEX('Deal Info'!D:D, MATCH(A570,'Deal Info'!A:A, 0))</f>
        <v>DoEVold</v>
      </c>
      <c r="AG570" s="38" t="str">
        <f t="array" ref="AG570">INDEX('Deal Info'!G:G, MATCH(A570,'Deal Info'!A:A, 0))</f>
        <v>None</v>
      </c>
    </row>
    <row r="571" spans="1:33" ht="14.25" x14ac:dyDescent="0.2">
      <c r="A571" s="18" t="str">
        <f t="array" ref="A571">IF(G571='Room Info'!$B$1, INDEX('Room Info'!$A$2:$A2446, MATCH(B571,'Room Info'!$B$2:$B2446, 0)),IF(G571='Room Info'!$C$1, INDEX('Room Info'!$A$2:$A2446, MATCH(B571,'Room Info'!$C$2:$C2446, 0)),IF(G571='Room Info'!$D$1, INDEX('Room Info'!$A$2:$A2446, MATCH(B571,'Room Info'!$D$2:$D2446, 0)),IF(G571='Room Info'!$E$1, INDEX('Room Info'!$A$2:$A2446, MATCH(B571,'Room Info'!$E$2:$E2446, 0)),IF(G571='Room Info'!$F$1, INDEX('Room Info'!$A$2:$A2446, MATCH(B571,'Room Info'!$F$2:$F2446, 0)),IF(G571='Room Info'!$H$1, INDEX('Room Info'!$A$2:$A2446, MATCH(B571,'Room Info'!$H$2:$H2446, 0)),IF(G571='Room Info'!$G$1, INDEX('Room Info'!$A$2:$A2446, MATCH(B571,'Room Info'!$G$2:$G2446, 0)))))))))</f>
        <v>Freedoom</v>
      </c>
      <c r="B571" s="45" t="s">
        <v>110</v>
      </c>
      <c r="C571" s="46">
        <v>44835</v>
      </c>
      <c r="D571" s="46">
        <v>44865</v>
      </c>
      <c r="E571" s="47">
        <v>44835</v>
      </c>
      <c r="F571" s="48" t="s">
        <v>41</v>
      </c>
      <c r="G571" s="45" t="s">
        <v>61</v>
      </c>
      <c r="H571" s="49" t="s">
        <v>54</v>
      </c>
      <c r="I571" s="49" t="s">
        <v>101</v>
      </c>
      <c r="J571" s="70">
        <v>5</v>
      </c>
      <c r="K571" s="71">
        <v>465</v>
      </c>
      <c r="L571" s="135">
        <v>-240</v>
      </c>
      <c r="M571" s="53">
        <v>20</v>
      </c>
      <c r="N571" s="28">
        <f>K571*J571</f>
        <v>2325</v>
      </c>
      <c r="O571" s="129">
        <v>20460</v>
      </c>
      <c r="P571" s="29">
        <v>44</v>
      </c>
      <c r="Q571" s="55"/>
      <c r="R571" s="31">
        <f>M571+Q571</f>
        <v>20</v>
      </c>
      <c r="S571" s="97">
        <v>-16</v>
      </c>
      <c r="T571" s="32">
        <f>R571+S571+IF(F571="Without EV deal",L571,0)</f>
        <v>-236</v>
      </c>
      <c r="U571" s="57">
        <v>1</v>
      </c>
      <c r="V571" s="58"/>
      <c r="W571" s="58"/>
      <c r="X571" s="78">
        <f>IF(AF571="DoEV",IF(AND(V571&lt;20,W571&lt;55),0.3,0)+IF(AND(V571&lt;20,W571&gt;=55,W571&lt;105),0.23,0)+IF(AND(V571&lt;20,W571&gt;=105),0.17,0)+IF(AND(V571&gt;=20,V571&lt;40,W571&lt;45),0.3,0)+IF(AND(V571&gt;=20,V571&lt;40,W571&gt;=45,W571&lt;95),0.23,0)+IF(AND(V571&gt;=20,V571&lt;40,W571&gt;=95),0.17,0)+IF(AND(V571&gt;=40,V571&lt;75,W571&lt;35),0.3,0)+IF(AND(V571&gt;=40,V571&lt;75,W571&gt;=35,W571&lt;75),0.23,0)+IF(AND(V571&gt;=40,V571&lt;75,W571&gt;=75,W571&lt;120),0.17,0)+IF(AND(V571&gt;=40,V571&lt;75,W571&gt;=120),0.12,0)+IF(AND(V571&gt;=75,V571&lt;175,W571&lt;35),0.3,0)+IF(AND(V571&gt;=75,V571&lt;=175,W571&gt;=35,W571&lt;65),0.23,0)+IF(AND(V571&gt;=75,V571&lt;=175,W571&gt;=65,W571&lt;110),0.17,0)+IF(AND(V571&gt;=75,V571&lt;=175,W571&gt;=110),0.12,0)+IF(AND(V571&gt;175,W571&lt;25),0.3,0)+IF(AND(V571&gt;175,W571&gt;=25,W571&lt;55),0.23,0)+IF(AND(V571&gt;175,W571&gt;=55,W571&lt;95),0.17,0)+IF(AND(V571&gt;175,W571&gt;=95),0.12,0),
IF(AF571="Fix15",0.15,
IF(AF571="Fix11.25",0.1125,
IF(AF571="Fix10",0.1,
IF(AF571="Fix9",0.09,
IF(AF571="DoEV2017",IF(AND(W571&lt;74),0.2,0)+IF(AND(W571&gt;=74),0.17,0),
IF(AF571="SF",IF(AND(V571&lt;20,W571&lt;89),0.3,0)+IF(AND(V571&lt;20,W571&gt;=89),0.25,0)+IF(AND(V571&gt;=20,V571&lt;40,W571&lt;74),0.3,0)+IF(AND(V571&gt;=20,V571&lt;40,W571&gt;=75),0.22,0)+IF(AND(V571&gt;=40,V571&lt;75,W571&lt;75),0.26,0)+IF(AND(V571&gt;=40,V571&lt;75,W571&gt;=75),0.22,0)+IF(V571&gt;=75,0.22,0),
IF(AF571="DoEVold",IF(AND(V571&lt;40,W571&lt;35),0.35,0)+IF(AND(V571&lt;40,W571&gt;=35,W571&lt;75),0.25,0)+IF(AND(V571&lt;40,W571&gt;=75),0.17,0)+IF(AND(V571&gt;=40,V571&lt;75,W571&lt;25),0.35,0)+IF(AND(V571&gt;=40,V571&lt;75,W571&gt;=25,W571&lt;65),0.25,0)+IF(AND(V571&gt;=40,V571&lt;75,W571&gt;=65,W571&lt;100),0.17,0)+IF(AND(V571&gt;=40,V571&lt;75,W571&gt;=100),0.1,0)+IF(AND(V571&gt;=75,W571&lt;25),0.35,0)+IF(AND(V571&gt;=75,W571&gt;=25,W571&lt;60),0.25,0)+IF(AND(V571&gt;=75,W571&gt;=60,W571&lt;95),0.17,0)+IF(AND(V571&gt;=75,W571&gt;=95),0.1,0),
IF(AF571="DoEVold15",IF(AND(V571&lt;=40,W571&lt;35),0.35,0)+IF(AND(V571&lt;=40,W571&gt;=35,W571&lt;75),0.25,0)+IF(AND(V571&lt;=40,W571&gt;=75,W571&lt;120),0.17,0)+IF(AND(V571&lt;=40,W571&gt;=120),0.15,0)+IF(AND(V571&gt;40,V571&lt;75,W571&lt;25),0.35,0)+IF(AND(V571&gt;=40,V571&lt;75,W571&gt;=25,W571&lt;65),0.25,0)+IF(AND(V571&gt;=40,V571&lt;75,W571&gt;=65,W571&lt;100),0.17,0)+IF(AND(V571&gt;=40,V571&lt;75,W571&gt;=100),0.1,0)+IF(AND(V571&gt;=75,W571&lt;25),0.35,0)+IF(AND(V571&gt;=75,W571&gt;=25,W571&lt;60),0.25,0)+IF(AND(V571&gt;=75,W571&gt;=60,W571&lt;95),0.17,0)+IF(AND(V571&gt;=75,W571&gt;=95),0.1,0),
IF(AF571="DoEVba",IF(AND(V571&lt;20,W571&lt;105),0.2,0)+IF(AND(V571&lt;20,W571&gt;=105),0.15,0)+IF(AND(V571&gt;=20,V571&lt;40,W571&lt;95),0.2,0)+IF(AND(V571&gt;=20,V571&lt;40,W571&gt;=95,W571&lt;150),0.15,0)+IF(AND(V571&gt;=20,V571&lt;40,W571&gt;=150),0.12,0)+IF(AND(V571&gt;=40,V571&lt;75,W571&lt;75),0.2,0)+IF(AND(V571&gt;=40,V571&lt;75,W571&gt;=75,W571&lt;120),0.15,0)+IF(AND(V571&gt;=40,V571&lt;75,W571&gt;=120),0.12,0)+IF(AND(V571&gt;=75,V571&lt;175,W571&lt;65),0.2,0)+IF(AND(V571&gt;=75,V571&lt;175,W571&gt;=65,W571&lt;110),0.15,0)+IF(AND(V571&gt;=75,V571&lt;175,W571&gt;=110),0.12,0)+IF(AND(V571&gt;=175,W571&lt;55),0.2,0)+IF(AND(V571&gt;=175,W571&gt;=55,W571&lt;95),0.15,0)+IF(AND(V571&gt;=175,W571&gt;=95),0.12,0),
IF(AF571="DoEVku",IF(AND(V571&lt;20,W571&lt;55),0.23,0)+IF(AND(V571&lt;20,W571&gt;=55,W571&lt;105),0.2,0)+IF(AND(V571&lt;20,W571&gt;=105),0.17,0)+IF(AND(V571&gt;=20,V571&lt;40,W571&lt;45),0.23,0)+IF(AND(V571&gt;=20,V571&lt;40,W571&gt;=45,W571&lt;95),0.2,0)+IF(AND(V571&gt;=20,V571&lt;40,W571&gt;=95,W571&lt;=150),0.17,0)+IF(AND(V571&gt;=20,V571&lt;40,W571&gt;=150),0.12,0)+IF(AND(V571&gt;=40,V571&lt;75,W571&lt;35),0.23,0)+IF(AND(V571&gt;=40,V571&lt;75,W571&gt;=35,W571&lt;75),0.2,0)+IF(AND(V571&gt;=40,V571&lt;75,W571&gt;=75,W571&lt;120),0.17,0)+IF(AND(V571&gt;=40,V571&lt;75,W571&gt;=120),0.12,0)+IF(AND(V571&gt;=75,V571&lt;175,W571&lt;35),0.23,0)+IF(AND(V571&gt;=75,V571&lt;=175,W571&gt;=35,W571&lt;65),0.2,0)+IF(AND(V571&gt;=75,V571&lt;=175,W571&gt;=65,W571&lt;110),0.17,0)+IF(AND(V571&gt;=75,V571&lt;=175,W571&gt;=110),0.12,0)+IF(AND(V571&gt;175,W571&lt;25),0.23,0)+IF(AND(V571&gt;175,W571&gt;=25,W571&lt;55),0.2,0)+IF(AND(V571&gt;175,W571&gt;=55,W571&lt;95),0.17,0)+IF(AND(V571&gt;175,W571&gt;=95),0.12,0),
IF(AF571="DoEVs1",IF(AND(V571&lt;20,W571&lt;55),0.3,0)+IF(AND(V571&lt;20,W571&gt;=55,W571&lt;105),0.23,0)+IF(AND(V571&lt;20,W571&gt;=105),0.17,0)+IF(AND(V571&gt;=20,V571&lt;40,W571&lt;45),0.3,0)+IF(AND(V571&gt;=20,V571&lt;40,W571&gt;=45,W571&lt;95),0.23,0)+IF(AND(V571&gt;=20,V571&lt;40,W571&gt;=95,W571&lt;=150),0.17,0)+IF(AND(V571&gt;=20,V571&lt;40,W571&gt;=150),0.12,0)+IF(AND(V571&gt;=40,V571&lt;75,W571&lt;35),0.3,0)+IF(AND(V571&gt;=40,V571&lt;75,W571&gt;=35,W571&lt;75),0.23,0)+IF(AND(V571&gt;=40,V571&lt;75,W571&gt;=75,W571&lt;120),0.17,0)+IF(AND(V571&gt;=40,V571&lt;75,W571&gt;=120),0.12,0)+IF(AND(V571&gt;=75,V571&lt;175,W571&lt;35),0.3,0)+IF(AND(V571&gt;=75,V571&lt;=175,W571&gt;=35,W571&lt;65),0.23,0)+IF(AND(V571&gt;=75,V571&lt;=175,W571&gt;=65,W571&lt;110),0.17,0)+IF(AND(V571&gt;=75,V571&lt;=175,W571&gt;=110),0.12,0)+IF(AND(V571&gt;175,W571&lt;25),0.3,0)+IF(AND(V571&gt;175,W571&gt;=25,W571&lt;55),0.23,0)+IF(AND(V571&gt;175,W571&gt;=55,W571&lt;95),0.17,0)+IF(AND(V571&gt;175,W571&gt;=95),0.12,0),
IF(AF571="DoEVsu",IF(AND(V571&lt;20,W571&lt;55),0.3,0)+IF(AND(V571&lt;20,W571&gt;=55,W571&lt;105),0.23,0)+IF(AND(V571&lt;20,W571&gt;=105),0.17,0)+IF(AND(V571&gt;=20,V571&lt;40,W571&lt;45),0.3,0)+IF(AND(V571&gt;=20,V571&lt;40,W571&gt;=45,W571&lt;95),0.23,0)+IF(AND(V571&gt;=20,V571&lt;40,W571&gt;=95,W571&lt;=250),0.17,0)+IF(AND(V571&gt;=20,V571&lt;40,W571&gt;=250),0.12,0)+IF(AND(V571&gt;=40,V571&lt;75,W571&lt;35),0.3,0)+IF(AND(V571&gt;=40,V571&lt;75,W571&gt;=35,W571&lt;75),0.23,0)+IF(AND(V571&gt;=40,V571&lt;75,W571&gt;=75,W571&lt;120),0.17,0)+IF(AND(V571&gt;=40,V571&lt;75,W571&gt;=120),0.12,0)+IF(AND(V571&gt;=75,V571&lt;175,W571&lt;35),0.3,0)+IF(AND(V571&gt;=75,V571&lt;=175,W571&gt;=35,W571&lt;65),0.23,0)+IF(AND(V571&gt;=75,V571&lt;=175,W571&gt;=65,W571&lt;110),0.17,0)+IF(AND(V571&gt;=75,V571&lt;=175,W571&gt;=110),0.12,0)+IF(AND(V571&gt;175,W571&lt;25),0.3,0)+IF(AND(V571&gt;175,W571&gt;=25,W571&lt;55),0.23,0)+IF(AND(V571&gt;175,W571&gt;=55,W571&lt;95),0.17,0)+IF(AND(V571&gt;175,W571&gt;=95),0.12,0),
IF(AF571="DoEVni",IF(AND(V571&lt;20,W571&lt;55),0.3,0)+IF(AND(V571&lt;20,W571&gt;=55,W571&lt;105),0.23,0)+IF(AND(V571&lt;20,W571&gt;=105),0.17,0)+IF(AND(V571&gt;=20,V571&lt;40,W571&lt;45),0.3,0)+IF(AND(V571&gt;=20,V571&lt;40,W571&gt;=45,W571&lt;95),0.23,0)+IF(AND(V571&gt;=20,V571&lt;40,W571&gt;=95,W571&lt;=200),0.17,0)+IF(AND(V571&gt;=20,V571&lt;40,W571&gt;=200),0.12,0)+IF(AND(V571&gt;=40,V571&lt;75,W571&lt;35),0.3,0)+IF(AND(V571&gt;=40,V571&lt;75,W571&gt;=35,W571&lt;75),0.23,0)+IF(AND(V571&gt;=40,V571&lt;75,W571&gt;=75,W571&lt;120),0.17,0)+IF(AND(V571&gt;=40,V571&lt;75,W571&gt;=120),0.12,0)+IF(AND(V571&gt;=75,V571&lt;175,W571&lt;35),0.3,0)+IF(AND(V571&gt;=75,V571&lt;=175,W571&gt;=35,W571&lt;65),0.23,0)+IF(AND(V571&gt;=75,V571&lt;=175,W571&gt;=65,W571&lt;110),0.17,0)+IF(AND(V571&gt;=75,V571&lt;=175,W571&gt;=110),0.12,0)+IF(AND(V571&gt;175,W571&lt;25),0.3,0)+IF(AND(V571&gt;175,W571&gt;=25,W571&lt;55),0.23,0)+IF(AND(V571&gt;175,W571&gt;=55,W571&lt;95),0.17,0)+IF(AND(V571&gt;175,W571&gt;=95),0.12,0),
IF(AF571="DoEVLo",IF(AND(V571&lt;20,W571&lt;55),0.25,0)+IF(AND(V571&lt;20,W571&gt;=55,W571&lt;105),0.2,0)+IF(AND(V571&lt;20,W571&gt;=105),0.15,0)+IF(AND(V571&gt;=20,V571&lt;40,W571&lt;45),0.25,0)+IF(AND(V571&gt;=20,V571&lt;40,W571&gt;=45,W571&lt;95),0.2,0)+IF(AND(V571&gt;=20,V571&lt;40,W571&gt;=95),0.15,0)+IF(AND(V571&gt;=40,V571&lt;75,W571&lt;35),0.25,0)+IF(AND(V571&gt;=40,V571&lt;75,W571&gt;=35,W571&lt;75),0.2,0)+IF(AND(V571&gt;=40,V571&lt;75,W571&gt;=75,W571&lt;120),0.15,0)+IF(AND(V571&gt;=40,V571&lt;75,W571&gt;=120),0.1,0)+IF(AND(V571&gt;=75,V571&lt;175,W571&lt;35),0.25,0)+IF(AND(V571&gt;=75,V571&lt;=175,W571&gt;=35,W571&lt;65),0.2,0)+IF(AND(V571&gt;=75,V571&lt;=175,W571&gt;=65,W571&lt;110),0.15,0)+IF(AND(V571&gt;=75,V571&lt;=175,W571&gt;=110),0.1,0)+IF(AND(V571&gt;175,W571&lt;25),0.25,0)+IF(AND(V571&gt;175,W571&gt;=25,W571&lt;55),0.2,0)+IF(AND(V571&gt;175,W571&gt;=55,W571&lt;95),0.15,0)+IF(AND(V571&gt;175,W571&gt;=95),0.1,0))))))))))))))))</f>
        <v>0.35</v>
      </c>
      <c r="Y571" s="30">
        <f>IF(AG571="None",0,IF(AG571="Fix5",0.05,IF(AG571="Fix3.75",0.0375,IF(AG571="Fix10",0.1,IF(AG571="Fix3",0.03,0)))))</f>
        <v>0</v>
      </c>
      <c r="Z571" s="35">
        <v>-165</v>
      </c>
      <c r="AA571" s="29">
        <v>-55</v>
      </c>
      <c r="AB571" s="36">
        <f>IF(AD571="EUR",((T571-R571)*Y571)*U571+(R571*Y571),(T571*Y571))</f>
        <v>0</v>
      </c>
      <c r="AC571" s="37" t="b">
        <v>1</v>
      </c>
      <c r="AD571" s="83" t="s">
        <v>38</v>
      </c>
      <c r="AE571" s="83" t="s">
        <v>38</v>
      </c>
      <c r="AF571" s="37" t="str">
        <f t="array" ref="AF571">INDEX('Deal Info'!D:D, MATCH(A571,'Deal Info'!A:A, 0))</f>
        <v>DoEVold</v>
      </c>
      <c r="AG571" s="38" t="str">
        <f t="array" ref="AG571">INDEX('Deal Info'!G:G, MATCH(A571,'Deal Info'!A:A, 0))</f>
        <v>None</v>
      </c>
    </row>
    <row r="572" spans="1:33" ht="14.25" x14ac:dyDescent="0.2">
      <c r="A572" s="18" t="str">
        <f t="array" ref="A572">IF(G572='Room Info'!$B$1, INDEX('Room Info'!$A$2:$A2446, MATCH(B572,'Room Info'!$B$2:$B2446, 0)),IF(G572='Room Info'!$C$1, INDEX('Room Info'!$A$2:$A2446, MATCH(B572,'Room Info'!$C$2:$C2446, 0)),IF(G572='Room Info'!$D$1, INDEX('Room Info'!$A$2:$A2446, MATCH(B572,'Room Info'!$D$2:$D2446, 0)),IF(G572='Room Info'!$E$1, INDEX('Room Info'!$A$2:$A2446, MATCH(B572,'Room Info'!$E$2:$E2446, 0)),IF(G572='Room Info'!$F$1, INDEX('Room Info'!$A$2:$A2446, MATCH(B572,'Room Info'!$F$2:$F2446, 0)),IF(G572='Room Info'!$H$1, INDEX('Room Info'!$A$2:$A2446, MATCH(B572,'Room Info'!$H$2:$H2446, 0)),IF(G572='Room Info'!$G$1, INDEX('Room Info'!$A$2:$A2446, MATCH(B572,'Room Info'!$G$2:$G2446, 0)))))))))</f>
        <v>vezuxa</v>
      </c>
      <c r="B572" s="45" t="s">
        <v>133</v>
      </c>
      <c r="C572" s="46">
        <v>44835</v>
      </c>
      <c r="D572" s="46">
        <v>44865</v>
      </c>
      <c r="E572" s="47">
        <v>44835</v>
      </c>
      <c r="F572" s="48" t="s">
        <v>41</v>
      </c>
      <c r="G572" s="129" t="s">
        <v>61</v>
      </c>
      <c r="H572" s="49" t="s">
        <v>54</v>
      </c>
      <c r="I572" s="49" t="s">
        <v>101</v>
      </c>
      <c r="J572" s="50">
        <v>5</v>
      </c>
      <c r="K572" s="51">
        <v>529</v>
      </c>
      <c r="L572" s="52">
        <v>60</v>
      </c>
      <c r="M572" s="53">
        <v>1</v>
      </c>
      <c r="N572" s="28">
        <f>K572*J572</f>
        <v>2645</v>
      </c>
      <c r="O572" s="54">
        <v>31307</v>
      </c>
      <c r="P572" s="29">
        <v>59.181474479999999</v>
      </c>
      <c r="Q572" s="55"/>
      <c r="R572" s="31">
        <f>M572+Q572</f>
        <v>1</v>
      </c>
      <c r="S572" s="56"/>
      <c r="T572" s="32">
        <f>R572+S572+IF(F572="Without EV deal",L572,0)</f>
        <v>61</v>
      </c>
      <c r="U572" s="57">
        <v>1</v>
      </c>
      <c r="V572" s="58"/>
      <c r="W572" s="58"/>
      <c r="X572" s="78">
        <v>0.17</v>
      </c>
      <c r="Y572" s="30">
        <f>IF(AG572="None",0,IF(AG572="Fix5",0.05, IF(AG572="Fix6.25",0.0625,IF(AG572="Fix3.75",0.0375,IF(AG572="Fix10",0.1,IF(AG572="Fix3",0.03,0))))))</f>
        <v>0</v>
      </c>
      <c r="Z572" s="35">
        <f>T572-AA572-AB572</f>
        <v>50.629999999999995</v>
      </c>
      <c r="AA572" s="60">
        <f>IF(AD572="EUR",((T572-R572)*X572)*U572+(R572*X572),(T572*X572))</f>
        <v>10.370000000000001</v>
      </c>
      <c r="AB572" s="36">
        <f>IF(AD572="EUR",((T572-R572)*Y572)*U572+(R572*Y572),(T572*Y572))</f>
        <v>0</v>
      </c>
      <c r="AC572" s="37" t="b">
        <v>1</v>
      </c>
      <c r="AD572" s="37" t="s">
        <v>50</v>
      </c>
      <c r="AE572" s="37"/>
      <c r="AF572" s="37" t="str">
        <f t="array" ref="AF572">INDEX('Deal Info'!D:D, MATCH(A572,'Deal Info'!A:A, 0))</f>
        <v>DoEV</v>
      </c>
      <c r="AG572" s="38" t="str">
        <f t="array" ref="AG572">INDEX('Deal Info'!G:G, MATCH(A572,'Deal Info'!A:A, 0))</f>
        <v>None</v>
      </c>
    </row>
    <row r="573" spans="1:33" ht="14.25" x14ac:dyDescent="0.2">
      <c r="A573" s="18" t="str">
        <f t="array" ref="A573">IF(G573='Room Info'!$B$1, INDEX('Room Info'!$A$2:$A2446, MATCH(B573,'Room Info'!$B$2:$B2446, 0)),IF(G573='Room Info'!$C$1, INDEX('Room Info'!$A$2:$A2446, MATCH(B573,'Room Info'!$C$2:$C2446, 0)),IF(G573='Room Info'!$D$1, INDEX('Room Info'!$A$2:$A2446, MATCH(B573,'Room Info'!$D$2:$D2446, 0)),IF(G573='Room Info'!$E$1, INDEX('Room Info'!$A$2:$A2446, MATCH(B573,'Room Info'!$E$2:$E2446, 0)),IF(G573='Room Info'!$F$1, INDEX('Room Info'!$A$2:$A2446, MATCH(B573,'Room Info'!$F$2:$F2446, 0)),IF(G573='Room Info'!$H$1, INDEX('Room Info'!$A$2:$A2446, MATCH(B573,'Room Info'!$H$2:$H2446, 0)),IF(G573='Room Info'!$G$1, INDEX('Room Info'!$A$2:$A2446, MATCH(B573,'Room Info'!$G$2:$G2446, 0)))))))))</f>
        <v>fortunate773</v>
      </c>
      <c r="B573" s="129" t="s">
        <v>95</v>
      </c>
      <c r="C573" s="46">
        <v>44835</v>
      </c>
      <c r="D573" s="46">
        <v>44865</v>
      </c>
      <c r="E573" s="47">
        <v>44835</v>
      </c>
      <c r="F573" s="133" t="s">
        <v>49</v>
      </c>
      <c r="G573" s="129" t="s">
        <v>61</v>
      </c>
      <c r="H573" s="49" t="s">
        <v>135</v>
      </c>
      <c r="I573" s="49" t="s">
        <v>101</v>
      </c>
      <c r="J573" s="50">
        <v>250</v>
      </c>
      <c r="K573" s="51">
        <v>1761</v>
      </c>
      <c r="L573" s="52">
        <v>-8750</v>
      </c>
      <c r="M573" s="53">
        <v>26766</v>
      </c>
      <c r="N573" s="28">
        <f>K573*J573</f>
        <v>440250</v>
      </c>
      <c r="O573" s="54">
        <v>30594</v>
      </c>
      <c r="P573" s="29">
        <v>17.373083479999998</v>
      </c>
      <c r="Q573" s="55"/>
      <c r="R573" s="31">
        <f>M573+Q573</f>
        <v>26766</v>
      </c>
      <c r="S573" s="56">
        <v>-22720</v>
      </c>
      <c r="T573" s="32">
        <f>R573+S573+IF(F573="Without EV deal",L573,0)</f>
        <v>4046</v>
      </c>
      <c r="U573" s="57">
        <v>1</v>
      </c>
      <c r="V573" s="58"/>
      <c r="W573" s="58"/>
      <c r="X573" s="78">
        <f>IF(AF573="DoEV",IF(AND(V573&lt;20,W573&lt;55),0.3,0)+IF(AND(V573&lt;20,W573&gt;=55,W573&lt;105),0.23,0)+IF(AND(V573&lt;20,W573&gt;=105),0.17,0)+IF(AND(V573&gt;=20,V573&lt;40,W573&lt;45),0.3,0)+IF(AND(V573&gt;=20,V573&lt;40,W573&gt;=45,W573&lt;95),0.23,0)+IF(AND(V573&gt;=20,V573&lt;40,W573&gt;=95),0.17,0)+IF(AND(V573&gt;=40,V573&lt;75,W573&lt;35),0.3,0)+IF(AND(V573&gt;=40,V573&lt;75,W573&gt;=35,W573&lt;75),0.23,0)+IF(AND(V573&gt;=40,V573&lt;75,W573&gt;=75,W573&lt;120),0.17,0)+IF(AND(V573&gt;=40,V573&lt;75,W573&gt;=120),0.12,0)+IF(AND(V573&gt;=75,V573&lt;175,W573&lt;35),0.3,0)+IF(AND(V573&gt;=75,V573&lt;=175,W573&gt;=35,W573&lt;65),0.23,0)+IF(AND(V573&gt;=75,V573&lt;=175,W573&gt;=65,W573&lt;110),0.17,0)+IF(AND(V573&gt;=75,V573&lt;=175,W573&gt;=110),0.12,0)+IF(AND(V573&gt;175,W573&lt;25),0.3,0)+IF(AND(V573&gt;175,W573&gt;=25,W573&lt;55),0.23,0)+IF(AND(V573&gt;175,W573&gt;=55,W573&lt;95),0.17,0)+IF(AND(V573&gt;175,W573&gt;=95),0.12,0),
IF(AF573="Fix15",0.15,
IF(AF573="Fix11.25",0.1125,
IF(AF573="Fix10",0.1,
IF(AF573="Fix9",0.09,
IF(AF573="DoEV2017",IF(AND(W573&lt;74),0.2,0)+IF(AND(W573&gt;=74),0.17,0),
IF(AF573="SF",IF(AND(V573&lt;20,W573&lt;89),0.3,0)+IF(AND(V573&lt;20,W573&gt;=89),0.25,0)+IF(AND(V573&gt;=20,V573&lt;40,W573&lt;74),0.3,0)+IF(AND(V573&gt;=20,V573&lt;40,W573&gt;=75),0.22,0)+IF(AND(V573&gt;=40,V573&lt;75,W573&lt;75),0.26,0)+IF(AND(V573&gt;=40,V573&lt;75,W573&gt;=75),0.22,0)+IF(V573&gt;=75,0.22,0),
IF(AF573="DoEVold",IF(AND(V573&lt;40,W573&lt;35),0.35,0)+IF(AND(V573&lt;40,W573&gt;=35,W573&lt;75),0.25,0)+IF(AND(V573&lt;40,W573&gt;=75),0.17,0)+IF(AND(V573&gt;=40,V573&lt;75,W573&lt;25),0.35,0)+IF(AND(V573&gt;=40,V573&lt;75,W573&gt;=25,W573&lt;65),0.25,0)+IF(AND(V573&gt;=40,V573&lt;75,W573&gt;=65,W573&lt;100),0.17,0)+IF(AND(V573&gt;=40,V573&lt;75,W573&gt;=100),0.1,0)+IF(AND(V573&gt;=75,W573&lt;25),0.35,0)+IF(AND(V573&gt;=75,W573&gt;=25,W573&lt;60),0.25,0)+IF(AND(V573&gt;=75,W573&gt;=60,W573&lt;95),0.17,0)+IF(AND(V573&gt;=75,W573&gt;=95),0.1,0),
IF(AF573="DoEVold15",IF(AND(V573&lt;=40,W573&lt;35),0.35,0)+IF(AND(V573&lt;=40,W573&gt;=35,W573&lt;75),0.25,0)+IF(AND(V573&lt;=40,W573&gt;=75,W573&lt;120),0.17,0)+IF(AND(V573&lt;=40,W573&gt;=120),0.15,0)+IF(AND(V573&gt;40,V573&lt;75,W573&lt;25),0.35,0)+IF(AND(V573&gt;=40,V573&lt;75,W573&gt;=25,W573&lt;65),0.25,0)+IF(AND(V573&gt;=40,V573&lt;75,W573&gt;=65,W573&lt;100),0.17,0)+IF(AND(V573&gt;=40,V573&lt;75,W573&gt;=100),0.1,0)+IF(AND(V573&gt;=75,W573&lt;25),0.35,0)+IF(AND(V573&gt;=75,W573&gt;=25,W573&lt;60),0.25,0)+IF(AND(V573&gt;=75,W573&gt;=60,W573&lt;95),0.17,0)+IF(AND(V573&gt;=75,W573&gt;=95),0.1,0),
IF(AF573="DoEVba",IF(AND(V573&lt;20,W573&lt;105),0.2,0)+IF(AND(V573&lt;20,W573&gt;=105),0.15,0)+IF(AND(V573&gt;=20,V573&lt;40,W573&lt;95),0.2,0)+IF(AND(V573&gt;=20,V573&lt;40,W573&gt;=95,W573&lt;150),0.15,0)+IF(AND(V573&gt;=20,V573&lt;40,W573&gt;=150),0.12,0)+IF(AND(V573&gt;=40,V573&lt;75,W573&lt;75),0.2,0)+IF(AND(V573&gt;=40,V573&lt;75,W573&gt;=75,W573&lt;120),0.15,0)+IF(AND(V573&gt;=40,V573&lt;75,W573&gt;=120),0.12,0)+IF(AND(V573&gt;=75,V573&lt;175,W573&lt;65),0.2,0)+IF(AND(V573&gt;=75,V573&lt;175,W573&gt;=65,W573&lt;110),0.15,0)+IF(AND(V573&gt;=75,V573&lt;175,W573&gt;=110),0.12,0)+IF(AND(V573&gt;=175,W573&lt;55),0.2,0)+IF(AND(V573&gt;=175,W573&gt;=55,W573&lt;95),0.15,0)+IF(AND(V573&gt;=175,W573&gt;=95),0.12,0),
IF(AF573="DoEVku",IF(AND(V573&lt;20,W573&lt;55),0.23,0)+IF(AND(V573&lt;20,W573&gt;=55,W573&lt;105),0.2,0)+IF(AND(V573&lt;20,W573&gt;=105),0.17,0)+IF(AND(V573&gt;=20,V573&lt;40,W573&lt;45),0.23,0)+IF(AND(V573&gt;=20,V573&lt;40,W573&gt;=45,W573&lt;95),0.2,0)+IF(AND(V573&gt;=20,V573&lt;40,W573&gt;=95,W573&lt;=150),0.17,0)+IF(AND(V573&gt;=20,V573&lt;40,W573&gt;=150),0.12,0)+IF(AND(V573&gt;=40,V573&lt;75,W573&lt;35),0.23,0)+IF(AND(V573&gt;=40,V573&lt;75,W573&gt;=35,W573&lt;75),0.2,0)+IF(AND(V573&gt;=40,V573&lt;75,W573&gt;=75,W573&lt;120),0.17,0)+IF(AND(V573&gt;=40,V573&lt;75,W573&gt;=120),0.12,0)+IF(AND(V573&gt;=75,V573&lt;175,W573&lt;35),0.23,0)+IF(AND(V573&gt;=75,V573&lt;=175,W573&gt;=35,W573&lt;65),0.2,0)+IF(AND(V573&gt;=75,V573&lt;=175,W573&gt;=65,W573&lt;110),0.17,0)+IF(AND(V573&gt;=75,V573&lt;=175,W573&gt;=110),0.12,0)+IF(AND(V573&gt;175,W573&lt;25),0.23,0)+IF(AND(V573&gt;175,W573&gt;=25,W573&lt;55),0.2,0)+IF(AND(V573&gt;175,W573&gt;=55,W573&lt;95),0.17,0)+IF(AND(V573&gt;175,W573&gt;=95),0.12,0),
IF(AF573="DoEVs1",IF(AND(V573&lt;20,W573&lt;55),0.3,0)+IF(AND(V573&lt;20,W573&gt;=55,W573&lt;105),0.23,0)+IF(AND(V573&lt;20,W573&gt;=105),0.17,0)+IF(AND(V573&gt;=20,V573&lt;40,W573&lt;45),0.3,0)+IF(AND(V573&gt;=20,V573&lt;40,W573&gt;=45,W573&lt;95),0.23,0)+IF(AND(V573&gt;=20,V573&lt;40,W573&gt;=95,W573&lt;=150),0.17,0)+IF(AND(V573&gt;=20,V573&lt;40,W573&gt;=150),0.12,0)+IF(AND(V573&gt;=40,V573&lt;75,W573&lt;35),0.3,0)+IF(AND(V573&gt;=40,V573&lt;75,W573&gt;=35,W573&lt;75),0.23,0)+IF(AND(V573&gt;=40,V573&lt;75,W573&gt;=75,W573&lt;120),0.17,0)+IF(AND(V573&gt;=40,V573&lt;75,W573&gt;=120),0.12,0)+IF(AND(V573&gt;=75,V573&lt;175,W573&lt;35),0.3,0)+IF(AND(V573&gt;=75,V573&lt;=175,W573&gt;=35,W573&lt;65),0.23,0)+IF(AND(V573&gt;=75,V573&lt;=175,W573&gt;=65,W573&lt;110),0.17,0)+IF(AND(V573&gt;=75,V573&lt;=175,W573&gt;=110),0.12,0)+IF(AND(V573&gt;175,W573&lt;25),0.3,0)+IF(AND(V573&gt;175,W573&gt;=25,W573&lt;55),0.23,0)+IF(AND(V573&gt;175,W573&gt;=55,W573&lt;95),0.17,0)+IF(AND(V573&gt;175,W573&gt;=95),0.12,0),
IF(AF573="DoEVsu",IF(AND(V573&lt;20,W573&lt;55),0.3,0)+IF(AND(V573&lt;20,W573&gt;=55,W573&lt;105),0.23,0)+IF(AND(V573&lt;20,W573&gt;=105),0.17,0)+IF(AND(V573&gt;=20,V573&lt;40,W573&lt;45),0.3,0)+IF(AND(V573&gt;=20,V573&lt;40,W573&gt;=45,W573&lt;95),0.23,0)+IF(AND(V573&gt;=20,V573&lt;40,W573&gt;=95,W573&lt;=250),0.17,0)+IF(AND(V573&gt;=20,V573&lt;40,W573&gt;=250),0.12,0)+IF(AND(V573&gt;=40,V573&lt;75,W573&lt;35),0.3,0)+IF(AND(V573&gt;=40,V573&lt;75,W573&gt;=35,W573&lt;75),0.23,0)+IF(AND(V573&gt;=40,V573&lt;75,W573&gt;=75,W573&lt;120),0.17,0)+IF(AND(V573&gt;=40,V573&lt;75,W573&gt;=120),0.12,0)+IF(AND(V573&gt;=75,V573&lt;175,W573&lt;35),0.3,0)+IF(AND(V573&gt;=75,V573&lt;=175,W573&gt;=35,W573&lt;65),0.23,0)+IF(AND(V573&gt;=75,V573&lt;=175,W573&gt;=65,W573&lt;110),0.17,0)+IF(AND(V573&gt;=75,V573&lt;=175,W573&gt;=110),0.12,0)+IF(AND(V573&gt;175,W573&lt;25),0.3,0)+IF(AND(V573&gt;175,W573&gt;=25,W573&lt;55),0.23,0)+IF(AND(V573&gt;175,W573&gt;=55,W573&lt;95),0.17,0)+IF(AND(V573&gt;175,W573&gt;=95),0.12,0),
IF(AF573="DoEVni",IF(AND(V573&lt;20,W573&lt;55),0.3,0)+IF(AND(V573&lt;20,W573&gt;=55,W573&lt;105),0.23,0)+IF(AND(V573&lt;20,W573&gt;=105),0.17,0)+IF(AND(V573&gt;=20,V573&lt;40,W573&lt;45),0.3,0)+IF(AND(V573&gt;=20,V573&lt;40,W573&gt;=45,W573&lt;95),0.23,0)+IF(AND(V573&gt;=20,V573&lt;40,W573&gt;=95,W573&lt;=200),0.17,0)+IF(AND(V573&gt;=20,V573&lt;40,W573&gt;=200),0.12,0)+IF(AND(V573&gt;=40,V573&lt;75,W573&lt;35),0.3,0)+IF(AND(V573&gt;=40,V573&lt;75,W573&gt;=35,W573&lt;75),0.23,0)+IF(AND(V573&gt;=40,V573&lt;75,W573&gt;=75,W573&lt;120),0.17,0)+IF(AND(V573&gt;=40,V573&lt;75,W573&gt;=120),0.12,0)+IF(AND(V573&gt;=75,V573&lt;175,W573&lt;35),0.3,0)+IF(AND(V573&gt;=75,V573&lt;=175,W573&gt;=35,W573&lt;65),0.23,0)+IF(AND(V573&gt;=75,V573&lt;=175,W573&gt;=65,W573&lt;110),0.17,0)+IF(AND(V573&gt;=75,V573&lt;=175,W573&gt;=110),0.12,0)+IF(AND(V573&gt;175,W573&lt;25),0.3,0)+IF(AND(V573&gt;175,W573&gt;=25,W573&lt;55),0.23,0)+IF(AND(V573&gt;175,W573&gt;=55,W573&lt;95),0.17,0)+IF(AND(V573&gt;175,W573&gt;=95),0.12,0),
IF(AF573="DoEVLo",IF(AND(V573&lt;20,W573&lt;55),0.25,0)+IF(AND(V573&lt;20,W573&gt;=55,W573&lt;105),0.2,0)+IF(AND(V573&lt;20,W573&gt;=105),0.15,0)+IF(AND(V573&gt;=20,V573&lt;40,W573&lt;45),0.25,0)+IF(AND(V573&gt;=20,V573&lt;40,W573&gt;=45,W573&lt;95),0.2,0)+IF(AND(V573&gt;=20,V573&lt;40,W573&gt;=95),0.15,0)+IF(AND(V573&gt;=40,V573&lt;75,W573&lt;35),0.25,0)+IF(AND(V573&gt;=40,V573&lt;75,W573&gt;=35,W573&lt;75),0.2,0)+IF(AND(V573&gt;=40,V573&lt;75,W573&gt;=75,W573&lt;120),0.15,0)+IF(AND(V573&gt;=40,V573&lt;75,W573&gt;=120),0.1,0)+IF(AND(V573&gt;=75,V573&lt;175,W573&lt;35),0.25,0)+IF(AND(V573&gt;=75,V573&lt;=175,W573&gt;=35,W573&lt;65),0.2,0)+IF(AND(V573&gt;=75,V573&lt;=175,W573&gt;=65,W573&lt;110),0.15,0)+IF(AND(V573&gt;=75,V573&lt;=175,W573&gt;=110),0.1,0)+IF(AND(V573&gt;175,W573&lt;25),0.25,0)+IF(AND(V573&gt;175,W573&gt;=25,W573&lt;55),0.2,0)+IF(AND(V573&gt;175,W573&gt;=55,W573&lt;95),0.15,0)+IF(AND(V573&gt;175,W573&gt;=95),0.1,0))))))))))))))))</f>
        <v>0.15</v>
      </c>
      <c r="Y573" s="30">
        <f>IF(AG573="None",0,IF(AG573="Fix5",0.05,IF(AG573="Fix3.75",0.0375,IF(AG573="Fix10",0.1,IF(AG573="Fix3",0.03,0)))))</f>
        <v>0.05</v>
      </c>
      <c r="Z573" s="35">
        <v>3237</v>
      </c>
      <c r="AA573" s="60">
        <v>809</v>
      </c>
      <c r="AB573" s="36"/>
      <c r="AC573" s="37" t="b">
        <v>0</v>
      </c>
      <c r="AD573" s="37" t="s">
        <v>50</v>
      </c>
      <c r="AE573" s="37"/>
      <c r="AF573" s="37" t="str">
        <f t="array" ref="AF573">INDEX('Deal Info'!D:D, MATCH(A573,'Deal Info'!A:A, 0))</f>
        <v>Fix15</v>
      </c>
      <c r="AG573" s="38" t="str">
        <f t="array" ref="AG573">INDEX('Deal Info'!G:G, MATCH(A573,'Deal Info'!A:A, 0))</f>
        <v>Fix5</v>
      </c>
    </row>
    <row r="574" spans="1:33" ht="14.25" x14ac:dyDescent="0.2">
      <c r="A574" s="18" t="str">
        <f t="array" ref="A574">IF(G574='Room Info'!$B$1, INDEX('Room Info'!$A$2:$A2446, MATCH(B574,'Room Info'!$B$2:$B2446, 0)),IF(G574='Room Info'!$C$1, INDEX('Room Info'!$A$2:$A2446, MATCH(B574,'Room Info'!$C$2:$C2446, 0)),IF(G574='Room Info'!$D$1, INDEX('Room Info'!$A$2:$A2446, MATCH(B574,'Room Info'!$D$2:$D2446, 0)),IF(G574='Room Info'!$E$1, INDEX('Room Info'!$A$2:$A2446, MATCH(B574,'Room Info'!$E$2:$E2446, 0)),IF(G574='Room Info'!$F$1, INDEX('Room Info'!$A$2:$A2446, MATCH(B574,'Room Info'!$F$2:$F2446, 0)),IF(G574='Room Info'!$H$1, INDEX('Room Info'!$A$2:$A2446, MATCH(B574,'Room Info'!$H$2:$H2446, 0)),IF(G574='Room Info'!$G$1, INDEX('Room Info'!$A$2:$A2446, MATCH(B574,'Room Info'!$G$2:$G2446, 0)))))))))</f>
        <v>Mackevgen</v>
      </c>
      <c r="B574" s="45" t="s">
        <v>128</v>
      </c>
      <c r="C574" s="46">
        <v>44835</v>
      </c>
      <c r="D574" s="46">
        <v>44865</v>
      </c>
      <c r="E574" s="47">
        <v>44835</v>
      </c>
      <c r="F574" s="133" t="s">
        <v>41</v>
      </c>
      <c r="G574" s="54" t="s">
        <v>61</v>
      </c>
      <c r="H574" s="49" t="s">
        <v>141</v>
      </c>
      <c r="I574" s="49" t="s">
        <v>68</v>
      </c>
      <c r="J574" s="50">
        <v>25</v>
      </c>
      <c r="K574" s="51">
        <v>1</v>
      </c>
      <c r="L574" s="52">
        <v>25</v>
      </c>
      <c r="M574" s="62">
        <v>1</v>
      </c>
      <c r="N574" s="28">
        <f>K574*J574</f>
        <v>25</v>
      </c>
      <c r="O574" s="54">
        <v>108</v>
      </c>
      <c r="P574" s="29">
        <v>108</v>
      </c>
      <c r="Q574" s="55"/>
      <c r="R574" s="31">
        <f>M574+Q574</f>
        <v>1</v>
      </c>
      <c r="S574" s="56">
        <v>6</v>
      </c>
      <c r="T574" s="32">
        <f>R574+S574+IF(F574="Without EV deal",L574,0)</f>
        <v>32</v>
      </c>
      <c r="U574" s="57">
        <v>1</v>
      </c>
      <c r="V574" s="58"/>
      <c r="W574" s="58"/>
      <c r="X574" s="78">
        <v>0.23</v>
      </c>
      <c r="Y574" s="30">
        <f>IF(AG574="None",0,IF(AG574="Fix5",0.05, IF(AG574="Fix6.25",0.0625,IF(AG574="Fix3.75",0.0375,IF(AG574="Fix10",0.1,IF(AG574="Fix3",0.03,0))))))</f>
        <v>0</v>
      </c>
      <c r="Z574" s="35">
        <f>T574-AA574-AB574</f>
        <v>26</v>
      </c>
      <c r="AA574" s="29">
        <v>6</v>
      </c>
      <c r="AB574" s="36">
        <f>IF(AD574="EUR",((T574-R574)*Y574)*U574+(R574*Y574),(T574*Y574))</f>
        <v>0</v>
      </c>
      <c r="AC574" s="37" t="b">
        <v>1</v>
      </c>
      <c r="AD574" s="61" t="s">
        <v>38</v>
      </c>
      <c r="AE574" s="61" t="s">
        <v>38</v>
      </c>
      <c r="AF574" s="37" t="str">
        <f t="array" ref="AF574">INDEX('Deal Info'!D:D, MATCH(A574,'Deal Info'!A:A, 0))</f>
        <v>DoEV</v>
      </c>
      <c r="AG574" s="38" t="str">
        <f t="array" ref="AG574">INDEX('Deal Info'!G:G, MATCH(A574,'Deal Info'!A:A, 0))</f>
        <v>None</v>
      </c>
    </row>
    <row r="575" spans="1:33" ht="14.25" x14ac:dyDescent="0.2">
      <c r="A575" s="18" t="str">
        <f t="array" ref="A575">IF(G575='Room Info'!$B$1, INDEX('Room Info'!$A$2:$A2446, MATCH(B575,'Room Info'!$B$2:$B2446, 0)),IF(G575='Room Info'!$C$1, INDEX('Room Info'!$A$2:$A2446, MATCH(B575,'Room Info'!$C$2:$C2446, 0)),IF(G575='Room Info'!$D$1, INDEX('Room Info'!$A$2:$A2446, MATCH(B575,'Room Info'!$D$2:$D2446, 0)),IF(G575='Room Info'!$E$1, INDEX('Room Info'!$A$2:$A2446, MATCH(B575,'Room Info'!$E$2:$E2446, 0)),IF(G575='Room Info'!$F$1, INDEX('Room Info'!$A$2:$A2446, MATCH(B575,'Room Info'!$F$2:$F2446, 0)),IF(G575='Room Info'!$H$1, INDEX('Room Info'!$A$2:$A2446, MATCH(B575,'Room Info'!$H$2:$H2446, 0)),IF(G575='Room Info'!$G$1, INDEX('Room Info'!$A$2:$A2446, MATCH(B575,'Room Info'!$G$2:$G2446, 0)))))))))</f>
        <v>Lo4io</v>
      </c>
      <c r="B575" s="129" t="s">
        <v>107</v>
      </c>
      <c r="C575" s="283">
        <v>44825</v>
      </c>
      <c r="D575" s="283">
        <v>44854</v>
      </c>
      <c r="E575" s="47">
        <v>44835</v>
      </c>
      <c r="F575" s="133" t="s">
        <v>34</v>
      </c>
      <c r="G575" s="129" t="s">
        <v>61</v>
      </c>
      <c r="H575" s="49" t="s">
        <v>167</v>
      </c>
      <c r="I575" s="49" t="s">
        <v>101</v>
      </c>
      <c r="J575" s="70">
        <v>25</v>
      </c>
      <c r="K575" s="71">
        <v>32</v>
      </c>
      <c r="L575" s="135">
        <v>-98</v>
      </c>
      <c r="M575" s="79">
        <v>1352</v>
      </c>
      <c r="N575" s="28">
        <f>K575*J575</f>
        <v>800</v>
      </c>
      <c r="O575" s="129">
        <v>2043</v>
      </c>
      <c r="P575" s="29">
        <v>63.84375</v>
      </c>
      <c r="Q575" s="55"/>
      <c r="R575" s="31">
        <f>M575+Q575</f>
        <v>1352</v>
      </c>
      <c r="S575" s="97">
        <v>22</v>
      </c>
      <c r="T575" s="32">
        <f>R575+S575+IF(F575="Without EV deal",L575,0)</f>
        <v>1374</v>
      </c>
      <c r="U575" s="114">
        <v>1</v>
      </c>
      <c r="V575" s="69">
        <v>46.543296089385478</v>
      </c>
      <c r="W575" s="69">
        <v>67.528522130532622</v>
      </c>
      <c r="X575" s="30">
        <f>IF(AF575="DoEV",IF(AND(V575&lt;20,W575&lt;55),0.3,0)+IF(AND(V575&lt;20,W575&gt;=55,W575&lt;105),0.23,0)+IF(AND(V575&lt;20,W575&gt;=105),0.17,0)+IF(AND(V575&gt;=20,V575&lt;40,W575&lt;45),0.3,0)+IF(AND(V575&gt;=20,V575&lt;40,W575&gt;=45,W575&lt;95),0.23,0)+IF(AND(V575&gt;=20,V575&lt;40,W575&gt;=95),0.17,0)+IF(AND(V575&gt;=40,V575&lt;75,W575&lt;35),0.3,0)+IF(AND(V575&gt;=40,V575&lt;75,W575&gt;=35,W575&lt;75),0.23,0)+IF(AND(V575&gt;=40,V575&lt;75,W575&gt;=75,W575&lt;120),0.17,0)+IF(AND(V575&gt;=40,V575&lt;75,W575&gt;=120),0.12,0)+IF(AND(V575&gt;=75,V575&lt;175,W575&lt;35),0.3,0)+IF(AND(V575&gt;=75,V575&lt;=175,W575&gt;=35,W575&lt;65),0.23,0)+IF(AND(V575&gt;=75,V575&lt;=175,W575&gt;=65,W575&lt;110),0.17,0)+IF(AND(V575&gt;=75,V575&lt;=175,W575&gt;=110),0.12,0)+IF(AND(V575&gt;175,W575&lt;25),0.3,0)+IF(AND(V575&gt;175,W575&gt;=25,W575&lt;55),0.23,0)+IF(AND(V575&gt;175,W575&gt;=55,W575&lt;95),0.17,0)+IF(AND(V575&gt;175,W575&gt;=95),0.12,0),
IF(AF575="Fix15",0.15,
IF(AF575="Fix11.25",0.1125,
IF(AF575="Fix10",0.1,
IF(AF575="Fix9",0.09,
IF(AF575="DoEV2017",IF(AND(W575&lt;74),0.2,0)+IF(AND(W575&gt;=74),0.17,0),
IF(AF575="SF",IF(AND(V575&lt;20,W575&lt;89),0.3,0)+IF(AND(V575&lt;20,W575&gt;=89),0.25,0)+IF(AND(V575&gt;=20,V575&lt;40,W575&lt;74),0.3,0)+IF(AND(V575&gt;=20,V575&lt;40,W575&gt;=75),0.22,0)+IF(AND(V575&gt;=40,V575&lt;75,W575&lt;75),0.26,0)+IF(AND(V575&gt;=40,V575&lt;75,W575&gt;=75),0.22,0)+IF(V575&gt;=75,0.22,0),
IF(AF575="DoEVold",IF(AND(V575&lt;40,W575&lt;35),0.35,0)+IF(AND(V575&lt;40,W575&gt;=35,W575&lt;75),0.25,0)+IF(AND(V575&lt;40,W575&gt;=75),0.17,0)+IF(AND(V575&gt;=40,V575&lt;75,W575&lt;25),0.35,0)+IF(AND(V575&gt;=40,V575&lt;75,W575&gt;=25,W575&lt;65),0.25,0)+IF(AND(V575&gt;=40,V575&lt;75,W575&gt;=65,W575&lt;100),0.17,0)+IF(AND(V575&gt;=40,V575&lt;75,W575&gt;=100),0.1,0)+IF(AND(V575&gt;=75,W575&lt;25),0.35,0)+IF(AND(V575&gt;=75,W575&gt;=25,W575&lt;60),0.25,0)+IF(AND(V575&gt;=75,W575&gt;=60,W575&lt;95),0.17,0)+IF(AND(V575&gt;=75,W575&gt;=95),0.1,0),
IF(AF575="DoEVold15",IF(AND(V575&lt;=40,W575&lt;35),0.35,0)+IF(AND(V575&lt;=40,W575&gt;=35,W575&lt;75),0.25,0)+IF(AND(V575&lt;=40,W575&gt;=75,W575&lt;120),0.17,0)+IF(AND(V575&lt;=40,W575&gt;=120),0.15,0)+IF(AND(V575&gt;40,V575&lt;75,W575&lt;25),0.35,0)+IF(AND(V575&gt;=40,V575&lt;75,W575&gt;=25,W575&lt;65),0.25,0)+IF(AND(V575&gt;=40,V575&lt;75,W575&gt;=65,W575&lt;100),0.17,0)+IF(AND(V575&gt;=40,V575&lt;75,W575&gt;=100),0.1,0)+IF(AND(V575&gt;=75,W575&lt;25),0.35,0)+IF(AND(V575&gt;=75,W575&gt;=25,W575&lt;60),0.25,0)+IF(AND(V575&gt;=75,W575&gt;=60,W575&lt;95),0.17,0)+IF(AND(V575&gt;=75,W575&gt;=95),0.1,0),
IF(AF575="DoEVba",IF(AND(V575&lt;20,W575&lt;105),0.2,0)+IF(AND(V575&lt;20,W575&gt;=105),0.15,0)+IF(AND(V575&gt;=20,V575&lt;40,W575&lt;95),0.2,0)+IF(AND(V575&gt;=20,V575&lt;40,W575&gt;=95,W575&lt;150),0.15,0)+IF(AND(V575&gt;=20,V575&lt;40,W575&gt;=150),0.12,0)+IF(AND(V575&gt;=40,V575&lt;75,W575&lt;75),0.2,0)+IF(AND(V575&gt;=40,V575&lt;75,W575&gt;=75,W575&lt;120),0.15,0)+IF(AND(V575&gt;=40,V575&lt;75,W575&gt;=120),0.12,0)+IF(AND(V575&gt;=75,V575&lt;175,W575&lt;65),0.2,0)+IF(AND(V575&gt;=75,V575&lt;175,W575&gt;=65,W575&lt;110),0.15,0)+IF(AND(V575&gt;=75,V575&lt;175,W575&gt;=110),0.12,0)+IF(AND(V575&gt;=175,W575&lt;55),0.2,0)+IF(AND(V575&gt;=175,W575&gt;=55,W575&lt;95),0.15,0)+IF(AND(V575&gt;=175,W575&gt;=95),0.12,0),
IF(AF575="DoEVku",IF(AND(V575&lt;20,W575&lt;55),0.23,0)+IF(AND(V575&lt;20,W575&gt;=55,W575&lt;105),0.2,0)+IF(AND(V575&lt;20,W575&gt;=105),0.17,0)+IF(AND(V575&gt;=20,V575&lt;40,W575&lt;45),0.23,0)+IF(AND(V575&gt;=20,V575&lt;40,W575&gt;=45,W575&lt;95),0.2,0)+IF(AND(V575&gt;=20,V575&lt;40,W575&gt;=95,W575&lt;=150),0.17,0)+IF(AND(V575&gt;=20,V575&lt;40,W575&gt;=150),0.12,0)+IF(AND(V575&gt;=40,V575&lt;75,W575&lt;35),0.23,0)+IF(AND(V575&gt;=40,V575&lt;75,W575&gt;=35,W575&lt;75),0.2,0)+IF(AND(V575&gt;=40,V575&lt;75,W575&gt;=75,W575&lt;120),0.17,0)+IF(AND(V575&gt;=40,V575&lt;75,W575&gt;=120),0.12,0)+IF(AND(V575&gt;=75,V575&lt;175,W575&lt;35),0.23,0)+IF(AND(V575&gt;=75,V575&lt;=175,W575&gt;=35,W575&lt;65),0.2,0)+IF(AND(V575&gt;=75,V575&lt;=175,W575&gt;=65,W575&lt;110),0.17,0)+IF(AND(V575&gt;=75,V575&lt;=175,W575&gt;=110),0.12,0)+IF(AND(V575&gt;175,W575&lt;25),0.23,0)+IF(AND(V575&gt;175,W575&gt;=25,W575&lt;55),0.2,0)+IF(AND(V575&gt;175,W575&gt;=55,W575&lt;95),0.17,0)+IF(AND(V575&gt;175,W575&gt;=95),0.12,0),
IF(AF575="DoEVs1",IF(AND(V575&lt;20,W575&lt;55),0.3,0)+IF(AND(V575&lt;20,W575&gt;=55,W575&lt;105),0.23,0)+IF(AND(V575&lt;20,W575&gt;=105),0.17,0)+IF(AND(V575&gt;=20,V575&lt;40,W575&lt;45),0.3,0)+IF(AND(V575&gt;=20,V575&lt;40,W575&gt;=45,W575&lt;95),0.23,0)+IF(AND(V575&gt;=20,V575&lt;40,W575&gt;=95,W575&lt;=150),0.17,0)+IF(AND(V575&gt;=20,V575&lt;40,W575&gt;=150),0.12,0)+IF(AND(V575&gt;=40,V575&lt;75,W575&lt;35),0.3,0)+IF(AND(V575&gt;=40,V575&lt;75,W575&gt;=35,W575&lt;75),0.23,0)+IF(AND(V575&gt;=40,V575&lt;75,W575&gt;=75,W575&lt;120),0.17,0)+IF(AND(V575&gt;=40,V575&lt;75,W575&gt;=120),0.12,0)+IF(AND(V575&gt;=75,V575&lt;175,W575&lt;35),0.3,0)+IF(AND(V575&gt;=75,V575&lt;=175,W575&gt;=35,W575&lt;65),0.23,0)+IF(AND(V575&gt;=75,V575&lt;=175,W575&gt;=65,W575&lt;110),0.17,0)+IF(AND(V575&gt;=75,V575&lt;=175,W575&gt;=110),0.12,0)+IF(AND(V575&gt;175,W575&lt;25),0.3,0)+IF(AND(V575&gt;175,W575&gt;=25,W575&lt;55),0.23,0)+IF(AND(V575&gt;175,W575&gt;=55,W575&lt;95),0.17,0)+IF(AND(V575&gt;175,W575&gt;=95),0.12,0),
IF(AF575="DoEVsu",IF(AND(V575&lt;20,W575&lt;55),0.3,0)+IF(AND(V575&lt;20,W575&gt;=55,W575&lt;105),0.23,0)+IF(AND(V575&lt;20,W575&gt;=105),0.17,0)+IF(AND(V575&gt;=20,V575&lt;40,W575&lt;45),0.3,0)+IF(AND(V575&gt;=20,V575&lt;40,W575&gt;=45,W575&lt;95),0.23,0)+IF(AND(V575&gt;=20,V575&lt;40,W575&gt;=95,W575&lt;=250),0.17,0)+IF(AND(V575&gt;=20,V575&lt;40,W575&gt;=250),0.12,0)+IF(AND(V575&gt;=40,V575&lt;75,W575&lt;35),0.3,0)+IF(AND(V575&gt;=40,V575&lt;75,W575&gt;=35,W575&lt;75),0.23,0)+IF(AND(V575&gt;=40,V575&lt;75,W575&gt;=75,W575&lt;120),0.17,0)+IF(AND(V575&gt;=40,V575&lt;75,W575&gt;=120),0.12,0)+IF(AND(V575&gt;=75,V575&lt;175,W575&lt;35),0.3,0)+IF(AND(V575&gt;=75,V575&lt;=175,W575&gt;=35,W575&lt;65),0.23,0)+IF(AND(V575&gt;=75,V575&lt;=175,W575&gt;=65,W575&lt;110),0.17,0)+IF(AND(V575&gt;=75,V575&lt;=175,W575&gt;=110),0.12,0)+IF(AND(V575&gt;175,W575&lt;25),0.3,0)+IF(AND(V575&gt;175,W575&gt;=25,W575&lt;55),0.23,0)+IF(AND(V575&gt;175,W575&gt;=55,W575&lt;95),0.17,0)+IF(AND(V575&gt;175,W575&gt;=95),0.12,0),
IF(AF575="DoEVni",IF(AND(V575&lt;20,W575&lt;55),0.3,0)+IF(AND(V575&lt;20,W575&gt;=55,W575&lt;105),0.23,0)+IF(AND(V575&lt;20,W575&gt;=105),0.17,0)+IF(AND(V575&gt;=20,V575&lt;40,W575&lt;45),0.3,0)+IF(AND(V575&gt;=20,V575&lt;40,W575&gt;=45,W575&lt;95),0.23,0)+IF(AND(V575&gt;=20,V575&lt;40,W575&gt;=95,W575&lt;=200),0.17,0)+IF(AND(V575&gt;=20,V575&lt;40,W575&gt;=200),0.12,0)+IF(AND(V575&gt;=40,V575&lt;75,W575&lt;35),0.3,0)+IF(AND(V575&gt;=40,V575&lt;75,W575&gt;=35,W575&lt;75),0.23,0)+IF(AND(V575&gt;=40,V575&lt;75,W575&gt;=75,W575&lt;120),0.17,0)+IF(AND(V575&gt;=40,V575&lt;75,W575&gt;=120),0.12,0)+IF(AND(V575&gt;=75,V575&lt;175,W575&lt;35),0.3,0)+IF(AND(V575&gt;=75,V575&lt;=175,W575&gt;=35,W575&lt;65),0.23,0)+IF(AND(V575&gt;=75,V575&lt;=175,W575&gt;=65,W575&lt;110),0.17,0)+IF(AND(V575&gt;=75,V575&lt;=175,W575&gt;=110),0.12,0)+IF(AND(V575&gt;175,W575&lt;25),0.3,0)+IF(AND(V575&gt;175,W575&gt;=25,W575&lt;55),0.23,0)+IF(AND(V575&gt;175,W575&gt;=55,W575&lt;95),0.17,0)+IF(AND(V575&gt;175,W575&gt;=95),0.12,0),
IF(AF575="DoEVLo",IF(AND(V575&lt;20,W575&lt;55),0.25,0)+IF(AND(V575&lt;20,W575&gt;=55,W575&lt;105),0.2,0)+IF(AND(V575&lt;20,W575&gt;=105),0.15,0)+IF(AND(V575&gt;=20,V575&lt;40,W575&lt;45),0.25,0)+IF(AND(V575&gt;=20,V575&lt;40,W575&gt;=45,W575&lt;95),0.2,0)+IF(AND(V575&gt;=20,V575&lt;40,W575&gt;=95),0.15,0)+IF(AND(V575&gt;=40,V575&lt;75,W575&lt;35),0.25,0)+IF(AND(V575&gt;=40,V575&lt;75,W575&gt;=35,W575&lt;75),0.2,0)+IF(AND(V575&gt;=40,V575&lt;75,W575&gt;=75,W575&lt;120),0.15,0)+IF(AND(V575&gt;=40,V575&lt;75,W575&gt;=120),0.1,0)+IF(AND(V575&gt;=75,V575&lt;175,W575&lt;35),0.25,0)+IF(AND(V575&gt;=75,V575&lt;=175,W575&gt;=35,W575&lt;65),0.2,0)+IF(AND(V575&gt;=75,V575&lt;=175,W575&gt;=65,W575&lt;110),0.15,0)+IF(AND(V575&gt;=75,V575&lt;=175,W575&gt;=110),0.1,0)+IF(AND(V575&gt;175,W575&lt;25),0.25,0)+IF(AND(V575&gt;175,W575&gt;=25,W575&lt;55),0.2,0)+IF(AND(V575&gt;175,W575&gt;=55,W575&lt;95),0.15,0)+IF(AND(V575&gt;175,W575&gt;=95),0.1,0))))))))))))))))</f>
        <v>0.2</v>
      </c>
      <c r="Y575" s="30">
        <f>IF(AG575="None",0,IF(AG575="Fix5",0.05,IF(AG575="Fix3.75",0.0375,IF(AG575="Fix10",0.1,IF(AG575="Fix3",0.03,0)))))</f>
        <v>0</v>
      </c>
      <c r="Z575" s="35">
        <f>T575-AA575-AB575</f>
        <v>1099.2</v>
      </c>
      <c r="AA575" s="29">
        <f>IF(AD575="EUR",((T575-R575)*X575)*U575+(R575*X575),(T575*X575))</f>
        <v>274.8</v>
      </c>
      <c r="AB575" s="36">
        <f>IF(AD575="EUR",((T575-R575)*Y575)*U575+(R575*Y575),(T575*Y575))</f>
        <v>0</v>
      </c>
      <c r="AC575" s="37" t="b">
        <v>1</v>
      </c>
      <c r="AD575" s="37" t="s">
        <v>38</v>
      </c>
      <c r="AE575" s="37" t="s">
        <v>38</v>
      </c>
      <c r="AF575" s="37" t="str">
        <f t="array" ref="AF575">INDEX('Deal Info'!D:D, MATCH(A575,'Deal Info'!A:A, 0))</f>
        <v>DoEVLo</v>
      </c>
      <c r="AG575" s="38" t="str">
        <f t="array" ref="AG575">INDEX('Deal Info'!G:G, MATCH(A575,'Deal Info'!A:A, 0))</f>
        <v>None</v>
      </c>
    </row>
    <row r="576" spans="1:33" ht="14.25" x14ac:dyDescent="0.2">
      <c r="A576" s="18" t="str">
        <f t="array" ref="A576">IF(G576='Room Info'!$B$1, INDEX('Room Info'!$A$2:$A2446, MATCH(B576,'Room Info'!$B$2:$B2446, 0)),IF(G576='Room Info'!$C$1, INDEX('Room Info'!$A$2:$A2446, MATCH(B576,'Room Info'!$C$2:$C2446, 0)),IF(G576='Room Info'!$D$1, INDEX('Room Info'!$A$2:$A2446, MATCH(B576,'Room Info'!$D$2:$D2446, 0)),IF(G576='Room Info'!$E$1, INDEX('Room Info'!$A$2:$A2446, MATCH(B576,'Room Info'!$E$2:$E2446, 0)),IF(G576='Room Info'!$F$1, INDEX('Room Info'!$A$2:$A2446, MATCH(B576,'Room Info'!$F$2:$F2446, 0)),IF(G576='Room Info'!$H$1, INDEX('Room Info'!$A$2:$A2446, MATCH(B576,'Room Info'!$H$2:$H2446, 0)),IF(G576='Room Info'!$G$1, INDEX('Room Info'!$A$2:$A2446, MATCH(B576,'Room Info'!$G$2:$G2446, 0)))))))))</f>
        <v>Lo4io</v>
      </c>
      <c r="B576" s="129" t="s">
        <v>107</v>
      </c>
      <c r="C576" s="136">
        <v>44825</v>
      </c>
      <c r="D576" s="136">
        <v>44854</v>
      </c>
      <c r="E576" s="47">
        <v>44835</v>
      </c>
      <c r="F576" s="133" t="s">
        <v>34</v>
      </c>
      <c r="G576" s="129" t="s">
        <v>61</v>
      </c>
      <c r="H576" s="49" t="s">
        <v>167</v>
      </c>
      <c r="I576" s="49" t="s">
        <v>37</v>
      </c>
      <c r="J576" s="74">
        <v>25</v>
      </c>
      <c r="K576" s="134">
        <v>32</v>
      </c>
      <c r="L576" s="135">
        <v>-98</v>
      </c>
      <c r="M576" s="79">
        <v>1352</v>
      </c>
      <c r="N576" s="28">
        <f>K576*J576</f>
        <v>800</v>
      </c>
      <c r="O576" s="129">
        <v>2043</v>
      </c>
      <c r="P576" s="29">
        <v>63.84375</v>
      </c>
      <c r="Q576" s="55"/>
      <c r="R576" s="31">
        <f>M576+Q576</f>
        <v>1352</v>
      </c>
      <c r="S576" s="97">
        <v>22</v>
      </c>
      <c r="T576" s="32">
        <f>R576+S576+IF(F576="Without EV deal",L576,0)</f>
        <v>1374</v>
      </c>
      <c r="U576" s="114">
        <v>1</v>
      </c>
      <c r="V576" s="69"/>
      <c r="W576" s="69"/>
      <c r="X576" s="30">
        <v>0.2</v>
      </c>
      <c r="Y576" s="30">
        <f>IF(AG576="None",0,IF(AG576="Fix5",0.05, IF(AG576="Fix6.25",0.0625,IF(AG576="Fix3.75",0.0375,IF(AG576="Fix10",0.1,IF(AG576="Fix3",0.03,0))))))</f>
        <v>0</v>
      </c>
      <c r="Z576" s="35">
        <f>T576-AA576-AB576</f>
        <v>1099.2</v>
      </c>
      <c r="AA576" s="29">
        <f>IF(AD576="EUR",((T576-R576)*X576)*U576+(R576*X576),(T576*X576))</f>
        <v>274.8</v>
      </c>
      <c r="AB576" s="36">
        <f>IF(AD576="EUR",((T576-R576)*Y576)*U576+(R576*Y576),(T576*Y576))</f>
        <v>0</v>
      </c>
      <c r="AC576" s="37" t="b">
        <v>1</v>
      </c>
      <c r="AD576" s="37" t="s">
        <v>38</v>
      </c>
      <c r="AE576" s="37" t="s">
        <v>38</v>
      </c>
      <c r="AF576" s="37" t="str">
        <f t="array" ref="AF576">INDEX('Deal Info'!D:D, MATCH(A576,'Deal Info'!A:A, 0))</f>
        <v>DoEVLo</v>
      </c>
      <c r="AG576" s="38" t="str">
        <f t="array" ref="AG576">INDEX('Deal Info'!G:G, MATCH(A576,'Deal Info'!A:A, 0))</f>
        <v>None</v>
      </c>
    </row>
    <row r="577" spans="1:33" ht="14.25" x14ac:dyDescent="0.2">
      <c r="A577" s="18" t="str">
        <f t="array" ref="A577">IF(G577='Room Info'!$B$1, INDEX('Room Info'!$A$2:$A2446, MATCH(B577,'Room Info'!$B$2:$B2446, 0)),IF(G577='Room Info'!$C$1, INDEX('Room Info'!$A$2:$A2446, MATCH(B577,'Room Info'!$C$2:$C2446, 0)),IF(G577='Room Info'!$D$1, INDEX('Room Info'!$A$2:$A2446, MATCH(B577,'Room Info'!$D$2:$D2446, 0)),IF(G577='Room Info'!$E$1, INDEX('Room Info'!$A$2:$A2446, MATCH(B577,'Room Info'!$E$2:$E2446, 0)),IF(G577='Room Info'!$F$1, INDEX('Room Info'!$A$2:$A2446, MATCH(B577,'Room Info'!$F$2:$F2446, 0)),IF(G577='Room Info'!$H$1, INDEX('Room Info'!$A$2:$A2446, MATCH(B577,'Room Info'!$H$2:$H2446, 0)),IF(G577='Room Info'!$G$1, INDEX('Room Info'!$A$2:$A2446, MATCH(B577,'Room Info'!$G$2:$G2446, 0)))))))))</f>
        <v>Mackevgen</v>
      </c>
      <c r="B577" s="45" t="s">
        <v>128</v>
      </c>
      <c r="C577" s="46">
        <v>44835</v>
      </c>
      <c r="D577" s="46">
        <v>44865</v>
      </c>
      <c r="E577" s="47">
        <v>44835</v>
      </c>
      <c r="F577" s="48" t="s">
        <v>49</v>
      </c>
      <c r="G577" s="54" t="s">
        <v>61</v>
      </c>
      <c r="H577" s="49" t="s">
        <v>167</v>
      </c>
      <c r="I577" s="49" t="s">
        <v>101</v>
      </c>
      <c r="J577" s="50">
        <v>25</v>
      </c>
      <c r="K577" s="51">
        <v>2044</v>
      </c>
      <c r="L577" s="52">
        <v>4175</v>
      </c>
      <c r="M577" s="53">
        <v>1933</v>
      </c>
      <c r="N577" s="28">
        <f>K577*J577</f>
        <v>51100</v>
      </c>
      <c r="O577" s="54">
        <v>125568</v>
      </c>
      <c r="P577" s="29">
        <v>61.432485319999998</v>
      </c>
      <c r="Q577" s="55"/>
      <c r="R577" s="31">
        <f>M577+Q577</f>
        <v>1933</v>
      </c>
      <c r="S577" s="56">
        <v>1029</v>
      </c>
      <c r="T577" s="32">
        <f>R577+S577+IF(F577="Without EV deal",L577,0)</f>
        <v>2962</v>
      </c>
      <c r="U577" s="57">
        <v>1</v>
      </c>
      <c r="V577" s="58"/>
      <c r="W577" s="58"/>
      <c r="X577" s="30">
        <v>0.23</v>
      </c>
      <c r="Y577" s="30">
        <f>IF(AG577="None",0,IF(AG577="Fix5",0.05, IF(AG577="Fix6.25",0.0625,IF(AG577="Fix3.75",0.0375,IF(AG577="Fix10",0.1,IF(AG577="Fix3",0.03,0))))))</f>
        <v>0</v>
      </c>
      <c r="Z577" s="59">
        <f>T577-AA577-AB577</f>
        <v>2281</v>
      </c>
      <c r="AA577" s="60">
        <v>681</v>
      </c>
      <c r="AB577" s="36">
        <f>IF(AD577="EUR",((T577-R577)*Y577)*U577+(R577*Y577),(T577*Y577))</f>
        <v>0</v>
      </c>
      <c r="AC577" s="37" t="b">
        <v>1</v>
      </c>
      <c r="AD577" s="37" t="s">
        <v>38</v>
      </c>
      <c r="AE577" s="37" t="s">
        <v>38</v>
      </c>
      <c r="AF577" s="37" t="str">
        <f t="array" ref="AF577">INDEX('Deal Info'!D:D, MATCH(A577,'Deal Info'!A:A, 0))</f>
        <v>DoEV</v>
      </c>
      <c r="AG577" s="38" t="str">
        <f t="array" ref="AG577">INDEX('Deal Info'!G:G, MATCH(A577,'Deal Info'!A:A, 0))</f>
        <v>None</v>
      </c>
    </row>
    <row r="578" spans="1:33" ht="14.25" x14ac:dyDescent="0.2">
      <c r="A578" s="18" t="str">
        <f t="array" ref="A578">IF(G578='Room Info'!$B$1, INDEX('Room Info'!$A$2:$A2446, MATCH(B578,'Room Info'!$B$2:$B2446, 0)),IF(G578='Room Info'!$C$1, INDEX('Room Info'!$A$2:$A2446, MATCH(B578,'Room Info'!$C$2:$C2446, 0)),IF(G578='Room Info'!$D$1, INDEX('Room Info'!$A$2:$A2446, MATCH(B578,'Room Info'!$D$2:$D2446, 0)),IF(G578='Room Info'!$E$1, INDEX('Room Info'!$A$2:$A2446, MATCH(B578,'Room Info'!$E$2:$E2446, 0)),IF(G578='Room Info'!$F$1, INDEX('Room Info'!$A$2:$A2446, MATCH(B578,'Room Info'!$F$2:$F2446, 0)),IF(G578='Room Info'!$H$1, INDEX('Room Info'!$A$2:$A2446, MATCH(B578,'Room Info'!$H$2:$H2446, 0)),IF(G578='Room Info'!$G$1, INDEX('Room Info'!$A$2:$A2446, MATCH(B578,'Room Info'!$G$2:$G2446, 0)))))))))</f>
        <v>vezuxa</v>
      </c>
      <c r="B578" s="45" t="s">
        <v>133</v>
      </c>
      <c r="C578" s="46">
        <v>44835</v>
      </c>
      <c r="D578" s="46">
        <v>44865</v>
      </c>
      <c r="E578" s="47">
        <v>44835</v>
      </c>
      <c r="F578" s="48" t="s">
        <v>41</v>
      </c>
      <c r="G578" s="129" t="s">
        <v>61</v>
      </c>
      <c r="H578" s="49" t="s">
        <v>183</v>
      </c>
      <c r="I578" s="49" t="s">
        <v>101</v>
      </c>
      <c r="J578" s="50">
        <v>2</v>
      </c>
      <c r="K578" s="51">
        <v>2321</v>
      </c>
      <c r="L578" s="52">
        <v>360</v>
      </c>
      <c r="M578" s="53">
        <v>205</v>
      </c>
      <c r="N578" s="28">
        <f>K578*J578</f>
        <v>4642</v>
      </c>
      <c r="O578" s="54">
        <v>187531</v>
      </c>
      <c r="P578" s="29">
        <v>80.797501080000004</v>
      </c>
      <c r="Q578" s="55"/>
      <c r="R578" s="31">
        <f>M578+Q578</f>
        <v>205</v>
      </c>
      <c r="S578" s="56"/>
      <c r="T578" s="32">
        <f>R578+S578+IF(F578="Without EV deal",L578,0)</f>
        <v>565</v>
      </c>
      <c r="U578" s="57">
        <v>1</v>
      </c>
      <c r="V578" s="58"/>
      <c r="W578" s="58"/>
      <c r="X578" s="30">
        <v>0.17</v>
      </c>
      <c r="Y578" s="30">
        <f>IF(AG578="None",0,IF(AG578="Fix5",0.05, IF(AG578="Fix6.25",0.0625,IF(AG578="Fix3.75",0.0375,IF(AG578="Fix10",0.1,IF(AG578="Fix3",0.03,0))))))</f>
        <v>0</v>
      </c>
      <c r="Z578" s="59">
        <f>T578-AA578-AB578</f>
        <v>468.95</v>
      </c>
      <c r="AA578" s="60">
        <f>IF(AD578="EUR",((T578-R578)*X578)*U578+(R578*X578),(T578*X578))</f>
        <v>96.050000000000011</v>
      </c>
      <c r="AB578" s="36">
        <f>IF(AD578="EUR",((T578-R578)*Y578)*U578+(R578*Y578),(T578*Y578))</f>
        <v>0</v>
      </c>
      <c r="AC578" s="37" t="b">
        <v>1</v>
      </c>
      <c r="AD578" s="37" t="s">
        <v>50</v>
      </c>
      <c r="AE578" s="37"/>
      <c r="AF578" s="37" t="str">
        <f t="array" ref="AF578">INDEX('Deal Info'!D:D, MATCH(A578,'Deal Info'!A:A, 0))</f>
        <v>DoEV</v>
      </c>
      <c r="AG578" s="38" t="str">
        <f t="array" ref="AG578">INDEX('Deal Info'!G:G, MATCH(A578,'Deal Info'!A:A, 0))</f>
        <v>None</v>
      </c>
    </row>
    <row r="579" spans="1:33" ht="14.25" x14ac:dyDescent="0.2">
      <c r="A579" s="18" t="str">
        <f t="array" ref="A579">IF(G579='Room Info'!$B$1, INDEX('Room Info'!$A$2:$A2446, MATCH(B579,'Room Info'!$B$2:$B2446, 0)),IF(G579='Room Info'!$C$1, INDEX('Room Info'!$A$2:$A2446, MATCH(B579,'Room Info'!$C$2:$C2446, 0)),IF(G579='Room Info'!$D$1, INDEX('Room Info'!$A$2:$A2446, MATCH(B579,'Room Info'!$D$2:$D2446, 0)),IF(G579='Room Info'!$E$1, INDEX('Room Info'!$A$2:$A2446, MATCH(B579,'Room Info'!$E$2:$E2446, 0)),IF(G579='Room Info'!$F$1, INDEX('Room Info'!$A$2:$A2446, MATCH(B579,'Room Info'!$F$2:$F2446, 0)),IF(G579='Room Info'!$H$1, INDEX('Room Info'!$A$2:$A2446, MATCH(B579,'Room Info'!$H$2:$H2446, 0)),IF(G579='Room Info'!$G$1, INDEX('Room Info'!$A$2:$A2446, MATCH(B579,'Room Info'!$G$2:$G2446, 0)))))))))</f>
        <v>Mackevgen</v>
      </c>
      <c r="B579" s="45" t="s">
        <v>128</v>
      </c>
      <c r="C579" s="46">
        <v>44835</v>
      </c>
      <c r="D579" s="46">
        <v>44865</v>
      </c>
      <c r="E579" s="47">
        <v>44835</v>
      </c>
      <c r="F579" s="48" t="s">
        <v>49</v>
      </c>
      <c r="G579" s="65" t="s">
        <v>61</v>
      </c>
      <c r="H579" s="49" t="s">
        <v>55</v>
      </c>
      <c r="I579" s="49" t="s">
        <v>101</v>
      </c>
      <c r="J579" s="50">
        <v>10</v>
      </c>
      <c r="K579" s="123">
        <v>2</v>
      </c>
      <c r="L579" s="52">
        <v>0</v>
      </c>
      <c r="M579" s="53">
        <v>66</v>
      </c>
      <c r="N579" s="28">
        <f>K579*J579</f>
        <v>20</v>
      </c>
      <c r="O579" s="54">
        <v>649</v>
      </c>
      <c r="P579" s="29">
        <v>324.5</v>
      </c>
      <c r="Q579" s="55"/>
      <c r="R579" s="31">
        <f>M579+Q579</f>
        <v>66</v>
      </c>
      <c r="S579" s="56">
        <v>10</v>
      </c>
      <c r="T579" s="32">
        <f>R579+S579+IF(F579="Without EV deal",L579,0)</f>
        <v>76</v>
      </c>
      <c r="U579" s="57">
        <v>1</v>
      </c>
      <c r="V579" s="58"/>
      <c r="W579" s="58"/>
      <c r="X579" s="30">
        <v>0.23</v>
      </c>
      <c r="Y579" s="30">
        <f>IF(AG579="None",0,IF(AG579="Fix5",0.05, IF(AG579="Fix6.25",0.0625,IF(AG579="Fix3.75",0.0375,IF(AG579="Fix10",0.1,IF(AG579="Fix3",0.03,0))))))</f>
        <v>0</v>
      </c>
      <c r="Z579" s="59">
        <f>T579-AA579-AB579</f>
        <v>59</v>
      </c>
      <c r="AA579" s="60">
        <v>17</v>
      </c>
      <c r="AB579" s="36">
        <f>IF(AD579="EUR",((T579-R579)*Y579)*U579+(R579*Y579),(T579*Y579))</f>
        <v>0</v>
      </c>
      <c r="AC579" s="37" t="b">
        <v>1</v>
      </c>
      <c r="AD579" s="37" t="s">
        <v>38</v>
      </c>
      <c r="AE579" s="37" t="s">
        <v>38</v>
      </c>
      <c r="AF579" s="37" t="str">
        <f t="array" ref="AF579">INDEX('Deal Info'!D:D, MATCH(A579,'Deal Info'!A:A, 0))</f>
        <v>DoEV</v>
      </c>
      <c r="AG579" s="38" t="str">
        <f t="array" ref="AG579">INDEX('Deal Info'!G:G, MATCH(A579,'Deal Info'!A:A, 0))</f>
        <v>None</v>
      </c>
    </row>
    <row r="580" spans="1:33" ht="14.25" x14ac:dyDescent="0.2">
      <c r="A580" s="18" t="str">
        <f t="array" ref="A580">IF(G580='Room Info'!$B$1, INDEX('Room Info'!$A$2:$A2446, MATCH(B580,'Room Info'!$B$2:$B2446, 0)),IF(G580='Room Info'!$C$1, INDEX('Room Info'!$A$2:$A2446, MATCH(B580,'Room Info'!$C$2:$C2446, 0)),IF(G580='Room Info'!$D$1, INDEX('Room Info'!$A$2:$A2446, MATCH(B580,'Room Info'!$D$2:$D2446, 0)),IF(G580='Room Info'!$E$1, INDEX('Room Info'!$A$2:$A2446, MATCH(B580,'Room Info'!$E$2:$E2446, 0)),IF(G580='Room Info'!$F$1, INDEX('Room Info'!$A$2:$A2446, MATCH(B580,'Room Info'!$F$2:$F2446, 0)),IF(G580='Room Info'!$H$1, INDEX('Room Info'!$A$2:$A2446, MATCH(B580,'Room Info'!$H$2:$H2446, 0)),IF(G580='Room Info'!$G$1, INDEX('Room Info'!$A$2:$A2446, MATCH(B580,'Room Info'!$G$2:$G2446, 0)))))))))</f>
        <v>fortunate773</v>
      </c>
      <c r="B580" s="45" t="s">
        <v>95</v>
      </c>
      <c r="C580" s="46">
        <v>44866</v>
      </c>
      <c r="D580" s="46">
        <v>44885</v>
      </c>
      <c r="E580" s="47">
        <v>44866</v>
      </c>
      <c r="F580" s="48" t="s">
        <v>34</v>
      </c>
      <c r="G580" s="45" t="s">
        <v>61</v>
      </c>
      <c r="H580" s="49" t="s">
        <v>100</v>
      </c>
      <c r="I580" s="49" t="s">
        <v>101</v>
      </c>
      <c r="J580" s="70">
        <v>500</v>
      </c>
      <c r="K580" s="71">
        <v>162</v>
      </c>
      <c r="L580" s="52">
        <v>-6168</v>
      </c>
      <c r="M580" s="53">
        <v>55</v>
      </c>
      <c r="N580" s="28">
        <f>K580*J580</f>
        <v>81000</v>
      </c>
      <c r="O580" s="54">
        <v>3275</v>
      </c>
      <c r="P580" s="29">
        <v>20.216049380000001</v>
      </c>
      <c r="Q580" s="55"/>
      <c r="R580" s="31">
        <f>M580+Q580</f>
        <v>55</v>
      </c>
      <c r="S580" s="56">
        <v>-3528</v>
      </c>
      <c r="T580" s="32">
        <f>R580+S580+IF(F580="Without EV deal",L580,0)</f>
        <v>-3473</v>
      </c>
      <c r="U580" s="57">
        <v>1</v>
      </c>
      <c r="V580" s="58"/>
      <c r="W580" s="58"/>
      <c r="X580" s="30">
        <f>IF(AF580="DoEV",IF(AND(V580&lt;20,W580&lt;55),0.3,0)+IF(AND(V580&lt;20,W580&gt;=55,W580&lt;105),0.23,0)+IF(AND(V580&lt;20,W580&gt;=105),0.17,0)+IF(AND(V580&gt;=20,V580&lt;40,W580&lt;45),0.3,0)+IF(AND(V580&gt;=20,V580&lt;40,W580&gt;=45,W580&lt;95),0.23,0)+IF(AND(V580&gt;=20,V580&lt;40,W580&gt;=95),0.17,0)+IF(AND(V580&gt;=40,V580&lt;75,W580&lt;35),0.3,0)+IF(AND(V580&gt;=40,V580&lt;75,W580&gt;=35,W580&lt;75),0.23,0)+IF(AND(V580&gt;=40,V580&lt;75,W580&gt;=75,W580&lt;120),0.17,0)+IF(AND(V580&gt;=40,V580&lt;75,W580&gt;=120),0.12,0)+IF(AND(V580&gt;=75,V580&lt;175,W580&lt;35),0.3,0)+IF(AND(V580&gt;=75,V580&lt;=175,W580&gt;=35,W580&lt;65),0.23,0)+IF(AND(V580&gt;=75,V580&lt;=175,W580&gt;=65,W580&lt;110),0.17,0)+IF(AND(V580&gt;=75,V580&lt;=175,W580&gt;=110),0.12,0)+IF(AND(V580&gt;175,W580&lt;25),0.3,0)+IF(AND(V580&gt;175,W580&gt;=25,W580&lt;55),0.23,0)+IF(AND(V580&gt;175,W580&gt;=55,W580&lt;95),0.17,0)+IF(AND(V580&gt;175,W580&gt;=95),0.12,0),
IF(AF580="Fix15",0.15,
IF(AF580="Fix11.25",0.1125,
IF(AF580="Fix10",0.1,
IF(AF580="Fix9",0.09,
IF(AF580="DoEV2017",IF(AND(W580&lt;74),0.2,0)+IF(AND(W580&gt;=74),0.17,0),
IF(AF580="SF",IF(AND(V580&lt;20,W580&lt;89),0.3,0)+IF(AND(V580&lt;20,W580&gt;=89),0.25,0)+IF(AND(V580&gt;=20,V580&lt;40,W580&lt;74),0.3,0)+IF(AND(V580&gt;=20,V580&lt;40,W580&gt;=75),0.22,0)+IF(AND(V580&gt;=40,V580&lt;75,W580&lt;75),0.26,0)+IF(AND(V580&gt;=40,V580&lt;75,W580&gt;=75),0.22,0)+IF(V580&gt;=75,0.22,0),
IF(AF580="DoEVold",IF(AND(V580&lt;40,W580&lt;35),0.35,0)+IF(AND(V580&lt;40,W580&gt;=35,W580&lt;75),0.25,0)+IF(AND(V580&lt;40,W580&gt;=75),0.17,0)+IF(AND(V580&gt;=40,V580&lt;75,W580&lt;25),0.35,0)+IF(AND(V580&gt;=40,V580&lt;75,W580&gt;=25,W580&lt;65),0.25,0)+IF(AND(V580&gt;=40,V580&lt;75,W580&gt;=65,W580&lt;100),0.17,0)+IF(AND(V580&gt;=40,V580&lt;75,W580&gt;=100),0.1,0)+IF(AND(V580&gt;=75,W580&lt;25),0.35,0)+IF(AND(V580&gt;=75,W580&gt;=25,W580&lt;60),0.25,0)+IF(AND(V580&gt;=75,W580&gt;=60,W580&lt;95),0.17,0)+IF(AND(V580&gt;=75,W580&gt;=95),0.1,0),
IF(AF580="DoEVold15",IF(AND(V580&lt;=40,W580&lt;35),0.35,0)+IF(AND(V580&lt;=40,W580&gt;=35,W580&lt;75),0.25,0)+IF(AND(V580&lt;=40,W580&gt;=75,W580&lt;120),0.17,0)+IF(AND(V580&lt;=40,W580&gt;=120),0.15,0)+IF(AND(V580&gt;40,V580&lt;75,W580&lt;25),0.35,0)+IF(AND(V580&gt;=40,V580&lt;75,W580&gt;=25,W580&lt;65),0.25,0)+IF(AND(V580&gt;=40,V580&lt;75,W580&gt;=65,W580&lt;100),0.17,0)+IF(AND(V580&gt;=40,V580&lt;75,W580&gt;=100),0.1,0)+IF(AND(V580&gt;=75,W580&lt;25),0.35,0)+IF(AND(V580&gt;=75,W580&gt;=25,W580&lt;60),0.25,0)+IF(AND(V580&gt;=75,W580&gt;=60,W580&lt;95),0.17,0)+IF(AND(V580&gt;=75,W580&gt;=95),0.1,0),
IF(AF580="DoEVba",IF(AND(V580&lt;20,W580&lt;105),0.2,0)+IF(AND(V580&lt;20,W580&gt;=105),0.15,0)+IF(AND(V580&gt;=20,V580&lt;40,W580&lt;95),0.2,0)+IF(AND(V580&gt;=20,V580&lt;40,W580&gt;=95,W580&lt;150),0.15,0)+IF(AND(V580&gt;=20,V580&lt;40,W580&gt;=150),0.12,0)+IF(AND(V580&gt;=40,V580&lt;75,W580&lt;75),0.2,0)+IF(AND(V580&gt;=40,V580&lt;75,W580&gt;=75,W580&lt;120),0.15,0)+IF(AND(V580&gt;=40,V580&lt;75,W580&gt;=120),0.12,0)+IF(AND(V580&gt;=75,V580&lt;175,W580&lt;65),0.2,0)+IF(AND(V580&gt;=75,V580&lt;175,W580&gt;=65,W580&lt;110),0.15,0)+IF(AND(V580&gt;=75,V580&lt;175,W580&gt;=110),0.12,0)+IF(AND(V580&gt;=175,W580&lt;55),0.2,0)+IF(AND(V580&gt;=175,W580&gt;=55,W580&lt;95),0.15,0)+IF(AND(V580&gt;=175,W580&gt;=95),0.12,0),
IF(AF580="DoEVku",IF(AND(V580&lt;20,W580&lt;55),0.23,0)+IF(AND(V580&lt;20,W580&gt;=55,W580&lt;105),0.2,0)+IF(AND(V580&lt;20,W580&gt;=105),0.17,0)+IF(AND(V580&gt;=20,V580&lt;40,W580&lt;45),0.23,0)+IF(AND(V580&gt;=20,V580&lt;40,W580&gt;=45,W580&lt;95),0.2,0)+IF(AND(V580&gt;=20,V580&lt;40,W580&gt;=95,W580&lt;=150),0.17,0)+IF(AND(V580&gt;=20,V580&lt;40,W580&gt;=150),0.12,0)+IF(AND(V580&gt;=40,V580&lt;75,W580&lt;35),0.23,0)+IF(AND(V580&gt;=40,V580&lt;75,W580&gt;=35,W580&lt;75),0.2,0)+IF(AND(V580&gt;=40,V580&lt;75,W580&gt;=75,W580&lt;120),0.17,0)+IF(AND(V580&gt;=40,V580&lt;75,W580&gt;=120),0.12,0)+IF(AND(V580&gt;=75,V580&lt;175,W580&lt;35),0.23,0)+IF(AND(V580&gt;=75,V580&lt;=175,W580&gt;=35,W580&lt;65),0.2,0)+IF(AND(V580&gt;=75,V580&lt;=175,W580&gt;=65,W580&lt;110),0.17,0)+IF(AND(V580&gt;=75,V580&lt;=175,W580&gt;=110),0.12,0)+IF(AND(V580&gt;175,W580&lt;25),0.23,0)+IF(AND(V580&gt;175,W580&gt;=25,W580&lt;55),0.2,0)+IF(AND(V580&gt;175,W580&gt;=55,W580&lt;95),0.17,0)+IF(AND(V580&gt;175,W580&gt;=95),0.12,0),
IF(AF580="DoEVs1",IF(AND(V580&lt;20,W580&lt;55),0.3,0)+IF(AND(V580&lt;20,W580&gt;=55,W580&lt;105),0.23,0)+IF(AND(V580&lt;20,W580&gt;=105),0.17,0)+IF(AND(V580&gt;=20,V580&lt;40,W580&lt;45),0.3,0)+IF(AND(V580&gt;=20,V580&lt;40,W580&gt;=45,W580&lt;95),0.23,0)+IF(AND(V580&gt;=20,V580&lt;40,W580&gt;=95,W580&lt;=150),0.17,0)+IF(AND(V580&gt;=20,V580&lt;40,W580&gt;=150),0.12,0)+IF(AND(V580&gt;=40,V580&lt;75,W580&lt;35),0.3,0)+IF(AND(V580&gt;=40,V580&lt;75,W580&gt;=35,W580&lt;75),0.23,0)+IF(AND(V580&gt;=40,V580&lt;75,W580&gt;=75,W580&lt;120),0.17,0)+IF(AND(V580&gt;=40,V580&lt;75,W580&gt;=120),0.12,0)+IF(AND(V580&gt;=75,V580&lt;175,W580&lt;35),0.3,0)+IF(AND(V580&gt;=75,V580&lt;=175,W580&gt;=35,W580&lt;65),0.23,0)+IF(AND(V580&gt;=75,V580&lt;=175,W580&gt;=65,W580&lt;110),0.17,0)+IF(AND(V580&gt;=75,V580&lt;=175,W580&gt;=110),0.12,0)+IF(AND(V580&gt;175,W580&lt;25),0.3,0)+IF(AND(V580&gt;175,W580&gt;=25,W580&lt;55),0.23,0)+IF(AND(V580&gt;175,W580&gt;=55,W580&lt;95),0.17,0)+IF(AND(V580&gt;175,W580&gt;=95),0.12,0),
IF(AF580="DoEVsu",IF(AND(V580&lt;20,W580&lt;55),0.3,0)+IF(AND(V580&lt;20,W580&gt;=55,W580&lt;105),0.23,0)+IF(AND(V580&lt;20,W580&gt;=105),0.17,0)+IF(AND(V580&gt;=20,V580&lt;40,W580&lt;45),0.3,0)+IF(AND(V580&gt;=20,V580&lt;40,W580&gt;=45,W580&lt;95),0.23,0)+IF(AND(V580&gt;=20,V580&lt;40,W580&gt;=95,W580&lt;=250),0.17,0)+IF(AND(V580&gt;=20,V580&lt;40,W580&gt;=250),0.12,0)+IF(AND(V580&gt;=40,V580&lt;75,W580&lt;35),0.3,0)+IF(AND(V580&gt;=40,V580&lt;75,W580&gt;=35,W580&lt;75),0.23,0)+IF(AND(V580&gt;=40,V580&lt;75,W580&gt;=75,W580&lt;120),0.17,0)+IF(AND(V580&gt;=40,V580&lt;75,W580&gt;=120),0.12,0)+IF(AND(V580&gt;=75,V580&lt;175,W580&lt;35),0.3,0)+IF(AND(V580&gt;=75,V580&lt;=175,W580&gt;=35,W580&lt;65),0.23,0)+IF(AND(V580&gt;=75,V580&lt;=175,W580&gt;=65,W580&lt;110),0.17,0)+IF(AND(V580&gt;=75,V580&lt;=175,W580&gt;=110),0.12,0)+IF(AND(V580&gt;175,W580&lt;25),0.3,0)+IF(AND(V580&gt;175,W580&gt;=25,W580&lt;55),0.23,0)+IF(AND(V580&gt;175,W580&gt;=55,W580&lt;95),0.17,0)+IF(AND(V580&gt;175,W580&gt;=95),0.12,0),
IF(AF580="DoEVni",IF(AND(V580&lt;20,W580&lt;55),0.3,0)+IF(AND(V580&lt;20,W580&gt;=55,W580&lt;105),0.23,0)+IF(AND(V580&lt;20,W580&gt;=105),0.17,0)+IF(AND(V580&gt;=20,V580&lt;40,W580&lt;45),0.3,0)+IF(AND(V580&gt;=20,V580&lt;40,W580&gt;=45,W580&lt;95),0.23,0)+IF(AND(V580&gt;=20,V580&lt;40,W580&gt;=95,W580&lt;=200),0.17,0)+IF(AND(V580&gt;=20,V580&lt;40,W580&gt;=200),0.12,0)+IF(AND(V580&gt;=40,V580&lt;75,W580&lt;35),0.3,0)+IF(AND(V580&gt;=40,V580&lt;75,W580&gt;=35,W580&lt;75),0.23,0)+IF(AND(V580&gt;=40,V580&lt;75,W580&gt;=75,W580&lt;120),0.17,0)+IF(AND(V580&gt;=40,V580&lt;75,W580&gt;=120),0.12,0)+IF(AND(V580&gt;=75,V580&lt;175,W580&lt;35),0.3,0)+IF(AND(V580&gt;=75,V580&lt;=175,W580&gt;=35,W580&lt;65),0.23,0)+IF(AND(V580&gt;=75,V580&lt;=175,W580&gt;=65,W580&lt;110),0.17,0)+IF(AND(V580&gt;=75,V580&lt;=175,W580&gt;=110),0.12,0)+IF(AND(V580&gt;175,W580&lt;25),0.3,0)+IF(AND(V580&gt;175,W580&gt;=25,W580&lt;55),0.23,0)+IF(AND(V580&gt;175,W580&gt;=55,W580&lt;95),0.17,0)+IF(AND(V580&gt;175,W580&gt;=95),0.12,0),
IF(AF580="DoEVLo",IF(AND(V580&lt;20,W580&lt;55),0.25,0)+IF(AND(V580&lt;20,W580&gt;=55,W580&lt;105),0.2,0)+IF(AND(V580&lt;20,W580&gt;=105),0.15,0)+IF(AND(V580&gt;=20,V580&lt;40,W580&lt;45),0.25,0)+IF(AND(V580&gt;=20,V580&lt;40,W580&gt;=45,W580&lt;95),0.2,0)+IF(AND(V580&gt;=20,V580&lt;40,W580&gt;=95),0.15,0)+IF(AND(V580&gt;=40,V580&lt;75,W580&lt;35),0.25,0)+IF(AND(V580&gt;=40,V580&lt;75,W580&gt;=35,W580&lt;75),0.2,0)+IF(AND(V580&gt;=40,V580&lt;75,W580&gt;=75,W580&lt;120),0.15,0)+IF(AND(V580&gt;=40,V580&lt;75,W580&gt;=120),0.1,0)+IF(AND(V580&gt;=75,V580&lt;175,W580&lt;35),0.25,0)+IF(AND(V580&gt;=75,V580&lt;=175,W580&gt;=35,W580&lt;65),0.2,0)+IF(AND(V580&gt;=75,V580&lt;=175,W580&gt;=65,W580&lt;110),0.15,0)+IF(AND(V580&gt;=75,V580&lt;=175,W580&gt;=110),0.1,0)+IF(AND(V580&gt;175,W580&lt;25),0.25,0)+IF(AND(V580&gt;175,W580&gt;=25,W580&lt;55),0.2,0)+IF(AND(V580&gt;175,W580&gt;=55,W580&lt;95),0.15,0)+IF(AND(V580&gt;175,W580&gt;=95),0.1,0))))))))))))))))</f>
        <v>0.15</v>
      </c>
      <c r="Y580" s="30">
        <f>IF(AG580="None",0,IF(AG580="Fix5",0.05,IF(AG580="Fix3.75",0.0375,IF(AG580="Fix10",0.1,IF(AG580="Fix3",0.03,0)))))</f>
        <v>0.05</v>
      </c>
      <c r="Z580" s="59">
        <v>-2779</v>
      </c>
      <c r="AA580" s="60">
        <v>-695</v>
      </c>
      <c r="AB580" s="36"/>
      <c r="AC580" s="37" t="b">
        <v>0</v>
      </c>
      <c r="AD580" s="37" t="s">
        <v>50</v>
      </c>
      <c r="AE580" s="37"/>
      <c r="AF580" s="37" t="str">
        <f t="array" ref="AF580">INDEX('Deal Info'!D:D, MATCH(A580,'Deal Info'!A:A, 0))</f>
        <v>Fix15</v>
      </c>
      <c r="AG580" s="38" t="str">
        <f t="array" ref="AG580">INDEX('Deal Info'!G:G, MATCH(A580,'Deal Info'!A:A, 0))</f>
        <v>Fix5</v>
      </c>
    </row>
    <row r="581" spans="1:33" ht="14.25" x14ac:dyDescent="0.2">
      <c r="A581" s="18" t="str">
        <f t="array" ref="A581">IF(G581='Room Info'!$B$1, INDEX('Room Info'!$A$2:$A2446, MATCH(B581,'Room Info'!$B$2:$B2446, 0)),IF(G581='Room Info'!$C$1, INDEX('Room Info'!$A$2:$A2446, MATCH(B581,'Room Info'!$C$2:$C2446, 0)),IF(G581='Room Info'!$D$1, INDEX('Room Info'!$A$2:$A2446, MATCH(B581,'Room Info'!$D$2:$D2446, 0)),IF(G581='Room Info'!$E$1, INDEX('Room Info'!$A$2:$A2446, MATCH(B581,'Room Info'!$E$2:$E2446, 0)),IF(G581='Room Info'!$F$1, INDEX('Room Info'!$A$2:$A2446, MATCH(B581,'Room Info'!$F$2:$F2446, 0)),IF(G581='Room Info'!$H$1, INDEX('Room Info'!$A$2:$A2446, MATCH(B581,'Room Info'!$H$2:$H2446, 0)),IF(G581='Room Info'!$G$1, INDEX('Room Info'!$A$2:$A2446, MATCH(B581,'Room Info'!$G$2:$G2446, 0)))))))))</f>
        <v>Mackevgen</v>
      </c>
      <c r="B581" s="45" t="s">
        <v>128</v>
      </c>
      <c r="C581" s="46">
        <v>44866</v>
      </c>
      <c r="D581" s="46">
        <v>44883</v>
      </c>
      <c r="E581" s="47">
        <v>44866</v>
      </c>
      <c r="F581" s="48" t="s">
        <v>49</v>
      </c>
      <c r="G581" s="65" t="s">
        <v>61</v>
      </c>
      <c r="H581" s="49" t="s">
        <v>57</v>
      </c>
      <c r="I581" s="49" t="s">
        <v>101</v>
      </c>
      <c r="J581" s="50">
        <v>50</v>
      </c>
      <c r="K581" s="123">
        <v>254</v>
      </c>
      <c r="L581" s="52">
        <v>900</v>
      </c>
      <c r="M581" s="53">
        <v>0</v>
      </c>
      <c r="N581" s="28">
        <f>K581*J581</f>
        <v>12700</v>
      </c>
      <c r="O581" s="54">
        <v>12230</v>
      </c>
      <c r="P581" s="29">
        <v>48.149606300000002</v>
      </c>
      <c r="Q581" s="55"/>
      <c r="R581" s="31">
        <f>M581+Q581</f>
        <v>0</v>
      </c>
      <c r="S581" s="56">
        <v>-21</v>
      </c>
      <c r="T581" s="32">
        <f>R581+S581+IF(F581="Without EV deal",L581,0)</f>
        <v>-21</v>
      </c>
      <c r="U581" s="57">
        <v>1</v>
      </c>
      <c r="V581" s="58"/>
      <c r="W581" s="58"/>
      <c r="X581" s="30">
        <v>0.17</v>
      </c>
      <c r="Y581" s="30">
        <f>IF(AG581="None",0,IF(AG581="Fix5",0.05, IF(AG581="Fix6.25",0.0625,IF(AG581="Fix3.75",0.0375,IF(AG581="Fix10",0.1,IF(AG581="Fix3",0.03,0))))))</f>
        <v>0</v>
      </c>
      <c r="Z581" s="59">
        <f>T581-AA581-AB581</f>
        <v>-17</v>
      </c>
      <c r="AA581" s="60">
        <v>-4</v>
      </c>
      <c r="AB581" s="36">
        <f>IF(AD581="EUR",((T581-R581)*Y581)*U581+(R581*Y581),(T581*Y581))</f>
        <v>0</v>
      </c>
      <c r="AC581" s="37" t="b">
        <v>1</v>
      </c>
      <c r="AD581" s="37" t="s">
        <v>38</v>
      </c>
      <c r="AE581" s="37" t="s">
        <v>38</v>
      </c>
      <c r="AF581" s="37" t="str">
        <f t="array" ref="AF581">INDEX('Deal Info'!D:D, MATCH(A581,'Deal Info'!A:A, 0))</f>
        <v>DoEV</v>
      </c>
      <c r="AG581" s="38" t="str">
        <f t="array" ref="AG581">INDEX('Deal Info'!G:G, MATCH(A581,'Deal Info'!A:A, 0))</f>
        <v>None</v>
      </c>
    </row>
    <row r="582" spans="1:33" ht="14.25" hidden="1" x14ac:dyDescent="0.2">
      <c r="A582" s="18" t="str">
        <f t="array" ref="A582">IF(G582='Room Info'!$B$1, INDEX('Room Info'!$A$2:$A2446, MATCH(B582,'Room Info'!$B$2:$B2446, 0)),IF(G582='Room Info'!$C$1, INDEX('Room Info'!$A$2:$A2446, MATCH(B582,'Room Info'!$C$2:$C2446, 0)),IF(G582='Room Info'!$D$1, INDEX('Room Info'!$A$2:$A2446, MATCH(B582,'Room Info'!$D$2:$D2446, 0)),IF(G582='Room Info'!$E$1, INDEX('Room Info'!$A$2:$A2446, MATCH(B582,'Room Info'!$E$2:$E2446, 0)),IF(G582='Room Info'!$F$1, INDEX('Room Info'!$A$2:$A2446, MATCH(B582,'Room Info'!$F$2:$F2446, 0)),IF(G582='Room Info'!$H$1, INDEX('Room Info'!$A$2:$A2446, MATCH(B582,'Room Info'!$H$2:$H2446, 0)),IF(G582='Room Info'!$G$1, INDEX('Room Info'!$A$2:$A2446, MATCH(B582,'Room Info'!$G$2:$G2446, 0)))))))))</f>
        <v>fraum@rta</v>
      </c>
      <c r="B582" s="45" t="s">
        <v>152</v>
      </c>
      <c r="C582" s="46">
        <v>44370</v>
      </c>
      <c r="D582" s="46">
        <v>44500</v>
      </c>
      <c r="E582" s="47">
        <v>44470</v>
      </c>
      <c r="F582" s="48" t="s">
        <v>41</v>
      </c>
      <c r="G582" s="45" t="s">
        <v>35</v>
      </c>
      <c r="H582" s="49" t="s">
        <v>70</v>
      </c>
      <c r="I582" s="49" t="s">
        <v>37</v>
      </c>
      <c r="J582" s="50">
        <v>100</v>
      </c>
      <c r="K582" s="51">
        <v>5200</v>
      </c>
      <c r="L582" s="52">
        <v>3700</v>
      </c>
      <c r="M582" s="53">
        <v>1871</v>
      </c>
      <c r="N582" s="28">
        <f>K582*J582</f>
        <v>520000</v>
      </c>
      <c r="O582" s="54">
        <v>175649</v>
      </c>
      <c r="P582" s="29">
        <v>33.778653849999998</v>
      </c>
      <c r="Q582" s="55"/>
      <c r="R582" s="31">
        <f>M582+Q582</f>
        <v>1871</v>
      </c>
      <c r="S582" s="56"/>
      <c r="T582" s="32">
        <f>R582+S582+IF(F582="Without EV deal",L582,0)</f>
        <v>5571</v>
      </c>
      <c r="U582" s="57">
        <v>1</v>
      </c>
      <c r="V582" s="58"/>
      <c r="W582" s="58"/>
      <c r="X582" s="78">
        <v>0.06</v>
      </c>
      <c r="Y582" s="78">
        <v>0.12</v>
      </c>
      <c r="Z582" s="35">
        <f>T582-AA582-AB582</f>
        <v>4568.2199999999993</v>
      </c>
      <c r="AA582" s="29">
        <f>IF(AD582="EUR",((T582-R582)*X582)*U582+(R582*X582),(T582*X582))</f>
        <v>334.26</v>
      </c>
      <c r="AB582" s="36">
        <f>IF(AD582="EUR",((T582-R582)*Y582)*U582+(R582*Y582),(T582*Y582))</f>
        <v>668.52</v>
      </c>
      <c r="AC582" s="37" t="b">
        <v>1</v>
      </c>
      <c r="AD582" s="61" t="s">
        <v>38</v>
      </c>
      <c r="AE582" s="83" t="s">
        <v>38</v>
      </c>
      <c r="AF582" s="37" t="str">
        <f t="array" ref="AF582">INDEX('Deal Info'!D:D, MATCH(A582,'Deal Info'!A:A, 0))</f>
        <v>Fix15</v>
      </c>
      <c r="AG582" s="38" t="str">
        <f t="array" ref="AG582">INDEX('Deal Info'!G:G, MATCH(A582,'Deal Info'!A:A, 0))</f>
        <v>None</v>
      </c>
    </row>
    <row r="583" spans="1:33" ht="14.25" hidden="1" x14ac:dyDescent="0.2">
      <c r="A583" s="18" t="str">
        <f t="array" ref="A583">IF(G583='Room Info'!$B$1, INDEX('Room Info'!$A$2:$A2446, MATCH(B583,'Room Info'!$B$2:$B2446, 0)),IF(G583='Room Info'!$C$1, INDEX('Room Info'!$A$2:$A2446, MATCH(B583,'Room Info'!$C$2:$C2446, 0)),IF(G583='Room Info'!$D$1, INDEX('Room Info'!$A$2:$A2446, MATCH(B583,'Room Info'!$D$2:$D2446, 0)),IF(G583='Room Info'!$E$1, INDEX('Room Info'!$A$2:$A2446, MATCH(B583,'Room Info'!$E$2:$E2446, 0)),IF(G583='Room Info'!$F$1, INDEX('Room Info'!$A$2:$A2446, MATCH(B583,'Room Info'!$F$2:$F2446, 0)),IF(G583='Room Info'!$H$1, INDEX('Room Info'!$A$2:$A2446, MATCH(B583,'Room Info'!$H$2:$H2446, 0)),IF(G583='Room Info'!$G$1, INDEX('Room Info'!$A$2:$A2446, MATCH(B583,'Room Info'!$G$2:$G2446, 0)))))))))</f>
        <v>fraum@rta</v>
      </c>
      <c r="B583" s="45" t="s">
        <v>152</v>
      </c>
      <c r="C583" s="46">
        <v>44501</v>
      </c>
      <c r="D583" s="46">
        <v>44530</v>
      </c>
      <c r="E583" s="47">
        <v>44501</v>
      </c>
      <c r="F583" s="48" t="s">
        <v>41</v>
      </c>
      <c r="G583" s="45" t="s">
        <v>35</v>
      </c>
      <c r="H583" s="49" t="s">
        <v>70</v>
      </c>
      <c r="I583" s="49" t="s">
        <v>37</v>
      </c>
      <c r="J583" s="50">
        <v>100</v>
      </c>
      <c r="K583" s="51">
        <v>1010</v>
      </c>
      <c r="L583" s="52">
        <v>-6900</v>
      </c>
      <c r="M583" s="53">
        <v>3082</v>
      </c>
      <c r="N583" s="28">
        <f>K583*J583</f>
        <v>101000</v>
      </c>
      <c r="O583" s="54">
        <v>34116</v>
      </c>
      <c r="P583" s="29">
        <v>33.778217820000002</v>
      </c>
      <c r="Q583" s="55"/>
      <c r="R583" s="31">
        <f>M583+Q583</f>
        <v>3082</v>
      </c>
      <c r="S583" s="56"/>
      <c r="T583" s="32">
        <f>R583+S583+IF(F583="Without EV deal",L583,0)</f>
        <v>-3818</v>
      </c>
      <c r="U583" s="57">
        <v>1</v>
      </c>
      <c r="V583" s="58"/>
      <c r="W583" s="58"/>
      <c r="X583" s="78">
        <v>0.06</v>
      </c>
      <c r="Y583" s="78">
        <v>0.12</v>
      </c>
      <c r="Z583" s="35">
        <f>T583-AA583-AB583</f>
        <v>-3130.76</v>
      </c>
      <c r="AA583" s="29">
        <f>IF(AD583="EUR",((T583-R583)*X583)*U583+(R583*X583),(T583*X583))</f>
        <v>-229.07999999999998</v>
      </c>
      <c r="AB583" s="36">
        <f>IF(AD583="EUR",((T583-R583)*Y583)*U583+(R583*Y583),(T583*Y583))</f>
        <v>-458.15999999999997</v>
      </c>
      <c r="AC583" s="37" t="b">
        <v>1</v>
      </c>
      <c r="AD583" s="61" t="s">
        <v>38</v>
      </c>
      <c r="AE583" s="83" t="s">
        <v>38</v>
      </c>
      <c r="AF583" s="37" t="str">
        <f t="array" ref="AF583">INDEX('Deal Info'!D:D, MATCH(A583,'Deal Info'!A:A, 0))</f>
        <v>Fix15</v>
      </c>
      <c r="AG583" s="38" t="str">
        <f t="array" ref="AG583">INDEX('Deal Info'!G:G, MATCH(A583,'Deal Info'!A:A, 0))</f>
        <v>None</v>
      </c>
    </row>
    <row r="584" spans="1:33" ht="14.25" hidden="1" x14ac:dyDescent="0.2">
      <c r="A584" s="18" t="str">
        <f t="array" ref="A584">IF(G584='Room Info'!$B$1, INDEX('Room Info'!$A$2:$A2446, MATCH(B584,'Room Info'!$B$2:$B2446, 0)),IF(G584='Room Info'!$C$1, INDEX('Room Info'!$A$2:$A2446, MATCH(B584,'Room Info'!$C$2:$C2446, 0)),IF(G584='Room Info'!$D$1, INDEX('Room Info'!$A$2:$A2446, MATCH(B584,'Room Info'!$D$2:$D2446, 0)),IF(G584='Room Info'!$E$1, INDEX('Room Info'!$A$2:$A2446, MATCH(B584,'Room Info'!$E$2:$E2446, 0)),IF(G584='Room Info'!$F$1, INDEX('Room Info'!$A$2:$A2446, MATCH(B584,'Room Info'!$F$2:$F2446, 0)),IF(G584='Room Info'!$H$1, INDEX('Room Info'!$A$2:$A2446, MATCH(B584,'Room Info'!$H$2:$H2446, 0)),IF(G584='Room Info'!$G$1, INDEX('Room Info'!$A$2:$A2446, MATCH(B584,'Room Info'!$G$2:$G2446, 0)))))))))</f>
        <v>fraum@rta</v>
      </c>
      <c r="B584" s="45" t="s">
        <v>152</v>
      </c>
      <c r="C584" s="46">
        <v>44531</v>
      </c>
      <c r="D584" s="46">
        <v>44561</v>
      </c>
      <c r="E584" s="47">
        <v>44531</v>
      </c>
      <c r="F584" s="48" t="s">
        <v>41</v>
      </c>
      <c r="G584" s="45" t="s">
        <v>35</v>
      </c>
      <c r="H584" s="49" t="s">
        <v>70</v>
      </c>
      <c r="I584" s="49" t="s">
        <v>37</v>
      </c>
      <c r="J584" s="50">
        <v>100</v>
      </c>
      <c r="K584" s="51">
        <v>1297</v>
      </c>
      <c r="L584" s="52">
        <v>7800</v>
      </c>
      <c r="M584" s="53">
        <v>3616</v>
      </c>
      <c r="N584" s="28">
        <f>K584*J584</f>
        <v>129700</v>
      </c>
      <c r="O584" s="54">
        <v>137917</v>
      </c>
      <c r="P584" s="29">
        <v>106.3353894</v>
      </c>
      <c r="Q584" s="55"/>
      <c r="R584" s="31">
        <f>M584+Q584</f>
        <v>3616</v>
      </c>
      <c r="S584" s="56"/>
      <c r="T584" s="32">
        <f>R584+S584+IF(F584="Without EV deal",L584,0)</f>
        <v>11416</v>
      </c>
      <c r="U584" s="57">
        <v>1</v>
      </c>
      <c r="V584" s="58"/>
      <c r="W584" s="58"/>
      <c r="X584" s="78">
        <v>0.06</v>
      </c>
      <c r="Y584" s="78">
        <v>0.12</v>
      </c>
      <c r="Z584" s="35">
        <f>T584-AA584-AB584</f>
        <v>9361.1200000000008</v>
      </c>
      <c r="AA584" s="29">
        <f>IF(AD584="EUR",((T584-R584)*X584)*U584+(R584*X584),(T584*X584))</f>
        <v>684.95999999999992</v>
      </c>
      <c r="AB584" s="36">
        <f>IF(AD584="EUR",((T584-R584)*Y584)*U584+(R584*Y584),(T584*Y584))</f>
        <v>1369.9199999999998</v>
      </c>
      <c r="AC584" s="37" t="b">
        <v>1</v>
      </c>
      <c r="AD584" s="61" t="s">
        <v>38</v>
      </c>
      <c r="AE584" s="83" t="s">
        <v>38</v>
      </c>
      <c r="AF584" s="37" t="str">
        <f t="array" ref="AF584">INDEX('Deal Info'!D:D, MATCH(A584,'Deal Info'!A:A, 0))</f>
        <v>Fix15</v>
      </c>
      <c r="AG584" s="38" t="str">
        <f t="array" ref="AG584">INDEX('Deal Info'!G:G, MATCH(A584,'Deal Info'!A:A, 0))</f>
        <v>None</v>
      </c>
    </row>
    <row r="585" spans="1:33" ht="14.25" hidden="1" x14ac:dyDescent="0.2">
      <c r="A585" s="18" t="str">
        <f t="array" ref="A585">IF(G585='Room Info'!$B$1, INDEX('Room Info'!$A$2:$A2446, MATCH(B585,'Room Info'!$B$2:$B2446, 0)),IF(G585='Room Info'!$C$1, INDEX('Room Info'!$A$2:$A2446, MATCH(B585,'Room Info'!$C$2:$C2446, 0)),IF(G585='Room Info'!$D$1, INDEX('Room Info'!$A$2:$A2446, MATCH(B585,'Room Info'!$D$2:$D2446, 0)),IF(G585='Room Info'!$E$1, INDEX('Room Info'!$A$2:$A2446, MATCH(B585,'Room Info'!$E$2:$E2446, 0)),IF(G585='Room Info'!$F$1, INDEX('Room Info'!$A$2:$A2446, MATCH(B585,'Room Info'!$F$2:$F2446, 0)),IF(G585='Room Info'!$H$1, INDEX('Room Info'!$A$2:$A2446, MATCH(B585,'Room Info'!$H$2:$H2446, 0)),IF(G585='Room Info'!$G$1, INDEX('Room Info'!$A$2:$A2446, MATCH(B585,'Room Info'!$G$2:$G2446, 0)))))))))</f>
        <v>fraum@rta</v>
      </c>
      <c r="B585" s="45" t="s">
        <v>152</v>
      </c>
      <c r="C585" s="46">
        <v>44562</v>
      </c>
      <c r="D585" s="46">
        <v>44592</v>
      </c>
      <c r="E585" s="47">
        <v>44562</v>
      </c>
      <c r="F585" s="48" t="s">
        <v>41</v>
      </c>
      <c r="G585" s="45" t="s">
        <v>35</v>
      </c>
      <c r="H585" s="49" t="s">
        <v>70</v>
      </c>
      <c r="I585" s="49" t="s">
        <v>37</v>
      </c>
      <c r="J585" s="50">
        <v>100</v>
      </c>
      <c r="K585" s="51">
        <v>528</v>
      </c>
      <c r="L585" s="52">
        <v>5800</v>
      </c>
      <c r="M585" s="53">
        <v>1431</v>
      </c>
      <c r="N585" s="28">
        <f>K585*J585</f>
        <v>52800</v>
      </c>
      <c r="O585" s="54">
        <v>17424</v>
      </c>
      <c r="P585" s="29">
        <v>33</v>
      </c>
      <c r="Q585" s="55"/>
      <c r="R585" s="31">
        <f>M585+Q585</f>
        <v>1431</v>
      </c>
      <c r="S585" s="56"/>
      <c r="T585" s="32">
        <f>R585+S585+IF(F585="Without EV deal",L585,0)</f>
        <v>7231</v>
      </c>
      <c r="U585" s="57">
        <v>1</v>
      </c>
      <c r="V585" s="58"/>
      <c r="W585" s="58"/>
      <c r="X585" s="78">
        <v>0.06</v>
      </c>
      <c r="Y585" s="78">
        <v>0.12</v>
      </c>
      <c r="Z585" s="35">
        <f>T585-AA585-AB585</f>
        <v>5929.42</v>
      </c>
      <c r="AA585" s="29">
        <f>IF(AD585="EUR",((T585-R585)*X585)*U585+(R585*X585),(T585*X585))</f>
        <v>433.85999999999996</v>
      </c>
      <c r="AB585" s="36">
        <f>IF(AD585="EUR",((T585-R585)*Y585)*U585+(R585*Y585),(T585*Y585))</f>
        <v>867.71999999999991</v>
      </c>
      <c r="AC585" s="37" t="b">
        <v>1</v>
      </c>
      <c r="AD585" s="61" t="s">
        <v>38</v>
      </c>
      <c r="AE585" s="83" t="s">
        <v>38</v>
      </c>
      <c r="AF585" s="37" t="str">
        <f t="array" ref="AF585">INDEX('Deal Info'!D:D, MATCH(A585,'Deal Info'!A:A, 0))</f>
        <v>Fix15</v>
      </c>
      <c r="AG585" s="38" t="str">
        <f t="array" ref="AG585">INDEX('Deal Info'!G:G, MATCH(A585,'Deal Info'!A:A, 0))</f>
        <v>None</v>
      </c>
    </row>
    <row r="586" spans="1:33" ht="14.25" hidden="1" x14ac:dyDescent="0.2">
      <c r="A586" s="18" t="str">
        <f t="array" ref="A586">IF(G586='Room Info'!$B$1, INDEX('Room Info'!$A$2:$A2446, MATCH(B586,'Room Info'!$B$2:$B2446, 0)),IF(G586='Room Info'!$C$1, INDEX('Room Info'!$A$2:$A2446, MATCH(B586,'Room Info'!$C$2:$C2446, 0)),IF(G586='Room Info'!$D$1, INDEX('Room Info'!$A$2:$A2446, MATCH(B586,'Room Info'!$D$2:$D2446, 0)),IF(G586='Room Info'!$E$1, INDEX('Room Info'!$A$2:$A2446, MATCH(B586,'Room Info'!$E$2:$E2446, 0)),IF(G586='Room Info'!$F$1, INDEX('Room Info'!$A$2:$A2446, MATCH(B586,'Room Info'!$F$2:$F2446, 0)),IF(G586='Room Info'!$H$1, INDEX('Room Info'!$A$2:$A2446, MATCH(B586,'Room Info'!$H$2:$H2446, 0)),IF(G586='Room Info'!$G$1, INDEX('Room Info'!$A$2:$A2446, MATCH(B586,'Room Info'!$G$2:$G2446, 0)))))))))</f>
        <v>fraum@rta</v>
      </c>
      <c r="B586" s="45" t="s">
        <v>152</v>
      </c>
      <c r="C586" s="46">
        <v>44593</v>
      </c>
      <c r="D586" s="46">
        <v>44620</v>
      </c>
      <c r="E586" s="47">
        <v>44593</v>
      </c>
      <c r="F586" s="48" t="s">
        <v>41</v>
      </c>
      <c r="G586" s="45" t="s">
        <v>35</v>
      </c>
      <c r="H586" s="49" t="s">
        <v>70</v>
      </c>
      <c r="I586" s="49" t="s">
        <v>37</v>
      </c>
      <c r="J586" s="50">
        <v>100</v>
      </c>
      <c r="K586" s="51">
        <v>1196</v>
      </c>
      <c r="L586" s="52">
        <v>-5300</v>
      </c>
      <c r="M586" s="53">
        <v>11834</v>
      </c>
      <c r="N586" s="28">
        <f>K586*J586</f>
        <v>119600</v>
      </c>
      <c r="O586" s="54">
        <v>39468</v>
      </c>
      <c r="P586" s="29">
        <v>33</v>
      </c>
      <c r="Q586" s="55"/>
      <c r="R586" s="31">
        <f>M586+Q586</f>
        <v>11834</v>
      </c>
      <c r="S586" s="56"/>
      <c r="T586" s="32">
        <f>R586+S586+IF(F586="Without EV deal",L586,0)</f>
        <v>6534</v>
      </c>
      <c r="U586" s="57">
        <v>1</v>
      </c>
      <c r="V586" s="58"/>
      <c r="W586" s="58"/>
      <c r="X586" s="30">
        <f>IF(AF586="DoEV",IF(AND(V586&lt;20,W586&lt;55),0.3,0)+IF(AND(V586&lt;20,W586&gt;=55,W586&lt;105),0.23,0)+IF(AND(V586&lt;20,W586&gt;=105),0.17,0)+IF(AND(V586&gt;=20,V586&lt;40,W586&lt;45),0.3,0)+IF(AND(V586&gt;=20,V586&lt;40,W586&gt;=45,W586&lt;95),0.23,0)+IF(AND(V586&gt;=20,V586&lt;40,W586&gt;=95),0.17,0)+IF(AND(V586&gt;=40,V586&lt;75,W586&lt;35),0.3,0)+IF(AND(V586&gt;=40,V586&lt;75,W586&gt;=35,W586&lt;75),0.23,0)+IF(AND(V586&gt;=40,V586&lt;75,W586&gt;=75,W586&lt;120),0.17,0)+IF(AND(V586&gt;=40,V586&lt;75,W586&gt;=120),0.12,0)+IF(AND(V586&gt;=75,V586&lt;175,W586&lt;35),0.3,0)+IF(AND(V586&gt;=75,V586&lt;=175,W586&gt;=35,W586&lt;65),0.23,0)+IF(AND(V586&gt;=75,V586&lt;=175,W586&gt;=65,W586&lt;110),0.17,0)+IF(AND(V586&gt;=75,V586&lt;=175,W586&gt;=110),0.12,0)+IF(AND(V586&gt;175,W586&lt;25),0.3,0)+IF(AND(V586&gt;175,W586&gt;=25,W586&lt;55),0.23,0)+IF(AND(V586&gt;175,W586&gt;=55,W586&lt;95),0.17,0)+IF(AND(V586&gt;175,W586&gt;=95),0.12,0),
IF(AF586="Fix15",0.15,
IF(AF586="Fix18.75",0.1875,
IF(AF586="Fix11.25",0.1125,
IF(AF586="Fix10",0.1,
IF(AF586="Fix9",0.09,
IF(AF586="DoEV2017",IF(AND(W586&lt;74),0.2,0)+IF(AND(W586&gt;=74),0.17,0),
IF(AF586="SF",IF(AND(V586&lt;20,W586&lt;89),0.3,0)+IF(AND(V586&lt;20,W586&gt;=89),0.25,0)+IF(AND(V586&gt;=20,V586&lt;40,W586&lt;74),0.3,0)+IF(AND(V586&gt;=20,V586&lt;40,W586&gt;=75),0.22,0)+IF(AND(V586&gt;=40,V586&lt;75,W586&lt;75),0.26,0)+IF(AND(V586&gt;=40,V586&lt;75,W586&gt;=75),0.22,0)+IF(V586&gt;=75,0.22,0),
IF(AF586="DoEVold",IF(AND(V586&lt;40,W586&lt;35),0.35,0)+IF(AND(V586&lt;40,W586&gt;=35,W586&lt;75),0.25,0)+IF(AND(V586&lt;40,W586&gt;=75),0.17,0)+IF(AND(V586&gt;=40,V586&lt;75,W586&lt;25),0.35,0)+IF(AND(V586&gt;=40,V586&lt;75,W586&gt;=25,W586&lt;65),0.25,0)+IF(AND(V586&gt;=40,V586&lt;75,W586&gt;=65,W586&lt;100),0.17,0)+IF(AND(V586&gt;=40,V586&lt;75,W586&gt;=100),0.1,0)+IF(AND(V586&gt;=75,W586&lt;25),0.35,0)+IF(AND(V586&gt;=75,W586&gt;=25,W586&lt;60),0.25,0)+IF(AND(V586&gt;=75,W586&gt;=60,W586&lt;95),0.17,0)+IF(AND(V586&gt;=75,W586&gt;=95),0.1,0),
IF(AF586="DoEVold15",IF(AND(V586&lt;=40,W586&lt;35),0.35,0)+IF(AND(V586&lt;=40,W586&gt;=35,W586&lt;75),0.25,0)+IF(AND(V586&lt;=40,W586&gt;=75,W586&lt;120),0.17,0)+IF(AND(V586&lt;=40,W586&gt;=120),0.15,0)+IF(AND(V586&gt;40,V586&lt;75,W586&lt;25),0.35,0)+IF(AND(V586&gt;=40,V586&lt;75,W586&gt;=25,W586&lt;65),0.25,0)+IF(AND(V586&gt;=40,V586&lt;75,W586&gt;=65,W586&lt;100),0.17,0)+IF(AND(V586&gt;=40,V586&lt;75,W586&gt;=100),0.1,0)+IF(AND(V586&gt;=75,W586&lt;25),0.35,0)+IF(AND(V586&gt;=75,W586&gt;=25,W586&lt;60),0.25,0)+IF(AND(V586&gt;=75,W586&gt;=60,W586&lt;95),0.17,0)+IF(AND(V586&gt;=75,W586&gt;=95),0.1,0),
IF(AF586="DoEVba",IF(AND(V586&lt;20,W586&lt;105),0.2,0)+IF(AND(V586&lt;20,W586&gt;=105),0.15,0)+IF(AND(V586&gt;=20,V586&lt;40,W586&lt;95),0.2,0)+IF(AND(V586&gt;=20,V586&lt;40,W586&gt;=95,W586&lt;150),0.15,0)+IF(AND(V586&gt;=20,V586&lt;40,W586&gt;=150),0.12,0)+IF(AND(V586&gt;=40,V586&lt;75,W586&lt;75),0.2,0)+IF(AND(V586&gt;=40,V586&lt;75,W586&gt;=75,W586&lt;120),0.15,0)+IF(AND(V586&gt;=40,V586&lt;75,W586&gt;=120),0.12,0)+IF(AND(V586&gt;=75,V586&lt;175,W586&lt;65),0.2,0)+IF(AND(V586&gt;=75,V586&lt;175,W586&gt;=65,W586&lt;110),0.15,0)+IF(AND(V586&gt;=75,V586&lt;175,W586&gt;=110),0.12,0)+IF(AND(V586&gt;=175,W586&lt;55),0.2,0)+IF(AND(V586&gt;=175,W586&gt;=55,W586&lt;95),0.15,0)+IF(AND(V586&gt;=175,W586&gt;=95),0.12,0),
IF(AF586="DoEVku",IF(AND(V586&lt;20,W586&lt;55),0.23,0)+IF(AND(V586&lt;20,W586&gt;=55,W586&lt;105),0.2,0)+IF(AND(V586&lt;20,W586&gt;=105),0.17,0)+IF(AND(V586&gt;=20,V586&lt;40,W586&lt;45),0.23,0)+IF(AND(V586&gt;=20,V586&lt;40,W586&gt;=45,W586&lt;95),0.2,0)+IF(AND(V586&gt;=20,V586&lt;40,W586&gt;=95,W586&lt;=150),0.17,0)+IF(AND(V586&gt;=20,V586&lt;40,W586&gt;=150),0.12,0)+IF(AND(V586&gt;=40,V586&lt;75,W586&lt;35),0.23,0)+IF(AND(V586&gt;=40,V586&lt;75,W586&gt;=35,W586&lt;75),0.2,0)+IF(AND(V586&gt;=40,V586&lt;75,W586&gt;=75,W586&lt;120),0.17,0)+IF(AND(V586&gt;=40,V586&lt;75,W586&gt;=120),0.12,0)+IF(AND(V586&gt;=75,V586&lt;175,W586&lt;35),0.23,0)+IF(AND(V586&gt;=75,V586&lt;=175,W586&gt;=35,W586&lt;65),0.2,0)+IF(AND(V586&gt;=75,V586&lt;=175,W586&gt;=65,W586&lt;110),0.17,0)+IF(AND(V586&gt;=75,V586&lt;=175,W586&gt;=110),0.12,0)+IF(AND(V586&gt;175,W586&lt;25),0.23,0)+IF(AND(V586&gt;175,W586&gt;=25,W586&lt;55),0.2,0)+IF(AND(V586&gt;175,W586&gt;=55,W586&lt;95),0.17,0)+IF(AND(V586&gt;175,W586&gt;=95),0.12,0),
IF(AF586="DoEVs1",IF(AND(V586&lt;20,W586&lt;55),0.3,0)+IF(AND(V586&lt;20,W586&gt;=55,W586&lt;105),0.23,0)+IF(AND(V586&lt;20,W586&gt;=105),0.17,0)+IF(AND(V586&gt;=20,V586&lt;40,W586&lt;45),0.3,0)+IF(AND(V586&gt;=20,V586&lt;40,W586&gt;=45,W586&lt;95),0.23,0)+IF(AND(V586&gt;=20,V586&lt;40,W586&gt;=95,W586&lt;=150),0.17,0)+IF(AND(V586&gt;=20,V586&lt;40,W586&gt;=150),0.12,0)+IF(AND(V586&gt;=40,V586&lt;75,W586&lt;35),0.3,0)+IF(AND(V586&gt;=40,V586&lt;75,W586&gt;=35,W586&lt;75),0.23,0)+IF(AND(V586&gt;=40,V586&lt;75,W586&gt;=75,W586&lt;120),0.17,0)+IF(AND(V586&gt;=40,V586&lt;75,W586&gt;=120),0.12,0)+IF(AND(V586&gt;=75,V586&lt;175,W586&lt;35),0.3,0)+IF(AND(V586&gt;=75,V586&lt;=175,W586&gt;=35,W586&lt;65),0.23,0)+IF(AND(V586&gt;=75,V586&lt;=175,W586&gt;=65,W586&lt;110),0.17,0)+IF(AND(V586&gt;=75,V586&lt;=175,W586&gt;=110),0.12,0)+IF(AND(V586&gt;175,W586&lt;25),0.3,0)+IF(AND(V586&gt;175,W586&gt;=25,W586&lt;55),0.23,0)+IF(AND(V586&gt;175,W586&gt;=55,W586&lt;95),0.17,0)+IF(AND(V586&gt;175,W586&gt;=95),0.12,0),
IF(AF586="DoEVsu",IF(AND(V586&lt;20,W586&lt;55),0.3,0)+IF(AND(V586&lt;20,W586&gt;=55,W586&lt;105),0.23,0)+IF(AND(V586&lt;20,W586&gt;=105),0.17,0)+IF(AND(V586&gt;=20,V586&lt;40,W586&lt;45),0.3,0)+IF(AND(V586&gt;=20,V586&lt;40,W586&gt;=45,W586&lt;95),0.23,0)+IF(AND(V586&gt;=20,V586&lt;40,W586&gt;=95,W586&lt;=250),0.17,0)+IF(AND(V586&gt;=20,V586&lt;40,W586&gt;=250),0.12,0)+IF(AND(V586&gt;=40,V586&lt;75,W586&lt;35),0.3,0)+IF(AND(V586&gt;=40,V586&lt;75,W586&gt;=35,W586&lt;75),0.23,0)+IF(AND(V586&gt;=40,V586&lt;75,W586&gt;=75,W586&lt;120),0.17,0)+IF(AND(V586&gt;=40,V586&lt;75,W586&gt;=120),0.12,0)+IF(AND(V586&gt;=75,V586&lt;175,W586&lt;35),0.3,0)+IF(AND(V586&gt;=75,V586&lt;=175,W586&gt;=35,W586&lt;65),0.23,0)+IF(AND(V586&gt;=75,V586&lt;=175,W586&gt;=65,W586&lt;110),0.17,0)+IF(AND(V586&gt;=75,V586&lt;=175,W586&gt;=110),0.12,0)+IF(AND(V586&gt;175,W586&lt;25),0.3,0)+IF(AND(V586&gt;175,W586&gt;=25,W586&lt;55),0.23,0)+IF(AND(V586&gt;175,W586&gt;=55,W586&lt;95),0.17,0)+IF(AND(V586&gt;175,W586&gt;=95),0.12,0),
IF(AF586="DoEVni",IF(AND(V586&lt;20,W586&lt;55),0.3,0)+IF(AND(V586&lt;20,W586&gt;=55,W586&lt;105),0.23,0)+IF(AND(V586&lt;20,W586&gt;=105),0.17,0)+IF(AND(V586&gt;=20,V586&lt;40,W586&lt;45),0.3,0)+IF(AND(V586&gt;=20,V586&lt;40,W586&gt;=45,W586&lt;95),0.23,0)+IF(AND(V586&gt;=20,V586&lt;40,W586&gt;=95,W586&lt;=200),0.17,0)+IF(AND(V586&gt;=20,V586&lt;40,W586&gt;=200),0.12,0)+IF(AND(V586&gt;=40,V586&lt;75,W586&lt;35),0.3,0)+IF(AND(V586&gt;=40,V586&lt;75,W586&gt;=35,W586&lt;75),0.23,0)+IF(AND(V586&gt;=40,V586&lt;75,W586&gt;=75,W586&lt;120),0.17,0)+IF(AND(V586&gt;=40,V586&lt;75,W586&gt;=120),0.12,0)+IF(AND(V586&gt;=75,V586&lt;175,W586&lt;35),0.3,0)+IF(AND(V586&gt;=75,V586&lt;=175,W586&gt;=35,W586&lt;65),0.23,0)+IF(AND(V586&gt;=75,V586&lt;=175,W586&gt;=65,W586&lt;110),0.17,0)+IF(AND(V586&gt;=75,V586&lt;=175,W586&gt;=110),0.12,0)+IF(AND(V586&gt;175,W586&lt;25),0.3,0)+IF(AND(V586&gt;175,W586&gt;=25,W586&lt;55),0.23,0)+IF(AND(V586&gt;175,W586&gt;=55,W586&lt;95),0.17,0)+IF(AND(V586&gt;175,W586&gt;=95),0.12,0),
IF(AF586="DoEVLo",IF(AND(V586&lt;20,W586&lt;55),0.25,0)+IF(AND(V586&lt;20,W586&gt;=55,W586&lt;105),0.2,0)+IF(AND(V586&lt;20,W586&gt;=105),0.15,0)+IF(AND(V586&gt;=20,V586&lt;40,W586&lt;45),0.25,0)+IF(AND(V586&gt;=20,V586&lt;40,W586&gt;=45,W586&lt;95),0.2,0)+IF(AND(V586&gt;=20,V586&lt;40,W586&gt;=95),0.15,0)+IF(AND(V586&gt;=40,V586&lt;75,W586&lt;35),0.25,0)+IF(AND(V586&gt;=40,V586&lt;75,W586&gt;=35,W586&lt;75),0.2,0)+IF(AND(V586&gt;=40,V586&lt;75,W586&gt;=75,W586&lt;120),0.15,0)+IF(AND(V586&gt;=40,V586&lt;75,W586&gt;=120),0.1,0)+IF(AND(V586&gt;=75,V586&lt;175,W586&lt;35),0.25,0)+IF(AND(V586&gt;=75,V586&lt;=175,W586&gt;=35,W586&lt;65),0.2,0)+IF(AND(V586&gt;=75,V586&lt;=175,W586&gt;=65,W586&lt;110),0.15,0)+IF(AND(V586&gt;=75,V586&lt;=175,W586&gt;=110),0.1,0)+IF(AND(V586&gt;175,W586&lt;25),0.25,0)+IF(AND(V586&gt;175,W586&gt;=25,W586&lt;55),0.2,0)+IF(AND(V586&gt;175,W586&gt;=55,W586&lt;95),0.15,0)+IF(AND(V586&gt;175,W586&gt;=95),0.1,0)))))))))))))))))</f>
        <v>0.15</v>
      </c>
      <c r="Y586" s="30">
        <f>IF(AG586="None",0,IF(AG586="Fix5",0.05, IF(AG586="Fix6.25",0.0625,IF(AG586="Fix3.75",0.0375,IF(AG586="Fix10",0.1,IF(AG586="Fix3",0.03,0))))))</f>
        <v>0</v>
      </c>
      <c r="Z586" s="35">
        <f>T586-AA586-AB586</f>
        <v>5052</v>
      </c>
      <c r="AA586" s="60">
        <v>1482</v>
      </c>
      <c r="AB586" s="36">
        <f>IF(AD586="EUR",((T586-R586)*Y586)*U586+(R586*Y586),(T586*Y586))</f>
        <v>0</v>
      </c>
      <c r="AC586" s="37" t="b">
        <v>1</v>
      </c>
      <c r="AD586" s="61" t="s">
        <v>38</v>
      </c>
      <c r="AE586" s="83" t="s">
        <v>38</v>
      </c>
      <c r="AF586" s="37" t="str">
        <f t="array" ref="AF586">INDEX('Deal Info'!D:D, MATCH(A586,'Deal Info'!A:A, 0))</f>
        <v>Fix15</v>
      </c>
      <c r="AG586" s="38" t="str">
        <f t="array" ref="AG586">INDEX('Deal Info'!G:G, MATCH(A586,'Deal Info'!A:A, 0))</f>
        <v>None</v>
      </c>
    </row>
    <row r="587" spans="1:33" ht="14.25" hidden="1" x14ac:dyDescent="0.2">
      <c r="A587" s="18" t="str">
        <f t="array" ref="A587">IF(G587='Room Info'!$B$1, INDEX('Room Info'!$A$2:$A2446, MATCH(B587,'Room Info'!$B$2:$B2446, 0)),IF(G587='Room Info'!$C$1, INDEX('Room Info'!$A$2:$A2446, MATCH(B587,'Room Info'!$C$2:$C2446, 0)),IF(G587='Room Info'!$D$1, INDEX('Room Info'!$A$2:$A2446, MATCH(B587,'Room Info'!$D$2:$D2446, 0)),IF(G587='Room Info'!$E$1, INDEX('Room Info'!$A$2:$A2446, MATCH(B587,'Room Info'!$E$2:$E2446, 0)),IF(G587='Room Info'!$F$1, INDEX('Room Info'!$A$2:$A2446, MATCH(B587,'Room Info'!$F$2:$F2446, 0)),IF(G587='Room Info'!$H$1, INDEX('Room Info'!$A$2:$A2446, MATCH(B587,'Room Info'!$H$2:$H2446, 0)),IF(G587='Room Info'!$G$1, INDEX('Room Info'!$A$2:$A2446, MATCH(B587,'Room Info'!$G$2:$G2446, 0)))))))))</f>
        <v>fraum@rta</v>
      </c>
      <c r="B587" s="45" t="s">
        <v>152</v>
      </c>
      <c r="C587" s="46">
        <v>44621</v>
      </c>
      <c r="D587" s="46">
        <v>44651</v>
      </c>
      <c r="E587" s="47">
        <v>44621</v>
      </c>
      <c r="F587" s="48" t="s">
        <v>41</v>
      </c>
      <c r="G587" s="45" t="s">
        <v>35</v>
      </c>
      <c r="H587" s="49" t="s">
        <v>70</v>
      </c>
      <c r="I587" s="49" t="s">
        <v>37</v>
      </c>
      <c r="J587" s="50">
        <v>100</v>
      </c>
      <c r="K587" s="51">
        <v>49</v>
      </c>
      <c r="L587" s="52">
        <v>800</v>
      </c>
      <c r="M587" s="53">
        <v>63</v>
      </c>
      <c r="N587" s="28">
        <f>K587*J587</f>
        <v>4900</v>
      </c>
      <c r="O587" s="65"/>
      <c r="P587" s="29">
        <v>0</v>
      </c>
      <c r="Q587" s="55"/>
      <c r="R587" s="31">
        <f>M587+Q587</f>
        <v>63</v>
      </c>
      <c r="S587" s="66"/>
      <c r="T587" s="32">
        <f>R587+S587+IF(F587="Without EV deal",L587,0)</f>
        <v>863</v>
      </c>
      <c r="U587" s="57">
        <v>1</v>
      </c>
      <c r="V587" s="58"/>
      <c r="W587" s="58"/>
      <c r="X587" s="30">
        <f>IF(AF587="DoEV",IF(AND(V587&lt;20,W587&lt;55),0.3,0)+IF(AND(V587&lt;20,W587&gt;=55,W587&lt;105),0.23,0)+IF(AND(V587&lt;20,W587&gt;=105),0.17,0)+IF(AND(V587&gt;=20,V587&lt;40,W587&lt;45),0.3,0)+IF(AND(V587&gt;=20,V587&lt;40,W587&gt;=45,W587&lt;95),0.23,0)+IF(AND(V587&gt;=20,V587&lt;40,W587&gt;=95),0.17,0)+IF(AND(V587&gt;=40,V587&lt;75,W587&lt;35),0.3,0)+IF(AND(V587&gt;=40,V587&lt;75,W587&gt;=35,W587&lt;75),0.23,0)+IF(AND(V587&gt;=40,V587&lt;75,W587&gt;=75,W587&lt;120),0.17,0)+IF(AND(V587&gt;=40,V587&lt;75,W587&gt;=120),0.12,0)+IF(AND(V587&gt;=75,V587&lt;175,W587&lt;35),0.3,0)+IF(AND(V587&gt;=75,V587&lt;=175,W587&gt;=35,W587&lt;65),0.23,0)+IF(AND(V587&gt;=75,V587&lt;=175,W587&gt;=65,W587&lt;110),0.17,0)+IF(AND(V587&gt;=75,V587&lt;=175,W587&gt;=110),0.12,0)+IF(AND(V587&gt;175,W587&lt;25),0.3,0)+IF(AND(V587&gt;175,W587&gt;=25,W587&lt;55),0.23,0)+IF(AND(V587&gt;175,W587&gt;=55,W587&lt;95),0.17,0)+IF(AND(V587&gt;175,W587&gt;=95),0.12,0),
IF(AF587="Fix15",0.15,
IF(AF587="Fix18.75",0.1875,
IF(AF587="Fix11.25",0.1125,
IF(AF587="Fix10",0.1,
IF(AF587="Fix9",0.09,
IF(AF587="DoEV2017",IF(AND(W587&lt;74),0.2,0)+IF(AND(W587&gt;=74),0.17,0),
IF(AF587="SF",IF(AND(V587&lt;20,W587&lt;89),0.3,0)+IF(AND(V587&lt;20,W587&gt;=89),0.25,0)+IF(AND(V587&gt;=20,V587&lt;40,W587&lt;74),0.3,0)+IF(AND(V587&gt;=20,V587&lt;40,W587&gt;=75),0.22,0)+IF(AND(V587&gt;=40,V587&lt;75,W587&lt;75),0.26,0)+IF(AND(V587&gt;=40,V587&lt;75,W587&gt;=75),0.22,0)+IF(V587&gt;=75,0.22,0),
IF(AF587="DoEVold",IF(AND(V587&lt;40,W587&lt;35),0.35,0)+IF(AND(V587&lt;40,W587&gt;=35,W587&lt;75),0.25,0)+IF(AND(V587&lt;40,W587&gt;=75),0.17,0)+IF(AND(V587&gt;=40,V587&lt;75,W587&lt;25),0.35,0)+IF(AND(V587&gt;=40,V587&lt;75,W587&gt;=25,W587&lt;65),0.25,0)+IF(AND(V587&gt;=40,V587&lt;75,W587&gt;=65,W587&lt;100),0.17,0)+IF(AND(V587&gt;=40,V587&lt;75,W587&gt;=100),0.1,0)+IF(AND(V587&gt;=75,W587&lt;25),0.35,0)+IF(AND(V587&gt;=75,W587&gt;=25,W587&lt;60),0.25,0)+IF(AND(V587&gt;=75,W587&gt;=60,W587&lt;95),0.17,0)+IF(AND(V587&gt;=75,W587&gt;=95),0.1,0),
IF(AF587="DoEVold15",IF(AND(V587&lt;=40,W587&lt;35),0.35,0)+IF(AND(V587&lt;=40,W587&gt;=35,W587&lt;75),0.25,0)+IF(AND(V587&lt;=40,W587&gt;=75,W587&lt;120),0.17,0)+IF(AND(V587&lt;=40,W587&gt;=120),0.15,0)+IF(AND(V587&gt;40,V587&lt;75,W587&lt;25),0.35,0)+IF(AND(V587&gt;=40,V587&lt;75,W587&gt;=25,W587&lt;65),0.25,0)+IF(AND(V587&gt;=40,V587&lt;75,W587&gt;=65,W587&lt;100),0.17,0)+IF(AND(V587&gt;=40,V587&lt;75,W587&gt;=100),0.1,0)+IF(AND(V587&gt;=75,W587&lt;25),0.35,0)+IF(AND(V587&gt;=75,W587&gt;=25,W587&lt;60),0.25,0)+IF(AND(V587&gt;=75,W587&gt;=60,W587&lt;95),0.17,0)+IF(AND(V587&gt;=75,W587&gt;=95),0.1,0),
IF(AF587="DoEVba",IF(AND(V587&lt;20,W587&lt;105),0.2,0)+IF(AND(V587&lt;20,W587&gt;=105),0.15,0)+IF(AND(V587&gt;=20,V587&lt;40,W587&lt;95),0.2,0)+IF(AND(V587&gt;=20,V587&lt;40,W587&gt;=95,W587&lt;150),0.15,0)+IF(AND(V587&gt;=20,V587&lt;40,W587&gt;=150),0.12,0)+IF(AND(V587&gt;=40,V587&lt;75,W587&lt;75),0.2,0)+IF(AND(V587&gt;=40,V587&lt;75,W587&gt;=75,W587&lt;120),0.15,0)+IF(AND(V587&gt;=40,V587&lt;75,W587&gt;=120),0.12,0)+IF(AND(V587&gt;=75,V587&lt;175,W587&lt;65),0.2,0)+IF(AND(V587&gt;=75,V587&lt;175,W587&gt;=65,W587&lt;110),0.15,0)+IF(AND(V587&gt;=75,V587&lt;175,W587&gt;=110),0.12,0)+IF(AND(V587&gt;=175,W587&lt;55),0.2,0)+IF(AND(V587&gt;=175,W587&gt;=55,W587&lt;95),0.15,0)+IF(AND(V587&gt;=175,W587&gt;=95),0.12,0),
IF(AF587="DoEVku",IF(AND(V587&lt;20,W587&lt;55),0.23,0)+IF(AND(V587&lt;20,W587&gt;=55,W587&lt;105),0.2,0)+IF(AND(V587&lt;20,W587&gt;=105),0.17,0)+IF(AND(V587&gt;=20,V587&lt;40,W587&lt;45),0.23,0)+IF(AND(V587&gt;=20,V587&lt;40,W587&gt;=45,W587&lt;95),0.2,0)+IF(AND(V587&gt;=20,V587&lt;40,W587&gt;=95,W587&lt;=150),0.17,0)+IF(AND(V587&gt;=20,V587&lt;40,W587&gt;=150),0.12,0)+IF(AND(V587&gt;=40,V587&lt;75,W587&lt;35),0.23,0)+IF(AND(V587&gt;=40,V587&lt;75,W587&gt;=35,W587&lt;75),0.2,0)+IF(AND(V587&gt;=40,V587&lt;75,W587&gt;=75,W587&lt;120),0.17,0)+IF(AND(V587&gt;=40,V587&lt;75,W587&gt;=120),0.12,0)+IF(AND(V587&gt;=75,V587&lt;175,W587&lt;35),0.23,0)+IF(AND(V587&gt;=75,V587&lt;=175,W587&gt;=35,W587&lt;65),0.2,0)+IF(AND(V587&gt;=75,V587&lt;=175,W587&gt;=65,W587&lt;110),0.17,0)+IF(AND(V587&gt;=75,V587&lt;=175,W587&gt;=110),0.12,0)+IF(AND(V587&gt;175,W587&lt;25),0.23,0)+IF(AND(V587&gt;175,W587&gt;=25,W587&lt;55),0.2,0)+IF(AND(V587&gt;175,W587&gt;=55,W587&lt;95),0.17,0)+IF(AND(V587&gt;175,W587&gt;=95),0.12,0),
IF(AF587="DoEVs1",IF(AND(V587&lt;20,W587&lt;55),0.3,0)+IF(AND(V587&lt;20,W587&gt;=55,W587&lt;105),0.23,0)+IF(AND(V587&lt;20,W587&gt;=105),0.17,0)+IF(AND(V587&gt;=20,V587&lt;40,W587&lt;45),0.3,0)+IF(AND(V587&gt;=20,V587&lt;40,W587&gt;=45,W587&lt;95),0.23,0)+IF(AND(V587&gt;=20,V587&lt;40,W587&gt;=95,W587&lt;=150),0.17,0)+IF(AND(V587&gt;=20,V587&lt;40,W587&gt;=150),0.12,0)+IF(AND(V587&gt;=40,V587&lt;75,W587&lt;35),0.3,0)+IF(AND(V587&gt;=40,V587&lt;75,W587&gt;=35,W587&lt;75),0.23,0)+IF(AND(V587&gt;=40,V587&lt;75,W587&gt;=75,W587&lt;120),0.17,0)+IF(AND(V587&gt;=40,V587&lt;75,W587&gt;=120),0.12,0)+IF(AND(V587&gt;=75,V587&lt;175,W587&lt;35),0.3,0)+IF(AND(V587&gt;=75,V587&lt;=175,W587&gt;=35,W587&lt;65),0.23,0)+IF(AND(V587&gt;=75,V587&lt;=175,W587&gt;=65,W587&lt;110),0.17,0)+IF(AND(V587&gt;=75,V587&lt;=175,W587&gt;=110),0.12,0)+IF(AND(V587&gt;175,W587&lt;25),0.3,0)+IF(AND(V587&gt;175,W587&gt;=25,W587&lt;55),0.23,0)+IF(AND(V587&gt;175,W587&gt;=55,W587&lt;95),0.17,0)+IF(AND(V587&gt;175,W587&gt;=95),0.12,0),
IF(AF587="DoEVsu",IF(AND(V587&lt;20,W587&lt;55),0.3,0)+IF(AND(V587&lt;20,W587&gt;=55,W587&lt;105),0.23,0)+IF(AND(V587&lt;20,W587&gt;=105),0.17,0)+IF(AND(V587&gt;=20,V587&lt;40,W587&lt;45),0.3,0)+IF(AND(V587&gt;=20,V587&lt;40,W587&gt;=45,W587&lt;95),0.23,0)+IF(AND(V587&gt;=20,V587&lt;40,W587&gt;=95,W587&lt;=250),0.17,0)+IF(AND(V587&gt;=20,V587&lt;40,W587&gt;=250),0.12,0)+IF(AND(V587&gt;=40,V587&lt;75,W587&lt;35),0.3,0)+IF(AND(V587&gt;=40,V587&lt;75,W587&gt;=35,W587&lt;75),0.23,0)+IF(AND(V587&gt;=40,V587&lt;75,W587&gt;=75,W587&lt;120),0.17,0)+IF(AND(V587&gt;=40,V587&lt;75,W587&gt;=120),0.12,0)+IF(AND(V587&gt;=75,V587&lt;175,W587&lt;35),0.3,0)+IF(AND(V587&gt;=75,V587&lt;=175,W587&gt;=35,W587&lt;65),0.23,0)+IF(AND(V587&gt;=75,V587&lt;=175,W587&gt;=65,W587&lt;110),0.17,0)+IF(AND(V587&gt;=75,V587&lt;=175,W587&gt;=110),0.12,0)+IF(AND(V587&gt;175,W587&lt;25),0.3,0)+IF(AND(V587&gt;175,W587&gt;=25,W587&lt;55),0.23,0)+IF(AND(V587&gt;175,W587&gt;=55,W587&lt;95),0.17,0)+IF(AND(V587&gt;175,W587&gt;=95),0.12,0),
IF(AF587="DoEVni",IF(AND(V587&lt;20,W587&lt;55),0.3,0)+IF(AND(V587&lt;20,W587&gt;=55,W587&lt;105),0.23,0)+IF(AND(V587&lt;20,W587&gt;=105),0.17,0)+IF(AND(V587&gt;=20,V587&lt;40,W587&lt;45),0.3,0)+IF(AND(V587&gt;=20,V587&lt;40,W587&gt;=45,W587&lt;95),0.23,0)+IF(AND(V587&gt;=20,V587&lt;40,W587&gt;=95,W587&lt;=200),0.17,0)+IF(AND(V587&gt;=20,V587&lt;40,W587&gt;=200),0.12,0)+IF(AND(V587&gt;=40,V587&lt;75,W587&lt;35),0.3,0)+IF(AND(V587&gt;=40,V587&lt;75,W587&gt;=35,W587&lt;75),0.23,0)+IF(AND(V587&gt;=40,V587&lt;75,W587&gt;=75,W587&lt;120),0.17,0)+IF(AND(V587&gt;=40,V587&lt;75,W587&gt;=120),0.12,0)+IF(AND(V587&gt;=75,V587&lt;175,W587&lt;35),0.3,0)+IF(AND(V587&gt;=75,V587&lt;=175,W587&gt;=35,W587&lt;65),0.23,0)+IF(AND(V587&gt;=75,V587&lt;=175,W587&gt;=65,W587&lt;110),0.17,0)+IF(AND(V587&gt;=75,V587&lt;=175,W587&gt;=110),0.12,0)+IF(AND(V587&gt;175,W587&lt;25),0.3,0)+IF(AND(V587&gt;175,W587&gt;=25,W587&lt;55),0.23,0)+IF(AND(V587&gt;175,W587&gt;=55,W587&lt;95),0.17,0)+IF(AND(V587&gt;175,W587&gt;=95),0.12,0),
IF(AF587="DoEVLo",IF(AND(V587&lt;20,W587&lt;55),0.25,0)+IF(AND(V587&lt;20,W587&gt;=55,W587&lt;105),0.2,0)+IF(AND(V587&lt;20,W587&gt;=105),0.15,0)+IF(AND(V587&gt;=20,V587&lt;40,W587&lt;45),0.25,0)+IF(AND(V587&gt;=20,V587&lt;40,W587&gt;=45,W587&lt;95),0.2,0)+IF(AND(V587&gt;=20,V587&lt;40,W587&gt;=95),0.15,0)+IF(AND(V587&gt;=40,V587&lt;75,W587&lt;35),0.25,0)+IF(AND(V587&gt;=40,V587&lt;75,W587&gt;=35,W587&lt;75),0.2,0)+IF(AND(V587&gt;=40,V587&lt;75,W587&gt;=75,W587&lt;120),0.15,0)+IF(AND(V587&gt;=40,V587&lt;75,W587&gt;=120),0.1,0)+IF(AND(V587&gt;=75,V587&lt;175,W587&lt;35),0.25,0)+IF(AND(V587&gt;=75,V587&lt;=175,W587&gt;=35,W587&lt;65),0.2,0)+IF(AND(V587&gt;=75,V587&lt;=175,W587&gt;=65,W587&lt;110),0.15,0)+IF(AND(V587&gt;=75,V587&lt;=175,W587&gt;=110),0.1,0)+IF(AND(V587&gt;175,W587&lt;25),0.25,0)+IF(AND(V587&gt;175,W587&gt;=25,W587&lt;55),0.2,0)+IF(AND(V587&gt;175,W587&gt;=55,W587&lt;95),0.15,0)+IF(AND(V587&gt;175,W587&gt;=95),0.1,0)))))))))))))))))</f>
        <v>0.15</v>
      </c>
      <c r="Y587" s="30">
        <f>IF(AG587="None",0,IF(AG587="Fix5",0.05, IF(AG587="Fix6.25",0.0625,IF(AG587="Fix3.75",0.0375,IF(AG587="Fix10",0.1,IF(AG587="Fix3",0.03,0))))))</f>
        <v>0</v>
      </c>
      <c r="Z587" s="35">
        <f>T587-AA587-AB587</f>
        <v>734</v>
      </c>
      <c r="AA587" s="60">
        <v>129</v>
      </c>
      <c r="AB587" s="36">
        <f>IF(AD587="EUR",((T587-R587)*Y587)*U587+(R587*Y587),(T587*Y587))</f>
        <v>0</v>
      </c>
      <c r="AC587" s="37" t="b">
        <v>1</v>
      </c>
      <c r="AD587" s="61" t="s">
        <v>38</v>
      </c>
      <c r="AE587" s="83" t="s">
        <v>38</v>
      </c>
      <c r="AF587" s="37" t="str">
        <f t="array" ref="AF587">INDEX('Deal Info'!D:D, MATCH(A587,'Deal Info'!A:A, 0))</f>
        <v>Fix15</v>
      </c>
      <c r="AG587" s="38" t="str">
        <f t="array" ref="AG587">INDEX('Deal Info'!G:G, MATCH(A587,'Deal Info'!A:A, 0))</f>
        <v>None</v>
      </c>
    </row>
    <row r="588" spans="1:33" ht="14.25" hidden="1" x14ac:dyDescent="0.2">
      <c r="A588" s="18" t="str">
        <f t="array" ref="A588">IF(G588='Room Info'!$B$1, INDEX('Room Info'!$A$2:$A2446, MATCH(B588,'Room Info'!$B$2:$B2446, 0)),IF(G588='Room Info'!$C$1, INDEX('Room Info'!$A$2:$A2446, MATCH(B588,'Room Info'!$C$2:$C2446, 0)),IF(G588='Room Info'!$D$1, INDEX('Room Info'!$A$2:$A2446, MATCH(B588,'Room Info'!$D$2:$D2446, 0)),IF(G588='Room Info'!$E$1, INDEX('Room Info'!$A$2:$A2446, MATCH(B588,'Room Info'!$E$2:$E2446, 0)),IF(G588='Room Info'!$F$1, INDEX('Room Info'!$A$2:$A2446, MATCH(B588,'Room Info'!$F$2:$F2446, 0)),IF(G588='Room Info'!$H$1, INDEX('Room Info'!$A$2:$A2446, MATCH(B588,'Room Info'!$H$2:$H2446, 0)),IF(G588='Room Info'!$G$1, INDEX('Room Info'!$A$2:$A2446, MATCH(B588,'Room Info'!$G$2:$G2446, 0)))))))))</f>
        <v>fraum@rta</v>
      </c>
      <c r="B588" s="45" t="s">
        <v>152</v>
      </c>
      <c r="C588" s="46">
        <v>44621</v>
      </c>
      <c r="D588" s="46">
        <v>44651</v>
      </c>
      <c r="E588" s="47">
        <v>44621</v>
      </c>
      <c r="F588" s="48" t="s">
        <v>49</v>
      </c>
      <c r="G588" s="45" t="s">
        <v>35</v>
      </c>
      <c r="H588" s="49" t="s">
        <v>88</v>
      </c>
      <c r="I588" s="49" t="s">
        <v>37</v>
      </c>
      <c r="J588" s="50">
        <v>250</v>
      </c>
      <c r="K588" s="51">
        <v>296</v>
      </c>
      <c r="L588" s="52">
        <v>-2750</v>
      </c>
      <c r="M588" s="53">
        <v>949</v>
      </c>
      <c r="N588" s="28">
        <f>K588*J588</f>
        <v>74000</v>
      </c>
      <c r="O588" s="54">
        <v>-942</v>
      </c>
      <c r="P588" s="29">
        <v>-3.1824324320000001</v>
      </c>
      <c r="Q588" s="55"/>
      <c r="R588" s="31">
        <f>M588+Q588</f>
        <v>949</v>
      </c>
      <c r="S588" s="56">
        <v>-4177</v>
      </c>
      <c r="T588" s="32">
        <f>R588+S588+IF(F588="Without EV deal",L588,0)</f>
        <v>-3228</v>
      </c>
      <c r="U588" s="57">
        <v>1</v>
      </c>
      <c r="V588" s="58"/>
      <c r="W588" s="58"/>
      <c r="X588" s="30">
        <f>IF(AF588="DoEV",IF(AND(V588&lt;20,W588&lt;55),0.3,0)+IF(AND(V588&lt;20,W588&gt;=55,W588&lt;105),0.23,0)+IF(AND(V588&lt;20,W588&gt;=105),0.17,0)+IF(AND(V588&gt;=20,V588&lt;40,W588&lt;45),0.3,0)+IF(AND(V588&gt;=20,V588&lt;40,W588&gt;=45,W588&lt;95),0.23,0)+IF(AND(V588&gt;=20,V588&lt;40,W588&gt;=95),0.17,0)+IF(AND(V588&gt;=40,V588&lt;75,W588&lt;35),0.3,0)+IF(AND(V588&gt;=40,V588&lt;75,W588&gt;=35,W588&lt;75),0.23,0)+IF(AND(V588&gt;=40,V588&lt;75,W588&gt;=75,W588&lt;120),0.17,0)+IF(AND(V588&gt;=40,V588&lt;75,W588&gt;=120),0.12,0)+IF(AND(V588&gt;=75,V588&lt;175,W588&lt;35),0.3,0)+IF(AND(V588&gt;=75,V588&lt;=175,W588&gt;=35,W588&lt;65),0.23,0)+IF(AND(V588&gt;=75,V588&lt;=175,W588&gt;=65,W588&lt;110),0.17,0)+IF(AND(V588&gt;=75,V588&lt;=175,W588&gt;=110),0.12,0)+IF(AND(V588&gt;175,W588&lt;25),0.3,0)+IF(AND(V588&gt;175,W588&gt;=25,W588&lt;55),0.23,0)+IF(AND(V588&gt;175,W588&gt;=55,W588&lt;95),0.17,0)+IF(AND(V588&gt;175,W588&gt;=95),0.12,0),
IF(AF588="Fix15",0.15,
IF(AF588="Fix18.75",0.1875,
IF(AF588="Fix11.25",0.1125,
IF(AF588="Fix10",0.1,
IF(AF588="Fix9",0.09,
IF(AF588="DoEV2017",IF(AND(W588&lt;74),0.2,0)+IF(AND(W588&gt;=74),0.17,0),
IF(AF588="SF",IF(AND(V588&lt;20,W588&lt;89),0.3,0)+IF(AND(V588&lt;20,W588&gt;=89),0.25,0)+IF(AND(V588&gt;=20,V588&lt;40,W588&lt;74),0.3,0)+IF(AND(V588&gt;=20,V588&lt;40,W588&gt;=75),0.22,0)+IF(AND(V588&gt;=40,V588&lt;75,W588&lt;75),0.26,0)+IF(AND(V588&gt;=40,V588&lt;75,W588&gt;=75),0.22,0)+IF(V588&gt;=75,0.22,0),
IF(AF588="DoEVold",IF(AND(V588&lt;40,W588&lt;35),0.35,0)+IF(AND(V588&lt;40,W588&gt;=35,W588&lt;75),0.25,0)+IF(AND(V588&lt;40,W588&gt;=75),0.17,0)+IF(AND(V588&gt;=40,V588&lt;75,W588&lt;25),0.35,0)+IF(AND(V588&gt;=40,V588&lt;75,W588&gt;=25,W588&lt;65),0.25,0)+IF(AND(V588&gt;=40,V588&lt;75,W588&gt;=65,W588&lt;100),0.17,0)+IF(AND(V588&gt;=40,V588&lt;75,W588&gt;=100),0.1,0)+IF(AND(V588&gt;=75,W588&lt;25),0.35,0)+IF(AND(V588&gt;=75,W588&gt;=25,W588&lt;60),0.25,0)+IF(AND(V588&gt;=75,W588&gt;=60,W588&lt;95),0.17,0)+IF(AND(V588&gt;=75,W588&gt;=95),0.1,0),
IF(AF588="DoEVold15",IF(AND(V588&lt;=40,W588&lt;35),0.35,0)+IF(AND(V588&lt;=40,W588&gt;=35,W588&lt;75),0.25,0)+IF(AND(V588&lt;=40,W588&gt;=75,W588&lt;120),0.17,0)+IF(AND(V588&lt;=40,W588&gt;=120),0.15,0)+IF(AND(V588&gt;40,V588&lt;75,W588&lt;25),0.35,0)+IF(AND(V588&gt;=40,V588&lt;75,W588&gt;=25,W588&lt;65),0.25,0)+IF(AND(V588&gt;=40,V588&lt;75,W588&gt;=65,W588&lt;100),0.17,0)+IF(AND(V588&gt;=40,V588&lt;75,W588&gt;=100),0.1,0)+IF(AND(V588&gt;=75,W588&lt;25),0.35,0)+IF(AND(V588&gt;=75,W588&gt;=25,W588&lt;60),0.25,0)+IF(AND(V588&gt;=75,W588&gt;=60,W588&lt;95),0.17,0)+IF(AND(V588&gt;=75,W588&gt;=95),0.1,0),
IF(AF588="DoEVba",IF(AND(V588&lt;20,W588&lt;105),0.2,0)+IF(AND(V588&lt;20,W588&gt;=105),0.15,0)+IF(AND(V588&gt;=20,V588&lt;40,W588&lt;95),0.2,0)+IF(AND(V588&gt;=20,V588&lt;40,W588&gt;=95,W588&lt;150),0.15,0)+IF(AND(V588&gt;=20,V588&lt;40,W588&gt;=150),0.12,0)+IF(AND(V588&gt;=40,V588&lt;75,W588&lt;75),0.2,0)+IF(AND(V588&gt;=40,V588&lt;75,W588&gt;=75,W588&lt;120),0.15,0)+IF(AND(V588&gt;=40,V588&lt;75,W588&gt;=120),0.12,0)+IF(AND(V588&gt;=75,V588&lt;175,W588&lt;65),0.2,0)+IF(AND(V588&gt;=75,V588&lt;175,W588&gt;=65,W588&lt;110),0.15,0)+IF(AND(V588&gt;=75,V588&lt;175,W588&gt;=110),0.12,0)+IF(AND(V588&gt;=175,W588&lt;55),0.2,0)+IF(AND(V588&gt;=175,W588&gt;=55,W588&lt;95),0.15,0)+IF(AND(V588&gt;=175,W588&gt;=95),0.12,0),
IF(AF588="DoEVku",IF(AND(V588&lt;20,W588&lt;55),0.23,0)+IF(AND(V588&lt;20,W588&gt;=55,W588&lt;105),0.2,0)+IF(AND(V588&lt;20,W588&gt;=105),0.17,0)+IF(AND(V588&gt;=20,V588&lt;40,W588&lt;45),0.23,0)+IF(AND(V588&gt;=20,V588&lt;40,W588&gt;=45,W588&lt;95),0.2,0)+IF(AND(V588&gt;=20,V588&lt;40,W588&gt;=95,W588&lt;=150),0.17,0)+IF(AND(V588&gt;=20,V588&lt;40,W588&gt;=150),0.12,0)+IF(AND(V588&gt;=40,V588&lt;75,W588&lt;35),0.23,0)+IF(AND(V588&gt;=40,V588&lt;75,W588&gt;=35,W588&lt;75),0.2,0)+IF(AND(V588&gt;=40,V588&lt;75,W588&gt;=75,W588&lt;120),0.17,0)+IF(AND(V588&gt;=40,V588&lt;75,W588&gt;=120),0.12,0)+IF(AND(V588&gt;=75,V588&lt;175,W588&lt;35),0.23,0)+IF(AND(V588&gt;=75,V588&lt;=175,W588&gt;=35,W588&lt;65),0.2,0)+IF(AND(V588&gt;=75,V588&lt;=175,W588&gt;=65,W588&lt;110),0.17,0)+IF(AND(V588&gt;=75,V588&lt;=175,W588&gt;=110),0.12,0)+IF(AND(V588&gt;175,W588&lt;25),0.23,0)+IF(AND(V588&gt;175,W588&gt;=25,W588&lt;55),0.2,0)+IF(AND(V588&gt;175,W588&gt;=55,W588&lt;95),0.17,0)+IF(AND(V588&gt;175,W588&gt;=95),0.12,0),
IF(AF588="DoEVs1",IF(AND(V588&lt;20,W588&lt;55),0.3,0)+IF(AND(V588&lt;20,W588&gt;=55,W588&lt;105),0.23,0)+IF(AND(V588&lt;20,W588&gt;=105),0.17,0)+IF(AND(V588&gt;=20,V588&lt;40,W588&lt;45),0.3,0)+IF(AND(V588&gt;=20,V588&lt;40,W588&gt;=45,W588&lt;95),0.23,0)+IF(AND(V588&gt;=20,V588&lt;40,W588&gt;=95,W588&lt;=150),0.17,0)+IF(AND(V588&gt;=20,V588&lt;40,W588&gt;=150),0.12,0)+IF(AND(V588&gt;=40,V588&lt;75,W588&lt;35),0.3,0)+IF(AND(V588&gt;=40,V588&lt;75,W588&gt;=35,W588&lt;75),0.23,0)+IF(AND(V588&gt;=40,V588&lt;75,W588&gt;=75,W588&lt;120),0.17,0)+IF(AND(V588&gt;=40,V588&lt;75,W588&gt;=120),0.12,0)+IF(AND(V588&gt;=75,V588&lt;175,W588&lt;35),0.3,0)+IF(AND(V588&gt;=75,V588&lt;=175,W588&gt;=35,W588&lt;65),0.23,0)+IF(AND(V588&gt;=75,V588&lt;=175,W588&gt;=65,W588&lt;110),0.17,0)+IF(AND(V588&gt;=75,V588&lt;=175,W588&gt;=110),0.12,0)+IF(AND(V588&gt;175,W588&lt;25),0.3,0)+IF(AND(V588&gt;175,W588&gt;=25,W588&lt;55),0.23,0)+IF(AND(V588&gt;175,W588&gt;=55,W588&lt;95),0.17,0)+IF(AND(V588&gt;175,W588&gt;=95),0.12,0),
IF(AF588="DoEVsu",IF(AND(V588&lt;20,W588&lt;55),0.3,0)+IF(AND(V588&lt;20,W588&gt;=55,W588&lt;105),0.23,0)+IF(AND(V588&lt;20,W588&gt;=105),0.17,0)+IF(AND(V588&gt;=20,V588&lt;40,W588&lt;45),0.3,0)+IF(AND(V588&gt;=20,V588&lt;40,W588&gt;=45,W588&lt;95),0.23,0)+IF(AND(V588&gt;=20,V588&lt;40,W588&gt;=95,W588&lt;=250),0.17,0)+IF(AND(V588&gt;=20,V588&lt;40,W588&gt;=250),0.12,0)+IF(AND(V588&gt;=40,V588&lt;75,W588&lt;35),0.3,0)+IF(AND(V588&gt;=40,V588&lt;75,W588&gt;=35,W588&lt;75),0.23,0)+IF(AND(V588&gt;=40,V588&lt;75,W588&gt;=75,W588&lt;120),0.17,0)+IF(AND(V588&gt;=40,V588&lt;75,W588&gt;=120),0.12,0)+IF(AND(V588&gt;=75,V588&lt;175,W588&lt;35),0.3,0)+IF(AND(V588&gt;=75,V588&lt;=175,W588&gt;=35,W588&lt;65),0.23,0)+IF(AND(V588&gt;=75,V588&lt;=175,W588&gt;=65,W588&lt;110),0.17,0)+IF(AND(V588&gt;=75,V588&lt;=175,W588&gt;=110),0.12,0)+IF(AND(V588&gt;175,W588&lt;25),0.3,0)+IF(AND(V588&gt;175,W588&gt;=25,W588&lt;55),0.23,0)+IF(AND(V588&gt;175,W588&gt;=55,W588&lt;95),0.17,0)+IF(AND(V588&gt;175,W588&gt;=95),0.12,0),
IF(AF588="DoEVni",IF(AND(V588&lt;20,W588&lt;55),0.3,0)+IF(AND(V588&lt;20,W588&gt;=55,W588&lt;105),0.23,0)+IF(AND(V588&lt;20,W588&gt;=105),0.17,0)+IF(AND(V588&gt;=20,V588&lt;40,W588&lt;45),0.3,0)+IF(AND(V588&gt;=20,V588&lt;40,W588&gt;=45,W588&lt;95),0.23,0)+IF(AND(V588&gt;=20,V588&lt;40,W588&gt;=95,W588&lt;=200),0.17,0)+IF(AND(V588&gt;=20,V588&lt;40,W588&gt;=200),0.12,0)+IF(AND(V588&gt;=40,V588&lt;75,W588&lt;35),0.3,0)+IF(AND(V588&gt;=40,V588&lt;75,W588&gt;=35,W588&lt;75),0.23,0)+IF(AND(V588&gt;=40,V588&lt;75,W588&gt;=75,W588&lt;120),0.17,0)+IF(AND(V588&gt;=40,V588&lt;75,W588&gt;=120),0.12,0)+IF(AND(V588&gt;=75,V588&lt;175,W588&lt;35),0.3,0)+IF(AND(V588&gt;=75,V588&lt;=175,W588&gt;=35,W588&lt;65),0.23,0)+IF(AND(V588&gt;=75,V588&lt;=175,W588&gt;=65,W588&lt;110),0.17,0)+IF(AND(V588&gt;=75,V588&lt;=175,W588&gt;=110),0.12,0)+IF(AND(V588&gt;175,W588&lt;25),0.3,0)+IF(AND(V588&gt;175,W588&gt;=25,W588&lt;55),0.23,0)+IF(AND(V588&gt;175,W588&gt;=55,W588&lt;95),0.17,0)+IF(AND(V588&gt;175,W588&gt;=95),0.12,0),
IF(AF588="DoEVLo",IF(AND(V588&lt;20,W588&lt;55),0.25,0)+IF(AND(V588&lt;20,W588&gt;=55,W588&lt;105),0.2,0)+IF(AND(V588&lt;20,W588&gt;=105),0.15,0)+IF(AND(V588&gt;=20,V588&lt;40,W588&lt;45),0.25,0)+IF(AND(V588&gt;=20,V588&lt;40,W588&gt;=45,W588&lt;95),0.2,0)+IF(AND(V588&gt;=20,V588&lt;40,W588&gt;=95),0.15,0)+IF(AND(V588&gt;=40,V588&lt;75,W588&lt;35),0.25,0)+IF(AND(V588&gt;=40,V588&lt;75,W588&gt;=35,W588&lt;75),0.2,0)+IF(AND(V588&gt;=40,V588&lt;75,W588&gt;=75,W588&lt;120),0.15,0)+IF(AND(V588&gt;=40,V588&lt;75,W588&gt;=120),0.1,0)+IF(AND(V588&gt;=75,V588&lt;175,W588&lt;35),0.25,0)+IF(AND(V588&gt;=75,V588&lt;=175,W588&gt;=35,W588&lt;65),0.2,0)+IF(AND(V588&gt;=75,V588&lt;=175,W588&gt;=65,W588&lt;110),0.15,0)+IF(AND(V588&gt;=75,V588&lt;=175,W588&gt;=110),0.1,0)+IF(AND(V588&gt;175,W588&lt;25),0.25,0)+IF(AND(V588&gt;175,W588&gt;=25,W588&lt;55),0.2,0)+IF(AND(V588&gt;175,W588&gt;=55,W588&lt;95),0.15,0)+IF(AND(V588&gt;175,W588&gt;=95),0.1,0)))))))))))))))))</f>
        <v>0.15</v>
      </c>
      <c r="Y588" s="30">
        <f>IF(AG588="None",0,IF(AG588="Fix5",0.05, IF(AG588="Fix6.25",0.0625,IF(AG588="Fix3.75",0.0375,IF(AG588="Fix10",0.1,IF(AG588="Fix3",0.03,0))))))</f>
        <v>0</v>
      </c>
      <c r="Z588" s="35">
        <f>T588-AA588-AB588</f>
        <v>-2744</v>
      </c>
      <c r="AA588" s="60">
        <v>-484</v>
      </c>
      <c r="AB588" s="36">
        <f>IF(AD588="EUR",((T588-R588)*Y588)*U588+(R588*Y588),(T588*Y588))</f>
        <v>0</v>
      </c>
      <c r="AC588" s="37" t="b">
        <v>1</v>
      </c>
      <c r="AD588" s="61" t="s">
        <v>38</v>
      </c>
      <c r="AE588" s="83" t="s">
        <v>38</v>
      </c>
      <c r="AF588" s="37" t="str">
        <f t="array" ref="AF588">INDEX('Deal Info'!D:D, MATCH(A588,'Deal Info'!A:A, 0))</f>
        <v>Fix15</v>
      </c>
      <c r="AG588" s="38" t="str">
        <f t="array" ref="AG588">INDEX('Deal Info'!G:G, MATCH(A588,'Deal Info'!A:A, 0))</f>
        <v>None</v>
      </c>
    </row>
    <row r="589" spans="1:33" ht="14.25" hidden="1" x14ac:dyDescent="0.2">
      <c r="A589" s="18" t="str">
        <f t="array" ref="A589">IF(G589='Room Info'!$B$1, INDEX('Room Info'!$A$2:$A2446, MATCH(B589,'Room Info'!$B$2:$B2446, 0)),IF(G589='Room Info'!$C$1, INDEX('Room Info'!$A$2:$A2446, MATCH(B589,'Room Info'!$C$2:$C2446, 0)),IF(G589='Room Info'!$D$1, INDEX('Room Info'!$A$2:$A2446, MATCH(B589,'Room Info'!$D$2:$D2446, 0)),IF(G589='Room Info'!$E$1, INDEX('Room Info'!$A$2:$A2446, MATCH(B589,'Room Info'!$E$2:$E2446, 0)),IF(G589='Room Info'!$F$1, INDEX('Room Info'!$A$2:$A2446, MATCH(B589,'Room Info'!$F$2:$F2446, 0)),IF(G589='Room Info'!$H$1, INDEX('Room Info'!$A$2:$A2446, MATCH(B589,'Room Info'!$H$2:$H2446, 0)),IF(G589='Room Info'!$G$1, INDEX('Room Info'!$A$2:$A2446, MATCH(B589,'Room Info'!$G$2:$G2446, 0)))))))))</f>
        <v>fraum@rta</v>
      </c>
      <c r="B589" s="45" t="s">
        <v>152</v>
      </c>
      <c r="C589" s="46">
        <v>44621</v>
      </c>
      <c r="D589" s="46">
        <v>44651</v>
      </c>
      <c r="E589" s="47">
        <v>44621</v>
      </c>
      <c r="F589" s="48" t="s">
        <v>49</v>
      </c>
      <c r="G589" s="45" t="s">
        <v>35</v>
      </c>
      <c r="H589" s="49" t="s">
        <v>142</v>
      </c>
      <c r="I589" s="49" t="s">
        <v>37</v>
      </c>
      <c r="J589" s="50">
        <v>500</v>
      </c>
      <c r="K589" s="51">
        <v>6</v>
      </c>
      <c r="L589" s="52">
        <v>0</v>
      </c>
      <c r="M589" s="53">
        <v>38</v>
      </c>
      <c r="N589" s="28">
        <f>K589*J589</f>
        <v>3000</v>
      </c>
      <c r="O589" s="54">
        <v>596</v>
      </c>
      <c r="P589" s="29">
        <v>99.333333330000002</v>
      </c>
      <c r="Q589" s="55"/>
      <c r="R589" s="31">
        <f>M589+Q589</f>
        <v>38</v>
      </c>
      <c r="S589" s="56">
        <v>412</v>
      </c>
      <c r="T589" s="32">
        <f>R589+S589+IF(F589="Without EV deal",L589,0)</f>
        <v>450</v>
      </c>
      <c r="U589" s="57">
        <v>1</v>
      </c>
      <c r="V589" s="58"/>
      <c r="W589" s="58"/>
      <c r="X589" s="30">
        <f>IF(AF589="DoEV",IF(AND(V589&lt;20,W589&lt;55),0.3,0)+IF(AND(V589&lt;20,W589&gt;=55,W589&lt;105),0.23,0)+IF(AND(V589&lt;20,W589&gt;=105),0.17,0)+IF(AND(V589&gt;=20,V589&lt;40,W589&lt;45),0.3,0)+IF(AND(V589&gt;=20,V589&lt;40,W589&gt;=45,W589&lt;95),0.23,0)+IF(AND(V589&gt;=20,V589&lt;40,W589&gt;=95),0.17,0)+IF(AND(V589&gt;=40,V589&lt;75,W589&lt;35),0.3,0)+IF(AND(V589&gt;=40,V589&lt;75,W589&gt;=35,W589&lt;75),0.23,0)+IF(AND(V589&gt;=40,V589&lt;75,W589&gt;=75,W589&lt;120),0.17,0)+IF(AND(V589&gt;=40,V589&lt;75,W589&gt;=120),0.12,0)+IF(AND(V589&gt;=75,V589&lt;175,W589&lt;35),0.3,0)+IF(AND(V589&gt;=75,V589&lt;=175,W589&gt;=35,W589&lt;65),0.23,0)+IF(AND(V589&gt;=75,V589&lt;=175,W589&gt;=65,W589&lt;110),0.17,0)+IF(AND(V589&gt;=75,V589&lt;=175,W589&gt;=110),0.12,0)+IF(AND(V589&gt;175,W589&lt;25),0.3,0)+IF(AND(V589&gt;175,W589&gt;=25,W589&lt;55),0.23,0)+IF(AND(V589&gt;175,W589&gt;=55,W589&lt;95),0.17,0)+IF(AND(V589&gt;175,W589&gt;=95),0.12,0),
IF(AF589="Fix15",0.15,
IF(AF589="Fix18.75",0.1875,
IF(AF589="Fix11.25",0.1125,
IF(AF589="Fix10",0.1,
IF(AF589="Fix9",0.09,
IF(AF589="DoEV2017",IF(AND(W589&lt;74),0.2,0)+IF(AND(W589&gt;=74),0.17,0),
IF(AF589="SF",IF(AND(V589&lt;20,W589&lt;89),0.3,0)+IF(AND(V589&lt;20,W589&gt;=89),0.25,0)+IF(AND(V589&gt;=20,V589&lt;40,W589&lt;74),0.3,0)+IF(AND(V589&gt;=20,V589&lt;40,W589&gt;=75),0.22,0)+IF(AND(V589&gt;=40,V589&lt;75,W589&lt;75),0.26,0)+IF(AND(V589&gt;=40,V589&lt;75,W589&gt;=75),0.22,0)+IF(V589&gt;=75,0.22,0),
IF(AF589="DoEVold",IF(AND(V589&lt;40,W589&lt;35),0.35,0)+IF(AND(V589&lt;40,W589&gt;=35,W589&lt;75),0.25,0)+IF(AND(V589&lt;40,W589&gt;=75),0.17,0)+IF(AND(V589&gt;=40,V589&lt;75,W589&lt;25),0.35,0)+IF(AND(V589&gt;=40,V589&lt;75,W589&gt;=25,W589&lt;65),0.25,0)+IF(AND(V589&gt;=40,V589&lt;75,W589&gt;=65,W589&lt;100),0.17,0)+IF(AND(V589&gt;=40,V589&lt;75,W589&gt;=100),0.1,0)+IF(AND(V589&gt;=75,W589&lt;25),0.35,0)+IF(AND(V589&gt;=75,W589&gt;=25,W589&lt;60),0.25,0)+IF(AND(V589&gt;=75,W589&gt;=60,W589&lt;95),0.17,0)+IF(AND(V589&gt;=75,W589&gt;=95),0.1,0),
IF(AF589="DoEVold15",IF(AND(V589&lt;=40,W589&lt;35),0.35,0)+IF(AND(V589&lt;=40,W589&gt;=35,W589&lt;75),0.25,0)+IF(AND(V589&lt;=40,W589&gt;=75,W589&lt;120),0.17,0)+IF(AND(V589&lt;=40,W589&gt;=120),0.15,0)+IF(AND(V589&gt;40,V589&lt;75,W589&lt;25),0.35,0)+IF(AND(V589&gt;=40,V589&lt;75,W589&gt;=25,W589&lt;65),0.25,0)+IF(AND(V589&gt;=40,V589&lt;75,W589&gt;=65,W589&lt;100),0.17,0)+IF(AND(V589&gt;=40,V589&lt;75,W589&gt;=100),0.1,0)+IF(AND(V589&gt;=75,W589&lt;25),0.35,0)+IF(AND(V589&gt;=75,W589&gt;=25,W589&lt;60),0.25,0)+IF(AND(V589&gt;=75,W589&gt;=60,W589&lt;95),0.17,0)+IF(AND(V589&gt;=75,W589&gt;=95),0.1,0),
IF(AF589="DoEVba",IF(AND(V589&lt;20,W589&lt;105),0.2,0)+IF(AND(V589&lt;20,W589&gt;=105),0.15,0)+IF(AND(V589&gt;=20,V589&lt;40,W589&lt;95),0.2,0)+IF(AND(V589&gt;=20,V589&lt;40,W589&gt;=95,W589&lt;150),0.15,0)+IF(AND(V589&gt;=20,V589&lt;40,W589&gt;=150),0.12,0)+IF(AND(V589&gt;=40,V589&lt;75,W589&lt;75),0.2,0)+IF(AND(V589&gt;=40,V589&lt;75,W589&gt;=75,W589&lt;120),0.15,0)+IF(AND(V589&gt;=40,V589&lt;75,W589&gt;=120),0.12,0)+IF(AND(V589&gt;=75,V589&lt;175,W589&lt;65),0.2,0)+IF(AND(V589&gt;=75,V589&lt;175,W589&gt;=65,W589&lt;110),0.15,0)+IF(AND(V589&gt;=75,V589&lt;175,W589&gt;=110),0.12,0)+IF(AND(V589&gt;=175,W589&lt;55),0.2,0)+IF(AND(V589&gt;=175,W589&gt;=55,W589&lt;95),0.15,0)+IF(AND(V589&gt;=175,W589&gt;=95),0.12,0),
IF(AF589="DoEVku",IF(AND(V589&lt;20,W589&lt;55),0.23,0)+IF(AND(V589&lt;20,W589&gt;=55,W589&lt;105),0.2,0)+IF(AND(V589&lt;20,W589&gt;=105),0.17,0)+IF(AND(V589&gt;=20,V589&lt;40,W589&lt;45),0.23,0)+IF(AND(V589&gt;=20,V589&lt;40,W589&gt;=45,W589&lt;95),0.2,0)+IF(AND(V589&gt;=20,V589&lt;40,W589&gt;=95,W589&lt;=150),0.17,0)+IF(AND(V589&gt;=20,V589&lt;40,W589&gt;=150),0.12,0)+IF(AND(V589&gt;=40,V589&lt;75,W589&lt;35),0.23,0)+IF(AND(V589&gt;=40,V589&lt;75,W589&gt;=35,W589&lt;75),0.2,0)+IF(AND(V589&gt;=40,V589&lt;75,W589&gt;=75,W589&lt;120),0.17,0)+IF(AND(V589&gt;=40,V589&lt;75,W589&gt;=120),0.12,0)+IF(AND(V589&gt;=75,V589&lt;175,W589&lt;35),0.23,0)+IF(AND(V589&gt;=75,V589&lt;=175,W589&gt;=35,W589&lt;65),0.2,0)+IF(AND(V589&gt;=75,V589&lt;=175,W589&gt;=65,W589&lt;110),0.17,0)+IF(AND(V589&gt;=75,V589&lt;=175,W589&gt;=110),0.12,0)+IF(AND(V589&gt;175,W589&lt;25),0.23,0)+IF(AND(V589&gt;175,W589&gt;=25,W589&lt;55),0.2,0)+IF(AND(V589&gt;175,W589&gt;=55,W589&lt;95),0.17,0)+IF(AND(V589&gt;175,W589&gt;=95),0.12,0),
IF(AF589="DoEVs1",IF(AND(V589&lt;20,W589&lt;55),0.3,0)+IF(AND(V589&lt;20,W589&gt;=55,W589&lt;105),0.23,0)+IF(AND(V589&lt;20,W589&gt;=105),0.17,0)+IF(AND(V589&gt;=20,V589&lt;40,W589&lt;45),0.3,0)+IF(AND(V589&gt;=20,V589&lt;40,W589&gt;=45,W589&lt;95),0.23,0)+IF(AND(V589&gt;=20,V589&lt;40,W589&gt;=95,W589&lt;=150),0.17,0)+IF(AND(V589&gt;=20,V589&lt;40,W589&gt;=150),0.12,0)+IF(AND(V589&gt;=40,V589&lt;75,W589&lt;35),0.3,0)+IF(AND(V589&gt;=40,V589&lt;75,W589&gt;=35,W589&lt;75),0.23,0)+IF(AND(V589&gt;=40,V589&lt;75,W589&gt;=75,W589&lt;120),0.17,0)+IF(AND(V589&gt;=40,V589&lt;75,W589&gt;=120),0.12,0)+IF(AND(V589&gt;=75,V589&lt;175,W589&lt;35),0.3,0)+IF(AND(V589&gt;=75,V589&lt;=175,W589&gt;=35,W589&lt;65),0.23,0)+IF(AND(V589&gt;=75,V589&lt;=175,W589&gt;=65,W589&lt;110),0.17,0)+IF(AND(V589&gt;=75,V589&lt;=175,W589&gt;=110),0.12,0)+IF(AND(V589&gt;175,W589&lt;25),0.3,0)+IF(AND(V589&gt;175,W589&gt;=25,W589&lt;55),0.23,0)+IF(AND(V589&gt;175,W589&gt;=55,W589&lt;95),0.17,0)+IF(AND(V589&gt;175,W589&gt;=95),0.12,0),
IF(AF589="DoEVsu",IF(AND(V589&lt;20,W589&lt;55),0.3,0)+IF(AND(V589&lt;20,W589&gt;=55,W589&lt;105),0.23,0)+IF(AND(V589&lt;20,W589&gt;=105),0.17,0)+IF(AND(V589&gt;=20,V589&lt;40,W589&lt;45),0.3,0)+IF(AND(V589&gt;=20,V589&lt;40,W589&gt;=45,W589&lt;95),0.23,0)+IF(AND(V589&gt;=20,V589&lt;40,W589&gt;=95,W589&lt;=250),0.17,0)+IF(AND(V589&gt;=20,V589&lt;40,W589&gt;=250),0.12,0)+IF(AND(V589&gt;=40,V589&lt;75,W589&lt;35),0.3,0)+IF(AND(V589&gt;=40,V589&lt;75,W589&gt;=35,W589&lt;75),0.23,0)+IF(AND(V589&gt;=40,V589&lt;75,W589&gt;=75,W589&lt;120),0.17,0)+IF(AND(V589&gt;=40,V589&lt;75,W589&gt;=120),0.12,0)+IF(AND(V589&gt;=75,V589&lt;175,W589&lt;35),0.3,0)+IF(AND(V589&gt;=75,V589&lt;=175,W589&gt;=35,W589&lt;65),0.23,0)+IF(AND(V589&gt;=75,V589&lt;=175,W589&gt;=65,W589&lt;110),0.17,0)+IF(AND(V589&gt;=75,V589&lt;=175,W589&gt;=110),0.12,0)+IF(AND(V589&gt;175,W589&lt;25),0.3,0)+IF(AND(V589&gt;175,W589&gt;=25,W589&lt;55),0.23,0)+IF(AND(V589&gt;175,W589&gt;=55,W589&lt;95),0.17,0)+IF(AND(V589&gt;175,W589&gt;=95),0.12,0),
IF(AF589="DoEVni",IF(AND(V589&lt;20,W589&lt;55),0.3,0)+IF(AND(V589&lt;20,W589&gt;=55,W589&lt;105),0.23,0)+IF(AND(V589&lt;20,W589&gt;=105),0.17,0)+IF(AND(V589&gt;=20,V589&lt;40,W589&lt;45),0.3,0)+IF(AND(V589&gt;=20,V589&lt;40,W589&gt;=45,W589&lt;95),0.23,0)+IF(AND(V589&gt;=20,V589&lt;40,W589&gt;=95,W589&lt;=200),0.17,0)+IF(AND(V589&gt;=20,V589&lt;40,W589&gt;=200),0.12,0)+IF(AND(V589&gt;=40,V589&lt;75,W589&lt;35),0.3,0)+IF(AND(V589&gt;=40,V589&lt;75,W589&gt;=35,W589&lt;75),0.23,0)+IF(AND(V589&gt;=40,V589&lt;75,W589&gt;=75,W589&lt;120),0.17,0)+IF(AND(V589&gt;=40,V589&lt;75,W589&gt;=120),0.12,0)+IF(AND(V589&gt;=75,V589&lt;175,W589&lt;35),0.3,0)+IF(AND(V589&gt;=75,V589&lt;=175,W589&gt;=35,W589&lt;65),0.23,0)+IF(AND(V589&gt;=75,V589&lt;=175,W589&gt;=65,W589&lt;110),0.17,0)+IF(AND(V589&gt;=75,V589&lt;=175,W589&gt;=110),0.12,0)+IF(AND(V589&gt;175,W589&lt;25),0.3,0)+IF(AND(V589&gt;175,W589&gt;=25,W589&lt;55),0.23,0)+IF(AND(V589&gt;175,W589&gt;=55,W589&lt;95),0.17,0)+IF(AND(V589&gt;175,W589&gt;=95),0.12,0),
IF(AF589="DoEVLo",IF(AND(V589&lt;20,W589&lt;55),0.25,0)+IF(AND(V589&lt;20,W589&gt;=55,W589&lt;105),0.2,0)+IF(AND(V589&lt;20,W589&gt;=105),0.15,0)+IF(AND(V589&gt;=20,V589&lt;40,W589&lt;45),0.25,0)+IF(AND(V589&gt;=20,V589&lt;40,W589&gt;=45,W589&lt;95),0.2,0)+IF(AND(V589&gt;=20,V589&lt;40,W589&gt;=95),0.15,0)+IF(AND(V589&gt;=40,V589&lt;75,W589&lt;35),0.25,0)+IF(AND(V589&gt;=40,V589&lt;75,W589&gt;=35,W589&lt;75),0.2,0)+IF(AND(V589&gt;=40,V589&lt;75,W589&gt;=75,W589&lt;120),0.15,0)+IF(AND(V589&gt;=40,V589&lt;75,W589&gt;=120),0.1,0)+IF(AND(V589&gt;=75,V589&lt;175,W589&lt;35),0.25,0)+IF(AND(V589&gt;=75,V589&lt;=175,W589&gt;=35,W589&lt;65),0.2,0)+IF(AND(V589&gt;=75,V589&lt;=175,W589&gt;=65,W589&lt;110),0.15,0)+IF(AND(V589&gt;=75,V589&lt;=175,W589&gt;=110),0.1,0)+IF(AND(V589&gt;175,W589&lt;25),0.25,0)+IF(AND(V589&gt;175,W589&gt;=25,W589&lt;55),0.2,0)+IF(AND(V589&gt;175,W589&gt;=55,W589&lt;95),0.15,0)+IF(AND(V589&gt;175,W589&gt;=95),0.1,0)))))))))))))))))</f>
        <v>0.15</v>
      </c>
      <c r="Y589" s="30">
        <f>IF(AG589="None",0,IF(AG589="Fix5",0.05, IF(AG589="Fix6.25",0.0625,IF(AG589="Fix3.75",0.0375,IF(AG589="Fix10",0.1,IF(AG589="Fix3",0.03,0))))))</f>
        <v>0</v>
      </c>
      <c r="Z589" s="35">
        <f>T589-AA589-AB589</f>
        <v>382</v>
      </c>
      <c r="AA589" s="60">
        <v>68</v>
      </c>
      <c r="AB589" s="36">
        <f>IF(AD589="EUR",((T589-R589)*Y589)*U589+(R589*Y589),(T589*Y589))</f>
        <v>0</v>
      </c>
      <c r="AC589" s="37" t="b">
        <v>1</v>
      </c>
      <c r="AD589" s="61" t="s">
        <v>38</v>
      </c>
      <c r="AE589" s="83" t="s">
        <v>38</v>
      </c>
      <c r="AF589" s="37" t="str">
        <f t="array" ref="AF589">INDEX('Deal Info'!D:D, MATCH(A589,'Deal Info'!A:A, 0))</f>
        <v>Fix15</v>
      </c>
      <c r="AG589" s="38" t="str">
        <f t="array" ref="AG589">INDEX('Deal Info'!G:G, MATCH(A589,'Deal Info'!A:A, 0))</f>
        <v>None</v>
      </c>
    </row>
    <row r="590" spans="1:33" ht="14.25" hidden="1" x14ac:dyDescent="0.2">
      <c r="A590" s="18" t="str">
        <f t="array" ref="A590">IF(G590='Room Info'!$B$1, INDEX('Room Info'!$A$2:$A2446, MATCH(B590,'Room Info'!$B$2:$B2446, 0)),IF(G590='Room Info'!$C$1, INDEX('Room Info'!$A$2:$A2446, MATCH(B590,'Room Info'!$C$2:$C2446, 0)),IF(G590='Room Info'!$D$1, INDEX('Room Info'!$A$2:$A2446, MATCH(B590,'Room Info'!$D$2:$D2446, 0)),IF(G590='Room Info'!$E$1, INDEX('Room Info'!$A$2:$A2446, MATCH(B590,'Room Info'!$E$2:$E2446, 0)),IF(G590='Room Info'!$F$1, INDEX('Room Info'!$A$2:$A2446, MATCH(B590,'Room Info'!$F$2:$F2446, 0)),IF(G590='Room Info'!$H$1, INDEX('Room Info'!$A$2:$A2446, MATCH(B590,'Room Info'!$H$2:$H2446, 0)),IF(G590='Room Info'!$G$1, INDEX('Room Info'!$A$2:$A2446, MATCH(B590,'Room Info'!$G$2:$G2446, 0)))))))))</f>
        <v>fraum@rta</v>
      </c>
      <c r="B590" s="45" t="s">
        <v>152</v>
      </c>
      <c r="C590" s="46">
        <v>44621</v>
      </c>
      <c r="D590" s="46">
        <v>44651</v>
      </c>
      <c r="E590" s="47">
        <v>44621</v>
      </c>
      <c r="F590" s="48" t="s">
        <v>49</v>
      </c>
      <c r="G590" s="45" t="s">
        <v>80</v>
      </c>
      <c r="H590" s="49" t="s">
        <v>72</v>
      </c>
      <c r="I590" s="49" t="s">
        <v>81</v>
      </c>
      <c r="J590" s="50">
        <v>50</v>
      </c>
      <c r="K590" s="51">
        <v>833</v>
      </c>
      <c r="L590" s="52">
        <v>-2100</v>
      </c>
      <c r="M590" s="53">
        <v>2244</v>
      </c>
      <c r="N590" s="28">
        <f>K590*J590</f>
        <v>41650</v>
      </c>
      <c r="O590" s="54">
        <v>14675</v>
      </c>
      <c r="P590" s="29">
        <v>17.617046819999999</v>
      </c>
      <c r="Q590" s="55"/>
      <c r="R590" s="31">
        <f>M590+Q590</f>
        <v>2244</v>
      </c>
      <c r="S590" s="56">
        <v>-868</v>
      </c>
      <c r="T590" s="32">
        <f>R590+S590+IF(F590="Without EV deal",L590,0)</f>
        <v>1376</v>
      </c>
      <c r="U590" s="57">
        <v>1</v>
      </c>
      <c r="V590" s="58"/>
      <c r="W590" s="58"/>
      <c r="X590" s="30">
        <f>IF(AF590="DoEV",IF(AND(V590&lt;20,W590&lt;55),0.3,0)+IF(AND(V590&lt;20,W590&gt;=55,W590&lt;105),0.23,0)+IF(AND(V590&lt;20,W590&gt;=105),0.17,0)+IF(AND(V590&gt;=20,V590&lt;40,W590&lt;45),0.3,0)+IF(AND(V590&gt;=20,V590&lt;40,W590&gt;=45,W590&lt;95),0.23,0)+IF(AND(V590&gt;=20,V590&lt;40,W590&gt;=95),0.17,0)+IF(AND(V590&gt;=40,V590&lt;75,W590&lt;35),0.3,0)+IF(AND(V590&gt;=40,V590&lt;75,W590&gt;=35,W590&lt;75),0.23,0)+IF(AND(V590&gt;=40,V590&lt;75,W590&gt;=75,W590&lt;120),0.17,0)+IF(AND(V590&gt;=40,V590&lt;75,W590&gt;=120),0.12,0)+IF(AND(V590&gt;=75,V590&lt;175,W590&lt;35),0.3,0)+IF(AND(V590&gt;=75,V590&lt;=175,W590&gt;=35,W590&lt;65),0.23,0)+IF(AND(V590&gt;=75,V590&lt;=175,W590&gt;=65,W590&lt;110),0.17,0)+IF(AND(V590&gt;=75,V590&lt;=175,W590&gt;=110),0.12,0)+IF(AND(V590&gt;175,W590&lt;25),0.3,0)+IF(AND(V590&gt;175,W590&gt;=25,W590&lt;55),0.23,0)+IF(AND(V590&gt;175,W590&gt;=55,W590&lt;95),0.17,0)+IF(AND(V590&gt;175,W590&gt;=95),0.12,0),
IF(AF590="Fix15",0.15,
IF(AF590="Fix18.75",0.1875,
IF(AF590="Fix11.25",0.1125,
IF(AF590="Fix10",0.1,
IF(AF590="Fix9",0.09,
IF(AF590="DoEV2017",IF(AND(W590&lt;74),0.2,0)+IF(AND(W590&gt;=74),0.17,0),
IF(AF590="SF",IF(AND(V590&lt;20,W590&lt;89),0.3,0)+IF(AND(V590&lt;20,W590&gt;=89),0.25,0)+IF(AND(V590&gt;=20,V590&lt;40,W590&lt;74),0.3,0)+IF(AND(V590&gt;=20,V590&lt;40,W590&gt;=75),0.22,0)+IF(AND(V590&gt;=40,V590&lt;75,W590&lt;75),0.26,0)+IF(AND(V590&gt;=40,V590&lt;75,W590&gt;=75),0.22,0)+IF(V590&gt;=75,0.22,0),
IF(AF590="DoEVold",IF(AND(V590&lt;40,W590&lt;35),0.35,0)+IF(AND(V590&lt;40,W590&gt;=35,W590&lt;75),0.25,0)+IF(AND(V590&lt;40,W590&gt;=75),0.17,0)+IF(AND(V590&gt;=40,V590&lt;75,W590&lt;25),0.35,0)+IF(AND(V590&gt;=40,V590&lt;75,W590&gt;=25,W590&lt;65),0.25,0)+IF(AND(V590&gt;=40,V590&lt;75,W590&gt;=65,W590&lt;100),0.17,0)+IF(AND(V590&gt;=40,V590&lt;75,W590&gt;=100),0.1,0)+IF(AND(V590&gt;=75,W590&lt;25),0.35,0)+IF(AND(V590&gt;=75,W590&gt;=25,W590&lt;60),0.25,0)+IF(AND(V590&gt;=75,W590&gt;=60,W590&lt;95),0.17,0)+IF(AND(V590&gt;=75,W590&gt;=95),0.1,0),
IF(AF590="DoEVold15",IF(AND(V590&lt;=40,W590&lt;35),0.35,0)+IF(AND(V590&lt;=40,W590&gt;=35,W590&lt;75),0.25,0)+IF(AND(V590&lt;=40,W590&gt;=75,W590&lt;120),0.17,0)+IF(AND(V590&lt;=40,W590&gt;=120),0.15,0)+IF(AND(V590&gt;40,V590&lt;75,W590&lt;25),0.35,0)+IF(AND(V590&gt;=40,V590&lt;75,W590&gt;=25,W590&lt;65),0.25,0)+IF(AND(V590&gt;=40,V590&lt;75,W590&gt;=65,W590&lt;100),0.17,0)+IF(AND(V590&gt;=40,V590&lt;75,W590&gt;=100),0.1,0)+IF(AND(V590&gt;=75,W590&lt;25),0.35,0)+IF(AND(V590&gt;=75,W590&gt;=25,W590&lt;60),0.25,0)+IF(AND(V590&gt;=75,W590&gt;=60,W590&lt;95),0.17,0)+IF(AND(V590&gt;=75,W590&gt;=95),0.1,0),
IF(AF590="DoEVba",IF(AND(V590&lt;20,W590&lt;105),0.2,0)+IF(AND(V590&lt;20,W590&gt;=105),0.15,0)+IF(AND(V590&gt;=20,V590&lt;40,W590&lt;95),0.2,0)+IF(AND(V590&gt;=20,V590&lt;40,W590&gt;=95,W590&lt;150),0.15,0)+IF(AND(V590&gt;=20,V590&lt;40,W590&gt;=150),0.12,0)+IF(AND(V590&gt;=40,V590&lt;75,W590&lt;75),0.2,0)+IF(AND(V590&gt;=40,V590&lt;75,W590&gt;=75,W590&lt;120),0.15,0)+IF(AND(V590&gt;=40,V590&lt;75,W590&gt;=120),0.12,0)+IF(AND(V590&gt;=75,V590&lt;175,W590&lt;65),0.2,0)+IF(AND(V590&gt;=75,V590&lt;175,W590&gt;=65,W590&lt;110),0.15,0)+IF(AND(V590&gt;=75,V590&lt;175,W590&gt;=110),0.12,0)+IF(AND(V590&gt;=175,W590&lt;55),0.2,0)+IF(AND(V590&gt;=175,W590&gt;=55,W590&lt;95),0.15,0)+IF(AND(V590&gt;=175,W590&gt;=95),0.12,0),
IF(AF590="DoEVku",IF(AND(V590&lt;20,W590&lt;55),0.23,0)+IF(AND(V590&lt;20,W590&gt;=55,W590&lt;105),0.2,0)+IF(AND(V590&lt;20,W590&gt;=105),0.17,0)+IF(AND(V590&gt;=20,V590&lt;40,W590&lt;45),0.23,0)+IF(AND(V590&gt;=20,V590&lt;40,W590&gt;=45,W590&lt;95),0.2,0)+IF(AND(V590&gt;=20,V590&lt;40,W590&gt;=95,W590&lt;=150),0.17,0)+IF(AND(V590&gt;=20,V590&lt;40,W590&gt;=150),0.12,0)+IF(AND(V590&gt;=40,V590&lt;75,W590&lt;35),0.23,0)+IF(AND(V590&gt;=40,V590&lt;75,W590&gt;=35,W590&lt;75),0.2,0)+IF(AND(V590&gt;=40,V590&lt;75,W590&gt;=75,W590&lt;120),0.17,0)+IF(AND(V590&gt;=40,V590&lt;75,W590&gt;=120),0.12,0)+IF(AND(V590&gt;=75,V590&lt;175,W590&lt;35),0.23,0)+IF(AND(V590&gt;=75,V590&lt;=175,W590&gt;=35,W590&lt;65),0.2,0)+IF(AND(V590&gt;=75,V590&lt;=175,W590&gt;=65,W590&lt;110),0.17,0)+IF(AND(V590&gt;=75,V590&lt;=175,W590&gt;=110),0.12,0)+IF(AND(V590&gt;175,W590&lt;25),0.23,0)+IF(AND(V590&gt;175,W590&gt;=25,W590&lt;55),0.2,0)+IF(AND(V590&gt;175,W590&gt;=55,W590&lt;95),0.17,0)+IF(AND(V590&gt;175,W590&gt;=95),0.12,0),
IF(AF590="DoEVs1",IF(AND(V590&lt;20,W590&lt;55),0.3,0)+IF(AND(V590&lt;20,W590&gt;=55,W590&lt;105),0.23,0)+IF(AND(V590&lt;20,W590&gt;=105),0.17,0)+IF(AND(V590&gt;=20,V590&lt;40,W590&lt;45),0.3,0)+IF(AND(V590&gt;=20,V590&lt;40,W590&gt;=45,W590&lt;95),0.23,0)+IF(AND(V590&gt;=20,V590&lt;40,W590&gt;=95,W590&lt;=150),0.17,0)+IF(AND(V590&gt;=20,V590&lt;40,W590&gt;=150),0.12,0)+IF(AND(V590&gt;=40,V590&lt;75,W590&lt;35),0.3,0)+IF(AND(V590&gt;=40,V590&lt;75,W590&gt;=35,W590&lt;75),0.23,0)+IF(AND(V590&gt;=40,V590&lt;75,W590&gt;=75,W590&lt;120),0.17,0)+IF(AND(V590&gt;=40,V590&lt;75,W590&gt;=120),0.12,0)+IF(AND(V590&gt;=75,V590&lt;175,W590&lt;35),0.3,0)+IF(AND(V590&gt;=75,V590&lt;=175,W590&gt;=35,W590&lt;65),0.23,0)+IF(AND(V590&gt;=75,V590&lt;=175,W590&gt;=65,W590&lt;110),0.17,0)+IF(AND(V590&gt;=75,V590&lt;=175,W590&gt;=110),0.12,0)+IF(AND(V590&gt;175,W590&lt;25),0.3,0)+IF(AND(V590&gt;175,W590&gt;=25,W590&lt;55),0.23,0)+IF(AND(V590&gt;175,W590&gt;=55,W590&lt;95),0.17,0)+IF(AND(V590&gt;175,W590&gt;=95),0.12,0),
IF(AF590="DoEVsu",IF(AND(V590&lt;20,W590&lt;55),0.3,0)+IF(AND(V590&lt;20,W590&gt;=55,W590&lt;105),0.23,0)+IF(AND(V590&lt;20,W590&gt;=105),0.17,0)+IF(AND(V590&gt;=20,V590&lt;40,W590&lt;45),0.3,0)+IF(AND(V590&gt;=20,V590&lt;40,W590&gt;=45,W590&lt;95),0.23,0)+IF(AND(V590&gt;=20,V590&lt;40,W590&gt;=95,W590&lt;=250),0.17,0)+IF(AND(V590&gt;=20,V590&lt;40,W590&gt;=250),0.12,0)+IF(AND(V590&gt;=40,V590&lt;75,W590&lt;35),0.3,0)+IF(AND(V590&gt;=40,V590&lt;75,W590&gt;=35,W590&lt;75),0.23,0)+IF(AND(V590&gt;=40,V590&lt;75,W590&gt;=75,W590&lt;120),0.17,0)+IF(AND(V590&gt;=40,V590&lt;75,W590&gt;=120),0.12,0)+IF(AND(V590&gt;=75,V590&lt;175,W590&lt;35),0.3,0)+IF(AND(V590&gt;=75,V590&lt;=175,W590&gt;=35,W590&lt;65),0.23,0)+IF(AND(V590&gt;=75,V590&lt;=175,W590&gt;=65,W590&lt;110),0.17,0)+IF(AND(V590&gt;=75,V590&lt;=175,W590&gt;=110),0.12,0)+IF(AND(V590&gt;175,W590&lt;25),0.3,0)+IF(AND(V590&gt;175,W590&gt;=25,W590&lt;55),0.23,0)+IF(AND(V590&gt;175,W590&gt;=55,W590&lt;95),0.17,0)+IF(AND(V590&gt;175,W590&gt;=95),0.12,0),
IF(AF590="DoEVni",IF(AND(V590&lt;20,W590&lt;55),0.3,0)+IF(AND(V590&lt;20,W590&gt;=55,W590&lt;105),0.23,0)+IF(AND(V590&lt;20,W590&gt;=105),0.17,0)+IF(AND(V590&gt;=20,V590&lt;40,W590&lt;45),0.3,0)+IF(AND(V590&gt;=20,V590&lt;40,W590&gt;=45,W590&lt;95),0.23,0)+IF(AND(V590&gt;=20,V590&lt;40,W590&gt;=95,W590&lt;=200),0.17,0)+IF(AND(V590&gt;=20,V590&lt;40,W590&gt;=200),0.12,0)+IF(AND(V590&gt;=40,V590&lt;75,W590&lt;35),0.3,0)+IF(AND(V590&gt;=40,V590&lt;75,W590&gt;=35,W590&lt;75),0.23,0)+IF(AND(V590&gt;=40,V590&lt;75,W590&gt;=75,W590&lt;120),0.17,0)+IF(AND(V590&gt;=40,V590&lt;75,W590&gt;=120),0.12,0)+IF(AND(V590&gt;=75,V590&lt;175,W590&lt;35),0.3,0)+IF(AND(V590&gt;=75,V590&lt;=175,W590&gt;=35,W590&lt;65),0.23,0)+IF(AND(V590&gt;=75,V590&lt;=175,W590&gt;=65,W590&lt;110),0.17,0)+IF(AND(V590&gt;=75,V590&lt;=175,W590&gt;=110),0.12,0)+IF(AND(V590&gt;175,W590&lt;25),0.3,0)+IF(AND(V590&gt;175,W590&gt;=25,W590&lt;55),0.23,0)+IF(AND(V590&gt;175,W590&gt;=55,W590&lt;95),0.17,0)+IF(AND(V590&gt;175,W590&gt;=95),0.12,0),
IF(AF590="DoEVLo",IF(AND(V590&lt;20,W590&lt;55),0.25,0)+IF(AND(V590&lt;20,W590&gt;=55,W590&lt;105),0.2,0)+IF(AND(V590&lt;20,W590&gt;=105),0.15,0)+IF(AND(V590&gt;=20,V590&lt;40,W590&lt;45),0.25,0)+IF(AND(V590&gt;=20,V590&lt;40,W590&gt;=45,W590&lt;95),0.2,0)+IF(AND(V590&gt;=20,V590&lt;40,W590&gt;=95),0.15,0)+IF(AND(V590&gt;=40,V590&lt;75,W590&lt;35),0.25,0)+IF(AND(V590&gt;=40,V590&lt;75,W590&gt;=35,W590&lt;75),0.2,0)+IF(AND(V590&gt;=40,V590&lt;75,W590&gt;=75,W590&lt;120),0.15,0)+IF(AND(V590&gt;=40,V590&lt;75,W590&gt;=120),0.1,0)+IF(AND(V590&gt;=75,V590&lt;175,W590&lt;35),0.25,0)+IF(AND(V590&gt;=75,V590&lt;=175,W590&gt;=35,W590&lt;65),0.2,0)+IF(AND(V590&gt;=75,V590&lt;=175,W590&gt;=65,W590&lt;110),0.15,0)+IF(AND(V590&gt;=75,V590&lt;=175,W590&gt;=110),0.1,0)+IF(AND(V590&gt;175,W590&lt;25),0.25,0)+IF(AND(V590&gt;175,W590&gt;=25,W590&lt;55),0.2,0)+IF(AND(V590&gt;175,W590&gt;=55,W590&lt;95),0.15,0)+IF(AND(V590&gt;175,W590&gt;=95),0.1,0)))))))))))))))))</f>
        <v>0.15</v>
      </c>
      <c r="Y590" s="30">
        <f>IF(AG590="None",0,IF(AG590="Fix5",0.05, IF(AG590="Fix6.25",0.0625,IF(AG590="Fix3.75",0.0375,IF(AG590="Fix10",0.1,IF(AG590="Fix3",0.03,0))))))</f>
        <v>0</v>
      </c>
      <c r="Z590" s="35">
        <f>T590-AA590-AB590</f>
        <v>1170</v>
      </c>
      <c r="AA590" s="60">
        <v>206</v>
      </c>
      <c r="AB590" s="36">
        <f>IF(AD590="EUR",((T590-R590)*Y590)*U590+(R590*Y590),(T590*Y590))</f>
        <v>0</v>
      </c>
      <c r="AC590" s="37" t="b">
        <v>1</v>
      </c>
      <c r="AD590" s="61" t="s">
        <v>38</v>
      </c>
      <c r="AE590" s="83" t="s">
        <v>38</v>
      </c>
      <c r="AF590" s="37" t="str">
        <f t="array" ref="AF590">INDEX('Deal Info'!D:D, MATCH(A590,'Deal Info'!A:A, 0))</f>
        <v>Fix15</v>
      </c>
      <c r="AG590" s="38" t="str">
        <f t="array" ref="AG590">INDEX('Deal Info'!G:G, MATCH(A590,'Deal Info'!A:A, 0))</f>
        <v>None</v>
      </c>
    </row>
    <row r="591" spans="1:33" ht="14.25" hidden="1" x14ac:dyDescent="0.2">
      <c r="A591" s="18" t="str">
        <f t="array" ref="A591">IF(G591='Room Info'!$B$1, INDEX('Room Info'!$A$2:$A2446, MATCH(B591,'Room Info'!$B$2:$B2446, 0)),IF(G591='Room Info'!$C$1, INDEX('Room Info'!$A$2:$A2446, MATCH(B591,'Room Info'!$C$2:$C2446, 0)),IF(G591='Room Info'!$D$1, INDEX('Room Info'!$A$2:$A2446, MATCH(B591,'Room Info'!$D$2:$D2446, 0)),IF(G591='Room Info'!$E$1, INDEX('Room Info'!$A$2:$A2446, MATCH(B591,'Room Info'!$E$2:$E2446, 0)),IF(G591='Room Info'!$F$1, INDEX('Room Info'!$A$2:$A2446, MATCH(B591,'Room Info'!$F$2:$F2446, 0)),IF(G591='Room Info'!$H$1, INDEX('Room Info'!$A$2:$A2446, MATCH(B591,'Room Info'!$H$2:$H2446, 0)),IF(G591='Room Info'!$G$1, INDEX('Room Info'!$A$2:$A2446, MATCH(B591,'Room Info'!$G$2:$G2446, 0)))))))))</f>
        <v>fraum@rta</v>
      </c>
      <c r="B591" s="45" t="s">
        <v>152</v>
      </c>
      <c r="C591" s="46">
        <v>44621</v>
      </c>
      <c r="D591" s="46">
        <v>44651</v>
      </c>
      <c r="E591" s="47">
        <v>44621</v>
      </c>
      <c r="F591" s="48" t="s">
        <v>49</v>
      </c>
      <c r="G591" s="45" t="s">
        <v>80</v>
      </c>
      <c r="H591" s="49" t="s">
        <v>70</v>
      </c>
      <c r="I591" s="49" t="s">
        <v>81</v>
      </c>
      <c r="J591" s="50">
        <v>100</v>
      </c>
      <c r="K591" s="51">
        <v>5933</v>
      </c>
      <c r="L591" s="52">
        <v>-20500</v>
      </c>
      <c r="M591" s="53">
        <v>31962</v>
      </c>
      <c r="N591" s="28">
        <f>K591*J591</f>
        <v>593300</v>
      </c>
      <c r="O591" s="54">
        <v>64837</v>
      </c>
      <c r="P591" s="29">
        <v>10.92819821</v>
      </c>
      <c r="Q591" s="55"/>
      <c r="R591" s="31">
        <f>M591+Q591</f>
        <v>31962</v>
      </c>
      <c r="S591" s="56">
        <v>-24996</v>
      </c>
      <c r="T591" s="32">
        <f>R591+S591+IF(F591="Without EV deal",L591,0)</f>
        <v>6966</v>
      </c>
      <c r="U591" s="57">
        <v>1</v>
      </c>
      <c r="V591" s="58"/>
      <c r="W591" s="58"/>
      <c r="X591" s="30">
        <f>IF(AF591="DoEV",IF(AND(V591&lt;20,W591&lt;55),0.3,0)+IF(AND(V591&lt;20,W591&gt;=55,W591&lt;105),0.23,0)+IF(AND(V591&lt;20,W591&gt;=105),0.17,0)+IF(AND(V591&gt;=20,V591&lt;40,W591&lt;45),0.3,0)+IF(AND(V591&gt;=20,V591&lt;40,W591&gt;=45,W591&lt;95),0.23,0)+IF(AND(V591&gt;=20,V591&lt;40,W591&gt;=95),0.17,0)+IF(AND(V591&gt;=40,V591&lt;75,W591&lt;35),0.3,0)+IF(AND(V591&gt;=40,V591&lt;75,W591&gt;=35,W591&lt;75),0.23,0)+IF(AND(V591&gt;=40,V591&lt;75,W591&gt;=75,W591&lt;120),0.17,0)+IF(AND(V591&gt;=40,V591&lt;75,W591&gt;=120),0.12,0)+IF(AND(V591&gt;=75,V591&lt;175,W591&lt;35),0.3,0)+IF(AND(V591&gt;=75,V591&lt;=175,W591&gt;=35,W591&lt;65),0.23,0)+IF(AND(V591&gt;=75,V591&lt;=175,W591&gt;=65,W591&lt;110),0.17,0)+IF(AND(V591&gt;=75,V591&lt;=175,W591&gt;=110),0.12,0)+IF(AND(V591&gt;175,W591&lt;25),0.3,0)+IF(AND(V591&gt;175,W591&gt;=25,W591&lt;55),0.23,0)+IF(AND(V591&gt;175,W591&gt;=55,W591&lt;95),0.17,0)+IF(AND(V591&gt;175,W591&gt;=95),0.12,0),
IF(AF591="Fix15",0.15,
IF(AF591="Fix18.75",0.1875,
IF(AF591="Fix11.25",0.1125,
IF(AF591="Fix10",0.1,
IF(AF591="Fix9",0.09,
IF(AF591="DoEV2017",IF(AND(W591&lt;74),0.2,0)+IF(AND(W591&gt;=74),0.17,0),
IF(AF591="SF",IF(AND(V591&lt;20,W591&lt;89),0.3,0)+IF(AND(V591&lt;20,W591&gt;=89),0.25,0)+IF(AND(V591&gt;=20,V591&lt;40,W591&lt;74),0.3,0)+IF(AND(V591&gt;=20,V591&lt;40,W591&gt;=75),0.22,0)+IF(AND(V591&gt;=40,V591&lt;75,W591&lt;75),0.26,0)+IF(AND(V591&gt;=40,V591&lt;75,W591&gt;=75),0.22,0)+IF(V591&gt;=75,0.22,0),
IF(AF591="DoEVold",IF(AND(V591&lt;40,W591&lt;35),0.35,0)+IF(AND(V591&lt;40,W591&gt;=35,W591&lt;75),0.25,0)+IF(AND(V591&lt;40,W591&gt;=75),0.17,0)+IF(AND(V591&gt;=40,V591&lt;75,W591&lt;25),0.35,0)+IF(AND(V591&gt;=40,V591&lt;75,W591&gt;=25,W591&lt;65),0.25,0)+IF(AND(V591&gt;=40,V591&lt;75,W591&gt;=65,W591&lt;100),0.17,0)+IF(AND(V591&gt;=40,V591&lt;75,W591&gt;=100),0.1,0)+IF(AND(V591&gt;=75,W591&lt;25),0.35,0)+IF(AND(V591&gt;=75,W591&gt;=25,W591&lt;60),0.25,0)+IF(AND(V591&gt;=75,W591&gt;=60,W591&lt;95),0.17,0)+IF(AND(V591&gt;=75,W591&gt;=95),0.1,0),
IF(AF591="DoEVold15",IF(AND(V591&lt;=40,W591&lt;35),0.35,0)+IF(AND(V591&lt;=40,W591&gt;=35,W591&lt;75),0.25,0)+IF(AND(V591&lt;=40,W591&gt;=75,W591&lt;120),0.17,0)+IF(AND(V591&lt;=40,W591&gt;=120),0.15,0)+IF(AND(V591&gt;40,V591&lt;75,W591&lt;25),0.35,0)+IF(AND(V591&gt;=40,V591&lt;75,W591&gt;=25,W591&lt;65),0.25,0)+IF(AND(V591&gt;=40,V591&lt;75,W591&gt;=65,W591&lt;100),0.17,0)+IF(AND(V591&gt;=40,V591&lt;75,W591&gt;=100),0.1,0)+IF(AND(V591&gt;=75,W591&lt;25),0.35,0)+IF(AND(V591&gt;=75,W591&gt;=25,W591&lt;60),0.25,0)+IF(AND(V591&gt;=75,W591&gt;=60,W591&lt;95),0.17,0)+IF(AND(V591&gt;=75,W591&gt;=95),0.1,0),
IF(AF591="DoEVba",IF(AND(V591&lt;20,W591&lt;105),0.2,0)+IF(AND(V591&lt;20,W591&gt;=105),0.15,0)+IF(AND(V591&gt;=20,V591&lt;40,W591&lt;95),0.2,0)+IF(AND(V591&gt;=20,V591&lt;40,W591&gt;=95,W591&lt;150),0.15,0)+IF(AND(V591&gt;=20,V591&lt;40,W591&gt;=150),0.12,0)+IF(AND(V591&gt;=40,V591&lt;75,W591&lt;75),0.2,0)+IF(AND(V591&gt;=40,V591&lt;75,W591&gt;=75,W591&lt;120),0.15,0)+IF(AND(V591&gt;=40,V591&lt;75,W591&gt;=120),0.12,0)+IF(AND(V591&gt;=75,V591&lt;175,W591&lt;65),0.2,0)+IF(AND(V591&gt;=75,V591&lt;175,W591&gt;=65,W591&lt;110),0.15,0)+IF(AND(V591&gt;=75,V591&lt;175,W591&gt;=110),0.12,0)+IF(AND(V591&gt;=175,W591&lt;55),0.2,0)+IF(AND(V591&gt;=175,W591&gt;=55,W591&lt;95),0.15,0)+IF(AND(V591&gt;=175,W591&gt;=95),0.12,0),
IF(AF591="DoEVku",IF(AND(V591&lt;20,W591&lt;55),0.23,0)+IF(AND(V591&lt;20,W591&gt;=55,W591&lt;105),0.2,0)+IF(AND(V591&lt;20,W591&gt;=105),0.17,0)+IF(AND(V591&gt;=20,V591&lt;40,W591&lt;45),0.23,0)+IF(AND(V591&gt;=20,V591&lt;40,W591&gt;=45,W591&lt;95),0.2,0)+IF(AND(V591&gt;=20,V591&lt;40,W591&gt;=95,W591&lt;=150),0.17,0)+IF(AND(V591&gt;=20,V591&lt;40,W591&gt;=150),0.12,0)+IF(AND(V591&gt;=40,V591&lt;75,W591&lt;35),0.23,0)+IF(AND(V591&gt;=40,V591&lt;75,W591&gt;=35,W591&lt;75),0.2,0)+IF(AND(V591&gt;=40,V591&lt;75,W591&gt;=75,W591&lt;120),0.17,0)+IF(AND(V591&gt;=40,V591&lt;75,W591&gt;=120),0.12,0)+IF(AND(V591&gt;=75,V591&lt;175,W591&lt;35),0.23,0)+IF(AND(V591&gt;=75,V591&lt;=175,W591&gt;=35,W591&lt;65),0.2,0)+IF(AND(V591&gt;=75,V591&lt;=175,W591&gt;=65,W591&lt;110),0.17,0)+IF(AND(V591&gt;=75,V591&lt;=175,W591&gt;=110),0.12,0)+IF(AND(V591&gt;175,W591&lt;25),0.23,0)+IF(AND(V591&gt;175,W591&gt;=25,W591&lt;55),0.2,0)+IF(AND(V591&gt;175,W591&gt;=55,W591&lt;95),0.17,0)+IF(AND(V591&gt;175,W591&gt;=95),0.12,0),
IF(AF591="DoEVs1",IF(AND(V591&lt;20,W591&lt;55),0.3,0)+IF(AND(V591&lt;20,W591&gt;=55,W591&lt;105),0.23,0)+IF(AND(V591&lt;20,W591&gt;=105),0.17,0)+IF(AND(V591&gt;=20,V591&lt;40,W591&lt;45),0.3,0)+IF(AND(V591&gt;=20,V591&lt;40,W591&gt;=45,W591&lt;95),0.23,0)+IF(AND(V591&gt;=20,V591&lt;40,W591&gt;=95,W591&lt;=150),0.17,0)+IF(AND(V591&gt;=20,V591&lt;40,W591&gt;=150),0.12,0)+IF(AND(V591&gt;=40,V591&lt;75,W591&lt;35),0.3,0)+IF(AND(V591&gt;=40,V591&lt;75,W591&gt;=35,W591&lt;75),0.23,0)+IF(AND(V591&gt;=40,V591&lt;75,W591&gt;=75,W591&lt;120),0.17,0)+IF(AND(V591&gt;=40,V591&lt;75,W591&gt;=120),0.12,0)+IF(AND(V591&gt;=75,V591&lt;175,W591&lt;35),0.3,0)+IF(AND(V591&gt;=75,V591&lt;=175,W591&gt;=35,W591&lt;65),0.23,0)+IF(AND(V591&gt;=75,V591&lt;=175,W591&gt;=65,W591&lt;110),0.17,0)+IF(AND(V591&gt;=75,V591&lt;=175,W591&gt;=110),0.12,0)+IF(AND(V591&gt;175,W591&lt;25),0.3,0)+IF(AND(V591&gt;175,W591&gt;=25,W591&lt;55),0.23,0)+IF(AND(V591&gt;175,W591&gt;=55,W591&lt;95),0.17,0)+IF(AND(V591&gt;175,W591&gt;=95),0.12,0),
IF(AF591="DoEVsu",IF(AND(V591&lt;20,W591&lt;55),0.3,0)+IF(AND(V591&lt;20,W591&gt;=55,W591&lt;105),0.23,0)+IF(AND(V591&lt;20,W591&gt;=105),0.17,0)+IF(AND(V591&gt;=20,V591&lt;40,W591&lt;45),0.3,0)+IF(AND(V591&gt;=20,V591&lt;40,W591&gt;=45,W591&lt;95),0.23,0)+IF(AND(V591&gt;=20,V591&lt;40,W591&gt;=95,W591&lt;=250),0.17,0)+IF(AND(V591&gt;=20,V591&lt;40,W591&gt;=250),0.12,0)+IF(AND(V591&gt;=40,V591&lt;75,W591&lt;35),0.3,0)+IF(AND(V591&gt;=40,V591&lt;75,W591&gt;=35,W591&lt;75),0.23,0)+IF(AND(V591&gt;=40,V591&lt;75,W591&gt;=75,W591&lt;120),0.17,0)+IF(AND(V591&gt;=40,V591&lt;75,W591&gt;=120),0.12,0)+IF(AND(V591&gt;=75,V591&lt;175,W591&lt;35),0.3,0)+IF(AND(V591&gt;=75,V591&lt;=175,W591&gt;=35,W591&lt;65),0.23,0)+IF(AND(V591&gt;=75,V591&lt;=175,W591&gt;=65,W591&lt;110),0.17,0)+IF(AND(V591&gt;=75,V591&lt;=175,W591&gt;=110),0.12,0)+IF(AND(V591&gt;175,W591&lt;25),0.3,0)+IF(AND(V591&gt;175,W591&gt;=25,W591&lt;55),0.23,0)+IF(AND(V591&gt;175,W591&gt;=55,W591&lt;95),0.17,0)+IF(AND(V591&gt;175,W591&gt;=95),0.12,0),
IF(AF591="DoEVni",IF(AND(V591&lt;20,W591&lt;55),0.3,0)+IF(AND(V591&lt;20,W591&gt;=55,W591&lt;105),0.23,0)+IF(AND(V591&lt;20,W591&gt;=105),0.17,0)+IF(AND(V591&gt;=20,V591&lt;40,W591&lt;45),0.3,0)+IF(AND(V591&gt;=20,V591&lt;40,W591&gt;=45,W591&lt;95),0.23,0)+IF(AND(V591&gt;=20,V591&lt;40,W591&gt;=95,W591&lt;=200),0.17,0)+IF(AND(V591&gt;=20,V591&lt;40,W591&gt;=200),0.12,0)+IF(AND(V591&gt;=40,V591&lt;75,W591&lt;35),0.3,0)+IF(AND(V591&gt;=40,V591&lt;75,W591&gt;=35,W591&lt;75),0.23,0)+IF(AND(V591&gt;=40,V591&lt;75,W591&gt;=75,W591&lt;120),0.17,0)+IF(AND(V591&gt;=40,V591&lt;75,W591&gt;=120),0.12,0)+IF(AND(V591&gt;=75,V591&lt;175,W591&lt;35),0.3,0)+IF(AND(V591&gt;=75,V591&lt;=175,W591&gt;=35,W591&lt;65),0.23,0)+IF(AND(V591&gt;=75,V591&lt;=175,W591&gt;=65,W591&lt;110),0.17,0)+IF(AND(V591&gt;=75,V591&lt;=175,W591&gt;=110),0.12,0)+IF(AND(V591&gt;175,W591&lt;25),0.3,0)+IF(AND(V591&gt;175,W591&gt;=25,W591&lt;55),0.23,0)+IF(AND(V591&gt;175,W591&gt;=55,W591&lt;95),0.17,0)+IF(AND(V591&gt;175,W591&gt;=95),0.12,0),
IF(AF591="DoEVLo",IF(AND(V591&lt;20,W591&lt;55),0.25,0)+IF(AND(V591&lt;20,W591&gt;=55,W591&lt;105),0.2,0)+IF(AND(V591&lt;20,W591&gt;=105),0.15,0)+IF(AND(V591&gt;=20,V591&lt;40,W591&lt;45),0.25,0)+IF(AND(V591&gt;=20,V591&lt;40,W591&gt;=45,W591&lt;95),0.2,0)+IF(AND(V591&gt;=20,V591&lt;40,W591&gt;=95),0.15,0)+IF(AND(V591&gt;=40,V591&lt;75,W591&lt;35),0.25,0)+IF(AND(V591&gt;=40,V591&lt;75,W591&gt;=35,W591&lt;75),0.2,0)+IF(AND(V591&gt;=40,V591&lt;75,W591&gt;=75,W591&lt;120),0.15,0)+IF(AND(V591&gt;=40,V591&lt;75,W591&gt;=120),0.1,0)+IF(AND(V591&gt;=75,V591&lt;175,W591&lt;35),0.25,0)+IF(AND(V591&gt;=75,V591&lt;=175,W591&gt;=35,W591&lt;65),0.2,0)+IF(AND(V591&gt;=75,V591&lt;=175,W591&gt;=65,W591&lt;110),0.15,0)+IF(AND(V591&gt;=75,V591&lt;=175,W591&gt;=110),0.1,0)+IF(AND(V591&gt;175,W591&lt;25),0.25,0)+IF(AND(V591&gt;175,W591&gt;=25,W591&lt;55),0.2,0)+IF(AND(V591&gt;175,W591&gt;=55,W591&lt;95),0.15,0)+IF(AND(V591&gt;175,W591&gt;=95),0.1,0)))))))))))))))))</f>
        <v>0.15</v>
      </c>
      <c r="Y591" s="30">
        <f>IF(AG591="None",0,IF(AG591="Fix5",0.05, IF(AG591="Fix6.25",0.0625,IF(AG591="Fix3.75",0.0375,IF(AG591="Fix10",0.1,IF(AG591="Fix3",0.03,0))))))</f>
        <v>0</v>
      </c>
      <c r="Z591" s="35">
        <f>T591-AA591-AB591</f>
        <v>5921</v>
      </c>
      <c r="AA591" s="60">
        <v>1045</v>
      </c>
      <c r="AB591" s="36">
        <f>IF(AD591="EUR",((T591-R591)*Y591)*U591+(R591*Y591),(T591*Y591))</f>
        <v>0</v>
      </c>
      <c r="AC591" s="37" t="b">
        <v>1</v>
      </c>
      <c r="AD591" s="61" t="s">
        <v>38</v>
      </c>
      <c r="AE591" s="83" t="s">
        <v>38</v>
      </c>
      <c r="AF591" s="37" t="str">
        <f t="array" ref="AF591">INDEX('Deal Info'!D:D, MATCH(A591,'Deal Info'!A:A, 0))</f>
        <v>Fix15</v>
      </c>
      <c r="AG591" s="38" t="str">
        <f t="array" ref="AG591">INDEX('Deal Info'!G:G, MATCH(A591,'Deal Info'!A:A, 0))</f>
        <v>None</v>
      </c>
    </row>
    <row r="592" spans="1:33" ht="14.25" hidden="1" x14ac:dyDescent="0.2">
      <c r="A592" s="18" t="str">
        <f t="array" ref="A592">IF(G592='Room Info'!$B$1, INDEX('Room Info'!$A$2:$A2446, MATCH(B592,'Room Info'!$B$2:$B2446, 0)),IF(G592='Room Info'!$C$1, INDEX('Room Info'!$A$2:$A2446, MATCH(B592,'Room Info'!$C$2:$C2446, 0)),IF(G592='Room Info'!$D$1, INDEX('Room Info'!$A$2:$A2446, MATCH(B592,'Room Info'!$D$2:$D2446, 0)),IF(G592='Room Info'!$E$1, INDEX('Room Info'!$A$2:$A2446, MATCH(B592,'Room Info'!$E$2:$E2446, 0)),IF(G592='Room Info'!$F$1, INDEX('Room Info'!$A$2:$A2446, MATCH(B592,'Room Info'!$F$2:$F2446, 0)),IF(G592='Room Info'!$H$1, INDEX('Room Info'!$A$2:$A2446, MATCH(B592,'Room Info'!$H$2:$H2446, 0)),IF(G592='Room Info'!$G$1, INDEX('Room Info'!$A$2:$A2446, MATCH(B592,'Room Info'!$G$2:$G2446, 0)))))))))</f>
        <v>fraum@rta</v>
      </c>
      <c r="B592" s="45" t="s">
        <v>152</v>
      </c>
      <c r="C592" s="46">
        <v>44652</v>
      </c>
      <c r="D592" s="46">
        <v>44681</v>
      </c>
      <c r="E592" s="47">
        <v>44652</v>
      </c>
      <c r="F592" s="48" t="s">
        <v>49</v>
      </c>
      <c r="G592" s="45" t="s">
        <v>80</v>
      </c>
      <c r="H592" s="49" t="s">
        <v>70</v>
      </c>
      <c r="I592" s="49" t="s">
        <v>81</v>
      </c>
      <c r="J592" s="50">
        <v>100</v>
      </c>
      <c r="K592" s="51">
        <v>14189</v>
      </c>
      <c r="L592" s="52">
        <v>-70000</v>
      </c>
      <c r="M592" s="53">
        <v>73254</v>
      </c>
      <c r="N592" s="28">
        <f>K592*J592</f>
        <v>1418900</v>
      </c>
      <c r="O592" s="54">
        <v>159427</v>
      </c>
      <c r="P592" s="29">
        <v>11.235957429999999</v>
      </c>
      <c r="Q592" s="55"/>
      <c r="R592" s="31">
        <f>M592+Q592</f>
        <v>73254</v>
      </c>
      <c r="S592" s="56">
        <v>-59790</v>
      </c>
      <c r="T592" s="32">
        <f>R592+S592+IF(F592="Without EV deal",L592,0)</f>
        <v>13464</v>
      </c>
      <c r="U592" s="57">
        <v>1</v>
      </c>
      <c r="V592" s="58"/>
      <c r="W592" s="58"/>
      <c r="X592" s="30">
        <f>IF(AF592="DoEV",IF(AND(V592&lt;20,W592&lt;55),0.3,0)+IF(AND(V592&lt;20,W592&gt;=55,W592&lt;105),0.23,0)+IF(AND(V592&lt;20,W592&gt;=105),0.17,0)+IF(AND(V592&gt;=20,V592&lt;40,W592&lt;45),0.3,0)+IF(AND(V592&gt;=20,V592&lt;40,W592&gt;=45,W592&lt;95),0.23,0)+IF(AND(V592&gt;=20,V592&lt;40,W592&gt;=95),0.17,0)+IF(AND(V592&gt;=40,V592&lt;75,W592&lt;35),0.3,0)+IF(AND(V592&gt;=40,V592&lt;75,W592&gt;=35,W592&lt;75),0.23,0)+IF(AND(V592&gt;=40,V592&lt;75,W592&gt;=75,W592&lt;120),0.17,0)+IF(AND(V592&gt;=40,V592&lt;75,W592&gt;=120),0.12,0)+IF(AND(V592&gt;=75,V592&lt;175,W592&lt;35),0.3,0)+IF(AND(V592&gt;=75,V592&lt;=175,W592&gt;=35,W592&lt;65),0.23,0)+IF(AND(V592&gt;=75,V592&lt;=175,W592&gt;=65,W592&lt;110),0.17,0)+IF(AND(V592&gt;=75,V592&lt;=175,W592&gt;=110),0.12,0)+IF(AND(V592&gt;175,W592&lt;25),0.3,0)+IF(AND(V592&gt;175,W592&gt;=25,W592&lt;55),0.23,0)+IF(AND(V592&gt;175,W592&gt;=55,W592&lt;95),0.17,0)+IF(AND(V592&gt;175,W592&gt;=95),0.12,0),
IF(AF592="Fix15",0.15,
IF(AF592="Fix18.75",0.1875,
IF(AF592="Fix11.25",0.1125,
IF(AF592="Fix10",0.1,
IF(AF592="Fix9",0.09,
IF(AF592="DoEV2017",IF(AND(W592&lt;74),0.2,0)+IF(AND(W592&gt;=74),0.17,0),
IF(AF592="SF",IF(AND(V592&lt;20,W592&lt;89),0.3,0)+IF(AND(V592&lt;20,W592&gt;=89),0.25,0)+IF(AND(V592&gt;=20,V592&lt;40,W592&lt;74),0.3,0)+IF(AND(V592&gt;=20,V592&lt;40,W592&gt;=75),0.22,0)+IF(AND(V592&gt;=40,V592&lt;75,W592&lt;75),0.26,0)+IF(AND(V592&gt;=40,V592&lt;75,W592&gt;=75),0.22,0)+IF(V592&gt;=75,0.22,0),
IF(AF592="DoEVold",IF(AND(V592&lt;40,W592&lt;35),0.35,0)+IF(AND(V592&lt;40,W592&gt;=35,W592&lt;75),0.25,0)+IF(AND(V592&lt;40,W592&gt;=75),0.17,0)+IF(AND(V592&gt;=40,V592&lt;75,W592&lt;25),0.35,0)+IF(AND(V592&gt;=40,V592&lt;75,W592&gt;=25,W592&lt;65),0.25,0)+IF(AND(V592&gt;=40,V592&lt;75,W592&gt;=65,W592&lt;100),0.17,0)+IF(AND(V592&gt;=40,V592&lt;75,W592&gt;=100),0.1,0)+IF(AND(V592&gt;=75,W592&lt;25),0.35,0)+IF(AND(V592&gt;=75,W592&gt;=25,W592&lt;60),0.25,0)+IF(AND(V592&gt;=75,W592&gt;=60,W592&lt;95),0.17,0)+IF(AND(V592&gt;=75,W592&gt;=95),0.1,0),
IF(AF592="DoEVold15",IF(AND(V592&lt;=40,W592&lt;35),0.35,0)+IF(AND(V592&lt;=40,W592&gt;=35,W592&lt;75),0.25,0)+IF(AND(V592&lt;=40,W592&gt;=75,W592&lt;120),0.17,0)+IF(AND(V592&lt;=40,W592&gt;=120),0.15,0)+IF(AND(V592&gt;40,V592&lt;75,W592&lt;25),0.35,0)+IF(AND(V592&gt;=40,V592&lt;75,W592&gt;=25,W592&lt;65),0.25,0)+IF(AND(V592&gt;=40,V592&lt;75,W592&gt;=65,W592&lt;100),0.17,0)+IF(AND(V592&gt;=40,V592&lt;75,W592&gt;=100),0.1,0)+IF(AND(V592&gt;=75,W592&lt;25),0.35,0)+IF(AND(V592&gt;=75,W592&gt;=25,W592&lt;60),0.25,0)+IF(AND(V592&gt;=75,W592&gt;=60,W592&lt;95),0.17,0)+IF(AND(V592&gt;=75,W592&gt;=95),0.1,0),
IF(AF592="DoEVba",IF(AND(V592&lt;20,W592&lt;105),0.2,0)+IF(AND(V592&lt;20,W592&gt;=105),0.15,0)+IF(AND(V592&gt;=20,V592&lt;40,W592&lt;95),0.2,0)+IF(AND(V592&gt;=20,V592&lt;40,W592&gt;=95,W592&lt;150),0.15,0)+IF(AND(V592&gt;=20,V592&lt;40,W592&gt;=150),0.12,0)+IF(AND(V592&gt;=40,V592&lt;75,W592&lt;75),0.2,0)+IF(AND(V592&gt;=40,V592&lt;75,W592&gt;=75,W592&lt;120),0.15,0)+IF(AND(V592&gt;=40,V592&lt;75,W592&gt;=120),0.12,0)+IF(AND(V592&gt;=75,V592&lt;175,W592&lt;65),0.2,0)+IF(AND(V592&gt;=75,V592&lt;175,W592&gt;=65,W592&lt;110),0.15,0)+IF(AND(V592&gt;=75,V592&lt;175,W592&gt;=110),0.12,0)+IF(AND(V592&gt;=175,W592&lt;55),0.2,0)+IF(AND(V592&gt;=175,W592&gt;=55,W592&lt;95),0.15,0)+IF(AND(V592&gt;=175,W592&gt;=95),0.12,0),
IF(AF592="DoEVku",IF(AND(V592&lt;20,W592&lt;55),0.23,0)+IF(AND(V592&lt;20,W592&gt;=55,W592&lt;105),0.2,0)+IF(AND(V592&lt;20,W592&gt;=105),0.17,0)+IF(AND(V592&gt;=20,V592&lt;40,W592&lt;45),0.23,0)+IF(AND(V592&gt;=20,V592&lt;40,W592&gt;=45,W592&lt;95),0.2,0)+IF(AND(V592&gt;=20,V592&lt;40,W592&gt;=95,W592&lt;=150),0.17,0)+IF(AND(V592&gt;=20,V592&lt;40,W592&gt;=150),0.12,0)+IF(AND(V592&gt;=40,V592&lt;75,W592&lt;35),0.23,0)+IF(AND(V592&gt;=40,V592&lt;75,W592&gt;=35,W592&lt;75),0.2,0)+IF(AND(V592&gt;=40,V592&lt;75,W592&gt;=75,W592&lt;120),0.17,0)+IF(AND(V592&gt;=40,V592&lt;75,W592&gt;=120),0.12,0)+IF(AND(V592&gt;=75,V592&lt;175,W592&lt;35),0.23,0)+IF(AND(V592&gt;=75,V592&lt;=175,W592&gt;=35,W592&lt;65),0.2,0)+IF(AND(V592&gt;=75,V592&lt;=175,W592&gt;=65,W592&lt;110),0.17,0)+IF(AND(V592&gt;=75,V592&lt;=175,W592&gt;=110),0.12,0)+IF(AND(V592&gt;175,W592&lt;25),0.23,0)+IF(AND(V592&gt;175,W592&gt;=25,W592&lt;55),0.2,0)+IF(AND(V592&gt;175,W592&gt;=55,W592&lt;95),0.17,0)+IF(AND(V592&gt;175,W592&gt;=95),0.12,0),
IF(AF592="DoEVs1",IF(AND(V592&lt;20,W592&lt;55),0.3,0)+IF(AND(V592&lt;20,W592&gt;=55,W592&lt;105),0.23,0)+IF(AND(V592&lt;20,W592&gt;=105),0.17,0)+IF(AND(V592&gt;=20,V592&lt;40,W592&lt;45),0.3,0)+IF(AND(V592&gt;=20,V592&lt;40,W592&gt;=45,W592&lt;95),0.23,0)+IF(AND(V592&gt;=20,V592&lt;40,W592&gt;=95,W592&lt;=150),0.17,0)+IF(AND(V592&gt;=20,V592&lt;40,W592&gt;=150),0.12,0)+IF(AND(V592&gt;=40,V592&lt;75,W592&lt;35),0.3,0)+IF(AND(V592&gt;=40,V592&lt;75,W592&gt;=35,W592&lt;75),0.23,0)+IF(AND(V592&gt;=40,V592&lt;75,W592&gt;=75,W592&lt;120),0.17,0)+IF(AND(V592&gt;=40,V592&lt;75,W592&gt;=120),0.12,0)+IF(AND(V592&gt;=75,V592&lt;175,W592&lt;35),0.3,0)+IF(AND(V592&gt;=75,V592&lt;=175,W592&gt;=35,W592&lt;65),0.23,0)+IF(AND(V592&gt;=75,V592&lt;=175,W592&gt;=65,W592&lt;110),0.17,0)+IF(AND(V592&gt;=75,V592&lt;=175,W592&gt;=110),0.12,0)+IF(AND(V592&gt;175,W592&lt;25),0.3,0)+IF(AND(V592&gt;175,W592&gt;=25,W592&lt;55),0.23,0)+IF(AND(V592&gt;175,W592&gt;=55,W592&lt;95),0.17,0)+IF(AND(V592&gt;175,W592&gt;=95),0.12,0),
IF(AF592="DoEVsu",IF(AND(V592&lt;20,W592&lt;55),0.3,0)+IF(AND(V592&lt;20,W592&gt;=55,W592&lt;105),0.23,0)+IF(AND(V592&lt;20,W592&gt;=105),0.17,0)+IF(AND(V592&gt;=20,V592&lt;40,W592&lt;45),0.3,0)+IF(AND(V592&gt;=20,V592&lt;40,W592&gt;=45,W592&lt;95),0.23,0)+IF(AND(V592&gt;=20,V592&lt;40,W592&gt;=95,W592&lt;=250),0.17,0)+IF(AND(V592&gt;=20,V592&lt;40,W592&gt;=250),0.12,0)+IF(AND(V592&gt;=40,V592&lt;75,W592&lt;35),0.3,0)+IF(AND(V592&gt;=40,V592&lt;75,W592&gt;=35,W592&lt;75),0.23,0)+IF(AND(V592&gt;=40,V592&lt;75,W592&gt;=75,W592&lt;120),0.17,0)+IF(AND(V592&gt;=40,V592&lt;75,W592&gt;=120),0.12,0)+IF(AND(V592&gt;=75,V592&lt;175,W592&lt;35),0.3,0)+IF(AND(V592&gt;=75,V592&lt;=175,W592&gt;=35,W592&lt;65),0.23,0)+IF(AND(V592&gt;=75,V592&lt;=175,W592&gt;=65,W592&lt;110),0.17,0)+IF(AND(V592&gt;=75,V592&lt;=175,W592&gt;=110),0.12,0)+IF(AND(V592&gt;175,W592&lt;25),0.3,0)+IF(AND(V592&gt;175,W592&gt;=25,W592&lt;55),0.23,0)+IF(AND(V592&gt;175,W592&gt;=55,W592&lt;95),0.17,0)+IF(AND(V592&gt;175,W592&gt;=95),0.12,0),
IF(AF592="DoEVni",IF(AND(V592&lt;20,W592&lt;55),0.3,0)+IF(AND(V592&lt;20,W592&gt;=55,W592&lt;105),0.23,0)+IF(AND(V592&lt;20,W592&gt;=105),0.17,0)+IF(AND(V592&gt;=20,V592&lt;40,W592&lt;45),0.3,0)+IF(AND(V592&gt;=20,V592&lt;40,W592&gt;=45,W592&lt;95),0.23,0)+IF(AND(V592&gt;=20,V592&lt;40,W592&gt;=95,W592&lt;=200),0.17,0)+IF(AND(V592&gt;=20,V592&lt;40,W592&gt;=200),0.12,0)+IF(AND(V592&gt;=40,V592&lt;75,W592&lt;35),0.3,0)+IF(AND(V592&gt;=40,V592&lt;75,W592&gt;=35,W592&lt;75),0.23,0)+IF(AND(V592&gt;=40,V592&lt;75,W592&gt;=75,W592&lt;120),0.17,0)+IF(AND(V592&gt;=40,V592&lt;75,W592&gt;=120),0.12,0)+IF(AND(V592&gt;=75,V592&lt;175,W592&lt;35),0.3,0)+IF(AND(V592&gt;=75,V592&lt;=175,W592&gt;=35,W592&lt;65),0.23,0)+IF(AND(V592&gt;=75,V592&lt;=175,W592&gt;=65,W592&lt;110),0.17,0)+IF(AND(V592&gt;=75,V592&lt;=175,W592&gt;=110),0.12,0)+IF(AND(V592&gt;175,W592&lt;25),0.3,0)+IF(AND(V592&gt;175,W592&gt;=25,W592&lt;55),0.23,0)+IF(AND(V592&gt;175,W592&gt;=55,W592&lt;95),0.17,0)+IF(AND(V592&gt;175,W592&gt;=95),0.12,0),
IF(AF592="DoEVLo",IF(AND(V592&lt;20,W592&lt;55),0.25,0)+IF(AND(V592&lt;20,W592&gt;=55,W592&lt;105),0.2,0)+IF(AND(V592&lt;20,W592&gt;=105),0.15,0)+IF(AND(V592&gt;=20,V592&lt;40,W592&lt;45),0.25,0)+IF(AND(V592&gt;=20,V592&lt;40,W592&gt;=45,W592&lt;95),0.2,0)+IF(AND(V592&gt;=20,V592&lt;40,W592&gt;=95),0.15,0)+IF(AND(V592&gt;=40,V592&lt;75,W592&lt;35),0.25,0)+IF(AND(V592&gt;=40,V592&lt;75,W592&gt;=35,W592&lt;75),0.2,0)+IF(AND(V592&gt;=40,V592&lt;75,W592&gt;=75,W592&lt;120),0.15,0)+IF(AND(V592&gt;=40,V592&lt;75,W592&gt;=120),0.1,0)+IF(AND(V592&gt;=75,V592&lt;175,W592&lt;35),0.25,0)+IF(AND(V592&gt;=75,V592&lt;=175,W592&gt;=35,W592&lt;65),0.2,0)+IF(AND(V592&gt;=75,V592&lt;=175,W592&gt;=65,W592&lt;110),0.15,0)+IF(AND(V592&gt;=75,V592&lt;=175,W592&gt;=110),0.1,0)+IF(AND(V592&gt;175,W592&lt;25),0.25,0)+IF(AND(V592&gt;175,W592&gt;=25,W592&lt;55),0.2,0)+IF(AND(V592&gt;175,W592&gt;=55,W592&lt;95),0.15,0)+IF(AND(V592&gt;175,W592&gt;=95),0.1,0)))))))))))))))))</f>
        <v>0.15</v>
      </c>
      <c r="Y592" s="30">
        <f>IF(AG592="None",0,IF(AG592="Fix5",0.05, IF(AG592="Fix6.25",0.0625,IF(AG592="Fix3.75",0.0375,IF(AG592="Fix10",0.1,IF(AG592="Fix3",0.03,0))))))</f>
        <v>0</v>
      </c>
      <c r="Z592" s="35">
        <f>T592-AA592-AB592</f>
        <v>11444</v>
      </c>
      <c r="AA592" s="60">
        <v>2020</v>
      </c>
      <c r="AB592" s="36">
        <f>IF(AD592="EUR",((T592-R592)*Y592)*U592+(R592*Y592),(T592*Y592))</f>
        <v>0</v>
      </c>
      <c r="AC592" s="37" t="b">
        <v>1</v>
      </c>
      <c r="AD592" s="61" t="s">
        <v>38</v>
      </c>
      <c r="AE592" s="83" t="s">
        <v>38</v>
      </c>
      <c r="AF592" s="37" t="str">
        <f t="array" ref="AF592">INDEX('Deal Info'!D:D, MATCH(A592,'Deal Info'!A:A, 0))</f>
        <v>Fix15</v>
      </c>
      <c r="AG592" s="38" t="str">
        <f t="array" ref="AG592">INDEX('Deal Info'!G:G, MATCH(A592,'Deal Info'!A:A, 0))</f>
        <v>None</v>
      </c>
    </row>
    <row r="593" spans="1:33" ht="14.25" hidden="1" x14ac:dyDescent="0.2">
      <c r="A593" s="18" t="str">
        <f t="array" ref="A593">IF(G593='Room Info'!$B$1, INDEX('Room Info'!$A$2:$A2446, MATCH(B593,'Room Info'!$B$2:$B2446, 0)),IF(G593='Room Info'!$C$1, INDEX('Room Info'!$A$2:$A2446, MATCH(B593,'Room Info'!$C$2:$C2446, 0)),IF(G593='Room Info'!$D$1, INDEX('Room Info'!$A$2:$A2446, MATCH(B593,'Room Info'!$D$2:$D2446, 0)),IF(G593='Room Info'!$E$1, INDEX('Room Info'!$A$2:$A2446, MATCH(B593,'Room Info'!$E$2:$E2446, 0)),IF(G593='Room Info'!$F$1, INDEX('Room Info'!$A$2:$A2446, MATCH(B593,'Room Info'!$F$2:$F2446, 0)),IF(G593='Room Info'!$H$1, INDEX('Room Info'!$A$2:$A2446, MATCH(B593,'Room Info'!$H$2:$H2446, 0)),IF(G593='Room Info'!$G$1, INDEX('Room Info'!$A$2:$A2446, MATCH(B593,'Room Info'!$G$2:$G2446, 0)))))))))</f>
        <v>fraum@rta</v>
      </c>
      <c r="B593" s="54" t="s">
        <v>152</v>
      </c>
      <c r="C593" s="46">
        <v>44652</v>
      </c>
      <c r="D593" s="46">
        <v>44681</v>
      </c>
      <c r="E593" s="47">
        <v>44652</v>
      </c>
      <c r="F593" s="48" t="s">
        <v>41</v>
      </c>
      <c r="G593" s="54" t="s">
        <v>80</v>
      </c>
      <c r="H593" s="49" t="s">
        <v>153</v>
      </c>
      <c r="I593" s="49" t="s">
        <v>81</v>
      </c>
      <c r="J593" s="50">
        <v>200</v>
      </c>
      <c r="K593" s="51">
        <v>1129</v>
      </c>
      <c r="L593" s="52">
        <v>-26400</v>
      </c>
      <c r="M593" s="53">
        <v>11657</v>
      </c>
      <c r="N593" s="28">
        <f>K593*J593</f>
        <v>225800</v>
      </c>
      <c r="O593" s="54">
        <v>-141</v>
      </c>
      <c r="P593" s="29">
        <v>-0.1248892826</v>
      </c>
      <c r="Q593" s="55"/>
      <c r="R593" s="31">
        <f>M593+Q593</f>
        <v>11657</v>
      </c>
      <c r="S593" s="56"/>
      <c r="T593" s="32">
        <f>R593+S593+IF(F593="Without EV deal",L593,0)</f>
        <v>-14743</v>
      </c>
      <c r="U593" s="57">
        <v>1</v>
      </c>
      <c r="V593" s="58"/>
      <c r="W593" s="58"/>
      <c r="X593" s="30">
        <f>IF(AF593="DoEV",IF(AND(V593&lt;20,W593&lt;55),0.3,0)+IF(AND(V593&lt;20,W593&gt;=55,W593&lt;105),0.23,0)+IF(AND(V593&lt;20,W593&gt;=105),0.17,0)+IF(AND(V593&gt;=20,V593&lt;40,W593&lt;45),0.3,0)+IF(AND(V593&gt;=20,V593&lt;40,W593&gt;=45,W593&lt;95),0.23,0)+IF(AND(V593&gt;=20,V593&lt;40,W593&gt;=95),0.17,0)+IF(AND(V593&gt;=40,V593&lt;75,W593&lt;35),0.3,0)+IF(AND(V593&gt;=40,V593&lt;75,W593&gt;=35,W593&lt;75),0.23,0)+IF(AND(V593&gt;=40,V593&lt;75,W593&gt;=75,W593&lt;120),0.17,0)+IF(AND(V593&gt;=40,V593&lt;75,W593&gt;=120),0.12,0)+IF(AND(V593&gt;=75,V593&lt;175,W593&lt;35),0.3,0)+IF(AND(V593&gt;=75,V593&lt;=175,W593&gt;=35,W593&lt;65),0.23,0)+IF(AND(V593&gt;=75,V593&lt;=175,W593&gt;=65,W593&lt;110),0.17,0)+IF(AND(V593&gt;=75,V593&lt;=175,W593&gt;=110),0.12,0)+IF(AND(V593&gt;175,W593&lt;25),0.3,0)+IF(AND(V593&gt;175,W593&gt;=25,W593&lt;55),0.23,0)+IF(AND(V593&gt;175,W593&gt;=55,W593&lt;95),0.17,0)+IF(AND(V593&gt;175,W593&gt;=95),0.12,0),
IF(AF593="Fix15",0.15,
IF(AF593="Fix18.75",0.1875,
IF(AF593="Fix11.25",0.1125,
IF(AF593="Fix10",0.1,
IF(AF593="Fix9",0.09,
IF(AF593="DoEV2017",IF(AND(W593&lt;74),0.2,0)+IF(AND(W593&gt;=74),0.17,0),
IF(AF593="SF",IF(AND(V593&lt;20,W593&lt;89),0.3,0)+IF(AND(V593&lt;20,W593&gt;=89),0.25,0)+IF(AND(V593&gt;=20,V593&lt;40,W593&lt;74),0.3,0)+IF(AND(V593&gt;=20,V593&lt;40,W593&gt;=75),0.22,0)+IF(AND(V593&gt;=40,V593&lt;75,W593&lt;75),0.26,0)+IF(AND(V593&gt;=40,V593&lt;75,W593&gt;=75),0.22,0)+IF(V593&gt;=75,0.22,0),
IF(AF593="DoEVold",IF(AND(V593&lt;40,W593&lt;35),0.35,0)+IF(AND(V593&lt;40,W593&gt;=35,W593&lt;75),0.25,0)+IF(AND(V593&lt;40,W593&gt;=75),0.17,0)+IF(AND(V593&gt;=40,V593&lt;75,W593&lt;25),0.35,0)+IF(AND(V593&gt;=40,V593&lt;75,W593&gt;=25,W593&lt;65),0.25,0)+IF(AND(V593&gt;=40,V593&lt;75,W593&gt;=65,W593&lt;100),0.17,0)+IF(AND(V593&gt;=40,V593&lt;75,W593&gt;=100),0.1,0)+IF(AND(V593&gt;=75,W593&lt;25),0.35,0)+IF(AND(V593&gt;=75,W593&gt;=25,W593&lt;60),0.25,0)+IF(AND(V593&gt;=75,W593&gt;=60,W593&lt;95),0.17,0)+IF(AND(V593&gt;=75,W593&gt;=95),0.1,0),
IF(AF593="DoEVold15",IF(AND(V593&lt;=40,W593&lt;35),0.35,0)+IF(AND(V593&lt;=40,W593&gt;=35,W593&lt;75),0.25,0)+IF(AND(V593&lt;=40,W593&gt;=75,W593&lt;120),0.17,0)+IF(AND(V593&lt;=40,W593&gt;=120),0.15,0)+IF(AND(V593&gt;40,V593&lt;75,W593&lt;25),0.35,0)+IF(AND(V593&gt;=40,V593&lt;75,W593&gt;=25,W593&lt;65),0.25,0)+IF(AND(V593&gt;=40,V593&lt;75,W593&gt;=65,W593&lt;100),0.17,0)+IF(AND(V593&gt;=40,V593&lt;75,W593&gt;=100),0.1,0)+IF(AND(V593&gt;=75,W593&lt;25),0.35,0)+IF(AND(V593&gt;=75,W593&gt;=25,W593&lt;60),0.25,0)+IF(AND(V593&gt;=75,W593&gt;=60,W593&lt;95),0.17,0)+IF(AND(V593&gt;=75,W593&gt;=95),0.1,0),
IF(AF593="DoEVba",IF(AND(V593&lt;20,W593&lt;105),0.2,0)+IF(AND(V593&lt;20,W593&gt;=105),0.15,0)+IF(AND(V593&gt;=20,V593&lt;40,W593&lt;95),0.2,0)+IF(AND(V593&gt;=20,V593&lt;40,W593&gt;=95,W593&lt;150),0.15,0)+IF(AND(V593&gt;=20,V593&lt;40,W593&gt;=150),0.12,0)+IF(AND(V593&gt;=40,V593&lt;75,W593&lt;75),0.2,0)+IF(AND(V593&gt;=40,V593&lt;75,W593&gt;=75,W593&lt;120),0.15,0)+IF(AND(V593&gt;=40,V593&lt;75,W593&gt;=120),0.12,0)+IF(AND(V593&gt;=75,V593&lt;175,W593&lt;65),0.2,0)+IF(AND(V593&gt;=75,V593&lt;175,W593&gt;=65,W593&lt;110),0.15,0)+IF(AND(V593&gt;=75,V593&lt;175,W593&gt;=110),0.12,0)+IF(AND(V593&gt;=175,W593&lt;55),0.2,0)+IF(AND(V593&gt;=175,W593&gt;=55,W593&lt;95),0.15,0)+IF(AND(V593&gt;=175,W593&gt;=95),0.12,0),
IF(AF593="DoEVku",IF(AND(V593&lt;20,W593&lt;55),0.23,0)+IF(AND(V593&lt;20,W593&gt;=55,W593&lt;105),0.2,0)+IF(AND(V593&lt;20,W593&gt;=105),0.17,0)+IF(AND(V593&gt;=20,V593&lt;40,W593&lt;45),0.23,0)+IF(AND(V593&gt;=20,V593&lt;40,W593&gt;=45,W593&lt;95),0.2,0)+IF(AND(V593&gt;=20,V593&lt;40,W593&gt;=95,W593&lt;=150),0.17,0)+IF(AND(V593&gt;=20,V593&lt;40,W593&gt;=150),0.12,0)+IF(AND(V593&gt;=40,V593&lt;75,W593&lt;35),0.23,0)+IF(AND(V593&gt;=40,V593&lt;75,W593&gt;=35,W593&lt;75),0.2,0)+IF(AND(V593&gt;=40,V593&lt;75,W593&gt;=75,W593&lt;120),0.17,0)+IF(AND(V593&gt;=40,V593&lt;75,W593&gt;=120),0.12,0)+IF(AND(V593&gt;=75,V593&lt;175,W593&lt;35),0.23,0)+IF(AND(V593&gt;=75,V593&lt;=175,W593&gt;=35,W593&lt;65),0.2,0)+IF(AND(V593&gt;=75,V593&lt;=175,W593&gt;=65,W593&lt;110),0.17,0)+IF(AND(V593&gt;=75,V593&lt;=175,W593&gt;=110),0.12,0)+IF(AND(V593&gt;175,W593&lt;25),0.23,0)+IF(AND(V593&gt;175,W593&gt;=25,W593&lt;55),0.2,0)+IF(AND(V593&gt;175,W593&gt;=55,W593&lt;95),0.17,0)+IF(AND(V593&gt;175,W593&gt;=95),0.12,0),
IF(AF593="DoEVs1",IF(AND(V593&lt;20,W593&lt;55),0.3,0)+IF(AND(V593&lt;20,W593&gt;=55,W593&lt;105),0.23,0)+IF(AND(V593&lt;20,W593&gt;=105),0.17,0)+IF(AND(V593&gt;=20,V593&lt;40,W593&lt;45),0.3,0)+IF(AND(V593&gt;=20,V593&lt;40,W593&gt;=45,W593&lt;95),0.23,0)+IF(AND(V593&gt;=20,V593&lt;40,W593&gt;=95,W593&lt;=150),0.17,0)+IF(AND(V593&gt;=20,V593&lt;40,W593&gt;=150),0.12,0)+IF(AND(V593&gt;=40,V593&lt;75,W593&lt;35),0.3,0)+IF(AND(V593&gt;=40,V593&lt;75,W593&gt;=35,W593&lt;75),0.23,0)+IF(AND(V593&gt;=40,V593&lt;75,W593&gt;=75,W593&lt;120),0.17,0)+IF(AND(V593&gt;=40,V593&lt;75,W593&gt;=120),0.12,0)+IF(AND(V593&gt;=75,V593&lt;175,W593&lt;35),0.3,0)+IF(AND(V593&gt;=75,V593&lt;=175,W593&gt;=35,W593&lt;65),0.23,0)+IF(AND(V593&gt;=75,V593&lt;=175,W593&gt;=65,W593&lt;110),0.17,0)+IF(AND(V593&gt;=75,V593&lt;=175,W593&gt;=110),0.12,0)+IF(AND(V593&gt;175,W593&lt;25),0.3,0)+IF(AND(V593&gt;175,W593&gt;=25,W593&lt;55),0.23,0)+IF(AND(V593&gt;175,W593&gt;=55,W593&lt;95),0.17,0)+IF(AND(V593&gt;175,W593&gt;=95),0.12,0),
IF(AF593="DoEVsu",IF(AND(V593&lt;20,W593&lt;55),0.3,0)+IF(AND(V593&lt;20,W593&gt;=55,W593&lt;105),0.23,0)+IF(AND(V593&lt;20,W593&gt;=105),0.17,0)+IF(AND(V593&gt;=20,V593&lt;40,W593&lt;45),0.3,0)+IF(AND(V593&gt;=20,V593&lt;40,W593&gt;=45,W593&lt;95),0.23,0)+IF(AND(V593&gt;=20,V593&lt;40,W593&gt;=95,W593&lt;=250),0.17,0)+IF(AND(V593&gt;=20,V593&lt;40,W593&gt;=250),0.12,0)+IF(AND(V593&gt;=40,V593&lt;75,W593&lt;35),0.3,0)+IF(AND(V593&gt;=40,V593&lt;75,W593&gt;=35,W593&lt;75),0.23,0)+IF(AND(V593&gt;=40,V593&lt;75,W593&gt;=75,W593&lt;120),0.17,0)+IF(AND(V593&gt;=40,V593&lt;75,W593&gt;=120),0.12,0)+IF(AND(V593&gt;=75,V593&lt;175,W593&lt;35),0.3,0)+IF(AND(V593&gt;=75,V593&lt;=175,W593&gt;=35,W593&lt;65),0.23,0)+IF(AND(V593&gt;=75,V593&lt;=175,W593&gt;=65,W593&lt;110),0.17,0)+IF(AND(V593&gt;=75,V593&lt;=175,W593&gt;=110),0.12,0)+IF(AND(V593&gt;175,W593&lt;25),0.3,0)+IF(AND(V593&gt;175,W593&gt;=25,W593&lt;55),0.23,0)+IF(AND(V593&gt;175,W593&gt;=55,W593&lt;95),0.17,0)+IF(AND(V593&gt;175,W593&gt;=95),0.12,0),
IF(AF593="DoEVni",IF(AND(V593&lt;20,W593&lt;55),0.3,0)+IF(AND(V593&lt;20,W593&gt;=55,W593&lt;105),0.23,0)+IF(AND(V593&lt;20,W593&gt;=105),0.17,0)+IF(AND(V593&gt;=20,V593&lt;40,W593&lt;45),0.3,0)+IF(AND(V593&gt;=20,V593&lt;40,W593&gt;=45,W593&lt;95),0.23,0)+IF(AND(V593&gt;=20,V593&lt;40,W593&gt;=95,W593&lt;=200),0.17,0)+IF(AND(V593&gt;=20,V593&lt;40,W593&gt;=200),0.12,0)+IF(AND(V593&gt;=40,V593&lt;75,W593&lt;35),0.3,0)+IF(AND(V593&gt;=40,V593&lt;75,W593&gt;=35,W593&lt;75),0.23,0)+IF(AND(V593&gt;=40,V593&lt;75,W593&gt;=75,W593&lt;120),0.17,0)+IF(AND(V593&gt;=40,V593&lt;75,W593&gt;=120),0.12,0)+IF(AND(V593&gt;=75,V593&lt;175,W593&lt;35),0.3,0)+IF(AND(V593&gt;=75,V593&lt;=175,W593&gt;=35,W593&lt;65),0.23,0)+IF(AND(V593&gt;=75,V593&lt;=175,W593&gt;=65,W593&lt;110),0.17,0)+IF(AND(V593&gt;=75,V593&lt;=175,W593&gt;=110),0.12,0)+IF(AND(V593&gt;175,W593&lt;25),0.3,0)+IF(AND(V593&gt;175,W593&gt;=25,W593&lt;55),0.23,0)+IF(AND(V593&gt;175,W593&gt;=55,W593&lt;95),0.17,0)+IF(AND(V593&gt;175,W593&gt;=95),0.12,0),
IF(AF593="DoEVLo",IF(AND(V593&lt;20,W593&lt;55),0.25,0)+IF(AND(V593&lt;20,W593&gt;=55,W593&lt;105),0.2,0)+IF(AND(V593&lt;20,W593&gt;=105),0.15,0)+IF(AND(V593&gt;=20,V593&lt;40,W593&lt;45),0.25,0)+IF(AND(V593&gt;=20,V593&lt;40,W593&gt;=45,W593&lt;95),0.2,0)+IF(AND(V593&gt;=20,V593&lt;40,W593&gt;=95),0.15,0)+IF(AND(V593&gt;=40,V593&lt;75,W593&lt;35),0.25,0)+IF(AND(V593&gt;=40,V593&lt;75,W593&gt;=35,W593&lt;75),0.2,0)+IF(AND(V593&gt;=40,V593&lt;75,W593&gt;=75,W593&lt;120),0.15,0)+IF(AND(V593&gt;=40,V593&lt;75,W593&gt;=120),0.1,0)+IF(AND(V593&gt;=75,V593&lt;175,W593&lt;35),0.25,0)+IF(AND(V593&gt;=75,V593&lt;=175,W593&gt;=35,W593&lt;65),0.2,0)+IF(AND(V593&gt;=75,V593&lt;=175,W593&gt;=65,W593&lt;110),0.15,0)+IF(AND(V593&gt;=75,V593&lt;=175,W593&gt;=110),0.1,0)+IF(AND(V593&gt;175,W593&lt;25),0.25,0)+IF(AND(V593&gt;175,W593&gt;=25,W593&lt;55),0.2,0)+IF(AND(V593&gt;175,W593&gt;=55,W593&lt;95),0.15,0)+IF(AND(V593&gt;175,W593&gt;=95),0.1,0)))))))))))))))))</f>
        <v>0.15</v>
      </c>
      <c r="Y593" s="30">
        <f>IF(AG593="None",0,IF(AG593="Fix5",0.05, IF(AG593="Fix6.25",0.0625,IF(AG593="Fix3.75",0.0375,IF(AG593="Fix10",0.1,IF(AG593="Fix3",0.03,0))))))</f>
        <v>0</v>
      </c>
      <c r="Z593" s="35">
        <f>T593-AA593-AB593</f>
        <v>-12532</v>
      </c>
      <c r="AA593" s="60">
        <v>-2211</v>
      </c>
      <c r="AB593" s="36">
        <f>IF(AD593="EUR",((T593-R593)*Y593)*U593+(R593*Y593),(T593*Y593))</f>
        <v>0</v>
      </c>
      <c r="AC593" s="37" t="b">
        <v>1</v>
      </c>
      <c r="AD593" s="61" t="s">
        <v>38</v>
      </c>
      <c r="AE593" s="83" t="s">
        <v>38</v>
      </c>
      <c r="AF593" s="37" t="str">
        <f t="array" ref="AF593">INDEX('Deal Info'!D:D, MATCH(A593,'Deal Info'!A:A, 0))</f>
        <v>Fix15</v>
      </c>
      <c r="AG593" s="38" t="str">
        <f t="array" ref="AG593">INDEX('Deal Info'!G:G, MATCH(A593,'Deal Info'!A:A, 0))</f>
        <v>None</v>
      </c>
    </row>
    <row r="594" spans="1:33" ht="14.25" hidden="1" x14ac:dyDescent="0.2">
      <c r="A594" s="18" t="str">
        <f t="array" ref="A594">IF(G594='Room Info'!$B$1, INDEX('Room Info'!$A$2:$A2446, MATCH(B594,'Room Info'!$B$2:$B2446, 0)),IF(G594='Room Info'!$C$1, INDEX('Room Info'!$A$2:$A2446, MATCH(B594,'Room Info'!$C$2:$C2446, 0)),IF(G594='Room Info'!$D$1, INDEX('Room Info'!$A$2:$A2446, MATCH(B594,'Room Info'!$D$2:$D2446, 0)),IF(G594='Room Info'!$E$1, INDEX('Room Info'!$A$2:$A2446, MATCH(B594,'Room Info'!$E$2:$E2446, 0)),IF(G594='Room Info'!$F$1, INDEX('Room Info'!$A$2:$A2446, MATCH(B594,'Room Info'!$F$2:$F2446, 0)),IF(G594='Room Info'!$H$1, INDEX('Room Info'!$A$2:$A2446, MATCH(B594,'Room Info'!$H$2:$H2446, 0)),IF(G594='Room Info'!$G$1, INDEX('Room Info'!$A$2:$A2446, MATCH(B594,'Room Info'!$G$2:$G2446, 0)))))))))</f>
        <v>fraum@rta</v>
      </c>
      <c r="B594" s="45" t="s">
        <v>152</v>
      </c>
      <c r="C594" s="46">
        <v>44682</v>
      </c>
      <c r="D594" s="46">
        <v>44712</v>
      </c>
      <c r="E594" s="47">
        <v>44682</v>
      </c>
      <c r="F594" s="45" t="s">
        <v>41</v>
      </c>
      <c r="G594" s="54" t="s">
        <v>80</v>
      </c>
      <c r="H594" s="49" t="s">
        <v>153</v>
      </c>
      <c r="I594" s="49" t="s">
        <v>81</v>
      </c>
      <c r="J594" s="50">
        <v>200</v>
      </c>
      <c r="K594" s="51">
        <v>1728</v>
      </c>
      <c r="L594" s="52">
        <v>-29600</v>
      </c>
      <c r="M594" s="53">
        <v>20700</v>
      </c>
      <c r="N594" s="28">
        <f>K594*J594</f>
        <v>345600</v>
      </c>
      <c r="O594" s="54">
        <v>2916</v>
      </c>
      <c r="P594" s="29">
        <v>1.6875</v>
      </c>
      <c r="Q594" s="55"/>
      <c r="R594" s="31">
        <f>M594+Q594</f>
        <v>20700</v>
      </c>
      <c r="S594" s="56"/>
      <c r="T594" s="32">
        <f>R594+S594+IF(F594="Without EV deal",L594,0)</f>
        <v>-8900</v>
      </c>
      <c r="U594" s="57">
        <v>1</v>
      </c>
      <c r="V594" s="58"/>
      <c r="W594" s="58"/>
      <c r="X594" s="30">
        <f>IF(AF594="DoEV",IF(AND(V594&lt;20,W594&lt;55),0.3,0)+IF(AND(V594&lt;20,W594&gt;=55,W594&lt;105),0.23,0)+IF(AND(V594&lt;20,W594&gt;=105),0.17,0)+IF(AND(V594&gt;=20,V594&lt;40,W594&lt;45),0.3,0)+IF(AND(V594&gt;=20,V594&lt;40,W594&gt;=45,W594&lt;95),0.23,0)+IF(AND(V594&gt;=20,V594&lt;40,W594&gt;=95),0.17,0)+IF(AND(V594&gt;=40,V594&lt;75,W594&lt;35),0.3,0)+IF(AND(V594&gt;=40,V594&lt;75,W594&gt;=35,W594&lt;75),0.23,0)+IF(AND(V594&gt;=40,V594&lt;75,W594&gt;=75,W594&lt;120),0.17,0)+IF(AND(V594&gt;=40,V594&lt;75,W594&gt;=120),0.12,0)+IF(AND(V594&gt;=75,V594&lt;175,W594&lt;35),0.3,0)+IF(AND(V594&gt;=75,V594&lt;=175,W594&gt;=35,W594&lt;65),0.23,0)+IF(AND(V594&gt;=75,V594&lt;=175,W594&gt;=65,W594&lt;110),0.17,0)+IF(AND(V594&gt;=75,V594&lt;=175,W594&gt;=110),0.12,0)+IF(AND(V594&gt;175,W594&lt;25),0.3,0)+IF(AND(V594&gt;175,W594&gt;=25,W594&lt;55),0.23,0)+IF(AND(V594&gt;175,W594&gt;=55,W594&lt;95),0.17,0)+IF(AND(V594&gt;175,W594&gt;=95),0.12,0),
IF(AF594="Fix15",0.15,
IF(AF594="Fix18.75",0.1875,
IF(AF594="Fix11.25",0.1125,
IF(AF594="Fix10",0.1,
IF(AF594="Fix9",0.09,
IF(AF594="DoEV2017",IF(AND(W594&lt;74),0.2,0)+IF(AND(W594&gt;=74),0.17,0),
IF(AF594="SF",IF(AND(V594&lt;20,W594&lt;89),0.3,0)+IF(AND(V594&lt;20,W594&gt;=89),0.25,0)+IF(AND(V594&gt;=20,V594&lt;40,W594&lt;74),0.3,0)+IF(AND(V594&gt;=20,V594&lt;40,W594&gt;=75),0.22,0)+IF(AND(V594&gt;=40,V594&lt;75,W594&lt;75),0.26,0)+IF(AND(V594&gt;=40,V594&lt;75,W594&gt;=75),0.22,0)+IF(V594&gt;=75,0.22,0),
IF(AF594="DoEVold",IF(AND(V594&lt;40,W594&lt;35),0.35,0)+IF(AND(V594&lt;40,W594&gt;=35,W594&lt;75),0.25,0)+IF(AND(V594&lt;40,W594&gt;=75),0.17,0)+IF(AND(V594&gt;=40,V594&lt;75,W594&lt;25),0.35,0)+IF(AND(V594&gt;=40,V594&lt;75,W594&gt;=25,W594&lt;65),0.25,0)+IF(AND(V594&gt;=40,V594&lt;75,W594&gt;=65,W594&lt;100),0.17,0)+IF(AND(V594&gt;=40,V594&lt;75,W594&gt;=100),0.1,0)+IF(AND(V594&gt;=75,W594&lt;25),0.35,0)+IF(AND(V594&gt;=75,W594&gt;=25,W594&lt;60),0.25,0)+IF(AND(V594&gt;=75,W594&gt;=60,W594&lt;95),0.17,0)+IF(AND(V594&gt;=75,W594&gt;=95),0.1,0),
IF(AF594="DoEVold15",IF(AND(V594&lt;=40,W594&lt;35),0.35,0)+IF(AND(V594&lt;=40,W594&gt;=35,W594&lt;75),0.25,0)+IF(AND(V594&lt;=40,W594&gt;=75,W594&lt;120),0.17,0)+IF(AND(V594&lt;=40,W594&gt;=120),0.15,0)+IF(AND(V594&gt;40,V594&lt;75,W594&lt;25),0.35,0)+IF(AND(V594&gt;=40,V594&lt;75,W594&gt;=25,W594&lt;65),0.25,0)+IF(AND(V594&gt;=40,V594&lt;75,W594&gt;=65,W594&lt;100),0.17,0)+IF(AND(V594&gt;=40,V594&lt;75,W594&gt;=100),0.1,0)+IF(AND(V594&gt;=75,W594&lt;25),0.35,0)+IF(AND(V594&gt;=75,W594&gt;=25,W594&lt;60),0.25,0)+IF(AND(V594&gt;=75,W594&gt;=60,W594&lt;95),0.17,0)+IF(AND(V594&gt;=75,W594&gt;=95),0.1,0),
IF(AF594="DoEVba",IF(AND(V594&lt;20,W594&lt;105),0.2,0)+IF(AND(V594&lt;20,W594&gt;=105),0.15,0)+IF(AND(V594&gt;=20,V594&lt;40,W594&lt;95),0.2,0)+IF(AND(V594&gt;=20,V594&lt;40,W594&gt;=95,W594&lt;150),0.15,0)+IF(AND(V594&gt;=20,V594&lt;40,W594&gt;=150),0.12,0)+IF(AND(V594&gt;=40,V594&lt;75,W594&lt;75),0.2,0)+IF(AND(V594&gt;=40,V594&lt;75,W594&gt;=75,W594&lt;120),0.15,0)+IF(AND(V594&gt;=40,V594&lt;75,W594&gt;=120),0.12,0)+IF(AND(V594&gt;=75,V594&lt;175,W594&lt;65),0.2,0)+IF(AND(V594&gt;=75,V594&lt;175,W594&gt;=65,W594&lt;110),0.15,0)+IF(AND(V594&gt;=75,V594&lt;175,W594&gt;=110),0.12,0)+IF(AND(V594&gt;=175,W594&lt;55),0.2,0)+IF(AND(V594&gt;=175,W594&gt;=55,W594&lt;95),0.15,0)+IF(AND(V594&gt;=175,W594&gt;=95),0.12,0),
IF(AF594="DoEVku",IF(AND(V594&lt;20,W594&lt;55),0.23,0)+IF(AND(V594&lt;20,W594&gt;=55,W594&lt;105),0.2,0)+IF(AND(V594&lt;20,W594&gt;=105),0.17,0)+IF(AND(V594&gt;=20,V594&lt;40,W594&lt;45),0.23,0)+IF(AND(V594&gt;=20,V594&lt;40,W594&gt;=45,W594&lt;95),0.2,0)+IF(AND(V594&gt;=20,V594&lt;40,W594&gt;=95,W594&lt;=150),0.17,0)+IF(AND(V594&gt;=20,V594&lt;40,W594&gt;=150),0.12,0)+IF(AND(V594&gt;=40,V594&lt;75,W594&lt;35),0.23,0)+IF(AND(V594&gt;=40,V594&lt;75,W594&gt;=35,W594&lt;75),0.2,0)+IF(AND(V594&gt;=40,V594&lt;75,W594&gt;=75,W594&lt;120),0.17,0)+IF(AND(V594&gt;=40,V594&lt;75,W594&gt;=120),0.12,0)+IF(AND(V594&gt;=75,V594&lt;175,W594&lt;35),0.23,0)+IF(AND(V594&gt;=75,V594&lt;=175,W594&gt;=35,W594&lt;65),0.2,0)+IF(AND(V594&gt;=75,V594&lt;=175,W594&gt;=65,W594&lt;110),0.17,0)+IF(AND(V594&gt;=75,V594&lt;=175,W594&gt;=110),0.12,0)+IF(AND(V594&gt;175,W594&lt;25),0.23,0)+IF(AND(V594&gt;175,W594&gt;=25,W594&lt;55),0.2,0)+IF(AND(V594&gt;175,W594&gt;=55,W594&lt;95),0.17,0)+IF(AND(V594&gt;175,W594&gt;=95),0.12,0),
IF(AF594="DoEVs1",IF(AND(V594&lt;20,W594&lt;55),0.3,0)+IF(AND(V594&lt;20,W594&gt;=55,W594&lt;105),0.23,0)+IF(AND(V594&lt;20,W594&gt;=105),0.17,0)+IF(AND(V594&gt;=20,V594&lt;40,W594&lt;45),0.3,0)+IF(AND(V594&gt;=20,V594&lt;40,W594&gt;=45,W594&lt;95),0.23,0)+IF(AND(V594&gt;=20,V594&lt;40,W594&gt;=95,W594&lt;=150),0.17,0)+IF(AND(V594&gt;=20,V594&lt;40,W594&gt;=150),0.12,0)+IF(AND(V594&gt;=40,V594&lt;75,W594&lt;35),0.3,0)+IF(AND(V594&gt;=40,V594&lt;75,W594&gt;=35,W594&lt;75),0.23,0)+IF(AND(V594&gt;=40,V594&lt;75,W594&gt;=75,W594&lt;120),0.17,0)+IF(AND(V594&gt;=40,V594&lt;75,W594&gt;=120),0.12,0)+IF(AND(V594&gt;=75,V594&lt;175,W594&lt;35),0.3,0)+IF(AND(V594&gt;=75,V594&lt;=175,W594&gt;=35,W594&lt;65),0.23,0)+IF(AND(V594&gt;=75,V594&lt;=175,W594&gt;=65,W594&lt;110),0.17,0)+IF(AND(V594&gt;=75,V594&lt;=175,W594&gt;=110),0.12,0)+IF(AND(V594&gt;175,W594&lt;25),0.3,0)+IF(AND(V594&gt;175,W594&gt;=25,W594&lt;55),0.23,0)+IF(AND(V594&gt;175,W594&gt;=55,W594&lt;95),0.17,0)+IF(AND(V594&gt;175,W594&gt;=95),0.12,0),
IF(AF594="DoEVsu",IF(AND(V594&lt;20,W594&lt;55),0.3,0)+IF(AND(V594&lt;20,W594&gt;=55,W594&lt;105),0.23,0)+IF(AND(V594&lt;20,W594&gt;=105),0.17,0)+IF(AND(V594&gt;=20,V594&lt;40,W594&lt;45),0.3,0)+IF(AND(V594&gt;=20,V594&lt;40,W594&gt;=45,W594&lt;95),0.23,0)+IF(AND(V594&gt;=20,V594&lt;40,W594&gt;=95,W594&lt;=250),0.17,0)+IF(AND(V594&gt;=20,V594&lt;40,W594&gt;=250),0.12,0)+IF(AND(V594&gt;=40,V594&lt;75,W594&lt;35),0.3,0)+IF(AND(V594&gt;=40,V594&lt;75,W594&gt;=35,W594&lt;75),0.23,0)+IF(AND(V594&gt;=40,V594&lt;75,W594&gt;=75,W594&lt;120),0.17,0)+IF(AND(V594&gt;=40,V594&lt;75,W594&gt;=120),0.12,0)+IF(AND(V594&gt;=75,V594&lt;175,W594&lt;35),0.3,0)+IF(AND(V594&gt;=75,V594&lt;=175,W594&gt;=35,W594&lt;65),0.23,0)+IF(AND(V594&gt;=75,V594&lt;=175,W594&gt;=65,W594&lt;110),0.17,0)+IF(AND(V594&gt;=75,V594&lt;=175,W594&gt;=110),0.12,0)+IF(AND(V594&gt;175,W594&lt;25),0.3,0)+IF(AND(V594&gt;175,W594&gt;=25,W594&lt;55),0.23,0)+IF(AND(V594&gt;175,W594&gt;=55,W594&lt;95),0.17,0)+IF(AND(V594&gt;175,W594&gt;=95),0.12,0),
IF(AF594="DoEVni",IF(AND(V594&lt;20,W594&lt;55),0.3,0)+IF(AND(V594&lt;20,W594&gt;=55,W594&lt;105),0.23,0)+IF(AND(V594&lt;20,W594&gt;=105),0.17,0)+IF(AND(V594&gt;=20,V594&lt;40,W594&lt;45),0.3,0)+IF(AND(V594&gt;=20,V594&lt;40,W594&gt;=45,W594&lt;95),0.23,0)+IF(AND(V594&gt;=20,V594&lt;40,W594&gt;=95,W594&lt;=200),0.17,0)+IF(AND(V594&gt;=20,V594&lt;40,W594&gt;=200),0.12,0)+IF(AND(V594&gt;=40,V594&lt;75,W594&lt;35),0.3,0)+IF(AND(V594&gt;=40,V594&lt;75,W594&gt;=35,W594&lt;75),0.23,0)+IF(AND(V594&gt;=40,V594&lt;75,W594&gt;=75,W594&lt;120),0.17,0)+IF(AND(V594&gt;=40,V594&lt;75,W594&gt;=120),0.12,0)+IF(AND(V594&gt;=75,V594&lt;175,W594&lt;35),0.3,0)+IF(AND(V594&gt;=75,V594&lt;=175,W594&gt;=35,W594&lt;65),0.23,0)+IF(AND(V594&gt;=75,V594&lt;=175,W594&gt;=65,W594&lt;110),0.17,0)+IF(AND(V594&gt;=75,V594&lt;=175,W594&gt;=110),0.12,0)+IF(AND(V594&gt;175,W594&lt;25),0.3,0)+IF(AND(V594&gt;175,W594&gt;=25,W594&lt;55),0.23,0)+IF(AND(V594&gt;175,W594&gt;=55,W594&lt;95),0.17,0)+IF(AND(V594&gt;175,W594&gt;=95),0.12,0),
IF(AF594="DoEVLo",IF(AND(V594&lt;20,W594&lt;55),0.25,0)+IF(AND(V594&lt;20,W594&gt;=55,W594&lt;105),0.2,0)+IF(AND(V594&lt;20,W594&gt;=105),0.15,0)+IF(AND(V594&gt;=20,V594&lt;40,W594&lt;45),0.25,0)+IF(AND(V594&gt;=20,V594&lt;40,W594&gt;=45,W594&lt;95),0.2,0)+IF(AND(V594&gt;=20,V594&lt;40,W594&gt;=95),0.15,0)+IF(AND(V594&gt;=40,V594&lt;75,W594&lt;35),0.25,0)+IF(AND(V594&gt;=40,V594&lt;75,W594&gt;=35,W594&lt;75),0.2,0)+IF(AND(V594&gt;=40,V594&lt;75,W594&gt;=75,W594&lt;120),0.15,0)+IF(AND(V594&gt;=40,V594&lt;75,W594&gt;=120),0.1,0)+IF(AND(V594&gt;=75,V594&lt;175,W594&lt;35),0.25,0)+IF(AND(V594&gt;=75,V594&lt;=175,W594&gt;=35,W594&lt;65),0.2,0)+IF(AND(V594&gt;=75,V594&lt;=175,W594&gt;=65,W594&lt;110),0.15,0)+IF(AND(V594&gt;=75,V594&lt;=175,W594&gt;=110),0.1,0)+IF(AND(V594&gt;175,W594&lt;25),0.25,0)+IF(AND(V594&gt;175,W594&gt;=25,W594&lt;55),0.2,0)+IF(AND(V594&gt;175,W594&gt;=55,W594&lt;95),0.15,0)+IF(AND(V594&gt;175,W594&gt;=95),0.1,0)))))))))))))))))</f>
        <v>0.15</v>
      </c>
      <c r="Y594" s="30">
        <f>IF(AG594="None",0,IF(AG594="Fix5",0.05, IF(AG594="Fix6.25",0.0625,IF(AG594="Fix3.75",0.0375,IF(AG594="Fix10",0.1,IF(AG594="Fix3",0.03,0))))))</f>
        <v>0</v>
      </c>
      <c r="Z594" s="35">
        <f>T594-AA594-AB594</f>
        <v>-7565</v>
      </c>
      <c r="AA594" s="60">
        <v>-1335</v>
      </c>
      <c r="AB594" s="36">
        <f>IF(AD594="EUR",((T594-R594)*Y594)*U594+(R594*Y594),(T594*Y594))</f>
        <v>0</v>
      </c>
      <c r="AC594" s="37" t="b">
        <v>1</v>
      </c>
      <c r="AD594" s="61" t="s">
        <v>38</v>
      </c>
      <c r="AE594" s="83" t="s">
        <v>38</v>
      </c>
      <c r="AF594" s="37" t="str">
        <f t="array" ref="AF594">INDEX('Deal Info'!D:D, MATCH(A594,'Deal Info'!A:A, 0))</f>
        <v>Fix15</v>
      </c>
      <c r="AG594" s="38" t="str">
        <f t="array" ref="AG594">INDEX('Deal Info'!G:G, MATCH(A594,'Deal Info'!A:A, 0))</f>
        <v>None</v>
      </c>
    </row>
    <row r="595" spans="1:33" ht="14.25" hidden="1" x14ac:dyDescent="0.2">
      <c r="A595" s="18" t="str">
        <f t="array" ref="A595">IF(G595='Room Info'!$B$1, INDEX('Room Info'!$A$2:$A2446, MATCH(B595,'Room Info'!$B$2:$B2446, 0)),IF(G595='Room Info'!$C$1, INDEX('Room Info'!$A$2:$A2446, MATCH(B595,'Room Info'!$C$2:$C2446, 0)),IF(G595='Room Info'!$D$1, INDEX('Room Info'!$A$2:$A2446, MATCH(B595,'Room Info'!$D$2:$D2446, 0)),IF(G595='Room Info'!$E$1, INDEX('Room Info'!$A$2:$A2446, MATCH(B595,'Room Info'!$E$2:$E2446, 0)),IF(G595='Room Info'!$F$1, INDEX('Room Info'!$A$2:$A2446, MATCH(B595,'Room Info'!$F$2:$F2446, 0)),IF(G595='Room Info'!$H$1, INDEX('Room Info'!$A$2:$A2446, MATCH(B595,'Room Info'!$H$2:$H2446, 0)),IF(G595='Room Info'!$G$1, INDEX('Room Info'!$A$2:$A2446, MATCH(B595,'Room Info'!$G$2:$G2446, 0)))))))))</f>
        <v>fraum@rta</v>
      </c>
      <c r="B595" s="54" t="s">
        <v>152</v>
      </c>
      <c r="C595" s="46">
        <v>44682</v>
      </c>
      <c r="D595" s="46">
        <v>44712</v>
      </c>
      <c r="E595" s="47">
        <v>44682</v>
      </c>
      <c r="F595" s="45" t="s">
        <v>49</v>
      </c>
      <c r="G595" s="54" t="s">
        <v>80</v>
      </c>
      <c r="H595" s="49" t="s">
        <v>70</v>
      </c>
      <c r="I595" s="49" t="s">
        <v>81</v>
      </c>
      <c r="J595" s="50">
        <v>100</v>
      </c>
      <c r="K595" s="51">
        <v>9178</v>
      </c>
      <c r="L595" s="52">
        <v>-65500</v>
      </c>
      <c r="M595" s="53">
        <v>54972</v>
      </c>
      <c r="N595" s="28">
        <f>K595*J595</f>
        <v>917800</v>
      </c>
      <c r="O595" s="54">
        <v>61200</v>
      </c>
      <c r="P595" s="29">
        <v>6.6681194159999997</v>
      </c>
      <c r="Q595" s="55"/>
      <c r="R595" s="31">
        <f>M595+Q595</f>
        <v>54972</v>
      </c>
      <c r="S595" s="56">
        <v>-50820</v>
      </c>
      <c r="T595" s="32">
        <f>R595+S595+IF(F595="Without EV deal",L595,0)</f>
        <v>4152</v>
      </c>
      <c r="U595" s="57">
        <v>1</v>
      </c>
      <c r="V595" s="58"/>
      <c r="W595" s="58"/>
      <c r="X595" s="30">
        <f>IF(AF595="DoEV",IF(AND(V595&lt;20,W595&lt;55),0.3,0)+IF(AND(V595&lt;20,W595&gt;=55,W595&lt;105),0.23,0)+IF(AND(V595&lt;20,W595&gt;=105),0.17,0)+IF(AND(V595&gt;=20,V595&lt;40,W595&lt;45),0.3,0)+IF(AND(V595&gt;=20,V595&lt;40,W595&gt;=45,W595&lt;95),0.23,0)+IF(AND(V595&gt;=20,V595&lt;40,W595&gt;=95),0.17,0)+IF(AND(V595&gt;=40,V595&lt;75,W595&lt;35),0.3,0)+IF(AND(V595&gt;=40,V595&lt;75,W595&gt;=35,W595&lt;75),0.23,0)+IF(AND(V595&gt;=40,V595&lt;75,W595&gt;=75,W595&lt;120),0.17,0)+IF(AND(V595&gt;=40,V595&lt;75,W595&gt;=120),0.12,0)+IF(AND(V595&gt;=75,V595&lt;175,W595&lt;35),0.3,0)+IF(AND(V595&gt;=75,V595&lt;=175,W595&gt;=35,W595&lt;65),0.23,0)+IF(AND(V595&gt;=75,V595&lt;=175,W595&gt;=65,W595&lt;110),0.17,0)+IF(AND(V595&gt;=75,V595&lt;=175,W595&gt;=110),0.12,0)+IF(AND(V595&gt;175,W595&lt;25),0.3,0)+IF(AND(V595&gt;175,W595&gt;=25,W595&lt;55),0.23,0)+IF(AND(V595&gt;175,W595&gt;=55,W595&lt;95),0.17,0)+IF(AND(V595&gt;175,W595&gt;=95),0.12,0),
IF(AF595="Fix15",0.15,
IF(AF595="Fix18.75",0.1875,
IF(AF595="Fix11.25",0.1125,
IF(AF595="Fix10",0.1,
IF(AF595="Fix9",0.09,
IF(AF595="DoEV2017",IF(AND(W595&lt;74),0.2,0)+IF(AND(W595&gt;=74),0.17,0),
IF(AF595="SF",IF(AND(V595&lt;20,W595&lt;89),0.3,0)+IF(AND(V595&lt;20,W595&gt;=89),0.25,0)+IF(AND(V595&gt;=20,V595&lt;40,W595&lt;74),0.3,0)+IF(AND(V595&gt;=20,V595&lt;40,W595&gt;=75),0.22,0)+IF(AND(V595&gt;=40,V595&lt;75,W595&lt;75),0.26,0)+IF(AND(V595&gt;=40,V595&lt;75,W595&gt;=75),0.22,0)+IF(V595&gt;=75,0.22,0),
IF(AF595="DoEVold",IF(AND(V595&lt;40,W595&lt;35),0.35,0)+IF(AND(V595&lt;40,W595&gt;=35,W595&lt;75),0.25,0)+IF(AND(V595&lt;40,W595&gt;=75),0.17,0)+IF(AND(V595&gt;=40,V595&lt;75,W595&lt;25),0.35,0)+IF(AND(V595&gt;=40,V595&lt;75,W595&gt;=25,W595&lt;65),0.25,0)+IF(AND(V595&gt;=40,V595&lt;75,W595&gt;=65,W595&lt;100),0.17,0)+IF(AND(V595&gt;=40,V595&lt;75,W595&gt;=100),0.1,0)+IF(AND(V595&gt;=75,W595&lt;25),0.35,0)+IF(AND(V595&gt;=75,W595&gt;=25,W595&lt;60),0.25,0)+IF(AND(V595&gt;=75,W595&gt;=60,W595&lt;95),0.17,0)+IF(AND(V595&gt;=75,W595&gt;=95),0.1,0),
IF(AF595="DoEVold15",IF(AND(V595&lt;=40,W595&lt;35),0.35,0)+IF(AND(V595&lt;=40,W595&gt;=35,W595&lt;75),0.25,0)+IF(AND(V595&lt;=40,W595&gt;=75,W595&lt;120),0.17,0)+IF(AND(V595&lt;=40,W595&gt;=120),0.15,0)+IF(AND(V595&gt;40,V595&lt;75,W595&lt;25),0.35,0)+IF(AND(V595&gt;=40,V595&lt;75,W595&gt;=25,W595&lt;65),0.25,0)+IF(AND(V595&gt;=40,V595&lt;75,W595&gt;=65,W595&lt;100),0.17,0)+IF(AND(V595&gt;=40,V595&lt;75,W595&gt;=100),0.1,0)+IF(AND(V595&gt;=75,W595&lt;25),0.35,0)+IF(AND(V595&gt;=75,W595&gt;=25,W595&lt;60),0.25,0)+IF(AND(V595&gt;=75,W595&gt;=60,W595&lt;95),0.17,0)+IF(AND(V595&gt;=75,W595&gt;=95),0.1,0),
IF(AF595="DoEVba",IF(AND(V595&lt;20,W595&lt;105),0.2,0)+IF(AND(V595&lt;20,W595&gt;=105),0.15,0)+IF(AND(V595&gt;=20,V595&lt;40,W595&lt;95),0.2,0)+IF(AND(V595&gt;=20,V595&lt;40,W595&gt;=95,W595&lt;150),0.15,0)+IF(AND(V595&gt;=20,V595&lt;40,W595&gt;=150),0.12,0)+IF(AND(V595&gt;=40,V595&lt;75,W595&lt;75),0.2,0)+IF(AND(V595&gt;=40,V595&lt;75,W595&gt;=75,W595&lt;120),0.15,0)+IF(AND(V595&gt;=40,V595&lt;75,W595&gt;=120),0.12,0)+IF(AND(V595&gt;=75,V595&lt;175,W595&lt;65),0.2,0)+IF(AND(V595&gt;=75,V595&lt;175,W595&gt;=65,W595&lt;110),0.15,0)+IF(AND(V595&gt;=75,V595&lt;175,W595&gt;=110),0.12,0)+IF(AND(V595&gt;=175,W595&lt;55),0.2,0)+IF(AND(V595&gt;=175,W595&gt;=55,W595&lt;95),0.15,0)+IF(AND(V595&gt;=175,W595&gt;=95),0.12,0),
IF(AF595="DoEVku",IF(AND(V595&lt;20,W595&lt;55),0.23,0)+IF(AND(V595&lt;20,W595&gt;=55,W595&lt;105),0.2,0)+IF(AND(V595&lt;20,W595&gt;=105),0.17,0)+IF(AND(V595&gt;=20,V595&lt;40,W595&lt;45),0.23,0)+IF(AND(V595&gt;=20,V595&lt;40,W595&gt;=45,W595&lt;95),0.2,0)+IF(AND(V595&gt;=20,V595&lt;40,W595&gt;=95,W595&lt;=150),0.17,0)+IF(AND(V595&gt;=20,V595&lt;40,W595&gt;=150),0.12,0)+IF(AND(V595&gt;=40,V595&lt;75,W595&lt;35),0.23,0)+IF(AND(V595&gt;=40,V595&lt;75,W595&gt;=35,W595&lt;75),0.2,0)+IF(AND(V595&gt;=40,V595&lt;75,W595&gt;=75,W595&lt;120),0.17,0)+IF(AND(V595&gt;=40,V595&lt;75,W595&gt;=120),0.12,0)+IF(AND(V595&gt;=75,V595&lt;175,W595&lt;35),0.23,0)+IF(AND(V595&gt;=75,V595&lt;=175,W595&gt;=35,W595&lt;65),0.2,0)+IF(AND(V595&gt;=75,V595&lt;=175,W595&gt;=65,W595&lt;110),0.17,0)+IF(AND(V595&gt;=75,V595&lt;=175,W595&gt;=110),0.12,0)+IF(AND(V595&gt;175,W595&lt;25),0.23,0)+IF(AND(V595&gt;175,W595&gt;=25,W595&lt;55),0.2,0)+IF(AND(V595&gt;175,W595&gt;=55,W595&lt;95),0.17,0)+IF(AND(V595&gt;175,W595&gt;=95),0.12,0),
IF(AF595="DoEVs1",IF(AND(V595&lt;20,W595&lt;55),0.3,0)+IF(AND(V595&lt;20,W595&gt;=55,W595&lt;105),0.23,0)+IF(AND(V595&lt;20,W595&gt;=105),0.17,0)+IF(AND(V595&gt;=20,V595&lt;40,W595&lt;45),0.3,0)+IF(AND(V595&gt;=20,V595&lt;40,W595&gt;=45,W595&lt;95),0.23,0)+IF(AND(V595&gt;=20,V595&lt;40,W595&gt;=95,W595&lt;=150),0.17,0)+IF(AND(V595&gt;=20,V595&lt;40,W595&gt;=150),0.12,0)+IF(AND(V595&gt;=40,V595&lt;75,W595&lt;35),0.3,0)+IF(AND(V595&gt;=40,V595&lt;75,W595&gt;=35,W595&lt;75),0.23,0)+IF(AND(V595&gt;=40,V595&lt;75,W595&gt;=75,W595&lt;120),0.17,0)+IF(AND(V595&gt;=40,V595&lt;75,W595&gt;=120),0.12,0)+IF(AND(V595&gt;=75,V595&lt;175,W595&lt;35),0.3,0)+IF(AND(V595&gt;=75,V595&lt;=175,W595&gt;=35,W595&lt;65),0.23,0)+IF(AND(V595&gt;=75,V595&lt;=175,W595&gt;=65,W595&lt;110),0.17,0)+IF(AND(V595&gt;=75,V595&lt;=175,W595&gt;=110),0.12,0)+IF(AND(V595&gt;175,W595&lt;25),0.3,0)+IF(AND(V595&gt;175,W595&gt;=25,W595&lt;55),0.23,0)+IF(AND(V595&gt;175,W595&gt;=55,W595&lt;95),0.17,0)+IF(AND(V595&gt;175,W595&gt;=95),0.12,0),
IF(AF595="DoEVsu",IF(AND(V595&lt;20,W595&lt;55),0.3,0)+IF(AND(V595&lt;20,W595&gt;=55,W595&lt;105),0.23,0)+IF(AND(V595&lt;20,W595&gt;=105),0.17,0)+IF(AND(V595&gt;=20,V595&lt;40,W595&lt;45),0.3,0)+IF(AND(V595&gt;=20,V595&lt;40,W595&gt;=45,W595&lt;95),0.23,0)+IF(AND(V595&gt;=20,V595&lt;40,W595&gt;=95,W595&lt;=250),0.17,0)+IF(AND(V595&gt;=20,V595&lt;40,W595&gt;=250),0.12,0)+IF(AND(V595&gt;=40,V595&lt;75,W595&lt;35),0.3,0)+IF(AND(V595&gt;=40,V595&lt;75,W595&gt;=35,W595&lt;75),0.23,0)+IF(AND(V595&gt;=40,V595&lt;75,W595&gt;=75,W595&lt;120),0.17,0)+IF(AND(V595&gt;=40,V595&lt;75,W595&gt;=120),0.12,0)+IF(AND(V595&gt;=75,V595&lt;175,W595&lt;35),0.3,0)+IF(AND(V595&gt;=75,V595&lt;=175,W595&gt;=35,W595&lt;65),0.23,0)+IF(AND(V595&gt;=75,V595&lt;=175,W595&gt;=65,W595&lt;110),0.17,0)+IF(AND(V595&gt;=75,V595&lt;=175,W595&gt;=110),0.12,0)+IF(AND(V595&gt;175,W595&lt;25),0.3,0)+IF(AND(V595&gt;175,W595&gt;=25,W595&lt;55),0.23,0)+IF(AND(V595&gt;175,W595&gt;=55,W595&lt;95),0.17,0)+IF(AND(V595&gt;175,W595&gt;=95),0.12,0),
IF(AF595="DoEVni",IF(AND(V595&lt;20,W595&lt;55),0.3,0)+IF(AND(V595&lt;20,W595&gt;=55,W595&lt;105),0.23,0)+IF(AND(V595&lt;20,W595&gt;=105),0.17,0)+IF(AND(V595&gt;=20,V595&lt;40,W595&lt;45),0.3,0)+IF(AND(V595&gt;=20,V595&lt;40,W595&gt;=45,W595&lt;95),0.23,0)+IF(AND(V595&gt;=20,V595&lt;40,W595&gt;=95,W595&lt;=200),0.17,0)+IF(AND(V595&gt;=20,V595&lt;40,W595&gt;=200),0.12,0)+IF(AND(V595&gt;=40,V595&lt;75,W595&lt;35),0.3,0)+IF(AND(V595&gt;=40,V595&lt;75,W595&gt;=35,W595&lt;75),0.23,0)+IF(AND(V595&gt;=40,V595&lt;75,W595&gt;=75,W595&lt;120),0.17,0)+IF(AND(V595&gt;=40,V595&lt;75,W595&gt;=120),0.12,0)+IF(AND(V595&gt;=75,V595&lt;175,W595&lt;35),0.3,0)+IF(AND(V595&gt;=75,V595&lt;=175,W595&gt;=35,W595&lt;65),0.23,0)+IF(AND(V595&gt;=75,V595&lt;=175,W595&gt;=65,W595&lt;110),0.17,0)+IF(AND(V595&gt;=75,V595&lt;=175,W595&gt;=110),0.12,0)+IF(AND(V595&gt;175,W595&lt;25),0.3,0)+IF(AND(V595&gt;175,W595&gt;=25,W595&lt;55),0.23,0)+IF(AND(V595&gt;175,W595&gt;=55,W595&lt;95),0.17,0)+IF(AND(V595&gt;175,W595&gt;=95),0.12,0),
IF(AF595="DoEVLo",IF(AND(V595&lt;20,W595&lt;55),0.25,0)+IF(AND(V595&lt;20,W595&gt;=55,W595&lt;105),0.2,0)+IF(AND(V595&lt;20,W595&gt;=105),0.15,0)+IF(AND(V595&gt;=20,V595&lt;40,W595&lt;45),0.25,0)+IF(AND(V595&gt;=20,V595&lt;40,W595&gt;=45,W595&lt;95),0.2,0)+IF(AND(V595&gt;=20,V595&lt;40,W595&gt;=95),0.15,0)+IF(AND(V595&gt;=40,V595&lt;75,W595&lt;35),0.25,0)+IF(AND(V595&gt;=40,V595&lt;75,W595&gt;=35,W595&lt;75),0.2,0)+IF(AND(V595&gt;=40,V595&lt;75,W595&gt;=75,W595&lt;120),0.15,0)+IF(AND(V595&gt;=40,V595&lt;75,W595&gt;=120),0.1,0)+IF(AND(V595&gt;=75,V595&lt;175,W595&lt;35),0.25,0)+IF(AND(V595&gt;=75,V595&lt;=175,W595&gt;=35,W595&lt;65),0.2,0)+IF(AND(V595&gt;=75,V595&lt;=175,W595&gt;=65,W595&lt;110),0.15,0)+IF(AND(V595&gt;=75,V595&lt;=175,W595&gt;=110),0.1,0)+IF(AND(V595&gt;175,W595&lt;25),0.25,0)+IF(AND(V595&gt;175,W595&gt;=25,W595&lt;55),0.2,0)+IF(AND(V595&gt;175,W595&gt;=55,W595&lt;95),0.15,0)+IF(AND(V595&gt;175,W595&gt;=95),0.1,0)))))))))))))))))</f>
        <v>0.15</v>
      </c>
      <c r="Y595" s="30">
        <f>IF(AG595="None",0,IF(AG595="Fix5",0.05, IF(AG595="Fix6.25",0.0625,IF(AG595="Fix3.75",0.0375,IF(AG595="Fix10",0.1,IF(AG595="Fix3",0.03,0))))))</f>
        <v>0</v>
      </c>
      <c r="Z595" s="35">
        <f>T595-AA595-AB595</f>
        <v>3529</v>
      </c>
      <c r="AA595" s="60">
        <v>623</v>
      </c>
      <c r="AB595" s="36">
        <f>IF(AD595="EUR",((T595-R595)*Y595)*U595+(R595*Y595),(T595*Y595))</f>
        <v>0</v>
      </c>
      <c r="AC595" s="37" t="b">
        <v>1</v>
      </c>
      <c r="AD595" s="61" t="s">
        <v>38</v>
      </c>
      <c r="AE595" s="83" t="s">
        <v>38</v>
      </c>
      <c r="AF595" s="37" t="str">
        <f t="array" ref="AF595">INDEX('Deal Info'!D:D, MATCH(A595,'Deal Info'!A:A, 0))</f>
        <v>Fix15</v>
      </c>
      <c r="AG595" s="38" t="str">
        <f t="array" ref="AG595">INDEX('Deal Info'!G:G, MATCH(A595,'Deal Info'!A:A, 0))</f>
        <v>None</v>
      </c>
    </row>
    <row r="596" spans="1:33" ht="14.25" hidden="1" x14ac:dyDescent="0.2">
      <c r="A596" s="18" t="str">
        <f t="array" ref="A596">IF(G596='Room Info'!$B$1, INDEX('Room Info'!$A$2:$A2446, MATCH(B596,'Room Info'!$B$2:$B2446, 0)),IF(G596='Room Info'!$C$1, INDEX('Room Info'!$A$2:$A2446, MATCH(B596,'Room Info'!$C$2:$C2446, 0)),IF(G596='Room Info'!$D$1, INDEX('Room Info'!$A$2:$A2446, MATCH(B596,'Room Info'!$D$2:$D2446, 0)),IF(G596='Room Info'!$E$1, INDEX('Room Info'!$A$2:$A2446, MATCH(B596,'Room Info'!$E$2:$E2446, 0)),IF(G596='Room Info'!$F$1, INDEX('Room Info'!$A$2:$A2446, MATCH(B596,'Room Info'!$F$2:$F2446, 0)),IF(G596='Room Info'!$H$1, INDEX('Room Info'!$A$2:$A2446, MATCH(B596,'Room Info'!$H$2:$H2446, 0)),IF(G596='Room Info'!$G$1, INDEX('Room Info'!$A$2:$A2446, MATCH(B596,'Room Info'!$G$2:$G2446, 0)))))))))</f>
        <v>fraum@rta</v>
      </c>
      <c r="B596" s="45" t="s">
        <v>152</v>
      </c>
      <c r="C596" s="46">
        <v>44713</v>
      </c>
      <c r="D596" s="46">
        <v>44742</v>
      </c>
      <c r="E596" s="47">
        <v>44713</v>
      </c>
      <c r="F596" s="48" t="s">
        <v>49</v>
      </c>
      <c r="G596" s="45" t="s">
        <v>80</v>
      </c>
      <c r="H596" s="49" t="s">
        <v>70</v>
      </c>
      <c r="I596" s="49" t="s">
        <v>81</v>
      </c>
      <c r="J596" s="50">
        <v>100</v>
      </c>
      <c r="K596" s="51">
        <v>8918</v>
      </c>
      <c r="L596" s="52">
        <v>-83600</v>
      </c>
      <c r="M596" s="53">
        <v>50585</v>
      </c>
      <c r="N596" s="28">
        <f>K596*J596</f>
        <v>891800</v>
      </c>
      <c r="O596" s="54">
        <v>45269</v>
      </c>
      <c r="P596" s="29">
        <v>5.0761381480000001</v>
      </c>
      <c r="Q596" s="55"/>
      <c r="R596" s="31">
        <f>M596+Q596</f>
        <v>50585</v>
      </c>
      <c r="S596" s="56">
        <v>-58650</v>
      </c>
      <c r="T596" s="32">
        <f>R596+S596+IF(F596="Without EV deal",L596,0)</f>
        <v>-8065</v>
      </c>
      <c r="U596" s="57">
        <v>1</v>
      </c>
      <c r="V596" s="58"/>
      <c r="W596" s="58"/>
      <c r="X596" s="30">
        <f>IF(AF596="DoEV",IF(AND(V596&lt;20,W596&lt;55),0.3,0)+IF(AND(V596&lt;20,W596&gt;=55,W596&lt;105),0.23,0)+IF(AND(V596&lt;20,W596&gt;=105),0.17,0)+IF(AND(V596&gt;=20,V596&lt;40,W596&lt;45),0.3,0)+IF(AND(V596&gt;=20,V596&lt;40,W596&gt;=45,W596&lt;95),0.23,0)+IF(AND(V596&gt;=20,V596&lt;40,W596&gt;=95),0.17,0)+IF(AND(V596&gt;=40,V596&lt;75,W596&lt;35),0.3,0)+IF(AND(V596&gt;=40,V596&lt;75,W596&gt;=35,W596&lt;75),0.23,0)+IF(AND(V596&gt;=40,V596&lt;75,W596&gt;=75,W596&lt;120),0.17,0)+IF(AND(V596&gt;=40,V596&lt;75,W596&gt;=120),0.12,0)+IF(AND(V596&gt;=75,V596&lt;175,W596&lt;35),0.3,0)+IF(AND(V596&gt;=75,V596&lt;=175,W596&gt;=35,W596&lt;65),0.23,0)+IF(AND(V596&gt;=75,V596&lt;=175,W596&gt;=65,W596&lt;110),0.17,0)+IF(AND(V596&gt;=75,V596&lt;=175,W596&gt;=110),0.12,0)+IF(AND(V596&gt;175,W596&lt;25),0.3,0)+IF(AND(V596&gt;175,W596&gt;=25,W596&lt;55),0.23,0)+IF(AND(V596&gt;175,W596&gt;=55,W596&lt;95),0.17,0)+IF(AND(V596&gt;175,W596&gt;=95),0.12,0),
IF(AF596="Fix15",0.15,
IF(AF596="Fix18.75",0.1875,
IF(AF596="Fix11.25",0.1125,
IF(AF596="Fix10",0.1,
IF(AF596="Fix9",0.09,
IF(AF596="DoEV2017",IF(AND(W596&lt;74),0.2,0)+IF(AND(W596&gt;=74),0.17,0),
IF(AF596="SF",IF(AND(V596&lt;20,W596&lt;89),0.3,0)+IF(AND(V596&lt;20,W596&gt;=89),0.25,0)+IF(AND(V596&gt;=20,V596&lt;40,W596&lt;74),0.3,0)+IF(AND(V596&gt;=20,V596&lt;40,W596&gt;=75),0.22,0)+IF(AND(V596&gt;=40,V596&lt;75,W596&lt;75),0.26,0)+IF(AND(V596&gt;=40,V596&lt;75,W596&gt;=75),0.22,0)+IF(V596&gt;=75,0.22,0),
IF(AF596="DoEVold",IF(AND(V596&lt;40,W596&lt;35),0.35,0)+IF(AND(V596&lt;40,W596&gt;=35,W596&lt;75),0.25,0)+IF(AND(V596&lt;40,W596&gt;=75),0.17,0)+IF(AND(V596&gt;=40,V596&lt;75,W596&lt;25),0.35,0)+IF(AND(V596&gt;=40,V596&lt;75,W596&gt;=25,W596&lt;65),0.25,0)+IF(AND(V596&gt;=40,V596&lt;75,W596&gt;=65,W596&lt;100),0.17,0)+IF(AND(V596&gt;=40,V596&lt;75,W596&gt;=100),0.1,0)+IF(AND(V596&gt;=75,W596&lt;25),0.35,0)+IF(AND(V596&gt;=75,W596&gt;=25,W596&lt;60),0.25,0)+IF(AND(V596&gt;=75,W596&gt;=60,W596&lt;95),0.17,0)+IF(AND(V596&gt;=75,W596&gt;=95),0.1,0),
IF(AF596="DoEVold15",IF(AND(V596&lt;=40,W596&lt;35),0.35,0)+IF(AND(V596&lt;=40,W596&gt;=35,W596&lt;75),0.25,0)+IF(AND(V596&lt;=40,W596&gt;=75,W596&lt;120),0.17,0)+IF(AND(V596&lt;=40,W596&gt;=120),0.15,0)+IF(AND(V596&gt;40,V596&lt;75,W596&lt;25),0.35,0)+IF(AND(V596&gt;=40,V596&lt;75,W596&gt;=25,W596&lt;65),0.25,0)+IF(AND(V596&gt;=40,V596&lt;75,W596&gt;=65,W596&lt;100),0.17,0)+IF(AND(V596&gt;=40,V596&lt;75,W596&gt;=100),0.1,0)+IF(AND(V596&gt;=75,W596&lt;25),0.35,0)+IF(AND(V596&gt;=75,W596&gt;=25,W596&lt;60),0.25,0)+IF(AND(V596&gt;=75,W596&gt;=60,W596&lt;95),0.17,0)+IF(AND(V596&gt;=75,W596&gt;=95),0.1,0),
IF(AF596="DoEVba",IF(AND(V596&lt;20,W596&lt;105),0.2,0)+IF(AND(V596&lt;20,W596&gt;=105),0.15,0)+IF(AND(V596&gt;=20,V596&lt;40,W596&lt;95),0.2,0)+IF(AND(V596&gt;=20,V596&lt;40,W596&gt;=95,W596&lt;150),0.15,0)+IF(AND(V596&gt;=20,V596&lt;40,W596&gt;=150),0.12,0)+IF(AND(V596&gt;=40,V596&lt;75,W596&lt;75),0.2,0)+IF(AND(V596&gt;=40,V596&lt;75,W596&gt;=75,W596&lt;120),0.15,0)+IF(AND(V596&gt;=40,V596&lt;75,W596&gt;=120),0.12,0)+IF(AND(V596&gt;=75,V596&lt;175,W596&lt;65),0.2,0)+IF(AND(V596&gt;=75,V596&lt;175,W596&gt;=65,W596&lt;110),0.15,0)+IF(AND(V596&gt;=75,V596&lt;175,W596&gt;=110),0.12,0)+IF(AND(V596&gt;=175,W596&lt;55),0.2,0)+IF(AND(V596&gt;=175,W596&gt;=55,W596&lt;95),0.15,0)+IF(AND(V596&gt;=175,W596&gt;=95),0.12,0),
IF(AF596="DoEVku",IF(AND(V596&lt;20,W596&lt;55),0.23,0)+IF(AND(V596&lt;20,W596&gt;=55,W596&lt;105),0.2,0)+IF(AND(V596&lt;20,W596&gt;=105),0.17,0)+IF(AND(V596&gt;=20,V596&lt;40,W596&lt;45),0.23,0)+IF(AND(V596&gt;=20,V596&lt;40,W596&gt;=45,W596&lt;95),0.2,0)+IF(AND(V596&gt;=20,V596&lt;40,W596&gt;=95,W596&lt;=150),0.17,0)+IF(AND(V596&gt;=20,V596&lt;40,W596&gt;=150),0.12,0)+IF(AND(V596&gt;=40,V596&lt;75,W596&lt;35),0.23,0)+IF(AND(V596&gt;=40,V596&lt;75,W596&gt;=35,W596&lt;75),0.2,0)+IF(AND(V596&gt;=40,V596&lt;75,W596&gt;=75,W596&lt;120),0.17,0)+IF(AND(V596&gt;=40,V596&lt;75,W596&gt;=120),0.12,0)+IF(AND(V596&gt;=75,V596&lt;175,W596&lt;35),0.23,0)+IF(AND(V596&gt;=75,V596&lt;=175,W596&gt;=35,W596&lt;65),0.2,0)+IF(AND(V596&gt;=75,V596&lt;=175,W596&gt;=65,W596&lt;110),0.17,0)+IF(AND(V596&gt;=75,V596&lt;=175,W596&gt;=110),0.12,0)+IF(AND(V596&gt;175,W596&lt;25),0.23,0)+IF(AND(V596&gt;175,W596&gt;=25,W596&lt;55),0.2,0)+IF(AND(V596&gt;175,W596&gt;=55,W596&lt;95),0.17,0)+IF(AND(V596&gt;175,W596&gt;=95),0.12,0),
IF(AF596="DoEVs1",IF(AND(V596&lt;20,W596&lt;55),0.3,0)+IF(AND(V596&lt;20,W596&gt;=55,W596&lt;105),0.23,0)+IF(AND(V596&lt;20,W596&gt;=105),0.17,0)+IF(AND(V596&gt;=20,V596&lt;40,W596&lt;45),0.3,0)+IF(AND(V596&gt;=20,V596&lt;40,W596&gt;=45,W596&lt;95),0.23,0)+IF(AND(V596&gt;=20,V596&lt;40,W596&gt;=95,W596&lt;=150),0.17,0)+IF(AND(V596&gt;=20,V596&lt;40,W596&gt;=150),0.12,0)+IF(AND(V596&gt;=40,V596&lt;75,W596&lt;35),0.3,0)+IF(AND(V596&gt;=40,V596&lt;75,W596&gt;=35,W596&lt;75),0.23,0)+IF(AND(V596&gt;=40,V596&lt;75,W596&gt;=75,W596&lt;120),0.17,0)+IF(AND(V596&gt;=40,V596&lt;75,W596&gt;=120),0.12,0)+IF(AND(V596&gt;=75,V596&lt;175,W596&lt;35),0.3,0)+IF(AND(V596&gt;=75,V596&lt;=175,W596&gt;=35,W596&lt;65),0.23,0)+IF(AND(V596&gt;=75,V596&lt;=175,W596&gt;=65,W596&lt;110),0.17,0)+IF(AND(V596&gt;=75,V596&lt;=175,W596&gt;=110),0.12,0)+IF(AND(V596&gt;175,W596&lt;25),0.3,0)+IF(AND(V596&gt;175,W596&gt;=25,W596&lt;55),0.23,0)+IF(AND(V596&gt;175,W596&gt;=55,W596&lt;95),0.17,0)+IF(AND(V596&gt;175,W596&gt;=95),0.12,0),
IF(AF596="DoEVsu",IF(AND(V596&lt;20,W596&lt;55),0.3,0)+IF(AND(V596&lt;20,W596&gt;=55,W596&lt;105),0.23,0)+IF(AND(V596&lt;20,W596&gt;=105),0.17,0)+IF(AND(V596&gt;=20,V596&lt;40,W596&lt;45),0.3,0)+IF(AND(V596&gt;=20,V596&lt;40,W596&gt;=45,W596&lt;95),0.23,0)+IF(AND(V596&gt;=20,V596&lt;40,W596&gt;=95,W596&lt;=250),0.17,0)+IF(AND(V596&gt;=20,V596&lt;40,W596&gt;=250),0.12,0)+IF(AND(V596&gt;=40,V596&lt;75,W596&lt;35),0.3,0)+IF(AND(V596&gt;=40,V596&lt;75,W596&gt;=35,W596&lt;75),0.23,0)+IF(AND(V596&gt;=40,V596&lt;75,W596&gt;=75,W596&lt;120),0.17,0)+IF(AND(V596&gt;=40,V596&lt;75,W596&gt;=120),0.12,0)+IF(AND(V596&gt;=75,V596&lt;175,W596&lt;35),0.3,0)+IF(AND(V596&gt;=75,V596&lt;=175,W596&gt;=35,W596&lt;65),0.23,0)+IF(AND(V596&gt;=75,V596&lt;=175,W596&gt;=65,W596&lt;110),0.17,0)+IF(AND(V596&gt;=75,V596&lt;=175,W596&gt;=110),0.12,0)+IF(AND(V596&gt;175,W596&lt;25),0.3,0)+IF(AND(V596&gt;175,W596&gt;=25,W596&lt;55),0.23,0)+IF(AND(V596&gt;175,W596&gt;=55,W596&lt;95),0.17,0)+IF(AND(V596&gt;175,W596&gt;=95),0.12,0),
IF(AF596="DoEVni",IF(AND(V596&lt;20,W596&lt;55),0.3,0)+IF(AND(V596&lt;20,W596&gt;=55,W596&lt;105),0.23,0)+IF(AND(V596&lt;20,W596&gt;=105),0.17,0)+IF(AND(V596&gt;=20,V596&lt;40,W596&lt;45),0.3,0)+IF(AND(V596&gt;=20,V596&lt;40,W596&gt;=45,W596&lt;95),0.23,0)+IF(AND(V596&gt;=20,V596&lt;40,W596&gt;=95,W596&lt;=200),0.17,0)+IF(AND(V596&gt;=20,V596&lt;40,W596&gt;=200),0.12,0)+IF(AND(V596&gt;=40,V596&lt;75,W596&lt;35),0.3,0)+IF(AND(V596&gt;=40,V596&lt;75,W596&gt;=35,W596&lt;75),0.23,0)+IF(AND(V596&gt;=40,V596&lt;75,W596&gt;=75,W596&lt;120),0.17,0)+IF(AND(V596&gt;=40,V596&lt;75,W596&gt;=120),0.12,0)+IF(AND(V596&gt;=75,V596&lt;175,W596&lt;35),0.3,0)+IF(AND(V596&gt;=75,V596&lt;=175,W596&gt;=35,W596&lt;65),0.23,0)+IF(AND(V596&gt;=75,V596&lt;=175,W596&gt;=65,W596&lt;110),0.17,0)+IF(AND(V596&gt;=75,V596&lt;=175,W596&gt;=110),0.12,0)+IF(AND(V596&gt;175,W596&lt;25),0.3,0)+IF(AND(V596&gt;175,W596&gt;=25,W596&lt;55),0.23,0)+IF(AND(V596&gt;175,W596&gt;=55,W596&lt;95),0.17,0)+IF(AND(V596&gt;175,W596&gt;=95),0.12,0),
IF(AF596="DoEVLo",IF(AND(V596&lt;20,W596&lt;55),0.25,0)+IF(AND(V596&lt;20,W596&gt;=55,W596&lt;105),0.2,0)+IF(AND(V596&lt;20,W596&gt;=105),0.15,0)+IF(AND(V596&gt;=20,V596&lt;40,W596&lt;45),0.25,0)+IF(AND(V596&gt;=20,V596&lt;40,W596&gt;=45,W596&lt;95),0.2,0)+IF(AND(V596&gt;=20,V596&lt;40,W596&gt;=95),0.15,0)+IF(AND(V596&gt;=40,V596&lt;75,W596&lt;35),0.25,0)+IF(AND(V596&gt;=40,V596&lt;75,W596&gt;=35,W596&lt;75),0.2,0)+IF(AND(V596&gt;=40,V596&lt;75,W596&gt;=75,W596&lt;120),0.15,0)+IF(AND(V596&gt;=40,V596&lt;75,W596&gt;=120),0.1,0)+IF(AND(V596&gt;=75,V596&lt;175,W596&lt;35),0.25,0)+IF(AND(V596&gt;=75,V596&lt;=175,W596&gt;=35,W596&lt;65),0.2,0)+IF(AND(V596&gt;=75,V596&lt;=175,W596&gt;=65,W596&lt;110),0.15,0)+IF(AND(V596&gt;=75,V596&lt;=175,W596&gt;=110),0.1,0)+IF(AND(V596&gt;175,W596&lt;25),0.25,0)+IF(AND(V596&gt;175,W596&gt;=25,W596&lt;55),0.2,0)+IF(AND(V596&gt;175,W596&gt;=55,W596&lt;95),0.15,0)+IF(AND(V596&gt;175,W596&gt;=95),0.1,0)))))))))))))))))</f>
        <v>0.15</v>
      </c>
      <c r="Y596" s="30">
        <f>IF(AG596="None",0,IF(AG596="Fix5",0.05, IF(AG596="Fix6.25",0.0625,IF(AG596="Fix3.75",0.0375,IF(AG596="Fix10",0.1,IF(AG596="Fix3",0.03,0))))))</f>
        <v>0</v>
      </c>
      <c r="Z596" s="35">
        <f>T596-AA596-AB596</f>
        <v>-6855</v>
      </c>
      <c r="AA596" s="60">
        <v>-1210</v>
      </c>
      <c r="AB596" s="36">
        <f>IF(AD596="EUR",((T596-R596)*Y596)*U596+(R596*Y596),(T596*Y596))</f>
        <v>0</v>
      </c>
      <c r="AC596" s="37" t="b">
        <v>1</v>
      </c>
      <c r="AD596" s="61" t="s">
        <v>38</v>
      </c>
      <c r="AE596" s="83" t="s">
        <v>38</v>
      </c>
      <c r="AF596" s="37" t="str">
        <f t="array" ref="AF596">INDEX('Deal Info'!D:D, MATCH(A596,'Deal Info'!A:A, 0))</f>
        <v>Fix15</v>
      </c>
      <c r="AG596" s="38" t="str">
        <f t="array" ref="AG596">INDEX('Deal Info'!G:G, MATCH(A596,'Deal Info'!A:A, 0))</f>
        <v>None</v>
      </c>
    </row>
    <row r="597" spans="1:33" ht="14.25" hidden="1" x14ac:dyDescent="0.2">
      <c r="A597" s="18" t="str">
        <f t="array" ref="A597">IF(G597='Room Info'!$B$1, INDEX('Room Info'!$A$2:$A2446, MATCH(B597,'Room Info'!$B$2:$B2446, 0)),IF(G597='Room Info'!$C$1, INDEX('Room Info'!$A$2:$A2446, MATCH(B597,'Room Info'!$C$2:$C2446, 0)),IF(G597='Room Info'!$D$1, INDEX('Room Info'!$A$2:$A2446, MATCH(B597,'Room Info'!$D$2:$D2446, 0)),IF(G597='Room Info'!$E$1, INDEX('Room Info'!$A$2:$A2446, MATCH(B597,'Room Info'!$E$2:$E2446, 0)),IF(G597='Room Info'!$F$1, INDEX('Room Info'!$A$2:$A2446, MATCH(B597,'Room Info'!$F$2:$F2446, 0)),IF(G597='Room Info'!$H$1, INDEX('Room Info'!$A$2:$A2446, MATCH(B597,'Room Info'!$H$2:$H2446, 0)),IF(G597='Room Info'!$G$1, INDEX('Room Info'!$A$2:$A2446, MATCH(B597,'Room Info'!$G$2:$G2446, 0)))))))))</f>
        <v>fraum@rta</v>
      </c>
      <c r="B597" s="45" t="s">
        <v>152</v>
      </c>
      <c r="C597" s="46">
        <v>44713</v>
      </c>
      <c r="D597" s="46">
        <v>44742</v>
      </c>
      <c r="E597" s="47">
        <v>44713</v>
      </c>
      <c r="F597" s="48" t="s">
        <v>41</v>
      </c>
      <c r="G597" s="45" t="s">
        <v>80</v>
      </c>
      <c r="H597" s="49" t="s">
        <v>153</v>
      </c>
      <c r="I597" s="49" t="s">
        <v>81</v>
      </c>
      <c r="J597" s="50">
        <v>200</v>
      </c>
      <c r="K597" s="51">
        <v>217</v>
      </c>
      <c r="L597" s="52">
        <v>-3200</v>
      </c>
      <c r="M597" s="53">
        <v>2462</v>
      </c>
      <c r="N597" s="28">
        <f>K597*J597</f>
        <v>43400</v>
      </c>
      <c r="O597" s="54">
        <v>-767</v>
      </c>
      <c r="P597" s="29">
        <v>-3.534562212</v>
      </c>
      <c r="Q597" s="55"/>
      <c r="R597" s="31">
        <f>M597+Q597</f>
        <v>2462</v>
      </c>
      <c r="S597" s="56"/>
      <c r="T597" s="32">
        <f>R597+S597+IF(F597="Without EV deal",L597,0)</f>
        <v>-738</v>
      </c>
      <c r="U597" s="57">
        <v>1</v>
      </c>
      <c r="V597" s="58"/>
      <c r="W597" s="58"/>
      <c r="X597" s="30">
        <f>IF(AF597="DoEV",IF(AND(V597&lt;20,W597&lt;55),0.3,0)+IF(AND(V597&lt;20,W597&gt;=55,W597&lt;105),0.23,0)+IF(AND(V597&lt;20,W597&gt;=105),0.17,0)+IF(AND(V597&gt;=20,V597&lt;40,W597&lt;45),0.3,0)+IF(AND(V597&gt;=20,V597&lt;40,W597&gt;=45,W597&lt;95),0.23,0)+IF(AND(V597&gt;=20,V597&lt;40,W597&gt;=95),0.17,0)+IF(AND(V597&gt;=40,V597&lt;75,W597&lt;35),0.3,0)+IF(AND(V597&gt;=40,V597&lt;75,W597&gt;=35,W597&lt;75),0.23,0)+IF(AND(V597&gt;=40,V597&lt;75,W597&gt;=75,W597&lt;120),0.17,0)+IF(AND(V597&gt;=40,V597&lt;75,W597&gt;=120),0.12,0)+IF(AND(V597&gt;=75,V597&lt;175,W597&lt;35),0.3,0)+IF(AND(V597&gt;=75,V597&lt;=175,W597&gt;=35,W597&lt;65),0.23,0)+IF(AND(V597&gt;=75,V597&lt;=175,W597&gt;=65,W597&lt;110),0.17,0)+IF(AND(V597&gt;=75,V597&lt;=175,W597&gt;=110),0.12,0)+IF(AND(V597&gt;175,W597&lt;25),0.3,0)+IF(AND(V597&gt;175,W597&gt;=25,W597&lt;55),0.23,0)+IF(AND(V597&gt;175,W597&gt;=55,W597&lt;95),0.17,0)+IF(AND(V597&gt;175,W597&gt;=95),0.12,0),
IF(AF597="Fix15",0.15,
IF(AF597="Fix18.75",0.1875,
IF(AF597="Fix11.25",0.1125,
IF(AF597="Fix10",0.1,
IF(AF597="Fix9",0.09,
IF(AF597="DoEV2017",IF(AND(W597&lt;74),0.2,0)+IF(AND(W597&gt;=74),0.17,0),
IF(AF597="SF",IF(AND(V597&lt;20,W597&lt;89),0.3,0)+IF(AND(V597&lt;20,W597&gt;=89),0.25,0)+IF(AND(V597&gt;=20,V597&lt;40,W597&lt;74),0.3,0)+IF(AND(V597&gt;=20,V597&lt;40,W597&gt;=75),0.22,0)+IF(AND(V597&gt;=40,V597&lt;75,W597&lt;75),0.26,0)+IF(AND(V597&gt;=40,V597&lt;75,W597&gt;=75),0.22,0)+IF(V597&gt;=75,0.22,0),
IF(AF597="DoEVold",IF(AND(V597&lt;40,W597&lt;35),0.35,0)+IF(AND(V597&lt;40,W597&gt;=35,W597&lt;75),0.25,0)+IF(AND(V597&lt;40,W597&gt;=75),0.17,0)+IF(AND(V597&gt;=40,V597&lt;75,W597&lt;25),0.35,0)+IF(AND(V597&gt;=40,V597&lt;75,W597&gt;=25,W597&lt;65),0.25,0)+IF(AND(V597&gt;=40,V597&lt;75,W597&gt;=65,W597&lt;100),0.17,0)+IF(AND(V597&gt;=40,V597&lt;75,W597&gt;=100),0.1,0)+IF(AND(V597&gt;=75,W597&lt;25),0.35,0)+IF(AND(V597&gt;=75,W597&gt;=25,W597&lt;60),0.25,0)+IF(AND(V597&gt;=75,W597&gt;=60,W597&lt;95),0.17,0)+IF(AND(V597&gt;=75,W597&gt;=95),0.1,0),
IF(AF597="DoEVold15",IF(AND(V597&lt;=40,W597&lt;35),0.35,0)+IF(AND(V597&lt;=40,W597&gt;=35,W597&lt;75),0.25,0)+IF(AND(V597&lt;=40,W597&gt;=75,W597&lt;120),0.17,0)+IF(AND(V597&lt;=40,W597&gt;=120),0.15,0)+IF(AND(V597&gt;40,V597&lt;75,W597&lt;25),0.35,0)+IF(AND(V597&gt;=40,V597&lt;75,W597&gt;=25,W597&lt;65),0.25,0)+IF(AND(V597&gt;=40,V597&lt;75,W597&gt;=65,W597&lt;100),0.17,0)+IF(AND(V597&gt;=40,V597&lt;75,W597&gt;=100),0.1,0)+IF(AND(V597&gt;=75,W597&lt;25),0.35,0)+IF(AND(V597&gt;=75,W597&gt;=25,W597&lt;60),0.25,0)+IF(AND(V597&gt;=75,W597&gt;=60,W597&lt;95),0.17,0)+IF(AND(V597&gt;=75,W597&gt;=95),0.1,0),
IF(AF597="DoEVba",IF(AND(V597&lt;20,W597&lt;105),0.2,0)+IF(AND(V597&lt;20,W597&gt;=105),0.15,0)+IF(AND(V597&gt;=20,V597&lt;40,W597&lt;95),0.2,0)+IF(AND(V597&gt;=20,V597&lt;40,W597&gt;=95,W597&lt;150),0.15,0)+IF(AND(V597&gt;=20,V597&lt;40,W597&gt;=150),0.12,0)+IF(AND(V597&gt;=40,V597&lt;75,W597&lt;75),0.2,0)+IF(AND(V597&gt;=40,V597&lt;75,W597&gt;=75,W597&lt;120),0.15,0)+IF(AND(V597&gt;=40,V597&lt;75,W597&gt;=120),0.12,0)+IF(AND(V597&gt;=75,V597&lt;175,W597&lt;65),0.2,0)+IF(AND(V597&gt;=75,V597&lt;175,W597&gt;=65,W597&lt;110),0.15,0)+IF(AND(V597&gt;=75,V597&lt;175,W597&gt;=110),0.12,0)+IF(AND(V597&gt;=175,W597&lt;55),0.2,0)+IF(AND(V597&gt;=175,W597&gt;=55,W597&lt;95),0.15,0)+IF(AND(V597&gt;=175,W597&gt;=95),0.12,0),
IF(AF597="DoEVku",IF(AND(V597&lt;20,W597&lt;55),0.23,0)+IF(AND(V597&lt;20,W597&gt;=55,W597&lt;105),0.2,0)+IF(AND(V597&lt;20,W597&gt;=105),0.17,0)+IF(AND(V597&gt;=20,V597&lt;40,W597&lt;45),0.23,0)+IF(AND(V597&gt;=20,V597&lt;40,W597&gt;=45,W597&lt;95),0.2,0)+IF(AND(V597&gt;=20,V597&lt;40,W597&gt;=95,W597&lt;=150),0.17,0)+IF(AND(V597&gt;=20,V597&lt;40,W597&gt;=150),0.12,0)+IF(AND(V597&gt;=40,V597&lt;75,W597&lt;35),0.23,0)+IF(AND(V597&gt;=40,V597&lt;75,W597&gt;=35,W597&lt;75),0.2,0)+IF(AND(V597&gt;=40,V597&lt;75,W597&gt;=75,W597&lt;120),0.17,0)+IF(AND(V597&gt;=40,V597&lt;75,W597&gt;=120),0.12,0)+IF(AND(V597&gt;=75,V597&lt;175,W597&lt;35),0.23,0)+IF(AND(V597&gt;=75,V597&lt;=175,W597&gt;=35,W597&lt;65),0.2,0)+IF(AND(V597&gt;=75,V597&lt;=175,W597&gt;=65,W597&lt;110),0.17,0)+IF(AND(V597&gt;=75,V597&lt;=175,W597&gt;=110),0.12,0)+IF(AND(V597&gt;175,W597&lt;25),0.23,0)+IF(AND(V597&gt;175,W597&gt;=25,W597&lt;55),0.2,0)+IF(AND(V597&gt;175,W597&gt;=55,W597&lt;95),0.17,0)+IF(AND(V597&gt;175,W597&gt;=95),0.12,0),
IF(AF597="DoEVs1",IF(AND(V597&lt;20,W597&lt;55),0.3,0)+IF(AND(V597&lt;20,W597&gt;=55,W597&lt;105),0.23,0)+IF(AND(V597&lt;20,W597&gt;=105),0.17,0)+IF(AND(V597&gt;=20,V597&lt;40,W597&lt;45),0.3,0)+IF(AND(V597&gt;=20,V597&lt;40,W597&gt;=45,W597&lt;95),0.23,0)+IF(AND(V597&gt;=20,V597&lt;40,W597&gt;=95,W597&lt;=150),0.17,0)+IF(AND(V597&gt;=20,V597&lt;40,W597&gt;=150),0.12,0)+IF(AND(V597&gt;=40,V597&lt;75,W597&lt;35),0.3,0)+IF(AND(V597&gt;=40,V597&lt;75,W597&gt;=35,W597&lt;75),0.23,0)+IF(AND(V597&gt;=40,V597&lt;75,W597&gt;=75,W597&lt;120),0.17,0)+IF(AND(V597&gt;=40,V597&lt;75,W597&gt;=120),0.12,0)+IF(AND(V597&gt;=75,V597&lt;175,W597&lt;35),0.3,0)+IF(AND(V597&gt;=75,V597&lt;=175,W597&gt;=35,W597&lt;65),0.23,0)+IF(AND(V597&gt;=75,V597&lt;=175,W597&gt;=65,W597&lt;110),0.17,0)+IF(AND(V597&gt;=75,V597&lt;=175,W597&gt;=110),0.12,0)+IF(AND(V597&gt;175,W597&lt;25),0.3,0)+IF(AND(V597&gt;175,W597&gt;=25,W597&lt;55),0.23,0)+IF(AND(V597&gt;175,W597&gt;=55,W597&lt;95),0.17,0)+IF(AND(V597&gt;175,W597&gt;=95),0.12,0),
IF(AF597="DoEVsu",IF(AND(V597&lt;20,W597&lt;55),0.3,0)+IF(AND(V597&lt;20,W597&gt;=55,W597&lt;105),0.23,0)+IF(AND(V597&lt;20,W597&gt;=105),0.17,0)+IF(AND(V597&gt;=20,V597&lt;40,W597&lt;45),0.3,0)+IF(AND(V597&gt;=20,V597&lt;40,W597&gt;=45,W597&lt;95),0.23,0)+IF(AND(V597&gt;=20,V597&lt;40,W597&gt;=95,W597&lt;=250),0.17,0)+IF(AND(V597&gt;=20,V597&lt;40,W597&gt;=250),0.12,0)+IF(AND(V597&gt;=40,V597&lt;75,W597&lt;35),0.3,0)+IF(AND(V597&gt;=40,V597&lt;75,W597&gt;=35,W597&lt;75),0.23,0)+IF(AND(V597&gt;=40,V597&lt;75,W597&gt;=75,W597&lt;120),0.17,0)+IF(AND(V597&gt;=40,V597&lt;75,W597&gt;=120),0.12,0)+IF(AND(V597&gt;=75,V597&lt;175,W597&lt;35),0.3,0)+IF(AND(V597&gt;=75,V597&lt;=175,W597&gt;=35,W597&lt;65),0.23,0)+IF(AND(V597&gt;=75,V597&lt;=175,W597&gt;=65,W597&lt;110),0.17,0)+IF(AND(V597&gt;=75,V597&lt;=175,W597&gt;=110),0.12,0)+IF(AND(V597&gt;175,W597&lt;25),0.3,0)+IF(AND(V597&gt;175,W597&gt;=25,W597&lt;55),0.23,0)+IF(AND(V597&gt;175,W597&gt;=55,W597&lt;95),0.17,0)+IF(AND(V597&gt;175,W597&gt;=95),0.12,0),
IF(AF597="DoEVni",IF(AND(V597&lt;20,W597&lt;55),0.3,0)+IF(AND(V597&lt;20,W597&gt;=55,W597&lt;105),0.23,0)+IF(AND(V597&lt;20,W597&gt;=105),0.17,0)+IF(AND(V597&gt;=20,V597&lt;40,W597&lt;45),0.3,0)+IF(AND(V597&gt;=20,V597&lt;40,W597&gt;=45,W597&lt;95),0.23,0)+IF(AND(V597&gt;=20,V597&lt;40,W597&gt;=95,W597&lt;=200),0.17,0)+IF(AND(V597&gt;=20,V597&lt;40,W597&gt;=200),0.12,0)+IF(AND(V597&gt;=40,V597&lt;75,W597&lt;35),0.3,0)+IF(AND(V597&gt;=40,V597&lt;75,W597&gt;=35,W597&lt;75),0.23,0)+IF(AND(V597&gt;=40,V597&lt;75,W597&gt;=75,W597&lt;120),0.17,0)+IF(AND(V597&gt;=40,V597&lt;75,W597&gt;=120),0.12,0)+IF(AND(V597&gt;=75,V597&lt;175,W597&lt;35),0.3,0)+IF(AND(V597&gt;=75,V597&lt;=175,W597&gt;=35,W597&lt;65),0.23,0)+IF(AND(V597&gt;=75,V597&lt;=175,W597&gt;=65,W597&lt;110),0.17,0)+IF(AND(V597&gt;=75,V597&lt;=175,W597&gt;=110),0.12,0)+IF(AND(V597&gt;175,W597&lt;25),0.3,0)+IF(AND(V597&gt;175,W597&gt;=25,W597&lt;55),0.23,0)+IF(AND(V597&gt;175,W597&gt;=55,W597&lt;95),0.17,0)+IF(AND(V597&gt;175,W597&gt;=95),0.12,0),
IF(AF597="DoEVLo",IF(AND(V597&lt;20,W597&lt;55),0.25,0)+IF(AND(V597&lt;20,W597&gt;=55,W597&lt;105),0.2,0)+IF(AND(V597&lt;20,W597&gt;=105),0.15,0)+IF(AND(V597&gt;=20,V597&lt;40,W597&lt;45),0.25,0)+IF(AND(V597&gt;=20,V597&lt;40,W597&gt;=45,W597&lt;95),0.2,0)+IF(AND(V597&gt;=20,V597&lt;40,W597&gt;=95),0.15,0)+IF(AND(V597&gt;=40,V597&lt;75,W597&lt;35),0.25,0)+IF(AND(V597&gt;=40,V597&lt;75,W597&gt;=35,W597&lt;75),0.2,0)+IF(AND(V597&gt;=40,V597&lt;75,W597&gt;=75,W597&lt;120),0.15,0)+IF(AND(V597&gt;=40,V597&lt;75,W597&gt;=120),0.1,0)+IF(AND(V597&gt;=75,V597&lt;175,W597&lt;35),0.25,0)+IF(AND(V597&gt;=75,V597&lt;=175,W597&gt;=35,W597&lt;65),0.2,0)+IF(AND(V597&gt;=75,V597&lt;=175,W597&gt;=65,W597&lt;110),0.15,0)+IF(AND(V597&gt;=75,V597&lt;=175,W597&gt;=110),0.1,0)+IF(AND(V597&gt;175,W597&lt;25),0.25,0)+IF(AND(V597&gt;175,W597&gt;=25,W597&lt;55),0.2,0)+IF(AND(V597&gt;175,W597&gt;=55,W597&lt;95),0.15,0)+IF(AND(V597&gt;175,W597&gt;=95),0.1,0)))))))))))))))))</f>
        <v>0.15</v>
      </c>
      <c r="Y597" s="30">
        <f>IF(AG597="None",0,IF(AG597="Fix5",0.05, IF(AG597="Fix6.25",0.0625,IF(AG597="Fix3.75",0.0375,IF(AG597="Fix10",0.1,IF(AG597="Fix3",0.03,0))))))</f>
        <v>0</v>
      </c>
      <c r="Z597" s="35">
        <f>T597-AA597-AB597</f>
        <v>-627</v>
      </c>
      <c r="AA597" s="60">
        <v>-111</v>
      </c>
      <c r="AB597" s="36">
        <f>IF(AD597="EUR",((T597-R597)*Y597)*U597+(R597*Y597),(T597*Y597))</f>
        <v>0</v>
      </c>
      <c r="AC597" s="37" t="b">
        <v>1</v>
      </c>
      <c r="AD597" s="61" t="s">
        <v>38</v>
      </c>
      <c r="AE597" s="83" t="s">
        <v>38</v>
      </c>
      <c r="AF597" s="37" t="str">
        <f t="array" ref="AF597">INDEX('Deal Info'!D:D, MATCH(A597,'Deal Info'!A:A, 0))</f>
        <v>Fix15</v>
      </c>
      <c r="AG597" s="38" t="str">
        <f t="array" ref="AG597">INDEX('Deal Info'!G:G, MATCH(A597,'Deal Info'!A:A, 0))</f>
        <v>None</v>
      </c>
    </row>
    <row r="598" spans="1:33" ht="14.25" hidden="1" x14ac:dyDescent="0.2">
      <c r="A598" s="18" t="str">
        <f t="array" ref="A598">IF(G598='Room Info'!$B$1, INDEX('Room Info'!$A$2:$A2446, MATCH(B598,'Room Info'!$B$2:$B2446, 0)),IF(G598='Room Info'!$C$1, INDEX('Room Info'!$A$2:$A2446, MATCH(B598,'Room Info'!$C$2:$C2446, 0)),IF(G598='Room Info'!$D$1, INDEX('Room Info'!$A$2:$A2446, MATCH(B598,'Room Info'!$D$2:$D2446, 0)),IF(G598='Room Info'!$E$1, INDEX('Room Info'!$A$2:$A2446, MATCH(B598,'Room Info'!$E$2:$E2446, 0)),IF(G598='Room Info'!$F$1, INDEX('Room Info'!$A$2:$A2446, MATCH(B598,'Room Info'!$F$2:$F2446, 0)),IF(G598='Room Info'!$H$1, INDEX('Room Info'!$A$2:$A2446, MATCH(B598,'Room Info'!$H$2:$H2446, 0)),IF(G598='Room Info'!$G$1, INDEX('Room Info'!$A$2:$A2446, MATCH(B598,'Room Info'!$G$2:$G2446, 0)))))))))</f>
        <v>fraum@rta</v>
      </c>
      <c r="B598" s="45" t="s">
        <v>152</v>
      </c>
      <c r="C598" s="46">
        <v>44743</v>
      </c>
      <c r="D598" s="46">
        <v>44773</v>
      </c>
      <c r="E598" s="47">
        <v>44743</v>
      </c>
      <c r="F598" s="48" t="s">
        <v>49</v>
      </c>
      <c r="G598" s="45" t="s">
        <v>80</v>
      </c>
      <c r="H598" s="49" t="s">
        <v>70</v>
      </c>
      <c r="I598" s="49" t="s">
        <v>81</v>
      </c>
      <c r="J598" s="50">
        <v>100</v>
      </c>
      <c r="K598" s="51">
        <v>4314</v>
      </c>
      <c r="L598" s="52">
        <v>-16100</v>
      </c>
      <c r="M598" s="53">
        <v>23419</v>
      </c>
      <c r="N598" s="28">
        <f>K598*J598</f>
        <v>431400</v>
      </c>
      <c r="O598" s="54">
        <v>29721</v>
      </c>
      <c r="P598" s="29">
        <v>6.889429764</v>
      </c>
      <c r="Q598" s="55"/>
      <c r="R598" s="31">
        <f>M598+Q598</f>
        <v>23419</v>
      </c>
      <c r="S598" s="56">
        <v>-22613</v>
      </c>
      <c r="T598" s="32">
        <f>R598+S598+IF(F598="Without EV deal",L598,0)</f>
        <v>806</v>
      </c>
      <c r="U598" s="57">
        <v>1</v>
      </c>
      <c r="V598" s="58"/>
      <c r="W598" s="58"/>
      <c r="X598" s="30">
        <f>IF(AF598="DoEV",IF(AND(V598&lt;20,W598&lt;55),0.3,0)+IF(AND(V598&lt;20,W598&gt;=55,W598&lt;105),0.23,0)+IF(AND(V598&lt;20,W598&gt;=105),0.17,0)+IF(AND(V598&gt;=20,V598&lt;40,W598&lt;45),0.3,0)+IF(AND(V598&gt;=20,V598&lt;40,W598&gt;=45,W598&lt;95),0.23,0)+IF(AND(V598&gt;=20,V598&lt;40,W598&gt;=95),0.17,0)+IF(AND(V598&gt;=40,V598&lt;75,W598&lt;35),0.3,0)+IF(AND(V598&gt;=40,V598&lt;75,W598&gt;=35,W598&lt;75),0.23,0)+IF(AND(V598&gt;=40,V598&lt;75,W598&gt;=75,W598&lt;120),0.17,0)+IF(AND(V598&gt;=40,V598&lt;75,W598&gt;=120),0.12,0)+IF(AND(V598&gt;=75,V598&lt;175,W598&lt;35),0.3,0)+IF(AND(V598&gt;=75,V598&lt;=175,W598&gt;=35,W598&lt;65),0.23,0)+IF(AND(V598&gt;=75,V598&lt;=175,W598&gt;=65,W598&lt;110),0.17,0)+IF(AND(V598&gt;=75,V598&lt;=175,W598&gt;=110),0.12,0)+IF(AND(V598&gt;175,W598&lt;25),0.3,0)+IF(AND(V598&gt;175,W598&gt;=25,W598&lt;55),0.23,0)+IF(AND(V598&gt;175,W598&gt;=55,W598&lt;95),0.17,0)+IF(AND(V598&gt;175,W598&gt;=95),0.12,0),
IF(AF598="Fix15",0.15,
IF(AF598="Fix18.75",0.1875,
IF(AF598="Fix11.25",0.1125,
IF(AF598="Fix10",0.1,
IF(AF598="Fix9",0.09,
IF(AF598="DoEV2017",IF(AND(W598&lt;74),0.2,0)+IF(AND(W598&gt;=74),0.17,0),
IF(AF598="SF",IF(AND(V598&lt;20,W598&lt;89),0.3,0)+IF(AND(V598&lt;20,W598&gt;=89),0.25,0)+IF(AND(V598&gt;=20,V598&lt;40,W598&lt;74),0.3,0)+IF(AND(V598&gt;=20,V598&lt;40,W598&gt;=75),0.22,0)+IF(AND(V598&gt;=40,V598&lt;75,W598&lt;75),0.26,0)+IF(AND(V598&gt;=40,V598&lt;75,W598&gt;=75),0.22,0)+IF(V598&gt;=75,0.22,0),
IF(AF598="DoEVold",IF(AND(V598&lt;40,W598&lt;35),0.35,0)+IF(AND(V598&lt;40,W598&gt;=35,W598&lt;75),0.25,0)+IF(AND(V598&lt;40,W598&gt;=75),0.17,0)+IF(AND(V598&gt;=40,V598&lt;75,W598&lt;25),0.35,0)+IF(AND(V598&gt;=40,V598&lt;75,W598&gt;=25,W598&lt;65),0.25,0)+IF(AND(V598&gt;=40,V598&lt;75,W598&gt;=65,W598&lt;100),0.17,0)+IF(AND(V598&gt;=40,V598&lt;75,W598&gt;=100),0.1,0)+IF(AND(V598&gt;=75,W598&lt;25),0.35,0)+IF(AND(V598&gt;=75,W598&gt;=25,W598&lt;60),0.25,0)+IF(AND(V598&gt;=75,W598&gt;=60,W598&lt;95),0.17,0)+IF(AND(V598&gt;=75,W598&gt;=95),0.1,0),
IF(AF598="DoEVold15",IF(AND(V598&lt;=40,W598&lt;35),0.35,0)+IF(AND(V598&lt;=40,W598&gt;=35,W598&lt;75),0.25,0)+IF(AND(V598&lt;=40,W598&gt;=75,W598&lt;120),0.17,0)+IF(AND(V598&lt;=40,W598&gt;=120),0.15,0)+IF(AND(V598&gt;40,V598&lt;75,W598&lt;25),0.35,0)+IF(AND(V598&gt;=40,V598&lt;75,W598&gt;=25,W598&lt;65),0.25,0)+IF(AND(V598&gt;=40,V598&lt;75,W598&gt;=65,W598&lt;100),0.17,0)+IF(AND(V598&gt;=40,V598&lt;75,W598&gt;=100),0.1,0)+IF(AND(V598&gt;=75,W598&lt;25),0.35,0)+IF(AND(V598&gt;=75,W598&gt;=25,W598&lt;60),0.25,0)+IF(AND(V598&gt;=75,W598&gt;=60,W598&lt;95),0.17,0)+IF(AND(V598&gt;=75,W598&gt;=95),0.1,0),
IF(AF598="DoEVba",IF(AND(V598&lt;20,W598&lt;105),0.2,0)+IF(AND(V598&lt;20,W598&gt;=105),0.15,0)+IF(AND(V598&gt;=20,V598&lt;40,W598&lt;95),0.2,0)+IF(AND(V598&gt;=20,V598&lt;40,W598&gt;=95,W598&lt;150),0.15,0)+IF(AND(V598&gt;=20,V598&lt;40,W598&gt;=150),0.12,0)+IF(AND(V598&gt;=40,V598&lt;75,W598&lt;75),0.2,0)+IF(AND(V598&gt;=40,V598&lt;75,W598&gt;=75,W598&lt;120),0.15,0)+IF(AND(V598&gt;=40,V598&lt;75,W598&gt;=120),0.12,0)+IF(AND(V598&gt;=75,V598&lt;175,W598&lt;65),0.2,0)+IF(AND(V598&gt;=75,V598&lt;175,W598&gt;=65,W598&lt;110),0.15,0)+IF(AND(V598&gt;=75,V598&lt;175,W598&gt;=110),0.12,0)+IF(AND(V598&gt;=175,W598&lt;55),0.2,0)+IF(AND(V598&gt;=175,W598&gt;=55,W598&lt;95),0.15,0)+IF(AND(V598&gt;=175,W598&gt;=95),0.12,0),
IF(AF598="DoEVku",IF(AND(V598&lt;20,W598&lt;55),0.23,0)+IF(AND(V598&lt;20,W598&gt;=55,W598&lt;105),0.2,0)+IF(AND(V598&lt;20,W598&gt;=105),0.17,0)+IF(AND(V598&gt;=20,V598&lt;40,W598&lt;45),0.23,0)+IF(AND(V598&gt;=20,V598&lt;40,W598&gt;=45,W598&lt;95),0.2,0)+IF(AND(V598&gt;=20,V598&lt;40,W598&gt;=95,W598&lt;=150),0.17,0)+IF(AND(V598&gt;=20,V598&lt;40,W598&gt;=150),0.12,0)+IF(AND(V598&gt;=40,V598&lt;75,W598&lt;35),0.23,0)+IF(AND(V598&gt;=40,V598&lt;75,W598&gt;=35,W598&lt;75),0.2,0)+IF(AND(V598&gt;=40,V598&lt;75,W598&gt;=75,W598&lt;120),0.17,0)+IF(AND(V598&gt;=40,V598&lt;75,W598&gt;=120),0.12,0)+IF(AND(V598&gt;=75,V598&lt;175,W598&lt;35),0.23,0)+IF(AND(V598&gt;=75,V598&lt;=175,W598&gt;=35,W598&lt;65),0.2,0)+IF(AND(V598&gt;=75,V598&lt;=175,W598&gt;=65,W598&lt;110),0.17,0)+IF(AND(V598&gt;=75,V598&lt;=175,W598&gt;=110),0.12,0)+IF(AND(V598&gt;175,W598&lt;25),0.23,0)+IF(AND(V598&gt;175,W598&gt;=25,W598&lt;55),0.2,0)+IF(AND(V598&gt;175,W598&gt;=55,W598&lt;95),0.17,0)+IF(AND(V598&gt;175,W598&gt;=95),0.12,0),
IF(AF598="DoEVs1",IF(AND(V598&lt;20,W598&lt;55),0.3,0)+IF(AND(V598&lt;20,W598&gt;=55,W598&lt;105),0.23,0)+IF(AND(V598&lt;20,W598&gt;=105),0.17,0)+IF(AND(V598&gt;=20,V598&lt;40,W598&lt;45),0.3,0)+IF(AND(V598&gt;=20,V598&lt;40,W598&gt;=45,W598&lt;95),0.23,0)+IF(AND(V598&gt;=20,V598&lt;40,W598&gt;=95,W598&lt;=150),0.17,0)+IF(AND(V598&gt;=20,V598&lt;40,W598&gt;=150),0.12,0)+IF(AND(V598&gt;=40,V598&lt;75,W598&lt;35),0.3,0)+IF(AND(V598&gt;=40,V598&lt;75,W598&gt;=35,W598&lt;75),0.23,0)+IF(AND(V598&gt;=40,V598&lt;75,W598&gt;=75,W598&lt;120),0.17,0)+IF(AND(V598&gt;=40,V598&lt;75,W598&gt;=120),0.12,0)+IF(AND(V598&gt;=75,V598&lt;175,W598&lt;35),0.3,0)+IF(AND(V598&gt;=75,V598&lt;=175,W598&gt;=35,W598&lt;65),0.23,0)+IF(AND(V598&gt;=75,V598&lt;=175,W598&gt;=65,W598&lt;110),0.17,0)+IF(AND(V598&gt;=75,V598&lt;=175,W598&gt;=110),0.12,0)+IF(AND(V598&gt;175,W598&lt;25),0.3,0)+IF(AND(V598&gt;175,W598&gt;=25,W598&lt;55),0.23,0)+IF(AND(V598&gt;175,W598&gt;=55,W598&lt;95),0.17,0)+IF(AND(V598&gt;175,W598&gt;=95),0.12,0),
IF(AF598="DoEVsu",IF(AND(V598&lt;20,W598&lt;55),0.3,0)+IF(AND(V598&lt;20,W598&gt;=55,W598&lt;105),0.23,0)+IF(AND(V598&lt;20,W598&gt;=105),0.17,0)+IF(AND(V598&gt;=20,V598&lt;40,W598&lt;45),0.3,0)+IF(AND(V598&gt;=20,V598&lt;40,W598&gt;=45,W598&lt;95),0.23,0)+IF(AND(V598&gt;=20,V598&lt;40,W598&gt;=95,W598&lt;=250),0.17,0)+IF(AND(V598&gt;=20,V598&lt;40,W598&gt;=250),0.12,0)+IF(AND(V598&gt;=40,V598&lt;75,W598&lt;35),0.3,0)+IF(AND(V598&gt;=40,V598&lt;75,W598&gt;=35,W598&lt;75),0.23,0)+IF(AND(V598&gt;=40,V598&lt;75,W598&gt;=75,W598&lt;120),0.17,0)+IF(AND(V598&gt;=40,V598&lt;75,W598&gt;=120),0.12,0)+IF(AND(V598&gt;=75,V598&lt;175,W598&lt;35),0.3,0)+IF(AND(V598&gt;=75,V598&lt;=175,W598&gt;=35,W598&lt;65),0.23,0)+IF(AND(V598&gt;=75,V598&lt;=175,W598&gt;=65,W598&lt;110),0.17,0)+IF(AND(V598&gt;=75,V598&lt;=175,W598&gt;=110),0.12,0)+IF(AND(V598&gt;175,W598&lt;25),0.3,0)+IF(AND(V598&gt;175,W598&gt;=25,W598&lt;55),0.23,0)+IF(AND(V598&gt;175,W598&gt;=55,W598&lt;95),0.17,0)+IF(AND(V598&gt;175,W598&gt;=95),0.12,0),
IF(AF598="DoEVni",IF(AND(V598&lt;20,W598&lt;55),0.3,0)+IF(AND(V598&lt;20,W598&gt;=55,W598&lt;105),0.23,0)+IF(AND(V598&lt;20,W598&gt;=105),0.17,0)+IF(AND(V598&gt;=20,V598&lt;40,W598&lt;45),0.3,0)+IF(AND(V598&gt;=20,V598&lt;40,W598&gt;=45,W598&lt;95),0.23,0)+IF(AND(V598&gt;=20,V598&lt;40,W598&gt;=95,W598&lt;=200),0.17,0)+IF(AND(V598&gt;=20,V598&lt;40,W598&gt;=200),0.12,0)+IF(AND(V598&gt;=40,V598&lt;75,W598&lt;35),0.3,0)+IF(AND(V598&gt;=40,V598&lt;75,W598&gt;=35,W598&lt;75),0.23,0)+IF(AND(V598&gt;=40,V598&lt;75,W598&gt;=75,W598&lt;120),0.17,0)+IF(AND(V598&gt;=40,V598&lt;75,W598&gt;=120),0.12,0)+IF(AND(V598&gt;=75,V598&lt;175,W598&lt;35),0.3,0)+IF(AND(V598&gt;=75,V598&lt;=175,W598&gt;=35,W598&lt;65),0.23,0)+IF(AND(V598&gt;=75,V598&lt;=175,W598&gt;=65,W598&lt;110),0.17,0)+IF(AND(V598&gt;=75,V598&lt;=175,W598&gt;=110),0.12,0)+IF(AND(V598&gt;175,W598&lt;25),0.3,0)+IF(AND(V598&gt;175,W598&gt;=25,W598&lt;55),0.23,0)+IF(AND(V598&gt;175,W598&gt;=55,W598&lt;95),0.17,0)+IF(AND(V598&gt;175,W598&gt;=95),0.12,0),
IF(AF598="DoEVLo",IF(AND(V598&lt;20,W598&lt;55),0.25,0)+IF(AND(V598&lt;20,W598&gt;=55,W598&lt;105),0.2,0)+IF(AND(V598&lt;20,W598&gt;=105),0.15,0)+IF(AND(V598&gt;=20,V598&lt;40,W598&lt;45),0.25,0)+IF(AND(V598&gt;=20,V598&lt;40,W598&gt;=45,W598&lt;95),0.2,0)+IF(AND(V598&gt;=20,V598&lt;40,W598&gt;=95),0.15,0)+IF(AND(V598&gt;=40,V598&lt;75,W598&lt;35),0.25,0)+IF(AND(V598&gt;=40,V598&lt;75,W598&gt;=35,W598&lt;75),0.2,0)+IF(AND(V598&gt;=40,V598&lt;75,W598&gt;=75,W598&lt;120),0.15,0)+IF(AND(V598&gt;=40,V598&lt;75,W598&gt;=120),0.1,0)+IF(AND(V598&gt;=75,V598&lt;175,W598&lt;35),0.25,0)+IF(AND(V598&gt;=75,V598&lt;=175,W598&gt;=35,W598&lt;65),0.2,0)+IF(AND(V598&gt;=75,V598&lt;=175,W598&gt;=65,W598&lt;110),0.15,0)+IF(AND(V598&gt;=75,V598&lt;=175,W598&gt;=110),0.1,0)+IF(AND(V598&gt;175,W598&lt;25),0.25,0)+IF(AND(V598&gt;175,W598&gt;=25,W598&lt;55),0.2,0)+IF(AND(V598&gt;175,W598&gt;=55,W598&lt;95),0.15,0)+IF(AND(V598&gt;175,W598&gt;=95),0.1,0)))))))))))))))))</f>
        <v>0.15</v>
      </c>
      <c r="Y598" s="30">
        <f>IF(AG598="None",0,IF(AG598="Fix5",0.05, IF(AG598="Fix6.25",0.0625,IF(AG598="Fix3.75",0.0375,IF(AG598="Fix10",0.1,IF(AG598="Fix3",0.03,0))))))</f>
        <v>0</v>
      </c>
      <c r="Z598" s="35">
        <f>T598-AA598-AB598</f>
        <v>685</v>
      </c>
      <c r="AA598" s="60">
        <v>121</v>
      </c>
      <c r="AB598" s="36">
        <f>IF(AD598="EUR",((T598-R598)*Y598)*U598+(R598*Y598),(T598*Y598))</f>
        <v>0</v>
      </c>
      <c r="AC598" s="37" t="b">
        <v>1</v>
      </c>
      <c r="AD598" s="61" t="s">
        <v>38</v>
      </c>
      <c r="AE598" s="83" t="s">
        <v>38</v>
      </c>
      <c r="AF598" s="37" t="str">
        <f t="array" ref="AF598">INDEX('Deal Info'!D:D, MATCH(A598,'Deal Info'!A:A, 0))</f>
        <v>Fix15</v>
      </c>
      <c r="AG598" s="38" t="str">
        <f t="array" ref="AG598">INDEX('Deal Info'!G:G, MATCH(A598,'Deal Info'!A:A, 0))</f>
        <v>None</v>
      </c>
    </row>
    <row r="599" spans="1:33" ht="14.25" hidden="1" x14ac:dyDescent="0.2">
      <c r="A599" s="18" t="str">
        <f t="array" ref="A599">IF(G599='Room Info'!$B$1, INDEX('Room Info'!$A$2:$A2446, MATCH(B599,'Room Info'!$B$2:$B2446, 0)),IF(G599='Room Info'!$C$1, INDEX('Room Info'!$A$2:$A2446, MATCH(B599,'Room Info'!$C$2:$C2446, 0)),IF(G599='Room Info'!$D$1, INDEX('Room Info'!$A$2:$A2446, MATCH(B599,'Room Info'!$D$2:$D2446, 0)),IF(G599='Room Info'!$E$1, INDEX('Room Info'!$A$2:$A2446, MATCH(B599,'Room Info'!$E$2:$E2446, 0)),IF(G599='Room Info'!$F$1, INDEX('Room Info'!$A$2:$A2446, MATCH(B599,'Room Info'!$F$2:$F2446, 0)),IF(G599='Room Info'!$H$1, INDEX('Room Info'!$A$2:$A2446, MATCH(B599,'Room Info'!$H$2:$H2446, 0)),IF(G599='Room Info'!$G$1, INDEX('Room Info'!$A$2:$A2446, MATCH(B599,'Room Info'!$G$2:$G2446, 0)))))))))</f>
        <v>fraum@rta</v>
      </c>
      <c r="B599" s="45" t="s">
        <v>152</v>
      </c>
      <c r="C599" s="46">
        <v>44774</v>
      </c>
      <c r="D599" s="46">
        <v>44804</v>
      </c>
      <c r="E599" s="47">
        <v>44774</v>
      </c>
      <c r="F599" s="48" t="s">
        <v>49</v>
      </c>
      <c r="G599" s="45" t="s">
        <v>80</v>
      </c>
      <c r="H599" s="49" t="s">
        <v>70</v>
      </c>
      <c r="I599" s="49" t="s">
        <v>81</v>
      </c>
      <c r="J599" s="50">
        <v>100</v>
      </c>
      <c r="K599" s="51">
        <v>6021</v>
      </c>
      <c r="L599" s="52">
        <v>-21100</v>
      </c>
      <c r="M599" s="53">
        <v>33023</v>
      </c>
      <c r="N599" s="28">
        <f>K599*J599</f>
        <v>602100</v>
      </c>
      <c r="O599" s="54">
        <v>79909</v>
      </c>
      <c r="P599" s="29">
        <v>13.27171566</v>
      </c>
      <c r="Q599" s="55"/>
      <c r="R599" s="31">
        <f>M599+Q599</f>
        <v>33023</v>
      </c>
      <c r="S599" s="56">
        <v>-22601</v>
      </c>
      <c r="T599" s="32">
        <f>R599+S599+IF(F599="Without EV deal",L599,0)</f>
        <v>10422</v>
      </c>
      <c r="U599" s="57">
        <v>1</v>
      </c>
      <c r="V599" s="58"/>
      <c r="W599" s="58"/>
      <c r="X599" s="30">
        <f>IF(AF599="DoEV",IF(AND(V599&lt;20,W599&lt;55),0.3,0)+IF(AND(V599&lt;20,W599&gt;=55,W599&lt;105),0.23,0)+IF(AND(V599&lt;20,W599&gt;=105),0.17,0)+IF(AND(V599&gt;=20,V599&lt;40,W599&lt;45),0.3,0)+IF(AND(V599&gt;=20,V599&lt;40,W599&gt;=45,W599&lt;95),0.23,0)+IF(AND(V599&gt;=20,V599&lt;40,W599&gt;=95),0.17,0)+IF(AND(V599&gt;=40,V599&lt;75,W599&lt;35),0.3,0)+IF(AND(V599&gt;=40,V599&lt;75,W599&gt;=35,W599&lt;75),0.23,0)+IF(AND(V599&gt;=40,V599&lt;75,W599&gt;=75,W599&lt;120),0.17,0)+IF(AND(V599&gt;=40,V599&lt;75,W599&gt;=120),0.12,0)+IF(AND(V599&gt;=75,V599&lt;175,W599&lt;35),0.3,0)+IF(AND(V599&gt;=75,V599&lt;=175,W599&gt;=35,W599&lt;65),0.23,0)+IF(AND(V599&gt;=75,V599&lt;=175,W599&gt;=65,W599&lt;110),0.17,0)+IF(AND(V599&gt;=75,V599&lt;=175,W599&gt;=110),0.12,0)+IF(AND(V599&gt;175,W599&lt;25),0.3,0)+IF(AND(V599&gt;175,W599&gt;=25,W599&lt;55),0.23,0)+IF(AND(V599&gt;175,W599&gt;=55,W599&lt;95),0.17,0)+IF(AND(V599&gt;175,W599&gt;=95),0.12,0),
IF(AF599="Fix15",0.15,
IF(AF599="Fix18.75",0.1875,
IF(AF599="Fix11.25",0.1125,
IF(AF599="Fix10",0.1,
IF(AF599="Fix9",0.09,
IF(AF599="DoEV2017",IF(AND(W599&lt;74),0.2,0)+IF(AND(W599&gt;=74),0.17,0),
IF(AF599="SF",IF(AND(V599&lt;20,W599&lt;89),0.3,0)+IF(AND(V599&lt;20,W599&gt;=89),0.25,0)+IF(AND(V599&gt;=20,V599&lt;40,W599&lt;74),0.3,0)+IF(AND(V599&gt;=20,V599&lt;40,W599&gt;=75),0.22,0)+IF(AND(V599&gt;=40,V599&lt;75,W599&lt;75),0.26,0)+IF(AND(V599&gt;=40,V599&lt;75,W599&gt;=75),0.22,0)+IF(V599&gt;=75,0.22,0),
IF(AF599="DoEVold",IF(AND(V599&lt;40,W599&lt;35),0.35,0)+IF(AND(V599&lt;40,W599&gt;=35,W599&lt;75),0.25,0)+IF(AND(V599&lt;40,W599&gt;=75),0.17,0)+IF(AND(V599&gt;=40,V599&lt;75,W599&lt;25),0.35,0)+IF(AND(V599&gt;=40,V599&lt;75,W599&gt;=25,W599&lt;65),0.25,0)+IF(AND(V599&gt;=40,V599&lt;75,W599&gt;=65,W599&lt;100),0.17,0)+IF(AND(V599&gt;=40,V599&lt;75,W599&gt;=100),0.1,0)+IF(AND(V599&gt;=75,W599&lt;25),0.35,0)+IF(AND(V599&gt;=75,W599&gt;=25,W599&lt;60),0.25,0)+IF(AND(V599&gt;=75,W599&gt;=60,W599&lt;95),0.17,0)+IF(AND(V599&gt;=75,W599&gt;=95),0.1,0),
IF(AF599="DoEVold15",IF(AND(V599&lt;=40,W599&lt;35),0.35,0)+IF(AND(V599&lt;=40,W599&gt;=35,W599&lt;75),0.25,0)+IF(AND(V599&lt;=40,W599&gt;=75,W599&lt;120),0.17,0)+IF(AND(V599&lt;=40,W599&gt;=120),0.15,0)+IF(AND(V599&gt;40,V599&lt;75,W599&lt;25),0.35,0)+IF(AND(V599&gt;=40,V599&lt;75,W599&gt;=25,W599&lt;65),0.25,0)+IF(AND(V599&gt;=40,V599&lt;75,W599&gt;=65,W599&lt;100),0.17,0)+IF(AND(V599&gt;=40,V599&lt;75,W599&gt;=100),0.1,0)+IF(AND(V599&gt;=75,W599&lt;25),0.35,0)+IF(AND(V599&gt;=75,W599&gt;=25,W599&lt;60),0.25,0)+IF(AND(V599&gt;=75,W599&gt;=60,W599&lt;95),0.17,0)+IF(AND(V599&gt;=75,W599&gt;=95),0.1,0),
IF(AF599="DoEVba",IF(AND(V599&lt;20,W599&lt;105),0.2,0)+IF(AND(V599&lt;20,W599&gt;=105),0.15,0)+IF(AND(V599&gt;=20,V599&lt;40,W599&lt;95),0.2,0)+IF(AND(V599&gt;=20,V599&lt;40,W599&gt;=95,W599&lt;150),0.15,0)+IF(AND(V599&gt;=20,V599&lt;40,W599&gt;=150),0.12,0)+IF(AND(V599&gt;=40,V599&lt;75,W599&lt;75),0.2,0)+IF(AND(V599&gt;=40,V599&lt;75,W599&gt;=75,W599&lt;120),0.15,0)+IF(AND(V599&gt;=40,V599&lt;75,W599&gt;=120),0.12,0)+IF(AND(V599&gt;=75,V599&lt;175,W599&lt;65),0.2,0)+IF(AND(V599&gt;=75,V599&lt;175,W599&gt;=65,W599&lt;110),0.15,0)+IF(AND(V599&gt;=75,V599&lt;175,W599&gt;=110),0.12,0)+IF(AND(V599&gt;=175,W599&lt;55),0.2,0)+IF(AND(V599&gt;=175,W599&gt;=55,W599&lt;95),0.15,0)+IF(AND(V599&gt;=175,W599&gt;=95),0.12,0),
IF(AF599="DoEVku",IF(AND(V599&lt;20,W599&lt;55),0.23,0)+IF(AND(V599&lt;20,W599&gt;=55,W599&lt;105),0.2,0)+IF(AND(V599&lt;20,W599&gt;=105),0.17,0)+IF(AND(V599&gt;=20,V599&lt;40,W599&lt;45),0.23,0)+IF(AND(V599&gt;=20,V599&lt;40,W599&gt;=45,W599&lt;95),0.2,0)+IF(AND(V599&gt;=20,V599&lt;40,W599&gt;=95,W599&lt;=150),0.17,0)+IF(AND(V599&gt;=20,V599&lt;40,W599&gt;=150),0.12,0)+IF(AND(V599&gt;=40,V599&lt;75,W599&lt;35),0.23,0)+IF(AND(V599&gt;=40,V599&lt;75,W599&gt;=35,W599&lt;75),0.2,0)+IF(AND(V599&gt;=40,V599&lt;75,W599&gt;=75,W599&lt;120),0.17,0)+IF(AND(V599&gt;=40,V599&lt;75,W599&gt;=120),0.12,0)+IF(AND(V599&gt;=75,V599&lt;175,W599&lt;35),0.23,0)+IF(AND(V599&gt;=75,V599&lt;=175,W599&gt;=35,W599&lt;65),0.2,0)+IF(AND(V599&gt;=75,V599&lt;=175,W599&gt;=65,W599&lt;110),0.17,0)+IF(AND(V599&gt;=75,V599&lt;=175,W599&gt;=110),0.12,0)+IF(AND(V599&gt;175,W599&lt;25),0.23,0)+IF(AND(V599&gt;175,W599&gt;=25,W599&lt;55),0.2,0)+IF(AND(V599&gt;175,W599&gt;=55,W599&lt;95),0.17,0)+IF(AND(V599&gt;175,W599&gt;=95),0.12,0),
IF(AF599="DoEVs1",IF(AND(V599&lt;20,W599&lt;55),0.3,0)+IF(AND(V599&lt;20,W599&gt;=55,W599&lt;105),0.23,0)+IF(AND(V599&lt;20,W599&gt;=105),0.17,0)+IF(AND(V599&gt;=20,V599&lt;40,W599&lt;45),0.3,0)+IF(AND(V599&gt;=20,V599&lt;40,W599&gt;=45,W599&lt;95),0.23,0)+IF(AND(V599&gt;=20,V599&lt;40,W599&gt;=95,W599&lt;=150),0.17,0)+IF(AND(V599&gt;=20,V599&lt;40,W599&gt;=150),0.12,0)+IF(AND(V599&gt;=40,V599&lt;75,W599&lt;35),0.3,0)+IF(AND(V599&gt;=40,V599&lt;75,W599&gt;=35,W599&lt;75),0.23,0)+IF(AND(V599&gt;=40,V599&lt;75,W599&gt;=75,W599&lt;120),0.17,0)+IF(AND(V599&gt;=40,V599&lt;75,W599&gt;=120),0.12,0)+IF(AND(V599&gt;=75,V599&lt;175,W599&lt;35),0.3,0)+IF(AND(V599&gt;=75,V599&lt;=175,W599&gt;=35,W599&lt;65),0.23,0)+IF(AND(V599&gt;=75,V599&lt;=175,W599&gt;=65,W599&lt;110),0.17,0)+IF(AND(V599&gt;=75,V599&lt;=175,W599&gt;=110),0.12,0)+IF(AND(V599&gt;175,W599&lt;25),0.3,0)+IF(AND(V599&gt;175,W599&gt;=25,W599&lt;55),0.23,0)+IF(AND(V599&gt;175,W599&gt;=55,W599&lt;95),0.17,0)+IF(AND(V599&gt;175,W599&gt;=95),0.12,0),
IF(AF599="DoEVsu",IF(AND(V599&lt;20,W599&lt;55),0.3,0)+IF(AND(V599&lt;20,W599&gt;=55,W599&lt;105),0.23,0)+IF(AND(V599&lt;20,W599&gt;=105),0.17,0)+IF(AND(V599&gt;=20,V599&lt;40,W599&lt;45),0.3,0)+IF(AND(V599&gt;=20,V599&lt;40,W599&gt;=45,W599&lt;95),0.23,0)+IF(AND(V599&gt;=20,V599&lt;40,W599&gt;=95,W599&lt;=250),0.17,0)+IF(AND(V599&gt;=20,V599&lt;40,W599&gt;=250),0.12,0)+IF(AND(V599&gt;=40,V599&lt;75,W599&lt;35),0.3,0)+IF(AND(V599&gt;=40,V599&lt;75,W599&gt;=35,W599&lt;75),0.23,0)+IF(AND(V599&gt;=40,V599&lt;75,W599&gt;=75,W599&lt;120),0.17,0)+IF(AND(V599&gt;=40,V599&lt;75,W599&gt;=120),0.12,0)+IF(AND(V599&gt;=75,V599&lt;175,W599&lt;35),0.3,0)+IF(AND(V599&gt;=75,V599&lt;=175,W599&gt;=35,W599&lt;65),0.23,0)+IF(AND(V599&gt;=75,V599&lt;=175,W599&gt;=65,W599&lt;110),0.17,0)+IF(AND(V599&gt;=75,V599&lt;=175,W599&gt;=110),0.12,0)+IF(AND(V599&gt;175,W599&lt;25),0.3,0)+IF(AND(V599&gt;175,W599&gt;=25,W599&lt;55),0.23,0)+IF(AND(V599&gt;175,W599&gt;=55,W599&lt;95),0.17,0)+IF(AND(V599&gt;175,W599&gt;=95),0.12,0),
IF(AF599="DoEVni",IF(AND(V599&lt;20,W599&lt;55),0.3,0)+IF(AND(V599&lt;20,W599&gt;=55,W599&lt;105),0.23,0)+IF(AND(V599&lt;20,W599&gt;=105),0.17,0)+IF(AND(V599&gt;=20,V599&lt;40,W599&lt;45),0.3,0)+IF(AND(V599&gt;=20,V599&lt;40,W599&gt;=45,W599&lt;95),0.23,0)+IF(AND(V599&gt;=20,V599&lt;40,W599&gt;=95,W599&lt;=200),0.17,0)+IF(AND(V599&gt;=20,V599&lt;40,W599&gt;=200),0.12,0)+IF(AND(V599&gt;=40,V599&lt;75,W599&lt;35),0.3,0)+IF(AND(V599&gt;=40,V599&lt;75,W599&gt;=35,W599&lt;75),0.23,0)+IF(AND(V599&gt;=40,V599&lt;75,W599&gt;=75,W599&lt;120),0.17,0)+IF(AND(V599&gt;=40,V599&lt;75,W599&gt;=120),0.12,0)+IF(AND(V599&gt;=75,V599&lt;175,W599&lt;35),0.3,0)+IF(AND(V599&gt;=75,V599&lt;=175,W599&gt;=35,W599&lt;65),0.23,0)+IF(AND(V599&gt;=75,V599&lt;=175,W599&gt;=65,W599&lt;110),0.17,0)+IF(AND(V599&gt;=75,V599&lt;=175,W599&gt;=110),0.12,0)+IF(AND(V599&gt;175,W599&lt;25),0.3,0)+IF(AND(V599&gt;175,W599&gt;=25,W599&lt;55),0.23,0)+IF(AND(V599&gt;175,W599&gt;=55,W599&lt;95),0.17,0)+IF(AND(V599&gt;175,W599&gt;=95),0.12,0),
IF(AF599="DoEVLo",IF(AND(V599&lt;20,W599&lt;55),0.25,0)+IF(AND(V599&lt;20,W599&gt;=55,W599&lt;105),0.2,0)+IF(AND(V599&lt;20,W599&gt;=105),0.15,0)+IF(AND(V599&gt;=20,V599&lt;40,W599&lt;45),0.25,0)+IF(AND(V599&gt;=20,V599&lt;40,W599&gt;=45,W599&lt;95),0.2,0)+IF(AND(V599&gt;=20,V599&lt;40,W599&gt;=95),0.15,0)+IF(AND(V599&gt;=40,V599&lt;75,W599&lt;35),0.25,0)+IF(AND(V599&gt;=40,V599&lt;75,W599&gt;=35,W599&lt;75),0.2,0)+IF(AND(V599&gt;=40,V599&lt;75,W599&gt;=75,W599&lt;120),0.15,0)+IF(AND(V599&gt;=40,V599&lt;75,W599&gt;=120),0.1,0)+IF(AND(V599&gt;=75,V599&lt;175,W599&lt;35),0.25,0)+IF(AND(V599&gt;=75,V599&lt;=175,W599&gt;=35,W599&lt;65),0.2,0)+IF(AND(V599&gt;=75,V599&lt;=175,W599&gt;=65,W599&lt;110),0.15,0)+IF(AND(V599&gt;=75,V599&lt;=175,W599&gt;=110),0.1,0)+IF(AND(V599&gt;175,W599&lt;25),0.25,0)+IF(AND(V599&gt;175,W599&gt;=25,W599&lt;55),0.2,0)+IF(AND(V599&gt;175,W599&gt;=55,W599&lt;95),0.15,0)+IF(AND(V599&gt;175,W599&gt;=95),0.1,0)))))))))))))))))</f>
        <v>0.15</v>
      </c>
      <c r="Y599" s="30">
        <f>IF(AG599="None",0,IF(AG599="Fix5",0.05, IF(AG599="Fix6.25",0.0625,IF(AG599="Fix3.75",0.0375,IF(AG599="Fix10",0.1,IF(AG599="Fix3",0.03,0))))))</f>
        <v>0</v>
      </c>
      <c r="Z599" s="35">
        <f>T599-AA599-AB599</f>
        <v>8859</v>
      </c>
      <c r="AA599" s="60">
        <v>1563</v>
      </c>
      <c r="AB599" s="36">
        <f>IF(AD599="EUR",((T599-R599)*Y599)*U599+(R599*Y599),(T599*Y599))</f>
        <v>0</v>
      </c>
      <c r="AC599" s="37" t="b">
        <v>1</v>
      </c>
      <c r="AD599" s="61" t="s">
        <v>38</v>
      </c>
      <c r="AE599" s="83" t="s">
        <v>38</v>
      </c>
      <c r="AF599" s="37" t="str">
        <f t="array" ref="AF599">INDEX('Deal Info'!D:D, MATCH(A599,'Deal Info'!A:A, 0))</f>
        <v>Fix15</v>
      </c>
      <c r="AG599" s="38" t="str">
        <f t="array" ref="AG599">INDEX('Deal Info'!G:G, MATCH(A599,'Deal Info'!A:A, 0))</f>
        <v>None</v>
      </c>
    </row>
    <row r="600" spans="1:33" ht="14.25" hidden="1" x14ac:dyDescent="0.2">
      <c r="A600" s="18" t="str">
        <f t="array" ref="A600">IF(G600='Room Info'!$B$1, INDEX('Room Info'!$A$2:$A2446, MATCH(B600,'Room Info'!$B$2:$B2446, 0)),IF(G600='Room Info'!$C$1, INDEX('Room Info'!$A$2:$A2446, MATCH(B600,'Room Info'!$C$2:$C2446, 0)),IF(G600='Room Info'!$D$1, INDEX('Room Info'!$A$2:$A2446, MATCH(B600,'Room Info'!$D$2:$D2446, 0)),IF(G600='Room Info'!$E$1, INDEX('Room Info'!$A$2:$A2446, MATCH(B600,'Room Info'!$E$2:$E2446, 0)),IF(G600='Room Info'!$F$1, INDEX('Room Info'!$A$2:$A2446, MATCH(B600,'Room Info'!$F$2:$F2446, 0)),IF(G600='Room Info'!$H$1, INDEX('Room Info'!$A$2:$A2446, MATCH(B600,'Room Info'!$H$2:$H2446, 0)),IF(G600='Room Info'!$G$1, INDEX('Room Info'!$A$2:$A2446, MATCH(B600,'Room Info'!$G$2:$G2446, 0)))))))))</f>
        <v>fraum@rta</v>
      </c>
      <c r="B600" s="45" t="s">
        <v>152</v>
      </c>
      <c r="C600" s="46">
        <v>44805</v>
      </c>
      <c r="D600" s="46">
        <v>44834</v>
      </c>
      <c r="E600" s="47">
        <v>44805</v>
      </c>
      <c r="F600" s="48" t="s">
        <v>49</v>
      </c>
      <c r="G600" s="45" t="s">
        <v>80</v>
      </c>
      <c r="H600" s="49" t="s">
        <v>70</v>
      </c>
      <c r="I600" s="49" t="s">
        <v>81</v>
      </c>
      <c r="J600" s="50">
        <v>100</v>
      </c>
      <c r="K600" s="51">
        <v>1704</v>
      </c>
      <c r="L600" s="52">
        <v>-10700</v>
      </c>
      <c r="M600" s="53">
        <v>6277</v>
      </c>
      <c r="N600" s="28">
        <f>K600*J600</f>
        <v>170400</v>
      </c>
      <c r="O600" s="54">
        <v>-711</v>
      </c>
      <c r="P600" s="29">
        <v>-0.41725352110000002</v>
      </c>
      <c r="Q600" s="55"/>
      <c r="R600" s="31">
        <f>M600+Q600</f>
        <v>6277</v>
      </c>
      <c r="S600" s="56">
        <v>-11796</v>
      </c>
      <c r="T600" s="32">
        <f>R600+S600+IF(F600="Without EV deal",L600,0)</f>
        <v>-5519</v>
      </c>
      <c r="U600" s="57">
        <v>1</v>
      </c>
      <c r="V600" s="58"/>
      <c r="W600" s="58"/>
      <c r="X600" s="30">
        <f>IF(AF600="DoEV",IF(AND(V600&lt;20,W600&lt;55),0.3,0)+IF(AND(V600&lt;20,W600&gt;=55,W600&lt;105),0.23,0)+IF(AND(V600&lt;20,W600&gt;=105),0.17,0)+IF(AND(V600&gt;=20,V600&lt;40,W600&lt;45),0.3,0)+IF(AND(V600&gt;=20,V600&lt;40,W600&gt;=45,W600&lt;95),0.23,0)+IF(AND(V600&gt;=20,V600&lt;40,W600&gt;=95),0.17,0)+IF(AND(V600&gt;=40,V600&lt;75,W600&lt;35),0.3,0)+IF(AND(V600&gt;=40,V600&lt;75,W600&gt;=35,W600&lt;75),0.23,0)+IF(AND(V600&gt;=40,V600&lt;75,W600&gt;=75,W600&lt;120),0.17,0)+IF(AND(V600&gt;=40,V600&lt;75,W600&gt;=120),0.12,0)+IF(AND(V600&gt;=75,V600&lt;175,W600&lt;35),0.3,0)+IF(AND(V600&gt;=75,V600&lt;=175,W600&gt;=35,W600&lt;65),0.23,0)+IF(AND(V600&gt;=75,V600&lt;=175,W600&gt;=65,W600&lt;110),0.17,0)+IF(AND(V600&gt;=75,V600&lt;=175,W600&gt;=110),0.12,0)+IF(AND(V600&gt;175,W600&lt;25),0.3,0)+IF(AND(V600&gt;175,W600&gt;=25,W600&lt;55),0.23,0)+IF(AND(V600&gt;175,W600&gt;=55,W600&lt;95),0.17,0)+IF(AND(V600&gt;175,W600&gt;=95),0.12,0),
IF(AF600="Fix15",0.15,
IF(AF600="Fix18.75",0.1875,
IF(AF600="Fix11.25",0.1125,
IF(AF600="Fix10",0.1,
IF(AF600="Fix9",0.09,
IF(AF600="DoEV2017",IF(AND(W600&lt;74),0.2,0)+IF(AND(W600&gt;=74),0.17,0),
IF(AF600="SF",IF(AND(V600&lt;20,W600&lt;89),0.3,0)+IF(AND(V600&lt;20,W600&gt;=89),0.25,0)+IF(AND(V600&gt;=20,V600&lt;40,W600&lt;74),0.3,0)+IF(AND(V600&gt;=20,V600&lt;40,W600&gt;=75),0.22,0)+IF(AND(V600&gt;=40,V600&lt;75,W600&lt;75),0.26,0)+IF(AND(V600&gt;=40,V600&lt;75,W600&gt;=75),0.22,0)+IF(V600&gt;=75,0.22,0),
IF(AF600="DoEVold",IF(AND(V600&lt;40,W600&lt;35),0.35,0)+IF(AND(V600&lt;40,W600&gt;=35,W600&lt;75),0.25,0)+IF(AND(V600&lt;40,W600&gt;=75),0.17,0)+IF(AND(V600&gt;=40,V600&lt;75,W600&lt;25),0.35,0)+IF(AND(V600&gt;=40,V600&lt;75,W600&gt;=25,W600&lt;65),0.25,0)+IF(AND(V600&gt;=40,V600&lt;75,W600&gt;=65,W600&lt;100),0.17,0)+IF(AND(V600&gt;=40,V600&lt;75,W600&gt;=100),0.1,0)+IF(AND(V600&gt;=75,W600&lt;25),0.35,0)+IF(AND(V600&gt;=75,W600&gt;=25,W600&lt;60),0.25,0)+IF(AND(V600&gt;=75,W600&gt;=60,W600&lt;95),0.17,0)+IF(AND(V600&gt;=75,W600&gt;=95),0.1,0),
IF(AF600="DoEVold15",IF(AND(V600&lt;=40,W600&lt;35),0.35,0)+IF(AND(V600&lt;=40,W600&gt;=35,W600&lt;75),0.25,0)+IF(AND(V600&lt;=40,W600&gt;=75,W600&lt;120),0.17,0)+IF(AND(V600&lt;=40,W600&gt;=120),0.15,0)+IF(AND(V600&gt;40,V600&lt;75,W600&lt;25),0.35,0)+IF(AND(V600&gt;=40,V600&lt;75,W600&gt;=25,W600&lt;65),0.25,0)+IF(AND(V600&gt;=40,V600&lt;75,W600&gt;=65,W600&lt;100),0.17,0)+IF(AND(V600&gt;=40,V600&lt;75,W600&gt;=100),0.1,0)+IF(AND(V600&gt;=75,W600&lt;25),0.35,0)+IF(AND(V600&gt;=75,W600&gt;=25,W600&lt;60),0.25,0)+IF(AND(V600&gt;=75,W600&gt;=60,W600&lt;95),0.17,0)+IF(AND(V600&gt;=75,W600&gt;=95),0.1,0),
IF(AF600="DoEVba",IF(AND(V600&lt;20,W600&lt;105),0.2,0)+IF(AND(V600&lt;20,W600&gt;=105),0.15,0)+IF(AND(V600&gt;=20,V600&lt;40,W600&lt;95),0.2,0)+IF(AND(V600&gt;=20,V600&lt;40,W600&gt;=95,W600&lt;150),0.15,0)+IF(AND(V600&gt;=20,V600&lt;40,W600&gt;=150),0.12,0)+IF(AND(V600&gt;=40,V600&lt;75,W600&lt;75),0.2,0)+IF(AND(V600&gt;=40,V600&lt;75,W600&gt;=75,W600&lt;120),0.15,0)+IF(AND(V600&gt;=40,V600&lt;75,W600&gt;=120),0.12,0)+IF(AND(V600&gt;=75,V600&lt;175,W600&lt;65),0.2,0)+IF(AND(V600&gt;=75,V600&lt;175,W600&gt;=65,W600&lt;110),0.15,0)+IF(AND(V600&gt;=75,V600&lt;175,W600&gt;=110),0.12,0)+IF(AND(V600&gt;=175,W600&lt;55),0.2,0)+IF(AND(V600&gt;=175,W600&gt;=55,W600&lt;95),0.15,0)+IF(AND(V600&gt;=175,W600&gt;=95),0.12,0),
IF(AF600="DoEVku",IF(AND(V600&lt;20,W600&lt;55),0.23,0)+IF(AND(V600&lt;20,W600&gt;=55,W600&lt;105),0.2,0)+IF(AND(V600&lt;20,W600&gt;=105),0.17,0)+IF(AND(V600&gt;=20,V600&lt;40,W600&lt;45),0.23,0)+IF(AND(V600&gt;=20,V600&lt;40,W600&gt;=45,W600&lt;95),0.2,0)+IF(AND(V600&gt;=20,V600&lt;40,W600&gt;=95,W600&lt;=150),0.17,0)+IF(AND(V600&gt;=20,V600&lt;40,W600&gt;=150),0.12,0)+IF(AND(V600&gt;=40,V600&lt;75,W600&lt;35),0.23,0)+IF(AND(V600&gt;=40,V600&lt;75,W600&gt;=35,W600&lt;75),0.2,0)+IF(AND(V600&gt;=40,V600&lt;75,W600&gt;=75,W600&lt;120),0.17,0)+IF(AND(V600&gt;=40,V600&lt;75,W600&gt;=120),0.12,0)+IF(AND(V600&gt;=75,V600&lt;175,W600&lt;35),0.23,0)+IF(AND(V600&gt;=75,V600&lt;=175,W600&gt;=35,W600&lt;65),0.2,0)+IF(AND(V600&gt;=75,V600&lt;=175,W600&gt;=65,W600&lt;110),0.17,0)+IF(AND(V600&gt;=75,V600&lt;=175,W600&gt;=110),0.12,0)+IF(AND(V600&gt;175,W600&lt;25),0.23,0)+IF(AND(V600&gt;175,W600&gt;=25,W600&lt;55),0.2,0)+IF(AND(V600&gt;175,W600&gt;=55,W600&lt;95),0.17,0)+IF(AND(V600&gt;175,W600&gt;=95),0.12,0),
IF(AF600="DoEVs1",IF(AND(V600&lt;20,W600&lt;55),0.3,0)+IF(AND(V600&lt;20,W600&gt;=55,W600&lt;105),0.23,0)+IF(AND(V600&lt;20,W600&gt;=105),0.17,0)+IF(AND(V600&gt;=20,V600&lt;40,W600&lt;45),0.3,0)+IF(AND(V600&gt;=20,V600&lt;40,W600&gt;=45,W600&lt;95),0.23,0)+IF(AND(V600&gt;=20,V600&lt;40,W600&gt;=95,W600&lt;=150),0.17,0)+IF(AND(V600&gt;=20,V600&lt;40,W600&gt;=150),0.12,0)+IF(AND(V600&gt;=40,V600&lt;75,W600&lt;35),0.3,0)+IF(AND(V600&gt;=40,V600&lt;75,W600&gt;=35,W600&lt;75),0.23,0)+IF(AND(V600&gt;=40,V600&lt;75,W600&gt;=75,W600&lt;120),0.17,0)+IF(AND(V600&gt;=40,V600&lt;75,W600&gt;=120),0.12,0)+IF(AND(V600&gt;=75,V600&lt;175,W600&lt;35),0.3,0)+IF(AND(V600&gt;=75,V600&lt;=175,W600&gt;=35,W600&lt;65),0.23,0)+IF(AND(V600&gt;=75,V600&lt;=175,W600&gt;=65,W600&lt;110),0.17,0)+IF(AND(V600&gt;=75,V600&lt;=175,W600&gt;=110),0.12,0)+IF(AND(V600&gt;175,W600&lt;25),0.3,0)+IF(AND(V600&gt;175,W600&gt;=25,W600&lt;55),0.23,0)+IF(AND(V600&gt;175,W600&gt;=55,W600&lt;95),0.17,0)+IF(AND(V600&gt;175,W600&gt;=95),0.12,0),
IF(AF600="DoEVsu",IF(AND(V600&lt;20,W600&lt;55),0.3,0)+IF(AND(V600&lt;20,W600&gt;=55,W600&lt;105),0.23,0)+IF(AND(V600&lt;20,W600&gt;=105),0.17,0)+IF(AND(V600&gt;=20,V600&lt;40,W600&lt;45),0.3,0)+IF(AND(V600&gt;=20,V600&lt;40,W600&gt;=45,W600&lt;95),0.23,0)+IF(AND(V600&gt;=20,V600&lt;40,W600&gt;=95,W600&lt;=250),0.17,0)+IF(AND(V600&gt;=20,V600&lt;40,W600&gt;=250),0.12,0)+IF(AND(V600&gt;=40,V600&lt;75,W600&lt;35),0.3,0)+IF(AND(V600&gt;=40,V600&lt;75,W600&gt;=35,W600&lt;75),0.23,0)+IF(AND(V600&gt;=40,V600&lt;75,W600&gt;=75,W600&lt;120),0.17,0)+IF(AND(V600&gt;=40,V600&lt;75,W600&gt;=120),0.12,0)+IF(AND(V600&gt;=75,V600&lt;175,W600&lt;35),0.3,0)+IF(AND(V600&gt;=75,V600&lt;=175,W600&gt;=35,W600&lt;65),0.23,0)+IF(AND(V600&gt;=75,V600&lt;=175,W600&gt;=65,W600&lt;110),0.17,0)+IF(AND(V600&gt;=75,V600&lt;=175,W600&gt;=110),0.12,0)+IF(AND(V600&gt;175,W600&lt;25),0.3,0)+IF(AND(V600&gt;175,W600&gt;=25,W600&lt;55),0.23,0)+IF(AND(V600&gt;175,W600&gt;=55,W600&lt;95),0.17,0)+IF(AND(V600&gt;175,W600&gt;=95),0.12,0),
IF(AF600="DoEVni",IF(AND(V600&lt;20,W600&lt;55),0.3,0)+IF(AND(V600&lt;20,W600&gt;=55,W600&lt;105),0.23,0)+IF(AND(V600&lt;20,W600&gt;=105),0.17,0)+IF(AND(V600&gt;=20,V600&lt;40,W600&lt;45),0.3,0)+IF(AND(V600&gt;=20,V600&lt;40,W600&gt;=45,W600&lt;95),0.23,0)+IF(AND(V600&gt;=20,V600&lt;40,W600&gt;=95,W600&lt;=200),0.17,0)+IF(AND(V600&gt;=20,V600&lt;40,W600&gt;=200),0.12,0)+IF(AND(V600&gt;=40,V600&lt;75,W600&lt;35),0.3,0)+IF(AND(V600&gt;=40,V600&lt;75,W600&gt;=35,W600&lt;75),0.23,0)+IF(AND(V600&gt;=40,V600&lt;75,W600&gt;=75,W600&lt;120),0.17,0)+IF(AND(V600&gt;=40,V600&lt;75,W600&gt;=120),0.12,0)+IF(AND(V600&gt;=75,V600&lt;175,W600&lt;35),0.3,0)+IF(AND(V600&gt;=75,V600&lt;=175,W600&gt;=35,W600&lt;65),0.23,0)+IF(AND(V600&gt;=75,V600&lt;=175,W600&gt;=65,W600&lt;110),0.17,0)+IF(AND(V600&gt;=75,V600&lt;=175,W600&gt;=110),0.12,0)+IF(AND(V600&gt;175,W600&lt;25),0.3,0)+IF(AND(V600&gt;175,W600&gt;=25,W600&lt;55),0.23,0)+IF(AND(V600&gt;175,W600&gt;=55,W600&lt;95),0.17,0)+IF(AND(V600&gt;175,W600&gt;=95),0.12,0),
IF(AF600="DoEVLo",IF(AND(V600&lt;20,W600&lt;55),0.25,0)+IF(AND(V600&lt;20,W600&gt;=55,W600&lt;105),0.2,0)+IF(AND(V600&lt;20,W600&gt;=105),0.15,0)+IF(AND(V600&gt;=20,V600&lt;40,W600&lt;45),0.25,0)+IF(AND(V600&gt;=20,V600&lt;40,W600&gt;=45,W600&lt;95),0.2,0)+IF(AND(V600&gt;=20,V600&lt;40,W600&gt;=95),0.15,0)+IF(AND(V600&gt;=40,V600&lt;75,W600&lt;35),0.25,0)+IF(AND(V600&gt;=40,V600&lt;75,W600&gt;=35,W600&lt;75),0.2,0)+IF(AND(V600&gt;=40,V600&lt;75,W600&gt;=75,W600&lt;120),0.15,0)+IF(AND(V600&gt;=40,V600&lt;75,W600&gt;=120),0.1,0)+IF(AND(V600&gt;=75,V600&lt;175,W600&lt;35),0.25,0)+IF(AND(V600&gt;=75,V600&lt;=175,W600&gt;=35,W600&lt;65),0.2,0)+IF(AND(V600&gt;=75,V600&lt;=175,W600&gt;=65,W600&lt;110),0.15,0)+IF(AND(V600&gt;=75,V600&lt;=175,W600&gt;=110),0.1,0)+IF(AND(V600&gt;175,W600&lt;25),0.25,0)+IF(AND(V600&gt;175,W600&gt;=25,W600&lt;55),0.2,0)+IF(AND(V600&gt;175,W600&gt;=55,W600&lt;95),0.15,0)+IF(AND(V600&gt;175,W600&gt;=95),0.1,0)))))))))))))))))</f>
        <v>0.15</v>
      </c>
      <c r="Y600" s="30">
        <f>IF(AG600="None",0,IF(AG600="Fix5",0.05, IF(AG600="Fix6.25",0.0625,IF(AG600="Fix3.75",0.0375,IF(AG600="Fix10",0.1,IF(AG600="Fix3",0.03,0))))))</f>
        <v>0</v>
      </c>
      <c r="Z600" s="35">
        <f>T600-AA600-AB600</f>
        <v>-4691</v>
      </c>
      <c r="AA600" s="60">
        <v>-828</v>
      </c>
      <c r="AB600" s="36">
        <f>IF(AD600="EUR",((T600-R600)*Y600)*U600+(R600*Y600),(T600*Y600))</f>
        <v>0</v>
      </c>
      <c r="AC600" s="37" t="b">
        <v>1</v>
      </c>
      <c r="AD600" s="61" t="s">
        <v>38</v>
      </c>
      <c r="AE600" s="83" t="s">
        <v>38</v>
      </c>
      <c r="AF600" s="37" t="str">
        <f t="array" ref="AF600">INDEX('Deal Info'!D:D, MATCH(A600,'Deal Info'!A:A, 0))</f>
        <v>Fix15</v>
      </c>
      <c r="AG600" s="38" t="str">
        <f t="array" ref="AG600">INDEX('Deal Info'!G:G, MATCH(A600,'Deal Info'!A:A, 0))</f>
        <v>None</v>
      </c>
    </row>
    <row r="601" spans="1:33" ht="14.25" hidden="1" x14ac:dyDescent="0.2">
      <c r="A601" s="18" t="str">
        <f t="array" ref="A601">IF(G601='Room Info'!$B$1, INDEX('Room Info'!$A$2:$A2446, MATCH(B601,'Room Info'!$B$2:$B2446, 0)),IF(G601='Room Info'!$C$1, INDEX('Room Info'!$A$2:$A2446, MATCH(B601,'Room Info'!$C$2:$C2446, 0)),IF(G601='Room Info'!$D$1, INDEX('Room Info'!$A$2:$A2446, MATCH(B601,'Room Info'!$D$2:$D2446, 0)),IF(G601='Room Info'!$E$1, INDEX('Room Info'!$A$2:$A2446, MATCH(B601,'Room Info'!$E$2:$E2446, 0)),IF(G601='Room Info'!$F$1, INDEX('Room Info'!$A$2:$A2446, MATCH(B601,'Room Info'!$F$2:$F2446, 0)),IF(G601='Room Info'!$H$1, INDEX('Room Info'!$A$2:$A2446, MATCH(B601,'Room Info'!$H$2:$H2446, 0)),IF(G601='Room Info'!$G$1, INDEX('Room Info'!$A$2:$A2446, MATCH(B601,'Room Info'!$G$2:$G2446, 0)))))))))</f>
        <v>fraum@rta</v>
      </c>
      <c r="B601" s="45" t="s">
        <v>152</v>
      </c>
      <c r="C601" s="46">
        <v>44835</v>
      </c>
      <c r="D601" s="46">
        <v>44865</v>
      </c>
      <c r="E601" s="47">
        <v>44835</v>
      </c>
      <c r="F601" s="48" t="s">
        <v>49</v>
      </c>
      <c r="G601" s="45" t="s">
        <v>80</v>
      </c>
      <c r="H601" s="49" t="s">
        <v>70</v>
      </c>
      <c r="I601" s="49" t="s">
        <v>81</v>
      </c>
      <c r="J601" s="50">
        <v>100</v>
      </c>
      <c r="K601" s="51">
        <v>8479</v>
      </c>
      <c r="L601" s="52">
        <v>-12900</v>
      </c>
      <c r="M601" s="53">
        <v>45061</v>
      </c>
      <c r="N601" s="28">
        <f>K601*J601</f>
        <v>847900</v>
      </c>
      <c r="O601" s="54">
        <v>94234</v>
      </c>
      <c r="P601" s="29">
        <v>11.11381059</v>
      </c>
      <c r="Q601" s="55"/>
      <c r="R601" s="31">
        <f>M601+Q601</f>
        <v>45061</v>
      </c>
      <c r="S601" s="56">
        <v>-40416</v>
      </c>
      <c r="T601" s="32">
        <f>R601+S601+IF(F601="Without EV deal",L601,0)</f>
        <v>4645</v>
      </c>
      <c r="U601" s="57">
        <v>1</v>
      </c>
      <c r="V601" s="58"/>
      <c r="W601" s="58"/>
      <c r="X601" s="30">
        <f>IF(AF601="DoEV",IF(AND(V601&lt;20,W601&lt;55),0.3,0)+IF(AND(V601&lt;20,W601&gt;=55,W601&lt;105),0.23,0)+IF(AND(V601&lt;20,W601&gt;=105),0.17,0)+IF(AND(V601&gt;=20,V601&lt;40,W601&lt;45),0.3,0)+IF(AND(V601&gt;=20,V601&lt;40,W601&gt;=45,W601&lt;95),0.23,0)+IF(AND(V601&gt;=20,V601&lt;40,W601&gt;=95),0.17,0)+IF(AND(V601&gt;=40,V601&lt;75,W601&lt;35),0.3,0)+IF(AND(V601&gt;=40,V601&lt;75,W601&gt;=35,W601&lt;75),0.23,0)+IF(AND(V601&gt;=40,V601&lt;75,W601&gt;=75,W601&lt;120),0.17,0)+IF(AND(V601&gt;=40,V601&lt;75,W601&gt;=120),0.12,0)+IF(AND(V601&gt;=75,V601&lt;175,W601&lt;35),0.3,0)+IF(AND(V601&gt;=75,V601&lt;=175,W601&gt;=35,W601&lt;65),0.23,0)+IF(AND(V601&gt;=75,V601&lt;=175,W601&gt;=65,W601&lt;110),0.17,0)+IF(AND(V601&gt;=75,V601&lt;=175,W601&gt;=110),0.12,0)+IF(AND(V601&gt;175,W601&lt;25),0.3,0)+IF(AND(V601&gt;175,W601&gt;=25,W601&lt;55),0.23,0)+IF(AND(V601&gt;175,W601&gt;=55,W601&lt;95),0.17,0)+IF(AND(V601&gt;175,W601&gt;=95),0.12,0),
IF(AF601="Fix15",0.15,
IF(AF601="Fix18.75",0.1875,
IF(AF601="Fix11.25",0.1125,
IF(AF601="Fix10",0.1,
IF(AF601="Fix9",0.09,
IF(AF601="DoEV2017",IF(AND(W601&lt;74),0.2,0)+IF(AND(W601&gt;=74),0.17,0),
IF(AF601="SF",IF(AND(V601&lt;20,W601&lt;89),0.3,0)+IF(AND(V601&lt;20,W601&gt;=89),0.25,0)+IF(AND(V601&gt;=20,V601&lt;40,W601&lt;74),0.3,0)+IF(AND(V601&gt;=20,V601&lt;40,W601&gt;=75),0.22,0)+IF(AND(V601&gt;=40,V601&lt;75,W601&lt;75),0.26,0)+IF(AND(V601&gt;=40,V601&lt;75,W601&gt;=75),0.22,0)+IF(V601&gt;=75,0.22,0),
IF(AF601="DoEVold",IF(AND(V601&lt;40,W601&lt;35),0.35,0)+IF(AND(V601&lt;40,W601&gt;=35,W601&lt;75),0.25,0)+IF(AND(V601&lt;40,W601&gt;=75),0.17,0)+IF(AND(V601&gt;=40,V601&lt;75,W601&lt;25),0.35,0)+IF(AND(V601&gt;=40,V601&lt;75,W601&gt;=25,W601&lt;65),0.25,0)+IF(AND(V601&gt;=40,V601&lt;75,W601&gt;=65,W601&lt;100),0.17,0)+IF(AND(V601&gt;=40,V601&lt;75,W601&gt;=100),0.1,0)+IF(AND(V601&gt;=75,W601&lt;25),0.35,0)+IF(AND(V601&gt;=75,W601&gt;=25,W601&lt;60),0.25,0)+IF(AND(V601&gt;=75,W601&gt;=60,W601&lt;95),0.17,0)+IF(AND(V601&gt;=75,W601&gt;=95),0.1,0),
IF(AF601="DoEVold15",IF(AND(V601&lt;=40,W601&lt;35),0.35,0)+IF(AND(V601&lt;=40,W601&gt;=35,W601&lt;75),0.25,0)+IF(AND(V601&lt;=40,W601&gt;=75,W601&lt;120),0.17,0)+IF(AND(V601&lt;=40,W601&gt;=120),0.15,0)+IF(AND(V601&gt;40,V601&lt;75,W601&lt;25),0.35,0)+IF(AND(V601&gt;=40,V601&lt;75,W601&gt;=25,W601&lt;65),0.25,0)+IF(AND(V601&gt;=40,V601&lt;75,W601&gt;=65,W601&lt;100),0.17,0)+IF(AND(V601&gt;=40,V601&lt;75,W601&gt;=100),0.1,0)+IF(AND(V601&gt;=75,W601&lt;25),0.35,0)+IF(AND(V601&gt;=75,W601&gt;=25,W601&lt;60),0.25,0)+IF(AND(V601&gt;=75,W601&gt;=60,W601&lt;95),0.17,0)+IF(AND(V601&gt;=75,W601&gt;=95),0.1,0),
IF(AF601="DoEVba",IF(AND(V601&lt;20,W601&lt;105),0.2,0)+IF(AND(V601&lt;20,W601&gt;=105),0.15,0)+IF(AND(V601&gt;=20,V601&lt;40,W601&lt;95),0.2,0)+IF(AND(V601&gt;=20,V601&lt;40,W601&gt;=95,W601&lt;150),0.15,0)+IF(AND(V601&gt;=20,V601&lt;40,W601&gt;=150),0.12,0)+IF(AND(V601&gt;=40,V601&lt;75,W601&lt;75),0.2,0)+IF(AND(V601&gt;=40,V601&lt;75,W601&gt;=75,W601&lt;120),0.15,0)+IF(AND(V601&gt;=40,V601&lt;75,W601&gt;=120),0.12,0)+IF(AND(V601&gt;=75,V601&lt;175,W601&lt;65),0.2,0)+IF(AND(V601&gt;=75,V601&lt;175,W601&gt;=65,W601&lt;110),0.15,0)+IF(AND(V601&gt;=75,V601&lt;175,W601&gt;=110),0.12,0)+IF(AND(V601&gt;=175,W601&lt;55),0.2,0)+IF(AND(V601&gt;=175,W601&gt;=55,W601&lt;95),0.15,0)+IF(AND(V601&gt;=175,W601&gt;=95),0.12,0),
IF(AF601="DoEVku",IF(AND(V601&lt;20,W601&lt;55),0.23,0)+IF(AND(V601&lt;20,W601&gt;=55,W601&lt;105),0.2,0)+IF(AND(V601&lt;20,W601&gt;=105),0.17,0)+IF(AND(V601&gt;=20,V601&lt;40,W601&lt;45),0.23,0)+IF(AND(V601&gt;=20,V601&lt;40,W601&gt;=45,W601&lt;95),0.2,0)+IF(AND(V601&gt;=20,V601&lt;40,W601&gt;=95,W601&lt;=150),0.17,0)+IF(AND(V601&gt;=20,V601&lt;40,W601&gt;=150),0.12,0)+IF(AND(V601&gt;=40,V601&lt;75,W601&lt;35),0.23,0)+IF(AND(V601&gt;=40,V601&lt;75,W601&gt;=35,W601&lt;75),0.2,0)+IF(AND(V601&gt;=40,V601&lt;75,W601&gt;=75,W601&lt;120),0.17,0)+IF(AND(V601&gt;=40,V601&lt;75,W601&gt;=120),0.12,0)+IF(AND(V601&gt;=75,V601&lt;175,W601&lt;35),0.23,0)+IF(AND(V601&gt;=75,V601&lt;=175,W601&gt;=35,W601&lt;65),0.2,0)+IF(AND(V601&gt;=75,V601&lt;=175,W601&gt;=65,W601&lt;110),0.17,0)+IF(AND(V601&gt;=75,V601&lt;=175,W601&gt;=110),0.12,0)+IF(AND(V601&gt;175,W601&lt;25),0.23,0)+IF(AND(V601&gt;175,W601&gt;=25,W601&lt;55),0.2,0)+IF(AND(V601&gt;175,W601&gt;=55,W601&lt;95),0.17,0)+IF(AND(V601&gt;175,W601&gt;=95),0.12,0),
IF(AF601="DoEVs1",IF(AND(V601&lt;20,W601&lt;55),0.3,0)+IF(AND(V601&lt;20,W601&gt;=55,W601&lt;105),0.23,0)+IF(AND(V601&lt;20,W601&gt;=105),0.17,0)+IF(AND(V601&gt;=20,V601&lt;40,W601&lt;45),0.3,0)+IF(AND(V601&gt;=20,V601&lt;40,W601&gt;=45,W601&lt;95),0.23,0)+IF(AND(V601&gt;=20,V601&lt;40,W601&gt;=95,W601&lt;=150),0.17,0)+IF(AND(V601&gt;=20,V601&lt;40,W601&gt;=150),0.12,0)+IF(AND(V601&gt;=40,V601&lt;75,W601&lt;35),0.3,0)+IF(AND(V601&gt;=40,V601&lt;75,W601&gt;=35,W601&lt;75),0.23,0)+IF(AND(V601&gt;=40,V601&lt;75,W601&gt;=75,W601&lt;120),0.17,0)+IF(AND(V601&gt;=40,V601&lt;75,W601&gt;=120),0.12,0)+IF(AND(V601&gt;=75,V601&lt;175,W601&lt;35),0.3,0)+IF(AND(V601&gt;=75,V601&lt;=175,W601&gt;=35,W601&lt;65),0.23,0)+IF(AND(V601&gt;=75,V601&lt;=175,W601&gt;=65,W601&lt;110),0.17,0)+IF(AND(V601&gt;=75,V601&lt;=175,W601&gt;=110),0.12,0)+IF(AND(V601&gt;175,W601&lt;25),0.3,0)+IF(AND(V601&gt;175,W601&gt;=25,W601&lt;55),0.23,0)+IF(AND(V601&gt;175,W601&gt;=55,W601&lt;95),0.17,0)+IF(AND(V601&gt;175,W601&gt;=95),0.12,0),
IF(AF601="DoEVsu",IF(AND(V601&lt;20,W601&lt;55),0.3,0)+IF(AND(V601&lt;20,W601&gt;=55,W601&lt;105),0.23,0)+IF(AND(V601&lt;20,W601&gt;=105),0.17,0)+IF(AND(V601&gt;=20,V601&lt;40,W601&lt;45),0.3,0)+IF(AND(V601&gt;=20,V601&lt;40,W601&gt;=45,W601&lt;95),0.23,0)+IF(AND(V601&gt;=20,V601&lt;40,W601&gt;=95,W601&lt;=250),0.17,0)+IF(AND(V601&gt;=20,V601&lt;40,W601&gt;=250),0.12,0)+IF(AND(V601&gt;=40,V601&lt;75,W601&lt;35),0.3,0)+IF(AND(V601&gt;=40,V601&lt;75,W601&gt;=35,W601&lt;75),0.23,0)+IF(AND(V601&gt;=40,V601&lt;75,W601&gt;=75,W601&lt;120),0.17,0)+IF(AND(V601&gt;=40,V601&lt;75,W601&gt;=120),0.12,0)+IF(AND(V601&gt;=75,V601&lt;175,W601&lt;35),0.3,0)+IF(AND(V601&gt;=75,V601&lt;=175,W601&gt;=35,W601&lt;65),0.23,0)+IF(AND(V601&gt;=75,V601&lt;=175,W601&gt;=65,W601&lt;110),0.17,0)+IF(AND(V601&gt;=75,V601&lt;=175,W601&gt;=110),0.12,0)+IF(AND(V601&gt;175,W601&lt;25),0.3,0)+IF(AND(V601&gt;175,W601&gt;=25,W601&lt;55),0.23,0)+IF(AND(V601&gt;175,W601&gt;=55,W601&lt;95),0.17,0)+IF(AND(V601&gt;175,W601&gt;=95),0.12,0),
IF(AF601="DoEVni",IF(AND(V601&lt;20,W601&lt;55),0.3,0)+IF(AND(V601&lt;20,W601&gt;=55,W601&lt;105),0.23,0)+IF(AND(V601&lt;20,W601&gt;=105),0.17,0)+IF(AND(V601&gt;=20,V601&lt;40,W601&lt;45),0.3,0)+IF(AND(V601&gt;=20,V601&lt;40,W601&gt;=45,W601&lt;95),0.23,0)+IF(AND(V601&gt;=20,V601&lt;40,W601&gt;=95,W601&lt;=200),0.17,0)+IF(AND(V601&gt;=20,V601&lt;40,W601&gt;=200),0.12,0)+IF(AND(V601&gt;=40,V601&lt;75,W601&lt;35),0.3,0)+IF(AND(V601&gt;=40,V601&lt;75,W601&gt;=35,W601&lt;75),0.23,0)+IF(AND(V601&gt;=40,V601&lt;75,W601&gt;=75,W601&lt;120),0.17,0)+IF(AND(V601&gt;=40,V601&lt;75,W601&gt;=120),0.12,0)+IF(AND(V601&gt;=75,V601&lt;175,W601&lt;35),0.3,0)+IF(AND(V601&gt;=75,V601&lt;=175,W601&gt;=35,W601&lt;65),0.23,0)+IF(AND(V601&gt;=75,V601&lt;=175,W601&gt;=65,W601&lt;110),0.17,0)+IF(AND(V601&gt;=75,V601&lt;=175,W601&gt;=110),0.12,0)+IF(AND(V601&gt;175,W601&lt;25),0.3,0)+IF(AND(V601&gt;175,W601&gt;=25,W601&lt;55),0.23,0)+IF(AND(V601&gt;175,W601&gt;=55,W601&lt;95),0.17,0)+IF(AND(V601&gt;175,W601&gt;=95),0.12,0),
IF(AF601="DoEVLo",IF(AND(V601&lt;20,W601&lt;55),0.25,0)+IF(AND(V601&lt;20,W601&gt;=55,W601&lt;105),0.2,0)+IF(AND(V601&lt;20,W601&gt;=105),0.15,0)+IF(AND(V601&gt;=20,V601&lt;40,W601&lt;45),0.25,0)+IF(AND(V601&gt;=20,V601&lt;40,W601&gt;=45,W601&lt;95),0.2,0)+IF(AND(V601&gt;=20,V601&lt;40,W601&gt;=95),0.15,0)+IF(AND(V601&gt;=40,V601&lt;75,W601&lt;35),0.25,0)+IF(AND(V601&gt;=40,V601&lt;75,W601&gt;=35,W601&lt;75),0.2,0)+IF(AND(V601&gt;=40,V601&lt;75,W601&gt;=75,W601&lt;120),0.15,0)+IF(AND(V601&gt;=40,V601&lt;75,W601&gt;=120),0.1,0)+IF(AND(V601&gt;=75,V601&lt;175,W601&lt;35),0.25,0)+IF(AND(V601&gt;=75,V601&lt;=175,W601&gt;=35,W601&lt;65),0.2,0)+IF(AND(V601&gt;=75,V601&lt;=175,W601&gt;=65,W601&lt;110),0.15,0)+IF(AND(V601&gt;=75,V601&lt;=175,W601&gt;=110),0.1,0)+IF(AND(V601&gt;175,W601&lt;25),0.25,0)+IF(AND(V601&gt;175,W601&gt;=25,W601&lt;55),0.2,0)+IF(AND(V601&gt;175,W601&gt;=55,W601&lt;95),0.15,0)+IF(AND(V601&gt;175,W601&gt;=95),0.1,0)))))))))))))))))</f>
        <v>0.15</v>
      </c>
      <c r="Y601" s="30">
        <f>IF(AG601="None",0,IF(AG601="Fix5",0.05, IF(AG601="Fix6.25",0.0625,IF(AG601="Fix3.75",0.0375,IF(AG601="Fix10",0.1,IF(AG601="Fix3",0.03,0))))))</f>
        <v>0</v>
      </c>
      <c r="Z601" s="35">
        <f>T601-AA601-AB601</f>
        <v>3948</v>
      </c>
      <c r="AA601" s="60">
        <v>697</v>
      </c>
      <c r="AB601" s="36">
        <f>IF(AD601="EUR",((T601-R601)*Y601)*U601+(R601*Y601),(T601*Y601))</f>
        <v>0</v>
      </c>
      <c r="AC601" s="37" t="b">
        <v>1</v>
      </c>
      <c r="AD601" s="61" t="s">
        <v>38</v>
      </c>
      <c r="AE601" s="83" t="s">
        <v>38</v>
      </c>
      <c r="AF601" s="37" t="str">
        <f t="array" ref="AF601">INDEX('Deal Info'!D:D, MATCH(A601,'Deal Info'!A:A, 0))</f>
        <v>Fix15</v>
      </c>
      <c r="AG601" s="38" t="str">
        <f t="array" ref="AG601">INDEX('Deal Info'!G:G, MATCH(A601,'Deal Info'!A:A, 0))</f>
        <v>None</v>
      </c>
    </row>
    <row r="602" spans="1:33" ht="14.25" hidden="1" x14ac:dyDescent="0.2">
      <c r="A602" s="18" t="str">
        <f t="array" ref="A602">IF(G602='Room Info'!$B$1, INDEX('Room Info'!$A$2:$A2446, MATCH(B602,'Room Info'!$B$2:$B2446, 0)),IF(G602='Room Info'!$C$1, INDEX('Room Info'!$A$2:$A2446, MATCH(B602,'Room Info'!$C$2:$C2446, 0)),IF(G602='Room Info'!$D$1, INDEX('Room Info'!$A$2:$A2446, MATCH(B602,'Room Info'!$D$2:$D2446, 0)),IF(G602='Room Info'!$E$1, INDEX('Room Info'!$A$2:$A2446, MATCH(B602,'Room Info'!$E$2:$E2446, 0)),IF(G602='Room Info'!$F$1, INDEX('Room Info'!$A$2:$A2446, MATCH(B602,'Room Info'!$F$2:$F2446, 0)),IF(G602='Room Info'!$H$1, INDEX('Room Info'!$A$2:$A2446, MATCH(B602,'Room Info'!$H$2:$H2446, 0)),IF(G602='Room Info'!$G$1, INDEX('Room Info'!$A$2:$A2446, MATCH(B602,'Room Info'!$G$2:$G2446, 0)))))))))</f>
        <v>fraum@rta</v>
      </c>
      <c r="B602" s="45" t="s">
        <v>152</v>
      </c>
      <c r="C602" s="46">
        <v>44835</v>
      </c>
      <c r="D602" s="46">
        <v>44865</v>
      </c>
      <c r="E602" s="47">
        <v>44835</v>
      </c>
      <c r="F602" s="48" t="s">
        <v>41</v>
      </c>
      <c r="G602" s="45" t="s">
        <v>80</v>
      </c>
      <c r="H602" s="49" t="s">
        <v>153</v>
      </c>
      <c r="I602" s="49" t="s">
        <v>81</v>
      </c>
      <c r="J602" s="50">
        <v>200</v>
      </c>
      <c r="K602" s="51">
        <v>28</v>
      </c>
      <c r="L602" s="52">
        <v>1400</v>
      </c>
      <c r="M602" s="53">
        <v>298</v>
      </c>
      <c r="N602" s="28">
        <f>K602*J602</f>
        <v>5600</v>
      </c>
      <c r="O602" s="54">
        <v>1416</v>
      </c>
      <c r="P602" s="29">
        <v>50.571428570000002</v>
      </c>
      <c r="Q602" s="55"/>
      <c r="R602" s="31">
        <f>M602+Q602</f>
        <v>298</v>
      </c>
      <c r="S602" s="56"/>
      <c r="T602" s="32">
        <f>R602+S602+IF(F602="Without EV deal",L602,0)</f>
        <v>1698</v>
      </c>
      <c r="U602" s="57">
        <v>1</v>
      </c>
      <c r="V602" s="58"/>
      <c r="W602" s="58"/>
      <c r="X602" s="30">
        <f>IF(AF602="DoEV",IF(AND(V602&lt;20,W602&lt;55),0.3,0)+IF(AND(V602&lt;20,W602&gt;=55,W602&lt;105),0.23,0)+IF(AND(V602&lt;20,W602&gt;=105),0.17,0)+IF(AND(V602&gt;=20,V602&lt;40,W602&lt;45),0.3,0)+IF(AND(V602&gt;=20,V602&lt;40,W602&gt;=45,W602&lt;95),0.23,0)+IF(AND(V602&gt;=20,V602&lt;40,W602&gt;=95),0.17,0)+IF(AND(V602&gt;=40,V602&lt;75,W602&lt;35),0.3,0)+IF(AND(V602&gt;=40,V602&lt;75,W602&gt;=35,W602&lt;75),0.23,0)+IF(AND(V602&gt;=40,V602&lt;75,W602&gt;=75,W602&lt;120),0.17,0)+IF(AND(V602&gt;=40,V602&lt;75,W602&gt;=120),0.12,0)+IF(AND(V602&gt;=75,V602&lt;175,W602&lt;35),0.3,0)+IF(AND(V602&gt;=75,V602&lt;=175,W602&gt;=35,W602&lt;65),0.23,0)+IF(AND(V602&gt;=75,V602&lt;=175,W602&gt;=65,W602&lt;110),0.17,0)+IF(AND(V602&gt;=75,V602&lt;=175,W602&gt;=110),0.12,0)+IF(AND(V602&gt;175,W602&lt;25),0.3,0)+IF(AND(V602&gt;175,W602&gt;=25,W602&lt;55),0.23,0)+IF(AND(V602&gt;175,W602&gt;=55,W602&lt;95),0.17,0)+IF(AND(V602&gt;175,W602&gt;=95),0.12,0),
IF(AF602="Fix15",0.15,
IF(AF602="Fix18.75",0.1875,
IF(AF602="Fix11.25",0.1125,
IF(AF602="Fix10",0.1,
IF(AF602="Fix9",0.09,
IF(AF602="DoEV2017",IF(AND(W602&lt;74),0.2,0)+IF(AND(W602&gt;=74),0.17,0),
IF(AF602="SF",IF(AND(V602&lt;20,W602&lt;89),0.3,0)+IF(AND(V602&lt;20,W602&gt;=89),0.25,0)+IF(AND(V602&gt;=20,V602&lt;40,W602&lt;74),0.3,0)+IF(AND(V602&gt;=20,V602&lt;40,W602&gt;=75),0.22,0)+IF(AND(V602&gt;=40,V602&lt;75,W602&lt;75),0.26,0)+IF(AND(V602&gt;=40,V602&lt;75,W602&gt;=75),0.22,0)+IF(V602&gt;=75,0.22,0),
IF(AF602="DoEVold",IF(AND(V602&lt;40,W602&lt;35),0.35,0)+IF(AND(V602&lt;40,W602&gt;=35,W602&lt;75),0.25,0)+IF(AND(V602&lt;40,W602&gt;=75),0.17,0)+IF(AND(V602&gt;=40,V602&lt;75,W602&lt;25),0.35,0)+IF(AND(V602&gt;=40,V602&lt;75,W602&gt;=25,W602&lt;65),0.25,0)+IF(AND(V602&gt;=40,V602&lt;75,W602&gt;=65,W602&lt;100),0.17,0)+IF(AND(V602&gt;=40,V602&lt;75,W602&gt;=100),0.1,0)+IF(AND(V602&gt;=75,W602&lt;25),0.35,0)+IF(AND(V602&gt;=75,W602&gt;=25,W602&lt;60),0.25,0)+IF(AND(V602&gt;=75,W602&gt;=60,W602&lt;95),0.17,0)+IF(AND(V602&gt;=75,W602&gt;=95),0.1,0),
IF(AF602="DoEVold15",IF(AND(V602&lt;=40,W602&lt;35),0.35,0)+IF(AND(V602&lt;=40,W602&gt;=35,W602&lt;75),0.25,0)+IF(AND(V602&lt;=40,W602&gt;=75,W602&lt;120),0.17,0)+IF(AND(V602&lt;=40,W602&gt;=120),0.15,0)+IF(AND(V602&gt;40,V602&lt;75,W602&lt;25),0.35,0)+IF(AND(V602&gt;=40,V602&lt;75,W602&gt;=25,W602&lt;65),0.25,0)+IF(AND(V602&gt;=40,V602&lt;75,W602&gt;=65,W602&lt;100),0.17,0)+IF(AND(V602&gt;=40,V602&lt;75,W602&gt;=100),0.1,0)+IF(AND(V602&gt;=75,W602&lt;25),0.35,0)+IF(AND(V602&gt;=75,W602&gt;=25,W602&lt;60),0.25,0)+IF(AND(V602&gt;=75,W602&gt;=60,W602&lt;95),0.17,0)+IF(AND(V602&gt;=75,W602&gt;=95),0.1,0),
IF(AF602="DoEVba",IF(AND(V602&lt;20,W602&lt;105),0.2,0)+IF(AND(V602&lt;20,W602&gt;=105),0.15,0)+IF(AND(V602&gt;=20,V602&lt;40,W602&lt;95),0.2,0)+IF(AND(V602&gt;=20,V602&lt;40,W602&gt;=95,W602&lt;150),0.15,0)+IF(AND(V602&gt;=20,V602&lt;40,W602&gt;=150),0.12,0)+IF(AND(V602&gt;=40,V602&lt;75,W602&lt;75),0.2,0)+IF(AND(V602&gt;=40,V602&lt;75,W602&gt;=75,W602&lt;120),0.15,0)+IF(AND(V602&gt;=40,V602&lt;75,W602&gt;=120),0.12,0)+IF(AND(V602&gt;=75,V602&lt;175,W602&lt;65),0.2,0)+IF(AND(V602&gt;=75,V602&lt;175,W602&gt;=65,W602&lt;110),0.15,0)+IF(AND(V602&gt;=75,V602&lt;175,W602&gt;=110),0.12,0)+IF(AND(V602&gt;=175,W602&lt;55),0.2,0)+IF(AND(V602&gt;=175,W602&gt;=55,W602&lt;95),0.15,0)+IF(AND(V602&gt;=175,W602&gt;=95),0.12,0),
IF(AF602="DoEVku",IF(AND(V602&lt;20,W602&lt;55),0.23,0)+IF(AND(V602&lt;20,W602&gt;=55,W602&lt;105),0.2,0)+IF(AND(V602&lt;20,W602&gt;=105),0.17,0)+IF(AND(V602&gt;=20,V602&lt;40,W602&lt;45),0.23,0)+IF(AND(V602&gt;=20,V602&lt;40,W602&gt;=45,W602&lt;95),0.2,0)+IF(AND(V602&gt;=20,V602&lt;40,W602&gt;=95,W602&lt;=150),0.17,0)+IF(AND(V602&gt;=20,V602&lt;40,W602&gt;=150),0.12,0)+IF(AND(V602&gt;=40,V602&lt;75,W602&lt;35),0.23,0)+IF(AND(V602&gt;=40,V602&lt;75,W602&gt;=35,W602&lt;75),0.2,0)+IF(AND(V602&gt;=40,V602&lt;75,W602&gt;=75,W602&lt;120),0.17,0)+IF(AND(V602&gt;=40,V602&lt;75,W602&gt;=120),0.12,0)+IF(AND(V602&gt;=75,V602&lt;175,W602&lt;35),0.23,0)+IF(AND(V602&gt;=75,V602&lt;=175,W602&gt;=35,W602&lt;65),0.2,0)+IF(AND(V602&gt;=75,V602&lt;=175,W602&gt;=65,W602&lt;110),0.17,0)+IF(AND(V602&gt;=75,V602&lt;=175,W602&gt;=110),0.12,0)+IF(AND(V602&gt;175,W602&lt;25),0.23,0)+IF(AND(V602&gt;175,W602&gt;=25,W602&lt;55),0.2,0)+IF(AND(V602&gt;175,W602&gt;=55,W602&lt;95),0.17,0)+IF(AND(V602&gt;175,W602&gt;=95),0.12,0),
IF(AF602="DoEVs1",IF(AND(V602&lt;20,W602&lt;55),0.3,0)+IF(AND(V602&lt;20,W602&gt;=55,W602&lt;105),0.23,0)+IF(AND(V602&lt;20,W602&gt;=105),0.17,0)+IF(AND(V602&gt;=20,V602&lt;40,W602&lt;45),0.3,0)+IF(AND(V602&gt;=20,V602&lt;40,W602&gt;=45,W602&lt;95),0.23,0)+IF(AND(V602&gt;=20,V602&lt;40,W602&gt;=95,W602&lt;=150),0.17,0)+IF(AND(V602&gt;=20,V602&lt;40,W602&gt;=150),0.12,0)+IF(AND(V602&gt;=40,V602&lt;75,W602&lt;35),0.3,0)+IF(AND(V602&gt;=40,V602&lt;75,W602&gt;=35,W602&lt;75),0.23,0)+IF(AND(V602&gt;=40,V602&lt;75,W602&gt;=75,W602&lt;120),0.17,0)+IF(AND(V602&gt;=40,V602&lt;75,W602&gt;=120),0.12,0)+IF(AND(V602&gt;=75,V602&lt;175,W602&lt;35),0.3,0)+IF(AND(V602&gt;=75,V602&lt;=175,W602&gt;=35,W602&lt;65),0.23,0)+IF(AND(V602&gt;=75,V602&lt;=175,W602&gt;=65,W602&lt;110),0.17,0)+IF(AND(V602&gt;=75,V602&lt;=175,W602&gt;=110),0.12,0)+IF(AND(V602&gt;175,W602&lt;25),0.3,0)+IF(AND(V602&gt;175,W602&gt;=25,W602&lt;55),0.23,0)+IF(AND(V602&gt;175,W602&gt;=55,W602&lt;95),0.17,0)+IF(AND(V602&gt;175,W602&gt;=95),0.12,0),
IF(AF602="DoEVsu",IF(AND(V602&lt;20,W602&lt;55),0.3,0)+IF(AND(V602&lt;20,W602&gt;=55,W602&lt;105),0.23,0)+IF(AND(V602&lt;20,W602&gt;=105),0.17,0)+IF(AND(V602&gt;=20,V602&lt;40,W602&lt;45),0.3,0)+IF(AND(V602&gt;=20,V602&lt;40,W602&gt;=45,W602&lt;95),0.23,0)+IF(AND(V602&gt;=20,V602&lt;40,W602&gt;=95,W602&lt;=250),0.17,0)+IF(AND(V602&gt;=20,V602&lt;40,W602&gt;=250),0.12,0)+IF(AND(V602&gt;=40,V602&lt;75,W602&lt;35),0.3,0)+IF(AND(V602&gt;=40,V602&lt;75,W602&gt;=35,W602&lt;75),0.23,0)+IF(AND(V602&gt;=40,V602&lt;75,W602&gt;=75,W602&lt;120),0.17,0)+IF(AND(V602&gt;=40,V602&lt;75,W602&gt;=120),0.12,0)+IF(AND(V602&gt;=75,V602&lt;175,W602&lt;35),0.3,0)+IF(AND(V602&gt;=75,V602&lt;=175,W602&gt;=35,W602&lt;65),0.23,0)+IF(AND(V602&gt;=75,V602&lt;=175,W602&gt;=65,W602&lt;110),0.17,0)+IF(AND(V602&gt;=75,V602&lt;=175,W602&gt;=110),0.12,0)+IF(AND(V602&gt;175,W602&lt;25),0.3,0)+IF(AND(V602&gt;175,W602&gt;=25,W602&lt;55),0.23,0)+IF(AND(V602&gt;175,W602&gt;=55,W602&lt;95),0.17,0)+IF(AND(V602&gt;175,W602&gt;=95),0.12,0),
IF(AF602="DoEVni",IF(AND(V602&lt;20,W602&lt;55),0.3,0)+IF(AND(V602&lt;20,W602&gt;=55,W602&lt;105),0.23,0)+IF(AND(V602&lt;20,W602&gt;=105),0.17,0)+IF(AND(V602&gt;=20,V602&lt;40,W602&lt;45),0.3,0)+IF(AND(V602&gt;=20,V602&lt;40,W602&gt;=45,W602&lt;95),0.23,0)+IF(AND(V602&gt;=20,V602&lt;40,W602&gt;=95,W602&lt;=200),0.17,0)+IF(AND(V602&gt;=20,V602&lt;40,W602&gt;=200),0.12,0)+IF(AND(V602&gt;=40,V602&lt;75,W602&lt;35),0.3,0)+IF(AND(V602&gt;=40,V602&lt;75,W602&gt;=35,W602&lt;75),0.23,0)+IF(AND(V602&gt;=40,V602&lt;75,W602&gt;=75,W602&lt;120),0.17,0)+IF(AND(V602&gt;=40,V602&lt;75,W602&gt;=120),0.12,0)+IF(AND(V602&gt;=75,V602&lt;175,W602&lt;35),0.3,0)+IF(AND(V602&gt;=75,V602&lt;=175,W602&gt;=35,W602&lt;65),0.23,0)+IF(AND(V602&gt;=75,V602&lt;=175,W602&gt;=65,W602&lt;110),0.17,0)+IF(AND(V602&gt;=75,V602&lt;=175,W602&gt;=110),0.12,0)+IF(AND(V602&gt;175,W602&lt;25),0.3,0)+IF(AND(V602&gt;175,W602&gt;=25,W602&lt;55),0.23,0)+IF(AND(V602&gt;175,W602&gt;=55,W602&lt;95),0.17,0)+IF(AND(V602&gt;175,W602&gt;=95),0.12,0),
IF(AF602="DoEVLo",IF(AND(V602&lt;20,W602&lt;55),0.25,0)+IF(AND(V602&lt;20,W602&gt;=55,W602&lt;105),0.2,0)+IF(AND(V602&lt;20,W602&gt;=105),0.15,0)+IF(AND(V602&gt;=20,V602&lt;40,W602&lt;45),0.25,0)+IF(AND(V602&gt;=20,V602&lt;40,W602&gt;=45,W602&lt;95),0.2,0)+IF(AND(V602&gt;=20,V602&lt;40,W602&gt;=95),0.15,0)+IF(AND(V602&gt;=40,V602&lt;75,W602&lt;35),0.25,0)+IF(AND(V602&gt;=40,V602&lt;75,W602&gt;=35,W602&lt;75),0.2,0)+IF(AND(V602&gt;=40,V602&lt;75,W602&gt;=75,W602&lt;120),0.15,0)+IF(AND(V602&gt;=40,V602&lt;75,W602&gt;=120),0.1,0)+IF(AND(V602&gt;=75,V602&lt;175,W602&lt;35),0.25,0)+IF(AND(V602&gt;=75,V602&lt;=175,W602&gt;=35,W602&lt;65),0.2,0)+IF(AND(V602&gt;=75,V602&lt;=175,W602&gt;=65,W602&lt;110),0.15,0)+IF(AND(V602&gt;=75,V602&lt;=175,W602&gt;=110),0.1,0)+IF(AND(V602&gt;175,W602&lt;25),0.25,0)+IF(AND(V602&gt;175,W602&gt;=25,W602&lt;55),0.2,0)+IF(AND(V602&gt;175,W602&gt;=55,W602&lt;95),0.15,0)+IF(AND(V602&gt;175,W602&gt;=95),0.1,0)))))))))))))))))</f>
        <v>0.15</v>
      </c>
      <c r="Y602" s="30">
        <f>IF(AG602="None",0,IF(AG602="Fix5",0.05, IF(AG602="Fix6.25",0.0625,IF(AG602="Fix3.75",0.0375,IF(AG602="Fix10",0.1,IF(AG602="Fix3",0.03,0))))))</f>
        <v>0</v>
      </c>
      <c r="Z602" s="35">
        <f>T602-AA602-AB602</f>
        <v>1443</v>
      </c>
      <c r="AA602" s="60">
        <v>255</v>
      </c>
      <c r="AB602" s="36">
        <f>IF(AD602="EUR",((T602-R602)*Y602)*U602+(R602*Y602),(T602*Y602))</f>
        <v>0</v>
      </c>
      <c r="AC602" s="37" t="b">
        <v>1</v>
      </c>
      <c r="AD602" s="61" t="s">
        <v>38</v>
      </c>
      <c r="AE602" s="83" t="s">
        <v>38</v>
      </c>
      <c r="AF602" s="37" t="str">
        <f t="array" ref="AF602">INDEX('Deal Info'!D:D, MATCH(A602,'Deal Info'!A:A, 0))</f>
        <v>Fix15</v>
      </c>
      <c r="AG602" s="38" t="str">
        <f t="array" ref="AG602">INDEX('Deal Info'!G:G, MATCH(A602,'Deal Info'!A:A, 0))</f>
        <v>None</v>
      </c>
    </row>
    <row r="603" spans="1:33" ht="14.25" hidden="1" x14ac:dyDescent="0.2">
      <c r="A603" s="18" t="str">
        <f t="array" ref="A603">IF(G603='Room Info'!$B$1, INDEX('Room Info'!$A$2:$A2446, MATCH(B603,'Room Info'!$B$2:$B2446, 0)),IF(G603='Room Info'!$C$1, INDEX('Room Info'!$A$2:$A2446, MATCH(B603,'Room Info'!$C$2:$C2446, 0)),IF(G603='Room Info'!$D$1, INDEX('Room Info'!$A$2:$A2446, MATCH(B603,'Room Info'!$D$2:$D2446, 0)),IF(G603='Room Info'!$E$1, INDEX('Room Info'!$A$2:$A2446, MATCH(B603,'Room Info'!$E$2:$E2446, 0)),IF(G603='Room Info'!$F$1, INDEX('Room Info'!$A$2:$A2446, MATCH(B603,'Room Info'!$F$2:$F2446, 0)),IF(G603='Room Info'!$H$1, INDEX('Room Info'!$A$2:$A2446, MATCH(B603,'Room Info'!$H$2:$H2446, 0)),IF(G603='Room Info'!$G$1, INDEX('Room Info'!$A$2:$A2446, MATCH(B603,'Room Info'!$G$2:$G2446, 0)))))))))</f>
        <v>fraum@rta</v>
      </c>
      <c r="B603" s="45" t="s">
        <v>152</v>
      </c>
      <c r="C603" s="46">
        <v>44866</v>
      </c>
      <c r="D603" s="46">
        <v>44895</v>
      </c>
      <c r="E603" s="47">
        <v>44866</v>
      </c>
      <c r="F603" s="48" t="s">
        <v>49</v>
      </c>
      <c r="G603" s="45" t="s">
        <v>80</v>
      </c>
      <c r="H603" s="49" t="s">
        <v>70</v>
      </c>
      <c r="I603" s="49" t="s">
        <v>81</v>
      </c>
      <c r="J603" s="50">
        <v>100</v>
      </c>
      <c r="K603" s="51">
        <v>7363</v>
      </c>
      <c r="L603" s="52">
        <v>-25100</v>
      </c>
      <c r="M603" s="53">
        <v>44184</v>
      </c>
      <c r="N603" s="28">
        <f>K603*J603</f>
        <v>736300</v>
      </c>
      <c r="O603" s="54">
        <v>96080</v>
      </c>
      <c r="P603" s="29">
        <v>13.04902893</v>
      </c>
      <c r="Q603" s="55"/>
      <c r="R603" s="31">
        <f>M603+Q603</f>
        <v>44184</v>
      </c>
      <c r="S603" s="56">
        <v>-30013</v>
      </c>
      <c r="T603" s="32">
        <f>R603+S603+IF(F603="Without EV deal",L603,0)</f>
        <v>14171</v>
      </c>
      <c r="U603" s="57">
        <v>1</v>
      </c>
      <c r="V603" s="58"/>
      <c r="W603" s="58"/>
      <c r="X603" s="30">
        <f>IF(AF603="DoEV",IF(AND(V603&lt;20,W603&lt;55),0.3,0)+IF(AND(V603&lt;20,W603&gt;=55,W603&lt;105),0.23,0)+IF(AND(V603&lt;20,W603&gt;=105),0.17,0)+IF(AND(V603&gt;=20,V603&lt;40,W603&lt;45),0.3,0)+IF(AND(V603&gt;=20,V603&lt;40,W603&gt;=45,W603&lt;95),0.23,0)+IF(AND(V603&gt;=20,V603&lt;40,W603&gt;=95),0.17,0)+IF(AND(V603&gt;=40,V603&lt;75,W603&lt;35),0.3,0)+IF(AND(V603&gt;=40,V603&lt;75,W603&gt;=35,W603&lt;75),0.23,0)+IF(AND(V603&gt;=40,V603&lt;75,W603&gt;=75,W603&lt;120),0.17,0)+IF(AND(V603&gt;=40,V603&lt;75,W603&gt;=120),0.12,0)+IF(AND(V603&gt;=75,V603&lt;175,W603&lt;35),0.3,0)+IF(AND(V603&gt;=75,V603&lt;=175,W603&gt;=35,W603&lt;65),0.23,0)+IF(AND(V603&gt;=75,V603&lt;=175,W603&gt;=65,W603&lt;110),0.17,0)+IF(AND(V603&gt;=75,V603&lt;=175,W603&gt;=110),0.12,0)+IF(AND(V603&gt;175,W603&lt;25),0.3,0)+IF(AND(V603&gt;175,W603&gt;=25,W603&lt;55),0.23,0)+IF(AND(V603&gt;175,W603&gt;=55,W603&lt;95),0.17,0)+IF(AND(V603&gt;175,W603&gt;=95),0.12,0),
IF(AF603="Fix15",0.15,
IF(AF603="Fix18.75",0.1875,
IF(AF603="Fix11.25",0.1125,
IF(AF603="Fix10",0.1,
IF(AF603="Fix9",0.09,
IF(AF603="DoEV2017",IF(AND(W603&lt;74),0.2,0)+IF(AND(W603&gt;=74),0.17,0),
IF(AF603="SF",IF(AND(V603&lt;20,W603&lt;89),0.3,0)+IF(AND(V603&lt;20,W603&gt;=89),0.25,0)+IF(AND(V603&gt;=20,V603&lt;40,W603&lt;74),0.3,0)+IF(AND(V603&gt;=20,V603&lt;40,W603&gt;=75),0.22,0)+IF(AND(V603&gt;=40,V603&lt;75,W603&lt;75),0.26,0)+IF(AND(V603&gt;=40,V603&lt;75,W603&gt;=75),0.22,0)+IF(V603&gt;=75,0.22,0),
IF(AF603="DoEVold",IF(AND(V603&lt;40,W603&lt;35),0.35,0)+IF(AND(V603&lt;40,W603&gt;=35,W603&lt;75),0.25,0)+IF(AND(V603&lt;40,W603&gt;=75),0.17,0)+IF(AND(V603&gt;=40,V603&lt;75,W603&lt;25),0.35,0)+IF(AND(V603&gt;=40,V603&lt;75,W603&gt;=25,W603&lt;65),0.25,0)+IF(AND(V603&gt;=40,V603&lt;75,W603&gt;=65,W603&lt;100),0.17,0)+IF(AND(V603&gt;=40,V603&lt;75,W603&gt;=100),0.1,0)+IF(AND(V603&gt;=75,W603&lt;25),0.35,0)+IF(AND(V603&gt;=75,W603&gt;=25,W603&lt;60),0.25,0)+IF(AND(V603&gt;=75,W603&gt;=60,W603&lt;95),0.17,0)+IF(AND(V603&gt;=75,W603&gt;=95),0.1,0),
IF(AF603="DoEVold15",IF(AND(V603&lt;=40,W603&lt;35),0.35,0)+IF(AND(V603&lt;=40,W603&gt;=35,W603&lt;75),0.25,0)+IF(AND(V603&lt;=40,W603&gt;=75,W603&lt;120),0.17,0)+IF(AND(V603&lt;=40,W603&gt;=120),0.15,0)+IF(AND(V603&gt;40,V603&lt;75,W603&lt;25),0.35,0)+IF(AND(V603&gt;=40,V603&lt;75,W603&gt;=25,W603&lt;65),0.25,0)+IF(AND(V603&gt;=40,V603&lt;75,W603&gt;=65,W603&lt;100),0.17,0)+IF(AND(V603&gt;=40,V603&lt;75,W603&gt;=100),0.1,0)+IF(AND(V603&gt;=75,W603&lt;25),0.35,0)+IF(AND(V603&gt;=75,W603&gt;=25,W603&lt;60),0.25,0)+IF(AND(V603&gt;=75,W603&gt;=60,W603&lt;95),0.17,0)+IF(AND(V603&gt;=75,W603&gt;=95),0.1,0),
IF(AF603="DoEVba",IF(AND(V603&lt;20,W603&lt;105),0.2,0)+IF(AND(V603&lt;20,W603&gt;=105),0.15,0)+IF(AND(V603&gt;=20,V603&lt;40,W603&lt;95),0.2,0)+IF(AND(V603&gt;=20,V603&lt;40,W603&gt;=95,W603&lt;150),0.15,0)+IF(AND(V603&gt;=20,V603&lt;40,W603&gt;=150),0.12,0)+IF(AND(V603&gt;=40,V603&lt;75,W603&lt;75),0.2,0)+IF(AND(V603&gt;=40,V603&lt;75,W603&gt;=75,W603&lt;120),0.15,0)+IF(AND(V603&gt;=40,V603&lt;75,W603&gt;=120),0.12,0)+IF(AND(V603&gt;=75,V603&lt;175,W603&lt;65),0.2,0)+IF(AND(V603&gt;=75,V603&lt;175,W603&gt;=65,W603&lt;110),0.15,0)+IF(AND(V603&gt;=75,V603&lt;175,W603&gt;=110),0.12,0)+IF(AND(V603&gt;=175,W603&lt;55),0.2,0)+IF(AND(V603&gt;=175,W603&gt;=55,W603&lt;95),0.15,0)+IF(AND(V603&gt;=175,W603&gt;=95),0.12,0),
IF(AF603="DoEVku",IF(AND(V603&lt;20,W603&lt;55),0.23,0)+IF(AND(V603&lt;20,W603&gt;=55,W603&lt;105),0.2,0)+IF(AND(V603&lt;20,W603&gt;=105),0.17,0)+IF(AND(V603&gt;=20,V603&lt;40,W603&lt;45),0.23,0)+IF(AND(V603&gt;=20,V603&lt;40,W603&gt;=45,W603&lt;95),0.2,0)+IF(AND(V603&gt;=20,V603&lt;40,W603&gt;=95,W603&lt;=150),0.17,0)+IF(AND(V603&gt;=20,V603&lt;40,W603&gt;=150),0.12,0)+IF(AND(V603&gt;=40,V603&lt;75,W603&lt;35),0.23,0)+IF(AND(V603&gt;=40,V603&lt;75,W603&gt;=35,W603&lt;75),0.2,0)+IF(AND(V603&gt;=40,V603&lt;75,W603&gt;=75,W603&lt;120),0.17,0)+IF(AND(V603&gt;=40,V603&lt;75,W603&gt;=120),0.12,0)+IF(AND(V603&gt;=75,V603&lt;175,W603&lt;35),0.23,0)+IF(AND(V603&gt;=75,V603&lt;=175,W603&gt;=35,W603&lt;65),0.2,0)+IF(AND(V603&gt;=75,V603&lt;=175,W603&gt;=65,W603&lt;110),0.17,0)+IF(AND(V603&gt;=75,V603&lt;=175,W603&gt;=110),0.12,0)+IF(AND(V603&gt;175,W603&lt;25),0.23,0)+IF(AND(V603&gt;175,W603&gt;=25,W603&lt;55),0.2,0)+IF(AND(V603&gt;175,W603&gt;=55,W603&lt;95),0.17,0)+IF(AND(V603&gt;175,W603&gt;=95),0.12,0),
IF(AF603="DoEVs1",IF(AND(V603&lt;20,W603&lt;55),0.3,0)+IF(AND(V603&lt;20,W603&gt;=55,W603&lt;105),0.23,0)+IF(AND(V603&lt;20,W603&gt;=105),0.17,0)+IF(AND(V603&gt;=20,V603&lt;40,W603&lt;45),0.3,0)+IF(AND(V603&gt;=20,V603&lt;40,W603&gt;=45,W603&lt;95),0.23,0)+IF(AND(V603&gt;=20,V603&lt;40,W603&gt;=95,W603&lt;=150),0.17,0)+IF(AND(V603&gt;=20,V603&lt;40,W603&gt;=150),0.12,0)+IF(AND(V603&gt;=40,V603&lt;75,W603&lt;35),0.3,0)+IF(AND(V603&gt;=40,V603&lt;75,W603&gt;=35,W603&lt;75),0.23,0)+IF(AND(V603&gt;=40,V603&lt;75,W603&gt;=75,W603&lt;120),0.17,0)+IF(AND(V603&gt;=40,V603&lt;75,W603&gt;=120),0.12,0)+IF(AND(V603&gt;=75,V603&lt;175,W603&lt;35),0.3,0)+IF(AND(V603&gt;=75,V603&lt;=175,W603&gt;=35,W603&lt;65),0.23,0)+IF(AND(V603&gt;=75,V603&lt;=175,W603&gt;=65,W603&lt;110),0.17,0)+IF(AND(V603&gt;=75,V603&lt;=175,W603&gt;=110),0.12,0)+IF(AND(V603&gt;175,W603&lt;25),0.3,0)+IF(AND(V603&gt;175,W603&gt;=25,W603&lt;55),0.23,0)+IF(AND(V603&gt;175,W603&gt;=55,W603&lt;95),0.17,0)+IF(AND(V603&gt;175,W603&gt;=95),0.12,0),
IF(AF603="DoEVsu",IF(AND(V603&lt;20,W603&lt;55),0.3,0)+IF(AND(V603&lt;20,W603&gt;=55,W603&lt;105),0.23,0)+IF(AND(V603&lt;20,W603&gt;=105),0.17,0)+IF(AND(V603&gt;=20,V603&lt;40,W603&lt;45),0.3,0)+IF(AND(V603&gt;=20,V603&lt;40,W603&gt;=45,W603&lt;95),0.23,0)+IF(AND(V603&gt;=20,V603&lt;40,W603&gt;=95,W603&lt;=250),0.17,0)+IF(AND(V603&gt;=20,V603&lt;40,W603&gt;=250),0.12,0)+IF(AND(V603&gt;=40,V603&lt;75,W603&lt;35),0.3,0)+IF(AND(V603&gt;=40,V603&lt;75,W603&gt;=35,W603&lt;75),0.23,0)+IF(AND(V603&gt;=40,V603&lt;75,W603&gt;=75,W603&lt;120),0.17,0)+IF(AND(V603&gt;=40,V603&lt;75,W603&gt;=120),0.12,0)+IF(AND(V603&gt;=75,V603&lt;175,W603&lt;35),0.3,0)+IF(AND(V603&gt;=75,V603&lt;=175,W603&gt;=35,W603&lt;65),0.23,0)+IF(AND(V603&gt;=75,V603&lt;=175,W603&gt;=65,W603&lt;110),0.17,0)+IF(AND(V603&gt;=75,V603&lt;=175,W603&gt;=110),0.12,0)+IF(AND(V603&gt;175,W603&lt;25),0.3,0)+IF(AND(V603&gt;175,W603&gt;=25,W603&lt;55),0.23,0)+IF(AND(V603&gt;175,W603&gt;=55,W603&lt;95),0.17,0)+IF(AND(V603&gt;175,W603&gt;=95),0.12,0),
IF(AF603="DoEVni",IF(AND(V603&lt;20,W603&lt;55),0.3,0)+IF(AND(V603&lt;20,W603&gt;=55,W603&lt;105),0.23,0)+IF(AND(V603&lt;20,W603&gt;=105),0.17,0)+IF(AND(V603&gt;=20,V603&lt;40,W603&lt;45),0.3,0)+IF(AND(V603&gt;=20,V603&lt;40,W603&gt;=45,W603&lt;95),0.23,0)+IF(AND(V603&gt;=20,V603&lt;40,W603&gt;=95,W603&lt;=200),0.17,0)+IF(AND(V603&gt;=20,V603&lt;40,W603&gt;=200),0.12,0)+IF(AND(V603&gt;=40,V603&lt;75,W603&lt;35),0.3,0)+IF(AND(V603&gt;=40,V603&lt;75,W603&gt;=35,W603&lt;75),0.23,0)+IF(AND(V603&gt;=40,V603&lt;75,W603&gt;=75,W603&lt;120),0.17,0)+IF(AND(V603&gt;=40,V603&lt;75,W603&gt;=120),0.12,0)+IF(AND(V603&gt;=75,V603&lt;175,W603&lt;35),0.3,0)+IF(AND(V603&gt;=75,V603&lt;=175,W603&gt;=35,W603&lt;65),0.23,0)+IF(AND(V603&gt;=75,V603&lt;=175,W603&gt;=65,W603&lt;110),0.17,0)+IF(AND(V603&gt;=75,V603&lt;=175,W603&gt;=110),0.12,0)+IF(AND(V603&gt;175,W603&lt;25),0.3,0)+IF(AND(V603&gt;175,W603&gt;=25,W603&lt;55),0.23,0)+IF(AND(V603&gt;175,W603&gt;=55,W603&lt;95),0.17,0)+IF(AND(V603&gt;175,W603&gt;=95),0.12,0),
IF(AF603="DoEVLo",IF(AND(V603&lt;20,W603&lt;55),0.25,0)+IF(AND(V603&lt;20,W603&gt;=55,W603&lt;105),0.2,0)+IF(AND(V603&lt;20,W603&gt;=105),0.15,0)+IF(AND(V603&gt;=20,V603&lt;40,W603&lt;45),0.25,0)+IF(AND(V603&gt;=20,V603&lt;40,W603&gt;=45,W603&lt;95),0.2,0)+IF(AND(V603&gt;=20,V603&lt;40,W603&gt;=95),0.15,0)+IF(AND(V603&gt;=40,V603&lt;75,W603&lt;35),0.25,0)+IF(AND(V603&gt;=40,V603&lt;75,W603&gt;=35,W603&lt;75),0.2,0)+IF(AND(V603&gt;=40,V603&lt;75,W603&gt;=75,W603&lt;120),0.15,0)+IF(AND(V603&gt;=40,V603&lt;75,W603&gt;=120),0.1,0)+IF(AND(V603&gt;=75,V603&lt;175,W603&lt;35),0.25,0)+IF(AND(V603&gt;=75,V603&lt;=175,W603&gt;=35,W603&lt;65),0.2,0)+IF(AND(V603&gt;=75,V603&lt;=175,W603&gt;=65,W603&lt;110),0.15,0)+IF(AND(V603&gt;=75,V603&lt;=175,W603&gt;=110),0.1,0)+IF(AND(V603&gt;175,W603&lt;25),0.25,0)+IF(AND(V603&gt;175,W603&gt;=25,W603&lt;55),0.2,0)+IF(AND(V603&gt;175,W603&gt;=55,W603&lt;95),0.15,0)+IF(AND(V603&gt;175,W603&gt;=95),0.1,0)))))))))))))))))</f>
        <v>0.15</v>
      </c>
      <c r="Y603" s="30">
        <f>IF(AG603="None",0,IF(AG603="Fix5",0.05, IF(AG603="Fix6.25",0.0625,IF(AG603="Fix3.75",0.0375,IF(AG603="Fix10",0.1,IF(AG603="Fix3",0.03,0))))))</f>
        <v>0</v>
      </c>
      <c r="Z603" s="35">
        <f>T603-AA603-AB603</f>
        <v>12045</v>
      </c>
      <c r="AA603" s="60">
        <v>2126</v>
      </c>
      <c r="AB603" s="36">
        <f>IF(AD603="EUR",((T603-R603)*Y603)*U603+(R603*Y603),(T603*Y603))</f>
        <v>0</v>
      </c>
      <c r="AC603" s="37" t="b">
        <v>1</v>
      </c>
      <c r="AD603" s="61" t="s">
        <v>38</v>
      </c>
      <c r="AE603" s="83" t="s">
        <v>38</v>
      </c>
      <c r="AF603" s="37" t="str">
        <f t="array" ref="AF603">INDEX('Deal Info'!D:D, MATCH(A603,'Deal Info'!A:A, 0))</f>
        <v>Fix15</v>
      </c>
      <c r="AG603" s="38" t="str">
        <f t="array" ref="AG603">INDEX('Deal Info'!G:G, MATCH(A603,'Deal Info'!A:A, 0))</f>
        <v>None</v>
      </c>
    </row>
    <row r="604" spans="1:33" ht="14.25" hidden="1" x14ac:dyDescent="0.2">
      <c r="A604" s="18" t="str">
        <f t="array" ref="A604">IF(G604='Room Info'!$B$1, INDEX('Room Info'!$A$2:$A2446, MATCH(B604,'Room Info'!$B$2:$B2446, 0)),IF(G604='Room Info'!$C$1, INDEX('Room Info'!$A$2:$A2446, MATCH(B604,'Room Info'!$C$2:$C2446, 0)),IF(G604='Room Info'!$D$1, INDEX('Room Info'!$A$2:$A2446, MATCH(B604,'Room Info'!$D$2:$D2446, 0)),IF(G604='Room Info'!$E$1, INDEX('Room Info'!$A$2:$A2446, MATCH(B604,'Room Info'!$E$2:$E2446, 0)),IF(G604='Room Info'!$F$1, INDEX('Room Info'!$A$2:$A2446, MATCH(B604,'Room Info'!$F$2:$F2446, 0)),IF(G604='Room Info'!$H$1, INDEX('Room Info'!$A$2:$A2446, MATCH(B604,'Room Info'!$H$2:$H2446, 0)),IF(G604='Room Info'!$G$1, INDEX('Room Info'!$A$2:$A2446, MATCH(B604,'Room Info'!$G$2:$G2446, 0)))))))))</f>
        <v>fraum@rta</v>
      </c>
      <c r="B604" s="45" t="s">
        <v>152</v>
      </c>
      <c r="C604" s="46">
        <v>44866</v>
      </c>
      <c r="D604" s="46">
        <v>44895</v>
      </c>
      <c r="E604" s="47">
        <v>44866</v>
      </c>
      <c r="F604" s="48" t="s">
        <v>49</v>
      </c>
      <c r="G604" s="45" t="s">
        <v>80</v>
      </c>
      <c r="H604" s="49" t="s">
        <v>153</v>
      </c>
      <c r="I604" s="49" t="s">
        <v>81</v>
      </c>
      <c r="J604" s="50">
        <v>200</v>
      </c>
      <c r="K604" s="51">
        <v>1455</v>
      </c>
      <c r="L604" s="52">
        <v>-18800</v>
      </c>
      <c r="M604" s="53">
        <v>17462</v>
      </c>
      <c r="N604" s="28">
        <f>K604*J604</f>
        <v>291000</v>
      </c>
      <c r="O604" s="54">
        <v>2645</v>
      </c>
      <c r="P604" s="29">
        <v>1.817869416</v>
      </c>
      <c r="Q604" s="55"/>
      <c r="R604" s="31">
        <f>M604+Q604</f>
        <v>17462</v>
      </c>
      <c r="S604" s="56">
        <v>-19936</v>
      </c>
      <c r="T604" s="32">
        <f>R604+S604+IF(F604="Without EV deal",L604,0)</f>
        <v>-2474</v>
      </c>
      <c r="U604" s="57">
        <v>1</v>
      </c>
      <c r="V604" s="58"/>
      <c r="W604" s="58"/>
      <c r="X604" s="30">
        <f>IF(AF604="DoEV",IF(AND(V604&lt;20,W604&lt;55),0.3,0)+IF(AND(V604&lt;20,W604&gt;=55,W604&lt;105),0.23,0)+IF(AND(V604&lt;20,W604&gt;=105),0.17,0)+IF(AND(V604&gt;=20,V604&lt;40,W604&lt;45),0.3,0)+IF(AND(V604&gt;=20,V604&lt;40,W604&gt;=45,W604&lt;95),0.23,0)+IF(AND(V604&gt;=20,V604&lt;40,W604&gt;=95),0.17,0)+IF(AND(V604&gt;=40,V604&lt;75,W604&lt;35),0.3,0)+IF(AND(V604&gt;=40,V604&lt;75,W604&gt;=35,W604&lt;75),0.23,0)+IF(AND(V604&gt;=40,V604&lt;75,W604&gt;=75,W604&lt;120),0.17,0)+IF(AND(V604&gt;=40,V604&lt;75,W604&gt;=120),0.12,0)+IF(AND(V604&gt;=75,V604&lt;175,W604&lt;35),0.3,0)+IF(AND(V604&gt;=75,V604&lt;=175,W604&gt;=35,W604&lt;65),0.23,0)+IF(AND(V604&gt;=75,V604&lt;=175,W604&gt;=65,W604&lt;110),0.17,0)+IF(AND(V604&gt;=75,V604&lt;=175,W604&gt;=110),0.12,0)+IF(AND(V604&gt;175,W604&lt;25),0.3,0)+IF(AND(V604&gt;175,W604&gt;=25,W604&lt;55),0.23,0)+IF(AND(V604&gt;175,W604&gt;=55,W604&lt;95),0.17,0)+IF(AND(V604&gt;175,W604&gt;=95),0.12,0),
IF(AF604="Fix15",0.15,
IF(AF604="Fix18.75",0.1875,
IF(AF604="Fix11.25",0.1125,
IF(AF604="Fix10",0.1,
IF(AF604="Fix9",0.09,
IF(AF604="DoEV2017",IF(AND(W604&lt;74),0.2,0)+IF(AND(W604&gt;=74),0.17,0),
IF(AF604="SF",IF(AND(V604&lt;20,W604&lt;89),0.3,0)+IF(AND(V604&lt;20,W604&gt;=89),0.25,0)+IF(AND(V604&gt;=20,V604&lt;40,W604&lt;74),0.3,0)+IF(AND(V604&gt;=20,V604&lt;40,W604&gt;=75),0.22,0)+IF(AND(V604&gt;=40,V604&lt;75,W604&lt;75),0.26,0)+IF(AND(V604&gt;=40,V604&lt;75,W604&gt;=75),0.22,0)+IF(V604&gt;=75,0.22,0),
IF(AF604="DoEVold",IF(AND(V604&lt;40,W604&lt;35),0.35,0)+IF(AND(V604&lt;40,W604&gt;=35,W604&lt;75),0.25,0)+IF(AND(V604&lt;40,W604&gt;=75),0.17,0)+IF(AND(V604&gt;=40,V604&lt;75,W604&lt;25),0.35,0)+IF(AND(V604&gt;=40,V604&lt;75,W604&gt;=25,W604&lt;65),0.25,0)+IF(AND(V604&gt;=40,V604&lt;75,W604&gt;=65,W604&lt;100),0.17,0)+IF(AND(V604&gt;=40,V604&lt;75,W604&gt;=100),0.1,0)+IF(AND(V604&gt;=75,W604&lt;25),0.35,0)+IF(AND(V604&gt;=75,W604&gt;=25,W604&lt;60),0.25,0)+IF(AND(V604&gt;=75,W604&gt;=60,W604&lt;95),0.17,0)+IF(AND(V604&gt;=75,W604&gt;=95),0.1,0),
IF(AF604="DoEVold15",IF(AND(V604&lt;=40,W604&lt;35),0.35,0)+IF(AND(V604&lt;=40,W604&gt;=35,W604&lt;75),0.25,0)+IF(AND(V604&lt;=40,W604&gt;=75,W604&lt;120),0.17,0)+IF(AND(V604&lt;=40,W604&gt;=120),0.15,0)+IF(AND(V604&gt;40,V604&lt;75,W604&lt;25),0.35,0)+IF(AND(V604&gt;=40,V604&lt;75,W604&gt;=25,W604&lt;65),0.25,0)+IF(AND(V604&gt;=40,V604&lt;75,W604&gt;=65,W604&lt;100),0.17,0)+IF(AND(V604&gt;=40,V604&lt;75,W604&gt;=100),0.1,0)+IF(AND(V604&gt;=75,W604&lt;25),0.35,0)+IF(AND(V604&gt;=75,W604&gt;=25,W604&lt;60),0.25,0)+IF(AND(V604&gt;=75,W604&gt;=60,W604&lt;95),0.17,0)+IF(AND(V604&gt;=75,W604&gt;=95),0.1,0),
IF(AF604="DoEVba",IF(AND(V604&lt;20,W604&lt;105),0.2,0)+IF(AND(V604&lt;20,W604&gt;=105),0.15,0)+IF(AND(V604&gt;=20,V604&lt;40,W604&lt;95),0.2,0)+IF(AND(V604&gt;=20,V604&lt;40,W604&gt;=95,W604&lt;150),0.15,0)+IF(AND(V604&gt;=20,V604&lt;40,W604&gt;=150),0.12,0)+IF(AND(V604&gt;=40,V604&lt;75,W604&lt;75),0.2,0)+IF(AND(V604&gt;=40,V604&lt;75,W604&gt;=75,W604&lt;120),0.15,0)+IF(AND(V604&gt;=40,V604&lt;75,W604&gt;=120),0.12,0)+IF(AND(V604&gt;=75,V604&lt;175,W604&lt;65),0.2,0)+IF(AND(V604&gt;=75,V604&lt;175,W604&gt;=65,W604&lt;110),0.15,0)+IF(AND(V604&gt;=75,V604&lt;175,W604&gt;=110),0.12,0)+IF(AND(V604&gt;=175,W604&lt;55),0.2,0)+IF(AND(V604&gt;=175,W604&gt;=55,W604&lt;95),0.15,0)+IF(AND(V604&gt;=175,W604&gt;=95),0.12,0),
IF(AF604="DoEVku",IF(AND(V604&lt;20,W604&lt;55),0.23,0)+IF(AND(V604&lt;20,W604&gt;=55,W604&lt;105),0.2,0)+IF(AND(V604&lt;20,W604&gt;=105),0.17,0)+IF(AND(V604&gt;=20,V604&lt;40,W604&lt;45),0.23,0)+IF(AND(V604&gt;=20,V604&lt;40,W604&gt;=45,W604&lt;95),0.2,0)+IF(AND(V604&gt;=20,V604&lt;40,W604&gt;=95,W604&lt;=150),0.17,0)+IF(AND(V604&gt;=20,V604&lt;40,W604&gt;=150),0.12,0)+IF(AND(V604&gt;=40,V604&lt;75,W604&lt;35),0.23,0)+IF(AND(V604&gt;=40,V604&lt;75,W604&gt;=35,W604&lt;75),0.2,0)+IF(AND(V604&gt;=40,V604&lt;75,W604&gt;=75,W604&lt;120),0.17,0)+IF(AND(V604&gt;=40,V604&lt;75,W604&gt;=120),0.12,0)+IF(AND(V604&gt;=75,V604&lt;175,W604&lt;35),0.23,0)+IF(AND(V604&gt;=75,V604&lt;=175,W604&gt;=35,W604&lt;65),0.2,0)+IF(AND(V604&gt;=75,V604&lt;=175,W604&gt;=65,W604&lt;110),0.17,0)+IF(AND(V604&gt;=75,V604&lt;=175,W604&gt;=110),0.12,0)+IF(AND(V604&gt;175,W604&lt;25),0.23,0)+IF(AND(V604&gt;175,W604&gt;=25,W604&lt;55),0.2,0)+IF(AND(V604&gt;175,W604&gt;=55,W604&lt;95),0.17,0)+IF(AND(V604&gt;175,W604&gt;=95),0.12,0),
IF(AF604="DoEVs1",IF(AND(V604&lt;20,W604&lt;55),0.3,0)+IF(AND(V604&lt;20,W604&gt;=55,W604&lt;105),0.23,0)+IF(AND(V604&lt;20,W604&gt;=105),0.17,0)+IF(AND(V604&gt;=20,V604&lt;40,W604&lt;45),0.3,0)+IF(AND(V604&gt;=20,V604&lt;40,W604&gt;=45,W604&lt;95),0.23,0)+IF(AND(V604&gt;=20,V604&lt;40,W604&gt;=95,W604&lt;=150),0.17,0)+IF(AND(V604&gt;=20,V604&lt;40,W604&gt;=150),0.12,0)+IF(AND(V604&gt;=40,V604&lt;75,W604&lt;35),0.3,0)+IF(AND(V604&gt;=40,V604&lt;75,W604&gt;=35,W604&lt;75),0.23,0)+IF(AND(V604&gt;=40,V604&lt;75,W604&gt;=75,W604&lt;120),0.17,0)+IF(AND(V604&gt;=40,V604&lt;75,W604&gt;=120),0.12,0)+IF(AND(V604&gt;=75,V604&lt;175,W604&lt;35),0.3,0)+IF(AND(V604&gt;=75,V604&lt;=175,W604&gt;=35,W604&lt;65),0.23,0)+IF(AND(V604&gt;=75,V604&lt;=175,W604&gt;=65,W604&lt;110),0.17,0)+IF(AND(V604&gt;=75,V604&lt;=175,W604&gt;=110),0.12,0)+IF(AND(V604&gt;175,W604&lt;25),0.3,0)+IF(AND(V604&gt;175,W604&gt;=25,W604&lt;55),0.23,0)+IF(AND(V604&gt;175,W604&gt;=55,W604&lt;95),0.17,0)+IF(AND(V604&gt;175,W604&gt;=95),0.12,0),
IF(AF604="DoEVsu",IF(AND(V604&lt;20,W604&lt;55),0.3,0)+IF(AND(V604&lt;20,W604&gt;=55,W604&lt;105),0.23,0)+IF(AND(V604&lt;20,W604&gt;=105),0.17,0)+IF(AND(V604&gt;=20,V604&lt;40,W604&lt;45),0.3,0)+IF(AND(V604&gt;=20,V604&lt;40,W604&gt;=45,W604&lt;95),0.23,0)+IF(AND(V604&gt;=20,V604&lt;40,W604&gt;=95,W604&lt;=250),0.17,0)+IF(AND(V604&gt;=20,V604&lt;40,W604&gt;=250),0.12,0)+IF(AND(V604&gt;=40,V604&lt;75,W604&lt;35),0.3,0)+IF(AND(V604&gt;=40,V604&lt;75,W604&gt;=35,W604&lt;75),0.23,0)+IF(AND(V604&gt;=40,V604&lt;75,W604&gt;=75,W604&lt;120),0.17,0)+IF(AND(V604&gt;=40,V604&lt;75,W604&gt;=120),0.12,0)+IF(AND(V604&gt;=75,V604&lt;175,W604&lt;35),0.3,0)+IF(AND(V604&gt;=75,V604&lt;=175,W604&gt;=35,W604&lt;65),0.23,0)+IF(AND(V604&gt;=75,V604&lt;=175,W604&gt;=65,W604&lt;110),0.17,0)+IF(AND(V604&gt;=75,V604&lt;=175,W604&gt;=110),0.12,0)+IF(AND(V604&gt;175,W604&lt;25),0.3,0)+IF(AND(V604&gt;175,W604&gt;=25,W604&lt;55),0.23,0)+IF(AND(V604&gt;175,W604&gt;=55,W604&lt;95),0.17,0)+IF(AND(V604&gt;175,W604&gt;=95),0.12,0),
IF(AF604="DoEVni",IF(AND(V604&lt;20,W604&lt;55),0.3,0)+IF(AND(V604&lt;20,W604&gt;=55,W604&lt;105),0.23,0)+IF(AND(V604&lt;20,W604&gt;=105),0.17,0)+IF(AND(V604&gt;=20,V604&lt;40,W604&lt;45),0.3,0)+IF(AND(V604&gt;=20,V604&lt;40,W604&gt;=45,W604&lt;95),0.23,0)+IF(AND(V604&gt;=20,V604&lt;40,W604&gt;=95,W604&lt;=200),0.17,0)+IF(AND(V604&gt;=20,V604&lt;40,W604&gt;=200),0.12,0)+IF(AND(V604&gt;=40,V604&lt;75,W604&lt;35),0.3,0)+IF(AND(V604&gt;=40,V604&lt;75,W604&gt;=35,W604&lt;75),0.23,0)+IF(AND(V604&gt;=40,V604&lt;75,W604&gt;=75,W604&lt;120),0.17,0)+IF(AND(V604&gt;=40,V604&lt;75,W604&gt;=120),0.12,0)+IF(AND(V604&gt;=75,V604&lt;175,W604&lt;35),0.3,0)+IF(AND(V604&gt;=75,V604&lt;=175,W604&gt;=35,W604&lt;65),0.23,0)+IF(AND(V604&gt;=75,V604&lt;=175,W604&gt;=65,W604&lt;110),0.17,0)+IF(AND(V604&gt;=75,V604&lt;=175,W604&gt;=110),0.12,0)+IF(AND(V604&gt;175,W604&lt;25),0.3,0)+IF(AND(V604&gt;175,W604&gt;=25,W604&lt;55),0.23,0)+IF(AND(V604&gt;175,W604&gt;=55,W604&lt;95),0.17,0)+IF(AND(V604&gt;175,W604&gt;=95),0.12,0),
IF(AF604="DoEVLo",IF(AND(V604&lt;20,W604&lt;55),0.25,0)+IF(AND(V604&lt;20,W604&gt;=55,W604&lt;105),0.2,0)+IF(AND(V604&lt;20,W604&gt;=105),0.15,0)+IF(AND(V604&gt;=20,V604&lt;40,W604&lt;45),0.25,0)+IF(AND(V604&gt;=20,V604&lt;40,W604&gt;=45,W604&lt;95),0.2,0)+IF(AND(V604&gt;=20,V604&lt;40,W604&gt;=95),0.15,0)+IF(AND(V604&gt;=40,V604&lt;75,W604&lt;35),0.25,0)+IF(AND(V604&gt;=40,V604&lt;75,W604&gt;=35,W604&lt;75),0.2,0)+IF(AND(V604&gt;=40,V604&lt;75,W604&gt;=75,W604&lt;120),0.15,0)+IF(AND(V604&gt;=40,V604&lt;75,W604&gt;=120),0.1,0)+IF(AND(V604&gt;=75,V604&lt;175,W604&lt;35),0.25,0)+IF(AND(V604&gt;=75,V604&lt;=175,W604&gt;=35,W604&lt;65),0.2,0)+IF(AND(V604&gt;=75,V604&lt;=175,W604&gt;=65,W604&lt;110),0.15,0)+IF(AND(V604&gt;=75,V604&lt;=175,W604&gt;=110),0.1,0)+IF(AND(V604&gt;175,W604&lt;25),0.25,0)+IF(AND(V604&gt;175,W604&gt;=25,W604&lt;55),0.2,0)+IF(AND(V604&gt;175,W604&gt;=55,W604&lt;95),0.15,0)+IF(AND(V604&gt;175,W604&gt;=95),0.1,0)))))))))))))))))</f>
        <v>0.15</v>
      </c>
      <c r="Y604" s="30">
        <f>IF(AG604="None",0,IF(AG604="Fix5",0.05, IF(AG604="Fix6.25",0.0625,IF(AG604="Fix3.75",0.0375,IF(AG604="Fix10",0.1,IF(AG604="Fix3",0.03,0))))))</f>
        <v>0</v>
      </c>
      <c r="Z604" s="35">
        <f>T604-AA604-AB604</f>
        <v>-2103</v>
      </c>
      <c r="AA604" s="60">
        <v>-371</v>
      </c>
      <c r="AB604" s="36">
        <f>IF(AD604="EUR",((T604-R604)*Y604)*U604+(R604*Y604),(T604*Y604))</f>
        <v>0</v>
      </c>
      <c r="AC604" s="37" t="b">
        <v>1</v>
      </c>
      <c r="AD604" s="61" t="s">
        <v>38</v>
      </c>
      <c r="AE604" s="83" t="s">
        <v>38</v>
      </c>
      <c r="AF604" s="37" t="str">
        <f t="array" ref="AF604">INDEX('Deal Info'!D:D, MATCH(A604,'Deal Info'!A:A, 0))</f>
        <v>Fix15</v>
      </c>
      <c r="AG604" s="38" t="str">
        <f t="array" ref="AG604">INDEX('Deal Info'!G:G, MATCH(A604,'Deal Info'!A:A, 0))</f>
        <v>None</v>
      </c>
    </row>
    <row r="605" spans="1:33" ht="14.25" hidden="1" x14ac:dyDescent="0.2">
      <c r="A605" s="18" t="str">
        <f t="array" ref="A605">IF(G605='Room Info'!$B$1, INDEX('Room Info'!$A$2:$A2446, MATCH(B605,'Room Info'!$B$2:$B2446, 0)),IF(G605='Room Info'!$C$1, INDEX('Room Info'!$A$2:$A2446, MATCH(B605,'Room Info'!$C$2:$C2446, 0)),IF(G605='Room Info'!$D$1, INDEX('Room Info'!$A$2:$A2446, MATCH(B605,'Room Info'!$D$2:$D2446, 0)),IF(G605='Room Info'!$E$1, INDEX('Room Info'!$A$2:$A2446, MATCH(B605,'Room Info'!$E$2:$E2446, 0)),IF(G605='Room Info'!$F$1, INDEX('Room Info'!$A$2:$A2446, MATCH(B605,'Room Info'!$F$2:$F2446, 0)),IF(G605='Room Info'!$H$1, INDEX('Room Info'!$A$2:$A2446, MATCH(B605,'Room Info'!$H$2:$H2446, 0)),IF(G605='Room Info'!$G$1, INDEX('Room Info'!$A$2:$A2446, MATCH(B605,'Room Info'!$G$2:$G2446, 0)))))))))</f>
        <v>fraum@rta</v>
      </c>
      <c r="B605" s="45" t="s">
        <v>152</v>
      </c>
      <c r="C605" s="46">
        <v>44896</v>
      </c>
      <c r="D605" s="46">
        <v>44922</v>
      </c>
      <c r="E605" s="47">
        <v>44896</v>
      </c>
      <c r="F605" s="48" t="s">
        <v>41</v>
      </c>
      <c r="G605" s="45" t="s">
        <v>80</v>
      </c>
      <c r="H605" s="49" t="s">
        <v>70</v>
      </c>
      <c r="I605" s="49" t="s">
        <v>81</v>
      </c>
      <c r="J605" s="50">
        <v>100</v>
      </c>
      <c r="K605" s="51">
        <v>3969</v>
      </c>
      <c r="L605" s="52">
        <v>-10300</v>
      </c>
      <c r="M605" s="53">
        <v>20110</v>
      </c>
      <c r="N605" s="28">
        <f>K605*J605</f>
        <v>396900</v>
      </c>
      <c r="O605" s="54">
        <v>38183</v>
      </c>
      <c r="P605" s="29">
        <v>9.620307382</v>
      </c>
      <c r="Q605" s="55"/>
      <c r="R605" s="31">
        <f>M605+Q605</f>
        <v>20110</v>
      </c>
      <c r="S605" s="56"/>
      <c r="T605" s="32">
        <f>R605+S605+IF(F605="Without EV deal",L605,0)</f>
        <v>9810</v>
      </c>
      <c r="U605" s="57">
        <v>1</v>
      </c>
      <c r="V605" s="58"/>
      <c r="W605" s="58"/>
      <c r="X605" s="30">
        <f>IF(AF605="DoEV",IF(AND(V605&lt;20,W605&lt;55),0.3,0)+IF(AND(V605&lt;20,W605&gt;=55,W605&lt;105),0.23,0)+IF(AND(V605&lt;20,W605&gt;=105),0.17,0)+IF(AND(V605&gt;=20,V605&lt;40,W605&lt;45),0.3,0)+IF(AND(V605&gt;=20,V605&lt;40,W605&gt;=45,W605&lt;95),0.23,0)+IF(AND(V605&gt;=20,V605&lt;40,W605&gt;=95),0.17,0)+IF(AND(V605&gt;=40,V605&lt;75,W605&lt;35),0.3,0)+IF(AND(V605&gt;=40,V605&lt;75,W605&gt;=35,W605&lt;75),0.23,0)+IF(AND(V605&gt;=40,V605&lt;75,W605&gt;=75,W605&lt;120),0.17,0)+IF(AND(V605&gt;=40,V605&lt;75,W605&gt;=120),0.12,0)+IF(AND(V605&gt;=75,V605&lt;175,W605&lt;35),0.3,0)+IF(AND(V605&gt;=75,V605&lt;=175,W605&gt;=35,W605&lt;65),0.23,0)+IF(AND(V605&gt;=75,V605&lt;=175,W605&gt;=65,W605&lt;110),0.17,0)+IF(AND(V605&gt;=75,V605&lt;=175,W605&gt;=110),0.12,0)+IF(AND(V605&gt;175,W605&lt;25),0.3,0)+IF(AND(V605&gt;175,W605&gt;=25,W605&lt;55),0.23,0)+IF(AND(V605&gt;175,W605&gt;=55,W605&lt;95),0.17,0)+IF(AND(V605&gt;175,W605&gt;=95),0.12,0),
IF(AF605="Fix15",0.15,
IF(AF605="Fix18.75",0.1875,
IF(AF605="Fix11.25",0.1125,
IF(AF605="Fix10",0.1,
IF(AF605="Fix9",0.09,
IF(AF605="DoEV2017",IF(AND(W605&lt;74),0.2,0)+IF(AND(W605&gt;=74),0.17,0),
IF(AF605="SF",IF(AND(V605&lt;20,W605&lt;89),0.3,0)+IF(AND(V605&lt;20,W605&gt;=89),0.25,0)+IF(AND(V605&gt;=20,V605&lt;40,W605&lt;74),0.3,0)+IF(AND(V605&gt;=20,V605&lt;40,W605&gt;=75),0.22,0)+IF(AND(V605&gt;=40,V605&lt;75,W605&lt;75),0.26,0)+IF(AND(V605&gt;=40,V605&lt;75,W605&gt;=75),0.22,0)+IF(V605&gt;=75,0.22,0),
IF(AF605="DoEVold",IF(AND(V605&lt;40,W605&lt;35),0.35,0)+IF(AND(V605&lt;40,W605&gt;=35,W605&lt;75),0.25,0)+IF(AND(V605&lt;40,W605&gt;=75),0.17,0)+IF(AND(V605&gt;=40,V605&lt;75,W605&lt;25),0.35,0)+IF(AND(V605&gt;=40,V605&lt;75,W605&gt;=25,W605&lt;65),0.25,0)+IF(AND(V605&gt;=40,V605&lt;75,W605&gt;=65,W605&lt;100),0.17,0)+IF(AND(V605&gt;=40,V605&lt;75,W605&gt;=100),0.1,0)+IF(AND(V605&gt;=75,W605&lt;25),0.35,0)+IF(AND(V605&gt;=75,W605&gt;=25,W605&lt;60),0.25,0)+IF(AND(V605&gt;=75,W605&gt;=60,W605&lt;95),0.17,0)+IF(AND(V605&gt;=75,W605&gt;=95),0.1,0),
IF(AF605="DoEVold15",IF(AND(V605&lt;=40,W605&lt;35),0.35,0)+IF(AND(V605&lt;=40,W605&gt;=35,W605&lt;75),0.25,0)+IF(AND(V605&lt;=40,W605&gt;=75,W605&lt;120),0.17,0)+IF(AND(V605&lt;=40,W605&gt;=120),0.15,0)+IF(AND(V605&gt;40,V605&lt;75,W605&lt;25),0.35,0)+IF(AND(V605&gt;=40,V605&lt;75,W605&gt;=25,W605&lt;65),0.25,0)+IF(AND(V605&gt;=40,V605&lt;75,W605&gt;=65,W605&lt;100),0.17,0)+IF(AND(V605&gt;=40,V605&lt;75,W605&gt;=100),0.1,0)+IF(AND(V605&gt;=75,W605&lt;25),0.35,0)+IF(AND(V605&gt;=75,W605&gt;=25,W605&lt;60),0.25,0)+IF(AND(V605&gt;=75,W605&gt;=60,W605&lt;95),0.17,0)+IF(AND(V605&gt;=75,W605&gt;=95),0.1,0),
IF(AF605="DoEVba",IF(AND(V605&lt;20,W605&lt;105),0.2,0)+IF(AND(V605&lt;20,W605&gt;=105),0.15,0)+IF(AND(V605&gt;=20,V605&lt;40,W605&lt;95),0.2,0)+IF(AND(V605&gt;=20,V605&lt;40,W605&gt;=95,W605&lt;150),0.15,0)+IF(AND(V605&gt;=20,V605&lt;40,W605&gt;=150),0.12,0)+IF(AND(V605&gt;=40,V605&lt;75,W605&lt;75),0.2,0)+IF(AND(V605&gt;=40,V605&lt;75,W605&gt;=75,W605&lt;120),0.15,0)+IF(AND(V605&gt;=40,V605&lt;75,W605&gt;=120),0.12,0)+IF(AND(V605&gt;=75,V605&lt;175,W605&lt;65),0.2,0)+IF(AND(V605&gt;=75,V605&lt;175,W605&gt;=65,W605&lt;110),0.15,0)+IF(AND(V605&gt;=75,V605&lt;175,W605&gt;=110),0.12,0)+IF(AND(V605&gt;=175,W605&lt;55),0.2,0)+IF(AND(V605&gt;=175,W605&gt;=55,W605&lt;95),0.15,0)+IF(AND(V605&gt;=175,W605&gt;=95),0.12,0),
IF(AF605="DoEVku",IF(AND(V605&lt;20,W605&lt;55),0.23,0)+IF(AND(V605&lt;20,W605&gt;=55,W605&lt;105),0.2,0)+IF(AND(V605&lt;20,W605&gt;=105),0.17,0)+IF(AND(V605&gt;=20,V605&lt;40,W605&lt;45),0.23,0)+IF(AND(V605&gt;=20,V605&lt;40,W605&gt;=45,W605&lt;95),0.2,0)+IF(AND(V605&gt;=20,V605&lt;40,W605&gt;=95,W605&lt;=150),0.17,0)+IF(AND(V605&gt;=20,V605&lt;40,W605&gt;=150),0.12,0)+IF(AND(V605&gt;=40,V605&lt;75,W605&lt;35),0.23,0)+IF(AND(V605&gt;=40,V605&lt;75,W605&gt;=35,W605&lt;75),0.2,0)+IF(AND(V605&gt;=40,V605&lt;75,W605&gt;=75,W605&lt;120),0.17,0)+IF(AND(V605&gt;=40,V605&lt;75,W605&gt;=120),0.12,0)+IF(AND(V605&gt;=75,V605&lt;175,W605&lt;35),0.23,0)+IF(AND(V605&gt;=75,V605&lt;=175,W605&gt;=35,W605&lt;65),0.2,0)+IF(AND(V605&gt;=75,V605&lt;=175,W605&gt;=65,W605&lt;110),0.17,0)+IF(AND(V605&gt;=75,V605&lt;=175,W605&gt;=110),0.12,0)+IF(AND(V605&gt;175,W605&lt;25),0.23,0)+IF(AND(V605&gt;175,W605&gt;=25,W605&lt;55),0.2,0)+IF(AND(V605&gt;175,W605&gt;=55,W605&lt;95),0.17,0)+IF(AND(V605&gt;175,W605&gt;=95),0.12,0),
IF(AF605="DoEVs1",IF(AND(V605&lt;20,W605&lt;55),0.3,0)+IF(AND(V605&lt;20,W605&gt;=55,W605&lt;105),0.23,0)+IF(AND(V605&lt;20,W605&gt;=105),0.17,0)+IF(AND(V605&gt;=20,V605&lt;40,W605&lt;45),0.3,0)+IF(AND(V605&gt;=20,V605&lt;40,W605&gt;=45,W605&lt;95),0.23,0)+IF(AND(V605&gt;=20,V605&lt;40,W605&gt;=95,W605&lt;=150),0.17,0)+IF(AND(V605&gt;=20,V605&lt;40,W605&gt;=150),0.12,0)+IF(AND(V605&gt;=40,V605&lt;75,W605&lt;35),0.3,0)+IF(AND(V605&gt;=40,V605&lt;75,W605&gt;=35,W605&lt;75),0.23,0)+IF(AND(V605&gt;=40,V605&lt;75,W605&gt;=75,W605&lt;120),0.17,0)+IF(AND(V605&gt;=40,V605&lt;75,W605&gt;=120),0.12,0)+IF(AND(V605&gt;=75,V605&lt;175,W605&lt;35),0.3,0)+IF(AND(V605&gt;=75,V605&lt;=175,W605&gt;=35,W605&lt;65),0.23,0)+IF(AND(V605&gt;=75,V605&lt;=175,W605&gt;=65,W605&lt;110),0.17,0)+IF(AND(V605&gt;=75,V605&lt;=175,W605&gt;=110),0.12,0)+IF(AND(V605&gt;175,W605&lt;25),0.3,0)+IF(AND(V605&gt;175,W605&gt;=25,W605&lt;55),0.23,0)+IF(AND(V605&gt;175,W605&gt;=55,W605&lt;95),0.17,0)+IF(AND(V605&gt;175,W605&gt;=95),0.12,0),
IF(AF605="DoEVsu",IF(AND(V605&lt;20,W605&lt;55),0.3,0)+IF(AND(V605&lt;20,W605&gt;=55,W605&lt;105),0.23,0)+IF(AND(V605&lt;20,W605&gt;=105),0.17,0)+IF(AND(V605&gt;=20,V605&lt;40,W605&lt;45),0.3,0)+IF(AND(V605&gt;=20,V605&lt;40,W605&gt;=45,W605&lt;95),0.23,0)+IF(AND(V605&gt;=20,V605&lt;40,W605&gt;=95,W605&lt;=250),0.17,0)+IF(AND(V605&gt;=20,V605&lt;40,W605&gt;=250),0.12,0)+IF(AND(V605&gt;=40,V605&lt;75,W605&lt;35),0.3,0)+IF(AND(V605&gt;=40,V605&lt;75,W605&gt;=35,W605&lt;75),0.23,0)+IF(AND(V605&gt;=40,V605&lt;75,W605&gt;=75,W605&lt;120),0.17,0)+IF(AND(V605&gt;=40,V605&lt;75,W605&gt;=120),0.12,0)+IF(AND(V605&gt;=75,V605&lt;175,W605&lt;35),0.3,0)+IF(AND(V605&gt;=75,V605&lt;=175,W605&gt;=35,W605&lt;65),0.23,0)+IF(AND(V605&gt;=75,V605&lt;=175,W605&gt;=65,W605&lt;110),0.17,0)+IF(AND(V605&gt;=75,V605&lt;=175,W605&gt;=110),0.12,0)+IF(AND(V605&gt;175,W605&lt;25),0.3,0)+IF(AND(V605&gt;175,W605&gt;=25,W605&lt;55),0.23,0)+IF(AND(V605&gt;175,W605&gt;=55,W605&lt;95),0.17,0)+IF(AND(V605&gt;175,W605&gt;=95),0.12,0),
IF(AF605="DoEVni",IF(AND(V605&lt;20,W605&lt;55),0.3,0)+IF(AND(V605&lt;20,W605&gt;=55,W605&lt;105),0.23,0)+IF(AND(V605&lt;20,W605&gt;=105),0.17,0)+IF(AND(V605&gt;=20,V605&lt;40,W605&lt;45),0.3,0)+IF(AND(V605&gt;=20,V605&lt;40,W605&gt;=45,W605&lt;95),0.23,0)+IF(AND(V605&gt;=20,V605&lt;40,W605&gt;=95,W605&lt;=200),0.17,0)+IF(AND(V605&gt;=20,V605&lt;40,W605&gt;=200),0.12,0)+IF(AND(V605&gt;=40,V605&lt;75,W605&lt;35),0.3,0)+IF(AND(V605&gt;=40,V605&lt;75,W605&gt;=35,W605&lt;75),0.23,0)+IF(AND(V605&gt;=40,V605&lt;75,W605&gt;=75,W605&lt;120),0.17,0)+IF(AND(V605&gt;=40,V605&lt;75,W605&gt;=120),0.12,0)+IF(AND(V605&gt;=75,V605&lt;175,W605&lt;35),0.3,0)+IF(AND(V605&gt;=75,V605&lt;=175,W605&gt;=35,W605&lt;65),0.23,0)+IF(AND(V605&gt;=75,V605&lt;=175,W605&gt;=65,W605&lt;110),0.17,0)+IF(AND(V605&gt;=75,V605&lt;=175,W605&gt;=110),0.12,0)+IF(AND(V605&gt;175,W605&lt;25),0.3,0)+IF(AND(V605&gt;175,W605&gt;=25,W605&lt;55),0.23,0)+IF(AND(V605&gt;175,W605&gt;=55,W605&lt;95),0.17,0)+IF(AND(V605&gt;175,W605&gt;=95),0.12,0),
IF(AF605="DoEVLo",IF(AND(V605&lt;20,W605&lt;55),0.25,0)+IF(AND(V605&lt;20,W605&gt;=55,W605&lt;105),0.2,0)+IF(AND(V605&lt;20,W605&gt;=105),0.15,0)+IF(AND(V605&gt;=20,V605&lt;40,W605&lt;45),0.25,0)+IF(AND(V605&gt;=20,V605&lt;40,W605&gt;=45,W605&lt;95),0.2,0)+IF(AND(V605&gt;=20,V605&lt;40,W605&gt;=95),0.15,0)+IF(AND(V605&gt;=40,V605&lt;75,W605&lt;35),0.25,0)+IF(AND(V605&gt;=40,V605&lt;75,W605&gt;=35,W605&lt;75),0.2,0)+IF(AND(V605&gt;=40,V605&lt;75,W605&gt;=75,W605&lt;120),0.15,0)+IF(AND(V605&gt;=40,V605&lt;75,W605&gt;=120),0.1,0)+IF(AND(V605&gt;=75,V605&lt;175,W605&lt;35),0.25,0)+IF(AND(V605&gt;=75,V605&lt;=175,W605&gt;=35,W605&lt;65),0.2,0)+IF(AND(V605&gt;=75,V605&lt;=175,W605&gt;=65,W605&lt;110),0.15,0)+IF(AND(V605&gt;=75,V605&lt;=175,W605&gt;=110),0.1,0)+IF(AND(V605&gt;175,W605&lt;25),0.25,0)+IF(AND(V605&gt;175,W605&gt;=25,W605&lt;55),0.2,0)+IF(AND(V605&gt;175,W605&gt;=55,W605&lt;95),0.15,0)+IF(AND(V605&gt;175,W605&gt;=95),0.1,0)))))))))))))))))</f>
        <v>0.15</v>
      </c>
      <c r="Y605" s="30">
        <f>IF(AG605="None",0,IF(AG605="Fix5",0.05, IF(AG605="Fix6.25",0.0625,IF(AG605="Fix3.75",0.0375,IF(AG605="Fix10",0.1,IF(AG605="Fix3",0.03,0))))))</f>
        <v>0</v>
      </c>
      <c r="Z605" s="35">
        <f>T605-AA605-AB605</f>
        <v>8338</v>
      </c>
      <c r="AA605" s="60">
        <v>1472</v>
      </c>
      <c r="AB605" s="36">
        <f>IF(AD605="EUR",((T605-R605)*Y605)*U605+(R605*Y605),(T605*Y605))</f>
        <v>0</v>
      </c>
      <c r="AC605" s="37" t="b">
        <v>1</v>
      </c>
      <c r="AD605" s="61" t="s">
        <v>38</v>
      </c>
      <c r="AE605" s="83" t="s">
        <v>38</v>
      </c>
      <c r="AF605" s="37" t="str">
        <f t="array" ref="AF605">INDEX('Deal Info'!D:D, MATCH(A605,'Deal Info'!A:A, 0))</f>
        <v>Fix15</v>
      </c>
      <c r="AG605" s="38" t="str">
        <f t="array" ref="AG605">INDEX('Deal Info'!G:G, MATCH(A605,'Deal Info'!A:A, 0))</f>
        <v>None</v>
      </c>
    </row>
    <row r="606" spans="1:33" ht="14.25" hidden="1" x14ac:dyDescent="0.2">
      <c r="A606" s="18" t="str">
        <f t="array" ref="A606">IF(G606='Room Info'!$B$1, INDEX('Room Info'!$A$2:$A2446, MATCH(B606,'Room Info'!$B$2:$B2446, 0)),IF(G606='Room Info'!$C$1, INDEX('Room Info'!$A$2:$A2446, MATCH(B606,'Room Info'!$C$2:$C2446, 0)),IF(G606='Room Info'!$D$1, INDEX('Room Info'!$A$2:$A2446, MATCH(B606,'Room Info'!$D$2:$D2446, 0)),IF(G606='Room Info'!$E$1, INDEX('Room Info'!$A$2:$A2446, MATCH(B606,'Room Info'!$E$2:$E2446, 0)),IF(G606='Room Info'!$F$1, INDEX('Room Info'!$A$2:$A2446, MATCH(B606,'Room Info'!$F$2:$F2446, 0)),IF(G606='Room Info'!$H$1, INDEX('Room Info'!$A$2:$A2446, MATCH(B606,'Room Info'!$H$2:$H2446, 0)),IF(G606='Room Info'!$G$1, INDEX('Room Info'!$A$2:$A2446, MATCH(B606,'Room Info'!$G$2:$G2446, 0)))))))))</f>
        <v>fraum@rta</v>
      </c>
      <c r="B606" s="54" t="s">
        <v>152</v>
      </c>
      <c r="C606" s="46">
        <v>44927</v>
      </c>
      <c r="D606" s="46">
        <v>44957</v>
      </c>
      <c r="E606" s="47">
        <v>44927</v>
      </c>
      <c r="F606" s="45" t="s">
        <v>49</v>
      </c>
      <c r="G606" s="54" t="s">
        <v>80</v>
      </c>
      <c r="H606" s="49" t="s">
        <v>72</v>
      </c>
      <c r="I606" s="49" t="s">
        <v>81</v>
      </c>
      <c r="J606" s="50">
        <v>50</v>
      </c>
      <c r="K606" s="51">
        <v>532</v>
      </c>
      <c r="L606" s="52">
        <v>-850</v>
      </c>
      <c r="M606" s="53">
        <v>1416</v>
      </c>
      <c r="N606" s="28">
        <f>K606*J606</f>
        <v>26600</v>
      </c>
      <c r="O606" s="54">
        <v>-21</v>
      </c>
      <c r="P606" s="29">
        <v>-3.9473684209999998E-2</v>
      </c>
      <c r="Q606" s="55"/>
      <c r="R606" s="31">
        <f>M606+Q606</f>
        <v>1416</v>
      </c>
      <c r="S606" s="56">
        <v>-2084</v>
      </c>
      <c r="T606" s="32">
        <f>R606+S606+IF(F606="Without EV deal",L606,0)</f>
        <v>-668</v>
      </c>
      <c r="U606" s="57">
        <v>1</v>
      </c>
      <c r="V606" s="58"/>
      <c r="W606" s="58"/>
      <c r="X606" s="30">
        <f>IF(AF606="DoEV",IF(AND(V606&lt;20,W606&lt;55),0.3,0)+IF(AND(V606&lt;20,W606&gt;=55,W606&lt;105),0.23,0)+IF(AND(V606&lt;20,W606&gt;=105),0.17,0)+IF(AND(V606&gt;=20,V606&lt;40,W606&lt;45),0.3,0)+IF(AND(V606&gt;=20,V606&lt;40,W606&gt;=45,W606&lt;95),0.23,0)+IF(AND(V606&gt;=20,V606&lt;40,W606&gt;=95),0.17,0)+IF(AND(V606&gt;=40,V606&lt;75,W606&lt;35),0.3,0)+IF(AND(V606&gt;=40,V606&lt;75,W606&gt;=35,W606&lt;75),0.23,0)+IF(AND(V606&gt;=40,V606&lt;75,W606&gt;=75,W606&lt;120),0.17,0)+IF(AND(V606&gt;=40,V606&lt;75,W606&gt;=120),0.12,0)+IF(AND(V606&gt;=75,V606&lt;175,W606&lt;35),0.3,0)+IF(AND(V606&gt;=75,V606&lt;=175,W606&gt;=35,W606&lt;65),0.23,0)+IF(AND(V606&gt;=75,V606&lt;=175,W606&gt;=65,W606&lt;110),0.17,0)+IF(AND(V606&gt;=75,V606&lt;=175,W606&gt;=110),0.12,0)+IF(AND(V606&gt;175,W606&lt;25),0.3,0)+IF(AND(V606&gt;175,W606&gt;=25,W606&lt;55),0.23,0)+IF(AND(V606&gt;175,W606&gt;=55,W606&lt;95),0.17,0)+IF(AND(V606&gt;175,W606&gt;=95),0.12,0),
IF(AF606="Fix15",0.15,
IF(AF606="Fix18.75",0.1875,
IF(AF606="Fix11.25",0.1125,
IF(AF606="Fix10",0.1,
IF(AF606="Fix9",0.09,
IF(AF606="DoEV2017",IF(AND(W606&lt;74),0.2,0)+IF(AND(W606&gt;=74),0.17,0),
IF(AF606="SF",IF(AND(V606&lt;20,W606&lt;89),0.3,0)+IF(AND(V606&lt;20,W606&gt;=89),0.25,0)+IF(AND(V606&gt;=20,V606&lt;40,W606&lt;74),0.3,0)+IF(AND(V606&gt;=20,V606&lt;40,W606&gt;=75),0.22,0)+IF(AND(V606&gt;=40,V606&lt;75,W606&lt;75),0.26,0)+IF(AND(V606&gt;=40,V606&lt;75,W606&gt;=75),0.22,0)+IF(V606&gt;=75,0.22,0),
IF(AF606="DoEVold",IF(AND(V606&lt;40,W606&lt;35),0.35,0)+IF(AND(V606&lt;40,W606&gt;=35,W606&lt;75),0.25,0)+IF(AND(V606&lt;40,W606&gt;=75),0.17,0)+IF(AND(V606&gt;=40,V606&lt;75,W606&lt;25),0.35,0)+IF(AND(V606&gt;=40,V606&lt;75,W606&gt;=25,W606&lt;65),0.25,0)+IF(AND(V606&gt;=40,V606&lt;75,W606&gt;=65,W606&lt;100),0.17,0)+IF(AND(V606&gt;=40,V606&lt;75,W606&gt;=100),0.1,0)+IF(AND(V606&gt;=75,W606&lt;25),0.35,0)+IF(AND(V606&gt;=75,W606&gt;=25,W606&lt;60),0.25,0)+IF(AND(V606&gt;=75,W606&gt;=60,W606&lt;95),0.17,0)+IF(AND(V606&gt;=75,W606&gt;=95),0.1,0),
IF(AF606="DoEVold15",IF(AND(V606&lt;=40,W606&lt;35),0.35,0)+IF(AND(V606&lt;=40,W606&gt;=35,W606&lt;75),0.25,0)+IF(AND(V606&lt;=40,W606&gt;=75,W606&lt;120),0.17,0)+IF(AND(V606&lt;=40,W606&gt;=120),0.15,0)+IF(AND(V606&gt;40,V606&lt;75,W606&lt;25),0.35,0)+IF(AND(V606&gt;=40,V606&lt;75,W606&gt;=25,W606&lt;65),0.25,0)+IF(AND(V606&gt;=40,V606&lt;75,W606&gt;=65,W606&lt;100),0.17,0)+IF(AND(V606&gt;=40,V606&lt;75,W606&gt;=100),0.1,0)+IF(AND(V606&gt;=75,W606&lt;25),0.35,0)+IF(AND(V606&gt;=75,W606&gt;=25,W606&lt;60),0.25,0)+IF(AND(V606&gt;=75,W606&gt;=60,W606&lt;95),0.17,0)+IF(AND(V606&gt;=75,W606&gt;=95),0.1,0),
IF(AF606="DoEVba",IF(AND(V606&lt;20,W606&lt;105),0.2,0)+IF(AND(V606&lt;20,W606&gt;=105),0.15,0)+IF(AND(V606&gt;=20,V606&lt;40,W606&lt;95),0.2,0)+IF(AND(V606&gt;=20,V606&lt;40,W606&gt;=95,W606&lt;150),0.15,0)+IF(AND(V606&gt;=20,V606&lt;40,W606&gt;=150),0.12,0)+IF(AND(V606&gt;=40,V606&lt;75,W606&lt;75),0.2,0)+IF(AND(V606&gt;=40,V606&lt;75,W606&gt;=75,W606&lt;120),0.15,0)+IF(AND(V606&gt;=40,V606&lt;75,W606&gt;=120),0.12,0)+IF(AND(V606&gt;=75,V606&lt;175,W606&lt;65),0.2,0)+IF(AND(V606&gt;=75,V606&lt;175,W606&gt;=65,W606&lt;110),0.15,0)+IF(AND(V606&gt;=75,V606&lt;175,W606&gt;=110),0.12,0)+IF(AND(V606&gt;=175,W606&lt;55),0.2,0)+IF(AND(V606&gt;=175,W606&gt;=55,W606&lt;95),0.15,0)+IF(AND(V606&gt;=175,W606&gt;=95),0.12,0),
IF(AF606="DoEVku",IF(AND(V606&lt;20,W606&lt;55),0.23,0)+IF(AND(V606&lt;20,W606&gt;=55,W606&lt;105),0.2,0)+IF(AND(V606&lt;20,W606&gt;=105),0.17,0)+IF(AND(V606&gt;=20,V606&lt;40,W606&lt;45),0.23,0)+IF(AND(V606&gt;=20,V606&lt;40,W606&gt;=45,W606&lt;95),0.2,0)+IF(AND(V606&gt;=20,V606&lt;40,W606&gt;=95,W606&lt;=150),0.17,0)+IF(AND(V606&gt;=20,V606&lt;40,W606&gt;=150),0.12,0)+IF(AND(V606&gt;=40,V606&lt;75,W606&lt;35),0.23,0)+IF(AND(V606&gt;=40,V606&lt;75,W606&gt;=35,W606&lt;75),0.2,0)+IF(AND(V606&gt;=40,V606&lt;75,W606&gt;=75,W606&lt;120),0.17,0)+IF(AND(V606&gt;=40,V606&lt;75,W606&gt;=120),0.12,0)+IF(AND(V606&gt;=75,V606&lt;175,W606&lt;35),0.23,0)+IF(AND(V606&gt;=75,V606&lt;=175,W606&gt;=35,W606&lt;65),0.2,0)+IF(AND(V606&gt;=75,V606&lt;=175,W606&gt;=65,W606&lt;110),0.17,0)+IF(AND(V606&gt;=75,V606&lt;=175,W606&gt;=110),0.12,0)+IF(AND(V606&gt;175,W606&lt;25),0.23,0)+IF(AND(V606&gt;175,W606&gt;=25,W606&lt;55),0.2,0)+IF(AND(V606&gt;175,W606&gt;=55,W606&lt;95),0.17,0)+IF(AND(V606&gt;175,W606&gt;=95),0.12,0),
IF(AF606="DoEVs1",IF(AND(V606&lt;20,W606&lt;55),0.3,0)+IF(AND(V606&lt;20,W606&gt;=55,W606&lt;105),0.23,0)+IF(AND(V606&lt;20,W606&gt;=105),0.17,0)+IF(AND(V606&gt;=20,V606&lt;40,W606&lt;45),0.3,0)+IF(AND(V606&gt;=20,V606&lt;40,W606&gt;=45,W606&lt;95),0.23,0)+IF(AND(V606&gt;=20,V606&lt;40,W606&gt;=95,W606&lt;=150),0.17,0)+IF(AND(V606&gt;=20,V606&lt;40,W606&gt;=150),0.12,0)+IF(AND(V606&gt;=40,V606&lt;75,W606&lt;35),0.3,0)+IF(AND(V606&gt;=40,V606&lt;75,W606&gt;=35,W606&lt;75),0.23,0)+IF(AND(V606&gt;=40,V606&lt;75,W606&gt;=75,W606&lt;120),0.17,0)+IF(AND(V606&gt;=40,V606&lt;75,W606&gt;=120),0.12,0)+IF(AND(V606&gt;=75,V606&lt;175,W606&lt;35),0.3,0)+IF(AND(V606&gt;=75,V606&lt;=175,W606&gt;=35,W606&lt;65),0.23,0)+IF(AND(V606&gt;=75,V606&lt;=175,W606&gt;=65,W606&lt;110),0.17,0)+IF(AND(V606&gt;=75,V606&lt;=175,W606&gt;=110),0.12,0)+IF(AND(V606&gt;175,W606&lt;25),0.3,0)+IF(AND(V606&gt;175,W606&gt;=25,W606&lt;55),0.23,0)+IF(AND(V606&gt;175,W606&gt;=55,W606&lt;95),0.17,0)+IF(AND(V606&gt;175,W606&gt;=95),0.12,0),
IF(AF606="DoEVsu",IF(AND(V606&lt;20,W606&lt;55),0.3,0)+IF(AND(V606&lt;20,W606&gt;=55,W606&lt;105),0.23,0)+IF(AND(V606&lt;20,W606&gt;=105),0.17,0)+IF(AND(V606&gt;=20,V606&lt;40,W606&lt;45),0.3,0)+IF(AND(V606&gt;=20,V606&lt;40,W606&gt;=45,W606&lt;95),0.23,0)+IF(AND(V606&gt;=20,V606&lt;40,W606&gt;=95,W606&lt;=250),0.17,0)+IF(AND(V606&gt;=20,V606&lt;40,W606&gt;=250),0.12,0)+IF(AND(V606&gt;=40,V606&lt;75,W606&lt;35),0.3,0)+IF(AND(V606&gt;=40,V606&lt;75,W606&gt;=35,W606&lt;75),0.23,0)+IF(AND(V606&gt;=40,V606&lt;75,W606&gt;=75,W606&lt;120),0.17,0)+IF(AND(V606&gt;=40,V606&lt;75,W606&gt;=120),0.12,0)+IF(AND(V606&gt;=75,V606&lt;175,W606&lt;35),0.3,0)+IF(AND(V606&gt;=75,V606&lt;=175,W606&gt;=35,W606&lt;65),0.23,0)+IF(AND(V606&gt;=75,V606&lt;=175,W606&gt;=65,W606&lt;110),0.17,0)+IF(AND(V606&gt;=75,V606&lt;=175,W606&gt;=110),0.12,0)+IF(AND(V606&gt;175,W606&lt;25),0.3,0)+IF(AND(V606&gt;175,W606&gt;=25,W606&lt;55),0.23,0)+IF(AND(V606&gt;175,W606&gt;=55,W606&lt;95),0.17,0)+IF(AND(V606&gt;175,W606&gt;=95),0.12,0),
IF(AF606="DoEVni",IF(AND(V606&lt;20,W606&lt;55),0.3,0)+IF(AND(V606&lt;20,W606&gt;=55,W606&lt;105),0.23,0)+IF(AND(V606&lt;20,W606&gt;=105),0.17,0)+IF(AND(V606&gt;=20,V606&lt;40,W606&lt;45),0.3,0)+IF(AND(V606&gt;=20,V606&lt;40,W606&gt;=45,W606&lt;95),0.23,0)+IF(AND(V606&gt;=20,V606&lt;40,W606&gt;=95,W606&lt;=200),0.17,0)+IF(AND(V606&gt;=20,V606&lt;40,W606&gt;=200),0.12,0)+IF(AND(V606&gt;=40,V606&lt;75,W606&lt;35),0.3,0)+IF(AND(V606&gt;=40,V606&lt;75,W606&gt;=35,W606&lt;75),0.23,0)+IF(AND(V606&gt;=40,V606&lt;75,W606&gt;=75,W606&lt;120),0.17,0)+IF(AND(V606&gt;=40,V606&lt;75,W606&gt;=120),0.12,0)+IF(AND(V606&gt;=75,V606&lt;175,W606&lt;35),0.3,0)+IF(AND(V606&gt;=75,V606&lt;=175,W606&gt;=35,W606&lt;65),0.23,0)+IF(AND(V606&gt;=75,V606&lt;=175,W606&gt;=65,W606&lt;110),0.17,0)+IF(AND(V606&gt;=75,V606&lt;=175,W606&gt;=110),0.12,0)+IF(AND(V606&gt;175,W606&lt;25),0.3,0)+IF(AND(V606&gt;175,W606&gt;=25,W606&lt;55),0.23,0)+IF(AND(V606&gt;175,W606&gt;=55,W606&lt;95),0.17,0)+IF(AND(V606&gt;175,W606&gt;=95),0.12,0),
IF(AF606="DoEVLo",IF(AND(V606&lt;20,W606&lt;55),0.25,0)+IF(AND(V606&lt;20,W606&gt;=55,W606&lt;105),0.2,0)+IF(AND(V606&lt;20,W606&gt;=105),0.15,0)+IF(AND(V606&gt;=20,V606&lt;40,W606&lt;45),0.25,0)+IF(AND(V606&gt;=20,V606&lt;40,W606&gt;=45,W606&lt;95),0.2,0)+IF(AND(V606&gt;=20,V606&lt;40,W606&gt;=95),0.15,0)+IF(AND(V606&gt;=40,V606&lt;75,W606&lt;35),0.25,0)+IF(AND(V606&gt;=40,V606&lt;75,W606&gt;=35,W606&lt;75),0.2,0)+IF(AND(V606&gt;=40,V606&lt;75,W606&gt;=75,W606&lt;120),0.15,0)+IF(AND(V606&gt;=40,V606&lt;75,W606&gt;=120),0.1,0)+IF(AND(V606&gt;=75,V606&lt;175,W606&lt;35),0.25,0)+IF(AND(V606&gt;=75,V606&lt;=175,W606&gt;=35,W606&lt;65),0.2,0)+IF(AND(V606&gt;=75,V606&lt;=175,W606&gt;=65,W606&lt;110),0.15,0)+IF(AND(V606&gt;=75,V606&lt;=175,W606&gt;=110),0.1,0)+IF(AND(V606&gt;175,W606&lt;25),0.25,0)+IF(AND(V606&gt;175,W606&gt;=25,W606&lt;55),0.2,0)+IF(AND(V606&gt;175,W606&gt;=55,W606&lt;95),0.15,0)+IF(AND(V606&gt;175,W606&gt;=95),0.1,0)))))))))))))))))</f>
        <v>0.15</v>
      </c>
      <c r="Y606" s="30">
        <f>IF(AG606="None",0,IF(AG606="Fix5",0.05, IF(AG606="Fix6.25",0.0625,IF(AG606="Fix3.75",0.0375,IF(AG606="Fix10",0.1,IF(AG606="Fix3",0.03,0))))))</f>
        <v>0</v>
      </c>
      <c r="Z606" s="35">
        <f>T606-AA606-AB606</f>
        <v>-567.79999999999995</v>
      </c>
      <c r="AA606" s="29">
        <f>IF(AD606="EUR",((T606-R606)*X606)*U606+(R606*X606),(T606*X606))</f>
        <v>-100.2</v>
      </c>
      <c r="AB606" s="36">
        <f>IF(AD606="EUR",((T606-R606)*Y606)*U606+(R606*Y606),(T606*Y606))</f>
        <v>0</v>
      </c>
      <c r="AC606" s="61" t="b">
        <v>1</v>
      </c>
      <c r="AD606" s="61" t="s">
        <v>38</v>
      </c>
      <c r="AE606" s="83" t="s">
        <v>38</v>
      </c>
      <c r="AF606" s="37" t="str">
        <f t="array" ref="AF606">INDEX('Deal Info'!D:D, MATCH(A606,'Deal Info'!A:A, 0))</f>
        <v>Fix15</v>
      </c>
      <c r="AG606" s="38" t="str">
        <f t="array" ref="AG606">INDEX('Deal Info'!G:G, MATCH(A606,'Deal Info'!A:A, 0))</f>
        <v>None</v>
      </c>
    </row>
    <row r="607" spans="1:33" ht="14.25" hidden="1" x14ac:dyDescent="0.2">
      <c r="A607" s="18" t="str">
        <f t="array" ref="A607">IF(G607='Room Info'!$B$1, INDEX('Room Info'!$A$2:$A2446, MATCH(B607,'Room Info'!$B$2:$B2446, 0)),IF(G607='Room Info'!$C$1, INDEX('Room Info'!$A$2:$A2446, MATCH(B607,'Room Info'!$C$2:$C2446, 0)),IF(G607='Room Info'!$D$1, INDEX('Room Info'!$A$2:$A2446, MATCH(B607,'Room Info'!$D$2:$D2446, 0)),IF(G607='Room Info'!$E$1, INDEX('Room Info'!$A$2:$A2446, MATCH(B607,'Room Info'!$E$2:$E2446, 0)),IF(G607='Room Info'!$F$1, INDEX('Room Info'!$A$2:$A2446, MATCH(B607,'Room Info'!$F$2:$F2446, 0)),IF(G607='Room Info'!$H$1, INDEX('Room Info'!$A$2:$A2446, MATCH(B607,'Room Info'!$H$2:$H2446, 0)),IF(G607='Room Info'!$G$1, INDEX('Room Info'!$A$2:$A2446, MATCH(B607,'Room Info'!$G$2:$G2446, 0)))))))))</f>
        <v>fraum@rta</v>
      </c>
      <c r="B607" s="54" t="s">
        <v>152</v>
      </c>
      <c r="C607" s="46">
        <v>44927</v>
      </c>
      <c r="D607" s="46">
        <v>44957</v>
      </c>
      <c r="E607" s="47">
        <v>44927</v>
      </c>
      <c r="F607" s="45" t="s">
        <v>41</v>
      </c>
      <c r="G607" s="54" t="s">
        <v>80</v>
      </c>
      <c r="H607" s="49" t="s">
        <v>70</v>
      </c>
      <c r="I607" s="49" t="s">
        <v>81</v>
      </c>
      <c r="J607" s="50">
        <v>100</v>
      </c>
      <c r="K607" s="51">
        <v>4490</v>
      </c>
      <c r="L607" s="52">
        <v>-19300</v>
      </c>
      <c r="M607" s="53">
        <v>23897</v>
      </c>
      <c r="N607" s="28">
        <f>K607*J607</f>
        <v>449000</v>
      </c>
      <c r="O607" s="54">
        <v>41875</v>
      </c>
      <c r="P607" s="29">
        <v>9.3262806240000007</v>
      </c>
      <c r="Q607" s="55"/>
      <c r="R607" s="31">
        <f>M607+Q607</f>
        <v>23897</v>
      </c>
      <c r="S607" s="56"/>
      <c r="T607" s="32">
        <f>R607+S607+IF(F607="Without EV deal",L607,0)</f>
        <v>4597</v>
      </c>
      <c r="U607" s="57">
        <v>1</v>
      </c>
      <c r="V607" s="58"/>
      <c r="W607" s="58"/>
      <c r="X607" s="30">
        <f>IF(AF607="DoEV",IF(AND(V607&lt;20,W607&lt;55),0.3,0)+IF(AND(V607&lt;20,W607&gt;=55,W607&lt;105),0.23,0)+IF(AND(V607&lt;20,W607&gt;=105),0.17,0)+IF(AND(V607&gt;=20,V607&lt;40,W607&lt;45),0.3,0)+IF(AND(V607&gt;=20,V607&lt;40,W607&gt;=45,W607&lt;95),0.23,0)+IF(AND(V607&gt;=20,V607&lt;40,W607&gt;=95),0.17,0)+IF(AND(V607&gt;=40,V607&lt;75,W607&lt;35),0.3,0)+IF(AND(V607&gt;=40,V607&lt;75,W607&gt;=35,W607&lt;75),0.23,0)+IF(AND(V607&gt;=40,V607&lt;75,W607&gt;=75,W607&lt;120),0.17,0)+IF(AND(V607&gt;=40,V607&lt;75,W607&gt;=120),0.12,0)+IF(AND(V607&gt;=75,V607&lt;175,W607&lt;35),0.3,0)+IF(AND(V607&gt;=75,V607&lt;=175,W607&gt;=35,W607&lt;65),0.23,0)+IF(AND(V607&gt;=75,V607&lt;=175,W607&gt;=65,W607&lt;110),0.17,0)+IF(AND(V607&gt;=75,V607&lt;=175,W607&gt;=110),0.12,0)+IF(AND(V607&gt;175,W607&lt;25),0.3,0)+IF(AND(V607&gt;175,W607&gt;=25,W607&lt;55),0.23,0)+IF(AND(V607&gt;175,W607&gt;=55,W607&lt;95),0.17,0)+IF(AND(V607&gt;175,W607&gt;=95),0.12,0),
IF(AF607="Fix15",0.15,
IF(AF607="Fix18.75",0.1875,
IF(AF607="Fix11.25",0.1125,
IF(AF607="Fix10",0.1,
IF(AF607="Fix9",0.09,
IF(AF607="DoEV2017",IF(AND(W607&lt;74),0.2,0)+IF(AND(W607&gt;=74),0.17,0),
IF(AF607="SF",IF(AND(V607&lt;20,W607&lt;89),0.3,0)+IF(AND(V607&lt;20,W607&gt;=89),0.25,0)+IF(AND(V607&gt;=20,V607&lt;40,W607&lt;74),0.3,0)+IF(AND(V607&gt;=20,V607&lt;40,W607&gt;=75),0.22,0)+IF(AND(V607&gt;=40,V607&lt;75,W607&lt;75),0.26,0)+IF(AND(V607&gt;=40,V607&lt;75,W607&gt;=75),0.22,0)+IF(V607&gt;=75,0.22,0),
IF(AF607="DoEVold",IF(AND(V607&lt;40,W607&lt;35),0.35,0)+IF(AND(V607&lt;40,W607&gt;=35,W607&lt;75),0.25,0)+IF(AND(V607&lt;40,W607&gt;=75),0.17,0)+IF(AND(V607&gt;=40,V607&lt;75,W607&lt;25),0.35,0)+IF(AND(V607&gt;=40,V607&lt;75,W607&gt;=25,W607&lt;65),0.25,0)+IF(AND(V607&gt;=40,V607&lt;75,W607&gt;=65,W607&lt;100),0.17,0)+IF(AND(V607&gt;=40,V607&lt;75,W607&gt;=100),0.1,0)+IF(AND(V607&gt;=75,W607&lt;25),0.35,0)+IF(AND(V607&gt;=75,W607&gt;=25,W607&lt;60),0.25,0)+IF(AND(V607&gt;=75,W607&gt;=60,W607&lt;95),0.17,0)+IF(AND(V607&gt;=75,W607&gt;=95),0.1,0),
IF(AF607="DoEVold15",IF(AND(V607&lt;=40,W607&lt;35),0.35,0)+IF(AND(V607&lt;=40,W607&gt;=35,W607&lt;75),0.25,0)+IF(AND(V607&lt;=40,W607&gt;=75,W607&lt;120),0.17,0)+IF(AND(V607&lt;=40,W607&gt;=120),0.15,0)+IF(AND(V607&gt;40,V607&lt;75,W607&lt;25),0.35,0)+IF(AND(V607&gt;=40,V607&lt;75,W607&gt;=25,W607&lt;65),0.25,0)+IF(AND(V607&gt;=40,V607&lt;75,W607&gt;=65,W607&lt;100),0.17,0)+IF(AND(V607&gt;=40,V607&lt;75,W607&gt;=100),0.1,0)+IF(AND(V607&gt;=75,W607&lt;25),0.35,0)+IF(AND(V607&gt;=75,W607&gt;=25,W607&lt;60),0.25,0)+IF(AND(V607&gt;=75,W607&gt;=60,W607&lt;95),0.17,0)+IF(AND(V607&gt;=75,W607&gt;=95),0.1,0),
IF(AF607="DoEVba",IF(AND(V607&lt;20,W607&lt;105),0.2,0)+IF(AND(V607&lt;20,W607&gt;=105),0.15,0)+IF(AND(V607&gt;=20,V607&lt;40,W607&lt;95),0.2,0)+IF(AND(V607&gt;=20,V607&lt;40,W607&gt;=95,W607&lt;150),0.15,0)+IF(AND(V607&gt;=20,V607&lt;40,W607&gt;=150),0.12,0)+IF(AND(V607&gt;=40,V607&lt;75,W607&lt;75),0.2,0)+IF(AND(V607&gt;=40,V607&lt;75,W607&gt;=75,W607&lt;120),0.15,0)+IF(AND(V607&gt;=40,V607&lt;75,W607&gt;=120),0.12,0)+IF(AND(V607&gt;=75,V607&lt;175,W607&lt;65),0.2,0)+IF(AND(V607&gt;=75,V607&lt;175,W607&gt;=65,W607&lt;110),0.15,0)+IF(AND(V607&gt;=75,V607&lt;175,W607&gt;=110),0.12,0)+IF(AND(V607&gt;=175,W607&lt;55),0.2,0)+IF(AND(V607&gt;=175,W607&gt;=55,W607&lt;95),0.15,0)+IF(AND(V607&gt;=175,W607&gt;=95),0.12,0),
IF(AF607="DoEVku",IF(AND(V607&lt;20,W607&lt;55),0.23,0)+IF(AND(V607&lt;20,W607&gt;=55,W607&lt;105),0.2,0)+IF(AND(V607&lt;20,W607&gt;=105),0.17,0)+IF(AND(V607&gt;=20,V607&lt;40,W607&lt;45),0.23,0)+IF(AND(V607&gt;=20,V607&lt;40,W607&gt;=45,W607&lt;95),0.2,0)+IF(AND(V607&gt;=20,V607&lt;40,W607&gt;=95,W607&lt;=150),0.17,0)+IF(AND(V607&gt;=20,V607&lt;40,W607&gt;=150),0.12,0)+IF(AND(V607&gt;=40,V607&lt;75,W607&lt;35),0.23,0)+IF(AND(V607&gt;=40,V607&lt;75,W607&gt;=35,W607&lt;75),0.2,0)+IF(AND(V607&gt;=40,V607&lt;75,W607&gt;=75,W607&lt;120),0.17,0)+IF(AND(V607&gt;=40,V607&lt;75,W607&gt;=120),0.12,0)+IF(AND(V607&gt;=75,V607&lt;175,W607&lt;35),0.23,0)+IF(AND(V607&gt;=75,V607&lt;=175,W607&gt;=35,W607&lt;65),0.2,0)+IF(AND(V607&gt;=75,V607&lt;=175,W607&gt;=65,W607&lt;110),0.17,0)+IF(AND(V607&gt;=75,V607&lt;=175,W607&gt;=110),0.12,0)+IF(AND(V607&gt;175,W607&lt;25),0.23,0)+IF(AND(V607&gt;175,W607&gt;=25,W607&lt;55),0.2,0)+IF(AND(V607&gt;175,W607&gt;=55,W607&lt;95),0.17,0)+IF(AND(V607&gt;175,W607&gt;=95),0.12,0),
IF(AF607="DoEVs1",IF(AND(V607&lt;20,W607&lt;55),0.3,0)+IF(AND(V607&lt;20,W607&gt;=55,W607&lt;105),0.23,0)+IF(AND(V607&lt;20,W607&gt;=105),0.17,0)+IF(AND(V607&gt;=20,V607&lt;40,W607&lt;45),0.3,0)+IF(AND(V607&gt;=20,V607&lt;40,W607&gt;=45,W607&lt;95),0.23,0)+IF(AND(V607&gt;=20,V607&lt;40,W607&gt;=95,W607&lt;=150),0.17,0)+IF(AND(V607&gt;=20,V607&lt;40,W607&gt;=150),0.12,0)+IF(AND(V607&gt;=40,V607&lt;75,W607&lt;35),0.3,0)+IF(AND(V607&gt;=40,V607&lt;75,W607&gt;=35,W607&lt;75),0.23,0)+IF(AND(V607&gt;=40,V607&lt;75,W607&gt;=75,W607&lt;120),0.17,0)+IF(AND(V607&gt;=40,V607&lt;75,W607&gt;=120),0.12,0)+IF(AND(V607&gt;=75,V607&lt;175,W607&lt;35),0.3,0)+IF(AND(V607&gt;=75,V607&lt;=175,W607&gt;=35,W607&lt;65),0.23,0)+IF(AND(V607&gt;=75,V607&lt;=175,W607&gt;=65,W607&lt;110),0.17,0)+IF(AND(V607&gt;=75,V607&lt;=175,W607&gt;=110),0.12,0)+IF(AND(V607&gt;175,W607&lt;25),0.3,0)+IF(AND(V607&gt;175,W607&gt;=25,W607&lt;55),0.23,0)+IF(AND(V607&gt;175,W607&gt;=55,W607&lt;95),0.17,0)+IF(AND(V607&gt;175,W607&gt;=95),0.12,0),
IF(AF607="DoEVsu",IF(AND(V607&lt;20,W607&lt;55),0.3,0)+IF(AND(V607&lt;20,W607&gt;=55,W607&lt;105),0.23,0)+IF(AND(V607&lt;20,W607&gt;=105),0.17,0)+IF(AND(V607&gt;=20,V607&lt;40,W607&lt;45),0.3,0)+IF(AND(V607&gt;=20,V607&lt;40,W607&gt;=45,W607&lt;95),0.23,0)+IF(AND(V607&gt;=20,V607&lt;40,W607&gt;=95,W607&lt;=250),0.17,0)+IF(AND(V607&gt;=20,V607&lt;40,W607&gt;=250),0.12,0)+IF(AND(V607&gt;=40,V607&lt;75,W607&lt;35),0.3,0)+IF(AND(V607&gt;=40,V607&lt;75,W607&gt;=35,W607&lt;75),0.23,0)+IF(AND(V607&gt;=40,V607&lt;75,W607&gt;=75,W607&lt;120),0.17,0)+IF(AND(V607&gt;=40,V607&lt;75,W607&gt;=120),0.12,0)+IF(AND(V607&gt;=75,V607&lt;175,W607&lt;35),0.3,0)+IF(AND(V607&gt;=75,V607&lt;=175,W607&gt;=35,W607&lt;65),0.23,0)+IF(AND(V607&gt;=75,V607&lt;=175,W607&gt;=65,W607&lt;110),0.17,0)+IF(AND(V607&gt;=75,V607&lt;=175,W607&gt;=110),0.12,0)+IF(AND(V607&gt;175,W607&lt;25),0.3,0)+IF(AND(V607&gt;175,W607&gt;=25,W607&lt;55),0.23,0)+IF(AND(V607&gt;175,W607&gt;=55,W607&lt;95),0.17,0)+IF(AND(V607&gt;175,W607&gt;=95),0.12,0),
IF(AF607="DoEVni",IF(AND(V607&lt;20,W607&lt;55),0.3,0)+IF(AND(V607&lt;20,W607&gt;=55,W607&lt;105),0.23,0)+IF(AND(V607&lt;20,W607&gt;=105),0.17,0)+IF(AND(V607&gt;=20,V607&lt;40,W607&lt;45),0.3,0)+IF(AND(V607&gt;=20,V607&lt;40,W607&gt;=45,W607&lt;95),0.23,0)+IF(AND(V607&gt;=20,V607&lt;40,W607&gt;=95,W607&lt;=200),0.17,0)+IF(AND(V607&gt;=20,V607&lt;40,W607&gt;=200),0.12,0)+IF(AND(V607&gt;=40,V607&lt;75,W607&lt;35),0.3,0)+IF(AND(V607&gt;=40,V607&lt;75,W607&gt;=35,W607&lt;75),0.23,0)+IF(AND(V607&gt;=40,V607&lt;75,W607&gt;=75,W607&lt;120),0.17,0)+IF(AND(V607&gt;=40,V607&lt;75,W607&gt;=120),0.12,0)+IF(AND(V607&gt;=75,V607&lt;175,W607&lt;35),0.3,0)+IF(AND(V607&gt;=75,V607&lt;=175,W607&gt;=35,W607&lt;65),0.23,0)+IF(AND(V607&gt;=75,V607&lt;=175,W607&gt;=65,W607&lt;110),0.17,0)+IF(AND(V607&gt;=75,V607&lt;=175,W607&gt;=110),0.12,0)+IF(AND(V607&gt;175,W607&lt;25),0.3,0)+IF(AND(V607&gt;175,W607&gt;=25,W607&lt;55),0.23,0)+IF(AND(V607&gt;175,W607&gt;=55,W607&lt;95),0.17,0)+IF(AND(V607&gt;175,W607&gt;=95),0.12,0),
IF(AF607="DoEVLo",IF(AND(V607&lt;20,W607&lt;55),0.25,0)+IF(AND(V607&lt;20,W607&gt;=55,W607&lt;105),0.2,0)+IF(AND(V607&lt;20,W607&gt;=105),0.15,0)+IF(AND(V607&gt;=20,V607&lt;40,W607&lt;45),0.25,0)+IF(AND(V607&gt;=20,V607&lt;40,W607&gt;=45,W607&lt;95),0.2,0)+IF(AND(V607&gt;=20,V607&lt;40,W607&gt;=95),0.15,0)+IF(AND(V607&gt;=40,V607&lt;75,W607&lt;35),0.25,0)+IF(AND(V607&gt;=40,V607&lt;75,W607&gt;=35,W607&lt;75),0.2,0)+IF(AND(V607&gt;=40,V607&lt;75,W607&gt;=75,W607&lt;120),0.15,0)+IF(AND(V607&gt;=40,V607&lt;75,W607&gt;=120),0.1,0)+IF(AND(V607&gt;=75,V607&lt;175,W607&lt;35),0.25,0)+IF(AND(V607&gt;=75,V607&lt;=175,W607&gt;=35,W607&lt;65),0.2,0)+IF(AND(V607&gt;=75,V607&lt;=175,W607&gt;=65,W607&lt;110),0.15,0)+IF(AND(V607&gt;=75,V607&lt;=175,W607&gt;=110),0.1,0)+IF(AND(V607&gt;175,W607&lt;25),0.25,0)+IF(AND(V607&gt;175,W607&gt;=25,W607&lt;55),0.2,0)+IF(AND(V607&gt;175,W607&gt;=55,W607&lt;95),0.15,0)+IF(AND(V607&gt;175,W607&gt;=95),0.1,0)))))))))))))))))</f>
        <v>0.15</v>
      </c>
      <c r="Y607" s="30">
        <f>IF(AG607="None",0,IF(AG607="Fix5",0.05, IF(AG607="Fix6.25",0.0625,IF(AG607="Fix3.75",0.0375,IF(AG607="Fix10",0.1,IF(AG607="Fix3",0.03,0))))))</f>
        <v>0</v>
      </c>
      <c r="Z607" s="35">
        <f>T607-AA607-AB607</f>
        <v>3907.45</v>
      </c>
      <c r="AA607" s="29">
        <f>IF(AD607="EUR",((T607-R607)*X607)*U607+(R607*X607),(T607*X607))</f>
        <v>689.55</v>
      </c>
      <c r="AB607" s="36">
        <f>IF(AD607="EUR",((T607-R607)*Y607)*U607+(R607*Y607),(T607*Y607))</f>
        <v>0</v>
      </c>
      <c r="AC607" s="61" t="b">
        <v>1</v>
      </c>
      <c r="AD607" s="61" t="s">
        <v>38</v>
      </c>
      <c r="AE607" s="83" t="s">
        <v>38</v>
      </c>
      <c r="AF607" s="37" t="str">
        <f t="array" ref="AF607">INDEX('Deal Info'!D:D, MATCH(A607,'Deal Info'!A:A, 0))</f>
        <v>Fix15</v>
      </c>
      <c r="AG607" s="38" t="str">
        <f t="array" ref="AG607">INDEX('Deal Info'!G:G, MATCH(A607,'Deal Info'!A:A, 0))</f>
        <v>None</v>
      </c>
    </row>
    <row r="608" spans="1:33" ht="14.25" hidden="1" x14ac:dyDescent="0.2">
      <c r="A608" s="18" t="str">
        <f t="array" ref="A608">IF(G608='Room Info'!$B$1, INDEX('Room Info'!$A$2:$A2446, MATCH(B608,'Room Info'!$B$2:$B2446, 0)),IF(G608='Room Info'!$C$1, INDEX('Room Info'!$A$2:$A2446, MATCH(B608,'Room Info'!$C$2:$C2446, 0)),IF(G608='Room Info'!$D$1, INDEX('Room Info'!$A$2:$A2446, MATCH(B608,'Room Info'!$D$2:$D2446, 0)),IF(G608='Room Info'!$E$1, INDEX('Room Info'!$A$2:$A2446, MATCH(B608,'Room Info'!$E$2:$E2446, 0)),IF(G608='Room Info'!$F$1, INDEX('Room Info'!$A$2:$A2446, MATCH(B608,'Room Info'!$F$2:$F2446, 0)),IF(G608='Room Info'!$H$1, INDEX('Room Info'!$A$2:$A2446, MATCH(B608,'Room Info'!$H$2:$H2446, 0)),IF(G608='Room Info'!$G$1, INDEX('Room Info'!$A$2:$A2446, MATCH(B608,'Room Info'!$G$2:$G2446, 0)))))))))</f>
        <v>barabashOva</v>
      </c>
      <c r="B608" s="54" t="s">
        <v>154</v>
      </c>
      <c r="C608" s="46">
        <v>44794</v>
      </c>
      <c r="D608" s="46">
        <v>44824</v>
      </c>
      <c r="E608" s="47">
        <v>44805</v>
      </c>
      <c r="F608" s="45" t="s">
        <v>34</v>
      </c>
      <c r="G608" s="54" t="s">
        <v>35</v>
      </c>
      <c r="H608" s="49" t="s">
        <v>39</v>
      </c>
      <c r="I608" s="49" t="s">
        <v>37</v>
      </c>
      <c r="J608" s="50">
        <v>5</v>
      </c>
      <c r="K608" s="51">
        <v>123</v>
      </c>
      <c r="L608" s="52">
        <v>-120</v>
      </c>
      <c r="M608" s="62"/>
      <c r="N608" s="28">
        <f>K608*J608</f>
        <v>615</v>
      </c>
      <c r="O608" s="54">
        <v>-658</v>
      </c>
      <c r="P608" s="29">
        <v>-5.3495934959999998</v>
      </c>
      <c r="Q608" s="55"/>
      <c r="R608" s="31">
        <f>M608+Q608</f>
        <v>0</v>
      </c>
      <c r="S608" s="56">
        <v>-60</v>
      </c>
      <c r="T608" s="32">
        <f>R608+S608+IF(F608="Without EV deal",L608,0)</f>
        <v>-60</v>
      </c>
      <c r="U608" s="57">
        <v>1</v>
      </c>
      <c r="V608" s="58"/>
      <c r="W608" s="58"/>
      <c r="X608" s="30">
        <f>IF(AF608="DoEV",IF(AND(V608&lt;20,W608&lt;55),0.3,0)+IF(AND(V608&lt;20,W608&gt;=55,W608&lt;105),0.23,0)+IF(AND(V608&lt;20,W608&gt;=105),0.17,0)+IF(AND(V608&gt;=20,V608&lt;40,W608&lt;45),0.3,0)+IF(AND(V608&gt;=20,V608&lt;40,W608&gt;=45,W608&lt;95),0.23,0)+IF(AND(V608&gt;=20,V608&lt;40,W608&gt;=95),0.17,0)+IF(AND(V608&gt;=40,V608&lt;75,W608&lt;35),0.3,0)+IF(AND(V608&gt;=40,V608&lt;75,W608&gt;=35,W608&lt;75),0.23,0)+IF(AND(V608&gt;=40,V608&lt;75,W608&gt;=75,W608&lt;120),0.17,0)+IF(AND(V608&gt;=40,V608&lt;75,W608&gt;=120),0.12,0)+IF(AND(V608&gt;=75,V608&lt;175,W608&lt;35),0.3,0)+IF(AND(V608&gt;=75,V608&lt;=175,W608&gt;=35,W608&lt;65),0.23,0)+IF(AND(V608&gt;=75,V608&lt;=175,W608&gt;=65,W608&lt;110),0.17,0)+IF(AND(V608&gt;=75,V608&lt;=175,W608&gt;=110),0.12,0)+IF(AND(V608&gt;175,W608&lt;25),0.3,0)+IF(AND(V608&gt;175,W608&gt;=25,W608&lt;55),0.23,0)+IF(AND(V608&gt;175,W608&gt;=55,W608&lt;95),0.17,0)+IF(AND(V608&gt;175,W608&gt;=95),0.12,0),
IF(AF608="Fix15",0.15,
IF(AF608="Fix18.75",0.1875,
IF(AF608="Fix11.25",0.1125,
IF(AF608="Fix10",0.1,
IF(AF608="Fix9",0.09,
IF(AF608="DoEV2017",IF(AND(W608&lt;74),0.2,0)+IF(AND(W608&gt;=74),0.17,0),
IF(AF608="SF",IF(AND(V608&lt;20,W608&lt;89),0.3,0)+IF(AND(V608&lt;20,W608&gt;=89),0.25,0)+IF(AND(V608&gt;=20,V608&lt;40,W608&lt;74),0.3,0)+IF(AND(V608&gt;=20,V608&lt;40,W608&gt;=75),0.22,0)+IF(AND(V608&gt;=40,V608&lt;75,W608&lt;75),0.26,0)+IF(AND(V608&gt;=40,V608&lt;75,W608&gt;=75),0.22,0)+IF(V608&gt;=75,0.22,0),
IF(AF608="DoEVold",IF(AND(V608&lt;40,W608&lt;35),0.35,0)+IF(AND(V608&lt;40,W608&gt;=35,W608&lt;75),0.25,0)+IF(AND(V608&lt;40,W608&gt;=75),0.17,0)+IF(AND(V608&gt;=40,V608&lt;75,W608&lt;25),0.35,0)+IF(AND(V608&gt;=40,V608&lt;75,W608&gt;=25,W608&lt;65),0.25,0)+IF(AND(V608&gt;=40,V608&lt;75,W608&gt;=65,W608&lt;100),0.17,0)+IF(AND(V608&gt;=40,V608&lt;75,W608&gt;=100),0.1,0)+IF(AND(V608&gt;=75,W608&lt;25),0.35,0)+IF(AND(V608&gt;=75,W608&gt;=25,W608&lt;60),0.25,0)+IF(AND(V608&gt;=75,W608&gt;=60,W608&lt;95),0.17,0)+IF(AND(V608&gt;=75,W608&gt;=95),0.1,0),
IF(AF608="DoEVold15",IF(AND(V608&lt;=40,W608&lt;35),0.35,0)+IF(AND(V608&lt;=40,W608&gt;=35,W608&lt;75),0.25,0)+IF(AND(V608&lt;=40,W608&gt;=75,W608&lt;120),0.17,0)+IF(AND(V608&lt;=40,W608&gt;=120),0.15,0)+IF(AND(V608&gt;40,V608&lt;75,W608&lt;25),0.35,0)+IF(AND(V608&gt;=40,V608&lt;75,W608&gt;=25,W608&lt;65),0.25,0)+IF(AND(V608&gt;=40,V608&lt;75,W608&gt;=65,W608&lt;100),0.17,0)+IF(AND(V608&gt;=40,V608&lt;75,W608&gt;=100),0.1,0)+IF(AND(V608&gt;=75,W608&lt;25),0.35,0)+IF(AND(V608&gt;=75,W608&gt;=25,W608&lt;60),0.25,0)+IF(AND(V608&gt;=75,W608&gt;=60,W608&lt;95),0.17,0)+IF(AND(V608&gt;=75,W608&gt;=95),0.1,0),
IF(AF608="DoEVba",IF(AND(V608&lt;20,W608&lt;105),0.2,0)+IF(AND(V608&lt;20,W608&gt;=105),0.15,0)+IF(AND(V608&gt;=20,V608&lt;40,W608&lt;95),0.2,0)+IF(AND(V608&gt;=20,V608&lt;40,W608&gt;=95,W608&lt;150),0.15,0)+IF(AND(V608&gt;=20,V608&lt;40,W608&gt;=150),0.12,0)+IF(AND(V608&gt;=40,V608&lt;75,W608&lt;75),0.2,0)+IF(AND(V608&gt;=40,V608&lt;75,W608&gt;=75,W608&lt;120),0.15,0)+IF(AND(V608&gt;=40,V608&lt;75,W608&gt;=120),0.12,0)+IF(AND(V608&gt;=75,V608&lt;175,W608&lt;65),0.2,0)+IF(AND(V608&gt;=75,V608&lt;175,W608&gt;=65,W608&lt;110),0.15,0)+IF(AND(V608&gt;=75,V608&lt;175,W608&gt;=110),0.12,0)+IF(AND(V608&gt;=175,W608&lt;55),0.2,0)+IF(AND(V608&gt;=175,W608&gt;=55,W608&lt;95),0.15,0)+IF(AND(V608&gt;=175,W608&gt;=95),0.12,0),
IF(AF608="DoEVku",IF(AND(V608&lt;20,W608&lt;55),0.23,0)+IF(AND(V608&lt;20,W608&gt;=55,W608&lt;105),0.2,0)+IF(AND(V608&lt;20,W608&gt;=105),0.17,0)+IF(AND(V608&gt;=20,V608&lt;40,W608&lt;45),0.23,0)+IF(AND(V608&gt;=20,V608&lt;40,W608&gt;=45,W608&lt;95),0.2,0)+IF(AND(V608&gt;=20,V608&lt;40,W608&gt;=95,W608&lt;=150),0.17,0)+IF(AND(V608&gt;=20,V608&lt;40,W608&gt;=150),0.12,0)+IF(AND(V608&gt;=40,V608&lt;75,W608&lt;35),0.23,0)+IF(AND(V608&gt;=40,V608&lt;75,W608&gt;=35,W608&lt;75),0.2,0)+IF(AND(V608&gt;=40,V608&lt;75,W608&gt;=75,W608&lt;120),0.17,0)+IF(AND(V608&gt;=40,V608&lt;75,W608&gt;=120),0.12,0)+IF(AND(V608&gt;=75,V608&lt;175,W608&lt;35),0.23,0)+IF(AND(V608&gt;=75,V608&lt;=175,W608&gt;=35,W608&lt;65),0.2,0)+IF(AND(V608&gt;=75,V608&lt;=175,W608&gt;=65,W608&lt;110),0.17,0)+IF(AND(V608&gt;=75,V608&lt;=175,W608&gt;=110),0.12,0)+IF(AND(V608&gt;175,W608&lt;25),0.23,0)+IF(AND(V608&gt;175,W608&gt;=25,W608&lt;55),0.2,0)+IF(AND(V608&gt;175,W608&gt;=55,W608&lt;95),0.17,0)+IF(AND(V608&gt;175,W608&gt;=95),0.12,0),
IF(AF608="DoEVs1",IF(AND(V608&lt;20,W608&lt;55),0.3,0)+IF(AND(V608&lt;20,W608&gt;=55,W608&lt;105),0.23,0)+IF(AND(V608&lt;20,W608&gt;=105),0.17,0)+IF(AND(V608&gt;=20,V608&lt;40,W608&lt;45),0.3,0)+IF(AND(V608&gt;=20,V608&lt;40,W608&gt;=45,W608&lt;95),0.23,0)+IF(AND(V608&gt;=20,V608&lt;40,W608&gt;=95,W608&lt;=150),0.17,0)+IF(AND(V608&gt;=20,V608&lt;40,W608&gt;=150),0.12,0)+IF(AND(V608&gt;=40,V608&lt;75,W608&lt;35),0.3,0)+IF(AND(V608&gt;=40,V608&lt;75,W608&gt;=35,W608&lt;75),0.23,0)+IF(AND(V608&gt;=40,V608&lt;75,W608&gt;=75,W608&lt;120),0.17,0)+IF(AND(V608&gt;=40,V608&lt;75,W608&gt;=120),0.12,0)+IF(AND(V608&gt;=75,V608&lt;175,W608&lt;35),0.3,0)+IF(AND(V608&gt;=75,V608&lt;=175,W608&gt;=35,W608&lt;65),0.23,0)+IF(AND(V608&gt;=75,V608&lt;=175,W608&gt;=65,W608&lt;110),0.17,0)+IF(AND(V608&gt;=75,V608&lt;=175,W608&gt;=110),0.12,0)+IF(AND(V608&gt;175,W608&lt;25),0.3,0)+IF(AND(V608&gt;175,W608&gt;=25,W608&lt;55),0.23,0)+IF(AND(V608&gt;175,W608&gt;=55,W608&lt;95),0.17,0)+IF(AND(V608&gt;175,W608&gt;=95),0.12,0),
IF(AF608="DoEVsu",IF(AND(V608&lt;20,W608&lt;55),0.3,0)+IF(AND(V608&lt;20,W608&gt;=55,W608&lt;105),0.23,0)+IF(AND(V608&lt;20,W608&gt;=105),0.17,0)+IF(AND(V608&gt;=20,V608&lt;40,W608&lt;45),0.3,0)+IF(AND(V608&gt;=20,V608&lt;40,W608&gt;=45,W608&lt;95),0.23,0)+IF(AND(V608&gt;=20,V608&lt;40,W608&gt;=95,W608&lt;=250),0.17,0)+IF(AND(V608&gt;=20,V608&lt;40,W608&gt;=250),0.12,0)+IF(AND(V608&gt;=40,V608&lt;75,W608&lt;35),0.3,0)+IF(AND(V608&gt;=40,V608&lt;75,W608&gt;=35,W608&lt;75),0.23,0)+IF(AND(V608&gt;=40,V608&lt;75,W608&gt;=75,W608&lt;120),0.17,0)+IF(AND(V608&gt;=40,V608&lt;75,W608&gt;=120),0.12,0)+IF(AND(V608&gt;=75,V608&lt;175,W608&lt;35),0.3,0)+IF(AND(V608&gt;=75,V608&lt;=175,W608&gt;=35,W608&lt;65),0.23,0)+IF(AND(V608&gt;=75,V608&lt;=175,W608&gt;=65,W608&lt;110),0.17,0)+IF(AND(V608&gt;=75,V608&lt;=175,W608&gt;=110),0.12,0)+IF(AND(V608&gt;175,W608&lt;25),0.3,0)+IF(AND(V608&gt;175,W608&gt;=25,W608&lt;55),0.23,0)+IF(AND(V608&gt;175,W608&gt;=55,W608&lt;95),0.17,0)+IF(AND(V608&gt;175,W608&gt;=95),0.12,0),
IF(AF608="DoEVni",IF(AND(V608&lt;20,W608&lt;55),0.3,0)+IF(AND(V608&lt;20,W608&gt;=55,W608&lt;105),0.23,0)+IF(AND(V608&lt;20,W608&gt;=105),0.17,0)+IF(AND(V608&gt;=20,V608&lt;40,W608&lt;45),0.3,0)+IF(AND(V608&gt;=20,V608&lt;40,W608&gt;=45,W608&lt;95),0.23,0)+IF(AND(V608&gt;=20,V608&lt;40,W608&gt;=95,W608&lt;=200),0.17,0)+IF(AND(V608&gt;=20,V608&lt;40,W608&gt;=200),0.12,0)+IF(AND(V608&gt;=40,V608&lt;75,W608&lt;35),0.3,0)+IF(AND(V608&gt;=40,V608&lt;75,W608&gt;=35,W608&lt;75),0.23,0)+IF(AND(V608&gt;=40,V608&lt;75,W608&gt;=75,W608&lt;120),0.17,0)+IF(AND(V608&gt;=40,V608&lt;75,W608&gt;=120),0.12,0)+IF(AND(V608&gt;=75,V608&lt;175,W608&lt;35),0.3,0)+IF(AND(V608&gt;=75,V608&lt;=175,W608&gt;=35,W608&lt;65),0.23,0)+IF(AND(V608&gt;=75,V608&lt;=175,W608&gt;=65,W608&lt;110),0.17,0)+IF(AND(V608&gt;=75,V608&lt;=175,W608&gt;=110),0.12,0)+IF(AND(V608&gt;175,W608&lt;25),0.3,0)+IF(AND(V608&gt;175,W608&gt;=25,W608&lt;55),0.23,0)+IF(AND(V608&gt;175,W608&gt;=55,W608&lt;95),0.17,0)+IF(AND(V608&gt;175,W608&gt;=95),0.12,0),
IF(AF608="DoEVLo",IF(AND(V608&lt;20,W608&lt;55),0.25,0)+IF(AND(V608&lt;20,W608&gt;=55,W608&lt;105),0.2,0)+IF(AND(V608&lt;20,W608&gt;=105),0.15,0)+IF(AND(V608&gt;=20,V608&lt;40,W608&lt;45),0.25,0)+IF(AND(V608&gt;=20,V608&lt;40,W608&gt;=45,W608&lt;95),0.2,0)+IF(AND(V608&gt;=20,V608&lt;40,W608&gt;=95),0.15,0)+IF(AND(V608&gt;=40,V608&lt;75,W608&lt;35),0.25,0)+IF(AND(V608&gt;=40,V608&lt;75,W608&gt;=35,W608&lt;75),0.2,0)+IF(AND(V608&gt;=40,V608&lt;75,W608&gt;=75,W608&lt;120),0.15,0)+IF(AND(V608&gt;=40,V608&lt;75,W608&gt;=120),0.1,0)+IF(AND(V608&gt;=75,V608&lt;175,W608&lt;35),0.25,0)+IF(AND(V608&gt;=75,V608&lt;=175,W608&gt;=35,W608&lt;65),0.2,0)+IF(AND(V608&gt;=75,V608&lt;=175,W608&gt;=65,W608&lt;110),0.15,0)+IF(AND(V608&gt;=75,V608&lt;=175,W608&gt;=110),0.1,0)+IF(AND(V608&gt;175,W608&lt;25),0.25,0)+IF(AND(V608&gt;175,W608&gt;=25,W608&lt;55),0.2,0)+IF(AND(V608&gt;175,W608&gt;=55,W608&lt;95),0.15,0)+IF(AND(V608&gt;175,W608&gt;=95),0.1,0)))))))))))))))))</f>
        <v>0.2</v>
      </c>
      <c r="Y608" s="30">
        <f>IF(AG608="None",0,IF(AG608="Fix5",0.05, IF(AG608="Fix6.25",0.0625,IF(AG608="Fix3.75",0.0375,IF(AG608="Fix10",0.1,IF(AG608="Fix3",0.03,0))))))</f>
        <v>0</v>
      </c>
      <c r="Z608" s="35">
        <f>T608-AA608-AB608</f>
        <v>-48</v>
      </c>
      <c r="AA608" s="29">
        <f>IF(AD608="EUR",((T608-R608)*X608)*U608+(R608*X608),(T608*X608))</f>
        <v>-12</v>
      </c>
      <c r="AB608" s="36">
        <f>IF(AD608="EUR",((T608-R608)*Y608)*U608+(R608*Y608),(T608*Y608))</f>
        <v>0</v>
      </c>
      <c r="AC608" s="37" t="b">
        <v>1</v>
      </c>
      <c r="AD608" s="61" t="s">
        <v>38</v>
      </c>
      <c r="AE608" s="83" t="s">
        <v>38</v>
      </c>
      <c r="AF608" s="37" t="str">
        <f t="array" ref="AF608">INDEX('Deal Info'!D:D, MATCH(A608,'Deal Info'!A:A, 0))</f>
        <v>DoEVba</v>
      </c>
      <c r="AG608" s="38" t="str">
        <f t="array" ref="AG608">INDEX('Deal Info'!G:G, MATCH(A608,'Deal Info'!A:A, 0))</f>
        <v>None</v>
      </c>
    </row>
    <row r="609" spans="1:33" ht="14.25" hidden="1" x14ac:dyDescent="0.2">
      <c r="A609" s="18" t="str">
        <f t="array" ref="A609">IF(G609='Room Info'!$B$1, INDEX('Room Info'!$A$2:$A2446, MATCH(B609,'Room Info'!$B$2:$B2446, 0)),IF(G609='Room Info'!$C$1, INDEX('Room Info'!$A$2:$A2446, MATCH(B609,'Room Info'!$C$2:$C2446, 0)),IF(G609='Room Info'!$D$1, INDEX('Room Info'!$A$2:$A2446, MATCH(B609,'Room Info'!$D$2:$D2446, 0)),IF(G609='Room Info'!$E$1, INDEX('Room Info'!$A$2:$A2446, MATCH(B609,'Room Info'!$E$2:$E2446, 0)),IF(G609='Room Info'!$F$1, INDEX('Room Info'!$A$2:$A2446, MATCH(B609,'Room Info'!$F$2:$F2446, 0)),IF(G609='Room Info'!$H$1, INDEX('Room Info'!$A$2:$A2446, MATCH(B609,'Room Info'!$H$2:$H2446, 0)),IF(G609='Room Info'!$G$1, INDEX('Room Info'!$A$2:$A2446, MATCH(B609,'Room Info'!$G$2:$G2446, 0)))))))))</f>
        <v>barabashOva</v>
      </c>
      <c r="B609" s="45" t="s">
        <v>154</v>
      </c>
      <c r="C609" s="46">
        <v>44825</v>
      </c>
      <c r="D609" s="46">
        <v>44854</v>
      </c>
      <c r="E609" s="47">
        <v>44835</v>
      </c>
      <c r="F609" s="48" t="s">
        <v>34</v>
      </c>
      <c r="G609" s="45" t="s">
        <v>35</v>
      </c>
      <c r="H609" s="49" t="s">
        <v>39</v>
      </c>
      <c r="I609" s="49" t="s">
        <v>37</v>
      </c>
      <c r="J609" s="50">
        <v>5</v>
      </c>
      <c r="K609" s="51">
        <v>51</v>
      </c>
      <c r="L609" s="52">
        <v>70</v>
      </c>
      <c r="M609" s="53">
        <v>4</v>
      </c>
      <c r="N609" s="28">
        <f>K609*J609</f>
        <v>255</v>
      </c>
      <c r="O609" s="54">
        <v>11074</v>
      </c>
      <c r="P609" s="29">
        <v>217.13725489999999</v>
      </c>
      <c r="Q609" s="55"/>
      <c r="R609" s="31">
        <f>M609+Q609</f>
        <v>4</v>
      </c>
      <c r="S609" s="56">
        <v>78</v>
      </c>
      <c r="T609" s="32">
        <f>R609+S609+IF(F609="Without EV deal",L609,0)</f>
        <v>82</v>
      </c>
      <c r="U609" s="57">
        <v>1</v>
      </c>
      <c r="V609" s="58"/>
      <c r="W609" s="58"/>
      <c r="X609" s="30">
        <f>IF(AF609="DoEV",IF(AND(V609&lt;20,W609&lt;55),0.3,0)+IF(AND(V609&lt;20,W609&gt;=55,W609&lt;105),0.23,0)+IF(AND(V609&lt;20,W609&gt;=105),0.17,0)+IF(AND(V609&gt;=20,V609&lt;40,W609&lt;45),0.3,0)+IF(AND(V609&gt;=20,V609&lt;40,W609&gt;=45,W609&lt;95),0.23,0)+IF(AND(V609&gt;=20,V609&lt;40,W609&gt;=95),0.17,0)+IF(AND(V609&gt;=40,V609&lt;75,W609&lt;35),0.3,0)+IF(AND(V609&gt;=40,V609&lt;75,W609&gt;=35,W609&lt;75),0.23,0)+IF(AND(V609&gt;=40,V609&lt;75,W609&gt;=75,W609&lt;120),0.17,0)+IF(AND(V609&gt;=40,V609&lt;75,W609&gt;=120),0.12,0)+IF(AND(V609&gt;=75,V609&lt;175,W609&lt;35),0.3,0)+IF(AND(V609&gt;=75,V609&lt;=175,W609&gt;=35,W609&lt;65),0.23,0)+IF(AND(V609&gt;=75,V609&lt;=175,W609&gt;=65,W609&lt;110),0.17,0)+IF(AND(V609&gt;=75,V609&lt;=175,W609&gt;=110),0.12,0)+IF(AND(V609&gt;175,W609&lt;25),0.3,0)+IF(AND(V609&gt;175,W609&gt;=25,W609&lt;55),0.23,0)+IF(AND(V609&gt;175,W609&gt;=55,W609&lt;95),0.17,0)+IF(AND(V609&gt;175,W609&gt;=95),0.12,0),
IF(AF609="Fix15",0.15,
IF(AF609="Fix18.75",0.1875,
IF(AF609="Fix11.25",0.1125,
IF(AF609="Fix10",0.1,
IF(AF609="Fix9",0.09,
IF(AF609="DoEV2017",IF(AND(W609&lt;74),0.2,0)+IF(AND(W609&gt;=74),0.17,0),
IF(AF609="SF",IF(AND(V609&lt;20,W609&lt;89),0.3,0)+IF(AND(V609&lt;20,W609&gt;=89),0.25,0)+IF(AND(V609&gt;=20,V609&lt;40,W609&lt;74),0.3,0)+IF(AND(V609&gt;=20,V609&lt;40,W609&gt;=75),0.22,0)+IF(AND(V609&gt;=40,V609&lt;75,W609&lt;75),0.26,0)+IF(AND(V609&gt;=40,V609&lt;75,W609&gt;=75),0.22,0)+IF(V609&gt;=75,0.22,0),
IF(AF609="DoEVold",IF(AND(V609&lt;40,W609&lt;35),0.35,0)+IF(AND(V609&lt;40,W609&gt;=35,W609&lt;75),0.25,0)+IF(AND(V609&lt;40,W609&gt;=75),0.17,0)+IF(AND(V609&gt;=40,V609&lt;75,W609&lt;25),0.35,0)+IF(AND(V609&gt;=40,V609&lt;75,W609&gt;=25,W609&lt;65),0.25,0)+IF(AND(V609&gt;=40,V609&lt;75,W609&gt;=65,W609&lt;100),0.17,0)+IF(AND(V609&gt;=40,V609&lt;75,W609&gt;=100),0.1,0)+IF(AND(V609&gt;=75,W609&lt;25),0.35,0)+IF(AND(V609&gt;=75,W609&gt;=25,W609&lt;60),0.25,0)+IF(AND(V609&gt;=75,W609&gt;=60,W609&lt;95),0.17,0)+IF(AND(V609&gt;=75,W609&gt;=95),0.1,0),
IF(AF609="DoEVold15",IF(AND(V609&lt;=40,W609&lt;35),0.35,0)+IF(AND(V609&lt;=40,W609&gt;=35,W609&lt;75),0.25,0)+IF(AND(V609&lt;=40,W609&gt;=75,W609&lt;120),0.17,0)+IF(AND(V609&lt;=40,W609&gt;=120),0.15,0)+IF(AND(V609&gt;40,V609&lt;75,W609&lt;25),0.35,0)+IF(AND(V609&gt;=40,V609&lt;75,W609&gt;=25,W609&lt;65),0.25,0)+IF(AND(V609&gt;=40,V609&lt;75,W609&gt;=65,W609&lt;100),0.17,0)+IF(AND(V609&gt;=40,V609&lt;75,W609&gt;=100),0.1,0)+IF(AND(V609&gt;=75,W609&lt;25),0.35,0)+IF(AND(V609&gt;=75,W609&gt;=25,W609&lt;60),0.25,0)+IF(AND(V609&gt;=75,W609&gt;=60,W609&lt;95),0.17,0)+IF(AND(V609&gt;=75,W609&gt;=95),0.1,0),
IF(AF609="DoEVba",IF(AND(V609&lt;20,W609&lt;105),0.2,0)+IF(AND(V609&lt;20,W609&gt;=105),0.15,0)+IF(AND(V609&gt;=20,V609&lt;40,W609&lt;95),0.2,0)+IF(AND(V609&gt;=20,V609&lt;40,W609&gt;=95,W609&lt;150),0.15,0)+IF(AND(V609&gt;=20,V609&lt;40,W609&gt;=150),0.12,0)+IF(AND(V609&gt;=40,V609&lt;75,W609&lt;75),0.2,0)+IF(AND(V609&gt;=40,V609&lt;75,W609&gt;=75,W609&lt;120),0.15,0)+IF(AND(V609&gt;=40,V609&lt;75,W609&gt;=120),0.12,0)+IF(AND(V609&gt;=75,V609&lt;175,W609&lt;65),0.2,0)+IF(AND(V609&gt;=75,V609&lt;175,W609&gt;=65,W609&lt;110),0.15,0)+IF(AND(V609&gt;=75,V609&lt;175,W609&gt;=110),0.12,0)+IF(AND(V609&gt;=175,W609&lt;55),0.2,0)+IF(AND(V609&gt;=175,W609&gt;=55,W609&lt;95),0.15,0)+IF(AND(V609&gt;=175,W609&gt;=95),0.12,0),
IF(AF609="DoEVku",IF(AND(V609&lt;20,W609&lt;55),0.23,0)+IF(AND(V609&lt;20,W609&gt;=55,W609&lt;105),0.2,0)+IF(AND(V609&lt;20,W609&gt;=105),0.17,0)+IF(AND(V609&gt;=20,V609&lt;40,W609&lt;45),0.23,0)+IF(AND(V609&gt;=20,V609&lt;40,W609&gt;=45,W609&lt;95),0.2,0)+IF(AND(V609&gt;=20,V609&lt;40,W609&gt;=95,W609&lt;=150),0.17,0)+IF(AND(V609&gt;=20,V609&lt;40,W609&gt;=150),0.12,0)+IF(AND(V609&gt;=40,V609&lt;75,W609&lt;35),0.23,0)+IF(AND(V609&gt;=40,V609&lt;75,W609&gt;=35,W609&lt;75),0.2,0)+IF(AND(V609&gt;=40,V609&lt;75,W609&gt;=75,W609&lt;120),0.17,0)+IF(AND(V609&gt;=40,V609&lt;75,W609&gt;=120),0.12,0)+IF(AND(V609&gt;=75,V609&lt;175,W609&lt;35),0.23,0)+IF(AND(V609&gt;=75,V609&lt;=175,W609&gt;=35,W609&lt;65),0.2,0)+IF(AND(V609&gt;=75,V609&lt;=175,W609&gt;=65,W609&lt;110),0.17,0)+IF(AND(V609&gt;=75,V609&lt;=175,W609&gt;=110),0.12,0)+IF(AND(V609&gt;175,W609&lt;25),0.23,0)+IF(AND(V609&gt;175,W609&gt;=25,W609&lt;55),0.2,0)+IF(AND(V609&gt;175,W609&gt;=55,W609&lt;95),0.17,0)+IF(AND(V609&gt;175,W609&gt;=95),0.12,0),
IF(AF609="DoEVs1",IF(AND(V609&lt;20,W609&lt;55),0.3,0)+IF(AND(V609&lt;20,W609&gt;=55,W609&lt;105),0.23,0)+IF(AND(V609&lt;20,W609&gt;=105),0.17,0)+IF(AND(V609&gt;=20,V609&lt;40,W609&lt;45),0.3,0)+IF(AND(V609&gt;=20,V609&lt;40,W609&gt;=45,W609&lt;95),0.23,0)+IF(AND(V609&gt;=20,V609&lt;40,W609&gt;=95,W609&lt;=150),0.17,0)+IF(AND(V609&gt;=20,V609&lt;40,W609&gt;=150),0.12,0)+IF(AND(V609&gt;=40,V609&lt;75,W609&lt;35),0.3,0)+IF(AND(V609&gt;=40,V609&lt;75,W609&gt;=35,W609&lt;75),0.23,0)+IF(AND(V609&gt;=40,V609&lt;75,W609&gt;=75,W609&lt;120),0.17,0)+IF(AND(V609&gt;=40,V609&lt;75,W609&gt;=120),0.12,0)+IF(AND(V609&gt;=75,V609&lt;175,W609&lt;35),0.3,0)+IF(AND(V609&gt;=75,V609&lt;=175,W609&gt;=35,W609&lt;65),0.23,0)+IF(AND(V609&gt;=75,V609&lt;=175,W609&gt;=65,W609&lt;110),0.17,0)+IF(AND(V609&gt;=75,V609&lt;=175,W609&gt;=110),0.12,0)+IF(AND(V609&gt;175,W609&lt;25),0.3,0)+IF(AND(V609&gt;175,W609&gt;=25,W609&lt;55),0.23,0)+IF(AND(V609&gt;175,W609&gt;=55,W609&lt;95),0.17,0)+IF(AND(V609&gt;175,W609&gt;=95),0.12,0),
IF(AF609="DoEVsu",IF(AND(V609&lt;20,W609&lt;55),0.3,0)+IF(AND(V609&lt;20,W609&gt;=55,W609&lt;105),0.23,0)+IF(AND(V609&lt;20,W609&gt;=105),0.17,0)+IF(AND(V609&gt;=20,V609&lt;40,W609&lt;45),0.3,0)+IF(AND(V609&gt;=20,V609&lt;40,W609&gt;=45,W609&lt;95),0.23,0)+IF(AND(V609&gt;=20,V609&lt;40,W609&gt;=95,W609&lt;=250),0.17,0)+IF(AND(V609&gt;=20,V609&lt;40,W609&gt;=250),0.12,0)+IF(AND(V609&gt;=40,V609&lt;75,W609&lt;35),0.3,0)+IF(AND(V609&gt;=40,V609&lt;75,W609&gt;=35,W609&lt;75),0.23,0)+IF(AND(V609&gt;=40,V609&lt;75,W609&gt;=75,W609&lt;120),0.17,0)+IF(AND(V609&gt;=40,V609&lt;75,W609&gt;=120),0.12,0)+IF(AND(V609&gt;=75,V609&lt;175,W609&lt;35),0.3,0)+IF(AND(V609&gt;=75,V609&lt;=175,W609&gt;=35,W609&lt;65),0.23,0)+IF(AND(V609&gt;=75,V609&lt;=175,W609&gt;=65,W609&lt;110),0.17,0)+IF(AND(V609&gt;=75,V609&lt;=175,W609&gt;=110),0.12,0)+IF(AND(V609&gt;175,W609&lt;25),0.3,0)+IF(AND(V609&gt;175,W609&gt;=25,W609&lt;55),0.23,0)+IF(AND(V609&gt;175,W609&gt;=55,W609&lt;95),0.17,0)+IF(AND(V609&gt;175,W609&gt;=95),0.12,0),
IF(AF609="DoEVni",IF(AND(V609&lt;20,W609&lt;55),0.3,0)+IF(AND(V609&lt;20,W609&gt;=55,W609&lt;105),0.23,0)+IF(AND(V609&lt;20,W609&gt;=105),0.17,0)+IF(AND(V609&gt;=20,V609&lt;40,W609&lt;45),0.3,0)+IF(AND(V609&gt;=20,V609&lt;40,W609&gt;=45,W609&lt;95),0.23,0)+IF(AND(V609&gt;=20,V609&lt;40,W609&gt;=95,W609&lt;=200),0.17,0)+IF(AND(V609&gt;=20,V609&lt;40,W609&gt;=200),0.12,0)+IF(AND(V609&gt;=40,V609&lt;75,W609&lt;35),0.3,0)+IF(AND(V609&gt;=40,V609&lt;75,W609&gt;=35,W609&lt;75),0.23,0)+IF(AND(V609&gt;=40,V609&lt;75,W609&gt;=75,W609&lt;120),0.17,0)+IF(AND(V609&gt;=40,V609&lt;75,W609&gt;=120),0.12,0)+IF(AND(V609&gt;=75,V609&lt;175,W609&lt;35),0.3,0)+IF(AND(V609&gt;=75,V609&lt;=175,W609&gt;=35,W609&lt;65),0.23,0)+IF(AND(V609&gt;=75,V609&lt;=175,W609&gt;=65,W609&lt;110),0.17,0)+IF(AND(V609&gt;=75,V609&lt;=175,W609&gt;=110),0.12,0)+IF(AND(V609&gt;175,W609&lt;25),0.3,0)+IF(AND(V609&gt;175,W609&gt;=25,W609&lt;55),0.23,0)+IF(AND(V609&gt;175,W609&gt;=55,W609&lt;95),0.17,0)+IF(AND(V609&gt;175,W609&gt;=95),0.12,0),
IF(AF609="DoEVLo",IF(AND(V609&lt;20,W609&lt;55),0.25,0)+IF(AND(V609&lt;20,W609&gt;=55,W609&lt;105),0.2,0)+IF(AND(V609&lt;20,W609&gt;=105),0.15,0)+IF(AND(V609&gt;=20,V609&lt;40,W609&lt;45),0.25,0)+IF(AND(V609&gt;=20,V609&lt;40,W609&gt;=45,W609&lt;95),0.2,0)+IF(AND(V609&gt;=20,V609&lt;40,W609&gt;=95),0.15,0)+IF(AND(V609&gt;=40,V609&lt;75,W609&lt;35),0.25,0)+IF(AND(V609&gt;=40,V609&lt;75,W609&gt;=35,W609&lt;75),0.2,0)+IF(AND(V609&gt;=40,V609&lt;75,W609&gt;=75,W609&lt;120),0.15,0)+IF(AND(V609&gt;=40,V609&lt;75,W609&gt;=120),0.1,0)+IF(AND(V609&gt;=75,V609&lt;175,W609&lt;35),0.25,0)+IF(AND(V609&gt;=75,V609&lt;=175,W609&gt;=35,W609&lt;65),0.2,0)+IF(AND(V609&gt;=75,V609&lt;=175,W609&gt;=65,W609&lt;110),0.15,0)+IF(AND(V609&gt;=75,V609&lt;=175,W609&gt;=110),0.1,0)+IF(AND(V609&gt;175,W609&lt;25),0.25,0)+IF(AND(V609&gt;175,W609&gt;=25,W609&lt;55),0.2,0)+IF(AND(V609&gt;175,W609&gt;=55,W609&lt;95),0.15,0)+IF(AND(V609&gt;175,W609&gt;=95),0.1,0)))))))))))))))))</f>
        <v>0.2</v>
      </c>
      <c r="Y609" s="30">
        <f>IF(AG609="None",0,IF(AG609="Fix5",0.05, IF(AG609="Fix6.25",0.0625,IF(AG609="Fix3.75",0.0375,IF(AG609="Fix10",0.1,IF(AG609="Fix3",0.03,0))))))</f>
        <v>0</v>
      </c>
      <c r="Z609" s="35">
        <f>T609-AA609-AB609</f>
        <v>65.599999999999994</v>
      </c>
      <c r="AA609" s="29">
        <f>IF(AD609="EUR",((T609-R609)*X609)*U609+(R609*X609),(T609*X609))</f>
        <v>16.400000000000002</v>
      </c>
      <c r="AB609" s="36">
        <f>IF(AD609="EUR",((T609-R609)*Y609)*U609+(R609*Y609),(T609*Y609))</f>
        <v>0</v>
      </c>
      <c r="AC609" s="37" t="b">
        <v>1</v>
      </c>
      <c r="AD609" s="61" t="s">
        <v>38</v>
      </c>
      <c r="AE609" s="83" t="s">
        <v>38</v>
      </c>
      <c r="AF609" s="37" t="str">
        <f t="array" ref="AF609">INDEX('Deal Info'!D:D, MATCH(A609,'Deal Info'!A:A, 0))</f>
        <v>DoEVba</v>
      </c>
      <c r="AG609" s="38" t="str">
        <f t="array" ref="AG609">INDEX('Deal Info'!G:G, MATCH(A609,'Deal Info'!A:A, 0))</f>
        <v>None</v>
      </c>
    </row>
    <row r="610" spans="1:33" ht="14.25" hidden="1" x14ac:dyDescent="0.2">
      <c r="A610" s="18" t="str">
        <f t="array" ref="A610">IF(G610='Room Info'!$B$1, INDEX('Room Info'!$A$2:$A2446, MATCH(B610,'Room Info'!$B$2:$B2446, 0)),IF(G610='Room Info'!$C$1, INDEX('Room Info'!$A$2:$A2446, MATCH(B610,'Room Info'!$C$2:$C2446, 0)),IF(G610='Room Info'!$D$1, INDEX('Room Info'!$A$2:$A2446, MATCH(B610,'Room Info'!$D$2:$D2446, 0)),IF(G610='Room Info'!$E$1, INDEX('Room Info'!$A$2:$A2446, MATCH(B610,'Room Info'!$E$2:$E2446, 0)),IF(G610='Room Info'!$F$1, INDEX('Room Info'!$A$2:$A2446, MATCH(B610,'Room Info'!$F$2:$F2446, 0)),IF(G610='Room Info'!$H$1, INDEX('Room Info'!$A$2:$A2446, MATCH(B610,'Room Info'!$H$2:$H2446, 0)),IF(G610='Room Info'!$G$1, INDEX('Room Info'!$A$2:$A2446, MATCH(B610,'Room Info'!$G$2:$G2446, 0)))))))))</f>
        <v>barabashOva</v>
      </c>
      <c r="B610" s="45" t="s">
        <v>154</v>
      </c>
      <c r="C610" s="46">
        <v>44825</v>
      </c>
      <c r="D610" s="46">
        <v>44854</v>
      </c>
      <c r="E610" s="47">
        <v>44835</v>
      </c>
      <c r="F610" s="48" t="s">
        <v>34</v>
      </c>
      <c r="G610" s="45" t="s">
        <v>35</v>
      </c>
      <c r="H610" s="49" t="s">
        <v>40</v>
      </c>
      <c r="I610" s="49" t="s">
        <v>37</v>
      </c>
      <c r="J610" s="50">
        <v>10</v>
      </c>
      <c r="K610" s="51">
        <v>3160</v>
      </c>
      <c r="L610" s="52">
        <v>1250</v>
      </c>
      <c r="M610" s="53">
        <v>382</v>
      </c>
      <c r="N610" s="28">
        <f>K610*J610</f>
        <v>31600</v>
      </c>
      <c r="O610" s="54">
        <v>135078</v>
      </c>
      <c r="P610" s="29">
        <v>42.746202529999998</v>
      </c>
      <c r="Q610" s="55"/>
      <c r="R610" s="31">
        <f>M610+Q610</f>
        <v>382</v>
      </c>
      <c r="S610" s="56">
        <v>143</v>
      </c>
      <c r="T610" s="32">
        <f>R610+S610+IF(F610="Without EV deal",L610,0)</f>
        <v>525</v>
      </c>
      <c r="U610" s="57">
        <v>1</v>
      </c>
      <c r="V610" s="58"/>
      <c r="W610" s="58"/>
      <c r="X610" s="30">
        <f>IF(AF610="DoEV",IF(AND(V610&lt;20,W610&lt;55),0.3,0)+IF(AND(V610&lt;20,W610&gt;=55,W610&lt;105),0.23,0)+IF(AND(V610&lt;20,W610&gt;=105),0.17,0)+IF(AND(V610&gt;=20,V610&lt;40,W610&lt;45),0.3,0)+IF(AND(V610&gt;=20,V610&lt;40,W610&gt;=45,W610&lt;95),0.23,0)+IF(AND(V610&gt;=20,V610&lt;40,W610&gt;=95),0.17,0)+IF(AND(V610&gt;=40,V610&lt;75,W610&lt;35),0.3,0)+IF(AND(V610&gt;=40,V610&lt;75,W610&gt;=35,W610&lt;75),0.23,0)+IF(AND(V610&gt;=40,V610&lt;75,W610&gt;=75,W610&lt;120),0.17,0)+IF(AND(V610&gt;=40,V610&lt;75,W610&gt;=120),0.12,0)+IF(AND(V610&gt;=75,V610&lt;175,W610&lt;35),0.3,0)+IF(AND(V610&gt;=75,V610&lt;=175,W610&gt;=35,W610&lt;65),0.23,0)+IF(AND(V610&gt;=75,V610&lt;=175,W610&gt;=65,W610&lt;110),0.17,0)+IF(AND(V610&gt;=75,V610&lt;=175,W610&gt;=110),0.12,0)+IF(AND(V610&gt;175,W610&lt;25),0.3,0)+IF(AND(V610&gt;175,W610&gt;=25,W610&lt;55),0.23,0)+IF(AND(V610&gt;175,W610&gt;=55,W610&lt;95),0.17,0)+IF(AND(V610&gt;175,W610&gt;=95),0.12,0),
IF(AF610="Fix15",0.15,
IF(AF610="Fix18.75",0.1875,
IF(AF610="Fix11.25",0.1125,
IF(AF610="Fix10",0.1,
IF(AF610="Fix9",0.09,
IF(AF610="DoEV2017",IF(AND(W610&lt;74),0.2,0)+IF(AND(W610&gt;=74),0.17,0),
IF(AF610="SF",IF(AND(V610&lt;20,W610&lt;89),0.3,0)+IF(AND(V610&lt;20,W610&gt;=89),0.25,0)+IF(AND(V610&gt;=20,V610&lt;40,W610&lt;74),0.3,0)+IF(AND(V610&gt;=20,V610&lt;40,W610&gt;=75),0.22,0)+IF(AND(V610&gt;=40,V610&lt;75,W610&lt;75),0.26,0)+IF(AND(V610&gt;=40,V610&lt;75,W610&gt;=75),0.22,0)+IF(V610&gt;=75,0.22,0),
IF(AF610="DoEVold",IF(AND(V610&lt;40,W610&lt;35),0.35,0)+IF(AND(V610&lt;40,W610&gt;=35,W610&lt;75),0.25,0)+IF(AND(V610&lt;40,W610&gt;=75),0.17,0)+IF(AND(V610&gt;=40,V610&lt;75,W610&lt;25),0.35,0)+IF(AND(V610&gt;=40,V610&lt;75,W610&gt;=25,W610&lt;65),0.25,0)+IF(AND(V610&gt;=40,V610&lt;75,W610&gt;=65,W610&lt;100),0.17,0)+IF(AND(V610&gt;=40,V610&lt;75,W610&gt;=100),0.1,0)+IF(AND(V610&gt;=75,W610&lt;25),0.35,0)+IF(AND(V610&gt;=75,W610&gt;=25,W610&lt;60),0.25,0)+IF(AND(V610&gt;=75,W610&gt;=60,W610&lt;95),0.17,0)+IF(AND(V610&gt;=75,W610&gt;=95),0.1,0),
IF(AF610="DoEVold15",IF(AND(V610&lt;=40,W610&lt;35),0.35,0)+IF(AND(V610&lt;=40,W610&gt;=35,W610&lt;75),0.25,0)+IF(AND(V610&lt;=40,W610&gt;=75,W610&lt;120),0.17,0)+IF(AND(V610&lt;=40,W610&gt;=120),0.15,0)+IF(AND(V610&gt;40,V610&lt;75,W610&lt;25),0.35,0)+IF(AND(V610&gt;=40,V610&lt;75,W610&gt;=25,W610&lt;65),0.25,0)+IF(AND(V610&gt;=40,V610&lt;75,W610&gt;=65,W610&lt;100),0.17,0)+IF(AND(V610&gt;=40,V610&lt;75,W610&gt;=100),0.1,0)+IF(AND(V610&gt;=75,W610&lt;25),0.35,0)+IF(AND(V610&gt;=75,W610&gt;=25,W610&lt;60),0.25,0)+IF(AND(V610&gt;=75,W610&gt;=60,W610&lt;95),0.17,0)+IF(AND(V610&gt;=75,W610&gt;=95),0.1,0),
IF(AF610="DoEVba",IF(AND(V610&lt;20,W610&lt;105),0.2,0)+IF(AND(V610&lt;20,W610&gt;=105),0.15,0)+IF(AND(V610&gt;=20,V610&lt;40,W610&lt;95),0.2,0)+IF(AND(V610&gt;=20,V610&lt;40,W610&gt;=95,W610&lt;150),0.15,0)+IF(AND(V610&gt;=20,V610&lt;40,W610&gt;=150),0.12,0)+IF(AND(V610&gt;=40,V610&lt;75,W610&lt;75),0.2,0)+IF(AND(V610&gt;=40,V610&lt;75,W610&gt;=75,W610&lt;120),0.15,0)+IF(AND(V610&gt;=40,V610&lt;75,W610&gt;=120),0.12,0)+IF(AND(V610&gt;=75,V610&lt;175,W610&lt;65),0.2,0)+IF(AND(V610&gt;=75,V610&lt;175,W610&gt;=65,W610&lt;110),0.15,0)+IF(AND(V610&gt;=75,V610&lt;175,W610&gt;=110),0.12,0)+IF(AND(V610&gt;=175,W610&lt;55),0.2,0)+IF(AND(V610&gt;=175,W610&gt;=55,W610&lt;95),0.15,0)+IF(AND(V610&gt;=175,W610&gt;=95),0.12,0),
IF(AF610="DoEVku",IF(AND(V610&lt;20,W610&lt;55),0.23,0)+IF(AND(V610&lt;20,W610&gt;=55,W610&lt;105),0.2,0)+IF(AND(V610&lt;20,W610&gt;=105),0.17,0)+IF(AND(V610&gt;=20,V610&lt;40,W610&lt;45),0.23,0)+IF(AND(V610&gt;=20,V610&lt;40,W610&gt;=45,W610&lt;95),0.2,0)+IF(AND(V610&gt;=20,V610&lt;40,W610&gt;=95,W610&lt;=150),0.17,0)+IF(AND(V610&gt;=20,V610&lt;40,W610&gt;=150),0.12,0)+IF(AND(V610&gt;=40,V610&lt;75,W610&lt;35),0.23,0)+IF(AND(V610&gt;=40,V610&lt;75,W610&gt;=35,W610&lt;75),0.2,0)+IF(AND(V610&gt;=40,V610&lt;75,W610&gt;=75,W610&lt;120),0.17,0)+IF(AND(V610&gt;=40,V610&lt;75,W610&gt;=120),0.12,0)+IF(AND(V610&gt;=75,V610&lt;175,W610&lt;35),0.23,0)+IF(AND(V610&gt;=75,V610&lt;=175,W610&gt;=35,W610&lt;65),0.2,0)+IF(AND(V610&gt;=75,V610&lt;=175,W610&gt;=65,W610&lt;110),0.17,0)+IF(AND(V610&gt;=75,V610&lt;=175,W610&gt;=110),0.12,0)+IF(AND(V610&gt;175,W610&lt;25),0.23,0)+IF(AND(V610&gt;175,W610&gt;=25,W610&lt;55),0.2,0)+IF(AND(V610&gt;175,W610&gt;=55,W610&lt;95),0.17,0)+IF(AND(V610&gt;175,W610&gt;=95),0.12,0),
IF(AF610="DoEVs1",IF(AND(V610&lt;20,W610&lt;55),0.3,0)+IF(AND(V610&lt;20,W610&gt;=55,W610&lt;105),0.23,0)+IF(AND(V610&lt;20,W610&gt;=105),0.17,0)+IF(AND(V610&gt;=20,V610&lt;40,W610&lt;45),0.3,0)+IF(AND(V610&gt;=20,V610&lt;40,W610&gt;=45,W610&lt;95),0.23,0)+IF(AND(V610&gt;=20,V610&lt;40,W610&gt;=95,W610&lt;=150),0.17,0)+IF(AND(V610&gt;=20,V610&lt;40,W610&gt;=150),0.12,0)+IF(AND(V610&gt;=40,V610&lt;75,W610&lt;35),0.3,0)+IF(AND(V610&gt;=40,V610&lt;75,W610&gt;=35,W610&lt;75),0.23,0)+IF(AND(V610&gt;=40,V610&lt;75,W610&gt;=75,W610&lt;120),0.17,0)+IF(AND(V610&gt;=40,V610&lt;75,W610&gt;=120),0.12,0)+IF(AND(V610&gt;=75,V610&lt;175,W610&lt;35),0.3,0)+IF(AND(V610&gt;=75,V610&lt;=175,W610&gt;=35,W610&lt;65),0.23,0)+IF(AND(V610&gt;=75,V610&lt;=175,W610&gt;=65,W610&lt;110),0.17,0)+IF(AND(V610&gt;=75,V610&lt;=175,W610&gt;=110),0.12,0)+IF(AND(V610&gt;175,W610&lt;25),0.3,0)+IF(AND(V610&gt;175,W610&gt;=25,W610&lt;55),0.23,0)+IF(AND(V610&gt;175,W610&gt;=55,W610&lt;95),0.17,0)+IF(AND(V610&gt;175,W610&gt;=95),0.12,0),
IF(AF610="DoEVsu",IF(AND(V610&lt;20,W610&lt;55),0.3,0)+IF(AND(V610&lt;20,W610&gt;=55,W610&lt;105),0.23,0)+IF(AND(V610&lt;20,W610&gt;=105),0.17,0)+IF(AND(V610&gt;=20,V610&lt;40,W610&lt;45),0.3,0)+IF(AND(V610&gt;=20,V610&lt;40,W610&gt;=45,W610&lt;95),0.23,0)+IF(AND(V610&gt;=20,V610&lt;40,W610&gt;=95,W610&lt;=250),0.17,0)+IF(AND(V610&gt;=20,V610&lt;40,W610&gt;=250),0.12,0)+IF(AND(V610&gt;=40,V610&lt;75,W610&lt;35),0.3,0)+IF(AND(V610&gt;=40,V610&lt;75,W610&gt;=35,W610&lt;75),0.23,0)+IF(AND(V610&gt;=40,V610&lt;75,W610&gt;=75,W610&lt;120),0.17,0)+IF(AND(V610&gt;=40,V610&lt;75,W610&gt;=120),0.12,0)+IF(AND(V610&gt;=75,V610&lt;175,W610&lt;35),0.3,0)+IF(AND(V610&gt;=75,V610&lt;=175,W610&gt;=35,W610&lt;65),0.23,0)+IF(AND(V610&gt;=75,V610&lt;=175,W610&gt;=65,W610&lt;110),0.17,0)+IF(AND(V610&gt;=75,V610&lt;=175,W610&gt;=110),0.12,0)+IF(AND(V610&gt;175,W610&lt;25),0.3,0)+IF(AND(V610&gt;175,W610&gt;=25,W610&lt;55),0.23,0)+IF(AND(V610&gt;175,W610&gt;=55,W610&lt;95),0.17,0)+IF(AND(V610&gt;175,W610&gt;=95),0.12,0),
IF(AF610="DoEVni",IF(AND(V610&lt;20,W610&lt;55),0.3,0)+IF(AND(V610&lt;20,W610&gt;=55,W610&lt;105),0.23,0)+IF(AND(V610&lt;20,W610&gt;=105),0.17,0)+IF(AND(V610&gt;=20,V610&lt;40,W610&lt;45),0.3,0)+IF(AND(V610&gt;=20,V610&lt;40,W610&gt;=45,W610&lt;95),0.23,0)+IF(AND(V610&gt;=20,V610&lt;40,W610&gt;=95,W610&lt;=200),0.17,0)+IF(AND(V610&gt;=20,V610&lt;40,W610&gt;=200),0.12,0)+IF(AND(V610&gt;=40,V610&lt;75,W610&lt;35),0.3,0)+IF(AND(V610&gt;=40,V610&lt;75,W610&gt;=35,W610&lt;75),0.23,0)+IF(AND(V610&gt;=40,V610&lt;75,W610&gt;=75,W610&lt;120),0.17,0)+IF(AND(V610&gt;=40,V610&lt;75,W610&gt;=120),0.12,0)+IF(AND(V610&gt;=75,V610&lt;175,W610&lt;35),0.3,0)+IF(AND(V610&gt;=75,V610&lt;=175,W610&gt;=35,W610&lt;65),0.23,0)+IF(AND(V610&gt;=75,V610&lt;=175,W610&gt;=65,W610&lt;110),0.17,0)+IF(AND(V610&gt;=75,V610&lt;=175,W610&gt;=110),0.12,0)+IF(AND(V610&gt;175,W610&lt;25),0.3,0)+IF(AND(V610&gt;175,W610&gt;=25,W610&lt;55),0.23,0)+IF(AND(V610&gt;175,W610&gt;=55,W610&lt;95),0.17,0)+IF(AND(V610&gt;175,W610&gt;=95),0.12,0),
IF(AF610="DoEVLo",IF(AND(V610&lt;20,W610&lt;55),0.25,0)+IF(AND(V610&lt;20,W610&gt;=55,W610&lt;105),0.2,0)+IF(AND(V610&lt;20,W610&gt;=105),0.15,0)+IF(AND(V610&gt;=20,V610&lt;40,W610&lt;45),0.25,0)+IF(AND(V610&gt;=20,V610&lt;40,W610&gt;=45,W610&lt;95),0.2,0)+IF(AND(V610&gt;=20,V610&lt;40,W610&gt;=95),0.15,0)+IF(AND(V610&gt;=40,V610&lt;75,W610&lt;35),0.25,0)+IF(AND(V610&gt;=40,V610&lt;75,W610&gt;=35,W610&lt;75),0.2,0)+IF(AND(V610&gt;=40,V610&lt;75,W610&gt;=75,W610&lt;120),0.15,0)+IF(AND(V610&gt;=40,V610&lt;75,W610&gt;=120),0.1,0)+IF(AND(V610&gt;=75,V610&lt;175,W610&lt;35),0.25,0)+IF(AND(V610&gt;=75,V610&lt;=175,W610&gt;=35,W610&lt;65),0.2,0)+IF(AND(V610&gt;=75,V610&lt;=175,W610&gt;=65,W610&lt;110),0.15,0)+IF(AND(V610&gt;=75,V610&lt;=175,W610&gt;=110),0.1,0)+IF(AND(V610&gt;175,W610&lt;25),0.25,0)+IF(AND(V610&gt;175,W610&gt;=25,W610&lt;55),0.2,0)+IF(AND(V610&gt;175,W610&gt;=55,W610&lt;95),0.15,0)+IF(AND(V610&gt;175,W610&gt;=95),0.1,0)))))))))))))))))</f>
        <v>0.2</v>
      </c>
      <c r="Y610" s="30">
        <f>IF(AG610="None",0,IF(AG610="Fix5",0.05, IF(AG610="Fix6.25",0.0625,IF(AG610="Fix3.75",0.0375,IF(AG610="Fix10",0.1,IF(AG610="Fix3",0.03,0))))))</f>
        <v>0</v>
      </c>
      <c r="Z610" s="35">
        <f>T610-AA610-AB610</f>
        <v>420</v>
      </c>
      <c r="AA610" s="29">
        <f>IF(AD610="EUR",((T610-R610)*X610)*U610+(R610*X610),(T610*X610))</f>
        <v>105</v>
      </c>
      <c r="AB610" s="36">
        <f>IF(AD610="EUR",((T610-R610)*Y610)*U610+(R610*Y610),(T610*Y610))</f>
        <v>0</v>
      </c>
      <c r="AC610" s="37" t="b">
        <v>1</v>
      </c>
      <c r="AD610" s="61" t="s">
        <v>38</v>
      </c>
      <c r="AE610" s="83" t="s">
        <v>38</v>
      </c>
      <c r="AF610" s="37" t="str">
        <f t="array" ref="AF610">INDEX('Deal Info'!D:D, MATCH(A610,'Deal Info'!A:A, 0))</f>
        <v>DoEVba</v>
      </c>
      <c r="AG610" s="38" t="str">
        <f t="array" ref="AG610">INDEX('Deal Info'!G:G, MATCH(A610,'Deal Info'!A:A, 0))</f>
        <v>None</v>
      </c>
    </row>
    <row r="611" spans="1:33" ht="14.25" hidden="1" x14ac:dyDescent="0.2">
      <c r="A611" s="18" t="str">
        <f t="array" ref="A611">IF(G611='Room Info'!$B$1, INDEX('Room Info'!$A$2:$A2446, MATCH(B611,'Room Info'!$B$2:$B2446, 0)),IF(G611='Room Info'!$C$1, INDEX('Room Info'!$A$2:$A2446, MATCH(B611,'Room Info'!$C$2:$C2446, 0)),IF(G611='Room Info'!$D$1, INDEX('Room Info'!$A$2:$A2446, MATCH(B611,'Room Info'!$D$2:$D2446, 0)),IF(G611='Room Info'!$E$1, INDEX('Room Info'!$A$2:$A2446, MATCH(B611,'Room Info'!$E$2:$E2446, 0)),IF(G611='Room Info'!$F$1, INDEX('Room Info'!$A$2:$A2446, MATCH(B611,'Room Info'!$F$2:$F2446, 0)),IF(G611='Room Info'!$H$1, INDEX('Room Info'!$A$2:$A2446, MATCH(B611,'Room Info'!$H$2:$H2446, 0)),IF(G611='Room Info'!$G$1, INDEX('Room Info'!$A$2:$A2446, MATCH(B611,'Room Info'!$G$2:$G2446, 0)))))))))</f>
        <v>barabashOva</v>
      </c>
      <c r="B611" s="45" t="s">
        <v>154</v>
      </c>
      <c r="C611" s="46">
        <v>44855</v>
      </c>
      <c r="D611" s="46">
        <v>44885</v>
      </c>
      <c r="E611" s="47">
        <v>44866</v>
      </c>
      <c r="F611" s="48" t="s">
        <v>34</v>
      </c>
      <c r="G611" s="45" t="s">
        <v>35</v>
      </c>
      <c r="H611" s="49" t="s">
        <v>39</v>
      </c>
      <c r="I611" s="49" t="s">
        <v>37</v>
      </c>
      <c r="J611" s="50">
        <v>5</v>
      </c>
      <c r="K611" s="51">
        <v>3</v>
      </c>
      <c r="L611" s="52">
        <v>25</v>
      </c>
      <c r="M611" s="53">
        <v>1</v>
      </c>
      <c r="N611" s="28">
        <f>K611*J611</f>
        <v>15</v>
      </c>
      <c r="O611" s="54">
        <v>788</v>
      </c>
      <c r="P611" s="29">
        <v>262.66666670000001</v>
      </c>
      <c r="Q611" s="55"/>
      <c r="R611" s="31">
        <f>M611+Q611</f>
        <v>1</v>
      </c>
      <c r="S611" s="56">
        <v>6</v>
      </c>
      <c r="T611" s="32">
        <f>R611+S611+IF(F611="Without EV deal",L611,0)</f>
        <v>7</v>
      </c>
      <c r="U611" s="57">
        <v>1</v>
      </c>
      <c r="V611" s="58"/>
      <c r="W611" s="58"/>
      <c r="X611" s="30">
        <f>IF(AF611="DoEV",IF(AND(V611&lt;20,W611&lt;55),0.3,0)+IF(AND(V611&lt;20,W611&gt;=55,W611&lt;105),0.23,0)+IF(AND(V611&lt;20,W611&gt;=105),0.17,0)+IF(AND(V611&gt;=20,V611&lt;40,W611&lt;45),0.3,0)+IF(AND(V611&gt;=20,V611&lt;40,W611&gt;=45,W611&lt;95),0.23,0)+IF(AND(V611&gt;=20,V611&lt;40,W611&gt;=95),0.17,0)+IF(AND(V611&gt;=40,V611&lt;75,W611&lt;35),0.3,0)+IF(AND(V611&gt;=40,V611&lt;75,W611&gt;=35,W611&lt;75),0.23,0)+IF(AND(V611&gt;=40,V611&lt;75,W611&gt;=75,W611&lt;120),0.17,0)+IF(AND(V611&gt;=40,V611&lt;75,W611&gt;=120),0.12,0)+IF(AND(V611&gt;=75,V611&lt;175,W611&lt;35),0.3,0)+IF(AND(V611&gt;=75,V611&lt;=175,W611&gt;=35,W611&lt;65),0.23,0)+IF(AND(V611&gt;=75,V611&lt;=175,W611&gt;=65,W611&lt;110),0.17,0)+IF(AND(V611&gt;=75,V611&lt;=175,W611&gt;=110),0.12,0)+IF(AND(V611&gt;175,W611&lt;25),0.3,0)+IF(AND(V611&gt;175,W611&gt;=25,W611&lt;55),0.23,0)+IF(AND(V611&gt;175,W611&gt;=55,W611&lt;95),0.17,0)+IF(AND(V611&gt;175,W611&gt;=95),0.12,0),
IF(AF611="Fix15",0.15,
IF(AF611="Fix18.75",0.1875,
IF(AF611="Fix11.25",0.1125,
IF(AF611="Fix10",0.1,
IF(AF611="Fix9",0.09,
IF(AF611="DoEV2017",IF(AND(W611&lt;74),0.2,0)+IF(AND(W611&gt;=74),0.17,0),
IF(AF611="SF",IF(AND(V611&lt;20,W611&lt;89),0.3,0)+IF(AND(V611&lt;20,W611&gt;=89),0.25,0)+IF(AND(V611&gt;=20,V611&lt;40,W611&lt;74),0.3,0)+IF(AND(V611&gt;=20,V611&lt;40,W611&gt;=75),0.22,0)+IF(AND(V611&gt;=40,V611&lt;75,W611&lt;75),0.26,0)+IF(AND(V611&gt;=40,V611&lt;75,W611&gt;=75),0.22,0)+IF(V611&gt;=75,0.22,0),
IF(AF611="DoEVold",IF(AND(V611&lt;40,W611&lt;35),0.35,0)+IF(AND(V611&lt;40,W611&gt;=35,W611&lt;75),0.25,0)+IF(AND(V611&lt;40,W611&gt;=75),0.17,0)+IF(AND(V611&gt;=40,V611&lt;75,W611&lt;25),0.35,0)+IF(AND(V611&gt;=40,V611&lt;75,W611&gt;=25,W611&lt;65),0.25,0)+IF(AND(V611&gt;=40,V611&lt;75,W611&gt;=65,W611&lt;100),0.17,0)+IF(AND(V611&gt;=40,V611&lt;75,W611&gt;=100),0.1,0)+IF(AND(V611&gt;=75,W611&lt;25),0.35,0)+IF(AND(V611&gt;=75,W611&gt;=25,W611&lt;60),0.25,0)+IF(AND(V611&gt;=75,W611&gt;=60,W611&lt;95),0.17,0)+IF(AND(V611&gt;=75,W611&gt;=95),0.1,0),
IF(AF611="DoEVold15",IF(AND(V611&lt;=40,W611&lt;35),0.35,0)+IF(AND(V611&lt;=40,W611&gt;=35,W611&lt;75),0.25,0)+IF(AND(V611&lt;=40,W611&gt;=75,W611&lt;120),0.17,0)+IF(AND(V611&lt;=40,W611&gt;=120),0.15,0)+IF(AND(V611&gt;40,V611&lt;75,W611&lt;25),0.35,0)+IF(AND(V611&gt;=40,V611&lt;75,W611&gt;=25,W611&lt;65),0.25,0)+IF(AND(V611&gt;=40,V611&lt;75,W611&gt;=65,W611&lt;100),0.17,0)+IF(AND(V611&gt;=40,V611&lt;75,W611&gt;=100),0.1,0)+IF(AND(V611&gt;=75,W611&lt;25),0.35,0)+IF(AND(V611&gt;=75,W611&gt;=25,W611&lt;60),0.25,0)+IF(AND(V611&gt;=75,W611&gt;=60,W611&lt;95),0.17,0)+IF(AND(V611&gt;=75,W611&gt;=95),0.1,0),
IF(AF611="DoEVba",IF(AND(V611&lt;20,W611&lt;105),0.2,0)+IF(AND(V611&lt;20,W611&gt;=105),0.15,0)+IF(AND(V611&gt;=20,V611&lt;40,W611&lt;95),0.2,0)+IF(AND(V611&gt;=20,V611&lt;40,W611&gt;=95,W611&lt;150),0.15,0)+IF(AND(V611&gt;=20,V611&lt;40,W611&gt;=150),0.12,0)+IF(AND(V611&gt;=40,V611&lt;75,W611&lt;75),0.2,0)+IF(AND(V611&gt;=40,V611&lt;75,W611&gt;=75,W611&lt;120),0.15,0)+IF(AND(V611&gt;=40,V611&lt;75,W611&gt;=120),0.12,0)+IF(AND(V611&gt;=75,V611&lt;175,W611&lt;65),0.2,0)+IF(AND(V611&gt;=75,V611&lt;175,W611&gt;=65,W611&lt;110),0.15,0)+IF(AND(V611&gt;=75,V611&lt;175,W611&gt;=110),0.12,0)+IF(AND(V611&gt;=175,W611&lt;55),0.2,0)+IF(AND(V611&gt;=175,W611&gt;=55,W611&lt;95),0.15,0)+IF(AND(V611&gt;=175,W611&gt;=95),0.12,0),
IF(AF611="DoEVku",IF(AND(V611&lt;20,W611&lt;55),0.23,0)+IF(AND(V611&lt;20,W611&gt;=55,W611&lt;105),0.2,0)+IF(AND(V611&lt;20,W611&gt;=105),0.17,0)+IF(AND(V611&gt;=20,V611&lt;40,W611&lt;45),0.23,0)+IF(AND(V611&gt;=20,V611&lt;40,W611&gt;=45,W611&lt;95),0.2,0)+IF(AND(V611&gt;=20,V611&lt;40,W611&gt;=95,W611&lt;=150),0.17,0)+IF(AND(V611&gt;=20,V611&lt;40,W611&gt;=150),0.12,0)+IF(AND(V611&gt;=40,V611&lt;75,W611&lt;35),0.23,0)+IF(AND(V611&gt;=40,V611&lt;75,W611&gt;=35,W611&lt;75),0.2,0)+IF(AND(V611&gt;=40,V611&lt;75,W611&gt;=75,W611&lt;120),0.17,0)+IF(AND(V611&gt;=40,V611&lt;75,W611&gt;=120),0.12,0)+IF(AND(V611&gt;=75,V611&lt;175,W611&lt;35),0.23,0)+IF(AND(V611&gt;=75,V611&lt;=175,W611&gt;=35,W611&lt;65),0.2,0)+IF(AND(V611&gt;=75,V611&lt;=175,W611&gt;=65,W611&lt;110),0.17,0)+IF(AND(V611&gt;=75,V611&lt;=175,W611&gt;=110),0.12,0)+IF(AND(V611&gt;175,W611&lt;25),0.23,0)+IF(AND(V611&gt;175,W611&gt;=25,W611&lt;55),0.2,0)+IF(AND(V611&gt;175,W611&gt;=55,W611&lt;95),0.17,0)+IF(AND(V611&gt;175,W611&gt;=95),0.12,0),
IF(AF611="DoEVs1",IF(AND(V611&lt;20,W611&lt;55),0.3,0)+IF(AND(V611&lt;20,W611&gt;=55,W611&lt;105),0.23,0)+IF(AND(V611&lt;20,W611&gt;=105),0.17,0)+IF(AND(V611&gt;=20,V611&lt;40,W611&lt;45),0.3,0)+IF(AND(V611&gt;=20,V611&lt;40,W611&gt;=45,W611&lt;95),0.23,0)+IF(AND(V611&gt;=20,V611&lt;40,W611&gt;=95,W611&lt;=150),0.17,0)+IF(AND(V611&gt;=20,V611&lt;40,W611&gt;=150),0.12,0)+IF(AND(V611&gt;=40,V611&lt;75,W611&lt;35),0.3,0)+IF(AND(V611&gt;=40,V611&lt;75,W611&gt;=35,W611&lt;75),0.23,0)+IF(AND(V611&gt;=40,V611&lt;75,W611&gt;=75,W611&lt;120),0.17,0)+IF(AND(V611&gt;=40,V611&lt;75,W611&gt;=120),0.12,0)+IF(AND(V611&gt;=75,V611&lt;175,W611&lt;35),0.3,0)+IF(AND(V611&gt;=75,V611&lt;=175,W611&gt;=35,W611&lt;65),0.23,0)+IF(AND(V611&gt;=75,V611&lt;=175,W611&gt;=65,W611&lt;110),0.17,0)+IF(AND(V611&gt;=75,V611&lt;=175,W611&gt;=110),0.12,0)+IF(AND(V611&gt;175,W611&lt;25),0.3,0)+IF(AND(V611&gt;175,W611&gt;=25,W611&lt;55),0.23,0)+IF(AND(V611&gt;175,W611&gt;=55,W611&lt;95),0.17,0)+IF(AND(V611&gt;175,W611&gt;=95),0.12,0),
IF(AF611="DoEVsu",IF(AND(V611&lt;20,W611&lt;55),0.3,0)+IF(AND(V611&lt;20,W611&gt;=55,W611&lt;105),0.23,0)+IF(AND(V611&lt;20,W611&gt;=105),0.17,0)+IF(AND(V611&gt;=20,V611&lt;40,W611&lt;45),0.3,0)+IF(AND(V611&gt;=20,V611&lt;40,W611&gt;=45,W611&lt;95),0.23,0)+IF(AND(V611&gt;=20,V611&lt;40,W611&gt;=95,W611&lt;=250),0.17,0)+IF(AND(V611&gt;=20,V611&lt;40,W611&gt;=250),0.12,0)+IF(AND(V611&gt;=40,V611&lt;75,W611&lt;35),0.3,0)+IF(AND(V611&gt;=40,V611&lt;75,W611&gt;=35,W611&lt;75),0.23,0)+IF(AND(V611&gt;=40,V611&lt;75,W611&gt;=75,W611&lt;120),0.17,0)+IF(AND(V611&gt;=40,V611&lt;75,W611&gt;=120),0.12,0)+IF(AND(V611&gt;=75,V611&lt;175,W611&lt;35),0.3,0)+IF(AND(V611&gt;=75,V611&lt;=175,W611&gt;=35,W611&lt;65),0.23,0)+IF(AND(V611&gt;=75,V611&lt;=175,W611&gt;=65,W611&lt;110),0.17,0)+IF(AND(V611&gt;=75,V611&lt;=175,W611&gt;=110),0.12,0)+IF(AND(V611&gt;175,W611&lt;25),0.3,0)+IF(AND(V611&gt;175,W611&gt;=25,W611&lt;55),0.23,0)+IF(AND(V611&gt;175,W611&gt;=55,W611&lt;95),0.17,0)+IF(AND(V611&gt;175,W611&gt;=95),0.12,0),
IF(AF611="DoEVni",IF(AND(V611&lt;20,W611&lt;55),0.3,0)+IF(AND(V611&lt;20,W611&gt;=55,W611&lt;105),0.23,0)+IF(AND(V611&lt;20,W611&gt;=105),0.17,0)+IF(AND(V611&gt;=20,V611&lt;40,W611&lt;45),0.3,0)+IF(AND(V611&gt;=20,V611&lt;40,W611&gt;=45,W611&lt;95),0.23,0)+IF(AND(V611&gt;=20,V611&lt;40,W611&gt;=95,W611&lt;=200),0.17,0)+IF(AND(V611&gt;=20,V611&lt;40,W611&gt;=200),0.12,0)+IF(AND(V611&gt;=40,V611&lt;75,W611&lt;35),0.3,0)+IF(AND(V611&gt;=40,V611&lt;75,W611&gt;=35,W611&lt;75),0.23,0)+IF(AND(V611&gt;=40,V611&lt;75,W611&gt;=75,W611&lt;120),0.17,0)+IF(AND(V611&gt;=40,V611&lt;75,W611&gt;=120),0.12,0)+IF(AND(V611&gt;=75,V611&lt;175,W611&lt;35),0.3,0)+IF(AND(V611&gt;=75,V611&lt;=175,W611&gt;=35,W611&lt;65),0.23,0)+IF(AND(V611&gt;=75,V611&lt;=175,W611&gt;=65,W611&lt;110),0.17,0)+IF(AND(V611&gt;=75,V611&lt;=175,W611&gt;=110),0.12,0)+IF(AND(V611&gt;175,W611&lt;25),0.3,0)+IF(AND(V611&gt;175,W611&gt;=25,W611&lt;55),0.23,0)+IF(AND(V611&gt;175,W611&gt;=55,W611&lt;95),0.17,0)+IF(AND(V611&gt;175,W611&gt;=95),0.12,0),
IF(AF611="DoEVLo",IF(AND(V611&lt;20,W611&lt;55),0.25,0)+IF(AND(V611&lt;20,W611&gt;=55,W611&lt;105),0.2,0)+IF(AND(V611&lt;20,W611&gt;=105),0.15,0)+IF(AND(V611&gt;=20,V611&lt;40,W611&lt;45),0.25,0)+IF(AND(V611&gt;=20,V611&lt;40,W611&gt;=45,W611&lt;95),0.2,0)+IF(AND(V611&gt;=20,V611&lt;40,W611&gt;=95),0.15,0)+IF(AND(V611&gt;=40,V611&lt;75,W611&lt;35),0.25,0)+IF(AND(V611&gt;=40,V611&lt;75,W611&gt;=35,W611&lt;75),0.2,0)+IF(AND(V611&gt;=40,V611&lt;75,W611&gt;=75,W611&lt;120),0.15,0)+IF(AND(V611&gt;=40,V611&lt;75,W611&gt;=120),0.1,0)+IF(AND(V611&gt;=75,V611&lt;175,W611&lt;35),0.25,0)+IF(AND(V611&gt;=75,V611&lt;=175,W611&gt;=35,W611&lt;65),0.2,0)+IF(AND(V611&gt;=75,V611&lt;=175,W611&gt;=65,W611&lt;110),0.15,0)+IF(AND(V611&gt;=75,V611&lt;=175,W611&gt;=110),0.1,0)+IF(AND(V611&gt;175,W611&lt;25),0.25,0)+IF(AND(V611&gt;175,W611&gt;=25,W611&lt;55),0.2,0)+IF(AND(V611&gt;175,W611&gt;=55,W611&lt;95),0.15,0)+IF(AND(V611&gt;175,W611&gt;=95),0.1,0)))))))))))))))))</f>
        <v>0.2</v>
      </c>
      <c r="Y611" s="30">
        <f>IF(AG611="None",0,IF(AG611="Fix5",0.05, IF(AG611="Fix6.25",0.0625,IF(AG611="Fix3.75",0.0375,IF(AG611="Fix10",0.1,IF(AG611="Fix3",0.03,0))))))</f>
        <v>0</v>
      </c>
      <c r="Z611" s="35">
        <f>T611-AA611-AB611</f>
        <v>5.6</v>
      </c>
      <c r="AA611" s="29">
        <f>IF(AD611="EUR",((T611-R611)*X611)*U611+(R611*X611),(T611*X611))</f>
        <v>1.4000000000000001</v>
      </c>
      <c r="AB611" s="36">
        <f>IF(AD611="EUR",((T611-R611)*Y611)*U611+(R611*Y611),(T611*Y611))</f>
        <v>0</v>
      </c>
      <c r="AC611" s="37" t="b">
        <v>1</v>
      </c>
      <c r="AD611" s="61" t="s">
        <v>38</v>
      </c>
      <c r="AE611" s="83" t="s">
        <v>38</v>
      </c>
      <c r="AF611" s="37" t="str">
        <f t="array" ref="AF611">INDEX('Deal Info'!D:D, MATCH(A611,'Deal Info'!A:A, 0))</f>
        <v>DoEVba</v>
      </c>
      <c r="AG611" s="38" t="str">
        <f t="array" ref="AG611">INDEX('Deal Info'!G:G, MATCH(A611,'Deal Info'!A:A, 0))</f>
        <v>None</v>
      </c>
    </row>
    <row r="612" spans="1:33" ht="14.25" hidden="1" x14ac:dyDescent="0.2">
      <c r="A612" s="18" t="str">
        <f t="array" ref="A612">IF(G612='Room Info'!$B$1, INDEX('Room Info'!$A$2:$A2446, MATCH(B612,'Room Info'!$B$2:$B2446, 0)),IF(G612='Room Info'!$C$1, INDEX('Room Info'!$A$2:$A2446, MATCH(B612,'Room Info'!$C$2:$C2446, 0)),IF(G612='Room Info'!$D$1, INDEX('Room Info'!$A$2:$A2446, MATCH(B612,'Room Info'!$D$2:$D2446, 0)),IF(G612='Room Info'!$E$1, INDEX('Room Info'!$A$2:$A2446, MATCH(B612,'Room Info'!$E$2:$E2446, 0)),IF(G612='Room Info'!$F$1, INDEX('Room Info'!$A$2:$A2446, MATCH(B612,'Room Info'!$F$2:$F2446, 0)),IF(G612='Room Info'!$H$1, INDEX('Room Info'!$A$2:$A2446, MATCH(B612,'Room Info'!$H$2:$H2446, 0)),IF(G612='Room Info'!$G$1, INDEX('Room Info'!$A$2:$A2446, MATCH(B612,'Room Info'!$G$2:$G2446, 0)))))))))</f>
        <v>barabashOva</v>
      </c>
      <c r="B612" s="45" t="s">
        <v>154</v>
      </c>
      <c r="C612" s="46">
        <v>44855</v>
      </c>
      <c r="D612" s="46">
        <v>44885</v>
      </c>
      <c r="E612" s="47">
        <v>44866</v>
      </c>
      <c r="F612" s="48" t="s">
        <v>34</v>
      </c>
      <c r="G612" s="45" t="s">
        <v>35</v>
      </c>
      <c r="H612" s="49" t="s">
        <v>40</v>
      </c>
      <c r="I612" s="49" t="s">
        <v>37</v>
      </c>
      <c r="J612" s="50">
        <v>10</v>
      </c>
      <c r="K612" s="51">
        <v>4239</v>
      </c>
      <c r="L612" s="52">
        <v>1680</v>
      </c>
      <c r="M612" s="53">
        <v>1814</v>
      </c>
      <c r="N612" s="28">
        <f>K612*J612</f>
        <v>42390</v>
      </c>
      <c r="O612" s="54">
        <v>167792</v>
      </c>
      <c r="P612" s="29">
        <v>39.5829205</v>
      </c>
      <c r="Q612" s="55"/>
      <c r="R612" s="31">
        <f>M612+Q612</f>
        <v>1814</v>
      </c>
      <c r="S612" s="56">
        <v>-123</v>
      </c>
      <c r="T612" s="32">
        <f>R612+S612+IF(F612="Without EV deal",L612,0)</f>
        <v>1691</v>
      </c>
      <c r="U612" s="57">
        <v>1</v>
      </c>
      <c r="V612" s="58"/>
      <c r="W612" s="58"/>
      <c r="X612" s="30">
        <f>IF(AF612="DoEV",IF(AND(V612&lt;20,W612&lt;55),0.3,0)+IF(AND(V612&lt;20,W612&gt;=55,W612&lt;105),0.23,0)+IF(AND(V612&lt;20,W612&gt;=105),0.17,0)+IF(AND(V612&gt;=20,V612&lt;40,W612&lt;45),0.3,0)+IF(AND(V612&gt;=20,V612&lt;40,W612&gt;=45,W612&lt;95),0.23,0)+IF(AND(V612&gt;=20,V612&lt;40,W612&gt;=95),0.17,0)+IF(AND(V612&gt;=40,V612&lt;75,W612&lt;35),0.3,0)+IF(AND(V612&gt;=40,V612&lt;75,W612&gt;=35,W612&lt;75),0.23,0)+IF(AND(V612&gt;=40,V612&lt;75,W612&gt;=75,W612&lt;120),0.17,0)+IF(AND(V612&gt;=40,V612&lt;75,W612&gt;=120),0.12,0)+IF(AND(V612&gt;=75,V612&lt;175,W612&lt;35),0.3,0)+IF(AND(V612&gt;=75,V612&lt;=175,W612&gt;=35,W612&lt;65),0.23,0)+IF(AND(V612&gt;=75,V612&lt;=175,W612&gt;=65,W612&lt;110),0.17,0)+IF(AND(V612&gt;=75,V612&lt;=175,W612&gt;=110),0.12,0)+IF(AND(V612&gt;175,W612&lt;25),0.3,0)+IF(AND(V612&gt;175,W612&gt;=25,W612&lt;55),0.23,0)+IF(AND(V612&gt;175,W612&gt;=55,W612&lt;95),0.17,0)+IF(AND(V612&gt;175,W612&gt;=95),0.12,0),
IF(AF612="Fix15",0.15,
IF(AF612="Fix18.75",0.1875,
IF(AF612="Fix11.25",0.1125,
IF(AF612="Fix10",0.1,
IF(AF612="Fix9",0.09,
IF(AF612="DoEV2017",IF(AND(W612&lt;74),0.2,0)+IF(AND(W612&gt;=74),0.17,0),
IF(AF612="SF",IF(AND(V612&lt;20,W612&lt;89),0.3,0)+IF(AND(V612&lt;20,W612&gt;=89),0.25,0)+IF(AND(V612&gt;=20,V612&lt;40,W612&lt;74),0.3,0)+IF(AND(V612&gt;=20,V612&lt;40,W612&gt;=75),0.22,0)+IF(AND(V612&gt;=40,V612&lt;75,W612&lt;75),0.26,0)+IF(AND(V612&gt;=40,V612&lt;75,W612&gt;=75),0.22,0)+IF(V612&gt;=75,0.22,0),
IF(AF612="DoEVold",IF(AND(V612&lt;40,W612&lt;35),0.35,0)+IF(AND(V612&lt;40,W612&gt;=35,W612&lt;75),0.25,0)+IF(AND(V612&lt;40,W612&gt;=75),0.17,0)+IF(AND(V612&gt;=40,V612&lt;75,W612&lt;25),0.35,0)+IF(AND(V612&gt;=40,V612&lt;75,W612&gt;=25,W612&lt;65),0.25,0)+IF(AND(V612&gt;=40,V612&lt;75,W612&gt;=65,W612&lt;100),0.17,0)+IF(AND(V612&gt;=40,V612&lt;75,W612&gt;=100),0.1,0)+IF(AND(V612&gt;=75,W612&lt;25),0.35,0)+IF(AND(V612&gt;=75,W612&gt;=25,W612&lt;60),0.25,0)+IF(AND(V612&gt;=75,W612&gt;=60,W612&lt;95),0.17,0)+IF(AND(V612&gt;=75,W612&gt;=95),0.1,0),
IF(AF612="DoEVold15",IF(AND(V612&lt;=40,W612&lt;35),0.35,0)+IF(AND(V612&lt;=40,W612&gt;=35,W612&lt;75),0.25,0)+IF(AND(V612&lt;=40,W612&gt;=75,W612&lt;120),0.17,0)+IF(AND(V612&lt;=40,W612&gt;=120),0.15,0)+IF(AND(V612&gt;40,V612&lt;75,W612&lt;25),0.35,0)+IF(AND(V612&gt;=40,V612&lt;75,W612&gt;=25,W612&lt;65),0.25,0)+IF(AND(V612&gt;=40,V612&lt;75,W612&gt;=65,W612&lt;100),0.17,0)+IF(AND(V612&gt;=40,V612&lt;75,W612&gt;=100),0.1,0)+IF(AND(V612&gt;=75,W612&lt;25),0.35,0)+IF(AND(V612&gt;=75,W612&gt;=25,W612&lt;60),0.25,0)+IF(AND(V612&gt;=75,W612&gt;=60,W612&lt;95),0.17,0)+IF(AND(V612&gt;=75,W612&gt;=95),0.1,0),
IF(AF612="DoEVba",IF(AND(V612&lt;20,W612&lt;105),0.2,0)+IF(AND(V612&lt;20,W612&gt;=105),0.15,0)+IF(AND(V612&gt;=20,V612&lt;40,W612&lt;95),0.2,0)+IF(AND(V612&gt;=20,V612&lt;40,W612&gt;=95,W612&lt;150),0.15,0)+IF(AND(V612&gt;=20,V612&lt;40,W612&gt;=150),0.12,0)+IF(AND(V612&gt;=40,V612&lt;75,W612&lt;75),0.2,0)+IF(AND(V612&gt;=40,V612&lt;75,W612&gt;=75,W612&lt;120),0.15,0)+IF(AND(V612&gt;=40,V612&lt;75,W612&gt;=120),0.12,0)+IF(AND(V612&gt;=75,V612&lt;175,W612&lt;65),0.2,0)+IF(AND(V612&gt;=75,V612&lt;175,W612&gt;=65,W612&lt;110),0.15,0)+IF(AND(V612&gt;=75,V612&lt;175,W612&gt;=110),0.12,0)+IF(AND(V612&gt;=175,W612&lt;55),0.2,0)+IF(AND(V612&gt;=175,W612&gt;=55,W612&lt;95),0.15,0)+IF(AND(V612&gt;=175,W612&gt;=95),0.12,0),
IF(AF612="DoEVku",IF(AND(V612&lt;20,W612&lt;55),0.23,0)+IF(AND(V612&lt;20,W612&gt;=55,W612&lt;105),0.2,0)+IF(AND(V612&lt;20,W612&gt;=105),0.17,0)+IF(AND(V612&gt;=20,V612&lt;40,W612&lt;45),0.23,0)+IF(AND(V612&gt;=20,V612&lt;40,W612&gt;=45,W612&lt;95),0.2,0)+IF(AND(V612&gt;=20,V612&lt;40,W612&gt;=95,W612&lt;=150),0.17,0)+IF(AND(V612&gt;=20,V612&lt;40,W612&gt;=150),0.12,0)+IF(AND(V612&gt;=40,V612&lt;75,W612&lt;35),0.23,0)+IF(AND(V612&gt;=40,V612&lt;75,W612&gt;=35,W612&lt;75),0.2,0)+IF(AND(V612&gt;=40,V612&lt;75,W612&gt;=75,W612&lt;120),0.17,0)+IF(AND(V612&gt;=40,V612&lt;75,W612&gt;=120),0.12,0)+IF(AND(V612&gt;=75,V612&lt;175,W612&lt;35),0.23,0)+IF(AND(V612&gt;=75,V612&lt;=175,W612&gt;=35,W612&lt;65),0.2,0)+IF(AND(V612&gt;=75,V612&lt;=175,W612&gt;=65,W612&lt;110),0.17,0)+IF(AND(V612&gt;=75,V612&lt;=175,W612&gt;=110),0.12,0)+IF(AND(V612&gt;175,W612&lt;25),0.23,0)+IF(AND(V612&gt;175,W612&gt;=25,W612&lt;55),0.2,0)+IF(AND(V612&gt;175,W612&gt;=55,W612&lt;95),0.17,0)+IF(AND(V612&gt;175,W612&gt;=95),0.12,0),
IF(AF612="DoEVs1",IF(AND(V612&lt;20,W612&lt;55),0.3,0)+IF(AND(V612&lt;20,W612&gt;=55,W612&lt;105),0.23,0)+IF(AND(V612&lt;20,W612&gt;=105),0.17,0)+IF(AND(V612&gt;=20,V612&lt;40,W612&lt;45),0.3,0)+IF(AND(V612&gt;=20,V612&lt;40,W612&gt;=45,W612&lt;95),0.23,0)+IF(AND(V612&gt;=20,V612&lt;40,W612&gt;=95,W612&lt;=150),0.17,0)+IF(AND(V612&gt;=20,V612&lt;40,W612&gt;=150),0.12,0)+IF(AND(V612&gt;=40,V612&lt;75,W612&lt;35),0.3,0)+IF(AND(V612&gt;=40,V612&lt;75,W612&gt;=35,W612&lt;75),0.23,0)+IF(AND(V612&gt;=40,V612&lt;75,W612&gt;=75,W612&lt;120),0.17,0)+IF(AND(V612&gt;=40,V612&lt;75,W612&gt;=120),0.12,0)+IF(AND(V612&gt;=75,V612&lt;175,W612&lt;35),0.3,0)+IF(AND(V612&gt;=75,V612&lt;=175,W612&gt;=35,W612&lt;65),0.23,0)+IF(AND(V612&gt;=75,V612&lt;=175,W612&gt;=65,W612&lt;110),0.17,0)+IF(AND(V612&gt;=75,V612&lt;=175,W612&gt;=110),0.12,0)+IF(AND(V612&gt;175,W612&lt;25),0.3,0)+IF(AND(V612&gt;175,W612&gt;=25,W612&lt;55),0.23,0)+IF(AND(V612&gt;175,W612&gt;=55,W612&lt;95),0.17,0)+IF(AND(V612&gt;175,W612&gt;=95),0.12,0),
IF(AF612="DoEVsu",IF(AND(V612&lt;20,W612&lt;55),0.3,0)+IF(AND(V612&lt;20,W612&gt;=55,W612&lt;105),0.23,0)+IF(AND(V612&lt;20,W612&gt;=105),0.17,0)+IF(AND(V612&gt;=20,V612&lt;40,W612&lt;45),0.3,0)+IF(AND(V612&gt;=20,V612&lt;40,W612&gt;=45,W612&lt;95),0.23,0)+IF(AND(V612&gt;=20,V612&lt;40,W612&gt;=95,W612&lt;=250),0.17,0)+IF(AND(V612&gt;=20,V612&lt;40,W612&gt;=250),0.12,0)+IF(AND(V612&gt;=40,V612&lt;75,W612&lt;35),0.3,0)+IF(AND(V612&gt;=40,V612&lt;75,W612&gt;=35,W612&lt;75),0.23,0)+IF(AND(V612&gt;=40,V612&lt;75,W612&gt;=75,W612&lt;120),0.17,0)+IF(AND(V612&gt;=40,V612&lt;75,W612&gt;=120),0.12,0)+IF(AND(V612&gt;=75,V612&lt;175,W612&lt;35),0.3,0)+IF(AND(V612&gt;=75,V612&lt;=175,W612&gt;=35,W612&lt;65),0.23,0)+IF(AND(V612&gt;=75,V612&lt;=175,W612&gt;=65,W612&lt;110),0.17,0)+IF(AND(V612&gt;=75,V612&lt;=175,W612&gt;=110),0.12,0)+IF(AND(V612&gt;175,W612&lt;25),0.3,0)+IF(AND(V612&gt;175,W612&gt;=25,W612&lt;55),0.23,0)+IF(AND(V612&gt;175,W612&gt;=55,W612&lt;95),0.17,0)+IF(AND(V612&gt;175,W612&gt;=95),0.12,0),
IF(AF612="DoEVni",IF(AND(V612&lt;20,W612&lt;55),0.3,0)+IF(AND(V612&lt;20,W612&gt;=55,W612&lt;105),0.23,0)+IF(AND(V612&lt;20,W612&gt;=105),0.17,0)+IF(AND(V612&gt;=20,V612&lt;40,W612&lt;45),0.3,0)+IF(AND(V612&gt;=20,V612&lt;40,W612&gt;=45,W612&lt;95),0.23,0)+IF(AND(V612&gt;=20,V612&lt;40,W612&gt;=95,W612&lt;=200),0.17,0)+IF(AND(V612&gt;=20,V612&lt;40,W612&gt;=200),0.12,0)+IF(AND(V612&gt;=40,V612&lt;75,W612&lt;35),0.3,0)+IF(AND(V612&gt;=40,V612&lt;75,W612&gt;=35,W612&lt;75),0.23,0)+IF(AND(V612&gt;=40,V612&lt;75,W612&gt;=75,W612&lt;120),0.17,0)+IF(AND(V612&gt;=40,V612&lt;75,W612&gt;=120),0.12,0)+IF(AND(V612&gt;=75,V612&lt;175,W612&lt;35),0.3,0)+IF(AND(V612&gt;=75,V612&lt;=175,W612&gt;=35,W612&lt;65),0.23,0)+IF(AND(V612&gt;=75,V612&lt;=175,W612&gt;=65,W612&lt;110),0.17,0)+IF(AND(V612&gt;=75,V612&lt;=175,W612&gt;=110),0.12,0)+IF(AND(V612&gt;175,W612&lt;25),0.3,0)+IF(AND(V612&gt;175,W612&gt;=25,W612&lt;55),0.23,0)+IF(AND(V612&gt;175,W612&gt;=55,W612&lt;95),0.17,0)+IF(AND(V612&gt;175,W612&gt;=95),0.12,0),
IF(AF612="DoEVLo",IF(AND(V612&lt;20,W612&lt;55),0.25,0)+IF(AND(V612&lt;20,W612&gt;=55,W612&lt;105),0.2,0)+IF(AND(V612&lt;20,W612&gt;=105),0.15,0)+IF(AND(V612&gt;=20,V612&lt;40,W612&lt;45),0.25,0)+IF(AND(V612&gt;=20,V612&lt;40,W612&gt;=45,W612&lt;95),0.2,0)+IF(AND(V612&gt;=20,V612&lt;40,W612&gt;=95),0.15,0)+IF(AND(V612&gt;=40,V612&lt;75,W612&lt;35),0.25,0)+IF(AND(V612&gt;=40,V612&lt;75,W612&gt;=35,W612&lt;75),0.2,0)+IF(AND(V612&gt;=40,V612&lt;75,W612&gt;=75,W612&lt;120),0.15,0)+IF(AND(V612&gt;=40,V612&lt;75,W612&gt;=120),0.1,0)+IF(AND(V612&gt;=75,V612&lt;175,W612&lt;35),0.25,0)+IF(AND(V612&gt;=75,V612&lt;=175,W612&gt;=35,W612&lt;65),0.2,0)+IF(AND(V612&gt;=75,V612&lt;=175,W612&gt;=65,W612&lt;110),0.15,0)+IF(AND(V612&gt;=75,V612&lt;=175,W612&gt;=110),0.1,0)+IF(AND(V612&gt;175,W612&lt;25),0.25,0)+IF(AND(V612&gt;175,W612&gt;=25,W612&lt;55),0.2,0)+IF(AND(V612&gt;175,W612&gt;=55,W612&lt;95),0.15,0)+IF(AND(V612&gt;175,W612&gt;=95),0.1,0)))))))))))))))))</f>
        <v>0.2</v>
      </c>
      <c r="Y612" s="30">
        <f>IF(AG612="None",0,IF(AG612="Fix5",0.05, IF(AG612="Fix6.25",0.0625,IF(AG612="Fix3.75",0.0375,IF(AG612="Fix10",0.1,IF(AG612="Fix3",0.03,0))))))</f>
        <v>0</v>
      </c>
      <c r="Z612" s="35">
        <f>T612-AA612-AB612</f>
        <v>1352.8</v>
      </c>
      <c r="AA612" s="29">
        <f>IF(AD612="EUR",((T612-R612)*X612)*U612+(R612*X612),(T612*X612))</f>
        <v>338.20000000000005</v>
      </c>
      <c r="AB612" s="36">
        <f>IF(AD612="EUR",((T612-R612)*Y612)*U612+(R612*Y612),(T612*Y612))</f>
        <v>0</v>
      </c>
      <c r="AC612" s="37" t="b">
        <v>1</v>
      </c>
      <c r="AD612" s="61" t="s">
        <v>38</v>
      </c>
      <c r="AE612" s="83" t="s">
        <v>38</v>
      </c>
      <c r="AF612" s="37" t="str">
        <f t="array" ref="AF612">INDEX('Deal Info'!D:D, MATCH(A612,'Deal Info'!A:A, 0))</f>
        <v>DoEVba</v>
      </c>
      <c r="AG612" s="38" t="str">
        <f t="array" ref="AG612">INDEX('Deal Info'!G:G, MATCH(A612,'Deal Info'!A:A, 0))</f>
        <v>None</v>
      </c>
    </row>
    <row r="613" spans="1:33" ht="14.25" hidden="1" x14ac:dyDescent="0.2">
      <c r="A613" s="18" t="str">
        <f t="array" ref="A613">IF(G613='Room Info'!$B$1, INDEX('Room Info'!$A$2:$A2446, MATCH(B613,'Room Info'!$B$2:$B2446, 0)),IF(G613='Room Info'!$C$1, INDEX('Room Info'!$A$2:$A2446, MATCH(B613,'Room Info'!$C$2:$C2446, 0)),IF(G613='Room Info'!$D$1, INDEX('Room Info'!$A$2:$A2446, MATCH(B613,'Room Info'!$D$2:$D2446, 0)),IF(G613='Room Info'!$E$1, INDEX('Room Info'!$A$2:$A2446, MATCH(B613,'Room Info'!$E$2:$E2446, 0)),IF(G613='Room Info'!$F$1, INDEX('Room Info'!$A$2:$A2446, MATCH(B613,'Room Info'!$F$2:$F2446, 0)),IF(G613='Room Info'!$H$1, INDEX('Room Info'!$A$2:$A2446, MATCH(B613,'Room Info'!$H$2:$H2446, 0)),IF(G613='Room Info'!$G$1, INDEX('Room Info'!$A$2:$A2446, MATCH(B613,'Room Info'!$G$2:$G2446, 0)))))))))</f>
        <v>barabashOva</v>
      </c>
      <c r="B613" s="45" t="s">
        <v>154</v>
      </c>
      <c r="C613" s="46">
        <v>44886</v>
      </c>
      <c r="D613" s="46">
        <v>44915</v>
      </c>
      <c r="E613" s="47">
        <v>44896</v>
      </c>
      <c r="F613" s="45" t="s">
        <v>34</v>
      </c>
      <c r="G613" s="54" t="s">
        <v>35</v>
      </c>
      <c r="H613" s="49" t="s">
        <v>39</v>
      </c>
      <c r="I613" s="49" t="s">
        <v>37</v>
      </c>
      <c r="J613" s="50">
        <v>5</v>
      </c>
      <c r="K613" s="51">
        <v>1</v>
      </c>
      <c r="L613" s="52">
        <v>-5</v>
      </c>
      <c r="M613" s="62"/>
      <c r="N613" s="28">
        <f>K613*J613</f>
        <v>5</v>
      </c>
      <c r="O613" s="54">
        <v>-197</v>
      </c>
      <c r="P613" s="29">
        <v>-197</v>
      </c>
      <c r="Q613" s="55"/>
      <c r="R613" s="31">
        <f>M613+Q613</f>
        <v>0</v>
      </c>
      <c r="S613" s="56">
        <v>-2</v>
      </c>
      <c r="T613" s="32">
        <f>R613+S613+IF(F613="Without EV deal",L613,0)</f>
        <v>-2</v>
      </c>
      <c r="U613" s="57">
        <v>1</v>
      </c>
      <c r="V613" s="58"/>
      <c r="W613" s="58"/>
      <c r="X613" s="30">
        <f>IF(AF613="DoEV",IF(AND(V613&lt;20,W613&lt;55),0.3,0)+IF(AND(V613&lt;20,W613&gt;=55,W613&lt;105),0.23,0)+IF(AND(V613&lt;20,W613&gt;=105),0.17,0)+IF(AND(V613&gt;=20,V613&lt;40,W613&lt;45),0.3,0)+IF(AND(V613&gt;=20,V613&lt;40,W613&gt;=45,W613&lt;95),0.23,0)+IF(AND(V613&gt;=20,V613&lt;40,W613&gt;=95),0.17,0)+IF(AND(V613&gt;=40,V613&lt;75,W613&lt;35),0.3,0)+IF(AND(V613&gt;=40,V613&lt;75,W613&gt;=35,W613&lt;75),0.23,0)+IF(AND(V613&gt;=40,V613&lt;75,W613&gt;=75,W613&lt;120),0.17,0)+IF(AND(V613&gt;=40,V613&lt;75,W613&gt;=120),0.12,0)+IF(AND(V613&gt;=75,V613&lt;175,W613&lt;35),0.3,0)+IF(AND(V613&gt;=75,V613&lt;=175,W613&gt;=35,W613&lt;65),0.23,0)+IF(AND(V613&gt;=75,V613&lt;=175,W613&gt;=65,W613&lt;110),0.17,0)+IF(AND(V613&gt;=75,V613&lt;=175,W613&gt;=110),0.12,0)+IF(AND(V613&gt;175,W613&lt;25),0.3,0)+IF(AND(V613&gt;175,W613&gt;=25,W613&lt;55),0.23,0)+IF(AND(V613&gt;175,W613&gt;=55,W613&lt;95),0.17,0)+IF(AND(V613&gt;175,W613&gt;=95),0.12,0),
IF(AF613="Fix15",0.15,
IF(AF613="Fix18.75",0.1875,
IF(AF613="Fix11.25",0.1125,
IF(AF613="Fix10",0.1,
IF(AF613="Fix9",0.09,
IF(AF613="DoEV2017",IF(AND(W613&lt;74),0.2,0)+IF(AND(W613&gt;=74),0.17,0),
IF(AF613="SF",IF(AND(V613&lt;20,W613&lt;89),0.3,0)+IF(AND(V613&lt;20,W613&gt;=89),0.25,0)+IF(AND(V613&gt;=20,V613&lt;40,W613&lt;74),0.3,0)+IF(AND(V613&gt;=20,V613&lt;40,W613&gt;=75),0.22,0)+IF(AND(V613&gt;=40,V613&lt;75,W613&lt;75),0.26,0)+IF(AND(V613&gt;=40,V613&lt;75,W613&gt;=75),0.22,0)+IF(V613&gt;=75,0.22,0),
IF(AF613="DoEVold",IF(AND(V613&lt;40,W613&lt;35),0.35,0)+IF(AND(V613&lt;40,W613&gt;=35,W613&lt;75),0.25,0)+IF(AND(V613&lt;40,W613&gt;=75),0.17,0)+IF(AND(V613&gt;=40,V613&lt;75,W613&lt;25),0.35,0)+IF(AND(V613&gt;=40,V613&lt;75,W613&gt;=25,W613&lt;65),0.25,0)+IF(AND(V613&gt;=40,V613&lt;75,W613&gt;=65,W613&lt;100),0.17,0)+IF(AND(V613&gt;=40,V613&lt;75,W613&gt;=100),0.1,0)+IF(AND(V613&gt;=75,W613&lt;25),0.35,0)+IF(AND(V613&gt;=75,W613&gt;=25,W613&lt;60),0.25,0)+IF(AND(V613&gt;=75,W613&gt;=60,W613&lt;95),0.17,0)+IF(AND(V613&gt;=75,W613&gt;=95),0.1,0),
IF(AF613="DoEVold15",IF(AND(V613&lt;=40,W613&lt;35),0.35,0)+IF(AND(V613&lt;=40,W613&gt;=35,W613&lt;75),0.25,0)+IF(AND(V613&lt;=40,W613&gt;=75,W613&lt;120),0.17,0)+IF(AND(V613&lt;=40,W613&gt;=120),0.15,0)+IF(AND(V613&gt;40,V613&lt;75,W613&lt;25),0.35,0)+IF(AND(V613&gt;=40,V613&lt;75,W613&gt;=25,W613&lt;65),0.25,0)+IF(AND(V613&gt;=40,V613&lt;75,W613&gt;=65,W613&lt;100),0.17,0)+IF(AND(V613&gt;=40,V613&lt;75,W613&gt;=100),0.1,0)+IF(AND(V613&gt;=75,W613&lt;25),0.35,0)+IF(AND(V613&gt;=75,W613&gt;=25,W613&lt;60),0.25,0)+IF(AND(V613&gt;=75,W613&gt;=60,W613&lt;95),0.17,0)+IF(AND(V613&gt;=75,W613&gt;=95),0.1,0),
IF(AF613="DoEVba",IF(AND(V613&lt;20,W613&lt;105),0.2,0)+IF(AND(V613&lt;20,W613&gt;=105),0.15,0)+IF(AND(V613&gt;=20,V613&lt;40,W613&lt;95),0.2,0)+IF(AND(V613&gt;=20,V613&lt;40,W613&gt;=95,W613&lt;150),0.15,0)+IF(AND(V613&gt;=20,V613&lt;40,W613&gt;=150),0.12,0)+IF(AND(V613&gt;=40,V613&lt;75,W613&lt;75),0.2,0)+IF(AND(V613&gt;=40,V613&lt;75,W613&gt;=75,W613&lt;120),0.15,0)+IF(AND(V613&gt;=40,V613&lt;75,W613&gt;=120),0.12,0)+IF(AND(V613&gt;=75,V613&lt;175,W613&lt;65),0.2,0)+IF(AND(V613&gt;=75,V613&lt;175,W613&gt;=65,W613&lt;110),0.15,0)+IF(AND(V613&gt;=75,V613&lt;175,W613&gt;=110),0.12,0)+IF(AND(V613&gt;=175,W613&lt;55),0.2,0)+IF(AND(V613&gt;=175,W613&gt;=55,W613&lt;95),0.15,0)+IF(AND(V613&gt;=175,W613&gt;=95),0.12,0),
IF(AF613="DoEVku",IF(AND(V613&lt;20,W613&lt;55),0.23,0)+IF(AND(V613&lt;20,W613&gt;=55,W613&lt;105),0.2,0)+IF(AND(V613&lt;20,W613&gt;=105),0.17,0)+IF(AND(V613&gt;=20,V613&lt;40,W613&lt;45),0.23,0)+IF(AND(V613&gt;=20,V613&lt;40,W613&gt;=45,W613&lt;95),0.2,0)+IF(AND(V613&gt;=20,V613&lt;40,W613&gt;=95,W613&lt;=150),0.17,0)+IF(AND(V613&gt;=20,V613&lt;40,W613&gt;=150),0.12,0)+IF(AND(V613&gt;=40,V613&lt;75,W613&lt;35),0.23,0)+IF(AND(V613&gt;=40,V613&lt;75,W613&gt;=35,W613&lt;75),0.2,0)+IF(AND(V613&gt;=40,V613&lt;75,W613&gt;=75,W613&lt;120),0.17,0)+IF(AND(V613&gt;=40,V613&lt;75,W613&gt;=120),0.12,0)+IF(AND(V613&gt;=75,V613&lt;175,W613&lt;35),0.23,0)+IF(AND(V613&gt;=75,V613&lt;=175,W613&gt;=35,W613&lt;65),0.2,0)+IF(AND(V613&gt;=75,V613&lt;=175,W613&gt;=65,W613&lt;110),0.17,0)+IF(AND(V613&gt;=75,V613&lt;=175,W613&gt;=110),0.12,0)+IF(AND(V613&gt;175,W613&lt;25),0.23,0)+IF(AND(V613&gt;175,W613&gt;=25,W613&lt;55),0.2,0)+IF(AND(V613&gt;175,W613&gt;=55,W613&lt;95),0.17,0)+IF(AND(V613&gt;175,W613&gt;=95),0.12,0),
IF(AF613="DoEVs1",IF(AND(V613&lt;20,W613&lt;55),0.3,0)+IF(AND(V613&lt;20,W613&gt;=55,W613&lt;105),0.23,0)+IF(AND(V613&lt;20,W613&gt;=105),0.17,0)+IF(AND(V613&gt;=20,V613&lt;40,W613&lt;45),0.3,0)+IF(AND(V613&gt;=20,V613&lt;40,W613&gt;=45,W613&lt;95),0.23,0)+IF(AND(V613&gt;=20,V613&lt;40,W613&gt;=95,W613&lt;=150),0.17,0)+IF(AND(V613&gt;=20,V613&lt;40,W613&gt;=150),0.12,0)+IF(AND(V613&gt;=40,V613&lt;75,W613&lt;35),0.3,0)+IF(AND(V613&gt;=40,V613&lt;75,W613&gt;=35,W613&lt;75),0.23,0)+IF(AND(V613&gt;=40,V613&lt;75,W613&gt;=75,W613&lt;120),0.17,0)+IF(AND(V613&gt;=40,V613&lt;75,W613&gt;=120),0.12,0)+IF(AND(V613&gt;=75,V613&lt;175,W613&lt;35),0.3,0)+IF(AND(V613&gt;=75,V613&lt;=175,W613&gt;=35,W613&lt;65),0.23,0)+IF(AND(V613&gt;=75,V613&lt;=175,W613&gt;=65,W613&lt;110),0.17,0)+IF(AND(V613&gt;=75,V613&lt;=175,W613&gt;=110),0.12,0)+IF(AND(V613&gt;175,W613&lt;25),0.3,0)+IF(AND(V613&gt;175,W613&gt;=25,W613&lt;55),0.23,0)+IF(AND(V613&gt;175,W613&gt;=55,W613&lt;95),0.17,0)+IF(AND(V613&gt;175,W613&gt;=95),0.12,0),
IF(AF613="DoEVsu",IF(AND(V613&lt;20,W613&lt;55),0.3,0)+IF(AND(V613&lt;20,W613&gt;=55,W613&lt;105),0.23,0)+IF(AND(V613&lt;20,W613&gt;=105),0.17,0)+IF(AND(V613&gt;=20,V613&lt;40,W613&lt;45),0.3,0)+IF(AND(V613&gt;=20,V613&lt;40,W613&gt;=45,W613&lt;95),0.23,0)+IF(AND(V613&gt;=20,V613&lt;40,W613&gt;=95,W613&lt;=250),0.17,0)+IF(AND(V613&gt;=20,V613&lt;40,W613&gt;=250),0.12,0)+IF(AND(V613&gt;=40,V613&lt;75,W613&lt;35),0.3,0)+IF(AND(V613&gt;=40,V613&lt;75,W613&gt;=35,W613&lt;75),0.23,0)+IF(AND(V613&gt;=40,V613&lt;75,W613&gt;=75,W613&lt;120),0.17,0)+IF(AND(V613&gt;=40,V613&lt;75,W613&gt;=120),0.12,0)+IF(AND(V613&gt;=75,V613&lt;175,W613&lt;35),0.3,0)+IF(AND(V613&gt;=75,V613&lt;=175,W613&gt;=35,W613&lt;65),0.23,0)+IF(AND(V613&gt;=75,V613&lt;=175,W613&gt;=65,W613&lt;110),0.17,0)+IF(AND(V613&gt;=75,V613&lt;=175,W613&gt;=110),0.12,0)+IF(AND(V613&gt;175,W613&lt;25),0.3,0)+IF(AND(V613&gt;175,W613&gt;=25,W613&lt;55),0.23,0)+IF(AND(V613&gt;175,W613&gt;=55,W613&lt;95),0.17,0)+IF(AND(V613&gt;175,W613&gt;=95),0.12,0),
IF(AF613="DoEVni",IF(AND(V613&lt;20,W613&lt;55),0.3,0)+IF(AND(V613&lt;20,W613&gt;=55,W613&lt;105),0.23,0)+IF(AND(V613&lt;20,W613&gt;=105),0.17,0)+IF(AND(V613&gt;=20,V613&lt;40,W613&lt;45),0.3,0)+IF(AND(V613&gt;=20,V613&lt;40,W613&gt;=45,W613&lt;95),0.23,0)+IF(AND(V613&gt;=20,V613&lt;40,W613&gt;=95,W613&lt;=200),0.17,0)+IF(AND(V613&gt;=20,V613&lt;40,W613&gt;=200),0.12,0)+IF(AND(V613&gt;=40,V613&lt;75,W613&lt;35),0.3,0)+IF(AND(V613&gt;=40,V613&lt;75,W613&gt;=35,W613&lt;75),0.23,0)+IF(AND(V613&gt;=40,V613&lt;75,W613&gt;=75,W613&lt;120),0.17,0)+IF(AND(V613&gt;=40,V613&lt;75,W613&gt;=120),0.12,0)+IF(AND(V613&gt;=75,V613&lt;175,W613&lt;35),0.3,0)+IF(AND(V613&gt;=75,V613&lt;=175,W613&gt;=35,W613&lt;65),0.23,0)+IF(AND(V613&gt;=75,V613&lt;=175,W613&gt;=65,W613&lt;110),0.17,0)+IF(AND(V613&gt;=75,V613&lt;=175,W613&gt;=110),0.12,0)+IF(AND(V613&gt;175,W613&lt;25),0.3,0)+IF(AND(V613&gt;175,W613&gt;=25,W613&lt;55),0.23,0)+IF(AND(V613&gt;175,W613&gt;=55,W613&lt;95),0.17,0)+IF(AND(V613&gt;175,W613&gt;=95),0.12,0),
IF(AF613="DoEVLo",IF(AND(V613&lt;20,W613&lt;55),0.25,0)+IF(AND(V613&lt;20,W613&gt;=55,W613&lt;105),0.2,0)+IF(AND(V613&lt;20,W613&gt;=105),0.15,0)+IF(AND(V613&gt;=20,V613&lt;40,W613&lt;45),0.25,0)+IF(AND(V613&gt;=20,V613&lt;40,W613&gt;=45,W613&lt;95),0.2,0)+IF(AND(V613&gt;=20,V613&lt;40,W613&gt;=95),0.15,0)+IF(AND(V613&gt;=40,V613&lt;75,W613&lt;35),0.25,0)+IF(AND(V613&gt;=40,V613&lt;75,W613&gt;=35,W613&lt;75),0.2,0)+IF(AND(V613&gt;=40,V613&lt;75,W613&gt;=75,W613&lt;120),0.15,0)+IF(AND(V613&gt;=40,V613&lt;75,W613&gt;=120),0.1,0)+IF(AND(V613&gt;=75,V613&lt;175,W613&lt;35),0.25,0)+IF(AND(V613&gt;=75,V613&lt;=175,W613&gt;=35,W613&lt;65),0.2,0)+IF(AND(V613&gt;=75,V613&lt;=175,W613&gt;=65,W613&lt;110),0.15,0)+IF(AND(V613&gt;=75,V613&lt;=175,W613&gt;=110),0.1,0)+IF(AND(V613&gt;175,W613&lt;25),0.25,0)+IF(AND(V613&gt;175,W613&gt;=25,W613&lt;55),0.2,0)+IF(AND(V613&gt;175,W613&gt;=55,W613&lt;95),0.15,0)+IF(AND(V613&gt;175,W613&gt;=95),0.1,0)))))))))))))))))</f>
        <v>0.2</v>
      </c>
      <c r="Y613" s="30">
        <f>IF(AG613="None",0,IF(AG613="Fix5",0.05, IF(AG613="Fix6.25",0.0625,IF(AG613="Fix3.75",0.0375,IF(AG613="Fix10",0.1,IF(AG613="Fix3",0.03,0))))))</f>
        <v>0</v>
      </c>
      <c r="Z613" s="35">
        <f>T613-AA613-AB613</f>
        <v>-1.6</v>
      </c>
      <c r="AA613" s="29">
        <f>IF(AD613="EUR",((T613-R613)*X613)*U613+(R613*X613),(T613*X613))</f>
        <v>-0.4</v>
      </c>
      <c r="AB613" s="36">
        <f>IF(AD613="EUR",((T613-R613)*Y613)*U613+(R613*Y613),(T613*Y613))</f>
        <v>0</v>
      </c>
      <c r="AC613" s="37" t="b">
        <v>1</v>
      </c>
      <c r="AD613" s="61" t="s">
        <v>38</v>
      </c>
      <c r="AE613" s="83" t="s">
        <v>38</v>
      </c>
      <c r="AF613" s="37" t="str">
        <f t="array" ref="AF613">INDEX('Deal Info'!D:D, MATCH(A613,'Deal Info'!A:A, 0))</f>
        <v>DoEVba</v>
      </c>
      <c r="AG613" s="38" t="str">
        <f t="array" ref="AG613">INDEX('Deal Info'!G:G, MATCH(A613,'Deal Info'!A:A, 0))</f>
        <v>None</v>
      </c>
    </row>
    <row r="614" spans="1:33" ht="14.25" hidden="1" x14ac:dyDescent="0.2">
      <c r="A614" s="18" t="str">
        <f t="array" ref="A614">IF(G614='Room Info'!$B$1, INDEX('Room Info'!$A$2:$A2446, MATCH(B614,'Room Info'!$B$2:$B2446, 0)),IF(G614='Room Info'!$C$1, INDEX('Room Info'!$A$2:$A2446, MATCH(B614,'Room Info'!$C$2:$C2446, 0)),IF(G614='Room Info'!$D$1, INDEX('Room Info'!$A$2:$A2446, MATCH(B614,'Room Info'!$D$2:$D2446, 0)),IF(G614='Room Info'!$E$1, INDEX('Room Info'!$A$2:$A2446, MATCH(B614,'Room Info'!$E$2:$E2446, 0)),IF(G614='Room Info'!$F$1, INDEX('Room Info'!$A$2:$A2446, MATCH(B614,'Room Info'!$F$2:$F2446, 0)),IF(G614='Room Info'!$H$1, INDEX('Room Info'!$A$2:$A2446, MATCH(B614,'Room Info'!$H$2:$H2446, 0)),IF(G614='Room Info'!$G$1, INDEX('Room Info'!$A$2:$A2446, MATCH(B614,'Room Info'!$G$2:$G2446, 0)))))))))</f>
        <v>barabashOva</v>
      </c>
      <c r="B614" s="45" t="s">
        <v>154</v>
      </c>
      <c r="C614" s="46">
        <v>44886</v>
      </c>
      <c r="D614" s="46">
        <v>44915</v>
      </c>
      <c r="E614" s="47">
        <v>44896</v>
      </c>
      <c r="F614" s="45" t="s">
        <v>34</v>
      </c>
      <c r="G614" s="54" t="s">
        <v>35</v>
      </c>
      <c r="H614" s="49" t="s">
        <v>40</v>
      </c>
      <c r="I614" s="49" t="s">
        <v>37</v>
      </c>
      <c r="J614" s="50">
        <v>10</v>
      </c>
      <c r="K614" s="51">
        <v>4289</v>
      </c>
      <c r="L614" s="52">
        <v>-2100</v>
      </c>
      <c r="M614" s="53">
        <v>1935</v>
      </c>
      <c r="N614" s="28">
        <f>K614*J614</f>
        <v>42890</v>
      </c>
      <c r="O614" s="54">
        <v>56194</v>
      </c>
      <c r="P614" s="29">
        <v>13.10188855</v>
      </c>
      <c r="Q614" s="55"/>
      <c r="R614" s="31">
        <f>M614+Q614</f>
        <v>1935</v>
      </c>
      <c r="S614" s="56">
        <v>-2203</v>
      </c>
      <c r="T614" s="32">
        <f>R614+S614+IF(F614="Without EV deal",L614,0)</f>
        <v>-268</v>
      </c>
      <c r="U614" s="57">
        <v>1</v>
      </c>
      <c r="V614" s="58"/>
      <c r="W614" s="58"/>
      <c r="X614" s="30">
        <f>IF(AF614="DoEV",IF(AND(V614&lt;20,W614&lt;55),0.3,0)+IF(AND(V614&lt;20,W614&gt;=55,W614&lt;105),0.23,0)+IF(AND(V614&lt;20,W614&gt;=105),0.17,0)+IF(AND(V614&gt;=20,V614&lt;40,W614&lt;45),0.3,0)+IF(AND(V614&gt;=20,V614&lt;40,W614&gt;=45,W614&lt;95),0.23,0)+IF(AND(V614&gt;=20,V614&lt;40,W614&gt;=95),0.17,0)+IF(AND(V614&gt;=40,V614&lt;75,W614&lt;35),0.3,0)+IF(AND(V614&gt;=40,V614&lt;75,W614&gt;=35,W614&lt;75),0.23,0)+IF(AND(V614&gt;=40,V614&lt;75,W614&gt;=75,W614&lt;120),0.17,0)+IF(AND(V614&gt;=40,V614&lt;75,W614&gt;=120),0.12,0)+IF(AND(V614&gt;=75,V614&lt;175,W614&lt;35),0.3,0)+IF(AND(V614&gt;=75,V614&lt;=175,W614&gt;=35,W614&lt;65),0.23,0)+IF(AND(V614&gt;=75,V614&lt;=175,W614&gt;=65,W614&lt;110),0.17,0)+IF(AND(V614&gt;=75,V614&lt;=175,W614&gt;=110),0.12,0)+IF(AND(V614&gt;175,W614&lt;25),0.3,0)+IF(AND(V614&gt;175,W614&gt;=25,W614&lt;55),0.23,0)+IF(AND(V614&gt;175,W614&gt;=55,W614&lt;95),0.17,0)+IF(AND(V614&gt;175,W614&gt;=95),0.12,0),
IF(AF614="Fix15",0.15,
IF(AF614="Fix18.75",0.1875,
IF(AF614="Fix11.25",0.1125,
IF(AF614="Fix10",0.1,
IF(AF614="Fix9",0.09,
IF(AF614="DoEV2017",IF(AND(W614&lt;74),0.2,0)+IF(AND(W614&gt;=74),0.17,0),
IF(AF614="SF",IF(AND(V614&lt;20,W614&lt;89),0.3,0)+IF(AND(V614&lt;20,W614&gt;=89),0.25,0)+IF(AND(V614&gt;=20,V614&lt;40,W614&lt;74),0.3,0)+IF(AND(V614&gt;=20,V614&lt;40,W614&gt;=75),0.22,0)+IF(AND(V614&gt;=40,V614&lt;75,W614&lt;75),0.26,0)+IF(AND(V614&gt;=40,V614&lt;75,W614&gt;=75),0.22,0)+IF(V614&gt;=75,0.22,0),
IF(AF614="DoEVold",IF(AND(V614&lt;40,W614&lt;35),0.35,0)+IF(AND(V614&lt;40,W614&gt;=35,W614&lt;75),0.25,0)+IF(AND(V614&lt;40,W614&gt;=75),0.17,0)+IF(AND(V614&gt;=40,V614&lt;75,W614&lt;25),0.35,0)+IF(AND(V614&gt;=40,V614&lt;75,W614&gt;=25,W614&lt;65),0.25,0)+IF(AND(V614&gt;=40,V614&lt;75,W614&gt;=65,W614&lt;100),0.17,0)+IF(AND(V614&gt;=40,V614&lt;75,W614&gt;=100),0.1,0)+IF(AND(V614&gt;=75,W614&lt;25),0.35,0)+IF(AND(V614&gt;=75,W614&gt;=25,W614&lt;60),0.25,0)+IF(AND(V614&gt;=75,W614&gt;=60,W614&lt;95),0.17,0)+IF(AND(V614&gt;=75,W614&gt;=95),0.1,0),
IF(AF614="DoEVold15",IF(AND(V614&lt;=40,W614&lt;35),0.35,0)+IF(AND(V614&lt;=40,W614&gt;=35,W614&lt;75),0.25,0)+IF(AND(V614&lt;=40,W614&gt;=75,W614&lt;120),0.17,0)+IF(AND(V614&lt;=40,W614&gt;=120),0.15,0)+IF(AND(V614&gt;40,V614&lt;75,W614&lt;25),0.35,0)+IF(AND(V614&gt;=40,V614&lt;75,W614&gt;=25,W614&lt;65),0.25,0)+IF(AND(V614&gt;=40,V614&lt;75,W614&gt;=65,W614&lt;100),0.17,0)+IF(AND(V614&gt;=40,V614&lt;75,W614&gt;=100),0.1,0)+IF(AND(V614&gt;=75,W614&lt;25),0.35,0)+IF(AND(V614&gt;=75,W614&gt;=25,W614&lt;60),0.25,0)+IF(AND(V614&gt;=75,W614&gt;=60,W614&lt;95),0.17,0)+IF(AND(V614&gt;=75,W614&gt;=95),0.1,0),
IF(AF614="DoEVba",IF(AND(V614&lt;20,W614&lt;105),0.2,0)+IF(AND(V614&lt;20,W614&gt;=105),0.15,0)+IF(AND(V614&gt;=20,V614&lt;40,W614&lt;95),0.2,0)+IF(AND(V614&gt;=20,V614&lt;40,W614&gt;=95,W614&lt;150),0.15,0)+IF(AND(V614&gt;=20,V614&lt;40,W614&gt;=150),0.12,0)+IF(AND(V614&gt;=40,V614&lt;75,W614&lt;75),0.2,0)+IF(AND(V614&gt;=40,V614&lt;75,W614&gt;=75,W614&lt;120),0.15,0)+IF(AND(V614&gt;=40,V614&lt;75,W614&gt;=120),0.12,0)+IF(AND(V614&gt;=75,V614&lt;175,W614&lt;65),0.2,0)+IF(AND(V614&gt;=75,V614&lt;175,W614&gt;=65,W614&lt;110),0.15,0)+IF(AND(V614&gt;=75,V614&lt;175,W614&gt;=110),0.12,0)+IF(AND(V614&gt;=175,W614&lt;55),0.2,0)+IF(AND(V614&gt;=175,W614&gt;=55,W614&lt;95),0.15,0)+IF(AND(V614&gt;=175,W614&gt;=95),0.12,0),
IF(AF614="DoEVku",IF(AND(V614&lt;20,W614&lt;55),0.23,0)+IF(AND(V614&lt;20,W614&gt;=55,W614&lt;105),0.2,0)+IF(AND(V614&lt;20,W614&gt;=105),0.17,0)+IF(AND(V614&gt;=20,V614&lt;40,W614&lt;45),0.23,0)+IF(AND(V614&gt;=20,V614&lt;40,W614&gt;=45,W614&lt;95),0.2,0)+IF(AND(V614&gt;=20,V614&lt;40,W614&gt;=95,W614&lt;=150),0.17,0)+IF(AND(V614&gt;=20,V614&lt;40,W614&gt;=150),0.12,0)+IF(AND(V614&gt;=40,V614&lt;75,W614&lt;35),0.23,0)+IF(AND(V614&gt;=40,V614&lt;75,W614&gt;=35,W614&lt;75),0.2,0)+IF(AND(V614&gt;=40,V614&lt;75,W614&gt;=75,W614&lt;120),0.17,0)+IF(AND(V614&gt;=40,V614&lt;75,W614&gt;=120),0.12,0)+IF(AND(V614&gt;=75,V614&lt;175,W614&lt;35),0.23,0)+IF(AND(V614&gt;=75,V614&lt;=175,W614&gt;=35,W614&lt;65),0.2,0)+IF(AND(V614&gt;=75,V614&lt;=175,W614&gt;=65,W614&lt;110),0.17,0)+IF(AND(V614&gt;=75,V614&lt;=175,W614&gt;=110),0.12,0)+IF(AND(V614&gt;175,W614&lt;25),0.23,0)+IF(AND(V614&gt;175,W614&gt;=25,W614&lt;55),0.2,0)+IF(AND(V614&gt;175,W614&gt;=55,W614&lt;95),0.17,0)+IF(AND(V614&gt;175,W614&gt;=95),0.12,0),
IF(AF614="DoEVs1",IF(AND(V614&lt;20,W614&lt;55),0.3,0)+IF(AND(V614&lt;20,W614&gt;=55,W614&lt;105),0.23,0)+IF(AND(V614&lt;20,W614&gt;=105),0.17,0)+IF(AND(V614&gt;=20,V614&lt;40,W614&lt;45),0.3,0)+IF(AND(V614&gt;=20,V614&lt;40,W614&gt;=45,W614&lt;95),0.23,0)+IF(AND(V614&gt;=20,V614&lt;40,W614&gt;=95,W614&lt;=150),0.17,0)+IF(AND(V614&gt;=20,V614&lt;40,W614&gt;=150),0.12,0)+IF(AND(V614&gt;=40,V614&lt;75,W614&lt;35),0.3,0)+IF(AND(V614&gt;=40,V614&lt;75,W614&gt;=35,W614&lt;75),0.23,0)+IF(AND(V614&gt;=40,V614&lt;75,W614&gt;=75,W614&lt;120),0.17,0)+IF(AND(V614&gt;=40,V614&lt;75,W614&gt;=120),0.12,0)+IF(AND(V614&gt;=75,V614&lt;175,W614&lt;35),0.3,0)+IF(AND(V614&gt;=75,V614&lt;=175,W614&gt;=35,W614&lt;65),0.23,0)+IF(AND(V614&gt;=75,V614&lt;=175,W614&gt;=65,W614&lt;110),0.17,0)+IF(AND(V614&gt;=75,V614&lt;=175,W614&gt;=110),0.12,0)+IF(AND(V614&gt;175,W614&lt;25),0.3,0)+IF(AND(V614&gt;175,W614&gt;=25,W614&lt;55),0.23,0)+IF(AND(V614&gt;175,W614&gt;=55,W614&lt;95),0.17,0)+IF(AND(V614&gt;175,W614&gt;=95),0.12,0),
IF(AF614="DoEVsu",IF(AND(V614&lt;20,W614&lt;55),0.3,0)+IF(AND(V614&lt;20,W614&gt;=55,W614&lt;105),0.23,0)+IF(AND(V614&lt;20,W614&gt;=105),0.17,0)+IF(AND(V614&gt;=20,V614&lt;40,W614&lt;45),0.3,0)+IF(AND(V614&gt;=20,V614&lt;40,W614&gt;=45,W614&lt;95),0.23,0)+IF(AND(V614&gt;=20,V614&lt;40,W614&gt;=95,W614&lt;=250),0.17,0)+IF(AND(V614&gt;=20,V614&lt;40,W614&gt;=250),0.12,0)+IF(AND(V614&gt;=40,V614&lt;75,W614&lt;35),0.3,0)+IF(AND(V614&gt;=40,V614&lt;75,W614&gt;=35,W614&lt;75),0.23,0)+IF(AND(V614&gt;=40,V614&lt;75,W614&gt;=75,W614&lt;120),0.17,0)+IF(AND(V614&gt;=40,V614&lt;75,W614&gt;=120),0.12,0)+IF(AND(V614&gt;=75,V614&lt;175,W614&lt;35),0.3,0)+IF(AND(V614&gt;=75,V614&lt;=175,W614&gt;=35,W614&lt;65),0.23,0)+IF(AND(V614&gt;=75,V614&lt;=175,W614&gt;=65,W614&lt;110),0.17,0)+IF(AND(V614&gt;=75,V614&lt;=175,W614&gt;=110),0.12,0)+IF(AND(V614&gt;175,W614&lt;25),0.3,0)+IF(AND(V614&gt;175,W614&gt;=25,W614&lt;55),0.23,0)+IF(AND(V614&gt;175,W614&gt;=55,W614&lt;95),0.17,0)+IF(AND(V614&gt;175,W614&gt;=95),0.12,0),
IF(AF614="DoEVni",IF(AND(V614&lt;20,W614&lt;55),0.3,0)+IF(AND(V614&lt;20,W614&gt;=55,W614&lt;105),0.23,0)+IF(AND(V614&lt;20,W614&gt;=105),0.17,0)+IF(AND(V614&gt;=20,V614&lt;40,W614&lt;45),0.3,0)+IF(AND(V614&gt;=20,V614&lt;40,W614&gt;=45,W614&lt;95),0.23,0)+IF(AND(V614&gt;=20,V614&lt;40,W614&gt;=95,W614&lt;=200),0.17,0)+IF(AND(V614&gt;=20,V614&lt;40,W614&gt;=200),0.12,0)+IF(AND(V614&gt;=40,V614&lt;75,W614&lt;35),0.3,0)+IF(AND(V614&gt;=40,V614&lt;75,W614&gt;=35,W614&lt;75),0.23,0)+IF(AND(V614&gt;=40,V614&lt;75,W614&gt;=75,W614&lt;120),0.17,0)+IF(AND(V614&gt;=40,V614&lt;75,W614&gt;=120),0.12,0)+IF(AND(V614&gt;=75,V614&lt;175,W614&lt;35),0.3,0)+IF(AND(V614&gt;=75,V614&lt;=175,W614&gt;=35,W614&lt;65),0.23,0)+IF(AND(V614&gt;=75,V614&lt;=175,W614&gt;=65,W614&lt;110),0.17,0)+IF(AND(V614&gt;=75,V614&lt;=175,W614&gt;=110),0.12,0)+IF(AND(V614&gt;175,W614&lt;25),0.3,0)+IF(AND(V614&gt;175,W614&gt;=25,W614&lt;55),0.23,0)+IF(AND(V614&gt;175,W614&gt;=55,W614&lt;95),0.17,0)+IF(AND(V614&gt;175,W614&gt;=95),0.12,0),
IF(AF614="DoEVLo",IF(AND(V614&lt;20,W614&lt;55),0.25,0)+IF(AND(V614&lt;20,W614&gt;=55,W614&lt;105),0.2,0)+IF(AND(V614&lt;20,W614&gt;=105),0.15,0)+IF(AND(V614&gt;=20,V614&lt;40,W614&lt;45),0.25,0)+IF(AND(V614&gt;=20,V614&lt;40,W614&gt;=45,W614&lt;95),0.2,0)+IF(AND(V614&gt;=20,V614&lt;40,W614&gt;=95),0.15,0)+IF(AND(V614&gt;=40,V614&lt;75,W614&lt;35),0.25,0)+IF(AND(V614&gt;=40,V614&lt;75,W614&gt;=35,W614&lt;75),0.2,0)+IF(AND(V614&gt;=40,V614&lt;75,W614&gt;=75,W614&lt;120),0.15,0)+IF(AND(V614&gt;=40,V614&lt;75,W614&gt;=120),0.1,0)+IF(AND(V614&gt;=75,V614&lt;175,W614&lt;35),0.25,0)+IF(AND(V614&gt;=75,V614&lt;=175,W614&gt;=35,W614&lt;65),0.2,0)+IF(AND(V614&gt;=75,V614&lt;=175,W614&gt;=65,W614&lt;110),0.15,0)+IF(AND(V614&gt;=75,V614&lt;=175,W614&gt;=110),0.1,0)+IF(AND(V614&gt;175,W614&lt;25),0.25,0)+IF(AND(V614&gt;175,W614&gt;=25,W614&lt;55),0.2,0)+IF(AND(V614&gt;175,W614&gt;=55,W614&lt;95),0.15,0)+IF(AND(V614&gt;175,W614&gt;=95),0.1,0)))))))))))))))))</f>
        <v>0.2</v>
      </c>
      <c r="Y614" s="30">
        <f>IF(AG614="None",0,IF(AG614="Fix5",0.05, IF(AG614="Fix6.25",0.0625,IF(AG614="Fix3.75",0.0375,IF(AG614="Fix10",0.1,IF(AG614="Fix3",0.03,0))))))</f>
        <v>0</v>
      </c>
      <c r="Z614" s="35">
        <f>T614-AA614-AB614</f>
        <v>-214.4</v>
      </c>
      <c r="AA614" s="29">
        <f>IF(AD614="EUR",((T614-R614)*X614)*U614+(R614*X614),(T614*X614))</f>
        <v>-53.6</v>
      </c>
      <c r="AB614" s="36">
        <f>IF(AD614="EUR",((T614-R614)*Y614)*U614+(R614*Y614),(T614*Y614))</f>
        <v>0</v>
      </c>
      <c r="AC614" s="37" t="b">
        <v>1</v>
      </c>
      <c r="AD614" s="61" t="s">
        <v>38</v>
      </c>
      <c r="AE614" s="83" t="s">
        <v>38</v>
      </c>
      <c r="AF614" s="37" t="str">
        <f t="array" ref="AF614">INDEX('Deal Info'!D:D, MATCH(A614,'Deal Info'!A:A, 0))</f>
        <v>DoEVba</v>
      </c>
      <c r="AG614" s="38" t="str">
        <f t="array" ref="AG614">INDEX('Deal Info'!G:G, MATCH(A614,'Deal Info'!A:A, 0))</f>
        <v>None</v>
      </c>
    </row>
    <row r="615" spans="1:33" ht="14.25" hidden="1" x14ac:dyDescent="0.2">
      <c r="A615" s="18" t="str">
        <f t="array" ref="A615">IF(G615='Room Info'!$B$1, INDEX('Room Info'!$A$2:$A2446, MATCH(B615,'Room Info'!$B$2:$B2446, 0)),IF(G615='Room Info'!$C$1, INDEX('Room Info'!$A$2:$A2446, MATCH(B615,'Room Info'!$C$2:$C2446, 0)),IF(G615='Room Info'!$D$1, INDEX('Room Info'!$A$2:$A2446, MATCH(B615,'Room Info'!$D$2:$D2446, 0)),IF(G615='Room Info'!$E$1, INDEX('Room Info'!$A$2:$A2446, MATCH(B615,'Room Info'!$E$2:$E2446, 0)),IF(G615='Room Info'!$F$1, INDEX('Room Info'!$A$2:$A2446, MATCH(B615,'Room Info'!$F$2:$F2446, 0)),IF(G615='Room Info'!$H$1, INDEX('Room Info'!$A$2:$A2446, MATCH(B615,'Room Info'!$H$2:$H2446, 0)),IF(G615='Room Info'!$G$1, INDEX('Room Info'!$A$2:$A2446, MATCH(B615,'Room Info'!$G$2:$G2446, 0)))))))))</f>
        <v>barabashOva</v>
      </c>
      <c r="B615" s="45" t="s">
        <v>154</v>
      </c>
      <c r="C615" s="46">
        <v>44916</v>
      </c>
      <c r="D615" s="46">
        <v>44946</v>
      </c>
      <c r="E615" s="47">
        <v>44927</v>
      </c>
      <c r="F615" s="45" t="s">
        <v>34</v>
      </c>
      <c r="G615" s="54" t="s">
        <v>35</v>
      </c>
      <c r="H615" s="49" t="s">
        <v>40</v>
      </c>
      <c r="I615" s="49" t="s">
        <v>37</v>
      </c>
      <c r="J615" s="50">
        <v>10</v>
      </c>
      <c r="K615" s="51">
        <v>4462</v>
      </c>
      <c r="L615" s="52">
        <v>-10</v>
      </c>
      <c r="M615" s="53">
        <v>1970</v>
      </c>
      <c r="N615" s="28">
        <f>K615*J615</f>
        <v>44620</v>
      </c>
      <c r="O615" s="54">
        <v>163703</v>
      </c>
      <c r="P615" s="29">
        <v>36.688256389999999</v>
      </c>
      <c r="Q615" s="55"/>
      <c r="R615" s="31">
        <f>M615+Q615</f>
        <v>1970</v>
      </c>
      <c r="S615" s="56">
        <v>-213</v>
      </c>
      <c r="T615" s="32">
        <f>R615+S615+IF(F615="Without EV deal",L615,0)</f>
        <v>1757</v>
      </c>
      <c r="U615" s="57">
        <v>1</v>
      </c>
      <c r="V615" s="58"/>
      <c r="W615" s="58"/>
      <c r="X615" s="78">
        <v>0.17</v>
      </c>
      <c r="Y615" s="30">
        <f>IF(AG615="None",0,IF(AG615="Fix5",0.05, IF(AG615="Fix6.25",0.0625,IF(AG615="Fix3.75",0.0375,IF(AG615="Fix10",0.1,IF(AG615="Fix3",0.03,0))))))</f>
        <v>0</v>
      </c>
      <c r="Z615" s="35">
        <f>T615-AA615-AB615</f>
        <v>1458.31</v>
      </c>
      <c r="AA615" s="29">
        <f>IF(AD615="EUR",((T615-R615)*X615)*U615+(R615*X615),(T615*X615))</f>
        <v>298.69</v>
      </c>
      <c r="AB615" s="36">
        <f>IF(AD615="EUR",((T615-R615)*Y615)*U615+(R615*Y615),(T615*Y615))</f>
        <v>0</v>
      </c>
      <c r="AC615" s="37" t="b">
        <v>1</v>
      </c>
      <c r="AD615" s="61" t="s">
        <v>38</v>
      </c>
      <c r="AE615" s="83" t="s">
        <v>38</v>
      </c>
      <c r="AF615" s="37" t="str">
        <f t="array" ref="AF615">INDEX('Deal Info'!D:D, MATCH(A615,'Deal Info'!A:A, 0))</f>
        <v>DoEVba</v>
      </c>
      <c r="AG615" s="38" t="str">
        <f t="array" ref="AG615">INDEX('Deal Info'!G:G, MATCH(A615,'Deal Info'!A:A, 0))</f>
        <v>None</v>
      </c>
    </row>
    <row r="616" spans="1:33" ht="14.25" hidden="1" x14ac:dyDescent="0.2">
      <c r="A616" s="18" t="str">
        <f t="array" ref="A616">IF(G616='Room Info'!$B$1, INDEX('Room Info'!$A$2:$A2446, MATCH(B616,'Room Info'!$B$2:$B2446, 0)),IF(G616='Room Info'!$C$1, INDEX('Room Info'!$A$2:$A2446, MATCH(B616,'Room Info'!$C$2:$C2446, 0)),IF(G616='Room Info'!$D$1, INDEX('Room Info'!$A$2:$A2446, MATCH(B616,'Room Info'!$D$2:$D2446, 0)),IF(G616='Room Info'!$E$1, INDEX('Room Info'!$A$2:$A2446, MATCH(B616,'Room Info'!$E$2:$E2446, 0)),IF(G616='Room Info'!$F$1, INDEX('Room Info'!$A$2:$A2446, MATCH(B616,'Room Info'!$F$2:$F2446, 0)),IF(G616='Room Info'!$H$1, INDEX('Room Info'!$A$2:$A2446, MATCH(B616,'Room Info'!$H$2:$H2446, 0)),IF(G616='Room Info'!$G$1, INDEX('Room Info'!$A$2:$A2446, MATCH(B616,'Room Info'!$G$2:$G2446, 0)))))))))</f>
        <v>Berebka</v>
      </c>
      <c r="B616" s="54" t="s">
        <v>155</v>
      </c>
      <c r="C616" s="46">
        <v>44662</v>
      </c>
      <c r="D616" s="46">
        <v>44681</v>
      </c>
      <c r="E616" s="47">
        <v>44652</v>
      </c>
      <c r="F616" s="48" t="s">
        <v>49</v>
      </c>
      <c r="G616" s="54" t="s">
        <v>69</v>
      </c>
      <c r="H616" s="49" t="s">
        <v>40</v>
      </c>
      <c r="I616" s="49" t="s">
        <v>37</v>
      </c>
      <c r="J616" s="50">
        <v>10</v>
      </c>
      <c r="K616" s="51">
        <v>2906</v>
      </c>
      <c r="L616" s="52">
        <v>-760</v>
      </c>
      <c r="M616" s="53">
        <v>1100</v>
      </c>
      <c r="N616" s="28">
        <f>K616*J616</f>
        <v>29060</v>
      </c>
      <c r="O616" s="54">
        <v>128322</v>
      </c>
      <c r="P616" s="29">
        <v>44.15760496</v>
      </c>
      <c r="Q616" s="55"/>
      <c r="R616" s="31">
        <f>M616+Q616</f>
        <v>1100</v>
      </c>
      <c r="S616" s="56">
        <v>498</v>
      </c>
      <c r="T616" s="32">
        <f>R616+S616+IF(F616="Without EV deal",L616,0)</f>
        <v>1598</v>
      </c>
      <c r="U616" s="57">
        <v>1</v>
      </c>
      <c r="V616" s="58"/>
      <c r="W616" s="58"/>
      <c r="X616" s="78">
        <v>0.3</v>
      </c>
      <c r="Y616" s="30">
        <f>IF(AG616="None",0,IF(AG616="Fix5",0.05, IF(AG616="Fix6.25",0.0625,IF(AG616="Fix3.75",0.0375,IF(AG616="Fix10",0.1,IF(AG616="Fix3",0.03,0))))))</f>
        <v>0</v>
      </c>
      <c r="Z616" s="35">
        <f>T616-AA616-AB616</f>
        <v>1326</v>
      </c>
      <c r="AA616" s="60">
        <v>272</v>
      </c>
      <c r="AB616" s="36">
        <f>IF(AD616="EUR",((T616-R616)*Y616)*U616+(R616*Y616),(T616*Y616))</f>
        <v>0</v>
      </c>
      <c r="AC616" s="37" t="b">
        <v>1</v>
      </c>
      <c r="AD616" s="61" t="s">
        <v>38</v>
      </c>
      <c r="AE616" s="83" t="s">
        <v>38</v>
      </c>
      <c r="AF616" s="37" t="str">
        <f t="array" ref="AF616">INDEX('Deal Info'!D:D, MATCH(A616,'Deal Info'!A:A, 0))</f>
        <v>DoEV</v>
      </c>
      <c r="AG616" s="38" t="str">
        <f t="array" ref="AG616">INDEX('Deal Info'!G:G, MATCH(A616,'Deal Info'!A:A, 0))</f>
        <v>None</v>
      </c>
    </row>
    <row r="617" spans="1:33" ht="14.25" hidden="1" x14ac:dyDescent="0.2">
      <c r="A617" s="18" t="str">
        <f t="array" ref="A617">IF(G617='Room Info'!$B$1, INDEX('Room Info'!$A$2:$A2446, MATCH(B617,'Room Info'!$B$2:$B2446, 0)),IF(G617='Room Info'!$C$1, INDEX('Room Info'!$A$2:$A2446, MATCH(B617,'Room Info'!$C$2:$C2446, 0)),IF(G617='Room Info'!$D$1, INDEX('Room Info'!$A$2:$A2446, MATCH(B617,'Room Info'!$D$2:$D2446, 0)),IF(G617='Room Info'!$E$1, INDEX('Room Info'!$A$2:$A2446, MATCH(B617,'Room Info'!$E$2:$E2446, 0)),IF(G617='Room Info'!$F$1, INDEX('Room Info'!$A$2:$A2446, MATCH(B617,'Room Info'!$F$2:$F2446, 0)),IF(G617='Room Info'!$H$1, INDEX('Room Info'!$A$2:$A2446, MATCH(B617,'Room Info'!$H$2:$H2446, 0)),IF(G617='Room Info'!$G$1, INDEX('Room Info'!$A$2:$A2446, MATCH(B617,'Room Info'!$G$2:$G2446, 0)))))))))</f>
        <v>Berebka</v>
      </c>
      <c r="B617" s="54" t="s">
        <v>155</v>
      </c>
      <c r="C617" s="46">
        <v>44682</v>
      </c>
      <c r="D617" s="46">
        <v>44712</v>
      </c>
      <c r="E617" s="47">
        <v>44682</v>
      </c>
      <c r="F617" s="48" t="s">
        <v>49</v>
      </c>
      <c r="G617" s="54" t="s">
        <v>35</v>
      </c>
      <c r="H617" s="49" t="s">
        <v>39</v>
      </c>
      <c r="I617" s="49" t="s">
        <v>37</v>
      </c>
      <c r="J617" s="50">
        <v>5</v>
      </c>
      <c r="K617" s="51">
        <v>121</v>
      </c>
      <c r="L617" s="52">
        <v>-50</v>
      </c>
      <c r="M617" s="62"/>
      <c r="N617" s="28">
        <f>K617*J617</f>
        <v>605</v>
      </c>
      <c r="O617" s="54">
        <v>-4515</v>
      </c>
      <c r="P617" s="29">
        <v>-37.314049590000003</v>
      </c>
      <c r="Q617" s="55"/>
      <c r="R617" s="31">
        <f>M617+Q617</f>
        <v>0</v>
      </c>
      <c r="S617" s="56">
        <v>-95</v>
      </c>
      <c r="T617" s="32">
        <f>R617+S617+IF(F617="Without EV deal",L617,0)</f>
        <v>-95</v>
      </c>
      <c r="U617" s="57">
        <v>1</v>
      </c>
      <c r="V617" s="58"/>
      <c r="W617" s="58"/>
      <c r="X617" s="78">
        <v>0.3</v>
      </c>
      <c r="Y617" s="30">
        <f>IF(AG617="None",0,IF(AG617="Fix5",0.05, IF(AG617="Fix6.25",0.0625,IF(AG617="Fix3.75",0.0375,IF(AG617="Fix10",0.1,IF(AG617="Fix3",0.03,0))))))</f>
        <v>0</v>
      </c>
      <c r="Z617" s="35">
        <f>T617-AA617-AB617</f>
        <v>-67</v>
      </c>
      <c r="AA617" s="60">
        <v>-28</v>
      </c>
      <c r="AB617" s="36">
        <f>IF(AD617="EUR",((T617-R617)*Y617)*U617+(R617*Y617),(T617*Y617))</f>
        <v>0</v>
      </c>
      <c r="AC617" s="37" t="b">
        <v>1</v>
      </c>
      <c r="AD617" s="61" t="s">
        <v>38</v>
      </c>
      <c r="AE617" s="83" t="s">
        <v>38</v>
      </c>
      <c r="AF617" s="37" t="str">
        <f t="array" ref="AF617">INDEX('Deal Info'!D:D, MATCH(A617,'Deal Info'!A:A, 0))</f>
        <v>DoEV</v>
      </c>
      <c r="AG617" s="38" t="str">
        <f t="array" ref="AG617">INDEX('Deal Info'!G:G, MATCH(A617,'Deal Info'!A:A, 0))</f>
        <v>None</v>
      </c>
    </row>
    <row r="618" spans="1:33" ht="14.25" hidden="1" x14ac:dyDescent="0.2">
      <c r="A618" s="18" t="str">
        <f t="array" ref="A618">IF(G618='Room Info'!$B$1, INDEX('Room Info'!$A$2:$A2446, MATCH(B618,'Room Info'!$B$2:$B2446, 0)),IF(G618='Room Info'!$C$1, INDEX('Room Info'!$A$2:$A2446, MATCH(B618,'Room Info'!$C$2:$C2446, 0)),IF(G618='Room Info'!$D$1, INDEX('Room Info'!$A$2:$A2446, MATCH(B618,'Room Info'!$D$2:$D2446, 0)),IF(G618='Room Info'!$E$1, INDEX('Room Info'!$A$2:$A2446, MATCH(B618,'Room Info'!$E$2:$E2446, 0)),IF(G618='Room Info'!$F$1, INDEX('Room Info'!$A$2:$A2446, MATCH(B618,'Room Info'!$F$2:$F2446, 0)),IF(G618='Room Info'!$H$1, INDEX('Room Info'!$A$2:$A2446, MATCH(B618,'Room Info'!$H$2:$H2446, 0)),IF(G618='Room Info'!$G$1, INDEX('Room Info'!$A$2:$A2446, MATCH(B618,'Room Info'!$G$2:$G2446, 0)))))))))</f>
        <v>Berebka</v>
      </c>
      <c r="B618" s="54" t="s">
        <v>155</v>
      </c>
      <c r="C618" s="46">
        <v>44682</v>
      </c>
      <c r="D618" s="46">
        <v>44712</v>
      </c>
      <c r="E618" s="47">
        <v>44682</v>
      </c>
      <c r="F618" s="48" t="s">
        <v>49</v>
      </c>
      <c r="G618" s="54" t="s">
        <v>69</v>
      </c>
      <c r="H618" s="49" t="s">
        <v>77</v>
      </c>
      <c r="I618" s="49" t="s">
        <v>74</v>
      </c>
      <c r="J618" s="50">
        <v>10</v>
      </c>
      <c r="K618" s="51">
        <v>2827</v>
      </c>
      <c r="L618" s="52">
        <v>-1760</v>
      </c>
      <c r="M618" s="53">
        <v>1438</v>
      </c>
      <c r="N618" s="28">
        <f>K618*J618</f>
        <v>28270</v>
      </c>
      <c r="O618" s="54">
        <v>12317</v>
      </c>
      <c r="P618" s="29">
        <v>4.3569154579999996</v>
      </c>
      <c r="Q618" s="55"/>
      <c r="R618" s="31">
        <f>M618+Q618</f>
        <v>1438</v>
      </c>
      <c r="S618" s="56">
        <v>-1563</v>
      </c>
      <c r="T618" s="32">
        <f>R618+S618+IF(F618="Without EV deal",L618,0)</f>
        <v>-125</v>
      </c>
      <c r="U618" s="57">
        <v>1</v>
      </c>
      <c r="V618" s="58"/>
      <c r="W618" s="58"/>
      <c r="X618" s="78">
        <v>0.3</v>
      </c>
      <c r="Y618" s="30">
        <f>IF(AG618="None",0,IF(AG618="Fix5",0.05, IF(AG618="Fix6.25",0.0625,IF(AG618="Fix3.75",0.0375,IF(AG618="Fix10",0.1,IF(AG618="Fix3",0.03,0))))))</f>
        <v>0</v>
      </c>
      <c r="Z618" s="35">
        <f>T618-AA618-AB618</f>
        <v>-88</v>
      </c>
      <c r="AA618" s="60">
        <v>-37</v>
      </c>
      <c r="AB618" s="36">
        <f>IF(AD618="EUR",((T618-R618)*Y618)*U618+(R618*Y618),(T618*Y618))</f>
        <v>0</v>
      </c>
      <c r="AC618" s="37" t="b">
        <v>1</v>
      </c>
      <c r="AD618" s="61" t="s">
        <v>38</v>
      </c>
      <c r="AE618" s="83" t="s">
        <v>38</v>
      </c>
      <c r="AF618" s="37" t="str">
        <f t="array" ref="AF618">INDEX('Deal Info'!D:D, MATCH(A618,'Deal Info'!A:A, 0))</f>
        <v>DoEV</v>
      </c>
      <c r="AG618" s="38" t="str">
        <f t="array" ref="AG618">INDEX('Deal Info'!G:G, MATCH(A618,'Deal Info'!A:A, 0))</f>
        <v>None</v>
      </c>
    </row>
    <row r="619" spans="1:33" ht="14.25" hidden="1" x14ac:dyDescent="0.2">
      <c r="A619" s="18" t="str">
        <f t="array" ref="A619">IF(G619='Room Info'!$B$1, INDEX('Room Info'!$A$2:$A2446, MATCH(B619,'Room Info'!$B$2:$B2446, 0)),IF(G619='Room Info'!$C$1, INDEX('Room Info'!$A$2:$A2446, MATCH(B619,'Room Info'!$C$2:$C2446, 0)),IF(G619='Room Info'!$D$1, INDEX('Room Info'!$A$2:$A2446, MATCH(B619,'Room Info'!$D$2:$D2446, 0)),IF(G619='Room Info'!$E$1, INDEX('Room Info'!$A$2:$A2446, MATCH(B619,'Room Info'!$E$2:$E2446, 0)),IF(G619='Room Info'!$F$1, INDEX('Room Info'!$A$2:$A2446, MATCH(B619,'Room Info'!$F$2:$F2446, 0)),IF(G619='Room Info'!$H$1, INDEX('Room Info'!$A$2:$A2446, MATCH(B619,'Room Info'!$H$2:$H2446, 0)),IF(G619='Room Info'!$G$1, INDEX('Room Info'!$A$2:$A2446, MATCH(B619,'Room Info'!$G$2:$G2446, 0)))))))))</f>
        <v>Berebka</v>
      </c>
      <c r="B619" s="54" t="s">
        <v>155</v>
      </c>
      <c r="C619" s="46">
        <v>44682</v>
      </c>
      <c r="D619" s="46">
        <v>44712</v>
      </c>
      <c r="E619" s="47">
        <v>44682</v>
      </c>
      <c r="F619" s="48" t="s">
        <v>49</v>
      </c>
      <c r="G619" s="54" t="s">
        <v>69</v>
      </c>
      <c r="H619" s="49" t="s">
        <v>40</v>
      </c>
      <c r="I619" s="49" t="s">
        <v>37</v>
      </c>
      <c r="J619" s="50">
        <v>10</v>
      </c>
      <c r="K619" s="51">
        <v>1203</v>
      </c>
      <c r="L619" s="52">
        <v>-40</v>
      </c>
      <c r="M619" s="53">
        <v>612</v>
      </c>
      <c r="N619" s="28">
        <f>K619*J619</f>
        <v>12030</v>
      </c>
      <c r="O619" s="54">
        <v>40006</v>
      </c>
      <c r="P619" s="29">
        <v>33.25519534</v>
      </c>
      <c r="Q619" s="55"/>
      <c r="R619" s="31">
        <f>M619+Q619</f>
        <v>612</v>
      </c>
      <c r="S619" s="56">
        <v>-83</v>
      </c>
      <c r="T619" s="32">
        <f>R619+S619+IF(F619="Without EV deal",L619,0)</f>
        <v>529</v>
      </c>
      <c r="U619" s="57">
        <v>1</v>
      </c>
      <c r="V619" s="58"/>
      <c r="W619" s="58"/>
      <c r="X619" s="78">
        <v>0.3</v>
      </c>
      <c r="Y619" s="30">
        <f>IF(AG619="None",0,IF(AG619="Fix5",0.05, IF(AG619="Fix6.25",0.0625,IF(AG619="Fix3.75",0.0375,IF(AG619="Fix10",0.1,IF(AG619="Fix3",0.03,0))))))</f>
        <v>0</v>
      </c>
      <c r="Z619" s="35">
        <f>T619-AA619-AB619</f>
        <v>370</v>
      </c>
      <c r="AA619" s="60">
        <v>159</v>
      </c>
      <c r="AB619" s="36">
        <f>IF(AD619="EUR",((T619-R619)*Y619)*U619+(R619*Y619),(T619*Y619))</f>
        <v>0</v>
      </c>
      <c r="AC619" s="37" t="b">
        <v>1</v>
      </c>
      <c r="AD619" s="61" t="s">
        <v>38</v>
      </c>
      <c r="AE619" s="83" t="s">
        <v>38</v>
      </c>
      <c r="AF619" s="37" t="str">
        <f t="array" ref="AF619">INDEX('Deal Info'!D:D, MATCH(A619,'Deal Info'!A:A, 0))</f>
        <v>DoEV</v>
      </c>
      <c r="AG619" s="38" t="str">
        <f t="array" ref="AG619">INDEX('Deal Info'!G:G, MATCH(A619,'Deal Info'!A:A, 0))</f>
        <v>None</v>
      </c>
    </row>
    <row r="620" spans="1:33" ht="14.25" hidden="1" x14ac:dyDescent="0.2">
      <c r="A620" s="18" t="str">
        <f t="array" ref="A620">IF(G620='Room Info'!$B$1, INDEX('Room Info'!$A$2:$A2446, MATCH(B620,'Room Info'!$B$2:$B2446, 0)),IF(G620='Room Info'!$C$1, INDEX('Room Info'!$A$2:$A2446, MATCH(B620,'Room Info'!$C$2:$C2446, 0)),IF(G620='Room Info'!$D$1, INDEX('Room Info'!$A$2:$A2446, MATCH(B620,'Room Info'!$D$2:$D2446, 0)),IF(G620='Room Info'!$E$1, INDEX('Room Info'!$A$2:$A2446, MATCH(B620,'Room Info'!$E$2:$E2446, 0)),IF(G620='Room Info'!$F$1, INDEX('Room Info'!$A$2:$A2446, MATCH(B620,'Room Info'!$F$2:$F2446, 0)),IF(G620='Room Info'!$H$1, INDEX('Room Info'!$A$2:$A2446, MATCH(B620,'Room Info'!$H$2:$H2446, 0)),IF(G620='Room Info'!$G$1, INDEX('Room Info'!$A$2:$A2446, MATCH(B620,'Room Info'!$G$2:$G2446, 0)))))))))</f>
        <v>Berebka</v>
      </c>
      <c r="B620" s="45" t="s">
        <v>155</v>
      </c>
      <c r="C620" s="46">
        <v>44713</v>
      </c>
      <c r="D620" s="46">
        <v>44742</v>
      </c>
      <c r="E620" s="47">
        <v>44713</v>
      </c>
      <c r="F620" s="48" t="s">
        <v>49</v>
      </c>
      <c r="G620" s="45" t="s">
        <v>35</v>
      </c>
      <c r="H620" s="49" t="s">
        <v>39</v>
      </c>
      <c r="I620" s="49" t="s">
        <v>37</v>
      </c>
      <c r="J620" s="50">
        <v>5</v>
      </c>
      <c r="K620" s="51">
        <v>293</v>
      </c>
      <c r="L620" s="52">
        <v>270</v>
      </c>
      <c r="M620" s="53">
        <v>69</v>
      </c>
      <c r="N620" s="28">
        <f>K620*J620</f>
        <v>1465</v>
      </c>
      <c r="O620" s="54">
        <v>9971</v>
      </c>
      <c r="P620" s="29">
        <v>34.030716720000001</v>
      </c>
      <c r="Q620" s="55"/>
      <c r="R620" s="31">
        <f>M620+Q620</f>
        <v>69</v>
      </c>
      <c r="S620" s="56">
        <v>-46</v>
      </c>
      <c r="T620" s="32">
        <f>R620+S620+IF(F620="Without EV deal",L620,0)</f>
        <v>23</v>
      </c>
      <c r="U620" s="57">
        <v>1</v>
      </c>
      <c r="V620" s="58"/>
      <c r="W620" s="58"/>
      <c r="X620" s="78">
        <v>0.17</v>
      </c>
      <c r="Y620" s="30">
        <f>IF(AG620="None",0,IF(AG620="Fix5",0.05, IF(AG620="Fix6.25",0.0625,IF(AG620="Fix3.75",0.0375,IF(AG620="Fix10",0.1,IF(AG620="Fix3",0.03,0))))))</f>
        <v>0</v>
      </c>
      <c r="Z620" s="35">
        <f>T620-AA620-AB620</f>
        <v>16</v>
      </c>
      <c r="AA620" s="60">
        <v>7</v>
      </c>
      <c r="AB620" s="36">
        <f>IF(AD620="EUR",((T620-R620)*Y620)*U620+(R620*Y620),(T620*Y620))</f>
        <v>0</v>
      </c>
      <c r="AC620" s="37" t="b">
        <v>1</v>
      </c>
      <c r="AD620" s="61" t="s">
        <v>38</v>
      </c>
      <c r="AE620" s="83" t="s">
        <v>38</v>
      </c>
      <c r="AF620" s="37" t="str">
        <f t="array" ref="AF620">INDEX('Deal Info'!D:D, MATCH(A620,'Deal Info'!A:A, 0))</f>
        <v>DoEV</v>
      </c>
      <c r="AG620" s="38" t="str">
        <f t="array" ref="AG620">INDEX('Deal Info'!G:G, MATCH(A620,'Deal Info'!A:A, 0))</f>
        <v>None</v>
      </c>
    </row>
    <row r="621" spans="1:33" ht="14.25" hidden="1" x14ac:dyDescent="0.2">
      <c r="A621" s="18" t="str">
        <f t="array" ref="A621">IF(G621='Room Info'!$B$1, INDEX('Room Info'!$A$2:$A2446, MATCH(B621,'Room Info'!$B$2:$B2446, 0)),IF(G621='Room Info'!$C$1, INDEX('Room Info'!$A$2:$A2446, MATCH(B621,'Room Info'!$C$2:$C2446, 0)),IF(G621='Room Info'!$D$1, INDEX('Room Info'!$A$2:$A2446, MATCH(B621,'Room Info'!$D$2:$D2446, 0)),IF(G621='Room Info'!$E$1, INDEX('Room Info'!$A$2:$A2446, MATCH(B621,'Room Info'!$E$2:$E2446, 0)),IF(G621='Room Info'!$F$1, INDEX('Room Info'!$A$2:$A2446, MATCH(B621,'Room Info'!$F$2:$F2446, 0)),IF(G621='Room Info'!$H$1, INDEX('Room Info'!$A$2:$A2446, MATCH(B621,'Room Info'!$H$2:$H2446, 0)),IF(G621='Room Info'!$G$1, INDEX('Room Info'!$A$2:$A2446, MATCH(B621,'Room Info'!$G$2:$G2446, 0)))))))))</f>
        <v>Berebka</v>
      </c>
      <c r="B621" s="45" t="s">
        <v>155</v>
      </c>
      <c r="C621" s="46">
        <v>44713</v>
      </c>
      <c r="D621" s="46">
        <v>44742</v>
      </c>
      <c r="E621" s="47">
        <v>44713</v>
      </c>
      <c r="F621" s="48" t="s">
        <v>49</v>
      </c>
      <c r="G621" s="45" t="s">
        <v>69</v>
      </c>
      <c r="H621" s="49" t="s">
        <v>122</v>
      </c>
      <c r="I621" s="49" t="s">
        <v>37</v>
      </c>
      <c r="J621" s="50">
        <v>3</v>
      </c>
      <c r="K621" s="51">
        <v>15</v>
      </c>
      <c r="L621" s="52">
        <v>33</v>
      </c>
      <c r="M621" s="62"/>
      <c r="N621" s="28">
        <f>K621*J621</f>
        <v>45</v>
      </c>
      <c r="O621" s="54">
        <v>3894</v>
      </c>
      <c r="P621" s="29">
        <v>259.60000000000002</v>
      </c>
      <c r="Q621" s="55"/>
      <c r="R621" s="31">
        <f>M621+Q621</f>
        <v>0</v>
      </c>
      <c r="S621" s="56">
        <v>18</v>
      </c>
      <c r="T621" s="32">
        <f>R621+S621+IF(F621="Without EV deal",L621,0)</f>
        <v>18</v>
      </c>
      <c r="U621" s="57">
        <v>1</v>
      </c>
      <c r="V621" s="58"/>
      <c r="W621" s="58"/>
      <c r="X621" s="78">
        <v>0.17</v>
      </c>
      <c r="Y621" s="30">
        <f>IF(AG621="None",0,IF(AG621="Fix5",0.05, IF(AG621="Fix6.25",0.0625,IF(AG621="Fix3.75",0.0375,IF(AG621="Fix10",0.1,IF(AG621="Fix3",0.03,0))))))</f>
        <v>0</v>
      </c>
      <c r="Z621" s="35">
        <f>T621-AA621-AB621</f>
        <v>15</v>
      </c>
      <c r="AA621" s="60">
        <v>3</v>
      </c>
      <c r="AB621" s="36">
        <f>IF(AD621="EUR",((T621-R621)*Y621)*U621+(R621*Y621),(T621*Y621))</f>
        <v>0</v>
      </c>
      <c r="AC621" s="37" t="b">
        <v>1</v>
      </c>
      <c r="AD621" s="61" t="s">
        <v>38</v>
      </c>
      <c r="AE621" s="83" t="s">
        <v>38</v>
      </c>
      <c r="AF621" s="37" t="str">
        <f t="array" ref="AF621">INDEX('Deal Info'!D:D, MATCH(A621,'Deal Info'!A:A, 0))</f>
        <v>DoEV</v>
      </c>
      <c r="AG621" s="38" t="str">
        <f t="array" ref="AG621">INDEX('Deal Info'!G:G, MATCH(A621,'Deal Info'!A:A, 0))</f>
        <v>None</v>
      </c>
    </row>
    <row r="622" spans="1:33" ht="14.25" hidden="1" x14ac:dyDescent="0.2">
      <c r="A622" s="18" t="str">
        <f t="array" ref="A622">IF(G622='Room Info'!$B$1, INDEX('Room Info'!$A$2:$A2446, MATCH(B622,'Room Info'!$B$2:$B2446, 0)),IF(G622='Room Info'!$C$1, INDEX('Room Info'!$A$2:$A2446, MATCH(B622,'Room Info'!$C$2:$C2446, 0)),IF(G622='Room Info'!$D$1, INDEX('Room Info'!$A$2:$A2446, MATCH(B622,'Room Info'!$D$2:$D2446, 0)),IF(G622='Room Info'!$E$1, INDEX('Room Info'!$A$2:$A2446, MATCH(B622,'Room Info'!$E$2:$E2446, 0)),IF(G622='Room Info'!$F$1, INDEX('Room Info'!$A$2:$A2446, MATCH(B622,'Room Info'!$F$2:$F2446, 0)),IF(G622='Room Info'!$H$1, INDEX('Room Info'!$A$2:$A2446, MATCH(B622,'Room Info'!$H$2:$H2446, 0)),IF(G622='Room Info'!$G$1, INDEX('Room Info'!$A$2:$A2446, MATCH(B622,'Room Info'!$G$2:$G2446, 0)))))))))</f>
        <v>Berebka</v>
      </c>
      <c r="B622" s="45" t="s">
        <v>155</v>
      </c>
      <c r="C622" s="46">
        <v>44713</v>
      </c>
      <c r="D622" s="46">
        <v>44742</v>
      </c>
      <c r="E622" s="47">
        <v>44713</v>
      </c>
      <c r="F622" s="48" t="s">
        <v>49</v>
      </c>
      <c r="G622" s="45" t="s">
        <v>69</v>
      </c>
      <c r="H622" s="49" t="s">
        <v>40</v>
      </c>
      <c r="I622" s="49" t="s">
        <v>37</v>
      </c>
      <c r="J622" s="50">
        <v>10</v>
      </c>
      <c r="K622" s="51">
        <v>1856</v>
      </c>
      <c r="L622" s="52">
        <v>620</v>
      </c>
      <c r="M622" s="53">
        <v>510</v>
      </c>
      <c r="N622" s="28">
        <f>K622*J622</f>
        <v>18560</v>
      </c>
      <c r="O622" s="54">
        <v>114738</v>
      </c>
      <c r="P622" s="29">
        <v>61.820043099999999</v>
      </c>
      <c r="Q622" s="55"/>
      <c r="R622" s="31">
        <f>M622+Q622</f>
        <v>510</v>
      </c>
      <c r="S622" s="56">
        <v>999</v>
      </c>
      <c r="T622" s="32">
        <f>R622+S622+IF(F622="Without EV deal",L622,0)</f>
        <v>1509</v>
      </c>
      <c r="U622" s="57">
        <v>1</v>
      </c>
      <c r="V622" s="58"/>
      <c r="W622" s="58"/>
      <c r="X622" s="78">
        <v>0.17</v>
      </c>
      <c r="Y622" s="30">
        <f>IF(AG622="None",0,IF(AG622="Fix5",0.05, IF(AG622="Fix6.25",0.0625,IF(AG622="Fix3.75",0.0375,IF(AG622="Fix10",0.1,IF(AG622="Fix3",0.03,0))))))</f>
        <v>0</v>
      </c>
      <c r="Z622" s="35">
        <f>T622-AA622-AB622</f>
        <v>1252</v>
      </c>
      <c r="AA622" s="60">
        <v>257</v>
      </c>
      <c r="AB622" s="36">
        <f>IF(AD622="EUR",((T622-R622)*Y622)*U622+(R622*Y622),(T622*Y622))</f>
        <v>0</v>
      </c>
      <c r="AC622" s="37" t="b">
        <v>1</v>
      </c>
      <c r="AD622" s="61" t="s">
        <v>38</v>
      </c>
      <c r="AE622" s="83" t="s">
        <v>38</v>
      </c>
      <c r="AF622" s="37" t="str">
        <f t="array" ref="AF622">INDEX('Deal Info'!D:D, MATCH(A622,'Deal Info'!A:A, 0))</f>
        <v>DoEV</v>
      </c>
      <c r="AG622" s="38" t="str">
        <f t="array" ref="AG622">INDEX('Deal Info'!G:G, MATCH(A622,'Deal Info'!A:A, 0))</f>
        <v>None</v>
      </c>
    </row>
    <row r="623" spans="1:33" ht="14.25" hidden="1" x14ac:dyDescent="0.2">
      <c r="A623" s="18" t="str">
        <f t="array" ref="A623">IF(G623='Room Info'!$B$1, INDEX('Room Info'!$A$2:$A2446, MATCH(B623,'Room Info'!$B$2:$B2446, 0)),IF(G623='Room Info'!$C$1, INDEX('Room Info'!$A$2:$A2446, MATCH(B623,'Room Info'!$C$2:$C2446, 0)),IF(G623='Room Info'!$D$1, INDEX('Room Info'!$A$2:$A2446, MATCH(B623,'Room Info'!$D$2:$D2446, 0)),IF(G623='Room Info'!$E$1, INDEX('Room Info'!$A$2:$A2446, MATCH(B623,'Room Info'!$E$2:$E2446, 0)),IF(G623='Room Info'!$F$1, INDEX('Room Info'!$A$2:$A2446, MATCH(B623,'Room Info'!$F$2:$F2446, 0)),IF(G623='Room Info'!$H$1, INDEX('Room Info'!$A$2:$A2446, MATCH(B623,'Room Info'!$H$2:$H2446, 0)),IF(G623='Room Info'!$G$1, INDEX('Room Info'!$A$2:$A2446, MATCH(B623,'Room Info'!$G$2:$G2446, 0)))))))))</f>
        <v>Berebka</v>
      </c>
      <c r="B623" s="45" t="s">
        <v>155</v>
      </c>
      <c r="C623" s="46">
        <v>44743</v>
      </c>
      <c r="D623" s="46">
        <v>44773</v>
      </c>
      <c r="E623" s="47">
        <v>44743</v>
      </c>
      <c r="F623" s="48" t="s">
        <v>49</v>
      </c>
      <c r="G623" s="45" t="s">
        <v>35</v>
      </c>
      <c r="H623" s="49" t="s">
        <v>39</v>
      </c>
      <c r="I623" s="49" t="s">
        <v>37</v>
      </c>
      <c r="J623" s="50">
        <v>5</v>
      </c>
      <c r="K623" s="51">
        <v>398</v>
      </c>
      <c r="L623" s="52">
        <v>160</v>
      </c>
      <c r="M623" s="53">
        <v>149</v>
      </c>
      <c r="N623" s="28">
        <f>K623*J623</f>
        <v>1990</v>
      </c>
      <c r="O623" s="54">
        <v>28638</v>
      </c>
      <c r="P623" s="29">
        <v>71.954773869999997</v>
      </c>
      <c r="Q623" s="55"/>
      <c r="R623" s="31">
        <f>M623+Q623</f>
        <v>149</v>
      </c>
      <c r="S623" s="56">
        <v>88</v>
      </c>
      <c r="T623" s="32">
        <f>R623+S623+IF(F623="Without EV deal",L623,0)</f>
        <v>237</v>
      </c>
      <c r="U623" s="57">
        <v>1</v>
      </c>
      <c r="V623" s="58"/>
      <c r="W623" s="58"/>
      <c r="X623" s="78">
        <v>0.17</v>
      </c>
      <c r="Y623" s="30">
        <f>IF(AG623="None",0,IF(AG623="Fix5",0.05, IF(AG623="Fix6.25",0.0625,IF(AG623="Fix3.75",0.0375,IF(AG623="Fix10",0.1,IF(AG623="Fix3",0.03,0))))))</f>
        <v>0</v>
      </c>
      <c r="Z623" s="35">
        <f>T623-AA623-AB623</f>
        <v>197</v>
      </c>
      <c r="AA623" s="60">
        <v>40</v>
      </c>
      <c r="AB623" s="36">
        <f>IF(AD623="EUR",((T623-R623)*Y623)*U623+(R623*Y623),(T623*Y623))</f>
        <v>0</v>
      </c>
      <c r="AC623" s="37" t="b">
        <v>1</v>
      </c>
      <c r="AD623" s="61" t="s">
        <v>38</v>
      </c>
      <c r="AE623" s="83" t="s">
        <v>38</v>
      </c>
      <c r="AF623" s="37" t="str">
        <f t="array" ref="AF623">INDEX('Deal Info'!D:D, MATCH(A623,'Deal Info'!A:A, 0))</f>
        <v>DoEV</v>
      </c>
      <c r="AG623" s="38" t="str">
        <f t="array" ref="AG623">INDEX('Deal Info'!G:G, MATCH(A623,'Deal Info'!A:A, 0))</f>
        <v>None</v>
      </c>
    </row>
    <row r="624" spans="1:33" ht="14.25" hidden="1" x14ac:dyDescent="0.2">
      <c r="A624" s="18" t="str">
        <f t="array" ref="A624">IF(G624='Room Info'!$B$1, INDEX('Room Info'!$A$2:$A2446, MATCH(B624,'Room Info'!$B$2:$B2446, 0)),IF(G624='Room Info'!$C$1, INDEX('Room Info'!$A$2:$A2446, MATCH(B624,'Room Info'!$C$2:$C2446, 0)),IF(G624='Room Info'!$D$1, INDEX('Room Info'!$A$2:$A2446, MATCH(B624,'Room Info'!$D$2:$D2446, 0)),IF(G624='Room Info'!$E$1, INDEX('Room Info'!$A$2:$A2446, MATCH(B624,'Room Info'!$E$2:$E2446, 0)),IF(G624='Room Info'!$F$1, INDEX('Room Info'!$A$2:$A2446, MATCH(B624,'Room Info'!$F$2:$F2446, 0)),IF(G624='Room Info'!$H$1, INDEX('Room Info'!$A$2:$A2446, MATCH(B624,'Room Info'!$H$2:$H2446, 0)),IF(G624='Room Info'!$G$1, INDEX('Room Info'!$A$2:$A2446, MATCH(B624,'Room Info'!$G$2:$G2446, 0)))))))))</f>
        <v>Berebka</v>
      </c>
      <c r="B624" s="45" t="s">
        <v>155</v>
      </c>
      <c r="C624" s="46">
        <v>44743</v>
      </c>
      <c r="D624" s="46">
        <v>44773</v>
      </c>
      <c r="E624" s="47">
        <v>44743</v>
      </c>
      <c r="F624" s="48" t="s">
        <v>49</v>
      </c>
      <c r="G624" s="45" t="s">
        <v>35</v>
      </c>
      <c r="H624" s="49" t="s">
        <v>40</v>
      </c>
      <c r="I624" s="49" t="s">
        <v>37</v>
      </c>
      <c r="J624" s="50">
        <v>10</v>
      </c>
      <c r="K624" s="51">
        <v>493</v>
      </c>
      <c r="L624" s="52">
        <v>90</v>
      </c>
      <c r="M624" s="53">
        <v>69</v>
      </c>
      <c r="N624" s="28">
        <f>K624*J624</f>
        <v>4930</v>
      </c>
      <c r="O624" s="54">
        <v>19214</v>
      </c>
      <c r="P624" s="29">
        <v>38.973630829999998</v>
      </c>
      <c r="Q624" s="55"/>
      <c r="R624" s="31">
        <f>M624+Q624</f>
        <v>69</v>
      </c>
      <c r="S624" s="56">
        <v>-2</v>
      </c>
      <c r="T624" s="32">
        <f>R624+S624+IF(F624="Without EV deal",L624,0)</f>
        <v>67</v>
      </c>
      <c r="U624" s="57">
        <v>1</v>
      </c>
      <c r="V624" s="58"/>
      <c r="W624" s="58"/>
      <c r="X624" s="78">
        <v>0.17</v>
      </c>
      <c r="Y624" s="30">
        <f>IF(AG624="None",0,IF(AG624="Fix5",0.05, IF(AG624="Fix6.25",0.0625,IF(AG624="Fix3.75",0.0375,IF(AG624="Fix10",0.1,IF(AG624="Fix3",0.03,0))))))</f>
        <v>0</v>
      </c>
      <c r="Z624" s="35">
        <f>T624-AA624-AB624</f>
        <v>56</v>
      </c>
      <c r="AA624" s="60">
        <v>11</v>
      </c>
      <c r="AB624" s="36">
        <f>IF(AD624="EUR",((T624-R624)*Y624)*U624+(R624*Y624),(T624*Y624))</f>
        <v>0</v>
      </c>
      <c r="AC624" s="37" t="b">
        <v>1</v>
      </c>
      <c r="AD624" s="61" t="s">
        <v>38</v>
      </c>
      <c r="AE624" s="83" t="s">
        <v>38</v>
      </c>
      <c r="AF624" s="37" t="str">
        <f t="array" ref="AF624">INDEX('Deal Info'!D:D, MATCH(A624,'Deal Info'!A:A, 0))</f>
        <v>DoEV</v>
      </c>
      <c r="AG624" s="38" t="str">
        <f t="array" ref="AG624">INDEX('Deal Info'!G:G, MATCH(A624,'Deal Info'!A:A, 0))</f>
        <v>None</v>
      </c>
    </row>
    <row r="625" spans="1:33" ht="14.25" hidden="1" x14ac:dyDescent="0.2">
      <c r="A625" s="18" t="str">
        <f t="array" ref="A625">IF(G625='Room Info'!$B$1, INDEX('Room Info'!$A$2:$A2446, MATCH(B625,'Room Info'!$B$2:$B2446, 0)),IF(G625='Room Info'!$C$1, INDEX('Room Info'!$A$2:$A2446, MATCH(B625,'Room Info'!$C$2:$C2446, 0)),IF(G625='Room Info'!$D$1, INDEX('Room Info'!$A$2:$A2446, MATCH(B625,'Room Info'!$D$2:$D2446, 0)),IF(G625='Room Info'!$E$1, INDEX('Room Info'!$A$2:$A2446, MATCH(B625,'Room Info'!$E$2:$E2446, 0)),IF(G625='Room Info'!$F$1, INDEX('Room Info'!$A$2:$A2446, MATCH(B625,'Room Info'!$F$2:$F2446, 0)),IF(G625='Room Info'!$H$1, INDEX('Room Info'!$A$2:$A2446, MATCH(B625,'Room Info'!$H$2:$H2446, 0)),IF(G625='Room Info'!$G$1, INDEX('Room Info'!$A$2:$A2446, MATCH(B625,'Room Info'!$G$2:$G2446, 0)))))))))</f>
        <v>Berebka</v>
      </c>
      <c r="B625" s="45" t="s">
        <v>155</v>
      </c>
      <c r="C625" s="46">
        <v>44743</v>
      </c>
      <c r="D625" s="46">
        <v>44773</v>
      </c>
      <c r="E625" s="47">
        <v>44743</v>
      </c>
      <c r="F625" s="48" t="s">
        <v>49</v>
      </c>
      <c r="G625" s="45" t="s">
        <v>69</v>
      </c>
      <c r="H625" s="49" t="s">
        <v>40</v>
      </c>
      <c r="I625" s="49" t="s">
        <v>37</v>
      </c>
      <c r="J625" s="50">
        <v>10</v>
      </c>
      <c r="K625" s="51">
        <v>673</v>
      </c>
      <c r="L625" s="52">
        <v>1750</v>
      </c>
      <c r="M625" s="53">
        <v>350</v>
      </c>
      <c r="N625" s="28">
        <f>K625*J625</f>
        <v>6730</v>
      </c>
      <c r="O625" s="54">
        <v>29057</v>
      </c>
      <c r="P625" s="29">
        <v>43.175334319999997</v>
      </c>
      <c r="Q625" s="55"/>
      <c r="R625" s="31">
        <f>M625+Q625</f>
        <v>350</v>
      </c>
      <c r="S625" s="56">
        <v>108</v>
      </c>
      <c r="T625" s="32">
        <f>R625+S625+IF(F625="Without EV deal",L625,0)</f>
        <v>458</v>
      </c>
      <c r="U625" s="57">
        <v>1</v>
      </c>
      <c r="V625" s="58"/>
      <c r="W625" s="58"/>
      <c r="X625" s="78">
        <v>0.17</v>
      </c>
      <c r="Y625" s="30">
        <f>IF(AG625="None",0,IF(AG625="Fix5",0.05, IF(AG625="Fix6.25",0.0625,IF(AG625="Fix3.75",0.0375,IF(AG625="Fix10",0.1,IF(AG625="Fix3",0.03,0))))))</f>
        <v>0</v>
      </c>
      <c r="Z625" s="35">
        <f>T625-AA625-AB625</f>
        <v>380</v>
      </c>
      <c r="AA625" s="60">
        <v>78</v>
      </c>
      <c r="AB625" s="36">
        <f>IF(AD625="EUR",((T625-R625)*Y625)*U625+(R625*Y625),(T625*Y625))</f>
        <v>0</v>
      </c>
      <c r="AC625" s="37" t="b">
        <v>1</v>
      </c>
      <c r="AD625" s="61" t="s">
        <v>38</v>
      </c>
      <c r="AE625" s="83" t="s">
        <v>38</v>
      </c>
      <c r="AF625" s="37" t="str">
        <f t="array" ref="AF625">INDEX('Deal Info'!D:D, MATCH(A625,'Deal Info'!A:A, 0))</f>
        <v>DoEV</v>
      </c>
      <c r="AG625" s="38" t="str">
        <f t="array" ref="AG625">INDEX('Deal Info'!G:G, MATCH(A625,'Deal Info'!A:A, 0))</f>
        <v>None</v>
      </c>
    </row>
    <row r="626" spans="1:33" ht="14.25" hidden="1" x14ac:dyDescent="0.2">
      <c r="A626" s="18" t="str">
        <f t="array" ref="A626">IF(G626='Room Info'!$B$1, INDEX('Room Info'!$A$2:$A2446, MATCH(B626,'Room Info'!$B$2:$B2446, 0)),IF(G626='Room Info'!$C$1, INDEX('Room Info'!$A$2:$A2446, MATCH(B626,'Room Info'!$C$2:$C2446, 0)),IF(G626='Room Info'!$D$1, INDEX('Room Info'!$A$2:$A2446, MATCH(B626,'Room Info'!$D$2:$D2446, 0)),IF(G626='Room Info'!$E$1, INDEX('Room Info'!$A$2:$A2446, MATCH(B626,'Room Info'!$E$2:$E2446, 0)),IF(G626='Room Info'!$F$1, INDEX('Room Info'!$A$2:$A2446, MATCH(B626,'Room Info'!$F$2:$F2446, 0)),IF(G626='Room Info'!$H$1, INDEX('Room Info'!$A$2:$A2446, MATCH(B626,'Room Info'!$H$2:$H2446, 0)),IF(G626='Room Info'!$G$1, INDEX('Room Info'!$A$2:$A2446, MATCH(B626,'Room Info'!$G$2:$G2446, 0)))))))))</f>
        <v>Berebka</v>
      </c>
      <c r="B626" s="45" t="s">
        <v>155</v>
      </c>
      <c r="C626" s="46">
        <v>44773</v>
      </c>
      <c r="D626" s="46">
        <v>44773</v>
      </c>
      <c r="E626" s="47">
        <v>44743</v>
      </c>
      <c r="F626" s="48" t="s">
        <v>49</v>
      </c>
      <c r="G626" s="45" t="s">
        <v>69</v>
      </c>
      <c r="H626" s="49" t="s">
        <v>40</v>
      </c>
      <c r="I626" s="49" t="s">
        <v>37</v>
      </c>
      <c r="J626" s="50">
        <v>10</v>
      </c>
      <c r="K626" s="51">
        <v>97</v>
      </c>
      <c r="L626" s="52">
        <v>10</v>
      </c>
      <c r="M626" s="53">
        <v>13</v>
      </c>
      <c r="N626" s="28">
        <f>K626*J626</f>
        <v>970</v>
      </c>
      <c r="O626" s="54">
        <v>4410</v>
      </c>
      <c r="P626" s="29">
        <v>45.463917530000003</v>
      </c>
      <c r="Q626" s="55"/>
      <c r="R626" s="31">
        <f>M626+Q626</f>
        <v>13</v>
      </c>
      <c r="S626" s="56">
        <v>20</v>
      </c>
      <c r="T626" s="32">
        <f>R626+S626+IF(F626="Without EV deal",L626,0)</f>
        <v>33</v>
      </c>
      <c r="U626" s="57">
        <v>1</v>
      </c>
      <c r="V626" s="58"/>
      <c r="W626" s="58"/>
      <c r="X626" s="78">
        <v>0.17</v>
      </c>
      <c r="Y626" s="30">
        <f>IF(AG626="None",0,IF(AG626="Fix5",0.05, IF(AG626="Fix6.25",0.0625,IF(AG626="Fix3.75",0.0375,IF(AG626="Fix10",0.1,IF(AG626="Fix3",0.03,0))))))</f>
        <v>0</v>
      </c>
      <c r="Z626" s="35">
        <f>T626-AA626-AB626</f>
        <v>27</v>
      </c>
      <c r="AA626" s="60">
        <v>6</v>
      </c>
      <c r="AB626" s="36">
        <f>IF(AD626="EUR",((T626-R626)*Y626)*U626+(R626*Y626),(T626*Y626))</f>
        <v>0</v>
      </c>
      <c r="AC626" s="37" t="b">
        <v>1</v>
      </c>
      <c r="AD626" s="61" t="s">
        <v>38</v>
      </c>
      <c r="AE626" s="83" t="s">
        <v>38</v>
      </c>
      <c r="AF626" s="37" t="str">
        <f t="array" ref="AF626">INDEX('Deal Info'!D:D, MATCH(A626,'Deal Info'!A:A, 0))</f>
        <v>DoEV</v>
      </c>
      <c r="AG626" s="38" t="str">
        <f t="array" ref="AG626">INDEX('Deal Info'!G:G, MATCH(A626,'Deal Info'!A:A, 0))</f>
        <v>None</v>
      </c>
    </row>
    <row r="627" spans="1:33" ht="14.25" hidden="1" x14ac:dyDescent="0.2">
      <c r="A627" s="18" t="str">
        <f t="array" ref="A627">IF(G627='Room Info'!$B$1, INDEX('Room Info'!$A$2:$A2446, MATCH(B627,'Room Info'!$B$2:$B2446, 0)),IF(G627='Room Info'!$C$1, INDEX('Room Info'!$A$2:$A2446, MATCH(B627,'Room Info'!$C$2:$C2446, 0)),IF(G627='Room Info'!$D$1, INDEX('Room Info'!$A$2:$A2446, MATCH(B627,'Room Info'!$D$2:$D2446, 0)),IF(G627='Room Info'!$E$1, INDEX('Room Info'!$A$2:$A2446, MATCH(B627,'Room Info'!$E$2:$E2446, 0)),IF(G627='Room Info'!$F$1, INDEX('Room Info'!$A$2:$A2446, MATCH(B627,'Room Info'!$F$2:$F2446, 0)),IF(G627='Room Info'!$H$1, INDEX('Room Info'!$A$2:$A2446, MATCH(B627,'Room Info'!$H$2:$H2446, 0)),IF(G627='Room Info'!$G$1, INDEX('Room Info'!$A$2:$A2446, MATCH(B627,'Room Info'!$G$2:$G2446, 0)))))))))</f>
        <v>Berebka</v>
      </c>
      <c r="B627" s="54" t="s">
        <v>155</v>
      </c>
      <c r="C627" s="46">
        <v>44774</v>
      </c>
      <c r="D627" s="46">
        <v>44804</v>
      </c>
      <c r="E627" s="47">
        <v>44774</v>
      </c>
      <c r="F627" s="48" t="s">
        <v>49</v>
      </c>
      <c r="G627" s="54" t="s">
        <v>35</v>
      </c>
      <c r="H627" s="49" t="s">
        <v>39</v>
      </c>
      <c r="I627" s="49" t="s">
        <v>37</v>
      </c>
      <c r="J627" s="50">
        <v>5</v>
      </c>
      <c r="K627" s="51">
        <v>183</v>
      </c>
      <c r="L627" s="52">
        <v>-25</v>
      </c>
      <c r="M627" s="53">
        <v>48</v>
      </c>
      <c r="N627" s="28">
        <f>K627*J627</f>
        <v>915</v>
      </c>
      <c r="O627" s="54">
        <v>5349</v>
      </c>
      <c r="P627" s="29">
        <v>29.229508200000001</v>
      </c>
      <c r="Q627" s="55"/>
      <c r="R627" s="31">
        <f>M627+Q627</f>
        <v>48</v>
      </c>
      <c r="S627" s="56">
        <v>-33</v>
      </c>
      <c r="T627" s="32">
        <f>R627+S627+IF(F627="Without EV deal",L627,0)</f>
        <v>15</v>
      </c>
      <c r="U627" s="57">
        <v>1</v>
      </c>
      <c r="V627" s="58"/>
      <c r="W627" s="58"/>
      <c r="X627" s="78">
        <v>0.17</v>
      </c>
      <c r="Y627" s="30">
        <f>IF(AG627="None",0,IF(AG627="Fix5",0.05, IF(AG627="Fix6.25",0.0625,IF(AG627="Fix3.75",0.0375,IF(AG627="Fix10",0.1,IF(AG627="Fix3",0.03,0))))))</f>
        <v>0</v>
      </c>
      <c r="Z627" s="35">
        <f>T627-AA627-AB627</f>
        <v>12</v>
      </c>
      <c r="AA627" s="60">
        <v>3</v>
      </c>
      <c r="AB627" s="36">
        <f>IF(AD627="EUR",((T627-R627)*Y627)*U627+(R627*Y627),(T627*Y627))</f>
        <v>0</v>
      </c>
      <c r="AC627" s="37" t="b">
        <v>1</v>
      </c>
      <c r="AD627" s="61" t="s">
        <v>38</v>
      </c>
      <c r="AE627" s="83" t="s">
        <v>38</v>
      </c>
      <c r="AF627" s="37" t="str">
        <f t="array" ref="AF627">INDEX('Deal Info'!D:D, MATCH(A627,'Deal Info'!A:A, 0))</f>
        <v>DoEV</v>
      </c>
      <c r="AG627" s="38" t="str">
        <f t="array" ref="AG627">INDEX('Deal Info'!G:G, MATCH(A627,'Deal Info'!A:A, 0))</f>
        <v>None</v>
      </c>
    </row>
    <row r="628" spans="1:33" ht="14.25" hidden="1" x14ac:dyDescent="0.2">
      <c r="A628" s="18" t="str">
        <f t="array" ref="A628">IF(G628='Room Info'!$B$1, INDEX('Room Info'!$A$2:$A2446, MATCH(B628,'Room Info'!$B$2:$B2446, 0)),IF(G628='Room Info'!$C$1, INDEX('Room Info'!$A$2:$A2446, MATCH(B628,'Room Info'!$C$2:$C2446, 0)),IF(G628='Room Info'!$D$1, INDEX('Room Info'!$A$2:$A2446, MATCH(B628,'Room Info'!$D$2:$D2446, 0)),IF(G628='Room Info'!$E$1, INDEX('Room Info'!$A$2:$A2446, MATCH(B628,'Room Info'!$E$2:$E2446, 0)),IF(G628='Room Info'!$F$1, INDEX('Room Info'!$A$2:$A2446, MATCH(B628,'Room Info'!$F$2:$F2446, 0)),IF(G628='Room Info'!$H$1, INDEX('Room Info'!$A$2:$A2446, MATCH(B628,'Room Info'!$H$2:$H2446, 0)),IF(G628='Room Info'!$G$1, INDEX('Room Info'!$A$2:$A2446, MATCH(B628,'Room Info'!$G$2:$G2446, 0)))))))))</f>
        <v>Berebka</v>
      </c>
      <c r="B628" s="54" t="s">
        <v>155</v>
      </c>
      <c r="C628" s="46">
        <v>44774</v>
      </c>
      <c r="D628" s="46">
        <v>44804</v>
      </c>
      <c r="E628" s="47">
        <v>44774</v>
      </c>
      <c r="F628" s="48" t="s">
        <v>49</v>
      </c>
      <c r="G628" s="54" t="s">
        <v>35</v>
      </c>
      <c r="H628" s="49" t="s">
        <v>40</v>
      </c>
      <c r="I628" s="49" t="s">
        <v>37</v>
      </c>
      <c r="J628" s="50">
        <v>10</v>
      </c>
      <c r="K628" s="51">
        <v>1864</v>
      </c>
      <c r="L628" s="52">
        <v>190</v>
      </c>
      <c r="M628" s="53">
        <v>856</v>
      </c>
      <c r="N628" s="28">
        <f>K628*J628</f>
        <v>18640</v>
      </c>
      <c r="O628" s="54">
        <v>94085</v>
      </c>
      <c r="P628" s="29">
        <v>50.474785410000003</v>
      </c>
      <c r="Q628" s="55"/>
      <c r="R628" s="31">
        <f>M628+Q628</f>
        <v>856</v>
      </c>
      <c r="S628" s="56">
        <v>333</v>
      </c>
      <c r="T628" s="32">
        <f>R628+S628+IF(F628="Without EV deal",L628,0)</f>
        <v>1189</v>
      </c>
      <c r="U628" s="57">
        <v>1</v>
      </c>
      <c r="V628" s="58"/>
      <c r="W628" s="58"/>
      <c r="X628" s="78">
        <v>0.3</v>
      </c>
      <c r="Y628" s="30">
        <f>IF(AG628="None",0,IF(AG628="Fix5",0.05, IF(AG628="Fix6.25",0.0625,IF(AG628="Fix3.75",0.0375,IF(AG628="Fix10",0.1,IF(AG628="Fix3",0.03,0))))))</f>
        <v>0</v>
      </c>
      <c r="Z628" s="35">
        <f>T628-AA628-AB628</f>
        <v>987</v>
      </c>
      <c r="AA628" s="60">
        <v>202</v>
      </c>
      <c r="AB628" s="36">
        <f>IF(AD628="EUR",((T628-R628)*Y628)*U628+(R628*Y628),(T628*Y628))</f>
        <v>0</v>
      </c>
      <c r="AC628" s="37" t="b">
        <v>1</v>
      </c>
      <c r="AD628" s="61" t="s">
        <v>38</v>
      </c>
      <c r="AE628" s="83" t="s">
        <v>38</v>
      </c>
      <c r="AF628" s="37" t="str">
        <f t="array" ref="AF628">INDEX('Deal Info'!D:D, MATCH(A628,'Deal Info'!A:A, 0))</f>
        <v>DoEV</v>
      </c>
      <c r="AG628" s="38" t="str">
        <f t="array" ref="AG628">INDEX('Deal Info'!G:G, MATCH(A628,'Deal Info'!A:A, 0))</f>
        <v>None</v>
      </c>
    </row>
    <row r="629" spans="1:33" ht="14.25" hidden="1" x14ac:dyDescent="0.2">
      <c r="A629" s="18" t="str">
        <f t="array" ref="A629">IF(G629='Room Info'!$B$1, INDEX('Room Info'!$A$2:$A2446, MATCH(B629,'Room Info'!$B$2:$B2446, 0)),IF(G629='Room Info'!$C$1, INDEX('Room Info'!$A$2:$A2446, MATCH(B629,'Room Info'!$C$2:$C2446, 0)),IF(G629='Room Info'!$D$1, INDEX('Room Info'!$A$2:$A2446, MATCH(B629,'Room Info'!$D$2:$D2446, 0)),IF(G629='Room Info'!$E$1, INDEX('Room Info'!$A$2:$A2446, MATCH(B629,'Room Info'!$E$2:$E2446, 0)),IF(G629='Room Info'!$F$1, INDEX('Room Info'!$A$2:$A2446, MATCH(B629,'Room Info'!$F$2:$F2446, 0)),IF(G629='Room Info'!$H$1, INDEX('Room Info'!$A$2:$A2446, MATCH(B629,'Room Info'!$H$2:$H2446, 0)),IF(G629='Room Info'!$G$1, INDEX('Room Info'!$A$2:$A2446, MATCH(B629,'Room Info'!$G$2:$G2446, 0)))))))))</f>
        <v>Berebka</v>
      </c>
      <c r="B629" s="54" t="s">
        <v>155</v>
      </c>
      <c r="C629" s="46">
        <v>44805</v>
      </c>
      <c r="D629" s="46">
        <v>44834</v>
      </c>
      <c r="E629" s="47">
        <v>44805</v>
      </c>
      <c r="F629" s="48" t="s">
        <v>49</v>
      </c>
      <c r="G629" s="54" t="s">
        <v>35</v>
      </c>
      <c r="H629" s="49" t="s">
        <v>39</v>
      </c>
      <c r="I629" s="49" t="s">
        <v>37</v>
      </c>
      <c r="J629" s="50">
        <v>5</v>
      </c>
      <c r="K629" s="51">
        <v>274</v>
      </c>
      <c r="L629" s="52">
        <v>-20</v>
      </c>
      <c r="M629" s="53">
        <v>36</v>
      </c>
      <c r="N629" s="28">
        <f>K629*J629</f>
        <v>1370</v>
      </c>
      <c r="O629" s="54">
        <v>13794</v>
      </c>
      <c r="P629" s="29">
        <v>50.343065690000003</v>
      </c>
      <c r="Q629" s="55"/>
      <c r="R629" s="31">
        <f>M629+Q629</f>
        <v>36</v>
      </c>
      <c r="S629" s="56">
        <v>10</v>
      </c>
      <c r="T629" s="32">
        <f>R629+S629+IF(F629="Without EV deal",L629,0)</f>
        <v>46</v>
      </c>
      <c r="U629" s="57">
        <v>1</v>
      </c>
      <c r="V629" s="58"/>
      <c r="W629" s="58"/>
      <c r="X629" s="78">
        <v>0.3</v>
      </c>
      <c r="Y629" s="30">
        <f>IF(AG629="None",0,IF(AG629="Fix5",0.05, IF(AG629="Fix6.25",0.0625,IF(AG629="Fix3.75",0.0375,IF(AG629="Fix10",0.1,IF(AG629="Fix3",0.03,0))))))</f>
        <v>0</v>
      </c>
      <c r="Z629" s="35">
        <f>T629-AA629-AB629</f>
        <v>32</v>
      </c>
      <c r="AA629" s="60">
        <v>14</v>
      </c>
      <c r="AB629" s="36">
        <f>IF(AD629="EUR",((T629-R629)*Y629)*U629+(R629*Y629),(T629*Y629))</f>
        <v>0</v>
      </c>
      <c r="AC629" s="37" t="b">
        <v>1</v>
      </c>
      <c r="AD629" s="61" t="s">
        <v>38</v>
      </c>
      <c r="AE629" s="83" t="s">
        <v>38</v>
      </c>
      <c r="AF629" s="37" t="str">
        <f t="array" ref="AF629">INDEX('Deal Info'!D:D, MATCH(A629,'Deal Info'!A:A, 0))</f>
        <v>DoEV</v>
      </c>
      <c r="AG629" s="38" t="str">
        <f t="array" ref="AG629">INDEX('Deal Info'!G:G, MATCH(A629,'Deal Info'!A:A, 0))</f>
        <v>None</v>
      </c>
    </row>
    <row r="630" spans="1:33" ht="14.25" hidden="1" x14ac:dyDescent="0.2">
      <c r="A630" s="18" t="str">
        <f t="array" ref="A630">IF(G630='Room Info'!$B$1, INDEX('Room Info'!$A$2:$A2446, MATCH(B630,'Room Info'!$B$2:$B2446, 0)),IF(G630='Room Info'!$C$1, INDEX('Room Info'!$A$2:$A2446, MATCH(B630,'Room Info'!$C$2:$C2446, 0)),IF(G630='Room Info'!$D$1, INDEX('Room Info'!$A$2:$A2446, MATCH(B630,'Room Info'!$D$2:$D2446, 0)),IF(G630='Room Info'!$E$1, INDEX('Room Info'!$A$2:$A2446, MATCH(B630,'Room Info'!$E$2:$E2446, 0)),IF(G630='Room Info'!$F$1, INDEX('Room Info'!$A$2:$A2446, MATCH(B630,'Room Info'!$F$2:$F2446, 0)),IF(G630='Room Info'!$H$1, INDEX('Room Info'!$A$2:$A2446, MATCH(B630,'Room Info'!$H$2:$H2446, 0)),IF(G630='Room Info'!$G$1, INDEX('Room Info'!$A$2:$A2446, MATCH(B630,'Room Info'!$G$2:$G2446, 0)))))))))</f>
        <v>Berebka</v>
      </c>
      <c r="B630" s="45" t="s">
        <v>155</v>
      </c>
      <c r="C630" s="46">
        <v>44805</v>
      </c>
      <c r="D630" s="46">
        <v>44834</v>
      </c>
      <c r="E630" s="47">
        <v>44805</v>
      </c>
      <c r="F630" s="48" t="s">
        <v>49</v>
      </c>
      <c r="G630" s="45" t="s">
        <v>35</v>
      </c>
      <c r="H630" s="49" t="s">
        <v>40</v>
      </c>
      <c r="I630" s="49" t="s">
        <v>37</v>
      </c>
      <c r="J630" s="50">
        <v>10</v>
      </c>
      <c r="K630" s="51">
        <v>2856</v>
      </c>
      <c r="L630" s="52">
        <v>-1300</v>
      </c>
      <c r="M630" s="53">
        <v>655</v>
      </c>
      <c r="N630" s="28">
        <f>K630*J630</f>
        <v>28560</v>
      </c>
      <c r="O630" s="54">
        <v>81431</v>
      </c>
      <c r="P630" s="29">
        <v>28.512254899999999</v>
      </c>
      <c r="Q630" s="55"/>
      <c r="R630" s="31">
        <f>M630+Q630</f>
        <v>655</v>
      </c>
      <c r="S630" s="56">
        <v>-496</v>
      </c>
      <c r="T630" s="32">
        <f>R630+S630+IF(F630="Without EV deal",L630,0)</f>
        <v>159</v>
      </c>
      <c r="U630" s="57">
        <v>1</v>
      </c>
      <c r="V630" s="58"/>
      <c r="W630" s="58"/>
      <c r="X630" s="78">
        <v>0.3</v>
      </c>
      <c r="Y630" s="30">
        <f>IF(AG630="None",0,IF(AG630="Fix5",0.05, IF(AG630="Fix6.25",0.0625,IF(AG630="Fix3.75",0.0375,IF(AG630="Fix10",0.1,IF(AG630="Fix3",0.03,0))))))</f>
        <v>0</v>
      </c>
      <c r="Z630" s="35">
        <f>T630-AA630-AB630</f>
        <v>111</v>
      </c>
      <c r="AA630" s="60">
        <v>48</v>
      </c>
      <c r="AB630" s="36">
        <f>IF(AD630="EUR",((T630-R630)*Y630)*U630+(R630*Y630),(T630*Y630))</f>
        <v>0</v>
      </c>
      <c r="AC630" s="37" t="b">
        <v>1</v>
      </c>
      <c r="AD630" s="61" t="s">
        <v>38</v>
      </c>
      <c r="AE630" s="83" t="s">
        <v>38</v>
      </c>
      <c r="AF630" s="37" t="str">
        <f t="array" ref="AF630">INDEX('Deal Info'!D:D, MATCH(A630,'Deal Info'!A:A, 0))</f>
        <v>DoEV</v>
      </c>
      <c r="AG630" s="38" t="str">
        <f t="array" ref="AG630">INDEX('Deal Info'!G:G, MATCH(A630,'Deal Info'!A:A, 0))</f>
        <v>None</v>
      </c>
    </row>
    <row r="631" spans="1:33" ht="14.25" hidden="1" x14ac:dyDescent="0.2">
      <c r="A631" s="18" t="str">
        <f t="array" ref="A631">IF(G631='Room Info'!$B$1, INDEX('Room Info'!$A$2:$A2446, MATCH(B631,'Room Info'!$B$2:$B2446, 0)),IF(G631='Room Info'!$C$1, INDEX('Room Info'!$A$2:$A2446, MATCH(B631,'Room Info'!$C$2:$C2446, 0)),IF(G631='Room Info'!$D$1, INDEX('Room Info'!$A$2:$A2446, MATCH(B631,'Room Info'!$D$2:$D2446, 0)),IF(G631='Room Info'!$E$1, INDEX('Room Info'!$A$2:$A2446, MATCH(B631,'Room Info'!$E$2:$E2446, 0)),IF(G631='Room Info'!$F$1, INDEX('Room Info'!$A$2:$A2446, MATCH(B631,'Room Info'!$F$2:$F2446, 0)),IF(G631='Room Info'!$H$1, INDEX('Room Info'!$A$2:$A2446, MATCH(B631,'Room Info'!$H$2:$H2446, 0)),IF(G631='Room Info'!$G$1, INDEX('Room Info'!$A$2:$A2446, MATCH(B631,'Room Info'!$G$2:$G2446, 0)))))))))</f>
        <v>Berebka</v>
      </c>
      <c r="B631" s="45" t="s">
        <v>155</v>
      </c>
      <c r="C631" s="46">
        <v>44805</v>
      </c>
      <c r="D631" s="46">
        <v>44834</v>
      </c>
      <c r="E631" s="47">
        <v>44805</v>
      </c>
      <c r="F631" s="45" t="s">
        <v>49</v>
      </c>
      <c r="G631" s="54" t="s">
        <v>35</v>
      </c>
      <c r="H631" s="49" t="s">
        <v>46</v>
      </c>
      <c r="I631" s="49" t="s">
        <v>37</v>
      </c>
      <c r="J631" s="50">
        <v>25</v>
      </c>
      <c r="K631" s="51">
        <v>277</v>
      </c>
      <c r="L631" s="52">
        <v>25</v>
      </c>
      <c r="M631" s="53">
        <v>136</v>
      </c>
      <c r="N631" s="28">
        <f>K631*J631</f>
        <v>6925</v>
      </c>
      <c r="O631" s="54">
        <v>12324</v>
      </c>
      <c r="P631" s="29">
        <v>44.490974729999998</v>
      </c>
      <c r="Q631" s="55"/>
      <c r="R631" s="31">
        <f>M631+Q631</f>
        <v>136</v>
      </c>
      <c r="S631" s="56">
        <v>159</v>
      </c>
      <c r="T631" s="32">
        <f>R631+S631+IF(F631="Without EV deal",L631,0)</f>
        <v>295</v>
      </c>
      <c r="U631" s="57">
        <v>1</v>
      </c>
      <c r="V631" s="58"/>
      <c r="W631" s="58"/>
      <c r="X631" s="78">
        <v>0.17</v>
      </c>
      <c r="Y631" s="30">
        <f>IF(AG631="None",0,IF(AG631="Fix5",0.05, IF(AG631="Fix6.25",0.0625,IF(AG631="Fix3.75",0.0375,IF(AG631="Fix10",0.1,IF(AG631="Fix3",0.03,0))))))</f>
        <v>0</v>
      </c>
      <c r="Z631" s="35">
        <f>T631-AA631-AB631</f>
        <v>206</v>
      </c>
      <c r="AA631" s="60">
        <v>89</v>
      </c>
      <c r="AB631" s="36">
        <f>IF(AD631="EUR",((T631-R631)*Y631)*U631+(R631*Y631),(T631*Y631))</f>
        <v>0</v>
      </c>
      <c r="AC631" s="37" t="b">
        <v>1</v>
      </c>
      <c r="AD631" s="61" t="s">
        <v>38</v>
      </c>
      <c r="AE631" s="83" t="s">
        <v>38</v>
      </c>
      <c r="AF631" s="37" t="str">
        <f t="array" ref="AF631">INDEX('Deal Info'!D:D, MATCH(A631,'Deal Info'!A:A, 0))</f>
        <v>DoEV</v>
      </c>
      <c r="AG631" s="38" t="str">
        <f t="array" ref="AG631">INDEX('Deal Info'!G:G, MATCH(A631,'Deal Info'!A:A, 0))</f>
        <v>None</v>
      </c>
    </row>
    <row r="632" spans="1:33" ht="14.25" hidden="1" x14ac:dyDescent="0.2">
      <c r="A632" s="18" t="str">
        <f t="array" ref="A632">IF(G632='Room Info'!$B$1, INDEX('Room Info'!$A$2:$A2446, MATCH(B632,'Room Info'!$B$2:$B2446, 0)),IF(G632='Room Info'!$C$1, INDEX('Room Info'!$A$2:$A2446, MATCH(B632,'Room Info'!$C$2:$C2446, 0)),IF(G632='Room Info'!$D$1, INDEX('Room Info'!$A$2:$A2446, MATCH(B632,'Room Info'!$D$2:$D2446, 0)),IF(G632='Room Info'!$E$1, INDEX('Room Info'!$A$2:$A2446, MATCH(B632,'Room Info'!$E$2:$E2446, 0)),IF(G632='Room Info'!$F$1, INDEX('Room Info'!$A$2:$A2446, MATCH(B632,'Room Info'!$F$2:$F2446, 0)),IF(G632='Room Info'!$H$1, INDEX('Room Info'!$A$2:$A2446, MATCH(B632,'Room Info'!$H$2:$H2446, 0)),IF(G632='Room Info'!$G$1, INDEX('Room Info'!$A$2:$A2446, MATCH(B632,'Room Info'!$G$2:$G2446, 0)))))))))</f>
        <v>Berebka</v>
      </c>
      <c r="B632" s="54" t="s">
        <v>155</v>
      </c>
      <c r="C632" s="46">
        <v>44805</v>
      </c>
      <c r="D632" s="46">
        <v>44834</v>
      </c>
      <c r="E632" s="47">
        <v>44805</v>
      </c>
      <c r="F632" s="45" t="s">
        <v>49</v>
      </c>
      <c r="G632" s="54" t="s">
        <v>69</v>
      </c>
      <c r="H632" s="49" t="s">
        <v>40</v>
      </c>
      <c r="I632" s="49" t="s">
        <v>37</v>
      </c>
      <c r="J632" s="50">
        <v>10</v>
      </c>
      <c r="K632" s="51">
        <v>667</v>
      </c>
      <c r="L632" s="52">
        <v>190</v>
      </c>
      <c r="M632" s="76">
        <v>127</v>
      </c>
      <c r="N632" s="28">
        <f>K632*J632</f>
        <v>6670</v>
      </c>
      <c r="O632" s="54">
        <v>43769</v>
      </c>
      <c r="P632" s="29">
        <v>65.620689659999996</v>
      </c>
      <c r="Q632" s="55"/>
      <c r="R632" s="31">
        <f>M632+Q632</f>
        <v>127</v>
      </c>
      <c r="S632" s="56">
        <v>354</v>
      </c>
      <c r="T632" s="32">
        <f>R632+S632+IF(F632="Without EV deal",L632,0)</f>
        <v>481</v>
      </c>
      <c r="U632" s="57">
        <v>1</v>
      </c>
      <c r="V632" s="58"/>
      <c r="W632" s="58"/>
      <c r="X632" s="78">
        <v>0.17</v>
      </c>
      <c r="Y632" s="30">
        <f>IF(AG632="None",0,IF(AG632="Fix5",0.05, IF(AG632="Fix6.25",0.0625,IF(AG632="Fix3.75",0.0375,IF(AG632="Fix10",0.1,IF(AG632="Fix3",0.03,0))))))</f>
        <v>0</v>
      </c>
      <c r="Z632" s="35">
        <f>T632-AA632-AB632</f>
        <v>399</v>
      </c>
      <c r="AA632" s="60">
        <v>82</v>
      </c>
      <c r="AB632" s="36">
        <f>IF(AD632="EUR",((T632-R632)*Y632)*U632+(R632*Y632),(T632*Y632))</f>
        <v>0</v>
      </c>
      <c r="AC632" s="37" t="b">
        <v>1</v>
      </c>
      <c r="AD632" s="61" t="s">
        <v>38</v>
      </c>
      <c r="AE632" s="83" t="s">
        <v>38</v>
      </c>
      <c r="AF632" s="37" t="str">
        <f t="array" ref="AF632">INDEX('Deal Info'!D:D, MATCH(A632,'Deal Info'!A:A, 0))</f>
        <v>DoEV</v>
      </c>
      <c r="AG632" s="38" t="str">
        <f t="array" ref="AG632">INDEX('Deal Info'!G:G, MATCH(A632,'Deal Info'!A:A, 0))</f>
        <v>None</v>
      </c>
    </row>
    <row r="633" spans="1:33" ht="14.25" hidden="1" x14ac:dyDescent="0.2">
      <c r="A633" s="18" t="str">
        <f t="array" ref="A633">IF(G633='Room Info'!$B$1, INDEX('Room Info'!$A$2:$A2446, MATCH(B633,'Room Info'!$B$2:$B2446, 0)),IF(G633='Room Info'!$C$1, INDEX('Room Info'!$A$2:$A2446, MATCH(B633,'Room Info'!$C$2:$C2446, 0)),IF(G633='Room Info'!$D$1, INDEX('Room Info'!$A$2:$A2446, MATCH(B633,'Room Info'!$D$2:$D2446, 0)),IF(G633='Room Info'!$E$1, INDEX('Room Info'!$A$2:$A2446, MATCH(B633,'Room Info'!$E$2:$E2446, 0)),IF(G633='Room Info'!$F$1, INDEX('Room Info'!$A$2:$A2446, MATCH(B633,'Room Info'!$F$2:$F2446, 0)),IF(G633='Room Info'!$H$1, INDEX('Room Info'!$A$2:$A2446, MATCH(B633,'Room Info'!$H$2:$H2446, 0)),IF(G633='Room Info'!$G$1, INDEX('Room Info'!$A$2:$A2446, MATCH(B633,'Room Info'!$G$2:$G2446, 0)))))))))</f>
        <v>Berebka</v>
      </c>
      <c r="B633" s="54" t="s">
        <v>155</v>
      </c>
      <c r="C633" s="46">
        <v>44835</v>
      </c>
      <c r="D633" s="46">
        <v>44865</v>
      </c>
      <c r="E633" s="47">
        <v>44835</v>
      </c>
      <c r="F633" s="45" t="s">
        <v>49</v>
      </c>
      <c r="G633" s="54" t="s">
        <v>35</v>
      </c>
      <c r="H633" s="49" t="s">
        <v>40</v>
      </c>
      <c r="I633" s="49" t="s">
        <v>37</v>
      </c>
      <c r="J633" s="50">
        <v>10</v>
      </c>
      <c r="K633" s="51">
        <v>5150</v>
      </c>
      <c r="L633" s="52">
        <v>-1370</v>
      </c>
      <c r="M633" s="53">
        <v>2310</v>
      </c>
      <c r="N633" s="28">
        <f>K633*J633</f>
        <v>51500</v>
      </c>
      <c r="O633" s="54">
        <v>169971</v>
      </c>
      <c r="P633" s="29">
        <v>33.004077670000001</v>
      </c>
      <c r="Q633" s="55"/>
      <c r="R633" s="31">
        <f>M633+Q633</f>
        <v>2310</v>
      </c>
      <c r="S633" s="56">
        <v>-963</v>
      </c>
      <c r="T633" s="32">
        <f>R633+S633+IF(F633="Without EV deal",L633,0)</f>
        <v>1347</v>
      </c>
      <c r="U633" s="57">
        <v>1</v>
      </c>
      <c r="V633" s="58"/>
      <c r="W633" s="58"/>
      <c r="X633" s="78">
        <v>0.23</v>
      </c>
      <c r="Y633" s="30">
        <f>IF(AG633="None",0,IF(AG633="Fix5",0.05, IF(AG633="Fix6.25",0.0625,IF(AG633="Fix3.75",0.0375,IF(AG633="Fix10",0.1,IF(AG633="Fix3",0.03,0))))))</f>
        <v>0</v>
      </c>
      <c r="Z633" s="35">
        <f>T633-AA633-AB633</f>
        <v>1118</v>
      </c>
      <c r="AA633" s="60">
        <v>229</v>
      </c>
      <c r="AB633" s="36">
        <f>IF(AD633="EUR",((T633-R633)*Y633)*U633+(R633*Y633),(T633*Y633))</f>
        <v>0</v>
      </c>
      <c r="AC633" s="37" t="b">
        <v>1</v>
      </c>
      <c r="AD633" s="61" t="s">
        <v>38</v>
      </c>
      <c r="AE633" s="83" t="s">
        <v>38</v>
      </c>
      <c r="AF633" s="37" t="str">
        <f t="array" ref="AF633">INDEX('Deal Info'!D:D, MATCH(A633,'Deal Info'!A:A, 0))</f>
        <v>DoEV</v>
      </c>
      <c r="AG633" s="38" t="str">
        <f t="array" ref="AG633">INDEX('Deal Info'!G:G, MATCH(A633,'Deal Info'!A:A, 0))</f>
        <v>None</v>
      </c>
    </row>
    <row r="634" spans="1:33" ht="14.25" hidden="1" x14ac:dyDescent="0.2">
      <c r="A634" s="18" t="str">
        <f t="array" ref="A634">IF(G634='Room Info'!$B$1, INDEX('Room Info'!$A$2:$A2446, MATCH(B634,'Room Info'!$B$2:$B2446, 0)),IF(G634='Room Info'!$C$1, INDEX('Room Info'!$A$2:$A2446, MATCH(B634,'Room Info'!$C$2:$C2446, 0)),IF(G634='Room Info'!$D$1, INDEX('Room Info'!$A$2:$A2446, MATCH(B634,'Room Info'!$D$2:$D2446, 0)),IF(G634='Room Info'!$E$1, INDEX('Room Info'!$A$2:$A2446, MATCH(B634,'Room Info'!$E$2:$E2446, 0)),IF(G634='Room Info'!$F$1, INDEX('Room Info'!$A$2:$A2446, MATCH(B634,'Room Info'!$F$2:$F2446, 0)),IF(G634='Room Info'!$H$1, INDEX('Room Info'!$A$2:$A2446, MATCH(B634,'Room Info'!$H$2:$H2446, 0)),IF(G634='Room Info'!$G$1, INDEX('Room Info'!$A$2:$A2446, MATCH(B634,'Room Info'!$G$2:$G2446, 0)))))))))</f>
        <v>Berebka</v>
      </c>
      <c r="B634" s="45" t="s">
        <v>155</v>
      </c>
      <c r="C634" s="46">
        <v>44835</v>
      </c>
      <c r="D634" s="46">
        <v>44865</v>
      </c>
      <c r="E634" s="47">
        <v>44835</v>
      </c>
      <c r="F634" s="48" t="s">
        <v>49</v>
      </c>
      <c r="G634" s="45" t="s">
        <v>69</v>
      </c>
      <c r="H634" s="49" t="s">
        <v>40</v>
      </c>
      <c r="I634" s="49" t="s">
        <v>37</v>
      </c>
      <c r="J634" s="50">
        <v>10</v>
      </c>
      <c r="K634" s="51">
        <v>7</v>
      </c>
      <c r="L634" s="52">
        <v>20</v>
      </c>
      <c r="M634" s="62"/>
      <c r="N634" s="28">
        <f>K634*J634</f>
        <v>70</v>
      </c>
      <c r="O634" s="54">
        <v>-133</v>
      </c>
      <c r="P634" s="29">
        <v>-19</v>
      </c>
      <c r="Q634" s="55"/>
      <c r="R634" s="31">
        <f>M634+Q634</f>
        <v>0</v>
      </c>
      <c r="S634" s="56">
        <v>-7</v>
      </c>
      <c r="T634" s="32">
        <f>R634+S634+IF(F634="Without EV deal",L634,0)</f>
        <v>-7</v>
      </c>
      <c r="U634" s="57">
        <v>1</v>
      </c>
      <c r="V634" s="58"/>
      <c r="W634" s="58"/>
      <c r="X634" s="78">
        <v>0.23</v>
      </c>
      <c r="Y634" s="30">
        <f>IF(AG634="None",0,IF(AG634="Fix5",0.05, IF(AG634="Fix6.25",0.0625,IF(AG634="Fix3.75",0.0375,IF(AG634="Fix10",0.1,IF(AG634="Fix3",0.03,0))))))</f>
        <v>0</v>
      </c>
      <c r="Z634" s="35">
        <f>T634-AA634-AB634</f>
        <v>-5</v>
      </c>
      <c r="AA634" s="60">
        <v>-2</v>
      </c>
      <c r="AB634" s="36">
        <f>IF(AD634="EUR",((T634-R634)*Y634)*U634+(R634*Y634),(T634*Y634))</f>
        <v>0</v>
      </c>
      <c r="AC634" s="37" t="b">
        <v>1</v>
      </c>
      <c r="AD634" s="61" t="s">
        <v>38</v>
      </c>
      <c r="AE634" s="83" t="s">
        <v>38</v>
      </c>
      <c r="AF634" s="37" t="str">
        <f t="array" ref="AF634">INDEX('Deal Info'!D:D, MATCH(A634,'Deal Info'!A:A, 0))</f>
        <v>DoEV</v>
      </c>
      <c r="AG634" s="38" t="str">
        <f t="array" ref="AG634">INDEX('Deal Info'!G:G, MATCH(A634,'Deal Info'!A:A, 0))</f>
        <v>None</v>
      </c>
    </row>
    <row r="635" spans="1:33" ht="14.25" hidden="1" x14ac:dyDescent="0.2">
      <c r="A635" s="18" t="str">
        <f t="array" ref="A635">IF(G635='Room Info'!$B$1, INDEX('Room Info'!$A$2:$A2446, MATCH(B635,'Room Info'!$B$2:$B2446, 0)),IF(G635='Room Info'!$C$1, INDEX('Room Info'!$A$2:$A2446, MATCH(B635,'Room Info'!$C$2:$C2446, 0)),IF(G635='Room Info'!$D$1, INDEX('Room Info'!$A$2:$A2446, MATCH(B635,'Room Info'!$D$2:$D2446, 0)),IF(G635='Room Info'!$E$1, INDEX('Room Info'!$A$2:$A2446, MATCH(B635,'Room Info'!$E$2:$E2446, 0)),IF(G635='Room Info'!$F$1, INDEX('Room Info'!$A$2:$A2446, MATCH(B635,'Room Info'!$F$2:$F2446, 0)),IF(G635='Room Info'!$H$1, INDEX('Room Info'!$A$2:$A2446, MATCH(B635,'Room Info'!$H$2:$H2446, 0)),IF(G635='Room Info'!$G$1, INDEX('Room Info'!$A$2:$A2446, MATCH(B635,'Room Info'!$G$2:$G2446, 0)))))))))</f>
        <v>Berebka</v>
      </c>
      <c r="B635" s="45" t="s">
        <v>155</v>
      </c>
      <c r="C635" s="46">
        <v>44866</v>
      </c>
      <c r="D635" s="46">
        <v>44895</v>
      </c>
      <c r="E635" s="47">
        <v>44866</v>
      </c>
      <c r="F635" s="48" t="s">
        <v>49</v>
      </c>
      <c r="G635" s="45" t="s">
        <v>35</v>
      </c>
      <c r="H635" s="49" t="s">
        <v>39</v>
      </c>
      <c r="I635" s="49" t="s">
        <v>37</v>
      </c>
      <c r="J635" s="50">
        <v>5</v>
      </c>
      <c r="K635" s="51">
        <v>68</v>
      </c>
      <c r="L635" s="52">
        <v>100</v>
      </c>
      <c r="M635" s="53">
        <v>15</v>
      </c>
      <c r="N635" s="28">
        <f>K635*J635</f>
        <v>340</v>
      </c>
      <c r="O635" s="54">
        <v>5195</v>
      </c>
      <c r="P635" s="29">
        <v>76.397058819999998</v>
      </c>
      <c r="Q635" s="55"/>
      <c r="R635" s="31">
        <f>M635+Q635</f>
        <v>15</v>
      </c>
      <c r="S635" s="56">
        <v>16</v>
      </c>
      <c r="T635" s="32">
        <f>R635+S635+IF(F635="Without EV deal",L635,0)</f>
        <v>31</v>
      </c>
      <c r="U635" s="57">
        <v>1</v>
      </c>
      <c r="V635" s="58"/>
      <c r="W635" s="58"/>
      <c r="X635" s="78">
        <v>0.23</v>
      </c>
      <c r="Y635" s="30">
        <f>IF(AG635="None",0,IF(AG635="Fix5",0.05, IF(AG635="Fix6.25",0.0625,IF(AG635="Fix3.75",0.0375,IF(AG635="Fix10",0.1,IF(AG635="Fix3",0.03,0))))))</f>
        <v>0</v>
      </c>
      <c r="Z635" s="35">
        <f>T635-AA635-AB635</f>
        <v>24</v>
      </c>
      <c r="AA635" s="60">
        <v>7</v>
      </c>
      <c r="AB635" s="36">
        <f>IF(AD635="EUR",((T635-R635)*Y635)*U635+(R635*Y635),(T635*Y635))</f>
        <v>0</v>
      </c>
      <c r="AC635" s="37" t="b">
        <v>1</v>
      </c>
      <c r="AD635" s="61" t="s">
        <v>38</v>
      </c>
      <c r="AE635" s="83" t="s">
        <v>38</v>
      </c>
      <c r="AF635" s="37" t="str">
        <f t="array" ref="AF635">INDEX('Deal Info'!D:D, MATCH(A635,'Deal Info'!A:A, 0))</f>
        <v>DoEV</v>
      </c>
      <c r="AG635" s="38" t="str">
        <f t="array" ref="AG635">INDEX('Deal Info'!G:G, MATCH(A635,'Deal Info'!A:A, 0))</f>
        <v>None</v>
      </c>
    </row>
    <row r="636" spans="1:33" ht="14.25" hidden="1" x14ac:dyDescent="0.2">
      <c r="A636" s="18" t="str">
        <f t="array" ref="A636">IF(G636='Room Info'!$B$1, INDEX('Room Info'!$A$2:$A2446, MATCH(B636,'Room Info'!$B$2:$B2446, 0)),IF(G636='Room Info'!$C$1, INDEX('Room Info'!$A$2:$A2446, MATCH(B636,'Room Info'!$C$2:$C2446, 0)),IF(G636='Room Info'!$D$1, INDEX('Room Info'!$A$2:$A2446, MATCH(B636,'Room Info'!$D$2:$D2446, 0)),IF(G636='Room Info'!$E$1, INDEX('Room Info'!$A$2:$A2446, MATCH(B636,'Room Info'!$E$2:$E2446, 0)),IF(G636='Room Info'!$F$1, INDEX('Room Info'!$A$2:$A2446, MATCH(B636,'Room Info'!$F$2:$F2446, 0)),IF(G636='Room Info'!$H$1, INDEX('Room Info'!$A$2:$A2446, MATCH(B636,'Room Info'!$H$2:$H2446, 0)),IF(G636='Room Info'!$G$1, INDEX('Room Info'!$A$2:$A2446, MATCH(B636,'Room Info'!$G$2:$G2446, 0)))))))))</f>
        <v>Berebka</v>
      </c>
      <c r="B636" s="45" t="s">
        <v>155</v>
      </c>
      <c r="C636" s="46">
        <v>44866</v>
      </c>
      <c r="D636" s="46">
        <v>44895</v>
      </c>
      <c r="E636" s="47">
        <v>44866</v>
      </c>
      <c r="F636" s="48" t="s">
        <v>49</v>
      </c>
      <c r="G636" s="45" t="s">
        <v>35</v>
      </c>
      <c r="H636" s="49" t="s">
        <v>40</v>
      </c>
      <c r="I636" s="49" t="s">
        <v>37</v>
      </c>
      <c r="J636" s="50">
        <v>10</v>
      </c>
      <c r="K636" s="51">
        <v>72</v>
      </c>
      <c r="L636" s="52">
        <v>-90</v>
      </c>
      <c r="M636" s="53">
        <v>28</v>
      </c>
      <c r="N636" s="28">
        <f>K636*J636</f>
        <v>720</v>
      </c>
      <c r="O636" s="54">
        <v>-1937</v>
      </c>
      <c r="P636" s="29">
        <v>-26.902777780000001</v>
      </c>
      <c r="Q636" s="55"/>
      <c r="R636" s="31">
        <f>M636+Q636</f>
        <v>28</v>
      </c>
      <c r="S636" s="56">
        <v>-91</v>
      </c>
      <c r="T636" s="32">
        <f>R636+S636+IF(F636="Without EV deal",L636,0)</f>
        <v>-63</v>
      </c>
      <c r="U636" s="57">
        <v>1</v>
      </c>
      <c r="V636" s="58"/>
      <c r="W636" s="58"/>
      <c r="X636" s="78">
        <v>0.23</v>
      </c>
      <c r="Y636" s="30">
        <f>IF(AG636="None",0,IF(AG636="Fix5",0.05, IF(AG636="Fix6.25",0.0625,IF(AG636="Fix3.75",0.0375,IF(AG636="Fix10",0.1,IF(AG636="Fix3",0.03,0))))))</f>
        <v>0</v>
      </c>
      <c r="Z636" s="35">
        <f>T636-AA636-AB636</f>
        <v>-49</v>
      </c>
      <c r="AA636" s="60">
        <v>-14</v>
      </c>
      <c r="AB636" s="36">
        <f>IF(AD636="EUR",((T636-R636)*Y636)*U636+(R636*Y636),(T636*Y636))</f>
        <v>0</v>
      </c>
      <c r="AC636" s="37" t="b">
        <v>1</v>
      </c>
      <c r="AD636" s="61" t="s">
        <v>38</v>
      </c>
      <c r="AE636" s="83" t="s">
        <v>38</v>
      </c>
      <c r="AF636" s="37" t="str">
        <f t="array" ref="AF636">INDEX('Deal Info'!D:D, MATCH(A636,'Deal Info'!A:A, 0))</f>
        <v>DoEV</v>
      </c>
      <c r="AG636" s="38" t="str">
        <f t="array" ref="AG636">INDEX('Deal Info'!G:G, MATCH(A636,'Deal Info'!A:A, 0))</f>
        <v>None</v>
      </c>
    </row>
    <row r="637" spans="1:33" ht="14.25" hidden="1" x14ac:dyDescent="0.2">
      <c r="A637" s="18" t="str">
        <f t="array" ref="A637">IF(G637='Room Info'!$B$1, INDEX('Room Info'!$A$2:$A2446, MATCH(B637,'Room Info'!$B$2:$B2446, 0)),IF(G637='Room Info'!$C$1, INDEX('Room Info'!$A$2:$A2446, MATCH(B637,'Room Info'!$C$2:$C2446, 0)),IF(G637='Room Info'!$D$1, INDEX('Room Info'!$A$2:$A2446, MATCH(B637,'Room Info'!$D$2:$D2446, 0)),IF(G637='Room Info'!$E$1, INDEX('Room Info'!$A$2:$A2446, MATCH(B637,'Room Info'!$E$2:$E2446, 0)),IF(G637='Room Info'!$F$1, INDEX('Room Info'!$A$2:$A2446, MATCH(B637,'Room Info'!$F$2:$F2446, 0)),IF(G637='Room Info'!$H$1, INDEX('Room Info'!$A$2:$A2446, MATCH(B637,'Room Info'!$H$2:$H2446, 0)),IF(G637='Room Info'!$G$1, INDEX('Room Info'!$A$2:$A2446, MATCH(B637,'Room Info'!$G$2:$G2446, 0)))))))))</f>
        <v>Berebka</v>
      </c>
      <c r="B637" s="45" t="s">
        <v>155</v>
      </c>
      <c r="C637" s="46">
        <v>44866</v>
      </c>
      <c r="D637" s="46">
        <v>44895</v>
      </c>
      <c r="E637" s="47">
        <v>44866</v>
      </c>
      <c r="F637" s="48" t="s">
        <v>49</v>
      </c>
      <c r="G637" s="45" t="s">
        <v>35</v>
      </c>
      <c r="H637" s="49" t="s">
        <v>72</v>
      </c>
      <c r="I637" s="49" t="s">
        <v>37</v>
      </c>
      <c r="J637" s="50">
        <v>50</v>
      </c>
      <c r="K637" s="51">
        <v>509</v>
      </c>
      <c r="L637" s="52">
        <v>-1450</v>
      </c>
      <c r="M637" s="53">
        <v>852</v>
      </c>
      <c r="N637" s="28">
        <f>K637*J637</f>
        <v>25450</v>
      </c>
      <c r="O637" s="54">
        <v>4248</v>
      </c>
      <c r="P637" s="29">
        <v>8.3457760309999998</v>
      </c>
      <c r="Q637" s="55"/>
      <c r="R637" s="31">
        <f>M637+Q637</f>
        <v>852</v>
      </c>
      <c r="S637" s="56">
        <v>-1311</v>
      </c>
      <c r="T637" s="32">
        <f>R637+S637+IF(F637="Without EV deal",L637,0)</f>
        <v>-459</v>
      </c>
      <c r="U637" s="57">
        <v>1</v>
      </c>
      <c r="V637" s="58"/>
      <c r="W637" s="58"/>
      <c r="X637" s="78">
        <v>0.23</v>
      </c>
      <c r="Y637" s="30">
        <f>IF(AG637="None",0,IF(AG637="Fix5",0.05, IF(AG637="Fix6.25",0.0625,IF(AG637="Fix3.75",0.0375,IF(AG637="Fix10",0.1,IF(AG637="Fix3",0.03,0))))))</f>
        <v>0</v>
      </c>
      <c r="Z637" s="35">
        <f>T637-AA637-AB637</f>
        <v>-353</v>
      </c>
      <c r="AA637" s="60">
        <v>-106</v>
      </c>
      <c r="AB637" s="36">
        <f>IF(AD637="EUR",((T637-R637)*Y637)*U637+(R637*Y637),(T637*Y637))</f>
        <v>0</v>
      </c>
      <c r="AC637" s="37" t="b">
        <v>1</v>
      </c>
      <c r="AD637" s="61" t="s">
        <v>38</v>
      </c>
      <c r="AE637" s="83" t="s">
        <v>38</v>
      </c>
      <c r="AF637" s="37" t="str">
        <f t="array" ref="AF637">INDEX('Deal Info'!D:D, MATCH(A637,'Deal Info'!A:A, 0))</f>
        <v>DoEV</v>
      </c>
      <c r="AG637" s="38" t="str">
        <f t="array" ref="AG637">INDEX('Deal Info'!G:G, MATCH(A637,'Deal Info'!A:A, 0))</f>
        <v>None</v>
      </c>
    </row>
    <row r="638" spans="1:33" ht="14.25" hidden="1" x14ac:dyDescent="0.2">
      <c r="A638" s="18" t="str">
        <f t="array" ref="A638">IF(G638='Room Info'!$B$1, INDEX('Room Info'!$A$2:$A2446, MATCH(B638,'Room Info'!$B$2:$B2446, 0)),IF(G638='Room Info'!$C$1, INDEX('Room Info'!$A$2:$A2446, MATCH(B638,'Room Info'!$C$2:$C2446, 0)),IF(G638='Room Info'!$D$1, INDEX('Room Info'!$A$2:$A2446, MATCH(B638,'Room Info'!$D$2:$D2446, 0)),IF(G638='Room Info'!$E$1, INDEX('Room Info'!$A$2:$A2446, MATCH(B638,'Room Info'!$E$2:$E2446, 0)),IF(G638='Room Info'!$F$1, INDEX('Room Info'!$A$2:$A2446, MATCH(B638,'Room Info'!$F$2:$F2446, 0)),IF(G638='Room Info'!$H$1, INDEX('Room Info'!$A$2:$A2446, MATCH(B638,'Room Info'!$H$2:$H2446, 0)),IF(G638='Room Info'!$G$1, INDEX('Room Info'!$A$2:$A2446, MATCH(B638,'Room Info'!$G$2:$G2446, 0)))))))))</f>
        <v>Berebka</v>
      </c>
      <c r="B638" s="45" t="s">
        <v>155</v>
      </c>
      <c r="C638" s="46">
        <v>44866</v>
      </c>
      <c r="D638" s="46">
        <v>44895</v>
      </c>
      <c r="E638" s="47">
        <v>44866</v>
      </c>
      <c r="F638" s="48" t="s">
        <v>49</v>
      </c>
      <c r="G638" s="45" t="s">
        <v>35</v>
      </c>
      <c r="H638" s="49" t="s">
        <v>46</v>
      </c>
      <c r="I638" s="49" t="s">
        <v>37</v>
      </c>
      <c r="J638" s="50">
        <v>25</v>
      </c>
      <c r="K638" s="51">
        <v>1612</v>
      </c>
      <c r="L638" s="52">
        <v>5200</v>
      </c>
      <c r="M638" s="53">
        <v>1350</v>
      </c>
      <c r="N638" s="28">
        <f>K638*J638</f>
        <v>40300</v>
      </c>
      <c r="O638" s="54">
        <v>63341</v>
      </c>
      <c r="P638" s="29">
        <v>39.29342432</v>
      </c>
      <c r="Q638" s="55"/>
      <c r="R638" s="31">
        <f>M638+Q638</f>
        <v>1350</v>
      </c>
      <c r="S638" s="56">
        <v>229</v>
      </c>
      <c r="T638" s="32">
        <f>R638+S638+IF(F638="Without EV deal",L638,0)</f>
        <v>1579</v>
      </c>
      <c r="U638" s="57">
        <v>1</v>
      </c>
      <c r="V638" s="58"/>
      <c r="W638" s="58"/>
      <c r="X638" s="78">
        <v>0.23</v>
      </c>
      <c r="Y638" s="30">
        <f>IF(AG638="None",0,IF(AG638="Fix5",0.05, IF(AG638="Fix6.25",0.0625,IF(AG638="Fix3.75",0.0375,IF(AG638="Fix10",0.1,IF(AG638="Fix3",0.03,0))))))</f>
        <v>0</v>
      </c>
      <c r="Z638" s="35">
        <f>T638-AA638-AB638</f>
        <v>1216</v>
      </c>
      <c r="AA638" s="60">
        <v>363</v>
      </c>
      <c r="AB638" s="36">
        <f>IF(AD638="EUR",((T638-R638)*Y638)*U638+(R638*Y638),(T638*Y638))</f>
        <v>0</v>
      </c>
      <c r="AC638" s="37" t="b">
        <v>1</v>
      </c>
      <c r="AD638" s="61" t="s">
        <v>38</v>
      </c>
      <c r="AE638" s="83" t="s">
        <v>38</v>
      </c>
      <c r="AF638" s="37" t="str">
        <f t="array" ref="AF638">INDEX('Deal Info'!D:D, MATCH(A638,'Deal Info'!A:A, 0))</f>
        <v>DoEV</v>
      </c>
      <c r="AG638" s="38" t="str">
        <f t="array" ref="AG638">INDEX('Deal Info'!G:G, MATCH(A638,'Deal Info'!A:A, 0))</f>
        <v>None</v>
      </c>
    </row>
    <row r="639" spans="1:33" ht="14.25" hidden="1" x14ac:dyDescent="0.2">
      <c r="A639" s="18" t="str">
        <f t="array" ref="A639">IF(G639='Room Info'!$B$1, INDEX('Room Info'!$A$2:$A2446, MATCH(B639,'Room Info'!$B$2:$B2446, 0)),IF(G639='Room Info'!$C$1, INDEX('Room Info'!$A$2:$A2446, MATCH(B639,'Room Info'!$C$2:$C2446, 0)),IF(G639='Room Info'!$D$1, INDEX('Room Info'!$A$2:$A2446, MATCH(B639,'Room Info'!$D$2:$D2446, 0)),IF(G639='Room Info'!$E$1, INDEX('Room Info'!$A$2:$A2446, MATCH(B639,'Room Info'!$E$2:$E2446, 0)),IF(G639='Room Info'!$F$1, INDEX('Room Info'!$A$2:$A2446, MATCH(B639,'Room Info'!$F$2:$F2446, 0)),IF(G639='Room Info'!$H$1, INDEX('Room Info'!$A$2:$A2446, MATCH(B639,'Room Info'!$H$2:$H2446, 0)),IF(G639='Room Info'!$G$1, INDEX('Room Info'!$A$2:$A2446, MATCH(B639,'Room Info'!$G$2:$G2446, 0)))))))))</f>
        <v>Berebka</v>
      </c>
      <c r="B639" s="45" t="s">
        <v>155</v>
      </c>
      <c r="C639" s="46">
        <v>44896</v>
      </c>
      <c r="D639" s="46">
        <v>44915</v>
      </c>
      <c r="E639" s="47">
        <v>44896</v>
      </c>
      <c r="F639" s="48" t="s">
        <v>49</v>
      </c>
      <c r="G639" s="45" t="s">
        <v>35</v>
      </c>
      <c r="H639" s="49" t="s">
        <v>46</v>
      </c>
      <c r="I639" s="49" t="s">
        <v>37</v>
      </c>
      <c r="J639" s="50">
        <v>25</v>
      </c>
      <c r="K639" s="51">
        <v>1812</v>
      </c>
      <c r="L639" s="52">
        <v>-2050</v>
      </c>
      <c r="M639" s="53">
        <v>550</v>
      </c>
      <c r="N639" s="28">
        <f>K639*J639</f>
        <v>45300</v>
      </c>
      <c r="O639" s="54">
        <v>27040</v>
      </c>
      <c r="P639" s="29">
        <v>14.92273731</v>
      </c>
      <c r="Q639" s="55"/>
      <c r="R639" s="31">
        <f>M639+Q639</f>
        <v>550</v>
      </c>
      <c r="S639" s="56">
        <v>-1684</v>
      </c>
      <c r="T639" s="32">
        <f>R639+S639+IF(F639="Without EV deal",L639,0)</f>
        <v>-1134</v>
      </c>
      <c r="U639" s="57">
        <v>1</v>
      </c>
      <c r="V639" s="58"/>
      <c r="W639" s="58"/>
      <c r="X639" s="78">
        <v>0.23</v>
      </c>
      <c r="Y639" s="30">
        <f>IF(AG639="None",0,IF(AG639="Fix5",0.05, IF(AG639="Fix6.25",0.0625,IF(AG639="Fix3.75",0.0375,IF(AG639="Fix10",0.1,IF(AG639="Fix3",0.03,0))))))</f>
        <v>0</v>
      </c>
      <c r="Z639" s="35">
        <f>T639-AA639-AB639</f>
        <v>-873</v>
      </c>
      <c r="AA639" s="60">
        <v>-261</v>
      </c>
      <c r="AB639" s="36">
        <f>IF(AD639="EUR",((T639-R639)*Y639)*U639+(R639*Y639),(T639*Y639))</f>
        <v>0</v>
      </c>
      <c r="AC639" s="37" t="b">
        <v>1</v>
      </c>
      <c r="AD639" s="61" t="s">
        <v>38</v>
      </c>
      <c r="AE639" s="83" t="s">
        <v>38</v>
      </c>
      <c r="AF639" s="37" t="str">
        <f t="array" ref="AF639">INDEX('Deal Info'!D:D, MATCH(A639,'Deal Info'!A:A, 0))</f>
        <v>DoEV</v>
      </c>
      <c r="AG639" s="38" t="str">
        <f t="array" ref="AG639">INDEX('Deal Info'!G:G, MATCH(A639,'Deal Info'!A:A, 0))</f>
        <v>None</v>
      </c>
    </row>
    <row r="640" spans="1:33" ht="14.25" hidden="1" x14ac:dyDescent="0.2">
      <c r="A640" s="18" t="str">
        <f t="array" ref="A640">IF(G640='Room Info'!$B$1, INDEX('Room Info'!$A$2:$A2446, MATCH(B640,'Room Info'!$B$2:$B2446, 0)),IF(G640='Room Info'!$C$1, INDEX('Room Info'!$A$2:$A2446, MATCH(B640,'Room Info'!$C$2:$C2446, 0)),IF(G640='Room Info'!$D$1, INDEX('Room Info'!$A$2:$A2446, MATCH(B640,'Room Info'!$D$2:$D2446, 0)),IF(G640='Room Info'!$E$1, INDEX('Room Info'!$A$2:$A2446, MATCH(B640,'Room Info'!$E$2:$E2446, 0)),IF(G640='Room Info'!$F$1, INDEX('Room Info'!$A$2:$A2446, MATCH(B640,'Room Info'!$F$2:$F2446, 0)),IF(G640='Room Info'!$H$1, INDEX('Room Info'!$A$2:$A2446, MATCH(B640,'Room Info'!$H$2:$H2446, 0)),IF(G640='Room Info'!$G$1, INDEX('Room Info'!$A$2:$A2446, MATCH(B640,'Room Info'!$G$2:$G2446, 0)))))))))</f>
        <v>Berebka</v>
      </c>
      <c r="B640" s="45" t="s">
        <v>155</v>
      </c>
      <c r="C640" s="46">
        <v>44896</v>
      </c>
      <c r="D640" s="46">
        <v>44926</v>
      </c>
      <c r="E640" s="47">
        <v>44896</v>
      </c>
      <c r="F640" s="48" t="s">
        <v>49</v>
      </c>
      <c r="G640" s="45" t="s">
        <v>69</v>
      </c>
      <c r="H640" s="49" t="s">
        <v>40</v>
      </c>
      <c r="I640" s="49" t="s">
        <v>37</v>
      </c>
      <c r="J640" s="50">
        <v>10</v>
      </c>
      <c r="K640" s="51">
        <v>476</v>
      </c>
      <c r="L640" s="52">
        <v>110</v>
      </c>
      <c r="M640" s="53">
        <v>70</v>
      </c>
      <c r="N640" s="28">
        <f>K640*J640</f>
        <v>4760</v>
      </c>
      <c r="O640" s="54">
        <v>28033</v>
      </c>
      <c r="P640" s="29">
        <v>58.892857139999997</v>
      </c>
      <c r="Q640" s="55"/>
      <c r="R640" s="31">
        <f>M640+Q640</f>
        <v>70</v>
      </c>
      <c r="S640" s="56">
        <v>228</v>
      </c>
      <c r="T640" s="32">
        <f>R640+S640+IF(F640="Without EV deal",L640,0)</f>
        <v>298</v>
      </c>
      <c r="U640" s="57">
        <v>1</v>
      </c>
      <c r="V640" s="58"/>
      <c r="W640" s="58"/>
      <c r="X640" s="78">
        <v>0.23</v>
      </c>
      <c r="Y640" s="30">
        <f>IF(AG640="None",0,IF(AG640="Fix5",0.05, IF(AG640="Fix6.25",0.0625,IF(AG640="Fix3.75",0.0375,IF(AG640="Fix10",0.1,IF(AG640="Fix3",0.03,0))))))</f>
        <v>0</v>
      </c>
      <c r="Z640" s="35">
        <f>T640-AA640-AB640</f>
        <v>229</v>
      </c>
      <c r="AA640" s="60">
        <v>69</v>
      </c>
      <c r="AB640" s="36">
        <f>IF(AD640="EUR",((T640-R640)*Y640)*U640+(R640*Y640),(T640*Y640))</f>
        <v>0</v>
      </c>
      <c r="AC640" s="37" t="b">
        <v>1</v>
      </c>
      <c r="AD640" s="61" t="s">
        <v>38</v>
      </c>
      <c r="AE640" s="83" t="s">
        <v>38</v>
      </c>
      <c r="AF640" s="37" t="str">
        <f t="array" ref="AF640">INDEX('Deal Info'!D:D, MATCH(A640,'Deal Info'!A:A, 0))</f>
        <v>DoEV</v>
      </c>
      <c r="AG640" s="38" t="str">
        <f t="array" ref="AG640">INDEX('Deal Info'!G:G, MATCH(A640,'Deal Info'!A:A, 0))</f>
        <v>None</v>
      </c>
    </row>
    <row r="641" spans="1:33" ht="14.25" hidden="1" x14ac:dyDescent="0.2">
      <c r="A641" s="18" t="str">
        <f t="array" ref="A641">IF(G641='Room Info'!$B$1, INDEX('Room Info'!$A$2:$A2446, MATCH(B641,'Room Info'!$B$2:$B2446, 0)),IF(G641='Room Info'!$C$1, INDEX('Room Info'!$A$2:$A2446, MATCH(B641,'Room Info'!$C$2:$C2446, 0)),IF(G641='Room Info'!$D$1, INDEX('Room Info'!$A$2:$A2446, MATCH(B641,'Room Info'!$D$2:$D2446, 0)),IF(G641='Room Info'!$E$1, INDEX('Room Info'!$A$2:$A2446, MATCH(B641,'Room Info'!$E$2:$E2446, 0)),IF(G641='Room Info'!$F$1, INDEX('Room Info'!$A$2:$A2446, MATCH(B641,'Room Info'!$F$2:$F2446, 0)),IF(G641='Room Info'!$H$1, INDEX('Room Info'!$A$2:$A2446, MATCH(B641,'Room Info'!$H$2:$H2446, 0)),IF(G641='Room Info'!$G$1, INDEX('Room Info'!$A$2:$A2446, MATCH(B641,'Room Info'!$G$2:$G2446, 0)))))))))</f>
        <v>Berebka</v>
      </c>
      <c r="B641" s="45" t="s">
        <v>155</v>
      </c>
      <c r="C641" s="46">
        <v>44896</v>
      </c>
      <c r="D641" s="46">
        <v>44926</v>
      </c>
      <c r="E641" s="47">
        <v>44896</v>
      </c>
      <c r="F641" s="48" t="s">
        <v>49</v>
      </c>
      <c r="G641" s="45" t="s">
        <v>69</v>
      </c>
      <c r="H641" s="49" t="s">
        <v>39</v>
      </c>
      <c r="I641" s="49" t="s">
        <v>37</v>
      </c>
      <c r="J641" s="50">
        <v>5</v>
      </c>
      <c r="K641" s="51">
        <v>1</v>
      </c>
      <c r="L641" s="52">
        <v>10</v>
      </c>
      <c r="M641" s="53">
        <v>0</v>
      </c>
      <c r="N641" s="28">
        <f>K641*J641</f>
        <v>5</v>
      </c>
      <c r="O641" s="54">
        <v>926</v>
      </c>
      <c r="P641" s="29">
        <v>926</v>
      </c>
      <c r="Q641" s="55"/>
      <c r="R641" s="31">
        <f>M641+Q641</f>
        <v>0</v>
      </c>
      <c r="S641" s="56">
        <v>8</v>
      </c>
      <c r="T641" s="32">
        <f>R641+S641+IF(F641="Without EV deal",L641,0)</f>
        <v>8</v>
      </c>
      <c r="U641" s="57">
        <v>1</v>
      </c>
      <c r="V641" s="58"/>
      <c r="W641" s="58"/>
      <c r="X641" s="78">
        <v>0.23</v>
      </c>
      <c r="Y641" s="30">
        <f>IF(AG641="None",0,IF(AG641="Fix5",0.05, IF(AG641="Fix6.25",0.0625,IF(AG641="Fix3.75",0.0375,IF(AG641="Fix10",0.1,IF(AG641="Fix3",0.03,0))))))</f>
        <v>0</v>
      </c>
      <c r="Z641" s="35">
        <f>T641-AA641-AB641</f>
        <v>6</v>
      </c>
      <c r="AA641" s="60">
        <v>2</v>
      </c>
      <c r="AB641" s="36">
        <f>IF(AD641="EUR",((T641-R641)*Y641)*U641+(R641*Y641),(T641*Y641))</f>
        <v>0</v>
      </c>
      <c r="AC641" s="37" t="b">
        <v>1</v>
      </c>
      <c r="AD641" s="61" t="s">
        <v>38</v>
      </c>
      <c r="AE641" s="83" t="s">
        <v>38</v>
      </c>
      <c r="AF641" s="37" t="str">
        <f t="array" ref="AF641">INDEX('Deal Info'!D:D, MATCH(A641,'Deal Info'!A:A, 0))</f>
        <v>DoEV</v>
      </c>
      <c r="AG641" s="38" t="str">
        <f t="array" ref="AG641">INDEX('Deal Info'!G:G, MATCH(A641,'Deal Info'!A:A, 0))</f>
        <v>None</v>
      </c>
    </row>
    <row r="642" spans="1:33" ht="14.25" hidden="1" x14ac:dyDescent="0.2">
      <c r="A642" s="18" t="str">
        <f t="array" ref="A642">IF(G642='Room Info'!$B$1, INDEX('Room Info'!$A$2:$A2446, MATCH(B642,'Room Info'!$B$2:$B2446, 0)),IF(G642='Room Info'!$C$1, INDEX('Room Info'!$A$2:$A2446, MATCH(B642,'Room Info'!$C$2:$C2446, 0)),IF(G642='Room Info'!$D$1, INDEX('Room Info'!$A$2:$A2446, MATCH(B642,'Room Info'!$D$2:$D2446, 0)),IF(G642='Room Info'!$E$1, INDEX('Room Info'!$A$2:$A2446, MATCH(B642,'Room Info'!$E$2:$E2446, 0)),IF(G642='Room Info'!$F$1, INDEX('Room Info'!$A$2:$A2446, MATCH(B642,'Room Info'!$F$2:$F2446, 0)),IF(G642='Room Info'!$H$1, INDEX('Room Info'!$A$2:$A2446, MATCH(B642,'Room Info'!$H$2:$H2446, 0)),IF(G642='Room Info'!$G$1, INDEX('Room Info'!$A$2:$A2446, MATCH(B642,'Room Info'!$G$2:$G2446, 0)))))))))</f>
        <v>Berebka</v>
      </c>
      <c r="B642" s="45" t="s">
        <v>155</v>
      </c>
      <c r="C642" s="46">
        <v>44916</v>
      </c>
      <c r="D642" s="46">
        <v>44957</v>
      </c>
      <c r="E642" s="47">
        <v>44927</v>
      </c>
      <c r="F642" s="48" t="s">
        <v>41</v>
      </c>
      <c r="G642" s="45" t="s">
        <v>35</v>
      </c>
      <c r="H642" s="49" t="s">
        <v>42</v>
      </c>
      <c r="I642" s="49" t="s">
        <v>37</v>
      </c>
      <c r="J642" s="50">
        <v>1</v>
      </c>
      <c r="K642" s="51">
        <v>1</v>
      </c>
      <c r="L642" s="52">
        <v>-1</v>
      </c>
      <c r="M642" s="62"/>
      <c r="N642" s="28">
        <f>K642*J642</f>
        <v>1</v>
      </c>
      <c r="O642" s="65"/>
      <c r="P642" s="29">
        <v>0</v>
      </c>
      <c r="Q642" s="55"/>
      <c r="R642" s="31">
        <f>M642+Q642</f>
        <v>0</v>
      </c>
      <c r="S642" s="66"/>
      <c r="T642" s="32">
        <f>R642+S642+IF(F642="Without EV deal",L642,0)</f>
        <v>-1</v>
      </c>
      <c r="U642" s="57">
        <v>1</v>
      </c>
      <c r="V642" s="58"/>
      <c r="W642" s="58"/>
      <c r="X642" s="78">
        <v>0.23</v>
      </c>
      <c r="Y642" s="30">
        <f>IF(AG642="None",0,IF(AG642="Fix5",0.05, IF(AG642="Fix6.25",0.0625,IF(AG642="Fix3.75",0.0375,IF(AG642="Fix10",0.1,IF(AG642="Fix3",0.03,0))))))</f>
        <v>0</v>
      </c>
      <c r="Z642" s="35">
        <f>T642-AA642-AB642</f>
        <v>-1</v>
      </c>
      <c r="AA642" s="60">
        <v>0</v>
      </c>
      <c r="AB642" s="36">
        <f>IF(AD642="EUR",((T642-R642)*Y642)*U642+(R642*Y642),(T642*Y642))</f>
        <v>0</v>
      </c>
      <c r="AC642" s="37" t="b">
        <v>1</v>
      </c>
      <c r="AD642" s="61" t="s">
        <v>38</v>
      </c>
      <c r="AE642" s="83" t="s">
        <v>38</v>
      </c>
      <c r="AF642" s="37" t="str">
        <f t="array" ref="AF642">INDEX('Deal Info'!D:D, MATCH(A642,'Deal Info'!A:A, 0))</f>
        <v>DoEV</v>
      </c>
      <c r="AG642" s="38" t="str">
        <f t="array" ref="AG642">INDEX('Deal Info'!G:G, MATCH(A642,'Deal Info'!A:A, 0))</f>
        <v>None</v>
      </c>
    </row>
    <row r="643" spans="1:33" ht="14.25" hidden="1" x14ac:dyDescent="0.2">
      <c r="A643" s="18" t="str">
        <f t="array" ref="A643">IF(G643='Room Info'!$B$1, INDEX('Room Info'!$A$2:$A2446, MATCH(B643,'Room Info'!$B$2:$B2446, 0)),IF(G643='Room Info'!$C$1, INDEX('Room Info'!$A$2:$A2446, MATCH(B643,'Room Info'!$C$2:$C2446, 0)),IF(G643='Room Info'!$D$1, INDEX('Room Info'!$A$2:$A2446, MATCH(B643,'Room Info'!$D$2:$D2446, 0)),IF(G643='Room Info'!$E$1, INDEX('Room Info'!$A$2:$A2446, MATCH(B643,'Room Info'!$E$2:$E2446, 0)),IF(G643='Room Info'!$F$1, INDEX('Room Info'!$A$2:$A2446, MATCH(B643,'Room Info'!$F$2:$F2446, 0)),IF(G643='Room Info'!$H$1, INDEX('Room Info'!$A$2:$A2446, MATCH(B643,'Room Info'!$H$2:$H2446, 0)),IF(G643='Room Info'!$G$1, INDEX('Room Info'!$A$2:$A2446, MATCH(B643,'Room Info'!$G$2:$G2446, 0)))))))))</f>
        <v>Berebka</v>
      </c>
      <c r="B643" s="45" t="s">
        <v>155</v>
      </c>
      <c r="C643" s="46">
        <v>44916</v>
      </c>
      <c r="D643" s="46">
        <v>44957</v>
      </c>
      <c r="E643" s="47">
        <v>44927</v>
      </c>
      <c r="F643" s="48" t="s">
        <v>49</v>
      </c>
      <c r="G643" s="45" t="s">
        <v>35</v>
      </c>
      <c r="H643" s="49" t="s">
        <v>46</v>
      </c>
      <c r="I643" s="49" t="s">
        <v>37</v>
      </c>
      <c r="J643" s="50">
        <v>25</v>
      </c>
      <c r="K643" s="51">
        <v>2673</v>
      </c>
      <c r="L643" s="52">
        <v>-1800</v>
      </c>
      <c r="M643" s="53">
        <v>3871</v>
      </c>
      <c r="N643" s="28">
        <f>K643*J643</f>
        <v>66825</v>
      </c>
      <c r="O643" s="54">
        <v>46139</v>
      </c>
      <c r="P643" s="29">
        <v>17.261129820000001</v>
      </c>
      <c r="Q643" s="55"/>
      <c r="R643" s="31">
        <f>M643+Q643</f>
        <v>3871</v>
      </c>
      <c r="S643" s="56">
        <v>-2018</v>
      </c>
      <c r="T643" s="32">
        <f>R643+S643+IF(F643="Without EV deal",L643,0)</f>
        <v>1853</v>
      </c>
      <c r="U643" s="57">
        <v>1</v>
      </c>
      <c r="V643" s="58"/>
      <c r="W643" s="58"/>
      <c r="X643" s="78">
        <v>0.23</v>
      </c>
      <c r="Y643" s="30">
        <f>IF(AG643="None",0,IF(AG643="Fix5",0.05, IF(AG643="Fix6.25",0.0625,IF(AG643="Fix3.75",0.0375,IF(AG643="Fix10",0.1,IF(AG643="Fix3",0.03,0))))))</f>
        <v>0</v>
      </c>
      <c r="Z643" s="35">
        <f>T643-AA643-AB643</f>
        <v>1427</v>
      </c>
      <c r="AA643" s="60">
        <v>426</v>
      </c>
      <c r="AB643" s="36">
        <f>IF(AD643="EUR",((T643-R643)*Y643)*U643+(R643*Y643),(T643*Y643))</f>
        <v>0</v>
      </c>
      <c r="AC643" s="37" t="b">
        <v>1</v>
      </c>
      <c r="AD643" s="61" t="s">
        <v>38</v>
      </c>
      <c r="AE643" s="83" t="s">
        <v>38</v>
      </c>
      <c r="AF643" s="37" t="str">
        <f t="array" ref="AF643">INDEX('Deal Info'!D:D, MATCH(A643,'Deal Info'!A:A, 0))</f>
        <v>DoEV</v>
      </c>
      <c r="AG643" s="38" t="str">
        <f t="array" ref="AG643">INDEX('Deal Info'!G:G, MATCH(A643,'Deal Info'!A:A, 0))</f>
        <v>None</v>
      </c>
    </row>
    <row r="644" spans="1:33" ht="14.25" hidden="1" x14ac:dyDescent="0.2">
      <c r="A644" s="18" t="str">
        <f t="array" ref="A644">IF(G644='Room Info'!$B$1, INDEX('Room Info'!$A$2:$A2446, MATCH(B644,'Room Info'!$B$2:$B2446, 0)),IF(G644='Room Info'!$C$1, INDEX('Room Info'!$A$2:$A2446, MATCH(B644,'Room Info'!$C$2:$C2446, 0)),IF(G644='Room Info'!$D$1, INDEX('Room Info'!$A$2:$A2446, MATCH(B644,'Room Info'!$D$2:$D2446, 0)),IF(G644='Room Info'!$E$1, INDEX('Room Info'!$A$2:$A2446, MATCH(B644,'Room Info'!$E$2:$E2446, 0)),IF(G644='Room Info'!$F$1, INDEX('Room Info'!$A$2:$A2446, MATCH(B644,'Room Info'!$F$2:$F2446, 0)),IF(G644='Room Info'!$H$1, INDEX('Room Info'!$A$2:$A2446, MATCH(B644,'Room Info'!$H$2:$H2446, 0)),IF(G644='Room Info'!$G$1, INDEX('Room Info'!$A$2:$A2446, MATCH(B644,'Room Info'!$G$2:$G2446, 0)))))))))</f>
        <v>Berebka</v>
      </c>
      <c r="B644" s="45" t="s">
        <v>155</v>
      </c>
      <c r="C644" s="46">
        <v>44916</v>
      </c>
      <c r="D644" s="46">
        <v>44957</v>
      </c>
      <c r="E644" s="47">
        <v>44927</v>
      </c>
      <c r="F644" s="48" t="s">
        <v>49</v>
      </c>
      <c r="G644" s="45" t="s">
        <v>35</v>
      </c>
      <c r="H644" s="49" t="s">
        <v>72</v>
      </c>
      <c r="I644" s="49" t="s">
        <v>37</v>
      </c>
      <c r="J644" s="50">
        <v>50</v>
      </c>
      <c r="K644" s="51">
        <v>10</v>
      </c>
      <c r="L644" s="52">
        <v>-250</v>
      </c>
      <c r="M644" s="53">
        <v>29</v>
      </c>
      <c r="N644" s="28">
        <f>K644*J644</f>
        <v>500</v>
      </c>
      <c r="O644" s="54">
        <v>-46</v>
      </c>
      <c r="P644" s="29">
        <v>-4.5999999999999996</v>
      </c>
      <c r="Q644" s="55"/>
      <c r="R644" s="31">
        <f>M644+Q644</f>
        <v>29</v>
      </c>
      <c r="S644" s="56">
        <v>-35</v>
      </c>
      <c r="T644" s="32">
        <f>R644+S644+IF(F644="Without EV deal",L644,0)</f>
        <v>-6</v>
      </c>
      <c r="U644" s="57">
        <v>1</v>
      </c>
      <c r="V644" s="58"/>
      <c r="W644" s="58"/>
      <c r="X644" s="30">
        <f>IF(AF644="DoEV",IF(AND(V644&lt;20,W644&lt;55),0.3,0)+IF(AND(V644&lt;20,W644&gt;=55,W644&lt;105),0.23,0)+IF(AND(V644&lt;20,W644&gt;=105),0.17,0)+IF(AND(V644&gt;=20,V644&lt;40,W644&lt;45),0.3,0)+IF(AND(V644&gt;=20,V644&lt;40,W644&gt;=45,W644&lt;95),0.23,0)+IF(AND(V644&gt;=20,V644&lt;40,W644&gt;=95),0.17,0)+IF(AND(V644&gt;=40,V644&lt;75,W644&lt;35),0.3,0)+IF(AND(V644&gt;=40,V644&lt;75,W644&gt;=35,W644&lt;75),0.23,0)+IF(AND(V644&gt;=40,V644&lt;75,W644&gt;=75,W644&lt;120),0.17,0)+IF(AND(V644&gt;=40,V644&lt;75,W644&gt;=120),0.12,0)+IF(AND(V644&gt;=75,V644&lt;175,W644&lt;35),0.3,0)+IF(AND(V644&gt;=75,V644&lt;=175,W644&gt;=35,W644&lt;65),0.23,0)+IF(AND(V644&gt;=75,V644&lt;=175,W644&gt;=65,W644&lt;110),0.17,0)+IF(AND(V644&gt;=75,V644&lt;=175,W644&gt;=110),0.12,0)+IF(AND(V644&gt;175,W644&lt;25),0.3,0)+IF(AND(V644&gt;175,W644&gt;=25,W644&lt;55),0.23,0)+IF(AND(V644&gt;175,W644&gt;=55,W644&lt;95),0.17,0)+IF(AND(V644&gt;175,W644&gt;=95),0.12,0),
IF(AF644="Fix15",0.15,
IF(AF644="Fix18.75",0.1875,
IF(AF644="Fix11.25",0.1125,
IF(AF644="Fix10",0.1,
IF(AF644="Fix9",0.09,
IF(AF644="DoEV2017",IF(AND(W644&lt;74),0.2,0)+IF(AND(W644&gt;=74),0.17,0),
IF(AF644="SF",IF(AND(V644&lt;20,W644&lt;89),0.3,0)+IF(AND(V644&lt;20,W644&gt;=89),0.25,0)+IF(AND(V644&gt;=20,V644&lt;40,W644&lt;74),0.3,0)+IF(AND(V644&gt;=20,V644&lt;40,W644&gt;=75),0.22,0)+IF(AND(V644&gt;=40,V644&lt;75,W644&lt;75),0.26,0)+IF(AND(V644&gt;=40,V644&lt;75,W644&gt;=75),0.22,0)+IF(V644&gt;=75,0.22,0),
IF(AF644="DoEVold",IF(AND(V644&lt;40,W644&lt;35),0.35,0)+IF(AND(V644&lt;40,W644&gt;=35,W644&lt;75),0.25,0)+IF(AND(V644&lt;40,W644&gt;=75),0.17,0)+IF(AND(V644&gt;=40,V644&lt;75,W644&lt;25),0.35,0)+IF(AND(V644&gt;=40,V644&lt;75,W644&gt;=25,W644&lt;65),0.25,0)+IF(AND(V644&gt;=40,V644&lt;75,W644&gt;=65,W644&lt;100),0.17,0)+IF(AND(V644&gt;=40,V644&lt;75,W644&gt;=100),0.1,0)+IF(AND(V644&gt;=75,W644&lt;25),0.35,0)+IF(AND(V644&gt;=75,W644&gt;=25,W644&lt;60),0.25,0)+IF(AND(V644&gt;=75,W644&gt;=60,W644&lt;95),0.17,0)+IF(AND(V644&gt;=75,W644&gt;=95),0.1,0),
IF(AF644="DoEVold15",IF(AND(V644&lt;=40,W644&lt;35),0.35,0)+IF(AND(V644&lt;=40,W644&gt;=35,W644&lt;75),0.25,0)+IF(AND(V644&lt;=40,W644&gt;=75,W644&lt;120),0.17,0)+IF(AND(V644&lt;=40,W644&gt;=120),0.15,0)+IF(AND(V644&gt;40,V644&lt;75,W644&lt;25),0.35,0)+IF(AND(V644&gt;=40,V644&lt;75,W644&gt;=25,W644&lt;65),0.25,0)+IF(AND(V644&gt;=40,V644&lt;75,W644&gt;=65,W644&lt;100),0.17,0)+IF(AND(V644&gt;=40,V644&lt;75,W644&gt;=100),0.1,0)+IF(AND(V644&gt;=75,W644&lt;25),0.35,0)+IF(AND(V644&gt;=75,W644&gt;=25,W644&lt;60),0.25,0)+IF(AND(V644&gt;=75,W644&gt;=60,W644&lt;95),0.17,0)+IF(AND(V644&gt;=75,W644&gt;=95),0.1,0),
IF(AF644="DoEVba",IF(AND(V644&lt;20,W644&lt;105),0.2,0)+IF(AND(V644&lt;20,W644&gt;=105),0.15,0)+IF(AND(V644&gt;=20,V644&lt;40,W644&lt;95),0.2,0)+IF(AND(V644&gt;=20,V644&lt;40,W644&gt;=95,W644&lt;150),0.15,0)+IF(AND(V644&gt;=20,V644&lt;40,W644&gt;=150),0.12,0)+IF(AND(V644&gt;=40,V644&lt;75,W644&lt;75),0.2,0)+IF(AND(V644&gt;=40,V644&lt;75,W644&gt;=75,W644&lt;120),0.15,0)+IF(AND(V644&gt;=40,V644&lt;75,W644&gt;=120),0.12,0)+IF(AND(V644&gt;=75,V644&lt;175,W644&lt;65),0.2,0)+IF(AND(V644&gt;=75,V644&lt;175,W644&gt;=65,W644&lt;110),0.15,0)+IF(AND(V644&gt;=75,V644&lt;175,W644&gt;=110),0.12,0)+IF(AND(V644&gt;=175,W644&lt;55),0.2,0)+IF(AND(V644&gt;=175,W644&gt;=55,W644&lt;95),0.15,0)+IF(AND(V644&gt;=175,W644&gt;=95),0.12,0),
IF(AF644="DoEVku",IF(AND(V644&lt;20,W644&lt;55),0.23,0)+IF(AND(V644&lt;20,W644&gt;=55,W644&lt;105),0.2,0)+IF(AND(V644&lt;20,W644&gt;=105),0.17,0)+IF(AND(V644&gt;=20,V644&lt;40,W644&lt;45),0.23,0)+IF(AND(V644&gt;=20,V644&lt;40,W644&gt;=45,W644&lt;95),0.2,0)+IF(AND(V644&gt;=20,V644&lt;40,W644&gt;=95,W644&lt;=150),0.17,0)+IF(AND(V644&gt;=20,V644&lt;40,W644&gt;=150),0.12,0)+IF(AND(V644&gt;=40,V644&lt;75,W644&lt;35),0.23,0)+IF(AND(V644&gt;=40,V644&lt;75,W644&gt;=35,W644&lt;75),0.2,0)+IF(AND(V644&gt;=40,V644&lt;75,W644&gt;=75,W644&lt;120),0.17,0)+IF(AND(V644&gt;=40,V644&lt;75,W644&gt;=120),0.12,0)+IF(AND(V644&gt;=75,V644&lt;175,W644&lt;35),0.23,0)+IF(AND(V644&gt;=75,V644&lt;=175,W644&gt;=35,W644&lt;65),0.2,0)+IF(AND(V644&gt;=75,V644&lt;=175,W644&gt;=65,W644&lt;110),0.17,0)+IF(AND(V644&gt;=75,V644&lt;=175,W644&gt;=110),0.12,0)+IF(AND(V644&gt;175,W644&lt;25),0.23,0)+IF(AND(V644&gt;175,W644&gt;=25,W644&lt;55),0.2,0)+IF(AND(V644&gt;175,W644&gt;=55,W644&lt;95),0.17,0)+IF(AND(V644&gt;175,W644&gt;=95),0.12,0),
IF(AF644="DoEVs1",IF(AND(V644&lt;20,W644&lt;55),0.3,0)+IF(AND(V644&lt;20,W644&gt;=55,W644&lt;105),0.23,0)+IF(AND(V644&lt;20,W644&gt;=105),0.17,0)+IF(AND(V644&gt;=20,V644&lt;40,W644&lt;45),0.3,0)+IF(AND(V644&gt;=20,V644&lt;40,W644&gt;=45,W644&lt;95),0.23,0)+IF(AND(V644&gt;=20,V644&lt;40,W644&gt;=95,W644&lt;=150),0.17,0)+IF(AND(V644&gt;=20,V644&lt;40,W644&gt;=150),0.12,0)+IF(AND(V644&gt;=40,V644&lt;75,W644&lt;35),0.3,0)+IF(AND(V644&gt;=40,V644&lt;75,W644&gt;=35,W644&lt;75),0.23,0)+IF(AND(V644&gt;=40,V644&lt;75,W644&gt;=75,W644&lt;120),0.17,0)+IF(AND(V644&gt;=40,V644&lt;75,W644&gt;=120),0.12,0)+IF(AND(V644&gt;=75,V644&lt;175,W644&lt;35),0.3,0)+IF(AND(V644&gt;=75,V644&lt;=175,W644&gt;=35,W644&lt;65),0.23,0)+IF(AND(V644&gt;=75,V644&lt;=175,W644&gt;=65,W644&lt;110),0.17,0)+IF(AND(V644&gt;=75,V644&lt;=175,W644&gt;=110),0.12,0)+IF(AND(V644&gt;175,W644&lt;25),0.3,0)+IF(AND(V644&gt;175,W644&gt;=25,W644&lt;55),0.23,0)+IF(AND(V644&gt;175,W644&gt;=55,W644&lt;95),0.17,0)+IF(AND(V644&gt;175,W644&gt;=95),0.12,0),
IF(AF644="DoEVsu",IF(AND(V644&lt;20,W644&lt;55),0.3,0)+IF(AND(V644&lt;20,W644&gt;=55,W644&lt;105),0.23,0)+IF(AND(V644&lt;20,W644&gt;=105),0.17,0)+IF(AND(V644&gt;=20,V644&lt;40,W644&lt;45),0.3,0)+IF(AND(V644&gt;=20,V644&lt;40,W644&gt;=45,W644&lt;95),0.23,0)+IF(AND(V644&gt;=20,V644&lt;40,W644&gt;=95,W644&lt;=250),0.17,0)+IF(AND(V644&gt;=20,V644&lt;40,W644&gt;=250),0.12,0)+IF(AND(V644&gt;=40,V644&lt;75,W644&lt;35),0.3,0)+IF(AND(V644&gt;=40,V644&lt;75,W644&gt;=35,W644&lt;75),0.23,0)+IF(AND(V644&gt;=40,V644&lt;75,W644&gt;=75,W644&lt;120),0.17,0)+IF(AND(V644&gt;=40,V644&lt;75,W644&gt;=120),0.12,0)+IF(AND(V644&gt;=75,V644&lt;175,W644&lt;35),0.3,0)+IF(AND(V644&gt;=75,V644&lt;=175,W644&gt;=35,W644&lt;65),0.23,0)+IF(AND(V644&gt;=75,V644&lt;=175,W644&gt;=65,W644&lt;110),0.17,0)+IF(AND(V644&gt;=75,V644&lt;=175,W644&gt;=110),0.12,0)+IF(AND(V644&gt;175,W644&lt;25),0.3,0)+IF(AND(V644&gt;175,W644&gt;=25,W644&lt;55),0.23,0)+IF(AND(V644&gt;175,W644&gt;=55,W644&lt;95),0.17,0)+IF(AND(V644&gt;175,W644&gt;=95),0.12,0),
IF(AF644="DoEVni",IF(AND(V644&lt;20,W644&lt;55),0.3,0)+IF(AND(V644&lt;20,W644&gt;=55,W644&lt;105),0.23,0)+IF(AND(V644&lt;20,W644&gt;=105),0.17,0)+IF(AND(V644&gt;=20,V644&lt;40,W644&lt;45),0.3,0)+IF(AND(V644&gt;=20,V644&lt;40,W644&gt;=45,W644&lt;95),0.23,0)+IF(AND(V644&gt;=20,V644&lt;40,W644&gt;=95,W644&lt;=200),0.17,0)+IF(AND(V644&gt;=20,V644&lt;40,W644&gt;=200),0.12,0)+IF(AND(V644&gt;=40,V644&lt;75,W644&lt;35),0.3,0)+IF(AND(V644&gt;=40,V644&lt;75,W644&gt;=35,W644&lt;75),0.23,0)+IF(AND(V644&gt;=40,V644&lt;75,W644&gt;=75,W644&lt;120),0.17,0)+IF(AND(V644&gt;=40,V644&lt;75,W644&gt;=120),0.12,0)+IF(AND(V644&gt;=75,V644&lt;175,W644&lt;35),0.3,0)+IF(AND(V644&gt;=75,V644&lt;=175,W644&gt;=35,W644&lt;65),0.23,0)+IF(AND(V644&gt;=75,V644&lt;=175,W644&gt;=65,W644&lt;110),0.17,0)+IF(AND(V644&gt;=75,V644&lt;=175,W644&gt;=110),0.12,0)+IF(AND(V644&gt;175,W644&lt;25),0.3,0)+IF(AND(V644&gt;175,W644&gt;=25,W644&lt;55),0.23,0)+IF(AND(V644&gt;175,W644&gt;=55,W644&lt;95),0.17,0)+IF(AND(V644&gt;175,W644&gt;=95),0.12,0),
IF(AF644="DoEVLo",IF(AND(V644&lt;20,W644&lt;55),0.25,0)+IF(AND(V644&lt;20,W644&gt;=55,W644&lt;105),0.2,0)+IF(AND(V644&lt;20,W644&gt;=105),0.15,0)+IF(AND(V644&gt;=20,V644&lt;40,W644&lt;45),0.25,0)+IF(AND(V644&gt;=20,V644&lt;40,W644&gt;=45,W644&lt;95),0.2,0)+IF(AND(V644&gt;=20,V644&lt;40,W644&gt;=95),0.15,0)+IF(AND(V644&gt;=40,V644&lt;75,W644&lt;35),0.25,0)+IF(AND(V644&gt;=40,V644&lt;75,W644&gt;=35,W644&lt;75),0.2,0)+IF(AND(V644&gt;=40,V644&lt;75,W644&gt;=75,W644&lt;120),0.15,0)+IF(AND(V644&gt;=40,V644&lt;75,W644&gt;=120),0.1,0)+IF(AND(V644&gt;=75,V644&lt;175,W644&lt;35),0.25,0)+IF(AND(V644&gt;=75,V644&lt;=175,W644&gt;=35,W644&lt;65),0.2,0)+IF(AND(V644&gt;=75,V644&lt;=175,W644&gt;=65,W644&lt;110),0.15,0)+IF(AND(V644&gt;=75,V644&lt;=175,W644&gt;=110),0.1,0)+IF(AND(V644&gt;175,W644&lt;25),0.25,0)+IF(AND(V644&gt;175,W644&gt;=25,W644&lt;55),0.2,0)+IF(AND(V644&gt;175,W644&gt;=55,W644&lt;95),0.15,0)+IF(AND(V644&gt;175,W644&gt;=95),0.1,0)))))))))))))))))</f>
        <v>0.3</v>
      </c>
      <c r="Y644" s="30">
        <f>IF(AG644="None",0,IF(AG644="Fix5",0.05, IF(AG644="Fix6.25",0.0625,IF(AG644="Fix3.75",0.0375,IF(AG644="Fix10",0.1,IF(AG644="Fix3",0.03,0))))))</f>
        <v>0</v>
      </c>
      <c r="Z644" s="35">
        <f>T644-AA644-AB644</f>
        <v>-5</v>
      </c>
      <c r="AA644" s="60">
        <v>-1</v>
      </c>
      <c r="AB644" s="36">
        <f>IF(AD644="EUR",((T644-R644)*Y644)*U644+(R644*Y644),(T644*Y644))</f>
        <v>0</v>
      </c>
      <c r="AC644" s="37" t="b">
        <v>1</v>
      </c>
      <c r="AD644" s="61" t="s">
        <v>38</v>
      </c>
      <c r="AE644" s="83" t="s">
        <v>38</v>
      </c>
      <c r="AF644" s="37" t="str">
        <f t="array" ref="AF644">INDEX('Deal Info'!D:D, MATCH(A644,'Deal Info'!A:A, 0))</f>
        <v>DoEV</v>
      </c>
      <c r="AG644" s="38" t="str">
        <f t="array" ref="AG644">INDEX('Deal Info'!G:G, MATCH(A644,'Deal Info'!A:A, 0))</f>
        <v>None</v>
      </c>
    </row>
    <row r="645" spans="1:33" ht="14.25" hidden="1" x14ac:dyDescent="0.2">
      <c r="A645" s="18" t="str">
        <f t="array" ref="A645">IF(G645='Room Info'!$B$1, INDEX('Room Info'!$A$2:$A2446, MATCH(B645,'Room Info'!$B$2:$B2446, 0)),IF(G645='Room Info'!$C$1, INDEX('Room Info'!$A$2:$A2446, MATCH(B645,'Room Info'!$C$2:$C2446, 0)),IF(G645='Room Info'!$D$1, INDEX('Room Info'!$A$2:$A2446, MATCH(B645,'Room Info'!$D$2:$D2446, 0)),IF(G645='Room Info'!$E$1, INDEX('Room Info'!$A$2:$A2446, MATCH(B645,'Room Info'!$E$2:$E2446, 0)),IF(G645='Room Info'!$F$1, INDEX('Room Info'!$A$2:$A2446, MATCH(B645,'Room Info'!$F$2:$F2446, 0)),IF(G645='Room Info'!$H$1, INDEX('Room Info'!$A$2:$A2446, MATCH(B645,'Room Info'!$H$2:$H2446, 0)),IF(G645='Room Info'!$G$1, INDEX('Room Info'!$A$2:$A2446, MATCH(B645,'Room Info'!$G$2:$G2446, 0)))))))))</f>
        <v>BodyaComUa</v>
      </c>
      <c r="B645" s="45" t="s">
        <v>156</v>
      </c>
      <c r="C645" s="46">
        <v>44886</v>
      </c>
      <c r="D645" s="46">
        <v>44915</v>
      </c>
      <c r="E645" s="47">
        <v>44896</v>
      </c>
      <c r="F645" s="48" t="s">
        <v>34</v>
      </c>
      <c r="G645" s="45" t="s">
        <v>35</v>
      </c>
      <c r="H645" s="49" t="s">
        <v>39</v>
      </c>
      <c r="I645" s="49" t="s">
        <v>37</v>
      </c>
      <c r="J645" s="50">
        <v>5</v>
      </c>
      <c r="K645" s="51">
        <v>727</v>
      </c>
      <c r="L645" s="52">
        <v>125</v>
      </c>
      <c r="M645" s="53">
        <v>193</v>
      </c>
      <c r="N645" s="28">
        <f>K645*J645</f>
        <v>3635</v>
      </c>
      <c r="O645" s="54">
        <v>49735</v>
      </c>
      <c r="P645" s="29">
        <v>68.411279230000005</v>
      </c>
      <c r="Q645" s="55"/>
      <c r="R645" s="31">
        <f>M645+Q645</f>
        <v>193</v>
      </c>
      <c r="S645" s="56">
        <v>125</v>
      </c>
      <c r="T645" s="32">
        <f>R645+S645+IF(F645="Without EV deal",L645,0)</f>
        <v>318</v>
      </c>
      <c r="U645" s="57">
        <v>1</v>
      </c>
      <c r="V645" s="58"/>
      <c r="W645" s="58"/>
      <c r="X645" s="78">
        <v>0.17</v>
      </c>
      <c r="Y645" s="30">
        <f>IF(AG645="None",0,IF(AG645="Fix5",0.05, IF(AG645="Fix6.25",0.0625,IF(AG645="Fix3.75",0.0375,IF(AG645="Fix10",0.1,IF(AG645="Fix3",0.03,0))))))</f>
        <v>0</v>
      </c>
      <c r="Z645" s="35">
        <f>T645-AA645-AB645</f>
        <v>263.94</v>
      </c>
      <c r="AA645" s="29">
        <f>IF(AD645="EUR",((T645-R645)*X645)*U645+(R645*X645),(T645*X645))</f>
        <v>54.06</v>
      </c>
      <c r="AB645" s="36">
        <f>IF(AD645="EUR",((T645-R645)*Y645)*U645+(R645*Y645),(T645*Y645))</f>
        <v>0</v>
      </c>
      <c r="AC645" s="37" t="b">
        <v>1</v>
      </c>
      <c r="AD645" s="61" t="s">
        <v>38</v>
      </c>
      <c r="AE645" s="83" t="s">
        <v>38</v>
      </c>
      <c r="AF645" s="37" t="str">
        <f t="array" ref="AF645">INDEX('Deal Info'!D:D, MATCH(A645,'Deal Info'!A:A, 0))</f>
        <v>DoEV</v>
      </c>
      <c r="AG645" s="38" t="str">
        <f t="array" ref="AG645">INDEX('Deal Info'!G:G, MATCH(A645,'Deal Info'!A:A, 0))</f>
        <v>None</v>
      </c>
    </row>
    <row r="646" spans="1:33" ht="14.25" hidden="1" x14ac:dyDescent="0.2">
      <c r="A646" s="18" t="str">
        <f t="array" ref="A646">IF(G646='Room Info'!$B$1, INDEX('Room Info'!$A$2:$A2446, MATCH(B646,'Room Info'!$B$2:$B2446, 0)),IF(G646='Room Info'!$C$1, INDEX('Room Info'!$A$2:$A2446, MATCH(B646,'Room Info'!$C$2:$C2446, 0)),IF(G646='Room Info'!$D$1, INDEX('Room Info'!$A$2:$A2446, MATCH(B646,'Room Info'!$D$2:$D2446, 0)),IF(G646='Room Info'!$E$1, INDEX('Room Info'!$A$2:$A2446, MATCH(B646,'Room Info'!$E$2:$E2446, 0)),IF(G646='Room Info'!$F$1, INDEX('Room Info'!$A$2:$A2446, MATCH(B646,'Room Info'!$F$2:$F2446, 0)),IF(G646='Room Info'!$H$1, INDEX('Room Info'!$A$2:$A2446, MATCH(B646,'Room Info'!$H$2:$H2446, 0)),IF(G646='Room Info'!$G$1, INDEX('Room Info'!$A$2:$A2446, MATCH(B646,'Room Info'!$G$2:$G2446, 0)))))))))</f>
        <v>BodyaComUa</v>
      </c>
      <c r="B646" s="45" t="s">
        <v>156</v>
      </c>
      <c r="C646" s="46">
        <v>44886</v>
      </c>
      <c r="D646" s="46">
        <v>44915</v>
      </c>
      <c r="E646" s="47">
        <v>44896</v>
      </c>
      <c r="F646" s="48" t="s">
        <v>34</v>
      </c>
      <c r="G646" s="45" t="s">
        <v>35</v>
      </c>
      <c r="H646" s="49" t="s">
        <v>40</v>
      </c>
      <c r="I646" s="49" t="s">
        <v>37</v>
      </c>
      <c r="J646" s="50">
        <v>10</v>
      </c>
      <c r="K646" s="51">
        <v>454</v>
      </c>
      <c r="L646" s="52">
        <v>30</v>
      </c>
      <c r="M646" s="53">
        <v>210</v>
      </c>
      <c r="N646" s="28">
        <f>K646*J646</f>
        <v>4540</v>
      </c>
      <c r="O646" s="54">
        <v>31193</v>
      </c>
      <c r="P646" s="29">
        <v>68.707048459999996</v>
      </c>
      <c r="Q646" s="55"/>
      <c r="R646" s="31">
        <f>M646+Q646</f>
        <v>210</v>
      </c>
      <c r="S646" s="56">
        <v>230</v>
      </c>
      <c r="T646" s="32">
        <f>R646+S646+IF(F646="Without EV deal",L646,0)</f>
        <v>440</v>
      </c>
      <c r="U646" s="57">
        <v>1</v>
      </c>
      <c r="V646" s="58"/>
      <c r="W646" s="58"/>
      <c r="X646" s="78">
        <v>0.17</v>
      </c>
      <c r="Y646" s="30">
        <f>IF(AG646="None",0,IF(AG646="Fix5",0.05, IF(AG646="Fix6.25",0.0625,IF(AG646="Fix3.75",0.0375,IF(AG646="Fix10",0.1,IF(AG646="Fix3",0.03,0))))))</f>
        <v>0</v>
      </c>
      <c r="Z646" s="35">
        <f>T646-AA646-AB646</f>
        <v>365.2</v>
      </c>
      <c r="AA646" s="29">
        <f>IF(AD646="EUR",((T646-R646)*X646)*U646+(R646*X646),(T646*X646))</f>
        <v>74.800000000000011</v>
      </c>
      <c r="AB646" s="36">
        <f>IF(AD646="EUR",((T646-R646)*Y646)*U646+(R646*Y646),(T646*Y646))</f>
        <v>0</v>
      </c>
      <c r="AC646" s="37" t="b">
        <v>1</v>
      </c>
      <c r="AD646" s="61" t="s">
        <v>38</v>
      </c>
      <c r="AE646" s="83" t="s">
        <v>38</v>
      </c>
      <c r="AF646" s="37" t="str">
        <f t="array" ref="AF646">INDEX('Deal Info'!D:D, MATCH(A646,'Deal Info'!A:A, 0))</f>
        <v>DoEV</v>
      </c>
      <c r="AG646" s="38" t="str">
        <f t="array" ref="AG646">INDEX('Deal Info'!G:G, MATCH(A646,'Deal Info'!A:A, 0))</f>
        <v>None</v>
      </c>
    </row>
    <row r="647" spans="1:33" ht="14.25" hidden="1" x14ac:dyDescent="0.2">
      <c r="A647" s="18" t="str">
        <f t="array" ref="A647">IF(G647='Room Info'!$B$1, INDEX('Room Info'!$A$2:$A2446, MATCH(B647,'Room Info'!$B$2:$B2446, 0)),IF(G647='Room Info'!$C$1, INDEX('Room Info'!$A$2:$A2446, MATCH(B647,'Room Info'!$C$2:$C2446, 0)),IF(G647='Room Info'!$D$1, INDEX('Room Info'!$A$2:$A2446, MATCH(B647,'Room Info'!$D$2:$D2446, 0)),IF(G647='Room Info'!$E$1, INDEX('Room Info'!$A$2:$A2446, MATCH(B647,'Room Info'!$E$2:$E2446, 0)),IF(G647='Room Info'!$F$1, INDEX('Room Info'!$A$2:$A2446, MATCH(B647,'Room Info'!$F$2:$F2446, 0)),IF(G647='Room Info'!$H$1, INDEX('Room Info'!$A$2:$A2446, MATCH(B647,'Room Info'!$H$2:$H2446, 0)),IF(G647='Room Info'!$G$1, INDEX('Room Info'!$A$2:$A2446, MATCH(B647,'Room Info'!$G$2:$G2446, 0)))))))))</f>
        <v>BodyaComUa</v>
      </c>
      <c r="B647" s="45" t="s">
        <v>156</v>
      </c>
      <c r="C647" s="46">
        <v>44886</v>
      </c>
      <c r="D647" s="46">
        <v>44915</v>
      </c>
      <c r="E647" s="47">
        <v>44896</v>
      </c>
      <c r="F647" s="48" t="s">
        <v>41</v>
      </c>
      <c r="G647" s="45" t="s">
        <v>35</v>
      </c>
      <c r="H647" s="49" t="s">
        <v>36</v>
      </c>
      <c r="I647" s="49" t="s">
        <v>37</v>
      </c>
      <c r="J647" s="50">
        <v>2</v>
      </c>
      <c r="K647" s="51">
        <v>91</v>
      </c>
      <c r="L647" s="52">
        <v>30</v>
      </c>
      <c r="M647" s="53">
        <v>10</v>
      </c>
      <c r="N647" s="28">
        <f>K647*J647</f>
        <v>182</v>
      </c>
      <c r="O647" s="65"/>
      <c r="P647" s="29">
        <v>0</v>
      </c>
      <c r="Q647" s="55"/>
      <c r="R647" s="31">
        <f>M647+Q647</f>
        <v>10</v>
      </c>
      <c r="S647" s="66"/>
      <c r="T647" s="32">
        <f>R647+S647+IF(F647="Without EV deal",L647,0)</f>
        <v>40</v>
      </c>
      <c r="U647" s="57">
        <v>1</v>
      </c>
      <c r="V647" s="58"/>
      <c r="W647" s="58"/>
      <c r="X647" s="78">
        <v>0.17</v>
      </c>
      <c r="Y647" s="30">
        <f>IF(AG647="None",0,IF(AG647="Fix5",0.05, IF(AG647="Fix6.25",0.0625,IF(AG647="Fix3.75",0.0375,IF(AG647="Fix10",0.1,IF(AG647="Fix3",0.03,0))))))</f>
        <v>0</v>
      </c>
      <c r="Z647" s="35">
        <f>T647-AA647-AB647</f>
        <v>33.200000000000003</v>
      </c>
      <c r="AA647" s="29">
        <f>IF(AD647="EUR",((T647-R647)*X647)*U647+(R647*X647),(T647*X647))</f>
        <v>6.8000000000000007</v>
      </c>
      <c r="AB647" s="36">
        <f>IF(AD647="EUR",((T647-R647)*Y647)*U647+(R647*Y647),(T647*Y647))</f>
        <v>0</v>
      </c>
      <c r="AC647" s="37" t="b">
        <v>1</v>
      </c>
      <c r="AD647" s="61" t="s">
        <v>38</v>
      </c>
      <c r="AE647" s="83" t="s">
        <v>38</v>
      </c>
      <c r="AF647" s="37" t="str">
        <f t="array" ref="AF647">INDEX('Deal Info'!D:D, MATCH(A647,'Deal Info'!A:A, 0))</f>
        <v>DoEV</v>
      </c>
      <c r="AG647" s="38" t="str">
        <f t="array" ref="AG647">INDEX('Deal Info'!G:G, MATCH(A647,'Deal Info'!A:A, 0))</f>
        <v>None</v>
      </c>
    </row>
    <row r="648" spans="1:33" ht="14.25" hidden="1" x14ac:dyDescent="0.2">
      <c r="A648" s="18" t="str">
        <f t="array" ref="A648">IF(G648='Room Info'!$B$1, INDEX('Room Info'!$A$2:$A2446, MATCH(B648,'Room Info'!$B$2:$B2446, 0)),IF(G648='Room Info'!$C$1, INDEX('Room Info'!$A$2:$A2446, MATCH(B648,'Room Info'!$C$2:$C2446, 0)),IF(G648='Room Info'!$D$1, INDEX('Room Info'!$A$2:$A2446, MATCH(B648,'Room Info'!$D$2:$D2446, 0)),IF(G648='Room Info'!$E$1, INDEX('Room Info'!$A$2:$A2446, MATCH(B648,'Room Info'!$E$2:$E2446, 0)),IF(G648='Room Info'!$F$1, INDEX('Room Info'!$A$2:$A2446, MATCH(B648,'Room Info'!$F$2:$F2446, 0)),IF(G648='Room Info'!$H$1, INDEX('Room Info'!$A$2:$A2446, MATCH(B648,'Room Info'!$H$2:$H2446, 0)),IF(G648='Room Info'!$G$1, INDEX('Room Info'!$A$2:$A2446, MATCH(B648,'Room Info'!$G$2:$G2446, 0)))))))))</f>
        <v>BodyaComUa</v>
      </c>
      <c r="B648" s="54" t="s">
        <v>156</v>
      </c>
      <c r="C648" s="46">
        <v>44916</v>
      </c>
      <c r="D648" s="46">
        <v>44946</v>
      </c>
      <c r="E648" s="47">
        <v>44927</v>
      </c>
      <c r="F648" s="45" t="s">
        <v>34</v>
      </c>
      <c r="G648" s="54" t="s">
        <v>35</v>
      </c>
      <c r="H648" s="49" t="s">
        <v>39</v>
      </c>
      <c r="I648" s="49" t="s">
        <v>37</v>
      </c>
      <c r="J648" s="50">
        <v>5</v>
      </c>
      <c r="K648" s="51">
        <v>1258</v>
      </c>
      <c r="L648" s="52">
        <v>-185</v>
      </c>
      <c r="M648" s="53">
        <v>273</v>
      </c>
      <c r="N648" s="28">
        <f>K648*J648</f>
        <v>6290</v>
      </c>
      <c r="O648" s="54">
        <v>64015</v>
      </c>
      <c r="P648" s="29">
        <v>50.8863275</v>
      </c>
      <c r="Q648" s="55"/>
      <c r="R648" s="31">
        <f>M648+Q648</f>
        <v>273</v>
      </c>
      <c r="S648" s="56">
        <v>28</v>
      </c>
      <c r="T648" s="32">
        <f>R648+S648+IF(F648="Without EV deal",L648,0)</f>
        <v>301</v>
      </c>
      <c r="U648" s="57">
        <v>1</v>
      </c>
      <c r="V648" s="58"/>
      <c r="W648" s="58"/>
      <c r="X648" s="78">
        <v>0.23</v>
      </c>
      <c r="Y648" s="30">
        <f>IF(AG648="None",0,IF(AG648="Fix5",0.05, IF(AG648="Fix6.25",0.0625,IF(AG648="Fix3.75",0.0375,IF(AG648="Fix10",0.1,IF(AG648="Fix3",0.03,0))))))</f>
        <v>0</v>
      </c>
      <c r="Z648" s="35">
        <f>T648-AA648-AB648</f>
        <v>231.76999999999998</v>
      </c>
      <c r="AA648" s="29">
        <f>IF(AD648="EUR",((T648-R648)*X648)*U648+(R648*X648),(T648*X648))</f>
        <v>69.23</v>
      </c>
      <c r="AB648" s="36">
        <f>IF(AD648="EUR",((T648-R648)*Y648)*U648+(R648*Y648),(T648*Y648))</f>
        <v>0</v>
      </c>
      <c r="AC648" s="37" t="b">
        <v>1</v>
      </c>
      <c r="AD648" s="61" t="s">
        <v>38</v>
      </c>
      <c r="AE648" s="83" t="s">
        <v>38</v>
      </c>
      <c r="AF648" s="37" t="str">
        <f t="array" ref="AF648">INDEX('Deal Info'!D:D, MATCH(A648,'Deal Info'!A:A, 0))</f>
        <v>DoEV</v>
      </c>
      <c r="AG648" s="38" t="str">
        <f t="array" ref="AG648">INDEX('Deal Info'!G:G, MATCH(A648,'Deal Info'!A:A, 0))</f>
        <v>None</v>
      </c>
    </row>
    <row r="649" spans="1:33" ht="14.25" hidden="1" x14ac:dyDescent="0.2">
      <c r="A649" s="18" t="str">
        <f t="array" ref="A649">IF(G649='Room Info'!$B$1, INDEX('Room Info'!$A$2:$A2446, MATCH(B649,'Room Info'!$B$2:$B2446, 0)),IF(G649='Room Info'!$C$1, INDEX('Room Info'!$A$2:$A2446, MATCH(B649,'Room Info'!$C$2:$C2446, 0)),IF(G649='Room Info'!$D$1, INDEX('Room Info'!$A$2:$A2446, MATCH(B649,'Room Info'!$D$2:$D2446, 0)),IF(G649='Room Info'!$E$1, INDEX('Room Info'!$A$2:$A2446, MATCH(B649,'Room Info'!$E$2:$E2446, 0)),IF(G649='Room Info'!$F$1, INDEX('Room Info'!$A$2:$A2446, MATCH(B649,'Room Info'!$F$2:$F2446, 0)),IF(G649='Room Info'!$H$1, INDEX('Room Info'!$A$2:$A2446, MATCH(B649,'Room Info'!$H$2:$H2446, 0)),IF(G649='Room Info'!$G$1, INDEX('Room Info'!$A$2:$A2446, MATCH(B649,'Room Info'!$G$2:$G2446, 0)))))))))</f>
        <v>BodyaComUa</v>
      </c>
      <c r="B649" s="54" t="s">
        <v>156</v>
      </c>
      <c r="C649" s="46">
        <v>44916</v>
      </c>
      <c r="D649" s="46">
        <v>44946</v>
      </c>
      <c r="E649" s="47">
        <v>44927</v>
      </c>
      <c r="F649" s="45" t="s">
        <v>34</v>
      </c>
      <c r="G649" s="54" t="s">
        <v>35</v>
      </c>
      <c r="H649" s="49" t="s">
        <v>40</v>
      </c>
      <c r="I649" s="49" t="s">
        <v>37</v>
      </c>
      <c r="J649" s="50">
        <v>10</v>
      </c>
      <c r="K649" s="51">
        <v>1821</v>
      </c>
      <c r="L649" s="52">
        <v>-550</v>
      </c>
      <c r="M649" s="53">
        <v>690</v>
      </c>
      <c r="N649" s="28">
        <f>K649*J649</f>
        <v>18210</v>
      </c>
      <c r="O649" s="54">
        <v>53508</v>
      </c>
      <c r="P649" s="29">
        <v>29.383855019999999</v>
      </c>
      <c r="Q649" s="55"/>
      <c r="R649" s="31">
        <f>M649+Q649</f>
        <v>690</v>
      </c>
      <c r="S649" s="56">
        <v>-356</v>
      </c>
      <c r="T649" s="32">
        <f>R649+S649+IF(F649="Without EV deal",L649,0)</f>
        <v>334</v>
      </c>
      <c r="U649" s="57">
        <v>1</v>
      </c>
      <c r="V649" s="58"/>
      <c r="W649" s="58"/>
      <c r="X649" s="78">
        <v>0.23</v>
      </c>
      <c r="Y649" s="30">
        <f>IF(AG649="None",0,IF(AG649="Fix5",0.05, IF(AG649="Fix6.25",0.0625,IF(AG649="Fix3.75",0.0375,IF(AG649="Fix10",0.1,IF(AG649="Fix3",0.03,0))))))</f>
        <v>0</v>
      </c>
      <c r="Z649" s="35">
        <f>T649-AA649-AB649</f>
        <v>257.18</v>
      </c>
      <c r="AA649" s="29">
        <f>IF(AD649="EUR",((T649-R649)*X649)*U649+(R649*X649),(T649*X649))</f>
        <v>76.820000000000007</v>
      </c>
      <c r="AB649" s="36">
        <f>IF(AD649="EUR",((T649-R649)*Y649)*U649+(R649*Y649),(T649*Y649))</f>
        <v>0</v>
      </c>
      <c r="AC649" s="37" t="b">
        <v>1</v>
      </c>
      <c r="AD649" s="61" t="s">
        <v>38</v>
      </c>
      <c r="AE649" s="83" t="s">
        <v>38</v>
      </c>
      <c r="AF649" s="37" t="str">
        <f t="array" ref="AF649">INDEX('Deal Info'!D:D, MATCH(A649,'Deal Info'!A:A, 0))</f>
        <v>DoEV</v>
      </c>
      <c r="AG649" s="38" t="str">
        <f t="array" ref="AG649">INDEX('Deal Info'!G:G, MATCH(A649,'Deal Info'!A:A, 0))</f>
        <v>None</v>
      </c>
    </row>
    <row r="650" spans="1:33" ht="14.25" hidden="1" x14ac:dyDescent="0.2">
      <c r="A650" s="18" t="str">
        <f t="array" ref="A650">IF(G650='Room Info'!$B$1, INDEX('Room Info'!$A$2:$A2446, MATCH(B650,'Room Info'!$B$2:$B2446, 0)),IF(G650='Room Info'!$C$1, INDEX('Room Info'!$A$2:$A2446, MATCH(B650,'Room Info'!$C$2:$C2446, 0)),IF(G650='Room Info'!$D$1, INDEX('Room Info'!$A$2:$A2446, MATCH(B650,'Room Info'!$D$2:$D2446, 0)),IF(G650='Room Info'!$E$1, INDEX('Room Info'!$A$2:$A2446, MATCH(B650,'Room Info'!$E$2:$E2446, 0)),IF(G650='Room Info'!$F$1, INDEX('Room Info'!$A$2:$A2446, MATCH(B650,'Room Info'!$F$2:$F2446, 0)),IF(G650='Room Info'!$H$1, INDEX('Room Info'!$A$2:$A2446, MATCH(B650,'Room Info'!$H$2:$H2446, 0)),IF(G650='Room Info'!$G$1, INDEX('Room Info'!$A$2:$A2446, MATCH(B650,'Room Info'!$G$2:$G2446, 0)))))))))</f>
        <v>BodyaComUa</v>
      </c>
      <c r="B650" s="45" t="s">
        <v>156</v>
      </c>
      <c r="C650" s="46">
        <v>44916</v>
      </c>
      <c r="D650" s="46">
        <v>44946</v>
      </c>
      <c r="E650" s="47">
        <v>44927</v>
      </c>
      <c r="F650" s="48" t="s">
        <v>41</v>
      </c>
      <c r="G650" s="45" t="s">
        <v>35</v>
      </c>
      <c r="H650" s="49" t="s">
        <v>36</v>
      </c>
      <c r="I650" s="49" t="s">
        <v>37</v>
      </c>
      <c r="J650" s="50">
        <v>2</v>
      </c>
      <c r="K650" s="51">
        <v>314</v>
      </c>
      <c r="L650" s="52">
        <v>52</v>
      </c>
      <c r="M650" s="53">
        <v>27</v>
      </c>
      <c r="N650" s="28">
        <f>K650*J650</f>
        <v>628</v>
      </c>
      <c r="O650" s="65"/>
      <c r="P650" s="29">
        <v>0</v>
      </c>
      <c r="Q650" s="55"/>
      <c r="R650" s="31">
        <f>M650+Q650</f>
        <v>27</v>
      </c>
      <c r="S650" s="66"/>
      <c r="T650" s="32">
        <f>R650+S650+IF(F650="Without EV deal",L650,0)</f>
        <v>79</v>
      </c>
      <c r="U650" s="57">
        <v>1</v>
      </c>
      <c r="V650" s="58"/>
      <c r="W650" s="58"/>
      <c r="X650" s="78">
        <v>0.23</v>
      </c>
      <c r="Y650" s="30">
        <f>IF(AG650="None",0,IF(AG650="Fix5",0.05, IF(AG650="Fix6.25",0.0625,IF(AG650="Fix3.75",0.0375,IF(AG650="Fix10",0.1,IF(AG650="Fix3",0.03,0))))))</f>
        <v>0</v>
      </c>
      <c r="Z650" s="35">
        <f>T650-AA650-AB650</f>
        <v>60.83</v>
      </c>
      <c r="AA650" s="29">
        <f>IF(AD650="EUR",((T650-R650)*X650)*U650+(R650*X650),(T650*X650))</f>
        <v>18.170000000000002</v>
      </c>
      <c r="AB650" s="36">
        <f>IF(AD650="EUR",((T650-R650)*Y650)*U650+(R650*Y650),(T650*Y650))</f>
        <v>0</v>
      </c>
      <c r="AC650" s="37" t="b">
        <v>1</v>
      </c>
      <c r="AD650" s="61" t="s">
        <v>38</v>
      </c>
      <c r="AE650" s="83" t="s">
        <v>38</v>
      </c>
      <c r="AF650" s="37" t="str">
        <f t="array" ref="AF650">INDEX('Deal Info'!D:D, MATCH(A650,'Deal Info'!A:A, 0))</f>
        <v>DoEV</v>
      </c>
      <c r="AG650" s="38" t="str">
        <f t="array" ref="AG650">INDEX('Deal Info'!G:G, MATCH(A650,'Deal Info'!A:A, 0))</f>
        <v>None</v>
      </c>
    </row>
    <row r="651" spans="1:33" ht="14.25" hidden="1" x14ac:dyDescent="0.2">
      <c r="A651" s="18" t="str">
        <f t="array" ref="A651">IF(G651='Room Info'!$B$1, INDEX('Room Info'!$A$2:$A2446, MATCH(B651,'Room Info'!$B$2:$B2446, 0)),IF(G651='Room Info'!$C$1, INDEX('Room Info'!$A$2:$A2446, MATCH(B651,'Room Info'!$C$2:$C2446, 0)),IF(G651='Room Info'!$D$1, INDEX('Room Info'!$A$2:$A2446, MATCH(B651,'Room Info'!$D$2:$D2446, 0)),IF(G651='Room Info'!$E$1, INDEX('Room Info'!$A$2:$A2446, MATCH(B651,'Room Info'!$E$2:$E2446, 0)),IF(G651='Room Info'!$F$1, INDEX('Room Info'!$A$2:$A2446, MATCH(B651,'Room Info'!$F$2:$F2446, 0)),IF(G651='Room Info'!$H$1, INDEX('Room Info'!$A$2:$A2446, MATCH(B651,'Room Info'!$H$2:$H2446, 0)),IF(G651='Room Info'!$G$1, INDEX('Room Info'!$A$2:$A2446, MATCH(B651,'Room Info'!$G$2:$G2446, 0)))))))))</f>
        <v>Davaibablo</v>
      </c>
      <c r="B651" s="45" t="s">
        <v>157</v>
      </c>
      <c r="C651" s="46">
        <v>44684</v>
      </c>
      <c r="D651" s="46">
        <v>44712</v>
      </c>
      <c r="E651" s="47">
        <v>44682</v>
      </c>
      <c r="F651" s="48" t="s">
        <v>41</v>
      </c>
      <c r="G651" s="45" t="s">
        <v>53</v>
      </c>
      <c r="H651" s="49" t="s">
        <v>54</v>
      </c>
      <c r="I651" s="49" t="s">
        <v>37</v>
      </c>
      <c r="J651" s="50">
        <v>5</v>
      </c>
      <c r="K651" s="51">
        <v>1</v>
      </c>
      <c r="L651" s="52">
        <v>0.17</v>
      </c>
      <c r="M651" s="53">
        <v>0</v>
      </c>
      <c r="N651" s="28">
        <f>K651*J651</f>
        <v>5</v>
      </c>
      <c r="O651" s="54">
        <v>131</v>
      </c>
      <c r="P651" s="29">
        <v>131</v>
      </c>
      <c r="Q651" s="55"/>
      <c r="R651" s="31">
        <f>M651+Q651</f>
        <v>0</v>
      </c>
      <c r="S651" s="56"/>
      <c r="T651" s="32">
        <f>R651+S651+IF(F651="Without EV deal",L651,0)</f>
        <v>0.17</v>
      </c>
      <c r="U651" s="57">
        <v>1.05</v>
      </c>
      <c r="V651" s="58"/>
      <c r="W651" s="58"/>
      <c r="X651" s="78">
        <v>0.17</v>
      </c>
      <c r="Y651" s="30">
        <f>IF(AG651="None",0,IF(AG651="Fix5",0.05, IF(AG651="Fix6.25",0.0625,IF(AG651="Fix3.75",0.0375,IF(AG651="Fix10",0.1,IF(AG651="Fix3",0.03,0))))))</f>
        <v>0</v>
      </c>
      <c r="Z651" s="59">
        <v>0</v>
      </c>
      <c r="AA651" s="60">
        <v>0</v>
      </c>
      <c r="AB651" s="36">
        <f>IF(AD651="EUR",((T651-R651)*Y651)*U651+(R651*Y651),(T651*Y651))</f>
        <v>0</v>
      </c>
      <c r="AC651" s="37" t="b">
        <v>1</v>
      </c>
      <c r="AD651" s="61" t="s">
        <v>38</v>
      </c>
      <c r="AE651" s="83" t="s">
        <v>38</v>
      </c>
      <c r="AF651" s="37" t="str">
        <f t="array" ref="AF651">INDEX('Deal Info'!D:D, MATCH(A651,'Deal Info'!A:A, 0))</f>
        <v>DoEV</v>
      </c>
      <c r="AG651" s="38" t="str">
        <f t="array" ref="AG651">INDEX('Deal Info'!G:G, MATCH(A651,'Deal Info'!A:A, 0))</f>
        <v>None</v>
      </c>
    </row>
    <row r="652" spans="1:33" ht="14.25" hidden="1" x14ac:dyDescent="0.2">
      <c r="A652" s="18" t="str">
        <f t="array" ref="A652">IF(G652='Room Info'!$B$1, INDEX('Room Info'!$A$2:$A2446, MATCH(B652,'Room Info'!$B$2:$B2446, 0)),IF(G652='Room Info'!$C$1, INDEX('Room Info'!$A$2:$A2446, MATCH(B652,'Room Info'!$C$2:$C2446, 0)),IF(G652='Room Info'!$D$1, INDEX('Room Info'!$A$2:$A2446, MATCH(B652,'Room Info'!$D$2:$D2446, 0)),IF(G652='Room Info'!$E$1, INDEX('Room Info'!$A$2:$A2446, MATCH(B652,'Room Info'!$E$2:$E2446, 0)),IF(G652='Room Info'!$F$1, INDEX('Room Info'!$A$2:$A2446, MATCH(B652,'Room Info'!$F$2:$F2446, 0)),IF(G652='Room Info'!$H$1, INDEX('Room Info'!$A$2:$A2446, MATCH(B652,'Room Info'!$H$2:$H2446, 0)),IF(G652='Room Info'!$G$1, INDEX('Room Info'!$A$2:$A2446, MATCH(B652,'Room Info'!$G$2:$G2446, 0)))))))))</f>
        <v>Davaibablo</v>
      </c>
      <c r="B652" s="45" t="s">
        <v>157</v>
      </c>
      <c r="C652" s="46">
        <v>44684</v>
      </c>
      <c r="D652" s="46">
        <v>44712</v>
      </c>
      <c r="E652" s="47">
        <v>44682</v>
      </c>
      <c r="F652" s="48" t="s">
        <v>41</v>
      </c>
      <c r="G652" s="45" t="s">
        <v>53</v>
      </c>
      <c r="H652" s="49" t="s">
        <v>55</v>
      </c>
      <c r="I652" s="49" t="s">
        <v>37</v>
      </c>
      <c r="J652" s="50">
        <v>10</v>
      </c>
      <c r="K652" s="51">
        <v>5</v>
      </c>
      <c r="L652" s="52">
        <v>1.67</v>
      </c>
      <c r="M652" s="53">
        <v>2</v>
      </c>
      <c r="N652" s="28">
        <f>K652*J652</f>
        <v>50</v>
      </c>
      <c r="O652" s="54">
        <v>-1006</v>
      </c>
      <c r="P652" s="29">
        <v>-201.2</v>
      </c>
      <c r="Q652" s="55"/>
      <c r="R652" s="31">
        <f>M652+Q652</f>
        <v>2</v>
      </c>
      <c r="S652" s="56"/>
      <c r="T652" s="32">
        <f>R652+S652+IF(F652="Without EV deal",L652,0)</f>
        <v>3.67</v>
      </c>
      <c r="U652" s="57">
        <v>1.05</v>
      </c>
      <c r="V652" s="58"/>
      <c r="W652" s="58"/>
      <c r="X652" s="78">
        <v>0.17</v>
      </c>
      <c r="Y652" s="30">
        <f>IF(AG652="None",0,IF(AG652="Fix5",0.05, IF(AG652="Fix6.25",0.0625,IF(AG652="Fix3.75",0.0375,IF(AG652="Fix10",0.1,IF(AG652="Fix3",0.03,0))))))</f>
        <v>0</v>
      </c>
      <c r="Z652" s="59">
        <v>3</v>
      </c>
      <c r="AA652" s="60">
        <v>1</v>
      </c>
      <c r="AB652" s="36">
        <f>IF(AD652="EUR",((T652-R652)*Y652)*U652+(R652*Y652),(T652*Y652))</f>
        <v>0</v>
      </c>
      <c r="AC652" s="37" t="b">
        <v>1</v>
      </c>
      <c r="AD652" s="61" t="s">
        <v>38</v>
      </c>
      <c r="AE652" s="83" t="s">
        <v>38</v>
      </c>
      <c r="AF652" s="37" t="str">
        <f t="array" ref="AF652">INDEX('Deal Info'!D:D, MATCH(A652,'Deal Info'!A:A, 0))</f>
        <v>DoEV</v>
      </c>
      <c r="AG652" s="38" t="str">
        <f t="array" ref="AG652">INDEX('Deal Info'!G:G, MATCH(A652,'Deal Info'!A:A, 0))</f>
        <v>None</v>
      </c>
    </row>
    <row r="653" spans="1:33" ht="14.25" hidden="1" x14ac:dyDescent="0.2">
      <c r="A653" s="18" t="str">
        <f t="array" ref="A653">IF(G653='Room Info'!$B$1, INDEX('Room Info'!$A$2:$A2446, MATCH(B653,'Room Info'!$B$2:$B2446, 0)),IF(G653='Room Info'!$C$1, INDEX('Room Info'!$A$2:$A2446, MATCH(B653,'Room Info'!$C$2:$C2446, 0)),IF(G653='Room Info'!$D$1, INDEX('Room Info'!$A$2:$A2446, MATCH(B653,'Room Info'!$D$2:$D2446, 0)),IF(G653='Room Info'!$E$1, INDEX('Room Info'!$A$2:$A2446, MATCH(B653,'Room Info'!$E$2:$E2446, 0)),IF(G653='Room Info'!$F$1, INDEX('Room Info'!$A$2:$A2446, MATCH(B653,'Room Info'!$F$2:$F2446, 0)),IF(G653='Room Info'!$H$1, INDEX('Room Info'!$A$2:$A2446, MATCH(B653,'Room Info'!$H$2:$H2446, 0)),IF(G653='Room Info'!$G$1, INDEX('Room Info'!$A$2:$A2446, MATCH(B653,'Room Info'!$G$2:$G2446, 0)))))))))</f>
        <v>Davaibablo</v>
      </c>
      <c r="B653" s="45" t="s">
        <v>157</v>
      </c>
      <c r="C653" s="46">
        <v>44684</v>
      </c>
      <c r="D653" s="46">
        <v>44712</v>
      </c>
      <c r="E653" s="47">
        <v>44682</v>
      </c>
      <c r="F653" s="45" t="s">
        <v>41</v>
      </c>
      <c r="G653" s="54" t="s">
        <v>53</v>
      </c>
      <c r="H653" s="49" t="s">
        <v>56</v>
      </c>
      <c r="I653" s="49" t="s">
        <v>37</v>
      </c>
      <c r="J653" s="50">
        <v>20</v>
      </c>
      <c r="K653" s="51">
        <v>2212</v>
      </c>
      <c r="L653" s="52">
        <v>1475.17</v>
      </c>
      <c r="M653" s="53">
        <v>1548</v>
      </c>
      <c r="N653" s="28">
        <f>K653*J653</f>
        <v>44240</v>
      </c>
      <c r="O653" s="54">
        <v>68572</v>
      </c>
      <c r="P653" s="29">
        <v>31</v>
      </c>
      <c r="Q653" s="55"/>
      <c r="R653" s="31">
        <f>M653+Q653</f>
        <v>1548</v>
      </c>
      <c r="S653" s="56"/>
      <c r="T653" s="32">
        <f>R653+S653+IF(F653="Without EV deal",L653,0)</f>
        <v>3023.17</v>
      </c>
      <c r="U653" s="57">
        <v>1.05</v>
      </c>
      <c r="V653" s="58"/>
      <c r="W653" s="58"/>
      <c r="X653" s="78">
        <v>0.23</v>
      </c>
      <c r="Y653" s="30">
        <f>IF(AG653="None",0,IF(AG653="Fix5",0.05, IF(AG653="Fix6.25",0.0625,IF(AG653="Fix3.75",0.0375,IF(AG653="Fix10",0.1,IF(AG653="Fix3",0.03,0))))))</f>
        <v>0</v>
      </c>
      <c r="Z653" s="59">
        <v>2635</v>
      </c>
      <c r="AA653" s="60">
        <v>540</v>
      </c>
      <c r="AB653" s="36">
        <f>IF(AD653="EUR",((T653-R653)*Y653)*U653+(R653*Y653),(T653*Y653))</f>
        <v>0</v>
      </c>
      <c r="AC653" s="37" t="b">
        <v>1</v>
      </c>
      <c r="AD653" s="61" t="s">
        <v>38</v>
      </c>
      <c r="AE653" s="83" t="s">
        <v>38</v>
      </c>
      <c r="AF653" s="37" t="str">
        <f t="array" ref="AF653">INDEX('Deal Info'!D:D, MATCH(A653,'Deal Info'!A:A, 0))</f>
        <v>DoEV</v>
      </c>
      <c r="AG653" s="38" t="str">
        <f t="array" ref="AG653">INDEX('Deal Info'!G:G, MATCH(A653,'Deal Info'!A:A, 0))</f>
        <v>None</v>
      </c>
    </row>
    <row r="654" spans="1:33" ht="14.25" hidden="1" x14ac:dyDescent="0.2">
      <c r="A654" s="18" t="str">
        <f t="array" ref="A654">IF(G654='Room Info'!$B$1, INDEX('Room Info'!$A$2:$A2446, MATCH(B654,'Room Info'!$B$2:$B2446, 0)),IF(G654='Room Info'!$C$1, INDEX('Room Info'!$A$2:$A2446, MATCH(B654,'Room Info'!$C$2:$C2446, 0)),IF(G654='Room Info'!$D$1, INDEX('Room Info'!$A$2:$A2446, MATCH(B654,'Room Info'!$D$2:$D2446, 0)),IF(G654='Room Info'!$E$1, INDEX('Room Info'!$A$2:$A2446, MATCH(B654,'Room Info'!$E$2:$E2446, 0)),IF(G654='Room Info'!$F$1, INDEX('Room Info'!$A$2:$A2446, MATCH(B654,'Room Info'!$F$2:$F2446, 0)),IF(G654='Room Info'!$H$1, INDEX('Room Info'!$A$2:$A2446, MATCH(B654,'Room Info'!$H$2:$H2446, 0)),IF(G654='Room Info'!$G$1, INDEX('Room Info'!$A$2:$A2446, MATCH(B654,'Room Info'!$G$2:$G2446, 0)))))))))</f>
        <v>Davaibablo</v>
      </c>
      <c r="B654" s="45" t="s">
        <v>157</v>
      </c>
      <c r="C654" s="46">
        <v>44713</v>
      </c>
      <c r="D654" s="46">
        <v>44742</v>
      </c>
      <c r="E654" s="47">
        <v>44713</v>
      </c>
      <c r="F654" s="45" t="s">
        <v>41</v>
      </c>
      <c r="G654" s="54" t="s">
        <v>53</v>
      </c>
      <c r="H654" s="49" t="s">
        <v>54</v>
      </c>
      <c r="I654" s="49" t="s">
        <v>37</v>
      </c>
      <c r="J654" s="50">
        <v>5</v>
      </c>
      <c r="K654" s="51">
        <v>8</v>
      </c>
      <c r="L654" s="52">
        <v>-1.01</v>
      </c>
      <c r="M654" s="53">
        <v>1</v>
      </c>
      <c r="N654" s="28">
        <f>K654*J654</f>
        <v>40</v>
      </c>
      <c r="O654" s="54">
        <v>813</v>
      </c>
      <c r="P654" s="29">
        <v>101.625</v>
      </c>
      <c r="Q654" s="55"/>
      <c r="R654" s="31">
        <f>M654+Q654</f>
        <v>1</v>
      </c>
      <c r="S654" s="56"/>
      <c r="T654" s="32">
        <f>R654+S654+IF(F654="Without EV deal",L654,0)</f>
        <v>-1.0000000000000009E-2</v>
      </c>
      <c r="U654" s="57">
        <v>1.0529999999999999</v>
      </c>
      <c r="V654" s="58"/>
      <c r="W654" s="58"/>
      <c r="X654" s="78">
        <v>0.23</v>
      </c>
      <c r="Y654" s="30">
        <f>IF(AG654="None",0,IF(AG654="Fix5",0.05, IF(AG654="Fix6.25",0.0625,IF(AG654="Fix3.75",0.0375,IF(AG654="Fix10",0.1,IF(AG654="Fix3",0.03,0))))))</f>
        <v>0</v>
      </c>
      <c r="Z654" s="59">
        <v>0</v>
      </c>
      <c r="AA654" s="60">
        <v>0</v>
      </c>
      <c r="AB654" s="36">
        <f>IF(AD654="EUR",((T654-R654)*Y654)*U654+(R654*Y654),(T654*Y654))</f>
        <v>0</v>
      </c>
      <c r="AC654" s="37" t="b">
        <v>1</v>
      </c>
      <c r="AD654" s="61" t="s">
        <v>38</v>
      </c>
      <c r="AE654" s="83" t="s">
        <v>38</v>
      </c>
      <c r="AF654" s="37" t="str">
        <f t="array" ref="AF654">INDEX('Deal Info'!D:D, MATCH(A654,'Deal Info'!A:A, 0))</f>
        <v>DoEV</v>
      </c>
      <c r="AG654" s="38" t="str">
        <f t="array" ref="AG654">INDEX('Deal Info'!G:G, MATCH(A654,'Deal Info'!A:A, 0))</f>
        <v>None</v>
      </c>
    </row>
    <row r="655" spans="1:33" ht="14.25" hidden="1" x14ac:dyDescent="0.2">
      <c r="A655" s="18" t="str">
        <f t="array" ref="A655">IF(G655='Room Info'!$B$1, INDEX('Room Info'!$A$2:$A2446, MATCH(B655,'Room Info'!$B$2:$B2446, 0)),IF(G655='Room Info'!$C$1, INDEX('Room Info'!$A$2:$A2446, MATCH(B655,'Room Info'!$C$2:$C2446, 0)),IF(G655='Room Info'!$D$1, INDEX('Room Info'!$A$2:$A2446, MATCH(B655,'Room Info'!$D$2:$D2446, 0)),IF(G655='Room Info'!$E$1, INDEX('Room Info'!$A$2:$A2446, MATCH(B655,'Room Info'!$E$2:$E2446, 0)),IF(G655='Room Info'!$F$1, INDEX('Room Info'!$A$2:$A2446, MATCH(B655,'Room Info'!$F$2:$F2446, 0)),IF(G655='Room Info'!$H$1, INDEX('Room Info'!$A$2:$A2446, MATCH(B655,'Room Info'!$H$2:$H2446, 0)),IF(G655='Room Info'!$G$1, INDEX('Room Info'!$A$2:$A2446, MATCH(B655,'Room Info'!$G$2:$G2446, 0)))))))))</f>
        <v>Davaibablo</v>
      </c>
      <c r="B655" s="45" t="s">
        <v>157</v>
      </c>
      <c r="C655" s="46">
        <v>44713</v>
      </c>
      <c r="D655" s="46">
        <v>44742</v>
      </c>
      <c r="E655" s="47">
        <v>44713</v>
      </c>
      <c r="F655" s="48" t="s">
        <v>41</v>
      </c>
      <c r="G655" s="45" t="s">
        <v>53</v>
      </c>
      <c r="H655" s="49" t="s">
        <v>55</v>
      </c>
      <c r="I655" s="49" t="s">
        <v>37</v>
      </c>
      <c r="J655" s="50">
        <v>10</v>
      </c>
      <c r="K655" s="51">
        <v>10</v>
      </c>
      <c r="L655" s="52">
        <v>-2.52</v>
      </c>
      <c r="M655" s="53">
        <v>4</v>
      </c>
      <c r="N655" s="28">
        <f>K655*J655</f>
        <v>100</v>
      </c>
      <c r="O655" s="54">
        <v>284</v>
      </c>
      <c r="P655" s="29">
        <v>28.4</v>
      </c>
      <c r="Q655" s="55"/>
      <c r="R655" s="31">
        <f>M655+Q655</f>
        <v>4</v>
      </c>
      <c r="S655" s="56"/>
      <c r="T655" s="32">
        <f>R655+S655+IF(F655="Without EV deal",L655,0)</f>
        <v>1.48</v>
      </c>
      <c r="U655" s="57">
        <v>1.0529999999999999</v>
      </c>
      <c r="V655" s="58"/>
      <c r="W655" s="58"/>
      <c r="X655" s="78">
        <v>0.23</v>
      </c>
      <c r="Y655" s="30">
        <f>IF(AG655="None",0,IF(AG655="Fix5",0.05, IF(AG655="Fix6.25",0.0625,IF(AG655="Fix3.75",0.0375,IF(AG655="Fix10",0.1,IF(AG655="Fix3",0.03,0))))))</f>
        <v>0</v>
      </c>
      <c r="Z655" s="59">
        <v>1</v>
      </c>
      <c r="AA655" s="60">
        <v>0</v>
      </c>
      <c r="AB655" s="36">
        <f>IF(AD655="EUR",((T655-R655)*Y655)*U655+(R655*Y655),(T655*Y655))</f>
        <v>0</v>
      </c>
      <c r="AC655" s="37" t="b">
        <v>1</v>
      </c>
      <c r="AD655" s="61" t="s">
        <v>38</v>
      </c>
      <c r="AE655" s="83" t="s">
        <v>38</v>
      </c>
      <c r="AF655" s="37" t="str">
        <f t="array" ref="AF655">INDEX('Deal Info'!D:D, MATCH(A655,'Deal Info'!A:A, 0))</f>
        <v>DoEV</v>
      </c>
      <c r="AG655" s="38" t="str">
        <f t="array" ref="AG655">INDEX('Deal Info'!G:G, MATCH(A655,'Deal Info'!A:A, 0))</f>
        <v>None</v>
      </c>
    </row>
    <row r="656" spans="1:33" ht="14.25" hidden="1" x14ac:dyDescent="0.2">
      <c r="A656" s="18" t="str">
        <f t="array" ref="A656">IF(G656='Room Info'!$B$1, INDEX('Room Info'!$A$2:$A2446, MATCH(B656,'Room Info'!$B$2:$B2446, 0)),IF(G656='Room Info'!$C$1, INDEX('Room Info'!$A$2:$A2446, MATCH(B656,'Room Info'!$C$2:$C2446, 0)),IF(G656='Room Info'!$D$1, INDEX('Room Info'!$A$2:$A2446, MATCH(B656,'Room Info'!$D$2:$D2446, 0)),IF(G656='Room Info'!$E$1, INDEX('Room Info'!$A$2:$A2446, MATCH(B656,'Room Info'!$E$2:$E2446, 0)),IF(G656='Room Info'!$F$1, INDEX('Room Info'!$A$2:$A2446, MATCH(B656,'Room Info'!$F$2:$F2446, 0)),IF(G656='Room Info'!$H$1, INDEX('Room Info'!$A$2:$A2446, MATCH(B656,'Room Info'!$H$2:$H2446, 0)),IF(G656='Room Info'!$G$1, INDEX('Room Info'!$A$2:$A2446, MATCH(B656,'Room Info'!$G$2:$G2446, 0)))))))))</f>
        <v>Davaibablo</v>
      </c>
      <c r="B656" s="45" t="s">
        <v>157</v>
      </c>
      <c r="C656" s="46">
        <v>44713</v>
      </c>
      <c r="D656" s="46">
        <v>44742</v>
      </c>
      <c r="E656" s="47">
        <v>44713</v>
      </c>
      <c r="F656" s="48" t="s">
        <v>41</v>
      </c>
      <c r="G656" s="45" t="s">
        <v>53</v>
      </c>
      <c r="H656" s="49" t="s">
        <v>56</v>
      </c>
      <c r="I656" s="49" t="s">
        <v>37</v>
      </c>
      <c r="J656" s="50">
        <v>20</v>
      </c>
      <c r="K656" s="51">
        <v>1305</v>
      </c>
      <c r="L656" s="52">
        <v>-658.47</v>
      </c>
      <c r="M656" s="53">
        <v>914</v>
      </c>
      <c r="N656" s="28">
        <f>K656*J656</f>
        <v>26100</v>
      </c>
      <c r="O656" s="54">
        <v>69594</v>
      </c>
      <c r="P656" s="29">
        <v>53.328735629999997</v>
      </c>
      <c r="Q656" s="55"/>
      <c r="R656" s="31">
        <f>M656+Q656</f>
        <v>914</v>
      </c>
      <c r="S656" s="56"/>
      <c r="T656" s="32">
        <f>R656+S656+IF(F656="Without EV deal",L656,0)</f>
        <v>255.52999999999997</v>
      </c>
      <c r="U656" s="57">
        <v>1.0529999999999999</v>
      </c>
      <c r="V656" s="58"/>
      <c r="W656" s="58"/>
      <c r="X656" s="78">
        <v>0.23</v>
      </c>
      <c r="Y656" s="30">
        <f>IF(AG656="None",0,IF(AG656="Fix5",0.05, IF(AG656="Fix6.25",0.0625,IF(AG656="Fix3.75",0.0375,IF(AG656="Fix10",0.1,IF(AG656="Fix3",0.03,0))))))</f>
        <v>0</v>
      </c>
      <c r="Z656" s="59">
        <v>207</v>
      </c>
      <c r="AA656" s="60">
        <v>62</v>
      </c>
      <c r="AB656" s="36">
        <f>IF(AD656="EUR",((T656-R656)*Y656)*U656+(R656*Y656),(T656*Y656))</f>
        <v>0</v>
      </c>
      <c r="AC656" s="37" t="b">
        <v>1</v>
      </c>
      <c r="AD656" s="61" t="s">
        <v>38</v>
      </c>
      <c r="AE656" s="83" t="s">
        <v>38</v>
      </c>
      <c r="AF656" s="37" t="str">
        <f t="array" ref="AF656">INDEX('Deal Info'!D:D, MATCH(A656,'Deal Info'!A:A, 0))</f>
        <v>DoEV</v>
      </c>
      <c r="AG656" s="38" t="str">
        <f t="array" ref="AG656">INDEX('Deal Info'!G:G, MATCH(A656,'Deal Info'!A:A, 0))</f>
        <v>None</v>
      </c>
    </row>
    <row r="657" spans="1:33" ht="14.25" hidden="1" x14ac:dyDescent="0.2">
      <c r="A657" s="18" t="str">
        <f t="array" ref="A657">IF(G657='Room Info'!$B$1, INDEX('Room Info'!$A$2:$A2446, MATCH(B657,'Room Info'!$B$2:$B2446, 0)),IF(G657='Room Info'!$C$1, INDEX('Room Info'!$A$2:$A2446, MATCH(B657,'Room Info'!$C$2:$C2446, 0)),IF(G657='Room Info'!$D$1, INDEX('Room Info'!$A$2:$A2446, MATCH(B657,'Room Info'!$D$2:$D2446, 0)),IF(G657='Room Info'!$E$1, INDEX('Room Info'!$A$2:$A2446, MATCH(B657,'Room Info'!$E$2:$E2446, 0)),IF(G657='Room Info'!$F$1, INDEX('Room Info'!$A$2:$A2446, MATCH(B657,'Room Info'!$F$2:$F2446, 0)),IF(G657='Room Info'!$H$1, INDEX('Room Info'!$A$2:$A2446, MATCH(B657,'Room Info'!$H$2:$H2446, 0)),IF(G657='Room Info'!$G$1, INDEX('Room Info'!$A$2:$A2446, MATCH(B657,'Room Info'!$G$2:$G2446, 0)))))))))</f>
        <v>Davaibablo</v>
      </c>
      <c r="B657" s="45" t="s">
        <v>157</v>
      </c>
      <c r="C657" s="46">
        <v>44713</v>
      </c>
      <c r="D657" s="46">
        <v>44742</v>
      </c>
      <c r="E657" s="47">
        <v>44713</v>
      </c>
      <c r="F657" s="48" t="s">
        <v>41</v>
      </c>
      <c r="G657" s="45" t="s">
        <v>35</v>
      </c>
      <c r="H657" s="49" t="s">
        <v>46</v>
      </c>
      <c r="I657" s="49" t="s">
        <v>37</v>
      </c>
      <c r="J657" s="50">
        <v>25</v>
      </c>
      <c r="K657" s="51">
        <v>972</v>
      </c>
      <c r="L657" s="52">
        <v>775</v>
      </c>
      <c r="M657" s="53">
        <v>270</v>
      </c>
      <c r="N657" s="28">
        <f>K657*J657</f>
        <v>24300</v>
      </c>
      <c r="O657" s="54">
        <v>69599</v>
      </c>
      <c r="P657" s="29">
        <v>71.603909470000005</v>
      </c>
      <c r="Q657" s="55"/>
      <c r="R657" s="31">
        <f>M657+Q657</f>
        <v>270</v>
      </c>
      <c r="S657" s="56"/>
      <c r="T657" s="32">
        <f>R657+S657+IF(F657="Without EV deal",L657,0)</f>
        <v>1045</v>
      </c>
      <c r="U657" s="57">
        <v>1</v>
      </c>
      <c r="V657" s="58"/>
      <c r="W657" s="58"/>
      <c r="X657" s="78">
        <v>0.23</v>
      </c>
      <c r="Y657" s="30">
        <f>IF(AG657="None",0,IF(AG657="Fix5",0.05, IF(AG657="Fix6.25",0.0625,IF(AG657="Fix3.75",0.0375,IF(AG657="Fix10",0.1,IF(AG657="Fix3",0.03,0))))))</f>
        <v>0</v>
      </c>
      <c r="Z657" s="59">
        <v>805</v>
      </c>
      <c r="AA657" s="60">
        <v>240</v>
      </c>
      <c r="AB657" s="36">
        <f>IF(AD657="EUR",((T657-R657)*Y657)*U657+(R657*Y657),(T657*Y657))</f>
        <v>0</v>
      </c>
      <c r="AC657" s="37" t="b">
        <v>1</v>
      </c>
      <c r="AD657" s="61" t="s">
        <v>38</v>
      </c>
      <c r="AE657" s="83" t="s">
        <v>38</v>
      </c>
      <c r="AF657" s="37" t="str">
        <f t="array" ref="AF657">INDEX('Deal Info'!D:D, MATCH(A657,'Deal Info'!A:A, 0))</f>
        <v>DoEV</v>
      </c>
      <c r="AG657" s="38" t="str">
        <f t="array" ref="AG657">INDEX('Deal Info'!G:G, MATCH(A657,'Deal Info'!A:A, 0))</f>
        <v>None</v>
      </c>
    </row>
    <row r="658" spans="1:33" ht="14.25" hidden="1" x14ac:dyDescent="0.2">
      <c r="A658" s="18" t="str">
        <f t="array" ref="A658">IF(G658='Room Info'!$B$1, INDEX('Room Info'!$A$2:$A2446, MATCH(B658,'Room Info'!$B$2:$B2446, 0)),IF(G658='Room Info'!$C$1, INDEX('Room Info'!$A$2:$A2446, MATCH(B658,'Room Info'!$C$2:$C2446, 0)),IF(G658='Room Info'!$D$1, INDEX('Room Info'!$A$2:$A2446, MATCH(B658,'Room Info'!$D$2:$D2446, 0)),IF(G658='Room Info'!$E$1, INDEX('Room Info'!$A$2:$A2446, MATCH(B658,'Room Info'!$E$2:$E2446, 0)),IF(G658='Room Info'!$F$1, INDEX('Room Info'!$A$2:$A2446, MATCH(B658,'Room Info'!$F$2:$F2446, 0)),IF(G658='Room Info'!$H$1, INDEX('Room Info'!$A$2:$A2446, MATCH(B658,'Room Info'!$H$2:$H2446, 0)),IF(G658='Room Info'!$G$1, INDEX('Room Info'!$A$2:$A2446, MATCH(B658,'Room Info'!$G$2:$G2446, 0)))))))))</f>
        <v>Davaibablo</v>
      </c>
      <c r="B658" s="45" t="s">
        <v>157</v>
      </c>
      <c r="C658" s="46">
        <v>44713</v>
      </c>
      <c r="D658" s="46">
        <v>44742</v>
      </c>
      <c r="E658" s="47">
        <v>44713</v>
      </c>
      <c r="F658" s="48" t="s">
        <v>41</v>
      </c>
      <c r="G658" s="45" t="s">
        <v>35</v>
      </c>
      <c r="H658" s="49" t="s">
        <v>72</v>
      </c>
      <c r="I658" s="49" t="s">
        <v>37</v>
      </c>
      <c r="J658" s="50">
        <v>50</v>
      </c>
      <c r="K658" s="51">
        <v>1</v>
      </c>
      <c r="L658" s="52">
        <v>-50</v>
      </c>
      <c r="M658" s="53">
        <v>2</v>
      </c>
      <c r="N658" s="28">
        <f>K658*J658</f>
        <v>50</v>
      </c>
      <c r="O658" s="54">
        <v>-518</v>
      </c>
      <c r="P658" s="29">
        <v>-518</v>
      </c>
      <c r="Q658" s="55"/>
      <c r="R658" s="31">
        <f>M658+Q658</f>
        <v>2</v>
      </c>
      <c r="S658" s="56"/>
      <c r="T658" s="32">
        <f>R658+S658+IF(F658="Without EV deal",L658,0)</f>
        <v>-48</v>
      </c>
      <c r="U658" s="57">
        <v>1</v>
      </c>
      <c r="V658" s="58"/>
      <c r="W658" s="58"/>
      <c r="X658" s="78">
        <v>0.23</v>
      </c>
      <c r="Y658" s="30">
        <f>IF(AG658="None",0,IF(AG658="Fix5",0.05, IF(AG658="Fix6.25",0.0625,IF(AG658="Fix3.75",0.0375,IF(AG658="Fix10",0.1,IF(AG658="Fix3",0.03,0))))))</f>
        <v>0</v>
      </c>
      <c r="Z658" s="59">
        <v>-37</v>
      </c>
      <c r="AA658" s="60">
        <v>-11</v>
      </c>
      <c r="AB658" s="36">
        <f>IF(AD658="EUR",((T658-R658)*Y658)*U658+(R658*Y658),(T658*Y658))</f>
        <v>0</v>
      </c>
      <c r="AC658" s="37" t="b">
        <v>1</v>
      </c>
      <c r="AD658" s="61" t="s">
        <v>38</v>
      </c>
      <c r="AE658" s="83" t="s">
        <v>38</v>
      </c>
      <c r="AF658" s="37" t="str">
        <f t="array" ref="AF658">INDEX('Deal Info'!D:D, MATCH(A658,'Deal Info'!A:A, 0))</f>
        <v>DoEV</v>
      </c>
      <c r="AG658" s="38" t="str">
        <f t="array" ref="AG658">INDEX('Deal Info'!G:G, MATCH(A658,'Deal Info'!A:A, 0))</f>
        <v>None</v>
      </c>
    </row>
    <row r="659" spans="1:33" ht="14.25" hidden="1" x14ac:dyDescent="0.2">
      <c r="A659" s="18" t="str">
        <f t="array" ref="A659">IF(G659='Room Info'!$B$1, INDEX('Room Info'!$A$2:$A2446, MATCH(B659,'Room Info'!$B$2:$B2446, 0)),IF(G659='Room Info'!$C$1, INDEX('Room Info'!$A$2:$A2446, MATCH(B659,'Room Info'!$C$2:$C2446, 0)),IF(G659='Room Info'!$D$1, INDEX('Room Info'!$A$2:$A2446, MATCH(B659,'Room Info'!$D$2:$D2446, 0)),IF(G659='Room Info'!$E$1, INDEX('Room Info'!$A$2:$A2446, MATCH(B659,'Room Info'!$E$2:$E2446, 0)),IF(G659='Room Info'!$F$1, INDEX('Room Info'!$A$2:$A2446, MATCH(B659,'Room Info'!$F$2:$F2446, 0)),IF(G659='Room Info'!$H$1, INDEX('Room Info'!$A$2:$A2446, MATCH(B659,'Room Info'!$H$2:$H2446, 0)),IF(G659='Room Info'!$G$1, INDEX('Room Info'!$A$2:$A2446, MATCH(B659,'Room Info'!$G$2:$G2446, 0)))))))))</f>
        <v>Davaibablo</v>
      </c>
      <c r="B659" s="45" t="s">
        <v>157</v>
      </c>
      <c r="C659" s="46">
        <v>44743</v>
      </c>
      <c r="D659" s="46">
        <v>44773</v>
      </c>
      <c r="E659" s="47">
        <v>44743</v>
      </c>
      <c r="F659" s="48" t="s">
        <v>41</v>
      </c>
      <c r="G659" s="45" t="s">
        <v>53</v>
      </c>
      <c r="H659" s="49" t="s">
        <v>54</v>
      </c>
      <c r="I659" s="49" t="s">
        <v>37</v>
      </c>
      <c r="J659" s="50">
        <v>5</v>
      </c>
      <c r="K659" s="51">
        <v>3</v>
      </c>
      <c r="L659" s="52">
        <v>-0.03</v>
      </c>
      <c r="M659" s="53">
        <v>1</v>
      </c>
      <c r="N659" s="28">
        <f>K659*J659</f>
        <v>15</v>
      </c>
      <c r="O659" s="54">
        <v>-302</v>
      </c>
      <c r="P659" s="29">
        <v>-100.66666669999999</v>
      </c>
      <c r="Q659" s="55"/>
      <c r="R659" s="31">
        <f>M659+Q659</f>
        <v>1</v>
      </c>
      <c r="S659" s="56"/>
      <c r="T659" s="32">
        <f>R659+S659+IF(F659="Without EV deal",L659,0)</f>
        <v>0.97</v>
      </c>
      <c r="U659" s="57">
        <v>1</v>
      </c>
      <c r="V659" s="58"/>
      <c r="W659" s="58"/>
      <c r="X659" s="78">
        <v>0.23</v>
      </c>
      <c r="Y659" s="30">
        <f>IF(AG659="None",0,IF(AG659="Fix5",0.05, IF(AG659="Fix6.25",0.0625,IF(AG659="Fix3.75",0.0375,IF(AG659="Fix10",0.1,IF(AG659="Fix3",0.03,0))))))</f>
        <v>0</v>
      </c>
      <c r="Z659" s="59">
        <v>0</v>
      </c>
      <c r="AA659" s="60">
        <v>0</v>
      </c>
      <c r="AB659" s="36">
        <f>IF(AD659="EUR",((T659-R659)*Y659)*U659+(R659*Y659),(T659*Y659))</f>
        <v>0</v>
      </c>
      <c r="AC659" s="37" t="b">
        <v>1</v>
      </c>
      <c r="AD659" s="61" t="s">
        <v>38</v>
      </c>
      <c r="AE659" s="83" t="s">
        <v>38</v>
      </c>
      <c r="AF659" s="37" t="str">
        <f t="array" ref="AF659">INDEX('Deal Info'!D:D, MATCH(A659,'Deal Info'!A:A, 0))</f>
        <v>DoEV</v>
      </c>
      <c r="AG659" s="38" t="str">
        <f t="array" ref="AG659">INDEX('Deal Info'!G:G, MATCH(A659,'Deal Info'!A:A, 0))</f>
        <v>None</v>
      </c>
    </row>
    <row r="660" spans="1:33" ht="14.25" hidden="1" x14ac:dyDescent="0.2">
      <c r="A660" s="18" t="str">
        <f t="array" ref="A660">IF(G660='Room Info'!$B$1, INDEX('Room Info'!$A$2:$A2446, MATCH(B660,'Room Info'!$B$2:$B2446, 0)),IF(G660='Room Info'!$C$1, INDEX('Room Info'!$A$2:$A2446, MATCH(B660,'Room Info'!$C$2:$C2446, 0)),IF(G660='Room Info'!$D$1, INDEX('Room Info'!$A$2:$A2446, MATCH(B660,'Room Info'!$D$2:$D2446, 0)),IF(G660='Room Info'!$E$1, INDEX('Room Info'!$A$2:$A2446, MATCH(B660,'Room Info'!$E$2:$E2446, 0)),IF(G660='Room Info'!$F$1, INDEX('Room Info'!$A$2:$A2446, MATCH(B660,'Room Info'!$F$2:$F2446, 0)),IF(G660='Room Info'!$H$1, INDEX('Room Info'!$A$2:$A2446, MATCH(B660,'Room Info'!$H$2:$H2446, 0)),IF(G660='Room Info'!$G$1, INDEX('Room Info'!$A$2:$A2446, MATCH(B660,'Room Info'!$G$2:$G2446, 0)))))))))</f>
        <v>Davaibablo</v>
      </c>
      <c r="B660" s="45" t="s">
        <v>157</v>
      </c>
      <c r="C660" s="46">
        <v>44743</v>
      </c>
      <c r="D660" s="46">
        <v>44773</v>
      </c>
      <c r="E660" s="47">
        <v>44743</v>
      </c>
      <c r="F660" s="48" t="s">
        <v>41</v>
      </c>
      <c r="G660" s="45" t="s">
        <v>53</v>
      </c>
      <c r="H660" s="49" t="s">
        <v>56</v>
      </c>
      <c r="I660" s="49" t="s">
        <v>37</v>
      </c>
      <c r="J660" s="50">
        <v>20</v>
      </c>
      <c r="K660" s="51">
        <v>1614</v>
      </c>
      <c r="L660" s="52">
        <v>-69.83</v>
      </c>
      <c r="M660" s="53">
        <v>1130</v>
      </c>
      <c r="N660" s="28">
        <f>K660*J660</f>
        <v>32280</v>
      </c>
      <c r="O660" s="54">
        <v>71602</v>
      </c>
      <c r="P660" s="29">
        <v>44.363073110000002</v>
      </c>
      <c r="Q660" s="55"/>
      <c r="R660" s="31">
        <f>M660+Q660</f>
        <v>1130</v>
      </c>
      <c r="S660" s="56"/>
      <c r="T660" s="32">
        <f>R660+S660+IF(F660="Without EV deal",L660,0)</f>
        <v>1060.17</v>
      </c>
      <c r="U660" s="57">
        <v>1</v>
      </c>
      <c r="V660" s="58"/>
      <c r="W660" s="58"/>
      <c r="X660" s="78">
        <v>0.23</v>
      </c>
      <c r="Y660" s="30">
        <f>IF(AG660="None",0,IF(AG660="Fix5",0.05, IF(AG660="Fix6.25",0.0625,IF(AG660="Fix3.75",0.0375,IF(AG660="Fix10",0.1,IF(AG660="Fix3",0.03,0))))))</f>
        <v>0</v>
      </c>
      <c r="Z660" s="59">
        <v>816</v>
      </c>
      <c r="AA660" s="60">
        <v>244</v>
      </c>
      <c r="AB660" s="36">
        <f>IF(AD660="EUR",((T660-R660)*Y660)*U660+(R660*Y660),(T660*Y660))</f>
        <v>0</v>
      </c>
      <c r="AC660" s="37" t="b">
        <v>1</v>
      </c>
      <c r="AD660" s="61" t="s">
        <v>38</v>
      </c>
      <c r="AE660" s="83" t="s">
        <v>38</v>
      </c>
      <c r="AF660" s="37" t="str">
        <f t="array" ref="AF660">INDEX('Deal Info'!D:D, MATCH(A660,'Deal Info'!A:A, 0))</f>
        <v>DoEV</v>
      </c>
      <c r="AG660" s="38" t="str">
        <f t="array" ref="AG660">INDEX('Deal Info'!G:G, MATCH(A660,'Deal Info'!A:A, 0))</f>
        <v>None</v>
      </c>
    </row>
    <row r="661" spans="1:33" ht="14.25" hidden="1" x14ac:dyDescent="0.2">
      <c r="A661" s="18" t="str">
        <f t="array" ref="A661">IF(G661='Room Info'!$B$1, INDEX('Room Info'!$A$2:$A2446, MATCH(B661,'Room Info'!$B$2:$B2446, 0)),IF(G661='Room Info'!$C$1, INDEX('Room Info'!$A$2:$A2446, MATCH(B661,'Room Info'!$C$2:$C2446, 0)),IF(G661='Room Info'!$D$1, INDEX('Room Info'!$A$2:$A2446, MATCH(B661,'Room Info'!$D$2:$D2446, 0)),IF(G661='Room Info'!$E$1, INDEX('Room Info'!$A$2:$A2446, MATCH(B661,'Room Info'!$E$2:$E2446, 0)),IF(G661='Room Info'!$F$1, INDEX('Room Info'!$A$2:$A2446, MATCH(B661,'Room Info'!$F$2:$F2446, 0)),IF(G661='Room Info'!$H$1, INDEX('Room Info'!$A$2:$A2446, MATCH(B661,'Room Info'!$H$2:$H2446, 0)),IF(G661='Room Info'!$G$1, INDEX('Room Info'!$A$2:$A2446, MATCH(B661,'Room Info'!$G$2:$G2446, 0)))))))))</f>
        <v>Davaibablo</v>
      </c>
      <c r="B661" s="45" t="s">
        <v>157</v>
      </c>
      <c r="C661" s="46">
        <v>44743</v>
      </c>
      <c r="D661" s="46">
        <v>44773</v>
      </c>
      <c r="E661" s="47">
        <v>44743</v>
      </c>
      <c r="F661" s="48" t="s">
        <v>41</v>
      </c>
      <c r="G661" s="45" t="s">
        <v>53</v>
      </c>
      <c r="H661" s="49" t="s">
        <v>57</v>
      </c>
      <c r="I661" s="49" t="s">
        <v>37</v>
      </c>
      <c r="J661" s="50">
        <v>50</v>
      </c>
      <c r="K661" s="51">
        <v>66</v>
      </c>
      <c r="L661" s="52">
        <v>-7.14</v>
      </c>
      <c r="M661" s="53">
        <v>116</v>
      </c>
      <c r="N661" s="28">
        <f>K661*J661</f>
        <v>3300</v>
      </c>
      <c r="O661" s="54">
        <v>3810</v>
      </c>
      <c r="P661" s="29">
        <v>57.727272730000003</v>
      </c>
      <c r="Q661" s="55"/>
      <c r="R661" s="31">
        <f>M661+Q661</f>
        <v>116</v>
      </c>
      <c r="S661" s="56"/>
      <c r="T661" s="32">
        <f>R661+S661+IF(F661="Without EV deal",L661,0)</f>
        <v>108.86</v>
      </c>
      <c r="U661" s="57">
        <v>1</v>
      </c>
      <c r="V661" s="58"/>
      <c r="W661" s="58"/>
      <c r="X661" s="78">
        <v>0.17</v>
      </c>
      <c r="Y661" s="30">
        <f>IF(AG661="None",0,IF(AG661="Fix5",0.05, IF(AG661="Fix6.25",0.0625,IF(AG661="Fix3.75",0.0375,IF(AG661="Fix10",0.1,IF(AG661="Fix3",0.03,0))))))</f>
        <v>0</v>
      </c>
      <c r="Z661" s="59">
        <v>83</v>
      </c>
      <c r="AA661" s="60">
        <v>25</v>
      </c>
      <c r="AB661" s="36">
        <f>IF(AD661="EUR",((T661-R661)*Y661)*U661+(R661*Y661),(T661*Y661))</f>
        <v>0</v>
      </c>
      <c r="AC661" s="37" t="b">
        <v>1</v>
      </c>
      <c r="AD661" s="61" t="s">
        <v>38</v>
      </c>
      <c r="AE661" s="83" t="s">
        <v>38</v>
      </c>
      <c r="AF661" s="37" t="str">
        <f t="array" ref="AF661">INDEX('Deal Info'!D:D, MATCH(A661,'Deal Info'!A:A, 0))</f>
        <v>DoEV</v>
      </c>
      <c r="AG661" s="38" t="str">
        <f t="array" ref="AG661">INDEX('Deal Info'!G:G, MATCH(A661,'Deal Info'!A:A, 0))</f>
        <v>None</v>
      </c>
    </row>
    <row r="662" spans="1:33" ht="14.25" hidden="1" x14ac:dyDescent="0.2">
      <c r="A662" s="18" t="str">
        <f t="array" ref="A662">IF(G662='Room Info'!$B$1, INDEX('Room Info'!$A$2:$A2446, MATCH(B662,'Room Info'!$B$2:$B2446, 0)),IF(G662='Room Info'!$C$1, INDEX('Room Info'!$A$2:$A2446, MATCH(B662,'Room Info'!$C$2:$C2446, 0)),IF(G662='Room Info'!$D$1, INDEX('Room Info'!$A$2:$A2446, MATCH(B662,'Room Info'!$D$2:$D2446, 0)),IF(G662='Room Info'!$E$1, INDEX('Room Info'!$A$2:$A2446, MATCH(B662,'Room Info'!$E$2:$E2446, 0)),IF(G662='Room Info'!$F$1, INDEX('Room Info'!$A$2:$A2446, MATCH(B662,'Room Info'!$F$2:$F2446, 0)),IF(G662='Room Info'!$H$1, INDEX('Room Info'!$A$2:$A2446, MATCH(B662,'Room Info'!$H$2:$H2446, 0)),IF(G662='Room Info'!$G$1, INDEX('Room Info'!$A$2:$A2446, MATCH(B662,'Room Info'!$G$2:$G2446, 0)))))))))</f>
        <v>Davaibablo</v>
      </c>
      <c r="B662" s="45" t="s">
        <v>157</v>
      </c>
      <c r="C662" s="46">
        <v>44774</v>
      </c>
      <c r="D662" s="46">
        <v>44804</v>
      </c>
      <c r="E662" s="47">
        <v>44774</v>
      </c>
      <c r="F662" s="48" t="s">
        <v>41</v>
      </c>
      <c r="G662" s="45" t="s">
        <v>158</v>
      </c>
      <c r="H662" s="49" t="s">
        <v>159</v>
      </c>
      <c r="I662" s="49" t="s">
        <v>37</v>
      </c>
      <c r="J662" s="50">
        <v>1000</v>
      </c>
      <c r="K662" s="51">
        <v>859</v>
      </c>
      <c r="L662" s="52">
        <v>56000</v>
      </c>
      <c r="M662" s="53">
        <v>165667</v>
      </c>
      <c r="N662" s="28">
        <f>K662*J662</f>
        <v>859000</v>
      </c>
      <c r="O662" s="65"/>
      <c r="P662" s="29">
        <v>0</v>
      </c>
      <c r="Q662" s="55"/>
      <c r="R662" s="31">
        <f>M662+Q662</f>
        <v>165667</v>
      </c>
      <c r="S662" s="66"/>
      <c r="T662" s="32">
        <f>R662+S662+IF(F662="Without EV deal",L662,0)</f>
        <v>221667</v>
      </c>
      <c r="U662" s="57">
        <v>1.4999999999999999E-2</v>
      </c>
      <c r="V662" s="58"/>
      <c r="W662" s="58"/>
      <c r="X662" s="78">
        <v>0.17</v>
      </c>
      <c r="Y662" s="30">
        <f>IF(AG662="None",0,IF(AG662="Fix5",0.05, IF(AG662="Fix6.25",0.0625,IF(AG662="Fix3.75",0.0375,IF(AG662="Fix10",0.1,IF(AG662="Fix3",0.03,0))))))</f>
        <v>0</v>
      </c>
      <c r="Z662" s="59">
        <v>2686</v>
      </c>
      <c r="AA662" s="60">
        <v>550</v>
      </c>
      <c r="AB662" s="36">
        <f>IF(AD662="EUR",((T662-R662)*Y662)*U662+(R662*Y662),(T662*Y662))</f>
        <v>0</v>
      </c>
      <c r="AC662" s="37" t="b">
        <v>1</v>
      </c>
      <c r="AD662" s="61" t="s">
        <v>38</v>
      </c>
      <c r="AE662" s="83" t="s">
        <v>38</v>
      </c>
      <c r="AF662" s="37" t="str">
        <f t="array" ref="AF662">INDEX('Deal Info'!D:D, MATCH(A662,'Deal Info'!A:A, 0))</f>
        <v>DoEV</v>
      </c>
      <c r="AG662" s="38" t="str">
        <f t="array" ref="AG662">INDEX('Deal Info'!G:G, MATCH(A662,'Deal Info'!A:A, 0))</f>
        <v>None</v>
      </c>
    </row>
    <row r="663" spans="1:33" ht="14.25" hidden="1" x14ac:dyDescent="0.2">
      <c r="A663" s="18" t="str">
        <f t="array" ref="A663">IF(G663='Room Info'!$B$1, INDEX('Room Info'!$A$2:$A2446, MATCH(B663,'Room Info'!$B$2:$B2446, 0)),IF(G663='Room Info'!$C$1, INDEX('Room Info'!$A$2:$A2446, MATCH(B663,'Room Info'!$C$2:$C2446, 0)),IF(G663='Room Info'!$D$1, INDEX('Room Info'!$A$2:$A2446, MATCH(B663,'Room Info'!$D$2:$D2446, 0)),IF(G663='Room Info'!$E$1, INDEX('Room Info'!$A$2:$A2446, MATCH(B663,'Room Info'!$E$2:$E2446, 0)),IF(G663='Room Info'!$F$1, INDEX('Room Info'!$A$2:$A2446, MATCH(B663,'Room Info'!$F$2:$F2446, 0)),IF(G663='Room Info'!$H$1, INDEX('Room Info'!$A$2:$A2446, MATCH(B663,'Room Info'!$H$2:$H2446, 0)),IF(G663='Room Info'!$G$1, INDEX('Room Info'!$A$2:$A2446, MATCH(B663,'Room Info'!$G$2:$G2446, 0)))))))))</f>
        <v>Davaibablo</v>
      </c>
      <c r="B663" s="45" t="s">
        <v>157</v>
      </c>
      <c r="C663" s="46">
        <v>44774</v>
      </c>
      <c r="D663" s="46">
        <v>44804</v>
      </c>
      <c r="E663" s="47">
        <v>44774</v>
      </c>
      <c r="F663" s="48" t="s">
        <v>41</v>
      </c>
      <c r="G663" s="45" t="s">
        <v>158</v>
      </c>
      <c r="H663" s="49" t="s">
        <v>160</v>
      </c>
      <c r="I663" s="49" t="s">
        <v>37</v>
      </c>
      <c r="J663" s="50">
        <v>2500</v>
      </c>
      <c r="K663" s="51">
        <v>1809</v>
      </c>
      <c r="L663" s="52">
        <v>165833.34</v>
      </c>
      <c r="M663" s="62"/>
      <c r="N663" s="28">
        <f>K663*J663</f>
        <v>4522500</v>
      </c>
      <c r="O663" s="65"/>
      <c r="P663" s="29">
        <v>0</v>
      </c>
      <c r="Q663" s="55"/>
      <c r="R663" s="31">
        <f>M663+Q663</f>
        <v>0</v>
      </c>
      <c r="S663" s="66"/>
      <c r="T663" s="32">
        <f>R663+S663+IF(F663="Without EV deal",L663,0)</f>
        <v>165833.34</v>
      </c>
      <c r="U663" s="57">
        <v>1.4999999999999999E-2</v>
      </c>
      <c r="V663" s="58"/>
      <c r="W663" s="58"/>
      <c r="X663" s="78">
        <v>0.17</v>
      </c>
      <c r="Y663" s="30">
        <f>IF(AG663="None",0,IF(AG663="Fix5",0.05, IF(AG663="Fix6.25",0.0625,IF(AG663="Fix3.75",0.0375,IF(AG663="Fix10",0.1,IF(AG663="Fix3",0.03,0))))))</f>
        <v>0</v>
      </c>
      <c r="Z663" s="59">
        <v>2010</v>
      </c>
      <c r="AA663" s="60">
        <v>412</v>
      </c>
      <c r="AB663" s="36">
        <f>IF(AD663="EUR",((T663-R663)*Y663)*U663+(R663*Y663),(T663*Y663))</f>
        <v>0</v>
      </c>
      <c r="AC663" s="37" t="b">
        <v>1</v>
      </c>
      <c r="AD663" s="61" t="s">
        <v>38</v>
      </c>
      <c r="AE663" s="83" t="s">
        <v>38</v>
      </c>
      <c r="AF663" s="37" t="str">
        <f t="array" ref="AF663">INDEX('Deal Info'!D:D, MATCH(A663,'Deal Info'!A:A, 0))</f>
        <v>DoEV</v>
      </c>
      <c r="AG663" s="38" t="str">
        <f t="array" ref="AG663">INDEX('Deal Info'!G:G, MATCH(A663,'Deal Info'!A:A, 0))</f>
        <v>None</v>
      </c>
    </row>
    <row r="664" spans="1:33" ht="14.25" hidden="1" x14ac:dyDescent="0.2">
      <c r="A664" s="18" t="str">
        <f t="array" ref="A664">IF(G664='Room Info'!$B$1, INDEX('Room Info'!$A$2:$A2446, MATCH(B664,'Room Info'!$B$2:$B2446, 0)),IF(G664='Room Info'!$C$1, INDEX('Room Info'!$A$2:$A2446, MATCH(B664,'Room Info'!$C$2:$C2446, 0)),IF(G664='Room Info'!$D$1, INDEX('Room Info'!$A$2:$A2446, MATCH(B664,'Room Info'!$D$2:$D2446, 0)),IF(G664='Room Info'!$E$1, INDEX('Room Info'!$A$2:$A2446, MATCH(B664,'Room Info'!$E$2:$E2446, 0)),IF(G664='Room Info'!$F$1, INDEX('Room Info'!$A$2:$A2446, MATCH(B664,'Room Info'!$F$2:$F2446, 0)),IF(G664='Room Info'!$H$1, INDEX('Room Info'!$A$2:$A2446, MATCH(B664,'Room Info'!$H$2:$H2446, 0)),IF(G664='Room Info'!$G$1, INDEX('Room Info'!$A$2:$A2446, MATCH(B664,'Room Info'!$G$2:$G2446, 0)))))))))</f>
        <v>Davaibablo</v>
      </c>
      <c r="B664" s="45" t="s">
        <v>157</v>
      </c>
      <c r="C664" s="46">
        <v>44774</v>
      </c>
      <c r="D664" s="46">
        <v>44804</v>
      </c>
      <c r="E664" s="47">
        <v>44774</v>
      </c>
      <c r="F664" s="48" t="s">
        <v>41</v>
      </c>
      <c r="G664" s="45" t="s">
        <v>158</v>
      </c>
      <c r="H664" s="49" t="s">
        <v>161</v>
      </c>
      <c r="I664" s="49" t="s">
        <v>37</v>
      </c>
      <c r="J664" s="50">
        <v>5000</v>
      </c>
      <c r="K664" s="51">
        <v>130</v>
      </c>
      <c r="L664" s="52">
        <v>-65000</v>
      </c>
      <c r="M664" s="62"/>
      <c r="N664" s="28">
        <f>K664*J664</f>
        <v>650000</v>
      </c>
      <c r="O664" s="65"/>
      <c r="P664" s="29">
        <v>0</v>
      </c>
      <c r="Q664" s="55"/>
      <c r="R664" s="31">
        <f>M664+Q664</f>
        <v>0</v>
      </c>
      <c r="S664" s="66"/>
      <c r="T664" s="32">
        <f>R664+S664+IF(F664="Without EV deal",L664,0)</f>
        <v>-65000</v>
      </c>
      <c r="U664" s="57">
        <v>1.4999999999999999E-2</v>
      </c>
      <c r="V664" s="58"/>
      <c r="W664" s="58"/>
      <c r="X664" s="78">
        <v>0.17</v>
      </c>
      <c r="Y664" s="30">
        <f>IF(AG664="None",0,IF(AG664="Fix5",0.05, IF(AG664="Fix6.25",0.0625,IF(AG664="Fix3.75",0.0375,IF(AG664="Fix10",0.1,IF(AG664="Fix3",0.03,0))))))</f>
        <v>0</v>
      </c>
      <c r="Z664" s="59">
        <v>-788</v>
      </c>
      <c r="AA664" s="60">
        <v>-161</v>
      </c>
      <c r="AB664" s="36">
        <f>IF(AD664="EUR",((T664-R664)*Y664)*U664+(R664*Y664),(T664*Y664))</f>
        <v>0</v>
      </c>
      <c r="AC664" s="37" t="b">
        <v>1</v>
      </c>
      <c r="AD664" s="61" t="s">
        <v>38</v>
      </c>
      <c r="AE664" s="83" t="s">
        <v>38</v>
      </c>
      <c r="AF664" s="37" t="str">
        <f t="array" ref="AF664">INDEX('Deal Info'!D:D, MATCH(A664,'Deal Info'!A:A, 0))</f>
        <v>DoEV</v>
      </c>
      <c r="AG664" s="38" t="str">
        <f t="array" ref="AG664">INDEX('Deal Info'!G:G, MATCH(A664,'Deal Info'!A:A, 0))</f>
        <v>None</v>
      </c>
    </row>
    <row r="665" spans="1:33" ht="14.25" hidden="1" x14ac:dyDescent="0.2">
      <c r="A665" s="18" t="str">
        <f t="array" ref="A665">IF(G665='Room Info'!$B$1, INDEX('Room Info'!$A$2:$A2446, MATCH(B665,'Room Info'!$B$2:$B2446, 0)),IF(G665='Room Info'!$C$1, INDEX('Room Info'!$A$2:$A2446, MATCH(B665,'Room Info'!$C$2:$C2446, 0)),IF(G665='Room Info'!$D$1, INDEX('Room Info'!$A$2:$A2446, MATCH(B665,'Room Info'!$D$2:$D2446, 0)),IF(G665='Room Info'!$E$1, INDEX('Room Info'!$A$2:$A2446, MATCH(B665,'Room Info'!$E$2:$E2446, 0)),IF(G665='Room Info'!$F$1, INDEX('Room Info'!$A$2:$A2446, MATCH(B665,'Room Info'!$F$2:$F2446, 0)),IF(G665='Room Info'!$H$1, INDEX('Room Info'!$A$2:$A2446, MATCH(B665,'Room Info'!$H$2:$H2446, 0)),IF(G665='Room Info'!$G$1, INDEX('Room Info'!$A$2:$A2446, MATCH(B665,'Room Info'!$G$2:$G2446, 0)))))))))</f>
        <v>Davaibablo</v>
      </c>
      <c r="B665" s="45" t="s">
        <v>157</v>
      </c>
      <c r="C665" s="46">
        <v>44805</v>
      </c>
      <c r="D665" s="46">
        <v>44834</v>
      </c>
      <c r="E665" s="47">
        <v>44805</v>
      </c>
      <c r="F665" s="48" t="s">
        <v>41</v>
      </c>
      <c r="G665" s="45" t="s">
        <v>158</v>
      </c>
      <c r="H665" s="49" t="s">
        <v>160</v>
      </c>
      <c r="I665" s="49" t="s">
        <v>37</v>
      </c>
      <c r="J665" s="50">
        <v>2500</v>
      </c>
      <c r="K665" s="51">
        <v>826</v>
      </c>
      <c r="L665" s="52">
        <v>235000</v>
      </c>
      <c r="M665" s="53">
        <v>120857</v>
      </c>
      <c r="N665" s="28">
        <f>K665*J665</f>
        <v>2065000</v>
      </c>
      <c r="O665" s="65"/>
      <c r="P665" s="29">
        <v>0</v>
      </c>
      <c r="Q665" s="55"/>
      <c r="R665" s="31">
        <f>M665+Q665</f>
        <v>120857</v>
      </c>
      <c r="S665" s="66"/>
      <c r="T665" s="32">
        <f>R665+S665+IF(F665="Without EV deal",L665,0)</f>
        <v>355857</v>
      </c>
      <c r="U665" s="57">
        <v>1.4999999999999999E-2</v>
      </c>
      <c r="V665" s="58"/>
      <c r="W665" s="58"/>
      <c r="X665" s="78">
        <v>0.17</v>
      </c>
      <c r="Y665" s="30">
        <f>IF(AG665="None",0,IF(AG665="Fix5",0.05, IF(AG665="Fix6.25",0.0625,IF(AG665="Fix3.75",0.0375,IF(AG665="Fix10",0.1,IF(AG665="Fix3",0.03,0))))))</f>
        <v>0</v>
      </c>
      <c r="Z665" s="59">
        <v>4312</v>
      </c>
      <c r="AA665" s="60">
        <v>883</v>
      </c>
      <c r="AB665" s="36">
        <f>IF(AD665="EUR",((T665-R665)*Y665)*U665+(R665*Y665),(T665*Y665))</f>
        <v>0</v>
      </c>
      <c r="AC665" s="37" t="b">
        <v>1</v>
      </c>
      <c r="AD665" s="61" t="s">
        <v>38</v>
      </c>
      <c r="AE665" s="83" t="s">
        <v>38</v>
      </c>
      <c r="AF665" s="37" t="str">
        <f t="array" ref="AF665">INDEX('Deal Info'!D:D, MATCH(A665,'Deal Info'!A:A, 0))</f>
        <v>DoEV</v>
      </c>
      <c r="AG665" s="38" t="str">
        <f t="array" ref="AG665">INDEX('Deal Info'!G:G, MATCH(A665,'Deal Info'!A:A, 0))</f>
        <v>None</v>
      </c>
    </row>
    <row r="666" spans="1:33" ht="14.25" hidden="1" x14ac:dyDescent="0.2">
      <c r="A666" s="18" t="str">
        <f t="array" ref="A666">IF(G666='Room Info'!$B$1, INDEX('Room Info'!$A$2:$A2446, MATCH(B666,'Room Info'!$B$2:$B2446, 0)),IF(G666='Room Info'!$C$1, INDEX('Room Info'!$A$2:$A2446, MATCH(B666,'Room Info'!$C$2:$C2446, 0)),IF(G666='Room Info'!$D$1, INDEX('Room Info'!$A$2:$A2446, MATCH(B666,'Room Info'!$D$2:$D2446, 0)),IF(G666='Room Info'!$E$1, INDEX('Room Info'!$A$2:$A2446, MATCH(B666,'Room Info'!$E$2:$E2446, 0)),IF(G666='Room Info'!$F$1, INDEX('Room Info'!$A$2:$A2446, MATCH(B666,'Room Info'!$F$2:$F2446, 0)),IF(G666='Room Info'!$H$1, INDEX('Room Info'!$A$2:$A2446, MATCH(B666,'Room Info'!$H$2:$H2446, 0)),IF(G666='Room Info'!$G$1, INDEX('Room Info'!$A$2:$A2446, MATCH(B666,'Room Info'!$G$2:$G2446, 0)))))))))</f>
        <v>Davaibablo</v>
      </c>
      <c r="B666" s="45" t="s">
        <v>157</v>
      </c>
      <c r="C666" s="46">
        <v>44805</v>
      </c>
      <c r="D666" s="46">
        <v>44834</v>
      </c>
      <c r="E666" s="47">
        <v>44805</v>
      </c>
      <c r="F666" s="48" t="s">
        <v>41</v>
      </c>
      <c r="G666" s="45" t="s">
        <v>158</v>
      </c>
      <c r="H666" s="49" t="s">
        <v>161</v>
      </c>
      <c r="I666" s="49" t="s">
        <v>37</v>
      </c>
      <c r="J666" s="50">
        <v>5000</v>
      </c>
      <c r="K666" s="51">
        <v>565</v>
      </c>
      <c r="L666" s="52">
        <v>-175000</v>
      </c>
      <c r="M666" s="53">
        <v>2371</v>
      </c>
      <c r="N666" s="28">
        <f>K666*J666</f>
        <v>2825000</v>
      </c>
      <c r="O666" s="65"/>
      <c r="P666" s="29">
        <v>0</v>
      </c>
      <c r="Q666" s="55"/>
      <c r="R666" s="31">
        <f>M666+Q666</f>
        <v>2371</v>
      </c>
      <c r="S666" s="66"/>
      <c r="T666" s="32">
        <f>R666+S666+IF(F666="Without EV deal",L666,0)</f>
        <v>-172629</v>
      </c>
      <c r="U666" s="57">
        <v>1.4999999999999999E-2</v>
      </c>
      <c r="V666" s="58"/>
      <c r="W666" s="58"/>
      <c r="X666" s="78">
        <v>0.17</v>
      </c>
      <c r="Y666" s="30">
        <f>IF(AG666="None",0,IF(AG666="Fix5",0.05, IF(AG666="Fix6.25",0.0625,IF(AG666="Fix3.75",0.0375,IF(AG666="Fix10",0.1,IF(AG666="Fix3",0.03,0))))))</f>
        <v>0</v>
      </c>
      <c r="Z666" s="59">
        <v>-2092</v>
      </c>
      <c r="AA666" s="60">
        <v>-428</v>
      </c>
      <c r="AB666" s="36">
        <f>IF(AD666="EUR",((T666-R666)*Y666)*U666+(R666*Y666),(T666*Y666))</f>
        <v>0</v>
      </c>
      <c r="AC666" s="37" t="b">
        <v>1</v>
      </c>
      <c r="AD666" s="61" t="s">
        <v>38</v>
      </c>
      <c r="AE666" s="83" t="s">
        <v>38</v>
      </c>
      <c r="AF666" s="37" t="str">
        <f t="array" ref="AF666">INDEX('Deal Info'!D:D, MATCH(A666,'Deal Info'!A:A, 0))</f>
        <v>DoEV</v>
      </c>
      <c r="AG666" s="38" t="str">
        <f t="array" ref="AG666">INDEX('Deal Info'!G:G, MATCH(A666,'Deal Info'!A:A, 0))</f>
        <v>None</v>
      </c>
    </row>
    <row r="667" spans="1:33" ht="14.25" hidden="1" x14ac:dyDescent="0.2">
      <c r="A667" s="18" t="str">
        <f t="array" ref="A667">IF(G667='Room Info'!$B$1, INDEX('Room Info'!$A$2:$A2446, MATCH(B667,'Room Info'!$B$2:$B2446, 0)),IF(G667='Room Info'!$C$1, INDEX('Room Info'!$A$2:$A2446, MATCH(B667,'Room Info'!$C$2:$C2446, 0)),IF(G667='Room Info'!$D$1, INDEX('Room Info'!$A$2:$A2446, MATCH(B667,'Room Info'!$D$2:$D2446, 0)),IF(G667='Room Info'!$E$1, INDEX('Room Info'!$A$2:$A2446, MATCH(B667,'Room Info'!$E$2:$E2446, 0)),IF(G667='Room Info'!$F$1, INDEX('Room Info'!$A$2:$A2446, MATCH(B667,'Room Info'!$F$2:$F2446, 0)),IF(G667='Room Info'!$H$1, INDEX('Room Info'!$A$2:$A2446, MATCH(B667,'Room Info'!$H$2:$H2446, 0)),IF(G667='Room Info'!$G$1, INDEX('Room Info'!$A$2:$A2446, MATCH(B667,'Room Info'!$G$2:$G2446, 0)))))))))</f>
        <v>Davaibablo</v>
      </c>
      <c r="B667" s="45" t="s">
        <v>157</v>
      </c>
      <c r="C667" s="46">
        <v>44835</v>
      </c>
      <c r="D667" s="46">
        <v>44865</v>
      </c>
      <c r="E667" s="47">
        <v>44835</v>
      </c>
      <c r="F667" s="48" t="s">
        <v>41</v>
      </c>
      <c r="G667" s="45" t="s">
        <v>158</v>
      </c>
      <c r="H667" s="49" t="s">
        <v>159</v>
      </c>
      <c r="I667" s="49" t="s">
        <v>37</v>
      </c>
      <c r="J667" s="50">
        <v>1000</v>
      </c>
      <c r="K667" s="51">
        <v>267</v>
      </c>
      <c r="L667" s="52">
        <v>26000</v>
      </c>
      <c r="M667" s="53">
        <v>259076</v>
      </c>
      <c r="N667" s="28">
        <f>K667*J667</f>
        <v>267000</v>
      </c>
      <c r="O667" s="65"/>
      <c r="P667" s="29">
        <v>0</v>
      </c>
      <c r="Q667" s="55"/>
      <c r="R667" s="31">
        <f>M667+Q667</f>
        <v>259076</v>
      </c>
      <c r="S667" s="66"/>
      <c r="T667" s="32">
        <f>R667+S667+IF(F667="Without EV deal",L667,0)</f>
        <v>285076</v>
      </c>
      <c r="U667" s="57">
        <v>1.6E-2</v>
      </c>
      <c r="V667" s="58"/>
      <c r="W667" s="58"/>
      <c r="X667" s="78">
        <v>0.17</v>
      </c>
      <c r="Y667" s="30">
        <f>IF(AG667="None",0,IF(AG667="Fix5",0.05, IF(AG667="Fix6.25",0.0625,IF(AG667="Fix3.75",0.0375,IF(AG667="Fix10",0.1,IF(AG667="Fix3",0.03,0))))))</f>
        <v>0</v>
      </c>
      <c r="Z667" s="59">
        <v>3786</v>
      </c>
      <c r="AA667" s="60">
        <v>775</v>
      </c>
      <c r="AB667" s="36">
        <f>IF(AD667="EUR",((T667-R667)*Y667)*U667+(R667*Y667),(T667*Y667))</f>
        <v>0</v>
      </c>
      <c r="AC667" s="37" t="b">
        <v>1</v>
      </c>
      <c r="AD667" s="61" t="s">
        <v>38</v>
      </c>
      <c r="AE667" s="83" t="s">
        <v>38</v>
      </c>
      <c r="AF667" s="37" t="str">
        <f t="array" ref="AF667">INDEX('Deal Info'!D:D, MATCH(A667,'Deal Info'!A:A, 0))</f>
        <v>DoEV</v>
      </c>
      <c r="AG667" s="38" t="str">
        <f t="array" ref="AG667">INDEX('Deal Info'!G:G, MATCH(A667,'Deal Info'!A:A, 0))</f>
        <v>None</v>
      </c>
    </row>
    <row r="668" spans="1:33" ht="14.25" hidden="1" x14ac:dyDescent="0.2">
      <c r="A668" s="18" t="str">
        <f t="array" ref="A668">IF(G668='Room Info'!$B$1, INDEX('Room Info'!$A$2:$A2446, MATCH(B668,'Room Info'!$B$2:$B2446, 0)),IF(G668='Room Info'!$C$1, INDEX('Room Info'!$A$2:$A2446, MATCH(B668,'Room Info'!$C$2:$C2446, 0)),IF(G668='Room Info'!$D$1, INDEX('Room Info'!$A$2:$A2446, MATCH(B668,'Room Info'!$D$2:$D2446, 0)),IF(G668='Room Info'!$E$1, INDEX('Room Info'!$A$2:$A2446, MATCH(B668,'Room Info'!$E$2:$E2446, 0)),IF(G668='Room Info'!$F$1, INDEX('Room Info'!$A$2:$A2446, MATCH(B668,'Room Info'!$F$2:$F2446, 0)),IF(G668='Room Info'!$H$1, INDEX('Room Info'!$A$2:$A2446, MATCH(B668,'Room Info'!$H$2:$H2446, 0)),IF(G668='Room Info'!$G$1, INDEX('Room Info'!$A$2:$A2446, MATCH(B668,'Room Info'!$G$2:$G2446, 0)))))))))</f>
        <v>Davaibablo</v>
      </c>
      <c r="B668" s="45" t="s">
        <v>157</v>
      </c>
      <c r="C668" s="46">
        <v>44835</v>
      </c>
      <c r="D668" s="46">
        <v>44865</v>
      </c>
      <c r="E668" s="47">
        <v>44835</v>
      </c>
      <c r="F668" s="48" t="s">
        <v>41</v>
      </c>
      <c r="G668" s="45" t="s">
        <v>158</v>
      </c>
      <c r="H668" s="49" t="s">
        <v>160</v>
      </c>
      <c r="I668" s="49" t="s">
        <v>37</v>
      </c>
      <c r="J668" s="50">
        <v>2500</v>
      </c>
      <c r="K668" s="51">
        <v>1439</v>
      </c>
      <c r="L668" s="52">
        <v>2500</v>
      </c>
      <c r="M668" s="53">
        <v>40053</v>
      </c>
      <c r="N668" s="28">
        <f>K668*J668</f>
        <v>3597500</v>
      </c>
      <c r="O668" s="65"/>
      <c r="P668" s="29">
        <v>0</v>
      </c>
      <c r="Q668" s="55"/>
      <c r="R668" s="31">
        <f>M668+Q668</f>
        <v>40053</v>
      </c>
      <c r="S668" s="66"/>
      <c r="T668" s="32">
        <f>R668+S668+IF(F668="Without EV deal",L668,0)</f>
        <v>42553</v>
      </c>
      <c r="U668" s="57">
        <v>1.6E-2</v>
      </c>
      <c r="V668" s="58"/>
      <c r="W668" s="58"/>
      <c r="X668" s="78">
        <v>0.17</v>
      </c>
      <c r="Y668" s="30">
        <f>IF(AG668="None",0,IF(AG668="Fix5",0.05, IF(AG668="Fix6.25",0.0625,IF(AG668="Fix3.75",0.0375,IF(AG668="Fix10",0.1,IF(AG668="Fix3",0.03,0))))))</f>
        <v>0</v>
      </c>
      <c r="Z668" s="59">
        <v>565</v>
      </c>
      <c r="AA668" s="60">
        <v>116</v>
      </c>
      <c r="AB668" s="36">
        <f>IF(AD668="EUR",((T668-R668)*Y668)*U668+(R668*Y668),(T668*Y668))</f>
        <v>0</v>
      </c>
      <c r="AC668" s="37" t="b">
        <v>1</v>
      </c>
      <c r="AD668" s="61" t="s">
        <v>38</v>
      </c>
      <c r="AE668" s="83" t="s">
        <v>38</v>
      </c>
      <c r="AF668" s="37" t="str">
        <f t="array" ref="AF668">INDEX('Deal Info'!D:D, MATCH(A668,'Deal Info'!A:A, 0))</f>
        <v>DoEV</v>
      </c>
      <c r="AG668" s="38" t="str">
        <f t="array" ref="AG668">INDEX('Deal Info'!G:G, MATCH(A668,'Deal Info'!A:A, 0))</f>
        <v>None</v>
      </c>
    </row>
    <row r="669" spans="1:33" ht="14.25" hidden="1" x14ac:dyDescent="0.2">
      <c r="A669" s="18" t="str">
        <f t="array" ref="A669">IF(G669='Room Info'!$B$1, INDEX('Room Info'!$A$2:$A2446, MATCH(B669,'Room Info'!$B$2:$B2446, 0)),IF(G669='Room Info'!$C$1, INDEX('Room Info'!$A$2:$A2446, MATCH(B669,'Room Info'!$C$2:$C2446, 0)),IF(G669='Room Info'!$D$1, INDEX('Room Info'!$A$2:$A2446, MATCH(B669,'Room Info'!$D$2:$D2446, 0)),IF(G669='Room Info'!$E$1, INDEX('Room Info'!$A$2:$A2446, MATCH(B669,'Room Info'!$E$2:$E2446, 0)),IF(G669='Room Info'!$F$1, INDEX('Room Info'!$A$2:$A2446, MATCH(B669,'Room Info'!$F$2:$F2446, 0)),IF(G669='Room Info'!$H$1, INDEX('Room Info'!$A$2:$A2446, MATCH(B669,'Room Info'!$H$2:$H2446, 0)),IF(G669='Room Info'!$G$1, INDEX('Room Info'!$A$2:$A2446, MATCH(B669,'Room Info'!$G$2:$G2446, 0)))))))))</f>
        <v>Davaibablo</v>
      </c>
      <c r="B669" s="54" t="s">
        <v>157</v>
      </c>
      <c r="C669" s="46">
        <v>44835</v>
      </c>
      <c r="D669" s="46">
        <v>44865</v>
      </c>
      <c r="E669" s="47">
        <v>44835</v>
      </c>
      <c r="F669" s="48" t="s">
        <v>41</v>
      </c>
      <c r="G669" s="54" t="s">
        <v>158</v>
      </c>
      <c r="H669" s="49" t="s">
        <v>161</v>
      </c>
      <c r="I669" s="49" t="s">
        <v>37</v>
      </c>
      <c r="J669" s="50">
        <v>5000</v>
      </c>
      <c r="K669" s="51">
        <v>1211</v>
      </c>
      <c r="L669" s="52">
        <v>74457.06</v>
      </c>
      <c r="M669" s="53">
        <v>0</v>
      </c>
      <c r="N669" s="28">
        <f>K669*J669</f>
        <v>6055000</v>
      </c>
      <c r="O669" s="65"/>
      <c r="P669" s="29">
        <v>0</v>
      </c>
      <c r="Q669" s="55"/>
      <c r="R669" s="31">
        <f>M669+Q669</f>
        <v>0</v>
      </c>
      <c r="S669" s="66"/>
      <c r="T669" s="32">
        <f>R669+S669+IF(F669="Without EV deal",L669,0)</f>
        <v>74457.06</v>
      </c>
      <c r="U669" s="57">
        <v>1.6E-2</v>
      </c>
      <c r="V669" s="58"/>
      <c r="W669" s="58"/>
      <c r="X669" s="78">
        <v>0.17</v>
      </c>
      <c r="Y669" s="30">
        <f>IF(AG669="None",0,IF(AG669="Fix5",0.05, IF(AG669="Fix6.25",0.0625,IF(AG669="Fix3.75",0.0375,IF(AG669="Fix10",0.1,IF(AG669="Fix3",0.03,0))))))</f>
        <v>0</v>
      </c>
      <c r="Z669" s="59">
        <v>989</v>
      </c>
      <c r="AA669" s="60">
        <v>203</v>
      </c>
      <c r="AB669" s="36">
        <f>IF(AD669="EUR",((T669-R669)*Y669)*U669+(R669*Y669),(T669*Y669))</f>
        <v>0</v>
      </c>
      <c r="AC669" s="37" t="b">
        <v>1</v>
      </c>
      <c r="AD669" s="61" t="s">
        <v>38</v>
      </c>
      <c r="AE669" s="83" t="s">
        <v>38</v>
      </c>
      <c r="AF669" s="37" t="str">
        <f t="array" ref="AF669">INDEX('Deal Info'!D:D, MATCH(A669,'Deal Info'!A:A, 0))</f>
        <v>DoEV</v>
      </c>
      <c r="AG669" s="38" t="str">
        <f t="array" ref="AG669">INDEX('Deal Info'!G:G, MATCH(A669,'Deal Info'!A:A, 0))</f>
        <v>None</v>
      </c>
    </row>
    <row r="670" spans="1:33" ht="14.25" hidden="1" x14ac:dyDescent="0.2">
      <c r="A670" s="18" t="str">
        <f t="array" ref="A670">IF(G670='Room Info'!$B$1, INDEX('Room Info'!$A$2:$A2446, MATCH(B670,'Room Info'!$B$2:$B2446, 0)),IF(G670='Room Info'!$C$1, INDEX('Room Info'!$A$2:$A2446, MATCH(B670,'Room Info'!$C$2:$C2446, 0)),IF(G670='Room Info'!$D$1, INDEX('Room Info'!$A$2:$A2446, MATCH(B670,'Room Info'!$D$2:$D2446, 0)),IF(G670='Room Info'!$E$1, INDEX('Room Info'!$A$2:$A2446, MATCH(B670,'Room Info'!$E$2:$E2446, 0)),IF(G670='Room Info'!$F$1, INDEX('Room Info'!$A$2:$A2446, MATCH(B670,'Room Info'!$F$2:$F2446, 0)),IF(G670='Room Info'!$H$1, INDEX('Room Info'!$A$2:$A2446, MATCH(B670,'Room Info'!$H$2:$H2446, 0)),IF(G670='Room Info'!$G$1, INDEX('Room Info'!$A$2:$A2446, MATCH(B670,'Room Info'!$G$2:$G2446, 0)))))))))</f>
        <v>Davaibablo</v>
      </c>
      <c r="B670" s="54" t="s">
        <v>157</v>
      </c>
      <c r="C670" s="46">
        <v>44866</v>
      </c>
      <c r="D670" s="46">
        <v>44895</v>
      </c>
      <c r="E670" s="47">
        <v>44866</v>
      </c>
      <c r="F670" s="48" t="s">
        <v>41</v>
      </c>
      <c r="G670" s="54" t="s">
        <v>158</v>
      </c>
      <c r="H670" s="49" t="s">
        <v>159</v>
      </c>
      <c r="I670" s="49" t="s">
        <v>37</v>
      </c>
      <c r="J670" s="50">
        <v>1000</v>
      </c>
      <c r="K670" s="51">
        <v>597</v>
      </c>
      <c r="L670" s="52">
        <v>95335.33</v>
      </c>
      <c r="M670" s="53">
        <v>350450</v>
      </c>
      <c r="N670" s="28">
        <f>K670*J670</f>
        <v>597000</v>
      </c>
      <c r="O670" s="65"/>
      <c r="P670" s="29">
        <v>0</v>
      </c>
      <c r="Q670" s="55"/>
      <c r="R670" s="31">
        <f>M670+Q670</f>
        <v>350450</v>
      </c>
      <c r="S670" s="66"/>
      <c r="T670" s="32">
        <f>R670+S670+IF(F670="Without EV deal",L670,0)</f>
        <v>445785.33</v>
      </c>
      <c r="U670" s="57">
        <v>1.6E-2</v>
      </c>
      <c r="V670" s="58"/>
      <c r="W670" s="58"/>
      <c r="X670" s="78">
        <v>0.17</v>
      </c>
      <c r="Y670" s="30">
        <f>IF(AG670="None",0,IF(AG670="Fix5",0.05, IF(AG670="Fix6.25",0.0625,IF(AG670="Fix3.75",0.0375,IF(AG670="Fix10",0.1,IF(AG670="Fix3",0.03,0))))))</f>
        <v>0</v>
      </c>
      <c r="Z670" s="59">
        <v>5920</v>
      </c>
      <c r="AA670" s="60">
        <v>1213</v>
      </c>
      <c r="AB670" s="36">
        <f>IF(AD670="EUR",((T670-R670)*Y670)*U670+(R670*Y670),(T670*Y670))</f>
        <v>0</v>
      </c>
      <c r="AC670" s="37" t="b">
        <v>1</v>
      </c>
      <c r="AD670" s="61" t="s">
        <v>38</v>
      </c>
      <c r="AE670" s="83" t="s">
        <v>38</v>
      </c>
      <c r="AF670" s="37" t="str">
        <f t="array" ref="AF670">INDEX('Deal Info'!D:D, MATCH(A670,'Deal Info'!A:A, 0))</f>
        <v>DoEV</v>
      </c>
      <c r="AG670" s="38" t="str">
        <f t="array" ref="AG670">INDEX('Deal Info'!G:G, MATCH(A670,'Deal Info'!A:A, 0))</f>
        <v>None</v>
      </c>
    </row>
    <row r="671" spans="1:33" ht="14.25" hidden="1" x14ac:dyDescent="0.2">
      <c r="A671" s="18" t="str">
        <f t="array" ref="A671">IF(G671='Room Info'!$B$1, INDEX('Room Info'!$A$2:$A2446, MATCH(B671,'Room Info'!$B$2:$B2446, 0)),IF(G671='Room Info'!$C$1, INDEX('Room Info'!$A$2:$A2446, MATCH(B671,'Room Info'!$C$2:$C2446, 0)),IF(G671='Room Info'!$D$1, INDEX('Room Info'!$A$2:$A2446, MATCH(B671,'Room Info'!$D$2:$D2446, 0)),IF(G671='Room Info'!$E$1, INDEX('Room Info'!$A$2:$A2446, MATCH(B671,'Room Info'!$E$2:$E2446, 0)),IF(G671='Room Info'!$F$1, INDEX('Room Info'!$A$2:$A2446, MATCH(B671,'Room Info'!$F$2:$F2446, 0)),IF(G671='Room Info'!$H$1, INDEX('Room Info'!$A$2:$A2446, MATCH(B671,'Room Info'!$H$2:$H2446, 0)),IF(G671='Room Info'!$G$1, INDEX('Room Info'!$A$2:$A2446, MATCH(B671,'Room Info'!$G$2:$G2446, 0)))))))))</f>
        <v>Davaibablo</v>
      </c>
      <c r="B671" s="54" t="s">
        <v>157</v>
      </c>
      <c r="C671" s="46">
        <v>44866</v>
      </c>
      <c r="D671" s="46">
        <v>44895</v>
      </c>
      <c r="E671" s="47">
        <v>44866</v>
      </c>
      <c r="F671" s="48" t="s">
        <v>41</v>
      </c>
      <c r="G671" s="54" t="s">
        <v>158</v>
      </c>
      <c r="H671" s="49" t="s">
        <v>160</v>
      </c>
      <c r="I671" s="49" t="s">
        <v>37</v>
      </c>
      <c r="J671" s="50">
        <v>2500</v>
      </c>
      <c r="K671" s="51">
        <v>1512</v>
      </c>
      <c r="L671" s="52">
        <v>-25000</v>
      </c>
      <c r="M671" s="53">
        <v>25460</v>
      </c>
      <c r="N671" s="28">
        <f>K671*J671</f>
        <v>3780000</v>
      </c>
      <c r="O671" s="65"/>
      <c r="P671" s="29">
        <v>0</v>
      </c>
      <c r="Q671" s="55"/>
      <c r="R671" s="31">
        <f>M671+Q671</f>
        <v>25460</v>
      </c>
      <c r="S671" s="66"/>
      <c r="T671" s="32">
        <f>R671+S671+IF(F671="Without EV deal",L671,0)</f>
        <v>460</v>
      </c>
      <c r="U671" s="57">
        <v>1.6E-2</v>
      </c>
      <c r="V671" s="58"/>
      <c r="W671" s="58"/>
      <c r="X671" s="78">
        <v>0.17</v>
      </c>
      <c r="Y671" s="30">
        <f>IF(AG671="None",0,IF(AG671="Fix5",0.05, IF(AG671="Fix6.25",0.0625,IF(AG671="Fix3.75",0.0375,IF(AG671="Fix10",0.1,IF(AG671="Fix3",0.03,0))))))</f>
        <v>0</v>
      </c>
      <c r="Z671" s="59">
        <v>6</v>
      </c>
      <c r="AA671" s="60">
        <v>1</v>
      </c>
      <c r="AB671" s="36">
        <f>IF(AD671="EUR",((T671-R671)*Y671)*U671+(R671*Y671),(T671*Y671))</f>
        <v>0</v>
      </c>
      <c r="AC671" s="37" t="b">
        <v>1</v>
      </c>
      <c r="AD671" s="61" t="s">
        <v>38</v>
      </c>
      <c r="AE671" s="83" t="s">
        <v>38</v>
      </c>
      <c r="AF671" s="37" t="str">
        <f t="array" ref="AF671">INDEX('Deal Info'!D:D, MATCH(A671,'Deal Info'!A:A, 0))</f>
        <v>DoEV</v>
      </c>
      <c r="AG671" s="38" t="str">
        <f t="array" ref="AG671">INDEX('Deal Info'!G:G, MATCH(A671,'Deal Info'!A:A, 0))</f>
        <v>None</v>
      </c>
    </row>
    <row r="672" spans="1:33" ht="14.25" hidden="1" x14ac:dyDescent="0.2">
      <c r="A672" s="18" t="str">
        <f t="array" ref="A672">IF(G672='Room Info'!$B$1, INDEX('Room Info'!$A$2:$A2446, MATCH(B672,'Room Info'!$B$2:$B2446, 0)),IF(G672='Room Info'!$C$1, INDEX('Room Info'!$A$2:$A2446, MATCH(B672,'Room Info'!$C$2:$C2446, 0)),IF(G672='Room Info'!$D$1, INDEX('Room Info'!$A$2:$A2446, MATCH(B672,'Room Info'!$D$2:$D2446, 0)),IF(G672='Room Info'!$E$1, INDEX('Room Info'!$A$2:$A2446, MATCH(B672,'Room Info'!$E$2:$E2446, 0)),IF(G672='Room Info'!$F$1, INDEX('Room Info'!$A$2:$A2446, MATCH(B672,'Room Info'!$F$2:$F2446, 0)),IF(G672='Room Info'!$H$1, INDEX('Room Info'!$A$2:$A2446, MATCH(B672,'Room Info'!$H$2:$H2446, 0)),IF(G672='Room Info'!$G$1, INDEX('Room Info'!$A$2:$A2446, MATCH(B672,'Room Info'!$G$2:$G2446, 0)))))))))</f>
        <v>Davaibablo</v>
      </c>
      <c r="B672" s="54" t="s">
        <v>157</v>
      </c>
      <c r="C672" s="46">
        <v>44866</v>
      </c>
      <c r="D672" s="46">
        <v>44895</v>
      </c>
      <c r="E672" s="47">
        <v>44866</v>
      </c>
      <c r="F672" s="48" t="s">
        <v>41</v>
      </c>
      <c r="G672" s="54" t="s">
        <v>158</v>
      </c>
      <c r="H672" s="49" t="s">
        <v>161</v>
      </c>
      <c r="I672" s="49" t="s">
        <v>37</v>
      </c>
      <c r="J672" s="50">
        <v>5000</v>
      </c>
      <c r="K672" s="51">
        <v>730</v>
      </c>
      <c r="L672" s="52">
        <v>56666.67</v>
      </c>
      <c r="M672" s="53">
        <v>0</v>
      </c>
      <c r="N672" s="28">
        <f>K672*J672</f>
        <v>3650000</v>
      </c>
      <c r="O672" s="65"/>
      <c r="P672" s="29">
        <v>0</v>
      </c>
      <c r="Q672" s="55"/>
      <c r="R672" s="31">
        <f>M672+Q672</f>
        <v>0</v>
      </c>
      <c r="S672" s="66"/>
      <c r="T672" s="32">
        <f>R672+S672+IF(F672="Without EV deal",L672,0)</f>
        <v>56666.67</v>
      </c>
      <c r="U672" s="57">
        <v>1.6E-2</v>
      </c>
      <c r="V672" s="58"/>
      <c r="W672" s="58"/>
      <c r="X672" s="78">
        <v>0.17</v>
      </c>
      <c r="Y672" s="30">
        <f>IF(AG672="None",0,IF(AG672="Fix5",0.05, IF(AG672="Fix6.25",0.0625,IF(AG672="Fix3.75",0.0375,IF(AG672="Fix10",0.1,IF(AG672="Fix3",0.03,0))))))</f>
        <v>0</v>
      </c>
      <c r="Z672" s="59">
        <v>753</v>
      </c>
      <c r="AA672" s="60">
        <v>154</v>
      </c>
      <c r="AB672" s="36">
        <f>IF(AD672="EUR",((T672-R672)*Y672)*U672+(R672*Y672),(T672*Y672))</f>
        <v>0</v>
      </c>
      <c r="AC672" s="37" t="b">
        <v>1</v>
      </c>
      <c r="AD672" s="61" t="s">
        <v>38</v>
      </c>
      <c r="AE672" s="83" t="s">
        <v>38</v>
      </c>
      <c r="AF672" s="37" t="str">
        <f t="array" ref="AF672">INDEX('Deal Info'!D:D, MATCH(A672,'Deal Info'!A:A, 0))</f>
        <v>DoEV</v>
      </c>
      <c r="AG672" s="38" t="str">
        <f t="array" ref="AG672">INDEX('Deal Info'!G:G, MATCH(A672,'Deal Info'!A:A, 0))</f>
        <v>None</v>
      </c>
    </row>
    <row r="673" spans="1:33" ht="14.25" hidden="1" x14ac:dyDescent="0.2">
      <c r="A673" s="18" t="str">
        <f t="array" ref="A673">IF(G673='Room Info'!$B$1, INDEX('Room Info'!$A$2:$A2446, MATCH(B673,'Room Info'!$B$2:$B2446, 0)),IF(G673='Room Info'!$C$1, INDEX('Room Info'!$A$2:$A2446, MATCH(B673,'Room Info'!$C$2:$C2446, 0)),IF(G673='Room Info'!$D$1, INDEX('Room Info'!$A$2:$A2446, MATCH(B673,'Room Info'!$D$2:$D2446, 0)),IF(G673='Room Info'!$E$1, INDEX('Room Info'!$A$2:$A2446, MATCH(B673,'Room Info'!$E$2:$E2446, 0)),IF(G673='Room Info'!$F$1, INDEX('Room Info'!$A$2:$A2446, MATCH(B673,'Room Info'!$F$2:$F2446, 0)),IF(G673='Room Info'!$H$1, INDEX('Room Info'!$A$2:$A2446, MATCH(B673,'Room Info'!$H$2:$H2446, 0)),IF(G673='Room Info'!$G$1, INDEX('Room Info'!$A$2:$A2446, MATCH(B673,'Room Info'!$G$2:$G2446, 0)))))))))</f>
        <v>Davaibablo</v>
      </c>
      <c r="B673" s="45" t="s">
        <v>157</v>
      </c>
      <c r="C673" s="46">
        <v>44896</v>
      </c>
      <c r="D673" s="46">
        <v>44921</v>
      </c>
      <c r="E673" s="47">
        <v>44896</v>
      </c>
      <c r="F673" s="45" t="s">
        <v>41</v>
      </c>
      <c r="G673" s="54" t="s">
        <v>53</v>
      </c>
      <c r="H673" s="49" t="s">
        <v>56</v>
      </c>
      <c r="I673" s="49" t="s">
        <v>37</v>
      </c>
      <c r="J673" s="50">
        <v>20</v>
      </c>
      <c r="K673" s="51">
        <v>1753</v>
      </c>
      <c r="L673" s="52">
        <v>608.22</v>
      </c>
      <c r="M673" s="53">
        <v>1227</v>
      </c>
      <c r="N673" s="28">
        <f>K673*J673</f>
        <v>35060</v>
      </c>
      <c r="O673" s="65"/>
      <c r="P673" s="29">
        <v>0</v>
      </c>
      <c r="Q673" s="55"/>
      <c r="R673" s="31">
        <f>M673+Q673</f>
        <v>1227</v>
      </c>
      <c r="S673" s="66"/>
      <c r="T673" s="32">
        <f>R673+S673+IF(F673="Without EV deal",L673,0)</f>
        <v>1835.22</v>
      </c>
      <c r="U673" s="57">
        <v>1.0609999999999999</v>
      </c>
      <c r="V673" s="58"/>
      <c r="W673" s="58"/>
      <c r="X673" s="78">
        <v>0.17</v>
      </c>
      <c r="Y673" s="30">
        <f>IF(AG673="None",0,IF(AG673="Fix5",0.05, IF(AG673="Fix6.25",0.0625,IF(AG673="Fix3.75",0.0375,IF(AG673="Fix10",0.1,IF(AG673="Fix3",0.03,0))))))</f>
        <v>0</v>
      </c>
      <c r="Z673" s="59">
        <v>1616</v>
      </c>
      <c r="AA673" s="60">
        <v>331</v>
      </c>
      <c r="AB673" s="36">
        <f>IF(AD673="EUR",((T673-R673)*Y673)*U673+(R673*Y673),(T673*Y673))</f>
        <v>0</v>
      </c>
      <c r="AC673" s="37" t="b">
        <v>1</v>
      </c>
      <c r="AD673" s="61" t="s">
        <v>38</v>
      </c>
      <c r="AE673" s="83" t="s">
        <v>38</v>
      </c>
      <c r="AF673" s="37" t="str">
        <f t="array" ref="AF673">INDEX('Deal Info'!D:D, MATCH(A673,'Deal Info'!A:A, 0))</f>
        <v>DoEV</v>
      </c>
      <c r="AG673" s="38" t="str">
        <f t="array" ref="AG673">INDEX('Deal Info'!G:G, MATCH(A673,'Deal Info'!A:A, 0))</f>
        <v>None</v>
      </c>
    </row>
    <row r="674" spans="1:33" ht="14.25" hidden="1" x14ac:dyDescent="0.2">
      <c r="A674" s="18" t="str">
        <f t="array" ref="A674">IF(G674='Room Info'!$B$1, INDEX('Room Info'!$A$2:$A2446, MATCH(B674,'Room Info'!$B$2:$B2446, 0)),IF(G674='Room Info'!$C$1, INDEX('Room Info'!$A$2:$A2446, MATCH(B674,'Room Info'!$C$2:$C2446, 0)),IF(G674='Room Info'!$D$1, INDEX('Room Info'!$A$2:$A2446, MATCH(B674,'Room Info'!$D$2:$D2446, 0)),IF(G674='Room Info'!$E$1, INDEX('Room Info'!$A$2:$A2446, MATCH(B674,'Room Info'!$E$2:$E2446, 0)),IF(G674='Room Info'!$F$1, INDEX('Room Info'!$A$2:$A2446, MATCH(B674,'Room Info'!$F$2:$F2446, 0)),IF(G674='Room Info'!$H$1, INDEX('Room Info'!$A$2:$A2446, MATCH(B674,'Room Info'!$H$2:$H2446, 0)),IF(G674='Room Info'!$G$1, INDEX('Room Info'!$A$2:$A2446, MATCH(B674,'Room Info'!$G$2:$G2446, 0)))))))))</f>
        <v>Davaibablo</v>
      </c>
      <c r="B674" s="54" t="s">
        <v>157</v>
      </c>
      <c r="C674" s="46">
        <v>44896</v>
      </c>
      <c r="D674" s="46">
        <v>44921</v>
      </c>
      <c r="E674" s="47">
        <v>44896</v>
      </c>
      <c r="F674" s="45" t="s">
        <v>41</v>
      </c>
      <c r="G674" s="54" t="s">
        <v>53</v>
      </c>
      <c r="H674" s="49" t="s">
        <v>55</v>
      </c>
      <c r="I674" s="49" t="s">
        <v>37</v>
      </c>
      <c r="J674" s="50">
        <v>10</v>
      </c>
      <c r="K674" s="51">
        <v>1</v>
      </c>
      <c r="L674" s="52">
        <v>0.17</v>
      </c>
      <c r="M674" s="76">
        <v>0</v>
      </c>
      <c r="N674" s="28">
        <f>K674*J674</f>
        <v>10</v>
      </c>
      <c r="O674" s="65"/>
      <c r="P674" s="29">
        <v>0</v>
      </c>
      <c r="Q674" s="55"/>
      <c r="R674" s="31">
        <f>M674+Q674</f>
        <v>0</v>
      </c>
      <c r="S674" s="66"/>
      <c r="T674" s="32">
        <f>R674+S674+IF(F674="Without EV deal",L674,0)</f>
        <v>0.17</v>
      </c>
      <c r="U674" s="57">
        <v>1.0609999999999999</v>
      </c>
      <c r="V674" s="58"/>
      <c r="W674" s="58"/>
      <c r="X674" s="78">
        <v>0.17</v>
      </c>
      <c r="Y674" s="30">
        <f>IF(AG674="None",0,IF(AG674="Fix5",0.05, IF(AG674="Fix6.25",0.0625,IF(AG674="Fix3.75",0.0375,IF(AG674="Fix10",0.1,IF(AG674="Fix3",0.03,0))))))</f>
        <v>0</v>
      </c>
      <c r="Z674" s="59">
        <v>0</v>
      </c>
      <c r="AA674" s="60">
        <v>0</v>
      </c>
      <c r="AB674" s="36">
        <f>IF(AD674="EUR",((T674-R674)*Y674)*U674+(R674*Y674),(T674*Y674))</f>
        <v>0</v>
      </c>
      <c r="AC674" s="37" t="b">
        <v>1</v>
      </c>
      <c r="AD674" s="61" t="s">
        <v>38</v>
      </c>
      <c r="AE674" s="83" t="s">
        <v>38</v>
      </c>
      <c r="AF674" s="37" t="str">
        <f t="array" ref="AF674">INDEX('Deal Info'!D:D, MATCH(A674,'Deal Info'!A:A, 0))</f>
        <v>DoEV</v>
      </c>
      <c r="AG674" s="38" t="str">
        <f t="array" ref="AG674">INDEX('Deal Info'!G:G, MATCH(A674,'Deal Info'!A:A, 0))</f>
        <v>None</v>
      </c>
    </row>
    <row r="675" spans="1:33" ht="14.25" hidden="1" x14ac:dyDescent="0.2">
      <c r="A675" s="18" t="str">
        <f t="array" ref="A675">IF(G675='Room Info'!$B$1, INDEX('Room Info'!$A$2:$A2446, MATCH(B675,'Room Info'!$B$2:$B2446, 0)),IF(G675='Room Info'!$C$1, INDEX('Room Info'!$A$2:$A2446, MATCH(B675,'Room Info'!$C$2:$C2446, 0)),IF(G675='Room Info'!$D$1, INDEX('Room Info'!$A$2:$A2446, MATCH(B675,'Room Info'!$D$2:$D2446, 0)),IF(G675='Room Info'!$E$1, INDEX('Room Info'!$A$2:$A2446, MATCH(B675,'Room Info'!$E$2:$E2446, 0)),IF(G675='Room Info'!$F$1, INDEX('Room Info'!$A$2:$A2446, MATCH(B675,'Room Info'!$F$2:$F2446, 0)),IF(G675='Room Info'!$H$1, INDEX('Room Info'!$A$2:$A2446, MATCH(B675,'Room Info'!$H$2:$H2446, 0)),IF(G675='Room Info'!$G$1, INDEX('Room Info'!$A$2:$A2446, MATCH(B675,'Room Info'!$G$2:$G2446, 0)))))))))</f>
        <v>Davaibablo</v>
      </c>
      <c r="B675" s="45" t="s">
        <v>157</v>
      </c>
      <c r="C675" s="46">
        <v>44896</v>
      </c>
      <c r="D675" s="46">
        <v>44921</v>
      </c>
      <c r="E675" s="47">
        <v>44896</v>
      </c>
      <c r="F675" s="48" t="s">
        <v>41</v>
      </c>
      <c r="G675" s="45" t="s">
        <v>53</v>
      </c>
      <c r="H675" s="49" t="s">
        <v>54</v>
      </c>
      <c r="I675" s="49" t="s">
        <v>37</v>
      </c>
      <c r="J675" s="50">
        <v>5</v>
      </c>
      <c r="K675" s="51">
        <v>7</v>
      </c>
      <c r="L675" s="52">
        <v>0.61</v>
      </c>
      <c r="M675" s="53">
        <v>1</v>
      </c>
      <c r="N675" s="28">
        <f>K675*J675</f>
        <v>35</v>
      </c>
      <c r="O675" s="65"/>
      <c r="P675" s="29">
        <v>0</v>
      </c>
      <c r="Q675" s="55"/>
      <c r="R675" s="31">
        <f>M675+Q675</f>
        <v>1</v>
      </c>
      <c r="S675" s="66"/>
      <c r="T675" s="32">
        <f>R675+S675+IF(F675="Without EV deal",L675,0)</f>
        <v>1.6099999999999999</v>
      </c>
      <c r="U675" s="57">
        <v>1.0609999999999999</v>
      </c>
      <c r="V675" s="58"/>
      <c r="W675" s="58"/>
      <c r="X675" s="78">
        <v>0.17</v>
      </c>
      <c r="Y675" s="30">
        <f>IF(AG675="None",0,IF(AG675="Fix5",0.05, IF(AG675="Fix6.25",0.0625,IF(AG675="Fix3.75",0.0375,IF(AG675="Fix10",0.1,IF(AG675="Fix3",0.03,0))))))</f>
        <v>0</v>
      </c>
      <c r="Z675" s="59">
        <v>2</v>
      </c>
      <c r="AA675" s="60">
        <v>0</v>
      </c>
      <c r="AB675" s="36">
        <f>IF(AD675="EUR",((T675-R675)*Y675)*U675+(R675*Y675),(T675*Y675))</f>
        <v>0</v>
      </c>
      <c r="AC675" s="37" t="b">
        <v>1</v>
      </c>
      <c r="AD675" s="61" t="s">
        <v>38</v>
      </c>
      <c r="AE675" s="83" t="s">
        <v>38</v>
      </c>
      <c r="AF675" s="37" t="str">
        <f t="array" ref="AF675">INDEX('Deal Info'!D:D, MATCH(A675,'Deal Info'!A:A, 0))</f>
        <v>DoEV</v>
      </c>
      <c r="AG675" s="38" t="str">
        <f t="array" ref="AG675">INDEX('Deal Info'!G:G, MATCH(A675,'Deal Info'!A:A, 0))</f>
        <v>None</v>
      </c>
    </row>
    <row r="676" spans="1:33" ht="14.25" hidden="1" x14ac:dyDescent="0.2">
      <c r="A676" s="18" t="str">
        <f t="array" ref="A676">IF(G676='Room Info'!$B$1, INDEX('Room Info'!$A$2:$A2446, MATCH(B676,'Room Info'!$B$2:$B2446, 0)),IF(G676='Room Info'!$C$1, INDEX('Room Info'!$A$2:$A2446, MATCH(B676,'Room Info'!$C$2:$C2446, 0)),IF(G676='Room Info'!$D$1, INDEX('Room Info'!$A$2:$A2446, MATCH(B676,'Room Info'!$D$2:$D2446, 0)),IF(G676='Room Info'!$E$1, INDEX('Room Info'!$A$2:$A2446, MATCH(B676,'Room Info'!$E$2:$E2446, 0)),IF(G676='Room Info'!$F$1, INDEX('Room Info'!$A$2:$A2446, MATCH(B676,'Room Info'!$F$2:$F2446, 0)),IF(G676='Room Info'!$H$1, INDEX('Room Info'!$A$2:$A2446, MATCH(B676,'Room Info'!$H$2:$H2446, 0)),IF(G676='Room Info'!$G$1, INDEX('Room Info'!$A$2:$A2446, MATCH(B676,'Room Info'!$G$2:$G2446, 0)))))))))</f>
        <v>Davaibablo</v>
      </c>
      <c r="B676" s="45" t="s">
        <v>157</v>
      </c>
      <c r="C676" s="46">
        <v>44896</v>
      </c>
      <c r="D676" s="46">
        <v>44921</v>
      </c>
      <c r="E676" s="47">
        <v>44896</v>
      </c>
      <c r="F676" s="48" t="s">
        <v>41</v>
      </c>
      <c r="G676" s="45" t="s">
        <v>158</v>
      </c>
      <c r="H676" s="49" t="s">
        <v>159</v>
      </c>
      <c r="I676" s="49" t="s">
        <v>37</v>
      </c>
      <c r="J676" s="50">
        <v>1000</v>
      </c>
      <c r="K676" s="51">
        <v>22</v>
      </c>
      <c r="L676" s="52">
        <v>-4000</v>
      </c>
      <c r="M676" s="53">
        <v>2327</v>
      </c>
      <c r="N676" s="28">
        <f>K676*J676</f>
        <v>22000</v>
      </c>
      <c r="O676" s="65"/>
      <c r="P676" s="29">
        <v>0</v>
      </c>
      <c r="Q676" s="55"/>
      <c r="R676" s="31">
        <f>M676+Q676</f>
        <v>2327</v>
      </c>
      <c r="S676" s="66"/>
      <c r="T676" s="32">
        <f>R676+S676+IF(F676="Without EV deal",L676,0)</f>
        <v>-1673</v>
      </c>
      <c r="U676" s="57">
        <v>1.4E-2</v>
      </c>
      <c r="V676" s="58"/>
      <c r="W676" s="58"/>
      <c r="X676" s="78">
        <v>0.17</v>
      </c>
      <c r="Y676" s="30">
        <f>IF(AG676="None",0,IF(AG676="Fix5",0.05, IF(AG676="Fix6.25",0.0625,IF(AG676="Fix3.75",0.0375,IF(AG676="Fix10",0.1,IF(AG676="Fix3",0.03,0))))))</f>
        <v>0</v>
      </c>
      <c r="Z676" s="59">
        <v>-19</v>
      </c>
      <c r="AA676" s="60">
        <v>-4</v>
      </c>
      <c r="AB676" s="36">
        <f>IF(AD676="EUR",((T676-R676)*Y676)*U676+(R676*Y676),(T676*Y676))</f>
        <v>0</v>
      </c>
      <c r="AC676" s="37" t="b">
        <v>1</v>
      </c>
      <c r="AD676" s="61" t="s">
        <v>38</v>
      </c>
      <c r="AE676" s="83" t="s">
        <v>38</v>
      </c>
      <c r="AF676" s="37" t="str">
        <f t="array" ref="AF676">INDEX('Deal Info'!D:D, MATCH(A676,'Deal Info'!A:A, 0))</f>
        <v>DoEV</v>
      </c>
      <c r="AG676" s="38" t="str">
        <f t="array" ref="AG676">INDEX('Deal Info'!G:G, MATCH(A676,'Deal Info'!A:A, 0))</f>
        <v>None</v>
      </c>
    </row>
    <row r="677" spans="1:33" ht="14.25" hidden="1" x14ac:dyDescent="0.2">
      <c r="A677" s="18" t="str">
        <f t="array" ref="A677">IF(G677='Room Info'!$B$1, INDEX('Room Info'!$A$2:$A2446, MATCH(B677,'Room Info'!$B$2:$B2446, 0)),IF(G677='Room Info'!$C$1, INDEX('Room Info'!$A$2:$A2446, MATCH(B677,'Room Info'!$C$2:$C2446, 0)),IF(G677='Room Info'!$D$1, INDEX('Room Info'!$A$2:$A2446, MATCH(B677,'Room Info'!$D$2:$D2446, 0)),IF(G677='Room Info'!$E$1, INDEX('Room Info'!$A$2:$A2446, MATCH(B677,'Room Info'!$E$2:$E2446, 0)),IF(G677='Room Info'!$F$1, INDEX('Room Info'!$A$2:$A2446, MATCH(B677,'Room Info'!$F$2:$F2446, 0)),IF(G677='Room Info'!$H$1, INDEX('Room Info'!$A$2:$A2446, MATCH(B677,'Room Info'!$H$2:$H2446, 0)),IF(G677='Room Info'!$G$1, INDEX('Room Info'!$A$2:$A2446, MATCH(B677,'Room Info'!$G$2:$G2446, 0)))))))))</f>
        <v>Davaibablo</v>
      </c>
      <c r="B677" s="45" t="s">
        <v>157</v>
      </c>
      <c r="C677" s="46">
        <v>44896</v>
      </c>
      <c r="D677" s="46">
        <v>44921</v>
      </c>
      <c r="E677" s="47">
        <v>44896</v>
      </c>
      <c r="F677" s="48" t="s">
        <v>41</v>
      </c>
      <c r="G677" s="45" t="s">
        <v>158</v>
      </c>
      <c r="H677" s="49" t="s">
        <v>160</v>
      </c>
      <c r="I677" s="49" t="s">
        <v>37</v>
      </c>
      <c r="J677" s="50">
        <v>2500</v>
      </c>
      <c r="K677" s="51">
        <v>31</v>
      </c>
      <c r="L677" s="52">
        <v>30000</v>
      </c>
      <c r="M677" s="53">
        <v>94</v>
      </c>
      <c r="N677" s="28">
        <f>K677*J677</f>
        <v>77500</v>
      </c>
      <c r="O677" s="65"/>
      <c r="P677" s="29">
        <v>0</v>
      </c>
      <c r="Q677" s="55"/>
      <c r="R677" s="31">
        <f>M677+Q677</f>
        <v>94</v>
      </c>
      <c r="S677" s="66"/>
      <c r="T677" s="32">
        <f>R677+S677+IF(F677="Without EV deal",L677,0)</f>
        <v>30094</v>
      </c>
      <c r="U677" s="57">
        <v>1.4E-2</v>
      </c>
      <c r="V677" s="58"/>
      <c r="W677" s="58"/>
      <c r="X677" s="78">
        <v>0.17</v>
      </c>
      <c r="Y677" s="30">
        <f>IF(AG677="None",0,IF(AG677="Fix5",0.05, IF(AG677="Fix6.25",0.0625,IF(AG677="Fix3.75",0.0375,IF(AG677="Fix10",0.1,IF(AG677="Fix3",0.03,0))))))</f>
        <v>0</v>
      </c>
      <c r="Z677" s="59">
        <v>350</v>
      </c>
      <c r="AA677" s="60">
        <v>72</v>
      </c>
      <c r="AB677" s="36">
        <f>IF(AD677="EUR",((T677-R677)*Y677)*U677+(R677*Y677),(T677*Y677))</f>
        <v>0</v>
      </c>
      <c r="AC677" s="37" t="b">
        <v>1</v>
      </c>
      <c r="AD677" s="61" t="s">
        <v>38</v>
      </c>
      <c r="AE677" s="83" t="s">
        <v>38</v>
      </c>
      <c r="AF677" s="37" t="str">
        <f t="array" ref="AF677">INDEX('Deal Info'!D:D, MATCH(A677,'Deal Info'!A:A, 0))</f>
        <v>DoEV</v>
      </c>
      <c r="AG677" s="38" t="str">
        <f t="array" ref="AG677">INDEX('Deal Info'!G:G, MATCH(A677,'Deal Info'!A:A, 0))</f>
        <v>None</v>
      </c>
    </row>
    <row r="678" spans="1:33" ht="14.25" hidden="1" x14ac:dyDescent="0.2">
      <c r="A678" s="18" t="str">
        <f t="array" ref="A678">IF(G678='Room Info'!$B$1, INDEX('Room Info'!$A$2:$A2446, MATCH(B678,'Room Info'!$B$2:$B2446, 0)),IF(G678='Room Info'!$C$1, INDEX('Room Info'!$A$2:$A2446, MATCH(B678,'Room Info'!$C$2:$C2446, 0)),IF(G678='Room Info'!$D$1, INDEX('Room Info'!$A$2:$A2446, MATCH(B678,'Room Info'!$D$2:$D2446, 0)),IF(G678='Room Info'!$E$1, INDEX('Room Info'!$A$2:$A2446, MATCH(B678,'Room Info'!$E$2:$E2446, 0)),IF(G678='Room Info'!$F$1, INDEX('Room Info'!$A$2:$A2446, MATCH(B678,'Room Info'!$F$2:$F2446, 0)),IF(G678='Room Info'!$H$1, INDEX('Room Info'!$A$2:$A2446, MATCH(B678,'Room Info'!$H$2:$H2446, 0)),IF(G678='Room Info'!$G$1, INDEX('Room Info'!$A$2:$A2446, MATCH(B678,'Room Info'!$G$2:$G2446, 0)))))))))</f>
        <v>Davaibablo</v>
      </c>
      <c r="B678" s="45" t="s">
        <v>157</v>
      </c>
      <c r="C678" s="46">
        <v>44896</v>
      </c>
      <c r="D678" s="46">
        <v>44921</v>
      </c>
      <c r="E678" s="47">
        <v>44896</v>
      </c>
      <c r="F678" s="48" t="s">
        <v>41</v>
      </c>
      <c r="G678" s="45" t="s">
        <v>158</v>
      </c>
      <c r="H678" s="49" t="s">
        <v>161</v>
      </c>
      <c r="I678" s="49" t="s">
        <v>37</v>
      </c>
      <c r="J678" s="50">
        <v>5000</v>
      </c>
      <c r="K678" s="51">
        <v>10</v>
      </c>
      <c r="L678" s="52">
        <v>-35000</v>
      </c>
      <c r="M678" s="53">
        <v>0</v>
      </c>
      <c r="N678" s="28">
        <f>K678*J678</f>
        <v>50000</v>
      </c>
      <c r="O678" s="65"/>
      <c r="P678" s="29">
        <v>0</v>
      </c>
      <c r="Q678" s="55"/>
      <c r="R678" s="31">
        <f>M678+Q678</f>
        <v>0</v>
      </c>
      <c r="S678" s="66"/>
      <c r="T678" s="32">
        <f>R678+S678+IF(F678="Without EV deal",L678,0)</f>
        <v>-35000</v>
      </c>
      <c r="U678" s="57">
        <v>1.4E-2</v>
      </c>
      <c r="V678" s="58"/>
      <c r="W678" s="58"/>
      <c r="X678" s="78">
        <v>0.17</v>
      </c>
      <c r="Y678" s="30">
        <f>IF(AG678="None",0,IF(AG678="Fix5",0.05, IF(AG678="Fix6.25",0.0625,IF(AG678="Fix3.75",0.0375,IF(AG678="Fix10",0.1,IF(AG678="Fix3",0.03,0))))))</f>
        <v>0</v>
      </c>
      <c r="Z678" s="59">
        <v>-407</v>
      </c>
      <c r="AA678" s="60">
        <v>-83</v>
      </c>
      <c r="AB678" s="36">
        <f>IF(AD678="EUR",((T678-R678)*Y678)*U678+(R678*Y678),(T678*Y678))</f>
        <v>0</v>
      </c>
      <c r="AC678" s="37" t="b">
        <v>1</v>
      </c>
      <c r="AD678" s="61" t="s">
        <v>38</v>
      </c>
      <c r="AE678" s="83" t="s">
        <v>38</v>
      </c>
      <c r="AF678" s="37" t="str">
        <f t="array" ref="AF678">INDEX('Deal Info'!D:D, MATCH(A678,'Deal Info'!A:A, 0))</f>
        <v>DoEV</v>
      </c>
      <c r="AG678" s="38" t="str">
        <f t="array" ref="AG678">INDEX('Deal Info'!G:G, MATCH(A678,'Deal Info'!A:A, 0))</f>
        <v>None</v>
      </c>
    </row>
    <row r="679" spans="1:33" ht="14.25" hidden="1" x14ac:dyDescent="0.2">
      <c r="A679" s="18" t="str">
        <f t="array" ref="A679">IF(G679='Room Info'!$B$1, INDEX('Room Info'!$A$2:$A2446, MATCH(B679,'Room Info'!$B$2:$B2446, 0)),IF(G679='Room Info'!$C$1, INDEX('Room Info'!$A$2:$A2446, MATCH(B679,'Room Info'!$C$2:$C2446, 0)),IF(G679='Room Info'!$D$1, INDEX('Room Info'!$A$2:$A2446, MATCH(B679,'Room Info'!$D$2:$D2446, 0)),IF(G679='Room Info'!$E$1, INDEX('Room Info'!$A$2:$A2446, MATCH(B679,'Room Info'!$E$2:$E2446, 0)),IF(G679='Room Info'!$F$1, INDEX('Room Info'!$A$2:$A2446, MATCH(B679,'Room Info'!$F$2:$F2446, 0)),IF(G679='Room Info'!$H$1, INDEX('Room Info'!$A$2:$A2446, MATCH(B679,'Room Info'!$H$2:$H2446, 0)),IF(G679='Room Info'!$G$1, INDEX('Room Info'!$A$2:$A2446, MATCH(B679,'Room Info'!$G$2:$G2446, 0)))))))))</f>
        <v>Davaibablo</v>
      </c>
      <c r="B679" s="45" t="s">
        <v>157</v>
      </c>
      <c r="C679" s="46">
        <v>44922</v>
      </c>
      <c r="D679" s="46">
        <v>44957</v>
      </c>
      <c r="E679" s="47">
        <v>44927</v>
      </c>
      <c r="F679" s="48" t="s">
        <v>41</v>
      </c>
      <c r="G679" s="45" t="s">
        <v>53</v>
      </c>
      <c r="H679" s="49" t="s">
        <v>56</v>
      </c>
      <c r="I679" s="49" t="s">
        <v>37</v>
      </c>
      <c r="J679" s="50">
        <v>20</v>
      </c>
      <c r="K679" s="51">
        <v>1664</v>
      </c>
      <c r="L679" s="52">
        <v>484</v>
      </c>
      <c r="M679" s="53">
        <v>1165</v>
      </c>
      <c r="N679" s="28">
        <f>K679*J679</f>
        <v>33280</v>
      </c>
      <c r="O679" s="54">
        <v>101504</v>
      </c>
      <c r="P679" s="29">
        <v>61</v>
      </c>
      <c r="Q679" s="55"/>
      <c r="R679" s="31">
        <f>M679+Q679</f>
        <v>1165</v>
      </c>
      <c r="S679" s="56"/>
      <c r="T679" s="32">
        <f>R679+S679+IF(F679="Without EV deal",L679,0)</f>
        <v>1649</v>
      </c>
      <c r="U679" s="57">
        <v>1.075</v>
      </c>
      <c r="V679" s="58"/>
      <c r="W679" s="58"/>
      <c r="X679" s="78">
        <v>0.17</v>
      </c>
      <c r="Y679" s="30">
        <f>IF(AG679="None",0,IF(AG679="Fix5",0.05, IF(AG679="Fix6.25",0.0625,IF(AG679="Fix3.75",0.0375,IF(AG679="Fix10",0.1,IF(AG679="Fix3",0.03,0))))))</f>
        <v>0</v>
      </c>
      <c r="Z679" s="59">
        <v>1471</v>
      </c>
      <c r="AA679" s="60">
        <v>301</v>
      </c>
      <c r="AB679" s="36">
        <f>IF(AD679="EUR",((T679-R679)*Y679)*U679+(R679*Y679),(T679*Y679))</f>
        <v>0</v>
      </c>
      <c r="AC679" s="37" t="b">
        <v>1</v>
      </c>
      <c r="AD679" s="61" t="s">
        <v>38</v>
      </c>
      <c r="AE679" s="83" t="s">
        <v>38</v>
      </c>
      <c r="AF679" s="37" t="str">
        <f t="array" ref="AF679">INDEX('Deal Info'!D:D, MATCH(A679,'Deal Info'!A:A, 0))</f>
        <v>DoEV</v>
      </c>
      <c r="AG679" s="38" t="str">
        <f t="array" ref="AG679">INDEX('Deal Info'!G:G, MATCH(A679,'Deal Info'!A:A, 0))</f>
        <v>None</v>
      </c>
    </row>
    <row r="680" spans="1:33" ht="14.25" hidden="1" x14ac:dyDescent="0.2">
      <c r="A680" s="18" t="str">
        <f t="array" ref="A680">IF(G680='Room Info'!$B$1, INDEX('Room Info'!$A$2:$A2446, MATCH(B680,'Room Info'!$B$2:$B2446, 0)),IF(G680='Room Info'!$C$1, INDEX('Room Info'!$A$2:$A2446, MATCH(B680,'Room Info'!$C$2:$C2446, 0)),IF(G680='Room Info'!$D$1, INDEX('Room Info'!$A$2:$A2446, MATCH(B680,'Room Info'!$D$2:$D2446, 0)),IF(G680='Room Info'!$E$1, INDEX('Room Info'!$A$2:$A2446, MATCH(B680,'Room Info'!$E$2:$E2446, 0)),IF(G680='Room Info'!$F$1, INDEX('Room Info'!$A$2:$A2446, MATCH(B680,'Room Info'!$F$2:$F2446, 0)),IF(G680='Room Info'!$H$1, INDEX('Room Info'!$A$2:$A2446, MATCH(B680,'Room Info'!$H$2:$H2446, 0)),IF(G680='Room Info'!$G$1, INDEX('Room Info'!$A$2:$A2446, MATCH(B680,'Room Info'!$G$2:$G2446, 0)))))))))</f>
        <v>dimasik</v>
      </c>
      <c r="B680" s="45" t="s">
        <v>162</v>
      </c>
      <c r="C680" s="46">
        <v>44733</v>
      </c>
      <c r="D680" s="46">
        <v>44762</v>
      </c>
      <c r="E680" s="47">
        <v>44743</v>
      </c>
      <c r="F680" s="48" t="s">
        <v>41</v>
      </c>
      <c r="G680" s="45" t="s">
        <v>35</v>
      </c>
      <c r="H680" s="49" t="s">
        <v>45</v>
      </c>
      <c r="I680" s="49" t="s">
        <v>37</v>
      </c>
      <c r="J680" s="50">
        <v>0.25</v>
      </c>
      <c r="K680" s="51">
        <v>16</v>
      </c>
      <c r="L680" s="52">
        <v>2</v>
      </c>
      <c r="M680" s="53">
        <v>0</v>
      </c>
      <c r="N680" s="28">
        <f>K680*J680</f>
        <v>4</v>
      </c>
      <c r="O680" s="65"/>
      <c r="P680" s="29">
        <v>0</v>
      </c>
      <c r="Q680" s="55"/>
      <c r="R680" s="31">
        <f>M680+Q680</f>
        <v>0</v>
      </c>
      <c r="S680" s="66"/>
      <c r="T680" s="32">
        <f>R680+S680+IF(F680="Without EV deal",L680,0)</f>
        <v>2</v>
      </c>
      <c r="U680" s="57">
        <v>1</v>
      </c>
      <c r="V680" s="58"/>
      <c r="W680" s="58"/>
      <c r="X680" s="30">
        <f>IF(AF680="DoEV",IF(AND(V680&lt;20,W680&lt;55),0.3,0)+IF(AND(V680&lt;20,W680&gt;=55,W680&lt;105),0.23,0)+IF(AND(V680&lt;20,W680&gt;=105),0.17,0)+IF(AND(V680&gt;=20,V680&lt;40,W680&lt;45),0.3,0)+IF(AND(V680&gt;=20,V680&lt;40,W680&gt;=45,W680&lt;95),0.23,0)+IF(AND(V680&gt;=20,V680&lt;40,W680&gt;=95),0.17,0)+IF(AND(V680&gt;=40,V680&lt;75,W680&lt;35),0.3,0)+IF(AND(V680&gt;=40,V680&lt;75,W680&gt;=35,W680&lt;75),0.23,0)+IF(AND(V680&gt;=40,V680&lt;75,W680&gt;=75,W680&lt;120),0.17,0)+IF(AND(V680&gt;=40,V680&lt;75,W680&gt;=120),0.12,0)+IF(AND(V680&gt;=75,V680&lt;175,W680&lt;35),0.3,0)+IF(AND(V680&gt;=75,V680&lt;=175,W680&gt;=35,W680&lt;65),0.23,0)+IF(AND(V680&gt;=75,V680&lt;=175,W680&gt;=65,W680&lt;110),0.17,0)+IF(AND(V680&gt;=75,V680&lt;=175,W680&gt;=110),0.12,0)+IF(AND(V680&gt;175,W680&lt;25),0.3,0)+IF(AND(V680&gt;175,W680&gt;=25,W680&lt;55),0.23,0)+IF(AND(V680&gt;175,W680&gt;=55,W680&lt;95),0.17,0)+IF(AND(V680&gt;175,W680&gt;=95),0.12,0),
IF(AF680="Fix15",0.15,
IF(AF680="Fix18.75",0.1875,
IF(AF680="Fix11.25",0.1125,
IF(AF680="Fix10",0.1,
IF(AF680="Fix9",0.09,
IF(AF680="Fix19",0.19,
IF(AF680="DoEV2017",IF(AND(W680&lt;74),0.2,0)+IF(AND(W680&gt;=74),0.17,0),
IF(AF680="SF",IF(AND(V680&lt;20,W680&lt;89),0.3,0)+IF(AND(V680&lt;20,W680&gt;=89),0.25,0)+IF(AND(V680&gt;=20,V680&lt;40,W680&lt;74),0.3,0)+IF(AND(V680&gt;=20,V680&lt;40,W680&gt;=75),0.22,0)+IF(AND(V680&gt;=40,V680&lt;75,W680&lt;75),0.26,0)+IF(AND(V680&gt;=40,V680&lt;75,W680&gt;=75),0.22,0)+IF(V680&gt;=75,0.22,0),
IF(AF680="DoEVold",IF(AND(V680&lt;40,W680&lt;35),0.35,0)+IF(AND(V680&lt;40,W680&gt;=35,W680&lt;75),0.25,0)+IF(AND(V680&lt;40,W680&gt;=75),0.17,0)+IF(AND(V680&gt;=40,V680&lt;75,W680&lt;25),0.35,0)+IF(AND(V680&gt;=40,V680&lt;75,W680&gt;=25,W680&lt;65),0.25,0)+IF(AND(V680&gt;=40,V680&lt;75,W680&gt;=65,W680&lt;100),0.17,0)+IF(AND(V680&gt;=40,V680&lt;75,W680&gt;=100),0.1,0)+IF(AND(V680&gt;=75,W680&lt;25),0.35,0)+IF(AND(V680&gt;=75,W680&gt;=25,W680&lt;60),0.25,0)+IF(AND(V680&gt;=75,W680&gt;=60,W680&lt;95),0.17,0)+IF(AND(V680&gt;=75,W680&gt;=95),0.1,0),
IF(AF680="DoEVold15",IF(AND(V680&lt;=40,W680&lt;35),0.35,0)+IF(AND(V680&lt;=40,W680&gt;=35,W680&lt;75),0.25,0)+IF(AND(V680&lt;=40,W680&gt;=75,W680&lt;120),0.17,0)+IF(AND(V680&lt;=40,W680&gt;=120),0.15,0)+IF(AND(V680&gt;40,V680&lt;75,W680&lt;25),0.35,0)+IF(AND(V680&gt;=40,V680&lt;75,W680&gt;=25,W680&lt;65),0.25,0)+IF(AND(V680&gt;=40,V680&lt;75,W680&gt;=65,W680&lt;100),0.17,0)+IF(AND(V680&gt;=40,V680&lt;75,W680&gt;=100),0.1,0)+IF(AND(V680&gt;=75,W680&lt;25),0.35,0)+IF(AND(V680&gt;=75,W680&gt;=25,W680&lt;60),0.25,0)+IF(AND(V680&gt;=75,W680&gt;=60,W680&lt;95),0.17,0)+IF(AND(V680&gt;=75,W680&gt;=95),0.1,0),
IF(AF680="DoEVba",IF(AND(V680&lt;20,W680&lt;105),0.2,0)+IF(AND(V680&lt;20,W680&gt;=105),0.15,0)+IF(AND(V680&gt;=20,V680&lt;40,W680&lt;95),0.2,0)+IF(AND(V680&gt;=20,V680&lt;40,W680&gt;=95,W680&lt;150),0.15,0)+IF(AND(V680&gt;=20,V680&lt;40,W680&gt;=150),0.12,0)+IF(AND(V680&gt;=40,V680&lt;75,W680&lt;75),0.2,0)+IF(AND(V680&gt;=40,V680&lt;75,W680&gt;=75,W680&lt;120),0.15,0)+IF(AND(V680&gt;=40,V680&lt;75,W680&gt;=120),0.12,0)+IF(AND(V680&gt;=75,V680&lt;175,W680&lt;65),0.2,0)+IF(AND(V680&gt;=75,V680&lt;175,W680&gt;=65,W680&lt;110),0.15,0)+IF(AND(V680&gt;=75,V680&lt;175,W680&gt;=110),0.12,0)+IF(AND(V680&gt;=175,W680&lt;55),0.2,0)+IF(AND(V680&gt;=175,W680&gt;=55,W680&lt;95),0.15,0)+IF(AND(V680&gt;=175,W680&gt;=95),0.12,0),
IF(AF680="DoEVku",IF(AND(V680&lt;20,W680&lt;55),0.23,0)+IF(AND(V680&lt;20,W680&gt;=55,W680&lt;105),0.2,0)+IF(AND(V680&lt;20,W680&gt;=105),0.17,0)+IF(AND(V680&gt;=20,V680&lt;40,W680&lt;45),0.23,0)+IF(AND(V680&gt;=20,V680&lt;40,W680&gt;=45,W680&lt;95),0.2,0)+IF(AND(V680&gt;=20,V680&lt;40,W680&gt;=95,W680&lt;=150),0.17,0)+IF(AND(V680&gt;=20,V680&lt;40,W680&gt;=150),0.12,0)+IF(AND(V680&gt;=40,V680&lt;75,W680&lt;35),0.23,0)+IF(AND(V680&gt;=40,V680&lt;75,W680&gt;=35,W680&lt;75),0.2,0)+IF(AND(V680&gt;=40,V680&lt;75,W680&gt;=75,W680&lt;120),0.17,0)+IF(AND(V680&gt;=40,V680&lt;75,W680&gt;=120),0.12,0)+IF(AND(V680&gt;=75,V680&lt;175,W680&lt;35),0.23,0)+IF(AND(V680&gt;=75,V680&lt;=175,W680&gt;=35,W680&lt;65),0.2,0)+IF(AND(V680&gt;=75,V680&lt;=175,W680&gt;=65,W680&lt;110),0.17,0)+IF(AND(V680&gt;=75,V680&lt;=175,W680&gt;=110),0.12,0)+IF(AND(V680&gt;175,W680&lt;25),0.23,0)+IF(AND(V680&gt;175,W680&gt;=25,W680&lt;55),0.2,0)+IF(AND(V680&gt;175,W680&gt;=55,W680&lt;95),0.17,0)+IF(AND(V680&gt;175,W680&gt;=95),0.12,0),
IF(AF680="DoEVs1",IF(AND(V680&lt;20,W680&lt;55),0.3,0)+IF(AND(V680&lt;20,W680&gt;=55,W680&lt;105),0.23,0)+IF(AND(V680&lt;20,W680&gt;=105),0.17,0)+IF(AND(V680&gt;=20,V680&lt;40,W680&lt;45),0.3,0)+IF(AND(V680&gt;=20,V680&lt;40,W680&gt;=45,W680&lt;95),0.23,0)+IF(AND(V680&gt;=20,V680&lt;40,W680&gt;=95,W680&lt;=150),0.17,0)+IF(AND(V680&gt;=20,V680&lt;40,W680&gt;=150),0.12,0)+IF(AND(V680&gt;=40,V680&lt;75,W680&lt;35),0.3,0)+IF(AND(V680&gt;=40,V680&lt;75,W680&gt;=35,W680&lt;75),0.23,0)+IF(AND(V680&gt;=40,V680&lt;75,W680&gt;=75,W680&lt;120),0.17,0)+IF(AND(V680&gt;=40,V680&lt;75,W680&gt;=120),0.12,0)+IF(AND(V680&gt;=75,V680&lt;175,W680&lt;35),0.3,0)+IF(AND(V680&gt;=75,V680&lt;=175,W680&gt;=35,W680&lt;65),0.23,0)+IF(AND(V680&gt;=75,V680&lt;=175,W680&gt;=65,W680&lt;110),0.17,0)+IF(AND(V680&gt;=75,V680&lt;=175,W680&gt;=110),0.12,0)+IF(AND(V680&gt;175,W680&lt;25),0.3,0)+IF(AND(V680&gt;175,W680&gt;=25,W680&lt;55),0.23,0)+IF(AND(V680&gt;175,W680&gt;=55,W680&lt;95),0.17,0)+IF(AND(V680&gt;175,W680&gt;=95),0.12,0),
IF(AF680="DoEVsu",IF(AND(V680&lt;20,W680&lt;55),0.3,0)+IF(AND(V680&lt;20,W680&gt;=55,W680&lt;105),0.23,0)+IF(AND(V680&lt;20,W680&gt;=105),0.17,0)+IF(AND(V680&gt;=20,V680&lt;40,W680&lt;45),0.3,0)+IF(AND(V680&gt;=20,V680&lt;40,W680&gt;=45,W680&lt;95),0.23,0)+IF(AND(V680&gt;=20,V680&lt;40,W680&gt;=95,W680&lt;=250),0.17,0)+IF(AND(V680&gt;=20,V680&lt;40,W680&gt;=250),0.12,0)+IF(AND(V680&gt;=40,V680&lt;75,W680&lt;35),0.3,0)+IF(AND(V680&gt;=40,V680&lt;75,W680&gt;=35,W680&lt;75),0.23,0)+IF(AND(V680&gt;=40,V680&lt;75,W680&gt;=75,W680&lt;120),0.17,0)+IF(AND(V680&gt;=40,V680&lt;75,W680&gt;=120),0.12,0)+IF(AND(V680&gt;=75,V680&lt;175,W680&lt;35),0.3,0)+IF(AND(V680&gt;=75,V680&lt;=175,W680&gt;=35,W680&lt;65),0.23,0)+IF(AND(V680&gt;=75,V680&lt;=175,W680&gt;=65,W680&lt;110),0.17,0)+IF(AND(V680&gt;=75,V680&lt;=175,W680&gt;=110),0.12,0)+IF(AND(V680&gt;175,W680&lt;25),0.3,0)+IF(AND(V680&gt;175,W680&gt;=25,W680&lt;55),0.23,0)+IF(AND(V680&gt;175,W680&gt;=55,W680&lt;95),0.17,0)+IF(AND(V680&gt;175,W680&gt;=95),0.12,0),
IF(AF680="DoEVni",IF(AND(V680&lt;20,W680&lt;55),0.3,0)+IF(AND(V680&lt;20,W680&gt;=55,W680&lt;105),0.23,0)+IF(AND(V680&lt;20,W680&gt;=105),0.17,0)+IF(AND(V680&gt;=20,V680&lt;40,W680&lt;45),0.3,0)+IF(AND(V680&gt;=20,V680&lt;40,W680&gt;=45,W680&lt;95),0.23,0)+IF(AND(V680&gt;=20,V680&lt;40,W680&gt;=95,W680&lt;=200),0.17,0)+IF(AND(V680&gt;=20,V680&lt;40,W680&gt;=200),0.12,0)+IF(AND(V680&gt;=40,V680&lt;75,W680&lt;35),0.3,0)+IF(AND(V680&gt;=40,V680&lt;75,W680&gt;=35,W680&lt;75),0.23,0)+IF(AND(V680&gt;=40,V680&lt;75,W680&gt;=75,W680&lt;120),0.17,0)+IF(AND(V680&gt;=40,V680&lt;75,W680&gt;=120),0.12,0)+IF(AND(V680&gt;=75,V680&lt;175,W680&lt;35),0.3,0)+IF(AND(V680&gt;=75,V680&lt;=175,W680&gt;=35,W680&lt;65),0.23,0)+IF(AND(V680&gt;=75,V680&lt;=175,W680&gt;=65,W680&lt;110),0.17,0)+IF(AND(V680&gt;=75,V680&lt;=175,W680&gt;=110),0.12,0)+IF(AND(V680&gt;175,W680&lt;25),0.3,0)+IF(AND(V680&gt;175,W680&gt;=25,W680&lt;55),0.23,0)+IF(AND(V680&gt;175,W680&gt;=55,W680&lt;95),0.17,0)+IF(AND(V680&gt;175,W680&gt;=95),0.12,0),
IF(AF680="DoEVLo",IF(AND(V680&lt;20,W680&lt;55),0.25,0)+IF(AND(V680&lt;20,W680&gt;=55,W680&lt;105),0.2,0)+IF(AND(V680&lt;20,W680&gt;=105),0.15,0)+IF(AND(V680&gt;=20,V680&lt;40,W680&lt;45),0.25,0)+IF(AND(V680&gt;=20,V680&lt;40,W680&gt;=45,W680&lt;95),0.2,0)+IF(AND(V680&gt;=20,V680&lt;40,W680&gt;=95),0.15,0)+IF(AND(V680&gt;=40,V680&lt;75,W680&lt;35),0.25,0)+IF(AND(V680&gt;=40,V680&lt;75,W680&gt;=35,W680&lt;75),0.2,0)+IF(AND(V680&gt;=40,V680&lt;75,W680&gt;=75,W680&lt;120),0.15,0)+IF(AND(V680&gt;=40,V680&lt;75,W680&gt;=120),0.1,0)+IF(AND(V680&gt;=75,V680&lt;175,W680&lt;35),0.25,0)+IF(AND(V680&gt;=75,V680&lt;=175,W680&gt;=35,W680&lt;65),0.2,0)+IF(AND(V680&gt;=75,V680&lt;=175,W680&gt;=65,W680&lt;110),0.15,0)+IF(AND(V680&gt;=75,V680&lt;=175,W680&gt;=110),0.1,0)+IF(AND(V680&gt;175,W680&lt;25),0.25,0)+IF(AND(V680&gt;175,W680&gt;=25,W680&lt;55),0.2,0)+IF(AND(V680&gt;175,W680&gt;=55,W680&lt;95),0.15,0)+IF(AND(V680&gt;175,W680&gt;=95),0.1,0))))))))))))))))))</f>
        <v>0.19</v>
      </c>
      <c r="Y680" s="30">
        <f>IF(AG680="None",0,IF(AG680="Fix5",0.05, IF(AG680="Fix6.25",0.0625,IF(AG680="Fix3.75",0.0375,IF(AG680="Fix10",0.1,IF(AG680="Fix3",0.03,0))))))</f>
        <v>0</v>
      </c>
      <c r="Z680" s="35">
        <f>T680-AA680-AB680</f>
        <v>1.62</v>
      </c>
      <c r="AA680" s="29">
        <f>IF(AD680="EUR",((T680-R680)*X680)*U680+(R680*X680),(T680*X680))</f>
        <v>0.38</v>
      </c>
      <c r="AB680" s="36">
        <f>IF(AD680="EUR",((T680-R680)*Y680)*U680+(R680*Y680),(T680*Y680))</f>
        <v>0</v>
      </c>
      <c r="AC680" s="37" t="b">
        <v>1</v>
      </c>
      <c r="AD680" s="37" t="s">
        <v>38</v>
      </c>
      <c r="AE680" s="37" t="s">
        <v>38</v>
      </c>
      <c r="AF680" s="37" t="str">
        <f t="array" ref="AF680">INDEX('Deal Info'!D:D, MATCH(A680,'Deal Info'!A:A, 0))</f>
        <v>Fix19</v>
      </c>
      <c r="AG680" s="38" t="str">
        <f t="array" ref="AG680">INDEX('Deal Info'!G:G, MATCH(A680,'Deal Info'!A:A, 0))</f>
        <v>None</v>
      </c>
    </row>
    <row r="681" spans="1:33" ht="14.25" hidden="1" x14ac:dyDescent="0.2">
      <c r="A681" s="18" t="str">
        <f t="array" ref="A681">IF(G681='Room Info'!$B$1, INDEX('Room Info'!$A$2:$A2446, MATCH(B681,'Room Info'!$B$2:$B2446, 0)),IF(G681='Room Info'!$C$1, INDEX('Room Info'!$A$2:$A2446, MATCH(B681,'Room Info'!$C$2:$C2446, 0)),IF(G681='Room Info'!$D$1, INDEX('Room Info'!$A$2:$A2446, MATCH(B681,'Room Info'!$D$2:$D2446, 0)),IF(G681='Room Info'!$E$1, INDEX('Room Info'!$A$2:$A2446, MATCH(B681,'Room Info'!$E$2:$E2446, 0)),IF(G681='Room Info'!$F$1, INDEX('Room Info'!$A$2:$A2446, MATCH(B681,'Room Info'!$F$2:$F2446, 0)),IF(G681='Room Info'!$H$1, INDEX('Room Info'!$A$2:$A2446, MATCH(B681,'Room Info'!$H$2:$H2446, 0)),IF(G681='Room Info'!$G$1, INDEX('Room Info'!$A$2:$A2446, MATCH(B681,'Room Info'!$G$2:$G2446, 0)))))))))</f>
        <v>dimasik</v>
      </c>
      <c r="B681" s="45" t="s">
        <v>162</v>
      </c>
      <c r="C681" s="46">
        <v>44733</v>
      </c>
      <c r="D681" s="46">
        <v>44762</v>
      </c>
      <c r="E681" s="47">
        <v>44743</v>
      </c>
      <c r="F681" s="48" t="s">
        <v>41</v>
      </c>
      <c r="G681" s="45" t="s">
        <v>35</v>
      </c>
      <c r="H681" s="49" t="s">
        <v>51</v>
      </c>
      <c r="I681" s="49" t="s">
        <v>44</v>
      </c>
      <c r="J681" s="50">
        <v>0.25</v>
      </c>
      <c r="K681" s="51">
        <v>12</v>
      </c>
      <c r="L681" s="52">
        <v>2</v>
      </c>
      <c r="M681" s="53">
        <v>0</v>
      </c>
      <c r="N681" s="28">
        <f>K681*J681</f>
        <v>3</v>
      </c>
      <c r="O681" s="65"/>
      <c r="P681" s="29">
        <v>0</v>
      </c>
      <c r="Q681" s="55"/>
      <c r="R681" s="31">
        <f>M681+Q681</f>
        <v>0</v>
      </c>
      <c r="S681" s="66"/>
      <c r="T681" s="32">
        <f>R681+S681+IF(F681="Without EV deal",L681,0)</f>
        <v>2</v>
      </c>
      <c r="U681" s="57">
        <v>1</v>
      </c>
      <c r="V681" s="58"/>
      <c r="W681" s="58"/>
      <c r="X681" s="30">
        <f>IF(AF681="DoEV",IF(AND(V681&lt;20,W681&lt;55),0.3,0)+IF(AND(V681&lt;20,W681&gt;=55,W681&lt;105),0.23,0)+IF(AND(V681&lt;20,W681&gt;=105),0.17,0)+IF(AND(V681&gt;=20,V681&lt;40,W681&lt;45),0.3,0)+IF(AND(V681&gt;=20,V681&lt;40,W681&gt;=45,W681&lt;95),0.23,0)+IF(AND(V681&gt;=20,V681&lt;40,W681&gt;=95),0.17,0)+IF(AND(V681&gt;=40,V681&lt;75,W681&lt;35),0.3,0)+IF(AND(V681&gt;=40,V681&lt;75,W681&gt;=35,W681&lt;75),0.23,0)+IF(AND(V681&gt;=40,V681&lt;75,W681&gt;=75,W681&lt;120),0.17,0)+IF(AND(V681&gt;=40,V681&lt;75,W681&gt;=120),0.12,0)+IF(AND(V681&gt;=75,V681&lt;175,W681&lt;35),0.3,0)+IF(AND(V681&gt;=75,V681&lt;=175,W681&gt;=35,W681&lt;65),0.23,0)+IF(AND(V681&gt;=75,V681&lt;=175,W681&gt;=65,W681&lt;110),0.17,0)+IF(AND(V681&gt;=75,V681&lt;=175,W681&gt;=110),0.12,0)+IF(AND(V681&gt;175,W681&lt;25),0.3,0)+IF(AND(V681&gt;175,W681&gt;=25,W681&lt;55),0.23,0)+IF(AND(V681&gt;175,W681&gt;=55,W681&lt;95),0.17,0)+IF(AND(V681&gt;175,W681&gt;=95),0.12,0),
IF(AF681="Fix15",0.15,
IF(AF681="Fix18.75",0.1875,
IF(AF681="Fix11.25",0.1125,
IF(AF681="Fix10",0.1,
IF(AF681="Fix9",0.09,
IF(AF681="Fix19",0.19,
IF(AF681="DoEV2017",IF(AND(W681&lt;74),0.2,0)+IF(AND(W681&gt;=74),0.17,0),
IF(AF681="SF",IF(AND(V681&lt;20,W681&lt;89),0.3,0)+IF(AND(V681&lt;20,W681&gt;=89),0.25,0)+IF(AND(V681&gt;=20,V681&lt;40,W681&lt;74),0.3,0)+IF(AND(V681&gt;=20,V681&lt;40,W681&gt;=75),0.22,0)+IF(AND(V681&gt;=40,V681&lt;75,W681&lt;75),0.26,0)+IF(AND(V681&gt;=40,V681&lt;75,W681&gt;=75),0.22,0)+IF(V681&gt;=75,0.22,0),
IF(AF681="DoEVold",IF(AND(V681&lt;40,W681&lt;35),0.35,0)+IF(AND(V681&lt;40,W681&gt;=35,W681&lt;75),0.25,0)+IF(AND(V681&lt;40,W681&gt;=75),0.17,0)+IF(AND(V681&gt;=40,V681&lt;75,W681&lt;25),0.35,0)+IF(AND(V681&gt;=40,V681&lt;75,W681&gt;=25,W681&lt;65),0.25,0)+IF(AND(V681&gt;=40,V681&lt;75,W681&gt;=65,W681&lt;100),0.17,0)+IF(AND(V681&gt;=40,V681&lt;75,W681&gt;=100),0.1,0)+IF(AND(V681&gt;=75,W681&lt;25),0.35,0)+IF(AND(V681&gt;=75,W681&gt;=25,W681&lt;60),0.25,0)+IF(AND(V681&gt;=75,W681&gt;=60,W681&lt;95),0.17,0)+IF(AND(V681&gt;=75,W681&gt;=95),0.1,0),
IF(AF681="DoEVold15",IF(AND(V681&lt;=40,W681&lt;35),0.35,0)+IF(AND(V681&lt;=40,W681&gt;=35,W681&lt;75),0.25,0)+IF(AND(V681&lt;=40,W681&gt;=75,W681&lt;120),0.17,0)+IF(AND(V681&lt;=40,W681&gt;=120),0.15,0)+IF(AND(V681&gt;40,V681&lt;75,W681&lt;25),0.35,0)+IF(AND(V681&gt;=40,V681&lt;75,W681&gt;=25,W681&lt;65),0.25,0)+IF(AND(V681&gt;=40,V681&lt;75,W681&gt;=65,W681&lt;100),0.17,0)+IF(AND(V681&gt;=40,V681&lt;75,W681&gt;=100),0.1,0)+IF(AND(V681&gt;=75,W681&lt;25),0.35,0)+IF(AND(V681&gt;=75,W681&gt;=25,W681&lt;60),0.25,0)+IF(AND(V681&gt;=75,W681&gt;=60,W681&lt;95),0.17,0)+IF(AND(V681&gt;=75,W681&gt;=95),0.1,0),
IF(AF681="DoEVba",IF(AND(V681&lt;20,W681&lt;105),0.2,0)+IF(AND(V681&lt;20,W681&gt;=105),0.15,0)+IF(AND(V681&gt;=20,V681&lt;40,W681&lt;95),0.2,0)+IF(AND(V681&gt;=20,V681&lt;40,W681&gt;=95,W681&lt;150),0.15,0)+IF(AND(V681&gt;=20,V681&lt;40,W681&gt;=150),0.12,0)+IF(AND(V681&gt;=40,V681&lt;75,W681&lt;75),0.2,0)+IF(AND(V681&gt;=40,V681&lt;75,W681&gt;=75,W681&lt;120),0.15,0)+IF(AND(V681&gt;=40,V681&lt;75,W681&gt;=120),0.12,0)+IF(AND(V681&gt;=75,V681&lt;175,W681&lt;65),0.2,0)+IF(AND(V681&gt;=75,V681&lt;175,W681&gt;=65,W681&lt;110),0.15,0)+IF(AND(V681&gt;=75,V681&lt;175,W681&gt;=110),0.12,0)+IF(AND(V681&gt;=175,W681&lt;55),0.2,0)+IF(AND(V681&gt;=175,W681&gt;=55,W681&lt;95),0.15,0)+IF(AND(V681&gt;=175,W681&gt;=95),0.12,0),
IF(AF681="DoEVku",IF(AND(V681&lt;20,W681&lt;55),0.23,0)+IF(AND(V681&lt;20,W681&gt;=55,W681&lt;105),0.2,0)+IF(AND(V681&lt;20,W681&gt;=105),0.17,0)+IF(AND(V681&gt;=20,V681&lt;40,W681&lt;45),0.23,0)+IF(AND(V681&gt;=20,V681&lt;40,W681&gt;=45,W681&lt;95),0.2,0)+IF(AND(V681&gt;=20,V681&lt;40,W681&gt;=95,W681&lt;=150),0.17,0)+IF(AND(V681&gt;=20,V681&lt;40,W681&gt;=150),0.12,0)+IF(AND(V681&gt;=40,V681&lt;75,W681&lt;35),0.23,0)+IF(AND(V681&gt;=40,V681&lt;75,W681&gt;=35,W681&lt;75),0.2,0)+IF(AND(V681&gt;=40,V681&lt;75,W681&gt;=75,W681&lt;120),0.17,0)+IF(AND(V681&gt;=40,V681&lt;75,W681&gt;=120),0.12,0)+IF(AND(V681&gt;=75,V681&lt;175,W681&lt;35),0.23,0)+IF(AND(V681&gt;=75,V681&lt;=175,W681&gt;=35,W681&lt;65),0.2,0)+IF(AND(V681&gt;=75,V681&lt;=175,W681&gt;=65,W681&lt;110),0.17,0)+IF(AND(V681&gt;=75,V681&lt;=175,W681&gt;=110),0.12,0)+IF(AND(V681&gt;175,W681&lt;25),0.23,0)+IF(AND(V681&gt;175,W681&gt;=25,W681&lt;55),0.2,0)+IF(AND(V681&gt;175,W681&gt;=55,W681&lt;95),0.17,0)+IF(AND(V681&gt;175,W681&gt;=95),0.12,0),
IF(AF681="DoEVs1",IF(AND(V681&lt;20,W681&lt;55),0.3,0)+IF(AND(V681&lt;20,W681&gt;=55,W681&lt;105),0.23,0)+IF(AND(V681&lt;20,W681&gt;=105),0.17,0)+IF(AND(V681&gt;=20,V681&lt;40,W681&lt;45),0.3,0)+IF(AND(V681&gt;=20,V681&lt;40,W681&gt;=45,W681&lt;95),0.23,0)+IF(AND(V681&gt;=20,V681&lt;40,W681&gt;=95,W681&lt;=150),0.17,0)+IF(AND(V681&gt;=20,V681&lt;40,W681&gt;=150),0.12,0)+IF(AND(V681&gt;=40,V681&lt;75,W681&lt;35),0.3,0)+IF(AND(V681&gt;=40,V681&lt;75,W681&gt;=35,W681&lt;75),0.23,0)+IF(AND(V681&gt;=40,V681&lt;75,W681&gt;=75,W681&lt;120),0.17,0)+IF(AND(V681&gt;=40,V681&lt;75,W681&gt;=120),0.12,0)+IF(AND(V681&gt;=75,V681&lt;175,W681&lt;35),0.3,0)+IF(AND(V681&gt;=75,V681&lt;=175,W681&gt;=35,W681&lt;65),0.23,0)+IF(AND(V681&gt;=75,V681&lt;=175,W681&gt;=65,W681&lt;110),0.17,0)+IF(AND(V681&gt;=75,V681&lt;=175,W681&gt;=110),0.12,0)+IF(AND(V681&gt;175,W681&lt;25),0.3,0)+IF(AND(V681&gt;175,W681&gt;=25,W681&lt;55),0.23,0)+IF(AND(V681&gt;175,W681&gt;=55,W681&lt;95),0.17,0)+IF(AND(V681&gt;175,W681&gt;=95),0.12,0),
IF(AF681="DoEVsu",IF(AND(V681&lt;20,W681&lt;55),0.3,0)+IF(AND(V681&lt;20,W681&gt;=55,W681&lt;105),0.23,0)+IF(AND(V681&lt;20,W681&gt;=105),0.17,0)+IF(AND(V681&gt;=20,V681&lt;40,W681&lt;45),0.3,0)+IF(AND(V681&gt;=20,V681&lt;40,W681&gt;=45,W681&lt;95),0.23,0)+IF(AND(V681&gt;=20,V681&lt;40,W681&gt;=95,W681&lt;=250),0.17,0)+IF(AND(V681&gt;=20,V681&lt;40,W681&gt;=250),0.12,0)+IF(AND(V681&gt;=40,V681&lt;75,W681&lt;35),0.3,0)+IF(AND(V681&gt;=40,V681&lt;75,W681&gt;=35,W681&lt;75),0.23,0)+IF(AND(V681&gt;=40,V681&lt;75,W681&gt;=75,W681&lt;120),0.17,0)+IF(AND(V681&gt;=40,V681&lt;75,W681&gt;=120),0.12,0)+IF(AND(V681&gt;=75,V681&lt;175,W681&lt;35),0.3,0)+IF(AND(V681&gt;=75,V681&lt;=175,W681&gt;=35,W681&lt;65),0.23,0)+IF(AND(V681&gt;=75,V681&lt;=175,W681&gt;=65,W681&lt;110),0.17,0)+IF(AND(V681&gt;=75,V681&lt;=175,W681&gt;=110),0.12,0)+IF(AND(V681&gt;175,W681&lt;25),0.3,0)+IF(AND(V681&gt;175,W681&gt;=25,W681&lt;55),0.23,0)+IF(AND(V681&gt;175,W681&gt;=55,W681&lt;95),0.17,0)+IF(AND(V681&gt;175,W681&gt;=95),0.12,0),
IF(AF681="DoEVni",IF(AND(V681&lt;20,W681&lt;55),0.3,0)+IF(AND(V681&lt;20,W681&gt;=55,W681&lt;105),0.23,0)+IF(AND(V681&lt;20,W681&gt;=105),0.17,0)+IF(AND(V681&gt;=20,V681&lt;40,W681&lt;45),0.3,0)+IF(AND(V681&gt;=20,V681&lt;40,W681&gt;=45,W681&lt;95),0.23,0)+IF(AND(V681&gt;=20,V681&lt;40,W681&gt;=95,W681&lt;=200),0.17,0)+IF(AND(V681&gt;=20,V681&lt;40,W681&gt;=200),0.12,0)+IF(AND(V681&gt;=40,V681&lt;75,W681&lt;35),0.3,0)+IF(AND(V681&gt;=40,V681&lt;75,W681&gt;=35,W681&lt;75),0.23,0)+IF(AND(V681&gt;=40,V681&lt;75,W681&gt;=75,W681&lt;120),0.17,0)+IF(AND(V681&gt;=40,V681&lt;75,W681&gt;=120),0.12,0)+IF(AND(V681&gt;=75,V681&lt;175,W681&lt;35),0.3,0)+IF(AND(V681&gt;=75,V681&lt;=175,W681&gt;=35,W681&lt;65),0.23,0)+IF(AND(V681&gt;=75,V681&lt;=175,W681&gt;=65,W681&lt;110),0.17,0)+IF(AND(V681&gt;=75,V681&lt;=175,W681&gt;=110),0.12,0)+IF(AND(V681&gt;175,W681&lt;25),0.3,0)+IF(AND(V681&gt;175,W681&gt;=25,W681&lt;55),0.23,0)+IF(AND(V681&gt;175,W681&gt;=55,W681&lt;95),0.17,0)+IF(AND(V681&gt;175,W681&gt;=95),0.12,0),
IF(AF681="DoEVLo",IF(AND(V681&lt;20,W681&lt;55),0.25,0)+IF(AND(V681&lt;20,W681&gt;=55,W681&lt;105),0.2,0)+IF(AND(V681&lt;20,W681&gt;=105),0.15,0)+IF(AND(V681&gt;=20,V681&lt;40,W681&lt;45),0.25,0)+IF(AND(V681&gt;=20,V681&lt;40,W681&gt;=45,W681&lt;95),0.2,0)+IF(AND(V681&gt;=20,V681&lt;40,W681&gt;=95),0.15,0)+IF(AND(V681&gt;=40,V681&lt;75,W681&lt;35),0.25,0)+IF(AND(V681&gt;=40,V681&lt;75,W681&gt;=35,W681&lt;75),0.2,0)+IF(AND(V681&gt;=40,V681&lt;75,W681&gt;=75,W681&lt;120),0.15,0)+IF(AND(V681&gt;=40,V681&lt;75,W681&gt;=120),0.1,0)+IF(AND(V681&gt;=75,V681&lt;175,W681&lt;35),0.25,0)+IF(AND(V681&gt;=75,V681&lt;=175,W681&gt;=35,W681&lt;65),0.2,0)+IF(AND(V681&gt;=75,V681&lt;=175,W681&gt;=65,W681&lt;110),0.15,0)+IF(AND(V681&gt;=75,V681&lt;=175,W681&gt;=110),0.1,0)+IF(AND(V681&gt;175,W681&lt;25),0.25,0)+IF(AND(V681&gt;175,W681&gt;=25,W681&lt;55),0.2,0)+IF(AND(V681&gt;175,W681&gt;=55,W681&lt;95),0.15,0)+IF(AND(V681&gt;175,W681&gt;=95),0.1,0))))))))))))))))))</f>
        <v>0.19</v>
      </c>
      <c r="Y681" s="30">
        <f>IF(AG681="None",0,IF(AG681="Fix5",0.05, IF(AG681="Fix6.25",0.0625,IF(AG681="Fix3.75",0.0375,IF(AG681="Fix10",0.1,IF(AG681="Fix3",0.03,0))))))</f>
        <v>0</v>
      </c>
      <c r="Z681" s="35">
        <f>T681-AA681-AB681</f>
        <v>1.62</v>
      </c>
      <c r="AA681" s="29">
        <f>IF(AD681="EUR",((T681-R681)*X681)*U681+(R681*X681),(T681*X681))</f>
        <v>0.38</v>
      </c>
      <c r="AB681" s="36">
        <f>IF(AD681="EUR",((T681-R681)*Y681)*U681+(R681*Y681),(T681*Y681))</f>
        <v>0</v>
      </c>
      <c r="AC681" s="37" t="b">
        <v>1</v>
      </c>
      <c r="AD681" s="37" t="s">
        <v>38</v>
      </c>
      <c r="AE681" s="37" t="s">
        <v>38</v>
      </c>
      <c r="AF681" s="37" t="str">
        <f t="array" ref="AF681">INDEX('Deal Info'!D:D, MATCH(A681,'Deal Info'!A:A, 0))</f>
        <v>Fix19</v>
      </c>
      <c r="AG681" s="38" t="str">
        <f t="array" ref="AG681">INDEX('Deal Info'!G:G, MATCH(A681,'Deal Info'!A:A, 0))</f>
        <v>None</v>
      </c>
    </row>
    <row r="682" spans="1:33" ht="14.25" hidden="1" x14ac:dyDescent="0.2">
      <c r="A682" s="18" t="str">
        <f t="array" ref="A682">IF(G682='Room Info'!$B$1, INDEX('Room Info'!$A$2:$A2446, MATCH(B682,'Room Info'!$B$2:$B2446, 0)),IF(G682='Room Info'!$C$1, INDEX('Room Info'!$A$2:$A2446, MATCH(B682,'Room Info'!$C$2:$C2446, 0)),IF(G682='Room Info'!$D$1, INDEX('Room Info'!$A$2:$A2446, MATCH(B682,'Room Info'!$D$2:$D2446, 0)),IF(G682='Room Info'!$E$1, INDEX('Room Info'!$A$2:$A2446, MATCH(B682,'Room Info'!$E$2:$E2446, 0)),IF(G682='Room Info'!$F$1, INDEX('Room Info'!$A$2:$A2446, MATCH(B682,'Room Info'!$F$2:$F2446, 0)),IF(G682='Room Info'!$H$1, INDEX('Room Info'!$A$2:$A2446, MATCH(B682,'Room Info'!$H$2:$H2446, 0)),IF(G682='Room Info'!$G$1, INDEX('Room Info'!$A$2:$A2446, MATCH(B682,'Room Info'!$G$2:$G2446, 0)))))))))</f>
        <v>dimasik</v>
      </c>
      <c r="B682" s="45" t="s">
        <v>162</v>
      </c>
      <c r="C682" s="46">
        <v>44733</v>
      </c>
      <c r="D682" s="46">
        <v>44762</v>
      </c>
      <c r="E682" s="47">
        <v>44743</v>
      </c>
      <c r="F682" s="48" t="s">
        <v>41</v>
      </c>
      <c r="G682" s="45" t="s">
        <v>35</v>
      </c>
      <c r="H682" s="49" t="s">
        <v>70</v>
      </c>
      <c r="I682" s="49" t="s">
        <v>37</v>
      </c>
      <c r="J682" s="50">
        <v>100</v>
      </c>
      <c r="K682" s="51">
        <v>1345</v>
      </c>
      <c r="L682" s="52">
        <v>1600</v>
      </c>
      <c r="M682" s="53">
        <v>3823</v>
      </c>
      <c r="N682" s="28">
        <f>K682*J682</f>
        <v>134500</v>
      </c>
      <c r="O682" s="54">
        <v>43699</v>
      </c>
      <c r="P682" s="29">
        <v>32.489962830000003</v>
      </c>
      <c r="Q682" s="55"/>
      <c r="R682" s="31">
        <f>M682+Q682</f>
        <v>3823</v>
      </c>
      <c r="S682" s="66"/>
      <c r="T682" s="32">
        <f>R682+S682+IF(F682="Without EV deal",L682,0)</f>
        <v>5423</v>
      </c>
      <c r="U682" s="57">
        <v>1</v>
      </c>
      <c r="V682" s="58"/>
      <c r="W682" s="58"/>
      <c r="X682" s="30">
        <f>IF(AF682="DoEV",IF(AND(V682&lt;20,W682&lt;55),0.3,0)+IF(AND(V682&lt;20,W682&gt;=55,W682&lt;105),0.23,0)+IF(AND(V682&lt;20,W682&gt;=105),0.17,0)+IF(AND(V682&gt;=20,V682&lt;40,W682&lt;45),0.3,0)+IF(AND(V682&gt;=20,V682&lt;40,W682&gt;=45,W682&lt;95),0.23,0)+IF(AND(V682&gt;=20,V682&lt;40,W682&gt;=95),0.17,0)+IF(AND(V682&gt;=40,V682&lt;75,W682&lt;35),0.3,0)+IF(AND(V682&gt;=40,V682&lt;75,W682&gt;=35,W682&lt;75),0.23,0)+IF(AND(V682&gt;=40,V682&lt;75,W682&gt;=75,W682&lt;120),0.17,0)+IF(AND(V682&gt;=40,V682&lt;75,W682&gt;=120),0.12,0)+IF(AND(V682&gt;=75,V682&lt;175,W682&lt;35),0.3,0)+IF(AND(V682&gt;=75,V682&lt;=175,W682&gt;=35,W682&lt;65),0.23,0)+IF(AND(V682&gt;=75,V682&lt;=175,W682&gt;=65,W682&lt;110),0.17,0)+IF(AND(V682&gt;=75,V682&lt;=175,W682&gt;=110),0.12,0)+IF(AND(V682&gt;175,W682&lt;25),0.3,0)+IF(AND(V682&gt;175,W682&gt;=25,W682&lt;55),0.23,0)+IF(AND(V682&gt;175,W682&gt;=55,W682&lt;95),0.17,0)+IF(AND(V682&gt;175,W682&gt;=95),0.12,0),
IF(AF682="Fix15",0.15,
IF(AF682="Fix18.75",0.1875,
IF(AF682="Fix11.25",0.1125,
IF(AF682="Fix10",0.1,
IF(AF682="Fix9",0.09,
IF(AF682="Fix19",0.19,
IF(AF682="DoEV2017",IF(AND(W682&lt;74),0.2,0)+IF(AND(W682&gt;=74),0.17,0),
IF(AF682="SF",IF(AND(V682&lt;20,W682&lt;89),0.3,0)+IF(AND(V682&lt;20,W682&gt;=89),0.25,0)+IF(AND(V682&gt;=20,V682&lt;40,W682&lt;74),0.3,0)+IF(AND(V682&gt;=20,V682&lt;40,W682&gt;=75),0.22,0)+IF(AND(V682&gt;=40,V682&lt;75,W682&lt;75),0.26,0)+IF(AND(V682&gt;=40,V682&lt;75,W682&gt;=75),0.22,0)+IF(V682&gt;=75,0.22,0),
IF(AF682="DoEVold",IF(AND(V682&lt;40,W682&lt;35),0.35,0)+IF(AND(V682&lt;40,W682&gt;=35,W682&lt;75),0.25,0)+IF(AND(V682&lt;40,W682&gt;=75),0.17,0)+IF(AND(V682&gt;=40,V682&lt;75,W682&lt;25),0.35,0)+IF(AND(V682&gt;=40,V682&lt;75,W682&gt;=25,W682&lt;65),0.25,0)+IF(AND(V682&gt;=40,V682&lt;75,W682&gt;=65,W682&lt;100),0.17,0)+IF(AND(V682&gt;=40,V682&lt;75,W682&gt;=100),0.1,0)+IF(AND(V682&gt;=75,W682&lt;25),0.35,0)+IF(AND(V682&gt;=75,W682&gt;=25,W682&lt;60),0.25,0)+IF(AND(V682&gt;=75,W682&gt;=60,W682&lt;95),0.17,0)+IF(AND(V682&gt;=75,W682&gt;=95),0.1,0),
IF(AF682="DoEVold15",IF(AND(V682&lt;=40,W682&lt;35),0.35,0)+IF(AND(V682&lt;=40,W682&gt;=35,W682&lt;75),0.25,0)+IF(AND(V682&lt;=40,W682&gt;=75,W682&lt;120),0.17,0)+IF(AND(V682&lt;=40,W682&gt;=120),0.15,0)+IF(AND(V682&gt;40,V682&lt;75,W682&lt;25),0.35,0)+IF(AND(V682&gt;=40,V682&lt;75,W682&gt;=25,W682&lt;65),0.25,0)+IF(AND(V682&gt;=40,V682&lt;75,W682&gt;=65,W682&lt;100),0.17,0)+IF(AND(V682&gt;=40,V682&lt;75,W682&gt;=100),0.1,0)+IF(AND(V682&gt;=75,W682&lt;25),0.35,0)+IF(AND(V682&gt;=75,W682&gt;=25,W682&lt;60),0.25,0)+IF(AND(V682&gt;=75,W682&gt;=60,W682&lt;95),0.17,0)+IF(AND(V682&gt;=75,W682&gt;=95),0.1,0),
IF(AF682="DoEVba",IF(AND(V682&lt;20,W682&lt;105),0.2,0)+IF(AND(V682&lt;20,W682&gt;=105),0.15,0)+IF(AND(V682&gt;=20,V682&lt;40,W682&lt;95),0.2,0)+IF(AND(V682&gt;=20,V682&lt;40,W682&gt;=95,W682&lt;150),0.15,0)+IF(AND(V682&gt;=20,V682&lt;40,W682&gt;=150),0.12,0)+IF(AND(V682&gt;=40,V682&lt;75,W682&lt;75),0.2,0)+IF(AND(V682&gt;=40,V682&lt;75,W682&gt;=75,W682&lt;120),0.15,0)+IF(AND(V682&gt;=40,V682&lt;75,W682&gt;=120),0.12,0)+IF(AND(V682&gt;=75,V682&lt;175,W682&lt;65),0.2,0)+IF(AND(V682&gt;=75,V682&lt;175,W682&gt;=65,W682&lt;110),0.15,0)+IF(AND(V682&gt;=75,V682&lt;175,W682&gt;=110),0.12,0)+IF(AND(V682&gt;=175,W682&lt;55),0.2,0)+IF(AND(V682&gt;=175,W682&gt;=55,W682&lt;95),0.15,0)+IF(AND(V682&gt;=175,W682&gt;=95),0.12,0),
IF(AF682="DoEVku",IF(AND(V682&lt;20,W682&lt;55),0.23,0)+IF(AND(V682&lt;20,W682&gt;=55,W682&lt;105),0.2,0)+IF(AND(V682&lt;20,W682&gt;=105),0.17,0)+IF(AND(V682&gt;=20,V682&lt;40,W682&lt;45),0.23,0)+IF(AND(V682&gt;=20,V682&lt;40,W682&gt;=45,W682&lt;95),0.2,0)+IF(AND(V682&gt;=20,V682&lt;40,W682&gt;=95,W682&lt;=150),0.17,0)+IF(AND(V682&gt;=20,V682&lt;40,W682&gt;=150),0.12,0)+IF(AND(V682&gt;=40,V682&lt;75,W682&lt;35),0.23,0)+IF(AND(V682&gt;=40,V682&lt;75,W682&gt;=35,W682&lt;75),0.2,0)+IF(AND(V682&gt;=40,V682&lt;75,W682&gt;=75,W682&lt;120),0.17,0)+IF(AND(V682&gt;=40,V682&lt;75,W682&gt;=120),0.12,0)+IF(AND(V682&gt;=75,V682&lt;175,W682&lt;35),0.23,0)+IF(AND(V682&gt;=75,V682&lt;=175,W682&gt;=35,W682&lt;65),0.2,0)+IF(AND(V682&gt;=75,V682&lt;=175,W682&gt;=65,W682&lt;110),0.17,0)+IF(AND(V682&gt;=75,V682&lt;=175,W682&gt;=110),0.12,0)+IF(AND(V682&gt;175,W682&lt;25),0.23,0)+IF(AND(V682&gt;175,W682&gt;=25,W682&lt;55),0.2,0)+IF(AND(V682&gt;175,W682&gt;=55,W682&lt;95),0.17,0)+IF(AND(V682&gt;175,W682&gt;=95),0.12,0),
IF(AF682="DoEVs1",IF(AND(V682&lt;20,W682&lt;55),0.3,0)+IF(AND(V682&lt;20,W682&gt;=55,W682&lt;105),0.23,0)+IF(AND(V682&lt;20,W682&gt;=105),0.17,0)+IF(AND(V682&gt;=20,V682&lt;40,W682&lt;45),0.3,0)+IF(AND(V682&gt;=20,V682&lt;40,W682&gt;=45,W682&lt;95),0.23,0)+IF(AND(V682&gt;=20,V682&lt;40,W682&gt;=95,W682&lt;=150),0.17,0)+IF(AND(V682&gt;=20,V682&lt;40,W682&gt;=150),0.12,0)+IF(AND(V682&gt;=40,V682&lt;75,W682&lt;35),0.3,0)+IF(AND(V682&gt;=40,V682&lt;75,W682&gt;=35,W682&lt;75),0.23,0)+IF(AND(V682&gt;=40,V682&lt;75,W682&gt;=75,W682&lt;120),0.17,0)+IF(AND(V682&gt;=40,V682&lt;75,W682&gt;=120),0.12,0)+IF(AND(V682&gt;=75,V682&lt;175,W682&lt;35),0.3,0)+IF(AND(V682&gt;=75,V682&lt;=175,W682&gt;=35,W682&lt;65),0.23,0)+IF(AND(V682&gt;=75,V682&lt;=175,W682&gt;=65,W682&lt;110),0.17,0)+IF(AND(V682&gt;=75,V682&lt;=175,W682&gt;=110),0.12,0)+IF(AND(V682&gt;175,W682&lt;25),0.3,0)+IF(AND(V682&gt;175,W682&gt;=25,W682&lt;55),0.23,0)+IF(AND(V682&gt;175,W682&gt;=55,W682&lt;95),0.17,0)+IF(AND(V682&gt;175,W682&gt;=95),0.12,0),
IF(AF682="DoEVsu",IF(AND(V682&lt;20,W682&lt;55),0.3,0)+IF(AND(V682&lt;20,W682&gt;=55,W682&lt;105),0.23,0)+IF(AND(V682&lt;20,W682&gt;=105),0.17,0)+IF(AND(V682&gt;=20,V682&lt;40,W682&lt;45),0.3,0)+IF(AND(V682&gt;=20,V682&lt;40,W682&gt;=45,W682&lt;95),0.23,0)+IF(AND(V682&gt;=20,V682&lt;40,W682&gt;=95,W682&lt;=250),0.17,0)+IF(AND(V682&gt;=20,V682&lt;40,W682&gt;=250),0.12,0)+IF(AND(V682&gt;=40,V682&lt;75,W682&lt;35),0.3,0)+IF(AND(V682&gt;=40,V682&lt;75,W682&gt;=35,W682&lt;75),0.23,0)+IF(AND(V682&gt;=40,V682&lt;75,W682&gt;=75,W682&lt;120),0.17,0)+IF(AND(V682&gt;=40,V682&lt;75,W682&gt;=120),0.12,0)+IF(AND(V682&gt;=75,V682&lt;175,W682&lt;35),0.3,0)+IF(AND(V682&gt;=75,V682&lt;=175,W682&gt;=35,W682&lt;65),0.23,0)+IF(AND(V682&gt;=75,V682&lt;=175,W682&gt;=65,W682&lt;110),0.17,0)+IF(AND(V682&gt;=75,V682&lt;=175,W682&gt;=110),0.12,0)+IF(AND(V682&gt;175,W682&lt;25),0.3,0)+IF(AND(V682&gt;175,W682&gt;=25,W682&lt;55),0.23,0)+IF(AND(V682&gt;175,W682&gt;=55,W682&lt;95),0.17,0)+IF(AND(V682&gt;175,W682&gt;=95),0.12,0),
IF(AF682="DoEVni",IF(AND(V682&lt;20,W682&lt;55),0.3,0)+IF(AND(V682&lt;20,W682&gt;=55,W682&lt;105),0.23,0)+IF(AND(V682&lt;20,W682&gt;=105),0.17,0)+IF(AND(V682&gt;=20,V682&lt;40,W682&lt;45),0.3,0)+IF(AND(V682&gt;=20,V682&lt;40,W682&gt;=45,W682&lt;95),0.23,0)+IF(AND(V682&gt;=20,V682&lt;40,W682&gt;=95,W682&lt;=200),0.17,0)+IF(AND(V682&gt;=20,V682&lt;40,W682&gt;=200),0.12,0)+IF(AND(V682&gt;=40,V682&lt;75,W682&lt;35),0.3,0)+IF(AND(V682&gt;=40,V682&lt;75,W682&gt;=35,W682&lt;75),0.23,0)+IF(AND(V682&gt;=40,V682&lt;75,W682&gt;=75,W682&lt;120),0.17,0)+IF(AND(V682&gt;=40,V682&lt;75,W682&gt;=120),0.12,0)+IF(AND(V682&gt;=75,V682&lt;175,W682&lt;35),0.3,0)+IF(AND(V682&gt;=75,V682&lt;=175,W682&gt;=35,W682&lt;65),0.23,0)+IF(AND(V682&gt;=75,V682&lt;=175,W682&gt;=65,W682&lt;110),0.17,0)+IF(AND(V682&gt;=75,V682&lt;=175,W682&gt;=110),0.12,0)+IF(AND(V682&gt;175,W682&lt;25),0.3,0)+IF(AND(V682&gt;175,W682&gt;=25,W682&lt;55),0.23,0)+IF(AND(V682&gt;175,W682&gt;=55,W682&lt;95),0.17,0)+IF(AND(V682&gt;175,W682&gt;=95),0.12,0),
IF(AF682="DoEVLo",IF(AND(V682&lt;20,W682&lt;55),0.25,0)+IF(AND(V682&lt;20,W682&gt;=55,W682&lt;105),0.2,0)+IF(AND(V682&lt;20,W682&gt;=105),0.15,0)+IF(AND(V682&gt;=20,V682&lt;40,W682&lt;45),0.25,0)+IF(AND(V682&gt;=20,V682&lt;40,W682&gt;=45,W682&lt;95),0.2,0)+IF(AND(V682&gt;=20,V682&lt;40,W682&gt;=95),0.15,0)+IF(AND(V682&gt;=40,V682&lt;75,W682&lt;35),0.25,0)+IF(AND(V682&gt;=40,V682&lt;75,W682&gt;=35,W682&lt;75),0.2,0)+IF(AND(V682&gt;=40,V682&lt;75,W682&gt;=75,W682&lt;120),0.15,0)+IF(AND(V682&gt;=40,V682&lt;75,W682&gt;=120),0.1,0)+IF(AND(V682&gt;=75,V682&lt;175,W682&lt;35),0.25,0)+IF(AND(V682&gt;=75,V682&lt;=175,W682&gt;=35,W682&lt;65),0.2,0)+IF(AND(V682&gt;=75,V682&lt;=175,W682&gt;=65,W682&lt;110),0.15,0)+IF(AND(V682&gt;=75,V682&lt;=175,W682&gt;=110),0.1,0)+IF(AND(V682&gt;175,W682&lt;25),0.25,0)+IF(AND(V682&gt;175,W682&gt;=25,W682&lt;55),0.2,0)+IF(AND(V682&gt;175,W682&gt;=55,W682&lt;95),0.15,0)+IF(AND(V682&gt;175,W682&gt;=95),0.1,0))))))))))))))))))</f>
        <v>0.19</v>
      </c>
      <c r="Y682" s="30">
        <f>IF(AG682="None",0,IF(AG682="Fix5",0.05, IF(AG682="Fix6.25",0.0625,IF(AG682="Fix3.75",0.0375,IF(AG682="Fix10",0.1,IF(AG682="Fix3",0.03,0))))))</f>
        <v>0</v>
      </c>
      <c r="Z682" s="35">
        <f>T682-AA682-AB682</f>
        <v>4392.63</v>
      </c>
      <c r="AA682" s="29">
        <f>IF(AD682="EUR",((T682-R682)*X682)*U682+(R682*X682),(T682*X682))</f>
        <v>1030.3700000000001</v>
      </c>
      <c r="AB682" s="36">
        <f>IF(AD682="EUR",((T682-R682)*Y682)*U682+(R682*Y682),(T682*Y682))</f>
        <v>0</v>
      </c>
      <c r="AC682" s="37" t="b">
        <v>1</v>
      </c>
      <c r="AD682" s="37" t="s">
        <v>38</v>
      </c>
      <c r="AE682" s="37" t="s">
        <v>38</v>
      </c>
      <c r="AF682" s="37" t="str">
        <f t="array" ref="AF682">INDEX('Deal Info'!D:D, MATCH(A682,'Deal Info'!A:A, 0))</f>
        <v>Fix19</v>
      </c>
      <c r="AG682" s="38" t="str">
        <f t="array" ref="AG682">INDEX('Deal Info'!G:G, MATCH(A682,'Deal Info'!A:A, 0))</f>
        <v>None</v>
      </c>
    </row>
    <row r="683" spans="1:33" ht="14.25" hidden="1" x14ac:dyDescent="0.2">
      <c r="A683" s="18" t="str">
        <f t="array" ref="A683">IF(G683='Room Info'!$B$1, INDEX('Room Info'!$A$2:$A2446, MATCH(B683,'Room Info'!$B$2:$B2446, 0)),IF(G683='Room Info'!$C$1, INDEX('Room Info'!$A$2:$A2446, MATCH(B683,'Room Info'!$C$2:$C2446, 0)),IF(G683='Room Info'!$D$1, INDEX('Room Info'!$A$2:$A2446, MATCH(B683,'Room Info'!$D$2:$D2446, 0)),IF(G683='Room Info'!$E$1, INDEX('Room Info'!$A$2:$A2446, MATCH(B683,'Room Info'!$E$2:$E2446, 0)),IF(G683='Room Info'!$F$1, INDEX('Room Info'!$A$2:$A2446, MATCH(B683,'Room Info'!$F$2:$F2446, 0)),IF(G683='Room Info'!$H$1, INDEX('Room Info'!$A$2:$A2446, MATCH(B683,'Room Info'!$H$2:$H2446, 0)),IF(G683='Room Info'!$G$1, INDEX('Room Info'!$A$2:$A2446, MATCH(B683,'Room Info'!$G$2:$G2446, 0)))))))))</f>
        <v>dimasik</v>
      </c>
      <c r="B683" s="45" t="s">
        <v>162</v>
      </c>
      <c r="C683" s="46">
        <v>44733</v>
      </c>
      <c r="D683" s="46">
        <v>44762</v>
      </c>
      <c r="E683" s="47">
        <v>44743</v>
      </c>
      <c r="F683" s="48" t="s">
        <v>41</v>
      </c>
      <c r="G683" s="45" t="s">
        <v>35</v>
      </c>
      <c r="H683" s="49" t="s">
        <v>84</v>
      </c>
      <c r="I683" s="49" t="s">
        <v>44</v>
      </c>
      <c r="J683" s="50">
        <v>100</v>
      </c>
      <c r="K683" s="51">
        <v>279</v>
      </c>
      <c r="L683" s="52">
        <v>-700</v>
      </c>
      <c r="M683" s="53">
        <v>793</v>
      </c>
      <c r="N683" s="28">
        <f>K683*J683</f>
        <v>27900</v>
      </c>
      <c r="O683" s="54">
        <v>9065</v>
      </c>
      <c r="P683" s="29">
        <v>32.491039430000001</v>
      </c>
      <c r="Q683" s="55"/>
      <c r="R683" s="31">
        <f>M683+Q683</f>
        <v>793</v>
      </c>
      <c r="S683" s="66"/>
      <c r="T683" s="32">
        <f>R683+S683+IF(F683="Without EV deal",L683,0)</f>
        <v>93</v>
      </c>
      <c r="U683" s="57">
        <v>1</v>
      </c>
      <c r="V683" s="58"/>
      <c r="W683" s="58"/>
      <c r="X683" s="30">
        <f>IF(AF683="DoEV",IF(AND(V683&lt;20,W683&lt;55),0.3,0)+IF(AND(V683&lt;20,W683&gt;=55,W683&lt;105),0.23,0)+IF(AND(V683&lt;20,W683&gt;=105),0.17,0)+IF(AND(V683&gt;=20,V683&lt;40,W683&lt;45),0.3,0)+IF(AND(V683&gt;=20,V683&lt;40,W683&gt;=45,W683&lt;95),0.23,0)+IF(AND(V683&gt;=20,V683&lt;40,W683&gt;=95),0.17,0)+IF(AND(V683&gt;=40,V683&lt;75,W683&lt;35),0.3,0)+IF(AND(V683&gt;=40,V683&lt;75,W683&gt;=35,W683&lt;75),0.23,0)+IF(AND(V683&gt;=40,V683&lt;75,W683&gt;=75,W683&lt;120),0.17,0)+IF(AND(V683&gt;=40,V683&lt;75,W683&gt;=120),0.12,0)+IF(AND(V683&gt;=75,V683&lt;175,W683&lt;35),0.3,0)+IF(AND(V683&gt;=75,V683&lt;=175,W683&gt;=35,W683&lt;65),0.23,0)+IF(AND(V683&gt;=75,V683&lt;=175,W683&gt;=65,W683&lt;110),0.17,0)+IF(AND(V683&gt;=75,V683&lt;=175,W683&gt;=110),0.12,0)+IF(AND(V683&gt;175,W683&lt;25),0.3,0)+IF(AND(V683&gt;175,W683&gt;=25,W683&lt;55),0.23,0)+IF(AND(V683&gt;175,W683&gt;=55,W683&lt;95),0.17,0)+IF(AND(V683&gt;175,W683&gt;=95),0.12,0),
IF(AF683="Fix15",0.15,
IF(AF683="Fix18.75",0.1875,
IF(AF683="Fix11.25",0.1125,
IF(AF683="Fix10",0.1,
IF(AF683="Fix9",0.09,
IF(AF683="Fix19",0.19,
IF(AF683="DoEV2017",IF(AND(W683&lt;74),0.2,0)+IF(AND(W683&gt;=74),0.17,0),
IF(AF683="SF",IF(AND(V683&lt;20,W683&lt;89),0.3,0)+IF(AND(V683&lt;20,W683&gt;=89),0.25,0)+IF(AND(V683&gt;=20,V683&lt;40,W683&lt;74),0.3,0)+IF(AND(V683&gt;=20,V683&lt;40,W683&gt;=75),0.22,0)+IF(AND(V683&gt;=40,V683&lt;75,W683&lt;75),0.26,0)+IF(AND(V683&gt;=40,V683&lt;75,W683&gt;=75),0.22,0)+IF(V683&gt;=75,0.22,0),
IF(AF683="DoEVold",IF(AND(V683&lt;40,W683&lt;35),0.35,0)+IF(AND(V683&lt;40,W683&gt;=35,W683&lt;75),0.25,0)+IF(AND(V683&lt;40,W683&gt;=75),0.17,0)+IF(AND(V683&gt;=40,V683&lt;75,W683&lt;25),0.35,0)+IF(AND(V683&gt;=40,V683&lt;75,W683&gt;=25,W683&lt;65),0.25,0)+IF(AND(V683&gt;=40,V683&lt;75,W683&gt;=65,W683&lt;100),0.17,0)+IF(AND(V683&gt;=40,V683&lt;75,W683&gt;=100),0.1,0)+IF(AND(V683&gt;=75,W683&lt;25),0.35,0)+IF(AND(V683&gt;=75,W683&gt;=25,W683&lt;60),0.25,0)+IF(AND(V683&gt;=75,W683&gt;=60,W683&lt;95),0.17,0)+IF(AND(V683&gt;=75,W683&gt;=95),0.1,0),
IF(AF683="DoEVold15",IF(AND(V683&lt;=40,W683&lt;35),0.35,0)+IF(AND(V683&lt;=40,W683&gt;=35,W683&lt;75),0.25,0)+IF(AND(V683&lt;=40,W683&gt;=75,W683&lt;120),0.17,0)+IF(AND(V683&lt;=40,W683&gt;=120),0.15,0)+IF(AND(V683&gt;40,V683&lt;75,W683&lt;25),0.35,0)+IF(AND(V683&gt;=40,V683&lt;75,W683&gt;=25,W683&lt;65),0.25,0)+IF(AND(V683&gt;=40,V683&lt;75,W683&gt;=65,W683&lt;100),0.17,0)+IF(AND(V683&gt;=40,V683&lt;75,W683&gt;=100),0.1,0)+IF(AND(V683&gt;=75,W683&lt;25),0.35,0)+IF(AND(V683&gt;=75,W683&gt;=25,W683&lt;60),0.25,0)+IF(AND(V683&gt;=75,W683&gt;=60,W683&lt;95),0.17,0)+IF(AND(V683&gt;=75,W683&gt;=95),0.1,0),
IF(AF683="DoEVba",IF(AND(V683&lt;20,W683&lt;105),0.2,0)+IF(AND(V683&lt;20,W683&gt;=105),0.15,0)+IF(AND(V683&gt;=20,V683&lt;40,W683&lt;95),0.2,0)+IF(AND(V683&gt;=20,V683&lt;40,W683&gt;=95,W683&lt;150),0.15,0)+IF(AND(V683&gt;=20,V683&lt;40,W683&gt;=150),0.12,0)+IF(AND(V683&gt;=40,V683&lt;75,W683&lt;75),0.2,0)+IF(AND(V683&gt;=40,V683&lt;75,W683&gt;=75,W683&lt;120),0.15,0)+IF(AND(V683&gt;=40,V683&lt;75,W683&gt;=120),0.12,0)+IF(AND(V683&gt;=75,V683&lt;175,W683&lt;65),0.2,0)+IF(AND(V683&gt;=75,V683&lt;175,W683&gt;=65,W683&lt;110),0.15,0)+IF(AND(V683&gt;=75,V683&lt;175,W683&gt;=110),0.12,0)+IF(AND(V683&gt;=175,W683&lt;55),0.2,0)+IF(AND(V683&gt;=175,W683&gt;=55,W683&lt;95),0.15,0)+IF(AND(V683&gt;=175,W683&gt;=95),0.12,0),
IF(AF683="DoEVku",IF(AND(V683&lt;20,W683&lt;55),0.23,0)+IF(AND(V683&lt;20,W683&gt;=55,W683&lt;105),0.2,0)+IF(AND(V683&lt;20,W683&gt;=105),0.17,0)+IF(AND(V683&gt;=20,V683&lt;40,W683&lt;45),0.23,0)+IF(AND(V683&gt;=20,V683&lt;40,W683&gt;=45,W683&lt;95),0.2,0)+IF(AND(V683&gt;=20,V683&lt;40,W683&gt;=95,W683&lt;=150),0.17,0)+IF(AND(V683&gt;=20,V683&lt;40,W683&gt;=150),0.12,0)+IF(AND(V683&gt;=40,V683&lt;75,W683&lt;35),0.23,0)+IF(AND(V683&gt;=40,V683&lt;75,W683&gt;=35,W683&lt;75),0.2,0)+IF(AND(V683&gt;=40,V683&lt;75,W683&gt;=75,W683&lt;120),0.17,0)+IF(AND(V683&gt;=40,V683&lt;75,W683&gt;=120),0.12,0)+IF(AND(V683&gt;=75,V683&lt;175,W683&lt;35),0.23,0)+IF(AND(V683&gt;=75,V683&lt;=175,W683&gt;=35,W683&lt;65),0.2,0)+IF(AND(V683&gt;=75,V683&lt;=175,W683&gt;=65,W683&lt;110),0.17,0)+IF(AND(V683&gt;=75,V683&lt;=175,W683&gt;=110),0.12,0)+IF(AND(V683&gt;175,W683&lt;25),0.23,0)+IF(AND(V683&gt;175,W683&gt;=25,W683&lt;55),0.2,0)+IF(AND(V683&gt;175,W683&gt;=55,W683&lt;95),0.17,0)+IF(AND(V683&gt;175,W683&gt;=95),0.12,0),
IF(AF683="DoEVs1",IF(AND(V683&lt;20,W683&lt;55),0.3,0)+IF(AND(V683&lt;20,W683&gt;=55,W683&lt;105),0.23,0)+IF(AND(V683&lt;20,W683&gt;=105),0.17,0)+IF(AND(V683&gt;=20,V683&lt;40,W683&lt;45),0.3,0)+IF(AND(V683&gt;=20,V683&lt;40,W683&gt;=45,W683&lt;95),0.23,0)+IF(AND(V683&gt;=20,V683&lt;40,W683&gt;=95,W683&lt;=150),0.17,0)+IF(AND(V683&gt;=20,V683&lt;40,W683&gt;=150),0.12,0)+IF(AND(V683&gt;=40,V683&lt;75,W683&lt;35),0.3,0)+IF(AND(V683&gt;=40,V683&lt;75,W683&gt;=35,W683&lt;75),0.23,0)+IF(AND(V683&gt;=40,V683&lt;75,W683&gt;=75,W683&lt;120),0.17,0)+IF(AND(V683&gt;=40,V683&lt;75,W683&gt;=120),0.12,0)+IF(AND(V683&gt;=75,V683&lt;175,W683&lt;35),0.3,0)+IF(AND(V683&gt;=75,V683&lt;=175,W683&gt;=35,W683&lt;65),0.23,0)+IF(AND(V683&gt;=75,V683&lt;=175,W683&gt;=65,W683&lt;110),0.17,0)+IF(AND(V683&gt;=75,V683&lt;=175,W683&gt;=110),0.12,0)+IF(AND(V683&gt;175,W683&lt;25),0.3,0)+IF(AND(V683&gt;175,W683&gt;=25,W683&lt;55),0.23,0)+IF(AND(V683&gt;175,W683&gt;=55,W683&lt;95),0.17,0)+IF(AND(V683&gt;175,W683&gt;=95),0.12,0),
IF(AF683="DoEVsu",IF(AND(V683&lt;20,W683&lt;55),0.3,0)+IF(AND(V683&lt;20,W683&gt;=55,W683&lt;105),0.23,0)+IF(AND(V683&lt;20,W683&gt;=105),0.17,0)+IF(AND(V683&gt;=20,V683&lt;40,W683&lt;45),0.3,0)+IF(AND(V683&gt;=20,V683&lt;40,W683&gt;=45,W683&lt;95),0.23,0)+IF(AND(V683&gt;=20,V683&lt;40,W683&gt;=95,W683&lt;=250),0.17,0)+IF(AND(V683&gt;=20,V683&lt;40,W683&gt;=250),0.12,0)+IF(AND(V683&gt;=40,V683&lt;75,W683&lt;35),0.3,0)+IF(AND(V683&gt;=40,V683&lt;75,W683&gt;=35,W683&lt;75),0.23,0)+IF(AND(V683&gt;=40,V683&lt;75,W683&gt;=75,W683&lt;120),0.17,0)+IF(AND(V683&gt;=40,V683&lt;75,W683&gt;=120),0.12,0)+IF(AND(V683&gt;=75,V683&lt;175,W683&lt;35),0.3,0)+IF(AND(V683&gt;=75,V683&lt;=175,W683&gt;=35,W683&lt;65),0.23,0)+IF(AND(V683&gt;=75,V683&lt;=175,W683&gt;=65,W683&lt;110),0.17,0)+IF(AND(V683&gt;=75,V683&lt;=175,W683&gt;=110),0.12,0)+IF(AND(V683&gt;175,W683&lt;25),0.3,0)+IF(AND(V683&gt;175,W683&gt;=25,W683&lt;55),0.23,0)+IF(AND(V683&gt;175,W683&gt;=55,W683&lt;95),0.17,0)+IF(AND(V683&gt;175,W683&gt;=95),0.12,0),
IF(AF683="DoEVni",IF(AND(V683&lt;20,W683&lt;55),0.3,0)+IF(AND(V683&lt;20,W683&gt;=55,W683&lt;105),0.23,0)+IF(AND(V683&lt;20,W683&gt;=105),0.17,0)+IF(AND(V683&gt;=20,V683&lt;40,W683&lt;45),0.3,0)+IF(AND(V683&gt;=20,V683&lt;40,W683&gt;=45,W683&lt;95),0.23,0)+IF(AND(V683&gt;=20,V683&lt;40,W683&gt;=95,W683&lt;=200),0.17,0)+IF(AND(V683&gt;=20,V683&lt;40,W683&gt;=200),0.12,0)+IF(AND(V683&gt;=40,V683&lt;75,W683&lt;35),0.3,0)+IF(AND(V683&gt;=40,V683&lt;75,W683&gt;=35,W683&lt;75),0.23,0)+IF(AND(V683&gt;=40,V683&lt;75,W683&gt;=75,W683&lt;120),0.17,0)+IF(AND(V683&gt;=40,V683&lt;75,W683&gt;=120),0.12,0)+IF(AND(V683&gt;=75,V683&lt;175,W683&lt;35),0.3,0)+IF(AND(V683&gt;=75,V683&lt;=175,W683&gt;=35,W683&lt;65),0.23,0)+IF(AND(V683&gt;=75,V683&lt;=175,W683&gt;=65,W683&lt;110),0.17,0)+IF(AND(V683&gt;=75,V683&lt;=175,W683&gt;=110),0.12,0)+IF(AND(V683&gt;175,W683&lt;25),0.3,0)+IF(AND(V683&gt;175,W683&gt;=25,W683&lt;55),0.23,0)+IF(AND(V683&gt;175,W683&gt;=55,W683&lt;95),0.17,0)+IF(AND(V683&gt;175,W683&gt;=95),0.12,0),
IF(AF683="DoEVLo",IF(AND(V683&lt;20,W683&lt;55),0.25,0)+IF(AND(V683&lt;20,W683&gt;=55,W683&lt;105),0.2,0)+IF(AND(V683&lt;20,W683&gt;=105),0.15,0)+IF(AND(V683&gt;=20,V683&lt;40,W683&lt;45),0.25,0)+IF(AND(V683&gt;=20,V683&lt;40,W683&gt;=45,W683&lt;95),0.2,0)+IF(AND(V683&gt;=20,V683&lt;40,W683&gt;=95),0.15,0)+IF(AND(V683&gt;=40,V683&lt;75,W683&lt;35),0.25,0)+IF(AND(V683&gt;=40,V683&lt;75,W683&gt;=35,W683&lt;75),0.2,0)+IF(AND(V683&gt;=40,V683&lt;75,W683&gt;=75,W683&lt;120),0.15,0)+IF(AND(V683&gt;=40,V683&lt;75,W683&gt;=120),0.1,0)+IF(AND(V683&gt;=75,V683&lt;175,W683&lt;35),0.25,0)+IF(AND(V683&gt;=75,V683&lt;=175,W683&gt;=35,W683&lt;65),0.2,0)+IF(AND(V683&gt;=75,V683&lt;=175,W683&gt;=65,W683&lt;110),0.15,0)+IF(AND(V683&gt;=75,V683&lt;=175,W683&gt;=110),0.1,0)+IF(AND(V683&gt;175,W683&lt;25),0.25,0)+IF(AND(V683&gt;175,W683&gt;=25,W683&lt;55),0.2,0)+IF(AND(V683&gt;175,W683&gt;=55,W683&lt;95),0.15,0)+IF(AND(V683&gt;175,W683&gt;=95),0.1,0))))))))))))))))))</f>
        <v>0.19</v>
      </c>
      <c r="Y683" s="30">
        <f>IF(AG683="None",0,IF(AG683="Fix5",0.05, IF(AG683="Fix6.25",0.0625,IF(AG683="Fix3.75",0.0375,IF(AG683="Fix10",0.1,IF(AG683="Fix3",0.03,0))))))</f>
        <v>0</v>
      </c>
      <c r="Z683" s="35">
        <f>T683-AA683-AB683</f>
        <v>75.33</v>
      </c>
      <c r="AA683" s="29">
        <f>IF(AD683="EUR",((T683-R683)*X683)*U683+(R683*X683),(T683*X683))</f>
        <v>17.670000000000002</v>
      </c>
      <c r="AB683" s="36">
        <f>IF(AD683="EUR",((T683-R683)*Y683)*U683+(R683*Y683),(T683*Y683))</f>
        <v>0</v>
      </c>
      <c r="AC683" s="37" t="b">
        <v>1</v>
      </c>
      <c r="AD683" s="37" t="s">
        <v>38</v>
      </c>
      <c r="AE683" s="37" t="s">
        <v>38</v>
      </c>
      <c r="AF683" s="37" t="str">
        <f t="array" ref="AF683">INDEX('Deal Info'!D:D, MATCH(A683,'Deal Info'!A:A, 0))</f>
        <v>Fix19</v>
      </c>
      <c r="AG683" s="38" t="str">
        <f t="array" ref="AG683">INDEX('Deal Info'!G:G, MATCH(A683,'Deal Info'!A:A, 0))</f>
        <v>None</v>
      </c>
    </row>
    <row r="684" spans="1:33" ht="14.25" hidden="1" x14ac:dyDescent="0.2">
      <c r="A684" s="18" t="str">
        <f t="array" ref="A684">IF(G684='Room Info'!$B$1, INDEX('Room Info'!$A$2:$A2446, MATCH(B684,'Room Info'!$B$2:$B2446, 0)),IF(G684='Room Info'!$C$1, INDEX('Room Info'!$A$2:$A2446, MATCH(B684,'Room Info'!$C$2:$C2446, 0)),IF(G684='Room Info'!$D$1, INDEX('Room Info'!$A$2:$A2446, MATCH(B684,'Room Info'!$D$2:$D2446, 0)),IF(G684='Room Info'!$E$1, INDEX('Room Info'!$A$2:$A2446, MATCH(B684,'Room Info'!$E$2:$E2446, 0)),IF(G684='Room Info'!$F$1, INDEX('Room Info'!$A$2:$A2446, MATCH(B684,'Room Info'!$F$2:$F2446, 0)),IF(G684='Room Info'!$H$1, INDEX('Room Info'!$A$2:$A2446, MATCH(B684,'Room Info'!$H$2:$H2446, 0)),IF(G684='Room Info'!$G$1, INDEX('Room Info'!$A$2:$A2446, MATCH(B684,'Room Info'!$G$2:$G2446, 0)))))))))</f>
        <v>dimasik</v>
      </c>
      <c r="B684" s="45" t="s">
        <v>162</v>
      </c>
      <c r="C684" s="46">
        <v>44733</v>
      </c>
      <c r="D684" s="46">
        <v>44762</v>
      </c>
      <c r="E684" s="47">
        <v>44743</v>
      </c>
      <c r="F684" s="48" t="s">
        <v>41</v>
      </c>
      <c r="G684" s="45" t="s">
        <v>35</v>
      </c>
      <c r="H684" s="49" t="s">
        <v>88</v>
      </c>
      <c r="I684" s="49" t="s">
        <v>37</v>
      </c>
      <c r="J684" s="50">
        <v>250</v>
      </c>
      <c r="K684" s="51">
        <v>285</v>
      </c>
      <c r="L684" s="52">
        <v>3500</v>
      </c>
      <c r="M684" s="53">
        <v>2025</v>
      </c>
      <c r="N684" s="28">
        <f>K684*J684</f>
        <v>71250</v>
      </c>
      <c r="O684" s="54">
        <v>6520</v>
      </c>
      <c r="P684" s="29">
        <v>22.87719298</v>
      </c>
      <c r="Q684" s="55"/>
      <c r="R684" s="31">
        <f>M684+Q684</f>
        <v>2025</v>
      </c>
      <c r="S684" s="66"/>
      <c r="T684" s="32">
        <f>R684+S684+IF(F684="Without EV deal",L684,0)</f>
        <v>5525</v>
      </c>
      <c r="U684" s="57">
        <v>1</v>
      </c>
      <c r="V684" s="58"/>
      <c r="W684" s="58"/>
      <c r="X684" s="30">
        <f>IF(AF684="DoEV",IF(AND(V684&lt;20,W684&lt;55),0.3,0)+IF(AND(V684&lt;20,W684&gt;=55,W684&lt;105),0.23,0)+IF(AND(V684&lt;20,W684&gt;=105),0.17,0)+IF(AND(V684&gt;=20,V684&lt;40,W684&lt;45),0.3,0)+IF(AND(V684&gt;=20,V684&lt;40,W684&gt;=45,W684&lt;95),0.23,0)+IF(AND(V684&gt;=20,V684&lt;40,W684&gt;=95),0.17,0)+IF(AND(V684&gt;=40,V684&lt;75,W684&lt;35),0.3,0)+IF(AND(V684&gt;=40,V684&lt;75,W684&gt;=35,W684&lt;75),0.23,0)+IF(AND(V684&gt;=40,V684&lt;75,W684&gt;=75,W684&lt;120),0.17,0)+IF(AND(V684&gt;=40,V684&lt;75,W684&gt;=120),0.12,0)+IF(AND(V684&gt;=75,V684&lt;175,W684&lt;35),0.3,0)+IF(AND(V684&gt;=75,V684&lt;=175,W684&gt;=35,W684&lt;65),0.23,0)+IF(AND(V684&gt;=75,V684&lt;=175,W684&gt;=65,W684&lt;110),0.17,0)+IF(AND(V684&gt;=75,V684&lt;=175,W684&gt;=110),0.12,0)+IF(AND(V684&gt;175,W684&lt;25),0.3,0)+IF(AND(V684&gt;175,W684&gt;=25,W684&lt;55),0.23,0)+IF(AND(V684&gt;175,W684&gt;=55,W684&lt;95),0.17,0)+IF(AND(V684&gt;175,W684&gt;=95),0.12,0),
IF(AF684="Fix15",0.15,
IF(AF684="Fix18.75",0.1875,
IF(AF684="Fix11.25",0.1125,
IF(AF684="Fix10",0.1,
IF(AF684="Fix9",0.09,
IF(AF684="Fix19",0.19,
IF(AF684="DoEV2017",IF(AND(W684&lt;74),0.2,0)+IF(AND(W684&gt;=74),0.17,0),
IF(AF684="SF",IF(AND(V684&lt;20,W684&lt;89),0.3,0)+IF(AND(V684&lt;20,W684&gt;=89),0.25,0)+IF(AND(V684&gt;=20,V684&lt;40,W684&lt;74),0.3,0)+IF(AND(V684&gt;=20,V684&lt;40,W684&gt;=75),0.22,0)+IF(AND(V684&gt;=40,V684&lt;75,W684&lt;75),0.26,0)+IF(AND(V684&gt;=40,V684&lt;75,W684&gt;=75),0.22,0)+IF(V684&gt;=75,0.22,0),
IF(AF684="DoEVold",IF(AND(V684&lt;40,W684&lt;35),0.35,0)+IF(AND(V684&lt;40,W684&gt;=35,W684&lt;75),0.25,0)+IF(AND(V684&lt;40,W684&gt;=75),0.17,0)+IF(AND(V684&gt;=40,V684&lt;75,W684&lt;25),0.35,0)+IF(AND(V684&gt;=40,V684&lt;75,W684&gt;=25,W684&lt;65),0.25,0)+IF(AND(V684&gt;=40,V684&lt;75,W684&gt;=65,W684&lt;100),0.17,0)+IF(AND(V684&gt;=40,V684&lt;75,W684&gt;=100),0.1,0)+IF(AND(V684&gt;=75,W684&lt;25),0.35,0)+IF(AND(V684&gt;=75,W684&gt;=25,W684&lt;60),0.25,0)+IF(AND(V684&gt;=75,W684&gt;=60,W684&lt;95),0.17,0)+IF(AND(V684&gt;=75,W684&gt;=95),0.1,0),
IF(AF684="DoEVold15",IF(AND(V684&lt;=40,W684&lt;35),0.35,0)+IF(AND(V684&lt;=40,W684&gt;=35,W684&lt;75),0.25,0)+IF(AND(V684&lt;=40,W684&gt;=75,W684&lt;120),0.17,0)+IF(AND(V684&lt;=40,W684&gt;=120),0.15,0)+IF(AND(V684&gt;40,V684&lt;75,W684&lt;25),0.35,0)+IF(AND(V684&gt;=40,V684&lt;75,W684&gt;=25,W684&lt;65),0.25,0)+IF(AND(V684&gt;=40,V684&lt;75,W684&gt;=65,W684&lt;100),0.17,0)+IF(AND(V684&gt;=40,V684&lt;75,W684&gt;=100),0.1,0)+IF(AND(V684&gt;=75,W684&lt;25),0.35,0)+IF(AND(V684&gt;=75,W684&gt;=25,W684&lt;60),0.25,0)+IF(AND(V684&gt;=75,W684&gt;=60,W684&lt;95),0.17,0)+IF(AND(V684&gt;=75,W684&gt;=95),0.1,0),
IF(AF684="DoEVba",IF(AND(V684&lt;20,W684&lt;105),0.2,0)+IF(AND(V684&lt;20,W684&gt;=105),0.15,0)+IF(AND(V684&gt;=20,V684&lt;40,W684&lt;95),0.2,0)+IF(AND(V684&gt;=20,V684&lt;40,W684&gt;=95,W684&lt;150),0.15,0)+IF(AND(V684&gt;=20,V684&lt;40,W684&gt;=150),0.12,0)+IF(AND(V684&gt;=40,V684&lt;75,W684&lt;75),0.2,0)+IF(AND(V684&gt;=40,V684&lt;75,W684&gt;=75,W684&lt;120),0.15,0)+IF(AND(V684&gt;=40,V684&lt;75,W684&gt;=120),0.12,0)+IF(AND(V684&gt;=75,V684&lt;175,W684&lt;65),0.2,0)+IF(AND(V684&gt;=75,V684&lt;175,W684&gt;=65,W684&lt;110),0.15,0)+IF(AND(V684&gt;=75,V684&lt;175,W684&gt;=110),0.12,0)+IF(AND(V684&gt;=175,W684&lt;55),0.2,0)+IF(AND(V684&gt;=175,W684&gt;=55,W684&lt;95),0.15,0)+IF(AND(V684&gt;=175,W684&gt;=95),0.12,0),
IF(AF684="DoEVku",IF(AND(V684&lt;20,W684&lt;55),0.23,0)+IF(AND(V684&lt;20,W684&gt;=55,W684&lt;105),0.2,0)+IF(AND(V684&lt;20,W684&gt;=105),0.17,0)+IF(AND(V684&gt;=20,V684&lt;40,W684&lt;45),0.23,0)+IF(AND(V684&gt;=20,V684&lt;40,W684&gt;=45,W684&lt;95),0.2,0)+IF(AND(V684&gt;=20,V684&lt;40,W684&gt;=95,W684&lt;=150),0.17,0)+IF(AND(V684&gt;=20,V684&lt;40,W684&gt;=150),0.12,0)+IF(AND(V684&gt;=40,V684&lt;75,W684&lt;35),0.23,0)+IF(AND(V684&gt;=40,V684&lt;75,W684&gt;=35,W684&lt;75),0.2,0)+IF(AND(V684&gt;=40,V684&lt;75,W684&gt;=75,W684&lt;120),0.17,0)+IF(AND(V684&gt;=40,V684&lt;75,W684&gt;=120),0.12,0)+IF(AND(V684&gt;=75,V684&lt;175,W684&lt;35),0.23,0)+IF(AND(V684&gt;=75,V684&lt;=175,W684&gt;=35,W684&lt;65),0.2,0)+IF(AND(V684&gt;=75,V684&lt;=175,W684&gt;=65,W684&lt;110),0.17,0)+IF(AND(V684&gt;=75,V684&lt;=175,W684&gt;=110),0.12,0)+IF(AND(V684&gt;175,W684&lt;25),0.23,0)+IF(AND(V684&gt;175,W684&gt;=25,W684&lt;55),0.2,0)+IF(AND(V684&gt;175,W684&gt;=55,W684&lt;95),0.17,0)+IF(AND(V684&gt;175,W684&gt;=95),0.12,0),
IF(AF684="DoEVs1",IF(AND(V684&lt;20,W684&lt;55),0.3,0)+IF(AND(V684&lt;20,W684&gt;=55,W684&lt;105),0.23,0)+IF(AND(V684&lt;20,W684&gt;=105),0.17,0)+IF(AND(V684&gt;=20,V684&lt;40,W684&lt;45),0.3,0)+IF(AND(V684&gt;=20,V684&lt;40,W684&gt;=45,W684&lt;95),0.23,0)+IF(AND(V684&gt;=20,V684&lt;40,W684&gt;=95,W684&lt;=150),0.17,0)+IF(AND(V684&gt;=20,V684&lt;40,W684&gt;=150),0.12,0)+IF(AND(V684&gt;=40,V684&lt;75,W684&lt;35),0.3,0)+IF(AND(V684&gt;=40,V684&lt;75,W684&gt;=35,W684&lt;75),0.23,0)+IF(AND(V684&gt;=40,V684&lt;75,W684&gt;=75,W684&lt;120),0.17,0)+IF(AND(V684&gt;=40,V684&lt;75,W684&gt;=120),0.12,0)+IF(AND(V684&gt;=75,V684&lt;175,W684&lt;35),0.3,0)+IF(AND(V684&gt;=75,V684&lt;=175,W684&gt;=35,W684&lt;65),0.23,0)+IF(AND(V684&gt;=75,V684&lt;=175,W684&gt;=65,W684&lt;110),0.17,0)+IF(AND(V684&gt;=75,V684&lt;=175,W684&gt;=110),0.12,0)+IF(AND(V684&gt;175,W684&lt;25),0.3,0)+IF(AND(V684&gt;175,W684&gt;=25,W684&lt;55),0.23,0)+IF(AND(V684&gt;175,W684&gt;=55,W684&lt;95),0.17,0)+IF(AND(V684&gt;175,W684&gt;=95),0.12,0),
IF(AF684="DoEVsu",IF(AND(V684&lt;20,W684&lt;55),0.3,0)+IF(AND(V684&lt;20,W684&gt;=55,W684&lt;105),0.23,0)+IF(AND(V684&lt;20,W684&gt;=105),0.17,0)+IF(AND(V684&gt;=20,V684&lt;40,W684&lt;45),0.3,0)+IF(AND(V684&gt;=20,V684&lt;40,W684&gt;=45,W684&lt;95),0.23,0)+IF(AND(V684&gt;=20,V684&lt;40,W684&gt;=95,W684&lt;=250),0.17,0)+IF(AND(V684&gt;=20,V684&lt;40,W684&gt;=250),0.12,0)+IF(AND(V684&gt;=40,V684&lt;75,W684&lt;35),0.3,0)+IF(AND(V684&gt;=40,V684&lt;75,W684&gt;=35,W684&lt;75),0.23,0)+IF(AND(V684&gt;=40,V684&lt;75,W684&gt;=75,W684&lt;120),0.17,0)+IF(AND(V684&gt;=40,V684&lt;75,W684&gt;=120),0.12,0)+IF(AND(V684&gt;=75,V684&lt;175,W684&lt;35),0.3,0)+IF(AND(V684&gt;=75,V684&lt;=175,W684&gt;=35,W684&lt;65),0.23,0)+IF(AND(V684&gt;=75,V684&lt;=175,W684&gt;=65,W684&lt;110),0.17,0)+IF(AND(V684&gt;=75,V684&lt;=175,W684&gt;=110),0.12,0)+IF(AND(V684&gt;175,W684&lt;25),0.3,0)+IF(AND(V684&gt;175,W684&gt;=25,W684&lt;55),0.23,0)+IF(AND(V684&gt;175,W684&gt;=55,W684&lt;95),0.17,0)+IF(AND(V684&gt;175,W684&gt;=95),0.12,0),
IF(AF684="DoEVni",IF(AND(V684&lt;20,W684&lt;55),0.3,0)+IF(AND(V684&lt;20,W684&gt;=55,W684&lt;105),0.23,0)+IF(AND(V684&lt;20,W684&gt;=105),0.17,0)+IF(AND(V684&gt;=20,V684&lt;40,W684&lt;45),0.3,0)+IF(AND(V684&gt;=20,V684&lt;40,W684&gt;=45,W684&lt;95),0.23,0)+IF(AND(V684&gt;=20,V684&lt;40,W684&gt;=95,W684&lt;=200),0.17,0)+IF(AND(V684&gt;=20,V684&lt;40,W684&gt;=200),0.12,0)+IF(AND(V684&gt;=40,V684&lt;75,W684&lt;35),0.3,0)+IF(AND(V684&gt;=40,V684&lt;75,W684&gt;=35,W684&lt;75),0.23,0)+IF(AND(V684&gt;=40,V684&lt;75,W684&gt;=75,W684&lt;120),0.17,0)+IF(AND(V684&gt;=40,V684&lt;75,W684&gt;=120),0.12,0)+IF(AND(V684&gt;=75,V684&lt;175,W684&lt;35),0.3,0)+IF(AND(V684&gt;=75,V684&lt;=175,W684&gt;=35,W684&lt;65),0.23,0)+IF(AND(V684&gt;=75,V684&lt;=175,W684&gt;=65,W684&lt;110),0.17,0)+IF(AND(V684&gt;=75,V684&lt;=175,W684&gt;=110),0.12,0)+IF(AND(V684&gt;175,W684&lt;25),0.3,0)+IF(AND(V684&gt;175,W684&gt;=25,W684&lt;55),0.23,0)+IF(AND(V684&gt;175,W684&gt;=55,W684&lt;95),0.17,0)+IF(AND(V684&gt;175,W684&gt;=95),0.12,0),
IF(AF684="DoEVLo",IF(AND(V684&lt;20,W684&lt;55),0.25,0)+IF(AND(V684&lt;20,W684&gt;=55,W684&lt;105),0.2,0)+IF(AND(V684&lt;20,W684&gt;=105),0.15,0)+IF(AND(V684&gt;=20,V684&lt;40,W684&lt;45),0.25,0)+IF(AND(V684&gt;=20,V684&lt;40,W684&gt;=45,W684&lt;95),0.2,0)+IF(AND(V684&gt;=20,V684&lt;40,W684&gt;=95),0.15,0)+IF(AND(V684&gt;=40,V684&lt;75,W684&lt;35),0.25,0)+IF(AND(V684&gt;=40,V684&lt;75,W684&gt;=35,W684&lt;75),0.2,0)+IF(AND(V684&gt;=40,V684&lt;75,W684&gt;=75,W684&lt;120),0.15,0)+IF(AND(V684&gt;=40,V684&lt;75,W684&gt;=120),0.1,0)+IF(AND(V684&gt;=75,V684&lt;175,W684&lt;35),0.25,0)+IF(AND(V684&gt;=75,V684&lt;=175,W684&gt;=35,W684&lt;65),0.2,0)+IF(AND(V684&gt;=75,V684&lt;=175,W684&gt;=65,W684&lt;110),0.15,0)+IF(AND(V684&gt;=75,V684&lt;=175,W684&gt;=110),0.1,0)+IF(AND(V684&gt;175,W684&lt;25),0.25,0)+IF(AND(V684&gt;175,W684&gt;=25,W684&lt;55),0.2,0)+IF(AND(V684&gt;175,W684&gt;=55,W684&lt;95),0.15,0)+IF(AND(V684&gt;175,W684&gt;=95),0.1,0))))))))))))))))))</f>
        <v>0.19</v>
      </c>
      <c r="Y684" s="30">
        <f>IF(AG684="None",0,IF(AG684="Fix5",0.05, IF(AG684="Fix6.25",0.0625,IF(AG684="Fix3.75",0.0375,IF(AG684="Fix10",0.1,IF(AG684="Fix3",0.03,0))))))</f>
        <v>0</v>
      </c>
      <c r="Z684" s="35">
        <f>T684-AA684-AB684</f>
        <v>4475.25</v>
      </c>
      <c r="AA684" s="29">
        <f>IF(AD684="EUR",((T684-R684)*X684)*U684+(R684*X684),(T684*X684))</f>
        <v>1049.75</v>
      </c>
      <c r="AB684" s="36">
        <f>IF(AD684="EUR",((T684-R684)*Y684)*U684+(R684*Y684),(T684*Y684))</f>
        <v>0</v>
      </c>
      <c r="AC684" s="37" t="b">
        <v>1</v>
      </c>
      <c r="AD684" s="37" t="s">
        <v>38</v>
      </c>
      <c r="AE684" s="37" t="s">
        <v>38</v>
      </c>
      <c r="AF684" s="37" t="str">
        <f t="array" ref="AF684">INDEX('Deal Info'!D:D, MATCH(A684,'Deal Info'!A:A, 0))</f>
        <v>Fix19</v>
      </c>
      <c r="AG684" s="38" t="str">
        <f t="array" ref="AG684">INDEX('Deal Info'!G:G, MATCH(A684,'Deal Info'!A:A, 0))</f>
        <v>None</v>
      </c>
    </row>
    <row r="685" spans="1:33" ht="14.25" hidden="1" x14ac:dyDescent="0.2">
      <c r="A685" s="18" t="str">
        <f t="array" ref="A685">IF(G685='Room Info'!$B$1, INDEX('Room Info'!$A$2:$A2446, MATCH(B685,'Room Info'!$B$2:$B2446, 0)),IF(G685='Room Info'!$C$1, INDEX('Room Info'!$A$2:$A2446, MATCH(B685,'Room Info'!$C$2:$C2446, 0)),IF(G685='Room Info'!$D$1, INDEX('Room Info'!$A$2:$A2446, MATCH(B685,'Room Info'!$D$2:$D2446, 0)),IF(G685='Room Info'!$E$1, INDEX('Room Info'!$A$2:$A2446, MATCH(B685,'Room Info'!$E$2:$E2446, 0)),IF(G685='Room Info'!$F$1, INDEX('Room Info'!$A$2:$A2446, MATCH(B685,'Room Info'!$F$2:$F2446, 0)),IF(G685='Room Info'!$H$1, INDEX('Room Info'!$A$2:$A2446, MATCH(B685,'Room Info'!$H$2:$H2446, 0)),IF(G685='Room Info'!$G$1, INDEX('Room Info'!$A$2:$A2446, MATCH(B685,'Room Info'!$G$2:$G2446, 0)))))))))</f>
        <v>dimasik</v>
      </c>
      <c r="B685" s="45" t="s">
        <v>162</v>
      </c>
      <c r="C685" s="46">
        <v>44733</v>
      </c>
      <c r="D685" s="46">
        <v>44762</v>
      </c>
      <c r="E685" s="47">
        <v>44743</v>
      </c>
      <c r="F685" s="48" t="s">
        <v>41</v>
      </c>
      <c r="G685" s="45" t="s">
        <v>35</v>
      </c>
      <c r="H685" s="49" t="s">
        <v>148</v>
      </c>
      <c r="I685" s="49" t="s">
        <v>44</v>
      </c>
      <c r="J685" s="50">
        <v>250</v>
      </c>
      <c r="K685" s="51">
        <v>186</v>
      </c>
      <c r="L685" s="52">
        <v>4500</v>
      </c>
      <c r="M685" s="53">
        <v>1322</v>
      </c>
      <c r="N685" s="28">
        <f>K685*J685</f>
        <v>46500</v>
      </c>
      <c r="O685" s="54">
        <v>4255</v>
      </c>
      <c r="P685" s="29">
        <v>22.87634409</v>
      </c>
      <c r="Q685" s="55"/>
      <c r="R685" s="31">
        <f>M685+Q685</f>
        <v>1322</v>
      </c>
      <c r="S685" s="66"/>
      <c r="T685" s="32">
        <f>R685+S685+IF(F685="Without EV deal",L685,0)</f>
        <v>5822</v>
      </c>
      <c r="U685" s="57">
        <v>1</v>
      </c>
      <c r="V685" s="58"/>
      <c r="W685" s="58"/>
      <c r="X685" s="30">
        <f>IF(AF685="DoEV",IF(AND(V685&lt;20,W685&lt;55),0.3,0)+IF(AND(V685&lt;20,W685&gt;=55,W685&lt;105),0.23,0)+IF(AND(V685&lt;20,W685&gt;=105),0.17,0)+IF(AND(V685&gt;=20,V685&lt;40,W685&lt;45),0.3,0)+IF(AND(V685&gt;=20,V685&lt;40,W685&gt;=45,W685&lt;95),0.23,0)+IF(AND(V685&gt;=20,V685&lt;40,W685&gt;=95),0.17,0)+IF(AND(V685&gt;=40,V685&lt;75,W685&lt;35),0.3,0)+IF(AND(V685&gt;=40,V685&lt;75,W685&gt;=35,W685&lt;75),0.23,0)+IF(AND(V685&gt;=40,V685&lt;75,W685&gt;=75,W685&lt;120),0.17,0)+IF(AND(V685&gt;=40,V685&lt;75,W685&gt;=120),0.12,0)+IF(AND(V685&gt;=75,V685&lt;175,W685&lt;35),0.3,0)+IF(AND(V685&gt;=75,V685&lt;=175,W685&gt;=35,W685&lt;65),0.23,0)+IF(AND(V685&gt;=75,V685&lt;=175,W685&gt;=65,W685&lt;110),0.17,0)+IF(AND(V685&gt;=75,V685&lt;=175,W685&gt;=110),0.12,0)+IF(AND(V685&gt;175,W685&lt;25),0.3,0)+IF(AND(V685&gt;175,W685&gt;=25,W685&lt;55),0.23,0)+IF(AND(V685&gt;175,W685&gt;=55,W685&lt;95),0.17,0)+IF(AND(V685&gt;175,W685&gt;=95),0.12,0),
IF(AF685="Fix15",0.15,
IF(AF685="Fix18.75",0.1875,
IF(AF685="Fix11.25",0.1125,
IF(AF685="Fix10",0.1,
IF(AF685="Fix9",0.09,
IF(AF685="Fix19",0.19,
IF(AF685="DoEV2017",IF(AND(W685&lt;74),0.2,0)+IF(AND(W685&gt;=74),0.17,0),
IF(AF685="SF",IF(AND(V685&lt;20,W685&lt;89),0.3,0)+IF(AND(V685&lt;20,W685&gt;=89),0.25,0)+IF(AND(V685&gt;=20,V685&lt;40,W685&lt;74),0.3,0)+IF(AND(V685&gt;=20,V685&lt;40,W685&gt;=75),0.22,0)+IF(AND(V685&gt;=40,V685&lt;75,W685&lt;75),0.26,0)+IF(AND(V685&gt;=40,V685&lt;75,W685&gt;=75),0.22,0)+IF(V685&gt;=75,0.22,0),
IF(AF685="DoEVold",IF(AND(V685&lt;40,W685&lt;35),0.35,0)+IF(AND(V685&lt;40,W685&gt;=35,W685&lt;75),0.25,0)+IF(AND(V685&lt;40,W685&gt;=75),0.17,0)+IF(AND(V685&gt;=40,V685&lt;75,W685&lt;25),0.35,0)+IF(AND(V685&gt;=40,V685&lt;75,W685&gt;=25,W685&lt;65),0.25,0)+IF(AND(V685&gt;=40,V685&lt;75,W685&gt;=65,W685&lt;100),0.17,0)+IF(AND(V685&gt;=40,V685&lt;75,W685&gt;=100),0.1,0)+IF(AND(V685&gt;=75,W685&lt;25),0.35,0)+IF(AND(V685&gt;=75,W685&gt;=25,W685&lt;60),0.25,0)+IF(AND(V685&gt;=75,W685&gt;=60,W685&lt;95),0.17,0)+IF(AND(V685&gt;=75,W685&gt;=95),0.1,0),
IF(AF685="DoEVold15",IF(AND(V685&lt;=40,W685&lt;35),0.35,0)+IF(AND(V685&lt;=40,W685&gt;=35,W685&lt;75),0.25,0)+IF(AND(V685&lt;=40,W685&gt;=75,W685&lt;120),0.17,0)+IF(AND(V685&lt;=40,W685&gt;=120),0.15,0)+IF(AND(V685&gt;40,V685&lt;75,W685&lt;25),0.35,0)+IF(AND(V685&gt;=40,V685&lt;75,W685&gt;=25,W685&lt;65),0.25,0)+IF(AND(V685&gt;=40,V685&lt;75,W685&gt;=65,W685&lt;100),0.17,0)+IF(AND(V685&gt;=40,V685&lt;75,W685&gt;=100),0.1,0)+IF(AND(V685&gt;=75,W685&lt;25),0.35,0)+IF(AND(V685&gt;=75,W685&gt;=25,W685&lt;60),0.25,0)+IF(AND(V685&gt;=75,W685&gt;=60,W685&lt;95),0.17,0)+IF(AND(V685&gt;=75,W685&gt;=95),0.1,0),
IF(AF685="DoEVba",IF(AND(V685&lt;20,W685&lt;105),0.2,0)+IF(AND(V685&lt;20,W685&gt;=105),0.15,0)+IF(AND(V685&gt;=20,V685&lt;40,W685&lt;95),0.2,0)+IF(AND(V685&gt;=20,V685&lt;40,W685&gt;=95,W685&lt;150),0.15,0)+IF(AND(V685&gt;=20,V685&lt;40,W685&gt;=150),0.12,0)+IF(AND(V685&gt;=40,V685&lt;75,W685&lt;75),0.2,0)+IF(AND(V685&gt;=40,V685&lt;75,W685&gt;=75,W685&lt;120),0.15,0)+IF(AND(V685&gt;=40,V685&lt;75,W685&gt;=120),0.12,0)+IF(AND(V685&gt;=75,V685&lt;175,W685&lt;65),0.2,0)+IF(AND(V685&gt;=75,V685&lt;175,W685&gt;=65,W685&lt;110),0.15,0)+IF(AND(V685&gt;=75,V685&lt;175,W685&gt;=110),0.12,0)+IF(AND(V685&gt;=175,W685&lt;55),0.2,0)+IF(AND(V685&gt;=175,W685&gt;=55,W685&lt;95),0.15,0)+IF(AND(V685&gt;=175,W685&gt;=95),0.12,0),
IF(AF685="DoEVku",IF(AND(V685&lt;20,W685&lt;55),0.23,0)+IF(AND(V685&lt;20,W685&gt;=55,W685&lt;105),0.2,0)+IF(AND(V685&lt;20,W685&gt;=105),0.17,0)+IF(AND(V685&gt;=20,V685&lt;40,W685&lt;45),0.23,0)+IF(AND(V685&gt;=20,V685&lt;40,W685&gt;=45,W685&lt;95),0.2,0)+IF(AND(V685&gt;=20,V685&lt;40,W685&gt;=95,W685&lt;=150),0.17,0)+IF(AND(V685&gt;=20,V685&lt;40,W685&gt;=150),0.12,0)+IF(AND(V685&gt;=40,V685&lt;75,W685&lt;35),0.23,0)+IF(AND(V685&gt;=40,V685&lt;75,W685&gt;=35,W685&lt;75),0.2,0)+IF(AND(V685&gt;=40,V685&lt;75,W685&gt;=75,W685&lt;120),0.17,0)+IF(AND(V685&gt;=40,V685&lt;75,W685&gt;=120),0.12,0)+IF(AND(V685&gt;=75,V685&lt;175,W685&lt;35),0.23,0)+IF(AND(V685&gt;=75,V685&lt;=175,W685&gt;=35,W685&lt;65),0.2,0)+IF(AND(V685&gt;=75,V685&lt;=175,W685&gt;=65,W685&lt;110),0.17,0)+IF(AND(V685&gt;=75,V685&lt;=175,W685&gt;=110),0.12,0)+IF(AND(V685&gt;175,W685&lt;25),0.23,0)+IF(AND(V685&gt;175,W685&gt;=25,W685&lt;55),0.2,0)+IF(AND(V685&gt;175,W685&gt;=55,W685&lt;95),0.17,0)+IF(AND(V685&gt;175,W685&gt;=95),0.12,0),
IF(AF685="DoEVs1",IF(AND(V685&lt;20,W685&lt;55),0.3,0)+IF(AND(V685&lt;20,W685&gt;=55,W685&lt;105),0.23,0)+IF(AND(V685&lt;20,W685&gt;=105),0.17,0)+IF(AND(V685&gt;=20,V685&lt;40,W685&lt;45),0.3,0)+IF(AND(V685&gt;=20,V685&lt;40,W685&gt;=45,W685&lt;95),0.23,0)+IF(AND(V685&gt;=20,V685&lt;40,W685&gt;=95,W685&lt;=150),0.17,0)+IF(AND(V685&gt;=20,V685&lt;40,W685&gt;=150),0.12,0)+IF(AND(V685&gt;=40,V685&lt;75,W685&lt;35),0.3,0)+IF(AND(V685&gt;=40,V685&lt;75,W685&gt;=35,W685&lt;75),0.23,0)+IF(AND(V685&gt;=40,V685&lt;75,W685&gt;=75,W685&lt;120),0.17,0)+IF(AND(V685&gt;=40,V685&lt;75,W685&gt;=120),0.12,0)+IF(AND(V685&gt;=75,V685&lt;175,W685&lt;35),0.3,0)+IF(AND(V685&gt;=75,V685&lt;=175,W685&gt;=35,W685&lt;65),0.23,0)+IF(AND(V685&gt;=75,V685&lt;=175,W685&gt;=65,W685&lt;110),0.17,0)+IF(AND(V685&gt;=75,V685&lt;=175,W685&gt;=110),0.12,0)+IF(AND(V685&gt;175,W685&lt;25),0.3,0)+IF(AND(V685&gt;175,W685&gt;=25,W685&lt;55),0.23,0)+IF(AND(V685&gt;175,W685&gt;=55,W685&lt;95),0.17,0)+IF(AND(V685&gt;175,W685&gt;=95),0.12,0),
IF(AF685="DoEVsu",IF(AND(V685&lt;20,W685&lt;55),0.3,0)+IF(AND(V685&lt;20,W685&gt;=55,W685&lt;105),0.23,0)+IF(AND(V685&lt;20,W685&gt;=105),0.17,0)+IF(AND(V685&gt;=20,V685&lt;40,W685&lt;45),0.3,0)+IF(AND(V685&gt;=20,V685&lt;40,W685&gt;=45,W685&lt;95),0.23,0)+IF(AND(V685&gt;=20,V685&lt;40,W685&gt;=95,W685&lt;=250),0.17,0)+IF(AND(V685&gt;=20,V685&lt;40,W685&gt;=250),0.12,0)+IF(AND(V685&gt;=40,V685&lt;75,W685&lt;35),0.3,0)+IF(AND(V685&gt;=40,V685&lt;75,W685&gt;=35,W685&lt;75),0.23,0)+IF(AND(V685&gt;=40,V685&lt;75,W685&gt;=75,W685&lt;120),0.17,0)+IF(AND(V685&gt;=40,V685&lt;75,W685&gt;=120),0.12,0)+IF(AND(V685&gt;=75,V685&lt;175,W685&lt;35),0.3,0)+IF(AND(V685&gt;=75,V685&lt;=175,W685&gt;=35,W685&lt;65),0.23,0)+IF(AND(V685&gt;=75,V685&lt;=175,W685&gt;=65,W685&lt;110),0.17,0)+IF(AND(V685&gt;=75,V685&lt;=175,W685&gt;=110),0.12,0)+IF(AND(V685&gt;175,W685&lt;25),0.3,0)+IF(AND(V685&gt;175,W685&gt;=25,W685&lt;55),0.23,0)+IF(AND(V685&gt;175,W685&gt;=55,W685&lt;95),0.17,0)+IF(AND(V685&gt;175,W685&gt;=95),0.12,0),
IF(AF685="DoEVni",IF(AND(V685&lt;20,W685&lt;55),0.3,0)+IF(AND(V685&lt;20,W685&gt;=55,W685&lt;105),0.23,0)+IF(AND(V685&lt;20,W685&gt;=105),0.17,0)+IF(AND(V685&gt;=20,V685&lt;40,W685&lt;45),0.3,0)+IF(AND(V685&gt;=20,V685&lt;40,W685&gt;=45,W685&lt;95),0.23,0)+IF(AND(V685&gt;=20,V685&lt;40,W685&gt;=95,W685&lt;=200),0.17,0)+IF(AND(V685&gt;=20,V685&lt;40,W685&gt;=200),0.12,0)+IF(AND(V685&gt;=40,V685&lt;75,W685&lt;35),0.3,0)+IF(AND(V685&gt;=40,V685&lt;75,W685&gt;=35,W685&lt;75),0.23,0)+IF(AND(V685&gt;=40,V685&lt;75,W685&gt;=75,W685&lt;120),0.17,0)+IF(AND(V685&gt;=40,V685&lt;75,W685&gt;=120),0.12,0)+IF(AND(V685&gt;=75,V685&lt;175,W685&lt;35),0.3,0)+IF(AND(V685&gt;=75,V685&lt;=175,W685&gt;=35,W685&lt;65),0.23,0)+IF(AND(V685&gt;=75,V685&lt;=175,W685&gt;=65,W685&lt;110),0.17,0)+IF(AND(V685&gt;=75,V685&lt;=175,W685&gt;=110),0.12,0)+IF(AND(V685&gt;175,W685&lt;25),0.3,0)+IF(AND(V685&gt;175,W685&gt;=25,W685&lt;55),0.23,0)+IF(AND(V685&gt;175,W685&gt;=55,W685&lt;95),0.17,0)+IF(AND(V685&gt;175,W685&gt;=95),0.12,0),
IF(AF685="DoEVLo",IF(AND(V685&lt;20,W685&lt;55),0.25,0)+IF(AND(V685&lt;20,W685&gt;=55,W685&lt;105),0.2,0)+IF(AND(V685&lt;20,W685&gt;=105),0.15,0)+IF(AND(V685&gt;=20,V685&lt;40,W685&lt;45),0.25,0)+IF(AND(V685&gt;=20,V685&lt;40,W685&gt;=45,W685&lt;95),0.2,0)+IF(AND(V685&gt;=20,V685&lt;40,W685&gt;=95),0.15,0)+IF(AND(V685&gt;=40,V685&lt;75,W685&lt;35),0.25,0)+IF(AND(V685&gt;=40,V685&lt;75,W685&gt;=35,W685&lt;75),0.2,0)+IF(AND(V685&gt;=40,V685&lt;75,W685&gt;=75,W685&lt;120),0.15,0)+IF(AND(V685&gt;=40,V685&lt;75,W685&gt;=120),0.1,0)+IF(AND(V685&gt;=75,V685&lt;175,W685&lt;35),0.25,0)+IF(AND(V685&gt;=75,V685&lt;=175,W685&gt;=35,W685&lt;65),0.2,0)+IF(AND(V685&gt;=75,V685&lt;=175,W685&gt;=65,W685&lt;110),0.15,0)+IF(AND(V685&gt;=75,V685&lt;=175,W685&gt;=110),0.1,0)+IF(AND(V685&gt;175,W685&lt;25),0.25,0)+IF(AND(V685&gt;175,W685&gt;=25,W685&lt;55),0.2,0)+IF(AND(V685&gt;175,W685&gt;=55,W685&lt;95),0.15,0)+IF(AND(V685&gt;175,W685&gt;=95),0.1,0))))))))))))))))))</f>
        <v>0.19</v>
      </c>
      <c r="Y685" s="30">
        <f>IF(AG685="None",0,IF(AG685="Fix5",0.05, IF(AG685="Fix6.25",0.0625,IF(AG685="Fix3.75",0.0375,IF(AG685="Fix10",0.1,IF(AG685="Fix3",0.03,0))))))</f>
        <v>0</v>
      </c>
      <c r="Z685" s="35">
        <f>T685-AA685-AB685</f>
        <v>4715.82</v>
      </c>
      <c r="AA685" s="29">
        <f>IF(AD685="EUR",((T685-R685)*X685)*U685+(R685*X685),(T685*X685))</f>
        <v>1106.18</v>
      </c>
      <c r="AB685" s="36">
        <f>IF(AD685="EUR",((T685-R685)*Y685)*U685+(R685*Y685),(T685*Y685))</f>
        <v>0</v>
      </c>
      <c r="AC685" s="37" t="b">
        <v>1</v>
      </c>
      <c r="AD685" s="37" t="s">
        <v>38</v>
      </c>
      <c r="AE685" s="37" t="s">
        <v>38</v>
      </c>
      <c r="AF685" s="37" t="str">
        <f t="array" ref="AF685">INDEX('Deal Info'!D:D, MATCH(A685,'Deal Info'!A:A, 0))</f>
        <v>Fix19</v>
      </c>
      <c r="AG685" s="38" t="str">
        <f t="array" ref="AG685">INDEX('Deal Info'!G:G, MATCH(A685,'Deal Info'!A:A, 0))</f>
        <v>None</v>
      </c>
    </row>
    <row r="686" spans="1:33" ht="14.25" hidden="1" x14ac:dyDescent="0.2">
      <c r="A686" s="18" t="str">
        <f t="array" ref="A686">IF(G686='Room Info'!$B$1, INDEX('Room Info'!$A$2:$A2446, MATCH(B686,'Room Info'!$B$2:$B2446, 0)),IF(G686='Room Info'!$C$1, INDEX('Room Info'!$A$2:$A2446, MATCH(B686,'Room Info'!$C$2:$C2446, 0)),IF(G686='Room Info'!$D$1, INDEX('Room Info'!$A$2:$A2446, MATCH(B686,'Room Info'!$D$2:$D2446, 0)),IF(G686='Room Info'!$E$1, INDEX('Room Info'!$A$2:$A2446, MATCH(B686,'Room Info'!$E$2:$E2446, 0)),IF(G686='Room Info'!$F$1, INDEX('Room Info'!$A$2:$A2446, MATCH(B686,'Room Info'!$F$2:$F2446, 0)),IF(G686='Room Info'!$H$1, INDEX('Room Info'!$A$2:$A2446, MATCH(B686,'Room Info'!$H$2:$H2446, 0)),IF(G686='Room Info'!$G$1, INDEX('Room Info'!$A$2:$A2446, MATCH(B686,'Room Info'!$G$2:$G2446, 0)))))))))</f>
        <v>dimasik</v>
      </c>
      <c r="B686" s="45" t="s">
        <v>162</v>
      </c>
      <c r="C686" s="46">
        <v>44733</v>
      </c>
      <c r="D686" s="46">
        <v>44762</v>
      </c>
      <c r="E686" s="47">
        <v>44743</v>
      </c>
      <c r="F686" s="48" t="s">
        <v>41</v>
      </c>
      <c r="G686" s="45" t="s">
        <v>35</v>
      </c>
      <c r="H686" s="49" t="s">
        <v>85</v>
      </c>
      <c r="I686" s="49" t="s">
        <v>44</v>
      </c>
      <c r="J686" s="50">
        <v>50</v>
      </c>
      <c r="K686" s="51">
        <v>4</v>
      </c>
      <c r="L686" s="52">
        <v>0</v>
      </c>
      <c r="M686" s="53">
        <v>7</v>
      </c>
      <c r="N686" s="28">
        <f>K686*J686</f>
        <v>200</v>
      </c>
      <c r="O686" s="54">
        <v>274</v>
      </c>
      <c r="P686" s="29">
        <v>68.5</v>
      </c>
      <c r="Q686" s="55"/>
      <c r="R686" s="31">
        <f>M686+Q686</f>
        <v>7</v>
      </c>
      <c r="S686" s="66"/>
      <c r="T686" s="32">
        <f>R686+S686+IF(F686="Without EV deal",L686,0)</f>
        <v>7</v>
      </c>
      <c r="U686" s="57">
        <v>1</v>
      </c>
      <c r="V686" s="58"/>
      <c r="W686" s="58"/>
      <c r="X686" s="30">
        <f>IF(AF686="DoEV",IF(AND(V686&lt;20,W686&lt;55),0.3,0)+IF(AND(V686&lt;20,W686&gt;=55,W686&lt;105),0.23,0)+IF(AND(V686&lt;20,W686&gt;=105),0.17,0)+IF(AND(V686&gt;=20,V686&lt;40,W686&lt;45),0.3,0)+IF(AND(V686&gt;=20,V686&lt;40,W686&gt;=45,W686&lt;95),0.23,0)+IF(AND(V686&gt;=20,V686&lt;40,W686&gt;=95),0.17,0)+IF(AND(V686&gt;=40,V686&lt;75,W686&lt;35),0.3,0)+IF(AND(V686&gt;=40,V686&lt;75,W686&gt;=35,W686&lt;75),0.23,0)+IF(AND(V686&gt;=40,V686&lt;75,W686&gt;=75,W686&lt;120),0.17,0)+IF(AND(V686&gt;=40,V686&lt;75,W686&gt;=120),0.12,0)+IF(AND(V686&gt;=75,V686&lt;175,W686&lt;35),0.3,0)+IF(AND(V686&gt;=75,V686&lt;=175,W686&gt;=35,W686&lt;65),0.23,0)+IF(AND(V686&gt;=75,V686&lt;=175,W686&gt;=65,W686&lt;110),0.17,0)+IF(AND(V686&gt;=75,V686&lt;=175,W686&gt;=110),0.12,0)+IF(AND(V686&gt;175,W686&lt;25),0.3,0)+IF(AND(V686&gt;175,W686&gt;=25,W686&lt;55),0.23,0)+IF(AND(V686&gt;175,W686&gt;=55,W686&lt;95),0.17,0)+IF(AND(V686&gt;175,W686&gt;=95),0.12,0),
IF(AF686="Fix15",0.15,
IF(AF686="Fix18.75",0.1875,
IF(AF686="Fix11.25",0.1125,
IF(AF686="Fix10",0.1,
IF(AF686="Fix9",0.09,
IF(AF686="Fix19",0.19,
IF(AF686="DoEV2017",IF(AND(W686&lt;74),0.2,0)+IF(AND(W686&gt;=74),0.17,0),
IF(AF686="SF",IF(AND(V686&lt;20,W686&lt;89),0.3,0)+IF(AND(V686&lt;20,W686&gt;=89),0.25,0)+IF(AND(V686&gt;=20,V686&lt;40,W686&lt;74),0.3,0)+IF(AND(V686&gt;=20,V686&lt;40,W686&gt;=75),0.22,0)+IF(AND(V686&gt;=40,V686&lt;75,W686&lt;75),0.26,0)+IF(AND(V686&gt;=40,V686&lt;75,W686&gt;=75),0.22,0)+IF(V686&gt;=75,0.22,0),
IF(AF686="DoEVold",IF(AND(V686&lt;40,W686&lt;35),0.35,0)+IF(AND(V686&lt;40,W686&gt;=35,W686&lt;75),0.25,0)+IF(AND(V686&lt;40,W686&gt;=75),0.17,0)+IF(AND(V686&gt;=40,V686&lt;75,W686&lt;25),0.35,0)+IF(AND(V686&gt;=40,V686&lt;75,W686&gt;=25,W686&lt;65),0.25,0)+IF(AND(V686&gt;=40,V686&lt;75,W686&gt;=65,W686&lt;100),0.17,0)+IF(AND(V686&gt;=40,V686&lt;75,W686&gt;=100),0.1,0)+IF(AND(V686&gt;=75,W686&lt;25),0.35,0)+IF(AND(V686&gt;=75,W686&gt;=25,W686&lt;60),0.25,0)+IF(AND(V686&gt;=75,W686&gt;=60,W686&lt;95),0.17,0)+IF(AND(V686&gt;=75,W686&gt;=95),0.1,0),
IF(AF686="DoEVold15",IF(AND(V686&lt;=40,W686&lt;35),0.35,0)+IF(AND(V686&lt;=40,W686&gt;=35,W686&lt;75),0.25,0)+IF(AND(V686&lt;=40,W686&gt;=75,W686&lt;120),0.17,0)+IF(AND(V686&lt;=40,W686&gt;=120),0.15,0)+IF(AND(V686&gt;40,V686&lt;75,W686&lt;25),0.35,0)+IF(AND(V686&gt;=40,V686&lt;75,W686&gt;=25,W686&lt;65),0.25,0)+IF(AND(V686&gt;=40,V686&lt;75,W686&gt;=65,W686&lt;100),0.17,0)+IF(AND(V686&gt;=40,V686&lt;75,W686&gt;=100),0.1,0)+IF(AND(V686&gt;=75,W686&lt;25),0.35,0)+IF(AND(V686&gt;=75,W686&gt;=25,W686&lt;60),0.25,0)+IF(AND(V686&gt;=75,W686&gt;=60,W686&lt;95),0.17,0)+IF(AND(V686&gt;=75,W686&gt;=95),0.1,0),
IF(AF686="DoEVba",IF(AND(V686&lt;20,W686&lt;105),0.2,0)+IF(AND(V686&lt;20,W686&gt;=105),0.15,0)+IF(AND(V686&gt;=20,V686&lt;40,W686&lt;95),0.2,0)+IF(AND(V686&gt;=20,V686&lt;40,W686&gt;=95,W686&lt;150),0.15,0)+IF(AND(V686&gt;=20,V686&lt;40,W686&gt;=150),0.12,0)+IF(AND(V686&gt;=40,V686&lt;75,W686&lt;75),0.2,0)+IF(AND(V686&gt;=40,V686&lt;75,W686&gt;=75,W686&lt;120),0.15,0)+IF(AND(V686&gt;=40,V686&lt;75,W686&gt;=120),0.12,0)+IF(AND(V686&gt;=75,V686&lt;175,W686&lt;65),0.2,0)+IF(AND(V686&gt;=75,V686&lt;175,W686&gt;=65,W686&lt;110),0.15,0)+IF(AND(V686&gt;=75,V686&lt;175,W686&gt;=110),0.12,0)+IF(AND(V686&gt;=175,W686&lt;55),0.2,0)+IF(AND(V686&gt;=175,W686&gt;=55,W686&lt;95),0.15,0)+IF(AND(V686&gt;=175,W686&gt;=95),0.12,0),
IF(AF686="DoEVku",IF(AND(V686&lt;20,W686&lt;55),0.23,0)+IF(AND(V686&lt;20,W686&gt;=55,W686&lt;105),0.2,0)+IF(AND(V686&lt;20,W686&gt;=105),0.17,0)+IF(AND(V686&gt;=20,V686&lt;40,W686&lt;45),0.23,0)+IF(AND(V686&gt;=20,V686&lt;40,W686&gt;=45,W686&lt;95),0.2,0)+IF(AND(V686&gt;=20,V686&lt;40,W686&gt;=95,W686&lt;=150),0.17,0)+IF(AND(V686&gt;=20,V686&lt;40,W686&gt;=150),0.12,0)+IF(AND(V686&gt;=40,V686&lt;75,W686&lt;35),0.23,0)+IF(AND(V686&gt;=40,V686&lt;75,W686&gt;=35,W686&lt;75),0.2,0)+IF(AND(V686&gt;=40,V686&lt;75,W686&gt;=75,W686&lt;120),0.17,0)+IF(AND(V686&gt;=40,V686&lt;75,W686&gt;=120),0.12,0)+IF(AND(V686&gt;=75,V686&lt;175,W686&lt;35),0.23,0)+IF(AND(V686&gt;=75,V686&lt;=175,W686&gt;=35,W686&lt;65),0.2,0)+IF(AND(V686&gt;=75,V686&lt;=175,W686&gt;=65,W686&lt;110),0.17,0)+IF(AND(V686&gt;=75,V686&lt;=175,W686&gt;=110),0.12,0)+IF(AND(V686&gt;175,W686&lt;25),0.23,0)+IF(AND(V686&gt;175,W686&gt;=25,W686&lt;55),0.2,0)+IF(AND(V686&gt;175,W686&gt;=55,W686&lt;95),0.17,0)+IF(AND(V686&gt;175,W686&gt;=95),0.12,0),
IF(AF686="DoEVs1",IF(AND(V686&lt;20,W686&lt;55),0.3,0)+IF(AND(V686&lt;20,W686&gt;=55,W686&lt;105),0.23,0)+IF(AND(V686&lt;20,W686&gt;=105),0.17,0)+IF(AND(V686&gt;=20,V686&lt;40,W686&lt;45),0.3,0)+IF(AND(V686&gt;=20,V686&lt;40,W686&gt;=45,W686&lt;95),0.23,0)+IF(AND(V686&gt;=20,V686&lt;40,W686&gt;=95,W686&lt;=150),0.17,0)+IF(AND(V686&gt;=20,V686&lt;40,W686&gt;=150),0.12,0)+IF(AND(V686&gt;=40,V686&lt;75,W686&lt;35),0.3,0)+IF(AND(V686&gt;=40,V686&lt;75,W686&gt;=35,W686&lt;75),0.23,0)+IF(AND(V686&gt;=40,V686&lt;75,W686&gt;=75,W686&lt;120),0.17,0)+IF(AND(V686&gt;=40,V686&lt;75,W686&gt;=120),0.12,0)+IF(AND(V686&gt;=75,V686&lt;175,W686&lt;35),0.3,0)+IF(AND(V686&gt;=75,V686&lt;=175,W686&gt;=35,W686&lt;65),0.23,0)+IF(AND(V686&gt;=75,V686&lt;=175,W686&gt;=65,W686&lt;110),0.17,0)+IF(AND(V686&gt;=75,V686&lt;=175,W686&gt;=110),0.12,0)+IF(AND(V686&gt;175,W686&lt;25),0.3,0)+IF(AND(V686&gt;175,W686&gt;=25,W686&lt;55),0.23,0)+IF(AND(V686&gt;175,W686&gt;=55,W686&lt;95),0.17,0)+IF(AND(V686&gt;175,W686&gt;=95),0.12,0),
IF(AF686="DoEVsu",IF(AND(V686&lt;20,W686&lt;55),0.3,0)+IF(AND(V686&lt;20,W686&gt;=55,W686&lt;105),0.23,0)+IF(AND(V686&lt;20,W686&gt;=105),0.17,0)+IF(AND(V686&gt;=20,V686&lt;40,W686&lt;45),0.3,0)+IF(AND(V686&gt;=20,V686&lt;40,W686&gt;=45,W686&lt;95),0.23,0)+IF(AND(V686&gt;=20,V686&lt;40,W686&gt;=95,W686&lt;=250),0.17,0)+IF(AND(V686&gt;=20,V686&lt;40,W686&gt;=250),0.12,0)+IF(AND(V686&gt;=40,V686&lt;75,W686&lt;35),0.3,0)+IF(AND(V686&gt;=40,V686&lt;75,W686&gt;=35,W686&lt;75),0.23,0)+IF(AND(V686&gt;=40,V686&lt;75,W686&gt;=75,W686&lt;120),0.17,0)+IF(AND(V686&gt;=40,V686&lt;75,W686&gt;=120),0.12,0)+IF(AND(V686&gt;=75,V686&lt;175,W686&lt;35),0.3,0)+IF(AND(V686&gt;=75,V686&lt;=175,W686&gt;=35,W686&lt;65),0.23,0)+IF(AND(V686&gt;=75,V686&lt;=175,W686&gt;=65,W686&lt;110),0.17,0)+IF(AND(V686&gt;=75,V686&lt;=175,W686&gt;=110),0.12,0)+IF(AND(V686&gt;175,W686&lt;25),0.3,0)+IF(AND(V686&gt;175,W686&gt;=25,W686&lt;55),0.23,0)+IF(AND(V686&gt;175,W686&gt;=55,W686&lt;95),0.17,0)+IF(AND(V686&gt;175,W686&gt;=95),0.12,0),
IF(AF686="DoEVni",IF(AND(V686&lt;20,W686&lt;55),0.3,0)+IF(AND(V686&lt;20,W686&gt;=55,W686&lt;105),0.23,0)+IF(AND(V686&lt;20,W686&gt;=105),0.17,0)+IF(AND(V686&gt;=20,V686&lt;40,W686&lt;45),0.3,0)+IF(AND(V686&gt;=20,V686&lt;40,W686&gt;=45,W686&lt;95),0.23,0)+IF(AND(V686&gt;=20,V686&lt;40,W686&gt;=95,W686&lt;=200),0.17,0)+IF(AND(V686&gt;=20,V686&lt;40,W686&gt;=200),0.12,0)+IF(AND(V686&gt;=40,V686&lt;75,W686&lt;35),0.3,0)+IF(AND(V686&gt;=40,V686&lt;75,W686&gt;=35,W686&lt;75),0.23,0)+IF(AND(V686&gt;=40,V686&lt;75,W686&gt;=75,W686&lt;120),0.17,0)+IF(AND(V686&gt;=40,V686&lt;75,W686&gt;=120),0.12,0)+IF(AND(V686&gt;=75,V686&lt;175,W686&lt;35),0.3,0)+IF(AND(V686&gt;=75,V686&lt;=175,W686&gt;=35,W686&lt;65),0.23,0)+IF(AND(V686&gt;=75,V686&lt;=175,W686&gt;=65,W686&lt;110),0.17,0)+IF(AND(V686&gt;=75,V686&lt;=175,W686&gt;=110),0.12,0)+IF(AND(V686&gt;175,W686&lt;25),0.3,0)+IF(AND(V686&gt;175,W686&gt;=25,W686&lt;55),0.23,0)+IF(AND(V686&gt;175,W686&gt;=55,W686&lt;95),0.17,0)+IF(AND(V686&gt;175,W686&gt;=95),0.12,0),
IF(AF686="DoEVLo",IF(AND(V686&lt;20,W686&lt;55),0.25,0)+IF(AND(V686&lt;20,W686&gt;=55,W686&lt;105),0.2,0)+IF(AND(V686&lt;20,W686&gt;=105),0.15,0)+IF(AND(V686&gt;=20,V686&lt;40,W686&lt;45),0.25,0)+IF(AND(V686&gt;=20,V686&lt;40,W686&gt;=45,W686&lt;95),0.2,0)+IF(AND(V686&gt;=20,V686&lt;40,W686&gt;=95),0.15,0)+IF(AND(V686&gt;=40,V686&lt;75,W686&lt;35),0.25,0)+IF(AND(V686&gt;=40,V686&lt;75,W686&gt;=35,W686&lt;75),0.2,0)+IF(AND(V686&gt;=40,V686&lt;75,W686&gt;=75,W686&lt;120),0.15,0)+IF(AND(V686&gt;=40,V686&lt;75,W686&gt;=120),0.1,0)+IF(AND(V686&gt;=75,V686&lt;175,W686&lt;35),0.25,0)+IF(AND(V686&gt;=75,V686&lt;=175,W686&gt;=35,W686&lt;65),0.2,0)+IF(AND(V686&gt;=75,V686&lt;=175,W686&gt;=65,W686&lt;110),0.15,0)+IF(AND(V686&gt;=75,V686&lt;=175,W686&gt;=110),0.1,0)+IF(AND(V686&gt;175,W686&lt;25),0.25,0)+IF(AND(V686&gt;175,W686&gt;=25,W686&lt;55),0.2,0)+IF(AND(V686&gt;175,W686&gt;=55,W686&lt;95),0.15,0)+IF(AND(V686&gt;175,W686&gt;=95),0.1,0))))))))))))))))))</f>
        <v>0.19</v>
      </c>
      <c r="Y686" s="30">
        <f>IF(AG686="None",0,IF(AG686="Fix5",0.05, IF(AG686="Fix6.25",0.0625,IF(AG686="Fix3.75",0.0375,IF(AG686="Fix10",0.1,IF(AG686="Fix3",0.03,0))))))</f>
        <v>0</v>
      </c>
      <c r="Z686" s="35">
        <f>T686-AA686-AB686</f>
        <v>5.67</v>
      </c>
      <c r="AA686" s="29">
        <f>IF(AD686="EUR",((T686-R686)*X686)*U686+(R686*X686),(T686*X686))</f>
        <v>1.33</v>
      </c>
      <c r="AB686" s="36">
        <f>IF(AD686="EUR",((T686-R686)*Y686)*U686+(R686*Y686),(T686*Y686))</f>
        <v>0</v>
      </c>
      <c r="AC686" s="37" t="b">
        <v>1</v>
      </c>
      <c r="AD686" s="37" t="s">
        <v>38</v>
      </c>
      <c r="AE686" s="37" t="s">
        <v>38</v>
      </c>
      <c r="AF686" s="37" t="str">
        <f t="array" ref="AF686">INDEX('Deal Info'!D:D, MATCH(A686,'Deal Info'!A:A, 0))</f>
        <v>Fix19</v>
      </c>
      <c r="AG686" s="38" t="str">
        <f t="array" ref="AG686">INDEX('Deal Info'!G:G, MATCH(A686,'Deal Info'!A:A, 0))</f>
        <v>None</v>
      </c>
    </row>
    <row r="687" spans="1:33" ht="14.25" hidden="1" x14ac:dyDescent="0.2">
      <c r="A687" s="18" t="str">
        <f t="array" ref="A687">IF(G687='Room Info'!$B$1, INDEX('Room Info'!$A$2:$A2446, MATCH(B687,'Room Info'!$B$2:$B2446, 0)),IF(G687='Room Info'!$C$1, INDEX('Room Info'!$A$2:$A2446, MATCH(B687,'Room Info'!$C$2:$C2446, 0)),IF(G687='Room Info'!$D$1, INDEX('Room Info'!$A$2:$A2446, MATCH(B687,'Room Info'!$D$2:$D2446, 0)),IF(G687='Room Info'!$E$1, INDEX('Room Info'!$A$2:$A2446, MATCH(B687,'Room Info'!$E$2:$E2446, 0)),IF(G687='Room Info'!$F$1, INDEX('Room Info'!$A$2:$A2446, MATCH(B687,'Room Info'!$F$2:$F2446, 0)),IF(G687='Room Info'!$H$1, INDEX('Room Info'!$A$2:$A2446, MATCH(B687,'Room Info'!$H$2:$H2446, 0)),IF(G687='Room Info'!$G$1, INDEX('Room Info'!$A$2:$A2446, MATCH(B687,'Room Info'!$G$2:$G2446, 0)))))))))</f>
        <v>dimasik</v>
      </c>
      <c r="B687" s="54" t="s">
        <v>162</v>
      </c>
      <c r="C687" s="46">
        <v>44733</v>
      </c>
      <c r="D687" s="46">
        <v>44762</v>
      </c>
      <c r="E687" s="47">
        <v>44743</v>
      </c>
      <c r="F687" s="45" t="s">
        <v>41</v>
      </c>
      <c r="G687" s="54" t="s">
        <v>35</v>
      </c>
      <c r="H687" s="49" t="s">
        <v>142</v>
      </c>
      <c r="I687" s="49" t="s">
        <v>37</v>
      </c>
      <c r="J687" s="50">
        <v>500</v>
      </c>
      <c r="K687" s="51">
        <v>18</v>
      </c>
      <c r="L687" s="52">
        <v>-5500</v>
      </c>
      <c r="M687" s="53">
        <v>256</v>
      </c>
      <c r="N687" s="28">
        <f>K687*J687</f>
        <v>9000</v>
      </c>
      <c r="O687" s="54">
        <v>-1110</v>
      </c>
      <c r="P687" s="29">
        <v>-61.666666669999998</v>
      </c>
      <c r="Q687" s="55"/>
      <c r="R687" s="31">
        <f>M687+Q687</f>
        <v>256</v>
      </c>
      <c r="S687" s="66"/>
      <c r="T687" s="32">
        <f>R687+S687+IF(F687="Without EV deal",L687,0)</f>
        <v>-5244</v>
      </c>
      <c r="U687" s="57">
        <v>1</v>
      </c>
      <c r="V687" s="58"/>
      <c r="W687" s="58"/>
      <c r="X687" s="30">
        <f>IF(AF687="DoEV",IF(AND(V687&lt;20,W687&lt;55),0.3,0)+IF(AND(V687&lt;20,W687&gt;=55,W687&lt;105),0.23,0)+IF(AND(V687&lt;20,W687&gt;=105),0.17,0)+IF(AND(V687&gt;=20,V687&lt;40,W687&lt;45),0.3,0)+IF(AND(V687&gt;=20,V687&lt;40,W687&gt;=45,W687&lt;95),0.23,0)+IF(AND(V687&gt;=20,V687&lt;40,W687&gt;=95),0.17,0)+IF(AND(V687&gt;=40,V687&lt;75,W687&lt;35),0.3,0)+IF(AND(V687&gt;=40,V687&lt;75,W687&gt;=35,W687&lt;75),0.23,0)+IF(AND(V687&gt;=40,V687&lt;75,W687&gt;=75,W687&lt;120),0.17,0)+IF(AND(V687&gt;=40,V687&lt;75,W687&gt;=120),0.12,0)+IF(AND(V687&gt;=75,V687&lt;175,W687&lt;35),0.3,0)+IF(AND(V687&gt;=75,V687&lt;=175,W687&gt;=35,W687&lt;65),0.23,0)+IF(AND(V687&gt;=75,V687&lt;=175,W687&gt;=65,W687&lt;110),0.17,0)+IF(AND(V687&gt;=75,V687&lt;=175,W687&gt;=110),0.12,0)+IF(AND(V687&gt;175,W687&lt;25),0.3,0)+IF(AND(V687&gt;175,W687&gt;=25,W687&lt;55),0.23,0)+IF(AND(V687&gt;175,W687&gt;=55,W687&lt;95),0.17,0)+IF(AND(V687&gt;175,W687&gt;=95),0.12,0),
IF(AF687="Fix15",0.15,
IF(AF687="Fix18.75",0.1875,
IF(AF687="Fix11.25",0.1125,
IF(AF687="Fix10",0.1,
IF(AF687="Fix9",0.09,
IF(AF687="Fix19",0.19,
IF(AF687="DoEV2017",IF(AND(W687&lt;74),0.2,0)+IF(AND(W687&gt;=74),0.17,0),
IF(AF687="SF",IF(AND(V687&lt;20,W687&lt;89),0.3,0)+IF(AND(V687&lt;20,W687&gt;=89),0.25,0)+IF(AND(V687&gt;=20,V687&lt;40,W687&lt;74),0.3,0)+IF(AND(V687&gt;=20,V687&lt;40,W687&gt;=75),0.22,0)+IF(AND(V687&gt;=40,V687&lt;75,W687&lt;75),0.26,0)+IF(AND(V687&gt;=40,V687&lt;75,W687&gt;=75),0.22,0)+IF(V687&gt;=75,0.22,0),
IF(AF687="DoEVold",IF(AND(V687&lt;40,W687&lt;35),0.35,0)+IF(AND(V687&lt;40,W687&gt;=35,W687&lt;75),0.25,0)+IF(AND(V687&lt;40,W687&gt;=75),0.17,0)+IF(AND(V687&gt;=40,V687&lt;75,W687&lt;25),0.35,0)+IF(AND(V687&gt;=40,V687&lt;75,W687&gt;=25,W687&lt;65),0.25,0)+IF(AND(V687&gt;=40,V687&lt;75,W687&gt;=65,W687&lt;100),0.17,0)+IF(AND(V687&gt;=40,V687&lt;75,W687&gt;=100),0.1,0)+IF(AND(V687&gt;=75,W687&lt;25),0.35,0)+IF(AND(V687&gt;=75,W687&gt;=25,W687&lt;60),0.25,0)+IF(AND(V687&gt;=75,W687&gt;=60,W687&lt;95),0.17,0)+IF(AND(V687&gt;=75,W687&gt;=95),0.1,0),
IF(AF687="DoEVold15",IF(AND(V687&lt;=40,W687&lt;35),0.35,0)+IF(AND(V687&lt;=40,W687&gt;=35,W687&lt;75),0.25,0)+IF(AND(V687&lt;=40,W687&gt;=75,W687&lt;120),0.17,0)+IF(AND(V687&lt;=40,W687&gt;=120),0.15,0)+IF(AND(V687&gt;40,V687&lt;75,W687&lt;25),0.35,0)+IF(AND(V687&gt;=40,V687&lt;75,W687&gt;=25,W687&lt;65),0.25,0)+IF(AND(V687&gt;=40,V687&lt;75,W687&gt;=65,W687&lt;100),0.17,0)+IF(AND(V687&gt;=40,V687&lt;75,W687&gt;=100),0.1,0)+IF(AND(V687&gt;=75,W687&lt;25),0.35,0)+IF(AND(V687&gt;=75,W687&gt;=25,W687&lt;60),0.25,0)+IF(AND(V687&gt;=75,W687&gt;=60,W687&lt;95),0.17,0)+IF(AND(V687&gt;=75,W687&gt;=95),0.1,0),
IF(AF687="DoEVba",IF(AND(V687&lt;20,W687&lt;105),0.2,0)+IF(AND(V687&lt;20,W687&gt;=105),0.15,0)+IF(AND(V687&gt;=20,V687&lt;40,W687&lt;95),0.2,0)+IF(AND(V687&gt;=20,V687&lt;40,W687&gt;=95,W687&lt;150),0.15,0)+IF(AND(V687&gt;=20,V687&lt;40,W687&gt;=150),0.12,0)+IF(AND(V687&gt;=40,V687&lt;75,W687&lt;75),0.2,0)+IF(AND(V687&gt;=40,V687&lt;75,W687&gt;=75,W687&lt;120),0.15,0)+IF(AND(V687&gt;=40,V687&lt;75,W687&gt;=120),0.12,0)+IF(AND(V687&gt;=75,V687&lt;175,W687&lt;65),0.2,0)+IF(AND(V687&gt;=75,V687&lt;175,W687&gt;=65,W687&lt;110),0.15,0)+IF(AND(V687&gt;=75,V687&lt;175,W687&gt;=110),0.12,0)+IF(AND(V687&gt;=175,W687&lt;55),0.2,0)+IF(AND(V687&gt;=175,W687&gt;=55,W687&lt;95),0.15,0)+IF(AND(V687&gt;=175,W687&gt;=95),0.12,0),
IF(AF687="DoEVku",IF(AND(V687&lt;20,W687&lt;55),0.23,0)+IF(AND(V687&lt;20,W687&gt;=55,W687&lt;105),0.2,0)+IF(AND(V687&lt;20,W687&gt;=105),0.17,0)+IF(AND(V687&gt;=20,V687&lt;40,W687&lt;45),0.23,0)+IF(AND(V687&gt;=20,V687&lt;40,W687&gt;=45,W687&lt;95),0.2,0)+IF(AND(V687&gt;=20,V687&lt;40,W687&gt;=95,W687&lt;=150),0.17,0)+IF(AND(V687&gt;=20,V687&lt;40,W687&gt;=150),0.12,0)+IF(AND(V687&gt;=40,V687&lt;75,W687&lt;35),0.23,0)+IF(AND(V687&gt;=40,V687&lt;75,W687&gt;=35,W687&lt;75),0.2,0)+IF(AND(V687&gt;=40,V687&lt;75,W687&gt;=75,W687&lt;120),0.17,0)+IF(AND(V687&gt;=40,V687&lt;75,W687&gt;=120),0.12,0)+IF(AND(V687&gt;=75,V687&lt;175,W687&lt;35),0.23,0)+IF(AND(V687&gt;=75,V687&lt;=175,W687&gt;=35,W687&lt;65),0.2,0)+IF(AND(V687&gt;=75,V687&lt;=175,W687&gt;=65,W687&lt;110),0.17,0)+IF(AND(V687&gt;=75,V687&lt;=175,W687&gt;=110),0.12,0)+IF(AND(V687&gt;175,W687&lt;25),0.23,0)+IF(AND(V687&gt;175,W687&gt;=25,W687&lt;55),0.2,0)+IF(AND(V687&gt;175,W687&gt;=55,W687&lt;95),0.17,0)+IF(AND(V687&gt;175,W687&gt;=95),0.12,0),
IF(AF687="DoEVs1",IF(AND(V687&lt;20,W687&lt;55),0.3,0)+IF(AND(V687&lt;20,W687&gt;=55,W687&lt;105),0.23,0)+IF(AND(V687&lt;20,W687&gt;=105),0.17,0)+IF(AND(V687&gt;=20,V687&lt;40,W687&lt;45),0.3,0)+IF(AND(V687&gt;=20,V687&lt;40,W687&gt;=45,W687&lt;95),0.23,0)+IF(AND(V687&gt;=20,V687&lt;40,W687&gt;=95,W687&lt;=150),0.17,0)+IF(AND(V687&gt;=20,V687&lt;40,W687&gt;=150),0.12,0)+IF(AND(V687&gt;=40,V687&lt;75,W687&lt;35),0.3,0)+IF(AND(V687&gt;=40,V687&lt;75,W687&gt;=35,W687&lt;75),0.23,0)+IF(AND(V687&gt;=40,V687&lt;75,W687&gt;=75,W687&lt;120),0.17,0)+IF(AND(V687&gt;=40,V687&lt;75,W687&gt;=120),0.12,0)+IF(AND(V687&gt;=75,V687&lt;175,W687&lt;35),0.3,0)+IF(AND(V687&gt;=75,V687&lt;=175,W687&gt;=35,W687&lt;65),0.23,0)+IF(AND(V687&gt;=75,V687&lt;=175,W687&gt;=65,W687&lt;110),0.17,0)+IF(AND(V687&gt;=75,V687&lt;=175,W687&gt;=110),0.12,0)+IF(AND(V687&gt;175,W687&lt;25),0.3,0)+IF(AND(V687&gt;175,W687&gt;=25,W687&lt;55),0.23,0)+IF(AND(V687&gt;175,W687&gt;=55,W687&lt;95),0.17,0)+IF(AND(V687&gt;175,W687&gt;=95),0.12,0),
IF(AF687="DoEVsu",IF(AND(V687&lt;20,W687&lt;55),0.3,0)+IF(AND(V687&lt;20,W687&gt;=55,W687&lt;105),0.23,0)+IF(AND(V687&lt;20,W687&gt;=105),0.17,0)+IF(AND(V687&gt;=20,V687&lt;40,W687&lt;45),0.3,0)+IF(AND(V687&gt;=20,V687&lt;40,W687&gt;=45,W687&lt;95),0.23,0)+IF(AND(V687&gt;=20,V687&lt;40,W687&gt;=95,W687&lt;=250),0.17,0)+IF(AND(V687&gt;=20,V687&lt;40,W687&gt;=250),0.12,0)+IF(AND(V687&gt;=40,V687&lt;75,W687&lt;35),0.3,0)+IF(AND(V687&gt;=40,V687&lt;75,W687&gt;=35,W687&lt;75),0.23,0)+IF(AND(V687&gt;=40,V687&lt;75,W687&gt;=75,W687&lt;120),0.17,0)+IF(AND(V687&gt;=40,V687&lt;75,W687&gt;=120),0.12,0)+IF(AND(V687&gt;=75,V687&lt;175,W687&lt;35),0.3,0)+IF(AND(V687&gt;=75,V687&lt;=175,W687&gt;=35,W687&lt;65),0.23,0)+IF(AND(V687&gt;=75,V687&lt;=175,W687&gt;=65,W687&lt;110),0.17,0)+IF(AND(V687&gt;=75,V687&lt;=175,W687&gt;=110),0.12,0)+IF(AND(V687&gt;175,W687&lt;25),0.3,0)+IF(AND(V687&gt;175,W687&gt;=25,W687&lt;55),0.23,0)+IF(AND(V687&gt;175,W687&gt;=55,W687&lt;95),0.17,0)+IF(AND(V687&gt;175,W687&gt;=95),0.12,0),
IF(AF687="DoEVni",IF(AND(V687&lt;20,W687&lt;55),0.3,0)+IF(AND(V687&lt;20,W687&gt;=55,W687&lt;105),0.23,0)+IF(AND(V687&lt;20,W687&gt;=105),0.17,0)+IF(AND(V687&gt;=20,V687&lt;40,W687&lt;45),0.3,0)+IF(AND(V687&gt;=20,V687&lt;40,W687&gt;=45,W687&lt;95),0.23,0)+IF(AND(V687&gt;=20,V687&lt;40,W687&gt;=95,W687&lt;=200),0.17,0)+IF(AND(V687&gt;=20,V687&lt;40,W687&gt;=200),0.12,0)+IF(AND(V687&gt;=40,V687&lt;75,W687&lt;35),0.3,0)+IF(AND(V687&gt;=40,V687&lt;75,W687&gt;=35,W687&lt;75),0.23,0)+IF(AND(V687&gt;=40,V687&lt;75,W687&gt;=75,W687&lt;120),0.17,0)+IF(AND(V687&gt;=40,V687&lt;75,W687&gt;=120),0.12,0)+IF(AND(V687&gt;=75,V687&lt;175,W687&lt;35),0.3,0)+IF(AND(V687&gt;=75,V687&lt;=175,W687&gt;=35,W687&lt;65),0.23,0)+IF(AND(V687&gt;=75,V687&lt;=175,W687&gt;=65,W687&lt;110),0.17,0)+IF(AND(V687&gt;=75,V687&lt;=175,W687&gt;=110),0.12,0)+IF(AND(V687&gt;175,W687&lt;25),0.3,0)+IF(AND(V687&gt;175,W687&gt;=25,W687&lt;55),0.23,0)+IF(AND(V687&gt;175,W687&gt;=55,W687&lt;95),0.17,0)+IF(AND(V687&gt;175,W687&gt;=95),0.12,0),
IF(AF687="DoEVLo",IF(AND(V687&lt;20,W687&lt;55),0.25,0)+IF(AND(V687&lt;20,W687&gt;=55,W687&lt;105),0.2,0)+IF(AND(V687&lt;20,W687&gt;=105),0.15,0)+IF(AND(V687&gt;=20,V687&lt;40,W687&lt;45),0.25,0)+IF(AND(V687&gt;=20,V687&lt;40,W687&gt;=45,W687&lt;95),0.2,0)+IF(AND(V687&gt;=20,V687&lt;40,W687&gt;=95),0.15,0)+IF(AND(V687&gt;=40,V687&lt;75,W687&lt;35),0.25,0)+IF(AND(V687&gt;=40,V687&lt;75,W687&gt;=35,W687&lt;75),0.2,0)+IF(AND(V687&gt;=40,V687&lt;75,W687&gt;=75,W687&lt;120),0.15,0)+IF(AND(V687&gt;=40,V687&lt;75,W687&gt;=120),0.1,0)+IF(AND(V687&gt;=75,V687&lt;175,W687&lt;35),0.25,0)+IF(AND(V687&gt;=75,V687&lt;=175,W687&gt;=35,W687&lt;65),0.2,0)+IF(AND(V687&gt;=75,V687&lt;=175,W687&gt;=65,W687&lt;110),0.15,0)+IF(AND(V687&gt;=75,V687&lt;=175,W687&gt;=110),0.1,0)+IF(AND(V687&gt;175,W687&lt;25),0.25,0)+IF(AND(V687&gt;175,W687&gt;=25,W687&lt;55),0.2,0)+IF(AND(V687&gt;175,W687&gt;=55,W687&lt;95),0.15,0)+IF(AND(V687&gt;175,W687&gt;=95),0.1,0))))))))))))))))))</f>
        <v>0.19</v>
      </c>
      <c r="Y687" s="30">
        <f>IF(AG687="None",0,IF(AG687="Fix5",0.05, IF(AG687="Fix6.25",0.0625,IF(AG687="Fix3.75",0.0375,IF(AG687="Fix10",0.1,IF(AG687="Fix3",0.03,0))))))</f>
        <v>0</v>
      </c>
      <c r="Z687" s="35">
        <f>T687-AA687-AB687</f>
        <v>-4247.6400000000003</v>
      </c>
      <c r="AA687" s="29">
        <f>IF(AD687="EUR",((T687-R687)*X687)*U687+(R687*X687),(T687*X687))</f>
        <v>-996.36</v>
      </c>
      <c r="AB687" s="36">
        <f>IF(AD687="EUR",((T687-R687)*Y687)*U687+(R687*Y687),(T687*Y687))</f>
        <v>0</v>
      </c>
      <c r="AC687" s="37" t="b">
        <v>1</v>
      </c>
      <c r="AD687" s="37" t="s">
        <v>38</v>
      </c>
      <c r="AE687" s="37" t="s">
        <v>38</v>
      </c>
      <c r="AF687" s="37" t="str">
        <f t="array" ref="AF687">INDEX('Deal Info'!D:D, MATCH(A687,'Deal Info'!A:A, 0))</f>
        <v>Fix19</v>
      </c>
      <c r="AG687" s="38" t="str">
        <f t="array" ref="AG687">INDEX('Deal Info'!G:G, MATCH(A687,'Deal Info'!A:A, 0))</f>
        <v>None</v>
      </c>
    </row>
    <row r="688" spans="1:33" ht="14.25" hidden="1" x14ac:dyDescent="0.2">
      <c r="A688" s="18" t="str">
        <f t="array" ref="A688">IF(G688='Room Info'!$B$1, INDEX('Room Info'!$A$2:$A2446, MATCH(B688,'Room Info'!$B$2:$B2446, 0)),IF(G688='Room Info'!$C$1, INDEX('Room Info'!$A$2:$A2446, MATCH(B688,'Room Info'!$C$2:$C2446, 0)),IF(G688='Room Info'!$D$1, INDEX('Room Info'!$A$2:$A2446, MATCH(B688,'Room Info'!$D$2:$D2446, 0)),IF(G688='Room Info'!$E$1, INDEX('Room Info'!$A$2:$A2446, MATCH(B688,'Room Info'!$E$2:$E2446, 0)),IF(G688='Room Info'!$F$1, INDEX('Room Info'!$A$2:$A2446, MATCH(B688,'Room Info'!$F$2:$F2446, 0)),IF(G688='Room Info'!$H$1, INDEX('Room Info'!$A$2:$A2446, MATCH(B688,'Room Info'!$H$2:$H2446, 0)),IF(G688='Room Info'!$G$1, INDEX('Room Info'!$A$2:$A2446, MATCH(B688,'Room Info'!$G$2:$G2446, 0)))))))))</f>
        <v>dimasik</v>
      </c>
      <c r="B688" s="54" t="s">
        <v>162</v>
      </c>
      <c r="C688" s="46">
        <v>44733</v>
      </c>
      <c r="D688" s="46">
        <v>44762</v>
      </c>
      <c r="E688" s="47">
        <v>44743</v>
      </c>
      <c r="F688" s="45" t="s">
        <v>41</v>
      </c>
      <c r="G688" s="54" t="s">
        <v>35</v>
      </c>
      <c r="H688" s="49" t="s">
        <v>149</v>
      </c>
      <c r="I688" s="49" t="s">
        <v>44</v>
      </c>
      <c r="J688" s="50">
        <v>500</v>
      </c>
      <c r="K688" s="51">
        <v>15</v>
      </c>
      <c r="L688" s="52">
        <v>5000</v>
      </c>
      <c r="M688" s="53">
        <v>213</v>
      </c>
      <c r="N688" s="28">
        <f>K688*J688</f>
        <v>7500</v>
      </c>
      <c r="O688" s="54">
        <v>-925</v>
      </c>
      <c r="P688" s="29">
        <v>-61.666666669999998</v>
      </c>
      <c r="Q688" s="55"/>
      <c r="R688" s="31">
        <f>M688+Q688</f>
        <v>213</v>
      </c>
      <c r="S688" s="66"/>
      <c r="T688" s="32">
        <f>R688+S688+IF(F688="Without EV deal",L688,0)</f>
        <v>5213</v>
      </c>
      <c r="U688" s="57">
        <v>1</v>
      </c>
      <c r="V688" s="58"/>
      <c r="W688" s="58"/>
      <c r="X688" s="30">
        <f>IF(AF688="DoEV",IF(AND(V688&lt;20,W688&lt;55),0.3,0)+IF(AND(V688&lt;20,W688&gt;=55,W688&lt;105),0.23,0)+IF(AND(V688&lt;20,W688&gt;=105),0.17,0)+IF(AND(V688&gt;=20,V688&lt;40,W688&lt;45),0.3,0)+IF(AND(V688&gt;=20,V688&lt;40,W688&gt;=45,W688&lt;95),0.23,0)+IF(AND(V688&gt;=20,V688&lt;40,W688&gt;=95),0.17,0)+IF(AND(V688&gt;=40,V688&lt;75,W688&lt;35),0.3,0)+IF(AND(V688&gt;=40,V688&lt;75,W688&gt;=35,W688&lt;75),0.23,0)+IF(AND(V688&gt;=40,V688&lt;75,W688&gt;=75,W688&lt;120),0.17,0)+IF(AND(V688&gt;=40,V688&lt;75,W688&gt;=120),0.12,0)+IF(AND(V688&gt;=75,V688&lt;175,W688&lt;35),0.3,0)+IF(AND(V688&gt;=75,V688&lt;=175,W688&gt;=35,W688&lt;65),0.23,0)+IF(AND(V688&gt;=75,V688&lt;=175,W688&gt;=65,W688&lt;110),0.17,0)+IF(AND(V688&gt;=75,V688&lt;=175,W688&gt;=110),0.12,0)+IF(AND(V688&gt;175,W688&lt;25),0.3,0)+IF(AND(V688&gt;175,W688&gt;=25,W688&lt;55),0.23,0)+IF(AND(V688&gt;175,W688&gt;=55,W688&lt;95),0.17,0)+IF(AND(V688&gt;175,W688&gt;=95),0.12,0),
IF(AF688="Fix15",0.15,
IF(AF688="Fix18.75",0.1875,
IF(AF688="Fix11.25",0.1125,
IF(AF688="Fix10",0.1,
IF(AF688="Fix9",0.09,
IF(AF688="Fix19",0.19,
IF(AF688="DoEV2017",IF(AND(W688&lt;74),0.2,0)+IF(AND(W688&gt;=74),0.17,0),
IF(AF688="SF",IF(AND(V688&lt;20,W688&lt;89),0.3,0)+IF(AND(V688&lt;20,W688&gt;=89),0.25,0)+IF(AND(V688&gt;=20,V688&lt;40,W688&lt;74),0.3,0)+IF(AND(V688&gt;=20,V688&lt;40,W688&gt;=75),0.22,0)+IF(AND(V688&gt;=40,V688&lt;75,W688&lt;75),0.26,0)+IF(AND(V688&gt;=40,V688&lt;75,W688&gt;=75),0.22,0)+IF(V688&gt;=75,0.22,0),
IF(AF688="DoEVold",IF(AND(V688&lt;40,W688&lt;35),0.35,0)+IF(AND(V688&lt;40,W688&gt;=35,W688&lt;75),0.25,0)+IF(AND(V688&lt;40,W688&gt;=75),0.17,0)+IF(AND(V688&gt;=40,V688&lt;75,W688&lt;25),0.35,0)+IF(AND(V688&gt;=40,V688&lt;75,W688&gt;=25,W688&lt;65),0.25,0)+IF(AND(V688&gt;=40,V688&lt;75,W688&gt;=65,W688&lt;100),0.17,0)+IF(AND(V688&gt;=40,V688&lt;75,W688&gt;=100),0.1,0)+IF(AND(V688&gt;=75,W688&lt;25),0.35,0)+IF(AND(V688&gt;=75,W688&gt;=25,W688&lt;60),0.25,0)+IF(AND(V688&gt;=75,W688&gt;=60,W688&lt;95),0.17,0)+IF(AND(V688&gt;=75,W688&gt;=95),0.1,0),
IF(AF688="DoEVold15",IF(AND(V688&lt;=40,W688&lt;35),0.35,0)+IF(AND(V688&lt;=40,W688&gt;=35,W688&lt;75),0.25,0)+IF(AND(V688&lt;=40,W688&gt;=75,W688&lt;120),0.17,0)+IF(AND(V688&lt;=40,W688&gt;=120),0.15,0)+IF(AND(V688&gt;40,V688&lt;75,W688&lt;25),0.35,0)+IF(AND(V688&gt;=40,V688&lt;75,W688&gt;=25,W688&lt;65),0.25,0)+IF(AND(V688&gt;=40,V688&lt;75,W688&gt;=65,W688&lt;100),0.17,0)+IF(AND(V688&gt;=40,V688&lt;75,W688&gt;=100),0.1,0)+IF(AND(V688&gt;=75,W688&lt;25),0.35,0)+IF(AND(V688&gt;=75,W688&gt;=25,W688&lt;60),0.25,0)+IF(AND(V688&gt;=75,W688&gt;=60,W688&lt;95),0.17,0)+IF(AND(V688&gt;=75,W688&gt;=95),0.1,0),
IF(AF688="DoEVba",IF(AND(V688&lt;20,W688&lt;105),0.2,0)+IF(AND(V688&lt;20,W688&gt;=105),0.15,0)+IF(AND(V688&gt;=20,V688&lt;40,W688&lt;95),0.2,0)+IF(AND(V688&gt;=20,V688&lt;40,W688&gt;=95,W688&lt;150),0.15,0)+IF(AND(V688&gt;=20,V688&lt;40,W688&gt;=150),0.12,0)+IF(AND(V688&gt;=40,V688&lt;75,W688&lt;75),0.2,0)+IF(AND(V688&gt;=40,V688&lt;75,W688&gt;=75,W688&lt;120),0.15,0)+IF(AND(V688&gt;=40,V688&lt;75,W688&gt;=120),0.12,0)+IF(AND(V688&gt;=75,V688&lt;175,W688&lt;65),0.2,0)+IF(AND(V688&gt;=75,V688&lt;175,W688&gt;=65,W688&lt;110),0.15,0)+IF(AND(V688&gt;=75,V688&lt;175,W688&gt;=110),0.12,0)+IF(AND(V688&gt;=175,W688&lt;55),0.2,0)+IF(AND(V688&gt;=175,W688&gt;=55,W688&lt;95),0.15,0)+IF(AND(V688&gt;=175,W688&gt;=95),0.12,0),
IF(AF688="DoEVku",IF(AND(V688&lt;20,W688&lt;55),0.23,0)+IF(AND(V688&lt;20,W688&gt;=55,W688&lt;105),0.2,0)+IF(AND(V688&lt;20,W688&gt;=105),0.17,0)+IF(AND(V688&gt;=20,V688&lt;40,W688&lt;45),0.23,0)+IF(AND(V688&gt;=20,V688&lt;40,W688&gt;=45,W688&lt;95),0.2,0)+IF(AND(V688&gt;=20,V688&lt;40,W688&gt;=95,W688&lt;=150),0.17,0)+IF(AND(V688&gt;=20,V688&lt;40,W688&gt;=150),0.12,0)+IF(AND(V688&gt;=40,V688&lt;75,W688&lt;35),0.23,0)+IF(AND(V688&gt;=40,V688&lt;75,W688&gt;=35,W688&lt;75),0.2,0)+IF(AND(V688&gt;=40,V688&lt;75,W688&gt;=75,W688&lt;120),0.17,0)+IF(AND(V688&gt;=40,V688&lt;75,W688&gt;=120),0.12,0)+IF(AND(V688&gt;=75,V688&lt;175,W688&lt;35),0.23,0)+IF(AND(V688&gt;=75,V688&lt;=175,W688&gt;=35,W688&lt;65),0.2,0)+IF(AND(V688&gt;=75,V688&lt;=175,W688&gt;=65,W688&lt;110),0.17,0)+IF(AND(V688&gt;=75,V688&lt;=175,W688&gt;=110),0.12,0)+IF(AND(V688&gt;175,W688&lt;25),0.23,0)+IF(AND(V688&gt;175,W688&gt;=25,W688&lt;55),0.2,0)+IF(AND(V688&gt;175,W688&gt;=55,W688&lt;95),0.17,0)+IF(AND(V688&gt;175,W688&gt;=95),0.12,0),
IF(AF688="DoEVs1",IF(AND(V688&lt;20,W688&lt;55),0.3,0)+IF(AND(V688&lt;20,W688&gt;=55,W688&lt;105),0.23,0)+IF(AND(V688&lt;20,W688&gt;=105),0.17,0)+IF(AND(V688&gt;=20,V688&lt;40,W688&lt;45),0.3,0)+IF(AND(V688&gt;=20,V688&lt;40,W688&gt;=45,W688&lt;95),0.23,0)+IF(AND(V688&gt;=20,V688&lt;40,W688&gt;=95,W688&lt;=150),0.17,0)+IF(AND(V688&gt;=20,V688&lt;40,W688&gt;=150),0.12,0)+IF(AND(V688&gt;=40,V688&lt;75,W688&lt;35),0.3,0)+IF(AND(V688&gt;=40,V688&lt;75,W688&gt;=35,W688&lt;75),0.23,0)+IF(AND(V688&gt;=40,V688&lt;75,W688&gt;=75,W688&lt;120),0.17,0)+IF(AND(V688&gt;=40,V688&lt;75,W688&gt;=120),0.12,0)+IF(AND(V688&gt;=75,V688&lt;175,W688&lt;35),0.3,0)+IF(AND(V688&gt;=75,V688&lt;=175,W688&gt;=35,W688&lt;65),0.23,0)+IF(AND(V688&gt;=75,V688&lt;=175,W688&gt;=65,W688&lt;110),0.17,0)+IF(AND(V688&gt;=75,V688&lt;=175,W688&gt;=110),0.12,0)+IF(AND(V688&gt;175,W688&lt;25),0.3,0)+IF(AND(V688&gt;175,W688&gt;=25,W688&lt;55),0.23,0)+IF(AND(V688&gt;175,W688&gt;=55,W688&lt;95),0.17,0)+IF(AND(V688&gt;175,W688&gt;=95),0.12,0),
IF(AF688="DoEVsu",IF(AND(V688&lt;20,W688&lt;55),0.3,0)+IF(AND(V688&lt;20,W688&gt;=55,W688&lt;105),0.23,0)+IF(AND(V688&lt;20,W688&gt;=105),0.17,0)+IF(AND(V688&gt;=20,V688&lt;40,W688&lt;45),0.3,0)+IF(AND(V688&gt;=20,V688&lt;40,W688&gt;=45,W688&lt;95),0.23,0)+IF(AND(V688&gt;=20,V688&lt;40,W688&gt;=95,W688&lt;=250),0.17,0)+IF(AND(V688&gt;=20,V688&lt;40,W688&gt;=250),0.12,0)+IF(AND(V688&gt;=40,V688&lt;75,W688&lt;35),0.3,0)+IF(AND(V688&gt;=40,V688&lt;75,W688&gt;=35,W688&lt;75),0.23,0)+IF(AND(V688&gt;=40,V688&lt;75,W688&gt;=75,W688&lt;120),0.17,0)+IF(AND(V688&gt;=40,V688&lt;75,W688&gt;=120),0.12,0)+IF(AND(V688&gt;=75,V688&lt;175,W688&lt;35),0.3,0)+IF(AND(V688&gt;=75,V688&lt;=175,W688&gt;=35,W688&lt;65),0.23,0)+IF(AND(V688&gt;=75,V688&lt;=175,W688&gt;=65,W688&lt;110),0.17,0)+IF(AND(V688&gt;=75,V688&lt;=175,W688&gt;=110),0.12,0)+IF(AND(V688&gt;175,W688&lt;25),0.3,0)+IF(AND(V688&gt;175,W688&gt;=25,W688&lt;55),0.23,0)+IF(AND(V688&gt;175,W688&gt;=55,W688&lt;95),0.17,0)+IF(AND(V688&gt;175,W688&gt;=95),0.12,0),
IF(AF688="DoEVni",IF(AND(V688&lt;20,W688&lt;55),0.3,0)+IF(AND(V688&lt;20,W688&gt;=55,W688&lt;105),0.23,0)+IF(AND(V688&lt;20,W688&gt;=105),0.17,0)+IF(AND(V688&gt;=20,V688&lt;40,W688&lt;45),0.3,0)+IF(AND(V688&gt;=20,V688&lt;40,W688&gt;=45,W688&lt;95),0.23,0)+IF(AND(V688&gt;=20,V688&lt;40,W688&gt;=95,W688&lt;=200),0.17,0)+IF(AND(V688&gt;=20,V688&lt;40,W688&gt;=200),0.12,0)+IF(AND(V688&gt;=40,V688&lt;75,W688&lt;35),0.3,0)+IF(AND(V688&gt;=40,V688&lt;75,W688&gt;=35,W688&lt;75),0.23,0)+IF(AND(V688&gt;=40,V688&lt;75,W688&gt;=75,W688&lt;120),0.17,0)+IF(AND(V688&gt;=40,V688&lt;75,W688&gt;=120),0.12,0)+IF(AND(V688&gt;=75,V688&lt;175,W688&lt;35),0.3,0)+IF(AND(V688&gt;=75,V688&lt;=175,W688&gt;=35,W688&lt;65),0.23,0)+IF(AND(V688&gt;=75,V688&lt;=175,W688&gt;=65,W688&lt;110),0.17,0)+IF(AND(V688&gt;=75,V688&lt;=175,W688&gt;=110),0.12,0)+IF(AND(V688&gt;175,W688&lt;25),0.3,0)+IF(AND(V688&gt;175,W688&gt;=25,W688&lt;55),0.23,0)+IF(AND(V688&gt;175,W688&gt;=55,W688&lt;95),0.17,0)+IF(AND(V688&gt;175,W688&gt;=95),0.12,0),
IF(AF688="DoEVLo",IF(AND(V688&lt;20,W688&lt;55),0.25,0)+IF(AND(V688&lt;20,W688&gt;=55,W688&lt;105),0.2,0)+IF(AND(V688&lt;20,W688&gt;=105),0.15,0)+IF(AND(V688&gt;=20,V688&lt;40,W688&lt;45),0.25,0)+IF(AND(V688&gt;=20,V688&lt;40,W688&gt;=45,W688&lt;95),0.2,0)+IF(AND(V688&gt;=20,V688&lt;40,W688&gt;=95),0.15,0)+IF(AND(V688&gt;=40,V688&lt;75,W688&lt;35),0.25,0)+IF(AND(V688&gt;=40,V688&lt;75,W688&gt;=35,W688&lt;75),0.2,0)+IF(AND(V688&gt;=40,V688&lt;75,W688&gt;=75,W688&lt;120),0.15,0)+IF(AND(V688&gt;=40,V688&lt;75,W688&gt;=120),0.1,0)+IF(AND(V688&gt;=75,V688&lt;175,W688&lt;35),0.25,0)+IF(AND(V688&gt;=75,V688&lt;=175,W688&gt;=35,W688&lt;65),0.2,0)+IF(AND(V688&gt;=75,V688&lt;=175,W688&gt;=65,W688&lt;110),0.15,0)+IF(AND(V688&gt;=75,V688&lt;=175,W688&gt;=110),0.1,0)+IF(AND(V688&gt;175,W688&lt;25),0.25,0)+IF(AND(V688&gt;175,W688&gt;=25,W688&lt;55),0.2,0)+IF(AND(V688&gt;175,W688&gt;=55,W688&lt;95),0.15,0)+IF(AND(V688&gt;175,W688&gt;=95),0.1,0))))))))))))))))))</f>
        <v>0.19</v>
      </c>
      <c r="Y688" s="30">
        <f>IF(AG688="None",0,IF(AG688="Fix5",0.05, IF(AG688="Fix6.25",0.0625,IF(AG688="Fix3.75",0.0375,IF(AG688="Fix10",0.1,IF(AG688="Fix3",0.03,0))))))</f>
        <v>0</v>
      </c>
      <c r="Z688" s="35">
        <f>T688-AA688-AB688</f>
        <v>4222.53</v>
      </c>
      <c r="AA688" s="29">
        <f>IF(AD688="EUR",((T688-R688)*X688)*U688+(R688*X688),(T688*X688))</f>
        <v>990.47</v>
      </c>
      <c r="AB688" s="36">
        <f>IF(AD688="EUR",((T688-R688)*Y688)*U688+(R688*Y688),(T688*Y688))</f>
        <v>0</v>
      </c>
      <c r="AC688" s="37" t="b">
        <v>1</v>
      </c>
      <c r="AD688" s="37" t="s">
        <v>38</v>
      </c>
      <c r="AE688" s="37" t="s">
        <v>38</v>
      </c>
      <c r="AF688" s="37" t="str">
        <f t="array" ref="AF688">INDEX('Deal Info'!D:D, MATCH(A688,'Deal Info'!A:A, 0))</f>
        <v>Fix19</v>
      </c>
      <c r="AG688" s="38" t="str">
        <f t="array" ref="AG688">INDEX('Deal Info'!G:G, MATCH(A688,'Deal Info'!A:A, 0))</f>
        <v>None</v>
      </c>
    </row>
    <row r="689" spans="1:33" ht="14.25" hidden="1" x14ac:dyDescent="0.2">
      <c r="A689" s="18" t="str">
        <f t="array" ref="A689">IF(G689='Room Info'!$B$1, INDEX('Room Info'!$A$2:$A2446, MATCH(B689,'Room Info'!$B$2:$B2446, 0)),IF(G689='Room Info'!$C$1, INDEX('Room Info'!$A$2:$A2446, MATCH(B689,'Room Info'!$C$2:$C2446, 0)),IF(G689='Room Info'!$D$1, INDEX('Room Info'!$A$2:$A2446, MATCH(B689,'Room Info'!$D$2:$D2446, 0)),IF(G689='Room Info'!$E$1, INDEX('Room Info'!$A$2:$A2446, MATCH(B689,'Room Info'!$E$2:$E2446, 0)),IF(G689='Room Info'!$F$1, INDEX('Room Info'!$A$2:$A2446, MATCH(B689,'Room Info'!$F$2:$F2446, 0)),IF(G689='Room Info'!$H$1, INDEX('Room Info'!$A$2:$A2446, MATCH(B689,'Room Info'!$H$2:$H2446, 0)),IF(G689='Room Info'!$G$1, INDEX('Room Info'!$A$2:$A2446, MATCH(B689,'Room Info'!$G$2:$G2446, 0)))))))))</f>
        <v>dimasik</v>
      </c>
      <c r="B689" s="54" t="s">
        <v>162</v>
      </c>
      <c r="C689" s="46">
        <v>44805</v>
      </c>
      <c r="D689" s="46">
        <v>44834</v>
      </c>
      <c r="E689" s="47">
        <v>44805</v>
      </c>
      <c r="F689" s="45" t="s">
        <v>41</v>
      </c>
      <c r="G689" s="54" t="s">
        <v>35</v>
      </c>
      <c r="H689" s="49" t="s">
        <v>70</v>
      </c>
      <c r="I689" s="49" t="s">
        <v>37</v>
      </c>
      <c r="J689" s="50">
        <v>100</v>
      </c>
      <c r="K689" s="51">
        <v>652</v>
      </c>
      <c r="L689" s="52">
        <v>200</v>
      </c>
      <c r="M689" s="53">
        <v>2842</v>
      </c>
      <c r="N689" s="28">
        <f>K689*J689</f>
        <v>65200</v>
      </c>
      <c r="O689" s="54">
        <v>24403</v>
      </c>
      <c r="P689" s="29">
        <v>37.427914110000003</v>
      </c>
      <c r="Q689" s="55"/>
      <c r="R689" s="31">
        <f>M689+Q689</f>
        <v>2842</v>
      </c>
      <c r="S689" s="66"/>
      <c r="T689" s="32">
        <f>R689+S689+IF(F689="Without EV deal",L689,0)</f>
        <v>3042</v>
      </c>
      <c r="U689" s="57">
        <v>1</v>
      </c>
      <c r="V689" s="58"/>
      <c r="W689" s="58"/>
      <c r="X689" s="30">
        <f>IF(AF689="DoEV",IF(AND(V689&lt;20,W689&lt;55),0.3,0)+IF(AND(V689&lt;20,W689&gt;=55,W689&lt;105),0.23,0)+IF(AND(V689&lt;20,W689&gt;=105),0.17,0)+IF(AND(V689&gt;=20,V689&lt;40,W689&lt;45),0.3,0)+IF(AND(V689&gt;=20,V689&lt;40,W689&gt;=45,W689&lt;95),0.23,0)+IF(AND(V689&gt;=20,V689&lt;40,W689&gt;=95),0.17,0)+IF(AND(V689&gt;=40,V689&lt;75,W689&lt;35),0.3,0)+IF(AND(V689&gt;=40,V689&lt;75,W689&gt;=35,W689&lt;75),0.23,0)+IF(AND(V689&gt;=40,V689&lt;75,W689&gt;=75,W689&lt;120),0.17,0)+IF(AND(V689&gt;=40,V689&lt;75,W689&gt;=120),0.12,0)+IF(AND(V689&gt;=75,V689&lt;175,W689&lt;35),0.3,0)+IF(AND(V689&gt;=75,V689&lt;=175,W689&gt;=35,W689&lt;65),0.23,0)+IF(AND(V689&gt;=75,V689&lt;=175,W689&gt;=65,W689&lt;110),0.17,0)+IF(AND(V689&gt;=75,V689&lt;=175,W689&gt;=110),0.12,0)+IF(AND(V689&gt;175,W689&lt;25),0.3,0)+IF(AND(V689&gt;175,W689&gt;=25,W689&lt;55),0.23,0)+IF(AND(V689&gt;175,W689&gt;=55,W689&lt;95),0.17,0)+IF(AND(V689&gt;175,W689&gt;=95),0.12,0),
IF(AF689="Fix15",0.15,
IF(AF689="Fix18.75",0.1875,
IF(AF689="Fix11.25",0.1125,
IF(AF689="Fix10",0.1,
IF(AF689="Fix9",0.09,
IF(AF689="Fix19",0.19,
IF(AF689="DoEV2017",IF(AND(W689&lt;74),0.2,0)+IF(AND(W689&gt;=74),0.17,0),
IF(AF689="SF",IF(AND(V689&lt;20,W689&lt;89),0.3,0)+IF(AND(V689&lt;20,W689&gt;=89),0.25,0)+IF(AND(V689&gt;=20,V689&lt;40,W689&lt;74),0.3,0)+IF(AND(V689&gt;=20,V689&lt;40,W689&gt;=75),0.22,0)+IF(AND(V689&gt;=40,V689&lt;75,W689&lt;75),0.26,0)+IF(AND(V689&gt;=40,V689&lt;75,W689&gt;=75),0.22,0)+IF(V689&gt;=75,0.22,0),
IF(AF689="DoEVold",IF(AND(V689&lt;40,W689&lt;35),0.35,0)+IF(AND(V689&lt;40,W689&gt;=35,W689&lt;75),0.25,0)+IF(AND(V689&lt;40,W689&gt;=75),0.17,0)+IF(AND(V689&gt;=40,V689&lt;75,W689&lt;25),0.35,0)+IF(AND(V689&gt;=40,V689&lt;75,W689&gt;=25,W689&lt;65),0.25,0)+IF(AND(V689&gt;=40,V689&lt;75,W689&gt;=65,W689&lt;100),0.17,0)+IF(AND(V689&gt;=40,V689&lt;75,W689&gt;=100),0.1,0)+IF(AND(V689&gt;=75,W689&lt;25),0.35,0)+IF(AND(V689&gt;=75,W689&gt;=25,W689&lt;60),0.25,0)+IF(AND(V689&gt;=75,W689&gt;=60,W689&lt;95),0.17,0)+IF(AND(V689&gt;=75,W689&gt;=95),0.1,0),
IF(AF689="DoEVold15",IF(AND(V689&lt;=40,W689&lt;35),0.35,0)+IF(AND(V689&lt;=40,W689&gt;=35,W689&lt;75),0.25,0)+IF(AND(V689&lt;=40,W689&gt;=75,W689&lt;120),0.17,0)+IF(AND(V689&lt;=40,W689&gt;=120),0.15,0)+IF(AND(V689&gt;40,V689&lt;75,W689&lt;25),0.35,0)+IF(AND(V689&gt;=40,V689&lt;75,W689&gt;=25,W689&lt;65),0.25,0)+IF(AND(V689&gt;=40,V689&lt;75,W689&gt;=65,W689&lt;100),0.17,0)+IF(AND(V689&gt;=40,V689&lt;75,W689&gt;=100),0.1,0)+IF(AND(V689&gt;=75,W689&lt;25),0.35,0)+IF(AND(V689&gt;=75,W689&gt;=25,W689&lt;60),0.25,0)+IF(AND(V689&gt;=75,W689&gt;=60,W689&lt;95),0.17,0)+IF(AND(V689&gt;=75,W689&gt;=95),0.1,0),
IF(AF689="DoEVba",IF(AND(V689&lt;20,W689&lt;105),0.2,0)+IF(AND(V689&lt;20,W689&gt;=105),0.15,0)+IF(AND(V689&gt;=20,V689&lt;40,W689&lt;95),0.2,0)+IF(AND(V689&gt;=20,V689&lt;40,W689&gt;=95,W689&lt;150),0.15,0)+IF(AND(V689&gt;=20,V689&lt;40,W689&gt;=150),0.12,0)+IF(AND(V689&gt;=40,V689&lt;75,W689&lt;75),0.2,0)+IF(AND(V689&gt;=40,V689&lt;75,W689&gt;=75,W689&lt;120),0.15,0)+IF(AND(V689&gt;=40,V689&lt;75,W689&gt;=120),0.12,0)+IF(AND(V689&gt;=75,V689&lt;175,W689&lt;65),0.2,0)+IF(AND(V689&gt;=75,V689&lt;175,W689&gt;=65,W689&lt;110),0.15,0)+IF(AND(V689&gt;=75,V689&lt;175,W689&gt;=110),0.12,0)+IF(AND(V689&gt;=175,W689&lt;55),0.2,0)+IF(AND(V689&gt;=175,W689&gt;=55,W689&lt;95),0.15,0)+IF(AND(V689&gt;=175,W689&gt;=95),0.12,0),
IF(AF689="DoEVku",IF(AND(V689&lt;20,W689&lt;55),0.23,0)+IF(AND(V689&lt;20,W689&gt;=55,W689&lt;105),0.2,0)+IF(AND(V689&lt;20,W689&gt;=105),0.17,0)+IF(AND(V689&gt;=20,V689&lt;40,W689&lt;45),0.23,0)+IF(AND(V689&gt;=20,V689&lt;40,W689&gt;=45,W689&lt;95),0.2,0)+IF(AND(V689&gt;=20,V689&lt;40,W689&gt;=95,W689&lt;=150),0.17,0)+IF(AND(V689&gt;=20,V689&lt;40,W689&gt;=150),0.12,0)+IF(AND(V689&gt;=40,V689&lt;75,W689&lt;35),0.23,0)+IF(AND(V689&gt;=40,V689&lt;75,W689&gt;=35,W689&lt;75),0.2,0)+IF(AND(V689&gt;=40,V689&lt;75,W689&gt;=75,W689&lt;120),0.17,0)+IF(AND(V689&gt;=40,V689&lt;75,W689&gt;=120),0.12,0)+IF(AND(V689&gt;=75,V689&lt;175,W689&lt;35),0.23,0)+IF(AND(V689&gt;=75,V689&lt;=175,W689&gt;=35,W689&lt;65),0.2,0)+IF(AND(V689&gt;=75,V689&lt;=175,W689&gt;=65,W689&lt;110),0.17,0)+IF(AND(V689&gt;=75,V689&lt;=175,W689&gt;=110),0.12,0)+IF(AND(V689&gt;175,W689&lt;25),0.23,0)+IF(AND(V689&gt;175,W689&gt;=25,W689&lt;55),0.2,0)+IF(AND(V689&gt;175,W689&gt;=55,W689&lt;95),0.17,0)+IF(AND(V689&gt;175,W689&gt;=95),0.12,0),
IF(AF689="DoEVs1",IF(AND(V689&lt;20,W689&lt;55),0.3,0)+IF(AND(V689&lt;20,W689&gt;=55,W689&lt;105),0.23,0)+IF(AND(V689&lt;20,W689&gt;=105),0.17,0)+IF(AND(V689&gt;=20,V689&lt;40,W689&lt;45),0.3,0)+IF(AND(V689&gt;=20,V689&lt;40,W689&gt;=45,W689&lt;95),0.23,0)+IF(AND(V689&gt;=20,V689&lt;40,W689&gt;=95,W689&lt;=150),0.17,0)+IF(AND(V689&gt;=20,V689&lt;40,W689&gt;=150),0.12,0)+IF(AND(V689&gt;=40,V689&lt;75,W689&lt;35),0.3,0)+IF(AND(V689&gt;=40,V689&lt;75,W689&gt;=35,W689&lt;75),0.23,0)+IF(AND(V689&gt;=40,V689&lt;75,W689&gt;=75,W689&lt;120),0.17,0)+IF(AND(V689&gt;=40,V689&lt;75,W689&gt;=120),0.12,0)+IF(AND(V689&gt;=75,V689&lt;175,W689&lt;35),0.3,0)+IF(AND(V689&gt;=75,V689&lt;=175,W689&gt;=35,W689&lt;65),0.23,0)+IF(AND(V689&gt;=75,V689&lt;=175,W689&gt;=65,W689&lt;110),0.17,0)+IF(AND(V689&gt;=75,V689&lt;=175,W689&gt;=110),0.12,0)+IF(AND(V689&gt;175,W689&lt;25),0.3,0)+IF(AND(V689&gt;175,W689&gt;=25,W689&lt;55),0.23,0)+IF(AND(V689&gt;175,W689&gt;=55,W689&lt;95),0.17,0)+IF(AND(V689&gt;175,W689&gt;=95),0.12,0),
IF(AF689="DoEVsu",IF(AND(V689&lt;20,W689&lt;55),0.3,0)+IF(AND(V689&lt;20,W689&gt;=55,W689&lt;105),0.23,0)+IF(AND(V689&lt;20,W689&gt;=105),0.17,0)+IF(AND(V689&gt;=20,V689&lt;40,W689&lt;45),0.3,0)+IF(AND(V689&gt;=20,V689&lt;40,W689&gt;=45,W689&lt;95),0.23,0)+IF(AND(V689&gt;=20,V689&lt;40,W689&gt;=95,W689&lt;=250),0.17,0)+IF(AND(V689&gt;=20,V689&lt;40,W689&gt;=250),0.12,0)+IF(AND(V689&gt;=40,V689&lt;75,W689&lt;35),0.3,0)+IF(AND(V689&gt;=40,V689&lt;75,W689&gt;=35,W689&lt;75),0.23,0)+IF(AND(V689&gt;=40,V689&lt;75,W689&gt;=75,W689&lt;120),0.17,0)+IF(AND(V689&gt;=40,V689&lt;75,W689&gt;=120),0.12,0)+IF(AND(V689&gt;=75,V689&lt;175,W689&lt;35),0.3,0)+IF(AND(V689&gt;=75,V689&lt;=175,W689&gt;=35,W689&lt;65),0.23,0)+IF(AND(V689&gt;=75,V689&lt;=175,W689&gt;=65,W689&lt;110),0.17,0)+IF(AND(V689&gt;=75,V689&lt;=175,W689&gt;=110),0.12,0)+IF(AND(V689&gt;175,W689&lt;25),0.3,0)+IF(AND(V689&gt;175,W689&gt;=25,W689&lt;55),0.23,0)+IF(AND(V689&gt;175,W689&gt;=55,W689&lt;95),0.17,0)+IF(AND(V689&gt;175,W689&gt;=95),0.12,0),
IF(AF689="DoEVni",IF(AND(V689&lt;20,W689&lt;55),0.3,0)+IF(AND(V689&lt;20,W689&gt;=55,W689&lt;105),0.23,0)+IF(AND(V689&lt;20,W689&gt;=105),0.17,0)+IF(AND(V689&gt;=20,V689&lt;40,W689&lt;45),0.3,0)+IF(AND(V689&gt;=20,V689&lt;40,W689&gt;=45,W689&lt;95),0.23,0)+IF(AND(V689&gt;=20,V689&lt;40,W689&gt;=95,W689&lt;=200),0.17,0)+IF(AND(V689&gt;=20,V689&lt;40,W689&gt;=200),0.12,0)+IF(AND(V689&gt;=40,V689&lt;75,W689&lt;35),0.3,0)+IF(AND(V689&gt;=40,V689&lt;75,W689&gt;=35,W689&lt;75),0.23,0)+IF(AND(V689&gt;=40,V689&lt;75,W689&gt;=75,W689&lt;120),0.17,0)+IF(AND(V689&gt;=40,V689&lt;75,W689&gt;=120),0.12,0)+IF(AND(V689&gt;=75,V689&lt;175,W689&lt;35),0.3,0)+IF(AND(V689&gt;=75,V689&lt;=175,W689&gt;=35,W689&lt;65),0.23,0)+IF(AND(V689&gt;=75,V689&lt;=175,W689&gt;=65,W689&lt;110),0.17,0)+IF(AND(V689&gt;=75,V689&lt;=175,W689&gt;=110),0.12,0)+IF(AND(V689&gt;175,W689&lt;25),0.3,0)+IF(AND(V689&gt;175,W689&gt;=25,W689&lt;55),0.23,0)+IF(AND(V689&gt;175,W689&gt;=55,W689&lt;95),0.17,0)+IF(AND(V689&gt;175,W689&gt;=95),0.12,0),
IF(AF689="DoEVLo",IF(AND(V689&lt;20,W689&lt;55),0.25,0)+IF(AND(V689&lt;20,W689&gt;=55,W689&lt;105),0.2,0)+IF(AND(V689&lt;20,W689&gt;=105),0.15,0)+IF(AND(V689&gt;=20,V689&lt;40,W689&lt;45),0.25,0)+IF(AND(V689&gt;=20,V689&lt;40,W689&gt;=45,W689&lt;95),0.2,0)+IF(AND(V689&gt;=20,V689&lt;40,W689&gt;=95),0.15,0)+IF(AND(V689&gt;=40,V689&lt;75,W689&lt;35),0.25,0)+IF(AND(V689&gt;=40,V689&lt;75,W689&gt;=35,W689&lt;75),0.2,0)+IF(AND(V689&gt;=40,V689&lt;75,W689&gt;=75,W689&lt;120),0.15,0)+IF(AND(V689&gt;=40,V689&lt;75,W689&gt;=120),0.1,0)+IF(AND(V689&gt;=75,V689&lt;175,W689&lt;35),0.25,0)+IF(AND(V689&gt;=75,V689&lt;=175,W689&gt;=35,W689&lt;65),0.2,0)+IF(AND(V689&gt;=75,V689&lt;=175,W689&gt;=65,W689&lt;110),0.15,0)+IF(AND(V689&gt;=75,V689&lt;=175,W689&gt;=110),0.1,0)+IF(AND(V689&gt;175,W689&lt;25),0.25,0)+IF(AND(V689&gt;175,W689&gt;=25,W689&lt;55),0.2,0)+IF(AND(V689&gt;175,W689&gt;=55,W689&lt;95),0.15,0)+IF(AND(V689&gt;175,W689&gt;=95),0.1,0))))))))))))))))))</f>
        <v>0.19</v>
      </c>
      <c r="Y689" s="30">
        <f>IF(AG689="None",0,IF(AG689="Fix5",0.05, IF(AG689="Fix6.25",0.0625,IF(AG689="Fix3.75",0.0375,IF(AG689="Fix10",0.1,IF(AG689="Fix3",0.03,0))))))</f>
        <v>0</v>
      </c>
      <c r="Z689" s="35">
        <f>T689-AA689-AB689</f>
        <v>2464.02</v>
      </c>
      <c r="AA689" s="29">
        <f>IF(AD689="EUR",((T689-R689)*X689)*U689+(R689*X689),(T689*X689))</f>
        <v>577.98</v>
      </c>
      <c r="AB689" s="36">
        <f>IF(AD689="EUR",((T689-R689)*Y689)*U689+(R689*Y689),(T689*Y689))</f>
        <v>0</v>
      </c>
      <c r="AC689" s="37" t="b">
        <v>1</v>
      </c>
      <c r="AD689" s="37" t="s">
        <v>38</v>
      </c>
      <c r="AE689" s="37" t="s">
        <v>38</v>
      </c>
      <c r="AF689" s="37" t="str">
        <f t="array" ref="AF689">INDEX('Deal Info'!D:D, MATCH(A689,'Deal Info'!A:A, 0))</f>
        <v>Fix19</v>
      </c>
      <c r="AG689" s="38" t="str">
        <f t="array" ref="AG689">INDEX('Deal Info'!G:G, MATCH(A689,'Deal Info'!A:A, 0))</f>
        <v>None</v>
      </c>
    </row>
    <row r="690" spans="1:33" ht="14.25" hidden="1" x14ac:dyDescent="0.2">
      <c r="A690" s="18" t="str">
        <f t="array" ref="A690">IF(G690='Room Info'!$B$1, INDEX('Room Info'!$A$2:$A2446, MATCH(B690,'Room Info'!$B$2:$B2446, 0)),IF(G690='Room Info'!$C$1, INDEX('Room Info'!$A$2:$A2446, MATCH(B690,'Room Info'!$C$2:$C2446, 0)),IF(G690='Room Info'!$D$1, INDEX('Room Info'!$A$2:$A2446, MATCH(B690,'Room Info'!$D$2:$D2446, 0)),IF(G690='Room Info'!$E$1, INDEX('Room Info'!$A$2:$A2446, MATCH(B690,'Room Info'!$E$2:$E2446, 0)),IF(G690='Room Info'!$F$1, INDEX('Room Info'!$A$2:$A2446, MATCH(B690,'Room Info'!$F$2:$F2446, 0)),IF(G690='Room Info'!$H$1, INDEX('Room Info'!$A$2:$A2446, MATCH(B690,'Room Info'!$H$2:$H2446, 0)),IF(G690='Room Info'!$G$1, INDEX('Room Info'!$A$2:$A2446, MATCH(B690,'Room Info'!$G$2:$G2446, 0)))))))))</f>
        <v>dimasik</v>
      </c>
      <c r="B690" s="54" t="s">
        <v>162</v>
      </c>
      <c r="C690" s="46">
        <v>44805</v>
      </c>
      <c r="D690" s="46">
        <v>44834</v>
      </c>
      <c r="E690" s="47">
        <v>44805</v>
      </c>
      <c r="F690" s="45" t="s">
        <v>41</v>
      </c>
      <c r="G690" s="54" t="s">
        <v>35</v>
      </c>
      <c r="H690" s="49" t="s">
        <v>84</v>
      </c>
      <c r="I690" s="49" t="s">
        <v>44</v>
      </c>
      <c r="J690" s="50">
        <v>100</v>
      </c>
      <c r="K690" s="51">
        <v>778</v>
      </c>
      <c r="L690" s="52">
        <v>-2200</v>
      </c>
      <c r="M690" s="53">
        <v>3391</v>
      </c>
      <c r="N690" s="28">
        <f>K690*J690</f>
        <v>77800</v>
      </c>
      <c r="O690" s="54">
        <v>29119</v>
      </c>
      <c r="P690" s="29">
        <v>37.428020570000001</v>
      </c>
      <c r="Q690" s="55"/>
      <c r="R690" s="31">
        <f>M690+Q690</f>
        <v>3391</v>
      </c>
      <c r="S690" s="66"/>
      <c r="T690" s="32">
        <f>R690+S690+IF(F690="Without EV deal",L690,0)</f>
        <v>1191</v>
      </c>
      <c r="U690" s="57">
        <v>1</v>
      </c>
      <c r="V690" s="58"/>
      <c r="W690" s="58"/>
      <c r="X690" s="30">
        <f>IF(AF690="DoEV",IF(AND(V690&lt;20,W690&lt;55),0.3,0)+IF(AND(V690&lt;20,W690&gt;=55,W690&lt;105),0.23,0)+IF(AND(V690&lt;20,W690&gt;=105),0.17,0)+IF(AND(V690&gt;=20,V690&lt;40,W690&lt;45),0.3,0)+IF(AND(V690&gt;=20,V690&lt;40,W690&gt;=45,W690&lt;95),0.23,0)+IF(AND(V690&gt;=20,V690&lt;40,W690&gt;=95),0.17,0)+IF(AND(V690&gt;=40,V690&lt;75,W690&lt;35),0.3,0)+IF(AND(V690&gt;=40,V690&lt;75,W690&gt;=35,W690&lt;75),0.23,0)+IF(AND(V690&gt;=40,V690&lt;75,W690&gt;=75,W690&lt;120),0.17,0)+IF(AND(V690&gt;=40,V690&lt;75,W690&gt;=120),0.12,0)+IF(AND(V690&gt;=75,V690&lt;175,W690&lt;35),0.3,0)+IF(AND(V690&gt;=75,V690&lt;=175,W690&gt;=35,W690&lt;65),0.23,0)+IF(AND(V690&gt;=75,V690&lt;=175,W690&gt;=65,W690&lt;110),0.17,0)+IF(AND(V690&gt;=75,V690&lt;=175,W690&gt;=110),0.12,0)+IF(AND(V690&gt;175,W690&lt;25),0.3,0)+IF(AND(V690&gt;175,W690&gt;=25,W690&lt;55),0.23,0)+IF(AND(V690&gt;175,W690&gt;=55,W690&lt;95),0.17,0)+IF(AND(V690&gt;175,W690&gt;=95),0.12,0),
IF(AF690="Fix15",0.15,
IF(AF690="Fix18.75",0.1875,
IF(AF690="Fix11.25",0.1125,
IF(AF690="Fix10",0.1,
IF(AF690="Fix9",0.09,
IF(AF690="Fix19",0.19,
IF(AF690="DoEV2017",IF(AND(W690&lt;74),0.2,0)+IF(AND(W690&gt;=74),0.17,0),
IF(AF690="SF",IF(AND(V690&lt;20,W690&lt;89),0.3,0)+IF(AND(V690&lt;20,W690&gt;=89),0.25,0)+IF(AND(V690&gt;=20,V690&lt;40,W690&lt;74),0.3,0)+IF(AND(V690&gt;=20,V690&lt;40,W690&gt;=75),0.22,0)+IF(AND(V690&gt;=40,V690&lt;75,W690&lt;75),0.26,0)+IF(AND(V690&gt;=40,V690&lt;75,W690&gt;=75),0.22,0)+IF(V690&gt;=75,0.22,0),
IF(AF690="DoEVold",IF(AND(V690&lt;40,W690&lt;35),0.35,0)+IF(AND(V690&lt;40,W690&gt;=35,W690&lt;75),0.25,0)+IF(AND(V690&lt;40,W690&gt;=75),0.17,0)+IF(AND(V690&gt;=40,V690&lt;75,W690&lt;25),0.35,0)+IF(AND(V690&gt;=40,V690&lt;75,W690&gt;=25,W690&lt;65),0.25,0)+IF(AND(V690&gt;=40,V690&lt;75,W690&gt;=65,W690&lt;100),0.17,0)+IF(AND(V690&gt;=40,V690&lt;75,W690&gt;=100),0.1,0)+IF(AND(V690&gt;=75,W690&lt;25),0.35,0)+IF(AND(V690&gt;=75,W690&gt;=25,W690&lt;60),0.25,0)+IF(AND(V690&gt;=75,W690&gt;=60,W690&lt;95),0.17,0)+IF(AND(V690&gt;=75,W690&gt;=95),0.1,0),
IF(AF690="DoEVold15",IF(AND(V690&lt;=40,W690&lt;35),0.35,0)+IF(AND(V690&lt;=40,W690&gt;=35,W690&lt;75),0.25,0)+IF(AND(V690&lt;=40,W690&gt;=75,W690&lt;120),0.17,0)+IF(AND(V690&lt;=40,W690&gt;=120),0.15,0)+IF(AND(V690&gt;40,V690&lt;75,W690&lt;25),0.35,0)+IF(AND(V690&gt;=40,V690&lt;75,W690&gt;=25,W690&lt;65),0.25,0)+IF(AND(V690&gt;=40,V690&lt;75,W690&gt;=65,W690&lt;100),0.17,0)+IF(AND(V690&gt;=40,V690&lt;75,W690&gt;=100),0.1,0)+IF(AND(V690&gt;=75,W690&lt;25),0.35,0)+IF(AND(V690&gt;=75,W690&gt;=25,W690&lt;60),0.25,0)+IF(AND(V690&gt;=75,W690&gt;=60,W690&lt;95),0.17,0)+IF(AND(V690&gt;=75,W690&gt;=95),0.1,0),
IF(AF690="DoEVba",IF(AND(V690&lt;20,W690&lt;105),0.2,0)+IF(AND(V690&lt;20,W690&gt;=105),0.15,0)+IF(AND(V690&gt;=20,V690&lt;40,W690&lt;95),0.2,0)+IF(AND(V690&gt;=20,V690&lt;40,W690&gt;=95,W690&lt;150),0.15,0)+IF(AND(V690&gt;=20,V690&lt;40,W690&gt;=150),0.12,0)+IF(AND(V690&gt;=40,V690&lt;75,W690&lt;75),0.2,0)+IF(AND(V690&gt;=40,V690&lt;75,W690&gt;=75,W690&lt;120),0.15,0)+IF(AND(V690&gt;=40,V690&lt;75,W690&gt;=120),0.12,0)+IF(AND(V690&gt;=75,V690&lt;175,W690&lt;65),0.2,0)+IF(AND(V690&gt;=75,V690&lt;175,W690&gt;=65,W690&lt;110),0.15,0)+IF(AND(V690&gt;=75,V690&lt;175,W690&gt;=110),0.12,0)+IF(AND(V690&gt;=175,W690&lt;55),0.2,0)+IF(AND(V690&gt;=175,W690&gt;=55,W690&lt;95),0.15,0)+IF(AND(V690&gt;=175,W690&gt;=95),0.12,0),
IF(AF690="DoEVku",IF(AND(V690&lt;20,W690&lt;55),0.23,0)+IF(AND(V690&lt;20,W690&gt;=55,W690&lt;105),0.2,0)+IF(AND(V690&lt;20,W690&gt;=105),0.17,0)+IF(AND(V690&gt;=20,V690&lt;40,W690&lt;45),0.23,0)+IF(AND(V690&gt;=20,V690&lt;40,W690&gt;=45,W690&lt;95),0.2,0)+IF(AND(V690&gt;=20,V690&lt;40,W690&gt;=95,W690&lt;=150),0.17,0)+IF(AND(V690&gt;=20,V690&lt;40,W690&gt;=150),0.12,0)+IF(AND(V690&gt;=40,V690&lt;75,W690&lt;35),0.23,0)+IF(AND(V690&gt;=40,V690&lt;75,W690&gt;=35,W690&lt;75),0.2,0)+IF(AND(V690&gt;=40,V690&lt;75,W690&gt;=75,W690&lt;120),0.17,0)+IF(AND(V690&gt;=40,V690&lt;75,W690&gt;=120),0.12,0)+IF(AND(V690&gt;=75,V690&lt;175,W690&lt;35),0.23,0)+IF(AND(V690&gt;=75,V690&lt;=175,W690&gt;=35,W690&lt;65),0.2,0)+IF(AND(V690&gt;=75,V690&lt;=175,W690&gt;=65,W690&lt;110),0.17,0)+IF(AND(V690&gt;=75,V690&lt;=175,W690&gt;=110),0.12,0)+IF(AND(V690&gt;175,W690&lt;25),0.23,0)+IF(AND(V690&gt;175,W690&gt;=25,W690&lt;55),0.2,0)+IF(AND(V690&gt;175,W690&gt;=55,W690&lt;95),0.17,0)+IF(AND(V690&gt;175,W690&gt;=95),0.12,0),
IF(AF690="DoEVs1",IF(AND(V690&lt;20,W690&lt;55),0.3,0)+IF(AND(V690&lt;20,W690&gt;=55,W690&lt;105),0.23,0)+IF(AND(V690&lt;20,W690&gt;=105),0.17,0)+IF(AND(V690&gt;=20,V690&lt;40,W690&lt;45),0.3,0)+IF(AND(V690&gt;=20,V690&lt;40,W690&gt;=45,W690&lt;95),0.23,0)+IF(AND(V690&gt;=20,V690&lt;40,W690&gt;=95,W690&lt;=150),0.17,0)+IF(AND(V690&gt;=20,V690&lt;40,W690&gt;=150),0.12,0)+IF(AND(V690&gt;=40,V690&lt;75,W690&lt;35),0.3,0)+IF(AND(V690&gt;=40,V690&lt;75,W690&gt;=35,W690&lt;75),0.23,0)+IF(AND(V690&gt;=40,V690&lt;75,W690&gt;=75,W690&lt;120),0.17,0)+IF(AND(V690&gt;=40,V690&lt;75,W690&gt;=120),0.12,0)+IF(AND(V690&gt;=75,V690&lt;175,W690&lt;35),0.3,0)+IF(AND(V690&gt;=75,V690&lt;=175,W690&gt;=35,W690&lt;65),0.23,0)+IF(AND(V690&gt;=75,V690&lt;=175,W690&gt;=65,W690&lt;110),0.17,0)+IF(AND(V690&gt;=75,V690&lt;=175,W690&gt;=110),0.12,0)+IF(AND(V690&gt;175,W690&lt;25),0.3,0)+IF(AND(V690&gt;175,W690&gt;=25,W690&lt;55),0.23,0)+IF(AND(V690&gt;175,W690&gt;=55,W690&lt;95),0.17,0)+IF(AND(V690&gt;175,W690&gt;=95),0.12,0),
IF(AF690="DoEVsu",IF(AND(V690&lt;20,W690&lt;55),0.3,0)+IF(AND(V690&lt;20,W690&gt;=55,W690&lt;105),0.23,0)+IF(AND(V690&lt;20,W690&gt;=105),0.17,0)+IF(AND(V690&gt;=20,V690&lt;40,W690&lt;45),0.3,0)+IF(AND(V690&gt;=20,V690&lt;40,W690&gt;=45,W690&lt;95),0.23,0)+IF(AND(V690&gt;=20,V690&lt;40,W690&gt;=95,W690&lt;=250),0.17,0)+IF(AND(V690&gt;=20,V690&lt;40,W690&gt;=250),0.12,0)+IF(AND(V690&gt;=40,V690&lt;75,W690&lt;35),0.3,0)+IF(AND(V690&gt;=40,V690&lt;75,W690&gt;=35,W690&lt;75),0.23,0)+IF(AND(V690&gt;=40,V690&lt;75,W690&gt;=75,W690&lt;120),0.17,0)+IF(AND(V690&gt;=40,V690&lt;75,W690&gt;=120),0.12,0)+IF(AND(V690&gt;=75,V690&lt;175,W690&lt;35),0.3,0)+IF(AND(V690&gt;=75,V690&lt;=175,W690&gt;=35,W690&lt;65),0.23,0)+IF(AND(V690&gt;=75,V690&lt;=175,W690&gt;=65,W690&lt;110),0.17,0)+IF(AND(V690&gt;=75,V690&lt;=175,W690&gt;=110),0.12,0)+IF(AND(V690&gt;175,W690&lt;25),0.3,0)+IF(AND(V690&gt;175,W690&gt;=25,W690&lt;55),0.23,0)+IF(AND(V690&gt;175,W690&gt;=55,W690&lt;95),0.17,0)+IF(AND(V690&gt;175,W690&gt;=95),0.12,0),
IF(AF690="DoEVni",IF(AND(V690&lt;20,W690&lt;55),0.3,0)+IF(AND(V690&lt;20,W690&gt;=55,W690&lt;105),0.23,0)+IF(AND(V690&lt;20,W690&gt;=105),0.17,0)+IF(AND(V690&gt;=20,V690&lt;40,W690&lt;45),0.3,0)+IF(AND(V690&gt;=20,V690&lt;40,W690&gt;=45,W690&lt;95),0.23,0)+IF(AND(V690&gt;=20,V690&lt;40,W690&gt;=95,W690&lt;=200),0.17,0)+IF(AND(V690&gt;=20,V690&lt;40,W690&gt;=200),0.12,0)+IF(AND(V690&gt;=40,V690&lt;75,W690&lt;35),0.3,0)+IF(AND(V690&gt;=40,V690&lt;75,W690&gt;=35,W690&lt;75),0.23,0)+IF(AND(V690&gt;=40,V690&lt;75,W690&gt;=75,W690&lt;120),0.17,0)+IF(AND(V690&gt;=40,V690&lt;75,W690&gt;=120),0.12,0)+IF(AND(V690&gt;=75,V690&lt;175,W690&lt;35),0.3,0)+IF(AND(V690&gt;=75,V690&lt;=175,W690&gt;=35,W690&lt;65),0.23,0)+IF(AND(V690&gt;=75,V690&lt;=175,W690&gt;=65,W690&lt;110),0.17,0)+IF(AND(V690&gt;=75,V690&lt;=175,W690&gt;=110),0.12,0)+IF(AND(V690&gt;175,W690&lt;25),0.3,0)+IF(AND(V690&gt;175,W690&gt;=25,W690&lt;55),0.23,0)+IF(AND(V690&gt;175,W690&gt;=55,W690&lt;95),0.17,0)+IF(AND(V690&gt;175,W690&gt;=95),0.12,0),
IF(AF690="DoEVLo",IF(AND(V690&lt;20,W690&lt;55),0.25,0)+IF(AND(V690&lt;20,W690&gt;=55,W690&lt;105),0.2,0)+IF(AND(V690&lt;20,W690&gt;=105),0.15,0)+IF(AND(V690&gt;=20,V690&lt;40,W690&lt;45),0.25,0)+IF(AND(V690&gt;=20,V690&lt;40,W690&gt;=45,W690&lt;95),0.2,0)+IF(AND(V690&gt;=20,V690&lt;40,W690&gt;=95),0.15,0)+IF(AND(V690&gt;=40,V690&lt;75,W690&lt;35),0.25,0)+IF(AND(V690&gt;=40,V690&lt;75,W690&gt;=35,W690&lt;75),0.2,0)+IF(AND(V690&gt;=40,V690&lt;75,W690&gt;=75,W690&lt;120),0.15,0)+IF(AND(V690&gt;=40,V690&lt;75,W690&gt;=120),0.1,0)+IF(AND(V690&gt;=75,V690&lt;175,W690&lt;35),0.25,0)+IF(AND(V690&gt;=75,V690&lt;=175,W690&gt;=35,W690&lt;65),0.2,0)+IF(AND(V690&gt;=75,V690&lt;=175,W690&gt;=65,W690&lt;110),0.15,0)+IF(AND(V690&gt;=75,V690&lt;=175,W690&gt;=110),0.1,0)+IF(AND(V690&gt;175,W690&lt;25),0.25,0)+IF(AND(V690&gt;175,W690&gt;=25,W690&lt;55),0.2,0)+IF(AND(V690&gt;175,W690&gt;=55,W690&lt;95),0.15,0)+IF(AND(V690&gt;175,W690&gt;=95),0.1,0))))))))))))))))))</f>
        <v>0.19</v>
      </c>
      <c r="Y690" s="30">
        <f>IF(AG690="None",0,IF(AG690="Fix5",0.05, IF(AG690="Fix6.25",0.0625,IF(AG690="Fix3.75",0.0375,IF(AG690="Fix10",0.1,IF(AG690="Fix3",0.03,0))))))</f>
        <v>0</v>
      </c>
      <c r="Z690" s="35">
        <f>T690-AA690-AB690</f>
        <v>964.71</v>
      </c>
      <c r="AA690" s="29">
        <f>IF(AD690="EUR",((T690-R690)*X690)*U690+(R690*X690),(T690*X690))</f>
        <v>226.29</v>
      </c>
      <c r="AB690" s="36">
        <f>IF(AD690="EUR",((T690-R690)*Y690)*U690+(R690*Y690),(T690*Y690))</f>
        <v>0</v>
      </c>
      <c r="AC690" s="37" t="b">
        <v>1</v>
      </c>
      <c r="AD690" s="37" t="s">
        <v>38</v>
      </c>
      <c r="AE690" s="37" t="s">
        <v>38</v>
      </c>
      <c r="AF690" s="37" t="str">
        <f t="array" ref="AF690">INDEX('Deal Info'!D:D, MATCH(A690,'Deal Info'!A:A, 0))</f>
        <v>Fix19</v>
      </c>
      <c r="AG690" s="38" t="str">
        <f t="array" ref="AG690">INDEX('Deal Info'!G:G, MATCH(A690,'Deal Info'!A:A, 0))</f>
        <v>None</v>
      </c>
    </row>
    <row r="691" spans="1:33" ht="14.25" hidden="1" x14ac:dyDescent="0.2">
      <c r="A691" s="18" t="str">
        <f t="array" ref="A691">IF(G691='Room Info'!$B$1, INDEX('Room Info'!$A$2:$A2446, MATCH(B691,'Room Info'!$B$2:$B2446, 0)),IF(G691='Room Info'!$C$1, INDEX('Room Info'!$A$2:$A2446, MATCH(B691,'Room Info'!$C$2:$C2446, 0)),IF(G691='Room Info'!$D$1, INDEX('Room Info'!$A$2:$A2446, MATCH(B691,'Room Info'!$D$2:$D2446, 0)),IF(G691='Room Info'!$E$1, INDEX('Room Info'!$A$2:$A2446, MATCH(B691,'Room Info'!$E$2:$E2446, 0)),IF(G691='Room Info'!$F$1, INDEX('Room Info'!$A$2:$A2446, MATCH(B691,'Room Info'!$F$2:$F2446, 0)),IF(G691='Room Info'!$H$1, INDEX('Room Info'!$A$2:$A2446, MATCH(B691,'Room Info'!$H$2:$H2446, 0)),IF(G691='Room Info'!$G$1, INDEX('Room Info'!$A$2:$A2446, MATCH(B691,'Room Info'!$G$2:$G2446, 0)))))))))</f>
        <v>dimasik</v>
      </c>
      <c r="B691" s="45" t="s">
        <v>162</v>
      </c>
      <c r="C691" s="46">
        <v>44805</v>
      </c>
      <c r="D691" s="46">
        <v>44834</v>
      </c>
      <c r="E691" s="47">
        <v>44805</v>
      </c>
      <c r="F691" s="48" t="s">
        <v>41</v>
      </c>
      <c r="G691" s="45" t="s">
        <v>35</v>
      </c>
      <c r="H691" s="49" t="s">
        <v>143</v>
      </c>
      <c r="I691" s="49" t="s">
        <v>37</v>
      </c>
      <c r="J691" s="50">
        <v>1000</v>
      </c>
      <c r="K691" s="51">
        <v>4</v>
      </c>
      <c r="L691" s="52">
        <v>-1000</v>
      </c>
      <c r="M691" s="53">
        <v>174</v>
      </c>
      <c r="N691" s="28">
        <f>K691*J691</f>
        <v>4000</v>
      </c>
      <c r="O691" s="54">
        <v>46</v>
      </c>
      <c r="P691" s="29">
        <v>11.5</v>
      </c>
      <c r="Q691" s="55"/>
      <c r="R691" s="31">
        <f>M691+Q691</f>
        <v>174</v>
      </c>
      <c r="S691" s="66"/>
      <c r="T691" s="32">
        <f>R691+S691+IF(F691="Without EV deal",L691,0)</f>
        <v>-826</v>
      </c>
      <c r="U691" s="57">
        <v>1</v>
      </c>
      <c r="V691" s="58"/>
      <c r="W691" s="58"/>
      <c r="X691" s="30">
        <f>IF(AF691="DoEV",IF(AND(V691&lt;20,W691&lt;55),0.3,0)+IF(AND(V691&lt;20,W691&gt;=55,W691&lt;105),0.23,0)+IF(AND(V691&lt;20,W691&gt;=105),0.17,0)+IF(AND(V691&gt;=20,V691&lt;40,W691&lt;45),0.3,0)+IF(AND(V691&gt;=20,V691&lt;40,W691&gt;=45,W691&lt;95),0.23,0)+IF(AND(V691&gt;=20,V691&lt;40,W691&gt;=95),0.17,0)+IF(AND(V691&gt;=40,V691&lt;75,W691&lt;35),0.3,0)+IF(AND(V691&gt;=40,V691&lt;75,W691&gt;=35,W691&lt;75),0.23,0)+IF(AND(V691&gt;=40,V691&lt;75,W691&gt;=75,W691&lt;120),0.17,0)+IF(AND(V691&gt;=40,V691&lt;75,W691&gt;=120),0.12,0)+IF(AND(V691&gt;=75,V691&lt;175,W691&lt;35),0.3,0)+IF(AND(V691&gt;=75,V691&lt;=175,W691&gt;=35,W691&lt;65),0.23,0)+IF(AND(V691&gt;=75,V691&lt;=175,W691&gt;=65,W691&lt;110),0.17,0)+IF(AND(V691&gt;=75,V691&lt;=175,W691&gt;=110),0.12,0)+IF(AND(V691&gt;175,W691&lt;25),0.3,0)+IF(AND(V691&gt;175,W691&gt;=25,W691&lt;55),0.23,0)+IF(AND(V691&gt;175,W691&gt;=55,W691&lt;95),0.17,0)+IF(AND(V691&gt;175,W691&gt;=95),0.12,0),
IF(AF691="Fix15",0.15,
IF(AF691="Fix18.75",0.1875,
IF(AF691="Fix11.25",0.1125,
IF(AF691="Fix10",0.1,
IF(AF691="Fix9",0.09,
IF(AF691="Fix19",0.19,
IF(AF691="DoEV2017",IF(AND(W691&lt;74),0.2,0)+IF(AND(W691&gt;=74),0.17,0),
IF(AF691="SF",IF(AND(V691&lt;20,W691&lt;89),0.3,0)+IF(AND(V691&lt;20,W691&gt;=89),0.25,0)+IF(AND(V691&gt;=20,V691&lt;40,W691&lt;74),0.3,0)+IF(AND(V691&gt;=20,V691&lt;40,W691&gt;=75),0.22,0)+IF(AND(V691&gt;=40,V691&lt;75,W691&lt;75),0.26,0)+IF(AND(V691&gt;=40,V691&lt;75,W691&gt;=75),0.22,0)+IF(V691&gt;=75,0.22,0),
IF(AF691="DoEVold",IF(AND(V691&lt;40,W691&lt;35),0.35,0)+IF(AND(V691&lt;40,W691&gt;=35,W691&lt;75),0.25,0)+IF(AND(V691&lt;40,W691&gt;=75),0.17,0)+IF(AND(V691&gt;=40,V691&lt;75,W691&lt;25),0.35,0)+IF(AND(V691&gt;=40,V691&lt;75,W691&gt;=25,W691&lt;65),0.25,0)+IF(AND(V691&gt;=40,V691&lt;75,W691&gt;=65,W691&lt;100),0.17,0)+IF(AND(V691&gt;=40,V691&lt;75,W691&gt;=100),0.1,0)+IF(AND(V691&gt;=75,W691&lt;25),0.35,0)+IF(AND(V691&gt;=75,W691&gt;=25,W691&lt;60),0.25,0)+IF(AND(V691&gt;=75,W691&gt;=60,W691&lt;95),0.17,0)+IF(AND(V691&gt;=75,W691&gt;=95),0.1,0),
IF(AF691="DoEVold15",IF(AND(V691&lt;=40,W691&lt;35),0.35,0)+IF(AND(V691&lt;=40,W691&gt;=35,W691&lt;75),0.25,0)+IF(AND(V691&lt;=40,W691&gt;=75,W691&lt;120),0.17,0)+IF(AND(V691&lt;=40,W691&gt;=120),0.15,0)+IF(AND(V691&gt;40,V691&lt;75,W691&lt;25),0.35,0)+IF(AND(V691&gt;=40,V691&lt;75,W691&gt;=25,W691&lt;65),0.25,0)+IF(AND(V691&gt;=40,V691&lt;75,W691&gt;=65,W691&lt;100),0.17,0)+IF(AND(V691&gt;=40,V691&lt;75,W691&gt;=100),0.1,0)+IF(AND(V691&gt;=75,W691&lt;25),0.35,0)+IF(AND(V691&gt;=75,W691&gt;=25,W691&lt;60),0.25,0)+IF(AND(V691&gt;=75,W691&gt;=60,W691&lt;95),0.17,0)+IF(AND(V691&gt;=75,W691&gt;=95),0.1,0),
IF(AF691="DoEVba",IF(AND(V691&lt;20,W691&lt;105),0.2,0)+IF(AND(V691&lt;20,W691&gt;=105),0.15,0)+IF(AND(V691&gt;=20,V691&lt;40,W691&lt;95),0.2,0)+IF(AND(V691&gt;=20,V691&lt;40,W691&gt;=95,W691&lt;150),0.15,0)+IF(AND(V691&gt;=20,V691&lt;40,W691&gt;=150),0.12,0)+IF(AND(V691&gt;=40,V691&lt;75,W691&lt;75),0.2,0)+IF(AND(V691&gt;=40,V691&lt;75,W691&gt;=75,W691&lt;120),0.15,0)+IF(AND(V691&gt;=40,V691&lt;75,W691&gt;=120),0.12,0)+IF(AND(V691&gt;=75,V691&lt;175,W691&lt;65),0.2,0)+IF(AND(V691&gt;=75,V691&lt;175,W691&gt;=65,W691&lt;110),0.15,0)+IF(AND(V691&gt;=75,V691&lt;175,W691&gt;=110),0.12,0)+IF(AND(V691&gt;=175,W691&lt;55),0.2,0)+IF(AND(V691&gt;=175,W691&gt;=55,W691&lt;95),0.15,0)+IF(AND(V691&gt;=175,W691&gt;=95),0.12,0),
IF(AF691="DoEVku",IF(AND(V691&lt;20,W691&lt;55),0.23,0)+IF(AND(V691&lt;20,W691&gt;=55,W691&lt;105),0.2,0)+IF(AND(V691&lt;20,W691&gt;=105),0.17,0)+IF(AND(V691&gt;=20,V691&lt;40,W691&lt;45),0.23,0)+IF(AND(V691&gt;=20,V691&lt;40,W691&gt;=45,W691&lt;95),0.2,0)+IF(AND(V691&gt;=20,V691&lt;40,W691&gt;=95,W691&lt;=150),0.17,0)+IF(AND(V691&gt;=20,V691&lt;40,W691&gt;=150),0.12,0)+IF(AND(V691&gt;=40,V691&lt;75,W691&lt;35),0.23,0)+IF(AND(V691&gt;=40,V691&lt;75,W691&gt;=35,W691&lt;75),0.2,0)+IF(AND(V691&gt;=40,V691&lt;75,W691&gt;=75,W691&lt;120),0.17,0)+IF(AND(V691&gt;=40,V691&lt;75,W691&gt;=120),0.12,0)+IF(AND(V691&gt;=75,V691&lt;175,W691&lt;35),0.23,0)+IF(AND(V691&gt;=75,V691&lt;=175,W691&gt;=35,W691&lt;65),0.2,0)+IF(AND(V691&gt;=75,V691&lt;=175,W691&gt;=65,W691&lt;110),0.17,0)+IF(AND(V691&gt;=75,V691&lt;=175,W691&gt;=110),0.12,0)+IF(AND(V691&gt;175,W691&lt;25),0.23,0)+IF(AND(V691&gt;175,W691&gt;=25,W691&lt;55),0.2,0)+IF(AND(V691&gt;175,W691&gt;=55,W691&lt;95),0.17,0)+IF(AND(V691&gt;175,W691&gt;=95),0.12,0),
IF(AF691="DoEVs1",IF(AND(V691&lt;20,W691&lt;55),0.3,0)+IF(AND(V691&lt;20,W691&gt;=55,W691&lt;105),0.23,0)+IF(AND(V691&lt;20,W691&gt;=105),0.17,0)+IF(AND(V691&gt;=20,V691&lt;40,W691&lt;45),0.3,0)+IF(AND(V691&gt;=20,V691&lt;40,W691&gt;=45,W691&lt;95),0.23,0)+IF(AND(V691&gt;=20,V691&lt;40,W691&gt;=95,W691&lt;=150),0.17,0)+IF(AND(V691&gt;=20,V691&lt;40,W691&gt;=150),0.12,0)+IF(AND(V691&gt;=40,V691&lt;75,W691&lt;35),0.3,0)+IF(AND(V691&gt;=40,V691&lt;75,W691&gt;=35,W691&lt;75),0.23,0)+IF(AND(V691&gt;=40,V691&lt;75,W691&gt;=75,W691&lt;120),0.17,0)+IF(AND(V691&gt;=40,V691&lt;75,W691&gt;=120),0.12,0)+IF(AND(V691&gt;=75,V691&lt;175,W691&lt;35),0.3,0)+IF(AND(V691&gt;=75,V691&lt;=175,W691&gt;=35,W691&lt;65),0.23,0)+IF(AND(V691&gt;=75,V691&lt;=175,W691&gt;=65,W691&lt;110),0.17,0)+IF(AND(V691&gt;=75,V691&lt;=175,W691&gt;=110),0.12,0)+IF(AND(V691&gt;175,W691&lt;25),0.3,0)+IF(AND(V691&gt;175,W691&gt;=25,W691&lt;55),0.23,0)+IF(AND(V691&gt;175,W691&gt;=55,W691&lt;95),0.17,0)+IF(AND(V691&gt;175,W691&gt;=95),0.12,0),
IF(AF691="DoEVsu",IF(AND(V691&lt;20,W691&lt;55),0.3,0)+IF(AND(V691&lt;20,W691&gt;=55,W691&lt;105),0.23,0)+IF(AND(V691&lt;20,W691&gt;=105),0.17,0)+IF(AND(V691&gt;=20,V691&lt;40,W691&lt;45),0.3,0)+IF(AND(V691&gt;=20,V691&lt;40,W691&gt;=45,W691&lt;95),0.23,0)+IF(AND(V691&gt;=20,V691&lt;40,W691&gt;=95,W691&lt;=250),0.17,0)+IF(AND(V691&gt;=20,V691&lt;40,W691&gt;=250),0.12,0)+IF(AND(V691&gt;=40,V691&lt;75,W691&lt;35),0.3,0)+IF(AND(V691&gt;=40,V691&lt;75,W691&gt;=35,W691&lt;75),0.23,0)+IF(AND(V691&gt;=40,V691&lt;75,W691&gt;=75,W691&lt;120),0.17,0)+IF(AND(V691&gt;=40,V691&lt;75,W691&gt;=120),0.12,0)+IF(AND(V691&gt;=75,V691&lt;175,W691&lt;35),0.3,0)+IF(AND(V691&gt;=75,V691&lt;=175,W691&gt;=35,W691&lt;65),0.23,0)+IF(AND(V691&gt;=75,V691&lt;=175,W691&gt;=65,W691&lt;110),0.17,0)+IF(AND(V691&gt;=75,V691&lt;=175,W691&gt;=110),0.12,0)+IF(AND(V691&gt;175,W691&lt;25),0.3,0)+IF(AND(V691&gt;175,W691&gt;=25,W691&lt;55),0.23,0)+IF(AND(V691&gt;175,W691&gt;=55,W691&lt;95),0.17,0)+IF(AND(V691&gt;175,W691&gt;=95),0.12,0),
IF(AF691="DoEVni",IF(AND(V691&lt;20,W691&lt;55),0.3,0)+IF(AND(V691&lt;20,W691&gt;=55,W691&lt;105),0.23,0)+IF(AND(V691&lt;20,W691&gt;=105),0.17,0)+IF(AND(V691&gt;=20,V691&lt;40,W691&lt;45),0.3,0)+IF(AND(V691&gt;=20,V691&lt;40,W691&gt;=45,W691&lt;95),0.23,0)+IF(AND(V691&gt;=20,V691&lt;40,W691&gt;=95,W691&lt;=200),0.17,0)+IF(AND(V691&gt;=20,V691&lt;40,W691&gt;=200),0.12,0)+IF(AND(V691&gt;=40,V691&lt;75,W691&lt;35),0.3,0)+IF(AND(V691&gt;=40,V691&lt;75,W691&gt;=35,W691&lt;75),0.23,0)+IF(AND(V691&gt;=40,V691&lt;75,W691&gt;=75,W691&lt;120),0.17,0)+IF(AND(V691&gt;=40,V691&lt;75,W691&gt;=120),0.12,0)+IF(AND(V691&gt;=75,V691&lt;175,W691&lt;35),0.3,0)+IF(AND(V691&gt;=75,V691&lt;=175,W691&gt;=35,W691&lt;65),0.23,0)+IF(AND(V691&gt;=75,V691&lt;=175,W691&gt;=65,W691&lt;110),0.17,0)+IF(AND(V691&gt;=75,V691&lt;=175,W691&gt;=110),0.12,0)+IF(AND(V691&gt;175,W691&lt;25),0.3,0)+IF(AND(V691&gt;175,W691&gt;=25,W691&lt;55),0.23,0)+IF(AND(V691&gt;175,W691&gt;=55,W691&lt;95),0.17,0)+IF(AND(V691&gt;175,W691&gt;=95),0.12,0),
IF(AF691="DoEVLo",IF(AND(V691&lt;20,W691&lt;55),0.25,0)+IF(AND(V691&lt;20,W691&gt;=55,W691&lt;105),0.2,0)+IF(AND(V691&lt;20,W691&gt;=105),0.15,0)+IF(AND(V691&gt;=20,V691&lt;40,W691&lt;45),0.25,0)+IF(AND(V691&gt;=20,V691&lt;40,W691&gt;=45,W691&lt;95),0.2,0)+IF(AND(V691&gt;=20,V691&lt;40,W691&gt;=95),0.15,0)+IF(AND(V691&gt;=40,V691&lt;75,W691&lt;35),0.25,0)+IF(AND(V691&gt;=40,V691&lt;75,W691&gt;=35,W691&lt;75),0.2,0)+IF(AND(V691&gt;=40,V691&lt;75,W691&gt;=75,W691&lt;120),0.15,0)+IF(AND(V691&gt;=40,V691&lt;75,W691&gt;=120),0.1,0)+IF(AND(V691&gt;=75,V691&lt;175,W691&lt;35),0.25,0)+IF(AND(V691&gt;=75,V691&lt;=175,W691&gt;=35,W691&lt;65),0.2,0)+IF(AND(V691&gt;=75,V691&lt;=175,W691&gt;=65,W691&lt;110),0.15,0)+IF(AND(V691&gt;=75,V691&lt;=175,W691&gt;=110),0.1,0)+IF(AND(V691&gt;175,W691&lt;25),0.25,0)+IF(AND(V691&gt;175,W691&gt;=25,W691&lt;55),0.2,0)+IF(AND(V691&gt;175,W691&gt;=55,W691&lt;95),0.15,0)+IF(AND(V691&gt;175,W691&gt;=95),0.1,0))))))))))))))))))</f>
        <v>0.19</v>
      </c>
      <c r="Y691" s="30">
        <f>IF(AG691="None",0,IF(AG691="Fix5",0.05, IF(AG691="Fix6.25",0.0625,IF(AG691="Fix3.75",0.0375,IF(AG691="Fix10",0.1,IF(AG691="Fix3",0.03,0))))))</f>
        <v>0</v>
      </c>
      <c r="Z691" s="35">
        <f>T691-AA691-AB691</f>
        <v>-669.06</v>
      </c>
      <c r="AA691" s="29">
        <f>IF(AD691="EUR",((T691-R691)*X691)*U691+(R691*X691),(T691*X691))</f>
        <v>-156.94</v>
      </c>
      <c r="AB691" s="36">
        <f>IF(AD691="EUR",((T691-R691)*Y691)*U691+(R691*Y691),(T691*Y691))</f>
        <v>0</v>
      </c>
      <c r="AC691" s="37" t="b">
        <v>1</v>
      </c>
      <c r="AD691" s="37" t="s">
        <v>38</v>
      </c>
      <c r="AE691" s="37" t="s">
        <v>38</v>
      </c>
      <c r="AF691" s="37" t="str">
        <f t="array" ref="AF691">INDEX('Deal Info'!D:D, MATCH(A691,'Deal Info'!A:A, 0))</f>
        <v>Fix19</v>
      </c>
      <c r="AG691" s="38" t="str">
        <f t="array" ref="AG691">INDEX('Deal Info'!G:G, MATCH(A691,'Deal Info'!A:A, 0))</f>
        <v>None</v>
      </c>
    </row>
    <row r="692" spans="1:33" ht="14.25" hidden="1" x14ac:dyDescent="0.2">
      <c r="A692" s="18" t="str">
        <f t="array" ref="A692">IF(G692='Room Info'!$B$1, INDEX('Room Info'!$A$2:$A2446, MATCH(B692,'Room Info'!$B$2:$B2446, 0)),IF(G692='Room Info'!$C$1, INDEX('Room Info'!$A$2:$A2446, MATCH(B692,'Room Info'!$C$2:$C2446, 0)),IF(G692='Room Info'!$D$1, INDEX('Room Info'!$A$2:$A2446, MATCH(B692,'Room Info'!$D$2:$D2446, 0)),IF(G692='Room Info'!$E$1, INDEX('Room Info'!$A$2:$A2446, MATCH(B692,'Room Info'!$E$2:$E2446, 0)),IF(G692='Room Info'!$F$1, INDEX('Room Info'!$A$2:$A2446, MATCH(B692,'Room Info'!$F$2:$F2446, 0)),IF(G692='Room Info'!$H$1, INDEX('Room Info'!$A$2:$A2446, MATCH(B692,'Room Info'!$H$2:$H2446, 0)),IF(G692='Room Info'!$G$1, INDEX('Room Info'!$A$2:$A2446, MATCH(B692,'Room Info'!$G$2:$G2446, 0)))))))))</f>
        <v>dimasik</v>
      </c>
      <c r="B692" s="45" t="s">
        <v>162</v>
      </c>
      <c r="C692" s="46">
        <v>44805</v>
      </c>
      <c r="D692" s="46">
        <v>44834</v>
      </c>
      <c r="E692" s="47">
        <v>44805</v>
      </c>
      <c r="F692" s="48" t="s">
        <v>41</v>
      </c>
      <c r="G692" s="45" t="s">
        <v>35</v>
      </c>
      <c r="H692" s="49" t="s">
        <v>88</v>
      </c>
      <c r="I692" s="49" t="s">
        <v>37</v>
      </c>
      <c r="J692" s="50">
        <v>250</v>
      </c>
      <c r="K692" s="51">
        <v>631</v>
      </c>
      <c r="L692" s="52">
        <v>3000</v>
      </c>
      <c r="M692" s="53">
        <v>6876</v>
      </c>
      <c r="N692" s="28">
        <f>K692*J692</f>
        <v>157750</v>
      </c>
      <c r="O692" s="54">
        <v>9291</v>
      </c>
      <c r="P692" s="29">
        <v>14.72424723</v>
      </c>
      <c r="Q692" s="55"/>
      <c r="R692" s="31">
        <f>M692+Q692</f>
        <v>6876</v>
      </c>
      <c r="S692" s="66"/>
      <c r="T692" s="32">
        <f>R692+S692+IF(F692="Without EV deal",L692,0)</f>
        <v>9876</v>
      </c>
      <c r="U692" s="57">
        <v>1</v>
      </c>
      <c r="V692" s="58"/>
      <c r="W692" s="58"/>
      <c r="X692" s="30">
        <f>IF(AF692="DoEV",IF(AND(V692&lt;20,W692&lt;55),0.3,0)+IF(AND(V692&lt;20,W692&gt;=55,W692&lt;105),0.23,0)+IF(AND(V692&lt;20,W692&gt;=105),0.17,0)+IF(AND(V692&gt;=20,V692&lt;40,W692&lt;45),0.3,0)+IF(AND(V692&gt;=20,V692&lt;40,W692&gt;=45,W692&lt;95),0.23,0)+IF(AND(V692&gt;=20,V692&lt;40,W692&gt;=95),0.17,0)+IF(AND(V692&gt;=40,V692&lt;75,W692&lt;35),0.3,0)+IF(AND(V692&gt;=40,V692&lt;75,W692&gt;=35,W692&lt;75),0.23,0)+IF(AND(V692&gt;=40,V692&lt;75,W692&gt;=75,W692&lt;120),0.17,0)+IF(AND(V692&gt;=40,V692&lt;75,W692&gt;=120),0.12,0)+IF(AND(V692&gt;=75,V692&lt;175,W692&lt;35),0.3,0)+IF(AND(V692&gt;=75,V692&lt;=175,W692&gt;=35,W692&lt;65),0.23,0)+IF(AND(V692&gt;=75,V692&lt;=175,W692&gt;=65,W692&lt;110),0.17,0)+IF(AND(V692&gt;=75,V692&lt;=175,W692&gt;=110),0.12,0)+IF(AND(V692&gt;175,W692&lt;25),0.3,0)+IF(AND(V692&gt;175,W692&gt;=25,W692&lt;55),0.23,0)+IF(AND(V692&gt;175,W692&gt;=55,W692&lt;95),0.17,0)+IF(AND(V692&gt;175,W692&gt;=95),0.12,0),
IF(AF692="Fix15",0.15,
IF(AF692="Fix18.75",0.1875,
IF(AF692="Fix11.25",0.1125,
IF(AF692="Fix10",0.1,
IF(AF692="Fix9",0.09,
IF(AF692="Fix19",0.19,
IF(AF692="DoEV2017",IF(AND(W692&lt;74),0.2,0)+IF(AND(W692&gt;=74),0.17,0),
IF(AF692="SF",IF(AND(V692&lt;20,W692&lt;89),0.3,0)+IF(AND(V692&lt;20,W692&gt;=89),0.25,0)+IF(AND(V692&gt;=20,V692&lt;40,W692&lt;74),0.3,0)+IF(AND(V692&gt;=20,V692&lt;40,W692&gt;=75),0.22,0)+IF(AND(V692&gt;=40,V692&lt;75,W692&lt;75),0.26,0)+IF(AND(V692&gt;=40,V692&lt;75,W692&gt;=75),0.22,0)+IF(V692&gt;=75,0.22,0),
IF(AF692="DoEVold",IF(AND(V692&lt;40,W692&lt;35),0.35,0)+IF(AND(V692&lt;40,W692&gt;=35,W692&lt;75),0.25,0)+IF(AND(V692&lt;40,W692&gt;=75),0.17,0)+IF(AND(V692&gt;=40,V692&lt;75,W692&lt;25),0.35,0)+IF(AND(V692&gt;=40,V692&lt;75,W692&gt;=25,W692&lt;65),0.25,0)+IF(AND(V692&gt;=40,V692&lt;75,W692&gt;=65,W692&lt;100),0.17,0)+IF(AND(V692&gt;=40,V692&lt;75,W692&gt;=100),0.1,0)+IF(AND(V692&gt;=75,W692&lt;25),0.35,0)+IF(AND(V692&gt;=75,W692&gt;=25,W692&lt;60),0.25,0)+IF(AND(V692&gt;=75,W692&gt;=60,W692&lt;95),0.17,0)+IF(AND(V692&gt;=75,W692&gt;=95),0.1,0),
IF(AF692="DoEVold15",IF(AND(V692&lt;=40,W692&lt;35),0.35,0)+IF(AND(V692&lt;=40,W692&gt;=35,W692&lt;75),0.25,0)+IF(AND(V692&lt;=40,W692&gt;=75,W692&lt;120),0.17,0)+IF(AND(V692&lt;=40,W692&gt;=120),0.15,0)+IF(AND(V692&gt;40,V692&lt;75,W692&lt;25),0.35,0)+IF(AND(V692&gt;=40,V692&lt;75,W692&gt;=25,W692&lt;65),0.25,0)+IF(AND(V692&gt;=40,V692&lt;75,W692&gt;=65,W692&lt;100),0.17,0)+IF(AND(V692&gt;=40,V692&lt;75,W692&gt;=100),0.1,0)+IF(AND(V692&gt;=75,W692&lt;25),0.35,0)+IF(AND(V692&gt;=75,W692&gt;=25,W692&lt;60),0.25,0)+IF(AND(V692&gt;=75,W692&gt;=60,W692&lt;95),0.17,0)+IF(AND(V692&gt;=75,W692&gt;=95),0.1,0),
IF(AF692="DoEVba",IF(AND(V692&lt;20,W692&lt;105),0.2,0)+IF(AND(V692&lt;20,W692&gt;=105),0.15,0)+IF(AND(V692&gt;=20,V692&lt;40,W692&lt;95),0.2,0)+IF(AND(V692&gt;=20,V692&lt;40,W692&gt;=95,W692&lt;150),0.15,0)+IF(AND(V692&gt;=20,V692&lt;40,W692&gt;=150),0.12,0)+IF(AND(V692&gt;=40,V692&lt;75,W692&lt;75),0.2,0)+IF(AND(V692&gt;=40,V692&lt;75,W692&gt;=75,W692&lt;120),0.15,0)+IF(AND(V692&gt;=40,V692&lt;75,W692&gt;=120),0.12,0)+IF(AND(V692&gt;=75,V692&lt;175,W692&lt;65),0.2,0)+IF(AND(V692&gt;=75,V692&lt;175,W692&gt;=65,W692&lt;110),0.15,0)+IF(AND(V692&gt;=75,V692&lt;175,W692&gt;=110),0.12,0)+IF(AND(V692&gt;=175,W692&lt;55),0.2,0)+IF(AND(V692&gt;=175,W692&gt;=55,W692&lt;95),0.15,0)+IF(AND(V692&gt;=175,W692&gt;=95),0.12,0),
IF(AF692="DoEVku",IF(AND(V692&lt;20,W692&lt;55),0.23,0)+IF(AND(V692&lt;20,W692&gt;=55,W692&lt;105),0.2,0)+IF(AND(V692&lt;20,W692&gt;=105),0.17,0)+IF(AND(V692&gt;=20,V692&lt;40,W692&lt;45),0.23,0)+IF(AND(V692&gt;=20,V692&lt;40,W692&gt;=45,W692&lt;95),0.2,0)+IF(AND(V692&gt;=20,V692&lt;40,W692&gt;=95,W692&lt;=150),0.17,0)+IF(AND(V692&gt;=20,V692&lt;40,W692&gt;=150),0.12,0)+IF(AND(V692&gt;=40,V692&lt;75,W692&lt;35),0.23,0)+IF(AND(V692&gt;=40,V692&lt;75,W692&gt;=35,W692&lt;75),0.2,0)+IF(AND(V692&gt;=40,V692&lt;75,W692&gt;=75,W692&lt;120),0.17,0)+IF(AND(V692&gt;=40,V692&lt;75,W692&gt;=120),0.12,0)+IF(AND(V692&gt;=75,V692&lt;175,W692&lt;35),0.23,0)+IF(AND(V692&gt;=75,V692&lt;=175,W692&gt;=35,W692&lt;65),0.2,0)+IF(AND(V692&gt;=75,V692&lt;=175,W692&gt;=65,W692&lt;110),0.17,0)+IF(AND(V692&gt;=75,V692&lt;=175,W692&gt;=110),0.12,0)+IF(AND(V692&gt;175,W692&lt;25),0.23,0)+IF(AND(V692&gt;175,W692&gt;=25,W692&lt;55),0.2,0)+IF(AND(V692&gt;175,W692&gt;=55,W692&lt;95),0.17,0)+IF(AND(V692&gt;175,W692&gt;=95),0.12,0),
IF(AF692="DoEVs1",IF(AND(V692&lt;20,W692&lt;55),0.3,0)+IF(AND(V692&lt;20,W692&gt;=55,W692&lt;105),0.23,0)+IF(AND(V692&lt;20,W692&gt;=105),0.17,0)+IF(AND(V692&gt;=20,V692&lt;40,W692&lt;45),0.3,0)+IF(AND(V692&gt;=20,V692&lt;40,W692&gt;=45,W692&lt;95),0.23,0)+IF(AND(V692&gt;=20,V692&lt;40,W692&gt;=95,W692&lt;=150),0.17,0)+IF(AND(V692&gt;=20,V692&lt;40,W692&gt;=150),0.12,0)+IF(AND(V692&gt;=40,V692&lt;75,W692&lt;35),0.3,0)+IF(AND(V692&gt;=40,V692&lt;75,W692&gt;=35,W692&lt;75),0.23,0)+IF(AND(V692&gt;=40,V692&lt;75,W692&gt;=75,W692&lt;120),0.17,0)+IF(AND(V692&gt;=40,V692&lt;75,W692&gt;=120),0.12,0)+IF(AND(V692&gt;=75,V692&lt;175,W692&lt;35),0.3,0)+IF(AND(V692&gt;=75,V692&lt;=175,W692&gt;=35,W692&lt;65),0.23,0)+IF(AND(V692&gt;=75,V692&lt;=175,W692&gt;=65,W692&lt;110),0.17,0)+IF(AND(V692&gt;=75,V692&lt;=175,W692&gt;=110),0.12,0)+IF(AND(V692&gt;175,W692&lt;25),0.3,0)+IF(AND(V692&gt;175,W692&gt;=25,W692&lt;55),0.23,0)+IF(AND(V692&gt;175,W692&gt;=55,W692&lt;95),0.17,0)+IF(AND(V692&gt;175,W692&gt;=95),0.12,0),
IF(AF692="DoEVsu",IF(AND(V692&lt;20,W692&lt;55),0.3,0)+IF(AND(V692&lt;20,W692&gt;=55,W692&lt;105),0.23,0)+IF(AND(V692&lt;20,W692&gt;=105),0.17,0)+IF(AND(V692&gt;=20,V692&lt;40,W692&lt;45),0.3,0)+IF(AND(V692&gt;=20,V692&lt;40,W692&gt;=45,W692&lt;95),0.23,0)+IF(AND(V692&gt;=20,V692&lt;40,W692&gt;=95,W692&lt;=250),0.17,0)+IF(AND(V692&gt;=20,V692&lt;40,W692&gt;=250),0.12,0)+IF(AND(V692&gt;=40,V692&lt;75,W692&lt;35),0.3,0)+IF(AND(V692&gt;=40,V692&lt;75,W692&gt;=35,W692&lt;75),0.23,0)+IF(AND(V692&gt;=40,V692&lt;75,W692&gt;=75,W692&lt;120),0.17,0)+IF(AND(V692&gt;=40,V692&lt;75,W692&gt;=120),0.12,0)+IF(AND(V692&gt;=75,V692&lt;175,W692&lt;35),0.3,0)+IF(AND(V692&gt;=75,V692&lt;=175,W692&gt;=35,W692&lt;65),0.23,0)+IF(AND(V692&gt;=75,V692&lt;=175,W692&gt;=65,W692&lt;110),0.17,0)+IF(AND(V692&gt;=75,V692&lt;=175,W692&gt;=110),0.12,0)+IF(AND(V692&gt;175,W692&lt;25),0.3,0)+IF(AND(V692&gt;175,W692&gt;=25,W692&lt;55),0.23,0)+IF(AND(V692&gt;175,W692&gt;=55,W692&lt;95),0.17,0)+IF(AND(V692&gt;175,W692&gt;=95),0.12,0),
IF(AF692="DoEVni",IF(AND(V692&lt;20,W692&lt;55),0.3,0)+IF(AND(V692&lt;20,W692&gt;=55,W692&lt;105),0.23,0)+IF(AND(V692&lt;20,W692&gt;=105),0.17,0)+IF(AND(V692&gt;=20,V692&lt;40,W692&lt;45),0.3,0)+IF(AND(V692&gt;=20,V692&lt;40,W692&gt;=45,W692&lt;95),0.23,0)+IF(AND(V692&gt;=20,V692&lt;40,W692&gt;=95,W692&lt;=200),0.17,0)+IF(AND(V692&gt;=20,V692&lt;40,W692&gt;=200),0.12,0)+IF(AND(V692&gt;=40,V692&lt;75,W692&lt;35),0.3,0)+IF(AND(V692&gt;=40,V692&lt;75,W692&gt;=35,W692&lt;75),0.23,0)+IF(AND(V692&gt;=40,V692&lt;75,W692&gt;=75,W692&lt;120),0.17,0)+IF(AND(V692&gt;=40,V692&lt;75,W692&gt;=120),0.12,0)+IF(AND(V692&gt;=75,V692&lt;175,W692&lt;35),0.3,0)+IF(AND(V692&gt;=75,V692&lt;=175,W692&gt;=35,W692&lt;65),0.23,0)+IF(AND(V692&gt;=75,V692&lt;=175,W692&gt;=65,W692&lt;110),0.17,0)+IF(AND(V692&gt;=75,V692&lt;=175,W692&gt;=110),0.12,0)+IF(AND(V692&gt;175,W692&lt;25),0.3,0)+IF(AND(V692&gt;175,W692&gt;=25,W692&lt;55),0.23,0)+IF(AND(V692&gt;175,W692&gt;=55,W692&lt;95),0.17,0)+IF(AND(V692&gt;175,W692&gt;=95),0.12,0),
IF(AF692="DoEVLo",IF(AND(V692&lt;20,W692&lt;55),0.25,0)+IF(AND(V692&lt;20,W692&gt;=55,W692&lt;105),0.2,0)+IF(AND(V692&lt;20,W692&gt;=105),0.15,0)+IF(AND(V692&gt;=20,V692&lt;40,W692&lt;45),0.25,0)+IF(AND(V692&gt;=20,V692&lt;40,W692&gt;=45,W692&lt;95),0.2,0)+IF(AND(V692&gt;=20,V692&lt;40,W692&gt;=95),0.15,0)+IF(AND(V692&gt;=40,V692&lt;75,W692&lt;35),0.25,0)+IF(AND(V692&gt;=40,V692&lt;75,W692&gt;=35,W692&lt;75),0.2,0)+IF(AND(V692&gt;=40,V692&lt;75,W692&gt;=75,W692&lt;120),0.15,0)+IF(AND(V692&gt;=40,V692&lt;75,W692&gt;=120),0.1,0)+IF(AND(V692&gt;=75,V692&lt;175,W692&lt;35),0.25,0)+IF(AND(V692&gt;=75,V692&lt;=175,W692&gt;=35,W692&lt;65),0.2,0)+IF(AND(V692&gt;=75,V692&lt;=175,W692&gt;=65,W692&lt;110),0.15,0)+IF(AND(V692&gt;=75,V692&lt;=175,W692&gt;=110),0.1,0)+IF(AND(V692&gt;175,W692&lt;25),0.25,0)+IF(AND(V692&gt;175,W692&gt;=25,W692&lt;55),0.2,0)+IF(AND(V692&gt;175,W692&gt;=55,W692&lt;95),0.15,0)+IF(AND(V692&gt;175,W692&gt;=95),0.1,0))))))))))))))))))</f>
        <v>0.19</v>
      </c>
      <c r="Y692" s="30">
        <f>IF(AG692="None",0,IF(AG692="Fix5",0.05, IF(AG692="Fix6.25",0.0625,IF(AG692="Fix3.75",0.0375,IF(AG692="Fix10",0.1,IF(AG692="Fix3",0.03,0))))))</f>
        <v>0</v>
      </c>
      <c r="Z692" s="35">
        <f>T692-AA692-AB692</f>
        <v>7999.5599999999995</v>
      </c>
      <c r="AA692" s="29">
        <f>IF(AD692="EUR",((T692-R692)*X692)*U692+(R692*X692),(T692*X692))</f>
        <v>1876.44</v>
      </c>
      <c r="AB692" s="36">
        <f>IF(AD692="EUR",((T692-R692)*Y692)*U692+(R692*Y692),(T692*Y692))</f>
        <v>0</v>
      </c>
      <c r="AC692" s="37" t="b">
        <v>1</v>
      </c>
      <c r="AD692" s="37" t="s">
        <v>38</v>
      </c>
      <c r="AE692" s="37" t="s">
        <v>38</v>
      </c>
      <c r="AF692" s="37" t="str">
        <f t="array" ref="AF692">INDEX('Deal Info'!D:D, MATCH(A692,'Deal Info'!A:A, 0))</f>
        <v>Fix19</v>
      </c>
      <c r="AG692" s="38" t="str">
        <f t="array" ref="AG692">INDEX('Deal Info'!G:G, MATCH(A692,'Deal Info'!A:A, 0))</f>
        <v>None</v>
      </c>
    </row>
    <row r="693" spans="1:33" ht="14.25" hidden="1" x14ac:dyDescent="0.2">
      <c r="A693" s="18" t="str">
        <f t="array" ref="A693">IF(G693='Room Info'!$B$1, INDEX('Room Info'!$A$2:$A2446, MATCH(B693,'Room Info'!$B$2:$B2446, 0)),IF(G693='Room Info'!$C$1, INDEX('Room Info'!$A$2:$A2446, MATCH(B693,'Room Info'!$C$2:$C2446, 0)),IF(G693='Room Info'!$D$1, INDEX('Room Info'!$A$2:$A2446, MATCH(B693,'Room Info'!$D$2:$D2446, 0)),IF(G693='Room Info'!$E$1, INDEX('Room Info'!$A$2:$A2446, MATCH(B693,'Room Info'!$E$2:$E2446, 0)),IF(G693='Room Info'!$F$1, INDEX('Room Info'!$A$2:$A2446, MATCH(B693,'Room Info'!$F$2:$F2446, 0)),IF(G693='Room Info'!$H$1, INDEX('Room Info'!$A$2:$A2446, MATCH(B693,'Room Info'!$H$2:$H2446, 0)),IF(G693='Room Info'!$G$1, INDEX('Room Info'!$A$2:$A2446, MATCH(B693,'Room Info'!$G$2:$G2446, 0)))))))))</f>
        <v>dimasik</v>
      </c>
      <c r="B693" s="45" t="s">
        <v>162</v>
      </c>
      <c r="C693" s="46">
        <v>44805</v>
      </c>
      <c r="D693" s="46">
        <v>44834</v>
      </c>
      <c r="E693" s="47">
        <v>44805</v>
      </c>
      <c r="F693" s="45" t="s">
        <v>41</v>
      </c>
      <c r="G693" s="54" t="s">
        <v>35</v>
      </c>
      <c r="H693" s="49" t="s">
        <v>148</v>
      </c>
      <c r="I693" s="49" t="s">
        <v>44</v>
      </c>
      <c r="J693" s="50">
        <v>250</v>
      </c>
      <c r="K693" s="51">
        <v>519</v>
      </c>
      <c r="L693" s="52">
        <v>-8250</v>
      </c>
      <c r="M693" s="53">
        <v>5655</v>
      </c>
      <c r="N693" s="28">
        <f>K693*J693</f>
        <v>129750</v>
      </c>
      <c r="O693" s="54">
        <v>7641</v>
      </c>
      <c r="P693" s="29">
        <v>14.72254335</v>
      </c>
      <c r="Q693" s="55"/>
      <c r="R693" s="31">
        <f>M693+Q693</f>
        <v>5655</v>
      </c>
      <c r="S693" s="66"/>
      <c r="T693" s="32">
        <f>R693+S693+IF(F693="Without EV deal",L693,0)</f>
        <v>-2595</v>
      </c>
      <c r="U693" s="57">
        <v>1</v>
      </c>
      <c r="V693" s="58"/>
      <c r="W693" s="58"/>
      <c r="X693" s="30">
        <f>IF(AF693="DoEV",IF(AND(V693&lt;20,W693&lt;55),0.3,0)+IF(AND(V693&lt;20,W693&gt;=55,W693&lt;105),0.23,0)+IF(AND(V693&lt;20,W693&gt;=105),0.17,0)+IF(AND(V693&gt;=20,V693&lt;40,W693&lt;45),0.3,0)+IF(AND(V693&gt;=20,V693&lt;40,W693&gt;=45,W693&lt;95),0.23,0)+IF(AND(V693&gt;=20,V693&lt;40,W693&gt;=95),0.17,0)+IF(AND(V693&gt;=40,V693&lt;75,W693&lt;35),0.3,0)+IF(AND(V693&gt;=40,V693&lt;75,W693&gt;=35,W693&lt;75),0.23,0)+IF(AND(V693&gt;=40,V693&lt;75,W693&gt;=75,W693&lt;120),0.17,0)+IF(AND(V693&gt;=40,V693&lt;75,W693&gt;=120),0.12,0)+IF(AND(V693&gt;=75,V693&lt;175,W693&lt;35),0.3,0)+IF(AND(V693&gt;=75,V693&lt;=175,W693&gt;=35,W693&lt;65),0.23,0)+IF(AND(V693&gt;=75,V693&lt;=175,W693&gt;=65,W693&lt;110),0.17,0)+IF(AND(V693&gt;=75,V693&lt;=175,W693&gt;=110),0.12,0)+IF(AND(V693&gt;175,W693&lt;25),0.3,0)+IF(AND(V693&gt;175,W693&gt;=25,W693&lt;55),0.23,0)+IF(AND(V693&gt;175,W693&gt;=55,W693&lt;95),0.17,0)+IF(AND(V693&gt;175,W693&gt;=95),0.12,0),
IF(AF693="Fix15",0.15,
IF(AF693="Fix18.75",0.1875,
IF(AF693="Fix11.25",0.1125,
IF(AF693="Fix10",0.1,
IF(AF693="Fix9",0.09,
IF(AF693="Fix19",0.19,
IF(AF693="DoEV2017",IF(AND(W693&lt;74),0.2,0)+IF(AND(W693&gt;=74),0.17,0),
IF(AF693="SF",IF(AND(V693&lt;20,W693&lt;89),0.3,0)+IF(AND(V693&lt;20,W693&gt;=89),0.25,0)+IF(AND(V693&gt;=20,V693&lt;40,W693&lt;74),0.3,0)+IF(AND(V693&gt;=20,V693&lt;40,W693&gt;=75),0.22,0)+IF(AND(V693&gt;=40,V693&lt;75,W693&lt;75),0.26,0)+IF(AND(V693&gt;=40,V693&lt;75,W693&gt;=75),0.22,0)+IF(V693&gt;=75,0.22,0),
IF(AF693="DoEVold",IF(AND(V693&lt;40,W693&lt;35),0.35,0)+IF(AND(V693&lt;40,W693&gt;=35,W693&lt;75),0.25,0)+IF(AND(V693&lt;40,W693&gt;=75),0.17,0)+IF(AND(V693&gt;=40,V693&lt;75,W693&lt;25),0.35,0)+IF(AND(V693&gt;=40,V693&lt;75,W693&gt;=25,W693&lt;65),0.25,0)+IF(AND(V693&gt;=40,V693&lt;75,W693&gt;=65,W693&lt;100),0.17,0)+IF(AND(V693&gt;=40,V693&lt;75,W693&gt;=100),0.1,0)+IF(AND(V693&gt;=75,W693&lt;25),0.35,0)+IF(AND(V693&gt;=75,W693&gt;=25,W693&lt;60),0.25,0)+IF(AND(V693&gt;=75,W693&gt;=60,W693&lt;95),0.17,0)+IF(AND(V693&gt;=75,W693&gt;=95),0.1,0),
IF(AF693="DoEVold15",IF(AND(V693&lt;=40,W693&lt;35),0.35,0)+IF(AND(V693&lt;=40,W693&gt;=35,W693&lt;75),0.25,0)+IF(AND(V693&lt;=40,W693&gt;=75,W693&lt;120),0.17,0)+IF(AND(V693&lt;=40,W693&gt;=120),0.15,0)+IF(AND(V693&gt;40,V693&lt;75,W693&lt;25),0.35,0)+IF(AND(V693&gt;=40,V693&lt;75,W693&gt;=25,W693&lt;65),0.25,0)+IF(AND(V693&gt;=40,V693&lt;75,W693&gt;=65,W693&lt;100),0.17,0)+IF(AND(V693&gt;=40,V693&lt;75,W693&gt;=100),0.1,0)+IF(AND(V693&gt;=75,W693&lt;25),0.35,0)+IF(AND(V693&gt;=75,W693&gt;=25,W693&lt;60),0.25,0)+IF(AND(V693&gt;=75,W693&gt;=60,W693&lt;95),0.17,0)+IF(AND(V693&gt;=75,W693&gt;=95),0.1,0),
IF(AF693="DoEVba",IF(AND(V693&lt;20,W693&lt;105),0.2,0)+IF(AND(V693&lt;20,W693&gt;=105),0.15,0)+IF(AND(V693&gt;=20,V693&lt;40,W693&lt;95),0.2,0)+IF(AND(V693&gt;=20,V693&lt;40,W693&gt;=95,W693&lt;150),0.15,0)+IF(AND(V693&gt;=20,V693&lt;40,W693&gt;=150),0.12,0)+IF(AND(V693&gt;=40,V693&lt;75,W693&lt;75),0.2,0)+IF(AND(V693&gt;=40,V693&lt;75,W693&gt;=75,W693&lt;120),0.15,0)+IF(AND(V693&gt;=40,V693&lt;75,W693&gt;=120),0.12,0)+IF(AND(V693&gt;=75,V693&lt;175,W693&lt;65),0.2,0)+IF(AND(V693&gt;=75,V693&lt;175,W693&gt;=65,W693&lt;110),0.15,0)+IF(AND(V693&gt;=75,V693&lt;175,W693&gt;=110),0.12,0)+IF(AND(V693&gt;=175,W693&lt;55),0.2,0)+IF(AND(V693&gt;=175,W693&gt;=55,W693&lt;95),0.15,0)+IF(AND(V693&gt;=175,W693&gt;=95),0.12,0),
IF(AF693="DoEVku",IF(AND(V693&lt;20,W693&lt;55),0.23,0)+IF(AND(V693&lt;20,W693&gt;=55,W693&lt;105),0.2,0)+IF(AND(V693&lt;20,W693&gt;=105),0.17,0)+IF(AND(V693&gt;=20,V693&lt;40,W693&lt;45),0.23,0)+IF(AND(V693&gt;=20,V693&lt;40,W693&gt;=45,W693&lt;95),0.2,0)+IF(AND(V693&gt;=20,V693&lt;40,W693&gt;=95,W693&lt;=150),0.17,0)+IF(AND(V693&gt;=20,V693&lt;40,W693&gt;=150),0.12,0)+IF(AND(V693&gt;=40,V693&lt;75,W693&lt;35),0.23,0)+IF(AND(V693&gt;=40,V693&lt;75,W693&gt;=35,W693&lt;75),0.2,0)+IF(AND(V693&gt;=40,V693&lt;75,W693&gt;=75,W693&lt;120),0.17,0)+IF(AND(V693&gt;=40,V693&lt;75,W693&gt;=120),0.12,0)+IF(AND(V693&gt;=75,V693&lt;175,W693&lt;35),0.23,0)+IF(AND(V693&gt;=75,V693&lt;=175,W693&gt;=35,W693&lt;65),0.2,0)+IF(AND(V693&gt;=75,V693&lt;=175,W693&gt;=65,W693&lt;110),0.17,0)+IF(AND(V693&gt;=75,V693&lt;=175,W693&gt;=110),0.12,0)+IF(AND(V693&gt;175,W693&lt;25),0.23,0)+IF(AND(V693&gt;175,W693&gt;=25,W693&lt;55),0.2,0)+IF(AND(V693&gt;175,W693&gt;=55,W693&lt;95),0.17,0)+IF(AND(V693&gt;175,W693&gt;=95),0.12,0),
IF(AF693="DoEVs1",IF(AND(V693&lt;20,W693&lt;55),0.3,0)+IF(AND(V693&lt;20,W693&gt;=55,W693&lt;105),0.23,0)+IF(AND(V693&lt;20,W693&gt;=105),0.17,0)+IF(AND(V693&gt;=20,V693&lt;40,W693&lt;45),0.3,0)+IF(AND(V693&gt;=20,V693&lt;40,W693&gt;=45,W693&lt;95),0.23,0)+IF(AND(V693&gt;=20,V693&lt;40,W693&gt;=95,W693&lt;=150),0.17,0)+IF(AND(V693&gt;=20,V693&lt;40,W693&gt;=150),0.12,0)+IF(AND(V693&gt;=40,V693&lt;75,W693&lt;35),0.3,0)+IF(AND(V693&gt;=40,V693&lt;75,W693&gt;=35,W693&lt;75),0.23,0)+IF(AND(V693&gt;=40,V693&lt;75,W693&gt;=75,W693&lt;120),0.17,0)+IF(AND(V693&gt;=40,V693&lt;75,W693&gt;=120),0.12,0)+IF(AND(V693&gt;=75,V693&lt;175,W693&lt;35),0.3,0)+IF(AND(V693&gt;=75,V693&lt;=175,W693&gt;=35,W693&lt;65),0.23,0)+IF(AND(V693&gt;=75,V693&lt;=175,W693&gt;=65,W693&lt;110),0.17,0)+IF(AND(V693&gt;=75,V693&lt;=175,W693&gt;=110),0.12,0)+IF(AND(V693&gt;175,W693&lt;25),0.3,0)+IF(AND(V693&gt;175,W693&gt;=25,W693&lt;55),0.23,0)+IF(AND(V693&gt;175,W693&gt;=55,W693&lt;95),0.17,0)+IF(AND(V693&gt;175,W693&gt;=95),0.12,0),
IF(AF693="DoEVsu",IF(AND(V693&lt;20,W693&lt;55),0.3,0)+IF(AND(V693&lt;20,W693&gt;=55,W693&lt;105),0.23,0)+IF(AND(V693&lt;20,W693&gt;=105),0.17,0)+IF(AND(V693&gt;=20,V693&lt;40,W693&lt;45),0.3,0)+IF(AND(V693&gt;=20,V693&lt;40,W693&gt;=45,W693&lt;95),0.23,0)+IF(AND(V693&gt;=20,V693&lt;40,W693&gt;=95,W693&lt;=250),0.17,0)+IF(AND(V693&gt;=20,V693&lt;40,W693&gt;=250),0.12,0)+IF(AND(V693&gt;=40,V693&lt;75,W693&lt;35),0.3,0)+IF(AND(V693&gt;=40,V693&lt;75,W693&gt;=35,W693&lt;75),0.23,0)+IF(AND(V693&gt;=40,V693&lt;75,W693&gt;=75,W693&lt;120),0.17,0)+IF(AND(V693&gt;=40,V693&lt;75,W693&gt;=120),0.12,0)+IF(AND(V693&gt;=75,V693&lt;175,W693&lt;35),0.3,0)+IF(AND(V693&gt;=75,V693&lt;=175,W693&gt;=35,W693&lt;65),0.23,0)+IF(AND(V693&gt;=75,V693&lt;=175,W693&gt;=65,W693&lt;110),0.17,0)+IF(AND(V693&gt;=75,V693&lt;=175,W693&gt;=110),0.12,0)+IF(AND(V693&gt;175,W693&lt;25),0.3,0)+IF(AND(V693&gt;175,W693&gt;=25,W693&lt;55),0.23,0)+IF(AND(V693&gt;175,W693&gt;=55,W693&lt;95),0.17,0)+IF(AND(V693&gt;175,W693&gt;=95),0.12,0),
IF(AF693="DoEVni",IF(AND(V693&lt;20,W693&lt;55),0.3,0)+IF(AND(V693&lt;20,W693&gt;=55,W693&lt;105),0.23,0)+IF(AND(V693&lt;20,W693&gt;=105),0.17,0)+IF(AND(V693&gt;=20,V693&lt;40,W693&lt;45),0.3,0)+IF(AND(V693&gt;=20,V693&lt;40,W693&gt;=45,W693&lt;95),0.23,0)+IF(AND(V693&gt;=20,V693&lt;40,W693&gt;=95,W693&lt;=200),0.17,0)+IF(AND(V693&gt;=20,V693&lt;40,W693&gt;=200),0.12,0)+IF(AND(V693&gt;=40,V693&lt;75,W693&lt;35),0.3,0)+IF(AND(V693&gt;=40,V693&lt;75,W693&gt;=35,W693&lt;75),0.23,0)+IF(AND(V693&gt;=40,V693&lt;75,W693&gt;=75,W693&lt;120),0.17,0)+IF(AND(V693&gt;=40,V693&lt;75,W693&gt;=120),0.12,0)+IF(AND(V693&gt;=75,V693&lt;175,W693&lt;35),0.3,0)+IF(AND(V693&gt;=75,V693&lt;=175,W693&gt;=35,W693&lt;65),0.23,0)+IF(AND(V693&gt;=75,V693&lt;=175,W693&gt;=65,W693&lt;110),0.17,0)+IF(AND(V693&gt;=75,V693&lt;=175,W693&gt;=110),0.12,0)+IF(AND(V693&gt;175,W693&lt;25),0.3,0)+IF(AND(V693&gt;175,W693&gt;=25,W693&lt;55),0.23,0)+IF(AND(V693&gt;175,W693&gt;=55,W693&lt;95),0.17,0)+IF(AND(V693&gt;175,W693&gt;=95),0.12,0),
IF(AF693="DoEVLo",IF(AND(V693&lt;20,W693&lt;55),0.25,0)+IF(AND(V693&lt;20,W693&gt;=55,W693&lt;105),0.2,0)+IF(AND(V693&lt;20,W693&gt;=105),0.15,0)+IF(AND(V693&gt;=20,V693&lt;40,W693&lt;45),0.25,0)+IF(AND(V693&gt;=20,V693&lt;40,W693&gt;=45,W693&lt;95),0.2,0)+IF(AND(V693&gt;=20,V693&lt;40,W693&gt;=95),0.15,0)+IF(AND(V693&gt;=40,V693&lt;75,W693&lt;35),0.25,0)+IF(AND(V693&gt;=40,V693&lt;75,W693&gt;=35,W693&lt;75),0.2,0)+IF(AND(V693&gt;=40,V693&lt;75,W693&gt;=75,W693&lt;120),0.15,0)+IF(AND(V693&gt;=40,V693&lt;75,W693&gt;=120),0.1,0)+IF(AND(V693&gt;=75,V693&lt;175,W693&lt;35),0.25,0)+IF(AND(V693&gt;=75,V693&lt;=175,W693&gt;=35,W693&lt;65),0.2,0)+IF(AND(V693&gt;=75,V693&lt;=175,W693&gt;=65,W693&lt;110),0.15,0)+IF(AND(V693&gt;=75,V693&lt;=175,W693&gt;=110),0.1,0)+IF(AND(V693&gt;175,W693&lt;25),0.25,0)+IF(AND(V693&gt;175,W693&gt;=25,W693&lt;55),0.2,0)+IF(AND(V693&gt;175,W693&gt;=55,W693&lt;95),0.15,0)+IF(AND(V693&gt;175,W693&gt;=95),0.1,0))))))))))))))))))</f>
        <v>0.19</v>
      </c>
      <c r="Y693" s="30">
        <f>IF(AG693="None",0,IF(AG693="Fix5",0.05, IF(AG693="Fix6.25",0.0625,IF(AG693="Fix3.75",0.0375,IF(AG693="Fix10",0.1,IF(AG693="Fix3",0.03,0))))))</f>
        <v>0</v>
      </c>
      <c r="Z693" s="35">
        <f>T693-AA693-AB693</f>
        <v>-2101.9499999999998</v>
      </c>
      <c r="AA693" s="29">
        <f>IF(AD693="EUR",((T693-R693)*X693)*U693+(R693*X693),(T693*X693))</f>
        <v>-493.05</v>
      </c>
      <c r="AB693" s="36">
        <f>IF(AD693="EUR",((T693-R693)*Y693)*U693+(R693*Y693),(T693*Y693))</f>
        <v>0</v>
      </c>
      <c r="AC693" s="37" t="b">
        <v>1</v>
      </c>
      <c r="AD693" s="37" t="s">
        <v>38</v>
      </c>
      <c r="AE693" s="37" t="s">
        <v>38</v>
      </c>
      <c r="AF693" s="37" t="str">
        <f t="array" ref="AF693">INDEX('Deal Info'!D:D, MATCH(A693,'Deal Info'!A:A, 0))</f>
        <v>Fix19</v>
      </c>
      <c r="AG693" s="38" t="str">
        <f t="array" ref="AG693">INDEX('Deal Info'!G:G, MATCH(A693,'Deal Info'!A:A, 0))</f>
        <v>None</v>
      </c>
    </row>
    <row r="694" spans="1:33" ht="14.25" hidden="1" x14ac:dyDescent="0.2">
      <c r="A694" s="18" t="str">
        <f t="array" ref="A694">IF(G694='Room Info'!$B$1, INDEX('Room Info'!$A$2:$A2446, MATCH(B694,'Room Info'!$B$2:$B2446, 0)),IF(G694='Room Info'!$C$1, INDEX('Room Info'!$A$2:$A2446, MATCH(B694,'Room Info'!$C$2:$C2446, 0)),IF(G694='Room Info'!$D$1, INDEX('Room Info'!$A$2:$A2446, MATCH(B694,'Room Info'!$D$2:$D2446, 0)),IF(G694='Room Info'!$E$1, INDEX('Room Info'!$A$2:$A2446, MATCH(B694,'Room Info'!$E$2:$E2446, 0)),IF(G694='Room Info'!$F$1, INDEX('Room Info'!$A$2:$A2446, MATCH(B694,'Room Info'!$F$2:$F2446, 0)),IF(G694='Room Info'!$H$1, INDEX('Room Info'!$A$2:$A2446, MATCH(B694,'Room Info'!$H$2:$H2446, 0)),IF(G694='Room Info'!$G$1, INDEX('Room Info'!$A$2:$A2446, MATCH(B694,'Room Info'!$G$2:$G2446, 0)))))))))</f>
        <v>dimasik</v>
      </c>
      <c r="B694" s="45" t="s">
        <v>162</v>
      </c>
      <c r="C694" s="46">
        <v>44805</v>
      </c>
      <c r="D694" s="46">
        <v>44834</v>
      </c>
      <c r="E694" s="47">
        <v>44805</v>
      </c>
      <c r="F694" s="45" t="s">
        <v>41</v>
      </c>
      <c r="G694" s="54" t="s">
        <v>35</v>
      </c>
      <c r="H694" s="49" t="s">
        <v>142</v>
      </c>
      <c r="I694" s="49" t="s">
        <v>37</v>
      </c>
      <c r="J694" s="50">
        <v>500</v>
      </c>
      <c r="K694" s="51">
        <v>137</v>
      </c>
      <c r="L694" s="52">
        <v>-1000</v>
      </c>
      <c r="M694" s="53">
        <v>2986</v>
      </c>
      <c r="N694" s="28">
        <f>K694*J694</f>
        <v>68500</v>
      </c>
      <c r="O694" s="54">
        <v>-2619</v>
      </c>
      <c r="P694" s="29">
        <v>-19.116788320000001</v>
      </c>
      <c r="Q694" s="55"/>
      <c r="R694" s="31">
        <f>M694+Q694</f>
        <v>2986</v>
      </c>
      <c r="S694" s="66"/>
      <c r="T694" s="32">
        <f>R694+S694+IF(F694="Without EV deal",L694,0)</f>
        <v>1986</v>
      </c>
      <c r="U694" s="57">
        <v>1</v>
      </c>
      <c r="V694" s="58"/>
      <c r="W694" s="58"/>
      <c r="X694" s="30">
        <f>IF(AF694="DoEV",IF(AND(V694&lt;20,W694&lt;55),0.3,0)+IF(AND(V694&lt;20,W694&gt;=55,W694&lt;105),0.23,0)+IF(AND(V694&lt;20,W694&gt;=105),0.17,0)+IF(AND(V694&gt;=20,V694&lt;40,W694&lt;45),0.3,0)+IF(AND(V694&gt;=20,V694&lt;40,W694&gt;=45,W694&lt;95),0.23,0)+IF(AND(V694&gt;=20,V694&lt;40,W694&gt;=95),0.17,0)+IF(AND(V694&gt;=40,V694&lt;75,W694&lt;35),0.3,0)+IF(AND(V694&gt;=40,V694&lt;75,W694&gt;=35,W694&lt;75),0.23,0)+IF(AND(V694&gt;=40,V694&lt;75,W694&gt;=75,W694&lt;120),0.17,0)+IF(AND(V694&gt;=40,V694&lt;75,W694&gt;=120),0.12,0)+IF(AND(V694&gt;=75,V694&lt;175,W694&lt;35),0.3,0)+IF(AND(V694&gt;=75,V694&lt;=175,W694&gt;=35,W694&lt;65),0.23,0)+IF(AND(V694&gt;=75,V694&lt;=175,W694&gt;=65,W694&lt;110),0.17,0)+IF(AND(V694&gt;=75,V694&lt;=175,W694&gt;=110),0.12,0)+IF(AND(V694&gt;175,W694&lt;25),0.3,0)+IF(AND(V694&gt;175,W694&gt;=25,W694&lt;55),0.23,0)+IF(AND(V694&gt;175,W694&gt;=55,W694&lt;95),0.17,0)+IF(AND(V694&gt;175,W694&gt;=95),0.12,0),
IF(AF694="Fix15",0.15,
IF(AF694="Fix18.75",0.1875,
IF(AF694="Fix11.25",0.1125,
IF(AF694="Fix10",0.1,
IF(AF694="Fix9",0.09,
IF(AF694="Fix19",0.19,
IF(AF694="DoEV2017",IF(AND(W694&lt;74),0.2,0)+IF(AND(W694&gt;=74),0.17,0),
IF(AF694="SF",IF(AND(V694&lt;20,W694&lt;89),0.3,0)+IF(AND(V694&lt;20,W694&gt;=89),0.25,0)+IF(AND(V694&gt;=20,V694&lt;40,W694&lt;74),0.3,0)+IF(AND(V694&gt;=20,V694&lt;40,W694&gt;=75),0.22,0)+IF(AND(V694&gt;=40,V694&lt;75,W694&lt;75),0.26,0)+IF(AND(V694&gt;=40,V694&lt;75,W694&gt;=75),0.22,0)+IF(V694&gt;=75,0.22,0),
IF(AF694="DoEVold",IF(AND(V694&lt;40,W694&lt;35),0.35,0)+IF(AND(V694&lt;40,W694&gt;=35,W694&lt;75),0.25,0)+IF(AND(V694&lt;40,W694&gt;=75),0.17,0)+IF(AND(V694&gt;=40,V694&lt;75,W694&lt;25),0.35,0)+IF(AND(V694&gt;=40,V694&lt;75,W694&gt;=25,W694&lt;65),0.25,0)+IF(AND(V694&gt;=40,V694&lt;75,W694&gt;=65,W694&lt;100),0.17,0)+IF(AND(V694&gt;=40,V694&lt;75,W694&gt;=100),0.1,0)+IF(AND(V694&gt;=75,W694&lt;25),0.35,0)+IF(AND(V694&gt;=75,W694&gt;=25,W694&lt;60),0.25,0)+IF(AND(V694&gt;=75,W694&gt;=60,W694&lt;95),0.17,0)+IF(AND(V694&gt;=75,W694&gt;=95),0.1,0),
IF(AF694="DoEVold15",IF(AND(V694&lt;=40,W694&lt;35),0.35,0)+IF(AND(V694&lt;=40,W694&gt;=35,W694&lt;75),0.25,0)+IF(AND(V694&lt;=40,W694&gt;=75,W694&lt;120),0.17,0)+IF(AND(V694&lt;=40,W694&gt;=120),0.15,0)+IF(AND(V694&gt;40,V694&lt;75,W694&lt;25),0.35,0)+IF(AND(V694&gt;=40,V694&lt;75,W694&gt;=25,W694&lt;65),0.25,0)+IF(AND(V694&gt;=40,V694&lt;75,W694&gt;=65,W694&lt;100),0.17,0)+IF(AND(V694&gt;=40,V694&lt;75,W694&gt;=100),0.1,0)+IF(AND(V694&gt;=75,W694&lt;25),0.35,0)+IF(AND(V694&gt;=75,W694&gt;=25,W694&lt;60),0.25,0)+IF(AND(V694&gt;=75,W694&gt;=60,W694&lt;95),0.17,0)+IF(AND(V694&gt;=75,W694&gt;=95),0.1,0),
IF(AF694="DoEVba",IF(AND(V694&lt;20,W694&lt;105),0.2,0)+IF(AND(V694&lt;20,W694&gt;=105),0.15,0)+IF(AND(V694&gt;=20,V694&lt;40,W694&lt;95),0.2,0)+IF(AND(V694&gt;=20,V694&lt;40,W694&gt;=95,W694&lt;150),0.15,0)+IF(AND(V694&gt;=20,V694&lt;40,W694&gt;=150),0.12,0)+IF(AND(V694&gt;=40,V694&lt;75,W694&lt;75),0.2,0)+IF(AND(V694&gt;=40,V694&lt;75,W694&gt;=75,W694&lt;120),0.15,0)+IF(AND(V694&gt;=40,V694&lt;75,W694&gt;=120),0.12,0)+IF(AND(V694&gt;=75,V694&lt;175,W694&lt;65),0.2,0)+IF(AND(V694&gt;=75,V694&lt;175,W694&gt;=65,W694&lt;110),0.15,0)+IF(AND(V694&gt;=75,V694&lt;175,W694&gt;=110),0.12,0)+IF(AND(V694&gt;=175,W694&lt;55),0.2,0)+IF(AND(V694&gt;=175,W694&gt;=55,W694&lt;95),0.15,0)+IF(AND(V694&gt;=175,W694&gt;=95),0.12,0),
IF(AF694="DoEVku",IF(AND(V694&lt;20,W694&lt;55),0.23,0)+IF(AND(V694&lt;20,W694&gt;=55,W694&lt;105),0.2,0)+IF(AND(V694&lt;20,W694&gt;=105),0.17,0)+IF(AND(V694&gt;=20,V694&lt;40,W694&lt;45),0.23,0)+IF(AND(V694&gt;=20,V694&lt;40,W694&gt;=45,W694&lt;95),0.2,0)+IF(AND(V694&gt;=20,V694&lt;40,W694&gt;=95,W694&lt;=150),0.17,0)+IF(AND(V694&gt;=20,V694&lt;40,W694&gt;=150),0.12,0)+IF(AND(V694&gt;=40,V694&lt;75,W694&lt;35),0.23,0)+IF(AND(V694&gt;=40,V694&lt;75,W694&gt;=35,W694&lt;75),0.2,0)+IF(AND(V694&gt;=40,V694&lt;75,W694&gt;=75,W694&lt;120),0.17,0)+IF(AND(V694&gt;=40,V694&lt;75,W694&gt;=120),0.12,0)+IF(AND(V694&gt;=75,V694&lt;175,W694&lt;35),0.23,0)+IF(AND(V694&gt;=75,V694&lt;=175,W694&gt;=35,W694&lt;65),0.2,0)+IF(AND(V694&gt;=75,V694&lt;=175,W694&gt;=65,W694&lt;110),0.17,0)+IF(AND(V694&gt;=75,V694&lt;=175,W694&gt;=110),0.12,0)+IF(AND(V694&gt;175,W694&lt;25),0.23,0)+IF(AND(V694&gt;175,W694&gt;=25,W694&lt;55),0.2,0)+IF(AND(V694&gt;175,W694&gt;=55,W694&lt;95),0.17,0)+IF(AND(V694&gt;175,W694&gt;=95),0.12,0),
IF(AF694="DoEVs1",IF(AND(V694&lt;20,W694&lt;55),0.3,0)+IF(AND(V694&lt;20,W694&gt;=55,W694&lt;105),0.23,0)+IF(AND(V694&lt;20,W694&gt;=105),0.17,0)+IF(AND(V694&gt;=20,V694&lt;40,W694&lt;45),0.3,0)+IF(AND(V694&gt;=20,V694&lt;40,W694&gt;=45,W694&lt;95),0.23,0)+IF(AND(V694&gt;=20,V694&lt;40,W694&gt;=95,W694&lt;=150),0.17,0)+IF(AND(V694&gt;=20,V694&lt;40,W694&gt;=150),0.12,0)+IF(AND(V694&gt;=40,V694&lt;75,W694&lt;35),0.3,0)+IF(AND(V694&gt;=40,V694&lt;75,W694&gt;=35,W694&lt;75),0.23,0)+IF(AND(V694&gt;=40,V694&lt;75,W694&gt;=75,W694&lt;120),0.17,0)+IF(AND(V694&gt;=40,V694&lt;75,W694&gt;=120),0.12,0)+IF(AND(V694&gt;=75,V694&lt;175,W694&lt;35),0.3,0)+IF(AND(V694&gt;=75,V694&lt;=175,W694&gt;=35,W694&lt;65),0.23,0)+IF(AND(V694&gt;=75,V694&lt;=175,W694&gt;=65,W694&lt;110),0.17,0)+IF(AND(V694&gt;=75,V694&lt;=175,W694&gt;=110),0.12,0)+IF(AND(V694&gt;175,W694&lt;25),0.3,0)+IF(AND(V694&gt;175,W694&gt;=25,W694&lt;55),0.23,0)+IF(AND(V694&gt;175,W694&gt;=55,W694&lt;95),0.17,0)+IF(AND(V694&gt;175,W694&gt;=95),0.12,0),
IF(AF694="DoEVsu",IF(AND(V694&lt;20,W694&lt;55),0.3,0)+IF(AND(V694&lt;20,W694&gt;=55,W694&lt;105),0.23,0)+IF(AND(V694&lt;20,W694&gt;=105),0.17,0)+IF(AND(V694&gt;=20,V694&lt;40,W694&lt;45),0.3,0)+IF(AND(V694&gt;=20,V694&lt;40,W694&gt;=45,W694&lt;95),0.23,0)+IF(AND(V694&gt;=20,V694&lt;40,W694&gt;=95,W694&lt;=250),0.17,0)+IF(AND(V694&gt;=20,V694&lt;40,W694&gt;=250),0.12,0)+IF(AND(V694&gt;=40,V694&lt;75,W694&lt;35),0.3,0)+IF(AND(V694&gt;=40,V694&lt;75,W694&gt;=35,W694&lt;75),0.23,0)+IF(AND(V694&gt;=40,V694&lt;75,W694&gt;=75,W694&lt;120),0.17,0)+IF(AND(V694&gt;=40,V694&lt;75,W694&gt;=120),0.12,0)+IF(AND(V694&gt;=75,V694&lt;175,W694&lt;35),0.3,0)+IF(AND(V694&gt;=75,V694&lt;=175,W694&gt;=35,W694&lt;65),0.23,0)+IF(AND(V694&gt;=75,V694&lt;=175,W694&gt;=65,W694&lt;110),0.17,0)+IF(AND(V694&gt;=75,V694&lt;=175,W694&gt;=110),0.12,0)+IF(AND(V694&gt;175,W694&lt;25),0.3,0)+IF(AND(V694&gt;175,W694&gt;=25,W694&lt;55),0.23,0)+IF(AND(V694&gt;175,W694&gt;=55,W694&lt;95),0.17,0)+IF(AND(V694&gt;175,W694&gt;=95),0.12,0),
IF(AF694="DoEVni",IF(AND(V694&lt;20,W694&lt;55),0.3,0)+IF(AND(V694&lt;20,W694&gt;=55,W694&lt;105),0.23,0)+IF(AND(V694&lt;20,W694&gt;=105),0.17,0)+IF(AND(V694&gt;=20,V694&lt;40,W694&lt;45),0.3,0)+IF(AND(V694&gt;=20,V694&lt;40,W694&gt;=45,W694&lt;95),0.23,0)+IF(AND(V694&gt;=20,V694&lt;40,W694&gt;=95,W694&lt;=200),0.17,0)+IF(AND(V694&gt;=20,V694&lt;40,W694&gt;=200),0.12,0)+IF(AND(V694&gt;=40,V694&lt;75,W694&lt;35),0.3,0)+IF(AND(V694&gt;=40,V694&lt;75,W694&gt;=35,W694&lt;75),0.23,0)+IF(AND(V694&gt;=40,V694&lt;75,W694&gt;=75,W694&lt;120),0.17,0)+IF(AND(V694&gt;=40,V694&lt;75,W694&gt;=120),0.12,0)+IF(AND(V694&gt;=75,V694&lt;175,W694&lt;35),0.3,0)+IF(AND(V694&gt;=75,V694&lt;=175,W694&gt;=35,W694&lt;65),0.23,0)+IF(AND(V694&gt;=75,V694&lt;=175,W694&gt;=65,W694&lt;110),0.17,0)+IF(AND(V694&gt;=75,V694&lt;=175,W694&gt;=110),0.12,0)+IF(AND(V694&gt;175,W694&lt;25),0.3,0)+IF(AND(V694&gt;175,W694&gt;=25,W694&lt;55),0.23,0)+IF(AND(V694&gt;175,W694&gt;=55,W694&lt;95),0.17,0)+IF(AND(V694&gt;175,W694&gt;=95),0.12,0),
IF(AF694="DoEVLo",IF(AND(V694&lt;20,W694&lt;55),0.25,0)+IF(AND(V694&lt;20,W694&gt;=55,W694&lt;105),0.2,0)+IF(AND(V694&lt;20,W694&gt;=105),0.15,0)+IF(AND(V694&gt;=20,V694&lt;40,W694&lt;45),0.25,0)+IF(AND(V694&gt;=20,V694&lt;40,W694&gt;=45,W694&lt;95),0.2,0)+IF(AND(V694&gt;=20,V694&lt;40,W694&gt;=95),0.15,0)+IF(AND(V694&gt;=40,V694&lt;75,W694&lt;35),0.25,0)+IF(AND(V694&gt;=40,V694&lt;75,W694&gt;=35,W694&lt;75),0.2,0)+IF(AND(V694&gt;=40,V694&lt;75,W694&gt;=75,W694&lt;120),0.15,0)+IF(AND(V694&gt;=40,V694&lt;75,W694&gt;=120),0.1,0)+IF(AND(V694&gt;=75,V694&lt;175,W694&lt;35),0.25,0)+IF(AND(V694&gt;=75,V694&lt;=175,W694&gt;=35,W694&lt;65),0.2,0)+IF(AND(V694&gt;=75,V694&lt;=175,W694&gt;=65,W694&lt;110),0.15,0)+IF(AND(V694&gt;=75,V694&lt;=175,W694&gt;=110),0.1,0)+IF(AND(V694&gt;175,W694&lt;25),0.25,0)+IF(AND(V694&gt;175,W694&gt;=25,W694&lt;55),0.2,0)+IF(AND(V694&gt;175,W694&gt;=55,W694&lt;95),0.15,0)+IF(AND(V694&gt;175,W694&gt;=95),0.1,0))))))))))))))))))</f>
        <v>0.19</v>
      </c>
      <c r="Y694" s="30">
        <f>IF(AG694="None",0,IF(AG694="Fix5",0.05, IF(AG694="Fix6.25",0.0625,IF(AG694="Fix3.75",0.0375,IF(AG694="Fix10",0.1,IF(AG694="Fix3",0.03,0))))))</f>
        <v>0</v>
      </c>
      <c r="Z694" s="35">
        <f>T694-AA694-AB694</f>
        <v>1608.6599999999999</v>
      </c>
      <c r="AA694" s="29">
        <f>IF(AD694="EUR",((T694-R694)*X694)*U694+(R694*X694),(T694*X694))</f>
        <v>377.34000000000003</v>
      </c>
      <c r="AB694" s="36">
        <f>IF(AD694="EUR",((T694-R694)*Y694)*U694+(R694*Y694),(T694*Y694))</f>
        <v>0</v>
      </c>
      <c r="AC694" s="37" t="b">
        <v>1</v>
      </c>
      <c r="AD694" s="37" t="s">
        <v>38</v>
      </c>
      <c r="AE694" s="37" t="s">
        <v>38</v>
      </c>
      <c r="AF694" s="37" t="str">
        <f t="array" ref="AF694">INDEX('Deal Info'!D:D, MATCH(A694,'Deal Info'!A:A, 0))</f>
        <v>Fix19</v>
      </c>
      <c r="AG694" s="38" t="str">
        <f t="array" ref="AG694">INDEX('Deal Info'!G:G, MATCH(A694,'Deal Info'!A:A, 0))</f>
        <v>None</v>
      </c>
    </row>
    <row r="695" spans="1:33" ht="14.25" hidden="1" x14ac:dyDescent="0.2">
      <c r="A695" s="18" t="str">
        <f t="array" ref="A695">IF(G695='Room Info'!$B$1, INDEX('Room Info'!$A$2:$A2446, MATCH(B695,'Room Info'!$B$2:$B2446, 0)),IF(G695='Room Info'!$C$1, INDEX('Room Info'!$A$2:$A2446, MATCH(B695,'Room Info'!$C$2:$C2446, 0)),IF(G695='Room Info'!$D$1, INDEX('Room Info'!$A$2:$A2446, MATCH(B695,'Room Info'!$D$2:$D2446, 0)),IF(G695='Room Info'!$E$1, INDEX('Room Info'!$A$2:$A2446, MATCH(B695,'Room Info'!$E$2:$E2446, 0)),IF(G695='Room Info'!$F$1, INDEX('Room Info'!$A$2:$A2446, MATCH(B695,'Room Info'!$F$2:$F2446, 0)),IF(G695='Room Info'!$H$1, INDEX('Room Info'!$A$2:$A2446, MATCH(B695,'Room Info'!$H$2:$H2446, 0)),IF(G695='Room Info'!$G$1, INDEX('Room Info'!$A$2:$A2446, MATCH(B695,'Room Info'!$G$2:$G2446, 0)))))))))</f>
        <v>dimasik</v>
      </c>
      <c r="B695" s="45" t="s">
        <v>162</v>
      </c>
      <c r="C695" s="46">
        <v>44805</v>
      </c>
      <c r="D695" s="46">
        <v>44834</v>
      </c>
      <c r="E695" s="47">
        <v>44805</v>
      </c>
      <c r="F695" s="48" t="s">
        <v>41</v>
      </c>
      <c r="G695" s="45" t="s">
        <v>35</v>
      </c>
      <c r="H695" s="49" t="s">
        <v>149</v>
      </c>
      <c r="I695" s="49" t="s">
        <v>44</v>
      </c>
      <c r="J695" s="50">
        <v>500</v>
      </c>
      <c r="K695" s="51">
        <v>54</v>
      </c>
      <c r="L695" s="52">
        <v>0</v>
      </c>
      <c r="M695" s="53">
        <v>1177</v>
      </c>
      <c r="N695" s="28">
        <f>K695*J695</f>
        <v>27000</v>
      </c>
      <c r="O695" s="54">
        <v>-1032</v>
      </c>
      <c r="P695" s="29">
        <v>-19.11111111</v>
      </c>
      <c r="Q695" s="55"/>
      <c r="R695" s="31">
        <f>M695+Q695</f>
        <v>1177</v>
      </c>
      <c r="S695" s="66"/>
      <c r="T695" s="32">
        <f>R695+S695+IF(F695="Without EV deal",L695,0)</f>
        <v>1177</v>
      </c>
      <c r="U695" s="57">
        <v>1</v>
      </c>
      <c r="V695" s="58"/>
      <c r="W695" s="58"/>
      <c r="X695" s="30">
        <f>IF(AF695="DoEV",IF(AND(V695&lt;20,W695&lt;55),0.3,0)+IF(AND(V695&lt;20,W695&gt;=55,W695&lt;105),0.23,0)+IF(AND(V695&lt;20,W695&gt;=105),0.17,0)+IF(AND(V695&gt;=20,V695&lt;40,W695&lt;45),0.3,0)+IF(AND(V695&gt;=20,V695&lt;40,W695&gt;=45,W695&lt;95),0.23,0)+IF(AND(V695&gt;=20,V695&lt;40,W695&gt;=95),0.17,0)+IF(AND(V695&gt;=40,V695&lt;75,W695&lt;35),0.3,0)+IF(AND(V695&gt;=40,V695&lt;75,W695&gt;=35,W695&lt;75),0.23,0)+IF(AND(V695&gt;=40,V695&lt;75,W695&gt;=75,W695&lt;120),0.17,0)+IF(AND(V695&gt;=40,V695&lt;75,W695&gt;=120),0.12,0)+IF(AND(V695&gt;=75,V695&lt;175,W695&lt;35),0.3,0)+IF(AND(V695&gt;=75,V695&lt;=175,W695&gt;=35,W695&lt;65),0.23,0)+IF(AND(V695&gt;=75,V695&lt;=175,W695&gt;=65,W695&lt;110),0.17,0)+IF(AND(V695&gt;=75,V695&lt;=175,W695&gt;=110),0.12,0)+IF(AND(V695&gt;175,W695&lt;25),0.3,0)+IF(AND(V695&gt;175,W695&gt;=25,W695&lt;55),0.23,0)+IF(AND(V695&gt;175,W695&gt;=55,W695&lt;95),0.17,0)+IF(AND(V695&gt;175,W695&gt;=95),0.12,0),
IF(AF695="Fix15",0.15,
IF(AF695="Fix18.75",0.1875,
IF(AF695="Fix11.25",0.1125,
IF(AF695="Fix10",0.1,
IF(AF695="Fix9",0.09,
IF(AF695="Fix19",0.19,
IF(AF695="DoEV2017",IF(AND(W695&lt;74),0.2,0)+IF(AND(W695&gt;=74),0.17,0),
IF(AF695="SF",IF(AND(V695&lt;20,W695&lt;89),0.3,0)+IF(AND(V695&lt;20,W695&gt;=89),0.25,0)+IF(AND(V695&gt;=20,V695&lt;40,W695&lt;74),0.3,0)+IF(AND(V695&gt;=20,V695&lt;40,W695&gt;=75),0.22,0)+IF(AND(V695&gt;=40,V695&lt;75,W695&lt;75),0.26,0)+IF(AND(V695&gt;=40,V695&lt;75,W695&gt;=75),0.22,0)+IF(V695&gt;=75,0.22,0),
IF(AF695="DoEVold",IF(AND(V695&lt;40,W695&lt;35),0.35,0)+IF(AND(V695&lt;40,W695&gt;=35,W695&lt;75),0.25,0)+IF(AND(V695&lt;40,W695&gt;=75),0.17,0)+IF(AND(V695&gt;=40,V695&lt;75,W695&lt;25),0.35,0)+IF(AND(V695&gt;=40,V695&lt;75,W695&gt;=25,W695&lt;65),0.25,0)+IF(AND(V695&gt;=40,V695&lt;75,W695&gt;=65,W695&lt;100),0.17,0)+IF(AND(V695&gt;=40,V695&lt;75,W695&gt;=100),0.1,0)+IF(AND(V695&gt;=75,W695&lt;25),0.35,0)+IF(AND(V695&gt;=75,W695&gt;=25,W695&lt;60),0.25,0)+IF(AND(V695&gt;=75,W695&gt;=60,W695&lt;95),0.17,0)+IF(AND(V695&gt;=75,W695&gt;=95),0.1,0),
IF(AF695="DoEVold15",IF(AND(V695&lt;=40,W695&lt;35),0.35,0)+IF(AND(V695&lt;=40,W695&gt;=35,W695&lt;75),0.25,0)+IF(AND(V695&lt;=40,W695&gt;=75,W695&lt;120),0.17,0)+IF(AND(V695&lt;=40,W695&gt;=120),0.15,0)+IF(AND(V695&gt;40,V695&lt;75,W695&lt;25),0.35,0)+IF(AND(V695&gt;=40,V695&lt;75,W695&gt;=25,W695&lt;65),0.25,0)+IF(AND(V695&gt;=40,V695&lt;75,W695&gt;=65,W695&lt;100),0.17,0)+IF(AND(V695&gt;=40,V695&lt;75,W695&gt;=100),0.1,0)+IF(AND(V695&gt;=75,W695&lt;25),0.35,0)+IF(AND(V695&gt;=75,W695&gt;=25,W695&lt;60),0.25,0)+IF(AND(V695&gt;=75,W695&gt;=60,W695&lt;95),0.17,0)+IF(AND(V695&gt;=75,W695&gt;=95),0.1,0),
IF(AF695="DoEVba",IF(AND(V695&lt;20,W695&lt;105),0.2,0)+IF(AND(V695&lt;20,W695&gt;=105),0.15,0)+IF(AND(V695&gt;=20,V695&lt;40,W695&lt;95),0.2,0)+IF(AND(V695&gt;=20,V695&lt;40,W695&gt;=95,W695&lt;150),0.15,0)+IF(AND(V695&gt;=20,V695&lt;40,W695&gt;=150),0.12,0)+IF(AND(V695&gt;=40,V695&lt;75,W695&lt;75),0.2,0)+IF(AND(V695&gt;=40,V695&lt;75,W695&gt;=75,W695&lt;120),0.15,0)+IF(AND(V695&gt;=40,V695&lt;75,W695&gt;=120),0.12,0)+IF(AND(V695&gt;=75,V695&lt;175,W695&lt;65),0.2,0)+IF(AND(V695&gt;=75,V695&lt;175,W695&gt;=65,W695&lt;110),0.15,0)+IF(AND(V695&gt;=75,V695&lt;175,W695&gt;=110),0.12,0)+IF(AND(V695&gt;=175,W695&lt;55),0.2,0)+IF(AND(V695&gt;=175,W695&gt;=55,W695&lt;95),0.15,0)+IF(AND(V695&gt;=175,W695&gt;=95),0.12,0),
IF(AF695="DoEVku",IF(AND(V695&lt;20,W695&lt;55),0.23,0)+IF(AND(V695&lt;20,W695&gt;=55,W695&lt;105),0.2,0)+IF(AND(V695&lt;20,W695&gt;=105),0.17,0)+IF(AND(V695&gt;=20,V695&lt;40,W695&lt;45),0.23,0)+IF(AND(V695&gt;=20,V695&lt;40,W695&gt;=45,W695&lt;95),0.2,0)+IF(AND(V695&gt;=20,V695&lt;40,W695&gt;=95,W695&lt;=150),0.17,0)+IF(AND(V695&gt;=20,V695&lt;40,W695&gt;=150),0.12,0)+IF(AND(V695&gt;=40,V695&lt;75,W695&lt;35),0.23,0)+IF(AND(V695&gt;=40,V695&lt;75,W695&gt;=35,W695&lt;75),0.2,0)+IF(AND(V695&gt;=40,V695&lt;75,W695&gt;=75,W695&lt;120),0.17,0)+IF(AND(V695&gt;=40,V695&lt;75,W695&gt;=120),0.12,0)+IF(AND(V695&gt;=75,V695&lt;175,W695&lt;35),0.23,0)+IF(AND(V695&gt;=75,V695&lt;=175,W695&gt;=35,W695&lt;65),0.2,0)+IF(AND(V695&gt;=75,V695&lt;=175,W695&gt;=65,W695&lt;110),0.17,0)+IF(AND(V695&gt;=75,V695&lt;=175,W695&gt;=110),0.12,0)+IF(AND(V695&gt;175,W695&lt;25),0.23,0)+IF(AND(V695&gt;175,W695&gt;=25,W695&lt;55),0.2,0)+IF(AND(V695&gt;175,W695&gt;=55,W695&lt;95),0.17,0)+IF(AND(V695&gt;175,W695&gt;=95),0.12,0),
IF(AF695="DoEVs1",IF(AND(V695&lt;20,W695&lt;55),0.3,0)+IF(AND(V695&lt;20,W695&gt;=55,W695&lt;105),0.23,0)+IF(AND(V695&lt;20,W695&gt;=105),0.17,0)+IF(AND(V695&gt;=20,V695&lt;40,W695&lt;45),0.3,0)+IF(AND(V695&gt;=20,V695&lt;40,W695&gt;=45,W695&lt;95),0.23,0)+IF(AND(V695&gt;=20,V695&lt;40,W695&gt;=95,W695&lt;=150),0.17,0)+IF(AND(V695&gt;=20,V695&lt;40,W695&gt;=150),0.12,0)+IF(AND(V695&gt;=40,V695&lt;75,W695&lt;35),0.3,0)+IF(AND(V695&gt;=40,V695&lt;75,W695&gt;=35,W695&lt;75),0.23,0)+IF(AND(V695&gt;=40,V695&lt;75,W695&gt;=75,W695&lt;120),0.17,0)+IF(AND(V695&gt;=40,V695&lt;75,W695&gt;=120),0.12,0)+IF(AND(V695&gt;=75,V695&lt;175,W695&lt;35),0.3,0)+IF(AND(V695&gt;=75,V695&lt;=175,W695&gt;=35,W695&lt;65),0.23,0)+IF(AND(V695&gt;=75,V695&lt;=175,W695&gt;=65,W695&lt;110),0.17,0)+IF(AND(V695&gt;=75,V695&lt;=175,W695&gt;=110),0.12,0)+IF(AND(V695&gt;175,W695&lt;25),0.3,0)+IF(AND(V695&gt;175,W695&gt;=25,W695&lt;55),0.23,0)+IF(AND(V695&gt;175,W695&gt;=55,W695&lt;95),0.17,0)+IF(AND(V695&gt;175,W695&gt;=95),0.12,0),
IF(AF695="DoEVsu",IF(AND(V695&lt;20,W695&lt;55),0.3,0)+IF(AND(V695&lt;20,W695&gt;=55,W695&lt;105),0.23,0)+IF(AND(V695&lt;20,W695&gt;=105),0.17,0)+IF(AND(V695&gt;=20,V695&lt;40,W695&lt;45),0.3,0)+IF(AND(V695&gt;=20,V695&lt;40,W695&gt;=45,W695&lt;95),0.23,0)+IF(AND(V695&gt;=20,V695&lt;40,W695&gt;=95,W695&lt;=250),0.17,0)+IF(AND(V695&gt;=20,V695&lt;40,W695&gt;=250),0.12,0)+IF(AND(V695&gt;=40,V695&lt;75,W695&lt;35),0.3,0)+IF(AND(V695&gt;=40,V695&lt;75,W695&gt;=35,W695&lt;75),0.23,0)+IF(AND(V695&gt;=40,V695&lt;75,W695&gt;=75,W695&lt;120),0.17,0)+IF(AND(V695&gt;=40,V695&lt;75,W695&gt;=120),0.12,0)+IF(AND(V695&gt;=75,V695&lt;175,W695&lt;35),0.3,0)+IF(AND(V695&gt;=75,V695&lt;=175,W695&gt;=35,W695&lt;65),0.23,0)+IF(AND(V695&gt;=75,V695&lt;=175,W695&gt;=65,W695&lt;110),0.17,0)+IF(AND(V695&gt;=75,V695&lt;=175,W695&gt;=110),0.12,0)+IF(AND(V695&gt;175,W695&lt;25),0.3,0)+IF(AND(V695&gt;175,W695&gt;=25,W695&lt;55),0.23,0)+IF(AND(V695&gt;175,W695&gt;=55,W695&lt;95),0.17,0)+IF(AND(V695&gt;175,W695&gt;=95),0.12,0),
IF(AF695="DoEVni",IF(AND(V695&lt;20,W695&lt;55),0.3,0)+IF(AND(V695&lt;20,W695&gt;=55,W695&lt;105),0.23,0)+IF(AND(V695&lt;20,W695&gt;=105),0.17,0)+IF(AND(V695&gt;=20,V695&lt;40,W695&lt;45),0.3,0)+IF(AND(V695&gt;=20,V695&lt;40,W695&gt;=45,W695&lt;95),0.23,0)+IF(AND(V695&gt;=20,V695&lt;40,W695&gt;=95,W695&lt;=200),0.17,0)+IF(AND(V695&gt;=20,V695&lt;40,W695&gt;=200),0.12,0)+IF(AND(V695&gt;=40,V695&lt;75,W695&lt;35),0.3,0)+IF(AND(V695&gt;=40,V695&lt;75,W695&gt;=35,W695&lt;75),0.23,0)+IF(AND(V695&gt;=40,V695&lt;75,W695&gt;=75,W695&lt;120),0.17,0)+IF(AND(V695&gt;=40,V695&lt;75,W695&gt;=120),0.12,0)+IF(AND(V695&gt;=75,V695&lt;175,W695&lt;35),0.3,0)+IF(AND(V695&gt;=75,V695&lt;=175,W695&gt;=35,W695&lt;65),0.23,0)+IF(AND(V695&gt;=75,V695&lt;=175,W695&gt;=65,W695&lt;110),0.17,0)+IF(AND(V695&gt;=75,V695&lt;=175,W695&gt;=110),0.12,0)+IF(AND(V695&gt;175,W695&lt;25),0.3,0)+IF(AND(V695&gt;175,W695&gt;=25,W695&lt;55),0.23,0)+IF(AND(V695&gt;175,W695&gt;=55,W695&lt;95),0.17,0)+IF(AND(V695&gt;175,W695&gt;=95),0.12,0),
IF(AF695="DoEVLo",IF(AND(V695&lt;20,W695&lt;55),0.25,0)+IF(AND(V695&lt;20,W695&gt;=55,W695&lt;105),0.2,0)+IF(AND(V695&lt;20,W695&gt;=105),0.15,0)+IF(AND(V695&gt;=20,V695&lt;40,W695&lt;45),0.25,0)+IF(AND(V695&gt;=20,V695&lt;40,W695&gt;=45,W695&lt;95),0.2,0)+IF(AND(V695&gt;=20,V695&lt;40,W695&gt;=95),0.15,0)+IF(AND(V695&gt;=40,V695&lt;75,W695&lt;35),0.25,0)+IF(AND(V695&gt;=40,V695&lt;75,W695&gt;=35,W695&lt;75),0.2,0)+IF(AND(V695&gt;=40,V695&lt;75,W695&gt;=75,W695&lt;120),0.15,0)+IF(AND(V695&gt;=40,V695&lt;75,W695&gt;=120),0.1,0)+IF(AND(V695&gt;=75,V695&lt;175,W695&lt;35),0.25,0)+IF(AND(V695&gt;=75,V695&lt;=175,W695&gt;=35,W695&lt;65),0.2,0)+IF(AND(V695&gt;=75,V695&lt;=175,W695&gt;=65,W695&lt;110),0.15,0)+IF(AND(V695&gt;=75,V695&lt;=175,W695&gt;=110),0.1,0)+IF(AND(V695&gt;175,W695&lt;25),0.25,0)+IF(AND(V695&gt;175,W695&gt;=25,W695&lt;55),0.2,0)+IF(AND(V695&gt;175,W695&gt;=55,W695&lt;95),0.15,0)+IF(AND(V695&gt;175,W695&gt;=95),0.1,0))))))))))))))))))</f>
        <v>0.19</v>
      </c>
      <c r="Y695" s="30">
        <f>IF(AG695="None",0,IF(AG695="Fix5",0.05, IF(AG695="Fix6.25",0.0625,IF(AG695="Fix3.75",0.0375,IF(AG695="Fix10",0.1,IF(AG695="Fix3",0.03,0))))))</f>
        <v>0</v>
      </c>
      <c r="Z695" s="35">
        <f>T695-AA695-AB695</f>
        <v>953.37</v>
      </c>
      <c r="AA695" s="29">
        <f>IF(AD695="EUR",((T695-R695)*X695)*U695+(R695*X695),(T695*X695))</f>
        <v>223.63</v>
      </c>
      <c r="AB695" s="36">
        <f>IF(AD695="EUR",((T695-R695)*Y695)*U695+(R695*Y695),(T695*Y695))</f>
        <v>0</v>
      </c>
      <c r="AC695" s="37" t="b">
        <v>1</v>
      </c>
      <c r="AD695" s="37" t="s">
        <v>38</v>
      </c>
      <c r="AE695" s="37" t="s">
        <v>38</v>
      </c>
      <c r="AF695" s="37" t="str">
        <f t="array" ref="AF695">INDEX('Deal Info'!D:D, MATCH(A695,'Deal Info'!A:A, 0))</f>
        <v>Fix19</v>
      </c>
      <c r="AG695" s="38" t="str">
        <f t="array" ref="AG695">INDEX('Deal Info'!G:G, MATCH(A695,'Deal Info'!A:A, 0))</f>
        <v>None</v>
      </c>
    </row>
    <row r="696" spans="1:33" ht="14.25" hidden="1" x14ac:dyDescent="0.2">
      <c r="A696" s="18" t="str">
        <f t="array" ref="A696">IF(G696='Room Info'!$B$1, INDEX('Room Info'!$A$2:$A2446, MATCH(B696,'Room Info'!$B$2:$B2446, 0)),IF(G696='Room Info'!$C$1, INDEX('Room Info'!$A$2:$A2446, MATCH(B696,'Room Info'!$C$2:$C2446, 0)),IF(G696='Room Info'!$D$1, INDEX('Room Info'!$A$2:$A2446, MATCH(B696,'Room Info'!$D$2:$D2446, 0)),IF(G696='Room Info'!$E$1, INDEX('Room Info'!$A$2:$A2446, MATCH(B696,'Room Info'!$E$2:$E2446, 0)),IF(G696='Room Info'!$F$1, INDEX('Room Info'!$A$2:$A2446, MATCH(B696,'Room Info'!$F$2:$F2446, 0)),IF(G696='Room Info'!$H$1, INDEX('Room Info'!$A$2:$A2446, MATCH(B696,'Room Info'!$H$2:$H2446, 0)),IF(G696='Room Info'!$G$1, INDEX('Room Info'!$A$2:$A2446, MATCH(B696,'Room Info'!$G$2:$G2446, 0)))))))))</f>
        <v>dimasik</v>
      </c>
      <c r="B696" s="45" t="s">
        <v>162</v>
      </c>
      <c r="C696" s="46">
        <v>44835</v>
      </c>
      <c r="D696" s="46">
        <v>44865</v>
      </c>
      <c r="E696" s="47">
        <v>44835</v>
      </c>
      <c r="F696" s="48" t="s">
        <v>41</v>
      </c>
      <c r="G696" s="45" t="s">
        <v>35</v>
      </c>
      <c r="H696" s="49" t="s">
        <v>36</v>
      </c>
      <c r="I696" s="49" t="s">
        <v>37</v>
      </c>
      <c r="J696" s="50">
        <v>2</v>
      </c>
      <c r="K696" s="51">
        <v>1</v>
      </c>
      <c r="L696" s="52">
        <v>4</v>
      </c>
      <c r="M696" s="62"/>
      <c r="N696" s="28">
        <f>K696*J696</f>
        <v>2</v>
      </c>
      <c r="O696" s="65"/>
      <c r="P696" s="29">
        <v>0</v>
      </c>
      <c r="Q696" s="55"/>
      <c r="R696" s="31">
        <f>M696+Q696</f>
        <v>0</v>
      </c>
      <c r="S696" s="66"/>
      <c r="T696" s="32">
        <f>R696+S696+IF(F696="Without EV deal",L696,0)</f>
        <v>4</v>
      </c>
      <c r="U696" s="57">
        <v>1</v>
      </c>
      <c r="V696" s="58"/>
      <c r="W696" s="58"/>
      <c r="X696" s="30">
        <f>IF(AF696="DoEV",IF(AND(V696&lt;20,W696&lt;55),0.3,0)+IF(AND(V696&lt;20,W696&gt;=55,W696&lt;105),0.23,0)+IF(AND(V696&lt;20,W696&gt;=105),0.17,0)+IF(AND(V696&gt;=20,V696&lt;40,W696&lt;45),0.3,0)+IF(AND(V696&gt;=20,V696&lt;40,W696&gt;=45,W696&lt;95),0.23,0)+IF(AND(V696&gt;=20,V696&lt;40,W696&gt;=95),0.17,0)+IF(AND(V696&gt;=40,V696&lt;75,W696&lt;35),0.3,0)+IF(AND(V696&gt;=40,V696&lt;75,W696&gt;=35,W696&lt;75),0.23,0)+IF(AND(V696&gt;=40,V696&lt;75,W696&gt;=75,W696&lt;120),0.17,0)+IF(AND(V696&gt;=40,V696&lt;75,W696&gt;=120),0.12,0)+IF(AND(V696&gt;=75,V696&lt;175,W696&lt;35),0.3,0)+IF(AND(V696&gt;=75,V696&lt;=175,W696&gt;=35,W696&lt;65),0.23,0)+IF(AND(V696&gt;=75,V696&lt;=175,W696&gt;=65,W696&lt;110),0.17,0)+IF(AND(V696&gt;=75,V696&lt;=175,W696&gt;=110),0.12,0)+IF(AND(V696&gt;175,W696&lt;25),0.3,0)+IF(AND(V696&gt;175,W696&gt;=25,W696&lt;55),0.23,0)+IF(AND(V696&gt;175,W696&gt;=55,W696&lt;95),0.17,0)+IF(AND(V696&gt;175,W696&gt;=95),0.12,0),
IF(AF696="Fix15",0.15,
IF(AF696="Fix18.75",0.1875,
IF(AF696="Fix11.25",0.1125,
IF(AF696="Fix10",0.1,
IF(AF696="Fix9",0.09,
IF(AF696="Fix19",0.19,
IF(AF696="DoEV2017",IF(AND(W696&lt;74),0.2,0)+IF(AND(W696&gt;=74),0.17,0),
IF(AF696="SF",IF(AND(V696&lt;20,W696&lt;89),0.3,0)+IF(AND(V696&lt;20,W696&gt;=89),0.25,0)+IF(AND(V696&gt;=20,V696&lt;40,W696&lt;74),0.3,0)+IF(AND(V696&gt;=20,V696&lt;40,W696&gt;=75),0.22,0)+IF(AND(V696&gt;=40,V696&lt;75,W696&lt;75),0.26,0)+IF(AND(V696&gt;=40,V696&lt;75,W696&gt;=75),0.22,0)+IF(V696&gt;=75,0.22,0),
IF(AF696="DoEVold",IF(AND(V696&lt;40,W696&lt;35),0.35,0)+IF(AND(V696&lt;40,W696&gt;=35,W696&lt;75),0.25,0)+IF(AND(V696&lt;40,W696&gt;=75),0.17,0)+IF(AND(V696&gt;=40,V696&lt;75,W696&lt;25),0.35,0)+IF(AND(V696&gt;=40,V696&lt;75,W696&gt;=25,W696&lt;65),0.25,0)+IF(AND(V696&gt;=40,V696&lt;75,W696&gt;=65,W696&lt;100),0.17,0)+IF(AND(V696&gt;=40,V696&lt;75,W696&gt;=100),0.1,0)+IF(AND(V696&gt;=75,W696&lt;25),0.35,0)+IF(AND(V696&gt;=75,W696&gt;=25,W696&lt;60),0.25,0)+IF(AND(V696&gt;=75,W696&gt;=60,W696&lt;95),0.17,0)+IF(AND(V696&gt;=75,W696&gt;=95),0.1,0),
IF(AF696="DoEVold15",IF(AND(V696&lt;=40,W696&lt;35),0.35,0)+IF(AND(V696&lt;=40,W696&gt;=35,W696&lt;75),0.25,0)+IF(AND(V696&lt;=40,W696&gt;=75,W696&lt;120),0.17,0)+IF(AND(V696&lt;=40,W696&gt;=120),0.15,0)+IF(AND(V696&gt;40,V696&lt;75,W696&lt;25),0.35,0)+IF(AND(V696&gt;=40,V696&lt;75,W696&gt;=25,W696&lt;65),0.25,0)+IF(AND(V696&gt;=40,V696&lt;75,W696&gt;=65,W696&lt;100),0.17,0)+IF(AND(V696&gt;=40,V696&lt;75,W696&gt;=100),0.1,0)+IF(AND(V696&gt;=75,W696&lt;25),0.35,0)+IF(AND(V696&gt;=75,W696&gt;=25,W696&lt;60),0.25,0)+IF(AND(V696&gt;=75,W696&gt;=60,W696&lt;95),0.17,0)+IF(AND(V696&gt;=75,W696&gt;=95),0.1,0),
IF(AF696="DoEVba",IF(AND(V696&lt;20,W696&lt;105),0.2,0)+IF(AND(V696&lt;20,W696&gt;=105),0.15,0)+IF(AND(V696&gt;=20,V696&lt;40,W696&lt;95),0.2,0)+IF(AND(V696&gt;=20,V696&lt;40,W696&gt;=95,W696&lt;150),0.15,0)+IF(AND(V696&gt;=20,V696&lt;40,W696&gt;=150),0.12,0)+IF(AND(V696&gt;=40,V696&lt;75,W696&lt;75),0.2,0)+IF(AND(V696&gt;=40,V696&lt;75,W696&gt;=75,W696&lt;120),0.15,0)+IF(AND(V696&gt;=40,V696&lt;75,W696&gt;=120),0.12,0)+IF(AND(V696&gt;=75,V696&lt;175,W696&lt;65),0.2,0)+IF(AND(V696&gt;=75,V696&lt;175,W696&gt;=65,W696&lt;110),0.15,0)+IF(AND(V696&gt;=75,V696&lt;175,W696&gt;=110),0.12,0)+IF(AND(V696&gt;=175,W696&lt;55),0.2,0)+IF(AND(V696&gt;=175,W696&gt;=55,W696&lt;95),0.15,0)+IF(AND(V696&gt;=175,W696&gt;=95),0.12,0),
IF(AF696="DoEVku",IF(AND(V696&lt;20,W696&lt;55),0.23,0)+IF(AND(V696&lt;20,W696&gt;=55,W696&lt;105),0.2,0)+IF(AND(V696&lt;20,W696&gt;=105),0.17,0)+IF(AND(V696&gt;=20,V696&lt;40,W696&lt;45),0.23,0)+IF(AND(V696&gt;=20,V696&lt;40,W696&gt;=45,W696&lt;95),0.2,0)+IF(AND(V696&gt;=20,V696&lt;40,W696&gt;=95,W696&lt;=150),0.17,0)+IF(AND(V696&gt;=20,V696&lt;40,W696&gt;=150),0.12,0)+IF(AND(V696&gt;=40,V696&lt;75,W696&lt;35),0.23,0)+IF(AND(V696&gt;=40,V696&lt;75,W696&gt;=35,W696&lt;75),0.2,0)+IF(AND(V696&gt;=40,V696&lt;75,W696&gt;=75,W696&lt;120),0.17,0)+IF(AND(V696&gt;=40,V696&lt;75,W696&gt;=120),0.12,0)+IF(AND(V696&gt;=75,V696&lt;175,W696&lt;35),0.23,0)+IF(AND(V696&gt;=75,V696&lt;=175,W696&gt;=35,W696&lt;65),0.2,0)+IF(AND(V696&gt;=75,V696&lt;=175,W696&gt;=65,W696&lt;110),0.17,0)+IF(AND(V696&gt;=75,V696&lt;=175,W696&gt;=110),0.12,0)+IF(AND(V696&gt;175,W696&lt;25),0.23,0)+IF(AND(V696&gt;175,W696&gt;=25,W696&lt;55),0.2,0)+IF(AND(V696&gt;175,W696&gt;=55,W696&lt;95),0.17,0)+IF(AND(V696&gt;175,W696&gt;=95),0.12,0),
IF(AF696="DoEVs1",IF(AND(V696&lt;20,W696&lt;55),0.3,0)+IF(AND(V696&lt;20,W696&gt;=55,W696&lt;105),0.23,0)+IF(AND(V696&lt;20,W696&gt;=105),0.17,0)+IF(AND(V696&gt;=20,V696&lt;40,W696&lt;45),0.3,0)+IF(AND(V696&gt;=20,V696&lt;40,W696&gt;=45,W696&lt;95),0.23,0)+IF(AND(V696&gt;=20,V696&lt;40,W696&gt;=95,W696&lt;=150),0.17,0)+IF(AND(V696&gt;=20,V696&lt;40,W696&gt;=150),0.12,0)+IF(AND(V696&gt;=40,V696&lt;75,W696&lt;35),0.3,0)+IF(AND(V696&gt;=40,V696&lt;75,W696&gt;=35,W696&lt;75),0.23,0)+IF(AND(V696&gt;=40,V696&lt;75,W696&gt;=75,W696&lt;120),0.17,0)+IF(AND(V696&gt;=40,V696&lt;75,W696&gt;=120),0.12,0)+IF(AND(V696&gt;=75,V696&lt;175,W696&lt;35),0.3,0)+IF(AND(V696&gt;=75,V696&lt;=175,W696&gt;=35,W696&lt;65),0.23,0)+IF(AND(V696&gt;=75,V696&lt;=175,W696&gt;=65,W696&lt;110),0.17,0)+IF(AND(V696&gt;=75,V696&lt;=175,W696&gt;=110),0.12,0)+IF(AND(V696&gt;175,W696&lt;25),0.3,0)+IF(AND(V696&gt;175,W696&gt;=25,W696&lt;55),0.23,0)+IF(AND(V696&gt;175,W696&gt;=55,W696&lt;95),0.17,0)+IF(AND(V696&gt;175,W696&gt;=95),0.12,0),
IF(AF696="DoEVsu",IF(AND(V696&lt;20,W696&lt;55),0.3,0)+IF(AND(V696&lt;20,W696&gt;=55,W696&lt;105),0.23,0)+IF(AND(V696&lt;20,W696&gt;=105),0.17,0)+IF(AND(V696&gt;=20,V696&lt;40,W696&lt;45),0.3,0)+IF(AND(V696&gt;=20,V696&lt;40,W696&gt;=45,W696&lt;95),0.23,0)+IF(AND(V696&gt;=20,V696&lt;40,W696&gt;=95,W696&lt;=250),0.17,0)+IF(AND(V696&gt;=20,V696&lt;40,W696&gt;=250),0.12,0)+IF(AND(V696&gt;=40,V696&lt;75,W696&lt;35),0.3,0)+IF(AND(V696&gt;=40,V696&lt;75,W696&gt;=35,W696&lt;75),0.23,0)+IF(AND(V696&gt;=40,V696&lt;75,W696&gt;=75,W696&lt;120),0.17,0)+IF(AND(V696&gt;=40,V696&lt;75,W696&gt;=120),0.12,0)+IF(AND(V696&gt;=75,V696&lt;175,W696&lt;35),0.3,0)+IF(AND(V696&gt;=75,V696&lt;=175,W696&gt;=35,W696&lt;65),0.23,0)+IF(AND(V696&gt;=75,V696&lt;=175,W696&gt;=65,W696&lt;110),0.17,0)+IF(AND(V696&gt;=75,V696&lt;=175,W696&gt;=110),0.12,0)+IF(AND(V696&gt;175,W696&lt;25),0.3,0)+IF(AND(V696&gt;175,W696&gt;=25,W696&lt;55),0.23,0)+IF(AND(V696&gt;175,W696&gt;=55,W696&lt;95),0.17,0)+IF(AND(V696&gt;175,W696&gt;=95),0.12,0),
IF(AF696="DoEVni",IF(AND(V696&lt;20,W696&lt;55),0.3,0)+IF(AND(V696&lt;20,W696&gt;=55,W696&lt;105),0.23,0)+IF(AND(V696&lt;20,W696&gt;=105),0.17,0)+IF(AND(V696&gt;=20,V696&lt;40,W696&lt;45),0.3,0)+IF(AND(V696&gt;=20,V696&lt;40,W696&gt;=45,W696&lt;95),0.23,0)+IF(AND(V696&gt;=20,V696&lt;40,W696&gt;=95,W696&lt;=200),0.17,0)+IF(AND(V696&gt;=20,V696&lt;40,W696&gt;=200),0.12,0)+IF(AND(V696&gt;=40,V696&lt;75,W696&lt;35),0.3,0)+IF(AND(V696&gt;=40,V696&lt;75,W696&gt;=35,W696&lt;75),0.23,0)+IF(AND(V696&gt;=40,V696&lt;75,W696&gt;=75,W696&lt;120),0.17,0)+IF(AND(V696&gt;=40,V696&lt;75,W696&gt;=120),0.12,0)+IF(AND(V696&gt;=75,V696&lt;175,W696&lt;35),0.3,0)+IF(AND(V696&gt;=75,V696&lt;=175,W696&gt;=35,W696&lt;65),0.23,0)+IF(AND(V696&gt;=75,V696&lt;=175,W696&gt;=65,W696&lt;110),0.17,0)+IF(AND(V696&gt;=75,V696&lt;=175,W696&gt;=110),0.12,0)+IF(AND(V696&gt;175,W696&lt;25),0.3,0)+IF(AND(V696&gt;175,W696&gt;=25,W696&lt;55),0.23,0)+IF(AND(V696&gt;175,W696&gt;=55,W696&lt;95),0.17,0)+IF(AND(V696&gt;175,W696&gt;=95),0.12,0),
IF(AF696="DoEVLo",IF(AND(V696&lt;20,W696&lt;55),0.25,0)+IF(AND(V696&lt;20,W696&gt;=55,W696&lt;105),0.2,0)+IF(AND(V696&lt;20,W696&gt;=105),0.15,0)+IF(AND(V696&gt;=20,V696&lt;40,W696&lt;45),0.25,0)+IF(AND(V696&gt;=20,V696&lt;40,W696&gt;=45,W696&lt;95),0.2,0)+IF(AND(V696&gt;=20,V696&lt;40,W696&gt;=95),0.15,0)+IF(AND(V696&gt;=40,V696&lt;75,W696&lt;35),0.25,0)+IF(AND(V696&gt;=40,V696&lt;75,W696&gt;=35,W696&lt;75),0.2,0)+IF(AND(V696&gt;=40,V696&lt;75,W696&gt;=75,W696&lt;120),0.15,0)+IF(AND(V696&gt;=40,V696&lt;75,W696&gt;=120),0.1,0)+IF(AND(V696&gt;=75,V696&lt;175,W696&lt;35),0.25,0)+IF(AND(V696&gt;=75,V696&lt;=175,W696&gt;=35,W696&lt;65),0.2,0)+IF(AND(V696&gt;=75,V696&lt;=175,W696&gt;=65,W696&lt;110),0.15,0)+IF(AND(V696&gt;=75,V696&lt;=175,W696&gt;=110),0.1,0)+IF(AND(V696&gt;175,W696&lt;25),0.25,0)+IF(AND(V696&gt;175,W696&gt;=25,W696&lt;55),0.2,0)+IF(AND(V696&gt;175,W696&gt;=55,W696&lt;95),0.15,0)+IF(AND(V696&gt;175,W696&gt;=95),0.1,0))))))))))))))))))</f>
        <v>0.19</v>
      </c>
      <c r="Y696" s="30">
        <f>IF(AG696="None",0,IF(AG696="Fix5",0.05, IF(AG696="Fix6.25",0.0625,IF(AG696="Fix3.75",0.0375,IF(AG696="Fix10",0.1,IF(AG696="Fix3",0.03,0))))))</f>
        <v>0</v>
      </c>
      <c r="Z696" s="35">
        <f>T696-AA696-AB696</f>
        <v>3.24</v>
      </c>
      <c r="AA696" s="29">
        <f>IF(AD696="EUR",((T696-R696)*X696)*U696+(R696*X696),(T696*X696))</f>
        <v>0.76</v>
      </c>
      <c r="AB696" s="36">
        <f>IF(AD696="EUR",((T696-R696)*Y696)*U696+(R696*Y696),(T696*Y696))</f>
        <v>0</v>
      </c>
      <c r="AC696" s="37" t="b">
        <v>1</v>
      </c>
      <c r="AD696" s="37" t="s">
        <v>38</v>
      </c>
      <c r="AE696" s="37" t="s">
        <v>38</v>
      </c>
      <c r="AF696" s="37" t="str">
        <f t="array" ref="AF696">INDEX('Deal Info'!D:D, MATCH(A696,'Deal Info'!A:A, 0))</f>
        <v>Fix19</v>
      </c>
      <c r="AG696" s="38" t="str">
        <f t="array" ref="AG696">INDEX('Deal Info'!G:G, MATCH(A696,'Deal Info'!A:A, 0))</f>
        <v>None</v>
      </c>
    </row>
    <row r="697" spans="1:33" ht="14.25" hidden="1" x14ac:dyDescent="0.2">
      <c r="A697" s="18" t="str">
        <f t="array" ref="A697">IF(G697='Room Info'!$B$1, INDEX('Room Info'!$A$2:$A2446, MATCH(B697,'Room Info'!$B$2:$B2446, 0)),IF(G697='Room Info'!$C$1, INDEX('Room Info'!$A$2:$A2446, MATCH(B697,'Room Info'!$C$2:$C2446, 0)),IF(G697='Room Info'!$D$1, INDEX('Room Info'!$A$2:$A2446, MATCH(B697,'Room Info'!$D$2:$D2446, 0)),IF(G697='Room Info'!$E$1, INDEX('Room Info'!$A$2:$A2446, MATCH(B697,'Room Info'!$E$2:$E2446, 0)),IF(G697='Room Info'!$F$1, INDEX('Room Info'!$A$2:$A2446, MATCH(B697,'Room Info'!$F$2:$F2446, 0)),IF(G697='Room Info'!$H$1, INDEX('Room Info'!$A$2:$A2446, MATCH(B697,'Room Info'!$H$2:$H2446, 0)),IF(G697='Room Info'!$G$1, INDEX('Room Info'!$A$2:$A2446, MATCH(B697,'Room Info'!$G$2:$G2446, 0)))))))))</f>
        <v>dimasik</v>
      </c>
      <c r="B697" s="45" t="s">
        <v>162</v>
      </c>
      <c r="C697" s="46">
        <v>44835</v>
      </c>
      <c r="D697" s="46">
        <v>44865</v>
      </c>
      <c r="E697" s="47">
        <v>44835</v>
      </c>
      <c r="F697" s="48" t="s">
        <v>41</v>
      </c>
      <c r="G697" s="45" t="s">
        <v>35</v>
      </c>
      <c r="H697" s="49" t="s">
        <v>84</v>
      </c>
      <c r="I697" s="49" t="s">
        <v>44</v>
      </c>
      <c r="J697" s="50">
        <v>100</v>
      </c>
      <c r="K697" s="51">
        <v>1428</v>
      </c>
      <c r="L697" s="52">
        <v>-11400</v>
      </c>
      <c r="M697" s="53">
        <v>5454</v>
      </c>
      <c r="N697" s="28">
        <f>K697*J697</f>
        <v>142800</v>
      </c>
      <c r="O697" s="65"/>
      <c r="P697" s="29">
        <v>0</v>
      </c>
      <c r="Q697" s="55"/>
      <c r="R697" s="31">
        <f>M697+Q697</f>
        <v>5454</v>
      </c>
      <c r="S697" s="66"/>
      <c r="T697" s="32">
        <f>R697+S697+IF(F697="Without EV deal",L697,0)</f>
        <v>-5946</v>
      </c>
      <c r="U697" s="57">
        <v>1</v>
      </c>
      <c r="V697" s="58"/>
      <c r="W697" s="58"/>
      <c r="X697" s="30">
        <f>IF(AF697="DoEV",IF(AND(V697&lt;20,W697&lt;55),0.3,0)+IF(AND(V697&lt;20,W697&gt;=55,W697&lt;105),0.23,0)+IF(AND(V697&lt;20,W697&gt;=105),0.17,0)+IF(AND(V697&gt;=20,V697&lt;40,W697&lt;45),0.3,0)+IF(AND(V697&gt;=20,V697&lt;40,W697&gt;=45,W697&lt;95),0.23,0)+IF(AND(V697&gt;=20,V697&lt;40,W697&gt;=95),0.17,0)+IF(AND(V697&gt;=40,V697&lt;75,W697&lt;35),0.3,0)+IF(AND(V697&gt;=40,V697&lt;75,W697&gt;=35,W697&lt;75),0.23,0)+IF(AND(V697&gt;=40,V697&lt;75,W697&gt;=75,W697&lt;120),0.17,0)+IF(AND(V697&gt;=40,V697&lt;75,W697&gt;=120),0.12,0)+IF(AND(V697&gt;=75,V697&lt;175,W697&lt;35),0.3,0)+IF(AND(V697&gt;=75,V697&lt;=175,W697&gt;=35,W697&lt;65),0.23,0)+IF(AND(V697&gt;=75,V697&lt;=175,W697&gt;=65,W697&lt;110),0.17,0)+IF(AND(V697&gt;=75,V697&lt;=175,W697&gt;=110),0.12,0)+IF(AND(V697&gt;175,W697&lt;25),0.3,0)+IF(AND(V697&gt;175,W697&gt;=25,W697&lt;55),0.23,0)+IF(AND(V697&gt;175,W697&gt;=55,W697&lt;95),0.17,0)+IF(AND(V697&gt;175,W697&gt;=95),0.12,0),
IF(AF697="Fix15",0.15,
IF(AF697="Fix18.75",0.1875,
IF(AF697="Fix11.25",0.1125,
IF(AF697="Fix10",0.1,
IF(AF697="Fix9",0.09,
IF(AF697="Fix19",0.19,
IF(AF697="DoEV2017",IF(AND(W697&lt;74),0.2,0)+IF(AND(W697&gt;=74),0.17,0),
IF(AF697="SF",IF(AND(V697&lt;20,W697&lt;89),0.3,0)+IF(AND(V697&lt;20,W697&gt;=89),0.25,0)+IF(AND(V697&gt;=20,V697&lt;40,W697&lt;74),0.3,0)+IF(AND(V697&gt;=20,V697&lt;40,W697&gt;=75),0.22,0)+IF(AND(V697&gt;=40,V697&lt;75,W697&lt;75),0.26,0)+IF(AND(V697&gt;=40,V697&lt;75,W697&gt;=75),0.22,0)+IF(V697&gt;=75,0.22,0),
IF(AF697="DoEVold",IF(AND(V697&lt;40,W697&lt;35),0.35,0)+IF(AND(V697&lt;40,W697&gt;=35,W697&lt;75),0.25,0)+IF(AND(V697&lt;40,W697&gt;=75),0.17,0)+IF(AND(V697&gt;=40,V697&lt;75,W697&lt;25),0.35,0)+IF(AND(V697&gt;=40,V697&lt;75,W697&gt;=25,W697&lt;65),0.25,0)+IF(AND(V697&gt;=40,V697&lt;75,W697&gt;=65,W697&lt;100),0.17,0)+IF(AND(V697&gt;=40,V697&lt;75,W697&gt;=100),0.1,0)+IF(AND(V697&gt;=75,W697&lt;25),0.35,0)+IF(AND(V697&gt;=75,W697&gt;=25,W697&lt;60),0.25,0)+IF(AND(V697&gt;=75,W697&gt;=60,W697&lt;95),0.17,0)+IF(AND(V697&gt;=75,W697&gt;=95),0.1,0),
IF(AF697="DoEVold15",IF(AND(V697&lt;=40,W697&lt;35),0.35,0)+IF(AND(V697&lt;=40,W697&gt;=35,W697&lt;75),0.25,0)+IF(AND(V697&lt;=40,W697&gt;=75,W697&lt;120),0.17,0)+IF(AND(V697&lt;=40,W697&gt;=120),0.15,0)+IF(AND(V697&gt;40,V697&lt;75,W697&lt;25),0.35,0)+IF(AND(V697&gt;=40,V697&lt;75,W697&gt;=25,W697&lt;65),0.25,0)+IF(AND(V697&gt;=40,V697&lt;75,W697&gt;=65,W697&lt;100),0.17,0)+IF(AND(V697&gt;=40,V697&lt;75,W697&gt;=100),0.1,0)+IF(AND(V697&gt;=75,W697&lt;25),0.35,0)+IF(AND(V697&gt;=75,W697&gt;=25,W697&lt;60),0.25,0)+IF(AND(V697&gt;=75,W697&gt;=60,W697&lt;95),0.17,0)+IF(AND(V697&gt;=75,W697&gt;=95),0.1,0),
IF(AF697="DoEVba",IF(AND(V697&lt;20,W697&lt;105),0.2,0)+IF(AND(V697&lt;20,W697&gt;=105),0.15,0)+IF(AND(V697&gt;=20,V697&lt;40,W697&lt;95),0.2,0)+IF(AND(V697&gt;=20,V697&lt;40,W697&gt;=95,W697&lt;150),0.15,0)+IF(AND(V697&gt;=20,V697&lt;40,W697&gt;=150),0.12,0)+IF(AND(V697&gt;=40,V697&lt;75,W697&lt;75),0.2,0)+IF(AND(V697&gt;=40,V697&lt;75,W697&gt;=75,W697&lt;120),0.15,0)+IF(AND(V697&gt;=40,V697&lt;75,W697&gt;=120),0.12,0)+IF(AND(V697&gt;=75,V697&lt;175,W697&lt;65),0.2,0)+IF(AND(V697&gt;=75,V697&lt;175,W697&gt;=65,W697&lt;110),0.15,0)+IF(AND(V697&gt;=75,V697&lt;175,W697&gt;=110),0.12,0)+IF(AND(V697&gt;=175,W697&lt;55),0.2,0)+IF(AND(V697&gt;=175,W697&gt;=55,W697&lt;95),0.15,0)+IF(AND(V697&gt;=175,W697&gt;=95),0.12,0),
IF(AF697="DoEVku",IF(AND(V697&lt;20,W697&lt;55),0.23,0)+IF(AND(V697&lt;20,W697&gt;=55,W697&lt;105),0.2,0)+IF(AND(V697&lt;20,W697&gt;=105),0.17,0)+IF(AND(V697&gt;=20,V697&lt;40,W697&lt;45),0.23,0)+IF(AND(V697&gt;=20,V697&lt;40,W697&gt;=45,W697&lt;95),0.2,0)+IF(AND(V697&gt;=20,V697&lt;40,W697&gt;=95,W697&lt;=150),0.17,0)+IF(AND(V697&gt;=20,V697&lt;40,W697&gt;=150),0.12,0)+IF(AND(V697&gt;=40,V697&lt;75,W697&lt;35),0.23,0)+IF(AND(V697&gt;=40,V697&lt;75,W697&gt;=35,W697&lt;75),0.2,0)+IF(AND(V697&gt;=40,V697&lt;75,W697&gt;=75,W697&lt;120),0.17,0)+IF(AND(V697&gt;=40,V697&lt;75,W697&gt;=120),0.12,0)+IF(AND(V697&gt;=75,V697&lt;175,W697&lt;35),0.23,0)+IF(AND(V697&gt;=75,V697&lt;=175,W697&gt;=35,W697&lt;65),0.2,0)+IF(AND(V697&gt;=75,V697&lt;=175,W697&gt;=65,W697&lt;110),0.17,0)+IF(AND(V697&gt;=75,V697&lt;=175,W697&gt;=110),0.12,0)+IF(AND(V697&gt;175,W697&lt;25),0.23,0)+IF(AND(V697&gt;175,W697&gt;=25,W697&lt;55),0.2,0)+IF(AND(V697&gt;175,W697&gt;=55,W697&lt;95),0.17,0)+IF(AND(V697&gt;175,W697&gt;=95),0.12,0),
IF(AF697="DoEVs1",IF(AND(V697&lt;20,W697&lt;55),0.3,0)+IF(AND(V697&lt;20,W697&gt;=55,W697&lt;105),0.23,0)+IF(AND(V697&lt;20,W697&gt;=105),0.17,0)+IF(AND(V697&gt;=20,V697&lt;40,W697&lt;45),0.3,0)+IF(AND(V697&gt;=20,V697&lt;40,W697&gt;=45,W697&lt;95),0.23,0)+IF(AND(V697&gt;=20,V697&lt;40,W697&gt;=95,W697&lt;=150),0.17,0)+IF(AND(V697&gt;=20,V697&lt;40,W697&gt;=150),0.12,0)+IF(AND(V697&gt;=40,V697&lt;75,W697&lt;35),0.3,0)+IF(AND(V697&gt;=40,V697&lt;75,W697&gt;=35,W697&lt;75),0.23,0)+IF(AND(V697&gt;=40,V697&lt;75,W697&gt;=75,W697&lt;120),0.17,0)+IF(AND(V697&gt;=40,V697&lt;75,W697&gt;=120),0.12,0)+IF(AND(V697&gt;=75,V697&lt;175,W697&lt;35),0.3,0)+IF(AND(V697&gt;=75,V697&lt;=175,W697&gt;=35,W697&lt;65),0.23,0)+IF(AND(V697&gt;=75,V697&lt;=175,W697&gt;=65,W697&lt;110),0.17,0)+IF(AND(V697&gt;=75,V697&lt;=175,W697&gt;=110),0.12,0)+IF(AND(V697&gt;175,W697&lt;25),0.3,0)+IF(AND(V697&gt;175,W697&gt;=25,W697&lt;55),0.23,0)+IF(AND(V697&gt;175,W697&gt;=55,W697&lt;95),0.17,0)+IF(AND(V697&gt;175,W697&gt;=95),0.12,0),
IF(AF697="DoEVsu",IF(AND(V697&lt;20,W697&lt;55),0.3,0)+IF(AND(V697&lt;20,W697&gt;=55,W697&lt;105),0.23,0)+IF(AND(V697&lt;20,W697&gt;=105),0.17,0)+IF(AND(V697&gt;=20,V697&lt;40,W697&lt;45),0.3,0)+IF(AND(V697&gt;=20,V697&lt;40,W697&gt;=45,W697&lt;95),0.23,0)+IF(AND(V697&gt;=20,V697&lt;40,W697&gt;=95,W697&lt;=250),0.17,0)+IF(AND(V697&gt;=20,V697&lt;40,W697&gt;=250),0.12,0)+IF(AND(V697&gt;=40,V697&lt;75,W697&lt;35),0.3,0)+IF(AND(V697&gt;=40,V697&lt;75,W697&gt;=35,W697&lt;75),0.23,0)+IF(AND(V697&gt;=40,V697&lt;75,W697&gt;=75,W697&lt;120),0.17,0)+IF(AND(V697&gt;=40,V697&lt;75,W697&gt;=120),0.12,0)+IF(AND(V697&gt;=75,V697&lt;175,W697&lt;35),0.3,0)+IF(AND(V697&gt;=75,V697&lt;=175,W697&gt;=35,W697&lt;65),0.23,0)+IF(AND(V697&gt;=75,V697&lt;=175,W697&gt;=65,W697&lt;110),0.17,0)+IF(AND(V697&gt;=75,V697&lt;=175,W697&gt;=110),0.12,0)+IF(AND(V697&gt;175,W697&lt;25),0.3,0)+IF(AND(V697&gt;175,W697&gt;=25,W697&lt;55),0.23,0)+IF(AND(V697&gt;175,W697&gt;=55,W697&lt;95),0.17,0)+IF(AND(V697&gt;175,W697&gt;=95),0.12,0),
IF(AF697="DoEVni",IF(AND(V697&lt;20,W697&lt;55),0.3,0)+IF(AND(V697&lt;20,W697&gt;=55,W697&lt;105),0.23,0)+IF(AND(V697&lt;20,W697&gt;=105),0.17,0)+IF(AND(V697&gt;=20,V697&lt;40,W697&lt;45),0.3,0)+IF(AND(V697&gt;=20,V697&lt;40,W697&gt;=45,W697&lt;95),0.23,0)+IF(AND(V697&gt;=20,V697&lt;40,W697&gt;=95,W697&lt;=200),0.17,0)+IF(AND(V697&gt;=20,V697&lt;40,W697&gt;=200),0.12,0)+IF(AND(V697&gt;=40,V697&lt;75,W697&lt;35),0.3,0)+IF(AND(V697&gt;=40,V697&lt;75,W697&gt;=35,W697&lt;75),0.23,0)+IF(AND(V697&gt;=40,V697&lt;75,W697&gt;=75,W697&lt;120),0.17,0)+IF(AND(V697&gt;=40,V697&lt;75,W697&gt;=120),0.12,0)+IF(AND(V697&gt;=75,V697&lt;175,W697&lt;35),0.3,0)+IF(AND(V697&gt;=75,V697&lt;=175,W697&gt;=35,W697&lt;65),0.23,0)+IF(AND(V697&gt;=75,V697&lt;=175,W697&gt;=65,W697&lt;110),0.17,0)+IF(AND(V697&gt;=75,V697&lt;=175,W697&gt;=110),0.12,0)+IF(AND(V697&gt;175,W697&lt;25),0.3,0)+IF(AND(V697&gt;175,W697&gt;=25,W697&lt;55),0.23,0)+IF(AND(V697&gt;175,W697&gt;=55,W697&lt;95),0.17,0)+IF(AND(V697&gt;175,W697&gt;=95),0.12,0),
IF(AF697="DoEVLo",IF(AND(V697&lt;20,W697&lt;55),0.25,0)+IF(AND(V697&lt;20,W697&gt;=55,W697&lt;105),0.2,0)+IF(AND(V697&lt;20,W697&gt;=105),0.15,0)+IF(AND(V697&gt;=20,V697&lt;40,W697&lt;45),0.25,0)+IF(AND(V697&gt;=20,V697&lt;40,W697&gt;=45,W697&lt;95),0.2,0)+IF(AND(V697&gt;=20,V697&lt;40,W697&gt;=95),0.15,0)+IF(AND(V697&gt;=40,V697&lt;75,W697&lt;35),0.25,0)+IF(AND(V697&gt;=40,V697&lt;75,W697&gt;=35,W697&lt;75),0.2,0)+IF(AND(V697&gt;=40,V697&lt;75,W697&gt;=75,W697&lt;120),0.15,0)+IF(AND(V697&gt;=40,V697&lt;75,W697&gt;=120),0.1,0)+IF(AND(V697&gt;=75,V697&lt;175,W697&lt;35),0.25,0)+IF(AND(V697&gt;=75,V697&lt;=175,W697&gt;=35,W697&lt;65),0.2,0)+IF(AND(V697&gt;=75,V697&lt;=175,W697&gt;=65,W697&lt;110),0.15,0)+IF(AND(V697&gt;=75,V697&lt;=175,W697&gt;=110),0.1,0)+IF(AND(V697&gt;175,W697&lt;25),0.25,0)+IF(AND(V697&gt;175,W697&gt;=25,W697&lt;55),0.2,0)+IF(AND(V697&gt;175,W697&gt;=55,W697&lt;95),0.15,0)+IF(AND(V697&gt;175,W697&gt;=95),0.1,0))))))))))))))))))</f>
        <v>0.19</v>
      </c>
      <c r="Y697" s="30">
        <f>IF(AG697="None",0,IF(AG697="Fix5",0.05, IF(AG697="Fix6.25",0.0625,IF(AG697="Fix3.75",0.0375,IF(AG697="Fix10",0.1,IF(AG697="Fix3",0.03,0))))))</f>
        <v>0</v>
      </c>
      <c r="Z697" s="35">
        <f>T697-AA697-AB697</f>
        <v>-4816.26</v>
      </c>
      <c r="AA697" s="29">
        <f>IF(AD697="EUR",((T697-R697)*X697)*U697+(R697*X697),(T697*X697))</f>
        <v>-1129.74</v>
      </c>
      <c r="AB697" s="36">
        <f>IF(AD697="EUR",((T697-R697)*Y697)*U697+(R697*Y697),(T697*Y697))</f>
        <v>0</v>
      </c>
      <c r="AC697" s="37" t="b">
        <v>1</v>
      </c>
      <c r="AD697" s="37" t="s">
        <v>38</v>
      </c>
      <c r="AE697" s="37" t="s">
        <v>38</v>
      </c>
      <c r="AF697" s="37" t="str">
        <f t="array" ref="AF697">INDEX('Deal Info'!D:D, MATCH(A697,'Deal Info'!A:A, 0))</f>
        <v>Fix19</v>
      </c>
      <c r="AG697" s="38" t="str">
        <f t="array" ref="AG697">INDEX('Deal Info'!G:G, MATCH(A697,'Deal Info'!A:A, 0))</f>
        <v>None</v>
      </c>
    </row>
    <row r="698" spans="1:33" ht="14.25" hidden="1" x14ac:dyDescent="0.2">
      <c r="A698" s="18" t="str">
        <f t="array" ref="A698">IF(G698='Room Info'!$B$1, INDEX('Room Info'!$A$2:$A2446, MATCH(B698,'Room Info'!$B$2:$B2446, 0)),IF(G698='Room Info'!$C$1, INDEX('Room Info'!$A$2:$A2446, MATCH(B698,'Room Info'!$C$2:$C2446, 0)),IF(G698='Room Info'!$D$1, INDEX('Room Info'!$A$2:$A2446, MATCH(B698,'Room Info'!$D$2:$D2446, 0)),IF(G698='Room Info'!$E$1, INDEX('Room Info'!$A$2:$A2446, MATCH(B698,'Room Info'!$E$2:$E2446, 0)),IF(G698='Room Info'!$F$1, INDEX('Room Info'!$A$2:$A2446, MATCH(B698,'Room Info'!$F$2:$F2446, 0)),IF(G698='Room Info'!$H$1, INDEX('Room Info'!$A$2:$A2446, MATCH(B698,'Room Info'!$H$2:$H2446, 0)),IF(G698='Room Info'!$G$1, INDEX('Room Info'!$A$2:$A2446, MATCH(B698,'Room Info'!$G$2:$G2446, 0)))))))))</f>
        <v>dimasik</v>
      </c>
      <c r="B698" s="45" t="s">
        <v>162</v>
      </c>
      <c r="C698" s="46">
        <v>44835</v>
      </c>
      <c r="D698" s="46">
        <v>44865</v>
      </c>
      <c r="E698" s="47">
        <v>44835</v>
      </c>
      <c r="F698" s="48" t="s">
        <v>41</v>
      </c>
      <c r="G698" s="45" t="s">
        <v>35</v>
      </c>
      <c r="H698" s="49" t="s">
        <v>88</v>
      </c>
      <c r="I698" s="49" t="s">
        <v>37</v>
      </c>
      <c r="J698" s="50">
        <v>250</v>
      </c>
      <c r="K698" s="51">
        <v>745</v>
      </c>
      <c r="L698" s="52">
        <v>9250</v>
      </c>
      <c r="M698" s="53">
        <v>7114</v>
      </c>
      <c r="N698" s="28">
        <f>K698*J698</f>
        <v>186250</v>
      </c>
      <c r="O698" s="65"/>
      <c r="P698" s="29">
        <v>0</v>
      </c>
      <c r="Q698" s="55"/>
      <c r="R698" s="31">
        <f>M698+Q698</f>
        <v>7114</v>
      </c>
      <c r="S698" s="66"/>
      <c r="T698" s="32">
        <f>R698+S698+IF(F698="Without EV deal",L698,0)</f>
        <v>16364</v>
      </c>
      <c r="U698" s="57">
        <v>1</v>
      </c>
      <c r="V698" s="58"/>
      <c r="W698" s="58"/>
      <c r="X698" s="30">
        <f>IF(AF698="DoEV",IF(AND(V698&lt;20,W698&lt;55),0.3,0)+IF(AND(V698&lt;20,W698&gt;=55,W698&lt;105),0.23,0)+IF(AND(V698&lt;20,W698&gt;=105),0.17,0)+IF(AND(V698&gt;=20,V698&lt;40,W698&lt;45),0.3,0)+IF(AND(V698&gt;=20,V698&lt;40,W698&gt;=45,W698&lt;95),0.23,0)+IF(AND(V698&gt;=20,V698&lt;40,W698&gt;=95),0.17,0)+IF(AND(V698&gt;=40,V698&lt;75,W698&lt;35),0.3,0)+IF(AND(V698&gt;=40,V698&lt;75,W698&gt;=35,W698&lt;75),0.23,0)+IF(AND(V698&gt;=40,V698&lt;75,W698&gt;=75,W698&lt;120),0.17,0)+IF(AND(V698&gt;=40,V698&lt;75,W698&gt;=120),0.12,0)+IF(AND(V698&gt;=75,V698&lt;175,W698&lt;35),0.3,0)+IF(AND(V698&gt;=75,V698&lt;=175,W698&gt;=35,W698&lt;65),0.23,0)+IF(AND(V698&gt;=75,V698&lt;=175,W698&gt;=65,W698&lt;110),0.17,0)+IF(AND(V698&gt;=75,V698&lt;=175,W698&gt;=110),0.12,0)+IF(AND(V698&gt;175,W698&lt;25),0.3,0)+IF(AND(V698&gt;175,W698&gt;=25,W698&lt;55),0.23,0)+IF(AND(V698&gt;175,W698&gt;=55,W698&lt;95),0.17,0)+IF(AND(V698&gt;175,W698&gt;=95),0.12,0),
IF(AF698="Fix15",0.15,
IF(AF698="Fix18.75",0.1875,
IF(AF698="Fix11.25",0.1125,
IF(AF698="Fix10",0.1,
IF(AF698="Fix9",0.09,
IF(AF698="Fix19",0.19,
IF(AF698="DoEV2017",IF(AND(W698&lt;74),0.2,0)+IF(AND(W698&gt;=74),0.17,0),
IF(AF698="SF",IF(AND(V698&lt;20,W698&lt;89),0.3,0)+IF(AND(V698&lt;20,W698&gt;=89),0.25,0)+IF(AND(V698&gt;=20,V698&lt;40,W698&lt;74),0.3,0)+IF(AND(V698&gt;=20,V698&lt;40,W698&gt;=75),0.22,0)+IF(AND(V698&gt;=40,V698&lt;75,W698&lt;75),0.26,0)+IF(AND(V698&gt;=40,V698&lt;75,W698&gt;=75),0.22,0)+IF(V698&gt;=75,0.22,0),
IF(AF698="DoEVold",IF(AND(V698&lt;40,W698&lt;35),0.35,0)+IF(AND(V698&lt;40,W698&gt;=35,W698&lt;75),0.25,0)+IF(AND(V698&lt;40,W698&gt;=75),0.17,0)+IF(AND(V698&gt;=40,V698&lt;75,W698&lt;25),0.35,0)+IF(AND(V698&gt;=40,V698&lt;75,W698&gt;=25,W698&lt;65),0.25,0)+IF(AND(V698&gt;=40,V698&lt;75,W698&gt;=65,W698&lt;100),0.17,0)+IF(AND(V698&gt;=40,V698&lt;75,W698&gt;=100),0.1,0)+IF(AND(V698&gt;=75,W698&lt;25),0.35,0)+IF(AND(V698&gt;=75,W698&gt;=25,W698&lt;60),0.25,0)+IF(AND(V698&gt;=75,W698&gt;=60,W698&lt;95),0.17,0)+IF(AND(V698&gt;=75,W698&gt;=95),0.1,0),
IF(AF698="DoEVold15",IF(AND(V698&lt;=40,W698&lt;35),0.35,0)+IF(AND(V698&lt;=40,W698&gt;=35,W698&lt;75),0.25,0)+IF(AND(V698&lt;=40,W698&gt;=75,W698&lt;120),0.17,0)+IF(AND(V698&lt;=40,W698&gt;=120),0.15,0)+IF(AND(V698&gt;40,V698&lt;75,W698&lt;25),0.35,0)+IF(AND(V698&gt;=40,V698&lt;75,W698&gt;=25,W698&lt;65),0.25,0)+IF(AND(V698&gt;=40,V698&lt;75,W698&gt;=65,W698&lt;100),0.17,0)+IF(AND(V698&gt;=40,V698&lt;75,W698&gt;=100),0.1,0)+IF(AND(V698&gt;=75,W698&lt;25),0.35,0)+IF(AND(V698&gt;=75,W698&gt;=25,W698&lt;60),0.25,0)+IF(AND(V698&gt;=75,W698&gt;=60,W698&lt;95),0.17,0)+IF(AND(V698&gt;=75,W698&gt;=95),0.1,0),
IF(AF698="DoEVba",IF(AND(V698&lt;20,W698&lt;105),0.2,0)+IF(AND(V698&lt;20,W698&gt;=105),0.15,0)+IF(AND(V698&gt;=20,V698&lt;40,W698&lt;95),0.2,0)+IF(AND(V698&gt;=20,V698&lt;40,W698&gt;=95,W698&lt;150),0.15,0)+IF(AND(V698&gt;=20,V698&lt;40,W698&gt;=150),0.12,0)+IF(AND(V698&gt;=40,V698&lt;75,W698&lt;75),0.2,0)+IF(AND(V698&gt;=40,V698&lt;75,W698&gt;=75,W698&lt;120),0.15,0)+IF(AND(V698&gt;=40,V698&lt;75,W698&gt;=120),0.12,0)+IF(AND(V698&gt;=75,V698&lt;175,W698&lt;65),0.2,0)+IF(AND(V698&gt;=75,V698&lt;175,W698&gt;=65,W698&lt;110),0.15,0)+IF(AND(V698&gt;=75,V698&lt;175,W698&gt;=110),0.12,0)+IF(AND(V698&gt;=175,W698&lt;55),0.2,0)+IF(AND(V698&gt;=175,W698&gt;=55,W698&lt;95),0.15,0)+IF(AND(V698&gt;=175,W698&gt;=95),0.12,0),
IF(AF698="DoEVku",IF(AND(V698&lt;20,W698&lt;55),0.23,0)+IF(AND(V698&lt;20,W698&gt;=55,W698&lt;105),0.2,0)+IF(AND(V698&lt;20,W698&gt;=105),0.17,0)+IF(AND(V698&gt;=20,V698&lt;40,W698&lt;45),0.23,0)+IF(AND(V698&gt;=20,V698&lt;40,W698&gt;=45,W698&lt;95),0.2,0)+IF(AND(V698&gt;=20,V698&lt;40,W698&gt;=95,W698&lt;=150),0.17,0)+IF(AND(V698&gt;=20,V698&lt;40,W698&gt;=150),0.12,0)+IF(AND(V698&gt;=40,V698&lt;75,W698&lt;35),0.23,0)+IF(AND(V698&gt;=40,V698&lt;75,W698&gt;=35,W698&lt;75),0.2,0)+IF(AND(V698&gt;=40,V698&lt;75,W698&gt;=75,W698&lt;120),0.17,0)+IF(AND(V698&gt;=40,V698&lt;75,W698&gt;=120),0.12,0)+IF(AND(V698&gt;=75,V698&lt;175,W698&lt;35),0.23,0)+IF(AND(V698&gt;=75,V698&lt;=175,W698&gt;=35,W698&lt;65),0.2,0)+IF(AND(V698&gt;=75,V698&lt;=175,W698&gt;=65,W698&lt;110),0.17,0)+IF(AND(V698&gt;=75,V698&lt;=175,W698&gt;=110),0.12,0)+IF(AND(V698&gt;175,W698&lt;25),0.23,0)+IF(AND(V698&gt;175,W698&gt;=25,W698&lt;55),0.2,0)+IF(AND(V698&gt;175,W698&gt;=55,W698&lt;95),0.17,0)+IF(AND(V698&gt;175,W698&gt;=95),0.12,0),
IF(AF698="DoEVs1",IF(AND(V698&lt;20,W698&lt;55),0.3,0)+IF(AND(V698&lt;20,W698&gt;=55,W698&lt;105),0.23,0)+IF(AND(V698&lt;20,W698&gt;=105),0.17,0)+IF(AND(V698&gt;=20,V698&lt;40,W698&lt;45),0.3,0)+IF(AND(V698&gt;=20,V698&lt;40,W698&gt;=45,W698&lt;95),0.23,0)+IF(AND(V698&gt;=20,V698&lt;40,W698&gt;=95,W698&lt;=150),0.17,0)+IF(AND(V698&gt;=20,V698&lt;40,W698&gt;=150),0.12,0)+IF(AND(V698&gt;=40,V698&lt;75,W698&lt;35),0.3,0)+IF(AND(V698&gt;=40,V698&lt;75,W698&gt;=35,W698&lt;75),0.23,0)+IF(AND(V698&gt;=40,V698&lt;75,W698&gt;=75,W698&lt;120),0.17,0)+IF(AND(V698&gt;=40,V698&lt;75,W698&gt;=120),0.12,0)+IF(AND(V698&gt;=75,V698&lt;175,W698&lt;35),0.3,0)+IF(AND(V698&gt;=75,V698&lt;=175,W698&gt;=35,W698&lt;65),0.23,0)+IF(AND(V698&gt;=75,V698&lt;=175,W698&gt;=65,W698&lt;110),0.17,0)+IF(AND(V698&gt;=75,V698&lt;=175,W698&gt;=110),0.12,0)+IF(AND(V698&gt;175,W698&lt;25),0.3,0)+IF(AND(V698&gt;175,W698&gt;=25,W698&lt;55),0.23,0)+IF(AND(V698&gt;175,W698&gt;=55,W698&lt;95),0.17,0)+IF(AND(V698&gt;175,W698&gt;=95),0.12,0),
IF(AF698="DoEVsu",IF(AND(V698&lt;20,W698&lt;55),0.3,0)+IF(AND(V698&lt;20,W698&gt;=55,W698&lt;105),0.23,0)+IF(AND(V698&lt;20,W698&gt;=105),0.17,0)+IF(AND(V698&gt;=20,V698&lt;40,W698&lt;45),0.3,0)+IF(AND(V698&gt;=20,V698&lt;40,W698&gt;=45,W698&lt;95),0.23,0)+IF(AND(V698&gt;=20,V698&lt;40,W698&gt;=95,W698&lt;=250),0.17,0)+IF(AND(V698&gt;=20,V698&lt;40,W698&gt;=250),0.12,0)+IF(AND(V698&gt;=40,V698&lt;75,W698&lt;35),0.3,0)+IF(AND(V698&gt;=40,V698&lt;75,W698&gt;=35,W698&lt;75),0.23,0)+IF(AND(V698&gt;=40,V698&lt;75,W698&gt;=75,W698&lt;120),0.17,0)+IF(AND(V698&gt;=40,V698&lt;75,W698&gt;=120),0.12,0)+IF(AND(V698&gt;=75,V698&lt;175,W698&lt;35),0.3,0)+IF(AND(V698&gt;=75,V698&lt;=175,W698&gt;=35,W698&lt;65),0.23,0)+IF(AND(V698&gt;=75,V698&lt;=175,W698&gt;=65,W698&lt;110),0.17,0)+IF(AND(V698&gt;=75,V698&lt;=175,W698&gt;=110),0.12,0)+IF(AND(V698&gt;175,W698&lt;25),0.3,0)+IF(AND(V698&gt;175,W698&gt;=25,W698&lt;55),0.23,0)+IF(AND(V698&gt;175,W698&gt;=55,W698&lt;95),0.17,0)+IF(AND(V698&gt;175,W698&gt;=95),0.12,0),
IF(AF698="DoEVni",IF(AND(V698&lt;20,W698&lt;55),0.3,0)+IF(AND(V698&lt;20,W698&gt;=55,W698&lt;105),0.23,0)+IF(AND(V698&lt;20,W698&gt;=105),0.17,0)+IF(AND(V698&gt;=20,V698&lt;40,W698&lt;45),0.3,0)+IF(AND(V698&gt;=20,V698&lt;40,W698&gt;=45,W698&lt;95),0.23,0)+IF(AND(V698&gt;=20,V698&lt;40,W698&gt;=95,W698&lt;=200),0.17,0)+IF(AND(V698&gt;=20,V698&lt;40,W698&gt;=200),0.12,0)+IF(AND(V698&gt;=40,V698&lt;75,W698&lt;35),0.3,0)+IF(AND(V698&gt;=40,V698&lt;75,W698&gt;=35,W698&lt;75),0.23,0)+IF(AND(V698&gt;=40,V698&lt;75,W698&gt;=75,W698&lt;120),0.17,0)+IF(AND(V698&gt;=40,V698&lt;75,W698&gt;=120),0.12,0)+IF(AND(V698&gt;=75,V698&lt;175,W698&lt;35),0.3,0)+IF(AND(V698&gt;=75,V698&lt;=175,W698&gt;=35,W698&lt;65),0.23,0)+IF(AND(V698&gt;=75,V698&lt;=175,W698&gt;=65,W698&lt;110),0.17,0)+IF(AND(V698&gt;=75,V698&lt;=175,W698&gt;=110),0.12,0)+IF(AND(V698&gt;175,W698&lt;25),0.3,0)+IF(AND(V698&gt;175,W698&gt;=25,W698&lt;55),0.23,0)+IF(AND(V698&gt;175,W698&gt;=55,W698&lt;95),0.17,0)+IF(AND(V698&gt;175,W698&gt;=95),0.12,0),
IF(AF698="DoEVLo",IF(AND(V698&lt;20,W698&lt;55),0.25,0)+IF(AND(V698&lt;20,W698&gt;=55,W698&lt;105),0.2,0)+IF(AND(V698&lt;20,W698&gt;=105),0.15,0)+IF(AND(V698&gt;=20,V698&lt;40,W698&lt;45),0.25,0)+IF(AND(V698&gt;=20,V698&lt;40,W698&gt;=45,W698&lt;95),0.2,0)+IF(AND(V698&gt;=20,V698&lt;40,W698&gt;=95),0.15,0)+IF(AND(V698&gt;=40,V698&lt;75,W698&lt;35),0.25,0)+IF(AND(V698&gt;=40,V698&lt;75,W698&gt;=35,W698&lt;75),0.2,0)+IF(AND(V698&gt;=40,V698&lt;75,W698&gt;=75,W698&lt;120),0.15,0)+IF(AND(V698&gt;=40,V698&lt;75,W698&gt;=120),0.1,0)+IF(AND(V698&gt;=75,V698&lt;175,W698&lt;35),0.25,0)+IF(AND(V698&gt;=75,V698&lt;=175,W698&gt;=35,W698&lt;65),0.2,0)+IF(AND(V698&gt;=75,V698&lt;=175,W698&gt;=65,W698&lt;110),0.15,0)+IF(AND(V698&gt;=75,V698&lt;=175,W698&gt;=110),0.1,0)+IF(AND(V698&gt;175,W698&lt;25),0.25,0)+IF(AND(V698&gt;175,W698&gt;=25,W698&lt;55),0.2,0)+IF(AND(V698&gt;175,W698&gt;=55,W698&lt;95),0.15,0)+IF(AND(V698&gt;175,W698&gt;=95),0.1,0))))))))))))))))))</f>
        <v>0.19</v>
      </c>
      <c r="Y698" s="30">
        <f>IF(AG698="None",0,IF(AG698="Fix5",0.05, IF(AG698="Fix6.25",0.0625,IF(AG698="Fix3.75",0.0375,IF(AG698="Fix10",0.1,IF(AG698="Fix3",0.03,0))))))</f>
        <v>0</v>
      </c>
      <c r="Z698" s="35">
        <f>T698-AA698-AB698</f>
        <v>13254.84</v>
      </c>
      <c r="AA698" s="29">
        <f>IF(AD698="EUR",((T698-R698)*X698)*U698+(R698*X698),(T698*X698))</f>
        <v>3109.16</v>
      </c>
      <c r="AB698" s="36">
        <f>IF(AD698="EUR",((T698-R698)*Y698)*U698+(R698*Y698),(T698*Y698))</f>
        <v>0</v>
      </c>
      <c r="AC698" s="37" t="b">
        <v>1</v>
      </c>
      <c r="AD698" s="37" t="s">
        <v>38</v>
      </c>
      <c r="AE698" s="37" t="s">
        <v>38</v>
      </c>
      <c r="AF698" s="37" t="str">
        <f t="array" ref="AF698">INDEX('Deal Info'!D:D, MATCH(A698,'Deal Info'!A:A, 0))</f>
        <v>Fix19</v>
      </c>
      <c r="AG698" s="38" t="str">
        <f t="array" ref="AG698">INDEX('Deal Info'!G:G, MATCH(A698,'Deal Info'!A:A, 0))</f>
        <v>None</v>
      </c>
    </row>
    <row r="699" spans="1:33" ht="14.25" hidden="1" x14ac:dyDescent="0.2">
      <c r="A699" s="18" t="str">
        <f t="array" ref="A699">IF(G699='Room Info'!$B$1, INDEX('Room Info'!$A$2:$A2446, MATCH(B699,'Room Info'!$B$2:$B2446, 0)),IF(G699='Room Info'!$C$1, INDEX('Room Info'!$A$2:$A2446, MATCH(B699,'Room Info'!$C$2:$C2446, 0)),IF(G699='Room Info'!$D$1, INDEX('Room Info'!$A$2:$A2446, MATCH(B699,'Room Info'!$D$2:$D2446, 0)),IF(G699='Room Info'!$E$1, INDEX('Room Info'!$A$2:$A2446, MATCH(B699,'Room Info'!$E$2:$E2446, 0)),IF(G699='Room Info'!$F$1, INDEX('Room Info'!$A$2:$A2446, MATCH(B699,'Room Info'!$F$2:$F2446, 0)),IF(G699='Room Info'!$H$1, INDEX('Room Info'!$A$2:$A2446, MATCH(B699,'Room Info'!$H$2:$H2446, 0)),IF(G699='Room Info'!$G$1, INDEX('Room Info'!$A$2:$A2446, MATCH(B699,'Room Info'!$G$2:$G2446, 0)))))))))</f>
        <v>dimasik</v>
      </c>
      <c r="B699" s="45" t="s">
        <v>162</v>
      </c>
      <c r="C699" s="46">
        <v>44835</v>
      </c>
      <c r="D699" s="46">
        <v>44865</v>
      </c>
      <c r="E699" s="47">
        <v>44835</v>
      </c>
      <c r="F699" s="48" t="s">
        <v>41</v>
      </c>
      <c r="G699" s="45" t="s">
        <v>35</v>
      </c>
      <c r="H699" s="49" t="s">
        <v>143</v>
      </c>
      <c r="I699" s="49" t="s">
        <v>37</v>
      </c>
      <c r="J699" s="50">
        <v>1000</v>
      </c>
      <c r="K699" s="51">
        <v>1</v>
      </c>
      <c r="L699" s="52">
        <v>-1000</v>
      </c>
      <c r="M699" s="53">
        <v>38</v>
      </c>
      <c r="N699" s="28">
        <f>K699*J699</f>
        <v>1000</v>
      </c>
      <c r="O699" s="65"/>
      <c r="P699" s="29">
        <v>0</v>
      </c>
      <c r="Q699" s="55"/>
      <c r="R699" s="31">
        <f>M699+Q699</f>
        <v>38</v>
      </c>
      <c r="S699" s="66"/>
      <c r="T699" s="32">
        <f>R699+S699+IF(F699="Without EV deal",L699,0)</f>
        <v>-962</v>
      </c>
      <c r="U699" s="57">
        <v>1</v>
      </c>
      <c r="V699" s="58"/>
      <c r="W699" s="58"/>
      <c r="X699" s="30">
        <f>IF(AF699="DoEV",IF(AND(V699&lt;20,W699&lt;55),0.3,0)+IF(AND(V699&lt;20,W699&gt;=55,W699&lt;105),0.23,0)+IF(AND(V699&lt;20,W699&gt;=105),0.17,0)+IF(AND(V699&gt;=20,V699&lt;40,W699&lt;45),0.3,0)+IF(AND(V699&gt;=20,V699&lt;40,W699&gt;=45,W699&lt;95),0.23,0)+IF(AND(V699&gt;=20,V699&lt;40,W699&gt;=95),0.17,0)+IF(AND(V699&gt;=40,V699&lt;75,W699&lt;35),0.3,0)+IF(AND(V699&gt;=40,V699&lt;75,W699&gt;=35,W699&lt;75),0.23,0)+IF(AND(V699&gt;=40,V699&lt;75,W699&gt;=75,W699&lt;120),0.17,0)+IF(AND(V699&gt;=40,V699&lt;75,W699&gt;=120),0.12,0)+IF(AND(V699&gt;=75,V699&lt;175,W699&lt;35),0.3,0)+IF(AND(V699&gt;=75,V699&lt;=175,W699&gt;=35,W699&lt;65),0.23,0)+IF(AND(V699&gt;=75,V699&lt;=175,W699&gt;=65,W699&lt;110),0.17,0)+IF(AND(V699&gt;=75,V699&lt;=175,W699&gt;=110),0.12,0)+IF(AND(V699&gt;175,W699&lt;25),0.3,0)+IF(AND(V699&gt;175,W699&gt;=25,W699&lt;55),0.23,0)+IF(AND(V699&gt;175,W699&gt;=55,W699&lt;95),0.17,0)+IF(AND(V699&gt;175,W699&gt;=95),0.12,0),
IF(AF699="Fix15",0.15,
IF(AF699="Fix18.75",0.1875,
IF(AF699="Fix11.25",0.1125,
IF(AF699="Fix10",0.1,
IF(AF699="Fix9",0.09,
IF(AF699="Fix19",0.19,
IF(AF699="DoEV2017",IF(AND(W699&lt;74),0.2,0)+IF(AND(W699&gt;=74),0.17,0),
IF(AF699="SF",IF(AND(V699&lt;20,W699&lt;89),0.3,0)+IF(AND(V699&lt;20,W699&gt;=89),0.25,0)+IF(AND(V699&gt;=20,V699&lt;40,W699&lt;74),0.3,0)+IF(AND(V699&gt;=20,V699&lt;40,W699&gt;=75),0.22,0)+IF(AND(V699&gt;=40,V699&lt;75,W699&lt;75),0.26,0)+IF(AND(V699&gt;=40,V699&lt;75,W699&gt;=75),0.22,0)+IF(V699&gt;=75,0.22,0),
IF(AF699="DoEVold",IF(AND(V699&lt;40,W699&lt;35),0.35,0)+IF(AND(V699&lt;40,W699&gt;=35,W699&lt;75),0.25,0)+IF(AND(V699&lt;40,W699&gt;=75),0.17,0)+IF(AND(V699&gt;=40,V699&lt;75,W699&lt;25),0.35,0)+IF(AND(V699&gt;=40,V699&lt;75,W699&gt;=25,W699&lt;65),0.25,0)+IF(AND(V699&gt;=40,V699&lt;75,W699&gt;=65,W699&lt;100),0.17,0)+IF(AND(V699&gt;=40,V699&lt;75,W699&gt;=100),0.1,0)+IF(AND(V699&gt;=75,W699&lt;25),0.35,0)+IF(AND(V699&gt;=75,W699&gt;=25,W699&lt;60),0.25,0)+IF(AND(V699&gt;=75,W699&gt;=60,W699&lt;95),0.17,0)+IF(AND(V699&gt;=75,W699&gt;=95),0.1,0),
IF(AF699="DoEVold15",IF(AND(V699&lt;=40,W699&lt;35),0.35,0)+IF(AND(V699&lt;=40,W699&gt;=35,W699&lt;75),0.25,0)+IF(AND(V699&lt;=40,W699&gt;=75,W699&lt;120),0.17,0)+IF(AND(V699&lt;=40,W699&gt;=120),0.15,0)+IF(AND(V699&gt;40,V699&lt;75,W699&lt;25),0.35,0)+IF(AND(V699&gt;=40,V699&lt;75,W699&gt;=25,W699&lt;65),0.25,0)+IF(AND(V699&gt;=40,V699&lt;75,W699&gt;=65,W699&lt;100),0.17,0)+IF(AND(V699&gt;=40,V699&lt;75,W699&gt;=100),0.1,0)+IF(AND(V699&gt;=75,W699&lt;25),0.35,0)+IF(AND(V699&gt;=75,W699&gt;=25,W699&lt;60),0.25,0)+IF(AND(V699&gt;=75,W699&gt;=60,W699&lt;95),0.17,0)+IF(AND(V699&gt;=75,W699&gt;=95),0.1,0),
IF(AF699="DoEVba",IF(AND(V699&lt;20,W699&lt;105),0.2,0)+IF(AND(V699&lt;20,W699&gt;=105),0.15,0)+IF(AND(V699&gt;=20,V699&lt;40,W699&lt;95),0.2,0)+IF(AND(V699&gt;=20,V699&lt;40,W699&gt;=95,W699&lt;150),0.15,0)+IF(AND(V699&gt;=20,V699&lt;40,W699&gt;=150),0.12,0)+IF(AND(V699&gt;=40,V699&lt;75,W699&lt;75),0.2,0)+IF(AND(V699&gt;=40,V699&lt;75,W699&gt;=75,W699&lt;120),0.15,0)+IF(AND(V699&gt;=40,V699&lt;75,W699&gt;=120),0.12,0)+IF(AND(V699&gt;=75,V699&lt;175,W699&lt;65),0.2,0)+IF(AND(V699&gt;=75,V699&lt;175,W699&gt;=65,W699&lt;110),0.15,0)+IF(AND(V699&gt;=75,V699&lt;175,W699&gt;=110),0.12,0)+IF(AND(V699&gt;=175,W699&lt;55),0.2,0)+IF(AND(V699&gt;=175,W699&gt;=55,W699&lt;95),0.15,0)+IF(AND(V699&gt;=175,W699&gt;=95),0.12,0),
IF(AF699="DoEVku",IF(AND(V699&lt;20,W699&lt;55),0.23,0)+IF(AND(V699&lt;20,W699&gt;=55,W699&lt;105),0.2,0)+IF(AND(V699&lt;20,W699&gt;=105),0.17,0)+IF(AND(V699&gt;=20,V699&lt;40,W699&lt;45),0.23,0)+IF(AND(V699&gt;=20,V699&lt;40,W699&gt;=45,W699&lt;95),0.2,0)+IF(AND(V699&gt;=20,V699&lt;40,W699&gt;=95,W699&lt;=150),0.17,0)+IF(AND(V699&gt;=20,V699&lt;40,W699&gt;=150),0.12,0)+IF(AND(V699&gt;=40,V699&lt;75,W699&lt;35),0.23,0)+IF(AND(V699&gt;=40,V699&lt;75,W699&gt;=35,W699&lt;75),0.2,0)+IF(AND(V699&gt;=40,V699&lt;75,W699&gt;=75,W699&lt;120),0.17,0)+IF(AND(V699&gt;=40,V699&lt;75,W699&gt;=120),0.12,0)+IF(AND(V699&gt;=75,V699&lt;175,W699&lt;35),0.23,0)+IF(AND(V699&gt;=75,V699&lt;=175,W699&gt;=35,W699&lt;65),0.2,0)+IF(AND(V699&gt;=75,V699&lt;=175,W699&gt;=65,W699&lt;110),0.17,0)+IF(AND(V699&gt;=75,V699&lt;=175,W699&gt;=110),0.12,0)+IF(AND(V699&gt;175,W699&lt;25),0.23,0)+IF(AND(V699&gt;175,W699&gt;=25,W699&lt;55),0.2,0)+IF(AND(V699&gt;175,W699&gt;=55,W699&lt;95),0.17,0)+IF(AND(V699&gt;175,W699&gt;=95),0.12,0),
IF(AF699="DoEVs1",IF(AND(V699&lt;20,W699&lt;55),0.3,0)+IF(AND(V699&lt;20,W699&gt;=55,W699&lt;105),0.23,0)+IF(AND(V699&lt;20,W699&gt;=105),0.17,0)+IF(AND(V699&gt;=20,V699&lt;40,W699&lt;45),0.3,0)+IF(AND(V699&gt;=20,V699&lt;40,W699&gt;=45,W699&lt;95),0.23,0)+IF(AND(V699&gt;=20,V699&lt;40,W699&gt;=95,W699&lt;=150),0.17,0)+IF(AND(V699&gt;=20,V699&lt;40,W699&gt;=150),0.12,0)+IF(AND(V699&gt;=40,V699&lt;75,W699&lt;35),0.3,0)+IF(AND(V699&gt;=40,V699&lt;75,W699&gt;=35,W699&lt;75),0.23,0)+IF(AND(V699&gt;=40,V699&lt;75,W699&gt;=75,W699&lt;120),0.17,0)+IF(AND(V699&gt;=40,V699&lt;75,W699&gt;=120),0.12,0)+IF(AND(V699&gt;=75,V699&lt;175,W699&lt;35),0.3,0)+IF(AND(V699&gt;=75,V699&lt;=175,W699&gt;=35,W699&lt;65),0.23,0)+IF(AND(V699&gt;=75,V699&lt;=175,W699&gt;=65,W699&lt;110),0.17,0)+IF(AND(V699&gt;=75,V699&lt;=175,W699&gt;=110),0.12,0)+IF(AND(V699&gt;175,W699&lt;25),0.3,0)+IF(AND(V699&gt;175,W699&gt;=25,W699&lt;55),0.23,0)+IF(AND(V699&gt;175,W699&gt;=55,W699&lt;95),0.17,0)+IF(AND(V699&gt;175,W699&gt;=95),0.12,0),
IF(AF699="DoEVsu",IF(AND(V699&lt;20,W699&lt;55),0.3,0)+IF(AND(V699&lt;20,W699&gt;=55,W699&lt;105),0.23,0)+IF(AND(V699&lt;20,W699&gt;=105),0.17,0)+IF(AND(V699&gt;=20,V699&lt;40,W699&lt;45),0.3,0)+IF(AND(V699&gt;=20,V699&lt;40,W699&gt;=45,W699&lt;95),0.23,0)+IF(AND(V699&gt;=20,V699&lt;40,W699&gt;=95,W699&lt;=250),0.17,0)+IF(AND(V699&gt;=20,V699&lt;40,W699&gt;=250),0.12,0)+IF(AND(V699&gt;=40,V699&lt;75,W699&lt;35),0.3,0)+IF(AND(V699&gt;=40,V699&lt;75,W699&gt;=35,W699&lt;75),0.23,0)+IF(AND(V699&gt;=40,V699&lt;75,W699&gt;=75,W699&lt;120),0.17,0)+IF(AND(V699&gt;=40,V699&lt;75,W699&gt;=120),0.12,0)+IF(AND(V699&gt;=75,V699&lt;175,W699&lt;35),0.3,0)+IF(AND(V699&gt;=75,V699&lt;=175,W699&gt;=35,W699&lt;65),0.23,0)+IF(AND(V699&gt;=75,V699&lt;=175,W699&gt;=65,W699&lt;110),0.17,0)+IF(AND(V699&gt;=75,V699&lt;=175,W699&gt;=110),0.12,0)+IF(AND(V699&gt;175,W699&lt;25),0.3,0)+IF(AND(V699&gt;175,W699&gt;=25,W699&lt;55),0.23,0)+IF(AND(V699&gt;175,W699&gt;=55,W699&lt;95),0.17,0)+IF(AND(V699&gt;175,W699&gt;=95),0.12,0),
IF(AF699="DoEVni",IF(AND(V699&lt;20,W699&lt;55),0.3,0)+IF(AND(V699&lt;20,W699&gt;=55,W699&lt;105),0.23,0)+IF(AND(V699&lt;20,W699&gt;=105),0.17,0)+IF(AND(V699&gt;=20,V699&lt;40,W699&lt;45),0.3,0)+IF(AND(V699&gt;=20,V699&lt;40,W699&gt;=45,W699&lt;95),0.23,0)+IF(AND(V699&gt;=20,V699&lt;40,W699&gt;=95,W699&lt;=200),0.17,0)+IF(AND(V699&gt;=20,V699&lt;40,W699&gt;=200),0.12,0)+IF(AND(V699&gt;=40,V699&lt;75,W699&lt;35),0.3,0)+IF(AND(V699&gt;=40,V699&lt;75,W699&gt;=35,W699&lt;75),0.23,0)+IF(AND(V699&gt;=40,V699&lt;75,W699&gt;=75,W699&lt;120),0.17,0)+IF(AND(V699&gt;=40,V699&lt;75,W699&gt;=120),0.12,0)+IF(AND(V699&gt;=75,V699&lt;175,W699&lt;35),0.3,0)+IF(AND(V699&gt;=75,V699&lt;=175,W699&gt;=35,W699&lt;65),0.23,0)+IF(AND(V699&gt;=75,V699&lt;=175,W699&gt;=65,W699&lt;110),0.17,0)+IF(AND(V699&gt;=75,V699&lt;=175,W699&gt;=110),0.12,0)+IF(AND(V699&gt;175,W699&lt;25),0.3,0)+IF(AND(V699&gt;175,W699&gt;=25,W699&lt;55),0.23,0)+IF(AND(V699&gt;175,W699&gt;=55,W699&lt;95),0.17,0)+IF(AND(V699&gt;175,W699&gt;=95),0.12,0),
IF(AF699="DoEVLo",IF(AND(V699&lt;20,W699&lt;55),0.25,0)+IF(AND(V699&lt;20,W699&gt;=55,W699&lt;105),0.2,0)+IF(AND(V699&lt;20,W699&gt;=105),0.15,0)+IF(AND(V699&gt;=20,V699&lt;40,W699&lt;45),0.25,0)+IF(AND(V699&gt;=20,V699&lt;40,W699&gt;=45,W699&lt;95),0.2,0)+IF(AND(V699&gt;=20,V699&lt;40,W699&gt;=95),0.15,0)+IF(AND(V699&gt;=40,V699&lt;75,W699&lt;35),0.25,0)+IF(AND(V699&gt;=40,V699&lt;75,W699&gt;=35,W699&lt;75),0.2,0)+IF(AND(V699&gt;=40,V699&lt;75,W699&gt;=75,W699&lt;120),0.15,0)+IF(AND(V699&gt;=40,V699&lt;75,W699&gt;=120),0.1,0)+IF(AND(V699&gt;=75,V699&lt;175,W699&lt;35),0.25,0)+IF(AND(V699&gt;=75,V699&lt;=175,W699&gt;=35,W699&lt;65),0.2,0)+IF(AND(V699&gt;=75,V699&lt;=175,W699&gt;=65,W699&lt;110),0.15,0)+IF(AND(V699&gt;=75,V699&lt;=175,W699&gt;=110),0.1,0)+IF(AND(V699&gt;175,W699&lt;25),0.25,0)+IF(AND(V699&gt;175,W699&gt;=25,W699&lt;55),0.2,0)+IF(AND(V699&gt;175,W699&gt;=55,W699&lt;95),0.15,0)+IF(AND(V699&gt;175,W699&gt;=95),0.1,0))))))))))))))))))</f>
        <v>0.19</v>
      </c>
      <c r="Y699" s="30">
        <f>IF(AG699="None",0,IF(AG699="Fix5",0.05, IF(AG699="Fix6.25",0.0625,IF(AG699="Fix3.75",0.0375,IF(AG699="Fix10",0.1,IF(AG699="Fix3",0.03,0))))))</f>
        <v>0</v>
      </c>
      <c r="Z699" s="35">
        <f>T699-AA699-AB699</f>
        <v>-779.22</v>
      </c>
      <c r="AA699" s="29">
        <f>IF(AD699="EUR",((T699-R699)*X699)*U699+(R699*X699),(T699*X699))</f>
        <v>-182.78</v>
      </c>
      <c r="AB699" s="36">
        <f>IF(AD699="EUR",((T699-R699)*Y699)*U699+(R699*Y699),(T699*Y699))</f>
        <v>0</v>
      </c>
      <c r="AC699" s="37" t="b">
        <v>1</v>
      </c>
      <c r="AD699" s="37" t="s">
        <v>38</v>
      </c>
      <c r="AE699" s="37" t="s">
        <v>38</v>
      </c>
      <c r="AF699" s="37" t="str">
        <f t="array" ref="AF699">INDEX('Deal Info'!D:D, MATCH(A699,'Deal Info'!A:A, 0))</f>
        <v>Fix19</v>
      </c>
      <c r="AG699" s="38" t="str">
        <f t="array" ref="AG699">INDEX('Deal Info'!G:G, MATCH(A699,'Deal Info'!A:A, 0))</f>
        <v>None</v>
      </c>
    </row>
    <row r="700" spans="1:33" ht="14.25" hidden="1" x14ac:dyDescent="0.2">
      <c r="A700" s="18" t="str">
        <f t="array" ref="A700">IF(G700='Room Info'!$B$1, INDEX('Room Info'!$A$2:$A2446, MATCH(B700,'Room Info'!$B$2:$B2446, 0)),IF(G700='Room Info'!$C$1, INDEX('Room Info'!$A$2:$A2446, MATCH(B700,'Room Info'!$C$2:$C2446, 0)),IF(G700='Room Info'!$D$1, INDEX('Room Info'!$A$2:$A2446, MATCH(B700,'Room Info'!$D$2:$D2446, 0)),IF(G700='Room Info'!$E$1, INDEX('Room Info'!$A$2:$A2446, MATCH(B700,'Room Info'!$E$2:$E2446, 0)),IF(G700='Room Info'!$F$1, INDEX('Room Info'!$A$2:$A2446, MATCH(B700,'Room Info'!$F$2:$F2446, 0)),IF(G700='Room Info'!$H$1, INDEX('Room Info'!$A$2:$A2446, MATCH(B700,'Room Info'!$H$2:$H2446, 0)),IF(G700='Room Info'!$G$1, INDEX('Room Info'!$A$2:$A2446, MATCH(B700,'Room Info'!$G$2:$G2446, 0)))))))))</f>
        <v>dimasik</v>
      </c>
      <c r="B700" s="45" t="s">
        <v>162</v>
      </c>
      <c r="C700" s="46">
        <v>44835</v>
      </c>
      <c r="D700" s="46">
        <v>44865</v>
      </c>
      <c r="E700" s="47">
        <v>44835</v>
      </c>
      <c r="F700" s="48" t="s">
        <v>41</v>
      </c>
      <c r="G700" s="45" t="s">
        <v>35</v>
      </c>
      <c r="H700" s="49" t="s">
        <v>149</v>
      </c>
      <c r="I700" s="49" t="s">
        <v>44</v>
      </c>
      <c r="J700" s="50">
        <v>500</v>
      </c>
      <c r="K700" s="51">
        <v>19</v>
      </c>
      <c r="L700" s="52">
        <v>-1000</v>
      </c>
      <c r="M700" s="53">
        <v>363</v>
      </c>
      <c r="N700" s="28">
        <f>K700*J700</f>
        <v>9500</v>
      </c>
      <c r="O700" s="65"/>
      <c r="P700" s="29">
        <v>0</v>
      </c>
      <c r="Q700" s="55"/>
      <c r="R700" s="31">
        <f>M700+Q700</f>
        <v>363</v>
      </c>
      <c r="S700" s="66"/>
      <c r="T700" s="32">
        <f>R700+S700+IF(F700="Without EV deal",L700,0)</f>
        <v>-637</v>
      </c>
      <c r="U700" s="57">
        <v>1</v>
      </c>
      <c r="V700" s="58"/>
      <c r="W700" s="58"/>
      <c r="X700" s="30">
        <f>IF(AF700="DoEV",IF(AND(V700&lt;20,W700&lt;55),0.3,0)+IF(AND(V700&lt;20,W700&gt;=55,W700&lt;105),0.23,0)+IF(AND(V700&lt;20,W700&gt;=105),0.17,0)+IF(AND(V700&gt;=20,V700&lt;40,W700&lt;45),0.3,0)+IF(AND(V700&gt;=20,V700&lt;40,W700&gt;=45,W700&lt;95),0.23,0)+IF(AND(V700&gt;=20,V700&lt;40,W700&gt;=95),0.17,0)+IF(AND(V700&gt;=40,V700&lt;75,W700&lt;35),0.3,0)+IF(AND(V700&gt;=40,V700&lt;75,W700&gt;=35,W700&lt;75),0.23,0)+IF(AND(V700&gt;=40,V700&lt;75,W700&gt;=75,W700&lt;120),0.17,0)+IF(AND(V700&gt;=40,V700&lt;75,W700&gt;=120),0.12,0)+IF(AND(V700&gt;=75,V700&lt;175,W700&lt;35),0.3,0)+IF(AND(V700&gt;=75,V700&lt;=175,W700&gt;=35,W700&lt;65),0.23,0)+IF(AND(V700&gt;=75,V700&lt;=175,W700&gt;=65,W700&lt;110),0.17,0)+IF(AND(V700&gt;=75,V700&lt;=175,W700&gt;=110),0.12,0)+IF(AND(V700&gt;175,W700&lt;25),0.3,0)+IF(AND(V700&gt;175,W700&gt;=25,W700&lt;55),0.23,0)+IF(AND(V700&gt;175,W700&gt;=55,W700&lt;95),0.17,0)+IF(AND(V700&gt;175,W700&gt;=95),0.12,0),
IF(AF700="Fix15",0.15,
IF(AF700="Fix18.75",0.1875,
IF(AF700="Fix11.25",0.1125,
IF(AF700="Fix10",0.1,
IF(AF700="Fix9",0.09,
IF(AF700="Fix19",0.19,
IF(AF700="DoEV2017",IF(AND(W700&lt;74),0.2,0)+IF(AND(W700&gt;=74),0.17,0),
IF(AF700="SF",IF(AND(V700&lt;20,W700&lt;89),0.3,0)+IF(AND(V700&lt;20,W700&gt;=89),0.25,0)+IF(AND(V700&gt;=20,V700&lt;40,W700&lt;74),0.3,0)+IF(AND(V700&gt;=20,V700&lt;40,W700&gt;=75),0.22,0)+IF(AND(V700&gt;=40,V700&lt;75,W700&lt;75),0.26,0)+IF(AND(V700&gt;=40,V700&lt;75,W700&gt;=75),0.22,0)+IF(V700&gt;=75,0.22,0),
IF(AF700="DoEVold",IF(AND(V700&lt;40,W700&lt;35),0.35,0)+IF(AND(V700&lt;40,W700&gt;=35,W700&lt;75),0.25,0)+IF(AND(V700&lt;40,W700&gt;=75),0.17,0)+IF(AND(V700&gt;=40,V700&lt;75,W700&lt;25),0.35,0)+IF(AND(V700&gt;=40,V700&lt;75,W700&gt;=25,W700&lt;65),0.25,0)+IF(AND(V700&gt;=40,V700&lt;75,W700&gt;=65,W700&lt;100),0.17,0)+IF(AND(V700&gt;=40,V700&lt;75,W700&gt;=100),0.1,0)+IF(AND(V700&gt;=75,W700&lt;25),0.35,0)+IF(AND(V700&gt;=75,W700&gt;=25,W700&lt;60),0.25,0)+IF(AND(V700&gt;=75,W700&gt;=60,W700&lt;95),0.17,0)+IF(AND(V700&gt;=75,W700&gt;=95),0.1,0),
IF(AF700="DoEVold15",IF(AND(V700&lt;=40,W700&lt;35),0.35,0)+IF(AND(V700&lt;=40,W700&gt;=35,W700&lt;75),0.25,0)+IF(AND(V700&lt;=40,W700&gt;=75,W700&lt;120),0.17,0)+IF(AND(V700&lt;=40,W700&gt;=120),0.15,0)+IF(AND(V700&gt;40,V700&lt;75,W700&lt;25),0.35,0)+IF(AND(V700&gt;=40,V700&lt;75,W700&gt;=25,W700&lt;65),0.25,0)+IF(AND(V700&gt;=40,V700&lt;75,W700&gt;=65,W700&lt;100),0.17,0)+IF(AND(V700&gt;=40,V700&lt;75,W700&gt;=100),0.1,0)+IF(AND(V700&gt;=75,W700&lt;25),0.35,0)+IF(AND(V700&gt;=75,W700&gt;=25,W700&lt;60),0.25,0)+IF(AND(V700&gt;=75,W700&gt;=60,W700&lt;95),0.17,0)+IF(AND(V700&gt;=75,W700&gt;=95),0.1,0),
IF(AF700="DoEVba",IF(AND(V700&lt;20,W700&lt;105),0.2,0)+IF(AND(V700&lt;20,W700&gt;=105),0.15,0)+IF(AND(V700&gt;=20,V700&lt;40,W700&lt;95),0.2,0)+IF(AND(V700&gt;=20,V700&lt;40,W700&gt;=95,W700&lt;150),0.15,0)+IF(AND(V700&gt;=20,V700&lt;40,W700&gt;=150),0.12,0)+IF(AND(V700&gt;=40,V700&lt;75,W700&lt;75),0.2,0)+IF(AND(V700&gt;=40,V700&lt;75,W700&gt;=75,W700&lt;120),0.15,0)+IF(AND(V700&gt;=40,V700&lt;75,W700&gt;=120),0.12,0)+IF(AND(V700&gt;=75,V700&lt;175,W700&lt;65),0.2,0)+IF(AND(V700&gt;=75,V700&lt;175,W700&gt;=65,W700&lt;110),0.15,0)+IF(AND(V700&gt;=75,V700&lt;175,W700&gt;=110),0.12,0)+IF(AND(V700&gt;=175,W700&lt;55),0.2,0)+IF(AND(V700&gt;=175,W700&gt;=55,W700&lt;95),0.15,0)+IF(AND(V700&gt;=175,W700&gt;=95),0.12,0),
IF(AF700="DoEVku",IF(AND(V700&lt;20,W700&lt;55),0.23,0)+IF(AND(V700&lt;20,W700&gt;=55,W700&lt;105),0.2,0)+IF(AND(V700&lt;20,W700&gt;=105),0.17,0)+IF(AND(V700&gt;=20,V700&lt;40,W700&lt;45),0.23,0)+IF(AND(V700&gt;=20,V700&lt;40,W700&gt;=45,W700&lt;95),0.2,0)+IF(AND(V700&gt;=20,V700&lt;40,W700&gt;=95,W700&lt;=150),0.17,0)+IF(AND(V700&gt;=20,V700&lt;40,W700&gt;=150),0.12,0)+IF(AND(V700&gt;=40,V700&lt;75,W700&lt;35),0.23,0)+IF(AND(V700&gt;=40,V700&lt;75,W700&gt;=35,W700&lt;75),0.2,0)+IF(AND(V700&gt;=40,V700&lt;75,W700&gt;=75,W700&lt;120),0.17,0)+IF(AND(V700&gt;=40,V700&lt;75,W700&gt;=120),0.12,0)+IF(AND(V700&gt;=75,V700&lt;175,W700&lt;35),0.23,0)+IF(AND(V700&gt;=75,V700&lt;=175,W700&gt;=35,W700&lt;65),0.2,0)+IF(AND(V700&gt;=75,V700&lt;=175,W700&gt;=65,W700&lt;110),0.17,0)+IF(AND(V700&gt;=75,V700&lt;=175,W700&gt;=110),0.12,0)+IF(AND(V700&gt;175,W700&lt;25),0.23,0)+IF(AND(V700&gt;175,W700&gt;=25,W700&lt;55),0.2,0)+IF(AND(V700&gt;175,W700&gt;=55,W700&lt;95),0.17,0)+IF(AND(V700&gt;175,W700&gt;=95),0.12,0),
IF(AF700="DoEVs1",IF(AND(V700&lt;20,W700&lt;55),0.3,0)+IF(AND(V700&lt;20,W700&gt;=55,W700&lt;105),0.23,0)+IF(AND(V700&lt;20,W700&gt;=105),0.17,0)+IF(AND(V700&gt;=20,V700&lt;40,W700&lt;45),0.3,0)+IF(AND(V700&gt;=20,V700&lt;40,W700&gt;=45,W700&lt;95),0.23,0)+IF(AND(V700&gt;=20,V700&lt;40,W700&gt;=95,W700&lt;=150),0.17,0)+IF(AND(V700&gt;=20,V700&lt;40,W700&gt;=150),0.12,0)+IF(AND(V700&gt;=40,V700&lt;75,W700&lt;35),0.3,0)+IF(AND(V700&gt;=40,V700&lt;75,W700&gt;=35,W700&lt;75),0.23,0)+IF(AND(V700&gt;=40,V700&lt;75,W700&gt;=75,W700&lt;120),0.17,0)+IF(AND(V700&gt;=40,V700&lt;75,W700&gt;=120),0.12,0)+IF(AND(V700&gt;=75,V700&lt;175,W700&lt;35),0.3,0)+IF(AND(V700&gt;=75,V700&lt;=175,W700&gt;=35,W700&lt;65),0.23,0)+IF(AND(V700&gt;=75,V700&lt;=175,W700&gt;=65,W700&lt;110),0.17,0)+IF(AND(V700&gt;=75,V700&lt;=175,W700&gt;=110),0.12,0)+IF(AND(V700&gt;175,W700&lt;25),0.3,0)+IF(AND(V700&gt;175,W700&gt;=25,W700&lt;55),0.23,0)+IF(AND(V700&gt;175,W700&gt;=55,W700&lt;95),0.17,0)+IF(AND(V700&gt;175,W700&gt;=95),0.12,0),
IF(AF700="DoEVsu",IF(AND(V700&lt;20,W700&lt;55),0.3,0)+IF(AND(V700&lt;20,W700&gt;=55,W700&lt;105),0.23,0)+IF(AND(V700&lt;20,W700&gt;=105),0.17,0)+IF(AND(V700&gt;=20,V700&lt;40,W700&lt;45),0.3,0)+IF(AND(V700&gt;=20,V700&lt;40,W700&gt;=45,W700&lt;95),0.23,0)+IF(AND(V700&gt;=20,V700&lt;40,W700&gt;=95,W700&lt;=250),0.17,0)+IF(AND(V700&gt;=20,V700&lt;40,W700&gt;=250),0.12,0)+IF(AND(V700&gt;=40,V700&lt;75,W700&lt;35),0.3,0)+IF(AND(V700&gt;=40,V700&lt;75,W700&gt;=35,W700&lt;75),0.23,0)+IF(AND(V700&gt;=40,V700&lt;75,W700&gt;=75,W700&lt;120),0.17,0)+IF(AND(V700&gt;=40,V700&lt;75,W700&gt;=120),0.12,0)+IF(AND(V700&gt;=75,V700&lt;175,W700&lt;35),0.3,0)+IF(AND(V700&gt;=75,V700&lt;=175,W700&gt;=35,W700&lt;65),0.23,0)+IF(AND(V700&gt;=75,V700&lt;=175,W700&gt;=65,W700&lt;110),0.17,0)+IF(AND(V700&gt;=75,V700&lt;=175,W700&gt;=110),0.12,0)+IF(AND(V700&gt;175,W700&lt;25),0.3,0)+IF(AND(V700&gt;175,W700&gt;=25,W700&lt;55),0.23,0)+IF(AND(V700&gt;175,W700&gt;=55,W700&lt;95),0.17,0)+IF(AND(V700&gt;175,W700&gt;=95),0.12,0),
IF(AF700="DoEVni",IF(AND(V700&lt;20,W700&lt;55),0.3,0)+IF(AND(V700&lt;20,W700&gt;=55,W700&lt;105),0.23,0)+IF(AND(V700&lt;20,W700&gt;=105),0.17,0)+IF(AND(V700&gt;=20,V700&lt;40,W700&lt;45),0.3,0)+IF(AND(V700&gt;=20,V700&lt;40,W700&gt;=45,W700&lt;95),0.23,0)+IF(AND(V700&gt;=20,V700&lt;40,W700&gt;=95,W700&lt;=200),0.17,0)+IF(AND(V700&gt;=20,V700&lt;40,W700&gt;=200),0.12,0)+IF(AND(V700&gt;=40,V700&lt;75,W700&lt;35),0.3,0)+IF(AND(V700&gt;=40,V700&lt;75,W700&gt;=35,W700&lt;75),0.23,0)+IF(AND(V700&gt;=40,V700&lt;75,W700&gt;=75,W700&lt;120),0.17,0)+IF(AND(V700&gt;=40,V700&lt;75,W700&gt;=120),0.12,0)+IF(AND(V700&gt;=75,V700&lt;175,W700&lt;35),0.3,0)+IF(AND(V700&gt;=75,V700&lt;=175,W700&gt;=35,W700&lt;65),0.23,0)+IF(AND(V700&gt;=75,V700&lt;=175,W700&gt;=65,W700&lt;110),0.17,0)+IF(AND(V700&gt;=75,V700&lt;=175,W700&gt;=110),0.12,0)+IF(AND(V700&gt;175,W700&lt;25),0.3,0)+IF(AND(V700&gt;175,W700&gt;=25,W700&lt;55),0.23,0)+IF(AND(V700&gt;175,W700&gt;=55,W700&lt;95),0.17,0)+IF(AND(V700&gt;175,W700&gt;=95),0.12,0),
IF(AF700="DoEVLo",IF(AND(V700&lt;20,W700&lt;55),0.25,0)+IF(AND(V700&lt;20,W700&gt;=55,W700&lt;105),0.2,0)+IF(AND(V700&lt;20,W700&gt;=105),0.15,0)+IF(AND(V700&gt;=20,V700&lt;40,W700&lt;45),0.25,0)+IF(AND(V700&gt;=20,V700&lt;40,W700&gt;=45,W700&lt;95),0.2,0)+IF(AND(V700&gt;=20,V700&lt;40,W700&gt;=95),0.15,0)+IF(AND(V700&gt;=40,V700&lt;75,W700&lt;35),0.25,0)+IF(AND(V700&gt;=40,V700&lt;75,W700&gt;=35,W700&lt;75),0.2,0)+IF(AND(V700&gt;=40,V700&lt;75,W700&gt;=75,W700&lt;120),0.15,0)+IF(AND(V700&gt;=40,V700&lt;75,W700&gt;=120),0.1,0)+IF(AND(V700&gt;=75,V700&lt;175,W700&lt;35),0.25,0)+IF(AND(V700&gt;=75,V700&lt;=175,W700&gt;=35,W700&lt;65),0.2,0)+IF(AND(V700&gt;=75,V700&lt;=175,W700&gt;=65,W700&lt;110),0.15,0)+IF(AND(V700&gt;=75,V700&lt;=175,W700&gt;=110),0.1,0)+IF(AND(V700&gt;175,W700&lt;25),0.25,0)+IF(AND(V700&gt;175,W700&gt;=25,W700&lt;55),0.2,0)+IF(AND(V700&gt;175,W700&gt;=55,W700&lt;95),0.15,0)+IF(AND(V700&gt;175,W700&gt;=95),0.1,0))))))))))))))))))</f>
        <v>0.19</v>
      </c>
      <c r="Y700" s="30">
        <f>IF(AG700="None",0,IF(AG700="Fix5",0.05, IF(AG700="Fix6.25",0.0625,IF(AG700="Fix3.75",0.0375,IF(AG700="Fix10",0.1,IF(AG700="Fix3",0.03,0))))))</f>
        <v>0</v>
      </c>
      <c r="Z700" s="35">
        <f>T700-AA700-AB700</f>
        <v>-515.97</v>
      </c>
      <c r="AA700" s="29">
        <f>IF(AD700="EUR",((T700-R700)*X700)*U700+(R700*X700),(T700*X700))</f>
        <v>-121.03</v>
      </c>
      <c r="AB700" s="36">
        <f>IF(AD700="EUR",((T700-R700)*Y700)*U700+(R700*Y700),(T700*Y700))</f>
        <v>0</v>
      </c>
      <c r="AC700" s="37" t="b">
        <v>1</v>
      </c>
      <c r="AD700" s="37" t="s">
        <v>38</v>
      </c>
      <c r="AE700" s="37" t="s">
        <v>38</v>
      </c>
      <c r="AF700" s="37" t="str">
        <f t="array" ref="AF700">INDEX('Deal Info'!D:D, MATCH(A700,'Deal Info'!A:A, 0))</f>
        <v>Fix19</v>
      </c>
      <c r="AG700" s="38" t="str">
        <f t="array" ref="AG700">INDEX('Deal Info'!G:G, MATCH(A700,'Deal Info'!A:A, 0))</f>
        <v>None</v>
      </c>
    </row>
    <row r="701" spans="1:33" ht="14.25" hidden="1" x14ac:dyDescent="0.2">
      <c r="A701" s="18" t="str">
        <f t="array" ref="A701">IF(G701='Room Info'!$B$1, INDEX('Room Info'!$A$2:$A2446, MATCH(B701,'Room Info'!$B$2:$B2446, 0)),IF(G701='Room Info'!$C$1, INDEX('Room Info'!$A$2:$A2446, MATCH(B701,'Room Info'!$C$2:$C2446, 0)),IF(G701='Room Info'!$D$1, INDEX('Room Info'!$A$2:$A2446, MATCH(B701,'Room Info'!$D$2:$D2446, 0)),IF(G701='Room Info'!$E$1, INDEX('Room Info'!$A$2:$A2446, MATCH(B701,'Room Info'!$E$2:$E2446, 0)),IF(G701='Room Info'!$F$1, INDEX('Room Info'!$A$2:$A2446, MATCH(B701,'Room Info'!$F$2:$F2446, 0)),IF(G701='Room Info'!$H$1, INDEX('Room Info'!$A$2:$A2446, MATCH(B701,'Room Info'!$H$2:$H2446, 0)),IF(G701='Room Info'!$G$1, INDEX('Room Info'!$A$2:$A2446, MATCH(B701,'Room Info'!$G$2:$G2446, 0)))))))))</f>
        <v>dimasik</v>
      </c>
      <c r="B701" s="45" t="s">
        <v>162</v>
      </c>
      <c r="C701" s="46">
        <v>44835</v>
      </c>
      <c r="D701" s="46">
        <v>44865</v>
      </c>
      <c r="E701" s="47">
        <v>44835</v>
      </c>
      <c r="F701" s="48" t="s">
        <v>41</v>
      </c>
      <c r="G701" s="45" t="s">
        <v>35</v>
      </c>
      <c r="H701" s="49" t="s">
        <v>148</v>
      </c>
      <c r="I701" s="49" t="s">
        <v>44</v>
      </c>
      <c r="J701" s="50">
        <v>250</v>
      </c>
      <c r="K701" s="51">
        <v>497</v>
      </c>
      <c r="L701" s="52">
        <v>-10500</v>
      </c>
      <c r="M701" s="53">
        <v>4745</v>
      </c>
      <c r="N701" s="28">
        <f>K701*J701</f>
        <v>124250</v>
      </c>
      <c r="O701" s="65"/>
      <c r="P701" s="29">
        <v>0</v>
      </c>
      <c r="Q701" s="55"/>
      <c r="R701" s="31">
        <f>M701+Q701</f>
        <v>4745</v>
      </c>
      <c r="S701" s="66"/>
      <c r="T701" s="32">
        <f>R701+S701+IF(F701="Without EV deal",L701,0)</f>
        <v>-5755</v>
      </c>
      <c r="U701" s="57">
        <v>1</v>
      </c>
      <c r="V701" s="58"/>
      <c r="W701" s="58"/>
      <c r="X701" s="30">
        <f>IF(AF701="DoEV",IF(AND(V701&lt;20,W701&lt;55),0.3,0)+IF(AND(V701&lt;20,W701&gt;=55,W701&lt;105),0.23,0)+IF(AND(V701&lt;20,W701&gt;=105),0.17,0)+IF(AND(V701&gt;=20,V701&lt;40,W701&lt;45),0.3,0)+IF(AND(V701&gt;=20,V701&lt;40,W701&gt;=45,W701&lt;95),0.23,0)+IF(AND(V701&gt;=20,V701&lt;40,W701&gt;=95),0.17,0)+IF(AND(V701&gt;=40,V701&lt;75,W701&lt;35),0.3,0)+IF(AND(V701&gt;=40,V701&lt;75,W701&gt;=35,W701&lt;75),0.23,0)+IF(AND(V701&gt;=40,V701&lt;75,W701&gt;=75,W701&lt;120),0.17,0)+IF(AND(V701&gt;=40,V701&lt;75,W701&gt;=120),0.12,0)+IF(AND(V701&gt;=75,V701&lt;175,W701&lt;35),0.3,0)+IF(AND(V701&gt;=75,V701&lt;=175,W701&gt;=35,W701&lt;65),0.23,0)+IF(AND(V701&gt;=75,V701&lt;=175,W701&gt;=65,W701&lt;110),0.17,0)+IF(AND(V701&gt;=75,V701&lt;=175,W701&gt;=110),0.12,0)+IF(AND(V701&gt;175,W701&lt;25),0.3,0)+IF(AND(V701&gt;175,W701&gt;=25,W701&lt;55),0.23,0)+IF(AND(V701&gt;175,W701&gt;=55,W701&lt;95),0.17,0)+IF(AND(V701&gt;175,W701&gt;=95),0.12,0),
IF(AF701="Fix15",0.15,
IF(AF701="Fix18.75",0.1875,
IF(AF701="Fix11.25",0.1125,
IF(AF701="Fix10",0.1,
IF(AF701="Fix9",0.09,
IF(AF701="Fix19",0.19,
IF(AF701="DoEV2017",IF(AND(W701&lt;74),0.2,0)+IF(AND(W701&gt;=74),0.17,0),
IF(AF701="SF",IF(AND(V701&lt;20,W701&lt;89),0.3,0)+IF(AND(V701&lt;20,W701&gt;=89),0.25,0)+IF(AND(V701&gt;=20,V701&lt;40,W701&lt;74),0.3,0)+IF(AND(V701&gt;=20,V701&lt;40,W701&gt;=75),0.22,0)+IF(AND(V701&gt;=40,V701&lt;75,W701&lt;75),0.26,0)+IF(AND(V701&gt;=40,V701&lt;75,W701&gt;=75),0.22,0)+IF(V701&gt;=75,0.22,0),
IF(AF701="DoEVold",IF(AND(V701&lt;40,W701&lt;35),0.35,0)+IF(AND(V701&lt;40,W701&gt;=35,W701&lt;75),0.25,0)+IF(AND(V701&lt;40,W701&gt;=75),0.17,0)+IF(AND(V701&gt;=40,V701&lt;75,W701&lt;25),0.35,0)+IF(AND(V701&gt;=40,V701&lt;75,W701&gt;=25,W701&lt;65),0.25,0)+IF(AND(V701&gt;=40,V701&lt;75,W701&gt;=65,W701&lt;100),0.17,0)+IF(AND(V701&gt;=40,V701&lt;75,W701&gt;=100),0.1,0)+IF(AND(V701&gt;=75,W701&lt;25),0.35,0)+IF(AND(V701&gt;=75,W701&gt;=25,W701&lt;60),0.25,0)+IF(AND(V701&gt;=75,W701&gt;=60,W701&lt;95),0.17,0)+IF(AND(V701&gt;=75,W701&gt;=95),0.1,0),
IF(AF701="DoEVold15",IF(AND(V701&lt;=40,W701&lt;35),0.35,0)+IF(AND(V701&lt;=40,W701&gt;=35,W701&lt;75),0.25,0)+IF(AND(V701&lt;=40,W701&gt;=75,W701&lt;120),0.17,0)+IF(AND(V701&lt;=40,W701&gt;=120),0.15,0)+IF(AND(V701&gt;40,V701&lt;75,W701&lt;25),0.35,0)+IF(AND(V701&gt;=40,V701&lt;75,W701&gt;=25,W701&lt;65),0.25,0)+IF(AND(V701&gt;=40,V701&lt;75,W701&gt;=65,W701&lt;100),0.17,0)+IF(AND(V701&gt;=40,V701&lt;75,W701&gt;=100),0.1,0)+IF(AND(V701&gt;=75,W701&lt;25),0.35,0)+IF(AND(V701&gt;=75,W701&gt;=25,W701&lt;60),0.25,0)+IF(AND(V701&gt;=75,W701&gt;=60,W701&lt;95),0.17,0)+IF(AND(V701&gt;=75,W701&gt;=95),0.1,0),
IF(AF701="DoEVba",IF(AND(V701&lt;20,W701&lt;105),0.2,0)+IF(AND(V701&lt;20,W701&gt;=105),0.15,0)+IF(AND(V701&gt;=20,V701&lt;40,W701&lt;95),0.2,0)+IF(AND(V701&gt;=20,V701&lt;40,W701&gt;=95,W701&lt;150),0.15,0)+IF(AND(V701&gt;=20,V701&lt;40,W701&gt;=150),0.12,0)+IF(AND(V701&gt;=40,V701&lt;75,W701&lt;75),0.2,0)+IF(AND(V701&gt;=40,V701&lt;75,W701&gt;=75,W701&lt;120),0.15,0)+IF(AND(V701&gt;=40,V701&lt;75,W701&gt;=120),0.12,0)+IF(AND(V701&gt;=75,V701&lt;175,W701&lt;65),0.2,0)+IF(AND(V701&gt;=75,V701&lt;175,W701&gt;=65,W701&lt;110),0.15,0)+IF(AND(V701&gt;=75,V701&lt;175,W701&gt;=110),0.12,0)+IF(AND(V701&gt;=175,W701&lt;55),0.2,0)+IF(AND(V701&gt;=175,W701&gt;=55,W701&lt;95),0.15,0)+IF(AND(V701&gt;=175,W701&gt;=95),0.12,0),
IF(AF701="DoEVku",IF(AND(V701&lt;20,W701&lt;55),0.23,0)+IF(AND(V701&lt;20,W701&gt;=55,W701&lt;105),0.2,0)+IF(AND(V701&lt;20,W701&gt;=105),0.17,0)+IF(AND(V701&gt;=20,V701&lt;40,W701&lt;45),0.23,0)+IF(AND(V701&gt;=20,V701&lt;40,W701&gt;=45,W701&lt;95),0.2,0)+IF(AND(V701&gt;=20,V701&lt;40,W701&gt;=95,W701&lt;=150),0.17,0)+IF(AND(V701&gt;=20,V701&lt;40,W701&gt;=150),0.12,0)+IF(AND(V701&gt;=40,V701&lt;75,W701&lt;35),0.23,0)+IF(AND(V701&gt;=40,V701&lt;75,W701&gt;=35,W701&lt;75),0.2,0)+IF(AND(V701&gt;=40,V701&lt;75,W701&gt;=75,W701&lt;120),0.17,0)+IF(AND(V701&gt;=40,V701&lt;75,W701&gt;=120),0.12,0)+IF(AND(V701&gt;=75,V701&lt;175,W701&lt;35),0.23,0)+IF(AND(V701&gt;=75,V701&lt;=175,W701&gt;=35,W701&lt;65),0.2,0)+IF(AND(V701&gt;=75,V701&lt;=175,W701&gt;=65,W701&lt;110),0.17,0)+IF(AND(V701&gt;=75,V701&lt;=175,W701&gt;=110),0.12,0)+IF(AND(V701&gt;175,W701&lt;25),0.23,0)+IF(AND(V701&gt;175,W701&gt;=25,W701&lt;55),0.2,0)+IF(AND(V701&gt;175,W701&gt;=55,W701&lt;95),0.17,0)+IF(AND(V701&gt;175,W701&gt;=95),0.12,0),
IF(AF701="DoEVs1",IF(AND(V701&lt;20,W701&lt;55),0.3,0)+IF(AND(V701&lt;20,W701&gt;=55,W701&lt;105),0.23,0)+IF(AND(V701&lt;20,W701&gt;=105),0.17,0)+IF(AND(V701&gt;=20,V701&lt;40,W701&lt;45),0.3,0)+IF(AND(V701&gt;=20,V701&lt;40,W701&gt;=45,W701&lt;95),0.23,0)+IF(AND(V701&gt;=20,V701&lt;40,W701&gt;=95,W701&lt;=150),0.17,0)+IF(AND(V701&gt;=20,V701&lt;40,W701&gt;=150),0.12,0)+IF(AND(V701&gt;=40,V701&lt;75,W701&lt;35),0.3,0)+IF(AND(V701&gt;=40,V701&lt;75,W701&gt;=35,W701&lt;75),0.23,0)+IF(AND(V701&gt;=40,V701&lt;75,W701&gt;=75,W701&lt;120),0.17,0)+IF(AND(V701&gt;=40,V701&lt;75,W701&gt;=120),0.12,0)+IF(AND(V701&gt;=75,V701&lt;175,W701&lt;35),0.3,0)+IF(AND(V701&gt;=75,V701&lt;=175,W701&gt;=35,W701&lt;65),0.23,0)+IF(AND(V701&gt;=75,V701&lt;=175,W701&gt;=65,W701&lt;110),0.17,0)+IF(AND(V701&gt;=75,V701&lt;=175,W701&gt;=110),0.12,0)+IF(AND(V701&gt;175,W701&lt;25),0.3,0)+IF(AND(V701&gt;175,W701&gt;=25,W701&lt;55),0.23,0)+IF(AND(V701&gt;175,W701&gt;=55,W701&lt;95),0.17,0)+IF(AND(V701&gt;175,W701&gt;=95),0.12,0),
IF(AF701="DoEVsu",IF(AND(V701&lt;20,W701&lt;55),0.3,0)+IF(AND(V701&lt;20,W701&gt;=55,W701&lt;105),0.23,0)+IF(AND(V701&lt;20,W701&gt;=105),0.17,0)+IF(AND(V701&gt;=20,V701&lt;40,W701&lt;45),0.3,0)+IF(AND(V701&gt;=20,V701&lt;40,W701&gt;=45,W701&lt;95),0.23,0)+IF(AND(V701&gt;=20,V701&lt;40,W701&gt;=95,W701&lt;=250),0.17,0)+IF(AND(V701&gt;=20,V701&lt;40,W701&gt;=250),0.12,0)+IF(AND(V701&gt;=40,V701&lt;75,W701&lt;35),0.3,0)+IF(AND(V701&gt;=40,V701&lt;75,W701&gt;=35,W701&lt;75),0.23,0)+IF(AND(V701&gt;=40,V701&lt;75,W701&gt;=75,W701&lt;120),0.17,0)+IF(AND(V701&gt;=40,V701&lt;75,W701&gt;=120),0.12,0)+IF(AND(V701&gt;=75,V701&lt;175,W701&lt;35),0.3,0)+IF(AND(V701&gt;=75,V701&lt;=175,W701&gt;=35,W701&lt;65),0.23,0)+IF(AND(V701&gt;=75,V701&lt;=175,W701&gt;=65,W701&lt;110),0.17,0)+IF(AND(V701&gt;=75,V701&lt;=175,W701&gt;=110),0.12,0)+IF(AND(V701&gt;175,W701&lt;25),0.3,0)+IF(AND(V701&gt;175,W701&gt;=25,W701&lt;55),0.23,0)+IF(AND(V701&gt;175,W701&gt;=55,W701&lt;95),0.17,0)+IF(AND(V701&gt;175,W701&gt;=95),0.12,0),
IF(AF701="DoEVni",IF(AND(V701&lt;20,W701&lt;55),0.3,0)+IF(AND(V701&lt;20,W701&gt;=55,W701&lt;105),0.23,0)+IF(AND(V701&lt;20,W701&gt;=105),0.17,0)+IF(AND(V701&gt;=20,V701&lt;40,W701&lt;45),0.3,0)+IF(AND(V701&gt;=20,V701&lt;40,W701&gt;=45,W701&lt;95),0.23,0)+IF(AND(V701&gt;=20,V701&lt;40,W701&gt;=95,W701&lt;=200),0.17,0)+IF(AND(V701&gt;=20,V701&lt;40,W701&gt;=200),0.12,0)+IF(AND(V701&gt;=40,V701&lt;75,W701&lt;35),0.3,0)+IF(AND(V701&gt;=40,V701&lt;75,W701&gt;=35,W701&lt;75),0.23,0)+IF(AND(V701&gt;=40,V701&lt;75,W701&gt;=75,W701&lt;120),0.17,0)+IF(AND(V701&gt;=40,V701&lt;75,W701&gt;=120),0.12,0)+IF(AND(V701&gt;=75,V701&lt;175,W701&lt;35),0.3,0)+IF(AND(V701&gt;=75,V701&lt;=175,W701&gt;=35,W701&lt;65),0.23,0)+IF(AND(V701&gt;=75,V701&lt;=175,W701&gt;=65,W701&lt;110),0.17,0)+IF(AND(V701&gt;=75,V701&lt;=175,W701&gt;=110),0.12,0)+IF(AND(V701&gt;175,W701&lt;25),0.3,0)+IF(AND(V701&gt;175,W701&gt;=25,W701&lt;55),0.23,0)+IF(AND(V701&gt;175,W701&gt;=55,W701&lt;95),0.17,0)+IF(AND(V701&gt;175,W701&gt;=95),0.12,0),
IF(AF701="DoEVLo",IF(AND(V701&lt;20,W701&lt;55),0.25,0)+IF(AND(V701&lt;20,W701&gt;=55,W701&lt;105),0.2,0)+IF(AND(V701&lt;20,W701&gt;=105),0.15,0)+IF(AND(V701&gt;=20,V701&lt;40,W701&lt;45),0.25,0)+IF(AND(V701&gt;=20,V701&lt;40,W701&gt;=45,W701&lt;95),0.2,0)+IF(AND(V701&gt;=20,V701&lt;40,W701&gt;=95),0.15,0)+IF(AND(V701&gt;=40,V701&lt;75,W701&lt;35),0.25,0)+IF(AND(V701&gt;=40,V701&lt;75,W701&gt;=35,W701&lt;75),0.2,0)+IF(AND(V701&gt;=40,V701&lt;75,W701&gt;=75,W701&lt;120),0.15,0)+IF(AND(V701&gt;=40,V701&lt;75,W701&gt;=120),0.1,0)+IF(AND(V701&gt;=75,V701&lt;175,W701&lt;35),0.25,0)+IF(AND(V701&gt;=75,V701&lt;=175,W701&gt;=35,W701&lt;65),0.2,0)+IF(AND(V701&gt;=75,V701&lt;=175,W701&gt;=65,W701&lt;110),0.15,0)+IF(AND(V701&gt;=75,V701&lt;=175,W701&gt;=110),0.1,0)+IF(AND(V701&gt;175,W701&lt;25),0.25,0)+IF(AND(V701&gt;175,W701&gt;=25,W701&lt;55),0.2,0)+IF(AND(V701&gt;175,W701&gt;=55,W701&lt;95),0.15,0)+IF(AND(V701&gt;175,W701&gt;=95),0.1,0))))))))))))))))))</f>
        <v>0.19</v>
      </c>
      <c r="Y701" s="30">
        <f>IF(AG701="None",0,IF(AG701="Fix5",0.05, IF(AG701="Fix6.25",0.0625,IF(AG701="Fix3.75",0.0375,IF(AG701="Fix10",0.1,IF(AG701="Fix3",0.03,0))))))</f>
        <v>0</v>
      </c>
      <c r="Z701" s="35">
        <f>T701-AA701-AB701</f>
        <v>-4661.55</v>
      </c>
      <c r="AA701" s="29">
        <f>IF(AD701="EUR",((T701-R701)*X701)*U701+(R701*X701),(T701*X701))</f>
        <v>-1093.45</v>
      </c>
      <c r="AB701" s="36">
        <f>IF(AD701="EUR",((T701-R701)*Y701)*U701+(R701*Y701),(T701*Y701))</f>
        <v>0</v>
      </c>
      <c r="AC701" s="37" t="b">
        <v>1</v>
      </c>
      <c r="AD701" s="37" t="s">
        <v>38</v>
      </c>
      <c r="AE701" s="37" t="s">
        <v>38</v>
      </c>
      <c r="AF701" s="37" t="str">
        <f t="array" ref="AF701">INDEX('Deal Info'!D:D, MATCH(A701,'Deal Info'!A:A, 0))</f>
        <v>Fix19</v>
      </c>
      <c r="AG701" s="38" t="str">
        <f t="array" ref="AG701">INDEX('Deal Info'!G:G, MATCH(A701,'Deal Info'!A:A, 0))</f>
        <v>None</v>
      </c>
    </row>
    <row r="702" spans="1:33" ht="14.25" hidden="1" x14ac:dyDescent="0.2">
      <c r="A702" s="18" t="str">
        <f t="array" ref="A702">IF(G702='Room Info'!$B$1, INDEX('Room Info'!$A$2:$A2446, MATCH(B702,'Room Info'!$B$2:$B2446, 0)),IF(G702='Room Info'!$C$1, INDEX('Room Info'!$A$2:$A2446, MATCH(B702,'Room Info'!$C$2:$C2446, 0)),IF(G702='Room Info'!$D$1, INDEX('Room Info'!$A$2:$A2446, MATCH(B702,'Room Info'!$D$2:$D2446, 0)),IF(G702='Room Info'!$E$1, INDEX('Room Info'!$A$2:$A2446, MATCH(B702,'Room Info'!$E$2:$E2446, 0)),IF(G702='Room Info'!$F$1, INDEX('Room Info'!$A$2:$A2446, MATCH(B702,'Room Info'!$F$2:$F2446, 0)),IF(G702='Room Info'!$H$1, INDEX('Room Info'!$A$2:$A2446, MATCH(B702,'Room Info'!$H$2:$H2446, 0)),IF(G702='Room Info'!$G$1, INDEX('Room Info'!$A$2:$A2446, MATCH(B702,'Room Info'!$G$2:$G2446, 0)))))))))</f>
        <v>dimasik</v>
      </c>
      <c r="B702" s="45" t="s">
        <v>162</v>
      </c>
      <c r="C702" s="46">
        <v>44835</v>
      </c>
      <c r="D702" s="46">
        <v>44865</v>
      </c>
      <c r="E702" s="47">
        <v>44835</v>
      </c>
      <c r="F702" s="48" t="s">
        <v>41</v>
      </c>
      <c r="G702" s="45" t="s">
        <v>35</v>
      </c>
      <c r="H702" s="49" t="s">
        <v>70</v>
      </c>
      <c r="I702" s="49" t="s">
        <v>37</v>
      </c>
      <c r="J702" s="50">
        <v>100</v>
      </c>
      <c r="K702" s="51">
        <v>119</v>
      </c>
      <c r="L702" s="52">
        <v>2100</v>
      </c>
      <c r="M702" s="53">
        <v>455</v>
      </c>
      <c r="N702" s="28">
        <f>K702*J702</f>
        <v>11900</v>
      </c>
      <c r="O702" s="65"/>
      <c r="P702" s="29">
        <v>0</v>
      </c>
      <c r="Q702" s="55"/>
      <c r="R702" s="31">
        <f>M702+Q702</f>
        <v>455</v>
      </c>
      <c r="S702" s="66"/>
      <c r="T702" s="32">
        <f>R702+S702+IF(F702="Without EV deal",L702,0)</f>
        <v>2555</v>
      </c>
      <c r="U702" s="57">
        <v>1</v>
      </c>
      <c r="V702" s="58"/>
      <c r="W702" s="58"/>
      <c r="X702" s="30">
        <f>IF(AF702="DoEV",IF(AND(V702&lt;20,W702&lt;55),0.3,0)+IF(AND(V702&lt;20,W702&gt;=55,W702&lt;105),0.23,0)+IF(AND(V702&lt;20,W702&gt;=105),0.17,0)+IF(AND(V702&gt;=20,V702&lt;40,W702&lt;45),0.3,0)+IF(AND(V702&gt;=20,V702&lt;40,W702&gt;=45,W702&lt;95),0.23,0)+IF(AND(V702&gt;=20,V702&lt;40,W702&gt;=95),0.17,0)+IF(AND(V702&gt;=40,V702&lt;75,W702&lt;35),0.3,0)+IF(AND(V702&gt;=40,V702&lt;75,W702&gt;=35,W702&lt;75),0.23,0)+IF(AND(V702&gt;=40,V702&lt;75,W702&gt;=75,W702&lt;120),0.17,0)+IF(AND(V702&gt;=40,V702&lt;75,W702&gt;=120),0.12,0)+IF(AND(V702&gt;=75,V702&lt;175,W702&lt;35),0.3,0)+IF(AND(V702&gt;=75,V702&lt;=175,W702&gt;=35,W702&lt;65),0.23,0)+IF(AND(V702&gt;=75,V702&lt;=175,W702&gt;=65,W702&lt;110),0.17,0)+IF(AND(V702&gt;=75,V702&lt;=175,W702&gt;=110),0.12,0)+IF(AND(V702&gt;175,W702&lt;25),0.3,0)+IF(AND(V702&gt;175,W702&gt;=25,W702&lt;55),0.23,0)+IF(AND(V702&gt;175,W702&gt;=55,W702&lt;95),0.17,0)+IF(AND(V702&gt;175,W702&gt;=95),0.12,0),
IF(AF702="Fix15",0.15,
IF(AF702="Fix18.75",0.1875,
IF(AF702="Fix11.25",0.1125,
IF(AF702="Fix10",0.1,
IF(AF702="Fix9",0.09,
IF(AF702="Fix19",0.19,
IF(AF702="DoEV2017",IF(AND(W702&lt;74),0.2,0)+IF(AND(W702&gt;=74),0.17,0),
IF(AF702="SF",IF(AND(V702&lt;20,W702&lt;89),0.3,0)+IF(AND(V702&lt;20,W702&gt;=89),0.25,0)+IF(AND(V702&gt;=20,V702&lt;40,W702&lt;74),0.3,0)+IF(AND(V702&gt;=20,V702&lt;40,W702&gt;=75),0.22,0)+IF(AND(V702&gt;=40,V702&lt;75,W702&lt;75),0.26,0)+IF(AND(V702&gt;=40,V702&lt;75,W702&gt;=75),0.22,0)+IF(V702&gt;=75,0.22,0),
IF(AF702="DoEVold",IF(AND(V702&lt;40,W702&lt;35),0.35,0)+IF(AND(V702&lt;40,W702&gt;=35,W702&lt;75),0.25,0)+IF(AND(V702&lt;40,W702&gt;=75),0.17,0)+IF(AND(V702&gt;=40,V702&lt;75,W702&lt;25),0.35,0)+IF(AND(V702&gt;=40,V702&lt;75,W702&gt;=25,W702&lt;65),0.25,0)+IF(AND(V702&gt;=40,V702&lt;75,W702&gt;=65,W702&lt;100),0.17,0)+IF(AND(V702&gt;=40,V702&lt;75,W702&gt;=100),0.1,0)+IF(AND(V702&gt;=75,W702&lt;25),0.35,0)+IF(AND(V702&gt;=75,W702&gt;=25,W702&lt;60),0.25,0)+IF(AND(V702&gt;=75,W702&gt;=60,W702&lt;95),0.17,0)+IF(AND(V702&gt;=75,W702&gt;=95),0.1,0),
IF(AF702="DoEVold15",IF(AND(V702&lt;=40,W702&lt;35),0.35,0)+IF(AND(V702&lt;=40,W702&gt;=35,W702&lt;75),0.25,0)+IF(AND(V702&lt;=40,W702&gt;=75,W702&lt;120),0.17,0)+IF(AND(V702&lt;=40,W702&gt;=120),0.15,0)+IF(AND(V702&gt;40,V702&lt;75,W702&lt;25),0.35,0)+IF(AND(V702&gt;=40,V702&lt;75,W702&gt;=25,W702&lt;65),0.25,0)+IF(AND(V702&gt;=40,V702&lt;75,W702&gt;=65,W702&lt;100),0.17,0)+IF(AND(V702&gt;=40,V702&lt;75,W702&gt;=100),0.1,0)+IF(AND(V702&gt;=75,W702&lt;25),0.35,0)+IF(AND(V702&gt;=75,W702&gt;=25,W702&lt;60),0.25,0)+IF(AND(V702&gt;=75,W702&gt;=60,W702&lt;95),0.17,0)+IF(AND(V702&gt;=75,W702&gt;=95),0.1,0),
IF(AF702="DoEVba",IF(AND(V702&lt;20,W702&lt;105),0.2,0)+IF(AND(V702&lt;20,W702&gt;=105),0.15,0)+IF(AND(V702&gt;=20,V702&lt;40,W702&lt;95),0.2,0)+IF(AND(V702&gt;=20,V702&lt;40,W702&gt;=95,W702&lt;150),0.15,0)+IF(AND(V702&gt;=20,V702&lt;40,W702&gt;=150),0.12,0)+IF(AND(V702&gt;=40,V702&lt;75,W702&lt;75),0.2,0)+IF(AND(V702&gt;=40,V702&lt;75,W702&gt;=75,W702&lt;120),0.15,0)+IF(AND(V702&gt;=40,V702&lt;75,W702&gt;=120),0.12,0)+IF(AND(V702&gt;=75,V702&lt;175,W702&lt;65),0.2,0)+IF(AND(V702&gt;=75,V702&lt;175,W702&gt;=65,W702&lt;110),0.15,0)+IF(AND(V702&gt;=75,V702&lt;175,W702&gt;=110),0.12,0)+IF(AND(V702&gt;=175,W702&lt;55),0.2,0)+IF(AND(V702&gt;=175,W702&gt;=55,W702&lt;95),0.15,0)+IF(AND(V702&gt;=175,W702&gt;=95),0.12,0),
IF(AF702="DoEVku",IF(AND(V702&lt;20,W702&lt;55),0.23,0)+IF(AND(V702&lt;20,W702&gt;=55,W702&lt;105),0.2,0)+IF(AND(V702&lt;20,W702&gt;=105),0.17,0)+IF(AND(V702&gt;=20,V702&lt;40,W702&lt;45),0.23,0)+IF(AND(V702&gt;=20,V702&lt;40,W702&gt;=45,W702&lt;95),0.2,0)+IF(AND(V702&gt;=20,V702&lt;40,W702&gt;=95,W702&lt;=150),0.17,0)+IF(AND(V702&gt;=20,V702&lt;40,W702&gt;=150),0.12,0)+IF(AND(V702&gt;=40,V702&lt;75,W702&lt;35),0.23,0)+IF(AND(V702&gt;=40,V702&lt;75,W702&gt;=35,W702&lt;75),0.2,0)+IF(AND(V702&gt;=40,V702&lt;75,W702&gt;=75,W702&lt;120),0.17,0)+IF(AND(V702&gt;=40,V702&lt;75,W702&gt;=120),0.12,0)+IF(AND(V702&gt;=75,V702&lt;175,W702&lt;35),0.23,0)+IF(AND(V702&gt;=75,V702&lt;=175,W702&gt;=35,W702&lt;65),0.2,0)+IF(AND(V702&gt;=75,V702&lt;=175,W702&gt;=65,W702&lt;110),0.17,0)+IF(AND(V702&gt;=75,V702&lt;=175,W702&gt;=110),0.12,0)+IF(AND(V702&gt;175,W702&lt;25),0.23,0)+IF(AND(V702&gt;175,W702&gt;=25,W702&lt;55),0.2,0)+IF(AND(V702&gt;175,W702&gt;=55,W702&lt;95),0.17,0)+IF(AND(V702&gt;175,W702&gt;=95),0.12,0),
IF(AF702="DoEVs1",IF(AND(V702&lt;20,W702&lt;55),0.3,0)+IF(AND(V702&lt;20,W702&gt;=55,W702&lt;105),0.23,0)+IF(AND(V702&lt;20,W702&gt;=105),0.17,0)+IF(AND(V702&gt;=20,V702&lt;40,W702&lt;45),0.3,0)+IF(AND(V702&gt;=20,V702&lt;40,W702&gt;=45,W702&lt;95),0.23,0)+IF(AND(V702&gt;=20,V702&lt;40,W702&gt;=95,W702&lt;=150),0.17,0)+IF(AND(V702&gt;=20,V702&lt;40,W702&gt;=150),0.12,0)+IF(AND(V702&gt;=40,V702&lt;75,W702&lt;35),0.3,0)+IF(AND(V702&gt;=40,V702&lt;75,W702&gt;=35,W702&lt;75),0.23,0)+IF(AND(V702&gt;=40,V702&lt;75,W702&gt;=75,W702&lt;120),0.17,0)+IF(AND(V702&gt;=40,V702&lt;75,W702&gt;=120),0.12,0)+IF(AND(V702&gt;=75,V702&lt;175,W702&lt;35),0.3,0)+IF(AND(V702&gt;=75,V702&lt;=175,W702&gt;=35,W702&lt;65),0.23,0)+IF(AND(V702&gt;=75,V702&lt;=175,W702&gt;=65,W702&lt;110),0.17,0)+IF(AND(V702&gt;=75,V702&lt;=175,W702&gt;=110),0.12,0)+IF(AND(V702&gt;175,W702&lt;25),0.3,0)+IF(AND(V702&gt;175,W702&gt;=25,W702&lt;55),0.23,0)+IF(AND(V702&gt;175,W702&gt;=55,W702&lt;95),0.17,0)+IF(AND(V702&gt;175,W702&gt;=95),0.12,0),
IF(AF702="DoEVsu",IF(AND(V702&lt;20,W702&lt;55),0.3,0)+IF(AND(V702&lt;20,W702&gt;=55,W702&lt;105),0.23,0)+IF(AND(V702&lt;20,W702&gt;=105),0.17,0)+IF(AND(V702&gt;=20,V702&lt;40,W702&lt;45),0.3,0)+IF(AND(V702&gt;=20,V702&lt;40,W702&gt;=45,W702&lt;95),0.23,0)+IF(AND(V702&gt;=20,V702&lt;40,W702&gt;=95,W702&lt;=250),0.17,0)+IF(AND(V702&gt;=20,V702&lt;40,W702&gt;=250),0.12,0)+IF(AND(V702&gt;=40,V702&lt;75,W702&lt;35),0.3,0)+IF(AND(V702&gt;=40,V702&lt;75,W702&gt;=35,W702&lt;75),0.23,0)+IF(AND(V702&gt;=40,V702&lt;75,W702&gt;=75,W702&lt;120),0.17,0)+IF(AND(V702&gt;=40,V702&lt;75,W702&gt;=120),0.12,0)+IF(AND(V702&gt;=75,V702&lt;175,W702&lt;35),0.3,0)+IF(AND(V702&gt;=75,V702&lt;=175,W702&gt;=35,W702&lt;65),0.23,0)+IF(AND(V702&gt;=75,V702&lt;=175,W702&gt;=65,W702&lt;110),0.17,0)+IF(AND(V702&gt;=75,V702&lt;=175,W702&gt;=110),0.12,0)+IF(AND(V702&gt;175,W702&lt;25),0.3,0)+IF(AND(V702&gt;175,W702&gt;=25,W702&lt;55),0.23,0)+IF(AND(V702&gt;175,W702&gt;=55,W702&lt;95),0.17,0)+IF(AND(V702&gt;175,W702&gt;=95),0.12,0),
IF(AF702="DoEVni",IF(AND(V702&lt;20,W702&lt;55),0.3,0)+IF(AND(V702&lt;20,W702&gt;=55,W702&lt;105),0.23,0)+IF(AND(V702&lt;20,W702&gt;=105),0.17,0)+IF(AND(V702&gt;=20,V702&lt;40,W702&lt;45),0.3,0)+IF(AND(V702&gt;=20,V702&lt;40,W702&gt;=45,W702&lt;95),0.23,0)+IF(AND(V702&gt;=20,V702&lt;40,W702&gt;=95,W702&lt;=200),0.17,0)+IF(AND(V702&gt;=20,V702&lt;40,W702&gt;=200),0.12,0)+IF(AND(V702&gt;=40,V702&lt;75,W702&lt;35),0.3,0)+IF(AND(V702&gt;=40,V702&lt;75,W702&gt;=35,W702&lt;75),0.23,0)+IF(AND(V702&gt;=40,V702&lt;75,W702&gt;=75,W702&lt;120),0.17,0)+IF(AND(V702&gt;=40,V702&lt;75,W702&gt;=120),0.12,0)+IF(AND(V702&gt;=75,V702&lt;175,W702&lt;35),0.3,0)+IF(AND(V702&gt;=75,V702&lt;=175,W702&gt;=35,W702&lt;65),0.23,0)+IF(AND(V702&gt;=75,V702&lt;=175,W702&gt;=65,W702&lt;110),0.17,0)+IF(AND(V702&gt;=75,V702&lt;=175,W702&gt;=110),0.12,0)+IF(AND(V702&gt;175,W702&lt;25),0.3,0)+IF(AND(V702&gt;175,W702&gt;=25,W702&lt;55),0.23,0)+IF(AND(V702&gt;175,W702&gt;=55,W702&lt;95),0.17,0)+IF(AND(V702&gt;175,W702&gt;=95),0.12,0),
IF(AF702="DoEVLo",IF(AND(V702&lt;20,W702&lt;55),0.25,0)+IF(AND(V702&lt;20,W702&gt;=55,W702&lt;105),0.2,0)+IF(AND(V702&lt;20,W702&gt;=105),0.15,0)+IF(AND(V702&gt;=20,V702&lt;40,W702&lt;45),0.25,0)+IF(AND(V702&gt;=20,V702&lt;40,W702&gt;=45,W702&lt;95),0.2,0)+IF(AND(V702&gt;=20,V702&lt;40,W702&gt;=95),0.15,0)+IF(AND(V702&gt;=40,V702&lt;75,W702&lt;35),0.25,0)+IF(AND(V702&gt;=40,V702&lt;75,W702&gt;=35,W702&lt;75),0.2,0)+IF(AND(V702&gt;=40,V702&lt;75,W702&gt;=75,W702&lt;120),0.15,0)+IF(AND(V702&gt;=40,V702&lt;75,W702&gt;=120),0.1,0)+IF(AND(V702&gt;=75,V702&lt;175,W702&lt;35),0.25,0)+IF(AND(V702&gt;=75,V702&lt;=175,W702&gt;=35,W702&lt;65),0.2,0)+IF(AND(V702&gt;=75,V702&lt;=175,W702&gt;=65,W702&lt;110),0.15,0)+IF(AND(V702&gt;=75,V702&lt;=175,W702&gt;=110),0.1,0)+IF(AND(V702&gt;175,W702&lt;25),0.25,0)+IF(AND(V702&gt;175,W702&gt;=25,W702&lt;55),0.2,0)+IF(AND(V702&gt;175,W702&gt;=55,W702&lt;95),0.15,0)+IF(AND(V702&gt;175,W702&gt;=95),0.1,0))))))))))))))))))</f>
        <v>0.19</v>
      </c>
      <c r="Y702" s="30">
        <f>IF(AG702="None",0,IF(AG702="Fix5",0.05, IF(AG702="Fix6.25",0.0625,IF(AG702="Fix3.75",0.0375,IF(AG702="Fix10",0.1,IF(AG702="Fix3",0.03,0))))))</f>
        <v>0</v>
      </c>
      <c r="Z702" s="35">
        <f>T702-AA702-AB702</f>
        <v>2069.5500000000002</v>
      </c>
      <c r="AA702" s="29">
        <f>IF(AD702="EUR",((T702-R702)*X702)*U702+(R702*X702),(T702*X702))</f>
        <v>485.45</v>
      </c>
      <c r="AB702" s="36">
        <f>IF(AD702="EUR",((T702-R702)*Y702)*U702+(R702*Y702),(T702*Y702))</f>
        <v>0</v>
      </c>
      <c r="AC702" s="37" t="b">
        <v>1</v>
      </c>
      <c r="AD702" s="37" t="s">
        <v>38</v>
      </c>
      <c r="AE702" s="37" t="s">
        <v>38</v>
      </c>
      <c r="AF702" s="37" t="str">
        <f t="array" ref="AF702">INDEX('Deal Info'!D:D, MATCH(A702,'Deal Info'!A:A, 0))</f>
        <v>Fix19</v>
      </c>
      <c r="AG702" s="38" t="str">
        <f t="array" ref="AG702">INDEX('Deal Info'!G:G, MATCH(A702,'Deal Info'!A:A, 0))</f>
        <v>None</v>
      </c>
    </row>
    <row r="703" spans="1:33" ht="14.25" hidden="1" x14ac:dyDescent="0.2">
      <c r="A703" s="18" t="str">
        <f t="array" ref="A703">IF(G703='Room Info'!$B$1, INDEX('Room Info'!$A$2:$A2446, MATCH(B703,'Room Info'!$B$2:$B2446, 0)),IF(G703='Room Info'!$C$1, INDEX('Room Info'!$A$2:$A2446, MATCH(B703,'Room Info'!$C$2:$C2446, 0)),IF(G703='Room Info'!$D$1, INDEX('Room Info'!$A$2:$A2446, MATCH(B703,'Room Info'!$D$2:$D2446, 0)),IF(G703='Room Info'!$E$1, INDEX('Room Info'!$A$2:$A2446, MATCH(B703,'Room Info'!$E$2:$E2446, 0)),IF(G703='Room Info'!$F$1, INDEX('Room Info'!$A$2:$A2446, MATCH(B703,'Room Info'!$F$2:$F2446, 0)),IF(G703='Room Info'!$H$1, INDEX('Room Info'!$A$2:$A2446, MATCH(B703,'Room Info'!$H$2:$H2446, 0)),IF(G703='Room Info'!$G$1, INDEX('Room Info'!$A$2:$A2446, MATCH(B703,'Room Info'!$G$2:$G2446, 0)))))))))</f>
        <v>dimasik</v>
      </c>
      <c r="B703" s="45" t="s">
        <v>162</v>
      </c>
      <c r="C703" s="46">
        <v>44835</v>
      </c>
      <c r="D703" s="46">
        <v>44865</v>
      </c>
      <c r="E703" s="47">
        <v>44835</v>
      </c>
      <c r="F703" s="48" t="s">
        <v>41</v>
      </c>
      <c r="G703" s="45" t="s">
        <v>35</v>
      </c>
      <c r="H703" s="49" t="s">
        <v>142</v>
      </c>
      <c r="I703" s="49" t="s">
        <v>37</v>
      </c>
      <c r="J703" s="50">
        <v>500</v>
      </c>
      <c r="K703" s="51">
        <v>115</v>
      </c>
      <c r="L703" s="52">
        <v>3500</v>
      </c>
      <c r="M703" s="53">
        <v>2196</v>
      </c>
      <c r="N703" s="28">
        <f>K703*J703</f>
        <v>57500</v>
      </c>
      <c r="O703" s="65"/>
      <c r="P703" s="29">
        <v>0</v>
      </c>
      <c r="Q703" s="55"/>
      <c r="R703" s="31">
        <f>M703+Q703</f>
        <v>2196</v>
      </c>
      <c r="S703" s="66"/>
      <c r="T703" s="32">
        <f>R703+S703+IF(F703="Without EV deal",L703,0)</f>
        <v>5696</v>
      </c>
      <c r="U703" s="57">
        <v>1</v>
      </c>
      <c r="V703" s="58"/>
      <c r="W703" s="58"/>
      <c r="X703" s="30">
        <f>IF(AF703="DoEV",IF(AND(V703&lt;20,W703&lt;55),0.3,0)+IF(AND(V703&lt;20,W703&gt;=55,W703&lt;105),0.23,0)+IF(AND(V703&lt;20,W703&gt;=105),0.17,0)+IF(AND(V703&gt;=20,V703&lt;40,W703&lt;45),0.3,0)+IF(AND(V703&gt;=20,V703&lt;40,W703&gt;=45,W703&lt;95),0.23,0)+IF(AND(V703&gt;=20,V703&lt;40,W703&gt;=95),0.17,0)+IF(AND(V703&gt;=40,V703&lt;75,W703&lt;35),0.3,0)+IF(AND(V703&gt;=40,V703&lt;75,W703&gt;=35,W703&lt;75),0.23,0)+IF(AND(V703&gt;=40,V703&lt;75,W703&gt;=75,W703&lt;120),0.17,0)+IF(AND(V703&gt;=40,V703&lt;75,W703&gt;=120),0.12,0)+IF(AND(V703&gt;=75,V703&lt;175,W703&lt;35),0.3,0)+IF(AND(V703&gt;=75,V703&lt;=175,W703&gt;=35,W703&lt;65),0.23,0)+IF(AND(V703&gt;=75,V703&lt;=175,W703&gt;=65,W703&lt;110),0.17,0)+IF(AND(V703&gt;=75,V703&lt;=175,W703&gt;=110),0.12,0)+IF(AND(V703&gt;175,W703&lt;25),0.3,0)+IF(AND(V703&gt;175,W703&gt;=25,W703&lt;55),0.23,0)+IF(AND(V703&gt;175,W703&gt;=55,W703&lt;95),0.17,0)+IF(AND(V703&gt;175,W703&gt;=95),0.12,0),
IF(AF703="Fix15",0.15,
IF(AF703="Fix18.75",0.1875,
IF(AF703="Fix11.25",0.1125,
IF(AF703="Fix10",0.1,
IF(AF703="Fix9",0.09,
IF(AF703="Fix19",0.19,
IF(AF703="DoEV2017",IF(AND(W703&lt;74),0.2,0)+IF(AND(W703&gt;=74),0.17,0),
IF(AF703="SF",IF(AND(V703&lt;20,W703&lt;89),0.3,0)+IF(AND(V703&lt;20,W703&gt;=89),0.25,0)+IF(AND(V703&gt;=20,V703&lt;40,W703&lt;74),0.3,0)+IF(AND(V703&gt;=20,V703&lt;40,W703&gt;=75),0.22,0)+IF(AND(V703&gt;=40,V703&lt;75,W703&lt;75),0.26,0)+IF(AND(V703&gt;=40,V703&lt;75,W703&gt;=75),0.22,0)+IF(V703&gt;=75,0.22,0),
IF(AF703="DoEVold",IF(AND(V703&lt;40,W703&lt;35),0.35,0)+IF(AND(V703&lt;40,W703&gt;=35,W703&lt;75),0.25,0)+IF(AND(V703&lt;40,W703&gt;=75),0.17,0)+IF(AND(V703&gt;=40,V703&lt;75,W703&lt;25),0.35,0)+IF(AND(V703&gt;=40,V703&lt;75,W703&gt;=25,W703&lt;65),0.25,0)+IF(AND(V703&gt;=40,V703&lt;75,W703&gt;=65,W703&lt;100),0.17,0)+IF(AND(V703&gt;=40,V703&lt;75,W703&gt;=100),0.1,0)+IF(AND(V703&gt;=75,W703&lt;25),0.35,0)+IF(AND(V703&gt;=75,W703&gt;=25,W703&lt;60),0.25,0)+IF(AND(V703&gt;=75,W703&gt;=60,W703&lt;95),0.17,0)+IF(AND(V703&gt;=75,W703&gt;=95),0.1,0),
IF(AF703="DoEVold15",IF(AND(V703&lt;=40,W703&lt;35),0.35,0)+IF(AND(V703&lt;=40,W703&gt;=35,W703&lt;75),0.25,0)+IF(AND(V703&lt;=40,W703&gt;=75,W703&lt;120),0.17,0)+IF(AND(V703&lt;=40,W703&gt;=120),0.15,0)+IF(AND(V703&gt;40,V703&lt;75,W703&lt;25),0.35,0)+IF(AND(V703&gt;=40,V703&lt;75,W703&gt;=25,W703&lt;65),0.25,0)+IF(AND(V703&gt;=40,V703&lt;75,W703&gt;=65,W703&lt;100),0.17,0)+IF(AND(V703&gt;=40,V703&lt;75,W703&gt;=100),0.1,0)+IF(AND(V703&gt;=75,W703&lt;25),0.35,0)+IF(AND(V703&gt;=75,W703&gt;=25,W703&lt;60),0.25,0)+IF(AND(V703&gt;=75,W703&gt;=60,W703&lt;95),0.17,0)+IF(AND(V703&gt;=75,W703&gt;=95),0.1,0),
IF(AF703="DoEVba",IF(AND(V703&lt;20,W703&lt;105),0.2,0)+IF(AND(V703&lt;20,W703&gt;=105),0.15,0)+IF(AND(V703&gt;=20,V703&lt;40,W703&lt;95),0.2,0)+IF(AND(V703&gt;=20,V703&lt;40,W703&gt;=95,W703&lt;150),0.15,0)+IF(AND(V703&gt;=20,V703&lt;40,W703&gt;=150),0.12,0)+IF(AND(V703&gt;=40,V703&lt;75,W703&lt;75),0.2,0)+IF(AND(V703&gt;=40,V703&lt;75,W703&gt;=75,W703&lt;120),0.15,0)+IF(AND(V703&gt;=40,V703&lt;75,W703&gt;=120),0.12,0)+IF(AND(V703&gt;=75,V703&lt;175,W703&lt;65),0.2,0)+IF(AND(V703&gt;=75,V703&lt;175,W703&gt;=65,W703&lt;110),0.15,0)+IF(AND(V703&gt;=75,V703&lt;175,W703&gt;=110),0.12,0)+IF(AND(V703&gt;=175,W703&lt;55),0.2,0)+IF(AND(V703&gt;=175,W703&gt;=55,W703&lt;95),0.15,0)+IF(AND(V703&gt;=175,W703&gt;=95),0.12,0),
IF(AF703="DoEVku",IF(AND(V703&lt;20,W703&lt;55),0.23,0)+IF(AND(V703&lt;20,W703&gt;=55,W703&lt;105),0.2,0)+IF(AND(V703&lt;20,W703&gt;=105),0.17,0)+IF(AND(V703&gt;=20,V703&lt;40,W703&lt;45),0.23,0)+IF(AND(V703&gt;=20,V703&lt;40,W703&gt;=45,W703&lt;95),0.2,0)+IF(AND(V703&gt;=20,V703&lt;40,W703&gt;=95,W703&lt;=150),0.17,0)+IF(AND(V703&gt;=20,V703&lt;40,W703&gt;=150),0.12,0)+IF(AND(V703&gt;=40,V703&lt;75,W703&lt;35),0.23,0)+IF(AND(V703&gt;=40,V703&lt;75,W703&gt;=35,W703&lt;75),0.2,0)+IF(AND(V703&gt;=40,V703&lt;75,W703&gt;=75,W703&lt;120),0.17,0)+IF(AND(V703&gt;=40,V703&lt;75,W703&gt;=120),0.12,0)+IF(AND(V703&gt;=75,V703&lt;175,W703&lt;35),0.23,0)+IF(AND(V703&gt;=75,V703&lt;=175,W703&gt;=35,W703&lt;65),0.2,0)+IF(AND(V703&gt;=75,V703&lt;=175,W703&gt;=65,W703&lt;110),0.17,0)+IF(AND(V703&gt;=75,V703&lt;=175,W703&gt;=110),0.12,0)+IF(AND(V703&gt;175,W703&lt;25),0.23,0)+IF(AND(V703&gt;175,W703&gt;=25,W703&lt;55),0.2,0)+IF(AND(V703&gt;175,W703&gt;=55,W703&lt;95),0.17,0)+IF(AND(V703&gt;175,W703&gt;=95),0.12,0),
IF(AF703="DoEVs1",IF(AND(V703&lt;20,W703&lt;55),0.3,0)+IF(AND(V703&lt;20,W703&gt;=55,W703&lt;105),0.23,0)+IF(AND(V703&lt;20,W703&gt;=105),0.17,0)+IF(AND(V703&gt;=20,V703&lt;40,W703&lt;45),0.3,0)+IF(AND(V703&gt;=20,V703&lt;40,W703&gt;=45,W703&lt;95),0.23,0)+IF(AND(V703&gt;=20,V703&lt;40,W703&gt;=95,W703&lt;=150),0.17,0)+IF(AND(V703&gt;=20,V703&lt;40,W703&gt;=150),0.12,0)+IF(AND(V703&gt;=40,V703&lt;75,W703&lt;35),0.3,0)+IF(AND(V703&gt;=40,V703&lt;75,W703&gt;=35,W703&lt;75),0.23,0)+IF(AND(V703&gt;=40,V703&lt;75,W703&gt;=75,W703&lt;120),0.17,0)+IF(AND(V703&gt;=40,V703&lt;75,W703&gt;=120),0.12,0)+IF(AND(V703&gt;=75,V703&lt;175,W703&lt;35),0.3,0)+IF(AND(V703&gt;=75,V703&lt;=175,W703&gt;=35,W703&lt;65),0.23,0)+IF(AND(V703&gt;=75,V703&lt;=175,W703&gt;=65,W703&lt;110),0.17,0)+IF(AND(V703&gt;=75,V703&lt;=175,W703&gt;=110),0.12,0)+IF(AND(V703&gt;175,W703&lt;25),0.3,0)+IF(AND(V703&gt;175,W703&gt;=25,W703&lt;55),0.23,0)+IF(AND(V703&gt;175,W703&gt;=55,W703&lt;95),0.17,0)+IF(AND(V703&gt;175,W703&gt;=95),0.12,0),
IF(AF703="DoEVsu",IF(AND(V703&lt;20,W703&lt;55),0.3,0)+IF(AND(V703&lt;20,W703&gt;=55,W703&lt;105),0.23,0)+IF(AND(V703&lt;20,W703&gt;=105),0.17,0)+IF(AND(V703&gt;=20,V703&lt;40,W703&lt;45),0.3,0)+IF(AND(V703&gt;=20,V703&lt;40,W703&gt;=45,W703&lt;95),0.23,0)+IF(AND(V703&gt;=20,V703&lt;40,W703&gt;=95,W703&lt;=250),0.17,0)+IF(AND(V703&gt;=20,V703&lt;40,W703&gt;=250),0.12,0)+IF(AND(V703&gt;=40,V703&lt;75,W703&lt;35),0.3,0)+IF(AND(V703&gt;=40,V703&lt;75,W703&gt;=35,W703&lt;75),0.23,0)+IF(AND(V703&gt;=40,V703&lt;75,W703&gt;=75,W703&lt;120),0.17,0)+IF(AND(V703&gt;=40,V703&lt;75,W703&gt;=120),0.12,0)+IF(AND(V703&gt;=75,V703&lt;175,W703&lt;35),0.3,0)+IF(AND(V703&gt;=75,V703&lt;=175,W703&gt;=35,W703&lt;65),0.23,0)+IF(AND(V703&gt;=75,V703&lt;=175,W703&gt;=65,W703&lt;110),0.17,0)+IF(AND(V703&gt;=75,V703&lt;=175,W703&gt;=110),0.12,0)+IF(AND(V703&gt;175,W703&lt;25),0.3,0)+IF(AND(V703&gt;175,W703&gt;=25,W703&lt;55),0.23,0)+IF(AND(V703&gt;175,W703&gt;=55,W703&lt;95),0.17,0)+IF(AND(V703&gt;175,W703&gt;=95),0.12,0),
IF(AF703="DoEVni",IF(AND(V703&lt;20,W703&lt;55),0.3,0)+IF(AND(V703&lt;20,W703&gt;=55,W703&lt;105),0.23,0)+IF(AND(V703&lt;20,W703&gt;=105),0.17,0)+IF(AND(V703&gt;=20,V703&lt;40,W703&lt;45),0.3,0)+IF(AND(V703&gt;=20,V703&lt;40,W703&gt;=45,W703&lt;95),0.23,0)+IF(AND(V703&gt;=20,V703&lt;40,W703&gt;=95,W703&lt;=200),0.17,0)+IF(AND(V703&gt;=20,V703&lt;40,W703&gt;=200),0.12,0)+IF(AND(V703&gt;=40,V703&lt;75,W703&lt;35),0.3,0)+IF(AND(V703&gt;=40,V703&lt;75,W703&gt;=35,W703&lt;75),0.23,0)+IF(AND(V703&gt;=40,V703&lt;75,W703&gt;=75,W703&lt;120),0.17,0)+IF(AND(V703&gt;=40,V703&lt;75,W703&gt;=120),0.12,0)+IF(AND(V703&gt;=75,V703&lt;175,W703&lt;35),0.3,0)+IF(AND(V703&gt;=75,V703&lt;=175,W703&gt;=35,W703&lt;65),0.23,0)+IF(AND(V703&gt;=75,V703&lt;=175,W703&gt;=65,W703&lt;110),0.17,0)+IF(AND(V703&gt;=75,V703&lt;=175,W703&gt;=110),0.12,0)+IF(AND(V703&gt;175,W703&lt;25),0.3,0)+IF(AND(V703&gt;175,W703&gt;=25,W703&lt;55),0.23,0)+IF(AND(V703&gt;175,W703&gt;=55,W703&lt;95),0.17,0)+IF(AND(V703&gt;175,W703&gt;=95),0.12,0),
IF(AF703="DoEVLo",IF(AND(V703&lt;20,W703&lt;55),0.25,0)+IF(AND(V703&lt;20,W703&gt;=55,W703&lt;105),0.2,0)+IF(AND(V703&lt;20,W703&gt;=105),0.15,0)+IF(AND(V703&gt;=20,V703&lt;40,W703&lt;45),0.25,0)+IF(AND(V703&gt;=20,V703&lt;40,W703&gt;=45,W703&lt;95),0.2,0)+IF(AND(V703&gt;=20,V703&lt;40,W703&gt;=95),0.15,0)+IF(AND(V703&gt;=40,V703&lt;75,W703&lt;35),0.25,0)+IF(AND(V703&gt;=40,V703&lt;75,W703&gt;=35,W703&lt;75),0.2,0)+IF(AND(V703&gt;=40,V703&lt;75,W703&gt;=75,W703&lt;120),0.15,0)+IF(AND(V703&gt;=40,V703&lt;75,W703&gt;=120),0.1,0)+IF(AND(V703&gt;=75,V703&lt;175,W703&lt;35),0.25,0)+IF(AND(V703&gt;=75,V703&lt;=175,W703&gt;=35,W703&lt;65),0.2,0)+IF(AND(V703&gt;=75,V703&lt;=175,W703&gt;=65,W703&lt;110),0.15,0)+IF(AND(V703&gt;=75,V703&lt;=175,W703&gt;=110),0.1,0)+IF(AND(V703&gt;175,W703&lt;25),0.25,0)+IF(AND(V703&gt;175,W703&gt;=25,W703&lt;55),0.2,0)+IF(AND(V703&gt;175,W703&gt;=55,W703&lt;95),0.15,0)+IF(AND(V703&gt;175,W703&gt;=95),0.1,0))))))))))))))))))</f>
        <v>0.19</v>
      </c>
      <c r="Y703" s="30">
        <f>IF(AG703="None",0,IF(AG703="Fix5",0.05, IF(AG703="Fix6.25",0.0625,IF(AG703="Fix3.75",0.0375,IF(AG703="Fix10",0.1,IF(AG703="Fix3",0.03,0))))))</f>
        <v>0</v>
      </c>
      <c r="Z703" s="35">
        <f>T703-AA703-AB703</f>
        <v>4613.76</v>
      </c>
      <c r="AA703" s="29">
        <f>IF(AD703="EUR",((T703-R703)*X703)*U703+(R703*X703),(T703*X703))</f>
        <v>1082.24</v>
      </c>
      <c r="AB703" s="36">
        <f>IF(AD703="EUR",((T703-R703)*Y703)*U703+(R703*Y703),(T703*Y703))</f>
        <v>0</v>
      </c>
      <c r="AC703" s="37" t="b">
        <v>1</v>
      </c>
      <c r="AD703" s="37" t="s">
        <v>38</v>
      </c>
      <c r="AE703" s="37" t="s">
        <v>38</v>
      </c>
      <c r="AF703" s="37" t="str">
        <f t="array" ref="AF703">INDEX('Deal Info'!D:D, MATCH(A703,'Deal Info'!A:A, 0))</f>
        <v>Fix19</v>
      </c>
      <c r="AG703" s="38" t="str">
        <f t="array" ref="AG703">INDEX('Deal Info'!G:G, MATCH(A703,'Deal Info'!A:A, 0))</f>
        <v>None</v>
      </c>
    </row>
    <row r="704" spans="1:33" ht="14.25" hidden="1" x14ac:dyDescent="0.2">
      <c r="A704" s="18" t="str">
        <f t="array" ref="A704">IF(G704='Room Info'!$B$1, INDEX('Room Info'!$A$2:$A2446, MATCH(B704,'Room Info'!$B$2:$B2446, 0)),IF(G704='Room Info'!$C$1, INDEX('Room Info'!$A$2:$A2446, MATCH(B704,'Room Info'!$C$2:$C2446, 0)),IF(G704='Room Info'!$D$1, INDEX('Room Info'!$A$2:$A2446, MATCH(B704,'Room Info'!$D$2:$D2446, 0)),IF(G704='Room Info'!$E$1, INDEX('Room Info'!$A$2:$A2446, MATCH(B704,'Room Info'!$E$2:$E2446, 0)),IF(G704='Room Info'!$F$1, INDEX('Room Info'!$A$2:$A2446, MATCH(B704,'Room Info'!$F$2:$F2446, 0)),IF(G704='Room Info'!$H$1, INDEX('Room Info'!$A$2:$A2446, MATCH(B704,'Room Info'!$H$2:$H2446, 0)),IF(G704='Room Info'!$G$1, INDEX('Room Info'!$A$2:$A2446, MATCH(B704,'Room Info'!$G$2:$G2446, 0)))))))))</f>
        <v>dimasik</v>
      </c>
      <c r="B704" s="45" t="s">
        <v>162</v>
      </c>
      <c r="C704" s="46">
        <v>44866</v>
      </c>
      <c r="D704" s="46">
        <v>44895</v>
      </c>
      <c r="E704" s="47">
        <v>44866</v>
      </c>
      <c r="F704" s="48" t="s">
        <v>41</v>
      </c>
      <c r="G704" s="45" t="s">
        <v>35</v>
      </c>
      <c r="H704" s="49" t="s">
        <v>84</v>
      </c>
      <c r="I704" s="49" t="s">
        <v>44</v>
      </c>
      <c r="J704" s="50">
        <v>100</v>
      </c>
      <c r="K704" s="51">
        <v>367</v>
      </c>
      <c r="L704" s="52">
        <v>6300</v>
      </c>
      <c r="M704" s="53">
        <v>208</v>
      </c>
      <c r="N704" s="28">
        <f>K704*J704</f>
        <v>36700</v>
      </c>
      <c r="O704" s="54">
        <v>11110</v>
      </c>
      <c r="P704" s="29">
        <v>30.272479560000001</v>
      </c>
      <c r="Q704" s="55"/>
      <c r="R704" s="31">
        <f>M704+Q704</f>
        <v>208</v>
      </c>
      <c r="S704" s="66"/>
      <c r="T704" s="32">
        <f>R704+S704+IF(F704="Without EV deal",L704,0)</f>
        <v>6508</v>
      </c>
      <c r="U704" s="57">
        <v>1</v>
      </c>
      <c r="V704" s="58"/>
      <c r="W704" s="58"/>
      <c r="X704" s="30">
        <f>IF(AF704="DoEV",IF(AND(V704&lt;20,W704&lt;55),0.3,0)+IF(AND(V704&lt;20,W704&gt;=55,W704&lt;105),0.23,0)+IF(AND(V704&lt;20,W704&gt;=105),0.17,0)+IF(AND(V704&gt;=20,V704&lt;40,W704&lt;45),0.3,0)+IF(AND(V704&gt;=20,V704&lt;40,W704&gt;=45,W704&lt;95),0.23,0)+IF(AND(V704&gt;=20,V704&lt;40,W704&gt;=95),0.17,0)+IF(AND(V704&gt;=40,V704&lt;75,W704&lt;35),0.3,0)+IF(AND(V704&gt;=40,V704&lt;75,W704&gt;=35,W704&lt;75),0.23,0)+IF(AND(V704&gt;=40,V704&lt;75,W704&gt;=75,W704&lt;120),0.17,0)+IF(AND(V704&gt;=40,V704&lt;75,W704&gt;=120),0.12,0)+IF(AND(V704&gt;=75,V704&lt;175,W704&lt;35),0.3,0)+IF(AND(V704&gt;=75,V704&lt;=175,W704&gt;=35,W704&lt;65),0.23,0)+IF(AND(V704&gt;=75,V704&lt;=175,W704&gt;=65,W704&lt;110),0.17,0)+IF(AND(V704&gt;=75,V704&lt;=175,W704&gt;=110),0.12,0)+IF(AND(V704&gt;175,W704&lt;25),0.3,0)+IF(AND(V704&gt;175,W704&gt;=25,W704&lt;55),0.23,0)+IF(AND(V704&gt;175,W704&gt;=55,W704&lt;95),0.17,0)+IF(AND(V704&gt;175,W704&gt;=95),0.12,0),
IF(AF704="Fix15",0.15,
IF(AF704="Fix18.75",0.1875,
IF(AF704="Fix11.25",0.1125,
IF(AF704="Fix10",0.1,
IF(AF704="Fix9",0.09,
IF(AF704="Fix19",0.19,
IF(AF704="DoEV2017",IF(AND(W704&lt;74),0.2,0)+IF(AND(W704&gt;=74),0.17,0),
IF(AF704="SF",IF(AND(V704&lt;20,W704&lt;89),0.3,0)+IF(AND(V704&lt;20,W704&gt;=89),0.25,0)+IF(AND(V704&gt;=20,V704&lt;40,W704&lt;74),0.3,0)+IF(AND(V704&gt;=20,V704&lt;40,W704&gt;=75),0.22,0)+IF(AND(V704&gt;=40,V704&lt;75,W704&lt;75),0.26,0)+IF(AND(V704&gt;=40,V704&lt;75,W704&gt;=75),0.22,0)+IF(V704&gt;=75,0.22,0),
IF(AF704="DoEVold",IF(AND(V704&lt;40,W704&lt;35),0.35,0)+IF(AND(V704&lt;40,W704&gt;=35,W704&lt;75),0.25,0)+IF(AND(V704&lt;40,W704&gt;=75),0.17,0)+IF(AND(V704&gt;=40,V704&lt;75,W704&lt;25),0.35,0)+IF(AND(V704&gt;=40,V704&lt;75,W704&gt;=25,W704&lt;65),0.25,0)+IF(AND(V704&gt;=40,V704&lt;75,W704&gt;=65,W704&lt;100),0.17,0)+IF(AND(V704&gt;=40,V704&lt;75,W704&gt;=100),0.1,0)+IF(AND(V704&gt;=75,W704&lt;25),0.35,0)+IF(AND(V704&gt;=75,W704&gt;=25,W704&lt;60),0.25,0)+IF(AND(V704&gt;=75,W704&gt;=60,W704&lt;95),0.17,0)+IF(AND(V704&gt;=75,W704&gt;=95),0.1,0),
IF(AF704="DoEVold15",IF(AND(V704&lt;=40,W704&lt;35),0.35,0)+IF(AND(V704&lt;=40,W704&gt;=35,W704&lt;75),0.25,0)+IF(AND(V704&lt;=40,W704&gt;=75,W704&lt;120),0.17,0)+IF(AND(V704&lt;=40,W704&gt;=120),0.15,0)+IF(AND(V704&gt;40,V704&lt;75,W704&lt;25),0.35,0)+IF(AND(V704&gt;=40,V704&lt;75,W704&gt;=25,W704&lt;65),0.25,0)+IF(AND(V704&gt;=40,V704&lt;75,W704&gt;=65,W704&lt;100),0.17,0)+IF(AND(V704&gt;=40,V704&lt;75,W704&gt;=100),0.1,0)+IF(AND(V704&gt;=75,W704&lt;25),0.35,0)+IF(AND(V704&gt;=75,W704&gt;=25,W704&lt;60),0.25,0)+IF(AND(V704&gt;=75,W704&gt;=60,W704&lt;95),0.17,0)+IF(AND(V704&gt;=75,W704&gt;=95),0.1,0),
IF(AF704="DoEVba",IF(AND(V704&lt;20,W704&lt;105),0.2,0)+IF(AND(V704&lt;20,W704&gt;=105),0.15,0)+IF(AND(V704&gt;=20,V704&lt;40,W704&lt;95),0.2,0)+IF(AND(V704&gt;=20,V704&lt;40,W704&gt;=95,W704&lt;150),0.15,0)+IF(AND(V704&gt;=20,V704&lt;40,W704&gt;=150),0.12,0)+IF(AND(V704&gt;=40,V704&lt;75,W704&lt;75),0.2,0)+IF(AND(V704&gt;=40,V704&lt;75,W704&gt;=75,W704&lt;120),0.15,0)+IF(AND(V704&gt;=40,V704&lt;75,W704&gt;=120),0.12,0)+IF(AND(V704&gt;=75,V704&lt;175,W704&lt;65),0.2,0)+IF(AND(V704&gt;=75,V704&lt;175,W704&gt;=65,W704&lt;110),0.15,0)+IF(AND(V704&gt;=75,V704&lt;175,W704&gt;=110),0.12,0)+IF(AND(V704&gt;=175,W704&lt;55),0.2,0)+IF(AND(V704&gt;=175,W704&gt;=55,W704&lt;95),0.15,0)+IF(AND(V704&gt;=175,W704&gt;=95),0.12,0),
IF(AF704="DoEVku",IF(AND(V704&lt;20,W704&lt;55),0.23,0)+IF(AND(V704&lt;20,W704&gt;=55,W704&lt;105),0.2,0)+IF(AND(V704&lt;20,W704&gt;=105),0.17,0)+IF(AND(V704&gt;=20,V704&lt;40,W704&lt;45),0.23,0)+IF(AND(V704&gt;=20,V704&lt;40,W704&gt;=45,W704&lt;95),0.2,0)+IF(AND(V704&gt;=20,V704&lt;40,W704&gt;=95,W704&lt;=150),0.17,0)+IF(AND(V704&gt;=20,V704&lt;40,W704&gt;=150),0.12,0)+IF(AND(V704&gt;=40,V704&lt;75,W704&lt;35),0.23,0)+IF(AND(V704&gt;=40,V704&lt;75,W704&gt;=35,W704&lt;75),0.2,0)+IF(AND(V704&gt;=40,V704&lt;75,W704&gt;=75,W704&lt;120),0.17,0)+IF(AND(V704&gt;=40,V704&lt;75,W704&gt;=120),0.12,0)+IF(AND(V704&gt;=75,V704&lt;175,W704&lt;35),0.23,0)+IF(AND(V704&gt;=75,V704&lt;=175,W704&gt;=35,W704&lt;65),0.2,0)+IF(AND(V704&gt;=75,V704&lt;=175,W704&gt;=65,W704&lt;110),0.17,0)+IF(AND(V704&gt;=75,V704&lt;=175,W704&gt;=110),0.12,0)+IF(AND(V704&gt;175,W704&lt;25),0.23,0)+IF(AND(V704&gt;175,W704&gt;=25,W704&lt;55),0.2,0)+IF(AND(V704&gt;175,W704&gt;=55,W704&lt;95),0.17,0)+IF(AND(V704&gt;175,W704&gt;=95),0.12,0),
IF(AF704="DoEVs1",IF(AND(V704&lt;20,W704&lt;55),0.3,0)+IF(AND(V704&lt;20,W704&gt;=55,W704&lt;105),0.23,0)+IF(AND(V704&lt;20,W704&gt;=105),0.17,0)+IF(AND(V704&gt;=20,V704&lt;40,W704&lt;45),0.3,0)+IF(AND(V704&gt;=20,V704&lt;40,W704&gt;=45,W704&lt;95),0.23,0)+IF(AND(V704&gt;=20,V704&lt;40,W704&gt;=95,W704&lt;=150),0.17,0)+IF(AND(V704&gt;=20,V704&lt;40,W704&gt;=150),0.12,0)+IF(AND(V704&gt;=40,V704&lt;75,W704&lt;35),0.3,0)+IF(AND(V704&gt;=40,V704&lt;75,W704&gt;=35,W704&lt;75),0.23,0)+IF(AND(V704&gt;=40,V704&lt;75,W704&gt;=75,W704&lt;120),0.17,0)+IF(AND(V704&gt;=40,V704&lt;75,W704&gt;=120),0.12,0)+IF(AND(V704&gt;=75,V704&lt;175,W704&lt;35),0.3,0)+IF(AND(V704&gt;=75,V704&lt;=175,W704&gt;=35,W704&lt;65),0.23,0)+IF(AND(V704&gt;=75,V704&lt;=175,W704&gt;=65,W704&lt;110),0.17,0)+IF(AND(V704&gt;=75,V704&lt;=175,W704&gt;=110),0.12,0)+IF(AND(V704&gt;175,W704&lt;25),0.3,0)+IF(AND(V704&gt;175,W704&gt;=25,W704&lt;55),0.23,0)+IF(AND(V704&gt;175,W704&gt;=55,W704&lt;95),0.17,0)+IF(AND(V704&gt;175,W704&gt;=95),0.12,0),
IF(AF704="DoEVsu",IF(AND(V704&lt;20,W704&lt;55),0.3,0)+IF(AND(V704&lt;20,W704&gt;=55,W704&lt;105),0.23,0)+IF(AND(V704&lt;20,W704&gt;=105),0.17,0)+IF(AND(V704&gt;=20,V704&lt;40,W704&lt;45),0.3,0)+IF(AND(V704&gt;=20,V704&lt;40,W704&gt;=45,W704&lt;95),0.23,0)+IF(AND(V704&gt;=20,V704&lt;40,W704&gt;=95,W704&lt;=250),0.17,0)+IF(AND(V704&gt;=20,V704&lt;40,W704&gt;=250),0.12,0)+IF(AND(V704&gt;=40,V704&lt;75,W704&lt;35),0.3,0)+IF(AND(V704&gt;=40,V704&lt;75,W704&gt;=35,W704&lt;75),0.23,0)+IF(AND(V704&gt;=40,V704&lt;75,W704&gt;=75,W704&lt;120),0.17,0)+IF(AND(V704&gt;=40,V704&lt;75,W704&gt;=120),0.12,0)+IF(AND(V704&gt;=75,V704&lt;175,W704&lt;35),0.3,0)+IF(AND(V704&gt;=75,V704&lt;=175,W704&gt;=35,W704&lt;65),0.23,0)+IF(AND(V704&gt;=75,V704&lt;=175,W704&gt;=65,W704&lt;110),0.17,0)+IF(AND(V704&gt;=75,V704&lt;=175,W704&gt;=110),0.12,0)+IF(AND(V704&gt;175,W704&lt;25),0.3,0)+IF(AND(V704&gt;175,W704&gt;=25,W704&lt;55),0.23,0)+IF(AND(V704&gt;175,W704&gt;=55,W704&lt;95),0.17,0)+IF(AND(V704&gt;175,W704&gt;=95),0.12,0),
IF(AF704="DoEVni",IF(AND(V704&lt;20,W704&lt;55),0.3,0)+IF(AND(V704&lt;20,W704&gt;=55,W704&lt;105),0.23,0)+IF(AND(V704&lt;20,W704&gt;=105),0.17,0)+IF(AND(V704&gt;=20,V704&lt;40,W704&lt;45),0.3,0)+IF(AND(V704&gt;=20,V704&lt;40,W704&gt;=45,W704&lt;95),0.23,0)+IF(AND(V704&gt;=20,V704&lt;40,W704&gt;=95,W704&lt;=200),0.17,0)+IF(AND(V704&gt;=20,V704&lt;40,W704&gt;=200),0.12,0)+IF(AND(V704&gt;=40,V704&lt;75,W704&lt;35),0.3,0)+IF(AND(V704&gt;=40,V704&lt;75,W704&gt;=35,W704&lt;75),0.23,0)+IF(AND(V704&gt;=40,V704&lt;75,W704&gt;=75,W704&lt;120),0.17,0)+IF(AND(V704&gt;=40,V704&lt;75,W704&gt;=120),0.12,0)+IF(AND(V704&gt;=75,V704&lt;175,W704&lt;35),0.3,0)+IF(AND(V704&gt;=75,V704&lt;=175,W704&gt;=35,W704&lt;65),0.23,0)+IF(AND(V704&gt;=75,V704&lt;=175,W704&gt;=65,W704&lt;110),0.17,0)+IF(AND(V704&gt;=75,V704&lt;=175,W704&gt;=110),0.12,0)+IF(AND(V704&gt;175,W704&lt;25),0.3,0)+IF(AND(V704&gt;175,W704&gt;=25,W704&lt;55),0.23,0)+IF(AND(V704&gt;175,W704&gt;=55,W704&lt;95),0.17,0)+IF(AND(V704&gt;175,W704&gt;=95),0.12,0),
IF(AF704="DoEVLo",IF(AND(V704&lt;20,W704&lt;55),0.25,0)+IF(AND(V704&lt;20,W704&gt;=55,W704&lt;105),0.2,0)+IF(AND(V704&lt;20,W704&gt;=105),0.15,0)+IF(AND(V704&gt;=20,V704&lt;40,W704&lt;45),0.25,0)+IF(AND(V704&gt;=20,V704&lt;40,W704&gt;=45,W704&lt;95),0.2,0)+IF(AND(V704&gt;=20,V704&lt;40,W704&gt;=95),0.15,0)+IF(AND(V704&gt;=40,V704&lt;75,W704&lt;35),0.25,0)+IF(AND(V704&gt;=40,V704&lt;75,W704&gt;=35,W704&lt;75),0.2,0)+IF(AND(V704&gt;=40,V704&lt;75,W704&gt;=75,W704&lt;120),0.15,0)+IF(AND(V704&gt;=40,V704&lt;75,W704&gt;=120),0.1,0)+IF(AND(V704&gt;=75,V704&lt;175,W704&lt;35),0.25,0)+IF(AND(V704&gt;=75,V704&lt;=175,W704&gt;=35,W704&lt;65),0.2,0)+IF(AND(V704&gt;=75,V704&lt;=175,W704&gt;=65,W704&lt;110),0.15,0)+IF(AND(V704&gt;=75,V704&lt;=175,W704&gt;=110),0.1,0)+IF(AND(V704&gt;175,W704&lt;25),0.25,0)+IF(AND(V704&gt;175,W704&gt;=25,W704&lt;55),0.2,0)+IF(AND(V704&gt;175,W704&gt;=55,W704&lt;95),0.15,0)+IF(AND(V704&gt;175,W704&gt;=95),0.1,0))))))))))))))))))</f>
        <v>0.19</v>
      </c>
      <c r="Y704" s="30">
        <f>IF(AG704="None",0,IF(AG704="Fix5",0.05, IF(AG704="Fix6.25",0.0625,IF(AG704="Fix3.75",0.0375,IF(AG704="Fix10",0.1,IF(AG704="Fix3",0.03,0))))))</f>
        <v>0</v>
      </c>
      <c r="Z704" s="35">
        <f>T704-AA704-AB704</f>
        <v>5271.48</v>
      </c>
      <c r="AA704" s="29">
        <f>IF(AD704="EUR",((T704-R704)*X704)*U704+(R704*X704),(T704*X704))</f>
        <v>1236.52</v>
      </c>
      <c r="AB704" s="36">
        <f>IF(AD704="EUR",((T704-R704)*Y704)*U704+(R704*Y704),(T704*Y704))</f>
        <v>0</v>
      </c>
      <c r="AC704" s="37" t="b">
        <v>1</v>
      </c>
      <c r="AD704" s="37" t="s">
        <v>38</v>
      </c>
      <c r="AE704" s="37" t="s">
        <v>38</v>
      </c>
      <c r="AF704" s="37" t="str">
        <f t="array" ref="AF704">INDEX('Deal Info'!D:D, MATCH(A704,'Deal Info'!A:A, 0))</f>
        <v>Fix19</v>
      </c>
      <c r="AG704" s="38" t="str">
        <f t="array" ref="AG704">INDEX('Deal Info'!G:G, MATCH(A704,'Deal Info'!A:A, 0))</f>
        <v>None</v>
      </c>
    </row>
    <row r="705" spans="1:33" ht="14.25" hidden="1" x14ac:dyDescent="0.2">
      <c r="A705" s="18" t="str">
        <f t="array" ref="A705">IF(G705='Room Info'!$B$1, INDEX('Room Info'!$A$2:$A2446, MATCH(B705,'Room Info'!$B$2:$B2446, 0)),IF(G705='Room Info'!$C$1, INDEX('Room Info'!$A$2:$A2446, MATCH(B705,'Room Info'!$C$2:$C2446, 0)),IF(G705='Room Info'!$D$1, INDEX('Room Info'!$A$2:$A2446, MATCH(B705,'Room Info'!$D$2:$D2446, 0)),IF(G705='Room Info'!$E$1, INDEX('Room Info'!$A$2:$A2446, MATCH(B705,'Room Info'!$E$2:$E2446, 0)),IF(G705='Room Info'!$F$1, INDEX('Room Info'!$A$2:$A2446, MATCH(B705,'Room Info'!$F$2:$F2446, 0)),IF(G705='Room Info'!$H$1, INDEX('Room Info'!$A$2:$A2446, MATCH(B705,'Room Info'!$H$2:$H2446, 0)),IF(G705='Room Info'!$G$1, INDEX('Room Info'!$A$2:$A2446, MATCH(B705,'Room Info'!$G$2:$G2446, 0)))))))))</f>
        <v>dimasik</v>
      </c>
      <c r="B705" s="45" t="s">
        <v>162</v>
      </c>
      <c r="C705" s="46">
        <v>44866</v>
      </c>
      <c r="D705" s="46">
        <v>44895</v>
      </c>
      <c r="E705" s="47">
        <v>44866</v>
      </c>
      <c r="F705" s="48" t="s">
        <v>41</v>
      </c>
      <c r="G705" s="45" t="s">
        <v>35</v>
      </c>
      <c r="H705" s="49" t="s">
        <v>149</v>
      </c>
      <c r="I705" s="49" t="s">
        <v>44</v>
      </c>
      <c r="J705" s="50">
        <v>500</v>
      </c>
      <c r="K705" s="51">
        <v>1</v>
      </c>
      <c r="L705" s="52">
        <v>1000</v>
      </c>
      <c r="M705" s="53">
        <v>3</v>
      </c>
      <c r="N705" s="28">
        <f>K705*J705</f>
        <v>500</v>
      </c>
      <c r="O705" s="54">
        <v>-49</v>
      </c>
      <c r="P705" s="29">
        <v>-49</v>
      </c>
      <c r="Q705" s="55"/>
      <c r="R705" s="31">
        <f>M705+Q705</f>
        <v>3</v>
      </c>
      <c r="S705" s="66"/>
      <c r="T705" s="32">
        <f>R705+S705+IF(F705="Without EV deal",L705,0)</f>
        <v>1003</v>
      </c>
      <c r="U705" s="57">
        <v>1</v>
      </c>
      <c r="V705" s="58"/>
      <c r="W705" s="58"/>
      <c r="X705" s="30">
        <f>IF(AF705="DoEV",IF(AND(V705&lt;20,W705&lt;55),0.3,0)+IF(AND(V705&lt;20,W705&gt;=55,W705&lt;105),0.23,0)+IF(AND(V705&lt;20,W705&gt;=105),0.17,0)+IF(AND(V705&gt;=20,V705&lt;40,W705&lt;45),0.3,0)+IF(AND(V705&gt;=20,V705&lt;40,W705&gt;=45,W705&lt;95),0.23,0)+IF(AND(V705&gt;=20,V705&lt;40,W705&gt;=95),0.17,0)+IF(AND(V705&gt;=40,V705&lt;75,W705&lt;35),0.3,0)+IF(AND(V705&gt;=40,V705&lt;75,W705&gt;=35,W705&lt;75),0.23,0)+IF(AND(V705&gt;=40,V705&lt;75,W705&gt;=75,W705&lt;120),0.17,0)+IF(AND(V705&gt;=40,V705&lt;75,W705&gt;=120),0.12,0)+IF(AND(V705&gt;=75,V705&lt;175,W705&lt;35),0.3,0)+IF(AND(V705&gt;=75,V705&lt;=175,W705&gt;=35,W705&lt;65),0.23,0)+IF(AND(V705&gt;=75,V705&lt;=175,W705&gt;=65,W705&lt;110),0.17,0)+IF(AND(V705&gt;=75,V705&lt;=175,W705&gt;=110),0.12,0)+IF(AND(V705&gt;175,W705&lt;25),0.3,0)+IF(AND(V705&gt;175,W705&gt;=25,W705&lt;55),0.23,0)+IF(AND(V705&gt;175,W705&gt;=55,W705&lt;95),0.17,0)+IF(AND(V705&gt;175,W705&gt;=95),0.12,0),
IF(AF705="Fix15",0.15,
IF(AF705="Fix18.75",0.1875,
IF(AF705="Fix11.25",0.1125,
IF(AF705="Fix10",0.1,
IF(AF705="Fix9",0.09,
IF(AF705="Fix19",0.19,
IF(AF705="DoEV2017",IF(AND(W705&lt;74),0.2,0)+IF(AND(W705&gt;=74),0.17,0),
IF(AF705="SF",IF(AND(V705&lt;20,W705&lt;89),0.3,0)+IF(AND(V705&lt;20,W705&gt;=89),0.25,0)+IF(AND(V705&gt;=20,V705&lt;40,W705&lt;74),0.3,0)+IF(AND(V705&gt;=20,V705&lt;40,W705&gt;=75),0.22,0)+IF(AND(V705&gt;=40,V705&lt;75,W705&lt;75),0.26,0)+IF(AND(V705&gt;=40,V705&lt;75,W705&gt;=75),0.22,0)+IF(V705&gt;=75,0.22,0),
IF(AF705="DoEVold",IF(AND(V705&lt;40,W705&lt;35),0.35,0)+IF(AND(V705&lt;40,W705&gt;=35,W705&lt;75),0.25,0)+IF(AND(V705&lt;40,W705&gt;=75),0.17,0)+IF(AND(V705&gt;=40,V705&lt;75,W705&lt;25),0.35,0)+IF(AND(V705&gt;=40,V705&lt;75,W705&gt;=25,W705&lt;65),0.25,0)+IF(AND(V705&gt;=40,V705&lt;75,W705&gt;=65,W705&lt;100),0.17,0)+IF(AND(V705&gt;=40,V705&lt;75,W705&gt;=100),0.1,0)+IF(AND(V705&gt;=75,W705&lt;25),0.35,0)+IF(AND(V705&gt;=75,W705&gt;=25,W705&lt;60),0.25,0)+IF(AND(V705&gt;=75,W705&gt;=60,W705&lt;95),0.17,0)+IF(AND(V705&gt;=75,W705&gt;=95),0.1,0),
IF(AF705="DoEVold15",IF(AND(V705&lt;=40,W705&lt;35),0.35,0)+IF(AND(V705&lt;=40,W705&gt;=35,W705&lt;75),0.25,0)+IF(AND(V705&lt;=40,W705&gt;=75,W705&lt;120),0.17,0)+IF(AND(V705&lt;=40,W705&gt;=120),0.15,0)+IF(AND(V705&gt;40,V705&lt;75,W705&lt;25),0.35,0)+IF(AND(V705&gt;=40,V705&lt;75,W705&gt;=25,W705&lt;65),0.25,0)+IF(AND(V705&gt;=40,V705&lt;75,W705&gt;=65,W705&lt;100),0.17,0)+IF(AND(V705&gt;=40,V705&lt;75,W705&gt;=100),0.1,0)+IF(AND(V705&gt;=75,W705&lt;25),0.35,0)+IF(AND(V705&gt;=75,W705&gt;=25,W705&lt;60),0.25,0)+IF(AND(V705&gt;=75,W705&gt;=60,W705&lt;95),0.17,0)+IF(AND(V705&gt;=75,W705&gt;=95),0.1,0),
IF(AF705="DoEVba",IF(AND(V705&lt;20,W705&lt;105),0.2,0)+IF(AND(V705&lt;20,W705&gt;=105),0.15,0)+IF(AND(V705&gt;=20,V705&lt;40,W705&lt;95),0.2,0)+IF(AND(V705&gt;=20,V705&lt;40,W705&gt;=95,W705&lt;150),0.15,0)+IF(AND(V705&gt;=20,V705&lt;40,W705&gt;=150),0.12,0)+IF(AND(V705&gt;=40,V705&lt;75,W705&lt;75),0.2,0)+IF(AND(V705&gt;=40,V705&lt;75,W705&gt;=75,W705&lt;120),0.15,0)+IF(AND(V705&gt;=40,V705&lt;75,W705&gt;=120),0.12,0)+IF(AND(V705&gt;=75,V705&lt;175,W705&lt;65),0.2,0)+IF(AND(V705&gt;=75,V705&lt;175,W705&gt;=65,W705&lt;110),0.15,0)+IF(AND(V705&gt;=75,V705&lt;175,W705&gt;=110),0.12,0)+IF(AND(V705&gt;=175,W705&lt;55),0.2,0)+IF(AND(V705&gt;=175,W705&gt;=55,W705&lt;95),0.15,0)+IF(AND(V705&gt;=175,W705&gt;=95),0.12,0),
IF(AF705="DoEVku",IF(AND(V705&lt;20,W705&lt;55),0.23,0)+IF(AND(V705&lt;20,W705&gt;=55,W705&lt;105),0.2,0)+IF(AND(V705&lt;20,W705&gt;=105),0.17,0)+IF(AND(V705&gt;=20,V705&lt;40,W705&lt;45),0.23,0)+IF(AND(V705&gt;=20,V705&lt;40,W705&gt;=45,W705&lt;95),0.2,0)+IF(AND(V705&gt;=20,V705&lt;40,W705&gt;=95,W705&lt;=150),0.17,0)+IF(AND(V705&gt;=20,V705&lt;40,W705&gt;=150),0.12,0)+IF(AND(V705&gt;=40,V705&lt;75,W705&lt;35),0.23,0)+IF(AND(V705&gt;=40,V705&lt;75,W705&gt;=35,W705&lt;75),0.2,0)+IF(AND(V705&gt;=40,V705&lt;75,W705&gt;=75,W705&lt;120),0.17,0)+IF(AND(V705&gt;=40,V705&lt;75,W705&gt;=120),0.12,0)+IF(AND(V705&gt;=75,V705&lt;175,W705&lt;35),0.23,0)+IF(AND(V705&gt;=75,V705&lt;=175,W705&gt;=35,W705&lt;65),0.2,0)+IF(AND(V705&gt;=75,V705&lt;=175,W705&gt;=65,W705&lt;110),0.17,0)+IF(AND(V705&gt;=75,V705&lt;=175,W705&gt;=110),0.12,0)+IF(AND(V705&gt;175,W705&lt;25),0.23,0)+IF(AND(V705&gt;175,W705&gt;=25,W705&lt;55),0.2,0)+IF(AND(V705&gt;175,W705&gt;=55,W705&lt;95),0.17,0)+IF(AND(V705&gt;175,W705&gt;=95),0.12,0),
IF(AF705="DoEVs1",IF(AND(V705&lt;20,W705&lt;55),0.3,0)+IF(AND(V705&lt;20,W705&gt;=55,W705&lt;105),0.23,0)+IF(AND(V705&lt;20,W705&gt;=105),0.17,0)+IF(AND(V705&gt;=20,V705&lt;40,W705&lt;45),0.3,0)+IF(AND(V705&gt;=20,V705&lt;40,W705&gt;=45,W705&lt;95),0.23,0)+IF(AND(V705&gt;=20,V705&lt;40,W705&gt;=95,W705&lt;=150),0.17,0)+IF(AND(V705&gt;=20,V705&lt;40,W705&gt;=150),0.12,0)+IF(AND(V705&gt;=40,V705&lt;75,W705&lt;35),0.3,0)+IF(AND(V705&gt;=40,V705&lt;75,W705&gt;=35,W705&lt;75),0.23,0)+IF(AND(V705&gt;=40,V705&lt;75,W705&gt;=75,W705&lt;120),0.17,0)+IF(AND(V705&gt;=40,V705&lt;75,W705&gt;=120),0.12,0)+IF(AND(V705&gt;=75,V705&lt;175,W705&lt;35),0.3,0)+IF(AND(V705&gt;=75,V705&lt;=175,W705&gt;=35,W705&lt;65),0.23,0)+IF(AND(V705&gt;=75,V705&lt;=175,W705&gt;=65,W705&lt;110),0.17,0)+IF(AND(V705&gt;=75,V705&lt;=175,W705&gt;=110),0.12,0)+IF(AND(V705&gt;175,W705&lt;25),0.3,0)+IF(AND(V705&gt;175,W705&gt;=25,W705&lt;55),0.23,0)+IF(AND(V705&gt;175,W705&gt;=55,W705&lt;95),0.17,0)+IF(AND(V705&gt;175,W705&gt;=95),0.12,0),
IF(AF705="DoEVsu",IF(AND(V705&lt;20,W705&lt;55),0.3,0)+IF(AND(V705&lt;20,W705&gt;=55,W705&lt;105),0.23,0)+IF(AND(V705&lt;20,W705&gt;=105),0.17,0)+IF(AND(V705&gt;=20,V705&lt;40,W705&lt;45),0.3,0)+IF(AND(V705&gt;=20,V705&lt;40,W705&gt;=45,W705&lt;95),0.23,0)+IF(AND(V705&gt;=20,V705&lt;40,W705&gt;=95,W705&lt;=250),0.17,0)+IF(AND(V705&gt;=20,V705&lt;40,W705&gt;=250),0.12,0)+IF(AND(V705&gt;=40,V705&lt;75,W705&lt;35),0.3,0)+IF(AND(V705&gt;=40,V705&lt;75,W705&gt;=35,W705&lt;75),0.23,0)+IF(AND(V705&gt;=40,V705&lt;75,W705&gt;=75,W705&lt;120),0.17,0)+IF(AND(V705&gt;=40,V705&lt;75,W705&gt;=120),0.12,0)+IF(AND(V705&gt;=75,V705&lt;175,W705&lt;35),0.3,0)+IF(AND(V705&gt;=75,V705&lt;=175,W705&gt;=35,W705&lt;65),0.23,0)+IF(AND(V705&gt;=75,V705&lt;=175,W705&gt;=65,W705&lt;110),0.17,0)+IF(AND(V705&gt;=75,V705&lt;=175,W705&gt;=110),0.12,0)+IF(AND(V705&gt;175,W705&lt;25),0.3,0)+IF(AND(V705&gt;175,W705&gt;=25,W705&lt;55),0.23,0)+IF(AND(V705&gt;175,W705&gt;=55,W705&lt;95),0.17,0)+IF(AND(V705&gt;175,W705&gt;=95),0.12,0),
IF(AF705="DoEVni",IF(AND(V705&lt;20,W705&lt;55),0.3,0)+IF(AND(V705&lt;20,W705&gt;=55,W705&lt;105),0.23,0)+IF(AND(V705&lt;20,W705&gt;=105),0.17,0)+IF(AND(V705&gt;=20,V705&lt;40,W705&lt;45),0.3,0)+IF(AND(V705&gt;=20,V705&lt;40,W705&gt;=45,W705&lt;95),0.23,0)+IF(AND(V705&gt;=20,V705&lt;40,W705&gt;=95,W705&lt;=200),0.17,0)+IF(AND(V705&gt;=20,V705&lt;40,W705&gt;=200),0.12,0)+IF(AND(V705&gt;=40,V705&lt;75,W705&lt;35),0.3,0)+IF(AND(V705&gt;=40,V705&lt;75,W705&gt;=35,W705&lt;75),0.23,0)+IF(AND(V705&gt;=40,V705&lt;75,W705&gt;=75,W705&lt;120),0.17,0)+IF(AND(V705&gt;=40,V705&lt;75,W705&gt;=120),0.12,0)+IF(AND(V705&gt;=75,V705&lt;175,W705&lt;35),0.3,0)+IF(AND(V705&gt;=75,V705&lt;=175,W705&gt;=35,W705&lt;65),0.23,0)+IF(AND(V705&gt;=75,V705&lt;=175,W705&gt;=65,W705&lt;110),0.17,0)+IF(AND(V705&gt;=75,V705&lt;=175,W705&gt;=110),0.12,0)+IF(AND(V705&gt;175,W705&lt;25),0.3,0)+IF(AND(V705&gt;175,W705&gt;=25,W705&lt;55),0.23,0)+IF(AND(V705&gt;175,W705&gt;=55,W705&lt;95),0.17,0)+IF(AND(V705&gt;175,W705&gt;=95),0.12,0),
IF(AF705="DoEVLo",IF(AND(V705&lt;20,W705&lt;55),0.25,0)+IF(AND(V705&lt;20,W705&gt;=55,W705&lt;105),0.2,0)+IF(AND(V705&lt;20,W705&gt;=105),0.15,0)+IF(AND(V705&gt;=20,V705&lt;40,W705&lt;45),0.25,0)+IF(AND(V705&gt;=20,V705&lt;40,W705&gt;=45,W705&lt;95),0.2,0)+IF(AND(V705&gt;=20,V705&lt;40,W705&gt;=95),0.15,0)+IF(AND(V705&gt;=40,V705&lt;75,W705&lt;35),0.25,0)+IF(AND(V705&gt;=40,V705&lt;75,W705&gt;=35,W705&lt;75),0.2,0)+IF(AND(V705&gt;=40,V705&lt;75,W705&gt;=75,W705&lt;120),0.15,0)+IF(AND(V705&gt;=40,V705&lt;75,W705&gt;=120),0.1,0)+IF(AND(V705&gt;=75,V705&lt;175,W705&lt;35),0.25,0)+IF(AND(V705&gt;=75,V705&lt;=175,W705&gt;=35,W705&lt;65),0.2,0)+IF(AND(V705&gt;=75,V705&lt;=175,W705&gt;=65,W705&lt;110),0.15,0)+IF(AND(V705&gt;=75,V705&lt;=175,W705&gt;=110),0.1,0)+IF(AND(V705&gt;175,W705&lt;25),0.25,0)+IF(AND(V705&gt;175,W705&gt;=25,W705&lt;55),0.2,0)+IF(AND(V705&gt;175,W705&gt;=55,W705&lt;95),0.15,0)+IF(AND(V705&gt;175,W705&gt;=95),0.1,0))))))))))))))))))</f>
        <v>0.19</v>
      </c>
      <c r="Y705" s="30">
        <f>IF(AG705="None",0,IF(AG705="Fix5",0.05, IF(AG705="Fix6.25",0.0625,IF(AG705="Fix3.75",0.0375,IF(AG705="Fix10",0.1,IF(AG705="Fix3",0.03,0))))))</f>
        <v>0</v>
      </c>
      <c r="Z705" s="35">
        <f>T705-AA705-AB705</f>
        <v>812.43000000000006</v>
      </c>
      <c r="AA705" s="29">
        <f>IF(AD705="EUR",((T705-R705)*X705)*U705+(R705*X705),(T705*X705))</f>
        <v>190.57</v>
      </c>
      <c r="AB705" s="36">
        <f>IF(AD705="EUR",((T705-R705)*Y705)*U705+(R705*Y705),(T705*Y705))</f>
        <v>0</v>
      </c>
      <c r="AC705" s="37" t="b">
        <v>1</v>
      </c>
      <c r="AD705" s="37" t="s">
        <v>38</v>
      </c>
      <c r="AE705" s="37" t="s">
        <v>38</v>
      </c>
      <c r="AF705" s="37" t="str">
        <f t="array" ref="AF705">INDEX('Deal Info'!D:D, MATCH(A705,'Deal Info'!A:A, 0))</f>
        <v>Fix19</v>
      </c>
      <c r="AG705" s="38" t="str">
        <f t="array" ref="AG705">INDEX('Deal Info'!G:G, MATCH(A705,'Deal Info'!A:A, 0))</f>
        <v>None</v>
      </c>
    </row>
    <row r="706" spans="1:33" ht="14.25" hidden="1" x14ac:dyDescent="0.2">
      <c r="A706" s="18" t="str">
        <f t="array" ref="A706">IF(G706='Room Info'!$B$1, INDEX('Room Info'!$A$2:$A2446, MATCH(B706,'Room Info'!$B$2:$B2446, 0)),IF(G706='Room Info'!$C$1, INDEX('Room Info'!$A$2:$A2446, MATCH(B706,'Room Info'!$C$2:$C2446, 0)),IF(G706='Room Info'!$D$1, INDEX('Room Info'!$A$2:$A2446, MATCH(B706,'Room Info'!$D$2:$D2446, 0)),IF(G706='Room Info'!$E$1, INDEX('Room Info'!$A$2:$A2446, MATCH(B706,'Room Info'!$E$2:$E2446, 0)),IF(G706='Room Info'!$F$1, INDEX('Room Info'!$A$2:$A2446, MATCH(B706,'Room Info'!$F$2:$F2446, 0)),IF(G706='Room Info'!$H$1, INDEX('Room Info'!$A$2:$A2446, MATCH(B706,'Room Info'!$H$2:$H2446, 0)),IF(G706='Room Info'!$G$1, INDEX('Room Info'!$A$2:$A2446, MATCH(B706,'Room Info'!$G$2:$G2446, 0)))))))))</f>
        <v>dimasik</v>
      </c>
      <c r="B706" s="45" t="s">
        <v>162</v>
      </c>
      <c r="C706" s="46">
        <v>44866</v>
      </c>
      <c r="D706" s="46">
        <v>44895</v>
      </c>
      <c r="E706" s="47">
        <v>44866</v>
      </c>
      <c r="F706" s="48" t="s">
        <v>41</v>
      </c>
      <c r="G706" s="45" t="s">
        <v>35</v>
      </c>
      <c r="H706" s="49" t="s">
        <v>51</v>
      </c>
      <c r="I706" s="49" t="s">
        <v>44</v>
      </c>
      <c r="J706" s="50">
        <v>0.25</v>
      </c>
      <c r="K706" s="51">
        <v>14</v>
      </c>
      <c r="L706" s="52">
        <v>-0.25</v>
      </c>
      <c r="M706" s="62"/>
      <c r="N706" s="28">
        <f>K706*J706</f>
        <v>3.5</v>
      </c>
      <c r="O706" s="65"/>
      <c r="P706" s="29">
        <v>0</v>
      </c>
      <c r="Q706" s="55"/>
      <c r="R706" s="31">
        <f>M706+Q706</f>
        <v>0</v>
      </c>
      <c r="S706" s="66"/>
      <c r="T706" s="32">
        <f>R706+S706+IF(F706="Without EV deal",L706,0)</f>
        <v>-0.25</v>
      </c>
      <c r="U706" s="57">
        <v>1</v>
      </c>
      <c r="V706" s="58"/>
      <c r="W706" s="58"/>
      <c r="X706" s="30">
        <f>IF(AF706="DoEV",IF(AND(V706&lt;20,W706&lt;55),0.3,0)+IF(AND(V706&lt;20,W706&gt;=55,W706&lt;105),0.23,0)+IF(AND(V706&lt;20,W706&gt;=105),0.17,0)+IF(AND(V706&gt;=20,V706&lt;40,W706&lt;45),0.3,0)+IF(AND(V706&gt;=20,V706&lt;40,W706&gt;=45,W706&lt;95),0.23,0)+IF(AND(V706&gt;=20,V706&lt;40,W706&gt;=95),0.17,0)+IF(AND(V706&gt;=40,V706&lt;75,W706&lt;35),0.3,0)+IF(AND(V706&gt;=40,V706&lt;75,W706&gt;=35,W706&lt;75),0.23,0)+IF(AND(V706&gt;=40,V706&lt;75,W706&gt;=75,W706&lt;120),0.17,0)+IF(AND(V706&gt;=40,V706&lt;75,W706&gt;=120),0.12,0)+IF(AND(V706&gt;=75,V706&lt;175,W706&lt;35),0.3,0)+IF(AND(V706&gt;=75,V706&lt;=175,W706&gt;=35,W706&lt;65),0.23,0)+IF(AND(V706&gt;=75,V706&lt;=175,W706&gt;=65,W706&lt;110),0.17,0)+IF(AND(V706&gt;=75,V706&lt;=175,W706&gt;=110),0.12,0)+IF(AND(V706&gt;175,W706&lt;25),0.3,0)+IF(AND(V706&gt;175,W706&gt;=25,W706&lt;55),0.23,0)+IF(AND(V706&gt;175,W706&gt;=55,W706&lt;95),0.17,0)+IF(AND(V706&gt;175,W706&gt;=95),0.12,0),
IF(AF706="Fix15",0.15,
IF(AF706="Fix18.75",0.1875,
IF(AF706="Fix11.25",0.1125,
IF(AF706="Fix10",0.1,
IF(AF706="Fix9",0.09,
IF(AF706="Fix19",0.19,
IF(AF706="DoEV2017",IF(AND(W706&lt;74),0.2,0)+IF(AND(W706&gt;=74),0.17,0),
IF(AF706="SF",IF(AND(V706&lt;20,W706&lt;89),0.3,0)+IF(AND(V706&lt;20,W706&gt;=89),0.25,0)+IF(AND(V706&gt;=20,V706&lt;40,W706&lt;74),0.3,0)+IF(AND(V706&gt;=20,V706&lt;40,W706&gt;=75),0.22,0)+IF(AND(V706&gt;=40,V706&lt;75,W706&lt;75),0.26,0)+IF(AND(V706&gt;=40,V706&lt;75,W706&gt;=75),0.22,0)+IF(V706&gt;=75,0.22,0),
IF(AF706="DoEVold",IF(AND(V706&lt;40,W706&lt;35),0.35,0)+IF(AND(V706&lt;40,W706&gt;=35,W706&lt;75),0.25,0)+IF(AND(V706&lt;40,W706&gt;=75),0.17,0)+IF(AND(V706&gt;=40,V706&lt;75,W706&lt;25),0.35,0)+IF(AND(V706&gt;=40,V706&lt;75,W706&gt;=25,W706&lt;65),0.25,0)+IF(AND(V706&gt;=40,V706&lt;75,W706&gt;=65,W706&lt;100),0.17,0)+IF(AND(V706&gt;=40,V706&lt;75,W706&gt;=100),0.1,0)+IF(AND(V706&gt;=75,W706&lt;25),0.35,0)+IF(AND(V706&gt;=75,W706&gt;=25,W706&lt;60),0.25,0)+IF(AND(V706&gt;=75,W706&gt;=60,W706&lt;95),0.17,0)+IF(AND(V706&gt;=75,W706&gt;=95),0.1,0),
IF(AF706="DoEVold15",IF(AND(V706&lt;=40,W706&lt;35),0.35,0)+IF(AND(V706&lt;=40,W706&gt;=35,W706&lt;75),0.25,0)+IF(AND(V706&lt;=40,W706&gt;=75,W706&lt;120),0.17,0)+IF(AND(V706&lt;=40,W706&gt;=120),0.15,0)+IF(AND(V706&gt;40,V706&lt;75,W706&lt;25),0.35,0)+IF(AND(V706&gt;=40,V706&lt;75,W706&gt;=25,W706&lt;65),0.25,0)+IF(AND(V706&gt;=40,V706&lt;75,W706&gt;=65,W706&lt;100),0.17,0)+IF(AND(V706&gt;=40,V706&lt;75,W706&gt;=100),0.1,0)+IF(AND(V706&gt;=75,W706&lt;25),0.35,0)+IF(AND(V706&gt;=75,W706&gt;=25,W706&lt;60),0.25,0)+IF(AND(V706&gt;=75,W706&gt;=60,W706&lt;95),0.17,0)+IF(AND(V706&gt;=75,W706&gt;=95),0.1,0),
IF(AF706="DoEVba",IF(AND(V706&lt;20,W706&lt;105),0.2,0)+IF(AND(V706&lt;20,W706&gt;=105),0.15,0)+IF(AND(V706&gt;=20,V706&lt;40,W706&lt;95),0.2,0)+IF(AND(V706&gt;=20,V706&lt;40,W706&gt;=95,W706&lt;150),0.15,0)+IF(AND(V706&gt;=20,V706&lt;40,W706&gt;=150),0.12,0)+IF(AND(V706&gt;=40,V706&lt;75,W706&lt;75),0.2,0)+IF(AND(V706&gt;=40,V706&lt;75,W706&gt;=75,W706&lt;120),0.15,0)+IF(AND(V706&gt;=40,V706&lt;75,W706&gt;=120),0.12,0)+IF(AND(V706&gt;=75,V706&lt;175,W706&lt;65),0.2,0)+IF(AND(V706&gt;=75,V706&lt;175,W706&gt;=65,W706&lt;110),0.15,0)+IF(AND(V706&gt;=75,V706&lt;175,W706&gt;=110),0.12,0)+IF(AND(V706&gt;=175,W706&lt;55),0.2,0)+IF(AND(V706&gt;=175,W706&gt;=55,W706&lt;95),0.15,0)+IF(AND(V706&gt;=175,W706&gt;=95),0.12,0),
IF(AF706="DoEVku",IF(AND(V706&lt;20,W706&lt;55),0.23,0)+IF(AND(V706&lt;20,W706&gt;=55,W706&lt;105),0.2,0)+IF(AND(V706&lt;20,W706&gt;=105),0.17,0)+IF(AND(V706&gt;=20,V706&lt;40,W706&lt;45),0.23,0)+IF(AND(V706&gt;=20,V706&lt;40,W706&gt;=45,W706&lt;95),0.2,0)+IF(AND(V706&gt;=20,V706&lt;40,W706&gt;=95,W706&lt;=150),0.17,0)+IF(AND(V706&gt;=20,V706&lt;40,W706&gt;=150),0.12,0)+IF(AND(V706&gt;=40,V706&lt;75,W706&lt;35),0.23,0)+IF(AND(V706&gt;=40,V706&lt;75,W706&gt;=35,W706&lt;75),0.2,0)+IF(AND(V706&gt;=40,V706&lt;75,W706&gt;=75,W706&lt;120),0.17,0)+IF(AND(V706&gt;=40,V706&lt;75,W706&gt;=120),0.12,0)+IF(AND(V706&gt;=75,V706&lt;175,W706&lt;35),0.23,0)+IF(AND(V706&gt;=75,V706&lt;=175,W706&gt;=35,W706&lt;65),0.2,0)+IF(AND(V706&gt;=75,V706&lt;=175,W706&gt;=65,W706&lt;110),0.17,0)+IF(AND(V706&gt;=75,V706&lt;=175,W706&gt;=110),0.12,0)+IF(AND(V706&gt;175,W706&lt;25),0.23,0)+IF(AND(V706&gt;175,W706&gt;=25,W706&lt;55),0.2,0)+IF(AND(V706&gt;175,W706&gt;=55,W706&lt;95),0.17,0)+IF(AND(V706&gt;175,W706&gt;=95),0.12,0),
IF(AF706="DoEVs1",IF(AND(V706&lt;20,W706&lt;55),0.3,0)+IF(AND(V706&lt;20,W706&gt;=55,W706&lt;105),0.23,0)+IF(AND(V706&lt;20,W706&gt;=105),0.17,0)+IF(AND(V706&gt;=20,V706&lt;40,W706&lt;45),0.3,0)+IF(AND(V706&gt;=20,V706&lt;40,W706&gt;=45,W706&lt;95),0.23,0)+IF(AND(V706&gt;=20,V706&lt;40,W706&gt;=95,W706&lt;=150),0.17,0)+IF(AND(V706&gt;=20,V706&lt;40,W706&gt;=150),0.12,0)+IF(AND(V706&gt;=40,V706&lt;75,W706&lt;35),0.3,0)+IF(AND(V706&gt;=40,V706&lt;75,W706&gt;=35,W706&lt;75),0.23,0)+IF(AND(V706&gt;=40,V706&lt;75,W706&gt;=75,W706&lt;120),0.17,0)+IF(AND(V706&gt;=40,V706&lt;75,W706&gt;=120),0.12,0)+IF(AND(V706&gt;=75,V706&lt;175,W706&lt;35),0.3,0)+IF(AND(V706&gt;=75,V706&lt;=175,W706&gt;=35,W706&lt;65),0.23,0)+IF(AND(V706&gt;=75,V706&lt;=175,W706&gt;=65,W706&lt;110),0.17,0)+IF(AND(V706&gt;=75,V706&lt;=175,W706&gt;=110),0.12,0)+IF(AND(V706&gt;175,W706&lt;25),0.3,0)+IF(AND(V706&gt;175,W706&gt;=25,W706&lt;55),0.23,0)+IF(AND(V706&gt;175,W706&gt;=55,W706&lt;95),0.17,0)+IF(AND(V706&gt;175,W706&gt;=95),0.12,0),
IF(AF706="DoEVsu",IF(AND(V706&lt;20,W706&lt;55),0.3,0)+IF(AND(V706&lt;20,W706&gt;=55,W706&lt;105),0.23,0)+IF(AND(V706&lt;20,W706&gt;=105),0.17,0)+IF(AND(V706&gt;=20,V706&lt;40,W706&lt;45),0.3,0)+IF(AND(V706&gt;=20,V706&lt;40,W706&gt;=45,W706&lt;95),0.23,0)+IF(AND(V706&gt;=20,V706&lt;40,W706&gt;=95,W706&lt;=250),0.17,0)+IF(AND(V706&gt;=20,V706&lt;40,W706&gt;=250),0.12,0)+IF(AND(V706&gt;=40,V706&lt;75,W706&lt;35),0.3,0)+IF(AND(V706&gt;=40,V706&lt;75,W706&gt;=35,W706&lt;75),0.23,0)+IF(AND(V706&gt;=40,V706&lt;75,W706&gt;=75,W706&lt;120),0.17,0)+IF(AND(V706&gt;=40,V706&lt;75,W706&gt;=120),0.12,0)+IF(AND(V706&gt;=75,V706&lt;175,W706&lt;35),0.3,0)+IF(AND(V706&gt;=75,V706&lt;=175,W706&gt;=35,W706&lt;65),0.23,0)+IF(AND(V706&gt;=75,V706&lt;=175,W706&gt;=65,W706&lt;110),0.17,0)+IF(AND(V706&gt;=75,V706&lt;=175,W706&gt;=110),0.12,0)+IF(AND(V706&gt;175,W706&lt;25),0.3,0)+IF(AND(V706&gt;175,W706&gt;=25,W706&lt;55),0.23,0)+IF(AND(V706&gt;175,W706&gt;=55,W706&lt;95),0.17,0)+IF(AND(V706&gt;175,W706&gt;=95),0.12,0),
IF(AF706="DoEVni",IF(AND(V706&lt;20,W706&lt;55),0.3,0)+IF(AND(V706&lt;20,W706&gt;=55,W706&lt;105),0.23,0)+IF(AND(V706&lt;20,W706&gt;=105),0.17,0)+IF(AND(V706&gt;=20,V706&lt;40,W706&lt;45),0.3,0)+IF(AND(V706&gt;=20,V706&lt;40,W706&gt;=45,W706&lt;95),0.23,0)+IF(AND(V706&gt;=20,V706&lt;40,W706&gt;=95,W706&lt;=200),0.17,0)+IF(AND(V706&gt;=20,V706&lt;40,W706&gt;=200),0.12,0)+IF(AND(V706&gt;=40,V706&lt;75,W706&lt;35),0.3,0)+IF(AND(V706&gt;=40,V706&lt;75,W706&gt;=35,W706&lt;75),0.23,0)+IF(AND(V706&gt;=40,V706&lt;75,W706&gt;=75,W706&lt;120),0.17,0)+IF(AND(V706&gt;=40,V706&lt;75,W706&gt;=120),0.12,0)+IF(AND(V706&gt;=75,V706&lt;175,W706&lt;35),0.3,0)+IF(AND(V706&gt;=75,V706&lt;=175,W706&gt;=35,W706&lt;65),0.23,0)+IF(AND(V706&gt;=75,V706&lt;=175,W706&gt;=65,W706&lt;110),0.17,0)+IF(AND(V706&gt;=75,V706&lt;=175,W706&gt;=110),0.12,0)+IF(AND(V706&gt;175,W706&lt;25),0.3,0)+IF(AND(V706&gt;175,W706&gt;=25,W706&lt;55),0.23,0)+IF(AND(V706&gt;175,W706&gt;=55,W706&lt;95),0.17,0)+IF(AND(V706&gt;175,W706&gt;=95),0.12,0),
IF(AF706="DoEVLo",IF(AND(V706&lt;20,W706&lt;55),0.25,0)+IF(AND(V706&lt;20,W706&gt;=55,W706&lt;105),0.2,0)+IF(AND(V706&lt;20,W706&gt;=105),0.15,0)+IF(AND(V706&gt;=20,V706&lt;40,W706&lt;45),0.25,0)+IF(AND(V706&gt;=20,V706&lt;40,W706&gt;=45,W706&lt;95),0.2,0)+IF(AND(V706&gt;=20,V706&lt;40,W706&gt;=95),0.15,0)+IF(AND(V706&gt;=40,V706&lt;75,W706&lt;35),0.25,0)+IF(AND(V706&gt;=40,V706&lt;75,W706&gt;=35,W706&lt;75),0.2,0)+IF(AND(V706&gt;=40,V706&lt;75,W706&gt;=75,W706&lt;120),0.15,0)+IF(AND(V706&gt;=40,V706&lt;75,W706&gt;=120),0.1,0)+IF(AND(V706&gt;=75,V706&lt;175,W706&lt;35),0.25,0)+IF(AND(V706&gt;=75,V706&lt;=175,W706&gt;=35,W706&lt;65),0.2,0)+IF(AND(V706&gt;=75,V706&lt;=175,W706&gt;=65,W706&lt;110),0.15,0)+IF(AND(V706&gt;=75,V706&lt;=175,W706&gt;=110),0.1,0)+IF(AND(V706&gt;175,W706&lt;25),0.25,0)+IF(AND(V706&gt;175,W706&gt;=25,W706&lt;55),0.2,0)+IF(AND(V706&gt;175,W706&gt;=55,W706&lt;95),0.15,0)+IF(AND(V706&gt;175,W706&gt;=95),0.1,0))))))))))))))))))</f>
        <v>0.19</v>
      </c>
      <c r="Y706" s="30">
        <f>IF(AG706="None",0,IF(AG706="Fix5",0.05, IF(AG706="Fix6.25",0.0625,IF(AG706="Fix3.75",0.0375,IF(AG706="Fix10",0.1,IF(AG706="Fix3",0.03,0))))))</f>
        <v>0</v>
      </c>
      <c r="Z706" s="35">
        <f>T706-AA706-AB706</f>
        <v>-0.20250000000000001</v>
      </c>
      <c r="AA706" s="29">
        <f>IF(AD706="EUR",((T706-R706)*X706)*U706+(R706*X706),(T706*X706))</f>
        <v>-4.7500000000000001E-2</v>
      </c>
      <c r="AB706" s="36">
        <f>IF(AD706="EUR",((T706-R706)*Y706)*U706+(R706*Y706),(T706*Y706))</f>
        <v>0</v>
      </c>
      <c r="AC706" s="37" t="b">
        <v>1</v>
      </c>
      <c r="AD706" s="37" t="s">
        <v>38</v>
      </c>
      <c r="AE706" s="37" t="s">
        <v>38</v>
      </c>
      <c r="AF706" s="37" t="str">
        <f t="array" ref="AF706">INDEX('Deal Info'!D:D, MATCH(A706,'Deal Info'!A:A, 0))</f>
        <v>Fix19</v>
      </c>
      <c r="AG706" s="38" t="str">
        <f t="array" ref="AG706">INDEX('Deal Info'!G:G, MATCH(A706,'Deal Info'!A:A, 0))</f>
        <v>None</v>
      </c>
    </row>
    <row r="707" spans="1:33" ht="14.25" hidden="1" x14ac:dyDescent="0.2">
      <c r="A707" s="18" t="str">
        <f t="array" ref="A707">IF(G707='Room Info'!$B$1, INDEX('Room Info'!$A$2:$A2446, MATCH(B707,'Room Info'!$B$2:$B2446, 0)),IF(G707='Room Info'!$C$1, INDEX('Room Info'!$A$2:$A2446, MATCH(B707,'Room Info'!$C$2:$C2446, 0)),IF(G707='Room Info'!$D$1, INDEX('Room Info'!$A$2:$A2446, MATCH(B707,'Room Info'!$D$2:$D2446, 0)),IF(G707='Room Info'!$E$1, INDEX('Room Info'!$A$2:$A2446, MATCH(B707,'Room Info'!$E$2:$E2446, 0)),IF(G707='Room Info'!$F$1, INDEX('Room Info'!$A$2:$A2446, MATCH(B707,'Room Info'!$F$2:$F2446, 0)),IF(G707='Room Info'!$H$1, INDEX('Room Info'!$A$2:$A2446, MATCH(B707,'Room Info'!$H$2:$H2446, 0)),IF(G707='Room Info'!$G$1, INDEX('Room Info'!$A$2:$A2446, MATCH(B707,'Room Info'!$G$2:$G2446, 0)))))))))</f>
        <v>dimasik</v>
      </c>
      <c r="B707" s="45" t="s">
        <v>162</v>
      </c>
      <c r="C707" s="46">
        <v>44866</v>
      </c>
      <c r="D707" s="46">
        <v>44895</v>
      </c>
      <c r="E707" s="47">
        <v>44866</v>
      </c>
      <c r="F707" s="48" t="s">
        <v>41</v>
      </c>
      <c r="G707" s="45" t="s">
        <v>35</v>
      </c>
      <c r="H707" s="49" t="s">
        <v>142</v>
      </c>
      <c r="I707" s="49" t="s">
        <v>37</v>
      </c>
      <c r="J707" s="50">
        <v>500</v>
      </c>
      <c r="K707" s="51">
        <v>18</v>
      </c>
      <c r="L707" s="52">
        <v>-2000</v>
      </c>
      <c r="M707" s="53">
        <v>51</v>
      </c>
      <c r="N707" s="28">
        <f>K707*J707</f>
        <v>9000</v>
      </c>
      <c r="O707" s="54">
        <v>-897</v>
      </c>
      <c r="P707" s="29">
        <v>-49.833333330000002</v>
      </c>
      <c r="Q707" s="55"/>
      <c r="R707" s="31">
        <f>M707+Q707</f>
        <v>51</v>
      </c>
      <c r="S707" s="66"/>
      <c r="T707" s="32">
        <f>R707+S707+IF(F707="Without EV deal",L707,0)</f>
        <v>-1949</v>
      </c>
      <c r="U707" s="57">
        <v>1</v>
      </c>
      <c r="V707" s="58"/>
      <c r="W707" s="58"/>
      <c r="X707" s="30">
        <f>IF(AF707="DoEV",IF(AND(V707&lt;20,W707&lt;55),0.3,0)+IF(AND(V707&lt;20,W707&gt;=55,W707&lt;105),0.23,0)+IF(AND(V707&lt;20,W707&gt;=105),0.17,0)+IF(AND(V707&gt;=20,V707&lt;40,W707&lt;45),0.3,0)+IF(AND(V707&gt;=20,V707&lt;40,W707&gt;=45,W707&lt;95),0.23,0)+IF(AND(V707&gt;=20,V707&lt;40,W707&gt;=95),0.17,0)+IF(AND(V707&gt;=40,V707&lt;75,W707&lt;35),0.3,0)+IF(AND(V707&gt;=40,V707&lt;75,W707&gt;=35,W707&lt;75),0.23,0)+IF(AND(V707&gt;=40,V707&lt;75,W707&gt;=75,W707&lt;120),0.17,0)+IF(AND(V707&gt;=40,V707&lt;75,W707&gt;=120),0.12,0)+IF(AND(V707&gt;=75,V707&lt;175,W707&lt;35),0.3,0)+IF(AND(V707&gt;=75,V707&lt;=175,W707&gt;=35,W707&lt;65),0.23,0)+IF(AND(V707&gt;=75,V707&lt;=175,W707&gt;=65,W707&lt;110),0.17,0)+IF(AND(V707&gt;=75,V707&lt;=175,W707&gt;=110),0.12,0)+IF(AND(V707&gt;175,W707&lt;25),0.3,0)+IF(AND(V707&gt;175,W707&gt;=25,W707&lt;55),0.23,0)+IF(AND(V707&gt;175,W707&gt;=55,W707&lt;95),0.17,0)+IF(AND(V707&gt;175,W707&gt;=95),0.12,0),
IF(AF707="Fix15",0.15,
IF(AF707="Fix18.75",0.1875,
IF(AF707="Fix11.25",0.1125,
IF(AF707="Fix10",0.1,
IF(AF707="Fix9",0.09,
IF(AF707="Fix19",0.19,
IF(AF707="DoEV2017",IF(AND(W707&lt;74),0.2,0)+IF(AND(W707&gt;=74),0.17,0),
IF(AF707="SF",IF(AND(V707&lt;20,W707&lt;89),0.3,0)+IF(AND(V707&lt;20,W707&gt;=89),0.25,0)+IF(AND(V707&gt;=20,V707&lt;40,W707&lt;74),0.3,0)+IF(AND(V707&gt;=20,V707&lt;40,W707&gt;=75),0.22,0)+IF(AND(V707&gt;=40,V707&lt;75,W707&lt;75),0.26,0)+IF(AND(V707&gt;=40,V707&lt;75,W707&gt;=75),0.22,0)+IF(V707&gt;=75,0.22,0),
IF(AF707="DoEVold",IF(AND(V707&lt;40,W707&lt;35),0.35,0)+IF(AND(V707&lt;40,W707&gt;=35,W707&lt;75),0.25,0)+IF(AND(V707&lt;40,W707&gt;=75),0.17,0)+IF(AND(V707&gt;=40,V707&lt;75,W707&lt;25),0.35,0)+IF(AND(V707&gt;=40,V707&lt;75,W707&gt;=25,W707&lt;65),0.25,0)+IF(AND(V707&gt;=40,V707&lt;75,W707&gt;=65,W707&lt;100),0.17,0)+IF(AND(V707&gt;=40,V707&lt;75,W707&gt;=100),0.1,0)+IF(AND(V707&gt;=75,W707&lt;25),0.35,0)+IF(AND(V707&gt;=75,W707&gt;=25,W707&lt;60),0.25,0)+IF(AND(V707&gt;=75,W707&gt;=60,W707&lt;95),0.17,0)+IF(AND(V707&gt;=75,W707&gt;=95),0.1,0),
IF(AF707="DoEVold15",IF(AND(V707&lt;=40,W707&lt;35),0.35,0)+IF(AND(V707&lt;=40,W707&gt;=35,W707&lt;75),0.25,0)+IF(AND(V707&lt;=40,W707&gt;=75,W707&lt;120),0.17,0)+IF(AND(V707&lt;=40,W707&gt;=120),0.15,0)+IF(AND(V707&gt;40,V707&lt;75,W707&lt;25),0.35,0)+IF(AND(V707&gt;=40,V707&lt;75,W707&gt;=25,W707&lt;65),0.25,0)+IF(AND(V707&gt;=40,V707&lt;75,W707&gt;=65,W707&lt;100),0.17,0)+IF(AND(V707&gt;=40,V707&lt;75,W707&gt;=100),0.1,0)+IF(AND(V707&gt;=75,W707&lt;25),0.35,0)+IF(AND(V707&gt;=75,W707&gt;=25,W707&lt;60),0.25,0)+IF(AND(V707&gt;=75,W707&gt;=60,W707&lt;95),0.17,0)+IF(AND(V707&gt;=75,W707&gt;=95),0.1,0),
IF(AF707="DoEVba",IF(AND(V707&lt;20,W707&lt;105),0.2,0)+IF(AND(V707&lt;20,W707&gt;=105),0.15,0)+IF(AND(V707&gt;=20,V707&lt;40,W707&lt;95),0.2,0)+IF(AND(V707&gt;=20,V707&lt;40,W707&gt;=95,W707&lt;150),0.15,0)+IF(AND(V707&gt;=20,V707&lt;40,W707&gt;=150),0.12,0)+IF(AND(V707&gt;=40,V707&lt;75,W707&lt;75),0.2,0)+IF(AND(V707&gt;=40,V707&lt;75,W707&gt;=75,W707&lt;120),0.15,0)+IF(AND(V707&gt;=40,V707&lt;75,W707&gt;=120),0.12,0)+IF(AND(V707&gt;=75,V707&lt;175,W707&lt;65),0.2,0)+IF(AND(V707&gt;=75,V707&lt;175,W707&gt;=65,W707&lt;110),0.15,0)+IF(AND(V707&gt;=75,V707&lt;175,W707&gt;=110),0.12,0)+IF(AND(V707&gt;=175,W707&lt;55),0.2,0)+IF(AND(V707&gt;=175,W707&gt;=55,W707&lt;95),0.15,0)+IF(AND(V707&gt;=175,W707&gt;=95),0.12,0),
IF(AF707="DoEVku",IF(AND(V707&lt;20,W707&lt;55),0.23,0)+IF(AND(V707&lt;20,W707&gt;=55,W707&lt;105),0.2,0)+IF(AND(V707&lt;20,W707&gt;=105),0.17,0)+IF(AND(V707&gt;=20,V707&lt;40,W707&lt;45),0.23,0)+IF(AND(V707&gt;=20,V707&lt;40,W707&gt;=45,W707&lt;95),0.2,0)+IF(AND(V707&gt;=20,V707&lt;40,W707&gt;=95,W707&lt;=150),0.17,0)+IF(AND(V707&gt;=20,V707&lt;40,W707&gt;=150),0.12,0)+IF(AND(V707&gt;=40,V707&lt;75,W707&lt;35),0.23,0)+IF(AND(V707&gt;=40,V707&lt;75,W707&gt;=35,W707&lt;75),0.2,0)+IF(AND(V707&gt;=40,V707&lt;75,W707&gt;=75,W707&lt;120),0.17,0)+IF(AND(V707&gt;=40,V707&lt;75,W707&gt;=120),0.12,0)+IF(AND(V707&gt;=75,V707&lt;175,W707&lt;35),0.23,0)+IF(AND(V707&gt;=75,V707&lt;=175,W707&gt;=35,W707&lt;65),0.2,0)+IF(AND(V707&gt;=75,V707&lt;=175,W707&gt;=65,W707&lt;110),0.17,0)+IF(AND(V707&gt;=75,V707&lt;=175,W707&gt;=110),0.12,0)+IF(AND(V707&gt;175,W707&lt;25),0.23,0)+IF(AND(V707&gt;175,W707&gt;=25,W707&lt;55),0.2,0)+IF(AND(V707&gt;175,W707&gt;=55,W707&lt;95),0.17,0)+IF(AND(V707&gt;175,W707&gt;=95),0.12,0),
IF(AF707="DoEVs1",IF(AND(V707&lt;20,W707&lt;55),0.3,0)+IF(AND(V707&lt;20,W707&gt;=55,W707&lt;105),0.23,0)+IF(AND(V707&lt;20,W707&gt;=105),0.17,0)+IF(AND(V707&gt;=20,V707&lt;40,W707&lt;45),0.3,0)+IF(AND(V707&gt;=20,V707&lt;40,W707&gt;=45,W707&lt;95),0.23,0)+IF(AND(V707&gt;=20,V707&lt;40,W707&gt;=95,W707&lt;=150),0.17,0)+IF(AND(V707&gt;=20,V707&lt;40,W707&gt;=150),0.12,0)+IF(AND(V707&gt;=40,V707&lt;75,W707&lt;35),0.3,0)+IF(AND(V707&gt;=40,V707&lt;75,W707&gt;=35,W707&lt;75),0.23,0)+IF(AND(V707&gt;=40,V707&lt;75,W707&gt;=75,W707&lt;120),0.17,0)+IF(AND(V707&gt;=40,V707&lt;75,W707&gt;=120),0.12,0)+IF(AND(V707&gt;=75,V707&lt;175,W707&lt;35),0.3,0)+IF(AND(V707&gt;=75,V707&lt;=175,W707&gt;=35,W707&lt;65),0.23,0)+IF(AND(V707&gt;=75,V707&lt;=175,W707&gt;=65,W707&lt;110),0.17,0)+IF(AND(V707&gt;=75,V707&lt;=175,W707&gt;=110),0.12,0)+IF(AND(V707&gt;175,W707&lt;25),0.3,0)+IF(AND(V707&gt;175,W707&gt;=25,W707&lt;55),0.23,0)+IF(AND(V707&gt;175,W707&gt;=55,W707&lt;95),0.17,0)+IF(AND(V707&gt;175,W707&gt;=95),0.12,0),
IF(AF707="DoEVsu",IF(AND(V707&lt;20,W707&lt;55),0.3,0)+IF(AND(V707&lt;20,W707&gt;=55,W707&lt;105),0.23,0)+IF(AND(V707&lt;20,W707&gt;=105),0.17,0)+IF(AND(V707&gt;=20,V707&lt;40,W707&lt;45),0.3,0)+IF(AND(V707&gt;=20,V707&lt;40,W707&gt;=45,W707&lt;95),0.23,0)+IF(AND(V707&gt;=20,V707&lt;40,W707&gt;=95,W707&lt;=250),0.17,0)+IF(AND(V707&gt;=20,V707&lt;40,W707&gt;=250),0.12,0)+IF(AND(V707&gt;=40,V707&lt;75,W707&lt;35),0.3,0)+IF(AND(V707&gt;=40,V707&lt;75,W707&gt;=35,W707&lt;75),0.23,0)+IF(AND(V707&gt;=40,V707&lt;75,W707&gt;=75,W707&lt;120),0.17,0)+IF(AND(V707&gt;=40,V707&lt;75,W707&gt;=120),0.12,0)+IF(AND(V707&gt;=75,V707&lt;175,W707&lt;35),0.3,0)+IF(AND(V707&gt;=75,V707&lt;=175,W707&gt;=35,W707&lt;65),0.23,0)+IF(AND(V707&gt;=75,V707&lt;=175,W707&gt;=65,W707&lt;110),0.17,0)+IF(AND(V707&gt;=75,V707&lt;=175,W707&gt;=110),0.12,0)+IF(AND(V707&gt;175,W707&lt;25),0.3,0)+IF(AND(V707&gt;175,W707&gt;=25,W707&lt;55),0.23,0)+IF(AND(V707&gt;175,W707&gt;=55,W707&lt;95),0.17,0)+IF(AND(V707&gt;175,W707&gt;=95),0.12,0),
IF(AF707="DoEVni",IF(AND(V707&lt;20,W707&lt;55),0.3,0)+IF(AND(V707&lt;20,W707&gt;=55,W707&lt;105),0.23,0)+IF(AND(V707&lt;20,W707&gt;=105),0.17,0)+IF(AND(V707&gt;=20,V707&lt;40,W707&lt;45),0.3,0)+IF(AND(V707&gt;=20,V707&lt;40,W707&gt;=45,W707&lt;95),0.23,0)+IF(AND(V707&gt;=20,V707&lt;40,W707&gt;=95,W707&lt;=200),0.17,0)+IF(AND(V707&gt;=20,V707&lt;40,W707&gt;=200),0.12,0)+IF(AND(V707&gt;=40,V707&lt;75,W707&lt;35),0.3,0)+IF(AND(V707&gt;=40,V707&lt;75,W707&gt;=35,W707&lt;75),0.23,0)+IF(AND(V707&gt;=40,V707&lt;75,W707&gt;=75,W707&lt;120),0.17,0)+IF(AND(V707&gt;=40,V707&lt;75,W707&gt;=120),0.12,0)+IF(AND(V707&gt;=75,V707&lt;175,W707&lt;35),0.3,0)+IF(AND(V707&gt;=75,V707&lt;=175,W707&gt;=35,W707&lt;65),0.23,0)+IF(AND(V707&gt;=75,V707&lt;=175,W707&gt;=65,W707&lt;110),0.17,0)+IF(AND(V707&gt;=75,V707&lt;=175,W707&gt;=110),0.12,0)+IF(AND(V707&gt;175,W707&lt;25),0.3,0)+IF(AND(V707&gt;175,W707&gt;=25,W707&lt;55),0.23,0)+IF(AND(V707&gt;175,W707&gt;=55,W707&lt;95),0.17,0)+IF(AND(V707&gt;175,W707&gt;=95),0.12,0),
IF(AF707="DoEVLo",IF(AND(V707&lt;20,W707&lt;55),0.25,0)+IF(AND(V707&lt;20,W707&gt;=55,W707&lt;105),0.2,0)+IF(AND(V707&lt;20,W707&gt;=105),0.15,0)+IF(AND(V707&gt;=20,V707&lt;40,W707&lt;45),0.25,0)+IF(AND(V707&gt;=20,V707&lt;40,W707&gt;=45,W707&lt;95),0.2,0)+IF(AND(V707&gt;=20,V707&lt;40,W707&gt;=95),0.15,0)+IF(AND(V707&gt;=40,V707&lt;75,W707&lt;35),0.25,0)+IF(AND(V707&gt;=40,V707&lt;75,W707&gt;=35,W707&lt;75),0.2,0)+IF(AND(V707&gt;=40,V707&lt;75,W707&gt;=75,W707&lt;120),0.15,0)+IF(AND(V707&gt;=40,V707&lt;75,W707&gt;=120),0.1,0)+IF(AND(V707&gt;=75,V707&lt;175,W707&lt;35),0.25,0)+IF(AND(V707&gt;=75,V707&lt;=175,W707&gt;=35,W707&lt;65),0.2,0)+IF(AND(V707&gt;=75,V707&lt;=175,W707&gt;=65,W707&lt;110),0.15,0)+IF(AND(V707&gt;=75,V707&lt;=175,W707&gt;=110),0.1,0)+IF(AND(V707&gt;175,W707&lt;25),0.25,0)+IF(AND(V707&gt;175,W707&gt;=25,W707&lt;55),0.2,0)+IF(AND(V707&gt;175,W707&gt;=55,W707&lt;95),0.15,0)+IF(AND(V707&gt;175,W707&gt;=95),0.1,0))))))))))))))))))</f>
        <v>0.19</v>
      </c>
      <c r="Y707" s="30">
        <f>IF(AG707="None",0,IF(AG707="Fix5",0.05, IF(AG707="Fix6.25",0.0625,IF(AG707="Fix3.75",0.0375,IF(AG707="Fix10",0.1,IF(AG707="Fix3",0.03,0))))))</f>
        <v>0</v>
      </c>
      <c r="Z707" s="35">
        <f>T707-AA707-AB707</f>
        <v>-1578.69</v>
      </c>
      <c r="AA707" s="29">
        <f>IF(AD707="EUR",((T707-R707)*X707)*U707+(R707*X707),(T707*X707))</f>
        <v>-370.31</v>
      </c>
      <c r="AB707" s="36">
        <f>IF(AD707="EUR",((T707-R707)*Y707)*U707+(R707*Y707),(T707*Y707))</f>
        <v>0</v>
      </c>
      <c r="AC707" s="37" t="b">
        <v>1</v>
      </c>
      <c r="AD707" s="37" t="s">
        <v>38</v>
      </c>
      <c r="AE707" s="37" t="s">
        <v>38</v>
      </c>
      <c r="AF707" s="37" t="str">
        <f t="array" ref="AF707">INDEX('Deal Info'!D:D, MATCH(A707,'Deal Info'!A:A, 0))</f>
        <v>Fix19</v>
      </c>
      <c r="AG707" s="38" t="str">
        <f t="array" ref="AG707">INDEX('Deal Info'!G:G, MATCH(A707,'Deal Info'!A:A, 0))</f>
        <v>None</v>
      </c>
    </row>
    <row r="708" spans="1:33" ht="14.25" hidden="1" x14ac:dyDescent="0.2">
      <c r="A708" s="18" t="str">
        <f t="array" ref="A708">IF(G708='Room Info'!$B$1, INDEX('Room Info'!$A$2:$A2446, MATCH(B708,'Room Info'!$B$2:$B2446, 0)),IF(G708='Room Info'!$C$1, INDEX('Room Info'!$A$2:$A2446, MATCH(B708,'Room Info'!$C$2:$C2446, 0)),IF(G708='Room Info'!$D$1, INDEX('Room Info'!$A$2:$A2446, MATCH(B708,'Room Info'!$D$2:$D2446, 0)),IF(G708='Room Info'!$E$1, INDEX('Room Info'!$A$2:$A2446, MATCH(B708,'Room Info'!$E$2:$E2446, 0)),IF(G708='Room Info'!$F$1, INDEX('Room Info'!$A$2:$A2446, MATCH(B708,'Room Info'!$F$2:$F2446, 0)),IF(G708='Room Info'!$H$1, INDEX('Room Info'!$A$2:$A2446, MATCH(B708,'Room Info'!$H$2:$H2446, 0)),IF(G708='Room Info'!$G$1, INDEX('Room Info'!$A$2:$A2446, MATCH(B708,'Room Info'!$G$2:$G2446, 0)))))))))</f>
        <v>dimasik</v>
      </c>
      <c r="B708" s="45" t="s">
        <v>162</v>
      </c>
      <c r="C708" s="46">
        <v>44866</v>
      </c>
      <c r="D708" s="46">
        <v>44895</v>
      </c>
      <c r="E708" s="47">
        <v>44866</v>
      </c>
      <c r="F708" s="48" t="s">
        <v>41</v>
      </c>
      <c r="G708" s="45" t="s">
        <v>35</v>
      </c>
      <c r="H708" s="49" t="s">
        <v>70</v>
      </c>
      <c r="I708" s="49" t="s">
        <v>37</v>
      </c>
      <c r="J708" s="50">
        <v>100</v>
      </c>
      <c r="K708" s="51">
        <v>49</v>
      </c>
      <c r="L708" s="52">
        <v>1800</v>
      </c>
      <c r="M708" s="53">
        <v>28</v>
      </c>
      <c r="N708" s="28">
        <f>K708*J708</f>
        <v>4900</v>
      </c>
      <c r="O708" s="54">
        <v>1483.3100959999999</v>
      </c>
      <c r="P708" s="29">
        <v>30.27163461</v>
      </c>
      <c r="Q708" s="55"/>
      <c r="R708" s="31">
        <f>M708+Q708</f>
        <v>28</v>
      </c>
      <c r="S708" s="66"/>
      <c r="T708" s="32">
        <f>R708+S708+IF(F708="Without EV deal",L708,0)</f>
        <v>1828</v>
      </c>
      <c r="U708" s="57">
        <v>1</v>
      </c>
      <c r="V708" s="58"/>
      <c r="W708" s="58"/>
      <c r="X708" s="30">
        <f>IF(AF708="DoEV",IF(AND(V708&lt;20,W708&lt;55),0.3,0)+IF(AND(V708&lt;20,W708&gt;=55,W708&lt;105),0.23,0)+IF(AND(V708&lt;20,W708&gt;=105),0.17,0)+IF(AND(V708&gt;=20,V708&lt;40,W708&lt;45),0.3,0)+IF(AND(V708&gt;=20,V708&lt;40,W708&gt;=45,W708&lt;95),0.23,0)+IF(AND(V708&gt;=20,V708&lt;40,W708&gt;=95),0.17,0)+IF(AND(V708&gt;=40,V708&lt;75,W708&lt;35),0.3,0)+IF(AND(V708&gt;=40,V708&lt;75,W708&gt;=35,W708&lt;75),0.23,0)+IF(AND(V708&gt;=40,V708&lt;75,W708&gt;=75,W708&lt;120),0.17,0)+IF(AND(V708&gt;=40,V708&lt;75,W708&gt;=120),0.12,0)+IF(AND(V708&gt;=75,V708&lt;175,W708&lt;35),0.3,0)+IF(AND(V708&gt;=75,V708&lt;=175,W708&gt;=35,W708&lt;65),0.23,0)+IF(AND(V708&gt;=75,V708&lt;=175,W708&gt;=65,W708&lt;110),0.17,0)+IF(AND(V708&gt;=75,V708&lt;=175,W708&gt;=110),0.12,0)+IF(AND(V708&gt;175,W708&lt;25),0.3,0)+IF(AND(V708&gt;175,W708&gt;=25,W708&lt;55),0.23,0)+IF(AND(V708&gt;175,W708&gt;=55,W708&lt;95),0.17,0)+IF(AND(V708&gt;175,W708&gt;=95),0.12,0),
IF(AF708="Fix15",0.15,
IF(AF708="Fix18.75",0.1875,
IF(AF708="Fix11.25",0.1125,
IF(AF708="Fix10",0.1,
IF(AF708="Fix9",0.09,
IF(AF708="Fix19",0.19,
IF(AF708="DoEV2017",IF(AND(W708&lt;74),0.2,0)+IF(AND(W708&gt;=74),0.17,0),
IF(AF708="SF",IF(AND(V708&lt;20,W708&lt;89),0.3,0)+IF(AND(V708&lt;20,W708&gt;=89),0.25,0)+IF(AND(V708&gt;=20,V708&lt;40,W708&lt;74),0.3,0)+IF(AND(V708&gt;=20,V708&lt;40,W708&gt;=75),0.22,0)+IF(AND(V708&gt;=40,V708&lt;75,W708&lt;75),0.26,0)+IF(AND(V708&gt;=40,V708&lt;75,W708&gt;=75),0.22,0)+IF(V708&gt;=75,0.22,0),
IF(AF708="DoEVold",IF(AND(V708&lt;40,W708&lt;35),0.35,0)+IF(AND(V708&lt;40,W708&gt;=35,W708&lt;75),0.25,0)+IF(AND(V708&lt;40,W708&gt;=75),0.17,0)+IF(AND(V708&gt;=40,V708&lt;75,W708&lt;25),0.35,0)+IF(AND(V708&gt;=40,V708&lt;75,W708&gt;=25,W708&lt;65),0.25,0)+IF(AND(V708&gt;=40,V708&lt;75,W708&gt;=65,W708&lt;100),0.17,0)+IF(AND(V708&gt;=40,V708&lt;75,W708&gt;=100),0.1,0)+IF(AND(V708&gt;=75,W708&lt;25),0.35,0)+IF(AND(V708&gt;=75,W708&gt;=25,W708&lt;60),0.25,0)+IF(AND(V708&gt;=75,W708&gt;=60,W708&lt;95),0.17,0)+IF(AND(V708&gt;=75,W708&gt;=95),0.1,0),
IF(AF708="DoEVold15",IF(AND(V708&lt;=40,W708&lt;35),0.35,0)+IF(AND(V708&lt;=40,W708&gt;=35,W708&lt;75),0.25,0)+IF(AND(V708&lt;=40,W708&gt;=75,W708&lt;120),0.17,0)+IF(AND(V708&lt;=40,W708&gt;=120),0.15,0)+IF(AND(V708&gt;40,V708&lt;75,W708&lt;25),0.35,0)+IF(AND(V708&gt;=40,V708&lt;75,W708&gt;=25,W708&lt;65),0.25,0)+IF(AND(V708&gt;=40,V708&lt;75,W708&gt;=65,W708&lt;100),0.17,0)+IF(AND(V708&gt;=40,V708&lt;75,W708&gt;=100),0.1,0)+IF(AND(V708&gt;=75,W708&lt;25),0.35,0)+IF(AND(V708&gt;=75,W708&gt;=25,W708&lt;60),0.25,0)+IF(AND(V708&gt;=75,W708&gt;=60,W708&lt;95),0.17,0)+IF(AND(V708&gt;=75,W708&gt;=95),0.1,0),
IF(AF708="DoEVba",IF(AND(V708&lt;20,W708&lt;105),0.2,0)+IF(AND(V708&lt;20,W708&gt;=105),0.15,0)+IF(AND(V708&gt;=20,V708&lt;40,W708&lt;95),0.2,0)+IF(AND(V708&gt;=20,V708&lt;40,W708&gt;=95,W708&lt;150),0.15,0)+IF(AND(V708&gt;=20,V708&lt;40,W708&gt;=150),0.12,0)+IF(AND(V708&gt;=40,V708&lt;75,W708&lt;75),0.2,0)+IF(AND(V708&gt;=40,V708&lt;75,W708&gt;=75,W708&lt;120),0.15,0)+IF(AND(V708&gt;=40,V708&lt;75,W708&gt;=120),0.12,0)+IF(AND(V708&gt;=75,V708&lt;175,W708&lt;65),0.2,0)+IF(AND(V708&gt;=75,V708&lt;175,W708&gt;=65,W708&lt;110),0.15,0)+IF(AND(V708&gt;=75,V708&lt;175,W708&gt;=110),0.12,0)+IF(AND(V708&gt;=175,W708&lt;55),0.2,0)+IF(AND(V708&gt;=175,W708&gt;=55,W708&lt;95),0.15,0)+IF(AND(V708&gt;=175,W708&gt;=95),0.12,0),
IF(AF708="DoEVku",IF(AND(V708&lt;20,W708&lt;55),0.23,0)+IF(AND(V708&lt;20,W708&gt;=55,W708&lt;105),0.2,0)+IF(AND(V708&lt;20,W708&gt;=105),0.17,0)+IF(AND(V708&gt;=20,V708&lt;40,W708&lt;45),0.23,0)+IF(AND(V708&gt;=20,V708&lt;40,W708&gt;=45,W708&lt;95),0.2,0)+IF(AND(V708&gt;=20,V708&lt;40,W708&gt;=95,W708&lt;=150),0.17,0)+IF(AND(V708&gt;=20,V708&lt;40,W708&gt;=150),0.12,0)+IF(AND(V708&gt;=40,V708&lt;75,W708&lt;35),0.23,0)+IF(AND(V708&gt;=40,V708&lt;75,W708&gt;=35,W708&lt;75),0.2,0)+IF(AND(V708&gt;=40,V708&lt;75,W708&gt;=75,W708&lt;120),0.17,0)+IF(AND(V708&gt;=40,V708&lt;75,W708&gt;=120),0.12,0)+IF(AND(V708&gt;=75,V708&lt;175,W708&lt;35),0.23,0)+IF(AND(V708&gt;=75,V708&lt;=175,W708&gt;=35,W708&lt;65),0.2,0)+IF(AND(V708&gt;=75,V708&lt;=175,W708&gt;=65,W708&lt;110),0.17,0)+IF(AND(V708&gt;=75,V708&lt;=175,W708&gt;=110),0.12,0)+IF(AND(V708&gt;175,W708&lt;25),0.23,0)+IF(AND(V708&gt;175,W708&gt;=25,W708&lt;55),0.2,0)+IF(AND(V708&gt;175,W708&gt;=55,W708&lt;95),0.17,0)+IF(AND(V708&gt;175,W708&gt;=95),0.12,0),
IF(AF708="DoEVs1",IF(AND(V708&lt;20,W708&lt;55),0.3,0)+IF(AND(V708&lt;20,W708&gt;=55,W708&lt;105),0.23,0)+IF(AND(V708&lt;20,W708&gt;=105),0.17,0)+IF(AND(V708&gt;=20,V708&lt;40,W708&lt;45),0.3,0)+IF(AND(V708&gt;=20,V708&lt;40,W708&gt;=45,W708&lt;95),0.23,0)+IF(AND(V708&gt;=20,V708&lt;40,W708&gt;=95,W708&lt;=150),0.17,0)+IF(AND(V708&gt;=20,V708&lt;40,W708&gt;=150),0.12,0)+IF(AND(V708&gt;=40,V708&lt;75,W708&lt;35),0.3,0)+IF(AND(V708&gt;=40,V708&lt;75,W708&gt;=35,W708&lt;75),0.23,0)+IF(AND(V708&gt;=40,V708&lt;75,W708&gt;=75,W708&lt;120),0.17,0)+IF(AND(V708&gt;=40,V708&lt;75,W708&gt;=120),0.12,0)+IF(AND(V708&gt;=75,V708&lt;175,W708&lt;35),0.3,0)+IF(AND(V708&gt;=75,V708&lt;=175,W708&gt;=35,W708&lt;65),0.23,0)+IF(AND(V708&gt;=75,V708&lt;=175,W708&gt;=65,W708&lt;110),0.17,0)+IF(AND(V708&gt;=75,V708&lt;=175,W708&gt;=110),0.12,0)+IF(AND(V708&gt;175,W708&lt;25),0.3,0)+IF(AND(V708&gt;175,W708&gt;=25,W708&lt;55),0.23,0)+IF(AND(V708&gt;175,W708&gt;=55,W708&lt;95),0.17,0)+IF(AND(V708&gt;175,W708&gt;=95),0.12,0),
IF(AF708="DoEVsu",IF(AND(V708&lt;20,W708&lt;55),0.3,0)+IF(AND(V708&lt;20,W708&gt;=55,W708&lt;105),0.23,0)+IF(AND(V708&lt;20,W708&gt;=105),0.17,0)+IF(AND(V708&gt;=20,V708&lt;40,W708&lt;45),0.3,0)+IF(AND(V708&gt;=20,V708&lt;40,W708&gt;=45,W708&lt;95),0.23,0)+IF(AND(V708&gt;=20,V708&lt;40,W708&gt;=95,W708&lt;=250),0.17,0)+IF(AND(V708&gt;=20,V708&lt;40,W708&gt;=250),0.12,0)+IF(AND(V708&gt;=40,V708&lt;75,W708&lt;35),0.3,0)+IF(AND(V708&gt;=40,V708&lt;75,W708&gt;=35,W708&lt;75),0.23,0)+IF(AND(V708&gt;=40,V708&lt;75,W708&gt;=75,W708&lt;120),0.17,0)+IF(AND(V708&gt;=40,V708&lt;75,W708&gt;=120),0.12,0)+IF(AND(V708&gt;=75,V708&lt;175,W708&lt;35),0.3,0)+IF(AND(V708&gt;=75,V708&lt;=175,W708&gt;=35,W708&lt;65),0.23,0)+IF(AND(V708&gt;=75,V708&lt;=175,W708&gt;=65,W708&lt;110),0.17,0)+IF(AND(V708&gt;=75,V708&lt;=175,W708&gt;=110),0.12,0)+IF(AND(V708&gt;175,W708&lt;25),0.3,0)+IF(AND(V708&gt;175,W708&gt;=25,W708&lt;55),0.23,0)+IF(AND(V708&gt;175,W708&gt;=55,W708&lt;95),0.17,0)+IF(AND(V708&gt;175,W708&gt;=95),0.12,0),
IF(AF708="DoEVni",IF(AND(V708&lt;20,W708&lt;55),0.3,0)+IF(AND(V708&lt;20,W708&gt;=55,W708&lt;105),0.23,0)+IF(AND(V708&lt;20,W708&gt;=105),0.17,0)+IF(AND(V708&gt;=20,V708&lt;40,W708&lt;45),0.3,0)+IF(AND(V708&gt;=20,V708&lt;40,W708&gt;=45,W708&lt;95),0.23,0)+IF(AND(V708&gt;=20,V708&lt;40,W708&gt;=95,W708&lt;=200),0.17,0)+IF(AND(V708&gt;=20,V708&lt;40,W708&gt;=200),0.12,0)+IF(AND(V708&gt;=40,V708&lt;75,W708&lt;35),0.3,0)+IF(AND(V708&gt;=40,V708&lt;75,W708&gt;=35,W708&lt;75),0.23,0)+IF(AND(V708&gt;=40,V708&lt;75,W708&gt;=75,W708&lt;120),0.17,0)+IF(AND(V708&gt;=40,V708&lt;75,W708&gt;=120),0.12,0)+IF(AND(V708&gt;=75,V708&lt;175,W708&lt;35),0.3,0)+IF(AND(V708&gt;=75,V708&lt;=175,W708&gt;=35,W708&lt;65),0.23,0)+IF(AND(V708&gt;=75,V708&lt;=175,W708&gt;=65,W708&lt;110),0.17,0)+IF(AND(V708&gt;=75,V708&lt;=175,W708&gt;=110),0.12,0)+IF(AND(V708&gt;175,W708&lt;25),0.3,0)+IF(AND(V708&gt;175,W708&gt;=25,W708&lt;55),0.23,0)+IF(AND(V708&gt;175,W708&gt;=55,W708&lt;95),0.17,0)+IF(AND(V708&gt;175,W708&gt;=95),0.12,0),
IF(AF708="DoEVLo",IF(AND(V708&lt;20,W708&lt;55),0.25,0)+IF(AND(V708&lt;20,W708&gt;=55,W708&lt;105),0.2,0)+IF(AND(V708&lt;20,W708&gt;=105),0.15,0)+IF(AND(V708&gt;=20,V708&lt;40,W708&lt;45),0.25,0)+IF(AND(V708&gt;=20,V708&lt;40,W708&gt;=45,W708&lt;95),0.2,0)+IF(AND(V708&gt;=20,V708&lt;40,W708&gt;=95),0.15,0)+IF(AND(V708&gt;=40,V708&lt;75,W708&lt;35),0.25,0)+IF(AND(V708&gt;=40,V708&lt;75,W708&gt;=35,W708&lt;75),0.2,0)+IF(AND(V708&gt;=40,V708&lt;75,W708&gt;=75,W708&lt;120),0.15,0)+IF(AND(V708&gt;=40,V708&lt;75,W708&gt;=120),0.1,0)+IF(AND(V708&gt;=75,V708&lt;175,W708&lt;35),0.25,0)+IF(AND(V708&gt;=75,V708&lt;=175,W708&gt;=35,W708&lt;65),0.2,0)+IF(AND(V708&gt;=75,V708&lt;=175,W708&gt;=65,W708&lt;110),0.15,0)+IF(AND(V708&gt;=75,V708&lt;=175,W708&gt;=110),0.1,0)+IF(AND(V708&gt;175,W708&lt;25),0.25,0)+IF(AND(V708&gt;175,W708&gt;=25,W708&lt;55),0.2,0)+IF(AND(V708&gt;175,W708&gt;=55,W708&lt;95),0.15,0)+IF(AND(V708&gt;175,W708&gt;=95),0.1,0))))))))))))))))))</f>
        <v>0.19</v>
      </c>
      <c r="Y708" s="30">
        <f>IF(AG708="None",0,IF(AG708="Fix5",0.05, IF(AG708="Fix6.25",0.0625,IF(AG708="Fix3.75",0.0375,IF(AG708="Fix10",0.1,IF(AG708="Fix3",0.03,0))))))</f>
        <v>0</v>
      </c>
      <c r="Z708" s="35">
        <f>T708-AA708-AB708</f>
        <v>1480.68</v>
      </c>
      <c r="AA708" s="29">
        <f>IF(AD708="EUR",((T708-R708)*X708)*U708+(R708*X708),(T708*X708))</f>
        <v>347.32</v>
      </c>
      <c r="AB708" s="36">
        <f>IF(AD708="EUR",((T708-R708)*Y708)*U708+(R708*Y708),(T708*Y708))</f>
        <v>0</v>
      </c>
      <c r="AC708" s="37" t="b">
        <v>1</v>
      </c>
      <c r="AD708" s="37" t="s">
        <v>38</v>
      </c>
      <c r="AE708" s="37" t="s">
        <v>38</v>
      </c>
      <c r="AF708" s="37" t="str">
        <f t="array" ref="AF708">INDEX('Deal Info'!D:D, MATCH(A708,'Deal Info'!A:A, 0))</f>
        <v>Fix19</v>
      </c>
      <c r="AG708" s="38" t="str">
        <f t="array" ref="AG708">INDEX('Deal Info'!G:G, MATCH(A708,'Deal Info'!A:A, 0))</f>
        <v>None</v>
      </c>
    </row>
    <row r="709" spans="1:33" ht="14.25" hidden="1" x14ac:dyDescent="0.2">
      <c r="A709" s="18" t="str">
        <f t="array" ref="A709">IF(G709='Room Info'!$B$1, INDEX('Room Info'!$A$2:$A2446, MATCH(B709,'Room Info'!$B$2:$B2446, 0)),IF(G709='Room Info'!$C$1, INDEX('Room Info'!$A$2:$A2446, MATCH(B709,'Room Info'!$C$2:$C2446, 0)),IF(G709='Room Info'!$D$1, INDEX('Room Info'!$A$2:$A2446, MATCH(B709,'Room Info'!$D$2:$D2446, 0)),IF(G709='Room Info'!$E$1, INDEX('Room Info'!$A$2:$A2446, MATCH(B709,'Room Info'!$E$2:$E2446, 0)),IF(G709='Room Info'!$F$1, INDEX('Room Info'!$A$2:$A2446, MATCH(B709,'Room Info'!$F$2:$F2446, 0)),IF(G709='Room Info'!$H$1, INDEX('Room Info'!$A$2:$A2446, MATCH(B709,'Room Info'!$H$2:$H2446, 0)),IF(G709='Room Info'!$G$1, INDEX('Room Info'!$A$2:$A2446, MATCH(B709,'Room Info'!$G$2:$G2446, 0)))))))))</f>
        <v>dimasik</v>
      </c>
      <c r="B709" s="45" t="s">
        <v>162</v>
      </c>
      <c r="C709" s="46">
        <v>44866</v>
      </c>
      <c r="D709" s="46">
        <v>44895</v>
      </c>
      <c r="E709" s="47">
        <v>44866</v>
      </c>
      <c r="F709" s="48" t="s">
        <v>41</v>
      </c>
      <c r="G709" s="45" t="s">
        <v>35</v>
      </c>
      <c r="H709" s="49" t="s">
        <v>148</v>
      </c>
      <c r="I709" s="49" t="s">
        <v>44</v>
      </c>
      <c r="J709" s="50">
        <v>250</v>
      </c>
      <c r="K709" s="51">
        <v>51</v>
      </c>
      <c r="L709" s="52">
        <v>500</v>
      </c>
      <c r="M709" s="53">
        <v>72</v>
      </c>
      <c r="N709" s="28">
        <f>K709*J709</f>
        <v>12750</v>
      </c>
      <c r="O709" s="54">
        <v>419</v>
      </c>
      <c r="P709" s="29">
        <v>8.2156862749999995</v>
      </c>
      <c r="Q709" s="55"/>
      <c r="R709" s="31">
        <f>M709+Q709</f>
        <v>72</v>
      </c>
      <c r="S709" s="66"/>
      <c r="T709" s="32">
        <f>R709+S709+IF(F709="Without EV deal",L709,0)</f>
        <v>572</v>
      </c>
      <c r="U709" s="57">
        <v>1</v>
      </c>
      <c r="V709" s="58"/>
      <c r="W709" s="58"/>
      <c r="X709" s="30">
        <f>IF(AF709="DoEV",IF(AND(V709&lt;20,W709&lt;55),0.3,0)+IF(AND(V709&lt;20,W709&gt;=55,W709&lt;105),0.23,0)+IF(AND(V709&lt;20,W709&gt;=105),0.17,0)+IF(AND(V709&gt;=20,V709&lt;40,W709&lt;45),0.3,0)+IF(AND(V709&gt;=20,V709&lt;40,W709&gt;=45,W709&lt;95),0.23,0)+IF(AND(V709&gt;=20,V709&lt;40,W709&gt;=95),0.17,0)+IF(AND(V709&gt;=40,V709&lt;75,W709&lt;35),0.3,0)+IF(AND(V709&gt;=40,V709&lt;75,W709&gt;=35,W709&lt;75),0.23,0)+IF(AND(V709&gt;=40,V709&lt;75,W709&gt;=75,W709&lt;120),0.17,0)+IF(AND(V709&gt;=40,V709&lt;75,W709&gt;=120),0.12,0)+IF(AND(V709&gt;=75,V709&lt;175,W709&lt;35),0.3,0)+IF(AND(V709&gt;=75,V709&lt;=175,W709&gt;=35,W709&lt;65),0.23,0)+IF(AND(V709&gt;=75,V709&lt;=175,W709&gt;=65,W709&lt;110),0.17,0)+IF(AND(V709&gt;=75,V709&lt;=175,W709&gt;=110),0.12,0)+IF(AND(V709&gt;175,W709&lt;25),0.3,0)+IF(AND(V709&gt;175,W709&gt;=25,W709&lt;55),0.23,0)+IF(AND(V709&gt;175,W709&gt;=55,W709&lt;95),0.17,0)+IF(AND(V709&gt;175,W709&gt;=95),0.12,0),
IF(AF709="Fix15",0.15,
IF(AF709="Fix18.75",0.1875,
IF(AF709="Fix11.25",0.1125,
IF(AF709="Fix10",0.1,
IF(AF709="Fix9",0.09,
IF(AF709="Fix19",0.19,
IF(AF709="DoEV2017",IF(AND(W709&lt;74),0.2,0)+IF(AND(W709&gt;=74),0.17,0),
IF(AF709="SF",IF(AND(V709&lt;20,W709&lt;89),0.3,0)+IF(AND(V709&lt;20,W709&gt;=89),0.25,0)+IF(AND(V709&gt;=20,V709&lt;40,W709&lt;74),0.3,0)+IF(AND(V709&gt;=20,V709&lt;40,W709&gt;=75),0.22,0)+IF(AND(V709&gt;=40,V709&lt;75,W709&lt;75),0.26,0)+IF(AND(V709&gt;=40,V709&lt;75,W709&gt;=75),0.22,0)+IF(V709&gt;=75,0.22,0),
IF(AF709="DoEVold",IF(AND(V709&lt;40,W709&lt;35),0.35,0)+IF(AND(V709&lt;40,W709&gt;=35,W709&lt;75),0.25,0)+IF(AND(V709&lt;40,W709&gt;=75),0.17,0)+IF(AND(V709&gt;=40,V709&lt;75,W709&lt;25),0.35,0)+IF(AND(V709&gt;=40,V709&lt;75,W709&gt;=25,W709&lt;65),0.25,0)+IF(AND(V709&gt;=40,V709&lt;75,W709&gt;=65,W709&lt;100),0.17,0)+IF(AND(V709&gt;=40,V709&lt;75,W709&gt;=100),0.1,0)+IF(AND(V709&gt;=75,W709&lt;25),0.35,0)+IF(AND(V709&gt;=75,W709&gt;=25,W709&lt;60),0.25,0)+IF(AND(V709&gt;=75,W709&gt;=60,W709&lt;95),0.17,0)+IF(AND(V709&gt;=75,W709&gt;=95),0.1,0),
IF(AF709="DoEVold15",IF(AND(V709&lt;=40,W709&lt;35),0.35,0)+IF(AND(V709&lt;=40,W709&gt;=35,W709&lt;75),0.25,0)+IF(AND(V709&lt;=40,W709&gt;=75,W709&lt;120),0.17,0)+IF(AND(V709&lt;=40,W709&gt;=120),0.15,0)+IF(AND(V709&gt;40,V709&lt;75,W709&lt;25),0.35,0)+IF(AND(V709&gt;=40,V709&lt;75,W709&gt;=25,W709&lt;65),0.25,0)+IF(AND(V709&gt;=40,V709&lt;75,W709&gt;=65,W709&lt;100),0.17,0)+IF(AND(V709&gt;=40,V709&lt;75,W709&gt;=100),0.1,0)+IF(AND(V709&gt;=75,W709&lt;25),0.35,0)+IF(AND(V709&gt;=75,W709&gt;=25,W709&lt;60),0.25,0)+IF(AND(V709&gt;=75,W709&gt;=60,W709&lt;95),0.17,0)+IF(AND(V709&gt;=75,W709&gt;=95),0.1,0),
IF(AF709="DoEVba",IF(AND(V709&lt;20,W709&lt;105),0.2,0)+IF(AND(V709&lt;20,W709&gt;=105),0.15,0)+IF(AND(V709&gt;=20,V709&lt;40,W709&lt;95),0.2,0)+IF(AND(V709&gt;=20,V709&lt;40,W709&gt;=95,W709&lt;150),0.15,0)+IF(AND(V709&gt;=20,V709&lt;40,W709&gt;=150),0.12,0)+IF(AND(V709&gt;=40,V709&lt;75,W709&lt;75),0.2,0)+IF(AND(V709&gt;=40,V709&lt;75,W709&gt;=75,W709&lt;120),0.15,0)+IF(AND(V709&gt;=40,V709&lt;75,W709&gt;=120),0.12,0)+IF(AND(V709&gt;=75,V709&lt;175,W709&lt;65),0.2,0)+IF(AND(V709&gt;=75,V709&lt;175,W709&gt;=65,W709&lt;110),0.15,0)+IF(AND(V709&gt;=75,V709&lt;175,W709&gt;=110),0.12,0)+IF(AND(V709&gt;=175,W709&lt;55),0.2,0)+IF(AND(V709&gt;=175,W709&gt;=55,W709&lt;95),0.15,0)+IF(AND(V709&gt;=175,W709&gt;=95),0.12,0),
IF(AF709="DoEVku",IF(AND(V709&lt;20,W709&lt;55),0.23,0)+IF(AND(V709&lt;20,W709&gt;=55,W709&lt;105),0.2,0)+IF(AND(V709&lt;20,W709&gt;=105),0.17,0)+IF(AND(V709&gt;=20,V709&lt;40,W709&lt;45),0.23,0)+IF(AND(V709&gt;=20,V709&lt;40,W709&gt;=45,W709&lt;95),0.2,0)+IF(AND(V709&gt;=20,V709&lt;40,W709&gt;=95,W709&lt;=150),0.17,0)+IF(AND(V709&gt;=20,V709&lt;40,W709&gt;=150),0.12,0)+IF(AND(V709&gt;=40,V709&lt;75,W709&lt;35),0.23,0)+IF(AND(V709&gt;=40,V709&lt;75,W709&gt;=35,W709&lt;75),0.2,0)+IF(AND(V709&gt;=40,V709&lt;75,W709&gt;=75,W709&lt;120),0.17,0)+IF(AND(V709&gt;=40,V709&lt;75,W709&gt;=120),0.12,0)+IF(AND(V709&gt;=75,V709&lt;175,W709&lt;35),0.23,0)+IF(AND(V709&gt;=75,V709&lt;=175,W709&gt;=35,W709&lt;65),0.2,0)+IF(AND(V709&gt;=75,V709&lt;=175,W709&gt;=65,W709&lt;110),0.17,0)+IF(AND(V709&gt;=75,V709&lt;=175,W709&gt;=110),0.12,0)+IF(AND(V709&gt;175,W709&lt;25),0.23,0)+IF(AND(V709&gt;175,W709&gt;=25,W709&lt;55),0.2,0)+IF(AND(V709&gt;175,W709&gt;=55,W709&lt;95),0.17,0)+IF(AND(V709&gt;175,W709&gt;=95),0.12,0),
IF(AF709="DoEVs1",IF(AND(V709&lt;20,W709&lt;55),0.3,0)+IF(AND(V709&lt;20,W709&gt;=55,W709&lt;105),0.23,0)+IF(AND(V709&lt;20,W709&gt;=105),0.17,0)+IF(AND(V709&gt;=20,V709&lt;40,W709&lt;45),0.3,0)+IF(AND(V709&gt;=20,V709&lt;40,W709&gt;=45,W709&lt;95),0.23,0)+IF(AND(V709&gt;=20,V709&lt;40,W709&gt;=95,W709&lt;=150),0.17,0)+IF(AND(V709&gt;=20,V709&lt;40,W709&gt;=150),0.12,0)+IF(AND(V709&gt;=40,V709&lt;75,W709&lt;35),0.3,0)+IF(AND(V709&gt;=40,V709&lt;75,W709&gt;=35,W709&lt;75),0.23,0)+IF(AND(V709&gt;=40,V709&lt;75,W709&gt;=75,W709&lt;120),0.17,0)+IF(AND(V709&gt;=40,V709&lt;75,W709&gt;=120),0.12,0)+IF(AND(V709&gt;=75,V709&lt;175,W709&lt;35),0.3,0)+IF(AND(V709&gt;=75,V709&lt;=175,W709&gt;=35,W709&lt;65),0.23,0)+IF(AND(V709&gt;=75,V709&lt;=175,W709&gt;=65,W709&lt;110),0.17,0)+IF(AND(V709&gt;=75,V709&lt;=175,W709&gt;=110),0.12,0)+IF(AND(V709&gt;175,W709&lt;25),0.3,0)+IF(AND(V709&gt;175,W709&gt;=25,W709&lt;55),0.23,0)+IF(AND(V709&gt;175,W709&gt;=55,W709&lt;95),0.17,0)+IF(AND(V709&gt;175,W709&gt;=95),0.12,0),
IF(AF709="DoEVsu",IF(AND(V709&lt;20,W709&lt;55),0.3,0)+IF(AND(V709&lt;20,W709&gt;=55,W709&lt;105),0.23,0)+IF(AND(V709&lt;20,W709&gt;=105),0.17,0)+IF(AND(V709&gt;=20,V709&lt;40,W709&lt;45),0.3,0)+IF(AND(V709&gt;=20,V709&lt;40,W709&gt;=45,W709&lt;95),0.23,0)+IF(AND(V709&gt;=20,V709&lt;40,W709&gt;=95,W709&lt;=250),0.17,0)+IF(AND(V709&gt;=20,V709&lt;40,W709&gt;=250),0.12,0)+IF(AND(V709&gt;=40,V709&lt;75,W709&lt;35),0.3,0)+IF(AND(V709&gt;=40,V709&lt;75,W709&gt;=35,W709&lt;75),0.23,0)+IF(AND(V709&gt;=40,V709&lt;75,W709&gt;=75,W709&lt;120),0.17,0)+IF(AND(V709&gt;=40,V709&lt;75,W709&gt;=120),0.12,0)+IF(AND(V709&gt;=75,V709&lt;175,W709&lt;35),0.3,0)+IF(AND(V709&gt;=75,V709&lt;=175,W709&gt;=35,W709&lt;65),0.23,0)+IF(AND(V709&gt;=75,V709&lt;=175,W709&gt;=65,W709&lt;110),0.17,0)+IF(AND(V709&gt;=75,V709&lt;=175,W709&gt;=110),0.12,0)+IF(AND(V709&gt;175,W709&lt;25),0.3,0)+IF(AND(V709&gt;175,W709&gt;=25,W709&lt;55),0.23,0)+IF(AND(V709&gt;175,W709&gt;=55,W709&lt;95),0.17,0)+IF(AND(V709&gt;175,W709&gt;=95),0.12,0),
IF(AF709="DoEVni",IF(AND(V709&lt;20,W709&lt;55),0.3,0)+IF(AND(V709&lt;20,W709&gt;=55,W709&lt;105),0.23,0)+IF(AND(V709&lt;20,W709&gt;=105),0.17,0)+IF(AND(V709&gt;=20,V709&lt;40,W709&lt;45),0.3,0)+IF(AND(V709&gt;=20,V709&lt;40,W709&gt;=45,W709&lt;95),0.23,0)+IF(AND(V709&gt;=20,V709&lt;40,W709&gt;=95,W709&lt;=200),0.17,0)+IF(AND(V709&gt;=20,V709&lt;40,W709&gt;=200),0.12,0)+IF(AND(V709&gt;=40,V709&lt;75,W709&lt;35),0.3,0)+IF(AND(V709&gt;=40,V709&lt;75,W709&gt;=35,W709&lt;75),0.23,0)+IF(AND(V709&gt;=40,V709&lt;75,W709&gt;=75,W709&lt;120),0.17,0)+IF(AND(V709&gt;=40,V709&lt;75,W709&gt;=120),0.12,0)+IF(AND(V709&gt;=75,V709&lt;175,W709&lt;35),0.3,0)+IF(AND(V709&gt;=75,V709&lt;=175,W709&gt;=35,W709&lt;65),0.23,0)+IF(AND(V709&gt;=75,V709&lt;=175,W709&gt;=65,W709&lt;110),0.17,0)+IF(AND(V709&gt;=75,V709&lt;=175,W709&gt;=110),0.12,0)+IF(AND(V709&gt;175,W709&lt;25),0.3,0)+IF(AND(V709&gt;175,W709&gt;=25,W709&lt;55),0.23,0)+IF(AND(V709&gt;175,W709&gt;=55,W709&lt;95),0.17,0)+IF(AND(V709&gt;175,W709&gt;=95),0.12,0),
IF(AF709="DoEVLo",IF(AND(V709&lt;20,W709&lt;55),0.25,0)+IF(AND(V709&lt;20,W709&gt;=55,W709&lt;105),0.2,0)+IF(AND(V709&lt;20,W709&gt;=105),0.15,0)+IF(AND(V709&gt;=20,V709&lt;40,W709&lt;45),0.25,0)+IF(AND(V709&gt;=20,V709&lt;40,W709&gt;=45,W709&lt;95),0.2,0)+IF(AND(V709&gt;=20,V709&lt;40,W709&gt;=95),0.15,0)+IF(AND(V709&gt;=40,V709&lt;75,W709&lt;35),0.25,0)+IF(AND(V709&gt;=40,V709&lt;75,W709&gt;=35,W709&lt;75),0.2,0)+IF(AND(V709&gt;=40,V709&lt;75,W709&gt;=75,W709&lt;120),0.15,0)+IF(AND(V709&gt;=40,V709&lt;75,W709&gt;=120),0.1,0)+IF(AND(V709&gt;=75,V709&lt;175,W709&lt;35),0.25,0)+IF(AND(V709&gt;=75,V709&lt;=175,W709&gt;=35,W709&lt;65),0.2,0)+IF(AND(V709&gt;=75,V709&lt;=175,W709&gt;=65,W709&lt;110),0.15,0)+IF(AND(V709&gt;=75,V709&lt;=175,W709&gt;=110),0.1,0)+IF(AND(V709&gt;175,W709&lt;25),0.25,0)+IF(AND(V709&gt;175,W709&gt;=25,W709&lt;55),0.2,0)+IF(AND(V709&gt;175,W709&gt;=55,W709&lt;95),0.15,0)+IF(AND(V709&gt;175,W709&gt;=95),0.1,0))))))))))))))))))</f>
        <v>0.19</v>
      </c>
      <c r="Y709" s="30">
        <f>IF(AG709="None",0,IF(AG709="Fix5",0.05, IF(AG709="Fix6.25",0.0625,IF(AG709="Fix3.75",0.0375,IF(AG709="Fix10",0.1,IF(AG709="Fix3",0.03,0))))))</f>
        <v>0</v>
      </c>
      <c r="Z709" s="35">
        <f>T709-AA709-AB709</f>
        <v>463.32</v>
      </c>
      <c r="AA709" s="29">
        <f>IF(AD709="EUR",((T709-R709)*X709)*U709+(R709*X709),(T709*X709))</f>
        <v>108.68</v>
      </c>
      <c r="AB709" s="36">
        <f>IF(AD709="EUR",((T709-R709)*Y709)*U709+(R709*Y709),(T709*Y709))</f>
        <v>0</v>
      </c>
      <c r="AC709" s="37" t="b">
        <v>1</v>
      </c>
      <c r="AD709" s="37" t="s">
        <v>38</v>
      </c>
      <c r="AE709" s="37" t="s">
        <v>38</v>
      </c>
      <c r="AF709" s="37" t="str">
        <f t="array" ref="AF709">INDEX('Deal Info'!D:D, MATCH(A709,'Deal Info'!A:A, 0))</f>
        <v>Fix19</v>
      </c>
      <c r="AG709" s="38" t="str">
        <f t="array" ref="AG709">INDEX('Deal Info'!G:G, MATCH(A709,'Deal Info'!A:A, 0))</f>
        <v>None</v>
      </c>
    </row>
    <row r="710" spans="1:33" ht="14.25" hidden="1" x14ac:dyDescent="0.2">
      <c r="A710" s="18" t="str">
        <f t="array" ref="A710">IF(G710='Room Info'!$B$1, INDEX('Room Info'!$A$2:$A2446, MATCH(B710,'Room Info'!$B$2:$B2446, 0)),IF(G710='Room Info'!$C$1, INDEX('Room Info'!$A$2:$A2446, MATCH(B710,'Room Info'!$C$2:$C2446, 0)),IF(G710='Room Info'!$D$1, INDEX('Room Info'!$A$2:$A2446, MATCH(B710,'Room Info'!$D$2:$D2446, 0)),IF(G710='Room Info'!$E$1, INDEX('Room Info'!$A$2:$A2446, MATCH(B710,'Room Info'!$E$2:$E2446, 0)),IF(G710='Room Info'!$F$1, INDEX('Room Info'!$A$2:$A2446, MATCH(B710,'Room Info'!$F$2:$F2446, 0)),IF(G710='Room Info'!$H$1, INDEX('Room Info'!$A$2:$A2446, MATCH(B710,'Room Info'!$H$2:$H2446, 0)),IF(G710='Room Info'!$G$1, INDEX('Room Info'!$A$2:$A2446, MATCH(B710,'Room Info'!$G$2:$G2446, 0)))))))))</f>
        <v>dimasik</v>
      </c>
      <c r="B710" s="54" t="s">
        <v>162</v>
      </c>
      <c r="C710" s="46">
        <v>44866</v>
      </c>
      <c r="D710" s="46">
        <v>44895</v>
      </c>
      <c r="E710" s="47">
        <v>44866</v>
      </c>
      <c r="F710" s="48" t="s">
        <v>41</v>
      </c>
      <c r="G710" s="54" t="s">
        <v>35</v>
      </c>
      <c r="H710" s="49" t="s">
        <v>88</v>
      </c>
      <c r="I710" s="49" t="s">
        <v>37</v>
      </c>
      <c r="J710" s="50">
        <v>250</v>
      </c>
      <c r="K710" s="51">
        <v>132</v>
      </c>
      <c r="L710" s="52">
        <v>-4250</v>
      </c>
      <c r="M710" s="53">
        <v>187</v>
      </c>
      <c r="N710" s="28">
        <f>K710*J710</f>
        <v>33000</v>
      </c>
      <c r="O710" s="54">
        <v>1084</v>
      </c>
      <c r="P710" s="29">
        <v>8.2121212119999996</v>
      </c>
      <c r="Q710" s="55"/>
      <c r="R710" s="31">
        <f>M710+Q710</f>
        <v>187</v>
      </c>
      <c r="S710" s="66"/>
      <c r="T710" s="32">
        <f>R710+S710+IF(F710="Without EV deal",L710,0)</f>
        <v>-4063</v>
      </c>
      <c r="U710" s="57">
        <v>1</v>
      </c>
      <c r="V710" s="58"/>
      <c r="W710" s="58"/>
      <c r="X710" s="30">
        <f>IF(AF710="DoEV",IF(AND(V710&lt;20,W710&lt;55),0.3,0)+IF(AND(V710&lt;20,W710&gt;=55,W710&lt;105),0.23,0)+IF(AND(V710&lt;20,W710&gt;=105),0.17,0)+IF(AND(V710&gt;=20,V710&lt;40,W710&lt;45),0.3,0)+IF(AND(V710&gt;=20,V710&lt;40,W710&gt;=45,W710&lt;95),0.23,0)+IF(AND(V710&gt;=20,V710&lt;40,W710&gt;=95),0.17,0)+IF(AND(V710&gt;=40,V710&lt;75,W710&lt;35),0.3,0)+IF(AND(V710&gt;=40,V710&lt;75,W710&gt;=35,W710&lt;75),0.23,0)+IF(AND(V710&gt;=40,V710&lt;75,W710&gt;=75,W710&lt;120),0.17,0)+IF(AND(V710&gt;=40,V710&lt;75,W710&gt;=120),0.12,0)+IF(AND(V710&gt;=75,V710&lt;175,W710&lt;35),0.3,0)+IF(AND(V710&gt;=75,V710&lt;=175,W710&gt;=35,W710&lt;65),0.23,0)+IF(AND(V710&gt;=75,V710&lt;=175,W710&gt;=65,W710&lt;110),0.17,0)+IF(AND(V710&gt;=75,V710&lt;=175,W710&gt;=110),0.12,0)+IF(AND(V710&gt;175,W710&lt;25),0.3,0)+IF(AND(V710&gt;175,W710&gt;=25,W710&lt;55),0.23,0)+IF(AND(V710&gt;175,W710&gt;=55,W710&lt;95),0.17,0)+IF(AND(V710&gt;175,W710&gt;=95),0.12,0),
IF(AF710="Fix15",0.15,
IF(AF710="Fix18.75",0.1875,
IF(AF710="Fix11.25",0.1125,
IF(AF710="Fix10",0.1,
IF(AF710="Fix9",0.09,
IF(AF710="Fix19",0.19,
IF(AF710="DoEV2017",IF(AND(W710&lt;74),0.2,0)+IF(AND(W710&gt;=74),0.17,0),
IF(AF710="SF",IF(AND(V710&lt;20,W710&lt;89),0.3,0)+IF(AND(V710&lt;20,W710&gt;=89),0.25,0)+IF(AND(V710&gt;=20,V710&lt;40,W710&lt;74),0.3,0)+IF(AND(V710&gt;=20,V710&lt;40,W710&gt;=75),0.22,0)+IF(AND(V710&gt;=40,V710&lt;75,W710&lt;75),0.26,0)+IF(AND(V710&gt;=40,V710&lt;75,W710&gt;=75),0.22,0)+IF(V710&gt;=75,0.22,0),
IF(AF710="DoEVold",IF(AND(V710&lt;40,W710&lt;35),0.35,0)+IF(AND(V710&lt;40,W710&gt;=35,W710&lt;75),0.25,0)+IF(AND(V710&lt;40,W710&gt;=75),0.17,0)+IF(AND(V710&gt;=40,V710&lt;75,W710&lt;25),0.35,0)+IF(AND(V710&gt;=40,V710&lt;75,W710&gt;=25,W710&lt;65),0.25,0)+IF(AND(V710&gt;=40,V710&lt;75,W710&gt;=65,W710&lt;100),0.17,0)+IF(AND(V710&gt;=40,V710&lt;75,W710&gt;=100),0.1,0)+IF(AND(V710&gt;=75,W710&lt;25),0.35,0)+IF(AND(V710&gt;=75,W710&gt;=25,W710&lt;60),0.25,0)+IF(AND(V710&gt;=75,W710&gt;=60,W710&lt;95),0.17,0)+IF(AND(V710&gt;=75,W710&gt;=95),0.1,0),
IF(AF710="DoEVold15",IF(AND(V710&lt;=40,W710&lt;35),0.35,0)+IF(AND(V710&lt;=40,W710&gt;=35,W710&lt;75),0.25,0)+IF(AND(V710&lt;=40,W710&gt;=75,W710&lt;120),0.17,0)+IF(AND(V710&lt;=40,W710&gt;=120),0.15,0)+IF(AND(V710&gt;40,V710&lt;75,W710&lt;25),0.35,0)+IF(AND(V710&gt;=40,V710&lt;75,W710&gt;=25,W710&lt;65),0.25,0)+IF(AND(V710&gt;=40,V710&lt;75,W710&gt;=65,W710&lt;100),0.17,0)+IF(AND(V710&gt;=40,V710&lt;75,W710&gt;=100),0.1,0)+IF(AND(V710&gt;=75,W710&lt;25),0.35,0)+IF(AND(V710&gt;=75,W710&gt;=25,W710&lt;60),0.25,0)+IF(AND(V710&gt;=75,W710&gt;=60,W710&lt;95),0.17,0)+IF(AND(V710&gt;=75,W710&gt;=95),0.1,0),
IF(AF710="DoEVba",IF(AND(V710&lt;20,W710&lt;105),0.2,0)+IF(AND(V710&lt;20,W710&gt;=105),0.15,0)+IF(AND(V710&gt;=20,V710&lt;40,W710&lt;95),0.2,0)+IF(AND(V710&gt;=20,V710&lt;40,W710&gt;=95,W710&lt;150),0.15,0)+IF(AND(V710&gt;=20,V710&lt;40,W710&gt;=150),0.12,0)+IF(AND(V710&gt;=40,V710&lt;75,W710&lt;75),0.2,0)+IF(AND(V710&gt;=40,V710&lt;75,W710&gt;=75,W710&lt;120),0.15,0)+IF(AND(V710&gt;=40,V710&lt;75,W710&gt;=120),0.12,0)+IF(AND(V710&gt;=75,V710&lt;175,W710&lt;65),0.2,0)+IF(AND(V710&gt;=75,V710&lt;175,W710&gt;=65,W710&lt;110),0.15,0)+IF(AND(V710&gt;=75,V710&lt;175,W710&gt;=110),0.12,0)+IF(AND(V710&gt;=175,W710&lt;55),0.2,0)+IF(AND(V710&gt;=175,W710&gt;=55,W710&lt;95),0.15,0)+IF(AND(V710&gt;=175,W710&gt;=95),0.12,0),
IF(AF710="DoEVku",IF(AND(V710&lt;20,W710&lt;55),0.23,0)+IF(AND(V710&lt;20,W710&gt;=55,W710&lt;105),0.2,0)+IF(AND(V710&lt;20,W710&gt;=105),0.17,0)+IF(AND(V710&gt;=20,V710&lt;40,W710&lt;45),0.23,0)+IF(AND(V710&gt;=20,V710&lt;40,W710&gt;=45,W710&lt;95),0.2,0)+IF(AND(V710&gt;=20,V710&lt;40,W710&gt;=95,W710&lt;=150),0.17,0)+IF(AND(V710&gt;=20,V710&lt;40,W710&gt;=150),0.12,0)+IF(AND(V710&gt;=40,V710&lt;75,W710&lt;35),0.23,0)+IF(AND(V710&gt;=40,V710&lt;75,W710&gt;=35,W710&lt;75),0.2,0)+IF(AND(V710&gt;=40,V710&lt;75,W710&gt;=75,W710&lt;120),0.17,0)+IF(AND(V710&gt;=40,V710&lt;75,W710&gt;=120),0.12,0)+IF(AND(V710&gt;=75,V710&lt;175,W710&lt;35),0.23,0)+IF(AND(V710&gt;=75,V710&lt;=175,W710&gt;=35,W710&lt;65),0.2,0)+IF(AND(V710&gt;=75,V710&lt;=175,W710&gt;=65,W710&lt;110),0.17,0)+IF(AND(V710&gt;=75,V710&lt;=175,W710&gt;=110),0.12,0)+IF(AND(V710&gt;175,W710&lt;25),0.23,0)+IF(AND(V710&gt;175,W710&gt;=25,W710&lt;55),0.2,0)+IF(AND(V710&gt;175,W710&gt;=55,W710&lt;95),0.17,0)+IF(AND(V710&gt;175,W710&gt;=95),0.12,0),
IF(AF710="DoEVs1",IF(AND(V710&lt;20,W710&lt;55),0.3,0)+IF(AND(V710&lt;20,W710&gt;=55,W710&lt;105),0.23,0)+IF(AND(V710&lt;20,W710&gt;=105),0.17,0)+IF(AND(V710&gt;=20,V710&lt;40,W710&lt;45),0.3,0)+IF(AND(V710&gt;=20,V710&lt;40,W710&gt;=45,W710&lt;95),0.23,0)+IF(AND(V710&gt;=20,V710&lt;40,W710&gt;=95,W710&lt;=150),0.17,0)+IF(AND(V710&gt;=20,V710&lt;40,W710&gt;=150),0.12,0)+IF(AND(V710&gt;=40,V710&lt;75,W710&lt;35),0.3,0)+IF(AND(V710&gt;=40,V710&lt;75,W710&gt;=35,W710&lt;75),0.23,0)+IF(AND(V710&gt;=40,V710&lt;75,W710&gt;=75,W710&lt;120),0.17,0)+IF(AND(V710&gt;=40,V710&lt;75,W710&gt;=120),0.12,0)+IF(AND(V710&gt;=75,V710&lt;175,W710&lt;35),0.3,0)+IF(AND(V710&gt;=75,V710&lt;=175,W710&gt;=35,W710&lt;65),0.23,0)+IF(AND(V710&gt;=75,V710&lt;=175,W710&gt;=65,W710&lt;110),0.17,0)+IF(AND(V710&gt;=75,V710&lt;=175,W710&gt;=110),0.12,0)+IF(AND(V710&gt;175,W710&lt;25),0.3,0)+IF(AND(V710&gt;175,W710&gt;=25,W710&lt;55),0.23,0)+IF(AND(V710&gt;175,W710&gt;=55,W710&lt;95),0.17,0)+IF(AND(V710&gt;175,W710&gt;=95),0.12,0),
IF(AF710="DoEVsu",IF(AND(V710&lt;20,W710&lt;55),0.3,0)+IF(AND(V710&lt;20,W710&gt;=55,W710&lt;105),0.23,0)+IF(AND(V710&lt;20,W710&gt;=105),0.17,0)+IF(AND(V710&gt;=20,V710&lt;40,W710&lt;45),0.3,0)+IF(AND(V710&gt;=20,V710&lt;40,W710&gt;=45,W710&lt;95),0.23,0)+IF(AND(V710&gt;=20,V710&lt;40,W710&gt;=95,W710&lt;=250),0.17,0)+IF(AND(V710&gt;=20,V710&lt;40,W710&gt;=250),0.12,0)+IF(AND(V710&gt;=40,V710&lt;75,W710&lt;35),0.3,0)+IF(AND(V710&gt;=40,V710&lt;75,W710&gt;=35,W710&lt;75),0.23,0)+IF(AND(V710&gt;=40,V710&lt;75,W710&gt;=75,W710&lt;120),0.17,0)+IF(AND(V710&gt;=40,V710&lt;75,W710&gt;=120),0.12,0)+IF(AND(V710&gt;=75,V710&lt;175,W710&lt;35),0.3,0)+IF(AND(V710&gt;=75,V710&lt;=175,W710&gt;=35,W710&lt;65),0.23,0)+IF(AND(V710&gt;=75,V710&lt;=175,W710&gt;=65,W710&lt;110),0.17,0)+IF(AND(V710&gt;=75,V710&lt;=175,W710&gt;=110),0.12,0)+IF(AND(V710&gt;175,W710&lt;25),0.3,0)+IF(AND(V710&gt;175,W710&gt;=25,W710&lt;55),0.23,0)+IF(AND(V710&gt;175,W710&gt;=55,W710&lt;95),0.17,0)+IF(AND(V710&gt;175,W710&gt;=95),0.12,0),
IF(AF710="DoEVni",IF(AND(V710&lt;20,W710&lt;55),0.3,0)+IF(AND(V710&lt;20,W710&gt;=55,W710&lt;105),0.23,0)+IF(AND(V710&lt;20,W710&gt;=105),0.17,0)+IF(AND(V710&gt;=20,V710&lt;40,W710&lt;45),0.3,0)+IF(AND(V710&gt;=20,V710&lt;40,W710&gt;=45,W710&lt;95),0.23,0)+IF(AND(V710&gt;=20,V710&lt;40,W710&gt;=95,W710&lt;=200),0.17,0)+IF(AND(V710&gt;=20,V710&lt;40,W710&gt;=200),0.12,0)+IF(AND(V710&gt;=40,V710&lt;75,W710&lt;35),0.3,0)+IF(AND(V710&gt;=40,V710&lt;75,W710&gt;=35,W710&lt;75),0.23,0)+IF(AND(V710&gt;=40,V710&lt;75,W710&gt;=75,W710&lt;120),0.17,0)+IF(AND(V710&gt;=40,V710&lt;75,W710&gt;=120),0.12,0)+IF(AND(V710&gt;=75,V710&lt;175,W710&lt;35),0.3,0)+IF(AND(V710&gt;=75,V710&lt;=175,W710&gt;=35,W710&lt;65),0.23,0)+IF(AND(V710&gt;=75,V710&lt;=175,W710&gt;=65,W710&lt;110),0.17,0)+IF(AND(V710&gt;=75,V710&lt;=175,W710&gt;=110),0.12,0)+IF(AND(V710&gt;175,W710&lt;25),0.3,0)+IF(AND(V710&gt;175,W710&gt;=25,W710&lt;55),0.23,0)+IF(AND(V710&gt;175,W710&gt;=55,W710&lt;95),0.17,0)+IF(AND(V710&gt;175,W710&gt;=95),0.12,0),
IF(AF710="DoEVLo",IF(AND(V710&lt;20,W710&lt;55),0.25,0)+IF(AND(V710&lt;20,W710&gt;=55,W710&lt;105),0.2,0)+IF(AND(V710&lt;20,W710&gt;=105),0.15,0)+IF(AND(V710&gt;=20,V710&lt;40,W710&lt;45),0.25,0)+IF(AND(V710&gt;=20,V710&lt;40,W710&gt;=45,W710&lt;95),0.2,0)+IF(AND(V710&gt;=20,V710&lt;40,W710&gt;=95),0.15,0)+IF(AND(V710&gt;=40,V710&lt;75,W710&lt;35),0.25,0)+IF(AND(V710&gt;=40,V710&lt;75,W710&gt;=35,W710&lt;75),0.2,0)+IF(AND(V710&gt;=40,V710&lt;75,W710&gt;=75,W710&lt;120),0.15,0)+IF(AND(V710&gt;=40,V710&lt;75,W710&gt;=120),0.1,0)+IF(AND(V710&gt;=75,V710&lt;175,W710&lt;35),0.25,0)+IF(AND(V710&gt;=75,V710&lt;=175,W710&gt;=35,W710&lt;65),0.2,0)+IF(AND(V710&gt;=75,V710&lt;=175,W710&gt;=65,W710&lt;110),0.15,0)+IF(AND(V710&gt;=75,V710&lt;=175,W710&gt;=110),0.1,0)+IF(AND(V710&gt;175,W710&lt;25),0.25,0)+IF(AND(V710&gt;175,W710&gt;=25,W710&lt;55),0.2,0)+IF(AND(V710&gt;175,W710&gt;=55,W710&lt;95),0.15,0)+IF(AND(V710&gt;175,W710&gt;=95),0.1,0))))))))))))))))))</f>
        <v>0.19</v>
      </c>
      <c r="Y710" s="30">
        <f>IF(AG710="None",0,IF(AG710="Fix5",0.05, IF(AG710="Fix6.25",0.0625,IF(AG710="Fix3.75",0.0375,IF(AG710="Fix10",0.1,IF(AG710="Fix3",0.03,0))))))</f>
        <v>0</v>
      </c>
      <c r="Z710" s="35">
        <f>T710-AA710-AB710</f>
        <v>-3291.0299999999997</v>
      </c>
      <c r="AA710" s="29">
        <f>IF(AD710="EUR",((T710-R710)*X710)*U710+(R710*X710),(T710*X710))</f>
        <v>-771.97</v>
      </c>
      <c r="AB710" s="36">
        <f>IF(AD710="EUR",((T710-R710)*Y710)*U710+(R710*Y710),(T710*Y710))</f>
        <v>0</v>
      </c>
      <c r="AC710" s="37" t="b">
        <v>1</v>
      </c>
      <c r="AD710" s="37" t="s">
        <v>38</v>
      </c>
      <c r="AE710" s="37" t="s">
        <v>38</v>
      </c>
      <c r="AF710" s="37" t="str">
        <f t="array" ref="AF710">INDEX('Deal Info'!D:D, MATCH(A710,'Deal Info'!A:A, 0))</f>
        <v>Fix19</v>
      </c>
      <c r="AG710" s="38" t="str">
        <f t="array" ref="AG710">INDEX('Deal Info'!G:G, MATCH(A710,'Deal Info'!A:A, 0))</f>
        <v>None</v>
      </c>
    </row>
    <row r="711" spans="1:33" ht="14.25" hidden="1" x14ac:dyDescent="0.2">
      <c r="A711" s="18" t="str">
        <f t="array" ref="A711">IF(G711='Room Info'!$B$1, INDEX('Room Info'!$A$2:$A2446, MATCH(B711,'Room Info'!$B$2:$B2446, 0)),IF(G711='Room Info'!$C$1, INDEX('Room Info'!$A$2:$A2446, MATCH(B711,'Room Info'!$C$2:$C2446, 0)),IF(G711='Room Info'!$D$1, INDEX('Room Info'!$A$2:$A2446, MATCH(B711,'Room Info'!$D$2:$D2446, 0)),IF(G711='Room Info'!$E$1, INDEX('Room Info'!$A$2:$A2446, MATCH(B711,'Room Info'!$E$2:$E2446, 0)),IF(G711='Room Info'!$F$1, INDEX('Room Info'!$A$2:$A2446, MATCH(B711,'Room Info'!$F$2:$F2446, 0)),IF(G711='Room Info'!$H$1, INDEX('Room Info'!$A$2:$A2446, MATCH(B711,'Room Info'!$H$2:$H2446, 0)),IF(G711='Room Info'!$G$1, INDEX('Room Info'!$A$2:$A2446, MATCH(B711,'Room Info'!$G$2:$G2446, 0)))))))))</f>
        <v>dimasik</v>
      </c>
      <c r="B711" s="54" t="s">
        <v>162</v>
      </c>
      <c r="C711" s="46">
        <v>44896</v>
      </c>
      <c r="D711" s="46">
        <v>44926</v>
      </c>
      <c r="E711" s="47">
        <v>44896</v>
      </c>
      <c r="F711" s="48" t="s">
        <v>41</v>
      </c>
      <c r="G711" s="54" t="s">
        <v>35</v>
      </c>
      <c r="H711" s="49" t="s">
        <v>85</v>
      </c>
      <c r="I711" s="49" t="s">
        <v>44</v>
      </c>
      <c r="J711" s="50">
        <v>50</v>
      </c>
      <c r="K711" s="51">
        <v>1</v>
      </c>
      <c r="L711" s="52">
        <v>-50</v>
      </c>
      <c r="M711" s="53">
        <v>2</v>
      </c>
      <c r="N711" s="28">
        <f>K711*J711</f>
        <v>50</v>
      </c>
      <c r="O711" s="54">
        <v>36</v>
      </c>
      <c r="P711" s="29">
        <v>36</v>
      </c>
      <c r="Q711" s="55"/>
      <c r="R711" s="31">
        <f>M711+Q711</f>
        <v>2</v>
      </c>
      <c r="S711" s="66"/>
      <c r="T711" s="32">
        <f>R711+S711+IF(F711="Without EV deal",L711,0)</f>
        <v>-48</v>
      </c>
      <c r="U711" s="57">
        <v>1</v>
      </c>
      <c r="V711" s="58"/>
      <c r="W711" s="58"/>
      <c r="X711" s="30">
        <f>IF(AF711="DoEV",IF(AND(V711&lt;20,W711&lt;55),0.3,0)+IF(AND(V711&lt;20,W711&gt;=55,W711&lt;105),0.23,0)+IF(AND(V711&lt;20,W711&gt;=105),0.17,0)+IF(AND(V711&gt;=20,V711&lt;40,W711&lt;45),0.3,0)+IF(AND(V711&gt;=20,V711&lt;40,W711&gt;=45,W711&lt;95),0.23,0)+IF(AND(V711&gt;=20,V711&lt;40,W711&gt;=95),0.17,0)+IF(AND(V711&gt;=40,V711&lt;75,W711&lt;35),0.3,0)+IF(AND(V711&gt;=40,V711&lt;75,W711&gt;=35,W711&lt;75),0.23,0)+IF(AND(V711&gt;=40,V711&lt;75,W711&gt;=75,W711&lt;120),0.17,0)+IF(AND(V711&gt;=40,V711&lt;75,W711&gt;=120),0.12,0)+IF(AND(V711&gt;=75,V711&lt;175,W711&lt;35),0.3,0)+IF(AND(V711&gt;=75,V711&lt;=175,W711&gt;=35,W711&lt;65),0.23,0)+IF(AND(V711&gt;=75,V711&lt;=175,W711&gt;=65,W711&lt;110),0.17,0)+IF(AND(V711&gt;=75,V711&lt;=175,W711&gt;=110),0.12,0)+IF(AND(V711&gt;175,W711&lt;25),0.3,0)+IF(AND(V711&gt;175,W711&gt;=25,W711&lt;55),0.23,0)+IF(AND(V711&gt;175,W711&gt;=55,W711&lt;95),0.17,0)+IF(AND(V711&gt;175,W711&gt;=95),0.12,0),
IF(AF711="Fix15",0.15,
IF(AF711="Fix18.75",0.1875,
IF(AF711="Fix11.25",0.1125,
IF(AF711="Fix10",0.1,
IF(AF711="Fix9",0.09,
IF(AF711="Fix19",0.19,
IF(AF711="DoEV2017",IF(AND(W711&lt;74),0.2,0)+IF(AND(W711&gt;=74),0.17,0),
IF(AF711="SF",IF(AND(V711&lt;20,W711&lt;89),0.3,0)+IF(AND(V711&lt;20,W711&gt;=89),0.25,0)+IF(AND(V711&gt;=20,V711&lt;40,W711&lt;74),0.3,0)+IF(AND(V711&gt;=20,V711&lt;40,W711&gt;=75),0.22,0)+IF(AND(V711&gt;=40,V711&lt;75,W711&lt;75),0.26,0)+IF(AND(V711&gt;=40,V711&lt;75,W711&gt;=75),0.22,0)+IF(V711&gt;=75,0.22,0),
IF(AF711="DoEVold",IF(AND(V711&lt;40,W711&lt;35),0.35,0)+IF(AND(V711&lt;40,W711&gt;=35,W711&lt;75),0.25,0)+IF(AND(V711&lt;40,W711&gt;=75),0.17,0)+IF(AND(V711&gt;=40,V711&lt;75,W711&lt;25),0.35,0)+IF(AND(V711&gt;=40,V711&lt;75,W711&gt;=25,W711&lt;65),0.25,0)+IF(AND(V711&gt;=40,V711&lt;75,W711&gt;=65,W711&lt;100),0.17,0)+IF(AND(V711&gt;=40,V711&lt;75,W711&gt;=100),0.1,0)+IF(AND(V711&gt;=75,W711&lt;25),0.35,0)+IF(AND(V711&gt;=75,W711&gt;=25,W711&lt;60),0.25,0)+IF(AND(V711&gt;=75,W711&gt;=60,W711&lt;95),0.17,0)+IF(AND(V711&gt;=75,W711&gt;=95),0.1,0),
IF(AF711="DoEVold15",IF(AND(V711&lt;=40,W711&lt;35),0.35,0)+IF(AND(V711&lt;=40,W711&gt;=35,W711&lt;75),0.25,0)+IF(AND(V711&lt;=40,W711&gt;=75,W711&lt;120),0.17,0)+IF(AND(V711&lt;=40,W711&gt;=120),0.15,0)+IF(AND(V711&gt;40,V711&lt;75,W711&lt;25),0.35,0)+IF(AND(V711&gt;=40,V711&lt;75,W711&gt;=25,W711&lt;65),0.25,0)+IF(AND(V711&gt;=40,V711&lt;75,W711&gt;=65,W711&lt;100),0.17,0)+IF(AND(V711&gt;=40,V711&lt;75,W711&gt;=100),0.1,0)+IF(AND(V711&gt;=75,W711&lt;25),0.35,0)+IF(AND(V711&gt;=75,W711&gt;=25,W711&lt;60),0.25,0)+IF(AND(V711&gt;=75,W711&gt;=60,W711&lt;95),0.17,0)+IF(AND(V711&gt;=75,W711&gt;=95),0.1,0),
IF(AF711="DoEVba",IF(AND(V711&lt;20,W711&lt;105),0.2,0)+IF(AND(V711&lt;20,W711&gt;=105),0.15,0)+IF(AND(V711&gt;=20,V711&lt;40,W711&lt;95),0.2,0)+IF(AND(V711&gt;=20,V711&lt;40,W711&gt;=95,W711&lt;150),0.15,0)+IF(AND(V711&gt;=20,V711&lt;40,W711&gt;=150),0.12,0)+IF(AND(V711&gt;=40,V711&lt;75,W711&lt;75),0.2,0)+IF(AND(V711&gt;=40,V711&lt;75,W711&gt;=75,W711&lt;120),0.15,0)+IF(AND(V711&gt;=40,V711&lt;75,W711&gt;=120),0.12,0)+IF(AND(V711&gt;=75,V711&lt;175,W711&lt;65),0.2,0)+IF(AND(V711&gt;=75,V711&lt;175,W711&gt;=65,W711&lt;110),0.15,0)+IF(AND(V711&gt;=75,V711&lt;175,W711&gt;=110),0.12,0)+IF(AND(V711&gt;=175,W711&lt;55),0.2,0)+IF(AND(V711&gt;=175,W711&gt;=55,W711&lt;95),0.15,0)+IF(AND(V711&gt;=175,W711&gt;=95),0.12,0),
IF(AF711="DoEVku",IF(AND(V711&lt;20,W711&lt;55),0.23,0)+IF(AND(V711&lt;20,W711&gt;=55,W711&lt;105),0.2,0)+IF(AND(V711&lt;20,W711&gt;=105),0.17,0)+IF(AND(V711&gt;=20,V711&lt;40,W711&lt;45),0.23,0)+IF(AND(V711&gt;=20,V711&lt;40,W711&gt;=45,W711&lt;95),0.2,0)+IF(AND(V711&gt;=20,V711&lt;40,W711&gt;=95,W711&lt;=150),0.17,0)+IF(AND(V711&gt;=20,V711&lt;40,W711&gt;=150),0.12,0)+IF(AND(V711&gt;=40,V711&lt;75,W711&lt;35),0.23,0)+IF(AND(V711&gt;=40,V711&lt;75,W711&gt;=35,W711&lt;75),0.2,0)+IF(AND(V711&gt;=40,V711&lt;75,W711&gt;=75,W711&lt;120),0.17,0)+IF(AND(V711&gt;=40,V711&lt;75,W711&gt;=120),0.12,0)+IF(AND(V711&gt;=75,V711&lt;175,W711&lt;35),0.23,0)+IF(AND(V711&gt;=75,V711&lt;=175,W711&gt;=35,W711&lt;65),0.2,0)+IF(AND(V711&gt;=75,V711&lt;=175,W711&gt;=65,W711&lt;110),0.17,0)+IF(AND(V711&gt;=75,V711&lt;=175,W711&gt;=110),0.12,0)+IF(AND(V711&gt;175,W711&lt;25),0.23,0)+IF(AND(V711&gt;175,W711&gt;=25,W711&lt;55),0.2,0)+IF(AND(V711&gt;175,W711&gt;=55,W711&lt;95),0.17,0)+IF(AND(V711&gt;175,W711&gt;=95),0.12,0),
IF(AF711="DoEVs1",IF(AND(V711&lt;20,W711&lt;55),0.3,0)+IF(AND(V711&lt;20,W711&gt;=55,W711&lt;105),0.23,0)+IF(AND(V711&lt;20,W711&gt;=105),0.17,0)+IF(AND(V711&gt;=20,V711&lt;40,W711&lt;45),0.3,0)+IF(AND(V711&gt;=20,V711&lt;40,W711&gt;=45,W711&lt;95),0.23,0)+IF(AND(V711&gt;=20,V711&lt;40,W711&gt;=95,W711&lt;=150),0.17,0)+IF(AND(V711&gt;=20,V711&lt;40,W711&gt;=150),0.12,0)+IF(AND(V711&gt;=40,V711&lt;75,W711&lt;35),0.3,0)+IF(AND(V711&gt;=40,V711&lt;75,W711&gt;=35,W711&lt;75),0.23,0)+IF(AND(V711&gt;=40,V711&lt;75,W711&gt;=75,W711&lt;120),0.17,0)+IF(AND(V711&gt;=40,V711&lt;75,W711&gt;=120),0.12,0)+IF(AND(V711&gt;=75,V711&lt;175,W711&lt;35),0.3,0)+IF(AND(V711&gt;=75,V711&lt;=175,W711&gt;=35,W711&lt;65),0.23,0)+IF(AND(V711&gt;=75,V711&lt;=175,W711&gt;=65,W711&lt;110),0.17,0)+IF(AND(V711&gt;=75,V711&lt;=175,W711&gt;=110),0.12,0)+IF(AND(V711&gt;175,W711&lt;25),0.3,0)+IF(AND(V711&gt;175,W711&gt;=25,W711&lt;55),0.23,0)+IF(AND(V711&gt;175,W711&gt;=55,W711&lt;95),0.17,0)+IF(AND(V711&gt;175,W711&gt;=95),0.12,0),
IF(AF711="DoEVsu",IF(AND(V711&lt;20,W711&lt;55),0.3,0)+IF(AND(V711&lt;20,W711&gt;=55,W711&lt;105),0.23,0)+IF(AND(V711&lt;20,W711&gt;=105),0.17,0)+IF(AND(V711&gt;=20,V711&lt;40,W711&lt;45),0.3,0)+IF(AND(V711&gt;=20,V711&lt;40,W711&gt;=45,W711&lt;95),0.23,0)+IF(AND(V711&gt;=20,V711&lt;40,W711&gt;=95,W711&lt;=250),0.17,0)+IF(AND(V711&gt;=20,V711&lt;40,W711&gt;=250),0.12,0)+IF(AND(V711&gt;=40,V711&lt;75,W711&lt;35),0.3,0)+IF(AND(V711&gt;=40,V711&lt;75,W711&gt;=35,W711&lt;75),0.23,0)+IF(AND(V711&gt;=40,V711&lt;75,W711&gt;=75,W711&lt;120),0.17,0)+IF(AND(V711&gt;=40,V711&lt;75,W711&gt;=120),0.12,0)+IF(AND(V711&gt;=75,V711&lt;175,W711&lt;35),0.3,0)+IF(AND(V711&gt;=75,V711&lt;=175,W711&gt;=35,W711&lt;65),0.23,0)+IF(AND(V711&gt;=75,V711&lt;=175,W711&gt;=65,W711&lt;110),0.17,0)+IF(AND(V711&gt;=75,V711&lt;=175,W711&gt;=110),0.12,0)+IF(AND(V711&gt;175,W711&lt;25),0.3,0)+IF(AND(V711&gt;175,W711&gt;=25,W711&lt;55),0.23,0)+IF(AND(V711&gt;175,W711&gt;=55,W711&lt;95),0.17,0)+IF(AND(V711&gt;175,W711&gt;=95),0.12,0),
IF(AF711="DoEVni",IF(AND(V711&lt;20,W711&lt;55),0.3,0)+IF(AND(V711&lt;20,W711&gt;=55,W711&lt;105),0.23,0)+IF(AND(V711&lt;20,W711&gt;=105),0.17,0)+IF(AND(V711&gt;=20,V711&lt;40,W711&lt;45),0.3,0)+IF(AND(V711&gt;=20,V711&lt;40,W711&gt;=45,W711&lt;95),0.23,0)+IF(AND(V711&gt;=20,V711&lt;40,W711&gt;=95,W711&lt;=200),0.17,0)+IF(AND(V711&gt;=20,V711&lt;40,W711&gt;=200),0.12,0)+IF(AND(V711&gt;=40,V711&lt;75,W711&lt;35),0.3,0)+IF(AND(V711&gt;=40,V711&lt;75,W711&gt;=35,W711&lt;75),0.23,0)+IF(AND(V711&gt;=40,V711&lt;75,W711&gt;=75,W711&lt;120),0.17,0)+IF(AND(V711&gt;=40,V711&lt;75,W711&gt;=120),0.12,0)+IF(AND(V711&gt;=75,V711&lt;175,W711&lt;35),0.3,0)+IF(AND(V711&gt;=75,V711&lt;=175,W711&gt;=35,W711&lt;65),0.23,0)+IF(AND(V711&gt;=75,V711&lt;=175,W711&gt;=65,W711&lt;110),0.17,0)+IF(AND(V711&gt;=75,V711&lt;=175,W711&gt;=110),0.12,0)+IF(AND(V711&gt;175,W711&lt;25),0.3,0)+IF(AND(V711&gt;175,W711&gt;=25,W711&lt;55),0.23,0)+IF(AND(V711&gt;175,W711&gt;=55,W711&lt;95),0.17,0)+IF(AND(V711&gt;175,W711&gt;=95),0.12,0),
IF(AF711="DoEVLo",IF(AND(V711&lt;20,W711&lt;55),0.25,0)+IF(AND(V711&lt;20,W711&gt;=55,W711&lt;105),0.2,0)+IF(AND(V711&lt;20,W711&gt;=105),0.15,0)+IF(AND(V711&gt;=20,V711&lt;40,W711&lt;45),0.25,0)+IF(AND(V711&gt;=20,V711&lt;40,W711&gt;=45,W711&lt;95),0.2,0)+IF(AND(V711&gt;=20,V711&lt;40,W711&gt;=95),0.15,0)+IF(AND(V711&gt;=40,V711&lt;75,W711&lt;35),0.25,0)+IF(AND(V711&gt;=40,V711&lt;75,W711&gt;=35,W711&lt;75),0.2,0)+IF(AND(V711&gt;=40,V711&lt;75,W711&gt;=75,W711&lt;120),0.15,0)+IF(AND(V711&gt;=40,V711&lt;75,W711&gt;=120),0.1,0)+IF(AND(V711&gt;=75,V711&lt;175,W711&lt;35),0.25,0)+IF(AND(V711&gt;=75,V711&lt;=175,W711&gt;=35,W711&lt;65),0.2,0)+IF(AND(V711&gt;=75,V711&lt;=175,W711&gt;=65,W711&lt;110),0.15,0)+IF(AND(V711&gt;=75,V711&lt;=175,W711&gt;=110),0.1,0)+IF(AND(V711&gt;175,W711&lt;25),0.25,0)+IF(AND(V711&gt;175,W711&gt;=25,W711&lt;55),0.2,0)+IF(AND(V711&gt;175,W711&gt;=55,W711&lt;95),0.15,0)+IF(AND(V711&gt;175,W711&gt;=95),0.1,0))))))))))))))))))</f>
        <v>0.19</v>
      </c>
      <c r="Y711" s="30">
        <f>IF(AG711="None",0,IF(AG711="Fix5",0.05, IF(AG711="Fix6.25",0.0625,IF(AG711="Fix3.75",0.0375,IF(AG711="Fix10",0.1,IF(AG711="Fix3",0.03,0))))))</f>
        <v>0</v>
      </c>
      <c r="Z711" s="35">
        <f>T711-AA711-AB711</f>
        <v>-38.879999999999995</v>
      </c>
      <c r="AA711" s="29">
        <f>IF(AD711="EUR",((T711-R711)*X711)*U711+(R711*X711),(T711*X711))</f>
        <v>-9.120000000000001</v>
      </c>
      <c r="AB711" s="36">
        <f>IF(AD711="EUR",((T711-R711)*Y711)*U711+(R711*Y711),(T711*Y711))</f>
        <v>0</v>
      </c>
      <c r="AC711" s="37" t="b">
        <v>1</v>
      </c>
      <c r="AD711" s="37" t="s">
        <v>38</v>
      </c>
      <c r="AE711" s="37" t="s">
        <v>38</v>
      </c>
      <c r="AF711" s="37" t="str">
        <f t="array" ref="AF711">INDEX('Deal Info'!D:D, MATCH(A711,'Deal Info'!A:A, 0))</f>
        <v>Fix19</v>
      </c>
      <c r="AG711" s="38" t="str">
        <f t="array" ref="AG711">INDEX('Deal Info'!G:G, MATCH(A711,'Deal Info'!A:A, 0))</f>
        <v>None</v>
      </c>
    </row>
    <row r="712" spans="1:33" ht="14.25" hidden="1" x14ac:dyDescent="0.2">
      <c r="A712" s="18" t="str">
        <f t="array" ref="A712">IF(G712='Room Info'!$B$1, INDEX('Room Info'!$A$2:$A2446, MATCH(B712,'Room Info'!$B$2:$B2446, 0)),IF(G712='Room Info'!$C$1, INDEX('Room Info'!$A$2:$A2446, MATCH(B712,'Room Info'!$C$2:$C2446, 0)),IF(G712='Room Info'!$D$1, INDEX('Room Info'!$A$2:$A2446, MATCH(B712,'Room Info'!$D$2:$D2446, 0)),IF(G712='Room Info'!$E$1, INDEX('Room Info'!$A$2:$A2446, MATCH(B712,'Room Info'!$E$2:$E2446, 0)),IF(G712='Room Info'!$F$1, INDEX('Room Info'!$A$2:$A2446, MATCH(B712,'Room Info'!$F$2:$F2446, 0)),IF(G712='Room Info'!$H$1, INDEX('Room Info'!$A$2:$A2446, MATCH(B712,'Room Info'!$H$2:$H2446, 0)),IF(G712='Room Info'!$G$1, INDEX('Room Info'!$A$2:$A2446, MATCH(B712,'Room Info'!$G$2:$G2446, 0)))))))))</f>
        <v>dimasik</v>
      </c>
      <c r="B712" s="45" t="s">
        <v>162</v>
      </c>
      <c r="C712" s="46">
        <v>44896</v>
      </c>
      <c r="D712" s="46">
        <v>44926</v>
      </c>
      <c r="E712" s="47">
        <v>44896</v>
      </c>
      <c r="F712" s="45" t="s">
        <v>41</v>
      </c>
      <c r="G712" s="54" t="s">
        <v>35</v>
      </c>
      <c r="H712" s="49" t="s">
        <v>148</v>
      </c>
      <c r="I712" s="49" t="s">
        <v>44</v>
      </c>
      <c r="J712" s="50">
        <v>250</v>
      </c>
      <c r="K712" s="51">
        <v>1</v>
      </c>
      <c r="L712" s="52">
        <v>-250</v>
      </c>
      <c r="M712" s="53">
        <v>9</v>
      </c>
      <c r="N712" s="28">
        <f>K712*J712</f>
        <v>250</v>
      </c>
      <c r="O712" s="54">
        <v>213</v>
      </c>
      <c r="P712" s="29">
        <v>213</v>
      </c>
      <c r="Q712" s="55"/>
      <c r="R712" s="31">
        <f>M712+Q712</f>
        <v>9</v>
      </c>
      <c r="S712" s="66"/>
      <c r="T712" s="32">
        <f>R712+S712+IF(F712="Without EV deal",L712,0)</f>
        <v>-241</v>
      </c>
      <c r="U712" s="57">
        <v>1</v>
      </c>
      <c r="V712" s="58"/>
      <c r="W712" s="58"/>
      <c r="X712" s="30">
        <f>IF(AF712="DoEV",IF(AND(V712&lt;20,W712&lt;55),0.3,0)+IF(AND(V712&lt;20,W712&gt;=55,W712&lt;105),0.23,0)+IF(AND(V712&lt;20,W712&gt;=105),0.17,0)+IF(AND(V712&gt;=20,V712&lt;40,W712&lt;45),0.3,0)+IF(AND(V712&gt;=20,V712&lt;40,W712&gt;=45,W712&lt;95),0.23,0)+IF(AND(V712&gt;=20,V712&lt;40,W712&gt;=95),0.17,0)+IF(AND(V712&gt;=40,V712&lt;75,W712&lt;35),0.3,0)+IF(AND(V712&gt;=40,V712&lt;75,W712&gt;=35,W712&lt;75),0.23,0)+IF(AND(V712&gt;=40,V712&lt;75,W712&gt;=75,W712&lt;120),0.17,0)+IF(AND(V712&gt;=40,V712&lt;75,W712&gt;=120),0.12,0)+IF(AND(V712&gt;=75,V712&lt;175,W712&lt;35),0.3,0)+IF(AND(V712&gt;=75,V712&lt;=175,W712&gt;=35,W712&lt;65),0.23,0)+IF(AND(V712&gt;=75,V712&lt;=175,W712&gt;=65,W712&lt;110),0.17,0)+IF(AND(V712&gt;=75,V712&lt;=175,W712&gt;=110),0.12,0)+IF(AND(V712&gt;175,W712&lt;25),0.3,0)+IF(AND(V712&gt;175,W712&gt;=25,W712&lt;55),0.23,0)+IF(AND(V712&gt;175,W712&gt;=55,W712&lt;95),0.17,0)+IF(AND(V712&gt;175,W712&gt;=95),0.12,0),
IF(AF712="Fix15",0.15,
IF(AF712="Fix18.75",0.1875,
IF(AF712="Fix11.25",0.1125,
IF(AF712="Fix10",0.1,
IF(AF712="Fix9",0.09,
IF(AF712="Fix19",0.19,
IF(AF712="DoEV2017",IF(AND(W712&lt;74),0.2,0)+IF(AND(W712&gt;=74),0.17,0),
IF(AF712="SF",IF(AND(V712&lt;20,W712&lt;89),0.3,0)+IF(AND(V712&lt;20,W712&gt;=89),0.25,0)+IF(AND(V712&gt;=20,V712&lt;40,W712&lt;74),0.3,0)+IF(AND(V712&gt;=20,V712&lt;40,W712&gt;=75),0.22,0)+IF(AND(V712&gt;=40,V712&lt;75,W712&lt;75),0.26,0)+IF(AND(V712&gt;=40,V712&lt;75,W712&gt;=75),0.22,0)+IF(V712&gt;=75,0.22,0),
IF(AF712="DoEVold",IF(AND(V712&lt;40,W712&lt;35),0.35,0)+IF(AND(V712&lt;40,W712&gt;=35,W712&lt;75),0.25,0)+IF(AND(V712&lt;40,W712&gt;=75),0.17,0)+IF(AND(V712&gt;=40,V712&lt;75,W712&lt;25),0.35,0)+IF(AND(V712&gt;=40,V712&lt;75,W712&gt;=25,W712&lt;65),0.25,0)+IF(AND(V712&gt;=40,V712&lt;75,W712&gt;=65,W712&lt;100),0.17,0)+IF(AND(V712&gt;=40,V712&lt;75,W712&gt;=100),0.1,0)+IF(AND(V712&gt;=75,W712&lt;25),0.35,0)+IF(AND(V712&gt;=75,W712&gt;=25,W712&lt;60),0.25,0)+IF(AND(V712&gt;=75,W712&gt;=60,W712&lt;95),0.17,0)+IF(AND(V712&gt;=75,W712&gt;=95),0.1,0),
IF(AF712="DoEVold15",IF(AND(V712&lt;=40,W712&lt;35),0.35,0)+IF(AND(V712&lt;=40,W712&gt;=35,W712&lt;75),0.25,0)+IF(AND(V712&lt;=40,W712&gt;=75,W712&lt;120),0.17,0)+IF(AND(V712&lt;=40,W712&gt;=120),0.15,0)+IF(AND(V712&gt;40,V712&lt;75,W712&lt;25),0.35,0)+IF(AND(V712&gt;=40,V712&lt;75,W712&gt;=25,W712&lt;65),0.25,0)+IF(AND(V712&gt;=40,V712&lt;75,W712&gt;=65,W712&lt;100),0.17,0)+IF(AND(V712&gt;=40,V712&lt;75,W712&gt;=100),0.1,0)+IF(AND(V712&gt;=75,W712&lt;25),0.35,0)+IF(AND(V712&gt;=75,W712&gt;=25,W712&lt;60),0.25,0)+IF(AND(V712&gt;=75,W712&gt;=60,W712&lt;95),0.17,0)+IF(AND(V712&gt;=75,W712&gt;=95),0.1,0),
IF(AF712="DoEVba",IF(AND(V712&lt;20,W712&lt;105),0.2,0)+IF(AND(V712&lt;20,W712&gt;=105),0.15,0)+IF(AND(V712&gt;=20,V712&lt;40,W712&lt;95),0.2,0)+IF(AND(V712&gt;=20,V712&lt;40,W712&gt;=95,W712&lt;150),0.15,0)+IF(AND(V712&gt;=20,V712&lt;40,W712&gt;=150),0.12,0)+IF(AND(V712&gt;=40,V712&lt;75,W712&lt;75),0.2,0)+IF(AND(V712&gt;=40,V712&lt;75,W712&gt;=75,W712&lt;120),0.15,0)+IF(AND(V712&gt;=40,V712&lt;75,W712&gt;=120),0.12,0)+IF(AND(V712&gt;=75,V712&lt;175,W712&lt;65),0.2,0)+IF(AND(V712&gt;=75,V712&lt;175,W712&gt;=65,W712&lt;110),0.15,0)+IF(AND(V712&gt;=75,V712&lt;175,W712&gt;=110),0.12,0)+IF(AND(V712&gt;=175,W712&lt;55),0.2,0)+IF(AND(V712&gt;=175,W712&gt;=55,W712&lt;95),0.15,0)+IF(AND(V712&gt;=175,W712&gt;=95),0.12,0),
IF(AF712="DoEVku",IF(AND(V712&lt;20,W712&lt;55),0.23,0)+IF(AND(V712&lt;20,W712&gt;=55,W712&lt;105),0.2,0)+IF(AND(V712&lt;20,W712&gt;=105),0.17,0)+IF(AND(V712&gt;=20,V712&lt;40,W712&lt;45),0.23,0)+IF(AND(V712&gt;=20,V712&lt;40,W712&gt;=45,W712&lt;95),0.2,0)+IF(AND(V712&gt;=20,V712&lt;40,W712&gt;=95,W712&lt;=150),0.17,0)+IF(AND(V712&gt;=20,V712&lt;40,W712&gt;=150),0.12,0)+IF(AND(V712&gt;=40,V712&lt;75,W712&lt;35),0.23,0)+IF(AND(V712&gt;=40,V712&lt;75,W712&gt;=35,W712&lt;75),0.2,0)+IF(AND(V712&gt;=40,V712&lt;75,W712&gt;=75,W712&lt;120),0.17,0)+IF(AND(V712&gt;=40,V712&lt;75,W712&gt;=120),0.12,0)+IF(AND(V712&gt;=75,V712&lt;175,W712&lt;35),0.23,0)+IF(AND(V712&gt;=75,V712&lt;=175,W712&gt;=35,W712&lt;65),0.2,0)+IF(AND(V712&gt;=75,V712&lt;=175,W712&gt;=65,W712&lt;110),0.17,0)+IF(AND(V712&gt;=75,V712&lt;=175,W712&gt;=110),0.12,0)+IF(AND(V712&gt;175,W712&lt;25),0.23,0)+IF(AND(V712&gt;175,W712&gt;=25,W712&lt;55),0.2,0)+IF(AND(V712&gt;175,W712&gt;=55,W712&lt;95),0.17,0)+IF(AND(V712&gt;175,W712&gt;=95),0.12,0),
IF(AF712="DoEVs1",IF(AND(V712&lt;20,W712&lt;55),0.3,0)+IF(AND(V712&lt;20,W712&gt;=55,W712&lt;105),0.23,0)+IF(AND(V712&lt;20,W712&gt;=105),0.17,0)+IF(AND(V712&gt;=20,V712&lt;40,W712&lt;45),0.3,0)+IF(AND(V712&gt;=20,V712&lt;40,W712&gt;=45,W712&lt;95),0.23,0)+IF(AND(V712&gt;=20,V712&lt;40,W712&gt;=95,W712&lt;=150),0.17,0)+IF(AND(V712&gt;=20,V712&lt;40,W712&gt;=150),0.12,0)+IF(AND(V712&gt;=40,V712&lt;75,W712&lt;35),0.3,0)+IF(AND(V712&gt;=40,V712&lt;75,W712&gt;=35,W712&lt;75),0.23,0)+IF(AND(V712&gt;=40,V712&lt;75,W712&gt;=75,W712&lt;120),0.17,0)+IF(AND(V712&gt;=40,V712&lt;75,W712&gt;=120),0.12,0)+IF(AND(V712&gt;=75,V712&lt;175,W712&lt;35),0.3,0)+IF(AND(V712&gt;=75,V712&lt;=175,W712&gt;=35,W712&lt;65),0.23,0)+IF(AND(V712&gt;=75,V712&lt;=175,W712&gt;=65,W712&lt;110),0.17,0)+IF(AND(V712&gt;=75,V712&lt;=175,W712&gt;=110),0.12,0)+IF(AND(V712&gt;175,W712&lt;25),0.3,0)+IF(AND(V712&gt;175,W712&gt;=25,W712&lt;55),0.23,0)+IF(AND(V712&gt;175,W712&gt;=55,W712&lt;95),0.17,0)+IF(AND(V712&gt;175,W712&gt;=95),0.12,0),
IF(AF712="DoEVsu",IF(AND(V712&lt;20,W712&lt;55),0.3,0)+IF(AND(V712&lt;20,W712&gt;=55,W712&lt;105),0.23,0)+IF(AND(V712&lt;20,W712&gt;=105),0.17,0)+IF(AND(V712&gt;=20,V712&lt;40,W712&lt;45),0.3,0)+IF(AND(V712&gt;=20,V712&lt;40,W712&gt;=45,W712&lt;95),0.23,0)+IF(AND(V712&gt;=20,V712&lt;40,W712&gt;=95,W712&lt;=250),0.17,0)+IF(AND(V712&gt;=20,V712&lt;40,W712&gt;=250),0.12,0)+IF(AND(V712&gt;=40,V712&lt;75,W712&lt;35),0.3,0)+IF(AND(V712&gt;=40,V712&lt;75,W712&gt;=35,W712&lt;75),0.23,0)+IF(AND(V712&gt;=40,V712&lt;75,W712&gt;=75,W712&lt;120),0.17,0)+IF(AND(V712&gt;=40,V712&lt;75,W712&gt;=120),0.12,0)+IF(AND(V712&gt;=75,V712&lt;175,W712&lt;35),0.3,0)+IF(AND(V712&gt;=75,V712&lt;=175,W712&gt;=35,W712&lt;65),0.23,0)+IF(AND(V712&gt;=75,V712&lt;=175,W712&gt;=65,W712&lt;110),0.17,0)+IF(AND(V712&gt;=75,V712&lt;=175,W712&gt;=110),0.12,0)+IF(AND(V712&gt;175,W712&lt;25),0.3,0)+IF(AND(V712&gt;175,W712&gt;=25,W712&lt;55),0.23,0)+IF(AND(V712&gt;175,W712&gt;=55,W712&lt;95),0.17,0)+IF(AND(V712&gt;175,W712&gt;=95),0.12,0),
IF(AF712="DoEVni",IF(AND(V712&lt;20,W712&lt;55),0.3,0)+IF(AND(V712&lt;20,W712&gt;=55,W712&lt;105),0.23,0)+IF(AND(V712&lt;20,W712&gt;=105),0.17,0)+IF(AND(V712&gt;=20,V712&lt;40,W712&lt;45),0.3,0)+IF(AND(V712&gt;=20,V712&lt;40,W712&gt;=45,W712&lt;95),0.23,0)+IF(AND(V712&gt;=20,V712&lt;40,W712&gt;=95,W712&lt;=200),0.17,0)+IF(AND(V712&gt;=20,V712&lt;40,W712&gt;=200),0.12,0)+IF(AND(V712&gt;=40,V712&lt;75,W712&lt;35),0.3,0)+IF(AND(V712&gt;=40,V712&lt;75,W712&gt;=35,W712&lt;75),0.23,0)+IF(AND(V712&gt;=40,V712&lt;75,W712&gt;=75,W712&lt;120),0.17,0)+IF(AND(V712&gt;=40,V712&lt;75,W712&gt;=120),0.12,0)+IF(AND(V712&gt;=75,V712&lt;175,W712&lt;35),0.3,0)+IF(AND(V712&gt;=75,V712&lt;=175,W712&gt;=35,W712&lt;65),0.23,0)+IF(AND(V712&gt;=75,V712&lt;=175,W712&gt;=65,W712&lt;110),0.17,0)+IF(AND(V712&gt;=75,V712&lt;=175,W712&gt;=110),0.12,0)+IF(AND(V712&gt;175,W712&lt;25),0.3,0)+IF(AND(V712&gt;175,W712&gt;=25,W712&lt;55),0.23,0)+IF(AND(V712&gt;175,W712&gt;=55,W712&lt;95),0.17,0)+IF(AND(V712&gt;175,W712&gt;=95),0.12,0),
IF(AF712="DoEVLo",IF(AND(V712&lt;20,W712&lt;55),0.25,0)+IF(AND(V712&lt;20,W712&gt;=55,W712&lt;105),0.2,0)+IF(AND(V712&lt;20,W712&gt;=105),0.15,0)+IF(AND(V712&gt;=20,V712&lt;40,W712&lt;45),0.25,0)+IF(AND(V712&gt;=20,V712&lt;40,W712&gt;=45,W712&lt;95),0.2,0)+IF(AND(V712&gt;=20,V712&lt;40,W712&gt;=95),0.15,0)+IF(AND(V712&gt;=40,V712&lt;75,W712&lt;35),0.25,0)+IF(AND(V712&gt;=40,V712&lt;75,W712&gt;=35,W712&lt;75),0.2,0)+IF(AND(V712&gt;=40,V712&lt;75,W712&gt;=75,W712&lt;120),0.15,0)+IF(AND(V712&gt;=40,V712&lt;75,W712&gt;=120),0.1,0)+IF(AND(V712&gt;=75,V712&lt;175,W712&lt;35),0.25,0)+IF(AND(V712&gt;=75,V712&lt;=175,W712&gt;=35,W712&lt;65),0.2,0)+IF(AND(V712&gt;=75,V712&lt;=175,W712&gt;=65,W712&lt;110),0.15,0)+IF(AND(V712&gt;=75,V712&lt;=175,W712&gt;=110),0.1,0)+IF(AND(V712&gt;175,W712&lt;25),0.25,0)+IF(AND(V712&gt;175,W712&gt;=25,W712&lt;55),0.2,0)+IF(AND(V712&gt;175,W712&gt;=55,W712&lt;95),0.15,0)+IF(AND(V712&gt;175,W712&gt;=95),0.1,0))))))))))))))))))</f>
        <v>0.19</v>
      </c>
      <c r="Y712" s="30">
        <f>IF(AG712="None",0,IF(AG712="Fix5",0.05, IF(AG712="Fix6.25",0.0625,IF(AG712="Fix3.75",0.0375,IF(AG712="Fix10",0.1,IF(AG712="Fix3",0.03,0))))))</f>
        <v>0</v>
      </c>
      <c r="Z712" s="35">
        <f>T712-AA712-AB712</f>
        <v>-195.21</v>
      </c>
      <c r="AA712" s="29">
        <f>IF(AD712="EUR",((T712-R712)*X712)*U712+(R712*X712),(T712*X712))</f>
        <v>-45.79</v>
      </c>
      <c r="AB712" s="36">
        <f>IF(AD712="EUR",((T712-R712)*Y712)*U712+(R712*Y712),(T712*Y712))</f>
        <v>0</v>
      </c>
      <c r="AC712" s="37" t="b">
        <v>1</v>
      </c>
      <c r="AD712" s="37" t="s">
        <v>38</v>
      </c>
      <c r="AE712" s="37" t="s">
        <v>38</v>
      </c>
      <c r="AF712" s="37" t="str">
        <f t="array" ref="AF712">INDEX('Deal Info'!D:D, MATCH(A712,'Deal Info'!A:A, 0))</f>
        <v>Fix19</v>
      </c>
      <c r="AG712" s="38" t="str">
        <f t="array" ref="AG712">INDEX('Deal Info'!G:G, MATCH(A712,'Deal Info'!A:A, 0))</f>
        <v>None</v>
      </c>
    </row>
    <row r="713" spans="1:33" ht="14.25" hidden="1" x14ac:dyDescent="0.2">
      <c r="A713" s="18" t="str">
        <f t="array" ref="A713">IF(G713='Room Info'!$B$1, INDEX('Room Info'!$A$2:$A2446, MATCH(B713,'Room Info'!$B$2:$B2446, 0)),IF(G713='Room Info'!$C$1, INDEX('Room Info'!$A$2:$A2446, MATCH(B713,'Room Info'!$C$2:$C2446, 0)),IF(G713='Room Info'!$D$1, INDEX('Room Info'!$A$2:$A2446, MATCH(B713,'Room Info'!$D$2:$D2446, 0)),IF(G713='Room Info'!$E$1, INDEX('Room Info'!$A$2:$A2446, MATCH(B713,'Room Info'!$E$2:$E2446, 0)),IF(G713='Room Info'!$F$1, INDEX('Room Info'!$A$2:$A2446, MATCH(B713,'Room Info'!$F$2:$F2446, 0)),IF(G713='Room Info'!$H$1, INDEX('Room Info'!$A$2:$A2446, MATCH(B713,'Room Info'!$H$2:$H2446, 0)),IF(G713='Room Info'!$G$1, INDEX('Room Info'!$A$2:$A2446, MATCH(B713,'Room Info'!$G$2:$G2446, 0)))))))))</f>
        <v>dimasik</v>
      </c>
      <c r="B713" s="45" t="s">
        <v>162</v>
      </c>
      <c r="C713" s="46">
        <v>44896</v>
      </c>
      <c r="D713" s="46">
        <v>44926</v>
      </c>
      <c r="E713" s="47">
        <v>44896</v>
      </c>
      <c r="F713" s="45" t="s">
        <v>41</v>
      </c>
      <c r="G713" s="54" t="s">
        <v>35</v>
      </c>
      <c r="H713" s="49" t="s">
        <v>87</v>
      </c>
      <c r="I713" s="49" t="s">
        <v>44</v>
      </c>
      <c r="J713" s="50">
        <v>25</v>
      </c>
      <c r="K713" s="51">
        <v>7</v>
      </c>
      <c r="L713" s="52">
        <v>-25</v>
      </c>
      <c r="M713" s="53">
        <v>8</v>
      </c>
      <c r="N713" s="28">
        <f>K713*J713</f>
        <v>175</v>
      </c>
      <c r="O713" s="54">
        <v>5</v>
      </c>
      <c r="P713" s="29">
        <v>0.71428571429999999</v>
      </c>
      <c r="Q713" s="55"/>
      <c r="R713" s="31">
        <f>M713+Q713</f>
        <v>8</v>
      </c>
      <c r="S713" s="66"/>
      <c r="T713" s="32">
        <f>R713+S713+IF(F713="Without EV deal",L713,0)</f>
        <v>-17</v>
      </c>
      <c r="U713" s="57">
        <v>1</v>
      </c>
      <c r="V713" s="58"/>
      <c r="W713" s="58"/>
      <c r="X713" s="30">
        <f>IF(AF713="DoEV",IF(AND(V713&lt;20,W713&lt;55),0.3,0)+IF(AND(V713&lt;20,W713&gt;=55,W713&lt;105),0.23,0)+IF(AND(V713&lt;20,W713&gt;=105),0.17,0)+IF(AND(V713&gt;=20,V713&lt;40,W713&lt;45),0.3,0)+IF(AND(V713&gt;=20,V713&lt;40,W713&gt;=45,W713&lt;95),0.23,0)+IF(AND(V713&gt;=20,V713&lt;40,W713&gt;=95),0.17,0)+IF(AND(V713&gt;=40,V713&lt;75,W713&lt;35),0.3,0)+IF(AND(V713&gt;=40,V713&lt;75,W713&gt;=35,W713&lt;75),0.23,0)+IF(AND(V713&gt;=40,V713&lt;75,W713&gt;=75,W713&lt;120),0.17,0)+IF(AND(V713&gt;=40,V713&lt;75,W713&gt;=120),0.12,0)+IF(AND(V713&gt;=75,V713&lt;175,W713&lt;35),0.3,0)+IF(AND(V713&gt;=75,V713&lt;=175,W713&gt;=35,W713&lt;65),0.23,0)+IF(AND(V713&gt;=75,V713&lt;=175,W713&gt;=65,W713&lt;110),0.17,0)+IF(AND(V713&gt;=75,V713&lt;=175,W713&gt;=110),0.12,0)+IF(AND(V713&gt;175,W713&lt;25),0.3,0)+IF(AND(V713&gt;175,W713&gt;=25,W713&lt;55),0.23,0)+IF(AND(V713&gt;175,W713&gt;=55,W713&lt;95),0.17,0)+IF(AND(V713&gt;175,W713&gt;=95),0.12,0),
IF(AF713="Fix15",0.15,
IF(AF713="Fix18.75",0.1875,
IF(AF713="Fix11.25",0.1125,
IF(AF713="Fix10",0.1,
IF(AF713="Fix9",0.09,
IF(AF713="Fix19",0.19,
IF(AF713="DoEV2017",IF(AND(W713&lt;74),0.2,0)+IF(AND(W713&gt;=74),0.17,0),
IF(AF713="SF",IF(AND(V713&lt;20,W713&lt;89),0.3,0)+IF(AND(V713&lt;20,W713&gt;=89),0.25,0)+IF(AND(V713&gt;=20,V713&lt;40,W713&lt;74),0.3,0)+IF(AND(V713&gt;=20,V713&lt;40,W713&gt;=75),0.22,0)+IF(AND(V713&gt;=40,V713&lt;75,W713&lt;75),0.26,0)+IF(AND(V713&gt;=40,V713&lt;75,W713&gt;=75),0.22,0)+IF(V713&gt;=75,0.22,0),
IF(AF713="DoEVold",IF(AND(V713&lt;40,W713&lt;35),0.35,0)+IF(AND(V713&lt;40,W713&gt;=35,W713&lt;75),0.25,0)+IF(AND(V713&lt;40,W713&gt;=75),0.17,0)+IF(AND(V713&gt;=40,V713&lt;75,W713&lt;25),0.35,0)+IF(AND(V713&gt;=40,V713&lt;75,W713&gt;=25,W713&lt;65),0.25,0)+IF(AND(V713&gt;=40,V713&lt;75,W713&gt;=65,W713&lt;100),0.17,0)+IF(AND(V713&gt;=40,V713&lt;75,W713&gt;=100),0.1,0)+IF(AND(V713&gt;=75,W713&lt;25),0.35,0)+IF(AND(V713&gt;=75,W713&gt;=25,W713&lt;60),0.25,0)+IF(AND(V713&gt;=75,W713&gt;=60,W713&lt;95),0.17,0)+IF(AND(V713&gt;=75,W713&gt;=95),0.1,0),
IF(AF713="DoEVold15",IF(AND(V713&lt;=40,W713&lt;35),0.35,0)+IF(AND(V713&lt;=40,W713&gt;=35,W713&lt;75),0.25,0)+IF(AND(V713&lt;=40,W713&gt;=75,W713&lt;120),0.17,0)+IF(AND(V713&lt;=40,W713&gt;=120),0.15,0)+IF(AND(V713&gt;40,V713&lt;75,W713&lt;25),0.35,0)+IF(AND(V713&gt;=40,V713&lt;75,W713&gt;=25,W713&lt;65),0.25,0)+IF(AND(V713&gt;=40,V713&lt;75,W713&gt;=65,W713&lt;100),0.17,0)+IF(AND(V713&gt;=40,V713&lt;75,W713&gt;=100),0.1,0)+IF(AND(V713&gt;=75,W713&lt;25),0.35,0)+IF(AND(V713&gt;=75,W713&gt;=25,W713&lt;60),0.25,0)+IF(AND(V713&gt;=75,W713&gt;=60,W713&lt;95),0.17,0)+IF(AND(V713&gt;=75,W713&gt;=95),0.1,0),
IF(AF713="DoEVba",IF(AND(V713&lt;20,W713&lt;105),0.2,0)+IF(AND(V713&lt;20,W713&gt;=105),0.15,0)+IF(AND(V713&gt;=20,V713&lt;40,W713&lt;95),0.2,0)+IF(AND(V713&gt;=20,V713&lt;40,W713&gt;=95,W713&lt;150),0.15,0)+IF(AND(V713&gt;=20,V713&lt;40,W713&gt;=150),0.12,0)+IF(AND(V713&gt;=40,V713&lt;75,W713&lt;75),0.2,0)+IF(AND(V713&gt;=40,V713&lt;75,W713&gt;=75,W713&lt;120),0.15,0)+IF(AND(V713&gt;=40,V713&lt;75,W713&gt;=120),0.12,0)+IF(AND(V713&gt;=75,V713&lt;175,W713&lt;65),0.2,0)+IF(AND(V713&gt;=75,V713&lt;175,W713&gt;=65,W713&lt;110),0.15,0)+IF(AND(V713&gt;=75,V713&lt;175,W713&gt;=110),0.12,0)+IF(AND(V713&gt;=175,W713&lt;55),0.2,0)+IF(AND(V713&gt;=175,W713&gt;=55,W713&lt;95),0.15,0)+IF(AND(V713&gt;=175,W713&gt;=95),0.12,0),
IF(AF713="DoEVku",IF(AND(V713&lt;20,W713&lt;55),0.23,0)+IF(AND(V713&lt;20,W713&gt;=55,W713&lt;105),0.2,0)+IF(AND(V713&lt;20,W713&gt;=105),0.17,0)+IF(AND(V713&gt;=20,V713&lt;40,W713&lt;45),0.23,0)+IF(AND(V713&gt;=20,V713&lt;40,W713&gt;=45,W713&lt;95),0.2,0)+IF(AND(V713&gt;=20,V713&lt;40,W713&gt;=95,W713&lt;=150),0.17,0)+IF(AND(V713&gt;=20,V713&lt;40,W713&gt;=150),0.12,0)+IF(AND(V713&gt;=40,V713&lt;75,W713&lt;35),0.23,0)+IF(AND(V713&gt;=40,V713&lt;75,W713&gt;=35,W713&lt;75),0.2,0)+IF(AND(V713&gt;=40,V713&lt;75,W713&gt;=75,W713&lt;120),0.17,0)+IF(AND(V713&gt;=40,V713&lt;75,W713&gt;=120),0.12,0)+IF(AND(V713&gt;=75,V713&lt;175,W713&lt;35),0.23,0)+IF(AND(V713&gt;=75,V713&lt;=175,W713&gt;=35,W713&lt;65),0.2,0)+IF(AND(V713&gt;=75,V713&lt;=175,W713&gt;=65,W713&lt;110),0.17,0)+IF(AND(V713&gt;=75,V713&lt;=175,W713&gt;=110),0.12,0)+IF(AND(V713&gt;175,W713&lt;25),0.23,0)+IF(AND(V713&gt;175,W713&gt;=25,W713&lt;55),0.2,0)+IF(AND(V713&gt;175,W713&gt;=55,W713&lt;95),0.17,0)+IF(AND(V713&gt;175,W713&gt;=95),0.12,0),
IF(AF713="DoEVs1",IF(AND(V713&lt;20,W713&lt;55),0.3,0)+IF(AND(V713&lt;20,W713&gt;=55,W713&lt;105),0.23,0)+IF(AND(V713&lt;20,W713&gt;=105),0.17,0)+IF(AND(V713&gt;=20,V713&lt;40,W713&lt;45),0.3,0)+IF(AND(V713&gt;=20,V713&lt;40,W713&gt;=45,W713&lt;95),0.23,0)+IF(AND(V713&gt;=20,V713&lt;40,W713&gt;=95,W713&lt;=150),0.17,0)+IF(AND(V713&gt;=20,V713&lt;40,W713&gt;=150),0.12,0)+IF(AND(V713&gt;=40,V713&lt;75,W713&lt;35),0.3,0)+IF(AND(V713&gt;=40,V713&lt;75,W713&gt;=35,W713&lt;75),0.23,0)+IF(AND(V713&gt;=40,V713&lt;75,W713&gt;=75,W713&lt;120),0.17,0)+IF(AND(V713&gt;=40,V713&lt;75,W713&gt;=120),0.12,0)+IF(AND(V713&gt;=75,V713&lt;175,W713&lt;35),0.3,0)+IF(AND(V713&gt;=75,V713&lt;=175,W713&gt;=35,W713&lt;65),0.23,0)+IF(AND(V713&gt;=75,V713&lt;=175,W713&gt;=65,W713&lt;110),0.17,0)+IF(AND(V713&gt;=75,V713&lt;=175,W713&gt;=110),0.12,0)+IF(AND(V713&gt;175,W713&lt;25),0.3,0)+IF(AND(V713&gt;175,W713&gt;=25,W713&lt;55),0.23,0)+IF(AND(V713&gt;175,W713&gt;=55,W713&lt;95),0.17,0)+IF(AND(V713&gt;175,W713&gt;=95),0.12,0),
IF(AF713="DoEVsu",IF(AND(V713&lt;20,W713&lt;55),0.3,0)+IF(AND(V713&lt;20,W713&gt;=55,W713&lt;105),0.23,0)+IF(AND(V713&lt;20,W713&gt;=105),0.17,0)+IF(AND(V713&gt;=20,V713&lt;40,W713&lt;45),0.3,0)+IF(AND(V713&gt;=20,V713&lt;40,W713&gt;=45,W713&lt;95),0.23,0)+IF(AND(V713&gt;=20,V713&lt;40,W713&gt;=95,W713&lt;=250),0.17,0)+IF(AND(V713&gt;=20,V713&lt;40,W713&gt;=250),0.12,0)+IF(AND(V713&gt;=40,V713&lt;75,W713&lt;35),0.3,0)+IF(AND(V713&gt;=40,V713&lt;75,W713&gt;=35,W713&lt;75),0.23,0)+IF(AND(V713&gt;=40,V713&lt;75,W713&gt;=75,W713&lt;120),0.17,0)+IF(AND(V713&gt;=40,V713&lt;75,W713&gt;=120),0.12,0)+IF(AND(V713&gt;=75,V713&lt;175,W713&lt;35),0.3,0)+IF(AND(V713&gt;=75,V713&lt;=175,W713&gt;=35,W713&lt;65),0.23,0)+IF(AND(V713&gt;=75,V713&lt;=175,W713&gt;=65,W713&lt;110),0.17,0)+IF(AND(V713&gt;=75,V713&lt;=175,W713&gt;=110),0.12,0)+IF(AND(V713&gt;175,W713&lt;25),0.3,0)+IF(AND(V713&gt;175,W713&gt;=25,W713&lt;55),0.23,0)+IF(AND(V713&gt;175,W713&gt;=55,W713&lt;95),0.17,0)+IF(AND(V713&gt;175,W713&gt;=95),0.12,0),
IF(AF713="DoEVni",IF(AND(V713&lt;20,W713&lt;55),0.3,0)+IF(AND(V713&lt;20,W713&gt;=55,W713&lt;105),0.23,0)+IF(AND(V713&lt;20,W713&gt;=105),0.17,0)+IF(AND(V713&gt;=20,V713&lt;40,W713&lt;45),0.3,0)+IF(AND(V713&gt;=20,V713&lt;40,W713&gt;=45,W713&lt;95),0.23,0)+IF(AND(V713&gt;=20,V713&lt;40,W713&gt;=95,W713&lt;=200),0.17,0)+IF(AND(V713&gt;=20,V713&lt;40,W713&gt;=200),0.12,0)+IF(AND(V713&gt;=40,V713&lt;75,W713&lt;35),0.3,0)+IF(AND(V713&gt;=40,V713&lt;75,W713&gt;=35,W713&lt;75),0.23,0)+IF(AND(V713&gt;=40,V713&lt;75,W713&gt;=75,W713&lt;120),0.17,0)+IF(AND(V713&gt;=40,V713&lt;75,W713&gt;=120),0.12,0)+IF(AND(V713&gt;=75,V713&lt;175,W713&lt;35),0.3,0)+IF(AND(V713&gt;=75,V713&lt;=175,W713&gt;=35,W713&lt;65),0.23,0)+IF(AND(V713&gt;=75,V713&lt;=175,W713&gt;=65,W713&lt;110),0.17,0)+IF(AND(V713&gt;=75,V713&lt;=175,W713&gt;=110),0.12,0)+IF(AND(V713&gt;175,W713&lt;25),0.3,0)+IF(AND(V713&gt;175,W713&gt;=25,W713&lt;55),0.23,0)+IF(AND(V713&gt;175,W713&gt;=55,W713&lt;95),0.17,0)+IF(AND(V713&gt;175,W713&gt;=95),0.12,0),
IF(AF713="DoEVLo",IF(AND(V713&lt;20,W713&lt;55),0.25,0)+IF(AND(V713&lt;20,W713&gt;=55,W713&lt;105),0.2,0)+IF(AND(V713&lt;20,W713&gt;=105),0.15,0)+IF(AND(V713&gt;=20,V713&lt;40,W713&lt;45),0.25,0)+IF(AND(V713&gt;=20,V713&lt;40,W713&gt;=45,W713&lt;95),0.2,0)+IF(AND(V713&gt;=20,V713&lt;40,W713&gt;=95),0.15,0)+IF(AND(V713&gt;=40,V713&lt;75,W713&lt;35),0.25,0)+IF(AND(V713&gt;=40,V713&lt;75,W713&gt;=35,W713&lt;75),0.2,0)+IF(AND(V713&gt;=40,V713&lt;75,W713&gt;=75,W713&lt;120),0.15,0)+IF(AND(V713&gt;=40,V713&lt;75,W713&gt;=120),0.1,0)+IF(AND(V713&gt;=75,V713&lt;175,W713&lt;35),0.25,0)+IF(AND(V713&gt;=75,V713&lt;=175,W713&gt;=35,W713&lt;65),0.2,0)+IF(AND(V713&gt;=75,V713&lt;=175,W713&gt;=65,W713&lt;110),0.15,0)+IF(AND(V713&gt;=75,V713&lt;=175,W713&gt;=110),0.1,0)+IF(AND(V713&gt;175,W713&lt;25),0.25,0)+IF(AND(V713&gt;175,W713&gt;=25,W713&lt;55),0.2,0)+IF(AND(V713&gt;175,W713&gt;=55,W713&lt;95),0.15,0)+IF(AND(V713&gt;175,W713&gt;=95),0.1,0))))))))))))))))))</f>
        <v>0.19</v>
      </c>
      <c r="Y713" s="30">
        <f>IF(AG713="None",0,IF(AG713="Fix5",0.05, IF(AG713="Fix6.25",0.0625,IF(AG713="Fix3.75",0.0375,IF(AG713="Fix10",0.1,IF(AG713="Fix3",0.03,0))))))</f>
        <v>0</v>
      </c>
      <c r="Z713" s="35">
        <f>T713-AA713-AB713</f>
        <v>-13.77</v>
      </c>
      <c r="AA713" s="29">
        <f>IF(AD713="EUR",((T713-R713)*X713)*U713+(R713*X713),(T713*X713))</f>
        <v>-3.23</v>
      </c>
      <c r="AB713" s="36">
        <f>IF(AD713="EUR",((T713-R713)*Y713)*U713+(R713*Y713),(T713*Y713))</f>
        <v>0</v>
      </c>
      <c r="AC713" s="37" t="b">
        <v>1</v>
      </c>
      <c r="AD713" s="37" t="s">
        <v>38</v>
      </c>
      <c r="AE713" s="37" t="s">
        <v>38</v>
      </c>
      <c r="AF713" s="37" t="str">
        <f t="array" ref="AF713">INDEX('Deal Info'!D:D, MATCH(A713,'Deal Info'!A:A, 0))</f>
        <v>Fix19</v>
      </c>
      <c r="AG713" s="38" t="str">
        <f t="array" ref="AG713">INDEX('Deal Info'!G:G, MATCH(A713,'Deal Info'!A:A, 0))</f>
        <v>None</v>
      </c>
    </row>
    <row r="714" spans="1:33" ht="14.25" hidden="1" x14ac:dyDescent="0.2">
      <c r="A714" s="18" t="str">
        <f t="array" ref="A714">IF(G714='Room Info'!$B$1, INDEX('Room Info'!$A$2:$A2446, MATCH(B714,'Room Info'!$B$2:$B2446, 0)),IF(G714='Room Info'!$C$1, INDEX('Room Info'!$A$2:$A2446, MATCH(B714,'Room Info'!$C$2:$C2446, 0)),IF(G714='Room Info'!$D$1, INDEX('Room Info'!$A$2:$A2446, MATCH(B714,'Room Info'!$D$2:$D2446, 0)),IF(G714='Room Info'!$E$1, INDEX('Room Info'!$A$2:$A2446, MATCH(B714,'Room Info'!$E$2:$E2446, 0)),IF(G714='Room Info'!$F$1, INDEX('Room Info'!$A$2:$A2446, MATCH(B714,'Room Info'!$F$2:$F2446, 0)),IF(G714='Room Info'!$H$1, INDEX('Room Info'!$A$2:$A2446, MATCH(B714,'Room Info'!$H$2:$H2446, 0)),IF(G714='Room Info'!$G$1, INDEX('Room Info'!$A$2:$A2446, MATCH(B714,'Room Info'!$G$2:$G2446, 0)))))))))</f>
        <v>dimasik</v>
      </c>
      <c r="B714" s="45" t="s">
        <v>162</v>
      </c>
      <c r="C714" s="77">
        <v>44896</v>
      </c>
      <c r="D714" s="77">
        <v>44926</v>
      </c>
      <c r="E714" s="47">
        <v>44896</v>
      </c>
      <c r="F714" s="48" t="s">
        <v>41</v>
      </c>
      <c r="G714" s="45" t="s">
        <v>35</v>
      </c>
      <c r="H714" s="49" t="s">
        <v>84</v>
      </c>
      <c r="I714" s="49" t="s">
        <v>44</v>
      </c>
      <c r="J714" s="74">
        <v>100</v>
      </c>
      <c r="K714" s="75">
        <v>8</v>
      </c>
      <c r="L714" s="72">
        <v>-100</v>
      </c>
      <c r="M714" s="76">
        <v>30</v>
      </c>
      <c r="N714" s="28">
        <f>K714*J714</f>
        <v>800</v>
      </c>
      <c r="O714" s="45">
        <v>395</v>
      </c>
      <c r="P714" s="29">
        <v>49.375</v>
      </c>
      <c r="Q714" s="55"/>
      <c r="R714" s="31">
        <f>M714+Q714</f>
        <v>30</v>
      </c>
      <c r="S714" s="97"/>
      <c r="T714" s="32">
        <f>R714+S714+IF(F714="Without EV deal",L714,0)</f>
        <v>-70</v>
      </c>
      <c r="U714" s="57">
        <v>1</v>
      </c>
      <c r="V714" s="58"/>
      <c r="W714" s="58"/>
      <c r="X714" s="30">
        <f>IF(AF714="DoEV",IF(AND(V714&lt;20,W714&lt;55),0.3,0)+IF(AND(V714&lt;20,W714&gt;=55,W714&lt;105),0.23,0)+IF(AND(V714&lt;20,W714&gt;=105),0.17,0)+IF(AND(V714&gt;=20,V714&lt;40,W714&lt;45),0.3,0)+IF(AND(V714&gt;=20,V714&lt;40,W714&gt;=45,W714&lt;95),0.23,0)+IF(AND(V714&gt;=20,V714&lt;40,W714&gt;=95),0.17,0)+IF(AND(V714&gt;=40,V714&lt;75,W714&lt;35),0.3,0)+IF(AND(V714&gt;=40,V714&lt;75,W714&gt;=35,W714&lt;75),0.23,0)+IF(AND(V714&gt;=40,V714&lt;75,W714&gt;=75,W714&lt;120),0.17,0)+IF(AND(V714&gt;=40,V714&lt;75,W714&gt;=120),0.12,0)+IF(AND(V714&gt;=75,V714&lt;175,W714&lt;35),0.3,0)+IF(AND(V714&gt;=75,V714&lt;=175,W714&gt;=35,W714&lt;65),0.23,0)+IF(AND(V714&gt;=75,V714&lt;=175,W714&gt;=65,W714&lt;110),0.17,0)+IF(AND(V714&gt;=75,V714&lt;=175,W714&gt;=110),0.12,0)+IF(AND(V714&gt;175,W714&lt;25),0.3,0)+IF(AND(V714&gt;175,W714&gt;=25,W714&lt;55),0.23,0)+IF(AND(V714&gt;175,W714&gt;=55,W714&lt;95),0.17,0)+IF(AND(V714&gt;175,W714&gt;=95),0.12,0),
IF(AF714="Fix15",0.15,
IF(AF714="Fix18.75",0.1875,
IF(AF714="Fix11.25",0.1125,
IF(AF714="Fix10",0.1,
IF(AF714="Fix9",0.09,
IF(AF714="Fix19",0.19,
IF(AF714="DoEV2017",IF(AND(W714&lt;74),0.2,0)+IF(AND(W714&gt;=74),0.17,0),
IF(AF714="SF",IF(AND(V714&lt;20,W714&lt;89),0.3,0)+IF(AND(V714&lt;20,W714&gt;=89),0.25,0)+IF(AND(V714&gt;=20,V714&lt;40,W714&lt;74),0.3,0)+IF(AND(V714&gt;=20,V714&lt;40,W714&gt;=75),0.22,0)+IF(AND(V714&gt;=40,V714&lt;75,W714&lt;75),0.26,0)+IF(AND(V714&gt;=40,V714&lt;75,W714&gt;=75),0.22,0)+IF(V714&gt;=75,0.22,0),
IF(AF714="DoEVold",IF(AND(V714&lt;40,W714&lt;35),0.35,0)+IF(AND(V714&lt;40,W714&gt;=35,W714&lt;75),0.25,0)+IF(AND(V714&lt;40,W714&gt;=75),0.17,0)+IF(AND(V714&gt;=40,V714&lt;75,W714&lt;25),0.35,0)+IF(AND(V714&gt;=40,V714&lt;75,W714&gt;=25,W714&lt;65),0.25,0)+IF(AND(V714&gt;=40,V714&lt;75,W714&gt;=65,W714&lt;100),0.17,0)+IF(AND(V714&gt;=40,V714&lt;75,W714&gt;=100),0.1,0)+IF(AND(V714&gt;=75,W714&lt;25),0.35,0)+IF(AND(V714&gt;=75,W714&gt;=25,W714&lt;60),0.25,0)+IF(AND(V714&gt;=75,W714&gt;=60,W714&lt;95),0.17,0)+IF(AND(V714&gt;=75,W714&gt;=95),0.1,0),
IF(AF714="DoEVold15",IF(AND(V714&lt;=40,W714&lt;35),0.35,0)+IF(AND(V714&lt;=40,W714&gt;=35,W714&lt;75),0.25,0)+IF(AND(V714&lt;=40,W714&gt;=75,W714&lt;120),0.17,0)+IF(AND(V714&lt;=40,W714&gt;=120),0.15,0)+IF(AND(V714&gt;40,V714&lt;75,W714&lt;25),0.35,0)+IF(AND(V714&gt;=40,V714&lt;75,W714&gt;=25,W714&lt;65),0.25,0)+IF(AND(V714&gt;=40,V714&lt;75,W714&gt;=65,W714&lt;100),0.17,0)+IF(AND(V714&gt;=40,V714&lt;75,W714&gt;=100),0.1,0)+IF(AND(V714&gt;=75,W714&lt;25),0.35,0)+IF(AND(V714&gt;=75,W714&gt;=25,W714&lt;60),0.25,0)+IF(AND(V714&gt;=75,W714&gt;=60,W714&lt;95),0.17,0)+IF(AND(V714&gt;=75,W714&gt;=95),0.1,0),
IF(AF714="DoEVba",IF(AND(V714&lt;20,W714&lt;105),0.2,0)+IF(AND(V714&lt;20,W714&gt;=105),0.15,0)+IF(AND(V714&gt;=20,V714&lt;40,W714&lt;95),0.2,0)+IF(AND(V714&gt;=20,V714&lt;40,W714&gt;=95,W714&lt;150),0.15,0)+IF(AND(V714&gt;=20,V714&lt;40,W714&gt;=150),0.12,0)+IF(AND(V714&gt;=40,V714&lt;75,W714&lt;75),0.2,0)+IF(AND(V714&gt;=40,V714&lt;75,W714&gt;=75,W714&lt;120),0.15,0)+IF(AND(V714&gt;=40,V714&lt;75,W714&gt;=120),0.12,0)+IF(AND(V714&gt;=75,V714&lt;175,W714&lt;65),0.2,0)+IF(AND(V714&gt;=75,V714&lt;175,W714&gt;=65,W714&lt;110),0.15,0)+IF(AND(V714&gt;=75,V714&lt;175,W714&gt;=110),0.12,0)+IF(AND(V714&gt;=175,W714&lt;55),0.2,0)+IF(AND(V714&gt;=175,W714&gt;=55,W714&lt;95),0.15,0)+IF(AND(V714&gt;=175,W714&gt;=95),0.12,0),
IF(AF714="DoEVku",IF(AND(V714&lt;20,W714&lt;55),0.23,0)+IF(AND(V714&lt;20,W714&gt;=55,W714&lt;105),0.2,0)+IF(AND(V714&lt;20,W714&gt;=105),0.17,0)+IF(AND(V714&gt;=20,V714&lt;40,W714&lt;45),0.23,0)+IF(AND(V714&gt;=20,V714&lt;40,W714&gt;=45,W714&lt;95),0.2,0)+IF(AND(V714&gt;=20,V714&lt;40,W714&gt;=95,W714&lt;=150),0.17,0)+IF(AND(V714&gt;=20,V714&lt;40,W714&gt;=150),0.12,0)+IF(AND(V714&gt;=40,V714&lt;75,W714&lt;35),0.23,0)+IF(AND(V714&gt;=40,V714&lt;75,W714&gt;=35,W714&lt;75),0.2,0)+IF(AND(V714&gt;=40,V714&lt;75,W714&gt;=75,W714&lt;120),0.17,0)+IF(AND(V714&gt;=40,V714&lt;75,W714&gt;=120),0.12,0)+IF(AND(V714&gt;=75,V714&lt;175,W714&lt;35),0.23,0)+IF(AND(V714&gt;=75,V714&lt;=175,W714&gt;=35,W714&lt;65),0.2,0)+IF(AND(V714&gt;=75,V714&lt;=175,W714&gt;=65,W714&lt;110),0.17,0)+IF(AND(V714&gt;=75,V714&lt;=175,W714&gt;=110),0.12,0)+IF(AND(V714&gt;175,W714&lt;25),0.23,0)+IF(AND(V714&gt;175,W714&gt;=25,W714&lt;55),0.2,0)+IF(AND(V714&gt;175,W714&gt;=55,W714&lt;95),0.17,0)+IF(AND(V714&gt;175,W714&gt;=95),0.12,0),
IF(AF714="DoEVs1",IF(AND(V714&lt;20,W714&lt;55),0.3,0)+IF(AND(V714&lt;20,W714&gt;=55,W714&lt;105),0.23,0)+IF(AND(V714&lt;20,W714&gt;=105),0.17,0)+IF(AND(V714&gt;=20,V714&lt;40,W714&lt;45),0.3,0)+IF(AND(V714&gt;=20,V714&lt;40,W714&gt;=45,W714&lt;95),0.23,0)+IF(AND(V714&gt;=20,V714&lt;40,W714&gt;=95,W714&lt;=150),0.17,0)+IF(AND(V714&gt;=20,V714&lt;40,W714&gt;=150),0.12,0)+IF(AND(V714&gt;=40,V714&lt;75,W714&lt;35),0.3,0)+IF(AND(V714&gt;=40,V714&lt;75,W714&gt;=35,W714&lt;75),0.23,0)+IF(AND(V714&gt;=40,V714&lt;75,W714&gt;=75,W714&lt;120),0.17,0)+IF(AND(V714&gt;=40,V714&lt;75,W714&gt;=120),0.12,0)+IF(AND(V714&gt;=75,V714&lt;175,W714&lt;35),0.3,0)+IF(AND(V714&gt;=75,V714&lt;=175,W714&gt;=35,W714&lt;65),0.23,0)+IF(AND(V714&gt;=75,V714&lt;=175,W714&gt;=65,W714&lt;110),0.17,0)+IF(AND(V714&gt;=75,V714&lt;=175,W714&gt;=110),0.12,0)+IF(AND(V714&gt;175,W714&lt;25),0.3,0)+IF(AND(V714&gt;175,W714&gt;=25,W714&lt;55),0.23,0)+IF(AND(V714&gt;175,W714&gt;=55,W714&lt;95),0.17,0)+IF(AND(V714&gt;175,W714&gt;=95),0.12,0),
IF(AF714="DoEVsu",IF(AND(V714&lt;20,W714&lt;55),0.3,0)+IF(AND(V714&lt;20,W714&gt;=55,W714&lt;105),0.23,0)+IF(AND(V714&lt;20,W714&gt;=105),0.17,0)+IF(AND(V714&gt;=20,V714&lt;40,W714&lt;45),0.3,0)+IF(AND(V714&gt;=20,V714&lt;40,W714&gt;=45,W714&lt;95),0.23,0)+IF(AND(V714&gt;=20,V714&lt;40,W714&gt;=95,W714&lt;=250),0.17,0)+IF(AND(V714&gt;=20,V714&lt;40,W714&gt;=250),0.12,0)+IF(AND(V714&gt;=40,V714&lt;75,W714&lt;35),0.3,0)+IF(AND(V714&gt;=40,V714&lt;75,W714&gt;=35,W714&lt;75),0.23,0)+IF(AND(V714&gt;=40,V714&lt;75,W714&gt;=75,W714&lt;120),0.17,0)+IF(AND(V714&gt;=40,V714&lt;75,W714&gt;=120),0.12,0)+IF(AND(V714&gt;=75,V714&lt;175,W714&lt;35),0.3,0)+IF(AND(V714&gt;=75,V714&lt;=175,W714&gt;=35,W714&lt;65),0.23,0)+IF(AND(V714&gt;=75,V714&lt;=175,W714&gt;=65,W714&lt;110),0.17,0)+IF(AND(V714&gt;=75,V714&lt;=175,W714&gt;=110),0.12,0)+IF(AND(V714&gt;175,W714&lt;25),0.3,0)+IF(AND(V714&gt;175,W714&gt;=25,W714&lt;55),0.23,0)+IF(AND(V714&gt;175,W714&gt;=55,W714&lt;95),0.17,0)+IF(AND(V714&gt;175,W714&gt;=95),0.12,0),
IF(AF714="DoEVni",IF(AND(V714&lt;20,W714&lt;55),0.3,0)+IF(AND(V714&lt;20,W714&gt;=55,W714&lt;105),0.23,0)+IF(AND(V714&lt;20,W714&gt;=105),0.17,0)+IF(AND(V714&gt;=20,V714&lt;40,W714&lt;45),0.3,0)+IF(AND(V714&gt;=20,V714&lt;40,W714&gt;=45,W714&lt;95),0.23,0)+IF(AND(V714&gt;=20,V714&lt;40,W714&gt;=95,W714&lt;=200),0.17,0)+IF(AND(V714&gt;=20,V714&lt;40,W714&gt;=200),0.12,0)+IF(AND(V714&gt;=40,V714&lt;75,W714&lt;35),0.3,0)+IF(AND(V714&gt;=40,V714&lt;75,W714&gt;=35,W714&lt;75),0.23,0)+IF(AND(V714&gt;=40,V714&lt;75,W714&gt;=75,W714&lt;120),0.17,0)+IF(AND(V714&gt;=40,V714&lt;75,W714&gt;=120),0.12,0)+IF(AND(V714&gt;=75,V714&lt;175,W714&lt;35),0.3,0)+IF(AND(V714&gt;=75,V714&lt;=175,W714&gt;=35,W714&lt;65),0.23,0)+IF(AND(V714&gt;=75,V714&lt;=175,W714&gt;=65,W714&lt;110),0.17,0)+IF(AND(V714&gt;=75,V714&lt;=175,W714&gt;=110),0.12,0)+IF(AND(V714&gt;175,W714&lt;25),0.3,0)+IF(AND(V714&gt;175,W714&gt;=25,W714&lt;55),0.23,0)+IF(AND(V714&gt;175,W714&gt;=55,W714&lt;95),0.17,0)+IF(AND(V714&gt;175,W714&gt;=95),0.12,0),
IF(AF714="DoEVLo",IF(AND(V714&lt;20,W714&lt;55),0.25,0)+IF(AND(V714&lt;20,W714&gt;=55,W714&lt;105),0.2,0)+IF(AND(V714&lt;20,W714&gt;=105),0.15,0)+IF(AND(V714&gt;=20,V714&lt;40,W714&lt;45),0.25,0)+IF(AND(V714&gt;=20,V714&lt;40,W714&gt;=45,W714&lt;95),0.2,0)+IF(AND(V714&gt;=20,V714&lt;40,W714&gt;=95),0.15,0)+IF(AND(V714&gt;=40,V714&lt;75,W714&lt;35),0.25,0)+IF(AND(V714&gt;=40,V714&lt;75,W714&gt;=35,W714&lt;75),0.2,0)+IF(AND(V714&gt;=40,V714&lt;75,W714&gt;=75,W714&lt;120),0.15,0)+IF(AND(V714&gt;=40,V714&lt;75,W714&gt;=120),0.1,0)+IF(AND(V714&gt;=75,V714&lt;175,W714&lt;35),0.25,0)+IF(AND(V714&gt;=75,V714&lt;=175,W714&gt;=35,W714&lt;65),0.2,0)+IF(AND(V714&gt;=75,V714&lt;=175,W714&gt;=65,W714&lt;110),0.15,0)+IF(AND(V714&gt;=75,V714&lt;=175,W714&gt;=110),0.1,0)+IF(AND(V714&gt;175,W714&lt;25),0.25,0)+IF(AND(V714&gt;175,W714&gt;=25,W714&lt;55),0.2,0)+IF(AND(V714&gt;175,W714&gt;=55,W714&lt;95),0.15,0)+IF(AND(V714&gt;175,W714&gt;=95),0.1,0))))))))))))))))))</f>
        <v>0.19</v>
      </c>
      <c r="Y714" s="30">
        <f>IF(AG714="None",0,IF(AG714="Fix5",0.05, IF(AG714="Fix6.25",0.0625,IF(AG714="Fix3.75",0.0375,IF(AG714="Fix10",0.1,IF(AG714="Fix3",0.03,0))))))</f>
        <v>0</v>
      </c>
      <c r="Z714" s="35">
        <f>T714-AA714-AB714</f>
        <v>-56.7</v>
      </c>
      <c r="AA714" s="29">
        <f>IF(AD714="EUR",((T714-R714)*X714)*U714+(R714*X714),(T714*X714))</f>
        <v>-13.3</v>
      </c>
      <c r="AB714" s="36">
        <f>IF(AD714="EUR",((T714-R714)*Y714)*U714+(R714*Y714),(T714*Y714))</f>
        <v>0</v>
      </c>
      <c r="AC714" s="37" t="b">
        <v>1</v>
      </c>
      <c r="AD714" s="37" t="s">
        <v>38</v>
      </c>
      <c r="AE714" s="37" t="s">
        <v>38</v>
      </c>
      <c r="AF714" s="37" t="str">
        <f t="array" ref="AF714">INDEX('Deal Info'!D:D, MATCH(A714,'Deal Info'!A:A, 0))</f>
        <v>Fix19</v>
      </c>
      <c r="AG714" s="38" t="str">
        <f t="array" ref="AG714">INDEX('Deal Info'!G:G, MATCH(A714,'Deal Info'!A:A, 0))</f>
        <v>None</v>
      </c>
    </row>
    <row r="715" spans="1:33" ht="14.25" hidden="1" x14ac:dyDescent="0.2">
      <c r="A715" s="18" t="str">
        <f t="array" ref="A715">IF(G715='Room Info'!$B$1, INDEX('Room Info'!$A$2:$A2446, MATCH(B715,'Room Info'!$B$2:$B2446, 0)),IF(G715='Room Info'!$C$1, INDEX('Room Info'!$A$2:$A2446, MATCH(B715,'Room Info'!$C$2:$C2446, 0)),IF(G715='Room Info'!$D$1, INDEX('Room Info'!$A$2:$A2446, MATCH(B715,'Room Info'!$D$2:$D2446, 0)),IF(G715='Room Info'!$E$1, INDEX('Room Info'!$A$2:$A2446, MATCH(B715,'Room Info'!$E$2:$E2446, 0)),IF(G715='Room Info'!$F$1, INDEX('Room Info'!$A$2:$A2446, MATCH(B715,'Room Info'!$F$2:$F2446, 0)),IF(G715='Room Info'!$H$1, INDEX('Room Info'!$A$2:$A2446, MATCH(B715,'Room Info'!$H$2:$H2446, 0)),IF(G715='Room Info'!$G$1, INDEX('Room Info'!$A$2:$A2446, MATCH(B715,'Room Info'!$G$2:$G2446, 0)))))))))</f>
        <v>dimasik</v>
      </c>
      <c r="B715" s="45" t="s">
        <v>162</v>
      </c>
      <c r="C715" s="77">
        <v>44896</v>
      </c>
      <c r="D715" s="77">
        <v>44926</v>
      </c>
      <c r="E715" s="47">
        <v>44896</v>
      </c>
      <c r="F715" s="48" t="s">
        <v>41</v>
      </c>
      <c r="G715" s="45" t="s">
        <v>35</v>
      </c>
      <c r="H715" s="49" t="s">
        <v>88</v>
      </c>
      <c r="I715" s="49" t="s">
        <v>37</v>
      </c>
      <c r="J715" s="74">
        <v>250</v>
      </c>
      <c r="K715" s="75">
        <v>16</v>
      </c>
      <c r="L715" s="72">
        <v>2000</v>
      </c>
      <c r="M715" s="76">
        <v>148</v>
      </c>
      <c r="N715" s="28">
        <f>K715*J715</f>
        <v>4000</v>
      </c>
      <c r="O715" s="45">
        <v>3401</v>
      </c>
      <c r="P715" s="29">
        <v>212.5625</v>
      </c>
      <c r="Q715" s="55"/>
      <c r="R715" s="31">
        <f>M715+Q715</f>
        <v>148</v>
      </c>
      <c r="S715" s="97"/>
      <c r="T715" s="32">
        <f>R715+S715+IF(F715="Without EV deal",L715,0)</f>
        <v>2148</v>
      </c>
      <c r="U715" s="57">
        <v>1</v>
      </c>
      <c r="V715" s="58"/>
      <c r="W715" s="58"/>
      <c r="X715" s="30">
        <f>IF(AF715="DoEV",IF(AND(V715&lt;20,W715&lt;55),0.3,0)+IF(AND(V715&lt;20,W715&gt;=55,W715&lt;105),0.23,0)+IF(AND(V715&lt;20,W715&gt;=105),0.17,0)+IF(AND(V715&gt;=20,V715&lt;40,W715&lt;45),0.3,0)+IF(AND(V715&gt;=20,V715&lt;40,W715&gt;=45,W715&lt;95),0.23,0)+IF(AND(V715&gt;=20,V715&lt;40,W715&gt;=95),0.17,0)+IF(AND(V715&gt;=40,V715&lt;75,W715&lt;35),0.3,0)+IF(AND(V715&gt;=40,V715&lt;75,W715&gt;=35,W715&lt;75),0.23,0)+IF(AND(V715&gt;=40,V715&lt;75,W715&gt;=75,W715&lt;120),0.17,0)+IF(AND(V715&gt;=40,V715&lt;75,W715&gt;=120),0.12,0)+IF(AND(V715&gt;=75,V715&lt;175,W715&lt;35),0.3,0)+IF(AND(V715&gt;=75,V715&lt;=175,W715&gt;=35,W715&lt;65),0.23,0)+IF(AND(V715&gt;=75,V715&lt;=175,W715&gt;=65,W715&lt;110),0.17,0)+IF(AND(V715&gt;=75,V715&lt;=175,W715&gt;=110),0.12,0)+IF(AND(V715&gt;175,W715&lt;25),0.3,0)+IF(AND(V715&gt;175,W715&gt;=25,W715&lt;55),0.23,0)+IF(AND(V715&gt;175,W715&gt;=55,W715&lt;95),0.17,0)+IF(AND(V715&gt;175,W715&gt;=95),0.12,0),
IF(AF715="Fix15",0.15,
IF(AF715="Fix18.75",0.1875,
IF(AF715="Fix11.25",0.1125,
IF(AF715="Fix10",0.1,
IF(AF715="Fix9",0.09,
IF(AF715="Fix19",0.19,
IF(AF715="DoEV2017",IF(AND(W715&lt;74),0.2,0)+IF(AND(W715&gt;=74),0.17,0),
IF(AF715="SF",IF(AND(V715&lt;20,W715&lt;89),0.3,0)+IF(AND(V715&lt;20,W715&gt;=89),0.25,0)+IF(AND(V715&gt;=20,V715&lt;40,W715&lt;74),0.3,0)+IF(AND(V715&gt;=20,V715&lt;40,W715&gt;=75),0.22,0)+IF(AND(V715&gt;=40,V715&lt;75,W715&lt;75),0.26,0)+IF(AND(V715&gt;=40,V715&lt;75,W715&gt;=75),0.22,0)+IF(V715&gt;=75,0.22,0),
IF(AF715="DoEVold",IF(AND(V715&lt;40,W715&lt;35),0.35,0)+IF(AND(V715&lt;40,W715&gt;=35,W715&lt;75),0.25,0)+IF(AND(V715&lt;40,W715&gt;=75),0.17,0)+IF(AND(V715&gt;=40,V715&lt;75,W715&lt;25),0.35,0)+IF(AND(V715&gt;=40,V715&lt;75,W715&gt;=25,W715&lt;65),0.25,0)+IF(AND(V715&gt;=40,V715&lt;75,W715&gt;=65,W715&lt;100),0.17,0)+IF(AND(V715&gt;=40,V715&lt;75,W715&gt;=100),0.1,0)+IF(AND(V715&gt;=75,W715&lt;25),0.35,0)+IF(AND(V715&gt;=75,W715&gt;=25,W715&lt;60),0.25,0)+IF(AND(V715&gt;=75,W715&gt;=60,W715&lt;95),0.17,0)+IF(AND(V715&gt;=75,W715&gt;=95),0.1,0),
IF(AF715="DoEVold15",IF(AND(V715&lt;=40,W715&lt;35),0.35,0)+IF(AND(V715&lt;=40,W715&gt;=35,W715&lt;75),0.25,0)+IF(AND(V715&lt;=40,W715&gt;=75,W715&lt;120),0.17,0)+IF(AND(V715&lt;=40,W715&gt;=120),0.15,0)+IF(AND(V715&gt;40,V715&lt;75,W715&lt;25),0.35,0)+IF(AND(V715&gt;=40,V715&lt;75,W715&gt;=25,W715&lt;65),0.25,0)+IF(AND(V715&gt;=40,V715&lt;75,W715&gt;=65,W715&lt;100),0.17,0)+IF(AND(V715&gt;=40,V715&lt;75,W715&gt;=100),0.1,0)+IF(AND(V715&gt;=75,W715&lt;25),0.35,0)+IF(AND(V715&gt;=75,W715&gt;=25,W715&lt;60),0.25,0)+IF(AND(V715&gt;=75,W715&gt;=60,W715&lt;95),0.17,0)+IF(AND(V715&gt;=75,W715&gt;=95),0.1,0),
IF(AF715="DoEVba",IF(AND(V715&lt;20,W715&lt;105),0.2,0)+IF(AND(V715&lt;20,W715&gt;=105),0.15,0)+IF(AND(V715&gt;=20,V715&lt;40,W715&lt;95),0.2,0)+IF(AND(V715&gt;=20,V715&lt;40,W715&gt;=95,W715&lt;150),0.15,0)+IF(AND(V715&gt;=20,V715&lt;40,W715&gt;=150),0.12,0)+IF(AND(V715&gt;=40,V715&lt;75,W715&lt;75),0.2,0)+IF(AND(V715&gt;=40,V715&lt;75,W715&gt;=75,W715&lt;120),0.15,0)+IF(AND(V715&gt;=40,V715&lt;75,W715&gt;=120),0.12,0)+IF(AND(V715&gt;=75,V715&lt;175,W715&lt;65),0.2,0)+IF(AND(V715&gt;=75,V715&lt;175,W715&gt;=65,W715&lt;110),0.15,0)+IF(AND(V715&gt;=75,V715&lt;175,W715&gt;=110),0.12,0)+IF(AND(V715&gt;=175,W715&lt;55),0.2,0)+IF(AND(V715&gt;=175,W715&gt;=55,W715&lt;95),0.15,0)+IF(AND(V715&gt;=175,W715&gt;=95),0.12,0),
IF(AF715="DoEVku",IF(AND(V715&lt;20,W715&lt;55),0.23,0)+IF(AND(V715&lt;20,W715&gt;=55,W715&lt;105),0.2,0)+IF(AND(V715&lt;20,W715&gt;=105),0.17,0)+IF(AND(V715&gt;=20,V715&lt;40,W715&lt;45),0.23,0)+IF(AND(V715&gt;=20,V715&lt;40,W715&gt;=45,W715&lt;95),0.2,0)+IF(AND(V715&gt;=20,V715&lt;40,W715&gt;=95,W715&lt;=150),0.17,0)+IF(AND(V715&gt;=20,V715&lt;40,W715&gt;=150),0.12,0)+IF(AND(V715&gt;=40,V715&lt;75,W715&lt;35),0.23,0)+IF(AND(V715&gt;=40,V715&lt;75,W715&gt;=35,W715&lt;75),0.2,0)+IF(AND(V715&gt;=40,V715&lt;75,W715&gt;=75,W715&lt;120),0.17,0)+IF(AND(V715&gt;=40,V715&lt;75,W715&gt;=120),0.12,0)+IF(AND(V715&gt;=75,V715&lt;175,W715&lt;35),0.23,0)+IF(AND(V715&gt;=75,V715&lt;=175,W715&gt;=35,W715&lt;65),0.2,0)+IF(AND(V715&gt;=75,V715&lt;=175,W715&gt;=65,W715&lt;110),0.17,0)+IF(AND(V715&gt;=75,V715&lt;=175,W715&gt;=110),0.12,0)+IF(AND(V715&gt;175,W715&lt;25),0.23,0)+IF(AND(V715&gt;175,W715&gt;=25,W715&lt;55),0.2,0)+IF(AND(V715&gt;175,W715&gt;=55,W715&lt;95),0.17,0)+IF(AND(V715&gt;175,W715&gt;=95),0.12,0),
IF(AF715="DoEVs1",IF(AND(V715&lt;20,W715&lt;55),0.3,0)+IF(AND(V715&lt;20,W715&gt;=55,W715&lt;105),0.23,0)+IF(AND(V715&lt;20,W715&gt;=105),0.17,0)+IF(AND(V715&gt;=20,V715&lt;40,W715&lt;45),0.3,0)+IF(AND(V715&gt;=20,V715&lt;40,W715&gt;=45,W715&lt;95),0.23,0)+IF(AND(V715&gt;=20,V715&lt;40,W715&gt;=95,W715&lt;=150),0.17,0)+IF(AND(V715&gt;=20,V715&lt;40,W715&gt;=150),0.12,0)+IF(AND(V715&gt;=40,V715&lt;75,W715&lt;35),0.3,0)+IF(AND(V715&gt;=40,V715&lt;75,W715&gt;=35,W715&lt;75),0.23,0)+IF(AND(V715&gt;=40,V715&lt;75,W715&gt;=75,W715&lt;120),0.17,0)+IF(AND(V715&gt;=40,V715&lt;75,W715&gt;=120),0.12,0)+IF(AND(V715&gt;=75,V715&lt;175,W715&lt;35),0.3,0)+IF(AND(V715&gt;=75,V715&lt;=175,W715&gt;=35,W715&lt;65),0.23,0)+IF(AND(V715&gt;=75,V715&lt;=175,W715&gt;=65,W715&lt;110),0.17,0)+IF(AND(V715&gt;=75,V715&lt;=175,W715&gt;=110),0.12,0)+IF(AND(V715&gt;175,W715&lt;25),0.3,0)+IF(AND(V715&gt;175,W715&gt;=25,W715&lt;55),0.23,0)+IF(AND(V715&gt;175,W715&gt;=55,W715&lt;95),0.17,0)+IF(AND(V715&gt;175,W715&gt;=95),0.12,0),
IF(AF715="DoEVsu",IF(AND(V715&lt;20,W715&lt;55),0.3,0)+IF(AND(V715&lt;20,W715&gt;=55,W715&lt;105),0.23,0)+IF(AND(V715&lt;20,W715&gt;=105),0.17,0)+IF(AND(V715&gt;=20,V715&lt;40,W715&lt;45),0.3,0)+IF(AND(V715&gt;=20,V715&lt;40,W715&gt;=45,W715&lt;95),0.23,0)+IF(AND(V715&gt;=20,V715&lt;40,W715&gt;=95,W715&lt;=250),0.17,0)+IF(AND(V715&gt;=20,V715&lt;40,W715&gt;=250),0.12,0)+IF(AND(V715&gt;=40,V715&lt;75,W715&lt;35),0.3,0)+IF(AND(V715&gt;=40,V715&lt;75,W715&gt;=35,W715&lt;75),0.23,0)+IF(AND(V715&gt;=40,V715&lt;75,W715&gt;=75,W715&lt;120),0.17,0)+IF(AND(V715&gt;=40,V715&lt;75,W715&gt;=120),0.12,0)+IF(AND(V715&gt;=75,V715&lt;175,W715&lt;35),0.3,0)+IF(AND(V715&gt;=75,V715&lt;=175,W715&gt;=35,W715&lt;65),0.23,0)+IF(AND(V715&gt;=75,V715&lt;=175,W715&gt;=65,W715&lt;110),0.17,0)+IF(AND(V715&gt;=75,V715&lt;=175,W715&gt;=110),0.12,0)+IF(AND(V715&gt;175,W715&lt;25),0.3,0)+IF(AND(V715&gt;175,W715&gt;=25,W715&lt;55),0.23,0)+IF(AND(V715&gt;175,W715&gt;=55,W715&lt;95),0.17,0)+IF(AND(V715&gt;175,W715&gt;=95),0.12,0),
IF(AF715="DoEVni",IF(AND(V715&lt;20,W715&lt;55),0.3,0)+IF(AND(V715&lt;20,W715&gt;=55,W715&lt;105),0.23,0)+IF(AND(V715&lt;20,W715&gt;=105),0.17,0)+IF(AND(V715&gt;=20,V715&lt;40,W715&lt;45),0.3,0)+IF(AND(V715&gt;=20,V715&lt;40,W715&gt;=45,W715&lt;95),0.23,0)+IF(AND(V715&gt;=20,V715&lt;40,W715&gt;=95,W715&lt;=200),0.17,0)+IF(AND(V715&gt;=20,V715&lt;40,W715&gt;=200),0.12,0)+IF(AND(V715&gt;=40,V715&lt;75,W715&lt;35),0.3,0)+IF(AND(V715&gt;=40,V715&lt;75,W715&gt;=35,W715&lt;75),0.23,0)+IF(AND(V715&gt;=40,V715&lt;75,W715&gt;=75,W715&lt;120),0.17,0)+IF(AND(V715&gt;=40,V715&lt;75,W715&gt;=120),0.12,0)+IF(AND(V715&gt;=75,V715&lt;175,W715&lt;35),0.3,0)+IF(AND(V715&gt;=75,V715&lt;=175,W715&gt;=35,W715&lt;65),0.23,0)+IF(AND(V715&gt;=75,V715&lt;=175,W715&gt;=65,W715&lt;110),0.17,0)+IF(AND(V715&gt;=75,V715&lt;=175,W715&gt;=110),0.12,0)+IF(AND(V715&gt;175,W715&lt;25),0.3,0)+IF(AND(V715&gt;175,W715&gt;=25,W715&lt;55),0.23,0)+IF(AND(V715&gt;175,W715&gt;=55,W715&lt;95),0.17,0)+IF(AND(V715&gt;175,W715&gt;=95),0.12,0),
IF(AF715="DoEVLo",IF(AND(V715&lt;20,W715&lt;55),0.25,0)+IF(AND(V715&lt;20,W715&gt;=55,W715&lt;105),0.2,0)+IF(AND(V715&lt;20,W715&gt;=105),0.15,0)+IF(AND(V715&gt;=20,V715&lt;40,W715&lt;45),0.25,0)+IF(AND(V715&gt;=20,V715&lt;40,W715&gt;=45,W715&lt;95),0.2,0)+IF(AND(V715&gt;=20,V715&lt;40,W715&gt;=95),0.15,0)+IF(AND(V715&gt;=40,V715&lt;75,W715&lt;35),0.25,0)+IF(AND(V715&gt;=40,V715&lt;75,W715&gt;=35,W715&lt;75),0.2,0)+IF(AND(V715&gt;=40,V715&lt;75,W715&gt;=75,W715&lt;120),0.15,0)+IF(AND(V715&gt;=40,V715&lt;75,W715&gt;=120),0.1,0)+IF(AND(V715&gt;=75,V715&lt;175,W715&lt;35),0.25,0)+IF(AND(V715&gt;=75,V715&lt;=175,W715&gt;=35,W715&lt;65),0.2,0)+IF(AND(V715&gt;=75,V715&lt;=175,W715&gt;=65,W715&lt;110),0.15,0)+IF(AND(V715&gt;=75,V715&lt;=175,W715&gt;=110),0.1,0)+IF(AND(V715&gt;175,W715&lt;25),0.25,0)+IF(AND(V715&gt;175,W715&gt;=25,W715&lt;55),0.2,0)+IF(AND(V715&gt;175,W715&gt;=55,W715&lt;95),0.15,0)+IF(AND(V715&gt;175,W715&gt;=95),0.1,0))))))))))))))))))</f>
        <v>0.19</v>
      </c>
      <c r="Y715" s="30">
        <f>IF(AG715="None",0,IF(AG715="Fix5",0.05, IF(AG715="Fix6.25",0.0625,IF(AG715="Fix3.75",0.0375,IF(AG715="Fix10",0.1,IF(AG715="Fix3",0.03,0))))))</f>
        <v>0</v>
      </c>
      <c r="Z715" s="35">
        <f>T715-AA715-AB715</f>
        <v>1739.88</v>
      </c>
      <c r="AA715" s="29">
        <f>IF(AD715="EUR",((T715-R715)*X715)*U715+(R715*X715),(T715*X715))</f>
        <v>408.12</v>
      </c>
      <c r="AB715" s="36">
        <f>IF(AD715="EUR",((T715-R715)*Y715)*U715+(R715*Y715),(T715*Y715))</f>
        <v>0</v>
      </c>
      <c r="AC715" s="37" t="b">
        <v>1</v>
      </c>
      <c r="AD715" s="37" t="s">
        <v>38</v>
      </c>
      <c r="AE715" s="37" t="s">
        <v>38</v>
      </c>
      <c r="AF715" s="37" t="str">
        <f t="array" ref="AF715">INDEX('Deal Info'!D:D, MATCH(A715,'Deal Info'!A:A, 0))</f>
        <v>Fix19</v>
      </c>
      <c r="AG715" s="38" t="str">
        <f t="array" ref="AG715">INDEX('Deal Info'!G:G, MATCH(A715,'Deal Info'!A:A, 0))</f>
        <v>None</v>
      </c>
    </row>
    <row r="716" spans="1:33" ht="14.25" hidden="1" x14ac:dyDescent="0.2">
      <c r="A716" s="18" t="str">
        <f t="array" ref="A716">IF(G716='Room Info'!$B$1, INDEX('Room Info'!$A$2:$A2446, MATCH(B716,'Room Info'!$B$2:$B2446, 0)),IF(G716='Room Info'!$C$1, INDEX('Room Info'!$A$2:$A2446, MATCH(B716,'Room Info'!$C$2:$C2446, 0)),IF(G716='Room Info'!$D$1, INDEX('Room Info'!$A$2:$A2446, MATCH(B716,'Room Info'!$D$2:$D2446, 0)),IF(G716='Room Info'!$E$1, INDEX('Room Info'!$A$2:$A2446, MATCH(B716,'Room Info'!$E$2:$E2446, 0)),IF(G716='Room Info'!$F$1, INDEX('Room Info'!$A$2:$A2446, MATCH(B716,'Room Info'!$F$2:$F2446, 0)),IF(G716='Room Info'!$H$1, INDEX('Room Info'!$A$2:$A2446, MATCH(B716,'Room Info'!$H$2:$H2446, 0)),IF(G716='Room Info'!$G$1, INDEX('Room Info'!$A$2:$A2446, MATCH(B716,'Room Info'!$G$2:$G2446, 0)))))))))</f>
        <v>dimasik</v>
      </c>
      <c r="B716" s="45" t="s">
        <v>162</v>
      </c>
      <c r="C716" s="77">
        <v>44896</v>
      </c>
      <c r="D716" s="77">
        <v>44926</v>
      </c>
      <c r="E716" s="47">
        <v>44896</v>
      </c>
      <c r="F716" s="48" t="s">
        <v>41</v>
      </c>
      <c r="G716" s="45" t="s">
        <v>35</v>
      </c>
      <c r="H716" s="49" t="s">
        <v>70</v>
      </c>
      <c r="I716" s="49" t="s">
        <v>37</v>
      </c>
      <c r="J716" s="74">
        <v>100</v>
      </c>
      <c r="K716" s="75">
        <v>119</v>
      </c>
      <c r="L716" s="72">
        <v>1000</v>
      </c>
      <c r="M716" s="76">
        <v>440</v>
      </c>
      <c r="N716" s="28">
        <f>K716*J716</f>
        <v>11900</v>
      </c>
      <c r="O716" s="45">
        <v>5881</v>
      </c>
      <c r="P716" s="29">
        <v>49.420168070000003</v>
      </c>
      <c r="Q716" s="55"/>
      <c r="R716" s="31">
        <f>M716+Q716</f>
        <v>440</v>
      </c>
      <c r="S716" s="97"/>
      <c r="T716" s="32">
        <f>R716+S716+IF(F716="Without EV deal",L716,0)</f>
        <v>1440</v>
      </c>
      <c r="U716" s="57">
        <v>1</v>
      </c>
      <c r="V716" s="58"/>
      <c r="W716" s="58"/>
      <c r="X716" s="30">
        <f>IF(AF716="DoEV",IF(AND(V716&lt;20,W716&lt;55),0.3,0)+IF(AND(V716&lt;20,W716&gt;=55,W716&lt;105),0.23,0)+IF(AND(V716&lt;20,W716&gt;=105),0.17,0)+IF(AND(V716&gt;=20,V716&lt;40,W716&lt;45),0.3,0)+IF(AND(V716&gt;=20,V716&lt;40,W716&gt;=45,W716&lt;95),0.23,0)+IF(AND(V716&gt;=20,V716&lt;40,W716&gt;=95),0.17,0)+IF(AND(V716&gt;=40,V716&lt;75,W716&lt;35),0.3,0)+IF(AND(V716&gt;=40,V716&lt;75,W716&gt;=35,W716&lt;75),0.23,0)+IF(AND(V716&gt;=40,V716&lt;75,W716&gt;=75,W716&lt;120),0.17,0)+IF(AND(V716&gt;=40,V716&lt;75,W716&gt;=120),0.12,0)+IF(AND(V716&gt;=75,V716&lt;175,W716&lt;35),0.3,0)+IF(AND(V716&gt;=75,V716&lt;=175,W716&gt;=35,W716&lt;65),0.23,0)+IF(AND(V716&gt;=75,V716&lt;=175,W716&gt;=65,W716&lt;110),0.17,0)+IF(AND(V716&gt;=75,V716&lt;=175,W716&gt;=110),0.12,0)+IF(AND(V716&gt;175,W716&lt;25),0.3,0)+IF(AND(V716&gt;175,W716&gt;=25,W716&lt;55),0.23,0)+IF(AND(V716&gt;175,W716&gt;=55,W716&lt;95),0.17,0)+IF(AND(V716&gt;175,W716&gt;=95),0.12,0),
IF(AF716="Fix15",0.15,
IF(AF716="Fix18.75",0.1875,
IF(AF716="Fix11.25",0.1125,
IF(AF716="Fix10",0.1,
IF(AF716="Fix9",0.09,
IF(AF716="Fix19",0.19,
IF(AF716="DoEV2017",IF(AND(W716&lt;74),0.2,0)+IF(AND(W716&gt;=74),0.17,0),
IF(AF716="SF",IF(AND(V716&lt;20,W716&lt;89),0.3,0)+IF(AND(V716&lt;20,W716&gt;=89),0.25,0)+IF(AND(V716&gt;=20,V716&lt;40,W716&lt;74),0.3,0)+IF(AND(V716&gt;=20,V716&lt;40,W716&gt;=75),0.22,0)+IF(AND(V716&gt;=40,V716&lt;75,W716&lt;75),0.26,0)+IF(AND(V716&gt;=40,V716&lt;75,W716&gt;=75),0.22,0)+IF(V716&gt;=75,0.22,0),
IF(AF716="DoEVold",IF(AND(V716&lt;40,W716&lt;35),0.35,0)+IF(AND(V716&lt;40,W716&gt;=35,W716&lt;75),0.25,0)+IF(AND(V716&lt;40,W716&gt;=75),0.17,0)+IF(AND(V716&gt;=40,V716&lt;75,W716&lt;25),0.35,0)+IF(AND(V716&gt;=40,V716&lt;75,W716&gt;=25,W716&lt;65),0.25,0)+IF(AND(V716&gt;=40,V716&lt;75,W716&gt;=65,W716&lt;100),0.17,0)+IF(AND(V716&gt;=40,V716&lt;75,W716&gt;=100),0.1,0)+IF(AND(V716&gt;=75,W716&lt;25),0.35,0)+IF(AND(V716&gt;=75,W716&gt;=25,W716&lt;60),0.25,0)+IF(AND(V716&gt;=75,W716&gt;=60,W716&lt;95),0.17,0)+IF(AND(V716&gt;=75,W716&gt;=95),0.1,0),
IF(AF716="DoEVold15",IF(AND(V716&lt;=40,W716&lt;35),0.35,0)+IF(AND(V716&lt;=40,W716&gt;=35,W716&lt;75),0.25,0)+IF(AND(V716&lt;=40,W716&gt;=75,W716&lt;120),0.17,0)+IF(AND(V716&lt;=40,W716&gt;=120),0.15,0)+IF(AND(V716&gt;40,V716&lt;75,W716&lt;25),0.35,0)+IF(AND(V716&gt;=40,V716&lt;75,W716&gt;=25,W716&lt;65),0.25,0)+IF(AND(V716&gt;=40,V716&lt;75,W716&gt;=65,W716&lt;100),0.17,0)+IF(AND(V716&gt;=40,V716&lt;75,W716&gt;=100),0.1,0)+IF(AND(V716&gt;=75,W716&lt;25),0.35,0)+IF(AND(V716&gt;=75,W716&gt;=25,W716&lt;60),0.25,0)+IF(AND(V716&gt;=75,W716&gt;=60,W716&lt;95),0.17,0)+IF(AND(V716&gt;=75,W716&gt;=95),0.1,0),
IF(AF716="DoEVba",IF(AND(V716&lt;20,W716&lt;105),0.2,0)+IF(AND(V716&lt;20,W716&gt;=105),0.15,0)+IF(AND(V716&gt;=20,V716&lt;40,W716&lt;95),0.2,0)+IF(AND(V716&gt;=20,V716&lt;40,W716&gt;=95,W716&lt;150),0.15,0)+IF(AND(V716&gt;=20,V716&lt;40,W716&gt;=150),0.12,0)+IF(AND(V716&gt;=40,V716&lt;75,W716&lt;75),0.2,0)+IF(AND(V716&gt;=40,V716&lt;75,W716&gt;=75,W716&lt;120),0.15,0)+IF(AND(V716&gt;=40,V716&lt;75,W716&gt;=120),0.12,0)+IF(AND(V716&gt;=75,V716&lt;175,W716&lt;65),0.2,0)+IF(AND(V716&gt;=75,V716&lt;175,W716&gt;=65,W716&lt;110),0.15,0)+IF(AND(V716&gt;=75,V716&lt;175,W716&gt;=110),0.12,0)+IF(AND(V716&gt;=175,W716&lt;55),0.2,0)+IF(AND(V716&gt;=175,W716&gt;=55,W716&lt;95),0.15,0)+IF(AND(V716&gt;=175,W716&gt;=95),0.12,0),
IF(AF716="DoEVku",IF(AND(V716&lt;20,W716&lt;55),0.23,0)+IF(AND(V716&lt;20,W716&gt;=55,W716&lt;105),0.2,0)+IF(AND(V716&lt;20,W716&gt;=105),0.17,0)+IF(AND(V716&gt;=20,V716&lt;40,W716&lt;45),0.23,0)+IF(AND(V716&gt;=20,V716&lt;40,W716&gt;=45,W716&lt;95),0.2,0)+IF(AND(V716&gt;=20,V716&lt;40,W716&gt;=95,W716&lt;=150),0.17,0)+IF(AND(V716&gt;=20,V716&lt;40,W716&gt;=150),0.12,0)+IF(AND(V716&gt;=40,V716&lt;75,W716&lt;35),0.23,0)+IF(AND(V716&gt;=40,V716&lt;75,W716&gt;=35,W716&lt;75),0.2,0)+IF(AND(V716&gt;=40,V716&lt;75,W716&gt;=75,W716&lt;120),0.17,0)+IF(AND(V716&gt;=40,V716&lt;75,W716&gt;=120),0.12,0)+IF(AND(V716&gt;=75,V716&lt;175,W716&lt;35),0.23,0)+IF(AND(V716&gt;=75,V716&lt;=175,W716&gt;=35,W716&lt;65),0.2,0)+IF(AND(V716&gt;=75,V716&lt;=175,W716&gt;=65,W716&lt;110),0.17,0)+IF(AND(V716&gt;=75,V716&lt;=175,W716&gt;=110),0.12,0)+IF(AND(V716&gt;175,W716&lt;25),0.23,0)+IF(AND(V716&gt;175,W716&gt;=25,W716&lt;55),0.2,0)+IF(AND(V716&gt;175,W716&gt;=55,W716&lt;95),0.17,0)+IF(AND(V716&gt;175,W716&gt;=95),0.12,0),
IF(AF716="DoEVs1",IF(AND(V716&lt;20,W716&lt;55),0.3,0)+IF(AND(V716&lt;20,W716&gt;=55,W716&lt;105),0.23,0)+IF(AND(V716&lt;20,W716&gt;=105),0.17,0)+IF(AND(V716&gt;=20,V716&lt;40,W716&lt;45),0.3,0)+IF(AND(V716&gt;=20,V716&lt;40,W716&gt;=45,W716&lt;95),0.23,0)+IF(AND(V716&gt;=20,V716&lt;40,W716&gt;=95,W716&lt;=150),0.17,0)+IF(AND(V716&gt;=20,V716&lt;40,W716&gt;=150),0.12,0)+IF(AND(V716&gt;=40,V716&lt;75,W716&lt;35),0.3,0)+IF(AND(V716&gt;=40,V716&lt;75,W716&gt;=35,W716&lt;75),0.23,0)+IF(AND(V716&gt;=40,V716&lt;75,W716&gt;=75,W716&lt;120),0.17,0)+IF(AND(V716&gt;=40,V716&lt;75,W716&gt;=120),0.12,0)+IF(AND(V716&gt;=75,V716&lt;175,W716&lt;35),0.3,0)+IF(AND(V716&gt;=75,V716&lt;=175,W716&gt;=35,W716&lt;65),0.23,0)+IF(AND(V716&gt;=75,V716&lt;=175,W716&gt;=65,W716&lt;110),0.17,0)+IF(AND(V716&gt;=75,V716&lt;=175,W716&gt;=110),0.12,0)+IF(AND(V716&gt;175,W716&lt;25),0.3,0)+IF(AND(V716&gt;175,W716&gt;=25,W716&lt;55),0.23,0)+IF(AND(V716&gt;175,W716&gt;=55,W716&lt;95),0.17,0)+IF(AND(V716&gt;175,W716&gt;=95),0.12,0),
IF(AF716="DoEVsu",IF(AND(V716&lt;20,W716&lt;55),0.3,0)+IF(AND(V716&lt;20,W716&gt;=55,W716&lt;105),0.23,0)+IF(AND(V716&lt;20,W716&gt;=105),0.17,0)+IF(AND(V716&gt;=20,V716&lt;40,W716&lt;45),0.3,0)+IF(AND(V716&gt;=20,V716&lt;40,W716&gt;=45,W716&lt;95),0.23,0)+IF(AND(V716&gt;=20,V716&lt;40,W716&gt;=95,W716&lt;=250),0.17,0)+IF(AND(V716&gt;=20,V716&lt;40,W716&gt;=250),0.12,0)+IF(AND(V716&gt;=40,V716&lt;75,W716&lt;35),0.3,0)+IF(AND(V716&gt;=40,V716&lt;75,W716&gt;=35,W716&lt;75),0.23,0)+IF(AND(V716&gt;=40,V716&lt;75,W716&gt;=75,W716&lt;120),0.17,0)+IF(AND(V716&gt;=40,V716&lt;75,W716&gt;=120),0.12,0)+IF(AND(V716&gt;=75,V716&lt;175,W716&lt;35),0.3,0)+IF(AND(V716&gt;=75,V716&lt;=175,W716&gt;=35,W716&lt;65),0.23,0)+IF(AND(V716&gt;=75,V716&lt;=175,W716&gt;=65,W716&lt;110),0.17,0)+IF(AND(V716&gt;=75,V716&lt;=175,W716&gt;=110),0.12,0)+IF(AND(V716&gt;175,W716&lt;25),0.3,0)+IF(AND(V716&gt;175,W716&gt;=25,W716&lt;55),0.23,0)+IF(AND(V716&gt;175,W716&gt;=55,W716&lt;95),0.17,0)+IF(AND(V716&gt;175,W716&gt;=95),0.12,0),
IF(AF716="DoEVni",IF(AND(V716&lt;20,W716&lt;55),0.3,0)+IF(AND(V716&lt;20,W716&gt;=55,W716&lt;105),0.23,0)+IF(AND(V716&lt;20,W716&gt;=105),0.17,0)+IF(AND(V716&gt;=20,V716&lt;40,W716&lt;45),0.3,0)+IF(AND(V716&gt;=20,V716&lt;40,W716&gt;=45,W716&lt;95),0.23,0)+IF(AND(V716&gt;=20,V716&lt;40,W716&gt;=95,W716&lt;=200),0.17,0)+IF(AND(V716&gt;=20,V716&lt;40,W716&gt;=200),0.12,0)+IF(AND(V716&gt;=40,V716&lt;75,W716&lt;35),0.3,0)+IF(AND(V716&gt;=40,V716&lt;75,W716&gt;=35,W716&lt;75),0.23,0)+IF(AND(V716&gt;=40,V716&lt;75,W716&gt;=75,W716&lt;120),0.17,0)+IF(AND(V716&gt;=40,V716&lt;75,W716&gt;=120),0.12,0)+IF(AND(V716&gt;=75,V716&lt;175,W716&lt;35),0.3,0)+IF(AND(V716&gt;=75,V716&lt;=175,W716&gt;=35,W716&lt;65),0.23,0)+IF(AND(V716&gt;=75,V716&lt;=175,W716&gt;=65,W716&lt;110),0.17,0)+IF(AND(V716&gt;=75,V716&lt;=175,W716&gt;=110),0.12,0)+IF(AND(V716&gt;175,W716&lt;25),0.3,0)+IF(AND(V716&gt;175,W716&gt;=25,W716&lt;55),0.23,0)+IF(AND(V716&gt;175,W716&gt;=55,W716&lt;95),0.17,0)+IF(AND(V716&gt;175,W716&gt;=95),0.12,0),
IF(AF716="DoEVLo",IF(AND(V716&lt;20,W716&lt;55),0.25,0)+IF(AND(V716&lt;20,W716&gt;=55,W716&lt;105),0.2,0)+IF(AND(V716&lt;20,W716&gt;=105),0.15,0)+IF(AND(V716&gt;=20,V716&lt;40,W716&lt;45),0.25,0)+IF(AND(V716&gt;=20,V716&lt;40,W716&gt;=45,W716&lt;95),0.2,0)+IF(AND(V716&gt;=20,V716&lt;40,W716&gt;=95),0.15,0)+IF(AND(V716&gt;=40,V716&lt;75,W716&lt;35),0.25,0)+IF(AND(V716&gt;=40,V716&lt;75,W716&gt;=35,W716&lt;75),0.2,0)+IF(AND(V716&gt;=40,V716&lt;75,W716&gt;=75,W716&lt;120),0.15,0)+IF(AND(V716&gt;=40,V716&lt;75,W716&gt;=120),0.1,0)+IF(AND(V716&gt;=75,V716&lt;175,W716&lt;35),0.25,0)+IF(AND(V716&gt;=75,V716&lt;=175,W716&gt;=35,W716&lt;65),0.2,0)+IF(AND(V716&gt;=75,V716&lt;=175,W716&gt;=65,W716&lt;110),0.15,0)+IF(AND(V716&gt;=75,V716&lt;=175,W716&gt;=110),0.1,0)+IF(AND(V716&gt;175,W716&lt;25),0.25,0)+IF(AND(V716&gt;175,W716&gt;=25,W716&lt;55),0.2,0)+IF(AND(V716&gt;175,W716&gt;=55,W716&lt;95),0.15,0)+IF(AND(V716&gt;175,W716&gt;=95),0.1,0))))))))))))))))))</f>
        <v>0.19</v>
      </c>
      <c r="Y716" s="30">
        <f>IF(AG716="None",0,IF(AG716="Fix5",0.05, IF(AG716="Fix6.25",0.0625,IF(AG716="Fix3.75",0.0375,IF(AG716="Fix10",0.1,IF(AG716="Fix3",0.03,0))))))</f>
        <v>0</v>
      </c>
      <c r="Z716" s="35">
        <f>T716-AA716-AB716</f>
        <v>1166.4000000000001</v>
      </c>
      <c r="AA716" s="29">
        <f>IF(AD716="EUR",((T716-R716)*X716)*U716+(R716*X716),(T716*X716))</f>
        <v>273.60000000000002</v>
      </c>
      <c r="AB716" s="36">
        <f>IF(AD716="EUR",((T716-R716)*Y716)*U716+(R716*Y716),(T716*Y716))</f>
        <v>0</v>
      </c>
      <c r="AC716" s="37" t="b">
        <v>1</v>
      </c>
      <c r="AD716" s="37" t="s">
        <v>38</v>
      </c>
      <c r="AE716" s="37" t="s">
        <v>38</v>
      </c>
      <c r="AF716" s="37" t="str">
        <f t="array" ref="AF716">INDEX('Deal Info'!D:D, MATCH(A716,'Deal Info'!A:A, 0))</f>
        <v>Fix19</v>
      </c>
      <c r="AG716" s="38" t="str">
        <f t="array" ref="AG716">INDEX('Deal Info'!G:G, MATCH(A716,'Deal Info'!A:A, 0))</f>
        <v>None</v>
      </c>
    </row>
    <row r="717" spans="1:33" ht="14.25" hidden="1" x14ac:dyDescent="0.2">
      <c r="A717" s="18" t="str">
        <f t="array" ref="A717">IF(G717='Room Info'!$B$1, INDEX('Room Info'!$A$2:$A2446, MATCH(B717,'Room Info'!$B$2:$B2446, 0)),IF(G717='Room Info'!$C$1, INDEX('Room Info'!$A$2:$A2446, MATCH(B717,'Room Info'!$C$2:$C2446, 0)),IF(G717='Room Info'!$D$1, INDEX('Room Info'!$A$2:$A2446, MATCH(B717,'Room Info'!$D$2:$D2446, 0)),IF(G717='Room Info'!$E$1, INDEX('Room Info'!$A$2:$A2446, MATCH(B717,'Room Info'!$E$2:$E2446, 0)),IF(G717='Room Info'!$F$1, INDEX('Room Info'!$A$2:$A2446, MATCH(B717,'Room Info'!$F$2:$F2446, 0)),IF(G717='Room Info'!$H$1, INDEX('Room Info'!$A$2:$A2446, MATCH(B717,'Room Info'!$H$2:$H2446, 0)),IF(G717='Room Info'!$G$1, INDEX('Room Info'!$A$2:$A2446, MATCH(B717,'Room Info'!$G$2:$G2446, 0)))))))))</f>
        <v>dimasik</v>
      </c>
      <c r="B717" s="45" t="s">
        <v>162</v>
      </c>
      <c r="C717" s="77">
        <v>44896</v>
      </c>
      <c r="D717" s="77">
        <v>44926</v>
      </c>
      <c r="E717" s="47">
        <v>44896</v>
      </c>
      <c r="F717" s="48" t="s">
        <v>41</v>
      </c>
      <c r="G717" s="45" t="s">
        <v>35</v>
      </c>
      <c r="H717" s="49" t="s">
        <v>46</v>
      </c>
      <c r="I717" s="49" t="s">
        <v>37</v>
      </c>
      <c r="J717" s="74">
        <v>25</v>
      </c>
      <c r="K717" s="75">
        <v>120</v>
      </c>
      <c r="L717" s="72">
        <v>-125</v>
      </c>
      <c r="M717" s="76">
        <v>133</v>
      </c>
      <c r="N717" s="28">
        <f>K717*J717</f>
        <v>3000</v>
      </c>
      <c r="O717" s="45">
        <v>89</v>
      </c>
      <c r="P717" s="29">
        <v>0.74166666670000003</v>
      </c>
      <c r="Q717" s="55"/>
      <c r="R717" s="31">
        <f>M717+Q717</f>
        <v>133</v>
      </c>
      <c r="S717" s="97"/>
      <c r="T717" s="32">
        <f>R717+S717+IF(F717="Without EV deal",L717,0)</f>
        <v>8</v>
      </c>
      <c r="U717" s="57">
        <v>1</v>
      </c>
      <c r="V717" s="58"/>
      <c r="W717" s="58"/>
      <c r="X717" s="30">
        <f>IF(AF717="DoEV",IF(AND(V717&lt;20,W717&lt;55),0.3,0)+IF(AND(V717&lt;20,W717&gt;=55,W717&lt;105),0.23,0)+IF(AND(V717&lt;20,W717&gt;=105),0.17,0)+IF(AND(V717&gt;=20,V717&lt;40,W717&lt;45),0.3,0)+IF(AND(V717&gt;=20,V717&lt;40,W717&gt;=45,W717&lt;95),0.23,0)+IF(AND(V717&gt;=20,V717&lt;40,W717&gt;=95),0.17,0)+IF(AND(V717&gt;=40,V717&lt;75,W717&lt;35),0.3,0)+IF(AND(V717&gt;=40,V717&lt;75,W717&gt;=35,W717&lt;75),0.23,0)+IF(AND(V717&gt;=40,V717&lt;75,W717&gt;=75,W717&lt;120),0.17,0)+IF(AND(V717&gt;=40,V717&lt;75,W717&gt;=120),0.12,0)+IF(AND(V717&gt;=75,V717&lt;175,W717&lt;35),0.3,0)+IF(AND(V717&gt;=75,V717&lt;=175,W717&gt;=35,W717&lt;65),0.23,0)+IF(AND(V717&gt;=75,V717&lt;=175,W717&gt;=65,W717&lt;110),0.17,0)+IF(AND(V717&gt;=75,V717&lt;=175,W717&gt;=110),0.12,0)+IF(AND(V717&gt;175,W717&lt;25),0.3,0)+IF(AND(V717&gt;175,W717&gt;=25,W717&lt;55),0.23,0)+IF(AND(V717&gt;175,W717&gt;=55,W717&lt;95),0.17,0)+IF(AND(V717&gt;175,W717&gt;=95),0.12,0),
IF(AF717="Fix15",0.15,
IF(AF717="Fix18.75",0.1875,
IF(AF717="Fix11.25",0.1125,
IF(AF717="Fix10",0.1,
IF(AF717="Fix9",0.09,
IF(AF717="Fix19",0.19,
IF(AF717="DoEV2017",IF(AND(W717&lt;74),0.2,0)+IF(AND(W717&gt;=74),0.17,0),
IF(AF717="SF",IF(AND(V717&lt;20,W717&lt;89),0.3,0)+IF(AND(V717&lt;20,W717&gt;=89),0.25,0)+IF(AND(V717&gt;=20,V717&lt;40,W717&lt;74),0.3,0)+IF(AND(V717&gt;=20,V717&lt;40,W717&gt;=75),0.22,0)+IF(AND(V717&gt;=40,V717&lt;75,W717&lt;75),0.26,0)+IF(AND(V717&gt;=40,V717&lt;75,W717&gt;=75),0.22,0)+IF(V717&gt;=75,0.22,0),
IF(AF717="DoEVold",IF(AND(V717&lt;40,W717&lt;35),0.35,0)+IF(AND(V717&lt;40,W717&gt;=35,W717&lt;75),0.25,0)+IF(AND(V717&lt;40,W717&gt;=75),0.17,0)+IF(AND(V717&gt;=40,V717&lt;75,W717&lt;25),0.35,0)+IF(AND(V717&gt;=40,V717&lt;75,W717&gt;=25,W717&lt;65),0.25,0)+IF(AND(V717&gt;=40,V717&lt;75,W717&gt;=65,W717&lt;100),0.17,0)+IF(AND(V717&gt;=40,V717&lt;75,W717&gt;=100),0.1,0)+IF(AND(V717&gt;=75,W717&lt;25),0.35,0)+IF(AND(V717&gt;=75,W717&gt;=25,W717&lt;60),0.25,0)+IF(AND(V717&gt;=75,W717&gt;=60,W717&lt;95),0.17,0)+IF(AND(V717&gt;=75,W717&gt;=95),0.1,0),
IF(AF717="DoEVold15",IF(AND(V717&lt;=40,W717&lt;35),0.35,0)+IF(AND(V717&lt;=40,W717&gt;=35,W717&lt;75),0.25,0)+IF(AND(V717&lt;=40,W717&gt;=75,W717&lt;120),0.17,0)+IF(AND(V717&lt;=40,W717&gt;=120),0.15,0)+IF(AND(V717&gt;40,V717&lt;75,W717&lt;25),0.35,0)+IF(AND(V717&gt;=40,V717&lt;75,W717&gt;=25,W717&lt;65),0.25,0)+IF(AND(V717&gt;=40,V717&lt;75,W717&gt;=65,W717&lt;100),0.17,0)+IF(AND(V717&gt;=40,V717&lt;75,W717&gt;=100),0.1,0)+IF(AND(V717&gt;=75,W717&lt;25),0.35,0)+IF(AND(V717&gt;=75,W717&gt;=25,W717&lt;60),0.25,0)+IF(AND(V717&gt;=75,W717&gt;=60,W717&lt;95),0.17,0)+IF(AND(V717&gt;=75,W717&gt;=95),0.1,0),
IF(AF717="DoEVba",IF(AND(V717&lt;20,W717&lt;105),0.2,0)+IF(AND(V717&lt;20,W717&gt;=105),0.15,0)+IF(AND(V717&gt;=20,V717&lt;40,W717&lt;95),0.2,0)+IF(AND(V717&gt;=20,V717&lt;40,W717&gt;=95,W717&lt;150),0.15,0)+IF(AND(V717&gt;=20,V717&lt;40,W717&gt;=150),0.12,0)+IF(AND(V717&gt;=40,V717&lt;75,W717&lt;75),0.2,0)+IF(AND(V717&gt;=40,V717&lt;75,W717&gt;=75,W717&lt;120),0.15,0)+IF(AND(V717&gt;=40,V717&lt;75,W717&gt;=120),0.12,0)+IF(AND(V717&gt;=75,V717&lt;175,W717&lt;65),0.2,0)+IF(AND(V717&gt;=75,V717&lt;175,W717&gt;=65,W717&lt;110),0.15,0)+IF(AND(V717&gt;=75,V717&lt;175,W717&gt;=110),0.12,0)+IF(AND(V717&gt;=175,W717&lt;55),0.2,0)+IF(AND(V717&gt;=175,W717&gt;=55,W717&lt;95),0.15,0)+IF(AND(V717&gt;=175,W717&gt;=95),0.12,0),
IF(AF717="DoEVku",IF(AND(V717&lt;20,W717&lt;55),0.23,0)+IF(AND(V717&lt;20,W717&gt;=55,W717&lt;105),0.2,0)+IF(AND(V717&lt;20,W717&gt;=105),0.17,0)+IF(AND(V717&gt;=20,V717&lt;40,W717&lt;45),0.23,0)+IF(AND(V717&gt;=20,V717&lt;40,W717&gt;=45,W717&lt;95),0.2,0)+IF(AND(V717&gt;=20,V717&lt;40,W717&gt;=95,W717&lt;=150),0.17,0)+IF(AND(V717&gt;=20,V717&lt;40,W717&gt;=150),0.12,0)+IF(AND(V717&gt;=40,V717&lt;75,W717&lt;35),0.23,0)+IF(AND(V717&gt;=40,V717&lt;75,W717&gt;=35,W717&lt;75),0.2,0)+IF(AND(V717&gt;=40,V717&lt;75,W717&gt;=75,W717&lt;120),0.17,0)+IF(AND(V717&gt;=40,V717&lt;75,W717&gt;=120),0.12,0)+IF(AND(V717&gt;=75,V717&lt;175,W717&lt;35),0.23,0)+IF(AND(V717&gt;=75,V717&lt;=175,W717&gt;=35,W717&lt;65),0.2,0)+IF(AND(V717&gt;=75,V717&lt;=175,W717&gt;=65,W717&lt;110),0.17,0)+IF(AND(V717&gt;=75,V717&lt;=175,W717&gt;=110),0.12,0)+IF(AND(V717&gt;175,W717&lt;25),0.23,0)+IF(AND(V717&gt;175,W717&gt;=25,W717&lt;55),0.2,0)+IF(AND(V717&gt;175,W717&gt;=55,W717&lt;95),0.17,0)+IF(AND(V717&gt;175,W717&gt;=95),0.12,0),
IF(AF717="DoEVs1",IF(AND(V717&lt;20,W717&lt;55),0.3,0)+IF(AND(V717&lt;20,W717&gt;=55,W717&lt;105),0.23,0)+IF(AND(V717&lt;20,W717&gt;=105),0.17,0)+IF(AND(V717&gt;=20,V717&lt;40,W717&lt;45),0.3,0)+IF(AND(V717&gt;=20,V717&lt;40,W717&gt;=45,W717&lt;95),0.23,0)+IF(AND(V717&gt;=20,V717&lt;40,W717&gt;=95,W717&lt;=150),0.17,0)+IF(AND(V717&gt;=20,V717&lt;40,W717&gt;=150),0.12,0)+IF(AND(V717&gt;=40,V717&lt;75,W717&lt;35),0.3,0)+IF(AND(V717&gt;=40,V717&lt;75,W717&gt;=35,W717&lt;75),0.23,0)+IF(AND(V717&gt;=40,V717&lt;75,W717&gt;=75,W717&lt;120),0.17,0)+IF(AND(V717&gt;=40,V717&lt;75,W717&gt;=120),0.12,0)+IF(AND(V717&gt;=75,V717&lt;175,W717&lt;35),0.3,0)+IF(AND(V717&gt;=75,V717&lt;=175,W717&gt;=35,W717&lt;65),0.23,0)+IF(AND(V717&gt;=75,V717&lt;=175,W717&gt;=65,W717&lt;110),0.17,0)+IF(AND(V717&gt;=75,V717&lt;=175,W717&gt;=110),0.12,0)+IF(AND(V717&gt;175,W717&lt;25),0.3,0)+IF(AND(V717&gt;175,W717&gt;=25,W717&lt;55),0.23,0)+IF(AND(V717&gt;175,W717&gt;=55,W717&lt;95),0.17,0)+IF(AND(V717&gt;175,W717&gt;=95),0.12,0),
IF(AF717="DoEVsu",IF(AND(V717&lt;20,W717&lt;55),0.3,0)+IF(AND(V717&lt;20,W717&gt;=55,W717&lt;105),0.23,0)+IF(AND(V717&lt;20,W717&gt;=105),0.17,0)+IF(AND(V717&gt;=20,V717&lt;40,W717&lt;45),0.3,0)+IF(AND(V717&gt;=20,V717&lt;40,W717&gt;=45,W717&lt;95),0.23,0)+IF(AND(V717&gt;=20,V717&lt;40,W717&gt;=95,W717&lt;=250),0.17,0)+IF(AND(V717&gt;=20,V717&lt;40,W717&gt;=250),0.12,0)+IF(AND(V717&gt;=40,V717&lt;75,W717&lt;35),0.3,0)+IF(AND(V717&gt;=40,V717&lt;75,W717&gt;=35,W717&lt;75),0.23,0)+IF(AND(V717&gt;=40,V717&lt;75,W717&gt;=75,W717&lt;120),0.17,0)+IF(AND(V717&gt;=40,V717&lt;75,W717&gt;=120),0.12,0)+IF(AND(V717&gt;=75,V717&lt;175,W717&lt;35),0.3,0)+IF(AND(V717&gt;=75,V717&lt;=175,W717&gt;=35,W717&lt;65),0.23,0)+IF(AND(V717&gt;=75,V717&lt;=175,W717&gt;=65,W717&lt;110),0.17,0)+IF(AND(V717&gt;=75,V717&lt;=175,W717&gt;=110),0.12,0)+IF(AND(V717&gt;175,W717&lt;25),0.3,0)+IF(AND(V717&gt;175,W717&gt;=25,W717&lt;55),0.23,0)+IF(AND(V717&gt;175,W717&gt;=55,W717&lt;95),0.17,0)+IF(AND(V717&gt;175,W717&gt;=95),0.12,0),
IF(AF717="DoEVni",IF(AND(V717&lt;20,W717&lt;55),0.3,0)+IF(AND(V717&lt;20,W717&gt;=55,W717&lt;105),0.23,0)+IF(AND(V717&lt;20,W717&gt;=105),0.17,0)+IF(AND(V717&gt;=20,V717&lt;40,W717&lt;45),0.3,0)+IF(AND(V717&gt;=20,V717&lt;40,W717&gt;=45,W717&lt;95),0.23,0)+IF(AND(V717&gt;=20,V717&lt;40,W717&gt;=95,W717&lt;=200),0.17,0)+IF(AND(V717&gt;=20,V717&lt;40,W717&gt;=200),0.12,0)+IF(AND(V717&gt;=40,V717&lt;75,W717&lt;35),0.3,0)+IF(AND(V717&gt;=40,V717&lt;75,W717&gt;=35,W717&lt;75),0.23,0)+IF(AND(V717&gt;=40,V717&lt;75,W717&gt;=75,W717&lt;120),0.17,0)+IF(AND(V717&gt;=40,V717&lt;75,W717&gt;=120),0.12,0)+IF(AND(V717&gt;=75,V717&lt;175,W717&lt;35),0.3,0)+IF(AND(V717&gt;=75,V717&lt;=175,W717&gt;=35,W717&lt;65),0.23,0)+IF(AND(V717&gt;=75,V717&lt;=175,W717&gt;=65,W717&lt;110),0.17,0)+IF(AND(V717&gt;=75,V717&lt;=175,W717&gt;=110),0.12,0)+IF(AND(V717&gt;175,W717&lt;25),0.3,0)+IF(AND(V717&gt;175,W717&gt;=25,W717&lt;55),0.23,0)+IF(AND(V717&gt;175,W717&gt;=55,W717&lt;95),0.17,0)+IF(AND(V717&gt;175,W717&gt;=95),0.12,0),
IF(AF717="DoEVLo",IF(AND(V717&lt;20,W717&lt;55),0.25,0)+IF(AND(V717&lt;20,W717&gt;=55,W717&lt;105),0.2,0)+IF(AND(V717&lt;20,W717&gt;=105),0.15,0)+IF(AND(V717&gt;=20,V717&lt;40,W717&lt;45),0.25,0)+IF(AND(V717&gt;=20,V717&lt;40,W717&gt;=45,W717&lt;95),0.2,0)+IF(AND(V717&gt;=20,V717&lt;40,W717&gt;=95),0.15,0)+IF(AND(V717&gt;=40,V717&lt;75,W717&lt;35),0.25,0)+IF(AND(V717&gt;=40,V717&lt;75,W717&gt;=35,W717&lt;75),0.2,0)+IF(AND(V717&gt;=40,V717&lt;75,W717&gt;=75,W717&lt;120),0.15,0)+IF(AND(V717&gt;=40,V717&lt;75,W717&gt;=120),0.1,0)+IF(AND(V717&gt;=75,V717&lt;175,W717&lt;35),0.25,0)+IF(AND(V717&gt;=75,V717&lt;=175,W717&gt;=35,W717&lt;65),0.2,0)+IF(AND(V717&gt;=75,V717&lt;=175,W717&gt;=65,W717&lt;110),0.15,0)+IF(AND(V717&gt;=75,V717&lt;=175,W717&gt;=110),0.1,0)+IF(AND(V717&gt;175,W717&lt;25),0.25,0)+IF(AND(V717&gt;175,W717&gt;=25,W717&lt;55),0.2,0)+IF(AND(V717&gt;175,W717&gt;=55,W717&lt;95),0.15,0)+IF(AND(V717&gt;175,W717&gt;=95),0.1,0))))))))))))))))))</f>
        <v>0.19</v>
      </c>
      <c r="Y717" s="30">
        <f>IF(AG717="None",0,IF(AG717="Fix5",0.05, IF(AG717="Fix6.25",0.0625,IF(AG717="Fix3.75",0.0375,IF(AG717="Fix10",0.1,IF(AG717="Fix3",0.03,0))))))</f>
        <v>0</v>
      </c>
      <c r="Z717" s="35">
        <f>T717-AA717-AB717</f>
        <v>6.48</v>
      </c>
      <c r="AA717" s="29">
        <f>IF(AD717="EUR",((T717-R717)*X717)*U717+(R717*X717),(T717*X717))</f>
        <v>1.52</v>
      </c>
      <c r="AB717" s="36">
        <f>IF(AD717="EUR",((T717-R717)*Y717)*U717+(R717*Y717),(T717*Y717))</f>
        <v>0</v>
      </c>
      <c r="AC717" s="37" t="b">
        <v>1</v>
      </c>
      <c r="AD717" s="37" t="s">
        <v>38</v>
      </c>
      <c r="AE717" s="37" t="s">
        <v>38</v>
      </c>
      <c r="AF717" s="37" t="str">
        <f t="array" ref="AF717">INDEX('Deal Info'!D:D, MATCH(A717,'Deal Info'!A:A, 0))</f>
        <v>Fix19</v>
      </c>
      <c r="AG717" s="38" t="str">
        <f t="array" ref="AG717">INDEX('Deal Info'!G:G, MATCH(A717,'Deal Info'!A:A, 0))</f>
        <v>None</v>
      </c>
    </row>
    <row r="718" spans="1:33" ht="14.25" hidden="1" x14ac:dyDescent="0.2">
      <c r="A718" s="18" t="str">
        <f t="array" ref="A718">IF(G718='Room Info'!$B$1, INDEX('Room Info'!$A$2:$A2446, MATCH(B718,'Room Info'!$B$2:$B2446, 0)),IF(G718='Room Info'!$C$1, INDEX('Room Info'!$A$2:$A2446, MATCH(B718,'Room Info'!$C$2:$C2446, 0)),IF(G718='Room Info'!$D$1, INDEX('Room Info'!$A$2:$A2446, MATCH(B718,'Room Info'!$D$2:$D2446, 0)),IF(G718='Room Info'!$E$1, INDEX('Room Info'!$A$2:$A2446, MATCH(B718,'Room Info'!$E$2:$E2446, 0)),IF(G718='Room Info'!$F$1, INDEX('Room Info'!$A$2:$A2446, MATCH(B718,'Room Info'!$F$2:$F2446, 0)),IF(G718='Room Info'!$H$1, INDEX('Room Info'!$A$2:$A2446, MATCH(B718,'Room Info'!$H$2:$H2446, 0)),IF(G718='Room Info'!$G$1, INDEX('Room Info'!$A$2:$A2446, MATCH(B718,'Room Info'!$G$2:$G2446, 0)))))))))</f>
        <v>dimasik</v>
      </c>
      <c r="B718" s="45" t="s">
        <v>162</v>
      </c>
      <c r="C718" s="77">
        <v>44896</v>
      </c>
      <c r="D718" s="77">
        <v>44926</v>
      </c>
      <c r="E718" s="47">
        <v>44896</v>
      </c>
      <c r="F718" s="48" t="s">
        <v>41</v>
      </c>
      <c r="G718" s="45" t="s">
        <v>35</v>
      </c>
      <c r="H718" s="49" t="s">
        <v>72</v>
      </c>
      <c r="I718" s="49" t="s">
        <v>37</v>
      </c>
      <c r="J718" s="74">
        <v>50</v>
      </c>
      <c r="K718" s="75">
        <v>464</v>
      </c>
      <c r="L718" s="72">
        <v>-750</v>
      </c>
      <c r="M718" s="76">
        <v>1030</v>
      </c>
      <c r="N718" s="28">
        <f>K718*J718</f>
        <v>23200</v>
      </c>
      <c r="O718" s="45">
        <v>16747</v>
      </c>
      <c r="P718" s="29">
        <v>36.092672409999999</v>
      </c>
      <c r="Q718" s="55"/>
      <c r="R718" s="31">
        <f>M718+Q718</f>
        <v>1030</v>
      </c>
      <c r="S718" s="97"/>
      <c r="T718" s="32">
        <f>R718+S718+IF(F718="Without EV deal",L718,0)</f>
        <v>280</v>
      </c>
      <c r="U718" s="57">
        <v>1</v>
      </c>
      <c r="V718" s="58"/>
      <c r="W718" s="58"/>
      <c r="X718" s="30">
        <f>IF(AF718="DoEV",IF(AND(V718&lt;20,W718&lt;55),0.3,0)+IF(AND(V718&lt;20,W718&gt;=55,W718&lt;105),0.23,0)+IF(AND(V718&lt;20,W718&gt;=105),0.17,0)+IF(AND(V718&gt;=20,V718&lt;40,W718&lt;45),0.3,0)+IF(AND(V718&gt;=20,V718&lt;40,W718&gt;=45,W718&lt;95),0.23,0)+IF(AND(V718&gt;=20,V718&lt;40,W718&gt;=95),0.17,0)+IF(AND(V718&gt;=40,V718&lt;75,W718&lt;35),0.3,0)+IF(AND(V718&gt;=40,V718&lt;75,W718&gt;=35,W718&lt;75),0.23,0)+IF(AND(V718&gt;=40,V718&lt;75,W718&gt;=75,W718&lt;120),0.17,0)+IF(AND(V718&gt;=40,V718&lt;75,W718&gt;=120),0.12,0)+IF(AND(V718&gt;=75,V718&lt;175,W718&lt;35),0.3,0)+IF(AND(V718&gt;=75,V718&lt;=175,W718&gt;=35,W718&lt;65),0.23,0)+IF(AND(V718&gt;=75,V718&lt;=175,W718&gt;=65,W718&lt;110),0.17,0)+IF(AND(V718&gt;=75,V718&lt;=175,W718&gt;=110),0.12,0)+IF(AND(V718&gt;175,W718&lt;25),0.3,0)+IF(AND(V718&gt;175,W718&gt;=25,W718&lt;55),0.23,0)+IF(AND(V718&gt;175,W718&gt;=55,W718&lt;95),0.17,0)+IF(AND(V718&gt;175,W718&gt;=95),0.12,0),
IF(AF718="Fix15",0.15,
IF(AF718="Fix18.75",0.1875,
IF(AF718="Fix11.25",0.1125,
IF(AF718="Fix10",0.1,
IF(AF718="Fix9",0.09,
IF(AF718="Fix19",0.19,
IF(AF718="DoEV2017",IF(AND(W718&lt;74),0.2,0)+IF(AND(W718&gt;=74),0.17,0),
IF(AF718="SF",IF(AND(V718&lt;20,W718&lt;89),0.3,0)+IF(AND(V718&lt;20,W718&gt;=89),0.25,0)+IF(AND(V718&gt;=20,V718&lt;40,W718&lt;74),0.3,0)+IF(AND(V718&gt;=20,V718&lt;40,W718&gt;=75),0.22,0)+IF(AND(V718&gt;=40,V718&lt;75,W718&lt;75),0.26,0)+IF(AND(V718&gt;=40,V718&lt;75,W718&gt;=75),0.22,0)+IF(V718&gt;=75,0.22,0),
IF(AF718="DoEVold",IF(AND(V718&lt;40,W718&lt;35),0.35,0)+IF(AND(V718&lt;40,W718&gt;=35,W718&lt;75),0.25,0)+IF(AND(V718&lt;40,W718&gt;=75),0.17,0)+IF(AND(V718&gt;=40,V718&lt;75,W718&lt;25),0.35,0)+IF(AND(V718&gt;=40,V718&lt;75,W718&gt;=25,W718&lt;65),0.25,0)+IF(AND(V718&gt;=40,V718&lt;75,W718&gt;=65,W718&lt;100),0.17,0)+IF(AND(V718&gt;=40,V718&lt;75,W718&gt;=100),0.1,0)+IF(AND(V718&gt;=75,W718&lt;25),0.35,0)+IF(AND(V718&gt;=75,W718&gt;=25,W718&lt;60),0.25,0)+IF(AND(V718&gt;=75,W718&gt;=60,W718&lt;95),0.17,0)+IF(AND(V718&gt;=75,W718&gt;=95),0.1,0),
IF(AF718="DoEVold15",IF(AND(V718&lt;=40,W718&lt;35),0.35,0)+IF(AND(V718&lt;=40,W718&gt;=35,W718&lt;75),0.25,0)+IF(AND(V718&lt;=40,W718&gt;=75,W718&lt;120),0.17,0)+IF(AND(V718&lt;=40,W718&gt;=120),0.15,0)+IF(AND(V718&gt;40,V718&lt;75,W718&lt;25),0.35,0)+IF(AND(V718&gt;=40,V718&lt;75,W718&gt;=25,W718&lt;65),0.25,0)+IF(AND(V718&gt;=40,V718&lt;75,W718&gt;=65,W718&lt;100),0.17,0)+IF(AND(V718&gt;=40,V718&lt;75,W718&gt;=100),0.1,0)+IF(AND(V718&gt;=75,W718&lt;25),0.35,0)+IF(AND(V718&gt;=75,W718&gt;=25,W718&lt;60),0.25,0)+IF(AND(V718&gt;=75,W718&gt;=60,W718&lt;95),0.17,0)+IF(AND(V718&gt;=75,W718&gt;=95),0.1,0),
IF(AF718="DoEVba",IF(AND(V718&lt;20,W718&lt;105),0.2,0)+IF(AND(V718&lt;20,W718&gt;=105),0.15,0)+IF(AND(V718&gt;=20,V718&lt;40,W718&lt;95),0.2,0)+IF(AND(V718&gt;=20,V718&lt;40,W718&gt;=95,W718&lt;150),0.15,0)+IF(AND(V718&gt;=20,V718&lt;40,W718&gt;=150),0.12,0)+IF(AND(V718&gt;=40,V718&lt;75,W718&lt;75),0.2,0)+IF(AND(V718&gt;=40,V718&lt;75,W718&gt;=75,W718&lt;120),0.15,0)+IF(AND(V718&gt;=40,V718&lt;75,W718&gt;=120),0.12,0)+IF(AND(V718&gt;=75,V718&lt;175,W718&lt;65),0.2,0)+IF(AND(V718&gt;=75,V718&lt;175,W718&gt;=65,W718&lt;110),0.15,0)+IF(AND(V718&gt;=75,V718&lt;175,W718&gt;=110),0.12,0)+IF(AND(V718&gt;=175,W718&lt;55),0.2,0)+IF(AND(V718&gt;=175,W718&gt;=55,W718&lt;95),0.15,0)+IF(AND(V718&gt;=175,W718&gt;=95),0.12,0),
IF(AF718="DoEVku",IF(AND(V718&lt;20,W718&lt;55),0.23,0)+IF(AND(V718&lt;20,W718&gt;=55,W718&lt;105),0.2,0)+IF(AND(V718&lt;20,W718&gt;=105),0.17,0)+IF(AND(V718&gt;=20,V718&lt;40,W718&lt;45),0.23,0)+IF(AND(V718&gt;=20,V718&lt;40,W718&gt;=45,W718&lt;95),0.2,0)+IF(AND(V718&gt;=20,V718&lt;40,W718&gt;=95,W718&lt;=150),0.17,0)+IF(AND(V718&gt;=20,V718&lt;40,W718&gt;=150),0.12,0)+IF(AND(V718&gt;=40,V718&lt;75,W718&lt;35),0.23,0)+IF(AND(V718&gt;=40,V718&lt;75,W718&gt;=35,W718&lt;75),0.2,0)+IF(AND(V718&gt;=40,V718&lt;75,W718&gt;=75,W718&lt;120),0.17,0)+IF(AND(V718&gt;=40,V718&lt;75,W718&gt;=120),0.12,0)+IF(AND(V718&gt;=75,V718&lt;175,W718&lt;35),0.23,0)+IF(AND(V718&gt;=75,V718&lt;=175,W718&gt;=35,W718&lt;65),0.2,0)+IF(AND(V718&gt;=75,V718&lt;=175,W718&gt;=65,W718&lt;110),0.17,0)+IF(AND(V718&gt;=75,V718&lt;=175,W718&gt;=110),0.12,0)+IF(AND(V718&gt;175,W718&lt;25),0.23,0)+IF(AND(V718&gt;175,W718&gt;=25,W718&lt;55),0.2,0)+IF(AND(V718&gt;175,W718&gt;=55,W718&lt;95),0.17,0)+IF(AND(V718&gt;175,W718&gt;=95),0.12,0),
IF(AF718="DoEVs1",IF(AND(V718&lt;20,W718&lt;55),0.3,0)+IF(AND(V718&lt;20,W718&gt;=55,W718&lt;105),0.23,0)+IF(AND(V718&lt;20,W718&gt;=105),0.17,0)+IF(AND(V718&gt;=20,V718&lt;40,W718&lt;45),0.3,0)+IF(AND(V718&gt;=20,V718&lt;40,W718&gt;=45,W718&lt;95),0.23,0)+IF(AND(V718&gt;=20,V718&lt;40,W718&gt;=95,W718&lt;=150),0.17,0)+IF(AND(V718&gt;=20,V718&lt;40,W718&gt;=150),0.12,0)+IF(AND(V718&gt;=40,V718&lt;75,W718&lt;35),0.3,0)+IF(AND(V718&gt;=40,V718&lt;75,W718&gt;=35,W718&lt;75),0.23,0)+IF(AND(V718&gt;=40,V718&lt;75,W718&gt;=75,W718&lt;120),0.17,0)+IF(AND(V718&gt;=40,V718&lt;75,W718&gt;=120),0.12,0)+IF(AND(V718&gt;=75,V718&lt;175,W718&lt;35),0.3,0)+IF(AND(V718&gt;=75,V718&lt;=175,W718&gt;=35,W718&lt;65),0.23,0)+IF(AND(V718&gt;=75,V718&lt;=175,W718&gt;=65,W718&lt;110),0.17,0)+IF(AND(V718&gt;=75,V718&lt;=175,W718&gt;=110),0.12,0)+IF(AND(V718&gt;175,W718&lt;25),0.3,0)+IF(AND(V718&gt;175,W718&gt;=25,W718&lt;55),0.23,0)+IF(AND(V718&gt;175,W718&gt;=55,W718&lt;95),0.17,0)+IF(AND(V718&gt;175,W718&gt;=95),0.12,0),
IF(AF718="DoEVsu",IF(AND(V718&lt;20,W718&lt;55),0.3,0)+IF(AND(V718&lt;20,W718&gt;=55,W718&lt;105),0.23,0)+IF(AND(V718&lt;20,W718&gt;=105),0.17,0)+IF(AND(V718&gt;=20,V718&lt;40,W718&lt;45),0.3,0)+IF(AND(V718&gt;=20,V718&lt;40,W718&gt;=45,W718&lt;95),0.23,0)+IF(AND(V718&gt;=20,V718&lt;40,W718&gt;=95,W718&lt;=250),0.17,0)+IF(AND(V718&gt;=20,V718&lt;40,W718&gt;=250),0.12,0)+IF(AND(V718&gt;=40,V718&lt;75,W718&lt;35),0.3,0)+IF(AND(V718&gt;=40,V718&lt;75,W718&gt;=35,W718&lt;75),0.23,0)+IF(AND(V718&gt;=40,V718&lt;75,W718&gt;=75,W718&lt;120),0.17,0)+IF(AND(V718&gt;=40,V718&lt;75,W718&gt;=120),0.12,0)+IF(AND(V718&gt;=75,V718&lt;175,W718&lt;35),0.3,0)+IF(AND(V718&gt;=75,V718&lt;=175,W718&gt;=35,W718&lt;65),0.23,0)+IF(AND(V718&gt;=75,V718&lt;=175,W718&gt;=65,W718&lt;110),0.17,0)+IF(AND(V718&gt;=75,V718&lt;=175,W718&gt;=110),0.12,0)+IF(AND(V718&gt;175,W718&lt;25),0.3,0)+IF(AND(V718&gt;175,W718&gt;=25,W718&lt;55),0.23,0)+IF(AND(V718&gt;175,W718&gt;=55,W718&lt;95),0.17,0)+IF(AND(V718&gt;175,W718&gt;=95),0.12,0),
IF(AF718="DoEVni",IF(AND(V718&lt;20,W718&lt;55),0.3,0)+IF(AND(V718&lt;20,W718&gt;=55,W718&lt;105),0.23,0)+IF(AND(V718&lt;20,W718&gt;=105),0.17,0)+IF(AND(V718&gt;=20,V718&lt;40,W718&lt;45),0.3,0)+IF(AND(V718&gt;=20,V718&lt;40,W718&gt;=45,W718&lt;95),0.23,0)+IF(AND(V718&gt;=20,V718&lt;40,W718&gt;=95,W718&lt;=200),0.17,0)+IF(AND(V718&gt;=20,V718&lt;40,W718&gt;=200),0.12,0)+IF(AND(V718&gt;=40,V718&lt;75,W718&lt;35),0.3,0)+IF(AND(V718&gt;=40,V718&lt;75,W718&gt;=35,W718&lt;75),0.23,0)+IF(AND(V718&gt;=40,V718&lt;75,W718&gt;=75,W718&lt;120),0.17,0)+IF(AND(V718&gt;=40,V718&lt;75,W718&gt;=120),0.12,0)+IF(AND(V718&gt;=75,V718&lt;175,W718&lt;35),0.3,0)+IF(AND(V718&gt;=75,V718&lt;=175,W718&gt;=35,W718&lt;65),0.23,0)+IF(AND(V718&gt;=75,V718&lt;=175,W718&gt;=65,W718&lt;110),0.17,0)+IF(AND(V718&gt;=75,V718&lt;=175,W718&gt;=110),0.12,0)+IF(AND(V718&gt;175,W718&lt;25),0.3,0)+IF(AND(V718&gt;175,W718&gt;=25,W718&lt;55),0.23,0)+IF(AND(V718&gt;175,W718&gt;=55,W718&lt;95),0.17,0)+IF(AND(V718&gt;175,W718&gt;=95),0.12,0),
IF(AF718="DoEVLo",IF(AND(V718&lt;20,W718&lt;55),0.25,0)+IF(AND(V718&lt;20,W718&gt;=55,W718&lt;105),0.2,0)+IF(AND(V718&lt;20,W718&gt;=105),0.15,0)+IF(AND(V718&gt;=20,V718&lt;40,W718&lt;45),0.25,0)+IF(AND(V718&gt;=20,V718&lt;40,W718&gt;=45,W718&lt;95),0.2,0)+IF(AND(V718&gt;=20,V718&lt;40,W718&gt;=95),0.15,0)+IF(AND(V718&gt;=40,V718&lt;75,W718&lt;35),0.25,0)+IF(AND(V718&gt;=40,V718&lt;75,W718&gt;=35,W718&lt;75),0.2,0)+IF(AND(V718&gt;=40,V718&lt;75,W718&gt;=75,W718&lt;120),0.15,0)+IF(AND(V718&gt;=40,V718&lt;75,W718&gt;=120),0.1,0)+IF(AND(V718&gt;=75,V718&lt;175,W718&lt;35),0.25,0)+IF(AND(V718&gt;=75,V718&lt;=175,W718&gt;=35,W718&lt;65),0.2,0)+IF(AND(V718&gt;=75,V718&lt;=175,W718&gt;=65,W718&lt;110),0.15,0)+IF(AND(V718&gt;=75,V718&lt;=175,W718&gt;=110),0.1,0)+IF(AND(V718&gt;175,W718&lt;25),0.25,0)+IF(AND(V718&gt;175,W718&gt;=25,W718&lt;55),0.2,0)+IF(AND(V718&gt;175,W718&gt;=55,W718&lt;95),0.15,0)+IF(AND(V718&gt;175,W718&gt;=95),0.1,0))))))))))))))))))</f>
        <v>0.19</v>
      </c>
      <c r="Y718" s="30">
        <f>IF(AG718="None",0,IF(AG718="Fix5",0.05, IF(AG718="Fix6.25",0.0625,IF(AG718="Fix3.75",0.0375,IF(AG718="Fix10",0.1,IF(AG718="Fix3",0.03,0))))))</f>
        <v>0</v>
      </c>
      <c r="Z718" s="35">
        <f>T718-AA718-AB718</f>
        <v>226.8</v>
      </c>
      <c r="AA718" s="29">
        <f>IF(AD718="EUR",((T718-R718)*X718)*U718+(R718*X718),(T718*X718))</f>
        <v>53.2</v>
      </c>
      <c r="AB718" s="36">
        <f>IF(AD718="EUR",((T718-R718)*Y718)*U718+(R718*Y718),(T718*Y718))</f>
        <v>0</v>
      </c>
      <c r="AC718" s="37" t="b">
        <v>1</v>
      </c>
      <c r="AD718" s="37" t="s">
        <v>38</v>
      </c>
      <c r="AE718" s="37" t="s">
        <v>38</v>
      </c>
      <c r="AF718" s="37" t="str">
        <f t="array" ref="AF718">INDEX('Deal Info'!D:D, MATCH(A718,'Deal Info'!A:A, 0))</f>
        <v>Fix19</v>
      </c>
      <c r="AG718" s="38" t="str">
        <f t="array" ref="AG718">INDEX('Deal Info'!G:G, MATCH(A718,'Deal Info'!A:A, 0))</f>
        <v>None</v>
      </c>
    </row>
    <row r="719" spans="1:33" ht="14.25" hidden="1" x14ac:dyDescent="0.2">
      <c r="A719" s="18" t="str">
        <f t="array" ref="A719">IF(G719='Room Info'!$B$1, INDEX('Room Info'!$A$2:$A2446, MATCH(B719,'Room Info'!$B$2:$B2446, 0)),IF(G719='Room Info'!$C$1, INDEX('Room Info'!$A$2:$A2446, MATCH(B719,'Room Info'!$C$2:$C2446, 0)),IF(G719='Room Info'!$D$1, INDEX('Room Info'!$A$2:$A2446, MATCH(B719,'Room Info'!$D$2:$D2446, 0)),IF(G719='Room Info'!$E$1, INDEX('Room Info'!$A$2:$A2446, MATCH(B719,'Room Info'!$E$2:$E2446, 0)),IF(G719='Room Info'!$F$1, INDEX('Room Info'!$A$2:$A2446, MATCH(B719,'Room Info'!$F$2:$F2446, 0)),IF(G719='Room Info'!$H$1, INDEX('Room Info'!$A$2:$A2446, MATCH(B719,'Room Info'!$H$2:$H2446, 0)),IF(G719='Room Info'!$G$1, INDEX('Room Info'!$A$2:$A2446, MATCH(B719,'Room Info'!$G$2:$G2446, 0)))))))))</f>
        <v>dimasik</v>
      </c>
      <c r="B719" s="45" t="s">
        <v>162</v>
      </c>
      <c r="C719" s="46">
        <v>44927</v>
      </c>
      <c r="D719" s="46">
        <v>44957</v>
      </c>
      <c r="E719" s="47">
        <v>44927</v>
      </c>
      <c r="F719" s="48" t="s">
        <v>41</v>
      </c>
      <c r="G719" s="45" t="s">
        <v>35</v>
      </c>
      <c r="H719" s="49" t="s">
        <v>51</v>
      </c>
      <c r="I719" s="49" t="s">
        <v>44</v>
      </c>
      <c r="J719" s="50">
        <v>0.25</v>
      </c>
      <c r="K719" s="51">
        <v>4</v>
      </c>
      <c r="L719" s="52">
        <v>2</v>
      </c>
      <c r="M719" s="53">
        <v>0</v>
      </c>
      <c r="N719" s="28">
        <f>K719*J719</f>
        <v>1</v>
      </c>
      <c r="O719" s="54">
        <v>-93</v>
      </c>
      <c r="P719" s="29">
        <v>-23.25</v>
      </c>
      <c r="Q719" s="55"/>
      <c r="R719" s="31">
        <f>M719+Q719</f>
        <v>0</v>
      </c>
      <c r="S719" s="66"/>
      <c r="T719" s="32">
        <f>R719+S719+IF(F719="Without EV deal",L719,0)</f>
        <v>2</v>
      </c>
      <c r="U719" s="57">
        <v>1</v>
      </c>
      <c r="V719" s="58"/>
      <c r="W719" s="58"/>
      <c r="X719" s="30">
        <f>IF(AF719="DoEV",IF(AND(V719&lt;20,W719&lt;55),0.3,0)+IF(AND(V719&lt;20,W719&gt;=55,W719&lt;105),0.23,0)+IF(AND(V719&lt;20,W719&gt;=105),0.17,0)+IF(AND(V719&gt;=20,V719&lt;40,W719&lt;45),0.3,0)+IF(AND(V719&gt;=20,V719&lt;40,W719&gt;=45,W719&lt;95),0.23,0)+IF(AND(V719&gt;=20,V719&lt;40,W719&gt;=95),0.17,0)+IF(AND(V719&gt;=40,V719&lt;75,W719&lt;35),0.3,0)+IF(AND(V719&gt;=40,V719&lt;75,W719&gt;=35,W719&lt;75),0.23,0)+IF(AND(V719&gt;=40,V719&lt;75,W719&gt;=75,W719&lt;120),0.17,0)+IF(AND(V719&gt;=40,V719&lt;75,W719&gt;=120),0.12,0)+IF(AND(V719&gt;=75,V719&lt;175,W719&lt;35),0.3,0)+IF(AND(V719&gt;=75,V719&lt;=175,W719&gt;=35,W719&lt;65),0.23,0)+IF(AND(V719&gt;=75,V719&lt;=175,W719&gt;=65,W719&lt;110),0.17,0)+IF(AND(V719&gt;=75,V719&lt;=175,W719&gt;=110),0.12,0)+IF(AND(V719&gt;175,W719&lt;25),0.3,0)+IF(AND(V719&gt;175,W719&gt;=25,W719&lt;55),0.23,0)+IF(AND(V719&gt;175,W719&gt;=55,W719&lt;95),0.17,0)+IF(AND(V719&gt;175,W719&gt;=95),0.12,0),
IF(AF719="Fix15",0.15,
IF(AF719="Fix18.75",0.1875,
IF(AF719="Fix11.25",0.1125,
IF(AF719="Fix10",0.1,
IF(AF719="Fix9",0.09,
IF(AF719="Fix19",0.19,
IF(AF719="DoEV2017",IF(AND(W719&lt;74),0.2,0)+IF(AND(W719&gt;=74),0.17,0),
IF(AF719="SF",IF(AND(V719&lt;20,W719&lt;89),0.3,0)+IF(AND(V719&lt;20,W719&gt;=89),0.25,0)+IF(AND(V719&gt;=20,V719&lt;40,W719&lt;74),0.3,0)+IF(AND(V719&gt;=20,V719&lt;40,W719&gt;=75),0.22,0)+IF(AND(V719&gt;=40,V719&lt;75,W719&lt;75),0.26,0)+IF(AND(V719&gt;=40,V719&lt;75,W719&gt;=75),0.22,0)+IF(V719&gt;=75,0.22,0),
IF(AF719="DoEVold",IF(AND(V719&lt;40,W719&lt;35),0.35,0)+IF(AND(V719&lt;40,W719&gt;=35,W719&lt;75),0.25,0)+IF(AND(V719&lt;40,W719&gt;=75),0.17,0)+IF(AND(V719&gt;=40,V719&lt;75,W719&lt;25),0.35,0)+IF(AND(V719&gt;=40,V719&lt;75,W719&gt;=25,W719&lt;65),0.25,0)+IF(AND(V719&gt;=40,V719&lt;75,W719&gt;=65,W719&lt;100),0.17,0)+IF(AND(V719&gt;=40,V719&lt;75,W719&gt;=100),0.1,0)+IF(AND(V719&gt;=75,W719&lt;25),0.35,0)+IF(AND(V719&gt;=75,W719&gt;=25,W719&lt;60),0.25,0)+IF(AND(V719&gt;=75,W719&gt;=60,W719&lt;95),0.17,0)+IF(AND(V719&gt;=75,W719&gt;=95),0.1,0),
IF(AF719="DoEVold15",IF(AND(V719&lt;=40,W719&lt;35),0.35,0)+IF(AND(V719&lt;=40,W719&gt;=35,W719&lt;75),0.25,0)+IF(AND(V719&lt;=40,W719&gt;=75,W719&lt;120),0.17,0)+IF(AND(V719&lt;=40,W719&gt;=120),0.15,0)+IF(AND(V719&gt;40,V719&lt;75,W719&lt;25),0.35,0)+IF(AND(V719&gt;=40,V719&lt;75,W719&gt;=25,W719&lt;65),0.25,0)+IF(AND(V719&gt;=40,V719&lt;75,W719&gt;=65,W719&lt;100),0.17,0)+IF(AND(V719&gt;=40,V719&lt;75,W719&gt;=100),0.1,0)+IF(AND(V719&gt;=75,W719&lt;25),0.35,0)+IF(AND(V719&gt;=75,W719&gt;=25,W719&lt;60),0.25,0)+IF(AND(V719&gt;=75,W719&gt;=60,W719&lt;95),0.17,0)+IF(AND(V719&gt;=75,W719&gt;=95),0.1,0),
IF(AF719="DoEVba",IF(AND(V719&lt;20,W719&lt;105),0.2,0)+IF(AND(V719&lt;20,W719&gt;=105),0.15,0)+IF(AND(V719&gt;=20,V719&lt;40,W719&lt;95),0.2,0)+IF(AND(V719&gt;=20,V719&lt;40,W719&gt;=95,W719&lt;150),0.15,0)+IF(AND(V719&gt;=20,V719&lt;40,W719&gt;=150),0.12,0)+IF(AND(V719&gt;=40,V719&lt;75,W719&lt;75),0.2,0)+IF(AND(V719&gt;=40,V719&lt;75,W719&gt;=75,W719&lt;120),0.15,0)+IF(AND(V719&gt;=40,V719&lt;75,W719&gt;=120),0.12,0)+IF(AND(V719&gt;=75,V719&lt;175,W719&lt;65),0.2,0)+IF(AND(V719&gt;=75,V719&lt;175,W719&gt;=65,W719&lt;110),0.15,0)+IF(AND(V719&gt;=75,V719&lt;175,W719&gt;=110),0.12,0)+IF(AND(V719&gt;=175,W719&lt;55),0.2,0)+IF(AND(V719&gt;=175,W719&gt;=55,W719&lt;95),0.15,0)+IF(AND(V719&gt;=175,W719&gt;=95),0.12,0),
IF(AF719="DoEVku",IF(AND(V719&lt;20,W719&lt;55),0.23,0)+IF(AND(V719&lt;20,W719&gt;=55,W719&lt;105),0.2,0)+IF(AND(V719&lt;20,W719&gt;=105),0.17,0)+IF(AND(V719&gt;=20,V719&lt;40,W719&lt;45),0.23,0)+IF(AND(V719&gt;=20,V719&lt;40,W719&gt;=45,W719&lt;95),0.2,0)+IF(AND(V719&gt;=20,V719&lt;40,W719&gt;=95,W719&lt;=150),0.17,0)+IF(AND(V719&gt;=20,V719&lt;40,W719&gt;=150),0.12,0)+IF(AND(V719&gt;=40,V719&lt;75,W719&lt;35),0.23,0)+IF(AND(V719&gt;=40,V719&lt;75,W719&gt;=35,W719&lt;75),0.2,0)+IF(AND(V719&gt;=40,V719&lt;75,W719&gt;=75,W719&lt;120),0.17,0)+IF(AND(V719&gt;=40,V719&lt;75,W719&gt;=120),0.12,0)+IF(AND(V719&gt;=75,V719&lt;175,W719&lt;35),0.23,0)+IF(AND(V719&gt;=75,V719&lt;=175,W719&gt;=35,W719&lt;65),0.2,0)+IF(AND(V719&gt;=75,V719&lt;=175,W719&gt;=65,W719&lt;110),0.17,0)+IF(AND(V719&gt;=75,V719&lt;=175,W719&gt;=110),0.12,0)+IF(AND(V719&gt;175,W719&lt;25),0.23,0)+IF(AND(V719&gt;175,W719&gt;=25,W719&lt;55),0.2,0)+IF(AND(V719&gt;175,W719&gt;=55,W719&lt;95),0.17,0)+IF(AND(V719&gt;175,W719&gt;=95),0.12,0),
IF(AF719="DoEVs1",IF(AND(V719&lt;20,W719&lt;55),0.3,0)+IF(AND(V719&lt;20,W719&gt;=55,W719&lt;105),0.23,0)+IF(AND(V719&lt;20,W719&gt;=105),0.17,0)+IF(AND(V719&gt;=20,V719&lt;40,W719&lt;45),0.3,0)+IF(AND(V719&gt;=20,V719&lt;40,W719&gt;=45,W719&lt;95),0.23,0)+IF(AND(V719&gt;=20,V719&lt;40,W719&gt;=95,W719&lt;=150),0.17,0)+IF(AND(V719&gt;=20,V719&lt;40,W719&gt;=150),0.12,0)+IF(AND(V719&gt;=40,V719&lt;75,W719&lt;35),0.3,0)+IF(AND(V719&gt;=40,V719&lt;75,W719&gt;=35,W719&lt;75),0.23,0)+IF(AND(V719&gt;=40,V719&lt;75,W719&gt;=75,W719&lt;120),0.17,0)+IF(AND(V719&gt;=40,V719&lt;75,W719&gt;=120),0.12,0)+IF(AND(V719&gt;=75,V719&lt;175,W719&lt;35),0.3,0)+IF(AND(V719&gt;=75,V719&lt;=175,W719&gt;=35,W719&lt;65),0.23,0)+IF(AND(V719&gt;=75,V719&lt;=175,W719&gt;=65,W719&lt;110),0.17,0)+IF(AND(V719&gt;=75,V719&lt;=175,W719&gt;=110),0.12,0)+IF(AND(V719&gt;175,W719&lt;25),0.3,0)+IF(AND(V719&gt;175,W719&gt;=25,W719&lt;55),0.23,0)+IF(AND(V719&gt;175,W719&gt;=55,W719&lt;95),0.17,0)+IF(AND(V719&gt;175,W719&gt;=95),0.12,0),
IF(AF719="DoEVsu",IF(AND(V719&lt;20,W719&lt;55),0.3,0)+IF(AND(V719&lt;20,W719&gt;=55,W719&lt;105),0.23,0)+IF(AND(V719&lt;20,W719&gt;=105),0.17,0)+IF(AND(V719&gt;=20,V719&lt;40,W719&lt;45),0.3,0)+IF(AND(V719&gt;=20,V719&lt;40,W719&gt;=45,W719&lt;95),0.23,0)+IF(AND(V719&gt;=20,V719&lt;40,W719&gt;=95,W719&lt;=250),0.17,0)+IF(AND(V719&gt;=20,V719&lt;40,W719&gt;=250),0.12,0)+IF(AND(V719&gt;=40,V719&lt;75,W719&lt;35),0.3,0)+IF(AND(V719&gt;=40,V719&lt;75,W719&gt;=35,W719&lt;75),0.23,0)+IF(AND(V719&gt;=40,V719&lt;75,W719&gt;=75,W719&lt;120),0.17,0)+IF(AND(V719&gt;=40,V719&lt;75,W719&gt;=120),0.12,0)+IF(AND(V719&gt;=75,V719&lt;175,W719&lt;35),0.3,0)+IF(AND(V719&gt;=75,V719&lt;=175,W719&gt;=35,W719&lt;65),0.23,0)+IF(AND(V719&gt;=75,V719&lt;=175,W719&gt;=65,W719&lt;110),0.17,0)+IF(AND(V719&gt;=75,V719&lt;=175,W719&gt;=110),0.12,0)+IF(AND(V719&gt;175,W719&lt;25),0.3,0)+IF(AND(V719&gt;175,W719&gt;=25,W719&lt;55),0.23,0)+IF(AND(V719&gt;175,W719&gt;=55,W719&lt;95),0.17,0)+IF(AND(V719&gt;175,W719&gt;=95),0.12,0),
IF(AF719="DoEVni",IF(AND(V719&lt;20,W719&lt;55),0.3,0)+IF(AND(V719&lt;20,W719&gt;=55,W719&lt;105),0.23,0)+IF(AND(V719&lt;20,W719&gt;=105),0.17,0)+IF(AND(V719&gt;=20,V719&lt;40,W719&lt;45),0.3,0)+IF(AND(V719&gt;=20,V719&lt;40,W719&gt;=45,W719&lt;95),0.23,0)+IF(AND(V719&gt;=20,V719&lt;40,W719&gt;=95,W719&lt;=200),0.17,0)+IF(AND(V719&gt;=20,V719&lt;40,W719&gt;=200),0.12,0)+IF(AND(V719&gt;=40,V719&lt;75,W719&lt;35),0.3,0)+IF(AND(V719&gt;=40,V719&lt;75,W719&gt;=35,W719&lt;75),0.23,0)+IF(AND(V719&gt;=40,V719&lt;75,W719&gt;=75,W719&lt;120),0.17,0)+IF(AND(V719&gt;=40,V719&lt;75,W719&gt;=120),0.12,0)+IF(AND(V719&gt;=75,V719&lt;175,W719&lt;35),0.3,0)+IF(AND(V719&gt;=75,V719&lt;=175,W719&gt;=35,W719&lt;65),0.23,0)+IF(AND(V719&gt;=75,V719&lt;=175,W719&gt;=65,W719&lt;110),0.17,0)+IF(AND(V719&gt;=75,V719&lt;=175,W719&gt;=110),0.12,0)+IF(AND(V719&gt;175,W719&lt;25),0.3,0)+IF(AND(V719&gt;175,W719&gt;=25,W719&lt;55),0.23,0)+IF(AND(V719&gt;175,W719&gt;=55,W719&lt;95),0.17,0)+IF(AND(V719&gt;175,W719&gt;=95),0.12,0),
IF(AF719="DoEVLo",IF(AND(V719&lt;20,W719&lt;55),0.25,0)+IF(AND(V719&lt;20,W719&gt;=55,W719&lt;105),0.2,0)+IF(AND(V719&lt;20,W719&gt;=105),0.15,0)+IF(AND(V719&gt;=20,V719&lt;40,W719&lt;45),0.25,0)+IF(AND(V719&gt;=20,V719&lt;40,W719&gt;=45,W719&lt;95),0.2,0)+IF(AND(V719&gt;=20,V719&lt;40,W719&gt;=95),0.15,0)+IF(AND(V719&gt;=40,V719&lt;75,W719&lt;35),0.25,0)+IF(AND(V719&gt;=40,V719&lt;75,W719&gt;=35,W719&lt;75),0.2,0)+IF(AND(V719&gt;=40,V719&lt;75,W719&gt;=75,W719&lt;120),0.15,0)+IF(AND(V719&gt;=40,V719&lt;75,W719&gt;=120),0.1,0)+IF(AND(V719&gt;=75,V719&lt;175,W719&lt;35),0.25,0)+IF(AND(V719&gt;=75,V719&lt;=175,W719&gt;=35,W719&lt;65),0.2,0)+IF(AND(V719&gt;=75,V719&lt;=175,W719&gt;=65,W719&lt;110),0.15,0)+IF(AND(V719&gt;=75,V719&lt;=175,W719&gt;=110),0.1,0)+IF(AND(V719&gt;175,W719&lt;25),0.25,0)+IF(AND(V719&gt;175,W719&gt;=25,W719&lt;55),0.2,0)+IF(AND(V719&gt;175,W719&gt;=55,W719&lt;95),0.15,0)+IF(AND(V719&gt;175,W719&gt;=95),0.1,0))))))))))))))))))</f>
        <v>0.19</v>
      </c>
      <c r="Y719" s="30">
        <f>IF(AG719="None",0,IF(AG719="Fix5",0.05, IF(AG719="Fix6.25",0.0625,IF(AG719="Fix3.75",0.0375,IF(AG719="Fix10",0.1,IF(AG719="Fix3",0.03,0))))))</f>
        <v>0</v>
      </c>
      <c r="Z719" s="35">
        <f>T719-AA719-AB719</f>
        <v>1.62</v>
      </c>
      <c r="AA719" s="29">
        <f>IF(AD719="EUR",((T719-R719)*X719)*U719+(R719*X719),(T719*X719))</f>
        <v>0.38</v>
      </c>
      <c r="AB719" s="36">
        <f>IF(AD719="EUR",((T719-R719)*Y719)*U719+(R719*Y719),(T719*Y719))</f>
        <v>0</v>
      </c>
      <c r="AC719" s="37" t="b">
        <v>1</v>
      </c>
      <c r="AD719" s="37" t="s">
        <v>38</v>
      </c>
      <c r="AE719" s="37" t="s">
        <v>38</v>
      </c>
      <c r="AF719" s="37" t="str">
        <f t="array" ref="AF719">INDEX('Deal Info'!D:D, MATCH(A719,'Deal Info'!A:A, 0))</f>
        <v>Fix19</v>
      </c>
      <c r="AG719" s="38" t="str">
        <f t="array" ref="AG719">INDEX('Deal Info'!G:G, MATCH(A719,'Deal Info'!A:A, 0))</f>
        <v>None</v>
      </c>
    </row>
    <row r="720" spans="1:33" ht="14.25" hidden="1" x14ac:dyDescent="0.2">
      <c r="A720" s="18" t="str">
        <f t="array" ref="A720">IF(G720='Room Info'!$B$1, INDEX('Room Info'!$A$2:$A2446, MATCH(B720,'Room Info'!$B$2:$B2446, 0)),IF(G720='Room Info'!$C$1, INDEX('Room Info'!$A$2:$A2446, MATCH(B720,'Room Info'!$C$2:$C2446, 0)),IF(G720='Room Info'!$D$1, INDEX('Room Info'!$A$2:$A2446, MATCH(B720,'Room Info'!$D$2:$D2446, 0)),IF(G720='Room Info'!$E$1, INDEX('Room Info'!$A$2:$A2446, MATCH(B720,'Room Info'!$E$2:$E2446, 0)),IF(G720='Room Info'!$F$1, INDEX('Room Info'!$A$2:$A2446, MATCH(B720,'Room Info'!$F$2:$F2446, 0)),IF(G720='Room Info'!$H$1, INDEX('Room Info'!$A$2:$A2446, MATCH(B720,'Room Info'!$H$2:$H2446, 0)),IF(G720='Room Info'!$G$1, INDEX('Room Info'!$A$2:$A2446, MATCH(B720,'Room Info'!$G$2:$G2446, 0)))))))))</f>
        <v>dimasik</v>
      </c>
      <c r="B720" s="45" t="s">
        <v>162</v>
      </c>
      <c r="C720" s="46">
        <v>44927</v>
      </c>
      <c r="D720" s="46">
        <v>44957</v>
      </c>
      <c r="E720" s="47">
        <v>44927</v>
      </c>
      <c r="F720" s="48" t="s">
        <v>41</v>
      </c>
      <c r="G720" s="45" t="s">
        <v>35</v>
      </c>
      <c r="H720" s="49" t="s">
        <v>90</v>
      </c>
      <c r="I720" s="49" t="s">
        <v>44</v>
      </c>
      <c r="J720" s="50">
        <v>5</v>
      </c>
      <c r="K720" s="51">
        <v>1</v>
      </c>
      <c r="L720" s="52">
        <v>5</v>
      </c>
      <c r="M720" s="53">
        <v>0</v>
      </c>
      <c r="N720" s="28">
        <f>K720*J720</f>
        <v>5</v>
      </c>
      <c r="O720" s="54">
        <v>271</v>
      </c>
      <c r="P720" s="29">
        <v>271</v>
      </c>
      <c r="Q720" s="55"/>
      <c r="R720" s="31">
        <f>M720+Q720</f>
        <v>0</v>
      </c>
      <c r="S720" s="66"/>
      <c r="T720" s="32">
        <f>R720+S720+IF(F720="Without EV deal",L720,0)</f>
        <v>5</v>
      </c>
      <c r="U720" s="57">
        <v>1</v>
      </c>
      <c r="V720" s="58"/>
      <c r="W720" s="58"/>
      <c r="X720" s="30">
        <f>IF(AF720="DoEV",IF(AND(V720&lt;20,W720&lt;55),0.3,0)+IF(AND(V720&lt;20,W720&gt;=55,W720&lt;105),0.23,0)+IF(AND(V720&lt;20,W720&gt;=105),0.17,0)+IF(AND(V720&gt;=20,V720&lt;40,W720&lt;45),0.3,0)+IF(AND(V720&gt;=20,V720&lt;40,W720&gt;=45,W720&lt;95),0.23,0)+IF(AND(V720&gt;=20,V720&lt;40,W720&gt;=95),0.17,0)+IF(AND(V720&gt;=40,V720&lt;75,W720&lt;35),0.3,0)+IF(AND(V720&gt;=40,V720&lt;75,W720&gt;=35,W720&lt;75),0.23,0)+IF(AND(V720&gt;=40,V720&lt;75,W720&gt;=75,W720&lt;120),0.17,0)+IF(AND(V720&gt;=40,V720&lt;75,W720&gt;=120),0.12,0)+IF(AND(V720&gt;=75,V720&lt;175,W720&lt;35),0.3,0)+IF(AND(V720&gt;=75,V720&lt;=175,W720&gt;=35,W720&lt;65),0.23,0)+IF(AND(V720&gt;=75,V720&lt;=175,W720&gt;=65,W720&lt;110),0.17,0)+IF(AND(V720&gt;=75,V720&lt;=175,W720&gt;=110),0.12,0)+IF(AND(V720&gt;175,W720&lt;25),0.3,0)+IF(AND(V720&gt;175,W720&gt;=25,W720&lt;55),0.23,0)+IF(AND(V720&gt;175,W720&gt;=55,W720&lt;95),0.17,0)+IF(AND(V720&gt;175,W720&gt;=95),0.12,0),
IF(AF720="Fix15",0.15,
IF(AF720="Fix18.75",0.1875,
IF(AF720="Fix11.25",0.1125,
IF(AF720="Fix10",0.1,
IF(AF720="Fix9",0.09,
IF(AF720="Fix19",0.19,
IF(AF720="DoEV2017",IF(AND(W720&lt;74),0.2,0)+IF(AND(W720&gt;=74),0.17,0),
IF(AF720="SF",IF(AND(V720&lt;20,W720&lt;89),0.3,0)+IF(AND(V720&lt;20,W720&gt;=89),0.25,0)+IF(AND(V720&gt;=20,V720&lt;40,W720&lt;74),0.3,0)+IF(AND(V720&gt;=20,V720&lt;40,W720&gt;=75),0.22,0)+IF(AND(V720&gt;=40,V720&lt;75,W720&lt;75),0.26,0)+IF(AND(V720&gt;=40,V720&lt;75,W720&gt;=75),0.22,0)+IF(V720&gt;=75,0.22,0),
IF(AF720="DoEVold",IF(AND(V720&lt;40,W720&lt;35),0.35,0)+IF(AND(V720&lt;40,W720&gt;=35,W720&lt;75),0.25,0)+IF(AND(V720&lt;40,W720&gt;=75),0.17,0)+IF(AND(V720&gt;=40,V720&lt;75,W720&lt;25),0.35,0)+IF(AND(V720&gt;=40,V720&lt;75,W720&gt;=25,W720&lt;65),0.25,0)+IF(AND(V720&gt;=40,V720&lt;75,W720&gt;=65,W720&lt;100),0.17,0)+IF(AND(V720&gt;=40,V720&lt;75,W720&gt;=100),0.1,0)+IF(AND(V720&gt;=75,W720&lt;25),0.35,0)+IF(AND(V720&gt;=75,W720&gt;=25,W720&lt;60),0.25,0)+IF(AND(V720&gt;=75,W720&gt;=60,W720&lt;95),0.17,0)+IF(AND(V720&gt;=75,W720&gt;=95),0.1,0),
IF(AF720="DoEVold15",IF(AND(V720&lt;=40,W720&lt;35),0.35,0)+IF(AND(V720&lt;=40,W720&gt;=35,W720&lt;75),0.25,0)+IF(AND(V720&lt;=40,W720&gt;=75,W720&lt;120),0.17,0)+IF(AND(V720&lt;=40,W720&gt;=120),0.15,0)+IF(AND(V720&gt;40,V720&lt;75,W720&lt;25),0.35,0)+IF(AND(V720&gt;=40,V720&lt;75,W720&gt;=25,W720&lt;65),0.25,0)+IF(AND(V720&gt;=40,V720&lt;75,W720&gt;=65,W720&lt;100),0.17,0)+IF(AND(V720&gt;=40,V720&lt;75,W720&gt;=100),0.1,0)+IF(AND(V720&gt;=75,W720&lt;25),0.35,0)+IF(AND(V720&gt;=75,W720&gt;=25,W720&lt;60),0.25,0)+IF(AND(V720&gt;=75,W720&gt;=60,W720&lt;95),0.17,0)+IF(AND(V720&gt;=75,W720&gt;=95),0.1,0),
IF(AF720="DoEVba",IF(AND(V720&lt;20,W720&lt;105),0.2,0)+IF(AND(V720&lt;20,W720&gt;=105),0.15,0)+IF(AND(V720&gt;=20,V720&lt;40,W720&lt;95),0.2,0)+IF(AND(V720&gt;=20,V720&lt;40,W720&gt;=95,W720&lt;150),0.15,0)+IF(AND(V720&gt;=20,V720&lt;40,W720&gt;=150),0.12,0)+IF(AND(V720&gt;=40,V720&lt;75,W720&lt;75),0.2,0)+IF(AND(V720&gt;=40,V720&lt;75,W720&gt;=75,W720&lt;120),0.15,0)+IF(AND(V720&gt;=40,V720&lt;75,W720&gt;=120),0.12,0)+IF(AND(V720&gt;=75,V720&lt;175,W720&lt;65),0.2,0)+IF(AND(V720&gt;=75,V720&lt;175,W720&gt;=65,W720&lt;110),0.15,0)+IF(AND(V720&gt;=75,V720&lt;175,W720&gt;=110),0.12,0)+IF(AND(V720&gt;=175,W720&lt;55),0.2,0)+IF(AND(V720&gt;=175,W720&gt;=55,W720&lt;95),0.15,0)+IF(AND(V720&gt;=175,W720&gt;=95),0.12,0),
IF(AF720="DoEVku",IF(AND(V720&lt;20,W720&lt;55),0.23,0)+IF(AND(V720&lt;20,W720&gt;=55,W720&lt;105),0.2,0)+IF(AND(V720&lt;20,W720&gt;=105),0.17,0)+IF(AND(V720&gt;=20,V720&lt;40,W720&lt;45),0.23,0)+IF(AND(V720&gt;=20,V720&lt;40,W720&gt;=45,W720&lt;95),0.2,0)+IF(AND(V720&gt;=20,V720&lt;40,W720&gt;=95,W720&lt;=150),0.17,0)+IF(AND(V720&gt;=20,V720&lt;40,W720&gt;=150),0.12,0)+IF(AND(V720&gt;=40,V720&lt;75,W720&lt;35),0.23,0)+IF(AND(V720&gt;=40,V720&lt;75,W720&gt;=35,W720&lt;75),0.2,0)+IF(AND(V720&gt;=40,V720&lt;75,W720&gt;=75,W720&lt;120),0.17,0)+IF(AND(V720&gt;=40,V720&lt;75,W720&gt;=120),0.12,0)+IF(AND(V720&gt;=75,V720&lt;175,W720&lt;35),0.23,0)+IF(AND(V720&gt;=75,V720&lt;=175,W720&gt;=35,W720&lt;65),0.2,0)+IF(AND(V720&gt;=75,V720&lt;=175,W720&gt;=65,W720&lt;110),0.17,0)+IF(AND(V720&gt;=75,V720&lt;=175,W720&gt;=110),0.12,0)+IF(AND(V720&gt;175,W720&lt;25),0.23,0)+IF(AND(V720&gt;175,W720&gt;=25,W720&lt;55),0.2,0)+IF(AND(V720&gt;175,W720&gt;=55,W720&lt;95),0.17,0)+IF(AND(V720&gt;175,W720&gt;=95),0.12,0),
IF(AF720="DoEVs1",IF(AND(V720&lt;20,W720&lt;55),0.3,0)+IF(AND(V720&lt;20,W720&gt;=55,W720&lt;105),0.23,0)+IF(AND(V720&lt;20,W720&gt;=105),0.17,0)+IF(AND(V720&gt;=20,V720&lt;40,W720&lt;45),0.3,0)+IF(AND(V720&gt;=20,V720&lt;40,W720&gt;=45,W720&lt;95),0.23,0)+IF(AND(V720&gt;=20,V720&lt;40,W720&gt;=95,W720&lt;=150),0.17,0)+IF(AND(V720&gt;=20,V720&lt;40,W720&gt;=150),0.12,0)+IF(AND(V720&gt;=40,V720&lt;75,W720&lt;35),0.3,0)+IF(AND(V720&gt;=40,V720&lt;75,W720&gt;=35,W720&lt;75),0.23,0)+IF(AND(V720&gt;=40,V720&lt;75,W720&gt;=75,W720&lt;120),0.17,0)+IF(AND(V720&gt;=40,V720&lt;75,W720&gt;=120),0.12,0)+IF(AND(V720&gt;=75,V720&lt;175,W720&lt;35),0.3,0)+IF(AND(V720&gt;=75,V720&lt;=175,W720&gt;=35,W720&lt;65),0.23,0)+IF(AND(V720&gt;=75,V720&lt;=175,W720&gt;=65,W720&lt;110),0.17,0)+IF(AND(V720&gt;=75,V720&lt;=175,W720&gt;=110),0.12,0)+IF(AND(V720&gt;175,W720&lt;25),0.3,0)+IF(AND(V720&gt;175,W720&gt;=25,W720&lt;55),0.23,0)+IF(AND(V720&gt;175,W720&gt;=55,W720&lt;95),0.17,0)+IF(AND(V720&gt;175,W720&gt;=95),0.12,0),
IF(AF720="DoEVsu",IF(AND(V720&lt;20,W720&lt;55),0.3,0)+IF(AND(V720&lt;20,W720&gt;=55,W720&lt;105),0.23,0)+IF(AND(V720&lt;20,W720&gt;=105),0.17,0)+IF(AND(V720&gt;=20,V720&lt;40,W720&lt;45),0.3,0)+IF(AND(V720&gt;=20,V720&lt;40,W720&gt;=45,W720&lt;95),0.23,0)+IF(AND(V720&gt;=20,V720&lt;40,W720&gt;=95,W720&lt;=250),0.17,0)+IF(AND(V720&gt;=20,V720&lt;40,W720&gt;=250),0.12,0)+IF(AND(V720&gt;=40,V720&lt;75,W720&lt;35),0.3,0)+IF(AND(V720&gt;=40,V720&lt;75,W720&gt;=35,W720&lt;75),0.23,0)+IF(AND(V720&gt;=40,V720&lt;75,W720&gt;=75,W720&lt;120),0.17,0)+IF(AND(V720&gt;=40,V720&lt;75,W720&gt;=120),0.12,0)+IF(AND(V720&gt;=75,V720&lt;175,W720&lt;35),0.3,0)+IF(AND(V720&gt;=75,V720&lt;=175,W720&gt;=35,W720&lt;65),0.23,0)+IF(AND(V720&gt;=75,V720&lt;=175,W720&gt;=65,W720&lt;110),0.17,0)+IF(AND(V720&gt;=75,V720&lt;=175,W720&gt;=110),0.12,0)+IF(AND(V720&gt;175,W720&lt;25),0.3,0)+IF(AND(V720&gt;175,W720&gt;=25,W720&lt;55),0.23,0)+IF(AND(V720&gt;175,W720&gt;=55,W720&lt;95),0.17,0)+IF(AND(V720&gt;175,W720&gt;=95),0.12,0),
IF(AF720="DoEVni",IF(AND(V720&lt;20,W720&lt;55),0.3,0)+IF(AND(V720&lt;20,W720&gt;=55,W720&lt;105),0.23,0)+IF(AND(V720&lt;20,W720&gt;=105),0.17,0)+IF(AND(V720&gt;=20,V720&lt;40,W720&lt;45),0.3,0)+IF(AND(V720&gt;=20,V720&lt;40,W720&gt;=45,W720&lt;95),0.23,0)+IF(AND(V720&gt;=20,V720&lt;40,W720&gt;=95,W720&lt;=200),0.17,0)+IF(AND(V720&gt;=20,V720&lt;40,W720&gt;=200),0.12,0)+IF(AND(V720&gt;=40,V720&lt;75,W720&lt;35),0.3,0)+IF(AND(V720&gt;=40,V720&lt;75,W720&gt;=35,W720&lt;75),0.23,0)+IF(AND(V720&gt;=40,V720&lt;75,W720&gt;=75,W720&lt;120),0.17,0)+IF(AND(V720&gt;=40,V720&lt;75,W720&gt;=120),0.12,0)+IF(AND(V720&gt;=75,V720&lt;175,W720&lt;35),0.3,0)+IF(AND(V720&gt;=75,V720&lt;=175,W720&gt;=35,W720&lt;65),0.23,0)+IF(AND(V720&gt;=75,V720&lt;=175,W720&gt;=65,W720&lt;110),0.17,0)+IF(AND(V720&gt;=75,V720&lt;=175,W720&gt;=110),0.12,0)+IF(AND(V720&gt;175,W720&lt;25),0.3,0)+IF(AND(V720&gt;175,W720&gt;=25,W720&lt;55),0.23,0)+IF(AND(V720&gt;175,W720&gt;=55,W720&lt;95),0.17,0)+IF(AND(V720&gt;175,W720&gt;=95),0.12,0),
IF(AF720="DoEVLo",IF(AND(V720&lt;20,W720&lt;55),0.25,0)+IF(AND(V720&lt;20,W720&gt;=55,W720&lt;105),0.2,0)+IF(AND(V720&lt;20,W720&gt;=105),0.15,0)+IF(AND(V720&gt;=20,V720&lt;40,W720&lt;45),0.25,0)+IF(AND(V720&gt;=20,V720&lt;40,W720&gt;=45,W720&lt;95),0.2,0)+IF(AND(V720&gt;=20,V720&lt;40,W720&gt;=95),0.15,0)+IF(AND(V720&gt;=40,V720&lt;75,W720&lt;35),0.25,0)+IF(AND(V720&gt;=40,V720&lt;75,W720&gt;=35,W720&lt;75),0.2,0)+IF(AND(V720&gt;=40,V720&lt;75,W720&gt;=75,W720&lt;120),0.15,0)+IF(AND(V720&gt;=40,V720&lt;75,W720&gt;=120),0.1,0)+IF(AND(V720&gt;=75,V720&lt;175,W720&lt;35),0.25,0)+IF(AND(V720&gt;=75,V720&lt;=175,W720&gt;=35,W720&lt;65),0.2,0)+IF(AND(V720&gt;=75,V720&lt;=175,W720&gt;=65,W720&lt;110),0.15,0)+IF(AND(V720&gt;=75,V720&lt;=175,W720&gt;=110),0.1,0)+IF(AND(V720&gt;175,W720&lt;25),0.25,0)+IF(AND(V720&gt;175,W720&gt;=25,W720&lt;55),0.2,0)+IF(AND(V720&gt;175,W720&gt;=55,W720&lt;95),0.15,0)+IF(AND(V720&gt;175,W720&gt;=95),0.1,0))))))))))))))))))</f>
        <v>0.19</v>
      </c>
      <c r="Y720" s="30">
        <f>IF(AG720="None",0,IF(AG720="Fix5",0.05, IF(AG720="Fix6.25",0.0625,IF(AG720="Fix3.75",0.0375,IF(AG720="Fix10",0.1,IF(AG720="Fix3",0.03,0))))))</f>
        <v>0</v>
      </c>
      <c r="Z720" s="35">
        <f>T720-AA720-AB720</f>
        <v>4.05</v>
      </c>
      <c r="AA720" s="29">
        <f>IF(AD720="EUR",((T720-R720)*X720)*U720+(R720*X720),(T720*X720))</f>
        <v>0.95</v>
      </c>
      <c r="AB720" s="36">
        <f>IF(AD720="EUR",((T720-R720)*Y720)*U720+(R720*Y720),(T720*Y720))</f>
        <v>0</v>
      </c>
      <c r="AC720" s="37" t="b">
        <v>1</v>
      </c>
      <c r="AD720" s="37" t="s">
        <v>38</v>
      </c>
      <c r="AE720" s="37" t="s">
        <v>38</v>
      </c>
      <c r="AF720" s="37" t="str">
        <f t="array" ref="AF720">INDEX('Deal Info'!D:D, MATCH(A720,'Deal Info'!A:A, 0))</f>
        <v>Fix19</v>
      </c>
      <c r="AG720" s="38" t="str">
        <f t="array" ref="AG720">INDEX('Deal Info'!G:G, MATCH(A720,'Deal Info'!A:A, 0))</f>
        <v>None</v>
      </c>
    </row>
    <row r="721" spans="1:33" ht="14.25" hidden="1" x14ac:dyDescent="0.2">
      <c r="A721" s="18" t="str">
        <f t="array" ref="A721">IF(G721='Room Info'!$B$1, INDEX('Room Info'!$A$2:$A2446, MATCH(B721,'Room Info'!$B$2:$B2446, 0)),IF(G721='Room Info'!$C$1, INDEX('Room Info'!$A$2:$A2446, MATCH(B721,'Room Info'!$C$2:$C2446, 0)),IF(G721='Room Info'!$D$1, INDEX('Room Info'!$A$2:$A2446, MATCH(B721,'Room Info'!$D$2:$D2446, 0)),IF(G721='Room Info'!$E$1, INDEX('Room Info'!$A$2:$A2446, MATCH(B721,'Room Info'!$E$2:$E2446, 0)),IF(G721='Room Info'!$F$1, INDEX('Room Info'!$A$2:$A2446, MATCH(B721,'Room Info'!$F$2:$F2446, 0)),IF(G721='Room Info'!$H$1, INDEX('Room Info'!$A$2:$A2446, MATCH(B721,'Room Info'!$H$2:$H2446, 0)),IF(G721='Room Info'!$G$1, INDEX('Room Info'!$A$2:$A2446, MATCH(B721,'Room Info'!$G$2:$G2446, 0)))))))))</f>
        <v>dimasik</v>
      </c>
      <c r="B721" s="45" t="s">
        <v>162</v>
      </c>
      <c r="C721" s="46">
        <v>44927</v>
      </c>
      <c r="D721" s="46">
        <v>44957</v>
      </c>
      <c r="E721" s="47">
        <v>44927</v>
      </c>
      <c r="F721" s="48" t="s">
        <v>41</v>
      </c>
      <c r="G721" s="45" t="s">
        <v>35</v>
      </c>
      <c r="H721" s="49" t="s">
        <v>142</v>
      </c>
      <c r="I721" s="49" t="s">
        <v>37</v>
      </c>
      <c r="J721" s="50">
        <v>500</v>
      </c>
      <c r="K721" s="51">
        <v>3</v>
      </c>
      <c r="L721" s="52">
        <v>0</v>
      </c>
      <c r="M721" s="53">
        <v>55</v>
      </c>
      <c r="N721" s="28">
        <f>K721*J721</f>
        <v>1500</v>
      </c>
      <c r="O721" s="54">
        <v>-865</v>
      </c>
      <c r="P721" s="29">
        <v>-288.33333329999999</v>
      </c>
      <c r="Q721" s="55"/>
      <c r="R721" s="31">
        <f>M721+Q721</f>
        <v>55</v>
      </c>
      <c r="S721" s="66"/>
      <c r="T721" s="32">
        <f>R721+S721+IF(F721="Without EV deal",L721,0)</f>
        <v>55</v>
      </c>
      <c r="U721" s="57">
        <v>1</v>
      </c>
      <c r="V721" s="58"/>
      <c r="W721" s="58"/>
      <c r="X721" s="30">
        <f>IF(AF721="DoEV",IF(AND(V721&lt;20,W721&lt;55),0.3,0)+IF(AND(V721&lt;20,W721&gt;=55,W721&lt;105),0.23,0)+IF(AND(V721&lt;20,W721&gt;=105),0.17,0)+IF(AND(V721&gt;=20,V721&lt;40,W721&lt;45),0.3,0)+IF(AND(V721&gt;=20,V721&lt;40,W721&gt;=45,W721&lt;95),0.23,0)+IF(AND(V721&gt;=20,V721&lt;40,W721&gt;=95),0.17,0)+IF(AND(V721&gt;=40,V721&lt;75,W721&lt;35),0.3,0)+IF(AND(V721&gt;=40,V721&lt;75,W721&gt;=35,W721&lt;75),0.23,0)+IF(AND(V721&gt;=40,V721&lt;75,W721&gt;=75,W721&lt;120),0.17,0)+IF(AND(V721&gt;=40,V721&lt;75,W721&gt;=120),0.12,0)+IF(AND(V721&gt;=75,V721&lt;175,W721&lt;35),0.3,0)+IF(AND(V721&gt;=75,V721&lt;=175,W721&gt;=35,W721&lt;65),0.23,0)+IF(AND(V721&gt;=75,V721&lt;=175,W721&gt;=65,W721&lt;110),0.17,0)+IF(AND(V721&gt;=75,V721&lt;=175,W721&gt;=110),0.12,0)+IF(AND(V721&gt;175,W721&lt;25),0.3,0)+IF(AND(V721&gt;175,W721&gt;=25,W721&lt;55),0.23,0)+IF(AND(V721&gt;175,W721&gt;=55,W721&lt;95),0.17,0)+IF(AND(V721&gt;175,W721&gt;=95),0.12,0),
IF(AF721="Fix15",0.15,
IF(AF721="Fix18.75",0.1875,
IF(AF721="Fix11.25",0.1125,
IF(AF721="Fix10",0.1,
IF(AF721="Fix9",0.09,
IF(AF721="Fix19",0.19,
IF(AF721="DoEV2017",IF(AND(W721&lt;74),0.2,0)+IF(AND(W721&gt;=74),0.17,0),
IF(AF721="SF",IF(AND(V721&lt;20,W721&lt;89),0.3,0)+IF(AND(V721&lt;20,W721&gt;=89),0.25,0)+IF(AND(V721&gt;=20,V721&lt;40,W721&lt;74),0.3,0)+IF(AND(V721&gt;=20,V721&lt;40,W721&gt;=75),0.22,0)+IF(AND(V721&gt;=40,V721&lt;75,W721&lt;75),0.26,0)+IF(AND(V721&gt;=40,V721&lt;75,W721&gt;=75),0.22,0)+IF(V721&gt;=75,0.22,0),
IF(AF721="DoEVold",IF(AND(V721&lt;40,W721&lt;35),0.35,0)+IF(AND(V721&lt;40,W721&gt;=35,W721&lt;75),0.25,0)+IF(AND(V721&lt;40,W721&gt;=75),0.17,0)+IF(AND(V721&gt;=40,V721&lt;75,W721&lt;25),0.35,0)+IF(AND(V721&gt;=40,V721&lt;75,W721&gt;=25,W721&lt;65),0.25,0)+IF(AND(V721&gt;=40,V721&lt;75,W721&gt;=65,W721&lt;100),0.17,0)+IF(AND(V721&gt;=40,V721&lt;75,W721&gt;=100),0.1,0)+IF(AND(V721&gt;=75,W721&lt;25),0.35,0)+IF(AND(V721&gt;=75,W721&gt;=25,W721&lt;60),0.25,0)+IF(AND(V721&gt;=75,W721&gt;=60,W721&lt;95),0.17,0)+IF(AND(V721&gt;=75,W721&gt;=95),0.1,0),
IF(AF721="DoEVold15",IF(AND(V721&lt;=40,W721&lt;35),0.35,0)+IF(AND(V721&lt;=40,W721&gt;=35,W721&lt;75),0.25,0)+IF(AND(V721&lt;=40,W721&gt;=75,W721&lt;120),0.17,0)+IF(AND(V721&lt;=40,W721&gt;=120),0.15,0)+IF(AND(V721&gt;40,V721&lt;75,W721&lt;25),0.35,0)+IF(AND(V721&gt;=40,V721&lt;75,W721&gt;=25,W721&lt;65),0.25,0)+IF(AND(V721&gt;=40,V721&lt;75,W721&gt;=65,W721&lt;100),0.17,0)+IF(AND(V721&gt;=40,V721&lt;75,W721&gt;=100),0.1,0)+IF(AND(V721&gt;=75,W721&lt;25),0.35,0)+IF(AND(V721&gt;=75,W721&gt;=25,W721&lt;60),0.25,0)+IF(AND(V721&gt;=75,W721&gt;=60,W721&lt;95),0.17,0)+IF(AND(V721&gt;=75,W721&gt;=95),0.1,0),
IF(AF721="DoEVba",IF(AND(V721&lt;20,W721&lt;105),0.2,0)+IF(AND(V721&lt;20,W721&gt;=105),0.15,0)+IF(AND(V721&gt;=20,V721&lt;40,W721&lt;95),0.2,0)+IF(AND(V721&gt;=20,V721&lt;40,W721&gt;=95,W721&lt;150),0.15,0)+IF(AND(V721&gt;=20,V721&lt;40,W721&gt;=150),0.12,0)+IF(AND(V721&gt;=40,V721&lt;75,W721&lt;75),0.2,0)+IF(AND(V721&gt;=40,V721&lt;75,W721&gt;=75,W721&lt;120),0.15,0)+IF(AND(V721&gt;=40,V721&lt;75,W721&gt;=120),0.12,0)+IF(AND(V721&gt;=75,V721&lt;175,W721&lt;65),0.2,0)+IF(AND(V721&gt;=75,V721&lt;175,W721&gt;=65,W721&lt;110),0.15,0)+IF(AND(V721&gt;=75,V721&lt;175,W721&gt;=110),0.12,0)+IF(AND(V721&gt;=175,W721&lt;55),0.2,0)+IF(AND(V721&gt;=175,W721&gt;=55,W721&lt;95),0.15,0)+IF(AND(V721&gt;=175,W721&gt;=95),0.12,0),
IF(AF721="DoEVku",IF(AND(V721&lt;20,W721&lt;55),0.23,0)+IF(AND(V721&lt;20,W721&gt;=55,W721&lt;105),0.2,0)+IF(AND(V721&lt;20,W721&gt;=105),0.17,0)+IF(AND(V721&gt;=20,V721&lt;40,W721&lt;45),0.23,0)+IF(AND(V721&gt;=20,V721&lt;40,W721&gt;=45,W721&lt;95),0.2,0)+IF(AND(V721&gt;=20,V721&lt;40,W721&gt;=95,W721&lt;=150),0.17,0)+IF(AND(V721&gt;=20,V721&lt;40,W721&gt;=150),0.12,0)+IF(AND(V721&gt;=40,V721&lt;75,W721&lt;35),0.23,0)+IF(AND(V721&gt;=40,V721&lt;75,W721&gt;=35,W721&lt;75),0.2,0)+IF(AND(V721&gt;=40,V721&lt;75,W721&gt;=75,W721&lt;120),0.17,0)+IF(AND(V721&gt;=40,V721&lt;75,W721&gt;=120),0.12,0)+IF(AND(V721&gt;=75,V721&lt;175,W721&lt;35),0.23,0)+IF(AND(V721&gt;=75,V721&lt;=175,W721&gt;=35,W721&lt;65),0.2,0)+IF(AND(V721&gt;=75,V721&lt;=175,W721&gt;=65,W721&lt;110),0.17,0)+IF(AND(V721&gt;=75,V721&lt;=175,W721&gt;=110),0.12,0)+IF(AND(V721&gt;175,W721&lt;25),0.23,0)+IF(AND(V721&gt;175,W721&gt;=25,W721&lt;55),0.2,0)+IF(AND(V721&gt;175,W721&gt;=55,W721&lt;95),0.17,0)+IF(AND(V721&gt;175,W721&gt;=95),0.12,0),
IF(AF721="DoEVs1",IF(AND(V721&lt;20,W721&lt;55),0.3,0)+IF(AND(V721&lt;20,W721&gt;=55,W721&lt;105),0.23,0)+IF(AND(V721&lt;20,W721&gt;=105),0.17,0)+IF(AND(V721&gt;=20,V721&lt;40,W721&lt;45),0.3,0)+IF(AND(V721&gt;=20,V721&lt;40,W721&gt;=45,W721&lt;95),0.23,0)+IF(AND(V721&gt;=20,V721&lt;40,W721&gt;=95,W721&lt;=150),0.17,0)+IF(AND(V721&gt;=20,V721&lt;40,W721&gt;=150),0.12,0)+IF(AND(V721&gt;=40,V721&lt;75,W721&lt;35),0.3,0)+IF(AND(V721&gt;=40,V721&lt;75,W721&gt;=35,W721&lt;75),0.23,0)+IF(AND(V721&gt;=40,V721&lt;75,W721&gt;=75,W721&lt;120),0.17,0)+IF(AND(V721&gt;=40,V721&lt;75,W721&gt;=120),0.12,0)+IF(AND(V721&gt;=75,V721&lt;175,W721&lt;35),0.3,0)+IF(AND(V721&gt;=75,V721&lt;=175,W721&gt;=35,W721&lt;65),0.23,0)+IF(AND(V721&gt;=75,V721&lt;=175,W721&gt;=65,W721&lt;110),0.17,0)+IF(AND(V721&gt;=75,V721&lt;=175,W721&gt;=110),0.12,0)+IF(AND(V721&gt;175,W721&lt;25),0.3,0)+IF(AND(V721&gt;175,W721&gt;=25,W721&lt;55),0.23,0)+IF(AND(V721&gt;175,W721&gt;=55,W721&lt;95),0.17,0)+IF(AND(V721&gt;175,W721&gt;=95),0.12,0),
IF(AF721="DoEVsu",IF(AND(V721&lt;20,W721&lt;55),0.3,0)+IF(AND(V721&lt;20,W721&gt;=55,W721&lt;105),0.23,0)+IF(AND(V721&lt;20,W721&gt;=105),0.17,0)+IF(AND(V721&gt;=20,V721&lt;40,W721&lt;45),0.3,0)+IF(AND(V721&gt;=20,V721&lt;40,W721&gt;=45,W721&lt;95),0.23,0)+IF(AND(V721&gt;=20,V721&lt;40,W721&gt;=95,W721&lt;=250),0.17,0)+IF(AND(V721&gt;=20,V721&lt;40,W721&gt;=250),0.12,0)+IF(AND(V721&gt;=40,V721&lt;75,W721&lt;35),0.3,0)+IF(AND(V721&gt;=40,V721&lt;75,W721&gt;=35,W721&lt;75),0.23,0)+IF(AND(V721&gt;=40,V721&lt;75,W721&gt;=75,W721&lt;120),0.17,0)+IF(AND(V721&gt;=40,V721&lt;75,W721&gt;=120),0.12,0)+IF(AND(V721&gt;=75,V721&lt;175,W721&lt;35),0.3,0)+IF(AND(V721&gt;=75,V721&lt;=175,W721&gt;=35,W721&lt;65),0.23,0)+IF(AND(V721&gt;=75,V721&lt;=175,W721&gt;=65,W721&lt;110),0.17,0)+IF(AND(V721&gt;=75,V721&lt;=175,W721&gt;=110),0.12,0)+IF(AND(V721&gt;175,W721&lt;25),0.3,0)+IF(AND(V721&gt;175,W721&gt;=25,W721&lt;55),0.23,0)+IF(AND(V721&gt;175,W721&gt;=55,W721&lt;95),0.17,0)+IF(AND(V721&gt;175,W721&gt;=95),0.12,0),
IF(AF721="DoEVni",IF(AND(V721&lt;20,W721&lt;55),0.3,0)+IF(AND(V721&lt;20,W721&gt;=55,W721&lt;105),0.23,0)+IF(AND(V721&lt;20,W721&gt;=105),0.17,0)+IF(AND(V721&gt;=20,V721&lt;40,W721&lt;45),0.3,0)+IF(AND(V721&gt;=20,V721&lt;40,W721&gt;=45,W721&lt;95),0.23,0)+IF(AND(V721&gt;=20,V721&lt;40,W721&gt;=95,W721&lt;=200),0.17,0)+IF(AND(V721&gt;=20,V721&lt;40,W721&gt;=200),0.12,0)+IF(AND(V721&gt;=40,V721&lt;75,W721&lt;35),0.3,0)+IF(AND(V721&gt;=40,V721&lt;75,W721&gt;=35,W721&lt;75),0.23,0)+IF(AND(V721&gt;=40,V721&lt;75,W721&gt;=75,W721&lt;120),0.17,0)+IF(AND(V721&gt;=40,V721&lt;75,W721&gt;=120),0.12,0)+IF(AND(V721&gt;=75,V721&lt;175,W721&lt;35),0.3,0)+IF(AND(V721&gt;=75,V721&lt;=175,W721&gt;=35,W721&lt;65),0.23,0)+IF(AND(V721&gt;=75,V721&lt;=175,W721&gt;=65,W721&lt;110),0.17,0)+IF(AND(V721&gt;=75,V721&lt;=175,W721&gt;=110),0.12,0)+IF(AND(V721&gt;175,W721&lt;25),0.3,0)+IF(AND(V721&gt;175,W721&gt;=25,W721&lt;55),0.23,0)+IF(AND(V721&gt;175,W721&gt;=55,W721&lt;95),0.17,0)+IF(AND(V721&gt;175,W721&gt;=95),0.12,0),
IF(AF721="DoEVLo",IF(AND(V721&lt;20,W721&lt;55),0.25,0)+IF(AND(V721&lt;20,W721&gt;=55,W721&lt;105),0.2,0)+IF(AND(V721&lt;20,W721&gt;=105),0.15,0)+IF(AND(V721&gt;=20,V721&lt;40,W721&lt;45),0.25,0)+IF(AND(V721&gt;=20,V721&lt;40,W721&gt;=45,W721&lt;95),0.2,0)+IF(AND(V721&gt;=20,V721&lt;40,W721&gt;=95),0.15,0)+IF(AND(V721&gt;=40,V721&lt;75,W721&lt;35),0.25,0)+IF(AND(V721&gt;=40,V721&lt;75,W721&gt;=35,W721&lt;75),0.2,0)+IF(AND(V721&gt;=40,V721&lt;75,W721&gt;=75,W721&lt;120),0.15,0)+IF(AND(V721&gt;=40,V721&lt;75,W721&gt;=120),0.1,0)+IF(AND(V721&gt;=75,V721&lt;175,W721&lt;35),0.25,0)+IF(AND(V721&gt;=75,V721&lt;=175,W721&gt;=35,W721&lt;65),0.2,0)+IF(AND(V721&gt;=75,V721&lt;=175,W721&gt;=65,W721&lt;110),0.15,0)+IF(AND(V721&gt;=75,V721&lt;=175,W721&gt;=110),0.1,0)+IF(AND(V721&gt;175,W721&lt;25),0.25,0)+IF(AND(V721&gt;175,W721&gt;=25,W721&lt;55),0.2,0)+IF(AND(V721&gt;175,W721&gt;=55,W721&lt;95),0.15,0)+IF(AND(V721&gt;175,W721&gt;=95),0.1,0))))))))))))))))))</f>
        <v>0.19</v>
      </c>
      <c r="Y721" s="30">
        <f>IF(AG721="None",0,IF(AG721="Fix5",0.05, IF(AG721="Fix6.25",0.0625,IF(AG721="Fix3.75",0.0375,IF(AG721="Fix10",0.1,IF(AG721="Fix3",0.03,0))))))</f>
        <v>0</v>
      </c>
      <c r="Z721" s="35">
        <f>T721-AA721-AB721</f>
        <v>44.55</v>
      </c>
      <c r="AA721" s="29">
        <f>IF(AD721="EUR",((T721-R721)*X721)*U721+(R721*X721),(T721*X721))</f>
        <v>10.45</v>
      </c>
      <c r="AB721" s="36">
        <f>IF(AD721="EUR",((T721-R721)*Y721)*U721+(R721*Y721),(T721*Y721))</f>
        <v>0</v>
      </c>
      <c r="AC721" s="37" t="b">
        <v>1</v>
      </c>
      <c r="AD721" s="37" t="s">
        <v>38</v>
      </c>
      <c r="AE721" s="37" t="s">
        <v>38</v>
      </c>
      <c r="AF721" s="37" t="str">
        <f t="array" ref="AF721">INDEX('Deal Info'!D:D, MATCH(A721,'Deal Info'!A:A, 0))</f>
        <v>Fix19</v>
      </c>
      <c r="AG721" s="38" t="str">
        <f t="array" ref="AG721">INDEX('Deal Info'!G:G, MATCH(A721,'Deal Info'!A:A, 0))</f>
        <v>None</v>
      </c>
    </row>
    <row r="722" spans="1:33" ht="14.25" hidden="1" x14ac:dyDescent="0.2">
      <c r="A722" s="18" t="str">
        <f t="array" ref="A722">IF(G722='Room Info'!$B$1, INDEX('Room Info'!$A$2:$A2446, MATCH(B722,'Room Info'!$B$2:$B2446, 0)),IF(G722='Room Info'!$C$1, INDEX('Room Info'!$A$2:$A2446, MATCH(B722,'Room Info'!$C$2:$C2446, 0)),IF(G722='Room Info'!$D$1, INDEX('Room Info'!$A$2:$A2446, MATCH(B722,'Room Info'!$D$2:$D2446, 0)),IF(G722='Room Info'!$E$1, INDEX('Room Info'!$A$2:$A2446, MATCH(B722,'Room Info'!$E$2:$E2446, 0)),IF(G722='Room Info'!$F$1, INDEX('Room Info'!$A$2:$A2446, MATCH(B722,'Room Info'!$F$2:$F2446, 0)),IF(G722='Room Info'!$H$1, INDEX('Room Info'!$A$2:$A2446, MATCH(B722,'Room Info'!$H$2:$H2446, 0)),IF(G722='Room Info'!$G$1, INDEX('Room Info'!$A$2:$A2446, MATCH(B722,'Room Info'!$G$2:$G2446, 0)))))))))</f>
        <v>dimasik</v>
      </c>
      <c r="B722" s="45" t="s">
        <v>162</v>
      </c>
      <c r="C722" s="46">
        <v>44927</v>
      </c>
      <c r="D722" s="46">
        <v>44957</v>
      </c>
      <c r="E722" s="47">
        <v>44927</v>
      </c>
      <c r="F722" s="48" t="s">
        <v>41</v>
      </c>
      <c r="G722" s="45" t="s">
        <v>35</v>
      </c>
      <c r="H722" s="49" t="s">
        <v>84</v>
      </c>
      <c r="I722" s="49" t="s">
        <v>44</v>
      </c>
      <c r="J722" s="50">
        <v>100</v>
      </c>
      <c r="K722" s="51">
        <v>1966</v>
      </c>
      <c r="L722" s="52">
        <v>-14700</v>
      </c>
      <c r="M722" s="53">
        <v>7150</v>
      </c>
      <c r="N722" s="28">
        <f>K722*J722</f>
        <v>196600</v>
      </c>
      <c r="O722" s="54">
        <v>42109</v>
      </c>
      <c r="P722" s="29">
        <v>21.418616480000001</v>
      </c>
      <c r="Q722" s="55"/>
      <c r="R722" s="31">
        <f>M722+Q722</f>
        <v>7150</v>
      </c>
      <c r="S722" s="66"/>
      <c r="T722" s="32">
        <f>R722+S722+IF(F722="Without EV deal",L722,0)</f>
        <v>-7550</v>
      </c>
      <c r="U722" s="57">
        <v>1</v>
      </c>
      <c r="V722" s="58"/>
      <c r="W722" s="58"/>
      <c r="X722" s="30">
        <f>IF(AF722="DoEV",IF(AND(V722&lt;20,W722&lt;55),0.3,0)+IF(AND(V722&lt;20,W722&gt;=55,W722&lt;105),0.23,0)+IF(AND(V722&lt;20,W722&gt;=105),0.17,0)+IF(AND(V722&gt;=20,V722&lt;40,W722&lt;45),0.3,0)+IF(AND(V722&gt;=20,V722&lt;40,W722&gt;=45,W722&lt;95),0.23,0)+IF(AND(V722&gt;=20,V722&lt;40,W722&gt;=95),0.17,0)+IF(AND(V722&gt;=40,V722&lt;75,W722&lt;35),0.3,0)+IF(AND(V722&gt;=40,V722&lt;75,W722&gt;=35,W722&lt;75),0.23,0)+IF(AND(V722&gt;=40,V722&lt;75,W722&gt;=75,W722&lt;120),0.17,0)+IF(AND(V722&gt;=40,V722&lt;75,W722&gt;=120),0.12,0)+IF(AND(V722&gt;=75,V722&lt;175,W722&lt;35),0.3,0)+IF(AND(V722&gt;=75,V722&lt;=175,W722&gt;=35,W722&lt;65),0.23,0)+IF(AND(V722&gt;=75,V722&lt;=175,W722&gt;=65,W722&lt;110),0.17,0)+IF(AND(V722&gt;=75,V722&lt;=175,W722&gt;=110),0.12,0)+IF(AND(V722&gt;175,W722&lt;25),0.3,0)+IF(AND(V722&gt;175,W722&gt;=25,W722&lt;55),0.23,0)+IF(AND(V722&gt;175,W722&gt;=55,W722&lt;95),0.17,0)+IF(AND(V722&gt;175,W722&gt;=95),0.12,0),
IF(AF722="Fix15",0.15,
IF(AF722="Fix18.75",0.1875,
IF(AF722="Fix11.25",0.1125,
IF(AF722="Fix10",0.1,
IF(AF722="Fix9",0.09,
IF(AF722="Fix19",0.19,
IF(AF722="DoEV2017",IF(AND(W722&lt;74),0.2,0)+IF(AND(W722&gt;=74),0.17,0),
IF(AF722="SF",IF(AND(V722&lt;20,W722&lt;89),0.3,0)+IF(AND(V722&lt;20,W722&gt;=89),0.25,0)+IF(AND(V722&gt;=20,V722&lt;40,W722&lt;74),0.3,0)+IF(AND(V722&gt;=20,V722&lt;40,W722&gt;=75),0.22,0)+IF(AND(V722&gt;=40,V722&lt;75,W722&lt;75),0.26,0)+IF(AND(V722&gt;=40,V722&lt;75,W722&gt;=75),0.22,0)+IF(V722&gt;=75,0.22,0),
IF(AF722="DoEVold",IF(AND(V722&lt;40,W722&lt;35),0.35,0)+IF(AND(V722&lt;40,W722&gt;=35,W722&lt;75),0.25,0)+IF(AND(V722&lt;40,W722&gt;=75),0.17,0)+IF(AND(V722&gt;=40,V722&lt;75,W722&lt;25),0.35,0)+IF(AND(V722&gt;=40,V722&lt;75,W722&gt;=25,W722&lt;65),0.25,0)+IF(AND(V722&gt;=40,V722&lt;75,W722&gt;=65,W722&lt;100),0.17,0)+IF(AND(V722&gt;=40,V722&lt;75,W722&gt;=100),0.1,0)+IF(AND(V722&gt;=75,W722&lt;25),0.35,0)+IF(AND(V722&gt;=75,W722&gt;=25,W722&lt;60),0.25,0)+IF(AND(V722&gt;=75,W722&gt;=60,W722&lt;95),0.17,0)+IF(AND(V722&gt;=75,W722&gt;=95),0.1,0),
IF(AF722="DoEVold15",IF(AND(V722&lt;=40,W722&lt;35),0.35,0)+IF(AND(V722&lt;=40,W722&gt;=35,W722&lt;75),0.25,0)+IF(AND(V722&lt;=40,W722&gt;=75,W722&lt;120),0.17,0)+IF(AND(V722&lt;=40,W722&gt;=120),0.15,0)+IF(AND(V722&gt;40,V722&lt;75,W722&lt;25),0.35,0)+IF(AND(V722&gt;=40,V722&lt;75,W722&gt;=25,W722&lt;65),0.25,0)+IF(AND(V722&gt;=40,V722&lt;75,W722&gt;=65,W722&lt;100),0.17,0)+IF(AND(V722&gt;=40,V722&lt;75,W722&gt;=100),0.1,0)+IF(AND(V722&gt;=75,W722&lt;25),0.35,0)+IF(AND(V722&gt;=75,W722&gt;=25,W722&lt;60),0.25,0)+IF(AND(V722&gt;=75,W722&gt;=60,W722&lt;95),0.17,0)+IF(AND(V722&gt;=75,W722&gt;=95),0.1,0),
IF(AF722="DoEVba",IF(AND(V722&lt;20,W722&lt;105),0.2,0)+IF(AND(V722&lt;20,W722&gt;=105),0.15,0)+IF(AND(V722&gt;=20,V722&lt;40,W722&lt;95),0.2,0)+IF(AND(V722&gt;=20,V722&lt;40,W722&gt;=95,W722&lt;150),0.15,0)+IF(AND(V722&gt;=20,V722&lt;40,W722&gt;=150),0.12,0)+IF(AND(V722&gt;=40,V722&lt;75,W722&lt;75),0.2,0)+IF(AND(V722&gt;=40,V722&lt;75,W722&gt;=75,W722&lt;120),0.15,0)+IF(AND(V722&gt;=40,V722&lt;75,W722&gt;=120),0.12,0)+IF(AND(V722&gt;=75,V722&lt;175,W722&lt;65),0.2,0)+IF(AND(V722&gt;=75,V722&lt;175,W722&gt;=65,W722&lt;110),0.15,0)+IF(AND(V722&gt;=75,V722&lt;175,W722&gt;=110),0.12,0)+IF(AND(V722&gt;=175,W722&lt;55),0.2,0)+IF(AND(V722&gt;=175,W722&gt;=55,W722&lt;95),0.15,0)+IF(AND(V722&gt;=175,W722&gt;=95),0.12,0),
IF(AF722="DoEVku",IF(AND(V722&lt;20,W722&lt;55),0.23,0)+IF(AND(V722&lt;20,W722&gt;=55,W722&lt;105),0.2,0)+IF(AND(V722&lt;20,W722&gt;=105),0.17,0)+IF(AND(V722&gt;=20,V722&lt;40,W722&lt;45),0.23,0)+IF(AND(V722&gt;=20,V722&lt;40,W722&gt;=45,W722&lt;95),0.2,0)+IF(AND(V722&gt;=20,V722&lt;40,W722&gt;=95,W722&lt;=150),0.17,0)+IF(AND(V722&gt;=20,V722&lt;40,W722&gt;=150),0.12,0)+IF(AND(V722&gt;=40,V722&lt;75,W722&lt;35),0.23,0)+IF(AND(V722&gt;=40,V722&lt;75,W722&gt;=35,W722&lt;75),0.2,0)+IF(AND(V722&gt;=40,V722&lt;75,W722&gt;=75,W722&lt;120),0.17,0)+IF(AND(V722&gt;=40,V722&lt;75,W722&gt;=120),0.12,0)+IF(AND(V722&gt;=75,V722&lt;175,W722&lt;35),0.23,0)+IF(AND(V722&gt;=75,V722&lt;=175,W722&gt;=35,W722&lt;65),0.2,0)+IF(AND(V722&gt;=75,V722&lt;=175,W722&gt;=65,W722&lt;110),0.17,0)+IF(AND(V722&gt;=75,V722&lt;=175,W722&gt;=110),0.12,0)+IF(AND(V722&gt;175,W722&lt;25),0.23,0)+IF(AND(V722&gt;175,W722&gt;=25,W722&lt;55),0.2,0)+IF(AND(V722&gt;175,W722&gt;=55,W722&lt;95),0.17,0)+IF(AND(V722&gt;175,W722&gt;=95),0.12,0),
IF(AF722="DoEVs1",IF(AND(V722&lt;20,W722&lt;55),0.3,0)+IF(AND(V722&lt;20,W722&gt;=55,W722&lt;105),0.23,0)+IF(AND(V722&lt;20,W722&gt;=105),0.17,0)+IF(AND(V722&gt;=20,V722&lt;40,W722&lt;45),0.3,0)+IF(AND(V722&gt;=20,V722&lt;40,W722&gt;=45,W722&lt;95),0.23,0)+IF(AND(V722&gt;=20,V722&lt;40,W722&gt;=95,W722&lt;=150),0.17,0)+IF(AND(V722&gt;=20,V722&lt;40,W722&gt;=150),0.12,0)+IF(AND(V722&gt;=40,V722&lt;75,W722&lt;35),0.3,0)+IF(AND(V722&gt;=40,V722&lt;75,W722&gt;=35,W722&lt;75),0.23,0)+IF(AND(V722&gt;=40,V722&lt;75,W722&gt;=75,W722&lt;120),0.17,0)+IF(AND(V722&gt;=40,V722&lt;75,W722&gt;=120),0.12,0)+IF(AND(V722&gt;=75,V722&lt;175,W722&lt;35),0.3,0)+IF(AND(V722&gt;=75,V722&lt;=175,W722&gt;=35,W722&lt;65),0.23,0)+IF(AND(V722&gt;=75,V722&lt;=175,W722&gt;=65,W722&lt;110),0.17,0)+IF(AND(V722&gt;=75,V722&lt;=175,W722&gt;=110),0.12,0)+IF(AND(V722&gt;175,W722&lt;25),0.3,0)+IF(AND(V722&gt;175,W722&gt;=25,W722&lt;55),0.23,0)+IF(AND(V722&gt;175,W722&gt;=55,W722&lt;95),0.17,0)+IF(AND(V722&gt;175,W722&gt;=95),0.12,0),
IF(AF722="DoEVsu",IF(AND(V722&lt;20,W722&lt;55),0.3,0)+IF(AND(V722&lt;20,W722&gt;=55,W722&lt;105),0.23,0)+IF(AND(V722&lt;20,W722&gt;=105),0.17,0)+IF(AND(V722&gt;=20,V722&lt;40,W722&lt;45),0.3,0)+IF(AND(V722&gt;=20,V722&lt;40,W722&gt;=45,W722&lt;95),0.23,0)+IF(AND(V722&gt;=20,V722&lt;40,W722&gt;=95,W722&lt;=250),0.17,0)+IF(AND(V722&gt;=20,V722&lt;40,W722&gt;=250),0.12,0)+IF(AND(V722&gt;=40,V722&lt;75,W722&lt;35),0.3,0)+IF(AND(V722&gt;=40,V722&lt;75,W722&gt;=35,W722&lt;75),0.23,0)+IF(AND(V722&gt;=40,V722&lt;75,W722&gt;=75,W722&lt;120),0.17,0)+IF(AND(V722&gt;=40,V722&lt;75,W722&gt;=120),0.12,0)+IF(AND(V722&gt;=75,V722&lt;175,W722&lt;35),0.3,0)+IF(AND(V722&gt;=75,V722&lt;=175,W722&gt;=35,W722&lt;65),0.23,0)+IF(AND(V722&gt;=75,V722&lt;=175,W722&gt;=65,W722&lt;110),0.17,0)+IF(AND(V722&gt;=75,V722&lt;=175,W722&gt;=110),0.12,0)+IF(AND(V722&gt;175,W722&lt;25),0.3,0)+IF(AND(V722&gt;175,W722&gt;=25,W722&lt;55),0.23,0)+IF(AND(V722&gt;175,W722&gt;=55,W722&lt;95),0.17,0)+IF(AND(V722&gt;175,W722&gt;=95),0.12,0),
IF(AF722="DoEVni",IF(AND(V722&lt;20,W722&lt;55),0.3,0)+IF(AND(V722&lt;20,W722&gt;=55,W722&lt;105),0.23,0)+IF(AND(V722&lt;20,W722&gt;=105),0.17,0)+IF(AND(V722&gt;=20,V722&lt;40,W722&lt;45),0.3,0)+IF(AND(V722&gt;=20,V722&lt;40,W722&gt;=45,W722&lt;95),0.23,0)+IF(AND(V722&gt;=20,V722&lt;40,W722&gt;=95,W722&lt;=200),0.17,0)+IF(AND(V722&gt;=20,V722&lt;40,W722&gt;=200),0.12,0)+IF(AND(V722&gt;=40,V722&lt;75,W722&lt;35),0.3,0)+IF(AND(V722&gt;=40,V722&lt;75,W722&gt;=35,W722&lt;75),0.23,0)+IF(AND(V722&gt;=40,V722&lt;75,W722&gt;=75,W722&lt;120),0.17,0)+IF(AND(V722&gt;=40,V722&lt;75,W722&gt;=120),0.12,0)+IF(AND(V722&gt;=75,V722&lt;175,W722&lt;35),0.3,0)+IF(AND(V722&gt;=75,V722&lt;=175,W722&gt;=35,W722&lt;65),0.23,0)+IF(AND(V722&gt;=75,V722&lt;=175,W722&gt;=65,W722&lt;110),0.17,0)+IF(AND(V722&gt;=75,V722&lt;=175,W722&gt;=110),0.12,0)+IF(AND(V722&gt;175,W722&lt;25),0.3,0)+IF(AND(V722&gt;175,W722&gt;=25,W722&lt;55),0.23,0)+IF(AND(V722&gt;175,W722&gt;=55,W722&lt;95),0.17,0)+IF(AND(V722&gt;175,W722&gt;=95),0.12,0),
IF(AF722="DoEVLo",IF(AND(V722&lt;20,W722&lt;55),0.25,0)+IF(AND(V722&lt;20,W722&gt;=55,W722&lt;105),0.2,0)+IF(AND(V722&lt;20,W722&gt;=105),0.15,0)+IF(AND(V722&gt;=20,V722&lt;40,W722&lt;45),0.25,0)+IF(AND(V722&gt;=20,V722&lt;40,W722&gt;=45,W722&lt;95),0.2,0)+IF(AND(V722&gt;=20,V722&lt;40,W722&gt;=95),0.15,0)+IF(AND(V722&gt;=40,V722&lt;75,W722&lt;35),0.25,0)+IF(AND(V722&gt;=40,V722&lt;75,W722&gt;=35,W722&lt;75),0.2,0)+IF(AND(V722&gt;=40,V722&lt;75,W722&gt;=75,W722&lt;120),0.15,0)+IF(AND(V722&gt;=40,V722&lt;75,W722&gt;=120),0.1,0)+IF(AND(V722&gt;=75,V722&lt;175,W722&lt;35),0.25,0)+IF(AND(V722&gt;=75,V722&lt;=175,W722&gt;=35,W722&lt;65),0.2,0)+IF(AND(V722&gt;=75,V722&lt;=175,W722&gt;=65,W722&lt;110),0.15,0)+IF(AND(V722&gt;=75,V722&lt;=175,W722&gt;=110),0.1,0)+IF(AND(V722&gt;175,W722&lt;25),0.25,0)+IF(AND(V722&gt;175,W722&gt;=25,W722&lt;55),0.2,0)+IF(AND(V722&gt;175,W722&gt;=55,W722&lt;95),0.15,0)+IF(AND(V722&gt;175,W722&gt;=95),0.1,0))))))))))))))))))</f>
        <v>0.19</v>
      </c>
      <c r="Y722" s="30">
        <f>IF(AG722="None",0,IF(AG722="Fix5",0.05, IF(AG722="Fix6.25",0.0625,IF(AG722="Fix3.75",0.0375,IF(AG722="Fix10",0.1,IF(AG722="Fix3",0.03,0))))))</f>
        <v>0</v>
      </c>
      <c r="Z722" s="35">
        <f>T722-AA722-AB722</f>
        <v>-6115.5</v>
      </c>
      <c r="AA722" s="29">
        <f>IF(AD722="EUR",((T722-R722)*X722)*U722+(R722*X722),(T722*X722))</f>
        <v>-1434.5</v>
      </c>
      <c r="AB722" s="36">
        <f>IF(AD722="EUR",((T722-R722)*Y722)*U722+(R722*Y722),(T722*Y722))</f>
        <v>0</v>
      </c>
      <c r="AC722" s="37" t="b">
        <v>1</v>
      </c>
      <c r="AD722" s="37" t="s">
        <v>38</v>
      </c>
      <c r="AE722" s="37" t="s">
        <v>38</v>
      </c>
      <c r="AF722" s="37" t="str">
        <f t="array" ref="AF722">INDEX('Deal Info'!D:D, MATCH(A722,'Deal Info'!A:A, 0))</f>
        <v>Fix19</v>
      </c>
      <c r="AG722" s="38" t="str">
        <f t="array" ref="AG722">INDEX('Deal Info'!G:G, MATCH(A722,'Deal Info'!A:A, 0))</f>
        <v>None</v>
      </c>
    </row>
    <row r="723" spans="1:33" ht="14.25" hidden="1" x14ac:dyDescent="0.2">
      <c r="A723" s="18" t="str">
        <f t="array" ref="A723">IF(G723='Room Info'!$B$1, INDEX('Room Info'!$A$2:$A2446, MATCH(B723,'Room Info'!$B$2:$B2446, 0)),IF(G723='Room Info'!$C$1, INDEX('Room Info'!$A$2:$A2446, MATCH(B723,'Room Info'!$C$2:$C2446, 0)),IF(G723='Room Info'!$D$1, INDEX('Room Info'!$A$2:$A2446, MATCH(B723,'Room Info'!$D$2:$D2446, 0)),IF(G723='Room Info'!$E$1, INDEX('Room Info'!$A$2:$A2446, MATCH(B723,'Room Info'!$E$2:$E2446, 0)),IF(G723='Room Info'!$F$1, INDEX('Room Info'!$A$2:$A2446, MATCH(B723,'Room Info'!$F$2:$F2446, 0)),IF(G723='Room Info'!$H$1, INDEX('Room Info'!$A$2:$A2446, MATCH(B723,'Room Info'!$H$2:$H2446, 0)),IF(G723='Room Info'!$G$1, INDEX('Room Info'!$A$2:$A2446, MATCH(B723,'Room Info'!$G$2:$G2446, 0)))))))))</f>
        <v>dimasik</v>
      </c>
      <c r="B723" s="54" t="s">
        <v>162</v>
      </c>
      <c r="C723" s="46">
        <v>44927</v>
      </c>
      <c r="D723" s="46">
        <v>44957</v>
      </c>
      <c r="E723" s="47">
        <v>44927</v>
      </c>
      <c r="F723" s="45" t="s">
        <v>41</v>
      </c>
      <c r="G723" s="54" t="s">
        <v>35</v>
      </c>
      <c r="H723" s="49" t="s">
        <v>87</v>
      </c>
      <c r="I723" s="49" t="s">
        <v>44</v>
      </c>
      <c r="J723" s="50">
        <v>25</v>
      </c>
      <c r="K723" s="51">
        <v>2</v>
      </c>
      <c r="L723" s="52">
        <v>-50</v>
      </c>
      <c r="M723" s="53">
        <v>2</v>
      </c>
      <c r="N723" s="28">
        <f>K723*J723</f>
        <v>50</v>
      </c>
      <c r="O723" s="54">
        <v>-447</v>
      </c>
      <c r="P723" s="29">
        <v>-223.5</v>
      </c>
      <c r="Q723" s="55"/>
      <c r="R723" s="31">
        <f>M723+Q723</f>
        <v>2</v>
      </c>
      <c r="S723" s="66"/>
      <c r="T723" s="32">
        <f>R723+S723+IF(F723="Without EV deal",L723,0)</f>
        <v>-48</v>
      </c>
      <c r="U723" s="57">
        <v>1</v>
      </c>
      <c r="V723" s="58"/>
      <c r="W723" s="58"/>
      <c r="X723" s="30">
        <f>IF(AF723="DoEV",IF(AND(V723&lt;20,W723&lt;55),0.3,0)+IF(AND(V723&lt;20,W723&gt;=55,W723&lt;105),0.23,0)+IF(AND(V723&lt;20,W723&gt;=105),0.17,0)+IF(AND(V723&gt;=20,V723&lt;40,W723&lt;45),0.3,0)+IF(AND(V723&gt;=20,V723&lt;40,W723&gt;=45,W723&lt;95),0.23,0)+IF(AND(V723&gt;=20,V723&lt;40,W723&gt;=95),0.17,0)+IF(AND(V723&gt;=40,V723&lt;75,W723&lt;35),0.3,0)+IF(AND(V723&gt;=40,V723&lt;75,W723&gt;=35,W723&lt;75),0.23,0)+IF(AND(V723&gt;=40,V723&lt;75,W723&gt;=75,W723&lt;120),0.17,0)+IF(AND(V723&gt;=40,V723&lt;75,W723&gt;=120),0.12,0)+IF(AND(V723&gt;=75,V723&lt;175,W723&lt;35),0.3,0)+IF(AND(V723&gt;=75,V723&lt;=175,W723&gt;=35,W723&lt;65),0.23,0)+IF(AND(V723&gt;=75,V723&lt;=175,W723&gt;=65,W723&lt;110),0.17,0)+IF(AND(V723&gt;=75,V723&lt;=175,W723&gt;=110),0.12,0)+IF(AND(V723&gt;175,W723&lt;25),0.3,0)+IF(AND(V723&gt;175,W723&gt;=25,W723&lt;55),0.23,0)+IF(AND(V723&gt;175,W723&gt;=55,W723&lt;95),0.17,0)+IF(AND(V723&gt;175,W723&gt;=95),0.12,0),
IF(AF723="Fix15",0.15,
IF(AF723="Fix18.75",0.1875,
IF(AF723="Fix11.25",0.1125,
IF(AF723="Fix10",0.1,
IF(AF723="Fix9",0.09,
IF(AF723="Fix19",0.19,
IF(AF723="DoEV2017",IF(AND(W723&lt;74),0.2,0)+IF(AND(W723&gt;=74),0.17,0),
IF(AF723="SF",IF(AND(V723&lt;20,W723&lt;89),0.3,0)+IF(AND(V723&lt;20,W723&gt;=89),0.25,0)+IF(AND(V723&gt;=20,V723&lt;40,W723&lt;74),0.3,0)+IF(AND(V723&gt;=20,V723&lt;40,W723&gt;=75),0.22,0)+IF(AND(V723&gt;=40,V723&lt;75,W723&lt;75),0.26,0)+IF(AND(V723&gt;=40,V723&lt;75,W723&gt;=75),0.22,0)+IF(V723&gt;=75,0.22,0),
IF(AF723="DoEVold",IF(AND(V723&lt;40,W723&lt;35),0.35,0)+IF(AND(V723&lt;40,W723&gt;=35,W723&lt;75),0.25,0)+IF(AND(V723&lt;40,W723&gt;=75),0.17,0)+IF(AND(V723&gt;=40,V723&lt;75,W723&lt;25),0.35,0)+IF(AND(V723&gt;=40,V723&lt;75,W723&gt;=25,W723&lt;65),0.25,0)+IF(AND(V723&gt;=40,V723&lt;75,W723&gt;=65,W723&lt;100),0.17,0)+IF(AND(V723&gt;=40,V723&lt;75,W723&gt;=100),0.1,0)+IF(AND(V723&gt;=75,W723&lt;25),0.35,0)+IF(AND(V723&gt;=75,W723&gt;=25,W723&lt;60),0.25,0)+IF(AND(V723&gt;=75,W723&gt;=60,W723&lt;95),0.17,0)+IF(AND(V723&gt;=75,W723&gt;=95),0.1,0),
IF(AF723="DoEVold15",IF(AND(V723&lt;=40,W723&lt;35),0.35,0)+IF(AND(V723&lt;=40,W723&gt;=35,W723&lt;75),0.25,0)+IF(AND(V723&lt;=40,W723&gt;=75,W723&lt;120),0.17,0)+IF(AND(V723&lt;=40,W723&gt;=120),0.15,0)+IF(AND(V723&gt;40,V723&lt;75,W723&lt;25),0.35,0)+IF(AND(V723&gt;=40,V723&lt;75,W723&gt;=25,W723&lt;65),0.25,0)+IF(AND(V723&gt;=40,V723&lt;75,W723&gt;=65,W723&lt;100),0.17,0)+IF(AND(V723&gt;=40,V723&lt;75,W723&gt;=100),0.1,0)+IF(AND(V723&gt;=75,W723&lt;25),0.35,0)+IF(AND(V723&gt;=75,W723&gt;=25,W723&lt;60),0.25,0)+IF(AND(V723&gt;=75,W723&gt;=60,W723&lt;95),0.17,0)+IF(AND(V723&gt;=75,W723&gt;=95),0.1,0),
IF(AF723="DoEVba",IF(AND(V723&lt;20,W723&lt;105),0.2,0)+IF(AND(V723&lt;20,W723&gt;=105),0.15,0)+IF(AND(V723&gt;=20,V723&lt;40,W723&lt;95),0.2,0)+IF(AND(V723&gt;=20,V723&lt;40,W723&gt;=95,W723&lt;150),0.15,0)+IF(AND(V723&gt;=20,V723&lt;40,W723&gt;=150),0.12,0)+IF(AND(V723&gt;=40,V723&lt;75,W723&lt;75),0.2,0)+IF(AND(V723&gt;=40,V723&lt;75,W723&gt;=75,W723&lt;120),0.15,0)+IF(AND(V723&gt;=40,V723&lt;75,W723&gt;=120),0.12,0)+IF(AND(V723&gt;=75,V723&lt;175,W723&lt;65),0.2,0)+IF(AND(V723&gt;=75,V723&lt;175,W723&gt;=65,W723&lt;110),0.15,0)+IF(AND(V723&gt;=75,V723&lt;175,W723&gt;=110),0.12,0)+IF(AND(V723&gt;=175,W723&lt;55),0.2,0)+IF(AND(V723&gt;=175,W723&gt;=55,W723&lt;95),0.15,0)+IF(AND(V723&gt;=175,W723&gt;=95),0.12,0),
IF(AF723="DoEVku",IF(AND(V723&lt;20,W723&lt;55),0.23,0)+IF(AND(V723&lt;20,W723&gt;=55,W723&lt;105),0.2,0)+IF(AND(V723&lt;20,W723&gt;=105),0.17,0)+IF(AND(V723&gt;=20,V723&lt;40,W723&lt;45),0.23,0)+IF(AND(V723&gt;=20,V723&lt;40,W723&gt;=45,W723&lt;95),0.2,0)+IF(AND(V723&gt;=20,V723&lt;40,W723&gt;=95,W723&lt;=150),0.17,0)+IF(AND(V723&gt;=20,V723&lt;40,W723&gt;=150),0.12,0)+IF(AND(V723&gt;=40,V723&lt;75,W723&lt;35),0.23,0)+IF(AND(V723&gt;=40,V723&lt;75,W723&gt;=35,W723&lt;75),0.2,0)+IF(AND(V723&gt;=40,V723&lt;75,W723&gt;=75,W723&lt;120),0.17,0)+IF(AND(V723&gt;=40,V723&lt;75,W723&gt;=120),0.12,0)+IF(AND(V723&gt;=75,V723&lt;175,W723&lt;35),0.23,0)+IF(AND(V723&gt;=75,V723&lt;=175,W723&gt;=35,W723&lt;65),0.2,0)+IF(AND(V723&gt;=75,V723&lt;=175,W723&gt;=65,W723&lt;110),0.17,0)+IF(AND(V723&gt;=75,V723&lt;=175,W723&gt;=110),0.12,0)+IF(AND(V723&gt;175,W723&lt;25),0.23,0)+IF(AND(V723&gt;175,W723&gt;=25,W723&lt;55),0.2,0)+IF(AND(V723&gt;175,W723&gt;=55,W723&lt;95),0.17,0)+IF(AND(V723&gt;175,W723&gt;=95),0.12,0),
IF(AF723="DoEVs1",IF(AND(V723&lt;20,W723&lt;55),0.3,0)+IF(AND(V723&lt;20,W723&gt;=55,W723&lt;105),0.23,0)+IF(AND(V723&lt;20,W723&gt;=105),0.17,0)+IF(AND(V723&gt;=20,V723&lt;40,W723&lt;45),0.3,0)+IF(AND(V723&gt;=20,V723&lt;40,W723&gt;=45,W723&lt;95),0.23,0)+IF(AND(V723&gt;=20,V723&lt;40,W723&gt;=95,W723&lt;=150),0.17,0)+IF(AND(V723&gt;=20,V723&lt;40,W723&gt;=150),0.12,0)+IF(AND(V723&gt;=40,V723&lt;75,W723&lt;35),0.3,0)+IF(AND(V723&gt;=40,V723&lt;75,W723&gt;=35,W723&lt;75),0.23,0)+IF(AND(V723&gt;=40,V723&lt;75,W723&gt;=75,W723&lt;120),0.17,0)+IF(AND(V723&gt;=40,V723&lt;75,W723&gt;=120),0.12,0)+IF(AND(V723&gt;=75,V723&lt;175,W723&lt;35),0.3,0)+IF(AND(V723&gt;=75,V723&lt;=175,W723&gt;=35,W723&lt;65),0.23,0)+IF(AND(V723&gt;=75,V723&lt;=175,W723&gt;=65,W723&lt;110),0.17,0)+IF(AND(V723&gt;=75,V723&lt;=175,W723&gt;=110),0.12,0)+IF(AND(V723&gt;175,W723&lt;25),0.3,0)+IF(AND(V723&gt;175,W723&gt;=25,W723&lt;55),0.23,0)+IF(AND(V723&gt;175,W723&gt;=55,W723&lt;95),0.17,0)+IF(AND(V723&gt;175,W723&gt;=95),0.12,0),
IF(AF723="DoEVsu",IF(AND(V723&lt;20,W723&lt;55),0.3,0)+IF(AND(V723&lt;20,W723&gt;=55,W723&lt;105),0.23,0)+IF(AND(V723&lt;20,W723&gt;=105),0.17,0)+IF(AND(V723&gt;=20,V723&lt;40,W723&lt;45),0.3,0)+IF(AND(V723&gt;=20,V723&lt;40,W723&gt;=45,W723&lt;95),0.23,0)+IF(AND(V723&gt;=20,V723&lt;40,W723&gt;=95,W723&lt;=250),0.17,0)+IF(AND(V723&gt;=20,V723&lt;40,W723&gt;=250),0.12,0)+IF(AND(V723&gt;=40,V723&lt;75,W723&lt;35),0.3,0)+IF(AND(V723&gt;=40,V723&lt;75,W723&gt;=35,W723&lt;75),0.23,0)+IF(AND(V723&gt;=40,V723&lt;75,W723&gt;=75,W723&lt;120),0.17,0)+IF(AND(V723&gt;=40,V723&lt;75,W723&gt;=120),0.12,0)+IF(AND(V723&gt;=75,V723&lt;175,W723&lt;35),0.3,0)+IF(AND(V723&gt;=75,V723&lt;=175,W723&gt;=35,W723&lt;65),0.23,0)+IF(AND(V723&gt;=75,V723&lt;=175,W723&gt;=65,W723&lt;110),0.17,0)+IF(AND(V723&gt;=75,V723&lt;=175,W723&gt;=110),0.12,0)+IF(AND(V723&gt;175,W723&lt;25),0.3,0)+IF(AND(V723&gt;175,W723&gt;=25,W723&lt;55),0.23,0)+IF(AND(V723&gt;175,W723&gt;=55,W723&lt;95),0.17,0)+IF(AND(V723&gt;175,W723&gt;=95),0.12,0),
IF(AF723="DoEVni",IF(AND(V723&lt;20,W723&lt;55),0.3,0)+IF(AND(V723&lt;20,W723&gt;=55,W723&lt;105),0.23,0)+IF(AND(V723&lt;20,W723&gt;=105),0.17,0)+IF(AND(V723&gt;=20,V723&lt;40,W723&lt;45),0.3,0)+IF(AND(V723&gt;=20,V723&lt;40,W723&gt;=45,W723&lt;95),0.23,0)+IF(AND(V723&gt;=20,V723&lt;40,W723&gt;=95,W723&lt;=200),0.17,0)+IF(AND(V723&gt;=20,V723&lt;40,W723&gt;=200),0.12,0)+IF(AND(V723&gt;=40,V723&lt;75,W723&lt;35),0.3,0)+IF(AND(V723&gt;=40,V723&lt;75,W723&gt;=35,W723&lt;75),0.23,0)+IF(AND(V723&gt;=40,V723&lt;75,W723&gt;=75,W723&lt;120),0.17,0)+IF(AND(V723&gt;=40,V723&lt;75,W723&gt;=120),0.12,0)+IF(AND(V723&gt;=75,V723&lt;175,W723&lt;35),0.3,0)+IF(AND(V723&gt;=75,V723&lt;=175,W723&gt;=35,W723&lt;65),0.23,0)+IF(AND(V723&gt;=75,V723&lt;=175,W723&gt;=65,W723&lt;110),0.17,0)+IF(AND(V723&gt;=75,V723&lt;=175,W723&gt;=110),0.12,0)+IF(AND(V723&gt;175,W723&lt;25),0.3,0)+IF(AND(V723&gt;175,W723&gt;=25,W723&lt;55),0.23,0)+IF(AND(V723&gt;175,W723&gt;=55,W723&lt;95),0.17,0)+IF(AND(V723&gt;175,W723&gt;=95),0.12,0),
IF(AF723="DoEVLo",IF(AND(V723&lt;20,W723&lt;55),0.25,0)+IF(AND(V723&lt;20,W723&gt;=55,W723&lt;105),0.2,0)+IF(AND(V723&lt;20,W723&gt;=105),0.15,0)+IF(AND(V723&gt;=20,V723&lt;40,W723&lt;45),0.25,0)+IF(AND(V723&gt;=20,V723&lt;40,W723&gt;=45,W723&lt;95),0.2,0)+IF(AND(V723&gt;=20,V723&lt;40,W723&gt;=95),0.15,0)+IF(AND(V723&gt;=40,V723&lt;75,W723&lt;35),0.25,0)+IF(AND(V723&gt;=40,V723&lt;75,W723&gt;=35,W723&lt;75),0.2,0)+IF(AND(V723&gt;=40,V723&lt;75,W723&gt;=75,W723&lt;120),0.15,0)+IF(AND(V723&gt;=40,V723&lt;75,W723&gt;=120),0.1,0)+IF(AND(V723&gt;=75,V723&lt;175,W723&lt;35),0.25,0)+IF(AND(V723&gt;=75,V723&lt;=175,W723&gt;=35,W723&lt;65),0.2,0)+IF(AND(V723&gt;=75,V723&lt;=175,W723&gt;=65,W723&lt;110),0.15,0)+IF(AND(V723&gt;=75,V723&lt;=175,W723&gt;=110),0.1,0)+IF(AND(V723&gt;175,W723&lt;25),0.25,0)+IF(AND(V723&gt;175,W723&gt;=25,W723&lt;55),0.2,0)+IF(AND(V723&gt;175,W723&gt;=55,W723&lt;95),0.15,0)+IF(AND(V723&gt;175,W723&gt;=95),0.1,0))))))))))))))))))</f>
        <v>0.19</v>
      </c>
      <c r="Y723" s="30">
        <f>IF(AG723="None",0,IF(AG723="Fix5",0.05, IF(AG723="Fix6.25",0.0625,IF(AG723="Fix3.75",0.0375,IF(AG723="Fix10",0.1,IF(AG723="Fix3",0.03,0))))))</f>
        <v>0</v>
      </c>
      <c r="Z723" s="35">
        <f>T723-AA723-AB723</f>
        <v>-38.879999999999995</v>
      </c>
      <c r="AA723" s="29">
        <f>IF(AD723="EUR",((T723-R723)*X723)*U723+(R723*X723),(T723*X723))</f>
        <v>-9.120000000000001</v>
      </c>
      <c r="AB723" s="36">
        <f>IF(AD723="EUR",((T723-R723)*Y723)*U723+(R723*Y723),(T723*Y723))</f>
        <v>0</v>
      </c>
      <c r="AC723" s="37" t="b">
        <v>1</v>
      </c>
      <c r="AD723" s="37" t="s">
        <v>38</v>
      </c>
      <c r="AE723" s="37" t="s">
        <v>38</v>
      </c>
      <c r="AF723" s="37" t="str">
        <f t="array" ref="AF723">INDEX('Deal Info'!D:D, MATCH(A723,'Deal Info'!A:A, 0))</f>
        <v>Fix19</v>
      </c>
      <c r="AG723" s="38" t="str">
        <f t="array" ref="AG723">INDEX('Deal Info'!G:G, MATCH(A723,'Deal Info'!A:A, 0))</f>
        <v>None</v>
      </c>
    </row>
    <row r="724" spans="1:33" ht="14.25" hidden="1" x14ac:dyDescent="0.2">
      <c r="A724" s="18" t="str">
        <f t="array" ref="A724">IF(G724='Room Info'!$B$1, INDEX('Room Info'!$A$2:$A2446, MATCH(B724,'Room Info'!$B$2:$B2446, 0)),IF(G724='Room Info'!$C$1, INDEX('Room Info'!$A$2:$A2446, MATCH(B724,'Room Info'!$C$2:$C2446, 0)),IF(G724='Room Info'!$D$1, INDEX('Room Info'!$A$2:$A2446, MATCH(B724,'Room Info'!$D$2:$D2446, 0)),IF(G724='Room Info'!$E$1, INDEX('Room Info'!$A$2:$A2446, MATCH(B724,'Room Info'!$E$2:$E2446, 0)),IF(G724='Room Info'!$F$1, INDEX('Room Info'!$A$2:$A2446, MATCH(B724,'Room Info'!$F$2:$F2446, 0)),IF(G724='Room Info'!$H$1, INDEX('Room Info'!$A$2:$A2446, MATCH(B724,'Room Info'!$H$2:$H2446, 0)),IF(G724='Room Info'!$G$1, INDEX('Room Info'!$A$2:$A2446, MATCH(B724,'Room Info'!$G$2:$G2446, 0)))))))))</f>
        <v>dimasik</v>
      </c>
      <c r="B724" s="54" t="s">
        <v>162</v>
      </c>
      <c r="C724" s="46">
        <v>44927</v>
      </c>
      <c r="D724" s="46">
        <v>44957</v>
      </c>
      <c r="E724" s="47">
        <v>44927</v>
      </c>
      <c r="F724" s="45" t="s">
        <v>41</v>
      </c>
      <c r="G724" s="54" t="s">
        <v>35</v>
      </c>
      <c r="H724" s="49" t="s">
        <v>85</v>
      </c>
      <c r="I724" s="49" t="s">
        <v>44</v>
      </c>
      <c r="J724" s="50">
        <v>50</v>
      </c>
      <c r="K724" s="51">
        <v>1243</v>
      </c>
      <c r="L724" s="52">
        <v>1350</v>
      </c>
      <c r="M724" s="53">
        <v>2712</v>
      </c>
      <c r="N724" s="28">
        <f>K724*J724</f>
        <v>62150</v>
      </c>
      <c r="O724" s="54">
        <v>26615</v>
      </c>
      <c r="P724" s="29">
        <v>21.411906680000001</v>
      </c>
      <c r="Q724" s="55"/>
      <c r="R724" s="31">
        <f>M724+Q724</f>
        <v>2712</v>
      </c>
      <c r="S724" s="66"/>
      <c r="T724" s="32">
        <f>R724+S724+IF(F724="Without EV deal",L724,0)</f>
        <v>4062</v>
      </c>
      <c r="U724" s="57">
        <v>1</v>
      </c>
      <c r="V724" s="58"/>
      <c r="W724" s="58"/>
      <c r="X724" s="30">
        <f>IF(AF724="DoEV",IF(AND(V724&lt;20,W724&lt;55),0.3,0)+IF(AND(V724&lt;20,W724&gt;=55,W724&lt;105),0.23,0)+IF(AND(V724&lt;20,W724&gt;=105),0.17,0)+IF(AND(V724&gt;=20,V724&lt;40,W724&lt;45),0.3,0)+IF(AND(V724&gt;=20,V724&lt;40,W724&gt;=45,W724&lt;95),0.23,0)+IF(AND(V724&gt;=20,V724&lt;40,W724&gt;=95),0.17,0)+IF(AND(V724&gt;=40,V724&lt;75,W724&lt;35),0.3,0)+IF(AND(V724&gt;=40,V724&lt;75,W724&gt;=35,W724&lt;75),0.23,0)+IF(AND(V724&gt;=40,V724&lt;75,W724&gt;=75,W724&lt;120),0.17,0)+IF(AND(V724&gt;=40,V724&lt;75,W724&gt;=120),0.12,0)+IF(AND(V724&gt;=75,V724&lt;175,W724&lt;35),0.3,0)+IF(AND(V724&gt;=75,V724&lt;=175,W724&gt;=35,W724&lt;65),0.23,0)+IF(AND(V724&gt;=75,V724&lt;=175,W724&gt;=65,W724&lt;110),0.17,0)+IF(AND(V724&gt;=75,V724&lt;=175,W724&gt;=110),0.12,0)+IF(AND(V724&gt;175,W724&lt;25),0.3,0)+IF(AND(V724&gt;175,W724&gt;=25,W724&lt;55),0.23,0)+IF(AND(V724&gt;175,W724&gt;=55,W724&lt;95),0.17,0)+IF(AND(V724&gt;175,W724&gt;=95),0.12,0),
IF(AF724="Fix15",0.15,
IF(AF724="Fix18.75",0.1875,
IF(AF724="Fix11.25",0.1125,
IF(AF724="Fix10",0.1,
IF(AF724="Fix9",0.09,
IF(AF724="Fix19",0.19,
IF(AF724="DoEV2017",IF(AND(W724&lt;74),0.2,0)+IF(AND(W724&gt;=74),0.17,0),
IF(AF724="SF",IF(AND(V724&lt;20,W724&lt;89),0.3,0)+IF(AND(V724&lt;20,W724&gt;=89),0.25,0)+IF(AND(V724&gt;=20,V724&lt;40,W724&lt;74),0.3,0)+IF(AND(V724&gt;=20,V724&lt;40,W724&gt;=75),0.22,0)+IF(AND(V724&gt;=40,V724&lt;75,W724&lt;75),0.26,0)+IF(AND(V724&gt;=40,V724&lt;75,W724&gt;=75),0.22,0)+IF(V724&gt;=75,0.22,0),
IF(AF724="DoEVold",IF(AND(V724&lt;40,W724&lt;35),0.35,0)+IF(AND(V724&lt;40,W724&gt;=35,W724&lt;75),0.25,0)+IF(AND(V724&lt;40,W724&gt;=75),0.17,0)+IF(AND(V724&gt;=40,V724&lt;75,W724&lt;25),0.35,0)+IF(AND(V724&gt;=40,V724&lt;75,W724&gt;=25,W724&lt;65),0.25,0)+IF(AND(V724&gt;=40,V724&lt;75,W724&gt;=65,W724&lt;100),0.17,0)+IF(AND(V724&gt;=40,V724&lt;75,W724&gt;=100),0.1,0)+IF(AND(V724&gt;=75,W724&lt;25),0.35,0)+IF(AND(V724&gt;=75,W724&gt;=25,W724&lt;60),0.25,0)+IF(AND(V724&gt;=75,W724&gt;=60,W724&lt;95),0.17,0)+IF(AND(V724&gt;=75,W724&gt;=95),0.1,0),
IF(AF724="DoEVold15",IF(AND(V724&lt;=40,W724&lt;35),0.35,0)+IF(AND(V724&lt;=40,W724&gt;=35,W724&lt;75),0.25,0)+IF(AND(V724&lt;=40,W724&gt;=75,W724&lt;120),0.17,0)+IF(AND(V724&lt;=40,W724&gt;=120),0.15,0)+IF(AND(V724&gt;40,V724&lt;75,W724&lt;25),0.35,0)+IF(AND(V724&gt;=40,V724&lt;75,W724&gt;=25,W724&lt;65),0.25,0)+IF(AND(V724&gt;=40,V724&lt;75,W724&gt;=65,W724&lt;100),0.17,0)+IF(AND(V724&gt;=40,V724&lt;75,W724&gt;=100),0.1,0)+IF(AND(V724&gt;=75,W724&lt;25),0.35,0)+IF(AND(V724&gt;=75,W724&gt;=25,W724&lt;60),0.25,0)+IF(AND(V724&gt;=75,W724&gt;=60,W724&lt;95),0.17,0)+IF(AND(V724&gt;=75,W724&gt;=95),0.1,0),
IF(AF724="DoEVba",IF(AND(V724&lt;20,W724&lt;105),0.2,0)+IF(AND(V724&lt;20,W724&gt;=105),0.15,0)+IF(AND(V724&gt;=20,V724&lt;40,W724&lt;95),0.2,0)+IF(AND(V724&gt;=20,V724&lt;40,W724&gt;=95,W724&lt;150),0.15,0)+IF(AND(V724&gt;=20,V724&lt;40,W724&gt;=150),0.12,0)+IF(AND(V724&gt;=40,V724&lt;75,W724&lt;75),0.2,0)+IF(AND(V724&gt;=40,V724&lt;75,W724&gt;=75,W724&lt;120),0.15,0)+IF(AND(V724&gt;=40,V724&lt;75,W724&gt;=120),0.12,0)+IF(AND(V724&gt;=75,V724&lt;175,W724&lt;65),0.2,0)+IF(AND(V724&gt;=75,V724&lt;175,W724&gt;=65,W724&lt;110),0.15,0)+IF(AND(V724&gt;=75,V724&lt;175,W724&gt;=110),0.12,0)+IF(AND(V724&gt;=175,W724&lt;55),0.2,0)+IF(AND(V724&gt;=175,W724&gt;=55,W724&lt;95),0.15,0)+IF(AND(V724&gt;=175,W724&gt;=95),0.12,0),
IF(AF724="DoEVku",IF(AND(V724&lt;20,W724&lt;55),0.23,0)+IF(AND(V724&lt;20,W724&gt;=55,W724&lt;105),0.2,0)+IF(AND(V724&lt;20,W724&gt;=105),0.17,0)+IF(AND(V724&gt;=20,V724&lt;40,W724&lt;45),0.23,0)+IF(AND(V724&gt;=20,V724&lt;40,W724&gt;=45,W724&lt;95),0.2,0)+IF(AND(V724&gt;=20,V724&lt;40,W724&gt;=95,W724&lt;=150),0.17,0)+IF(AND(V724&gt;=20,V724&lt;40,W724&gt;=150),0.12,0)+IF(AND(V724&gt;=40,V724&lt;75,W724&lt;35),0.23,0)+IF(AND(V724&gt;=40,V724&lt;75,W724&gt;=35,W724&lt;75),0.2,0)+IF(AND(V724&gt;=40,V724&lt;75,W724&gt;=75,W724&lt;120),0.17,0)+IF(AND(V724&gt;=40,V724&lt;75,W724&gt;=120),0.12,0)+IF(AND(V724&gt;=75,V724&lt;175,W724&lt;35),0.23,0)+IF(AND(V724&gt;=75,V724&lt;=175,W724&gt;=35,W724&lt;65),0.2,0)+IF(AND(V724&gt;=75,V724&lt;=175,W724&gt;=65,W724&lt;110),0.17,0)+IF(AND(V724&gt;=75,V724&lt;=175,W724&gt;=110),0.12,0)+IF(AND(V724&gt;175,W724&lt;25),0.23,0)+IF(AND(V724&gt;175,W724&gt;=25,W724&lt;55),0.2,0)+IF(AND(V724&gt;175,W724&gt;=55,W724&lt;95),0.17,0)+IF(AND(V724&gt;175,W724&gt;=95),0.12,0),
IF(AF724="DoEVs1",IF(AND(V724&lt;20,W724&lt;55),0.3,0)+IF(AND(V724&lt;20,W724&gt;=55,W724&lt;105),0.23,0)+IF(AND(V724&lt;20,W724&gt;=105),0.17,0)+IF(AND(V724&gt;=20,V724&lt;40,W724&lt;45),0.3,0)+IF(AND(V724&gt;=20,V724&lt;40,W724&gt;=45,W724&lt;95),0.23,0)+IF(AND(V724&gt;=20,V724&lt;40,W724&gt;=95,W724&lt;=150),0.17,0)+IF(AND(V724&gt;=20,V724&lt;40,W724&gt;=150),0.12,0)+IF(AND(V724&gt;=40,V724&lt;75,W724&lt;35),0.3,0)+IF(AND(V724&gt;=40,V724&lt;75,W724&gt;=35,W724&lt;75),0.23,0)+IF(AND(V724&gt;=40,V724&lt;75,W724&gt;=75,W724&lt;120),0.17,0)+IF(AND(V724&gt;=40,V724&lt;75,W724&gt;=120),0.12,0)+IF(AND(V724&gt;=75,V724&lt;175,W724&lt;35),0.3,0)+IF(AND(V724&gt;=75,V724&lt;=175,W724&gt;=35,W724&lt;65),0.23,0)+IF(AND(V724&gt;=75,V724&lt;=175,W724&gt;=65,W724&lt;110),0.17,0)+IF(AND(V724&gt;=75,V724&lt;=175,W724&gt;=110),0.12,0)+IF(AND(V724&gt;175,W724&lt;25),0.3,0)+IF(AND(V724&gt;175,W724&gt;=25,W724&lt;55),0.23,0)+IF(AND(V724&gt;175,W724&gt;=55,W724&lt;95),0.17,0)+IF(AND(V724&gt;175,W724&gt;=95),0.12,0),
IF(AF724="DoEVsu",IF(AND(V724&lt;20,W724&lt;55),0.3,0)+IF(AND(V724&lt;20,W724&gt;=55,W724&lt;105),0.23,0)+IF(AND(V724&lt;20,W724&gt;=105),0.17,0)+IF(AND(V724&gt;=20,V724&lt;40,W724&lt;45),0.3,0)+IF(AND(V724&gt;=20,V724&lt;40,W724&gt;=45,W724&lt;95),0.23,0)+IF(AND(V724&gt;=20,V724&lt;40,W724&gt;=95,W724&lt;=250),0.17,0)+IF(AND(V724&gt;=20,V724&lt;40,W724&gt;=250),0.12,0)+IF(AND(V724&gt;=40,V724&lt;75,W724&lt;35),0.3,0)+IF(AND(V724&gt;=40,V724&lt;75,W724&gt;=35,W724&lt;75),0.23,0)+IF(AND(V724&gt;=40,V724&lt;75,W724&gt;=75,W724&lt;120),0.17,0)+IF(AND(V724&gt;=40,V724&lt;75,W724&gt;=120),0.12,0)+IF(AND(V724&gt;=75,V724&lt;175,W724&lt;35),0.3,0)+IF(AND(V724&gt;=75,V724&lt;=175,W724&gt;=35,W724&lt;65),0.23,0)+IF(AND(V724&gt;=75,V724&lt;=175,W724&gt;=65,W724&lt;110),0.17,0)+IF(AND(V724&gt;=75,V724&lt;=175,W724&gt;=110),0.12,0)+IF(AND(V724&gt;175,W724&lt;25),0.3,0)+IF(AND(V724&gt;175,W724&gt;=25,W724&lt;55),0.23,0)+IF(AND(V724&gt;175,W724&gt;=55,W724&lt;95),0.17,0)+IF(AND(V724&gt;175,W724&gt;=95),0.12,0),
IF(AF724="DoEVni",IF(AND(V724&lt;20,W724&lt;55),0.3,0)+IF(AND(V724&lt;20,W724&gt;=55,W724&lt;105),0.23,0)+IF(AND(V724&lt;20,W724&gt;=105),0.17,0)+IF(AND(V724&gt;=20,V724&lt;40,W724&lt;45),0.3,0)+IF(AND(V724&gt;=20,V724&lt;40,W724&gt;=45,W724&lt;95),0.23,0)+IF(AND(V724&gt;=20,V724&lt;40,W724&gt;=95,W724&lt;=200),0.17,0)+IF(AND(V724&gt;=20,V724&lt;40,W724&gt;=200),0.12,0)+IF(AND(V724&gt;=40,V724&lt;75,W724&lt;35),0.3,0)+IF(AND(V724&gt;=40,V724&lt;75,W724&gt;=35,W724&lt;75),0.23,0)+IF(AND(V724&gt;=40,V724&lt;75,W724&gt;=75,W724&lt;120),0.17,0)+IF(AND(V724&gt;=40,V724&lt;75,W724&gt;=120),0.12,0)+IF(AND(V724&gt;=75,V724&lt;175,W724&lt;35),0.3,0)+IF(AND(V724&gt;=75,V724&lt;=175,W724&gt;=35,W724&lt;65),0.23,0)+IF(AND(V724&gt;=75,V724&lt;=175,W724&gt;=65,W724&lt;110),0.17,0)+IF(AND(V724&gt;=75,V724&lt;=175,W724&gt;=110),0.12,0)+IF(AND(V724&gt;175,W724&lt;25),0.3,0)+IF(AND(V724&gt;175,W724&gt;=25,W724&lt;55),0.23,0)+IF(AND(V724&gt;175,W724&gt;=55,W724&lt;95),0.17,0)+IF(AND(V724&gt;175,W724&gt;=95),0.12,0),
IF(AF724="DoEVLo",IF(AND(V724&lt;20,W724&lt;55),0.25,0)+IF(AND(V724&lt;20,W724&gt;=55,W724&lt;105),0.2,0)+IF(AND(V724&lt;20,W724&gt;=105),0.15,0)+IF(AND(V724&gt;=20,V724&lt;40,W724&lt;45),0.25,0)+IF(AND(V724&gt;=20,V724&lt;40,W724&gt;=45,W724&lt;95),0.2,0)+IF(AND(V724&gt;=20,V724&lt;40,W724&gt;=95),0.15,0)+IF(AND(V724&gt;=40,V724&lt;75,W724&lt;35),0.25,0)+IF(AND(V724&gt;=40,V724&lt;75,W724&gt;=35,W724&lt;75),0.2,0)+IF(AND(V724&gt;=40,V724&lt;75,W724&gt;=75,W724&lt;120),0.15,0)+IF(AND(V724&gt;=40,V724&lt;75,W724&gt;=120),0.1,0)+IF(AND(V724&gt;=75,V724&lt;175,W724&lt;35),0.25,0)+IF(AND(V724&gt;=75,V724&lt;=175,W724&gt;=35,W724&lt;65),0.2,0)+IF(AND(V724&gt;=75,V724&lt;=175,W724&gt;=65,W724&lt;110),0.15,0)+IF(AND(V724&gt;=75,V724&lt;=175,W724&gt;=110),0.1,0)+IF(AND(V724&gt;175,W724&lt;25),0.25,0)+IF(AND(V724&gt;175,W724&gt;=25,W724&lt;55),0.2,0)+IF(AND(V724&gt;175,W724&gt;=55,W724&lt;95),0.15,0)+IF(AND(V724&gt;175,W724&gt;=95),0.1,0))))))))))))))))))</f>
        <v>0.19</v>
      </c>
      <c r="Y724" s="30">
        <f>IF(AG724="None",0,IF(AG724="Fix5",0.05, IF(AG724="Fix6.25",0.0625,IF(AG724="Fix3.75",0.0375,IF(AG724="Fix10",0.1,IF(AG724="Fix3",0.03,0))))))</f>
        <v>0</v>
      </c>
      <c r="Z724" s="35">
        <f>T724-AA724-AB724</f>
        <v>3290.2200000000003</v>
      </c>
      <c r="AA724" s="29">
        <f>IF(AD724="EUR",((T724-R724)*X724)*U724+(R724*X724),(T724*X724))</f>
        <v>771.78</v>
      </c>
      <c r="AB724" s="36">
        <f>IF(AD724="EUR",((T724-R724)*Y724)*U724+(R724*Y724),(T724*Y724))</f>
        <v>0</v>
      </c>
      <c r="AC724" s="37" t="b">
        <v>1</v>
      </c>
      <c r="AD724" s="37" t="s">
        <v>38</v>
      </c>
      <c r="AE724" s="37" t="s">
        <v>38</v>
      </c>
      <c r="AF724" s="37" t="str">
        <f t="array" ref="AF724">INDEX('Deal Info'!D:D, MATCH(A724,'Deal Info'!A:A, 0))</f>
        <v>Fix19</v>
      </c>
      <c r="AG724" s="38" t="str">
        <f t="array" ref="AG724">INDEX('Deal Info'!G:G, MATCH(A724,'Deal Info'!A:A, 0))</f>
        <v>None</v>
      </c>
    </row>
    <row r="725" spans="1:33" ht="14.25" hidden="1" x14ac:dyDescent="0.2">
      <c r="A725" s="18" t="str">
        <f t="array" ref="A725">IF(G725='Room Info'!$B$1, INDEX('Room Info'!$A$2:$A2446, MATCH(B725,'Room Info'!$B$2:$B2446, 0)),IF(G725='Room Info'!$C$1, INDEX('Room Info'!$A$2:$A2446, MATCH(B725,'Room Info'!$C$2:$C2446, 0)),IF(G725='Room Info'!$D$1, INDEX('Room Info'!$A$2:$A2446, MATCH(B725,'Room Info'!$D$2:$D2446, 0)),IF(G725='Room Info'!$E$1, INDEX('Room Info'!$A$2:$A2446, MATCH(B725,'Room Info'!$E$2:$E2446, 0)),IF(G725='Room Info'!$F$1, INDEX('Room Info'!$A$2:$A2446, MATCH(B725,'Room Info'!$F$2:$F2446, 0)),IF(G725='Room Info'!$H$1, INDEX('Room Info'!$A$2:$A2446, MATCH(B725,'Room Info'!$H$2:$H2446, 0)),IF(G725='Room Info'!$G$1, INDEX('Room Info'!$A$2:$A2446, MATCH(B725,'Room Info'!$G$2:$G2446, 0)))))))))</f>
        <v>dimasik</v>
      </c>
      <c r="B725" s="45" t="s">
        <v>162</v>
      </c>
      <c r="C725" s="46">
        <v>44927</v>
      </c>
      <c r="D725" s="46">
        <v>44957</v>
      </c>
      <c r="E725" s="47">
        <v>44927</v>
      </c>
      <c r="F725" s="48" t="s">
        <v>41</v>
      </c>
      <c r="G725" s="45" t="s">
        <v>35</v>
      </c>
      <c r="H725" s="49" t="s">
        <v>88</v>
      </c>
      <c r="I725" s="49" t="s">
        <v>37</v>
      </c>
      <c r="J725" s="50">
        <v>250</v>
      </c>
      <c r="K725" s="51">
        <v>112</v>
      </c>
      <c r="L725" s="52">
        <v>-250</v>
      </c>
      <c r="M725" s="53">
        <v>1018</v>
      </c>
      <c r="N725" s="28">
        <f>K725*J725</f>
        <v>28000</v>
      </c>
      <c r="O725" s="54">
        <v>994</v>
      </c>
      <c r="P725" s="29">
        <v>8.875</v>
      </c>
      <c r="Q725" s="55"/>
      <c r="R725" s="31">
        <f>M725+Q725</f>
        <v>1018</v>
      </c>
      <c r="S725" s="66"/>
      <c r="T725" s="32">
        <f>R725+S725+IF(F725="Without EV deal",L725,0)</f>
        <v>768</v>
      </c>
      <c r="U725" s="57">
        <v>1</v>
      </c>
      <c r="V725" s="58"/>
      <c r="W725" s="58"/>
      <c r="X725" s="30">
        <f>IF(AF725="DoEV",IF(AND(V725&lt;20,W725&lt;55),0.3,0)+IF(AND(V725&lt;20,W725&gt;=55,W725&lt;105),0.23,0)+IF(AND(V725&lt;20,W725&gt;=105),0.17,0)+IF(AND(V725&gt;=20,V725&lt;40,W725&lt;45),0.3,0)+IF(AND(V725&gt;=20,V725&lt;40,W725&gt;=45,W725&lt;95),0.23,0)+IF(AND(V725&gt;=20,V725&lt;40,W725&gt;=95),0.17,0)+IF(AND(V725&gt;=40,V725&lt;75,W725&lt;35),0.3,0)+IF(AND(V725&gt;=40,V725&lt;75,W725&gt;=35,W725&lt;75),0.23,0)+IF(AND(V725&gt;=40,V725&lt;75,W725&gt;=75,W725&lt;120),0.17,0)+IF(AND(V725&gt;=40,V725&lt;75,W725&gt;=120),0.12,0)+IF(AND(V725&gt;=75,V725&lt;175,W725&lt;35),0.3,0)+IF(AND(V725&gt;=75,V725&lt;=175,W725&gt;=35,W725&lt;65),0.23,0)+IF(AND(V725&gt;=75,V725&lt;=175,W725&gt;=65,W725&lt;110),0.17,0)+IF(AND(V725&gt;=75,V725&lt;=175,W725&gt;=110),0.12,0)+IF(AND(V725&gt;175,W725&lt;25),0.3,0)+IF(AND(V725&gt;175,W725&gt;=25,W725&lt;55),0.23,0)+IF(AND(V725&gt;175,W725&gt;=55,W725&lt;95),0.17,0)+IF(AND(V725&gt;175,W725&gt;=95),0.12,0),
IF(AF725="Fix15",0.15,
IF(AF725="Fix18.75",0.1875,
IF(AF725="Fix11.25",0.1125,
IF(AF725="Fix10",0.1,
IF(AF725="Fix9",0.09,
IF(AF725="Fix19",0.19,
IF(AF725="DoEV2017",IF(AND(W725&lt;74),0.2,0)+IF(AND(W725&gt;=74),0.17,0),
IF(AF725="SF",IF(AND(V725&lt;20,W725&lt;89),0.3,0)+IF(AND(V725&lt;20,W725&gt;=89),0.25,0)+IF(AND(V725&gt;=20,V725&lt;40,W725&lt;74),0.3,0)+IF(AND(V725&gt;=20,V725&lt;40,W725&gt;=75),0.22,0)+IF(AND(V725&gt;=40,V725&lt;75,W725&lt;75),0.26,0)+IF(AND(V725&gt;=40,V725&lt;75,W725&gt;=75),0.22,0)+IF(V725&gt;=75,0.22,0),
IF(AF725="DoEVold",IF(AND(V725&lt;40,W725&lt;35),0.35,0)+IF(AND(V725&lt;40,W725&gt;=35,W725&lt;75),0.25,0)+IF(AND(V725&lt;40,W725&gt;=75),0.17,0)+IF(AND(V725&gt;=40,V725&lt;75,W725&lt;25),0.35,0)+IF(AND(V725&gt;=40,V725&lt;75,W725&gt;=25,W725&lt;65),0.25,0)+IF(AND(V725&gt;=40,V725&lt;75,W725&gt;=65,W725&lt;100),0.17,0)+IF(AND(V725&gt;=40,V725&lt;75,W725&gt;=100),0.1,0)+IF(AND(V725&gt;=75,W725&lt;25),0.35,0)+IF(AND(V725&gt;=75,W725&gt;=25,W725&lt;60),0.25,0)+IF(AND(V725&gt;=75,W725&gt;=60,W725&lt;95),0.17,0)+IF(AND(V725&gt;=75,W725&gt;=95),0.1,0),
IF(AF725="DoEVold15",IF(AND(V725&lt;=40,W725&lt;35),0.35,0)+IF(AND(V725&lt;=40,W725&gt;=35,W725&lt;75),0.25,0)+IF(AND(V725&lt;=40,W725&gt;=75,W725&lt;120),0.17,0)+IF(AND(V725&lt;=40,W725&gt;=120),0.15,0)+IF(AND(V725&gt;40,V725&lt;75,W725&lt;25),0.35,0)+IF(AND(V725&gt;=40,V725&lt;75,W725&gt;=25,W725&lt;65),0.25,0)+IF(AND(V725&gt;=40,V725&lt;75,W725&gt;=65,W725&lt;100),0.17,0)+IF(AND(V725&gt;=40,V725&lt;75,W725&gt;=100),0.1,0)+IF(AND(V725&gt;=75,W725&lt;25),0.35,0)+IF(AND(V725&gt;=75,W725&gt;=25,W725&lt;60),0.25,0)+IF(AND(V725&gt;=75,W725&gt;=60,W725&lt;95),0.17,0)+IF(AND(V725&gt;=75,W725&gt;=95),0.1,0),
IF(AF725="DoEVba",IF(AND(V725&lt;20,W725&lt;105),0.2,0)+IF(AND(V725&lt;20,W725&gt;=105),0.15,0)+IF(AND(V725&gt;=20,V725&lt;40,W725&lt;95),0.2,0)+IF(AND(V725&gt;=20,V725&lt;40,W725&gt;=95,W725&lt;150),0.15,0)+IF(AND(V725&gt;=20,V725&lt;40,W725&gt;=150),0.12,0)+IF(AND(V725&gt;=40,V725&lt;75,W725&lt;75),0.2,0)+IF(AND(V725&gt;=40,V725&lt;75,W725&gt;=75,W725&lt;120),0.15,0)+IF(AND(V725&gt;=40,V725&lt;75,W725&gt;=120),0.12,0)+IF(AND(V725&gt;=75,V725&lt;175,W725&lt;65),0.2,0)+IF(AND(V725&gt;=75,V725&lt;175,W725&gt;=65,W725&lt;110),0.15,0)+IF(AND(V725&gt;=75,V725&lt;175,W725&gt;=110),0.12,0)+IF(AND(V725&gt;=175,W725&lt;55),0.2,0)+IF(AND(V725&gt;=175,W725&gt;=55,W725&lt;95),0.15,0)+IF(AND(V725&gt;=175,W725&gt;=95),0.12,0),
IF(AF725="DoEVku",IF(AND(V725&lt;20,W725&lt;55),0.23,0)+IF(AND(V725&lt;20,W725&gt;=55,W725&lt;105),0.2,0)+IF(AND(V725&lt;20,W725&gt;=105),0.17,0)+IF(AND(V725&gt;=20,V725&lt;40,W725&lt;45),0.23,0)+IF(AND(V725&gt;=20,V725&lt;40,W725&gt;=45,W725&lt;95),0.2,0)+IF(AND(V725&gt;=20,V725&lt;40,W725&gt;=95,W725&lt;=150),0.17,0)+IF(AND(V725&gt;=20,V725&lt;40,W725&gt;=150),0.12,0)+IF(AND(V725&gt;=40,V725&lt;75,W725&lt;35),0.23,0)+IF(AND(V725&gt;=40,V725&lt;75,W725&gt;=35,W725&lt;75),0.2,0)+IF(AND(V725&gt;=40,V725&lt;75,W725&gt;=75,W725&lt;120),0.17,0)+IF(AND(V725&gt;=40,V725&lt;75,W725&gt;=120),0.12,0)+IF(AND(V725&gt;=75,V725&lt;175,W725&lt;35),0.23,0)+IF(AND(V725&gt;=75,V725&lt;=175,W725&gt;=35,W725&lt;65),0.2,0)+IF(AND(V725&gt;=75,V725&lt;=175,W725&gt;=65,W725&lt;110),0.17,0)+IF(AND(V725&gt;=75,V725&lt;=175,W725&gt;=110),0.12,0)+IF(AND(V725&gt;175,W725&lt;25),0.23,0)+IF(AND(V725&gt;175,W725&gt;=25,W725&lt;55),0.2,0)+IF(AND(V725&gt;175,W725&gt;=55,W725&lt;95),0.17,0)+IF(AND(V725&gt;175,W725&gt;=95),0.12,0),
IF(AF725="DoEVs1",IF(AND(V725&lt;20,W725&lt;55),0.3,0)+IF(AND(V725&lt;20,W725&gt;=55,W725&lt;105),0.23,0)+IF(AND(V725&lt;20,W725&gt;=105),0.17,0)+IF(AND(V725&gt;=20,V725&lt;40,W725&lt;45),0.3,0)+IF(AND(V725&gt;=20,V725&lt;40,W725&gt;=45,W725&lt;95),0.23,0)+IF(AND(V725&gt;=20,V725&lt;40,W725&gt;=95,W725&lt;=150),0.17,0)+IF(AND(V725&gt;=20,V725&lt;40,W725&gt;=150),0.12,0)+IF(AND(V725&gt;=40,V725&lt;75,W725&lt;35),0.3,0)+IF(AND(V725&gt;=40,V725&lt;75,W725&gt;=35,W725&lt;75),0.23,0)+IF(AND(V725&gt;=40,V725&lt;75,W725&gt;=75,W725&lt;120),0.17,0)+IF(AND(V725&gt;=40,V725&lt;75,W725&gt;=120),0.12,0)+IF(AND(V725&gt;=75,V725&lt;175,W725&lt;35),0.3,0)+IF(AND(V725&gt;=75,V725&lt;=175,W725&gt;=35,W725&lt;65),0.23,0)+IF(AND(V725&gt;=75,V725&lt;=175,W725&gt;=65,W725&lt;110),0.17,0)+IF(AND(V725&gt;=75,V725&lt;=175,W725&gt;=110),0.12,0)+IF(AND(V725&gt;175,W725&lt;25),0.3,0)+IF(AND(V725&gt;175,W725&gt;=25,W725&lt;55),0.23,0)+IF(AND(V725&gt;175,W725&gt;=55,W725&lt;95),0.17,0)+IF(AND(V725&gt;175,W725&gt;=95),0.12,0),
IF(AF725="DoEVsu",IF(AND(V725&lt;20,W725&lt;55),0.3,0)+IF(AND(V725&lt;20,W725&gt;=55,W725&lt;105),0.23,0)+IF(AND(V725&lt;20,W725&gt;=105),0.17,0)+IF(AND(V725&gt;=20,V725&lt;40,W725&lt;45),0.3,0)+IF(AND(V725&gt;=20,V725&lt;40,W725&gt;=45,W725&lt;95),0.23,0)+IF(AND(V725&gt;=20,V725&lt;40,W725&gt;=95,W725&lt;=250),0.17,0)+IF(AND(V725&gt;=20,V725&lt;40,W725&gt;=250),0.12,0)+IF(AND(V725&gt;=40,V725&lt;75,W725&lt;35),0.3,0)+IF(AND(V725&gt;=40,V725&lt;75,W725&gt;=35,W725&lt;75),0.23,0)+IF(AND(V725&gt;=40,V725&lt;75,W725&gt;=75,W725&lt;120),0.17,0)+IF(AND(V725&gt;=40,V725&lt;75,W725&gt;=120),0.12,0)+IF(AND(V725&gt;=75,V725&lt;175,W725&lt;35),0.3,0)+IF(AND(V725&gt;=75,V725&lt;=175,W725&gt;=35,W725&lt;65),0.23,0)+IF(AND(V725&gt;=75,V725&lt;=175,W725&gt;=65,W725&lt;110),0.17,0)+IF(AND(V725&gt;=75,V725&lt;=175,W725&gt;=110),0.12,0)+IF(AND(V725&gt;175,W725&lt;25),0.3,0)+IF(AND(V725&gt;175,W725&gt;=25,W725&lt;55),0.23,0)+IF(AND(V725&gt;175,W725&gt;=55,W725&lt;95),0.17,0)+IF(AND(V725&gt;175,W725&gt;=95),0.12,0),
IF(AF725="DoEVni",IF(AND(V725&lt;20,W725&lt;55),0.3,0)+IF(AND(V725&lt;20,W725&gt;=55,W725&lt;105),0.23,0)+IF(AND(V725&lt;20,W725&gt;=105),0.17,0)+IF(AND(V725&gt;=20,V725&lt;40,W725&lt;45),0.3,0)+IF(AND(V725&gt;=20,V725&lt;40,W725&gt;=45,W725&lt;95),0.23,0)+IF(AND(V725&gt;=20,V725&lt;40,W725&gt;=95,W725&lt;=200),0.17,0)+IF(AND(V725&gt;=20,V725&lt;40,W725&gt;=200),0.12,0)+IF(AND(V725&gt;=40,V725&lt;75,W725&lt;35),0.3,0)+IF(AND(V725&gt;=40,V725&lt;75,W725&gt;=35,W725&lt;75),0.23,0)+IF(AND(V725&gt;=40,V725&lt;75,W725&gt;=75,W725&lt;120),0.17,0)+IF(AND(V725&gt;=40,V725&lt;75,W725&gt;=120),0.12,0)+IF(AND(V725&gt;=75,V725&lt;175,W725&lt;35),0.3,0)+IF(AND(V725&gt;=75,V725&lt;=175,W725&gt;=35,W725&lt;65),0.23,0)+IF(AND(V725&gt;=75,V725&lt;=175,W725&gt;=65,W725&lt;110),0.17,0)+IF(AND(V725&gt;=75,V725&lt;=175,W725&gt;=110),0.12,0)+IF(AND(V725&gt;175,W725&lt;25),0.3,0)+IF(AND(V725&gt;175,W725&gt;=25,W725&lt;55),0.23,0)+IF(AND(V725&gt;175,W725&gt;=55,W725&lt;95),0.17,0)+IF(AND(V725&gt;175,W725&gt;=95),0.12,0),
IF(AF725="DoEVLo",IF(AND(V725&lt;20,W725&lt;55),0.25,0)+IF(AND(V725&lt;20,W725&gt;=55,W725&lt;105),0.2,0)+IF(AND(V725&lt;20,W725&gt;=105),0.15,0)+IF(AND(V725&gt;=20,V725&lt;40,W725&lt;45),0.25,0)+IF(AND(V725&gt;=20,V725&lt;40,W725&gt;=45,W725&lt;95),0.2,0)+IF(AND(V725&gt;=20,V725&lt;40,W725&gt;=95),0.15,0)+IF(AND(V725&gt;=40,V725&lt;75,W725&lt;35),0.25,0)+IF(AND(V725&gt;=40,V725&lt;75,W725&gt;=35,W725&lt;75),0.2,0)+IF(AND(V725&gt;=40,V725&lt;75,W725&gt;=75,W725&lt;120),0.15,0)+IF(AND(V725&gt;=40,V725&lt;75,W725&gt;=120),0.1,0)+IF(AND(V725&gt;=75,V725&lt;175,W725&lt;35),0.25,0)+IF(AND(V725&gt;=75,V725&lt;=175,W725&gt;=35,W725&lt;65),0.2,0)+IF(AND(V725&gt;=75,V725&lt;=175,W725&gt;=65,W725&lt;110),0.15,0)+IF(AND(V725&gt;=75,V725&lt;=175,W725&gt;=110),0.1,0)+IF(AND(V725&gt;175,W725&lt;25),0.25,0)+IF(AND(V725&gt;175,W725&gt;=25,W725&lt;55),0.2,0)+IF(AND(V725&gt;175,W725&gt;=55,W725&lt;95),0.15,0)+IF(AND(V725&gt;175,W725&gt;=95),0.1,0))))))))))))))))))</f>
        <v>0.19</v>
      </c>
      <c r="Y725" s="30">
        <f>IF(AG725="None",0,IF(AG725="Fix5",0.05, IF(AG725="Fix6.25",0.0625,IF(AG725="Fix3.75",0.0375,IF(AG725="Fix10",0.1,IF(AG725="Fix3",0.03,0))))))</f>
        <v>0</v>
      </c>
      <c r="Z725" s="35">
        <f>T725-AA725-AB725</f>
        <v>622.07999999999993</v>
      </c>
      <c r="AA725" s="29">
        <f>IF(AD725="EUR",((T725-R725)*X725)*U725+(R725*X725),(T725*X725))</f>
        <v>145.92000000000002</v>
      </c>
      <c r="AB725" s="36">
        <f>IF(AD725="EUR",((T725-R725)*Y725)*U725+(R725*Y725),(T725*Y725))</f>
        <v>0</v>
      </c>
      <c r="AC725" s="37" t="b">
        <v>1</v>
      </c>
      <c r="AD725" s="37" t="s">
        <v>38</v>
      </c>
      <c r="AE725" s="37" t="s">
        <v>38</v>
      </c>
      <c r="AF725" s="37" t="str">
        <f t="array" ref="AF725">INDEX('Deal Info'!D:D, MATCH(A725,'Deal Info'!A:A, 0))</f>
        <v>Fix19</v>
      </c>
      <c r="AG725" s="38" t="str">
        <f t="array" ref="AG725">INDEX('Deal Info'!G:G, MATCH(A725,'Deal Info'!A:A, 0))</f>
        <v>None</v>
      </c>
    </row>
    <row r="726" spans="1:33" ht="14.25" hidden="1" x14ac:dyDescent="0.2">
      <c r="A726" s="18" t="str">
        <f t="array" ref="A726">IF(G726='Room Info'!$B$1, INDEX('Room Info'!$A$2:$A2446, MATCH(B726,'Room Info'!$B$2:$B2446, 0)),IF(G726='Room Info'!$C$1, INDEX('Room Info'!$A$2:$A2446, MATCH(B726,'Room Info'!$C$2:$C2446, 0)),IF(G726='Room Info'!$D$1, INDEX('Room Info'!$A$2:$A2446, MATCH(B726,'Room Info'!$D$2:$D2446, 0)),IF(G726='Room Info'!$E$1, INDEX('Room Info'!$A$2:$A2446, MATCH(B726,'Room Info'!$E$2:$E2446, 0)),IF(G726='Room Info'!$F$1, INDEX('Room Info'!$A$2:$A2446, MATCH(B726,'Room Info'!$F$2:$F2446, 0)),IF(G726='Room Info'!$H$1, INDEX('Room Info'!$A$2:$A2446, MATCH(B726,'Room Info'!$H$2:$H2446, 0)),IF(G726='Room Info'!$G$1, INDEX('Room Info'!$A$2:$A2446, MATCH(B726,'Room Info'!$G$2:$G2446, 0)))))))))</f>
        <v>dimasik</v>
      </c>
      <c r="B726" s="45" t="s">
        <v>162</v>
      </c>
      <c r="C726" s="46">
        <v>44927</v>
      </c>
      <c r="D726" s="46">
        <v>44957</v>
      </c>
      <c r="E726" s="47">
        <v>44927</v>
      </c>
      <c r="F726" s="48" t="s">
        <v>41</v>
      </c>
      <c r="G726" s="45" t="s">
        <v>35</v>
      </c>
      <c r="H726" s="49" t="s">
        <v>70</v>
      </c>
      <c r="I726" s="49" t="s">
        <v>37</v>
      </c>
      <c r="J726" s="50">
        <v>100</v>
      </c>
      <c r="K726" s="51">
        <v>1812</v>
      </c>
      <c r="L726" s="52">
        <v>7600</v>
      </c>
      <c r="M726" s="53">
        <v>6590</v>
      </c>
      <c r="N726" s="28">
        <f>K726*J726</f>
        <v>181200</v>
      </c>
      <c r="O726" s="54">
        <v>38810</v>
      </c>
      <c r="P726" s="29">
        <v>21.4183223</v>
      </c>
      <c r="Q726" s="55"/>
      <c r="R726" s="31">
        <f>M726+Q726</f>
        <v>6590</v>
      </c>
      <c r="S726" s="66"/>
      <c r="T726" s="32">
        <f>R726+S726+IF(F726="Without EV deal",L726,0)</f>
        <v>14190</v>
      </c>
      <c r="U726" s="57">
        <v>1</v>
      </c>
      <c r="V726" s="58"/>
      <c r="W726" s="58"/>
      <c r="X726" s="30">
        <f>IF(AF726="DoEV",IF(AND(V726&lt;20,W726&lt;55),0.3,0)+IF(AND(V726&lt;20,W726&gt;=55,W726&lt;105),0.23,0)+IF(AND(V726&lt;20,W726&gt;=105),0.17,0)+IF(AND(V726&gt;=20,V726&lt;40,W726&lt;45),0.3,0)+IF(AND(V726&gt;=20,V726&lt;40,W726&gt;=45,W726&lt;95),0.23,0)+IF(AND(V726&gt;=20,V726&lt;40,W726&gt;=95),0.17,0)+IF(AND(V726&gt;=40,V726&lt;75,W726&lt;35),0.3,0)+IF(AND(V726&gt;=40,V726&lt;75,W726&gt;=35,W726&lt;75),0.23,0)+IF(AND(V726&gt;=40,V726&lt;75,W726&gt;=75,W726&lt;120),0.17,0)+IF(AND(V726&gt;=40,V726&lt;75,W726&gt;=120),0.12,0)+IF(AND(V726&gt;=75,V726&lt;175,W726&lt;35),0.3,0)+IF(AND(V726&gt;=75,V726&lt;=175,W726&gt;=35,W726&lt;65),0.23,0)+IF(AND(V726&gt;=75,V726&lt;=175,W726&gt;=65,W726&lt;110),0.17,0)+IF(AND(V726&gt;=75,V726&lt;=175,W726&gt;=110),0.12,0)+IF(AND(V726&gt;175,W726&lt;25),0.3,0)+IF(AND(V726&gt;175,W726&gt;=25,W726&lt;55),0.23,0)+IF(AND(V726&gt;175,W726&gt;=55,W726&lt;95),0.17,0)+IF(AND(V726&gt;175,W726&gt;=95),0.12,0),
IF(AF726="Fix15",0.15,
IF(AF726="Fix18.75",0.1875,
IF(AF726="Fix11.25",0.1125,
IF(AF726="Fix10",0.1,
IF(AF726="Fix9",0.09,
IF(AF726="Fix19",0.19,
IF(AF726="DoEV2017",IF(AND(W726&lt;74),0.2,0)+IF(AND(W726&gt;=74),0.17,0),
IF(AF726="SF",IF(AND(V726&lt;20,W726&lt;89),0.3,0)+IF(AND(V726&lt;20,W726&gt;=89),0.25,0)+IF(AND(V726&gt;=20,V726&lt;40,W726&lt;74),0.3,0)+IF(AND(V726&gt;=20,V726&lt;40,W726&gt;=75),0.22,0)+IF(AND(V726&gt;=40,V726&lt;75,W726&lt;75),0.26,0)+IF(AND(V726&gt;=40,V726&lt;75,W726&gt;=75),0.22,0)+IF(V726&gt;=75,0.22,0),
IF(AF726="DoEVold",IF(AND(V726&lt;40,W726&lt;35),0.35,0)+IF(AND(V726&lt;40,W726&gt;=35,W726&lt;75),0.25,0)+IF(AND(V726&lt;40,W726&gt;=75),0.17,0)+IF(AND(V726&gt;=40,V726&lt;75,W726&lt;25),0.35,0)+IF(AND(V726&gt;=40,V726&lt;75,W726&gt;=25,W726&lt;65),0.25,0)+IF(AND(V726&gt;=40,V726&lt;75,W726&gt;=65,W726&lt;100),0.17,0)+IF(AND(V726&gt;=40,V726&lt;75,W726&gt;=100),0.1,0)+IF(AND(V726&gt;=75,W726&lt;25),0.35,0)+IF(AND(V726&gt;=75,W726&gt;=25,W726&lt;60),0.25,0)+IF(AND(V726&gt;=75,W726&gt;=60,W726&lt;95),0.17,0)+IF(AND(V726&gt;=75,W726&gt;=95),0.1,0),
IF(AF726="DoEVold15",IF(AND(V726&lt;=40,W726&lt;35),0.35,0)+IF(AND(V726&lt;=40,W726&gt;=35,W726&lt;75),0.25,0)+IF(AND(V726&lt;=40,W726&gt;=75,W726&lt;120),0.17,0)+IF(AND(V726&lt;=40,W726&gt;=120),0.15,0)+IF(AND(V726&gt;40,V726&lt;75,W726&lt;25),0.35,0)+IF(AND(V726&gt;=40,V726&lt;75,W726&gt;=25,W726&lt;65),0.25,0)+IF(AND(V726&gt;=40,V726&lt;75,W726&gt;=65,W726&lt;100),0.17,0)+IF(AND(V726&gt;=40,V726&lt;75,W726&gt;=100),0.1,0)+IF(AND(V726&gt;=75,W726&lt;25),0.35,0)+IF(AND(V726&gt;=75,W726&gt;=25,W726&lt;60),0.25,0)+IF(AND(V726&gt;=75,W726&gt;=60,W726&lt;95),0.17,0)+IF(AND(V726&gt;=75,W726&gt;=95),0.1,0),
IF(AF726="DoEVba",IF(AND(V726&lt;20,W726&lt;105),0.2,0)+IF(AND(V726&lt;20,W726&gt;=105),0.15,0)+IF(AND(V726&gt;=20,V726&lt;40,W726&lt;95),0.2,0)+IF(AND(V726&gt;=20,V726&lt;40,W726&gt;=95,W726&lt;150),0.15,0)+IF(AND(V726&gt;=20,V726&lt;40,W726&gt;=150),0.12,0)+IF(AND(V726&gt;=40,V726&lt;75,W726&lt;75),0.2,0)+IF(AND(V726&gt;=40,V726&lt;75,W726&gt;=75,W726&lt;120),0.15,0)+IF(AND(V726&gt;=40,V726&lt;75,W726&gt;=120),0.12,0)+IF(AND(V726&gt;=75,V726&lt;175,W726&lt;65),0.2,0)+IF(AND(V726&gt;=75,V726&lt;175,W726&gt;=65,W726&lt;110),0.15,0)+IF(AND(V726&gt;=75,V726&lt;175,W726&gt;=110),0.12,0)+IF(AND(V726&gt;=175,W726&lt;55),0.2,0)+IF(AND(V726&gt;=175,W726&gt;=55,W726&lt;95),0.15,0)+IF(AND(V726&gt;=175,W726&gt;=95),0.12,0),
IF(AF726="DoEVku",IF(AND(V726&lt;20,W726&lt;55),0.23,0)+IF(AND(V726&lt;20,W726&gt;=55,W726&lt;105),0.2,0)+IF(AND(V726&lt;20,W726&gt;=105),0.17,0)+IF(AND(V726&gt;=20,V726&lt;40,W726&lt;45),0.23,0)+IF(AND(V726&gt;=20,V726&lt;40,W726&gt;=45,W726&lt;95),0.2,0)+IF(AND(V726&gt;=20,V726&lt;40,W726&gt;=95,W726&lt;=150),0.17,0)+IF(AND(V726&gt;=20,V726&lt;40,W726&gt;=150),0.12,0)+IF(AND(V726&gt;=40,V726&lt;75,W726&lt;35),0.23,0)+IF(AND(V726&gt;=40,V726&lt;75,W726&gt;=35,W726&lt;75),0.2,0)+IF(AND(V726&gt;=40,V726&lt;75,W726&gt;=75,W726&lt;120),0.17,0)+IF(AND(V726&gt;=40,V726&lt;75,W726&gt;=120),0.12,0)+IF(AND(V726&gt;=75,V726&lt;175,W726&lt;35),0.23,0)+IF(AND(V726&gt;=75,V726&lt;=175,W726&gt;=35,W726&lt;65),0.2,0)+IF(AND(V726&gt;=75,V726&lt;=175,W726&gt;=65,W726&lt;110),0.17,0)+IF(AND(V726&gt;=75,V726&lt;=175,W726&gt;=110),0.12,0)+IF(AND(V726&gt;175,W726&lt;25),0.23,0)+IF(AND(V726&gt;175,W726&gt;=25,W726&lt;55),0.2,0)+IF(AND(V726&gt;175,W726&gt;=55,W726&lt;95),0.17,0)+IF(AND(V726&gt;175,W726&gt;=95),0.12,0),
IF(AF726="DoEVs1",IF(AND(V726&lt;20,W726&lt;55),0.3,0)+IF(AND(V726&lt;20,W726&gt;=55,W726&lt;105),0.23,0)+IF(AND(V726&lt;20,W726&gt;=105),0.17,0)+IF(AND(V726&gt;=20,V726&lt;40,W726&lt;45),0.3,0)+IF(AND(V726&gt;=20,V726&lt;40,W726&gt;=45,W726&lt;95),0.23,0)+IF(AND(V726&gt;=20,V726&lt;40,W726&gt;=95,W726&lt;=150),0.17,0)+IF(AND(V726&gt;=20,V726&lt;40,W726&gt;=150),0.12,0)+IF(AND(V726&gt;=40,V726&lt;75,W726&lt;35),0.3,0)+IF(AND(V726&gt;=40,V726&lt;75,W726&gt;=35,W726&lt;75),0.23,0)+IF(AND(V726&gt;=40,V726&lt;75,W726&gt;=75,W726&lt;120),0.17,0)+IF(AND(V726&gt;=40,V726&lt;75,W726&gt;=120),0.12,0)+IF(AND(V726&gt;=75,V726&lt;175,W726&lt;35),0.3,0)+IF(AND(V726&gt;=75,V726&lt;=175,W726&gt;=35,W726&lt;65),0.23,0)+IF(AND(V726&gt;=75,V726&lt;=175,W726&gt;=65,W726&lt;110),0.17,0)+IF(AND(V726&gt;=75,V726&lt;=175,W726&gt;=110),0.12,0)+IF(AND(V726&gt;175,W726&lt;25),0.3,0)+IF(AND(V726&gt;175,W726&gt;=25,W726&lt;55),0.23,0)+IF(AND(V726&gt;175,W726&gt;=55,W726&lt;95),0.17,0)+IF(AND(V726&gt;175,W726&gt;=95),0.12,0),
IF(AF726="DoEVsu",IF(AND(V726&lt;20,W726&lt;55),0.3,0)+IF(AND(V726&lt;20,W726&gt;=55,W726&lt;105),0.23,0)+IF(AND(V726&lt;20,W726&gt;=105),0.17,0)+IF(AND(V726&gt;=20,V726&lt;40,W726&lt;45),0.3,0)+IF(AND(V726&gt;=20,V726&lt;40,W726&gt;=45,W726&lt;95),0.23,0)+IF(AND(V726&gt;=20,V726&lt;40,W726&gt;=95,W726&lt;=250),0.17,0)+IF(AND(V726&gt;=20,V726&lt;40,W726&gt;=250),0.12,0)+IF(AND(V726&gt;=40,V726&lt;75,W726&lt;35),0.3,0)+IF(AND(V726&gt;=40,V726&lt;75,W726&gt;=35,W726&lt;75),0.23,0)+IF(AND(V726&gt;=40,V726&lt;75,W726&gt;=75,W726&lt;120),0.17,0)+IF(AND(V726&gt;=40,V726&lt;75,W726&gt;=120),0.12,0)+IF(AND(V726&gt;=75,V726&lt;175,W726&lt;35),0.3,0)+IF(AND(V726&gt;=75,V726&lt;=175,W726&gt;=35,W726&lt;65),0.23,0)+IF(AND(V726&gt;=75,V726&lt;=175,W726&gt;=65,W726&lt;110),0.17,0)+IF(AND(V726&gt;=75,V726&lt;=175,W726&gt;=110),0.12,0)+IF(AND(V726&gt;175,W726&lt;25),0.3,0)+IF(AND(V726&gt;175,W726&gt;=25,W726&lt;55),0.23,0)+IF(AND(V726&gt;175,W726&gt;=55,W726&lt;95),0.17,0)+IF(AND(V726&gt;175,W726&gt;=95),0.12,0),
IF(AF726="DoEVni",IF(AND(V726&lt;20,W726&lt;55),0.3,0)+IF(AND(V726&lt;20,W726&gt;=55,W726&lt;105),0.23,0)+IF(AND(V726&lt;20,W726&gt;=105),0.17,0)+IF(AND(V726&gt;=20,V726&lt;40,W726&lt;45),0.3,0)+IF(AND(V726&gt;=20,V726&lt;40,W726&gt;=45,W726&lt;95),0.23,0)+IF(AND(V726&gt;=20,V726&lt;40,W726&gt;=95,W726&lt;=200),0.17,0)+IF(AND(V726&gt;=20,V726&lt;40,W726&gt;=200),0.12,0)+IF(AND(V726&gt;=40,V726&lt;75,W726&lt;35),0.3,0)+IF(AND(V726&gt;=40,V726&lt;75,W726&gt;=35,W726&lt;75),0.23,0)+IF(AND(V726&gt;=40,V726&lt;75,W726&gt;=75,W726&lt;120),0.17,0)+IF(AND(V726&gt;=40,V726&lt;75,W726&gt;=120),0.12,0)+IF(AND(V726&gt;=75,V726&lt;175,W726&lt;35),0.3,0)+IF(AND(V726&gt;=75,V726&lt;=175,W726&gt;=35,W726&lt;65),0.23,0)+IF(AND(V726&gt;=75,V726&lt;=175,W726&gt;=65,W726&lt;110),0.17,0)+IF(AND(V726&gt;=75,V726&lt;=175,W726&gt;=110),0.12,0)+IF(AND(V726&gt;175,W726&lt;25),0.3,0)+IF(AND(V726&gt;175,W726&gt;=25,W726&lt;55),0.23,0)+IF(AND(V726&gt;175,W726&gt;=55,W726&lt;95),0.17,0)+IF(AND(V726&gt;175,W726&gt;=95),0.12,0),
IF(AF726="DoEVLo",IF(AND(V726&lt;20,W726&lt;55),0.25,0)+IF(AND(V726&lt;20,W726&gt;=55,W726&lt;105),0.2,0)+IF(AND(V726&lt;20,W726&gt;=105),0.15,0)+IF(AND(V726&gt;=20,V726&lt;40,W726&lt;45),0.25,0)+IF(AND(V726&gt;=20,V726&lt;40,W726&gt;=45,W726&lt;95),0.2,0)+IF(AND(V726&gt;=20,V726&lt;40,W726&gt;=95),0.15,0)+IF(AND(V726&gt;=40,V726&lt;75,W726&lt;35),0.25,0)+IF(AND(V726&gt;=40,V726&lt;75,W726&gt;=35,W726&lt;75),0.2,0)+IF(AND(V726&gt;=40,V726&lt;75,W726&gt;=75,W726&lt;120),0.15,0)+IF(AND(V726&gt;=40,V726&lt;75,W726&gt;=120),0.1,0)+IF(AND(V726&gt;=75,V726&lt;175,W726&lt;35),0.25,0)+IF(AND(V726&gt;=75,V726&lt;=175,W726&gt;=35,W726&lt;65),0.2,0)+IF(AND(V726&gt;=75,V726&lt;=175,W726&gt;=65,W726&lt;110),0.15,0)+IF(AND(V726&gt;=75,V726&lt;=175,W726&gt;=110),0.1,0)+IF(AND(V726&gt;175,W726&lt;25),0.25,0)+IF(AND(V726&gt;175,W726&gt;=25,W726&lt;55),0.2,0)+IF(AND(V726&gt;175,W726&gt;=55,W726&lt;95),0.15,0)+IF(AND(V726&gt;175,W726&gt;=95),0.1,0))))))))))))))))))</f>
        <v>0.19</v>
      </c>
      <c r="Y726" s="30">
        <f>IF(AG726="None",0,IF(AG726="Fix5",0.05, IF(AG726="Fix6.25",0.0625,IF(AG726="Fix3.75",0.0375,IF(AG726="Fix10",0.1,IF(AG726="Fix3",0.03,0))))))</f>
        <v>0</v>
      </c>
      <c r="Z726" s="35">
        <f>T726-AA726-AB726</f>
        <v>11493.9</v>
      </c>
      <c r="AA726" s="29">
        <f>IF(AD726="EUR",((T726-R726)*X726)*U726+(R726*X726),(T726*X726))</f>
        <v>2696.1</v>
      </c>
      <c r="AB726" s="36">
        <f>IF(AD726="EUR",((T726-R726)*Y726)*U726+(R726*Y726),(T726*Y726))</f>
        <v>0</v>
      </c>
      <c r="AC726" s="37" t="b">
        <v>1</v>
      </c>
      <c r="AD726" s="37" t="s">
        <v>38</v>
      </c>
      <c r="AE726" s="37" t="s">
        <v>38</v>
      </c>
      <c r="AF726" s="37" t="str">
        <f t="array" ref="AF726">INDEX('Deal Info'!D:D, MATCH(A726,'Deal Info'!A:A, 0))</f>
        <v>Fix19</v>
      </c>
      <c r="AG726" s="38" t="str">
        <f t="array" ref="AG726">INDEX('Deal Info'!G:G, MATCH(A726,'Deal Info'!A:A, 0))</f>
        <v>None</v>
      </c>
    </row>
    <row r="727" spans="1:33" ht="14.25" hidden="1" x14ac:dyDescent="0.2">
      <c r="A727" s="18" t="str">
        <f t="array" ref="A727">IF(G727='Room Info'!$B$1, INDEX('Room Info'!$A$2:$A2446, MATCH(B727,'Room Info'!$B$2:$B2446, 0)),IF(G727='Room Info'!$C$1, INDEX('Room Info'!$A$2:$A2446, MATCH(B727,'Room Info'!$C$2:$C2446, 0)),IF(G727='Room Info'!$D$1, INDEX('Room Info'!$A$2:$A2446, MATCH(B727,'Room Info'!$D$2:$D2446, 0)),IF(G727='Room Info'!$E$1, INDEX('Room Info'!$A$2:$A2446, MATCH(B727,'Room Info'!$E$2:$E2446, 0)),IF(G727='Room Info'!$F$1, INDEX('Room Info'!$A$2:$A2446, MATCH(B727,'Room Info'!$F$2:$F2446, 0)),IF(G727='Room Info'!$H$1, INDEX('Room Info'!$A$2:$A2446, MATCH(B727,'Room Info'!$H$2:$H2446, 0)),IF(G727='Room Info'!$G$1, INDEX('Room Info'!$A$2:$A2446, MATCH(B727,'Room Info'!$G$2:$G2446, 0)))))))))</f>
        <v>dimasik</v>
      </c>
      <c r="B727" s="45" t="s">
        <v>162</v>
      </c>
      <c r="C727" s="46">
        <v>44927</v>
      </c>
      <c r="D727" s="46">
        <v>44957</v>
      </c>
      <c r="E727" s="47">
        <v>44927</v>
      </c>
      <c r="F727" s="48" t="s">
        <v>41</v>
      </c>
      <c r="G727" s="45" t="s">
        <v>35</v>
      </c>
      <c r="H727" s="49" t="s">
        <v>148</v>
      </c>
      <c r="I727" s="49" t="s">
        <v>44</v>
      </c>
      <c r="J727" s="50">
        <v>250</v>
      </c>
      <c r="K727" s="51">
        <v>157</v>
      </c>
      <c r="L727" s="52">
        <v>-5250</v>
      </c>
      <c r="M727" s="53">
        <v>1427</v>
      </c>
      <c r="N727" s="28">
        <f>K727*J727</f>
        <v>39250</v>
      </c>
      <c r="O727" s="54">
        <v>1394</v>
      </c>
      <c r="P727" s="29">
        <v>8.8789808919999995</v>
      </c>
      <c r="Q727" s="55"/>
      <c r="R727" s="31">
        <f>M727+Q727</f>
        <v>1427</v>
      </c>
      <c r="S727" s="66"/>
      <c r="T727" s="32">
        <f>R727+S727+IF(F727="Without EV deal",L727,0)</f>
        <v>-3823</v>
      </c>
      <c r="U727" s="57">
        <v>1</v>
      </c>
      <c r="V727" s="58"/>
      <c r="W727" s="58"/>
      <c r="X727" s="30">
        <f>IF(AF727="DoEV",IF(AND(V727&lt;20,W727&lt;55),0.3,0)+IF(AND(V727&lt;20,W727&gt;=55,W727&lt;105),0.23,0)+IF(AND(V727&lt;20,W727&gt;=105),0.17,0)+IF(AND(V727&gt;=20,V727&lt;40,W727&lt;45),0.3,0)+IF(AND(V727&gt;=20,V727&lt;40,W727&gt;=45,W727&lt;95),0.23,0)+IF(AND(V727&gt;=20,V727&lt;40,W727&gt;=95),0.17,0)+IF(AND(V727&gt;=40,V727&lt;75,W727&lt;35),0.3,0)+IF(AND(V727&gt;=40,V727&lt;75,W727&gt;=35,W727&lt;75),0.23,0)+IF(AND(V727&gt;=40,V727&lt;75,W727&gt;=75,W727&lt;120),0.17,0)+IF(AND(V727&gt;=40,V727&lt;75,W727&gt;=120),0.12,0)+IF(AND(V727&gt;=75,V727&lt;175,W727&lt;35),0.3,0)+IF(AND(V727&gt;=75,V727&lt;=175,W727&gt;=35,W727&lt;65),0.23,0)+IF(AND(V727&gt;=75,V727&lt;=175,W727&gt;=65,W727&lt;110),0.17,0)+IF(AND(V727&gt;=75,V727&lt;=175,W727&gt;=110),0.12,0)+IF(AND(V727&gt;175,W727&lt;25),0.3,0)+IF(AND(V727&gt;175,W727&gt;=25,W727&lt;55),0.23,0)+IF(AND(V727&gt;175,W727&gt;=55,W727&lt;95),0.17,0)+IF(AND(V727&gt;175,W727&gt;=95),0.12,0),
IF(AF727="Fix15",0.15,
IF(AF727="Fix18.75",0.1875,
IF(AF727="Fix11.25",0.1125,
IF(AF727="Fix10",0.1,
IF(AF727="Fix9",0.09,
IF(AF727="Fix19",0.19,
IF(AF727="DoEV2017",IF(AND(W727&lt;74),0.2,0)+IF(AND(W727&gt;=74),0.17,0),
IF(AF727="SF",IF(AND(V727&lt;20,W727&lt;89),0.3,0)+IF(AND(V727&lt;20,W727&gt;=89),0.25,0)+IF(AND(V727&gt;=20,V727&lt;40,W727&lt;74),0.3,0)+IF(AND(V727&gt;=20,V727&lt;40,W727&gt;=75),0.22,0)+IF(AND(V727&gt;=40,V727&lt;75,W727&lt;75),0.26,0)+IF(AND(V727&gt;=40,V727&lt;75,W727&gt;=75),0.22,0)+IF(V727&gt;=75,0.22,0),
IF(AF727="DoEVold",IF(AND(V727&lt;40,W727&lt;35),0.35,0)+IF(AND(V727&lt;40,W727&gt;=35,W727&lt;75),0.25,0)+IF(AND(V727&lt;40,W727&gt;=75),0.17,0)+IF(AND(V727&gt;=40,V727&lt;75,W727&lt;25),0.35,0)+IF(AND(V727&gt;=40,V727&lt;75,W727&gt;=25,W727&lt;65),0.25,0)+IF(AND(V727&gt;=40,V727&lt;75,W727&gt;=65,W727&lt;100),0.17,0)+IF(AND(V727&gt;=40,V727&lt;75,W727&gt;=100),0.1,0)+IF(AND(V727&gt;=75,W727&lt;25),0.35,0)+IF(AND(V727&gt;=75,W727&gt;=25,W727&lt;60),0.25,0)+IF(AND(V727&gt;=75,W727&gt;=60,W727&lt;95),0.17,0)+IF(AND(V727&gt;=75,W727&gt;=95),0.1,0),
IF(AF727="DoEVold15",IF(AND(V727&lt;=40,W727&lt;35),0.35,0)+IF(AND(V727&lt;=40,W727&gt;=35,W727&lt;75),0.25,0)+IF(AND(V727&lt;=40,W727&gt;=75,W727&lt;120),0.17,0)+IF(AND(V727&lt;=40,W727&gt;=120),0.15,0)+IF(AND(V727&gt;40,V727&lt;75,W727&lt;25),0.35,0)+IF(AND(V727&gt;=40,V727&lt;75,W727&gt;=25,W727&lt;65),0.25,0)+IF(AND(V727&gt;=40,V727&lt;75,W727&gt;=65,W727&lt;100),0.17,0)+IF(AND(V727&gt;=40,V727&lt;75,W727&gt;=100),0.1,0)+IF(AND(V727&gt;=75,W727&lt;25),0.35,0)+IF(AND(V727&gt;=75,W727&gt;=25,W727&lt;60),0.25,0)+IF(AND(V727&gt;=75,W727&gt;=60,W727&lt;95),0.17,0)+IF(AND(V727&gt;=75,W727&gt;=95),0.1,0),
IF(AF727="DoEVba",IF(AND(V727&lt;20,W727&lt;105),0.2,0)+IF(AND(V727&lt;20,W727&gt;=105),0.15,0)+IF(AND(V727&gt;=20,V727&lt;40,W727&lt;95),0.2,0)+IF(AND(V727&gt;=20,V727&lt;40,W727&gt;=95,W727&lt;150),0.15,0)+IF(AND(V727&gt;=20,V727&lt;40,W727&gt;=150),0.12,0)+IF(AND(V727&gt;=40,V727&lt;75,W727&lt;75),0.2,0)+IF(AND(V727&gt;=40,V727&lt;75,W727&gt;=75,W727&lt;120),0.15,0)+IF(AND(V727&gt;=40,V727&lt;75,W727&gt;=120),0.12,0)+IF(AND(V727&gt;=75,V727&lt;175,W727&lt;65),0.2,0)+IF(AND(V727&gt;=75,V727&lt;175,W727&gt;=65,W727&lt;110),0.15,0)+IF(AND(V727&gt;=75,V727&lt;175,W727&gt;=110),0.12,0)+IF(AND(V727&gt;=175,W727&lt;55),0.2,0)+IF(AND(V727&gt;=175,W727&gt;=55,W727&lt;95),0.15,0)+IF(AND(V727&gt;=175,W727&gt;=95),0.12,0),
IF(AF727="DoEVku",IF(AND(V727&lt;20,W727&lt;55),0.23,0)+IF(AND(V727&lt;20,W727&gt;=55,W727&lt;105),0.2,0)+IF(AND(V727&lt;20,W727&gt;=105),0.17,0)+IF(AND(V727&gt;=20,V727&lt;40,W727&lt;45),0.23,0)+IF(AND(V727&gt;=20,V727&lt;40,W727&gt;=45,W727&lt;95),0.2,0)+IF(AND(V727&gt;=20,V727&lt;40,W727&gt;=95,W727&lt;=150),0.17,0)+IF(AND(V727&gt;=20,V727&lt;40,W727&gt;=150),0.12,0)+IF(AND(V727&gt;=40,V727&lt;75,W727&lt;35),0.23,0)+IF(AND(V727&gt;=40,V727&lt;75,W727&gt;=35,W727&lt;75),0.2,0)+IF(AND(V727&gt;=40,V727&lt;75,W727&gt;=75,W727&lt;120),0.17,0)+IF(AND(V727&gt;=40,V727&lt;75,W727&gt;=120),0.12,0)+IF(AND(V727&gt;=75,V727&lt;175,W727&lt;35),0.23,0)+IF(AND(V727&gt;=75,V727&lt;=175,W727&gt;=35,W727&lt;65),0.2,0)+IF(AND(V727&gt;=75,V727&lt;=175,W727&gt;=65,W727&lt;110),0.17,0)+IF(AND(V727&gt;=75,V727&lt;=175,W727&gt;=110),0.12,0)+IF(AND(V727&gt;175,W727&lt;25),0.23,0)+IF(AND(V727&gt;175,W727&gt;=25,W727&lt;55),0.2,0)+IF(AND(V727&gt;175,W727&gt;=55,W727&lt;95),0.17,0)+IF(AND(V727&gt;175,W727&gt;=95),0.12,0),
IF(AF727="DoEVs1",IF(AND(V727&lt;20,W727&lt;55),0.3,0)+IF(AND(V727&lt;20,W727&gt;=55,W727&lt;105),0.23,0)+IF(AND(V727&lt;20,W727&gt;=105),0.17,0)+IF(AND(V727&gt;=20,V727&lt;40,W727&lt;45),0.3,0)+IF(AND(V727&gt;=20,V727&lt;40,W727&gt;=45,W727&lt;95),0.23,0)+IF(AND(V727&gt;=20,V727&lt;40,W727&gt;=95,W727&lt;=150),0.17,0)+IF(AND(V727&gt;=20,V727&lt;40,W727&gt;=150),0.12,0)+IF(AND(V727&gt;=40,V727&lt;75,W727&lt;35),0.3,0)+IF(AND(V727&gt;=40,V727&lt;75,W727&gt;=35,W727&lt;75),0.23,0)+IF(AND(V727&gt;=40,V727&lt;75,W727&gt;=75,W727&lt;120),0.17,0)+IF(AND(V727&gt;=40,V727&lt;75,W727&gt;=120),0.12,0)+IF(AND(V727&gt;=75,V727&lt;175,W727&lt;35),0.3,0)+IF(AND(V727&gt;=75,V727&lt;=175,W727&gt;=35,W727&lt;65),0.23,0)+IF(AND(V727&gt;=75,V727&lt;=175,W727&gt;=65,W727&lt;110),0.17,0)+IF(AND(V727&gt;=75,V727&lt;=175,W727&gt;=110),0.12,0)+IF(AND(V727&gt;175,W727&lt;25),0.3,0)+IF(AND(V727&gt;175,W727&gt;=25,W727&lt;55),0.23,0)+IF(AND(V727&gt;175,W727&gt;=55,W727&lt;95),0.17,0)+IF(AND(V727&gt;175,W727&gt;=95),0.12,0),
IF(AF727="DoEVsu",IF(AND(V727&lt;20,W727&lt;55),0.3,0)+IF(AND(V727&lt;20,W727&gt;=55,W727&lt;105),0.23,0)+IF(AND(V727&lt;20,W727&gt;=105),0.17,0)+IF(AND(V727&gt;=20,V727&lt;40,W727&lt;45),0.3,0)+IF(AND(V727&gt;=20,V727&lt;40,W727&gt;=45,W727&lt;95),0.23,0)+IF(AND(V727&gt;=20,V727&lt;40,W727&gt;=95,W727&lt;=250),0.17,0)+IF(AND(V727&gt;=20,V727&lt;40,W727&gt;=250),0.12,0)+IF(AND(V727&gt;=40,V727&lt;75,W727&lt;35),0.3,0)+IF(AND(V727&gt;=40,V727&lt;75,W727&gt;=35,W727&lt;75),0.23,0)+IF(AND(V727&gt;=40,V727&lt;75,W727&gt;=75,W727&lt;120),0.17,0)+IF(AND(V727&gt;=40,V727&lt;75,W727&gt;=120),0.12,0)+IF(AND(V727&gt;=75,V727&lt;175,W727&lt;35),0.3,0)+IF(AND(V727&gt;=75,V727&lt;=175,W727&gt;=35,W727&lt;65),0.23,0)+IF(AND(V727&gt;=75,V727&lt;=175,W727&gt;=65,W727&lt;110),0.17,0)+IF(AND(V727&gt;=75,V727&lt;=175,W727&gt;=110),0.12,0)+IF(AND(V727&gt;175,W727&lt;25),0.3,0)+IF(AND(V727&gt;175,W727&gt;=25,W727&lt;55),0.23,0)+IF(AND(V727&gt;175,W727&gt;=55,W727&lt;95),0.17,0)+IF(AND(V727&gt;175,W727&gt;=95),0.12,0),
IF(AF727="DoEVni",IF(AND(V727&lt;20,W727&lt;55),0.3,0)+IF(AND(V727&lt;20,W727&gt;=55,W727&lt;105),0.23,0)+IF(AND(V727&lt;20,W727&gt;=105),0.17,0)+IF(AND(V727&gt;=20,V727&lt;40,W727&lt;45),0.3,0)+IF(AND(V727&gt;=20,V727&lt;40,W727&gt;=45,W727&lt;95),0.23,0)+IF(AND(V727&gt;=20,V727&lt;40,W727&gt;=95,W727&lt;=200),0.17,0)+IF(AND(V727&gt;=20,V727&lt;40,W727&gt;=200),0.12,0)+IF(AND(V727&gt;=40,V727&lt;75,W727&lt;35),0.3,0)+IF(AND(V727&gt;=40,V727&lt;75,W727&gt;=35,W727&lt;75),0.23,0)+IF(AND(V727&gt;=40,V727&lt;75,W727&gt;=75,W727&lt;120),0.17,0)+IF(AND(V727&gt;=40,V727&lt;75,W727&gt;=120),0.12,0)+IF(AND(V727&gt;=75,V727&lt;175,W727&lt;35),0.3,0)+IF(AND(V727&gt;=75,V727&lt;=175,W727&gt;=35,W727&lt;65),0.23,0)+IF(AND(V727&gt;=75,V727&lt;=175,W727&gt;=65,W727&lt;110),0.17,0)+IF(AND(V727&gt;=75,V727&lt;=175,W727&gt;=110),0.12,0)+IF(AND(V727&gt;175,W727&lt;25),0.3,0)+IF(AND(V727&gt;175,W727&gt;=25,W727&lt;55),0.23,0)+IF(AND(V727&gt;175,W727&gt;=55,W727&lt;95),0.17,0)+IF(AND(V727&gt;175,W727&gt;=95),0.12,0),
IF(AF727="DoEVLo",IF(AND(V727&lt;20,W727&lt;55),0.25,0)+IF(AND(V727&lt;20,W727&gt;=55,W727&lt;105),0.2,0)+IF(AND(V727&lt;20,W727&gt;=105),0.15,0)+IF(AND(V727&gt;=20,V727&lt;40,W727&lt;45),0.25,0)+IF(AND(V727&gt;=20,V727&lt;40,W727&gt;=45,W727&lt;95),0.2,0)+IF(AND(V727&gt;=20,V727&lt;40,W727&gt;=95),0.15,0)+IF(AND(V727&gt;=40,V727&lt;75,W727&lt;35),0.25,0)+IF(AND(V727&gt;=40,V727&lt;75,W727&gt;=35,W727&lt;75),0.2,0)+IF(AND(V727&gt;=40,V727&lt;75,W727&gt;=75,W727&lt;120),0.15,0)+IF(AND(V727&gt;=40,V727&lt;75,W727&gt;=120),0.1,0)+IF(AND(V727&gt;=75,V727&lt;175,W727&lt;35),0.25,0)+IF(AND(V727&gt;=75,V727&lt;=175,W727&gt;=35,W727&lt;65),0.2,0)+IF(AND(V727&gt;=75,V727&lt;=175,W727&gt;=65,W727&lt;110),0.15,0)+IF(AND(V727&gt;=75,V727&lt;=175,W727&gt;=110),0.1,0)+IF(AND(V727&gt;175,W727&lt;25),0.25,0)+IF(AND(V727&gt;175,W727&gt;=25,W727&lt;55),0.2,0)+IF(AND(V727&gt;175,W727&gt;=55,W727&lt;95),0.15,0)+IF(AND(V727&gt;175,W727&gt;=95),0.1,0))))))))))))))))))</f>
        <v>0.19</v>
      </c>
      <c r="Y727" s="30">
        <f>IF(AG727="None",0,IF(AG727="Fix5",0.05, IF(AG727="Fix6.25",0.0625,IF(AG727="Fix3.75",0.0375,IF(AG727="Fix10",0.1,IF(AG727="Fix3",0.03,0))))))</f>
        <v>0</v>
      </c>
      <c r="Z727" s="35">
        <f>T727-AA727-AB727</f>
        <v>-3096.63</v>
      </c>
      <c r="AA727" s="29">
        <f>IF(AD727="EUR",((T727-R727)*X727)*U727+(R727*X727),(T727*X727))</f>
        <v>-726.37</v>
      </c>
      <c r="AB727" s="36">
        <f>IF(AD727="EUR",((T727-R727)*Y727)*U727+(R727*Y727),(T727*Y727))</f>
        <v>0</v>
      </c>
      <c r="AC727" s="37" t="b">
        <v>1</v>
      </c>
      <c r="AD727" s="37" t="s">
        <v>38</v>
      </c>
      <c r="AE727" s="37" t="s">
        <v>38</v>
      </c>
      <c r="AF727" s="37" t="str">
        <f t="array" ref="AF727">INDEX('Deal Info'!D:D, MATCH(A727,'Deal Info'!A:A, 0))</f>
        <v>Fix19</v>
      </c>
      <c r="AG727" s="38" t="str">
        <f t="array" ref="AG727">INDEX('Deal Info'!G:G, MATCH(A727,'Deal Info'!A:A, 0))</f>
        <v>None</v>
      </c>
    </row>
    <row r="728" spans="1:33" ht="14.25" hidden="1" x14ac:dyDescent="0.2">
      <c r="A728" s="18" t="str">
        <f t="array" ref="A728">IF(G728='Room Info'!$B$1, INDEX('Room Info'!$A$2:$A2446, MATCH(B728,'Room Info'!$B$2:$B2446, 0)),IF(G728='Room Info'!$C$1, INDEX('Room Info'!$A$2:$A2446, MATCH(B728,'Room Info'!$C$2:$C2446, 0)),IF(G728='Room Info'!$D$1, INDEX('Room Info'!$A$2:$A2446, MATCH(B728,'Room Info'!$D$2:$D2446, 0)),IF(G728='Room Info'!$E$1, INDEX('Room Info'!$A$2:$A2446, MATCH(B728,'Room Info'!$E$2:$E2446, 0)),IF(G728='Room Info'!$F$1, INDEX('Room Info'!$A$2:$A2446, MATCH(B728,'Room Info'!$F$2:$F2446, 0)),IF(G728='Room Info'!$H$1, INDEX('Room Info'!$A$2:$A2446, MATCH(B728,'Room Info'!$H$2:$H2446, 0)),IF(G728='Room Info'!$G$1, INDEX('Room Info'!$A$2:$A2446, MATCH(B728,'Room Info'!$G$2:$G2446, 0)))))))))</f>
        <v>ekomlev98</v>
      </c>
      <c r="B728" s="45" t="s">
        <v>163</v>
      </c>
      <c r="C728" s="46">
        <v>44733</v>
      </c>
      <c r="D728" s="46">
        <v>44762</v>
      </c>
      <c r="E728" s="90">
        <v>44743</v>
      </c>
      <c r="F728" s="45" t="s">
        <v>34</v>
      </c>
      <c r="G728" s="54" t="s">
        <v>35</v>
      </c>
      <c r="H728" s="49" t="s">
        <v>40</v>
      </c>
      <c r="I728" s="49" t="s">
        <v>37</v>
      </c>
      <c r="J728" s="50">
        <v>10</v>
      </c>
      <c r="K728" s="51">
        <v>2221</v>
      </c>
      <c r="L728" s="52">
        <v>100</v>
      </c>
      <c r="M728" s="53">
        <v>560</v>
      </c>
      <c r="N728" s="28">
        <f>K728*J728</f>
        <v>22210</v>
      </c>
      <c r="O728" s="54">
        <v>99244</v>
      </c>
      <c r="P728" s="29">
        <v>44.684376409999999</v>
      </c>
      <c r="Q728" s="55"/>
      <c r="R728" s="31">
        <f>M728+Q728</f>
        <v>560</v>
      </c>
      <c r="S728" s="56">
        <v>116</v>
      </c>
      <c r="T728" s="32">
        <f>R728+S728+IF(F728="Without EV deal",L728,0)</f>
        <v>676</v>
      </c>
      <c r="U728" s="57">
        <v>1</v>
      </c>
      <c r="V728" s="58"/>
      <c r="W728" s="58"/>
      <c r="X728" s="78">
        <v>0.3</v>
      </c>
      <c r="Y728" s="30">
        <f>IF(AG728="None",0,IF(AG728="Fix5",0.05, IF(AG728="Fix6.25",0.0625,IF(AG728="Fix3.75",0.0375,IF(AG728="Fix10",0.1,IF(AG728="Fix3",0.03,0))))))</f>
        <v>0</v>
      </c>
      <c r="Z728" s="35">
        <f>T728-AA728-AB728</f>
        <v>473.20000000000005</v>
      </c>
      <c r="AA728" s="29">
        <f>IF(AD728="EUR",((T728-R728)*X728)*U728+(R728*X728),(T728*X728))</f>
        <v>202.79999999999998</v>
      </c>
      <c r="AB728" s="36">
        <f>IF(AD728="EUR",((T728-R728)*Y728)*U728+(R728*Y728),(T728*Y728))</f>
        <v>0</v>
      </c>
      <c r="AC728" s="37" t="b">
        <v>1</v>
      </c>
      <c r="AD728" s="37" t="s">
        <v>38</v>
      </c>
      <c r="AE728" s="37" t="s">
        <v>38</v>
      </c>
      <c r="AF728" s="37" t="str">
        <f t="array" ref="AF728">INDEX('Deal Info'!D:D, MATCH(A728,'Deal Info'!A:A, 0))</f>
        <v>SF</v>
      </c>
      <c r="AG728" s="38" t="str">
        <f t="array" ref="AG728">INDEX('Deal Info'!G:G, MATCH(A728,'Deal Info'!A:A, 0))</f>
        <v>None</v>
      </c>
    </row>
    <row r="729" spans="1:33" ht="14.25" hidden="1" x14ac:dyDescent="0.2">
      <c r="A729" s="18" t="str">
        <f t="array" ref="A729">IF(G729='Room Info'!$B$1, INDEX('Room Info'!$A$2:$A2446, MATCH(B729,'Room Info'!$B$2:$B2446, 0)),IF(G729='Room Info'!$C$1, INDEX('Room Info'!$A$2:$A2446, MATCH(B729,'Room Info'!$C$2:$C2446, 0)),IF(G729='Room Info'!$D$1, INDEX('Room Info'!$A$2:$A2446, MATCH(B729,'Room Info'!$D$2:$D2446, 0)),IF(G729='Room Info'!$E$1, INDEX('Room Info'!$A$2:$A2446, MATCH(B729,'Room Info'!$E$2:$E2446, 0)),IF(G729='Room Info'!$F$1, INDEX('Room Info'!$A$2:$A2446, MATCH(B729,'Room Info'!$F$2:$F2446, 0)),IF(G729='Room Info'!$H$1, INDEX('Room Info'!$A$2:$A2446, MATCH(B729,'Room Info'!$H$2:$H2446, 0)),IF(G729='Room Info'!$G$1, INDEX('Room Info'!$A$2:$A2446, MATCH(B729,'Room Info'!$G$2:$G2446, 0)))))))))</f>
        <v>ekomlev98</v>
      </c>
      <c r="B729" s="45" t="s">
        <v>163</v>
      </c>
      <c r="C729" s="46">
        <v>44733</v>
      </c>
      <c r="D729" s="46">
        <v>44762</v>
      </c>
      <c r="E729" s="47">
        <v>44743</v>
      </c>
      <c r="F729" s="45" t="s">
        <v>34</v>
      </c>
      <c r="G729" s="54" t="s">
        <v>35</v>
      </c>
      <c r="H729" s="49" t="s">
        <v>46</v>
      </c>
      <c r="I729" s="49" t="s">
        <v>37</v>
      </c>
      <c r="J729" s="50">
        <v>25</v>
      </c>
      <c r="K729" s="51">
        <v>1157</v>
      </c>
      <c r="L729" s="52">
        <v>325</v>
      </c>
      <c r="M729" s="53">
        <v>625</v>
      </c>
      <c r="N729" s="28">
        <f>K729*J729</f>
        <v>28925</v>
      </c>
      <c r="O729" s="54">
        <v>23770</v>
      </c>
      <c r="P729" s="29">
        <v>20.544511669999999</v>
      </c>
      <c r="Q729" s="55"/>
      <c r="R729" s="31">
        <f>M729+Q729</f>
        <v>625</v>
      </c>
      <c r="S729" s="56">
        <v>-827</v>
      </c>
      <c r="T729" s="32">
        <f>R729+S729+IF(F729="Without EV deal",L729,0)</f>
        <v>-202</v>
      </c>
      <c r="U729" s="57">
        <v>1</v>
      </c>
      <c r="V729" s="58"/>
      <c r="W729" s="58"/>
      <c r="X729" s="78">
        <v>0.3</v>
      </c>
      <c r="Y729" s="30">
        <f>IF(AG729="None",0,IF(AG729="Fix5",0.05, IF(AG729="Fix6.25",0.0625,IF(AG729="Fix3.75",0.0375,IF(AG729="Fix10",0.1,IF(AG729="Fix3",0.03,0))))))</f>
        <v>0</v>
      </c>
      <c r="Z729" s="35">
        <f>T729-AA729-AB729</f>
        <v>-141.4</v>
      </c>
      <c r="AA729" s="29">
        <f>IF(AD729="EUR",((T729-R729)*X729)*U729+(R729*X729),(T729*X729))</f>
        <v>-60.599999999999994</v>
      </c>
      <c r="AB729" s="36">
        <f>IF(AD729="EUR",((T729-R729)*Y729)*U729+(R729*Y729),(T729*Y729))</f>
        <v>0</v>
      </c>
      <c r="AC729" s="37" t="b">
        <v>1</v>
      </c>
      <c r="AD729" s="37" t="s">
        <v>38</v>
      </c>
      <c r="AE729" s="37" t="s">
        <v>38</v>
      </c>
      <c r="AF729" s="37" t="str">
        <f t="array" ref="AF729">INDEX('Deal Info'!D:D, MATCH(A729,'Deal Info'!A:A, 0))</f>
        <v>SF</v>
      </c>
      <c r="AG729" s="38" t="str">
        <f t="array" ref="AG729">INDEX('Deal Info'!G:G, MATCH(A729,'Deal Info'!A:A, 0))</f>
        <v>None</v>
      </c>
    </row>
    <row r="730" spans="1:33" ht="14.25" hidden="1" x14ac:dyDescent="0.2">
      <c r="A730" s="18" t="str">
        <f t="array" ref="A730">IF(G730='Room Info'!$B$1, INDEX('Room Info'!$A$2:$A2446, MATCH(B730,'Room Info'!$B$2:$B2446, 0)),IF(G730='Room Info'!$C$1, INDEX('Room Info'!$A$2:$A2446, MATCH(B730,'Room Info'!$C$2:$C2446, 0)),IF(G730='Room Info'!$D$1, INDEX('Room Info'!$A$2:$A2446, MATCH(B730,'Room Info'!$D$2:$D2446, 0)),IF(G730='Room Info'!$E$1, INDEX('Room Info'!$A$2:$A2446, MATCH(B730,'Room Info'!$E$2:$E2446, 0)),IF(G730='Room Info'!$F$1, INDEX('Room Info'!$A$2:$A2446, MATCH(B730,'Room Info'!$F$2:$F2446, 0)),IF(G730='Room Info'!$H$1, INDEX('Room Info'!$A$2:$A2446, MATCH(B730,'Room Info'!$H$2:$H2446, 0)),IF(G730='Room Info'!$G$1, INDEX('Room Info'!$A$2:$A2446, MATCH(B730,'Room Info'!$G$2:$G2446, 0)))))))))</f>
        <v>ekomlev98</v>
      </c>
      <c r="B730" s="45" t="s">
        <v>163</v>
      </c>
      <c r="C730" s="46">
        <v>44763</v>
      </c>
      <c r="D730" s="46">
        <v>44793</v>
      </c>
      <c r="E730" s="47">
        <v>44774</v>
      </c>
      <c r="F730" s="45" t="s">
        <v>34</v>
      </c>
      <c r="G730" s="54" t="s">
        <v>35</v>
      </c>
      <c r="H730" s="49" t="s">
        <v>40</v>
      </c>
      <c r="I730" s="49" t="s">
        <v>37</v>
      </c>
      <c r="J730" s="50">
        <v>10</v>
      </c>
      <c r="K730" s="51">
        <v>4332</v>
      </c>
      <c r="L730" s="52">
        <v>-1010</v>
      </c>
      <c r="M730" s="53">
        <v>1080</v>
      </c>
      <c r="N730" s="28">
        <f>K730*J730</f>
        <v>43320</v>
      </c>
      <c r="O730" s="54">
        <v>209816</v>
      </c>
      <c r="P730" s="29">
        <v>48.433979690000001</v>
      </c>
      <c r="Q730" s="55"/>
      <c r="R730" s="31">
        <f>M730+Q730</f>
        <v>1080</v>
      </c>
      <c r="S730" s="56">
        <v>618</v>
      </c>
      <c r="T730" s="32">
        <f>R730+S730+IF(F730="Without EV deal",L730,0)</f>
        <v>1698</v>
      </c>
      <c r="U730" s="57">
        <v>1</v>
      </c>
      <c r="V730" s="58"/>
      <c r="W730" s="58"/>
      <c r="X730" s="78">
        <v>0.25</v>
      </c>
      <c r="Y730" s="30">
        <f>IF(AG730="None",0,IF(AG730="Fix5",0.05, IF(AG730="Fix6.25",0.0625,IF(AG730="Fix3.75",0.0375,IF(AG730="Fix10",0.1,IF(AG730="Fix3",0.03,0))))))</f>
        <v>0</v>
      </c>
      <c r="Z730" s="35">
        <f>T730-AA730-AB730</f>
        <v>1273.5</v>
      </c>
      <c r="AA730" s="29">
        <f>IF(AD730="EUR",((T730-R730)*X730)*U730+(R730*X730),(T730*X730))</f>
        <v>424.5</v>
      </c>
      <c r="AB730" s="36">
        <f>IF(AD730="EUR",((T730-R730)*Y730)*U730+(R730*Y730),(T730*Y730))</f>
        <v>0</v>
      </c>
      <c r="AC730" s="37" t="b">
        <v>1</v>
      </c>
      <c r="AD730" s="37" t="s">
        <v>38</v>
      </c>
      <c r="AE730" s="37" t="s">
        <v>38</v>
      </c>
      <c r="AF730" s="37" t="str">
        <f t="array" ref="AF730">INDEX('Deal Info'!D:D, MATCH(A730,'Deal Info'!A:A, 0))</f>
        <v>SF</v>
      </c>
      <c r="AG730" s="38" t="str">
        <f t="array" ref="AG730">INDEX('Deal Info'!G:G, MATCH(A730,'Deal Info'!A:A, 0))</f>
        <v>None</v>
      </c>
    </row>
    <row r="731" spans="1:33" ht="14.25" hidden="1" x14ac:dyDescent="0.2">
      <c r="A731" s="18" t="str">
        <f t="array" ref="A731">IF(G731='Room Info'!$B$1, INDEX('Room Info'!$A$2:$A2446, MATCH(B731,'Room Info'!$B$2:$B2446, 0)),IF(G731='Room Info'!$C$1, INDEX('Room Info'!$A$2:$A2446, MATCH(B731,'Room Info'!$C$2:$C2446, 0)),IF(G731='Room Info'!$D$1, INDEX('Room Info'!$A$2:$A2446, MATCH(B731,'Room Info'!$D$2:$D2446, 0)),IF(G731='Room Info'!$E$1, INDEX('Room Info'!$A$2:$A2446, MATCH(B731,'Room Info'!$E$2:$E2446, 0)),IF(G731='Room Info'!$F$1, INDEX('Room Info'!$A$2:$A2446, MATCH(B731,'Room Info'!$F$2:$F2446, 0)),IF(G731='Room Info'!$H$1, INDEX('Room Info'!$A$2:$A2446, MATCH(B731,'Room Info'!$H$2:$H2446, 0)),IF(G731='Room Info'!$G$1, INDEX('Room Info'!$A$2:$A2446, MATCH(B731,'Room Info'!$G$2:$G2446, 0)))))))))</f>
        <v>ekomlev98</v>
      </c>
      <c r="B731" s="45" t="s">
        <v>163</v>
      </c>
      <c r="C731" s="46">
        <v>44763</v>
      </c>
      <c r="D731" s="46">
        <v>44793</v>
      </c>
      <c r="E731" s="47">
        <v>44774</v>
      </c>
      <c r="F731" s="45" t="s">
        <v>41</v>
      </c>
      <c r="G731" s="54" t="s">
        <v>35</v>
      </c>
      <c r="H731" s="49" t="s">
        <v>39</v>
      </c>
      <c r="I731" s="49" t="s">
        <v>37</v>
      </c>
      <c r="J731" s="50">
        <v>5</v>
      </c>
      <c r="K731" s="51">
        <v>3</v>
      </c>
      <c r="L731" s="52">
        <v>-15</v>
      </c>
      <c r="M731" s="53"/>
      <c r="N731" s="28">
        <f>K731*J731</f>
        <v>15</v>
      </c>
      <c r="O731" s="54"/>
      <c r="P731" s="29">
        <v>0</v>
      </c>
      <c r="Q731" s="55"/>
      <c r="R731" s="31">
        <f>M731+Q731</f>
        <v>0</v>
      </c>
      <c r="S731" s="56"/>
      <c r="T731" s="32">
        <f>R731+S731+IF(F731="Without EV deal",L731,0)</f>
        <v>-15</v>
      </c>
      <c r="U731" s="57">
        <v>1</v>
      </c>
      <c r="V731" s="58"/>
      <c r="W731" s="58"/>
      <c r="X731" s="78">
        <v>0.25</v>
      </c>
      <c r="Y731" s="30">
        <f>IF(AG731="None",0,IF(AG731="Fix5",0.05, IF(AG731="Fix6.25",0.0625,IF(AG731="Fix3.75",0.0375,IF(AG731="Fix10",0.1,IF(AG731="Fix3",0.03,0))))))</f>
        <v>0</v>
      </c>
      <c r="Z731" s="35">
        <f>T731-AA731-AB731</f>
        <v>-11.25</v>
      </c>
      <c r="AA731" s="29">
        <f>IF(AD731="EUR",((T731-R731)*X731)*U731+(R731*X731),(T731*X731))</f>
        <v>-3.75</v>
      </c>
      <c r="AB731" s="36">
        <f>IF(AD731="EUR",((T731-R731)*Y731)*U731+(R731*Y731),(T731*Y731))</f>
        <v>0</v>
      </c>
      <c r="AC731" s="37" t="b">
        <v>1</v>
      </c>
      <c r="AD731" s="37" t="s">
        <v>38</v>
      </c>
      <c r="AE731" s="37" t="s">
        <v>38</v>
      </c>
      <c r="AF731" s="37" t="str">
        <f t="array" ref="AF731">INDEX('Deal Info'!D:D, MATCH(A731,'Deal Info'!A:A, 0))</f>
        <v>SF</v>
      </c>
      <c r="AG731" s="38" t="str">
        <f t="array" ref="AG731">INDEX('Deal Info'!G:G, MATCH(A731,'Deal Info'!A:A, 0))</f>
        <v>None</v>
      </c>
    </row>
    <row r="732" spans="1:33" ht="14.25" hidden="1" x14ac:dyDescent="0.2">
      <c r="A732" s="18" t="str">
        <f t="array" ref="A732">IF(G732='Room Info'!$B$1, INDEX('Room Info'!$A$2:$A2446, MATCH(B732,'Room Info'!$B$2:$B2446, 0)),IF(G732='Room Info'!$C$1, INDEX('Room Info'!$A$2:$A2446, MATCH(B732,'Room Info'!$C$2:$C2446, 0)),IF(G732='Room Info'!$D$1, INDEX('Room Info'!$A$2:$A2446, MATCH(B732,'Room Info'!$D$2:$D2446, 0)),IF(G732='Room Info'!$E$1, INDEX('Room Info'!$A$2:$A2446, MATCH(B732,'Room Info'!$E$2:$E2446, 0)),IF(G732='Room Info'!$F$1, INDEX('Room Info'!$A$2:$A2446, MATCH(B732,'Room Info'!$F$2:$F2446, 0)),IF(G732='Room Info'!$H$1, INDEX('Room Info'!$A$2:$A2446, MATCH(B732,'Room Info'!$H$2:$H2446, 0)),IF(G732='Room Info'!$G$1, INDEX('Room Info'!$A$2:$A2446, MATCH(B732,'Room Info'!$G$2:$G2446, 0)))))))))</f>
        <v>ekomlev98</v>
      </c>
      <c r="B732" s="45" t="s">
        <v>163</v>
      </c>
      <c r="C732" s="46">
        <v>44763</v>
      </c>
      <c r="D732" s="46">
        <v>44793</v>
      </c>
      <c r="E732" s="47">
        <v>44774</v>
      </c>
      <c r="F732" s="45" t="s">
        <v>41</v>
      </c>
      <c r="G732" s="54" t="s">
        <v>35</v>
      </c>
      <c r="H732" s="49" t="s">
        <v>42</v>
      </c>
      <c r="I732" s="49" t="s">
        <v>37</v>
      </c>
      <c r="J732" s="50">
        <v>1</v>
      </c>
      <c r="K732" s="51">
        <v>2</v>
      </c>
      <c r="L732" s="52">
        <v>3</v>
      </c>
      <c r="M732" s="53"/>
      <c r="N732" s="28">
        <f>K732*J732</f>
        <v>2</v>
      </c>
      <c r="O732" s="54"/>
      <c r="P732" s="29">
        <v>0</v>
      </c>
      <c r="Q732" s="55"/>
      <c r="R732" s="31">
        <f>M732+Q732</f>
        <v>0</v>
      </c>
      <c r="S732" s="56"/>
      <c r="T732" s="32">
        <f>R732+S732+IF(F732="Without EV deal",L732,0)</f>
        <v>3</v>
      </c>
      <c r="U732" s="57">
        <v>1</v>
      </c>
      <c r="V732" s="58"/>
      <c r="W732" s="58"/>
      <c r="X732" s="78">
        <v>0.25</v>
      </c>
      <c r="Y732" s="30">
        <f>IF(AG732="None",0,IF(AG732="Fix5",0.05, IF(AG732="Fix6.25",0.0625,IF(AG732="Fix3.75",0.0375,IF(AG732="Fix10",0.1,IF(AG732="Fix3",0.03,0))))))</f>
        <v>0</v>
      </c>
      <c r="Z732" s="35">
        <f>T732-AA732-AB732</f>
        <v>2.25</v>
      </c>
      <c r="AA732" s="29">
        <f>IF(AD732="EUR",((T732-R732)*X732)*U732+(R732*X732),(T732*X732))</f>
        <v>0.75</v>
      </c>
      <c r="AB732" s="36">
        <f>IF(AD732="EUR",((T732-R732)*Y732)*U732+(R732*Y732),(T732*Y732))</f>
        <v>0</v>
      </c>
      <c r="AC732" s="37" t="b">
        <v>1</v>
      </c>
      <c r="AD732" s="37" t="s">
        <v>38</v>
      </c>
      <c r="AE732" s="37" t="s">
        <v>38</v>
      </c>
      <c r="AF732" s="37" t="str">
        <f t="array" ref="AF732">INDEX('Deal Info'!D:D, MATCH(A732,'Deal Info'!A:A, 0))</f>
        <v>SF</v>
      </c>
      <c r="AG732" s="38" t="str">
        <f t="array" ref="AG732">INDEX('Deal Info'!G:G, MATCH(A732,'Deal Info'!A:A, 0))</f>
        <v>None</v>
      </c>
    </row>
    <row r="733" spans="1:33" ht="14.25" hidden="1" x14ac:dyDescent="0.2">
      <c r="A733" s="18" t="str">
        <f t="array" ref="A733">IF(G733='Room Info'!$B$1, INDEX('Room Info'!$A$2:$A2446, MATCH(B733,'Room Info'!$B$2:$B2446, 0)),IF(G733='Room Info'!$C$1, INDEX('Room Info'!$A$2:$A2446, MATCH(B733,'Room Info'!$C$2:$C2446, 0)),IF(G733='Room Info'!$D$1, INDEX('Room Info'!$A$2:$A2446, MATCH(B733,'Room Info'!$D$2:$D2446, 0)),IF(G733='Room Info'!$E$1, INDEX('Room Info'!$A$2:$A2446, MATCH(B733,'Room Info'!$E$2:$E2446, 0)),IF(G733='Room Info'!$F$1, INDEX('Room Info'!$A$2:$A2446, MATCH(B733,'Room Info'!$F$2:$F2446, 0)),IF(G733='Room Info'!$H$1, INDEX('Room Info'!$A$2:$A2446, MATCH(B733,'Room Info'!$H$2:$H2446, 0)),IF(G733='Room Info'!$G$1, INDEX('Room Info'!$A$2:$A2446, MATCH(B733,'Room Info'!$G$2:$G2446, 0)))))))))</f>
        <v>ekomlev98</v>
      </c>
      <c r="B733" s="45" t="s">
        <v>163</v>
      </c>
      <c r="C733" s="46">
        <v>44794</v>
      </c>
      <c r="D733" s="46">
        <v>44824</v>
      </c>
      <c r="E733" s="47">
        <v>44805</v>
      </c>
      <c r="F733" s="45" t="s">
        <v>34</v>
      </c>
      <c r="G733" s="54" t="s">
        <v>35</v>
      </c>
      <c r="H733" s="49" t="s">
        <v>40</v>
      </c>
      <c r="I733" s="49" t="s">
        <v>37</v>
      </c>
      <c r="J733" s="50">
        <v>10</v>
      </c>
      <c r="K733" s="51">
        <v>4128</v>
      </c>
      <c r="L733" s="52">
        <v>550</v>
      </c>
      <c r="M733" s="53">
        <v>1103</v>
      </c>
      <c r="N733" s="28">
        <f>K733*J733</f>
        <v>41280</v>
      </c>
      <c r="O733" s="54">
        <v>140697</v>
      </c>
      <c r="P733" s="29">
        <v>34.083575580000002</v>
      </c>
      <c r="Q733" s="55"/>
      <c r="R733" s="31">
        <f>M733+Q733</f>
        <v>1103</v>
      </c>
      <c r="S733" s="56">
        <v>-555</v>
      </c>
      <c r="T733" s="32">
        <f>R733+S733+IF(F733="Without EV deal",L733,0)</f>
        <v>548</v>
      </c>
      <c r="U733" s="57">
        <v>1</v>
      </c>
      <c r="V733" s="58"/>
      <c r="W733" s="58"/>
      <c r="X733" s="78">
        <v>0.25</v>
      </c>
      <c r="Y733" s="30">
        <f>IF(AG733="None",0,IF(AG733="Fix5",0.05, IF(AG733="Fix6.25",0.0625,IF(AG733="Fix3.75",0.0375,IF(AG733="Fix10",0.1,IF(AG733="Fix3",0.03,0))))))</f>
        <v>0</v>
      </c>
      <c r="Z733" s="35">
        <f>T733-AA733-AB733</f>
        <v>411</v>
      </c>
      <c r="AA733" s="29">
        <f>IF(AD733="EUR",((T733-R733)*X733)*U733+(R733*X733),(T733*X733))</f>
        <v>137</v>
      </c>
      <c r="AB733" s="36">
        <f>IF(AD733="EUR",((T733-R733)*Y733)*U733+(R733*Y733),(T733*Y733))</f>
        <v>0</v>
      </c>
      <c r="AC733" s="37" t="b">
        <v>1</v>
      </c>
      <c r="AD733" s="37" t="s">
        <v>38</v>
      </c>
      <c r="AE733" s="37" t="s">
        <v>38</v>
      </c>
      <c r="AF733" s="37" t="str">
        <f t="array" ref="AF733">INDEX('Deal Info'!D:D, MATCH(A733,'Deal Info'!A:A, 0))</f>
        <v>SF</v>
      </c>
      <c r="AG733" s="38" t="str">
        <f t="array" ref="AG733">INDEX('Deal Info'!G:G, MATCH(A733,'Deal Info'!A:A, 0))</f>
        <v>None</v>
      </c>
    </row>
    <row r="734" spans="1:33" ht="14.25" hidden="1" x14ac:dyDescent="0.2">
      <c r="A734" s="18" t="str">
        <f t="array" ref="A734">IF(G734='Room Info'!$B$1, INDEX('Room Info'!$A$2:$A2446, MATCH(B734,'Room Info'!$B$2:$B2446, 0)),IF(G734='Room Info'!$C$1, INDEX('Room Info'!$A$2:$A2446, MATCH(B734,'Room Info'!$C$2:$C2446, 0)),IF(G734='Room Info'!$D$1, INDEX('Room Info'!$A$2:$A2446, MATCH(B734,'Room Info'!$D$2:$D2446, 0)),IF(G734='Room Info'!$E$1, INDEX('Room Info'!$A$2:$A2446, MATCH(B734,'Room Info'!$E$2:$E2446, 0)),IF(G734='Room Info'!$F$1, INDEX('Room Info'!$A$2:$A2446, MATCH(B734,'Room Info'!$F$2:$F2446, 0)),IF(G734='Room Info'!$H$1, INDEX('Room Info'!$A$2:$A2446, MATCH(B734,'Room Info'!$H$2:$H2446, 0)),IF(G734='Room Info'!$G$1, INDEX('Room Info'!$A$2:$A2446, MATCH(B734,'Room Info'!$G$2:$G2446, 0)))))))))</f>
        <v>ekomlev98</v>
      </c>
      <c r="B734" s="45" t="s">
        <v>163</v>
      </c>
      <c r="C734" s="46">
        <v>44794</v>
      </c>
      <c r="D734" s="46">
        <v>44824</v>
      </c>
      <c r="E734" s="47">
        <v>44805</v>
      </c>
      <c r="F734" s="45" t="s">
        <v>34</v>
      </c>
      <c r="G734" s="54" t="s">
        <v>35</v>
      </c>
      <c r="H734" s="49" t="s">
        <v>46</v>
      </c>
      <c r="I734" s="49" t="s">
        <v>37</v>
      </c>
      <c r="J734" s="50">
        <v>25</v>
      </c>
      <c r="K734" s="51">
        <v>370</v>
      </c>
      <c r="L734" s="52">
        <v>-1350</v>
      </c>
      <c r="M734" s="53">
        <v>212</v>
      </c>
      <c r="N734" s="28">
        <f>K734*J734</f>
        <v>9250</v>
      </c>
      <c r="O734" s="54">
        <v>-6067</v>
      </c>
      <c r="P734" s="29">
        <v>-16.397297300000002</v>
      </c>
      <c r="Q734" s="55"/>
      <c r="R734" s="31">
        <f>M734+Q734</f>
        <v>212</v>
      </c>
      <c r="S734" s="56">
        <v>-891</v>
      </c>
      <c r="T734" s="32">
        <f>R734+S734+IF(F734="Without EV deal",L734,0)</f>
        <v>-679</v>
      </c>
      <c r="U734" s="57">
        <v>1</v>
      </c>
      <c r="V734" s="58"/>
      <c r="W734" s="58"/>
      <c r="X734" s="78">
        <v>0.25</v>
      </c>
      <c r="Y734" s="30">
        <f>IF(AG734="None",0,IF(AG734="Fix5",0.05, IF(AG734="Fix6.25",0.0625,IF(AG734="Fix3.75",0.0375,IF(AG734="Fix10",0.1,IF(AG734="Fix3",0.03,0))))))</f>
        <v>0</v>
      </c>
      <c r="Z734" s="35">
        <f>T734-AA734-AB734</f>
        <v>-509.25</v>
      </c>
      <c r="AA734" s="29">
        <f>IF(AD734="EUR",((T734-R734)*X734)*U734+(R734*X734),(T734*X734))</f>
        <v>-169.75</v>
      </c>
      <c r="AB734" s="36">
        <f>IF(AD734="EUR",((T734-R734)*Y734)*U734+(R734*Y734),(T734*Y734))</f>
        <v>0</v>
      </c>
      <c r="AC734" s="37" t="b">
        <v>1</v>
      </c>
      <c r="AD734" s="37" t="s">
        <v>38</v>
      </c>
      <c r="AE734" s="37" t="s">
        <v>38</v>
      </c>
      <c r="AF734" s="37" t="str">
        <f t="array" ref="AF734">INDEX('Deal Info'!D:D, MATCH(A734,'Deal Info'!A:A, 0))</f>
        <v>SF</v>
      </c>
      <c r="AG734" s="38" t="str">
        <f t="array" ref="AG734">INDEX('Deal Info'!G:G, MATCH(A734,'Deal Info'!A:A, 0))</f>
        <v>None</v>
      </c>
    </row>
    <row r="735" spans="1:33" ht="14.25" hidden="1" x14ac:dyDescent="0.2">
      <c r="A735" s="18" t="str">
        <f t="array" ref="A735">IF(G735='Room Info'!$B$1, INDEX('Room Info'!$A$2:$A2446, MATCH(B735,'Room Info'!$B$2:$B2446, 0)),IF(G735='Room Info'!$C$1, INDEX('Room Info'!$A$2:$A2446, MATCH(B735,'Room Info'!$C$2:$C2446, 0)),IF(G735='Room Info'!$D$1, INDEX('Room Info'!$A$2:$A2446, MATCH(B735,'Room Info'!$D$2:$D2446, 0)),IF(G735='Room Info'!$E$1, INDEX('Room Info'!$A$2:$A2446, MATCH(B735,'Room Info'!$E$2:$E2446, 0)),IF(G735='Room Info'!$F$1, INDEX('Room Info'!$A$2:$A2446, MATCH(B735,'Room Info'!$F$2:$F2446, 0)),IF(G735='Room Info'!$H$1, INDEX('Room Info'!$A$2:$A2446, MATCH(B735,'Room Info'!$H$2:$H2446, 0)),IF(G735='Room Info'!$G$1, INDEX('Room Info'!$A$2:$A2446, MATCH(B735,'Room Info'!$G$2:$G2446, 0)))))))))</f>
        <v>ekomlev98</v>
      </c>
      <c r="B735" s="54" t="s">
        <v>163</v>
      </c>
      <c r="C735" s="46">
        <v>44825</v>
      </c>
      <c r="D735" s="46">
        <v>44854</v>
      </c>
      <c r="E735" s="47">
        <v>44835</v>
      </c>
      <c r="F735" s="48" t="s">
        <v>34</v>
      </c>
      <c r="G735" s="54" t="s">
        <v>35</v>
      </c>
      <c r="H735" s="49" t="s">
        <v>40</v>
      </c>
      <c r="I735" s="49" t="s">
        <v>37</v>
      </c>
      <c r="J735" s="50">
        <v>10</v>
      </c>
      <c r="K735" s="51">
        <v>4567</v>
      </c>
      <c r="L735" s="52">
        <v>-600</v>
      </c>
      <c r="M735" s="53">
        <v>1686</v>
      </c>
      <c r="N735" s="28">
        <f>K735*J735</f>
        <v>45670</v>
      </c>
      <c r="O735" s="54">
        <v>182401</v>
      </c>
      <c r="P735" s="29">
        <v>39.93890957</v>
      </c>
      <c r="Q735" s="55"/>
      <c r="R735" s="31">
        <f>M735+Q735</f>
        <v>1686</v>
      </c>
      <c r="S735" s="56">
        <v>-215</v>
      </c>
      <c r="T735" s="32">
        <f>R735+S735+IF(F735="Without EV deal",L735,0)</f>
        <v>1471</v>
      </c>
      <c r="U735" s="57">
        <v>1</v>
      </c>
      <c r="V735" s="58"/>
      <c r="W735" s="58"/>
      <c r="X735" s="78">
        <v>0.25</v>
      </c>
      <c r="Y735" s="30">
        <f>IF(AG735="None",0,IF(AG735="Fix5",0.05, IF(AG735="Fix6.25",0.0625,IF(AG735="Fix3.75",0.0375,IF(AG735="Fix10",0.1,IF(AG735="Fix3",0.03,0))))))</f>
        <v>0</v>
      </c>
      <c r="Z735" s="35">
        <f>T735-AA735-AB735</f>
        <v>1103.25</v>
      </c>
      <c r="AA735" s="29">
        <f>IF(AD735="EUR",((T735-R735)*X735)*U735+(R735*X735),(T735*X735))</f>
        <v>367.75</v>
      </c>
      <c r="AB735" s="36">
        <f>IF(AD735="EUR",((T735-R735)*Y735)*U735+(R735*Y735),(T735*Y735))</f>
        <v>0</v>
      </c>
      <c r="AC735" s="37" t="b">
        <v>1</v>
      </c>
      <c r="AD735" s="37" t="s">
        <v>38</v>
      </c>
      <c r="AE735" s="37" t="s">
        <v>38</v>
      </c>
      <c r="AF735" s="37" t="str">
        <f t="array" ref="AF735">INDEX('Deal Info'!D:D, MATCH(A735,'Deal Info'!A:A, 0))</f>
        <v>SF</v>
      </c>
      <c r="AG735" s="38" t="str">
        <f t="array" ref="AG735">INDEX('Deal Info'!G:G, MATCH(A735,'Deal Info'!A:A, 0))</f>
        <v>None</v>
      </c>
    </row>
    <row r="736" spans="1:33" ht="14.25" hidden="1" x14ac:dyDescent="0.2">
      <c r="A736" s="18" t="str">
        <f t="array" ref="A736">IF(G736='Room Info'!$B$1, INDEX('Room Info'!$A$2:$A2446, MATCH(B736,'Room Info'!$B$2:$B2446, 0)),IF(G736='Room Info'!$C$1, INDEX('Room Info'!$A$2:$A2446, MATCH(B736,'Room Info'!$C$2:$C2446, 0)),IF(G736='Room Info'!$D$1, INDEX('Room Info'!$A$2:$A2446, MATCH(B736,'Room Info'!$D$2:$D2446, 0)),IF(G736='Room Info'!$E$1, INDEX('Room Info'!$A$2:$A2446, MATCH(B736,'Room Info'!$E$2:$E2446, 0)),IF(G736='Room Info'!$F$1, INDEX('Room Info'!$A$2:$A2446, MATCH(B736,'Room Info'!$F$2:$F2446, 0)),IF(G736='Room Info'!$H$1, INDEX('Room Info'!$A$2:$A2446, MATCH(B736,'Room Info'!$H$2:$H2446, 0)),IF(G736='Room Info'!$G$1, INDEX('Room Info'!$A$2:$A2446, MATCH(B736,'Room Info'!$G$2:$G2446, 0)))))))))</f>
        <v>ekomlev98</v>
      </c>
      <c r="B736" s="54" t="s">
        <v>163</v>
      </c>
      <c r="C736" s="46">
        <v>44825</v>
      </c>
      <c r="D736" s="46">
        <v>44854</v>
      </c>
      <c r="E736" s="47">
        <v>44835</v>
      </c>
      <c r="F736" s="48" t="s">
        <v>34</v>
      </c>
      <c r="G736" s="54" t="s">
        <v>35</v>
      </c>
      <c r="H736" s="49" t="s">
        <v>46</v>
      </c>
      <c r="I736" s="49" t="s">
        <v>37</v>
      </c>
      <c r="J736" s="50">
        <v>25</v>
      </c>
      <c r="K736" s="51">
        <v>233</v>
      </c>
      <c r="L736" s="52">
        <v>475</v>
      </c>
      <c r="M736" s="53">
        <v>184</v>
      </c>
      <c r="N736" s="28">
        <f>K736*J736</f>
        <v>5825</v>
      </c>
      <c r="O736" s="54">
        <v>8003</v>
      </c>
      <c r="P736" s="29">
        <v>34.347639479999998</v>
      </c>
      <c r="Q736" s="55"/>
      <c r="R736" s="31">
        <f>M736+Q736</f>
        <v>184</v>
      </c>
      <c r="S736" s="56">
        <v>-23</v>
      </c>
      <c r="T736" s="32">
        <f>R736+S736+IF(F736="Without EV deal",L736,0)</f>
        <v>161</v>
      </c>
      <c r="U736" s="57">
        <v>1</v>
      </c>
      <c r="V736" s="58"/>
      <c r="W736" s="58"/>
      <c r="X736" s="78">
        <v>0.25</v>
      </c>
      <c r="Y736" s="30">
        <f>IF(AG736="None",0,IF(AG736="Fix5",0.05, IF(AG736="Fix6.25",0.0625,IF(AG736="Fix3.75",0.0375,IF(AG736="Fix10",0.1,IF(AG736="Fix3",0.03,0))))))</f>
        <v>0</v>
      </c>
      <c r="Z736" s="35">
        <f>T736-AA736-AB736</f>
        <v>120.75</v>
      </c>
      <c r="AA736" s="29">
        <f>IF(AD736="EUR",((T736-R736)*X736)*U736+(R736*X736),(T736*X736))</f>
        <v>40.25</v>
      </c>
      <c r="AB736" s="36">
        <f>IF(AD736="EUR",((T736-R736)*Y736)*U736+(R736*Y736),(T736*Y736))</f>
        <v>0</v>
      </c>
      <c r="AC736" s="37" t="b">
        <v>1</v>
      </c>
      <c r="AD736" s="37" t="s">
        <v>38</v>
      </c>
      <c r="AE736" s="37" t="s">
        <v>38</v>
      </c>
      <c r="AF736" s="37" t="str">
        <f t="array" ref="AF736">INDEX('Deal Info'!D:D, MATCH(A736,'Deal Info'!A:A, 0))</f>
        <v>SF</v>
      </c>
      <c r="AG736" s="38" t="str">
        <f t="array" ref="AG736">INDEX('Deal Info'!G:G, MATCH(A736,'Deal Info'!A:A, 0))</f>
        <v>None</v>
      </c>
    </row>
    <row r="737" spans="1:33" ht="14.25" hidden="1" x14ac:dyDescent="0.2">
      <c r="A737" s="18" t="str">
        <f t="array" ref="A737">IF(G737='Room Info'!$B$1, INDEX('Room Info'!$A$2:$A2446, MATCH(B737,'Room Info'!$B$2:$B2446, 0)),IF(G737='Room Info'!$C$1, INDEX('Room Info'!$A$2:$A2446, MATCH(B737,'Room Info'!$C$2:$C2446, 0)),IF(G737='Room Info'!$D$1, INDEX('Room Info'!$A$2:$A2446, MATCH(B737,'Room Info'!$D$2:$D2446, 0)),IF(G737='Room Info'!$E$1, INDEX('Room Info'!$A$2:$A2446, MATCH(B737,'Room Info'!$E$2:$E2446, 0)),IF(G737='Room Info'!$F$1, INDEX('Room Info'!$A$2:$A2446, MATCH(B737,'Room Info'!$F$2:$F2446, 0)),IF(G737='Room Info'!$H$1, INDEX('Room Info'!$A$2:$A2446, MATCH(B737,'Room Info'!$H$2:$H2446, 0)),IF(G737='Room Info'!$G$1, INDEX('Room Info'!$A$2:$A2446, MATCH(B737,'Room Info'!$G$2:$G2446, 0)))))))))</f>
        <v>ekomlev98</v>
      </c>
      <c r="B737" s="54" t="s">
        <v>163</v>
      </c>
      <c r="C737" s="46">
        <v>44855</v>
      </c>
      <c r="D737" s="46">
        <v>44885</v>
      </c>
      <c r="E737" s="47">
        <v>44866</v>
      </c>
      <c r="F737" s="48" t="s">
        <v>34</v>
      </c>
      <c r="G737" s="54" t="s">
        <v>35</v>
      </c>
      <c r="H737" s="49" t="s">
        <v>40</v>
      </c>
      <c r="I737" s="49" t="s">
        <v>37</v>
      </c>
      <c r="J737" s="50">
        <v>10</v>
      </c>
      <c r="K737" s="51">
        <v>3768</v>
      </c>
      <c r="L737" s="52">
        <v>140</v>
      </c>
      <c r="M737" s="53">
        <v>1685</v>
      </c>
      <c r="N737" s="28">
        <f>K737*J737</f>
        <v>37680</v>
      </c>
      <c r="O737" s="54">
        <v>202342</v>
      </c>
      <c r="P737" s="29">
        <v>53.700106159999997</v>
      </c>
      <c r="Q737" s="55"/>
      <c r="R737" s="31">
        <f>M737+Q737</f>
        <v>1685</v>
      </c>
      <c r="S737" s="56">
        <v>749</v>
      </c>
      <c r="T737" s="32">
        <f>R737+S737+IF(F737="Without EV deal",L737,0)</f>
        <v>2434</v>
      </c>
      <c r="U737" s="57">
        <v>1</v>
      </c>
      <c r="V737" s="58"/>
      <c r="W737" s="58"/>
      <c r="X737" s="78">
        <v>0.25</v>
      </c>
      <c r="Y737" s="30">
        <f>IF(AG737="None",0,IF(AG737="Fix5",0.05, IF(AG737="Fix6.25",0.0625,IF(AG737="Fix3.75",0.0375,IF(AG737="Fix10",0.1,IF(AG737="Fix3",0.03,0))))))</f>
        <v>0</v>
      </c>
      <c r="Z737" s="35">
        <f>T737-AA737-AB737</f>
        <v>1825.5</v>
      </c>
      <c r="AA737" s="29">
        <f>IF(AD737="EUR",((T737-R737)*X737)*U737+(R737*X737),(T737*X737))</f>
        <v>608.5</v>
      </c>
      <c r="AB737" s="36">
        <f>IF(AD737="EUR",((T737-R737)*Y737)*U737+(R737*Y737),(T737*Y737))</f>
        <v>0</v>
      </c>
      <c r="AC737" s="37" t="b">
        <v>1</v>
      </c>
      <c r="AD737" s="37" t="s">
        <v>38</v>
      </c>
      <c r="AE737" s="37" t="s">
        <v>38</v>
      </c>
      <c r="AF737" s="37" t="str">
        <f t="array" ref="AF737">INDEX('Deal Info'!D:D, MATCH(A737,'Deal Info'!A:A, 0))</f>
        <v>SF</v>
      </c>
      <c r="AG737" s="38" t="str">
        <f t="array" ref="AG737">INDEX('Deal Info'!G:G, MATCH(A737,'Deal Info'!A:A, 0))</f>
        <v>None</v>
      </c>
    </row>
    <row r="738" spans="1:33" ht="14.25" hidden="1" x14ac:dyDescent="0.2">
      <c r="A738" s="18" t="str">
        <f t="array" ref="A738">IF(G738='Room Info'!$B$1, INDEX('Room Info'!$A$2:$A2446, MATCH(B738,'Room Info'!$B$2:$B2446, 0)),IF(G738='Room Info'!$C$1, INDEX('Room Info'!$A$2:$A2446, MATCH(B738,'Room Info'!$C$2:$C2446, 0)),IF(G738='Room Info'!$D$1, INDEX('Room Info'!$A$2:$A2446, MATCH(B738,'Room Info'!$D$2:$D2446, 0)),IF(G738='Room Info'!$E$1, INDEX('Room Info'!$A$2:$A2446, MATCH(B738,'Room Info'!$E$2:$E2446, 0)),IF(G738='Room Info'!$F$1, INDEX('Room Info'!$A$2:$A2446, MATCH(B738,'Room Info'!$F$2:$F2446, 0)),IF(G738='Room Info'!$H$1, INDEX('Room Info'!$A$2:$A2446, MATCH(B738,'Room Info'!$H$2:$H2446, 0)),IF(G738='Room Info'!$G$1, INDEX('Room Info'!$A$2:$A2446, MATCH(B738,'Room Info'!$G$2:$G2446, 0)))))))))</f>
        <v>ekomlev98</v>
      </c>
      <c r="B738" s="54" t="s">
        <v>163</v>
      </c>
      <c r="C738" s="46">
        <v>44886</v>
      </c>
      <c r="D738" s="46">
        <v>44915</v>
      </c>
      <c r="E738" s="47">
        <v>44896</v>
      </c>
      <c r="F738" s="48" t="s">
        <v>34</v>
      </c>
      <c r="G738" s="54" t="s">
        <v>35</v>
      </c>
      <c r="H738" s="49" t="s">
        <v>40</v>
      </c>
      <c r="I738" s="49" t="s">
        <v>37</v>
      </c>
      <c r="J738" s="50">
        <v>10</v>
      </c>
      <c r="K738" s="51">
        <v>3279</v>
      </c>
      <c r="L738" s="52">
        <v>980</v>
      </c>
      <c r="M738" s="53">
        <v>1463</v>
      </c>
      <c r="N738" s="28">
        <f>K738*J738</f>
        <v>32790</v>
      </c>
      <c r="O738" s="54">
        <v>144988</v>
      </c>
      <c r="P738" s="29">
        <v>44.217139369999998</v>
      </c>
      <c r="Q738" s="55"/>
      <c r="R738" s="31">
        <f>M738+Q738</f>
        <v>1463</v>
      </c>
      <c r="S738" s="56">
        <v>193</v>
      </c>
      <c r="T738" s="32">
        <f>R738+S738+IF(F738="Without EV deal",L738,0)</f>
        <v>1656</v>
      </c>
      <c r="U738" s="57">
        <v>1</v>
      </c>
      <c r="V738" s="58"/>
      <c r="W738" s="58"/>
      <c r="X738" s="78">
        <v>0.25</v>
      </c>
      <c r="Y738" s="30">
        <f>IF(AG738="None",0,IF(AG738="Fix5",0.05, IF(AG738="Fix6.25",0.0625,IF(AG738="Fix3.75",0.0375,IF(AG738="Fix10",0.1,IF(AG738="Fix3",0.03,0))))))</f>
        <v>0</v>
      </c>
      <c r="Z738" s="35">
        <f>T738-AA738-AB738</f>
        <v>1242</v>
      </c>
      <c r="AA738" s="29">
        <f>IF(AD738="EUR",((T738-R738)*X738)*U738+(R738*X738),(T738*X738))</f>
        <v>414</v>
      </c>
      <c r="AB738" s="36">
        <f>IF(AD738="EUR",((T738-R738)*Y738)*U738+(R738*Y738),(T738*Y738))</f>
        <v>0</v>
      </c>
      <c r="AC738" s="37" t="b">
        <v>1</v>
      </c>
      <c r="AD738" s="37" t="s">
        <v>38</v>
      </c>
      <c r="AE738" s="37" t="s">
        <v>38</v>
      </c>
      <c r="AF738" s="37" t="str">
        <f t="array" ref="AF738">INDEX('Deal Info'!D:D, MATCH(A738,'Deal Info'!A:A, 0))</f>
        <v>SF</v>
      </c>
      <c r="AG738" s="38" t="str">
        <f t="array" ref="AG738">INDEX('Deal Info'!G:G, MATCH(A738,'Deal Info'!A:A, 0))</f>
        <v>None</v>
      </c>
    </row>
    <row r="739" spans="1:33" ht="14.25" hidden="1" x14ac:dyDescent="0.2">
      <c r="A739" s="18" t="str">
        <f t="array" ref="A739">IF(G739='Room Info'!$B$1, INDEX('Room Info'!$A$2:$A2446, MATCH(B739,'Room Info'!$B$2:$B2446, 0)),IF(G739='Room Info'!$C$1, INDEX('Room Info'!$A$2:$A2446, MATCH(B739,'Room Info'!$C$2:$C2446, 0)),IF(G739='Room Info'!$D$1, INDEX('Room Info'!$A$2:$A2446, MATCH(B739,'Room Info'!$D$2:$D2446, 0)),IF(G739='Room Info'!$E$1, INDEX('Room Info'!$A$2:$A2446, MATCH(B739,'Room Info'!$E$2:$E2446, 0)),IF(G739='Room Info'!$F$1, INDEX('Room Info'!$A$2:$A2446, MATCH(B739,'Room Info'!$F$2:$F2446, 0)),IF(G739='Room Info'!$H$1, INDEX('Room Info'!$A$2:$A2446, MATCH(B739,'Room Info'!$H$2:$H2446, 0)),IF(G739='Room Info'!$G$1, INDEX('Room Info'!$A$2:$A2446, MATCH(B739,'Room Info'!$G$2:$G2446, 0)))))))))</f>
        <v>ekomlev98</v>
      </c>
      <c r="B739" s="45" t="s">
        <v>163</v>
      </c>
      <c r="C739" s="46">
        <v>44886</v>
      </c>
      <c r="D739" s="46">
        <v>44915</v>
      </c>
      <c r="E739" s="47">
        <v>44896</v>
      </c>
      <c r="F739" s="48" t="s">
        <v>34</v>
      </c>
      <c r="G739" s="45" t="s">
        <v>35</v>
      </c>
      <c r="H739" s="49" t="s">
        <v>46</v>
      </c>
      <c r="I739" s="49" t="s">
        <v>37</v>
      </c>
      <c r="J739" s="50">
        <v>25</v>
      </c>
      <c r="K739" s="51">
        <v>405</v>
      </c>
      <c r="L739" s="52">
        <v>425</v>
      </c>
      <c r="M739" s="53">
        <v>387</v>
      </c>
      <c r="N739" s="28">
        <f>K739*J739</f>
        <v>10125</v>
      </c>
      <c r="O739" s="54">
        <v>32199</v>
      </c>
      <c r="P739" s="29">
        <v>79.503703700000003</v>
      </c>
      <c r="Q739" s="55"/>
      <c r="R739" s="31">
        <f>M739+Q739</f>
        <v>387</v>
      </c>
      <c r="S739" s="56">
        <v>832</v>
      </c>
      <c r="T739" s="32">
        <f>R739+S739+IF(F739="Without EV deal",L739,0)</f>
        <v>1219</v>
      </c>
      <c r="U739" s="57">
        <v>1</v>
      </c>
      <c r="V739" s="58"/>
      <c r="W739" s="58"/>
      <c r="X739" s="78">
        <v>0.25</v>
      </c>
      <c r="Y739" s="30">
        <f>IF(AG739="None",0,IF(AG739="Fix5",0.05, IF(AG739="Fix6.25",0.0625,IF(AG739="Fix3.75",0.0375,IF(AG739="Fix10",0.1,IF(AG739="Fix3",0.03,0))))))</f>
        <v>0</v>
      </c>
      <c r="Z739" s="35">
        <f>T739-AA739-AB739</f>
        <v>914.25</v>
      </c>
      <c r="AA739" s="29">
        <f>IF(AD739="EUR",((T739-R739)*X739)*U739+(R739*X739),(T739*X739))</f>
        <v>304.75</v>
      </c>
      <c r="AB739" s="36">
        <f>IF(AD739="EUR",((T739-R739)*Y739)*U739+(R739*Y739),(T739*Y739))</f>
        <v>0</v>
      </c>
      <c r="AC739" s="37" t="b">
        <v>1</v>
      </c>
      <c r="AD739" s="37" t="s">
        <v>38</v>
      </c>
      <c r="AE739" s="37" t="s">
        <v>38</v>
      </c>
      <c r="AF739" s="37" t="str">
        <f t="array" ref="AF739">INDEX('Deal Info'!D:D, MATCH(A739,'Deal Info'!A:A, 0))</f>
        <v>SF</v>
      </c>
      <c r="AG739" s="38" t="str">
        <f t="array" ref="AG739">INDEX('Deal Info'!G:G, MATCH(A739,'Deal Info'!A:A, 0))</f>
        <v>None</v>
      </c>
    </row>
    <row r="740" spans="1:33" ht="14.25" hidden="1" x14ac:dyDescent="0.2">
      <c r="A740" s="18" t="str">
        <f t="array" ref="A740">IF(G740='Room Info'!$B$1, INDEX('Room Info'!$A$2:$A2446, MATCH(B740,'Room Info'!$B$2:$B2446, 0)),IF(G740='Room Info'!$C$1, INDEX('Room Info'!$A$2:$A2446, MATCH(B740,'Room Info'!$C$2:$C2446, 0)),IF(G740='Room Info'!$D$1, INDEX('Room Info'!$A$2:$A2446, MATCH(B740,'Room Info'!$D$2:$D2446, 0)),IF(G740='Room Info'!$E$1, INDEX('Room Info'!$A$2:$A2446, MATCH(B740,'Room Info'!$E$2:$E2446, 0)),IF(G740='Room Info'!$F$1, INDEX('Room Info'!$A$2:$A2446, MATCH(B740,'Room Info'!$F$2:$F2446, 0)),IF(G740='Room Info'!$H$1, INDEX('Room Info'!$A$2:$A2446, MATCH(B740,'Room Info'!$H$2:$H2446, 0)),IF(G740='Room Info'!$G$1, INDEX('Room Info'!$A$2:$A2446, MATCH(B740,'Room Info'!$G$2:$G2446, 0)))))))))</f>
        <v>ekomlev98</v>
      </c>
      <c r="B740" s="54" t="s">
        <v>163</v>
      </c>
      <c r="C740" s="46">
        <v>44916</v>
      </c>
      <c r="D740" s="46">
        <v>44946</v>
      </c>
      <c r="E740" s="47">
        <v>44927</v>
      </c>
      <c r="F740" s="45" t="s">
        <v>34</v>
      </c>
      <c r="G740" s="54" t="s">
        <v>35</v>
      </c>
      <c r="H740" s="49" t="s">
        <v>40</v>
      </c>
      <c r="I740" s="49" t="s">
        <v>37</v>
      </c>
      <c r="J740" s="50">
        <v>10</v>
      </c>
      <c r="K740" s="51">
        <v>46</v>
      </c>
      <c r="L740" s="52">
        <v>-40</v>
      </c>
      <c r="M740" s="53">
        <v>17</v>
      </c>
      <c r="N740" s="28">
        <f>K740*J740</f>
        <v>460</v>
      </c>
      <c r="O740" s="54">
        <v>192</v>
      </c>
      <c r="P740" s="29">
        <v>4.1739130429999998</v>
      </c>
      <c r="Q740" s="55"/>
      <c r="R740" s="31">
        <f>M740+Q740</f>
        <v>17</v>
      </c>
      <c r="S740" s="56">
        <v>-30</v>
      </c>
      <c r="T740" s="32">
        <f>R740+S740+IF(F740="Without EV deal",L740,0)</f>
        <v>-13</v>
      </c>
      <c r="U740" s="57">
        <v>1</v>
      </c>
      <c r="V740" s="58"/>
      <c r="W740" s="58"/>
      <c r="X740" s="78">
        <v>0.25</v>
      </c>
      <c r="Y740" s="30">
        <f>IF(AG740="None",0,IF(AG740="Fix5",0.05, IF(AG740="Fix6.25",0.0625,IF(AG740="Fix3.75",0.0375,IF(AG740="Fix10",0.1,IF(AG740="Fix3",0.03,0))))))</f>
        <v>0</v>
      </c>
      <c r="Z740" s="35">
        <f>T740-AA740-AB740</f>
        <v>-9.75</v>
      </c>
      <c r="AA740" s="29">
        <f>IF(AD740="EUR",((T740-R740)*X740)*U740+(R740*X740),(T740*X740))</f>
        <v>-3.25</v>
      </c>
      <c r="AB740" s="36">
        <f>IF(AD740="EUR",((T740-R740)*Y740)*U740+(R740*Y740),(T740*Y740))</f>
        <v>0</v>
      </c>
      <c r="AC740" s="37" t="b">
        <v>1</v>
      </c>
      <c r="AD740" s="37" t="s">
        <v>38</v>
      </c>
      <c r="AE740" s="37" t="s">
        <v>38</v>
      </c>
      <c r="AF740" s="37" t="str">
        <f t="array" ref="AF740">INDEX('Deal Info'!D:D, MATCH(A740,'Deal Info'!A:A, 0))</f>
        <v>SF</v>
      </c>
      <c r="AG740" s="38" t="str">
        <f t="array" ref="AG740">INDEX('Deal Info'!G:G, MATCH(A740,'Deal Info'!A:A, 0))</f>
        <v>None</v>
      </c>
    </row>
    <row r="741" spans="1:33" ht="14.25" hidden="1" x14ac:dyDescent="0.2">
      <c r="A741" s="18" t="str">
        <f t="array" ref="A741">IF(G741='Room Info'!$B$1, INDEX('Room Info'!$A$2:$A2446, MATCH(B741,'Room Info'!$B$2:$B2446, 0)),IF(G741='Room Info'!$C$1, INDEX('Room Info'!$A$2:$A2446, MATCH(B741,'Room Info'!$C$2:$C2446, 0)),IF(G741='Room Info'!$D$1, INDEX('Room Info'!$A$2:$A2446, MATCH(B741,'Room Info'!$D$2:$D2446, 0)),IF(G741='Room Info'!$E$1, INDEX('Room Info'!$A$2:$A2446, MATCH(B741,'Room Info'!$E$2:$E2446, 0)),IF(G741='Room Info'!$F$1, INDEX('Room Info'!$A$2:$A2446, MATCH(B741,'Room Info'!$F$2:$F2446, 0)),IF(G741='Room Info'!$H$1, INDEX('Room Info'!$A$2:$A2446, MATCH(B741,'Room Info'!$H$2:$H2446, 0)),IF(G741='Room Info'!$G$1, INDEX('Room Info'!$A$2:$A2446, MATCH(B741,'Room Info'!$G$2:$G2446, 0)))))))))</f>
        <v>ekomlev98</v>
      </c>
      <c r="B741" s="54" t="s">
        <v>163</v>
      </c>
      <c r="C741" s="46">
        <v>44916</v>
      </c>
      <c r="D741" s="46">
        <v>44946</v>
      </c>
      <c r="E741" s="47">
        <v>44927</v>
      </c>
      <c r="F741" s="45" t="s">
        <v>34</v>
      </c>
      <c r="G741" s="54" t="s">
        <v>35</v>
      </c>
      <c r="H741" s="49" t="s">
        <v>46</v>
      </c>
      <c r="I741" s="49" t="s">
        <v>37</v>
      </c>
      <c r="J741" s="50">
        <v>25</v>
      </c>
      <c r="K741" s="51">
        <v>3257</v>
      </c>
      <c r="L741" s="52">
        <v>-2400</v>
      </c>
      <c r="M741" s="53">
        <v>2553</v>
      </c>
      <c r="N741" s="28">
        <f>K741*J741</f>
        <v>81425</v>
      </c>
      <c r="O741" s="54">
        <v>104822</v>
      </c>
      <c r="P741" s="29">
        <v>32.183604539999997</v>
      </c>
      <c r="Q741" s="55"/>
      <c r="R741" s="31">
        <f>M741+Q741</f>
        <v>2553</v>
      </c>
      <c r="S741" s="56">
        <v>-308</v>
      </c>
      <c r="T741" s="32">
        <f>R741+S741+IF(F741="Without EV deal",L741,0)</f>
        <v>2245</v>
      </c>
      <c r="U741" s="57">
        <v>1</v>
      </c>
      <c r="V741" s="58"/>
      <c r="W741" s="58"/>
      <c r="X741" s="78">
        <v>0.25</v>
      </c>
      <c r="Y741" s="30">
        <f>IF(AG741="None",0,IF(AG741="Fix5",0.05, IF(AG741="Fix6.25",0.0625,IF(AG741="Fix3.75",0.0375,IF(AG741="Fix10",0.1,IF(AG741="Fix3",0.03,0))))))</f>
        <v>0</v>
      </c>
      <c r="Z741" s="35">
        <f>T741-AA741-AB741</f>
        <v>1683.75</v>
      </c>
      <c r="AA741" s="29">
        <f>IF(AD741="EUR",((T741-R741)*X741)*U741+(R741*X741),(T741*X741))</f>
        <v>561.25</v>
      </c>
      <c r="AB741" s="36">
        <f>IF(AD741="EUR",((T741-R741)*Y741)*U741+(R741*Y741),(T741*Y741))</f>
        <v>0</v>
      </c>
      <c r="AC741" s="37" t="b">
        <v>1</v>
      </c>
      <c r="AD741" s="37" t="s">
        <v>38</v>
      </c>
      <c r="AE741" s="37" t="s">
        <v>38</v>
      </c>
      <c r="AF741" s="37" t="str">
        <f t="array" ref="AF741">INDEX('Deal Info'!D:D, MATCH(A741,'Deal Info'!A:A, 0))</f>
        <v>SF</v>
      </c>
      <c r="AG741" s="38" t="str">
        <f t="array" ref="AG741">INDEX('Deal Info'!G:G, MATCH(A741,'Deal Info'!A:A, 0))</f>
        <v>None</v>
      </c>
    </row>
    <row r="742" spans="1:33" ht="14.25" hidden="1" x14ac:dyDescent="0.2">
      <c r="A742" s="18" t="str">
        <f t="array" ref="A742">IF(G742='Room Info'!$B$1, INDEX('Room Info'!$A$2:$A2446, MATCH(B742,'Room Info'!$B$2:$B2446, 0)),IF(G742='Room Info'!$C$1, INDEX('Room Info'!$A$2:$A2446, MATCH(B742,'Room Info'!$C$2:$C2446, 0)),IF(G742='Room Info'!$D$1, INDEX('Room Info'!$A$2:$A2446, MATCH(B742,'Room Info'!$D$2:$D2446, 0)),IF(G742='Room Info'!$E$1, INDEX('Room Info'!$A$2:$A2446, MATCH(B742,'Room Info'!$E$2:$E2446, 0)),IF(G742='Room Info'!$F$1, INDEX('Room Info'!$A$2:$A2446, MATCH(B742,'Room Info'!$F$2:$F2446, 0)),IF(G742='Room Info'!$H$1, INDEX('Room Info'!$A$2:$A2446, MATCH(B742,'Room Info'!$H$2:$H2446, 0)),IF(G742='Room Info'!$G$1, INDEX('Room Info'!$A$2:$A2446, MATCH(B742,'Room Info'!$G$2:$G2446, 0)))))))))</f>
        <v>Ekx444</v>
      </c>
      <c r="B742" s="45" t="s">
        <v>164</v>
      </c>
      <c r="C742" s="46">
        <v>44833</v>
      </c>
      <c r="D742" s="46">
        <v>44854</v>
      </c>
      <c r="E742" s="47">
        <v>44835</v>
      </c>
      <c r="F742" s="48" t="s">
        <v>34</v>
      </c>
      <c r="G742" s="45" t="s">
        <v>165</v>
      </c>
      <c r="H742" s="49" t="s">
        <v>166</v>
      </c>
      <c r="I742" s="49" t="s">
        <v>37</v>
      </c>
      <c r="J742" s="50">
        <v>10</v>
      </c>
      <c r="K742" s="51">
        <v>352</v>
      </c>
      <c r="L742" s="52">
        <v>-110</v>
      </c>
      <c r="M742" s="53">
        <v>0</v>
      </c>
      <c r="N742" s="28">
        <f>K742*J742</f>
        <v>3520</v>
      </c>
      <c r="O742" s="54">
        <v>7000</v>
      </c>
      <c r="P742" s="29">
        <v>19.886363639999999</v>
      </c>
      <c r="Q742" s="55"/>
      <c r="R742" s="31">
        <f>M742+Q742</f>
        <v>0</v>
      </c>
      <c r="S742" s="56">
        <v>-132</v>
      </c>
      <c r="T742" s="32">
        <f>R742+S742+IF(F742="Without EV deal",L742,0)</f>
        <v>-132</v>
      </c>
      <c r="U742" s="57">
        <v>1</v>
      </c>
      <c r="V742" s="58"/>
      <c r="W742" s="58"/>
      <c r="X742" s="78">
        <v>0.3</v>
      </c>
      <c r="Y742" s="30">
        <f>IF(AG742="None",0,IF(AG742="Fix5",0.05, IF(AG742="Fix6.25",0.0625,IF(AG742="Fix3.75",0.0375,IF(AG742="Fix10",0.1,IF(AG742="Fix3",0.03,0))))))</f>
        <v>0</v>
      </c>
      <c r="Z742" s="35">
        <f>T742-AA742-AB742</f>
        <v>-92.4</v>
      </c>
      <c r="AA742" s="29">
        <f>IF(AD742="EUR",((T742-R742)*X742)*U742+(R742*X742),(T742*X742))</f>
        <v>-39.6</v>
      </c>
      <c r="AB742" s="36">
        <f>IF(AD742="EUR",((T742-R742)*Y742)*U742+(R742*Y742),(T742*Y742))</f>
        <v>0</v>
      </c>
      <c r="AC742" s="37" t="b">
        <v>1</v>
      </c>
      <c r="AD742" s="37" t="s">
        <v>38</v>
      </c>
      <c r="AE742" s="37" t="s">
        <v>38</v>
      </c>
      <c r="AF742" s="37" t="str">
        <f t="array" ref="AF742">INDEX('Deal Info'!D:D, MATCH(A742,'Deal Info'!A:A, 0))</f>
        <v>DoEV</v>
      </c>
      <c r="AG742" s="38" t="str">
        <f t="array" ref="AG742">INDEX('Deal Info'!G:G, MATCH(A742,'Deal Info'!A:A, 0))</f>
        <v>None</v>
      </c>
    </row>
    <row r="743" spans="1:33" ht="14.25" hidden="1" x14ac:dyDescent="0.2">
      <c r="A743" s="18" t="str">
        <f t="array" ref="A743">IF(G743='Room Info'!$B$1, INDEX('Room Info'!$A$2:$A2446, MATCH(B743,'Room Info'!$B$2:$B2446, 0)),IF(G743='Room Info'!$C$1, INDEX('Room Info'!$A$2:$A2446, MATCH(B743,'Room Info'!$C$2:$C2446, 0)),IF(G743='Room Info'!$D$1, INDEX('Room Info'!$A$2:$A2446, MATCH(B743,'Room Info'!$D$2:$D2446, 0)),IF(G743='Room Info'!$E$1, INDEX('Room Info'!$A$2:$A2446, MATCH(B743,'Room Info'!$E$2:$E2446, 0)),IF(G743='Room Info'!$F$1, INDEX('Room Info'!$A$2:$A2446, MATCH(B743,'Room Info'!$F$2:$F2446, 0)),IF(G743='Room Info'!$H$1, INDEX('Room Info'!$A$2:$A2446, MATCH(B743,'Room Info'!$H$2:$H2446, 0)),IF(G743='Room Info'!$G$1, INDEX('Room Info'!$A$2:$A2446, MATCH(B743,'Room Info'!$G$2:$G2446, 0)))))))))</f>
        <v>Ekx444</v>
      </c>
      <c r="B743" s="45" t="s">
        <v>164</v>
      </c>
      <c r="C743" s="46">
        <v>44833</v>
      </c>
      <c r="D743" s="46">
        <v>44854</v>
      </c>
      <c r="E743" s="47">
        <v>44835</v>
      </c>
      <c r="F743" s="48" t="s">
        <v>34</v>
      </c>
      <c r="G743" s="45" t="s">
        <v>165</v>
      </c>
      <c r="H743" s="49" t="s">
        <v>167</v>
      </c>
      <c r="I743" s="49" t="s">
        <v>37</v>
      </c>
      <c r="J743" s="50">
        <v>25</v>
      </c>
      <c r="K743" s="51">
        <v>2798</v>
      </c>
      <c r="L743" s="52">
        <v>-400</v>
      </c>
      <c r="M743" s="53">
        <v>0</v>
      </c>
      <c r="N743" s="28">
        <f>K743*J743</f>
        <v>69950</v>
      </c>
      <c r="O743" s="54">
        <v>119500</v>
      </c>
      <c r="P743" s="29">
        <v>42.709077909999998</v>
      </c>
      <c r="Q743" s="55"/>
      <c r="R743" s="31">
        <f>M743+Q743</f>
        <v>0</v>
      </c>
      <c r="S743" s="56">
        <v>312</v>
      </c>
      <c r="T743" s="32">
        <f>R743+S743+IF(F743="Without EV deal",L743,0)</f>
        <v>312</v>
      </c>
      <c r="U743" s="57">
        <v>1</v>
      </c>
      <c r="V743" s="58"/>
      <c r="W743" s="58"/>
      <c r="X743" s="78">
        <v>0.3</v>
      </c>
      <c r="Y743" s="30">
        <f>IF(AG743="None",0,IF(AG743="Fix5",0.05, IF(AG743="Fix6.25",0.0625,IF(AG743="Fix3.75",0.0375,IF(AG743="Fix10",0.1,IF(AG743="Fix3",0.03,0))))))</f>
        <v>0</v>
      </c>
      <c r="Z743" s="35">
        <f>T743-AA743-AB743</f>
        <v>218.4</v>
      </c>
      <c r="AA743" s="29">
        <f>IF(AD743="EUR",((T743-R743)*X743)*U743+(R743*X743),(T743*X743))</f>
        <v>93.6</v>
      </c>
      <c r="AB743" s="36">
        <f>IF(AD743="EUR",((T743-R743)*Y743)*U743+(R743*Y743),(T743*Y743))</f>
        <v>0</v>
      </c>
      <c r="AC743" s="37" t="b">
        <v>1</v>
      </c>
      <c r="AD743" s="37" t="s">
        <v>38</v>
      </c>
      <c r="AE743" s="37" t="s">
        <v>38</v>
      </c>
      <c r="AF743" s="37" t="str">
        <f t="array" ref="AF743">INDEX('Deal Info'!D:D, MATCH(A743,'Deal Info'!A:A, 0))</f>
        <v>DoEV</v>
      </c>
      <c r="AG743" s="38" t="str">
        <f t="array" ref="AG743">INDEX('Deal Info'!G:G, MATCH(A743,'Deal Info'!A:A, 0))</f>
        <v>None</v>
      </c>
    </row>
    <row r="744" spans="1:33" ht="14.25" hidden="1" x14ac:dyDescent="0.2">
      <c r="A744" s="18" t="str">
        <f t="array" ref="A744">IF(G744='Room Info'!$B$1, INDEX('Room Info'!$A$2:$A2446, MATCH(B744,'Room Info'!$B$2:$B2446, 0)),IF(G744='Room Info'!$C$1, INDEX('Room Info'!$A$2:$A2446, MATCH(B744,'Room Info'!$C$2:$C2446, 0)),IF(G744='Room Info'!$D$1, INDEX('Room Info'!$A$2:$A2446, MATCH(B744,'Room Info'!$D$2:$D2446, 0)),IF(G744='Room Info'!$E$1, INDEX('Room Info'!$A$2:$A2446, MATCH(B744,'Room Info'!$E$2:$E2446, 0)),IF(G744='Room Info'!$F$1, INDEX('Room Info'!$A$2:$A2446, MATCH(B744,'Room Info'!$F$2:$F2446, 0)),IF(G744='Room Info'!$H$1, INDEX('Room Info'!$A$2:$A2446, MATCH(B744,'Room Info'!$H$2:$H2446, 0)),IF(G744='Room Info'!$G$1, INDEX('Room Info'!$A$2:$A2446, MATCH(B744,'Room Info'!$G$2:$G2446, 0)))))))))</f>
        <v>Ekx444</v>
      </c>
      <c r="B744" s="45" t="s">
        <v>164</v>
      </c>
      <c r="C744" s="46">
        <v>44833</v>
      </c>
      <c r="D744" s="46">
        <v>44854</v>
      </c>
      <c r="E744" s="47">
        <v>44835</v>
      </c>
      <c r="F744" s="48" t="s">
        <v>41</v>
      </c>
      <c r="G744" s="45" t="s">
        <v>165</v>
      </c>
      <c r="H744" s="49" t="s">
        <v>168</v>
      </c>
      <c r="I744" s="49" t="s">
        <v>44</v>
      </c>
      <c r="J744" s="50">
        <v>0.25</v>
      </c>
      <c r="K744" s="51">
        <v>7</v>
      </c>
      <c r="L744" s="52">
        <v>-0.25</v>
      </c>
      <c r="M744" s="53">
        <v>0</v>
      </c>
      <c r="N744" s="28">
        <f>K744*J744</f>
        <v>1.75</v>
      </c>
      <c r="O744" s="65"/>
      <c r="P744" s="29">
        <v>0</v>
      </c>
      <c r="Q744" s="55"/>
      <c r="R744" s="31">
        <f>M744+Q744</f>
        <v>0</v>
      </c>
      <c r="S744" s="66"/>
      <c r="T744" s="32">
        <f>R744+S744+IF(F744="Without EV deal",L744,0)</f>
        <v>-0.25</v>
      </c>
      <c r="U744" s="57">
        <v>1</v>
      </c>
      <c r="V744" s="58"/>
      <c r="W744" s="58"/>
      <c r="X744" s="78">
        <v>0.3</v>
      </c>
      <c r="Y744" s="30">
        <f>IF(AG744="None",0,IF(AG744="Fix5",0.05, IF(AG744="Fix6.25",0.0625,IF(AG744="Fix3.75",0.0375,IF(AG744="Fix10",0.1,IF(AG744="Fix3",0.03,0))))))</f>
        <v>0</v>
      </c>
      <c r="Z744" s="35">
        <f>T744-AA744-AB744</f>
        <v>-0.17499999999999999</v>
      </c>
      <c r="AA744" s="29">
        <f>IF(AD744="EUR",((T744-R744)*X744)*U744+(R744*X744),(T744*X744))</f>
        <v>-7.4999999999999997E-2</v>
      </c>
      <c r="AB744" s="36">
        <f>IF(AD744="EUR",((T744-R744)*Y744)*U744+(R744*Y744),(T744*Y744))</f>
        <v>0</v>
      </c>
      <c r="AC744" s="37" t="b">
        <v>1</v>
      </c>
      <c r="AD744" s="37" t="s">
        <v>38</v>
      </c>
      <c r="AE744" s="37" t="s">
        <v>38</v>
      </c>
      <c r="AF744" s="37" t="str">
        <f t="array" ref="AF744">INDEX('Deal Info'!D:D, MATCH(A744,'Deal Info'!A:A, 0))</f>
        <v>DoEV</v>
      </c>
      <c r="AG744" s="38" t="str">
        <f t="array" ref="AG744">INDEX('Deal Info'!G:G, MATCH(A744,'Deal Info'!A:A, 0))</f>
        <v>None</v>
      </c>
    </row>
    <row r="745" spans="1:33" ht="14.25" hidden="1" x14ac:dyDescent="0.2">
      <c r="A745" s="18" t="str">
        <f t="array" ref="A745">IF(G745='Room Info'!$B$1, INDEX('Room Info'!$A$2:$A2446, MATCH(B745,'Room Info'!$B$2:$B2446, 0)),IF(G745='Room Info'!$C$1, INDEX('Room Info'!$A$2:$A2446, MATCH(B745,'Room Info'!$C$2:$C2446, 0)),IF(G745='Room Info'!$D$1, INDEX('Room Info'!$A$2:$A2446, MATCH(B745,'Room Info'!$D$2:$D2446, 0)),IF(G745='Room Info'!$E$1, INDEX('Room Info'!$A$2:$A2446, MATCH(B745,'Room Info'!$E$2:$E2446, 0)),IF(G745='Room Info'!$F$1, INDEX('Room Info'!$A$2:$A2446, MATCH(B745,'Room Info'!$F$2:$F2446, 0)),IF(G745='Room Info'!$H$1, INDEX('Room Info'!$A$2:$A2446, MATCH(B745,'Room Info'!$H$2:$H2446, 0)),IF(G745='Room Info'!$G$1, INDEX('Room Info'!$A$2:$A2446, MATCH(B745,'Room Info'!$G$2:$G2446, 0)))))))))</f>
        <v>Ekx444</v>
      </c>
      <c r="B745" s="45" t="s">
        <v>164</v>
      </c>
      <c r="C745" s="46">
        <v>44855</v>
      </c>
      <c r="D745" s="46">
        <v>44885</v>
      </c>
      <c r="E745" s="47">
        <v>44866</v>
      </c>
      <c r="F745" s="48" t="s">
        <v>34</v>
      </c>
      <c r="G745" s="45" t="s">
        <v>165</v>
      </c>
      <c r="H745" s="49" t="s">
        <v>166</v>
      </c>
      <c r="I745" s="49" t="s">
        <v>37</v>
      </c>
      <c r="J745" s="50">
        <v>10</v>
      </c>
      <c r="K745" s="51">
        <v>76</v>
      </c>
      <c r="L745" s="52">
        <v>339</v>
      </c>
      <c r="M745" s="62"/>
      <c r="N745" s="28">
        <f>K745*J745</f>
        <v>760</v>
      </c>
      <c r="O745" s="54">
        <v>13600</v>
      </c>
      <c r="P745" s="29">
        <v>178.94736839999999</v>
      </c>
      <c r="Q745" s="55"/>
      <c r="R745" s="31">
        <f>M745+Q745</f>
        <v>0</v>
      </c>
      <c r="S745" s="56">
        <v>196</v>
      </c>
      <c r="T745" s="32">
        <f>R745+S745+IF(F745="Without EV deal",L745,0)</f>
        <v>196</v>
      </c>
      <c r="U745" s="57">
        <v>1</v>
      </c>
      <c r="V745" s="58"/>
      <c r="W745" s="58"/>
      <c r="X745" s="78">
        <v>0.3</v>
      </c>
      <c r="Y745" s="30">
        <f>IF(AG745="None",0,IF(AG745="Fix5",0.05, IF(AG745="Fix6.25",0.0625,IF(AG745="Fix3.75",0.0375,IF(AG745="Fix10",0.1,IF(AG745="Fix3",0.03,0))))))</f>
        <v>0</v>
      </c>
      <c r="Z745" s="35">
        <f>T745-AA745-AB745</f>
        <v>137.19999999999999</v>
      </c>
      <c r="AA745" s="29">
        <f>IF(AD745="EUR",((T745-R745)*X745)*U745+(R745*X745),(T745*X745))</f>
        <v>58.8</v>
      </c>
      <c r="AB745" s="36">
        <f>IF(AD745="EUR",((T745-R745)*Y745)*U745+(R745*Y745),(T745*Y745))</f>
        <v>0</v>
      </c>
      <c r="AC745" s="37" t="b">
        <v>1</v>
      </c>
      <c r="AD745" s="37" t="s">
        <v>38</v>
      </c>
      <c r="AE745" s="37" t="s">
        <v>38</v>
      </c>
      <c r="AF745" s="37" t="str">
        <f t="array" ref="AF745">INDEX('Deal Info'!D:D, MATCH(A745,'Deal Info'!A:A, 0))</f>
        <v>DoEV</v>
      </c>
      <c r="AG745" s="38" t="str">
        <f t="array" ref="AG745">INDEX('Deal Info'!G:G, MATCH(A745,'Deal Info'!A:A, 0))</f>
        <v>None</v>
      </c>
    </row>
    <row r="746" spans="1:33" ht="14.25" hidden="1" x14ac:dyDescent="0.2">
      <c r="A746" s="18" t="str">
        <f t="array" ref="A746">IF(G746='Room Info'!$B$1, INDEX('Room Info'!$A$2:$A2446, MATCH(B746,'Room Info'!$B$2:$B2446, 0)),IF(G746='Room Info'!$C$1, INDEX('Room Info'!$A$2:$A2446, MATCH(B746,'Room Info'!$C$2:$C2446, 0)),IF(G746='Room Info'!$D$1, INDEX('Room Info'!$A$2:$A2446, MATCH(B746,'Room Info'!$D$2:$D2446, 0)),IF(G746='Room Info'!$E$1, INDEX('Room Info'!$A$2:$A2446, MATCH(B746,'Room Info'!$E$2:$E2446, 0)),IF(G746='Room Info'!$F$1, INDEX('Room Info'!$A$2:$A2446, MATCH(B746,'Room Info'!$F$2:$F2446, 0)),IF(G746='Room Info'!$H$1, INDEX('Room Info'!$A$2:$A2446, MATCH(B746,'Room Info'!$H$2:$H2446, 0)),IF(G746='Room Info'!$G$1, INDEX('Room Info'!$A$2:$A2446, MATCH(B746,'Room Info'!$G$2:$G2446, 0)))))))))</f>
        <v>Ekx444</v>
      </c>
      <c r="B746" s="45" t="s">
        <v>164</v>
      </c>
      <c r="C746" s="46">
        <v>44855</v>
      </c>
      <c r="D746" s="46">
        <v>44885</v>
      </c>
      <c r="E746" s="47">
        <v>44866</v>
      </c>
      <c r="F746" s="48" t="s">
        <v>34</v>
      </c>
      <c r="G746" s="45" t="s">
        <v>165</v>
      </c>
      <c r="H746" s="49" t="s">
        <v>167</v>
      </c>
      <c r="I746" s="49" t="s">
        <v>37</v>
      </c>
      <c r="J746" s="50">
        <v>25</v>
      </c>
      <c r="K746" s="51">
        <v>3157</v>
      </c>
      <c r="L746" s="52">
        <v>-643</v>
      </c>
      <c r="M746" s="62"/>
      <c r="N746" s="28">
        <f>K746*J746</f>
        <v>78925</v>
      </c>
      <c r="O746" s="54">
        <v>116538</v>
      </c>
      <c r="P746" s="29">
        <v>36.914159009999999</v>
      </c>
      <c r="Q746" s="55"/>
      <c r="R746" s="31">
        <f>M746+Q746</f>
        <v>0</v>
      </c>
      <c r="S746" s="56">
        <v>-506</v>
      </c>
      <c r="T746" s="32">
        <f>R746+S746+IF(F746="Without EV deal",L746,0)</f>
        <v>-506</v>
      </c>
      <c r="U746" s="57">
        <v>1</v>
      </c>
      <c r="V746" s="58"/>
      <c r="W746" s="58"/>
      <c r="X746" s="78">
        <v>0.3</v>
      </c>
      <c r="Y746" s="30">
        <f>IF(AG746="None",0,IF(AG746="Fix5",0.05, IF(AG746="Fix6.25",0.0625,IF(AG746="Fix3.75",0.0375,IF(AG746="Fix10",0.1,IF(AG746="Fix3",0.03,0))))))</f>
        <v>0</v>
      </c>
      <c r="Z746" s="35">
        <f>T746-AA746-AB746</f>
        <v>-354.20000000000005</v>
      </c>
      <c r="AA746" s="29">
        <f>IF(AD746="EUR",((T746-R746)*X746)*U746+(R746*X746),(T746*X746))</f>
        <v>-151.79999999999998</v>
      </c>
      <c r="AB746" s="36">
        <f>IF(AD746="EUR",((T746-R746)*Y746)*U746+(R746*Y746),(T746*Y746))</f>
        <v>0</v>
      </c>
      <c r="AC746" s="37" t="b">
        <v>1</v>
      </c>
      <c r="AD746" s="37" t="s">
        <v>38</v>
      </c>
      <c r="AE746" s="37" t="s">
        <v>38</v>
      </c>
      <c r="AF746" s="37" t="str">
        <f t="array" ref="AF746">INDEX('Deal Info'!D:D, MATCH(A746,'Deal Info'!A:A, 0))</f>
        <v>DoEV</v>
      </c>
      <c r="AG746" s="38" t="str">
        <f t="array" ref="AG746">INDEX('Deal Info'!G:G, MATCH(A746,'Deal Info'!A:A, 0))</f>
        <v>None</v>
      </c>
    </row>
    <row r="747" spans="1:33" ht="14.25" hidden="1" x14ac:dyDescent="0.2">
      <c r="A747" s="18" t="str">
        <f t="array" ref="A747">IF(G747='Room Info'!$B$1, INDEX('Room Info'!$A$2:$A2446, MATCH(B747,'Room Info'!$B$2:$B2446, 0)),IF(G747='Room Info'!$C$1, INDEX('Room Info'!$A$2:$A2446, MATCH(B747,'Room Info'!$C$2:$C2446, 0)),IF(G747='Room Info'!$D$1, INDEX('Room Info'!$A$2:$A2446, MATCH(B747,'Room Info'!$D$2:$D2446, 0)),IF(G747='Room Info'!$E$1, INDEX('Room Info'!$A$2:$A2446, MATCH(B747,'Room Info'!$E$2:$E2446, 0)),IF(G747='Room Info'!$F$1, INDEX('Room Info'!$A$2:$A2446, MATCH(B747,'Room Info'!$F$2:$F2446, 0)),IF(G747='Room Info'!$H$1, INDEX('Room Info'!$A$2:$A2446, MATCH(B747,'Room Info'!$H$2:$H2446, 0)),IF(G747='Room Info'!$G$1, INDEX('Room Info'!$A$2:$A2446, MATCH(B747,'Room Info'!$G$2:$G2446, 0)))))))))</f>
        <v>Ekx444</v>
      </c>
      <c r="B747" s="45" t="s">
        <v>169</v>
      </c>
      <c r="C747" s="46">
        <v>44886</v>
      </c>
      <c r="D747" s="46">
        <v>44915</v>
      </c>
      <c r="E747" s="47">
        <v>44896</v>
      </c>
      <c r="F747" s="48" t="s">
        <v>34</v>
      </c>
      <c r="G747" s="45" t="s">
        <v>35</v>
      </c>
      <c r="H747" s="49" t="s">
        <v>43</v>
      </c>
      <c r="I747" s="49" t="s">
        <v>44</v>
      </c>
      <c r="J747" s="50">
        <v>2</v>
      </c>
      <c r="K747" s="51">
        <v>10</v>
      </c>
      <c r="L747" s="52">
        <v>-10</v>
      </c>
      <c r="M747" s="53">
        <v>1</v>
      </c>
      <c r="N747" s="28">
        <f>K747*J747</f>
        <v>20</v>
      </c>
      <c r="O747" s="54">
        <v>46</v>
      </c>
      <c r="P747" s="29">
        <v>4.5999999999999996</v>
      </c>
      <c r="Q747" s="55"/>
      <c r="R747" s="31">
        <f>M747+Q747</f>
        <v>1</v>
      </c>
      <c r="S747" s="56">
        <v>-1</v>
      </c>
      <c r="T747" s="32">
        <f>R747+S747+IF(F747="Without EV deal",L747,0)</f>
        <v>0</v>
      </c>
      <c r="U747" s="57">
        <v>1</v>
      </c>
      <c r="V747" s="58"/>
      <c r="W747" s="58"/>
      <c r="X747" s="78">
        <v>0.3</v>
      </c>
      <c r="Y747" s="30">
        <f>IF(AG747="None",0,IF(AG747="Fix5",0.05, IF(AG747="Fix6.25",0.0625,IF(AG747="Fix3.75",0.0375,IF(AG747="Fix10",0.1,IF(AG747="Fix3",0.03,0))))))</f>
        <v>0</v>
      </c>
      <c r="Z747" s="35">
        <f>T747-AA747-AB747</f>
        <v>0</v>
      </c>
      <c r="AA747" s="29">
        <f>IF(AD747="EUR",((T747-R747)*X747)*U747+(R747*X747),(T747*X747))</f>
        <v>0</v>
      </c>
      <c r="AB747" s="36">
        <f>IF(AD747="EUR",((T747-R747)*Y747)*U747+(R747*Y747),(T747*Y747))</f>
        <v>0</v>
      </c>
      <c r="AC747" s="37" t="b">
        <v>1</v>
      </c>
      <c r="AD747" s="37" t="s">
        <v>38</v>
      </c>
      <c r="AE747" s="37" t="s">
        <v>38</v>
      </c>
      <c r="AF747" s="37" t="str">
        <f t="array" ref="AF747">INDEX('Deal Info'!D:D, MATCH(A747,'Deal Info'!A:A, 0))</f>
        <v>DoEV</v>
      </c>
      <c r="AG747" s="38" t="str">
        <f t="array" ref="AG747">INDEX('Deal Info'!G:G, MATCH(A747,'Deal Info'!A:A, 0))</f>
        <v>None</v>
      </c>
    </row>
    <row r="748" spans="1:33" ht="14.25" hidden="1" x14ac:dyDescent="0.2">
      <c r="A748" s="18" t="str">
        <f t="array" ref="A748">IF(G748='Room Info'!$B$1, INDEX('Room Info'!$A$2:$A2446, MATCH(B748,'Room Info'!$B$2:$B2446, 0)),IF(G748='Room Info'!$C$1, INDEX('Room Info'!$A$2:$A2446, MATCH(B748,'Room Info'!$C$2:$C2446, 0)),IF(G748='Room Info'!$D$1, INDEX('Room Info'!$A$2:$A2446, MATCH(B748,'Room Info'!$D$2:$D2446, 0)),IF(G748='Room Info'!$E$1, INDEX('Room Info'!$A$2:$A2446, MATCH(B748,'Room Info'!$E$2:$E2446, 0)),IF(G748='Room Info'!$F$1, INDEX('Room Info'!$A$2:$A2446, MATCH(B748,'Room Info'!$F$2:$F2446, 0)),IF(G748='Room Info'!$H$1, INDEX('Room Info'!$A$2:$A2446, MATCH(B748,'Room Info'!$H$2:$H2446, 0)),IF(G748='Room Info'!$G$1, INDEX('Room Info'!$A$2:$A2446, MATCH(B748,'Room Info'!$G$2:$G2446, 0)))))))))</f>
        <v>Ekx444</v>
      </c>
      <c r="B748" s="45" t="s">
        <v>169</v>
      </c>
      <c r="C748" s="46">
        <v>44886</v>
      </c>
      <c r="D748" s="46">
        <v>44915</v>
      </c>
      <c r="E748" s="47">
        <v>44896</v>
      </c>
      <c r="F748" s="48" t="s">
        <v>34</v>
      </c>
      <c r="G748" s="45" t="s">
        <v>35</v>
      </c>
      <c r="H748" s="49" t="s">
        <v>39</v>
      </c>
      <c r="I748" s="49" t="s">
        <v>37</v>
      </c>
      <c r="J748" s="50">
        <v>5</v>
      </c>
      <c r="K748" s="51">
        <v>13</v>
      </c>
      <c r="L748" s="52">
        <v>25</v>
      </c>
      <c r="M748" s="53">
        <v>3</v>
      </c>
      <c r="N748" s="28">
        <f>K748*J748</f>
        <v>65</v>
      </c>
      <c r="O748" s="54">
        <v>1113</v>
      </c>
      <c r="P748" s="29">
        <v>85.61538462</v>
      </c>
      <c r="Q748" s="55"/>
      <c r="R748" s="31">
        <f>M748+Q748</f>
        <v>3</v>
      </c>
      <c r="S748" s="56">
        <v>4</v>
      </c>
      <c r="T748" s="32">
        <f>R748+S748+IF(F748="Without EV deal",L748,0)</f>
        <v>7</v>
      </c>
      <c r="U748" s="57">
        <v>1</v>
      </c>
      <c r="V748" s="58"/>
      <c r="W748" s="58"/>
      <c r="X748" s="78">
        <v>0.3</v>
      </c>
      <c r="Y748" s="30">
        <f>IF(AG748="None",0,IF(AG748="Fix5",0.05, IF(AG748="Fix6.25",0.0625,IF(AG748="Fix3.75",0.0375,IF(AG748="Fix10",0.1,IF(AG748="Fix3",0.03,0))))))</f>
        <v>0</v>
      </c>
      <c r="Z748" s="35">
        <f>T748-AA748-AB748</f>
        <v>4.9000000000000004</v>
      </c>
      <c r="AA748" s="29">
        <f>IF(AD748="EUR",((T748-R748)*X748)*U748+(R748*X748),(T748*X748))</f>
        <v>2.1</v>
      </c>
      <c r="AB748" s="36">
        <f>IF(AD748="EUR",((T748-R748)*Y748)*U748+(R748*Y748),(T748*Y748))</f>
        <v>0</v>
      </c>
      <c r="AC748" s="37" t="b">
        <v>1</v>
      </c>
      <c r="AD748" s="37" t="s">
        <v>38</v>
      </c>
      <c r="AE748" s="37" t="s">
        <v>38</v>
      </c>
      <c r="AF748" s="37" t="str">
        <f t="array" ref="AF748">INDEX('Deal Info'!D:D, MATCH(A748,'Deal Info'!A:A, 0))</f>
        <v>DoEV</v>
      </c>
      <c r="AG748" s="38" t="str">
        <f t="array" ref="AG748">INDEX('Deal Info'!G:G, MATCH(A748,'Deal Info'!A:A, 0))</f>
        <v>None</v>
      </c>
    </row>
    <row r="749" spans="1:33" ht="14.25" hidden="1" x14ac:dyDescent="0.2">
      <c r="A749" s="18" t="str">
        <f t="array" ref="A749">IF(G749='Room Info'!$B$1, INDEX('Room Info'!$A$2:$A2446, MATCH(B749,'Room Info'!$B$2:$B2446, 0)),IF(G749='Room Info'!$C$1, INDEX('Room Info'!$A$2:$A2446, MATCH(B749,'Room Info'!$C$2:$C2446, 0)),IF(G749='Room Info'!$D$1, INDEX('Room Info'!$A$2:$A2446, MATCH(B749,'Room Info'!$D$2:$D2446, 0)),IF(G749='Room Info'!$E$1, INDEX('Room Info'!$A$2:$A2446, MATCH(B749,'Room Info'!$E$2:$E2446, 0)),IF(G749='Room Info'!$F$1, INDEX('Room Info'!$A$2:$A2446, MATCH(B749,'Room Info'!$F$2:$F2446, 0)),IF(G749='Room Info'!$H$1, INDEX('Room Info'!$A$2:$A2446, MATCH(B749,'Room Info'!$H$2:$H2446, 0)),IF(G749='Room Info'!$G$1, INDEX('Room Info'!$A$2:$A2446, MATCH(B749,'Room Info'!$G$2:$G2446, 0)))))))))</f>
        <v>Ekx444</v>
      </c>
      <c r="B749" s="45" t="s">
        <v>169</v>
      </c>
      <c r="C749" s="46">
        <v>44886</v>
      </c>
      <c r="D749" s="46">
        <v>44915</v>
      </c>
      <c r="E749" s="47">
        <v>44896</v>
      </c>
      <c r="F749" s="48" t="s">
        <v>34</v>
      </c>
      <c r="G749" s="45" t="s">
        <v>35</v>
      </c>
      <c r="H749" s="49" t="s">
        <v>40</v>
      </c>
      <c r="I749" s="49" t="s">
        <v>37</v>
      </c>
      <c r="J749" s="50">
        <v>10</v>
      </c>
      <c r="K749" s="51">
        <v>803</v>
      </c>
      <c r="L749" s="52">
        <v>260</v>
      </c>
      <c r="M749" s="53">
        <v>292</v>
      </c>
      <c r="N749" s="28">
        <f>K749*J749</f>
        <v>8030</v>
      </c>
      <c r="O749" s="54">
        <v>49802</v>
      </c>
      <c r="P749" s="29">
        <v>62.019925280000002</v>
      </c>
      <c r="Q749" s="55"/>
      <c r="R749" s="31">
        <f>M749+Q749</f>
        <v>292</v>
      </c>
      <c r="S749" s="56">
        <v>333</v>
      </c>
      <c r="T749" s="32">
        <f>R749+S749+IF(F749="Without EV deal",L749,0)</f>
        <v>625</v>
      </c>
      <c r="U749" s="57">
        <v>1</v>
      </c>
      <c r="V749" s="58"/>
      <c r="W749" s="58"/>
      <c r="X749" s="78">
        <v>0.3</v>
      </c>
      <c r="Y749" s="30">
        <f>IF(AG749="None",0,IF(AG749="Fix5",0.05, IF(AG749="Fix6.25",0.0625,IF(AG749="Fix3.75",0.0375,IF(AG749="Fix10",0.1,IF(AG749="Fix3",0.03,0))))))</f>
        <v>0</v>
      </c>
      <c r="Z749" s="35">
        <f>T749-AA749-AB749</f>
        <v>437.5</v>
      </c>
      <c r="AA749" s="29">
        <f>IF(AD749="EUR",((T749-R749)*X749)*U749+(R749*X749),(T749*X749))</f>
        <v>187.5</v>
      </c>
      <c r="AB749" s="36">
        <f>IF(AD749="EUR",((T749-R749)*Y749)*U749+(R749*Y749),(T749*Y749))</f>
        <v>0</v>
      </c>
      <c r="AC749" s="37" t="b">
        <v>1</v>
      </c>
      <c r="AD749" s="37" t="s">
        <v>38</v>
      </c>
      <c r="AE749" s="37" t="s">
        <v>38</v>
      </c>
      <c r="AF749" s="37" t="str">
        <f t="array" ref="AF749">INDEX('Deal Info'!D:D, MATCH(A749,'Deal Info'!A:A, 0))</f>
        <v>DoEV</v>
      </c>
      <c r="AG749" s="38" t="str">
        <f t="array" ref="AG749">INDEX('Deal Info'!G:G, MATCH(A749,'Deal Info'!A:A, 0))</f>
        <v>None</v>
      </c>
    </row>
    <row r="750" spans="1:33" ht="14.25" hidden="1" x14ac:dyDescent="0.2">
      <c r="A750" s="18" t="str">
        <f t="array" ref="A750">IF(G750='Room Info'!$B$1, INDEX('Room Info'!$A$2:$A2446, MATCH(B750,'Room Info'!$B$2:$B2446, 0)),IF(G750='Room Info'!$C$1, INDEX('Room Info'!$A$2:$A2446, MATCH(B750,'Room Info'!$C$2:$C2446, 0)),IF(G750='Room Info'!$D$1, INDEX('Room Info'!$A$2:$A2446, MATCH(B750,'Room Info'!$D$2:$D2446, 0)),IF(G750='Room Info'!$E$1, INDEX('Room Info'!$A$2:$A2446, MATCH(B750,'Room Info'!$E$2:$E2446, 0)),IF(G750='Room Info'!$F$1, INDEX('Room Info'!$A$2:$A2446, MATCH(B750,'Room Info'!$F$2:$F2446, 0)),IF(G750='Room Info'!$H$1, INDEX('Room Info'!$A$2:$A2446, MATCH(B750,'Room Info'!$H$2:$H2446, 0)),IF(G750='Room Info'!$G$1, INDEX('Room Info'!$A$2:$A2446, MATCH(B750,'Room Info'!$G$2:$G2446, 0)))))))))</f>
        <v>Ekx444</v>
      </c>
      <c r="B750" s="45" t="s">
        <v>169</v>
      </c>
      <c r="C750" s="77">
        <v>44886</v>
      </c>
      <c r="D750" s="77">
        <v>44915</v>
      </c>
      <c r="E750" s="47">
        <v>44896</v>
      </c>
      <c r="F750" s="48" t="s">
        <v>34</v>
      </c>
      <c r="G750" s="45" t="s">
        <v>35</v>
      </c>
      <c r="H750" s="49" t="s">
        <v>46</v>
      </c>
      <c r="I750" s="49" t="s">
        <v>37</v>
      </c>
      <c r="J750" s="74">
        <v>25</v>
      </c>
      <c r="K750" s="75">
        <v>2814</v>
      </c>
      <c r="L750" s="72">
        <v>-225</v>
      </c>
      <c r="M750" s="76">
        <v>2195</v>
      </c>
      <c r="N750" s="28">
        <f>K750*J750</f>
        <v>70350</v>
      </c>
      <c r="O750" s="45">
        <v>91887</v>
      </c>
      <c r="P750" s="29">
        <v>32.653518120000001</v>
      </c>
      <c r="Q750" s="55"/>
      <c r="R750" s="31">
        <f>M750+Q750</f>
        <v>2195</v>
      </c>
      <c r="S750" s="73">
        <v>-138</v>
      </c>
      <c r="T750" s="32">
        <f>R750+S750+IF(F750="Without EV deal",L750,0)</f>
        <v>2057</v>
      </c>
      <c r="U750" s="57">
        <v>1</v>
      </c>
      <c r="V750" s="58"/>
      <c r="W750" s="58"/>
      <c r="X750" s="78">
        <v>0.3</v>
      </c>
      <c r="Y750" s="30">
        <f>IF(AG750="None",0,IF(AG750="Fix5",0.05, IF(AG750="Fix6.25",0.0625,IF(AG750="Fix3.75",0.0375,IF(AG750="Fix10",0.1,IF(AG750="Fix3",0.03,0))))))</f>
        <v>0</v>
      </c>
      <c r="Z750" s="35">
        <f>T750-AA750-AB750</f>
        <v>1439.9</v>
      </c>
      <c r="AA750" s="29">
        <f>IF(AD750="EUR",((T750-R750)*X750)*U750+(R750*X750),(T750*X750))</f>
        <v>617.1</v>
      </c>
      <c r="AB750" s="36">
        <f>IF(AD750="EUR",((T750-R750)*Y750)*U750+(R750*Y750),(T750*Y750))</f>
        <v>0</v>
      </c>
      <c r="AC750" s="37" t="b">
        <v>1</v>
      </c>
      <c r="AD750" s="37" t="s">
        <v>38</v>
      </c>
      <c r="AE750" s="37" t="s">
        <v>38</v>
      </c>
      <c r="AF750" s="37" t="str">
        <f t="array" ref="AF750">INDEX('Deal Info'!D:D, MATCH(A750,'Deal Info'!A:A, 0))</f>
        <v>DoEV</v>
      </c>
      <c r="AG750" s="38" t="str">
        <f t="array" ref="AG750">INDEX('Deal Info'!G:G, MATCH(A750,'Deal Info'!A:A, 0))</f>
        <v>None</v>
      </c>
    </row>
    <row r="751" spans="1:33" ht="14.25" hidden="1" x14ac:dyDescent="0.2">
      <c r="A751" s="18" t="str">
        <f t="array" ref="A751">IF(G751='Room Info'!$B$1, INDEX('Room Info'!$A$2:$A2446, MATCH(B751,'Room Info'!$B$2:$B2446, 0)),IF(G751='Room Info'!$C$1, INDEX('Room Info'!$A$2:$A2446, MATCH(B751,'Room Info'!$C$2:$C2446, 0)),IF(G751='Room Info'!$D$1, INDEX('Room Info'!$A$2:$A2446, MATCH(B751,'Room Info'!$D$2:$D2446, 0)),IF(G751='Room Info'!$E$1, INDEX('Room Info'!$A$2:$A2446, MATCH(B751,'Room Info'!$E$2:$E2446, 0)),IF(G751='Room Info'!$F$1, INDEX('Room Info'!$A$2:$A2446, MATCH(B751,'Room Info'!$F$2:$F2446, 0)),IF(G751='Room Info'!$H$1, INDEX('Room Info'!$A$2:$A2446, MATCH(B751,'Room Info'!$H$2:$H2446, 0)),IF(G751='Room Info'!$G$1, INDEX('Room Info'!$A$2:$A2446, MATCH(B751,'Room Info'!$G$2:$G2446, 0)))))))))</f>
        <v>Ekx444</v>
      </c>
      <c r="B751" s="45" t="s">
        <v>169</v>
      </c>
      <c r="C751" s="77">
        <v>44886</v>
      </c>
      <c r="D751" s="77">
        <v>44915</v>
      </c>
      <c r="E751" s="47">
        <v>44896</v>
      </c>
      <c r="F751" s="48" t="s">
        <v>34</v>
      </c>
      <c r="G751" s="45" t="s">
        <v>35</v>
      </c>
      <c r="H751" s="49" t="s">
        <v>72</v>
      </c>
      <c r="I751" s="49" t="s">
        <v>37</v>
      </c>
      <c r="J751" s="74">
        <v>50</v>
      </c>
      <c r="K751" s="75">
        <v>102</v>
      </c>
      <c r="L751" s="72">
        <v>-2050</v>
      </c>
      <c r="M751" s="76">
        <v>159</v>
      </c>
      <c r="N751" s="28">
        <f>K751*J751</f>
        <v>5100</v>
      </c>
      <c r="O751" s="45">
        <v>-4048</v>
      </c>
      <c r="P751" s="29">
        <v>-39.686274509999997</v>
      </c>
      <c r="Q751" s="55"/>
      <c r="R751" s="31">
        <f>M751+Q751</f>
        <v>159</v>
      </c>
      <c r="S751" s="73">
        <v>-694</v>
      </c>
      <c r="T751" s="32">
        <f>R751+S751+IF(F751="Without EV deal",L751,0)</f>
        <v>-535</v>
      </c>
      <c r="U751" s="57">
        <v>1</v>
      </c>
      <c r="V751" s="58"/>
      <c r="W751" s="58"/>
      <c r="X751" s="78">
        <v>0.3</v>
      </c>
      <c r="Y751" s="30">
        <f>IF(AG751="None",0,IF(AG751="Fix5",0.05, IF(AG751="Fix6.25",0.0625,IF(AG751="Fix3.75",0.0375,IF(AG751="Fix10",0.1,IF(AG751="Fix3",0.03,0))))))</f>
        <v>0</v>
      </c>
      <c r="Z751" s="35">
        <f>T751-AA751-AB751</f>
        <v>-374.5</v>
      </c>
      <c r="AA751" s="29">
        <f>IF(AD751="EUR",((T751-R751)*X751)*U751+(R751*X751),(T751*X751))</f>
        <v>-160.5</v>
      </c>
      <c r="AB751" s="36">
        <f>IF(AD751="EUR",((T751-R751)*Y751)*U751+(R751*Y751),(T751*Y751))</f>
        <v>0</v>
      </c>
      <c r="AC751" s="37" t="b">
        <v>1</v>
      </c>
      <c r="AD751" s="37" t="s">
        <v>38</v>
      </c>
      <c r="AE751" s="37" t="s">
        <v>38</v>
      </c>
      <c r="AF751" s="37" t="str">
        <f t="array" ref="AF751">INDEX('Deal Info'!D:D, MATCH(A751,'Deal Info'!A:A, 0))</f>
        <v>DoEV</v>
      </c>
      <c r="AG751" s="38" t="str">
        <f t="array" ref="AG751">INDEX('Deal Info'!G:G, MATCH(A751,'Deal Info'!A:A, 0))</f>
        <v>None</v>
      </c>
    </row>
    <row r="752" spans="1:33" ht="14.25" hidden="1" x14ac:dyDescent="0.2">
      <c r="A752" s="18" t="str">
        <f t="array" ref="A752">IF(G752='Room Info'!$B$1, INDEX('Room Info'!$A$2:$A2446, MATCH(B752,'Room Info'!$B$2:$B2446, 0)),IF(G752='Room Info'!$C$1, INDEX('Room Info'!$A$2:$A2446, MATCH(B752,'Room Info'!$C$2:$C2446, 0)),IF(G752='Room Info'!$D$1, INDEX('Room Info'!$A$2:$A2446, MATCH(B752,'Room Info'!$D$2:$D2446, 0)),IF(G752='Room Info'!$E$1, INDEX('Room Info'!$A$2:$A2446, MATCH(B752,'Room Info'!$E$2:$E2446, 0)),IF(G752='Room Info'!$F$1, INDEX('Room Info'!$A$2:$A2446, MATCH(B752,'Room Info'!$F$2:$F2446, 0)),IF(G752='Room Info'!$H$1, INDEX('Room Info'!$A$2:$A2446, MATCH(B752,'Room Info'!$H$2:$H2446, 0)),IF(G752='Room Info'!$G$1, INDEX('Room Info'!$A$2:$A2446, MATCH(B752,'Room Info'!$G$2:$G2446, 0)))))))))</f>
        <v>Ekx444</v>
      </c>
      <c r="B752" s="45" t="s">
        <v>169</v>
      </c>
      <c r="C752" s="46">
        <v>44886</v>
      </c>
      <c r="D752" s="46">
        <v>44915</v>
      </c>
      <c r="E752" s="47">
        <v>44896</v>
      </c>
      <c r="F752" s="45" t="s">
        <v>34</v>
      </c>
      <c r="G752" s="54" t="s">
        <v>35</v>
      </c>
      <c r="H752" s="49" t="s">
        <v>88</v>
      </c>
      <c r="I752" s="49" t="s">
        <v>37</v>
      </c>
      <c r="J752" s="50">
        <v>250</v>
      </c>
      <c r="K752" s="51">
        <v>3</v>
      </c>
      <c r="L752" s="52">
        <v>-750</v>
      </c>
      <c r="M752" s="53">
        <v>20</v>
      </c>
      <c r="N752" s="28">
        <f>K752*J752</f>
        <v>750</v>
      </c>
      <c r="O752" s="54">
        <v>-297</v>
      </c>
      <c r="P752" s="29">
        <v>-99</v>
      </c>
      <c r="Q752" s="55"/>
      <c r="R752" s="31">
        <f>M752+Q752</f>
        <v>20</v>
      </c>
      <c r="S752" s="56">
        <v>-177</v>
      </c>
      <c r="T752" s="32">
        <f>R752+S752+IF(F752="Without EV deal",L752,0)</f>
        <v>-157</v>
      </c>
      <c r="U752" s="57">
        <v>1</v>
      </c>
      <c r="V752" s="58"/>
      <c r="W752" s="58"/>
      <c r="X752" s="78">
        <v>0.3</v>
      </c>
      <c r="Y752" s="30">
        <f>IF(AG752="None",0,IF(AG752="Fix5",0.05, IF(AG752="Fix6.25",0.0625,IF(AG752="Fix3.75",0.0375,IF(AG752="Fix10",0.1,IF(AG752="Fix3",0.03,0))))))</f>
        <v>0</v>
      </c>
      <c r="Z752" s="35">
        <f>T752-AA752-AB752</f>
        <v>-109.9</v>
      </c>
      <c r="AA752" s="29">
        <f>IF(AD752="EUR",((T752-R752)*X752)*U752+(R752*X752),(T752*X752))</f>
        <v>-47.1</v>
      </c>
      <c r="AB752" s="36">
        <f>IF(AD752="EUR",((T752-R752)*Y752)*U752+(R752*Y752),(T752*Y752))</f>
        <v>0</v>
      </c>
      <c r="AC752" s="37" t="b">
        <v>1</v>
      </c>
      <c r="AD752" s="37" t="s">
        <v>38</v>
      </c>
      <c r="AE752" s="37" t="s">
        <v>38</v>
      </c>
      <c r="AF752" s="37" t="str">
        <f t="array" ref="AF752">INDEX('Deal Info'!D:D, MATCH(A752,'Deal Info'!A:A, 0))</f>
        <v>DoEV</v>
      </c>
      <c r="AG752" s="38" t="str">
        <f t="array" ref="AG752">INDEX('Deal Info'!G:G, MATCH(A752,'Deal Info'!A:A, 0))</f>
        <v>None</v>
      </c>
    </row>
    <row r="753" spans="1:33" ht="14.25" hidden="1" x14ac:dyDescent="0.2">
      <c r="A753" s="18" t="str">
        <f t="array" ref="A753">IF(G753='Room Info'!$B$1, INDEX('Room Info'!$A$2:$A2446, MATCH(B753,'Room Info'!$B$2:$B2446, 0)),IF(G753='Room Info'!$C$1, INDEX('Room Info'!$A$2:$A2446, MATCH(B753,'Room Info'!$C$2:$C2446, 0)),IF(G753='Room Info'!$D$1, INDEX('Room Info'!$A$2:$A2446, MATCH(B753,'Room Info'!$D$2:$D2446, 0)),IF(G753='Room Info'!$E$1, INDEX('Room Info'!$A$2:$A2446, MATCH(B753,'Room Info'!$E$2:$E2446, 0)),IF(G753='Room Info'!$F$1, INDEX('Room Info'!$A$2:$A2446, MATCH(B753,'Room Info'!$F$2:$F2446, 0)),IF(G753='Room Info'!$H$1, INDEX('Room Info'!$A$2:$A2446, MATCH(B753,'Room Info'!$H$2:$H2446, 0)),IF(G753='Room Info'!$G$1, INDEX('Room Info'!$A$2:$A2446, MATCH(B753,'Room Info'!$G$2:$G2446, 0)))))))))</f>
        <v>Ekx444</v>
      </c>
      <c r="B753" s="45" t="s">
        <v>169</v>
      </c>
      <c r="C753" s="46">
        <v>44886</v>
      </c>
      <c r="D753" s="46">
        <v>44915</v>
      </c>
      <c r="E753" s="47">
        <v>44896</v>
      </c>
      <c r="F753" s="48" t="s">
        <v>41</v>
      </c>
      <c r="G753" s="54" t="s">
        <v>35</v>
      </c>
      <c r="H753" s="49" t="s">
        <v>42</v>
      </c>
      <c r="I753" s="49" t="s">
        <v>37</v>
      </c>
      <c r="J753" s="50">
        <v>1</v>
      </c>
      <c r="K753" s="51">
        <v>11</v>
      </c>
      <c r="L753" s="52">
        <v>-3</v>
      </c>
      <c r="M753" s="62"/>
      <c r="N753" s="28">
        <f>K753*J753</f>
        <v>11</v>
      </c>
      <c r="O753" s="65"/>
      <c r="P753" s="29">
        <v>0</v>
      </c>
      <c r="Q753" s="55"/>
      <c r="R753" s="31">
        <f>M753+Q753</f>
        <v>0</v>
      </c>
      <c r="S753" s="66"/>
      <c r="T753" s="32">
        <f>R753+S753+IF(F753="Without EV deal",L753,0)</f>
        <v>-3</v>
      </c>
      <c r="U753" s="57">
        <v>1</v>
      </c>
      <c r="V753" s="58"/>
      <c r="W753" s="58"/>
      <c r="X753" s="78">
        <v>0.3</v>
      </c>
      <c r="Y753" s="30">
        <f>IF(AG753="None",0,IF(AG753="Fix5",0.05, IF(AG753="Fix6.25",0.0625,IF(AG753="Fix3.75",0.0375,IF(AG753="Fix10",0.1,IF(AG753="Fix3",0.03,0))))))</f>
        <v>0</v>
      </c>
      <c r="Z753" s="35">
        <f>T753-AA753-AB753</f>
        <v>-2.1</v>
      </c>
      <c r="AA753" s="29">
        <f>IF(AD753="EUR",((T753-R753)*X753)*U753+(R753*X753),(T753*X753))</f>
        <v>-0.89999999999999991</v>
      </c>
      <c r="AB753" s="36">
        <f>IF(AD753="EUR",((T753-R753)*Y753)*U753+(R753*Y753),(T753*Y753))</f>
        <v>0</v>
      </c>
      <c r="AC753" s="37" t="b">
        <v>1</v>
      </c>
      <c r="AD753" s="37" t="s">
        <v>38</v>
      </c>
      <c r="AE753" s="37" t="s">
        <v>38</v>
      </c>
      <c r="AF753" s="37" t="str">
        <f t="array" ref="AF753">INDEX('Deal Info'!D:D, MATCH(A753,'Deal Info'!A:A, 0))</f>
        <v>DoEV</v>
      </c>
      <c r="AG753" s="38" t="str">
        <f t="array" ref="AG753">INDEX('Deal Info'!G:G, MATCH(A753,'Deal Info'!A:A, 0))</f>
        <v>None</v>
      </c>
    </row>
    <row r="754" spans="1:33" ht="14.25" hidden="1" x14ac:dyDescent="0.2">
      <c r="A754" s="18" t="str">
        <f t="array" ref="A754">IF(G754='Room Info'!$B$1, INDEX('Room Info'!$A$2:$A2446, MATCH(B754,'Room Info'!$B$2:$B2446, 0)),IF(G754='Room Info'!$C$1, INDEX('Room Info'!$A$2:$A2446, MATCH(B754,'Room Info'!$C$2:$C2446, 0)),IF(G754='Room Info'!$D$1, INDEX('Room Info'!$A$2:$A2446, MATCH(B754,'Room Info'!$D$2:$D2446, 0)),IF(G754='Room Info'!$E$1, INDEX('Room Info'!$A$2:$A2446, MATCH(B754,'Room Info'!$E$2:$E2446, 0)),IF(G754='Room Info'!$F$1, INDEX('Room Info'!$A$2:$A2446, MATCH(B754,'Room Info'!$F$2:$F2446, 0)),IF(G754='Room Info'!$H$1, INDEX('Room Info'!$A$2:$A2446, MATCH(B754,'Room Info'!$H$2:$H2446, 0)),IF(G754='Room Info'!$G$1, INDEX('Room Info'!$A$2:$A2446, MATCH(B754,'Room Info'!$G$2:$G2446, 0)))))))))</f>
        <v>Ekx444</v>
      </c>
      <c r="B754" s="45" t="s">
        <v>169</v>
      </c>
      <c r="C754" s="46">
        <v>44886</v>
      </c>
      <c r="D754" s="46">
        <v>44915</v>
      </c>
      <c r="E754" s="47">
        <v>44896</v>
      </c>
      <c r="F754" s="48" t="s">
        <v>41</v>
      </c>
      <c r="G754" s="45" t="s">
        <v>35</v>
      </c>
      <c r="H754" s="49" t="s">
        <v>45</v>
      </c>
      <c r="I754" s="49" t="s">
        <v>37</v>
      </c>
      <c r="J754" s="50">
        <v>0.25</v>
      </c>
      <c r="K754" s="51">
        <v>8</v>
      </c>
      <c r="L754" s="52">
        <v>-2</v>
      </c>
      <c r="M754" s="62"/>
      <c r="N754" s="28">
        <f>K754*J754</f>
        <v>2</v>
      </c>
      <c r="O754" s="65"/>
      <c r="P754" s="29">
        <v>0</v>
      </c>
      <c r="Q754" s="55"/>
      <c r="R754" s="31">
        <f>M754+Q754</f>
        <v>0</v>
      </c>
      <c r="S754" s="66"/>
      <c r="T754" s="32">
        <f>R754+S754+IF(F754="Without EV deal",L754,0)</f>
        <v>-2</v>
      </c>
      <c r="U754" s="57">
        <v>1</v>
      </c>
      <c r="V754" s="58"/>
      <c r="W754" s="58"/>
      <c r="X754" s="78">
        <v>0.3</v>
      </c>
      <c r="Y754" s="30">
        <f>IF(AG754="None",0,IF(AG754="Fix5",0.05, IF(AG754="Fix6.25",0.0625,IF(AG754="Fix3.75",0.0375,IF(AG754="Fix10",0.1,IF(AG754="Fix3",0.03,0))))))</f>
        <v>0</v>
      </c>
      <c r="Z754" s="35">
        <f>T754-AA754-AB754</f>
        <v>-1.4</v>
      </c>
      <c r="AA754" s="29">
        <f>IF(AD754="EUR",((T754-R754)*X754)*U754+(R754*X754),(T754*X754))</f>
        <v>-0.6</v>
      </c>
      <c r="AB754" s="36">
        <f>IF(AD754="EUR",((T754-R754)*Y754)*U754+(R754*Y754),(T754*Y754))</f>
        <v>0</v>
      </c>
      <c r="AC754" s="37" t="b">
        <v>1</v>
      </c>
      <c r="AD754" s="37" t="s">
        <v>38</v>
      </c>
      <c r="AE754" s="37" t="s">
        <v>38</v>
      </c>
      <c r="AF754" s="37" t="str">
        <f t="array" ref="AF754">INDEX('Deal Info'!D:D, MATCH(A754,'Deal Info'!A:A, 0))</f>
        <v>DoEV</v>
      </c>
      <c r="AG754" s="38" t="str">
        <f t="array" ref="AG754">INDEX('Deal Info'!G:G, MATCH(A754,'Deal Info'!A:A, 0))</f>
        <v>None</v>
      </c>
    </row>
    <row r="755" spans="1:33" ht="14.25" hidden="1" x14ac:dyDescent="0.2">
      <c r="A755" s="18" t="str">
        <f t="array" ref="A755">IF(G755='Room Info'!$B$1, INDEX('Room Info'!$A$2:$A2446, MATCH(B755,'Room Info'!$B$2:$B2446, 0)),IF(G755='Room Info'!$C$1, INDEX('Room Info'!$A$2:$A2446, MATCH(B755,'Room Info'!$C$2:$C2446, 0)),IF(G755='Room Info'!$D$1, INDEX('Room Info'!$A$2:$A2446, MATCH(B755,'Room Info'!$D$2:$D2446, 0)),IF(G755='Room Info'!$E$1, INDEX('Room Info'!$A$2:$A2446, MATCH(B755,'Room Info'!$E$2:$E2446, 0)),IF(G755='Room Info'!$F$1, INDEX('Room Info'!$A$2:$A2446, MATCH(B755,'Room Info'!$F$2:$F2446, 0)),IF(G755='Room Info'!$H$1, INDEX('Room Info'!$A$2:$A2446, MATCH(B755,'Room Info'!$H$2:$H2446, 0)),IF(G755='Room Info'!$G$1, INDEX('Room Info'!$A$2:$A2446, MATCH(B755,'Room Info'!$G$2:$G2446, 0)))))))))</f>
        <v>Ekx444</v>
      </c>
      <c r="B755" s="45" t="s">
        <v>169</v>
      </c>
      <c r="C755" s="46">
        <v>44886</v>
      </c>
      <c r="D755" s="46">
        <v>44915</v>
      </c>
      <c r="E755" s="47">
        <v>44896</v>
      </c>
      <c r="F755" s="48" t="s">
        <v>41</v>
      </c>
      <c r="G755" s="45" t="s">
        <v>35</v>
      </c>
      <c r="H755" s="49" t="s">
        <v>51</v>
      </c>
      <c r="I755" s="49" t="s">
        <v>44</v>
      </c>
      <c r="J755" s="50">
        <v>0.25</v>
      </c>
      <c r="K755" s="51">
        <v>1</v>
      </c>
      <c r="L755" s="52">
        <v>0</v>
      </c>
      <c r="M755" s="62"/>
      <c r="N755" s="28">
        <f>K755*J755</f>
        <v>0.25</v>
      </c>
      <c r="O755" s="65"/>
      <c r="P755" s="29">
        <v>0</v>
      </c>
      <c r="Q755" s="55"/>
      <c r="R755" s="31">
        <f>M755+Q755</f>
        <v>0</v>
      </c>
      <c r="S755" s="66"/>
      <c r="T755" s="32">
        <f>R755+S755+IF(F755="Without EV deal",L755,0)</f>
        <v>0</v>
      </c>
      <c r="U755" s="57">
        <v>1</v>
      </c>
      <c r="V755" s="58"/>
      <c r="W755" s="58"/>
      <c r="X755" s="78">
        <v>0.3</v>
      </c>
      <c r="Y755" s="30">
        <f>IF(AG755="None",0,IF(AG755="Fix5",0.05, IF(AG755="Fix6.25",0.0625,IF(AG755="Fix3.75",0.0375,IF(AG755="Fix10",0.1,IF(AG755="Fix3",0.03,0))))))</f>
        <v>0</v>
      </c>
      <c r="Z755" s="35">
        <f>T755-AA755-AB755</f>
        <v>0</v>
      </c>
      <c r="AA755" s="29">
        <f>IF(AD755="EUR",((T755-R755)*X755)*U755+(R755*X755),(T755*X755))</f>
        <v>0</v>
      </c>
      <c r="AB755" s="36">
        <f>IF(AD755="EUR",((T755-R755)*Y755)*U755+(R755*Y755),(T755*Y755))</f>
        <v>0</v>
      </c>
      <c r="AC755" s="37" t="b">
        <v>1</v>
      </c>
      <c r="AD755" s="37" t="s">
        <v>38</v>
      </c>
      <c r="AE755" s="37" t="s">
        <v>38</v>
      </c>
      <c r="AF755" s="37" t="str">
        <f t="array" ref="AF755">INDEX('Deal Info'!D:D, MATCH(A755,'Deal Info'!A:A, 0))</f>
        <v>DoEV</v>
      </c>
      <c r="AG755" s="38" t="str">
        <f t="array" ref="AG755">INDEX('Deal Info'!G:G, MATCH(A755,'Deal Info'!A:A, 0))</f>
        <v>None</v>
      </c>
    </row>
    <row r="756" spans="1:33" ht="14.25" hidden="1" x14ac:dyDescent="0.2">
      <c r="A756" s="18" t="str">
        <f t="array" ref="A756">IF(G756='Room Info'!$B$1, INDEX('Room Info'!$A$2:$A2446, MATCH(B756,'Room Info'!$B$2:$B2446, 0)),IF(G756='Room Info'!$C$1, INDEX('Room Info'!$A$2:$A2446, MATCH(B756,'Room Info'!$C$2:$C2446, 0)),IF(G756='Room Info'!$D$1, INDEX('Room Info'!$A$2:$A2446, MATCH(B756,'Room Info'!$D$2:$D2446, 0)),IF(G756='Room Info'!$E$1, INDEX('Room Info'!$A$2:$A2446, MATCH(B756,'Room Info'!$E$2:$E2446, 0)),IF(G756='Room Info'!$F$1, INDEX('Room Info'!$A$2:$A2446, MATCH(B756,'Room Info'!$F$2:$F2446, 0)),IF(G756='Room Info'!$H$1, INDEX('Room Info'!$A$2:$A2446, MATCH(B756,'Room Info'!$H$2:$H2446, 0)),IF(G756='Room Info'!$G$1, INDEX('Room Info'!$A$2:$A2446, MATCH(B756,'Room Info'!$G$2:$G2446, 0)))))))))</f>
        <v>Ekx444</v>
      </c>
      <c r="B756" s="45" t="s">
        <v>169</v>
      </c>
      <c r="C756" s="46">
        <v>44916</v>
      </c>
      <c r="D756" s="46">
        <v>44946</v>
      </c>
      <c r="E756" s="47">
        <v>44927</v>
      </c>
      <c r="F756" s="48" t="s">
        <v>34</v>
      </c>
      <c r="G756" s="45" t="s">
        <v>35</v>
      </c>
      <c r="H756" s="49" t="s">
        <v>39</v>
      </c>
      <c r="I756" s="49" t="s">
        <v>37</v>
      </c>
      <c r="J756" s="50">
        <v>5</v>
      </c>
      <c r="K756" s="51">
        <v>4</v>
      </c>
      <c r="L756" s="52">
        <v>-10</v>
      </c>
      <c r="M756" s="53">
        <v>1</v>
      </c>
      <c r="N756" s="28">
        <f>K756*J756</f>
        <v>20</v>
      </c>
      <c r="O756" s="54">
        <v>-521</v>
      </c>
      <c r="P756" s="29">
        <v>-130.25</v>
      </c>
      <c r="Q756" s="55"/>
      <c r="R756" s="31">
        <f>M756+Q756</f>
        <v>1</v>
      </c>
      <c r="S756" s="56">
        <v>-6</v>
      </c>
      <c r="T756" s="32">
        <f>R756+S756+IF(F756="Without EV deal",L756,0)</f>
        <v>-5</v>
      </c>
      <c r="U756" s="57">
        <v>1</v>
      </c>
      <c r="V756" s="58"/>
      <c r="W756" s="58"/>
      <c r="X756" s="78">
        <v>0.3</v>
      </c>
      <c r="Y756" s="30">
        <f>IF(AG756="None",0,IF(AG756="Fix5",0.05, IF(AG756="Fix6.25",0.0625,IF(AG756="Fix3.75",0.0375,IF(AG756="Fix10",0.1,IF(AG756="Fix3",0.03,0))))))</f>
        <v>0</v>
      </c>
      <c r="Z756" s="35">
        <f>T756-AA756-AB756</f>
        <v>-3.5</v>
      </c>
      <c r="AA756" s="29">
        <f>IF(AD756="EUR",((T756-R756)*X756)*U756+(R756*X756),(T756*X756))</f>
        <v>-1.5</v>
      </c>
      <c r="AB756" s="36">
        <f>IF(AD756="EUR",((T756-R756)*Y756)*U756+(R756*Y756),(T756*Y756))</f>
        <v>0</v>
      </c>
      <c r="AC756" s="37" t="b">
        <v>1</v>
      </c>
      <c r="AD756" s="37" t="s">
        <v>38</v>
      </c>
      <c r="AE756" s="37" t="s">
        <v>38</v>
      </c>
      <c r="AF756" s="37" t="str">
        <f t="array" ref="AF756">INDEX('Deal Info'!D:D, MATCH(A756,'Deal Info'!A:A, 0))</f>
        <v>DoEV</v>
      </c>
      <c r="AG756" s="38" t="str">
        <f t="array" ref="AG756">INDEX('Deal Info'!G:G, MATCH(A756,'Deal Info'!A:A, 0))</f>
        <v>None</v>
      </c>
    </row>
    <row r="757" spans="1:33" ht="14.25" hidden="1" x14ac:dyDescent="0.2">
      <c r="A757" s="18" t="str">
        <f t="array" ref="A757">IF(G757='Room Info'!$B$1, INDEX('Room Info'!$A$2:$A2446, MATCH(B757,'Room Info'!$B$2:$B2446, 0)),IF(G757='Room Info'!$C$1, INDEX('Room Info'!$A$2:$A2446, MATCH(B757,'Room Info'!$C$2:$C2446, 0)),IF(G757='Room Info'!$D$1, INDEX('Room Info'!$A$2:$A2446, MATCH(B757,'Room Info'!$D$2:$D2446, 0)),IF(G757='Room Info'!$E$1, INDEX('Room Info'!$A$2:$A2446, MATCH(B757,'Room Info'!$E$2:$E2446, 0)),IF(G757='Room Info'!$F$1, INDEX('Room Info'!$A$2:$A2446, MATCH(B757,'Room Info'!$F$2:$F2446, 0)),IF(G757='Room Info'!$H$1, INDEX('Room Info'!$A$2:$A2446, MATCH(B757,'Room Info'!$H$2:$H2446, 0)),IF(G757='Room Info'!$G$1, INDEX('Room Info'!$A$2:$A2446, MATCH(B757,'Room Info'!$G$2:$G2446, 0)))))))))</f>
        <v>Ekx444</v>
      </c>
      <c r="B757" s="45" t="s">
        <v>169</v>
      </c>
      <c r="C757" s="46">
        <v>44916</v>
      </c>
      <c r="D757" s="46">
        <v>44946</v>
      </c>
      <c r="E757" s="47">
        <v>44927</v>
      </c>
      <c r="F757" s="48" t="s">
        <v>34</v>
      </c>
      <c r="G757" s="45" t="s">
        <v>35</v>
      </c>
      <c r="H757" s="49" t="s">
        <v>40</v>
      </c>
      <c r="I757" s="49" t="s">
        <v>37</v>
      </c>
      <c r="J757" s="50">
        <v>10</v>
      </c>
      <c r="K757" s="51">
        <v>1421</v>
      </c>
      <c r="L757" s="52">
        <v>40</v>
      </c>
      <c r="M757" s="53">
        <v>653</v>
      </c>
      <c r="N757" s="28">
        <f>K757*J757</f>
        <v>14210</v>
      </c>
      <c r="O757" s="54">
        <v>70804</v>
      </c>
      <c r="P757" s="29">
        <v>49.826882480000002</v>
      </c>
      <c r="Q757" s="55"/>
      <c r="R757" s="31">
        <f>M757+Q757</f>
        <v>653</v>
      </c>
      <c r="S757" s="56">
        <v>275</v>
      </c>
      <c r="T757" s="32">
        <f>R757+S757+IF(F757="Without EV deal",L757,0)</f>
        <v>928</v>
      </c>
      <c r="U757" s="57">
        <v>1</v>
      </c>
      <c r="V757" s="58"/>
      <c r="W757" s="58"/>
      <c r="X757" s="78">
        <v>0.3</v>
      </c>
      <c r="Y757" s="30">
        <f>IF(AG757="None",0,IF(AG757="Fix5",0.05, IF(AG757="Fix6.25",0.0625,IF(AG757="Fix3.75",0.0375,IF(AG757="Fix10",0.1,IF(AG757="Fix3",0.03,0))))))</f>
        <v>0</v>
      </c>
      <c r="Z757" s="35">
        <f>T757-AA757-AB757</f>
        <v>649.6</v>
      </c>
      <c r="AA757" s="29">
        <f>IF(AD757="EUR",((T757-R757)*X757)*U757+(R757*X757),(T757*X757))</f>
        <v>278.39999999999998</v>
      </c>
      <c r="AB757" s="36">
        <f>IF(AD757="EUR",((T757-R757)*Y757)*U757+(R757*Y757),(T757*Y757))</f>
        <v>0</v>
      </c>
      <c r="AC757" s="37" t="b">
        <v>1</v>
      </c>
      <c r="AD757" s="37" t="s">
        <v>38</v>
      </c>
      <c r="AE757" s="37" t="s">
        <v>38</v>
      </c>
      <c r="AF757" s="37" t="str">
        <f t="array" ref="AF757">INDEX('Deal Info'!D:D, MATCH(A757,'Deal Info'!A:A, 0))</f>
        <v>DoEV</v>
      </c>
      <c r="AG757" s="38" t="str">
        <f t="array" ref="AG757">INDEX('Deal Info'!G:G, MATCH(A757,'Deal Info'!A:A, 0))</f>
        <v>None</v>
      </c>
    </row>
    <row r="758" spans="1:33" ht="14.25" hidden="1" x14ac:dyDescent="0.2">
      <c r="A758" s="18" t="str">
        <f t="array" ref="A758">IF(G758='Room Info'!$B$1, INDEX('Room Info'!$A$2:$A2446, MATCH(B758,'Room Info'!$B$2:$B2446, 0)),IF(G758='Room Info'!$C$1, INDEX('Room Info'!$A$2:$A2446, MATCH(B758,'Room Info'!$C$2:$C2446, 0)),IF(G758='Room Info'!$D$1, INDEX('Room Info'!$A$2:$A2446, MATCH(B758,'Room Info'!$D$2:$D2446, 0)),IF(G758='Room Info'!$E$1, INDEX('Room Info'!$A$2:$A2446, MATCH(B758,'Room Info'!$E$2:$E2446, 0)),IF(G758='Room Info'!$F$1, INDEX('Room Info'!$A$2:$A2446, MATCH(B758,'Room Info'!$F$2:$F2446, 0)),IF(G758='Room Info'!$H$1, INDEX('Room Info'!$A$2:$A2446, MATCH(B758,'Room Info'!$H$2:$H2446, 0)),IF(G758='Room Info'!$G$1, INDEX('Room Info'!$A$2:$A2446, MATCH(B758,'Room Info'!$G$2:$G2446, 0)))))))))</f>
        <v>Ekx444</v>
      </c>
      <c r="B758" s="45" t="s">
        <v>169</v>
      </c>
      <c r="C758" s="46">
        <v>44916</v>
      </c>
      <c r="D758" s="46">
        <v>44946</v>
      </c>
      <c r="E758" s="47">
        <v>44927</v>
      </c>
      <c r="F758" s="48" t="s">
        <v>34</v>
      </c>
      <c r="G758" s="45" t="s">
        <v>35</v>
      </c>
      <c r="H758" s="49" t="s">
        <v>46</v>
      </c>
      <c r="I758" s="49" t="s">
        <v>37</v>
      </c>
      <c r="J758" s="50">
        <v>25</v>
      </c>
      <c r="K758" s="51">
        <v>2900</v>
      </c>
      <c r="L758" s="52">
        <v>-375</v>
      </c>
      <c r="M758" s="53">
        <v>2858</v>
      </c>
      <c r="N758" s="28">
        <f>K758*J758</f>
        <v>72500</v>
      </c>
      <c r="O758" s="54">
        <v>105017</v>
      </c>
      <c r="P758" s="29">
        <v>36.212758620000002</v>
      </c>
      <c r="Q758" s="55"/>
      <c r="R758" s="31">
        <f>M758+Q758</f>
        <v>2858</v>
      </c>
      <c r="S758" s="56">
        <v>368</v>
      </c>
      <c r="T758" s="32">
        <f>R758+S758+IF(F758="Without EV deal",L758,0)</f>
        <v>3226</v>
      </c>
      <c r="U758" s="57">
        <v>1</v>
      </c>
      <c r="V758" s="58"/>
      <c r="W758" s="58"/>
      <c r="X758" s="78">
        <v>0.3</v>
      </c>
      <c r="Y758" s="30">
        <f>IF(AG758="None",0,IF(AG758="Fix5",0.05, IF(AG758="Fix6.25",0.0625,IF(AG758="Fix3.75",0.0375,IF(AG758="Fix10",0.1,IF(AG758="Fix3",0.03,0))))))</f>
        <v>0</v>
      </c>
      <c r="Z758" s="35">
        <f>T758-AA758-AB758</f>
        <v>2258.1999999999998</v>
      </c>
      <c r="AA758" s="29">
        <f>IF(AD758="EUR",((T758-R758)*X758)*U758+(R758*X758),(T758*X758))</f>
        <v>967.8</v>
      </c>
      <c r="AB758" s="36">
        <f>IF(AD758="EUR",((T758-R758)*Y758)*U758+(R758*Y758),(T758*Y758))</f>
        <v>0</v>
      </c>
      <c r="AC758" s="37" t="b">
        <v>1</v>
      </c>
      <c r="AD758" s="37" t="s">
        <v>38</v>
      </c>
      <c r="AE758" s="37" t="s">
        <v>38</v>
      </c>
      <c r="AF758" s="37" t="str">
        <f t="array" ref="AF758">INDEX('Deal Info'!D:D, MATCH(A758,'Deal Info'!A:A, 0))</f>
        <v>DoEV</v>
      </c>
      <c r="AG758" s="38" t="str">
        <f t="array" ref="AG758">INDEX('Deal Info'!G:G, MATCH(A758,'Deal Info'!A:A, 0))</f>
        <v>None</v>
      </c>
    </row>
    <row r="759" spans="1:33" ht="14.25" hidden="1" x14ac:dyDescent="0.2">
      <c r="A759" s="18" t="str">
        <f t="array" ref="A759">IF(G759='Room Info'!$B$1, INDEX('Room Info'!$A$2:$A2446, MATCH(B759,'Room Info'!$B$2:$B2446, 0)),IF(G759='Room Info'!$C$1, INDEX('Room Info'!$A$2:$A2446, MATCH(B759,'Room Info'!$C$2:$C2446, 0)),IF(G759='Room Info'!$D$1, INDEX('Room Info'!$A$2:$A2446, MATCH(B759,'Room Info'!$D$2:$D2446, 0)),IF(G759='Room Info'!$E$1, INDEX('Room Info'!$A$2:$A2446, MATCH(B759,'Room Info'!$E$2:$E2446, 0)),IF(G759='Room Info'!$F$1, INDEX('Room Info'!$A$2:$A2446, MATCH(B759,'Room Info'!$F$2:$F2446, 0)),IF(G759='Room Info'!$H$1, INDEX('Room Info'!$A$2:$A2446, MATCH(B759,'Room Info'!$H$2:$H2446, 0)),IF(G759='Room Info'!$G$1, INDEX('Room Info'!$A$2:$A2446, MATCH(B759,'Room Info'!$G$2:$G2446, 0)))))))))</f>
        <v>Ekx444</v>
      </c>
      <c r="B759" s="45" t="s">
        <v>169</v>
      </c>
      <c r="C759" s="46">
        <v>44916</v>
      </c>
      <c r="D759" s="46">
        <v>44946</v>
      </c>
      <c r="E759" s="47">
        <v>44927</v>
      </c>
      <c r="F759" s="48" t="s">
        <v>34</v>
      </c>
      <c r="G759" s="45" t="s">
        <v>35</v>
      </c>
      <c r="H759" s="49" t="s">
        <v>72</v>
      </c>
      <c r="I759" s="49" t="s">
        <v>37</v>
      </c>
      <c r="J759" s="50">
        <v>50</v>
      </c>
      <c r="K759" s="51">
        <v>930</v>
      </c>
      <c r="L759" s="52">
        <v>-7750</v>
      </c>
      <c r="M759" s="53">
        <v>1833</v>
      </c>
      <c r="N759" s="28">
        <f>K759*J759</f>
        <v>46500</v>
      </c>
      <c r="O759" s="54">
        <v>-20402</v>
      </c>
      <c r="P759" s="29">
        <v>-21.937634410000001</v>
      </c>
      <c r="Q759" s="55"/>
      <c r="R759" s="31">
        <f>M759+Q759</f>
        <v>1833</v>
      </c>
      <c r="S759" s="56">
        <v>-4778</v>
      </c>
      <c r="T759" s="32">
        <f>R759+S759+IF(F759="Without EV deal",L759,0)</f>
        <v>-2945</v>
      </c>
      <c r="U759" s="57">
        <v>1</v>
      </c>
      <c r="V759" s="58"/>
      <c r="W759" s="58"/>
      <c r="X759" s="78">
        <v>0.3</v>
      </c>
      <c r="Y759" s="30">
        <f>IF(AG759="None",0,IF(AG759="Fix5",0.05, IF(AG759="Fix6.25",0.0625,IF(AG759="Fix3.75",0.0375,IF(AG759="Fix10",0.1,IF(AG759="Fix3",0.03,0))))))</f>
        <v>0</v>
      </c>
      <c r="Z759" s="35">
        <f>T759-AA759-AB759</f>
        <v>-2061.5</v>
      </c>
      <c r="AA759" s="29">
        <f>IF(AD759="EUR",((T759-R759)*X759)*U759+(R759*X759),(T759*X759))</f>
        <v>-883.5</v>
      </c>
      <c r="AB759" s="36">
        <f>IF(AD759="EUR",((T759-R759)*Y759)*U759+(R759*Y759),(T759*Y759))</f>
        <v>0</v>
      </c>
      <c r="AC759" s="37" t="b">
        <v>1</v>
      </c>
      <c r="AD759" s="37" t="s">
        <v>38</v>
      </c>
      <c r="AE759" s="37" t="s">
        <v>38</v>
      </c>
      <c r="AF759" s="37" t="str">
        <f t="array" ref="AF759">INDEX('Deal Info'!D:D, MATCH(A759,'Deal Info'!A:A, 0))</f>
        <v>DoEV</v>
      </c>
      <c r="AG759" s="38" t="str">
        <f t="array" ref="AG759">INDEX('Deal Info'!G:G, MATCH(A759,'Deal Info'!A:A, 0))</f>
        <v>None</v>
      </c>
    </row>
    <row r="760" spans="1:33" ht="14.25" hidden="1" x14ac:dyDescent="0.2">
      <c r="A760" s="18" t="str">
        <f t="array" ref="A760">IF(G760='Room Info'!$B$1, INDEX('Room Info'!$A$2:$A2446, MATCH(B760,'Room Info'!$B$2:$B2446, 0)),IF(G760='Room Info'!$C$1, INDEX('Room Info'!$A$2:$A2446, MATCH(B760,'Room Info'!$C$2:$C2446, 0)),IF(G760='Room Info'!$D$1, INDEX('Room Info'!$A$2:$A2446, MATCH(B760,'Room Info'!$D$2:$D2446, 0)),IF(G760='Room Info'!$E$1, INDEX('Room Info'!$A$2:$A2446, MATCH(B760,'Room Info'!$E$2:$E2446, 0)),IF(G760='Room Info'!$F$1, INDEX('Room Info'!$A$2:$A2446, MATCH(B760,'Room Info'!$F$2:$F2446, 0)),IF(G760='Room Info'!$H$1, INDEX('Room Info'!$A$2:$A2446, MATCH(B760,'Room Info'!$H$2:$H2446, 0)),IF(G760='Room Info'!$G$1, INDEX('Room Info'!$A$2:$A2446, MATCH(B760,'Room Info'!$G$2:$G2446, 0)))))))))</f>
        <v>Farodit</v>
      </c>
      <c r="B760" s="45" t="s">
        <v>170</v>
      </c>
      <c r="C760" s="46">
        <v>44825</v>
      </c>
      <c r="D760" s="46">
        <v>44854</v>
      </c>
      <c r="E760" s="47">
        <v>44835</v>
      </c>
      <c r="F760" s="48" t="s">
        <v>34</v>
      </c>
      <c r="G760" s="54" t="s">
        <v>35</v>
      </c>
      <c r="H760" s="49" t="s">
        <v>40</v>
      </c>
      <c r="I760" s="49" t="s">
        <v>37</v>
      </c>
      <c r="J760" s="50">
        <v>10</v>
      </c>
      <c r="K760" s="51">
        <v>23</v>
      </c>
      <c r="L760" s="52">
        <v>-40</v>
      </c>
      <c r="M760" s="53">
        <v>6</v>
      </c>
      <c r="N760" s="28">
        <f>K760*J760</f>
        <v>230</v>
      </c>
      <c r="O760" s="54">
        <v>863</v>
      </c>
      <c r="P760" s="29">
        <v>37.52173913</v>
      </c>
      <c r="Q760" s="55"/>
      <c r="R760" s="31">
        <f>M760+Q760</f>
        <v>6</v>
      </c>
      <c r="S760" s="56">
        <v>-11</v>
      </c>
      <c r="T760" s="32">
        <f>R760+S760+IF(F760="Without EV deal",L760,0)</f>
        <v>-5</v>
      </c>
      <c r="U760" s="57">
        <v>1</v>
      </c>
      <c r="V760" s="58"/>
      <c r="W760" s="58"/>
      <c r="X760" s="78">
        <v>0.17</v>
      </c>
      <c r="Y760" s="30">
        <f>IF(AG760="None",0,IF(AG760="Fix5",0.05, IF(AG760="Fix6.25",0.0625,IF(AG760="Fix3.75",0.0375,IF(AG760="Fix10",0.1,IF(AG760="Fix3",0.03,0))))))</f>
        <v>0</v>
      </c>
      <c r="Z760" s="35">
        <f>T760-AA760-AB760</f>
        <v>-4.1500000000000004</v>
      </c>
      <c r="AA760" s="29">
        <f>IF(AD760="EUR",((T760-R760)*X760)*U760+(R760*X760),(T760*X760))</f>
        <v>-0.85000000000000009</v>
      </c>
      <c r="AB760" s="36">
        <f>IF(AD760="EUR",((T760-R760)*Y760)*U760+(R760*Y760),(T760*Y760))</f>
        <v>0</v>
      </c>
      <c r="AC760" s="37" t="b">
        <v>1</v>
      </c>
      <c r="AD760" s="37" t="s">
        <v>38</v>
      </c>
      <c r="AE760" s="37" t="s">
        <v>38</v>
      </c>
      <c r="AF760" s="37" t="str">
        <f t="array" ref="AF760">INDEX('Deal Info'!D:D, MATCH(A760,'Deal Info'!A:A, 0))</f>
        <v>DoEV</v>
      </c>
      <c r="AG760" s="38" t="str">
        <f t="array" ref="AG760">INDEX('Deal Info'!G:G, MATCH(A760,'Deal Info'!A:A, 0))</f>
        <v>None</v>
      </c>
    </row>
    <row r="761" spans="1:33" ht="14.25" hidden="1" x14ac:dyDescent="0.2">
      <c r="A761" s="18" t="str">
        <f t="array" ref="A761">IF(G761='Room Info'!$B$1, INDEX('Room Info'!$A$2:$A2446, MATCH(B761,'Room Info'!$B$2:$B2446, 0)),IF(G761='Room Info'!$C$1, INDEX('Room Info'!$A$2:$A2446, MATCH(B761,'Room Info'!$C$2:$C2446, 0)),IF(G761='Room Info'!$D$1, INDEX('Room Info'!$A$2:$A2446, MATCH(B761,'Room Info'!$D$2:$D2446, 0)),IF(G761='Room Info'!$E$1, INDEX('Room Info'!$A$2:$A2446, MATCH(B761,'Room Info'!$E$2:$E2446, 0)),IF(G761='Room Info'!$F$1, INDEX('Room Info'!$A$2:$A2446, MATCH(B761,'Room Info'!$F$2:$F2446, 0)),IF(G761='Room Info'!$H$1, INDEX('Room Info'!$A$2:$A2446, MATCH(B761,'Room Info'!$H$2:$H2446, 0)),IF(G761='Room Info'!$G$1, INDEX('Room Info'!$A$2:$A2446, MATCH(B761,'Room Info'!$G$2:$G2446, 0)))))))))</f>
        <v>Farodit</v>
      </c>
      <c r="B761" s="45" t="s">
        <v>170</v>
      </c>
      <c r="C761" s="46">
        <v>44825</v>
      </c>
      <c r="D761" s="46">
        <v>44854</v>
      </c>
      <c r="E761" s="47">
        <v>44835</v>
      </c>
      <c r="F761" s="48" t="s">
        <v>34</v>
      </c>
      <c r="G761" s="54" t="s">
        <v>35</v>
      </c>
      <c r="H761" s="49" t="s">
        <v>46</v>
      </c>
      <c r="I761" s="49" t="s">
        <v>37</v>
      </c>
      <c r="J761" s="50">
        <v>25</v>
      </c>
      <c r="K761" s="51">
        <v>1502</v>
      </c>
      <c r="L761" s="52">
        <v>2250</v>
      </c>
      <c r="M761" s="53">
        <v>893</v>
      </c>
      <c r="N761" s="28">
        <f>K761*J761</f>
        <v>37550</v>
      </c>
      <c r="O761" s="54">
        <v>70542</v>
      </c>
      <c r="P761" s="29">
        <v>46.965379489999997</v>
      </c>
      <c r="Q761" s="55"/>
      <c r="R761" s="31">
        <f>M761+Q761</f>
        <v>893</v>
      </c>
      <c r="S761" s="56">
        <v>861</v>
      </c>
      <c r="T761" s="32">
        <f>R761+S761+IF(F761="Without EV deal",L761,0)</f>
        <v>1754</v>
      </c>
      <c r="U761" s="57">
        <v>1</v>
      </c>
      <c r="V761" s="58"/>
      <c r="W761" s="58"/>
      <c r="X761" s="78">
        <v>0.17</v>
      </c>
      <c r="Y761" s="30">
        <f>IF(AG761="None",0,IF(AG761="Fix5",0.05, IF(AG761="Fix6.25",0.0625,IF(AG761="Fix3.75",0.0375,IF(AG761="Fix10",0.1,IF(AG761="Fix3",0.03,0))))))</f>
        <v>0</v>
      </c>
      <c r="Z761" s="35">
        <f>T761-AA761-AB761</f>
        <v>1455.82</v>
      </c>
      <c r="AA761" s="29">
        <f>IF(AD761="EUR",((T761-R761)*X761)*U761+(R761*X761),(T761*X761))</f>
        <v>298.18</v>
      </c>
      <c r="AB761" s="36">
        <f>IF(AD761="EUR",((T761-R761)*Y761)*U761+(R761*Y761),(T761*Y761))</f>
        <v>0</v>
      </c>
      <c r="AC761" s="37" t="b">
        <v>1</v>
      </c>
      <c r="AD761" s="37" t="s">
        <v>38</v>
      </c>
      <c r="AE761" s="37" t="s">
        <v>38</v>
      </c>
      <c r="AF761" s="37" t="str">
        <f t="array" ref="AF761">INDEX('Deal Info'!D:D, MATCH(A761,'Deal Info'!A:A, 0))</f>
        <v>DoEV</v>
      </c>
      <c r="AG761" s="38" t="str">
        <f t="array" ref="AG761">INDEX('Deal Info'!G:G, MATCH(A761,'Deal Info'!A:A, 0))</f>
        <v>None</v>
      </c>
    </row>
    <row r="762" spans="1:33" ht="14.25" hidden="1" x14ac:dyDescent="0.2">
      <c r="A762" s="18" t="str">
        <f t="array" ref="A762">IF(G762='Room Info'!$B$1, INDEX('Room Info'!$A$2:$A2446, MATCH(B762,'Room Info'!$B$2:$B2446, 0)),IF(G762='Room Info'!$C$1, INDEX('Room Info'!$A$2:$A2446, MATCH(B762,'Room Info'!$C$2:$C2446, 0)),IF(G762='Room Info'!$D$1, INDEX('Room Info'!$A$2:$A2446, MATCH(B762,'Room Info'!$D$2:$D2446, 0)),IF(G762='Room Info'!$E$1, INDEX('Room Info'!$A$2:$A2446, MATCH(B762,'Room Info'!$E$2:$E2446, 0)),IF(G762='Room Info'!$F$1, INDEX('Room Info'!$A$2:$A2446, MATCH(B762,'Room Info'!$F$2:$F2446, 0)),IF(G762='Room Info'!$H$1, INDEX('Room Info'!$A$2:$A2446, MATCH(B762,'Room Info'!$H$2:$H2446, 0)),IF(G762='Room Info'!$G$1, INDEX('Room Info'!$A$2:$A2446, MATCH(B762,'Room Info'!$G$2:$G2446, 0)))))))))</f>
        <v>Farodit</v>
      </c>
      <c r="B762" s="45" t="s">
        <v>171</v>
      </c>
      <c r="C762" s="46">
        <v>44825</v>
      </c>
      <c r="D762" s="46">
        <v>44854</v>
      </c>
      <c r="E762" s="47">
        <v>44835</v>
      </c>
      <c r="F762" s="48" t="s">
        <v>34</v>
      </c>
      <c r="G762" s="54" t="s">
        <v>165</v>
      </c>
      <c r="H762" s="49" t="s">
        <v>166</v>
      </c>
      <c r="I762" s="49" t="s">
        <v>37</v>
      </c>
      <c r="J762" s="50">
        <v>10</v>
      </c>
      <c r="K762" s="51">
        <v>574</v>
      </c>
      <c r="L762" s="52">
        <v>350</v>
      </c>
      <c r="M762" s="62"/>
      <c r="N762" s="28">
        <f>K762*J762</f>
        <v>5740</v>
      </c>
      <c r="O762" s="54">
        <v>37687</v>
      </c>
      <c r="P762" s="29">
        <v>65.656794430000005</v>
      </c>
      <c r="Q762" s="55"/>
      <c r="R762" s="31">
        <f>M762+Q762</f>
        <v>0</v>
      </c>
      <c r="S762" s="56">
        <v>257</v>
      </c>
      <c r="T762" s="32">
        <f>R762+S762+IF(F762="Without EV deal",L762,0)</f>
        <v>257</v>
      </c>
      <c r="U762" s="57">
        <v>1.024</v>
      </c>
      <c r="V762" s="58"/>
      <c r="W762" s="58"/>
      <c r="X762" s="78">
        <v>0.17</v>
      </c>
      <c r="Y762" s="30">
        <f>IF(AG762="None",0,IF(AG762="Fix5",0.05, IF(AG762="Fix6.25",0.0625,IF(AG762="Fix3.75",0.0375,IF(AG762="Fix10",0.1,IF(AG762="Fix3",0.03,0))))))</f>
        <v>0</v>
      </c>
      <c r="Z762" s="35">
        <f>T762-AA762-AB762</f>
        <v>213.31</v>
      </c>
      <c r="AA762" s="29">
        <f>IF(AD762="EUR",((T762-R762)*X762)*U762+(R762*X762),(T762*X762))</f>
        <v>43.690000000000005</v>
      </c>
      <c r="AB762" s="36">
        <f>IF(AD762="EUR",((T762-R762)*Y762)*U762+(R762*Y762),(T762*Y762))</f>
        <v>0</v>
      </c>
      <c r="AC762" s="37" t="b">
        <v>1</v>
      </c>
      <c r="AD762" s="37" t="s">
        <v>38</v>
      </c>
      <c r="AE762" s="37" t="s">
        <v>38</v>
      </c>
      <c r="AF762" s="37" t="str">
        <f t="array" ref="AF762">INDEX('Deal Info'!D:D, MATCH(A762,'Deal Info'!A:A, 0))</f>
        <v>DoEV</v>
      </c>
      <c r="AG762" s="38" t="str">
        <f t="array" ref="AG762">INDEX('Deal Info'!G:G, MATCH(A762,'Deal Info'!A:A, 0))</f>
        <v>None</v>
      </c>
    </row>
    <row r="763" spans="1:33" ht="14.25" hidden="1" x14ac:dyDescent="0.2">
      <c r="A763" s="18" t="str">
        <f t="array" ref="A763">IF(G763='Room Info'!$B$1, INDEX('Room Info'!$A$2:$A2446, MATCH(B763,'Room Info'!$B$2:$B2446, 0)),IF(G763='Room Info'!$C$1, INDEX('Room Info'!$A$2:$A2446, MATCH(B763,'Room Info'!$C$2:$C2446, 0)),IF(G763='Room Info'!$D$1, INDEX('Room Info'!$A$2:$A2446, MATCH(B763,'Room Info'!$D$2:$D2446, 0)),IF(G763='Room Info'!$E$1, INDEX('Room Info'!$A$2:$A2446, MATCH(B763,'Room Info'!$E$2:$E2446, 0)),IF(G763='Room Info'!$F$1, INDEX('Room Info'!$A$2:$A2446, MATCH(B763,'Room Info'!$F$2:$F2446, 0)),IF(G763='Room Info'!$H$1, INDEX('Room Info'!$A$2:$A2446, MATCH(B763,'Room Info'!$H$2:$H2446, 0)),IF(G763='Room Info'!$G$1, INDEX('Room Info'!$A$2:$A2446, MATCH(B763,'Room Info'!$G$2:$G2446, 0)))))))))</f>
        <v>Farodit</v>
      </c>
      <c r="B763" s="45" t="s">
        <v>170</v>
      </c>
      <c r="C763" s="46">
        <v>44855</v>
      </c>
      <c r="D763" s="46">
        <v>44885</v>
      </c>
      <c r="E763" s="47">
        <v>44866</v>
      </c>
      <c r="F763" s="48" t="s">
        <v>34</v>
      </c>
      <c r="G763" s="54" t="s">
        <v>35</v>
      </c>
      <c r="H763" s="49" t="s">
        <v>46</v>
      </c>
      <c r="I763" s="49" t="s">
        <v>37</v>
      </c>
      <c r="J763" s="50">
        <v>25</v>
      </c>
      <c r="K763" s="51">
        <v>1665</v>
      </c>
      <c r="L763" s="52">
        <v>-625</v>
      </c>
      <c r="M763" s="53">
        <v>774</v>
      </c>
      <c r="N763" s="28">
        <f>K763*J763</f>
        <v>41625</v>
      </c>
      <c r="O763" s="54">
        <v>45283</v>
      </c>
      <c r="P763" s="29">
        <v>27.196997</v>
      </c>
      <c r="Q763" s="55"/>
      <c r="R763" s="31">
        <f>M763+Q763</f>
        <v>774</v>
      </c>
      <c r="S763" s="56">
        <v>-628</v>
      </c>
      <c r="T763" s="32">
        <f>R763+S763+IF(F763="Without EV deal",L763,0)</f>
        <v>146</v>
      </c>
      <c r="U763" s="57">
        <v>1</v>
      </c>
      <c r="V763" s="58"/>
      <c r="W763" s="58"/>
      <c r="X763" s="78">
        <v>0.3</v>
      </c>
      <c r="Y763" s="30">
        <f>IF(AG763="None",0,IF(AG763="Fix5",0.05, IF(AG763="Fix6.25",0.0625,IF(AG763="Fix3.75",0.0375,IF(AG763="Fix10",0.1,IF(AG763="Fix3",0.03,0))))))</f>
        <v>0</v>
      </c>
      <c r="Z763" s="35">
        <f>T763-AA763-AB763</f>
        <v>102.2</v>
      </c>
      <c r="AA763" s="29">
        <f>IF(AD763="EUR",((T763-R763)*X763)*U763+(R763*X763),(T763*X763))</f>
        <v>43.8</v>
      </c>
      <c r="AB763" s="36">
        <f>IF(AD763="EUR",((T763-R763)*Y763)*U763+(R763*Y763),(T763*Y763))</f>
        <v>0</v>
      </c>
      <c r="AC763" s="37" t="b">
        <v>1</v>
      </c>
      <c r="AD763" s="37" t="s">
        <v>38</v>
      </c>
      <c r="AE763" s="37" t="s">
        <v>38</v>
      </c>
      <c r="AF763" s="37" t="str">
        <f t="array" ref="AF763">INDEX('Deal Info'!D:D, MATCH(A763,'Deal Info'!A:A, 0))</f>
        <v>DoEV</v>
      </c>
      <c r="AG763" s="38" t="str">
        <f t="array" ref="AG763">INDEX('Deal Info'!G:G, MATCH(A763,'Deal Info'!A:A, 0))</f>
        <v>None</v>
      </c>
    </row>
    <row r="764" spans="1:33" ht="28.5" hidden="1" x14ac:dyDescent="0.2">
      <c r="A764" s="18" t="str">
        <f t="array" ref="A764">IF(G764='Room Info'!$B$1, INDEX('Room Info'!$A$2:$A2446, MATCH(B764,'Room Info'!$B$2:$B2446, 0)),IF(G764='Room Info'!$C$1, INDEX('Room Info'!$A$2:$A2446, MATCH(B764,'Room Info'!$C$2:$C2446, 0)),IF(G764='Room Info'!$D$1, INDEX('Room Info'!$A$2:$A2446, MATCH(B764,'Room Info'!$D$2:$D2446, 0)),IF(G764='Room Info'!$E$1, INDEX('Room Info'!$A$2:$A2446, MATCH(B764,'Room Info'!$E$2:$E2446, 0)),IF(G764='Room Info'!$F$1, INDEX('Room Info'!$A$2:$A2446, MATCH(B764,'Room Info'!$F$2:$F2446, 0)),IF(G764='Room Info'!$H$1, INDEX('Room Info'!$A$2:$A2446, MATCH(B764,'Room Info'!$H$2:$H2446, 0)),IF(G764='Room Info'!$G$1, INDEX('Room Info'!$A$2:$A2446, MATCH(B764,'Room Info'!$G$2:$G2446, 0)))))))))</f>
        <v>Farodit</v>
      </c>
      <c r="B764" s="54" t="s">
        <v>171</v>
      </c>
      <c r="C764" s="77">
        <v>44855</v>
      </c>
      <c r="D764" s="77">
        <v>44885</v>
      </c>
      <c r="E764" s="47">
        <v>44866</v>
      </c>
      <c r="F764" s="45" t="s">
        <v>34</v>
      </c>
      <c r="G764" s="54" t="s">
        <v>165</v>
      </c>
      <c r="H764" s="49" t="s">
        <v>166</v>
      </c>
      <c r="I764" s="49" t="s">
        <v>37</v>
      </c>
      <c r="J764" s="50">
        <v>10</v>
      </c>
      <c r="K764" s="51">
        <v>868</v>
      </c>
      <c r="L764" s="52">
        <v>560</v>
      </c>
      <c r="M764" s="62"/>
      <c r="N764" s="28">
        <f>K764*J764</f>
        <v>8680</v>
      </c>
      <c r="O764" s="54">
        <v>57388</v>
      </c>
      <c r="P764" s="29">
        <v>66.115207369999993</v>
      </c>
      <c r="Q764" s="55"/>
      <c r="R764" s="31">
        <f>M764+Q764</f>
        <v>0</v>
      </c>
      <c r="S764" s="56">
        <v>397</v>
      </c>
      <c r="T764" s="32">
        <f>R764+S764+IF(F764="Without EV deal",L764,0)</f>
        <v>397</v>
      </c>
      <c r="U764" s="57">
        <v>1.028</v>
      </c>
      <c r="V764" s="58"/>
      <c r="W764" s="58"/>
      <c r="X764" s="78">
        <v>0.3</v>
      </c>
      <c r="Y764" s="30">
        <f>IF(AG764="None",0,IF(AG764="Fix5",0.05, IF(AG764="Fix6.25",0.0625,IF(AG764="Fix3.75",0.0375,IF(AG764="Fix10",0.1,IF(AG764="Fix3",0.03,0))))))</f>
        <v>0</v>
      </c>
      <c r="Z764" s="35">
        <f>T764-AA764-AB764</f>
        <v>277.89999999999998</v>
      </c>
      <c r="AA764" s="29">
        <f>IF(AD764="EUR",((T764-R764)*X764)*U764+(R764*X764),(T764*X764))</f>
        <v>119.1</v>
      </c>
      <c r="AB764" s="36">
        <f>IF(AD764="EUR",((T764-R764)*Y764)*U764+(R764*Y764),(T764*Y764))</f>
        <v>0</v>
      </c>
      <c r="AC764" s="37" t="b">
        <v>1</v>
      </c>
      <c r="AD764" s="37" t="s">
        <v>38</v>
      </c>
      <c r="AE764" s="37" t="s">
        <v>38</v>
      </c>
      <c r="AF764" s="37" t="str">
        <f t="array" ref="AF764">INDEX('Deal Info'!D:D, MATCH(A764,'Deal Info'!A:A, 0))</f>
        <v>DoEV</v>
      </c>
      <c r="AG764" s="38" t="str">
        <f t="array" ref="AG764">INDEX('Deal Info'!G:G, MATCH(A764,'Deal Info'!A:A, 0))</f>
        <v>None</v>
      </c>
    </row>
    <row r="765" spans="1:33" ht="14.25" hidden="1" x14ac:dyDescent="0.2">
      <c r="A765" s="18" t="str">
        <f t="array" ref="A765">IF(G765='Room Info'!$B$1, INDEX('Room Info'!$A$2:$A2446, MATCH(B765,'Room Info'!$B$2:$B2446, 0)),IF(G765='Room Info'!$C$1, INDEX('Room Info'!$A$2:$A2446, MATCH(B765,'Room Info'!$C$2:$C2446, 0)),IF(G765='Room Info'!$D$1, INDEX('Room Info'!$A$2:$A2446, MATCH(B765,'Room Info'!$D$2:$D2446, 0)),IF(G765='Room Info'!$E$1, INDEX('Room Info'!$A$2:$A2446, MATCH(B765,'Room Info'!$E$2:$E2446, 0)),IF(G765='Room Info'!$F$1, INDEX('Room Info'!$A$2:$A2446, MATCH(B765,'Room Info'!$F$2:$F2446, 0)),IF(G765='Room Info'!$H$1, INDEX('Room Info'!$A$2:$A2446, MATCH(B765,'Room Info'!$H$2:$H2446, 0)),IF(G765='Room Info'!$G$1, INDEX('Room Info'!$A$2:$A2446, MATCH(B765,'Room Info'!$G$2:$G2446, 0)))))))))</f>
        <v>Farodit</v>
      </c>
      <c r="B765" s="45" t="s">
        <v>170</v>
      </c>
      <c r="C765" s="46">
        <v>44855</v>
      </c>
      <c r="D765" s="46">
        <v>44885</v>
      </c>
      <c r="E765" s="47">
        <v>44866</v>
      </c>
      <c r="F765" s="48" t="s">
        <v>41</v>
      </c>
      <c r="G765" s="45" t="s">
        <v>35</v>
      </c>
      <c r="H765" s="49" t="s">
        <v>39</v>
      </c>
      <c r="I765" s="49" t="s">
        <v>37</v>
      </c>
      <c r="J765" s="50">
        <v>5</v>
      </c>
      <c r="K765" s="51">
        <v>5</v>
      </c>
      <c r="L765" s="52">
        <v>15</v>
      </c>
      <c r="M765" s="53">
        <v>1</v>
      </c>
      <c r="N765" s="28">
        <f>K765*J765</f>
        <v>25</v>
      </c>
      <c r="O765" s="65"/>
      <c r="P765" s="29">
        <v>0</v>
      </c>
      <c r="Q765" s="55"/>
      <c r="R765" s="31">
        <f>M765+Q765</f>
        <v>1</v>
      </c>
      <c r="S765" s="66"/>
      <c r="T765" s="32">
        <f>R765+S765+IF(F765="Without EV deal",L765,0)</f>
        <v>16</v>
      </c>
      <c r="U765" s="57">
        <v>1</v>
      </c>
      <c r="V765" s="58"/>
      <c r="W765" s="58"/>
      <c r="X765" s="78">
        <v>0.3</v>
      </c>
      <c r="Y765" s="30">
        <f>IF(AG765="None",0,IF(AG765="Fix5",0.05, IF(AG765="Fix6.25",0.0625,IF(AG765="Fix3.75",0.0375,IF(AG765="Fix10",0.1,IF(AG765="Fix3",0.03,0))))))</f>
        <v>0</v>
      </c>
      <c r="Z765" s="35">
        <f>T765-AA765-AB765</f>
        <v>11.2</v>
      </c>
      <c r="AA765" s="29">
        <f>IF(AD765="EUR",((T765-R765)*X765)*U765+(R765*X765),(T765*X765))</f>
        <v>4.8</v>
      </c>
      <c r="AB765" s="36">
        <f>IF(AD765="EUR",((T765-R765)*Y765)*U765+(R765*Y765),(T765*Y765))</f>
        <v>0</v>
      </c>
      <c r="AC765" s="37" t="b">
        <v>1</v>
      </c>
      <c r="AD765" s="37" t="s">
        <v>38</v>
      </c>
      <c r="AE765" s="37" t="s">
        <v>38</v>
      </c>
      <c r="AF765" s="37" t="str">
        <f t="array" ref="AF765">INDEX('Deal Info'!D:D, MATCH(A765,'Deal Info'!A:A, 0))</f>
        <v>DoEV</v>
      </c>
      <c r="AG765" s="38" t="str">
        <f t="array" ref="AG765">INDEX('Deal Info'!G:G, MATCH(A765,'Deal Info'!A:A, 0))</f>
        <v>None</v>
      </c>
    </row>
    <row r="766" spans="1:33" ht="14.25" hidden="1" x14ac:dyDescent="0.2">
      <c r="A766" s="18" t="str">
        <f t="array" ref="A766">IF(G766='Room Info'!$B$1, INDEX('Room Info'!$A$2:$A2446, MATCH(B766,'Room Info'!$B$2:$B2446, 0)),IF(G766='Room Info'!$C$1, INDEX('Room Info'!$A$2:$A2446, MATCH(B766,'Room Info'!$C$2:$C2446, 0)),IF(G766='Room Info'!$D$1, INDEX('Room Info'!$A$2:$A2446, MATCH(B766,'Room Info'!$D$2:$D2446, 0)),IF(G766='Room Info'!$E$1, INDEX('Room Info'!$A$2:$A2446, MATCH(B766,'Room Info'!$E$2:$E2446, 0)),IF(G766='Room Info'!$F$1, INDEX('Room Info'!$A$2:$A2446, MATCH(B766,'Room Info'!$F$2:$F2446, 0)),IF(G766='Room Info'!$H$1, INDEX('Room Info'!$A$2:$A2446, MATCH(B766,'Room Info'!$H$2:$H2446, 0)),IF(G766='Room Info'!$G$1, INDEX('Room Info'!$A$2:$A2446, MATCH(B766,'Room Info'!$G$2:$G2446, 0)))))))))</f>
        <v>Farodit</v>
      </c>
      <c r="B766" s="45" t="s">
        <v>170</v>
      </c>
      <c r="C766" s="46">
        <v>44855</v>
      </c>
      <c r="D766" s="46">
        <v>44885</v>
      </c>
      <c r="E766" s="47">
        <v>44866</v>
      </c>
      <c r="F766" s="48" t="s">
        <v>41</v>
      </c>
      <c r="G766" s="45" t="s">
        <v>35</v>
      </c>
      <c r="H766" s="49" t="s">
        <v>87</v>
      </c>
      <c r="I766" s="49" t="s">
        <v>44</v>
      </c>
      <c r="J766" s="50">
        <v>25</v>
      </c>
      <c r="K766" s="51">
        <v>1</v>
      </c>
      <c r="L766" s="52">
        <v>-25</v>
      </c>
      <c r="M766" s="62"/>
      <c r="N766" s="28">
        <f>K766*J766</f>
        <v>25</v>
      </c>
      <c r="O766" s="65"/>
      <c r="P766" s="29">
        <v>0</v>
      </c>
      <c r="Q766" s="55"/>
      <c r="R766" s="31">
        <f>M766+Q766</f>
        <v>0</v>
      </c>
      <c r="S766" s="66"/>
      <c r="T766" s="32">
        <f>R766+S766+IF(F766="Without EV deal",L766,0)</f>
        <v>-25</v>
      </c>
      <c r="U766" s="57">
        <v>1</v>
      </c>
      <c r="V766" s="58"/>
      <c r="W766" s="58"/>
      <c r="X766" s="78">
        <v>0.3</v>
      </c>
      <c r="Y766" s="30">
        <f>IF(AG766="None",0,IF(AG766="Fix5",0.05, IF(AG766="Fix6.25",0.0625,IF(AG766="Fix3.75",0.0375,IF(AG766="Fix10",0.1,IF(AG766="Fix3",0.03,0))))))</f>
        <v>0</v>
      </c>
      <c r="Z766" s="35">
        <f>T766-AA766-AB766</f>
        <v>-17.5</v>
      </c>
      <c r="AA766" s="29">
        <f>IF(AD766="EUR",((T766-R766)*X766)*U766+(R766*X766),(T766*X766))</f>
        <v>-7.5</v>
      </c>
      <c r="AB766" s="36">
        <f>IF(AD766="EUR",((T766-R766)*Y766)*U766+(R766*Y766),(T766*Y766))</f>
        <v>0</v>
      </c>
      <c r="AC766" s="37" t="b">
        <v>1</v>
      </c>
      <c r="AD766" s="37" t="s">
        <v>38</v>
      </c>
      <c r="AE766" s="37" t="s">
        <v>38</v>
      </c>
      <c r="AF766" s="37" t="str">
        <f t="array" ref="AF766">INDEX('Deal Info'!D:D, MATCH(A766,'Deal Info'!A:A, 0))</f>
        <v>DoEV</v>
      </c>
      <c r="AG766" s="38" t="str">
        <f t="array" ref="AG766">INDEX('Deal Info'!G:G, MATCH(A766,'Deal Info'!A:A, 0))</f>
        <v>None</v>
      </c>
    </row>
    <row r="767" spans="1:33" ht="14.25" hidden="1" x14ac:dyDescent="0.2">
      <c r="A767" s="18" t="str">
        <f t="array" ref="A767">IF(G767='Room Info'!$B$1, INDEX('Room Info'!$A$2:$A2446, MATCH(B767,'Room Info'!$B$2:$B2446, 0)),IF(G767='Room Info'!$C$1, INDEX('Room Info'!$A$2:$A2446, MATCH(B767,'Room Info'!$C$2:$C2446, 0)),IF(G767='Room Info'!$D$1, INDEX('Room Info'!$A$2:$A2446, MATCH(B767,'Room Info'!$D$2:$D2446, 0)),IF(G767='Room Info'!$E$1, INDEX('Room Info'!$A$2:$A2446, MATCH(B767,'Room Info'!$E$2:$E2446, 0)),IF(G767='Room Info'!$F$1, INDEX('Room Info'!$A$2:$A2446, MATCH(B767,'Room Info'!$F$2:$F2446, 0)),IF(G767='Room Info'!$H$1, INDEX('Room Info'!$A$2:$A2446, MATCH(B767,'Room Info'!$H$2:$H2446, 0)),IF(G767='Room Info'!$G$1, INDEX('Room Info'!$A$2:$A2446, MATCH(B767,'Room Info'!$G$2:$G2446, 0)))))))))</f>
        <v>Farodit</v>
      </c>
      <c r="B767" s="45" t="s">
        <v>170</v>
      </c>
      <c r="C767" s="46">
        <v>44886</v>
      </c>
      <c r="D767" s="46">
        <v>44915</v>
      </c>
      <c r="E767" s="47">
        <v>44896</v>
      </c>
      <c r="F767" s="48" t="s">
        <v>34</v>
      </c>
      <c r="G767" s="45" t="s">
        <v>35</v>
      </c>
      <c r="H767" s="49" t="s">
        <v>46</v>
      </c>
      <c r="I767" s="49" t="s">
        <v>37</v>
      </c>
      <c r="J767" s="50">
        <v>25</v>
      </c>
      <c r="K767" s="51">
        <v>1125</v>
      </c>
      <c r="L767" s="52">
        <v>1175</v>
      </c>
      <c r="M767" s="53">
        <v>375</v>
      </c>
      <c r="N767" s="28">
        <f>K767*J767</f>
        <v>28125</v>
      </c>
      <c r="O767" s="54">
        <v>67985</v>
      </c>
      <c r="P767" s="29">
        <v>60.431111110000003</v>
      </c>
      <c r="Q767" s="55"/>
      <c r="R767" s="31">
        <f>M767+Q767</f>
        <v>375</v>
      </c>
      <c r="S767" s="56">
        <v>1357</v>
      </c>
      <c r="T767" s="32">
        <f>R767+S767+IF(F767="Without EV deal",L767,0)</f>
        <v>1732</v>
      </c>
      <c r="U767" s="57">
        <v>1</v>
      </c>
      <c r="V767" s="58"/>
      <c r="W767" s="58"/>
      <c r="X767" s="78">
        <v>0.17</v>
      </c>
      <c r="Y767" s="30">
        <f>IF(AG767="None",0,IF(AG767="Fix5",0.05, IF(AG767="Fix6.25",0.0625,IF(AG767="Fix3.75",0.0375,IF(AG767="Fix10",0.1,IF(AG767="Fix3",0.03,0))))))</f>
        <v>0</v>
      </c>
      <c r="Z767" s="35">
        <f>T767-AA767-AB767</f>
        <v>1437.56</v>
      </c>
      <c r="AA767" s="29">
        <f>IF(AD767="EUR",((T767-R767)*X767)*U767+(R767*X767),(T767*X767))</f>
        <v>294.44</v>
      </c>
      <c r="AB767" s="36">
        <f>IF(AD767="EUR",((T767-R767)*Y767)*U767+(R767*Y767),(T767*Y767))</f>
        <v>0</v>
      </c>
      <c r="AC767" s="37" t="b">
        <v>1</v>
      </c>
      <c r="AD767" s="37" t="s">
        <v>38</v>
      </c>
      <c r="AE767" s="37" t="s">
        <v>38</v>
      </c>
      <c r="AF767" s="37" t="str">
        <f t="array" ref="AF767">INDEX('Deal Info'!D:D, MATCH(A767,'Deal Info'!A:A, 0))</f>
        <v>DoEV</v>
      </c>
      <c r="AG767" s="38" t="str">
        <f t="array" ref="AG767">INDEX('Deal Info'!G:G, MATCH(A767,'Deal Info'!A:A, 0))</f>
        <v>None</v>
      </c>
    </row>
    <row r="768" spans="1:33" ht="14.25" hidden="1" x14ac:dyDescent="0.2">
      <c r="A768" s="18" t="str">
        <f t="array" ref="A768">IF(G768='Room Info'!$B$1, INDEX('Room Info'!$A$2:$A2446, MATCH(B768,'Room Info'!$B$2:$B2446, 0)),IF(G768='Room Info'!$C$1, INDEX('Room Info'!$A$2:$A2446, MATCH(B768,'Room Info'!$C$2:$C2446, 0)),IF(G768='Room Info'!$D$1, INDEX('Room Info'!$A$2:$A2446, MATCH(B768,'Room Info'!$D$2:$D2446, 0)),IF(G768='Room Info'!$E$1, INDEX('Room Info'!$A$2:$A2446, MATCH(B768,'Room Info'!$E$2:$E2446, 0)),IF(G768='Room Info'!$F$1, INDEX('Room Info'!$A$2:$A2446, MATCH(B768,'Room Info'!$F$2:$F2446, 0)),IF(G768='Room Info'!$H$1, INDEX('Room Info'!$A$2:$A2446, MATCH(B768,'Room Info'!$H$2:$H2446, 0)),IF(G768='Room Info'!$G$1, INDEX('Room Info'!$A$2:$A2446, MATCH(B768,'Room Info'!$G$2:$G2446, 0)))))))))</f>
        <v>Farodit</v>
      </c>
      <c r="B768" s="45" t="s">
        <v>171</v>
      </c>
      <c r="C768" s="77">
        <v>44886</v>
      </c>
      <c r="D768" s="77">
        <v>44915</v>
      </c>
      <c r="E768" s="47">
        <v>44896</v>
      </c>
      <c r="F768" s="48" t="s">
        <v>34</v>
      </c>
      <c r="G768" s="45" t="s">
        <v>165</v>
      </c>
      <c r="H768" s="49" t="s">
        <v>166</v>
      </c>
      <c r="I768" s="49" t="s">
        <v>37</v>
      </c>
      <c r="J768" s="74">
        <v>10</v>
      </c>
      <c r="K768" s="75">
        <v>872</v>
      </c>
      <c r="L768" s="72">
        <v>2120</v>
      </c>
      <c r="M768" s="79"/>
      <c r="N768" s="28">
        <f>K768*J768</f>
        <v>8720</v>
      </c>
      <c r="O768" s="45">
        <v>64059</v>
      </c>
      <c r="P768" s="29">
        <v>73.462155960000004</v>
      </c>
      <c r="Q768" s="55"/>
      <c r="R768" s="31">
        <f>M768+Q768</f>
        <v>0</v>
      </c>
      <c r="S768" s="73">
        <v>531</v>
      </c>
      <c r="T768" s="32">
        <f>R768+S768+IF(F768="Without EV deal",L768,0)</f>
        <v>531</v>
      </c>
      <c r="U768" s="57">
        <v>1</v>
      </c>
      <c r="V768" s="58"/>
      <c r="W768" s="58"/>
      <c r="X768" s="78">
        <v>0.17</v>
      </c>
      <c r="Y768" s="30">
        <f>IF(AG768="None",0,IF(AG768="Fix5",0.05, IF(AG768="Fix6.25",0.0625,IF(AG768="Fix3.75",0.0375,IF(AG768="Fix10",0.1,IF(AG768="Fix3",0.03,0))))))</f>
        <v>0</v>
      </c>
      <c r="Z768" s="35">
        <f>T768-AA768-AB768</f>
        <v>440.73</v>
      </c>
      <c r="AA768" s="29">
        <f>IF(AD768="EUR",((T768-R768)*X768)*U768+(R768*X768),(T768*X768))</f>
        <v>90.27000000000001</v>
      </c>
      <c r="AB768" s="36">
        <f>IF(AD768="EUR",((T768-R768)*Y768)*U768+(R768*Y768),(T768*Y768))</f>
        <v>0</v>
      </c>
      <c r="AC768" s="37" t="b">
        <v>1</v>
      </c>
      <c r="AD768" s="37" t="s">
        <v>38</v>
      </c>
      <c r="AE768" s="37" t="s">
        <v>38</v>
      </c>
      <c r="AF768" s="37" t="str">
        <f t="array" ref="AF768">INDEX('Deal Info'!D:D, MATCH(A768,'Deal Info'!A:A, 0))</f>
        <v>DoEV</v>
      </c>
      <c r="AG768" s="38" t="str">
        <f t="array" ref="AG768">INDEX('Deal Info'!G:G, MATCH(A768,'Deal Info'!A:A, 0))</f>
        <v>None</v>
      </c>
    </row>
    <row r="769" spans="1:33" ht="14.25" hidden="1" x14ac:dyDescent="0.2">
      <c r="A769" s="18" t="str">
        <f t="array" ref="A769">IF(G769='Room Info'!$B$1, INDEX('Room Info'!$A$2:$A2446, MATCH(B769,'Room Info'!$B$2:$B2446, 0)),IF(G769='Room Info'!$C$1, INDEX('Room Info'!$A$2:$A2446, MATCH(B769,'Room Info'!$C$2:$C2446, 0)),IF(G769='Room Info'!$D$1, INDEX('Room Info'!$A$2:$A2446, MATCH(B769,'Room Info'!$D$2:$D2446, 0)),IF(G769='Room Info'!$E$1, INDEX('Room Info'!$A$2:$A2446, MATCH(B769,'Room Info'!$E$2:$E2446, 0)),IF(G769='Room Info'!$F$1, INDEX('Room Info'!$A$2:$A2446, MATCH(B769,'Room Info'!$F$2:$F2446, 0)),IF(G769='Room Info'!$H$1, INDEX('Room Info'!$A$2:$A2446, MATCH(B769,'Room Info'!$H$2:$H2446, 0)),IF(G769='Room Info'!$G$1, INDEX('Room Info'!$A$2:$A2446, MATCH(B769,'Room Info'!$G$2:$G2446, 0)))))))))</f>
        <v>Farodit</v>
      </c>
      <c r="B769" s="45" t="s">
        <v>170</v>
      </c>
      <c r="C769" s="77">
        <v>44916</v>
      </c>
      <c r="D769" s="77">
        <v>44946</v>
      </c>
      <c r="E769" s="47">
        <v>44927</v>
      </c>
      <c r="F769" s="48" t="s">
        <v>34</v>
      </c>
      <c r="G769" s="45" t="s">
        <v>35</v>
      </c>
      <c r="H769" s="49" t="s">
        <v>40</v>
      </c>
      <c r="I769" s="49" t="s">
        <v>37</v>
      </c>
      <c r="J769" s="74">
        <v>10</v>
      </c>
      <c r="K769" s="75">
        <v>241</v>
      </c>
      <c r="L769" s="72">
        <v>-90</v>
      </c>
      <c r="M769" s="76">
        <v>86</v>
      </c>
      <c r="N769" s="28">
        <f>K769*J769</f>
        <v>2410</v>
      </c>
      <c r="O769" s="45">
        <v>9442</v>
      </c>
      <c r="P769" s="29">
        <v>39.178423240000001</v>
      </c>
      <c r="Q769" s="55"/>
      <c r="R769" s="31">
        <f>M769+Q769</f>
        <v>86</v>
      </c>
      <c r="S769" s="73">
        <v>-3</v>
      </c>
      <c r="T769" s="32">
        <f>R769+S769+IF(F769="Without EV deal",L769,0)</f>
        <v>83</v>
      </c>
      <c r="U769" s="57">
        <v>1</v>
      </c>
      <c r="V769" s="58"/>
      <c r="W769" s="58"/>
      <c r="X769" s="78">
        <v>0.23</v>
      </c>
      <c r="Y769" s="30">
        <f>IF(AG769="None",0,IF(AG769="Fix5",0.05, IF(AG769="Fix6.25",0.0625,IF(AG769="Fix3.75",0.0375,IF(AG769="Fix10",0.1,IF(AG769="Fix3",0.03,0))))))</f>
        <v>0</v>
      </c>
      <c r="Z769" s="35">
        <f>T769-AA769-AB769</f>
        <v>63.91</v>
      </c>
      <c r="AA769" s="29">
        <f>IF(AD769="EUR",((T769-R769)*X769)*U769+(R769*X769),(T769*X769))</f>
        <v>19.09</v>
      </c>
      <c r="AB769" s="36">
        <f>IF(AD769="EUR",((T769-R769)*Y769)*U769+(R769*Y769),(T769*Y769))</f>
        <v>0</v>
      </c>
      <c r="AC769" s="37" t="b">
        <v>1</v>
      </c>
      <c r="AD769" s="37" t="s">
        <v>38</v>
      </c>
      <c r="AE769" s="37" t="s">
        <v>38</v>
      </c>
      <c r="AF769" s="37" t="str">
        <f t="array" ref="AF769">INDEX('Deal Info'!D:D, MATCH(A769,'Deal Info'!A:A, 0))</f>
        <v>DoEV</v>
      </c>
      <c r="AG769" s="38" t="str">
        <f t="array" ref="AG769">INDEX('Deal Info'!G:G, MATCH(A769,'Deal Info'!A:A, 0))</f>
        <v>None</v>
      </c>
    </row>
    <row r="770" spans="1:33" ht="14.25" hidden="1" x14ac:dyDescent="0.2">
      <c r="A770" s="18" t="str">
        <f t="array" ref="A770">IF(G770='Room Info'!$B$1, INDEX('Room Info'!$A$2:$A2446, MATCH(B770,'Room Info'!$B$2:$B2446, 0)),IF(G770='Room Info'!$C$1, INDEX('Room Info'!$A$2:$A2446, MATCH(B770,'Room Info'!$C$2:$C2446, 0)),IF(G770='Room Info'!$D$1, INDEX('Room Info'!$A$2:$A2446, MATCH(B770,'Room Info'!$D$2:$D2446, 0)),IF(G770='Room Info'!$E$1, INDEX('Room Info'!$A$2:$A2446, MATCH(B770,'Room Info'!$E$2:$E2446, 0)),IF(G770='Room Info'!$F$1, INDEX('Room Info'!$A$2:$A2446, MATCH(B770,'Room Info'!$F$2:$F2446, 0)),IF(G770='Room Info'!$H$1, INDEX('Room Info'!$A$2:$A2446, MATCH(B770,'Room Info'!$H$2:$H2446, 0)),IF(G770='Room Info'!$G$1, INDEX('Room Info'!$A$2:$A2446, MATCH(B770,'Room Info'!$G$2:$G2446, 0)))))))))</f>
        <v>Farodit</v>
      </c>
      <c r="B770" s="45" t="s">
        <v>170</v>
      </c>
      <c r="C770" s="77">
        <v>44916</v>
      </c>
      <c r="D770" s="77">
        <v>44946</v>
      </c>
      <c r="E770" s="47">
        <v>44927</v>
      </c>
      <c r="F770" s="48" t="s">
        <v>34</v>
      </c>
      <c r="G770" s="54" t="s">
        <v>35</v>
      </c>
      <c r="H770" s="49" t="s">
        <v>46</v>
      </c>
      <c r="I770" s="49" t="s">
        <v>37</v>
      </c>
      <c r="J770" s="50">
        <v>25</v>
      </c>
      <c r="K770" s="51">
        <v>539</v>
      </c>
      <c r="L770" s="52">
        <v>-175</v>
      </c>
      <c r="M770" s="53">
        <v>413</v>
      </c>
      <c r="N770" s="28">
        <f>K770*J770</f>
        <v>13475</v>
      </c>
      <c r="O770" s="54">
        <v>18652</v>
      </c>
      <c r="P770" s="29">
        <v>34.604823750000001</v>
      </c>
      <c r="Q770" s="55"/>
      <c r="R770" s="31">
        <f>M770+Q770</f>
        <v>413</v>
      </c>
      <c r="S770" s="56">
        <v>17</v>
      </c>
      <c r="T770" s="32">
        <f>R770+S770+IF(F770="Without EV deal",L770,0)</f>
        <v>430</v>
      </c>
      <c r="U770" s="57">
        <v>1</v>
      </c>
      <c r="V770" s="58"/>
      <c r="W770" s="58"/>
      <c r="X770" s="78">
        <v>0.23</v>
      </c>
      <c r="Y770" s="30">
        <f>IF(AG770="None",0,IF(AG770="Fix5",0.05, IF(AG770="Fix6.25",0.0625,IF(AG770="Fix3.75",0.0375,IF(AG770="Fix10",0.1,IF(AG770="Fix3",0.03,0))))))</f>
        <v>0</v>
      </c>
      <c r="Z770" s="35">
        <f>T770-AA770-AB770</f>
        <v>331.1</v>
      </c>
      <c r="AA770" s="29">
        <f>IF(AD770="EUR",((T770-R770)*X770)*U770+(R770*X770),(T770*X770))</f>
        <v>98.9</v>
      </c>
      <c r="AB770" s="36">
        <f>IF(AD770="EUR",((T770-R770)*Y770)*U770+(R770*Y770),(T770*Y770))</f>
        <v>0</v>
      </c>
      <c r="AC770" s="37" t="b">
        <v>1</v>
      </c>
      <c r="AD770" s="37" t="s">
        <v>38</v>
      </c>
      <c r="AE770" s="37" t="s">
        <v>38</v>
      </c>
      <c r="AF770" s="37" t="str">
        <f t="array" ref="AF770">INDEX('Deal Info'!D:D, MATCH(A770,'Deal Info'!A:A, 0))</f>
        <v>DoEV</v>
      </c>
      <c r="AG770" s="38" t="str">
        <f t="array" ref="AG770">INDEX('Deal Info'!G:G, MATCH(A770,'Deal Info'!A:A, 0))</f>
        <v>None</v>
      </c>
    </row>
    <row r="771" spans="1:33" ht="14.25" hidden="1" x14ac:dyDescent="0.2">
      <c r="A771" s="18" t="str">
        <f t="array" ref="A771">IF(G771='Room Info'!$B$1, INDEX('Room Info'!$A$2:$A2446, MATCH(B771,'Room Info'!$B$2:$B2446, 0)),IF(G771='Room Info'!$C$1, INDEX('Room Info'!$A$2:$A2446, MATCH(B771,'Room Info'!$C$2:$C2446, 0)),IF(G771='Room Info'!$D$1, INDEX('Room Info'!$A$2:$A2446, MATCH(B771,'Room Info'!$D$2:$D2446, 0)),IF(G771='Room Info'!$E$1, INDEX('Room Info'!$A$2:$A2446, MATCH(B771,'Room Info'!$E$2:$E2446, 0)),IF(G771='Room Info'!$F$1, INDEX('Room Info'!$A$2:$A2446, MATCH(B771,'Room Info'!$F$2:$F2446, 0)),IF(G771='Room Info'!$H$1, INDEX('Room Info'!$A$2:$A2446, MATCH(B771,'Room Info'!$H$2:$H2446, 0)),IF(G771='Room Info'!$G$1, INDEX('Room Info'!$A$2:$A2446, MATCH(B771,'Room Info'!$G$2:$G2446, 0)))))))))</f>
        <v>Farodit</v>
      </c>
      <c r="B771" s="45" t="s">
        <v>171</v>
      </c>
      <c r="C771" s="77">
        <v>44916</v>
      </c>
      <c r="D771" s="77">
        <v>44946</v>
      </c>
      <c r="E771" s="47">
        <v>44927</v>
      </c>
      <c r="F771" s="48" t="s">
        <v>34</v>
      </c>
      <c r="G771" s="54" t="s">
        <v>165</v>
      </c>
      <c r="H771" s="49" t="s">
        <v>166</v>
      </c>
      <c r="I771" s="49" t="s">
        <v>37</v>
      </c>
      <c r="J771" s="50">
        <v>10</v>
      </c>
      <c r="K771" s="51">
        <v>51</v>
      </c>
      <c r="L771" s="52">
        <v>40</v>
      </c>
      <c r="M771" s="62"/>
      <c r="N771" s="28">
        <f>K771*J771</f>
        <v>510</v>
      </c>
      <c r="O771" s="54">
        <v>3693</v>
      </c>
      <c r="P771" s="29">
        <v>72.41176471</v>
      </c>
      <c r="Q771" s="55"/>
      <c r="R771" s="31">
        <f>M771+Q771</f>
        <v>0</v>
      </c>
      <c r="S771" s="56">
        <v>31</v>
      </c>
      <c r="T771" s="32">
        <f>R771+S771+IF(F771="Without EV deal",L771,0)</f>
        <v>31</v>
      </c>
      <c r="U771" s="57">
        <v>1.0860000000000001</v>
      </c>
      <c r="V771" s="58"/>
      <c r="W771" s="58"/>
      <c r="X771" s="78">
        <v>0.23</v>
      </c>
      <c r="Y771" s="30">
        <f>IF(AG771="None",0,IF(AG771="Fix5",0.05, IF(AG771="Fix6.25",0.0625,IF(AG771="Fix3.75",0.0375,IF(AG771="Fix10",0.1,IF(AG771="Fix3",0.03,0))))))</f>
        <v>0</v>
      </c>
      <c r="Z771" s="35">
        <f>T771-AA771-AB771</f>
        <v>23.87</v>
      </c>
      <c r="AA771" s="29">
        <f>IF(AD771="EUR",((T771-R771)*X771)*U771+(R771*X771),(T771*X771))</f>
        <v>7.13</v>
      </c>
      <c r="AB771" s="36">
        <f>IF(AD771="EUR",((T771-R771)*Y771)*U771+(R771*Y771),(T771*Y771))</f>
        <v>0</v>
      </c>
      <c r="AC771" s="37" t="b">
        <v>1</v>
      </c>
      <c r="AD771" s="37" t="s">
        <v>38</v>
      </c>
      <c r="AE771" s="37" t="s">
        <v>38</v>
      </c>
      <c r="AF771" s="37" t="str">
        <f t="array" ref="AF771">INDEX('Deal Info'!D:D, MATCH(A771,'Deal Info'!A:A, 0))</f>
        <v>DoEV</v>
      </c>
      <c r="AG771" s="38" t="str">
        <f t="array" ref="AG771">INDEX('Deal Info'!G:G, MATCH(A771,'Deal Info'!A:A, 0))</f>
        <v>None</v>
      </c>
    </row>
    <row r="772" spans="1:33" ht="14.25" hidden="1" x14ac:dyDescent="0.2">
      <c r="A772" s="18" t="str">
        <f t="array" ref="A772">IF(G772='Room Info'!$B$1, INDEX('Room Info'!$A$2:$A2446, MATCH(B772,'Room Info'!$B$2:$B2446, 0)),IF(G772='Room Info'!$C$1, INDEX('Room Info'!$A$2:$A2446, MATCH(B772,'Room Info'!$C$2:$C2446, 0)),IF(G772='Room Info'!$D$1, INDEX('Room Info'!$A$2:$A2446, MATCH(B772,'Room Info'!$D$2:$D2446, 0)),IF(G772='Room Info'!$E$1, INDEX('Room Info'!$A$2:$A2446, MATCH(B772,'Room Info'!$E$2:$E2446, 0)),IF(G772='Room Info'!$F$1, INDEX('Room Info'!$A$2:$A2446, MATCH(B772,'Room Info'!$F$2:$F2446, 0)),IF(G772='Room Info'!$H$1, INDEX('Room Info'!$A$2:$A2446, MATCH(B772,'Room Info'!$H$2:$H2446, 0)),IF(G772='Room Info'!$G$1, INDEX('Room Info'!$A$2:$A2446, MATCH(B772,'Room Info'!$G$2:$G2446, 0)))))))))</f>
        <v>Farodit</v>
      </c>
      <c r="B772" s="45" t="s">
        <v>171</v>
      </c>
      <c r="C772" s="77">
        <v>44916</v>
      </c>
      <c r="D772" s="77">
        <v>44946</v>
      </c>
      <c r="E772" s="47">
        <v>44927</v>
      </c>
      <c r="F772" s="48" t="s">
        <v>34</v>
      </c>
      <c r="G772" s="45" t="s">
        <v>165</v>
      </c>
      <c r="H772" s="49" t="s">
        <v>167</v>
      </c>
      <c r="I772" s="49" t="s">
        <v>37</v>
      </c>
      <c r="J772" s="74">
        <v>25</v>
      </c>
      <c r="K772" s="75">
        <v>1582</v>
      </c>
      <c r="L772" s="72">
        <v>-25</v>
      </c>
      <c r="M772" s="79"/>
      <c r="N772" s="28">
        <f>K772*J772</f>
        <v>39550</v>
      </c>
      <c r="O772" s="45">
        <v>86923</v>
      </c>
      <c r="P772" s="29">
        <v>54.945006319999997</v>
      </c>
      <c r="Q772" s="55"/>
      <c r="R772" s="31">
        <f>M772+Q772</f>
        <v>0</v>
      </c>
      <c r="S772" s="73">
        <v>1099</v>
      </c>
      <c r="T772" s="32">
        <f>R772+S772+IF(F772="Without EV deal",L772,0)</f>
        <v>1099</v>
      </c>
      <c r="U772" s="57">
        <v>1.0860000000000001</v>
      </c>
      <c r="V772" s="58"/>
      <c r="W772" s="58"/>
      <c r="X772" s="78">
        <v>0.23</v>
      </c>
      <c r="Y772" s="30">
        <f>IF(AG772="None",0,IF(AG772="Fix5",0.05, IF(AG772="Fix6.25",0.0625,IF(AG772="Fix3.75",0.0375,IF(AG772="Fix10",0.1,IF(AG772="Fix3",0.03,0))))))</f>
        <v>0</v>
      </c>
      <c r="Z772" s="35">
        <f>T772-AA772-AB772</f>
        <v>846.23</v>
      </c>
      <c r="AA772" s="29">
        <f>IF(AD772="EUR",((T772-R772)*X772)*U772+(R772*X772),(T772*X772))</f>
        <v>252.77</v>
      </c>
      <c r="AB772" s="36">
        <f>IF(AD772="EUR",((T772-R772)*Y772)*U772+(R772*Y772),(T772*Y772))</f>
        <v>0</v>
      </c>
      <c r="AC772" s="37" t="b">
        <v>1</v>
      </c>
      <c r="AD772" s="37" t="s">
        <v>38</v>
      </c>
      <c r="AE772" s="37" t="s">
        <v>38</v>
      </c>
      <c r="AF772" s="37" t="str">
        <f t="array" ref="AF772">INDEX('Deal Info'!D:D, MATCH(A772,'Deal Info'!A:A, 0))</f>
        <v>DoEV</v>
      </c>
      <c r="AG772" s="38" t="str">
        <f t="array" ref="AG772">INDEX('Deal Info'!G:G, MATCH(A772,'Deal Info'!A:A, 0))</f>
        <v>None</v>
      </c>
    </row>
    <row r="773" spans="1:33" ht="14.25" hidden="1" x14ac:dyDescent="0.2">
      <c r="A773" s="18" t="str">
        <f t="array" ref="A773">IF(G773='Room Info'!$B$1, INDEX('Room Info'!$A$2:$A2446, MATCH(B773,'Room Info'!$B$2:$B2446, 0)),IF(G773='Room Info'!$C$1, INDEX('Room Info'!$A$2:$A2446, MATCH(B773,'Room Info'!$C$2:$C2446, 0)),IF(G773='Room Info'!$D$1, INDEX('Room Info'!$A$2:$A2446, MATCH(B773,'Room Info'!$D$2:$D2446, 0)),IF(G773='Room Info'!$E$1, INDEX('Room Info'!$A$2:$A2446, MATCH(B773,'Room Info'!$E$2:$E2446, 0)),IF(G773='Room Info'!$F$1, INDEX('Room Info'!$A$2:$A2446, MATCH(B773,'Room Info'!$F$2:$F2446, 0)),IF(G773='Room Info'!$H$1, INDEX('Room Info'!$A$2:$A2446, MATCH(B773,'Room Info'!$H$2:$H2446, 0)),IF(G773='Room Info'!$G$1, INDEX('Room Info'!$A$2:$A2446, MATCH(B773,'Room Info'!$G$2:$G2446, 0)))))))))</f>
        <v>fig6</v>
      </c>
      <c r="B773" s="45" t="s">
        <v>172</v>
      </c>
      <c r="C773" s="77">
        <v>44620</v>
      </c>
      <c r="D773" s="77">
        <v>44640</v>
      </c>
      <c r="E773" s="47">
        <v>44621</v>
      </c>
      <c r="F773" s="48" t="s">
        <v>34</v>
      </c>
      <c r="G773" s="45" t="s">
        <v>35</v>
      </c>
      <c r="H773" s="49" t="s">
        <v>70</v>
      </c>
      <c r="I773" s="49" t="s">
        <v>37</v>
      </c>
      <c r="J773" s="74">
        <v>100</v>
      </c>
      <c r="K773" s="75">
        <v>3553</v>
      </c>
      <c r="L773" s="72">
        <v>-8200</v>
      </c>
      <c r="M773" s="76">
        <v>4649</v>
      </c>
      <c r="N773" s="28">
        <f>K773*J773</f>
        <v>355300</v>
      </c>
      <c r="O773" s="45">
        <v>91182</v>
      </c>
      <c r="P773" s="29">
        <v>25.663383060000001</v>
      </c>
      <c r="Q773" s="55"/>
      <c r="R773" s="31">
        <f>M773+Q773</f>
        <v>4649</v>
      </c>
      <c r="S773" s="73">
        <v>-2387</v>
      </c>
      <c r="T773" s="32">
        <f>R773+S773+IF(F773="Without EV deal",L773,0)</f>
        <v>2262</v>
      </c>
      <c r="U773" s="57">
        <v>1</v>
      </c>
      <c r="V773" s="58"/>
      <c r="W773" s="58"/>
      <c r="X773" s="30">
        <f>IF(AF773="DoEV",IF(AND(V773&lt;20,W773&lt;55),0.3,0)+IF(AND(V773&lt;20,W773&gt;=55,W773&lt;105),0.23,0)+IF(AND(V773&lt;20,W773&gt;=105),0.17,0)+IF(AND(V773&gt;=20,V773&lt;40,W773&lt;45),0.3,0)+IF(AND(V773&gt;=20,V773&lt;40,W773&gt;=45,W773&lt;95),0.23,0)+IF(AND(V773&gt;=20,V773&lt;40,W773&gt;=95),0.17,0)+IF(AND(V773&gt;=40,V773&lt;75,W773&lt;35),0.3,0)+IF(AND(V773&gt;=40,V773&lt;75,W773&gt;=35,W773&lt;75),0.23,0)+IF(AND(V773&gt;=40,V773&lt;75,W773&gt;=75,W773&lt;120),0.17,0)+IF(AND(V773&gt;=40,V773&lt;75,W773&gt;=120),0.12,0)+IF(AND(V773&gt;=75,V773&lt;175,W773&lt;35),0.3,0)+IF(AND(V773&gt;=75,V773&lt;=175,W773&gt;=35,W773&lt;65),0.23,0)+IF(AND(V773&gt;=75,V773&lt;=175,W773&gt;=65,W773&lt;110),0.17,0)+IF(AND(V773&gt;=75,V773&lt;=175,W773&gt;=110),0.12,0)+IF(AND(V773&gt;175,W773&lt;25),0.3,0)+IF(AND(V773&gt;175,W773&gt;=25,W773&lt;55),0.23,0)+IF(AND(V773&gt;175,W773&gt;=55,W773&lt;95),0.17,0)+IF(AND(V773&gt;175,W773&gt;=95),0.12,0),
IF(AF773="Fix15",0.15,
IF(AF773="Fix18.75",0.1875,
IF(AF773="Fix11.25",0.1125,
IF(AF773="Fix10",0.1,
IF(AF773="Fix9",0.09,
IF(AF773="Fix19",0.19,
IF(AF773="DoEV2017",IF(AND(W773&lt;74),0.2,0)+IF(AND(W773&gt;=74),0.17,0),
IF(AF773="SF",IF(AND(V773&lt;20,W773&lt;89),0.3,0)+IF(AND(V773&lt;20,W773&gt;=89),0.25,0)+IF(AND(V773&gt;=20,V773&lt;40,W773&lt;74),0.3,0)+IF(AND(V773&gt;=20,V773&lt;40,W773&gt;=75),0.22,0)+IF(AND(V773&gt;=40,V773&lt;75,W773&lt;75),0.26,0)+IF(AND(V773&gt;=40,V773&lt;75,W773&gt;=75),0.22,0)+IF(V773&gt;=75,0.22,0),
IF(AF773="DoEVold",IF(AND(V773&lt;40,W773&lt;35),0.35,0)+IF(AND(V773&lt;40,W773&gt;=35,W773&lt;75),0.25,0)+IF(AND(V773&lt;40,W773&gt;=75),0.17,0)+IF(AND(V773&gt;=40,V773&lt;75,W773&lt;25),0.35,0)+IF(AND(V773&gt;=40,V773&lt;75,W773&gt;=25,W773&lt;65),0.25,0)+IF(AND(V773&gt;=40,V773&lt;75,W773&gt;=65,W773&lt;100),0.17,0)+IF(AND(V773&gt;=40,V773&lt;75,W773&gt;=100),0.1,0)+IF(AND(V773&gt;=75,W773&lt;25),0.35,0)+IF(AND(V773&gt;=75,W773&gt;=25,W773&lt;60),0.25,0)+IF(AND(V773&gt;=75,W773&gt;=60,W773&lt;95),0.17,0)+IF(AND(V773&gt;=75,W773&gt;=95),0.1,0),
IF(AF773="DoEVold15",IF(AND(V773&lt;=40,W773&lt;35),0.35,0)+IF(AND(V773&lt;=40,W773&gt;=35,W773&lt;75),0.25,0)+IF(AND(V773&lt;=40,W773&gt;=75,W773&lt;120),0.17,0)+IF(AND(V773&lt;=40,W773&gt;=120),0.15,0)+IF(AND(V773&gt;40,V773&lt;75,W773&lt;25),0.35,0)+IF(AND(V773&gt;=40,V773&lt;75,W773&gt;=25,W773&lt;65),0.25,0)+IF(AND(V773&gt;=40,V773&lt;75,W773&gt;=65,W773&lt;100),0.17,0)+IF(AND(V773&gt;=40,V773&lt;75,W773&gt;=100),0.1,0)+IF(AND(V773&gt;=75,W773&lt;25),0.35,0)+IF(AND(V773&gt;=75,W773&gt;=25,W773&lt;60),0.25,0)+IF(AND(V773&gt;=75,W773&gt;=60,W773&lt;95),0.17,0)+IF(AND(V773&gt;=75,W773&gt;=95),0.1,0),
IF(AF773="DoEVba",IF(AND(V773&lt;20,W773&lt;105),0.2,0)+IF(AND(V773&lt;20,W773&gt;=105),0.15,0)+IF(AND(V773&gt;=20,V773&lt;40,W773&lt;95),0.2,0)+IF(AND(V773&gt;=20,V773&lt;40,W773&gt;=95,W773&lt;150),0.15,0)+IF(AND(V773&gt;=20,V773&lt;40,W773&gt;=150),0.12,0)+IF(AND(V773&gt;=40,V773&lt;75,W773&lt;75),0.2,0)+IF(AND(V773&gt;=40,V773&lt;75,W773&gt;=75,W773&lt;120),0.15,0)+IF(AND(V773&gt;=40,V773&lt;75,W773&gt;=120),0.12,0)+IF(AND(V773&gt;=75,V773&lt;175,W773&lt;65),0.2,0)+IF(AND(V773&gt;=75,V773&lt;175,W773&gt;=65,W773&lt;110),0.15,0)+IF(AND(V773&gt;=75,V773&lt;175,W773&gt;=110),0.12,0)+IF(AND(V773&gt;=175,W773&lt;55),0.2,0)+IF(AND(V773&gt;=175,W773&gt;=55,W773&lt;95),0.15,0)+IF(AND(V773&gt;=175,W773&gt;=95),0.12,0),
IF(AF773="DoEVku",IF(AND(V773&lt;20,W773&lt;55),0.23,0)+IF(AND(V773&lt;20,W773&gt;=55,W773&lt;105),0.2,0)+IF(AND(V773&lt;20,W773&gt;=105),0.17,0)+IF(AND(V773&gt;=20,V773&lt;40,W773&lt;45),0.23,0)+IF(AND(V773&gt;=20,V773&lt;40,W773&gt;=45,W773&lt;95),0.2,0)+IF(AND(V773&gt;=20,V773&lt;40,W773&gt;=95,W773&lt;=150),0.17,0)+IF(AND(V773&gt;=20,V773&lt;40,W773&gt;=150),0.12,0)+IF(AND(V773&gt;=40,V773&lt;75,W773&lt;35),0.23,0)+IF(AND(V773&gt;=40,V773&lt;75,W773&gt;=35,W773&lt;75),0.2,0)+IF(AND(V773&gt;=40,V773&lt;75,W773&gt;=75,W773&lt;120),0.17,0)+IF(AND(V773&gt;=40,V773&lt;75,W773&gt;=120),0.12,0)+IF(AND(V773&gt;=75,V773&lt;175,W773&lt;35),0.23,0)+IF(AND(V773&gt;=75,V773&lt;=175,W773&gt;=35,W773&lt;65),0.2,0)+IF(AND(V773&gt;=75,V773&lt;=175,W773&gt;=65,W773&lt;110),0.17,0)+IF(AND(V773&gt;=75,V773&lt;=175,W773&gt;=110),0.12,0)+IF(AND(V773&gt;175,W773&lt;25),0.23,0)+IF(AND(V773&gt;175,W773&gt;=25,W773&lt;55),0.2,0)+IF(AND(V773&gt;175,W773&gt;=55,W773&lt;95),0.17,0)+IF(AND(V773&gt;175,W773&gt;=95),0.12,0),
IF(AF773="DoEVs1",IF(AND(V773&lt;20,W773&lt;55),0.3,0)+IF(AND(V773&lt;20,W773&gt;=55,W773&lt;105),0.23,0)+IF(AND(V773&lt;20,W773&gt;=105),0.17,0)+IF(AND(V773&gt;=20,V773&lt;40,W773&lt;45),0.3,0)+IF(AND(V773&gt;=20,V773&lt;40,W773&gt;=45,W773&lt;95),0.23,0)+IF(AND(V773&gt;=20,V773&lt;40,W773&gt;=95,W773&lt;=150),0.17,0)+IF(AND(V773&gt;=20,V773&lt;40,W773&gt;=150),0.12,0)+IF(AND(V773&gt;=40,V773&lt;75,W773&lt;35),0.3,0)+IF(AND(V773&gt;=40,V773&lt;75,W773&gt;=35,W773&lt;75),0.23,0)+IF(AND(V773&gt;=40,V773&lt;75,W773&gt;=75,W773&lt;120),0.17,0)+IF(AND(V773&gt;=40,V773&lt;75,W773&gt;=120),0.12,0)+IF(AND(V773&gt;=75,V773&lt;175,W773&lt;35),0.3,0)+IF(AND(V773&gt;=75,V773&lt;=175,W773&gt;=35,W773&lt;65),0.23,0)+IF(AND(V773&gt;=75,V773&lt;=175,W773&gt;=65,W773&lt;110),0.17,0)+IF(AND(V773&gt;=75,V773&lt;=175,W773&gt;=110),0.12,0)+IF(AND(V773&gt;175,W773&lt;25),0.3,0)+IF(AND(V773&gt;175,W773&gt;=25,W773&lt;55),0.23,0)+IF(AND(V773&gt;175,W773&gt;=55,W773&lt;95),0.17,0)+IF(AND(V773&gt;175,W773&gt;=95),0.12,0),
IF(AF773="DoEVsu",IF(AND(V773&lt;20,W773&lt;55),0.3,0)+IF(AND(V773&lt;20,W773&gt;=55,W773&lt;105),0.23,0)+IF(AND(V773&lt;20,W773&gt;=105),0.17,0)+IF(AND(V773&gt;=20,V773&lt;40,W773&lt;45),0.3,0)+IF(AND(V773&gt;=20,V773&lt;40,W773&gt;=45,W773&lt;95),0.23,0)+IF(AND(V773&gt;=20,V773&lt;40,W773&gt;=95,W773&lt;=250),0.17,0)+IF(AND(V773&gt;=20,V773&lt;40,W773&gt;=250),0.12,0)+IF(AND(V773&gt;=40,V773&lt;75,W773&lt;35),0.3,0)+IF(AND(V773&gt;=40,V773&lt;75,W773&gt;=35,W773&lt;75),0.23,0)+IF(AND(V773&gt;=40,V773&lt;75,W773&gt;=75,W773&lt;120),0.17,0)+IF(AND(V773&gt;=40,V773&lt;75,W773&gt;=120),0.12,0)+IF(AND(V773&gt;=75,V773&lt;175,W773&lt;35),0.3,0)+IF(AND(V773&gt;=75,V773&lt;=175,W773&gt;=35,W773&lt;65),0.23,0)+IF(AND(V773&gt;=75,V773&lt;=175,W773&gt;=65,W773&lt;110),0.17,0)+IF(AND(V773&gt;=75,V773&lt;=175,W773&gt;=110),0.12,0)+IF(AND(V773&gt;175,W773&lt;25),0.3,0)+IF(AND(V773&gt;175,W773&gt;=25,W773&lt;55),0.23,0)+IF(AND(V773&gt;175,W773&gt;=55,W773&lt;95),0.17,0)+IF(AND(V773&gt;175,W773&gt;=95),0.12,0),
IF(AF773="DoEVni",IF(AND(V773&lt;20,W773&lt;55),0.3,0)+IF(AND(V773&lt;20,W773&gt;=55,W773&lt;105),0.23,0)+IF(AND(V773&lt;20,W773&gt;=105),0.17,0)+IF(AND(V773&gt;=20,V773&lt;40,W773&lt;45),0.3,0)+IF(AND(V773&gt;=20,V773&lt;40,W773&gt;=45,W773&lt;95),0.23,0)+IF(AND(V773&gt;=20,V773&lt;40,W773&gt;=95,W773&lt;=200),0.17,0)+IF(AND(V773&gt;=20,V773&lt;40,W773&gt;=200),0.12,0)+IF(AND(V773&gt;=40,V773&lt;75,W773&lt;35),0.3,0)+IF(AND(V773&gt;=40,V773&lt;75,W773&gt;=35,W773&lt;75),0.23,0)+IF(AND(V773&gt;=40,V773&lt;75,W773&gt;=75,W773&lt;120),0.17,0)+IF(AND(V773&gt;=40,V773&lt;75,W773&gt;=120),0.12,0)+IF(AND(V773&gt;=75,V773&lt;175,W773&lt;35),0.3,0)+IF(AND(V773&gt;=75,V773&lt;=175,W773&gt;=35,W773&lt;65),0.23,0)+IF(AND(V773&gt;=75,V773&lt;=175,W773&gt;=65,W773&lt;110),0.17,0)+IF(AND(V773&gt;=75,V773&lt;=175,W773&gt;=110),0.12,0)+IF(AND(V773&gt;175,W773&lt;25),0.3,0)+IF(AND(V773&gt;175,W773&gt;=25,W773&lt;55),0.23,0)+IF(AND(V773&gt;175,W773&gt;=55,W773&lt;95),0.17,0)+IF(AND(V773&gt;175,W773&gt;=95),0.12,0),
IF(AF773="DoEVLo",IF(AND(V773&lt;20,W773&lt;55),0.25,0)+IF(AND(V773&lt;20,W773&gt;=55,W773&lt;105),0.2,0)+IF(AND(V773&lt;20,W773&gt;=105),0.15,0)+IF(AND(V773&gt;=20,V773&lt;40,W773&lt;45),0.25,0)+IF(AND(V773&gt;=20,V773&lt;40,W773&gt;=45,W773&lt;95),0.2,0)+IF(AND(V773&gt;=20,V773&lt;40,W773&gt;=95),0.15,0)+IF(AND(V773&gt;=40,V773&lt;75,W773&lt;35),0.25,0)+IF(AND(V773&gt;=40,V773&lt;75,W773&gt;=35,W773&lt;75),0.2,0)+IF(AND(V773&gt;=40,V773&lt;75,W773&gt;=75,W773&lt;120),0.15,0)+IF(AND(V773&gt;=40,V773&lt;75,W773&gt;=120),0.1,0)+IF(AND(V773&gt;=75,V773&lt;175,W773&lt;35),0.25,0)+IF(AND(V773&gt;=75,V773&lt;=175,W773&gt;=35,W773&lt;65),0.2,0)+IF(AND(V773&gt;=75,V773&lt;=175,W773&gt;=65,W773&lt;110),0.15,0)+IF(AND(V773&gt;=75,V773&lt;=175,W773&gt;=110),0.1,0)+IF(AND(V773&gt;175,W773&lt;25),0.25,0)+IF(AND(V773&gt;175,W773&gt;=25,W773&lt;55),0.2,0)+IF(AND(V773&gt;175,W773&gt;=55,W773&lt;95),0.15,0)+IF(AND(V773&gt;175,W773&gt;=95),0.1,0))))))))))))))))))</f>
        <v>0.1125</v>
      </c>
      <c r="Y773" s="30">
        <f>IF(AG773="None",0,IF(AG773="Fix5",0.05, IF(AG773="Fix6.25",0.0625,IF(AG773="Fix3.75",0.0375,IF(AG773="Fix10",0.1,IF(AG773="Fix3",0.03,0))))))</f>
        <v>3.7499999999999999E-2</v>
      </c>
      <c r="Z773" s="35">
        <f>T773-AA773-AB773</f>
        <v>1555.5250000000001</v>
      </c>
      <c r="AA773" s="29">
        <f>IF(AD773="EUR",((T773-R773)*X773)*U773+(R773*X773),(T773*X773))</f>
        <v>254.47499999999999</v>
      </c>
      <c r="AB773" s="104">
        <v>452</v>
      </c>
      <c r="AC773" s="37" t="b">
        <v>1</v>
      </c>
      <c r="AD773" s="37" t="s">
        <v>38</v>
      </c>
      <c r="AE773" s="37" t="s">
        <v>38</v>
      </c>
      <c r="AF773" s="37" t="str">
        <f t="array" ref="AF773">INDEX('Deal Info'!D:D, MATCH(A773,'Deal Info'!A:A, 0))</f>
        <v>Fix11.25</v>
      </c>
      <c r="AG773" s="38" t="str">
        <f t="array" ref="AG773">INDEX('Deal Info'!G:G, MATCH(A773,'Deal Info'!A:A, 0))</f>
        <v>Fix3.75</v>
      </c>
    </row>
    <row r="774" spans="1:33" ht="14.25" hidden="1" x14ac:dyDescent="0.2">
      <c r="A774" s="18" t="str">
        <f t="array" ref="A774">IF(G774='Room Info'!$B$1, INDEX('Room Info'!$A$2:$A2446, MATCH(B774,'Room Info'!$B$2:$B2446, 0)),IF(G774='Room Info'!$C$1, INDEX('Room Info'!$A$2:$A2446, MATCH(B774,'Room Info'!$C$2:$C2446, 0)),IF(G774='Room Info'!$D$1, INDEX('Room Info'!$A$2:$A2446, MATCH(B774,'Room Info'!$D$2:$D2446, 0)),IF(G774='Room Info'!$E$1, INDEX('Room Info'!$A$2:$A2446, MATCH(B774,'Room Info'!$E$2:$E2446, 0)),IF(G774='Room Info'!$F$1, INDEX('Room Info'!$A$2:$A2446, MATCH(B774,'Room Info'!$F$2:$F2446, 0)),IF(G774='Room Info'!$H$1, INDEX('Room Info'!$A$2:$A2446, MATCH(B774,'Room Info'!$H$2:$H2446, 0)),IF(G774='Room Info'!$G$1, INDEX('Room Info'!$A$2:$A2446, MATCH(B774,'Room Info'!$G$2:$G2446, 0)))))))))</f>
        <v>fig6</v>
      </c>
      <c r="B774" s="45" t="s">
        <v>172</v>
      </c>
      <c r="C774" s="46">
        <v>44620</v>
      </c>
      <c r="D774" s="46">
        <v>44640</v>
      </c>
      <c r="E774" s="47">
        <v>44621</v>
      </c>
      <c r="F774" s="48" t="s">
        <v>34</v>
      </c>
      <c r="G774" s="45" t="s">
        <v>35</v>
      </c>
      <c r="H774" s="49" t="s">
        <v>84</v>
      </c>
      <c r="I774" s="49" t="s">
        <v>44</v>
      </c>
      <c r="J774" s="50">
        <v>100</v>
      </c>
      <c r="K774" s="51">
        <v>3781</v>
      </c>
      <c r="L774" s="52">
        <v>-16300</v>
      </c>
      <c r="M774" s="53">
        <v>4947</v>
      </c>
      <c r="N774" s="28">
        <f>K774*J774</f>
        <v>378100</v>
      </c>
      <c r="O774" s="54">
        <v>13796</v>
      </c>
      <c r="P774" s="29">
        <v>3.6487701669999999</v>
      </c>
      <c r="Q774" s="55"/>
      <c r="R774" s="31">
        <f>M774+Q774</f>
        <v>4947</v>
      </c>
      <c r="S774" s="56">
        <v>-16418</v>
      </c>
      <c r="T774" s="32">
        <f>R774+S774+IF(F774="Without EV deal",L774,0)</f>
        <v>-11471</v>
      </c>
      <c r="U774" s="57">
        <v>1</v>
      </c>
      <c r="V774" s="58"/>
      <c r="W774" s="58"/>
      <c r="X774" s="30">
        <f>IF(AF774="DoEV",IF(AND(V774&lt;20,W774&lt;55),0.3,0)+IF(AND(V774&lt;20,W774&gt;=55,W774&lt;105),0.23,0)+IF(AND(V774&lt;20,W774&gt;=105),0.17,0)+IF(AND(V774&gt;=20,V774&lt;40,W774&lt;45),0.3,0)+IF(AND(V774&gt;=20,V774&lt;40,W774&gt;=45,W774&lt;95),0.23,0)+IF(AND(V774&gt;=20,V774&lt;40,W774&gt;=95),0.17,0)+IF(AND(V774&gt;=40,V774&lt;75,W774&lt;35),0.3,0)+IF(AND(V774&gt;=40,V774&lt;75,W774&gt;=35,W774&lt;75),0.23,0)+IF(AND(V774&gt;=40,V774&lt;75,W774&gt;=75,W774&lt;120),0.17,0)+IF(AND(V774&gt;=40,V774&lt;75,W774&gt;=120),0.12,0)+IF(AND(V774&gt;=75,V774&lt;175,W774&lt;35),0.3,0)+IF(AND(V774&gt;=75,V774&lt;=175,W774&gt;=35,W774&lt;65),0.23,0)+IF(AND(V774&gt;=75,V774&lt;=175,W774&gt;=65,W774&lt;110),0.17,0)+IF(AND(V774&gt;=75,V774&lt;=175,W774&gt;=110),0.12,0)+IF(AND(V774&gt;175,W774&lt;25),0.3,0)+IF(AND(V774&gt;175,W774&gt;=25,W774&lt;55),0.23,0)+IF(AND(V774&gt;175,W774&gt;=55,W774&lt;95),0.17,0)+IF(AND(V774&gt;175,W774&gt;=95),0.12,0),
IF(AF774="Fix15",0.15,
IF(AF774="Fix18.75",0.1875,
IF(AF774="Fix11.25",0.1125,
IF(AF774="Fix10",0.1,
IF(AF774="Fix9",0.09,
IF(AF774="Fix19",0.19,
IF(AF774="DoEV2017",IF(AND(W774&lt;74),0.2,0)+IF(AND(W774&gt;=74),0.17,0),
IF(AF774="SF",IF(AND(V774&lt;20,W774&lt;89),0.3,0)+IF(AND(V774&lt;20,W774&gt;=89),0.25,0)+IF(AND(V774&gt;=20,V774&lt;40,W774&lt;74),0.3,0)+IF(AND(V774&gt;=20,V774&lt;40,W774&gt;=75),0.22,0)+IF(AND(V774&gt;=40,V774&lt;75,W774&lt;75),0.26,0)+IF(AND(V774&gt;=40,V774&lt;75,W774&gt;=75),0.22,0)+IF(V774&gt;=75,0.22,0),
IF(AF774="DoEVold",IF(AND(V774&lt;40,W774&lt;35),0.35,0)+IF(AND(V774&lt;40,W774&gt;=35,W774&lt;75),0.25,0)+IF(AND(V774&lt;40,W774&gt;=75),0.17,0)+IF(AND(V774&gt;=40,V774&lt;75,W774&lt;25),0.35,0)+IF(AND(V774&gt;=40,V774&lt;75,W774&gt;=25,W774&lt;65),0.25,0)+IF(AND(V774&gt;=40,V774&lt;75,W774&gt;=65,W774&lt;100),0.17,0)+IF(AND(V774&gt;=40,V774&lt;75,W774&gt;=100),0.1,0)+IF(AND(V774&gt;=75,W774&lt;25),0.35,0)+IF(AND(V774&gt;=75,W774&gt;=25,W774&lt;60),0.25,0)+IF(AND(V774&gt;=75,W774&gt;=60,W774&lt;95),0.17,0)+IF(AND(V774&gt;=75,W774&gt;=95),0.1,0),
IF(AF774="DoEVold15",IF(AND(V774&lt;=40,W774&lt;35),0.35,0)+IF(AND(V774&lt;=40,W774&gt;=35,W774&lt;75),0.25,0)+IF(AND(V774&lt;=40,W774&gt;=75,W774&lt;120),0.17,0)+IF(AND(V774&lt;=40,W774&gt;=120),0.15,0)+IF(AND(V774&gt;40,V774&lt;75,W774&lt;25),0.35,0)+IF(AND(V774&gt;=40,V774&lt;75,W774&gt;=25,W774&lt;65),0.25,0)+IF(AND(V774&gt;=40,V774&lt;75,W774&gt;=65,W774&lt;100),0.17,0)+IF(AND(V774&gt;=40,V774&lt;75,W774&gt;=100),0.1,0)+IF(AND(V774&gt;=75,W774&lt;25),0.35,0)+IF(AND(V774&gt;=75,W774&gt;=25,W774&lt;60),0.25,0)+IF(AND(V774&gt;=75,W774&gt;=60,W774&lt;95),0.17,0)+IF(AND(V774&gt;=75,W774&gt;=95),0.1,0),
IF(AF774="DoEVba",IF(AND(V774&lt;20,W774&lt;105),0.2,0)+IF(AND(V774&lt;20,W774&gt;=105),0.15,0)+IF(AND(V774&gt;=20,V774&lt;40,W774&lt;95),0.2,0)+IF(AND(V774&gt;=20,V774&lt;40,W774&gt;=95,W774&lt;150),0.15,0)+IF(AND(V774&gt;=20,V774&lt;40,W774&gt;=150),0.12,0)+IF(AND(V774&gt;=40,V774&lt;75,W774&lt;75),0.2,0)+IF(AND(V774&gt;=40,V774&lt;75,W774&gt;=75,W774&lt;120),0.15,0)+IF(AND(V774&gt;=40,V774&lt;75,W774&gt;=120),0.12,0)+IF(AND(V774&gt;=75,V774&lt;175,W774&lt;65),0.2,0)+IF(AND(V774&gt;=75,V774&lt;175,W774&gt;=65,W774&lt;110),0.15,0)+IF(AND(V774&gt;=75,V774&lt;175,W774&gt;=110),0.12,0)+IF(AND(V774&gt;=175,W774&lt;55),0.2,0)+IF(AND(V774&gt;=175,W774&gt;=55,W774&lt;95),0.15,0)+IF(AND(V774&gt;=175,W774&gt;=95),0.12,0),
IF(AF774="DoEVku",IF(AND(V774&lt;20,W774&lt;55),0.23,0)+IF(AND(V774&lt;20,W774&gt;=55,W774&lt;105),0.2,0)+IF(AND(V774&lt;20,W774&gt;=105),0.17,0)+IF(AND(V774&gt;=20,V774&lt;40,W774&lt;45),0.23,0)+IF(AND(V774&gt;=20,V774&lt;40,W774&gt;=45,W774&lt;95),0.2,0)+IF(AND(V774&gt;=20,V774&lt;40,W774&gt;=95,W774&lt;=150),0.17,0)+IF(AND(V774&gt;=20,V774&lt;40,W774&gt;=150),0.12,0)+IF(AND(V774&gt;=40,V774&lt;75,W774&lt;35),0.23,0)+IF(AND(V774&gt;=40,V774&lt;75,W774&gt;=35,W774&lt;75),0.2,0)+IF(AND(V774&gt;=40,V774&lt;75,W774&gt;=75,W774&lt;120),0.17,0)+IF(AND(V774&gt;=40,V774&lt;75,W774&gt;=120),0.12,0)+IF(AND(V774&gt;=75,V774&lt;175,W774&lt;35),0.23,0)+IF(AND(V774&gt;=75,V774&lt;=175,W774&gt;=35,W774&lt;65),0.2,0)+IF(AND(V774&gt;=75,V774&lt;=175,W774&gt;=65,W774&lt;110),0.17,0)+IF(AND(V774&gt;=75,V774&lt;=175,W774&gt;=110),0.12,0)+IF(AND(V774&gt;175,W774&lt;25),0.23,0)+IF(AND(V774&gt;175,W774&gt;=25,W774&lt;55),0.2,0)+IF(AND(V774&gt;175,W774&gt;=55,W774&lt;95),0.17,0)+IF(AND(V774&gt;175,W774&gt;=95),0.12,0),
IF(AF774="DoEVs1",IF(AND(V774&lt;20,W774&lt;55),0.3,0)+IF(AND(V774&lt;20,W774&gt;=55,W774&lt;105),0.23,0)+IF(AND(V774&lt;20,W774&gt;=105),0.17,0)+IF(AND(V774&gt;=20,V774&lt;40,W774&lt;45),0.3,0)+IF(AND(V774&gt;=20,V774&lt;40,W774&gt;=45,W774&lt;95),0.23,0)+IF(AND(V774&gt;=20,V774&lt;40,W774&gt;=95,W774&lt;=150),0.17,0)+IF(AND(V774&gt;=20,V774&lt;40,W774&gt;=150),0.12,0)+IF(AND(V774&gt;=40,V774&lt;75,W774&lt;35),0.3,0)+IF(AND(V774&gt;=40,V774&lt;75,W774&gt;=35,W774&lt;75),0.23,0)+IF(AND(V774&gt;=40,V774&lt;75,W774&gt;=75,W774&lt;120),0.17,0)+IF(AND(V774&gt;=40,V774&lt;75,W774&gt;=120),0.12,0)+IF(AND(V774&gt;=75,V774&lt;175,W774&lt;35),0.3,0)+IF(AND(V774&gt;=75,V774&lt;=175,W774&gt;=35,W774&lt;65),0.23,0)+IF(AND(V774&gt;=75,V774&lt;=175,W774&gt;=65,W774&lt;110),0.17,0)+IF(AND(V774&gt;=75,V774&lt;=175,W774&gt;=110),0.12,0)+IF(AND(V774&gt;175,W774&lt;25),0.3,0)+IF(AND(V774&gt;175,W774&gt;=25,W774&lt;55),0.23,0)+IF(AND(V774&gt;175,W774&gt;=55,W774&lt;95),0.17,0)+IF(AND(V774&gt;175,W774&gt;=95),0.12,0),
IF(AF774="DoEVsu",IF(AND(V774&lt;20,W774&lt;55),0.3,0)+IF(AND(V774&lt;20,W774&gt;=55,W774&lt;105),0.23,0)+IF(AND(V774&lt;20,W774&gt;=105),0.17,0)+IF(AND(V774&gt;=20,V774&lt;40,W774&lt;45),0.3,0)+IF(AND(V774&gt;=20,V774&lt;40,W774&gt;=45,W774&lt;95),0.23,0)+IF(AND(V774&gt;=20,V774&lt;40,W774&gt;=95,W774&lt;=250),0.17,0)+IF(AND(V774&gt;=20,V774&lt;40,W774&gt;=250),0.12,0)+IF(AND(V774&gt;=40,V774&lt;75,W774&lt;35),0.3,0)+IF(AND(V774&gt;=40,V774&lt;75,W774&gt;=35,W774&lt;75),0.23,0)+IF(AND(V774&gt;=40,V774&lt;75,W774&gt;=75,W774&lt;120),0.17,0)+IF(AND(V774&gt;=40,V774&lt;75,W774&gt;=120),0.12,0)+IF(AND(V774&gt;=75,V774&lt;175,W774&lt;35),0.3,0)+IF(AND(V774&gt;=75,V774&lt;=175,W774&gt;=35,W774&lt;65),0.23,0)+IF(AND(V774&gt;=75,V774&lt;=175,W774&gt;=65,W774&lt;110),0.17,0)+IF(AND(V774&gt;=75,V774&lt;=175,W774&gt;=110),0.12,0)+IF(AND(V774&gt;175,W774&lt;25),0.3,0)+IF(AND(V774&gt;175,W774&gt;=25,W774&lt;55),0.23,0)+IF(AND(V774&gt;175,W774&gt;=55,W774&lt;95),0.17,0)+IF(AND(V774&gt;175,W774&gt;=95),0.12,0),
IF(AF774="DoEVni",IF(AND(V774&lt;20,W774&lt;55),0.3,0)+IF(AND(V774&lt;20,W774&gt;=55,W774&lt;105),0.23,0)+IF(AND(V774&lt;20,W774&gt;=105),0.17,0)+IF(AND(V774&gt;=20,V774&lt;40,W774&lt;45),0.3,0)+IF(AND(V774&gt;=20,V774&lt;40,W774&gt;=45,W774&lt;95),0.23,0)+IF(AND(V774&gt;=20,V774&lt;40,W774&gt;=95,W774&lt;=200),0.17,0)+IF(AND(V774&gt;=20,V774&lt;40,W774&gt;=200),0.12,0)+IF(AND(V774&gt;=40,V774&lt;75,W774&lt;35),0.3,0)+IF(AND(V774&gt;=40,V774&lt;75,W774&gt;=35,W774&lt;75),0.23,0)+IF(AND(V774&gt;=40,V774&lt;75,W774&gt;=75,W774&lt;120),0.17,0)+IF(AND(V774&gt;=40,V774&lt;75,W774&gt;=120),0.12,0)+IF(AND(V774&gt;=75,V774&lt;175,W774&lt;35),0.3,0)+IF(AND(V774&gt;=75,V774&lt;=175,W774&gt;=35,W774&lt;65),0.23,0)+IF(AND(V774&gt;=75,V774&lt;=175,W774&gt;=65,W774&lt;110),0.17,0)+IF(AND(V774&gt;=75,V774&lt;=175,W774&gt;=110),0.12,0)+IF(AND(V774&gt;175,W774&lt;25),0.3,0)+IF(AND(V774&gt;175,W774&gt;=25,W774&lt;55),0.23,0)+IF(AND(V774&gt;175,W774&gt;=55,W774&lt;95),0.17,0)+IF(AND(V774&gt;175,W774&gt;=95),0.12,0),
IF(AF774="DoEVLo",IF(AND(V774&lt;20,W774&lt;55),0.25,0)+IF(AND(V774&lt;20,W774&gt;=55,W774&lt;105),0.2,0)+IF(AND(V774&lt;20,W774&gt;=105),0.15,0)+IF(AND(V774&gt;=20,V774&lt;40,W774&lt;45),0.25,0)+IF(AND(V774&gt;=20,V774&lt;40,W774&gt;=45,W774&lt;95),0.2,0)+IF(AND(V774&gt;=20,V774&lt;40,W774&gt;=95),0.15,0)+IF(AND(V774&gt;=40,V774&lt;75,W774&lt;35),0.25,0)+IF(AND(V774&gt;=40,V774&lt;75,W774&gt;=35,W774&lt;75),0.2,0)+IF(AND(V774&gt;=40,V774&lt;75,W774&gt;=75,W774&lt;120),0.15,0)+IF(AND(V774&gt;=40,V774&lt;75,W774&gt;=120),0.1,0)+IF(AND(V774&gt;=75,V774&lt;175,W774&lt;35),0.25,0)+IF(AND(V774&gt;=75,V774&lt;=175,W774&gt;=35,W774&lt;65),0.2,0)+IF(AND(V774&gt;=75,V774&lt;=175,W774&gt;=65,W774&lt;110),0.15,0)+IF(AND(V774&gt;=75,V774&lt;=175,W774&gt;=110),0.1,0)+IF(AND(V774&gt;175,W774&lt;25),0.25,0)+IF(AND(V774&gt;175,W774&gt;=25,W774&lt;55),0.2,0)+IF(AND(V774&gt;175,W774&gt;=55,W774&lt;95),0.15,0)+IF(AND(V774&gt;175,W774&gt;=95),0.1,0))))))))))))))))))</f>
        <v>0.1125</v>
      </c>
      <c r="Y774" s="30">
        <f>IF(AG774="None",0,IF(AG774="Fix5",0.05, IF(AG774="Fix6.25",0.0625,IF(AG774="Fix3.75",0.0375,IF(AG774="Fix10",0.1,IF(AG774="Fix3",0.03,0))))))</f>
        <v>3.7499999999999999E-2</v>
      </c>
      <c r="Z774" s="35">
        <f>T774-AA774-AB774</f>
        <v>-7886.5125000000007</v>
      </c>
      <c r="AA774" s="29">
        <f>IF(AD774="EUR",((T774-R774)*X774)*U774+(R774*X774),(T774*X774))</f>
        <v>-1290.4875</v>
      </c>
      <c r="AB774" s="104">
        <v>-2294</v>
      </c>
      <c r="AC774" s="37" t="b">
        <v>1</v>
      </c>
      <c r="AD774" s="37" t="s">
        <v>38</v>
      </c>
      <c r="AE774" s="37" t="s">
        <v>38</v>
      </c>
      <c r="AF774" s="37" t="str">
        <f t="array" ref="AF774">INDEX('Deal Info'!D:D, MATCH(A774,'Deal Info'!A:A, 0))</f>
        <v>Fix11.25</v>
      </c>
      <c r="AG774" s="38" t="str">
        <f t="array" ref="AG774">INDEX('Deal Info'!G:G, MATCH(A774,'Deal Info'!A:A, 0))</f>
        <v>Fix3.75</v>
      </c>
    </row>
    <row r="775" spans="1:33" ht="14.25" hidden="1" x14ac:dyDescent="0.2">
      <c r="A775" s="18" t="str">
        <f t="array" ref="A775">IF(G775='Room Info'!$B$1, INDEX('Room Info'!$A$2:$A2446, MATCH(B775,'Room Info'!$B$2:$B2446, 0)),IF(G775='Room Info'!$C$1, INDEX('Room Info'!$A$2:$A2446, MATCH(B775,'Room Info'!$C$2:$C2446, 0)),IF(G775='Room Info'!$D$1, INDEX('Room Info'!$A$2:$A2446, MATCH(B775,'Room Info'!$D$2:$D2446, 0)),IF(G775='Room Info'!$E$1, INDEX('Room Info'!$A$2:$A2446, MATCH(B775,'Room Info'!$E$2:$E2446, 0)),IF(G775='Room Info'!$F$1, INDEX('Room Info'!$A$2:$A2446, MATCH(B775,'Room Info'!$F$2:$F2446, 0)),IF(G775='Room Info'!$H$1, INDEX('Room Info'!$A$2:$A2446, MATCH(B775,'Room Info'!$H$2:$H2446, 0)),IF(G775='Room Info'!$G$1, INDEX('Room Info'!$A$2:$A2446, MATCH(B775,'Room Info'!$G$2:$G2446, 0)))))))))</f>
        <v>fig6</v>
      </c>
      <c r="B775" s="45" t="s">
        <v>172</v>
      </c>
      <c r="C775" s="77">
        <v>44733</v>
      </c>
      <c r="D775" s="77">
        <v>44762</v>
      </c>
      <c r="E775" s="47">
        <v>44743</v>
      </c>
      <c r="F775" s="48" t="s">
        <v>34</v>
      </c>
      <c r="G775" s="45" t="s">
        <v>35</v>
      </c>
      <c r="H775" s="49" t="s">
        <v>70</v>
      </c>
      <c r="I775" s="49" t="s">
        <v>37</v>
      </c>
      <c r="J775" s="74">
        <v>100</v>
      </c>
      <c r="K775" s="75">
        <v>11801</v>
      </c>
      <c r="L775" s="72">
        <v>-18600</v>
      </c>
      <c r="M775" s="76">
        <v>47624</v>
      </c>
      <c r="N775" s="28">
        <f>K775*J775</f>
        <v>1180100</v>
      </c>
      <c r="O775" s="45">
        <v>272805</v>
      </c>
      <c r="P775" s="29">
        <v>23.117108720000001</v>
      </c>
      <c r="Q775" s="55"/>
      <c r="R775" s="31">
        <f>M775+Q775</f>
        <v>47624</v>
      </c>
      <c r="S775" s="73">
        <v>-14364</v>
      </c>
      <c r="T775" s="32">
        <f>R775+S775+IF(F775="Without EV deal",L775,0)</f>
        <v>33260</v>
      </c>
      <c r="U775" s="57">
        <v>1</v>
      </c>
      <c r="V775" s="58"/>
      <c r="W775" s="58"/>
      <c r="X775" s="30">
        <f>IF(AF775="DoEV",IF(AND(V775&lt;20,W775&lt;55),0.3,0)+IF(AND(V775&lt;20,W775&gt;=55,W775&lt;105),0.23,0)+IF(AND(V775&lt;20,W775&gt;=105),0.17,0)+IF(AND(V775&gt;=20,V775&lt;40,W775&lt;45),0.3,0)+IF(AND(V775&gt;=20,V775&lt;40,W775&gt;=45,W775&lt;95),0.23,0)+IF(AND(V775&gt;=20,V775&lt;40,W775&gt;=95),0.17,0)+IF(AND(V775&gt;=40,V775&lt;75,W775&lt;35),0.3,0)+IF(AND(V775&gt;=40,V775&lt;75,W775&gt;=35,W775&lt;75),0.23,0)+IF(AND(V775&gt;=40,V775&lt;75,W775&gt;=75,W775&lt;120),0.17,0)+IF(AND(V775&gt;=40,V775&lt;75,W775&gt;=120),0.12,0)+IF(AND(V775&gt;=75,V775&lt;175,W775&lt;35),0.3,0)+IF(AND(V775&gt;=75,V775&lt;=175,W775&gt;=35,W775&lt;65),0.23,0)+IF(AND(V775&gt;=75,V775&lt;=175,W775&gt;=65,W775&lt;110),0.17,0)+IF(AND(V775&gt;=75,V775&lt;=175,W775&gt;=110),0.12,0)+IF(AND(V775&gt;175,W775&lt;25),0.3,0)+IF(AND(V775&gt;175,W775&gt;=25,W775&lt;55),0.23,0)+IF(AND(V775&gt;175,W775&gt;=55,W775&lt;95),0.17,0)+IF(AND(V775&gt;175,W775&gt;=95),0.12,0),
IF(AF775="Fix15",0.15,
IF(AF775="Fix18.75",0.1875,
IF(AF775="Fix11.25",0.1125,
IF(AF775="Fix10",0.1,
IF(AF775="Fix9",0.09,
IF(AF775="Fix19",0.19,
IF(AF775="DoEV2017",IF(AND(W775&lt;74),0.2,0)+IF(AND(W775&gt;=74),0.17,0),
IF(AF775="SF",IF(AND(V775&lt;20,W775&lt;89),0.3,0)+IF(AND(V775&lt;20,W775&gt;=89),0.25,0)+IF(AND(V775&gt;=20,V775&lt;40,W775&lt;74),0.3,0)+IF(AND(V775&gt;=20,V775&lt;40,W775&gt;=75),0.22,0)+IF(AND(V775&gt;=40,V775&lt;75,W775&lt;75),0.26,0)+IF(AND(V775&gt;=40,V775&lt;75,W775&gt;=75),0.22,0)+IF(V775&gt;=75,0.22,0),
IF(AF775="DoEVold",IF(AND(V775&lt;40,W775&lt;35),0.35,0)+IF(AND(V775&lt;40,W775&gt;=35,W775&lt;75),0.25,0)+IF(AND(V775&lt;40,W775&gt;=75),0.17,0)+IF(AND(V775&gt;=40,V775&lt;75,W775&lt;25),0.35,0)+IF(AND(V775&gt;=40,V775&lt;75,W775&gt;=25,W775&lt;65),0.25,0)+IF(AND(V775&gt;=40,V775&lt;75,W775&gt;=65,W775&lt;100),0.17,0)+IF(AND(V775&gt;=40,V775&lt;75,W775&gt;=100),0.1,0)+IF(AND(V775&gt;=75,W775&lt;25),0.35,0)+IF(AND(V775&gt;=75,W775&gt;=25,W775&lt;60),0.25,0)+IF(AND(V775&gt;=75,W775&gt;=60,W775&lt;95),0.17,0)+IF(AND(V775&gt;=75,W775&gt;=95),0.1,0),
IF(AF775="DoEVold15",IF(AND(V775&lt;=40,W775&lt;35),0.35,0)+IF(AND(V775&lt;=40,W775&gt;=35,W775&lt;75),0.25,0)+IF(AND(V775&lt;=40,W775&gt;=75,W775&lt;120),0.17,0)+IF(AND(V775&lt;=40,W775&gt;=120),0.15,0)+IF(AND(V775&gt;40,V775&lt;75,W775&lt;25),0.35,0)+IF(AND(V775&gt;=40,V775&lt;75,W775&gt;=25,W775&lt;65),0.25,0)+IF(AND(V775&gt;=40,V775&lt;75,W775&gt;=65,W775&lt;100),0.17,0)+IF(AND(V775&gt;=40,V775&lt;75,W775&gt;=100),0.1,0)+IF(AND(V775&gt;=75,W775&lt;25),0.35,0)+IF(AND(V775&gt;=75,W775&gt;=25,W775&lt;60),0.25,0)+IF(AND(V775&gt;=75,W775&gt;=60,W775&lt;95),0.17,0)+IF(AND(V775&gt;=75,W775&gt;=95),0.1,0),
IF(AF775="DoEVba",IF(AND(V775&lt;20,W775&lt;105),0.2,0)+IF(AND(V775&lt;20,W775&gt;=105),0.15,0)+IF(AND(V775&gt;=20,V775&lt;40,W775&lt;95),0.2,0)+IF(AND(V775&gt;=20,V775&lt;40,W775&gt;=95,W775&lt;150),0.15,0)+IF(AND(V775&gt;=20,V775&lt;40,W775&gt;=150),0.12,0)+IF(AND(V775&gt;=40,V775&lt;75,W775&lt;75),0.2,0)+IF(AND(V775&gt;=40,V775&lt;75,W775&gt;=75,W775&lt;120),0.15,0)+IF(AND(V775&gt;=40,V775&lt;75,W775&gt;=120),0.12,0)+IF(AND(V775&gt;=75,V775&lt;175,W775&lt;65),0.2,0)+IF(AND(V775&gt;=75,V775&lt;175,W775&gt;=65,W775&lt;110),0.15,0)+IF(AND(V775&gt;=75,V775&lt;175,W775&gt;=110),0.12,0)+IF(AND(V775&gt;=175,W775&lt;55),0.2,0)+IF(AND(V775&gt;=175,W775&gt;=55,W775&lt;95),0.15,0)+IF(AND(V775&gt;=175,W775&gt;=95),0.12,0),
IF(AF775="DoEVku",IF(AND(V775&lt;20,W775&lt;55),0.23,0)+IF(AND(V775&lt;20,W775&gt;=55,W775&lt;105),0.2,0)+IF(AND(V775&lt;20,W775&gt;=105),0.17,0)+IF(AND(V775&gt;=20,V775&lt;40,W775&lt;45),0.23,0)+IF(AND(V775&gt;=20,V775&lt;40,W775&gt;=45,W775&lt;95),0.2,0)+IF(AND(V775&gt;=20,V775&lt;40,W775&gt;=95,W775&lt;=150),0.17,0)+IF(AND(V775&gt;=20,V775&lt;40,W775&gt;=150),0.12,0)+IF(AND(V775&gt;=40,V775&lt;75,W775&lt;35),0.23,0)+IF(AND(V775&gt;=40,V775&lt;75,W775&gt;=35,W775&lt;75),0.2,0)+IF(AND(V775&gt;=40,V775&lt;75,W775&gt;=75,W775&lt;120),0.17,0)+IF(AND(V775&gt;=40,V775&lt;75,W775&gt;=120),0.12,0)+IF(AND(V775&gt;=75,V775&lt;175,W775&lt;35),0.23,0)+IF(AND(V775&gt;=75,V775&lt;=175,W775&gt;=35,W775&lt;65),0.2,0)+IF(AND(V775&gt;=75,V775&lt;=175,W775&gt;=65,W775&lt;110),0.17,0)+IF(AND(V775&gt;=75,V775&lt;=175,W775&gt;=110),0.12,0)+IF(AND(V775&gt;175,W775&lt;25),0.23,0)+IF(AND(V775&gt;175,W775&gt;=25,W775&lt;55),0.2,0)+IF(AND(V775&gt;175,W775&gt;=55,W775&lt;95),0.17,0)+IF(AND(V775&gt;175,W775&gt;=95),0.12,0),
IF(AF775="DoEVs1",IF(AND(V775&lt;20,W775&lt;55),0.3,0)+IF(AND(V775&lt;20,W775&gt;=55,W775&lt;105),0.23,0)+IF(AND(V775&lt;20,W775&gt;=105),0.17,0)+IF(AND(V775&gt;=20,V775&lt;40,W775&lt;45),0.3,0)+IF(AND(V775&gt;=20,V775&lt;40,W775&gt;=45,W775&lt;95),0.23,0)+IF(AND(V775&gt;=20,V775&lt;40,W775&gt;=95,W775&lt;=150),0.17,0)+IF(AND(V775&gt;=20,V775&lt;40,W775&gt;=150),0.12,0)+IF(AND(V775&gt;=40,V775&lt;75,W775&lt;35),0.3,0)+IF(AND(V775&gt;=40,V775&lt;75,W775&gt;=35,W775&lt;75),0.23,0)+IF(AND(V775&gt;=40,V775&lt;75,W775&gt;=75,W775&lt;120),0.17,0)+IF(AND(V775&gt;=40,V775&lt;75,W775&gt;=120),0.12,0)+IF(AND(V775&gt;=75,V775&lt;175,W775&lt;35),0.3,0)+IF(AND(V775&gt;=75,V775&lt;=175,W775&gt;=35,W775&lt;65),0.23,0)+IF(AND(V775&gt;=75,V775&lt;=175,W775&gt;=65,W775&lt;110),0.17,0)+IF(AND(V775&gt;=75,V775&lt;=175,W775&gt;=110),0.12,0)+IF(AND(V775&gt;175,W775&lt;25),0.3,0)+IF(AND(V775&gt;175,W775&gt;=25,W775&lt;55),0.23,0)+IF(AND(V775&gt;175,W775&gt;=55,W775&lt;95),0.17,0)+IF(AND(V775&gt;175,W775&gt;=95),0.12,0),
IF(AF775="DoEVsu",IF(AND(V775&lt;20,W775&lt;55),0.3,0)+IF(AND(V775&lt;20,W775&gt;=55,W775&lt;105),0.23,0)+IF(AND(V775&lt;20,W775&gt;=105),0.17,0)+IF(AND(V775&gt;=20,V775&lt;40,W775&lt;45),0.3,0)+IF(AND(V775&gt;=20,V775&lt;40,W775&gt;=45,W775&lt;95),0.23,0)+IF(AND(V775&gt;=20,V775&lt;40,W775&gt;=95,W775&lt;=250),0.17,0)+IF(AND(V775&gt;=20,V775&lt;40,W775&gt;=250),0.12,0)+IF(AND(V775&gt;=40,V775&lt;75,W775&lt;35),0.3,0)+IF(AND(V775&gt;=40,V775&lt;75,W775&gt;=35,W775&lt;75),0.23,0)+IF(AND(V775&gt;=40,V775&lt;75,W775&gt;=75,W775&lt;120),0.17,0)+IF(AND(V775&gt;=40,V775&lt;75,W775&gt;=120),0.12,0)+IF(AND(V775&gt;=75,V775&lt;175,W775&lt;35),0.3,0)+IF(AND(V775&gt;=75,V775&lt;=175,W775&gt;=35,W775&lt;65),0.23,0)+IF(AND(V775&gt;=75,V775&lt;=175,W775&gt;=65,W775&lt;110),0.17,0)+IF(AND(V775&gt;=75,V775&lt;=175,W775&gt;=110),0.12,0)+IF(AND(V775&gt;175,W775&lt;25),0.3,0)+IF(AND(V775&gt;175,W775&gt;=25,W775&lt;55),0.23,0)+IF(AND(V775&gt;175,W775&gt;=55,W775&lt;95),0.17,0)+IF(AND(V775&gt;175,W775&gt;=95),0.12,0),
IF(AF775="DoEVni",IF(AND(V775&lt;20,W775&lt;55),0.3,0)+IF(AND(V775&lt;20,W775&gt;=55,W775&lt;105),0.23,0)+IF(AND(V775&lt;20,W775&gt;=105),0.17,0)+IF(AND(V775&gt;=20,V775&lt;40,W775&lt;45),0.3,0)+IF(AND(V775&gt;=20,V775&lt;40,W775&gt;=45,W775&lt;95),0.23,0)+IF(AND(V775&gt;=20,V775&lt;40,W775&gt;=95,W775&lt;=200),0.17,0)+IF(AND(V775&gt;=20,V775&lt;40,W775&gt;=200),0.12,0)+IF(AND(V775&gt;=40,V775&lt;75,W775&lt;35),0.3,0)+IF(AND(V775&gt;=40,V775&lt;75,W775&gt;=35,W775&lt;75),0.23,0)+IF(AND(V775&gt;=40,V775&lt;75,W775&gt;=75,W775&lt;120),0.17,0)+IF(AND(V775&gt;=40,V775&lt;75,W775&gt;=120),0.12,0)+IF(AND(V775&gt;=75,V775&lt;175,W775&lt;35),0.3,0)+IF(AND(V775&gt;=75,V775&lt;=175,W775&gt;=35,W775&lt;65),0.23,0)+IF(AND(V775&gt;=75,V775&lt;=175,W775&gt;=65,W775&lt;110),0.17,0)+IF(AND(V775&gt;=75,V775&lt;=175,W775&gt;=110),0.12,0)+IF(AND(V775&gt;175,W775&lt;25),0.3,0)+IF(AND(V775&gt;175,W775&gt;=25,W775&lt;55),0.23,0)+IF(AND(V775&gt;175,W775&gt;=55,W775&lt;95),0.17,0)+IF(AND(V775&gt;175,W775&gt;=95),0.12,0),
IF(AF775="DoEVLo",IF(AND(V775&lt;20,W775&lt;55),0.25,0)+IF(AND(V775&lt;20,W775&gt;=55,W775&lt;105),0.2,0)+IF(AND(V775&lt;20,W775&gt;=105),0.15,0)+IF(AND(V775&gt;=20,V775&lt;40,W775&lt;45),0.25,0)+IF(AND(V775&gt;=20,V775&lt;40,W775&gt;=45,W775&lt;95),0.2,0)+IF(AND(V775&gt;=20,V775&lt;40,W775&gt;=95),0.15,0)+IF(AND(V775&gt;=40,V775&lt;75,W775&lt;35),0.25,0)+IF(AND(V775&gt;=40,V775&lt;75,W775&gt;=35,W775&lt;75),0.2,0)+IF(AND(V775&gt;=40,V775&lt;75,W775&gt;=75,W775&lt;120),0.15,0)+IF(AND(V775&gt;=40,V775&lt;75,W775&gt;=120),0.1,0)+IF(AND(V775&gt;=75,V775&lt;175,W775&lt;35),0.25,0)+IF(AND(V775&gt;=75,V775&lt;=175,W775&gt;=35,W775&lt;65),0.2,0)+IF(AND(V775&gt;=75,V775&lt;=175,W775&gt;=65,W775&lt;110),0.15,0)+IF(AND(V775&gt;=75,V775&lt;=175,W775&gt;=110),0.1,0)+IF(AND(V775&gt;175,W775&lt;25),0.25,0)+IF(AND(V775&gt;175,W775&gt;=25,W775&lt;55),0.2,0)+IF(AND(V775&gt;175,W775&gt;=55,W775&lt;95),0.15,0)+IF(AND(V775&gt;175,W775&gt;=95),0.1,0))))))))))))))))))</f>
        <v>0.1125</v>
      </c>
      <c r="Y775" s="30">
        <f>IF(AG775="None",0,IF(AG775="Fix5",0.05, IF(AG775="Fix6.25",0.0625,IF(AG775="Fix3.75",0.0375,IF(AG775="Fix10",0.1,IF(AG775="Fix3",0.03,0))))))</f>
        <v>3.7499999999999999E-2</v>
      </c>
      <c r="Z775" s="35">
        <f>T775-AA775-AB775</f>
        <v>24529.25</v>
      </c>
      <c r="AA775" s="29">
        <f>IF(AD775="EUR",((T775-R775)*X775)*U775+(R775*X775),(T775*X775))</f>
        <v>3741.75</v>
      </c>
      <c r="AB775" s="104">
        <v>4989</v>
      </c>
      <c r="AC775" s="37" t="b">
        <v>1</v>
      </c>
      <c r="AD775" s="37" t="s">
        <v>38</v>
      </c>
      <c r="AE775" s="37" t="s">
        <v>38</v>
      </c>
      <c r="AF775" s="37" t="str">
        <f t="array" ref="AF775">INDEX('Deal Info'!D:D, MATCH(A775,'Deal Info'!A:A, 0))</f>
        <v>Fix11.25</v>
      </c>
      <c r="AG775" s="38" t="str">
        <f t="array" ref="AG775">INDEX('Deal Info'!G:G, MATCH(A775,'Deal Info'!A:A, 0))</f>
        <v>Fix3.75</v>
      </c>
    </row>
    <row r="776" spans="1:33" ht="14.25" hidden="1" x14ac:dyDescent="0.2">
      <c r="A776" s="18" t="str">
        <f t="array" ref="A776">IF(G776='Room Info'!$B$1, INDEX('Room Info'!$A$2:$A2446, MATCH(B776,'Room Info'!$B$2:$B2446, 0)),IF(G776='Room Info'!$C$1, INDEX('Room Info'!$A$2:$A2446, MATCH(B776,'Room Info'!$C$2:$C2446, 0)),IF(G776='Room Info'!$D$1, INDEX('Room Info'!$A$2:$A2446, MATCH(B776,'Room Info'!$D$2:$D2446, 0)),IF(G776='Room Info'!$E$1, INDEX('Room Info'!$A$2:$A2446, MATCH(B776,'Room Info'!$E$2:$E2446, 0)),IF(G776='Room Info'!$F$1, INDEX('Room Info'!$A$2:$A2446, MATCH(B776,'Room Info'!$F$2:$F2446, 0)),IF(G776='Room Info'!$H$1, INDEX('Room Info'!$A$2:$A2446, MATCH(B776,'Room Info'!$H$2:$H2446, 0)),IF(G776='Room Info'!$G$1, INDEX('Room Info'!$A$2:$A2446, MATCH(B776,'Room Info'!$G$2:$G2446, 0)))))))))</f>
        <v>fig6</v>
      </c>
      <c r="B776" s="54" t="s">
        <v>172</v>
      </c>
      <c r="C776" s="46">
        <v>44733</v>
      </c>
      <c r="D776" s="46">
        <v>44762</v>
      </c>
      <c r="E776" s="47">
        <v>44743</v>
      </c>
      <c r="F776" s="45" t="s">
        <v>34</v>
      </c>
      <c r="G776" s="54" t="s">
        <v>35</v>
      </c>
      <c r="H776" s="49" t="s">
        <v>84</v>
      </c>
      <c r="I776" s="49" t="s">
        <v>44</v>
      </c>
      <c r="J776" s="50">
        <v>100</v>
      </c>
      <c r="K776" s="51">
        <v>32</v>
      </c>
      <c r="L776" s="52">
        <v>300</v>
      </c>
      <c r="M776" s="53">
        <v>129</v>
      </c>
      <c r="N776" s="28">
        <f>K776*J776</f>
        <v>3200</v>
      </c>
      <c r="O776" s="54">
        <v>1045</v>
      </c>
      <c r="P776" s="29">
        <v>32.65625</v>
      </c>
      <c r="Q776" s="55"/>
      <c r="R776" s="31">
        <f>M776+Q776</f>
        <v>129</v>
      </c>
      <c r="S776" s="56">
        <v>149</v>
      </c>
      <c r="T776" s="32">
        <f>R776+S776+IF(F776="Without EV deal",L776,0)</f>
        <v>278</v>
      </c>
      <c r="U776" s="57">
        <v>1</v>
      </c>
      <c r="V776" s="58"/>
      <c r="W776" s="58"/>
      <c r="X776" s="30">
        <f>IF(AF776="DoEV",IF(AND(V776&lt;20,W776&lt;55),0.3,0)+IF(AND(V776&lt;20,W776&gt;=55,W776&lt;105),0.23,0)+IF(AND(V776&lt;20,W776&gt;=105),0.17,0)+IF(AND(V776&gt;=20,V776&lt;40,W776&lt;45),0.3,0)+IF(AND(V776&gt;=20,V776&lt;40,W776&gt;=45,W776&lt;95),0.23,0)+IF(AND(V776&gt;=20,V776&lt;40,W776&gt;=95),0.17,0)+IF(AND(V776&gt;=40,V776&lt;75,W776&lt;35),0.3,0)+IF(AND(V776&gt;=40,V776&lt;75,W776&gt;=35,W776&lt;75),0.23,0)+IF(AND(V776&gt;=40,V776&lt;75,W776&gt;=75,W776&lt;120),0.17,0)+IF(AND(V776&gt;=40,V776&lt;75,W776&gt;=120),0.12,0)+IF(AND(V776&gt;=75,V776&lt;175,W776&lt;35),0.3,0)+IF(AND(V776&gt;=75,V776&lt;=175,W776&gt;=35,W776&lt;65),0.23,0)+IF(AND(V776&gt;=75,V776&lt;=175,W776&gt;=65,W776&lt;110),0.17,0)+IF(AND(V776&gt;=75,V776&lt;=175,W776&gt;=110),0.12,0)+IF(AND(V776&gt;175,W776&lt;25),0.3,0)+IF(AND(V776&gt;175,W776&gt;=25,W776&lt;55),0.23,0)+IF(AND(V776&gt;175,W776&gt;=55,W776&lt;95),0.17,0)+IF(AND(V776&gt;175,W776&gt;=95),0.12,0),
IF(AF776="Fix15",0.15,
IF(AF776="Fix18.75",0.1875,
IF(AF776="Fix11.25",0.1125,
IF(AF776="Fix10",0.1,
IF(AF776="Fix9",0.09,
IF(AF776="Fix19",0.19,
IF(AF776="DoEV2017",IF(AND(W776&lt;74),0.2,0)+IF(AND(W776&gt;=74),0.17,0),
IF(AF776="SF",IF(AND(V776&lt;20,W776&lt;89),0.3,0)+IF(AND(V776&lt;20,W776&gt;=89),0.25,0)+IF(AND(V776&gt;=20,V776&lt;40,W776&lt;74),0.3,0)+IF(AND(V776&gt;=20,V776&lt;40,W776&gt;=75),0.22,0)+IF(AND(V776&gt;=40,V776&lt;75,W776&lt;75),0.26,0)+IF(AND(V776&gt;=40,V776&lt;75,W776&gt;=75),0.22,0)+IF(V776&gt;=75,0.22,0),
IF(AF776="DoEVold",IF(AND(V776&lt;40,W776&lt;35),0.35,0)+IF(AND(V776&lt;40,W776&gt;=35,W776&lt;75),0.25,0)+IF(AND(V776&lt;40,W776&gt;=75),0.17,0)+IF(AND(V776&gt;=40,V776&lt;75,W776&lt;25),0.35,0)+IF(AND(V776&gt;=40,V776&lt;75,W776&gt;=25,W776&lt;65),0.25,0)+IF(AND(V776&gt;=40,V776&lt;75,W776&gt;=65,W776&lt;100),0.17,0)+IF(AND(V776&gt;=40,V776&lt;75,W776&gt;=100),0.1,0)+IF(AND(V776&gt;=75,W776&lt;25),0.35,0)+IF(AND(V776&gt;=75,W776&gt;=25,W776&lt;60),0.25,0)+IF(AND(V776&gt;=75,W776&gt;=60,W776&lt;95),0.17,0)+IF(AND(V776&gt;=75,W776&gt;=95),0.1,0),
IF(AF776="DoEVold15",IF(AND(V776&lt;=40,W776&lt;35),0.35,0)+IF(AND(V776&lt;=40,W776&gt;=35,W776&lt;75),0.25,0)+IF(AND(V776&lt;=40,W776&gt;=75,W776&lt;120),0.17,0)+IF(AND(V776&lt;=40,W776&gt;=120),0.15,0)+IF(AND(V776&gt;40,V776&lt;75,W776&lt;25),0.35,0)+IF(AND(V776&gt;=40,V776&lt;75,W776&gt;=25,W776&lt;65),0.25,0)+IF(AND(V776&gt;=40,V776&lt;75,W776&gt;=65,W776&lt;100),0.17,0)+IF(AND(V776&gt;=40,V776&lt;75,W776&gt;=100),0.1,0)+IF(AND(V776&gt;=75,W776&lt;25),0.35,0)+IF(AND(V776&gt;=75,W776&gt;=25,W776&lt;60),0.25,0)+IF(AND(V776&gt;=75,W776&gt;=60,W776&lt;95),0.17,0)+IF(AND(V776&gt;=75,W776&gt;=95),0.1,0),
IF(AF776="DoEVba",IF(AND(V776&lt;20,W776&lt;105),0.2,0)+IF(AND(V776&lt;20,W776&gt;=105),0.15,0)+IF(AND(V776&gt;=20,V776&lt;40,W776&lt;95),0.2,0)+IF(AND(V776&gt;=20,V776&lt;40,W776&gt;=95,W776&lt;150),0.15,0)+IF(AND(V776&gt;=20,V776&lt;40,W776&gt;=150),0.12,0)+IF(AND(V776&gt;=40,V776&lt;75,W776&lt;75),0.2,0)+IF(AND(V776&gt;=40,V776&lt;75,W776&gt;=75,W776&lt;120),0.15,0)+IF(AND(V776&gt;=40,V776&lt;75,W776&gt;=120),0.12,0)+IF(AND(V776&gt;=75,V776&lt;175,W776&lt;65),0.2,0)+IF(AND(V776&gt;=75,V776&lt;175,W776&gt;=65,W776&lt;110),0.15,0)+IF(AND(V776&gt;=75,V776&lt;175,W776&gt;=110),0.12,0)+IF(AND(V776&gt;=175,W776&lt;55),0.2,0)+IF(AND(V776&gt;=175,W776&gt;=55,W776&lt;95),0.15,0)+IF(AND(V776&gt;=175,W776&gt;=95),0.12,0),
IF(AF776="DoEVku",IF(AND(V776&lt;20,W776&lt;55),0.23,0)+IF(AND(V776&lt;20,W776&gt;=55,W776&lt;105),0.2,0)+IF(AND(V776&lt;20,W776&gt;=105),0.17,0)+IF(AND(V776&gt;=20,V776&lt;40,W776&lt;45),0.23,0)+IF(AND(V776&gt;=20,V776&lt;40,W776&gt;=45,W776&lt;95),0.2,0)+IF(AND(V776&gt;=20,V776&lt;40,W776&gt;=95,W776&lt;=150),0.17,0)+IF(AND(V776&gt;=20,V776&lt;40,W776&gt;=150),0.12,0)+IF(AND(V776&gt;=40,V776&lt;75,W776&lt;35),0.23,0)+IF(AND(V776&gt;=40,V776&lt;75,W776&gt;=35,W776&lt;75),0.2,0)+IF(AND(V776&gt;=40,V776&lt;75,W776&gt;=75,W776&lt;120),0.17,0)+IF(AND(V776&gt;=40,V776&lt;75,W776&gt;=120),0.12,0)+IF(AND(V776&gt;=75,V776&lt;175,W776&lt;35),0.23,0)+IF(AND(V776&gt;=75,V776&lt;=175,W776&gt;=35,W776&lt;65),0.2,0)+IF(AND(V776&gt;=75,V776&lt;=175,W776&gt;=65,W776&lt;110),0.17,0)+IF(AND(V776&gt;=75,V776&lt;=175,W776&gt;=110),0.12,0)+IF(AND(V776&gt;175,W776&lt;25),0.23,0)+IF(AND(V776&gt;175,W776&gt;=25,W776&lt;55),0.2,0)+IF(AND(V776&gt;175,W776&gt;=55,W776&lt;95),0.17,0)+IF(AND(V776&gt;175,W776&gt;=95),0.12,0),
IF(AF776="DoEVs1",IF(AND(V776&lt;20,W776&lt;55),0.3,0)+IF(AND(V776&lt;20,W776&gt;=55,W776&lt;105),0.23,0)+IF(AND(V776&lt;20,W776&gt;=105),0.17,0)+IF(AND(V776&gt;=20,V776&lt;40,W776&lt;45),0.3,0)+IF(AND(V776&gt;=20,V776&lt;40,W776&gt;=45,W776&lt;95),0.23,0)+IF(AND(V776&gt;=20,V776&lt;40,W776&gt;=95,W776&lt;=150),0.17,0)+IF(AND(V776&gt;=20,V776&lt;40,W776&gt;=150),0.12,0)+IF(AND(V776&gt;=40,V776&lt;75,W776&lt;35),0.3,0)+IF(AND(V776&gt;=40,V776&lt;75,W776&gt;=35,W776&lt;75),0.23,0)+IF(AND(V776&gt;=40,V776&lt;75,W776&gt;=75,W776&lt;120),0.17,0)+IF(AND(V776&gt;=40,V776&lt;75,W776&gt;=120),0.12,0)+IF(AND(V776&gt;=75,V776&lt;175,W776&lt;35),0.3,0)+IF(AND(V776&gt;=75,V776&lt;=175,W776&gt;=35,W776&lt;65),0.23,0)+IF(AND(V776&gt;=75,V776&lt;=175,W776&gt;=65,W776&lt;110),0.17,0)+IF(AND(V776&gt;=75,V776&lt;=175,W776&gt;=110),0.12,0)+IF(AND(V776&gt;175,W776&lt;25),0.3,0)+IF(AND(V776&gt;175,W776&gt;=25,W776&lt;55),0.23,0)+IF(AND(V776&gt;175,W776&gt;=55,W776&lt;95),0.17,0)+IF(AND(V776&gt;175,W776&gt;=95),0.12,0),
IF(AF776="DoEVsu",IF(AND(V776&lt;20,W776&lt;55),0.3,0)+IF(AND(V776&lt;20,W776&gt;=55,W776&lt;105),0.23,0)+IF(AND(V776&lt;20,W776&gt;=105),0.17,0)+IF(AND(V776&gt;=20,V776&lt;40,W776&lt;45),0.3,0)+IF(AND(V776&gt;=20,V776&lt;40,W776&gt;=45,W776&lt;95),0.23,0)+IF(AND(V776&gt;=20,V776&lt;40,W776&gt;=95,W776&lt;=250),0.17,0)+IF(AND(V776&gt;=20,V776&lt;40,W776&gt;=250),0.12,0)+IF(AND(V776&gt;=40,V776&lt;75,W776&lt;35),0.3,0)+IF(AND(V776&gt;=40,V776&lt;75,W776&gt;=35,W776&lt;75),0.23,0)+IF(AND(V776&gt;=40,V776&lt;75,W776&gt;=75,W776&lt;120),0.17,0)+IF(AND(V776&gt;=40,V776&lt;75,W776&gt;=120),0.12,0)+IF(AND(V776&gt;=75,V776&lt;175,W776&lt;35),0.3,0)+IF(AND(V776&gt;=75,V776&lt;=175,W776&gt;=35,W776&lt;65),0.23,0)+IF(AND(V776&gt;=75,V776&lt;=175,W776&gt;=65,W776&lt;110),0.17,0)+IF(AND(V776&gt;=75,V776&lt;=175,W776&gt;=110),0.12,0)+IF(AND(V776&gt;175,W776&lt;25),0.3,0)+IF(AND(V776&gt;175,W776&gt;=25,W776&lt;55),0.23,0)+IF(AND(V776&gt;175,W776&gt;=55,W776&lt;95),0.17,0)+IF(AND(V776&gt;175,W776&gt;=95),0.12,0),
IF(AF776="DoEVni",IF(AND(V776&lt;20,W776&lt;55),0.3,0)+IF(AND(V776&lt;20,W776&gt;=55,W776&lt;105),0.23,0)+IF(AND(V776&lt;20,W776&gt;=105),0.17,0)+IF(AND(V776&gt;=20,V776&lt;40,W776&lt;45),0.3,0)+IF(AND(V776&gt;=20,V776&lt;40,W776&gt;=45,W776&lt;95),0.23,0)+IF(AND(V776&gt;=20,V776&lt;40,W776&gt;=95,W776&lt;=200),0.17,0)+IF(AND(V776&gt;=20,V776&lt;40,W776&gt;=200),0.12,0)+IF(AND(V776&gt;=40,V776&lt;75,W776&lt;35),0.3,0)+IF(AND(V776&gt;=40,V776&lt;75,W776&gt;=35,W776&lt;75),0.23,0)+IF(AND(V776&gt;=40,V776&lt;75,W776&gt;=75,W776&lt;120),0.17,0)+IF(AND(V776&gt;=40,V776&lt;75,W776&gt;=120),0.12,0)+IF(AND(V776&gt;=75,V776&lt;175,W776&lt;35),0.3,0)+IF(AND(V776&gt;=75,V776&lt;=175,W776&gt;=35,W776&lt;65),0.23,0)+IF(AND(V776&gt;=75,V776&lt;=175,W776&gt;=65,W776&lt;110),0.17,0)+IF(AND(V776&gt;=75,V776&lt;=175,W776&gt;=110),0.12,0)+IF(AND(V776&gt;175,W776&lt;25),0.3,0)+IF(AND(V776&gt;175,W776&gt;=25,W776&lt;55),0.23,0)+IF(AND(V776&gt;175,W776&gt;=55,W776&lt;95),0.17,0)+IF(AND(V776&gt;175,W776&gt;=95),0.12,0),
IF(AF776="DoEVLo",IF(AND(V776&lt;20,W776&lt;55),0.25,0)+IF(AND(V776&lt;20,W776&gt;=55,W776&lt;105),0.2,0)+IF(AND(V776&lt;20,W776&gt;=105),0.15,0)+IF(AND(V776&gt;=20,V776&lt;40,W776&lt;45),0.25,0)+IF(AND(V776&gt;=20,V776&lt;40,W776&gt;=45,W776&lt;95),0.2,0)+IF(AND(V776&gt;=20,V776&lt;40,W776&gt;=95),0.15,0)+IF(AND(V776&gt;=40,V776&lt;75,W776&lt;35),0.25,0)+IF(AND(V776&gt;=40,V776&lt;75,W776&gt;=35,W776&lt;75),0.2,0)+IF(AND(V776&gt;=40,V776&lt;75,W776&gt;=75,W776&lt;120),0.15,0)+IF(AND(V776&gt;=40,V776&lt;75,W776&gt;=120),0.1,0)+IF(AND(V776&gt;=75,V776&lt;175,W776&lt;35),0.25,0)+IF(AND(V776&gt;=75,V776&lt;=175,W776&gt;=35,W776&lt;65),0.2,0)+IF(AND(V776&gt;=75,V776&lt;=175,W776&gt;=65,W776&lt;110),0.15,0)+IF(AND(V776&gt;=75,V776&lt;=175,W776&gt;=110),0.1,0)+IF(AND(V776&gt;175,W776&lt;25),0.25,0)+IF(AND(V776&gt;175,W776&gt;=25,W776&lt;55),0.2,0)+IF(AND(V776&gt;175,W776&gt;=55,W776&lt;95),0.15,0)+IF(AND(V776&gt;175,W776&gt;=95),0.1,0))))))))))))))))))</f>
        <v>0.1125</v>
      </c>
      <c r="Y776" s="30">
        <f>IF(AG776="None",0,IF(AG776="Fix5",0.05, IF(AG776="Fix6.25",0.0625,IF(AG776="Fix3.75",0.0375,IF(AG776="Fix10",0.1,IF(AG776="Fix3",0.03,0))))))</f>
        <v>3.7499999999999999E-2</v>
      </c>
      <c r="Z776" s="35">
        <f>T776-AA776-AB776</f>
        <v>204.72499999999999</v>
      </c>
      <c r="AA776" s="29">
        <f>IF(AD776="EUR",((T776-R776)*X776)*U776+(R776*X776),(T776*X776))</f>
        <v>31.275000000000002</v>
      </c>
      <c r="AB776" s="104">
        <v>42</v>
      </c>
      <c r="AC776" s="37" t="b">
        <v>1</v>
      </c>
      <c r="AD776" s="37" t="s">
        <v>38</v>
      </c>
      <c r="AE776" s="37" t="s">
        <v>38</v>
      </c>
      <c r="AF776" s="37" t="str">
        <f t="array" ref="AF776">INDEX('Deal Info'!D:D, MATCH(A776,'Deal Info'!A:A, 0))</f>
        <v>Fix11.25</v>
      </c>
      <c r="AG776" s="38" t="str">
        <f t="array" ref="AG776">INDEX('Deal Info'!G:G, MATCH(A776,'Deal Info'!A:A, 0))</f>
        <v>Fix3.75</v>
      </c>
    </row>
    <row r="777" spans="1:33" ht="14.25" hidden="1" x14ac:dyDescent="0.2">
      <c r="A777" s="18" t="str">
        <f t="array" ref="A777">IF(G777='Room Info'!$B$1, INDEX('Room Info'!$A$2:$A2446, MATCH(B777,'Room Info'!$B$2:$B2446, 0)),IF(G777='Room Info'!$C$1, INDEX('Room Info'!$A$2:$A2446, MATCH(B777,'Room Info'!$C$2:$C2446, 0)),IF(G777='Room Info'!$D$1, INDEX('Room Info'!$A$2:$A2446, MATCH(B777,'Room Info'!$D$2:$D2446, 0)),IF(G777='Room Info'!$E$1, INDEX('Room Info'!$A$2:$A2446, MATCH(B777,'Room Info'!$E$2:$E2446, 0)),IF(G777='Room Info'!$F$1, INDEX('Room Info'!$A$2:$A2446, MATCH(B777,'Room Info'!$F$2:$F2446, 0)),IF(G777='Room Info'!$H$1, INDEX('Room Info'!$A$2:$A2446, MATCH(B777,'Room Info'!$H$2:$H2446, 0)),IF(G777='Room Info'!$G$1, INDEX('Room Info'!$A$2:$A2446, MATCH(B777,'Room Info'!$G$2:$G2446, 0)))))))))</f>
        <v>fig6</v>
      </c>
      <c r="B777" s="45" t="s">
        <v>172</v>
      </c>
      <c r="C777" s="77">
        <v>44733</v>
      </c>
      <c r="D777" s="77">
        <v>44762</v>
      </c>
      <c r="E777" s="47">
        <v>44743</v>
      </c>
      <c r="F777" s="48" t="s">
        <v>34</v>
      </c>
      <c r="G777" s="45" t="s">
        <v>35</v>
      </c>
      <c r="H777" s="49" t="s">
        <v>88</v>
      </c>
      <c r="I777" s="49" t="s">
        <v>37</v>
      </c>
      <c r="J777" s="74">
        <v>250</v>
      </c>
      <c r="K777" s="75">
        <v>503</v>
      </c>
      <c r="L777" s="72">
        <v>-24000</v>
      </c>
      <c r="M777" s="76">
        <v>5075</v>
      </c>
      <c r="N777" s="28">
        <f>K777*J777</f>
        <v>125750</v>
      </c>
      <c r="O777" s="45">
        <v>1075</v>
      </c>
      <c r="P777" s="29">
        <v>2.1371769380000001</v>
      </c>
      <c r="Q777" s="55"/>
      <c r="R777" s="31">
        <f>M777+Q777</f>
        <v>5075</v>
      </c>
      <c r="S777" s="73">
        <v>-6172</v>
      </c>
      <c r="T777" s="32">
        <f>R777+S777+IF(F777="Without EV deal",L777,0)</f>
        <v>-1097</v>
      </c>
      <c r="U777" s="57">
        <v>1</v>
      </c>
      <c r="V777" s="58"/>
      <c r="W777" s="58"/>
      <c r="X777" s="30">
        <f>IF(AF777="DoEV",IF(AND(V777&lt;20,W777&lt;55),0.3,0)+IF(AND(V777&lt;20,W777&gt;=55,W777&lt;105),0.23,0)+IF(AND(V777&lt;20,W777&gt;=105),0.17,0)+IF(AND(V777&gt;=20,V777&lt;40,W777&lt;45),0.3,0)+IF(AND(V777&gt;=20,V777&lt;40,W777&gt;=45,W777&lt;95),0.23,0)+IF(AND(V777&gt;=20,V777&lt;40,W777&gt;=95),0.17,0)+IF(AND(V777&gt;=40,V777&lt;75,W777&lt;35),0.3,0)+IF(AND(V777&gt;=40,V777&lt;75,W777&gt;=35,W777&lt;75),0.23,0)+IF(AND(V777&gt;=40,V777&lt;75,W777&gt;=75,W777&lt;120),0.17,0)+IF(AND(V777&gt;=40,V777&lt;75,W777&gt;=120),0.12,0)+IF(AND(V777&gt;=75,V777&lt;175,W777&lt;35),0.3,0)+IF(AND(V777&gt;=75,V777&lt;=175,W777&gt;=35,W777&lt;65),0.23,0)+IF(AND(V777&gt;=75,V777&lt;=175,W777&gt;=65,W777&lt;110),0.17,0)+IF(AND(V777&gt;=75,V777&lt;=175,W777&gt;=110),0.12,0)+IF(AND(V777&gt;175,W777&lt;25),0.3,0)+IF(AND(V777&gt;175,W777&gt;=25,W777&lt;55),0.23,0)+IF(AND(V777&gt;175,W777&gt;=55,W777&lt;95),0.17,0)+IF(AND(V777&gt;175,W777&gt;=95),0.12,0),
IF(AF777="Fix15",0.15,
IF(AF777="Fix18.75",0.1875,
IF(AF777="Fix11.25",0.1125,
IF(AF777="Fix10",0.1,
IF(AF777="Fix9",0.09,
IF(AF777="Fix19",0.19,
IF(AF777="DoEV2017",IF(AND(W777&lt;74),0.2,0)+IF(AND(W777&gt;=74),0.17,0),
IF(AF777="SF",IF(AND(V777&lt;20,W777&lt;89),0.3,0)+IF(AND(V777&lt;20,W777&gt;=89),0.25,0)+IF(AND(V777&gt;=20,V777&lt;40,W777&lt;74),0.3,0)+IF(AND(V777&gt;=20,V777&lt;40,W777&gt;=75),0.22,0)+IF(AND(V777&gt;=40,V777&lt;75,W777&lt;75),0.26,0)+IF(AND(V777&gt;=40,V777&lt;75,W777&gt;=75),0.22,0)+IF(V777&gt;=75,0.22,0),
IF(AF777="DoEVold",IF(AND(V777&lt;40,W777&lt;35),0.35,0)+IF(AND(V777&lt;40,W777&gt;=35,W777&lt;75),0.25,0)+IF(AND(V777&lt;40,W777&gt;=75),0.17,0)+IF(AND(V777&gt;=40,V777&lt;75,W777&lt;25),0.35,0)+IF(AND(V777&gt;=40,V777&lt;75,W777&gt;=25,W777&lt;65),0.25,0)+IF(AND(V777&gt;=40,V777&lt;75,W777&gt;=65,W777&lt;100),0.17,0)+IF(AND(V777&gt;=40,V777&lt;75,W777&gt;=100),0.1,0)+IF(AND(V777&gt;=75,W777&lt;25),0.35,0)+IF(AND(V777&gt;=75,W777&gt;=25,W777&lt;60),0.25,0)+IF(AND(V777&gt;=75,W777&gt;=60,W777&lt;95),0.17,0)+IF(AND(V777&gt;=75,W777&gt;=95),0.1,0),
IF(AF777="DoEVold15",IF(AND(V777&lt;=40,W777&lt;35),0.35,0)+IF(AND(V777&lt;=40,W777&gt;=35,W777&lt;75),0.25,0)+IF(AND(V777&lt;=40,W777&gt;=75,W777&lt;120),0.17,0)+IF(AND(V777&lt;=40,W777&gt;=120),0.15,0)+IF(AND(V777&gt;40,V777&lt;75,W777&lt;25),0.35,0)+IF(AND(V777&gt;=40,V777&lt;75,W777&gt;=25,W777&lt;65),0.25,0)+IF(AND(V777&gt;=40,V777&lt;75,W777&gt;=65,W777&lt;100),0.17,0)+IF(AND(V777&gt;=40,V777&lt;75,W777&gt;=100),0.1,0)+IF(AND(V777&gt;=75,W777&lt;25),0.35,0)+IF(AND(V777&gt;=75,W777&gt;=25,W777&lt;60),0.25,0)+IF(AND(V777&gt;=75,W777&gt;=60,W777&lt;95),0.17,0)+IF(AND(V777&gt;=75,W777&gt;=95),0.1,0),
IF(AF777="DoEVba",IF(AND(V777&lt;20,W777&lt;105),0.2,0)+IF(AND(V777&lt;20,W777&gt;=105),0.15,0)+IF(AND(V777&gt;=20,V777&lt;40,W777&lt;95),0.2,0)+IF(AND(V777&gt;=20,V777&lt;40,W777&gt;=95,W777&lt;150),0.15,0)+IF(AND(V777&gt;=20,V777&lt;40,W777&gt;=150),0.12,0)+IF(AND(V777&gt;=40,V777&lt;75,W777&lt;75),0.2,0)+IF(AND(V777&gt;=40,V777&lt;75,W777&gt;=75,W777&lt;120),0.15,0)+IF(AND(V777&gt;=40,V777&lt;75,W777&gt;=120),0.12,0)+IF(AND(V777&gt;=75,V777&lt;175,W777&lt;65),0.2,0)+IF(AND(V777&gt;=75,V777&lt;175,W777&gt;=65,W777&lt;110),0.15,0)+IF(AND(V777&gt;=75,V777&lt;175,W777&gt;=110),0.12,0)+IF(AND(V777&gt;=175,W777&lt;55),0.2,0)+IF(AND(V777&gt;=175,W777&gt;=55,W777&lt;95),0.15,0)+IF(AND(V777&gt;=175,W777&gt;=95),0.12,0),
IF(AF777="DoEVku",IF(AND(V777&lt;20,W777&lt;55),0.23,0)+IF(AND(V777&lt;20,W777&gt;=55,W777&lt;105),0.2,0)+IF(AND(V777&lt;20,W777&gt;=105),0.17,0)+IF(AND(V777&gt;=20,V777&lt;40,W777&lt;45),0.23,0)+IF(AND(V777&gt;=20,V777&lt;40,W777&gt;=45,W777&lt;95),0.2,0)+IF(AND(V777&gt;=20,V777&lt;40,W777&gt;=95,W777&lt;=150),0.17,0)+IF(AND(V777&gt;=20,V777&lt;40,W777&gt;=150),0.12,0)+IF(AND(V777&gt;=40,V777&lt;75,W777&lt;35),0.23,0)+IF(AND(V777&gt;=40,V777&lt;75,W777&gt;=35,W777&lt;75),0.2,0)+IF(AND(V777&gt;=40,V777&lt;75,W777&gt;=75,W777&lt;120),0.17,0)+IF(AND(V777&gt;=40,V777&lt;75,W777&gt;=120),0.12,0)+IF(AND(V777&gt;=75,V777&lt;175,W777&lt;35),0.23,0)+IF(AND(V777&gt;=75,V777&lt;=175,W777&gt;=35,W777&lt;65),0.2,0)+IF(AND(V777&gt;=75,V777&lt;=175,W777&gt;=65,W777&lt;110),0.17,0)+IF(AND(V777&gt;=75,V777&lt;=175,W777&gt;=110),0.12,0)+IF(AND(V777&gt;175,W777&lt;25),0.23,0)+IF(AND(V777&gt;175,W777&gt;=25,W777&lt;55),0.2,0)+IF(AND(V777&gt;175,W777&gt;=55,W777&lt;95),0.17,0)+IF(AND(V777&gt;175,W777&gt;=95),0.12,0),
IF(AF777="DoEVs1",IF(AND(V777&lt;20,W777&lt;55),0.3,0)+IF(AND(V777&lt;20,W777&gt;=55,W777&lt;105),0.23,0)+IF(AND(V777&lt;20,W777&gt;=105),0.17,0)+IF(AND(V777&gt;=20,V777&lt;40,W777&lt;45),0.3,0)+IF(AND(V777&gt;=20,V777&lt;40,W777&gt;=45,W777&lt;95),0.23,0)+IF(AND(V777&gt;=20,V777&lt;40,W777&gt;=95,W777&lt;=150),0.17,0)+IF(AND(V777&gt;=20,V777&lt;40,W777&gt;=150),0.12,0)+IF(AND(V777&gt;=40,V777&lt;75,W777&lt;35),0.3,0)+IF(AND(V777&gt;=40,V777&lt;75,W777&gt;=35,W777&lt;75),0.23,0)+IF(AND(V777&gt;=40,V777&lt;75,W777&gt;=75,W777&lt;120),0.17,0)+IF(AND(V777&gt;=40,V777&lt;75,W777&gt;=120),0.12,0)+IF(AND(V777&gt;=75,V777&lt;175,W777&lt;35),0.3,0)+IF(AND(V777&gt;=75,V777&lt;=175,W777&gt;=35,W777&lt;65),0.23,0)+IF(AND(V777&gt;=75,V777&lt;=175,W777&gt;=65,W777&lt;110),0.17,0)+IF(AND(V777&gt;=75,V777&lt;=175,W777&gt;=110),0.12,0)+IF(AND(V777&gt;175,W777&lt;25),0.3,0)+IF(AND(V777&gt;175,W777&gt;=25,W777&lt;55),0.23,0)+IF(AND(V777&gt;175,W777&gt;=55,W777&lt;95),0.17,0)+IF(AND(V777&gt;175,W777&gt;=95),0.12,0),
IF(AF777="DoEVsu",IF(AND(V777&lt;20,W777&lt;55),0.3,0)+IF(AND(V777&lt;20,W777&gt;=55,W777&lt;105),0.23,0)+IF(AND(V777&lt;20,W777&gt;=105),0.17,0)+IF(AND(V777&gt;=20,V777&lt;40,W777&lt;45),0.3,0)+IF(AND(V777&gt;=20,V777&lt;40,W777&gt;=45,W777&lt;95),0.23,0)+IF(AND(V777&gt;=20,V777&lt;40,W777&gt;=95,W777&lt;=250),0.17,0)+IF(AND(V777&gt;=20,V777&lt;40,W777&gt;=250),0.12,0)+IF(AND(V777&gt;=40,V777&lt;75,W777&lt;35),0.3,0)+IF(AND(V777&gt;=40,V777&lt;75,W777&gt;=35,W777&lt;75),0.23,0)+IF(AND(V777&gt;=40,V777&lt;75,W777&gt;=75,W777&lt;120),0.17,0)+IF(AND(V777&gt;=40,V777&lt;75,W777&gt;=120),0.12,0)+IF(AND(V777&gt;=75,V777&lt;175,W777&lt;35),0.3,0)+IF(AND(V777&gt;=75,V777&lt;=175,W777&gt;=35,W777&lt;65),0.23,0)+IF(AND(V777&gt;=75,V777&lt;=175,W777&gt;=65,W777&lt;110),0.17,0)+IF(AND(V777&gt;=75,V777&lt;=175,W777&gt;=110),0.12,0)+IF(AND(V777&gt;175,W777&lt;25),0.3,0)+IF(AND(V777&gt;175,W777&gt;=25,W777&lt;55),0.23,0)+IF(AND(V777&gt;175,W777&gt;=55,W777&lt;95),0.17,0)+IF(AND(V777&gt;175,W777&gt;=95),0.12,0),
IF(AF777="DoEVni",IF(AND(V777&lt;20,W777&lt;55),0.3,0)+IF(AND(V777&lt;20,W777&gt;=55,W777&lt;105),0.23,0)+IF(AND(V777&lt;20,W777&gt;=105),0.17,0)+IF(AND(V777&gt;=20,V777&lt;40,W777&lt;45),0.3,0)+IF(AND(V777&gt;=20,V777&lt;40,W777&gt;=45,W777&lt;95),0.23,0)+IF(AND(V777&gt;=20,V777&lt;40,W777&gt;=95,W777&lt;=200),0.17,0)+IF(AND(V777&gt;=20,V777&lt;40,W777&gt;=200),0.12,0)+IF(AND(V777&gt;=40,V777&lt;75,W777&lt;35),0.3,0)+IF(AND(V777&gt;=40,V777&lt;75,W777&gt;=35,W777&lt;75),0.23,0)+IF(AND(V777&gt;=40,V777&lt;75,W777&gt;=75,W777&lt;120),0.17,0)+IF(AND(V777&gt;=40,V777&lt;75,W777&gt;=120),0.12,0)+IF(AND(V777&gt;=75,V777&lt;175,W777&lt;35),0.3,0)+IF(AND(V777&gt;=75,V777&lt;=175,W777&gt;=35,W777&lt;65),0.23,0)+IF(AND(V777&gt;=75,V777&lt;=175,W777&gt;=65,W777&lt;110),0.17,0)+IF(AND(V777&gt;=75,V777&lt;=175,W777&gt;=110),0.12,0)+IF(AND(V777&gt;175,W777&lt;25),0.3,0)+IF(AND(V777&gt;175,W777&gt;=25,W777&lt;55),0.23,0)+IF(AND(V777&gt;175,W777&gt;=55,W777&lt;95),0.17,0)+IF(AND(V777&gt;175,W777&gt;=95),0.12,0),
IF(AF777="DoEVLo",IF(AND(V777&lt;20,W777&lt;55),0.25,0)+IF(AND(V777&lt;20,W777&gt;=55,W777&lt;105),0.2,0)+IF(AND(V777&lt;20,W777&gt;=105),0.15,0)+IF(AND(V777&gt;=20,V777&lt;40,W777&lt;45),0.25,0)+IF(AND(V777&gt;=20,V777&lt;40,W777&gt;=45,W777&lt;95),0.2,0)+IF(AND(V777&gt;=20,V777&lt;40,W777&gt;=95),0.15,0)+IF(AND(V777&gt;=40,V777&lt;75,W777&lt;35),0.25,0)+IF(AND(V777&gt;=40,V777&lt;75,W777&gt;=35,W777&lt;75),0.2,0)+IF(AND(V777&gt;=40,V777&lt;75,W777&gt;=75,W777&lt;120),0.15,0)+IF(AND(V777&gt;=40,V777&lt;75,W777&gt;=120),0.1,0)+IF(AND(V777&gt;=75,V777&lt;175,W777&lt;35),0.25,0)+IF(AND(V777&gt;=75,V777&lt;=175,W777&gt;=35,W777&lt;65),0.2,0)+IF(AND(V777&gt;=75,V777&lt;=175,W777&gt;=65,W777&lt;110),0.15,0)+IF(AND(V777&gt;=75,V777&lt;=175,W777&gt;=110),0.1,0)+IF(AND(V777&gt;175,W777&lt;25),0.25,0)+IF(AND(V777&gt;175,W777&gt;=25,W777&lt;55),0.2,0)+IF(AND(V777&gt;175,W777&gt;=55,W777&lt;95),0.15,0)+IF(AND(V777&gt;175,W777&gt;=95),0.1,0))))))))))))))))))</f>
        <v>0.1125</v>
      </c>
      <c r="Y777" s="30">
        <f>IF(AG777="None",0,IF(AG777="Fix5",0.05, IF(AG777="Fix6.25",0.0625,IF(AG777="Fix3.75",0.0375,IF(AG777="Fix10",0.1,IF(AG777="Fix3",0.03,0))))))</f>
        <v>3.7499999999999999E-2</v>
      </c>
      <c r="Z777" s="35">
        <f>T777-AA777-AB777</f>
        <v>-808.58749999999998</v>
      </c>
      <c r="AA777" s="29">
        <f>IF(AD777="EUR",((T777-R777)*X777)*U777+(R777*X777),(T777*X777))</f>
        <v>-123.41250000000001</v>
      </c>
      <c r="AB777" s="104">
        <v>-165</v>
      </c>
      <c r="AC777" s="37" t="b">
        <v>1</v>
      </c>
      <c r="AD777" s="37" t="s">
        <v>38</v>
      </c>
      <c r="AE777" s="37" t="s">
        <v>38</v>
      </c>
      <c r="AF777" s="37" t="str">
        <f t="array" ref="AF777">INDEX('Deal Info'!D:D, MATCH(A777,'Deal Info'!A:A, 0))</f>
        <v>Fix11.25</v>
      </c>
      <c r="AG777" s="38" t="str">
        <f t="array" ref="AG777">INDEX('Deal Info'!G:G, MATCH(A777,'Deal Info'!A:A, 0))</f>
        <v>Fix3.75</v>
      </c>
    </row>
    <row r="778" spans="1:33" ht="14.25" hidden="1" x14ac:dyDescent="0.2">
      <c r="A778" s="18" t="str">
        <f t="array" ref="A778">IF(G778='Room Info'!$B$1, INDEX('Room Info'!$A$2:$A2446, MATCH(B778,'Room Info'!$B$2:$B2446, 0)),IF(G778='Room Info'!$C$1, INDEX('Room Info'!$A$2:$A2446, MATCH(B778,'Room Info'!$C$2:$C2446, 0)),IF(G778='Room Info'!$D$1, INDEX('Room Info'!$A$2:$A2446, MATCH(B778,'Room Info'!$D$2:$D2446, 0)),IF(G778='Room Info'!$E$1, INDEX('Room Info'!$A$2:$A2446, MATCH(B778,'Room Info'!$E$2:$E2446, 0)),IF(G778='Room Info'!$F$1, INDEX('Room Info'!$A$2:$A2446, MATCH(B778,'Room Info'!$F$2:$F2446, 0)),IF(G778='Room Info'!$H$1, INDEX('Room Info'!$A$2:$A2446, MATCH(B778,'Room Info'!$H$2:$H2446, 0)),IF(G778='Room Info'!$G$1, INDEX('Room Info'!$A$2:$A2446, MATCH(B778,'Room Info'!$G$2:$G2446, 0)))))))))</f>
        <v>fig6</v>
      </c>
      <c r="B778" s="45" t="s">
        <v>172</v>
      </c>
      <c r="C778" s="46">
        <v>44733</v>
      </c>
      <c r="D778" s="46">
        <v>44762</v>
      </c>
      <c r="E778" s="47">
        <v>44743</v>
      </c>
      <c r="F778" s="48" t="s">
        <v>34</v>
      </c>
      <c r="G778" s="54" t="s">
        <v>35</v>
      </c>
      <c r="H778" s="49" t="s">
        <v>142</v>
      </c>
      <c r="I778" s="49" t="s">
        <v>37</v>
      </c>
      <c r="J778" s="50">
        <v>500</v>
      </c>
      <c r="K778" s="51">
        <v>1</v>
      </c>
      <c r="L778" s="52">
        <v>-500</v>
      </c>
      <c r="M778" s="53">
        <v>20</v>
      </c>
      <c r="N778" s="28">
        <f>K778*J778</f>
        <v>500</v>
      </c>
      <c r="O778" s="54">
        <v>-54</v>
      </c>
      <c r="P778" s="29">
        <v>-54</v>
      </c>
      <c r="Q778" s="55"/>
      <c r="R778" s="31">
        <f>M778+Q778</f>
        <v>20</v>
      </c>
      <c r="S778" s="56">
        <v>-77</v>
      </c>
      <c r="T778" s="32">
        <f>R778+S778+IF(F778="Without EV deal",L778,0)</f>
        <v>-57</v>
      </c>
      <c r="U778" s="57">
        <v>1</v>
      </c>
      <c r="V778" s="58"/>
      <c r="W778" s="58"/>
      <c r="X778" s="30">
        <f>IF(AF778="DoEV",IF(AND(V778&lt;20,W778&lt;55),0.3,0)+IF(AND(V778&lt;20,W778&gt;=55,W778&lt;105),0.23,0)+IF(AND(V778&lt;20,W778&gt;=105),0.17,0)+IF(AND(V778&gt;=20,V778&lt;40,W778&lt;45),0.3,0)+IF(AND(V778&gt;=20,V778&lt;40,W778&gt;=45,W778&lt;95),0.23,0)+IF(AND(V778&gt;=20,V778&lt;40,W778&gt;=95),0.17,0)+IF(AND(V778&gt;=40,V778&lt;75,W778&lt;35),0.3,0)+IF(AND(V778&gt;=40,V778&lt;75,W778&gt;=35,W778&lt;75),0.23,0)+IF(AND(V778&gt;=40,V778&lt;75,W778&gt;=75,W778&lt;120),0.17,0)+IF(AND(V778&gt;=40,V778&lt;75,W778&gt;=120),0.12,0)+IF(AND(V778&gt;=75,V778&lt;175,W778&lt;35),0.3,0)+IF(AND(V778&gt;=75,V778&lt;=175,W778&gt;=35,W778&lt;65),0.23,0)+IF(AND(V778&gt;=75,V778&lt;=175,W778&gt;=65,W778&lt;110),0.17,0)+IF(AND(V778&gt;=75,V778&lt;=175,W778&gt;=110),0.12,0)+IF(AND(V778&gt;175,W778&lt;25),0.3,0)+IF(AND(V778&gt;175,W778&gt;=25,W778&lt;55),0.23,0)+IF(AND(V778&gt;175,W778&gt;=55,W778&lt;95),0.17,0)+IF(AND(V778&gt;175,W778&gt;=95),0.12,0),
IF(AF778="Fix15",0.15,
IF(AF778="Fix18.75",0.1875,
IF(AF778="Fix11.25",0.1125,
IF(AF778="Fix10",0.1,
IF(AF778="Fix9",0.09,
IF(AF778="Fix19",0.19,
IF(AF778="DoEV2017",IF(AND(W778&lt;74),0.2,0)+IF(AND(W778&gt;=74),0.17,0),
IF(AF778="SF",IF(AND(V778&lt;20,W778&lt;89),0.3,0)+IF(AND(V778&lt;20,W778&gt;=89),0.25,0)+IF(AND(V778&gt;=20,V778&lt;40,W778&lt;74),0.3,0)+IF(AND(V778&gt;=20,V778&lt;40,W778&gt;=75),0.22,0)+IF(AND(V778&gt;=40,V778&lt;75,W778&lt;75),0.26,0)+IF(AND(V778&gt;=40,V778&lt;75,W778&gt;=75),0.22,0)+IF(V778&gt;=75,0.22,0),
IF(AF778="DoEVold",IF(AND(V778&lt;40,W778&lt;35),0.35,0)+IF(AND(V778&lt;40,W778&gt;=35,W778&lt;75),0.25,0)+IF(AND(V778&lt;40,W778&gt;=75),0.17,0)+IF(AND(V778&gt;=40,V778&lt;75,W778&lt;25),0.35,0)+IF(AND(V778&gt;=40,V778&lt;75,W778&gt;=25,W778&lt;65),0.25,0)+IF(AND(V778&gt;=40,V778&lt;75,W778&gt;=65,W778&lt;100),0.17,0)+IF(AND(V778&gt;=40,V778&lt;75,W778&gt;=100),0.1,0)+IF(AND(V778&gt;=75,W778&lt;25),0.35,0)+IF(AND(V778&gt;=75,W778&gt;=25,W778&lt;60),0.25,0)+IF(AND(V778&gt;=75,W778&gt;=60,W778&lt;95),0.17,0)+IF(AND(V778&gt;=75,W778&gt;=95),0.1,0),
IF(AF778="DoEVold15",IF(AND(V778&lt;=40,W778&lt;35),0.35,0)+IF(AND(V778&lt;=40,W778&gt;=35,W778&lt;75),0.25,0)+IF(AND(V778&lt;=40,W778&gt;=75,W778&lt;120),0.17,0)+IF(AND(V778&lt;=40,W778&gt;=120),0.15,0)+IF(AND(V778&gt;40,V778&lt;75,W778&lt;25),0.35,0)+IF(AND(V778&gt;=40,V778&lt;75,W778&gt;=25,W778&lt;65),0.25,0)+IF(AND(V778&gt;=40,V778&lt;75,W778&gt;=65,W778&lt;100),0.17,0)+IF(AND(V778&gt;=40,V778&lt;75,W778&gt;=100),0.1,0)+IF(AND(V778&gt;=75,W778&lt;25),0.35,0)+IF(AND(V778&gt;=75,W778&gt;=25,W778&lt;60),0.25,0)+IF(AND(V778&gt;=75,W778&gt;=60,W778&lt;95),0.17,0)+IF(AND(V778&gt;=75,W778&gt;=95),0.1,0),
IF(AF778="DoEVba",IF(AND(V778&lt;20,W778&lt;105),0.2,0)+IF(AND(V778&lt;20,W778&gt;=105),0.15,0)+IF(AND(V778&gt;=20,V778&lt;40,W778&lt;95),0.2,0)+IF(AND(V778&gt;=20,V778&lt;40,W778&gt;=95,W778&lt;150),0.15,0)+IF(AND(V778&gt;=20,V778&lt;40,W778&gt;=150),0.12,0)+IF(AND(V778&gt;=40,V778&lt;75,W778&lt;75),0.2,0)+IF(AND(V778&gt;=40,V778&lt;75,W778&gt;=75,W778&lt;120),0.15,0)+IF(AND(V778&gt;=40,V778&lt;75,W778&gt;=120),0.12,0)+IF(AND(V778&gt;=75,V778&lt;175,W778&lt;65),0.2,0)+IF(AND(V778&gt;=75,V778&lt;175,W778&gt;=65,W778&lt;110),0.15,0)+IF(AND(V778&gt;=75,V778&lt;175,W778&gt;=110),0.12,0)+IF(AND(V778&gt;=175,W778&lt;55),0.2,0)+IF(AND(V778&gt;=175,W778&gt;=55,W778&lt;95),0.15,0)+IF(AND(V778&gt;=175,W778&gt;=95),0.12,0),
IF(AF778="DoEVku",IF(AND(V778&lt;20,W778&lt;55),0.23,0)+IF(AND(V778&lt;20,W778&gt;=55,W778&lt;105),0.2,0)+IF(AND(V778&lt;20,W778&gt;=105),0.17,0)+IF(AND(V778&gt;=20,V778&lt;40,W778&lt;45),0.23,0)+IF(AND(V778&gt;=20,V778&lt;40,W778&gt;=45,W778&lt;95),0.2,0)+IF(AND(V778&gt;=20,V778&lt;40,W778&gt;=95,W778&lt;=150),0.17,0)+IF(AND(V778&gt;=20,V778&lt;40,W778&gt;=150),0.12,0)+IF(AND(V778&gt;=40,V778&lt;75,W778&lt;35),0.23,0)+IF(AND(V778&gt;=40,V778&lt;75,W778&gt;=35,W778&lt;75),0.2,0)+IF(AND(V778&gt;=40,V778&lt;75,W778&gt;=75,W778&lt;120),0.17,0)+IF(AND(V778&gt;=40,V778&lt;75,W778&gt;=120),0.12,0)+IF(AND(V778&gt;=75,V778&lt;175,W778&lt;35),0.23,0)+IF(AND(V778&gt;=75,V778&lt;=175,W778&gt;=35,W778&lt;65),0.2,0)+IF(AND(V778&gt;=75,V778&lt;=175,W778&gt;=65,W778&lt;110),0.17,0)+IF(AND(V778&gt;=75,V778&lt;=175,W778&gt;=110),0.12,0)+IF(AND(V778&gt;175,W778&lt;25),0.23,0)+IF(AND(V778&gt;175,W778&gt;=25,W778&lt;55),0.2,0)+IF(AND(V778&gt;175,W778&gt;=55,W778&lt;95),0.17,0)+IF(AND(V778&gt;175,W778&gt;=95),0.12,0),
IF(AF778="DoEVs1",IF(AND(V778&lt;20,W778&lt;55),0.3,0)+IF(AND(V778&lt;20,W778&gt;=55,W778&lt;105),0.23,0)+IF(AND(V778&lt;20,W778&gt;=105),0.17,0)+IF(AND(V778&gt;=20,V778&lt;40,W778&lt;45),0.3,0)+IF(AND(V778&gt;=20,V778&lt;40,W778&gt;=45,W778&lt;95),0.23,0)+IF(AND(V778&gt;=20,V778&lt;40,W778&gt;=95,W778&lt;=150),0.17,0)+IF(AND(V778&gt;=20,V778&lt;40,W778&gt;=150),0.12,0)+IF(AND(V778&gt;=40,V778&lt;75,W778&lt;35),0.3,0)+IF(AND(V778&gt;=40,V778&lt;75,W778&gt;=35,W778&lt;75),0.23,0)+IF(AND(V778&gt;=40,V778&lt;75,W778&gt;=75,W778&lt;120),0.17,0)+IF(AND(V778&gt;=40,V778&lt;75,W778&gt;=120),0.12,0)+IF(AND(V778&gt;=75,V778&lt;175,W778&lt;35),0.3,0)+IF(AND(V778&gt;=75,V778&lt;=175,W778&gt;=35,W778&lt;65),0.23,0)+IF(AND(V778&gt;=75,V778&lt;=175,W778&gt;=65,W778&lt;110),0.17,0)+IF(AND(V778&gt;=75,V778&lt;=175,W778&gt;=110),0.12,0)+IF(AND(V778&gt;175,W778&lt;25),0.3,0)+IF(AND(V778&gt;175,W778&gt;=25,W778&lt;55),0.23,0)+IF(AND(V778&gt;175,W778&gt;=55,W778&lt;95),0.17,0)+IF(AND(V778&gt;175,W778&gt;=95),0.12,0),
IF(AF778="DoEVsu",IF(AND(V778&lt;20,W778&lt;55),0.3,0)+IF(AND(V778&lt;20,W778&gt;=55,W778&lt;105),0.23,0)+IF(AND(V778&lt;20,W778&gt;=105),0.17,0)+IF(AND(V778&gt;=20,V778&lt;40,W778&lt;45),0.3,0)+IF(AND(V778&gt;=20,V778&lt;40,W778&gt;=45,W778&lt;95),0.23,0)+IF(AND(V778&gt;=20,V778&lt;40,W778&gt;=95,W778&lt;=250),0.17,0)+IF(AND(V778&gt;=20,V778&lt;40,W778&gt;=250),0.12,0)+IF(AND(V778&gt;=40,V778&lt;75,W778&lt;35),0.3,0)+IF(AND(V778&gt;=40,V778&lt;75,W778&gt;=35,W778&lt;75),0.23,0)+IF(AND(V778&gt;=40,V778&lt;75,W778&gt;=75,W778&lt;120),0.17,0)+IF(AND(V778&gt;=40,V778&lt;75,W778&gt;=120),0.12,0)+IF(AND(V778&gt;=75,V778&lt;175,W778&lt;35),0.3,0)+IF(AND(V778&gt;=75,V778&lt;=175,W778&gt;=35,W778&lt;65),0.23,0)+IF(AND(V778&gt;=75,V778&lt;=175,W778&gt;=65,W778&lt;110),0.17,0)+IF(AND(V778&gt;=75,V778&lt;=175,W778&gt;=110),0.12,0)+IF(AND(V778&gt;175,W778&lt;25),0.3,0)+IF(AND(V778&gt;175,W778&gt;=25,W778&lt;55),0.23,0)+IF(AND(V778&gt;175,W778&gt;=55,W778&lt;95),0.17,0)+IF(AND(V778&gt;175,W778&gt;=95),0.12,0),
IF(AF778="DoEVni",IF(AND(V778&lt;20,W778&lt;55),0.3,0)+IF(AND(V778&lt;20,W778&gt;=55,W778&lt;105),0.23,0)+IF(AND(V778&lt;20,W778&gt;=105),0.17,0)+IF(AND(V778&gt;=20,V778&lt;40,W778&lt;45),0.3,0)+IF(AND(V778&gt;=20,V778&lt;40,W778&gt;=45,W778&lt;95),0.23,0)+IF(AND(V778&gt;=20,V778&lt;40,W778&gt;=95,W778&lt;=200),0.17,0)+IF(AND(V778&gt;=20,V778&lt;40,W778&gt;=200),0.12,0)+IF(AND(V778&gt;=40,V778&lt;75,W778&lt;35),0.3,0)+IF(AND(V778&gt;=40,V778&lt;75,W778&gt;=35,W778&lt;75),0.23,0)+IF(AND(V778&gt;=40,V778&lt;75,W778&gt;=75,W778&lt;120),0.17,0)+IF(AND(V778&gt;=40,V778&lt;75,W778&gt;=120),0.12,0)+IF(AND(V778&gt;=75,V778&lt;175,W778&lt;35),0.3,0)+IF(AND(V778&gt;=75,V778&lt;=175,W778&gt;=35,W778&lt;65),0.23,0)+IF(AND(V778&gt;=75,V778&lt;=175,W778&gt;=65,W778&lt;110),0.17,0)+IF(AND(V778&gt;=75,V778&lt;=175,W778&gt;=110),0.12,0)+IF(AND(V778&gt;175,W778&lt;25),0.3,0)+IF(AND(V778&gt;175,W778&gt;=25,W778&lt;55),0.23,0)+IF(AND(V778&gt;175,W778&gt;=55,W778&lt;95),0.17,0)+IF(AND(V778&gt;175,W778&gt;=95),0.12,0),
IF(AF778="DoEVLo",IF(AND(V778&lt;20,W778&lt;55),0.25,0)+IF(AND(V778&lt;20,W778&gt;=55,W778&lt;105),0.2,0)+IF(AND(V778&lt;20,W778&gt;=105),0.15,0)+IF(AND(V778&gt;=20,V778&lt;40,W778&lt;45),0.25,0)+IF(AND(V778&gt;=20,V778&lt;40,W778&gt;=45,W778&lt;95),0.2,0)+IF(AND(V778&gt;=20,V778&lt;40,W778&gt;=95),0.15,0)+IF(AND(V778&gt;=40,V778&lt;75,W778&lt;35),0.25,0)+IF(AND(V778&gt;=40,V778&lt;75,W778&gt;=35,W778&lt;75),0.2,0)+IF(AND(V778&gt;=40,V778&lt;75,W778&gt;=75,W778&lt;120),0.15,0)+IF(AND(V778&gt;=40,V778&lt;75,W778&gt;=120),0.1,0)+IF(AND(V778&gt;=75,V778&lt;175,W778&lt;35),0.25,0)+IF(AND(V778&gt;=75,V778&lt;=175,W778&gt;=35,W778&lt;65),0.2,0)+IF(AND(V778&gt;=75,V778&lt;=175,W778&gt;=65,W778&lt;110),0.15,0)+IF(AND(V778&gt;=75,V778&lt;=175,W778&gt;=110),0.1,0)+IF(AND(V778&gt;175,W778&lt;25),0.25,0)+IF(AND(V778&gt;175,W778&gt;=25,W778&lt;55),0.2,0)+IF(AND(V778&gt;175,W778&gt;=55,W778&lt;95),0.15,0)+IF(AND(V778&gt;175,W778&gt;=95),0.1,0))))))))))))))))))</f>
        <v>0.1125</v>
      </c>
      <c r="Y778" s="30">
        <f>IF(AG778="None",0,IF(AG778="Fix5",0.05, IF(AG778="Fix6.25",0.0625,IF(AG778="Fix3.75",0.0375,IF(AG778="Fix10",0.1,IF(AG778="Fix3",0.03,0))))))</f>
        <v>3.7499999999999999E-2</v>
      </c>
      <c r="Z778" s="35">
        <f>T778-AA778-AB778</f>
        <v>-41.587499999999999</v>
      </c>
      <c r="AA778" s="29">
        <f>IF(AD778="EUR",((T778-R778)*X778)*U778+(R778*X778),(T778*X778))</f>
        <v>-6.4125000000000005</v>
      </c>
      <c r="AB778" s="104">
        <v>-9</v>
      </c>
      <c r="AC778" s="37" t="b">
        <v>1</v>
      </c>
      <c r="AD778" s="37" t="s">
        <v>38</v>
      </c>
      <c r="AE778" s="37" t="s">
        <v>38</v>
      </c>
      <c r="AF778" s="37" t="str">
        <f t="array" ref="AF778">INDEX('Deal Info'!D:D, MATCH(A778,'Deal Info'!A:A, 0))</f>
        <v>Fix11.25</v>
      </c>
      <c r="AG778" s="38" t="str">
        <f t="array" ref="AG778">INDEX('Deal Info'!G:G, MATCH(A778,'Deal Info'!A:A, 0))</f>
        <v>Fix3.75</v>
      </c>
    </row>
    <row r="779" spans="1:33" ht="14.25" hidden="1" x14ac:dyDescent="0.2">
      <c r="A779" s="18" t="str">
        <f t="array" ref="A779">IF(G779='Room Info'!$B$1, INDEX('Room Info'!$A$2:$A2446, MATCH(B779,'Room Info'!$B$2:$B2446, 0)),IF(G779='Room Info'!$C$1, INDEX('Room Info'!$A$2:$A2446, MATCH(B779,'Room Info'!$C$2:$C2446, 0)),IF(G779='Room Info'!$D$1, INDEX('Room Info'!$A$2:$A2446, MATCH(B779,'Room Info'!$D$2:$D2446, 0)),IF(G779='Room Info'!$E$1, INDEX('Room Info'!$A$2:$A2446, MATCH(B779,'Room Info'!$E$2:$E2446, 0)),IF(G779='Room Info'!$F$1, INDEX('Room Info'!$A$2:$A2446, MATCH(B779,'Room Info'!$F$2:$F2446, 0)),IF(G779='Room Info'!$H$1, INDEX('Room Info'!$A$2:$A2446, MATCH(B779,'Room Info'!$H$2:$H2446, 0)),IF(G779='Room Info'!$G$1, INDEX('Room Info'!$A$2:$A2446, MATCH(B779,'Room Info'!$G$2:$G2446, 0)))))))))</f>
        <v>fig6</v>
      </c>
      <c r="B779" s="45" t="s">
        <v>172</v>
      </c>
      <c r="C779" s="46">
        <v>44733</v>
      </c>
      <c r="D779" s="46">
        <v>44762</v>
      </c>
      <c r="E779" s="47">
        <v>44743</v>
      </c>
      <c r="F779" s="48" t="s">
        <v>41</v>
      </c>
      <c r="G779" s="54" t="s">
        <v>35</v>
      </c>
      <c r="H779" s="49" t="s">
        <v>85</v>
      </c>
      <c r="I779" s="49" t="s">
        <v>44</v>
      </c>
      <c r="J779" s="50">
        <v>50</v>
      </c>
      <c r="K779" s="51">
        <v>1</v>
      </c>
      <c r="L779" s="52">
        <v>-50</v>
      </c>
      <c r="M779" s="53">
        <v>2</v>
      </c>
      <c r="N779" s="28">
        <f>K779*J779</f>
        <v>50</v>
      </c>
      <c r="O779" s="65"/>
      <c r="P779" s="29">
        <v>0</v>
      </c>
      <c r="Q779" s="55"/>
      <c r="R779" s="31">
        <f>M779+Q779</f>
        <v>2</v>
      </c>
      <c r="S779" s="66"/>
      <c r="T779" s="32">
        <f>R779+S779+IF(F779="Without EV deal",L779,0)</f>
        <v>-48</v>
      </c>
      <c r="U779" s="57">
        <v>1</v>
      </c>
      <c r="V779" s="58"/>
      <c r="W779" s="58"/>
      <c r="X779" s="30">
        <f>IF(AF779="DoEV",IF(AND(V779&lt;20,W779&lt;55),0.3,0)+IF(AND(V779&lt;20,W779&gt;=55,W779&lt;105),0.23,0)+IF(AND(V779&lt;20,W779&gt;=105),0.17,0)+IF(AND(V779&gt;=20,V779&lt;40,W779&lt;45),0.3,0)+IF(AND(V779&gt;=20,V779&lt;40,W779&gt;=45,W779&lt;95),0.23,0)+IF(AND(V779&gt;=20,V779&lt;40,W779&gt;=95),0.17,0)+IF(AND(V779&gt;=40,V779&lt;75,W779&lt;35),0.3,0)+IF(AND(V779&gt;=40,V779&lt;75,W779&gt;=35,W779&lt;75),0.23,0)+IF(AND(V779&gt;=40,V779&lt;75,W779&gt;=75,W779&lt;120),0.17,0)+IF(AND(V779&gt;=40,V779&lt;75,W779&gt;=120),0.12,0)+IF(AND(V779&gt;=75,V779&lt;175,W779&lt;35),0.3,0)+IF(AND(V779&gt;=75,V779&lt;=175,W779&gt;=35,W779&lt;65),0.23,0)+IF(AND(V779&gt;=75,V779&lt;=175,W779&gt;=65,W779&lt;110),0.17,0)+IF(AND(V779&gt;=75,V779&lt;=175,W779&gt;=110),0.12,0)+IF(AND(V779&gt;175,W779&lt;25),0.3,0)+IF(AND(V779&gt;175,W779&gt;=25,W779&lt;55),0.23,0)+IF(AND(V779&gt;175,W779&gt;=55,W779&lt;95),0.17,0)+IF(AND(V779&gt;175,W779&gt;=95),0.12,0),
IF(AF779="Fix15",0.15,
IF(AF779="Fix18.75",0.1875,
IF(AF779="Fix11.25",0.1125,
IF(AF779="Fix10",0.1,
IF(AF779="Fix9",0.09,
IF(AF779="Fix19",0.19,
IF(AF779="DoEV2017",IF(AND(W779&lt;74),0.2,0)+IF(AND(W779&gt;=74),0.17,0),
IF(AF779="SF",IF(AND(V779&lt;20,W779&lt;89),0.3,0)+IF(AND(V779&lt;20,W779&gt;=89),0.25,0)+IF(AND(V779&gt;=20,V779&lt;40,W779&lt;74),0.3,0)+IF(AND(V779&gt;=20,V779&lt;40,W779&gt;=75),0.22,0)+IF(AND(V779&gt;=40,V779&lt;75,W779&lt;75),0.26,0)+IF(AND(V779&gt;=40,V779&lt;75,W779&gt;=75),0.22,0)+IF(V779&gt;=75,0.22,0),
IF(AF779="DoEVold",IF(AND(V779&lt;40,W779&lt;35),0.35,0)+IF(AND(V779&lt;40,W779&gt;=35,W779&lt;75),0.25,0)+IF(AND(V779&lt;40,W779&gt;=75),0.17,0)+IF(AND(V779&gt;=40,V779&lt;75,W779&lt;25),0.35,0)+IF(AND(V779&gt;=40,V779&lt;75,W779&gt;=25,W779&lt;65),0.25,0)+IF(AND(V779&gt;=40,V779&lt;75,W779&gt;=65,W779&lt;100),0.17,0)+IF(AND(V779&gt;=40,V779&lt;75,W779&gt;=100),0.1,0)+IF(AND(V779&gt;=75,W779&lt;25),0.35,0)+IF(AND(V779&gt;=75,W779&gt;=25,W779&lt;60),0.25,0)+IF(AND(V779&gt;=75,W779&gt;=60,W779&lt;95),0.17,0)+IF(AND(V779&gt;=75,W779&gt;=95),0.1,0),
IF(AF779="DoEVold15",IF(AND(V779&lt;=40,W779&lt;35),0.35,0)+IF(AND(V779&lt;=40,W779&gt;=35,W779&lt;75),0.25,0)+IF(AND(V779&lt;=40,W779&gt;=75,W779&lt;120),0.17,0)+IF(AND(V779&lt;=40,W779&gt;=120),0.15,0)+IF(AND(V779&gt;40,V779&lt;75,W779&lt;25),0.35,0)+IF(AND(V779&gt;=40,V779&lt;75,W779&gt;=25,W779&lt;65),0.25,0)+IF(AND(V779&gt;=40,V779&lt;75,W779&gt;=65,W779&lt;100),0.17,0)+IF(AND(V779&gt;=40,V779&lt;75,W779&gt;=100),0.1,0)+IF(AND(V779&gt;=75,W779&lt;25),0.35,0)+IF(AND(V779&gt;=75,W779&gt;=25,W779&lt;60),0.25,0)+IF(AND(V779&gt;=75,W779&gt;=60,W779&lt;95),0.17,0)+IF(AND(V779&gt;=75,W779&gt;=95),0.1,0),
IF(AF779="DoEVba",IF(AND(V779&lt;20,W779&lt;105),0.2,0)+IF(AND(V779&lt;20,W779&gt;=105),0.15,0)+IF(AND(V779&gt;=20,V779&lt;40,W779&lt;95),0.2,0)+IF(AND(V779&gt;=20,V779&lt;40,W779&gt;=95,W779&lt;150),0.15,0)+IF(AND(V779&gt;=20,V779&lt;40,W779&gt;=150),0.12,0)+IF(AND(V779&gt;=40,V779&lt;75,W779&lt;75),0.2,0)+IF(AND(V779&gt;=40,V779&lt;75,W779&gt;=75,W779&lt;120),0.15,0)+IF(AND(V779&gt;=40,V779&lt;75,W779&gt;=120),0.12,0)+IF(AND(V779&gt;=75,V779&lt;175,W779&lt;65),0.2,0)+IF(AND(V779&gt;=75,V779&lt;175,W779&gt;=65,W779&lt;110),0.15,0)+IF(AND(V779&gt;=75,V779&lt;175,W779&gt;=110),0.12,0)+IF(AND(V779&gt;=175,W779&lt;55),0.2,0)+IF(AND(V779&gt;=175,W779&gt;=55,W779&lt;95),0.15,0)+IF(AND(V779&gt;=175,W779&gt;=95),0.12,0),
IF(AF779="DoEVku",IF(AND(V779&lt;20,W779&lt;55),0.23,0)+IF(AND(V779&lt;20,W779&gt;=55,W779&lt;105),0.2,0)+IF(AND(V779&lt;20,W779&gt;=105),0.17,0)+IF(AND(V779&gt;=20,V779&lt;40,W779&lt;45),0.23,0)+IF(AND(V779&gt;=20,V779&lt;40,W779&gt;=45,W779&lt;95),0.2,0)+IF(AND(V779&gt;=20,V779&lt;40,W779&gt;=95,W779&lt;=150),0.17,0)+IF(AND(V779&gt;=20,V779&lt;40,W779&gt;=150),0.12,0)+IF(AND(V779&gt;=40,V779&lt;75,W779&lt;35),0.23,0)+IF(AND(V779&gt;=40,V779&lt;75,W779&gt;=35,W779&lt;75),0.2,0)+IF(AND(V779&gt;=40,V779&lt;75,W779&gt;=75,W779&lt;120),0.17,0)+IF(AND(V779&gt;=40,V779&lt;75,W779&gt;=120),0.12,0)+IF(AND(V779&gt;=75,V779&lt;175,W779&lt;35),0.23,0)+IF(AND(V779&gt;=75,V779&lt;=175,W779&gt;=35,W779&lt;65),0.2,0)+IF(AND(V779&gt;=75,V779&lt;=175,W779&gt;=65,W779&lt;110),0.17,0)+IF(AND(V779&gt;=75,V779&lt;=175,W779&gt;=110),0.12,0)+IF(AND(V779&gt;175,W779&lt;25),0.23,0)+IF(AND(V779&gt;175,W779&gt;=25,W779&lt;55),0.2,0)+IF(AND(V779&gt;175,W779&gt;=55,W779&lt;95),0.17,0)+IF(AND(V779&gt;175,W779&gt;=95),0.12,0),
IF(AF779="DoEVs1",IF(AND(V779&lt;20,W779&lt;55),0.3,0)+IF(AND(V779&lt;20,W779&gt;=55,W779&lt;105),0.23,0)+IF(AND(V779&lt;20,W779&gt;=105),0.17,0)+IF(AND(V779&gt;=20,V779&lt;40,W779&lt;45),0.3,0)+IF(AND(V779&gt;=20,V779&lt;40,W779&gt;=45,W779&lt;95),0.23,0)+IF(AND(V779&gt;=20,V779&lt;40,W779&gt;=95,W779&lt;=150),0.17,0)+IF(AND(V779&gt;=20,V779&lt;40,W779&gt;=150),0.12,0)+IF(AND(V779&gt;=40,V779&lt;75,W779&lt;35),0.3,0)+IF(AND(V779&gt;=40,V779&lt;75,W779&gt;=35,W779&lt;75),0.23,0)+IF(AND(V779&gt;=40,V779&lt;75,W779&gt;=75,W779&lt;120),0.17,0)+IF(AND(V779&gt;=40,V779&lt;75,W779&gt;=120),0.12,0)+IF(AND(V779&gt;=75,V779&lt;175,W779&lt;35),0.3,0)+IF(AND(V779&gt;=75,V779&lt;=175,W779&gt;=35,W779&lt;65),0.23,0)+IF(AND(V779&gt;=75,V779&lt;=175,W779&gt;=65,W779&lt;110),0.17,0)+IF(AND(V779&gt;=75,V779&lt;=175,W779&gt;=110),0.12,0)+IF(AND(V779&gt;175,W779&lt;25),0.3,0)+IF(AND(V779&gt;175,W779&gt;=25,W779&lt;55),0.23,0)+IF(AND(V779&gt;175,W779&gt;=55,W779&lt;95),0.17,0)+IF(AND(V779&gt;175,W779&gt;=95),0.12,0),
IF(AF779="DoEVsu",IF(AND(V779&lt;20,W779&lt;55),0.3,0)+IF(AND(V779&lt;20,W779&gt;=55,W779&lt;105),0.23,0)+IF(AND(V779&lt;20,W779&gt;=105),0.17,0)+IF(AND(V779&gt;=20,V779&lt;40,W779&lt;45),0.3,0)+IF(AND(V779&gt;=20,V779&lt;40,W779&gt;=45,W779&lt;95),0.23,0)+IF(AND(V779&gt;=20,V779&lt;40,W779&gt;=95,W779&lt;=250),0.17,0)+IF(AND(V779&gt;=20,V779&lt;40,W779&gt;=250),0.12,0)+IF(AND(V779&gt;=40,V779&lt;75,W779&lt;35),0.3,0)+IF(AND(V779&gt;=40,V779&lt;75,W779&gt;=35,W779&lt;75),0.23,0)+IF(AND(V779&gt;=40,V779&lt;75,W779&gt;=75,W779&lt;120),0.17,0)+IF(AND(V779&gt;=40,V779&lt;75,W779&gt;=120),0.12,0)+IF(AND(V779&gt;=75,V779&lt;175,W779&lt;35),0.3,0)+IF(AND(V779&gt;=75,V779&lt;=175,W779&gt;=35,W779&lt;65),0.23,0)+IF(AND(V779&gt;=75,V779&lt;=175,W779&gt;=65,W779&lt;110),0.17,0)+IF(AND(V779&gt;=75,V779&lt;=175,W779&gt;=110),0.12,0)+IF(AND(V779&gt;175,W779&lt;25),0.3,0)+IF(AND(V779&gt;175,W779&gt;=25,W779&lt;55),0.23,0)+IF(AND(V779&gt;175,W779&gt;=55,W779&lt;95),0.17,0)+IF(AND(V779&gt;175,W779&gt;=95),0.12,0),
IF(AF779="DoEVni",IF(AND(V779&lt;20,W779&lt;55),0.3,0)+IF(AND(V779&lt;20,W779&gt;=55,W779&lt;105),0.23,0)+IF(AND(V779&lt;20,W779&gt;=105),0.17,0)+IF(AND(V779&gt;=20,V779&lt;40,W779&lt;45),0.3,0)+IF(AND(V779&gt;=20,V779&lt;40,W779&gt;=45,W779&lt;95),0.23,0)+IF(AND(V779&gt;=20,V779&lt;40,W779&gt;=95,W779&lt;=200),0.17,0)+IF(AND(V779&gt;=20,V779&lt;40,W779&gt;=200),0.12,0)+IF(AND(V779&gt;=40,V779&lt;75,W779&lt;35),0.3,0)+IF(AND(V779&gt;=40,V779&lt;75,W779&gt;=35,W779&lt;75),0.23,0)+IF(AND(V779&gt;=40,V779&lt;75,W779&gt;=75,W779&lt;120),0.17,0)+IF(AND(V779&gt;=40,V779&lt;75,W779&gt;=120),0.12,0)+IF(AND(V779&gt;=75,V779&lt;175,W779&lt;35),0.3,0)+IF(AND(V779&gt;=75,V779&lt;=175,W779&gt;=35,W779&lt;65),0.23,0)+IF(AND(V779&gt;=75,V779&lt;=175,W779&gt;=65,W779&lt;110),0.17,0)+IF(AND(V779&gt;=75,V779&lt;=175,W779&gt;=110),0.12,0)+IF(AND(V779&gt;175,W779&lt;25),0.3,0)+IF(AND(V779&gt;175,W779&gt;=25,W779&lt;55),0.23,0)+IF(AND(V779&gt;175,W779&gt;=55,W779&lt;95),0.17,0)+IF(AND(V779&gt;175,W779&gt;=95),0.12,0),
IF(AF779="DoEVLo",IF(AND(V779&lt;20,W779&lt;55),0.25,0)+IF(AND(V779&lt;20,W779&gt;=55,W779&lt;105),0.2,0)+IF(AND(V779&lt;20,W779&gt;=105),0.15,0)+IF(AND(V779&gt;=20,V779&lt;40,W779&lt;45),0.25,0)+IF(AND(V779&gt;=20,V779&lt;40,W779&gt;=45,W779&lt;95),0.2,0)+IF(AND(V779&gt;=20,V779&lt;40,W779&gt;=95),0.15,0)+IF(AND(V779&gt;=40,V779&lt;75,W779&lt;35),0.25,0)+IF(AND(V779&gt;=40,V779&lt;75,W779&gt;=35,W779&lt;75),0.2,0)+IF(AND(V779&gt;=40,V779&lt;75,W779&gt;=75,W779&lt;120),0.15,0)+IF(AND(V779&gt;=40,V779&lt;75,W779&gt;=120),0.1,0)+IF(AND(V779&gt;=75,V779&lt;175,W779&lt;35),0.25,0)+IF(AND(V779&gt;=75,V779&lt;=175,W779&gt;=35,W779&lt;65),0.2,0)+IF(AND(V779&gt;=75,V779&lt;=175,W779&gt;=65,W779&lt;110),0.15,0)+IF(AND(V779&gt;=75,V779&lt;=175,W779&gt;=110),0.1,0)+IF(AND(V779&gt;175,W779&lt;25),0.25,0)+IF(AND(V779&gt;175,W779&gt;=25,W779&lt;55),0.2,0)+IF(AND(V779&gt;175,W779&gt;=55,W779&lt;95),0.15,0)+IF(AND(V779&gt;175,W779&gt;=95),0.1,0))))))))))))))))))</f>
        <v>0.1125</v>
      </c>
      <c r="Y779" s="30">
        <f>IF(AG779="None",0,IF(AG779="Fix5",0.05, IF(AG779="Fix6.25",0.0625,IF(AG779="Fix3.75",0.0375,IF(AG779="Fix10",0.1,IF(AG779="Fix3",0.03,0))))))</f>
        <v>3.7499999999999999E-2</v>
      </c>
      <c r="Z779" s="35">
        <f>T779-AA779-AB779</f>
        <v>-35.6</v>
      </c>
      <c r="AA779" s="29">
        <f>IF(AD779="EUR",((T779-R779)*X779)*U779+(R779*X779),(T779*X779))</f>
        <v>-5.4</v>
      </c>
      <c r="AB779" s="104">
        <v>-7</v>
      </c>
      <c r="AC779" s="37" t="b">
        <v>1</v>
      </c>
      <c r="AD779" s="37" t="s">
        <v>38</v>
      </c>
      <c r="AE779" s="37" t="s">
        <v>38</v>
      </c>
      <c r="AF779" s="37" t="str">
        <f t="array" ref="AF779">INDEX('Deal Info'!D:D, MATCH(A779,'Deal Info'!A:A, 0))</f>
        <v>Fix11.25</v>
      </c>
      <c r="AG779" s="38" t="str">
        <f t="array" ref="AG779">INDEX('Deal Info'!G:G, MATCH(A779,'Deal Info'!A:A, 0))</f>
        <v>Fix3.75</v>
      </c>
    </row>
    <row r="780" spans="1:33" ht="14.25" hidden="1" x14ac:dyDescent="0.2">
      <c r="A780" s="18" t="str">
        <f t="array" ref="A780">IF(G780='Room Info'!$B$1, INDEX('Room Info'!$A$2:$A2446, MATCH(B780,'Room Info'!$B$2:$B2446, 0)),IF(G780='Room Info'!$C$1, INDEX('Room Info'!$A$2:$A2446, MATCH(B780,'Room Info'!$C$2:$C2446, 0)),IF(G780='Room Info'!$D$1, INDEX('Room Info'!$A$2:$A2446, MATCH(B780,'Room Info'!$D$2:$D2446, 0)),IF(G780='Room Info'!$E$1, INDEX('Room Info'!$A$2:$A2446, MATCH(B780,'Room Info'!$E$2:$E2446, 0)),IF(G780='Room Info'!$F$1, INDEX('Room Info'!$A$2:$A2446, MATCH(B780,'Room Info'!$F$2:$F2446, 0)),IF(G780='Room Info'!$H$1, INDEX('Room Info'!$A$2:$A2446, MATCH(B780,'Room Info'!$H$2:$H2446, 0)),IF(G780='Room Info'!$G$1, INDEX('Room Info'!$A$2:$A2446, MATCH(B780,'Room Info'!$G$2:$G2446, 0)))))))))</f>
        <v>fig6</v>
      </c>
      <c r="B780" s="45" t="s">
        <v>172</v>
      </c>
      <c r="C780" s="46">
        <v>44794</v>
      </c>
      <c r="D780" s="46">
        <v>44824</v>
      </c>
      <c r="E780" s="47">
        <v>44805</v>
      </c>
      <c r="F780" s="48" t="s">
        <v>34</v>
      </c>
      <c r="G780" s="45" t="s">
        <v>35</v>
      </c>
      <c r="H780" s="49" t="s">
        <v>72</v>
      </c>
      <c r="I780" s="49" t="s">
        <v>37</v>
      </c>
      <c r="J780" s="50">
        <v>50</v>
      </c>
      <c r="K780" s="51">
        <v>1656</v>
      </c>
      <c r="L780" s="52">
        <v>-5400</v>
      </c>
      <c r="M780" s="53">
        <v>3271</v>
      </c>
      <c r="N780" s="28">
        <f>K780*J780</f>
        <v>82800</v>
      </c>
      <c r="O780" s="54">
        <v>13328</v>
      </c>
      <c r="P780" s="29">
        <v>8.0483091790000003</v>
      </c>
      <c r="Q780" s="55"/>
      <c r="R780" s="31">
        <f>M780+Q780</f>
        <v>3271</v>
      </c>
      <c r="S780" s="56">
        <v>-4188</v>
      </c>
      <c r="T780" s="32">
        <f>R780+S780+IF(F780="Without EV deal",L780,0)</f>
        <v>-917</v>
      </c>
      <c r="U780" s="57">
        <v>1</v>
      </c>
      <c r="V780" s="58"/>
      <c r="W780" s="58"/>
      <c r="X780" s="30">
        <f>IF(AF780="DoEV",IF(AND(V780&lt;20,W780&lt;55),0.3,0)+IF(AND(V780&lt;20,W780&gt;=55,W780&lt;105),0.23,0)+IF(AND(V780&lt;20,W780&gt;=105),0.17,0)+IF(AND(V780&gt;=20,V780&lt;40,W780&lt;45),0.3,0)+IF(AND(V780&gt;=20,V780&lt;40,W780&gt;=45,W780&lt;95),0.23,0)+IF(AND(V780&gt;=20,V780&lt;40,W780&gt;=95),0.17,0)+IF(AND(V780&gt;=40,V780&lt;75,W780&lt;35),0.3,0)+IF(AND(V780&gt;=40,V780&lt;75,W780&gt;=35,W780&lt;75),0.23,0)+IF(AND(V780&gt;=40,V780&lt;75,W780&gt;=75,W780&lt;120),0.17,0)+IF(AND(V780&gt;=40,V780&lt;75,W780&gt;=120),0.12,0)+IF(AND(V780&gt;=75,V780&lt;175,W780&lt;35),0.3,0)+IF(AND(V780&gt;=75,V780&lt;=175,W780&gt;=35,W780&lt;65),0.23,0)+IF(AND(V780&gt;=75,V780&lt;=175,W780&gt;=65,W780&lt;110),0.17,0)+IF(AND(V780&gt;=75,V780&lt;=175,W780&gt;=110),0.12,0)+IF(AND(V780&gt;175,W780&lt;25),0.3,0)+IF(AND(V780&gt;175,W780&gt;=25,W780&lt;55),0.23,0)+IF(AND(V780&gt;175,W780&gt;=55,W780&lt;95),0.17,0)+IF(AND(V780&gt;175,W780&gt;=95),0.12,0),
IF(AF780="Fix15",0.15,
IF(AF780="Fix18.75",0.1875,
IF(AF780="Fix11.25",0.1125,
IF(AF780="Fix10",0.1,
IF(AF780="Fix9",0.09,
IF(AF780="Fix19",0.19,
IF(AF780="DoEV2017",IF(AND(W780&lt;74),0.2,0)+IF(AND(W780&gt;=74),0.17,0),
IF(AF780="SF",IF(AND(V780&lt;20,W780&lt;89),0.3,0)+IF(AND(V780&lt;20,W780&gt;=89),0.25,0)+IF(AND(V780&gt;=20,V780&lt;40,W780&lt;74),0.3,0)+IF(AND(V780&gt;=20,V780&lt;40,W780&gt;=75),0.22,0)+IF(AND(V780&gt;=40,V780&lt;75,W780&lt;75),0.26,0)+IF(AND(V780&gt;=40,V780&lt;75,W780&gt;=75),0.22,0)+IF(V780&gt;=75,0.22,0),
IF(AF780="DoEVold",IF(AND(V780&lt;40,W780&lt;35),0.35,0)+IF(AND(V780&lt;40,W780&gt;=35,W780&lt;75),0.25,0)+IF(AND(V780&lt;40,W780&gt;=75),0.17,0)+IF(AND(V780&gt;=40,V780&lt;75,W780&lt;25),0.35,0)+IF(AND(V780&gt;=40,V780&lt;75,W780&gt;=25,W780&lt;65),0.25,0)+IF(AND(V780&gt;=40,V780&lt;75,W780&gt;=65,W780&lt;100),0.17,0)+IF(AND(V780&gt;=40,V780&lt;75,W780&gt;=100),0.1,0)+IF(AND(V780&gt;=75,W780&lt;25),0.35,0)+IF(AND(V780&gt;=75,W780&gt;=25,W780&lt;60),0.25,0)+IF(AND(V780&gt;=75,W780&gt;=60,W780&lt;95),0.17,0)+IF(AND(V780&gt;=75,W780&gt;=95),0.1,0),
IF(AF780="DoEVold15",IF(AND(V780&lt;=40,W780&lt;35),0.35,0)+IF(AND(V780&lt;=40,W780&gt;=35,W780&lt;75),0.25,0)+IF(AND(V780&lt;=40,W780&gt;=75,W780&lt;120),0.17,0)+IF(AND(V780&lt;=40,W780&gt;=120),0.15,0)+IF(AND(V780&gt;40,V780&lt;75,W780&lt;25),0.35,0)+IF(AND(V780&gt;=40,V780&lt;75,W780&gt;=25,W780&lt;65),0.25,0)+IF(AND(V780&gt;=40,V780&lt;75,W780&gt;=65,W780&lt;100),0.17,0)+IF(AND(V780&gt;=40,V780&lt;75,W780&gt;=100),0.1,0)+IF(AND(V780&gt;=75,W780&lt;25),0.35,0)+IF(AND(V780&gt;=75,W780&gt;=25,W780&lt;60),0.25,0)+IF(AND(V780&gt;=75,W780&gt;=60,W780&lt;95),0.17,0)+IF(AND(V780&gt;=75,W780&gt;=95),0.1,0),
IF(AF780="DoEVba",IF(AND(V780&lt;20,W780&lt;105),0.2,0)+IF(AND(V780&lt;20,W780&gt;=105),0.15,0)+IF(AND(V780&gt;=20,V780&lt;40,W780&lt;95),0.2,0)+IF(AND(V780&gt;=20,V780&lt;40,W780&gt;=95,W780&lt;150),0.15,0)+IF(AND(V780&gt;=20,V780&lt;40,W780&gt;=150),0.12,0)+IF(AND(V780&gt;=40,V780&lt;75,W780&lt;75),0.2,0)+IF(AND(V780&gt;=40,V780&lt;75,W780&gt;=75,W780&lt;120),0.15,0)+IF(AND(V780&gt;=40,V780&lt;75,W780&gt;=120),0.12,0)+IF(AND(V780&gt;=75,V780&lt;175,W780&lt;65),0.2,0)+IF(AND(V780&gt;=75,V780&lt;175,W780&gt;=65,W780&lt;110),0.15,0)+IF(AND(V780&gt;=75,V780&lt;175,W780&gt;=110),0.12,0)+IF(AND(V780&gt;=175,W780&lt;55),0.2,0)+IF(AND(V780&gt;=175,W780&gt;=55,W780&lt;95),0.15,0)+IF(AND(V780&gt;=175,W780&gt;=95),0.12,0),
IF(AF780="DoEVku",IF(AND(V780&lt;20,W780&lt;55),0.23,0)+IF(AND(V780&lt;20,W780&gt;=55,W780&lt;105),0.2,0)+IF(AND(V780&lt;20,W780&gt;=105),0.17,0)+IF(AND(V780&gt;=20,V780&lt;40,W780&lt;45),0.23,0)+IF(AND(V780&gt;=20,V780&lt;40,W780&gt;=45,W780&lt;95),0.2,0)+IF(AND(V780&gt;=20,V780&lt;40,W780&gt;=95,W780&lt;=150),0.17,0)+IF(AND(V780&gt;=20,V780&lt;40,W780&gt;=150),0.12,0)+IF(AND(V780&gt;=40,V780&lt;75,W780&lt;35),0.23,0)+IF(AND(V780&gt;=40,V780&lt;75,W780&gt;=35,W780&lt;75),0.2,0)+IF(AND(V780&gt;=40,V780&lt;75,W780&gt;=75,W780&lt;120),0.17,0)+IF(AND(V780&gt;=40,V780&lt;75,W780&gt;=120),0.12,0)+IF(AND(V780&gt;=75,V780&lt;175,W780&lt;35),0.23,0)+IF(AND(V780&gt;=75,V780&lt;=175,W780&gt;=35,W780&lt;65),0.2,0)+IF(AND(V780&gt;=75,V780&lt;=175,W780&gt;=65,W780&lt;110),0.17,0)+IF(AND(V780&gt;=75,V780&lt;=175,W780&gt;=110),0.12,0)+IF(AND(V780&gt;175,W780&lt;25),0.23,0)+IF(AND(V780&gt;175,W780&gt;=25,W780&lt;55),0.2,0)+IF(AND(V780&gt;175,W780&gt;=55,W780&lt;95),0.17,0)+IF(AND(V780&gt;175,W780&gt;=95),0.12,0),
IF(AF780="DoEVs1",IF(AND(V780&lt;20,W780&lt;55),0.3,0)+IF(AND(V780&lt;20,W780&gt;=55,W780&lt;105),0.23,0)+IF(AND(V780&lt;20,W780&gt;=105),0.17,0)+IF(AND(V780&gt;=20,V780&lt;40,W780&lt;45),0.3,0)+IF(AND(V780&gt;=20,V780&lt;40,W780&gt;=45,W780&lt;95),0.23,0)+IF(AND(V780&gt;=20,V780&lt;40,W780&gt;=95,W780&lt;=150),0.17,0)+IF(AND(V780&gt;=20,V780&lt;40,W780&gt;=150),0.12,0)+IF(AND(V780&gt;=40,V780&lt;75,W780&lt;35),0.3,0)+IF(AND(V780&gt;=40,V780&lt;75,W780&gt;=35,W780&lt;75),0.23,0)+IF(AND(V780&gt;=40,V780&lt;75,W780&gt;=75,W780&lt;120),0.17,0)+IF(AND(V780&gt;=40,V780&lt;75,W780&gt;=120),0.12,0)+IF(AND(V780&gt;=75,V780&lt;175,W780&lt;35),0.3,0)+IF(AND(V780&gt;=75,V780&lt;=175,W780&gt;=35,W780&lt;65),0.23,0)+IF(AND(V780&gt;=75,V780&lt;=175,W780&gt;=65,W780&lt;110),0.17,0)+IF(AND(V780&gt;=75,V780&lt;=175,W780&gt;=110),0.12,0)+IF(AND(V780&gt;175,W780&lt;25),0.3,0)+IF(AND(V780&gt;175,W780&gt;=25,W780&lt;55),0.23,0)+IF(AND(V780&gt;175,W780&gt;=55,W780&lt;95),0.17,0)+IF(AND(V780&gt;175,W780&gt;=95),0.12,0),
IF(AF780="DoEVsu",IF(AND(V780&lt;20,W780&lt;55),0.3,0)+IF(AND(V780&lt;20,W780&gt;=55,W780&lt;105),0.23,0)+IF(AND(V780&lt;20,W780&gt;=105),0.17,0)+IF(AND(V780&gt;=20,V780&lt;40,W780&lt;45),0.3,0)+IF(AND(V780&gt;=20,V780&lt;40,W780&gt;=45,W780&lt;95),0.23,0)+IF(AND(V780&gt;=20,V780&lt;40,W780&gt;=95,W780&lt;=250),0.17,0)+IF(AND(V780&gt;=20,V780&lt;40,W780&gt;=250),0.12,0)+IF(AND(V780&gt;=40,V780&lt;75,W780&lt;35),0.3,0)+IF(AND(V780&gt;=40,V780&lt;75,W780&gt;=35,W780&lt;75),0.23,0)+IF(AND(V780&gt;=40,V780&lt;75,W780&gt;=75,W780&lt;120),0.17,0)+IF(AND(V780&gt;=40,V780&lt;75,W780&gt;=120),0.12,0)+IF(AND(V780&gt;=75,V780&lt;175,W780&lt;35),0.3,0)+IF(AND(V780&gt;=75,V780&lt;=175,W780&gt;=35,W780&lt;65),0.23,0)+IF(AND(V780&gt;=75,V780&lt;=175,W780&gt;=65,W780&lt;110),0.17,0)+IF(AND(V780&gt;=75,V780&lt;=175,W780&gt;=110),0.12,0)+IF(AND(V780&gt;175,W780&lt;25),0.3,0)+IF(AND(V780&gt;175,W780&gt;=25,W780&lt;55),0.23,0)+IF(AND(V780&gt;175,W780&gt;=55,W780&lt;95),0.17,0)+IF(AND(V780&gt;175,W780&gt;=95),0.12,0),
IF(AF780="DoEVni",IF(AND(V780&lt;20,W780&lt;55),0.3,0)+IF(AND(V780&lt;20,W780&gt;=55,W780&lt;105),0.23,0)+IF(AND(V780&lt;20,W780&gt;=105),0.17,0)+IF(AND(V780&gt;=20,V780&lt;40,W780&lt;45),0.3,0)+IF(AND(V780&gt;=20,V780&lt;40,W780&gt;=45,W780&lt;95),0.23,0)+IF(AND(V780&gt;=20,V780&lt;40,W780&gt;=95,W780&lt;=200),0.17,0)+IF(AND(V780&gt;=20,V780&lt;40,W780&gt;=200),0.12,0)+IF(AND(V780&gt;=40,V780&lt;75,W780&lt;35),0.3,0)+IF(AND(V780&gt;=40,V780&lt;75,W780&gt;=35,W780&lt;75),0.23,0)+IF(AND(V780&gt;=40,V780&lt;75,W780&gt;=75,W780&lt;120),0.17,0)+IF(AND(V780&gt;=40,V780&lt;75,W780&gt;=120),0.12,0)+IF(AND(V780&gt;=75,V780&lt;175,W780&lt;35),0.3,0)+IF(AND(V780&gt;=75,V780&lt;=175,W780&gt;=35,W780&lt;65),0.23,0)+IF(AND(V780&gt;=75,V780&lt;=175,W780&gt;=65,W780&lt;110),0.17,0)+IF(AND(V780&gt;=75,V780&lt;=175,W780&gt;=110),0.12,0)+IF(AND(V780&gt;175,W780&lt;25),0.3,0)+IF(AND(V780&gt;175,W780&gt;=25,W780&lt;55),0.23,0)+IF(AND(V780&gt;175,W780&gt;=55,W780&lt;95),0.17,0)+IF(AND(V780&gt;175,W780&gt;=95),0.12,0),
IF(AF780="DoEVLo",IF(AND(V780&lt;20,W780&lt;55),0.25,0)+IF(AND(V780&lt;20,W780&gt;=55,W780&lt;105),0.2,0)+IF(AND(V780&lt;20,W780&gt;=105),0.15,0)+IF(AND(V780&gt;=20,V780&lt;40,W780&lt;45),0.25,0)+IF(AND(V780&gt;=20,V780&lt;40,W780&gt;=45,W780&lt;95),0.2,0)+IF(AND(V780&gt;=20,V780&lt;40,W780&gt;=95),0.15,0)+IF(AND(V780&gt;=40,V780&lt;75,W780&lt;35),0.25,0)+IF(AND(V780&gt;=40,V780&lt;75,W780&gt;=35,W780&lt;75),0.2,0)+IF(AND(V780&gt;=40,V780&lt;75,W780&gt;=75,W780&lt;120),0.15,0)+IF(AND(V780&gt;=40,V780&lt;75,W780&gt;=120),0.1,0)+IF(AND(V780&gt;=75,V780&lt;175,W780&lt;35),0.25,0)+IF(AND(V780&gt;=75,V780&lt;=175,W780&gt;=35,W780&lt;65),0.2,0)+IF(AND(V780&gt;=75,V780&lt;=175,W780&gt;=65,W780&lt;110),0.15,0)+IF(AND(V780&gt;=75,V780&lt;=175,W780&gt;=110),0.1,0)+IF(AND(V780&gt;175,W780&lt;25),0.25,0)+IF(AND(V780&gt;175,W780&gt;=25,W780&lt;55),0.2,0)+IF(AND(V780&gt;175,W780&gt;=55,W780&lt;95),0.15,0)+IF(AND(V780&gt;175,W780&gt;=95),0.1,0))))))))))))))))))</f>
        <v>0.1125</v>
      </c>
      <c r="Y780" s="30">
        <f>IF(AG780="None",0,IF(AG780="Fix5",0.05, IF(AG780="Fix6.25",0.0625,IF(AG780="Fix3.75",0.0375,IF(AG780="Fix10",0.1,IF(AG780="Fix3",0.03,0))))))</f>
        <v>3.7499999999999999E-2</v>
      </c>
      <c r="Z780" s="35">
        <f>T780-AA780-AB780</f>
        <v>-675.83749999999998</v>
      </c>
      <c r="AA780" s="29">
        <f>IF(AD780="EUR",((T780-R780)*X780)*U780+(R780*X780),(T780*X780))</f>
        <v>-103.16250000000001</v>
      </c>
      <c r="AB780" s="104">
        <v>-138</v>
      </c>
      <c r="AC780" s="37" t="b">
        <v>1</v>
      </c>
      <c r="AD780" s="37" t="s">
        <v>38</v>
      </c>
      <c r="AE780" s="37" t="s">
        <v>38</v>
      </c>
      <c r="AF780" s="37" t="str">
        <f t="array" ref="AF780">INDEX('Deal Info'!D:D, MATCH(A780,'Deal Info'!A:A, 0))</f>
        <v>Fix11.25</v>
      </c>
      <c r="AG780" s="38" t="str">
        <f t="array" ref="AG780">INDEX('Deal Info'!G:G, MATCH(A780,'Deal Info'!A:A, 0))</f>
        <v>Fix3.75</v>
      </c>
    </row>
    <row r="781" spans="1:33" ht="14.25" hidden="1" x14ac:dyDescent="0.2">
      <c r="A781" s="18" t="str">
        <f t="array" ref="A781">IF(G781='Room Info'!$B$1, INDEX('Room Info'!$A$2:$A2446, MATCH(B781,'Room Info'!$B$2:$B2446, 0)),IF(G781='Room Info'!$C$1, INDEX('Room Info'!$A$2:$A2446, MATCH(B781,'Room Info'!$C$2:$C2446, 0)),IF(G781='Room Info'!$D$1, INDEX('Room Info'!$A$2:$A2446, MATCH(B781,'Room Info'!$D$2:$D2446, 0)),IF(G781='Room Info'!$E$1, INDEX('Room Info'!$A$2:$A2446, MATCH(B781,'Room Info'!$E$2:$E2446, 0)),IF(G781='Room Info'!$F$1, INDEX('Room Info'!$A$2:$A2446, MATCH(B781,'Room Info'!$F$2:$F2446, 0)),IF(G781='Room Info'!$H$1, INDEX('Room Info'!$A$2:$A2446, MATCH(B781,'Room Info'!$H$2:$H2446, 0)),IF(G781='Room Info'!$G$1, INDEX('Room Info'!$A$2:$A2446, MATCH(B781,'Room Info'!$G$2:$G2446, 0)))))))))</f>
        <v>fig6</v>
      </c>
      <c r="B781" s="45" t="s">
        <v>172</v>
      </c>
      <c r="C781" s="46">
        <v>44794</v>
      </c>
      <c r="D781" s="46">
        <v>44824</v>
      </c>
      <c r="E781" s="47">
        <v>44805</v>
      </c>
      <c r="F781" s="48" t="s">
        <v>34</v>
      </c>
      <c r="G781" s="45" t="s">
        <v>35</v>
      </c>
      <c r="H781" s="49" t="s">
        <v>85</v>
      </c>
      <c r="I781" s="49" t="s">
        <v>44</v>
      </c>
      <c r="J781" s="50">
        <v>50</v>
      </c>
      <c r="K781" s="51">
        <v>260</v>
      </c>
      <c r="L781" s="52">
        <v>300</v>
      </c>
      <c r="M781" s="53">
        <v>513</v>
      </c>
      <c r="N781" s="28">
        <f>K781*J781</f>
        <v>13000</v>
      </c>
      <c r="O781" s="54">
        <v>3621</v>
      </c>
      <c r="P781" s="29">
        <v>13.92692308</v>
      </c>
      <c r="Q781" s="55"/>
      <c r="R781" s="31">
        <f>M781+Q781</f>
        <v>513</v>
      </c>
      <c r="S781" s="56">
        <v>-292</v>
      </c>
      <c r="T781" s="32">
        <f>R781+S781+IF(F781="Without EV deal",L781,0)</f>
        <v>221</v>
      </c>
      <c r="U781" s="57">
        <v>1</v>
      </c>
      <c r="V781" s="58"/>
      <c r="W781" s="58"/>
      <c r="X781" s="30">
        <f>IF(AF781="DoEV",IF(AND(V781&lt;20,W781&lt;55),0.3,0)+IF(AND(V781&lt;20,W781&gt;=55,W781&lt;105),0.23,0)+IF(AND(V781&lt;20,W781&gt;=105),0.17,0)+IF(AND(V781&gt;=20,V781&lt;40,W781&lt;45),0.3,0)+IF(AND(V781&gt;=20,V781&lt;40,W781&gt;=45,W781&lt;95),0.23,0)+IF(AND(V781&gt;=20,V781&lt;40,W781&gt;=95),0.17,0)+IF(AND(V781&gt;=40,V781&lt;75,W781&lt;35),0.3,0)+IF(AND(V781&gt;=40,V781&lt;75,W781&gt;=35,W781&lt;75),0.23,0)+IF(AND(V781&gt;=40,V781&lt;75,W781&gt;=75,W781&lt;120),0.17,0)+IF(AND(V781&gt;=40,V781&lt;75,W781&gt;=120),0.12,0)+IF(AND(V781&gt;=75,V781&lt;175,W781&lt;35),0.3,0)+IF(AND(V781&gt;=75,V781&lt;=175,W781&gt;=35,W781&lt;65),0.23,0)+IF(AND(V781&gt;=75,V781&lt;=175,W781&gt;=65,W781&lt;110),0.17,0)+IF(AND(V781&gt;=75,V781&lt;=175,W781&gt;=110),0.12,0)+IF(AND(V781&gt;175,W781&lt;25),0.3,0)+IF(AND(V781&gt;175,W781&gt;=25,W781&lt;55),0.23,0)+IF(AND(V781&gt;175,W781&gt;=55,W781&lt;95),0.17,0)+IF(AND(V781&gt;175,W781&gt;=95),0.12,0),
IF(AF781="Fix15",0.15,
IF(AF781="Fix18.75",0.1875,
IF(AF781="Fix11.25",0.1125,
IF(AF781="Fix10",0.1,
IF(AF781="Fix9",0.09,
IF(AF781="Fix19",0.19,
IF(AF781="DoEV2017",IF(AND(W781&lt;74),0.2,0)+IF(AND(W781&gt;=74),0.17,0),
IF(AF781="SF",IF(AND(V781&lt;20,W781&lt;89),0.3,0)+IF(AND(V781&lt;20,W781&gt;=89),0.25,0)+IF(AND(V781&gt;=20,V781&lt;40,W781&lt;74),0.3,0)+IF(AND(V781&gt;=20,V781&lt;40,W781&gt;=75),0.22,0)+IF(AND(V781&gt;=40,V781&lt;75,W781&lt;75),0.26,0)+IF(AND(V781&gt;=40,V781&lt;75,W781&gt;=75),0.22,0)+IF(V781&gt;=75,0.22,0),
IF(AF781="DoEVold",IF(AND(V781&lt;40,W781&lt;35),0.35,0)+IF(AND(V781&lt;40,W781&gt;=35,W781&lt;75),0.25,0)+IF(AND(V781&lt;40,W781&gt;=75),0.17,0)+IF(AND(V781&gt;=40,V781&lt;75,W781&lt;25),0.35,0)+IF(AND(V781&gt;=40,V781&lt;75,W781&gt;=25,W781&lt;65),0.25,0)+IF(AND(V781&gt;=40,V781&lt;75,W781&gt;=65,W781&lt;100),0.17,0)+IF(AND(V781&gt;=40,V781&lt;75,W781&gt;=100),0.1,0)+IF(AND(V781&gt;=75,W781&lt;25),0.35,0)+IF(AND(V781&gt;=75,W781&gt;=25,W781&lt;60),0.25,0)+IF(AND(V781&gt;=75,W781&gt;=60,W781&lt;95),0.17,0)+IF(AND(V781&gt;=75,W781&gt;=95),0.1,0),
IF(AF781="DoEVold15",IF(AND(V781&lt;=40,W781&lt;35),0.35,0)+IF(AND(V781&lt;=40,W781&gt;=35,W781&lt;75),0.25,0)+IF(AND(V781&lt;=40,W781&gt;=75,W781&lt;120),0.17,0)+IF(AND(V781&lt;=40,W781&gt;=120),0.15,0)+IF(AND(V781&gt;40,V781&lt;75,W781&lt;25),0.35,0)+IF(AND(V781&gt;=40,V781&lt;75,W781&gt;=25,W781&lt;65),0.25,0)+IF(AND(V781&gt;=40,V781&lt;75,W781&gt;=65,W781&lt;100),0.17,0)+IF(AND(V781&gt;=40,V781&lt;75,W781&gt;=100),0.1,0)+IF(AND(V781&gt;=75,W781&lt;25),0.35,0)+IF(AND(V781&gt;=75,W781&gt;=25,W781&lt;60),0.25,0)+IF(AND(V781&gt;=75,W781&gt;=60,W781&lt;95),0.17,0)+IF(AND(V781&gt;=75,W781&gt;=95),0.1,0),
IF(AF781="DoEVba",IF(AND(V781&lt;20,W781&lt;105),0.2,0)+IF(AND(V781&lt;20,W781&gt;=105),0.15,0)+IF(AND(V781&gt;=20,V781&lt;40,W781&lt;95),0.2,0)+IF(AND(V781&gt;=20,V781&lt;40,W781&gt;=95,W781&lt;150),0.15,0)+IF(AND(V781&gt;=20,V781&lt;40,W781&gt;=150),0.12,0)+IF(AND(V781&gt;=40,V781&lt;75,W781&lt;75),0.2,0)+IF(AND(V781&gt;=40,V781&lt;75,W781&gt;=75,W781&lt;120),0.15,0)+IF(AND(V781&gt;=40,V781&lt;75,W781&gt;=120),0.12,0)+IF(AND(V781&gt;=75,V781&lt;175,W781&lt;65),0.2,0)+IF(AND(V781&gt;=75,V781&lt;175,W781&gt;=65,W781&lt;110),0.15,0)+IF(AND(V781&gt;=75,V781&lt;175,W781&gt;=110),0.12,0)+IF(AND(V781&gt;=175,W781&lt;55),0.2,0)+IF(AND(V781&gt;=175,W781&gt;=55,W781&lt;95),0.15,0)+IF(AND(V781&gt;=175,W781&gt;=95),0.12,0),
IF(AF781="DoEVku",IF(AND(V781&lt;20,W781&lt;55),0.23,0)+IF(AND(V781&lt;20,W781&gt;=55,W781&lt;105),0.2,0)+IF(AND(V781&lt;20,W781&gt;=105),0.17,0)+IF(AND(V781&gt;=20,V781&lt;40,W781&lt;45),0.23,0)+IF(AND(V781&gt;=20,V781&lt;40,W781&gt;=45,W781&lt;95),0.2,0)+IF(AND(V781&gt;=20,V781&lt;40,W781&gt;=95,W781&lt;=150),0.17,0)+IF(AND(V781&gt;=20,V781&lt;40,W781&gt;=150),0.12,0)+IF(AND(V781&gt;=40,V781&lt;75,W781&lt;35),0.23,0)+IF(AND(V781&gt;=40,V781&lt;75,W781&gt;=35,W781&lt;75),0.2,0)+IF(AND(V781&gt;=40,V781&lt;75,W781&gt;=75,W781&lt;120),0.17,0)+IF(AND(V781&gt;=40,V781&lt;75,W781&gt;=120),0.12,0)+IF(AND(V781&gt;=75,V781&lt;175,W781&lt;35),0.23,0)+IF(AND(V781&gt;=75,V781&lt;=175,W781&gt;=35,W781&lt;65),0.2,0)+IF(AND(V781&gt;=75,V781&lt;=175,W781&gt;=65,W781&lt;110),0.17,0)+IF(AND(V781&gt;=75,V781&lt;=175,W781&gt;=110),0.12,0)+IF(AND(V781&gt;175,W781&lt;25),0.23,0)+IF(AND(V781&gt;175,W781&gt;=25,W781&lt;55),0.2,0)+IF(AND(V781&gt;175,W781&gt;=55,W781&lt;95),0.17,0)+IF(AND(V781&gt;175,W781&gt;=95),0.12,0),
IF(AF781="DoEVs1",IF(AND(V781&lt;20,W781&lt;55),0.3,0)+IF(AND(V781&lt;20,W781&gt;=55,W781&lt;105),0.23,0)+IF(AND(V781&lt;20,W781&gt;=105),0.17,0)+IF(AND(V781&gt;=20,V781&lt;40,W781&lt;45),0.3,0)+IF(AND(V781&gt;=20,V781&lt;40,W781&gt;=45,W781&lt;95),0.23,0)+IF(AND(V781&gt;=20,V781&lt;40,W781&gt;=95,W781&lt;=150),0.17,0)+IF(AND(V781&gt;=20,V781&lt;40,W781&gt;=150),0.12,0)+IF(AND(V781&gt;=40,V781&lt;75,W781&lt;35),0.3,0)+IF(AND(V781&gt;=40,V781&lt;75,W781&gt;=35,W781&lt;75),0.23,0)+IF(AND(V781&gt;=40,V781&lt;75,W781&gt;=75,W781&lt;120),0.17,0)+IF(AND(V781&gt;=40,V781&lt;75,W781&gt;=120),0.12,0)+IF(AND(V781&gt;=75,V781&lt;175,W781&lt;35),0.3,0)+IF(AND(V781&gt;=75,V781&lt;=175,W781&gt;=35,W781&lt;65),0.23,0)+IF(AND(V781&gt;=75,V781&lt;=175,W781&gt;=65,W781&lt;110),0.17,0)+IF(AND(V781&gt;=75,V781&lt;=175,W781&gt;=110),0.12,0)+IF(AND(V781&gt;175,W781&lt;25),0.3,0)+IF(AND(V781&gt;175,W781&gt;=25,W781&lt;55),0.23,0)+IF(AND(V781&gt;175,W781&gt;=55,W781&lt;95),0.17,0)+IF(AND(V781&gt;175,W781&gt;=95),0.12,0),
IF(AF781="DoEVsu",IF(AND(V781&lt;20,W781&lt;55),0.3,0)+IF(AND(V781&lt;20,W781&gt;=55,W781&lt;105),0.23,0)+IF(AND(V781&lt;20,W781&gt;=105),0.17,0)+IF(AND(V781&gt;=20,V781&lt;40,W781&lt;45),0.3,0)+IF(AND(V781&gt;=20,V781&lt;40,W781&gt;=45,W781&lt;95),0.23,0)+IF(AND(V781&gt;=20,V781&lt;40,W781&gt;=95,W781&lt;=250),0.17,0)+IF(AND(V781&gt;=20,V781&lt;40,W781&gt;=250),0.12,0)+IF(AND(V781&gt;=40,V781&lt;75,W781&lt;35),0.3,0)+IF(AND(V781&gt;=40,V781&lt;75,W781&gt;=35,W781&lt;75),0.23,0)+IF(AND(V781&gt;=40,V781&lt;75,W781&gt;=75,W781&lt;120),0.17,0)+IF(AND(V781&gt;=40,V781&lt;75,W781&gt;=120),0.12,0)+IF(AND(V781&gt;=75,V781&lt;175,W781&lt;35),0.3,0)+IF(AND(V781&gt;=75,V781&lt;=175,W781&gt;=35,W781&lt;65),0.23,0)+IF(AND(V781&gt;=75,V781&lt;=175,W781&gt;=65,W781&lt;110),0.17,0)+IF(AND(V781&gt;=75,V781&lt;=175,W781&gt;=110),0.12,0)+IF(AND(V781&gt;175,W781&lt;25),0.3,0)+IF(AND(V781&gt;175,W781&gt;=25,W781&lt;55),0.23,0)+IF(AND(V781&gt;175,W781&gt;=55,W781&lt;95),0.17,0)+IF(AND(V781&gt;175,W781&gt;=95),0.12,0),
IF(AF781="DoEVni",IF(AND(V781&lt;20,W781&lt;55),0.3,0)+IF(AND(V781&lt;20,W781&gt;=55,W781&lt;105),0.23,0)+IF(AND(V781&lt;20,W781&gt;=105),0.17,0)+IF(AND(V781&gt;=20,V781&lt;40,W781&lt;45),0.3,0)+IF(AND(V781&gt;=20,V781&lt;40,W781&gt;=45,W781&lt;95),0.23,0)+IF(AND(V781&gt;=20,V781&lt;40,W781&gt;=95,W781&lt;=200),0.17,0)+IF(AND(V781&gt;=20,V781&lt;40,W781&gt;=200),0.12,0)+IF(AND(V781&gt;=40,V781&lt;75,W781&lt;35),0.3,0)+IF(AND(V781&gt;=40,V781&lt;75,W781&gt;=35,W781&lt;75),0.23,0)+IF(AND(V781&gt;=40,V781&lt;75,W781&gt;=75,W781&lt;120),0.17,0)+IF(AND(V781&gt;=40,V781&lt;75,W781&gt;=120),0.12,0)+IF(AND(V781&gt;=75,V781&lt;175,W781&lt;35),0.3,0)+IF(AND(V781&gt;=75,V781&lt;=175,W781&gt;=35,W781&lt;65),0.23,0)+IF(AND(V781&gt;=75,V781&lt;=175,W781&gt;=65,W781&lt;110),0.17,0)+IF(AND(V781&gt;=75,V781&lt;=175,W781&gt;=110),0.12,0)+IF(AND(V781&gt;175,W781&lt;25),0.3,0)+IF(AND(V781&gt;175,W781&gt;=25,W781&lt;55),0.23,0)+IF(AND(V781&gt;175,W781&gt;=55,W781&lt;95),0.17,0)+IF(AND(V781&gt;175,W781&gt;=95),0.12,0),
IF(AF781="DoEVLo",IF(AND(V781&lt;20,W781&lt;55),0.25,0)+IF(AND(V781&lt;20,W781&gt;=55,W781&lt;105),0.2,0)+IF(AND(V781&lt;20,W781&gt;=105),0.15,0)+IF(AND(V781&gt;=20,V781&lt;40,W781&lt;45),0.25,0)+IF(AND(V781&gt;=20,V781&lt;40,W781&gt;=45,W781&lt;95),0.2,0)+IF(AND(V781&gt;=20,V781&lt;40,W781&gt;=95),0.15,0)+IF(AND(V781&gt;=40,V781&lt;75,W781&lt;35),0.25,0)+IF(AND(V781&gt;=40,V781&lt;75,W781&gt;=35,W781&lt;75),0.2,0)+IF(AND(V781&gt;=40,V781&lt;75,W781&gt;=75,W781&lt;120),0.15,0)+IF(AND(V781&gt;=40,V781&lt;75,W781&gt;=120),0.1,0)+IF(AND(V781&gt;=75,V781&lt;175,W781&lt;35),0.25,0)+IF(AND(V781&gt;=75,V781&lt;=175,W781&gt;=35,W781&lt;65),0.2,0)+IF(AND(V781&gt;=75,V781&lt;=175,W781&gt;=65,W781&lt;110),0.15,0)+IF(AND(V781&gt;=75,V781&lt;=175,W781&gt;=110),0.1,0)+IF(AND(V781&gt;175,W781&lt;25),0.25,0)+IF(AND(V781&gt;175,W781&gt;=25,W781&lt;55),0.2,0)+IF(AND(V781&gt;175,W781&gt;=55,W781&lt;95),0.15,0)+IF(AND(V781&gt;175,W781&gt;=95),0.1,0))))))))))))))))))</f>
        <v>0.1125</v>
      </c>
      <c r="Y781" s="30">
        <f>IF(AG781="None",0,IF(AG781="Fix5",0.05, IF(AG781="Fix6.25",0.0625,IF(AG781="Fix3.75",0.0375,IF(AG781="Fix10",0.1,IF(AG781="Fix3",0.03,0))))))</f>
        <v>3.7499999999999999E-2</v>
      </c>
      <c r="Z781" s="35">
        <f>T781-AA781-AB781</f>
        <v>163.13749999999999</v>
      </c>
      <c r="AA781" s="29">
        <f>IF(AD781="EUR",((T781-R781)*X781)*U781+(R781*X781),(T781*X781))</f>
        <v>24.862500000000001</v>
      </c>
      <c r="AB781" s="104">
        <v>33</v>
      </c>
      <c r="AC781" s="37" t="b">
        <v>1</v>
      </c>
      <c r="AD781" s="37" t="s">
        <v>38</v>
      </c>
      <c r="AE781" s="37" t="s">
        <v>38</v>
      </c>
      <c r="AF781" s="37" t="str">
        <f t="array" ref="AF781">INDEX('Deal Info'!D:D, MATCH(A781,'Deal Info'!A:A, 0))</f>
        <v>Fix11.25</v>
      </c>
      <c r="AG781" s="38" t="str">
        <f t="array" ref="AG781">INDEX('Deal Info'!G:G, MATCH(A781,'Deal Info'!A:A, 0))</f>
        <v>Fix3.75</v>
      </c>
    </row>
    <row r="782" spans="1:33" ht="14.25" hidden="1" x14ac:dyDescent="0.2">
      <c r="A782" s="18" t="str">
        <f t="array" ref="A782">IF(G782='Room Info'!$B$1, INDEX('Room Info'!$A$2:$A2446, MATCH(B782,'Room Info'!$B$2:$B2446, 0)),IF(G782='Room Info'!$C$1, INDEX('Room Info'!$A$2:$A2446, MATCH(B782,'Room Info'!$C$2:$C2446, 0)),IF(G782='Room Info'!$D$1, INDEX('Room Info'!$A$2:$A2446, MATCH(B782,'Room Info'!$D$2:$D2446, 0)),IF(G782='Room Info'!$E$1, INDEX('Room Info'!$A$2:$A2446, MATCH(B782,'Room Info'!$E$2:$E2446, 0)),IF(G782='Room Info'!$F$1, INDEX('Room Info'!$A$2:$A2446, MATCH(B782,'Room Info'!$F$2:$F2446, 0)),IF(G782='Room Info'!$H$1, INDEX('Room Info'!$A$2:$A2446, MATCH(B782,'Room Info'!$H$2:$H2446, 0)),IF(G782='Room Info'!$G$1, INDEX('Room Info'!$A$2:$A2446, MATCH(B782,'Room Info'!$G$2:$G2446, 0)))))))))</f>
        <v>fig6</v>
      </c>
      <c r="B782" s="45" t="s">
        <v>172</v>
      </c>
      <c r="C782" s="46">
        <v>44794</v>
      </c>
      <c r="D782" s="46">
        <v>44824</v>
      </c>
      <c r="E782" s="47">
        <v>44805</v>
      </c>
      <c r="F782" s="48" t="s">
        <v>34</v>
      </c>
      <c r="G782" s="45" t="s">
        <v>35</v>
      </c>
      <c r="H782" s="49" t="s">
        <v>70</v>
      </c>
      <c r="I782" s="49" t="s">
        <v>37</v>
      </c>
      <c r="J782" s="50">
        <v>100</v>
      </c>
      <c r="K782" s="51">
        <v>5742</v>
      </c>
      <c r="L782" s="52">
        <v>8400</v>
      </c>
      <c r="M782" s="53">
        <v>18902</v>
      </c>
      <c r="N782" s="28">
        <f>K782*J782</f>
        <v>574200</v>
      </c>
      <c r="O782" s="54">
        <v>87189</v>
      </c>
      <c r="P782" s="29">
        <v>15.18443051</v>
      </c>
      <c r="Q782" s="55"/>
      <c r="R782" s="31">
        <f>M782+Q782</f>
        <v>18902</v>
      </c>
      <c r="S782" s="56">
        <v>-15526</v>
      </c>
      <c r="T782" s="32">
        <f>R782+S782+IF(F782="Without EV deal",L782,0)</f>
        <v>3376</v>
      </c>
      <c r="U782" s="57">
        <v>1</v>
      </c>
      <c r="V782" s="58"/>
      <c r="W782" s="58"/>
      <c r="X782" s="30">
        <f>IF(AF782="DoEV",IF(AND(V782&lt;20,W782&lt;55),0.3,0)+IF(AND(V782&lt;20,W782&gt;=55,W782&lt;105),0.23,0)+IF(AND(V782&lt;20,W782&gt;=105),0.17,0)+IF(AND(V782&gt;=20,V782&lt;40,W782&lt;45),0.3,0)+IF(AND(V782&gt;=20,V782&lt;40,W782&gt;=45,W782&lt;95),0.23,0)+IF(AND(V782&gt;=20,V782&lt;40,W782&gt;=95),0.17,0)+IF(AND(V782&gt;=40,V782&lt;75,W782&lt;35),0.3,0)+IF(AND(V782&gt;=40,V782&lt;75,W782&gt;=35,W782&lt;75),0.23,0)+IF(AND(V782&gt;=40,V782&lt;75,W782&gt;=75,W782&lt;120),0.17,0)+IF(AND(V782&gt;=40,V782&lt;75,W782&gt;=120),0.12,0)+IF(AND(V782&gt;=75,V782&lt;175,W782&lt;35),0.3,0)+IF(AND(V782&gt;=75,V782&lt;=175,W782&gt;=35,W782&lt;65),0.23,0)+IF(AND(V782&gt;=75,V782&lt;=175,W782&gt;=65,W782&lt;110),0.17,0)+IF(AND(V782&gt;=75,V782&lt;=175,W782&gt;=110),0.12,0)+IF(AND(V782&gt;175,W782&lt;25),0.3,0)+IF(AND(V782&gt;175,W782&gt;=25,W782&lt;55),0.23,0)+IF(AND(V782&gt;175,W782&gt;=55,W782&lt;95),0.17,0)+IF(AND(V782&gt;175,W782&gt;=95),0.12,0),
IF(AF782="Fix15",0.15,
IF(AF782="Fix18.75",0.1875,
IF(AF782="Fix11.25",0.1125,
IF(AF782="Fix10",0.1,
IF(AF782="Fix9",0.09,
IF(AF782="Fix19",0.19,
IF(AF782="DoEV2017",IF(AND(W782&lt;74),0.2,0)+IF(AND(W782&gt;=74),0.17,0),
IF(AF782="SF",IF(AND(V782&lt;20,W782&lt;89),0.3,0)+IF(AND(V782&lt;20,W782&gt;=89),0.25,0)+IF(AND(V782&gt;=20,V782&lt;40,W782&lt;74),0.3,0)+IF(AND(V782&gt;=20,V782&lt;40,W782&gt;=75),0.22,0)+IF(AND(V782&gt;=40,V782&lt;75,W782&lt;75),0.26,0)+IF(AND(V782&gt;=40,V782&lt;75,W782&gt;=75),0.22,0)+IF(V782&gt;=75,0.22,0),
IF(AF782="DoEVold",IF(AND(V782&lt;40,W782&lt;35),0.35,0)+IF(AND(V782&lt;40,W782&gt;=35,W782&lt;75),0.25,0)+IF(AND(V782&lt;40,W782&gt;=75),0.17,0)+IF(AND(V782&gt;=40,V782&lt;75,W782&lt;25),0.35,0)+IF(AND(V782&gt;=40,V782&lt;75,W782&gt;=25,W782&lt;65),0.25,0)+IF(AND(V782&gt;=40,V782&lt;75,W782&gt;=65,W782&lt;100),0.17,0)+IF(AND(V782&gt;=40,V782&lt;75,W782&gt;=100),0.1,0)+IF(AND(V782&gt;=75,W782&lt;25),0.35,0)+IF(AND(V782&gt;=75,W782&gt;=25,W782&lt;60),0.25,0)+IF(AND(V782&gt;=75,W782&gt;=60,W782&lt;95),0.17,0)+IF(AND(V782&gt;=75,W782&gt;=95),0.1,0),
IF(AF782="DoEVold15",IF(AND(V782&lt;=40,W782&lt;35),0.35,0)+IF(AND(V782&lt;=40,W782&gt;=35,W782&lt;75),0.25,0)+IF(AND(V782&lt;=40,W782&gt;=75,W782&lt;120),0.17,0)+IF(AND(V782&lt;=40,W782&gt;=120),0.15,0)+IF(AND(V782&gt;40,V782&lt;75,W782&lt;25),0.35,0)+IF(AND(V782&gt;=40,V782&lt;75,W782&gt;=25,W782&lt;65),0.25,0)+IF(AND(V782&gt;=40,V782&lt;75,W782&gt;=65,W782&lt;100),0.17,0)+IF(AND(V782&gt;=40,V782&lt;75,W782&gt;=100),0.1,0)+IF(AND(V782&gt;=75,W782&lt;25),0.35,0)+IF(AND(V782&gt;=75,W782&gt;=25,W782&lt;60),0.25,0)+IF(AND(V782&gt;=75,W782&gt;=60,W782&lt;95),0.17,0)+IF(AND(V782&gt;=75,W782&gt;=95),0.1,0),
IF(AF782="DoEVba",IF(AND(V782&lt;20,W782&lt;105),0.2,0)+IF(AND(V782&lt;20,W782&gt;=105),0.15,0)+IF(AND(V782&gt;=20,V782&lt;40,W782&lt;95),0.2,0)+IF(AND(V782&gt;=20,V782&lt;40,W782&gt;=95,W782&lt;150),0.15,0)+IF(AND(V782&gt;=20,V782&lt;40,W782&gt;=150),0.12,0)+IF(AND(V782&gt;=40,V782&lt;75,W782&lt;75),0.2,0)+IF(AND(V782&gt;=40,V782&lt;75,W782&gt;=75,W782&lt;120),0.15,0)+IF(AND(V782&gt;=40,V782&lt;75,W782&gt;=120),0.12,0)+IF(AND(V782&gt;=75,V782&lt;175,W782&lt;65),0.2,0)+IF(AND(V782&gt;=75,V782&lt;175,W782&gt;=65,W782&lt;110),0.15,0)+IF(AND(V782&gt;=75,V782&lt;175,W782&gt;=110),0.12,0)+IF(AND(V782&gt;=175,W782&lt;55),0.2,0)+IF(AND(V782&gt;=175,W782&gt;=55,W782&lt;95),0.15,0)+IF(AND(V782&gt;=175,W782&gt;=95),0.12,0),
IF(AF782="DoEVku",IF(AND(V782&lt;20,W782&lt;55),0.23,0)+IF(AND(V782&lt;20,W782&gt;=55,W782&lt;105),0.2,0)+IF(AND(V782&lt;20,W782&gt;=105),0.17,0)+IF(AND(V782&gt;=20,V782&lt;40,W782&lt;45),0.23,0)+IF(AND(V782&gt;=20,V782&lt;40,W782&gt;=45,W782&lt;95),0.2,0)+IF(AND(V782&gt;=20,V782&lt;40,W782&gt;=95,W782&lt;=150),0.17,0)+IF(AND(V782&gt;=20,V782&lt;40,W782&gt;=150),0.12,0)+IF(AND(V782&gt;=40,V782&lt;75,W782&lt;35),0.23,0)+IF(AND(V782&gt;=40,V782&lt;75,W782&gt;=35,W782&lt;75),0.2,0)+IF(AND(V782&gt;=40,V782&lt;75,W782&gt;=75,W782&lt;120),0.17,0)+IF(AND(V782&gt;=40,V782&lt;75,W782&gt;=120),0.12,0)+IF(AND(V782&gt;=75,V782&lt;175,W782&lt;35),0.23,0)+IF(AND(V782&gt;=75,V782&lt;=175,W782&gt;=35,W782&lt;65),0.2,0)+IF(AND(V782&gt;=75,V782&lt;=175,W782&gt;=65,W782&lt;110),0.17,0)+IF(AND(V782&gt;=75,V782&lt;=175,W782&gt;=110),0.12,0)+IF(AND(V782&gt;175,W782&lt;25),0.23,0)+IF(AND(V782&gt;175,W782&gt;=25,W782&lt;55),0.2,0)+IF(AND(V782&gt;175,W782&gt;=55,W782&lt;95),0.17,0)+IF(AND(V782&gt;175,W782&gt;=95),0.12,0),
IF(AF782="DoEVs1",IF(AND(V782&lt;20,W782&lt;55),0.3,0)+IF(AND(V782&lt;20,W782&gt;=55,W782&lt;105),0.23,0)+IF(AND(V782&lt;20,W782&gt;=105),0.17,0)+IF(AND(V782&gt;=20,V782&lt;40,W782&lt;45),0.3,0)+IF(AND(V782&gt;=20,V782&lt;40,W782&gt;=45,W782&lt;95),0.23,0)+IF(AND(V782&gt;=20,V782&lt;40,W782&gt;=95,W782&lt;=150),0.17,0)+IF(AND(V782&gt;=20,V782&lt;40,W782&gt;=150),0.12,0)+IF(AND(V782&gt;=40,V782&lt;75,W782&lt;35),0.3,0)+IF(AND(V782&gt;=40,V782&lt;75,W782&gt;=35,W782&lt;75),0.23,0)+IF(AND(V782&gt;=40,V782&lt;75,W782&gt;=75,W782&lt;120),0.17,0)+IF(AND(V782&gt;=40,V782&lt;75,W782&gt;=120),0.12,0)+IF(AND(V782&gt;=75,V782&lt;175,W782&lt;35),0.3,0)+IF(AND(V782&gt;=75,V782&lt;=175,W782&gt;=35,W782&lt;65),0.23,0)+IF(AND(V782&gt;=75,V782&lt;=175,W782&gt;=65,W782&lt;110),0.17,0)+IF(AND(V782&gt;=75,V782&lt;=175,W782&gt;=110),0.12,0)+IF(AND(V782&gt;175,W782&lt;25),0.3,0)+IF(AND(V782&gt;175,W782&gt;=25,W782&lt;55),0.23,0)+IF(AND(V782&gt;175,W782&gt;=55,W782&lt;95),0.17,0)+IF(AND(V782&gt;175,W782&gt;=95),0.12,0),
IF(AF782="DoEVsu",IF(AND(V782&lt;20,W782&lt;55),0.3,0)+IF(AND(V782&lt;20,W782&gt;=55,W782&lt;105),0.23,0)+IF(AND(V782&lt;20,W782&gt;=105),0.17,0)+IF(AND(V782&gt;=20,V782&lt;40,W782&lt;45),0.3,0)+IF(AND(V782&gt;=20,V782&lt;40,W782&gt;=45,W782&lt;95),0.23,0)+IF(AND(V782&gt;=20,V782&lt;40,W782&gt;=95,W782&lt;=250),0.17,0)+IF(AND(V782&gt;=20,V782&lt;40,W782&gt;=250),0.12,0)+IF(AND(V782&gt;=40,V782&lt;75,W782&lt;35),0.3,0)+IF(AND(V782&gt;=40,V782&lt;75,W782&gt;=35,W782&lt;75),0.23,0)+IF(AND(V782&gt;=40,V782&lt;75,W782&gt;=75,W782&lt;120),0.17,0)+IF(AND(V782&gt;=40,V782&lt;75,W782&gt;=120),0.12,0)+IF(AND(V782&gt;=75,V782&lt;175,W782&lt;35),0.3,0)+IF(AND(V782&gt;=75,V782&lt;=175,W782&gt;=35,W782&lt;65),0.23,0)+IF(AND(V782&gt;=75,V782&lt;=175,W782&gt;=65,W782&lt;110),0.17,0)+IF(AND(V782&gt;=75,V782&lt;=175,W782&gt;=110),0.12,0)+IF(AND(V782&gt;175,W782&lt;25),0.3,0)+IF(AND(V782&gt;175,W782&gt;=25,W782&lt;55),0.23,0)+IF(AND(V782&gt;175,W782&gt;=55,W782&lt;95),0.17,0)+IF(AND(V782&gt;175,W782&gt;=95),0.12,0),
IF(AF782="DoEVni",IF(AND(V782&lt;20,W782&lt;55),0.3,0)+IF(AND(V782&lt;20,W782&gt;=55,W782&lt;105),0.23,0)+IF(AND(V782&lt;20,W782&gt;=105),0.17,0)+IF(AND(V782&gt;=20,V782&lt;40,W782&lt;45),0.3,0)+IF(AND(V782&gt;=20,V782&lt;40,W782&gt;=45,W782&lt;95),0.23,0)+IF(AND(V782&gt;=20,V782&lt;40,W782&gt;=95,W782&lt;=200),0.17,0)+IF(AND(V782&gt;=20,V782&lt;40,W782&gt;=200),0.12,0)+IF(AND(V782&gt;=40,V782&lt;75,W782&lt;35),0.3,0)+IF(AND(V782&gt;=40,V782&lt;75,W782&gt;=35,W782&lt;75),0.23,0)+IF(AND(V782&gt;=40,V782&lt;75,W782&gt;=75,W782&lt;120),0.17,0)+IF(AND(V782&gt;=40,V782&lt;75,W782&gt;=120),0.12,0)+IF(AND(V782&gt;=75,V782&lt;175,W782&lt;35),0.3,0)+IF(AND(V782&gt;=75,V782&lt;=175,W782&gt;=35,W782&lt;65),0.23,0)+IF(AND(V782&gt;=75,V782&lt;=175,W782&gt;=65,W782&lt;110),0.17,0)+IF(AND(V782&gt;=75,V782&lt;=175,W782&gt;=110),0.12,0)+IF(AND(V782&gt;175,W782&lt;25),0.3,0)+IF(AND(V782&gt;175,W782&gt;=25,W782&lt;55),0.23,0)+IF(AND(V782&gt;175,W782&gt;=55,W782&lt;95),0.17,0)+IF(AND(V782&gt;175,W782&gt;=95),0.12,0),
IF(AF782="DoEVLo",IF(AND(V782&lt;20,W782&lt;55),0.25,0)+IF(AND(V782&lt;20,W782&gt;=55,W782&lt;105),0.2,0)+IF(AND(V782&lt;20,W782&gt;=105),0.15,0)+IF(AND(V782&gt;=20,V782&lt;40,W782&lt;45),0.25,0)+IF(AND(V782&gt;=20,V782&lt;40,W782&gt;=45,W782&lt;95),0.2,0)+IF(AND(V782&gt;=20,V782&lt;40,W782&gt;=95),0.15,0)+IF(AND(V782&gt;=40,V782&lt;75,W782&lt;35),0.25,0)+IF(AND(V782&gt;=40,V782&lt;75,W782&gt;=35,W782&lt;75),0.2,0)+IF(AND(V782&gt;=40,V782&lt;75,W782&gt;=75,W782&lt;120),0.15,0)+IF(AND(V782&gt;=40,V782&lt;75,W782&gt;=120),0.1,0)+IF(AND(V782&gt;=75,V782&lt;175,W782&lt;35),0.25,0)+IF(AND(V782&gt;=75,V782&lt;=175,W782&gt;=35,W782&lt;65),0.2,0)+IF(AND(V782&gt;=75,V782&lt;=175,W782&gt;=65,W782&lt;110),0.15,0)+IF(AND(V782&gt;=75,V782&lt;=175,W782&gt;=110),0.1,0)+IF(AND(V782&gt;175,W782&lt;25),0.25,0)+IF(AND(V782&gt;175,W782&gt;=25,W782&lt;55),0.2,0)+IF(AND(V782&gt;175,W782&gt;=55,W782&lt;95),0.15,0)+IF(AND(V782&gt;175,W782&gt;=95),0.1,0))))))))))))))))))</f>
        <v>0.1125</v>
      </c>
      <c r="Y782" s="30">
        <f>IF(AG782="None",0,IF(AG782="Fix5",0.05, IF(AG782="Fix6.25",0.0625,IF(AG782="Fix3.75",0.0375,IF(AG782="Fix10",0.1,IF(AG782="Fix3",0.03,0))))))</f>
        <v>3.7499999999999999E-2</v>
      </c>
      <c r="Z782" s="35">
        <f>T782-AA782-AB782</f>
        <v>2490.1999999999998</v>
      </c>
      <c r="AA782" s="29">
        <f>IF(AD782="EUR",((T782-R782)*X782)*U782+(R782*X782),(T782*X782))</f>
        <v>379.8</v>
      </c>
      <c r="AB782" s="104">
        <v>506</v>
      </c>
      <c r="AC782" s="37" t="b">
        <v>1</v>
      </c>
      <c r="AD782" s="37" t="s">
        <v>38</v>
      </c>
      <c r="AE782" s="37" t="s">
        <v>38</v>
      </c>
      <c r="AF782" s="37" t="str">
        <f t="array" ref="AF782">INDEX('Deal Info'!D:D, MATCH(A782,'Deal Info'!A:A, 0))</f>
        <v>Fix11.25</v>
      </c>
      <c r="AG782" s="38" t="str">
        <f t="array" ref="AG782">INDEX('Deal Info'!G:G, MATCH(A782,'Deal Info'!A:A, 0))</f>
        <v>Fix3.75</v>
      </c>
    </row>
    <row r="783" spans="1:33" ht="14.25" hidden="1" x14ac:dyDescent="0.2">
      <c r="A783" s="18" t="str">
        <f t="array" ref="A783">IF(G783='Room Info'!$B$1, INDEX('Room Info'!$A$2:$A2446, MATCH(B783,'Room Info'!$B$2:$B2446, 0)),IF(G783='Room Info'!$C$1, INDEX('Room Info'!$A$2:$A2446, MATCH(B783,'Room Info'!$C$2:$C2446, 0)),IF(G783='Room Info'!$D$1, INDEX('Room Info'!$A$2:$A2446, MATCH(B783,'Room Info'!$D$2:$D2446, 0)),IF(G783='Room Info'!$E$1, INDEX('Room Info'!$A$2:$A2446, MATCH(B783,'Room Info'!$E$2:$E2446, 0)),IF(G783='Room Info'!$F$1, INDEX('Room Info'!$A$2:$A2446, MATCH(B783,'Room Info'!$F$2:$F2446, 0)),IF(G783='Room Info'!$H$1, INDEX('Room Info'!$A$2:$A2446, MATCH(B783,'Room Info'!$H$2:$H2446, 0)),IF(G783='Room Info'!$G$1, INDEX('Room Info'!$A$2:$A2446, MATCH(B783,'Room Info'!$G$2:$G2446, 0)))))))))</f>
        <v>fig6</v>
      </c>
      <c r="B783" s="45" t="s">
        <v>172</v>
      </c>
      <c r="C783" s="46">
        <v>44794</v>
      </c>
      <c r="D783" s="46">
        <v>44824</v>
      </c>
      <c r="E783" s="47">
        <v>44805</v>
      </c>
      <c r="F783" s="48" t="s">
        <v>34</v>
      </c>
      <c r="G783" s="45" t="s">
        <v>35</v>
      </c>
      <c r="H783" s="49" t="s">
        <v>84</v>
      </c>
      <c r="I783" s="49" t="s">
        <v>44</v>
      </c>
      <c r="J783" s="50">
        <v>100</v>
      </c>
      <c r="K783" s="51">
        <v>938</v>
      </c>
      <c r="L783" s="52">
        <v>500</v>
      </c>
      <c r="M783" s="53">
        <v>3088</v>
      </c>
      <c r="N783" s="28">
        <f>K783*J783</f>
        <v>93800</v>
      </c>
      <c r="O783" s="54">
        <v>5828</v>
      </c>
      <c r="P783" s="29">
        <v>6.2132196159999999</v>
      </c>
      <c r="Q783" s="55"/>
      <c r="R783" s="31">
        <f>M783+Q783</f>
        <v>3088</v>
      </c>
      <c r="S783" s="56">
        <v>-3385</v>
      </c>
      <c r="T783" s="32">
        <f>R783+S783+IF(F783="Without EV deal",L783,0)</f>
        <v>-297</v>
      </c>
      <c r="U783" s="57">
        <v>1</v>
      </c>
      <c r="V783" s="58"/>
      <c r="W783" s="58"/>
      <c r="X783" s="30">
        <f>IF(AF783="DoEV",IF(AND(V783&lt;20,W783&lt;55),0.3,0)+IF(AND(V783&lt;20,W783&gt;=55,W783&lt;105),0.23,0)+IF(AND(V783&lt;20,W783&gt;=105),0.17,0)+IF(AND(V783&gt;=20,V783&lt;40,W783&lt;45),0.3,0)+IF(AND(V783&gt;=20,V783&lt;40,W783&gt;=45,W783&lt;95),0.23,0)+IF(AND(V783&gt;=20,V783&lt;40,W783&gt;=95),0.17,0)+IF(AND(V783&gt;=40,V783&lt;75,W783&lt;35),0.3,0)+IF(AND(V783&gt;=40,V783&lt;75,W783&gt;=35,W783&lt;75),0.23,0)+IF(AND(V783&gt;=40,V783&lt;75,W783&gt;=75,W783&lt;120),0.17,0)+IF(AND(V783&gt;=40,V783&lt;75,W783&gt;=120),0.12,0)+IF(AND(V783&gt;=75,V783&lt;175,W783&lt;35),0.3,0)+IF(AND(V783&gt;=75,V783&lt;=175,W783&gt;=35,W783&lt;65),0.23,0)+IF(AND(V783&gt;=75,V783&lt;=175,W783&gt;=65,W783&lt;110),0.17,0)+IF(AND(V783&gt;=75,V783&lt;=175,W783&gt;=110),0.12,0)+IF(AND(V783&gt;175,W783&lt;25),0.3,0)+IF(AND(V783&gt;175,W783&gt;=25,W783&lt;55),0.23,0)+IF(AND(V783&gt;175,W783&gt;=55,W783&lt;95),0.17,0)+IF(AND(V783&gt;175,W783&gt;=95),0.12,0),
IF(AF783="Fix15",0.15,
IF(AF783="Fix18.75",0.1875,
IF(AF783="Fix11.25",0.1125,
IF(AF783="Fix10",0.1,
IF(AF783="Fix9",0.09,
IF(AF783="Fix19",0.19,
IF(AF783="DoEV2017",IF(AND(W783&lt;74),0.2,0)+IF(AND(W783&gt;=74),0.17,0),
IF(AF783="SF",IF(AND(V783&lt;20,W783&lt;89),0.3,0)+IF(AND(V783&lt;20,W783&gt;=89),0.25,0)+IF(AND(V783&gt;=20,V783&lt;40,W783&lt;74),0.3,0)+IF(AND(V783&gt;=20,V783&lt;40,W783&gt;=75),0.22,0)+IF(AND(V783&gt;=40,V783&lt;75,W783&lt;75),0.26,0)+IF(AND(V783&gt;=40,V783&lt;75,W783&gt;=75),0.22,0)+IF(V783&gt;=75,0.22,0),
IF(AF783="DoEVold",IF(AND(V783&lt;40,W783&lt;35),0.35,0)+IF(AND(V783&lt;40,W783&gt;=35,W783&lt;75),0.25,0)+IF(AND(V783&lt;40,W783&gt;=75),0.17,0)+IF(AND(V783&gt;=40,V783&lt;75,W783&lt;25),0.35,0)+IF(AND(V783&gt;=40,V783&lt;75,W783&gt;=25,W783&lt;65),0.25,0)+IF(AND(V783&gt;=40,V783&lt;75,W783&gt;=65,W783&lt;100),0.17,0)+IF(AND(V783&gt;=40,V783&lt;75,W783&gt;=100),0.1,0)+IF(AND(V783&gt;=75,W783&lt;25),0.35,0)+IF(AND(V783&gt;=75,W783&gt;=25,W783&lt;60),0.25,0)+IF(AND(V783&gt;=75,W783&gt;=60,W783&lt;95),0.17,0)+IF(AND(V783&gt;=75,W783&gt;=95),0.1,0),
IF(AF783="DoEVold15",IF(AND(V783&lt;=40,W783&lt;35),0.35,0)+IF(AND(V783&lt;=40,W783&gt;=35,W783&lt;75),0.25,0)+IF(AND(V783&lt;=40,W783&gt;=75,W783&lt;120),0.17,0)+IF(AND(V783&lt;=40,W783&gt;=120),0.15,0)+IF(AND(V783&gt;40,V783&lt;75,W783&lt;25),0.35,0)+IF(AND(V783&gt;=40,V783&lt;75,W783&gt;=25,W783&lt;65),0.25,0)+IF(AND(V783&gt;=40,V783&lt;75,W783&gt;=65,W783&lt;100),0.17,0)+IF(AND(V783&gt;=40,V783&lt;75,W783&gt;=100),0.1,0)+IF(AND(V783&gt;=75,W783&lt;25),0.35,0)+IF(AND(V783&gt;=75,W783&gt;=25,W783&lt;60),0.25,0)+IF(AND(V783&gt;=75,W783&gt;=60,W783&lt;95),0.17,0)+IF(AND(V783&gt;=75,W783&gt;=95),0.1,0),
IF(AF783="DoEVba",IF(AND(V783&lt;20,W783&lt;105),0.2,0)+IF(AND(V783&lt;20,W783&gt;=105),0.15,0)+IF(AND(V783&gt;=20,V783&lt;40,W783&lt;95),0.2,0)+IF(AND(V783&gt;=20,V783&lt;40,W783&gt;=95,W783&lt;150),0.15,0)+IF(AND(V783&gt;=20,V783&lt;40,W783&gt;=150),0.12,0)+IF(AND(V783&gt;=40,V783&lt;75,W783&lt;75),0.2,0)+IF(AND(V783&gt;=40,V783&lt;75,W783&gt;=75,W783&lt;120),0.15,0)+IF(AND(V783&gt;=40,V783&lt;75,W783&gt;=120),0.12,0)+IF(AND(V783&gt;=75,V783&lt;175,W783&lt;65),0.2,0)+IF(AND(V783&gt;=75,V783&lt;175,W783&gt;=65,W783&lt;110),0.15,0)+IF(AND(V783&gt;=75,V783&lt;175,W783&gt;=110),0.12,0)+IF(AND(V783&gt;=175,W783&lt;55),0.2,0)+IF(AND(V783&gt;=175,W783&gt;=55,W783&lt;95),0.15,0)+IF(AND(V783&gt;=175,W783&gt;=95),0.12,0),
IF(AF783="DoEVku",IF(AND(V783&lt;20,W783&lt;55),0.23,0)+IF(AND(V783&lt;20,W783&gt;=55,W783&lt;105),0.2,0)+IF(AND(V783&lt;20,W783&gt;=105),0.17,0)+IF(AND(V783&gt;=20,V783&lt;40,W783&lt;45),0.23,0)+IF(AND(V783&gt;=20,V783&lt;40,W783&gt;=45,W783&lt;95),0.2,0)+IF(AND(V783&gt;=20,V783&lt;40,W783&gt;=95,W783&lt;=150),0.17,0)+IF(AND(V783&gt;=20,V783&lt;40,W783&gt;=150),0.12,0)+IF(AND(V783&gt;=40,V783&lt;75,W783&lt;35),0.23,0)+IF(AND(V783&gt;=40,V783&lt;75,W783&gt;=35,W783&lt;75),0.2,0)+IF(AND(V783&gt;=40,V783&lt;75,W783&gt;=75,W783&lt;120),0.17,0)+IF(AND(V783&gt;=40,V783&lt;75,W783&gt;=120),0.12,0)+IF(AND(V783&gt;=75,V783&lt;175,W783&lt;35),0.23,0)+IF(AND(V783&gt;=75,V783&lt;=175,W783&gt;=35,W783&lt;65),0.2,0)+IF(AND(V783&gt;=75,V783&lt;=175,W783&gt;=65,W783&lt;110),0.17,0)+IF(AND(V783&gt;=75,V783&lt;=175,W783&gt;=110),0.12,0)+IF(AND(V783&gt;175,W783&lt;25),0.23,0)+IF(AND(V783&gt;175,W783&gt;=25,W783&lt;55),0.2,0)+IF(AND(V783&gt;175,W783&gt;=55,W783&lt;95),0.17,0)+IF(AND(V783&gt;175,W783&gt;=95),0.12,0),
IF(AF783="DoEVs1",IF(AND(V783&lt;20,W783&lt;55),0.3,0)+IF(AND(V783&lt;20,W783&gt;=55,W783&lt;105),0.23,0)+IF(AND(V783&lt;20,W783&gt;=105),0.17,0)+IF(AND(V783&gt;=20,V783&lt;40,W783&lt;45),0.3,0)+IF(AND(V783&gt;=20,V783&lt;40,W783&gt;=45,W783&lt;95),0.23,0)+IF(AND(V783&gt;=20,V783&lt;40,W783&gt;=95,W783&lt;=150),0.17,0)+IF(AND(V783&gt;=20,V783&lt;40,W783&gt;=150),0.12,0)+IF(AND(V783&gt;=40,V783&lt;75,W783&lt;35),0.3,0)+IF(AND(V783&gt;=40,V783&lt;75,W783&gt;=35,W783&lt;75),0.23,0)+IF(AND(V783&gt;=40,V783&lt;75,W783&gt;=75,W783&lt;120),0.17,0)+IF(AND(V783&gt;=40,V783&lt;75,W783&gt;=120),0.12,0)+IF(AND(V783&gt;=75,V783&lt;175,W783&lt;35),0.3,0)+IF(AND(V783&gt;=75,V783&lt;=175,W783&gt;=35,W783&lt;65),0.23,0)+IF(AND(V783&gt;=75,V783&lt;=175,W783&gt;=65,W783&lt;110),0.17,0)+IF(AND(V783&gt;=75,V783&lt;=175,W783&gt;=110),0.12,0)+IF(AND(V783&gt;175,W783&lt;25),0.3,0)+IF(AND(V783&gt;175,W783&gt;=25,W783&lt;55),0.23,0)+IF(AND(V783&gt;175,W783&gt;=55,W783&lt;95),0.17,0)+IF(AND(V783&gt;175,W783&gt;=95),0.12,0),
IF(AF783="DoEVsu",IF(AND(V783&lt;20,W783&lt;55),0.3,0)+IF(AND(V783&lt;20,W783&gt;=55,W783&lt;105),0.23,0)+IF(AND(V783&lt;20,W783&gt;=105),0.17,0)+IF(AND(V783&gt;=20,V783&lt;40,W783&lt;45),0.3,0)+IF(AND(V783&gt;=20,V783&lt;40,W783&gt;=45,W783&lt;95),0.23,0)+IF(AND(V783&gt;=20,V783&lt;40,W783&gt;=95,W783&lt;=250),0.17,0)+IF(AND(V783&gt;=20,V783&lt;40,W783&gt;=250),0.12,0)+IF(AND(V783&gt;=40,V783&lt;75,W783&lt;35),0.3,0)+IF(AND(V783&gt;=40,V783&lt;75,W783&gt;=35,W783&lt;75),0.23,0)+IF(AND(V783&gt;=40,V783&lt;75,W783&gt;=75,W783&lt;120),0.17,0)+IF(AND(V783&gt;=40,V783&lt;75,W783&gt;=120),0.12,0)+IF(AND(V783&gt;=75,V783&lt;175,W783&lt;35),0.3,0)+IF(AND(V783&gt;=75,V783&lt;=175,W783&gt;=35,W783&lt;65),0.23,0)+IF(AND(V783&gt;=75,V783&lt;=175,W783&gt;=65,W783&lt;110),0.17,0)+IF(AND(V783&gt;=75,V783&lt;=175,W783&gt;=110),0.12,0)+IF(AND(V783&gt;175,W783&lt;25),0.3,0)+IF(AND(V783&gt;175,W783&gt;=25,W783&lt;55),0.23,0)+IF(AND(V783&gt;175,W783&gt;=55,W783&lt;95),0.17,0)+IF(AND(V783&gt;175,W783&gt;=95),0.12,0),
IF(AF783="DoEVni",IF(AND(V783&lt;20,W783&lt;55),0.3,0)+IF(AND(V783&lt;20,W783&gt;=55,W783&lt;105),0.23,0)+IF(AND(V783&lt;20,W783&gt;=105),0.17,0)+IF(AND(V783&gt;=20,V783&lt;40,W783&lt;45),0.3,0)+IF(AND(V783&gt;=20,V783&lt;40,W783&gt;=45,W783&lt;95),0.23,0)+IF(AND(V783&gt;=20,V783&lt;40,W783&gt;=95,W783&lt;=200),0.17,0)+IF(AND(V783&gt;=20,V783&lt;40,W783&gt;=200),0.12,0)+IF(AND(V783&gt;=40,V783&lt;75,W783&lt;35),0.3,0)+IF(AND(V783&gt;=40,V783&lt;75,W783&gt;=35,W783&lt;75),0.23,0)+IF(AND(V783&gt;=40,V783&lt;75,W783&gt;=75,W783&lt;120),0.17,0)+IF(AND(V783&gt;=40,V783&lt;75,W783&gt;=120),0.12,0)+IF(AND(V783&gt;=75,V783&lt;175,W783&lt;35),0.3,0)+IF(AND(V783&gt;=75,V783&lt;=175,W783&gt;=35,W783&lt;65),0.23,0)+IF(AND(V783&gt;=75,V783&lt;=175,W783&gt;=65,W783&lt;110),0.17,0)+IF(AND(V783&gt;=75,V783&lt;=175,W783&gt;=110),0.12,0)+IF(AND(V783&gt;175,W783&lt;25),0.3,0)+IF(AND(V783&gt;175,W783&gt;=25,W783&lt;55),0.23,0)+IF(AND(V783&gt;175,W783&gt;=55,W783&lt;95),0.17,0)+IF(AND(V783&gt;175,W783&gt;=95),0.12,0),
IF(AF783="DoEVLo",IF(AND(V783&lt;20,W783&lt;55),0.25,0)+IF(AND(V783&lt;20,W783&gt;=55,W783&lt;105),0.2,0)+IF(AND(V783&lt;20,W783&gt;=105),0.15,0)+IF(AND(V783&gt;=20,V783&lt;40,W783&lt;45),0.25,0)+IF(AND(V783&gt;=20,V783&lt;40,W783&gt;=45,W783&lt;95),0.2,0)+IF(AND(V783&gt;=20,V783&lt;40,W783&gt;=95),0.15,0)+IF(AND(V783&gt;=40,V783&lt;75,W783&lt;35),0.25,0)+IF(AND(V783&gt;=40,V783&lt;75,W783&gt;=35,W783&lt;75),0.2,0)+IF(AND(V783&gt;=40,V783&lt;75,W783&gt;=75,W783&lt;120),0.15,0)+IF(AND(V783&gt;=40,V783&lt;75,W783&gt;=120),0.1,0)+IF(AND(V783&gt;=75,V783&lt;175,W783&lt;35),0.25,0)+IF(AND(V783&gt;=75,V783&lt;=175,W783&gt;=35,W783&lt;65),0.2,0)+IF(AND(V783&gt;=75,V783&lt;=175,W783&gt;=65,W783&lt;110),0.15,0)+IF(AND(V783&gt;=75,V783&lt;=175,W783&gt;=110),0.1,0)+IF(AND(V783&gt;175,W783&lt;25),0.25,0)+IF(AND(V783&gt;175,W783&gt;=25,W783&lt;55),0.2,0)+IF(AND(V783&gt;175,W783&gt;=55,W783&lt;95),0.15,0)+IF(AND(V783&gt;175,W783&gt;=95),0.1,0))))))))))))))))))</f>
        <v>0.1125</v>
      </c>
      <c r="Y783" s="30">
        <f>IF(AG783="None",0,IF(AG783="Fix5",0.05, IF(AG783="Fix6.25",0.0625,IF(AG783="Fix3.75",0.0375,IF(AG783="Fix10",0.1,IF(AG783="Fix3",0.03,0))))))</f>
        <v>3.7499999999999999E-2</v>
      </c>
      <c r="Z783" s="35">
        <f>T783-AA783-AB783</f>
        <v>-218.58749999999998</v>
      </c>
      <c r="AA783" s="29">
        <f>IF(AD783="EUR",((T783-R783)*X783)*U783+(R783*X783),(T783*X783))</f>
        <v>-33.412500000000001</v>
      </c>
      <c r="AB783" s="104">
        <v>-45</v>
      </c>
      <c r="AC783" s="37" t="b">
        <v>1</v>
      </c>
      <c r="AD783" s="37" t="s">
        <v>38</v>
      </c>
      <c r="AE783" s="37" t="s">
        <v>38</v>
      </c>
      <c r="AF783" s="37" t="str">
        <f t="array" ref="AF783">INDEX('Deal Info'!D:D, MATCH(A783,'Deal Info'!A:A, 0))</f>
        <v>Fix11.25</v>
      </c>
      <c r="AG783" s="38" t="str">
        <f t="array" ref="AG783">INDEX('Deal Info'!G:G, MATCH(A783,'Deal Info'!A:A, 0))</f>
        <v>Fix3.75</v>
      </c>
    </row>
    <row r="784" spans="1:33" ht="14.25" hidden="1" x14ac:dyDescent="0.2">
      <c r="A784" s="18" t="str">
        <f t="array" ref="A784">IF(G784='Room Info'!$B$1, INDEX('Room Info'!$A$2:$A2446, MATCH(B784,'Room Info'!$B$2:$B2446, 0)),IF(G784='Room Info'!$C$1, INDEX('Room Info'!$A$2:$A2446, MATCH(B784,'Room Info'!$C$2:$C2446, 0)),IF(G784='Room Info'!$D$1, INDEX('Room Info'!$A$2:$A2446, MATCH(B784,'Room Info'!$D$2:$D2446, 0)),IF(G784='Room Info'!$E$1, INDEX('Room Info'!$A$2:$A2446, MATCH(B784,'Room Info'!$E$2:$E2446, 0)),IF(G784='Room Info'!$F$1, INDEX('Room Info'!$A$2:$A2446, MATCH(B784,'Room Info'!$F$2:$F2446, 0)),IF(G784='Room Info'!$H$1, INDEX('Room Info'!$A$2:$A2446, MATCH(B784,'Room Info'!$H$2:$H2446, 0)),IF(G784='Room Info'!$G$1, INDEX('Room Info'!$A$2:$A2446, MATCH(B784,'Room Info'!$G$2:$G2446, 0)))))))))</f>
        <v>fig6</v>
      </c>
      <c r="B784" s="45" t="s">
        <v>172</v>
      </c>
      <c r="C784" s="46">
        <v>44794</v>
      </c>
      <c r="D784" s="46">
        <v>44824</v>
      </c>
      <c r="E784" s="47">
        <v>44805</v>
      </c>
      <c r="F784" s="48" t="s">
        <v>34</v>
      </c>
      <c r="G784" s="45" t="s">
        <v>35</v>
      </c>
      <c r="H784" s="49" t="s">
        <v>88</v>
      </c>
      <c r="I784" s="49" t="s">
        <v>37</v>
      </c>
      <c r="J784" s="50">
        <v>250</v>
      </c>
      <c r="K784" s="51">
        <v>967</v>
      </c>
      <c r="L784" s="52">
        <v>19500</v>
      </c>
      <c r="M784" s="53">
        <v>7958</v>
      </c>
      <c r="N784" s="28">
        <f>K784*J784</f>
        <v>241750</v>
      </c>
      <c r="O784" s="54">
        <v>25598</v>
      </c>
      <c r="P784" s="29">
        <v>26.471561529999999</v>
      </c>
      <c r="Q784" s="55"/>
      <c r="R784" s="31">
        <f>M784+Q784</f>
        <v>7958</v>
      </c>
      <c r="S784" s="56">
        <v>-812</v>
      </c>
      <c r="T784" s="32">
        <f>R784+S784+IF(F784="Without EV deal",L784,0)</f>
        <v>7146</v>
      </c>
      <c r="U784" s="57">
        <v>1</v>
      </c>
      <c r="V784" s="58"/>
      <c r="W784" s="58"/>
      <c r="X784" s="30">
        <f>IF(AF784="DoEV",IF(AND(V784&lt;20,W784&lt;55),0.3,0)+IF(AND(V784&lt;20,W784&gt;=55,W784&lt;105),0.23,0)+IF(AND(V784&lt;20,W784&gt;=105),0.17,0)+IF(AND(V784&gt;=20,V784&lt;40,W784&lt;45),0.3,0)+IF(AND(V784&gt;=20,V784&lt;40,W784&gt;=45,W784&lt;95),0.23,0)+IF(AND(V784&gt;=20,V784&lt;40,W784&gt;=95),0.17,0)+IF(AND(V784&gt;=40,V784&lt;75,W784&lt;35),0.3,0)+IF(AND(V784&gt;=40,V784&lt;75,W784&gt;=35,W784&lt;75),0.23,0)+IF(AND(V784&gt;=40,V784&lt;75,W784&gt;=75,W784&lt;120),0.17,0)+IF(AND(V784&gt;=40,V784&lt;75,W784&gt;=120),0.12,0)+IF(AND(V784&gt;=75,V784&lt;175,W784&lt;35),0.3,0)+IF(AND(V784&gt;=75,V784&lt;=175,W784&gt;=35,W784&lt;65),0.23,0)+IF(AND(V784&gt;=75,V784&lt;=175,W784&gt;=65,W784&lt;110),0.17,0)+IF(AND(V784&gt;=75,V784&lt;=175,W784&gt;=110),0.12,0)+IF(AND(V784&gt;175,W784&lt;25),0.3,0)+IF(AND(V784&gt;175,W784&gt;=25,W784&lt;55),0.23,0)+IF(AND(V784&gt;175,W784&gt;=55,W784&lt;95),0.17,0)+IF(AND(V784&gt;175,W784&gt;=95),0.12,0),
IF(AF784="Fix15",0.15,
IF(AF784="Fix18.75",0.1875,
IF(AF784="Fix11.25",0.1125,
IF(AF784="Fix10",0.1,
IF(AF784="Fix9",0.09,
IF(AF784="Fix19",0.19,
IF(AF784="DoEV2017",IF(AND(W784&lt;74),0.2,0)+IF(AND(W784&gt;=74),0.17,0),
IF(AF784="SF",IF(AND(V784&lt;20,W784&lt;89),0.3,0)+IF(AND(V784&lt;20,W784&gt;=89),0.25,0)+IF(AND(V784&gt;=20,V784&lt;40,W784&lt;74),0.3,0)+IF(AND(V784&gt;=20,V784&lt;40,W784&gt;=75),0.22,0)+IF(AND(V784&gt;=40,V784&lt;75,W784&lt;75),0.26,0)+IF(AND(V784&gt;=40,V784&lt;75,W784&gt;=75),0.22,0)+IF(V784&gt;=75,0.22,0),
IF(AF784="DoEVold",IF(AND(V784&lt;40,W784&lt;35),0.35,0)+IF(AND(V784&lt;40,W784&gt;=35,W784&lt;75),0.25,0)+IF(AND(V784&lt;40,W784&gt;=75),0.17,0)+IF(AND(V784&gt;=40,V784&lt;75,W784&lt;25),0.35,0)+IF(AND(V784&gt;=40,V784&lt;75,W784&gt;=25,W784&lt;65),0.25,0)+IF(AND(V784&gt;=40,V784&lt;75,W784&gt;=65,W784&lt;100),0.17,0)+IF(AND(V784&gt;=40,V784&lt;75,W784&gt;=100),0.1,0)+IF(AND(V784&gt;=75,W784&lt;25),0.35,0)+IF(AND(V784&gt;=75,W784&gt;=25,W784&lt;60),0.25,0)+IF(AND(V784&gt;=75,W784&gt;=60,W784&lt;95),0.17,0)+IF(AND(V784&gt;=75,W784&gt;=95),0.1,0),
IF(AF784="DoEVold15",IF(AND(V784&lt;=40,W784&lt;35),0.35,0)+IF(AND(V784&lt;=40,W784&gt;=35,W784&lt;75),0.25,0)+IF(AND(V784&lt;=40,W784&gt;=75,W784&lt;120),0.17,0)+IF(AND(V784&lt;=40,W784&gt;=120),0.15,0)+IF(AND(V784&gt;40,V784&lt;75,W784&lt;25),0.35,0)+IF(AND(V784&gt;=40,V784&lt;75,W784&gt;=25,W784&lt;65),0.25,0)+IF(AND(V784&gt;=40,V784&lt;75,W784&gt;=65,W784&lt;100),0.17,0)+IF(AND(V784&gt;=40,V784&lt;75,W784&gt;=100),0.1,0)+IF(AND(V784&gt;=75,W784&lt;25),0.35,0)+IF(AND(V784&gt;=75,W784&gt;=25,W784&lt;60),0.25,0)+IF(AND(V784&gt;=75,W784&gt;=60,W784&lt;95),0.17,0)+IF(AND(V784&gt;=75,W784&gt;=95),0.1,0),
IF(AF784="DoEVba",IF(AND(V784&lt;20,W784&lt;105),0.2,0)+IF(AND(V784&lt;20,W784&gt;=105),0.15,0)+IF(AND(V784&gt;=20,V784&lt;40,W784&lt;95),0.2,0)+IF(AND(V784&gt;=20,V784&lt;40,W784&gt;=95,W784&lt;150),0.15,0)+IF(AND(V784&gt;=20,V784&lt;40,W784&gt;=150),0.12,0)+IF(AND(V784&gt;=40,V784&lt;75,W784&lt;75),0.2,0)+IF(AND(V784&gt;=40,V784&lt;75,W784&gt;=75,W784&lt;120),0.15,0)+IF(AND(V784&gt;=40,V784&lt;75,W784&gt;=120),0.12,0)+IF(AND(V784&gt;=75,V784&lt;175,W784&lt;65),0.2,0)+IF(AND(V784&gt;=75,V784&lt;175,W784&gt;=65,W784&lt;110),0.15,0)+IF(AND(V784&gt;=75,V784&lt;175,W784&gt;=110),0.12,0)+IF(AND(V784&gt;=175,W784&lt;55),0.2,0)+IF(AND(V784&gt;=175,W784&gt;=55,W784&lt;95),0.15,0)+IF(AND(V784&gt;=175,W784&gt;=95),0.12,0),
IF(AF784="DoEVku",IF(AND(V784&lt;20,W784&lt;55),0.23,0)+IF(AND(V784&lt;20,W784&gt;=55,W784&lt;105),0.2,0)+IF(AND(V784&lt;20,W784&gt;=105),0.17,0)+IF(AND(V784&gt;=20,V784&lt;40,W784&lt;45),0.23,0)+IF(AND(V784&gt;=20,V784&lt;40,W784&gt;=45,W784&lt;95),0.2,0)+IF(AND(V784&gt;=20,V784&lt;40,W784&gt;=95,W784&lt;=150),0.17,0)+IF(AND(V784&gt;=20,V784&lt;40,W784&gt;=150),0.12,0)+IF(AND(V784&gt;=40,V784&lt;75,W784&lt;35),0.23,0)+IF(AND(V784&gt;=40,V784&lt;75,W784&gt;=35,W784&lt;75),0.2,0)+IF(AND(V784&gt;=40,V784&lt;75,W784&gt;=75,W784&lt;120),0.17,0)+IF(AND(V784&gt;=40,V784&lt;75,W784&gt;=120),0.12,0)+IF(AND(V784&gt;=75,V784&lt;175,W784&lt;35),0.23,0)+IF(AND(V784&gt;=75,V784&lt;=175,W784&gt;=35,W784&lt;65),0.2,0)+IF(AND(V784&gt;=75,V784&lt;=175,W784&gt;=65,W784&lt;110),0.17,0)+IF(AND(V784&gt;=75,V784&lt;=175,W784&gt;=110),0.12,0)+IF(AND(V784&gt;175,W784&lt;25),0.23,0)+IF(AND(V784&gt;175,W784&gt;=25,W784&lt;55),0.2,0)+IF(AND(V784&gt;175,W784&gt;=55,W784&lt;95),0.17,0)+IF(AND(V784&gt;175,W784&gt;=95),0.12,0),
IF(AF784="DoEVs1",IF(AND(V784&lt;20,W784&lt;55),0.3,0)+IF(AND(V784&lt;20,W784&gt;=55,W784&lt;105),0.23,0)+IF(AND(V784&lt;20,W784&gt;=105),0.17,0)+IF(AND(V784&gt;=20,V784&lt;40,W784&lt;45),0.3,0)+IF(AND(V784&gt;=20,V784&lt;40,W784&gt;=45,W784&lt;95),0.23,0)+IF(AND(V784&gt;=20,V784&lt;40,W784&gt;=95,W784&lt;=150),0.17,0)+IF(AND(V784&gt;=20,V784&lt;40,W784&gt;=150),0.12,0)+IF(AND(V784&gt;=40,V784&lt;75,W784&lt;35),0.3,0)+IF(AND(V784&gt;=40,V784&lt;75,W784&gt;=35,W784&lt;75),0.23,0)+IF(AND(V784&gt;=40,V784&lt;75,W784&gt;=75,W784&lt;120),0.17,0)+IF(AND(V784&gt;=40,V784&lt;75,W784&gt;=120),0.12,0)+IF(AND(V784&gt;=75,V784&lt;175,W784&lt;35),0.3,0)+IF(AND(V784&gt;=75,V784&lt;=175,W784&gt;=35,W784&lt;65),0.23,0)+IF(AND(V784&gt;=75,V784&lt;=175,W784&gt;=65,W784&lt;110),0.17,0)+IF(AND(V784&gt;=75,V784&lt;=175,W784&gt;=110),0.12,0)+IF(AND(V784&gt;175,W784&lt;25),0.3,0)+IF(AND(V784&gt;175,W784&gt;=25,W784&lt;55),0.23,0)+IF(AND(V784&gt;175,W784&gt;=55,W784&lt;95),0.17,0)+IF(AND(V784&gt;175,W784&gt;=95),0.12,0),
IF(AF784="DoEVsu",IF(AND(V784&lt;20,W784&lt;55),0.3,0)+IF(AND(V784&lt;20,W784&gt;=55,W784&lt;105),0.23,0)+IF(AND(V784&lt;20,W784&gt;=105),0.17,0)+IF(AND(V784&gt;=20,V784&lt;40,W784&lt;45),0.3,0)+IF(AND(V784&gt;=20,V784&lt;40,W784&gt;=45,W784&lt;95),0.23,0)+IF(AND(V784&gt;=20,V784&lt;40,W784&gt;=95,W784&lt;=250),0.17,0)+IF(AND(V784&gt;=20,V784&lt;40,W784&gt;=250),0.12,0)+IF(AND(V784&gt;=40,V784&lt;75,W784&lt;35),0.3,0)+IF(AND(V784&gt;=40,V784&lt;75,W784&gt;=35,W784&lt;75),0.23,0)+IF(AND(V784&gt;=40,V784&lt;75,W784&gt;=75,W784&lt;120),0.17,0)+IF(AND(V784&gt;=40,V784&lt;75,W784&gt;=120),0.12,0)+IF(AND(V784&gt;=75,V784&lt;175,W784&lt;35),0.3,0)+IF(AND(V784&gt;=75,V784&lt;=175,W784&gt;=35,W784&lt;65),0.23,0)+IF(AND(V784&gt;=75,V784&lt;=175,W784&gt;=65,W784&lt;110),0.17,0)+IF(AND(V784&gt;=75,V784&lt;=175,W784&gt;=110),0.12,0)+IF(AND(V784&gt;175,W784&lt;25),0.3,0)+IF(AND(V784&gt;175,W784&gt;=25,W784&lt;55),0.23,0)+IF(AND(V784&gt;175,W784&gt;=55,W784&lt;95),0.17,0)+IF(AND(V784&gt;175,W784&gt;=95),0.12,0),
IF(AF784="DoEVni",IF(AND(V784&lt;20,W784&lt;55),0.3,0)+IF(AND(V784&lt;20,W784&gt;=55,W784&lt;105),0.23,0)+IF(AND(V784&lt;20,W784&gt;=105),0.17,0)+IF(AND(V784&gt;=20,V784&lt;40,W784&lt;45),0.3,0)+IF(AND(V784&gt;=20,V784&lt;40,W784&gt;=45,W784&lt;95),0.23,0)+IF(AND(V784&gt;=20,V784&lt;40,W784&gt;=95,W784&lt;=200),0.17,0)+IF(AND(V784&gt;=20,V784&lt;40,W784&gt;=200),0.12,0)+IF(AND(V784&gt;=40,V784&lt;75,W784&lt;35),0.3,0)+IF(AND(V784&gt;=40,V784&lt;75,W784&gt;=35,W784&lt;75),0.23,0)+IF(AND(V784&gt;=40,V784&lt;75,W784&gt;=75,W784&lt;120),0.17,0)+IF(AND(V784&gt;=40,V784&lt;75,W784&gt;=120),0.12,0)+IF(AND(V784&gt;=75,V784&lt;175,W784&lt;35),0.3,0)+IF(AND(V784&gt;=75,V784&lt;=175,W784&gt;=35,W784&lt;65),0.23,0)+IF(AND(V784&gt;=75,V784&lt;=175,W784&gt;=65,W784&lt;110),0.17,0)+IF(AND(V784&gt;=75,V784&lt;=175,W784&gt;=110),0.12,0)+IF(AND(V784&gt;175,W784&lt;25),0.3,0)+IF(AND(V784&gt;175,W784&gt;=25,W784&lt;55),0.23,0)+IF(AND(V784&gt;175,W784&gt;=55,W784&lt;95),0.17,0)+IF(AND(V784&gt;175,W784&gt;=95),0.12,0),
IF(AF784="DoEVLo",IF(AND(V784&lt;20,W784&lt;55),0.25,0)+IF(AND(V784&lt;20,W784&gt;=55,W784&lt;105),0.2,0)+IF(AND(V784&lt;20,W784&gt;=105),0.15,0)+IF(AND(V784&gt;=20,V784&lt;40,W784&lt;45),0.25,0)+IF(AND(V784&gt;=20,V784&lt;40,W784&gt;=45,W784&lt;95),0.2,0)+IF(AND(V784&gt;=20,V784&lt;40,W784&gt;=95),0.15,0)+IF(AND(V784&gt;=40,V784&lt;75,W784&lt;35),0.25,0)+IF(AND(V784&gt;=40,V784&lt;75,W784&gt;=35,W784&lt;75),0.2,0)+IF(AND(V784&gt;=40,V784&lt;75,W784&gt;=75,W784&lt;120),0.15,0)+IF(AND(V784&gt;=40,V784&lt;75,W784&gt;=120),0.1,0)+IF(AND(V784&gt;=75,V784&lt;175,W784&lt;35),0.25,0)+IF(AND(V784&gt;=75,V784&lt;=175,W784&gt;=35,W784&lt;65),0.2,0)+IF(AND(V784&gt;=75,V784&lt;=175,W784&gt;=65,W784&lt;110),0.15,0)+IF(AND(V784&gt;=75,V784&lt;=175,W784&gt;=110),0.1,0)+IF(AND(V784&gt;175,W784&lt;25),0.25,0)+IF(AND(V784&gt;175,W784&gt;=25,W784&lt;55),0.2,0)+IF(AND(V784&gt;175,W784&gt;=55,W784&lt;95),0.15,0)+IF(AND(V784&gt;175,W784&gt;=95),0.1,0))))))))))))))))))</f>
        <v>0.1125</v>
      </c>
      <c r="Y784" s="30">
        <f>IF(AG784="None",0,IF(AG784="Fix5",0.05, IF(AG784="Fix6.25",0.0625,IF(AG784="Fix3.75",0.0375,IF(AG784="Fix10",0.1,IF(AG784="Fix3",0.03,0))))))</f>
        <v>3.7499999999999999E-2</v>
      </c>
      <c r="Z784" s="35">
        <f>T784-AA784-AB784</f>
        <v>5270.0749999999998</v>
      </c>
      <c r="AA784" s="29">
        <f>IF(AD784="EUR",((T784-R784)*X784)*U784+(R784*X784),(T784*X784))</f>
        <v>803.92500000000007</v>
      </c>
      <c r="AB784" s="104">
        <v>1072</v>
      </c>
      <c r="AC784" s="37" t="b">
        <v>1</v>
      </c>
      <c r="AD784" s="37" t="s">
        <v>38</v>
      </c>
      <c r="AE784" s="37" t="s">
        <v>38</v>
      </c>
      <c r="AF784" s="37" t="str">
        <f t="array" ref="AF784">INDEX('Deal Info'!D:D, MATCH(A784,'Deal Info'!A:A, 0))</f>
        <v>Fix11.25</v>
      </c>
      <c r="AG784" s="38" t="str">
        <f t="array" ref="AG784">INDEX('Deal Info'!G:G, MATCH(A784,'Deal Info'!A:A, 0))</f>
        <v>Fix3.75</v>
      </c>
    </row>
    <row r="785" spans="1:33" ht="14.25" hidden="1" x14ac:dyDescent="0.2">
      <c r="A785" s="18" t="str">
        <f t="array" ref="A785">IF(G785='Room Info'!$B$1, INDEX('Room Info'!$A$2:$A2446, MATCH(B785,'Room Info'!$B$2:$B2446, 0)),IF(G785='Room Info'!$C$1, INDEX('Room Info'!$A$2:$A2446, MATCH(B785,'Room Info'!$C$2:$C2446, 0)),IF(G785='Room Info'!$D$1, INDEX('Room Info'!$A$2:$A2446, MATCH(B785,'Room Info'!$D$2:$D2446, 0)),IF(G785='Room Info'!$E$1, INDEX('Room Info'!$A$2:$A2446, MATCH(B785,'Room Info'!$E$2:$E2446, 0)),IF(G785='Room Info'!$F$1, INDEX('Room Info'!$A$2:$A2446, MATCH(B785,'Room Info'!$F$2:$F2446, 0)),IF(G785='Room Info'!$H$1, INDEX('Room Info'!$A$2:$A2446, MATCH(B785,'Room Info'!$H$2:$H2446, 0)),IF(G785='Room Info'!$G$1, INDEX('Room Info'!$A$2:$A2446, MATCH(B785,'Room Info'!$G$2:$G2446, 0)))))))))</f>
        <v>fig6</v>
      </c>
      <c r="B785" s="45" t="s">
        <v>172</v>
      </c>
      <c r="C785" s="46">
        <v>44794</v>
      </c>
      <c r="D785" s="46">
        <v>44824</v>
      </c>
      <c r="E785" s="47">
        <v>44805</v>
      </c>
      <c r="F785" s="48" t="s">
        <v>34</v>
      </c>
      <c r="G785" s="45" t="s">
        <v>35</v>
      </c>
      <c r="H785" s="49" t="s">
        <v>148</v>
      </c>
      <c r="I785" s="49" t="s">
        <v>44</v>
      </c>
      <c r="J785" s="50">
        <v>250</v>
      </c>
      <c r="K785" s="51">
        <v>50</v>
      </c>
      <c r="L785" s="52">
        <v>4500</v>
      </c>
      <c r="M785" s="53">
        <v>411</v>
      </c>
      <c r="N785" s="28">
        <f>K785*J785</f>
        <v>12500</v>
      </c>
      <c r="O785" s="54">
        <v>1925</v>
      </c>
      <c r="P785" s="29">
        <v>38.5</v>
      </c>
      <c r="Q785" s="55"/>
      <c r="R785" s="31">
        <f>M785+Q785</f>
        <v>411</v>
      </c>
      <c r="S785" s="56">
        <v>843</v>
      </c>
      <c r="T785" s="32">
        <f>R785+S785+IF(F785="Without EV deal",L785,0)</f>
        <v>1254</v>
      </c>
      <c r="U785" s="57">
        <v>1</v>
      </c>
      <c r="V785" s="58"/>
      <c r="W785" s="58"/>
      <c r="X785" s="30">
        <f>IF(AF785="DoEV",IF(AND(V785&lt;20,W785&lt;55),0.3,0)+IF(AND(V785&lt;20,W785&gt;=55,W785&lt;105),0.23,0)+IF(AND(V785&lt;20,W785&gt;=105),0.17,0)+IF(AND(V785&gt;=20,V785&lt;40,W785&lt;45),0.3,0)+IF(AND(V785&gt;=20,V785&lt;40,W785&gt;=45,W785&lt;95),0.23,0)+IF(AND(V785&gt;=20,V785&lt;40,W785&gt;=95),0.17,0)+IF(AND(V785&gt;=40,V785&lt;75,W785&lt;35),0.3,0)+IF(AND(V785&gt;=40,V785&lt;75,W785&gt;=35,W785&lt;75),0.23,0)+IF(AND(V785&gt;=40,V785&lt;75,W785&gt;=75,W785&lt;120),0.17,0)+IF(AND(V785&gt;=40,V785&lt;75,W785&gt;=120),0.12,0)+IF(AND(V785&gt;=75,V785&lt;175,W785&lt;35),0.3,0)+IF(AND(V785&gt;=75,V785&lt;=175,W785&gt;=35,W785&lt;65),0.23,0)+IF(AND(V785&gt;=75,V785&lt;=175,W785&gt;=65,W785&lt;110),0.17,0)+IF(AND(V785&gt;=75,V785&lt;=175,W785&gt;=110),0.12,0)+IF(AND(V785&gt;175,W785&lt;25),0.3,0)+IF(AND(V785&gt;175,W785&gt;=25,W785&lt;55),0.23,0)+IF(AND(V785&gt;175,W785&gt;=55,W785&lt;95),0.17,0)+IF(AND(V785&gt;175,W785&gt;=95),0.12,0),
IF(AF785="Fix15",0.15,
IF(AF785="Fix18.75",0.1875,
IF(AF785="Fix11.25",0.1125,
IF(AF785="Fix10",0.1,
IF(AF785="Fix9",0.09,
IF(AF785="Fix19",0.19,
IF(AF785="DoEV2017",IF(AND(W785&lt;74),0.2,0)+IF(AND(W785&gt;=74),0.17,0),
IF(AF785="SF",IF(AND(V785&lt;20,W785&lt;89),0.3,0)+IF(AND(V785&lt;20,W785&gt;=89),0.25,0)+IF(AND(V785&gt;=20,V785&lt;40,W785&lt;74),0.3,0)+IF(AND(V785&gt;=20,V785&lt;40,W785&gt;=75),0.22,0)+IF(AND(V785&gt;=40,V785&lt;75,W785&lt;75),0.26,0)+IF(AND(V785&gt;=40,V785&lt;75,W785&gt;=75),0.22,0)+IF(V785&gt;=75,0.22,0),
IF(AF785="DoEVold",IF(AND(V785&lt;40,W785&lt;35),0.35,0)+IF(AND(V785&lt;40,W785&gt;=35,W785&lt;75),0.25,0)+IF(AND(V785&lt;40,W785&gt;=75),0.17,0)+IF(AND(V785&gt;=40,V785&lt;75,W785&lt;25),0.35,0)+IF(AND(V785&gt;=40,V785&lt;75,W785&gt;=25,W785&lt;65),0.25,0)+IF(AND(V785&gt;=40,V785&lt;75,W785&gt;=65,W785&lt;100),0.17,0)+IF(AND(V785&gt;=40,V785&lt;75,W785&gt;=100),0.1,0)+IF(AND(V785&gt;=75,W785&lt;25),0.35,0)+IF(AND(V785&gt;=75,W785&gt;=25,W785&lt;60),0.25,0)+IF(AND(V785&gt;=75,W785&gt;=60,W785&lt;95),0.17,0)+IF(AND(V785&gt;=75,W785&gt;=95),0.1,0),
IF(AF785="DoEVold15",IF(AND(V785&lt;=40,W785&lt;35),0.35,0)+IF(AND(V785&lt;=40,W785&gt;=35,W785&lt;75),0.25,0)+IF(AND(V785&lt;=40,W785&gt;=75,W785&lt;120),0.17,0)+IF(AND(V785&lt;=40,W785&gt;=120),0.15,0)+IF(AND(V785&gt;40,V785&lt;75,W785&lt;25),0.35,0)+IF(AND(V785&gt;=40,V785&lt;75,W785&gt;=25,W785&lt;65),0.25,0)+IF(AND(V785&gt;=40,V785&lt;75,W785&gt;=65,W785&lt;100),0.17,0)+IF(AND(V785&gt;=40,V785&lt;75,W785&gt;=100),0.1,0)+IF(AND(V785&gt;=75,W785&lt;25),0.35,0)+IF(AND(V785&gt;=75,W785&gt;=25,W785&lt;60),0.25,0)+IF(AND(V785&gt;=75,W785&gt;=60,W785&lt;95),0.17,0)+IF(AND(V785&gt;=75,W785&gt;=95),0.1,0),
IF(AF785="DoEVba",IF(AND(V785&lt;20,W785&lt;105),0.2,0)+IF(AND(V785&lt;20,W785&gt;=105),0.15,0)+IF(AND(V785&gt;=20,V785&lt;40,W785&lt;95),0.2,0)+IF(AND(V785&gt;=20,V785&lt;40,W785&gt;=95,W785&lt;150),0.15,0)+IF(AND(V785&gt;=20,V785&lt;40,W785&gt;=150),0.12,0)+IF(AND(V785&gt;=40,V785&lt;75,W785&lt;75),0.2,0)+IF(AND(V785&gt;=40,V785&lt;75,W785&gt;=75,W785&lt;120),0.15,0)+IF(AND(V785&gt;=40,V785&lt;75,W785&gt;=120),0.12,0)+IF(AND(V785&gt;=75,V785&lt;175,W785&lt;65),0.2,0)+IF(AND(V785&gt;=75,V785&lt;175,W785&gt;=65,W785&lt;110),0.15,0)+IF(AND(V785&gt;=75,V785&lt;175,W785&gt;=110),0.12,0)+IF(AND(V785&gt;=175,W785&lt;55),0.2,0)+IF(AND(V785&gt;=175,W785&gt;=55,W785&lt;95),0.15,0)+IF(AND(V785&gt;=175,W785&gt;=95),0.12,0),
IF(AF785="DoEVku",IF(AND(V785&lt;20,W785&lt;55),0.23,0)+IF(AND(V785&lt;20,W785&gt;=55,W785&lt;105),0.2,0)+IF(AND(V785&lt;20,W785&gt;=105),0.17,0)+IF(AND(V785&gt;=20,V785&lt;40,W785&lt;45),0.23,0)+IF(AND(V785&gt;=20,V785&lt;40,W785&gt;=45,W785&lt;95),0.2,0)+IF(AND(V785&gt;=20,V785&lt;40,W785&gt;=95,W785&lt;=150),0.17,0)+IF(AND(V785&gt;=20,V785&lt;40,W785&gt;=150),0.12,0)+IF(AND(V785&gt;=40,V785&lt;75,W785&lt;35),0.23,0)+IF(AND(V785&gt;=40,V785&lt;75,W785&gt;=35,W785&lt;75),0.2,0)+IF(AND(V785&gt;=40,V785&lt;75,W785&gt;=75,W785&lt;120),0.17,0)+IF(AND(V785&gt;=40,V785&lt;75,W785&gt;=120),0.12,0)+IF(AND(V785&gt;=75,V785&lt;175,W785&lt;35),0.23,0)+IF(AND(V785&gt;=75,V785&lt;=175,W785&gt;=35,W785&lt;65),0.2,0)+IF(AND(V785&gt;=75,V785&lt;=175,W785&gt;=65,W785&lt;110),0.17,0)+IF(AND(V785&gt;=75,V785&lt;=175,W785&gt;=110),0.12,0)+IF(AND(V785&gt;175,W785&lt;25),0.23,0)+IF(AND(V785&gt;175,W785&gt;=25,W785&lt;55),0.2,0)+IF(AND(V785&gt;175,W785&gt;=55,W785&lt;95),0.17,0)+IF(AND(V785&gt;175,W785&gt;=95),0.12,0),
IF(AF785="DoEVs1",IF(AND(V785&lt;20,W785&lt;55),0.3,0)+IF(AND(V785&lt;20,W785&gt;=55,W785&lt;105),0.23,0)+IF(AND(V785&lt;20,W785&gt;=105),0.17,0)+IF(AND(V785&gt;=20,V785&lt;40,W785&lt;45),0.3,0)+IF(AND(V785&gt;=20,V785&lt;40,W785&gt;=45,W785&lt;95),0.23,0)+IF(AND(V785&gt;=20,V785&lt;40,W785&gt;=95,W785&lt;=150),0.17,0)+IF(AND(V785&gt;=20,V785&lt;40,W785&gt;=150),0.12,0)+IF(AND(V785&gt;=40,V785&lt;75,W785&lt;35),0.3,0)+IF(AND(V785&gt;=40,V785&lt;75,W785&gt;=35,W785&lt;75),0.23,0)+IF(AND(V785&gt;=40,V785&lt;75,W785&gt;=75,W785&lt;120),0.17,0)+IF(AND(V785&gt;=40,V785&lt;75,W785&gt;=120),0.12,0)+IF(AND(V785&gt;=75,V785&lt;175,W785&lt;35),0.3,0)+IF(AND(V785&gt;=75,V785&lt;=175,W785&gt;=35,W785&lt;65),0.23,0)+IF(AND(V785&gt;=75,V785&lt;=175,W785&gt;=65,W785&lt;110),0.17,0)+IF(AND(V785&gt;=75,V785&lt;=175,W785&gt;=110),0.12,0)+IF(AND(V785&gt;175,W785&lt;25),0.3,0)+IF(AND(V785&gt;175,W785&gt;=25,W785&lt;55),0.23,0)+IF(AND(V785&gt;175,W785&gt;=55,W785&lt;95),0.17,0)+IF(AND(V785&gt;175,W785&gt;=95),0.12,0),
IF(AF785="DoEVsu",IF(AND(V785&lt;20,W785&lt;55),0.3,0)+IF(AND(V785&lt;20,W785&gt;=55,W785&lt;105),0.23,0)+IF(AND(V785&lt;20,W785&gt;=105),0.17,0)+IF(AND(V785&gt;=20,V785&lt;40,W785&lt;45),0.3,0)+IF(AND(V785&gt;=20,V785&lt;40,W785&gt;=45,W785&lt;95),0.23,0)+IF(AND(V785&gt;=20,V785&lt;40,W785&gt;=95,W785&lt;=250),0.17,0)+IF(AND(V785&gt;=20,V785&lt;40,W785&gt;=250),0.12,0)+IF(AND(V785&gt;=40,V785&lt;75,W785&lt;35),0.3,0)+IF(AND(V785&gt;=40,V785&lt;75,W785&gt;=35,W785&lt;75),0.23,0)+IF(AND(V785&gt;=40,V785&lt;75,W785&gt;=75,W785&lt;120),0.17,0)+IF(AND(V785&gt;=40,V785&lt;75,W785&gt;=120),0.12,0)+IF(AND(V785&gt;=75,V785&lt;175,W785&lt;35),0.3,0)+IF(AND(V785&gt;=75,V785&lt;=175,W785&gt;=35,W785&lt;65),0.23,0)+IF(AND(V785&gt;=75,V785&lt;=175,W785&gt;=65,W785&lt;110),0.17,0)+IF(AND(V785&gt;=75,V785&lt;=175,W785&gt;=110),0.12,0)+IF(AND(V785&gt;175,W785&lt;25),0.3,0)+IF(AND(V785&gt;175,W785&gt;=25,W785&lt;55),0.23,0)+IF(AND(V785&gt;175,W785&gt;=55,W785&lt;95),0.17,0)+IF(AND(V785&gt;175,W785&gt;=95),0.12,0),
IF(AF785="DoEVni",IF(AND(V785&lt;20,W785&lt;55),0.3,0)+IF(AND(V785&lt;20,W785&gt;=55,W785&lt;105),0.23,0)+IF(AND(V785&lt;20,W785&gt;=105),0.17,0)+IF(AND(V785&gt;=20,V785&lt;40,W785&lt;45),0.3,0)+IF(AND(V785&gt;=20,V785&lt;40,W785&gt;=45,W785&lt;95),0.23,0)+IF(AND(V785&gt;=20,V785&lt;40,W785&gt;=95,W785&lt;=200),0.17,0)+IF(AND(V785&gt;=20,V785&lt;40,W785&gt;=200),0.12,0)+IF(AND(V785&gt;=40,V785&lt;75,W785&lt;35),0.3,0)+IF(AND(V785&gt;=40,V785&lt;75,W785&gt;=35,W785&lt;75),0.23,0)+IF(AND(V785&gt;=40,V785&lt;75,W785&gt;=75,W785&lt;120),0.17,0)+IF(AND(V785&gt;=40,V785&lt;75,W785&gt;=120),0.12,0)+IF(AND(V785&gt;=75,V785&lt;175,W785&lt;35),0.3,0)+IF(AND(V785&gt;=75,V785&lt;=175,W785&gt;=35,W785&lt;65),0.23,0)+IF(AND(V785&gt;=75,V785&lt;=175,W785&gt;=65,W785&lt;110),0.17,0)+IF(AND(V785&gt;=75,V785&lt;=175,W785&gt;=110),0.12,0)+IF(AND(V785&gt;175,W785&lt;25),0.3,0)+IF(AND(V785&gt;175,W785&gt;=25,W785&lt;55),0.23,0)+IF(AND(V785&gt;175,W785&gt;=55,W785&lt;95),0.17,0)+IF(AND(V785&gt;175,W785&gt;=95),0.12,0),
IF(AF785="DoEVLo",IF(AND(V785&lt;20,W785&lt;55),0.25,0)+IF(AND(V785&lt;20,W785&gt;=55,W785&lt;105),0.2,0)+IF(AND(V785&lt;20,W785&gt;=105),0.15,0)+IF(AND(V785&gt;=20,V785&lt;40,W785&lt;45),0.25,0)+IF(AND(V785&gt;=20,V785&lt;40,W785&gt;=45,W785&lt;95),0.2,0)+IF(AND(V785&gt;=20,V785&lt;40,W785&gt;=95),0.15,0)+IF(AND(V785&gt;=40,V785&lt;75,W785&lt;35),0.25,0)+IF(AND(V785&gt;=40,V785&lt;75,W785&gt;=35,W785&lt;75),0.2,0)+IF(AND(V785&gt;=40,V785&lt;75,W785&gt;=75,W785&lt;120),0.15,0)+IF(AND(V785&gt;=40,V785&lt;75,W785&gt;=120),0.1,0)+IF(AND(V785&gt;=75,V785&lt;175,W785&lt;35),0.25,0)+IF(AND(V785&gt;=75,V785&lt;=175,W785&gt;=35,W785&lt;65),0.2,0)+IF(AND(V785&gt;=75,V785&lt;=175,W785&gt;=65,W785&lt;110),0.15,0)+IF(AND(V785&gt;=75,V785&lt;=175,W785&gt;=110),0.1,0)+IF(AND(V785&gt;175,W785&lt;25),0.25,0)+IF(AND(V785&gt;175,W785&gt;=25,W785&lt;55),0.2,0)+IF(AND(V785&gt;175,W785&gt;=55,W785&lt;95),0.15,0)+IF(AND(V785&gt;175,W785&gt;=95),0.1,0))))))))))))))))))</f>
        <v>0.1125</v>
      </c>
      <c r="Y785" s="30">
        <f>IF(AG785="None",0,IF(AG785="Fix5",0.05, IF(AG785="Fix6.25",0.0625,IF(AG785="Fix3.75",0.0375,IF(AG785="Fix10",0.1,IF(AG785="Fix3",0.03,0))))))</f>
        <v>3.7499999999999999E-2</v>
      </c>
      <c r="Z785" s="35">
        <f>T785-AA785-AB785</f>
        <v>924.92499999999995</v>
      </c>
      <c r="AA785" s="29">
        <f>IF(AD785="EUR",((T785-R785)*X785)*U785+(R785*X785),(T785*X785))</f>
        <v>141.07500000000002</v>
      </c>
      <c r="AB785" s="104">
        <v>188</v>
      </c>
      <c r="AC785" s="37" t="b">
        <v>1</v>
      </c>
      <c r="AD785" s="37" t="s">
        <v>38</v>
      </c>
      <c r="AE785" s="37" t="s">
        <v>38</v>
      </c>
      <c r="AF785" s="37" t="str">
        <f t="array" ref="AF785">INDEX('Deal Info'!D:D, MATCH(A785,'Deal Info'!A:A, 0))</f>
        <v>Fix11.25</v>
      </c>
      <c r="AG785" s="38" t="str">
        <f t="array" ref="AG785">INDEX('Deal Info'!G:G, MATCH(A785,'Deal Info'!A:A, 0))</f>
        <v>Fix3.75</v>
      </c>
    </row>
    <row r="786" spans="1:33" ht="14.25" hidden="1" x14ac:dyDescent="0.2">
      <c r="A786" s="18" t="str">
        <f t="array" ref="A786">IF(G786='Room Info'!$B$1, INDEX('Room Info'!$A$2:$A2446, MATCH(B786,'Room Info'!$B$2:$B2446, 0)),IF(G786='Room Info'!$C$1, INDEX('Room Info'!$A$2:$A2446, MATCH(B786,'Room Info'!$C$2:$C2446, 0)),IF(G786='Room Info'!$D$1, INDEX('Room Info'!$A$2:$A2446, MATCH(B786,'Room Info'!$D$2:$D2446, 0)),IF(G786='Room Info'!$E$1, INDEX('Room Info'!$A$2:$A2446, MATCH(B786,'Room Info'!$E$2:$E2446, 0)),IF(G786='Room Info'!$F$1, INDEX('Room Info'!$A$2:$A2446, MATCH(B786,'Room Info'!$F$2:$F2446, 0)),IF(G786='Room Info'!$H$1, INDEX('Room Info'!$A$2:$A2446, MATCH(B786,'Room Info'!$H$2:$H2446, 0)),IF(G786='Room Info'!$G$1, INDEX('Room Info'!$A$2:$A2446, MATCH(B786,'Room Info'!$G$2:$G2446, 0)))))))))</f>
        <v>fig6</v>
      </c>
      <c r="B786" s="45" t="s">
        <v>172</v>
      </c>
      <c r="C786" s="46">
        <v>44825</v>
      </c>
      <c r="D786" s="46">
        <v>44854</v>
      </c>
      <c r="E786" s="47">
        <v>44835</v>
      </c>
      <c r="F786" s="48" t="s">
        <v>34</v>
      </c>
      <c r="G786" s="45" t="s">
        <v>35</v>
      </c>
      <c r="H786" s="49" t="s">
        <v>72</v>
      </c>
      <c r="I786" s="49" t="s">
        <v>37</v>
      </c>
      <c r="J786" s="50">
        <v>50</v>
      </c>
      <c r="K786" s="51">
        <v>1080</v>
      </c>
      <c r="L786" s="52">
        <v>-100</v>
      </c>
      <c r="M786" s="53">
        <v>2314</v>
      </c>
      <c r="N786" s="28">
        <f>K786*J786</f>
        <v>54000</v>
      </c>
      <c r="O786" s="54">
        <v>30519</v>
      </c>
      <c r="P786" s="29">
        <v>28.258333329999999</v>
      </c>
      <c r="Q786" s="55"/>
      <c r="R786" s="31">
        <f>M786+Q786</f>
        <v>2314</v>
      </c>
      <c r="S786" s="56">
        <v>-743</v>
      </c>
      <c r="T786" s="32">
        <f>R786+S786+IF(F786="Without EV deal",L786,0)</f>
        <v>1571</v>
      </c>
      <c r="U786" s="57">
        <v>1</v>
      </c>
      <c r="V786" s="58"/>
      <c r="W786" s="58"/>
      <c r="X786" s="30">
        <f>IF(AF786="DoEV",IF(AND(V786&lt;20,W786&lt;55),0.3,0)+IF(AND(V786&lt;20,W786&gt;=55,W786&lt;105),0.23,0)+IF(AND(V786&lt;20,W786&gt;=105),0.17,0)+IF(AND(V786&gt;=20,V786&lt;40,W786&lt;45),0.3,0)+IF(AND(V786&gt;=20,V786&lt;40,W786&gt;=45,W786&lt;95),0.23,0)+IF(AND(V786&gt;=20,V786&lt;40,W786&gt;=95),0.17,0)+IF(AND(V786&gt;=40,V786&lt;75,W786&lt;35),0.3,0)+IF(AND(V786&gt;=40,V786&lt;75,W786&gt;=35,W786&lt;75),0.23,0)+IF(AND(V786&gt;=40,V786&lt;75,W786&gt;=75,W786&lt;120),0.17,0)+IF(AND(V786&gt;=40,V786&lt;75,W786&gt;=120),0.12,0)+IF(AND(V786&gt;=75,V786&lt;175,W786&lt;35),0.3,0)+IF(AND(V786&gt;=75,V786&lt;=175,W786&gt;=35,W786&lt;65),0.23,0)+IF(AND(V786&gt;=75,V786&lt;=175,W786&gt;=65,W786&lt;110),0.17,0)+IF(AND(V786&gt;=75,V786&lt;=175,W786&gt;=110),0.12,0)+IF(AND(V786&gt;175,W786&lt;25),0.3,0)+IF(AND(V786&gt;175,W786&gt;=25,W786&lt;55),0.23,0)+IF(AND(V786&gt;175,W786&gt;=55,W786&lt;95),0.17,0)+IF(AND(V786&gt;175,W786&gt;=95),0.12,0),
IF(AF786="Fix15",0.15,
IF(AF786="Fix18.75",0.1875,
IF(AF786="Fix11.25",0.1125,
IF(AF786="Fix10",0.1,
IF(AF786="Fix9",0.09,
IF(AF786="Fix19",0.19,
IF(AF786="DoEV2017",IF(AND(W786&lt;74),0.2,0)+IF(AND(W786&gt;=74),0.17,0),
IF(AF786="SF",IF(AND(V786&lt;20,W786&lt;89),0.3,0)+IF(AND(V786&lt;20,W786&gt;=89),0.25,0)+IF(AND(V786&gt;=20,V786&lt;40,W786&lt;74),0.3,0)+IF(AND(V786&gt;=20,V786&lt;40,W786&gt;=75),0.22,0)+IF(AND(V786&gt;=40,V786&lt;75,W786&lt;75),0.26,0)+IF(AND(V786&gt;=40,V786&lt;75,W786&gt;=75),0.22,0)+IF(V786&gt;=75,0.22,0),
IF(AF786="DoEVold",IF(AND(V786&lt;40,W786&lt;35),0.35,0)+IF(AND(V786&lt;40,W786&gt;=35,W786&lt;75),0.25,0)+IF(AND(V786&lt;40,W786&gt;=75),0.17,0)+IF(AND(V786&gt;=40,V786&lt;75,W786&lt;25),0.35,0)+IF(AND(V786&gt;=40,V786&lt;75,W786&gt;=25,W786&lt;65),0.25,0)+IF(AND(V786&gt;=40,V786&lt;75,W786&gt;=65,W786&lt;100),0.17,0)+IF(AND(V786&gt;=40,V786&lt;75,W786&gt;=100),0.1,0)+IF(AND(V786&gt;=75,W786&lt;25),0.35,0)+IF(AND(V786&gt;=75,W786&gt;=25,W786&lt;60),0.25,0)+IF(AND(V786&gt;=75,W786&gt;=60,W786&lt;95),0.17,0)+IF(AND(V786&gt;=75,W786&gt;=95),0.1,0),
IF(AF786="DoEVold15",IF(AND(V786&lt;=40,W786&lt;35),0.35,0)+IF(AND(V786&lt;=40,W786&gt;=35,W786&lt;75),0.25,0)+IF(AND(V786&lt;=40,W786&gt;=75,W786&lt;120),0.17,0)+IF(AND(V786&lt;=40,W786&gt;=120),0.15,0)+IF(AND(V786&gt;40,V786&lt;75,W786&lt;25),0.35,0)+IF(AND(V786&gt;=40,V786&lt;75,W786&gt;=25,W786&lt;65),0.25,0)+IF(AND(V786&gt;=40,V786&lt;75,W786&gt;=65,W786&lt;100),0.17,0)+IF(AND(V786&gt;=40,V786&lt;75,W786&gt;=100),0.1,0)+IF(AND(V786&gt;=75,W786&lt;25),0.35,0)+IF(AND(V786&gt;=75,W786&gt;=25,W786&lt;60),0.25,0)+IF(AND(V786&gt;=75,W786&gt;=60,W786&lt;95),0.17,0)+IF(AND(V786&gt;=75,W786&gt;=95),0.1,0),
IF(AF786="DoEVba",IF(AND(V786&lt;20,W786&lt;105),0.2,0)+IF(AND(V786&lt;20,W786&gt;=105),0.15,0)+IF(AND(V786&gt;=20,V786&lt;40,W786&lt;95),0.2,0)+IF(AND(V786&gt;=20,V786&lt;40,W786&gt;=95,W786&lt;150),0.15,0)+IF(AND(V786&gt;=20,V786&lt;40,W786&gt;=150),0.12,0)+IF(AND(V786&gt;=40,V786&lt;75,W786&lt;75),0.2,0)+IF(AND(V786&gt;=40,V786&lt;75,W786&gt;=75,W786&lt;120),0.15,0)+IF(AND(V786&gt;=40,V786&lt;75,W786&gt;=120),0.12,0)+IF(AND(V786&gt;=75,V786&lt;175,W786&lt;65),0.2,0)+IF(AND(V786&gt;=75,V786&lt;175,W786&gt;=65,W786&lt;110),0.15,0)+IF(AND(V786&gt;=75,V786&lt;175,W786&gt;=110),0.12,0)+IF(AND(V786&gt;=175,W786&lt;55),0.2,0)+IF(AND(V786&gt;=175,W786&gt;=55,W786&lt;95),0.15,0)+IF(AND(V786&gt;=175,W786&gt;=95),0.12,0),
IF(AF786="DoEVku",IF(AND(V786&lt;20,W786&lt;55),0.23,0)+IF(AND(V786&lt;20,W786&gt;=55,W786&lt;105),0.2,0)+IF(AND(V786&lt;20,W786&gt;=105),0.17,0)+IF(AND(V786&gt;=20,V786&lt;40,W786&lt;45),0.23,0)+IF(AND(V786&gt;=20,V786&lt;40,W786&gt;=45,W786&lt;95),0.2,0)+IF(AND(V786&gt;=20,V786&lt;40,W786&gt;=95,W786&lt;=150),0.17,0)+IF(AND(V786&gt;=20,V786&lt;40,W786&gt;=150),0.12,0)+IF(AND(V786&gt;=40,V786&lt;75,W786&lt;35),0.23,0)+IF(AND(V786&gt;=40,V786&lt;75,W786&gt;=35,W786&lt;75),0.2,0)+IF(AND(V786&gt;=40,V786&lt;75,W786&gt;=75,W786&lt;120),0.17,0)+IF(AND(V786&gt;=40,V786&lt;75,W786&gt;=120),0.12,0)+IF(AND(V786&gt;=75,V786&lt;175,W786&lt;35),0.23,0)+IF(AND(V786&gt;=75,V786&lt;=175,W786&gt;=35,W786&lt;65),0.2,0)+IF(AND(V786&gt;=75,V786&lt;=175,W786&gt;=65,W786&lt;110),0.17,0)+IF(AND(V786&gt;=75,V786&lt;=175,W786&gt;=110),0.12,0)+IF(AND(V786&gt;175,W786&lt;25),0.23,0)+IF(AND(V786&gt;175,W786&gt;=25,W786&lt;55),0.2,0)+IF(AND(V786&gt;175,W786&gt;=55,W786&lt;95),0.17,0)+IF(AND(V786&gt;175,W786&gt;=95),0.12,0),
IF(AF786="DoEVs1",IF(AND(V786&lt;20,W786&lt;55),0.3,0)+IF(AND(V786&lt;20,W786&gt;=55,W786&lt;105),0.23,0)+IF(AND(V786&lt;20,W786&gt;=105),0.17,0)+IF(AND(V786&gt;=20,V786&lt;40,W786&lt;45),0.3,0)+IF(AND(V786&gt;=20,V786&lt;40,W786&gt;=45,W786&lt;95),0.23,0)+IF(AND(V786&gt;=20,V786&lt;40,W786&gt;=95,W786&lt;=150),0.17,0)+IF(AND(V786&gt;=20,V786&lt;40,W786&gt;=150),0.12,0)+IF(AND(V786&gt;=40,V786&lt;75,W786&lt;35),0.3,0)+IF(AND(V786&gt;=40,V786&lt;75,W786&gt;=35,W786&lt;75),0.23,0)+IF(AND(V786&gt;=40,V786&lt;75,W786&gt;=75,W786&lt;120),0.17,0)+IF(AND(V786&gt;=40,V786&lt;75,W786&gt;=120),0.12,0)+IF(AND(V786&gt;=75,V786&lt;175,W786&lt;35),0.3,0)+IF(AND(V786&gt;=75,V786&lt;=175,W786&gt;=35,W786&lt;65),0.23,0)+IF(AND(V786&gt;=75,V786&lt;=175,W786&gt;=65,W786&lt;110),0.17,0)+IF(AND(V786&gt;=75,V786&lt;=175,W786&gt;=110),0.12,0)+IF(AND(V786&gt;175,W786&lt;25),0.3,0)+IF(AND(V786&gt;175,W786&gt;=25,W786&lt;55),0.23,0)+IF(AND(V786&gt;175,W786&gt;=55,W786&lt;95),0.17,0)+IF(AND(V786&gt;175,W786&gt;=95),0.12,0),
IF(AF786="DoEVsu",IF(AND(V786&lt;20,W786&lt;55),0.3,0)+IF(AND(V786&lt;20,W786&gt;=55,W786&lt;105),0.23,0)+IF(AND(V786&lt;20,W786&gt;=105),0.17,0)+IF(AND(V786&gt;=20,V786&lt;40,W786&lt;45),0.3,0)+IF(AND(V786&gt;=20,V786&lt;40,W786&gt;=45,W786&lt;95),0.23,0)+IF(AND(V786&gt;=20,V786&lt;40,W786&gt;=95,W786&lt;=250),0.17,0)+IF(AND(V786&gt;=20,V786&lt;40,W786&gt;=250),0.12,0)+IF(AND(V786&gt;=40,V786&lt;75,W786&lt;35),0.3,0)+IF(AND(V786&gt;=40,V786&lt;75,W786&gt;=35,W786&lt;75),0.23,0)+IF(AND(V786&gt;=40,V786&lt;75,W786&gt;=75,W786&lt;120),0.17,0)+IF(AND(V786&gt;=40,V786&lt;75,W786&gt;=120),0.12,0)+IF(AND(V786&gt;=75,V786&lt;175,W786&lt;35),0.3,0)+IF(AND(V786&gt;=75,V786&lt;=175,W786&gt;=35,W786&lt;65),0.23,0)+IF(AND(V786&gt;=75,V786&lt;=175,W786&gt;=65,W786&lt;110),0.17,0)+IF(AND(V786&gt;=75,V786&lt;=175,W786&gt;=110),0.12,0)+IF(AND(V786&gt;175,W786&lt;25),0.3,0)+IF(AND(V786&gt;175,W786&gt;=25,W786&lt;55),0.23,0)+IF(AND(V786&gt;175,W786&gt;=55,W786&lt;95),0.17,0)+IF(AND(V786&gt;175,W786&gt;=95),0.12,0),
IF(AF786="DoEVni",IF(AND(V786&lt;20,W786&lt;55),0.3,0)+IF(AND(V786&lt;20,W786&gt;=55,W786&lt;105),0.23,0)+IF(AND(V786&lt;20,W786&gt;=105),0.17,0)+IF(AND(V786&gt;=20,V786&lt;40,W786&lt;45),0.3,0)+IF(AND(V786&gt;=20,V786&lt;40,W786&gt;=45,W786&lt;95),0.23,0)+IF(AND(V786&gt;=20,V786&lt;40,W786&gt;=95,W786&lt;=200),0.17,0)+IF(AND(V786&gt;=20,V786&lt;40,W786&gt;=200),0.12,0)+IF(AND(V786&gt;=40,V786&lt;75,W786&lt;35),0.3,0)+IF(AND(V786&gt;=40,V786&lt;75,W786&gt;=35,W786&lt;75),0.23,0)+IF(AND(V786&gt;=40,V786&lt;75,W786&gt;=75,W786&lt;120),0.17,0)+IF(AND(V786&gt;=40,V786&lt;75,W786&gt;=120),0.12,0)+IF(AND(V786&gt;=75,V786&lt;175,W786&lt;35),0.3,0)+IF(AND(V786&gt;=75,V786&lt;=175,W786&gt;=35,W786&lt;65),0.23,0)+IF(AND(V786&gt;=75,V786&lt;=175,W786&gt;=65,W786&lt;110),0.17,0)+IF(AND(V786&gt;=75,V786&lt;=175,W786&gt;=110),0.12,0)+IF(AND(V786&gt;175,W786&lt;25),0.3,0)+IF(AND(V786&gt;175,W786&gt;=25,W786&lt;55),0.23,0)+IF(AND(V786&gt;175,W786&gt;=55,W786&lt;95),0.17,0)+IF(AND(V786&gt;175,W786&gt;=95),0.12,0),
IF(AF786="DoEVLo",IF(AND(V786&lt;20,W786&lt;55),0.25,0)+IF(AND(V786&lt;20,W786&gt;=55,W786&lt;105),0.2,0)+IF(AND(V786&lt;20,W786&gt;=105),0.15,0)+IF(AND(V786&gt;=20,V786&lt;40,W786&lt;45),0.25,0)+IF(AND(V786&gt;=20,V786&lt;40,W786&gt;=45,W786&lt;95),0.2,0)+IF(AND(V786&gt;=20,V786&lt;40,W786&gt;=95),0.15,0)+IF(AND(V786&gt;=40,V786&lt;75,W786&lt;35),0.25,0)+IF(AND(V786&gt;=40,V786&lt;75,W786&gt;=35,W786&lt;75),0.2,0)+IF(AND(V786&gt;=40,V786&lt;75,W786&gt;=75,W786&lt;120),0.15,0)+IF(AND(V786&gt;=40,V786&lt;75,W786&gt;=120),0.1,0)+IF(AND(V786&gt;=75,V786&lt;175,W786&lt;35),0.25,0)+IF(AND(V786&gt;=75,V786&lt;=175,W786&gt;=35,W786&lt;65),0.2,0)+IF(AND(V786&gt;=75,V786&lt;=175,W786&gt;=65,W786&lt;110),0.15,0)+IF(AND(V786&gt;=75,V786&lt;=175,W786&gt;=110),0.1,0)+IF(AND(V786&gt;175,W786&lt;25),0.25,0)+IF(AND(V786&gt;175,W786&gt;=25,W786&lt;55),0.2,0)+IF(AND(V786&gt;175,W786&gt;=55,W786&lt;95),0.15,0)+IF(AND(V786&gt;175,W786&gt;=95),0.1,0))))))))))))))))))</f>
        <v>0.1125</v>
      </c>
      <c r="Y786" s="30">
        <f>IF(AG786="None",0,IF(AG786="Fix5",0.05, IF(AG786="Fix6.25",0.0625,IF(AG786="Fix3.75",0.0375,IF(AG786="Fix10",0.1,IF(AG786="Fix3",0.03,0))))))</f>
        <v>3.7499999999999999E-2</v>
      </c>
      <c r="Z786" s="35">
        <f>T786-AA786-AB786</f>
        <v>1158.2625</v>
      </c>
      <c r="AA786" s="29">
        <f>IF(AD786="EUR",((T786-R786)*X786)*U786+(R786*X786),(T786*X786))</f>
        <v>176.73750000000001</v>
      </c>
      <c r="AB786" s="104">
        <v>236</v>
      </c>
      <c r="AC786" s="37" t="b">
        <v>1</v>
      </c>
      <c r="AD786" s="37" t="s">
        <v>38</v>
      </c>
      <c r="AE786" s="37" t="s">
        <v>38</v>
      </c>
      <c r="AF786" s="37" t="str">
        <f t="array" ref="AF786">INDEX('Deal Info'!D:D, MATCH(A786,'Deal Info'!A:A, 0))</f>
        <v>Fix11.25</v>
      </c>
      <c r="AG786" s="38" t="str">
        <f t="array" ref="AG786">INDEX('Deal Info'!G:G, MATCH(A786,'Deal Info'!A:A, 0))</f>
        <v>Fix3.75</v>
      </c>
    </row>
    <row r="787" spans="1:33" ht="14.25" hidden="1" x14ac:dyDescent="0.2">
      <c r="A787" s="18" t="str">
        <f t="array" ref="A787">IF(G787='Room Info'!$B$1, INDEX('Room Info'!$A$2:$A2446, MATCH(B787,'Room Info'!$B$2:$B2446, 0)),IF(G787='Room Info'!$C$1, INDEX('Room Info'!$A$2:$A2446, MATCH(B787,'Room Info'!$C$2:$C2446, 0)),IF(G787='Room Info'!$D$1, INDEX('Room Info'!$A$2:$A2446, MATCH(B787,'Room Info'!$D$2:$D2446, 0)),IF(G787='Room Info'!$E$1, INDEX('Room Info'!$A$2:$A2446, MATCH(B787,'Room Info'!$E$2:$E2446, 0)),IF(G787='Room Info'!$F$1, INDEX('Room Info'!$A$2:$A2446, MATCH(B787,'Room Info'!$F$2:$F2446, 0)),IF(G787='Room Info'!$H$1, INDEX('Room Info'!$A$2:$A2446, MATCH(B787,'Room Info'!$H$2:$H2446, 0)),IF(G787='Room Info'!$G$1, INDEX('Room Info'!$A$2:$A2446, MATCH(B787,'Room Info'!$G$2:$G2446, 0)))))))))</f>
        <v>fig6</v>
      </c>
      <c r="B787" s="45" t="s">
        <v>172</v>
      </c>
      <c r="C787" s="77">
        <v>44825</v>
      </c>
      <c r="D787" s="77">
        <v>44854</v>
      </c>
      <c r="E787" s="47">
        <v>44835</v>
      </c>
      <c r="F787" s="48" t="s">
        <v>34</v>
      </c>
      <c r="G787" s="45" t="s">
        <v>35</v>
      </c>
      <c r="H787" s="49" t="s">
        <v>85</v>
      </c>
      <c r="I787" s="49" t="s">
        <v>44</v>
      </c>
      <c r="J787" s="74">
        <v>50</v>
      </c>
      <c r="K787" s="75">
        <v>27</v>
      </c>
      <c r="L787" s="72">
        <v>-750</v>
      </c>
      <c r="M787" s="76">
        <v>58</v>
      </c>
      <c r="N787" s="28">
        <f>K787*J787</f>
        <v>1350</v>
      </c>
      <c r="O787" s="45">
        <v>-718</v>
      </c>
      <c r="P787" s="29">
        <v>-26.592592589999999</v>
      </c>
      <c r="Q787" s="55"/>
      <c r="R787" s="31">
        <f>M787+Q787</f>
        <v>58</v>
      </c>
      <c r="S787" s="73">
        <v>-200</v>
      </c>
      <c r="T787" s="32">
        <f>R787+S787+IF(F787="Without EV deal",L787,0)</f>
        <v>-142</v>
      </c>
      <c r="U787" s="57">
        <v>1</v>
      </c>
      <c r="V787" s="58"/>
      <c r="W787" s="58"/>
      <c r="X787" s="30">
        <f>IF(AF787="DoEV",IF(AND(V787&lt;20,W787&lt;55),0.3,0)+IF(AND(V787&lt;20,W787&gt;=55,W787&lt;105),0.23,0)+IF(AND(V787&lt;20,W787&gt;=105),0.17,0)+IF(AND(V787&gt;=20,V787&lt;40,W787&lt;45),0.3,0)+IF(AND(V787&gt;=20,V787&lt;40,W787&gt;=45,W787&lt;95),0.23,0)+IF(AND(V787&gt;=20,V787&lt;40,W787&gt;=95),0.17,0)+IF(AND(V787&gt;=40,V787&lt;75,W787&lt;35),0.3,0)+IF(AND(V787&gt;=40,V787&lt;75,W787&gt;=35,W787&lt;75),0.23,0)+IF(AND(V787&gt;=40,V787&lt;75,W787&gt;=75,W787&lt;120),0.17,0)+IF(AND(V787&gt;=40,V787&lt;75,W787&gt;=120),0.12,0)+IF(AND(V787&gt;=75,V787&lt;175,W787&lt;35),0.3,0)+IF(AND(V787&gt;=75,V787&lt;=175,W787&gt;=35,W787&lt;65),0.23,0)+IF(AND(V787&gt;=75,V787&lt;=175,W787&gt;=65,W787&lt;110),0.17,0)+IF(AND(V787&gt;=75,V787&lt;=175,W787&gt;=110),0.12,0)+IF(AND(V787&gt;175,W787&lt;25),0.3,0)+IF(AND(V787&gt;175,W787&gt;=25,W787&lt;55),0.23,0)+IF(AND(V787&gt;175,W787&gt;=55,W787&lt;95),0.17,0)+IF(AND(V787&gt;175,W787&gt;=95),0.12,0),
IF(AF787="Fix15",0.15,
IF(AF787="Fix18.75",0.1875,
IF(AF787="Fix11.25",0.1125,
IF(AF787="Fix10",0.1,
IF(AF787="Fix9",0.09,
IF(AF787="Fix19",0.19,
IF(AF787="DoEV2017",IF(AND(W787&lt;74),0.2,0)+IF(AND(W787&gt;=74),0.17,0),
IF(AF787="SF",IF(AND(V787&lt;20,W787&lt;89),0.3,0)+IF(AND(V787&lt;20,W787&gt;=89),0.25,0)+IF(AND(V787&gt;=20,V787&lt;40,W787&lt;74),0.3,0)+IF(AND(V787&gt;=20,V787&lt;40,W787&gt;=75),0.22,0)+IF(AND(V787&gt;=40,V787&lt;75,W787&lt;75),0.26,0)+IF(AND(V787&gt;=40,V787&lt;75,W787&gt;=75),0.22,0)+IF(V787&gt;=75,0.22,0),
IF(AF787="DoEVold",IF(AND(V787&lt;40,W787&lt;35),0.35,0)+IF(AND(V787&lt;40,W787&gt;=35,W787&lt;75),0.25,0)+IF(AND(V787&lt;40,W787&gt;=75),0.17,0)+IF(AND(V787&gt;=40,V787&lt;75,W787&lt;25),0.35,0)+IF(AND(V787&gt;=40,V787&lt;75,W787&gt;=25,W787&lt;65),0.25,0)+IF(AND(V787&gt;=40,V787&lt;75,W787&gt;=65,W787&lt;100),0.17,0)+IF(AND(V787&gt;=40,V787&lt;75,W787&gt;=100),0.1,0)+IF(AND(V787&gt;=75,W787&lt;25),0.35,0)+IF(AND(V787&gt;=75,W787&gt;=25,W787&lt;60),0.25,0)+IF(AND(V787&gt;=75,W787&gt;=60,W787&lt;95),0.17,0)+IF(AND(V787&gt;=75,W787&gt;=95),0.1,0),
IF(AF787="DoEVold15",IF(AND(V787&lt;=40,W787&lt;35),0.35,0)+IF(AND(V787&lt;=40,W787&gt;=35,W787&lt;75),0.25,0)+IF(AND(V787&lt;=40,W787&gt;=75,W787&lt;120),0.17,0)+IF(AND(V787&lt;=40,W787&gt;=120),0.15,0)+IF(AND(V787&gt;40,V787&lt;75,W787&lt;25),0.35,0)+IF(AND(V787&gt;=40,V787&lt;75,W787&gt;=25,W787&lt;65),0.25,0)+IF(AND(V787&gt;=40,V787&lt;75,W787&gt;=65,W787&lt;100),0.17,0)+IF(AND(V787&gt;=40,V787&lt;75,W787&gt;=100),0.1,0)+IF(AND(V787&gt;=75,W787&lt;25),0.35,0)+IF(AND(V787&gt;=75,W787&gt;=25,W787&lt;60),0.25,0)+IF(AND(V787&gt;=75,W787&gt;=60,W787&lt;95),0.17,0)+IF(AND(V787&gt;=75,W787&gt;=95),0.1,0),
IF(AF787="DoEVba",IF(AND(V787&lt;20,W787&lt;105),0.2,0)+IF(AND(V787&lt;20,W787&gt;=105),0.15,0)+IF(AND(V787&gt;=20,V787&lt;40,W787&lt;95),0.2,0)+IF(AND(V787&gt;=20,V787&lt;40,W787&gt;=95,W787&lt;150),0.15,0)+IF(AND(V787&gt;=20,V787&lt;40,W787&gt;=150),0.12,0)+IF(AND(V787&gt;=40,V787&lt;75,W787&lt;75),0.2,0)+IF(AND(V787&gt;=40,V787&lt;75,W787&gt;=75,W787&lt;120),0.15,0)+IF(AND(V787&gt;=40,V787&lt;75,W787&gt;=120),0.12,0)+IF(AND(V787&gt;=75,V787&lt;175,W787&lt;65),0.2,0)+IF(AND(V787&gt;=75,V787&lt;175,W787&gt;=65,W787&lt;110),0.15,0)+IF(AND(V787&gt;=75,V787&lt;175,W787&gt;=110),0.12,0)+IF(AND(V787&gt;=175,W787&lt;55),0.2,0)+IF(AND(V787&gt;=175,W787&gt;=55,W787&lt;95),0.15,0)+IF(AND(V787&gt;=175,W787&gt;=95),0.12,0),
IF(AF787="DoEVku",IF(AND(V787&lt;20,W787&lt;55),0.23,0)+IF(AND(V787&lt;20,W787&gt;=55,W787&lt;105),0.2,0)+IF(AND(V787&lt;20,W787&gt;=105),0.17,0)+IF(AND(V787&gt;=20,V787&lt;40,W787&lt;45),0.23,0)+IF(AND(V787&gt;=20,V787&lt;40,W787&gt;=45,W787&lt;95),0.2,0)+IF(AND(V787&gt;=20,V787&lt;40,W787&gt;=95,W787&lt;=150),0.17,0)+IF(AND(V787&gt;=20,V787&lt;40,W787&gt;=150),0.12,0)+IF(AND(V787&gt;=40,V787&lt;75,W787&lt;35),0.23,0)+IF(AND(V787&gt;=40,V787&lt;75,W787&gt;=35,W787&lt;75),0.2,0)+IF(AND(V787&gt;=40,V787&lt;75,W787&gt;=75,W787&lt;120),0.17,0)+IF(AND(V787&gt;=40,V787&lt;75,W787&gt;=120),0.12,0)+IF(AND(V787&gt;=75,V787&lt;175,W787&lt;35),0.23,0)+IF(AND(V787&gt;=75,V787&lt;=175,W787&gt;=35,W787&lt;65),0.2,0)+IF(AND(V787&gt;=75,V787&lt;=175,W787&gt;=65,W787&lt;110),0.17,0)+IF(AND(V787&gt;=75,V787&lt;=175,W787&gt;=110),0.12,0)+IF(AND(V787&gt;175,W787&lt;25),0.23,0)+IF(AND(V787&gt;175,W787&gt;=25,W787&lt;55),0.2,0)+IF(AND(V787&gt;175,W787&gt;=55,W787&lt;95),0.17,0)+IF(AND(V787&gt;175,W787&gt;=95),0.12,0),
IF(AF787="DoEVs1",IF(AND(V787&lt;20,W787&lt;55),0.3,0)+IF(AND(V787&lt;20,W787&gt;=55,W787&lt;105),0.23,0)+IF(AND(V787&lt;20,W787&gt;=105),0.17,0)+IF(AND(V787&gt;=20,V787&lt;40,W787&lt;45),0.3,0)+IF(AND(V787&gt;=20,V787&lt;40,W787&gt;=45,W787&lt;95),0.23,0)+IF(AND(V787&gt;=20,V787&lt;40,W787&gt;=95,W787&lt;=150),0.17,0)+IF(AND(V787&gt;=20,V787&lt;40,W787&gt;=150),0.12,0)+IF(AND(V787&gt;=40,V787&lt;75,W787&lt;35),0.3,0)+IF(AND(V787&gt;=40,V787&lt;75,W787&gt;=35,W787&lt;75),0.23,0)+IF(AND(V787&gt;=40,V787&lt;75,W787&gt;=75,W787&lt;120),0.17,0)+IF(AND(V787&gt;=40,V787&lt;75,W787&gt;=120),0.12,0)+IF(AND(V787&gt;=75,V787&lt;175,W787&lt;35),0.3,0)+IF(AND(V787&gt;=75,V787&lt;=175,W787&gt;=35,W787&lt;65),0.23,0)+IF(AND(V787&gt;=75,V787&lt;=175,W787&gt;=65,W787&lt;110),0.17,0)+IF(AND(V787&gt;=75,V787&lt;=175,W787&gt;=110),0.12,0)+IF(AND(V787&gt;175,W787&lt;25),0.3,0)+IF(AND(V787&gt;175,W787&gt;=25,W787&lt;55),0.23,0)+IF(AND(V787&gt;175,W787&gt;=55,W787&lt;95),0.17,0)+IF(AND(V787&gt;175,W787&gt;=95),0.12,0),
IF(AF787="DoEVsu",IF(AND(V787&lt;20,W787&lt;55),0.3,0)+IF(AND(V787&lt;20,W787&gt;=55,W787&lt;105),0.23,0)+IF(AND(V787&lt;20,W787&gt;=105),0.17,0)+IF(AND(V787&gt;=20,V787&lt;40,W787&lt;45),0.3,0)+IF(AND(V787&gt;=20,V787&lt;40,W787&gt;=45,W787&lt;95),0.23,0)+IF(AND(V787&gt;=20,V787&lt;40,W787&gt;=95,W787&lt;=250),0.17,0)+IF(AND(V787&gt;=20,V787&lt;40,W787&gt;=250),0.12,0)+IF(AND(V787&gt;=40,V787&lt;75,W787&lt;35),0.3,0)+IF(AND(V787&gt;=40,V787&lt;75,W787&gt;=35,W787&lt;75),0.23,0)+IF(AND(V787&gt;=40,V787&lt;75,W787&gt;=75,W787&lt;120),0.17,0)+IF(AND(V787&gt;=40,V787&lt;75,W787&gt;=120),0.12,0)+IF(AND(V787&gt;=75,V787&lt;175,W787&lt;35),0.3,0)+IF(AND(V787&gt;=75,V787&lt;=175,W787&gt;=35,W787&lt;65),0.23,0)+IF(AND(V787&gt;=75,V787&lt;=175,W787&gt;=65,W787&lt;110),0.17,0)+IF(AND(V787&gt;=75,V787&lt;=175,W787&gt;=110),0.12,0)+IF(AND(V787&gt;175,W787&lt;25),0.3,0)+IF(AND(V787&gt;175,W787&gt;=25,W787&lt;55),0.23,0)+IF(AND(V787&gt;175,W787&gt;=55,W787&lt;95),0.17,0)+IF(AND(V787&gt;175,W787&gt;=95),0.12,0),
IF(AF787="DoEVni",IF(AND(V787&lt;20,W787&lt;55),0.3,0)+IF(AND(V787&lt;20,W787&gt;=55,W787&lt;105),0.23,0)+IF(AND(V787&lt;20,W787&gt;=105),0.17,0)+IF(AND(V787&gt;=20,V787&lt;40,W787&lt;45),0.3,0)+IF(AND(V787&gt;=20,V787&lt;40,W787&gt;=45,W787&lt;95),0.23,0)+IF(AND(V787&gt;=20,V787&lt;40,W787&gt;=95,W787&lt;=200),0.17,0)+IF(AND(V787&gt;=20,V787&lt;40,W787&gt;=200),0.12,0)+IF(AND(V787&gt;=40,V787&lt;75,W787&lt;35),0.3,0)+IF(AND(V787&gt;=40,V787&lt;75,W787&gt;=35,W787&lt;75),0.23,0)+IF(AND(V787&gt;=40,V787&lt;75,W787&gt;=75,W787&lt;120),0.17,0)+IF(AND(V787&gt;=40,V787&lt;75,W787&gt;=120),0.12,0)+IF(AND(V787&gt;=75,V787&lt;175,W787&lt;35),0.3,0)+IF(AND(V787&gt;=75,V787&lt;=175,W787&gt;=35,W787&lt;65),0.23,0)+IF(AND(V787&gt;=75,V787&lt;=175,W787&gt;=65,W787&lt;110),0.17,0)+IF(AND(V787&gt;=75,V787&lt;=175,W787&gt;=110),0.12,0)+IF(AND(V787&gt;175,W787&lt;25),0.3,0)+IF(AND(V787&gt;175,W787&gt;=25,W787&lt;55),0.23,0)+IF(AND(V787&gt;175,W787&gt;=55,W787&lt;95),0.17,0)+IF(AND(V787&gt;175,W787&gt;=95),0.12,0),
IF(AF787="DoEVLo",IF(AND(V787&lt;20,W787&lt;55),0.25,0)+IF(AND(V787&lt;20,W787&gt;=55,W787&lt;105),0.2,0)+IF(AND(V787&lt;20,W787&gt;=105),0.15,0)+IF(AND(V787&gt;=20,V787&lt;40,W787&lt;45),0.25,0)+IF(AND(V787&gt;=20,V787&lt;40,W787&gt;=45,W787&lt;95),0.2,0)+IF(AND(V787&gt;=20,V787&lt;40,W787&gt;=95),0.15,0)+IF(AND(V787&gt;=40,V787&lt;75,W787&lt;35),0.25,0)+IF(AND(V787&gt;=40,V787&lt;75,W787&gt;=35,W787&lt;75),0.2,0)+IF(AND(V787&gt;=40,V787&lt;75,W787&gt;=75,W787&lt;120),0.15,0)+IF(AND(V787&gt;=40,V787&lt;75,W787&gt;=120),0.1,0)+IF(AND(V787&gt;=75,V787&lt;175,W787&lt;35),0.25,0)+IF(AND(V787&gt;=75,V787&lt;=175,W787&gt;=35,W787&lt;65),0.2,0)+IF(AND(V787&gt;=75,V787&lt;=175,W787&gt;=65,W787&lt;110),0.15,0)+IF(AND(V787&gt;=75,V787&lt;=175,W787&gt;=110),0.1,0)+IF(AND(V787&gt;175,W787&lt;25),0.25,0)+IF(AND(V787&gt;175,W787&gt;=25,W787&lt;55),0.2,0)+IF(AND(V787&gt;175,W787&gt;=55,W787&lt;95),0.15,0)+IF(AND(V787&gt;175,W787&gt;=95),0.1,0))))))))))))))))))</f>
        <v>0.1125</v>
      </c>
      <c r="Y787" s="30">
        <f>IF(AG787="None",0,IF(AG787="Fix5",0.05, IF(AG787="Fix6.25",0.0625,IF(AG787="Fix3.75",0.0375,IF(AG787="Fix10",0.1,IF(AG787="Fix3",0.03,0))))))</f>
        <v>3.7499999999999999E-2</v>
      </c>
      <c r="Z787" s="35">
        <f>T787-AA787-AB787</f>
        <v>-105.02500000000001</v>
      </c>
      <c r="AA787" s="29">
        <f>IF(AD787="EUR",((T787-R787)*X787)*U787+(R787*X787),(T787*X787))</f>
        <v>-15.975</v>
      </c>
      <c r="AB787" s="104">
        <v>-21</v>
      </c>
      <c r="AC787" s="37" t="b">
        <v>1</v>
      </c>
      <c r="AD787" s="37" t="s">
        <v>38</v>
      </c>
      <c r="AE787" s="37" t="s">
        <v>38</v>
      </c>
      <c r="AF787" s="37" t="str">
        <f t="array" ref="AF787">INDEX('Deal Info'!D:D, MATCH(A787,'Deal Info'!A:A, 0))</f>
        <v>Fix11.25</v>
      </c>
      <c r="AG787" s="38" t="str">
        <f t="array" ref="AG787">INDEX('Deal Info'!G:G, MATCH(A787,'Deal Info'!A:A, 0))</f>
        <v>Fix3.75</v>
      </c>
    </row>
    <row r="788" spans="1:33" ht="14.25" hidden="1" x14ac:dyDescent="0.2">
      <c r="A788" s="18" t="str">
        <f t="array" ref="A788">IF(G788='Room Info'!$B$1, INDEX('Room Info'!$A$2:$A2446, MATCH(B788,'Room Info'!$B$2:$B2446, 0)),IF(G788='Room Info'!$C$1, INDEX('Room Info'!$A$2:$A2446, MATCH(B788,'Room Info'!$C$2:$C2446, 0)),IF(G788='Room Info'!$D$1, INDEX('Room Info'!$A$2:$A2446, MATCH(B788,'Room Info'!$D$2:$D2446, 0)),IF(G788='Room Info'!$E$1, INDEX('Room Info'!$A$2:$A2446, MATCH(B788,'Room Info'!$E$2:$E2446, 0)),IF(G788='Room Info'!$F$1, INDEX('Room Info'!$A$2:$A2446, MATCH(B788,'Room Info'!$F$2:$F2446, 0)),IF(G788='Room Info'!$H$1, INDEX('Room Info'!$A$2:$A2446, MATCH(B788,'Room Info'!$H$2:$H2446, 0)),IF(G788='Room Info'!$G$1, INDEX('Room Info'!$A$2:$A2446, MATCH(B788,'Room Info'!$G$2:$G2446, 0)))))))))</f>
        <v>fig6</v>
      </c>
      <c r="B788" s="45" t="s">
        <v>172</v>
      </c>
      <c r="C788" s="77">
        <v>44825</v>
      </c>
      <c r="D788" s="77">
        <v>44854</v>
      </c>
      <c r="E788" s="47">
        <v>44835</v>
      </c>
      <c r="F788" s="48" t="s">
        <v>34</v>
      </c>
      <c r="G788" s="45" t="s">
        <v>35</v>
      </c>
      <c r="H788" s="49" t="s">
        <v>70</v>
      </c>
      <c r="I788" s="49" t="s">
        <v>37</v>
      </c>
      <c r="J788" s="74">
        <v>100</v>
      </c>
      <c r="K788" s="75">
        <v>6912</v>
      </c>
      <c r="L788" s="72">
        <v>-20500</v>
      </c>
      <c r="M788" s="76">
        <v>24678</v>
      </c>
      <c r="N788" s="28">
        <f>K788*J788</f>
        <v>691200</v>
      </c>
      <c r="O788" s="45">
        <v>131361</v>
      </c>
      <c r="P788" s="29">
        <v>19.004774309999998</v>
      </c>
      <c r="Q788" s="55"/>
      <c r="R788" s="31">
        <f>M788+Q788</f>
        <v>24678</v>
      </c>
      <c r="S788" s="73">
        <v>-14116</v>
      </c>
      <c r="T788" s="32">
        <f>R788+S788+IF(F788="Without EV deal",L788,0)</f>
        <v>10562</v>
      </c>
      <c r="U788" s="57">
        <v>1</v>
      </c>
      <c r="V788" s="58"/>
      <c r="W788" s="58"/>
      <c r="X788" s="30">
        <f>IF(AF788="DoEV",IF(AND(V788&lt;20,W788&lt;55),0.3,0)+IF(AND(V788&lt;20,W788&gt;=55,W788&lt;105),0.23,0)+IF(AND(V788&lt;20,W788&gt;=105),0.17,0)+IF(AND(V788&gt;=20,V788&lt;40,W788&lt;45),0.3,0)+IF(AND(V788&gt;=20,V788&lt;40,W788&gt;=45,W788&lt;95),0.23,0)+IF(AND(V788&gt;=20,V788&lt;40,W788&gt;=95),0.17,0)+IF(AND(V788&gt;=40,V788&lt;75,W788&lt;35),0.3,0)+IF(AND(V788&gt;=40,V788&lt;75,W788&gt;=35,W788&lt;75),0.23,0)+IF(AND(V788&gt;=40,V788&lt;75,W788&gt;=75,W788&lt;120),0.17,0)+IF(AND(V788&gt;=40,V788&lt;75,W788&gt;=120),0.12,0)+IF(AND(V788&gt;=75,V788&lt;175,W788&lt;35),0.3,0)+IF(AND(V788&gt;=75,V788&lt;=175,W788&gt;=35,W788&lt;65),0.23,0)+IF(AND(V788&gt;=75,V788&lt;=175,W788&gt;=65,W788&lt;110),0.17,0)+IF(AND(V788&gt;=75,V788&lt;=175,W788&gt;=110),0.12,0)+IF(AND(V788&gt;175,W788&lt;25),0.3,0)+IF(AND(V788&gt;175,W788&gt;=25,W788&lt;55),0.23,0)+IF(AND(V788&gt;175,W788&gt;=55,W788&lt;95),0.17,0)+IF(AND(V788&gt;175,W788&gt;=95),0.12,0),
IF(AF788="Fix15",0.15,
IF(AF788="Fix18.75",0.1875,
IF(AF788="Fix11.25",0.1125,
IF(AF788="Fix10",0.1,
IF(AF788="Fix9",0.09,
IF(AF788="Fix19",0.19,
IF(AF788="DoEV2017",IF(AND(W788&lt;74),0.2,0)+IF(AND(W788&gt;=74),0.17,0),
IF(AF788="SF",IF(AND(V788&lt;20,W788&lt;89),0.3,0)+IF(AND(V788&lt;20,W788&gt;=89),0.25,0)+IF(AND(V788&gt;=20,V788&lt;40,W788&lt;74),0.3,0)+IF(AND(V788&gt;=20,V788&lt;40,W788&gt;=75),0.22,0)+IF(AND(V788&gt;=40,V788&lt;75,W788&lt;75),0.26,0)+IF(AND(V788&gt;=40,V788&lt;75,W788&gt;=75),0.22,0)+IF(V788&gt;=75,0.22,0),
IF(AF788="DoEVold",IF(AND(V788&lt;40,W788&lt;35),0.35,0)+IF(AND(V788&lt;40,W788&gt;=35,W788&lt;75),0.25,0)+IF(AND(V788&lt;40,W788&gt;=75),0.17,0)+IF(AND(V788&gt;=40,V788&lt;75,W788&lt;25),0.35,0)+IF(AND(V788&gt;=40,V788&lt;75,W788&gt;=25,W788&lt;65),0.25,0)+IF(AND(V788&gt;=40,V788&lt;75,W788&gt;=65,W788&lt;100),0.17,0)+IF(AND(V788&gt;=40,V788&lt;75,W788&gt;=100),0.1,0)+IF(AND(V788&gt;=75,W788&lt;25),0.35,0)+IF(AND(V788&gt;=75,W788&gt;=25,W788&lt;60),0.25,0)+IF(AND(V788&gt;=75,W788&gt;=60,W788&lt;95),0.17,0)+IF(AND(V788&gt;=75,W788&gt;=95),0.1,0),
IF(AF788="DoEVold15",IF(AND(V788&lt;=40,W788&lt;35),0.35,0)+IF(AND(V788&lt;=40,W788&gt;=35,W788&lt;75),0.25,0)+IF(AND(V788&lt;=40,W788&gt;=75,W788&lt;120),0.17,0)+IF(AND(V788&lt;=40,W788&gt;=120),0.15,0)+IF(AND(V788&gt;40,V788&lt;75,W788&lt;25),0.35,0)+IF(AND(V788&gt;=40,V788&lt;75,W788&gt;=25,W788&lt;65),0.25,0)+IF(AND(V788&gt;=40,V788&lt;75,W788&gt;=65,W788&lt;100),0.17,0)+IF(AND(V788&gt;=40,V788&lt;75,W788&gt;=100),0.1,0)+IF(AND(V788&gt;=75,W788&lt;25),0.35,0)+IF(AND(V788&gt;=75,W788&gt;=25,W788&lt;60),0.25,0)+IF(AND(V788&gt;=75,W788&gt;=60,W788&lt;95),0.17,0)+IF(AND(V788&gt;=75,W788&gt;=95),0.1,0),
IF(AF788="DoEVba",IF(AND(V788&lt;20,W788&lt;105),0.2,0)+IF(AND(V788&lt;20,W788&gt;=105),0.15,0)+IF(AND(V788&gt;=20,V788&lt;40,W788&lt;95),0.2,0)+IF(AND(V788&gt;=20,V788&lt;40,W788&gt;=95,W788&lt;150),0.15,0)+IF(AND(V788&gt;=20,V788&lt;40,W788&gt;=150),0.12,0)+IF(AND(V788&gt;=40,V788&lt;75,W788&lt;75),0.2,0)+IF(AND(V788&gt;=40,V788&lt;75,W788&gt;=75,W788&lt;120),0.15,0)+IF(AND(V788&gt;=40,V788&lt;75,W788&gt;=120),0.12,0)+IF(AND(V788&gt;=75,V788&lt;175,W788&lt;65),0.2,0)+IF(AND(V788&gt;=75,V788&lt;175,W788&gt;=65,W788&lt;110),0.15,0)+IF(AND(V788&gt;=75,V788&lt;175,W788&gt;=110),0.12,0)+IF(AND(V788&gt;=175,W788&lt;55),0.2,0)+IF(AND(V788&gt;=175,W788&gt;=55,W788&lt;95),0.15,0)+IF(AND(V788&gt;=175,W788&gt;=95),0.12,0),
IF(AF788="DoEVku",IF(AND(V788&lt;20,W788&lt;55),0.23,0)+IF(AND(V788&lt;20,W788&gt;=55,W788&lt;105),0.2,0)+IF(AND(V788&lt;20,W788&gt;=105),0.17,0)+IF(AND(V788&gt;=20,V788&lt;40,W788&lt;45),0.23,0)+IF(AND(V788&gt;=20,V788&lt;40,W788&gt;=45,W788&lt;95),0.2,0)+IF(AND(V788&gt;=20,V788&lt;40,W788&gt;=95,W788&lt;=150),0.17,0)+IF(AND(V788&gt;=20,V788&lt;40,W788&gt;=150),0.12,0)+IF(AND(V788&gt;=40,V788&lt;75,W788&lt;35),0.23,0)+IF(AND(V788&gt;=40,V788&lt;75,W788&gt;=35,W788&lt;75),0.2,0)+IF(AND(V788&gt;=40,V788&lt;75,W788&gt;=75,W788&lt;120),0.17,0)+IF(AND(V788&gt;=40,V788&lt;75,W788&gt;=120),0.12,0)+IF(AND(V788&gt;=75,V788&lt;175,W788&lt;35),0.23,0)+IF(AND(V788&gt;=75,V788&lt;=175,W788&gt;=35,W788&lt;65),0.2,0)+IF(AND(V788&gt;=75,V788&lt;=175,W788&gt;=65,W788&lt;110),0.17,0)+IF(AND(V788&gt;=75,V788&lt;=175,W788&gt;=110),0.12,0)+IF(AND(V788&gt;175,W788&lt;25),0.23,0)+IF(AND(V788&gt;175,W788&gt;=25,W788&lt;55),0.2,0)+IF(AND(V788&gt;175,W788&gt;=55,W788&lt;95),0.17,0)+IF(AND(V788&gt;175,W788&gt;=95),0.12,0),
IF(AF788="DoEVs1",IF(AND(V788&lt;20,W788&lt;55),0.3,0)+IF(AND(V788&lt;20,W788&gt;=55,W788&lt;105),0.23,0)+IF(AND(V788&lt;20,W788&gt;=105),0.17,0)+IF(AND(V788&gt;=20,V788&lt;40,W788&lt;45),0.3,0)+IF(AND(V788&gt;=20,V788&lt;40,W788&gt;=45,W788&lt;95),0.23,0)+IF(AND(V788&gt;=20,V788&lt;40,W788&gt;=95,W788&lt;=150),0.17,0)+IF(AND(V788&gt;=20,V788&lt;40,W788&gt;=150),0.12,0)+IF(AND(V788&gt;=40,V788&lt;75,W788&lt;35),0.3,0)+IF(AND(V788&gt;=40,V788&lt;75,W788&gt;=35,W788&lt;75),0.23,0)+IF(AND(V788&gt;=40,V788&lt;75,W788&gt;=75,W788&lt;120),0.17,0)+IF(AND(V788&gt;=40,V788&lt;75,W788&gt;=120),0.12,0)+IF(AND(V788&gt;=75,V788&lt;175,W788&lt;35),0.3,0)+IF(AND(V788&gt;=75,V788&lt;=175,W788&gt;=35,W788&lt;65),0.23,0)+IF(AND(V788&gt;=75,V788&lt;=175,W788&gt;=65,W788&lt;110),0.17,0)+IF(AND(V788&gt;=75,V788&lt;=175,W788&gt;=110),0.12,0)+IF(AND(V788&gt;175,W788&lt;25),0.3,0)+IF(AND(V788&gt;175,W788&gt;=25,W788&lt;55),0.23,0)+IF(AND(V788&gt;175,W788&gt;=55,W788&lt;95),0.17,0)+IF(AND(V788&gt;175,W788&gt;=95),0.12,0),
IF(AF788="DoEVsu",IF(AND(V788&lt;20,W788&lt;55),0.3,0)+IF(AND(V788&lt;20,W788&gt;=55,W788&lt;105),0.23,0)+IF(AND(V788&lt;20,W788&gt;=105),0.17,0)+IF(AND(V788&gt;=20,V788&lt;40,W788&lt;45),0.3,0)+IF(AND(V788&gt;=20,V788&lt;40,W788&gt;=45,W788&lt;95),0.23,0)+IF(AND(V788&gt;=20,V788&lt;40,W788&gt;=95,W788&lt;=250),0.17,0)+IF(AND(V788&gt;=20,V788&lt;40,W788&gt;=250),0.12,0)+IF(AND(V788&gt;=40,V788&lt;75,W788&lt;35),0.3,0)+IF(AND(V788&gt;=40,V788&lt;75,W788&gt;=35,W788&lt;75),0.23,0)+IF(AND(V788&gt;=40,V788&lt;75,W788&gt;=75,W788&lt;120),0.17,0)+IF(AND(V788&gt;=40,V788&lt;75,W788&gt;=120),0.12,0)+IF(AND(V788&gt;=75,V788&lt;175,W788&lt;35),0.3,0)+IF(AND(V788&gt;=75,V788&lt;=175,W788&gt;=35,W788&lt;65),0.23,0)+IF(AND(V788&gt;=75,V788&lt;=175,W788&gt;=65,W788&lt;110),0.17,0)+IF(AND(V788&gt;=75,V788&lt;=175,W788&gt;=110),0.12,0)+IF(AND(V788&gt;175,W788&lt;25),0.3,0)+IF(AND(V788&gt;175,W788&gt;=25,W788&lt;55),0.23,0)+IF(AND(V788&gt;175,W788&gt;=55,W788&lt;95),0.17,0)+IF(AND(V788&gt;175,W788&gt;=95),0.12,0),
IF(AF788="DoEVni",IF(AND(V788&lt;20,W788&lt;55),0.3,0)+IF(AND(V788&lt;20,W788&gt;=55,W788&lt;105),0.23,0)+IF(AND(V788&lt;20,W788&gt;=105),0.17,0)+IF(AND(V788&gt;=20,V788&lt;40,W788&lt;45),0.3,0)+IF(AND(V788&gt;=20,V788&lt;40,W788&gt;=45,W788&lt;95),0.23,0)+IF(AND(V788&gt;=20,V788&lt;40,W788&gt;=95,W788&lt;=200),0.17,0)+IF(AND(V788&gt;=20,V788&lt;40,W788&gt;=200),0.12,0)+IF(AND(V788&gt;=40,V788&lt;75,W788&lt;35),0.3,0)+IF(AND(V788&gt;=40,V788&lt;75,W788&gt;=35,W788&lt;75),0.23,0)+IF(AND(V788&gt;=40,V788&lt;75,W788&gt;=75,W788&lt;120),0.17,0)+IF(AND(V788&gt;=40,V788&lt;75,W788&gt;=120),0.12,0)+IF(AND(V788&gt;=75,V788&lt;175,W788&lt;35),0.3,0)+IF(AND(V788&gt;=75,V788&lt;=175,W788&gt;=35,W788&lt;65),0.23,0)+IF(AND(V788&gt;=75,V788&lt;=175,W788&gt;=65,W788&lt;110),0.17,0)+IF(AND(V788&gt;=75,V788&lt;=175,W788&gt;=110),0.12,0)+IF(AND(V788&gt;175,W788&lt;25),0.3,0)+IF(AND(V788&gt;175,W788&gt;=25,W788&lt;55),0.23,0)+IF(AND(V788&gt;175,W788&gt;=55,W788&lt;95),0.17,0)+IF(AND(V788&gt;175,W788&gt;=95),0.12,0),
IF(AF788="DoEVLo",IF(AND(V788&lt;20,W788&lt;55),0.25,0)+IF(AND(V788&lt;20,W788&gt;=55,W788&lt;105),0.2,0)+IF(AND(V788&lt;20,W788&gt;=105),0.15,0)+IF(AND(V788&gt;=20,V788&lt;40,W788&lt;45),0.25,0)+IF(AND(V788&gt;=20,V788&lt;40,W788&gt;=45,W788&lt;95),0.2,0)+IF(AND(V788&gt;=20,V788&lt;40,W788&gt;=95),0.15,0)+IF(AND(V788&gt;=40,V788&lt;75,W788&lt;35),0.25,0)+IF(AND(V788&gt;=40,V788&lt;75,W788&gt;=35,W788&lt;75),0.2,0)+IF(AND(V788&gt;=40,V788&lt;75,W788&gt;=75,W788&lt;120),0.15,0)+IF(AND(V788&gt;=40,V788&lt;75,W788&gt;=120),0.1,0)+IF(AND(V788&gt;=75,V788&lt;175,W788&lt;35),0.25,0)+IF(AND(V788&gt;=75,V788&lt;=175,W788&gt;=35,W788&lt;65),0.2,0)+IF(AND(V788&gt;=75,V788&lt;=175,W788&gt;=65,W788&lt;110),0.15,0)+IF(AND(V788&gt;=75,V788&lt;=175,W788&gt;=110),0.1,0)+IF(AND(V788&gt;175,W788&lt;25),0.25,0)+IF(AND(V788&gt;175,W788&gt;=25,W788&lt;55),0.2,0)+IF(AND(V788&gt;175,W788&gt;=55,W788&lt;95),0.15,0)+IF(AND(V788&gt;175,W788&gt;=95),0.1,0))))))))))))))))))</f>
        <v>0.1125</v>
      </c>
      <c r="Y788" s="30">
        <f>IF(AG788="None",0,IF(AG788="Fix5",0.05, IF(AG788="Fix6.25",0.0625,IF(AG788="Fix3.75",0.0375,IF(AG788="Fix10",0.1,IF(AG788="Fix3",0.03,0))))))</f>
        <v>3.7499999999999999E-2</v>
      </c>
      <c r="Z788" s="35">
        <f>T788-AA788-AB788</f>
        <v>7789.7749999999996</v>
      </c>
      <c r="AA788" s="29">
        <f>IF(AD788="EUR",((T788-R788)*X788)*U788+(R788*X788),(T788*X788))</f>
        <v>1188.2250000000001</v>
      </c>
      <c r="AB788" s="104">
        <v>1584</v>
      </c>
      <c r="AC788" s="37" t="b">
        <v>1</v>
      </c>
      <c r="AD788" s="37" t="s">
        <v>38</v>
      </c>
      <c r="AE788" s="37" t="s">
        <v>38</v>
      </c>
      <c r="AF788" s="37" t="str">
        <f t="array" ref="AF788">INDEX('Deal Info'!D:D, MATCH(A788,'Deal Info'!A:A, 0))</f>
        <v>Fix11.25</v>
      </c>
      <c r="AG788" s="38" t="str">
        <f t="array" ref="AG788">INDEX('Deal Info'!G:G, MATCH(A788,'Deal Info'!A:A, 0))</f>
        <v>Fix3.75</v>
      </c>
    </row>
    <row r="789" spans="1:33" ht="14.25" hidden="1" x14ac:dyDescent="0.2">
      <c r="A789" s="18" t="str">
        <f t="array" ref="A789">IF(G789='Room Info'!$B$1, INDEX('Room Info'!$A$2:$A2446, MATCH(B789,'Room Info'!$B$2:$B2446, 0)),IF(G789='Room Info'!$C$1, INDEX('Room Info'!$A$2:$A2446, MATCH(B789,'Room Info'!$C$2:$C2446, 0)),IF(G789='Room Info'!$D$1, INDEX('Room Info'!$A$2:$A2446, MATCH(B789,'Room Info'!$D$2:$D2446, 0)),IF(G789='Room Info'!$E$1, INDEX('Room Info'!$A$2:$A2446, MATCH(B789,'Room Info'!$E$2:$E2446, 0)),IF(G789='Room Info'!$F$1, INDEX('Room Info'!$A$2:$A2446, MATCH(B789,'Room Info'!$F$2:$F2446, 0)),IF(G789='Room Info'!$H$1, INDEX('Room Info'!$A$2:$A2446, MATCH(B789,'Room Info'!$H$2:$H2446, 0)),IF(G789='Room Info'!$G$1, INDEX('Room Info'!$A$2:$A2446, MATCH(B789,'Room Info'!$G$2:$G2446, 0)))))))))</f>
        <v>fig6</v>
      </c>
      <c r="B789" s="45" t="s">
        <v>172</v>
      </c>
      <c r="C789" s="77">
        <v>44825</v>
      </c>
      <c r="D789" s="77">
        <v>44854</v>
      </c>
      <c r="E789" s="47">
        <v>44835</v>
      </c>
      <c r="F789" s="48" t="s">
        <v>34</v>
      </c>
      <c r="G789" s="45" t="s">
        <v>35</v>
      </c>
      <c r="H789" s="49" t="s">
        <v>84</v>
      </c>
      <c r="I789" s="49" t="s">
        <v>44</v>
      </c>
      <c r="J789" s="74">
        <v>100</v>
      </c>
      <c r="K789" s="75">
        <v>250</v>
      </c>
      <c r="L789" s="72">
        <v>-1000</v>
      </c>
      <c r="M789" s="76">
        <v>893</v>
      </c>
      <c r="N789" s="28">
        <f>K789*J789</f>
        <v>25000</v>
      </c>
      <c r="O789" s="45">
        <v>4047</v>
      </c>
      <c r="P789" s="29">
        <v>16.187999999999999</v>
      </c>
      <c r="Q789" s="55"/>
      <c r="R789" s="31">
        <f>M789+Q789</f>
        <v>893</v>
      </c>
      <c r="S789" s="73">
        <v>-137</v>
      </c>
      <c r="T789" s="32">
        <f>R789+S789+IF(F789="Without EV deal",L789,0)</f>
        <v>756</v>
      </c>
      <c r="U789" s="57">
        <v>1</v>
      </c>
      <c r="V789" s="58"/>
      <c r="W789" s="58"/>
      <c r="X789" s="30">
        <f>IF(AF789="DoEV",IF(AND(V789&lt;20,W789&lt;55),0.3,0)+IF(AND(V789&lt;20,W789&gt;=55,W789&lt;105),0.23,0)+IF(AND(V789&lt;20,W789&gt;=105),0.17,0)+IF(AND(V789&gt;=20,V789&lt;40,W789&lt;45),0.3,0)+IF(AND(V789&gt;=20,V789&lt;40,W789&gt;=45,W789&lt;95),0.23,0)+IF(AND(V789&gt;=20,V789&lt;40,W789&gt;=95),0.17,0)+IF(AND(V789&gt;=40,V789&lt;75,W789&lt;35),0.3,0)+IF(AND(V789&gt;=40,V789&lt;75,W789&gt;=35,W789&lt;75),0.23,0)+IF(AND(V789&gt;=40,V789&lt;75,W789&gt;=75,W789&lt;120),0.17,0)+IF(AND(V789&gt;=40,V789&lt;75,W789&gt;=120),0.12,0)+IF(AND(V789&gt;=75,V789&lt;175,W789&lt;35),0.3,0)+IF(AND(V789&gt;=75,V789&lt;=175,W789&gt;=35,W789&lt;65),0.23,0)+IF(AND(V789&gt;=75,V789&lt;=175,W789&gt;=65,W789&lt;110),0.17,0)+IF(AND(V789&gt;=75,V789&lt;=175,W789&gt;=110),0.12,0)+IF(AND(V789&gt;175,W789&lt;25),0.3,0)+IF(AND(V789&gt;175,W789&gt;=25,W789&lt;55),0.23,0)+IF(AND(V789&gt;175,W789&gt;=55,W789&lt;95),0.17,0)+IF(AND(V789&gt;175,W789&gt;=95),0.12,0),
IF(AF789="Fix15",0.15,
IF(AF789="Fix18.75",0.1875,
IF(AF789="Fix11.25",0.1125,
IF(AF789="Fix10",0.1,
IF(AF789="Fix9",0.09,
IF(AF789="Fix19",0.19,
IF(AF789="DoEV2017",IF(AND(W789&lt;74),0.2,0)+IF(AND(W789&gt;=74),0.17,0),
IF(AF789="SF",IF(AND(V789&lt;20,W789&lt;89),0.3,0)+IF(AND(V789&lt;20,W789&gt;=89),0.25,0)+IF(AND(V789&gt;=20,V789&lt;40,W789&lt;74),0.3,0)+IF(AND(V789&gt;=20,V789&lt;40,W789&gt;=75),0.22,0)+IF(AND(V789&gt;=40,V789&lt;75,W789&lt;75),0.26,0)+IF(AND(V789&gt;=40,V789&lt;75,W789&gt;=75),0.22,0)+IF(V789&gt;=75,0.22,0),
IF(AF789="DoEVold",IF(AND(V789&lt;40,W789&lt;35),0.35,0)+IF(AND(V789&lt;40,W789&gt;=35,W789&lt;75),0.25,0)+IF(AND(V789&lt;40,W789&gt;=75),0.17,0)+IF(AND(V789&gt;=40,V789&lt;75,W789&lt;25),0.35,0)+IF(AND(V789&gt;=40,V789&lt;75,W789&gt;=25,W789&lt;65),0.25,0)+IF(AND(V789&gt;=40,V789&lt;75,W789&gt;=65,W789&lt;100),0.17,0)+IF(AND(V789&gt;=40,V789&lt;75,W789&gt;=100),0.1,0)+IF(AND(V789&gt;=75,W789&lt;25),0.35,0)+IF(AND(V789&gt;=75,W789&gt;=25,W789&lt;60),0.25,0)+IF(AND(V789&gt;=75,W789&gt;=60,W789&lt;95),0.17,0)+IF(AND(V789&gt;=75,W789&gt;=95),0.1,0),
IF(AF789="DoEVold15",IF(AND(V789&lt;=40,W789&lt;35),0.35,0)+IF(AND(V789&lt;=40,W789&gt;=35,W789&lt;75),0.25,0)+IF(AND(V789&lt;=40,W789&gt;=75,W789&lt;120),0.17,0)+IF(AND(V789&lt;=40,W789&gt;=120),0.15,0)+IF(AND(V789&gt;40,V789&lt;75,W789&lt;25),0.35,0)+IF(AND(V789&gt;=40,V789&lt;75,W789&gt;=25,W789&lt;65),0.25,0)+IF(AND(V789&gt;=40,V789&lt;75,W789&gt;=65,W789&lt;100),0.17,0)+IF(AND(V789&gt;=40,V789&lt;75,W789&gt;=100),0.1,0)+IF(AND(V789&gt;=75,W789&lt;25),0.35,0)+IF(AND(V789&gt;=75,W789&gt;=25,W789&lt;60),0.25,0)+IF(AND(V789&gt;=75,W789&gt;=60,W789&lt;95),0.17,0)+IF(AND(V789&gt;=75,W789&gt;=95),0.1,0),
IF(AF789="DoEVba",IF(AND(V789&lt;20,W789&lt;105),0.2,0)+IF(AND(V789&lt;20,W789&gt;=105),0.15,0)+IF(AND(V789&gt;=20,V789&lt;40,W789&lt;95),0.2,0)+IF(AND(V789&gt;=20,V789&lt;40,W789&gt;=95,W789&lt;150),0.15,0)+IF(AND(V789&gt;=20,V789&lt;40,W789&gt;=150),0.12,0)+IF(AND(V789&gt;=40,V789&lt;75,W789&lt;75),0.2,0)+IF(AND(V789&gt;=40,V789&lt;75,W789&gt;=75,W789&lt;120),0.15,0)+IF(AND(V789&gt;=40,V789&lt;75,W789&gt;=120),0.12,0)+IF(AND(V789&gt;=75,V789&lt;175,W789&lt;65),0.2,0)+IF(AND(V789&gt;=75,V789&lt;175,W789&gt;=65,W789&lt;110),0.15,0)+IF(AND(V789&gt;=75,V789&lt;175,W789&gt;=110),0.12,0)+IF(AND(V789&gt;=175,W789&lt;55),0.2,0)+IF(AND(V789&gt;=175,W789&gt;=55,W789&lt;95),0.15,0)+IF(AND(V789&gt;=175,W789&gt;=95),0.12,0),
IF(AF789="DoEVku",IF(AND(V789&lt;20,W789&lt;55),0.23,0)+IF(AND(V789&lt;20,W789&gt;=55,W789&lt;105),0.2,0)+IF(AND(V789&lt;20,W789&gt;=105),0.17,0)+IF(AND(V789&gt;=20,V789&lt;40,W789&lt;45),0.23,0)+IF(AND(V789&gt;=20,V789&lt;40,W789&gt;=45,W789&lt;95),0.2,0)+IF(AND(V789&gt;=20,V789&lt;40,W789&gt;=95,W789&lt;=150),0.17,0)+IF(AND(V789&gt;=20,V789&lt;40,W789&gt;=150),0.12,0)+IF(AND(V789&gt;=40,V789&lt;75,W789&lt;35),0.23,0)+IF(AND(V789&gt;=40,V789&lt;75,W789&gt;=35,W789&lt;75),0.2,0)+IF(AND(V789&gt;=40,V789&lt;75,W789&gt;=75,W789&lt;120),0.17,0)+IF(AND(V789&gt;=40,V789&lt;75,W789&gt;=120),0.12,0)+IF(AND(V789&gt;=75,V789&lt;175,W789&lt;35),0.23,0)+IF(AND(V789&gt;=75,V789&lt;=175,W789&gt;=35,W789&lt;65),0.2,0)+IF(AND(V789&gt;=75,V789&lt;=175,W789&gt;=65,W789&lt;110),0.17,0)+IF(AND(V789&gt;=75,V789&lt;=175,W789&gt;=110),0.12,0)+IF(AND(V789&gt;175,W789&lt;25),0.23,0)+IF(AND(V789&gt;175,W789&gt;=25,W789&lt;55),0.2,0)+IF(AND(V789&gt;175,W789&gt;=55,W789&lt;95),0.17,0)+IF(AND(V789&gt;175,W789&gt;=95),0.12,0),
IF(AF789="DoEVs1",IF(AND(V789&lt;20,W789&lt;55),0.3,0)+IF(AND(V789&lt;20,W789&gt;=55,W789&lt;105),0.23,0)+IF(AND(V789&lt;20,W789&gt;=105),0.17,0)+IF(AND(V789&gt;=20,V789&lt;40,W789&lt;45),0.3,0)+IF(AND(V789&gt;=20,V789&lt;40,W789&gt;=45,W789&lt;95),0.23,0)+IF(AND(V789&gt;=20,V789&lt;40,W789&gt;=95,W789&lt;=150),0.17,0)+IF(AND(V789&gt;=20,V789&lt;40,W789&gt;=150),0.12,0)+IF(AND(V789&gt;=40,V789&lt;75,W789&lt;35),0.3,0)+IF(AND(V789&gt;=40,V789&lt;75,W789&gt;=35,W789&lt;75),0.23,0)+IF(AND(V789&gt;=40,V789&lt;75,W789&gt;=75,W789&lt;120),0.17,0)+IF(AND(V789&gt;=40,V789&lt;75,W789&gt;=120),0.12,0)+IF(AND(V789&gt;=75,V789&lt;175,W789&lt;35),0.3,0)+IF(AND(V789&gt;=75,V789&lt;=175,W789&gt;=35,W789&lt;65),0.23,0)+IF(AND(V789&gt;=75,V789&lt;=175,W789&gt;=65,W789&lt;110),0.17,0)+IF(AND(V789&gt;=75,V789&lt;=175,W789&gt;=110),0.12,0)+IF(AND(V789&gt;175,W789&lt;25),0.3,0)+IF(AND(V789&gt;175,W789&gt;=25,W789&lt;55),0.23,0)+IF(AND(V789&gt;175,W789&gt;=55,W789&lt;95),0.17,0)+IF(AND(V789&gt;175,W789&gt;=95),0.12,0),
IF(AF789="DoEVsu",IF(AND(V789&lt;20,W789&lt;55),0.3,0)+IF(AND(V789&lt;20,W789&gt;=55,W789&lt;105),0.23,0)+IF(AND(V789&lt;20,W789&gt;=105),0.17,0)+IF(AND(V789&gt;=20,V789&lt;40,W789&lt;45),0.3,0)+IF(AND(V789&gt;=20,V789&lt;40,W789&gt;=45,W789&lt;95),0.23,0)+IF(AND(V789&gt;=20,V789&lt;40,W789&gt;=95,W789&lt;=250),0.17,0)+IF(AND(V789&gt;=20,V789&lt;40,W789&gt;=250),0.12,0)+IF(AND(V789&gt;=40,V789&lt;75,W789&lt;35),0.3,0)+IF(AND(V789&gt;=40,V789&lt;75,W789&gt;=35,W789&lt;75),0.23,0)+IF(AND(V789&gt;=40,V789&lt;75,W789&gt;=75,W789&lt;120),0.17,0)+IF(AND(V789&gt;=40,V789&lt;75,W789&gt;=120),0.12,0)+IF(AND(V789&gt;=75,V789&lt;175,W789&lt;35),0.3,0)+IF(AND(V789&gt;=75,V789&lt;=175,W789&gt;=35,W789&lt;65),0.23,0)+IF(AND(V789&gt;=75,V789&lt;=175,W789&gt;=65,W789&lt;110),0.17,0)+IF(AND(V789&gt;=75,V789&lt;=175,W789&gt;=110),0.12,0)+IF(AND(V789&gt;175,W789&lt;25),0.3,0)+IF(AND(V789&gt;175,W789&gt;=25,W789&lt;55),0.23,0)+IF(AND(V789&gt;175,W789&gt;=55,W789&lt;95),0.17,0)+IF(AND(V789&gt;175,W789&gt;=95),0.12,0),
IF(AF789="DoEVni",IF(AND(V789&lt;20,W789&lt;55),0.3,0)+IF(AND(V789&lt;20,W789&gt;=55,W789&lt;105),0.23,0)+IF(AND(V789&lt;20,W789&gt;=105),0.17,0)+IF(AND(V789&gt;=20,V789&lt;40,W789&lt;45),0.3,0)+IF(AND(V789&gt;=20,V789&lt;40,W789&gt;=45,W789&lt;95),0.23,0)+IF(AND(V789&gt;=20,V789&lt;40,W789&gt;=95,W789&lt;=200),0.17,0)+IF(AND(V789&gt;=20,V789&lt;40,W789&gt;=200),0.12,0)+IF(AND(V789&gt;=40,V789&lt;75,W789&lt;35),0.3,0)+IF(AND(V789&gt;=40,V789&lt;75,W789&gt;=35,W789&lt;75),0.23,0)+IF(AND(V789&gt;=40,V789&lt;75,W789&gt;=75,W789&lt;120),0.17,0)+IF(AND(V789&gt;=40,V789&lt;75,W789&gt;=120),0.12,0)+IF(AND(V789&gt;=75,V789&lt;175,W789&lt;35),0.3,0)+IF(AND(V789&gt;=75,V789&lt;=175,W789&gt;=35,W789&lt;65),0.23,0)+IF(AND(V789&gt;=75,V789&lt;=175,W789&gt;=65,W789&lt;110),0.17,0)+IF(AND(V789&gt;=75,V789&lt;=175,W789&gt;=110),0.12,0)+IF(AND(V789&gt;175,W789&lt;25),0.3,0)+IF(AND(V789&gt;175,W789&gt;=25,W789&lt;55),0.23,0)+IF(AND(V789&gt;175,W789&gt;=55,W789&lt;95),0.17,0)+IF(AND(V789&gt;175,W789&gt;=95),0.12,0),
IF(AF789="DoEVLo",IF(AND(V789&lt;20,W789&lt;55),0.25,0)+IF(AND(V789&lt;20,W789&gt;=55,W789&lt;105),0.2,0)+IF(AND(V789&lt;20,W789&gt;=105),0.15,0)+IF(AND(V789&gt;=20,V789&lt;40,W789&lt;45),0.25,0)+IF(AND(V789&gt;=20,V789&lt;40,W789&gt;=45,W789&lt;95),0.2,0)+IF(AND(V789&gt;=20,V789&lt;40,W789&gt;=95),0.15,0)+IF(AND(V789&gt;=40,V789&lt;75,W789&lt;35),0.25,0)+IF(AND(V789&gt;=40,V789&lt;75,W789&gt;=35,W789&lt;75),0.2,0)+IF(AND(V789&gt;=40,V789&lt;75,W789&gt;=75,W789&lt;120),0.15,0)+IF(AND(V789&gt;=40,V789&lt;75,W789&gt;=120),0.1,0)+IF(AND(V789&gt;=75,V789&lt;175,W789&lt;35),0.25,0)+IF(AND(V789&gt;=75,V789&lt;=175,W789&gt;=35,W789&lt;65),0.2,0)+IF(AND(V789&gt;=75,V789&lt;=175,W789&gt;=65,W789&lt;110),0.15,0)+IF(AND(V789&gt;=75,V789&lt;=175,W789&gt;=110),0.1,0)+IF(AND(V789&gt;175,W789&lt;25),0.25,0)+IF(AND(V789&gt;175,W789&gt;=25,W789&lt;55),0.2,0)+IF(AND(V789&gt;175,W789&gt;=55,W789&lt;95),0.15,0)+IF(AND(V789&gt;175,W789&gt;=95),0.1,0))))))))))))))))))</f>
        <v>0.1125</v>
      </c>
      <c r="Y789" s="30">
        <f>IF(AG789="None",0,IF(AG789="Fix5",0.05, IF(AG789="Fix6.25",0.0625,IF(AG789="Fix3.75",0.0375,IF(AG789="Fix10",0.1,IF(AG789="Fix3",0.03,0))))))</f>
        <v>3.7499999999999999E-2</v>
      </c>
      <c r="Z789" s="35">
        <f>T789-AA789-AB789</f>
        <v>557.95000000000005</v>
      </c>
      <c r="AA789" s="29">
        <f>IF(AD789="EUR",((T789-R789)*X789)*U789+(R789*X789),(T789*X789))</f>
        <v>85.05</v>
      </c>
      <c r="AB789" s="104">
        <v>113</v>
      </c>
      <c r="AC789" s="37" t="b">
        <v>1</v>
      </c>
      <c r="AD789" s="37" t="s">
        <v>38</v>
      </c>
      <c r="AE789" s="37" t="s">
        <v>38</v>
      </c>
      <c r="AF789" s="37" t="str">
        <f t="array" ref="AF789">INDEX('Deal Info'!D:D, MATCH(A789,'Deal Info'!A:A, 0))</f>
        <v>Fix11.25</v>
      </c>
      <c r="AG789" s="38" t="str">
        <f t="array" ref="AG789">INDEX('Deal Info'!G:G, MATCH(A789,'Deal Info'!A:A, 0))</f>
        <v>Fix3.75</v>
      </c>
    </row>
    <row r="790" spans="1:33" ht="14.25" hidden="1" x14ac:dyDescent="0.2">
      <c r="A790" s="18" t="str">
        <f t="array" ref="A790">IF(G790='Room Info'!$B$1, INDEX('Room Info'!$A$2:$A2446, MATCH(B790,'Room Info'!$B$2:$B2446, 0)),IF(G790='Room Info'!$C$1, INDEX('Room Info'!$A$2:$A2446, MATCH(B790,'Room Info'!$C$2:$C2446, 0)),IF(G790='Room Info'!$D$1, INDEX('Room Info'!$A$2:$A2446, MATCH(B790,'Room Info'!$D$2:$D2446, 0)),IF(G790='Room Info'!$E$1, INDEX('Room Info'!$A$2:$A2446, MATCH(B790,'Room Info'!$E$2:$E2446, 0)),IF(G790='Room Info'!$F$1, INDEX('Room Info'!$A$2:$A2446, MATCH(B790,'Room Info'!$F$2:$F2446, 0)),IF(G790='Room Info'!$H$1, INDEX('Room Info'!$A$2:$A2446, MATCH(B790,'Room Info'!$H$2:$H2446, 0)),IF(G790='Room Info'!$G$1, INDEX('Room Info'!$A$2:$A2446, MATCH(B790,'Room Info'!$G$2:$G2446, 0)))))))))</f>
        <v>fig6</v>
      </c>
      <c r="B790" s="45" t="s">
        <v>172</v>
      </c>
      <c r="C790" s="77">
        <v>44825</v>
      </c>
      <c r="D790" s="77">
        <v>44854</v>
      </c>
      <c r="E790" s="47">
        <v>44835</v>
      </c>
      <c r="F790" s="48" t="s">
        <v>34</v>
      </c>
      <c r="G790" s="45" t="s">
        <v>35</v>
      </c>
      <c r="H790" s="49" t="s">
        <v>88</v>
      </c>
      <c r="I790" s="49" t="s">
        <v>37</v>
      </c>
      <c r="J790" s="74">
        <v>250</v>
      </c>
      <c r="K790" s="75">
        <v>213</v>
      </c>
      <c r="L790" s="72">
        <v>1750</v>
      </c>
      <c r="M790" s="76">
        <v>1901</v>
      </c>
      <c r="N790" s="28">
        <f>K790*J790</f>
        <v>53250</v>
      </c>
      <c r="O790" s="45">
        <v>16667</v>
      </c>
      <c r="P790" s="29">
        <v>78.248826289999997</v>
      </c>
      <c r="Q790" s="55"/>
      <c r="R790" s="31">
        <f>M790+Q790</f>
        <v>1901</v>
      </c>
      <c r="S790" s="73">
        <v>4973</v>
      </c>
      <c r="T790" s="32">
        <f>R790+S790+IF(F790="Without EV deal",L790,0)</f>
        <v>6874</v>
      </c>
      <c r="U790" s="57">
        <v>1</v>
      </c>
      <c r="V790" s="58"/>
      <c r="W790" s="58"/>
      <c r="X790" s="30">
        <f>IF(AF790="DoEV",IF(AND(V790&lt;20,W790&lt;55),0.3,0)+IF(AND(V790&lt;20,W790&gt;=55,W790&lt;105),0.23,0)+IF(AND(V790&lt;20,W790&gt;=105),0.17,0)+IF(AND(V790&gt;=20,V790&lt;40,W790&lt;45),0.3,0)+IF(AND(V790&gt;=20,V790&lt;40,W790&gt;=45,W790&lt;95),0.23,0)+IF(AND(V790&gt;=20,V790&lt;40,W790&gt;=95),0.17,0)+IF(AND(V790&gt;=40,V790&lt;75,W790&lt;35),0.3,0)+IF(AND(V790&gt;=40,V790&lt;75,W790&gt;=35,W790&lt;75),0.23,0)+IF(AND(V790&gt;=40,V790&lt;75,W790&gt;=75,W790&lt;120),0.17,0)+IF(AND(V790&gt;=40,V790&lt;75,W790&gt;=120),0.12,0)+IF(AND(V790&gt;=75,V790&lt;175,W790&lt;35),0.3,0)+IF(AND(V790&gt;=75,V790&lt;=175,W790&gt;=35,W790&lt;65),0.23,0)+IF(AND(V790&gt;=75,V790&lt;=175,W790&gt;=65,W790&lt;110),0.17,0)+IF(AND(V790&gt;=75,V790&lt;=175,W790&gt;=110),0.12,0)+IF(AND(V790&gt;175,W790&lt;25),0.3,0)+IF(AND(V790&gt;175,W790&gt;=25,W790&lt;55),0.23,0)+IF(AND(V790&gt;175,W790&gt;=55,W790&lt;95),0.17,0)+IF(AND(V790&gt;175,W790&gt;=95),0.12,0),
IF(AF790="Fix15",0.15,
IF(AF790="Fix18.75",0.1875,
IF(AF790="Fix11.25",0.1125,
IF(AF790="Fix10",0.1,
IF(AF790="Fix9",0.09,
IF(AF790="Fix19",0.19,
IF(AF790="DoEV2017",IF(AND(W790&lt;74),0.2,0)+IF(AND(W790&gt;=74),0.17,0),
IF(AF790="SF",IF(AND(V790&lt;20,W790&lt;89),0.3,0)+IF(AND(V790&lt;20,W790&gt;=89),0.25,0)+IF(AND(V790&gt;=20,V790&lt;40,W790&lt;74),0.3,0)+IF(AND(V790&gt;=20,V790&lt;40,W790&gt;=75),0.22,0)+IF(AND(V790&gt;=40,V790&lt;75,W790&lt;75),0.26,0)+IF(AND(V790&gt;=40,V790&lt;75,W790&gt;=75),0.22,0)+IF(V790&gt;=75,0.22,0),
IF(AF790="DoEVold",IF(AND(V790&lt;40,W790&lt;35),0.35,0)+IF(AND(V790&lt;40,W790&gt;=35,W790&lt;75),0.25,0)+IF(AND(V790&lt;40,W790&gt;=75),0.17,0)+IF(AND(V790&gt;=40,V790&lt;75,W790&lt;25),0.35,0)+IF(AND(V790&gt;=40,V790&lt;75,W790&gt;=25,W790&lt;65),0.25,0)+IF(AND(V790&gt;=40,V790&lt;75,W790&gt;=65,W790&lt;100),0.17,0)+IF(AND(V790&gt;=40,V790&lt;75,W790&gt;=100),0.1,0)+IF(AND(V790&gt;=75,W790&lt;25),0.35,0)+IF(AND(V790&gt;=75,W790&gt;=25,W790&lt;60),0.25,0)+IF(AND(V790&gt;=75,W790&gt;=60,W790&lt;95),0.17,0)+IF(AND(V790&gt;=75,W790&gt;=95),0.1,0),
IF(AF790="DoEVold15",IF(AND(V790&lt;=40,W790&lt;35),0.35,0)+IF(AND(V790&lt;=40,W790&gt;=35,W790&lt;75),0.25,0)+IF(AND(V790&lt;=40,W790&gt;=75,W790&lt;120),0.17,0)+IF(AND(V790&lt;=40,W790&gt;=120),0.15,0)+IF(AND(V790&gt;40,V790&lt;75,W790&lt;25),0.35,0)+IF(AND(V790&gt;=40,V790&lt;75,W790&gt;=25,W790&lt;65),0.25,0)+IF(AND(V790&gt;=40,V790&lt;75,W790&gt;=65,W790&lt;100),0.17,0)+IF(AND(V790&gt;=40,V790&lt;75,W790&gt;=100),0.1,0)+IF(AND(V790&gt;=75,W790&lt;25),0.35,0)+IF(AND(V790&gt;=75,W790&gt;=25,W790&lt;60),0.25,0)+IF(AND(V790&gt;=75,W790&gt;=60,W790&lt;95),0.17,0)+IF(AND(V790&gt;=75,W790&gt;=95),0.1,0),
IF(AF790="DoEVba",IF(AND(V790&lt;20,W790&lt;105),0.2,0)+IF(AND(V790&lt;20,W790&gt;=105),0.15,0)+IF(AND(V790&gt;=20,V790&lt;40,W790&lt;95),0.2,0)+IF(AND(V790&gt;=20,V790&lt;40,W790&gt;=95,W790&lt;150),0.15,0)+IF(AND(V790&gt;=20,V790&lt;40,W790&gt;=150),0.12,0)+IF(AND(V790&gt;=40,V790&lt;75,W790&lt;75),0.2,0)+IF(AND(V790&gt;=40,V790&lt;75,W790&gt;=75,W790&lt;120),0.15,0)+IF(AND(V790&gt;=40,V790&lt;75,W790&gt;=120),0.12,0)+IF(AND(V790&gt;=75,V790&lt;175,W790&lt;65),0.2,0)+IF(AND(V790&gt;=75,V790&lt;175,W790&gt;=65,W790&lt;110),0.15,0)+IF(AND(V790&gt;=75,V790&lt;175,W790&gt;=110),0.12,0)+IF(AND(V790&gt;=175,W790&lt;55),0.2,0)+IF(AND(V790&gt;=175,W790&gt;=55,W790&lt;95),0.15,0)+IF(AND(V790&gt;=175,W790&gt;=95),0.12,0),
IF(AF790="DoEVku",IF(AND(V790&lt;20,W790&lt;55),0.23,0)+IF(AND(V790&lt;20,W790&gt;=55,W790&lt;105),0.2,0)+IF(AND(V790&lt;20,W790&gt;=105),0.17,0)+IF(AND(V790&gt;=20,V790&lt;40,W790&lt;45),0.23,0)+IF(AND(V790&gt;=20,V790&lt;40,W790&gt;=45,W790&lt;95),0.2,0)+IF(AND(V790&gt;=20,V790&lt;40,W790&gt;=95,W790&lt;=150),0.17,0)+IF(AND(V790&gt;=20,V790&lt;40,W790&gt;=150),0.12,0)+IF(AND(V790&gt;=40,V790&lt;75,W790&lt;35),0.23,0)+IF(AND(V790&gt;=40,V790&lt;75,W790&gt;=35,W790&lt;75),0.2,0)+IF(AND(V790&gt;=40,V790&lt;75,W790&gt;=75,W790&lt;120),0.17,0)+IF(AND(V790&gt;=40,V790&lt;75,W790&gt;=120),0.12,0)+IF(AND(V790&gt;=75,V790&lt;175,W790&lt;35),0.23,0)+IF(AND(V790&gt;=75,V790&lt;=175,W790&gt;=35,W790&lt;65),0.2,0)+IF(AND(V790&gt;=75,V790&lt;=175,W790&gt;=65,W790&lt;110),0.17,0)+IF(AND(V790&gt;=75,V790&lt;=175,W790&gt;=110),0.12,0)+IF(AND(V790&gt;175,W790&lt;25),0.23,0)+IF(AND(V790&gt;175,W790&gt;=25,W790&lt;55),0.2,0)+IF(AND(V790&gt;175,W790&gt;=55,W790&lt;95),0.17,0)+IF(AND(V790&gt;175,W790&gt;=95),0.12,0),
IF(AF790="DoEVs1",IF(AND(V790&lt;20,W790&lt;55),0.3,0)+IF(AND(V790&lt;20,W790&gt;=55,W790&lt;105),0.23,0)+IF(AND(V790&lt;20,W790&gt;=105),0.17,0)+IF(AND(V790&gt;=20,V790&lt;40,W790&lt;45),0.3,0)+IF(AND(V790&gt;=20,V790&lt;40,W790&gt;=45,W790&lt;95),0.23,0)+IF(AND(V790&gt;=20,V790&lt;40,W790&gt;=95,W790&lt;=150),0.17,0)+IF(AND(V790&gt;=20,V790&lt;40,W790&gt;=150),0.12,0)+IF(AND(V790&gt;=40,V790&lt;75,W790&lt;35),0.3,0)+IF(AND(V790&gt;=40,V790&lt;75,W790&gt;=35,W790&lt;75),0.23,0)+IF(AND(V790&gt;=40,V790&lt;75,W790&gt;=75,W790&lt;120),0.17,0)+IF(AND(V790&gt;=40,V790&lt;75,W790&gt;=120),0.12,0)+IF(AND(V790&gt;=75,V790&lt;175,W790&lt;35),0.3,0)+IF(AND(V790&gt;=75,V790&lt;=175,W790&gt;=35,W790&lt;65),0.23,0)+IF(AND(V790&gt;=75,V790&lt;=175,W790&gt;=65,W790&lt;110),0.17,0)+IF(AND(V790&gt;=75,V790&lt;=175,W790&gt;=110),0.12,0)+IF(AND(V790&gt;175,W790&lt;25),0.3,0)+IF(AND(V790&gt;175,W790&gt;=25,W790&lt;55),0.23,0)+IF(AND(V790&gt;175,W790&gt;=55,W790&lt;95),0.17,0)+IF(AND(V790&gt;175,W790&gt;=95),0.12,0),
IF(AF790="DoEVsu",IF(AND(V790&lt;20,W790&lt;55),0.3,0)+IF(AND(V790&lt;20,W790&gt;=55,W790&lt;105),0.23,0)+IF(AND(V790&lt;20,W790&gt;=105),0.17,0)+IF(AND(V790&gt;=20,V790&lt;40,W790&lt;45),0.3,0)+IF(AND(V790&gt;=20,V790&lt;40,W790&gt;=45,W790&lt;95),0.23,0)+IF(AND(V790&gt;=20,V790&lt;40,W790&gt;=95,W790&lt;=250),0.17,0)+IF(AND(V790&gt;=20,V790&lt;40,W790&gt;=250),0.12,0)+IF(AND(V790&gt;=40,V790&lt;75,W790&lt;35),0.3,0)+IF(AND(V790&gt;=40,V790&lt;75,W790&gt;=35,W790&lt;75),0.23,0)+IF(AND(V790&gt;=40,V790&lt;75,W790&gt;=75,W790&lt;120),0.17,0)+IF(AND(V790&gt;=40,V790&lt;75,W790&gt;=120),0.12,0)+IF(AND(V790&gt;=75,V790&lt;175,W790&lt;35),0.3,0)+IF(AND(V790&gt;=75,V790&lt;=175,W790&gt;=35,W790&lt;65),0.23,0)+IF(AND(V790&gt;=75,V790&lt;=175,W790&gt;=65,W790&lt;110),0.17,0)+IF(AND(V790&gt;=75,V790&lt;=175,W790&gt;=110),0.12,0)+IF(AND(V790&gt;175,W790&lt;25),0.3,0)+IF(AND(V790&gt;175,W790&gt;=25,W790&lt;55),0.23,0)+IF(AND(V790&gt;175,W790&gt;=55,W790&lt;95),0.17,0)+IF(AND(V790&gt;175,W790&gt;=95),0.12,0),
IF(AF790="DoEVni",IF(AND(V790&lt;20,W790&lt;55),0.3,0)+IF(AND(V790&lt;20,W790&gt;=55,W790&lt;105),0.23,0)+IF(AND(V790&lt;20,W790&gt;=105),0.17,0)+IF(AND(V790&gt;=20,V790&lt;40,W790&lt;45),0.3,0)+IF(AND(V790&gt;=20,V790&lt;40,W790&gt;=45,W790&lt;95),0.23,0)+IF(AND(V790&gt;=20,V790&lt;40,W790&gt;=95,W790&lt;=200),0.17,0)+IF(AND(V790&gt;=20,V790&lt;40,W790&gt;=200),0.12,0)+IF(AND(V790&gt;=40,V790&lt;75,W790&lt;35),0.3,0)+IF(AND(V790&gt;=40,V790&lt;75,W790&gt;=35,W790&lt;75),0.23,0)+IF(AND(V790&gt;=40,V790&lt;75,W790&gt;=75,W790&lt;120),0.17,0)+IF(AND(V790&gt;=40,V790&lt;75,W790&gt;=120),0.12,0)+IF(AND(V790&gt;=75,V790&lt;175,W790&lt;35),0.3,0)+IF(AND(V790&gt;=75,V790&lt;=175,W790&gt;=35,W790&lt;65),0.23,0)+IF(AND(V790&gt;=75,V790&lt;=175,W790&gt;=65,W790&lt;110),0.17,0)+IF(AND(V790&gt;=75,V790&lt;=175,W790&gt;=110),0.12,0)+IF(AND(V790&gt;175,W790&lt;25),0.3,0)+IF(AND(V790&gt;175,W790&gt;=25,W790&lt;55),0.23,0)+IF(AND(V790&gt;175,W790&gt;=55,W790&lt;95),0.17,0)+IF(AND(V790&gt;175,W790&gt;=95),0.12,0),
IF(AF790="DoEVLo",IF(AND(V790&lt;20,W790&lt;55),0.25,0)+IF(AND(V790&lt;20,W790&gt;=55,W790&lt;105),0.2,0)+IF(AND(V790&lt;20,W790&gt;=105),0.15,0)+IF(AND(V790&gt;=20,V790&lt;40,W790&lt;45),0.25,0)+IF(AND(V790&gt;=20,V790&lt;40,W790&gt;=45,W790&lt;95),0.2,0)+IF(AND(V790&gt;=20,V790&lt;40,W790&gt;=95),0.15,0)+IF(AND(V790&gt;=40,V790&lt;75,W790&lt;35),0.25,0)+IF(AND(V790&gt;=40,V790&lt;75,W790&gt;=35,W790&lt;75),0.2,0)+IF(AND(V790&gt;=40,V790&lt;75,W790&gt;=75,W790&lt;120),0.15,0)+IF(AND(V790&gt;=40,V790&lt;75,W790&gt;=120),0.1,0)+IF(AND(V790&gt;=75,V790&lt;175,W790&lt;35),0.25,0)+IF(AND(V790&gt;=75,V790&lt;=175,W790&gt;=35,W790&lt;65),0.2,0)+IF(AND(V790&gt;=75,V790&lt;=175,W790&gt;=65,W790&lt;110),0.15,0)+IF(AND(V790&gt;=75,V790&lt;=175,W790&gt;=110),0.1,0)+IF(AND(V790&gt;175,W790&lt;25),0.25,0)+IF(AND(V790&gt;175,W790&gt;=25,W790&lt;55),0.2,0)+IF(AND(V790&gt;175,W790&gt;=55,W790&lt;95),0.15,0)+IF(AND(V790&gt;175,W790&gt;=95),0.1,0))))))))))))))))))</f>
        <v>0.1125</v>
      </c>
      <c r="Y790" s="30">
        <f>IF(AG790="None",0,IF(AG790="Fix5",0.05, IF(AG790="Fix6.25",0.0625,IF(AG790="Fix3.75",0.0375,IF(AG790="Fix10",0.1,IF(AG790="Fix3",0.03,0))))))</f>
        <v>3.7499999999999999E-2</v>
      </c>
      <c r="Z790" s="35">
        <f>T790-AA790-AB790</f>
        <v>5069.6750000000002</v>
      </c>
      <c r="AA790" s="29">
        <f>IF(AD790="EUR",((T790-R790)*X790)*U790+(R790*X790),(T790*X790))</f>
        <v>773.32500000000005</v>
      </c>
      <c r="AB790" s="104">
        <v>1031</v>
      </c>
      <c r="AC790" s="37" t="b">
        <v>1</v>
      </c>
      <c r="AD790" s="37" t="s">
        <v>38</v>
      </c>
      <c r="AE790" s="37" t="s">
        <v>38</v>
      </c>
      <c r="AF790" s="37" t="str">
        <f t="array" ref="AF790">INDEX('Deal Info'!D:D, MATCH(A790,'Deal Info'!A:A, 0))</f>
        <v>Fix11.25</v>
      </c>
      <c r="AG790" s="38" t="str">
        <f t="array" ref="AG790">INDEX('Deal Info'!G:G, MATCH(A790,'Deal Info'!A:A, 0))</f>
        <v>Fix3.75</v>
      </c>
    </row>
    <row r="791" spans="1:33" ht="14.25" hidden="1" x14ac:dyDescent="0.2">
      <c r="A791" s="18" t="str">
        <f t="array" ref="A791">IF(G791='Room Info'!$B$1, INDEX('Room Info'!$A$2:$A2446, MATCH(B791,'Room Info'!$B$2:$B2446, 0)),IF(G791='Room Info'!$C$1, INDEX('Room Info'!$A$2:$A2446, MATCH(B791,'Room Info'!$C$2:$C2446, 0)),IF(G791='Room Info'!$D$1, INDEX('Room Info'!$A$2:$A2446, MATCH(B791,'Room Info'!$D$2:$D2446, 0)),IF(G791='Room Info'!$E$1, INDEX('Room Info'!$A$2:$A2446, MATCH(B791,'Room Info'!$E$2:$E2446, 0)),IF(G791='Room Info'!$F$1, INDEX('Room Info'!$A$2:$A2446, MATCH(B791,'Room Info'!$F$2:$F2446, 0)),IF(G791='Room Info'!$H$1, INDEX('Room Info'!$A$2:$A2446, MATCH(B791,'Room Info'!$H$2:$H2446, 0)),IF(G791='Room Info'!$G$1, INDEX('Room Info'!$A$2:$A2446, MATCH(B791,'Room Info'!$G$2:$G2446, 0)))))))))</f>
        <v>fig6</v>
      </c>
      <c r="B791" s="45" t="s">
        <v>172</v>
      </c>
      <c r="C791" s="46">
        <v>44825</v>
      </c>
      <c r="D791" s="46">
        <v>44854</v>
      </c>
      <c r="E791" s="47">
        <v>44835</v>
      </c>
      <c r="F791" s="48" t="s">
        <v>34</v>
      </c>
      <c r="G791" s="45" t="s">
        <v>35</v>
      </c>
      <c r="H791" s="49" t="s">
        <v>148</v>
      </c>
      <c r="I791" s="49" t="s">
        <v>44</v>
      </c>
      <c r="J791" s="50">
        <v>250</v>
      </c>
      <c r="K791" s="51">
        <v>32</v>
      </c>
      <c r="L791" s="52">
        <v>-3500</v>
      </c>
      <c r="M791" s="53">
        <v>286</v>
      </c>
      <c r="N791" s="28">
        <f>K791*J791</f>
        <v>8000</v>
      </c>
      <c r="O791" s="54">
        <v>-1729</v>
      </c>
      <c r="P791" s="29">
        <v>-54.03125</v>
      </c>
      <c r="Q791" s="55"/>
      <c r="R791" s="31">
        <f>M791+Q791</f>
        <v>286</v>
      </c>
      <c r="S791" s="56">
        <v>-1783</v>
      </c>
      <c r="T791" s="32">
        <f>R791+S791+IF(F791="Without EV deal",L791,0)</f>
        <v>-1497</v>
      </c>
      <c r="U791" s="57">
        <v>1</v>
      </c>
      <c r="V791" s="58"/>
      <c r="W791" s="58"/>
      <c r="X791" s="30">
        <f>IF(AF791="DoEV",IF(AND(V791&lt;20,W791&lt;55),0.3,0)+IF(AND(V791&lt;20,W791&gt;=55,W791&lt;105),0.23,0)+IF(AND(V791&lt;20,W791&gt;=105),0.17,0)+IF(AND(V791&gt;=20,V791&lt;40,W791&lt;45),0.3,0)+IF(AND(V791&gt;=20,V791&lt;40,W791&gt;=45,W791&lt;95),0.23,0)+IF(AND(V791&gt;=20,V791&lt;40,W791&gt;=95),0.17,0)+IF(AND(V791&gt;=40,V791&lt;75,W791&lt;35),0.3,0)+IF(AND(V791&gt;=40,V791&lt;75,W791&gt;=35,W791&lt;75),0.23,0)+IF(AND(V791&gt;=40,V791&lt;75,W791&gt;=75,W791&lt;120),0.17,0)+IF(AND(V791&gt;=40,V791&lt;75,W791&gt;=120),0.12,0)+IF(AND(V791&gt;=75,V791&lt;175,W791&lt;35),0.3,0)+IF(AND(V791&gt;=75,V791&lt;=175,W791&gt;=35,W791&lt;65),0.23,0)+IF(AND(V791&gt;=75,V791&lt;=175,W791&gt;=65,W791&lt;110),0.17,0)+IF(AND(V791&gt;=75,V791&lt;=175,W791&gt;=110),0.12,0)+IF(AND(V791&gt;175,W791&lt;25),0.3,0)+IF(AND(V791&gt;175,W791&gt;=25,W791&lt;55),0.23,0)+IF(AND(V791&gt;175,W791&gt;=55,W791&lt;95),0.17,0)+IF(AND(V791&gt;175,W791&gt;=95),0.12,0),
IF(AF791="Fix15",0.15,
IF(AF791="Fix18.75",0.1875,
IF(AF791="Fix11.25",0.1125,
IF(AF791="Fix10",0.1,
IF(AF791="Fix9",0.09,
IF(AF791="Fix19",0.19,
IF(AF791="DoEV2017",IF(AND(W791&lt;74),0.2,0)+IF(AND(W791&gt;=74),0.17,0),
IF(AF791="SF",IF(AND(V791&lt;20,W791&lt;89),0.3,0)+IF(AND(V791&lt;20,W791&gt;=89),0.25,0)+IF(AND(V791&gt;=20,V791&lt;40,W791&lt;74),0.3,0)+IF(AND(V791&gt;=20,V791&lt;40,W791&gt;=75),0.22,0)+IF(AND(V791&gt;=40,V791&lt;75,W791&lt;75),0.26,0)+IF(AND(V791&gt;=40,V791&lt;75,W791&gt;=75),0.22,0)+IF(V791&gt;=75,0.22,0),
IF(AF791="DoEVold",IF(AND(V791&lt;40,W791&lt;35),0.35,0)+IF(AND(V791&lt;40,W791&gt;=35,W791&lt;75),0.25,0)+IF(AND(V791&lt;40,W791&gt;=75),0.17,0)+IF(AND(V791&gt;=40,V791&lt;75,W791&lt;25),0.35,0)+IF(AND(V791&gt;=40,V791&lt;75,W791&gt;=25,W791&lt;65),0.25,0)+IF(AND(V791&gt;=40,V791&lt;75,W791&gt;=65,W791&lt;100),0.17,0)+IF(AND(V791&gt;=40,V791&lt;75,W791&gt;=100),0.1,0)+IF(AND(V791&gt;=75,W791&lt;25),0.35,0)+IF(AND(V791&gt;=75,W791&gt;=25,W791&lt;60),0.25,0)+IF(AND(V791&gt;=75,W791&gt;=60,W791&lt;95),0.17,0)+IF(AND(V791&gt;=75,W791&gt;=95),0.1,0),
IF(AF791="DoEVold15",IF(AND(V791&lt;=40,W791&lt;35),0.35,0)+IF(AND(V791&lt;=40,W791&gt;=35,W791&lt;75),0.25,0)+IF(AND(V791&lt;=40,W791&gt;=75,W791&lt;120),0.17,0)+IF(AND(V791&lt;=40,W791&gt;=120),0.15,0)+IF(AND(V791&gt;40,V791&lt;75,W791&lt;25),0.35,0)+IF(AND(V791&gt;=40,V791&lt;75,W791&gt;=25,W791&lt;65),0.25,0)+IF(AND(V791&gt;=40,V791&lt;75,W791&gt;=65,W791&lt;100),0.17,0)+IF(AND(V791&gt;=40,V791&lt;75,W791&gt;=100),0.1,0)+IF(AND(V791&gt;=75,W791&lt;25),0.35,0)+IF(AND(V791&gt;=75,W791&gt;=25,W791&lt;60),0.25,0)+IF(AND(V791&gt;=75,W791&gt;=60,W791&lt;95),0.17,0)+IF(AND(V791&gt;=75,W791&gt;=95),0.1,0),
IF(AF791="DoEVba",IF(AND(V791&lt;20,W791&lt;105),0.2,0)+IF(AND(V791&lt;20,W791&gt;=105),0.15,0)+IF(AND(V791&gt;=20,V791&lt;40,W791&lt;95),0.2,0)+IF(AND(V791&gt;=20,V791&lt;40,W791&gt;=95,W791&lt;150),0.15,0)+IF(AND(V791&gt;=20,V791&lt;40,W791&gt;=150),0.12,0)+IF(AND(V791&gt;=40,V791&lt;75,W791&lt;75),0.2,0)+IF(AND(V791&gt;=40,V791&lt;75,W791&gt;=75,W791&lt;120),0.15,0)+IF(AND(V791&gt;=40,V791&lt;75,W791&gt;=120),0.12,0)+IF(AND(V791&gt;=75,V791&lt;175,W791&lt;65),0.2,0)+IF(AND(V791&gt;=75,V791&lt;175,W791&gt;=65,W791&lt;110),0.15,0)+IF(AND(V791&gt;=75,V791&lt;175,W791&gt;=110),0.12,0)+IF(AND(V791&gt;=175,W791&lt;55),0.2,0)+IF(AND(V791&gt;=175,W791&gt;=55,W791&lt;95),0.15,0)+IF(AND(V791&gt;=175,W791&gt;=95),0.12,0),
IF(AF791="DoEVku",IF(AND(V791&lt;20,W791&lt;55),0.23,0)+IF(AND(V791&lt;20,W791&gt;=55,W791&lt;105),0.2,0)+IF(AND(V791&lt;20,W791&gt;=105),0.17,0)+IF(AND(V791&gt;=20,V791&lt;40,W791&lt;45),0.23,0)+IF(AND(V791&gt;=20,V791&lt;40,W791&gt;=45,W791&lt;95),0.2,0)+IF(AND(V791&gt;=20,V791&lt;40,W791&gt;=95,W791&lt;=150),0.17,0)+IF(AND(V791&gt;=20,V791&lt;40,W791&gt;=150),0.12,0)+IF(AND(V791&gt;=40,V791&lt;75,W791&lt;35),0.23,0)+IF(AND(V791&gt;=40,V791&lt;75,W791&gt;=35,W791&lt;75),0.2,0)+IF(AND(V791&gt;=40,V791&lt;75,W791&gt;=75,W791&lt;120),0.17,0)+IF(AND(V791&gt;=40,V791&lt;75,W791&gt;=120),0.12,0)+IF(AND(V791&gt;=75,V791&lt;175,W791&lt;35),0.23,0)+IF(AND(V791&gt;=75,V791&lt;=175,W791&gt;=35,W791&lt;65),0.2,0)+IF(AND(V791&gt;=75,V791&lt;=175,W791&gt;=65,W791&lt;110),0.17,0)+IF(AND(V791&gt;=75,V791&lt;=175,W791&gt;=110),0.12,0)+IF(AND(V791&gt;175,W791&lt;25),0.23,0)+IF(AND(V791&gt;175,W791&gt;=25,W791&lt;55),0.2,0)+IF(AND(V791&gt;175,W791&gt;=55,W791&lt;95),0.17,0)+IF(AND(V791&gt;175,W791&gt;=95),0.12,0),
IF(AF791="DoEVs1",IF(AND(V791&lt;20,W791&lt;55),0.3,0)+IF(AND(V791&lt;20,W791&gt;=55,W791&lt;105),0.23,0)+IF(AND(V791&lt;20,W791&gt;=105),0.17,0)+IF(AND(V791&gt;=20,V791&lt;40,W791&lt;45),0.3,0)+IF(AND(V791&gt;=20,V791&lt;40,W791&gt;=45,W791&lt;95),0.23,0)+IF(AND(V791&gt;=20,V791&lt;40,W791&gt;=95,W791&lt;=150),0.17,0)+IF(AND(V791&gt;=20,V791&lt;40,W791&gt;=150),0.12,0)+IF(AND(V791&gt;=40,V791&lt;75,W791&lt;35),0.3,0)+IF(AND(V791&gt;=40,V791&lt;75,W791&gt;=35,W791&lt;75),0.23,0)+IF(AND(V791&gt;=40,V791&lt;75,W791&gt;=75,W791&lt;120),0.17,0)+IF(AND(V791&gt;=40,V791&lt;75,W791&gt;=120),0.12,0)+IF(AND(V791&gt;=75,V791&lt;175,W791&lt;35),0.3,0)+IF(AND(V791&gt;=75,V791&lt;=175,W791&gt;=35,W791&lt;65),0.23,0)+IF(AND(V791&gt;=75,V791&lt;=175,W791&gt;=65,W791&lt;110),0.17,0)+IF(AND(V791&gt;=75,V791&lt;=175,W791&gt;=110),0.12,0)+IF(AND(V791&gt;175,W791&lt;25),0.3,0)+IF(AND(V791&gt;175,W791&gt;=25,W791&lt;55),0.23,0)+IF(AND(V791&gt;175,W791&gt;=55,W791&lt;95),0.17,0)+IF(AND(V791&gt;175,W791&gt;=95),0.12,0),
IF(AF791="DoEVsu",IF(AND(V791&lt;20,W791&lt;55),0.3,0)+IF(AND(V791&lt;20,W791&gt;=55,W791&lt;105),0.23,0)+IF(AND(V791&lt;20,W791&gt;=105),0.17,0)+IF(AND(V791&gt;=20,V791&lt;40,W791&lt;45),0.3,0)+IF(AND(V791&gt;=20,V791&lt;40,W791&gt;=45,W791&lt;95),0.23,0)+IF(AND(V791&gt;=20,V791&lt;40,W791&gt;=95,W791&lt;=250),0.17,0)+IF(AND(V791&gt;=20,V791&lt;40,W791&gt;=250),0.12,0)+IF(AND(V791&gt;=40,V791&lt;75,W791&lt;35),0.3,0)+IF(AND(V791&gt;=40,V791&lt;75,W791&gt;=35,W791&lt;75),0.23,0)+IF(AND(V791&gt;=40,V791&lt;75,W791&gt;=75,W791&lt;120),0.17,0)+IF(AND(V791&gt;=40,V791&lt;75,W791&gt;=120),0.12,0)+IF(AND(V791&gt;=75,V791&lt;175,W791&lt;35),0.3,0)+IF(AND(V791&gt;=75,V791&lt;=175,W791&gt;=35,W791&lt;65),0.23,0)+IF(AND(V791&gt;=75,V791&lt;=175,W791&gt;=65,W791&lt;110),0.17,0)+IF(AND(V791&gt;=75,V791&lt;=175,W791&gt;=110),0.12,0)+IF(AND(V791&gt;175,W791&lt;25),0.3,0)+IF(AND(V791&gt;175,W791&gt;=25,W791&lt;55),0.23,0)+IF(AND(V791&gt;175,W791&gt;=55,W791&lt;95),0.17,0)+IF(AND(V791&gt;175,W791&gt;=95),0.12,0),
IF(AF791="DoEVni",IF(AND(V791&lt;20,W791&lt;55),0.3,0)+IF(AND(V791&lt;20,W791&gt;=55,W791&lt;105),0.23,0)+IF(AND(V791&lt;20,W791&gt;=105),0.17,0)+IF(AND(V791&gt;=20,V791&lt;40,W791&lt;45),0.3,0)+IF(AND(V791&gt;=20,V791&lt;40,W791&gt;=45,W791&lt;95),0.23,0)+IF(AND(V791&gt;=20,V791&lt;40,W791&gt;=95,W791&lt;=200),0.17,0)+IF(AND(V791&gt;=20,V791&lt;40,W791&gt;=200),0.12,0)+IF(AND(V791&gt;=40,V791&lt;75,W791&lt;35),0.3,0)+IF(AND(V791&gt;=40,V791&lt;75,W791&gt;=35,W791&lt;75),0.23,0)+IF(AND(V791&gt;=40,V791&lt;75,W791&gt;=75,W791&lt;120),0.17,0)+IF(AND(V791&gt;=40,V791&lt;75,W791&gt;=120),0.12,0)+IF(AND(V791&gt;=75,V791&lt;175,W791&lt;35),0.3,0)+IF(AND(V791&gt;=75,V791&lt;=175,W791&gt;=35,W791&lt;65),0.23,0)+IF(AND(V791&gt;=75,V791&lt;=175,W791&gt;=65,W791&lt;110),0.17,0)+IF(AND(V791&gt;=75,V791&lt;=175,W791&gt;=110),0.12,0)+IF(AND(V791&gt;175,W791&lt;25),0.3,0)+IF(AND(V791&gt;175,W791&gt;=25,W791&lt;55),0.23,0)+IF(AND(V791&gt;175,W791&gt;=55,W791&lt;95),0.17,0)+IF(AND(V791&gt;175,W791&gt;=95),0.12,0),
IF(AF791="DoEVLo",IF(AND(V791&lt;20,W791&lt;55),0.25,0)+IF(AND(V791&lt;20,W791&gt;=55,W791&lt;105),0.2,0)+IF(AND(V791&lt;20,W791&gt;=105),0.15,0)+IF(AND(V791&gt;=20,V791&lt;40,W791&lt;45),0.25,0)+IF(AND(V791&gt;=20,V791&lt;40,W791&gt;=45,W791&lt;95),0.2,0)+IF(AND(V791&gt;=20,V791&lt;40,W791&gt;=95),0.15,0)+IF(AND(V791&gt;=40,V791&lt;75,W791&lt;35),0.25,0)+IF(AND(V791&gt;=40,V791&lt;75,W791&gt;=35,W791&lt;75),0.2,0)+IF(AND(V791&gt;=40,V791&lt;75,W791&gt;=75,W791&lt;120),0.15,0)+IF(AND(V791&gt;=40,V791&lt;75,W791&gt;=120),0.1,0)+IF(AND(V791&gt;=75,V791&lt;175,W791&lt;35),0.25,0)+IF(AND(V791&gt;=75,V791&lt;=175,W791&gt;=35,W791&lt;65),0.2,0)+IF(AND(V791&gt;=75,V791&lt;=175,W791&gt;=65,W791&lt;110),0.15,0)+IF(AND(V791&gt;=75,V791&lt;=175,W791&gt;=110),0.1,0)+IF(AND(V791&gt;175,W791&lt;25),0.25,0)+IF(AND(V791&gt;175,W791&gt;=25,W791&lt;55),0.2,0)+IF(AND(V791&gt;175,W791&gt;=55,W791&lt;95),0.15,0)+IF(AND(V791&gt;175,W791&gt;=95),0.1,0))))))))))))))))))</f>
        <v>0.1125</v>
      </c>
      <c r="Y791" s="30">
        <f>IF(AG791="None",0,IF(AG791="Fix5",0.05, IF(AG791="Fix6.25",0.0625,IF(AG791="Fix3.75",0.0375,IF(AG791="Fix10",0.1,IF(AG791="Fix3",0.03,0))))))</f>
        <v>3.7499999999999999E-2</v>
      </c>
      <c r="Z791" s="35">
        <f>T791-AA791-AB791</f>
        <v>-1103.5875000000001</v>
      </c>
      <c r="AA791" s="29">
        <f>IF(AD791="EUR",((T791-R791)*X791)*U791+(R791*X791),(T791*X791))</f>
        <v>-168.41249999999999</v>
      </c>
      <c r="AB791" s="104">
        <v>-225</v>
      </c>
      <c r="AC791" s="37" t="b">
        <v>1</v>
      </c>
      <c r="AD791" s="37" t="s">
        <v>38</v>
      </c>
      <c r="AE791" s="37" t="s">
        <v>38</v>
      </c>
      <c r="AF791" s="37" t="str">
        <f t="array" ref="AF791">INDEX('Deal Info'!D:D, MATCH(A791,'Deal Info'!A:A, 0))</f>
        <v>Fix11.25</v>
      </c>
      <c r="AG791" s="38" t="str">
        <f t="array" ref="AG791">INDEX('Deal Info'!G:G, MATCH(A791,'Deal Info'!A:A, 0))</f>
        <v>Fix3.75</v>
      </c>
    </row>
    <row r="792" spans="1:33" ht="14.25" hidden="1" x14ac:dyDescent="0.2">
      <c r="A792" s="18" t="str">
        <f t="array" ref="A792">IF(G792='Room Info'!$B$1, INDEX('Room Info'!$A$2:$A2446, MATCH(B792,'Room Info'!$B$2:$B2446, 0)),IF(G792='Room Info'!$C$1, INDEX('Room Info'!$A$2:$A2446, MATCH(B792,'Room Info'!$C$2:$C2446, 0)),IF(G792='Room Info'!$D$1, INDEX('Room Info'!$A$2:$A2446, MATCH(B792,'Room Info'!$D$2:$D2446, 0)),IF(G792='Room Info'!$E$1, INDEX('Room Info'!$A$2:$A2446, MATCH(B792,'Room Info'!$E$2:$E2446, 0)),IF(G792='Room Info'!$F$1, INDEX('Room Info'!$A$2:$A2446, MATCH(B792,'Room Info'!$F$2:$F2446, 0)),IF(G792='Room Info'!$H$1, INDEX('Room Info'!$A$2:$A2446, MATCH(B792,'Room Info'!$H$2:$H2446, 0)),IF(G792='Room Info'!$G$1, INDEX('Room Info'!$A$2:$A2446, MATCH(B792,'Room Info'!$G$2:$G2446, 0)))))))))</f>
        <v>fig6</v>
      </c>
      <c r="B792" s="45" t="s">
        <v>172</v>
      </c>
      <c r="C792" s="46">
        <v>44855</v>
      </c>
      <c r="D792" s="46">
        <v>44885</v>
      </c>
      <c r="E792" s="47">
        <v>44866</v>
      </c>
      <c r="F792" s="48" t="s">
        <v>34</v>
      </c>
      <c r="G792" s="45" t="s">
        <v>35</v>
      </c>
      <c r="H792" s="49" t="s">
        <v>72</v>
      </c>
      <c r="I792" s="49" t="s">
        <v>37</v>
      </c>
      <c r="J792" s="50">
        <v>50</v>
      </c>
      <c r="K792" s="51">
        <v>769</v>
      </c>
      <c r="L792" s="52">
        <v>-1900</v>
      </c>
      <c r="M792" s="53">
        <v>1731</v>
      </c>
      <c r="N792" s="28">
        <f>K792*J792</f>
        <v>38450</v>
      </c>
      <c r="O792" s="54">
        <v>13128</v>
      </c>
      <c r="P792" s="29">
        <v>17.07152146</v>
      </c>
      <c r="Q792" s="55"/>
      <c r="R792" s="31">
        <f>M792+Q792</f>
        <v>1731</v>
      </c>
      <c r="S792" s="56">
        <v>-1299</v>
      </c>
      <c r="T792" s="32">
        <f>R792+S792+IF(F792="Without EV deal",L792,0)</f>
        <v>432</v>
      </c>
      <c r="U792" s="57">
        <v>1</v>
      </c>
      <c r="V792" s="58"/>
      <c r="W792" s="58"/>
      <c r="X792" s="30">
        <f>IF(AF792="DoEV",IF(AND(V792&lt;20,W792&lt;55),0.3,0)+IF(AND(V792&lt;20,W792&gt;=55,W792&lt;105),0.23,0)+IF(AND(V792&lt;20,W792&gt;=105),0.17,0)+IF(AND(V792&gt;=20,V792&lt;40,W792&lt;45),0.3,0)+IF(AND(V792&gt;=20,V792&lt;40,W792&gt;=45,W792&lt;95),0.23,0)+IF(AND(V792&gt;=20,V792&lt;40,W792&gt;=95),0.17,0)+IF(AND(V792&gt;=40,V792&lt;75,W792&lt;35),0.3,0)+IF(AND(V792&gt;=40,V792&lt;75,W792&gt;=35,W792&lt;75),0.23,0)+IF(AND(V792&gt;=40,V792&lt;75,W792&gt;=75,W792&lt;120),0.17,0)+IF(AND(V792&gt;=40,V792&lt;75,W792&gt;=120),0.12,0)+IF(AND(V792&gt;=75,V792&lt;175,W792&lt;35),0.3,0)+IF(AND(V792&gt;=75,V792&lt;=175,W792&gt;=35,W792&lt;65),0.23,0)+IF(AND(V792&gt;=75,V792&lt;=175,W792&gt;=65,W792&lt;110),0.17,0)+IF(AND(V792&gt;=75,V792&lt;=175,W792&gt;=110),0.12,0)+IF(AND(V792&gt;175,W792&lt;25),0.3,0)+IF(AND(V792&gt;175,W792&gt;=25,W792&lt;55),0.23,0)+IF(AND(V792&gt;175,W792&gt;=55,W792&lt;95),0.17,0)+IF(AND(V792&gt;175,W792&gt;=95),0.12,0),
IF(AF792="Fix15",0.15,
IF(AF792="Fix18.75",0.1875,
IF(AF792="Fix11.25",0.1125,
IF(AF792="Fix10",0.1,
IF(AF792="Fix9",0.09,
IF(AF792="Fix19",0.19,
IF(AF792="DoEV2017",IF(AND(W792&lt;74),0.2,0)+IF(AND(W792&gt;=74),0.17,0),
IF(AF792="SF",IF(AND(V792&lt;20,W792&lt;89),0.3,0)+IF(AND(V792&lt;20,W792&gt;=89),0.25,0)+IF(AND(V792&gt;=20,V792&lt;40,W792&lt;74),0.3,0)+IF(AND(V792&gt;=20,V792&lt;40,W792&gt;=75),0.22,0)+IF(AND(V792&gt;=40,V792&lt;75,W792&lt;75),0.26,0)+IF(AND(V792&gt;=40,V792&lt;75,W792&gt;=75),0.22,0)+IF(V792&gt;=75,0.22,0),
IF(AF792="DoEVold",IF(AND(V792&lt;40,W792&lt;35),0.35,0)+IF(AND(V792&lt;40,W792&gt;=35,W792&lt;75),0.25,0)+IF(AND(V792&lt;40,W792&gt;=75),0.17,0)+IF(AND(V792&gt;=40,V792&lt;75,W792&lt;25),0.35,0)+IF(AND(V792&gt;=40,V792&lt;75,W792&gt;=25,W792&lt;65),0.25,0)+IF(AND(V792&gt;=40,V792&lt;75,W792&gt;=65,W792&lt;100),0.17,0)+IF(AND(V792&gt;=40,V792&lt;75,W792&gt;=100),0.1,0)+IF(AND(V792&gt;=75,W792&lt;25),0.35,0)+IF(AND(V792&gt;=75,W792&gt;=25,W792&lt;60),0.25,0)+IF(AND(V792&gt;=75,W792&gt;=60,W792&lt;95),0.17,0)+IF(AND(V792&gt;=75,W792&gt;=95),0.1,0),
IF(AF792="DoEVold15",IF(AND(V792&lt;=40,W792&lt;35),0.35,0)+IF(AND(V792&lt;=40,W792&gt;=35,W792&lt;75),0.25,0)+IF(AND(V792&lt;=40,W792&gt;=75,W792&lt;120),0.17,0)+IF(AND(V792&lt;=40,W792&gt;=120),0.15,0)+IF(AND(V792&gt;40,V792&lt;75,W792&lt;25),0.35,0)+IF(AND(V792&gt;=40,V792&lt;75,W792&gt;=25,W792&lt;65),0.25,0)+IF(AND(V792&gt;=40,V792&lt;75,W792&gt;=65,W792&lt;100),0.17,0)+IF(AND(V792&gt;=40,V792&lt;75,W792&gt;=100),0.1,0)+IF(AND(V792&gt;=75,W792&lt;25),0.35,0)+IF(AND(V792&gt;=75,W792&gt;=25,W792&lt;60),0.25,0)+IF(AND(V792&gt;=75,W792&gt;=60,W792&lt;95),0.17,0)+IF(AND(V792&gt;=75,W792&gt;=95),0.1,0),
IF(AF792="DoEVba",IF(AND(V792&lt;20,W792&lt;105),0.2,0)+IF(AND(V792&lt;20,W792&gt;=105),0.15,0)+IF(AND(V792&gt;=20,V792&lt;40,W792&lt;95),0.2,0)+IF(AND(V792&gt;=20,V792&lt;40,W792&gt;=95,W792&lt;150),0.15,0)+IF(AND(V792&gt;=20,V792&lt;40,W792&gt;=150),0.12,0)+IF(AND(V792&gt;=40,V792&lt;75,W792&lt;75),0.2,0)+IF(AND(V792&gt;=40,V792&lt;75,W792&gt;=75,W792&lt;120),0.15,0)+IF(AND(V792&gt;=40,V792&lt;75,W792&gt;=120),0.12,0)+IF(AND(V792&gt;=75,V792&lt;175,W792&lt;65),0.2,0)+IF(AND(V792&gt;=75,V792&lt;175,W792&gt;=65,W792&lt;110),0.15,0)+IF(AND(V792&gt;=75,V792&lt;175,W792&gt;=110),0.12,0)+IF(AND(V792&gt;=175,W792&lt;55),0.2,0)+IF(AND(V792&gt;=175,W792&gt;=55,W792&lt;95),0.15,0)+IF(AND(V792&gt;=175,W792&gt;=95),0.12,0),
IF(AF792="DoEVku",IF(AND(V792&lt;20,W792&lt;55),0.23,0)+IF(AND(V792&lt;20,W792&gt;=55,W792&lt;105),0.2,0)+IF(AND(V792&lt;20,W792&gt;=105),0.17,0)+IF(AND(V792&gt;=20,V792&lt;40,W792&lt;45),0.23,0)+IF(AND(V792&gt;=20,V792&lt;40,W792&gt;=45,W792&lt;95),0.2,0)+IF(AND(V792&gt;=20,V792&lt;40,W792&gt;=95,W792&lt;=150),0.17,0)+IF(AND(V792&gt;=20,V792&lt;40,W792&gt;=150),0.12,0)+IF(AND(V792&gt;=40,V792&lt;75,W792&lt;35),0.23,0)+IF(AND(V792&gt;=40,V792&lt;75,W792&gt;=35,W792&lt;75),0.2,0)+IF(AND(V792&gt;=40,V792&lt;75,W792&gt;=75,W792&lt;120),0.17,0)+IF(AND(V792&gt;=40,V792&lt;75,W792&gt;=120),0.12,0)+IF(AND(V792&gt;=75,V792&lt;175,W792&lt;35),0.23,0)+IF(AND(V792&gt;=75,V792&lt;=175,W792&gt;=35,W792&lt;65),0.2,0)+IF(AND(V792&gt;=75,V792&lt;=175,W792&gt;=65,W792&lt;110),0.17,0)+IF(AND(V792&gt;=75,V792&lt;=175,W792&gt;=110),0.12,0)+IF(AND(V792&gt;175,W792&lt;25),0.23,0)+IF(AND(V792&gt;175,W792&gt;=25,W792&lt;55),0.2,0)+IF(AND(V792&gt;175,W792&gt;=55,W792&lt;95),0.17,0)+IF(AND(V792&gt;175,W792&gt;=95),0.12,0),
IF(AF792="DoEVs1",IF(AND(V792&lt;20,W792&lt;55),0.3,0)+IF(AND(V792&lt;20,W792&gt;=55,W792&lt;105),0.23,0)+IF(AND(V792&lt;20,W792&gt;=105),0.17,0)+IF(AND(V792&gt;=20,V792&lt;40,W792&lt;45),0.3,0)+IF(AND(V792&gt;=20,V792&lt;40,W792&gt;=45,W792&lt;95),0.23,0)+IF(AND(V792&gt;=20,V792&lt;40,W792&gt;=95,W792&lt;=150),0.17,0)+IF(AND(V792&gt;=20,V792&lt;40,W792&gt;=150),0.12,0)+IF(AND(V792&gt;=40,V792&lt;75,W792&lt;35),0.3,0)+IF(AND(V792&gt;=40,V792&lt;75,W792&gt;=35,W792&lt;75),0.23,0)+IF(AND(V792&gt;=40,V792&lt;75,W792&gt;=75,W792&lt;120),0.17,0)+IF(AND(V792&gt;=40,V792&lt;75,W792&gt;=120),0.12,0)+IF(AND(V792&gt;=75,V792&lt;175,W792&lt;35),0.3,0)+IF(AND(V792&gt;=75,V792&lt;=175,W792&gt;=35,W792&lt;65),0.23,0)+IF(AND(V792&gt;=75,V792&lt;=175,W792&gt;=65,W792&lt;110),0.17,0)+IF(AND(V792&gt;=75,V792&lt;=175,W792&gt;=110),0.12,0)+IF(AND(V792&gt;175,W792&lt;25),0.3,0)+IF(AND(V792&gt;175,W792&gt;=25,W792&lt;55),0.23,0)+IF(AND(V792&gt;175,W792&gt;=55,W792&lt;95),0.17,0)+IF(AND(V792&gt;175,W792&gt;=95),0.12,0),
IF(AF792="DoEVsu",IF(AND(V792&lt;20,W792&lt;55),0.3,0)+IF(AND(V792&lt;20,W792&gt;=55,W792&lt;105),0.23,0)+IF(AND(V792&lt;20,W792&gt;=105),0.17,0)+IF(AND(V792&gt;=20,V792&lt;40,W792&lt;45),0.3,0)+IF(AND(V792&gt;=20,V792&lt;40,W792&gt;=45,W792&lt;95),0.23,0)+IF(AND(V792&gt;=20,V792&lt;40,W792&gt;=95,W792&lt;=250),0.17,0)+IF(AND(V792&gt;=20,V792&lt;40,W792&gt;=250),0.12,0)+IF(AND(V792&gt;=40,V792&lt;75,W792&lt;35),0.3,0)+IF(AND(V792&gt;=40,V792&lt;75,W792&gt;=35,W792&lt;75),0.23,0)+IF(AND(V792&gt;=40,V792&lt;75,W792&gt;=75,W792&lt;120),0.17,0)+IF(AND(V792&gt;=40,V792&lt;75,W792&gt;=120),0.12,0)+IF(AND(V792&gt;=75,V792&lt;175,W792&lt;35),0.3,0)+IF(AND(V792&gt;=75,V792&lt;=175,W792&gt;=35,W792&lt;65),0.23,0)+IF(AND(V792&gt;=75,V792&lt;=175,W792&gt;=65,W792&lt;110),0.17,0)+IF(AND(V792&gt;=75,V792&lt;=175,W792&gt;=110),0.12,0)+IF(AND(V792&gt;175,W792&lt;25),0.3,0)+IF(AND(V792&gt;175,W792&gt;=25,W792&lt;55),0.23,0)+IF(AND(V792&gt;175,W792&gt;=55,W792&lt;95),0.17,0)+IF(AND(V792&gt;175,W792&gt;=95),0.12,0),
IF(AF792="DoEVni",IF(AND(V792&lt;20,W792&lt;55),0.3,0)+IF(AND(V792&lt;20,W792&gt;=55,W792&lt;105),0.23,0)+IF(AND(V792&lt;20,W792&gt;=105),0.17,0)+IF(AND(V792&gt;=20,V792&lt;40,W792&lt;45),0.3,0)+IF(AND(V792&gt;=20,V792&lt;40,W792&gt;=45,W792&lt;95),0.23,0)+IF(AND(V792&gt;=20,V792&lt;40,W792&gt;=95,W792&lt;=200),0.17,0)+IF(AND(V792&gt;=20,V792&lt;40,W792&gt;=200),0.12,0)+IF(AND(V792&gt;=40,V792&lt;75,W792&lt;35),0.3,0)+IF(AND(V792&gt;=40,V792&lt;75,W792&gt;=35,W792&lt;75),0.23,0)+IF(AND(V792&gt;=40,V792&lt;75,W792&gt;=75,W792&lt;120),0.17,0)+IF(AND(V792&gt;=40,V792&lt;75,W792&gt;=120),0.12,0)+IF(AND(V792&gt;=75,V792&lt;175,W792&lt;35),0.3,0)+IF(AND(V792&gt;=75,V792&lt;=175,W792&gt;=35,W792&lt;65),0.23,0)+IF(AND(V792&gt;=75,V792&lt;=175,W792&gt;=65,W792&lt;110),0.17,0)+IF(AND(V792&gt;=75,V792&lt;=175,W792&gt;=110),0.12,0)+IF(AND(V792&gt;175,W792&lt;25),0.3,0)+IF(AND(V792&gt;175,W792&gt;=25,W792&lt;55),0.23,0)+IF(AND(V792&gt;175,W792&gt;=55,W792&lt;95),0.17,0)+IF(AND(V792&gt;175,W792&gt;=95),0.12,0),
IF(AF792="DoEVLo",IF(AND(V792&lt;20,W792&lt;55),0.25,0)+IF(AND(V792&lt;20,W792&gt;=55,W792&lt;105),0.2,0)+IF(AND(V792&lt;20,W792&gt;=105),0.15,0)+IF(AND(V792&gt;=20,V792&lt;40,W792&lt;45),0.25,0)+IF(AND(V792&gt;=20,V792&lt;40,W792&gt;=45,W792&lt;95),0.2,0)+IF(AND(V792&gt;=20,V792&lt;40,W792&gt;=95),0.15,0)+IF(AND(V792&gt;=40,V792&lt;75,W792&lt;35),0.25,0)+IF(AND(V792&gt;=40,V792&lt;75,W792&gt;=35,W792&lt;75),0.2,0)+IF(AND(V792&gt;=40,V792&lt;75,W792&gt;=75,W792&lt;120),0.15,0)+IF(AND(V792&gt;=40,V792&lt;75,W792&gt;=120),0.1,0)+IF(AND(V792&gt;=75,V792&lt;175,W792&lt;35),0.25,0)+IF(AND(V792&gt;=75,V792&lt;=175,W792&gt;=35,W792&lt;65),0.2,0)+IF(AND(V792&gt;=75,V792&lt;=175,W792&gt;=65,W792&lt;110),0.15,0)+IF(AND(V792&gt;=75,V792&lt;=175,W792&gt;=110),0.1,0)+IF(AND(V792&gt;175,W792&lt;25),0.25,0)+IF(AND(V792&gt;175,W792&gt;=25,W792&lt;55),0.2,0)+IF(AND(V792&gt;175,W792&gt;=55,W792&lt;95),0.15,0)+IF(AND(V792&gt;175,W792&gt;=95),0.1,0))))))))))))))))))</f>
        <v>0.1125</v>
      </c>
      <c r="Y792" s="30">
        <f>IF(AG792="None",0,IF(AG792="Fix5",0.05, IF(AG792="Fix6.25",0.0625,IF(AG792="Fix3.75",0.0375,IF(AG792="Fix10",0.1,IF(AG792="Fix3",0.03,0))))))</f>
        <v>3.7499999999999999E-2</v>
      </c>
      <c r="Z792" s="35">
        <f>T792-AA792-AB792</f>
        <v>318.39999999999998</v>
      </c>
      <c r="AA792" s="29">
        <f>IF(AD792="EUR",((T792-R792)*X792)*U792+(R792*X792),(T792*X792))</f>
        <v>48.6</v>
      </c>
      <c r="AB792" s="104">
        <v>65</v>
      </c>
      <c r="AC792" s="37" t="b">
        <v>1</v>
      </c>
      <c r="AD792" s="37" t="s">
        <v>38</v>
      </c>
      <c r="AE792" s="37" t="s">
        <v>38</v>
      </c>
      <c r="AF792" s="37" t="str">
        <f t="array" ref="AF792">INDEX('Deal Info'!D:D, MATCH(A792,'Deal Info'!A:A, 0))</f>
        <v>Fix11.25</v>
      </c>
      <c r="AG792" s="38" t="str">
        <f t="array" ref="AG792">INDEX('Deal Info'!G:G, MATCH(A792,'Deal Info'!A:A, 0))</f>
        <v>Fix3.75</v>
      </c>
    </row>
    <row r="793" spans="1:33" ht="14.25" hidden="1" x14ac:dyDescent="0.2">
      <c r="A793" s="18" t="str">
        <f t="array" ref="A793">IF(G793='Room Info'!$B$1, INDEX('Room Info'!$A$2:$A2446, MATCH(B793,'Room Info'!$B$2:$B2446, 0)),IF(G793='Room Info'!$C$1, INDEX('Room Info'!$A$2:$A2446, MATCH(B793,'Room Info'!$C$2:$C2446, 0)),IF(G793='Room Info'!$D$1, INDEX('Room Info'!$A$2:$A2446, MATCH(B793,'Room Info'!$D$2:$D2446, 0)),IF(G793='Room Info'!$E$1, INDEX('Room Info'!$A$2:$A2446, MATCH(B793,'Room Info'!$E$2:$E2446, 0)),IF(G793='Room Info'!$F$1, INDEX('Room Info'!$A$2:$A2446, MATCH(B793,'Room Info'!$F$2:$F2446, 0)),IF(G793='Room Info'!$H$1, INDEX('Room Info'!$A$2:$A2446, MATCH(B793,'Room Info'!$H$2:$H2446, 0)),IF(G793='Room Info'!$G$1, INDEX('Room Info'!$A$2:$A2446, MATCH(B793,'Room Info'!$G$2:$G2446, 0)))))))))</f>
        <v>fig6</v>
      </c>
      <c r="B793" s="45" t="s">
        <v>172</v>
      </c>
      <c r="C793" s="46">
        <v>44855</v>
      </c>
      <c r="D793" s="46">
        <v>44885</v>
      </c>
      <c r="E793" s="47">
        <v>44866</v>
      </c>
      <c r="F793" s="48" t="s">
        <v>34</v>
      </c>
      <c r="G793" s="45" t="s">
        <v>35</v>
      </c>
      <c r="H793" s="49" t="s">
        <v>85</v>
      </c>
      <c r="I793" s="49" t="s">
        <v>44</v>
      </c>
      <c r="J793" s="50">
        <v>50</v>
      </c>
      <c r="K793" s="51">
        <v>57</v>
      </c>
      <c r="L793" s="52">
        <v>100</v>
      </c>
      <c r="M793" s="53">
        <v>128</v>
      </c>
      <c r="N793" s="28">
        <f>K793*J793</f>
        <v>2850</v>
      </c>
      <c r="O793" s="54">
        <v>2792</v>
      </c>
      <c r="P793" s="29">
        <v>48.982456139999996</v>
      </c>
      <c r="Q793" s="55"/>
      <c r="R793" s="31">
        <f>M793+Q793</f>
        <v>128</v>
      </c>
      <c r="S793" s="56">
        <v>245</v>
      </c>
      <c r="T793" s="32">
        <f>R793+S793+IF(F793="Without EV deal",L793,0)</f>
        <v>373</v>
      </c>
      <c r="U793" s="57">
        <v>1</v>
      </c>
      <c r="V793" s="58"/>
      <c r="W793" s="58"/>
      <c r="X793" s="30">
        <f>IF(AF793="DoEV",IF(AND(V793&lt;20,W793&lt;55),0.3,0)+IF(AND(V793&lt;20,W793&gt;=55,W793&lt;105),0.23,0)+IF(AND(V793&lt;20,W793&gt;=105),0.17,0)+IF(AND(V793&gt;=20,V793&lt;40,W793&lt;45),0.3,0)+IF(AND(V793&gt;=20,V793&lt;40,W793&gt;=45,W793&lt;95),0.23,0)+IF(AND(V793&gt;=20,V793&lt;40,W793&gt;=95),0.17,0)+IF(AND(V793&gt;=40,V793&lt;75,W793&lt;35),0.3,0)+IF(AND(V793&gt;=40,V793&lt;75,W793&gt;=35,W793&lt;75),0.23,0)+IF(AND(V793&gt;=40,V793&lt;75,W793&gt;=75,W793&lt;120),0.17,0)+IF(AND(V793&gt;=40,V793&lt;75,W793&gt;=120),0.12,0)+IF(AND(V793&gt;=75,V793&lt;175,W793&lt;35),0.3,0)+IF(AND(V793&gt;=75,V793&lt;=175,W793&gt;=35,W793&lt;65),0.23,0)+IF(AND(V793&gt;=75,V793&lt;=175,W793&gt;=65,W793&lt;110),0.17,0)+IF(AND(V793&gt;=75,V793&lt;=175,W793&gt;=110),0.12,0)+IF(AND(V793&gt;175,W793&lt;25),0.3,0)+IF(AND(V793&gt;175,W793&gt;=25,W793&lt;55),0.23,0)+IF(AND(V793&gt;175,W793&gt;=55,W793&lt;95),0.17,0)+IF(AND(V793&gt;175,W793&gt;=95),0.12,0),
IF(AF793="Fix15",0.15,
IF(AF793="Fix18.75",0.1875,
IF(AF793="Fix11.25",0.1125,
IF(AF793="Fix10",0.1,
IF(AF793="Fix9",0.09,
IF(AF793="Fix19",0.19,
IF(AF793="DoEV2017",IF(AND(W793&lt;74),0.2,0)+IF(AND(W793&gt;=74),0.17,0),
IF(AF793="SF",IF(AND(V793&lt;20,W793&lt;89),0.3,0)+IF(AND(V793&lt;20,W793&gt;=89),0.25,0)+IF(AND(V793&gt;=20,V793&lt;40,W793&lt;74),0.3,0)+IF(AND(V793&gt;=20,V793&lt;40,W793&gt;=75),0.22,0)+IF(AND(V793&gt;=40,V793&lt;75,W793&lt;75),0.26,0)+IF(AND(V793&gt;=40,V793&lt;75,W793&gt;=75),0.22,0)+IF(V793&gt;=75,0.22,0),
IF(AF793="DoEVold",IF(AND(V793&lt;40,W793&lt;35),0.35,0)+IF(AND(V793&lt;40,W793&gt;=35,W793&lt;75),0.25,0)+IF(AND(V793&lt;40,W793&gt;=75),0.17,0)+IF(AND(V793&gt;=40,V793&lt;75,W793&lt;25),0.35,0)+IF(AND(V793&gt;=40,V793&lt;75,W793&gt;=25,W793&lt;65),0.25,0)+IF(AND(V793&gt;=40,V793&lt;75,W793&gt;=65,W793&lt;100),0.17,0)+IF(AND(V793&gt;=40,V793&lt;75,W793&gt;=100),0.1,0)+IF(AND(V793&gt;=75,W793&lt;25),0.35,0)+IF(AND(V793&gt;=75,W793&gt;=25,W793&lt;60),0.25,0)+IF(AND(V793&gt;=75,W793&gt;=60,W793&lt;95),0.17,0)+IF(AND(V793&gt;=75,W793&gt;=95),0.1,0),
IF(AF793="DoEVold15",IF(AND(V793&lt;=40,W793&lt;35),0.35,0)+IF(AND(V793&lt;=40,W793&gt;=35,W793&lt;75),0.25,0)+IF(AND(V793&lt;=40,W793&gt;=75,W793&lt;120),0.17,0)+IF(AND(V793&lt;=40,W793&gt;=120),0.15,0)+IF(AND(V793&gt;40,V793&lt;75,W793&lt;25),0.35,0)+IF(AND(V793&gt;=40,V793&lt;75,W793&gt;=25,W793&lt;65),0.25,0)+IF(AND(V793&gt;=40,V793&lt;75,W793&gt;=65,W793&lt;100),0.17,0)+IF(AND(V793&gt;=40,V793&lt;75,W793&gt;=100),0.1,0)+IF(AND(V793&gt;=75,W793&lt;25),0.35,0)+IF(AND(V793&gt;=75,W793&gt;=25,W793&lt;60),0.25,0)+IF(AND(V793&gt;=75,W793&gt;=60,W793&lt;95),0.17,0)+IF(AND(V793&gt;=75,W793&gt;=95),0.1,0),
IF(AF793="DoEVba",IF(AND(V793&lt;20,W793&lt;105),0.2,0)+IF(AND(V793&lt;20,W793&gt;=105),0.15,0)+IF(AND(V793&gt;=20,V793&lt;40,W793&lt;95),0.2,0)+IF(AND(V793&gt;=20,V793&lt;40,W793&gt;=95,W793&lt;150),0.15,0)+IF(AND(V793&gt;=20,V793&lt;40,W793&gt;=150),0.12,0)+IF(AND(V793&gt;=40,V793&lt;75,W793&lt;75),0.2,0)+IF(AND(V793&gt;=40,V793&lt;75,W793&gt;=75,W793&lt;120),0.15,0)+IF(AND(V793&gt;=40,V793&lt;75,W793&gt;=120),0.12,0)+IF(AND(V793&gt;=75,V793&lt;175,W793&lt;65),0.2,0)+IF(AND(V793&gt;=75,V793&lt;175,W793&gt;=65,W793&lt;110),0.15,0)+IF(AND(V793&gt;=75,V793&lt;175,W793&gt;=110),0.12,0)+IF(AND(V793&gt;=175,W793&lt;55),0.2,0)+IF(AND(V793&gt;=175,W793&gt;=55,W793&lt;95),0.15,0)+IF(AND(V793&gt;=175,W793&gt;=95),0.12,0),
IF(AF793="DoEVku",IF(AND(V793&lt;20,W793&lt;55),0.23,0)+IF(AND(V793&lt;20,W793&gt;=55,W793&lt;105),0.2,0)+IF(AND(V793&lt;20,W793&gt;=105),0.17,0)+IF(AND(V793&gt;=20,V793&lt;40,W793&lt;45),0.23,0)+IF(AND(V793&gt;=20,V793&lt;40,W793&gt;=45,W793&lt;95),0.2,0)+IF(AND(V793&gt;=20,V793&lt;40,W793&gt;=95,W793&lt;=150),0.17,0)+IF(AND(V793&gt;=20,V793&lt;40,W793&gt;=150),0.12,0)+IF(AND(V793&gt;=40,V793&lt;75,W793&lt;35),0.23,0)+IF(AND(V793&gt;=40,V793&lt;75,W793&gt;=35,W793&lt;75),0.2,0)+IF(AND(V793&gt;=40,V793&lt;75,W793&gt;=75,W793&lt;120),0.17,0)+IF(AND(V793&gt;=40,V793&lt;75,W793&gt;=120),0.12,0)+IF(AND(V793&gt;=75,V793&lt;175,W793&lt;35),0.23,0)+IF(AND(V793&gt;=75,V793&lt;=175,W793&gt;=35,W793&lt;65),0.2,0)+IF(AND(V793&gt;=75,V793&lt;=175,W793&gt;=65,W793&lt;110),0.17,0)+IF(AND(V793&gt;=75,V793&lt;=175,W793&gt;=110),0.12,0)+IF(AND(V793&gt;175,W793&lt;25),0.23,0)+IF(AND(V793&gt;175,W793&gt;=25,W793&lt;55),0.2,0)+IF(AND(V793&gt;175,W793&gt;=55,W793&lt;95),0.17,0)+IF(AND(V793&gt;175,W793&gt;=95),0.12,0),
IF(AF793="DoEVs1",IF(AND(V793&lt;20,W793&lt;55),0.3,0)+IF(AND(V793&lt;20,W793&gt;=55,W793&lt;105),0.23,0)+IF(AND(V793&lt;20,W793&gt;=105),0.17,0)+IF(AND(V793&gt;=20,V793&lt;40,W793&lt;45),0.3,0)+IF(AND(V793&gt;=20,V793&lt;40,W793&gt;=45,W793&lt;95),0.23,0)+IF(AND(V793&gt;=20,V793&lt;40,W793&gt;=95,W793&lt;=150),0.17,0)+IF(AND(V793&gt;=20,V793&lt;40,W793&gt;=150),0.12,0)+IF(AND(V793&gt;=40,V793&lt;75,W793&lt;35),0.3,0)+IF(AND(V793&gt;=40,V793&lt;75,W793&gt;=35,W793&lt;75),0.23,0)+IF(AND(V793&gt;=40,V793&lt;75,W793&gt;=75,W793&lt;120),0.17,0)+IF(AND(V793&gt;=40,V793&lt;75,W793&gt;=120),0.12,0)+IF(AND(V793&gt;=75,V793&lt;175,W793&lt;35),0.3,0)+IF(AND(V793&gt;=75,V793&lt;=175,W793&gt;=35,W793&lt;65),0.23,0)+IF(AND(V793&gt;=75,V793&lt;=175,W793&gt;=65,W793&lt;110),0.17,0)+IF(AND(V793&gt;=75,V793&lt;=175,W793&gt;=110),0.12,0)+IF(AND(V793&gt;175,W793&lt;25),0.3,0)+IF(AND(V793&gt;175,W793&gt;=25,W793&lt;55),0.23,0)+IF(AND(V793&gt;175,W793&gt;=55,W793&lt;95),0.17,0)+IF(AND(V793&gt;175,W793&gt;=95),0.12,0),
IF(AF793="DoEVsu",IF(AND(V793&lt;20,W793&lt;55),0.3,0)+IF(AND(V793&lt;20,W793&gt;=55,W793&lt;105),0.23,0)+IF(AND(V793&lt;20,W793&gt;=105),0.17,0)+IF(AND(V793&gt;=20,V793&lt;40,W793&lt;45),0.3,0)+IF(AND(V793&gt;=20,V793&lt;40,W793&gt;=45,W793&lt;95),0.23,0)+IF(AND(V793&gt;=20,V793&lt;40,W793&gt;=95,W793&lt;=250),0.17,0)+IF(AND(V793&gt;=20,V793&lt;40,W793&gt;=250),0.12,0)+IF(AND(V793&gt;=40,V793&lt;75,W793&lt;35),0.3,0)+IF(AND(V793&gt;=40,V793&lt;75,W793&gt;=35,W793&lt;75),0.23,0)+IF(AND(V793&gt;=40,V793&lt;75,W793&gt;=75,W793&lt;120),0.17,0)+IF(AND(V793&gt;=40,V793&lt;75,W793&gt;=120),0.12,0)+IF(AND(V793&gt;=75,V793&lt;175,W793&lt;35),0.3,0)+IF(AND(V793&gt;=75,V793&lt;=175,W793&gt;=35,W793&lt;65),0.23,0)+IF(AND(V793&gt;=75,V793&lt;=175,W793&gt;=65,W793&lt;110),0.17,0)+IF(AND(V793&gt;=75,V793&lt;=175,W793&gt;=110),0.12,0)+IF(AND(V793&gt;175,W793&lt;25),0.3,0)+IF(AND(V793&gt;175,W793&gt;=25,W793&lt;55),0.23,0)+IF(AND(V793&gt;175,W793&gt;=55,W793&lt;95),0.17,0)+IF(AND(V793&gt;175,W793&gt;=95),0.12,0),
IF(AF793="DoEVni",IF(AND(V793&lt;20,W793&lt;55),0.3,0)+IF(AND(V793&lt;20,W793&gt;=55,W793&lt;105),0.23,0)+IF(AND(V793&lt;20,W793&gt;=105),0.17,0)+IF(AND(V793&gt;=20,V793&lt;40,W793&lt;45),0.3,0)+IF(AND(V793&gt;=20,V793&lt;40,W793&gt;=45,W793&lt;95),0.23,0)+IF(AND(V793&gt;=20,V793&lt;40,W793&gt;=95,W793&lt;=200),0.17,0)+IF(AND(V793&gt;=20,V793&lt;40,W793&gt;=200),0.12,0)+IF(AND(V793&gt;=40,V793&lt;75,W793&lt;35),0.3,0)+IF(AND(V793&gt;=40,V793&lt;75,W793&gt;=35,W793&lt;75),0.23,0)+IF(AND(V793&gt;=40,V793&lt;75,W793&gt;=75,W793&lt;120),0.17,0)+IF(AND(V793&gt;=40,V793&lt;75,W793&gt;=120),0.12,0)+IF(AND(V793&gt;=75,V793&lt;175,W793&lt;35),0.3,0)+IF(AND(V793&gt;=75,V793&lt;=175,W793&gt;=35,W793&lt;65),0.23,0)+IF(AND(V793&gt;=75,V793&lt;=175,W793&gt;=65,W793&lt;110),0.17,0)+IF(AND(V793&gt;=75,V793&lt;=175,W793&gt;=110),0.12,0)+IF(AND(V793&gt;175,W793&lt;25),0.3,0)+IF(AND(V793&gt;175,W793&gt;=25,W793&lt;55),0.23,0)+IF(AND(V793&gt;175,W793&gt;=55,W793&lt;95),0.17,0)+IF(AND(V793&gt;175,W793&gt;=95),0.12,0),
IF(AF793="DoEVLo",IF(AND(V793&lt;20,W793&lt;55),0.25,0)+IF(AND(V793&lt;20,W793&gt;=55,W793&lt;105),0.2,0)+IF(AND(V793&lt;20,W793&gt;=105),0.15,0)+IF(AND(V793&gt;=20,V793&lt;40,W793&lt;45),0.25,0)+IF(AND(V793&gt;=20,V793&lt;40,W793&gt;=45,W793&lt;95),0.2,0)+IF(AND(V793&gt;=20,V793&lt;40,W793&gt;=95),0.15,0)+IF(AND(V793&gt;=40,V793&lt;75,W793&lt;35),0.25,0)+IF(AND(V793&gt;=40,V793&lt;75,W793&gt;=35,W793&lt;75),0.2,0)+IF(AND(V793&gt;=40,V793&lt;75,W793&gt;=75,W793&lt;120),0.15,0)+IF(AND(V793&gt;=40,V793&lt;75,W793&gt;=120),0.1,0)+IF(AND(V793&gt;=75,V793&lt;175,W793&lt;35),0.25,0)+IF(AND(V793&gt;=75,V793&lt;=175,W793&gt;=35,W793&lt;65),0.2,0)+IF(AND(V793&gt;=75,V793&lt;=175,W793&gt;=65,W793&lt;110),0.15,0)+IF(AND(V793&gt;=75,V793&lt;=175,W793&gt;=110),0.1,0)+IF(AND(V793&gt;175,W793&lt;25),0.25,0)+IF(AND(V793&gt;175,W793&gt;=25,W793&lt;55),0.2,0)+IF(AND(V793&gt;175,W793&gt;=55,W793&lt;95),0.15,0)+IF(AND(V793&gt;175,W793&gt;=95),0.1,0))))))))))))))))))</f>
        <v>0.1125</v>
      </c>
      <c r="Y793" s="30">
        <f>IF(AG793="None",0,IF(AG793="Fix5",0.05, IF(AG793="Fix6.25",0.0625,IF(AG793="Fix3.75",0.0375,IF(AG793="Fix10",0.1,IF(AG793="Fix3",0.03,0))))))</f>
        <v>3.7499999999999999E-2</v>
      </c>
      <c r="Z793" s="35">
        <f>T793-AA793-AB793</f>
        <v>275.03750000000002</v>
      </c>
      <c r="AA793" s="29">
        <f>IF(AD793="EUR",((T793-R793)*X793)*U793+(R793*X793),(T793*X793))</f>
        <v>41.962499999999999</v>
      </c>
      <c r="AB793" s="104">
        <v>56</v>
      </c>
      <c r="AC793" s="37" t="b">
        <v>1</v>
      </c>
      <c r="AD793" s="37" t="s">
        <v>38</v>
      </c>
      <c r="AE793" s="37" t="s">
        <v>38</v>
      </c>
      <c r="AF793" s="37" t="str">
        <f t="array" ref="AF793">INDEX('Deal Info'!D:D, MATCH(A793,'Deal Info'!A:A, 0))</f>
        <v>Fix11.25</v>
      </c>
      <c r="AG793" s="38" t="str">
        <f t="array" ref="AG793">INDEX('Deal Info'!G:G, MATCH(A793,'Deal Info'!A:A, 0))</f>
        <v>Fix3.75</v>
      </c>
    </row>
    <row r="794" spans="1:33" ht="14.25" hidden="1" x14ac:dyDescent="0.2">
      <c r="A794" s="18" t="str">
        <f t="array" ref="A794">IF(G794='Room Info'!$B$1, INDEX('Room Info'!$A$2:$A2446, MATCH(B794,'Room Info'!$B$2:$B2446, 0)),IF(G794='Room Info'!$C$1, INDEX('Room Info'!$A$2:$A2446, MATCH(B794,'Room Info'!$C$2:$C2446, 0)),IF(G794='Room Info'!$D$1, INDEX('Room Info'!$A$2:$A2446, MATCH(B794,'Room Info'!$D$2:$D2446, 0)),IF(G794='Room Info'!$E$1, INDEX('Room Info'!$A$2:$A2446, MATCH(B794,'Room Info'!$E$2:$E2446, 0)),IF(G794='Room Info'!$F$1, INDEX('Room Info'!$A$2:$A2446, MATCH(B794,'Room Info'!$F$2:$F2446, 0)),IF(G794='Room Info'!$H$1, INDEX('Room Info'!$A$2:$A2446, MATCH(B794,'Room Info'!$H$2:$H2446, 0)),IF(G794='Room Info'!$G$1, INDEX('Room Info'!$A$2:$A2446, MATCH(B794,'Room Info'!$G$2:$G2446, 0)))))))))</f>
        <v>fig6</v>
      </c>
      <c r="B794" s="45" t="s">
        <v>172</v>
      </c>
      <c r="C794" s="46">
        <v>44855</v>
      </c>
      <c r="D794" s="46">
        <v>44885</v>
      </c>
      <c r="E794" s="47">
        <v>44866</v>
      </c>
      <c r="F794" s="48" t="s">
        <v>34</v>
      </c>
      <c r="G794" s="45" t="s">
        <v>35</v>
      </c>
      <c r="H794" s="49" t="s">
        <v>70</v>
      </c>
      <c r="I794" s="49" t="s">
        <v>37</v>
      </c>
      <c r="J794" s="50">
        <v>100</v>
      </c>
      <c r="K794" s="51">
        <v>3053</v>
      </c>
      <c r="L794" s="52">
        <v>1800</v>
      </c>
      <c r="M794" s="53">
        <v>11455</v>
      </c>
      <c r="N794" s="28">
        <f>K794*J794</f>
        <v>305300</v>
      </c>
      <c r="O794" s="54">
        <v>82890</v>
      </c>
      <c r="P794" s="29">
        <v>27.150343920000001</v>
      </c>
      <c r="Q794" s="55"/>
      <c r="R794" s="31">
        <f>M794+Q794</f>
        <v>11455</v>
      </c>
      <c r="S794" s="56">
        <v>-1393</v>
      </c>
      <c r="T794" s="32">
        <f>R794+S794+IF(F794="Without EV deal",L794,0)</f>
        <v>10062</v>
      </c>
      <c r="U794" s="57">
        <v>1</v>
      </c>
      <c r="V794" s="58"/>
      <c r="W794" s="58"/>
      <c r="X794" s="30">
        <f>IF(AF794="DoEV",IF(AND(V794&lt;20,W794&lt;55),0.3,0)+IF(AND(V794&lt;20,W794&gt;=55,W794&lt;105),0.23,0)+IF(AND(V794&lt;20,W794&gt;=105),0.17,0)+IF(AND(V794&gt;=20,V794&lt;40,W794&lt;45),0.3,0)+IF(AND(V794&gt;=20,V794&lt;40,W794&gt;=45,W794&lt;95),0.23,0)+IF(AND(V794&gt;=20,V794&lt;40,W794&gt;=95),0.17,0)+IF(AND(V794&gt;=40,V794&lt;75,W794&lt;35),0.3,0)+IF(AND(V794&gt;=40,V794&lt;75,W794&gt;=35,W794&lt;75),0.23,0)+IF(AND(V794&gt;=40,V794&lt;75,W794&gt;=75,W794&lt;120),0.17,0)+IF(AND(V794&gt;=40,V794&lt;75,W794&gt;=120),0.12,0)+IF(AND(V794&gt;=75,V794&lt;175,W794&lt;35),0.3,0)+IF(AND(V794&gt;=75,V794&lt;=175,W794&gt;=35,W794&lt;65),0.23,0)+IF(AND(V794&gt;=75,V794&lt;=175,W794&gt;=65,W794&lt;110),0.17,0)+IF(AND(V794&gt;=75,V794&lt;=175,W794&gt;=110),0.12,0)+IF(AND(V794&gt;175,W794&lt;25),0.3,0)+IF(AND(V794&gt;175,W794&gt;=25,W794&lt;55),0.23,0)+IF(AND(V794&gt;175,W794&gt;=55,W794&lt;95),0.17,0)+IF(AND(V794&gt;175,W794&gt;=95),0.12,0),
IF(AF794="Fix15",0.15,
IF(AF794="Fix18.75",0.1875,
IF(AF794="Fix11.25",0.1125,
IF(AF794="Fix10",0.1,
IF(AF794="Fix9",0.09,
IF(AF794="Fix19",0.19,
IF(AF794="DoEV2017",IF(AND(W794&lt;74),0.2,0)+IF(AND(W794&gt;=74),0.17,0),
IF(AF794="SF",IF(AND(V794&lt;20,W794&lt;89),0.3,0)+IF(AND(V794&lt;20,W794&gt;=89),0.25,0)+IF(AND(V794&gt;=20,V794&lt;40,W794&lt;74),0.3,0)+IF(AND(V794&gt;=20,V794&lt;40,W794&gt;=75),0.22,0)+IF(AND(V794&gt;=40,V794&lt;75,W794&lt;75),0.26,0)+IF(AND(V794&gt;=40,V794&lt;75,W794&gt;=75),0.22,0)+IF(V794&gt;=75,0.22,0),
IF(AF794="DoEVold",IF(AND(V794&lt;40,W794&lt;35),0.35,0)+IF(AND(V794&lt;40,W794&gt;=35,W794&lt;75),0.25,0)+IF(AND(V794&lt;40,W794&gt;=75),0.17,0)+IF(AND(V794&gt;=40,V794&lt;75,W794&lt;25),0.35,0)+IF(AND(V794&gt;=40,V794&lt;75,W794&gt;=25,W794&lt;65),0.25,0)+IF(AND(V794&gt;=40,V794&lt;75,W794&gt;=65,W794&lt;100),0.17,0)+IF(AND(V794&gt;=40,V794&lt;75,W794&gt;=100),0.1,0)+IF(AND(V794&gt;=75,W794&lt;25),0.35,0)+IF(AND(V794&gt;=75,W794&gt;=25,W794&lt;60),0.25,0)+IF(AND(V794&gt;=75,W794&gt;=60,W794&lt;95),0.17,0)+IF(AND(V794&gt;=75,W794&gt;=95),0.1,0),
IF(AF794="DoEVold15",IF(AND(V794&lt;=40,W794&lt;35),0.35,0)+IF(AND(V794&lt;=40,W794&gt;=35,W794&lt;75),0.25,0)+IF(AND(V794&lt;=40,W794&gt;=75,W794&lt;120),0.17,0)+IF(AND(V794&lt;=40,W794&gt;=120),0.15,0)+IF(AND(V794&gt;40,V794&lt;75,W794&lt;25),0.35,0)+IF(AND(V794&gt;=40,V794&lt;75,W794&gt;=25,W794&lt;65),0.25,0)+IF(AND(V794&gt;=40,V794&lt;75,W794&gt;=65,W794&lt;100),0.17,0)+IF(AND(V794&gt;=40,V794&lt;75,W794&gt;=100),0.1,0)+IF(AND(V794&gt;=75,W794&lt;25),0.35,0)+IF(AND(V794&gt;=75,W794&gt;=25,W794&lt;60),0.25,0)+IF(AND(V794&gt;=75,W794&gt;=60,W794&lt;95),0.17,0)+IF(AND(V794&gt;=75,W794&gt;=95),0.1,0),
IF(AF794="DoEVba",IF(AND(V794&lt;20,W794&lt;105),0.2,0)+IF(AND(V794&lt;20,W794&gt;=105),0.15,0)+IF(AND(V794&gt;=20,V794&lt;40,W794&lt;95),0.2,0)+IF(AND(V794&gt;=20,V794&lt;40,W794&gt;=95,W794&lt;150),0.15,0)+IF(AND(V794&gt;=20,V794&lt;40,W794&gt;=150),0.12,0)+IF(AND(V794&gt;=40,V794&lt;75,W794&lt;75),0.2,0)+IF(AND(V794&gt;=40,V794&lt;75,W794&gt;=75,W794&lt;120),0.15,0)+IF(AND(V794&gt;=40,V794&lt;75,W794&gt;=120),0.12,0)+IF(AND(V794&gt;=75,V794&lt;175,W794&lt;65),0.2,0)+IF(AND(V794&gt;=75,V794&lt;175,W794&gt;=65,W794&lt;110),0.15,0)+IF(AND(V794&gt;=75,V794&lt;175,W794&gt;=110),0.12,0)+IF(AND(V794&gt;=175,W794&lt;55),0.2,0)+IF(AND(V794&gt;=175,W794&gt;=55,W794&lt;95),0.15,0)+IF(AND(V794&gt;=175,W794&gt;=95),0.12,0),
IF(AF794="DoEVku",IF(AND(V794&lt;20,W794&lt;55),0.23,0)+IF(AND(V794&lt;20,W794&gt;=55,W794&lt;105),0.2,0)+IF(AND(V794&lt;20,W794&gt;=105),0.17,0)+IF(AND(V794&gt;=20,V794&lt;40,W794&lt;45),0.23,0)+IF(AND(V794&gt;=20,V794&lt;40,W794&gt;=45,W794&lt;95),0.2,0)+IF(AND(V794&gt;=20,V794&lt;40,W794&gt;=95,W794&lt;=150),0.17,0)+IF(AND(V794&gt;=20,V794&lt;40,W794&gt;=150),0.12,0)+IF(AND(V794&gt;=40,V794&lt;75,W794&lt;35),0.23,0)+IF(AND(V794&gt;=40,V794&lt;75,W794&gt;=35,W794&lt;75),0.2,0)+IF(AND(V794&gt;=40,V794&lt;75,W794&gt;=75,W794&lt;120),0.17,0)+IF(AND(V794&gt;=40,V794&lt;75,W794&gt;=120),0.12,0)+IF(AND(V794&gt;=75,V794&lt;175,W794&lt;35),0.23,0)+IF(AND(V794&gt;=75,V794&lt;=175,W794&gt;=35,W794&lt;65),0.2,0)+IF(AND(V794&gt;=75,V794&lt;=175,W794&gt;=65,W794&lt;110),0.17,0)+IF(AND(V794&gt;=75,V794&lt;=175,W794&gt;=110),0.12,0)+IF(AND(V794&gt;175,W794&lt;25),0.23,0)+IF(AND(V794&gt;175,W794&gt;=25,W794&lt;55),0.2,0)+IF(AND(V794&gt;175,W794&gt;=55,W794&lt;95),0.17,0)+IF(AND(V794&gt;175,W794&gt;=95),0.12,0),
IF(AF794="DoEVs1",IF(AND(V794&lt;20,W794&lt;55),0.3,0)+IF(AND(V794&lt;20,W794&gt;=55,W794&lt;105),0.23,0)+IF(AND(V794&lt;20,W794&gt;=105),0.17,0)+IF(AND(V794&gt;=20,V794&lt;40,W794&lt;45),0.3,0)+IF(AND(V794&gt;=20,V794&lt;40,W794&gt;=45,W794&lt;95),0.23,0)+IF(AND(V794&gt;=20,V794&lt;40,W794&gt;=95,W794&lt;=150),0.17,0)+IF(AND(V794&gt;=20,V794&lt;40,W794&gt;=150),0.12,0)+IF(AND(V794&gt;=40,V794&lt;75,W794&lt;35),0.3,0)+IF(AND(V794&gt;=40,V794&lt;75,W794&gt;=35,W794&lt;75),0.23,0)+IF(AND(V794&gt;=40,V794&lt;75,W794&gt;=75,W794&lt;120),0.17,0)+IF(AND(V794&gt;=40,V794&lt;75,W794&gt;=120),0.12,0)+IF(AND(V794&gt;=75,V794&lt;175,W794&lt;35),0.3,0)+IF(AND(V794&gt;=75,V794&lt;=175,W794&gt;=35,W794&lt;65),0.23,0)+IF(AND(V794&gt;=75,V794&lt;=175,W794&gt;=65,W794&lt;110),0.17,0)+IF(AND(V794&gt;=75,V794&lt;=175,W794&gt;=110),0.12,0)+IF(AND(V794&gt;175,W794&lt;25),0.3,0)+IF(AND(V794&gt;175,W794&gt;=25,W794&lt;55),0.23,0)+IF(AND(V794&gt;175,W794&gt;=55,W794&lt;95),0.17,0)+IF(AND(V794&gt;175,W794&gt;=95),0.12,0),
IF(AF794="DoEVsu",IF(AND(V794&lt;20,W794&lt;55),0.3,0)+IF(AND(V794&lt;20,W794&gt;=55,W794&lt;105),0.23,0)+IF(AND(V794&lt;20,W794&gt;=105),0.17,0)+IF(AND(V794&gt;=20,V794&lt;40,W794&lt;45),0.3,0)+IF(AND(V794&gt;=20,V794&lt;40,W794&gt;=45,W794&lt;95),0.23,0)+IF(AND(V794&gt;=20,V794&lt;40,W794&gt;=95,W794&lt;=250),0.17,0)+IF(AND(V794&gt;=20,V794&lt;40,W794&gt;=250),0.12,0)+IF(AND(V794&gt;=40,V794&lt;75,W794&lt;35),0.3,0)+IF(AND(V794&gt;=40,V794&lt;75,W794&gt;=35,W794&lt;75),0.23,0)+IF(AND(V794&gt;=40,V794&lt;75,W794&gt;=75,W794&lt;120),0.17,0)+IF(AND(V794&gt;=40,V794&lt;75,W794&gt;=120),0.12,0)+IF(AND(V794&gt;=75,V794&lt;175,W794&lt;35),0.3,0)+IF(AND(V794&gt;=75,V794&lt;=175,W794&gt;=35,W794&lt;65),0.23,0)+IF(AND(V794&gt;=75,V794&lt;=175,W794&gt;=65,W794&lt;110),0.17,0)+IF(AND(V794&gt;=75,V794&lt;=175,W794&gt;=110),0.12,0)+IF(AND(V794&gt;175,W794&lt;25),0.3,0)+IF(AND(V794&gt;175,W794&gt;=25,W794&lt;55),0.23,0)+IF(AND(V794&gt;175,W794&gt;=55,W794&lt;95),0.17,0)+IF(AND(V794&gt;175,W794&gt;=95),0.12,0),
IF(AF794="DoEVni",IF(AND(V794&lt;20,W794&lt;55),0.3,0)+IF(AND(V794&lt;20,W794&gt;=55,W794&lt;105),0.23,0)+IF(AND(V794&lt;20,W794&gt;=105),0.17,0)+IF(AND(V794&gt;=20,V794&lt;40,W794&lt;45),0.3,0)+IF(AND(V794&gt;=20,V794&lt;40,W794&gt;=45,W794&lt;95),0.23,0)+IF(AND(V794&gt;=20,V794&lt;40,W794&gt;=95,W794&lt;=200),0.17,0)+IF(AND(V794&gt;=20,V794&lt;40,W794&gt;=200),0.12,0)+IF(AND(V794&gt;=40,V794&lt;75,W794&lt;35),0.3,0)+IF(AND(V794&gt;=40,V794&lt;75,W794&gt;=35,W794&lt;75),0.23,0)+IF(AND(V794&gt;=40,V794&lt;75,W794&gt;=75,W794&lt;120),0.17,0)+IF(AND(V794&gt;=40,V794&lt;75,W794&gt;=120),0.12,0)+IF(AND(V794&gt;=75,V794&lt;175,W794&lt;35),0.3,0)+IF(AND(V794&gt;=75,V794&lt;=175,W794&gt;=35,W794&lt;65),0.23,0)+IF(AND(V794&gt;=75,V794&lt;=175,W794&gt;=65,W794&lt;110),0.17,0)+IF(AND(V794&gt;=75,V794&lt;=175,W794&gt;=110),0.12,0)+IF(AND(V794&gt;175,W794&lt;25),0.3,0)+IF(AND(V794&gt;175,W794&gt;=25,W794&lt;55),0.23,0)+IF(AND(V794&gt;175,W794&gt;=55,W794&lt;95),0.17,0)+IF(AND(V794&gt;175,W794&gt;=95),0.12,0),
IF(AF794="DoEVLo",IF(AND(V794&lt;20,W794&lt;55),0.25,0)+IF(AND(V794&lt;20,W794&gt;=55,W794&lt;105),0.2,0)+IF(AND(V794&lt;20,W794&gt;=105),0.15,0)+IF(AND(V794&gt;=20,V794&lt;40,W794&lt;45),0.25,0)+IF(AND(V794&gt;=20,V794&lt;40,W794&gt;=45,W794&lt;95),0.2,0)+IF(AND(V794&gt;=20,V794&lt;40,W794&gt;=95),0.15,0)+IF(AND(V794&gt;=40,V794&lt;75,W794&lt;35),0.25,0)+IF(AND(V794&gt;=40,V794&lt;75,W794&gt;=35,W794&lt;75),0.2,0)+IF(AND(V794&gt;=40,V794&lt;75,W794&gt;=75,W794&lt;120),0.15,0)+IF(AND(V794&gt;=40,V794&lt;75,W794&gt;=120),0.1,0)+IF(AND(V794&gt;=75,V794&lt;175,W794&lt;35),0.25,0)+IF(AND(V794&gt;=75,V794&lt;=175,W794&gt;=35,W794&lt;65),0.2,0)+IF(AND(V794&gt;=75,V794&lt;=175,W794&gt;=65,W794&lt;110),0.15,0)+IF(AND(V794&gt;=75,V794&lt;=175,W794&gt;=110),0.1,0)+IF(AND(V794&gt;175,W794&lt;25),0.25,0)+IF(AND(V794&gt;175,W794&gt;=25,W794&lt;55),0.2,0)+IF(AND(V794&gt;175,W794&gt;=55,W794&lt;95),0.15,0)+IF(AND(V794&gt;175,W794&gt;=95),0.1,0))))))))))))))))))</f>
        <v>0.1125</v>
      </c>
      <c r="Y794" s="30">
        <f>IF(AG794="None",0,IF(AG794="Fix5",0.05, IF(AG794="Fix6.25",0.0625,IF(AG794="Fix3.75",0.0375,IF(AG794="Fix10",0.1,IF(AG794="Fix3",0.03,0))))))</f>
        <v>3.7499999999999999E-2</v>
      </c>
      <c r="Z794" s="35">
        <f>T794-AA794-AB794</f>
        <v>7421.0249999999996</v>
      </c>
      <c r="AA794" s="29">
        <f>IF(AD794="EUR",((T794-R794)*X794)*U794+(R794*X794),(T794*X794))</f>
        <v>1131.9750000000001</v>
      </c>
      <c r="AB794" s="104">
        <v>1509</v>
      </c>
      <c r="AC794" s="37" t="b">
        <v>1</v>
      </c>
      <c r="AD794" s="37" t="s">
        <v>38</v>
      </c>
      <c r="AE794" s="37" t="s">
        <v>38</v>
      </c>
      <c r="AF794" s="37" t="str">
        <f t="array" ref="AF794">INDEX('Deal Info'!D:D, MATCH(A794,'Deal Info'!A:A, 0))</f>
        <v>Fix11.25</v>
      </c>
      <c r="AG794" s="38" t="str">
        <f t="array" ref="AG794">INDEX('Deal Info'!G:G, MATCH(A794,'Deal Info'!A:A, 0))</f>
        <v>Fix3.75</v>
      </c>
    </row>
    <row r="795" spans="1:33" ht="14.25" hidden="1" x14ac:dyDescent="0.2">
      <c r="A795" s="18" t="str">
        <f t="array" ref="A795">IF(G795='Room Info'!$B$1, INDEX('Room Info'!$A$2:$A2446, MATCH(B795,'Room Info'!$B$2:$B2446, 0)),IF(G795='Room Info'!$C$1, INDEX('Room Info'!$A$2:$A2446, MATCH(B795,'Room Info'!$C$2:$C2446, 0)),IF(G795='Room Info'!$D$1, INDEX('Room Info'!$A$2:$A2446, MATCH(B795,'Room Info'!$D$2:$D2446, 0)),IF(G795='Room Info'!$E$1, INDEX('Room Info'!$A$2:$A2446, MATCH(B795,'Room Info'!$E$2:$E2446, 0)),IF(G795='Room Info'!$F$1, INDEX('Room Info'!$A$2:$A2446, MATCH(B795,'Room Info'!$F$2:$F2446, 0)),IF(G795='Room Info'!$H$1, INDEX('Room Info'!$A$2:$A2446, MATCH(B795,'Room Info'!$H$2:$H2446, 0)),IF(G795='Room Info'!$G$1, INDEX('Room Info'!$A$2:$A2446, MATCH(B795,'Room Info'!$G$2:$G2446, 0)))))))))</f>
        <v>fig6</v>
      </c>
      <c r="B795" s="45" t="s">
        <v>172</v>
      </c>
      <c r="C795" s="46">
        <v>44855</v>
      </c>
      <c r="D795" s="46">
        <v>44885</v>
      </c>
      <c r="E795" s="47">
        <v>44866</v>
      </c>
      <c r="F795" s="48" t="s">
        <v>34</v>
      </c>
      <c r="G795" s="45" t="s">
        <v>35</v>
      </c>
      <c r="H795" s="49" t="s">
        <v>84</v>
      </c>
      <c r="I795" s="49" t="s">
        <v>44</v>
      </c>
      <c r="J795" s="50">
        <v>100</v>
      </c>
      <c r="K795" s="51">
        <v>381</v>
      </c>
      <c r="L795" s="52">
        <v>-1900</v>
      </c>
      <c r="M795" s="53">
        <v>1429</v>
      </c>
      <c r="N795" s="28">
        <f>K795*J795</f>
        <v>38100</v>
      </c>
      <c r="O795" s="54">
        <v>3583</v>
      </c>
      <c r="P795" s="29">
        <v>9.4041994750000004</v>
      </c>
      <c r="Q795" s="55"/>
      <c r="R795" s="31">
        <f>M795+Q795</f>
        <v>1429</v>
      </c>
      <c r="S795" s="56">
        <v>-993</v>
      </c>
      <c r="T795" s="32">
        <f>R795+S795+IF(F795="Without EV deal",L795,0)</f>
        <v>436</v>
      </c>
      <c r="U795" s="57">
        <v>1</v>
      </c>
      <c r="V795" s="58"/>
      <c r="W795" s="58"/>
      <c r="X795" s="30">
        <f>IF(AF795="DoEV",IF(AND(V795&lt;20,W795&lt;55),0.3,0)+IF(AND(V795&lt;20,W795&gt;=55,W795&lt;105),0.23,0)+IF(AND(V795&lt;20,W795&gt;=105),0.17,0)+IF(AND(V795&gt;=20,V795&lt;40,W795&lt;45),0.3,0)+IF(AND(V795&gt;=20,V795&lt;40,W795&gt;=45,W795&lt;95),0.23,0)+IF(AND(V795&gt;=20,V795&lt;40,W795&gt;=95),0.17,0)+IF(AND(V795&gt;=40,V795&lt;75,W795&lt;35),0.3,0)+IF(AND(V795&gt;=40,V795&lt;75,W795&gt;=35,W795&lt;75),0.23,0)+IF(AND(V795&gt;=40,V795&lt;75,W795&gt;=75,W795&lt;120),0.17,0)+IF(AND(V795&gt;=40,V795&lt;75,W795&gt;=120),0.12,0)+IF(AND(V795&gt;=75,V795&lt;175,W795&lt;35),0.3,0)+IF(AND(V795&gt;=75,V795&lt;=175,W795&gt;=35,W795&lt;65),0.23,0)+IF(AND(V795&gt;=75,V795&lt;=175,W795&gt;=65,W795&lt;110),0.17,0)+IF(AND(V795&gt;=75,V795&lt;=175,W795&gt;=110),0.12,0)+IF(AND(V795&gt;175,W795&lt;25),0.3,0)+IF(AND(V795&gt;175,W795&gt;=25,W795&lt;55),0.23,0)+IF(AND(V795&gt;175,W795&gt;=55,W795&lt;95),0.17,0)+IF(AND(V795&gt;175,W795&gt;=95),0.12,0),
IF(AF795="Fix15",0.15,
IF(AF795="Fix18.75",0.1875,
IF(AF795="Fix11.25",0.1125,
IF(AF795="Fix10",0.1,
IF(AF795="Fix9",0.09,
IF(AF795="Fix19",0.19,
IF(AF795="DoEV2017",IF(AND(W795&lt;74),0.2,0)+IF(AND(W795&gt;=74),0.17,0),
IF(AF795="SF",IF(AND(V795&lt;20,W795&lt;89),0.3,0)+IF(AND(V795&lt;20,W795&gt;=89),0.25,0)+IF(AND(V795&gt;=20,V795&lt;40,W795&lt;74),0.3,0)+IF(AND(V795&gt;=20,V795&lt;40,W795&gt;=75),0.22,0)+IF(AND(V795&gt;=40,V795&lt;75,W795&lt;75),0.26,0)+IF(AND(V795&gt;=40,V795&lt;75,W795&gt;=75),0.22,0)+IF(V795&gt;=75,0.22,0),
IF(AF795="DoEVold",IF(AND(V795&lt;40,W795&lt;35),0.35,0)+IF(AND(V795&lt;40,W795&gt;=35,W795&lt;75),0.25,0)+IF(AND(V795&lt;40,W795&gt;=75),0.17,0)+IF(AND(V795&gt;=40,V795&lt;75,W795&lt;25),0.35,0)+IF(AND(V795&gt;=40,V795&lt;75,W795&gt;=25,W795&lt;65),0.25,0)+IF(AND(V795&gt;=40,V795&lt;75,W795&gt;=65,W795&lt;100),0.17,0)+IF(AND(V795&gt;=40,V795&lt;75,W795&gt;=100),0.1,0)+IF(AND(V795&gt;=75,W795&lt;25),0.35,0)+IF(AND(V795&gt;=75,W795&gt;=25,W795&lt;60),0.25,0)+IF(AND(V795&gt;=75,W795&gt;=60,W795&lt;95),0.17,0)+IF(AND(V795&gt;=75,W795&gt;=95),0.1,0),
IF(AF795="DoEVold15",IF(AND(V795&lt;=40,W795&lt;35),0.35,0)+IF(AND(V795&lt;=40,W795&gt;=35,W795&lt;75),0.25,0)+IF(AND(V795&lt;=40,W795&gt;=75,W795&lt;120),0.17,0)+IF(AND(V795&lt;=40,W795&gt;=120),0.15,0)+IF(AND(V795&gt;40,V795&lt;75,W795&lt;25),0.35,0)+IF(AND(V795&gt;=40,V795&lt;75,W795&gt;=25,W795&lt;65),0.25,0)+IF(AND(V795&gt;=40,V795&lt;75,W795&gt;=65,W795&lt;100),0.17,0)+IF(AND(V795&gt;=40,V795&lt;75,W795&gt;=100),0.1,0)+IF(AND(V795&gt;=75,W795&lt;25),0.35,0)+IF(AND(V795&gt;=75,W795&gt;=25,W795&lt;60),0.25,0)+IF(AND(V795&gt;=75,W795&gt;=60,W795&lt;95),0.17,0)+IF(AND(V795&gt;=75,W795&gt;=95),0.1,0),
IF(AF795="DoEVba",IF(AND(V795&lt;20,W795&lt;105),0.2,0)+IF(AND(V795&lt;20,W795&gt;=105),0.15,0)+IF(AND(V795&gt;=20,V795&lt;40,W795&lt;95),0.2,0)+IF(AND(V795&gt;=20,V795&lt;40,W795&gt;=95,W795&lt;150),0.15,0)+IF(AND(V795&gt;=20,V795&lt;40,W795&gt;=150),0.12,0)+IF(AND(V795&gt;=40,V795&lt;75,W795&lt;75),0.2,0)+IF(AND(V795&gt;=40,V795&lt;75,W795&gt;=75,W795&lt;120),0.15,0)+IF(AND(V795&gt;=40,V795&lt;75,W795&gt;=120),0.12,0)+IF(AND(V795&gt;=75,V795&lt;175,W795&lt;65),0.2,0)+IF(AND(V795&gt;=75,V795&lt;175,W795&gt;=65,W795&lt;110),0.15,0)+IF(AND(V795&gt;=75,V795&lt;175,W795&gt;=110),0.12,0)+IF(AND(V795&gt;=175,W795&lt;55),0.2,0)+IF(AND(V795&gt;=175,W795&gt;=55,W795&lt;95),0.15,0)+IF(AND(V795&gt;=175,W795&gt;=95),0.12,0),
IF(AF795="DoEVku",IF(AND(V795&lt;20,W795&lt;55),0.23,0)+IF(AND(V795&lt;20,W795&gt;=55,W795&lt;105),0.2,0)+IF(AND(V795&lt;20,W795&gt;=105),0.17,0)+IF(AND(V795&gt;=20,V795&lt;40,W795&lt;45),0.23,0)+IF(AND(V795&gt;=20,V795&lt;40,W795&gt;=45,W795&lt;95),0.2,0)+IF(AND(V795&gt;=20,V795&lt;40,W795&gt;=95,W795&lt;=150),0.17,0)+IF(AND(V795&gt;=20,V795&lt;40,W795&gt;=150),0.12,0)+IF(AND(V795&gt;=40,V795&lt;75,W795&lt;35),0.23,0)+IF(AND(V795&gt;=40,V795&lt;75,W795&gt;=35,W795&lt;75),0.2,0)+IF(AND(V795&gt;=40,V795&lt;75,W795&gt;=75,W795&lt;120),0.17,0)+IF(AND(V795&gt;=40,V795&lt;75,W795&gt;=120),0.12,0)+IF(AND(V795&gt;=75,V795&lt;175,W795&lt;35),0.23,0)+IF(AND(V795&gt;=75,V795&lt;=175,W795&gt;=35,W795&lt;65),0.2,0)+IF(AND(V795&gt;=75,V795&lt;=175,W795&gt;=65,W795&lt;110),0.17,0)+IF(AND(V795&gt;=75,V795&lt;=175,W795&gt;=110),0.12,0)+IF(AND(V795&gt;175,W795&lt;25),0.23,0)+IF(AND(V795&gt;175,W795&gt;=25,W795&lt;55),0.2,0)+IF(AND(V795&gt;175,W795&gt;=55,W795&lt;95),0.17,0)+IF(AND(V795&gt;175,W795&gt;=95),0.12,0),
IF(AF795="DoEVs1",IF(AND(V795&lt;20,W795&lt;55),0.3,0)+IF(AND(V795&lt;20,W795&gt;=55,W795&lt;105),0.23,0)+IF(AND(V795&lt;20,W795&gt;=105),0.17,0)+IF(AND(V795&gt;=20,V795&lt;40,W795&lt;45),0.3,0)+IF(AND(V795&gt;=20,V795&lt;40,W795&gt;=45,W795&lt;95),0.23,0)+IF(AND(V795&gt;=20,V795&lt;40,W795&gt;=95,W795&lt;=150),0.17,0)+IF(AND(V795&gt;=20,V795&lt;40,W795&gt;=150),0.12,0)+IF(AND(V795&gt;=40,V795&lt;75,W795&lt;35),0.3,0)+IF(AND(V795&gt;=40,V795&lt;75,W795&gt;=35,W795&lt;75),0.23,0)+IF(AND(V795&gt;=40,V795&lt;75,W795&gt;=75,W795&lt;120),0.17,0)+IF(AND(V795&gt;=40,V795&lt;75,W795&gt;=120),0.12,0)+IF(AND(V795&gt;=75,V795&lt;175,W795&lt;35),0.3,0)+IF(AND(V795&gt;=75,V795&lt;=175,W795&gt;=35,W795&lt;65),0.23,0)+IF(AND(V795&gt;=75,V795&lt;=175,W795&gt;=65,W795&lt;110),0.17,0)+IF(AND(V795&gt;=75,V795&lt;=175,W795&gt;=110),0.12,0)+IF(AND(V795&gt;175,W795&lt;25),0.3,0)+IF(AND(V795&gt;175,W795&gt;=25,W795&lt;55),0.23,0)+IF(AND(V795&gt;175,W795&gt;=55,W795&lt;95),0.17,0)+IF(AND(V795&gt;175,W795&gt;=95),0.12,0),
IF(AF795="DoEVsu",IF(AND(V795&lt;20,W795&lt;55),0.3,0)+IF(AND(V795&lt;20,W795&gt;=55,W795&lt;105),0.23,0)+IF(AND(V795&lt;20,W795&gt;=105),0.17,0)+IF(AND(V795&gt;=20,V795&lt;40,W795&lt;45),0.3,0)+IF(AND(V795&gt;=20,V795&lt;40,W795&gt;=45,W795&lt;95),0.23,0)+IF(AND(V795&gt;=20,V795&lt;40,W795&gt;=95,W795&lt;=250),0.17,0)+IF(AND(V795&gt;=20,V795&lt;40,W795&gt;=250),0.12,0)+IF(AND(V795&gt;=40,V795&lt;75,W795&lt;35),0.3,0)+IF(AND(V795&gt;=40,V795&lt;75,W795&gt;=35,W795&lt;75),0.23,0)+IF(AND(V795&gt;=40,V795&lt;75,W795&gt;=75,W795&lt;120),0.17,0)+IF(AND(V795&gt;=40,V795&lt;75,W795&gt;=120),0.12,0)+IF(AND(V795&gt;=75,V795&lt;175,W795&lt;35),0.3,0)+IF(AND(V795&gt;=75,V795&lt;=175,W795&gt;=35,W795&lt;65),0.23,0)+IF(AND(V795&gt;=75,V795&lt;=175,W795&gt;=65,W795&lt;110),0.17,0)+IF(AND(V795&gt;=75,V795&lt;=175,W795&gt;=110),0.12,0)+IF(AND(V795&gt;175,W795&lt;25),0.3,0)+IF(AND(V795&gt;175,W795&gt;=25,W795&lt;55),0.23,0)+IF(AND(V795&gt;175,W795&gt;=55,W795&lt;95),0.17,0)+IF(AND(V795&gt;175,W795&gt;=95),0.12,0),
IF(AF795="DoEVni",IF(AND(V795&lt;20,W795&lt;55),0.3,0)+IF(AND(V795&lt;20,W795&gt;=55,W795&lt;105),0.23,0)+IF(AND(V795&lt;20,W795&gt;=105),0.17,0)+IF(AND(V795&gt;=20,V795&lt;40,W795&lt;45),0.3,0)+IF(AND(V795&gt;=20,V795&lt;40,W795&gt;=45,W795&lt;95),0.23,0)+IF(AND(V795&gt;=20,V795&lt;40,W795&gt;=95,W795&lt;=200),0.17,0)+IF(AND(V795&gt;=20,V795&lt;40,W795&gt;=200),0.12,0)+IF(AND(V795&gt;=40,V795&lt;75,W795&lt;35),0.3,0)+IF(AND(V795&gt;=40,V795&lt;75,W795&gt;=35,W795&lt;75),0.23,0)+IF(AND(V795&gt;=40,V795&lt;75,W795&gt;=75,W795&lt;120),0.17,0)+IF(AND(V795&gt;=40,V795&lt;75,W795&gt;=120),0.12,0)+IF(AND(V795&gt;=75,V795&lt;175,W795&lt;35),0.3,0)+IF(AND(V795&gt;=75,V795&lt;=175,W795&gt;=35,W795&lt;65),0.23,0)+IF(AND(V795&gt;=75,V795&lt;=175,W795&gt;=65,W795&lt;110),0.17,0)+IF(AND(V795&gt;=75,V795&lt;=175,W795&gt;=110),0.12,0)+IF(AND(V795&gt;175,W795&lt;25),0.3,0)+IF(AND(V795&gt;175,W795&gt;=25,W795&lt;55),0.23,0)+IF(AND(V795&gt;175,W795&gt;=55,W795&lt;95),0.17,0)+IF(AND(V795&gt;175,W795&gt;=95),0.12,0),
IF(AF795="DoEVLo",IF(AND(V795&lt;20,W795&lt;55),0.25,0)+IF(AND(V795&lt;20,W795&gt;=55,W795&lt;105),0.2,0)+IF(AND(V795&lt;20,W795&gt;=105),0.15,0)+IF(AND(V795&gt;=20,V795&lt;40,W795&lt;45),0.25,0)+IF(AND(V795&gt;=20,V795&lt;40,W795&gt;=45,W795&lt;95),0.2,0)+IF(AND(V795&gt;=20,V795&lt;40,W795&gt;=95),0.15,0)+IF(AND(V795&gt;=40,V795&lt;75,W795&lt;35),0.25,0)+IF(AND(V795&gt;=40,V795&lt;75,W795&gt;=35,W795&lt;75),0.2,0)+IF(AND(V795&gt;=40,V795&lt;75,W795&gt;=75,W795&lt;120),0.15,0)+IF(AND(V795&gt;=40,V795&lt;75,W795&gt;=120),0.1,0)+IF(AND(V795&gt;=75,V795&lt;175,W795&lt;35),0.25,0)+IF(AND(V795&gt;=75,V795&lt;=175,W795&gt;=35,W795&lt;65),0.2,0)+IF(AND(V795&gt;=75,V795&lt;=175,W795&gt;=65,W795&lt;110),0.15,0)+IF(AND(V795&gt;=75,V795&lt;=175,W795&gt;=110),0.1,0)+IF(AND(V795&gt;175,W795&lt;25),0.25,0)+IF(AND(V795&gt;175,W795&gt;=25,W795&lt;55),0.2,0)+IF(AND(V795&gt;175,W795&gt;=55,W795&lt;95),0.15,0)+IF(AND(V795&gt;175,W795&gt;=95),0.1,0))))))))))))))))))</f>
        <v>0.1125</v>
      </c>
      <c r="Y795" s="30">
        <f>IF(AG795="None",0,IF(AG795="Fix5",0.05, IF(AG795="Fix6.25",0.0625,IF(AG795="Fix3.75",0.0375,IF(AG795="Fix10",0.1,IF(AG795="Fix3",0.03,0))))))</f>
        <v>3.7499999999999999E-2</v>
      </c>
      <c r="Z795" s="35">
        <f>T795-AA795-AB795</f>
        <v>321.95</v>
      </c>
      <c r="AA795" s="29">
        <f>IF(AD795="EUR",((T795-R795)*X795)*U795+(R795*X795),(T795*X795))</f>
        <v>49.050000000000004</v>
      </c>
      <c r="AB795" s="104">
        <v>65</v>
      </c>
      <c r="AC795" s="37" t="b">
        <v>1</v>
      </c>
      <c r="AD795" s="37" t="s">
        <v>38</v>
      </c>
      <c r="AE795" s="37" t="s">
        <v>38</v>
      </c>
      <c r="AF795" s="37" t="str">
        <f t="array" ref="AF795">INDEX('Deal Info'!D:D, MATCH(A795,'Deal Info'!A:A, 0))</f>
        <v>Fix11.25</v>
      </c>
      <c r="AG795" s="38" t="str">
        <f t="array" ref="AG795">INDEX('Deal Info'!G:G, MATCH(A795,'Deal Info'!A:A, 0))</f>
        <v>Fix3.75</v>
      </c>
    </row>
    <row r="796" spans="1:33" ht="14.25" hidden="1" x14ac:dyDescent="0.2">
      <c r="A796" s="18" t="str">
        <f t="array" ref="A796">IF(G796='Room Info'!$B$1, INDEX('Room Info'!$A$2:$A2446, MATCH(B796,'Room Info'!$B$2:$B2446, 0)),IF(G796='Room Info'!$C$1, INDEX('Room Info'!$A$2:$A2446, MATCH(B796,'Room Info'!$C$2:$C2446, 0)),IF(G796='Room Info'!$D$1, INDEX('Room Info'!$A$2:$A2446, MATCH(B796,'Room Info'!$D$2:$D2446, 0)),IF(G796='Room Info'!$E$1, INDEX('Room Info'!$A$2:$A2446, MATCH(B796,'Room Info'!$E$2:$E2446, 0)),IF(G796='Room Info'!$F$1, INDEX('Room Info'!$A$2:$A2446, MATCH(B796,'Room Info'!$F$2:$F2446, 0)),IF(G796='Room Info'!$H$1, INDEX('Room Info'!$A$2:$A2446, MATCH(B796,'Room Info'!$H$2:$H2446, 0)),IF(G796='Room Info'!$G$1, INDEX('Room Info'!$A$2:$A2446, MATCH(B796,'Room Info'!$G$2:$G2446, 0)))))))))</f>
        <v>fig6</v>
      </c>
      <c r="B796" s="45" t="s">
        <v>172</v>
      </c>
      <c r="C796" s="46">
        <v>44855</v>
      </c>
      <c r="D796" s="46">
        <v>44885</v>
      </c>
      <c r="E796" s="47">
        <v>44866</v>
      </c>
      <c r="F796" s="48" t="s">
        <v>34</v>
      </c>
      <c r="G796" s="45" t="s">
        <v>35</v>
      </c>
      <c r="H796" s="49" t="s">
        <v>88</v>
      </c>
      <c r="I796" s="49" t="s">
        <v>37</v>
      </c>
      <c r="J796" s="50">
        <v>250</v>
      </c>
      <c r="K796" s="51">
        <v>633</v>
      </c>
      <c r="L796" s="52">
        <v>-6250</v>
      </c>
      <c r="M796" s="53">
        <v>5936</v>
      </c>
      <c r="N796" s="28">
        <f>K796*J796</f>
        <v>158250</v>
      </c>
      <c r="O796" s="54">
        <v>21112</v>
      </c>
      <c r="P796" s="29">
        <v>33.352290680000003</v>
      </c>
      <c r="Q796" s="55"/>
      <c r="R796" s="31">
        <f>M796+Q796</f>
        <v>5936</v>
      </c>
      <c r="S796" s="56">
        <v>1523</v>
      </c>
      <c r="T796" s="32">
        <f>R796+S796+IF(F796="Without EV deal",L796,0)</f>
        <v>7459</v>
      </c>
      <c r="U796" s="57">
        <v>1</v>
      </c>
      <c r="V796" s="58"/>
      <c r="W796" s="58"/>
      <c r="X796" s="30">
        <f>IF(AF796="DoEV",IF(AND(V796&lt;20,W796&lt;55),0.3,0)+IF(AND(V796&lt;20,W796&gt;=55,W796&lt;105),0.23,0)+IF(AND(V796&lt;20,W796&gt;=105),0.17,0)+IF(AND(V796&gt;=20,V796&lt;40,W796&lt;45),0.3,0)+IF(AND(V796&gt;=20,V796&lt;40,W796&gt;=45,W796&lt;95),0.23,0)+IF(AND(V796&gt;=20,V796&lt;40,W796&gt;=95),0.17,0)+IF(AND(V796&gt;=40,V796&lt;75,W796&lt;35),0.3,0)+IF(AND(V796&gt;=40,V796&lt;75,W796&gt;=35,W796&lt;75),0.23,0)+IF(AND(V796&gt;=40,V796&lt;75,W796&gt;=75,W796&lt;120),0.17,0)+IF(AND(V796&gt;=40,V796&lt;75,W796&gt;=120),0.12,0)+IF(AND(V796&gt;=75,V796&lt;175,W796&lt;35),0.3,0)+IF(AND(V796&gt;=75,V796&lt;=175,W796&gt;=35,W796&lt;65),0.23,0)+IF(AND(V796&gt;=75,V796&lt;=175,W796&gt;=65,W796&lt;110),0.17,0)+IF(AND(V796&gt;=75,V796&lt;=175,W796&gt;=110),0.12,0)+IF(AND(V796&gt;175,W796&lt;25),0.3,0)+IF(AND(V796&gt;175,W796&gt;=25,W796&lt;55),0.23,0)+IF(AND(V796&gt;175,W796&gt;=55,W796&lt;95),0.17,0)+IF(AND(V796&gt;175,W796&gt;=95),0.12,0),
IF(AF796="Fix15",0.15,
IF(AF796="Fix18.75",0.1875,
IF(AF796="Fix11.25",0.1125,
IF(AF796="Fix10",0.1,
IF(AF796="Fix9",0.09,
IF(AF796="Fix19",0.19,
IF(AF796="DoEV2017",IF(AND(W796&lt;74),0.2,0)+IF(AND(W796&gt;=74),0.17,0),
IF(AF796="SF",IF(AND(V796&lt;20,W796&lt;89),0.3,0)+IF(AND(V796&lt;20,W796&gt;=89),0.25,0)+IF(AND(V796&gt;=20,V796&lt;40,W796&lt;74),0.3,0)+IF(AND(V796&gt;=20,V796&lt;40,W796&gt;=75),0.22,0)+IF(AND(V796&gt;=40,V796&lt;75,W796&lt;75),0.26,0)+IF(AND(V796&gt;=40,V796&lt;75,W796&gt;=75),0.22,0)+IF(V796&gt;=75,0.22,0),
IF(AF796="DoEVold",IF(AND(V796&lt;40,W796&lt;35),0.35,0)+IF(AND(V796&lt;40,W796&gt;=35,W796&lt;75),0.25,0)+IF(AND(V796&lt;40,W796&gt;=75),0.17,0)+IF(AND(V796&gt;=40,V796&lt;75,W796&lt;25),0.35,0)+IF(AND(V796&gt;=40,V796&lt;75,W796&gt;=25,W796&lt;65),0.25,0)+IF(AND(V796&gt;=40,V796&lt;75,W796&gt;=65,W796&lt;100),0.17,0)+IF(AND(V796&gt;=40,V796&lt;75,W796&gt;=100),0.1,0)+IF(AND(V796&gt;=75,W796&lt;25),0.35,0)+IF(AND(V796&gt;=75,W796&gt;=25,W796&lt;60),0.25,0)+IF(AND(V796&gt;=75,W796&gt;=60,W796&lt;95),0.17,0)+IF(AND(V796&gt;=75,W796&gt;=95),0.1,0),
IF(AF796="DoEVold15",IF(AND(V796&lt;=40,W796&lt;35),0.35,0)+IF(AND(V796&lt;=40,W796&gt;=35,W796&lt;75),0.25,0)+IF(AND(V796&lt;=40,W796&gt;=75,W796&lt;120),0.17,0)+IF(AND(V796&lt;=40,W796&gt;=120),0.15,0)+IF(AND(V796&gt;40,V796&lt;75,W796&lt;25),0.35,0)+IF(AND(V796&gt;=40,V796&lt;75,W796&gt;=25,W796&lt;65),0.25,0)+IF(AND(V796&gt;=40,V796&lt;75,W796&gt;=65,W796&lt;100),0.17,0)+IF(AND(V796&gt;=40,V796&lt;75,W796&gt;=100),0.1,0)+IF(AND(V796&gt;=75,W796&lt;25),0.35,0)+IF(AND(V796&gt;=75,W796&gt;=25,W796&lt;60),0.25,0)+IF(AND(V796&gt;=75,W796&gt;=60,W796&lt;95),0.17,0)+IF(AND(V796&gt;=75,W796&gt;=95),0.1,0),
IF(AF796="DoEVba",IF(AND(V796&lt;20,W796&lt;105),0.2,0)+IF(AND(V796&lt;20,W796&gt;=105),0.15,0)+IF(AND(V796&gt;=20,V796&lt;40,W796&lt;95),0.2,0)+IF(AND(V796&gt;=20,V796&lt;40,W796&gt;=95,W796&lt;150),0.15,0)+IF(AND(V796&gt;=20,V796&lt;40,W796&gt;=150),0.12,0)+IF(AND(V796&gt;=40,V796&lt;75,W796&lt;75),0.2,0)+IF(AND(V796&gt;=40,V796&lt;75,W796&gt;=75,W796&lt;120),0.15,0)+IF(AND(V796&gt;=40,V796&lt;75,W796&gt;=120),0.12,0)+IF(AND(V796&gt;=75,V796&lt;175,W796&lt;65),0.2,0)+IF(AND(V796&gt;=75,V796&lt;175,W796&gt;=65,W796&lt;110),0.15,0)+IF(AND(V796&gt;=75,V796&lt;175,W796&gt;=110),0.12,0)+IF(AND(V796&gt;=175,W796&lt;55),0.2,0)+IF(AND(V796&gt;=175,W796&gt;=55,W796&lt;95),0.15,0)+IF(AND(V796&gt;=175,W796&gt;=95),0.12,0),
IF(AF796="DoEVku",IF(AND(V796&lt;20,W796&lt;55),0.23,0)+IF(AND(V796&lt;20,W796&gt;=55,W796&lt;105),0.2,0)+IF(AND(V796&lt;20,W796&gt;=105),0.17,0)+IF(AND(V796&gt;=20,V796&lt;40,W796&lt;45),0.23,0)+IF(AND(V796&gt;=20,V796&lt;40,W796&gt;=45,W796&lt;95),0.2,0)+IF(AND(V796&gt;=20,V796&lt;40,W796&gt;=95,W796&lt;=150),0.17,0)+IF(AND(V796&gt;=20,V796&lt;40,W796&gt;=150),0.12,0)+IF(AND(V796&gt;=40,V796&lt;75,W796&lt;35),0.23,0)+IF(AND(V796&gt;=40,V796&lt;75,W796&gt;=35,W796&lt;75),0.2,0)+IF(AND(V796&gt;=40,V796&lt;75,W796&gt;=75,W796&lt;120),0.17,0)+IF(AND(V796&gt;=40,V796&lt;75,W796&gt;=120),0.12,0)+IF(AND(V796&gt;=75,V796&lt;175,W796&lt;35),0.23,0)+IF(AND(V796&gt;=75,V796&lt;=175,W796&gt;=35,W796&lt;65),0.2,0)+IF(AND(V796&gt;=75,V796&lt;=175,W796&gt;=65,W796&lt;110),0.17,0)+IF(AND(V796&gt;=75,V796&lt;=175,W796&gt;=110),0.12,0)+IF(AND(V796&gt;175,W796&lt;25),0.23,0)+IF(AND(V796&gt;175,W796&gt;=25,W796&lt;55),0.2,0)+IF(AND(V796&gt;175,W796&gt;=55,W796&lt;95),0.17,0)+IF(AND(V796&gt;175,W796&gt;=95),0.12,0),
IF(AF796="DoEVs1",IF(AND(V796&lt;20,W796&lt;55),0.3,0)+IF(AND(V796&lt;20,W796&gt;=55,W796&lt;105),0.23,0)+IF(AND(V796&lt;20,W796&gt;=105),0.17,0)+IF(AND(V796&gt;=20,V796&lt;40,W796&lt;45),0.3,0)+IF(AND(V796&gt;=20,V796&lt;40,W796&gt;=45,W796&lt;95),0.23,0)+IF(AND(V796&gt;=20,V796&lt;40,W796&gt;=95,W796&lt;=150),0.17,0)+IF(AND(V796&gt;=20,V796&lt;40,W796&gt;=150),0.12,0)+IF(AND(V796&gt;=40,V796&lt;75,W796&lt;35),0.3,0)+IF(AND(V796&gt;=40,V796&lt;75,W796&gt;=35,W796&lt;75),0.23,0)+IF(AND(V796&gt;=40,V796&lt;75,W796&gt;=75,W796&lt;120),0.17,0)+IF(AND(V796&gt;=40,V796&lt;75,W796&gt;=120),0.12,0)+IF(AND(V796&gt;=75,V796&lt;175,W796&lt;35),0.3,0)+IF(AND(V796&gt;=75,V796&lt;=175,W796&gt;=35,W796&lt;65),0.23,0)+IF(AND(V796&gt;=75,V796&lt;=175,W796&gt;=65,W796&lt;110),0.17,0)+IF(AND(V796&gt;=75,V796&lt;=175,W796&gt;=110),0.12,0)+IF(AND(V796&gt;175,W796&lt;25),0.3,0)+IF(AND(V796&gt;175,W796&gt;=25,W796&lt;55),0.23,0)+IF(AND(V796&gt;175,W796&gt;=55,W796&lt;95),0.17,0)+IF(AND(V796&gt;175,W796&gt;=95),0.12,0),
IF(AF796="DoEVsu",IF(AND(V796&lt;20,W796&lt;55),0.3,0)+IF(AND(V796&lt;20,W796&gt;=55,W796&lt;105),0.23,0)+IF(AND(V796&lt;20,W796&gt;=105),0.17,0)+IF(AND(V796&gt;=20,V796&lt;40,W796&lt;45),0.3,0)+IF(AND(V796&gt;=20,V796&lt;40,W796&gt;=45,W796&lt;95),0.23,0)+IF(AND(V796&gt;=20,V796&lt;40,W796&gt;=95,W796&lt;=250),0.17,0)+IF(AND(V796&gt;=20,V796&lt;40,W796&gt;=250),0.12,0)+IF(AND(V796&gt;=40,V796&lt;75,W796&lt;35),0.3,0)+IF(AND(V796&gt;=40,V796&lt;75,W796&gt;=35,W796&lt;75),0.23,0)+IF(AND(V796&gt;=40,V796&lt;75,W796&gt;=75,W796&lt;120),0.17,0)+IF(AND(V796&gt;=40,V796&lt;75,W796&gt;=120),0.12,0)+IF(AND(V796&gt;=75,V796&lt;175,W796&lt;35),0.3,0)+IF(AND(V796&gt;=75,V796&lt;=175,W796&gt;=35,W796&lt;65),0.23,0)+IF(AND(V796&gt;=75,V796&lt;=175,W796&gt;=65,W796&lt;110),0.17,0)+IF(AND(V796&gt;=75,V796&lt;=175,W796&gt;=110),0.12,0)+IF(AND(V796&gt;175,W796&lt;25),0.3,0)+IF(AND(V796&gt;175,W796&gt;=25,W796&lt;55),0.23,0)+IF(AND(V796&gt;175,W796&gt;=55,W796&lt;95),0.17,0)+IF(AND(V796&gt;175,W796&gt;=95),0.12,0),
IF(AF796="DoEVni",IF(AND(V796&lt;20,W796&lt;55),0.3,0)+IF(AND(V796&lt;20,W796&gt;=55,W796&lt;105),0.23,0)+IF(AND(V796&lt;20,W796&gt;=105),0.17,0)+IF(AND(V796&gt;=20,V796&lt;40,W796&lt;45),0.3,0)+IF(AND(V796&gt;=20,V796&lt;40,W796&gt;=45,W796&lt;95),0.23,0)+IF(AND(V796&gt;=20,V796&lt;40,W796&gt;=95,W796&lt;=200),0.17,0)+IF(AND(V796&gt;=20,V796&lt;40,W796&gt;=200),0.12,0)+IF(AND(V796&gt;=40,V796&lt;75,W796&lt;35),0.3,0)+IF(AND(V796&gt;=40,V796&lt;75,W796&gt;=35,W796&lt;75),0.23,0)+IF(AND(V796&gt;=40,V796&lt;75,W796&gt;=75,W796&lt;120),0.17,0)+IF(AND(V796&gt;=40,V796&lt;75,W796&gt;=120),0.12,0)+IF(AND(V796&gt;=75,V796&lt;175,W796&lt;35),0.3,0)+IF(AND(V796&gt;=75,V796&lt;=175,W796&gt;=35,W796&lt;65),0.23,0)+IF(AND(V796&gt;=75,V796&lt;=175,W796&gt;=65,W796&lt;110),0.17,0)+IF(AND(V796&gt;=75,V796&lt;=175,W796&gt;=110),0.12,0)+IF(AND(V796&gt;175,W796&lt;25),0.3,0)+IF(AND(V796&gt;175,W796&gt;=25,W796&lt;55),0.23,0)+IF(AND(V796&gt;175,W796&gt;=55,W796&lt;95),0.17,0)+IF(AND(V796&gt;175,W796&gt;=95),0.12,0),
IF(AF796="DoEVLo",IF(AND(V796&lt;20,W796&lt;55),0.25,0)+IF(AND(V796&lt;20,W796&gt;=55,W796&lt;105),0.2,0)+IF(AND(V796&lt;20,W796&gt;=105),0.15,0)+IF(AND(V796&gt;=20,V796&lt;40,W796&lt;45),0.25,0)+IF(AND(V796&gt;=20,V796&lt;40,W796&gt;=45,W796&lt;95),0.2,0)+IF(AND(V796&gt;=20,V796&lt;40,W796&gt;=95),0.15,0)+IF(AND(V796&gt;=40,V796&lt;75,W796&lt;35),0.25,0)+IF(AND(V796&gt;=40,V796&lt;75,W796&gt;=35,W796&lt;75),0.2,0)+IF(AND(V796&gt;=40,V796&lt;75,W796&gt;=75,W796&lt;120),0.15,0)+IF(AND(V796&gt;=40,V796&lt;75,W796&gt;=120),0.1,0)+IF(AND(V796&gt;=75,V796&lt;175,W796&lt;35),0.25,0)+IF(AND(V796&gt;=75,V796&lt;=175,W796&gt;=35,W796&lt;65),0.2,0)+IF(AND(V796&gt;=75,V796&lt;=175,W796&gt;=65,W796&lt;110),0.15,0)+IF(AND(V796&gt;=75,V796&lt;=175,W796&gt;=110),0.1,0)+IF(AND(V796&gt;175,W796&lt;25),0.25,0)+IF(AND(V796&gt;175,W796&gt;=25,W796&lt;55),0.2,0)+IF(AND(V796&gt;175,W796&gt;=55,W796&lt;95),0.15,0)+IF(AND(V796&gt;175,W796&gt;=95),0.1,0))))))))))))))))))</f>
        <v>0.1125</v>
      </c>
      <c r="Y796" s="30">
        <f>IF(AG796="None",0,IF(AG796="Fix5",0.05, IF(AG796="Fix6.25",0.0625,IF(AG796="Fix3.75",0.0375,IF(AG796="Fix10",0.1,IF(AG796="Fix3",0.03,0))))))</f>
        <v>3.7499999999999999E-2</v>
      </c>
      <c r="Z796" s="35">
        <f>T796-AA796-AB796</f>
        <v>5500.8625000000002</v>
      </c>
      <c r="AA796" s="29">
        <f>IF(AD796="EUR",((T796-R796)*X796)*U796+(R796*X796),(T796*X796))</f>
        <v>839.13750000000005</v>
      </c>
      <c r="AB796" s="104">
        <v>1119</v>
      </c>
      <c r="AC796" s="37" t="b">
        <v>1</v>
      </c>
      <c r="AD796" s="37" t="s">
        <v>38</v>
      </c>
      <c r="AE796" s="37" t="s">
        <v>38</v>
      </c>
      <c r="AF796" s="37" t="str">
        <f t="array" ref="AF796">INDEX('Deal Info'!D:D, MATCH(A796,'Deal Info'!A:A, 0))</f>
        <v>Fix11.25</v>
      </c>
      <c r="AG796" s="38" t="str">
        <f t="array" ref="AG796">INDEX('Deal Info'!G:G, MATCH(A796,'Deal Info'!A:A, 0))</f>
        <v>Fix3.75</v>
      </c>
    </row>
    <row r="797" spans="1:33" ht="14.25" hidden="1" x14ac:dyDescent="0.2">
      <c r="A797" s="18" t="str">
        <f t="array" ref="A797">IF(G797='Room Info'!$B$1, INDEX('Room Info'!$A$2:$A2446, MATCH(B797,'Room Info'!$B$2:$B2446, 0)),IF(G797='Room Info'!$C$1, INDEX('Room Info'!$A$2:$A2446, MATCH(B797,'Room Info'!$C$2:$C2446, 0)),IF(G797='Room Info'!$D$1, INDEX('Room Info'!$A$2:$A2446, MATCH(B797,'Room Info'!$D$2:$D2446, 0)),IF(G797='Room Info'!$E$1, INDEX('Room Info'!$A$2:$A2446, MATCH(B797,'Room Info'!$E$2:$E2446, 0)),IF(G797='Room Info'!$F$1, INDEX('Room Info'!$A$2:$A2446, MATCH(B797,'Room Info'!$F$2:$F2446, 0)),IF(G797='Room Info'!$H$1, INDEX('Room Info'!$A$2:$A2446, MATCH(B797,'Room Info'!$H$2:$H2446, 0)),IF(G797='Room Info'!$G$1, INDEX('Room Info'!$A$2:$A2446, MATCH(B797,'Room Info'!$G$2:$G2446, 0)))))))))</f>
        <v>fig6</v>
      </c>
      <c r="B797" s="45" t="s">
        <v>172</v>
      </c>
      <c r="C797" s="77">
        <v>44855</v>
      </c>
      <c r="D797" s="46">
        <v>44885</v>
      </c>
      <c r="E797" s="47">
        <v>44866</v>
      </c>
      <c r="F797" s="48" t="s">
        <v>34</v>
      </c>
      <c r="G797" s="54" t="s">
        <v>35</v>
      </c>
      <c r="H797" s="49" t="s">
        <v>148</v>
      </c>
      <c r="I797" s="49" t="s">
        <v>44</v>
      </c>
      <c r="J797" s="50">
        <v>250</v>
      </c>
      <c r="K797" s="51">
        <v>711</v>
      </c>
      <c r="L797" s="52">
        <v>2750</v>
      </c>
      <c r="M797" s="53">
        <v>6663</v>
      </c>
      <c r="N797" s="28">
        <f>K797*J797</f>
        <v>177750</v>
      </c>
      <c r="O797" s="54">
        <v>4138</v>
      </c>
      <c r="P797" s="29">
        <v>5.8199718709999999</v>
      </c>
      <c r="Q797" s="55"/>
      <c r="R797" s="31">
        <f>M797+Q797</f>
        <v>6663</v>
      </c>
      <c r="S797" s="56">
        <v>-6190</v>
      </c>
      <c r="T797" s="32">
        <f>R797+S797+IF(F797="Without EV deal",L797,0)</f>
        <v>473</v>
      </c>
      <c r="U797" s="57">
        <v>1</v>
      </c>
      <c r="V797" s="58"/>
      <c r="W797" s="58"/>
      <c r="X797" s="30">
        <f>IF(AF797="DoEV",IF(AND(V797&lt;20,W797&lt;55),0.3,0)+IF(AND(V797&lt;20,W797&gt;=55,W797&lt;105),0.23,0)+IF(AND(V797&lt;20,W797&gt;=105),0.17,0)+IF(AND(V797&gt;=20,V797&lt;40,W797&lt;45),0.3,0)+IF(AND(V797&gt;=20,V797&lt;40,W797&gt;=45,W797&lt;95),0.23,0)+IF(AND(V797&gt;=20,V797&lt;40,W797&gt;=95),0.17,0)+IF(AND(V797&gt;=40,V797&lt;75,W797&lt;35),0.3,0)+IF(AND(V797&gt;=40,V797&lt;75,W797&gt;=35,W797&lt;75),0.23,0)+IF(AND(V797&gt;=40,V797&lt;75,W797&gt;=75,W797&lt;120),0.17,0)+IF(AND(V797&gt;=40,V797&lt;75,W797&gt;=120),0.12,0)+IF(AND(V797&gt;=75,V797&lt;175,W797&lt;35),0.3,0)+IF(AND(V797&gt;=75,V797&lt;=175,W797&gt;=35,W797&lt;65),0.23,0)+IF(AND(V797&gt;=75,V797&lt;=175,W797&gt;=65,W797&lt;110),0.17,0)+IF(AND(V797&gt;=75,V797&lt;=175,W797&gt;=110),0.12,0)+IF(AND(V797&gt;175,W797&lt;25),0.3,0)+IF(AND(V797&gt;175,W797&gt;=25,W797&lt;55),0.23,0)+IF(AND(V797&gt;175,W797&gt;=55,W797&lt;95),0.17,0)+IF(AND(V797&gt;175,W797&gt;=95),0.12,0),
IF(AF797="Fix15",0.15,
IF(AF797="Fix18.75",0.1875,
IF(AF797="Fix11.25",0.1125,
IF(AF797="Fix10",0.1,
IF(AF797="Fix9",0.09,
IF(AF797="Fix19",0.19,
IF(AF797="DoEV2017",IF(AND(W797&lt;74),0.2,0)+IF(AND(W797&gt;=74),0.17,0),
IF(AF797="SF",IF(AND(V797&lt;20,W797&lt;89),0.3,0)+IF(AND(V797&lt;20,W797&gt;=89),0.25,0)+IF(AND(V797&gt;=20,V797&lt;40,W797&lt;74),0.3,0)+IF(AND(V797&gt;=20,V797&lt;40,W797&gt;=75),0.22,0)+IF(AND(V797&gt;=40,V797&lt;75,W797&lt;75),0.26,0)+IF(AND(V797&gt;=40,V797&lt;75,W797&gt;=75),0.22,0)+IF(V797&gt;=75,0.22,0),
IF(AF797="DoEVold",IF(AND(V797&lt;40,W797&lt;35),0.35,0)+IF(AND(V797&lt;40,W797&gt;=35,W797&lt;75),0.25,0)+IF(AND(V797&lt;40,W797&gt;=75),0.17,0)+IF(AND(V797&gt;=40,V797&lt;75,W797&lt;25),0.35,0)+IF(AND(V797&gt;=40,V797&lt;75,W797&gt;=25,W797&lt;65),0.25,0)+IF(AND(V797&gt;=40,V797&lt;75,W797&gt;=65,W797&lt;100),0.17,0)+IF(AND(V797&gt;=40,V797&lt;75,W797&gt;=100),0.1,0)+IF(AND(V797&gt;=75,W797&lt;25),0.35,0)+IF(AND(V797&gt;=75,W797&gt;=25,W797&lt;60),0.25,0)+IF(AND(V797&gt;=75,W797&gt;=60,W797&lt;95),0.17,0)+IF(AND(V797&gt;=75,W797&gt;=95),0.1,0),
IF(AF797="DoEVold15",IF(AND(V797&lt;=40,W797&lt;35),0.35,0)+IF(AND(V797&lt;=40,W797&gt;=35,W797&lt;75),0.25,0)+IF(AND(V797&lt;=40,W797&gt;=75,W797&lt;120),0.17,0)+IF(AND(V797&lt;=40,W797&gt;=120),0.15,0)+IF(AND(V797&gt;40,V797&lt;75,W797&lt;25),0.35,0)+IF(AND(V797&gt;=40,V797&lt;75,W797&gt;=25,W797&lt;65),0.25,0)+IF(AND(V797&gt;=40,V797&lt;75,W797&gt;=65,W797&lt;100),0.17,0)+IF(AND(V797&gt;=40,V797&lt;75,W797&gt;=100),0.1,0)+IF(AND(V797&gt;=75,W797&lt;25),0.35,0)+IF(AND(V797&gt;=75,W797&gt;=25,W797&lt;60),0.25,0)+IF(AND(V797&gt;=75,W797&gt;=60,W797&lt;95),0.17,0)+IF(AND(V797&gt;=75,W797&gt;=95),0.1,0),
IF(AF797="DoEVba",IF(AND(V797&lt;20,W797&lt;105),0.2,0)+IF(AND(V797&lt;20,W797&gt;=105),0.15,0)+IF(AND(V797&gt;=20,V797&lt;40,W797&lt;95),0.2,0)+IF(AND(V797&gt;=20,V797&lt;40,W797&gt;=95,W797&lt;150),0.15,0)+IF(AND(V797&gt;=20,V797&lt;40,W797&gt;=150),0.12,0)+IF(AND(V797&gt;=40,V797&lt;75,W797&lt;75),0.2,0)+IF(AND(V797&gt;=40,V797&lt;75,W797&gt;=75,W797&lt;120),0.15,0)+IF(AND(V797&gt;=40,V797&lt;75,W797&gt;=120),0.12,0)+IF(AND(V797&gt;=75,V797&lt;175,W797&lt;65),0.2,0)+IF(AND(V797&gt;=75,V797&lt;175,W797&gt;=65,W797&lt;110),0.15,0)+IF(AND(V797&gt;=75,V797&lt;175,W797&gt;=110),0.12,0)+IF(AND(V797&gt;=175,W797&lt;55),0.2,0)+IF(AND(V797&gt;=175,W797&gt;=55,W797&lt;95),0.15,0)+IF(AND(V797&gt;=175,W797&gt;=95),0.12,0),
IF(AF797="DoEVku",IF(AND(V797&lt;20,W797&lt;55),0.23,0)+IF(AND(V797&lt;20,W797&gt;=55,W797&lt;105),0.2,0)+IF(AND(V797&lt;20,W797&gt;=105),0.17,0)+IF(AND(V797&gt;=20,V797&lt;40,W797&lt;45),0.23,0)+IF(AND(V797&gt;=20,V797&lt;40,W797&gt;=45,W797&lt;95),0.2,0)+IF(AND(V797&gt;=20,V797&lt;40,W797&gt;=95,W797&lt;=150),0.17,0)+IF(AND(V797&gt;=20,V797&lt;40,W797&gt;=150),0.12,0)+IF(AND(V797&gt;=40,V797&lt;75,W797&lt;35),0.23,0)+IF(AND(V797&gt;=40,V797&lt;75,W797&gt;=35,W797&lt;75),0.2,0)+IF(AND(V797&gt;=40,V797&lt;75,W797&gt;=75,W797&lt;120),0.17,0)+IF(AND(V797&gt;=40,V797&lt;75,W797&gt;=120),0.12,0)+IF(AND(V797&gt;=75,V797&lt;175,W797&lt;35),0.23,0)+IF(AND(V797&gt;=75,V797&lt;=175,W797&gt;=35,W797&lt;65),0.2,0)+IF(AND(V797&gt;=75,V797&lt;=175,W797&gt;=65,W797&lt;110),0.17,0)+IF(AND(V797&gt;=75,V797&lt;=175,W797&gt;=110),0.12,0)+IF(AND(V797&gt;175,W797&lt;25),0.23,0)+IF(AND(V797&gt;175,W797&gt;=25,W797&lt;55),0.2,0)+IF(AND(V797&gt;175,W797&gt;=55,W797&lt;95),0.17,0)+IF(AND(V797&gt;175,W797&gt;=95),0.12,0),
IF(AF797="DoEVs1",IF(AND(V797&lt;20,W797&lt;55),0.3,0)+IF(AND(V797&lt;20,W797&gt;=55,W797&lt;105),0.23,0)+IF(AND(V797&lt;20,W797&gt;=105),0.17,0)+IF(AND(V797&gt;=20,V797&lt;40,W797&lt;45),0.3,0)+IF(AND(V797&gt;=20,V797&lt;40,W797&gt;=45,W797&lt;95),0.23,0)+IF(AND(V797&gt;=20,V797&lt;40,W797&gt;=95,W797&lt;=150),0.17,0)+IF(AND(V797&gt;=20,V797&lt;40,W797&gt;=150),0.12,0)+IF(AND(V797&gt;=40,V797&lt;75,W797&lt;35),0.3,0)+IF(AND(V797&gt;=40,V797&lt;75,W797&gt;=35,W797&lt;75),0.23,0)+IF(AND(V797&gt;=40,V797&lt;75,W797&gt;=75,W797&lt;120),0.17,0)+IF(AND(V797&gt;=40,V797&lt;75,W797&gt;=120),0.12,0)+IF(AND(V797&gt;=75,V797&lt;175,W797&lt;35),0.3,0)+IF(AND(V797&gt;=75,V797&lt;=175,W797&gt;=35,W797&lt;65),0.23,0)+IF(AND(V797&gt;=75,V797&lt;=175,W797&gt;=65,W797&lt;110),0.17,0)+IF(AND(V797&gt;=75,V797&lt;=175,W797&gt;=110),0.12,0)+IF(AND(V797&gt;175,W797&lt;25),0.3,0)+IF(AND(V797&gt;175,W797&gt;=25,W797&lt;55),0.23,0)+IF(AND(V797&gt;175,W797&gt;=55,W797&lt;95),0.17,0)+IF(AND(V797&gt;175,W797&gt;=95),0.12,0),
IF(AF797="DoEVsu",IF(AND(V797&lt;20,W797&lt;55),0.3,0)+IF(AND(V797&lt;20,W797&gt;=55,W797&lt;105),0.23,0)+IF(AND(V797&lt;20,W797&gt;=105),0.17,0)+IF(AND(V797&gt;=20,V797&lt;40,W797&lt;45),0.3,0)+IF(AND(V797&gt;=20,V797&lt;40,W797&gt;=45,W797&lt;95),0.23,0)+IF(AND(V797&gt;=20,V797&lt;40,W797&gt;=95,W797&lt;=250),0.17,0)+IF(AND(V797&gt;=20,V797&lt;40,W797&gt;=250),0.12,0)+IF(AND(V797&gt;=40,V797&lt;75,W797&lt;35),0.3,0)+IF(AND(V797&gt;=40,V797&lt;75,W797&gt;=35,W797&lt;75),0.23,0)+IF(AND(V797&gt;=40,V797&lt;75,W797&gt;=75,W797&lt;120),0.17,0)+IF(AND(V797&gt;=40,V797&lt;75,W797&gt;=120),0.12,0)+IF(AND(V797&gt;=75,V797&lt;175,W797&lt;35),0.3,0)+IF(AND(V797&gt;=75,V797&lt;=175,W797&gt;=35,W797&lt;65),0.23,0)+IF(AND(V797&gt;=75,V797&lt;=175,W797&gt;=65,W797&lt;110),0.17,0)+IF(AND(V797&gt;=75,V797&lt;=175,W797&gt;=110),0.12,0)+IF(AND(V797&gt;175,W797&lt;25),0.3,0)+IF(AND(V797&gt;175,W797&gt;=25,W797&lt;55),0.23,0)+IF(AND(V797&gt;175,W797&gt;=55,W797&lt;95),0.17,0)+IF(AND(V797&gt;175,W797&gt;=95),0.12,0),
IF(AF797="DoEVni",IF(AND(V797&lt;20,W797&lt;55),0.3,0)+IF(AND(V797&lt;20,W797&gt;=55,W797&lt;105),0.23,0)+IF(AND(V797&lt;20,W797&gt;=105),0.17,0)+IF(AND(V797&gt;=20,V797&lt;40,W797&lt;45),0.3,0)+IF(AND(V797&gt;=20,V797&lt;40,W797&gt;=45,W797&lt;95),0.23,0)+IF(AND(V797&gt;=20,V797&lt;40,W797&gt;=95,W797&lt;=200),0.17,0)+IF(AND(V797&gt;=20,V797&lt;40,W797&gt;=200),0.12,0)+IF(AND(V797&gt;=40,V797&lt;75,W797&lt;35),0.3,0)+IF(AND(V797&gt;=40,V797&lt;75,W797&gt;=35,W797&lt;75),0.23,0)+IF(AND(V797&gt;=40,V797&lt;75,W797&gt;=75,W797&lt;120),0.17,0)+IF(AND(V797&gt;=40,V797&lt;75,W797&gt;=120),0.12,0)+IF(AND(V797&gt;=75,V797&lt;175,W797&lt;35),0.3,0)+IF(AND(V797&gt;=75,V797&lt;=175,W797&gt;=35,W797&lt;65),0.23,0)+IF(AND(V797&gt;=75,V797&lt;=175,W797&gt;=65,W797&lt;110),0.17,0)+IF(AND(V797&gt;=75,V797&lt;=175,W797&gt;=110),0.12,0)+IF(AND(V797&gt;175,W797&lt;25),0.3,0)+IF(AND(V797&gt;175,W797&gt;=25,W797&lt;55),0.23,0)+IF(AND(V797&gt;175,W797&gt;=55,W797&lt;95),0.17,0)+IF(AND(V797&gt;175,W797&gt;=95),0.12,0),
IF(AF797="DoEVLo",IF(AND(V797&lt;20,W797&lt;55),0.25,0)+IF(AND(V797&lt;20,W797&gt;=55,W797&lt;105),0.2,0)+IF(AND(V797&lt;20,W797&gt;=105),0.15,0)+IF(AND(V797&gt;=20,V797&lt;40,W797&lt;45),0.25,0)+IF(AND(V797&gt;=20,V797&lt;40,W797&gt;=45,W797&lt;95),0.2,0)+IF(AND(V797&gt;=20,V797&lt;40,W797&gt;=95),0.15,0)+IF(AND(V797&gt;=40,V797&lt;75,W797&lt;35),0.25,0)+IF(AND(V797&gt;=40,V797&lt;75,W797&gt;=35,W797&lt;75),0.2,0)+IF(AND(V797&gt;=40,V797&lt;75,W797&gt;=75,W797&lt;120),0.15,0)+IF(AND(V797&gt;=40,V797&lt;75,W797&gt;=120),0.1,0)+IF(AND(V797&gt;=75,V797&lt;175,W797&lt;35),0.25,0)+IF(AND(V797&gt;=75,V797&lt;=175,W797&gt;=35,W797&lt;65),0.2,0)+IF(AND(V797&gt;=75,V797&lt;=175,W797&gt;=65,W797&lt;110),0.15,0)+IF(AND(V797&gt;=75,V797&lt;=175,W797&gt;=110),0.1,0)+IF(AND(V797&gt;175,W797&lt;25),0.25,0)+IF(AND(V797&gt;175,W797&gt;=25,W797&lt;55),0.2,0)+IF(AND(V797&gt;175,W797&gt;=55,W797&lt;95),0.15,0)+IF(AND(V797&gt;175,W797&gt;=95),0.1,0))))))))))))))))))</f>
        <v>0.1125</v>
      </c>
      <c r="Y797" s="30">
        <f>IF(AG797="None",0,IF(AG797="Fix5",0.05, IF(AG797="Fix6.25",0.0625,IF(AG797="Fix3.75",0.0375,IF(AG797="Fix10",0.1,IF(AG797="Fix3",0.03,0))))))</f>
        <v>3.7499999999999999E-2</v>
      </c>
      <c r="Z797" s="35">
        <f>T797-AA797-AB797</f>
        <v>348.78750000000002</v>
      </c>
      <c r="AA797" s="29">
        <f>IF(AD797="EUR",((T797-R797)*X797)*U797+(R797*X797),(T797*X797))</f>
        <v>53.212499999999999</v>
      </c>
      <c r="AB797" s="104">
        <v>71</v>
      </c>
      <c r="AC797" s="37" t="b">
        <v>1</v>
      </c>
      <c r="AD797" s="37" t="s">
        <v>38</v>
      </c>
      <c r="AE797" s="37" t="s">
        <v>38</v>
      </c>
      <c r="AF797" s="37" t="str">
        <f t="array" ref="AF797">INDEX('Deal Info'!D:D, MATCH(A797,'Deal Info'!A:A, 0))</f>
        <v>Fix11.25</v>
      </c>
      <c r="AG797" s="38" t="str">
        <f t="array" ref="AG797">INDEX('Deal Info'!G:G, MATCH(A797,'Deal Info'!A:A, 0))</f>
        <v>Fix3.75</v>
      </c>
    </row>
    <row r="798" spans="1:33" ht="14.25" hidden="1" x14ac:dyDescent="0.2">
      <c r="A798" s="18" t="str">
        <f t="array" ref="A798">IF(G798='Room Info'!$B$1, INDEX('Room Info'!$A$2:$A2446, MATCH(B798,'Room Info'!$B$2:$B2446, 0)),IF(G798='Room Info'!$C$1, INDEX('Room Info'!$A$2:$A2446, MATCH(B798,'Room Info'!$C$2:$C2446, 0)),IF(G798='Room Info'!$D$1, INDEX('Room Info'!$A$2:$A2446, MATCH(B798,'Room Info'!$D$2:$D2446, 0)),IF(G798='Room Info'!$E$1, INDEX('Room Info'!$A$2:$A2446, MATCH(B798,'Room Info'!$E$2:$E2446, 0)),IF(G798='Room Info'!$F$1, INDEX('Room Info'!$A$2:$A2446, MATCH(B798,'Room Info'!$F$2:$F2446, 0)),IF(G798='Room Info'!$H$1, INDEX('Room Info'!$A$2:$A2446, MATCH(B798,'Room Info'!$H$2:$H2446, 0)),IF(G798='Room Info'!$G$1, INDEX('Room Info'!$A$2:$A2446, MATCH(B798,'Room Info'!$G$2:$G2446, 0)))))))))</f>
        <v>fig6</v>
      </c>
      <c r="B798" s="45" t="s">
        <v>172</v>
      </c>
      <c r="C798" s="77">
        <v>44855</v>
      </c>
      <c r="D798" s="77">
        <v>44885</v>
      </c>
      <c r="E798" s="47">
        <v>44866</v>
      </c>
      <c r="F798" s="48" t="s">
        <v>41</v>
      </c>
      <c r="G798" s="45" t="s">
        <v>35</v>
      </c>
      <c r="H798" s="49" t="s">
        <v>173</v>
      </c>
      <c r="I798" s="23" t="s">
        <v>174</v>
      </c>
      <c r="J798" s="74">
        <v>100</v>
      </c>
      <c r="K798" s="75">
        <v>5</v>
      </c>
      <c r="L798" s="72">
        <v>285</v>
      </c>
      <c r="M798" s="76">
        <v>7</v>
      </c>
      <c r="N798" s="28">
        <f>K798*J798</f>
        <v>500</v>
      </c>
      <c r="O798" s="96"/>
      <c r="P798" s="29">
        <v>0</v>
      </c>
      <c r="Q798" s="55"/>
      <c r="R798" s="31">
        <f>M798+Q798</f>
        <v>7</v>
      </c>
      <c r="S798" s="97"/>
      <c r="T798" s="32">
        <f>R798+S798+IF(F798="Without EV deal",L798,0)</f>
        <v>292</v>
      </c>
      <c r="U798" s="57">
        <v>1</v>
      </c>
      <c r="V798" s="58"/>
      <c r="W798" s="58"/>
      <c r="X798" s="30">
        <f>IF(AF798="DoEV",IF(AND(V798&lt;20,W798&lt;55),0.3,0)+IF(AND(V798&lt;20,W798&gt;=55,W798&lt;105),0.23,0)+IF(AND(V798&lt;20,W798&gt;=105),0.17,0)+IF(AND(V798&gt;=20,V798&lt;40,W798&lt;45),0.3,0)+IF(AND(V798&gt;=20,V798&lt;40,W798&gt;=45,W798&lt;95),0.23,0)+IF(AND(V798&gt;=20,V798&lt;40,W798&gt;=95),0.17,0)+IF(AND(V798&gt;=40,V798&lt;75,W798&lt;35),0.3,0)+IF(AND(V798&gt;=40,V798&lt;75,W798&gt;=35,W798&lt;75),0.23,0)+IF(AND(V798&gt;=40,V798&lt;75,W798&gt;=75,W798&lt;120),0.17,0)+IF(AND(V798&gt;=40,V798&lt;75,W798&gt;=120),0.12,0)+IF(AND(V798&gt;=75,V798&lt;175,W798&lt;35),0.3,0)+IF(AND(V798&gt;=75,V798&lt;=175,W798&gt;=35,W798&lt;65),0.23,0)+IF(AND(V798&gt;=75,V798&lt;=175,W798&gt;=65,W798&lt;110),0.17,0)+IF(AND(V798&gt;=75,V798&lt;=175,W798&gt;=110),0.12,0)+IF(AND(V798&gt;175,W798&lt;25),0.3,0)+IF(AND(V798&gt;175,W798&gt;=25,W798&lt;55),0.23,0)+IF(AND(V798&gt;175,W798&gt;=55,W798&lt;95),0.17,0)+IF(AND(V798&gt;175,W798&gt;=95),0.12,0),
IF(AF798="Fix15",0.15,
IF(AF798="Fix18.75",0.1875,
IF(AF798="Fix11.25",0.1125,
IF(AF798="Fix10",0.1,
IF(AF798="Fix9",0.09,
IF(AF798="Fix19",0.19,
IF(AF798="DoEV2017",IF(AND(W798&lt;74),0.2,0)+IF(AND(W798&gt;=74),0.17,0),
IF(AF798="SF",IF(AND(V798&lt;20,W798&lt;89),0.3,0)+IF(AND(V798&lt;20,W798&gt;=89),0.25,0)+IF(AND(V798&gt;=20,V798&lt;40,W798&lt;74),0.3,0)+IF(AND(V798&gt;=20,V798&lt;40,W798&gt;=75),0.22,0)+IF(AND(V798&gt;=40,V798&lt;75,W798&lt;75),0.26,0)+IF(AND(V798&gt;=40,V798&lt;75,W798&gt;=75),0.22,0)+IF(V798&gt;=75,0.22,0),
IF(AF798="DoEVold",IF(AND(V798&lt;40,W798&lt;35),0.35,0)+IF(AND(V798&lt;40,W798&gt;=35,W798&lt;75),0.25,0)+IF(AND(V798&lt;40,W798&gt;=75),0.17,0)+IF(AND(V798&gt;=40,V798&lt;75,W798&lt;25),0.35,0)+IF(AND(V798&gt;=40,V798&lt;75,W798&gt;=25,W798&lt;65),0.25,0)+IF(AND(V798&gt;=40,V798&lt;75,W798&gt;=65,W798&lt;100),0.17,0)+IF(AND(V798&gt;=40,V798&lt;75,W798&gt;=100),0.1,0)+IF(AND(V798&gt;=75,W798&lt;25),0.35,0)+IF(AND(V798&gt;=75,W798&gt;=25,W798&lt;60),0.25,0)+IF(AND(V798&gt;=75,W798&gt;=60,W798&lt;95),0.17,0)+IF(AND(V798&gt;=75,W798&gt;=95),0.1,0),
IF(AF798="DoEVold15",IF(AND(V798&lt;=40,W798&lt;35),0.35,0)+IF(AND(V798&lt;=40,W798&gt;=35,W798&lt;75),0.25,0)+IF(AND(V798&lt;=40,W798&gt;=75,W798&lt;120),0.17,0)+IF(AND(V798&lt;=40,W798&gt;=120),0.15,0)+IF(AND(V798&gt;40,V798&lt;75,W798&lt;25),0.35,0)+IF(AND(V798&gt;=40,V798&lt;75,W798&gt;=25,W798&lt;65),0.25,0)+IF(AND(V798&gt;=40,V798&lt;75,W798&gt;=65,W798&lt;100),0.17,0)+IF(AND(V798&gt;=40,V798&lt;75,W798&gt;=100),0.1,0)+IF(AND(V798&gt;=75,W798&lt;25),0.35,0)+IF(AND(V798&gt;=75,W798&gt;=25,W798&lt;60),0.25,0)+IF(AND(V798&gt;=75,W798&gt;=60,W798&lt;95),0.17,0)+IF(AND(V798&gt;=75,W798&gt;=95),0.1,0),
IF(AF798="DoEVba",IF(AND(V798&lt;20,W798&lt;105),0.2,0)+IF(AND(V798&lt;20,W798&gt;=105),0.15,0)+IF(AND(V798&gt;=20,V798&lt;40,W798&lt;95),0.2,0)+IF(AND(V798&gt;=20,V798&lt;40,W798&gt;=95,W798&lt;150),0.15,0)+IF(AND(V798&gt;=20,V798&lt;40,W798&gt;=150),0.12,0)+IF(AND(V798&gt;=40,V798&lt;75,W798&lt;75),0.2,0)+IF(AND(V798&gt;=40,V798&lt;75,W798&gt;=75,W798&lt;120),0.15,0)+IF(AND(V798&gt;=40,V798&lt;75,W798&gt;=120),0.12,0)+IF(AND(V798&gt;=75,V798&lt;175,W798&lt;65),0.2,0)+IF(AND(V798&gt;=75,V798&lt;175,W798&gt;=65,W798&lt;110),0.15,0)+IF(AND(V798&gt;=75,V798&lt;175,W798&gt;=110),0.12,0)+IF(AND(V798&gt;=175,W798&lt;55),0.2,0)+IF(AND(V798&gt;=175,W798&gt;=55,W798&lt;95),0.15,0)+IF(AND(V798&gt;=175,W798&gt;=95),0.12,0),
IF(AF798="DoEVku",IF(AND(V798&lt;20,W798&lt;55),0.23,0)+IF(AND(V798&lt;20,W798&gt;=55,W798&lt;105),0.2,0)+IF(AND(V798&lt;20,W798&gt;=105),0.17,0)+IF(AND(V798&gt;=20,V798&lt;40,W798&lt;45),0.23,0)+IF(AND(V798&gt;=20,V798&lt;40,W798&gt;=45,W798&lt;95),0.2,0)+IF(AND(V798&gt;=20,V798&lt;40,W798&gt;=95,W798&lt;=150),0.17,0)+IF(AND(V798&gt;=20,V798&lt;40,W798&gt;=150),0.12,0)+IF(AND(V798&gt;=40,V798&lt;75,W798&lt;35),0.23,0)+IF(AND(V798&gt;=40,V798&lt;75,W798&gt;=35,W798&lt;75),0.2,0)+IF(AND(V798&gt;=40,V798&lt;75,W798&gt;=75,W798&lt;120),0.17,0)+IF(AND(V798&gt;=40,V798&lt;75,W798&gt;=120),0.12,0)+IF(AND(V798&gt;=75,V798&lt;175,W798&lt;35),0.23,0)+IF(AND(V798&gt;=75,V798&lt;=175,W798&gt;=35,W798&lt;65),0.2,0)+IF(AND(V798&gt;=75,V798&lt;=175,W798&gt;=65,W798&lt;110),0.17,0)+IF(AND(V798&gt;=75,V798&lt;=175,W798&gt;=110),0.12,0)+IF(AND(V798&gt;175,W798&lt;25),0.23,0)+IF(AND(V798&gt;175,W798&gt;=25,W798&lt;55),0.2,0)+IF(AND(V798&gt;175,W798&gt;=55,W798&lt;95),0.17,0)+IF(AND(V798&gt;175,W798&gt;=95),0.12,0),
IF(AF798="DoEVs1",IF(AND(V798&lt;20,W798&lt;55),0.3,0)+IF(AND(V798&lt;20,W798&gt;=55,W798&lt;105),0.23,0)+IF(AND(V798&lt;20,W798&gt;=105),0.17,0)+IF(AND(V798&gt;=20,V798&lt;40,W798&lt;45),0.3,0)+IF(AND(V798&gt;=20,V798&lt;40,W798&gt;=45,W798&lt;95),0.23,0)+IF(AND(V798&gt;=20,V798&lt;40,W798&gt;=95,W798&lt;=150),0.17,0)+IF(AND(V798&gt;=20,V798&lt;40,W798&gt;=150),0.12,0)+IF(AND(V798&gt;=40,V798&lt;75,W798&lt;35),0.3,0)+IF(AND(V798&gt;=40,V798&lt;75,W798&gt;=35,W798&lt;75),0.23,0)+IF(AND(V798&gt;=40,V798&lt;75,W798&gt;=75,W798&lt;120),0.17,0)+IF(AND(V798&gt;=40,V798&lt;75,W798&gt;=120),0.12,0)+IF(AND(V798&gt;=75,V798&lt;175,W798&lt;35),0.3,0)+IF(AND(V798&gt;=75,V798&lt;=175,W798&gt;=35,W798&lt;65),0.23,0)+IF(AND(V798&gt;=75,V798&lt;=175,W798&gt;=65,W798&lt;110),0.17,0)+IF(AND(V798&gt;=75,V798&lt;=175,W798&gt;=110),0.12,0)+IF(AND(V798&gt;175,W798&lt;25),0.3,0)+IF(AND(V798&gt;175,W798&gt;=25,W798&lt;55),0.23,0)+IF(AND(V798&gt;175,W798&gt;=55,W798&lt;95),0.17,0)+IF(AND(V798&gt;175,W798&gt;=95),0.12,0),
IF(AF798="DoEVsu",IF(AND(V798&lt;20,W798&lt;55),0.3,0)+IF(AND(V798&lt;20,W798&gt;=55,W798&lt;105),0.23,0)+IF(AND(V798&lt;20,W798&gt;=105),0.17,0)+IF(AND(V798&gt;=20,V798&lt;40,W798&lt;45),0.3,0)+IF(AND(V798&gt;=20,V798&lt;40,W798&gt;=45,W798&lt;95),0.23,0)+IF(AND(V798&gt;=20,V798&lt;40,W798&gt;=95,W798&lt;=250),0.17,0)+IF(AND(V798&gt;=20,V798&lt;40,W798&gt;=250),0.12,0)+IF(AND(V798&gt;=40,V798&lt;75,W798&lt;35),0.3,0)+IF(AND(V798&gt;=40,V798&lt;75,W798&gt;=35,W798&lt;75),0.23,0)+IF(AND(V798&gt;=40,V798&lt;75,W798&gt;=75,W798&lt;120),0.17,0)+IF(AND(V798&gt;=40,V798&lt;75,W798&gt;=120),0.12,0)+IF(AND(V798&gt;=75,V798&lt;175,W798&lt;35),0.3,0)+IF(AND(V798&gt;=75,V798&lt;=175,W798&gt;=35,W798&lt;65),0.23,0)+IF(AND(V798&gt;=75,V798&lt;=175,W798&gt;=65,W798&lt;110),0.17,0)+IF(AND(V798&gt;=75,V798&lt;=175,W798&gt;=110),0.12,0)+IF(AND(V798&gt;175,W798&lt;25),0.3,0)+IF(AND(V798&gt;175,W798&gt;=25,W798&lt;55),0.23,0)+IF(AND(V798&gt;175,W798&gt;=55,W798&lt;95),0.17,0)+IF(AND(V798&gt;175,W798&gt;=95),0.12,0),
IF(AF798="DoEVni",IF(AND(V798&lt;20,W798&lt;55),0.3,0)+IF(AND(V798&lt;20,W798&gt;=55,W798&lt;105),0.23,0)+IF(AND(V798&lt;20,W798&gt;=105),0.17,0)+IF(AND(V798&gt;=20,V798&lt;40,W798&lt;45),0.3,0)+IF(AND(V798&gt;=20,V798&lt;40,W798&gt;=45,W798&lt;95),0.23,0)+IF(AND(V798&gt;=20,V798&lt;40,W798&gt;=95,W798&lt;=200),0.17,0)+IF(AND(V798&gt;=20,V798&lt;40,W798&gt;=200),0.12,0)+IF(AND(V798&gt;=40,V798&lt;75,W798&lt;35),0.3,0)+IF(AND(V798&gt;=40,V798&lt;75,W798&gt;=35,W798&lt;75),0.23,0)+IF(AND(V798&gt;=40,V798&lt;75,W798&gt;=75,W798&lt;120),0.17,0)+IF(AND(V798&gt;=40,V798&lt;75,W798&gt;=120),0.12,0)+IF(AND(V798&gt;=75,V798&lt;175,W798&lt;35),0.3,0)+IF(AND(V798&gt;=75,V798&lt;=175,W798&gt;=35,W798&lt;65),0.23,0)+IF(AND(V798&gt;=75,V798&lt;=175,W798&gt;=65,W798&lt;110),0.17,0)+IF(AND(V798&gt;=75,V798&lt;=175,W798&gt;=110),0.12,0)+IF(AND(V798&gt;175,W798&lt;25),0.3,0)+IF(AND(V798&gt;175,W798&gt;=25,W798&lt;55),0.23,0)+IF(AND(V798&gt;175,W798&gt;=55,W798&lt;95),0.17,0)+IF(AND(V798&gt;175,W798&gt;=95),0.12,0),
IF(AF798="DoEVLo",IF(AND(V798&lt;20,W798&lt;55),0.25,0)+IF(AND(V798&lt;20,W798&gt;=55,W798&lt;105),0.2,0)+IF(AND(V798&lt;20,W798&gt;=105),0.15,0)+IF(AND(V798&gt;=20,V798&lt;40,W798&lt;45),0.25,0)+IF(AND(V798&gt;=20,V798&lt;40,W798&gt;=45,W798&lt;95),0.2,0)+IF(AND(V798&gt;=20,V798&lt;40,W798&gt;=95),0.15,0)+IF(AND(V798&gt;=40,V798&lt;75,W798&lt;35),0.25,0)+IF(AND(V798&gt;=40,V798&lt;75,W798&gt;=35,W798&lt;75),0.2,0)+IF(AND(V798&gt;=40,V798&lt;75,W798&gt;=75,W798&lt;120),0.15,0)+IF(AND(V798&gt;=40,V798&lt;75,W798&gt;=120),0.1,0)+IF(AND(V798&gt;=75,V798&lt;175,W798&lt;35),0.25,0)+IF(AND(V798&gt;=75,V798&lt;=175,W798&gt;=35,W798&lt;65),0.2,0)+IF(AND(V798&gt;=75,V798&lt;=175,W798&gt;=65,W798&lt;110),0.15,0)+IF(AND(V798&gt;=75,V798&lt;=175,W798&gt;=110),0.1,0)+IF(AND(V798&gt;175,W798&lt;25),0.25,0)+IF(AND(V798&gt;175,W798&gt;=25,W798&lt;55),0.2,0)+IF(AND(V798&gt;175,W798&gt;=55,W798&lt;95),0.15,0)+IF(AND(V798&gt;175,W798&gt;=95),0.1,0))))))))))))))))))</f>
        <v>0.1125</v>
      </c>
      <c r="Y798" s="30">
        <f>IF(AG798="None",0,IF(AG798="Fix5",0.05, IF(AG798="Fix6.25",0.0625,IF(AG798="Fix3.75",0.0375,IF(AG798="Fix10",0.1,IF(AG798="Fix3",0.03,0))))))</f>
        <v>3.7499999999999999E-2</v>
      </c>
      <c r="Z798" s="35">
        <f>T798-AA798-AB798</f>
        <v>215.14999999999998</v>
      </c>
      <c r="AA798" s="29">
        <f>IF(AD798="EUR",((T798-R798)*X798)*U798+(R798*X798),(T798*X798))</f>
        <v>32.85</v>
      </c>
      <c r="AB798" s="104">
        <v>44</v>
      </c>
      <c r="AC798" s="37" t="b">
        <v>1</v>
      </c>
      <c r="AD798" s="37" t="s">
        <v>38</v>
      </c>
      <c r="AE798" s="37" t="s">
        <v>38</v>
      </c>
      <c r="AF798" s="37" t="str">
        <f t="array" ref="AF798">INDEX('Deal Info'!D:D, MATCH(A798,'Deal Info'!A:A, 0))</f>
        <v>Fix11.25</v>
      </c>
      <c r="AG798" s="38" t="str">
        <f t="array" ref="AG798">INDEX('Deal Info'!G:G, MATCH(A798,'Deal Info'!A:A, 0))</f>
        <v>Fix3.75</v>
      </c>
    </row>
    <row r="799" spans="1:33" ht="14.25" hidden="1" x14ac:dyDescent="0.2">
      <c r="A799" s="18" t="str">
        <f t="array" ref="A799">IF(G799='Room Info'!$B$1, INDEX('Room Info'!$A$2:$A2446, MATCH(B799,'Room Info'!$B$2:$B2446, 0)),IF(G799='Room Info'!$C$1, INDEX('Room Info'!$A$2:$A2446, MATCH(B799,'Room Info'!$C$2:$C2446, 0)),IF(G799='Room Info'!$D$1, INDEX('Room Info'!$A$2:$A2446, MATCH(B799,'Room Info'!$D$2:$D2446, 0)),IF(G799='Room Info'!$E$1, INDEX('Room Info'!$A$2:$A2446, MATCH(B799,'Room Info'!$E$2:$E2446, 0)),IF(G799='Room Info'!$F$1, INDEX('Room Info'!$A$2:$A2446, MATCH(B799,'Room Info'!$F$2:$F2446, 0)),IF(G799='Room Info'!$H$1, INDEX('Room Info'!$A$2:$A2446, MATCH(B799,'Room Info'!$H$2:$H2446, 0)),IF(G799='Room Info'!$G$1, INDEX('Room Info'!$A$2:$A2446, MATCH(B799,'Room Info'!$G$2:$G2446, 0)))))))))</f>
        <v>fig6</v>
      </c>
      <c r="B799" s="45" t="s">
        <v>172</v>
      </c>
      <c r="C799" s="77">
        <v>44886</v>
      </c>
      <c r="D799" s="77">
        <v>44915</v>
      </c>
      <c r="E799" s="47">
        <v>44896</v>
      </c>
      <c r="F799" s="48" t="s">
        <v>34</v>
      </c>
      <c r="G799" s="45" t="s">
        <v>35</v>
      </c>
      <c r="H799" s="49" t="s">
        <v>85</v>
      </c>
      <c r="I799" s="49" t="s">
        <v>44</v>
      </c>
      <c r="J799" s="74">
        <v>50</v>
      </c>
      <c r="K799" s="75">
        <v>29</v>
      </c>
      <c r="L799" s="72">
        <v>-50</v>
      </c>
      <c r="M799" s="76">
        <v>71</v>
      </c>
      <c r="N799" s="28">
        <f>K799*J799</f>
        <v>1450</v>
      </c>
      <c r="O799" s="45">
        <v>551</v>
      </c>
      <c r="P799" s="29">
        <v>19</v>
      </c>
      <c r="Q799" s="55"/>
      <c r="R799" s="31">
        <f>M799+Q799</f>
        <v>71</v>
      </c>
      <c r="S799" s="73">
        <v>-10</v>
      </c>
      <c r="T799" s="32">
        <f>R799+S799+IF(F799="Without EV deal",L799,0)</f>
        <v>61</v>
      </c>
      <c r="U799" s="57">
        <v>1</v>
      </c>
      <c r="V799" s="58"/>
      <c r="W799" s="58"/>
      <c r="X799" s="30">
        <f>IF(AF799="DoEV",IF(AND(V799&lt;20,W799&lt;55),0.3,0)+IF(AND(V799&lt;20,W799&gt;=55,W799&lt;105),0.23,0)+IF(AND(V799&lt;20,W799&gt;=105),0.17,0)+IF(AND(V799&gt;=20,V799&lt;40,W799&lt;45),0.3,0)+IF(AND(V799&gt;=20,V799&lt;40,W799&gt;=45,W799&lt;95),0.23,0)+IF(AND(V799&gt;=20,V799&lt;40,W799&gt;=95),0.17,0)+IF(AND(V799&gt;=40,V799&lt;75,W799&lt;35),0.3,0)+IF(AND(V799&gt;=40,V799&lt;75,W799&gt;=35,W799&lt;75),0.23,0)+IF(AND(V799&gt;=40,V799&lt;75,W799&gt;=75,W799&lt;120),0.17,0)+IF(AND(V799&gt;=40,V799&lt;75,W799&gt;=120),0.12,0)+IF(AND(V799&gt;=75,V799&lt;175,W799&lt;35),0.3,0)+IF(AND(V799&gt;=75,V799&lt;=175,W799&gt;=35,W799&lt;65),0.23,0)+IF(AND(V799&gt;=75,V799&lt;=175,W799&gt;=65,W799&lt;110),0.17,0)+IF(AND(V799&gt;=75,V799&lt;=175,W799&gt;=110),0.12,0)+IF(AND(V799&gt;175,W799&lt;25),0.3,0)+IF(AND(V799&gt;175,W799&gt;=25,W799&lt;55),0.23,0)+IF(AND(V799&gt;175,W799&gt;=55,W799&lt;95),0.17,0)+IF(AND(V799&gt;175,W799&gt;=95),0.12,0),
IF(AF799="Fix15",0.15,
IF(AF799="Fix18.75",0.1875,
IF(AF799="Fix11.25",0.1125,
IF(AF799="Fix10",0.1,
IF(AF799="Fix9",0.09,
IF(AF799="Fix19",0.19,
IF(AF799="DoEV2017",IF(AND(W799&lt;74),0.2,0)+IF(AND(W799&gt;=74),0.17,0),
IF(AF799="SF",IF(AND(V799&lt;20,W799&lt;89),0.3,0)+IF(AND(V799&lt;20,W799&gt;=89),0.25,0)+IF(AND(V799&gt;=20,V799&lt;40,W799&lt;74),0.3,0)+IF(AND(V799&gt;=20,V799&lt;40,W799&gt;=75),0.22,0)+IF(AND(V799&gt;=40,V799&lt;75,W799&lt;75),0.26,0)+IF(AND(V799&gt;=40,V799&lt;75,W799&gt;=75),0.22,0)+IF(V799&gt;=75,0.22,0),
IF(AF799="DoEVold",IF(AND(V799&lt;40,W799&lt;35),0.35,0)+IF(AND(V799&lt;40,W799&gt;=35,W799&lt;75),0.25,0)+IF(AND(V799&lt;40,W799&gt;=75),0.17,0)+IF(AND(V799&gt;=40,V799&lt;75,W799&lt;25),0.35,0)+IF(AND(V799&gt;=40,V799&lt;75,W799&gt;=25,W799&lt;65),0.25,0)+IF(AND(V799&gt;=40,V799&lt;75,W799&gt;=65,W799&lt;100),0.17,0)+IF(AND(V799&gt;=40,V799&lt;75,W799&gt;=100),0.1,0)+IF(AND(V799&gt;=75,W799&lt;25),0.35,0)+IF(AND(V799&gt;=75,W799&gt;=25,W799&lt;60),0.25,0)+IF(AND(V799&gt;=75,W799&gt;=60,W799&lt;95),0.17,0)+IF(AND(V799&gt;=75,W799&gt;=95),0.1,0),
IF(AF799="DoEVold15",IF(AND(V799&lt;=40,W799&lt;35),0.35,0)+IF(AND(V799&lt;=40,W799&gt;=35,W799&lt;75),0.25,0)+IF(AND(V799&lt;=40,W799&gt;=75,W799&lt;120),0.17,0)+IF(AND(V799&lt;=40,W799&gt;=120),0.15,0)+IF(AND(V799&gt;40,V799&lt;75,W799&lt;25),0.35,0)+IF(AND(V799&gt;=40,V799&lt;75,W799&gt;=25,W799&lt;65),0.25,0)+IF(AND(V799&gt;=40,V799&lt;75,W799&gt;=65,W799&lt;100),0.17,0)+IF(AND(V799&gt;=40,V799&lt;75,W799&gt;=100),0.1,0)+IF(AND(V799&gt;=75,W799&lt;25),0.35,0)+IF(AND(V799&gt;=75,W799&gt;=25,W799&lt;60),0.25,0)+IF(AND(V799&gt;=75,W799&gt;=60,W799&lt;95),0.17,0)+IF(AND(V799&gt;=75,W799&gt;=95),0.1,0),
IF(AF799="DoEVba",IF(AND(V799&lt;20,W799&lt;105),0.2,0)+IF(AND(V799&lt;20,W799&gt;=105),0.15,0)+IF(AND(V799&gt;=20,V799&lt;40,W799&lt;95),0.2,0)+IF(AND(V799&gt;=20,V799&lt;40,W799&gt;=95,W799&lt;150),0.15,0)+IF(AND(V799&gt;=20,V799&lt;40,W799&gt;=150),0.12,0)+IF(AND(V799&gt;=40,V799&lt;75,W799&lt;75),0.2,0)+IF(AND(V799&gt;=40,V799&lt;75,W799&gt;=75,W799&lt;120),0.15,0)+IF(AND(V799&gt;=40,V799&lt;75,W799&gt;=120),0.12,0)+IF(AND(V799&gt;=75,V799&lt;175,W799&lt;65),0.2,0)+IF(AND(V799&gt;=75,V799&lt;175,W799&gt;=65,W799&lt;110),0.15,0)+IF(AND(V799&gt;=75,V799&lt;175,W799&gt;=110),0.12,0)+IF(AND(V799&gt;=175,W799&lt;55),0.2,0)+IF(AND(V799&gt;=175,W799&gt;=55,W799&lt;95),0.15,0)+IF(AND(V799&gt;=175,W799&gt;=95),0.12,0),
IF(AF799="DoEVku",IF(AND(V799&lt;20,W799&lt;55),0.23,0)+IF(AND(V799&lt;20,W799&gt;=55,W799&lt;105),0.2,0)+IF(AND(V799&lt;20,W799&gt;=105),0.17,0)+IF(AND(V799&gt;=20,V799&lt;40,W799&lt;45),0.23,0)+IF(AND(V799&gt;=20,V799&lt;40,W799&gt;=45,W799&lt;95),0.2,0)+IF(AND(V799&gt;=20,V799&lt;40,W799&gt;=95,W799&lt;=150),0.17,0)+IF(AND(V799&gt;=20,V799&lt;40,W799&gt;=150),0.12,0)+IF(AND(V799&gt;=40,V799&lt;75,W799&lt;35),0.23,0)+IF(AND(V799&gt;=40,V799&lt;75,W799&gt;=35,W799&lt;75),0.2,0)+IF(AND(V799&gt;=40,V799&lt;75,W799&gt;=75,W799&lt;120),0.17,0)+IF(AND(V799&gt;=40,V799&lt;75,W799&gt;=120),0.12,0)+IF(AND(V799&gt;=75,V799&lt;175,W799&lt;35),0.23,0)+IF(AND(V799&gt;=75,V799&lt;=175,W799&gt;=35,W799&lt;65),0.2,0)+IF(AND(V799&gt;=75,V799&lt;=175,W799&gt;=65,W799&lt;110),0.17,0)+IF(AND(V799&gt;=75,V799&lt;=175,W799&gt;=110),0.12,0)+IF(AND(V799&gt;175,W799&lt;25),0.23,0)+IF(AND(V799&gt;175,W799&gt;=25,W799&lt;55),0.2,0)+IF(AND(V799&gt;175,W799&gt;=55,W799&lt;95),0.17,0)+IF(AND(V799&gt;175,W799&gt;=95),0.12,0),
IF(AF799="DoEVs1",IF(AND(V799&lt;20,W799&lt;55),0.3,0)+IF(AND(V799&lt;20,W799&gt;=55,W799&lt;105),0.23,0)+IF(AND(V799&lt;20,W799&gt;=105),0.17,0)+IF(AND(V799&gt;=20,V799&lt;40,W799&lt;45),0.3,0)+IF(AND(V799&gt;=20,V799&lt;40,W799&gt;=45,W799&lt;95),0.23,0)+IF(AND(V799&gt;=20,V799&lt;40,W799&gt;=95,W799&lt;=150),0.17,0)+IF(AND(V799&gt;=20,V799&lt;40,W799&gt;=150),0.12,0)+IF(AND(V799&gt;=40,V799&lt;75,W799&lt;35),0.3,0)+IF(AND(V799&gt;=40,V799&lt;75,W799&gt;=35,W799&lt;75),0.23,0)+IF(AND(V799&gt;=40,V799&lt;75,W799&gt;=75,W799&lt;120),0.17,0)+IF(AND(V799&gt;=40,V799&lt;75,W799&gt;=120),0.12,0)+IF(AND(V799&gt;=75,V799&lt;175,W799&lt;35),0.3,0)+IF(AND(V799&gt;=75,V799&lt;=175,W799&gt;=35,W799&lt;65),0.23,0)+IF(AND(V799&gt;=75,V799&lt;=175,W799&gt;=65,W799&lt;110),0.17,0)+IF(AND(V799&gt;=75,V799&lt;=175,W799&gt;=110),0.12,0)+IF(AND(V799&gt;175,W799&lt;25),0.3,0)+IF(AND(V799&gt;175,W799&gt;=25,W799&lt;55),0.23,0)+IF(AND(V799&gt;175,W799&gt;=55,W799&lt;95),0.17,0)+IF(AND(V799&gt;175,W799&gt;=95),0.12,0),
IF(AF799="DoEVsu",IF(AND(V799&lt;20,W799&lt;55),0.3,0)+IF(AND(V799&lt;20,W799&gt;=55,W799&lt;105),0.23,0)+IF(AND(V799&lt;20,W799&gt;=105),0.17,0)+IF(AND(V799&gt;=20,V799&lt;40,W799&lt;45),0.3,0)+IF(AND(V799&gt;=20,V799&lt;40,W799&gt;=45,W799&lt;95),0.23,0)+IF(AND(V799&gt;=20,V799&lt;40,W799&gt;=95,W799&lt;=250),0.17,0)+IF(AND(V799&gt;=20,V799&lt;40,W799&gt;=250),0.12,0)+IF(AND(V799&gt;=40,V799&lt;75,W799&lt;35),0.3,0)+IF(AND(V799&gt;=40,V799&lt;75,W799&gt;=35,W799&lt;75),0.23,0)+IF(AND(V799&gt;=40,V799&lt;75,W799&gt;=75,W799&lt;120),0.17,0)+IF(AND(V799&gt;=40,V799&lt;75,W799&gt;=120),0.12,0)+IF(AND(V799&gt;=75,V799&lt;175,W799&lt;35),0.3,0)+IF(AND(V799&gt;=75,V799&lt;=175,W799&gt;=35,W799&lt;65),0.23,0)+IF(AND(V799&gt;=75,V799&lt;=175,W799&gt;=65,W799&lt;110),0.17,0)+IF(AND(V799&gt;=75,V799&lt;=175,W799&gt;=110),0.12,0)+IF(AND(V799&gt;175,W799&lt;25),0.3,0)+IF(AND(V799&gt;175,W799&gt;=25,W799&lt;55),0.23,0)+IF(AND(V799&gt;175,W799&gt;=55,W799&lt;95),0.17,0)+IF(AND(V799&gt;175,W799&gt;=95),0.12,0),
IF(AF799="DoEVni",IF(AND(V799&lt;20,W799&lt;55),0.3,0)+IF(AND(V799&lt;20,W799&gt;=55,W799&lt;105),0.23,0)+IF(AND(V799&lt;20,W799&gt;=105),0.17,0)+IF(AND(V799&gt;=20,V799&lt;40,W799&lt;45),0.3,0)+IF(AND(V799&gt;=20,V799&lt;40,W799&gt;=45,W799&lt;95),0.23,0)+IF(AND(V799&gt;=20,V799&lt;40,W799&gt;=95,W799&lt;=200),0.17,0)+IF(AND(V799&gt;=20,V799&lt;40,W799&gt;=200),0.12,0)+IF(AND(V799&gt;=40,V799&lt;75,W799&lt;35),0.3,0)+IF(AND(V799&gt;=40,V799&lt;75,W799&gt;=35,W799&lt;75),0.23,0)+IF(AND(V799&gt;=40,V799&lt;75,W799&gt;=75,W799&lt;120),0.17,0)+IF(AND(V799&gt;=40,V799&lt;75,W799&gt;=120),0.12,0)+IF(AND(V799&gt;=75,V799&lt;175,W799&lt;35),0.3,0)+IF(AND(V799&gt;=75,V799&lt;=175,W799&gt;=35,W799&lt;65),0.23,0)+IF(AND(V799&gt;=75,V799&lt;=175,W799&gt;=65,W799&lt;110),0.17,0)+IF(AND(V799&gt;=75,V799&lt;=175,W799&gt;=110),0.12,0)+IF(AND(V799&gt;175,W799&lt;25),0.3,0)+IF(AND(V799&gt;175,W799&gt;=25,W799&lt;55),0.23,0)+IF(AND(V799&gt;175,W799&gt;=55,W799&lt;95),0.17,0)+IF(AND(V799&gt;175,W799&gt;=95),0.12,0),
IF(AF799="DoEVLo",IF(AND(V799&lt;20,W799&lt;55),0.25,0)+IF(AND(V799&lt;20,W799&gt;=55,W799&lt;105),0.2,0)+IF(AND(V799&lt;20,W799&gt;=105),0.15,0)+IF(AND(V799&gt;=20,V799&lt;40,W799&lt;45),0.25,0)+IF(AND(V799&gt;=20,V799&lt;40,W799&gt;=45,W799&lt;95),0.2,0)+IF(AND(V799&gt;=20,V799&lt;40,W799&gt;=95),0.15,0)+IF(AND(V799&gt;=40,V799&lt;75,W799&lt;35),0.25,0)+IF(AND(V799&gt;=40,V799&lt;75,W799&gt;=35,W799&lt;75),0.2,0)+IF(AND(V799&gt;=40,V799&lt;75,W799&gt;=75,W799&lt;120),0.15,0)+IF(AND(V799&gt;=40,V799&lt;75,W799&gt;=120),0.1,0)+IF(AND(V799&gt;=75,V799&lt;175,W799&lt;35),0.25,0)+IF(AND(V799&gt;=75,V799&lt;=175,W799&gt;=35,W799&lt;65),0.2,0)+IF(AND(V799&gt;=75,V799&lt;=175,W799&gt;=65,W799&lt;110),0.15,0)+IF(AND(V799&gt;=75,V799&lt;=175,W799&gt;=110),0.1,0)+IF(AND(V799&gt;175,W799&lt;25),0.25,0)+IF(AND(V799&gt;175,W799&gt;=25,W799&lt;55),0.2,0)+IF(AND(V799&gt;175,W799&gt;=55,W799&lt;95),0.15,0)+IF(AND(V799&gt;175,W799&gt;=95),0.1,0))))))))))))))))))</f>
        <v>0.1125</v>
      </c>
      <c r="Y799" s="30">
        <f>IF(AG799="None",0,IF(AG799="Fix5",0.05, IF(AG799="Fix6.25",0.0625,IF(AG799="Fix3.75",0.0375,IF(AG799="Fix10",0.1,IF(AG799="Fix3",0.03,0))))))</f>
        <v>3.7499999999999999E-2</v>
      </c>
      <c r="Z799" s="35">
        <f>T799-AA799-AB799</f>
        <v>45.137500000000003</v>
      </c>
      <c r="AA799" s="29">
        <f>IF(AD799="EUR",((T799-R799)*X799)*U799+(R799*X799),(T799*X799))</f>
        <v>6.8624999999999998</v>
      </c>
      <c r="AB799" s="104">
        <v>9</v>
      </c>
      <c r="AC799" s="37" t="b">
        <v>1</v>
      </c>
      <c r="AD799" s="37" t="s">
        <v>38</v>
      </c>
      <c r="AE799" s="37" t="s">
        <v>38</v>
      </c>
      <c r="AF799" s="37" t="str">
        <f t="array" ref="AF799">INDEX('Deal Info'!D:D, MATCH(A799,'Deal Info'!A:A, 0))</f>
        <v>Fix11.25</v>
      </c>
      <c r="AG799" s="38" t="str">
        <f t="array" ref="AG799">INDEX('Deal Info'!G:G, MATCH(A799,'Deal Info'!A:A, 0))</f>
        <v>Fix3.75</v>
      </c>
    </row>
    <row r="800" spans="1:33" ht="14.25" hidden="1" x14ac:dyDescent="0.2">
      <c r="A800" s="18" t="str">
        <f t="array" ref="A800">IF(G800='Room Info'!$B$1, INDEX('Room Info'!$A$2:$A2446, MATCH(B800,'Room Info'!$B$2:$B2446, 0)),IF(G800='Room Info'!$C$1, INDEX('Room Info'!$A$2:$A2446, MATCH(B800,'Room Info'!$C$2:$C2446, 0)),IF(G800='Room Info'!$D$1, INDEX('Room Info'!$A$2:$A2446, MATCH(B800,'Room Info'!$D$2:$D2446, 0)),IF(G800='Room Info'!$E$1, INDEX('Room Info'!$A$2:$A2446, MATCH(B800,'Room Info'!$E$2:$E2446, 0)),IF(G800='Room Info'!$F$1, INDEX('Room Info'!$A$2:$A2446, MATCH(B800,'Room Info'!$F$2:$F2446, 0)),IF(G800='Room Info'!$H$1, INDEX('Room Info'!$A$2:$A2446, MATCH(B800,'Room Info'!$H$2:$H2446, 0)),IF(G800='Room Info'!$G$1, INDEX('Room Info'!$A$2:$A2446, MATCH(B800,'Room Info'!$G$2:$G2446, 0)))))))))</f>
        <v>fig6</v>
      </c>
      <c r="B800" s="45" t="s">
        <v>172</v>
      </c>
      <c r="C800" s="77">
        <v>44886</v>
      </c>
      <c r="D800" s="77">
        <v>44915</v>
      </c>
      <c r="E800" s="47">
        <v>44896</v>
      </c>
      <c r="F800" s="48" t="s">
        <v>34</v>
      </c>
      <c r="G800" s="45" t="s">
        <v>35</v>
      </c>
      <c r="H800" s="49" t="s">
        <v>70</v>
      </c>
      <c r="I800" s="49" t="s">
        <v>37</v>
      </c>
      <c r="J800" s="74">
        <v>100</v>
      </c>
      <c r="K800" s="75">
        <v>2235</v>
      </c>
      <c r="L800" s="72">
        <v>10400</v>
      </c>
      <c r="M800" s="76">
        <v>9143</v>
      </c>
      <c r="N800" s="28">
        <f>K800*J800</f>
        <v>223500</v>
      </c>
      <c r="O800" s="45">
        <v>65014</v>
      </c>
      <c r="P800" s="29">
        <v>29.089038030000001</v>
      </c>
      <c r="Q800" s="55"/>
      <c r="R800" s="31">
        <f>M800+Q800</f>
        <v>9143</v>
      </c>
      <c r="S800" s="73">
        <v>-219</v>
      </c>
      <c r="T800" s="32">
        <f>R800+S800+IF(F800="Without EV deal",L800,0)</f>
        <v>8924</v>
      </c>
      <c r="U800" s="57">
        <v>1</v>
      </c>
      <c r="V800" s="58"/>
      <c r="W800" s="58"/>
      <c r="X800" s="30">
        <f>IF(AF800="DoEV",IF(AND(V800&lt;20,W800&lt;55),0.3,0)+IF(AND(V800&lt;20,W800&gt;=55,W800&lt;105),0.23,0)+IF(AND(V800&lt;20,W800&gt;=105),0.17,0)+IF(AND(V800&gt;=20,V800&lt;40,W800&lt;45),0.3,0)+IF(AND(V800&gt;=20,V800&lt;40,W800&gt;=45,W800&lt;95),0.23,0)+IF(AND(V800&gt;=20,V800&lt;40,W800&gt;=95),0.17,0)+IF(AND(V800&gt;=40,V800&lt;75,W800&lt;35),0.3,0)+IF(AND(V800&gt;=40,V800&lt;75,W800&gt;=35,W800&lt;75),0.23,0)+IF(AND(V800&gt;=40,V800&lt;75,W800&gt;=75,W800&lt;120),0.17,0)+IF(AND(V800&gt;=40,V800&lt;75,W800&gt;=120),0.12,0)+IF(AND(V800&gt;=75,V800&lt;175,W800&lt;35),0.3,0)+IF(AND(V800&gt;=75,V800&lt;=175,W800&gt;=35,W800&lt;65),0.23,0)+IF(AND(V800&gt;=75,V800&lt;=175,W800&gt;=65,W800&lt;110),0.17,0)+IF(AND(V800&gt;=75,V800&lt;=175,W800&gt;=110),0.12,0)+IF(AND(V800&gt;175,W800&lt;25),0.3,0)+IF(AND(V800&gt;175,W800&gt;=25,W800&lt;55),0.23,0)+IF(AND(V800&gt;175,W800&gt;=55,W800&lt;95),0.17,0)+IF(AND(V800&gt;175,W800&gt;=95),0.12,0),
IF(AF800="Fix15",0.15,
IF(AF800="Fix18.75",0.1875,
IF(AF800="Fix11.25",0.1125,
IF(AF800="Fix10",0.1,
IF(AF800="Fix9",0.09,
IF(AF800="Fix19",0.19,
IF(AF800="DoEV2017",IF(AND(W800&lt;74),0.2,0)+IF(AND(W800&gt;=74),0.17,0),
IF(AF800="SF",IF(AND(V800&lt;20,W800&lt;89),0.3,0)+IF(AND(V800&lt;20,W800&gt;=89),0.25,0)+IF(AND(V800&gt;=20,V800&lt;40,W800&lt;74),0.3,0)+IF(AND(V800&gt;=20,V800&lt;40,W800&gt;=75),0.22,0)+IF(AND(V800&gt;=40,V800&lt;75,W800&lt;75),0.26,0)+IF(AND(V800&gt;=40,V800&lt;75,W800&gt;=75),0.22,0)+IF(V800&gt;=75,0.22,0),
IF(AF800="DoEVold",IF(AND(V800&lt;40,W800&lt;35),0.35,0)+IF(AND(V800&lt;40,W800&gt;=35,W800&lt;75),0.25,0)+IF(AND(V800&lt;40,W800&gt;=75),0.17,0)+IF(AND(V800&gt;=40,V800&lt;75,W800&lt;25),0.35,0)+IF(AND(V800&gt;=40,V800&lt;75,W800&gt;=25,W800&lt;65),0.25,0)+IF(AND(V800&gt;=40,V800&lt;75,W800&gt;=65,W800&lt;100),0.17,0)+IF(AND(V800&gt;=40,V800&lt;75,W800&gt;=100),0.1,0)+IF(AND(V800&gt;=75,W800&lt;25),0.35,0)+IF(AND(V800&gt;=75,W800&gt;=25,W800&lt;60),0.25,0)+IF(AND(V800&gt;=75,W800&gt;=60,W800&lt;95),0.17,0)+IF(AND(V800&gt;=75,W800&gt;=95),0.1,0),
IF(AF800="DoEVold15",IF(AND(V800&lt;=40,W800&lt;35),0.35,0)+IF(AND(V800&lt;=40,W800&gt;=35,W800&lt;75),0.25,0)+IF(AND(V800&lt;=40,W800&gt;=75,W800&lt;120),0.17,0)+IF(AND(V800&lt;=40,W800&gt;=120),0.15,0)+IF(AND(V800&gt;40,V800&lt;75,W800&lt;25),0.35,0)+IF(AND(V800&gt;=40,V800&lt;75,W800&gt;=25,W800&lt;65),0.25,0)+IF(AND(V800&gt;=40,V800&lt;75,W800&gt;=65,W800&lt;100),0.17,0)+IF(AND(V800&gt;=40,V800&lt;75,W800&gt;=100),0.1,0)+IF(AND(V800&gt;=75,W800&lt;25),0.35,0)+IF(AND(V800&gt;=75,W800&gt;=25,W800&lt;60),0.25,0)+IF(AND(V800&gt;=75,W800&gt;=60,W800&lt;95),0.17,0)+IF(AND(V800&gt;=75,W800&gt;=95),0.1,0),
IF(AF800="DoEVba",IF(AND(V800&lt;20,W800&lt;105),0.2,0)+IF(AND(V800&lt;20,W800&gt;=105),0.15,0)+IF(AND(V800&gt;=20,V800&lt;40,W800&lt;95),0.2,0)+IF(AND(V800&gt;=20,V800&lt;40,W800&gt;=95,W800&lt;150),0.15,0)+IF(AND(V800&gt;=20,V800&lt;40,W800&gt;=150),0.12,0)+IF(AND(V800&gt;=40,V800&lt;75,W800&lt;75),0.2,0)+IF(AND(V800&gt;=40,V800&lt;75,W800&gt;=75,W800&lt;120),0.15,0)+IF(AND(V800&gt;=40,V800&lt;75,W800&gt;=120),0.12,0)+IF(AND(V800&gt;=75,V800&lt;175,W800&lt;65),0.2,0)+IF(AND(V800&gt;=75,V800&lt;175,W800&gt;=65,W800&lt;110),0.15,0)+IF(AND(V800&gt;=75,V800&lt;175,W800&gt;=110),0.12,0)+IF(AND(V800&gt;=175,W800&lt;55),0.2,0)+IF(AND(V800&gt;=175,W800&gt;=55,W800&lt;95),0.15,0)+IF(AND(V800&gt;=175,W800&gt;=95),0.12,0),
IF(AF800="DoEVku",IF(AND(V800&lt;20,W800&lt;55),0.23,0)+IF(AND(V800&lt;20,W800&gt;=55,W800&lt;105),0.2,0)+IF(AND(V800&lt;20,W800&gt;=105),0.17,0)+IF(AND(V800&gt;=20,V800&lt;40,W800&lt;45),0.23,0)+IF(AND(V800&gt;=20,V800&lt;40,W800&gt;=45,W800&lt;95),0.2,0)+IF(AND(V800&gt;=20,V800&lt;40,W800&gt;=95,W800&lt;=150),0.17,0)+IF(AND(V800&gt;=20,V800&lt;40,W800&gt;=150),0.12,0)+IF(AND(V800&gt;=40,V800&lt;75,W800&lt;35),0.23,0)+IF(AND(V800&gt;=40,V800&lt;75,W800&gt;=35,W800&lt;75),0.2,0)+IF(AND(V800&gt;=40,V800&lt;75,W800&gt;=75,W800&lt;120),0.17,0)+IF(AND(V800&gt;=40,V800&lt;75,W800&gt;=120),0.12,0)+IF(AND(V800&gt;=75,V800&lt;175,W800&lt;35),0.23,0)+IF(AND(V800&gt;=75,V800&lt;=175,W800&gt;=35,W800&lt;65),0.2,0)+IF(AND(V800&gt;=75,V800&lt;=175,W800&gt;=65,W800&lt;110),0.17,0)+IF(AND(V800&gt;=75,V800&lt;=175,W800&gt;=110),0.12,0)+IF(AND(V800&gt;175,W800&lt;25),0.23,0)+IF(AND(V800&gt;175,W800&gt;=25,W800&lt;55),0.2,0)+IF(AND(V800&gt;175,W800&gt;=55,W800&lt;95),0.17,0)+IF(AND(V800&gt;175,W800&gt;=95),0.12,0),
IF(AF800="DoEVs1",IF(AND(V800&lt;20,W800&lt;55),0.3,0)+IF(AND(V800&lt;20,W800&gt;=55,W800&lt;105),0.23,0)+IF(AND(V800&lt;20,W800&gt;=105),0.17,0)+IF(AND(V800&gt;=20,V800&lt;40,W800&lt;45),0.3,0)+IF(AND(V800&gt;=20,V800&lt;40,W800&gt;=45,W800&lt;95),0.23,0)+IF(AND(V800&gt;=20,V800&lt;40,W800&gt;=95,W800&lt;=150),0.17,0)+IF(AND(V800&gt;=20,V800&lt;40,W800&gt;=150),0.12,0)+IF(AND(V800&gt;=40,V800&lt;75,W800&lt;35),0.3,0)+IF(AND(V800&gt;=40,V800&lt;75,W800&gt;=35,W800&lt;75),0.23,0)+IF(AND(V800&gt;=40,V800&lt;75,W800&gt;=75,W800&lt;120),0.17,0)+IF(AND(V800&gt;=40,V800&lt;75,W800&gt;=120),0.12,0)+IF(AND(V800&gt;=75,V800&lt;175,W800&lt;35),0.3,0)+IF(AND(V800&gt;=75,V800&lt;=175,W800&gt;=35,W800&lt;65),0.23,0)+IF(AND(V800&gt;=75,V800&lt;=175,W800&gt;=65,W800&lt;110),0.17,0)+IF(AND(V800&gt;=75,V800&lt;=175,W800&gt;=110),0.12,0)+IF(AND(V800&gt;175,W800&lt;25),0.3,0)+IF(AND(V800&gt;175,W800&gt;=25,W800&lt;55),0.23,0)+IF(AND(V800&gt;175,W800&gt;=55,W800&lt;95),0.17,0)+IF(AND(V800&gt;175,W800&gt;=95),0.12,0),
IF(AF800="DoEVsu",IF(AND(V800&lt;20,W800&lt;55),0.3,0)+IF(AND(V800&lt;20,W800&gt;=55,W800&lt;105),0.23,0)+IF(AND(V800&lt;20,W800&gt;=105),0.17,0)+IF(AND(V800&gt;=20,V800&lt;40,W800&lt;45),0.3,0)+IF(AND(V800&gt;=20,V800&lt;40,W800&gt;=45,W800&lt;95),0.23,0)+IF(AND(V800&gt;=20,V800&lt;40,W800&gt;=95,W800&lt;=250),0.17,0)+IF(AND(V800&gt;=20,V800&lt;40,W800&gt;=250),0.12,0)+IF(AND(V800&gt;=40,V800&lt;75,W800&lt;35),0.3,0)+IF(AND(V800&gt;=40,V800&lt;75,W800&gt;=35,W800&lt;75),0.23,0)+IF(AND(V800&gt;=40,V800&lt;75,W800&gt;=75,W800&lt;120),0.17,0)+IF(AND(V800&gt;=40,V800&lt;75,W800&gt;=120),0.12,0)+IF(AND(V800&gt;=75,V800&lt;175,W800&lt;35),0.3,0)+IF(AND(V800&gt;=75,V800&lt;=175,W800&gt;=35,W800&lt;65),0.23,0)+IF(AND(V800&gt;=75,V800&lt;=175,W800&gt;=65,W800&lt;110),0.17,0)+IF(AND(V800&gt;=75,V800&lt;=175,W800&gt;=110),0.12,0)+IF(AND(V800&gt;175,W800&lt;25),0.3,0)+IF(AND(V800&gt;175,W800&gt;=25,W800&lt;55),0.23,0)+IF(AND(V800&gt;175,W800&gt;=55,W800&lt;95),0.17,0)+IF(AND(V800&gt;175,W800&gt;=95),0.12,0),
IF(AF800="DoEVni",IF(AND(V800&lt;20,W800&lt;55),0.3,0)+IF(AND(V800&lt;20,W800&gt;=55,W800&lt;105),0.23,0)+IF(AND(V800&lt;20,W800&gt;=105),0.17,0)+IF(AND(V800&gt;=20,V800&lt;40,W800&lt;45),0.3,0)+IF(AND(V800&gt;=20,V800&lt;40,W800&gt;=45,W800&lt;95),0.23,0)+IF(AND(V800&gt;=20,V800&lt;40,W800&gt;=95,W800&lt;=200),0.17,0)+IF(AND(V800&gt;=20,V800&lt;40,W800&gt;=200),0.12,0)+IF(AND(V800&gt;=40,V800&lt;75,W800&lt;35),0.3,0)+IF(AND(V800&gt;=40,V800&lt;75,W800&gt;=35,W800&lt;75),0.23,0)+IF(AND(V800&gt;=40,V800&lt;75,W800&gt;=75,W800&lt;120),0.17,0)+IF(AND(V800&gt;=40,V800&lt;75,W800&gt;=120),0.12,0)+IF(AND(V800&gt;=75,V800&lt;175,W800&lt;35),0.3,0)+IF(AND(V800&gt;=75,V800&lt;=175,W800&gt;=35,W800&lt;65),0.23,0)+IF(AND(V800&gt;=75,V800&lt;=175,W800&gt;=65,W800&lt;110),0.17,0)+IF(AND(V800&gt;=75,V800&lt;=175,W800&gt;=110),0.12,0)+IF(AND(V800&gt;175,W800&lt;25),0.3,0)+IF(AND(V800&gt;175,W800&gt;=25,W800&lt;55),0.23,0)+IF(AND(V800&gt;175,W800&gt;=55,W800&lt;95),0.17,0)+IF(AND(V800&gt;175,W800&gt;=95),0.12,0),
IF(AF800="DoEVLo",IF(AND(V800&lt;20,W800&lt;55),0.25,0)+IF(AND(V800&lt;20,W800&gt;=55,W800&lt;105),0.2,0)+IF(AND(V800&lt;20,W800&gt;=105),0.15,0)+IF(AND(V800&gt;=20,V800&lt;40,W800&lt;45),0.25,0)+IF(AND(V800&gt;=20,V800&lt;40,W800&gt;=45,W800&lt;95),0.2,0)+IF(AND(V800&gt;=20,V800&lt;40,W800&gt;=95),0.15,0)+IF(AND(V800&gt;=40,V800&lt;75,W800&lt;35),0.25,0)+IF(AND(V800&gt;=40,V800&lt;75,W800&gt;=35,W800&lt;75),0.2,0)+IF(AND(V800&gt;=40,V800&lt;75,W800&gt;=75,W800&lt;120),0.15,0)+IF(AND(V800&gt;=40,V800&lt;75,W800&gt;=120),0.1,0)+IF(AND(V800&gt;=75,V800&lt;175,W800&lt;35),0.25,0)+IF(AND(V800&gt;=75,V800&lt;=175,W800&gt;=35,W800&lt;65),0.2,0)+IF(AND(V800&gt;=75,V800&lt;=175,W800&gt;=65,W800&lt;110),0.15,0)+IF(AND(V800&gt;=75,V800&lt;=175,W800&gt;=110),0.1,0)+IF(AND(V800&gt;175,W800&lt;25),0.25,0)+IF(AND(V800&gt;175,W800&gt;=25,W800&lt;55),0.2,0)+IF(AND(V800&gt;175,W800&gt;=55,W800&lt;95),0.15,0)+IF(AND(V800&gt;175,W800&gt;=95),0.1,0))))))))))))))))))</f>
        <v>0.1125</v>
      </c>
      <c r="Y800" s="30">
        <f>IF(AG800="None",0,IF(AG800="Fix5",0.05, IF(AG800="Fix6.25",0.0625,IF(AG800="Fix3.75",0.0375,IF(AG800="Fix10",0.1,IF(AG800="Fix3",0.03,0))))))</f>
        <v>3.7499999999999999E-2</v>
      </c>
      <c r="Z800" s="35">
        <f>T800-AA800-AB800</f>
        <v>6581.05</v>
      </c>
      <c r="AA800" s="29">
        <f>IF(AD800="EUR",((T800-R800)*X800)*U800+(R800*X800),(T800*X800))</f>
        <v>1003.95</v>
      </c>
      <c r="AB800" s="104">
        <v>1339</v>
      </c>
      <c r="AC800" s="37" t="b">
        <v>1</v>
      </c>
      <c r="AD800" s="37" t="s">
        <v>38</v>
      </c>
      <c r="AE800" s="37" t="s">
        <v>38</v>
      </c>
      <c r="AF800" s="37" t="str">
        <f t="array" ref="AF800">INDEX('Deal Info'!D:D, MATCH(A800,'Deal Info'!A:A, 0))</f>
        <v>Fix11.25</v>
      </c>
      <c r="AG800" s="38" t="str">
        <f t="array" ref="AG800">INDEX('Deal Info'!G:G, MATCH(A800,'Deal Info'!A:A, 0))</f>
        <v>Fix3.75</v>
      </c>
    </row>
    <row r="801" spans="1:33" ht="14.25" hidden="1" x14ac:dyDescent="0.2">
      <c r="A801" s="18" t="str">
        <f t="array" ref="A801">IF(G801='Room Info'!$B$1, INDEX('Room Info'!$A$2:$A2446, MATCH(B801,'Room Info'!$B$2:$B2446, 0)),IF(G801='Room Info'!$C$1, INDEX('Room Info'!$A$2:$A2446, MATCH(B801,'Room Info'!$C$2:$C2446, 0)),IF(G801='Room Info'!$D$1, INDEX('Room Info'!$A$2:$A2446, MATCH(B801,'Room Info'!$D$2:$D2446, 0)),IF(G801='Room Info'!$E$1, INDEX('Room Info'!$A$2:$A2446, MATCH(B801,'Room Info'!$E$2:$E2446, 0)),IF(G801='Room Info'!$F$1, INDEX('Room Info'!$A$2:$A2446, MATCH(B801,'Room Info'!$F$2:$F2446, 0)),IF(G801='Room Info'!$H$1, INDEX('Room Info'!$A$2:$A2446, MATCH(B801,'Room Info'!$H$2:$H2446, 0)),IF(G801='Room Info'!$G$1, INDEX('Room Info'!$A$2:$A2446, MATCH(B801,'Room Info'!$G$2:$G2446, 0)))))))))</f>
        <v>fig6</v>
      </c>
      <c r="B801" s="45" t="s">
        <v>172</v>
      </c>
      <c r="C801" s="46">
        <v>44886</v>
      </c>
      <c r="D801" s="46">
        <v>44915</v>
      </c>
      <c r="E801" s="47">
        <v>44896</v>
      </c>
      <c r="F801" s="48" t="s">
        <v>34</v>
      </c>
      <c r="G801" s="45" t="s">
        <v>35</v>
      </c>
      <c r="H801" s="49" t="s">
        <v>84</v>
      </c>
      <c r="I801" s="49" t="s">
        <v>44</v>
      </c>
      <c r="J801" s="50">
        <v>100</v>
      </c>
      <c r="K801" s="51">
        <v>746</v>
      </c>
      <c r="L801" s="52">
        <v>-1800</v>
      </c>
      <c r="M801" s="53">
        <v>3052</v>
      </c>
      <c r="N801" s="28">
        <f>K801*J801</f>
        <v>74600</v>
      </c>
      <c r="O801" s="54">
        <v>4799</v>
      </c>
      <c r="P801" s="29">
        <v>6.432975871</v>
      </c>
      <c r="Q801" s="55"/>
      <c r="R801" s="31">
        <f>M801+Q801</f>
        <v>3052</v>
      </c>
      <c r="S801" s="56">
        <v>-2641</v>
      </c>
      <c r="T801" s="32">
        <f>R801+S801+IF(F801="Without EV deal",L801,0)</f>
        <v>411</v>
      </c>
      <c r="U801" s="57">
        <v>1</v>
      </c>
      <c r="V801" s="58"/>
      <c r="W801" s="58"/>
      <c r="X801" s="30">
        <f>IF(AF801="DoEV",IF(AND(V801&lt;20,W801&lt;55),0.3,0)+IF(AND(V801&lt;20,W801&gt;=55,W801&lt;105),0.23,0)+IF(AND(V801&lt;20,W801&gt;=105),0.17,0)+IF(AND(V801&gt;=20,V801&lt;40,W801&lt;45),0.3,0)+IF(AND(V801&gt;=20,V801&lt;40,W801&gt;=45,W801&lt;95),0.23,0)+IF(AND(V801&gt;=20,V801&lt;40,W801&gt;=95),0.17,0)+IF(AND(V801&gt;=40,V801&lt;75,W801&lt;35),0.3,0)+IF(AND(V801&gt;=40,V801&lt;75,W801&gt;=35,W801&lt;75),0.23,0)+IF(AND(V801&gt;=40,V801&lt;75,W801&gt;=75,W801&lt;120),0.17,0)+IF(AND(V801&gt;=40,V801&lt;75,W801&gt;=120),0.12,0)+IF(AND(V801&gt;=75,V801&lt;175,W801&lt;35),0.3,0)+IF(AND(V801&gt;=75,V801&lt;=175,W801&gt;=35,W801&lt;65),0.23,0)+IF(AND(V801&gt;=75,V801&lt;=175,W801&gt;=65,W801&lt;110),0.17,0)+IF(AND(V801&gt;=75,V801&lt;=175,W801&gt;=110),0.12,0)+IF(AND(V801&gt;175,W801&lt;25),0.3,0)+IF(AND(V801&gt;175,W801&gt;=25,W801&lt;55),0.23,0)+IF(AND(V801&gt;175,W801&gt;=55,W801&lt;95),0.17,0)+IF(AND(V801&gt;175,W801&gt;=95),0.12,0),
IF(AF801="Fix15",0.15,
IF(AF801="Fix18.75",0.1875,
IF(AF801="Fix11.25",0.1125,
IF(AF801="Fix10",0.1,
IF(AF801="Fix9",0.09,
IF(AF801="Fix19",0.19,
IF(AF801="DoEV2017",IF(AND(W801&lt;74),0.2,0)+IF(AND(W801&gt;=74),0.17,0),
IF(AF801="SF",IF(AND(V801&lt;20,W801&lt;89),0.3,0)+IF(AND(V801&lt;20,W801&gt;=89),0.25,0)+IF(AND(V801&gt;=20,V801&lt;40,W801&lt;74),0.3,0)+IF(AND(V801&gt;=20,V801&lt;40,W801&gt;=75),0.22,0)+IF(AND(V801&gt;=40,V801&lt;75,W801&lt;75),0.26,0)+IF(AND(V801&gt;=40,V801&lt;75,W801&gt;=75),0.22,0)+IF(V801&gt;=75,0.22,0),
IF(AF801="DoEVold",IF(AND(V801&lt;40,W801&lt;35),0.35,0)+IF(AND(V801&lt;40,W801&gt;=35,W801&lt;75),0.25,0)+IF(AND(V801&lt;40,W801&gt;=75),0.17,0)+IF(AND(V801&gt;=40,V801&lt;75,W801&lt;25),0.35,0)+IF(AND(V801&gt;=40,V801&lt;75,W801&gt;=25,W801&lt;65),0.25,0)+IF(AND(V801&gt;=40,V801&lt;75,W801&gt;=65,W801&lt;100),0.17,0)+IF(AND(V801&gt;=40,V801&lt;75,W801&gt;=100),0.1,0)+IF(AND(V801&gt;=75,W801&lt;25),0.35,0)+IF(AND(V801&gt;=75,W801&gt;=25,W801&lt;60),0.25,0)+IF(AND(V801&gt;=75,W801&gt;=60,W801&lt;95),0.17,0)+IF(AND(V801&gt;=75,W801&gt;=95),0.1,0),
IF(AF801="DoEVold15",IF(AND(V801&lt;=40,W801&lt;35),0.35,0)+IF(AND(V801&lt;=40,W801&gt;=35,W801&lt;75),0.25,0)+IF(AND(V801&lt;=40,W801&gt;=75,W801&lt;120),0.17,0)+IF(AND(V801&lt;=40,W801&gt;=120),0.15,0)+IF(AND(V801&gt;40,V801&lt;75,W801&lt;25),0.35,0)+IF(AND(V801&gt;=40,V801&lt;75,W801&gt;=25,W801&lt;65),0.25,0)+IF(AND(V801&gt;=40,V801&lt;75,W801&gt;=65,W801&lt;100),0.17,0)+IF(AND(V801&gt;=40,V801&lt;75,W801&gt;=100),0.1,0)+IF(AND(V801&gt;=75,W801&lt;25),0.35,0)+IF(AND(V801&gt;=75,W801&gt;=25,W801&lt;60),0.25,0)+IF(AND(V801&gt;=75,W801&gt;=60,W801&lt;95),0.17,0)+IF(AND(V801&gt;=75,W801&gt;=95),0.1,0),
IF(AF801="DoEVba",IF(AND(V801&lt;20,W801&lt;105),0.2,0)+IF(AND(V801&lt;20,W801&gt;=105),0.15,0)+IF(AND(V801&gt;=20,V801&lt;40,W801&lt;95),0.2,0)+IF(AND(V801&gt;=20,V801&lt;40,W801&gt;=95,W801&lt;150),0.15,0)+IF(AND(V801&gt;=20,V801&lt;40,W801&gt;=150),0.12,0)+IF(AND(V801&gt;=40,V801&lt;75,W801&lt;75),0.2,0)+IF(AND(V801&gt;=40,V801&lt;75,W801&gt;=75,W801&lt;120),0.15,0)+IF(AND(V801&gt;=40,V801&lt;75,W801&gt;=120),0.12,0)+IF(AND(V801&gt;=75,V801&lt;175,W801&lt;65),0.2,0)+IF(AND(V801&gt;=75,V801&lt;175,W801&gt;=65,W801&lt;110),0.15,0)+IF(AND(V801&gt;=75,V801&lt;175,W801&gt;=110),0.12,0)+IF(AND(V801&gt;=175,W801&lt;55),0.2,0)+IF(AND(V801&gt;=175,W801&gt;=55,W801&lt;95),0.15,0)+IF(AND(V801&gt;=175,W801&gt;=95),0.12,0),
IF(AF801="DoEVku",IF(AND(V801&lt;20,W801&lt;55),0.23,0)+IF(AND(V801&lt;20,W801&gt;=55,W801&lt;105),0.2,0)+IF(AND(V801&lt;20,W801&gt;=105),0.17,0)+IF(AND(V801&gt;=20,V801&lt;40,W801&lt;45),0.23,0)+IF(AND(V801&gt;=20,V801&lt;40,W801&gt;=45,W801&lt;95),0.2,0)+IF(AND(V801&gt;=20,V801&lt;40,W801&gt;=95,W801&lt;=150),0.17,0)+IF(AND(V801&gt;=20,V801&lt;40,W801&gt;=150),0.12,0)+IF(AND(V801&gt;=40,V801&lt;75,W801&lt;35),0.23,0)+IF(AND(V801&gt;=40,V801&lt;75,W801&gt;=35,W801&lt;75),0.2,0)+IF(AND(V801&gt;=40,V801&lt;75,W801&gt;=75,W801&lt;120),0.17,0)+IF(AND(V801&gt;=40,V801&lt;75,W801&gt;=120),0.12,0)+IF(AND(V801&gt;=75,V801&lt;175,W801&lt;35),0.23,0)+IF(AND(V801&gt;=75,V801&lt;=175,W801&gt;=35,W801&lt;65),0.2,0)+IF(AND(V801&gt;=75,V801&lt;=175,W801&gt;=65,W801&lt;110),0.17,0)+IF(AND(V801&gt;=75,V801&lt;=175,W801&gt;=110),0.12,0)+IF(AND(V801&gt;175,W801&lt;25),0.23,0)+IF(AND(V801&gt;175,W801&gt;=25,W801&lt;55),0.2,0)+IF(AND(V801&gt;175,W801&gt;=55,W801&lt;95),0.17,0)+IF(AND(V801&gt;175,W801&gt;=95),0.12,0),
IF(AF801="DoEVs1",IF(AND(V801&lt;20,W801&lt;55),0.3,0)+IF(AND(V801&lt;20,W801&gt;=55,W801&lt;105),0.23,0)+IF(AND(V801&lt;20,W801&gt;=105),0.17,0)+IF(AND(V801&gt;=20,V801&lt;40,W801&lt;45),0.3,0)+IF(AND(V801&gt;=20,V801&lt;40,W801&gt;=45,W801&lt;95),0.23,0)+IF(AND(V801&gt;=20,V801&lt;40,W801&gt;=95,W801&lt;=150),0.17,0)+IF(AND(V801&gt;=20,V801&lt;40,W801&gt;=150),0.12,0)+IF(AND(V801&gt;=40,V801&lt;75,W801&lt;35),0.3,0)+IF(AND(V801&gt;=40,V801&lt;75,W801&gt;=35,W801&lt;75),0.23,0)+IF(AND(V801&gt;=40,V801&lt;75,W801&gt;=75,W801&lt;120),0.17,0)+IF(AND(V801&gt;=40,V801&lt;75,W801&gt;=120),0.12,0)+IF(AND(V801&gt;=75,V801&lt;175,W801&lt;35),0.3,0)+IF(AND(V801&gt;=75,V801&lt;=175,W801&gt;=35,W801&lt;65),0.23,0)+IF(AND(V801&gt;=75,V801&lt;=175,W801&gt;=65,W801&lt;110),0.17,0)+IF(AND(V801&gt;=75,V801&lt;=175,W801&gt;=110),0.12,0)+IF(AND(V801&gt;175,W801&lt;25),0.3,0)+IF(AND(V801&gt;175,W801&gt;=25,W801&lt;55),0.23,0)+IF(AND(V801&gt;175,W801&gt;=55,W801&lt;95),0.17,0)+IF(AND(V801&gt;175,W801&gt;=95),0.12,0),
IF(AF801="DoEVsu",IF(AND(V801&lt;20,W801&lt;55),0.3,0)+IF(AND(V801&lt;20,W801&gt;=55,W801&lt;105),0.23,0)+IF(AND(V801&lt;20,W801&gt;=105),0.17,0)+IF(AND(V801&gt;=20,V801&lt;40,W801&lt;45),0.3,0)+IF(AND(V801&gt;=20,V801&lt;40,W801&gt;=45,W801&lt;95),0.23,0)+IF(AND(V801&gt;=20,V801&lt;40,W801&gt;=95,W801&lt;=250),0.17,0)+IF(AND(V801&gt;=20,V801&lt;40,W801&gt;=250),0.12,0)+IF(AND(V801&gt;=40,V801&lt;75,W801&lt;35),0.3,0)+IF(AND(V801&gt;=40,V801&lt;75,W801&gt;=35,W801&lt;75),0.23,0)+IF(AND(V801&gt;=40,V801&lt;75,W801&gt;=75,W801&lt;120),0.17,0)+IF(AND(V801&gt;=40,V801&lt;75,W801&gt;=120),0.12,0)+IF(AND(V801&gt;=75,V801&lt;175,W801&lt;35),0.3,0)+IF(AND(V801&gt;=75,V801&lt;=175,W801&gt;=35,W801&lt;65),0.23,0)+IF(AND(V801&gt;=75,V801&lt;=175,W801&gt;=65,W801&lt;110),0.17,0)+IF(AND(V801&gt;=75,V801&lt;=175,W801&gt;=110),0.12,0)+IF(AND(V801&gt;175,W801&lt;25),0.3,0)+IF(AND(V801&gt;175,W801&gt;=25,W801&lt;55),0.23,0)+IF(AND(V801&gt;175,W801&gt;=55,W801&lt;95),0.17,0)+IF(AND(V801&gt;175,W801&gt;=95),0.12,0),
IF(AF801="DoEVni",IF(AND(V801&lt;20,W801&lt;55),0.3,0)+IF(AND(V801&lt;20,W801&gt;=55,W801&lt;105),0.23,0)+IF(AND(V801&lt;20,W801&gt;=105),0.17,0)+IF(AND(V801&gt;=20,V801&lt;40,W801&lt;45),0.3,0)+IF(AND(V801&gt;=20,V801&lt;40,W801&gt;=45,W801&lt;95),0.23,0)+IF(AND(V801&gt;=20,V801&lt;40,W801&gt;=95,W801&lt;=200),0.17,0)+IF(AND(V801&gt;=20,V801&lt;40,W801&gt;=200),0.12,0)+IF(AND(V801&gt;=40,V801&lt;75,W801&lt;35),0.3,0)+IF(AND(V801&gt;=40,V801&lt;75,W801&gt;=35,W801&lt;75),0.23,0)+IF(AND(V801&gt;=40,V801&lt;75,W801&gt;=75,W801&lt;120),0.17,0)+IF(AND(V801&gt;=40,V801&lt;75,W801&gt;=120),0.12,0)+IF(AND(V801&gt;=75,V801&lt;175,W801&lt;35),0.3,0)+IF(AND(V801&gt;=75,V801&lt;=175,W801&gt;=35,W801&lt;65),0.23,0)+IF(AND(V801&gt;=75,V801&lt;=175,W801&gt;=65,W801&lt;110),0.17,0)+IF(AND(V801&gt;=75,V801&lt;=175,W801&gt;=110),0.12,0)+IF(AND(V801&gt;175,W801&lt;25),0.3,0)+IF(AND(V801&gt;175,W801&gt;=25,W801&lt;55),0.23,0)+IF(AND(V801&gt;175,W801&gt;=55,W801&lt;95),0.17,0)+IF(AND(V801&gt;175,W801&gt;=95),0.12,0),
IF(AF801="DoEVLo",IF(AND(V801&lt;20,W801&lt;55),0.25,0)+IF(AND(V801&lt;20,W801&gt;=55,W801&lt;105),0.2,0)+IF(AND(V801&lt;20,W801&gt;=105),0.15,0)+IF(AND(V801&gt;=20,V801&lt;40,W801&lt;45),0.25,0)+IF(AND(V801&gt;=20,V801&lt;40,W801&gt;=45,W801&lt;95),0.2,0)+IF(AND(V801&gt;=20,V801&lt;40,W801&gt;=95),0.15,0)+IF(AND(V801&gt;=40,V801&lt;75,W801&lt;35),0.25,0)+IF(AND(V801&gt;=40,V801&lt;75,W801&gt;=35,W801&lt;75),0.2,0)+IF(AND(V801&gt;=40,V801&lt;75,W801&gt;=75,W801&lt;120),0.15,0)+IF(AND(V801&gt;=40,V801&lt;75,W801&gt;=120),0.1,0)+IF(AND(V801&gt;=75,V801&lt;175,W801&lt;35),0.25,0)+IF(AND(V801&gt;=75,V801&lt;=175,W801&gt;=35,W801&lt;65),0.2,0)+IF(AND(V801&gt;=75,V801&lt;=175,W801&gt;=65,W801&lt;110),0.15,0)+IF(AND(V801&gt;=75,V801&lt;=175,W801&gt;=110),0.1,0)+IF(AND(V801&gt;175,W801&lt;25),0.25,0)+IF(AND(V801&gt;175,W801&gt;=25,W801&lt;55),0.2,0)+IF(AND(V801&gt;175,W801&gt;=55,W801&lt;95),0.15,0)+IF(AND(V801&gt;175,W801&gt;=95),0.1,0))))))))))))))))))</f>
        <v>0.1125</v>
      </c>
      <c r="Y801" s="30">
        <f>IF(AG801="None",0,IF(AG801="Fix5",0.05, IF(AG801="Fix6.25",0.0625,IF(AG801="Fix3.75",0.0375,IF(AG801="Fix10",0.1,IF(AG801="Fix3",0.03,0))))))</f>
        <v>3.7499999999999999E-2</v>
      </c>
      <c r="Z801" s="35">
        <f>T801-AA801-AB801</f>
        <v>302.76249999999999</v>
      </c>
      <c r="AA801" s="29">
        <f>IF(AD801="EUR",((T801-R801)*X801)*U801+(R801*X801),(T801*X801))</f>
        <v>46.237500000000004</v>
      </c>
      <c r="AB801" s="104">
        <v>62</v>
      </c>
      <c r="AC801" s="37" t="b">
        <v>1</v>
      </c>
      <c r="AD801" s="37" t="s">
        <v>38</v>
      </c>
      <c r="AE801" s="37" t="s">
        <v>38</v>
      </c>
      <c r="AF801" s="37" t="str">
        <f t="array" ref="AF801">INDEX('Deal Info'!D:D, MATCH(A801,'Deal Info'!A:A, 0))</f>
        <v>Fix11.25</v>
      </c>
      <c r="AG801" s="38" t="str">
        <f t="array" ref="AG801">INDEX('Deal Info'!G:G, MATCH(A801,'Deal Info'!A:A, 0))</f>
        <v>Fix3.75</v>
      </c>
    </row>
    <row r="802" spans="1:33" ht="14.25" hidden="1" x14ac:dyDescent="0.2">
      <c r="A802" s="18" t="str">
        <f t="array" ref="A802">IF(G802='Room Info'!$B$1, INDEX('Room Info'!$A$2:$A2446, MATCH(B802,'Room Info'!$B$2:$B2446, 0)),IF(G802='Room Info'!$C$1, INDEX('Room Info'!$A$2:$A2446, MATCH(B802,'Room Info'!$C$2:$C2446, 0)),IF(G802='Room Info'!$D$1, INDEX('Room Info'!$A$2:$A2446, MATCH(B802,'Room Info'!$D$2:$D2446, 0)),IF(G802='Room Info'!$E$1, INDEX('Room Info'!$A$2:$A2446, MATCH(B802,'Room Info'!$E$2:$E2446, 0)),IF(G802='Room Info'!$F$1, INDEX('Room Info'!$A$2:$A2446, MATCH(B802,'Room Info'!$F$2:$F2446, 0)),IF(G802='Room Info'!$H$1, INDEX('Room Info'!$A$2:$A2446, MATCH(B802,'Room Info'!$H$2:$H2446, 0)),IF(G802='Room Info'!$G$1, INDEX('Room Info'!$A$2:$A2446, MATCH(B802,'Room Info'!$G$2:$G2446, 0)))))))))</f>
        <v>fig6</v>
      </c>
      <c r="B802" s="45" t="s">
        <v>172</v>
      </c>
      <c r="C802" s="77">
        <v>44886</v>
      </c>
      <c r="D802" s="77">
        <v>44915</v>
      </c>
      <c r="E802" s="47">
        <v>44896</v>
      </c>
      <c r="F802" s="48" t="s">
        <v>34</v>
      </c>
      <c r="G802" s="45" t="s">
        <v>35</v>
      </c>
      <c r="H802" s="49" t="s">
        <v>88</v>
      </c>
      <c r="I802" s="49" t="s">
        <v>37</v>
      </c>
      <c r="J802" s="74">
        <v>250</v>
      </c>
      <c r="K802" s="75">
        <v>1110</v>
      </c>
      <c r="L802" s="72">
        <v>14750</v>
      </c>
      <c r="M802" s="76">
        <v>11352</v>
      </c>
      <c r="N802" s="28">
        <f>K802*J802</f>
        <v>277500</v>
      </c>
      <c r="O802" s="45">
        <v>40697</v>
      </c>
      <c r="P802" s="29">
        <v>36.663963959999997</v>
      </c>
      <c r="Q802" s="55"/>
      <c r="R802" s="31">
        <f>M802+Q802</f>
        <v>11352</v>
      </c>
      <c r="S802" s="73">
        <v>4383</v>
      </c>
      <c r="T802" s="32">
        <f>R802+S802+IF(F802="Without EV deal",L802,0)</f>
        <v>15735</v>
      </c>
      <c r="U802" s="57">
        <v>1</v>
      </c>
      <c r="V802" s="58"/>
      <c r="W802" s="58"/>
      <c r="X802" s="30">
        <f>IF(AF802="DoEV",IF(AND(V802&lt;20,W802&lt;55),0.3,0)+IF(AND(V802&lt;20,W802&gt;=55,W802&lt;105),0.23,0)+IF(AND(V802&lt;20,W802&gt;=105),0.17,0)+IF(AND(V802&gt;=20,V802&lt;40,W802&lt;45),0.3,0)+IF(AND(V802&gt;=20,V802&lt;40,W802&gt;=45,W802&lt;95),0.23,0)+IF(AND(V802&gt;=20,V802&lt;40,W802&gt;=95),0.17,0)+IF(AND(V802&gt;=40,V802&lt;75,W802&lt;35),0.3,0)+IF(AND(V802&gt;=40,V802&lt;75,W802&gt;=35,W802&lt;75),0.23,0)+IF(AND(V802&gt;=40,V802&lt;75,W802&gt;=75,W802&lt;120),0.17,0)+IF(AND(V802&gt;=40,V802&lt;75,W802&gt;=120),0.12,0)+IF(AND(V802&gt;=75,V802&lt;175,W802&lt;35),0.3,0)+IF(AND(V802&gt;=75,V802&lt;=175,W802&gt;=35,W802&lt;65),0.23,0)+IF(AND(V802&gt;=75,V802&lt;=175,W802&gt;=65,W802&lt;110),0.17,0)+IF(AND(V802&gt;=75,V802&lt;=175,W802&gt;=110),0.12,0)+IF(AND(V802&gt;175,W802&lt;25),0.3,0)+IF(AND(V802&gt;175,W802&gt;=25,W802&lt;55),0.23,0)+IF(AND(V802&gt;175,W802&gt;=55,W802&lt;95),0.17,0)+IF(AND(V802&gt;175,W802&gt;=95),0.12,0),
IF(AF802="Fix15",0.15,
IF(AF802="Fix18.75",0.1875,
IF(AF802="Fix11.25",0.1125,
IF(AF802="Fix10",0.1,
IF(AF802="Fix9",0.09,
IF(AF802="Fix19",0.19,
IF(AF802="DoEV2017",IF(AND(W802&lt;74),0.2,0)+IF(AND(W802&gt;=74),0.17,0),
IF(AF802="SF",IF(AND(V802&lt;20,W802&lt;89),0.3,0)+IF(AND(V802&lt;20,W802&gt;=89),0.25,0)+IF(AND(V802&gt;=20,V802&lt;40,W802&lt;74),0.3,0)+IF(AND(V802&gt;=20,V802&lt;40,W802&gt;=75),0.22,0)+IF(AND(V802&gt;=40,V802&lt;75,W802&lt;75),0.26,0)+IF(AND(V802&gt;=40,V802&lt;75,W802&gt;=75),0.22,0)+IF(V802&gt;=75,0.22,0),
IF(AF802="DoEVold",IF(AND(V802&lt;40,W802&lt;35),0.35,0)+IF(AND(V802&lt;40,W802&gt;=35,W802&lt;75),0.25,0)+IF(AND(V802&lt;40,W802&gt;=75),0.17,0)+IF(AND(V802&gt;=40,V802&lt;75,W802&lt;25),0.35,0)+IF(AND(V802&gt;=40,V802&lt;75,W802&gt;=25,W802&lt;65),0.25,0)+IF(AND(V802&gt;=40,V802&lt;75,W802&gt;=65,W802&lt;100),0.17,0)+IF(AND(V802&gt;=40,V802&lt;75,W802&gt;=100),0.1,0)+IF(AND(V802&gt;=75,W802&lt;25),0.35,0)+IF(AND(V802&gt;=75,W802&gt;=25,W802&lt;60),0.25,0)+IF(AND(V802&gt;=75,W802&gt;=60,W802&lt;95),0.17,0)+IF(AND(V802&gt;=75,W802&gt;=95),0.1,0),
IF(AF802="DoEVold15",IF(AND(V802&lt;=40,W802&lt;35),0.35,0)+IF(AND(V802&lt;=40,W802&gt;=35,W802&lt;75),0.25,0)+IF(AND(V802&lt;=40,W802&gt;=75,W802&lt;120),0.17,0)+IF(AND(V802&lt;=40,W802&gt;=120),0.15,0)+IF(AND(V802&gt;40,V802&lt;75,W802&lt;25),0.35,0)+IF(AND(V802&gt;=40,V802&lt;75,W802&gt;=25,W802&lt;65),0.25,0)+IF(AND(V802&gt;=40,V802&lt;75,W802&gt;=65,W802&lt;100),0.17,0)+IF(AND(V802&gt;=40,V802&lt;75,W802&gt;=100),0.1,0)+IF(AND(V802&gt;=75,W802&lt;25),0.35,0)+IF(AND(V802&gt;=75,W802&gt;=25,W802&lt;60),0.25,0)+IF(AND(V802&gt;=75,W802&gt;=60,W802&lt;95),0.17,0)+IF(AND(V802&gt;=75,W802&gt;=95),0.1,0),
IF(AF802="DoEVba",IF(AND(V802&lt;20,W802&lt;105),0.2,0)+IF(AND(V802&lt;20,W802&gt;=105),0.15,0)+IF(AND(V802&gt;=20,V802&lt;40,W802&lt;95),0.2,0)+IF(AND(V802&gt;=20,V802&lt;40,W802&gt;=95,W802&lt;150),0.15,0)+IF(AND(V802&gt;=20,V802&lt;40,W802&gt;=150),0.12,0)+IF(AND(V802&gt;=40,V802&lt;75,W802&lt;75),0.2,0)+IF(AND(V802&gt;=40,V802&lt;75,W802&gt;=75,W802&lt;120),0.15,0)+IF(AND(V802&gt;=40,V802&lt;75,W802&gt;=120),0.12,0)+IF(AND(V802&gt;=75,V802&lt;175,W802&lt;65),0.2,0)+IF(AND(V802&gt;=75,V802&lt;175,W802&gt;=65,W802&lt;110),0.15,0)+IF(AND(V802&gt;=75,V802&lt;175,W802&gt;=110),0.12,0)+IF(AND(V802&gt;=175,W802&lt;55),0.2,0)+IF(AND(V802&gt;=175,W802&gt;=55,W802&lt;95),0.15,0)+IF(AND(V802&gt;=175,W802&gt;=95),0.12,0),
IF(AF802="DoEVku",IF(AND(V802&lt;20,W802&lt;55),0.23,0)+IF(AND(V802&lt;20,W802&gt;=55,W802&lt;105),0.2,0)+IF(AND(V802&lt;20,W802&gt;=105),0.17,0)+IF(AND(V802&gt;=20,V802&lt;40,W802&lt;45),0.23,0)+IF(AND(V802&gt;=20,V802&lt;40,W802&gt;=45,W802&lt;95),0.2,0)+IF(AND(V802&gt;=20,V802&lt;40,W802&gt;=95,W802&lt;=150),0.17,0)+IF(AND(V802&gt;=20,V802&lt;40,W802&gt;=150),0.12,0)+IF(AND(V802&gt;=40,V802&lt;75,W802&lt;35),0.23,0)+IF(AND(V802&gt;=40,V802&lt;75,W802&gt;=35,W802&lt;75),0.2,0)+IF(AND(V802&gt;=40,V802&lt;75,W802&gt;=75,W802&lt;120),0.17,0)+IF(AND(V802&gt;=40,V802&lt;75,W802&gt;=120),0.12,0)+IF(AND(V802&gt;=75,V802&lt;175,W802&lt;35),0.23,0)+IF(AND(V802&gt;=75,V802&lt;=175,W802&gt;=35,W802&lt;65),0.2,0)+IF(AND(V802&gt;=75,V802&lt;=175,W802&gt;=65,W802&lt;110),0.17,0)+IF(AND(V802&gt;=75,V802&lt;=175,W802&gt;=110),0.12,0)+IF(AND(V802&gt;175,W802&lt;25),0.23,0)+IF(AND(V802&gt;175,W802&gt;=25,W802&lt;55),0.2,0)+IF(AND(V802&gt;175,W802&gt;=55,W802&lt;95),0.17,0)+IF(AND(V802&gt;175,W802&gt;=95),0.12,0),
IF(AF802="DoEVs1",IF(AND(V802&lt;20,W802&lt;55),0.3,0)+IF(AND(V802&lt;20,W802&gt;=55,W802&lt;105),0.23,0)+IF(AND(V802&lt;20,W802&gt;=105),0.17,0)+IF(AND(V802&gt;=20,V802&lt;40,W802&lt;45),0.3,0)+IF(AND(V802&gt;=20,V802&lt;40,W802&gt;=45,W802&lt;95),0.23,0)+IF(AND(V802&gt;=20,V802&lt;40,W802&gt;=95,W802&lt;=150),0.17,0)+IF(AND(V802&gt;=20,V802&lt;40,W802&gt;=150),0.12,0)+IF(AND(V802&gt;=40,V802&lt;75,W802&lt;35),0.3,0)+IF(AND(V802&gt;=40,V802&lt;75,W802&gt;=35,W802&lt;75),0.23,0)+IF(AND(V802&gt;=40,V802&lt;75,W802&gt;=75,W802&lt;120),0.17,0)+IF(AND(V802&gt;=40,V802&lt;75,W802&gt;=120),0.12,0)+IF(AND(V802&gt;=75,V802&lt;175,W802&lt;35),0.3,0)+IF(AND(V802&gt;=75,V802&lt;=175,W802&gt;=35,W802&lt;65),0.23,0)+IF(AND(V802&gt;=75,V802&lt;=175,W802&gt;=65,W802&lt;110),0.17,0)+IF(AND(V802&gt;=75,V802&lt;=175,W802&gt;=110),0.12,0)+IF(AND(V802&gt;175,W802&lt;25),0.3,0)+IF(AND(V802&gt;175,W802&gt;=25,W802&lt;55),0.23,0)+IF(AND(V802&gt;175,W802&gt;=55,W802&lt;95),0.17,0)+IF(AND(V802&gt;175,W802&gt;=95),0.12,0),
IF(AF802="DoEVsu",IF(AND(V802&lt;20,W802&lt;55),0.3,0)+IF(AND(V802&lt;20,W802&gt;=55,W802&lt;105),0.23,0)+IF(AND(V802&lt;20,W802&gt;=105),0.17,0)+IF(AND(V802&gt;=20,V802&lt;40,W802&lt;45),0.3,0)+IF(AND(V802&gt;=20,V802&lt;40,W802&gt;=45,W802&lt;95),0.23,0)+IF(AND(V802&gt;=20,V802&lt;40,W802&gt;=95,W802&lt;=250),0.17,0)+IF(AND(V802&gt;=20,V802&lt;40,W802&gt;=250),0.12,0)+IF(AND(V802&gt;=40,V802&lt;75,W802&lt;35),0.3,0)+IF(AND(V802&gt;=40,V802&lt;75,W802&gt;=35,W802&lt;75),0.23,0)+IF(AND(V802&gt;=40,V802&lt;75,W802&gt;=75,W802&lt;120),0.17,0)+IF(AND(V802&gt;=40,V802&lt;75,W802&gt;=120),0.12,0)+IF(AND(V802&gt;=75,V802&lt;175,W802&lt;35),0.3,0)+IF(AND(V802&gt;=75,V802&lt;=175,W802&gt;=35,W802&lt;65),0.23,0)+IF(AND(V802&gt;=75,V802&lt;=175,W802&gt;=65,W802&lt;110),0.17,0)+IF(AND(V802&gt;=75,V802&lt;=175,W802&gt;=110),0.12,0)+IF(AND(V802&gt;175,W802&lt;25),0.3,0)+IF(AND(V802&gt;175,W802&gt;=25,W802&lt;55),0.23,0)+IF(AND(V802&gt;175,W802&gt;=55,W802&lt;95),0.17,0)+IF(AND(V802&gt;175,W802&gt;=95),0.12,0),
IF(AF802="DoEVni",IF(AND(V802&lt;20,W802&lt;55),0.3,0)+IF(AND(V802&lt;20,W802&gt;=55,W802&lt;105),0.23,0)+IF(AND(V802&lt;20,W802&gt;=105),0.17,0)+IF(AND(V802&gt;=20,V802&lt;40,W802&lt;45),0.3,0)+IF(AND(V802&gt;=20,V802&lt;40,W802&gt;=45,W802&lt;95),0.23,0)+IF(AND(V802&gt;=20,V802&lt;40,W802&gt;=95,W802&lt;=200),0.17,0)+IF(AND(V802&gt;=20,V802&lt;40,W802&gt;=200),0.12,0)+IF(AND(V802&gt;=40,V802&lt;75,W802&lt;35),0.3,0)+IF(AND(V802&gt;=40,V802&lt;75,W802&gt;=35,W802&lt;75),0.23,0)+IF(AND(V802&gt;=40,V802&lt;75,W802&gt;=75,W802&lt;120),0.17,0)+IF(AND(V802&gt;=40,V802&lt;75,W802&gt;=120),0.12,0)+IF(AND(V802&gt;=75,V802&lt;175,W802&lt;35),0.3,0)+IF(AND(V802&gt;=75,V802&lt;=175,W802&gt;=35,W802&lt;65),0.23,0)+IF(AND(V802&gt;=75,V802&lt;=175,W802&gt;=65,W802&lt;110),0.17,0)+IF(AND(V802&gt;=75,V802&lt;=175,W802&gt;=110),0.12,0)+IF(AND(V802&gt;175,W802&lt;25),0.3,0)+IF(AND(V802&gt;175,W802&gt;=25,W802&lt;55),0.23,0)+IF(AND(V802&gt;175,W802&gt;=55,W802&lt;95),0.17,0)+IF(AND(V802&gt;175,W802&gt;=95),0.12,0),
IF(AF802="DoEVLo",IF(AND(V802&lt;20,W802&lt;55),0.25,0)+IF(AND(V802&lt;20,W802&gt;=55,W802&lt;105),0.2,0)+IF(AND(V802&lt;20,W802&gt;=105),0.15,0)+IF(AND(V802&gt;=20,V802&lt;40,W802&lt;45),0.25,0)+IF(AND(V802&gt;=20,V802&lt;40,W802&gt;=45,W802&lt;95),0.2,0)+IF(AND(V802&gt;=20,V802&lt;40,W802&gt;=95),0.15,0)+IF(AND(V802&gt;=40,V802&lt;75,W802&lt;35),0.25,0)+IF(AND(V802&gt;=40,V802&lt;75,W802&gt;=35,W802&lt;75),0.2,0)+IF(AND(V802&gt;=40,V802&lt;75,W802&gt;=75,W802&lt;120),0.15,0)+IF(AND(V802&gt;=40,V802&lt;75,W802&gt;=120),0.1,0)+IF(AND(V802&gt;=75,V802&lt;175,W802&lt;35),0.25,0)+IF(AND(V802&gt;=75,V802&lt;=175,W802&gt;=35,W802&lt;65),0.2,0)+IF(AND(V802&gt;=75,V802&lt;=175,W802&gt;=65,W802&lt;110),0.15,0)+IF(AND(V802&gt;=75,V802&lt;=175,W802&gt;=110),0.1,0)+IF(AND(V802&gt;175,W802&lt;25),0.25,0)+IF(AND(V802&gt;175,W802&gt;=25,W802&lt;55),0.2,0)+IF(AND(V802&gt;175,W802&gt;=55,W802&lt;95),0.15,0)+IF(AND(V802&gt;175,W802&gt;=95),0.1,0))))))))))))))))))</f>
        <v>0.1125</v>
      </c>
      <c r="Y802" s="30">
        <f>IF(AG802="None",0,IF(AG802="Fix5",0.05, IF(AG802="Fix6.25",0.0625,IF(AG802="Fix3.75",0.0375,IF(AG802="Fix10",0.1,IF(AG802="Fix3",0.03,0))))))</f>
        <v>3.7499999999999999E-2</v>
      </c>
      <c r="Z802" s="35">
        <f>T802-AA802-AB802</f>
        <v>11604.8125</v>
      </c>
      <c r="AA802" s="29">
        <f>IF(AD802="EUR",((T802-R802)*X802)*U802+(R802*X802),(T802*X802))</f>
        <v>1770.1875</v>
      </c>
      <c r="AB802" s="104">
        <v>2360</v>
      </c>
      <c r="AC802" s="37" t="b">
        <v>1</v>
      </c>
      <c r="AD802" s="37" t="s">
        <v>38</v>
      </c>
      <c r="AE802" s="37" t="s">
        <v>38</v>
      </c>
      <c r="AF802" s="37" t="str">
        <f t="array" ref="AF802">INDEX('Deal Info'!D:D, MATCH(A802,'Deal Info'!A:A, 0))</f>
        <v>Fix11.25</v>
      </c>
      <c r="AG802" s="38" t="str">
        <f t="array" ref="AG802">INDEX('Deal Info'!G:G, MATCH(A802,'Deal Info'!A:A, 0))</f>
        <v>Fix3.75</v>
      </c>
    </row>
    <row r="803" spans="1:33" ht="14.25" hidden="1" x14ac:dyDescent="0.2">
      <c r="A803" s="18" t="str">
        <f t="array" ref="A803">IF(G803='Room Info'!$B$1, INDEX('Room Info'!$A$2:$A2446, MATCH(B803,'Room Info'!$B$2:$B2446, 0)),IF(G803='Room Info'!$C$1, INDEX('Room Info'!$A$2:$A2446, MATCH(B803,'Room Info'!$C$2:$C2446, 0)),IF(G803='Room Info'!$D$1, INDEX('Room Info'!$A$2:$A2446, MATCH(B803,'Room Info'!$D$2:$D2446, 0)),IF(G803='Room Info'!$E$1, INDEX('Room Info'!$A$2:$A2446, MATCH(B803,'Room Info'!$E$2:$E2446, 0)),IF(G803='Room Info'!$F$1, INDEX('Room Info'!$A$2:$A2446, MATCH(B803,'Room Info'!$F$2:$F2446, 0)),IF(G803='Room Info'!$H$1, INDEX('Room Info'!$A$2:$A2446, MATCH(B803,'Room Info'!$H$2:$H2446, 0)),IF(G803='Room Info'!$G$1, INDEX('Room Info'!$A$2:$A2446, MATCH(B803,'Room Info'!$G$2:$G2446, 0)))))))))</f>
        <v>fig6</v>
      </c>
      <c r="B803" s="54" t="s">
        <v>172</v>
      </c>
      <c r="C803" s="46">
        <v>44886</v>
      </c>
      <c r="D803" s="46">
        <v>44915</v>
      </c>
      <c r="E803" s="47">
        <v>44896</v>
      </c>
      <c r="F803" s="45" t="s">
        <v>34</v>
      </c>
      <c r="G803" s="54" t="s">
        <v>35</v>
      </c>
      <c r="H803" s="49" t="s">
        <v>148</v>
      </c>
      <c r="I803" s="49" t="s">
        <v>44</v>
      </c>
      <c r="J803" s="74">
        <v>250</v>
      </c>
      <c r="K803" s="75">
        <v>372</v>
      </c>
      <c r="L803" s="72">
        <v>-2750</v>
      </c>
      <c r="M803" s="53">
        <v>3805</v>
      </c>
      <c r="N803" s="28">
        <f>K803*J803</f>
        <v>93000</v>
      </c>
      <c r="O803" s="45">
        <v>3480</v>
      </c>
      <c r="P803" s="29">
        <v>9.3548387099999992</v>
      </c>
      <c r="Q803" s="55"/>
      <c r="R803" s="31">
        <f>M803+Q803</f>
        <v>3805</v>
      </c>
      <c r="S803" s="73">
        <v>-2214</v>
      </c>
      <c r="T803" s="32">
        <f>R803+S803+IF(F803="Without EV deal",L803,0)</f>
        <v>1591</v>
      </c>
      <c r="U803" s="57">
        <v>1</v>
      </c>
      <c r="V803" s="58"/>
      <c r="W803" s="58"/>
      <c r="X803" s="30">
        <f>IF(AF803="DoEV",IF(AND(V803&lt;20,W803&lt;55),0.3,0)+IF(AND(V803&lt;20,W803&gt;=55,W803&lt;105),0.23,0)+IF(AND(V803&lt;20,W803&gt;=105),0.17,0)+IF(AND(V803&gt;=20,V803&lt;40,W803&lt;45),0.3,0)+IF(AND(V803&gt;=20,V803&lt;40,W803&gt;=45,W803&lt;95),0.23,0)+IF(AND(V803&gt;=20,V803&lt;40,W803&gt;=95),0.17,0)+IF(AND(V803&gt;=40,V803&lt;75,W803&lt;35),0.3,0)+IF(AND(V803&gt;=40,V803&lt;75,W803&gt;=35,W803&lt;75),0.23,0)+IF(AND(V803&gt;=40,V803&lt;75,W803&gt;=75,W803&lt;120),0.17,0)+IF(AND(V803&gt;=40,V803&lt;75,W803&gt;=120),0.12,0)+IF(AND(V803&gt;=75,V803&lt;175,W803&lt;35),0.3,0)+IF(AND(V803&gt;=75,V803&lt;=175,W803&gt;=35,W803&lt;65),0.23,0)+IF(AND(V803&gt;=75,V803&lt;=175,W803&gt;=65,W803&lt;110),0.17,0)+IF(AND(V803&gt;=75,V803&lt;=175,W803&gt;=110),0.12,0)+IF(AND(V803&gt;175,W803&lt;25),0.3,0)+IF(AND(V803&gt;175,W803&gt;=25,W803&lt;55),0.23,0)+IF(AND(V803&gt;175,W803&gt;=55,W803&lt;95),0.17,0)+IF(AND(V803&gt;175,W803&gt;=95),0.12,0),
IF(AF803="Fix15",0.15,
IF(AF803="Fix18.75",0.1875,
IF(AF803="Fix11.25",0.1125,
IF(AF803="Fix10",0.1,
IF(AF803="Fix9",0.09,
IF(AF803="Fix19",0.19,
IF(AF803="DoEV2017",IF(AND(W803&lt;74),0.2,0)+IF(AND(W803&gt;=74),0.17,0),
IF(AF803="SF",IF(AND(V803&lt;20,W803&lt;89),0.3,0)+IF(AND(V803&lt;20,W803&gt;=89),0.25,0)+IF(AND(V803&gt;=20,V803&lt;40,W803&lt;74),0.3,0)+IF(AND(V803&gt;=20,V803&lt;40,W803&gt;=75),0.22,0)+IF(AND(V803&gt;=40,V803&lt;75,W803&lt;75),0.26,0)+IF(AND(V803&gt;=40,V803&lt;75,W803&gt;=75),0.22,0)+IF(V803&gt;=75,0.22,0),
IF(AF803="DoEVold",IF(AND(V803&lt;40,W803&lt;35),0.35,0)+IF(AND(V803&lt;40,W803&gt;=35,W803&lt;75),0.25,0)+IF(AND(V803&lt;40,W803&gt;=75),0.17,0)+IF(AND(V803&gt;=40,V803&lt;75,W803&lt;25),0.35,0)+IF(AND(V803&gt;=40,V803&lt;75,W803&gt;=25,W803&lt;65),0.25,0)+IF(AND(V803&gt;=40,V803&lt;75,W803&gt;=65,W803&lt;100),0.17,0)+IF(AND(V803&gt;=40,V803&lt;75,W803&gt;=100),0.1,0)+IF(AND(V803&gt;=75,W803&lt;25),0.35,0)+IF(AND(V803&gt;=75,W803&gt;=25,W803&lt;60),0.25,0)+IF(AND(V803&gt;=75,W803&gt;=60,W803&lt;95),0.17,0)+IF(AND(V803&gt;=75,W803&gt;=95),0.1,0),
IF(AF803="DoEVold15",IF(AND(V803&lt;=40,W803&lt;35),0.35,0)+IF(AND(V803&lt;=40,W803&gt;=35,W803&lt;75),0.25,0)+IF(AND(V803&lt;=40,W803&gt;=75,W803&lt;120),0.17,0)+IF(AND(V803&lt;=40,W803&gt;=120),0.15,0)+IF(AND(V803&gt;40,V803&lt;75,W803&lt;25),0.35,0)+IF(AND(V803&gt;=40,V803&lt;75,W803&gt;=25,W803&lt;65),0.25,0)+IF(AND(V803&gt;=40,V803&lt;75,W803&gt;=65,W803&lt;100),0.17,0)+IF(AND(V803&gt;=40,V803&lt;75,W803&gt;=100),0.1,0)+IF(AND(V803&gt;=75,W803&lt;25),0.35,0)+IF(AND(V803&gt;=75,W803&gt;=25,W803&lt;60),0.25,0)+IF(AND(V803&gt;=75,W803&gt;=60,W803&lt;95),0.17,0)+IF(AND(V803&gt;=75,W803&gt;=95),0.1,0),
IF(AF803="DoEVba",IF(AND(V803&lt;20,W803&lt;105),0.2,0)+IF(AND(V803&lt;20,W803&gt;=105),0.15,0)+IF(AND(V803&gt;=20,V803&lt;40,W803&lt;95),0.2,0)+IF(AND(V803&gt;=20,V803&lt;40,W803&gt;=95,W803&lt;150),0.15,0)+IF(AND(V803&gt;=20,V803&lt;40,W803&gt;=150),0.12,0)+IF(AND(V803&gt;=40,V803&lt;75,W803&lt;75),0.2,0)+IF(AND(V803&gt;=40,V803&lt;75,W803&gt;=75,W803&lt;120),0.15,0)+IF(AND(V803&gt;=40,V803&lt;75,W803&gt;=120),0.12,0)+IF(AND(V803&gt;=75,V803&lt;175,W803&lt;65),0.2,0)+IF(AND(V803&gt;=75,V803&lt;175,W803&gt;=65,W803&lt;110),0.15,0)+IF(AND(V803&gt;=75,V803&lt;175,W803&gt;=110),0.12,0)+IF(AND(V803&gt;=175,W803&lt;55),0.2,0)+IF(AND(V803&gt;=175,W803&gt;=55,W803&lt;95),0.15,0)+IF(AND(V803&gt;=175,W803&gt;=95),0.12,0),
IF(AF803="DoEVku",IF(AND(V803&lt;20,W803&lt;55),0.23,0)+IF(AND(V803&lt;20,W803&gt;=55,W803&lt;105),0.2,0)+IF(AND(V803&lt;20,W803&gt;=105),0.17,0)+IF(AND(V803&gt;=20,V803&lt;40,W803&lt;45),0.23,0)+IF(AND(V803&gt;=20,V803&lt;40,W803&gt;=45,W803&lt;95),0.2,0)+IF(AND(V803&gt;=20,V803&lt;40,W803&gt;=95,W803&lt;=150),0.17,0)+IF(AND(V803&gt;=20,V803&lt;40,W803&gt;=150),0.12,0)+IF(AND(V803&gt;=40,V803&lt;75,W803&lt;35),0.23,0)+IF(AND(V803&gt;=40,V803&lt;75,W803&gt;=35,W803&lt;75),0.2,0)+IF(AND(V803&gt;=40,V803&lt;75,W803&gt;=75,W803&lt;120),0.17,0)+IF(AND(V803&gt;=40,V803&lt;75,W803&gt;=120),0.12,0)+IF(AND(V803&gt;=75,V803&lt;175,W803&lt;35),0.23,0)+IF(AND(V803&gt;=75,V803&lt;=175,W803&gt;=35,W803&lt;65),0.2,0)+IF(AND(V803&gt;=75,V803&lt;=175,W803&gt;=65,W803&lt;110),0.17,0)+IF(AND(V803&gt;=75,V803&lt;=175,W803&gt;=110),0.12,0)+IF(AND(V803&gt;175,W803&lt;25),0.23,0)+IF(AND(V803&gt;175,W803&gt;=25,W803&lt;55),0.2,0)+IF(AND(V803&gt;175,W803&gt;=55,W803&lt;95),0.17,0)+IF(AND(V803&gt;175,W803&gt;=95),0.12,0),
IF(AF803="DoEVs1",IF(AND(V803&lt;20,W803&lt;55),0.3,0)+IF(AND(V803&lt;20,W803&gt;=55,W803&lt;105),0.23,0)+IF(AND(V803&lt;20,W803&gt;=105),0.17,0)+IF(AND(V803&gt;=20,V803&lt;40,W803&lt;45),0.3,0)+IF(AND(V803&gt;=20,V803&lt;40,W803&gt;=45,W803&lt;95),0.23,0)+IF(AND(V803&gt;=20,V803&lt;40,W803&gt;=95,W803&lt;=150),0.17,0)+IF(AND(V803&gt;=20,V803&lt;40,W803&gt;=150),0.12,0)+IF(AND(V803&gt;=40,V803&lt;75,W803&lt;35),0.3,0)+IF(AND(V803&gt;=40,V803&lt;75,W803&gt;=35,W803&lt;75),0.23,0)+IF(AND(V803&gt;=40,V803&lt;75,W803&gt;=75,W803&lt;120),0.17,0)+IF(AND(V803&gt;=40,V803&lt;75,W803&gt;=120),0.12,0)+IF(AND(V803&gt;=75,V803&lt;175,W803&lt;35),0.3,0)+IF(AND(V803&gt;=75,V803&lt;=175,W803&gt;=35,W803&lt;65),0.23,0)+IF(AND(V803&gt;=75,V803&lt;=175,W803&gt;=65,W803&lt;110),0.17,0)+IF(AND(V803&gt;=75,V803&lt;=175,W803&gt;=110),0.12,0)+IF(AND(V803&gt;175,W803&lt;25),0.3,0)+IF(AND(V803&gt;175,W803&gt;=25,W803&lt;55),0.23,0)+IF(AND(V803&gt;175,W803&gt;=55,W803&lt;95),0.17,0)+IF(AND(V803&gt;175,W803&gt;=95),0.12,0),
IF(AF803="DoEVsu",IF(AND(V803&lt;20,W803&lt;55),0.3,0)+IF(AND(V803&lt;20,W803&gt;=55,W803&lt;105),0.23,0)+IF(AND(V803&lt;20,W803&gt;=105),0.17,0)+IF(AND(V803&gt;=20,V803&lt;40,W803&lt;45),0.3,0)+IF(AND(V803&gt;=20,V803&lt;40,W803&gt;=45,W803&lt;95),0.23,0)+IF(AND(V803&gt;=20,V803&lt;40,W803&gt;=95,W803&lt;=250),0.17,0)+IF(AND(V803&gt;=20,V803&lt;40,W803&gt;=250),0.12,0)+IF(AND(V803&gt;=40,V803&lt;75,W803&lt;35),0.3,0)+IF(AND(V803&gt;=40,V803&lt;75,W803&gt;=35,W803&lt;75),0.23,0)+IF(AND(V803&gt;=40,V803&lt;75,W803&gt;=75,W803&lt;120),0.17,0)+IF(AND(V803&gt;=40,V803&lt;75,W803&gt;=120),0.12,0)+IF(AND(V803&gt;=75,V803&lt;175,W803&lt;35),0.3,0)+IF(AND(V803&gt;=75,V803&lt;=175,W803&gt;=35,W803&lt;65),0.23,0)+IF(AND(V803&gt;=75,V803&lt;=175,W803&gt;=65,W803&lt;110),0.17,0)+IF(AND(V803&gt;=75,V803&lt;=175,W803&gt;=110),0.12,0)+IF(AND(V803&gt;175,W803&lt;25),0.3,0)+IF(AND(V803&gt;175,W803&gt;=25,W803&lt;55),0.23,0)+IF(AND(V803&gt;175,W803&gt;=55,W803&lt;95),0.17,0)+IF(AND(V803&gt;175,W803&gt;=95),0.12,0),
IF(AF803="DoEVni",IF(AND(V803&lt;20,W803&lt;55),0.3,0)+IF(AND(V803&lt;20,W803&gt;=55,W803&lt;105),0.23,0)+IF(AND(V803&lt;20,W803&gt;=105),0.17,0)+IF(AND(V803&gt;=20,V803&lt;40,W803&lt;45),0.3,0)+IF(AND(V803&gt;=20,V803&lt;40,W803&gt;=45,W803&lt;95),0.23,0)+IF(AND(V803&gt;=20,V803&lt;40,W803&gt;=95,W803&lt;=200),0.17,0)+IF(AND(V803&gt;=20,V803&lt;40,W803&gt;=200),0.12,0)+IF(AND(V803&gt;=40,V803&lt;75,W803&lt;35),0.3,0)+IF(AND(V803&gt;=40,V803&lt;75,W803&gt;=35,W803&lt;75),0.23,0)+IF(AND(V803&gt;=40,V803&lt;75,W803&gt;=75,W803&lt;120),0.17,0)+IF(AND(V803&gt;=40,V803&lt;75,W803&gt;=120),0.12,0)+IF(AND(V803&gt;=75,V803&lt;175,W803&lt;35),0.3,0)+IF(AND(V803&gt;=75,V803&lt;=175,W803&gt;=35,W803&lt;65),0.23,0)+IF(AND(V803&gt;=75,V803&lt;=175,W803&gt;=65,W803&lt;110),0.17,0)+IF(AND(V803&gt;=75,V803&lt;=175,W803&gt;=110),0.12,0)+IF(AND(V803&gt;175,W803&lt;25),0.3,0)+IF(AND(V803&gt;175,W803&gt;=25,W803&lt;55),0.23,0)+IF(AND(V803&gt;175,W803&gt;=55,W803&lt;95),0.17,0)+IF(AND(V803&gt;175,W803&gt;=95),0.12,0),
IF(AF803="DoEVLo",IF(AND(V803&lt;20,W803&lt;55),0.25,0)+IF(AND(V803&lt;20,W803&gt;=55,W803&lt;105),0.2,0)+IF(AND(V803&lt;20,W803&gt;=105),0.15,0)+IF(AND(V803&gt;=20,V803&lt;40,W803&lt;45),0.25,0)+IF(AND(V803&gt;=20,V803&lt;40,W803&gt;=45,W803&lt;95),0.2,0)+IF(AND(V803&gt;=20,V803&lt;40,W803&gt;=95),0.15,0)+IF(AND(V803&gt;=40,V803&lt;75,W803&lt;35),0.25,0)+IF(AND(V803&gt;=40,V803&lt;75,W803&gt;=35,W803&lt;75),0.2,0)+IF(AND(V803&gt;=40,V803&lt;75,W803&gt;=75,W803&lt;120),0.15,0)+IF(AND(V803&gt;=40,V803&lt;75,W803&gt;=120),0.1,0)+IF(AND(V803&gt;=75,V803&lt;175,W803&lt;35),0.25,0)+IF(AND(V803&gt;=75,V803&lt;=175,W803&gt;=35,W803&lt;65),0.2,0)+IF(AND(V803&gt;=75,V803&lt;=175,W803&gt;=65,W803&lt;110),0.15,0)+IF(AND(V803&gt;=75,V803&lt;=175,W803&gt;=110),0.1,0)+IF(AND(V803&gt;175,W803&lt;25),0.25,0)+IF(AND(V803&gt;175,W803&gt;=25,W803&lt;55),0.2,0)+IF(AND(V803&gt;175,W803&gt;=55,W803&lt;95),0.15,0)+IF(AND(V803&gt;175,W803&gt;=95),0.1,0))))))))))))))))))</f>
        <v>0.1125</v>
      </c>
      <c r="Y803" s="30">
        <f>IF(AG803="None",0,IF(AG803="Fix5",0.05, IF(AG803="Fix6.25",0.0625,IF(AG803="Fix3.75",0.0375,IF(AG803="Fix10",0.1,IF(AG803="Fix3",0.03,0))))))</f>
        <v>3.7499999999999999E-2</v>
      </c>
      <c r="Z803" s="35">
        <f>T803-AA803-AB803</f>
        <v>1173.0125</v>
      </c>
      <c r="AA803" s="29">
        <f>IF(AD803="EUR",((T803-R803)*X803)*U803+(R803*X803),(T803*X803))</f>
        <v>178.98750000000001</v>
      </c>
      <c r="AB803" s="104">
        <v>239</v>
      </c>
      <c r="AC803" s="37" t="b">
        <v>1</v>
      </c>
      <c r="AD803" s="37" t="s">
        <v>38</v>
      </c>
      <c r="AE803" s="37" t="s">
        <v>38</v>
      </c>
      <c r="AF803" s="37" t="str">
        <f t="array" ref="AF803">INDEX('Deal Info'!D:D, MATCH(A803,'Deal Info'!A:A, 0))</f>
        <v>Fix11.25</v>
      </c>
      <c r="AG803" s="38" t="str">
        <f t="array" ref="AG803">INDEX('Deal Info'!G:G, MATCH(A803,'Deal Info'!A:A, 0))</f>
        <v>Fix3.75</v>
      </c>
    </row>
    <row r="804" spans="1:33" ht="14.25" hidden="1" x14ac:dyDescent="0.2">
      <c r="A804" s="18" t="str">
        <f t="array" ref="A804">IF(G804='Room Info'!$B$1, INDEX('Room Info'!$A$2:$A2446, MATCH(B804,'Room Info'!$B$2:$B2446, 0)),IF(G804='Room Info'!$C$1, INDEX('Room Info'!$A$2:$A2446, MATCH(B804,'Room Info'!$C$2:$C2446, 0)),IF(G804='Room Info'!$D$1, INDEX('Room Info'!$A$2:$A2446, MATCH(B804,'Room Info'!$D$2:$D2446, 0)),IF(G804='Room Info'!$E$1, INDEX('Room Info'!$A$2:$A2446, MATCH(B804,'Room Info'!$E$2:$E2446, 0)),IF(G804='Room Info'!$F$1, INDEX('Room Info'!$A$2:$A2446, MATCH(B804,'Room Info'!$F$2:$F2446, 0)),IF(G804='Room Info'!$H$1, INDEX('Room Info'!$A$2:$A2446, MATCH(B804,'Room Info'!$H$2:$H2446, 0)),IF(G804='Room Info'!$G$1, INDEX('Room Info'!$A$2:$A2446, MATCH(B804,'Room Info'!$G$2:$G2446, 0)))))))))</f>
        <v>fig6</v>
      </c>
      <c r="B804" s="54" t="s">
        <v>172</v>
      </c>
      <c r="C804" s="46">
        <v>44886</v>
      </c>
      <c r="D804" s="46">
        <v>44915</v>
      </c>
      <c r="E804" s="47">
        <v>44896</v>
      </c>
      <c r="F804" s="45" t="s">
        <v>41</v>
      </c>
      <c r="G804" s="54" t="s">
        <v>35</v>
      </c>
      <c r="H804" s="49" t="s">
        <v>173</v>
      </c>
      <c r="I804" s="23" t="s">
        <v>174</v>
      </c>
      <c r="J804" s="74">
        <v>100</v>
      </c>
      <c r="K804" s="75">
        <v>1</v>
      </c>
      <c r="L804" s="72">
        <v>96</v>
      </c>
      <c r="M804" s="53">
        <v>2</v>
      </c>
      <c r="N804" s="28">
        <f>K804*J804</f>
        <v>100</v>
      </c>
      <c r="O804" s="96"/>
      <c r="P804" s="29">
        <v>0</v>
      </c>
      <c r="Q804" s="55"/>
      <c r="R804" s="31">
        <f>M804+Q804</f>
        <v>2</v>
      </c>
      <c r="S804" s="97"/>
      <c r="T804" s="32">
        <f>R804+S804+IF(F804="Without EV deal",L804,0)</f>
        <v>98</v>
      </c>
      <c r="U804" s="57">
        <v>1</v>
      </c>
      <c r="V804" s="58"/>
      <c r="W804" s="58"/>
      <c r="X804" s="30">
        <f>IF(AF804="DoEV",IF(AND(V804&lt;20,W804&lt;55),0.3,0)+IF(AND(V804&lt;20,W804&gt;=55,W804&lt;105),0.23,0)+IF(AND(V804&lt;20,W804&gt;=105),0.17,0)+IF(AND(V804&gt;=20,V804&lt;40,W804&lt;45),0.3,0)+IF(AND(V804&gt;=20,V804&lt;40,W804&gt;=45,W804&lt;95),0.23,0)+IF(AND(V804&gt;=20,V804&lt;40,W804&gt;=95),0.17,0)+IF(AND(V804&gt;=40,V804&lt;75,W804&lt;35),0.3,0)+IF(AND(V804&gt;=40,V804&lt;75,W804&gt;=35,W804&lt;75),0.23,0)+IF(AND(V804&gt;=40,V804&lt;75,W804&gt;=75,W804&lt;120),0.17,0)+IF(AND(V804&gt;=40,V804&lt;75,W804&gt;=120),0.12,0)+IF(AND(V804&gt;=75,V804&lt;175,W804&lt;35),0.3,0)+IF(AND(V804&gt;=75,V804&lt;=175,W804&gt;=35,W804&lt;65),0.23,0)+IF(AND(V804&gt;=75,V804&lt;=175,W804&gt;=65,W804&lt;110),0.17,0)+IF(AND(V804&gt;=75,V804&lt;=175,W804&gt;=110),0.12,0)+IF(AND(V804&gt;175,W804&lt;25),0.3,0)+IF(AND(V804&gt;175,W804&gt;=25,W804&lt;55),0.23,0)+IF(AND(V804&gt;175,W804&gt;=55,W804&lt;95),0.17,0)+IF(AND(V804&gt;175,W804&gt;=95),0.12,0),
IF(AF804="Fix15",0.15,
IF(AF804="Fix18.75",0.1875,
IF(AF804="Fix11.25",0.1125,
IF(AF804="Fix10",0.1,
IF(AF804="Fix9",0.09,
IF(AF804="Fix19",0.19,
IF(AF804="DoEV2017",IF(AND(W804&lt;74),0.2,0)+IF(AND(W804&gt;=74),0.17,0),
IF(AF804="SF",IF(AND(V804&lt;20,W804&lt;89),0.3,0)+IF(AND(V804&lt;20,W804&gt;=89),0.25,0)+IF(AND(V804&gt;=20,V804&lt;40,W804&lt;74),0.3,0)+IF(AND(V804&gt;=20,V804&lt;40,W804&gt;=75),0.22,0)+IF(AND(V804&gt;=40,V804&lt;75,W804&lt;75),0.26,0)+IF(AND(V804&gt;=40,V804&lt;75,W804&gt;=75),0.22,0)+IF(V804&gt;=75,0.22,0),
IF(AF804="DoEVold",IF(AND(V804&lt;40,W804&lt;35),0.35,0)+IF(AND(V804&lt;40,W804&gt;=35,W804&lt;75),0.25,0)+IF(AND(V804&lt;40,W804&gt;=75),0.17,0)+IF(AND(V804&gt;=40,V804&lt;75,W804&lt;25),0.35,0)+IF(AND(V804&gt;=40,V804&lt;75,W804&gt;=25,W804&lt;65),0.25,0)+IF(AND(V804&gt;=40,V804&lt;75,W804&gt;=65,W804&lt;100),0.17,0)+IF(AND(V804&gt;=40,V804&lt;75,W804&gt;=100),0.1,0)+IF(AND(V804&gt;=75,W804&lt;25),0.35,0)+IF(AND(V804&gt;=75,W804&gt;=25,W804&lt;60),0.25,0)+IF(AND(V804&gt;=75,W804&gt;=60,W804&lt;95),0.17,0)+IF(AND(V804&gt;=75,W804&gt;=95),0.1,0),
IF(AF804="DoEVold15",IF(AND(V804&lt;=40,W804&lt;35),0.35,0)+IF(AND(V804&lt;=40,W804&gt;=35,W804&lt;75),0.25,0)+IF(AND(V804&lt;=40,W804&gt;=75,W804&lt;120),0.17,0)+IF(AND(V804&lt;=40,W804&gt;=120),0.15,0)+IF(AND(V804&gt;40,V804&lt;75,W804&lt;25),0.35,0)+IF(AND(V804&gt;=40,V804&lt;75,W804&gt;=25,W804&lt;65),0.25,0)+IF(AND(V804&gt;=40,V804&lt;75,W804&gt;=65,W804&lt;100),0.17,0)+IF(AND(V804&gt;=40,V804&lt;75,W804&gt;=100),0.1,0)+IF(AND(V804&gt;=75,W804&lt;25),0.35,0)+IF(AND(V804&gt;=75,W804&gt;=25,W804&lt;60),0.25,0)+IF(AND(V804&gt;=75,W804&gt;=60,W804&lt;95),0.17,0)+IF(AND(V804&gt;=75,W804&gt;=95),0.1,0),
IF(AF804="DoEVba",IF(AND(V804&lt;20,W804&lt;105),0.2,0)+IF(AND(V804&lt;20,W804&gt;=105),0.15,0)+IF(AND(V804&gt;=20,V804&lt;40,W804&lt;95),0.2,0)+IF(AND(V804&gt;=20,V804&lt;40,W804&gt;=95,W804&lt;150),0.15,0)+IF(AND(V804&gt;=20,V804&lt;40,W804&gt;=150),0.12,0)+IF(AND(V804&gt;=40,V804&lt;75,W804&lt;75),0.2,0)+IF(AND(V804&gt;=40,V804&lt;75,W804&gt;=75,W804&lt;120),0.15,0)+IF(AND(V804&gt;=40,V804&lt;75,W804&gt;=120),0.12,0)+IF(AND(V804&gt;=75,V804&lt;175,W804&lt;65),0.2,0)+IF(AND(V804&gt;=75,V804&lt;175,W804&gt;=65,W804&lt;110),0.15,0)+IF(AND(V804&gt;=75,V804&lt;175,W804&gt;=110),0.12,0)+IF(AND(V804&gt;=175,W804&lt;55),0.2,0)+IF(AND(V804&gt;=175,W804&gt;=55,W804&lt;95),0.15,0)+IF(AND(V804&gt;=175,W804&gt;=95),0.12,0),
IF(AF804="DoEVku",IF(AND(V804&lt;20,W804&lt;55),0.23,0)+IF(AND(V804&lt;20,W804&gt;=55,W804&lt;105),0.2,0)+IF(AND(V804&lt;20,W804&gt;=105),0.17,0)+IF(AND(V804&gt;=20,V804&lt;40,W804&lt;45),0.23,0)+IF(AND(V804&gt;=20,V804&lt;40,W804&gt;=45,W804&lt;95),0.2,0)+IF(AND(V804&gt;=20,V804&lt;40,W804&gt;=95,W804&lt;=150),0.17,0)+IF(AND(V804&gt;=20,V804&lt;40,W804&gt;=150),0.12,0)+IF(AND(V804&gt;=40,V804&lt;75,W804&lt;35),0.23,0)+IF(AND(V804&gt;=40,V804&lt;75,W804&gt;=35,W804&lt;75),0.2,0)+IF(AND(V804&gt;=40,V804&lt;75,W804&gt;=75,W804&lt;120),0.17,0)+IF(AND(V804&gt;=40,V804&lt;75,W804&gt;=120),0.12,0)+IF(AND(V804&gt;=75,V804&lt;175,W804&lt;35),0.23,0)+IF(AND(V804&gt;=75,V804&lt;=175,W804&gt;=35,W804&lt;65),0.2,0)+IF(AND(V804&gt;=75,V804&lt;=175,W804&gt;=65,W804&lt;110),0.17,0)+IF(AND(V804&gt;=75,V804&lt;=175,W804&gt;=110),0.12,0)+IF(AND(V804&gt;175,W804&lt;25),0.23,0)+IF(AND(V804&gt;175,W804&gt;=25,W804&lt;55),0.2,0)+IF(AND(V804&gt;175,W804&gt;=55,W804&lt;95),0.17,0)+IF(AND(V804&gt;175,W804&gt;=95),0.12,0),
IF(AF804="DoEVs1",IF(AND(V804&lt;20,W804&lt;55),0.3,0)+IF(AND(V804&lt;20,W804&gt;=55,W804&lt;105),0.23,0)+IF(AND(V804&lt;20,W804&gt;=105),0.17,0)+IF(AND(V804&gt;=20,V804&lt;40,W804&lt;45),0.3,0)+IF(AND(V804&gt;=20,V804&lt;40,W804&gt;=45,W804&lt;95),0.23,0)+IF(AND(V804&gt;=20,V804&lt;40,W804&gt;=95,W804&lt;=150),0.17,0)+IF(AND(V804&gt;=20,V804&lt;40,W804&gt;=150),0.12,0)+IF(AND(V804&gt;=40,V804&lt;75,W804&lt;35),0.3,0)+IF(AND(V804&gt;=40,V804&lt;75,W804&gt;=35,W804&lt;75),0.23,0)+IF(AND(V804&gt;=40,V804&lt;75,W804&gt;=75,W804&lt;120),0.17,0)+IF(AND(V804&gt;=40,V804&lt;75,W804&gt;=120),0.12,0)+IF(AND(V804&gt;=75,V804&lt;175,W804&lt;35),0.3,0)+IF(AND(V804&gt;=75,V804&lt;=175,W804&gt;=35,W804&lt;65),0.23,0)+IF(AND(V804&gt;=75,V804&lt;=175,W804&gt;=65,W804&lt;110),0.17,0)+IF(AND(V804&gt;=75,V804&lt;=175,W804&gt;=110),0.12,0)+IF(AND(V804&gt;175,W804&lt;25),0.3,0)+IF(AND(V804&gt;175,W804&gt;=25,W804&lt;55),0.23,0)+IF(AND(V804&gt;175,W804&gt;=55,W804&lt;95),0.17,0)+IF(AND(V804&gt;175,W804&gt;=95),0.12,0),
IF(AF804="DoEVsu",IF(AND(V804&lt;20,W804&lt;55),0.3,0)+IF(AND(V804&lt;20,W804&gt;=55,W804&lt;105),0.23,0)+IF(AND(V804&lt;20,W804&gt;=105),0.17,0)+IF(AND(V804&gt;=20,V804&lt;40,W804&lt;45),0.3,0)+IF(AND(V804&gt;=20,V804&lt;40,W804&gt;=45,W804&lt;95),0.23,0)+IF(AND(V804&gt;=20,V804&lt;40,W804&gt;=95,W804&lt;=250),0.17,0)+IF(AND(V804&gt;=20,V804&lt;40,W804&gt;=250),0.12,0)+IF(AND(V804&gt;=40,V804&lt;75,W804&lt;35),0.3,0)+IF(AND(V804&gt;=40,V804&lt;75,W804&gt;=35,W804&lt;75),0.23,0)+IF(AND(V804&gt;=40,V804&lt;75,W804&gt;=75,W804&lt;120),0.17,0)+IF(AND(V804&gt;=40,V804&lt;75,W804&gt;=120),0.12,0)+IF(AND(V804&gt;=75,V804&lt;175,W804&lt;35),0.3,0)+IF(AND(V804&gt;=75,V804&lt;=175,W804&gt;=35,W804&lt;65),0.23,0)+IF(AND(V804&gt;=75,V804&lt;=175,W804&gt;=65,W804&lt;110),0.17,0)+IF(AND(V804&gt;=75,V804&lt;=175,W804&gt;=110),0.12,0)+IF(AND(V804&gt;175,W804&lt;25),0.3,0)+IF(AND(V804&gt;175,W804&gt;=25,W804&lt;55),0.23,0)+IF(AND(V804&gt;175,W804&gt;=55,W804&lt;95),0.17,0)+IF(AND(V804&gt;175,W804&gt;=95),0.12,0),
IF(AF804="DoEVni",IF(AND(V804&lt;20,W804&lt;55),0.3,0)+IF(AND(V804&lt;20,W804&gt;=55,W804&lt;105),0.23,0)+IF(AND(V804&lt;20,W804&gt;=105),0.17,0)+IF(AND(V804&gt;=20,V804&lt;40,W804&lt;45),0.3,0)+IF(AND(V804&gt;=20,V804&lt;40,W804&gt;=45,W804&lt;95),0.23,0)+IF(AND(V804&gt;=20,V804&lt;40,W804&gt;=95,W804&lt;=200),0.17,0)+IF(AND(V804&gt;=20,V804&lt;40,W804&gt;=200),0.12,0)+IF(AND(V804&gt;=40,V804&lt;75,W804&lt;35),0.3,0)+IF(AND(V804&gt;=40,V804&lt;75,W804&gt;=35,W804&lt;75),0.23,0)+IF(AND(V804&gt;=40,V804&lt;75,W804&gt;=75,W804&lt;120),0.17,0)+IF(AND(V804&gt;=40,V804&lt;75,W804&gt;=120),0.12,0)+IF(AND(V804&gt;=75,V804&lt;175,W804&lt;35),0.3,0)+IF(AND(V804&gt;=75,V804&lt;=175,W804&gt;=35,W804&lt;65),0.23,0)+IF(AND(V804&gt;=75,V804&lt;=175,W804&gt;=65,W804&lt;110),0.17,0)+IF(AND(V804&gt;=75,V804&lt;=175,W804&gt;=110),0.12,0)+IF(AND(V804&gt;175,W804&lt;25),0.3,0)+IF(AND(V804&gt;175,W804&gt;=25,W804&lt;55),0.23,0)+IF(AND(V804&gt;175,W804&gt;=55,W804&lt;95),0.17,0)+IF(AND(V804&gt;175,W804&gt;=95),0.12,0),
IF(AF804="DoEVLo",IF(AND(V804&lt;20,W804&lt;55),0.25,0)+IF(AND(V804&lt;20,W804&gt;=55,W804&lt;105),0.2,0)+IF(AND(V804&lt;20,W804&gt;=105),0.15,0)+IF(AND(V804&gt;=20,V804&lt;40,W804&lt;45),0.25,0)+IF(AND(V804&gt;=20,V804&lt;40,W804&gt;=45,W804&lt;95),0.2,0)+IF(AND(V804&gt;=20,V804&lt;40,W804&gt;=95),0.15,0)+IF(AND(V804&gt;=40,V804&lt;75,W804&lt;35),0.25,0)+IF(AND(V804&gt;=40,V804&lt;75,W804&gt;=35,W804&lt;75),0.2,0)+IF(AND(V804&gt;=40,V804&lt;75,W804&gt;=75,W804&lt;120),0.15,0)+IF(AND(V804&gt;=40,V804&lt;75,W804&gt;=120),0.1,0)+IF(AND(V804&gt;=75,V804&lt;175,W804&lt;35),0.25,0)+IF(AND(V804&gt;=75,V804&lt;=175,W804&gt;=35,W804&lt;65),0.2,0)+IF(AND(V804&gt;=75,V804&lt;=175,W804&gt;=65,W804&lt;110),0.15,0)+IF(AND(V804&gt;=75,V804&lt;=175,W804&gt;=110),0.1,0)+IF(AND(V804&gt;175,W804&lt;25),0.25,0)+IF(AND(V804&gt;175,W804&gt;=25,W804&lt;55),0.2,0)+IF(AND(V804&gt;175,W804&gt;=55,W804&lt;95),0.15,0)+IF(AND(V804&gt;175,W804&gt;=95),0.1,0))))))))))))))))))</f>
        <v>0.1125</v>
      </c>
      <c r="Y804" s="30">
        <f>IF(AG804="None",0,IF(AG804="Fix5",0.05, IF(AG804="Fix6.25",0.0625,IF(AG804="Fix3.75",0.0375,IF(AG804="Fix10",0.1,IF(AG804="Fix3",0.03,0))))))</f>
        <v>3.7499999999999999E-2</v>
      </c>
      <c r="Z804" s="35">
        <f>T804-AA804-AB804</f>
        <v>71.974999999999994</v>
      </c>
      <c r="AA804" s="29">
        <f>IF(AD804="EUR",((T804-R804)*X804)*U804+(R804*X804),(T804*X804))</f>
        <v>11.025</v>
      </c>
      <c r="AB804" s="104">
        <v>15</v>
      </c>
      <c r="AC804" s="37" t="b">
        <v>1</v>
      </c>
      <c r="AD804" s="37" t="s">
        <v>38</v>
      </c>
      <c r="AE804" s="37" t="s">
        <v>38</v>
      </c>
      <c r="AF804" s="37" t="str">
        <f t="array" ref="AF804">INDEX('Deal Info'!D:D, MATCH(A804,'Deal Info'!A:A, 0))</f>
        <v>Fix11.25</v>
      </c>
      <c r="AG804" s="38" t="str">
        <f t="array" ref="AG804">INDEX('Deal Info'!G:G, MATCH(A804,'Deal Info'!A:A, 0))</f>
        <v>Fix3.75</v>
      </c>
    </row>
    <row r="805" spans="1:33" ht="14.25" hidden="1" x14ac:dyDescent="0.2">
      <c r="A805" s="18" t="str">
        <f t="array" ref="A805">IF(G805='Room Info'!$B$1, INDEX('Room Info'!$A$2:$A2446, MATCH(B805,'Room Info'!$B$2:$B2446, 0)),IF(G805='Room Info'!$C$1, INDEX('Room Info'!$A$2:$A2446, MATCH(B805,'Room Info'!$C$2:$C2446, 0)),IF(G805='Room Info'!$D$1, INDEX('Room Info'!$A$2:$A2446, MATCH(B805,'Room Info'!$D$2:$D2446, 0)),IF(G805='Room Info'!$E$1, INDEX('Room Info'!$A$2:$A2446, MATCH(B805,'Room Info'!$E$2:$E2446, 0)),IF(G805='Room Info'!$F$1, INDEX('Room Info'!$A$2:$A2446, MATCH(B805,'Room Info'!$F$2:$F2446, 0)),IF(G805='Room Info'!$H$1, INDEX('Room Info'!$A$2:$A2446, MATCH(B805,'Room Info'!$H$2:$H2446, 0)),IF(G805='Room Info'!$G$1, INDEX('Room Info'!$A$2:$A2446, MATCH(B805,'Room Info'!$G$2:$G2446, 0)))))))))</f>
        <v>fig6</v>
      </c>
      <c r="B805" s="54" t="s">
        <v>172</v>
      </c>
      <c r="C805" s="46">
        <v>44886</v>
      </c>
      <c r="D805" s="46">
        <v>44915</v>
      </c>
      <c r="E805" s="47">
        <v>44896</v>
      </c>
      <c r="F805" s="45" t="s">
        <v>41</v>
      </c>
      <c r="G805" s="54" t="s">
        <v>35</v>
      </c>
      <c r="H805" s="49" t="s">
        <v>45</v>
      </c>
      <c r="I805" s="49" t="s">
        <v>37</v>
      </c>
      <c r="J805" s="50">
        <v>0.25</v>
      </c>
      <c r="K805" s="51">
        <v>9</v>
      </c>
      <c r="L805" s="52">
        <v>0</v>
      </c>
      <c r="M805" s="53">
        <v>0</v>
      </c>
      <c r="N805" s="28">
        <f>K805*J805</f>
        <v>2.25</v>
      </c>
      <c r="O805" s="65"/>
      <c r="P805" s="29">
        <v>0</v>
      </c>
      <c r="Q805" s="55"/>
      <c r="R805" s="31">
        <f>M805+Q805</f>
        <v>0</v>
      </c>
      <c r="S805" s="66"/>
      <c r="T805" s="32">
        <f>R805+S805+IF(F805="Without EV deal",L805,0)</f>
        <v>0</v>
      </c>
      <c r="U805" s="57">
        <v>1</v>
      </c>
      <c r="V805" s="58"/>
      <c r="W805" s="58"/>
      <c r="X805" s="30">
        <f>IF(AF805="DoEV",IF(AND(V805&lt;20,W805&lt;55),0.3,0)+IF(AND(V805&lt;20,W805&gt;=55,W805&lt;105),0.23,0)+IF(AND(V805&lt;20,W805&gt;=105),0.17,0)+IF(AND(V805&gt;=20,V805&lt;40,W805&lt;45),0.3,0)+IF(AND(V805&gt;=20,V805&lt;40,W805&gt;=45,W805&lt;95),0.23,0)+IF(AND(V805&gt;=20,V805&lt;40,W805&gt;=95),0.17,0)+IF(AND(V805&gt;=40,V805&lt;75,W805&lt;35),0.3,0)+IF(AND(V805&gt;=40,V805&lt;75,W805&gt;=35,W805&lt;75),0.23,0)+IF(AND(V805&gt;=40,V805&lt;75,W805&gt;=75,W805&lt;120),0.17,0)+IF(AND(V805&gt;=40,V805&lt;75,W805&gt;=120),0.12,0)+IF(AND(V805&gt;=75,V805&lt;175,W805&lt;35),0.3,0)+IF(AND(V805&gt;=75,V805&lt;=175,W805&gt;=35,W805&lt;65),0.23,0)+IF(AND(V805&gt;=75,V805&lt;=175,W805&gt;=65,W805&lt;110),0.17,0)+IF(AND(V805&gt;=75,V805&lt;=175,W805&gt;=110),0.12,0)+IF(AND(V805&gt;175,W805&lt;25),0.3,0)+IF(AND(V805&gt;175,W805&gt;=25,W805&lt;55),0.23,0)+IF(AND(V805&gt;175,W805&gt;=55,W805&lt;95),0.17,0)+IF(AND(V805&gt;175,W805&gt;=95),0.12,0),
IF(AF805="Fix15",0.15,
IF(AF805="Fix18.75",0.1875,
IF(AF805="Fix11.25",0.1125,
IF(AF805="Fix10",0.1,
IF(AF805="Fix9",0.09,
IF(AF805="Fix19",0.19,
IF(AF805="DoEV2017",IF(AND(W805&lt;74),0.2,0)+IF(AND(W805&gt;=74),0.17,0),
IF(AF805="SF",IF(AND(V805&lt;20,W805&lt;89),0.3,0)+IF(AND(V805&lt;20,W805&gt;=89),0.25,0)+IF(AND(V805&gt;=20,V805&lt;40,W805&lt;74),0.3,0)+IF(AND(V805&gt;=20,V805&lt;40,W805&gt;=75),0.22,0)+IF(AND(V805&gt;=40,V805&lt;75,W805&lt;75),0.26,0)+IF(AND(V805&gt;=40,V805&lt;75,W805&gt;=75),0.22,0)+IF(V805&gt;=75,0.22,0),
IF(AF805="DoEVold",IF(AND(V805&lt;40,W805&lt;35),0.35,0)+IF(AND(V805&lt;40,W805&gt;=35,W805&lt;75),0.25,0)+IF(AND(V805&lt;40,W805&gt;=75),0.17,0)+IF(AND(V805&gt;=40,V805&lt;75,W805&lt;25),0.35,0)+IF(AND(V805&gt;=40,V805&lt;75,W805&gt;=25,W805&lt;65),0.25,0)+IF(AND(V805&gt;=40,V805&lt;75,W805&gt;=65,W805&lt;100),0.17,0)+IF(AND(V805&gt;=40,V805&lt;75,W805&gt;=100),0.1,0)+IF(AND(V805&gt;=75,W805&lt;25),0.35,0)+IF(AND(V805&gt;=75,W805&gt;=25,W805&lt;60),0.25,0)+IF(AND(V805&gt;=75,W805&gt;=60,W805&lt;95),0.17,0)+IF(AND(V805&gt;=75,W805&gt;=95),0.1,0),
IF(AF805="DoEVold15",IF(AND(V805&lt;=40,W805&lt;35),0.35,0)+IF(AND(V805&lt;=40,W805&gt;=35,W805&lt;75),0.25,0)+IF(AND(V805&lt;=40,W805&gt;=75,W805&lt;120),0.17,0)+IF(AND(V805&lt;=40,W805&gt;=120),0.15,0)+IF(AND(V805&gt;40,V805&lt;75,W805&lt;25),0.35,0)+IF(AND(V805&gt;=40,V805&lt;75,W805&gt;=25,W805&lt;65),0.25,0)+IF(AND(V805&gt;=40,V805&lt;75,W805&gt;=65,W805&lt;100),0.17,0)+IF(AND(V805&gt;=40,V805&lt;75,W805&gt;=100),0.1,0)+IF(AND(V805&gt;=75,W805&lt;25),0.35,0)+IF(AND(V805&gt;=75,W805&gt;=25,W805&lt;60),0.25,0)+IF(AND(V805&gt;=75,W805&gt;=60,W805&lt;95),0.17,0)+IF(AND(V805&gt;=75,W805&gt;=95),0.1,0),
IF(AF805="DoEVba",IF(AND(V805&lt;20,W805&lt;105),0.2,0)+IF(AND(V805&lt;20,W805&gt;=105),0.15,0)+IF(AND(V805&gt;=20,V805&lt;40,W805&lt;95),0.2,0)+IF(AND(V805&gt;=20,V805&lt;40,W805&gt;=95,W805&lt;150),0.15,0)+IF(AND(V805&gt;=20,V805&lt;40,W805&gt;=150),0.12,0)+IF(AND(V805&gt;=40,V805&lt;75,W805&lt;75),0.2,0)+IF(AND(V805&gt;=40,V805&lt;75,W805&gt;=75,W805&lt;120),0.15,0)+IF(AND(V805&gt;=40,V805&lt;75,W805&gt;=120),0.12,0)+IF(AND(V805&gt;=75,V805&lt;175,W805&lt;65),0.2,0)+IF(AND(V805&gt;=75,V805&lt;175,W805&gt;=65,W805&lt;110),0.15,0)+IF(AND(V805&gt;=75,V805&lt;175,W805&gt;=110),0.12,0)+IF(AND(V805&gt;=175,W805&lt;55),0.2,0)+IF(AND(V805&gt;=175,W805&gt;=55,W805&lt;95),0.15,0)+IF(AND(V805&gt;=175,W805&gt;=95),0.12,0),
IF(AF805="DoEVku",IF(AND(V805&lt;20,W805&lt;55),0.23,0)+IF(AND(V805&lt;20,W805&gt;=55,W805&lt;105),0.2,0)+IF(AND(V805&lt;20,W805&gt;=105),0.17,0)+IF(AND(V805&gt;=20,V805&lt;40,W805&lt;45),0.23,0)+IF(AND(V805&gt;=20,V805&lt;40,W805&gt;=45,W805&lt;95),0.2,0)+IF(AND(V805&gt;=20,V805&lt;40,W805&gt;=95,W805&lt;=150),0.17,0)+IF(AND(V805&gt;=20,V805&lt;40,W805&gt;=150),0.12,0)+IF(AND(V805&gt;=40,V805&lt;75,W805&lt;35),0.23,0)+IF(AND(V805&gt;=40,V805&lt;75,W805&gt;=35,W805&lt;75),0.2,0)+IF(AND(V805&gt;=40,V805&lt;75,W805&gt;=75,W805&lt;120),0.17,0)+IF(AND(V805&gt;=40,V805&lt;75,W805&gt;=120),0.12,0)+IF(AND(V805&gt;=75,V805&lt;175,W805&lt;35),0.23,0)+IF(AND(V805&gt;=75,V805&lt;=175,W805&gt;=35,W805&lt;65),0.2,0)+IF(AND(V805&gt;=75,V805&lt;=175,W805&gt;=65,W805&lt;110),0.17,0)+IF(AND(V805&gt;=75,V805&lt;=175,W805&gt;=110),0.12,0)+IF(AND(V805&gt;175,W805&lt;25),0.23,0)+IF(AND(V805&gt;175,W805&gt;=25,W805&lt;55),0.2,0)+IF(AND(V805&gt;175,W805&gt;=55,W805&lt;95),0.17,0)+IF(AND(V805&gt;175,W805&gt;=95),0.12,0),
IF(AF805="DoEVs1",IF(AND(V805&lt;20,W805&lt;55),0.3,0)+IF(AND(V805&lt;20,W805&gt;=55,W805&lt;105),0.23,0)+IF(AND(V805&lt;20,W805&gt;=105),0.17,0)+IF(AND(V805&gt;=20,V805&lt;40,W805&lt;45),0.3,0)+IF(AND(V805&gt;=20,V805&lt;40,W805&gt;=45,W805&lt;95),0.23,0)+IF(AND(V805&gt;=20,V805&lt;40,W805&gt;=95,W805&lt;=150),0.17,0)+IF(AND(V805&gt;=20,V805&lt;40,W805&gt;=150),0.12,0)+IF(AND(V805&gt;=40,V805&lt;75,W805&lt;35),0.3,0)+IF(AND(V805&gt;=40,V805&lt;75,W805&gt;=35,W805&lt;75),0.23,0)+IF(AND(V805&gt;=40,V805&lt;75,W805&gt;=75,W805&lt;120),0.17,0)+IF(AND(V805&gt;=40,V805&lt;75,W805&gt;=120),0.12,0)+IF(AND(V805&gt;=75,V805&lt;175,W805&lt;35),0.3,0)+IF(AND(V805&gt;=75,V805&lt;=175,W805&gt;=35,W805&lt;65),0.23,0)+IF(AND(V805&gt;=75,V805&lt;=175,W805&gt;=65,W805&lt;110),0.17,0)+IF(AND(V805&gt;=75,V805&lt;=175,W805&gt;=110),0.12,0)+IF(AND(V805&gt;175,W805&lt;25),0.3,0)+IF(AND(V805&gt;175,W805&gt;=25,W805&lt;55),0.23,0)+IF(AND(V805&gt;175,W805&gt;=55,W805&lt;95),0.17,0)+IF(AND(V805&gt;175,W805&gt;=95),0.12,0),
IF(AF805="DoEVsu",IF(AND(V805&lt;20,W805&lt;55),0.3,0)+IF(AND(V805&lt;20,W805&gt;=55,W805&lt;105),0.23,0)+IF(AND(V805&lt;20,W805&gt;=105),0.17,0)+IF(AND(V805&gt;=20,V805&lt;40,W805&lt;45),0.3,0)+IF(AND(V805&gt;=20,V805&lt;40,W805&gt;=45,W805&lt;95),0.23,0)+IF(AND(V805&gt;=20,V805&lt;40,W805&gt;=95,W805&lt;=250),0.17,0)+IF(AND(V805&gt;=20,V805&lt;40,W805&gt;=250),0.12,0)+IF(AND(V805&gt;=40,V805&lt;75,W805&lt;35),0.3,0)+IF(AND(V805&gt;=40,V805&lt;75,W805&gt;=35,W805&lt;75),0.23,0)+IF(AND(V805&gt;=40,V805&lt;75,W805&gt;=75,W805&lt;120),0.17,0)+IF(AND(V805&gt;=40,V805&lt;75,W805&gt;=120),0.12,0)+IF(AND(V805&gt;=75,V805&lt;175,W805&lt;35),0.3,0)+IF(AND(V805&gt;=75,V805&lt;=175,W805&gt;=35,W805&lt;65),0.23,0)+IF(AND(V805&gt;=75,V805&lt;=175,W805&gt;=65,W805&lt;110),0.17,0)+IF(AND(V805&gt;=75,V805&lt;=175,W805&gt;=110),0.12,0)+IF(AND(V805&gt;175,W805&lt;25),0.3,0)+IF(AND(V805&gt;175,W805&gt;=25,W805&lt;55),0.23,0)+IF(AND(V805&gt;175,W805&gt;=55,W805&lt;95),0.17,0)+IF(AND(V805&gt;175,W805&gt;=95),0.12,0),
IF(AF805="DoEVni",IF(AND(V805&lt;20,W805&lt;55),0.3,0)+IF(AND(V805&lt;20,W805&gt;=55,W805&lt;105),0.23,0)+IF(AND(V805&lt;20,W805&gt;=105),0.17,0)+IF(AND(V805&gt;=20,V805&lt;40,W805&lt;45),0.3,0)+IF(AND(V805&gt;=20,V805&lt;40,W805&gt;=45,W805&lt;95),0.23,0)+IF(AND(V805&gt;=20,V805&lt;40,W805&gt;=95,W805&lt;=200),0.17,0)+IF(AND(V805&gt;=20,V805&lt;40,W805&gt;=200),0.12,0)+IF(AND(V805&gt;=40,V805&lt;75,W805&lt;35),0.3,0)+IF(AND(V805&gt;=40,V805&lt;75,W805&gt;=35,W805&lt;75),0.23,0)+IF(AND(V805&gt;=40,V805&lt;75,W805&gt;=75,W805&lt;120),0.17,0)+IF(AND(V805&gt;=40,V805&lt;75,W805&gt;=120),0.12,0)+IF(AND(V805&gt;=75,V805&lt;175,W805&lt;35),0.3,0)+IF(AND(V805&gt;=75,V805&lt;=175,W805&gt;=35,W805&lt;65),0.23,0)+IF(AND(V805&gt;=75,V805&lt;=175,W805&gt;=65,W805&lt;110),0.17,0)+IF(AND(V805&gt;=75,V805&lt;=175,W805&gt;=110),0.12,0)+IF(AND(V805&gt;175,W805&lt;25),0.3,0)+IF(AND(V805&gt;175,W805&gt;=25,W805&lt;55),0.23,0)+IF(AND(V805&gt;175,W805&gt;=55,W805&lt;95),0.17,0)+IF(AND(V805&gt;175,W805&gt;=95),0.12,0),
IF(AF805="DoEVLo",IF(AND(V805&lt;20,W805&lt;55),0.25,0)+IF(AND(V805&lt;20,W805&gt;=55,W805&lt;105),0.2,0)+IF(AND(V805&lt;20,W805&gt;=105),0.15,0)+IF(AND(V805&gt;=20,V805&lt;40,W805&lt;45),0.25,0)+IF(AND(V805&gt;=20,V805&lt;40,W805&gt;=45,W805&lt;95),0.2,0)+IF(AND(V805&gt;=20,V805&lt;40,W805&gt;=95),0.15,0)+IF(AND(V805&gt;=40,V805&lt;75,W805&lt;35),0.25,0)+IF(AND(V805&gt;=40,V805&lt;75,W805&gt;=35,W805&lt;75),0.2,0)+IF(AND(V805&gt;=40,V805&lt;75,W805&gt;=75,W805&lt;120),0.15,0)+IF(AND(V805&gt;=40,V805&lt;75,W805&gt;=120),0.1,0)+IF(AND(V805&gt;=75,V805&lt;175,W805&lt;35),0.25,0)+IF(AND(V805&gt;=75,V805&lt;=175,W805&gt;=35,W805&lt;65),0.2,0)+IF(AND(V805&gt;=75,V805&lt;=175,W805&gt;=65,W805&lt;110),0.15,0)+IF(AND(V805&gt;=75,V805&lt;=175,W805&gt;=110),0.1,0)+IF(AND(V805&gt;175,W805&lt;25),0.25,0)+IF(AND(V805&gt;175,W805&gt;=25,W805&lt;55),0.2,0)+IF(AND(V805&gt;175,W805&gt;=55,W805&lt;95),0.15,0)+IF(AND(V805&gt;175,W805&gt;=95),0.1,0))))))))))))))))))</f>
        <v>0.1125</v>
      </c>
      <c r="Y805" s="30">
        <f>IF(AG805="None",0,IF(AG805="Fix5",0.05, IF(AG805="Fix6.25",0.0625,IF(AG805="Fix3.75",0.0375,IF(AG805="Fix10",0.1,IF(AG805="Fix3",0.03,0))))))</f>
        <v>3.7499999999999999E-2</v>
      </c>
      <c r="Z805" s="35">
        <f>T805-AA805-AB805</f>
        <v>0</v>
      </c>
      <c r="AA805" s="29">
        <f>IF(AD805="EUR",((T805-R805)*X805)*U805+(R805*X805),(T805*X805))</f>
        <v>0</v>
      </c>
      <c r="AB805" s="104">
        <v>0</v>
      </c>
      <c r="AC805" s="37" t="b">
        <v>1</v>
      </c>
      <c r="AD805" s="37" t="s">
        <v>38</v>
      </c>
      <c r="AE805" s="37" t="s">
        <v>38</v>
      </c>
      <c r="AF805" s="37" t="str">
        <f t="array" ref="AF805">INDEX('Deal Info'!D:D, MATCH(A805,'Deal Info'!A:A, 0))</f>
        <v>Fix11.25</v>
      </c>
      <c r="AG805" s="38" t="str">
        <f t="array" ref="AG805">INDEX('Deal Info'!G:G, MATCH(A805,'Deal Info'!A:A, 0))</f>
        <v>Fix3.75</v>
      </c>
    </row>
    <row r="806" spans="1:33" ht="14.25" hidden="1" x14ac:dyDescent="0.2">
      <c r="A806" s="18" t="str">
        <f t="array" ref="A806">IF(G806='Room Info'!$B$1, INDEX('Room Info'!$A$2:$A2446, MATCH(B806,'Room Info'!$B$2:$B2446, 0)),IF(G806='Room Info'!$C$1, INDEX('Room Info'!$A$2:$A2446, MATCH(B806,'Room Info'!$C$2:$C2446, 0)),IF(G806='Room Info'!$D$1, INDEX('Room Info'!$A$2:$A2446, MATCH(B806,'Room Info'!$D$2:$D2446, 0)),IF(G806='Room Info'!$E$1, INDEX('Room Info'!$A$2:$A2446, MATCH(B806,'Room Info'!$E$2:$E2446, 0)),IF(G806='Room Info'!$F$1, INDEX('Room Info'!$A$2:$A2446, MATCH(B806,'Room Info'!$F$2:$F2446, 0)),IF(G806='Room Info'!$H$1, INDEX('Room Info'!$A$2:$A2446, MATCH(B806,'Room Info'!$H$2:$H2446, 0)),IF(G806='Room Info'!$G$1, INDEX('Room Info'!$A$2:$A2446, MATCH(B806,'Room Info'!$G$2:$G2446, 0)))))))))</f>
        <v>fig6</v>
      </c>
      <c r="B806" s="45" t="s">
        <v>172</v>
      </c>
      <c r="C806" s="77">
        <v>44916</v>
      </c>
      <c r="D806" s="77">
        <v>44946</v>
      </c>
      <c r="E806" s="47">
        <v>44927</v>
      </c>
      <c r="F806" s="48" t="s">
        <v>34</v>
      </c>
      <c r="G806" s="45" t="s">
        <v>35</v>
      </c>
      <c r="H806" s="49" t="s">
        <v>72</v>
      </c>
      <c r="I806" s="49" t="s">
        <v>37</v>
      </c>
      <c r="J806" s="74">
        <v>50</v>
      </c>
      <c r="K806" s="75">
        <v>146</v>
      </c>
      <c r="L806" s="72">
        <v>-450</v>
      </c>
      <c r="M806" s="76">
        <v>202</v>
      </c>
      <c r="N806" s="28">
        <f>K806*J806</f>
        <v>7300</v>
      </c>
      <c r="O806" s="45">
        <v>8216</v>
      </c>
      <c r="P806" s="29">
        <v>56.2739726</v>
      </c>
      <c r="Q806" s="55"/>
      <c r="R806" s="31">
        <f>M806+Q806</f>
        <v>202</v>
      </c>
      <c r="S806" s="73">
        <v>252</v>
      </c>
      <c r="T806" s="32">
        <f>R806+S806+IF(F806="Without EV deal",L806,0)</f>
        <v>454</v>
      </c>
      <c r="U806" s="57">
        <v>1</v>
      </c>
      <c r="V806" s="58"/>
      <c r="W806" s="58"/>
      <c r="X806" s="30">
        <f>IF(AF806="DoEV",IF(AND(V806&lt;20,W806&lt;55),0.3,0)+IF(AND(V806&lt;20,W806&gt;=55,W806&lt;105),0.23,0)+IF(AND(V806&lt;20,W806&gt;=105),0.17,0)+IF(AND(V806&gt;=20,V806&lt;40,W806&lt;45),0.3,0)+IF(AND(V806&gt;=20,V806&lt;40,W806&gt;=45,W806&lt;95),0.23,0)+IF(AND(V806&gt;=20,V806&lt;40,W806&gt;=95),0.17,0)+IF(AND(V806&gt;=40,V806&lt;75,W806&lt;35),0.3,0)+IF(AND(V806&gt;=40,V806&lt;75,W806&gt;=35,W806&lt;75),0.23,0)+IF(AND(V806&gt;=40,V806&lt;75,W806&gt;=75,W806&lt;120),0.17,0)+IF(AND(V806&gt;=40,V806&lt;75,W806&gt;=120),0.12,0)+IF(AND(V806&gt;=75,V806&lt;175,W806&lt;35),0.3,0)+IF(AND(V806&gt;=75,V806&lt;=175,W806&gt;=35,W806&lt;65),0.23,0)+IF(AND(V806&gt;=75,V806&lt;=175,W806&gt;=65,W806&lt;110),0.17,0)+IF(AND(V806&gt;=75,V806&lt;=175,W806&gt;=110),0.12,0)+IF(AND(V806&gt;175,W806&lt;25),0.3,0)+IF(AND(V806&gt;175,W806&gt;=25,W806&lt;55),0.23,0)+IF(AND(V806&gt;175,W806&gt;=55,W806&lt;95),0.17,0)+IF(AND(V806&gt;175,W806&gt;=95),0.12,0),
IF(AF806="Fix15",0.15,
IF(AF806="Fix18.75",0.1875,
IF(AF806="Fix11.25",0.1125,
IF(AF806="Fix10",0.1,
IF(AF806="Fix9",0.09,
IF(AF806="Fix19",0.19,
IF(AF806="DoEV2017",IF(AND(W806&lt;74),0.2,0)+IF(AND(W806&gt;=74),0.17,0),
IF(AF806="SF",IF(AND(V806&lt;20,W806&lt;89),0.3,0)+IF(AND(V806&lt;20,W806&gt;=89),0.25,0)+IF(AND(V806&gt;=20,V806&lt;40,W806&lt;74),0.3,0)+IF(AND(V806&gt;=20,V806&lt;40,W806&gt;=75),0.22,0)+IF(AND(V806&gt;=40,V806&lt;75,W806&lt;75),0.26,0)+IF(AND(V806&gt;=40,V806&lt;75,W806&gt;=75),0.22,0)+IF(V806&gt;=75,0.22,0),
IF(AF806="DoEVold",IF(AND(V806&lt;40,W806&lt;35),0.35,0)+IF(AND(V806&lt;40,W806&gt;=35,W806&lt;75),0.25,0)+IF(AND(V806&lt;40,W806&gt;=75),0.17,0)+IF(AND(V806&gt;=40,V806&lt;75,W806&lt;25),0.35,0)+IF(AND(V806&gt;=40,V806&lt;75,W806&gt;=25,W806&lt;65),0.25,0)+IF(AND(V806&gt;=40,V806&lt;75,W806&gt;=65,W806&lt;100),0.17,0)+IF(AND(V806&gt;=40,V806&lt;75,W806&gt;=100),0.1,0)+IF(AND(V806&gt;=75,W806&lt;25),0.35,0)+IF(AND(V806&gt;=75,W806&gt;=25,W806&lt;60),0.25,0)+IF(AND(V806&gt;=75,W806&gt;=60,W806&lt;95),0.17,0)+IF(AND(V806&gt;=75,W806&gt;=95),0.1,0),
IF(AF806="DoEVold15",IF(AND(V806&lt;=40,W806&lt;35),0.35,0)+IF(AND(V806&lt;=40,W806&gt;=35,W806&lt;75),0.25,0)+IF(AND(V806&lt;=40,W806&gt;=75,W806&lt;120),0.17,0)+IF(AND(V806&lt;=40,W806&gt;=120),0.15,0)+IF(AND(V806&gt;40,V806&lt;75,W806&lt;25),0.35,0)+IF(AND(V806&gt;=40,V806&lt;75,W806&gt;=25,W806&lt;65),0.25,0)+IF(AND(V806&gt;=40,V806&lt;75,W806&gt;=65,W806&lt;100),0.17,0)+IF(AND(V806&gt;=40,V806&lt;75,W806&gt;=100),0.1,0)+IF(AND(V806&gt;=75,W806&lt;25),0.35,0)+IF(AND(V806&gt;=75,W806&gt;=25,W806&lt;60),0.25,0)+IF(AND(V806&gt;=75,W806&gt;=60,W806&lt;95),0.17,0)+IF(AND(V806&gt;=75,W806&gt;=95),0.1,0),
IF(AF806="DoEVba",IF(AND(V806&lt;20,W806&lt;105),0.2,0)+IF(AND(V806&lt;20,W806&gt;=105),0.15,0)+IF(AND(V806&gt;=20,V806&lt;40,W806&lt;95),0.2,0)+IF(AND(V806&gt;=20,V806&lt;40,W806&gt;=95,W806&lt;150),0.15,0)+IF(AND(V806&gt;=20,V806&lt;40,W806&gt;=150),0.12,0)+IF(AND(V806&gt;=40,V806&lt;75,W806&lt;75),0.2,0)+IF(AND(V806&gt;=40,V806&lt;75,W806&gt;=75,W806&lt;120),0.15,0)+IF(AND(V806&gt;=40,V806&lt;75,W806&gt;=120),0.12,0)+IF(AND(V806&gt;=75,V806&lt;175,W806&lt;65),0.2,0)+IF(AND(V806&gt;=75,V806&lt;175,W806&gt;=65,W806&lt;110),0.15,0)+IF(AND(V806&gt;=75,V806&lt;175,W806&gt;=110),0.12,0)+IF(AND(V806&gt;=175,W806&lt;55),0.2,0)+IF(AND(V806&gt;=175,W806&gt;=55,W806&lt;95),0.15,0)+IF(AND(V806&gt;=175,W806&gt;=95),0.12,0),
IF(AF806="DoEVku",IF(AND(V806&lt;20,W806&lt;55),0.23,0)+IF(AND(V806&lt;20,W806&gt;=55,W806&lt;105),0.2,0)+IF(AND(V806&lt;20,W806&gt;=105),0.17,0)+IF(AND(V806&gt;=20,V806&lt;40,W806&lt;45),0.23,0)+IF(AND(V806&gt;=20,V806&lt;40,W806&gt;=45,W806&lt;95),0.2,0)+IF(AND(V806&gt;=20,V806&lt;40,W806&gt;=95,W806&lt;=150),0.17,0)+IF(AND(V806&gt;=20,V806&lt;40,W806&gt;=150),0.12,0)+IF(AND(V806&gt;=40,V806&lt;75,W806&lt;35),0.23,0)+IF(AND(V806&gt;=40,V806&lt;75,W806&gt;=35,W806&lt;75),0.2,0)+IF(AND(V806&gt;=40,V806&lt;75,W806&gt;=75,W806&lt;120),0.17,0)+IF(AND(V806&gt;=40,V806&lt;75,W806&gt;=120),0.12,0)+IF(AND(V806&gt;=75,V806&lt;175,W806&lt;35),0.23,0)+IF(AND(V806&gt;=75,V806&lt;=175,W806&gt;=35,W806&lt;65),0.2,0)+IF(AND(V806&gt;=75,V806&lt;=175,W806&gt;=65,W806&lt;110),0.17,0)+IF(AND(V806&gt;=75,V806&lt;=175,W806&gt;=110),0.12,0)+IF(AND(V806&gt;175,W806&lt;25),0.23,0)+IF(AND(V806&gt;175,W806&gt;=25,W806&lt;55),0.2,0)+IF(AND(V806&gt;175,W806&gt;=55,W806&lt;95),0.17,0)+IF(AND(V806&gt;175,W806&gt;=95),0.12,0),
IF(AF806="DoEVs1",IF(AND(V806&lt;20,W806&lt;55),0.3,0)+IF(AND(V806&lt;20,W806&gt;=55,W806&lt;105),0.23,0)+IF(AND(V806&lt;20,W806&gt;=105),0.17,0)+IF(AND(V806&gt;=20,V806&lt;40,W806&lt;45),0.3,0)+IF(AND(V806&gt;=20,V806&lt;40,W806&gt;=45,W806&lt;95),0.23,0)+IF(AND(V806&gt;=20,V806&lt;40,W806&gt;=95,W806&lt;=150),0.17,0)+IF(AND(V806&gt;=20,V806&lt;40,W806&gt;=150),0.12,0)+IF(AND(V806&gt;=40,V806&lt;75,W806&lt;35),0.3,0)+IF(AND(V806&gt;=40,V806&lt;75,W806&gt;=35,W806&lt;75),0.23,0)+IF(AND(V806&gt;=40,V806&lt;75,W806&gt;=75,W806&lt;120),0.17,0)+IF(AND(V806&gt;=40,V806&lt;75,W806&gt;=120),0.12,0)+IF(AND(V806&gt;=75,V806&lt;175,W806&lt;35),0.3,0)+IF(AND(V806&gt;=75,V806&lt;=175,W806&gt;=35,W806&lt;65),0.23,0)+IF(AND(V806&gt;=75,V806&lt;=175,W806&gt;=65,W806&lt;110),0.17,0)+IF(AND(V806&gt;=75,V806&lt;=175,W806&gt;=110),0.12,0)+IF(AND(V806&gt;175,W806&lt;25),0.3,0)+IF(AND(V806&gt;175,W806&gt;=25,W806&lt;55),0.23,0)+IF(AND(V806&gt;175,W806&gt;=55,W806&lt;95),0.17,0)+IF(AND(V806&gt;175,W806&gt;=95),0.12,0),
IF(AF806="DoEVsu",IF(AND(V806&lt;20,W806&lt;55),0.3,0)+IF(AND(V806&lt;20,W806&gt;=55,W806&lt;105),0.23,0)+IF(AND(V806&lt;20,W806&gt;=105),0.17,0)+IF(AND(V806&gt;=20,V806&lt;40,W806&lt;45),0.3,0)+IF(AND(V806&gt;=20,V806&lt;40,W806&gt;=45,W806&lt;95),0.23,0)+IF(AND(V806&gt;=20,V806&lt;40,W806&gt;=95,W806&lt;=250),0.17,0)+IF(AND(V806&gt;=20,V806&lt;40,W806&gt;=250),0.12,0)+IF(AND(V806&gt;=40,V806&lt;75,W806&lt;35),0.3,0)+IF(AND(V806&gt;=40,V806&lt;75,W806&gt;=35,W806&lt;75),0.23,0)+IF(AND(V806&gt;=40,V806&lt;75,W806&gt;=75,W806&lt;120),0.17,0)+IF(AND(V806&gt;=40,V806&lt;75,W806&gt;=120),0.12,0)+IF(AND(V806&gt;=75,V806&lt;175,W806&lt;35),0.3,0)+IF(AND(V806&gt;=75,V806&lt;=175,W806&gt;=35,W806&lt;65),0.23,0)+IF(AND(V806&gt;=75,V806&lt;=175,W806&gt;=65,W806&lt;110),0.17,0)+IF(AND(V806&gt;=75,V806&lt;=175,W806&gt;=110),0.12,0)+IF(AND(V806&gt;175,W806&lt;25),0.3,0)+IF(AND(V806&gt;175,W806&gt;=25,W806&lt;55),0.23,0)+IF(AND(V806&gt;175,W806&gt;=55,W806&lt;95),0.17,0)+IF(AND(V806&gt;175,W806&gt;=95),0.12,0),
IF(AF806="DoEVni",IF(AND(V806&lt;20,W806&lt;55),0.3,0)+IF(AND(V806&lt;20,W806&gt;=55,W806&lt;105),0.23,0)+IF(AND(V806&lt;20,W806&gt;=105),0.17,0)+IF(AND(V806&gt;=20,V806&lt;40,W806&lt;45),0.3,0)+IF(AND(V806&gt;=20,V806&lt;40,W806&gt;=45,W806&lt;95),0.23,0)+IF(AND(V806&gt;=20,V806&lt;40,W806&gt;=95,W806&lt;=200),0.17,0)+IF(AND(V806&gt;=20,V806&lt;40,W806&gt;=200),0.12,0)+IF(AND(V806&gt;=40,V806&lt;75,W806&lt;35),0.3,0)+IF(AND(V806&gt;=40,V806&lt;75,W806&gt;=35,W806&lt;75),0.23,0)+IF(AND(V806&gt;=40,V806&lt;75,W806&gt;=75,W806&lt;120),0.17,0)+IF(AND(V806&gt;=40,V806&lt;75,W806&gt;=120),0.12,0)+IF(AND(V806&gt;=75,V806&lt;175,W806&lt;35),0.3,0)+IF(AND(V806&gt;=75,V806&lt;=175,W806&gt;=35,W806&lt;65),0.23,0)+IF(AND(V806&gt;=75,V806&lt;=175,W806&gt;=65,W806&lt;110),0.17,0)+IF(AND(V806&gt;=75,V806&lt;=175,W806&gt;=110),0.12,0)+IF(AND(V806&gt;175,W806&lt;25),0.3,0)+IF(AND(V806&gt;175,W806&gt;=25,W806&lt;55),0.23,0)+IF(AND(V806&gt;175,W806&gt;=55,W806&lt;95),0.17,0)+IF(AND(V806&gt;175,W806&gt;=95),0.12,0),
IF(AF806="DoEVLo",IF(AND(V806&lt;20,W806&lt;55),0.25,0)+IF(AND(V806&lt;20,W806&gt;=55,W806&lt;105),0.2,0)+IF(AND(V806&lt;20,W806&gt;=105),0.15,0)+IF(AND(V806&gt;=20,V806&lt;40,W806&lt;45),0.25,0)+IF(AND(V806&gt;=20,V806&lt;40,W806&gt;=45,W806&lt;95),0.2,0)+IF(AND(V806&gt;=20,V806&lt;40,W806&gt;=95),0.15,0)+IF(AND(V806&gt;=40,V806&lt;75,W806&lt;35),0.25,0)+IF(AND(V806&gt;=40,V806&lt;75,W806&gt;=35,W806&lt;75),0.2,0)+IF(AND(V806&gt;=40,V806&lt;75,W806&gt;=75,W806&lt;120),0.15,0)+IF(AND(V806&gt;=40,V806&lt;75,W806&gt;=120),0.1,0)+IF(AND(V806&gt;=75,V806&lt;175,W806&lt;35),0.25,0)+IF(AND(V806&gt;=75,V806&lt;=175,W806&gt;=35,W806&lt;65),0.2,0)+IF(AND(V806&gt;=75,V806&lt;=175,W806&gt;=65,W806&lt;110),0.15,0)+IF(AND(V806&gt;=75,V806&lt;=175,W806&gt;=110),0.1,0)+IF(AND(V806&gt;175,W806&lt;25),0.25,0)+IF(AND(V806&gt;175,W806&gt;=25,W806&lt;55),0.2,0)+IF(AND(V806&gt;175,W806&gt;=55,W806&lt;95),0.15,0)+IF(AND(V806&gt;175,W806&gt;=95),0.1,0))))))))))))))))))</f>
        <v>0.1125</v>
      </c>
      <c r="Y806" s="30">
        <f>IF(AG806="None",0,IF(AG806="Fix5",0.05, IF(AG806="Fix6.25",0.0625,IF(AG806="Fix3.75",0.0375,IF(AG806="Fix10",0.1,IF(AG806="Fix3",0.03,0))))))</f>
        <v>3.7499999999999999E-2</v>
      </c>
      <c r="Z806" s="35">
        <f>T806-AA806-AB806</f>
        <v>334.92500000000001</v>
      </c>
      <c r="AA806" s="29">
        <f>IF(AD806="EUR",((T806-R806)*X806)*U806+(R806*X806),(T806*X806))</f>
        <v>51.075000000000003</v>
      </c>
      <c r="AB806" s="104">
        <v>68</v>
      </c>
      <c r="AC806" s="37" t="b">
        <v>1</v>
      </c>
      <c r="AD806" s="37" t="s">
        <v>38</v>
      </c>
      <c r="AE806" s="37" t="s">
        <v>38</v>
      </c>
      <c r="AF806" s="37" t="str">
        <f t="array" ref="AF806">INDEX('Deal Info'!D:D, MATCH(A806,'Deal Info'!A:A, 0))</f>
        <v>Fix11.25</v>
      </c>
      <c r="AG806" s="38" t="str">
        <f t="array" ref="AG806">INDEX('Deal Info'!G:G, MATCH(A806,'Deal Info'!A:A, 0))</f>
        <v>Fix3.75</v>
      </c>
    </row>
    <row r="807" spans="1:33" ht="14.25" hidden="1" x14ac:dyDescent="0.2">
      <c r="A807" s="18" t="str">
        <f t="array" ref="A807">IF(G807='Room Info'!$B$1, INDEX('Room Info'!$A$2:$A2446, MATCH(B807,'Room Info'!$B$2:$B2446, 0)),IF(G807='Room Info'!$C$1, INDEX('Room Info'!$A$2:$A2446, MATCH(B807,'Room Info'!$C$2:$C2446, 0)),IF(G807='Room Info'!$D$1, INDEX('Room Info'!$A$2:$A2446, MATCH(B807,'Room Info'!$D$2:$D2446, 0)),IF(G807='Room Info'!$E$1, INDEX('Room Info'!$A$2:$A2446, MATCH(B807,'Room Info'!$E$2:$E2446, 0)),IF(G807='Room Info'!$F$1, INDEX('Room Info'!$A$2:$A2446, MATCH(B807,'Room Info'!$F$2:$F2446, 0)),IF(G807='Room Info'!$H$1, INDEX('Room Info'!$A$2:$A2446, MATCH(B807,'Room Info'!$H$2:$H2446, 0)),IF(G807='Room Info'!$G$1, INDEX('Room Info'!$A$2:$A2446, MATCH(B807,'Room Info'!$G$2:$G2446, 0)))))))))</f>
        <v>fig6</v>
      </c>
      <c r="B807" s="45" t="s">
        <v>172</v>
      </c>
      <c r="C807" s="77">
        <v>44916</v>
      </c>
      <c r="D807" s="77">
        <v>44946</v>
      </c>
      <c r="E807" s="47">
        <v>44927</v>
      </c>
      <c r="F807" s="48" t="s">
        <v>34</v>
      </c>
      <c r="G807" s="45" t="s">
        <v>35</v>
      </c>
      <c r="H807" s="49" t="s">
        <v>70</v>
      </c>
      <c r="I807" s="49" t="s">
        <v>37</v>
      </c>
      <c r="J807" s="74">
        <v>100</v>
      </c>
      <c r="K807" s="75">
        <v>2214</v>
      </c>
      <c r="L807" s="72">
        <v>6500</v>
      </c>
      <c r="M807" s="76">
        <v>5100</v>
      </c>
      <c r="N807" s="28">
        <f>K807*J807</f>
        <v>221400</v>
      </c>
      <c r="O807" s="45">
        <v>57772</v>
      </c>
      <c r="P807" s="29">
        <v>26.093947610000001</v>
      </c>
      <c r="Q807" s="55"/>
      <c r="R807" s="31">
        <f>M807+Q807</f>
        <v>5100</v>
      </c>
      <c r="S807" s="73">
        <v>-2257</v>
      </c>
      <c r="T807" s="32">
        <f>R807+S807+IF(F807="Without EV deal",L807,0)</f>
        <v>2843</v>
      </c>
      <c r="U807" s="57">
        <v>1</v>
      </c>
      <c r="V807" s="58"/>
      <c r="W807" s="58"/>
      <c r="X807" s="30">
        <f>IF(AF807="DoEV",IF(AND(V807&lt;20,W807&lt;55),0.3,0)+IF(AND(V807&lt;20,W807&gt;=55,W807&lt;105),0.23,0)+IF(AND(V807&lt;20,W807&gt;=105),0.17,0)+IF(AND(V807&gt;=20,V807&lt;40,W807&lt;45),0.3,0)+IF(AND(V807&gt;=20,V807&lt;40,W807&gt;=45,W807&lt;95),0.23,0)+IF(AND(V807&gt;=20,V807&lt;40,W807&gt;=95),0.17,0)+IF(AND(V807&gt;=40,V807&lt;75,W807&lt;35),0.3,0)+IF(AND(V807&gt;=40,V807&lt;75,W807&gt;=35,W807&lt;75),0.23,0)+IF(AND(V807&gt;=40,V807&lt;75,W807&gt;=75,W807&lt;120),0.17,0)+IF(AND(V807&gt;=40,V807&lt;75,W807&gt;=120),0.12,0)+IF(AND(V807&gt;=75,V807&lt;175,W807&lt;35),0.3,0)+IF(AND(V807&gt;=75,V807&lt;=175,W807&gt;=35,W807&lt;65),0.23,0)+IF(AND(V807&gt;=75,V807&lt;=175,W807&gt;=65,W807&lt;110),0.17,0)+IF(AND(V807&gt;=75,V807&lt;=175,W807&gt;=110),0.12,0)+IF(AND(V807&gt;175,W807&lt;25),0.3,0)+IF(AND(V807&gt;175,W807&gt;=25,W807&lt;55),0.23,0)+IF(AND(V807&gt;175,W807&gt;=55,W807&lt;95),0.17,0)+IF(AND(V807&gt;175,W807&gt;=95),0.12,0),
IF(AF807="Fix15",0.15,
IF(AF807="Fix18.75",0.1875,
IF(AF807="Fix11.25",0.1125,
IF(AF807="Fix10",0.1,
IF(AF807="Fix9",0.09,
IF(AF807="Fix19",0.19,
IF(AF807="DoEV2017",IF(AND(W807&lt;74),0.2,0)+IF(AND(W807&gt;=74),0.17,0),
IF(AF807="SF",IF(AND(V807&lt;20,W807&lt;89),0.3,0)+IF(AND(V807&lt;20,W807&gt;=89),0.25,0)+IF(AND(V807&gt;=20,V807&lt;40,W807&lt;74),0.3,0)+IF(AND(V807&gt;=20,V807&lt;40,W807&gt;=75),0.22,0)+IF(AND(V807&gt;=40,V807&lt;75,W807&lt;75),0.26,0)+IF(AND(V807&gt;=40,V807&lt;75,W807&gt;=75),0.22,0)+IF(V807&gt;=75,0.22,0),
IF(AF807="DoEVold",IF(AND(V807&lt;40,W807&lt;35),0.35,0)+IF(AND(V807&lt;40,W807&gt;=35,W807&lt;75),0.25,0)+IF(AND(V807&lt;40,W807&gt;=75),0.17,0)+IF(AND(V807&gt;=40,V807&lt;75,W807&lt;25),0.35,0)+IF(AND(V807&gt;=40,V807&lt;75,W807&gt;=25,W807&lt;65),0.25,0)+IF(AND(V807&gt;=40,V807&lt;75,W807&gt;=65,W807&lt;100),0.17,0)+IF(AND(V807&gt;=40,V807&lt;75,W807&gt;=100),0.1,0)+IF(AND(V807&gt;=75,W807&lt;25),0.35,0)+IF(AND(V807&gt;=75,W807&gt;=25,W807&lt;60),0.25,0)+IF(AND(V807&gt;=75,W807&gt;=60,W807&lt;95),0.17,0)+IF(AND(V807&gt;=75,W807&gt;=95),0.1,0),
IF(AF807="DoEVold15",IF(AND(V807&lt;=40,W807&lt;35),0.35,0)+IF(AND(V807&lt;=40,W807&gt;=35,W807&lt;75),0.25,0)+IF(AND(V807&lt;=40,W807&gt;=75,W807&lt;120),0.17,0)+IF(AND(V807&lt;=40,W807&gt;=120),0.15,0)+IF(AND(V807&gt;40,V807&lt;75,W807&lt;25),0.35,0)+IF(AND(V807&gt;=40,V807&lt;75,W807&gt;=25,W807&lt;65),0.25,0)+IF(AND(V807&gt;=40,V807&lt;75,W807&gt;=65,W807&lt;100),0.17,0)+IF(AND(V807&gt;=40,V807&lt;75,W807&gt;=100),0.1,0)+IF(AND(V807&gt;=75,W807&lt;25),0.35,0)+IF(AND(V807&gt;=75,W807&gt;=25,W807&lt;60),0.25,0)+IF(AND(V807&gt;=75,W807&gt;=60,W807&lt;95),0.17,0)+IF(AND(V807&gt;=75,W807&gt;=95),0.1,0),
IF(AF807="DoEVba",IF(AND(V807&lt;20,W807&lt;105),0.2,0)+IF(AND(V807&lt;20,W807&gt;=105),0.15,0)+IF(AND(V807&gt;=20,V807&lt;40,W807&lt;95),0.2,0)+IF(AND(V807&gt;=20,V807&lt;40,W807&gt;=95,W807&lt;150),0.15,0)+IF(AND(V807&gt;=20,V807&lt;40,W807&gt;=150),0.12,0)+IF(AND(V807&gt;=40,V807&lt;75,W807&lt;75),0.2,0)+IF(AND(V807&gt;=40,V807&lt;75,W807&gt;=75,W807&lt;120),0.15,0)+IF(AND(V807&gt;=40,V807&lt;75,W807&gt;=120),0.12,0)+IF(AND(V807&gt;=75,V807&lt;175,W807&lt;65),0.2,0)+IF(AND(V807&gt;=75,V807&lt;175,W807&gt;=65,W807&lt;110),0.15,0)+IF(AND(V807&gt;=75,V807&lt;175,W807&gt;=110),0.12,0)+IF(AND(V807&gt;=175,W807&lt;55),0.2,0)+IF(AND(V807&gt;=175,W807&gt;=55,W807&lt;95),0.15,0)+IF(AND(V807&gt;=175,W807&gt;=95),0.12,0),
IF(AF807="DoEVku",IF(AND(V807&lt;20,W807&lt;55),0.23,0)+IF(AND(V807&lt;20,W807&gt;=55,W807&lt;105),0.2,0)+IF(AND(V807&lt;20,W807&gt;=105),0.17,0)+IF(AND(V807&gt;=20,V807&lt;40,W807&lt;45),0.23,0)+IF(AND(V807&gt;=20,V807&lt;40,W807&gt;=45,W807&lt;95),0.2,0)+IF(AND(V807&gt;=20,V807&lt;40,W807&gt;=95,W807&lt;=150),0.17,0)+IF(AND(V807&gt;=20,V807&lt;40,W807&gt;=150),0.12,0)+IF(AND(V807&gt;=40,V807&lt;75,W807&lt;35),0.23,0)+IF(AND(V807&gt;=40,V807&lt;75,W807&gt;=35,W807&lt;75),0.2,0)+IF(AND(V807&gt;=40,V807&lt;75,W807&gt;=75,W807&lt;120),0.17,0)+IF(AND(V807&gt;=40,V807&lt;75,W807&gt;=120),0.12,0)+IF(AND(V807&gt;=75,V807&lt;175,W807&lt;35),0.23,0)+IF(AND(V807&gt;=75,V807&lt;=175,W807&gt;=35,W807&lt;65),0.2,0)+IF(AND(V807&gt;=75,V807&lt;=175,W807&gt;=65,W807&lt;110),0.17,0)+IF(AND(V807&gt;=75,V807&lt;=175,W807&gt;=110),0.12,0)+IF(AND(V807&gt;175,W807&lt;25),0.23,0)+IF(AND(V807&gt;175,W807&gt;=25,W807&lt;55),0.2,0)+IF(AND(V807&gt;175,W807&gt;=55,W807&lt;95),0.17,0)+IF(AND(V807&gt;175,W807&gt;=95),0.12,0),
IF(AF807="DoEVs1",IF(AND(V807&lt;20,W807&lt;55),0.3,0)+IF(AND(V807&lt;20,W807&gt;=55,W807&lt;105),0.23,0)+IF(AND(V807&lt;20,W807&gt;=105),0.17,0)+IF(AND(V807&gt;=20,V807&lt;40,W807&lt;45),0.3,0)+IF(AND(V807&gt;=20,V807&lt;40,W807&gt;=45,W807&lt;95),0.23,0)+IF(AND(V807&gt;=20,V807&lt;40,W807&gt;=95,W807&lt;=150),0.17,0)+IF(AND(V807&gt;=20,V807&lt;40,W807&gt;=150),0.12,0)+IF(AND(V807&gt;=40,V807&lt;75,W807&lt;35),0.3,0)+IF(AND(V807&gt;=40,V807&lt;75,W807&gt;=35,W807&lt;75),0.23,0)+IF(AND(V807&gt;=40,V807&lt;75,W807&gt;=75,W807&lt;120),0.17,0)+IF(AND(V807&gt;=40,V807&lt;75,W807&gt;=120),0.12,0)+IF(AND(V807&gt;=75,V807&lt;175,W807&lt;35),0.3,0)+IF(AND(V807&gt;=75,V807&lt;=175,W807&gt;=35,W807&lt;65),0.23,0)+IF(AND(V807&gt;=75,V807&lt;=175,W807&gt;=65,W807&lt;110),0.17,0)+IF(AND(V807&gt;=75,V807&lt;=175,W807&gt;=110),0.12,0)+IF(AND(V807&gt;175,W807&lt;25),0.3,0)+IF(AND(V807&gt;175,W807&gt;=25,W807&lt;55),0.23,0)+IF(AND(V807&gt;175,W807&gt;=55,W807&lt;95),0.17,0)+IF(AND(V807&gt;175,W807&gt;=95),0.12,0),
IF(AF807="DoEVsu",IF(AND(V807&lt;20,W807&lt;55),0.3,0)+IF(AND(V807&lt;20,W807&gt;=55,W807&lt;105),0.23,0)+IF(AND(V807&lt;20,W807&gt;=105),0.17,0)+IF(AND(V807&gt;=20,V807&lt;40,W807&lt;45),0.3,0)+IF(AND(V807&gt;=20,V807&lt;40,W807&gt;=45,W807&lt;95),0.23,0)+IF(AND(V807&gt;=20,V807&lt;40,W807&gt;=95,W807&lt;=250),0.17,0)+IF(AND(V807&gt;=20,V807&lt;40,W807&gt;=250),0.12,0)+IF(AND(V807&gt;=40,V807&lt;75,W807&lt;35),0.3,0)+IF(AND(V807&gt;=40,V807&lt;75,W807&gt;=35,W807&lt;75),0.23,0)+IF(AND(V807&gt;=40,V807&lt;75,W807&gt;=75,W807&lt;120),0.17,0)+IF(AND(V807&gt;=40,V807&lt;75,W807&gt;=120),0.12,0)+IF(AND(V807&gt;=75,V807&lt;175,W807&lt;35),0.3,0)+IF(AND(V807&gt;=75,V807&lt;=175,W807&gt;=35,W807&lt;65),0.23,0)+IF(AND(V807&gt;=75,V807&lt;=175,W807&gt;=65,W807&lt;110),0.17,0)+IF(AND(V807&gt;=75,V807&lt;=175,W807&gt;=110),0.12,0)+IF(AND(V807&gt;175,W807&lt;25),0.3,0)+IF(AND(V807&gt;175,W807&gt;=25,W807&lt;55),0.23,0)+IF(AND(V807&gt;175,W807&gt;=55,W807&lt;95),0.17,0)+IF(AND(V807&gt;175,W807&gt;=95),0.12,0),
IF(AF807="DoEVni",IF(AND(V807&lt;20,W807&lt;55),0.3,0)+IF(AND(V807&lt;20,W807&gt;=55,W807&lt;105),0.23,0)+IF(AND(V807&lt;20,W807&gt;=105),0.17,0)+IF(AND(V807&gt;=20,V807&lt;40,W807&lt;45),0.3,0)+IF(AND(V807&gt;=20,V807&lt;40,W807&gt;=45,W807&lt;95),0.23,0)+IF(AND(V807&gt;=20,V807&lt;40,W807&gt;=95,W807&lt;=200),0.17,0)+IF(AND(V807&gt;=20,V807&lt;40,W807&gt;=200),0.12,0)+IF(AND(V807&gt;=40,V807&lt;75,W807&lt;35),0.3,0)+IF(AND(V807&gt;=40,V807&lt;75,W807&gt;=35,W807&lt;75),0.23,0)+IF(AND(V807&gt;=40,V807&lt;75,W807&gt;=75,W807&lt;120),0.17,0)+IF(AND(V807&gt;=40,V807&lt;75,W807&gt;=120),0.12,0)+IF(AND(V807&gt;=75,V807&lt;175,W807&lt;35),0.3,0)+IF(AND(V807&gt;=75,V807&lt;=175,W807&gt;=35,W807&lt;65),0.23,0)+IF(AND(V807&gt;=75,V807&lt;=175,W807&gt;=65,W807&lt;110),0.17,0)+IF(AND(V807&gt;=75,V807&lt;=175,W807&gt;=110),0.12,0)+IF(AND(V807&gt;175,W807&lt;25),0.3,0)+IF(AND(V807&gt;175,W807&gt;=25,W807&lt;55),0.23,0)+IF(AND(V807&gt;175,W807&gt;=55,W807&lt;95),0.17,0)+IF(AND(V807&gt;175,W807&gt;=95),0.12,0),
IF(AF807="DoEVLo",IF(AND(V807&lt;20,W807&lt;55),0.25,0)+IF(AND(V807&lt;20,W807&gt;=55,W807&lt;105),0.2,0)+IF(AND(V807&lt;20,W807&gt;=105),0.15,0)+IF(AND(V807&gt;=20,V807&lt;40,W807&lt;45),0.25,0)+IF(AND(V807&gt;=20,V807&lt;40,W807&gt;=45,W807&lt;95),0.2,0)+IF(AND(V807&gt;=20,V807&lt;40,W807&gt;=95),0.15,0)+IF(AND(V807&gt;=40,V807&lt;75,W807&lt;35),0.25,0)+IF(AND(V807&gt;=40,V807&lt;75,W807&gt;=35,W807&lt;75),0.2,0)+IF(AND(V807&gt;=40,V807&lt;75,W807&gt;=75,W807&lt;120),0.15,0)+IF(AND(V807&gt;=40,V807&lt;75,W807&gt;=120),0.1,0)+IF(AND(V807&gt;=75,V807&lt;175,W807&lt;35),0.25,0)+IF(AND(V807&gt;=75,V807&lt;=175,W807&gt;=35,W807&lt;65),0.2,0)+IF(AND(V807&gt;=75,V807&lt;=175,W807&gt;=65,W807&lt;110),0.15,0)+IF(AND(V807&gt;=75,V807&lt;=175,W807&gt;=110),0.1,0)+IF(AND(V807&gt;175,W807&lt;25),0.25,0)+IF(AND(V807&gt;175,W807&gt;=25,W807&lt;55),0.2,0)+IF(AND(V807&gt;175,W807&gt;=55,W807&lt;95),0.15,0)+IF(AND(V807&gt;175,W807&gt;=95),0.1,0))))))))))))))))))</f>
        <v>0.1125</v>
      </c>
      <c r="Y807" s="30">
        <f>IF(AG807="None",0,IF(AG807="Fix5",0.05, IF(AG807="Fix6.25",0.0625,IF(AG807="Fix3.75",0.0375,IF(AG807="Fix10",0.1,IF(AG807="Fix3",0.03,0))))))</f>
        <v>3.7499999999999999E-2</v>
      </c>
      <c r="Z807" s="35">
        <f>T807-AA807-AB807</f>
        <v>2096.1624999999999</v>
      </c>
      <c r="AA807" s="29">
        <f>IF(AD807="EUR",((T807-R807)*X807)*U807+(R807*X807),(T807*X807))</f>
        <v>319.83750000000003</v>
      </c>
      <c r="AB807" s="104">
        <v>427</v>
      </c>
      <c r="AC807" s="37" t="b">
        <v>1</v>
      </c>
      <c r="AD807" s="37" t="s">
        <v>38</v>
      </c>
      <c r="AE807" s="37" t="s">
        <v>38</v>
      </c>
      <c r="AF807" s="37" t="str">
        <f t="array" ref="AF807">INDEX('Deal Info'!D:D, MATCH(A807,'Deal Info'!A:A, 0))</f>
        <v>Fix11.25</v>
      </c>
      <c r="AG807" s="38" t="str">
        <f t="array" ref="AG807">INDEX('Deal Info'!G:G, MATCH(A807,'Deal Info'!A:A, 0))</f>
        <v>Fix3.75</v>
      </c>
    </row>
    <row r="808" spans="1:33" ht="14.25" hidden="1" x14ac:dyDescent="0.2">
      <c r="A808" s="18" t="str">
        <f t="array" ref="A808">IF(G808='Room Info'!$B$1, INDEX('Room Info'!$A$2:$A2446, MATCH(B808,'Room Info'!$B$2:$B2446, 0)),IF(G808='Room Info'!$C$1, INDEX('Room Info'!$A$2:$A2446, MATCH(B808,'Room Info'!$C$2:$C2446, 0)),IF(G808='Room Info'!$D$1, INDEX('Room Info'!$A$2:$A2446, MATCH(B808,'Room Info'!$D$2:$D2446, 0)),IF(G808='Room Info'!$E$1, INDEX('Room Info'!$A$2:$A2446, MATCH(B808,'Room Info'!$E$2:$E2446, 0)),IF(G808='Room Info'!$F$1, INDEX('Room Info'!$A$2:$A2446, MATCH(B808,'Room Info'!$F$2:$F2446, 0)),IF(G808='Room Info'!$H$1, INDEX('Room Info'!$A$2:$A2446, MATCH(B808,'Room Info'!$H$2:$H2446, 0)),IF(G808='Room Info'!$G$1, INDEX('Room Info'!$A$2:$A2446, MATCH(B808,'Room Info'!$G$2:$G2446, 0)))))))))</f>
        <v>fig6</v>
      </c>
      <c r="B808" s="45" t="s">
        <v>172</v>
      </c>
      <c r="C808" s="46">
        <v>44916</v>
      </c>
      <c r="D808" s="46">
        <v>44946</v>
      </c>
      <c r="E808" s="47">
        <v>44927</v>
      </c>
      <c r="F808" s="48" t="s">
        <v>34</v>
      </c>
      <c r="G808" s="54" t="s">
        <v>35</v>
      </c>
      <c r="H808" s="49" t="s">
        <v>84</v>
      </c>
      <c r="I808" s="49" t="s">
        <v>44</v>
      </c>
      <c r="J808" s="50">
        <v>100</v>
      </c>
      <c r="K808" s="51">
        <v>1</v>
      </c>
      <c r="L808" s="52">
        <v>100</v>
      </c>
      <c r="M808" s="53">
        <v>2</v>
      </c>
      <c r="N808" s="28">
        <f>K808*J808</f>
        <v>100</v>
      </c>
      <c r="O808" s="54">
        <v>243</v>
      </c>
      <c r="P808" s="29">
        <v>243</v>
      </c>
      <c r="Q808" s="55"/>
      <c r="R808" s="31">
        <f>M808+Q808</f>
        <v>2</v>
      </c>
      <c r="S808" s="56">
        <v>70</v>
      </c>
      <c r="T808" s="32">
        <f>R808+S808+IF(F808="Without EV deal",L808,0)</f>
        <v>72</v>
      </c>
      <c r="U808" s="57">
        <v>1</v>
      </c>
      <c r="V808" s="58"/>
      <c r="W808" s="58"/>
      <c r="X808" s="30">
        <f>IF(AF808="DoEV",IF(AND(V808&lt;20,W808&lt;55),0.3,0)+IF(AND(V808&lt;20,W808&gt;=55,W808&lt;105),0.23,0)+IF(AND(V808&lt;20,W808&gt;=105),0.17,0)+IF(AND(V808&gt;=20,V808&lt;40,W808&lt;45),0.3,0)+IF(AND(V808&gt;=20,V808&lt;40,W808&gt;=45,W808&lt;95),0.23,0)+IF(AND(V808&gt;=20,V808&lt;40,W808&gt;=95),0.17,0)+IF(AND(V808&gt;=40,V808&lt;75,W808&lt;35),0.3,0)+IF(AND(V808&gt;=40,V808&lt;75,W808&gt;=35,W808&lt;75),0.23,0)+IF(AND(V808&gt;=40,V808&lt;75,W808&gt;=75,W808&lt;120),0.17,0)+IF(AND(V808&gt;=40,V808&lt;75,W808&gt;=120),0.12,0)+IF(AND(V808&gt;=75,V808&lt;175,W808&lt;35),0.3,0)+IF(AND(V808&gt;=75,V808&lt;=175,W808&gt;=35,W808&lt;65),0.23,0)+IF(AND(V808&gt;=75,V808&lt;=175,W808&gt;=65,W808&lt;110),0.17,0)+IF(AND(V808&gt;=75,V808&lt;=175,W808&gt;=110),0.12,0)+IF(AND(V808&gt;175,W808&lt;25),0.3,0)+IF(AND(V808&gt;175,W808&gt;=25,W808&lt;55),0.23,0)+IF(AND(V808&gt;175,W808&gt;=55,W808&lt;95),0.17,0)+IF(AND(V808&gt;175,W808&gt;=95),0.12,0),
IF(AF808="Fix15",0.15,
IF(AF808="Fix18.75",0.1875,
IF(AF808="Fix11.25",0.1125,
IF(AF808="Fix10",0.1,
IF(AF808="Fix9",0.09,
IF(AF808="Fix19",0.19,
IF(AF808="DoEV2017",IF(AND(W808&lt;74),0.2,0)+IF(AND(W808&gt;=74),0.17,0),
IF(AF808="SF",IF(AND(V808&lt;20,W808&lt;89),0.3,0)+IF(AND(V808&lt;20,W808&gt;=89),0.25,0)+IF(AND(V808&gt;=20,V808&lt;40,W808&lt;74),0.3,0)+IF(AND(V808&gt;=20,V808&lt;40,W808&gt;=75),0.22,0)+IF(AND(V808&gt;=40,V808&lt;75,W808&lt;75),0.26,0)+IF(AND(V808&gt;=40,V808&lt;75,W808&gt;=75),0.22,0)+IF(V808&gt;=75,0.22,0),
IF(AF808="DoEVold",IF(AND(V808&lt;40,W808&lt;35),0.35,0)+IF(AND(V808&lt;40,W808&gt;=35,W808&lt;75),0.25,0)+IF(AND(V808&lt;40,W808&gt;=75),0.17,0)+IF(AND(V808&gt;=40,V808&lt;75,W808&lt;25),0.35,0)+IF(AND(V808&gt;=40,V808&lt;75,W808&gt;=25,W808&lt;65),0.25,0)+IF(AND(V808&gt;=40,V808&lt;75,W808&gt;=65,W808&lt;100),0.17,0)+IF(AND(V808&gt;=40,V808&lt;75,W808&gt;=100),0.1,0)+IF(AND(V808&gt;=75,W808&lt;25),0.35,0)+IF(AND(V808&gt;=75,W808&gt;=25,W808&lt;60),0.25,0)+IF(AND(V808&gt;=75,W808&gt;=60,W808&lt;95),0.17,0)+IF(AND(V808&gt;=75,W808&gt;=95),0.1,0),
IF(AF808="DoEVold15",IF(AND(V808&lt;=40,W808&lt;35),0.35,0)+IF(AND(V808&lt;=40,W808&gt;=35,W808&lt;75),0.25,0)+IF(AND(V808&lt;=40,W808&gt;=75,W808&lt;120),0.17,0)+IF(AND(V808&lt;=40,W808&gt;=120),0.15,0)+IF(AND(V808&gt;40,V808&lt;75,W808&lt;25),0.35,0)+IF(AND(V808&gt;=40,V808&lt;75,W808&gt;=25,W808&lt;65),0.25,0)+IF(AND(V808&gt;=40,V808&lt;75,W808&gt;=65,W808&lt;100),0.17,0)+IF(AND(V808&gt;=40,V808&lt;75,W808&gt;=100),0.1,0)+IF(AND(V808&gt;=75,W808&lt;25),0.35,0)+IF(AND(V808&gt;=75,W808&gt;=25,W808&lt;60),0.25,0)+IF(AND(V808&gt;=75,W808&gt;=60,W808&lt;95),0.17,0)+IF(AND(V808&gt;=75,W808&gt;=95),0.1,0),
IF(AF808="DoEVba",IF(AND(V808&lt;20,W808&lt;105),0.2,0)+IF(AND(V808&lt;20,W808&gt;=105),0.15,0)+IF(AND(V808&gt;=20,V808&lt;40,W808&lt;95),0.2,0)+IF(AND(V808&gt;=20,V808&lt;40,W808&gt;=95,W808&lt;150),0.15,0)+IF(AND(V808&gt;=20,V808&lt;40,W808&gt;=150),0.12,0)+IF(AND(V808&gt;=40,V808&lt;75,W808&lt;75),0.2,0)+IF(AND(V808&gt;=40,V808&lt;75,W808&gt;=75,W808&lt;120),0.15,0)+IF(AND(V808&gt;=40,V808&lt;75,W808&gt;=120),0.12,0)+IF(AND(V808&gt;=75,V808&lt;175,W808&lt;65),0.2,0)+IF(AND(V808&gt;=75,V808&lt;175,W808&gt;=65,W808&lt;110),0.15,0)+IF(AND(V808&gt;=75,V808&lt;175,W808&gt;=110),0.12,0)+IF(AND(V808&gt;=175,W808&lt;55),0.2,0)+IF(AND(V808&gt;=175,W808&gt;=55,W808&lt;95),0.15,0)+IF(AND(V808&gt;=175,W808&gt;=95),0.12,0),
IF(AF808="DoEVku",IF(AND(V808&lt;20,W808&lt;55),0.23,0)+IF(AND(V808&lt;20,W808&gt;=55,W808&lt;105),0.2,0)+IF(AND(V808&lt;20,W808&gt;=105),0.17,0)+IF(AND(V808&gt;=20,V808&lt;40,W808&lt;45),0.23,0)+IF(AND(V808&gt;=20,V808&lt;40,W808&gt;=45,W808&lt;95),0.2,0)+IF(AND(V808&gt;=20,V808&lt;40,W808&gt;=95,W808&lt;=150),0.17,0)+IF(AND(V808&gt;=20,V808&lt;40,W808&gt;=150),0.12,0)+IF(AND(V808&gt;=40,V808&lt;75,W808&lt;35),0.23,0)+IF(AND(V808&gt;=40,V808&lt;75,W808&gt;=35,W808&lt;75),0.2,0)+IF(AND(V808&gt;=40,V808&lt;75,W808&gt;=75,W808&lt;120),0.17,0)+IF(AND(V808&gt;=40,V808&lt;75,W808&gt;=120),0.12,0)+IF(AND(V808&gt;=75,V808&lt;175,W808&lt;35),0.23,0)+IF(AND(V808&gt;=75,V808&lt;=175,W808&gt;=35,W808&lt;65),0.2,0)+IF(AND(V808&gt;=75,V808&lt;=175,W808&gt;=65,W808&lt;110),0.17,0)+IF(AND(V808&gt;=75,V808&lt;=175,W808&gt;=110),0.12,0)+IF(AND(V808&gt;175,W808&lt;25),0.23,0)+IF(AND(V808&gt;175,W808&gt;=25,W808&lt;55),0.2,0)+IF(AND(V808&gt;175,W808&gt;=55,W808&lt;95),0.17,0)+IF(AND(V808&gt;175,W808&gt;=95),0.12,0),
IF(AF808="DoEVs1",IF(AND(V808&lt;20,W808&lt;55),0.3,0)+IF(AND(V808&lt;20,W808&gt;=55,W808&lt;105),0.23,0)+IF(AND(V808&lt;20,W808&gt;=105),0.17,0)+IF(AND(V808&gt;=20,V808&lt;40,W808&lt;45),0.3,0)+IF(AND(V808&gt;=20,V808&lt;40,W808&gt;=45,W808&lt;95),0.23,0)+IF(AND(V808&gt;=20,V808&lt;40,W808&gt;=95,W808&lt;=150),0.17,0)+IF(AND(V808&gt;=20,V808&lt;40,W808&gt;=150),0.12,0)+IF(AND(V808&gt;=40,V808&lt;75,W808&lt;35),0.3,0)+IF(AND(V808&gt;=40,V808&lt;75,W808&gt;=35,W808&lt;75),0.23,0)+IF(AND(V808&gt;=40,V808&lt;75,W808&gt;=75,W808&lt;120),0.17,0)+IF(AND(V808&gt;=40,V808&lt;75,W808&gt;=120),0.12,0)+IF(AND(V808&gt;=75,V808&lt;175,W808&lt;35),0.3,0)+IF(AND(V808&gt;=75,V808&lt;=175,W808&gt;=35,W808&lt;65),0.23,0)+IF(AND(V808&gt;=75,V808&lt;=175,W808&gt;=65,W808&lt;110),0.17,0)+IF(AND(V808&gt;=75,V808&lt;=175,W808&gt;=110),0.12,0)+IF(AND(V808&gt;175,W808&lt;25),0.3,0)+IF(AND(V808&gt;175,W808&gt;=25,W808&lt;55),0.23,0)+IF(AND(V808&gt;175,W808&gt;=55,W808&lt;95),0.17,0)+IF(AND(V808&gt;175,W808&gt;=95),0.12,0),
IF(AF808="DoEVsu",IF(AND(V808&lt;20,W808&lt;55),0.3,0)+IF(AND(V808&lt;20,W808&gt;=55,W808&lt;105),0.23,0)+IF(AND(V808&lt;20,W808&gt;=105),0.17,0)+IF(AND(V808&gt;=20,V808&lt;40,W808&lt;45),0.3,0)+IF(AND(V808&gt;=20,V808&lt;40,W808&gt;=45,W808&lt;95),0.23,0)+IF(AND(V808&gt;=20,V808&lt;40,W808&gt;=95,W808&lt;=250),0.17,0)+IF(AND(V808&gt;=20,V808&lt;40,W808&gt;=250),0.12,0)+IF(AND(V808&gt;=40,V808&lt;75,W808&lt;35),0.3,0)+IF(AND(V808&gt;=40,V808&lt;75,W808&gt;=35,W808&lt;75),0.23,0)+IF(AND(V808&gt;=40,V808&lt;75,W808&gt;=75,W808&lt;120),0.17,0)+IF(AND(V808&gt;=40,V808&lt;75,W808&gt;=120),0.12,0)+IF(AND(V808&gt;=75,V808&lt;175,W808&lt;35),0.3,0)+IF(AND(V808&gt;=75,V808&lt;=175,W808&gt;=35,W808&lt;65),0.23,0)+IF(AND(V808&gt;=75,V808&lt;=175,W808&gt;=65,W808&lt;110),0.17,0)+IF(AND(V808&gt;=75,V808&lt;=175,W808&gt;=110),0.12,0)+IF(AND(V808&gt;175,W808&lt;25),0.3,0)+IF(AND(V808&gt;175,W808&gt;=25,W808&lt;55),0.23,0)+IF(AND(V808&gt;175,W808&gt;=55,W808&lt;95),0.17,0)+IF(AND(V808&gt;175,W808&gt;=95),0.12,0),
IF(AF808="DoEVni",IF(AND(V808&lt;20,W808&lt;55),0.3,0)+IF(AND(V808&lt;20,W808&gt;=55,W808&lt;105),0.23,0)+IF(AND(V808&lt;20,W808&gt;=105),0.17,0)+IF(AND(V808&gt;=20,V808&lt;40,W808&lt;45),0.3,0)+IF(AND(V808&gt;=20,V808&lt;40,W808&gt;=45,W808&lt;95),0.23,0)+IF(AND(V808&gt;=20,V808&lt;40,W808&gt;=95,W808&lt;=200),0.17,0)+IF(AND(V808&gt;=20,V808&lt;40,W808&gt;=200),0.12,0)+IF(AND(V808&gt;=40,V808&lt;75,W808&lt;35),0.3,0)+IF(AND(V808&gt;=40,V808&lt;75,W808&gt;=35,W808&lt;75),0.23,0)+IF(AND(V808&gt;=40,V808&lt;75,W808&gt;=75,W808&lt;120),0.17,0)+IF(AND(V808&gt;=40,V808&lt;75,W808&gt;=120),0.12,0)+IF(AND(V808&gt;=75,V808&lt;175,W808&lt;35),0.3,0)+IF(AND(V808&gt;=75,V808&lt;=175,W808&gt;=35,W808&lt;65),0.23,0)+IF(AND(V808&gt;=75,V808&lt;=175,W808&gt;=65,W808&lt;110),0.17,0)+IF(AND(V808&gt;=75,V808&lt;=175,W808&gt;=110),0.12,0)+IF(AND(V808&gt;175,W808&lt;25),0.3,0)+IF(AND(V808&gt;175,W808&gt;=25,W808&lt;55),0.23,0)+IF(AND(V808&gt;175,W808&gt;=55,W808&lt;95),0.17,0)+IF(AND(V808&gt;175,W808&gt;=95),0.12,0),
IF(AF808="DoEVLo",IF(AND(V808&lt;20,W808&lt;55),0.25,0)+IF(AND(V808&lt;20,W808&gt;=55,W808&lt;105),0.2,0)+IF(AND(V808&lt;20,W808&gt;=105),0.15,0)+IF(AND(V808&gt;=20,V808&lt;40,W808&lt;45),0.25,0)+IF(AND(V808&gt;=20,V808&lt;40,W808&gt;=45,W808&lt;95),0.2,0)+IF(AND(V808&gt;=20,V808&lt;40,W808&gt;=95),0.15,0)+IF(AND(V808&gt;=40,V808&lt;75,W808&lt;35),0.25,0)+IF(AND(V808&gt;=40,V808&lt;75,W808&gt;=35,W808&lt;75),0.2,0)+IF(AND(V808&gt;=40,V808&lt;75,W808&gt;=75,W808&lt;120),0.15,0)+IF(AND(V808&gt;=40,V808&lt;75,W808&gt;=120),0.1,0)+IF(AND(V808&gt;=75,V808&lt;175,W808&lt;35),0.25,0)+IF(AND(V808&gt;=75,V808&lt;=175,W808&gt;=35,W808&lt;65),0.2,0)+IF(AND(V808&gt;=75,V808&lt;=175,W808&gt;=65,W808&lt;110),0.15,0)+IF(AND(V808&gt;=75,V808&lt;=175,W808&gt;=110),0.1,0)+IF(AND(V808&gt;175,W808&lt;25),0.25,0)+IF(AND(V808&gt;175,W808&gt;=25,W808&lt;55),0.2,0)+IF(AND(V808&gt;175,W808&gt;=55,W808&lt;95),0.15,0)+IF(AND(V808&gt;175,W808&gt;=95),0.1,0))))))))))))))))))</f>
        <v>0.1125</v>
      </c>
      <c r="Y808" s="30">
        <f>IF(AG808="None",0,IF(AG808="Fix5",0.05, IF(AG808="Fix6.25",0.0625,IF(AG808="Fix3.75",0.0375,IF(AG808="Fix10",0.1,IF(AG808="Fix3",0.03,0))))))</f>
        <v>3.7499999999999999E-2</v>
      </c>
      <c r="Z808" s="35">
        <f>T808-AA808-AB808</f>
        <v>52.9</v>
      </c>
      <c r="AA808" s="29">
        <f>IF(AD808="EUR",((T808-R808)*X808)*U808+(R808*X808),(T808*X808))</f>
        <v>8.1</v>
      </c>
      <c r="AB808" s="104">
        <v>11</v>
      </c>
      <c r="AC808" s="37" t="b">
        <v>1</v>
      </c>
      <c r="AD808" s="37" t="s">
        <v>38</v>
      </c>
      <c r="AE808" s="37" t="s">
        <v>38</v>
      </c>
      <c r="AF808" s="37" t="str">
        <f t="array" ref="AF808">INDEX('Deal Info'!D:D, MATCH(A808,'Deal Info'!A:A, 0))</f>
        <v>Fix11.25</v>
      </c>
      <c r="AG808" s="38" t="str">
        <f t="array" ref="AG808">INDEX('Deal Info'!G:G, MATCH(A808,'Deal Info'!A:A, 0))</f>
        <v>Fix3.75</v>
      </c>
    </row>
    <row r="809" spans="1:33" ht="14.25" hidden="1" x14ac:dyDescent="0.2">
      <c r="A809" s="18" t="str">
        <f t="array" ref="A809">IF(G809='Room Info'!$B$1, INDEX('Room Info'!$A$2:$A2446, MATCH(B809,'Room Info'!$B$2:$B2446, 0)),IF(G809='Room Info'!$C$1, INDEX('Room Info'!$A$2:$A2446, MATCH(B809,'Room Info'!$C$2:$C2446, 0)),IF(G809='Room Info'!$D$1, INDEX('Room Info'!$A$2:$A2446, MATCH(B809,'Room Info'!$D$2:$D2446, 0)),IF(G809='Room Info'!$E$1, INDEX('Room Info'!$A$2:$A2446, MATCH(B809,'Room Info'!$E$2:$E2446, 0)),IF(G809='Room Info'!$F$1, INDEX('Room Info'!$A$2:$A2446, MATCH(B809,'Room Info'!$F$2:$F2446, 0)),IF(G809='Room Info'!$H$1, INDEX('Room Info'!$A$2:$A2446, MATCH(B809,'Room Info'!$H$2:$H2446, 0)),IF(G809='Room Info'!$G$1, INDEX('Room Info'!$A$2:$A2446, MATCH(B809,'Room Info'!$G$2:$G2446, 0)))))))))</f>
        <v>fig6</v>
      </c>
      <c r="B809" s="45" t="s">
        <v>172</v>
      </c>
      <c r="C809" s="46">
        <v>44916</v>
      </c>
      <c r="D809" s="46">
        <v>44946</v>
      </c>
      <c r="E809" s="47">
        <v>44927</v>
      </c>
      <c r="F809" s="48" t="s">
        <v>34</v>
      </c>
      <c r="G809" s="54" t="s">
        <v>35</v>
      </c>
      <c r="H809" s="49" t="s">
        <v>88</v>
      </c>
      <c r="I809" s="49" t="s">
        <v>37</v>
      </c>
      <c r="J809" s="50">
        <v>250</v>
      </c>
      <c r="K809" s="51">
        <v>1421</v>
      </c>
      <c r="L809" s="52">
        <v>-15500</v>
      </c>
      <c r="M809" s="53">
        <v>8184</v>
      </c>
      <c r="N809" s="28">
        <f>K809*J809</f>
        <v>355250</v>
      </c>
      <c r="O809" s="54">
        <v>41567</v>
      </c>
      <c r="P809" s="29">
        <v>29.25193526</v>
      </c>
      <c r="Q809" s="55"/>
      <c r="R809" s="31">
        <f>M809+Q809</f>
        <v>8184</v>
      </c>
      <c r="S809" s="56">
        <v>-616</v>
      </c>
      <c r="T809" s="32">
        <f>R809+S809+IF(F809="Without EV deal",L809,0)</f>
        <v>7568</v>
      </c>
      <c r="U809" s="57">
        <v>1</v>
      </c>
      <c r="V809" s="58"/>
      <c r="W809" s="58"/>
      <c r="X809" s="30">
        <f>IF(AF809="DoEV",IF(AND(V809&lt;20,W809&lt;55),0.3,0)+IF(AND(V809&lt;20,W809&gt;=55,W809&lt;105),0.23,0)+IF(AND(V809&lt;20,W809&gt;=105),0.17,0)+IF(AND(V809&gt;=20,V809&lt;40,W809&lt;45),0.3,0)+IF(AND(V809&gt;=20,V809&lt;40,W809&gt;=45,W809&lt;95),0.23,0)+IF(AND(V809&gt;=20,V809&lt;40,W809&gt;=95),0.17,0)+IF(AND(V809&gt;=40,V809&lt;75,W809&lt;35),0.3,0)+IF(AND(V809&gt;=40,V809&lt;75,W809&gt;=35,W809&lt;75),0.23,0)+IF(AND(V809&gt;=40,V809&lt;75,W809&gt;=75,W809&lt;120),0.17,0)+IF(AND(V809&gt;=40,V809&lt;75,W809&gt;=120),0.12,0)+IF(AND(V809&gt;=75,V809&lt;175,W809&lt;35),0.3,0)+IF(AND(V809&gt;=75,V809&lt;=175,W809&gt;=35,W809&lt;65),0.23,0)+IF(AND(V809&gt;=75,V809&lt;=175,W809&gt;=65,W809&lt;110),0.17,0)+IF(AND(V809&gt;=75,V809&lt;=175,W809&gt;=110),0.12,0)+IF(AND(V809&gt;175,W809&lt;25),0.3,0)+IF(AND(V809&gt;175,W809&gt;=25,W809&lt;55),0.23,0)+IF(AND(V809&gt;175,W809&gt;=55,W809&lt;95),0.17,0)+IF(AND(V809&gt;175,W809&gt;=95),0.12,0),
IF(AF809="Fix15",0.15,
IF(AF809="Fix18.75",0.1875,
IF(AF809="Fix11.25",0.1125,
IF(AF809="Fix10",0.1,
IF(AF809="Fix9",0.09,
IF(AF809="Fix19",0.19,
IF(AF809="DoEV2017",IF(AND(W809&lt;74),0.2,0)+IF(AND(W809&gt;=74),0.17,0),
IF(AF809="SF",IF(AND(V809&lt;20,W809&lt;89),0.3,0)+IF(AND(V809&lt;20,W809&gt;=89),0.25,0)+IF(AND(V809&gt;=20,V809&lt;40,W809&lt;74),0.3,0)+IF(AND(V809&gt;=20,V809&lt;40,W809&gt;=75),0.22,0)+IF(AND(V809&gt;=40,V809&lt;75,W809&lt;75),0.26,0)+IF(AND(V809&gt;=40,V809&lt;75,W809&gt;=75),0.22,0)+IF(V809&gt;=75,0.22,0),
IF(AF809="DoEVold",IF(AND(V809&lt;40,W809&lt;35),0.35,0)+IF(AND(V809&lt;40,W809&gt;=35,W809&lt;75),0.25,0)+IF(AND(V809&lt;40,W809&gt;=75),0.17,0)+IF(AND(V809&gt;=40,V809&lt;75,W809&lt;25),0.35,0)+IF(AND(V809&gt;=40,V809&lt;75,W809&gt;=25,W809&lt;65),0.25,0)+IF(AND(V809&gt;=40,V809&lt;75,W809&gt;=65,W809&lt;100),0.17,0)+IF(AND(V809&gt;=40,V809&lt;75,W809&gt;=100),0.1,0)+IF(AND(V809&gt;=75,W809&lt;25),0.35,0)+IF(AND(V809&gt;=75,W809&gt;=25,W809&lt;60),0.25,0)+IF(AND(V809&gt;=75,W809&gt;=60,W809&lt;95),0.17,0)+IF(AND(V809&gt;=75,W809&gt;=95),0.1,0),
IF(AF809="DoEVold15",IF(AND(V809&lt;=40,W809&lt;35),0.35,0)+IF(AND(V809&lt;=40,W809&gt;=35,W809&lt;75),0.25,0)+IF(AND(V809&lt;=40,W809&gt;=75,W809&lt;120),0.17,0)+IF(AND(V809&lt;=40,W809&gt;=120),0.15,0)+IF(AND(V809&gt;40,V809&lt;75,W809&lt;25),0.35,0)+IF(AND(V809&gt;=40,V809&lt;75,W809&gt;=25,W809&lt;65),0.25,0)+IF(AND(V809&gt;=40,V809&lt;75,W809&gt;=65,W809&lt;100),0.17,0)+IF(AND(V809&gt;=40,V809&lt;75,W809&gt;=100),0.1,0)+IF(AND(V809&gt;=75,W809&lt;25),0.35,0)+IF(AND(V809&gt;=75,W809&gt;=25,W809&lt;60),0.25,0)+IF(AND(V809&gt;=75,W809&gt;=60,W809&lt;95),0.17,0)+IF(AND(V809&gt;=75,W809&gt;=95),0.1,0),
IF(AF809="DoEVba",IF(AND(V809&lt;20,W809&lt;105),0.2,0)+IF(AND(V809&lt;20,W809&gt;=105),0.15,0)+IF(AND(V809&gt;=20,V809&lt;40,W809&lt;95),0.2,0)+IF(AND(V809&gt;=20,V809&lt;40,W809&gt;=95,W809&lt;150),0.15,0)+IF(AND(V809&gt;=20,V809&lt;40,W809&gt;=150),0.12,0)+IF(AND(V809&gt;=40,V809&lt;75,W809&lt;75),0.2,0)+IF(AND(V809&gt;=40,V809&lt;75,W809&gt;=75,W809&lt;120),0.15,0)+IF(AND(V809&gt;=40,V809&lt;75,W809&gt;=120),0.12,0)+IF(AND(V809&gt;=75,V809&lt;175,W809&lt;65),0.2,0)+IF(AND(V809&gt;=75,V809&lt;175,W809&gt;=65,W809&lt;110),0.15,0)+IF(AND(V809&gt;=75,V809&lt;175,W809&gt;=110),0.12,0)+IF(AND(V809&gt;=175,W809&lt;55),0.2,0)+IF(AND(V809&gt;=175,W809&gt;=55,W809&lt;95),0.15,0)+IF(AND(V809&gt;=175,W809&gt;=95),0.12,0),
IF(AF809="DoEVku",IF(AND(V809&lt;20,W809&lt;55),0.23,0)+IF(AND(V809&lt;20,W809&gt;=55,W809&lt;105),0.2,0)+IF(AND(V809&lt;20,W809&gt;=105),0.17,0)+IF(AND(V809&gt;=20,V809&lt;40,W809&lt;45),0.23,0)+IF(AND(V809&gt;=20,V809&lt;40,W809&gt;=45,W809&lt;95),0.2,0)+IF(AND(V809&gt;=20,V809&lt;40,W809&gt;=95,W809&lt;=150),0.17,0)+IF(AND(V809&gt;=20,V809&lt;40,W809&gt;=150),0.12,0)+IF(AND(V809&gt;=40,V809&lt;75,W809&lt;35),0.23,0)+IF(AND(V809&gt;=40,V809&lt;75,W809&gt;=35,W809&lt;75),0.2,0)+IF(AND(V809&gt;=40,V809&lt;75,W809&gt;=75,W809&lt;120),0.17,0)+IF(AND(V809&gt;=40,V809&lt;75,W809&gt;=120),0.12,0)+IF(AND(V809&gt;=75,V809&lt;175,W809&lt;35),0.23,0)+IF(AND(V809&gt;=75,V809&lt;=175,W809&gt;=35,W809&lt;65),0.2,0)+IF(AND(V809&gt;=75,V809&lt;=175,W809&gt;=65,W809&lt;110),0.17,0)+IF(AND(V809&gt;=75,V809&lt;=175,W809&gt;=110),0.12,0)+IF(AND(V809&gt;175,W809&lt;25),0.23,0)+IF(AND(V809&gt;175,W809&gt;=25,W809&lt;55),0.2,0)+IF(AND(V809&gt;175,W809&gt;=55,W809&lt;95),0.17,0)+IF(AND(V809&gt;175,W809&gt;=95),0.12,0),
IF(AF809="DoEVs1",IF(AND(V809&lt;20,W809&lt;55),0.3,0)+IF(AND(V809&lt;20,W809&gt;=55,W809&lt;105),0.23,0)+IF(AND(V809&lt;20,W809&gt;=105),0.17,0)+IF(AND(V809&gt;=20,V809&lt;40,W809&lt;45),0.3,0)+IF(AND(V809&gt;=20,V809&lt;40,W809&gt;=45,W809&lt;95),0.23,0)+IF(AND(V809&gt;=20,V809&lt;40,W809&gt;=95,W809&lt;=150),0.17,0)+IF(AND(V809&gt;=20,V809&lt;40,W809&gt;=150),0.12,0)+IF(AND(V809&gt;=40,V809&lt;75,W809&lt;35),0.3,0)+IF(AND(V809&gt;=40,V809&lt;75,W809&gt;=35,W809&lt;75),0.23,0)+IF(AND(V809&gt;=40,V809&lt;75,W809&gt;=75,W809&lt;120),0.17,0)+IF(AND(V809&gt;=40,V809&lt;75,W809&gt;=120),0.12,0)+IF(AND(V809&gt;=75,V809&lt;175,W809&lt;35),0.3,0)+IF(AND(V809&gt;=75,V809&lt;=175,W809&gt;=35,W809&lt;65),0.23,0)+IF(AND(V809&gt;=75,V809&lt;=175,W809&gt;=65,W809&lt;110),0.17,0)+IF(AND(V809&gt;=75,V809&lt;=175,W809&gt;=110),0.12,0)+IF(AND(V809&gt;175,W809&lt;25),0.3,0)+IF(AND(V809&gt;175,W809&gt;=25,W809&lt;55),0.23,0)+IF(AND(V809&gt;175,W809&gt;=55,W809&lt;95),0.17,0)+IF(AND(V809&gt;175,W809&gt;=95),0.12,0),
IF(AF809="DoEVsu",IF(AND(V809&lt;20,W809&lt;55),0.3,0)+IF(AND(V809&lt;20,W809&gt;=55,W809&lt;105),0.23,0)+IF(AND(V809&lt;20,W809&gt;=105),0.17,0)+IF(AND(V809&gt;=20,V809&lt;40,W809&lt;45),0.3,0)+IF(AND(V809&gt;=20,V809&lt;40,W809&gt;=45,W809&lt;95),0.23,0)+IF(AND(V809&gt;=20,V809&lt;40,W809&gt;=95,W809&lt;=250),0.17,0)+IF(AND(V809&gt;=20,V809&lt;40,W809&gt;=250),0.12,0)+IF(AND(V809&gt;=40,V809&lt;75,W809&lt;35),0.3,0)+IF(AND(V809&gt;=40,V809&lt;75,W809&gt;=35,W809&lt;75),0.23,0)+IF(AND(V809&gt;=40,V809&lt;75,W809&gt;=75,W809&lt;120),0.17,0)+IF(AND(V809&gt;=40,V809&lt;75,W809&gt;=120),0.12,0)+IF(AND(V809&gt;=75,V809&lt;175,W809&lt;35),0.3,0)+IF(AND(V809&gt;=75,V809&lt;=175,W809&gt;=35,W809&lt;65),0.23,0)+IF(AND(V809&gt;=75,V809&lt;=175,W809&gt;=65,W809&lt;110),0.17,0)+IF(AND(V809&gt;=75,V809&lt;=175,W809&gt;=110),0.12,0)+IF(AND(V809&gt;175,W809&lt;25),0.3,0)+IF(AND(V809&gt;175,W809&gt;=25,W809&lt;55),0.23,0)+IF(AND(V809&gt;175,W809&gt;=55,W809&lt;95),0.17,0)+IF(AND(V809&gt;175,W809&gt;=95),0.12,0),
IF(AF809="DoEVni",IF(AND(V809&lt;20,W809&lt;55),0.3,0)+IF(AND(V809&lt;20,W809&gt;=55,W809&lt;105),0.23,0)+IF(AND(V809&lt;20,W809&gt;=105),0.17,0)+IF(AND(V809&gt;=20,V809&lt;40,W809&lt;45),0.3,0)+IF(AND(V809&gt;=20,V809&lt;40,W809&gt;=45,W809&lt;95),0.23,0)+IF(AND(V809&gt;=20,V809&lt;40,W809&gt;=95,W809&lt;=200),0.17,0)+IF(AND(V809&gt;=20,V809&lt;40,W809&gt;=200),0.12,0)+IF(AND(V809&gt;=40,V809&lt;75,W809&lt;35),0.3,0)+IF(AND(V809&gt;=40,V809&lt;75,W809&gt;=35,W809&lt;75),0.23,0)+IF(AND(V809&gt;=40,V809&lt;75,W809&gt;=75,W809&lt;120),0.17,0)+IF(AND(V809&gt;=40,V809&lt;75,W809&gt;=120),0.12,0)+IF(AND(V809&gt;=75,V809&lt;175,W809&lt;35),0.3,0)+IF(AND(V809&gt;=75,V809&lt;=175,W809&gt;=35,W809&lt;65),0.23,0)+IF(AND(V809&gt;=75,V809&lt;=175,W809&gt;=65,W809&lt;110),0.17,0)+IF(AND(V809&gt;=75,V809&lt;=175,W809&gt;=110),0.12,0)+IF(AND(V809&gt;175,W809&lt;25),0.3,0)+IF(AND(V809&gt;175,W809&gt;=25,W809&lt;55),0.23,0)+IF(AND(V809&gt;175,W809&gt;=55,W809&lt;95),0.17,0)+IF(AND(V809&gt;175,W809&gt;=95),0.12,0),
IF(AF809="DoEVLo",IF(AND(V809&lt;20,W809&lt;55),0.25,0)+IF(AND(V809&lt;20,W809&gt;=55,W809&lt;105),0.2,0)+IF(AND(V809&lt;20,W809&gt;=105),0.15,0)+IF(AND(V809&gt;=20,V809&lt;40,W809&lt;45),0.25,0)+IF(AND(V809&gt;=20,V809&lt;40,W809&gt;=45,W809&lt;95),0.2,0)+IF(AND(V809&gt;=20,V809&lt;40,W809&gt;=95),0.15,0)+IF(AND(V809&gt;=40,V809&lt;75,W809&lt;35),0.25,0)+IF(AND(V809&gt;=40,V809&lt;75,W809&gt;=35,W809&lt;75),0.2,0)+IF(AND(V809&gt;=40,V809&lt;75,W809&gt;=75,W809&lt;120),0.15,0)+IF(AND(V809&gt;=40,V809&lt;75,W809&gt;=120),0.1,0)+IF(AND(V809&gt;=75,V809&lt;175,W809&lt;35),0.25,0)+IF(AND(V809&gt;=75,V809&lt;=175,W809&gt;=35,W809&lt;65),0.2,0)+IF(AND(V809&gt;=75,V809&lt;=175,W809&gt;=65,W809&lt;110),0.15,0)+IF(AND(V809&gt;=75,V809&lt;=175,W809&gt;=110),0.1,0)+IF(AND(V809&gt;175,W809&lt;25),0.25,0)+IF(AND(V809&gt;175,W809&gt;=25,W809&lt;55),0.2,0)+IF(AND(V809&gt;175,W809&gt;=55,W809&lt;95),0.15,0)+IF(AND(V809&gt;175,W809&gt;=95),0.1,0))))))))))))))))))</f>
        <v>0.1125</v>
      </c>
      <c r="Y809" s="30">
        <f>IF(AG809="None",0,IF(AG809="Fix5",0.05, IF(AG809="Fix6.25",0.0625,IF(AG809="Fix3.75",0.0375,IF(AG809="Fix10",0.1,IF(AG809="Fix3",0.03,0))))))</f>
        <v>3.7499999999999999E-2</v>
      </c>
      <c r="Z809" s="35">
        <f>T809-AA809-AB809</f>
        <v>5581.6</v>
      </c>
      <c r="AA809" s="29">
        <f>IF(AD809="EUR",((T809-R809)*X809)*U809+(R809*X809),(T809*X809))</f>
        <v>851.4</v>
      </c>
      <c r="AB809" s="104">
        <v>1135</v>
      </c>
      <c r="AC809" s="37" t="b">
        <v>1</v>
      </c>
      <c r="AD809" s="37" t="s">
        <v>38</v>
      </c>
      <c r="AE809" s="37" t="s">
        <v>38</v>
      </c>
      <c r="AF809" s="37" t="str">
        <f t="array" ref="AF809">INDEX('Deal Info'!D:D, MATCH(A809,'Deal Info'!A:A, 0))</f>
        <v>Fix11.25</v>
      </c>
      <c r="AG809" s="38" t="str">
        <f t="array" ref="AG809">INDEX('Deal Info'!G:G, MATCH(A809,'Deal Info'!A:A, 0))</f>
        <v>Fix3.75</v>
      </c>
    </row>
    <row r="810" spans="1:33" ht="14.25" hidden="1" x14ac:dyDescent="0.2">
      <c r="A810" s="18" t="str">
        <f t="array" ref="A810">IF(G810='Room Info'!$B$1, INDEX('Room Info'!$A$2:$A2446, MATCH(B810,'Room Info'!$B$2:$B2446, 0)),IF(G810='Room Info'!$C$1, INDEX('Room Info'!$A$2:$A2446, MATCH(B810,'Room Info'!$C$2:$C2446, 0)),IF(G810='Room Info'!$D$1, INDEX('Room Info'!$A$2:$A2446, MATCH(B810,'Room Info'!$D$2:$D2446, 0)),IF(G810='Room Info'!$E$1, INDEX('Room Info'!$A$2:$A2446, MATCH(B810,'Room Info'!$E$2:$E2446, 0)),IF(G810='Room Info'!$F$1, INDEX('Room Info'!$A$2:$A2446, MATCH(B810,'Room Info'!$F$2:$F2446, 0)),IF(G810='Room Info'!$H$1, INDEX('Room Info'!$A$2:$A2446, MATCH(B810,'Room Info'!$H$2:$H2446, 0)),IF(G810='Room Info'!$G$1, INDEX('Room Info'!$A$2:$A2446, MATCH(B810,'Room Info'!$G$2:$G2446, 0)))))))))</f>
        <v>fig6</v>
      </c>
      <c r="B810" s="45" t="s">
        <v>172</v>
      </c>
      <c r="C810" s="46">
        <v>44916</v>
      </c>
      <c r="D810" s="46">
        <v>44946</v>
      </c>
      <c r="E810" s="47">
        <v>44927</v>
      </c>
      <c r="F810" s="48" t="s">
        <v>41</v>
      </c>
      <c r="G810" s="45" t="s">
        <v>35</v>
      </c>
      <c r="H810" s="49" t="s">
        <v>173</v>
      </c>
      <c r="I810" s="23" t="s">
        <v>174</v>
      </c>
      <c r="J810" s="50">
        <v>100</v>
      </c>
      <c r="K810" s="51">
        <v>12</v>
      </c>
      <c r="L810" s="52">
        <v>566</v>
      </c>
      <c r="M810" s="53">
        <v>10</v>
      </c>
      <c r="N810" s="28">
        <f>K810*J810</f>
        <v>1200</v>
      </c>
      <c r="O810" s="65"/>
      <c r="P810" s="29">
        <v>0</v>
      </c>
      <c r="Q810" s="55"/>
      <c r="R810" s="31">
        <f>M810+Q810</f>
        <v>10</v>
      </c>
      <c r="S810" s="66"/>
      <c r="T810" s="32">
        <f>R810+S810+IF(F810="Without EV deal",L810,0)</f>
        <v>576</v>
      </c>
      <c r="U810" s="57">
        <v>1</v>
      </c>
      <c r="V810" s="58"/>
      <c r="W810" s="58"/>
      <c r="X810" s="30">
        <f>IF(AF810="DoEV",IF(AND(V810&lt;20,W810&lt;55),0.3,0)+IF(AND(V810&lt;20,W810&gt;=55,W810&lt;105),0.23,0)+IF(AND(V810&lt;20,W810&gt;=105),0.17,0)+IF(AND(V810&gt;=20,V810&lt;40,W810&lt;45),0.3,0)+IF(AND(V810&gt;=20,V810&lt;40,W810&gt;=45,W810&lt;95),0.23,0)+IF(AND(V810&gt;=20,V810&lt;40,W810&gt;=95),0.17,0)+IF(AND(V810&gt;=40,V810&lt;75,W810&lt;35),0.3,0)+IF(AND(V810&gt;=40,V810&lt;75,W810&gt;=35,W810&lt;75),0.23,0)+IF(AND(V810&gt;=40,V810&lt;75,W810&gt;=75,W810&lt;120),0.17,0)+IF(AND(V810&gt;=40,V810&lt;75,W810&gt;=120),0.12,0)+IF(AND(V810&gt;=75,V810&lt;175,W810&lt;35),0.3,0)+IF(AND(V810&gt;=75,V810&lt;=175,W810&gt;=35,W810&lt;65),0.23,0)+IF(AND(V810&gt;=75,V810&lt;=175,W810&gt;=65,W810&lt;110),0.17,0)+IF(AND(V810&gt;=75,V810&lt;=175,W810&gt;=110),0.12,0)+IF(AND(V810&gt;175,W810&lt;25),0.3,0)+IF(AND(V810&gt;175,W810&gt;=25,W810&lt;55),0.23,0)+IF(AND(V810&gt;175,W810&gt;=55,W810&lt;95),0.17,0)+IF(AND(V810&gt;175,W810&gt;=95),0.12,0),
IF(AF810="Fix15",0.15,
IF(AF810="Fix18.75",0.1875,
IF(AF810="Fix11.25",0.1125,
IF(AF810="Fix10",0.1,
IF(AF810="Fix9",0.09,
IF(AF810="Fix19",0.19,
IF(AF810="DoEV2017",IF(AND(W810&lt;74),0.2,0)+IF(AND(W810&gt;=74),0.17,0),
IF(AF810="SF",IF(AND(V810&lt;20,W810&lt;89),0.3,0)+IF(AND(V810&lt;20,W810&gt;=89),0.25,0)+IF(AND(V810&gt;=20,V810&lt;40,W810&lt;74),0.3,0)+IF(AND(V810&gt;=20,V810&lt;40,W810&gt;=75),0.22,0)+IF(AND(V810&gt;=40,V810&lt;75,W810&lt;75),0.26,0)+IF(AND(V810&gt;=40,V810&lt;75,W810&gt;=75),0.22,0)+IF(V810&gt;=75,0.22,0),
IF(AF810="DoEVold",IF(AND(V810&lt;40,W810&lt;35),0.35,0)+IF(AND(V810&lt;40,W810&gt;=35,W810&lt;75),0.25,0)+IF(AND(V810&lt;40,W810&gt;=75),0.17,0)+IF(AND(V810&gt;=40,V810&lt;75,W810&lt;25),0.35,0)+IF(AND(V810&gt;=40,V810&lt;75,W810&gt;=25,W810&lt;65),0.25,0)+IF(AND(V810&gt;=40,V810&lt;75,W810&gt;=65,W810&lt;100),0.17,0)+IF(AND(V810&gt;=40,V810&lt;75,W810&gt;=100),0.1,0)+IF(AND(V810&gt;=75,W810&lt;25),0.35,0)+IF(AND(V810&gt;=75,W810&gt;=25,W810&lt;60),0.25,0)+IF(AND(V810&gt;=75,W810&gt;=60,W810&lt;95),0.17,0)+IF(AND(V810&gt;=75,W810&gt;=95),0.1,0),
IF(AF810="DoEVold15",IF(AND(V810&lt;=40,W810&lt;35),0.35,0)+IF(AND(V810&lt;=40,W810&gt;=35,W810&lt;75),0.25,0)+IF(AND(V810&lt;=40,W810&gt;=75,W810&lt;120),0.17,0)+IF(AND(V810&lt;=40,W810&gt;=120),0.15,0)+IF(AND(V810&gt;40,V810&lt;75,W810&lt;25),0.35,0)+IF(AND(V810&gt;=40,V810&lt;75,W810&gt;=25,W810&lt;65),0.25,0)+IF(AND(V810&gt;=40,V810&lt;75,W810&gt;=65,W810&lt;100),0.17,0)+IF(AND(V810&gt;=40,V810&lt;75,W810&gt;=100),0.1,0)+IF(AND(V810&gt;=75,W810&lt;25),0.35,0)+IF(AND(V810&gt;=75,W810&gt;=25,W810&lt;60),0.25,0)+IF(AND(V810&gt;=75,W810&gt;=60,W810&lt;95),0.17,0)+IF(AND(V810&gt;=75,W810&gt;=95),0.1,0),
IF(AF810="DoEVba",IF(AND(V810&lt;20,W810&lt;105),0.2,0)+IF(AND(V810&lt;20,W810&gt;=105),0.15,0)+IF(AND(V810&gt;=20,V810&lt;40,W810&lt;95),0.2,0)+IF(AND(V810&gt;=20,V810&lt;40,W810&gt;=95,W810&lt;150),0.15,0)+IF(AND(V810&gt;=20,V810&lt;40,W810&gt;=150),0.12,0)+IF(AND(V810&gt;=40,V810&lt;75,W810&lt;75),0.2,0)+IF(AND(V810&gt;=40,V810&lt;75,W810&gt;=75,W810&lt;120),0.15,0)+IF(AND(V810&gt;=40,V810&lt;75,W810&gt;=120),0.12,0)+IF(AND(V810&gt;=75,V810&lt;175,W810&lt;65),0.2,0)+IF(AND(V810&gt;=75,V810&lt;175,W810&gt;=65,W810&lt;110),0.15,0)+IF(AND(V810&gt;=75,V810&lt;175,W810&gt;=110),0.12,0)+IF(AND(V810&gt;=175,W810&lt;55),0.2,0)+IF(AND(V810&gt;=175,W810&gt;=55,W810&lt;95),0.15,0)+IF(AND(V810&gt;=175,W810&gt;=95),0.12,0),
IF(AF810="DoEVku",IF(AND(V810&lt;20,W810&lt;55),0.23,0)+IF(AND(V810&lt;20,W810&gt;=55,W810&lt;105),0.2,0)+IF(AND(V810&lt;20,W810&gt;=105),0.17,0)+IF(AND(V810&gt;=20,V810&lt;40,W810&lt;45),0.23,0)+IF(AND(V810&gt;=20,V810&lt;40,W810&gt;=45,W810&lt;95),0.2,0)+IF(AND(V810&gt;=20,V810&lt;40,W810&gt;=95,W810&lt;=150),0.17,0)+IF(AND(V810&gt;=20,V810&lt;40,W810&gt;=150),0.12,0)+IF(AND(V810&gt;=40,V810&lt;75,W810&lt;35),0.23,0)+IF(AND(V810&gt;=40,V810&lt;75,W810&gt;=35,W810&lt;75),0.2,0)+IF(AND(V810&gt;=40,V810&lt;75,W810&gt;=75,W810&lt;120),0.17,0)+IF(AND(V810&gt;=40,V810&lt;75,W810&gt;=120),0.12,0)+IF(AND(V810&gt;=75,V810&lt;175,W810&lt;35),0.23,0)+IF(AND(V810&gt;=75,V810&lt;=175,W810&gt;=35,W810&lt;65),0.2,0)+IF(AND(V810&gt;=75,V810&lt;=175,W810&gt;=65,W810&lt;110),0.17,0)+IF(AND(V810&gt;=75,V810&lt;=175,W810&gt;=110),0.12,0)+IF(AND(V810&gt;175,W810&lt;25),0.23,0)+IF(AND(V810&gt;175,W810&gt;=25,W810&lt;55),0.2,0)+IF(AND(V810&gt;175,W810&gt;=55,W810&lt;95),0.17,0)+IF(AND(V810&gt;175,W810&gt;=95),0.12,0),
IF(AF810="DoEVs1",IF(AND(V810&lt;20,W810&lt;55),0.3,0)+IF(AND(V810&lt;20,W810&gt;=55,W810&lt;105),0.23,0)+IF(AND(V810&lt;20,W810&gt;=105),0.17,0)+IF(AND(V810&gt;=20,V810&lt;40,W810&lt;45),0.3,0)+IF(AND(V810&gt;=20,V810&lt;40,W810&gt;=45,W810&lt;95),0.23,0)+IF(AND(V810&gt;=20,V810&lt;40,W810&gt;=95,W810&lt;=150),0.17,0)+IF(AND(V810&gt;=20,V810&lt;40,W810&gt;=150),0.12,0)+IF(AND(V810&gt;=40,V810&lt;75,W810&lt;35),0.3,0)+IF(AND(V810&gt;=40,V810&lt;75,W810&gt;=35,W810&lt;75),0.23,0)+IF(AND(V810&gt;=40,V810&lt;75,W810&gt;=75,W810&lt;120),0.17,0)+IF(AND(V810&gt;=40,V810&lt;75,W810&gt;=120),0.12,0)+IF(AND(V810&gt;=75,V810&lt;175,W810&lt;35),0.3,0)+IF(AND(V810&gt;=75,V810&lt;=175,W810&gt;=35,W810&lt;65),0.23,0)+IF(AND(V810&gt;=75,V810&lt;=175,W810&gt;=65,W810&lt;110),0.17,0)+IF(AND(V810&gt;=75,V810&lt;=175,W810&gt;=110),0.12,0)+IF(AND(V810&gt;175,W810&lt;25),0.3,0)+IF(AND(V810&gt;175,W810&gt;=25,W810&lt;55),0.23,0)+IF(AND(V810&gt;175,W810&gt;=55,W810&lt;95),0.17,0)+IF(AND(V810&gt;175,W810&gt;=95),0.12,0),
IF(AF810="DoEVsu",IF(AND(V810&lt;20,W810&lt;55),0.3,0)+IF(AND(V810&lt;20,W810&gt;=55,W810&lt;105),0.23,0)+IF(AND(V810&lt;20,W810&gt;=105),0.17,0)+IF(AND(V810&gt;=20,V810&lt;40,W810&lt;45),0.3,0)+IF(AND(V810&gt;=20,V810&lt;40,W810&gt;=45,W810&lt;95),0.23,0)+IF(AND(V810&gt;=20,V810&lt;40,W810&gt;=95,W810&lt;=250),0.17,0)+IF(AND(V810&gt;=20,V810&lt;40,W810&gt;=250),0.12,0)+IF(AND(V810&gt;=40,V810&lt;75,W810&lt;35),0.3,0)+IF(AND(V810&gt;=40,V810&lt;75,W810&gt;=35,W810&lt;75),0.23,0)+IF(AND(V810&gt;=40,V810&lt;75,W810&gt;=75,W810&lt;120),0.17,0)+IF(AND(V810&gt;=40,V810&lt;75,W810&gt;=120),0.12,0)+IF(AND(V810&gt;=75,V810&lt;175,W810&lt;35),0.3,0)+IF(AND(V810&gt;=75,V810&lt;=175,W810&gt;=35,W810&lt;65),0.23,0)+IF(AND(V810&gt;=75,V810&lt;=175,W810&gt;=65,W810&lt;110),0.17,0)+IF(AND(V810&gt;=75,V810&lt;=175,W810&gt;=110),0.12,0)+IF(AND(V810&gt;175,W810&lt;25),0.3,0)+IF(AND(V810&gt;175,W810&gt;=25,W810&lt;55),0.23,0)+IF(AND(V810&gt;175,W810&gt;=55,W810&lt;95),0.17,0)+IF(AND(V810&gt;175,W810&gt;=95),0.12,0),
IF(AF810="DoEVni",IF(AND(V810&lt;20,W810&lt;55),0.3,0)+IF(AND(V810&lt;20,W810&gt;=55,W810&lt;105),0.23,0)+IF(AND(V810&lt;20,W810&gt;=105),0.17,0)+IF(AND(V810&gt;=20,V810&lt;40,W810&lt;45),0.3,0)+IF(AND(V810&gt;=20,V810&lt;40,W810&gt;=45,W810&lt;95),0.23,0)+IF(AND(V810&gt;=20,V810&lt;40,W810&gt;=95,W810&lt;=200),0.17,0)+IF(AND(V810&gt;=20,V810&lt;40,W810&gt;=200),0.12,0)+IF(AND(V810&gt;=40,V810&lt;75,W810&lt;35),0.3,0)+IF(AND(V810&gt;=40,V810&lt;75,W810&gt;=35,W810&lt;75),0.23,0)+IF(AND(V810&gt;=40,V810&lt;75,W810&gt;=75,W810&lt;120),0.17,0)+IF(AND(V810&gt;=40,V810&lt;75,W810&gt;=120),0.12,0)+IF(AND(V810&gt;=75,V810&lt;175,W810&lt;35),0.3,0)+IF(AND(V810&gt;=75,V810&lt;=175,W810&gt;=35,W810&lt;65),0.23,0)+IF(AND(V810&gt;=75,V810&lt;=175,W810&gt;=65,W810&lt;110),0.17,0)+IF(AND(V810&gt;=75,V810&lt;=175,W810&gt;=110),0.12,0)+IF(AND(V810&gt;175,W810&lt;25),0.3,0)+IF(AND(V810&gt;175,W810&gt;=25,W810&lt;55),0.23,0)+IF(AND(V810&gt;175,W810&gt;=55,W810&lt;95),0.17,0)+IF(AND(V810&gt;175,W810&gt;=95),0.12,0),
IF(AF810="DoEVLo",IF(AND(V810&lt;20,W810&lt;55),0.25,0)+IF(AND(V810&lt;20,W810&gt;=55,W810&lt;105),0.2,0)+IF(AND(V810&lt;20,W810&gt;=105),0.15,0)+IF(AND(V810&gt;=20,V810&lt;40,W810&lt;45),0.25,0)+IF(AND(V810&gt;=20,V810&lt;40,W810&gt;=45,W810&lt;95),0.2,0)+IF(AND(V810&gt;=20,V810&lt;40,W810&gt;=95),0.15,0)+IF(AND(V810&gt;=40,V810&lt;75,W810&lt;35),0.25,0)+IF(AND(V810&gt;=40,V810&lt;75,W810&gt;=35,W810&lt;75),0.2,0)+IF(AND(V810&gt;=40,V810&lt;75,W810&gt;=75,W810&lt;120),0.15,0)+IF(AND(V810&gt;=40,V810&lt;75,W810&gt;=120),0.1,0)+IF(AND(V810&gt;=75,V810&lt;175,W810&lt;35),0.25,0)+IF(AND(V810&gt;=75,V810&lt;=175,W810&gt;=35,W810&lt;65),0.2,0)+IF(AND(V810&gt;=75,V810&lt;=175,W810&gt;=65,W810&lt;110),0.15,0)+IF(AND(V810&gt;=75,V810&lt;=175,W810&gt;=110),0.1,0)+IF(AND(V810&gt;175,W810&lt;25),0.25,0)+IF(AND(V810&gt;175,W810&gt;=25,W810&lt;55),0.2,0)+IF(AND(V810&gt;175,W810&gt;=55,W810&lt;95),0.15,0)+IF(AND(V810&gt;175,W810&gt;=95),0.1,0))))))))))))))))))</f>
        <v>0.1125</v>
      </c>
      <c r="Y810" s="30">
        <f>IF(AG810="None",0,IF(AG810="Fix5",0.05, IF(AG810="Fix6.25",0.0625,IF(AG810="Fix3.75",0.0375,IF(AG810="Fix10",0.1,IF(AG810="Fix3",0.03,0))))))</f>
        <v>3.7499999999999999E-2</v>
      </c>
      <c r="Z810" s="35">
        <f>T810-AA810-AB810</f>
        <v>425.2</v>
      </c>
      <c r="AA810" s="29">
        <f>IF(AD810="EUR",((T810-R810)*X810)*U810+(R810*X810),(T810*X810))</f>
        <v>64.8</v>
      </c>
      <c r="AB810" s="104">
        <v>86</v>
      </c>
      <c r="AC810" s="37" t="b">
        <v>1</v>
      </c>
      <c r="AD810" s="37" t="s">
        <v>38</v>
      </c>
      <c r="AE810" s="37" t="s">
        <v>38</v>
      </c>
      <c r="AF810" s="37" t="str">
        <f t="array" ref="AF810">INDEX('Deal Info'!D:D, MATCH(A810,'Deal Info'!A:A, 0))</f>
        <v>Fix11.25</v>
      </c>
      <c r="AG810" s="38" t="str">
        <f t="array" ref="AG810">INDEX('Deal Info'!G:G, MATCH(A810,'Deal Info'!A:A, 0))</f>
        <v>Fix3.75</v>
      </c>
    </row>
    <row r="811" spans="1:33" ht="14.25" hidden="1" x14ac:dyDescent="0.2">
      <c r="A811" s="18" t="str">
        <f t="array" ref="A811">IF(G811='Room Info'!$B$1, INDEX('Room Info'!$A$2:$A2446, MATCH(B811,'Room Info'!$B$2:$B2446, 0)),IF(G811='Room Info'!$C$1, INDEX('Room Info'!$A$2:$A2446, MATCH(B811,'Room Info'!$C$2:$C2446, 0)),IF(G811='Room Info'!$D$1, INDEX('Room Info'!$A$2:$A2446, MATCH(B811,'Room Info'!$D$2:$D2446, 0)),IF(G811='Room Info'!$E$1, INDEX('Room Info'!$A$2:$A2446, MATCH(B811,'Room Info'!$E$2:$E2446, 0)),IF(G811='Room Info'!$F$1, INDEX('Room Info'!$A$2:$A2446, MATCH(B811,'Room Info'!$F$2:$F2446, 0)),IF(G811='Room Info'!$H$1, INDEX('Room Info'!$A$2:$A2446, MATCH(B811,'Room Info'!$H$2:$H2446, 0)),IF(G811='Room Info'!$G$1, INDEX('Room Info'!$A$2:$A2446, MATCH(B811,'Room Info'!$G$2:$G2446, 0)))))))))</f>
        <v>fig6</v>
      </c>
      <c r="B811" s="45" t="s">
        <v>172</v>
      </c>
      <c r="C811" s="46">
        <v>44916</v>
      </c>
      <c r="D811" s="46">
        <v>44946</v>
      </c>
      <c r="E811" s="47">
        <v>44927</v>
      </c>
      <c r="F811" s="48" t="s">
        <v>41</v>
      </c>
      <c r="G811" s="45" t="s">
        <v>35</v>
      </c>
      <c r="H811" s="49" t="s">
        <v>39</v>
      </c>
      <c r="I811" s="49" t="s">
        <v>37</v>
      </c>
      <c r="J811" s="50">
        <v>5</v>
      </c>
      <c r="K811" s="51">
        <v>7</v>
      </c>
      <c r="L811" s="52">
        <v>25</v>
      </c>
      <c r="M811" s="53">
        <v>1</v>
      </c>
      <c r="N811" s="28">
        <f>K811*J811</f>
        <v>35</v>
      </c>
      <c r="O811" s="65"/>
      <c r="P811" s="29">
        <v>0</v>
      </c>
      <c r="Q811" s="55"/>
      <c r="R811" s="31">
        <f>M811+Q811</f>
        <v>1</v>
      </c>
      <c r="S811" s="66"/>
      <c r="T811" s="32">
        <f>R811+S811+IF(F811="Without EV deal",L811,0)</f>
        <v>26</v>
      </c>
      <c r="U811" s="57">
        <v>1</v>
      </c>
      <c r="V811" s="58"/>
      <c r="W811" s="58"/>
      <c r="X811" s="30">
        <f>IF(AF811="DoEV",IF(AND(V811&lt;20,W811&lt;55),0.3,0)+IF(AND(V811&lt;20,W811&gt;=55,W811&lt;105),0.23,0)+IF(AND(V811&lt;20,W811&gt;=105),0.17,0)+IF(AND(V811&gt;=20,V811&lt;40,W811&lt;45),0.3,0)+IF(AND(V811&gt;=20,V811&lt;40,W811&gt;=45,W811&lt;95),0.23,0)+IF(AND(V811&gt;=20,V811&lt;40,W811&gt;=95),0.17,0)+IF(AND(V811&gt;=40,V811&lt;75,W811&lt;35),0.3,0)+IF(AND(V811&gt;=40,V811&lt;75,W811&gt;=35,W811&lt;75),0.23,0)+IF(AND(V811&gt;=40,V811&lt;75,W811&gt;=75,W811&lt;120),0.17,0)+IF(AND(V811&gt;=40,V811&lt;75,W811&gt;=120),0.12,0)+IF(AND(V811&gt;=75,V811&lt;175,W811&lt;35),0.3,0)+IF(AND(V811&gt;=75,V811&lt;=175,W811&gt;=35,W811&lt;65),0.23,0)+IF(AND(V811&gt;=75,V811&lt;=175,W811&gt;=65,W811&lt;110),0.17,0)+IF(AND(V811&gt;=75,V811&lt;=175,W811&gt;=110),0.12,0)+IF(AND(V811&gt;175,W811&lt;25),0.3,0)+IF(AND(V811&gt;175,W811&gt;=25,W811&lt;55),0.23,0)+IF(AND(V811&gt;175,W811&gt;=55,W811&lt;95),0.17,0)+IF(AND(V811&gt;175,W811&gt;=95),0.12,0),
IF(AF811="Fix15",0.15,
IF(AF811="Fix18.75",0.1875,
IF(AF811="Fix11.25",0.1125,
IF(AF811="Fix10",0.1,
IF(AF811="Fix9",0.09,
IF(AF811="Fix19",0.19,
IF(AF811="DoEV2017",IF(AND(W811&lt;74),0.2,0)+IF(AND(W811&gt;=74),0.17,0),
IF(AF811="SF",IF(AND(V811&lt;20,W811&lt;89),0.3,0)+IF(AND(V811&lt;20,W811&gt;=89),0.25,0)+IF(AND(V811&gt;=20,V811&lt;40,W811&lt;74),0.3,0)+IF(AND(V811&gt;=20,V811&lt;40,W811&gt;=75),0.22,0)+IF(AND(V811&gt;=40,V811&lt;75,W811&lt;75),0.26,0)+IF(AND(V811&gt;=40,V811&lt;75,W811&gt;=75),0.22,0)+IF(V811&gt;=75,0.22,0),
IF(AF811="DoEVold",IF(AND(V811&lt;40,W811&lt;35),0.35,0)+IF(AND(V811&lt;40,W811&gt;=35,W811&lt;75),0.25,0)+IF(AND(V811&lt;40,W811&gt;=75),0.17,0)+IF(AND(V811&gt;=40,V811&lt;75,W811&lt;25),0.35,0)+IF(AND(V811&gt;=40,V811&lt;75,W811&gt;=25,W811&lt;65),0.25,0)+IF(AND(V811&gt;=40,V811&lt;75,W811&gt;=65,W811&lt;100),0.17,0)+IF(AND(V811&gt;=40,V811&lt;75,W811&gt;=100),0.1,0)+IF(AND(V811&gt;=75,W811&lt;25),0.35,0)+IF(AND(V811&gt;=75,W811&gt;=25,W811&lt;60),0.25,0)+IF(AND(V811&gt;=75,W811&gt;=60,W811&lt;95),0.17,0)+IF(AND(V811&gt;=75,W811&gt;=95),0.1,0),
IF(AF811="DoEVold15",IF(AND(V811&lt;=40,W811&lt;35),0.35,0)+IF(AND(V811&lt;=40,W811&gt;=35,W811&lt;75),0.25,0)+IF(AND(V811&lt;=40,W811&gt;=75,W811&lt;120),0.17,0)+IF(AND(V811&lt;=40,W811&gt;=120),0.15,0)+IF(AND(V811&gt;40,V811&lt;75,W811&lt;25),0.35,0)+IF(AND(V811&gt;=40,V811&lt;75,W811&gt;=25,W811&lt;65),0.25,0)+IF(AND(V811&gt;=40,V811&lt;75,W811&gt;=65,W811&lt;100),0.17,0)+IF(AND(V811&gt;=40,V811&lt;75,W811&gt;=100),0.1,0)+IF(AND(V811&gt;=75,W811&lt;25),0.35,0)+IF(AND(V811&gt;=75,W811&gt;=25,W811&lt;60),0.25,0)+IF(AND(V811&gt;=75,W811&gt;=60,W811&lt;95),0.17,0)+IF(AND(V811&gt;=75,W811&gt;=95),0.1,0),
IF(AF811="DoEVba",IF(AND(V811&lt;20,W811&lt;105),0.2,0)+IF(AND(V811&lt;20,W811&gt;=105),0.15,0)+IF(AND(V811&gt;=20,V811&lt;40,W811&lt;95),0.2,0)+IF(AND(V811&gt;=20,V811&lt;40,W811&gt;=95,W811&lt;150),0.15,0)+IF(AND(V811&gt;=20,V811&lt;40,W811&gt;=150),0.12,0)+IF(AND(V811&gt;=40,V811&lt;75,W811&lt;75),0.2,0)+IF(AND(V811&gt;=40,V811&lt;75,W811&gt;=75,W811&lt;120),0.15,0)+IF(AND(V811&gt;=40,V811&lt;75,W811&gt;=120),0.12,0)+IF(AND(V811&gt;=75,V811&lt;175,W811&lt;65),0.2,0)+IF(AND(V811&gt;=75,V811&lt;175,W811&gt;=65,W811&lt;110),0.15,0)+IF(AND(V811&gt;=75,V811&lt;175,W811&gt;=110),0.12,0)+IF(AND(V811&gt;=175,W811&lt;55),0.2,0)+IF(AND(V811&gt;=175,W811&gt;=55,W811&lt;95),0.15,0)+IF(AND(V811&gt;=175,W811&gt;=95),0.12,0),
IF(AF811="DoEVku",IF(AND(V811&lt;20,W811&lt;55),0.23,0)+IF(AND(V811&lt;20,W811&gt;=55,W811&lt;105),0.2,0)+IF(AND(V811&lt;20,W811&gt;=105),0.17,0)+IF(AND(V811&gt;=20,V811&lt;40,W811&lt;45),0.23,0)+IF(AND(V811&gt;=20,V811&lt;40,W811&gt;=45,W811&lt;95),0.2,0)+IF(AND(V811&gt;=20,V811&lt;40,W811&gt;=95,W811&lt;=150),0.17,0)+IF(AND(V811&gt;=20,V811&lt;40,W811&gt;=150),0.12,0)+IF(AND(V811&gt;=40,V811&lt;75,W811&lt;35),0.23,0)+IF(AND(V811&gt;=40,V811&lt;75,W811&gt;=35,W811&lt;75),0.2,0)+IF(AND(V811&gt;=40,V811&lt;75,W811&gt;=75,W811&lt;120),0.17,0)+IF(AND(V811&gt;=40,V811&lt;75,W811&gt;=120),0.12,0)+IF(AND(V811&gt;=75,V811&lt;175,W811&lt;35),0.23,0)+IF(AND(V811&gt;=75,V811&lt;=175,W811&gt;=35,W811&lt;65),0.2,0)+IF(AND(V811&gt;=75,V811&lt;=175,W811&gt;=65,W811&lt;110),0.17,0)+IF(AND(V811&gt;=75,V811&lt;=175,W811&gt;=110),0.12,0)+IF(AND(V811&gt;175,W811&lt;25),0.23,0)+IF(AND(V811&gt;175,W811&gt;=25,W811&lt;55),0.2,0)+IF(AND(V811&gt;175,W811&gt;=55,W811&lt;95),0.17,0)+IF(AND(V811&gt;175,W811&gt;=95),0.12,0),
IF(AF811="DoEVs1",IF(AND(V811&lt;20,W811&lt;55),0.3,0)+IF(AND(V811&lt;20,W811&gt;=55,W811&lt;105),0.23,0)+IF(AND(V811&lt;20,W811&gt;=105),0.17,0)+IF(AND(V811&gt;=20,V811&lt;40,W811&lt;45),0.3,0)+IF(AND(V811&gt;=20,V811&lt;40,W811&gt;=45,W811&lt;95),0.23,0)+IF(AND(V811&gt;=20,V811&lt;40,W811&gt;=95,W811&lt;=150),0.17,0)+IF(AND(V811&gt;=20,V811&lt;40,W811&gt;=150),0.12,0)+IF(AND(V811&gt;=40,V811&lt;75,W811&lt;35),0.3,0)+IF(AND(V811&gt;=40,V811&lt;75,W811&gt;=35,W811&lt;75),0.23,0)+IF(AND(V811&gt;=40,V811&lt;75,W811&gt;=75,W811&lt;120),0.17,0)+IF(AND(V811&gt;=40,V811&lt;75,W811&gt;=120),0.12,0)+IF(AND(V811&gt;=75,V811&lt;175,W811&lt;35),0.3,0)+IF(AND(V811&gt;=75,V811&lt;=175,W811&gt;=35,W811&lt;65),0.23,0)+IF(AND(V811&gt;=75,V811&lt;=175,W811&gt;=65,W811&lt;110),0.17,0)+IF(AND(V811&gt;=75,V811&lt;=175,W811&gt;=110),0.12,0)+IF(AND(V811&gt;175,W811&lt;25),0.3,0)+IF(AND(V811&gt;175,W811&gt;=25,W811&lt;55),0.23,0)+IF(AND(V811&gt;175,W811&gt;=55,W811&lt;95),0.17,0)+IF(AND(V811&gt;175,W811&gt;=95),0.12,0),
IF(AF811="DoEVsu",IF(AND(V811&lt;20,W811&lt;55),0.3,0)+IF(AND(V811&lt;20,W811&gt;=55,W811&lt;105),0.23,0)+IF(AND(V811&lt;20,W811&gt;=105),0.17,0)+IF(AND(V811&gt;=20,V811&lt;40,W811&lt;45),0.3,0)+IF(AND(V811&gt;=20,V811&lt;40,W811&gt;=45,W811&lt;95),0.23,0)+IF(AND(V811&gt;=20,V811&lt;40,W811&gt;=95,W811&lt;=250),0.17,0)+IF(AND(V811&gt;=20,V811&lt;40,W811&gt;=250),0.12,0)+IF(AND(V811&gt;=40,V811&lt;75,W811&lt;35),0.3,0)+IF(AND(V811&gt;=40,V811&lt;75,W811&gt;=35,W811&lt;75),0.23,0)+IF(AND(V811&gt;=40,V811&lt;75,W811&gt;=75,W811&lt;120),0.17,0)+IF(AND(V811&gt;=40,V811&lt;75,W811&gt;=120),0.12,0)+IF(AND(V811&gt;=75,V811&lt;175,W811&lt;35),0.3,0)+IF(AND(V811&gt;=75,V811&lt;=175,W811&gt;=35,W811&lt;65),0.23,0)+IF(AND(V811&gt;=75,V811&lt;=175,W811&gt;=65,W811&lt;110),0.17,0)+IF(AND(V811&gt;=75,V811&lt;=175,W811&gt;=110),0.12,0)+IF(AND(V811&gt;175,W811&lt;25),0.3,0)+IF(AND(V811&gt;175,W811&gt;=25,W811&lt;55),0.23,0)+IF(AND(V811&gt;175,W811&gt;=55,W811&lt;95),0.17,0)+IF(AND(V811&gt;175,W811&gt;=95),0.12,0),
IF(AF811="DoEVni",IF(AND(V811&lt;20,W811&lt;55),0.3,0)+IF(AND(V811&lt;20,W811&gt;=55,W811&lt;105),0.23,0)+IF(AND(V811&lt;20,W811&gt;=105),0.17,0)+IF(AND(V811&gt;=20,V811&lt;40,W811&lt;45),0.3,0)+IF(AND(V811&gt;=20,V811&lt;40,W811&gt;=45,W811&lt;95),0.23,0)+IF(AND(V811&gt;=20,V811&lt;40,W811&gt;=95,W811&lt;=200),0.17,0)+IF(AND(V811&gt;=20,V811&lt;40,W811&gt;=200),0.12,0)+IF(AND(V811&gt;=40,V811&lt;75,W811&lt;35),0.3,0)+IF(AND(V811&gt;=40,V811&lt;75,W811&gt;=35,W811&lt;75),0.23,0)+IF(AND(V811&gt;=40,V811&lt;75,W811&gt;=75,W811&lt;120),0.17,0)+IF(AND(V811&gt;=40,V811&lt;75,W811&gt;=120),0.12,0)+IF(AND(V811&gt;=75,V811&lt;175,W811&lt;35),0.3,0)+IF(AND(V811&gt;=75,V811&lt;=175,W811&gt;=35,W811&lt;65),0.23,0)+IF(AND(V811&gt;=75,V811&lt;=175,W811&gt;=65,W811&lt;110),0.17,0)+IF(AND(V811&gt;=75,V811&lt;=175,W811&gt;=110),0.12,0)+IF(AND(V811&gt;175,W811&lt;25),0.3,0)+IF(AND(V811&gt;175,W811&gt;=25,W811&lt;55),0.23,0)+IF(AND(V811&gt;175,W811&gt;=55,W811&lt;95),0.17,0)+IF(AND(V811&gt;175,W811&gt;=95),0.12,0),
IF(AF811="DoEVLo",IF(AND(V811&lt;20,W811&lt;55),0.25,0)+IF(AND(V811&lt;20,W811&gt;=55,W811&lt;105),0.2,0)+IF(AND(V811&lt;20,W811&gt;=105),0.15,0)+IF(AND(V811&gt;=20,V811&lt;40,W811&lt;45),0.25,0)+IF(AND(V811&gt;=20,V811&lt;40,W811&gt;=45,W811&lt;95),0.2,0)+IF(AND(V811&gt;=20,V811&lt;40,W811&gt;=95),0.15,0)+IF(AND(V811&gt;=40,V811&lt;75,W811&lt;35),0.25,0)+IF(AND(V811&gt;=40,V811&lt;75,W811&gt;=35,W811&lt;75),0.2,0)+IF(AND(V811&gt;=40,V811&lt;75,W811&gt;=75,W811&lt;120),0.15,0)+IF(AND(V811&gt;=40,V811&lt;75,W811&gt;=120),0.1,0)+IF(AND(V811&gt;=75,V811&lt;175,W811&lt;35),0.25,0)+IF(AND(V811&gt;=75,V811&lt;=175,W811&gt;=35,W811&lt;65),0.2,0)+IF(AND(V811&gt;=75,V811&lt;=175,W811&gt;=65,W811&lt;110),0.15,0)+IF(AND(V811&gt;=75,V811&lt;=175,W811&gt;=110),0.1,0)+IF(AND(V811&gt;175,W811&lt;25),0.25,0)+IF(AND(V811&gt;175,W811&gt;=25,W811&lt;55),0.2,0)+IF(AND(V811&gt;175,W811&gt;=55,W811&lt;95),0.15,0)+IF(AND(V811&gt;175,W811&gt;=95),0.1,0))))))))))))))))))</f>
        <v>0.1125</v>
      </c>
      <c r="Y811" s="30">
        <f>IF(AG811="None",0,IF(AG811="Fix5",0.05, IF(AG811="Fix6.25",0.0625,IF(AG811="Fix3.75",0.0375,IF(AG811="Fix10",0.1,IF(AG811="Fix3",0.03,0))))))</f>
        <v>3.7499999999999999E-2</v>
      </c>
      <c r="Z811" s="35">
        <f>T811-AA811-AB811</f>
        <v>19.074999999999999</v>
      </c>
      <c r="AA811" s="29">
        <f>IF(AD811="EUR",((T811-R811)*X811)*U811+(R811*X811),(T811*X811))</f>
        <v>2.9250000000000003</v>
      </c>
      <c r="AB811" s="104">
        <v>4</v>
      </c>
      <c r="AC811" s="37" t="b">
        <v>1</v>
      </c>
      <c r="AD811" s="37" t="s">
        <v>38</v>
      </c>
      <c r="AE811" s="37" t="s">
        <v>38</v>
      </c>
      <c r="AF811" s="37" t="str">
        <f t="array" ref="AF811">INDEX('Deal Info'!D:D, MATCH(A811,'Deal Info'!A:A, 0))</f>
        <v>Fix11.25</v>
      </c>
      <c r="AG811" s="38" t="str">
        <f t="array" ref="AG811">INDEX('Deal Info'!G:G, MATCH(A811,'Deal Info'!A:A, 0))</f>
        <v>Fix3.75</v>
      </c>
    </row>
    <row r="812" spans="1:33" ht="14.25" hidden="1" x14ac:dyDescent="0.2">
      <c r="A812" s="18" t="str">
        <f t="array" ref="A812">IF(G812='Room Info'!$B$1, INDEX('Room Info'!$A$2:$A2446, MATCH(B812,'Room Info'!$B$2:$B2446, 0)),IF(G812='Room Info'!$C$1, INDEX('Room Info'!$A$2:$A2446, MATCH(B812,'Room Info'!$C$2:$C2446, 0)),IF(G812='Room Info'!$D$1, INDEX('Room Info'!$A$2:$A2446, MATCH(B812,'Room Info'!$D$2:$D2446, 0)),IF(G812='Room Info'!$E$1, INDEX('Room Info'!$A$2:$A2446, MATCH(B812,'Room Info'!$E$2:$E2446, 0)),IF(G812='Room Info'!$F$1, INDEX('Room Info'!$A$2:$A2446, MATCH(B812,'Room Info'!$F$2:$F2446, 0)),IF(G812='Room Info'!$H$1, INDEX('Room Info'!$A$2:$A2446, MATCH(B812,'Room Info'!$H$2:$H2446, 0)),IF(G812='Room Info'!$G$1, INDEX('Room Info'!$A$2:$A2446, MATCH(B812,'Room Info'!$G$2:$G2446, 0)))))))))</f>
        <v>kttweek1</v>
      </c>
      <c r="B812" s="45" t="s">
        <v>175</v>
      </c>
      <c r="C812" s="46">
        <v>44440</v>
      </c>
      <c r="D812" s="46">
        <v>44469</v>
      </c>
      <c r="E812" s="47">
        <v>44440</v>
      </c>
      <c r="F812" s="48" t="s">
        <v>49</v>
      </c>
      <c r="G812" s="45" t="s">
        <v>35</v>
      </c>
      <c r="H812" s="49" t="s">
        <v>86</v>
      </c>
      <c r="I812" s="49" t="s">
        <v>37</v>
      </c>
      <c r="J812" s="50">
        <v>5</v>
      </c>
      <c r="K812" s="51">
        <v>2</v>
      </c>
      <c r="L812" s="52">
        <v>15</v>
      </c>
      <c r="M812" s="62"/>
      <c r="N812" s="28">
        <f>K812*J812</f>
        <v>10</v>
      </c>
      <c r="O812" s="54">
        <v>1286</v>
      </c>
      <c r="P812" s="29">
        <v>643</v>
      </c>
      <c r="Q812" s="55"/>
      <c r="R812" s="31">
        <f>M812+Q812</f>
        <v>0</v>
      </c>
      <c r="S812" s="56">
        <v>11</v>
      </c>
      <c r="T812" s="32">
        <f>R812+S812+IF(F812="Without EV deal",L812,0)</f>
        <v>11</v>
      </c>
      <c r="U812" s="57">
        <v>1</v>
      </c>
      <c r="V812" s="58"/>
      <c r="W812" s="58"/>
      <c r="X812" s="78">
        <v>0.17</v>
      </c>
      <c r="Y812" s="30">
        <f>IF(AG812="None",0,IF(AG812="Fix5",0.05, IF(AG812="Fix6.25",0.0625,IF(AG812="Fix3.75",0.0375,IF(AG812="Fix10",0.1,IF(AG812="Fix3",0.03,0))))))</f>
        <v>0</v>
      </c>
      <c r="Z812" s="35">
        <f>T812-AA812-AB812</f>
        <v>9.129999999999999</v>
      </c>
      <c r="AA812" s="29">
        <f>IF(AD812="EUR",((T812-R812)*X812)*U812+(R812*X812),(T812*X812))</f>
        <v>1.87</v>
      </c>
      <c r="AB812" s="36">
        <f>IF(AD812="EUR",((T812-R812)*Y812)*U812+(R812*Y812),(T812*Y812))</f>
        <v>0</v>
      </c>
      <c r="AC812" s="37" t="b">
        <v>1</v>
      </c>
      <c r="AD812" s="37" t="s">
        <v>38</v>
      </c>
      <c r="AE812" s="37" t="s">
        <v>38</v>
      </c>
      <c r="AF812" s="37" t="str">
        <f t="array" ref="AF812">INDEX('Deal Info'!D:D, MATCH(A812,'Deal Info'!A:A, 0))</f>
        <v>DoEVold</v>
      </c>
      <c r="AG812" s="38" t="str">
        <f t="array" ref="AG812">INDEX('Deal Info'!G:G, MATCH(A812,'Deal Info'!A:A, 0))</f>
        <v>None</v>
      </c>
    </row>
    <row r="813" spans="1:33" ht="14.25" hidden="1" x14ac:dyDescent="0.2">
      <c r="A813" s="18" t="str">
        <f t="array" ref="A813">IF(G813='Room Info'!$B$1, INDEX('Room Info'!$A$2:$A2446, MATCH(B813,'Room Info'!$B$2:$B2446, 0)),IF(G813='Room Info'!$C$1, INDEX('Room Info'!$A$2:$A2446, MATCH(B813,'Room Info'!$C$2:$C2446, 0)),IF(G813='Room Info'!$D$1, INDEX('Room Info'!$A$2:$A2446, MATCH(B813,'Room Info'!$D$2:$D2446, 0)),IF(G813='Room Info'!$E$1, INDEX('Room Info'!$A$2:$A2446, MATCH(B813,'Room Info'!$E$2:$E2446, 0)),IF(G813='Room Info'!$F$1, INDEX('Room Info'!$A$2:$A2446, MATCH(B813,'Room Info'!$F$2:$F2446, 0)),IF(G813='Room Info'!$H$1, INDEX('Room Info'!$A$2:$A2446, MATCH(B813,'Room Info'!$H$2:$H2446, 0)),IF(G813='Room Info'!$G$1, INDEX('Room Info'!$A$2:$A2446, MATCH(B813,'Room Info'!$G$2:$G2446, 0)))))))))</f>
        <v>kttweek1</v>
      </c>
      <c r="B813" s="45" t="s">
        <v>175</v>
      </c>
      <c r="C813" s="77">
        <v>44440</v>
      </c>
      <c r="D813" s="77">
        <v>44469</v>
      </c>
      <c r="E813" s="47">
        <v>44440</v>
      </c>
      <c r="F813" s="48" t="s">
        <v>49</v>
      </c>
      <c r="G813" s="45" t="s">
        <v>35</v>
      </c>
      <c r="H813" s="49" t="s">
        <v>40</v>
      </c>
      <c r="I813" s="49" t="s">
        <v>37</v>
      </c>
      <c r="J813" s="74">
        <v>10</v>
      </c>
      <c r="K813" s="75">
        <v>73</v>
      </c>
      <c r="L813" s="72">
        <v>-50</v>
      </c>
      <c r="M813" s="76">
        <v>30</v>
      </c>
      <c r="N813" s="28">
        <f>K813*J813</f>
        <v>730</v>
      </c>
      <c r="O813" s="45">
        <v>2578</v>
      </c>
      <c r="P813" s="29">
        <v>35.315068490000002</v>
      </c>
      <c r="Q813" s="55"/>
      <c r="R813" s="31">
        <f>M813+Q813</f>
        <v>30</v>
      </c>
      <c r="S813" s="73">
        <v>-6</v>
      </c>
      <c r="T813" s="32">
        <f>R813+S813+IF(F813="Without EV deal",L813,0)</f>
        <v>24</v>
      </c>
      <c r="U813" s="57">
        <v>1</v>
      </c>
      <c r="V813" s="58"/>
      <c r="W813" s="58"/>
      <c r="X813" s="78">
        <v>0.17</v>
      </c>
      <c r="Y813" s="30">
        <f>IF(AG813="None",0,IF(AG813="Fix5",0.05, IF(AG813="Fix6.25",0.0625,IF(AG813="Fix3.75",0.0375,IF(AG813="Fix10",0.1,IF(AG813="Fix3",0.03,0))))))</f>
        <v>0</v>
      </c>
      <c r="Z813" s="35">
        <f>T813-AA813-AB813</f>
        <v>19.920000000000002</v>
      </c>
      <c r="AA813" s="29">
        <f>IF(AD813="EUR",((T813-R813)*X813)*U813+(R813*X813),(T813*X813))</f>
        <v>4.08</v>
      </c>
      <c r="AB813" s="36">
        <f>IF(AD813="EUR",((T813-R813)*Y813)*U813+(R813*Y813),(T813*Y813))</f>
        <v>0</v>
      </c>
      <c r="AC813" s="37" t="b">
        <v>1</v>
      </c>
      <c r="AD813" s="37" t="s">
        <v>38</v>
      </c>
      <c r="AE813" s="37" t="s">
        <v>38</v>
      </c>
      <c r="AF813" s="37" t="str">
        <f t="array" ref="AF813">INDEX('Deal Info'!D:D, MATCH(A813,'Deal Info'!A:A, 0))</f>
        <v>DoEVold</v>
      </c>
      <c r="AG813" s="38" t="str">
        <f t="array" ref="AG813">INDEX('Deal Info'!G:G, MATCH(A813,'Deal Info'!A:A, 0))</f>
        <v>None</v>
      </c>
    </row>
    <row r="814" spans="1:33" ht="14.25" hidden="1" x14ac:dyDescent="0.2">
      <c r="A814" s="18" t="str">
        <f t="array" ref="A814">IF(G814='Room Info'!$B$1, INDEX('Room Info'!$A$2:$A2446, MATCH(B814,'Room Info'!$B$2:$B2446, 0)),IF(G814='Room Info'!$C$1, INDEX('Room Info'!$A$2:$A2446, MATCH(B814,'Room Info'!$C$2:$C2446, 0)),IF(G814='Room Info'!$D$1, INDEX('Room Info'!$A$2:$A2446, MATCH(B814,'Room Info'!$D$2:$D2446, 0)),IF(G814='Room Info'!$E$1, INDEX('Room Info'!$A$2:$A2446, MATCH(B814,'Room Info'!$E$2:$E2446, 0)),IF(G814='Room Info'!$F$1, INDEX('Room Info'!$A$2:$A2446, MATCH(B814,'Room Info'!$F$2:$F2446, 0)),IF(G814='Room Info'!$H$1, INDEX('Room Info'!$A$2:$A2446, MATCH(B814,'Room Info'!$H$2:$H2446, 0)),IF(G814='Room Info'!$G$1, INDEX('Room Info'!$A$2:$A2446, MATCH(B814,'Room Info'!$G$2:$G2446, 0)))))))))</f>
        <v>kttweek1</v>
      </c>
      <c r="B814" s="45" t="s">
        <v>175</v>
      </c>
      <c r="C814" s="77">
        <v>44440</v>
      </c>
      <c r="D814" s="77">
        <v>44469</v>
      </c>
      <c r="E814" s="47">
        <v>44440</v>
      </c>
      <c r="F814" s="48" t="s">
        <v>49</v>
      </c>
      <c r="G814" s="45" t="s">
        <v>35</v>
      </c>
      <c r="H814" s="49" t="s">
        <v>46</v>
      </c>
      <c r="I814" s="49" t="s">
        <v>37</v>
      </c>
      <c r="J814" s="74">
        <v>25</v>
      </c>
      <c r="K814" s="75">
        <v>2804</v>
      </c>
      <c r="L814" s="72">
        <v>2925</v>
      </c>
      <c r="M814" s="76">
        <v>2441</v>
      </c>
      <c r="N814" s="28">
        <f>K814*J814</f>
        <v>70100</v>
      </c>
      <c r="O814" s="45">
        <v>114153</v>
      </c>
      <c r="P814" s="29">
        <v>40.710770330000003</v>
      </c>
      <c r="Q814" s="55"/>
      <c r="R814" s="31">
        <f>M814+Q814</f>
        <v>2441</v>
      </c>
      <c r="S814" s="73">
        <v>933</v>
      </c>
      <c r="T814" s="32">
        <f>R814+S814+IF(F814="Without EV deal",L814,0)</f>
        <v>3374</v>
      </c>
      <c r="U814" s="57">
        <v>1</v>
      </c>
      <c r="V814" s="58"/>
      <c r="W814" s="58"/>
      <c r="X814" s="78">
        <v>0.17</v>
      </c>
      <c r="Y814" s="30">
        <f>IF(AG814="None",0,IF(AG814="Fix5",0.05, IF(AG814="Fix6.25",0.0625,IF(AG814="Fix3.75",0.0375,IF(AG814="Fix10",0.1,IF(AG814="Fix3",0.03,0))))))</f>
        <v>0</v>
      </c>
      <c r="Z814" s="35">
        <f>T814-AA814-AB814</f>
        <v>2800.42</v>
      </c>
      <c r="AA814" s="29">
        <f>IF(AD814="EUR",((T814-R814)*X814)*U814+(R814*X814),(T814*X814))</f>
        <v>573.58000000000004</v>
      </c>
      <c r="AB814" s="36">
        <f>IF(AD814="EUR",((T814-R814)*Y814)*U814+(R814*Y814),(T814*Y814))</f>
        <v>0</v>
      </c>
      <c r="AC814" s="37" t="b">
        <v>1</v>
      </c>
      <c r="AD814" s="37" t="s">
        <v>38</v>
      </c>
      <c r="AE814" s="37" t="s">
        <v>38</v>
      </c>
      <c r="AF814" s="37" t="str">
        <f t="array" ref="AF814">INDEX('Deal Info'!D:D, MATCH(A814,'Deal Info'!A:A, 0))</f>
        <v>DoEVold</v>
      </c>
      <c r="AG814" s="38" t="str">
        <f t="array" ref="AG814">INDEX('Deal Info'!G:G, MATCH(A814,'Deal Info'!A:A, 0))</f>
        <v>None</v>
      </c>
    </row>
    <row r="815" spans="1:33" ht="14.25" hidden="1" x14ac:dyDescent="0.2">
      <c r="A815" s="18" t="str">
        <f t="array" ref="A815">IF(G815='Room Info'!$B$1, INDEX('Room Info'!$A$2:$A2446, MATCH(B815,'Room Info'!$B$2:$B2446, 0)),IF(G815='Room Info'!$C$1, INDEX('Room Info'!$A$2:$A2446, MATCH(B815,'Room Info'!$C$2:$C2446, 0)),IF(G815='Room Info'!$D$1, INDEX('Room Info'!$A$2:$A2446, MATCH(B815,'Room Info'!$D$2:$D2446, 0)),IF(G815='Room Info'!$E$1, INDEX('Room Info'!$A$2:$A2446, MATCH(B815,'Room Info'!$E$2:$E2446, 0)),IF(G815='Room Info'!$F$1, INDEX('Room Info'!$A$2:$A2446, MATCH(B815,'Room Info'!$F$2:$F2446, 0)),IF(G815='Room Info'!$H$1, INDEX('Room Info'!$A$2:$A2446, MATCH(B815,'Room Info'!$H$2:$H2446, 0)),IF(G815='Room Info'!$G$1, INDEX('Room Info'!$A$2:$A2446, MATCH(B815,'Room Info'!$G$2:$G2446, 0)))))))))</f>
        <v>kttweek1</v>
      </c>
      <c r="B815" s="45" t="s">
        <v>175</v>
      </c>
      <c r="C815" s="77">
        <v>44440</v>
      </c>
      <c r="D815" s="77">
        <v>44469</v>
      </c>
      <c r="E815" s="47">
        <v>44440</v>
      </c>
      <c r="F815" s="48" t="s">
        <v>49</v>
      </c>
      <c r="G815" s="45" t="s">
        <v>35</v>
      </c>
      <c r="H815" s="49" t="s">
        <v>72</v>
      </c>
      <c r="I815" s="49" t="s">
        <v>37</v>
      </c>
      <c r="J815" s="74">
        <v>50</v>
      </c>
      <c r="K815" s="75">
        <v>82</v>
      </c>
      <c r="L815" s="72">
        <v>-1150</v>
      </c>
      <c r="M815" s="76">
        <v>143</v>
      </c>
      <c r="N815" s="28">
        <f>K815*J815</f>
        <v>4100</v>
      </c>
      <c r="O815" s="45">
        <v>-455</v>
      </c>
      <c r="P815" s="29">
        <v>-5.5487804880000002</v>
      </c>
      <c r="Q815" s="55"/>
      <c r="R815" s="31">
        <f>M815+Q815</f>
        <v>143</v>
      </c>
      <c r="S815" s="73">
        <v>-298</v>
      </c>
      <c r="T815" s="32">
        <f>R815+S815+IF(F815="Without EV deal",L815,0)</f>
        <v>-155</v>
      </c>
      <c r="U815" s="57">
        <v>1</v>
      </c>
      <c r="V815" s="58"/>
      <c r="W815" s="58"/>
      <c r="X815" s="78">
        <v>0.17</v>
      </c>
      <c r="Y815" s="30">
        <f>IF(AG815="None",0,IF(AG815="Fix5",0.05, IF(AG815="Fix6.25",0.0625,IF(AG815="Fix3.75",0.0375,IF(AG815="Fix10",0.1,IF(AG815="Fix3",0.03,0))))))</f>
        <v>0</v>
      </c>
      <c r="Z815" s="35">
        <f>T815-AA815-AB815</f>
        <v>-128.65</v>
      </c>
      <c r="AA815" s="29">
        <f>IF(AD815="EUR",((T815-R815)*X815)*U815+(R815*X815),(T815*X815))</f>
        <v>-26.35</v>
      </c>
      <c r="AB815" s="36">
        <f>IF(AD815="EUR",((T815-R815)*Y815)*U815+(R815*Y815),(T815*Y815))</f>
        <v>0</v>
      </c>
      <c r="AC815" s="37" t="b">
        <v>1</v>
      </c>
      <c r="AD815" s="37" t="s">
        <v>38</v>
      </c>
      <c r="AE815" s="37" t="s">
        <v>38</v>
      </c>
      <c r="AF815" s="37" t="str">
        <f t="array" ref="AF815">INDEX('Deal Info'!D:D, MATCH(A815,'Deal Info'!A:A, 0))</f>
        <v>DoEVold</v>
      </c>
      <c r="AG815" s="38" t="str">
        <f t="array" ref="AG815">INDEX('Deal Info'!G:G, MATCH(A815,'Deal Info'!A:A, 0))</f>
        <v>None</v>
      </c>
    </row>
    <row r="816" spans="1:33" ht="14.25" hidden="1" x14ac:dyDescent="0.2">
      <c r="A816" s="18" t="str">
        <f t="array" ref="A816">IF(G816='Room Info'!$B$1, INDEX('Room Info'!$A$2:$A2446, MATCH(B816,'Room Info'!$B$2:$B2446, 0)),IF(G816='Room Info'!$C$1, INDEX('Room Info'!$A$2:$A2446, MATCH(B816,'Room Info'!$C$2:$C2446, 0)),IF(G816='Room Info'!$D$1, INDEX('Room Info'!$A$2:$A2446, MATCH(B816,'Room Info'!$D$2:$D2446, 0)),IF(G816='Room Info'!$E$1, INDEX('Room Info'!$A$2:$A2446, MATCH(B816,'Room Info'!$E$2:$E2446, 0)),IF(G816='Room Info'!$F$1, INDEX('Room Info'!$A$2:$A2446, MATCH(B816,'Room Info'!$F$2:$F2446, 0)),IF(G816='Room Info'!$H$1, INDEX('Room Info'!$A$2:$A2446, MATCH(B816,'Room Info'!$H$2:$H2446, 0)),IF(G816='Room Info'!$G$1, INDEX('Room Info'!$A$2:$A2446, MATCH(B816,'Room Info'!$G$2:$G2446, 0)))))))))</f>
        <v>kttweek1</v>
      </c>
      <c r="B816" s="45" t="s">
        <v>175</v>
      </c>
      <c r="C816" s="77">
        <v>44470</v>
      </c>
      <c r="D816" s="77">
        <v>44500</v>
      </c>
      <c r="E816" s="47">
        <v>44470</v>
      </c>
      <c r="F816" s="48" t="s">
        <v>49</v>
      </c>
      <c r="G816" s="45" t="s">
        <v>35</v>
      </c>
      <c r="H816" s="49" t="s">
        <v>46</v>
      </c>
      <c r="I816" s="49" t="s">
        <v>37</v>
      </c>
      <c r="J816" s="74">
        <v>25</v>
      </c>
      <c r="K816" s="75">
        <v>2460</v>
      </c>
      <c r="L816" s="72">
        <v>-150</v>
      </c>
      <c r="M816" s="76">
        <v>507</v>
      </c>
      <c r="N816" s="28">
        <f>K816*J816</f>
        <v>61500</v>
      </c>
      <c r="O816" s="45">
        <v>96504</v>
      </c>
      <c r="P816" s="29">
        <v>39.22926829</v>
      </c>
      <c r="Q816" s="55"/>
      <c r="R816" s="31">
        <f>M816+Q816</f>
        <v>507</v>
      </c>
      <c r="S816" s="73">
        <v>409</v>
      </c>
      <c r="T816" s="32">
        <f>R816+S816+IF(F816="Without EV deal",L816,0)</f>
        <v>916</v>
      </c>
      <c r="U816" s="57">
        <v>1</v>
      </c>
      <c r="V816" s="58"/>
      <c r="W816" s="58"/>
      <c r="X816" s="78">
        <v>0.17</v>
      </c>
      <c r="Y816" s="30">
        <f>IF(AG816="None",0,IF(AG816="Fix5",0.05, IF(AG816="Fix6.25",0.0625,IF(AG816="Fix3.75",0.0375,IF(AG816="Fix10",0.1,IF(AG816="Fix3",0.03,0))))))</f>
        <v>0</v>
      </c>
      <c r="Z816" s="35">
        <f>T816-AA816-AB816</f>
        <v>760.28</v>
      </c>
      <c r="AA816" s="29">
        <f>IF(AD816="EUR",((T816-R816)*X816)*U816+(R816*X816),(T816*X816))</f>
        <v>155.72</v>
      </c>
      <c r="AB816" s="36">
        <f>IF(AD816="EUR",((T816-R816)*Y816)*U816+(R816*Y816),(T816*Y816))</f>
        <v>0</v>
      </c>
      <c r="AC816" s="37" t="b">
        <v>1</v>
      </c>
      <c r="AD816" s="37" t="s">
        <v>38</v>
      </c>
      <c r="AE816" s="37" t="s">
        <v>38</v>
      </c>
      <c r="AF816" s="37" t="str">
        <f t="array" ref="AF816">INDEX('Deal Info'!D:D, MATCH(A816,'Deal Info'!A:A, 0))</f>
        <v>DoEVold</v>
      </c>
      <c r="AG816" s="38" t="str">
        <f t="array" ref="AG816">INDEX('Deal Info'!G:G, MATCH(A816,'Deal Info'!A:A, 0))</f>
        <v>None</v>
      </c>
    </row>
    <row r="817" spans="1:33" ht="14.25" hidden="1" x14ac:dyDescent="0.2">
      <c r="A817" s="18" t="str">
        <f t="array" ref="A817">IF(G817='Room Info'!$B$1, INDEX('Room Info'!$A$2:$A2446, MATCH(B817,'Room Info'!$B$2:$B2446, 0)),IF(G817='Room Info'!$C$1, INDEX('Room Info'!$A$2:$A2446, MATCH(B817,'Room Info'!$C$2:$C2446, 0)),IF(G817='Room Info'!$D$1, INDEX('Room Info'!$A$2:$A2446, MATCH(B817,'Room Info'!$D$2:$D2446, 0)),IF(G817='Room Info'!$E$1, INDEX('Room Info'!$A$2:$A2446, MATCH(B817,'Room Info'!$E$2:$E2446, 0)),IF(G817='Room Info'!$F$1, INDEX('Room Info'!$A$2:$A2446, MATCH(B817,'Room Info'!$F$2:$F2446, 0)),IF(G817='Room Info'!$H$1, INDEX('Room Info'!$A$2:$A2446, MATCH(B817,'Room Info'!$H$2:$H2446, 0)),IF(G817='Room Info'!$G$1, INDEX('Room Info'!$A$2:$A2446, MATCH(B817,'Room Info'!$G$2:$G2446, 0)))))))))</f>
        <v>kttweek1</v>
      </c>
      <c r="B817" s="45" t="s">
        <v>175</v>
      </c>
      <c r="C817" s="77">
        <v>44470</v>
      </c>
      <c r="D817" s="77">
        <v>44500</v>
      </c>
      <c r="E817" s="47">
        <v>44470</v>
      </c>
      <c r="F817" s="48" t="s">
        <v>49</v>
      </c>
      <c r="G817" s="54" t="s">
        <v>35</v>
      </c>
      <c r="H817" s="49" t="s">
        <v>72</v>
      </c>
      <c r="I817" s="49" t="s">
        <v>37</v>
      </c>
      <c r="J817" s="74">
        <v>50</v>
      </c>
      <c r="K817" s="75">
        <v>270</v>
      </c>
      <c r="L817" s="72">
        <v>-150</v>
      </c>
      <c r="M817" s="53">
        <v>2318</v>
      </c>
      <c r="N817" s="28">
        <f>K817*J817</f>
        <v>13500</v>
      </c>
      <c r="O817" s="45">
        <v>7104</v>
      </c>
      <c r="P817" s="29">
        <v>26.311111109999999</v>
      </c>
      <c r="Q817" s="55"/>
      <c r="R817" s="31">
        <f>M817+Q817</f>
        <v>2318</v>
      </c>
      <c r="S817" s="73">
        <v>-233</v>
      </c>
      <c r="T817" s="32">
        <f>R817+S817+IF(F817="Without EV deal",L817,0)</f>
        <v>2085</v>
      </c>
      <c r="U817" s="57">
        <v>1</v>
      </c>
      <c r="V817" s="58"/>
      <c r="W817" s="58"/>
      <c r="X817" s="78">
        <v>0.17</v>
      </c>
      <c r="Y817" s="30">
        <f>IF(AG817="None",0,IF(AG817="Fix5",0.05, IF(AG817="Fix6.25",0.0625,IF(AG817="Fix3.75",0.0375,IF(AG817="Fix10",0.1,IF(AG817="Fix3",0.03,0))))))</f>
        <v>0</v>
      </c>
      <c r="Z817" s="35">
        <f>T817-AA817-AB817</f>
        <v>1730.55</v>
      </c>
      <c r="AA817" s="29">
        <f>IF(AD817="EUR",((T817-R817)*X817)*U817+(R817*X817),(T817*X817))</f>
        <v>354.45000000000005</v>
      </c>
      <c r="AB817" s="36">
        <f>IF(AD817="EUR",((T817-R817)*Y817)*U817+(R817*Y817),(T817*Y817))</f>
        <v>0</v>
      </c>
      <c r="AC817" s="37" t="b">
        <v>1</v>
      </c>
      <c r="AD817" s="37" t="s">
        <v>38</v>
      </c>
      <c r="AE817" s="37" t="s">
        <v>38</v>
      </c>
      <c r="AF817" s="37" t="str">
        <f t="array" ref="AF817">INDEX('Deal Info'!D:D, MATCH(A817,'Deal Info'!A:A, 0))</f>
        <v>DoEVold</v>
      </c>
      <c r="AG817" s="38" t="str">
        <f t="array" ref="AG817">INDEX('Deal Info'!G:G, MATCH(A817,'Deal Info'!A:A, 0))</f>
        <v>None</v>
      </c>
    </row>
    <row r="818" spans="1:33" ht="14.25" hidden="1" x14ac:dyDescent="0.2">
      <c r="A818" s="18" t="str">
        <f t="array" ref="A818">IF(G818='Room Info'!$B$1, INDEX('Room Info'!$A$2:$A2446, MATCH(B818,'Room Info'!$B$2:$B2446, 0)),IF(G818='Room Info'!$C$1, INDEX('Room Info'!$A$2:$A2446, MATCH(B818,'Room Info'!$C$2:$C2446, 0)),IF(G818='Room Info'!$D$1, INDEX('Room Info'!$A$2:$A2446, MATCH(B818,'Room Info'!$D$2:$D2446, 0)),IF(G818='Room Info'!$E$1, INDEX('Room Info'!$A$2:$A2446, MATCH(B818,'Room Info'!$E$2:$E2446, 0)),IF(G818='Room Info'!$F$1, INDEX('Room Info'!$A$2:$A2446, MATCH(B818,'Room Info'!$F$2:$F2446, 0)),IF(G818='Room Info'!$H$1, INDEX('Room Info'!$A$2:$A2446, MATCH(B818,'Room Info'!$H$2:$H2446, 0)),IF(G818='Room Info'!$G$1, INDEX('Room Info'!$A$2:$A2446, MATCH(B818,'Room Info'!$G$2:$G2446, 0)))))))))</f>
        <v>kttweek1</v>
      </c>
      <c r="B818" s="45" t="s">
        <v>176</v>
      </c>
      <c r="C818" s="77">
        <v>44501</v>
      </c>
      <c r="D818" s="77">
        <v>44530</v>
      </c>
      <c r="E818" s="47">
        <v>44501</v>
      </c>
      <c r="F818" s="48" t="s">
        <v>49</v>
      </c>
      <c r="G818" s="54" t="s">
        <v>165</v>
      </c>
      <c r="H818" s="49" t="s">
        <v>55</v>
      </c>
      <c r="I818" s="49" t="s">
        <v>37</v>
      </c>
      <c r="J818" s="74">
        <v>10</v>
      </c>
      <c r="K818" s="75">
        <v>21</v>
      </c>
      <c r="L818" s="72">
        <v>-60</v>
      </c>
      <c r="M818" s="62"/>
      <c r="N818" s="28">
        <f>K818*J818</f>
        <v>210</v>
      </c>
      <c r="O818" s="45">
        <v>-55</v>
      </c>
      <c r="P818" s="29">
        <v>-2.6190476189999998</v>
      </c>
      <c r="Q818" s="55"/>
      <c r="R818" s="31">
        <f>M818+Q818</f>
        <v>0</v>
      </c>
      <c r="S818" s="73">
        <v>-17</v>
      </c>
      <c r="T818" s="32">
        <f>R818+S818+IF(F818="Without EV deal",L818,0)</f>
        <v>-17</v>
      </c>
      <c r="U818" s="57">
        <v>1</v>
      </c>
      <c r="V818" s="58"/>
      <c r="W818" s="58"/>
      <c r="X818" s="78">
        <v>0.25</v>
      </c>
      <c r="Y818" s="30">
        <f>IF(AG818="None",0,IF(AG818="Fix5",0.05, IF(AG818="Fix6.25",0.0625,IF(AG818="Fix3.75",0.0375,IF(AG818="Fix10",0.1,IF(AG818="Fix3",0.03,0))))))</f>
        <v>0</v>
      </c>
      <c r="Z818" s="35">
        <f>T818-AA818-AB818</f>
        <v>-12.75</v>
      </c>
      <c r="AA818" s="29">
        <f>IF(AD818="EUR",((T818-R818)*X818)*U818+(R818*X818),(T818*X818))</f>
        <v>-4.25</v>
      </c>
      <c r="AB818" s="36">
        <f>IF(AD818="EUR",((T818-R818)*Y818)*U818+(R818*Y818),(T818*Y818))</f>
        <v>0</v>
      </c>
      <c r="AC818" s="37" t="b">
        <v>1</v>
      </c>
      <c r="AD818" s="37" t="s">
        <v>38</v>
      </c>
      <c r="AE818" s="37" t="s">
        <v>38</v>
      </c>
      <c r="AF818" s="37" t="str">
        <f t="array" ref="AF818">INDEX('Deal Info'!D:D, MATCH(A818,'Deal Info'!A:A, 0))</f>
        <v>DoEVold</v>
      </c>
      <c r="AG818" s="38" t="str">
        <f t="array" ref="AG818">INDEX('Deal Info'!G:G, MATCH(A818,'Deal Info'!A:A, 0))</f>
        <v>None</v>
      </c>
    </row>
    <row r="819" spans="1:33" ht="14.25" hidden="1" x14ac:dyDescent="0.2">
      <c r="A819" s="18" t="str">
        <f t="array" ref="A819">IF(G819='Room Info'!$B$1, INDEX('Room Info'!$A$2:$A2446, MATCH(B819,'Room Info'!$B$2:$B2446, 0)),IF(G819='Room Info'!$C$1, INDEX('Room Info'!$A$2:$A2446, MATCH(B819,'Room Info'!$C$2:$C2446, 0)),IF(G819='Room Info'!$D$1, INDEX('Room Info'!$A$2:$A2446, MATCH(B819,'Room Info'!$D$2:$D2446, 0)),IF(G819='Room Info'!$E$1, INDEX('Room Info'!$A$2:$A2446, MATCH(B819,'Room Info'!$E$2:$E2446, 0)),IF(G819='Room Info'!$F$1, INDEX('Room Info'!$A$2:$A2446, MATCH(B819,'Room Info'!$F$2:$F2446, 0)),IF(G819='Room Info'!$H$1, INDEX('Room Info'!$A$2:$A2446, MATCH(B819,'Room Info'!$H$2:$H2446, 0)),IF(G819='Room Info'!$G$1, INDEX('Room Info'!$A$2:$A2446, MATCH(B819,'Room Info'!$G$2:$G2446, 0)))))))))</f>
        <v>kttweek1</v>
      </c>
      <c r="B819" s="45" t="s">
        <v>176</v>
      </c>
      <c r="C819" s="77">
        <v>44501</v>
      </c>
      <c r="D819" s="77">
        <v>44530</v>
      </c>
      <c r="E819" s="47">
        <v>44501</v>
      </c>
      <c r="F819" s="48" t="s">
        <v>41</v>
      </c>
      <c r="G819" s="54" t="s">
        <v>165</v>
      </c>
      <c r="H819" s="49" t="s">
        <v>168</v>
      </c>
      <c r="I819" s="49" t="s">
        <v>44</v>
      </c>
      <c r="J819" s="74">
        <v>0.25</v>
      </c>
      <c r="K819" s="75">
        <v>4</v>
      </c>
      <c r="L819" s="72">
        <v>0.75</v>
      </c>
      <c r="M819" s="62"/>
      <c r="N819" s="28">
        <f>K819*J819</f>
        <v>1</v>
      </c>
      <c r="O819" s="96"/>
      <c r="P819" s="29">
        <v>0</v>
      </c>
      <c r="Q819" s="55"/>
      <c r="R819" s="31">
        <f>M819+Q819</f>
        <v>0</v>
      </c>
      <c r="S819" s="97"/>
      <c r="T819" s="32">
        <f>R819+S819+IF(F819="Without EV deal",L819,0)</f>
        <v>0.75</v>
      </c>
      <c r="U819" s="57">
        <v>1</v>
      </c>
      <c r="V819" s="58"/>
      <c r="W819" s="58"/>
      <c r="X819" s="78">
        <v>0.25</v>
      </c>
      <c r="Y819" s="30">
        <f>IF(AG819="None",0,IF(AG819="Fix5",0.05, IF(AG819="Fix6.25",0.0625,IF(AG819="Fix3.75",0.0375,IF(AG819="Fix10",0.1,IF(AG819="Fix3",0.03,0))))))</f>
        <v>0</v>
      </c>
      <c r="Z819" s="35">
        <f>T819-AA819-AB819</f>
        <v>0.5625</v>
      </c>
      <c r="AA819" s="29">
        <f>IF(AD819="EUR",((T819-R819)*X819)*U819+(R819*X819),(T819*X819))</f>
        <v>0.1875</v>
      </c>
      <c r="AB819" s="36">
        <f>IF(AD819="EUR",((T819-R819)*Y819)*U819+(R819*Y819),(T819*Y819))</f>
        <v>0</v>
      </c>
      <c r="AC819" s="37" t="b">
        <v>1</v>
      </c>
      <c r="AD819" s="37" t="s">
        <v>38</v>
      </c>
      <c r="AE819" s="37" t="s">
        <v>38</v>
      </c>
      <c r="AF819" s="37" t="str">
        <f t="array" ref="AF819">INDEX('Deal Info'!D:D, MATCH(A819,'Deal Info'!A:A, 0))</f>
        <v>DoEVold</v>
      </c>
      <c r="AG819" s="38" t="str">
        <f t="array" ref="AG819">INDEX('Deal Info'!G:G, MATCH(A819,'Deal Info'!A:A, 0))</f>
        <v>None</v>
      </c>
    </row>
    <row r="820" spans="1:33" ht="14.25" hidden="1" x14ac:dyDescent="0.2">
      <c r="A820" s="18" t="str">
        <f t="array" ref="A820">IF(G820='Room Info'!$B$1, INDEX('Room Info'!$A$2:$A2446, MATCH(B820,'Room Info'!$B$2:$B2446, 0)),IF(G820='Room Info'!$C$1, INDEX('Room Info'!$A$2:$A2446, MATCH(B820,'Room Info'!$C$2:$C2446, 0)),IF(G820='Room Info'!$D$1, INDEX('Room Info'!$A$2:$A2446, MATCH(B820,'Room Info'!$D$2:$D2446, 0)),IF(G820='Room Info'!$E$1, INDEX('Room Info'!$A$2:$A2446, MATCH(B820,'Room Info'!$E$2:$E2446, 0)),IF(G820='Room Info'!$F$1, INDEX('Room Info'!$A$2:$A2446, MATCH(B820,'Room Info'!$F$2:$F2446, 0)),IF(G820='Room Info'!$H$1, INDEX('Room Info'!$A$2:$A2446, MATCH(B820,'Room Info'!$H$2:$H2446, 0)),IF(G820='Room Info'!$G$1, INDEX('Room Info'!$A$2:$A2446, MATCH(B820,'Room Info'!$G$2:$G2446, 0)))))))))</f>
        <v>kttweek1</v>
      </c>
      <c r="B820" s="45" t="s">
        <v>175</v>
      </c>
      <c r="C820" s="77">
        <v>44501</v>
      </c>
      <c r="D820" s="77">
        <v>44530</v>
      </c>
      <c r="E820" s="47">
        <v>44501</v>
      </c>
      <c r="F820" s="48" t="s">
        <v>49</v>
      </c>
      <c r="G820" s="54" t="s">
        <v>35</v>
      </c>
      <c r="H820" s="49" t="s">
        <v>40</v>
      </c>
      <c r="I820" s="49" t="s">
        <v>37</v>
      </c>
      <c r="J820" s="74">
        <v>10</v>
      </c>
      <c r="K820" s="75">
        <v>19</v>
      </c>
      <c r="L820" s="72">
        <v>60</v>
      </c>
      <c r="M820" s="53">
        <v>10</v>
      </c>
      <c r="N820" s="28">
        <f>K820*J820</f>
        <v>190</v>
      </c>
      <c r="O820" s="45">
        <v>1056</v>
      </c>
      <c r="P820" s="29">
        <v>55.578947370000002</v>
      </c>
      <c r="Q820" s="55"/>
      <c r="R820" s="31">
        <f>M820+Q820</f>
        <v>10</v>
      </c>
      <c r="S820" s="73">
        <v>5</v>
      </c>
      <c r="T820" s="32">
        <f>R820+S820+IF(F820="Without EV deal",L820,0)</f>
        <v>15</v>
      </c>
      <c r="U820" s="57">
        <v>1</v>
      </c>
      <c r="V820" s="58"/>
      <c r="W820" s="58"/>
      <c r="X820" s="78">
        <v>0.25</v>
      </c>
      <c r="Y820" s="30">
        <f>IF(AG820="None",0,IF(AG820="Fix5",0.05, IF(AG820="Fix6.25",0.0625,IF(AG820="Fix3.75",0.0375,IF(AG820="Fix10",0.1,IF(AG820="Fix3",0.03,0))))))</f>
        <v>0</v>
      </c>
      <c r="Z820" s="35">
        <f>T820-AA820-AB820</f>
        <v>11.25</v>
      </c>
      <c r="AA820" s="29">
        <f>IF(AD820="EUR",((T820-R820)*X820)*U820+(R820*X820),(T820*X820))</f>
        <v>3.75</v>
      </c>
      <c r="AB820" s="36">
        <f>IF(AD820="EUR",((T820-R820)*Y820)*U820+(R820*Y820),(T820*Y820))</f>
        <v>0</v>
      </c>
      <c r="AC820" s="37" t="b">
        <v>1</v>
      </c>
      <c r="AD820" s="37" t="s">
        <v>38</v>
      </c>
      <c r="AE820" s="37" t="s">
        <v>38</v>
      </c>
      <c r="AF820" s="37" t="str">
        <f t="array" ref="AF820">INDEX('Deal Info'!D:D, MATCH(A820,'Deal Info'!A:A, 0))</f>
        <v>DoEVold</v>
      </c>
      <c r="AG820" s="38" t="str">
        <f t="array" ref="AG820">INDEX('Deal Info'!G:G, MATCH(A820,'Deal Info'!A:A, 0))</f>
        <v>None</v>
      </c>
    </row>
    <row r="821" spans="1:33" ht="14.25" hidden="1" x14ac:dyDescent="0.2">
      <c r="A821" s="18" t="str">
        <f t="array" ref="A821">IF(G821='Room Info'!$B$1, INDEX('Room Info'!$A$2:$A2446, MATCH(B821,'Room Info'!$B$2:$B2446, 0)),IF(G821='Room Info'!$C$1, INDEX('Room Info'!$A$2:$A2446, MATCH(B821,'Room Info'!$C$2:$C2446, 0)),IF(G821='Room Info'!$D$1, INDEX('Room Info'!$A$2:$A2446, MATCH(B821,'Room Info'!$D$2:$D2446, 0)),IF(G821='Room Info'!$E$1, INDEX('Room Info'!$A$2:$A2446, MATCH(B821,'Room Info'!$E$2:$E2446, 0)),IF(G821='Room Info'!$F$1, INDEX('Room Info'!$A$2:$A2446, MATCH(B821,'Room Info'!$F$2:$F2446, 0)),IF(G821='Room Info'!$H$1, INDEX('Room Info'!$A$2:$A2446, MATCH(B821,'Room Info'!$H$2:$H2446, 0)),IF(G821='Room Info'!$G$1, INDEX('Room Info'!$A$2:$A2446, MATCH(B821,'Room Info'!$G$2:$G2446, 0)))))))))</f>
        <v>kttweek1</v>
      </c>
      <c r="B821" s="45" t="s">
        <v>175</v>
      </c>
      <c r="C821" s="46">
        <v>44501</v>
      </c>
      <c r="D821" s="46">
        <v>44530</v>
      </c>
      <c r="E821" s="47">
        <v>44501</v>
      </c>
      <c r="F821" s="48" t="s">
        <v>49</v>
      </c>
      <c r="G821" s="45" t="s">
        <v>35</v>
      </c>
      <c r="H821" s="49" t="s">
        <v>87</v>
      </c>
      <c r="I821" s="49" t="s">
        <v>44</v>
      </c>
      <c r="J821" s="50">
        <v>25</v>
      </c>
      <c r="K821" s="51">
        <v>40</v>
      </c>
      <c r="L821" s="52">
        <v>50</v>
      </c>
      <c r="M821" s="53">
        <v>44</v>
      </c>
      <c r="N821" s="28">
        <f>K821*J821</f>
        <v>1000</v>
      </c>
      <c r="O821" s="54">
        <v>1448</v>
      </c>
      <c r="P821" s="29">
        <v>36.200000000000003</v>
      </c>
      <c r="Q821" s="55"/>
      <c r="R821" s="31">
        <f>M821+Q821</f>
        <v>44</v>
      </c>
      <c r="S821" s="56">
        <v>44</v>
      </c>
      <c r="T821" s="32">
        <f>R821+S821+IF(F821="Without EV deal",L821,0)</f>
        <v>88</v>
      </c>
      <c r="U821" s="57">
        <v>1</v>
      </c>
      <c r="V821" s="58"/>
      <c r="W821" s="58"/>
      <c r="X821" s="78">
        <v>0.25</v>
      </c>
      <c r="Y821" s="30">
        <f>IF(AG821="None",0,IF(AG821="Fix5",0.05, IF(AG821="Fix6.25",0.0625,IF(AG821="Fix3.75",0.0375,IF(AG821="Fix10",0.1,IF(AG821="Fix3",0.03,0))))))</f>
        <v>0</v>
      </c>
      <c r="Z821" s="35">
        <f>T821-AA821-AB821</f>
        <v>66</v>
      </c>
      <c r="AA821" s="29">
        <f>IF(AD821="EUR",((T821-R821)*X821)*U821+(R821*X821),(T821*X821))</f>
        <v>22</v>
      </c>
      <c r="AB821" s="36">
        <f>IF(AD821="EUR",((T821-R821)*Y821)*U821+(R821*Y821),(T821*Y821))</f>
        <v>0</v>
      </c>
      <c r="AC821" s="37" t="b">
        <v>1</v>
      </c>
      <c r="AD821" s="37" t="s">
        <v>38</v>
      </c>
      <c r="AE821" s="37" t="s">
        <v>38</v>
      </c>
      <c r="AF821" s="37" t="str">
        <f t="array" ref="AF821">INDEX('Deal Info'!D:D, MATCH(A821,'Deal Info'!A:A, 0))</f>
        <v>DoEVold</v>
      </c>
      <c r="AG821" s="38" t="str">
        <f t="array" ref="AG821">INDEX('Deal Info'!G:G, MATCH(A821,'Deal Info'!A:A, 0))</f>
        <v>None</v>
      </c>
    </row>
    <row r="822" spans="1:33" ht="14.25" hidden="1" x14ac:dyDescent="0.2">
      <c r="A822" s="18" t="str">
        <f t="array" ref="A822">IF(G822='Room Info'!$B$1, INDEX('Room Info'!$A$2:$A2446, MATCH(B822,'Room Info'!$B$2:$B2446, 0)),IF(G822='Room Info'!$C$1, INDEX('Room Info'!$A$2:$A2446, MATCH(B822,'Room Info'!$C$2:$C2446, 0)),IF(G822='Room Info'!$D$1, INDEX('Room Info'!$A$2:$A2446, MATCH(B822,'Room Info'!$D$2:$D2446, 0)),IF(G822='Room Info'!$E$1, INDEX('Room Info'!$A$2:$A2446, MATCH(B822,'Room Info'!$E$2:$E2446, 0)),IF(G822='Room Info'!$F$1, INDEX('Room Info'!$A$2:$A2446, MATCH(B822,'Room Info'!$F$2:$F2446, 0)),IF(G822='Room Info'!$H$1, INDEX('Room Info'!$A$2:$A2446, MATCH(B822,'Room Info'!$H$2:$H2446, 0)),IF(G822='Room Info'!$G$1, INDEX('Room Info'!$A$2:$A2446, MATCH(B822,'Room Info'!$G$2:$G2446, 0)))))))))</f>
        <v>kttweek1</v>
      </c>
      <c r="B822" s="45" t="s">
        <v>175</v>
      </c>
      <c r="C822" s="46">
        <v>44501</v>
      </c>
      <c r="D822" s="46">
        <v>44530</v>
      </c>
      <c r="E822" s="47">
        <v>44501</v>
      </c>
      <c r="F822" s="48" t="s">
        <v>49</v>
      </c>
      <c r="G822" s="45" t="s">
        <v>35</v>
      </c>
      <c r="H822" s="49" t="s">
        <v>46</v>
      </c>
      <c r="I822" s="49" t="s">
        <v>37</v>
      </c>
      <c r="J822" s="50">
        <v>25</v>
      </c>
      <c r="K822" s="51">
        <v>160</v>
      </c>
      <c r="L822" s="52">
        <v>550</v>
      </c>
      <c r="M822" s="53">
        <v>181</v>
      </c>
      <c r="N822" s="28">
        <f>K822*J822</f>
        <v>4000</v>
      </c>
      <c r="O822" s="54">
        <v>9218</v>
      </c>
      <c r="P822" s="29">
        <v>57.612499999999997</v>
      </c>
      <c r="Q822" s="55"/>
      <c r="R822" s="31">
        <f>M822+Q822</f>
        <v>181</v>
      </c>
      <c r="S822" s="56">
        <v>157</v>
      </c>
      <c r="T822" s="32">
        <f>R822+S822+IF(F822="Without EV deal",L822,0)</f>
        <v>338</v>
      </c>
      <c r="U822" s="57">
        <v>1</v>
      </c>
      <c r="V822" s="58"/>
      <c r="W822" s="58"/>
      <c r="X822" s="78">
        <v>0.25</v>
      </c>
      <c r="Y822" s="30">
        <f>IF(AG822="None",0,IF(AG822="Fix5",0.05, IF(AG822="Fix6.25",0.0625,IF(AG822="Fix3.75",0.0375,IF(AG822="Fix10",0.1,IF(AG822="Fix3",0.03,0))))))</f>
        <v>0</v>
      </c>
      <c r="Z822" s="35">
        <f>T822-AA822-AB822</f>
        <v>253.5</v>
      </c>
      <c r="AA822" s="29">
        <f>IF(AD822="EUR",((T822-R822)*X822)*U822+(R822*X822),(T822*X822))</f>
        <v>84.5</v>
      </c>
      <c r="AB822" s="36">
        <f>IF(AD822="EUR",((T822-R822)*Y822)*U822+(R822*Y822),(T822*Y822))</f>
        <v>0</v>
      </c>
      <c r="AC822" s="37" t="b">
        <v>1</v>
      </c>
      <c r="AD822" s="37" t="s">
        <v>38</v>
      </c>
      <c r="AE822" s="37" t="s">
        <v>38</v>
      </c>
      <c r="AF822" s="37" t="str">
        <f t="array" ref="AF822">INDEX('Deal Info'!D:D, MATCH(A822,'Deal Info'!A:A, 0))</f>
        <v>DoEVold</v>
      </c>
      <c r="AG822" s="38" t="str">
        <f t="array" ref="AG822">INDEX('Deal Info'!G:G, MATCH(A822,'Deal Info'!A:A, 0))</f>
        <v>None</v>
      </c>
    </row>
    <row r="823" spans="1:33" ht="14.25" hidden="1" x14ac:dyDescent="0.2">
      <c r="A823" s="18" t="str">
        <f t="array" ref="A823">IF(G823='Room Info'!$B$1, INDEX('Room Info'!$A$2:$A2446, MATCH(B823,'Room Info'!$B$2:$B2446, 0)),IF(G823='Room Info'!$C$1, INDEX('Room Info'!$A$2:$A2446, MATCH(B823,'Room Info'!$C$2:$C2446, 0)),IF(G823='Room Info'!$D$1, INDEX('Room Info'!$A$2:$A2446, MATCH(B823,'Room Info'!$D$2:$D2446, 0)),IF(G823='Room Info'!$E$1, INDEX('Room Info'!$A$2:$A2446, MATCH(B823,'Room Info'!$E$2:$E2446, 0)),IF(G823='Room Info'!$F$1, INDEX('Room Info'!$A$2:$A2446, MATCH(B823,'Room Info'!$F$2:$F2446, 0)),IF(G823='Room Info'!$H$1, INDEX('Room Info'!$A$2:$A2446, MATCH(B823,'Room Info'!$H$2:$H2446, 0)),IF(G823='Room Info'!$G$1, INDEX('Room Info'!$A$2:$A2446, MATCH(B823,'Room Info'!$G$2:$G2446, 0)))))))))</f>
        <v>kttweek1</v>
      </c>
      <c r="B823" s="45" t="s">
        <v>175</v>
      </c>
      <c r="C823" s="46">
        <v>44501</v>
      </c>
      <c r="D823" s="46">
        <v>44530</v>
      </c>
      <c r="E823" s="47">
        <v>44501</v>
      </c>
      <c r="F823" s="48" t="s">
        <v>49</v>
      </c>
      <c r="G823" s="45" t="s">
        <v>35</v>
      </c>
      <c r="H823" s="49" t="s">
        <v>115</v>
      </c>
      <c r="I823" s="49" t="s">
        <v>44</v>
      </c>
      <c r="J823" s="50">
        <v>10</v>
      </c>
      <c r="K823" s="51">
        <v>235</v>
      </c>
      <c r="L823" s="52">
        <v>100</v>
      </c>
      <c r="M823" s="53">
        <v>120</v>
      </c>
      <c r="N823" s="28">
        <f>K823*J823</f>
        <v>2350</v>
      </c>
      <c r="O823" s="54">
        <v>6618</v>
      </c>
      <c r="P823" s="29">
        <v>28.161702129999998</v>
      </c>
      <c r="Q823" s="55"/>
      <c r="R823" s="31">
        <f>M823+Q823</f>
        <v>120</v>
      </c>
      <c r="S823" s="56">
        <v>21</v>
      </c>
      <c r="T823" s="32">
        <f>R823+S823+IF(F823="Without EV deal",L823,0)</f>
        <v>141</v>
      </c>
      <c r="U823" s="57">
        <v>1</v>
      </c>
      <c r="V823" s="58"/>
      <c r="W823" s="58"/>
      <c r="X823" s="78">
        <v>0.25</v>
      </c>
      <c r="Y823" s="30">
        <f>IF(AG823="None",0,IF(AG823="Fix5",0.05, IF(AG823="Fix6.25",0.0625,IF(AG823="Fix3.75",0.0375,IF(AG823="Fix10",0.1,IF(AG823="Fix3",0.03,0))))))</f>
        <v>0</v>
      </c>
      <c r="Z823" s="35">
        <f>T823-AA823-AB823</f>
        <v>105.75</v>
      </c>
      <c r="AA823" s="29">
        <f>IF(AD823="EUR",((T823-R823)*X823)*U823+(R823*X823),(T823*X823))</f>
        <v>35.25</v>
      </c>
      <c r="AB823" s="36">
        <f>IF(AD823="EUR",((T823-R823)*Y823)*U823+(R823*Y823),(T823*Y823))</f>
        <v>0</v>
      </c>
      <c r="AC823" s="37" t="b">
        <v>1</v>
      </c>
      <c r="AD823" s="37" t="s">
        <v>38</v>
      </c>
      <c r="AE823" s="37" t="s">
        <v>38</v>
      </c>
      <c r="AF823" s="37" t="str">
        <f t="array" ref="AF823">INDEX('Deal Info'!D:D, MATCH(A823,'Deal Info'!A:A, 0))</f>
        <v>DoEVold</v>
      </c>
      <c r="AG823" s="38" t="str">
        <f t="array" ref="AG823">INDEX('Deal Info'!G:G, MATCH(A823,'Deal Info'!A:A, 0))</f>
        <v>None</v>
      </c>
    </row>
    <row r="824" spans="1:33" ht="14.25" hidden="1" x14ac:dyDescent="0.2">
      <c r="A824" s="18" t="str">
        <f t="array" ref="A824">IF(G824='Room Info'!$B$1, INDEX('Room Info'!$A$2:$A2446, MATCH(B824,'Room Info'!$B$2:$B2446, 0)),IF(G824='Room Info'!$C$1, INDEX('Room Info'!$A$2:$A2446, MATCH(B824,'Room Info'!$C$2:$C2446, 0)),IF(G824='Room Info'!$D$1, INDEX('Room Info'!$A$2:$A2446, MATCH(B824,'Room Info'!$D$2:$D2446, 0)),IF(G824='Room Info'!$E$1, INDEX('Room Info'!$A$2:$A2446, MATCH(B824,'Room Info'!$E$2:$E2446, 0)),IF(G824='Room Info'!$F$1, INDEX('Room Info'!$A$2:$A2446, MATCH(B824,'Room Info'!$F$2:$F2446, 0)),IF(G824='Room Info'!$H$1, INDEX('Room Info'!$A$2:$A2446, MATCH(B824,'Room Info'!$H$2:$H2446, 0)),IF(G824='Room Info'!$G$1, INDEX('Room Info'!$A$2:$A2446, MATCH(B824,'Room Info'!$G$2:$G2446, 0)))))))))</f>
        <v>kttweek1</v>
      </c>
      <c r="B824" s="45" t="s">
        <v>175</v>
      </c>
      <c r="C824" s="46">
        <v>44501</v>
      </c>
      <c r="D824" s="46">
        <v>44530</v>
      </c>
      <c r="E824" s="47">
        <v>44501</v>
      </c>
      <c r="F824" s="48" t="s">
        <v>41</v>
      </c>
      <c r="G824" s="45" t="s">
        <v>35</v>
      </c>
      <c r="H824" s="49" t="s">
        <v>51</v>
      </c>
      <c r="I824" s="49" t="s">
        <v>44</v>
      </c>
      <c r="J824" s="50">
        <v>0.25</v>
      </c>
      <c r="K824" s="51">
        <v>3</v>
      </c>
      <c r="L824" s="52">
        <v>-0.75</v>
      </c>
      <c r="M824" s="62"/>
      <c r="N824" s="28">
        <f>K824*J824</f>
        <v>0.75</v>
      </c>
      <c r="O824" s="65"/>
      <c r="P824" s="29">
        <v>0</v>
      </c>
      <c r="Q824" s="55"/>
      <c r="R824" s="31">
        <f>M824+Q824</f>
        <v>0</v>
      </c>
      <c r="S824" s="66"/>
      <c r="T824" s="32">
        <f>R824+S824+IF(F824="Without EV deal",L824,0)</f>
        <v>-0.75</v>
      </c>
      <c r="U824" s="57">
        <v>1</v>
      </c>
      <c r="V824" s="58"/>
      <c r="W824" s="58"/>
      <c r="X824" s="78">
        <v>0.25</v>
      </c>
      <c r="Y824" s="30">
        <f>IF(AG824="None",0,IF(AG824="Fix5",0.05, IF(AG824="Fix6.25",0.0625,IF(AG824="Fix3.75",0.0375,IF(AG824="Fix10",0.1,IF(AG824="Fix3",0.03,0))))))</f>
        <v>0</v>
      </c>
      <c r="Z824" s="35">
        <f>T824-AA824-AB824</f>
        <v>-0.5625</v>
      </c>
      <c r="AA824" s="29">
        <f>IF(AD824="EUR",((T824-R824)*X824)*U824+(R824*X824),(T824*X824))</f>
        <v>-0.1875</v>
      </c>
      <c r="AB824" s="36">
        <f>IF(AD824="EUR",((T824-R824)*Y824)*U824+(R824*Y824),(T824*Y824))</f>
        <v>0</v>
      </c>
      <c r="AC824" s="37" t="b">
        <v>1</v>
      </c>
      <c r="AD824" s="37" t="s">
        <v>38</v>
      </c>
      <c r="AE824" s="37" t="s">
        <v>38</v>
      </c>
      <c r="AF824" s="37" t="str">
        <f t="array" ref="AF824">INDEX('Deal Info'!D:D, MATCH(A824,'Deal Info'!A:A, 0))</f>
        <v>DoEVold</v>
      </c>
      <c r="AG824" s="38" t="str">
        <f t="array" ref="AG824">INDEX('Deal Info'!G:G, MATCH(A824,'Deal Info'!A:A, 0))</f>
        <v>None</v>
      </c>
    </row>
    <row r="825" spans="1:33" ht="14.25" hidden="1" x14ac:dyDescent="0.2">
      <c r="A825" s="18" t="str">
        <f t="array" ref="A825">IF(G825='Room Info'!$B$1, INDEX('Room Info'!$A$2:$A2446, MATCH(B825,'Room Info'!$B$2:$B2446, 0)),IF(G825='Room Info'!$C$1, INDEX('Room Info'!$A$2:$A2446, MATCH(B825,'Room Info'!$C$2:$C2446, 0)),IF(G825='Room Info'!$D$1, INDEX('Room Info'!$A$2:$A2446, MATCH(B825,'Room Info'!$D$2:$D2446, 0)),IF(G825='Room Info'!$E$1, INDEX('Room Info'!$A$2:$A2446, MATCH(B825,'Room Info'!$E$2:$E2446, 0)),IF(G825='Room Info'!$F$1, INDEX('Room Info'!$A$2:$A2446, MATCH(B825,'Room Info'!$F$2:$F2446, 0)),IF(G825='Room Info'!$H$1, INDEX('Room Info'!$A$2:$A2446, MATCH(B825,'Room Info'!$H$2:$H2446, 0)),IF(G825='Room Info'!$G$1, INDEX('Room Info'!$A$2:$A2446, MATCH(B825,'Room Info'!$G$2:$G2446, 0)))))))))</f>
        <v>kttweek1</v>
      </c>
      <c r="B825" s="45" t="s">
        <v>175</v>
      </c>
      <c r="C825" s="46">
        <v>44531</v>
      </c>
      <c r="D825" s="46">
        <v>44550</v>
      </c>
      <c r="E825" s="47">
        <v>44531</v>
      </c>
      <c r="F825" s="48" t="s">
        <v>49</v>
      </c>
      <c r="G825" s="45" t="s">
        <v>35</v>
      </c>
      <c r="H825" s="49" t="s">
        <v>115</v>
      </c>
      <c r="I825" s="49" t="s">
        <v>44</v>
      </c>
      <c r="J825" s="50">
        <v>10</v>
      </c>
      <c r="K825" s="51">
        <v>1359</v>
      </c>
      <c r="L825" s="52">
        <v>-1100</v>
      </c>
      <c r="M825" s="53">
        <v>350</v>
      </c>
      <c r="N825" s="28">
        <f>K825*J825</f>
        <v>13590</v>
      </c>
      <c r="O825" s="54">
        <v>15763</v>
      </c>
      <c r="P825" s="29">
        <v>11.59896983</v>
      </c>
      <c r="Q825" s="55"/>
      <c r="R825" s="31">
        <f>M825+Q825</f>
        <v>350</v>
      </c>
      <c r="S825" s="56">
        <v>-582</v>
      </c>
      <c r="T825" s="32">
        <f>R825+S825+IF(F825="Without EV deal",L825,0)</f>
        <v>-232</v>
      </c>
      <c r="U825" s="57">
        <v>1</v>
      </c>
      <c r="V825" s="58"/>
      <c r="W825" s="58"/>
      <c r="X825" s="78">
        <v>0.25</v>
      </c>
      <c r="Y825" s="30">
        <f>IF(AG825="None",0,IF(AG825="Fix5",0.05, IF(AG825="Fix6.25",0.0625,IF(AG825="Fix3.75",0.0375,IF(AG825="Fix10",0.1,IF(AG825="Fix3",0.03,0))))))</f>
        <v>0</v>
      </c>
      <c r="Z825" s="35">
        <f>T825-AA825-AB825</f>
        <v>-174</v>
      </c>
      <c r="AA825" s="29">
        <f>IF(AD825="EUR",((T825-R825)*X825)*U825+(R825*X825),(T825*X825))</f>
        <v>-58</v>
      </c>
      <c r="AB825" s="36">
        <f>IF(AD825="EUR",((T825-R825)*Y825)*U825+(R825*Y825),(T825*Y825))</f>
        <v>0</v>
      </c>
      <c r="AC825" s="37" t="b">
        <v>1</v>
      </c>
      <c r="AD825" s="37" t="s">
        <v>38</v>
      </c>
      <c r="AE825" s="37" t="s">
        <v>38</v>
      </c>
      <c r="AF825" s="37" t="str">
        <f t="array" ref="AF825">INDEX('Deal Info'!D:D, MATCH(A825,'Deal Info'!A:A, 0))</f>
        <v>DoEVold</v>
      </c>
      <c r="AG825" s="38" t="str">
        <f t="array" ref="AG825">INDEX('Deal Info'!G:G, MATCH(A825,'Deal Info'!A:A, 0))</f>
        <v>None</v>
      </c>
    </row>
    <row r="826" spans="1:33" ht="14.25" hidden="1" x14ac:dyDescent="0.2">
      <c r="A826" s="18" t="str">
        <f t="array" ref="A826">IF(G826='Room Info'!$B$1, INDEX('Room Info'!$A$2:$A2446, MATCH(B826,'Room Info'!$B$2:$B2446, 0)),IF(G826='Room Info'!$C$1, INDEX('Room Info'!$A$2:$A2446, MATCH(B826,'Room Info'!$C$2:$C2446, 0)),IF(G826='Room Info'!$D$1, INDEX('Room Info'!$A$2:$A2446, MATCH(B826,'Room Info'!$D$2:$D2446, 0)),IF(G826='Room Info'!$E$1, INDEX('Room Info'!$A$2:$A2446, MATCH(B826,'Room Info'!$E$2:$E2446, 0)),IF(G826='Room Info'!$F$1, INDEX('Room Info'!$A$2:$A2446, MATCH(B826,'Room Info'!$F$2:$F2446, 0)),IF(G826='Room Info'!$H$1, INDEX('Room Info'!$A$2:$A2446, MATCH(B826,'Room Info'!$H$2:$H2446, 0)),IF(G826='Room Info'!$G$1, INDEX('Room Info'!$A$2:$A2446, MATCH(B826,'Room Info'!$G$2:$G2446, 0)))))))))</f>
        <v>kttweek1</v>
      </c>
      <c r="B826" s="45" t="s">
        <v>175</v>
      </c>
      <c r="C826" s="46">
        <v>44531</v>
      </c>
      <c r="D826" s="46">
        <v>44550</v>
      </c>
      <c r="E826" s="47">
        <v>44531</v>
      </c>
      <c r="F826" s="48" t="s">
        <v>49</v>
      </c>
      <c r="G826" s="45" t="s">
        <v>35</v>
      </c>
      <c r="H826" s="49" t="s">
        <v>40</v>
      </c>
      <c r="I826" s="49" t="s">
        <v>37</v>
      </c>
      <c r="J826" s="50">
        <v>10</v>
      </c>
      <c r="K826" s="51">
        <v>5</v>
      </c>
      <c r="L826" s="52">
        <v>-20</v>
      </c>
      <c r="M826" s="53">
        <v>1</v>
      </c>
      <c r="N826" s="28">
        <f>K826*J826</f>
        <v>50</v>
      </c>
      <c r="O826" s="54">
        <v>-1027</v>
      </c>
      <c r="P826" s="29">
        <v>-205.4</v>
      </c>
      <c r="Q826" s="55"/>
      <c r="R826" s="31">
        <f>M826+Q826</f>
        <v>1</v>
      </c>
      <c r="S826" s="56">
        <v>-23</v>
      </c>
      <c r="T826" s="32">
        <f>R826+S826+IF(F826="Without EV deal",L826,0)</f>
        <v>-22</v>
      </c>
      <c r="U826" s="57">
        <v>1</v>
      </c>
      <c r="V826" s="58"/>
      <c r="W826" s="58"/>
      <c r="X826" s="78">
        <v>0.25</v>
      </c>
      <c r="Y826" s="30">
        <f>IF(AG826="None",0,IF(AG826="Fix5",0.05, IF(AG826="Fix6.25",0.0625,IF(AG826="Fix3.75",0.0375,IF(AG826="Fix10",0.1,IF(AG826="Fix3",0.03,0))))))</f>
        <v>0</v>
      </c>
      <c r="Z826" s="35">
        <f>T826-AA826-AB826</f>
        <v>-16.5</v>
      </c>
      <c r="AA826" s="29">
        <f>IF(AD826="EUR",((T826-R826)*X826)*U826+(R826*X826),(T826*X826))</f>
        <v>-5.5</v>
      </c>
      <c r="AB826" s="36">
        <f>IF(AD826="EUR",((T826-R826)*Y826)*U826+(R826*Y826),(T826*Y826))</f>
        <v>0</v>
      </c>
      <c r="AC826" s="37" t="b">
        <v>1</v>
      </c>
      <c r="AD826" s="37" t="s">
        <v>38</v>
      </c>
      <c r="AE826" s="37" t="s">
        <v>38</v>
      </c>
      <c r="AF826" s="37" t="str">
        <f t="array" ref="AF826">INDEX('Deal Info'!D:D, MATCH(A826,'Deal Info'!A:A, 0))</f>
        <v>DoEVold</v>
      </c>
      <c r="AG826" s="38" t="str">
        <f t="array" ref="AG826">INDEX('Deal Info'!G:G, MATCH(A826,'Deal Info'!A:A, 0))</f>
        <v>None</v>
      </c>
    </row>
    <row r="827" spans="1:33" ht="14.25" hidden="1" x14ac:dyDescent="0.2">
      <c r="A827" s="18" t="str">
        <f t="array" ref="A827">IF(G827='Room Info'!$B$1, INDEX('Room Info'!$A$2:$A2446, MATCH(B827,'Room Info'!$B$2:$B2446, 0)),IF(G827='Room Info'!$C$1, INDEX('Room Info'!$A$2:$A2446, MATCH(B827,'Room Info'!$C$2:$C2446, 0)),IF(G827='Room Info'!$D$1, INDEX('Room Info'!$A$2:$A2446, MATCH(B827,'Room Info'!$D$2:$D2446, 0)),IF(G827='Room Info'!$E$1, INDEX('Room Info'!$A$2:$A2446, MATCH(B827,'Room Info'!$E$2:$E2446, 0)),IF(G827='Room Info'!$F$1, INDEX('Room Info'!$A$2:$A2446, MATCH(B827,'Room Info'!$F$2:$F2446, 0)),IF(G827='Room Info'!$H$1, INDEX('Room Info'!$A$2:$A2446, MATCH(B827,'Room Info'!$H$2:$H2446, 0)),IF(G827='Room Info'!$G$1, INDEX('Room Info'!$A$2:$A2446, MATCH(B827,'Room Info'!$G$2:$G2446, 0)))))))))</f>
        <v>kttweek1</v>
      </c>
      <c r="B827" s="54" t="s">
        <v>175</v>
      </c>
      <c r="C827" s="77">
        <v>44531</v>
      </c>
      <c r="D827" s="77">
        <v>44550</v>
      </c>
      <c r="E827" s="47">
        <v>44531</v>
      </c>
      <c r="F827" s="48" t="s">
        <v>49</v>
      </c>
      <c r="G827" s="45" t="s">
        <v>35</v>
      </c>
      <c r="H827" s="49" t="s">
        <v>72</v>
      </c>
      <c r="I827" s="49" t="s">
        <v>37</v>
      </c>
      <c r="J827" s="74">
        <v>50</v>
      </c>
      <c r="K827" s="75">
        <v>60</v>
      </c>
      <c r="L827" s="72">
        <v>700</v>
      </c>
      <c r="M827" s="76">
        <v>66</v>
      </c>
      <c r="N827" s="28">
        <f>K827*J827</f>
        <v>3000</v>
      </c>
      <c r="O827" s="105">
        <v>2002</v>
      </c>
      <c r="P827" s="29">
        <v>33.366666670000001</v>
      </c>
      <c r="Q827" s="55"/>
      <c r="R827" s="31">
        <f>M827+Q827</f>
        <v>66</v>
      </c>
      <c r="S827" s="73">
        <v>-20</v>
      </c>
      <c r="T827" s="32">
        <f>R827+S827+IF(F827="Without EV deal",L827,0)</f>
        <v>46</v>
      </c>
      <c r="U827" s="57">
        <v>1</v>
      </c>
      <c r="V827" s="58"/>
      <c r="W827" s="58"/>
      <c r="X827" s="78">
        <v>0.25</v>
      </c>
      <c r="Y827" s="30">
        <f>IF(AG827="None",0,IF(AG827="Fix5",0.05, IF(AG827="Fix6.25",0.0625,IF(AG827="Fix3.75",0.0375,IF(AG827="Fix10",0.1,IF(AG827="Fix3",0.03,0))))))</f>
        <v>0</v>
      </c>
      <c r="Z827" s="35">
        <f>T827-AA827-AB827</f>
        <v>34.5</v>
      </c>
      <c r="AA827" s="29">
        <f>IF(AD827="EUR",((T827-R827)*X827)*U827+(R827*X827),(T827*X827))</f>
        <v>11.5</v>
      </c>
      <c r="AB827" s="36">
        <f>IF(AD827="EUR",((T827-R827)*Y827)*U827+(R827*Y827),(T827*Y827))</f>
        <v>0</v>
      </c>
      <c r="AC827" s="37" t="b">
        <v>1</v>
      </c>
      <c r="AD827" s="37" t="s">
        <v>38</v>
      </c>
      <c r="AE827" s="37" t="s">
        <v>38</v>
      </c>
      <c r="AF827" s="37" t="str">
        <f t="array" ref="AF827">INDEX('Deal Info'!D:D, MATCH(A827,'Deal Info'!A:A, 0))</f>
        <v>DoEVold</v>
      </c>
      <c r="AG827" s="38" t="str">
        <f t="array" ref="AG827">INDEX('Deal Info'!G:G, MATCH(A827,'Deal Info'!A:A, 0))</f>
        <v>None</v>
      </c>
    </row>
    <row r="828" spans="1:33" ht="14.25" hidden="1" x14ac:dyDescent="0.2">
      <c r="A828" s="18" t="str">
        <f t="array" ref="A828">IF(G828='Room Info'!$B$1, INDEX('Room Info'!$A$2:$A2446, MATCH(B828,'Room Info'!$B$2:$B2446, 0)),IF(G828='Room Info'!$C$1, INDEX('Room Info'!$A$2:$A2446, MATCH(B828,'Room Info'!$C$2:$C2446, 0)),IF(G828='Room Info'!$D$1, INDEX('Room Info'!$A$2:$A2446, MATCH(B828,'Room Info'!$D$2:$D2446, 0)),IF(G828='Room Info'!$E$1, INDEX('Room Info'!$A$2:$A2446, MATCH(B828,'Room Info'!$E$2:$E2446, 0)),IF(G828='Room Info'!$F$1, INDEX('Room Info'!$A$2:$A2446, MATCH(B828,'Room Info'!$F$2:$F2446, 0)),IF(G828='Room Info'!$H$1, INDEX('Room Info'!$A$2:$A2446, MATCH(B828,'Room Info'!$H$2:$H2446, 0)),IF(G828='Room Info'!$G$1, INDEX('Room Info'!$A$2:$A2446, MATCH(B828,'Room Info'!$G$2:$G2446, 0)))))))))</f>
        <v>kttweek1</v>
      </c>
      <c r="B828" s="54" t="s">
        <v>175</v>
      </c>
      <c r="C828" s="77">
        <v>44531</v>
      </c>
      <c r="D828" s="77">
        <v>44550</v>
      </c>
      <c r="E828" s="47">
        <v>44531</v>
      </c>
      <c r="F828" s="48" t="s">
        <v>49</v>
      </c>
      <c r="G828" s="45" t="s">
        <v>35</v>
      </c>
      <c r="H828" s="49" t="s">
        <v>46</v>
      </c>
      <c r="I828" s="49" t="s">
        <v>37</v>
      </c>
      <c r="J828" s="74">
        <v>25</v>
      </c>
      <c r="K828" s="75">
        <v>730</v>
      </c>
      <c r="L828" s="106">
        <v>1375</v>
      </c>
      <c r="M828" s="76">
        <v>404</v>
      </c>
      <c r="N828" s="28">
        <f>K828*J828</f>
        <v>18250</v>
      </c>
      <c r="O828" s="105">
        <v>31388</v>
      </c>
      <c r="P828" s="29">
        <v>42.997260269999998</v>
      </c>
      <c r="Q828" s="55"/>
      <c r="R828" s="31">
        <f>M828+Q828</f>
        <v>404</v>
      </c>
      <c r="S828" s="73">
        <v>204</v>
      </c>
      <c r="T828" s="32">
        <f>R828+S828+IF(F828="Without EV deal",L828,0)</f>
        <v>608</v>
      </c>
      <c r="U828" s="57">
        <v>1</v>
      </c>
      <c r="V828" s="58"/>
      <c r="W828" s="58"/>
      <c r="X828" s="78">
        <v>0.25</v>
      </c>
      <c r="Y828" s="30">
        <f>IF(AG828="None",0,IF(AG828="Fix5",0.05, IF(AG828="Fix6.25",0.0625,IF(AG828="Fix3.75",0.0375,IF(AG828="Fix10",0.1,IF(AG828="Fix3",0.03,0))))))</f>
        <v>0</v>
      </c>
      <c r="Z828" s="35">
        <f>T828-AA828-AB828</f>
        <v>456</v>
      </c>
      <c r="AA828" s="29">
        <f>IF(AD828="EUR",((T828-R828)*X828)*U828+(R828*X828),(T828*X828))</f>
        <v>152</v>
      </c>
      <c r="AB828" s="36">
        <f>IF(AD828="EUR",((T828-R828)*Y828)*U828+(R828*Y828),(T828*Y828))</f>
        <v>0</v>
      </c>
      <c r="AC828" s="37" t="b">
        <v>1</v>
      </c>
      <c r="AD828" s="37" t="s">
        <v>38</v>
      </c>
      <c r="AE828" s="37" t="s">
        <v>38</v>
      </c>
      <c r="AF828" s="37" t="str">
        <f t="array" ref="AF828">INDEX('Deal Info'!D:D, MATCH(A828,'Deal Info'!A:A, 0))</f>
        <v>DoEVold</v>
      </c>
      <c r="AG828" s="38" t="str">
        <f t="array" ref="AG828">INDEX('Deal Info'!G:G, MATCH(A828,'Deal Info'!A:A, 0))</f>
        <v>None</v>
      </c>
    </row>
    <row r="829" spans="1:33" ht="14.25" hidden="1" x14ac:dyDescent="0.2">
      <c r="A829" s="18" t="str">
        <f t="array" ref="A829">IF(G829='Room Info'!$B$1, INDEX('Room Info'!$A$2:$A2446, MATCH(B829,'Room Info'!$B$2:$B2446, 0)),IF(G829='Room Info'!$C$1, INDEX('Room Info'!$A$2:$A2446, MATCH(B829,'Room Info'!$C$2:$C2446, 0)),IF(G829='Room Info'!$D$1, INDEX('Room Info'!$A$2:$A2446, MATCH(B829,'Room Info'!$D$2:$D2446, 0)),IF(G829='Room Info'!$E$1, INDEX('Room Info'!$A$2:$A2446, MATCH(B829,'Room Info'!$E$2:$E2446, 0)),IF(G829='Room Info'!$F$1, INDEX('Room Info'!$A$2:$A2446, MATCH(B829,'Room Info'!$F$2:$F2446, 0)),IF(G829='Room Info'!$H$1, INDEX('Room Info'!$A$2:$A2446, MATCH(B829,'Room Info'!$H$2:$H2446, 0)),IF(G829='Room Info'!$G$1, INDEX('Room Info'!$A$2:$A2446, MATCH(B829,'Room Info'!$G$2:$G2446, 0)))))))))</f>
        <v>kttweek1</v>
      </c>
      <c r="B829" s="45" t="s">
        <v>175</v>
      </c>
      <c r="C829" s="46">
        <v>44531</v>
      </c>
      <c r="D829" s="46">
        <v>44550</v>
      </c>
      <c r="E829" s="47">
        <v>44531</v>
      </c>
      <c r="F829" s="48" t="s">
        <v>41</v>
      </c>
      <c r="G829" s="45" t="s">
        <v>35</v>
      </c>
      <c r="H829" s="49" t="s">
        <v>177</v>
      </c>
      <c r="I829" s="49" t="s">
        <v>44</v>
      </c>
      <c r="J829" s="50">
        <v>5</v>
      </c>
      <c r="K829" s="51">
        <v>24</v>
      </c>
      <c r="L829" s="52">
        <v>-20</v>
      </c>
      <c r="M829" s="53">
        <v>3</v>
      </c>
      <c r="N829" s="28">
        <f>K829*J829</f>
        <v>120</v>
      </c>
      <c r="O829" s="65"/>
      <c r="P829" s="29">
        <v>0</v>
      </c>
      <c r="Q829" s="55"/>
      <c r="R829" s="31">
        <f>M829+Q829</f>
        <v>3</v>
      </c>
      <c r="S829" s="66"/>
      <c r="T829" s="32">
        <f>R829+S829+IF(F829="Without EV deal",L829,0)</f>
        <v>-17</v>
      </c>
      <c r="U829" s="57">
        <v>1</v>
      </c>
      <c r="V829" s="58"/>
      <c r="W829" s="58"/>
      <c r="X829" s="78">
        <v>0.25</v>
      </c>
      <c r="Y829" s="30">
        <f>IF(AG829="None",0,IF(AG829="Fix5",0.05, IF(AG829="Fix6.25",0.0625,IF(AG829="Fix3.75",0.0375,IF(AG829="Fix10",0.1,IF(AG829="Fix3",0.03,0))))))</f>
        <v>0</v>
      </c>
      <c r="Z829" s="35">
        <f>T829-AA829-AB829</f>
        <v>-12.75</v>
      </c>
      <c r="AA829" s="29">
        <f>IF(AD829="EUR",((T829-R829)*X829)*U829+(R829*X829),(T829*X829))</f>
        <v>-4.25</v>
      </c>
      <c r="AB829" s="36">
        <f>IF(AD829="EUR",((T829-R829)*Y829)*U829+(R829*Y829),(T829*Y829))</f>
        <v>0</v>
      </c>
      <c r="AC829" s="37" t="b">
        <v>1</v>
      </c>
      <c r="AD829" s="37" t="s">
        <v>38</v>
      </c>
      <c r="AE829" s="37" t="s">
        <v>38</v>
      </c>
      <c r="AF829" s="37" t="str">
        <f t="array" ref="AF829">INDEX('Deal Info'!D:D, MATCH(A829,'Deal Info'!A:A, 0))</f>
        <v>DoEVold</v>
      </c>
      <c r="AG829" s="38" t="str">
        <f t="array" ref="AG829">INDEX('Deal Info'!G:G, MATCH(A829,'Deal Info'!A:A, 0))</f>
        <v>None</v>
      </c>
    </row>
    <row r="830" spans="1:33" ht="14.25" hidden="1" x14ac:dyDescent="0.2">
      <c r="A830" s="18" t="str">
        <f t="array" ref="A830">IF(G830='Room Info'!$B$1, INDEX('Room Info'!$A$2:$A2446, MATCH(B830,'Room Info'!$B$2:$B2446, 0)),IF(G830='Room Info'!$C$1, INDEX('Room Info'!$A$2:$A2446, MATCH(B830,'Room Info'!$C$2:$C2446, 0)),IF(G830='Room Info'!$D$1, INDEX('Room Info'!$A$2:$A2446, MATCH(B830,'Room Info'!$D$2:$D2446, 0)),IF(G830='Room Info'!$E$1, INDEX('Room Info'!$A$2:$A2446, MATCH(B830,'Room Info'!$E$2:$E2446, 0)),IF(G830='Room Info'!$F$1, INDEX('Room Info'!$A$2:$A2446, MATCH(B830,'Room Info'!$F$2:$F2446, 0)),IF(G830='Room Info'!$H$1, INDEX('Room Info'!$A$2:$A2446, MATCH(B830,'Room Info'!$H$2:$H2446, 0)),IF(G830='Room Info'!$G$1, INDEX('Room Info'!$A$2:$A2446, MATCH(B830,'Room Info'!$G$2:$G2446, 0)))))))))</f>
        <v>kttweek1</v>
      </c>
      <c r="B830" s="45" t="s">
        <v>175</v>
      </c>
      <c r="C830" s="46">
        <v>44551</v>
      </c>
      <c r="D830" s="46">
        <v>44592</v>
      </c>
      <c r="E830" s="47">
        <v>44562</v>
      </c>
      <c r="F830" s="48" t="s">
        <v>49</v>
      </c>
      <c r="G830" s="45" t="s">
        <v>35</v>
      </c>
      <c r="H830" s="49" t="s">
        <v>115</v>
      </c>
      <c r="I830" s="49" t="s">
        <v>44</v>
      </c>
      <c r="J830" s="50">
        <v>10</v>
      </c>
      <c r="K830" s="51">
        <v>42</v>
      </c>
      <c r="L830" s="52">
        <v>120</v>
      </c>
      <c r="M830" s="53">
        <v>31</v>
      </c>
      <c r="N830" s="28">
        <f>K830*J830</f>
        <v>420</v>
      </c>
      <c r="O830" s="54">
        <v>1229</v>
      </c>
      <c r="P830" s="29">
        <v>29.26190476</v>
      </c>
      <c r="Q830" s="55"/>
      <c r="R830" s="31">
        <f>M830+Q830</f>
        <v>31</v>
      </c>
      <c r="S830" s="56">
        <v>7</v>
      </c>
      <c r="T830" s="32">
        <f>R830+S830+IF(F830="Without EV deal",L830,0)</f>
        <v>38</v>
      </c>
      <c r="U830" s="57">
        <v>1</v>
      </c>
      <c r="V830" s="58"/>
      <c r="W830" s="58"/>
      <c r="X830" s="78">
        <v>0.17</v>
      </c>
      <c r="Y830" s="30">
        <f>IF(AG830="None",0,IF(AG830="Fix5",0.05, IF(AG830="Fix6.25",0.0625,IF(AG830="Fix3.75",0.0375,IF(AG830="Fix10",0.1,IF(AG830="Fix3",0.03,0))))))</f>
        <v>0</v>
      </c>
      <c r="Z830" s="35">
        <f>T830-AA830-AB830</f>
        <v>31.54</v>
      </c>
      <c r="AA830" s="29">
        <f>IF(AD830="EUR",((T830-R830)*X830)*U830+(R830*X830),(T830*X830))</f>
        <v>6.4600000000000009</v>
      </c>
      <c r="AB830" s="36">
        <f>IF(AD830="EUR",((T830-R830)*Y830)*U830+(R830*Y830),(T830*Y830))</f>
        <v>0</v>
      </c>
      <c r="AC830" s="61" t="b">
        <v>1</v>
      </c>
      <c r="AD830" s="37" t="s">
        <v>38</v>
      </c>
      <c r="AE830" s="37" t="s">
        <v>38</v>
      </c>
      <c r="AF830" s="37" t="str">
        <f t="array" ref="AF830">INDEX('Deal Info'!D:D, MATCH(A830,'Deal Info'!A:A, 0))</f>
        <v>DoEVold</v>
      </c>
      <c r="AG830" s="38" t="str">
        <f t="array" ref="AG830">INDEX('Deal Info'!G:G, MATCH(A830,'Deal Info'!A:A, 0))</f>
        <v>None</v>
      </c>
    </row>
    <row r="831" spans="1:33" ht="14.25" hidden="1" x14ac:dyDescent="0.2">
      <c r="A831" s="18" t="str">
        <f t="array" ref="A831">IF(G831='Room Info'!$B$1, INDEX('Room Info'!$A$2:$A2446, MATCH(B831,'Room Info'!$B$2:$B2446, 0)),IF(G831='Room Info'!$C$1, INDEX('Room Info'!$A$2:$A2446, MATCH(B831,'Room Info'!$C$2:$C2446, 0)),IF(G831='Room Info'!$D$1, INDEX('Room Info'!$A$2:$A2446, MATCH(B831,'Room Info'!$D$2:$D2446, 0)),IF(G831='Room Info'!$E$1, INDEX('Room Info'!$A$2:$A2446, MATCH(B831,'Room Info'!$E$2:$E2446, 0)),IF(G831='Room Info'!$F$1, INDEX('Room Info'!$A$2:$A2446, MATCH(B831,'Room Info'!$F$2:$F2446, 0)),IF(G831='Room Info'!$H$1, INDEX('Room Info'!$A$2:$A2446, MATCH(B831,'Room Info'!$H$2:$H2446, 0)),IF(G831='Room Info'!$G$1, INDEX('Room Info'!$A$2:$A2446, MATCH(B831,'Room Info'!$G$2:$G2446, 0)))))))))</f>
        <v>kttweek1</v>
      </c>
      <c r="B831" s="54" t="s">
        <v>175</v>
      </c>
      <c r="C831" s="46">
        <v>44551</v>
      </c>
      <c r="D831" s="46">
        <v>44592</v>
      </c>
      <c r="E831" s="47">
        <v>44562</v>
      </c>
      <c r="F831" s="48" t="s">
        <v>49</v>
      </c>
      <c r="G831" s="45" t="s">
        <v>35</v>
      </c>
      <c r="H831" s="49" t="s">
        <v>40</v>
      </c>
      <c r="I831" s="49" t="s">
        <v>37</v>
      </c>
      <c r="J831" s="50">
        <v>10</v>
      </c>
      <c r="K831" s="51">
        <v>107</v>
      </c>
      <c r="L831" s="52">
        <v>-90</v>
      </c>
      <c r="M831" s="53">
        <v>80</v>
      </c>
      <c r="N831" s="28">
        <f>K831*J831</f>
        <v>1070</v>
      </c>
      <c r="O831" s="54">
        <v>5211</v>
      </c>
      <c r="P831" s="29">
        <v>48.700934580000002</v>
      </c>
      <c r="Q831" s="55"/>
      <c r="R831" s="31">
        <f>M831+Q831</f>
        <v>80</v>
      </c>
      <c r="S831" s="56">
        <v>17</v>
      </c>
      <c r="T831" s="32">
        <f>R831+S831+IF(F831="Without EV deal",L831,0)</f>
        <v>97</v>
      </c>
      <c r="U831" s="57">
        <v>1</v>
      </c>
      <c r="V831" s="58"/>
      <c r="W831" s="58"/>
      <c r="X831" s="78">
        <v>0.17</v>
      </c>
      <c r="Y831" s="30">
        <f>IF(AG831="None",0,IF(AG831="Fix5",0.05, IF(AG831="Fix6.25",0.0625,IF(AG831="Fix3.75",0.0375,IF(AG831="Fix10",0.1,IF(AG831="Fix3",0.03,0))))))</f>
        <v>0</v>
      </c>
      <c r="Z831" s="35">
        <f>T831-AA831-AB831</f>
        <v>80.509999999999991</v>
      </c>
      <c r="AA831" s="29">
        <f>IF(AD831="EUR",((T831-R831)*X831)*U831+(R831*X831),(T831*X831))</f>
        <v>16.490000000000002</v>
      </c>
      <c r="AB831" s="36">
        <f>IF(AD831="EUR",((T831-R831)*Y831)*U831+(R831*Y831),(T831*Y831))</f>
        <v>0</v>
      </c>
      <c r="AC831" s="61" t="b">
        <v>1</v>
      </c>
      <c r="AD831" s="37" t="s">
        <v>38</v>
      </c>
      <c r="AE831" s="37" t="s">
        <v>38</v>
      </c>
      <c r="AF831" s="37" t="str">
        <f t="array" ref="AF831">INDEX('Deal Info'!D:D, MATCH(A831,'Deal Info'!A:A, 0))</f>
        <v>DoEVold</v>
      </c>
      <c r="AG831" s="38" t="str">
        <f t="array" ref="AG831">INDEX('Deal Info'!G:G, MATCH(A831,'Deal Info'!A:A, 0))</f>
        <v>None</v>
      </c>
    </row>
    <row r="832" spans="1:33" ht="14.25" hidden="1" x14ac:dyDescent="0.2">
      <c r="A832" s="18" t="str">
        <f t="array" ref="A832">IF(G832='Room Info'!$B$1, INDEX('Room Info'!$A$2:$A2446, MATCH(B832,'Room Info'!$B$2:$B2446, 0)),IF(G832='Room Info'!$C$1, INDEX('Room Info'!$A$2:$A2446, MATCH(B832,'Room Info'!$C$2:$C2446, 0)),IF(G832='Room Info'!$D$1, INDEX('Room Info'!$A$2:$A2446, MATCH(B832,'Room Info'!$D$2:$D2446, 0)),IF(G832='Room Info'!$E$1, INDEX('Room Info'!$A$2:$A2446, MATCH(B832,'Room Info'!$E$2:$E2446, 0)),IF(G832='Room Info'!$F$1, INDEX('Room Info'!$A$2:$A2446, MATCH(B832,'Room Info'!$F$2:$F2446, 0)),IF(G832='Room Info'!$H$1, INDEX('Room Info'!$A$2:$A2446, MATCH(B832,'Room Info'!$H$2:$H2446, 0)),IF(G832='Room Info'!$G$1, INDEX('Room Info'!$A$2:$A2446, MATCH(B832,'Room Info'!$G$2:$G2446, 0)))))))))</f>
        <v>kttweek1</v>
      </c>
      <c r="B832" s="54" t="s">
        <v>175</v>
      </c>
      <c r="C832" s="46">
        <v>44551</v>
      </c>
      <c r="D832" s="46">
        <v>44592</v>
      </c>
      <c r="E832" s="47">
        <v>44562</v>
      </c>
      <c r="F832" s="48" t="s">
        <v>49</v>
      </c>
      <c r="G832" s="45" t="s">
        <v>35</v>
      </c>
      <c r="H832" s="49" t="s">
        <v>46</v>
      </c>
      <c r="I832" s="49" t="s">
        <v>37</v>
      </c>
      <c r="J832" s="50">
        <v>25</v>
      </c>
      <c r="K832" s="51">
        <v>855</v>
      </c>
      <c r="L832" s="52">
        <v>-575</v>
      </c>
      <c r="M832" s="53">
        <v>1369</v>
      </c>
      <c r="N832" s="28">
        <f>K832*J832</f>
        <v>21375</v>
      </c>
      <c r="O832" s="54">
        <v>37237</v>
      </c>
      <c r="P832" s="29">
        <v>43.552046779999998</v>
      </c>
      <c r="Q832" s="55"/>
      <c r="R832" s="31">
        <f>M832+Q832</f>
        <v>1369</v>
      </c>
      <c r="S832" s="56">
        <v>366</v>
      </c>
      <c r="T832" s="32">
        <f>R832+S832+IF(F832="Without EV deal",L832,0)</f>
        <v>1735</v>
      </c>
      <c r="U832" s="57">
        <v>1</v>
      </c>
      <c r="V832" s="58"/>
      <c r="W832" s="58"/>
      <c r="X832" s="78">
        <v>0.17</v>
      </c>
      <c r="Y832" s="30">
        <f>IF(AG832="None",0,IF(AG832="Fix5",0.05, IF(AG832="Fix6.25",0.0625,IF(AG832="Fix3.75",0.0375,IF(AG832="Fix10",0.1,IF(AG832="Fix3",0.03,0))))))</f>
        <v>0</v>
      </c>
      <c r="Z832" s="35">
        <f>T832-AA832-AB832</f>
        <v>1440.05</v>
      </c>
      <c r="AA832" s="29">
        <f>IF(AD832="EUR",((T832-R832)*X832)*U832+(R832*X832),(T832*X832))</f>
        <v>294.95000000000005</v>
      </c>
      <c r="AB832" s="36">
        <f>IF(AD832="EUR",((T832-R832)*Y832)*U832+(R832*Y832),(T832*Y832))</f>
        <v>0</v>
      </c>
      <c r="AC832" s="61" t="b">
        <v>1</v>
      </c>
      <c r="AD832" s="37" t="s">
        <v>38</v>
      </c>
      <c r="AE832" s="37" t="s">
        <v>38</v>
      </c>
      <c r="AF832" s="37" t="str">
        <f t="array" ref="AF832">INDEX('Deal Info'!D:D, MATCH(A832,'Deal Info'!A:A, 0))</f>
        <v>DoEVold</v>
      </c>
      <c r="AG832" s="38" t="str">
        <f t="array" ref="AG832">INDEX('Deal Info'!G:G, MATCH(A832,'Deal Info'!A:A, 0))</f>
        <v>None</v>
      </c>
    </row>
    <row r="833" spans="1:33" ht="14.25" hidden="1" x14ac:dyDescent="0.2">
      <c r="A833" s="18" t="str">
        <f t="array" ref="A833">IF(G833='Room Info'!$B$1, INDEX('Room Info'!$A$2:$A2446, MATCH(B833,'Room Info'!$B$2:$B2446, 0)),IF(G833='Room Info'!$C$1, INDEX('Room Info'!$A$2:$A2446, MATCH(B833,'Room Info'!$C$2:$C2446, 0)),IF(G833='Room Info'!$D$1, INDEX('Room Info'!$A$2:$A2446, MATCH(B833,'Room Info'!$D$2:$D2446, 0)),IF(G833='Room Info'!$E$1, INDEX('Room Info'!$A$2:$A2446, MATCH(B833,'Room Info'!$E$2:$E2446, 0)),IF(G833='Room Info'!$F$1, INDEX('Room Info'!$A$2:$A2446, MATCH(B833,'Room Info'!$F$2:$F2446, 0)),IF(G833='Room Info'!$H$1, INDEX('Room Info'!$A$2:$A2446, MATCH(B833,'Room Info'!$H$2:$H2446, 0)),IF(G833='Room Info'!$G$1, INDEX('Room Info'!$A$2:$A2446, MATCH(B833,'Room Info'!$G$2:$G2446, 0)))))))))</f>
        <v>kttweek1</v>
      </c>
      <c r="B833" s="45" t="s">
        <v>175</v>
      </c>
      <c r="C833" s="46">
        <v>44551</v>
      </c>
      <c r="D833" s="46">
        <v>44592</v>
      </c>
      <c r="E833" s="47">
        <v>44562</v>
      </c>
      <c r="F833" s="48" t="s">
        <v>49</v>
      </c>
      <c r="G833" s="45" t="s">
        <v>35</v>
      </c>
      <c r="H833" s="49" t="s">
        <v>72</v>
      </c>
      <c r="I833" s="49" t="s">
        <v>37</v>
      </c>
      <c r="J833" s="50">
        <v>50</v>
      </c>
      <c r="K833" s="51">
        <v>392</v>
      </c>
      <c r="L833" s="52">
        <v>950</v>
      </c>
      <c r="M833" s="53">
        <v>1254</v>
      </c>
      <c r="N833" s="28">
        <f>K833*J833</f>
        <v>19600</v>
      </c>
      <c r="O833" s="54">
        <v>24052</v>
      </c>
      <c r="P833" s="29">
        <v>61.357142860000003</v>
      </c>
      <c r="Q833" s="55"/>
      <c r="R833" s="31">
        <f>M833+Q833</f>
        <v>1254</v>
      </c>
      <c r="S833" s="56">
        <v>983</v>
      </c>
      <c r="T833" s="32">
        <f>R833+S833+IF(F833="Without EV deal",L833,0)</f>
        <v>2237</v>
      </c>
      <c r="U833" s="57">
        <v>1</v>
      </c>
      <c r="V833" s="58"/>
      <c r="W833" s="58"/>
      <c r="X833" s="78">
        <v>0.17</v>
      </c>
      <c r="Y833" s="30">
        <f>IF(AG833="None",0,IF(AG833="Fix5",0.05, IF(AG833="Fix6.25",0.0625,IF(AG833="Fix3.75",0.0375,IF(AG833="Fix10",0.1,IF(AG833="Fix3",0.03,0))))))</f>
        <v>0</v>
      </c>
      <c r="Z833" s="35">
        <f>T833-AA833-AB833</f>
        <v>1856.71</v>
      </c>
      <c r="AA833" s="29">
        <f>IF(AD833="EUR",((T833-R833)*X833)*U833+(R833*X833),(T833*X833))</f>
        <v>380.29</v>
      </c>
      <c r="AB833" s="36">
        <f>IF(AD833="EUR",((T833-R833)*Y833)*U833+(R833*Y833),(T833*Y833))</f>
        <v>0</v>
      </c>
      <c r="AC833" s="61" t="b">
        <v>1</v>
      </c>
      <c r="AD833" s="37" t="s">
        <v>38</v>
      </c>
      <c r="AE833" s="37" t="s">
        <v>38</v>
      </c>
      <c r="AF833" s="37" t="str">
        <f t="array" ref="AF833">INDEX('Deal Info'!D:D, MATCH(A833,'Deal Info'!A:A, 0))</f>
        <v>DoEVold</v>
      </c>
      <c r="AG833" s="38" t="str">
        <f t="array" ref="AG833">INDEX('Deal Info'!G:G, MATCH(A833,'Deal Info'!A:A, 0))</f>
        <v>None</v>
      </c>
    </row>
    <row r="834" spans="1:33" ht="14.25" hidden="1" x14ac:dyDescent="0.2">
      <c r="A834" s="18" t="str">
        <f t="array" ref="A834">IF(G834='Room Info'!$B$1, INDEX('Room Info'!$A$2:$A2446, MATCH(B834,'Room Info'!$B$2:$B2446, 0)),IF(G834='Room Info'!$C$1, INDEX('Room Info'!$A$2:$A2446, MATCH(B834,'Room Info'!$C$2:$C2446, 0)),IF(G834='Room Info'!$D$1, INDEX('Room Info'!$A$2:$A2446, MATCH(B834,'Room Info'!$D$2:$D2446, 0)),IF(G834='Room Info'!$E$1, INDEX('Room Info'!$A$2:$A2446, MATCH(B834,'Room Info'!$E$2:$E2446, 0)),IF(G834='Room Info'!$F$1, INDEX('Room Info'!$A$2:$A2446, MATCH(B834,'Room Info'!$F$2:$F2446, 0)),IF(G834='Room Info'!$H$1, INDEX('Room Info'!$A$2:$A2446, MATCH(B834,'Room Info'!$H$2:$H2446, 0)),IF(G834='Room Info'!$G$1, INDEX('Room Info'!$A$2:$A2446, MATCH(B834,'Room Info'!$G$2:$G2446, 0)))))))))</f>
        <v>kttweek1</v>
      </c>
      <c r="B834" s="45" t="s">
        <v>175</v>
      </c>
      <c r="C834" s="46">
        <v>44593</v>
      </c>
      <c r="D834" s="46">
        <v>44620</v>
      </c>
      <c r="E834" s="47">
        <v>44593</v>
      </c>
      <c r="F834" s="48" t="s">
        <v>49</v>
      </c>
      <c r="G834" s="45" t="s">
        <v>35</v>
      </c>
      <c r="H834" s="49" t="s">
        <v>46</v>
      </c>
      <c r="I834" s="49" t="s">
        <v>37</v>
      </c>
      <c r="J834" s="50">
        <v>25</v>
      </c>
      <c r="K834" s="51">
        <v>1387</v>
      </c>
      <c r="L834" s="52">
        <v>-325</v>
      </c>
      <c r="M834" s="53">
        <v>1181</v>
      </c>
      <c r="N834" s="28">
        <f>K834*J834</f>
        <v>34675</v>
      </c>
      <c r="O834" s="54">
        <v>69084</v>
      </c>
      <c r="P834" s="29">
        <v>49.808219180000002</v>
      </c>
      <c r="Q834" s="55"/>
      <c r="R834" s="31">
        <f>M834+Q834</f>
        <v>1181</v>
      </c>
      <c r="S834" s="56">
        <v>1054</v>
      </c>
      <c r="T834" s="32">
        <f>R834+S834+IF(F834="Without EV deal",L834,0)</f>
        <v>2235</v>
      </c>
      <c r="U834" s="57">
        <v>1</v>
      </c>
      <c r="V834" s="58"/>
      <c r="W834" s="58"/>
      <c r="X834" s="78">
        <v>0.17</v>
      </c>
      <c r="Y834" s="30">
        <f>IF(AG834="None",0,IF(AG834="Fix5",0.05, IF(AG834="Fix6.25",0.0625,IF(AG834="Fix3.75",0.0375,IF(AG834="Fix10",0.1,IF(AG834="Fix3",0.03,0))))))</f>
        <v>0</v>
      </c>
      <c r="Z834" s="35">
        <f>T834-AA834-AB834</f>
        <v>1855.05</v>
      </c>
      <c r="AA834" s="29">
        <f>IF(AD834="EUR",((T834-R834)*X834)*U834+(R834*X834),(T834*X834))</f>
        <v>379.95000000000005</v>
      </c>
      <c r="AB834" s="36">
        <f>IF(AD834="EUR",((T834-R834)*Y834)*U834+(R834*Y834),(T834*Y834))</f>
        <v>0</v>
      </c>
      <c r="AC834" s="37" t="b">
        <v>1</v>
      </c>
      <c r="AD834" s="37" t="s">
        <v>38</v>
      </c>
      <c r="AE834" s="37" t="s">
        <v>38</v>
      </c>
      <c r="AF834" s="37" t="str">
        <f t="array" ref="AF834">INDEX('Deal Info'!D:D, MATCH(A834,'Deal Info'!A:A, 0))</f>
        <v>DoEVold</v>
      </c>
      <c r="AG834" s="38" t="str">
        <f t="array" ref="AG834">INDEX('Deal Info'!G:G, MATCH(A834,'Deal Info'!A:A, 0))</f>
        <v>None</v>
      </c>
    </row>
    <row r="835" spans="1:33" ht="14.25" hidden="1" x14ac:dyDescent="0.2">
      <c r="A835" s="18" t="str">
        <f t="array" ref="A835">IF(G835='Room Info'!$B$1, INDEX('Room Info'!$A$2:$A2446, MATCH(B835,'Room Info'!$B$2:$B2446, 0)),IF(G835='Room Info'!$C$1, INDEX('Room Info'!$A$2:$A2446, MATCH(B835,'Room Info'!$C$2:$C2446, 0)),IF(G835='Room Info'!$D$1, INDEX('Room Info'!$A$2:$A2446, MATCH(B835,'Room Info'!$D$2:$D2446, 0)),IF(G835='Room Info'!$E$1, INDEX('Room Info'!$A$2:$A2446, MATCH(B835,'Room Info'!$E$2:$E2446, 0)),IF(G835='Room Info'!$F$1, INDEX('Room Info'!$A$2:$A2446, MATCH(B835,'Room Info'!$F$2:$F2446, 0)),IF(G835='Room Info'!$H$1, INDEX('Room Info'!$A$2:$A2446, MATCH(B835,'Room Info'!$H$2:$H2446, 0)),IF(G835='Room Info'!$G$1, INDEX('Room Info'!$A$2:$A2446, MATCH(B835,'Room Info'!$G$2:$G2446, 0)))))))))</f>
        <v>kttweek1</v>
      </c>
      <c r="B835" s="45" t="s">
        <v>175</v>
      </c>
      <c r="C835" s="46">
        <v>44593</v>
      </c>
      <c r="D835" s="46">
        <v>44620</v>
      </c>
      <c r="E835" s="47">
        <v>44593</v>
      </c>
      <c r="F835" s="48" t="s">
        <v>49</v>
      </c>
      <c r="G835" s="45" t="s">
        <v>35</v>
      </c>
      <c r="H835" s="49" t="s">
        <v>72</v>
      </c>
      <c r="I835" s="49" t="s">
        <v>37</v>
      </c>
      <c r="J835" s="50">
        <v>50</v>
      </c>
      <c r="K835" s="51">
        <v>443</v>
      </c>
      <c r="L835" s="52">
        <v>250</v>
      </c>
      <c r="M835" s="53">
        <v>754</v>
      </c>
      <c r="N835" s="28">
        <f>K835*J835</f>
        <v>22150</v>
      </c>
      <c r="O835" s="54">
        <v>15161</v>
      </c>
      <c r="P835" s="29">
        <v>34.223476300000002</v>
      </c>
      <c r="Q835" s="55"/>
      <c r="R835" s="31">
        <f>M835+Q835</f>
        <v>754</v>
      </c>
      <c r="S835" s="56">
        <v>32</v>
      </c>
      <c r="T835" s="32">
        <f>R835+S835+IF(F835="Without EV deal",L835,0)</f>
        <v>786</v>
      </c>
      <c r="U835" s="57">
        <v>1</v>
      </c>
      <c r="V835" s="58"/>
      <c r="W835" s="58"/>
      <c r="X835" s="78">
        <v>0.17</v>
      </c>
      <c r="Y835" s="30">
        <f>IF(AG835="None",0,IF(AG835="Fix5",0.05, IF(AG835="Fix6.25",0.0625,IF(AG835="Fix3.75",0.0375,IF(AG835="Fix10",0.1,IF(AG835="Fix3",0.03,0))))))</f>
        <v>0</v>
      </c>
      <c r="Z835" s="35">
        <f>T835-AA835-AB835</f>
        <v>652.38</v>
      </c>
      <c r="AA835" s="29">
        <f>IF(AD835="EUR",((T835-R835)*X835)*U835+(R835*X835),(T835*X835))</f>
        <v>133.62</v>
      </c>
      <c r="AB835" s="36">
        <f>IF(AD835="EUR",((T835-R835)*Y835)*U835+(R835*Y835),(T835*Y835))</f>
        <v>0</v>
      </c>
      <c r="AC835" s="37" t="b">
        <v>1</v>
      </c>
      <c r="AD835" s="37" t="s">
        <v>38</v>
      </c>
      <c r="AE835" s="37" t="s">
        <v>38</v>
      </c>
      <c r="AF835" s="37" t="str">
        <f t="array" ref="AF835">INDEX('Deal Info'!D:D, MATCH(A835,'Deal Info'!A:A, 0))</f>
        <v>DoEVold</v>
      </c>
      <c r="AG835" s="38" t="str">
        <f t="array" ref="AG835">INDEX('Deal Info'!G:G, MATCH(A835,'Deal Info'!A:A, 0))</f>
        <v>None</v>
      </c>
    </row>
    <row r="836" spans="1:33" ht="14.25" hidden="1" x14ac:dyDescent="0.2">
      <c r="A836" s="18" t="str">
        <f t="array" ref="A836">IF(G836='Room Info'!$B$1, INDEX('Room Info'!$A$2:$A2446, MATCH(B836,'Room Info'!$B$2:$B2446, 0)),IF(G836='Room Info'!$C$1, INDEX('Room Info'!$A$2:$A2446, MATCH(B836,'Room Info'!$C$2:$C2446, 0)),IF(G836='Room Info'!$D$1, INDEX('Room Info'!$A$2:$A2446, MATCH(B836,'Room Info'!$D$2:$D2446, 0)),IF(G836='Room Info'!$E$1, INDEX('Room Info'!$A$2:$A2446, MATCH(B836,'Room Info'!$E$2:$E2446, 0)),IF(G836='Room Info'!$F$1, INDEX('Room Info'!$A$2:$A2446, MATCH(B836,'Room Info'!$F$2:$F2446, 0)),IF(G836='Room Info'!$H$1, INDEX('Room Info'!$A$2:$A2446, MATCH(B836,'Room Info'!$H$2:$H2446, 0)),IF(G836='Room Info'!$G$1, INDEX('Room Info'!$A$2:$A2446, MATCH(B836,'Room Info'!$G$2:$G2446, 0)))))))))</f>
        <v>kttweek1</v>
      </c>
      <c r="B836" s="45" t="s">
        <v>175</v>
      </c>
      <c r="C836" s="77">
        <v>44593</v>
      </c>
      <c r="D836" s="77">
        <v>44620</v>
      </c>
      <c r="E836" s="47">
        <v>44593</v>
      </c>
      <c r="F836" s="48" t="s">
        <v>49</v>
      </c>
      <c r="G836" s="45" t="s">
        <v>35</v>
      </c>
      <c r="H836" s="49" t="s">
        <v>85</v>
      </c>
      <c r="I836" s="49" t="s">
        <v>44</v>
      </c>
      <c r="J836" s="74">
        <v>50</v>
      </c>
      <c r="K836" s="75">
        <v>364</v>
      </c>
      <c r="L836" s="72">
        <v>-1050</v>
      </c>
      <c r="M836" s="76">
        <v>620</v>
      </c>
      <c r="N836" s="28">
        <f>K836*J836</f>
        <v>18200</v>
      </c>
      <c r="O836" s="45">
        <v>5410</v>
      </c>
      <c r="P836" s="29">
        <v>14.862637360000001</v>
      </c>
      <c r="Q836" s="55"/>
      <c r="R836" s="31">
        <f>M836+Q836</f>
        <v>620</v>
      </c>
      <c r="S836" s="73">
        <v>-294</v>
      </c>
      <c r="T836" s="32">
        <f>R836+S836+IF(F836="Without EV deal",L836,0)</f>
        <v>326</v>
      </c>
      <c r="U836" s="57">
        <v>1</v>
      </c>
      <c r="V836" s="58"/>
      <c r="W836" s="58"/>
      <c r="X836" s="78">
        <v>0.17</v>
      </c>
      <c r="Y836" s="30">
        <f>IF(AG836="None",0,IF(AG836="Fix5",0.05, IF(AG836="Fix6.25",0.0625,IF(AG836="Fix3.75",0.0375,IF(AG836="Fix10",0.1,IF(AG836="Fix3",0.03,0))))))</f>
        <v>0</v>
      </c>
      <c r="Z836" s="35">
        <f>T836-AA836-AB836</f>
        <v>270.58</v>
      </c>
      <c r="AA836" s="29">
        <f>IF(AD836="EUR",((T836-R836)*X836)*U836+(R836*X836),(T836*X836))</f>
        <v>55.42</v>
      </c>
      <c r="AB836" s="36">
        <f>IF(AD836="EUR",((T836-R836)*Y836)*U836+(R836*Y836),(T836*Y836))</f>
        <v>0</v>
      </c>
      <c r="AC836" s="37" t="b">
        <v>1</v>
      </c>
      <c r="AD836" s="37" t="s">
        <v>38</v>
      </c>
      <c r="AE836" s="37" t="s">
        <v>38</v>
      </c>
      <c r="AF836" s="37" t="str">
        <f t="array" ref="AF836">INDEX('Deal Info'!D:D, MATCH(A836,'Deal Info'!A:A, 0))</f>
        <v>DoEVold</v>
      </c>
      <c r="AG836" s="38" t="str">
        <f t="array" ref="AG836">INDEX('Deal Info'!G:G, MATCH(A836,'Deal Info'!A:A, 0))</f>
        <v>None</v>
      </c>
    </row>
    <row r="837" spans="1:33" ht="14.25" hidden="1" x14ac:dyDescent="0.2">
      <c r="A837" s="18" t="str">
        <f t="array" ref="A837">IF(G837='Room Info'!$B$1, INDEX('Room Info'!$A$2:$A2446, MATCH(B837,'Room Info'!$B$2:$B2446, 0)),IF(G837='Room Info'!$C$1, INDEX('Room Info'!$A$2:$A2446, MATCH(B837,'Room Info'!$C$2:$C2446, 0)),IF(G837='Room Info'!$D$1, INDEX('Room Info'!$A$2:$A2446, MATCH(B837,'Room Info'!$D$2:$D2446, 0)),IF(G837='Room Info'!$E$1, INDEX('Room Info'!$A$2:$A2446, MATCH(B837,'Room Info'!$E$2:$E2446, 0)),IF(G837='Room Info'!$F$1, INDEX('Room Info'!$A$2:$A2446, MATCH(B837,'Room Info'!$F$2:$F2446, 0)),IF(G837='Room Info'!$H$1, INDEX('Room Info'!$A$2:$A2446, MATCH(B837,'Room Info'!$H$2:$H2446, 0)),IF(G837='Room Info'!$G$1, INDEX('Room Info'!$A$2:$A2446, MATCH(B837,'Room Info'!$G$2:$G2446, 0)))))))))</f>
        <v>kttweek1</v>
      </c>
      <c r="B837" s="45" t="s">
        <v>175</v>
      </c>
      <c r="C837" s="77">
        <v>44621</v>
      </c>
      <c r="D837" s="77">
        <v>44651</v>
      </c>
      <c r="E837" s="47">
        <v>44621</v>
      </c>
      <c r="F837" s="48" t="s">
        <v>49</v>
      </c>
      <c r="G837" s="45" t="s">
        <v>35</v>
      </c>
      <c r="H837" s="49" t="s">
        <v>46</v>
      </c>
      <c r="I837" s="49" t="s">
        <v>37</v>
      </c>
      <c r="J837" s="74">
        <v>25</v>
      </c>
      <c r="K837" s="75">
        <v>124</v>
      </c>
      <c r="L837" s="72">
        <v>375</v>
      </c>
      <c r="M837" s="76">
        <v>126</v>
      </c>
      <c r="N837" s="28">
        <f>K837*J837</f>
        <v>3100</v>
      </c>
      <c r="O837" s="45">
        <v>5389</v>
      </c>
      <c r="P837" s="29">
        <v>43.459677419999998</v>
      </c>
      <c r="Q837" s="55"/>
      <c r="R837" s="31">
        <f>M837+Q837</f>
        <v>126</v>
      </c>
      <c r="S837" s="73">
        <v>55</v>
      </c>
      <c r="T837" s="32">
        <f>R837+S837+IF(F837="Without EV deal",L837,0)</f>
        <v>181</v>
      </c>
      <c r="U837" s="57">
        <v>1</v>
      </c>
      <c r="V837" s="58"/>
      <c r="W837" s="58"/>
      <c r="X837" s="78">
        <v>0.17</v>
      </c>
      <c r="Y837" s="30">
        <f>IF(AG837="None",0,IF(AG837="Fix5",0.05, IF(AG837="Fix6.25",0.0625,IF(AG837="Fix3.75",0.0375,IF(AG837="Fix10",0.1,IF(AG837="Fix3",0.03,0))))))</f>
        <v>0</v>
      </c>
      <c r="Z837" s="35">
        <f>T837-AA837-AB837</f>
        <v>150.22999999999999</v>
      </c>
      <c r="AA837" s="29">
        <f>IF(AD837="EUR",((T837-R837)*X837)*U837+(R837*X837),(T837*X837))</f>
        <v>30.770000000000003</v>
      </c>
      <c r="AB837" s="36">
        <f>IF(AD837="EUR",((T837-R837)*Y837)*U837+(R837*Y837),(T837*Y837))</f>
        <v>0</v>
      </c>
      <c r="AC837" s="37" t="b">
        <v>1</v>
      </c>
      <c r="AD837" s="37" t="s">
        <v>38</v>
      </c>
      <c r="AE837" s="37" t="s">
        <v>38</v>
      </c>
      <c r="AF837" s="37" t="str">
        <f t="array" ref="AF837">INDEX('Deal Info'!D:D, MATCH(A837,'Deal Info'!A:A, 0))</f>
        <v>DoEVold</v>
      </c>
      <c r="AG837" s="38" t="str">
        <f t="array" ref="AG837">INDEX('Deal Info'!G:G, MATCH(A837,'Deal Info'!A:A, 0))</f>
        <v>None</v>
      </c>
    </row>
    <row r="838" spans="1:33" ht="14.25" hidden="1" x14ac:dyDescent="0.2">
      <c r="A838" s="18" t="str">
        <f t="array" ref="A838">IF(G838='Room Info'!$B$1, INDEX('Room Info'!$A$2:$A2446, MATCH(B838,'Room Info'!$B$2:$B2446, 0)),IF(G838='Room Info'!$C$1, INDEX('Room Info'!$A$2:$A2446, MATCH(B838,'Room Info'!$C$2:$C2446, 0)),IF(G838='Room Info'!$D$1, INDEX('Room Info'!$A$2:$A2446, MATCH(B838,'Room Info'!$D$2:$D2446, 0)),IF(G838='Room Info'!$E$1, INDEX('Room Info'!$A$2:$A2446, MATCH(B838,'Room Info'!$E$2:$E2446, 0)),IF(G838='Room Info'!$F$1, INDEX('Room Info'!$A$2:$A2446, MATCH(B838,'Room Info'!$F$2:$F2446, 0)),IF(G838='Room Info'!$H$1, INDEX('Room Info'!$A$2:$A2446, MATCH(B838,'Room Info'!$H$2:$H2446, 0)),IF(G838='Room Info'!$G$1, INDEX('Room Info'!$A$2:$A2446, MATCH(B838,'Room Info'!$G$2:$G2446, 0)))))))))</f>
        <v>kttweek1</v>
      </c>
      <c r="B838" s="45" t="s">
        <v>175</v>
      </c>
      <c r="C838" s="77">
        <v>44621</v>
      </c>
      <c r="D838" s="77">
        <v>44651</v>
      </c>
      <c r="E838" s="47">
        <v>44621</v>
      </c>
      <c r="F838" s="48" t="s">
        <v>49</v>
      </c>
      <c r="G838" s="45" t="s">
        <v>35</v>
      </c>
      <c r="H838" s="49" t="s">
        <v>72</v>
      </c>
      <c r="I838" s="49" t="s">
        <v>37</v>
      </c>
      <c r="J838" s="74">
        <v>50</v>
      </c>
      <c r="K838" s="75">
        <v>1164</v>
      </c>
      <c r="L838" s="72">
        <v>-700</v>
      </c>
      <c r="M838" s="76">
        <v>2364</v>
      </c>
      <c r="N838" s="28">
        <f>K838*J838</f>
        <v>58200</v>
      </c>
      <c r="O838" s="45">
        <v>40928</v>
      </c>
      <c r="P838" s="29">
        <v>35.161512029999997</v>
      </c>
      <c r="Q838" s="55"/>
      <c r="R838" s="31">
        <f>M838+Q838</f>
        <v>2364</v>
      </c>
      <c r="S838" s="73">
        <v>140</v>
      </c>
      <c r="T838" s="32">
        <f>R838+S838+IF(F838="Without EV deal",L838,0)</f>
        <v>2504</v>
      </c>
      <c r="U838" s="57">
        <v>1</v>
      </c>
      <c r="V838" s="58"/>
      <c r="W838" s="58"/>
      <c r="X838" s="78">
        <v>0.17</v>
      </c>
      <c r="Y838" s="30">
        <f>IF(AG838="None",0,IF(AG838="Fix5",0.05, IF(AG838="Fix6.25",0.0625,IF(AG838="Fix3.75",0.0375,IF(AG838="Fix10",0.1,IF(AG838="Fix3",0.03,0))))))</f>
        <v>0</v>
      </c>
      <c r="Z838" s="35">
        <f>T838-AA838-AB838</f>
        <v>2078.3200000000002</v>
      </c>
      <c r="AA838" s="29">
        <f>IF(AD838="EUR",((T838-R838)*X838)*U838+(R838*X838),(T838*X838))</f>
        <v>425.68</v>
      </c>
      <c r="AB838" s="36">
        <f>IF(AD838="EUR",((T838-R838)*Y838)*U838+(R838*Y838),(T838*Y838))</f>
        <v>0</v>
      </c>
      <c r="AC838" s="37" t="b">
        <v>1</v>
      </c>
      <c r="AD838" s="37" t="s">
        <v>38</v>
      </c>
      <c r="AE838" s="37" t="s">
        <v>38</v>
      </c>
      <c r="AF838" s="37" t="str">
        <f t="array" ref="AF838">INDEX('Deal Info'!D:D, MATCH(A838,'Deal Info'!A:A, 0))</f>
        <v>DoEVold</v>
      </c>
      <c r="AG838" s="38" t="str">
        <f t="array" ref="AG838">INDEX('Deal Info'!G:G, MATCH(A838,'Deal Info'!A:A, 0))</f>
        <v>None</v>
      </c>
    </row>
    <row r="839" spans="1:33" ht="14.25" hidden="1" x14ac:dyDescent="0.2">
      <c r="A839" s="18" t="str">
        <f t="array" ref="A839">IF(G839='Room Info'!$B$1, INDEX('Room Info'!$A$2:$A2446, MATCH(B839,'Room Info'!$B$2:$B2446, 0)),IF(G839='Room Info'!$C$1, INDEX('Room Info'!$A$2:$A2446, MATCH(B839,'Room Info'!$C$2:$C2446, 0)),IF(G839='Room Info'!$D$1, INDEX('Room Info'!$A$2:$A2446, MATCH(B839,'Room Info'!$D$2:$D2446, 0)),IF(G839='Room Info'!$E$1, INDEX('Room Info'!$A$2:$A2446, MATCH(B839,'Room Info'!$E$2:$E2446, 0)),IF(G839='Room Info'!$F$1, INDEX('Room Info'!$A$2:$A2446, MATCH(B839,'Room Info'!$F$2:$F2446, 0)),IF(G839='Room Info'!$H$1, INDEX('Room Info'!$A$2:$A2446, MATCH(B839,'Room Info'!$H$2:$H2446, 0)),IF(G839='Room Info'!$G$1, INDEX('Room Info'!$A$2:$A2446, MATCH(B839,'Room Info'!$G$2:$G2446, 0)))))))))</f>
        <v>kttweek1</v>
      </c>
      <c r="B839" s="45" t="s">
        <v>175</v>
      </c>
      <c r="C839" s="77">
        <v>44621</v>
      </c>
      <c r="D839" s="77">
        <v>44651</v>
      </c>
      <c r="E839" s="47">
        <v>44621</v>
      </c>
      <c r="F839" s="48" t="s">
        <v>49</v>
      </c>
      <c r="G839" s="54" t="s">
        <v>35</v>
      </c>
      <c r="H839" s="49" t="s">
        <v>85</v>
      </c>
      <c r="I839" s="49" t="s">
        <v>44</v>
      </c>
      <c r="J839" s="74">
        <v>50</v>
      </c>
      <c r="K839" s="75">
        <v>276</v>
      </c>
      <c r="L839" s="72">
        <v>-1350</v>
      </c>
      <c r="M839" s="53">
        <v>560</v>
      </c>
      <c r="N839" s="28">
        <f>K839*J839</f>
        <v>13800</v>
      </c>
      <c r="O839" s="45">
        <v>-1304</v>
      </c>
      <c r="P839" s="29">
        <v>-4.7246376809999999</v>
      </c>
      <c r="Q839" s="55"/>
      <c r="R839" s="31">
        <f>M839+Q839</f>
        <v>560</v>
      </c>
      <c r="S839" s="73">
        <v>-1069</v>
      </c>
      <c r="T839" s="32">
        <f>R839+S839+IF(F839="Without EV deal",L839,0)</f>
        <v>-509</v>
      </c>
      <c r="U839" s="57">
        <v>1</v>
      </c>
      <c r="V839" s="58"/>
      <c r="W839" s="58"/>
      <c r="X839" s="78">
        <v>0.17</v>
      </c>
      <c r="Y839" s="30">
        <f>IF(AG839="None",0,IF(AG839="Fix5",0.05, IF(AG839="Fix6.25",0.0625,IF(AG839="Fix3.75",0.0375,IF(AG839="Fix10",0.1,IF(AG839="Fix3",0.03,0))))))</f>
        <v>0</v>
      </c>
      <c r="Z839" s="35">
        <f>T839-AA839-AB839</f>
        <v>-422.47</v>
      </c>
      <c r="AA839" s="29">
        <f>IF(AD839="EUR",((T839-R839)*X839)*U839+(R839*X839),(T839*X839))</f>
        <v>-86.53</v>
      </c>
      <c r="AB839" s="36">
        <f>IF(AD839="EUR",((T839-R839)*Y839)*U839+(R839*Y839),(T839*Y839))</f>
        <v>0</v>
      </c>
      <c r="AC839" s="37" t="b">
        <v>1</v>
      </c>
      <c r="AD839" s="37" t="s">
        <v>38</v>
      </c>
      <c r="AE839" s="37" t="s">
        <v>38</v>
      </c>
      <c r="AF839" s="37" t="str">
        <f t="array" ref="AF839">INDEX('Deal Info'!D:D, MATCH(A839,'Deal Info'!A:A, 0))</f>
        <v>DoEVold</v>
      </c>
      <c r="AG839" s="38" t="str">
        <f t="array" ref="AG839">INDEX('Deal Info'!G:G, MATCH(A839,'Deal Info'!A:A, 0))</f>
        <v>None</v>
      </c>
    </row>
    <row r="840" spans="1:33" ht="14.25" hidden="1" x14ac:dyDescent="0.2">
      <c r="A840" s="18" t="str">
        <f t="array" ref="A840">IF(G840='Room Info'!$B$1, INDEX('Room Info'!$A$2:$A2446, MATCH(B840,'Room Info'!$B$2:$B2446, 0)),IF(G840='Room Info'!$C$1, INDEX('Room Info'!$A$2:$A2446, MATCH(B840,'Room Info'!$C$2:$C2446, 0)),IF(G840='Room Info'!$D$1, INDEX('Room Info'!$A$2:$A2446, MATCH(B840,'Room Info'!$D$2:$D2446, 0)),IF(G840='Room Info'!$E$1, INDEX('Room Info'!$A$2:$A2446, MATCH(B840,'Room Info'!$E$2:$E2446, 0)),IF(G840='Room Info'!$F$1, INDEX('Room Info'!$A$2:$A2446, MATCH(B840,'Room Info'!$F$2:$F2446, 0)),IF(G840='Room Info'!$H$1, INDEX('Room Info'!$A$2:$A2446, MATCH(B840,'Room Info'!$H$2:$H2446, 0)),IF(G840='Room Info'!$G$1, INDEX('Room Info'!$A$2:$A2446, MATCH(B840,'Room Info'!$G$2:$G2446, 0)))))))))</f>
        <v>kttweek1</v>
      </c>
      <c r="B840" s="45" t="s">
        <v>175</v>
      </c>
      <c r="C840" s="77">
        <v>44652</v>
      </c>
      <c r="D840" s="77">
        <v>44681</v>
      </c>
      <c r="E840" s="47">
        <v>44652</v>
      </c>
      <c r="F840" s="48" t="s">
        <v>49</v>
      </c>
      <c r="G840" s="54" t="s">
        <v>35</v>
      </c>
      <c r="H840" s="49" t="s">
        <v>115</v>
      </c>
      <c r="I840" s="49" t="s">
        <v>44</v>
      </c>
      <c r="J840" s="74">
        <v>10</v>
      </c>
      <c r="K840" s="75">
        <v>2</v>
      </c>
      <c r="L840" s="72">
        <v>-20</v>
      </c>
      <c r="M840" s="62"/>
      <c r="N840" s="28">
        <f>K840*J840</f>
        <v>20</v>
      </c>
      <c r="O840" s="45">
        <v>-204</v>
      </c>
      <c r="P840" s="29">
        <v>-102</v>
      </c>
      <c r="Q840" s="55"/>
      <c r="R840" s="31">
        <f>M840+Q840</f>
        <v>0</v>
      </c>
      <c r="S840" s="73">
        <v>-8</v>
      </c>
      <c r="T840" s="32">
        <f>R840+S840+IF(F840="Without EV deal",L840,0)</f>
        <v>-8</v>
      </c>
      <c r="U840" s="57">
        <v>1</v>
      </c>
      <c r="V840" s="58"/>
      <c r="W840" s="58"/>
      <c r="X840" s="78">
        <v>0.25</v>
      </c>
      <c r="Y840" s="30">
        <f>IF(AG840="None",0,IF(AG840="Fix5",0.05, IF(AG840="Fix6.25",0.0625,IF(AG840="Fix3.75",0.0375,IF(AG840="Fix10",0.1,IF(AG840="Fix3",0.03,0))))))</f>
        <v>0</v>
      </c>
      <c r="Z840" s="35">
        <f>T840-AA840-AB840</f>
        <v>-6</v>
      </c>
      <c r="AA840" s="29">
        <f>IF(AD840="EUR",((T840-R840)*X840)*U840+(R840*X840),(T840*X840))</f>
        <v>-2</v>
      </c>
      <c r="AB840" s="36">
        <f>IF(AD840="EUR",((T840-R840)*Y840)*U840+(R840*Y840),(T840*Y840))</f>
        <v>0</v>
      </c>
      <c r="AC840" s="37" t="b">
        <v>1</v>
      </c>
      <c r="AD840" s="37" t="s">
        <v>38</v>
      </c>
      <c r="AE840" s="37" t="s">
        <v>38</v>
      </c>
      <c r="AF840" s="37" t="str">
        <f t="array" ref="AF840">INDEX('Deal Info'!D:D, MATCH(A840,'Deal Info'!A:A, 0))</f>
        <v>DoEVold</v>
      </c>
      <c r="AG840" s="38" t="str">
        <f t="array" ref="AG840">INDEX('Deal Info'!G:G, MATCH(A840,'Deal Info'!A:A, 0))</f>
        <v>None</v>
      </c>
    </row>
    <row r="841" spans="1:33" ht="14.25" hidden="1" x14ac:dyDescent="0.2">
      <c r="A841" s="18" t="str">
        <f t="array" ref="A841">IF(G841='Room Info'!$B$1, INDEX('Room Info'!$A$2:$A2446, MATCH(B841,'Room Info'!$B$2:$B2446, 0)),IF(G841='Room Info'!$C$1, INDEX('Room Info'!$A$2:$A2446, MATCH(B841,'Room Info'!$C$2:$C2446, 0)),IF(G841='Room Info'!$D$1, INDEX('Room Info'!$A$2:$A2446, MATCH(B841,'Room Info'!$D$2:$D2446, 0)),IF(G841='Room Info'!$E$1, INDEX('Room Info'!$A$2:$A2446, MATCH(B841,'Room Info'!$E$2:$E2446, 0)),IF(G841='Room Info'!$F$1, INDEX('Room Info'!$A$2:$A2446, MATCH(B841,'Room Info'!$F$2:$F2446, 0)),IF(G841='Room Info'!$H$1, INDEX('Room Info'!$A$2:$A2446, MATCH(B841,'Room Info'!$H$2:$H2446, 0)),IF(G841='Room Info'!$G$1, INDEX('Room Info'!$A$2:$A2446, MATCH(B841,'Room Info'!$G$2:$G2446, 0)))))))))</f>
        <v>kttweek1</v>
      </c>
      <c r="B841" s="45" t="s">
        <v>175</v>
      </c>
      <c r="C841" s="46">
        <v>44652</v>
      </c>
      <c r="D841" s="46">
        <v>44681</v>
      </c>
      <c r="E841" s="47">
        <v>44652</v>
      </c>
      <c r="F841" s="48" t="s">
        <v>49</v>
      </c>
      <c r="G841" s="45" t="s">
        <v>35</v>
      </c>
      <c r="H841" s="49" t="s">
        <v>46</v>
      </c>
      <c r="I841" s="49" t="s">
        <v>37</v>
      </c>
      <c r="J841" s="50">
        <v>25</v>
      </c>
      <c r="K841" s="51">
        <v>390</v>
      </c>
      <c r="L841" s="52">
        <v>-1025</v>
      </c>
      <c r="M841" s="53">
        <v>364</v>
      </c>
      <c r="N841" s="28">
        <f>K841*J841</f>
        <v>9750</v>
      </c>
      <c r="O841" s="54">
        <v>10022</v>
      </c>
      <c r="P841" s="29">
        <v>25.697435899999999</v>
      </c>
      <c r="Q841" s="55"/>
      <c r="R841" s="31">
        <f>M841+Q841</f>
        <v>364</v>
      </c>
      <c r="S841" s="56">
        <v>-156</v>
      </c>
      <c r="T841" s="32">
        <f>R841+S841+IF(F841="Without EV deal",L841,0)</f>
        <v>208</v>
      </c>
      <c r="U841" s="57">
        <v>1</v>
      </c>
      <c r="V841" s="58"/>
      <c r="W841" s="58"/>
      <c r="X841" s="78">
        <v>0.25</v>
      </c>
      <c r="Y841" s="30">
        <f>IF(AG841="None",0,IF(AG841="Fix5",0.05, IF(AG841="Fix6.25",0.0625,IF(AG841="Fix3.75",0.0375,IF(AG841="Fix10",0.1,IF(AG841="Fix3",0.03,0))))))</f>
        <v>0</v>
      </c>
      <c r="Z841" s="35">
        <f>T841-AA841-AB841</f>
        <v>156</v>
      </c>
      <c r="AA841" s="29">
        <f>IF(AD841="EUR",((T841-R841)*X841)*U841+(R841*X841),(T841*X841))</f>
        <v>52</v>
      </c>
      <c r="AB841" s="36">
        <f>IF(AD841="EUR",((T841-R841)*Y841)*U841+(R841*Y841),(T841*Y841))</f>
        <v>0</v>
      </c>
      <c r="AC841" s="37" t="b">
        <v>1</v>
      </c>
      <c r="AD841" s="37" t="s">
        <v>38</v>
      </c>
      <c r="AE841" s="37" t="s">
        <v>38</v>
      </c>
      <c r="AF841" s="37" t="str">
        <f t="array" ref="AF841">INDEX('Deal Info'!D:D, MATCH(A841,'Deal Info'!A:A, 0))</f>
        <v>DoEVold</v>
      </c>
      <c r="AG841" s="38" t="str">
        <f t="array" ref="AG841">INDEX('Deal Info'!G:G, MATCH(A841,'Deal Info'!A:A, 0))</f>
        <v>None</v>
      </c>
    </row>
    <row r="842" spans="1:33" ht="14.25" hidden="1" x14ac:dyDescent="0.2">
      <c r="A842" s="18" t="str">
        <f t="array" ref="A842">IF(G842='Room Info'!$B$1, INDEX('Room Info'!$A$2:$A2446, MATCH(B842,'Room Info'!$B$2:$B2446, 0)),IF(G842='Room Info'!$C$1, INDEX('Room Info'!$A$2:$A2446, MATCH(B842,'Room Info'!$C$2:$C2446, 0)),IF(G842='Room Info'!$D$1, INDEX('Room Info'!$A$2:$A2446, MATCH(B842,'Room Info'!$D$2:$D2446, 0)),IF(G842='Room Info'!$E$1, INDEX('Room Info'!$A$2:$A2446, MATCH(B842,'Room Info'!$E$2:$E2446, 0)),IF(G842='Room Info'!$F$1, INDEX('Room Info'!$A$2:$A2446, MATCH(B842,'Room Info'!$F$2:$F2446, 0)),IF(G842='Room Info'!$H$1, INDEX('Room Info'!$A$2:$A2446, MATCH(B842,'Room Info'!$H$2:$H2446, 0)),IF(G842='Room Info'!$G$1, INDEX('Room Info'!$A$2:$A2446, MATCH(B842,'Room Info'!$G$2:$G2446, 0)))))))))</f>
        <v>kttweek1</v>
      </c>
      <c r="B842" s="45" t="s">
        <v>175</v>
      </c>
      <c r="C842" s="46">
        <v>44652</v>
      </c>
      <c r="D842" s="46">
        <v>44681</v>
      </c>
      <c r="E842" s="47">
        <v>44652</v>
      </c>
      <c r="F842" s="48" t="s">
        <v>49</v>
      </c>
      <c r="G842" s="45" t="s">
        <v>35</v>
      </c>
      <c r="H842" s="49" t="s">
        <v>87</v>
      </c>
      <c r="I842" s="49" t="s">
        <v>44</v>
      </c>
      <c r="J842" s="50">
        <v>25</v>
      </c>
      <c r="K842" s="51">
        <v>1</v>
      </c>
      <c r="L842" s="52">
        <v>-25</v>
      </c>
      <c r="M842" s="62"/>
      <c r="N842" s="28">
        <f>K842*J842</f>
        <v>25</v>
      </c>
      <c r="O842" s="54">
        <v>-8</v>
      </c>
      <c r="P842" s="29">
        <v>-8</v>
      </c>
      <c r="Q842" s="55"/>
      <c r="R842" s="31">
        <f>M842+Q842</f>
        <v>0</v>
      </c>
      <c r="S842" s="56">
        <v>-2</v>
      </c>
      <c r="T842" s="32">
        <f>R842+S842+IF(F842="Without EV deal",L842,0)</f>
        <v>-2</v>
      </c>
      <c r="U842" s="57">
        <v>1</v>
      </c>
      <c r="V842" s="58"/>
      <c r="W842" s="58"/>
      <c r="X842" s="78">
        <v>0.25</v>
      </c>
      <c r="Y842" s="30">
        <f>IF(AG842="None",0,IF(AG842="Fix5",0.05, IF(AG842="Fix6.25",0.0625,IF(AG842="Fix3.75",0.0375,IF(AG842="Fix10",0.1,IF(AG842="Fix3",0.03,0))))))</f>
        <v>0</v>
      </c>
      <c r="Z842" s="35">
        <f>T842-AA842-AB842</f>
        <v>-1.5</v>
      </c>
      <c r="AA842" s="29">
        <f>IF(AD842="EUR",((T842-R842)*X842)*U842+(R842*X842),(T842*X842))</f>
        <v>-0.5</v>
      </c>
      <c r="AB842" s="36">
        <f>IF(AD842="EUR",((T842-R842)*Y842)*U842+(R842*Y842),(T842*Y842))</f>
        <v>0</v>
      </c>
      <c r="AC842" s="37" t="b">
        <v>1</v>
      </c>
      <c r="AD842" s="37" t="s">
        <v>38</v>
      </c>
      <c r="AE842" s="37" t="s">
        <v>38</v>
      </c>
      <c r="AF842" s="37" t="str">
        <f t="array" ref="AF842">INDEX('Deal Info'!D:D, MATCH(A842,'Deal Info'!A:A, 0))</f>
        <v>DoEVold</v>
      </c>
      <c r="AG842" s="38" t="str">
        <f t="array" ref="AG842">INDEX('Deal Info'!G:G, MATCH(A842,'Deal Info'!A:A, 0))</f>
        <v>None</v>
      </c>
    </row>
    <row r="843" spans="1:33" ht="14.25" hidden="1" x14ac:dyDescent="0.2">
      <c r="A843" s="18" t="str">
        <f t="array" ref="A843">IF(G843='Room Info'!$B$1, INDEX('Room Info'!$A$2:$A2446, MATCH(B843,'Room Info'!$B$2:$B2446, 0)),IF(G843='Room Info'!$C$1, INDEX('Room Info'!$A$2:$A2446, MATCH(B843,'Room Info'!$C$2:$C2446, 0)),IF(G843='Room Info'!$D$1, INDEX('Room Info'!$A$2:$A2446, MATCH(B843,'Room Info'!$D$2:$D2446, 0)),IF(G843='Room Info'!$E$1, INDEX('Room Info'!$A$2:$A2446, MATCH(B843,'Room Info'!$E$2:$E2446, 0)),IF(G843='Room Info'!$F$1, INDEX('Room Info'!$A$2:$A2446, MATCH(B843,'Room Info'!$F$2:$F2446, 0)),IF(G843='Room Info'!$H$1, INDEX('Room Info'!$A$2:$A2446, MATCH(B843,'Room Info'!$H$2:$H2446, 0)),IF(G843='Room Info'!$G$1, INDEX('Room Info'!$A$2:$A2446, MATCH(B843,'Room Info'!$G$2:$G2446, 0)))))))))</f>
        <v>kttweek1</v>
      </c>
      <c r="B843" s="45" t="s">
        <v>175</v>
      </c>
      <c r="C843" s="46">
        <v>44652</v>
      </c>
      <c r="D843" s="46">
        <v>44681</v>
      </c>
      <c r="E843" s="47">
        <v>44652</v>
      </c>
      <c r="F843" s="48" t="s">
        <v>49</v>
      </c>
      <c r="G843" s="45" t="s">
        <v>35</v>
      </c>
      <c r="H843" s="49" t="s">
        <v>85</v>
      </c>
      <c r="I843" s="49" t="s">
        <v>44</v>
      </c>
      <c r="J843" s="50">
        <v>50</v>
      </c>
      <c r="K843" s="51">
        <v>326</v>
      </c>
      <c r="L843" s="52">
        <v>-100</v>
      </c>
      <c r="M843" s="53">
        <v>609</v>
      </c>
      <c r="N843" s="28">
        <f>K843*J843</f>
        <v>16300</v>
      </c>
      <c r="O843" s="54">
        <v>116</v>
      </c>
      <c r="P843" s="29">
        <v>0.35582822089999999</v>
      </c>
      <c r="Q843" s="55"/>
      <c r="R843" s="31">
        <f>M843+Q843</f>
        <v>609</v>
      </c>
      <c r="S843" s="56">
        <v>-1020</v>
      </c>
      <c r="T843" s="32">
        <f>R843+S843+IF(F843="Without EV deal",L843,0)</f>
        <v>-411</v>
      </c>
      <c r="U843" s="57">
        <v>1</v>
      </c>
      <c r="V843" s="58"/>
      <c r="W843" s="58"/>
      <c r="X843" s="78">
        <v>0.25</v>
      </c>
      <c r="Y843" s="30">
        <f>IF(AG843="None",0,IF(AG843="Fix5",0.05, IF(AG843="Fix6.25",0.0625,IF(AG843="Fix3.75",0.0375,IF(AG843="Fix10",0.1,IF(AG843="Fix3",0.03,0))))))</f>
        <v>0</v>
      </c>
      <c r="Z843" s="35">
        <f>T843-AA843-AB843</f>
        <v>-308.25</v>
      </c>
      <c r="AA843" s="29">
        <f>IF(AD843="EUR",((T843-R843)*X843)*U843+(R843*X843),(T843*X843))</f>
        <v>-102.75</v>
      </c>
      <c r="AB843" s="36">
        <f>IF(AD843="EUR",((T843-R843)*Y843)*U843+(R843*Y843),(T843*Y843))</f>
        <v>0</v>
      </c>
      <c r="AC843" s="37" t="b">
        <v>1</v>
      </c>
      <c r="AD843" s="37" t="s">
        <v>38</v>
      </c>
      <c r="AE843" s="37" t="s">
        <v>38</v>
      </c>
      <c r="AF843" s="37" t="str">
        <f t="array" ref="AF843">INDEX('Deal Info'!D:D, MATCH(A843,'Deal Info'!A:A, 0))</f>
        <v>DoEVold</v>
      </c>
      <c r="AG843" s="38" t="str">
        <f t="array" ref="AG843">INDEX('Deal Info'!G:G, MATCH(A843,'Deal Info'!A:A, 0))</f>
        <v>None</v>
      </c>
    </row>
    <row r="844" spans="1:33" ht="14.25" hidden="1" x14ac:dyDescent="0.2">
      <c r="A844" s="18" t="str">
        <f t="array" ref="A844">IF(G844='Room Info'!$B$1, INDEX('Room Info'!$A$2:$A2446, MATCH(B844,'Room Info'!$B$2:$B2446, 0)),IF(G844='Room Info'!$C$1, INDEX('Room Info'!$A$2:$A2446, MATCH(B844,'Room Info'!$C$2:$C2446, 0)),IF(G844='Room Info'!$D$1, INDEX('Room Info'!$A$2:$A2446, MATCH(B844,'Room Info'!$D$2:$D2446, 0)),IF(G844='Room Info'!$E$1, INDEX('Room Info'!$A$2:$A2446, MATCH(B844,'Room Info'!$E$2:$E2446, 0)),IF(G844='Room Info'!$F$1, INDEX('Room Info'!$A$2:$A2446, MATCH(B844,'Room Info'!$F$2:$F2446, 0)),IF(G844='Room Info'!$H$1, INDEX('Room Info'!$A$2:$A2446, MATCH(B844,'Room Info'!$H$2:$H2446, 0)),IF(G844='Room Info'!$G$1, INDEX('Room Info'!$A$2:$A2446, MATCH(B844,'Room Info'!$G$2:$G2446, 0)))))))))</f>
        <v>kttweek1</v>
      </c>
      <c r="B844" s="45" t="s">
        <v>175</v>
      </c>
      <c r="C844" s="46">
        <v>44652</v>
      </c>
      <c r="D844" s="46">
        <v>44681</v>
      </c>
      <c r="E844" s="47">
        <v>44652</v>
      </c>
      <c r="F844" s="48" t="s">
        <v>49</v>
      </c>
      <c r="G844" s="45" t="s">
        <v>35</v>
      </c>
      <c r="H844" s="49" t="s">
        <v>72</v>
      </c>
      <c r="I844" s="49" t="s">
        <v>37</v>
      </c>
      <c r="J844" s="50">
        <v>50</v>
      </c>
      <c r="K844" s="51">
        <v>978</v>
      </c>
      <c r="L844" s="52">
        <v>-2350</v>
      </c>
      <c r="M844" s="53">
        <v>1827</v>
      </c>
      <c r="N844" s="28">
        <f>K844*J844</f>
        <v>48900</v>
      </c>
      <c r="O844" s="54">
        <v>27373</v>
      </c>
      <c r="P844" s="29">
        <v>27.988752559999998</v>
      </c>
      <c r="Q844" s="55"/>
      <c r="R844" s="31">
        <f>M844+Q844</f>
        <v>1827</v>
      </c>
      <c r="S844" s="56">
        <v>-576</v>
      </c>
      <c r="T844" s="32">
        <f>R844+S844+IF(F844="Without EV deal",L844,0)</f>
        <v>1251</v>
      </c>
      <c r="U844" s="57">
        <v>1</v>
      </c>
      <c r="V844" s="58"/>
      <c r="W844" s="58"/>
      <c r="X844" s="78">
        <v>0.25</v>
      </c>
      <c r="Y844" s="30">
        <f>IF(AG844="None",0,IF(AG844="Fix5",0.05, IF(AG844="Fix6.25",0.0625,IF(AG844="Fix3.75",0.0375,IF(AG844="Fix10",0.1,IF(AG844="Fix3",0.03,0))))))</f>
        <v>0</v>
      </c>
      <c r="Z844" s="35">
        <f>T844-AA844-AB844</f>
        <v>938.25</v>
      </c>
      <c r="AA844" s="29">
        <f>IF(AD844="EUR",((T844-R844)*X844)*U844+(R844*X844),(T844*X844))</f>
        <v>312.75</v>
      </c>
      <c r="AB844" s="36">
        <f>IF(AD844="EUR",((T844-R844)*Y844)*U844+(R844*Y844),(T844*Y844))</f>
        <v>0</v>
      </c>
      <c r="AC844" s="37" t="b">
        <v>1</v>
      </c>
      <c r="AD844" s="37" t="s">
        <v>38</v>
      </c>
      <c r="AE844" s="37" t="s">
        <v>38</v>
      </c>
      <c r="AF844" s="37" t="str">
        <f t="array" ref="AF844">INDEX('Deal Info'!D:D, MATCH(A844,'Deal Info'!A:A, 0))</f>
        <v>DoEVold</v>
      </c>
      <c r="AG844" s="38" t="str">
        <f t="array" ref="AG844">INDEX('Deal Info'!G:G, MATCH(A844,'Deal Info'!A:A, 0))</f>
        <v>None</v>
      </c>
    </row>
    <row r="845" spans="1:33" ht="14.25" hidden="1" x14ac:dyDescent="0.2">
      <c r="A845" s="18" t="str">
        <f t="array" ref="A845">IF(G845='Room Info'!$B$1, INDEX('Room Info'!$A$2:$A2446, MATCH(B845,'Room Info'!$B$2:$B2446, 0)),IF(G845='Room Info'!$C$1, INDEX('Room Info'!$A$2:$A2446, MATCH(B845,'Room Info'!$C$2:$C2446, 0)),IF(G845='Room Info'!$D$1, INDEX('Room Info'!$A$2:$A2446, MATCH(B845,'Room Info'!$D$2:$D2446, 0)),IF(G845='Room Info'!$E$1, INDEX('Room Info'!$A$2:$A2446, MATCH(B845,'Room Info'!$E$2:$E2446, 0)),IF(G845='Room Info'!$F$1, INDEX('Room Info'!$A$2:$A2446, MATCH(B845,'Room Info'!$F$2:$F2446, 0)),IF(G845='Room Info'!$H$1, INDEX('Room Info'!$A$2:$A2446, MATCH(B845,'Room Info'!$H$2:$H2446, 0)),IF(G845='Room Info'!$G$1, INDEX('Room Info'!$A$2:$A2446, MATCH(B845,'Room Info'!$G$2:$G2446, 0)))))))))</f>
        <v>kttweek1</v>
      </c>
      <c r="B845" s="45" t="s">
        <v>175</v>
      </c>
      <c r="C845" s="46">
        <v>44682</v>
      </c>
      <c r="D845" s="46">
        <v>44712</v>
      </c>
      <c r="E845" s="47">
        <v>44682</v>
      </c>
      <c r="F845" s="48" t="s">
        <v>49</v>
      </c>
      <c r="G845" s="45" t="s">
        <v>35</v>
      </c>
      <c r="H845" s="49" t="s">
        <v>115</v>
      </c>
      <c r="I845" s="49" t="s">
        <v>44</v>
      </c>
      <c r="J845" s="50">
        <v>10</v>
      </c>
      <c r="K845" s="51">
        <v>25</v>
      </c>
      <c r="L845" s="52">
        <v>-40</v>
      </c>
      <c r="M845" s="53">
        <v>12</v>
      </c>
      <c r="N845" s="28">
        <f>K845*J845</f>
        <v>250</v>
      </c>
      <c r="O845" s="54">
        <v>964</v>
      </c>
      <c r="P845" s="29">
        <v>38.56</v>
      </c>
      <c r="Q845" s="55"/>
      <c r="R845" s="31">
        <f>M845+Q845</f>
        <v>12</v>
      </c>
      <c r="S845" s="56">
        <v>11</v>
      </c>
      <c r="T845" s="32">
        <f>R845+S845+IF(F845="Without EV deal",L845,0)</f>
        <v>23</v>
      </c>
      <c r="U845" s="57">
        <v>1</v>
      </c>
      <c r="V845" s="58"/>
      <c r="W845" s="58"/>
      <c r="X845" s="78">
        <v>0.25</v>
      </c>
      <c r="Y845" s="30">
        <f>IF(AG845="None",0,IF(AG845="Fix5",0.05, IF(AG845="Fix6.25",0.0625,IF(AG845="Fix3.75",0.0375,IF(AG845="Fix10",0.1,IF(AG845="Fix3",0.03,0))))))</f>
        <v>0</v>
      </c>
      <c r="Z845" s="35">
        <f>T845-AA845-AB845</f>
        <v>17.25</v>
      </c>
      <c r="AA845" s="29">
        <f>IF(AD845="EUR",((T845-R845)*X845)*U845+(R845*X845),(T845*X845))</f>
        <v>5.75</v>
      </c>
      <c r="AB845" s="36">
        <f>IF(AD845="EUR",((T845-R845)*Y845)*U845+(R845*Y845),(T845*Y845))</f>
        <v>0</v>
      </c>
      <c r="AC845" s="37" t="b">
        <v>1</v>
      </c>
      <c r="AD845" s="37" t="s">
        <v>38</v>
      </c>
      <c r="AE845" s="37" t="s">
        <v>38</v>
      </c>
      <c r="AF845" s="37" t="str">
        <f t="array" ref="AF845">INDEX('Deal Info'!D:D, MATCH(A845,'Deal Info'!A:A, 0))</f>
        <v>DoEVold</v>
      </c>
      <c r="AG845" s="38" t="str">
        <f t="array" ref="AG845">INDEX('Deal Info'!G:G, MATCH(A845,'Deal Info'!A:A, 0))</f>
        <v>None</v>
      </c>
    </row>
    <row r="846" spans="1:33" ht="14.25" hidden="1" x14ac:dyDescent="0.2">
      <c r="A846" s="18" t="str">
        <f t="array" ref="A846">IF(G846='Room Info'!$B$1, INDEX('Room Info'!$A$2:$A2446, MATCH(B846,'Room Info'!$B$2:$B2446, 0)),IF(G846='Room Info'!$C$1, INDEX('Room Info'!$A$2:$A2446, MATCH(B846,'Room Info'!$C$2:$C2446, 0)),IF(G846='Room Info'!$D$1, INDEX('Room Info'!$A$2:$A2446, MATCH(B846,'Room Info'!$D$2:$D2446, 0)),IF(G846='Room Info'!$E$1, INDEX('Room Info'!$A$2:$A2446, MATCH(B846,'Room Info'!$E$2:$E2446, 0)),IF(G846='Room Info'!$F$1, INDEX('Room Info'!$A$2:$A2446, MATCH(B846,'Room Info'!$F$2:$F2446, 0)),IF(G846='Room Info'!$H$1, INDEX('Room Info'!$A$2:$A2446, MATCH(B846,'Room Info'!$H$2:$H2446, 0)),IF(G846='Room Info'!$G$1, INDEX('Room Info'!$A$2:$A2446, MATCH(B846,'Room Info'!$G$2:$G2446, 0)))))))))</f>
        <v>kttweek1</v>
      </c>
      <c r="B846" s="45" t="s">
        <v>175</v>
      </c>
      <c r="C846" s="46">
        <v>44682</v>
      </c>
      <c r="D846" s="46">
        <v>44712</v>
      </c>
      <c r="E846" s="47">
        <v>44682</v>
      </c>
      <c r="F846" s="48" t="s">
        <v>49</v>
      </c>
      <c r="G846" s="45" t="s">
        <v>35</v>
      </c>
      <c r="H846" s="49" t="s">
        <v>46</v>
      </c>
      <c r="I846" s="49" t="s">
        <v>37</v>
      </c>
      <c r="J846" s="50">
        <v>25</v>
      </c>
      <c r="K846" s="51">
        <v>600</v>
      </c>
      <c r="L846" s="52">
        <v>-1350</v>
      </c>
      <c r="M846" s="53">
        <v>610</v>
      </c>
      <c r="N846" s="28">
        <f>K846*J846</f>
        <v>15000</v>
      </c>
      <c r="O846" s="54">
        <v>-5346</v>
      </c>
      <c r="P846" s="29">
        <v>-8.91</v>
      </c>
      <c r="Q846" s="55"/>
      <c r="R846" s="31">
        <f>M846+Q846</f>
        <v>610</v>
      </c>
      <c r="S846" s="56">
        <v>-1221</v>
      </c>
      <c r="T846" s="32">
        <f>R846+S846+IF(F846="Without EV deal",L846,0)</f>
        <v>-611</v>
      </c>
      <c r="U846" s="57">
        <v>1</v>
      </c>
      <c r="V846" s="58"/>
      <c r="W846" s="58"/>
      <c r="X846" s="78">
        <v>0.25</v>
      </c>
      <c r="Y846" s="30">
        <f>IF(AG846="None",0,IF(AG846="Fix5",0.05, IF(AG846="Fix6.25",0.0625,IF(AG846="Fix3.75",0.0375,IF(AG846="Fix10",0.1,IF(AG846="Fix3",0.03,0))))))</f>
        <v>0</v>
      </c>
      <c r="Z846" s="35">
        <f>T846-AA846-AB846</f>
        <v>-458.25</v>
      </c>
      <c r="AA846" s="29">
        <f>IF(AD846="EUR",((T846-R846)*X846)*U846+(R846*X846),(T846*X846))</f>
        <v>-152.75</v>
      </c>
      <c r="AB846" s="36">
        <f>IF(AD846="EUR",((T846-R846)*Y846)*U846+(R846*Y846),(T846*Y846))</f>
        <v>0</v>
      </c>
      <c r="AC846" s="37" t="b">
        <v>1</v>
      </c>
      <c r="AD846" s="37" t="s">
        <v>38</v>
      </c>
      <c r="AE846" s="37" t="s">
        <v>38</v>
      </c>
      <c r="AF846" s="37" t="str">
        <f t="array" ref="AF846">INDEX('Deal Info'!D:D, MATCH(A846,'Deal Info'!A:A, 0))</f>
        <v>DoEVold</v>
      </c>
      <c r="AG846" s="38" t="str">
        <f t="array" ref="AG846">INDEX('Deal Info'!G:G, MATCH(A846,'Deal Info'!A:A, 0))</f>
        <v>None</v>
      </c>
    </row>
    <row r="847" spans="1:33" ht="14.25" hidden="1" x14ac:dyDescent="0.2">
      <c r="A847" s="18" t="str">
        <f t="array" ref="A847">IF(G847='Room Info'!$B$1, INDEX('Room Info'!$A$2:$A2446, MATCH(B847,'Room Info'!$B$2:$B2446, 0)),IF(G847='Room Info'!$C$1, INDEX('Room Info'!$A$2:$A2446, MATCH(B847,'Room Info'!$C$2:$C2446, 0)),IF(G847='Room Info'!$D$1, INDEX('Room Info'!$A$2:$A2446, MATCH(B847,'Room Info'!$D$2:$D2446, 0)),IF(G847='Room Info'!$E$1, INDEX('Room Info'!$A$2:$A2446, MATCH(B847,'Room Info'!$E$2:$E2446, 0)),IF(G847='Room Info'!$F$1, INDEX('Room Info'!$A$2:$A2446, MATCH(B847,'Room Info'!$F$2:$F2446, 0)),IF(G847='Room Info'!$H$1, INDEX('Room Info'!$A$2:$A2446, MATCH(B847,'Room Info'!$H$2:$H2446, 0)),IF(G847='Room Info'!$G$1, INDEX('Room Info'!$A$2:$A2446, MATCH(B847,'Room Info'!$G$2:$G2446, 0)))))))))</f>
        <v>kttweek1</v>
      </c>
      <c r="B847" s="45" t="s">
        <v>175</v>
      </c>
      <c r="C847" s="46">
        <v>44682</v>
      </c>
      <c r="D847" s="46">
        <v>44712</v>
      </c>
      <c r="E847" s="47">
        <v>44682</v>
      </c>
      <c r="F847" s="48" t="s">
        <v>49</v>
      </c>
      <c r="G847" s="45" t="s">
        <v>35</v>
      </c>
      <c r="H847" s="49" t="s">
        <v>72</v>
      </c>
      <c r="I847" s="49" t="s">
        <v>37</v>
      </c>
      <c r="J847" s="50">
        <v>50</v>
      </c>
      <c r="K847" s="51">
        <v>1195</v>
      </c>
      <c r="L847" s="52">
        <v>-5250</v>
      </c>
      <c r="M847" s="53">
        <v>2428</v>
      </c>
      <c r="N847" s="28">
        <f>K847*J847</f>
        <v>59750</v>
      </c>
      <c r="O847" s="54">
        <v>40816</v>
      </c>
      <c r="P847" s="29">
        <v>34.155648540000001</v>
      </c>
      <c r="Q847" s="55"/>
      <c r="R847" s="31">
        <f>M847+Q847</f>
        <v>2428</v>
      </c>
      <c r="S847" s="56">
        <v>-92</v>
      </c>
      <c r="T847" s="32">
        <f>R847+S847+IF(F847="Without EV deal",L847,0)</f>
        <v>2336</v>
      </c>
      <c r="U847" s="57">
        <v>1</v>
      </c>
      <c r="V847" s="58"/>
      <c r="W847" s="58"/>
      <c r="X847" s="78">
        <v>0.25</v>
      </c>
      <c r="Y847" s="30">
        <f>IF(AG847="None",0,IF(AG847="Fix5",0.05, IF(AG847="Fix6.25",0.0625,IF(AG847="Fix3.75",0.0375,IF(AG847="Fix10",0.1,IF(AG847="Fix3",0.03,0))))))</f>
        <v>0</v>
      </c>
      <c r="Z847" s="35">
        <f>T847-AA847-AB847</f>
        <v>1752</v>
      </c>
      <c r="AA847" s="29">
        <f>IF(AD847="EUR",((T847-R847)*X847)*U847+(R847*X847),(T847*X847))</f>
        <v>584</v>
      </c>
      <c r="AB847" s="36">
        <f>IF(AD847="EUR",((T847-R847)*Y847)*U847+(R847*Y847),(T847*Y847))</f>
        <v>0</v>
      </c>
      <c r="AC847" s="37" t="b">
        <v>1</v>
      </c>
      <c r="AD847" s="37" t="s">
        <v>38</v>
      </c>
      <c r="AE847" s="37" t="s">
        <v>38</v>
      </c>
      <c r="AF847" s="37" t="str">
        <f t="array" ref="AF847">INDEX('Deal Info'!D:D, MATCH(A847,'Deal Info'!A:A, 0))</f>
        <v>DoEVold</v>
      </c>
      <c r="AG847" s="38" t="str">
        <f t="array" ref="AG847">INDEX('Deal Info'!G:G, MATCH(A847,'Deal Info'!A:A, 0))</f>
        <v>None</v>
      </c>
    </row>
    <row r="848" spans="1:33" ht="14.25" hidden="1" x14ac:dyDescent="0.2">
      <c r="A848" s="18" t="str">
        <f t="array" ref="A848">IF(G848='Room Info'!$B$1, INDEX('Room Info'!$A$2:$A2446, MATCH(B848,'Room Info'!$B$2:$B2446, 0)),IF(G848='Room Info'!$C$1, INDEX('Room Info'!$A$2:$A2446, MATCH(B848,'Room Info'!$C$2:$C2446, 0)),IF(G848='Room Info'!$D$1, INDEX('Room Info'!$A$2:$A2446, MATCH(B848,'Room Info'!$D$2:$D2446, 0)),IF(G848='Room Info'!$E$1, INDEX('Room Info'!$A$2:$A2446, MATCH(B848,'Room Info'!$E$2:$E2446, 0)),IF(G848='Room Info'!$F$1, INDEX('Room Info'!$A$2:$A2446, MATCH(B848,'Room Info'!$F$2:$F2446, 0)),IF(G848='Room Info'!$H$1, INDEX('Room Info'!$A$2:$A2446, MATCH(B848,'Room Info'!$H$2:$H2446, 0)),IF(G848='Room Info'!$G$1, INDEX('Room Info'!$A$2:$A2446, MATCH(B848,'Room Info'!$G$2:$G2446, 0)))))))))</f>
        <v>kttweek1</v>
      </c>
      <c r="B848" s="45" t="s">
        <v>175</v>
      </c>
      <c r="C848" s="77">
        <v>44713</v>
      </c>
      <c r="D848" s="77">
        <v>44742</v>
      </c>
      <c r="E848" s="47">
        <v>44713</v>
      </c>
      <c r="F848" s="48" t="s">
        <v>49</v>
      </c>
      <c r="G848" s="45" t="s">
        <v>35</v>
      </c>
      <c r="H848" s="49" t="s">
        <v>72</v>
      </c>
      <c r="I848" s="49" t="s">
        <v>37</v>
      </c>
      <c r="J848" s="74">
        <v>50</v>
      </c>
      <c r="K848" s="75">
        <v>275</v>
      </c>
      <c r="L848" s="72">
        <v>-1050</v>
      </c>
      <c r="M848" s="76">
        <v>512</v>
      </c>
      <c r="N848" s="28">
        <f>K848*J848</f>
        <v>13750</v>
      </c>
      <c r="O848" s="45">
        <v>-1134</v>
      </c>
      <c r="P848" s="29">
        <v>-4.1236363640000002</v>
      </c>
      <c r="Q848" s="55"/>
      <c r="R848" s="31">
        <f>M848+Q848</f>
        <v>512</v>
      </c>
      <c r="S848" s="73">
        <v>-1051</v>
      </c>
      <c r="T848" s="32">
        <f>R848+S848+IF(F848="Without EV deal",L848,0)</f>
        <v>-539</v>
      </c>
      <c r="U848" s="57">
        <v>1</v>
      </c>
      <c r="V848" s="58"/>
      <c r="W848" s="58"/>
      <c r="X848" s="78">
        <v>0.25</v>
      </c>
      <c r="Y848" s="30">
        <f>IF(AG848="None",0,IF(AG848="Fix5",0.05, IF(AG848="Fix6.25",0.0625,IF(AG848="Fix3.75",0.0375,IF(AG848="Fix10",0.1,IF(AG848="Fix3",0.03,0))))))</f>
        <v>0</v>
      </c>
      <c r="Z848" s="35">
        <f>T848-AA848-AB848</f>
        <v>-404.25</v>
      </c>
      <c r="AA848" s="29">
        <f>IF(AD848="EUR",((T848-R848)*X848)*U848+(R848*X848),(T848*X848))</f>
        <v>-134.75</v>
      </c>
      <c r="AB848" s="36">
        <f>IF(AD848="EUR",((T848-R848)*Y848)*U848+(R848*Y848),(T848*Y848))</f>
        <v>0</v>
      </c>
      <c r="AC848" s="37" t="b">
        <v>1</v>
      </c>
      <c r="AD848" s="37" t="s">
        <v>38</v>
      </c>
      <c r="AE848" s="37" t="s">
        <v>38</v>
      </c>
      <c r="AF848" s="37" t="str">
        <f t="array" ref="AF848">INDEX('Deal Info'!D:D, MATCH(A848,'Deal Info'!A:A, 0))</f>
        <v>DoEVold</v>
      </c>
      <c r="AG848" s="38" t="str">
        <f t="array" ref="AG848">INDEX('Deal Info'!G:G, MATCH(A848,'Deal Info'!A:A, 0))</f>
        <v>None</v>
      </c>
    </row>
    <row r="849" spans="1:33" ht="14.25" hidden="1" x14ac:dyDescent="0.2">
      <c r="A849" s="18" t="str">
        <f t="array" ref="A849">IF(G849='Room Info'!$B$1, INDEX('Room Info'!$A$2:$A2446, MATCH(B849,'Room Info'!$B$2:$B2446, 0)),IF(G849='Room Info'!$C$1, INDEX('Room Info'!$A$2:$A2446, MATCH(B849,'Room Info'!$C$2:$C2446, 0)),IF(G849='Room Info'!$D$1, INDEX('Room Info'!$A$2:$A2446, MATCH(B849,'Room Info'!$D$2:$D2446, 0)),IF(G849='Room Info'!$E$1, INDEX('Room Info'!$A$2:$A2446, MATCH(B849,'Room Info'!$E$2:$E2446, 0)),IF(G849='Room Info'!$F$1, INDEX('Room Info'!$A$2:$A2446, MATCH(B849,'Room Info'!$F$2:$F2446, 0)),IF(G849='Room Info'!$H$1, INDEX('Room Info'!$A$2:$A2446, MATCH(B849,'Room Info'!$H$2:$H2446, 0)),IF(G849='Room Info'!$G$1, INDEX('Room Info'!$A$2:$A2446, MATCH(B849,'Room Info'!$G$2:$G2446, 0)))))))))</f>
        <v>kttweek1</v>
      </c>
      <c r="B849" s="45" t="s">
        <v>175</v>
      </c>
      <c r="C849" s="77">
        <v>44713</v>
      </c>
      <c r="D849" s="77">
        <v>44742</v>
      </c>
      <c r="E849" s="47">
        <v>44713</v>
      </c>
      <c r="F849" s="48" t="s">
        <v>49</v>
      </c>
      <c r="G849" s="45" t="s">
        <v>35</v>
      </c>
      <c r="H849" s="49" t="s">
        <v>85</v>
      </c>
      <c r="I849" s="49" t="s">
        <v>44</v>
      </c>
      <c r="J849" s="74">
        <v>50</v>
      </c>
      <c r="K849" s="75">
        <v>1229</v>
      </c>
      <c r="L849" s="72">
        <v>-600</v>
      </c>
      <c r="M849" s="76">
        <v>2288</v>
      </c>
      <c r="N849" s="28">
        <f>K849*J849</f>
        <v>61450</v>
      </c>
      <c r="O849" s="45">
        <v>1202</v>
      </c>
      <c r="P849" s="29">
        <v>0.97803091939999998</v>
      </c>
      <c r="Q849" s="55"/>
      <c r="R849" s="31">
        <f>M849+Q849</f>
        <v>2288</v>
      </c>
      <c r="S849" s="73">
        <v>-4043</v>
      </c>
      <c r="T849" s="32">
        <f>R849+S849+IF(F849="Without EV deal",L849,0)</f>
        <v>-1755</v>
      </c>
      <c r="U849" s="57">
        <v>1</v>
      </c>
      <c r="V849" s="58"/>
      <c r="W849" s="58"/>
      <c r="X849" s="78">
        <v>0.25</v>
      </c>
      <c r="Y849" s="30">
        <f>IF(AG849="None",0,IF(AG849="Fix5",0.05, IF(AG849="Fix6.25",0.0625,IF(AG849="Fix3.75",0.0375,IF(AG849="Fix10",0.1,IF(AG849="Fix3",0.03,0))))))</f>
        <v>0</v>
      </c>
      <c r="Z849" s="35">
        <f>T849-AA849-AB849</f>
        <v>-1316.25</v>
      </c>
      <c r="AA849" s="29">
        <f>IF(AD849="EUR",((T849-R849)*X849)*U849+(R849*X849),(T849*X849))</f>
        <v>-438.75</v>
      </c>
      <c r="AB849" s="36">
        <f>IF(AD849="EUR",((T849-R849)*Y849)*U849+(R849*Y849),(T849*Y849))</f>
        <v>0</v>
      </c>
      <c r="AC849" s="37" t="b">
        <v>1</v>
      </c>
      <c r="AD849" s="37" t="s">
        <v>38</v>
      </c>
      <c r="AE849" s="37" t="s">
        <v>38</v>
      </c>
      <c r="AF849" s="37" t="str">
        <f t="array" ref="AF849">INDEX('Deal Info'!D:D, MATCH(A849,'Deal Info'!A:A, 0))</f>
        <v>DoEVold</v>
      </c>
      <c r="AG849" s="38" t="str">
        <f t="array" ref="AG849">INDEX('Deal Info'!G:G, MATCH(A849,'Deal Info'!A:A, 0))</f>
        <v>None</v>
      </c>
    </row>
    <row r="850" spans="1:33" ht="14.25" hidden="1" x14ac:dyDescent="0.2">
      <c r="A850" s="18" t="str">
        <f t="array" ref="A850">IF(G850='Room Info'!$B$1, INDEX('Room Info'!$A$2:$A2446, MATCH(B850,'Room Info'!$B$2:$B2446, 0)),IF(G850='Room Info'!$C$1, INDEX('Room Info'!$A$2:$A2446, MATCH(B850,'Room Info'!$C$2:$C2446, 0)),IF(G850='Room Info'!$D$1, INDEX('Room Info'!$A$2:$A2446, MATCH(B850,'Room Info'!$D$2:$D2446, 0)),IF(G850='Room Info'!$E$1, INDEX('Room Info'!$A$2:$A2446, MATCH(B850,'Room Info'!$E$2:$E2446, 0)),IF(G850='Room Info'!$F$1, INDEX('Room Info'!$A$2:$A2446, MATCH(B850,'Room Info'!$F$2:$F2446, 0)),IF(G850='Room Info'!$H$1, INDEX('Room Info'!$A$2:$A2446, MATCH(B850,'Room Info'!$H$2:$H2446, 0)),IF(G850='Room Info'!$G$1, INDEX('Room Info'!$A$2:$A2446, MATCH(B850,'Room Info'!$G$2:$G2446, 0)))))))))</f>
        <v>kttweek1</v>
      </c>
      <c r="B850" s="45" t="s">
        <v>175</v>
      </c>
      <c r="C850" s="77">
        <v>44743</v>
      </c>
      <c r="D850" s="77">
        <v>44773</v>
      </c>
      <c r="E850" s="47">
        <v>44743</v>
      </c>
      <c r="F850" s="48" t="s">
        <v>49</v>
      </c>
      <c r="G850" s="45" t="s">
        <v>35</v>
      </c>
      <c r="H850" s="49" t="s">
        <v>40</v>
      </c>
      <c r="I850" s="49" t="s">
        <v>37</v>
      </c>
      <c r="J850" s="74">
        <v>10</v>
      </c>
      <c r="K850" s="75">
        <v>1</v>
      </c>
      <c r="L850" s="72">
        <v>20</v>
      </c>
      <c r="M850" s="76">
        <v>1</v>
      </c>
      <c r="N850" s="28">
        <f>K850*J850</f>
        <v>10</v>
      </c>
      <c r="O850" s="45">
        <v>1022</v>
      </c>
      <c r="P850" s="29">
        <v>1022</v>
      </c>
      <c r="Q850" s="55"/>
      <c r="R850" s="31">
        <f>M850+Q850</f>
        <v>1</v>
      </c>
      <c r="S850" s="73">
        <v>18</v>
      </c>
      <c r="T850" s="32">
        <f>R850+S850+IF(F850="Without EV deal",L850,0)</f>
        <v>19</v>
      </c>
      <c r="U850" s="57">
        <v>1</v>
      </c>
      <c r="V850" s="58"/>
      <c r="W850" s="58"/>
      <c r="X850" s="78">
        <v>0.25</v>
      </c>
      <c r="Y850" s="30">
        <f>IF(AG850="None",0,IF(AG850="Fix5",0.05, IF(AG850="Fix6.25",0.0625,IF(AG850="Fix3.75",0.0375,IF(AG850="Fix10",0.1,IF(AG850="Fix3",0.03,0))))))</f>
        <v>0</v>
      </c>
      <c r="Z850" s="35">
        <f>T850-AA850-AB850</f>
        <v>14.25</v>
      </c>
      <c r="AA850" s="29">
        <f>IF(AD850="EUR",((T850-R850)*X850)*U850+(R850*X850),(T850*X850))</f>
        <v>4.75</v>
      </c>
      <c r="AB850" s="36">
        <f>IF(AD850="EUR",((T850-R850)*Y850)*U850+(R850*Y850),(T850*Y850))</f>
        <v>0</v>
      </c>
      <c r="AC850" s="37" t="b">
        <v>1</v>
      </c>
      <c r="AD850" s="37" t="s">
        <v>38</v>
      </c>
      <c r="AE850" s="37" t="s">
        <v>38</v>
      </c>
      <c r="AF850" s="37" t="str">
        <f t="array" ref="AF850">INDEX('Deal Info'!D:D, MATCH(A850,'Deal Info'!A:A, 0))</f>
        <v>DoEVold</v>
      </c>
      <c r="AG850" s="38" t="str">
        <f t="array" ref="AG850">INDEX('Deal Info'!G:G, MATCH(A850,'Deal Info'!A:A, 0))</f>
        <v>None</v>
      </c>
    </row>
    <row r="851" spans="1:33" ht="14.25" hidden="1" x14ac:dyDescent="0.2">
      <c r="A851" s="18" t="str">
        <f t="array" ref="A851">IF(G851='Room Info'!$B$1, INDEX('Room Info'!$A$2:$A2446, MATCH(B851,'Room Info'!$B$2:$B2446, 0)),IF(G851='Room Info'!$C$1, INDEX('Room Info'!$A$2:$A2446, MATCH(B851,'Room Info'!$C$2:$C2446, 0)),IF(G851='Room Info'!$D$1, INDEX('Room Info'!$A$2:$A2446, MATCH(B851,'Room Info'!$D$2:$D2446, 0)),IF(G851='Room Info'!$E$1, INDEX('Room Info'!$A$2:$A2446, MATCH(B851,'Room Info'!$E$2:$E2446, 0)),IF(G851='Room Info'!$F$1, INDEX('Room Info'!$A$2:$A2446, MATCH(B851,'Room Info'!$F$2:$F2446, 0)),IF(G851='Room Info'!$H$1, INDEX('Room Info'!$A$2:$A2446, MATCH(B851,'Room Info'!$H$2:$H2446, 0)),IF(G851='Room Info'!$G$1, INDEX('Room Info'!$A$2:$A2446, MATCH(B851,'Room Info'!$G$2:$G2446, 0)))))))))</f>
        <v>kttweek1</v>
      </c>
      <c r="B851" s="45" t="s">
        <v>175</v>
      </c>
      <c r="C851" s="77">
        <v>44743</v>
      </c>
      <c r="D851" s="77">
        <v>44773</v>
      </c>
      <c r="E851" s="47">
        <v>44743</v>
      </c>
      <c r="F851" s="48" t="s">
        <v>49</v>
      </c>
      <c r="G851" s="45" t="s">
        <v>35</v>
      </c>
      <c r="H851" s="49" t="s">
        <v>46</v>
      </c>
      <c r="I851" s="49" t="s">
        <v>37</v>
      </c>
      <c r="J851" s="74">
        <v>25</v>
      </c>
      <c r="K851" s="75">
        <v>524</v>
      </c>
      <c r="L851" s="72">
        <v>450</v>
      </c>
      <c r="M851" s="76">
        <v>680</v>
      </c>
      <c r="N851" s="28">
        <f>K851*J851</f>
        <v>13100</v>
      </c>
      <c r="O851" s="45">
        <v>14655</v>
      </c>
      <c r="P851" s="29">
        <v>27.967557249999999</v>
      </c>
      <c r="Q851" s="55"/>
      <c r="R851" s="31">
        <f>M851+Q851</f>
        <v>680</v>
      </c>
      <c r="S851" s="73">
        <v>-138</v>
      </c>
      <c r="T851" s="32">
        <f>R851+S851+IF(F851="Without EV deal",L851,0)</f>
        <v>542</v>
      </c>
      <c r="U851" s="57">
        <v>1</v>
      </c>
      <c r="V851" s="58"/>
      <c r="W851" s="58"/>
      <c r="X851" s="78">
        <v>0.25</v>
      </c>
      <c r="Y851" s="30">
        <f>IF(AG851="None",0,IF(AG851="Fix5",0.05, IF(AG851="Fix6.25",0.0625,IF(AG851="Fix3.75",0.0375,IF(AG851="Fix10",0.1,IF(AG851="Fix3",0.03,0))))))</f>
        <v>0</v>
      </c>
      <c r="Z851" s="35">
        <f>T851-AA851-AB851</f>
        <v>406.5</v>
      </c>
      <c r="AA851" s="29">
        <f>IF(AD851="EUR",((T851-R851)*X851)*U851+(R851*X851),(T851*X851))</f>
        <v>135.5</v>
      </c>
      <c r="AB851" s="36">
        <f>IF(AD851="EUR",((T851-R851)*Y851)*U851+(R851*Y851),(T851*Y851))</f>
        <v>0</v>
      </c>
      <c r="AC851" s="37" t="b">
        <v>1</v>
      </c>
      <c r="AD851" s="37" t="s">
        <v>38</v>
      </c>
      <c r="AE851" s="37" t="s">
        <v>38</v>
      </c>
      <c r="AF851" s="37" t="str">
        <f t="array" ref="AF851">INDEX('Deal Info'!D:D, MATCH(A851,'Deal Info'!A:A, 0))</f>
        <v>DoEVold</v>
      </c>
      <c r="AG851" s="38" t="str">
        <f t="array" ref="AG851">INDEX('Deal Info'!G:G, MATCH(A851,'Deal Info'!A:A, 0))</f>
        <v>None</v>
      </c>
    </row>
    <row r="852" spans="1:33" ht="14.25" hidden="1" x14ac:dyDescent="0.2">
      <c r="A852" s="18" t="str">
        <f t="array" ref="A852">IF(G852='Room Info'!$B$1, INDEX('Room Info'!$A$2:$A2446, MATCH(B852,'Room Info'!$B$2:$B2446, 0)),IF(G852='Room Info'!$C$1, INDEX('Room Info'!$A$2:$A2446, MATCH(B852,'Room Info'!$C$2:$C2446, 0)),IF(G852='Room Info'!$D$1, INDEX('Room Info'!$A$2:$A2446, MATCH(B852,'Room Info'!$D$2:$D2446, 0)),IF(G852='Room Info'!$E$1, INDEX('Room Info'!$A$2:$A2446, MATCH(B852,'Room Info'!$E$2:$E2446, 0)),IF(G852='Room Info'!$F$1, INDEX('Room Info'!$A$2:$A2446, MATCH(B852,'Room Info'!$F$2:$F2446, 0)),IF(G852='Room Info'!$H$1, INDEX('Room Info'!$A$2:$A2446, MATCH(B852,'Room Info'!$H$2:$H2446, 0)),IF(G852='Room Info'!$G$1, INDEX('Room Info'!$A$2:$A2446, MATCH(B852,'Room Info'!$G$2:$G2446, 0)))))))))</f>
        <v>kttweek1</v>
      </c>
      <c r="B852" s="45" t="s">
        <v>175</v>
      </c>
      <c r="C852" s="77">
        <v>44743</v>
      </c>
      <c r="D852" s="77">
        <v>44773</v>
      </c>
      <c r="E852" s="47">
        <v>44743</v>
      </c>
      <c r="F852" s="48" t="s">
        <v>49</v>
      </c>
      <c r="G852" s="45" t="s">
        <v>35</v>
      </c>
      <c r="H852" s="49" t="s">
        <v>72</v>
      </c>
      <c r="I852" s="49" t="s">
        <v>37</v>
      </c>
      <c r="J852" s="74">
        <v>50</v>
      </c>
      <c r="K852" s="75">
        <v>1238</v>
      </c>
      <c r="L852" s="72">
        <v>-2900</v>
      </c>
      <c r="M852" s="76">
        <v>3217</v>
      </c>
      <c r="N852" s="28">
        <f>K852*J852</f>
        <v>61900</v>
      </c>
      <c r="O852" s="45">
        <v>3440</v>
      </c>
      <c r="P852" s="29">
        <v>2.7786752830000001</v>
      </c>
      <c r="Q852" s="55"/>
      <c r="R852" s="31">
        <f>M852+Q852</f>
        <v>3217</v>
      </c>
      <c r="S852" s="73">
        <v>-3526</v>
      </c>
      <c r="T852" s="32">
        <f>R852+S852+IF(F852="Without EV deal",L852,0)</f>
        <v>-309</v>
      </c>
      <c r="U852" s="57">
        <v>1</v>
      </c>
      <c r="V852" s="58"/>
      <c r="W852" s="58"/>
      <c r="X852" s="78">
        <v>0.25</v>
      </c>
      <c r="Y852" s="30">
        <f>IF(AG852="None",0,IF(AG852="Fix5",0.05, IF(AG852="Fix6.25",0.0625,IF(AG852="Fix3.75",0.0375,IF(AG852="Fix10",0.1,IF(AG852="Fix3",0.03,0))))))</f>
        <v>0</v>
      </c>
      <c r="Z852" s="35">
        <f>T852-AA852-AB852</f>
        <v>-231.75</v>
      </c>
      <c r="AA852" s="29">
        <f>IF(AD852="EUR",((T852-R852)*X852)*U852+(R852*X852),(T852*X852))</f>
        <v>-77.25</v>
      </c>
      <c r="AB852" s="36">
        <f>IF(AD852="EUR",((T852-R852)*Y852)*U852+(R852*Y852),(T852*Y852))</f>
        <v>0</v>
      </c>
      <c r="AC852" s="37" t="b">
        <v>1</v>
      </c>
      <c r="AD852" s="37" t="s">
        <v>38</v>
      </c>
      <c r="AE852" s="37" t="s">
        <v>38</v>
      </c>
      <c r="AF852" s="37" t="str">
        <f t="array" ref="AF852">INDEX('Deal Info'!D:D, MATCH(A852,'Deal Info'!A:A, 0))</f>
        <v>DoEVold</v>
      </c>
      <c r="AG852" s="38" t="str">
        <f t="array" ref="AG852">INDEX('Deal Info'!G:G, MATCH(A852,'Deal Info'!A:A, 0))</f>
        <v>None</v>
      </c>
    </row>
    <row r="853" spans="1:33" ht="14.25" hidden="1" x14ac:dyDescent="0.2">
      <c r="A853" s="18" t="str">
        <f t="array" ref="A853">IF(G853='Room Info'!$B$1, INDEX('Room Info'!$A$2:$A2446, MATCH(B853,'Room Info'!$B$2:$B2446, 0)),IF(G853='Room Info'!$C$1, INDEX('Room Info'!$A$2:$A2446, MATCH(B853,'Room Info'!$C$2:$C2446, 0)),IF(G853='Room Info'!$D$1, INDEX('Room Info'!$A$2:$A2446, MATCH(B853,'Room Info'!$D$2:$D2446, 0)),IF(G853='Room Info'!$E$1, INDEX('Room Info'!$A$2:$A2446, MATCH(B853,'Room Info'!$E$2:$E2446, 0)),IF(G853='Room Info'!$F$1, INDEX('Room Info'!$A$2:$A2446, MATCH(B853,'Room Info'!$F$2:$F2446, 0)),IF(G853='Room Info'!$H$1, INDEX('Room Info'!$A$2:$A2446, MATCH(B853,'Room Info'!$H$2:$H2446, 0)),IF(G853='Room Info'!$G$1, INDEX('Room Info'!$A$2:$A2446, MATCH(B853,'Room Info'!$G$2:$G2446, 0)))))))))</f>
        <v>kttweek1</v>
      </c>
      <c r="B853" s="45" t="s">
        <v>175</v>
      </c>
      <c r="C853" s="77">
        <v>44743</v>
      </c>
      <c r="D853" s="77">
        <v>44773</v>
      </c>
      <c r="E853" s="47">
        <v>44743</v>
      </c>
      <c r="F853" s="48" t="s">
        <v>41</v>
      </c>
      <c r="G853" s="45" t="s">
        <v>35</v>
      </c>
      <c r="H853" s="49" t="s">
        <v>42</v>
      </c>
      <c r="I853" s="49" t="s">
        <v>37</v>
      </c>
      <c r="J853" s="74">
        <v>1</v>
      </c>
      <c r="K853" s="75">
        <v>3</v>
      </c>
      <c r="L853" s="72">
        <v>0</v>
      </c>
      <c r="M853" s="79"/>
      <c r="N853" s="28">
        <f>K853*J853</f>
        <v>3</v>
      </c>
      <c r="O853" s="96"/>
      <c r="P853" s="29">
        <v>0</v>
      </c>
      <c r="Q853" s="55"/>
      <c r="R853" s="31">
        <f>M853+Q853</f>
        <v>0</v>
      </c>
      <c r="S853" s="97"/>
      <c r="T853" s="32">
        <f>R853+S853+IF(F853="Without EV deal",L853,0)</f>
        <v>0</v>
      </c>
      <c r="U853" s="57">
        <v>1</v>
      </c>
      <c r="V853" s="58"/>
      <c r="W853" s="58"/>
      <c r="X853" s="78">
        <v>0.25</v>
      </c>
      <c r="Y853" s="30">
        <f>IF(AG853="None",0,IF(AG853="Fix5",0.05, IF(AG853="Fix6.25",0.0625,IF(AG853="Fix3.75",0.0375,IF(AG853="Fix10",0.1,IF(AG853="Fix3",0.03,0))))))</f>
        <v>0</v>
      </c>
      <c r="Z853" s="35">
        <f>T853-AA853-AB853</f>
        <v>0</v>
      </c>
      <c r="AA853" s="29">
        <f>IF(AD853="EUR",((T853-R853)*X853)*U853+(R853*X853),(T853*X853))</f>
        <v>0</v>
      </c>
      <c r="AB853" s="36">
        <f>IF(AD853="EUR",((T853-R853)*Y853)*U853+(R853*Y853),(T853*Y853))</f>
        <v>0</v>
      </c>
      <c r="AC853" s="37" t="b">
        <v>1</v>
      </c>
      <c r="AD853" s="37" t="s">
        <v>38</v>
      </c>
      <c r="AE853" s="37" t="s">
        <v>38</v>
      </c>
      <c r="AF853" s="37" t="str">
        <f t="array" ref="AF853">INDEX('Deal Info'!D:D, MATCH(A853,'Deal Info'!A:A, 0))</f>
        <v>DoEVold</v>
      </c>
      <c r="AG853" s="38" t="str">
        <f t="array" ref="AG853">INDEX('Deal Info'!G:G, MATCH(A853,'Deal Info'!A:A, 0))</f>
        <v>None</v>
      </c>
    </row>
    <row r="854" spans="1:33" ht="14.25" hidden="1" x14ac:dyDescent="0.2">
      <c r="A854" s="18" t="str">
        <f t="array" ref="A854">IF(G854='Room Info'!$B$1, INDEX('Room Info'!$A$2:$A2446, MATCH(B854,'Room Info'!$B$2:$B2446, 0)),IF(G854='Room Info'!$C$1, INDEX('Room Info'!$A$2:$A2446, MATCH(B854,'Room Info'!$C$2:$C2446, 0)),IF(G854='Room Info'!$D$1, INDEX('Room Info'!$A$2:$A2446, MATCH(B854,'Room Info'!$D$2:$D2446, 0)),IF(G854='Room Info'!$E$1, INDEX('Room Info'!$A$2:$A2446, MATCH(B854,'Room Info'!$E$2:$E2446, 0)),IF(G854='Room Info'!$F$1, INDEX('Room Info'!$A$2:$A2446, MATCH(B854,'Room Info'!$F$2:$F2446, 0)),IF(G854='Room Info'!$H$1, INDEX('Room Info'!$A$2:$A2446, MATCH(B854,'Room Info'!$H$2:$H2446, 0)),IF(G854='Room Info'!$G$1, INDEX('Room Info'!$A$2:$A2446, MATCH(B854,'Room Info'!$G$2:$G2446, 0)))))))))</f>
        <v>kttweek1</v>
      </c>
      <c r="B854" s="45" t="s">
        <v>175</v>
      </c>
      <c r="C854" s="77">
        <v>44743</v>
      </c>
      <c r="D854" s="77">
        <v>44773</v>
      </c>
      <c r="E854" s="47">
        <v>44743</v>
      </c>
      <c r="F854" s="48" t="s">
        <v>41</v>
      </c>
      <c r="G854" s="45" t="s">
        <v>35</v>
      </c>
      <c r="H854" s="49" t="s">
        <v>36</v>
      </c>
      <c r="I854" s="49" t="s">
        <v>37</v>
      </c>
      <c r="J854" s="74">
        <v>2</v>
      </c>
      <c r="K854" s="75">
        <v>3</v>
      </c>
      <c r="L854" s="72">
        <v>2</v>
      </c>
      <c r="M854" s="79"/>
      <c r="N854" s="28">
        <f>K854*J854</f>
        <v>6</v>
      </c>
      <c r="O854" s="96"/>
      <c r="P854" s="29">
        <v>0</v>
      </c>
      <c r="Q854" s="55"/>
      <c r="R854" s="31">
        <f>M854+Q854</f>
        <v>0</v>
      </c>
      <c r="S854" s="97"/>
      <c r="T854" s="32">
        <f>R854+S854+IF(F854="Without EV deal",L854,0)</f>
        <v>2</v>
      </c>
      <c r="U854" s="57">
        <v>1</v>
      </c>
      <c r="V854" s="58"/>
      <c r="W854" s="58"/>
      <c r="X854" s="78">
        <v>0.25</v>
      </c>
      <c r="Y854" s="30">
        <f>IF(AG854="None",0,IF(AG854="Fix5",0.05, IF(AG854="Fix6.25",0.0625,IF(AG854="Fix3.75",0.0375,IF(AG854="Fix10",0.1,IF(AG854="Fix3",0.03,0))))))</f>
        <v>0</v>
      </c>
      <c r="Z854" s="35">
        <f>T854-AA854-AB854</f>
        <v>1.5</v>
      </c>
      <c r="AA854" s="29">
        <f>IF(AD854="EUR",((T854-R854)*X854)*U854+(R854*X854),(T854*X854))</f>
        <v>0.5</v>
      </c>
      <c r="AB854" s="36">
        <f>IF(AD854="EUR",((T854-R854)*Y854)*U854+(R854*Y854),(T854*Y854))</f>
        <v>0</v>
      </c>
      <c r="AC854" s="37" t="b">
        <v>1</v>
      </c>
      <c r="AD854" s="37" t="s">
        <v>38</v>
      </c>
      <c r="AE854" s="37" t="s">
        <v>38</v>
      </c>
      <c r="AF854" s="37" t="str">
        <f t="array" ref="AF854">INDEX('Deal Info'!D:D, MATCH(A854,'Deal Info'!A:A, 0))</f>
        <v>DoEVold</v>
      </c>
      <c r="AG854" s="38" t="str">
        <f t="array" ref="AG854">INDEX('Deal Info'!G:G, MATCH(A854,'Deal Info'!A:A, 0))</f>
        <v>None</v>
      </c>
    </row>
    <row r="855" spans="1:33" ht="14.25" hidden="1" x14ac:dyDescent="0.2">
      <c r="A855" s="18" t="str">
        <f t="array" ref="A855">IF(G855='Room Info'!$B$1, INDEX('Room Info'!$A$2:$A2446, MATCH(B855,'Room Info'!$B$2:$B2446, 0)),IF(G855='Room Info'!$C$1, INDEX('Room Info'!$A$2:$A2446, MATCH(B855,'Room Info'!$C$2:$C2446, 0)),IF(G855='Room Info'!$D$1, INDEX('Room Info'!$A$2:$A2446, MATCH(B855,'Room Info'!$D$2:$D2446, 0)),IF(G855='Room Info'!$E$1, INDEX('Room Info'!$A$2:$A2446, MATCH(B855,'Room Info'!$E$2:$E2446, 0)),IF(G855='Room Info'!$F$1, INDEX('Room Info'!$A$2:$A2446, MATCH(B855,'Room Info'!$F$2:$F2446, 0)),IF(G855='Room Info'!$H$1, INDEX('Room Info'!$A$2:$A2446, MATCH(B855,'Room Info'!$H$2:$H2446, 0)),IF(G855='Room Info'!$G$1, INDEX('Room Info'!$A$2:$A2446, MATCH(B855,'Room Info'!$G$2:$G2446, 0)))))))))</f>
        <v>kttweek1</v>
      </c>
      <c r="B855" s="45" t="s">
        <v>175</v>
      </c>
      <c r="C855" s="77">
        <v>44743</v>
      </c>
      <c r="D855" s="77">
        <v>44773</v>
      </c>
      <c r="E855" s="47">
        <v>44743</v>
      </c>
      <c r="F855" s="48" t="s">
        <v>41</v>
      </c>
      <c r="G855" s="45" t="s">
        <v>35</v>
      </c>
      <c r="H855" s="49" t="s">
        <v>39</v>
      </c>
      <c r="I855" s="49" t="s">
        <v>37</v>
      </c>
      <c r="J855" s="74">
        <v>5</v>
      </c>
      <c r="K855" s="75">
        <v>3</v>
      </c>
      <c r="L855" s="72">
        <v>-15</v>
      </c>
      <c r="M855" s="76">
        <v>1</v>
      </c>
      <c r="N855" s="28">
        <f>K855*J855</f>
        <v>15</v>
      </c>
      <c r="O855" s="96"/>
      <c r="P855" s="29">
        <v>0</v>
      </c>
      <c r="Q855" s="55"/>
      <c r="R855" s="31">
        <f>M855+Q855</f>
        <v>1</v>
      </c>
      <c r="S855" s="97"/>
      <c r="T855" s="32">
        <f>R855+S855+IF(F855="Without EV deal",L855,0)</f>
        <v>-14</v>
      </c>
      <c r="U855" s="57">
        <v>1</v>
      </c>
      <c r="V855" s="58"/>
      <c r="W855" s="58"/>
      <c r="X855" s="78">
        <v>0.25</v>
      </c>
      <c r="Y855" s="30">
        <f>IF(AG855="None",0,IF(AG855="Fix5",0.05, IF(AG855="Fix6.25",0.0625,IF(AG855="Fix3.75",0.0375,IF(AG855="Fix10",0.1,IF(AG855="Fix3",0.03,0))))))</f>
        <v>0</v>
      </c>
      <c r="Z855" s="35">
        <f>T855-AA855-AB855</f>
        <v>-10.5</v>
      </c>
      <c r="AA855" s="29">
        <f>IF(AD855="EUR",((T855-R855)*X855)*U855+(R855*X855),(T855*X855))</f>
        <v>-3.5</v>
      </c>
      <c r="AB855" s="36">
        <f>IF(AD855="EUR",((T855-R855)*Y855)*U855+(R855*Y855),(T855*Y855))</f>
        <v>0</v>
      </c>
      <c r="AC855" s="37" t="b">
        <v>1</v>
      </c>
      <c r="AD855" s="37" t="s">
        <v>38</v>
      </c>
      <c r="AE855" s="37" t="s">
        <v>38</v>
      </c>
      <c r="AF855" s="37" t="str">
        <f t="array" ref="AF855">INDEX('Deal Info'!D:D, MATCH(A855,'Deal Info'!A:A, 0))</f>
        <v>DoEVold</v>
      </c>
      <c r="AG855" s="38" t="str">
        <f t="array" ref="AG855">INDEX('Deal Info'!G:G, MATCH(A855,'Deal Info'!A:A, 0))</f>
        <v>None</v>
      </c>
    </row>
    <row r="856" spans="1:33" ht="14.25" hidden="1" x14ac:dyDescent="0.2">
      <c r="A856" s="18" t="str">
        <f t="array" ref="A856">IF(G856='Room Info'!$B$1, INDEX('Room Info'!$A$2:$A2446, MATCH(B856,'Room Info'!$B$2:$B2446, 0)),IF(G856='Room Info'!$C$1, INDEX('Room Info'!$A$2:$A2446, MATCH(B856,'Room Info'!$C$2:$C2446, 0)),IF(G856='Room Info'!$D$1, INDEX('Room Info'!$A$2:$A2446, MATCH(B856,'Room Info'!$D$2:$D2446, 0)),IF(G856='Room Info'!$E$1, INDEX('Room Info'!$A$2:$A2446, MATCH(B856,'Room Info'!$E$2:$E2446, 0)),IF(G856='Room Info'!$F$1, INDEX('Room Info'!$A$2:$A2446, MATCH(B856,'Room Info'!$F$2:$F2446, 0)),IF(G856='Room Info'!$H$1, INDEX('Room Info'!$A$2:$A2446, MATCH(B856,'Room Info'!$H$2:$H2446, 0)),IF(G856='Room Info'!$G$1, INDEX('Room Info'!$A$2:$A2446, MATCH(B856,'Room Info'!$G$2:$G2446, 0)))))))))</f>
        <v>kttweek1</v>
      </c>
      <c r="B856" s="45" t="s">
        <v>175</v>
      </c>
      <c r="C856" s="77">
        <v>44774</v>
      </c>
      <c r="D856" s="77">
        <v>44804</v>
      </c>
      <c r="E856" s="47">
        <v>44774</v>
      </c>
      <c r="F856" s="48" t="s">
        <v>49</v>
      </c>
      <c r="G856" s="45" t="s">
        <v>35</v>
      </c>
      <c r="H856" s="49" t="s">
        <v>40</v>
      </c>
      <c r="I856" s="49" t="s">
        <v>37</v>
      </c>
      <c r="J856" s="74">
        <v>10</v>
      </c>
      <c r="K856" s="75">
        <v>12</v>
      </c>
      <c r="L856" s="72">
        <v>20</v>
      </c>
      <c r="M856" s="76">
        <v>6</v>
      </c>
      <c r="N856" s="28">
        <f>K856*J856</f>
        <v>120</v>
      </c>
      <c r="O856" s="45">
        <v>633</v>
      </c>
      <c r="P856" s="29">
        <v>52.75</v>
      </c>
      <c r="Q856" s="55"/>
      <c r="R856" s="31">
        <f>M856+Q856</f>
        <v>6</v>
      </c>
      <c r="S856" s="73">
        <v>3</v>
      </c>
      <c r="T856" s="32">
        <f>R856+S856+IF(F856="Without EV deal",L856,0)</f>
        <v>9</v>
      </c>
      <c r="U856" s="57">
        <v>1</v>
      </c>
      <c r="V856" s="58"/>
      <c r="W856" s="58"/>
      <c r="X856" s="78">
        <v>0.25</v>
      </c>
      <c r="Y856" s="30">
        <f>IF(AG856="None",0,IF(AG856="Fix5",0.05, IF(AG856="Fix6.25",0.0625,IF(AG856="Fix3.75",0.0375,IF(AG856="Fix10",0.1,IF(AG856="Fix3",0.03,0))))))</f>
        <v>0</v>
      </c>
      <c r="Z856" s="35">
        <f>T856-AA856-AB856</f>
        <v>6.75</v>
      </c>
      <c r="AA856" s="29">
        <f>IF(AD856="EUR",((T856-R856)*X856)*U856+(R856*X856),(T856*X856))</f>
        <v>2.25</v>
      </c>
      <c r="AB856" s="36">
        <f>IF(AD856="EUR",((T856-R856)*Y856)*U856+(R856*Y856),(T856*Y856))</f>
        <v>0</v>
      </c>
      <c r="AC856" s="37" t="b">
        <v>1</v>
      </c>
      <c r="AD856" s="37" t="s">
        <v>38</v>
      </c>
      <c r="AE856" s="37" t="s">
        <v>38</v>
      </c>
      <c r="AF856" s="37" t="str">
        <f t="array" ref="AF856">INDEX('Deal Info'!D:D, MATCH(A856,'Deal Info'!A:A, 0))</f>
        <v>DoEVold</v>
      </c>
      <c r="AG856" s="38" t="str">
        <f t="array" ref="AG856">INDEX('Deal Info'!G:G, MATCH(A856,'Deal Info'!A:A, 0))</f>
        <v>None</v>
      </c>
    </row>
    <row r="857" spans="1:33" ht="14.25" hidden="1" x14ac:dyDescent="0.2">
      <c r="A857" s="18" t="str">
        <f t="array" ref="A857">IF(G857='Room Info'!$B$1, INDEX('Room Info'!$A$2:$A2446, MATCH(B857,'Room Info'!$B$2:$B2446, 0)),IF(G857='Room Info'!$C$1, INDEX('Room Info'!$A$2:$A2446, MATCH(B857,'Room Info'!$C$2:$C2446, 0)),IF(G857='Room Info'!$D$1, INDEX('Room Info'!$A$2:$A2446, MATCH(B857,'Room Info'!$D$2:$D2446, 0)),IF(G857='Room Info'!$E$1, INDEX('Room Info'!$A$2:$A2446, MATCH(B857,'Room Info'!$E$2:$E2446, 0)),IF(G857='Room Info'!$F$1, INDEX('Room Info'!$A$2:$A2446, MATCH(B857,'Room Info'!$F$2:$F2446, 0)),IF(G857='Room Info'!$H$1, INDEX('Room Info'!$A$2:$A2446, MATCH(B857,'Room Info'!$H$2:$H2446, 0)),IF(G857='Room Info'!$G$1, INDEX('Room Info'!$A$2:$A2446, MATCH(B857,'Room Info'!$G$2:$G2446, 0)))))))))</f>
        <v>kttweek1</v>
      </c>
      <c r="B857" s="45" t="s">
        <v>175</v>
      </c>
      <c r="C857" s="77">
        <v>44774</v>
      </c>
      <c r="D857" s="77">
        <v>44804</v>
      </c>
      <c r="E857" s="47">
        <v>44774</v>
      </c>
      <c r="F857" s="48" t="s">
        <v>49</v>
      </c>
      <c r="G857" s="45" t="s">
        <v>35</v>
      </c>
      <c r="H857" s="49" t="s">
        <v>46</v>
      </c>
      <c r="I857" s="49" t="s">
        <v>37</v>
      </c>
      <c r="J857" s="74">
        <v>25</v>
      </c>
      <c r="K857" s="75">
        <v>1972</v>
      </c>
      <c r="L857" s="72">
        <v>-250</v>
      </c>
      <c r="M857" s="76">
        <v>2011</v>
      </c>
      <c r="N857" s="28">
        <f>K857*J857</f>
        <v>49300</v>
      </c>
      <c r="O857" s="45">
        <v>67894</v>
      </c>
      <c r="P857" s="29">
        <v>34.429006090000001</v>
      </c>
      <c r="Q857" s="55"/>
      <c r="R857" s="31">
        <f>M857+Q857</f>
        <v>2011</v>
      </c>
      <c r="S857" s="73">
        <v>-43</v>
      </c>
      <c r="T857" s="32">
        <f>R857+S857+IF(F857="Without EV deal",L857,0)</f>
        <v>1968</v>
      </c>
      <c r="U857" s="57">
        <v>1</v>
      </c>
      <c r="V857" s="58"/>
      <c r="W857" s="58"/>
      <c r="X857" s="78">
        <v>0.25</v>
      </c>
      <c r="Y857" s="30">
        <f>IF(AG857="None",0,IF(AG857="Fix5",0.05, IF(AG857="Fix6.25",0.0625,IF(AG857="Fix3.75",0.0375,IF(AG857="Fix10",0.1,IF(AG857="Fix3",0.03,0))))))</f>
        <v>0</v>
      </c>
      <c r="Z857" s="35">
        <f>T857-AA857-AB857</f>
        <v>1476</v>
      </c>
      <c r="AA857" s="29">
        <f>IF(AD857="EUR",((T857-R857)*X857)*U857+(R857*X857),(T857*X857))</f>
        <v>492</v>
      </c>
      <c r="AB857" s="36">
        <f>IF(AD857="EUR",((T857-R857)*Y857)*U857+(R857*Y857),(T857*Y857))</f>
        <v>0</v>
      </c>
      <c r="AC857" s="37" t="b">
        <v>1</v>
      </c>
      <c r="AD857" s="37" t="s">
        <v>38</v>
      </c>
      <c r="AE857" s="37" t="s">
        <v>38</v>
      </c>
      <c r="AF857" s="37" t="str">
        <f t="array" ref="AF857">INDEX('Deal Info'!D:D, MATCH(A857,'Deal Info'!A:A, 0))</f>
        <v>DoEVold</v>
      </c>
      <c r="AG857" s="38" t="str">
        <f t="array" ref="AG857">INDEX('Deal Info'!G:G, MATCH(A857,'Deal Info'!A:A, 0))</f>
        <v>None</v>
      </c>
    </row>
    <row r="858" spans="1:33" ht="14.25" hidden="1" x14ac:dyDescent="0.2">
      <c r="A858" s="18" t="str">
        <f t="array" ref="A858">IF(G858='Room Info'!$B$1, INDEX('Room Info'!$A$2:$A2446, MATCH(B858,'Room Info'!$B$2:$B2446, 0)),IF(G858='Room Info'!$C$1, INDEX('Room Info'!$A$2:$A2446, MATCH(B858,'Room Info'!$C$2:$C2446, 0)),IF(G858='Room Info'!$D$1, INDEX('Room Info'!$A$2:$A2446, MATCH(B858,'Room Info'!$D$2:$D2446, 0)),IF(G858='Room Info'!$E$1, INDEX('Room Info'!$A$2:$A2446, MATCH(B858,'Room Info'!$E$2:$E2446, 0)),IF(G858='Room Info'!$F$1, INDEX('Room Info'!$A$2:$A2446, MATCH(B858,'Room Info'!$F$2:$F2446, 0)),IF(G858='Room Info'!$H$1, INDEX('Room Info'!$A$2:$A2446, MATCH(B858,'Room Info'!$H$2:$H2446, 0)),IF(G858='Room Info'!$G$1, INDEX('Room Info'!$A$2:$A2446, MATCH(B858,'Room Info'!$G$2:$G2446, 0)))))))))</f>
        <v>kttweek1</v>
      </c>
      <c r="B858" s="45" t="s">
        <v>175</v>
      </c>
      <c r="C858" s="77">
        <v>44774</v>
      </c>
      <c r="D858" s="77">
        <v>44804</v>
      </c>
      <c r="E858" s="47">
        <v>44774</v>
      </c>
      <c r="F858" s="48" t="s">
        <v>49</v>
      </c>
      <c r="G858" s="45" t="s">
        <v>35</v>
      </c>
      <c r="H858" s="49" t="s">
        <v>72</v>
      </c>
      <c r="I858" s="49" t="s">
        <v>37</v>
      </c>
      <c r="J858" s="74">
        <v>50</v>
      </c>
      <c r="K858" s="75">
        <v>511</v>
      </c>
      <c r="L858" s="72">
        <v>-800</v>
      </c>
      <c r="M858" s="76">
        <v>1042</v>
      </c>
      <c r="N858" s="28">
        <f>K858*J858</f>
        <v>25550</v>
      </c>
      <c r="O858" s="45">
        <v>3602</v>
      </c>
      <c r="P858" s="29">
        <v>7.0489236789999996</v>
      </c>
      <c r="Q858" s="55"/>
      <c r="R858" s="31">
        <f>M858+Q858</f>
        <v>1042</v>
      </c>
      <c r="S858" s="73">
        <v>-1319</v>
      </c>
      <c r="T858" s="32">
        <f>R858+S858+IF(F858="Without EV deal",L858,0)</f>
        <v>-277</v>
      </c>
      <c r="U858" s="57">
        <v>1</v>
      </c>
      <c r="V858" s="58"/>
      <c r="W858" s="58"/>
      <c r="X858" s="78">
        <v>0.25</v>
      </c>
      <c r="Y858" s="30">
        <f>IF(AG858="None",0,IF(AG858="Fix5",0.05, IF(AG858="Fix6.25",0.0625,IF(AG858="Fix3.75",0.0375,IF(AG858="Fix10",0.1,IF(AG858="Fix3",0.03,0))))))</f>
        <v>0</v>
      </c>
      <c r="Z858" s="35">
        <f>T858-AA858-AB858</f>
        <v>-207.75</v>
      </c>
      <c r="AA858" s="29">
        <f>IF(AD858="EUR",((T858-R858)*X858)*U858+(R858*X858),(T858*X858))</f>
        <v>-69.25</v>
      </c>
      <c r="AB858" s="36">
        <f>IF(AD858="EUR",((T858-R858)*Y858)*U858+(R858*Y858),(T858*Y858))</f>
        <v>0</v>
      </c>
      <c r="AC858" s="37" t="b">
        <v>1</v>
      </c>
      <c r="AD858" s="37" t="s">
        <v>38</v>
      </c>
      <c r="AE858" s="37" t="s">
        <v>38</v>
      </c>
      <c r="AF858" s="37" t="str">
        <f t="array" ref="AF858">INDEX('Deal Info'!D:D, MATCH(A858,'Deal Info'!A:A, 0))</f>
        <v>DoEVold</v>
      </c>
      <c r="AG858" s="38" t="str">
        <f t="array" ref="AG858">INDEX('Deal Info'!G:G, MATCH(A858,'Deal Info'!A:A, 0))</f>
        <v>None</v>
      </c>
    </row>
    <row r="859" spans="1:33" ht="14.25" hidden="1" x14ac:dyDescent="0.2">
      <c r="A859" s="18" t="str">
        <f t="array" ref="A859">IF(G859='Room Info'!$B$1, INDEX('Room Info'!$A$2:$A2446, MATCH(B859,'Room Info'!$B$2:$B2446, 0)),IF(G859='Room Info'!$C$1, INDEX('Room Info'!$A$2:$A2446, MATCH(B859,'Room Info'!$C$2:$C2446, 0)),IF(G859='Room Info'!$D$1, INDEX('Room Info'!$A$2:$A2446, MATCH(B859,'Room Info'!$D$2:$D2446, 0)),IF(G859='Room Info'!$E$1, INDEX('Room Info'!$A$2:$A2446, MATCH(B859,'Room Info'!$E$2:$E2446, 0)),IF(G859='Room Info'!$F$1, INDEX('Room Info'!$A$2:$A2446, MATCH(B859,'Room Info'!$F$2:$F2446, 0)),IF(G859='Room Info'!$H$1, INDEX('Room Info'!$A$2:$A2446, MATCH(B859,'Room Info'!$H$2:$H2446, 0)),IF(G859='Room Info'!$G$1, INDEX('Room Info'!$A$2:$A2446, MATCH(B859,'Room Info'!$G$2:$G2446, 0)))))))))</f>
        <v>kttweek1</v>
      </c>
      <c r="B859" s="45" t="s">
        <v>175</v>
      </c>
      <c r="C859" s="77">
        <v>44774</v>
      </c>
      <c r="D859" s="77">
        <v>44804</v>
      </c>
      <c r="E859" s="47">
        <v>44774</v>
      </c>
      <c r="F859" s="48" t="s">
        <v>41</v>
      </c>
      <c r="G859" s="45" t="s">
        <v>35</v>
      </c>
      <c r="H859" s="49" t="s">
        <v>39</v>
      </c>
      <c r="I859" s="49" t="s">
        <v>37</v>
      </c>
      <c r="J859" s="74">
        <v>5</v>
      </c>
      <c r="K859" s="75">
        <v>2</v>
      </c>
      <c r="L859" s="72">
        <v>5</v>
      </c>
      <c r="M859" s="76">
        <v>0</v>
      </c>
      <c r="N859" s="28">
        <f>K859*J859</f>
        <v>10</v>
      </c>
      <c r="O859" s="96"/>
      <c r="P859" s="29">
        <v>0</v>
      </c>
      <c r="Q859" s="55"/>
      <c r="R859" s="31">
        <f>M859+Q859</f>
        <v>0</v>
      </c>
      <c r="S859" s="97"/>
      <c r="T859" s="32">
        <f>R859+S859+IF(F859="Without EV deal",L859,0)</f>
        <v>5</v>
      </c>
      <c r="U859" s="57">
        <v>1</v>
      </c>
      <c r="V859" s="58"/>
      <c r="W859" s="58"/>
      <c r="X859" s="78">
        <v>0.25</v>
      </c>
      <c r="Y859" s="30">
        <f>IF(AG859="None",0,IF(AG859="Fix5",0.05, IF(AG859="Fix6.25",0.0625,IF(AG859="Fix3.75",0.0375,IF(AG859="Fix10",0.1,IF(AG859="Fix3",0.03,0))))))</f>
        <v>0</v>
      </c>
      <c r="Z859" s="35">
        <f>T859-AA859-AB859</f>
        <v>3.75</v>
      </c>
      <c r="AA859" s="29">
        <f>IF(AD859="EUR",((T859-R859)*X859)*U859+(R859*X859),(T859*X859))</f>
        <v>1.25</v>
      </c>
      <c r="AB859" s="36">
        <f>IF(AD859="EUR",((T859-R859)*Y859)*U859+(R859*Y859),(T859*Y859))</f>
        <v>0</v>
      </c>
      <c r="AC859" s="37" t="b">
        <v>1</v>
      </c>
      <c r="AD859" s="37" t="s">
        <v>38</v>
      </c>
      <c r="AE859" s="37" t="s">
        <v>38</v>
      </c>
      <c r="AF859" s="37" t="str">
        <f t="array" ref="AF859">INDEX('Deal Info'!D:D, MATCH(A859,'Deal Info'!A:A, 0))</f>
        <v>DoEVold</v>
      </c>
      <c r="AG859" s="38" t="str">
        <f t="array" ref="AG859">INDEX('Deal Info'!G:G, MATCH(A859,'Deal Info'!A:A, 0))</f>
        <v>None</v>
      </c>
    </row>
    <row r="860" spans="1:33" ht="14.25" hidden="1" x14ac:dyDescent="0.2">
      <c r="A860" s="18" t="str">
        <f t="array" ref="A860">IF(G860='Room Info'!$B$1, INDEX('Room Info'!$A$2:$A2446, MATCH(B860,'Room Info'!$B$2:$B2446, 0)),IF(G860='Room Info'!$C$1, INDEX('Room Info'!$A$2:$A2446, MATCH(B860,'Room Info'!$C$2:$C2446, 0)),IF(G860='Room Info'!$D$1, INDEX('Room Info'!$A$2:$A2446, MATCH(B860,'Room Info'!$D$2:$D2446, 0)),IF(G860='Room Info'!$E$1, INDEX('Room Info'!$A$2:$A2446, MATCH(B860,'Room Info'!$E$2:$E2446, 0)),IF(G860='Room Info'!$F$1, INDEX('Room Info'!$A$2:$A2446, MATCH(B860,'Room Info'!$F$2:$F2446, 0)),IF(G860='Room Info'!$H$1, INDEX('Room Info'!$A$2:$A2446, MATCH(B860,'Room Info'!$H$2:$H2446, 0)),IF(G860='Room Info'!$G$1, INDEX('Room Info'!$A$2:$A2446, MATCH(B860,'Room Info'!$G$2:$G2446, 0)))))))))</f>
        <v>kttweek1</v>
      </c>
      <c r="B860" s="45" t="s">
        <v>175</v>
      </c>
      <c r="C860" s="77">
        <v>44805</v>
      </c>
      <c r="D860" s="77">
        <v>44834</v>
      </c>
      <c r="E860" s="47">
        <v>44805</v>
      </c>
      <c r="F860" s="48" t="s">
        <v>49</v>
      </c>
      <c r="G860" s="45" t="s">
        <v>35</v>
      </c>
      <c r="H860" s="49" t="s">
        <v>40</v>
      </c>
      <c r="I860" s="49" t="s">
        <v>37</v>
      </c>
      <c r="J860" s="74">
        <v>10</v>
      </c>
      <c r="K860" s="75">
        <v>166</v>
      </c>
      <c r="L860" s="72">
        <v>-230</v>
      </c>
      <c r="M860" s="76">
        <v>78</v>
      </c>
      <c r="N860" s="28">
        <f>K860*J860</f>
        <v>1660</v>
      </c>
      <c r="O860" s="45">
        <v>972</v>
      </c>
      <c r="P860" s="29">
        <v>5.8554216869999998</v>
      </c>
      <c r="Q860" s="55"/>
      <c r="R860" s="31">
        <f>M860+Q860</f>
        <v>78</v>
      </c>
      <c r="S860" s="73">
        <v>-100</v>
      </c>
      <c r="T860" s="32">
        <f>R860+S860+IF(F860="Without EV deal",L860,0)</f>
        <v>-22</v>
      </c>
      <c r="U860" s="57">
        <v>1</v>
      </c>
      <c r="V860" s="58"/>
      <c r="W860" s="58"/>
      <c r="X860" s="78">
        <v>0.25</v>
      </c>
      <c r="Y860" s="30">
        <f>IF(AG860="None",0,IF(AG860="Fix5",0.05, IF(AG860="Fix6.25",0.0625,IF(AG860="Fix3.75",0.0375,IF(AG860="Fix10",0.1,IF(AG860="Fix3",0.03,0))))))</f>
        <v>0</v>
      </c>
      <c r="Z860" s="35">
        <f>T860-AA860-AB860</f>
        <v>-16.5</v>
      </c>
      <c r="AA860" s="29">
        <f>IF(AD860="EUR",((T860-R860)*X860)*U860+(R860*X860),(T860*X860))</f>
        <v>-5.5</v>
      </c>
      <c r="AB860" s="36">
        <f>IF(AD860="EUR",((T860-R860)*Y860)*U860+(R860*Y860),(T860*Y860))</f>
        <v>0</v>
      </c>
      <c r="AC860" s="37" t="b">
        <v>1</v>
      </c>
      <c r="AD860" s="37" t="s">
        <v>38</v>
      </c>
      <c r="AE860" s="37" t="s">
        <v>38</v>
      </c>
      <c r="AF860" s="37" t="str">
        <f t="array" ref="AF860">INDEX('Deal Info'!D:D, MATCH(A860,'Deal Info'!A:A, 0))</f>
        <v>DoEVold</v>
      </c>
      <c r="AG860" s="38" t="str">
        <f t="array" ref="AG860">INDEX('Deal Info'!G:G, MATCH(A860,'Deal Info'!A:A, 0))</f>
        <v>None</v>
      </c>
    </row>
    <row r="861" spans="1:33" ht="14.25" hidden="1" x14ac:dyDescent="0.2">
      <c r="A861" s="18" t="str">
        <f t="array" ref="A861">IF(G861='Room Info'!$B$1, INDEX('Room Info'!$A$2:$A2446, MATCH(B861,'Room Info'!$B$2:$B2446, 0)),IF(G861='Room Info'!$C$1, INDEX('Room Info'!$A$2:$A2446, MATCH(B861,'Room Info'!$C$2:$C2446, 0)),IF(G861='Room Info'!$D$1, INDEX('Room Info'!$A$2:$A2446, MATCH(B861,'Room Info'!$D$2:$D2446, 0)),IF(G861='Room Info'!$E$1, INDEX('Room Info'!$A$2:$A2446, MATCH(B861,'Room Info'!$E$2:$E2446, 0)),IF(G861='Room Info'!$F$1, INDEX('Room Info'!$A$2:$A2446, MATCH(B861,'Room Info'!$F$2:$F2446, 0)),IF(G861='Room Info'!$H$1, INDEX('Room Info'!$A$2:$A2446, MATCH(B861,'Room Info'!$H$2:$H2446, 0)),IF(G861='Room Info'!$G$1, INDEX('Room Info'!$A$2:$A2446, MATCH(B861,'Room Info'!$G$2:$G2446, 0)))))))))</f>
        <v>kttweek1</v>
      </c>
      <c r="B861" s="45" t="s">
        <v>175</v>
      </c>
      <c r="C861" s="77">
        <v>44805</v>
      </c>
      <c r="D861" s="77">
        <v>44834</v>
      </c>
      <c r="E861" s="47">
        <v>44805</v>
      </c>
      <c r="F861" s="48" t="s">
        <v>49</v>
      </c>
      <c r="G861" s="45" t="s">
        <v>35</v>
      </c>
      <c r="H861" s="49" t="s">
        <v>46</v>
      </c>
      <c r="I861" s="49" t="s">
        <v>37</v>
      </c>
      <c r="J861" s="74">
        <v>25</v>
      </c>
      <c r="K861" s="75">
        <v>3160</v>
      </c>
      <c r="L861" s="72">
        <v>-3075</v>
      </c>
      <c r="M861" s="76">
        <v>3191</v>
      </c>
      <c r="N861" s="28">
        <f>K861*J861</f>
        <v>79000</v>
      </c>
      <c r="O861" s="45">
        <v>114035</v>
      </c>
      <c r="P861" s="29">
        <v>36.087025320000002</v>
      </c>
      <c r="Q861" s="55"/>
      <c r="R861" s="31">
        <f>M861+Q861</f>
        <v>3191</v>
      </c>
      <c r="S861" s="73">
        <v>558</v>
      </c>
      <c r="T861" s="32">
        <f>R861+S861+IF(F861="Without EV deal",L861,0)</f>
        <v>3749</v>
      </c>
      <c r="U861" s="57">
        <v>1</v>
      </c>
      <c r="V861" s="58"/>
      <c r="W861" s="58"/>
      <c r="X861" s="78">
        <v>0.25</v>
      </c>
      <c r="Y861" s="30">
        <f>IF(AG861="None",0,IF(AG861="Fix5",0.05, IF(AG861="Fix6.25",0.0625,IF(AG861="Fix3.75",0.0375,IF(AG861="Fix10",0.1,IF(AG861="Fix3",0.03,0))))))</f>
        <v>0</v>
      </c>
      <c r="Z861" s="35">
        <f>T861-AA861-AB861</f>
        <v>2811.75</v>
      </c>
      <c r="AA861" s="29">
        <f>IF(AD861="EUR",((T861-R861)*X861)*U861+(R861*X861),(T861*X861))</f>
        <v>937.25</v>
      </c>
      <c r="AB861" s="36">
        <f>IF(AD861="EUR",((T861-R861)*Y861)*U861+(R861*Y861),(T861*Y861))</f>
        <v>0</v>
      </c>
      <c r="AC861" s="37" t="b">
        <v>1</v>
      </c>
      <c r="AD861" s="37" t="s">
        <v>38</v>
      </c>
      <c r="AE861" s="37" t="s">
        <v>38</v>
      </c>
      <c r="AF861" s="37" t="str">
        <f t="array" ref="AF861">INDEX('Deal Info'!D:D, MATCH(A861,'Deal Info'!A:A, 0))</f>
        <v>DoEVold</v>
      </c>
      <c r="AG861" s="38" t="str">
        <f t="array" ref="AG861">INDEX('Deal Info'!G:G, MATCH(A861,'Deal Info'!A:A, 0))</f>
        <v>None</v>
      </c>
    </row>
    <row r="862" spans="1:33" ht="14.25" hidden="1" x14ac:dyDescent="0.2">
      <c r="A862" s="18" t="str">
        <f t="array" ref="A862">IF(G862='Room Info'!$B$1, INDEX('Room Info'!$A$2:$A2446, MATCH(B862,'Room Info'!$B$2:$B2446, 0)),IF(G862='Room Info'!$C$1, INDEX('Room Info'!$A$2:$A2446, MATCH(B862,'Room Info'!$C$2:$C2446, 0)),IF(G862='Room Info'!$D$1, INDEX('Room Info'!$A$2:$A2446, MATCH(B862,'Room Info'!$D$2:$D2446, 0)),IF(G862='Room Info'!$E$1, INDEX('Room Info'!$A$2:$A2446, MATCH(B862,'Room Info'!$E$2:$E2446, 0)),IF(G862='Room Info'!$F$1, INDEX('Room Info'!$A$2:$A2446, MATCH(B862,'Room Info'!$F$2:$F2446, 0)),IF(G862='Room Info'!$H$1, INDEX('Room Info'!$A$2:$A2446, MATCH(B862,'Room Info'!$H$2:$H2446, 0)),IF(G862='Room Info'!$G$1, INDEX('Room Info'!$A$2:$A2446, MATCH(B862,'Room Info'!$G$2:$G2446, 0)))))))))</f>
        <v>kttweek1</v>
      </c>
      <c r="B862" s="45" t="s">
        <v>175</v>
      </c>
      <c r="C862" s="77">
        <v>44805</v>
      </c>
      <c r="D862" s="77">
        <v>44834</v>
      </c>
      <c r="E862" s="47">
        <v>44805</v>
      </c>
      <c r="F862" s="48" t="s">
        <v>41</v>
      </c>
      <c r="G862" s="45" t="s">
        <v>35</v>
      </c>
      <c r="H862" s="49" t="s">
        <v>39</v>
      </c>
      <c r="I862" s="49" t="s">
        <v>37</v>
      </c>
      <c r="J862" s="50">
        <v>5</v>
      </c>
      <c r="K862" s="51">
        <v>3</v>
      </c>
      <c r="L862" s="52">
        <v>-15</v>
      </c>
      <c r="M862" s="62"/>
      <c r="N862" s="28">
        <f>K862*J862</f>
        <v>15</v>
      </c>
      <c r="O862" s="65"/>
      <c r="P862" s="29">
        <v>0</v>
      </c>
      <c r="Q862" s="55"/>
      <c r="R862" s="31">
        <f>M862+Q862</f>
        <v>0</v>
      </c>
      <c r="S862" s="66"/>
      <c r="T862" s="32">
        <f>R862+S862+IF(F862="Without EV deal",L862,0)</f>
        <v>-15</v>
      </c>
      <c r="U862" s="57">
        <v>1</v>
      </c>
      <c r="V862" s="58"/>
      <c r="W862" s="58"/>
      <c r="X862" s="78">
        <v>0.25</v>
      </c>
      <c r="Y862" s="30">
        <f>IF(AG862="None",0,IF(AG862="Fix5",0.05, IF(AG862="Fix6.25",0.0625,IF(AG862="Fix3.75",0.0375,IF(AG862="Fix10",0.1,IF(AG862="Fix3",0.03,0))))))</f>
        <v>0</v>
      </c>
      <c r="Z862" s="35">
        <f>T862-AA862-AB862</f>
        <v>-11.25</v>
      </c>
      <c r="AA862" s="29">
        <f>IF(AD862="EUR",((T862-R862)*X862)*U862+(R862*X862),(T862*X862))</f>
        <v>-3.75</v>
      </c>
      <c r="AB862" s="36">
        <f>IF(AD862="EUR",((T862-R862)*Y862)*U862+(R862*Y862),(T862*Y862))</f>
        <v>0</v>
      </c>
      <c r="AC862" s="37" t="b">
        <v>1</v>
      </c>
      <c r="AD862" s="37" t="s">
        <v>38</v>
      </c>
      <c r="AE862" s="37" t="s">
        <v>38</v>
      </c>
      <c r="AF862" s="37" t="str">
        <f t="array" ref="AF862">INDEX('Deal Info'!D:D, MATCH(A862,'Deal Info'!A:A, 0))</f>
        <v>DoEVold</v>
      </c>
      <c r="AG862" s="38" t="str">
        <f t="array" ref="AG862">INDEX('Deal Info'!G:G, MATCH(A862,'Deal Info'!A:A, 0))</f>
        <v>None</v>
      </c>
    </row>
    <row r="863" spans="1:33" ht="14.25" hidden="1" x14ac:dyDescent="0.2">
      <c r="A863" s="18" t="str">
        <f t="array" ref="A863">IF(G863='Room Info'!$B$1, INDEX('Room Info'!$A$2:$A2446, MATCH(B863,'Room Info'!$B$2:$B2446, 0)),IF(G863='Room Info'!$C$1, INDEX('Room Info'!$A$2:$A2446, MATCH(B863,'Room Info'!$C$2:$C2446, 0)),IF(G863='Room Info'!$D$1, INDEX('Room Info'!$A$2:$A2446, MATCH(B863,'Room Info'!$D$2:$D2446, 0)),IF(G863='Room Info'!$E$1, INDEX('Room Info'!$A$2:$A2446, MATCH(B863,'Room Info'!$E$2:$E2446, 0)),IF(G863='Room Info'!$F$1, INDEX('Room Info'!$A$2:$A2446, MATCH(B863,'Room Info'!$F$2:$F2446, 0)),IF(G863='Room Info'!$H$1, INDEX('Room Info'!$A$2:$A2446, MATCH(B863,'Room Info'!$H$2:$H2446, 0)),IF(G863='Room Info'!$G$1, INDEX('Room Info'!$A$2:$A2446, MATCH(B863,'Room Info'!$G$2:$G2446, 0)))))))))</f>
        <v>kttweek1</v>
      </c>
      <c r="B863" s="45" t="s">
        <v>175</v>
      </c>
      <c r="C863" s="77">
        <v>44835</v>
      </c>
      <c r="D863" s="77">
        <v>44865</v>
      </c>
      <c r="E863" s="47">
        <v>44835</v>
      </c>
      <c r="F863" s="48" t="s">
        <v>49</v>
      </c>
      <c r="G863" s="45" t="s">
        <v>35</v>
      </c>
      <c r="H863" s="49" t="s">
        <v>40</v>
      </c>
      <c r="I863" s="49" t="s">
        <v>37</v>
      </c>
      <c r="J863" s="50">
        <v>10</v>
      </c>
      <c r="K863" s="51">
        <v>21</v>
      </c>
      <c r="L863" s="52">
        <v>-30</v>
      </c>
      <c r="M863" s="53">
        <v>8</v>
      </c>
      <c r="N863" s="28">
        <f>K863*J863</f>
        <v>210</v>
      </c>
      <c r="O863" s="54">
        <v>-736</v>
      </c>
      <c r="P863" s="29">
        <v>-35.047619050000002</v>
      </c>
      <c r="Q863" s="55"/>
      <c r="R863" s="31">
        <f>M863+Q863</f>
        <v>8</v>
      </c>
      <c r="S863" s="56">
        <v>-29</v>
      </c>
      <c r="T863" s="32">
        <f>R863+S863+IF(F863="Without EV deal",L863,0)</f>
        <v>-21</v>
      </c>
      <c r="U863" s="57">
        <v>1</v>
      </c>
      <c r="V863" s="58"/>
      <c r="W863" s="58"/>
      <c r="X863" s="78">
        <v>0.25</v>
      </c>
      <c r="Y863" s="30">
        <f>IF(AG863="None",0,IF(AG863="Fix5",0.05, IF(AG863="Fix6.25",0.0625,IF(AG863="Fix3.75",0.0375,IF(AG863="Fix10",0.1,IF(AG863="Fix3",0.03,0))))))</f>
        <v>0</v>
      </c>
      <c r="Z863" s="35">
        <f>T863-AA863-AB863</f>
        <v>-15.75</v>
      </c>
      <c r="AA863" s="29">
        <f>IF(AD863="EUR",((T863-R863)*X863)*U863+(R863*X863),(T863*X863))</f>
        <v>-5.25</v>
      </c>
      <c r="AB863" s="36">
        <f>IF(AD863="EUR",((T863-R863)*Y863)*U863+(R863*Y863),(T863*Y863))</f>
        <v>0</v>
      </c>
      <c r="AC863" s="37" t="b">
        <v>1</v>
      </c>
      <c r="AD863" s="37" t="s">
        <v>38</v>
      </c>
      <c r="AE863" s="37" t="s">
        <v>38</v>
      </c>
      <c r="AF863" s="37" t="str">
        <f t="array" ref="AF863">INDEX('Deal Info'!D:D, MATCH(A863,'Deal Info'!A:A, 0))</f>
        <v>DoEVold</v>
      </c>
      <c r="AG863" s="38" t="str">
        <f t="array" ref="AG863">INDEX('Deal Info'!G:G, MATCH(A863,'Deal Info'!A:A, 0))</f>
        <v>None</v>
      </c>
    </row>
    <row r="864" spans="1:33" ht="14.25" hidden="1" x14ac:dyDescent="0.2">
      <c r="A864" s="18" t="str">
        <f t="array" ref="A864">IF(G864='Room Info'!$B$1, INDEX('Room Info'!$A$2:$A2446, MATCH(B864,'Room Info'!$B$2:$B2446, 0)),IF(G864='Room Info'!$C$1, INDEX('Room Info'!$A$2:$A2446, MATCH(B864,'Room Info'!$C$2:$C2446, 0)),IF(G864='Room Info'!$D$1, INDEX('Room Info'!$A$2:$A2446, MATCH(B864,'Room Info'!$D$2:$D2446, 0)),IF(G864='Room Info'!$E$1, INDEX('Room Info'!$A$2:$A2446, MATCH(B864,'Room Info'!$E$2:$E2446, 0)),IF(G864='Room Info'!$F$1, INDEX('Room Info'!$A$2:$A2446, MATCH(B864,'Room Info'!$F$2:$F2446, 0)),IF(G864='Room Info'!$H$1, INDEX('Room Info'!$A$2:$A2446, MATCH(B864,'Room Info'!$H$2:$H2446, 0)),IF(G864='Room Info'!$G$1, INDEX('Room Info'!$A$2:$A2446, MATCH(B864,'Room Info'!$G$2:$G2446, 0)))))))))</f>
        <v>kttweek1</v>
      </c>
      <c r="B864" s="45" t="s">
        <v>175</v>
      </c>
      <c r="C864" s="77">
        <v>44835</v>
      </c>
      <c r="D864" s="77">
        <v>44865</v>
      </c>
      <c r="E864" s="47">
        <v>44835</v>
      </c>
      <c r="F864" s="48" t="s">
        <v>49</v>
      </c>
      <c r="G864" s="45" t="s">
        <v>35</v>
      </c>
      <c r="H864" s="49" t="s">
        <v>46</v>
      </c>
      <c r="I864" s="49" t="s">
        <v>37</v>
      </c>
      <c r="J864" s="74">
        <v>25</v>
      </c>
      <c r="K864" s="75">
        <v>989</v>
      </c>
      <c r="L864" s="72">
        <v>-425</v>
      </c>
      <c r="M864" s="76">
        <v>787</v>
      </c>
      <c r="N864" s="28">
        <f>K864*J864</f>
        <v>24725</v>
      </c>
      <c r="O864" s="45">
        <v>44880</v>
      </c>
      <c r="P864" s="29">
        <v>45.379170879999997</v>
      </c>
      <c r="Q864" s="55"/>
      <c r="R864" s="31">
        <f>M864+Q864</f>
        <v>787</v>
      </c>
      <c r="S864" s="73">
        <v>378</v>
      </c>
      <c r="T864" s="32">
        <f>R864+S864+IF(F864="Without EV deal",L864,0)</f>
        <v>1165</v>
      </c>
      <c r="U864" s="57">
        <v>1</v>
      </c>
      <c r="V864" s="58"/>
      <c r="W864" s="58"/>
      <c r="X864" s="78">
        <v>0.25</v>
      </c>
      <c r="Y864" s="30">
        <f>IF(AG864="None",0,IF(AG864="Fix5",0.05, IF(AG864="Fix6.25",0.0625,IF(AG864="Fix3.75",0.0375,IF(AG864="Fix10",0.1,IF(AG864="Fix3",0.03,0))))))</f>
        <v>0</v>
      </c>
      <c r="Z864" s="35">
        <f>T864-AA864-AB864</f>
        <v>873.75</v>
      </c>
      <c r="AA864" s="29">
        <f>IF(AD864="EUR",((T864-R864)*X864)*U864+(R864*X864),(T864*X864))</f>
        <v>291.25</v>
      </c>
      <c r="AB864" s="36">
        <f>IF(AD864="EUR",((T864-R864)*Y864)*U864+(R864*Y864),(T864*Y864))</f>
        <v>0</v>
      </c>
      <c r="AC864" s="37" t="b">
        <v>1</v>
      </c>
      <c r="AD864" s="37" t="s">
        <v>38</v>
      </c>
      <c r="AE864" s="37" t="s">
        <v>38</v>
      </c>
      <c r="AF864" s="37" t="str">
        <f t="array" ref="AF864">INDEX('Deal Info'!D:D, MATCH(A864,'Deal Info'!A:A, 0))</f>
        <v>DoEVold</v>
      </c>
      <c r="AG864" s="38" t="str">
        <f t="array" ref="AG864">INDEX('Deal Info'!G:G, MATCH(A864,'Deal Info'!A:A, 0))</f>
        <v>None</v>
      </c>
    </row>
    <row r="865" spans="1:33" ht="14.25" hidden="1" x14ac:dyDescent="0.2">
      <c r="A865" s="18" t="str">
        <f t="array" ref="A865">IF(G865='Room Info'!$B$1, INDEX('Room Info'!$A$2:$A2446, MATCH(B865,'Room Info'!$B$2:$B2446, 0)),IF(G865='Room Info'!$C$1, INDEX('Room Info'!$A$2:$A2446, MATCH(B865,'Room Info'!$C$2:$C2446, 0)),IF(G865='Room Info'!$D$1, INDEX('Room Info'!$A$2:$A2446, MATCH(B865,'Room Info'!$D$2:$D2446, 0)),IF(G865='Room Info'!$E$1, INDEX('Room Info'!$A$2:$A2446, MATCH(B865,'Room Info'!$E$2:$E2446, 0)),IF(G865='Room Info'!$F$1, INDEX('Room Info'!$A$2:$A2446, MATCH(B865,'Room Info'!$F$2:$F2446, 0)),IF(G865='Room Info'!$H$1, INDEX('Room Info'!$A$2:$A2446, MATCH(B865,'Room Info'!$H$2:$H2446, 0)),IF(G865='Room Info'!$G$1, INDEX('Room Info'!$A$2:$A2446, MATCH(B865,'Room Info'!$G$2:$G2446, 0)))))))))</f>
        <v>kttweek1</v>
      </c>
      <c r="B865" s="45" t="s">
        <v>175</v>
      </c>
      <c r="C865" s="77">
        <v>44866</v>
      </c>
      <c r="D865" s="77">
        <v>44895</v>
      </c>
      <c r="E865" s="47">
        <v>44866</v>
      </c>
      <c r="F865" s="48" t="s">
        <v>49</v>
      </c>
      <c r="G865" s="45" t="s">
        <v>35</v>
      </c>
      <c r="H865" s="49" t="s">
        <v>40</v>
      </c>
      <c r="I865" s="49" t="s">
        <v>37</v>
      </c>
      <c r="J865" s="74">
        <v>10</v>
      </c>
      <c r="K865" s="75">
        <v>2</v>
      </c>
      <c r="L865" s="72">
        <v>30</v>
      </c>
      <c r="M865" s="76">
        <v>1</v>
      </c>
      <c r="N865" s="28">
        <f>K865*J865</f>
        <v>20</v>
      </c>
      <c r="O865" s="45">
        <v>1475</v>
      </c>
      <c r="P865" s="29">
        <v>737.5</v>
      </c>
      <c r="Q865" s="55"/>
      <c r="R865" s="31">
        <f>M865+Q865</f>
        <v>1</v>
      </c>
      <c r="S865" s="73">
        <v>25</v>
      </c>
      <c r="T865" s="32">
        <f>R865+S865+IF(F865="Without EV deal",L865,0)</f>
        <v>26</v>
      </c>
      <c r="U865" s="57">
        <v>1</v>
      </c>
      <c r="V865" s="58"/>
      <c r="W865" s="58"/>
      <c r="X865" s="78">
        <v>0.17</v>
      </c>
      <c r="Y865" s="30">
        <f>IF(AG865="None",0,IF(AG865="Fix5",0.05, IF(AG865="Fix6.25",0.0625,IF(AG865="Fix3.75",0.0375,IF(AG865="Fix10",0.1,IF(AG865="Fix3",0.03,0))))))</f>
        <v>0</v>
      </c>
      <c r="Z865" s="35">
        <f>T865-AA865-AB865</f>
        <v>21.58</v>
      </c>
      <c r="AA865" s="29">
        <f>IF(AD865="EUR",((T865-R865)*X865)*U865+(R865*X865),(T865*X865))</f>
        <v>4.42</v>
      </c>
      <c r="AB865" s="36">
        <f>IF(AD865="EUR",((T865-R865)*Y865)*U865+(R865*Y865),(T865*Y865))</f>
        <v>0</v>
      </c>
      <c r="AC865" s="37" t="b">
        <v>1</v>
      </c>
      <c r="AD865" s="37" t="s">
        <v>38</v>
      </c>
      <c r="AE865" s="37" t="s">
        <v>38</v>
      </c>
      <c r="AF865" s="37" t="str">
        <f t="array" ref="AF865">INDEX('Deal Info'!D:D, MATCH(A865,'Deal Info'!A:A, 0))</f>
        <v>DoEVold</v>
      </c>
      <c r="AG865" s="38" t="str">
        <f t="array" ref="AG865">INDEX('Deal Info'!G:G, MATCH(A865,'Deal Info'!A:A, 0))</f>
        <v>None</v>
      </c>
    </row>
    <row r="866" spans="1:33" ht="14.25" hidden="1" x14ac:dyDescent="0.2">
      <c r="A866" s="18" t="str">
        <f t="array" ref="A866">IF(G866='Room Info'!$B$1, INDEX('Room Info'!$A$2:$A2446, MATCH(B866,'Room Info'!$B$2:$B2446, 0)),IF(G866='Room Info'!$C$1, INDEX('Room Info'!$A$2:$A2446, MATCH(B866,'Room Info'!$C$2:$C2446, 0)),IF(G866='Room Info'!$D$1, INDEX('Room Info'!$A$2:$A2446, MATCH(B866,'Room Info'!$D$2:$D2446, 0)),IF(G866='Room Info'!$E$1, INDEX('Room Info'!$A$2:$A2446, MATCH(B866,'Room Info'!$E$2:$E2446, 0)),IF(G866='Room Info'!$F$1, INDEX('Room Info'!$A$2:$A2446, MATCH(B866,'Room Info'!$F$2:$F2446, 0)),IF(G866='Room Info'!$H$1, INDEX('Room Info'!$A$2:$A2446, MATCH(B866,'Room Info'!$H$2:$H2446, 0)),IF(G866='Room Info'!$G$1, INDEX('Room Info'!$A$2:$A2446, MATCH(B866,'Room Info'!$G$2:$G2446, 0)))))))))</f>
        <v>kttweek1</v>
      </c>
      <c r="B866" s="54" t="s">
        <v>175</v>
      </c>
      <c r="C866" s="77">
        <v>44866</v>
      </c>
      <c r="D866" s="77">
        <v>44895</v>
      </c>
      <c r="E866" s="47">
        <v>44866</v>
      </c>
      <c r="F866" s="48" t="s">
        <v>49</v>
      </c>
      <c r="G866" s="54" t="s">
        <v>35</v>
      </c>
      <c r="H866" s="49" t="s">
        <v>85</v>
      </c>
      <c r="I866" s="49" t="s">
        <v>44</v>
      </c>
      <c r="J866" s="50">
        <v>50</v>
      </c>
      <c r="K866" s="51">
        <v>234</v>
      </c>
      <c r="L866" s="52">
        <v>-450</v>
      </c>
      <c r="M866" s="53">
        <v>448</v>
      </c>
      <c r="N866" s="28">
        <f>K866*J866</f>
        <v>11700</v>
      </c>
      <c r="O866" s="54">
        <v>3896</v>
      </c>
      <c r="P866" s="29">
        <v>16.64957265</v>
      </c>
      <c r="Q866" s="55"/>
      <c r="R866" s="31">
        <f>M866+Q866</f>
        <v>448</v>
      </c>
      <c r="S866" s="56">
        <v>-183</v>
      </c>
      <c r="T866" s="32">
        <f>R866+S866+IF(F866="Without EV deal",L866,0)</f>
        <v>265</v>
      </c>
      <c r="U866" s="57">
        <v>1</v>
      </c>
      <c r="V866" s="58"/>
      <c r="W866" s="58"/>
      <c r="X866" s="78">
        <v>0.17</v>
      </c>
      <c r="Y866" s="30">
        <f>IF(AG866="None",0,IF(AG866="Fix5",0.05, IF(AG866="Fix6.25",0.0625,IF(AG866="Fix3.75",0.0375,IF(AG866="Fix10",0.1,IF(AG866="Fix3",0.03,0))))))</f>
        <v>0</v>
      </c>
      <c r="Z866" s="35">
        <f>T866-AA866-AB866</f>
        <v>219.95</v>
      </c>
      <c r="AA866" s="29">
        <f>IF(AD866="EUR",((T866-R866)*X866)*U866+(R866*X866),(T866*X866))</f>
        <v>45.050000000000004</v>
      </c>
      <c r="AB866" s="36">
        <f>IF(AD866="EUR",((T866-R866)*Y866)*U866+(R866*Y866),(T866*Y866))</f>
        <v>0</v>
      </c>
      <c r="AC866" s="37" t="b">
        <v>1</v>
      </c>
      <c r="AD866" s="37" t="s">
        <v>38</v>
      </c>
      <c r="AE866" s="37" t="s">
        <v>38</v>
      </c>
      <c r="AF866" s="37" t="str">
        <f t="array" ref="AF866">INDEX('Deal Info'!D:D, MATCH(A866,'Deal Info'!A:A, 0))</f>
        <v>DoEVold</v>
      </c>
      <c r="AG866" s="38" t="str">
        <f t="array" ref="AG866">INDEX('Deal Info'!G:G, MATCH(A866,'Deal Info'!A:A, 0))</f>
        <v>None</v>
      </c>
    </row>
    <row r="867" spans="1:33" ht="14.25" hidden="1" x14ac:dyDescent="0.2">
      <c r="A867" s="18" t="str">
        <f t="array" ref="A867">IF(G867='Room Info'!$B$1, INDEX('Room Info'!$A$2:$A2446, MATCH(B867,'Room Info'!$B$2:$B2446, 0)),IF(G867='Room Info'!$C$1, INDEX('Room Info'!$A$2:$A2446, MATCH(B867,'Room Info'!$C$2:$C2446, 0)),IF(G867='Room Info'!$D$1, INDEX('Room Info'!$A$2:$A2446, MATCH(B867,'Room Info'!$D$2:$D2446, 0)),IF(G867='Room Info'!$E$1, INDEX('Room Info'!$A$2:$A2446, MATCH(B867,'Room Info'!$E$2:$E2446, 0)),IF(G867='Room Info'!$F$1, INDEX('Room Info'!$A$2:$A2446, MATCH(B867,'Room Info'!$F$2:$F2446, 0)),IF(G867='Room Info'!$H$1, INDEX('Room Info'!$A$2:$A2446, MATCH(B867,'Room Info'!$H$2:$H2446, 0)),IF(G867='Room Info'!$G$1, INDEX('Room Info'!$A$2:$A2446, MATCH(B867,'Room Info'!$G$2:$G2446, 0)))))))))</f>
        <v>kttweek1</v>
      </c>
      <c r="B867" s="45" t="s">
        <v>175</v>
      </c>
      <c r="C867" s="46">
        <v>44866</v>
      </c>
      <c r="D867" s="46">
        <v>44895</v>
      </c>
      <c r="E867" s="47">
        <v>44866</v>
      </c>
      <c r="F867" s="48" t="s">
        <v>49</v>
      </c>
      <c r="G867" s="45" t="s">
        <v>35</v>
      </c>
      <c r="H867" s="49" t="s">
        <v>72</v>
      </c>
      <c r="I867" s="49" t="s">
        <v>37</v>
      </c>
      <c r="J867" s="50">
        <v>50</v>
      </c>
      <c r="K867" s="51">
        <v>300</v>
      </c>
      <c r="L867" s="52">
        <v>2800</v>
      </c>
      <c r="M867" s="53">
        <v>574</v>
      </c>
      <c r="N867" s="28">
        <f>K867*J867</f>
        <v>15000</v>
      </c>
      <c r="O867" s="54">
        <v>12424</v>
      </c>
      <c r="P867" s="29">
        <v>41.41333333</v>
      </c>
      <c r="Q867" s="55"/>
      <c r="R867" s="31">
        <f>M867+Q867</f>
        <v>574</v>
      </c>
      <c r="S867" s="56">
        <v>144</v>
      </c>
      <c r="T867" s="32">
        <f>R867+S867+IF(F867="Without EV deal",L867,0)</f>
        <v>718</v>
      </c>
      <c r="U867" s="57">
        <v>1</v>
      </c>
      <c r="V867" s="58"/>
      <c r="W867" s="58"/>
      <c r="X867" s="78">
        <v>0.17</v>
      </c>
      <c r="Y867" s="30">
        <f>IF(AG867="None",0,IF(AG867="Fix5",0.05, IF(AG867="Fix6.25",0.0625,IF(AG867="Fix3.75",0.0375,IF(AG867="Fix10",0.1,IF(AG867="Fix3",0.03,0))))))</f>
        <v>0</v>
      </c>
      <c r="Z867" s="35">
        <f>T867-AA867-AB867</f>
        <v>595.94000000000005</v>
      </c>
      <c r="AA867" s="29">
        <f>IF(AD867="EUR",((T867-R867)*X867)*U867+(R867*X867),(T867*X867))</f>
        <v>122.06</v>
      </c>
      <c r="AB867" s="36">
        <f>IF(AD867="EUR",((T867-R867)*Y867)*U867+(R867*Y867),(T867*Y867))</f>
        <v>0</v>
      </c>
      <c r="AC867" s="37" t="b">
        <v>1</v>
      </c>
      <c r="AD867" s="37" t="s">
        <v>38</v>
      </c>
      <c r="AE867" s="37" t="s">
        <v>38</v>
      </c>
      <c r="AF867" s="37" t="str">
        <f t="array" ref="AF867">INDEX('Deal Info'!D:D, MATCH(A867,'Deal Info'!A:A, 0))</f>
        <v>DoEVold</v>
      </c>
      <c r="AG867" s="38" t="str">
        <f t="array" ref="AG867">INDEX('Deal Info'!G:G, MATCH(A867,'Deal Info'!A:A, 0))</f>
        <v>None</v>
      </c>
    </row>
    <row r="868" spans="1:33" ht="14.25" hidden="1" x14ac:dyDescent="0.2">
      <c r="A868" s="18" t="str">
        <f t="array" ref="A868">IF(G868='Room Info'!$B$1, INDEX('Room Info'!$A$2:$A2446, MATCH(B868,'Room Info'!$B$2:$B2446, 0)),IF(G868='Room Info'!$C$1, INDEX('Room Info'!$A$2:$A2446, MATCH(B868,'Room Info'!$C$2:$C2446, 0)),IF(G868='Room Info'!$D$1, INDEX('Room Info'!$A$2:$A2446, MATCH(B868,'Room Info'!$D$2:$D2446, 0)),IF(G868='Room Info'!$E$1, INDEX('Room Info'!$A$2:$A2446, MATCH(B868,'Room Info'!$E$2:$E2446, 0)),IF(G868='Room Info'!$F$1, INDEX('Room Info'!$A$2:$A2446, MATCH(B868,'Room Info'!$F$2:$F2446, 0)),IF(G868='Room Info'!$H$1, INDEX('Room Info'!$A$2:$A2446, MATCH(B868,'Room Info'!$H$2:$H2446, 0)),IF(G868='Room Info'!$G$1, INDEX('Room Info'!$A$2:$A2446, MATCH(B868,'Room Info'!$G$2:$G2446, 0)))))))))</f>
        <v>kttweek1</v>
      </c>
      <c r="B868" s="45" t="s">
        <v>175</v>
      </c>
      <c r="C868" s="77">
        <v>44866</v>
      </c>
      <c r="D868" s="77">
        <v>44895</v>
      </c>
      <c r="E868" s="47">
        <v>44866</v>
      </c>
      <c r="F868" s="48" t="s">
        <v>49</v>
      </c>
      <c r="G868" s="45" t="s">
        <v>35</v>
      </c>
      <c r="H868" s="49" t="s">
        <v>46</v>
      </c>
      <c r="I868" s="49" t="s">
        <v>37</v>
      </c>
      <c r="J868" s="74">
        <v>25</v>
      </c>
      <c r="K868" s="75">
        <v>1936</v>
      </c>
      <c r="L868" s="72">
        <v>2000</v>
      </c>
      <c r="M868" s="76">
        <v>1852</v>
      </c>
      <c r="N868" s="28">
        <f>K868*J868</f>
        <v>48400</v>
      </c>
      <c r="O868" s="45">
        <v>80387</v>
      </c>
      <c r="P868" s="29">
        <v>41.522210739999998</v>
      </c>
      <c r="Q868" s="55"/>
      <c r="R868" s="31">
        <f>M868+Q868</f>
        <v>1852</v>
      </c>
      <c r="S868" s="73">
        <v>475</v>
      </c>
      <c r="T868" s="32">
        <f>R868+S868+IF(F868="Without EV deal",L868,0)</f>
        <v>2327</v>
      </c>
      <c r="U868" s="57">
        <v>1</v>
      </c>
      <c r="V868" s="58"/>
      <c r="W868" s="58"/>
      <c r="X868" s="78">
        <v>0.17</v>
      </c>
      <c r="Y868" s="30">
        <f>IF(AG868="None",0,IF(AG868="Fix5",0.05, IF(AG868="Fix6.25",0.0625,IF(AG868="Fix3.75",0.0375,IF(AG868="Fix10",0.1,IF(AG868="Fix3",0.03,0))))))</f>
        <v>0</v>
      </c>
      <c r="Z868" s="35">
        <f>T868-AA868-AB868</f>
        <v>1931.4099999999999</v>
      </c>
      <c r="AA868" s="29">
        <f>IF(AD868="EUR",((T868-R868)*X868)*U868+(R868*X868),(T868*X868))</f>
        <v>395.59000000000003</v>
      </c>
      <c r="AB868" s="36">
        <f>IF(AD868="EUR",((T868-R868)*Y868)*U868+(R868*Y868),(T868*Y868))</f>
        <v>0</v>
      </c>
      <c r="AC868" s="37" t="b">
        <v>1</v>
      </c>
      <c r="AD868" s="37" t="s">
        <v>38</v>
      </c>
      <c r="AE868" s="37" t="s">
        <v>38</v>
      </c>
      <c r="AF868" s="37" t="str">
        <f t="array" ref="AF868">INDEX('Deal Info'!D:D, MATCH(A868,'Deal Info'!A:A, 0))</f>
        <v>DoEVold</v>
      </c>
      <c r="AG868" s="38" t="str">
        <f t="array" ref="AG868">INDEX('Deal Info'!G:G, MATCH(A868,'Deal Info'!A:A, 0))</f>
        <v>None</v>
      </c>
    </row>
    <row r="869" spans="1:33" ht="14.25" hidden="1" x14ac:dyDescent="0.2">
      <c r="A869" s="18" t="str">
        <f t="array" ref="A869">IF(G869='Room Info'!$B$1, INDEX('Room Info'!$A$2:$A2446, MATCH(B869,'Room Info'!$B$2:$B2446, 0)),IF(G869='Room Info'!$C$1, INDEX('Room Info'!$A$2:$A2446, MATCH(B869,'Room Info'!$C$2:$C2446, 0)),IF(G869='Room Info'!$D$1, INDEX('Room Info'!$A$2:$A2446, MATCH(B869,'Room Info'!$D$2:$D2446, 0)),IF(G869='Room Info'!$E$1, INDEX('Room Info'!$A$2:$A2446, MATCH(B869,'Room Info'!$E$2:$E2446, 0)),IF(G869='Room Info'!$F$1, INDEX('Room Info'!$A$2:$A2446, MATCH(B869,'Room Info'!$F$2:$F2446, 0)),IF(G869='Room Info'!$H$1, INDEX('Room Info'!$A$2:$A2446, MATCH(B869,'Room Info'!$H$2:$H2446, 0)),IF(G869='Room Info'!$G$1, INDEX('Room Info'!$A$2:$A2446, MATCH(B869,'Room Info'!$G$2:$G2446, 0)))))))))</f>
        <v>kttweek1</v>
      </c>
      <c r="B869" s="45" t="s">
        <v>175</v>
      </c>
      <c r="C869" s="77">
        <v>44866</v>
      </c>
      <c r="D869" s="77">
        <v>44895</v>
      </c>
      <c r="E869" s="47">
        <v>44866</v>
      </c>
      <c r="F869" s="48" t="s">
        <v>41</v>
      </c>
      <c r="G869" s="45" t="s">
        <v>35</v>
      </c>
      <c r="H869" s="49" t="s">
        <v>39</v>
      </c>
      <c r="I869" s="49" t="s">
        <v>37</v>
      </c>
      <c r="J869" s="74">
        <v>5</v>
      </c>
      <c r="K869" s="75">
        <v>1</v>
      </c>
      <c r="L869" s="72">
        <v>10</v>
      </c>
      <c r="M869" s="79"/>
      <c r="N869" s="28">
        <f>K869*J869</f>
        <v>5</v>
      </c>
      <c r="O869" s="96"/>
      <c r="P869" s="29">
        <v>0</v>
      </c>
      <c r="Q869" s="55"/>
      <c r="R869" s="31">
        <f>M869+Q869</f>
        <v>0</v>
      </c>
      <c r="S869" s="97"/>
      <c r="T869" s="32">
        <f>R869+S869+IF(F869="Without EV deal",L869,0)</f>
        <v>10</v>
      </c>
      <c r="U869" s="57">
        <v>1</v>
      </c>
      <c r="V869" s="58"/>
      <c r="W869" s="58"/>
      <c r="X869" s="78">
        <v>0.17</v>
      </c>
      <c r="Y869" s="30">
        <f>IF(AG869="None",0,IF(AG869="Fix5",0.05, IF(AG869="Fix6.25",0.0625,IF(AG869="Fix3.75",0.0375,IF(AG869="Fix10",0.1,IF(AG869="Fix3",0.03,0))))))</f>
        <v>0</v>
      </c>
      <c r="Z869" s="35">
        <f>T869-AA869-AB869</f>
        <v>8.3000000000000007</v>
      </c>
      <c r="AA869" s="29">
        <f>IF(AD869="EUR",((T869-R869)*X869)*U869+(R869*X869),(T869*X869))</f>
        <v>1.7000000000000002</v>
      </c>
      <c r="AB869" s="36">
        <f>IF(AD869="EUR",((T869-R869)*Y869)*U869+(R869*Y869),(T869*Y869))</f>
        <v>0</v>
      </c>
      <c r="AC869" s="37" t="b">
        <v>1</v>
      </c>
      <c r="AD869" s="37" t="s">
        <v>38</v>
      </c>
      <c r="AE869" s="37" t="s">
        <v>38</v>
      </c>
      <c r="AF869" s="37" t="str">
        <f t="array" ref="AF869">INDEX('Deal Info'!D:D, MATCH(A869,'Deal Info'!A:A, 0))</f>
        <v>DoEVold</v>
      </c>
      <c r="AG869" s="38" t="str">
        <f t="array" ref="AG869">INDEX('Deal Info'!G:G, MATCH(A869,'Deal Info'!A:A, 0))</f>
        <v>None</v>
      </c>
    </row>
    <row r="870" spans="1:33" ht="14.25" hidden="1" x14ac:dyDescent="0.2">
      <c r="A870" s="18" t="str">
        <f t="array" ref="A870">IF(G870='Room Info'!$B$1, INDEX('Room Info'!$A$2:$A2446, MATCH(B870,'Room Info'!$B$2:$B2446, 0)),IF(G870='Room Info'!$C$1, INDEX('Room Info'!$A$2:$A2446, MATCH(B870,'Room Info'!$C$2:$C2446, 0)),IF(G870='Room Info'!$D$1, INDEX('Room Info'!$A$2:$A2446, MATCH(B870,'Room Info'!$D$2:$D2446, 0)),IF(G870='Room Info'!$E$1, INDEX('Room Info'!$A$2:$A2446, MATCH(B870,'Room Info'!$E$2:$E2446, 0)),IF(G870='Room Info'!$F$1, INDEX('Room Info'!$A$2:$A2446, MATCH(B870,'Room Info'!$F$2:$F2446, 0)),IF(G870='Room Info'!$H$1, INDEX('Room Info'!$A$2:$A2446, MATCH(B870,'Room Info'!$H$2:$H2446, 0)),IF(G870='Room Info'!$G$1, INDEX('Room Info'!$A$2:$A2446, MATCH(B870,'Room Info'!$G$2:$G2446, 0)))))))))</f>
        <v>kttweek1</v>
      </c>
      <c r="B870" s="54" t="s">
        <v>175</v>
      </c>
      <c r="C870" s="46">
        <v>44896</v>
      </c>
      <c r="D870" s="46">
        <v>44915</v>
      </c>
      <c r="E870" s="47">
        <v>44896</v>
      </c>
      <c r="F870" s="45" t="s">
        <v>49</v>
      </c>
      <c r="G870" s="54" t="s">
        <v>35</v>
      </c>
      <c r="H870" s="49" t="s">
        <v>40</v>
      </c>
      <c r="I870" s="49" t="s">
        <v>37</v>
      </c>
      <c r="J870" s="74">
        <v>10</v>
      </c>
      <c r="K870" s="75">
        <v>15</v>
      </c>
      <c r="L870" s="72">
        <v>20</v>
      </c>
      <c r="M870" s="53">
        <v>5</v>
      </c>
      <c r="N870" s="28">
        <f>K870*J870</f>
        <v>150</v>
      </c>
      <c r="O870" s="45">
        <v>1598</v>
      </c>
      <c r="P870" s="29">
        <v>106.5333333</v>
      </c>
      <c r="Q870" s="55"/>
      <c r="R870" s="31">
        <f>M870+Q870</f>
        <v>5</v>
      </c>
      <c r="S870" s="73">
        <v>18</v>
      </c>
      <c r="T870" s="32">
        <f>R870+S870+IF(F870="Without EV deal",L870,0)</f>
        <v>23</v>
      </c>
      <c r="U870" s="57">
        <v>1</v>
      </c>
      <c r="V870" s="58"/>
      <c r="W870" s="58"/>
      <c r="X870" s="78">
        <v>0.35</v>
      </c>
      <c r="Y870" s="30">
        <f>IF(AG870="None",0,IF(AG870="Fix5",0.05, IF(AG870="Fix6.25",0.0625,IF(AG870="Fix3.75",0.0375,IF(AG870="Fix10",0.1,IF(AG870="Fix3",0.03,0))))))</f>
        <v>0</v>
      </c>
      <c r="Z870" s="35">
        <f>T870-AA870-AB870</f>
        <v>14.950000000000001</v>
      </c>
      <c r="AA870" s="29">
        <f>IF(AD870="EUR",((T870-R870)*X870)*U870+(R870*X870),(T870*X870))</f>
        <v>8.0499999999999989</v>
      </c>
      <c r="AB870" s="36">
        <f>IF(AD870="EUR",((T870-R870)*Y870)*U870+(R870*Y870),(T870*Y870))</f>
        <v>0</v>
      </c>
      <c r="AC870" s="37" t="b">
        <v>1</v>
      </c>
      <c r="AD870" s="37" t="s">
        <v>38</v>
      </c>
      <c r="AE870" s="37" t="s">
        <v>38</v>
      </c>
      <c r="AF870" s="37" t="str">
        <f t="array" ref="AF870">INDEX('Deal Info'!D:D, MATCH(A870,'Deal Info'!A:A, 0))</f>
        <v>DoEVold</v>
      </c>
      <c r="AG870" s="38" t="str">
        <f t="array" ref="AG870">INDEX('Deal Info'!G:G, MATCH(A870,'Deal Info'!A:A, 0))</f>
        <v>None</v>
      </c>
    </row>
    <row r="871" spans="1:33" ht="14.25" hidden="1" x14ac:dyDescent="0.2">
      <c r="A871" s="18" t="str">
        <f t="array" ref="A871">IF(G871='Room Info'!$B$1, INDEX('Room Info'!$A$2:$A2446, MATCH(B871,'Room Info'!$B$2:$B2446, 0)),IF(G871='Room Info'!$C$1, INDEX('Room Info'!$A$2:$A2446, MATCH(B871,'Room Info'!$C$2:$C2446, 0)),IF(G871='Room Info'!$D$1, INDEX('Room Info'!$A$2:$A2446, MATCH(B871,'Room Info'!$D$2:$D2446, 0)),IF(G871='Room Info'!$E$1, INDEX('Room Info'!$A$2:$A2446, MATCH(B871,'Room Info'!$E$2:$E2446, 0)),IF(G871='Room Info'!$F$1, INDEX('Room Info'!$A$2:$A2446, MATCH(B871,'Room Info'!$F$2:$F2446, 0)),IF(G871='Room Info'!$H$1, INDEX('Room Info'!$A$2:$A2446, MATCH(B871,'Room Info'!$H$2:$H2446, 0)),IF(G871='Room Info'!$G$1, INDEX('Room Info'!$A$2:$A2446, MATCH(B871,'Room Info'!$G$2:$G2446, 0)))))))))</f>
        <v>kttweek1</v>
      </c>
      <c r="B871" s="45" t="s">
        <v>175</v>
      </c>
      <c r="C871" s="77">
        <v>44896</v>
      </c>
      <c r="D871" s="77">
        <v>44915</v>
      </c>
      <c r="E871" s="47">
        <v>44896</v>
      </c>
      <c r="F871" s="48" t="s">
        <v>49</v>
      </c>
      <c r="G871" s="45" t="s">
        <v>35</v>
      </c>
      <c r="H871" s="49" t="s">
        <v>46</v>
      </c>
      <c r="I871" s="49" t="s">
        <v>37</v>
      </c>
      <c r="J871" s="74">
        <v>25</v>
      </c>
      <c r="K871" s="75">
        <v>324</v>
      </c>
      <c r="L871" s="72">
        <v>25</v>
      </c>
      <c r="M871" s="76">
        <v>244</v>
      </c>
      <c r="N871" s="28">
        <f>K871*J871</f>
        <v>8100</v>
      </c>
      <c r="O871" s="45">
        <v>5351</v>
      </c>
      <c r="P871" s="29">
        <v>16.515432100000002</v>
      </c>
      <c r="Q871" s="55"/>
      <c r="R871" s="31">
        <f>M871+Q871</f>
        <v>244</v>
      </c>
      <c r="S871" s="73">
        <v>-277</v>
      </c>
      <c r="T871" s="32">
        <f>R871+S871+IF(F871="Without EV deal",L871,0)</f>
        <v>-33</v>
      </c>
      <c r="U871" s="57">
        <v>1</v>
      </c>
      <c r="V871" s="58"/>
      <c r="W871" s="58"/>
      <c r="X871" s="78">
        <v>0.35</v>
      </c>
      <c r="Y871" s="30">
        <f>IF(AG871="None",0,IF(AG871="Fix5",0.05, IF(AG871="Fix6.25",0.0625,IF(AG871="Fix3.75",0.0375,IF(AG871="Fix10",0.1,IF(AG871="Fix3",0.03,0))))))</f>
        <v>0</v>
      </c>
      <c r="Z871" s="35">
        <f>T871-AA871-AB871</f>
        <v>-21.450000000000003</v>
      </c>
      <c r="AA871" s="29">
        <f>IF(AD871="EUR",((T871-R871)*X871)*U871+(R871*X871),(T871*X871))</f>
        <v>-11.549999999999999</v>
      </c>
      <c r="AB871" s="36">
        <f>IF(AD871="EUR",((T871-R871)*Y871)*U871+(R871*Y871),(T871*Y871))</f>
        <v>0</v>
      </c>
      <c r="AC871" s="37" t="b">
        <v>1</v>
      </c>
      <c r="AD871" s="37" t="s">
        <v>38</v>
      </c>
      <c r="AE871" s="37" t="s">
        <v>38</v>
      </c>
      <c r="AF871" s="37" t="str">
        <f t="array" ref="AF871">INDEX('Deal Info'!D:D, MATCH(A871,'Deal Info'!A:A, 0))</f>
        <v>DoEVold</v>
      </c>
      <c r="AG871" s="38" t="str">
        <f t="array" ref="AG871">INDEX('Deal Info'!G:G, MATCH(A871,'Deal Info'!A:A, 0))</f>
        <v>None</v>
      </c>
    </row>
    <row r="872" spans="1:33" ht="14.25" hidden="1" x14ac:dyDescent="0.2">
      <c r="A872" s="18" t="str">
        <f t="array" ref="A872">IF(G872='Room Info'!$B$1, INDEX('Room Info'!$A$2:$A2446, MATCH(B872,'Room Info'!$B$2:$B2446, 0)),IF(G872='Room Info'!$C$1, INDEX('Room Info'!$A$2:$A2446, MATCH(B872,'Room Info'!$C$2:$C2446, 0)),IF(G872='Room Info'!$D$1, INDEX('Room Info'!$A$2:$A2446, MATCH(B872,'Room Info'!$D$2:$D2446, 0)),IF(G872='Room Info'!$E$1, INDEX('Room Info'!$A$2:$A2446, MATCH(B872,'Room Info'!$E$2:$E2446, 0)),IF(G872='Room Info'!$F$1, INDEX('Room Info'!$A$2:$A2446, MATCH(B872,'Room Info'!$F$2:$F2446, 0)),IF(G872='Room Info'!$H$1, INDEX('Room Info'!$A$2:$A2446, MATCH(B872,'Room Info'!$H$2:$H2446, 0)),IF(G872='Room Info'!$G$1, INDEX('Room Info'!$A$2:$A2446, MATCH(B872,'Room Info'!$G$2:$G2446, 0)))))))))</f>
        <v>kttweek1</v>
      </c>
      <c r="B872" s="45" t="s">
        <v>175</v>
      </c>
      <c r="C872" s="77">
        <v>44916</v>
      </c>
      <c r="D872" s="77">
        <v>44957</v>
      </c>
      <c r="E872" s="47">
        <v>44927</v>
      </c>
      <c r="F872" s="48" t="s">
        <v>49</v>
      </c>
      <c r="G872" s="45" t="s">
        <v>35</v>
      </c>
      <c r="H872" s="49" t="s">
        <v>115</v>
      </c>
      <c r="I872" s="49" t="s">
        <v>44</v>
      </c>
      <c r="J872" s="74">
        <v>10</v>
      </c>
      <c r="K872" s="75">
        <v>25</v>
      </c>
      <c r="L872" s="72">
        <v>-40</v>
      </c>
      <c r="M872" s="76">
        <v>11</v>
      </c>
      <c r="N872" s="28">
        <f>K872*J872</f>
        <v>250</v>
      </c>
      <c r="O872" s="45">
        <v>-1587</v>
      </c>
      <c r="P872" s="29">
        <v>-63.48</v>
      </c>
      <c r="Q872" s="55"/>
      <c r="R872" s="31">
        <f>M872+Q872</f>
        <v>11</v>
      </c>
      <c r="S872" s="73">
        <v>-67</v>
      </c>
      <c r="T872" s="32">
        <f>R872+S872+IF(F872="Without EV deal",L872,0)</f>
        <v>-56</v>
      </c>
      <c r="U872" s="57">
        <v>1</v>
      </c>
      <c r="V872" s="58"/>
      <c r="W872" s="58"/>
      <c r="X872" s="78">
        <v>0.35</v>
      </c>
      <c r="Y872" s="30">
        <f>IF(AG872="None",0,IF(AG872="Fix5",0.05, IF(AG872="Fix6.25",0.0625,IF(AG872="Fix3.75",0.0375,IF(AG872="Fix10",0.1,IF(AG872="Fix3",0.03,0))))))</f>
        <v>0</v>
      </c>
      <c r="Z872" s="35">
        <f>T872-AA872-AB872</f>
        <v>-36.400000000000006</v>
      </c>
      <c r="AA872" s="29">
        <f>IF(AD872="EUR",((T872-R872)*X872)*U872+(R872*X872),(T872*X872))</f>
        <v>-19.599999999999998</v>
      </c>
      <c r="AB872" s="36">
        <f>IF(AD872="EUR",((T872-R872)*Y872)*U872+(R872*Y872),(T872*Y872))</f>
        <v>0</v>
      </c>
      <c r="AC872" s="37" t="b">
        <v>1</v>
      </c>
      <c r="AD872" s="37" t="s">
        <v>38</v>
      </c>
      <c r="AE872" s="37" t="s">
        <v>38</v>
      </c>
      <c r="AF872" s="37" t="str">
        <f t="array" ref="AF872">INDEX('Deal Info'!D:D, MATCH(A872,'Deal Info'!A:A, 0))</f>
        <v>DoEVold</v>
      </c>
      <c r="AG872" s="38" t="str">
        <f t="array" ref="AG872">INDEX('Deal Info'!G:G, MATCH(A872,'Deal Info'!A:A, 0))</f>
        <v>None</v>
      </c>
    </row>
    <row r="873" spans="1:33" ht="14.25" hidden="1" x14ac:dyDescent="0.2">
      <c r="A873" s="18" t="str">
        <f t="array" ref="A873">IF(G873='Room Info'!$B$1, INDEX('Room Info'!$A$2:$A2446, MATCH(B873,'Room Info'!$B$2:$B2446, 0)),IF(G873='Room Info'!$C$1, INDEX('Room Info'!$A$2:$A2446, MATCH(B873,'Room Info'!$C$2:$C2446, 0)),IF(G873='Room Info'!$D$1, INDEX('Room Info'!$A$2:$A2446, MATCH(B873,'Room Info'!$D$2:$D2446, 0)),IF(G873='Room Info'!$E$1, INDEX('Room Info'!$A$2:$A2446, MATCH(B873,'Room Info'!$E$2:$E2446, 0)),IF(G873='Room Info'!$F$1, INDEX('Room Info'!$A$2:$A2446, MATCH(B873,'Room Info'!$F$2:$F2446, 0)),IF(G873='Room Info'!$H$1, INDEX('Room Info'!$A$2:$A2446, MATCH(B873,'Room Info'!$H$2:$H2446, 0)),IF(G873='Room Info'!$G$1, INDEX('Room Info'!$A$2:$A2446, MATCH(B873,'Room Info'!$G$2:$G2446, 0)))))))))</f>
        <v>kttweek1</v>
      </c>
      <c r="B873" s="45" t="s">
        <v>175</v>
      </c>
      <c r="C873" s="77">
        <v>44916</v>
      </c>
      <c r="D873" s="77">
        <v>44957</v>
      </c>
      <c r="E873" s="47">
        <v>44927</v>
      </c>
      <c r="F873" s="48" t="s">
        <v>49</v>
      </c>
      <c r="G873" s="45" t="s">
        <v>35</v>
      </c>
      <c r="H873" s="49" t="s">
        <v>40</v>
      </c>
      <c r="I873" s="49" t="s">
        <v>37</v>
      </c>
      <c r="J873" s="74">
        <v>10</v>
      </c>
      <c r="K873" s="75">
        <v>267</v>
      </c>
      <c r="L873" s="72">
        <v>40</v>
      </c>
      <c r="M873" s="76">
        <v>120</v>
      </c>
      <c r="N873" s="28">
        <f>K873*J873</f>
        <v>2670</v>
      </c>
      <c r="O873" s="45">
        <v>13655</v>
      </c>
      <c r="P873" s="29">
        <v>51.142322100000001</v>
      </c>
      <c r="Q873" s="55"/>
      <c r="R873" s="31">
        <f>M873+Q873</f>
        <v>120</v>
      </c>
      <c r="S873" s="73">
        <v>58</v>
      </c>
      <c r="T873" s="32">
        <f>R873+S873+IF(F873="Without EV deal",L873,0)</f>
        <v>178</v>
      </c>
      <c r="U873" s="57">
        <v>1</v>
      </c>
      <c r="V873" s="58"/>
      <c r="W873" s="58"/>
      <c r="X873" s="78">
        <v>0.35</v>
      </c>
      <c r="Y873" s="30">
        <f>IF(AG873="None",0,IF(AG873="Fix5",0.05, IF(AG873="Fix6.25",0.0625,IF(AG873="Fix3.75",0.0375,IF(AG873="Fix10",0.1,IF(AG873="Fix3",0.03,0))))))</f>
        <v>0</v>
      </c>
      <c r="Z873" s="35">
        <f>T873-AA873-AB873</f>
        <v>115.7</v>
      </c>
      <c r="AA873" s="29">
        <f>IF(AD873="EUR",((T873-R873)*X873)*U873+(R873*X873),(T873*X873))</f>
        <v>62.3</v>
      </c>
      <c r="AB873" s="36">
        <f>IF(AD873="EUR",((T873-R873)*Y873)*U873+(R873*Y873),(T873*Y873))</f>
        <v>0</v>
      </c>
      <c r="AC873" s="37" t="b">
        <v>1</v>
      </c>
      <c r="AD873" s="37" t="s">
        <v>38</v>
      </c>
      <c r="AE873" s="37" t="s">
        <v>38</v>
      </c>
      <c r="AF873" s="37" t="str">
        <f t="array" ref="AF873">INDEX('Deal Info'!D:D, MATCH(A873,'Deal Info'!A:A, 0))</f>
        <v>DoEVold</v>
      </c>
      <c r="AG873" s="38" t="str">
        <f t="array" ref="AG873">INDEX('Deal Info'!G:G, MATCH(A873,'Deal Info'!A:A, 0))</f>
        <v>None</v>
      </c>
    </row>
    <row r="874" spans="1:33" ht="14.25" hidden="1" x14ac:dyDescent="0.2">
      <c r="A874" s="18" t="str">
        <f t="array" ref="A874">IF(G874='Room Info'!$B$1, INDEX('Room Info'!$A$2:$A2446, MATCH(B874,'Room Info'!$B$2:$B2446, 0)),IF(G874='Room Info'!$C$1, INDEX('Room Info'!$A$2:$A2446, MATCH(B874,'Room Info'!$C$2:$C2446, 0)),IF(G874='Room Info'!$D$1, INDEX('Room Info'!$A$2:$A2446, MATCH(B874,'Room Info'!$D$2:$D2446, 0)),IF(G874='Room Info'!$E$1, INDEX('Room Info'!$A$2:$A2446, MATCH(B874,'Room Info'!$E$2:$E2446, 0)),IF(G874='Room Info'!$F$1, INDEX('Room Info'!$A$2:$A2446, MATCH(B874,'Room Info'!$F$2:$F2446, 0)),IF(G874='Room Info'!$H$1, INDEX('Room Info'!$A$2:$A2446, MATCH(B874,'Room Info'!$H$2:$H2446, 0)),IF(G874='Room Info'!$G$1, INDEX('Room Info'!$A$2:$A2446, MATCH(B874,'Room Info'!$G$2:$G2446, 0)))))))))</f>
        <v>kttweek1</v>
      </c>
      <c r="B874" s="45" t="s">
        <v>175</v>
      </c>
      <c r="C874" s="77">
        <v>44916</v>
      </c>
      <c r="D874" s="77">
        <v>44957</v>
      </c>
      <c r="E874" s="47">
        <v>44927</v>
      </c>
      <c r="F874" s="48" t="s">
        <v>49</v>
      </c>
      <c r="G874" s="45" t="s">
        <v>35</v>
      </c>
      <c r="H874" s="49" t="s">
        <v>46</v>
      </c>
      <c r="I874" s="49" t="s">
        <v>37</v>
      </c>
      <c r="J874" s="74">
        <v>25</v>
      </c>
      <c r="K874" s="75">
        <v>1402</v>
      </c>
      <c r="L874" s="72">
        <v>-700</v>
      </c>
      <c r="M874" s="76">
        <v>1354</v>
      </c>
      <c r="N874" s="28">
        <f>K874*J874</f>
        <v>35050</v>
      </c>
      <c r="O874" s="45">
        <v>52776</v>
      </c>
      <c r="P874" s="29">
        <v>37.643366620000002</v>
      </c>
      <c r="Q874" s="55"/>
      <c r="R874" s="31">
        <f>M874+Q874</f>
        <v>1354</v>
      </c>
      <c r="S874" s="73">
        <v>266</v>
      </c>
      <c r="T874" s="32">
        <f>R874+S874+IF(F874="Without EV deal",L874,0)</f>
        <v>1620</v>
      </c>
      <c r="U874" s="57">
        <v>1</v>
      </c>
      <c r="V874" s="58"/>
      <c r="W874" s="58"/>
      <c r="X874" s="78">
        <v>0.35</v>
      </c>
      <c r="Y874" s="30">
        <f>IF(AG874="None",0,IF(AG874="Fix5",0.05, IF(AG874="Fix6.25",0.0625,IF(AG874="Fix3.75",0.0375,IF(AG874="Fix10",0.1,IF(AG874="Fix3",0.03,0))))))</f>
        <v>0</v>
      </c>
      <c r="Z874" s="35">
        <f>T874-AA874-AB874</f>
        <v>1053</v>
      </c>
      <c r="AA874" s="29">
        <f>IF(AD874="EUR",((T874-R874)*X874)*U874+(R874*X874),(T874*X874))</f>
        <v>567</v>
      </c>
      <c r="AB874" s="36">
        <f>IF(AD874="EUR",((T874-R874)*Y874)*U874+(R874*Y874),(T874*Y874))</f>
        <v>0</v>
      </c>
      <c r="AC874" s="37" t="b">
        <v>1</v>
      </c>
      <c r="AD874" s="37" t="s">
        <v>38</v>
      </c>
      <c r="AE874" s="37" t="s">
        <v>38</v>
      </c>
      <c r="AF874" s="37" t="str">
        <f t="array" ref="AF874">INDEX('Deal Info'!D:D, MATCH(A874,'Deal Info'!A:A, 0))</f>
        <v>DoEVold</v>
      </c>
      <c r="AG874" s="38" t="str">
        <f t="array" ref="AG874">INDEX('Deal Info'!G:G, MATCH(A874,'Deal Info'!A:A, 0))</f>
        <v>None</v>
      </c>
    </row>
    <row r="875" spans="1:33" ht="14.25" hidden="1" x14ac:dyDescent="0.2">
      <c r="A875" s="18" t="str">
        <f t="array" ref="A875">IF(G875='Room Info'!$B$1, INDEX('Room Info'!$A$2:$A2446, MATCH(B875,'Room Info'!$B$2:$B2446, 0)),IF(G875='Room Info'!$C$1, INDEX('Room Info'!$A$2:$A2446, MATCH(B875,'Room Info'!$C$2:$C2446, 0)),IF(G875='Room Info'!$D$1, INDEX('Room Info'!$A$2:$A2446, MATCH(B875,'Room Info'!$D$2:$D2446, 0)),IF(G875='Room Info'!$E$1, INDEX('Room Info'!$A$2:$A2446, MATCH(B875,'Room Info'!$E$2:$E2446, 0)),IF(G875='Room Info'!$F$1, INDEX('Room Info'!$A$2:$A2446, MATCH(B875,'Room Info'!$F$2:$F2446, 0)),IF(G875='Room Info'!$H$1, INDEX('Room Info'!$A$2:$A2446, MATCH(B875,'Room Info'!$H$2:$H2446, 0)),IF(G875='Room Info'!$G$1, INDEX('Room Info'!$A$2:$A2446, MATCH(B875,'Room Info'!$G$2:$G2446, 0)))))))))</f>
        <v>kttweek1</v>
      </c>
      <c r="B875" s="45" t="s">
        <v>175</v>
      </c>
      <c r="C875" s="77">
        <v>44916</v>
      </c>
      <c r="D875" s="77">
        <v>44957</v>
      </c>
      <c r="E875" s="47">
        <v>44927</v>
      </c>
      <c r="F875" s="48" t="s">
        <v>49</v>
      </c>
      <c r="G875" s="45" t="s">
        <v>35</v>
      </c>
      <c r="H875" s="49" t="s">
        <v>87</v>
      </c>
      <c r="I875" s="49" t="s">
        <v>44</v>
      </c>
      <c r="J875" s="74">
        <v>25</v>
      </c>
      <c r="K875" s="75">
        <v>73</v>
      </c>
      <c r="L875" s="72">
        <v>-150</v>
      </c>
      <c r="M875" s="76">
        <v>70</v>
      </c>
      <c r="N875" s="28">
        <f>K875*J875</f>
        <v>1825</v>
      </c>
      <c r="O875" s="45">
        <v>1430</v>
      </c>
      <c r="P875" s="29">
        <v>19.589041099999999</v>
      </c>
      <c r="Q875" s="55"/>
      <c r="R875" s="31">
        <f>M875+Q875</f>
        <v>70</v>
      </c>
      <c r="S875" s="73">
        <v>-3</v>
      </c>
      <c r="T875" s="32">
        <f>R875+S875+IF(F875="Without EV deal",L875,0)</f>
        <v>67</v>
      </c>
      <c r="U875" s="57">
        <v>1</v>
      </c>
      <c r="V875" s="58"/>
      <c r="W875" s="58"/>
      <c r="X875" s="78">
        <v>0.35</v>
      </c>
      <c r="Y875" s="30">
        <f>IF(AG875="None",0,IF(AG875="Fix5",0.05, IF(AG875="Fix6.25",0.0625,IF(AG875="Fix3.75",0.0375,IF(AG875="Fix10",0.1,IF(AG875="Fix3",0.03,0))))))</f>
        <v>0</v>
      </c>
      <c r="Z875" s="35">
        <f>T875-AA875-AB875</f>
        <v>43.55</v>
      </c>
      <c r="AA875" s="29">
        <f>IF(AD875="EUR",((T875-R875)*X875)*U875+(R875*X875),(T875*X875))</f>
        <v>23.45</v>
      </c>
      <c r="AB875" s="36">
        <f>IF(AD875="EUR",((T875-R875)*Y875)*U875+(R875*Y875),(T875*Y875))</f>
        <v>0</v>
      </c>
      <c r="AC875" s="37" t="b">
        <v>1</v>
      </c>
      <c r="AD875" s="37" t="s">
        <v>38</v>
      </c>
      <c r="AE875" s="37" t="s">
        <v>38</v>
      </c>
      <c r="AF875" s="37" t="str">
        <f t="array" ref="AF875">INDEX('Deal Info'!D:D, MATCH(A875,'Deal Info'!A:A, 0))</f>
        <v>DoEVold</v>
      </c>
      <c r="AG875" s="38" t="str">
        <f t="array" ref="AG875">INDEX('Deal Info'!G:G, MATCH(A875,'Deal Info'!A:A, 0))</f>
        <v>None</v>
      </c>
    </row>
    <row r="876" spans="1:33" ht="14.25" hidden="1" x14ac:dyDescent="0.2">
      <c r="A876" s="18" t="str">
        <f t="array" ref="A876">IF(G876='Room Info'!$B$1, INDEX('Room Info'!$A$2:$A2446, MATCH(B876,'Room Info'!$B$2:$B2446, 0)),IF(G876='Room Info'!$C$1, INDEX('Room Info'!$A$2:$A2446, MATCH(B876,'Room Info'!$C$2:$C2446, 0)),IF(G876='Room Info'!$D$1, INDEX('Room Info'!$A$2:$A2446, MATCH(B876,'Room Info'!$D$2:$D2446, 0)),IF(G876='Room Info'!$E$1, INDEX('Room Info'!$A$2:$A2446, MATCH(B876,'Room Info'!$E$2:$E2446, 0)),IF(G876='Room Info'!$F$1, INDEX('Room Info'!$A$2:$A2446, MATCH(B876,'Room Info'!$F$2:$F2446, 0)),IF(G876='Room Info'!$H$1, INDEX('Room Info'!$A$2:$A2446, MATCH(B876,'Room Info'!$H$2:$H2446, 0)),IF(G876='Room Info'!$G$1, INDEX('Room Info'!$A$2:$A2446, MATCH(B876,'Room Info'!$G$2:$G2446, 0)))))))))</f>
        <v>kttweek1</v>
      </c>
      <c r="B876" s="45" t="s">
        <v>175</v>
      </c>
      <c r="C876" s="46">
        <v>44916</v>
      </c>
      <c r="D876" s="46">
        <v>44957</v>
      </c>
      <c r="E876" s="47">
        <v>44927</v>
      </c>
      <c r="F876" s="48" t="s">
        <v>49</v>
      </c>
      <c r="G876" s="54" t="s">
        <v>35</v>
      </c>
      <c r="H876" s="49" t="s">
        <v>85</v>
      </c>
      <c r="I876" s="49" t="s">
        <v>44</v>
      </c>
      <c r="J876" s="50">
        <v>50</v>
      </c>
      <c r="K876" s="51">
        <v>187</v>
      </c>
      <c r="L876" s="52">
        <v>-2200</v>
      </c>
      <c r="M876" s="53">
        <v>361</v>
      </c>
      <c r="N876" s="28">
        <f>K876*J876</f>
        <v>9350</v>
      </c>
      <c r="O876" s="54">
        <v>-3505</v>
      </c>
      <c r="P876" s="29">
        <v>-18.743315509999999</v>
      </c>
      <c r="Q876" s="55"/>
      <c r="R876" s="31">
        <f>M876+Q876</f>
        <v>361</v>
      </c>
      <c r="S876" s="56">
        <v>-1124</v>
      </c>
      <c r="T876" s="32">
        <f>R876+S876+IF(F876="Without EV deal",L876,0)</f>
        <v>-763</v>
      </c>
      <c r="U876" s="57">
        <v>1</v>
      </c>
      <c r="V876" s="58"/>
      <c r="W876" s="58"/>
      <c r="X876" s="78">
        <v>0.35</v>
      </c>
      <c r="Y876" s="30">
        <f>IF(AG876="None",0,IF(AG876="Fix5",0.05, IF(AG876="Fix6.25",0.0625,IF(AG876="Fix3.75",0.0375,IF(AG876="Fix10",0.1,IF(AG876="Fix3",0.03,0))))))</f>
        <v>0</v>
      </c>
      <c r="Z876" s="35">
        <f>T876-AA876-AB876</f>
        <v>-495.95</v>
      </c>
      <c r="AA876" s="29">
        <f>IF(AD876="EUR",((T876-R876)*X876)*U876+(R876*X876),(T876*X876))</f>
        <v>-267.05</v>
      </c>
      <c r="AB876" s="36">
        <f>IF(AD876="EUR",((T876-R876)*Y876)*U876+(R876*Y876),(T876*Y876))</f>
        <v>0</v>
      </c>
      <c r="AC876" s="37" t="b">
        <v>1</v>
      </c>
      <c r="AD876" s="37" t="s">
        <v>38</v>
      </c>
      <c r="AE876" s="37" t="s">
        <v>38</v>
      </c>
      <c r="AF876" s="37" t="str">
        <f t="array" ref="AF876">INDEX('Deal Info'!D:D, MATCH(A876,'Deal Info'!A:A, 0))</f>
        <v>DoEVold</v>
      </c>
      <c r="AG876" s="38" t="str">
        <f t="array" ref="AG876">INDEX('Deal Info'!G:G, MATCH(A876,'Deal Info'!A:A, 0))</f>
        <v>None</v>
      </c>
    </row>
    <row r="877" spans="1:33" ht="14.25" hidden="1" x14ac:dyDescent="0.2">
      <c r="A877" s="18" t="str">
        <f t="array" ref="A877">IF(G877='Room Info'!$B$1, INDEX('Room Info'!$A$2:$A2446, MATCH(B877,'Room Info'!$B$2:$B2446, 0)),IF(G877='Room Info'!$C$1, INDEX('Room Info'!$A$2:$A2446, MATCH(B877,'Room Info'!$C$2:$C2446, 0)),IF(G877='Room Info'!$D$1, INDEX('Room Info'!$A$2:$A2446, MATCH(B877,'Room Info'!$D$2:$D2446, 0)),IF(G877='Room Info'!$E$1, INDEX('Room Info'!$A$2:$A2446, MATCH(B877,'Room Info'!$E$2:$E2446, 0)),IF(G877='Room Info'!$F$1, INDEX('Room Info'!$A$2:$A2446, MATCH(B877,'Room Info'!$F$2:$F2446, 0)),IF(G877='Room Info'!$H$1, INDEX('Room Info'!$A$2:$A2446, MATCH(B877,'Room Info'!$H$2:$H2446, 0)),IF(G877='Room Info'!$G$1, INDEX('Room Info'!$A$2:$A2446, MATCH(B877,'Room Info'!$G$2:$G2446, 0)))))))))</f>
        <v>kttweek1</v>
      </c>
      <c r="B877" s="45" t="s">
        <v>175</v>
      </c>
      <c r="C877" s="46">
        <v>44916</v>
      </c>
      <c r="D877" s="46">
        <v>44957</v>
      </c>
      <c r="E877" s="47">
        <v>44927</v>
      </c>
      <c r="F877" s="48" t="s">
        <v>49</v>
      </c>
      <c r="G877" s="45" t="s">
        <v>35</v>
      </c>
      <c r="H877" s="49" t="s">
        <v>72</v>
      </c>
      <c r="I877" s="49" t="s">
        <v>37</v>
      </c>
      <c r="J877" s="50">
        <v>50</v>
      </c>
      <c r="K877" s="51">
        <v>1041</v>
      </c>
      <c r="L877" s="52">
        <v>-1950</v>
      </c>
      <c r="M877" s="53">
        <v>2010</v>
      </c>
      <c r="N877" s="28">
        <f>K877*J877</f>
        <v>52050</v>
      </c>
      <c r="O877" s="54">
        <v>11915</v>
      </c>
      <c r="P877" s="29">
        <v>11.44572526</v>
      </c>
      <c r="Q877" s="55"/>
      <c r="R877" s="31">
        <f>M877+Q877</f>
        <v>2010</v>
      </c>
      <c r="S877" s="56">
        <v>-2135</v>
      </c>
      <c r="T877" s="32">
        <f>R877+S877+IF(F877="Without EV deal",L877,0)</f>
        <v>-125</v>
      </c>
      <c r="U877" s="57">
        <v>1</v>
      </c>
      <c r="V877" s="58"/>
      <c r="W877" s="58"/>
      <c r="X877" s="78">
        <v>0.35</v>
      </c>
      <c r="Y877" s="30">
        <f>IF(AG877="None",0,IF(AG877="Fix5",0.05, IF(AG877="Fix6.25",0.0625,IF(AG877="Fix3.75",0.0375,IF(AG877="Fix10",0.1,IF(AG877="Fix3",0.03,0))))))</f>
        <v>0</v>
      </c>
      <c r="Z877" s="35">
        <f>T877-AA877-AB877</f>
        <v>-81.25</v>
      </c>
      <c r="AA877" s="29">
        <f>IF(AD877="EUR",((T877-R877)*X877)*U877+(R877*X877),(T877*X877))</f>
        <v>-43.75</v>
      </c>
      <c r="AB877" s="36">
        <f>IF(AD877="EUR",((T877-R877)*Y877)*U877+(R877*Y877),(T877*Y877))</f>
        <v>0</v>
      </c>
      <c r="AC877" s="37" t="b">
        <v>1</v>
      </c>
      <c r="AD877" s="37" t="s">
        <v>38</v>
      </c>
      <c r="AE877" s="37" t="s">
        <v>38</v>
      </c>
      <c r="AF877" s="37" t="str">
        <f t="array" ref="AF877">INDEX('Deal Info'!D:D, MATCH(A877,'Deal Info'!A:A, 0))</f>
        <v>DoEVold</v>
      </c>
      <c r="AG877" s="38" t="str">
        <f t="array" ref="AG877">INDEX('Deal Info'!G:G, MATCH(A877,'Deal Info'!A:A, 0))</f>
        <v>None</v>
      </c>
    </row>
    <row r="878" spans="1:33" ht="14.25" hidden="1" x14ac:dyDescent="0.2">
      <c r="A878" s="18" t="str">
        <f t="array" ref="A878">IF(G878='Room Info'!$B$1, INDEX('Room Info'!$A$2:$A2446, MATCH(B878,'Room Info'!$B$2:$B2446, 0)),IF(G878='Room Info'!$C$1, INDEX('Room Info'!$A$2:$A2446, MATCH(B878,'Room Info'!$C$2:$C2446, 0)),IF(G878='Room Info'!$D$1, INDEX('Room Info'!$A$2:$A2446, MATCH(B878,'Room Info'!$D$2:$D2446, 0)),IF(G878='Room Info'!$E$1, INDEX('Room Info'!$A$2:$A2446, MATCH(B878,'Room Info'!$E$2:$E2446, 0)),IF(G878='Room Info'!$F$1, INDEX('Room Info'!$A$2:$A2446, MATCH(B878,'Room Info'!$F$2:$F2446, 0)),IF(G878='Room Info'!$H$1, INDEX('Room Info'!$A$2:$A2446, MATCH(B878,'Room Info'!$H$2:$H2446, 0)),IF(G878='Room Info'!$G$1, INDEX('Room Info'!$A$2:$A2446, MATCH(B878,'Room Info'!$G$2:$G2446, 0)))))))))</f>
        <v>kttweek1</v>
      </c>
      <c r="B878" s="45" t="s">
        <v>175</v>
      </c>
      <c r="C878" s="46">
        <v>44916</v>
      </c>
      <c r="D878" s="46">
        <v>44957</v>
      </c>
      <c r="E878" s="47">
        <v>44927</v>
      </c>
      <c r="F878" s="48" t="s">
        <v>41</v>
      </c>
      <c r="G878" s="45" t="s">
        <v>35</v>
      </c>
      <c r="H878" s="49" t="s">
        <v>47</v>
      </c>
      <c r="I878" s="49" t="s">
        <v>44</v>
      </c>
      <c r="J878" s="50">
        <v>1</v>
      </c>
      <c r="K878" s="51">
        <v>40</v>
      </c>
      <c r="L878" s="52">
        <v>9</v>
      </c>
      <c r="M878" s="53">
        <v>2</v>
      </c>
      <c r="N878" s="28">
        <f>K878*J878</f>
        <v>40</v>
      </c>
      <c r="O878" s="65"/>
      <c r="P878" s="29">
        <v>0</v>
      </c>
      <c r="Q878" s="55"/>
      <c r="R878" s="31">
        <f>M878+Q878</f>
        <v>2</v>
      </c>
      <c r="S878" s="66"/>
      <c r="T878" s="32">
        <f>R878+S878+IF(F878="Without EV deal",L878,0)</f>
        <v>11</v>
      </c>
      <c r="U878" s="57">
        <v>1</v>
      </c>
      <c r="V878" s="58"/>
      <c r="W878" s="58"/>
      <c r="X878" s="78">
        <v>0.35</v>
      </c>
      <c r="Y878" s="30">
        <f>IF(AG878="None",0,IF(AG878="Fix5",0.05, IF(AG878="Fix6.25",0.0625,IF(AG878="Fix3.75",0.0375,IF(AG878="Fix10",0.1,IF(AG878="Fix3",0.03,0))))))</f>
        <v>0</v>
      </c>
      <c r="Z878" s="35">
        <f>T878-AA878-AB878</f>
        <v>7.15</v>
      </c>
      <c r="AA878" s="29">
        <f>IF(AD878="EUR",((T878-R878)*X878)*U878+(R878*X878),(T878*X878))</f>
        <v>3.8499999999999996</v>
      </c>
      <c r="AB878" s="36">
        <f>IF(AD878="EUR",((T878-R878)*Y878)*U878+(R878*Y878),(T878*Y878))</f>
        <v>0</v>
      </c>
      <c r="AC878" s="37" t="b">
        <v>1</v>
      </c>
      <c r="AD878" s="37" t="s">
        <v>38</v>
      </c>
      <c r="AE878" s="37" t="s">
        <v>38</v>
      </c>
      <c r="AF878" s="37" t="str">
        <f t="array" ref="AF878">INDEX('Deal Info'!D:D, MATCH(A878,'Deal Info'!A:A, 0))</f>
        <v>DoEVold</v>
      </c>
      <c r="AG878" s="38" t="str">
        <f t="array" ref="AG878">INDEX('Deal Info'!G:G, MATCH(A878,'Deal Info'!A:A, 0))</f>
        <v>None</v>
      </c>
    </row>
    <row r="879" spans="1:33" ht="14.25" hidden="1" x14ac:dyDescent="0.2">
      <c r="A879" s="18" t="str">
        <f t="array" ref="A879">IF(G879='Room Info'!$B$1, INDEX('Room Info'!$A$2:$A2446, MATCH(B879,'Room Info'!$B$2:$B2446, 0)),IF(G879='Room Info'!$C$1, INDEX('Room Info'!$A$2:$A2446, MATCH(B879,'Room Info'!$C$2:$C2446, 0)),IF(G879='Room Info'!$D$1, INDEX('Room Info'!$A$2:$A2446, MATCH(B879,'Room Info'!$D$2:$D2446, 0)),IF(G879='Room Info'!$E$1, INDEX('Room Info'!$A$2:$A2446, MATCH(B879,'Room Info'!$E$2:$E2446, 0)),IF(G879='Room Info'!$F$1, INDEX('Room Info'!$A$2:$A2446, MATCH(B879,'Room Info'!$F$2:$F2446, 0)),IF(G879='Room Info'!$H$1, INDEX('Room Info'!$A$2:$A2446, MATCH(B879,'Room Info'!$H$2:$H2446, 0)),IF(G879='Room Info'!$G$1, INDEX('Room Info'!$A$2:$A2446, MATCH(B879,'Room Info'!$G$2:$G2446, 0)))))))))</f>
        <v>kttweek1</v>
      </c>
      <c r="B879" s="45" t="s">
        <v>175</v>
      </c>
      <c r="C879" s="46">
        <v>44916</v>
      </c>
      <c r="D879" s="46">
        <v>44957</v>
      </c>
      <c r="E879" s="47">
        <v>44927</v>
      </c>
      <c r="F879" s="48" t="s">
        <v>41</v>
      </c>
      <c r="G879" s="45" t="s">
        <v>35</v>
      </c>
      <c r="H879" s="49" t="s">
        <v>51</v>
      </c>
      <c r="I879" s="49" t="s">
        <v>44</v>
      </c>
      <c r="J879" s="50">
        <v>0.25</v>
      </c>
      <c r="K879" s="51">
        <v>8</v>
      </c>
      <c r="L879" s="52">
        <v>0</v>
      </c>
      <c r="M879" s="53">
        <v>1</v>
      </c>
      <c r="N879" s="28">
        <f>K879*J879</f>
        <v>2</v>
      </c>
      <c r="O879" s="65"/>
      <c r="P879" s="29">
        <v>0</v>
      </c>
      <c r="Q879" s="55"/>
      <c r="R879" s="31">
        <f>M879+Q879</f>
        <v>1</v>
      </c>
      <c r="S879" s="66"/>
      <c r="T879" s="32">
        <f>R879+S879+IF(F879="Without EV deal",L879,0)</f>
        <v>1</v>
      </c>
      <c r="U879" s="57">
        <v>1</v>
      </c>
      <c r="V879" s="58"/>
      <c r="W879" s="58"/>
      <c r="X879" s="78">
        <v>0.35</v>
      </c>
      <c r="Y879" s="30">
        <f>IF(AG879="None",0,IF(AG879="Fix5",0.05, IF(AG879="Fix6.25",0.0625,IF(AG879="Fix3.75",0.0375,IF(AG879="Fix10",0.1,IF(AG879="Fix3",0.03,0))))))</f>
        <v>0</v>
      </c>
      <c r="Z879" s="35">
        <f>T879-AA879-AB879</f>
        <v>0.65</v>
      </c>
      <c r="AA879" s="29">
        <f>IF(AD879="EUR",((T879-R879)*X879)*U879+(R879*X879),(T879*X879))</f>
        <v>0.35</v>
      </c>
      <c r="AB879" s="36">
        <f>IF(AD879="EUR",((T879-R879)*Y879)*U879+(R879*Y879),(T879*Y879))</f>
        <v>0</v>
      </c>
      <c r="AC879" s="37" t="b">
        <v>1</v>
      </c>
      <c r="AD879" s="37" t="s">
        <v>38</v>
      </c>
      <c r="AE879" s="37" t="s">
        <v>38</v>
      </c>
      <c r="AF879" s="37" t="str">
        <f t="array" ref="AF879">INDEX('Deal Info'!D:D, MATCH(A879,'Deal Info'!A:A, 0))</f>
        <v>DoEVold</v>
      </c>
      <c r="AG879" s="38" t="str">
        <f t="array" ref="AG879">INDEX('Deal Info'!G:G, MATCH(A879,'Deal Info'!A:A, 0))</f>
        <v>None</v>
      </c>
    </row>
    <row r="880" spans="1:33" ht="14.25" hidden="1" x14ac:dyDescent="0.2">
      <c r="A880" s="18" t="str">
        <f t="array" ref="A880">IF(G880='Room Info'!$B$1, INDEX('Room Info'!$A$2:$A2446, MATCH(B880,'Room Info'!$B$2:$B2446, 0)),IF(G880='Room Info'!$C$1, INDEX('Room Info'!$A$2:$A2446, MATCH(B880,'Room Info'!$C$2:$C2446, 0)),IF(G880='Room Info'!$D$1, INDEX('Room Info'!$A$2:$A2446, MATCH(B880,'Room Info'!$D$2:$D2446, 0)),IF(G880='Room Info'!$E$1, INDEX('Room Info'!$A$2:$A2446, MATCH(B880,'Room Info'!$E$2:$E2446, 0)),IF(G880='Room Info'!$F$1, INDEX('Room Info'!$A$2:$A2446, MATCH(B880,'Room Info'!$F$2:$F2446, 0)),IF(G880='Room Info'!$H$1, INDEX('Room Info'!$A$2:$A2446, MATCH(B880,'Room Info'!$H$2:$H2446, 0)),IF(G880='Room Info'!$G$1, INDEX('Room Info'!$A$2:$A2446, MATCH(B880,'Room Info'!$G$2:$G2446, 0)))))))))</f>
        <v>kttweek1</v>
      </c>
      <c r="B880" s="45" t="s">
        <v>175</v>
      </c>
      <c r="C880" s="77">
        <v>44916</v>
      </c>
      <c r="D880" s="77">
        <v>44957</v>
      </c>
      <c r="E880" s="47">
        <v>44927</v>
      </c>
      <c r="F880" s="48" t="s">
        <v>41</v>
      </c>
      <c r="G880" s="45" t="s">
        <v>35</v>
      </c>
      <c r="H880" s="49" t="s">
        <v>39</v>
      </c>
      <c r="I880" s="49" t="s">
        <v>37</v>
      </c>
      <c r="J880" s="74">
        <v>5</v>
      </c>
      <c r="K880" s="75">
        <v>1</v>
      </c>
      <c r="L880" s="72">
        <v>10</v>
      </c>
      <c r="M880" s="76">
        <v>1</v>
      </c>
      <c r="N880" s="28">
        <f>K880*J880</f>
        <v>5</v>
      </c>
      <c r="O880" s="96"/>
      <c r="P880" s="29">
        <v>0</v>
      </c>
      <c r="Q880" s="55"/>
      <c r="R880" s="31">
        <f>M880+Q880</f>
        <v>1</v>
      </c>
      <c r="S880" s="97"/>
      <c r="T880" s="32">
        <f>R880+S880+IF(F880="Without EV deal",L880,0)</f>
        <v>11</v>
      </c>
      <c r="U880" s="57">
        <v>1</v>
      </c>
      <c r="V880" s="58"/>
      <c r="W880" s="58"/>
      <c r="X880" s="78">
        <v>0.35</v>
      </c>
      <c r="Y880" s="30">
        <f>IF(AG880="None",0,IF(AG880="Fix5",0.05, IF(AG880="Fix6.25",0.0625,IF(AG880="Fix3.75",0.0375,IF(AG880="Fix10",0.1,IF(AG880="Fix3",0.03,0))))))</f>
        <v>0</v>
      </c>
      <c r="Z880" s="35">
        <f>T880-AA880-AB880</f>
        <v>7.15</v>
      </c>
      <c r="AA880" s="29">
        <f>IF(AD880="EUR",((T880-R880)*X880)*U880+(R880*X880),(T880*X880))</f>
        <v>3.8499999999999996</v>
      </c>
      <c r="AB880" s="36">
        <f>IF(AD880="EUR",((T880-R880)*Y880)*U880+(R880*Y880),(T880*Y880))</f>
        <v>0</v>
      </c>
      <c r="AC880" s="37" t="b">
        <v>1</v>
      </c>
      <c r="AD880" s="37" t="s">
        <v>38</v>
      </c>
      <c r="AE880" s="37" t="s">
        <v>38</v>
      </c>
      <c r="AF880" s="37" t="str">
        <f t="array" ref="AF880">INDEX('Deal Info'!D:D, MATCH(A880,'Deal Info'!A:A, 0))</f>
        <v>DoEVold</v>
      </c>
      <c r="AG880" s="38" t="str">
        <f t="array" ref="AG880">INDEX('Deal Info'!G:G, MATCH(A880,'Deal Info'!A:A, 0))</f>
        <v>None</v>
      </c>
    </row>
    <row r="881" spans="1:33" ht="14.25" hidden="1" x14ac:dyDescent="0.2">
      <c r="A881" s="18" t="str">
        <f t="array" ref="A881">IF(G881='Room Info'!$B$1, INDEX('Room Info'!$A$2:$A2446, MATCH(B881,'Room Info'!$B$2:$B2446, 0)),IF(G881='Room Info'!$C$1, INDEX('Room Info'!$A$2:$A2446, MATCH(B881,'Room Info'!$C$2:$C2446, 0)),IF(G881='Room Info'!$D$1, INDEX('Room Info'!$A$2:$A2446, MATCH(B881,'Room Info'!$D$2:$D2446, 0)),IF(G881='Room Info'!$E$1, INDEX('Room Info'!$A$2:$A2446, MATCH(B881,'Room Info'!$E$2:$E2446, 0)),IF(G881='Room Info'!$F$1, INDEX('Room Info'!$A$2:$A2446, MATCH(B881,'Room Info'!$F$2:$F2446, 0)),IF(G881='Room Info'!$H$1, INDEX('Room Info'!$A$2:$A2446, MATCH(B881,'Room Info'!$H$2:$H2446, 0)),IF(G881='Room Info'!$G$1, INDEX('Room Info'!$A$2:$A2446, MATCH(B881,'Room Info'!$G$2:$G2446, 0)))))))))</f>
        <v>kttweek1</v>
      </c>
      <c r="B881" s="45" t="s">
        <v>175</v>
      </c>
      <c r="C881" s="77">
        <v>44916</v>
      </c>
      <c r="D881" s="77">
        <v>44957</v>
      </c>
      <c r="E881" s="47">
        <v>44927</v>
      </c>
      <c r="F881" s="48" t="s">
        <v>41</v>
      </c>
      <c r="G881" s="45" t="s">
        <v>35</v>
      </c>
      <c r="H881" s="49" t="s">
        <v>43</v>
      </c>
      <c r="I881" s="49" t="s">
        <v>44</v>
      </c>
      <c r="J881" s="74">
        <v>2</v>
      </c>
      <c r="K881" s="75">
        <v>1</v>
      </c>
      <c r="L881" s="72">
        <v>4</v>
      </c>
      <c r="M881" s="79"/>
      <c r="N881" s="28">
        <f>K881*J881</f>
        <v>2</v>
      </c>
      <c r="O881" s="96"/>
      <c r="P881" s="29">
        <v>0</v>
      </c>
      <c r="Q881" s="55"/>
      <c r="R881" s="31">
        <f>M881+Q881</f>
        <v>0</v>
      </c>
      <c r="S881" s="97"/>
      <c r="T881" s="32">
        <f>R881+S881+IF(F881="Without EV deal",L881,0)</f>
        <v>4</v>
      </c>
      <c r="U881" s="57">
        <v>1</v>
      </c>
      <c r="V881" s="58"/>
      <c r="W881" s="58"/>
      <c r="X881" s="78">
        <v>0.35</v>
      </c>
      <c r="Y881" s="30">
        <f>IF(AG881="None",0,IF(AG881="Fix5",0.05, IF(AG881="Fix6.25",0.0625,IF(AG881="Fix3.75",0.0375,IF(AG881="Fix10",0.1,IF(AG881="Fix3",0.03,0))))))</f>
        <v>0</v>
      </c>
      <c r="Z881" s="35">
        <f>T881-AA881-AB881</f>
        <v>2.6</v>
      </c>
      <c r="AA881" s="29">
        <f>IF(AD881="EUR",((T881-R881)*X881)*U881+(R881*X881),(T881*X881))</f>
        <v>1.4</v>
      </c>
      <c r="AB881" s="36">
        <f>IF(AD881="EUR",((T881-R881)*Y881)*U881+(R881*Y881),(T881*Y881))</f>
        <v>0</v>
      </c>
      <c r="AC881" s="37" t="b">
        <v>1</v>
      </c>
      <c r="AD881" s="37" t="s">
        <v>38</v>
      </c>
      <c r="AE881" s="37" t="s">
        <v>38</v>
      </c>
      <c r="AF881" s="37" t="str">
        <f t="array" ref="AF881">INDEX('Deal Info'!D:D, MATCH(A881,'Deal Info'!A:A, 0))</f>
        <v>DoEVold</v>
      </c>
      <c r="AG881" s="38" t="str">
        <f t="array" ref="AG881">INDEX('Deal Info'!G:G, MATCH(A881,'Deal Info'!A:A, 0))</f>
        <v>None</v>
      </c>
    </row>
    <row r="882" spans="1:33" ht="14.25" hidden="1" x14ac:dyDescent="0.2">
      <c r="A882" s="18" t="str">
        <f t="array" ref="A882">IF(G882='Room Info'!$B$1, INDEX('Room Info'!$A$2:$A2446, MATCH(B882,'Room Info'!$B$2:$B2446, 0)),IF(G882='Room Info'!$C$1, INDEX('Room Info'!$A$2:$A2446, MATCH(B882,'Room Info'!$C$2:$C2446, 0)),IF(G882='Room Info'!$D$1, INDEX('Room Info'!$A$2:$A2446, MATCH(B882,'Room Info'!$D$2:$D2446, 0)),IF(G882='Room Info'!$E$1, INDEX('Room Info'!$A$2:$A2446, MATCH(B882,'Room Info'!$E$2:$E2446, 0)),IF(G882='Room Info'!$F$1, INDEX('Room Info'!$A$2:$A2446, MATCH(B882,'Room Info'!$F$2:$F2446, 0)),IF(G882='Room Info'!$H$1, INDEX('Room Info'!$A$2:$A2446, MATCH(B882,'Room Info'!$H$2:$H2446, 0)),IF(G882='Room Info'!$G$1, INDEX('Room Info'!$A$2:$A2446, MATCH(B882,'Room Info'!$G$2:$G2446, 0)))))))))</f>
        <v>kttweek1</v>
      </c>
      <c r="B882" s="45" t="s">
        <v>175</v>
      </c>
      <c r="C882" s="46">
        <v>44916</v>
      </c>
      <c r="D882" s="46">
        <v>44957</v>
      </c>
      <c r="E882" s="47">
        <v>44927</v>
      </c>
      <c r="F882" s="48" t="s">
        <v>41</v>
      </c>
      <c r="G882" s="45" t="s">
        <v>35</v>
      </c>
      <c r="H882" s="49" t="s">
        <v>90</v>
      </c>
      <c r="I882" s="49" t="s">
        <v>44</v>
      </c>
      <c r="J882" s="50">
        <v>5</v>
      </c>
      <c r="K882" s="51">
        <v>1</v>
      </c>
      <c r="L882" s="52">
        <v>-5</v>
      </c>
      <c r="M882" s="62"/>
      <c r="N882" s="28">
        <f>K882*J882</f>
        <v>5</v>
      </c>
      <c r="O882" s="65"/>
      <c r="P882" s="29">
        <v>0</v>
      </c>
      <c r="Q882" s="55"/>
      <c r="R882" s="31">
        <f>M882+Q882</f>
        <v>0</v>
      </c>
      <c r="S882" s="66"/>
      <c r="T882" s="32">
        <f>R882+S882+IF(F882="Without EV deal",L882,0)</f>
        <v>-5</v>
      </c>
      <c r="U882" s="57">
        <v>1</v>
      </c>
      <c r="V882" s="58"/>
      <c r="W882" s="58"/>
      <c r="X882" s="78">
        <v>0.35</v>
      </c>
      <c r="Y882" s="30">
        <f>IF(AG882="None",0,IF(AG882="Fix5",0.05, IF(AG882="Fix6.25",0.0625,IF(AG882="Fix3.75",0.0375,IF(AG882="Fix10",0.1,IF(AG882="Fix3",0.03,0))))))</f>
        <v>0</v>
      </c>
      <c r="Z882" s="35">
        <f>T882-AA882-AB882</f>
        <v>-3.25</v>
      </c>
      <c r="AA882" s="29">
        <f>IF(AD882="EUR",((T882-R882)*X882)*U882+(R882*X882),(T882*X882))</f>
        <v>-1.75</v>
      </c>
      <c r="AB882" s="36">
        <f>IF(AD882="EUR",((T882-R882)*Y882)*U882+(R882*Y882),(T882*Y882))</f>
        <v>0</v>
      </c>
      <c r="AC882" s="37" t="b">
        <v>1</v>
      </c>
      <c r="AD882" s="37" t="s">
        <v>38</v>
      </c>
      <c r="AE882" s="37" t="s">
        <v>38</v>
      </c>
      <c r="AF882" s="37" t="str">
        <f t="array" ref="AF882">INDEX('Deal Info'!D:D, MATCH(A882,'Deal Info'!A:A, 0))</f>
        <v>DoEVold</v>
      </c>
      <c r="AG882" s="38" t="str">
        <f t="array" ref="AG882">INDEX('Deal Info'!G:G, MATCH(A882,'Deal Info'!A:A, 0))</f>
        <v>None</v>
      </c>
    </row>
    <row r="883" spans="1:33" ht="14.25" hidden="1" x14ac:dyDescent="0.2">
      <c r="A883" s="18" t="str">
        <f t="array" ref="A883">IF(G883='Room Info'!$B$1, INDEX('Room Info'!$A$2:$A2446, MATCH(B883,'Room Info'!$B$2:$B2446, 0)),IF(G883='Room Info'!$C$1, INDEX('Room Info'!$A$2:$A2446, MATCH(B883,'Room Info'!$C$2:$C2446, 0)),IF(G883='Room Info'!$D$1, INDEX('Room Info'!$A$2:$A2446, MATCH(B883,'Room Info'!$D$2:$D2446, 0)),IF(G883='Room Info'!$E$1, INDEX('Room Info'!$A$2:$A2446, MATCH(B883,'Room Info'!$E$2:$E2446, 0)),IF(G883='Room Info'!$F$1, INDEX('Room Info'!$A$2:$A2446, MATCH(B883,'Room Info'!$F$2:$F2446, 0)),IF(G883='Room Info'!$H$1, INDEX('Room Info'!$A$2:$A2446, MATCH(B883,'Room Info'!$H$2:$H2446, 0)),IF(G883='Room Info'!$G$1, INDEX('Room Info'!$A$2:$A2446, MATCH(B883,'Room Info'!$G$2:$G2446, 0)))))))))</f>
        <v>KuCoH</v>
      </c>
      <c r="B883" s="45" t="s">
        <v>178</v>
      </c>
      <c r="C883" s="77">
        <v>44733</v>
      </c>
      <c r="D883" s="77">
        <v>44762</v>
      </c>
      <c r="E883" s="47">
        <v>44743</v>
      </c>
      <c r="F883" s="48" t="s">
        <v>34</v>
      </c>
      <c r="G883" s="45" t="s">
        <v>35</v>
      </c>
      <c r="H883" s="49" t="s">
        <v>40</v>
      </c>
      <c r="I883" s="49" t="s">
        <v>37</v>
      </c>
      <c r="J883" s="74">
        <v>10</v>
      </c>
      <c r="K883" s="75">
        <v>745</v>
      </c>
      <c r="L883" s="72">
        <v>330</v>
      </c>
      <c r="M883" s="76">
        <v>163</v>
      </c>
      <c r="N883" s="28">
        <f>K883*J883</f>
        <v>7450</v>
      </c>
      <c r="O883" s="45">
        <v>46482</v>
      </c>
      <c r="P883" s="29">
        <v>62.391946310000002</v>
      </c>
      <c r="Q883" s="55"/>
      <c r="R883" s="31">
        <f>M883+Q883</f>
        <v>163</v>
      </c>
      <c r="S883" s="73">
        <v>291</v>
      </c>
      <c r="T883" s="32">
        <f>R883+S883+IF(F883="Without EV deal",L883,0)</f>
        <v>454</v>
      </c>
      <c r="U883" s="57">
        <v>1</v>
      </c>
      <c r="V883" s="58"/>
      <c r="W883" s="58"/>
      <c r="X883" s="78">
        <v>0.25</v>
      </c>
      <c r="Y883" s="78">
        <v>0</v>
      </c>
      <c r="Z883" s="35">
        <f>T883-AA883-AB883</f>
        <v>340.5</v>
      </c>
      <c r="AA883" s="29">
        <f>IF(AD883="EUR",((T883-R883)*X883)*U883+(R883*X883),(T883*X883))</f>
        <v>113.5</v>
      </c>
      <c r="AB883" s="36">
        <f>IF(AD883="EUR",((T883-R883)*Y883)*U883+(R883*Y883),(T883*Y883))</f>
        <v>0</v>
      </c>
      <c r="AC883" s="37" t="b">
        <v>1</v>
      </c>
      <c r="AD883" s="37" t="s">
        <v>38</v>
      </c>
      <c r="AE883" s="37" t="s">
        <v>38</v>
      </c>
      <c r="AF883" s="37" t="str">
        <f t="array" ref="AF883">INDEX('Deal Info'!D:D, MATCH(A883,'Deal Info'!A:A, 0))</f>
        <v>DoEVku</v>
      </c>
      <c r="AG883" s="38" t="str">
        <f t="array" ref="AG883">INDEX('Deal Info'!G:G, MATCH(A883,'Deal Info'!A:A, 0))</f>
        <v>Fix10</v>
      </c>
    </row>
    <row r="884" spans="1:33" ht="14.25" hidden="1" x14ac:dyDescent="0.2">
      <c r="A884" s="18" t="str">
        <f t="array" ref="A884">IF(G884='Room Info'!$B$1, INDEX('Room Info'!$A$2:$A2446, MATCH(B884,'Room Info'!$B$2:$B2446, 0)),IF(G884='Room Info'!$C$1, INDEX('Room Info'!$A$2:$A2446, MATCH(B884,'Room Info'!$C$2:$C2446, 0)),IF(G884='Room Info'!$D$1, INDEX('Room Info'!$A$2:$A2446, MATCH(B884,'Room Info'!$D$2:$D2446, 0)),IF(G884='Room Info'!$E$1, INDEX('Room Info'!$A$2:$A2446, MATCH(B884,'Room Info'!$E$2:$E2446, 0)),IF(G884='Room Info'!$F$1, INDEX('Room Info'!$A$2:$A2446, MATCH(B884,'Room Info'!$F$2:$F2446, 0)),IF(G884='Room Info'!$H$1, INDEX('Room Info'!$A$2:$A2446, MATCH(B884,'Room Info'!$H$2:$H2446, 0)),IF(G884='Room Info'!$G$1, INDEX('Room Info'!$A$2:$A2446, MATCH(B884,'Room Info'!$G$2:$G2446, 0)))))))))</f>
        <v>KuCoH</v>
      </c>
      <c r="B884" s="45" t="s">
        <v>178</v>
      </c>
      <c r="C884" s="46">
        <v>44733</v>
      </c>
      <c r="D884" s="46">
        <v>44762</v>
      </c>
      <c r="E884" s="47">
        <v>44743</v>
      </c>
      <c r="F884" s="48" t="s">
        <v>34</v>
      </c>
      <c r="G884" s="45" t="s">
        <v>35</v>
      </c>
      <c r="H884" s="49" t="s">
        <v>115</v>
      </c>
      <c r="I884" s="49" t="s">
        <v>44</v>
      </c>
      <c r="J884" s="50">
        <v>10</v>
      </c>
      <c r="K884" s="51">
        <v>1290</v>
      </c>
      <c r="L884" s="107">
        <v>-580</v>
      </c>
      <c r="M884" s="53">
        <v>281</v>
      </c>
      <c r="N884" s="28">
        <f>K884*J884</f>
        <v>12900</v>
      </c>
      <c r="O884" s="108">
        <v>22852</v>
      </c>
      <c r="P884" s="29">
        <v>17.71472868</v>
      </c>
      <c r="Q884" s="55"/>
      <c r="R884" s="31">
        <f>M884+Q884</f>
        <v>281</v>
      </c>
      <c r="S884" s="109">
        <v>-273</v>
      </c>
      <c r="T884" s="32">
        <f>R884+S884+IF(F884="Without EV deal",L884,0)</f>
        <v>8</v>
      </c>
      <c r="U884" s="57">
        <v>1</v>
      </c>
      <c r="V884" s="58"/>
      <c r="W884" s="58"/>
      <c r="X884" s="78">
        <v>0.25</v>
      </c>
      <c r="Y884" s="78">
        <v>0</v>
      </c>
      <c r="Z884" s="35">
        <f>T884-AA884-AB884</f>
        <v>6</v>
      </c>
      <c r="AA884" s="29">
        <f>IF(AD884="EUR",((T884-R884)*X884)*U884+(R884*X884),(T884*X884))</f>
        <v>2</v>
      </c>
      <c r="AB884" s="36">
        <f>IF(AD884="EUR",((T884-R884)*Y884)*U884+(R884*Y884),(T884*Y884))</f>
        <v>0</v>
      </c>
      <c r="AC884" s="37" t="b">
        <v>1</v>
      </c>
      <c r="AD884" s="37" t="s">
        <v>38</v>
      </c>
      <c r="AE884" s="37" t="s">
        <v>38</v>
      </c>
      <c r="AF884" s="37" t="str">
        <f t="array" ref="AF884">INDEX('Deal Info'!D:D, MATCH(A884,'Deal Info'!A:A, 0))</f>
        <v>DoEVku</v>
      </c>
      <c r="AG884" s="38" t="str">
        <f t="array" ref="AG884">INDEX('Deal Info'!G:G, MATCH(A884,'Deal Info'!A:A, 0))</f>
        <v>Fix10</v>
      </c>
    </row>
    <row r="885" spans="1:33" ht="14.25" hidden="1" x14ac:dyDescent="0.2">
      <c r="A885" s="18" t="str">
        <f t="array" ref="A885">IF(G885='Room Info'!$B$1, INDEX('Room Info'!$A$2:$A2446, MATCH(B885,'Room Info'!$B$2:$B2446, 0)),IF(G885='Room Info'!$C$1, INDEX('Room Info'!$A$2:$A2446, MATCH(B885,'Room Info'!$C$2:$C2446, 0)),IF(G885='Room Info'!$D$1, INDEX('Room Info'!$A$2:$A2446, MATCH(B885,'Room Info'!$D$2:$D2446, 0)),IF(G885='Room Info'!$E$1, INDEX('Room Info'!$A$2:$A2446, MATCH(B885,'Room Info'!$E$2:$E2446, 0)),IF(G885='Room Info'!$F$1, INDEX('Room Info'!$A$2:$A2446, MATCH(B885,'Room Info'!$F$2:$F2446, 0)),IF(G885='Room Info'!$H$1, INDEX('Room Info'!$A$2:$A2446, MATCH(B885,'Room Info'!$H$2:$H2446, 0)),IF(G885='Room Info'!$G$1, INDEX('Room Info'!$A$2:$A2446, MATCH(B885,'Room Info'!$G$2:$G2446, 0)))))))))</f>
        <v>KuCoH</v>
      </c>
      <c r="B885" s="45" t="s">
        <v>178</v>
      </c>
      <c r="C885" s="77">
        <v>44794</v>
      </c>
      <c r="D885" s="77">
        <v>44824</v>
      </c>
      <c r="E885" s="47">
        <v>44805</v>
      </c>
      <c r="F885" s="48" t="s">
        <v>34</v>
      </c>
      <c r="G885" s="45" t="s">
        <v>35</v>
      </c>
      <c r="H885" s="49" t="s">
        <v>40</v>
      </c>
      <c r="I885" s="49" t="s">
        <v>37</v>
      </c>
      <c r="J885" s="74">
        <v>10</v>
      </c>
      <c r="K885" s="75">
        <v>1177</v>
      </c>
      <c r="L885" s="72">
        <v>-370</v>
      </c>
      <c r="M885" s="76">
        <v>522</v>
      </c>
      <c r="N885" s="28">
        <f>K885*J885</f>
        <v>11770</v>
      </c>
      <c r="O885" s="45">
        <v>44716</v>
      </c>
      <c r="P885" s="29">
        <v>37.991503819999998</v>
      </c>
      <c r="Q885" s="55"/>
      <c r="R885" s="31">
        <f>M885+Q885</f>
        <v>522</v>
      </c>
      <c r="S885" s="73">
        <v>-48</v>
      </c>
      <c r="T885" s="32">
        <f>R885+S885+IF(F885="Without EV deal",L885,0)</f>
        <v>474</v>
      </c>
      <c r="U885" s="57">
        <v>1</v>
      </c>
      <c r="V885" s="58"/>
      <c r="W885" s="58"/>
      <c r="X885" s="78">
        <v>0.23</v>
      </c>
      <c r="Y885" s="78">
        <v>0</v>
      </c>
      <c r="Z885" s="35">
        <f>T885-AA885-AB885</f>
        <v>364.98</v>
      </c>
      <c r="AA885" s="29">
        <f>IF(AD885="EUR",((T885-R885)*X885)*U885+(R885*X885),(T885*X885))</f>
        <v>109.02000000000001</v>
      </c>
      <c r="AB885" s="36">
        <f>IF(AD885="EUR",((T885-R885)*Y885)*U885+(R885*Y885),(T885*Y885))</f>
        <v>0</v>
      </c>
      <c r="AC885" s="37" t="b">
        <v>1</v>
      </c>
      <c r="AD885" s="37" t="s">
        <v>38</v>
      </c>
      <c r="AE885" s="37" t="s">
        <v>38</v>
      </c>
      <c r="AF885" s="37" t="str">
        <f t="array" ref="AF885">INDEX('Deal Info'!D:D, MATCH(A885,'Deal Info'!A:A, 0))</f>
        <v>DoEVku</v>
      </c>
      <c r="AG885" s="38" t="str">
        <f t="array" ref="AG885">INDEX('Deal Info'!G:G, MATCH(A885,'Deal Info'!A:A, 0))</f>
        <v>Fix10</v>
      </c>
    </row>
    <row r="886" spans="1:33" ht="14.25" hidden="1" x14ac:dyDescent="0.2">
      <c r="A886" s="18" t="str">
        <f t="array" ref="A886">IF(G886='Room Info'!$B$1, INDEX('Room Info'!$A$2:$A2446, MATCH(B886,'Room Info'!$B$2:$B2446, 0)),IF(G886='Room Info'!$C$1, INDEX('Room Info'!$A$2:$A2446, MATCH(B886,'Room Info'!$C$2:$C2446, 0)),IF(G886='Room Info'!$D$1, INDEX('Room Info'!$A$2:$A2446, MATCH(B886,'Room Info'!$D$2:$D2446, 0)),IF(G886='Room Info'!$E$1, INDEX('Room Info'!$A$2:$A2446, MATCH(B886,'Room Info'!$E$2:$E2446, 0)),IF(G886='Room Info'!$F$1, INDEX('Room Info'!$A$2:$A2446, MATCH(B886,'Room Info'!$F$2:$F2446, 0)),IF(G886='Room Info'!$H$1, INDEX('Room Info'!$A$2:$A2446, MATCH(B886,'Room Info'!$H$2:$H2446, 0)),IF(G886='Room Info'!$G$1, INDEX('Room Info'!$A$2:$A2446, MATCH(B886,'Room Info'!$G$2:$G2446, 0)))))))))</f>
        <v>KuCoH</v>
      </c>
      <c r="B886" s="45" t="s">
        <v>178</v>
      </c>
      <c r="C886" s="77">
        <v>44794</v>
      </c>
      <c r="D886" s="77">
        <v>44824</v>
      </c>
      <c r="E886" s="47">
        <v>44805</v>
      </c>
      <c r="F886" s="48" t="s">
        <v>34</v>
      </c>
      <c r="G886" s="45" t="s">
        <v>35</v>
      </c>
      <c r="H886" s="49" t="s">
        <v>115</v>
      </c>
      <c r="I886" s="49" t="s">
        <v>44</v>
      </c>
      <c r="J886" s="74">
        <v>10</v>
      </c>
      <c r="K886" s="75">
        <v>1079</v>
      </c>
      <c r="L886" s="72">
        <v>-510</v>
      </c>
      <c r="M886" s="76">
        <v>478</v>
      </c>
      <c r="N886" s="28">
        <f>K886*J886</f>
        <v>10790</v>
      </c>
      <c r="O886" s="45">
        <v>11085</v>
      </c>
      <c r="P886" s="29">
        <v>10.2734013</v>
      </c>
      <c r="Q886" s="55"/>
      <c r="R886" s="31">
        <f>M886+Q886</f>
        <v>478</v>
      </c>
      <c r="S886" s="73">
        <v>-456</v>
      </c>
      <c r="T886" s="32">
        <f>R886+S886+IF(F886="Without EV deal",L886,0)</f>
        <v>22</v>
      </c>
      <c r="U886" s="57">
        <v>1</v>
      </c>
      <c r="V886" s="58"/>
      <c r="W886" s="58"/>
      <c r="X886" s="78">
        <v>0.23</v>
      </c>
      <c r="Y886" s="78">
        <v>0</v>
      </c>
      <c r="Z886" s="35">
        <f>T886-AA886-AB886</f>
        <v>16.939999999999998</v>
      </c>
      <c r="AA886" s="29">
        <f>IF(AD886="EUR",((T886-R886)*X886)*U886+(R886*X886),(T886*X886))</f>
        <v>5.0600000000000005</v>
      </c>
      <c r="AB886" s="36">
        <f>IF(AD886="EUR",((T886-R886)*Y886)*U886+(R886*Y886),(T886*Y886))</f>
        <v>0</v>
      </c>
      <c r="AC886" s="37" t="b">
        <v>1</v>
      </c>
      <c r="AD886" s="37" t="s">
        <v>38</v>
      </c>
      <c r="AE886" s="37" t="s">
        <v>38</v>
      </c>
      <c r="AF886" s="37" t="str">
        <f t="array" ref="AF886">INDEX('Deal Info'!D:D, MATCH(A886,'Deal Info'!A:A, 0))</f>
        <v>DoEVku</v>
      </c>
      <c r="AG886" s="38" t="str">
        <f t="array" ref="AG886">INDEX('Deal Info'!G:G, MATCH(A886,'Deal Info'!A:A, 0))</f>
        <v>Fix10</v>
      </c>
    </row>
    <row r="887" spans="1:33" ht="14.25" hidden="1" x14ac:dyDescent="0.2">
      <c r="A887" s="18" t="str">
        <f t="array" ref="A887">IF(G887='Room Info'!$B$1, INDEX('Room Info'!$A$2:$A2446, MATCH(B887,'Room Info'!$B$2:$B2446, 0)),IF(G887='Room Info'!$C$1, INDEX('Room Info'!$A$2:$A2446, MATCH(B887,'Room Info'!$C$2:$C2446, 0)),IF(G887='Room Info'!$D$1, INDEX('Room Info'!$A$2:$A2446, MATCH(B887,'Room Info'!$D$2:$D2446, 0)),IF(G887='Room Info'!$E$1, INDEX('Room Info'!$A$2:$A2446, MATCH(B887,'Room Info'!$E$2:$E2446, 0)),IF(G887='Room Info'!$F$1, INDEX('Room Info'!$A$2:$A2446, MATCH(B887,'Room Info'!$F$2:$F2446, 0)),IF(G887='Room Info'!$H$1, INDEX('Room Info'!$A$2:$A2446, MATCH(B887,'Room Info'!$H$2:$H2446, 0)),IF(G887='Room Info'!$G$1, INDEX('Room Info'!$A$2:$A2446, MATCH(B887,'Room Info'!$G$2:$G2446, 0)))))))))</f>
        <v>KuCoH</v>
      </c>
      <c r="B887" s="45" t="s">
        <v>178</v>
      </c>
      <c r="C887" s="46">
        <v>44794</v>
      </c>
      <c r="D887" s="46">
        <v>44824</v>
      </c>
      <c r="E887" s="47">
        <v>44805</v>
      </c>
      <c r="F887" s="48" t="s">
        <v>34</v>
      </c>
      <c r="G887" s="54" t="s">
        <v>35</v>
      </c>
      <c r="H887" s="49" t="s">
        <v>46</v>
      </c>
      <c r="I887" s="49" t="s">
        <v>37</v>
      </c>
      <c r="J887" s="50">
        <v>25</v>
      </c>
      <c r="K887" s="51">
        <v>205</v>
      </c>
      <c r="L887" s="52">
        <v>-275</v>
      </c>
      <c r="M887" s="53">
        <v>195</v>
      </c>
      <c r="N887" s="28">
        <f>K887*J887</f>
        <v>5125</v>
      </c>
      <c r="O887" s="54">
        <v>-4818</v>
      </c>
      <c r="P887" s="29">
        <v>-23.502439020000001</v>
      </c>
      <c r="Q887" s="55"/>
      <c r="R887" s="31">
        <f>M887+Q887</f>
        <v>195</v>
      </c>
      <c r="S887" s="56">
        <v>-547</v>
      </c>
      <c r="T887" s="32">
        <f>R887+S887+IF(F887="Without EV deal",L887,0)</f>
        <v>-352</v>
      </c>
      <c r="U887" s="57">
        <v>1</v>
      </c>
      <c r="V887" s="58"/>
      <c r="W887" s="58"/>
      <c r="X887" s="78">
        <v>0.23</v>
      </c>
      <c r="Y887" s="78">
        <v>0</v>
      </c>
      <c r="Z887" s="35">
        <f>T887-AA887-AB887</f>
        <v>-271.03999999999996</v>
      </c>
      <c r="AA887" s="29">
        <f>IF(AD887="EUR",((T887-R887)*X887)*U887+(R887*X887),(T887*X887))</f>
        <v>-80.960000000000008</v>
      </c>
      <c r="AB887" s="36">
        <f>IF(AD887="EUR",((T887-R887)*Y887)*U887+(R887*Y887),(T887*Y887))</f>
        <v>0</v>
      </c>
      <c r="AC887" s="37" t="b">
        <v>1</v>
      </c>
      <c r="AD887" s="37" t="s">
        <v>38</v>
      </c>
      <c r="AE887" s="37" t="s">
        <v>38</v>
      </c>
      <c r="AF887" s="37" t="str">
        <f t="array" ref="AF887">INDEX('Deal Info'!D:D, MATCH(A887,'Deal Info'!A:A, 0))</f>
        <v>DoEVku</v>
      </c>
      <c r="AG887" s="38" t="str">
        <f t="array" ref="AG887">INDEX('Deal Info'!G:G, MATCH(A887,'Deal Info'!A:A, 0))</f>
        <v>Fix10</v>
      </c>
    </row>
    <row r="888" spans="1:33" ht="14.25" hidden="1" x14ac:dyDescent="0.2">
      <c r="A888" s="18" t="str">
        <f t="array" ref="A888">IF(G888='Room Info'!$B$1, INDEX('Room Info'!$A$2:$A2446, MATCH(B888,'Room Info'!$B$2:$B2446, 0)),IF(G888='Room Info'!$C$1, INDEX('Room Info'!$A$2:$A2446, MATCH(B888,'Room Info'!$C$2:$C2446, 0)),IF(G888='Room Info'!$D$1, INDEX('Room Info'!$A$2:$A2446, MATCH(B888,'Room Info'!$D$2:$D2446, 0)),IF(G888='Room Info'!$E$1, INDEX('Room Info'!$A$2:$A2446, MATCH(B888,'Room Info'!$E$2:$E2446, 0)),IF(G888='Room Info'!$F$1, INDEX('Room Info'!$A$2:$A2446, MATCH(B888,'Room Info'!$F$2:$F2446, 0)),IF(G888='Room Info'!$H$1, INDEX('Room Info'!$A$2:$A2446, MATCH(B888,'Room Info'!$H$2:$H2446, 0)),IF(G888='Room Info'!$G$1, INDEX('Room Info'!$A$2:$A2446, MATCH(B888,'Room Info'!$G$2:$G2446, 0)))))))))</f>
        <v>KuCoH</v>
      </c>
      <c r="B888" s="45" t="s">
        <v>178</v>
      </c>
      <c r="C888" s="46">
        <v>44825</v>
      </c>
      <c r="D888" s="46">
        <v>44854</v>
      </c>
      <c r="E888" s="47">
        <v>44835</v>
      </c>
      <c r="F888" s="48" t="s">
        <v>34</v>
      </c>
      <c r="G888" s="54" t="s">
        <v>35</v>
      </c>
      <c r="H888" s="49" t="s">
        <v>40</v>
      </c>
      <c r="I888" s="49" t="s">
        <v>37</v>
      </c>
      <c r="J888" s="50">
        <v>10</v>
      </c>
      <c r="K888" s="51">
        <v>2319</v>
      </c>
      <c r="L888" s="52">
        <v>280</v>
      </c>
      <c r="M888" s="53">
        <v>955</v>
      </c>
      <c r="N888" s="28">
        <f>K888*J888</f>
        <v>23190</v>
      </c>
      <c r="O888" s="54">
        <v>134240</v>
      </c>
      <c r="P888" s="29">
        <v>57.887020270000001</v>
      </c>
      <c r="Q888" s="55"/>
      <c r="R888" s="31">
        <f>M888+Q888</f>
        <v>955</v>
      </c>
      <c r="S888" s="56">
        <v>749</v>
      </c>
      <c r="T888" s="32">
        <f>R888+S888+IF(F888="Without EV deal",L888,0)</f>
        <v>1704</v>
      </c>
      <c r="U888" s="57">
        <v>1</v>
      </c>
      <c r="V888" s="58"/>
      <c r="W888" s="58"/>
      <c r="X888" s="78">
        <v>0.17</v>
      </c>
      <c r="Y888" s="78">
        <v>0</v>
      </c>
      <c r="Z888" s="35">
        <f>T888-AA888-AB888</f>
        <v>1414.32</v>
      </c>
      <c r="AA888" s="29">
        <f>IF(AD888="EUR",((T888-R888)*X888)*U888+(R888*X888),(T888*X888))</f>
        <v>289.68</v>
      </c>
      <c r="AB888" s="36">
        <f>IF(AD888="EUR",((T888-R888)*Y888)*U888+(R888*Y888),(T888*Y888))</f>
        <v>0</v>
      </c>
      <c r="AC888" s="37" t="b">
        <v>1</v>
      </c>
      <c r="AD888" s="37" t="s">
        <v>38</v>
      </c>
      <c r="AE888" s="37" t="s">
        <v>38</v>
      </c>
      <c r="AF888" s="37" t="str">
        <f t="array" ref="AF888">INDEX('Deal Info'!D:D, MATCH(A888,'Deal Info'!A:A, 0))</f>
        <v>DoEVku</v>
      </c>
      <c r="AG888" s="38" t="str">
        <f t="array" ref="AG888">INDEX('Deal Info'!G:G, MATCH(A888,'Deal Info'!A:A, 0))</f>
        <v>Fix10</v>
      </c>
    </row>
    <row r="889" spans="1:33" ht="14.25" hidden="1" x14ac:dyDescent="0.2">
      <c r="A889" s="18" t="str">
        <f t="array" ref="A889">IF(G889='Room Info'!$B$1, INDEX('Room Info'!$A$2:$A2446, MATCH(B889,'Room Info'!$B$2:$B2446, 0)),IF(G889='Room Info'!$C$1, INDEX('Room Info'!$A$2:$A2446, MATCH(B889,'Room Info'!$C$2:$C2446, 0)),IF(G889='Room Info'!$D$1, INDEX('Room Info'!$A$2:$A2446, MATCH(B889,'Room Info'!$D$2:$D2446, 0)),IF(G889='Room Info'!$E$1, INDEX('Room Info'!$A$2:$A2446, MATCH(B889,'Room Info'!$E$2:$E2446, 0)),IF(G889='Room Info'!$F$1, INDEX('Room Info'!$A$2:$A2446, MATCH(B889,'Room Info'!$F$2:$F2446, 0)),IF(G889='Room Info'!$H$1, INDEX('Room Info'!$A$2:$A2446, MATCH(B889,'Room Info'!$H$2:$H2446, 0)),IF(G889='Room Info'!$G$1, INDEX('Room Info'!$A$2:$A2446, MATCH(B889,'Room Info'!$G$2:$G2446, 0)))))))))</f>
        <v>KuCoH</v>
      </c>
      <c r="B889" s="45" t="s">
        <v>178</v>
      </c>
      <c r="C889" s="46">
        <v>44825</v>
      </c>
      <c r="D889" s="46">
        <v>44854</v>
      </c>
      <c r="E889" s="47">
        <v>44835</v>
      </c>
      <c r="F889" s="48" t="s">
        <v>34</v>
      </c>
      <c r="G889" s="45" t="s">
        <v>35</v>
      </c>
      <c r="H889" s="49" t="s">
        <v>115</v>
      </c>
      <c r="I889" s="49" t="s">
        <v>44</v>
      </c>
      <c r="J889" s="50">
        <v>10</v>
      </c>
      <c r="K889" s="51">
        <v>1090</v>
      </c>
      <c r="L889" s="52">
        <v>-700</v>
      </c>
      <c r="M889" s="53">
        <v>449</v>
      </c>
      <c r="N889" s="28">
        <f>K889*J889</f>
        <v>10900</v>
      </c>
      <c r="O889" s="54">
        <v>21125</v>
      </c>
      <c r="P889" s="29">
        <v>19.380733939999999</v>
      </c>
      <c r="Q889" s="55"/>
      <c r="R889" s="31">
        <f>M889+Q889</f>
        <v>449</v>
      </c>
      <c r="S889" s="56">
        <v>-159</v>
      </c>
      <c r="T889" s="32">
        <f>R889+S889+IF(F889="Without EV deal",L889,0)</f>
        <v>290</v>
      </c>
      <c r="U889" s="57">
        <v>1</v>
      </c>
      <c r="V889" s="58"/>
      <c r="W889" s="58"/>
      <c r="X889" s="78">
        <v>0.17</v>
      </c>
      <c r="Y889" s="78">
        <v>0</v>
      </c>
      <c r="Z889" s="35">
        <f>T889-AA889-AB889</f>
        <v>240.7</v>
      </c>
      <c r="AA889" s="29">
        <f>IF(AD889="EUR",((T889-R889)*X889)*U889+(R889*X889),(T889*X889))</f>
        <v>49.300000000000004</v>
      </c>
      <c r="AB889" s="36">
        <f>IF(AD889="EUR",((T889-R889)*Y889)*U889+(R889*Y889),(T889*Y889))</f>
        <v>0</v>
      </c>
      <c r="AC889" s="37" t="b">
        <v>1</v>
      </c>
      <c r="AD889" s="37" t="s">
        <v>38</v>
      </c>
      <c r="AE889" s="37" t="s">
        <v>38</v>
      </c>
      <c r="AF889" s="37" t="str">
        <f t="array" ref="AF889">INDEX('Deal Info'!D:D, MATCH(A889,'Deal Info'!A:A, 0))</f>
        <v>DoEVku</v>
      </c>
      <c r="AG889" s="38" t="str">
        <f t="array" ref="AG889">INDEX('Deal Info'!G:G, MATCH(A889,'Deal Info'!A:A, 0))</f>
        <v>Fix10</v>
      </c>
    </row>
    <row r="890" spans="1:33" ht="14.25" hidden="1" x14ac:dyDescent="0.2">
      <c r="A890" s="18" t="str">
        <f t="array" ref="A890">IF(G890='Room Info'!$B$1, INDEX('Room Info'!$A$2:$A2446, MATCH(B890,'Room Info'!$B$2:$B2446, 0)),IF(G890='Room Info'!$C$1, INDEX('Room Info'!$A$2:$A2446, MATCH(B890,'Room Info'!$C$2:$C2446, 0)),IF(G890='Room Info'!$D$1, INDEX('Room Info'!$A$2:$A2446, MATCH(B890,'Room Info'!$D$2:$D2446, 0)),IF(G890='Room Info'!$E$1, INDEX('Room Info'!$A$2:$A2446, MATCH(B890,'Room Info'!$E$2:$E2446, 0)),IF(G890='Room Info'!$F$1, INDEX('Room Info'!$A$2:$A2446, MATCH(B890,'Room Info'!$F$2:$F2446, 0)),IF(G890='Room Info'!$H$1, INDEX('Room Info'!$A$2:$A2446, MATCH(B890,'Room Info'!$H$2:$H2446, 0)),IF(G890='Room Info'!$G$1, INDEX('Room Info'!$A$2:$A2446, MATCH(B890,'Room Info'!$G$2:$G2446, 0)))))))))</f>
        <v>KuCoH</v>
      </c>
      <c r="B890" s="45" t="s">
        <v>178</v>
      </c>
      <c r="C890" s="46">
        <v>44855</v>
      </c>
      <c r="D890" s="46">
        <v>44869</v>
      </c>
      <c r="E890" s="47">
        <v>44866</v>
      </c>
      <c r="F890" s="48" t="s">
        <v>34</v>
      </c>
      <c r="G890" s="45" t="s">
        <v>35</v>
      </c>
      <c r="H890" s="49" t="s">
        <v>42</v>
      </c>
      <c r="I890" s="49" t="s">
        <v>37</v>
      </c>
      <c r="J890" s="50">
        <v>1</v>
      </c>
      <c r="K890" s="51">
        <v>20</v>
      </c>
      <c r="L890" s="52">
        <v>-3</v>
      </c>
      <c r="M890" s="53">
        <v>1</v>
      </c>
      <c r="N890" s="28">
        <f>K890*J890</f>
        <v>20</v>
      </c>
      <c r="O890" s="54">
        <v>1018</v>
      </c>
      <c r="P890" s="29">
        <v>50.9</v>
      </c>
      <c r="Q890" s="55"/>
      <c r="R890" s="31">
        <f>M890+Q890</f>
        <v>1</v>
      </c>
      <c r="S890" s="56">
        <v>0</v>
      </c>
      <c r="T890" s="32">
        <f>R890+S890+IF(F890="Without EV deal",L890,0)</f>
        <v>1</v>
      </c>
      <c r="U890" s="57">
        <v>1</v>
      </c>
      <c r="V890" s="58"/>
      <c r="W890" s="58"/>
      <c r="X890" s="78">
        <v>0.2</v>
      </c>
      <c r="Y890" s="78">
        <v>0</v>
      </c>
      <c r="Z890" s="35">
        <f>T890-AA890-AB890</f>
        <v>0.8</v>
      </c>
      <c r="AA890" s="29">
        <f>IF(AD890="EUR",((T890-R890)*X890)*U890+(R890*X890),(T890*X890))</f>
        <v>0.2</v>
      </c>
      <c r="AB890" s="36">
        <f>IF(AD890="EUR",((T890-R890)*Y890)*U890+(R890*Y890),(T890*Y890))</f>
        <v>0</v>
      </c>
      <c r="AC890" s="37" t="b">
        <v>1</v>
      </c>
      <c r="AD890" s="37" t="s">
        <v>38</v>
      </c>
      <c r="AE890" s="37" t="s">
        <v>38</v>
      </c>
      <c r="AF890" s="37" t="str">
        <f t="array" ref="AF890">INDEX('Deal Info'!D:D, MATCH(A890,'Deal Info'!A:A, 0))</f>
        <v>DoEVku</v>
      </c>
      <c r="AG890" s="38" t="str">
        <f t="array" ref="AG890">INDEX('Deal Info'!G:G, MATCH(A890,'Deal Info'!A:A, 0))</f>
        <v>Fix10</v>
      </c>
    </row>
    <row r="891" spans="1:33" ht="14.25" hidden="1" x14ac:dyDescent="0.2">
      <c r="A891" s="18" t="str">
        <f t="array" ref="A891">IF(G891='Room Info'!$B$1, INDEX('Room Info'!$A$2:$A2446, MATCH(B891,'Room Info'!$B$2:$B2446, 0)),IF(G891='Room Info'!$C$1, INDEX('Room Info'!$A$2:$A2446, MATCH(B891,'Room Info'!$C$2:$C2446, 0)),IF(G891='Room Info'!$D$1, INDEX('Room Info'!$A$2:$A2446, MATCH(B891,'Room Info'!$D$2:$D2446, 0)),IF(G891='Room Info'!$E$1, INDEX('Room Info'!$A$2:$A2446, MATCH(B891,'Room Info'!$E$2:$E2446, 0)),IF(G891='Room Info'!$F$1, INDEX('Room Info'!$A$2:$A2446, MATCH(B891,'Room Info'!$F$2:$F2446, 0)),IF(G891='Room Info'!$H$1, INDEX('Room Info'!$A$2:$A2446, MATCH(B891,'Room Info'!$H$2:$H2446, 0)),IF(G891='Room Info'!$G$1, INDEX('Room Info'!$A$2:$A2446, MATCH(B891,'Room Info'!$G$2:$G2446, 0)))))))))</f>
        <v>KuCoH</v>
      </c>
      <c r="B891" s="45" t="s">
        <v>178</v>
      </c>
      <c r="C891" s="46">
        <v>44855</v>
      </c>
      <c r="D891" s="46">
        <v>44869</v>
      </c>
      <c r="E891" s="47">
        <v>44866</v>
      </c>
      <c r="F891" s="48" t="s">
        <v>34</v>
      </c>
      <c r="G891" s="45" t="s">
        <v>35</v>
      </c>
      <c r="H891" s="49" t="s">
        <v>47</v>
      </c>
      <c r="I891" s="49" t="s">
        <v>44</v>
      </c>
      <c r="J891" s="50">
        <v>1</v>
      </c>
      <c r="K891" s="51">
        <v>17</v>
      </c>
      <c r="L891" s="52">
        <v>-5</v>
      </c>
      <c r="M891" s="53">
        <v>1</v>
      </c>
      <c r="N891" s="28">
        <f>K891*J891</f>
        <v>17</v>
      </c>
      <c r="O891" s="54">
        <v>336</v>
      </c>
      <c r="P891" s="29">
        <v>19.764705880000001</v>
      </c>
      <c r="Q891" s="55"/>
      <c r="R891" s="31">
        <f>M891+Q891</f>
        <v>1</v>
      </c>
      <c r="S891" s="56">
        <v>0</v>
      </c>
      <c r="T891" s="32">
        <f>R891+S891+IF(F891="Without EV deal",L891,0)</f>
        <v>1</v>
      </c>
      <c r="U891" s="57">
        <v>1</v>
      </c>
      <c r="V891" s="58"/>
      <c r="W891" s="58"/>
      <c r="X891" s="78">
        <v>0.2</v>
      </c>
      <c r="Y891" s="78">
        <v>0</v>
      </c>
      <c r="Z891" s="35">
        <f>T891-AA891-AB891</f>
        <v>0.8</v>
      </c>
      <c r="AA891" s="29">
        <f>IF(AD891="EUR",((T891-R891)*X891)*U891+(R891*X891),(T891*X891))</f>
        <v>0.2</v>
      </c>
      <c r="AB891" s="36">
        <f>IF(AD891="EUR",((T891-R891)*Y891)*U891+(R891*Y891),(T891*Y891))</f>
        <v>0</v>
      </c>
      <c r="AC891" s="37" t="b">
        <v>1</v>
      </c>
      <c r="AD891" s="37" t="s">
        <v>38</v>
      </c>
      <c r="AE891" s="37" t="s">
        <v>38</v>
      </c>
      <c r="AF891" s="37" t="str">
        <f t="array" ref="AF891">INDEX('Deal Info'!D:D, MATCH(A891,'Deal Info'!A:A, 0))</f>
        <v>DoEVku</v>
      </c>
      <c r="AG891" s="38" t="str">
        <f t="array" ref="AG891">INDEX('Deal Info'!G:G, MATCH(A891,'Deal Info'!A:A, 0))</f>
        <v>Fix10</v>
      </c>
    </row>
    <row r="892" spans="1:33" ht="14.25" hidden="1" x14ac:dyDescent="0.2">
      <c r="A892" s="18" t="str">
        <f t="array" ref="A892">IF(G892='Room Info'!$B$1, INDEX('Room Info'!$A$2:$A2446, MATCH(B892,'Room Info'!$B$2:$B2446, 0)),IF(G892='Room Info'!$C$1, INDEX('Room Info'!$A$2:$A2446, MATCH(B892,'Room Info'!$C$2:$C2446, 0)),IF(G892='Room Info'!$D$1, INDEX('Room Info'!$A$2:$A2446, MATCH(B892,'Room Info'!$D$2:$D2446, 0)),IF(G892='Room Info'!$E$1, INDEX('Room Info'!$A$2:$A2446, MATCH(B892,'Room Info'!$E$2:$E2446, 0)),IF(G892='Room Info'!$F$1, INDEX('Room Info'!$A$2:$A2446, MATCH(B892,'Room Info'!$F$2:$F2446, 0)),IF(G892='Room Info'!$H$1, INDEX('Room Info'!$A$2:$A2446, MATCH(B892,'Room Info'!$H$2:$H2446, 0)),IF(G892='Room Info'!$G$1, INDEX('Room Info'!$A$2:$A2446, MATCH(B892,'Room Info'!$G$2:$G2446, 0)))))))))</f>
        <v>KuCoH</v>
      </c>
      <c r="B892" s="45" t="s">
        <v>178</v>
      </c>
      <c r="C892" s="46">
        <v>44855</v>
      </c>
      <c r="D892" s="46">
        <v>44869</v>
      </c>
      <c r="E892" s="47">
        <v>44866</v>
      </c>
      <c r="F892" s="48" t="s">
        <v>34</v>
      </c>
      <c r="G892" s="45" t="s">
        <v>35</v>
      </c>
      <c r="H892" s="49" t="s">
        <v>90</v>
      </c>
      <c r="I892" s="49" t="s">
        <v>44</v>
      </c>
      <c r="J892" s="50">
        <v>5</v>
      </c>
      <c r="K892" s="51">
        <v>44</v>
      </c>
      <c r="L892" s="52">
        <v>-10</v>
      </c>
      <c r="M892" s="53">
        <v>16</v>
      </c>
      <c r="N892" s="28">
        <f>K892*J892</f>
        <v>220</v>
      </c>
      <c r="O892" s="54">
        <v>660</v>
      </c>
      <c r="P892" s="29">
        <v>15</v>
      </c>
      <c r="Q892" s="55"/>
      <c r="R892" s="31">
        <f>M892+Q892</f>
        <v>16</v>
      </c>
      <c r="S892" s="56">
        <v>-10</v>
      </c>
      <c r="T892" s="32">
        <f>R892+S892+IF(F892="Without EV deal",L892,0)</f>
        <v>6</v>
      </c>
      <c r="U892" s="57">
        <v>1</v>
      </c>
      <c r="V892" s="58"/>
      <c r="W892" s="58"/>
      <c r="X892" s="78">
        <v>0.2</v>
      </c>
      <c r="Y892" s="78">
        <v>0</v>
      </c>
      <c r="Z892" s="35">
        <f>T892-AA892-AB892</f>
        <v>4.8</v>
      </c>
      <c r="AA892" s="29">
        <f>IF(AD892="EUR",((T892-R892)*X892)*U892+(R892*X892),(T892*X892))</f>
        <v>1.2000000000000002</v>
      </c>
      <c r="AB892" s="36">
        <f>IF(AD892="EUR",((T892-R892)*Y892)*U892+(R892*Y892),(T892*Y892))</f>
        <v>0</v>
      </c>
      <c r="AC892" s="37" t="b">
        <v>1</v>
      </c>
      <c r="AD892" s="37" t="s">
        <v>38</v>
      </c>
      <c r="AE892" s="37" t="s">
        <v>38</v>
      </c>
      <c r="AF892" s="37" t="str">
        <f t="array" ref="AF892">INDEX('Deal Info'!D:D, MATCH(A892,'Deal Info'!A:A, 0))</f>
        <v>DoEVku</v>
      </c>
      <c r="AG892" s="38" t="str">
        <f t="array" ref="AG892">INDEX('Deal Info'!G:G, MATCH(A892,'Deal Info'!A:A, 0))</f>
        <v>Fix10</v>
      </c>
    </row>
    <row r="893" spans="1:33" ht="14.25" hidden="1" x14ac:dyDescent="0.2">
      <c r="A893" s="18" t="str">
        <f t="array" ref="A893">IF(G893='Room Info'!$B$1, INDEX('Room Info'!$A$2:$A2446, MATCH(B893,'Room Info'!$B$2:$B2446, 0)),IF(G893='Room Info'!$C$1, INDEX('Room Info'!$A$2:$A2446, MATCH(B893,'Room Info'!$C$2:$C2446, 0)),IF(G893='Room Info'!$D$1, INDEX('Room Info'!$A$2:$A2446, MATCH(B893,'Room Info'!$D$2:$D2446, 0)),IF(G893='Room Info'!$E$1, INDEX('Room Info'!$A$2:$A2446, MATCH(B893,'Room Info'!$E$2:$E2446, 0)),IF(G893='Room Info'!$F$1, INDEX('Room Info'!$A$2:$A2446, MATCH(B893,'Room Info'!$F$2:$F2446, 0)),IF(G893='Room Info'!$H$1, INDEX('Room Info'!$A$2:$A2446, MATCH(B893,'Room Info'!$H$2:$H2446, 0)),IF(G893='Room Info'!$G$1, INDEX('Room Info'!$A$2:$A2446, MATCH(B893,'Room Info'!$G$2:$G2446, 0)))))))))</f>
        <v>KuCoH</v>
      </c>
      <c r="B893" s="45" t="s">
        <v>178</v>
      </c>
      <c r="C893" s="46">
        <v>44855</v>
      </c>
      <c r="D893" s="46">
        <v>44869</v>
      </c>
      <c r="E893" s="47">
        <v>44866</v>
      </c>
      <c r="F893" s="48" t="s">
        <v>34</v>
      </c>
      <c r="G893" s="45" t="s">
        <v>35</v>
      </c>
      <c r="H893" s="49" t="s">
        <v>40</v>
      </c>
      <c r="I893" s="49" t="s">
        <v>37</v>
      </c>
      <c r="J893" s="50">
        <v>10</v>
      </c>
      <c r="K893" s="51">
        <v>687</v>
      </c>
      <c r="L893" s="52">
        <v>60</v>
      </c>
      <c r="M893" s="53">
        <v>446</v>
      </c>
      <c r="N893" s="28">
        <f>K893*J893</f>
        <v>6870</v>
      </c>
      <c r="O893" s="54">
        <v>36411</v>
      </c>
      <c r="P893" s="29">
        <v>53</v>
      </c>
      <c r="Q893" s="55"/>
      <c r="R893" s="31">
        <f>M893+Q893</f>
        <v>446</v>
      </c>
      <c r="S893" s="56">
        <v>149</v>
      </c>
      <c r="T893" s="32">
        <f>R893+S893+IF(F893="Without EV deal",L893,0)</f>
        <v>595</v>
      </c>
      <c r="U893" s="57">
        <v>1</v>
      </c>
      <c r="V893" s="58"/>
      <c r="W893" s="58"/>
      <c r="X893" s="78">
        <v>0.2</v>
      </c>
      <c r="Y893" s="78">
        <v>0</v>
      </c>
      <c r="Z893" s="35">
        <f>T893-AA893-AB893</f>
        <v>476</v>
      </c>
      <c r="AA893" s="29">
        <f>IF(AD893="EUR",((T893-R893)*X893)*U893+(R893*X893),(T893*X893))</f>
        <v>119</v>
      </c>
      <c r="AB893" s="36">
        <f>IF(AD893="EUR",((T893-R893)*Y893)*U893+(R893*Y893),(T893*Y893))</f>
        <v>0</v>
      </c>
      <c r="AC893" s="37" t="b">
        <v>1</v>
      </c>
      <c r="AD893" s="37" t="s">
        <v>38</v>
      </c>
      <c r="AE893" s="37" t="s">
        <v>38</v>
      </c>
      <c r="AF893" s="37" t="str">
        <f t="array" ref="AF893">INDEX('Deal Info'!D:D, MATCH(A893,'Deal Info'!A:A, 0))</f>
        <v>DoEVku</v>
      </c>
      <c r="AG893" s="38" t="str">
        <f t="array" ref="AG893">INDEX('Deal Info'!G:G, MATCH(A893,'Deal Info'!A:A, 0))</f>
        <v>Fix10</v>
      </c>
    </row>
    <row r="894" spans="1:33" ht="14.25" hidden="1" x14ac:dyDescent="0.2">
      <c r="A894" s="18" t="str">
        <f t="array" ref="A894">IF(G894='Room Info'!$B$1, INDEX('Room Info'!$A$2:$A2446, MATCH(B894,'Room Info'!$B$2:$B2446, 0)),IF(G894='Room Info'!$C$1, INDEX('Room Info'!$A$2:$A2446, MATCH(B894,'Room Info'!$C$2:$C2446, 0)),IF(G894='Room Info'!$D$1, INDEX('Room Info'!$A$2:$A2446, MATCH(B894,'Room Info'!$D$2:$D2446, 0)),IF(G894='Room Info'!$E$1, INDEX('Room Info'!$A$2:$A2446, MATCH(B894,'Room Info'!$E$2:$E2446, 0)),IF(G894='Room Info'!$F$1, INDEX('Room Info'!$A$2:$A2446, MATCH(B894,'Room Info'!$F$2:$F2446, 0)),IF(G894='Room Info'!$H$1, INDEX('Room Info'!$A$2:$A2446, MATCH(B894,'Room Info'!$H$2:$H2446, 0)),IF(G894='Room Info'!$G$1, INDEX('Room Info'!$A$2:$A2446, MATCH(B894,'Room Info'!$G$2:$G2446, 0)))))))))</f>
        <v>KuCoH</v>
      </c>
      <c r="B894" s="45" t="s">
        <v>178</v>
      </c>
      <c r="C894" s="46">
        <v>44855</v>
      </c>
      <c r="D894" s="46">
        <v>44869</v>
      </c>
      <c r="E894" s="47">
        <v>44866</v>
      </c>
      <c r="F894" s="48" t="s">
        <v>34</v>
      </c>
      <c r="G894" s="45" t="s">
        <v>35</v>
      </c>
      <c r="H894" s="49" t="s">
        <v>115</v>
      </c>
      <c r="I894" s="49" t="s">
        <v>44</v>
      </c>
      <c r="J894" s="50">
        <v>10</v>
      </c>
      <c r="K894" s="51">
        <v>1095</v>
      </c>
      <c r="L894" s="52">
        <v>-570</v>
      </c>
      <c r="M894" s="53">
        <v>711</v>
      </c>
      <c r="N894" s="28">
        <f>K894*J894</f>
        <v>10950</v>
      </c>
      <c r="O894" s="54">
        <v>10950</v>
      </c>
      <c r="P894" s="29">
        <v>10</v>
      </c>
      <c r="Q894" s="55"/>
      <c r="R894" s="31">
        <f>M894+Q894</f>
        <v>711</v>
      </c>
      <c r="S894" s="56">
        <v>-492</v>
      </c>
      <c r="T894" s="32">
        <f>R894+S894+IF(F894="Without EV deal",L894,0)</f>
        <v>219</v>
      </c>
      <c r="U894" s="57">
        <v>1</v>
      </c>
      <c r="V894" s="58"/>
      <c r="W894" s="58"/>
      <c r="X894" s="78">
        <v>0.2</v>
      </c>
      <c r="Y894" s="78">
        <v>0</v>
      </c>
      <c r="Z894" s="35">
        <f>T894-AA894-AB894</f>
        <v>175.2</v>
      </c>
      <c r="AA894" s="29">
        <f>IF(AD894="EUR",((T894-R894)*X894)*U894+(R894*X894),(T894*X894))</f>
        <v>43.800000000000004</v>
      </c>
      <c r="AB894" s="36">
        <f>IF(AD894="EUR",((T894-R894)*Y894)*U894+(R894*Y894),(T894*Y894))</f>
        <v>0</v>
      </c>
      <c r="AC894" s="37" t="b">
        <v>1</v>
      </c>
      <c r="AD894" s="37" t="s">
        <v>38</v>
      </c>
      <c r="AE894" s="37" t="s">
        <v>38</v>
      </c>
      <c r="AF894" s="37" t="str">
        <f t="array" ref="AF894">INDEX('Deal Info'!D:D, MATCH(A894,'Deal Info'!A:A, 0))</f>
        <v>DoEVku</v>
      </c>
      <c r="AG894" s="38" t="str">
        <f t="array" ref="AG894">INDEX('Deal Info'!G:G, MATCH(A894,'Deal Info'!A:A, 0))</f>
        <v>Fix10</v>
      </c>
    </row>
    <row r="895" spans="1:33" ht="14.25" hidden="1" x14ac:dyDescent="0.2">
      <c r="A895" s="18" t="str">
        <f t="array" ref="A895">IF(G895='Room Info'!$B$1, INDEX('Room Info'!$A$2:$A2446, MATCH(B895,'Room Info'!$B$2:$B2446, 0)),IF(G895='Room Info'!$C$1, INDEX('Room Info'!$A$2:$A2446, MATCH(B895,'Room Info'!$C$2:$C2446, 0)),IF(G895='Room Info'!$D$1, INDEX('Room Info'!$A$2:$A2446, MATCH(B895,'Room Info'!$D$2:$D2446, 0)),IF(G895='Room Info'!$E$1, INDEX('Room Info'!$A$2:$A2446, MATCH(B895,'Room Info'!$E$2:$E2446, 0)),IF(G895='Room Info'!$F$1, INDEX('Room Info'!$A$2:$A2446, MATCH(B895,'Room Info'!$F$2:$F2446, 0)),IF(G895='Room Info'!$H$1, INDEX('Room Info'!$A$2:$A2446, MATCH(B895,'Room Info'!$H$2:$H2446, 0)),IF(G895='Room Info'!$G$1, INDEX('Room Info'!$A$2:$A2446, MATCH(B895,'Room Info'!$G$2:$G2446, 0)))))))))</f>
        <v>KuCoH</v>
      </c>
      <c r="B895" s="45" t="s">
        <v>178</v>
      </c>
      <c r="C895" s="46">
        <v>44855</v>
      </c>
      <c r="D895" s="46">
        <v>44869</v>
      </c>
      <c r="E895" s="47">
        <v>44866</v>
      </c>
      <c r="F895" s="48" t="s">
        <v>34</v>
      </c>
      <c r="G895" s="45" t="s">
        <v>35</v>
      </c>
      <c r="H895" s="49" t="s">
        <v>46</v>
      </c>
      <c r="I895" s="49" t="s">
        <v>37</v>
      </c>
      <c r="J895" s="50">
        <v>25</v>
      </c>
      <c r="K895" s="51">
        <v>36</v>
      </c>
      <c r="L895" s="52">
        <v>-175</v>
      </c>
      <c r="M895" s="53">
        <v>50</v>
      </c>
      <c r="N895" s="28">
        <f>K895*J895</f>
        <v>900</v>
      </c>
      <c r="O895" s="54">
        <v>-1260</v>
      </c>
      <c r="P895" s="29">
        <v>-35</v>
      </c>
      <c r="Q895" s="55"/>
      <c r="R895" s="31">
        <f>M895+Q895</f>
        <v>50</v>
      </c>
      <c r="S895" s="56">
        <v>-117</v>
      </c>
      <c r="T895" s="32">
        <f>R895+S895+IF(F895="Without EV deal",L895,0)</f>
        <v>-67</v>
      </c>
      <c r="U895" s="57">
        <v>1</v>
      </c>
      <c r="V895" s="58"/>
      <c r="W895" s="58"/>
      <c r="X895" s="78">
        <v>0.2</v>
      </c>
      <c r="Y895" s="78">
        <v>0</v>
      </c>
      <c r="Z895" s="35">
        <f>T895-AA895-AB895</f>
        <v>-53.6</v>
      </c>
      <c r="AA895" s="29">
        <f>IF(AD895="EUR",((T895-R895)*X895)*U895+(R895*X895),(T895*X895))</f>
        <v>-13.4</v>
      </c>
      <c r="AB895" s="36">
        <f>IF(AD895="EUR",((T895-R895)*Y895)*U895+(R895*Y895),(T895*Y895))</f>
        <v>0</v>
      </c>
      <c r="AC895" s="37" t="b">
        <v>1</v>
      </c>
      <c r="AD895" s="37" t="s">
        <v>38</v>
      </c>
      <c r="AE895" s="37" t="s">
        <v>38</v>
      </c>
      <c r="AF895" s="37" t="str">
        <f t="array" ref="AF895">INDEX('Deal Info'!D:D, MATCH(A895,'Deal Info'!A:A, 0))</f>
        <v>DoEVku</v>
      </c>
      <c r="AG895" s="38" t="str">
        <f t="array" ref="AG895">INDEX('Deal Info'!G:G, MATCH(A895,'Deal Info'!A:A, 0))</f>
        <v>Fix10</v>
      </c>
    </row>
    <row r="896" spans="1:33" ht="14.25" hidden="1" x14ac:dyDescent="0.2">
      <c r="A896" s="18" t="str">
        <f t="array" ref="A896">IF(G896='Room Info'!$B$1, INDEX('Room Info'!$A$2:$A2446, MATCH(B896,'Room Info'!$B$2:$B2446, 0)),IF(G896='Room Info'!$C$1, INDEX('Room Info'!$A$2:$A2446, MATCH(B896,'Room Info'!$C$2:$C2446, 0)),IF(G896='Room Info'!$D$1, INDEX('Room Info'!$A$2:$A2446, MATCH(B896,'Room Info'!$D$2:$D2446, 0)),IF(G896='Room Info'!$E$1, INDEX('Room Info'!$A$2:$A2446, MATCH(B896,'Room Info'!$E$2:$E2446, 0)),IF(G896='Room Info'!$F$1, INDEX('Room Info'!$A$2:$A2446, MATCH(B896,'Room Info'!$F$2:$F2446, 0)),IF(G896='Room Info'!$H$1, INDEX('Room Info'!$A$2:$A2446, MATCH(B896,'Room Info'!$H$2:$H2446, 0)),IF(G896='Room Info'!$G$1, INDEX('Room Info'!$A$2:$A2446, MATCH(B896,'Room Info'!$G$2:$G2446, 0)))))))))</f>
        <v>KuCoH</v>
      </c>
      <c r="B896" s="45" t="s">
        <v>178</v>
      </c>
      <c r="C896" s="46">
        <v>44870</v>
      </c>
      <c r="D896" s="46">
        <v>44885</v>
      </c>
      <c r="E896" s="47">
        <v>44866</v>
      </c>
      <c r="F896" s="48" t="s">
        <v>34</v>
      </c>
      <c r="G896" s="45" t="s">
        <v>35</v>
      </c>
      <c r="H896" s="49" t="s">
        <v>36</v>
      </c>
      <c r="I896" s="49" t="s">
        <v>37</v>
      </c>
      <c r="J896" s="50">
        <v>2</v>
      </c>
      <c r="K896" s="51">
        <v>28</v>
      </c>
      <c r="L896" s="52">
        <v>-8</v>
      </c>
      <c r="M896" s="53">
        <v>3</v>
      </c>
      <c r="N896" s="28">
        <f>K896*J896</f>
        <v>56</v>
      </c>
      <c r="O896" s="54">
        <v>2041</v>
      </c>
      <c r="P896" s="29">
        <v>72.892857140000004</v>
      </c>
      <c r="Q896" s="55"/>
      <c r="R896" s="31">
        <f>M896+Q896</f>
        <v>3</v>
      </c>
      <c r="S896" s="56">
        <v>3</v>
      </c>
      <c r="T896" s="32">
        <f>R896+S896+IF(F896="Without EV deal",L896,0)</f>
        <v>6</v>
      </c>
      <c r="U896" s="57">
        <v>1</v>
      </c>
      <c r="V896" s="58"/>
      <c r="W896" s="58"/>
      <c r="X896" s="78">
        <v>0.2</v>
      </c>
      <c r="Y896" s="30">
        <f>IF(AG896="None",0,IF(AG896="Fix5",0.05, IF(AG896="Fix6.25",0.0625,IF(AG896="Fix3.75",0.0375,IF(AG896="Fix10",0.1,IF(AG896="Fix3",0.03,0))))))</f>
        <v>0.1</v>
      </c>
      <c r="Z896" s="35">
        <f>T896-AA896-AB896</f>
        <v>4.1999999999999993</v>
      </c>
      <c r="AA896" s="29">
        <f>IF(AD896="EUR",((T896-R896)*X896)*U896+(R896*X896),(T896*X896))</f>
        <v>1.2000000000000002</v>
      </c>
      <c r="AB896" s="36">
        <f>IF(AD896="EUR",((T896-R896)*Y896)*U896+(R896*Y896),(T896*Y896))</f>
        <v>0.60000000000000009</v>
      </c>
      <c r="AC896" s="37" t="b">
        <v>1</v>
      </c>
      <c r="AD896" s="37" t="s">
        <v>38</v>
      </c>
      <c r="AE896" s="37" t="s">
        <v>38</v>
      </c>
      <c r="AF896" s="37" t="str">
        <f t="array" ref="AF896">INDEX('Deal Info'!D:D, MATCH(A896,'Deal Info'!A:A, 0))</f>
        <v>DoEVku</v>
      </c>
      <c r="AG896" s="38" t="str">
        <f t="array" ref="AG896">INDEX('Deal Info'!G:G, MATCH(A896,'Deal Info'!A:A, 0))</f>
        <v>Fix10</v>
      </c>
    </row>
    <row r="897" spans="1:33" ht="14.25" hidden="1" x14ac:dyDescent="0.2">
      <c r="A897" s="18" t="str">
        <f t="array" ref="A897">IF(G897='Room Info'!$B$1, INDEX('Room Info'!$A$2:$A2446, MATCH(B897,'Room Info'!$B$2:$B2446, 0)),IF(G897='Room Info'!$C$1, INDEX('Room Info'!$A$2:$A2446, MATCH(B897,'Room Info'!$C$2:$C2446, 0)),IF(G897='Room Info'!$D$1, INDEX('Room Info'!$A$2:$A2446, MATCH(B897,'Room Info'!$D$2:$D2446, 0)),IF(G897='Room Info'!$E$1, INDEX('Room Info'!$A$2:$A2446, MATCH(B897,'Room Info'!$E$2:$E2446, 0)),IF(G897='Room Info'!$F$1, INDEX('Room Info'!$A$2:$A2446, MATCH(B897,'Room Info'!$F$2:$F2446, 0)),IF(G897='Room Info'!$H$1, INDEX('Room Info'!$A$2:$A2446, MATCH(B897,'Room Info'!$H$2:$H2446, 0)),IF(G897='Room Info'!$G$1, INDEX('Room Info'!$A$2:$A2446, MATCH(B897,'Room Info'!$G$2:$G2446, 0)))))))))</f>
        <v>KuCoH</v>
      </c>
      <c r="B897" s="45" t="s">
        <v>178</v>
      </c>
      <c r="C897" s="46">
        <v>44870</v>
      </c>
      <c r="D897" s="46">
        <v>44885</v>
      </c>
      <c r="E897" s="47">
        <v>44866</v>
      </c>
      <c r="F897" s="48" t="s">
        <v>34</v>
      </c>
      <c r="G897" s="45" t="s">
        <v>35</v>
      </c>
      <c r="H897" s="49" t="s">
        <v>39</v>
      </c>
      <c r="I897" s="49" t="s">
        <v>37</v>
      </c>
      <c r="J897" s="50">
        <v>5</v>
      </c>
      <c r="K897" s="51">
        <v>1</v>
      </c>
      <c r="L897" s="52">
        <v>-5</v>
      </c>
      <c r="M897" s="53">
        <v>0</v>
      </c>
      <c r="N897" s="28">
        <f>K897*J897</f>
        <v>5</v>
      </c>
      <c r="O897" s="54">
        <v>56</v>
      </c>
      <c r="P897" s="29">
        <v>56</v>
      </c>
      <c r="Q897" s="55"/>
      <c r="R897" s="31">
        <f>M897+Q897</f>
        <v>0</v>
      </c>
      <c r="S897" s="56">
        <v>0</v>
      </c>
      <c r="T897" s="32">
        <f>R897+S897+IF(F897="Without EV deal",L897,0)</f>
        <v>0</v>
      </c>
      <c r="U897" s="57">
        <v>1</v>
      </c>
      <c r="V897" s="58"/>
      <c r="W897" s="58"/>
      <c r="X897" s="78">
        <v>0.2</v>
      </c>
      <c r="Y897" s="30">
        <f>IF(AG897="None",0,IF(AG897="Fix5",0.05, IF(AG897="Fix6.25",0.0625,IF(AG897="Fix3.75",0.0375,IF(AG897="Fix10",0.1,IF(AG897="Fix3",0.03,0))))))</f>
        <v>0.1</v>
      </c>
      <c r="Z897" s="35">
        <f>T897-AA897-AB897</f>
        <v>0</v>
      </c>
      <c r="AA897" s="29">
        <f>IF(AD897="EUR",((T897-R897)*X897)*U897+(R897*X897),(T897*X897))</f>
        <v>0</v>
      </c>
      <c r="AB897" s="36">
        <f>IF(AD897="EUR",((T897-R897)*Y897)*U897+(R897*Y897),(T897*Y897))</f>
        <v>0</v>
      </c>
      <c r="AC897" s="37" t="b">
        <v>1</v>
      </c>
      <c r="AD897" s="37" t="s">
        <v>38</v>
      </c>
      <c r="AE897" s="37" t="s">
        <v>38</v>
      </c>
      <c r="AF897" s="37" t="str">
        <f t="array" ref="AF897">INDEX('Deal Info'!D:D, MATCH(A897,'Deal Info'!A:A, 0))</f>
        <v>DoEVku</v>
      </c>
      <c r="AG897" s="38" t="str">
        <f t="array" ref="AG897">INDEX('Deal Info'!G:G, MATCH(A897,'Deal Info'!A:A, 0))</f>
        <v>Fix10</v>
      </c>
    </row>
    <row r="898" spans="1:33" ht="14.25" hidden="1" x14ac:dyDescent="0.2">
      <c r="A898" s="18" t="str">
        <f t="array" ref="A898">IF(G898='Room Info'!$B$1, INDEX('Room Info'!$A$2:$A2446, MATCH(B898,'Room Info'!$B$2:$B2446, 0)),IF(G898='Room Info'!$C$1, INDEX('Room Info'!$A$2:$A2446, MATCH(B898,'Room Info'!$C$2:$C2446, 0)),IF(G898='Room Info'!$D$1, INDEX('Room Info'!$A$2:$A2446, MATCH(B898,'Room Info'!$D$2:$D2446, 0)),IF(G898='Room Info'!$E$1, INDEX('Room Info'!$A$2:$A2446, MATCH(B898,'Room Info'!$E$2:$E2446, 0)),IF(G898='Room Info'!$F$1, INDEX('Room Info'!$A$2:$A2446, MATCH(B898,'Room Info'!$F$2:$F2446, 0)),IF(G898='Room Info'!$H$1, INDEX('Room Info'!$A$2:$A2446, MATCH(B898,'Room Info'!$H$2:$H2446, 0)),IF(G898='Room Info'!$G$1, INDEX('Room Info'!$A$2:$A2446, MATCH(B898,'Room Info'!$G$2:$G2446, 0)))))))))</f>
        <v>KuCoH</v>
      </c>
      <c r="B898" s="45" t="s">
        <v>178</v>
      </c>
      <c r="C898" s="46">
        <v>44870</v>
      </c>
      <c r="D898" s="46">
        <v>44885</v>
      </c>
      <c r="E898" s="47">
        <v>44866</v>
      </c>
      <c r="F898" s="48" t="s">
        <v>34</v>
      </c>
      <c r="G898" s="45" t="s">
        <v>35</v>
      </c>
      <c r="H898" s="49" t="s">
        <v>90</v>
      </c>
      <c r="I898" s="49" t="s">
        <v>44</v>
      </c>
      <c r="J898" s="50">
        <v>5</v>
      </c>
      <c r="K898" s="51">
        <v>91</v>
      </c>
      <c r="L898" s="52">
        <v>-35</v>
      </c>
      <c r="M898" s="53">
        <v>26</v>
      </c>
      <c r="N898" s="28">
        <f>K898*J898</f>
        <v>455</v>
      </c>
      <c r="O898" s="54">
        <v>1536</v>
      </c>
      <c r="P898" s="29">
        <v>16.879120879999999</v>
      </c>
      <c r="Q898" s="55"/>
      <c r="R898" s="31">
        <f>M898+Q898</f>
        <v>26</v>
      </c>
      <c r="S898" s="56">
        <v>-18</v>
      </c>
      <c r="T898" s="32">
        <f>R898+S898+IF(F898="Without EV deal",L898,0)</f>
        <v>8</v>
      </c>
      <c r="U898" s="57">
        <v>1</v>
      </c>
      <c r="V898" s="58"/>
      <c r="W898" s="58"/>
      <c r="X898" s="78">
        <v>0.2</v>
      </c>
      <c r="Y898" s="30">
        <f>IF(AG898="None",0,IF(AG898="Fix5",0.05, IF(AG898="Fix6.25",0.0625,IF(AG898="Fix3.75",0.0375,IF(AG898="Fix10",0.1,IF(AG898="Fix3",0.03,0))))))</f>
        <v>0.1</v>
      </c>
      <c r="Z898" s="35">
        <f>T898-AA898-AB898</f>
        <v>5.6000000000000005</v>
      </c>
      <c r="AA898" s="29">
        <f>IF(AD898="EUR",((T898-R898)*X898)*U898+(R898*X898),(T898*X898))</f>
        <v>1.6</v>
      </c>
      <c r="AB898" s="36">
        <f>IF(AD898="EUR",((T898-R898)*Y898)*U898+(R898*Y898),(T898*Y898))</f>
        <v>0.8</v>
      </c>
      <c r="AC898" s="37" t="b">
        <v>1</v>
      </c>
      <c r="AD898" s="37" t="s">
        <v>38</v>
      </c>
      <c r="AE898" s="37" t="s">
        <v>38</v>
      </c>
      <c r="AF898" s="37" t="str">
        <f t="array" ref="AF898">INDEX('Deal Info'!D:D, MATCH(A898,'Deal Info'!A:A, 0))</f>
        <v>DoEVku</v>
      </c>
      <c r="AG898" s="38" t="str">
        <f t="array" ref="AG898">INDEX('Deal Info'!G:G, MATCH(A898,'Deal Info'!A:A, 0))</f>
        <v>Fix10</v>
      </c>
    </row>
    <row r="899" spans="1:33" ht="14.25" hidden="1" x14ac:dyDescent="0.2">
      <c r="A899" s="18" t="str">
        <f t="array" ref="A899">IF(G899='Room Info'!$B$1, INDEX('Room Info'!$A$2:$A2446, MATCH(B899,'Room Info'!$B$2:$B2446, 0)),IF(G899='Room Info'!$C$1, INDEX('Room Info'!$A$2:$A2446, MATCH(B899,'Room Info'!$C$2:$C2446, 0)),IF(G899='Room Info'!$D$1, INDEX('Room Info'!$A$2:$A2446, MATCH(B899,'Room Info'!$D$2:$D2446, 0)),IF(G899='Room Info'!$E$1, INDEX('Room Info'!$A$2:$A2446, MATCH(B899,'Room Info'!$E$2:$E2446, 0)),IF(G899='Room Info'!$F$1, INDEX('Room Info'!$A$2:$A2446, MATCH(B899,'Room Info'!$F$2:$F2446, 0)),IF(G899='Room Info'!$H$1, INDEX('Room Info'!$A$2:$A2446, MATCH(B899,'Room Info'!$H$2:$H2446, 0)),IF(G899='Room Info'!$G$1, INDEX('Room Info'!$A$2:$A2446, MATCH(B899,'Room Info'!$G$2:$G2446, 0)))))))))</f>
        <v>KuCoH</v>
      </c>
      <c r="B899" s="45" t="s">
        <v>178</v>
      </c>
      <c r="C899" s="46">
        <v>44870</v>
      </c>
      <c r="D899" s="46">
        <v>44885</v>
      </c>
      <c r="E899" s="47">
        <v>44866</v>
      </c>
      <c r="F899" s="48" t="s">
        <v>34</v>
      </c>
      <c r="G899" s="45" t="s">
        <v>35</v>
      </c>
      <c r="H899" s="49" t="s">
        <v>40</v>
      </c>
      <c r="I899" s="49" t="s">
        <v>37</v>
      </c>
      <c r="J899" s="50">
        <v>10</v>
      </c>
      <c r="K899" s="51">
        <v>120</v>
      </c>
      <c r="L899" s="52">
        <v>30</v>
      </c>
      <c r="M899" s="53">
        <v>61</v>
      </c>
      <c r="N899" s="28">
        <f>K899*J899</f>
        <v>1200</v>
      </c>
      <c r="O899" s="54">
        <v>41605</v>
      </c>
      <c r="P899" s="29">
        <v>346.70833329999999</v>
      </c>
      <c r="Q899" s="55"/>
      <c r="R899" s="31">
        <f>M899+Q899</f>
        <v>61</v>
      </c>
      <c r="S899" s="56">
        <v>673</v>
      </c>
      <c r="T899" s="32">
        <f>R899+S899+IF(F899="Without EV deal",L899,0)</f>
        <v>734</v>
      </c>
      <c r="U899" s="57">
        <v>1</v>
      </c>
      <c r="V899" s="58"/>
      <c r="W899" s="58"/>
      <c r="X899" s="78">
        <v>0.2</v>
      </c>
      <c r="Y899" s="30">
        <f>IF(AG899="None",0,IF(AG899="Fix5",0.05, IF(AG899="Fix6.25",0.0625,IF(AG899="Fix3.75",0.0375,IF(AG899="Fix10",0.1,IF(AG899="Fix3",0.03,0))))))</f>
        <v>0.1</v>
      </c>
      <c r="Z899" s="35">
        <f>T899-AA899-AB899</f>
        <v>513.80000000000007</v>
      </c>
      <c r="AA899" s="29">
        <f>IF(AD899="EUR",((T899-R899)*X899)*U899+(R899*X899),(T899*X899))</f>
        <v>146.80000000000001</v>
      </c>
      <c r="AB899" s="36">
        <f>IF(AD899="EUR",((T899-R899)*Y899)*U899+(R899*Y899),(T899*Y899))</f>
        <v>73.400000000000006</v>
      </c>
      <c r="AC899" s="37" t="b">
        <v>1</v>
      </c>
      <c r="AD899" s="37" t="s">
        <v>38</v>
      </c>
      <c r="AE899" s="37" t="s">
        <v>38</v>
      </c>
      <c r="AF899" s="37" t="str">
        <f t="array" ref="AF899">INDEX('Deal Info'!D:D, MATCH(A899,'Deal Info'!A:A, 0))</f>
        <v>DoEVku</v>
      </c>
      <c r="AG899" s="38" t="str">
        <f t="array" ref="AG899">INDEX('Deal Info'!G:G, MATCH(A899,'Deal Info'!A:A, 0))</f>
        <v>Fix10</v>
      </c>
    </row>
    <row r="900" spans="1:33" ht="14.25" hidden="1" x14ac:dyDescent="0.2">
      <c r="A900" s="18" t="str">
        <f t="array" ref="A900">IF(G900='Room Info'!$B$1, INDEX('Room Info'!$A$2:$A2446, MATCH(B900,'Room Info'!$B$2:$B2446, 0)),IF(G900='Room Info'!$C$1, INDEX('Room Info'!$A$2:$A2446, MATCH(B900,'Room Info'!$C$2:$C2446, 0)),IF(G900='Room Info'!$D$1, INDEX('Room Info'!$A$2:$A2446, MATCH(B900,'Room Info'!$D$2:$D2446, 0)),IF(G900='Room Info'!$E$1, INDEX('Room Info'!$A$2:$A2446, MATCH(B900,'Room Info'!$E$2:$E2446, 0)),IF(G900='Room Info'!$F$1, INDEX('Room Info'!$A$2:$A2446, MATCH(B900,'Room Info'!$F$2:$F2446, 0)),IF(G900='Room Info'!$H$1, INDEX('Room Info'!$A$2:$A2446, MATCH(B900,'Room Info'!$H$2:$H2446, 0)),IF(G900='Room Info'!$G$1, INDEX('Room Info'!$A$2:$A2446, MATCH(B900,'Room Info'!$G$2:$G2446, 0)))))))))</f>
        <v>KuCoH</v>
      </c>
      <c r="B900" s="45" t="s">
        <v>178</v>
      </c>
      <c r="C900" s="46">
        <v>44870</v>
      </c>
      <c r="D900" s="46">
        <v>44885</v>
      </c>
      <c r="E900" s="47">
        <v>44866</v>
      </c>
      <c r="F900" s="48" t="s">
        <v>34</v>
      </c>
      <c r="G900" s="45" t="s">
        <v>35</v>
      </c>
      <c r="H900" s="49" t="s">
        <v>115</v>
      </c>
      <c r="I900" s="49" t="s">
        <v>44</v>
      </c>
      <c r="J900" s="50">
        <v>10</v>
      </c>
      <c r="K900" s="51">
        <v>15</v>
      </c>
      <c r="L900" s="52">
        <v>20</v>
      </c>
      <c r="M900" s="53">
        <v>8</v>
      </c>
      <c r="N900" s="28">
        <f>K900*J900</f>
        <v>150</v>
      </c>
      <c r="O900" s="54">
        <v>-658</v>
      </c>
      <c r="P900" s="29">
        <v>-43.866666670000001</v>
      </c>
      <c r="Q900" s="55"/>
      <c r="R900" s="31">
        <f>M900+Q900</f>
        <v>8</v>
      </c>
      <c r="S900" s="56">
        <v>-31</v>
      </c>
      <c r="T900" s="32">
        <f>R900+S900+IF(F900="Without EV deal",L900,0)</f>
        <v>-23</v>
      </c>
      <c r="U900" s="57">
        <v>1</v>
      </c>
      <c r="V900" s="58"/>
      <c r="W900" s="58"/>
      <c r="X900" s="78">
        <v>0.2</v>
      </c>
      <c r="Y900" s="30">
        <f>IF(AG900="None",0,IF(AG900="Fix5",0.05, IF(AG900="Fix6.25",0.0625,IF(AG900="Fix3.75",0.0375,IF(AG900="Fix10",0.1,IF(AG900="Fix3",0.03,0))))))</f>
        <v>0.1</v>
      </c>
      <c r="Z900" s="35">
        <f>T900-AA900-AB900</f>
        <v>-16.099999999999998</v>
      </c>
      <c r="AA900" s="29">
        <f>IF(AD900="EUR",((T900-R900)*X900)*U900+(R900*X900),(T900*X900))</f>
        <v>-4.6000000000000005</v>
      </c>
      <c r="AB900" s="36">
        <f>IF(AD900="EUR",((T900-R900)*Y900)*U900+(R900*Y900),(T900*Y900))</f>
        <v>-2.3000000000000003</v>
      </c>
      <c r="AC900" s="37" t="b">
        <v>1</v>
      </c>
      <c r="AD900" s="37" t="s">
        <v>38</v>
      </c>
      <c r="AE900" s="37" t="s">
        <v>38</v>
      </c>
      <c r="AF900" s="37" t="str">
        <f t="array" ref="AF900">INDEX('Deal Info'!D:D, MATCH(A900,'Deal Info'!A:A, 0))</f>
        <v>DoEVku</v>
      </c>
      <c r="AG900" s="38" t="str">
        <f t="array" ref="AG900">INDEX('Deal Info'!G:G, MATCH(A900,'Deal Info'!A:A, 0))</f>
        <v>Fix10</v>
      </c>
    </row>
    <row r="901" spans="1:33" ht="14.25" hidden="1" x14ac:dyDescent="0.2">
      <c r="A901" s="18" t="str">
        <f t="array" ref="A901">IF(G901='Room Info'!$B$1, INDEX('Room Info'!$A$2:$A2446, MATCH(B901,'Room Info'!$B$2:$B2446, 0)),IF(G901='Room Info'!$C$1, INDEX('Room Info'!$A$2:$A2446, MATCH(B901,'Room Info'!$C$2:$C2446, 0)),IF(G901='Room Info'!$D$1, INDEX('Room Info'!$A$2:$A2446, MATCH(B901,'Room Info'!$D$2:$D2446, 0)),IF(G901='Room Info'!$E$1, INDEX('Room Info'!$A$2:$A2446, MATCH(B901,'Room Info'!$E$2:$E2446, 0)),IF(G901='Room Info'!$F$1, INDEX('Room Info'!$A$2:$A2446, MATCH(B901,'Room Info'!$F$2:$F2446, 0)),IF(G901='Room Info'!$H$1, INDEX('Room Info'!$A$2:$A2446, MATCH(B901,'Room Info'!$H$2:$H2446, 0)),IF(G901='Room Info'!$G$1, INDEX('Room Info'!$A$2:$A2446, MATCH(B901,'Room Info'!$G$2:$G2446, 0)))))))))</f>
        <v>KuCoH</v>
      </c>
      <c r="B901" s="54" t="s">
        <v>178</v>
      </c>
      <c r="C901" s="77">
        <v>44870</v>
      </c>
      <c r="D901" s="77">
        <v>44885</v>
      </c>
      <c r="E901" s="47">
        <v>44866</v>
      </c>
      <c r="F901" s="48" t="s">
        <v>34</v>
      </c>
      <c r="G901" s="45" t="s">
        <v>35</v>
      </c>
      <c r="H901" s="49" t="s">
        <v>46</v>
      </c>
      <c r="I901" s="49" t="s">
        <v>37</v>
      </c>
      <c r="J901" s="74">
        <v>25</v>
      </c>
      <c r="K901" s="75">
        <v>1231</v>
      </c>
      <c r="L901" s="72">
        <v>-25</v>
      </c>
      <c r="M901" s="76">
        <v>1332</v>
      </c>
      <c r="N901" s="28">
        <f>K901*J901</f>
        <v>30775</v>
      </c>
      <c r="O901" s="45">
        <v>22949</v>
      </c>
      <c r="P901" s="29">
        <v>18.642567020000001</v>
      </c>
      <c r="Q901" s="55"/>
      <c r="R901" s="31">
        <f>M901+Q901</f>
        <v>1332</v>
      </c>
      <c r="S901" s="73">
        <v>-953</v>
      </c>
      <c r="T901" s="32">
        <f>R901+S901+IF(F901="Without EV deal",L901,0)</f>
        <v>379</v>
      </c>
      <c r="U901" s="57">
        <v>1</v>
      </c>
      <c r="V901" s="58"/>
      <c r="W901" s="58"/>
      <c r="X901" s="78">
        <v>0.2</v>
      </c>
      <c r="Y901" s="30">
        <f>IF(AG901="None",0,IF(AG901="Fix5",0.05, IF(AG901="Fix6.25",0.0625,IF(AG901="Fix3.75",0.0375,IF(AG901="Fix10",0.1,IF(AG901="Fix3",0.03,0))))))</f>
        <v>0.1</v>
      </c>
      <c r="Z901" s="35">
        <f>T901-AA901-AB901</f>
        <v>265.3</v>
      </c>
      <c r="AA901" s="29">
        <f>IF(AD901="EUR",((T901-R901)*X901)*U901+(R901*X901),(T901*X901))</f>
        <v>75.8</v>
      </c>
      <c r="AB901" s="36">
        <f>IF(AD901="EUR",((T901-R901)*Y901)*U901+(R901*Y901),(T901*Y901))</f>
        <v>37.9</v>
      </c>
      <c r="AC901" s="37" t="b">
        <v>1</v>
      </c>
      <c r="AD901" s="37" t="s">
        <v>38</v>
      </c>
      <c r="AE901" s="37" t="s">
        <v>38</v>
      </c>
      <c r="AF901" s="37" t="str">
        <f t="array" ref="AF901">INDEX('Deal Info'!D:D, MATCH(A901,'Deal Info'!A:A, 0))</f>
        <v>DoEVku</v>
      </c>
      <c r="AG901" s="38" t="str">
        <f t="array" ref="AG901">INDEX('Deal Info'!G:G, MATCH(A901,'Deal Info'!A:A, 0))</f>
        <v>Fix10</v>
      </c>
    </row>
    <row r="902" spans="1:33" ht="14.25" hidden="1" x14ac:dyDescent="0.2">
      <c r="A902" s="18" t="str">
        <f t="array" ref="A902">IF(G902='Room Info'!$B$1, INDEX('Room Info'!$A$2:$A2446, MATCH(B902,'Room Info'!$B$2:$B2446, 0)),IF(G902='Room Info'!$C$1, INDEX('Room Info'!$A$2:$A2446, MATCH(B902,'Room Info'!$C$2:$C2446, 0)),IF(G902='Room Info'!$D$1, INDEX('Room Info'!$A$2:$A2446, MATCH(B902,'Room Info'!$D$2:$D2446, 0)),IF(G902='Room Info'!$E$1, INDEX('Room Info'!$A$2:$A2446, MATCH(B902,'Room Info'!$E$2:$E2446, 0)),IF(G902='Room Info'!$F$1, INDEX('Room Info'!$A$2:$A2446, MATCH(B902,'Room Info'!$F$2:$F2446, 0)),IF(G902='Room Info'!$H$1, INDEX('Room Info'!$A$2:$A2446, MATCH(B902,'Room Info'!$H$2:$H2446, 0)),IF(G902='Room Info'!$G$1, INDEX('Room Info'!$A$2:$A2446, MATCH(B902,'Room Info'!$G$2:$G2446, 0)))))))))</f>
        <v>KuCoH</v>
      </c>
      <c r="B902" s="54" t="s">
        <v>178</v>
      </c>
      <c r="C902" s="77">
        <v>44870</v>
      </c>
      <c r="D902" s="77">
        <v>44885</v>
      </c>
      <c r="E902" s="47">
        <v>44866</v>
      </c>
      <c r="F902" s="48" t="s">
        <v>34</v>
      </c>
      <c r="G902" s="45" t="s">
        <v>35</v>
      </c>
      <c r="H902" s="49" t="s">
        <v>87</v>
      </c>
      <c r="I902" s="49" t="s">
        <v>44</v>
      </c>
      <c r="J902" s="74">
        <v>25</v>
      </c>
      <c r="K902" s="75">
        <v>3</v>
      </c>
      <c r="L902" s="72">
        <v>-25</v>
      </c>
      <c r="M902" s="76">
        <v>3</v>
      </c>
      <c r="N902" s="28">
        <f>K902*J902</f>
        <v>75</v>
      </c>
      <c r="O902" s="45">
        <v>394</v>
      </c>
      <c r="P902" s="29">
        <v>131.33333329999999</v>
      </c>
      <c r="Q902" s="55"/>
      <c r="R902" s="31">
        <f>M902+Q902</f>
        <v>3</v>
      </c>
      <c r="S902" s="73">
        <v>26</v>
      </c>
      <c r="T902" s="32">
        <f>R902+S902+IF(F902="Without EV deal",L902,0)</f>
        <v>29</v>
      </c>
      <c r="U902" s="57">
        <v>1</v>
      </c>
      <c r="V902" s="58"/>
      <c r="W902" s="58"/>
      <c r="X902" s="78">
        <v>0.2</v>
      </c>
      <c r="Y902" s="30">
        <f>IF(AG902="None",0,IF(AG902="Fix5",0.05, IF(AG902="Fix6.25",0.0625,IF(AG902="Fix3.75",0.0375,IF(AG902="Fix10",0.1,IF(AG902="Fix3",0.03,0))))))</f>
        <v>0.1</v>
      </c>
      <c r="Z902" s="35">
        <f>T902-AA902-AB902</f>
        <v>20.299999999999997</v>
      </c>
      <c r="AA902" s="29">
        <f>IF(AD902="EUR",((T902-R902)*X902)*U902+(R902*X902),(T902*X902))</f>
        <v>5.8000000000000007</v>
      </c>
      <c r="AB902" s="36">
        <f>IF(AD902="EUR",((T902-R902)*Y902)*U902+(R902*Y902),(T902*Y902))</f>
        <v>2.9000000000000004</v>
      </c>
      <c r="AC902" s="37" t="b">
        <v>1</v>
      </c>
      <c r="AD902" s="37" t="s">
        <v>38</v>
      </c>
      <c r="AE902" s="37" t="s">
        <v>38</v>
      </c>
      <c r="AF902" s="37" t="str">
        <f t="array" ref="AF902">INDEX('Deal Info'!D:D, MATCH(A902,'Deal Info'!A:A, 0))</f>
        <v>DoEVku</v>
      </c>
      <c r="AG902" s="38" t="str">
        <f t="array" ref="AG902">INDEX('Deal Info'!G:G, MATCH(A902,'Deal Info'!A:A, 0))</f>
        <v>Fix10</v>
      </c>
    </row>
    <row r="903" spans="1:33" ht="14.25" hidden="1" x14ac:dyDescent="0.2">
      <c r="A903" s="18" t="str">
        <f t="array" ref="A903">IF(G903='Room Info'!$B$1, INDEX('Room Info'!$A$2:$A2446, MATCH(B903,'Room Info'!$B$2:$B2446, 0)),IF(G903='Room Info'!$C$1, INDEX('Room Info'!$A$2:$A2446, MATCH(B903,'Room Info'!$C$2:$C2446, 0)),IF(G903='Room Info'!$D$1, INDEX('Room Info'!$A$2:$A2446, MATCH(B903,'Room Info'!$D$2:$D2446, 0)),IF(G903='Room Info'!$E$1, INDEX('Room Info'!$A$2:$A2446, MATCH(B903,'Room Info'!$E$2:$E2446, 0)),IF(G903='Room Info'!$F$1, INDEX('Room Info'!$A$2:$A2446, MATCH(B903,'Room Info'!$F$2:$F2446, 0)),IF(G903='Room Info'!$H$1, INDEX('Room Info'!$A$2:$A2446, MATCH(B903,'Room Info'!$H$2:$H2446, 0)),IF(G903='Room Info'!$G$1, INDEX('Room Info'!$A$2:$A2446, MATCH(B903,'Room Info'!$G$2:$G2446, 0)))))))))</f>
        <v>KuCoH</v>
      </c>
      <c r="B903" s="45" t="s">
        <v>178</v>
      </c>
      <c r="C903" s="46">
        <v>44886</v>
      </c>
      <c r="D903" s="46">
        <v>44915</v>
      </c>
      <c r="E903" s="47">
        <v>44896</v>
      </c>
      <c r="F903" s="48" t="s">
        <v>34</v>
      </c>
      <c r="G903" s="45" t="s">
        <v>35</v>
      </c>
      <c r="H903" s="49" t="s">
        <v>115</v>
      </c>
      <c r="I903" s="49" t="s">
        <v>44</v>
      </c>
      <c r="J903" s="50">
        <v>10</v>
      </c>
      <c r="K903" s="51">
        <v>69</v>
      </c>
      <c r="L903" s="52">
        <v>-190</v>
      </c>
      <c r="M903" s="53">
        <v>28</v>
      </c>
      <c r="N903" s="28">
        <f>K903*J903</f>
        <v>690</v>
      </c>
      <c r="O903" s="54">
        <v>1886</v>
      </c>
      <c r="P903" s="29">
        <v>27.333333329999999</v>
      </c>
      <c r="Q903" s="55"/>
      <c r="R903" s="31">
        <f>M903+Q903</f>
        <v>28</v>
      </c>
      <c r="S903" s="56">
        <v>7</v>
      </c>
      <c r="T903" s="32">
        <f>R903+S903+IF(F903="Without EV deal",L903,0)</f>
        <v>35</v>
      </c>
      <c r="U903" s="57">
        <v>1</v>
      </c>
      <c r="V903" s="58"/>
      <c r="W903" s="58"/>
      <c r="X903" s="78">
        <v>0.17</v>
      </c>
      <c r="Y903" s="30">
        <f>IF(AG903="None",0,IF(AG903="Fix5",0.05, IF(AG903="Fix6.25",0.0625,IF(AG903="Fix3.75",0.0375,IF(AG903="Fix10",0.1,IF(AG903="Fix3",0.03,0))))))</f>
        <v>0.1</v>
      </c>
      <c r="Z903" s="35">
        <f>T903-AA903-AB903</f>
        <v>25.55</v>
      </c>
      <c r="AA903" s="29">
        <f>IF(AD903="EUR",((T903-R903)*X903)*U903+(R903*X903),(T903*X903))</f>
        <v>5.95</v>
      </c>
      <c r="AB903" s="36">
        <f>IF(AD903="EUR",((T903-R903)*Y903)*U903+(R903*Y903),(T903*Y903))</f>
        <v>3.5</v>
      </c>
      <c r="AC903" s="37" t="b">
        <v>1</v>
      </c>
      <c r="AD903" s="37" t="s">
        <v>38</v>
      </c>
      <c r="AE903" s="37" t="s">
        <v>38</v>
      </c>
      <c r="AF903" s="37" t="str">
        <f t="array" ref="AF903">INDEX('Deal Info'!D:D, MATCH(A903,'Deal Info'!A:A, 0))</f>
        <v>DoEVku</v>
      </c>
      <c r="AG903" s="38" t="str">
        <f t="array" ref="AG903">INDEX('Deal Info'!G:G, MATCH(A903,'Deal Info'!A:A, 0))</f>
        <v>Fix10</v>
      </c>
    </row>
    <row r="904" spans="1:33" ht="14.25" hidden="1" x14ac:dyDescent="0.2">
      <c r="A904" s="18" t="str">
        <f t="array" ref="A904">IF(G904='Room Info'!$B$1, INDEX('Room Info'!$A$2:$A2446, MATCH(B904,'Room Info'!$B$2:$B2446, 0)),IF(G904='Room Info'!$C$1, INDEX('Room Info'!$A$2:$A2446, MATCH(B904,'Room Info'!$C$2:$C2446, 0)),IF(G904='Room Info'!$D$1, INDEX('Room Info'!$A$2:$A2446, MATCH(B904,'Room Info'!$D$2:$D2446, 0)),IF(G904='Room Info'!$E$1, INDEX('Room Info'!$A$2:$A2446, MATCH(B904,'Room Info'!$E$2:$E2446, 0)),IF(G904='Room Info'!$F$1, INDEX('Room Info'!$A$2:$A2446, MATCH(B904,'Room Info'!$F$2:$F2446, 0)),IF(G904='Room Info'!$H$1, INDEX('Room Info'!$A$2:$A2446, MATCH(B904,'Room Info'!$H$2:$H2446, 0)),IF(G904='Room Info'!$G$1, INDEX('Room Info'!$A$2:$A2446, MATCH(B904,'Room Info'!$G$2:$G2446, 0)))))))))</f>
        <v>KuCoH</v>
      </c>
      <c r="B904" s="45" t="s">
        <v>178</v>
      </c>
      <c r="C904" s="46">
        <v>44886</v>
      </c>
      <c r="D904" s="46">
        <v>44915</v>
      </c>
      <c r="E904" s="47">
        <v>44896</v>
      </c>
      <c r="F904" s="48" t="s">
        <v>34</v>
      </c>
      <c r="G904" s="45" t="s">
        <v>35</v>
      </c>
      <c r="H904" s="49" t="s">
        <v>46</v>
      </c>
      <c r="I904" s="49" t="s">
        <v>37</v>
      </c>
      <c r="J904" s="50">
        <v>25</v>
      </c>
      <c r="K904" s="51">
        <v>2335</v>
      </c>
      <c r="L904" s="52">
        <v>600</v>
      </c>
      <c r="M904" s="53">
        <v>2066</v>
      </c>
      <c r="N904" s="28">
        <f>K904*J904</f>
        <v>58375</v>
      </c>
      <c r="O904" s="54">
        <v>84460</v>
      </c>
      <c r="P904" s="29">
        <v>36.171306209999997</v>
      </c>
      <c r="Q904" s="55"/>
      <c r="R904" s="31">
        <f>M904+Q904</f>
        <v>2066</v>
      </c>
      <c r="S904" s="56">
        <v>190</v>
      </c>
      <c r="T904" s="32">
        <f>R904+S904+IF(F904="Without EV deal",L904,0)</f>
        <v>2256</v>
      </c>
      <c r="U904" s="57">
        <v>1</v>
      </c>
      <c r="V904" s="58"/>
      <c r="W904" s="58"/>
      <c r="X904" s="78">
        <v>0.17</v>
      </c>
      <c r="Y904" s="30">
        <f>IF(AG904="None",0,IF(AG904="Fix5",0.05, IF(AG904="Fix6.25",0.0625,IF(AG904="Fix3.75",0.0375,IF(AG904="Fix10",0.1,IF(AG904="Fix3",0.03,0))))))</f>
        <v>0.1</v>
      </c>
      <c r="Z904" s="35">
        <f>T904-AA904-AB904</f>
        <v>1646.88</v>
      </c>
      <c r="AA904" s="29">
        <f>IF(AD904="EUR",((T904-R904)*X904)*U904+(R904*X904),(T904*X904))</f>
        <v>383.52000000000004</v>
      </c>
      <c r="AB904" s="36">
        <f>IF(AD904="EUR",((T904-R904)*Y904)*U904+(R904*Y904),(T904*Y904))</f>
        <v>225.60000000000002</v>
      </c>
      <c r="AC904" s="37" t="b">
        <v>1</v>
      </c>
      <c r="AD904" s="37" t="s">
        <v>38</v>
      </c>
      <c r="AE904" s="37" t="s">
        <v>38</v>
      </c>
      <c r="AF904" s="37" t="str">
        <f t="array" ref="AF904">INDEX('Deal Info'!D:D, MATCH(A904,'Deal Info'!A:A, 0))</f>
        <v>DoEVku</v>
      </c>
      <c r="AG904" s="38" t="str">
        <f t="array" ref="AG904">INDEX('Deal Info'!G:G, MATCH(A904,'Deal Info'!A:A, 0))</f>
        <v>Fix10</v>
      </c>
    </row>
    <row r="905" spans="1:33" ht="14.25" hidden="1" x14ac:dyDescent="0.2">
      <c r="A905" s="18" t="str">
        <f t="array" ref="A905">IF(G905='Room Info'!$B$1, INDEX('Room Info'!$A$2:$A2446, MATCH(B905,'Room Info'!$B$2:$B2446, 0)),IF(G905='Room Info'!$C$1, INDEX('Room Info'!$A$2:$A2446, MATCH(B905,'Room Info'!$C$2:$C2446, 0)),IF(G905='Room Info'!$D$1, INDEX('Room Info'!$A$2:$A2446, MATCH(B905,'Room Info'!$D$2:$D2446, 0)),IF(G905='Room Info'!$E$1, INDEX('Room Info'!$A$2:$A2446, MATCH(B905,'Room Info'!$E$2:$E2446, 0)),IF(G905='Room Info'!$F$1, INDEX('Room Info'!$A$2:$A2446, MATCH(B905,'Room Info'!$F$2:$F2446, 0)),IF(G905='Room Info'!$H$1, INDEX('Room Info'!$A$2:$A2446, MATCH(B905,'Room Info'!$H$2:$H2446, 0)),IF(G905='Room Info'!$G$1, INDEX('Room Info'!$A$2:$A2446, MATCH(B905,'Room Info'!$G$2:$G2446, 0)))))))))</f>
        <v>KuCoH</v>
      </c>
      <c r="B905" s="45" t="s">
        <v>178</v>
      </c>
      <c r="C905" s="46">
        <v>44886</v>
      </c>
      <c r="D905" s="46">
        <v>44915</v>
      </c>
      <c r="E905" s="47">
        <v>44896</v>
      </c>
      <c r="F905" s="48" t="s">
        <v>34</v>
      </c>
      <c r="G905" s="45" t="s">
        <v>35</v>
      </c>
      <c r="H905" s="49" t="s">
        <v>87</v>
      </c>
      <c r="I905" s="49" t="s">
        <v>44</v>
      </c>
      <c r="J905" s="50">
        <v>25</v>
      </c>
      <c r="K905" s="51">
        <v>220</v>
      </c>
      <c r="L905" s="52">
        <v>-175</v>
      </c>
      <c r="M905" s="53">
        <v>195</v>
      </c>
      <c r="N905" s="28">
        <f>K905*J905</f>
        <v>5500</v>
      </c>
      <c r="O905" s="54">
        <v>1189</v>
      </c>
      <c r="P905" s="29">
        <v>5.4045454550000001</v>
      </c>
      <c r="Q905" s="55"/>
      <c r="R905" s="31">
        <f>M905+Q905</f>
        <v>195</v>
      </c>
      <c r="S905" s="56">
        <v>-259</v>
      </c>
      <c r="T905" s="32">
        <f>R905+S905+IF(F905="Without EV deal",L905,0)</f>
        <v>-64</v>
      </c>
      <c r="U905" s="57">
        <v>1</v>
      </c>
      <c r="V905" s="58"/>
      <c r="W905" s="58"/>
      <c r="X905" s="78">
        <v>0.17</v>
      </c>
      <c r="Y905" s="30">
        <f>IF(AG905="None",0,IF(AG905="Fix5",0.05, IF(AG905="Fix6.25",0.0625,IF(AG905="Fix3.75",0.0375,IF(AG905="Fix10",0.1,IF(AG905="Fix3",0.03,0))))))</f>
        <v>0.1</v>
      </c>
      <c r="Z905" s="35">
        <f>T905-AA905-AB905</f>
        <v>-46.72</v>
      </c>
      <c r="AA905" s="29">
        <f>IF(AD905="EUR",((T905-R905)*X905)*U905+(R905*X905),(T905*X905))</f>
        <v>-10.88</v>
      </c>
      <c r="AB905" s="36">
        <f>IF(AD905="EUR",((T905-R905)*Y905)*U905+(R905*Y905),(T905*Y905))</f>
        <v>-6.4</v>
      </c>
      <c r="AC905" s="37" t="b">
        <v>1</v>
      </c>
      <c r="AD905" s="37" t="s">
        <v>38</v>
      </c>
      <c r="AE905" s="37" t="s">
        <v>38</v>
      </c>
      <c r="AF905" s="37" t="str">
        <f t="array" ref="AF905">INDEX('Deal Info'!D:D, MATCH(A905,'Deal Info'!A:A, 0))</f>
        <v>DoEVku</v>
      </c>
      <c r="AG905" s="38" t="str">
        <f t="array" ref="AG905">INDEX('Deal Info'!G:G, MATCH(A905,'Deal Info'!A:A, 0))</f>
        <v>Fix10</v>
      </c>
    </row>
    <row r="906" spans="1:33" ht="14.25" hidden="1" x14ac:dyDescent="0.2">
      <c r="A906" s="18" t="str">
        <f t="array" ref="A906">IF(G906='Room Info'!$B$1, INDEX('Room Info'!$A$2:$A2446, MATCH(B906,'Room Info'!$B$2:$B2446, 0)),IF(G906='Room Info'!$C$1, INDEX('Room Info'!$A$2:$A2446, MATCH(B906,'Room Info'!$C$2:$C2446, 0)),IF(G906='Room Info'!$D$1, INDEX('Room Info'!$A$2:$A2446, MATCH(B906,'Room Info'!$D$2:$D2446, 0)),IF(G906='Room Info'!$E$1, INDEX('Room Info'!$A$2:$A2446, MATCH(B906,'Room Info'!$E$2:$E2446, 0)),IF(G906='Room Info'!$F$1, INDEX('Room Info'!$A$2:$A2446, MATCH(B906,'Room Info'!$F$2:$F2446, 0)),IF(G906='Room Info'!$H$1, INDEX('Room Info'!$A$2:$A2446, MATCH(B906,'Room Info'!$H$2:$H2446, 0)),IF(G906='Room Info'!$G$1, INDEX('Room Info'!$A$2:$A2446, MATCH(B906,'Room Info'!$G$2:$G2446, 0)))))))))</f>
        <v>KuCoH</v>
      </c>
      <c r="B906" s="45" t="s">
        <v>178</v>
      </c>
      <c r="C906" s="77">
        <v>44916</v>
      </c>
      <c r="D906" s="77">
        <v>44946</v>
      </c>
      <c r="E906" s="47">
        <v>44927</v>
      </c>
      <c r="F906" s="48" t="s">
        <v>34</v>
      </c>
      <c r="G906" s="45" t="s">
        <v>35</v>
      </c>
      <c r="H906" s="49" t="s">
        <v>46</v>
      </c>
      <c r="I906" s="49" t="s">
        <v>37</v>
      </c>
      <c r="J906" s="74">
        <v>25</v>
      </c>
      <c r="K906" s="75">
        <v>998</v>
      </c>
      <c r="L906" s="72">
        <v>225</v>
      </c>
      <c r="M906" s="76">
        <v>525</v>
      </c>
      <c r="N906" s="28">
        <f>K906*J906</f>
        <v>24950</v>
      </c>
      <c r="O906" s="45">
        <v>26001</v>
      </c>
      <c r="P906" s="29">
        <v>26.053106209999999</v>
      </c>
      <c r="Q906" s="55"/>
      <c r="R906" s="31">
        <f>M906+Q906</f>
        <v>525</v>
      </c>
      <c r="S906" s="73">
        <v>-311</v>
      </c>
      <c r="T906" s="32">
        <f>R906+S906+IF(F906="Without EV deal",L906,0)</f>
        <v>214</v>
      </c>
      <c r="U906" s="57">
        <v>1</v>
      </c>
      <c r="V906" s="58"/>
      <c r="W906" s="58"/>
      <c r="X906" s="78">
        <v>0.23</v>
      </c>
      <c r="Y906" s="30">
        <f>IF(AG906="None",0,IF(AG906="Fix5",0.05, IF(AG906="Fix6.25",0.0625,IF(AG906="Fix3.75",0.0375,IF(AG906="Fix10",0.1,IF(AG906="Fix3",0.03,0))))))</f>
        <v>0.1</v>
      </c>
      <c r="Z906" s="35">
        <f>T906-AA906-AB906</f>
        <v>143.38</v>
      </c>
      <c r="AA906" s="29">
        <f>IF(AD906="EUR",((T906-R906)*X906)*U906+(R906*X906),(T906*X906))</f>
        <v>49.22</v>
      </c>
      <c r="AB906" s="36">
        <f>IF(AD906="EUR",((T906-R906)*Y906)*U906+(R906*Y906),(T906*Y906))</f>
        <v>21.400000000000002</v>
      </c>
      <c r="AC906" s="37" t="b">
        <v>1</v>
      </c>
      <c r="AD906" s="37" t="s">
        <v>38</v>
      </c>
      <c r="AE906" s="37" t="s">
        <v>38</v>
      </c>
      <c r="AF906" s="37" t="str">
        <f t="array" ref="AF906">INDEX('Deal Info'!D:D, MATCH(A906,'Deal Info'!A:A, 0))</f>
        <v>DoEVku</v>
      </c>
      <c r="AG906" s="38" t="str">
        <f t="array" ref="AG906">INDEX('Deal Info'!G:G, MATCH(A906,'Deal Info'!A:A, 0))</f>
        <v>Fix10</v>
      </c>
    </row>
    <row r="907" spans="1:33" ht="14.25" hidden="1" x14ac:dyDescent="0.2">
      <c r="A907" s="18" t="str">
        <f t="array" ref="A907">IF(G907='Room Info'!$B$1, INDEX('Room Info'!$A$2:$A2446, MATCH(B907,'Room Info'!$B$2:$B2446, 0)),IF(G907='Room Info'!$C$1, INDEX('Room Info'!$A$2:$A2446, MATCH(B907,'Room Info'!$C$2:$C2446, 0)),IF(G907='Room Info'!$D$1, INDEX('Room Info'!$A$2:$A2446, MATCH(B907,'Room Info'!$D$2:$D2446, 0)),IF(G907='Room Info'!$E$1, INDEX('Room Info'!$A$2:$A2446, MATCH(B907,'Room Info'!$E$2:$E2446, 0)),IF(G907='Room Info'!$F$1, INDEX('Room Info'!$A$2:$A2446, MATCH(B907,'Room Info'!$F$2:$F2446, 0)),IF(G907='Room Info'!$H$1, INDEX('Room Info'!$A$2:$A2446, MATCH(B907,'Room Info'!$H$2:$H2446, 0)),IF(G907='Room Info'!$G$1, INDEX('Room Info'!$A$2:$A2446, MATCH(B907,'Room Info'!$G$2:$G2446, 0)))))))))</f>
        <v>Lo4io</v>
      </c>
      <c r="B907" s="45" t="s">
        <v>102</v>
      </c>
      <c r="C907" s="77">
        <v>44733</v>
      </c>
      <c r="D907" s="77">
        <v>44762</v>
      </c>
      <c r="E907" s="47">
        <v>44743</v>
      </c>
      <c r="F907" s="48" t="s">
        <v>34</v>
      </c>
      <c r="G907" s="54" t="s">
        <v>35</v>
      </c>
      <c r="H907" s="49" t="s">
        <v>72</v>
      </c>
      <c r="I907" s="49" t="s">
        <v>37</v>
      </c>
      <c r="J907" s="74">
        <v>50</v>
      </c>
      <c r="K907" s="75">
        <v>125</v>
      </c>
      <c r="L907" s="72">
        <v>-150</v>
      </c>
      <c r="M907" s="53">
        <v>75</v>
      </c>
      <c r="N907" s="28">
        <f>K907*J907</f>
        <v>6250</v>
      </c>
      <c r="O907" s="45">
        <v>13797</v>
      </c>
      <c r="P907" s="29">
        <v>110.376</v>
      </c>
      <c r="Q907" s="55"/>
      <c r="R907" s="31">
        <f>M907+Q907</f>
        <v>75</v>
      </c>
      <c r="S907" s="73">
        <v>867</v>
      </c>
      <c r="T907" s="32">
        <f>R907+S907+IF(F907="Without EV deal",L907,0)</f>
        <v>942</v>
      </c>
      <c r="U907" s="57">
        <v>1</v>
      </c>
      <c r="V907" s="58"/>
      <c r="W907" s="58"/>
      <c r="X907" s="78">
        <v>0.2</v>
      </c>
      <c r="Y907" s="30">
        <f>IF(AG907="None",0,IF(AG907="Fix5",0.05, IF(AG907="Fix6.25",0.0625,IF(AG907="Fix3.75",0.0375,IF(AG907="Fix10",0.1,IF(AG907="Fix3",0.03,0))))))</f>
        <v>0</v>
      </c>
      <c r="Z907" s="35">
        <f>T907-AA907-AB907</f>
        <v>753.6</v>
      </c>
      <c r="AA907" s="29">
        <f>IF(AD907="EUR",((T907-R907)*X907)*U907+(R907*X907),(T907*X907))</f>
        <v>188.4</v>
      </c>
      <c r="AB907" s="36">
        <f>IF(AD907="EUR",((T907-R907)*Y907)*U907+(R907*Y907),(T907*Y907))</f>
        <v>0</v>
      </c>
      <c r="AC907" s="37" t="b">
        <v>1</v>
      </c>
      <c r="AD907" s="37" t="s">
        <v>38</v>
      </c>
      <c r="AE907" s="37" t="s">
        <v>38</v>
      </c>
      <c r="AF907" s="37" t="str">
        <f t="array" ref="AF907">INDEX('Deal Info'!D:D, MATCH(A907,'Deal Info'!A:A, 0))</f>
        <v>DoEVLo</v>
      </c>
      <c r="AG907" s="38" t="str">
        <f t="array" ref="AG907">INDEX('Deal Info'!G:G, MATCH(A907,'Deal Info'!A:A, 0))</f>
        <v>None</v>
      </c>
    </row>
    <row r="908" spans="1:33" ht="14.25" hidden="1" x14ac:dyDescent="0.2">
      <c r="A908" s="18" t="str">
        <f t="array" ref="A908">IF(G908='Room Info'!$B$1, INDEX('Room Info'!$A$2:$A2446, MATCH(B908,'Room Info'!$B$2:$B2446, 0)),IF(G908='Room Info'!$C$1, INDEX('Room Info'!$A$2:$A2446, MATCH(B908,'Room Info'!$C$2:$C2446, 0)),IF(G908='Room Info'!$D$1, INDEX('Room Info'!$A$2:$A2446, MATCH(B908,'Room Info'!$D$2:$D2446, 0)),IF(G908='Room Info'!$E$1, INDEX('Room Info'!$A$2:$A2446, MATCH(B908,'Room Info'!$E$2:$E2446, 0)),IF(G908='Room Info'!$F$1, INDEX('Room Info'!$A$2:$A2446, MATCH(B908,'Room Info'!$F$2:$F2446, 0)),IF(G908='Room Info'!$H$1, INDEX('Room Info'!$A$2:$A2446, MATCH(B908,'Room Info'!$H$2:$H2446, 0)),IF(G908='Room Info'!$G$1, INDEX('Room Info'!$A$2:$A2446, MATCH(B908,'Room Info'!$G$2:$G2446, 0)))))))))</f>
        <v>Lo4io</v>
      </c>
      <c r="B908" s="45" t="s">
        <v>97</v>
      </c>
      <c r="C908" s="46">
        <v>44733</v>
      </c>
      <c r="D908" s="46">
        <v>44762</v>
      </c>
      <c r="E908" s="47">
        <v>44743</v>
      </c>
      <c r="F908" s="48" t="s">
        <v>34</v>
      </c>
      <c r="G908" s="45" t="s">
        <v>80</v>
      </c>
      <c r="H908" s="49" t="s">
        <v>71</v>
      </c>
      <c r="I908" s="49" t="s">
        <v>81</v>
      </c>
      <c r="J908" s="50">
        <v>20</v>
      </c>
      <c r="K908" s="51">
        <v>9</v>
      </c>
      <c r="L908" s="52">
        <v>40</v>
      </c>
      <c r="M908" s="62"/>
      <c r="N908" s="28">
        <f>K908*J908</f>
        <v>180</v>
      </c>
      <c r="O908" s="54">
        <v>-312</v>
      </c>
      <c r="P908" s="29">
        <v>-34.666666669999998</v>
      </c>
      <c r="Q908" s="55"/>
      <c r="R908" s="31">
        <f>M908+Q908</f>
        <v>0</v>
      </c>
      <c r="S908" s="56">
        <v>-31</v>
      </c>
      <c r="T908" s="32">
        <f>R908+S908+IF(F908="Without EV deal",L908,0)</f>
        <v>-31</v>
      </c>
      <c r="U908" s="57">
        <v>1</v>
      </c>
      <c r="V908" s="58"/>
      <c r="W908" s="58"/>
      <c r="X908" s="78">
        <v>0.2</v>
      </c>
      <c r="Y908" s="30">
        <f>IF(AG908="None",0,IF(AG908="Fix5",0.05, IF(AG908="Fix6.25",0.0625,IF(AG908="Fix3.75",0.0375,IF(AG908="Fix10",0.1,IF(AG908="Fix3",0.03,0))))))</f>
        <v>0</v>
      </c>
      <c r="Z908" s="35">
        <f>T908-AA908-AB908</f>
        <v>-24.8</v>
      </c>
      <c r="AA908" s="29">
        <f>IF(AD908="EUR",((T908-R908)*X908)*U908+(R908*X908),(T908*X908))</f>
        <v>-6.2</v>
      </c>
      <c r="AB908" s="36">
        <f>IF(AD908="EUR",((T908-R908)*Y908)*U908+(R908*Y908),(T908*Y908))</f>
        <v>0</v>
      </c>
      <c r="AC908" s="37" t="b">
        <v>1</v>
      </c>
      <c r="AD908" s="37" t="s">
        <v>38</v>
      </c>
      <c r="AE908" s="37" t="s">
        <v>38</v>
      </c>
      <c r="AF908" s="37" t="str">
        <f t="array" ref="AF908">INDEX('Deal Info'!D:D, MATCH(A908,'Deal Info'!A:A, 0))</f>
        <v>DoEVLo</v>
      </c>
      <c r="AG908" s="38" t="str">
        <f t="array" ref="AG908">INDEX('Deal Info'!G:G, MATCH(A908,'Deal Info'!A:A, 0))</f>
        <v>None</v>
      </c>
    </row>
    <row r="909" spans="1:33" ht="14.25" hidden="1" x14ac:dyDescent="0.2">
      <c r="A909" s="18" t="str">
        <f t="array" ref="A909">IF(G909='Room Info'!$B$1, INDEX('Room Info'!$A$2:$A2446, MATCH(B909,'Room Info'!$B$2:$B2446, 0)),IF(G909='Room Info'!$C$1, INDEX('Room Info'!$A$2:$A2446, MATCH(B909,'Room Info'!$C$2:$C2446, 0)),IF(G909='Room Info'!$D$1, INDEX('Room Info'!$A$2:$A2446, MATCH(B909,'Room Info'!$D$2:$D2446, 0)),IF(G909='Room Info'!$E$1, INDEX('Room Info'!$A$2:$A2446, MATCH(B909,'Room Info'!$E$2:$E2446, 0)),IF(G909='Room Info'!$F$1, INDEX('Room Info'!$A$2:$A2446, MATCH(B909,'Room Info'!$F$2:$F2446, 0)),IF(G909='Room Info'!$H$1, INDEX('Room Info'!$A$2:$A2446, MATCH(B909,'Room Info'!$H$2:$H2446, 0)),IF(G909='Room Info'!$G$1, INDEX('Room Info'!$A$2:$A2446, MATCH(B909,'Room Info'!$G$2:$G2446, 0)))))))))</f>
        <v>Lo4io</v>
      </c>
      <c r="B909" s="45" t="s">
        <v>97</v>
      </c>
      <c r="C909" s="46">
        <v>44733</v>
      </c>
      <c r="D909" s="46">
        <v>44762</v>
      </c>
      <c r="E909" s="47">
        <v>44743</v>
      </c>
      <c r="F909" s="48" t="s">
        <v>34</v>
      </c>
      <c r="G909" s="45" t="s">
        <v>80</v>
      </c>
      <c r="H909" s="49" t="s">
        <v>72</v>
      </c>
      <c r="I909" s="49" t="s">
        <v>81</v>
      </c>
      <c r="J909" s="50">
        <v>50</v>
      </c>
      <c r="K909" s="51">
        <v>689</v>
      </c>
      <c r="L909" s="52">
        <v>-3400</v>
      </c>
      <c r="M909" s="53">
        <v>1502</v>
      </c>
      <c r="N909" s="28">
        <f>K909*J909</f>
        <v>34450</v>
      </c>
      <c r="O909" s="54">
        <v>16792</v>
      </c>
      <c r="P909" s="29">
        <v>24.371552980000001</v>
      </c>
      <c r="Q909" s="55"/>
      <c r="R909" s="31">
        <f>M909+Q909</f>
        <v>1502</v>
      </c>
      <c r="S909" s="56">
        <v>-180</v>
      </c>
      <c r="T909" s="32">
        <f>R909+S909+IF(F909="Without EV deal",L909,0)</f>
        <v>1322</v>
      </c>
      <c r="U909" s="57">
        <v>1</v>
      </c>
      <c r="V909" s="58"/>
      <c r="W909" s="58"/>
      <c r="X909" s="78">
        <v>0.2</v>
      </c>
      <c r="Y909" s="30">
        <f>IF(AG909="None",0,IF(AG909="Fix5",0.05, IF(AG909="Fix6.25",0.0625,IF(AG909="Fix3.75",0.0375,IF(AG909="Fix10",0.1,IF(AG909="Fix3",0.03,0))))))</f>
        <v>0</v>
      </c>
      <c r="Z909" s="35">
        <f>T909-AA909-AB909</f>
        <v>1057.5999999999999</v>
      </c>
      <c r="AA909" s="29">
        <f>IF(AD909="EUR",((T909-R909)*X909)*U909+(R909*X909),(T909*X909))</f>
        <v>264.40000000000003</v>
      </c>
      <c r="AB909" s="36">
        <f>IF(AD909="EUR",((T909-R909)*Y909)*U909+(R909*Y909),(T909*Y909))</f>
        <v>0</v>
      </c>
      <c r="AC909" s="37" t="b">
        <v>1</v>
      </c>
      <c r="AD909" s="37" t="s">
        <v>38</v>
      </c>
      <c r="AE909" s="37" t="s">
        <v>38</v>
      </c>
      <c r="AF909" s="37" t="str">
        <f t="array" ref="AF909">INDEX('Deal Info'!D:D, MATCH(A909,'Deal Info'!A:A, 0))</f>
        <v>DoEVLo</v>
      </c>
      <c r="AG909" s="38" t="str">
        <f t="array" ref="AG909">INDEX('Deal Info'!G:G, MATCH(A909,'Deal Info'!A:A, 0))</f>
        <v>None</v>
      </c>
    </row>
    <row r="910" spans="1:33" ht="14.25" x14ac:dyDescent="0.2">
      <c r="A910" s="18" t="str">
        <f t="array" ref="A910">IF(G910='Room Info'!$B$1, INDEX('Room Info'!$A$2:$A2446, MATCH(B910,'Room Info'!$B$2:$B2446, 0)),IF(G910='Room Info'!$C$1, INDEX('Room Info'!$A$2:$A2446, MATCH(B910,'Room Info'!$C$2:$C2446, 0)),IF(G910='Room Info'!$D$1, INDEX('Room Info'!$A$2:$A2446, MATCH(B910,'Room Info'!$D$2:$D2446, 0)),IF(G910='Room Info'!$E$1, INDEX('Room Info'!$A$2:$A2446, MATCH(B910,'Room Info'!$E$2:$E2446, 0)),IF(G910='Room Info'!$F$1, INDEX('Room Info'!$A$2:$A2446, MATCH(B910,'Room Info'!$F$2:$F2446, 0)),IF(G910='Room Info'!$H$1, INDEX('Room Info'!$A$2:$A2446, MATCH(B910,'Room Info'!$H$2:$H2446, 0)),IF(G910='Room Info'!$G$1, INDEX('Room Info'!$A$2:$A2446, MATCH(B910,'Room Info'!$G$2:$G2446, 0)))))))))</f>
        <v>Freedoom</v>
      </c>
      <c r="B910" s="45" t="s">
        <v>110</v>
      </c>
      <c r="C910" s="111">
        <v>44866</v>
      </c>
      <c r="D910" s="111">
        <v>44895</v>
      </c>
      <c r="E910" s="47">
        <v>44866</v>
      </c>
      <c r="F910" s="48" t="s">
        <v>41</v>
      </c>
      <c r="G910" s="45" t="s">
        <v>61</v>
      </c>
      <c r="H910" s="49" t="s">
        <v>131</v>
      </c>
      <c r="I910" s="49" t="s">
        <v>68</v>
      </c>
      <c r="J910" s="50">
        <v>5</v>
      </c>
      <c r="K910" s="123">
        <v>3954</v>
      </c>
      <c r="L910" s="113">
        <v>-300</v>
      </c>
      <c r="M910" s="62">
        <v>425</v>
      </c>
      <c r="N910" s="28">
        <f>K910*J910</f>
        <v>19770</v>
      </c>
      <c r="O910" s="65">
        <v>71338</v>
      </c>
      <c r="P910" s="29">
        <v>18.0419828</v>
      </c>
      <c r="Q910" s="55"/>
      <c r="R910" s="31">
        <f>M910+Q910</f>
        <v>425</v>
      </c>
      <c r="S910" s="66">
        <v>-636</v>
      </c>
      <c r="T910" s="32">
        <f>R910+S910+IF(F910="Without EV deal",L910,0)</f>
        <v>-511</v>
      </c>
      <c r="U910" s="57">
        <v>1</v>
      </c>
      <c r="V910" s="69"/>
      <c r="W910" s="69"/>
      <c r="X910" s="30">
        <f>IF(AF910="DoEV",IF(AND(V910&lt;20,W910&lt;55),0.3,0)+IF(AND(V910&lt;20,W910&gt;=55,W910&lt;105),0.23,0)+IF(AND(V910&lt;20,W910&gt;=105),0.17,0)+IF(AND(V910&gt;=20,V910&lt;40,W910&lt;45),0.3,0)+IF(AND(V910&gt;=20,V910&lt;40,W910&gt;=45,W910&lt;95),0.23,0)+IF(AND(V910&gt;=20,V910&lt;40,W910&gt;=95),0.17,0)+IF(AND(V910&gt;=40,V910&lt;75,W910&lt;35),0.3,0)+IF(AND(V910&gt;=40,V910&lt;75,W910&gt;=35,W910&lt;75),0.23,0)+IF(AND(V910&gt;=40,V910&lt;75,W910&gt;=75,W910&lt;120),0.17,0)+IF(AND(V910&gt;=40,V910&lt;75,W910&gt;=120),0.12,0)+IF(AND(V910&gt;=75,V910&lt;175,W910&lt;35),0.3,0)+IF(AND(V910&gt;=75,V910&lt;=175,W910&gt;=35,W910&lt;65),0.23,0)+IF(AND(V910&gt;=75,V910&lt;=175,W910&gt;=65,W910&lt;110),0.17,0)+IF(AND(V910&gt;=75,V910&lt;=175,W910&gt;=110),0.12,0)+IF(AND(V910&gt;175,W910&lt;25),0.3,0)+IF(AND(V910&gt;175,W910&gt;=25,W910&lt;55),0.23,0)+IF(AND(V910&gt;175,W910&gt;=55,W910&lt;95),0.17,0)+IF(AND(V910&gt;175,W910&gt;=95),0.12,0),
IF(AF910="Fix15",0.15,
IF(AF910="Fix11.25",0.1125,
IF(AF910="Fix10",0.1,
IF(AF910="Fix9",0.09,
IF(AF910="DoEV2017",IF(AND(W910&lt;74),0.2,0)+IF(AND(W910&gt;=74),0.17,0),
IF(AF910="SF",IF(AND(V910&lt;20,W910&lt;89),0.3,0)+IF(AND(V910&lt;20,W910&gt;=89),0.25,0)+IF(AND(V910&gt;=20,V910&lt;40,W910&lt;74),0.3,0)+IF(AND(V910&gt;=20,V910&lt;40,W910&gt;=75),0.22,0)+IF(AND(V910&gt;=40,V910&lt;75,W910&lt;75),0.26,0)+IF(AND(V910&gt;=40,V910&lt;75,W910&gt;=75),0.22,0)+IF(V910&gt;=75,0.22,0),
IF(AF910="DoEVold",IF(AND(V910&lt;40,W910&lt;35),0.35,0)+IF(AND(V910&lt;40,W910&gt;=35,W910&lt;75),0.25,0)+IF(AND(V910&lt;40,W910&gt;=75),0.17,0)+IF(AND(V910&gt;=40,V910&lt;75,W910&lt;25),0.35,0)+IF(AND(V910&gt;=40,V910&lt;75,W910&gt;=25,W910&lt;65),0.25,0)+IF(AND(V910&gt;=40,V910&lt;75,W910&gt;=65,W910&lt;100),0.17,0)+IF(AND(V910&gt;=40,V910&lt;75,W910&gt;=100),0.1,0)+IF(AND(V910&gt;=75,W910&lt;25),0.35,0)+IF(AND(V910&gt;=75,W910&gt;=25,W910&lt;60),0.25,0)+IF(AND(V910&gt;=75,W910&gt;=60,W910&lt;95),0.17,0)+IF(AND(V910&gt;=75,W910&gt;=95),0.1,0),
IF(AF910="DoEVold15",IF(AND(V910&lt;=40,W910&lt;35),0.35,0)+IF(AND(V910&lt;=40,W910&gt;=35,W910&lt;75),0.25,0)+IF(AND(V910&lt;=40,W910&gt;=75,W910&lt;120),0.17,0)+IF(AND(V910&lt;=40,W910&gt;=120),0.15,0)+IF(AND(V910&gt;40,V910&lt;75,W910&lt;25),0.35,0)+IF(AND(V910&gt;=40,V910&lt;75,W910&gt;=25,W910&lt;65),0.25,0)+IF(AND(V910&gt;=40,V910&lt;75,W910&gt;=65,W910&lt;100),0.17,0)+IF(AND(V910&gt;=40,V910&lt;75,W910&gt;=100),0.1,0)+IF(AND(V910&gt;=75,W910&lt;25),0.35,0)+IF(AND(V910&gt;=75,W910&gt;=25,W910&lt;60),0.25,0)+IF(AND(V910&gt;=75,W910&gt;=60,W910&lt;95),0.17,0)+IF(AND(V910&gt;=75,W910&gt;=95),0.1,0),
IF(AF910="DoEVba",IF(AND(V910&lt;20,W910&lt;105),0.2,0)+IF(AND(V910&lt;20,W910&gt;=105),0.15,0)+IF(AND(V910&gt;=20,V910&lt;40,W910&lt;95),0.2,0)+IF(AND(V910&gt;=20,V910&lt;40,W910&gt;=95,W910&lt;150),0.15,0)+IF(AND(V910&gt;=20,V910&lt;40,W910&gt;=150),0.12,0)+IF(AND(V910&gt;=40,V910&lt;75,W910&lt;75),0.2,0)+IF(AND(V910&gt;=40,V910&lt;75,W910&gt;=75,W910&lt;120),0.15,0)+IF(AND(V910&gt;=40,V910&lt;75,W910&gt;=120),0.12,0)+IF(AND(V910&gt;=75,V910&lt;175,W910&lt;65),0.2,0)+IF(AND(V910&gt;=75,V910&lt;175,W910&gt;=65,W910&lt;110),0.15,0)+IF(AND(V910&gt;=75,V910&lt;175,W910&gt;=110),0.12,0)+IF(AND(V910&gt;=175,W910&lt;55),0.2,0)+IF(AND(V910&gt;=175,W910&gt;=55,W910&lt;95),0.15,0)+IF(AND(V910&gt;=175,W910&gt;=95),0.12,0),
IF(AF910="DoEVku",IF(AND(V910&lt;20,W910&lt;55),0.23,0)+IF(AND(V910&lt;20,W910&gt;=55,W910&lt;105),0.2,0)+IF(AND(V910&lt;20,W910&gt;=105),0.17,0)+IF(AND(V910&gt;=20,V910&lt;40,W910&lt;45),0.23,0)+IF(AND(V910&gt;=20,V910&lt;40,W910&gt;=45,W910&lt;95),0.2,0)+IF(AND(V910&gt;=20,V910&lt;40,W910&gt;=95,W910&lt;=150),0.17,0)+IF(AND(V910&gt;=20,V910&lt;40,W910&gt;=150),0.12,0)+IF(AND(V910&gt;=40,V910&lt;75,W910&lt;35),0.23,0)+IF(AND(V910&gt;=40,V910&lt;75,W910&gt;=35,W910&lt;75),0.2,0)+IF(AND(V910&gt;=40,V910&lt;75,W910&gt;=75,W910&lt;120),0.17,0)+IF(AND(V910&gt;=40,V910&lt;75,W910&gt;=120),0.12,0)+IF(AND(V910&gt;=75,V910&lt;175,W910&lt;35),0.23,0)+IF(AND(V910&gt;=75,V910&lt;=175,W910&gt;=35,W910&lt;65),0.2,0)+IF(AND(V910&gt;=75,V910&lt;=175,W910&gt;=65,W910&lt;110),0.17,0)+IF(AND(V910&gt;=75,V910&lt;=175,W910&gt;=110),0.12,0)+IF(AND(V910&gt;175,W910&lt;25),0.23,0)+IF(AND(V910&gt;175,W910&gt;=25,W910&lt;55),0.2,0)+IF(AND(V910&gt;175,W910&gt;=55,W910&lt;95),0.17,0)+IF(AND(V910&gt;175,W910&gt;=95),0.12,0),
IF(AF910="DoEVs1",IF(AND(V910&lt;20,W910&lt;55),0.3,0)+IF(AND(V910&lt;20,W910&gt;=55,W910&lt;105),0.23,0)+IF(AND(V910&lt;20,W910&gt;=105),0.17,0)+IF(AND(V910&gt;=20,V910&lt;40,W910&lt;45),0.3,0)+IF(AND(V910&gt;=20,V910&lt;40,W910&gt;=45,W910&lt;95),0.23,0)+IF(AND(V910&gt;=20,V910&lt;40,W910&gt;=95,W910&lt;=150),0.17,0)+IF(AND(V910&gt;=20,V910&lt;40,W910&gt;=150),0.12,0)+IF(AND(V910&gt;=40,V910&lt;75,W910&lt;35),0.3,0)+IF(AND(V910&gt;=40,V910&lt;75,W910&gt;=35,W910&lt;75),0.23,0)+IF(AND(V910&gt;=40,V910&lt;75,W910&gt;=75,W910&lt;120),0.17,0)+IF(AND(V910&gt;=40,V910&lt;75,W910&gt;=120),0.12,0)+IF(AND(V910&gt;=75,V910&lt;175,W910&lt;35),0.3,0)+IF(AND(V910&gt;=75,V910&lt;=175,W910&gt;=35,W910&lt;65),0.23,0)+IF(AND(V910&gt;=75,V910&lt;=175,W910&gt;=65,W910&lt;110),0.17,0)+IF(AND(V910&gt;=75,V910&lt;=175,W910&gt;=110),0.12,0)+IF(AND(V910&gt;175,W910&lt;25),0.3,0)+IF(AND(V910&gt;175,W910&gt;=25,W910&lt;55),0.23,0)+IF(AND(V910&gt;175,W910&gt;=55,W910&lt;95),0.17,0)+IF(AND(V910&gt;175,W910&gt;=95),0.12,0),
IF(AF910="DoEVsu",IF(AND(V910&lt;20,W910&lt;55),0.3,0)+IF(AND(V910&lt;20,W910&gt;=55,W910&lt;105),0.23,0)+IF(AND(V910&lt;20,W910&gt;=105),0.17,0)+IF(AND(V910&gt;=20,V910&lt;40,W910&lt;45),0.3,0)+IF(AND(V910&gt;=20,V910&lt;40,W910&gt;=45,W910&lt;95),0.23,0)+IF(AND(V910&gt;=20,V910&lt;40,W910&gt;=95,W910&lt;=250),0.17,0)+IF(AND(V910&gt;=20,V910&lt;40,W910&gt;=250),0.12,0)+IF(AND(V910&gt;=40,V910&lt;75,W910&lt;35),0.3,0)+IF(AND(V910&gt;=40,V910&lt;75,W910&gt;=35,W910&lt;75),0.23,0)+IF(AND(V910&gt;=40,V910&lt;75,W910&gt;=75,W910&lt;120),0.17,0)+IF(AND(V910&gt;=40,V910&lt;75,W910&gt;=120),0.12,0)+IF(AND(V910&gt;=75,V910&lt;175,W910&lt;35),0.3,0)+IF(AND(V910&gt;=75,V910&lt;=175,W910&gt;=35,W910&lt;65),0.23,0)+IF(AND(V910&gt;=75,V910&lt;=175,W910&gt;=65,W910&lt;110),0.17,0)+IF(AND(V910&gt;=75,V910&lt;=175,W910&gt;=110),0.12,0)+IF(AND(V910&gt;175,W910&lt;25),0.3,0)+IF(AND(V910&gt;175,W910&gt;=25,W910&lt;55),0.23,0)+IF(AND(V910&gt;175,W910&gt;=55,W910&lt;95),0.17,0)+IF(AND(V910&gt;175,W910&gt;=95),0.12,0),
IF(AF910="DoEVni",IF(AND(V910&lt;20,W910&lt;55),0.3,0)+IF(AND(V910&lt;20,W910&gt;=55,W910&lt;105),0.23,0)+IF(AND(V910&lt;20,W910&gt;=105),0.17,0)+IF(AND(V910&gt;=20,V910&lt;40,W910&lt;45),0.3,0)+IF(AND(V910&gt;=20,V910&lt;40,W910&gt;=45,W910&lt;95),0.23,0)+IF(AND(V910&gt;=20,V910&lt;40,W910&gt;=95,W910&lt;=200),0.17,0)+IF(AND(V910&gt;=20,V910&lt;40,W910&gt;=200),0.12,0)+IF(AND(V910&gt;=40,V910&lt;75,W910&lt;35),0.3,0)+IF(AND(V910&gt;=40,V910&lt;75,W910&gt;=35,W910&lt;75),0.23,0)+IF(AND(V910&gt;=40,V910&lt;75,W910&gt;=75,W910&lt;120),0.17,0)+IF(AND(V910&gt;=40,V910&lt;75,W910&gt;=120),0.12,0)+IF(AND(V910&gt;=75,V910&lt;175,W910&lt;35),0.3,0)+IF(AND(V910&gt;=75,V910&lt;=175,W910&gt;=35,W910&lt;65),0.23,0)+IF(AND(V910&gt;=75,V910&lt;=175,W910&gt;=65,W910&lt;110),0.17,0)+IF(AND(V910&gt;=75,V910&lt;=175,W910&gt;=110),0.12,0)+IF(AND(V910&gt;175,W910&lt;25),0.3,0)+IF(AND(V910&gt;175,W910&gt;=25,W910&lt;55),0.23,0)+IF(AND(V910&gt;175,W910&gt;=55,W910&lt;95),0.17,0)+IF(AND(V910&gt;175,W910&gt;=95),0.12,0),
IF(AF910="DoEVLo",IF(AND(V910&lt;20,W910&lt;55),0.25,0)+IF(AND(V910&lt;20,W910&gt;=55,W910&lt;105),0.2,0)+IF(AND(V910&lt;20,W910&gt;=105),0.15,0)+IF(AND(V910&gt;=20,V910&lt;40,W910&lt;45),0.25,0)+IF(AND(V910&gt;=20,V910&lt;40,W910&gt;=45,W910&lt;95),0.2,0)+IF(AND(V910&gt;=20,V910&lt;40,W910&gt;=95),0.15,0)+IF(AND(V910&gt;=40,V910&lt;75,W910&lt;35),0.25,0)+IF(AND(V910&gt;=40,V910&lt;75,W910&gt;=35,W910&lt;75),0.2,0)+IF(AND(V910&gt;=40,V910&lt;75,W910&gt;=75,W910&lt;120),0.15,0)+IF(AND(V910&gt;=40,V910&lt;75,W910&gt;=120),0.1,0)+IF(AND(V910&gt;=75,V910&lt;175,W910&lt;35),0.25,0)+IF(AND(V910&gt;=75,V910&lt;=175,W910&gt;=35,W910&lt;65),0.2,0)+IF(AND(V910&gt;=75,V910&lt;=175,W910&gt;=65,W910&lt;110),0.15,0)+IF(AND(V910&gt;=75,V910&lt;=175,W910&gt;=110),0.1,0)+IF(AND(V910&gt;175,W910&lt;25),0.25,0)+IF(AND(V910&gt;175,W910&gt;=25,W910&lt;55),0.2,0)+IF(AND(V910&gt;175,W910&gt;=55,W910&lt;95),0.15,0)+IF(AND(V910&gt;175,W910&gt;=95),0.1,0))))))))))))))))</f>
        <v>0.35</v>
      </c>
      <c r="Y910" s="30">
        <f>IF(AG910="None",0,IF(AG910="Fix5",0.05,IF(AG910="Fix3.75",0.0375,IF(AG910="Fix10",0.1,IF(AG910="Fix3",0.03,0)))))</f>
        <v>0</v>
      </c>
      <c r="Z910" s="35">
        <v>94</v>
      </c>
      <c r="AA910" s="29">
        <v>31</v>
      </c>
      <c r="AB910" s="36">
        <f>IF(AD910="EUR",((T910-R910)*Y910)*U910+(R910*Y910),(T910*Y910))</f>
        <v>0</v>
      </c>
      <c r="AC910" s="37" t="b">
        <v>1</v>
      </c>
      <c r="AD910" s="61" t="s">
        <v>38</v>
      </c>
      <c r="AE910" s="61" t="s">
        <v>38</v>
      </c>
      <c r="AF910" s="37" t="str">
        <f t="array" ref="AF910">INDEX('Deal Info'!D:D, MATCH(A910,'Deal Info'!A:A, 0))</f>
        <v>DoEVold</v>
      </c>
      <c r="AG910" s="38" t="str">
        <f t="array" ref="AG910">INDEX('Deal Info'!G:G, MATCH(A910,'Deal Info'!A:A, 0))</f>
        <v>None</v>
      </c>
    </row>
    <row r="911" spans="1:33" ht="14.25" x14ac:dyDescent="0.2">
      <c r="A911" s="18" t="str">
        <f t="array" ref="A911">IF(G911='Room Info'!$B$1, INDEX('Room Info'!$A$2:$A2446, MATCH(B911,'Room Info'!$B$2:$B2446, 0)),IF(G911='Room Info'!$C$1, INDEX('Room Info'!$A$2:$A2446, MATCH(B911,'Room Info'!$C$2:$C2446, 0)),IF(G911='Room Info'!$D$1, INDEX('Room Info'!$A$2:$A2446, MATCH(B911,'Room Info'!$D$2:$D2446, 0)),IF(G911='Room Info'!$E$1, INDEX('Room Info'!$A$2:$A2446, MATCH(B911,'Room Info'!$E$2:$E2446, 0)),IF(G911='Room Info'!$F$1, INDEX('Room Info'!$A$2:$A2446, MATCH(B911,'Room Info'!$F$2:$F2446, 0)),IF(G911='Room Info'!$H$1, INDEX('Room Info'!$A$2:$A2446, MATCH(B911,'Room Info'!$H$2:$H2446, 0)),IF(G911='Room Info'!$G$1, INDEX('Room Info'!$A$2:$A2446, MATCH(B911,'Room Info'!$G$2:$G2446, 0)))))))))</f>
        <v>vezuxa</v>
      </c>
      <c r="B911" s="45" t="s">
        <v>133</v>
      </c>
      <c r="C911" s="283">
        <v>44866</v>
      </c>
      <c r="D911" s="46">
        <v>44895</v>
      </c>
      <c r="E911" s="47">
        <v>44866</v>
      </c>
      <c r="F911" s="48" t="s">
        <v>41</v>
      </c>
      <c r="G911" s="45" t="s">
        <v>61</v>
      </c>
      <c r="H911" s="49" t="s">
        <v>54</v>
      </c>
      <c r="I911" s="49" t="s">
        <v>101</v>
      </c>
      <c r="J911" s="70">
        <v>5</v>
      </c>
      <c r="K911" s="71">
        <v>16</v>
      </c>
      <c r="L911" s="52">
        <v>-25</v>
      </c>
      <c r="M911" s="53">
        <v>0</v>
      </c>
      <c r="N911" s="28">
        <f>K911*J911</f>
        <v>80</v>
      </c>
      <c r="O911" s="54">
        <v>1070</v>
      </c>
      <c r="P911" s="29">
        <v>66.875</v>
      </c>
      <c r="Q911" s="55"/>
      <c r="R911" s="31">
        <f>M911+Q911</f>
        <v>0</v>
      </c>
      <c r="S911" s="56"/>
      <c r="T911" s="32">
        <f>R911+S911+IF(F911="Without EV deal",L911,0)</f>
        <v>-25</v>
      </c>
      <c r="U911" s="57">
        <v>1</v>
      </c>
      <c r="V911" s="58"/>
      <c r="W911" s="58"/>
      <c r="X911" s="30">
        <v>0.17</v>
      </c>
      <c r="Y911" s="30">
        <f>IF(AG911="None",0,IF(AG911="Fix5",0.05, IF(AG911="Fix6.25",0.0625,IF(AG911="Fix3.75",0.0375,IF(AG911="Fix10",0.1,IF(AG911="Fix3",0.03,0))))))</f>
        <v>0</v>
      </c>
      <c r="Z911" s="59">
        <f>T911-AA911-AB911</f>
        <v>-20.75</v>
      </c>
      <c r="AA911" s="60">
        <f>IF(AD911="EUR",((T911-R911)*X911)*U911+(R911*X911),(T911*X911))</f>
        <v>-4.25</v>
      </c>
      <c r="AB911" s="36">
        <f>IF(AD911="EUR",((T911-R911)*Y911)*U911+(R911*Y911),(T911*Y911))</f>
        <v>0</v>
      </c>
      <c r="AC911" s="37" t="b">
        <v>1</v>
      </c>
      <c r="AD911" s="37" t="s">
        <v>50</v>
      </c>
      <c r="AE911" s="37"/>
      <c r="AF911" s="37" t="str">
        <f t="array" ref="AF911">INDEX('Deal Info'!D:D, MATCH(A911,'Deal Info'!A:A, 0))</f>
        <v>DoEV</v>
      </c>
      <c r="AG911" s="38" t="str">
        <f t="array" ref="AG911">INDEX('Deal Info'!G:G, MATCH(A911,'Deal Info'!A:A, 0))</f>
        <v>None</v>
      </c>
    </row>
    <row r="912" spans="1:33" ht="14.25" x14ac:dyDescent="0.2">
      <c r="A912" s="18" t="str">
        <f t="array" ref="A912">IF(G912='Room Info'!$B$1, INDEX('Room Info'!$A$2:$A2446, MATCH(B912,'Room Info'!$B$2:$B2446, 0)),IF(G912='Room Info'!$C$1, INDEX('Room Info'!$A$2:$A2446, MATCH(B912,'Room Info'!$C$2:$C2446, 0)),IF(G912='Room Info'!$D$1, INDEX('Room Info'!$A$2:$A2446, MATCH(B912,'Room Info'!$D$2:$D2446, 0)),IF(G912='Room Info'!$E$1, INDEX('Room Info'!$A$2:$A2446, MATCH(B912,'Room Info'!$E$2:$E2446, 0)),IF(G912='Room Info'!$F$1, INDEX('Room Info'!$A$2:$A2446, MATCH(B912,'Room Info'!$F$2:$F2446, 0)),IF(G912='Room Info'!$H$1, INDEX('Room Info'!$A$2:$A2446, MATCH(B912,'Room Info'!$H$2:$H2446, 0)),IF(G912='Room Info'!$G$1, INDEX('Room Info'!$A$2:$A2446, MATCH(B912,'Room Info'!$G$2:$G2446, 0)))))))))</f>
        <v>fortunate773</v>
      </c>
      <c r="B912" s="45" t="s">
        <v>95</v>
      </c>
      <c r="C912" s="111">
        <v>44866</v>
      </c>
      <c r="D912" s="111">
        <v>44885</v>
      </c>
      <c r="E912" s="47">
        <v>44866</v>
      </c>
      <c r="F912" s="48" t="s">
        <v>34</v>
      </c>
      <c r="G912" s="45" t="s">
        <v>61</v>
      </c>
      <c r="H912" s="49" t="s">
        <v>135</v>
      </c>
      <c r="I912" s="49" t="s">
        <v>101</v>
      </c>
      <c r="J912" s="70">
        <v>250</v>
      </c>
      <c r="K912" s="71">
        <v>871</v>
      </c>
      <c r="L912" s="113">
        <v>-11308</v>
      </c>
      <c r="M912" s="62">
        <v>10220</v>
      </c>
      <c r="N912" s="28">
        <f>K912*J912</f>
        <v>217750</v>
      </c>
      <c r="O912" s="65">
        <v>28036</v>
      </c>
      <c r="P912" s="29">
        <v>32.188289320000003</v>
      </c>
      <c r="Q912" s="55"/>
      <c r="R912" s="31">
        <f>M912+Q912</f>
        <v>10220</v>
      </c>
      <c r="S912" s="66">
        <v>-4640</v>
      </c>
      <c r="T912" s="32">
        <f>R912+S912+IF(F912="Without EV deal",L912,0)</f>
        <v>5580</v>
      </c>
      <c r="U912" s="57">
        <v>1</v>
      </c>
      <c r="V912" s="58"/>
      <c r="W912" s="58"/>
      <c r="X912" s="78">
        <f>IF(AF912="DoEV",IF(AND(V912&lt;20,W912&lt;55),0.3,0)+IF(AND(V912&lt;20,W912&gt;=55,W912&lt;105),0.23,0)+IF(AND(V912&lt;20,W912&gt;=105),0.17,0)+IF(AND(V912&gt;=20,V912&lt;40,W912&lt;45),0.3,0)+IF(AND(V912&gt;=20,V912&lt;40,W912&gt;=45,W912&lt;95),0.23,0)+IF(AND(V912&gt;=20,V912&lt;40,W912&gt;=95),0.17,0)+IF(AND(V912&gt;=40,V912&lt;75,W912&lt;35),0.3,0)+IF(AND(V912&gt;=40,V912&lt;75,W912&gt;=35,W912&lt;75),0.23,0)+IF(AND(V912&gt;=40,V912&lt;75,W912&gt;=75,W912&lt;120),0.17,0)+IF(AND(V912&gt;=40,V912&lt;75,W912&gt;=120),0.12,0)+IF(AND(V912&gt;=75,V912&lt;175,W912&lt;35),0.3,0)+IF(AND(V912&gt;=75,V912&lt;=175,W912&gt;=35,W912&lt;65),0.23,0)+IF(AND(V912&gt;=75,V912&lt;=175,W912&gt;=65,W912&lt;110),0.17,0)+IF(AND(V912&gt;=75,V912&lt;=175,W912&gt;=110),0.12,0)+IF(AND(V912&gt;175,W912&lt;25),0.3,0)+IF(AND(V912&gt;175,W912&gt;=25,W912&lt;55),0.23,0)+IF(AND(V912&gt;175,W912&gt;=55,W912&lt;95),0.17,0)+IF(AND(V912&gt;175,W912&gt;=95),0.12,0),
IF(AF912="Fix15",0.15,
IF(AF912="Fix11.25",0.1125,
IF(AF912="Fix10",0.1,
IF(AF912="Fix9",0.09,
IF(AF912="DoEV2017",IF(AND(W912&lt;74),0.2,0)+IF(AND(W912&gt;=74),0.17,0),
IF(AF912="SF",IF(AND(V912&lt;20,W912&lt;89),0.3,0)+IF(AND(V912&lt;20,W912&gt;=89),0.25,0)+IF(AND(V912&gt;=20,V912&lt;40,W912&lt;74),0.3,0)+IF(AND(V912&gt;=20,V912&lt;40,W912&gt;=75),0.22,0)+IF(AND(V912&gt;=40,V912&lt;75,W912&lt;75),0.26,0)+IF(AND(V912&gt;=40,V912&lt;75,W912&gt;=75),0.22,0)+IF(V912&gt;=75,0.22,0),
IF(AF912="DoEVold",IF(AND(V912&lt;40,W912&lt;35),0.35,0)+IF(AND(V912&lt;40,W912&gt;=35,W912&lt;75),0.25,0)+IF(AND(V912&lt;40,W912&gt;=75),0.17,0)+IF(AND(V912&gt;=40,V912&lt;75,W912&lt;25),0.35,0)+IF(AND(V912&gt;=40,V912&lt;75,W912&gt;=25,W912&lt;65),0.25,0)+IF(AND(V912&gt;=40,V912&lt;75,W912&gt;=65,W912&lt;100),0.17,0)+IF(AND(V912&gt;=40,V912&lt;75,W912&gt;=100),0.1,0)+IF(AND(V912&gt;=75,W912&lt;25),0.35,0)+IF(AND(V912&gt;=75,W912&gt;=25,W912&lt;60),0.25,0)+IF(AND(V912&gt;=75,W912&gt;=60,W912&lt;95),0.17,0)+IF(AND(V912&gt;=75,W912&gt;=95),0.1,0),
IF(AF912="DoEVold15",IF(AND(V912&lt;=40,W912&lt;35),0.35,0)+IF(AND(V912&lt;=40,W912&gt;=35,W912&lt;75),0.25,0)+IF(AND(V912&lt;=40,W912&gt;=75,W912&lt;120),0.17,0)+IF(AND(V912&lt;=40,W912&gt;=120),0.15,0)+IF(AND(V912&gt;40,V912&lt;75,W912&lt;25),0.35,0)+IF(AND(V912&gt;=40,V912&lt;75,W912&gt;=25,W912&lt;65),0.25,0)+IF(AND(V912&gt;=40,V912&lt;75,W912&gt;=65,W912&lt;100),0.17,0)+IF(AND(V912&gt;=40,V912&lt;75,W912&gt;=100),0.1,0)+IF(AND(V912&gt;=75,W912&lt;25),0.35,0)+IF(AND(V912&gt;=75,W912&gt;=25,W912&lt;60),0.25,0)+IF(AND(V912&gt;=75,W912&gt;=60,W912&lt;95),0.17,0)+IF(AND(V912&gt;=75,W912&gt;=95),0.1,0),
IF(AF912="DoEVba",IF(AND(V912&lt;20,W912&lt;105),0.2,0)+IF(AND(V912&lt;20,W912&gt;=105),0.15,0)+IF(AND(V912&gt;=20,V912&lt;40,W912&lt;95),0.2,0)+IF(AND(V912&gt;=20,V912&lt;40,W912&gt;=95,W912&lt;150),0.15,0)+IF(AND(V912&gt;=20,V912&lt;40,W912&gt;=150),0.12,0)+IF(AND(V912&gt;=40,V912&lt;75,W912&lt;75),0.2,0)+IF(AND(V912&gt;=40,V912&lt;75,W912&gt;=75,W912&lt;120),0.15,0)+IF(AND(V912&gt;=40,V912&lt;75,W912&gt;=120),0.12,0)+IF(AND(V912&gt;=75,V912&lt;175,W912&lt;65),0.2,0)+IF(AND(V912&gt;=75,V912&lt;175,W912&gt;=65,W912&lt;110),0.15,0)+IF(AND(V912&gt;=75,V912&lt;175,W912&gt;=110),0.12,0)+IF(AND(V912&gt;=175,W912&lt;55),0.2,0)+IF(AND(V912&gt;=175,W912&gt;=55,W912&lt;95),0.15,0)+IF(AND(V912&gt;=175,W912&gt;=95),0.12,0),
IF(AF912="DoEVku",IF(AND(V912&lt;20,W912&lt;55),0.23,0)+IF(AND(V912&lt;20,W912&gt;=55,W912&lt;105),0.2,0)+IF(AND(V912&lt;20,W912&gt;=105),0.17,0)+IF(AND(V912&gt;=20,V912&lt;40,W912&lt;45),0.23,0)+IF(AND(V912&gt;=20,V912&lt;40,W912&gt;=45,W912&lt;95),0.2,0)+IF(AND(V912&gt;=20,V912&lt;40,W912&gt;=95,W912&lt;=150),0.17,0)+IF(AND(V912&gt;=20,V912&lt;40,W912&gt;=150),0.12,0)+IF(AND(V912&gt;=40,V912&lt;75,W912&lt;35),0.23,0)+IF(AND(V912&gt;=40,V912&lt;75,W912&gt;=35,W912&lt;75),0.2,0)+IF(AND(V912&gt;=40,V912&lt;75,W912&gt;=75,W912&lt;120),0.17,0)+IF(AND(V912&gt;=40,V912&lt;75,W912&gt;=120),0.12,0)+IF(AND(V912&gt;=75,V912&lt;175,W912&lt;35),0.23,0)+IF(AND(V912&gt;=75,V912&lt;=175,W912&gt;=35,W912&lt;65),0.2,0)+IF(AND(V912&gt;=75,V912&lt;=175,W912&gt;=65,W912&lt;110),0.17,0)+IF(AND(V912&gt;=75,V912&lt;=175,W912&gt;=110),0.12,0)+IF(AND(V912&gt;175,W912&lt;25),0.23,0)+IF(AND(V912&gt;175,W912&gt;=25,W912&lt;55),0.2,0)+IF(AND(V912&gt;175,W912&gt;=55,W912&lt;95),0.17,0)+IF(AND(V912&gt;175,W912&gt;=95),0.12,0),
IF(AF912="DoEVs1",IF(AND(V912&lt;20,W912&lt;55),0.3,0)+IF(AND(V912&lt;20,W912&gt;=55,W912&lt;105),0.23,0)+IF(AND(V912&lt;20,W912&gt;=105),0.17,0)+IF(AND(V912&gt;=20,V912&lt;40,W912&lt;45),0.3,0)+IF(AND(V912&gt;=20,V912&lt;40,W912&gt;=45,W912&lt;95),0.23,0)+IF(AND(V912&gt;=20,V912&lt;40,W912&gt;=95,W912&lt;=150),0.17,0)+IF(AND(V912&gt;=20,V912&lt;40,W912&gt;=150),0.12,0)+IF(AND(V912&gt;=40,V912&lt;75,W912&lt;35),0.3,0)+IF(AND(V912&gt;=40,V912&lt;75,W912&gt;=35,W912&lt;75),0.23,0)+IF(AND(V912&gt;=40,V912&lt;75,W912&gt;=75,W912&lt;120),0.17,0)+IF(AND(V912&gt;=40,V912&lt;75,W912&gt;=120),0.12,0)+IF(AND(V912&gt;=75,V912&lt;175,W912&lt;35),0.3,0)+IF(AND(V912&gt;=75,V912&lt;=175,W912&gt;=35,W912&lt;65),0.23,0)+IF(AND(V912&gt;=75,V912&lt;=175,W912&gt;=65,W912&lt;110),0.17,0)+IF(AND(V912&gt;=75,V912&lt;=175,W912&gt;=110),0.12,0)+IF(AND(V912&gt;175,W912&lt;25),0.3,0)+IF(AND(V912&gt;175,W912&gt;=25,W912&lt;55),0.23,0)+IF(AND(V912&gt;175,W912&gt;=55,W912&lt;95),0.17,0)+IF(AND(V912&gt;175,W912&gt;=95),0.12,0),
IF(AF912="DoEVsu",IF(AND(V912&lt;20,W912&lt;55),0.3,0)+IF(AND(V912&lt;20,W912&gt;=55,W912&lt;105),0.23,0)+IF(AND(V912&lt;20,W912&gt;=105),0.17,0)+IF(AND(V912&gt;=20,V912&lt;40,W912&lt;45),0.3,0)+IF(AND(V912&gt;=20,V912&lt;40,W912&gt;=45,W912&lt;95),0.23,0)+IF(AND(V912&gt;=20,V912&lt;40,W912&gt;=95,W912&lt;=250),0.17,0)+IF(AND(V912&gt;=20,V912&lt;40,W912&gt;=250),0.12,0)+IF(AND(V912&gt;=40,V912&lt;75,W912&lt;35),0.3,0)+IF(AND(V912&gt;=40,V912&lt;75,W912&gt;=35,W912&lt;75),0.23,0)+IF(AND(V912&gt;=40,V912&lt;75,W912&gt;=75,W912&lt;120),0.17,0)+IF(AND(V912&gt;=40,V912&lt;75,W912&gt;=120),0.12,0)+IF(AND(V912&gt;=75,V912&lt;175,W912&lt;35),0.3,0)+IF(AND(V912&gt;=75,V912&lt;=175,W912&gt;=35,W912&lt;65),0.23,0)+IF(AND(V912&gt;=75,V912&lt;=175,W912&gt;=65,W912&lt;110),0.17,0)+IF(AND(V912&gt;=75,V912&lt;=175,W912&gt;=110),0.12,0)+IF(AND(V912&gt;175,W912&lt;25),0.3,0)+IF(AND(V912&gt;175,W912&gt;=25,W912&lt;55),0.23,0)+IF(AND(V912&gt;175,W912&gt;=55,W912&lt;95),0.17,0)+IF(AND(V912&gt;175,W912&gt;=95),0.12,0),
IF(AF912="DoEVni",IF(AND(V912&lt;20,W912&lt;55),0.3,0)+IF(AND(V912&lt;20,W912&gt;=55,W912&lt;105),0.23,0)+IF(AND(V912&lt;20,W912&gt;=105),0.17,0)+IF(AND(V912&gt;=20,V912&lt;40,W912&lt;45),0.3,0)+IF(AND(V912&gt;=20,V912&lt;40,W912&gt;=45,W912&lt;95),0.23,0)+IF(AND(V912&gt;=20,V912&lt;40,W912&gt;=95,W912&lt;=200),0.17,0)+IF(AND(V912&gt;=20,V912&lt;40,W912&gt;=200),0.12,0)+IF(AND(V912&gt;=40,V912&lt;75,W912&lt;35),0.3,0)+IF(AND(V912&gt;=40,V912&lt;75,W912&gt;=35,W912&lt;75),0.23,0)+IF(AND(V912&gt;=40,V912&lt;75,W912&gt;=75,W912&lt;120),0.17,0)+IF(AND(V912&gt;=40,V912&lt;75,W912&gt;=120),0.12,0)+IF(AND(V912&gt;=75,V912&lt;175,W912&lt;35),0.3,0)+IF(AND(V912&gt;=75,V912&lt;=175,W912&gt;=35,W912&lt;65),0.23,0)+IF(AND(V912&gt;=75,V912&lt;=175,W912&gt;=65,W912&lt;110),0.17,0)+IF(AND(V912&gt;=75,V912&lt;=175,W912&gt;=110),0.12,0)+IF(AND(V912&gt;175,W912&lt;25),0.3,0)+IF(AND(V912&gt;175,W912&gt;=25,W912&lt;55),0.23,0)+IF(AND(V912&gt;175,W912&gt;=55,W912&lt;95),0.17,0)+IF(AND(V912&gt;175,W912&gt;=95),0.12,0),
IF(AF912="DoEVLo",IF(AND(V912&lt;20,W912&lt;55),0.25,0)+IF(AND(V912&lt;20,W912&gt;=55,W912&lt;105),0.2,0)+IF(AND(V912&lt;20,W912&gt;=105),0.15,0)+IF(AND(V912&gt;=20,V912&lt;40,W912&lt;45),0.25,0)+IF(AND(V912&gt;=20,V912&lt;40,W912&gt;=45,W912&lt;95),0.2,0)+IF(AND(V912&gt;=20,V912&lt;40,W912&gt;=95),0.15,0)+IF(AND(V912&gt;=40,V912&lt;75,W912&lt;35),0.25,0)+IF(AND(V912&gt;=40,V912&lt;75,W912&gt;=35,W912&lt;75),0.2,0)+IF(AND(V912&gt;=40,V912&lt;75,W912&gt;=75,W912&lt;120),0.15,0)+IF(AND(V912&gt;=40,V912&lt;75,W912&gt;=120),0.1,0)+IF(AND(V912&gt;=75,V912&lt;175,W912&lt;35),0.25,0)+IF(AND(V912&gt;=75,V912&lt;=175,W912&gt;=35,W912&lt;65),0.2,0)+IF(AND(V912&gt;=75,V912&lt;=175,W912&gt;=65,W912&lt;110),0.15,0)+IF(AND(V912&gt;=75,V912&lt;=175,W912&gt;=110),0.1,0)+IF(AND(V912&gt;175,W912&lt;25),0.25,0)+IF(AND(V912&gt;175,W912&gt;=25,W912&lt;55),0.2,0)+IF(AND(V912&gt;175,W912&gt;=55,W912&lt;95),0.15,0)+IF(AND(V912&gt;175,W912&gt;=95),0.1,0))))))))))))))))</f>
        <v>0.15</v>
      </c>
      <c r="Y912" s="30">
        <f>IF(AG912="None",0,IF(AG912="Fix5",0.05,IF(AG912="Fix3.75",0.0375,IF(AG912="Fix10",0.1,IF(AG912="Fix3",0.03,0)))))</f>
        <v>0.05</v>
      </c>
      <c r="Z912" s="35">
        <v>4464</v>
      </c>
      <c r="AA912" s="60">
        <v>1116</v>
      </c>
      <c r="AB912" s="36"/>
      <c r="AC912" s="37" t="b">
        <v>0</v>
      </c>
      <c r="AD912" s="37" t="s">
        <v>50</v>
      </c>
      <c r="AE912" s="37"/>
      <c r="AF912" s="37" t="str">
        <f t="array" ref="AF912">INDEX('Deal Info'!D:D, MATCH(A912,'Deal Info'!A:A, 0))</f>
        <v>Fix15</v>
      </c>
      <c r="AG912" s="38" t="str">
        <f t="array" ref="AG912">INDEX('Deal Info'!G:G, MATCH(A912,'Deal Info'!A:A, 0))</f>
        <v>Fix5</v>
      </c>
    </row>
    <row r="913" spans="1:33" ht="14.25" x14ac:dyDescent="0.2">
      <c r="A913" s="18" t="str">
        <f t="array" ref="A913">IF(G913='Room Info'!$B$1, INDEX('Room Info'!$A$2:$A2446, MATCH(B913,'Room Info'!$B$2:$B2446, 0)),IF(G913='Room Info'!$C$1, INDEX('Room Info'!$A$2:$A2446, MATCH(B913,'Room Info'!$C$2:$C2446, 0)),IF(G913='Room Info'!$D$1, INDEX('Room Info'!$A$2:$A2446, MATCH(B913,'Room Info'!$D$2:$D2446, 0)),IF(G913='Room Info'!$E$1, INDEX('Room Info'!$A$2:$A2446, MATCH(B913,'Room Info'!$E$2:$E2446, 0)),IF(G913='Room Info'!$F$1, INDEX('Room Info'!$A$2:$A2446, MATCH(B913,'Room Info'!$F$2:$F2446, 0)),IF(G913='Room Info'!$H$1, INDEX('Room Info'!$A$2:$A2446, MATCH(B913,'Room Info'!$H$2:$H2446, 0)),IF(G913='Room Info'!$G$1, INDEX('Room Info'!$A$2:$A2446, MATCH(B913,'Room Info'!$G$2:$G2446, 0)))))))))</f>
        <v>Mackevgen</v>
      </c>
      <c r="B913" s="65" t="s">
        <v>128</v>
      </c>
      <c r="C913" s="111">
        <v>44883</v>
      </c>
      <c r="D913" s="111">
        <v>44895</v>
      </c>
      <c r="E913" s="47">
        <v>44866</v>
      </c>
      <c r="F913" s="129" t="s">
        <v>49</v>
      </c>
      <c r="G913" s="65" t="s">
        <v>61</v>
      </c>
      <c r="H913" s="110" t="s">
        <v>141</v>
      </c>
      <c r="I913" s="49" t="s">
        <v>68</v>
      </c>
      <c r="J913" s="50">
        <v>25</v>
      </c>
      <c r="K913" s="123">
        <v>149</v>
      </c>
      <c r="L913" s="52">
        <v>-800</v>
      </c>
      <c r="M913" s="62">
        <v>46</v>
      </c>
      <c r="N913" s="28">
        <f>K913*J913</f>
        <v>3725</v>
      </c>
      <c r="O913" s="54">
        <v>-332</v>
      </c>
      <c r="P913" s="29">
        <v>-2.2281879189999998</v>
      </c>
      <c r="Q913" s="55"/>
      <c r="R913" s="31">
        <f>M913+Q913</f>
        <v>46</v>
      </c>
      <c r="S913" s="56">
        <v>-355</v>
      </c>
      <c r="T913" s="32">
        <f>R913+S913+IF(F913="Without EV deal",L913,0)</f>
        <v>-309</v>
      </c>
      <c r="U913" s="57">
        <v>1</v>
      </c>
      <c r="V913" s="58"/>
      <c r="W913" s="58"/>
      <c r="X913" s="78">
        <v>0.17</v>
      </c>
      <c r="Y913" s="30">
        <f>IF(AG913="None",0,IF(AG913="Fix5",0.05, IF(AG913="Fix6.25",0.0625,IF(AG913="Fix3.75",0.0375,IF(AG913="Fix10",0.1,IF(AG913="Fix3",0.03,0))))))</f>
        <v>0</v>
      </c>
      <c r="Z913" s="35">
        <f>T913-AA913-AB913</f>
        <v>-257</v>
      </c>
      <c r="AA913" s="29">
        <v>-52</v>
      </c>
      <c r="AB913" s="36">
        <f>IF(AD913="EUR",((T913-R913)*Y913)*U913+(R913*Y913),(T913*Y913))</f>
        <v>0</v>
      </c>
      <c r="AC913" s="37" t="b">
        <v>1</v>
      </c>
      <c r="AD913" s="61" t="s">
        <v>38</v>
      </c>
      <c r="AE913" s="61" t="s">
        <v>38</v>
      </c>
      <c r="AF913" s="37" t="str">
        <f t="array" ref="AF913">INDEX('Deal Info'!D:D, MATCH(A913,'Deal Info'!A:A, 0))</f>
        <v>DoEV</v>
      </c>
      <c r="AG913" s="38" t="str">
        <f t="array" ref="AG913">INDEX('Deal Info'!G:G, MATCH(A913,'Deal Info'!A:A, 0))</f>
        <v>None</v>
      </c>
    </row>
    <row r="914" spans="1:33" ht="14.25" x14ac:dyDescent="0.2">
      <c r="A914" s="18" t="str">
        <f t="array" ref="A914">IF(G914='Room Info'!$B$1, INDEX('Room Info'!$A$2:$A2446, MATCH(B914,'Room Info'!$B$2:$B2446, 0)),IF(G914='Room Info'!$C$1, INDEX('Room Info'!$A$2:$A2446, MATCH(B914,'Room Info'!$C$2:$C2446, 0)),IF(G914='Room Info'!$D$1, INDEX('Room Info'!$A$2:$A2446, MATCH(B914,'Room Info'!$D$2:$D2446, 0)),IF(G914='Room Info'!$E$1, INDEX('Room Info'!$A$2:$A2446, MATCH(B914,'Room Info'!$E$2:$E2446, 0)),IF(G914='Room Info'!$F$1, INDEX('Room Info'!$A$2:$A2446, MATCH(B914,'Room Info'!$F$2:$F2446, 0)),IF(G914='Room Info'!$H$1, INDEX('Room Info'!$A$2:$A2446, MATCH(B914,'Room Info'!$H$2:$H2446, 0)),IF(G914='Room Info'!$G$1, INDEX('Room Info'!$A$2:$A2446, MATCH(B914,'Room Info'!$G$2:$G2446, 0)))))))))</f>
        <v>Lo4io</v>
      </c>
      <c r="B914" s="45" t="s">
        <v>107</v>
      </c>
      <c r="C914" s="283">
        <v>44855</v>
      </c>
      <c r="D914" s="283">
        <v>44885</v>
      </c>
      <c r="E914" s="47">
        <v>44866</v>
      </c>
      <c r="F914" s="48" t="s">
        <v>34</v>
      </c>
      <c r="G914" s="129" t="s">
        <v>61</v>
      </c>
      <c r="H914" s="49" t="s">
        <v>167</v>
      </c>
      <c r="I914" s="49" t="s">
        <v>101</v>
      </c>
      <c r="J914" s="70">
        <v>25</v>
      </c>
      <c r="K914" s="71">
        <v>435</v>
      </c>
      <c r="L914" s="135">
        <v>386</v>
      </c>
      <c r="M914" s="79">
        <v>62</v>
      </c>
      <c r="N914" s="28">
        <f>K914*J914</f>
        <v>10875</v>
      </c>
      <c r="O914" s="129">
        <v>26796</v>
      </c>
      <c r="P914" s="29">
        <v>61.6</v>
      </c>
      <c r="Q914" s="55"/>
      <c r="R914" s="31">
        <f>M914+Q914</f>
        <v>62</v>
      </c>
      <c r="S914" s="97">
        <v>343</v>
      </c>
      <c r="T914" s="32">
        <f>R914+S914+IF(F914="Without EV deal",L914,0)</f>
        <v>405</v>
      </c>
      <c r="U914" s="57">
        <v>1.028</v>
      </c>
      <c r="V914" s="58">
        <v>25</v>
      </c>
      <c r="W914" s="58">
        <v>55.32</v>
      </c>
      <c r="X914" s="78">
        <f>IF(AF914="DoEV",IF(AND(V914&lt;20,W914&lt;55),0.3,0)+IF(AND(V914&lt;20,W914&gt;=55,W914&lt;105),0.23,0)+IF(AND(V914&lt;20,W914&gt;=105),0.17,0)+IF(AND(V914&gt;=20,V914&lt;40,W914&lt;45),0.3,0)+IF(AND(V914&gt;=20,V914&lt;40,W914&gt;=45,W914&lt;95),0.23,0)+IF(AND(V914&gt;=20,V914&lt;40,W914&gt;=95),0.17,0)+IF(AND(V914&gt;=40,V914&lt;75,W914&lt;35),0.3,0)+IF(AND(V914&gt;=40,V914&lt;75,W914&gt;=35,W914&lt;75),0.23,0)+IF(AND(V914&gt;=40,V914&lt;75,W914&gt;=75,W914&lt;120),0.17,0)+IF(AND(V914&gt;=40,V914&lt;75,W914&gt;=120),0.12,0)+IF(AND(V914&gt;=75,V914&lt;175,W914&lt;35),0.3,0)+IF(AND(V914&gt;=75,V914&lt;=175,W914&gt;=35,W914&lt;65),0.23,0)+IF(AND(V914&gt;=75,V914&lt;=175,W914&gt;=65,W914&lt;110),0.17,0)+IF(AND(V914&gt;=75,V914&lt;=175,W914&gt;=110),0.12,0)+IF(AND(V914&gt;175,W914&lt;25),0.3,0)+IF(AND(V914&gt;175,W914&gt;=25,W914&lt;55),0.23,0)+IF(AND(V914&gt;175,W914&gt;=55,W914&lt;95),0.17,0)+IF(AND(V914&gt;175,W914&gt;=95),0.12,0),
IF(AF914="Fix15",0.15,
IF(AF914="Fix11.25",0.1125,
IF(AF914="Fix10",0.1,
IF(AF914="Fix9",0.09,
IF(AF914="DoEV2017",IF(AND(W914&lt;74),0.2,0)+IF(AND(W914&gt;=74),0.17,0),
IF(AF914="SF",IF(AND(V914&lt;20,W914&lt;89),0.3,0)+IF(AND(V914&lt;20,W914&gt;=89),0.25,0)+IF(AND(V914&gt;=20,V914&lt;40,W914&lt;74),0.3,0)+IF(AND(V914&gt;=20,V914&lt;40,W914&gt;=75),0.22,0)+IF(AND(V914&gt;=40,V914&lt;75,W914&lt;75),0.26,0)+IF(AND(V914&gt;=40,V914&lt;75,W914&gt;=75),0.22,0)+IF(V914&gt;=75,0.22,0),
IF(AF914="DoEVold",IF(AND(V914&lt;40,W914&lt;35),0.35,0)+IF(AND(V914&lt;40,W914&gt;=35,W914&lt;75),0.25,0)+IF(AND(V914&lt;40,W914&gt;=75),0.17,0)+IF(AND(V914&gt;=40,V914&lt;75,W914&lt;25),0.35,0)+IF(AND(V914&gt;=40,V914&lt;75,W914&gt;=25,W914&lt;65),0.25,0)+IF(AND(V914&gt;=40,V914&lt;75,W914&gt;=65,W914&lt;100),0.17,0)+IF(AND(V914&gt;=40,V914&lt;75,W914&gt;=100),0.1,0)+IF(AND(V914&gt;=75,W914&lt;25),0.35,0)+IF(AND(V914&gt;=75,W914&gt;=25,W914&lt;60),0.25,0)+IF(AND(V914&gt;=75,W914&gt;=60,W914&lt;95),0.17,0)+IF(AND(V914&gt;=75,W914&gt;=95),0.1,0),
IF(AF914="DoEVold15",IF(AND(V914&lt;=40,W914&lt;35),0.35,0)+IF(AND(V914&lt;=40,W914&gt;=35,W914&lt;75),0.25,0)+IF(AND(V914&lt;=40,W914&gt;=75,W914&lt;120),0.17,0)+IF(AND(V914&lt;=40,W914&gt;=120),0.15,0)+IF(AND(V914&gt;40,V914&lt;75,W914&lt;25),0.35,0)+IF(AND(V914&gt;=40,V914&lt;75,W914&gt;=25,W914&lt;65),0.25,0)+IF(AND(V914&gt;=40,V914&lt;75,W914&gt;=65,W914&lt;100),0.17,0)+IF(AND(V914&gt;=40,V914&lt;75,W914&gt;=100),0.1,0)+IF(AND(V914&gt;=75,W914&lt;25),0.35,0)+IF(AND(V914&gt;=75,W914&gt;=25,W914&lt;60),0.25,0)+IF(AND(V914&gt;=75,W914&gt;=60,W914&lt;95),0.17,0)+IF(AND(V914&gt;=75,W914&gt;=95),0.1,0),
IF(AF914="DoEVba",IF(AND(V914&lt;20,W914&lt;105),0.2,0)+IF(AND(V914&lt;20,W914&gt;=105),0.15,0)+IF(AND(V914&gt;=20,V914&lt;40,W914&lt;95),0.2,0)+IF(AND(V914&gt;=20,V914&lt;40,W914&gt;=95,W914&lt;150),0.15,0)+IF(AND(V914&gt;=20,V914&lt;40,W914&gt;=150),0.12,0)+IF(AND(V914&gt;=40,V914&lt;75,W914&lt;75),0.2,0)+IF(AND(V914&gt;=40,V914&lt;75,W914&gt;=75,W914&lt;120),0.15,0)+IF(AND(V914&gt;=40,V914&lt;75,W914&gt;=120),0.12,0)+IF(AND(V914&gt;=75,V914&lt;175,W914&lt;65),0.2,0)+IF(AND(V914&gt;=75,V914&lt;175,W914&gt;=65,W914&lt;110),0.15,0)+IF(AND(V914&gt;=75,V914&lt;175,W914&gt;=110),0.12,0)+IF(AND(V914&gt;=175,W914&lt;55),0.2,0)+IF(AND(V914&gt;=175,W914&gt;=55,W914&lt;95),0.15,0)+IF(AND(V914&gt;=175,W914&gt;=95),0.12,0),
IF(AF914="DoEVku",IF(AND(V914&lt;20,W914&lt;55),0.23,0)+IF(AND(V914&lt;20,W914&gt;=55,W914&lt;105),0.2,0)+IF(AND(V914&lt;20,W914&gt;=105),0.17,0)+IF(AND(V914&gt;=20,V914&lt;40,W914&lt;45),0.23,0)+IF(AND(V914&gt;=20,V914&lt;40,W914&gt;=45,W914&lt;95),0.2,0)+IF(AND(V914&gt;=20,V914&lt;40,W914&gt;=95,W914&lt;=150),0.17,0)+IF(AND(V914&gt;=20,V914&lt;40,W914&gt;=150),0.12,0)+IF(AND(V914&gt;=40,V914&lt;75,W914&lt;35),0.23,0)+IF(AND(V914&gt;=40,V914&lt;75,W914&gt;=35,W914&lt;75),0.2,0)+IF(AND(V914&gt;=40,V914&lt;75,W914&gt;=75,W914&lt;120),0.17,0)+IF(AND(V914&gt;=40,V914&lt;75,W914&gt;=120),0.12,0)+IF(AND(V914&gt;=75,V914&lt;175,W914&lt;35),0.23,0)+IF(AND(V914&gt;=75,V914&lt;=175,W914&gt;=35,W914&lt;65),0.2,0)+IF(AND(V914&gt;=75,V914&lt;=175,W914&gt;=65,W914&lt;110),0.17,0)+IF(AND(V914&gt;=75,V914&lt;=175,W914&gt;=110),0.12,0)+IF(AND(V914&gt;175,W914&lt;25),0.23,0)+IF(AND(V914&gt;175,W914&gt;=25,W914&lt;55),0.2,0)+IF(AND(V914&gt;175,W914&gt;=55,W914&lt;95),0.17,0)+IF(AND(V914&gt;175,W914&gt;=95),0.12,0),
IF(AF914="DoEVs1",IF(AND(V914&lt;20,W914&lt;55),0.3,0)+IF(AND(V914&lt;20,W914&gt;=55,W914&lt;105),0.23,0)+IF(AND(V914&lt;20,W914&gt;=105),0.17,0)+IF(AND(V914&gt;=20,V914&lt;40,W914&lt;45),0.3,0)+IF(AND(V914&gt;=20,V914&lt;40,W914&gt;=45,W914&lt;95),0.23,0)+IF(AND(V914&gt;=20,V914&lt;40,W914&gt;=95,W914&lt;=150),0.17,0)+IF(AND(V914&gt;=20,V914&lt;40,W914&gt;=150),0.12,0)+IF(AND(V914&gt;=40,V914&lt;75,W914&lt;35),0.3,0)+IF(AND(V914&gt;=40,V914&lt;75,W914&gt;=35,W914&lt;75),0.23,0)+IF(AND(V914&gt;=40,V914&lt;75,W914&gt;=75,W914&lt;120),0.17,0)+IF(AND(V914&gt;=40,V914&lt;75,W914&gt;=120),0.12,0)+IF(AND(V914&gt;=75,V914&lt;175,W914&lt;35),0.3,0)+IF(AND(V914&gt;=75,V914&lt;=175,W914&gt;=35,W914&lt;65),0.23,0)+IF(AND(V914&gt;=75,V914&lt;=175,W914&gt;=65,W914&lt;110),0.17,0)+IF(AND(V914&gt;=75,V914&lt;=175,W914&gt;=110),0.12,0)+IF(AND(V914&gt;175,W914&lt;25),0.3,0)+IF(AND(V914&gt;175,W914&gt;=25,W914&lt;55),0.23,0)+IF(AND(V914&gt;175,W914&gt;=55,W914&lt;95),0.17,0)+IF(AND(V914&gt;175,W914&gt;=95),0.12,0),
IF(AF914="DoEVsu",IF(AND(V914&lt;20,W914&lt;55),0.3,0)+IF(AND(V914&lt;20,W914&gt;=55,W914&lt;105),0.23,0)+IF(AND(V914&lt;20,W914&gt;=105),0.17,0)+IF(AND(V914&gt;=20,V914&lt;40,W914&lt;45),0.3,0)+IF(AND(V914&gt;=20,V914&lt;40,W914&gt;=45,W914&lt;95),0.23,0)+IF(AND(V914&gt;=20,V914&lt;40,W914&gt;=95,W914&lt;=250),0.17,0)+IF(AND(V914&gt;=20,V914&lt;40,W914&gt;=250),0.12,0)+IF(AND(V914&gt;=40,V914&lt;75,W914&lt;35),0.3,0)+IF(AND(V914&gt;=40,V914&lt;75,W914&gt;=35,W914&lt;75),0.23,0)+IF(AND(V914&gt;=40,V914&lt;75,W914&gt;=75,W914&lt;120),0.17,0)+IF(AND(V914&gt;=40,V914&lt;75,W914&gt;=120),0.12,0)+IF(AND(V914&gt;=75,V914&lt;175,W914&lt;35),0.3,0)+IF(AND(V914&gt;=75,V914&lt;=175,W914&gt;=35,W914&lt;65),0.23,0)+IF(AND(V914&gt;=75,V914&lt;=175,W914&gt;=65,W914&lt;110),0.17,0)+IF(AND(V914&gt;=75,V914&lt;=175,W914&gt;=110),0.12,0)+IF(AND(V914&gt;175,W914&lt;25),0.3,0)+IF(AND(V914&gt;175,W914&gt;=25,W914&lt;55),0.23,0)+IF(AND(V914&gt;175,W914&gt;=55,W914&lt;95),0.17,0)+IF(AND(V914&gt;175,W914&gt;=95),0.12,0),
IF(AF914="DoEVni",IF(AND(V914&lt;20,W914&lt;55),0.3,0)+IF(AND(V914&lt;20,W914&gt;=55,W914&lt;105),0.23,0)+IF(AND(V914&lt;20,W914&gt;=105),0.17,0)+IF(AND(V914&gt;=20,V914&lt;40,W914&lt;45),0.3,0)+IF(AND(V914&gt;=20,V914&lt;40,W914&gt;=45,W914&lt;95),0.23,0)+IF(AND(V914&gt;=20,V914&lt;40,W914&gt;=95,W914&lt;=200),0.17,0)+IF(AND(V914&gt;=20,V914&lt;40,W914&gt;=200),0.12,0)+IF(AND(V914&gt;=40,V914&lt;75,W914&lt;35),0.3,0)+IF(AND(V914&gt;=40,V914&lt;75,W914&gt;=35,W914&lt;75),0.23,0)+IF(AND(V914&gt;=40,V914&lt;75,W914&gt;=75,W914&lt;120),0.17,0)+IF(AND(V914&gt;=40,V914&lt;75,W914&gt;=120),0.12,0)+IF(AND(V914&gt;=75,V914&lt;175,W914&lt;35),0.3,0)+IF(AND(V914&gt;=75,V914&lt;=175,W914&gt;=35,W914&lt;65),0.23,0)+IF(AND(V914&gt;=75,V914&lt;=175,W914&gt;=65,W914&lt;110),0.17,0)+IF(AND(V914&gt;=75,V914&lt;=175,W914&gt;=110),0.12,0)+IF(AND(V914&gt;175,W914&lt;25),0.3,0)+IF(AND(V914&gt;175,W914&gt;=25,W914&lt;55),0.23,0)+IF(AND(V914&gt;175,W914&gt;=55,W914&lt;95),0.17,0)+IF(AND(V914&gt;175,W914&gt;=95),0.12,0),
IF(AF914="DoEVLo",IF(AND(V914&lt;20,W914&lt;55),0.25,0)+IF(AND(V914&lt;20,W914&gt;=55,W914&lt;105),0.2,0)+IF(AND(V914&lt;20,W914&gt;=105),0.15,0)+IF(AND(V914&gt;=20,V914&lt;40,W914&lt;45),0.25,0)+IF(AND(V914&gt;=20,V914&lt;40,W914&gt;=45,W914&lt;95),0.2,0)+IF(AND(V914&gt;=20,V914&lt;40,W914&gt;=95),0.15,0)+IF(AND(V914&gt;=40,V914&lt;75,W914&lt;35),0.25,0)+IF(AND(V914&gt;=40,V914&lt;75,W914&gt;=35,W914&lt;75),0.2,0)+IF(AND(V914&gt;=40,V914&lt;75,W914&gt;=75,W914&lt;120),0.15,0)+IF(AND(V914&gt;=40,V914&lt;75,W914&gt;=120),0.1,0)+IF(AND(V914&gt;=75,V914&lt;175,W914&lt;35),0.25,0)+IF(AND(V914&gt;=75,V914&lt;=175,W914&gt;=35,W914&lt;65),0.2,0)+IF(AND(V914&gt;=75,V914&lt;=175,W914&gt;=65,W914&lt;110),0.15,0)+IF(AND(V914&gt;=75,V914&lt;=175,W914&gt;=110),0.1,0)+IF(AND(V914&gt;175,W914&lt;25),0.25,0)+IF(AND(V914&gt;175,W914&gt;=25,W914&lt;55),0.2,0)+IF(AND(V914&gt;175,W914&gt;=55,W914&lt;95),0.15,0)+IF(AND(V914&gt;175,W914&gt;=95),0.1,0))))))))))))))))</f>
        <v>0.2</v>
      </c>
      <c r="Y914" s="30">
        <f>IF(AG914="None",0,IF(AG914="Fix5",0.05,IF(AG914="Fix3.75",0.0375,IF(AG914="Fix10",0.1,IF(AG914="Fix3",0.03,0)))))</f>
        <v>0</v>
      </c>
      <c r="Z914" s="35">
        <f>T914-AA914-AB914</f>
        <v>322.07920000000001</v>
      </c>
      <c r="AA914" s="29">
        <f>IF(AD914="EUR",((T914-R914)*X914)*U914+(R914*X914),(T914*X914))</f>
        <v>82.920800000000014</v>
      </c>
      <c r="AB914" s="36">
        <f>IF(AD914="EUR",((T914-R914)*Y914)*U914+(R914*Y914),(T914*Y914))</f>
        <v>0</v>
      </c>
      <c r="AC914" s="37" t="b">
        <v>1</v>
      </c>
      <c r="AD914" s="61" t="s">
        <v>50</v>
      </c>
      <c r="AE914" s="61"/>
      <c r="AF914" s="37" t="str">
        <f t="array" ref="AF914">INDEX('Deal Info'!D:D, MATCH(A914,'Deal Info'!A:A, 0))</f>
        <v>DoEVLo</v>
      </c>
      <c r="AG914" s="38" t="str">
        <f t="array" ref="AG914">INDEX('Deal Info'!G:G, MATCH(A914,'Deal Info'!A:A, 0))</f>
        <v>None</v>
      </c>
    </row>
    <row r="915" spans="1:33" ht="14.25" hidden="1" x14ac:dyDescent="0.2">
      <c r="A915" s="18" t="str">
        <f t="array" ref="A915">IF(G915='Room Info'!$B$1, INDEX('Room Info'!$A$2:$A2446, MATCH(B915,'Room Info'!$B$2:$B2446, 0)),IF(G915='Room Info'!$C$1, INDEX('Room Info'!$A$2:$A2446, MATCH(B915,'Room Info'!$C$2:$C2446, 0)),IF(G915='Room Info'!$D$1, INDEX('Room Info'!$A$2:$A2446, MATCH(B915,'Room Info'!$D$2:$D2446, 0)),IF(G915='Room Info'!$E$1, INDEX('Room Info'!$A$2:$A2446, MATCH(B915,'Room Info'!$E$2:$E2446, 0)),IF(G915='Room Info'!$F$1, INDEX('Room Info'!$A$2:$A2446, MATCH(B915,'Room Info'!$F$2:$F2446, 0)),IF(G915='Room Info'!$H$1, INDEX('Room Info'!$A$2:$A2446, MATCH(B915,'Room Info'!$H$2:$H2446, 0)),IF(G915='Room Info'!$G$1, INDEX('Room Info'!$A$2:$A2446, MATCH(B915,'Room Info'!$G$2:$G2446, 0)))))))))</f>
        <v>Lo4io</v>
      </c>
      <c r="B915" s="45" t="s">
        <v>102</v>
      </c>
      <c r="C915" s="77">
        <v>44825</v>
      </c>
      <c r="D915" s="77">
        <v>44854</v>
      </c>
      <c r="E915" s="47">
        <v>44835</v>
      </c>
      <c r="F915" s="48" t="s">
        <v>34</v>
      </c>
      <c r="G915" s="45" t="s">
        <v>35</v>
      </c>
      <c r="H915" s="49" t="s">
        <v>46</v>
      </c>
      <c r="I915" s="49" t="s">
        <v>37</v>
      </c>
      <c r="J915" s="74">
        <v>25</v>
      </c>
      <c r="K915" s="75">
        <v>67</v>
      </c>
      <c r="L915" s="72">
        <v>-150</v>
      </c>
      <c r="M915" s="79"/>
      <c r="N915" s="28">
        <f>K915*J915</f>
        <v>1675</v>
      </c>
      <c r="O915" s="45">
        <v>4430</v>
      </c>
      <c r="P915" s="29">
        <v>66.119402989999998</v>
      </c>
      <c r="Q915" s="55"/>
      <c r="R915" s="31">
        <f>M915+Q915</f>
        <v>0</v>
      </c>
      <c r="S915" s="73">
        <v>98</v>
      </c>
      <c r="T915" s="32">
        <f>R915+S915+IF(F915="Without EV deal",L915,0)</f>
        <v>98</v>
      </c>
      <c r="U915" s="57">
        <v>1</v>
      </c>
      <c r="V915" s="58"/>
      <c r="W915" s="58"/>
      <c r="X915" s="78">
        <v>0.2</v>
      </c>
      <c r="Y915" s="30">
        <f>IF(AG915="None",0,IF(AG915="Fix5",0.05, IF(AG915="Fix6.25",0.0625,IF(AG915="Fix3.75",0.0375,IF(AG915="Fix10",0.1,IF(AG915="Fix3",0.03,0))))))</f>
        <v>0</v>
      </c>
      <c r="Z915" s="35">
        <f>T915-AA915-AB915</f>
        <v>78.400000000000006</v>
      </c>
      <c r="AA915" s="29">
        <f>IF(AD915="EUR",((T915-R915)*X915)*U915+(R915*X915),(T915*X915))</f>
        <v>19.600000000000001</v>
      </c>
      <c r="AB915" s="36">
        <f>IF(AD915="EUR",((T915-R915)*Y915)*U915+(R915*Y915),(T915*Y915))</f>
        <v>0</v>
      </c>
      <c r="AC915" s="37" t="b">
        <v>1</v>
      </c>
      <c r="AD915" s="37" t="s">
        <v>38</v>
      </c>
      <c r="AE915" s="37" t="s">
        <v>38</v>
      </c>
      <c r="AF915" s="37" t="str">
        <f t="array" ref="AF915">INDEX('Deal Info'!D:D, MATCH(A915,'Deal Info'!A:A, 0))</f>
        <v>DoEVLo</v>
      </c>
      <c r="AG915" s="38" t="str">
        <f t="array" ref="AG915">INDEX('Deal Info'!G:G, MATCH(A915,'Deal Info'!A:A, 0))</f>
        <v>None</v>
      </c>
    </row>
    <row r="916" spans="1:33" ht="14.25" x14ac:dyDescent="0.2">
      <c r="A916" s="18" t="str">
        <f t="array" ref="A916">IF(G916='Room Info'!$B$1, INDEX('Room Info'!$A$2:$A2446, MATCH(B916,'Room Info'!$B$2:$B2446, 0)),IF(G916='Room Info'!$C$1, INDEX('Room Info'!$A$2:$A2446, MATCH(B916,'Room Info'!$C$2:$C2446, 0)),IF(G916='Room Info'!$D$1, INDEX('Room Info'!$A$2:$A2446, MATCH(B916,'Room Info'!$D$2:$D2446, 0)),IF(G916='Room Info'!$E$1, INDEX('Room Info'!$A$2:$A2446, MATCH(B916,'Room Info'!$E$2:$E2446, 0)),IF(G916='Room Info'!$F$1, INDEX('Room Info'!$A$2:$A2446, MATCH(B916,'Room Info'!$F$2:$F2446, 0)),IF(G916='Room Info'!$H$1, INDEX('Room Info'!$A$2:$A2446, MATCH(B916,'Room Info'!$H$2:$H2446, 0)),IF(G916='Room Info'!$G$1, INDEX('Room Info'!$A$2:$A2446, MATCH(B916,'Room Info'!$G$2:$G2446, 0)))))))))</f>
        <v>Lo4io</v>
      </c>
      <c r="B916" s="45" t="s">
        <v>107</v>
      </c>
      <c r="C916" s="136">
        <v>44855</v>
      </c>
      <c r="D916" s="136">
        <v>44885</v>
      </c>
      <c r="E916" s="47">
        <v>44866</v>
      </c>
      <c r="F916" s="48" t="s">
        <v>34</v>
      </c>
      <c r="G916" s="45" t="s">
        <v>61</v>
      </c>
      <c r="H916" s="49" t="s">
        <v>167</v>
      </c>
      <c r="I916" s="49" t="s">
        <v>37</v>
      </c>
      <c r="J916" s="74">
        <v>25</v>
      </c>
      <c r="K916" s="134">
        <v>435</v>
      </c>
      <c r="L916" s="72">
        <v>386</v>
      </c>
      <c r="M916" s="76">
        <v>62</v>
      </c>
      <c r="N916" s="28">
        <f>K916*J916</f>
        <v>10875</v>
      </c>
      <c r="O916" s="45">
        <v>26796</v>
      </c>
      <c r="P916" s="29">
        <v>61.6</v>
      </c>
      <c r="Q916" s="55"/>
      <c r="R916" s="31">
        <f>M916+Q916</f>
        <v>62</v>
      </c>
      <c r="S916" s="73">
        <v>343</v>
      </c>
      <c r="T916" s="32">
        <f>R916+S916+IF(F916="Without EV deal",L916,0)</f>
        <v>405</v>
      </c>
      <c r="U916" s="57">
        <v>1.028</v>
      </c>
      <c r="V916" s="69"/>
      <c r="W916" s="69"/>
      <c r="X916" s="30">
        <v>0.25</v>
      </c>
      <c r="Y916" s="30">
        <f>IF(AG916="None",0,IF(AG916="Fix5",0.05, IF(AG916="Fix6.25",0.0625,IF(AG916="Fix3.75",0.0375,IF(AG916="Fix10",0.1,IF(AG916="Fix3",0.03,0))))))</f>
        <v>0</v>
      </c>
      <c r="Z916" s="35">
        <f>T916-AA916-AB916</f>
        <v>303.75</v>
      </c>
      <c r="AA916" s="29">
        <f>IF(AD916="EUR",((T916-R916)*X916)*U916+(R916*X916),(T916*X916))</f>
        <v>101.25</v>
      </c>
      <c r="AB916" s="36">
        <f>IF(AD916="EUR",((T916-R916)*Y916)*U916+(R916*Y916),(T916*Y916))</f>
        <v>0</v>
      </c>
      <c r="AC916" s="37" t="b">
        <v>1</v>
      </c>
      <c r="AD916" s="37" t="s">
        <v>38</v>
      </c>
      <c r="AE916" s="37" t="s">
        <v>38</v>
      </c>
      <c r="AF916" s="37" t="str">
        <f t="array" ref="AF916">INDEX('Deal Info'!D:D, MATCH(A916,'Deal Info'!A:A, 0))</f>
        <v>DoEVLo</v>
      </c>
      <c r="AG916" s="38" t="str">
        <f t="array" ref="AG916">INDEX('Deal Info'!G:G, MATCH(A916,'Deal Info'!A:A, 0))</f>
        <v>None</v>
      </c>
    </row>
    <row r="917" spans="1:33" ht="14.25" x14ac:dyDescent="0.2">
      <c r="A917" s="18" t="str">
        <f t="array" ref="A917">IF(G917='Room Info'!$B$1, INDEX('Room Info'!$A$2:$A2446, MATCH(B917,'Room Info'!$B$2:$B2446, 0)),IF(G917='Room Info'!$C$1, INDEX('Room Info'!$A$2:$A2446, MATCH(B917,'Room Info'!$C$2:$C2446, 0)),IF(G917='Room Info'!$D$1, INDEX('Room Info'!$A$2:$A2446, MATCH(B917,'Room Info'!$D$2:$D2446, 0)),IF(G917='Room Info'!$E$1, INDEX('Room Info'!$A$2:$A2446, MATCH(B917,'Room Info'!$E$2:$E2446, 0)),IF(G917='Room Info'!$F$1, INDEX('Room Info'!$A$2:$A2446, MATCH(B917,'Room Info'!$F$2:$F2446, 0)),IF(G917='Room Info'!$H$1, INDEX('Room Info'!$A$2:$A2446, MATCH(B917,'Room Info'!$H$2:$H2446, 0)),IF(G917='Room Info'!$G$1, INDEX('Room Info'!$A$2:$A2446, MATCH(B917,'Room Info'!$G$2:$G2446, 0)))))))))</f>
        <v>Mackevgen</v>
      </c>
      <c r="B917" s="45" t="s">
        <v>128</v>
      </c>
      <c r="C917" s="111">
        <v>44866</v>
      </c>
      <c r="D917" s="111">
        <v>44883</v>
      </c>
      <c r="E917" s="47">
        <v>44866</v>
      </c>
      <c r="F917" s="48" t="s">
        <v>49</v>
      </c>
      <c r="G917" s="65" t="s">
        <v>61</v>
      </c>
      <c r="H917" s="49" t="s">
        <v>167</v>
      </c>
      <c r="I917" s="49" t="s">
        <v>101</v>
      </c>
      <c r="J917" s="50">
        <v>25</v>
      </c>
      <c r="K917" s="123">
        <v>1497</v>
      </c>
      <c r="L917" s="113">
        <v>499</v>
      </c>
      <c r="M917" s="62">
        <v>449</v>
      </c>
      <c r="N917" s="28">
        <f>K917*J917</f>
        <v>37425</v>
      </c>
      <c r="O917" s="65">
        <v>98997</v>
      </c>
      <c r="P917" s="29">
        <v>66.130260519999993</v>
      </c>
      <c r="Q917" s="55"/>
      <c r="R917" s="31">
        <f>M917+Q917</f>
        <v>449</v>
      </c>
      <c r="S917" s="66">
        <v>1155</v>
      </c>
      <c r="T917" s="32">
        <f>R917+S917+IF(F917="Without EV deal",L917,0)</f>
        <v>1604</v>
      </c>
      <c r="U917" s="57">
        <v>1</v>
      </c>
      <c r="V917" s="69"/>
      <c r="W917" s="69"/>
      <c r="X917" s="30">
        <v>0.17</v>
      </c>
      <c r="Y917" s="30">
        <f>IF(AG917="None",0,IF(AG917="Fix5",0.05, IF(AG917="Fix6.25",0.0625,IF(AG917="Fix3.75",0.0375,IF(AG917="Fix10",0.1,IF(AG917="Fix3",0.03,0))))))</f>
        <v>0</v>
      </c>
      <c r="Z917" s="35">
        <f>T917-AA917-AB917</f>
        <v>1331</v>
      </c>
      <c r="AA917" s="29">
        <v>273</v>
      </c>
      <c r="AB917" s="36">
        <f>IF(AD917="EUR",((T917-R917)*Y917)*U917+(R917*Y917),(T917*Y917))</f>
        <v>0</v>
      </c>
      <c r="AC917" s="37" t="b">
        <v>1</v>
      </c>
      <c r="AD917" s="61" t="s">
        <v>38</v>
      </c>
      <c r="AE917" s="61" t="s">
        <v>38</v>
      </c>
      <c r="AF917" s="37" t="str">
        <f t="array" ref="AF917">INDEX('Deal Info'!D:D, MATCH(A917,'Deal Info'!A:A, 0))</f>
        <v>DoEV</v>
      </c>
      <c r="AG917" s="38" t="str">
        <f t="array" ref="AG917">INDEX('Deal Info'!G:G, MATCH(A917,'Deal Info'!A:A, 0))</f>
        <v>None</v>
      </c>
    </row>
    <row r="918" spans="1:33" ht="14.25" x14ac:dyDescent="0.2">
      <c r="A918" s="18" t="str">
        <f t="array" ref="A918">IF(G918='Room Info'!$B$1, INDEX('Room Info'!$A$2:$A2446, MATCH(B918,'Room Info'!$B$2:$B2446, 0)),IF(G918='Room Info'!$C$1, INDEX('Room Info'!$A$2:$A2446, MATCH(B918,'Room Info'!$C$2:$C2446, 0)),IF(G918='Room Info'!$D$1, INDEX('Room Info'!$A$2:$A2446, MATCH(B918,'Room Info'!$D$2:$D2446, 0)),IF(G918='Room Info'!$E$1, INDEX('Room Info'!$A$2:$A2446, MATCH(B918,'Room Info'!$E$2:$E2446, 0)),IF(G918='Room Info'!$F$1, INDEX('Room Info'!$A$2:$A2446, MATCH(B918,'Room Info'!$F$2:$F2446, 0)),IF(G918='Room Info'!$H$1, INDEX('Room Info'!$A$2:$A2446, MATCH(B918,'Room Info'!$H$2:$H2446, 0)),IF(G918='Room Info'!$G$1, INDEX('Room Info'!$A$2:$A2446, MATCH(B918,'Room Info'!$G$2:$G2446, 0)))))))))</f>
        <v>Mackevgen</v>
      </c>
      <c r="B918" s="65" t="s">
        <v>128</v>
      </c>
      <c r="C918" s="111">
        <v>44891</v>
      </c>
      <c r="D918" s="111">
        <v>44895</v>
      </c>
      <c r="E918" s="47">
        <v>44866</v>
      </c>
      <c r="F918" s="129" t="s">
        <v>41</v>
      </c>
      <c r="G918" s="65" t="s">
        <v>61</v>
      </c>
      <c r="H918" s="49" t="s">
        <v>167</v>
      </c>
      <c r="I918" s="49" t="s">
        <v>101</v>
      </c>
      <c r="J918" s="50">
        <v>25</v>
      </c>
      <c r="K918" s="123">
        <v>108</v>
      </c>
      <c r="L918" s="113">
        <v>150</v>
      </c>
      <c r="M918" s="62">
        <v>0</v>
      </c>
      <c r="N918" s="28">
        <f>K918*J918</f>
        <v>2700</v>
      </c>
      <c r="O918" s="65">
        <v>2424</v>
      </c>
      <c r="P918" s="29">
        <v>22.444444440000002</v>
      </c>
      <c r="Q918" s="55"/>
      <c r="R918" s="31">
        <f>M918+Q918</f>
        <v>0</v>
      </c>
      <c r="S918" s="66">
        <v>-122</v>
      </c>
      <c r="T918" s="32">
        <f>R918+S918+IF(F918="Without EV deal",L918,0)</f>
        <v>28</v>
      </c>
      <c r="U918" s="57">
        <v>1</v>
      </c>
      <c r="V918" s="69"/>
      <c r="W918" s="69"/>
      <c r="X918" s="30">
        <v>0.17</v>
      </c>
      <c r="Y918" s="30">
        <f>IF(AG918="None",0,IF(AG918="Fix5",0.05, IF(AG918="Fix6.25",0.0625,IF(AG918="Fix3.75",0.0375,IF(AG918="Fix10",0.1,IF(AG918="Fix3",0.03,0))))))</f>
        <v>0</v>
      </c>
      <c r="Z918" s="35">
        <f>T918-AA918-AB918</f>
        <v>2</v>
      </c>
      <c r="AA918" s="29">
        <v>26</v>
      </c>
      <c r="AB918" s="36">
        <f>IF(AD918="EUR",((T918-R918)*Y918)*U918+(R918*Y918),(T918*Y918))</f>
        <v>0</v>
      </c>
      <c r="AC918" s="37" t="b">
        <v>1</v>
      </c>
      <c r="AD918" s="61" t="s">
        <v>38</v>
      </c>
      <c r="AE918" s="61" t="s">
        <v>38</v>
      </c>
      <c r="AF918" s="37" t="str">
        <f t="array" ref="AF918">INDEX('Deal Info'!D:D, MATCH(A918,'Deal Info'!A:A, 0))</f>
        <v>DoEV</v>
      </c>
      <c r="AG918" s="38" t="str">
        <f t="array" ref="AG918">INDEX('Deal Info'!G:G, MATCH(A918,'Deal Info'!A:A, 0))</f>
        <v>None</v>
      </c>
    </row>
    <row r="919" spans="1:33" ht="14.25" hidden="1" x14ac:dyDescent="0.2">
      <c r="A919" s="18" t="str">
        <f t="array" ref="A919">IF(G919='Room Info'!$B$1, INDEX('Room Info'!$A$2:$A2446, MATCH(B919,'Room Info'!$B$2:$B2446, 0)),IF(G919='Room Info'!$C$1, INDEX('Room Info'!$A$2:$A2446, MATCH(B919,'Room Info'!$C$2:$C2446, 0)),IF(G919='Room Info'!$D$1, INDEX('Room Info'!$A$2:$A2446, MATCH(B919,'Room Info'!$D$2:$D2446, 0)),IF(G919='Room Info'!$E$1, INDEX('Room Info'!$A$2:$A2446, MATCH(B919,'Room Info'!$E$2:$E2446, 0)),IF(G919='Room Info'!$F$1, INDEX('Room Info'!$A$2:$A2446, MATCH(B919,'Room Info'!$F$2:$F2446, 0)),IF(G919='Room Info'!$H$1, INDEX('Room Info'!$A$2:$A2446, MATCH(B919,'Room Info'!$H$2:$H2446, 0)),IF(G919='Room Info'!$G$1, INDEX('Room Info'!$A$2:$A2446, MATCH(B919,'Room Info'!$G$2:$G2446, 0)))))))))</f>
        <v>Lo4io</v>
      </c>
      <c r="B919" s="45" t="s">
        <v>102</v>
      </c>
      <c r="C919" s="77">
        <v>44855</v>
      </c>
      <c r="D919" s="77">
        <v>44885</v>
      </c>
      <c r="E919" s="47">
        <v>44866</v>
      </c>
      <c r="F919" s="48" t="s">
        <v>34</v>
      </c>
      <c r="G919" s="45" t="s">
        <v>35</v>
      </c>
      <c r="H919" s="49" t="s">
        <v>46</v>
      </c>
      <c r="I919" s="49" t="s">
        <v>37</v>
      </c>
      <c r="J919" s="74">
        <v>25</v>
      </c>
      <c r="K919" s="75">
        <v>110</v>
      </c>
      <c r="L919" s="72">
        <v>575</v>
      </c>
      <c r="M919" s="76">
        <v>26</v>
      </c>
      <c r="N919" s="28">
        <f>K919*J919</f>
        <v>2750</v>
      </c>
      <c r="O919" s="45">
        <v>7648</v>
      </c>
      <c r="P919" s="29">
        <v>69.527272730000007</v>
      </c>
      <c r="Q919" s="55"/>
      <c r="R919" s="31">
        <f>M919+Q919</f>
        <v>26</v>
      </c>
      <c r="S919" s="73">
        <v>192</v>
      </c>
      <c r="T919" s="32">
        <f>R919+S919+IF(F919="Without EV deal",L919,0)</f>
        <v>218</v>
      </c>
      <c r="U919" s="57">
        <v>1</v>
      </c>
      <c r="V919" s="58"/>
      <c r="W919" s="58"/>
      <c r="X919" s="78">
        <v>0.25</v>
      </c>
      <c r="Y919" s="30">
        <f>IF(AG919="None",0,IF(AG919="Fix5",0.05, IF(AG919="Fix6.25",0.0625,IF(AG919="Fix3.75",0.0375,IF(AG919="Fix10",0.1,IF(AG919="Fix3",0.03,0))))))</f>
        <v>0</v>
      </c>
      <c r="Z919" s="35">
        <f>T919-AA919-AB919</f>
        <v>163.5</v>
      </c>
      <c r="AA919" s="29">
        <f>IF(AD919="EUR",((T919-R919)*X919)*U919+(R919*X919),(T919*X919))</f>
        <v>54.5</v>
      </c>
      <c r="AB919" s="36">
        <f>IF(AD919="EUR",((T919-R919)*Y919)*U919+(R919*Y919),(T919*Y919))</f>
        <v>0</v>
      </c>
      <c r="AC919" s="37" t="b">
        <v>1</v>
      </c>
      <c r="AD919" s="37" t="s">
        <v>38</v>
      </c>
      <c r="AE919" s="37" t="s">
        <v>38</v>
      </c>
      <c r="AF919" s="37" t="str">
        <f t="array" ref="AF919">INDEX('Deal Info'!D:D, MATCH(A919,'Deal Info'!A:A, 0))</f>
        <v>DoEVLo</v>
      </c>
      <c r="AG919" s="38" t="str">
        <f t="array" ref="AG919">INDEX('Deal Info'!G:G, MATCH(A919,'Deal Info'!A:A, 0))</f>
        <v>None</v>
      </c>
    </row>
    <row r="920" spans="1:33" ht="14.25" hidden="1" x14ac:dyDescent="0.2">
      <c r="A920" s="18" t="str">
        <f t="array" ref="A920">IF(G920='Room Info'!$B$1, INDEX('Room Info'!$A$2:$A2446, MATCH(B920,'Room Info'!$B$2:$B2446, 0)),IF(G920='Room Info'!$C$1, INDEX('Room Info'!$A$2:$A2446, MATCH(B920,'Room Info'!$C$2:$C2446, 0)),IF(G920='Room Info'!$D$1, INDEX('Room Info'!$A$2:$A2446, MATCH(B920,'Room Info'!$D$2:$D2446, 0)),IF(G920='Room Info'!$E$1, INDEX('Room Info'!$A$2:$A2446, MATCH(B920,'Room Info'!$E$2:$E2446, 0)),IF(G920='Room Info'!$F$1, INDEX('Room Info'!$A$2:$A2446, MATCH(B920,'Room Info'!$F$2:$F2446, 0)),IF(G920='Room Info'!$H$1, INDEX('Room Info'!$A$2:$A2446, MATCH(B920,'Room Info'!$H$2:$H2446, 0)),IF(G920='Room Info'!$G$1, INDEX('Room Info'!$A$2:$A2446, MATCH(B920,'Room Info'!$G$2:$G2446, 0)))))))))</f>
        <v>Lo4io</v>
      </c>
      <c r="B920" s="45" t="s">
        <v>102</v>
      </c>
      <c r="C920" s="46">
        <v>44855</v>
      </c>
      <c r="D920" s="46">
        <v>44885</v>
      </c>
      <c r="E920" s="47">
        <v>44866</v>
      </c>
      <c r="F920" s="48" t="s">
        <v>41</v>
      </c>
      <c r="G920" s="45" t="s">
        <v>35</v>
      </c>
      <c r="H920" s="49" t="s">
        <v>87</v>
      </c>
      <c r="I920" s="49" t="s">
        <v>44</v>
      </c>
      <c r="J920" s="50">
        <v>25</v>
      </c>
      <c r="K920" s="51">
        <v>360</v>
      </c>
      <c r="L920" s="52">
        <v>675</v>
      </c>
      <c r="M920" s="53">
        <v>85</v>
      </c>
      <c r="N920" s="28">
        <f>K920*J920</f>
        <v>9000</v>
      </c>
      <c r="O920" s="54">
        <v>9360</v>
      </c>
      <c r="P920" s="29">
        <v>26</v>
      </c>
      <c r="Q920" s="55"/>
      <c r="R920" s="31">
        <f>M920+Q920</f>
        <v>85</v>
      </c>
      <c r="S920" s="56"/>
      <c r="T920" s="32">
        <f>R920+S920+IF(F920="Without EV deal",L920,0)</f>
        <v>760</v>
      </c>
      <c r="U920" s="57">
        <v>1</v>
      </c>
      <c r="V920" s="58"/>
      <c r="W920" s="58"/>
      <c r="X920" s="78">
        <v>0.25</v>
      </c>
      <c r="Y920" s="30">
        <f>IF(AG920="None",0,IF(AG920="Fix5",0.05, IF(AG920="Fix6.25",0.0625,IF(AG920="Fix3.75",0.0375,IF(AG920="Fix10",0.1,IF(AG920="Fix3",0.03,0))))))</f>
        <v>0</v>
      </c>
      <c r="Z920" s="35">
        <f>T920-AA920-AB920</f>
        <v>570</v>
      </c>
      <c r="AA920" s="29">
        <f>IF(AD920="EUR",((T920-R920)*X920)*U920+(R920*X920),(T920*X920))</f>
        <v>190</v>
      </c>
      <c r="AB920" s="36">
        <f>IF(AD920="EUR",((T920-R920)*Y920)*U920+(R920*Y920),(T920*Y920))</f>
        <v>0</v>
      </c>
      <c r="AC920" s="37" t="b">
        <v>1</v>
      </c>
      <c r="AD920" s="37" t="s">
        <v>38</v>
      </c>
      <c r="AE920" s="37" t="s">
        <v>38</v>
      </c>
      <c r="AF920" s="37" t="str">
        <f t="array" ref="AF920">INDEX('Deal Info'!D:D, MATCH(A920,'Deal Info'!A:A, 0))</f>
        <v>DoEVLo</v>
      </c>
      <c r="AG920" s="38" t="str">
        <f t="array" ref="AG920">INDEX('Deal Info'!G:G, MATCH(A920,'Deal Info'!A:A, 0))</f>
        <v>None</v>
      </c>
    </row>
    <row r="921" spans="1:33" ht="14.25" x14ac:dyDescent="0.2">
      <c r="A921" s="18" t="str">
        <f t="array" ref="A921">IF(G921='Room Info'!$B$1, INDEX('Room Info'!$A$2:$A2446, MATCH(B921,'Room Info'!$B$2:$B2446, 0)),IF(G921='Room Info'!$C$1, INDEX('Room Info'!$A$2:$A2446, MATCH(B921,'Room Info'!$C$2:$C2446, 0)),IF(G921='Room Info'!$D$1, INDEX('Room Info'!$A$2:$A2446, MATCH(B921,'Room Info'!$D$2:$D2446, 0)),IF(G921='Room Info'!$E$1, INDEX('Room Info'!$A$2:$A2446, MATCH(B921,'Room Info'!$E$2:$E2446, 0)),IF(G921='Room Info'!$F$1, INDEX('Room Info'!$A$2:$A2446, MATCH(B921,'Room Info'!$F$2:$F2446, 0)),IF(G921='Room Info'!$H$1, INDEX('Room Info'!$A$2:$A2446, MATCH(B921,'Room Info'!$H$2:$H2446, 0)),IF(G921='Room Info'!$G$1, INDEX('Room Info'!$A$2:$A2446, MATCH(B921,'Room Info'!$G$2:$G2446, 0)))))))))</f>
        <v>vezuxa</v>
      </c>
      <c r="B921" s="45" t="s">
        <v>133</v>
      </c>
      <c r="C921" s="46">
        <v>44866</v>
      </c>
      <c r="D921" s="46">
        <v>44895</v>
      </c>
      <c r="E921" s="47">
        <v>44866</v>
      </c>
      <c r="F921" s="48" t="s">
        <v>41</v>
      </c>
      <c r="G921" s="129" t="s">
        <v>61</v>
      </c>
      <c r="H921" s="49" t="s">
        <v>183</v>
      </c>
      <c r="I921" s="49" t="s">
        <v>101</v>
      </c>
      <c r="J921" s="50">
        <v>2</v>
      </c>
      <c r="K921" s="123">
        <v>1628</v>
      </c>
      <c r="L921" s="52">
        <v>20</v>
      </c>
      <c r="M921" s="53">
        <v>91</v>
      </c>
      <c r="N921" s="28">
        <f>K921*J921</f>
        <v>3256</v>
      </c>
      <c r="O921" s="54">
        <v>164052</v>
      </c>
      <c r="P921" s="29">
        <v>100.7690418</v>
      </c>
      <c r="Q921" s="55"/>
      <c r="R921" s="31">
        <f>M921+Q921</f>
        <v>91</v>
      </c>
      <c r="S921" s="56"/>
      <c r="T921" s="32">
        <f>R921+S921+IF(F921="Without EV deal",L921,0)</f>
        <v>111</v>
      </c>
      <c r="U921" s="57">
        <v>1</v>
      </c>
      <c r="V921" s="69"/>
      <c r="W921" s="69"/>
      <c r="X921" s="30">
        <v>0.17</v>
      </c>
      <c r="Y921" s="30">
        <f>IF(AG921="None",0,IF(AG921="Fix5",0.05, IF(AG921="Fix6.25",0.0625,IF(AG921="Fix3.75",0.0375,IF(AG921="Fix10",0.1,IF(AG921="Fix3",0.03,0))))))</f>
        <v>0</v>
      </c>
      <c r="Z921" s="35">
        <f>T921-AA921-AB921</f>
        <v>92.13</v>
      </c>
      <c r="AA921" s="29">
        <f>IF(AD921="EUR",((T921-R921)*X921)*U921+(R921*X921),(T921*X921))</f>
        <v>18.87</v>
      </c>
      <c r="AB921" s="36">
        <f>IF(AD921="EUR",((T921-R921)*Y921)*U921+(R921*Y921),(T921*Y921))</f>
        <v>0</v>
      </c>
      <c r="AC921" s="37" t="b">
        <v>1</v>
      </c>
      <c r="AD921" s="61" t="s">
        <v>50</v>
      </c>
      <c r="AE921" s="61"/>
      <c r="AF921" s="37" t="str">
        <f t="array" ref="AF921">INDEX('Deal Info'!D:D, MATCH(A921,'Deal Info'!A:A, 0))</f>
        <v>DoEV</v>
      </c>
      <c r="AG921" s="38" t="str">
        <f t="array" ref="AG921">INDEX('Deal Info'!G:G, MATCH(A921,'Deal Info'!A:A, 0))</f>
        <v>None</v>
      </c>
    </row>
    <row r="922" spans="1:33" ht="14.25" x14ac:dyDescent="0.2">
      <c r="A922" s="18" t="str">
        <f t="array" ref="A922">IF(G922='Room Info'!$B$1, INDEX('Room Info'!$A$2:$A2446, MATCH(B922,'Room Info'!$B$2:$B2446, 0)),IF(G922='Room Info'!$C$1, INDEX('Room Info'!$A$2:$A2446, MATCH(B922,'Room Info'!$C$2:$C2446, 0)),IF(G922='Room Info'!$D$1, INDEX('Room Info'!$A$2:$A2446, MATCH(B922,'Room Info'!$D$2:$D2446, 0)),IF(G922='Room Info'!$E$1, INDEX('Room Info'!$A$2:$A2446, MATCH(B922,'Room Info'!$E$2:$E2446, 0)),IF(G922='Room Info'!$F$1, INDEX('Room Info'!$A$2:$A2446, MATCH(B922,'Room Info'!$F$2:$F2446, 0)),IF(G922='Room Info'!$H$1, INDEX('Room Info'!$A$2:$A2446, MATCH(B922,'Room Info'!$H$2:$H2446, 0)),IF(G922='Room Info'!$G$1, INDEX('Room Info'!$A$2:$A2446, MATCH(B922,'Room Info'!$G$2:$G2446, 0)))))))))</f>
        <v>Mackevgen</v>
      </c>
      <c r="B922" s="65" t="s">
        <v>128</v>
      </c>
      <c r="C922" s="46">
        <v>44875</v>
      </c>
      <c r="D922" s="46">
        <v>44883</v>
      </c>
      <c r="E922" s="47">
        <v>44866</v>
      </c>
      <c r="F922" s="129" t="s">
        <v>49</v>
      </c>
      <c r="G922" s="65" t="s">
        <v>61</v>
      </c>
      <c r="H922" s="49" t="s">
        <v>59</v>
      </c>
      <c r="I922" s="49" t="s">
        <v>101</v>
      </c>
      <c r="J922" s="50">
        <v>100</v>
      </c>
      <c r="K922" s="123">
        <v>196</v>
      </c>
      <c r="L922" s="52">
        <v>-300</v>
      </c>
      <c r="M922" s="53">
        <v>73</v>
      </c>
      <c r="N922" s="28">
        <f>K922*J922</f>
        <v>19600</v>
      </c>
      <c r="O922" s="54">
        <v>11077</v>
      </c>
      <c r="P922" s="29">
        <v>56.515306119999998</v>
      </c>
      <c r="Q922" s="55"/>
      <c r="R922" s="31">
        <f>M922+Q922</f>
        <v>73</v>
      </c>
      <c r="S922" s="56">
        <v>-174</v>
      </c>
      <c r="T922" s="32">
        <f>R922+S922+IF(F922="Without EV deal",L922,0)</f>
        <v>-101</v>
      </c>
      <c r="U922" s="57">
        <v>1</v>
      </c>
      <c r="V922" s="58"/>
      <c r="W922" s="58"/>
      <c r="X922" s="30">
        <v>0.17</v>
      </c>
      <c r="Y922" s="30">
        <f>IF(AG922="None",0,IF(AG922="Fix5",0.05, IF(AG922="Fix6.25",0.0625,IF(AG922="Fix3.75",0.0375,IF(AG922="Fix10",0.1,IF(AG922="Fix3",0.03,0))))))</f>
        <v>0</v>
      </c>
      <c r="Z922" s="35">
        <f>T922-AA922-AB922</f>
        <v>-84</v>
      </c>
      <c r="AA922" s="29">
        <v>-17</v>
      </c>
      <c r="AB922" s="36">
        <f>IF(AD922="EUR",((T922-R922)*Y922)*U922+(R922*Y922),(T922*Y922))</f>
        <v>0</v>
      </c>
      <c r="AC922" s="37" t="b">
        <v>1</v>
      </c>
      <c r="AD922" s="61" t="s">
        <v>38</v>
      </c>
      <c r="AE922" s="61" t="s">
        <v>38</v>
      </c>
      <c r="AF922" s="37" t="str">
        <f t="array" ref="AF922">INDEX('Deal Info'!D:D, MATCH(A922,'Deal Info'!A:A, 0))</f>
        <v>DoEV</v>
      </c>
      <c r="AG922" s="38" t="str">
        <f t="array" ref="AG922">INDEX('Deal Info'!G:G, MATCH(A922,'Deal Info'!A:A, 0))</f>
        <v>None</v>
      </c>
    </row>
    <row r="923" spans="1:33" ht="14.25" x14ac:dyDescent="0.2">
      <c r="A923" s="18" t="str">
        <f t="array" ref="A923">IF(G923='Room Info'!$B$1, INDEX('Room Info'!$A$2:$A2446, MATCH(B923,'Room Info'!$B$2:$B2446, 0)),IF(G923='Room Info'!$C$1, INDEX('Room Info'!$A$2:$A2446, MATCH(B923,'Room Info'!$C$2:$C2446, 0)),IF(G923='Room Info'!$D$1, INDEX('Room Info'!$A$2:$A2446, MATCH(B923,'Room Info'!$D$2:$D2446, 0)),IF(G923='Room Info'!$E$1, INDEX('Room Info'!$A$2:$A2446, MATCH(B923,'Room Info'!$E$2:$E2446, 0)),IF(G923='Room Info'!$F$1, INDEX('Room Info'!$A$2:$A2446, MATCH(B923,'Room Info'!$F$2:$F2446, 0)),IF(G923='Room Info'!$H$1, INDEX('Room Info'!$A$2:$A2446, MATCH(B923,'Room Info'!$H$2:$H2446, 0)),IF(G923='Room Info'!$G$1, INDEX('Room Info'!$A$2:$A2446, MATCH(B923,'Room Info'!$G$2:$G2446, 0)))))))))</f>
        <v>eternity1</v>
      </c>
      <c r="B923" s="45" t="s">
        <v>180</v>
      </c>
      <c r="C923" s="111">
        <v>44859</v>
      </c>
      <c r="D923" s="111">
        <v>44885</v>
      </c>
      <c r="E923" s="47">
        <v>44866</v>
      </c>
      <c r="F923" s="48" t="s">
        <v>34</v>
      </c>
      <c r="G923" s="45" t="s">
        <v>61</v>
      </c>
      <c r="H923" s="49" t="s">
        <v>55</v>
      </c>
      <c r="I923" s="49" t="s">
        <v>101</v>
      </c>
      <c r="J923" s="70">
        <v>10</v>
      </c>
      <c r="K923" s="71">
        <v>2911</v>
      </c>
      <c r="L923" s="113">
        <v>1090</v>
      </c>
      <c r="M923" s="62">
        <v>209</v>
      </c>
      <c r="N923" s="28">
        <f>K923*J923</f>
        <v>29110</v>
      </c>
      <c r="O923" s="65">
        <v>177571</v>
      </c>
      <c r="P923" s="29">
        <v>61</v>
      </c>
      <c r="Q923" s="55"/>
      <c r="R923" s="31">
        <f>M923+Q923</f>
        <v>209</v>
      </c>
      <c r="S923" s="66">
        <v>678</v>
      </c>
      <c r="T923" s="32">
        <f>R923+S923+IF(F923="Without EV deal",L923,0)</f>
        <v>887</v>
      </c>
      <c r="U923" s="57">
        <v>1</v>
      </c>
      <c r="V923" s="58">
        <v>10</v>
      </c>
      <c r="W923" s="58">
        <v>88.7</v>
      </c>
      <c r="X923" s="78">
        <v>0.17</v>
      </c>
      <c r="Y923" s="30">
        <f>IF(AG923="None",0,IF(AG923="Fix5",0.05,IF(AG923="Fix3.75",0.0375,IF(AG923="Fix10",0.1,IF(AG923="Fix3",0.03,0)))))</f>
        <v>0</v>
      </c>
      <c r="Z923" s="35">
        <f>T923-AA923-AB923</f>
        <v>736.21</v>
      </c>
      <c r="AA923" s="29">
        <f>IF(AD923="EUR",((T923-R923)*X923)*U923+(R923*X923),(T923*X923))</f>
        <v>150.79000000000002</v>
      </c>
      <c r="AB923" s="36">
        <f>IF(AD923="EUR",((T923-R923)*Y923)*U923+(R923*Y923),(T923*Y923))</f>
        <v>0</v>
      </c>
      <c r="AC923" s="37" t="b">
        <v>1</v>
      </c>
      <c r="AD923" s="37" t="s">
        <v>50</v>
      </c>
      <c r="AE923" s="37"/>
      <c r="AF923" s="37" t="str">
        <f t="array" ref="AF923">INDEX('Deal Info'!D:D, MATCH(A923,'Deal Info'!A:A, 0))</f>
        <v>DoEV</v>
      </c>
      <c r="AG923" s="38" t="str">
        <f t="array" ref="AG923">INDEX('Deal Info'!G:G, MATCH(A923,'Deal Info'!A:A, 0))</f>
        <v>None</v>
      </c>
    </row>
    <row r="924" spans="1:33" ht="14.25" hidden="1" x14ac:dyDescent="0.2">
      <c r="A924" s="18" t="str">
        <f t="array" ref="A924">IF(G924='Room Info'!$B$1, INDEX('Room Info'!$A$2:$A2446, MATCH(B924,'Room Info'!$B$2:$B2446, 0)),IF(G924='Room Info'!$C$1, INDEX('Room Info'!$A$2:$A2446, MATCH(B924,'Room Info'!$C$2:$C2446, 0)),IF(G924='Room Info'!$D$1, INDEX('Room Info'!$A$2:$A2446, MATCH(B924,'Room Info'!$D$2:$D2446, 0)),IF(G924='Room Info'!$E$1, INDEX('Room Info'!$A$2:$A2446, MATCH(B924,'Room Info'!$E$2:$E2446, 0)),IF(G924='Room Info'!$F$1, INDEX('Room Info'!$A$2:$A2446, MATCH(B924,'Room Info'!$F$2:$F2446, 0)),IF(G924='Room Info'!$H$1, INDEX('Room Info'!$A$2:$A2446, MATCH(B924,'Room Info'!$H$2:$H2446, 0)),IF(G924='Room Info'!$G$1, INDEX('Room Info'!$A$2:$A2446, MATCH(B924,'Room Info'!$G$2:$G2446, 0)))))))))</f>
        <v>Lo4io</v>
      </c>
      <c r="B924" s="45" t="s">
        <v>102</v>
      </c>
      <c r="C924" s="77">
        <v>44886</v>
      </c>
      <c r="D924" s="77">
        <v>44915</v>
      </c>
      <c r="E924" s="47">
        <v>44896</v>
      </c>
      <c r="F924" s="48" t="s">
        <v>34</v>
      </c>
      <c r="G924" s="45" t="s">
        <v>35</v>
      </c>
      <c r="H924" s="49" t="s">
        <v>46</v>
      </c>
      <c r="I924" s="49" t="s">
        <v>37</v>
      </c>
      <c r="J924" s="74">
        <v>25</v>
      </c>
      <c r="K924" s="75">
        <v>379</v>
      </c>
      <c r="L924" s="72">
        <v>-100</v>
      </c>
      <c r="M924" s="76">
        <v>373</v>
      </c>
      <c r="N924" s="28">
        <f>K924*J924</f>
        <v>9475</v>
      </c>
      <c r="O924" s="45">
        <v>13363</v>
      </c>
      <c r="P924" s="29">
        <v>35.258575200000003</v>
      </c>
      <c r="Q924" s="55"/>
      <c r="R924" s="31">
        <f>M924+Q924</f>
        <v>373</v>
      </c>
      <c r="S924" s="73">
        <v>14</v>
      </c>
      <c r="T924" s="32">
        <f>R924+S924+IF(F924="Without EV deal",L924,0)</f>
        <v>387</v>
      </c>
      <c r="U924" s="57">
        <v>1</v>
      </c>
      <c r="V924" s="58"/>
      <c r="W924" s="58"/>
      <c r="X924" s="78">
        <v>0.25</v>
      </c>
      <c r="Y924" s="30">
        <f>IF(AG924="None",0,IF(AG924="Fix5",0.05, IF(AG924="Fix6.25",0.0625,IF(AG924="Fix3.75",0.0375,IF(AG924="Fix10",0.1,IF(AG924="Fix3",0.03,0))))))</f>
        <v>0</v>
      </c>
      <c r="Z924" s="35">
        <f>T924-AA924-AB924</f>
        <v>290.25</v>
      </c>
      <c r="AA924" s="29">
        <f>IF(AD924="EUR",((T924-R924)*X924)*U924+(R924*X924),(T924*X924))</f>
        <v>96.75</v>
      </c>
      <c r="AB924" s="36">
        <f>IF(AD924="EUR",((T924-R924)*Y924)*U924+(R924*Y924),(T924*Y924))</f>
        <v>0</v>
      </c>
      <c r="AC924" s="37" t="b">
        <v>1</v>
      </c>
      <c r="AD924" s="37" t="s">
        <v>38</v>
      </c>
      <c r="AE924" s="37" t="s">
        <v>38</v>
      </c>
      <c r="AF924" s="37" t="str">
        <f t="array" ref="AF924">INDEX('Deal Info'!D:D, MATCH(A924,'Deal Info'!A:A, 0))</f>
        <v>DoEVLo</v>
      </c>
      <c r="AG924" s="38" t="str">
        <f t="array" ref="AG924">INDEX('Deal Info'!G:G, MATCH(A924,'Deal Info'!A:A, 0))</f>
        <v>None</v>
      </c>
    </row>
    <row r="925" spans="1:33" ht="14.25" hidden="1" x14ac:dyDescent="0.2">
      <c r="A925" s="18" t="str">
        <f t="array" ref="A925">IF(G925='Room Info'!$B$1, INDEX('Room Info'!$A$2:$A2446, MATCH(B925,'Room Info'!$B$2:$B2446, 0)),IF(G925='Room Info'!$C$1, INDEX('Room Info'!$A$2:$A2446, MATCH(B925,'Room Info'!$C$2:$C2446, 0)),IF(G925='Room Info'!$D$1, INDEX('Room Info'!$A$2:$A2446, MATCH(B925,'Room Info'!$D$2:$D2446, 0)),IF(G925='Room Info'!$E$1, INDEX('Room Info'!$A$2:$A2446, MATCH(B925,'Room Info'!$E$2:$E2446, 0)),IF(G925='Room Info'!$F$1, INDEX('Room Info'!$A$2:$A2446, MATCH(B925,'Room Info'!$F$2:$F2446, 0)),IF(G925='Room Info'!$H$1, INDEX('Room Info'!$A$2:$A2446, MATCH(B925,'Room Info'!$H$2:$H2446, 0)),IF(G925='Room Info'!$G$1, INDEX('Room Info'!$A$2:$A2446, MATCH(B925,'Room Info'!$G$2:$G2446, 0)))))))))</f>
        <v>Lo4io</v>
      </c>
      <c r="B925" s="45" t="s">
        <v>102</v>
      </c>
      <c r="C925" s="77">
        <v>44886</v>
      </c>
      <c r="D925" s="77">
        <v>44915</v>
      </c>
      <c r="E925" s="47">
        <v>44896</v>
      </c>
      <c r="F925" s="48" t="s">
        <v>34</v>
      </c>
      <c r="G925" s="45" t="s">
        <v>35</v>
      </c>
      <c r="H925" s="49" t="s">
        <v>72</v>
      </c>
      <c r="I925" s="49" t="s">
        <v>37</v>
      </c>
      <c r="J925" s="74">
        <v>50</v>
      </c>
      <c r="K925" s="75">
        <v>9</v>
      </c>
      <c r="L925" s="72">
        <v>0</v>
      </c>
      <c r="M925" s="76">
        <v>18</v>
      </c>
      <c r="N925" s="28">
        <f>K925*J925</f>
        <v>450</v>
      </c>
      <c r="O925" s="45">
        <v>1834</v>
      </c>
      <c r="P925" s="29">
        <v>203.7777778</v>
      </c>
      <c r="Q925" s="55"/>
      <c r="R925" s="31">
        <f>M925+Q925</f>
        <v>18</v>
      </c>
      <c r="S925" s="73">
        <v>141</v>
      </c>
      <c r="T925" s="32">
        <f>R925+S925+IF(F925="Without EV deal",L925,0)</f>
        <v>159</v>
      </c>
      <c r="U925" s="57">
        <v>1</v>
      </c>
      <c r="V925" s="58"/>
      <c r="W925" s="58"/>
      <c r="X925" s="78">
        <v>0.25</v>
      </c>
      <c r="Y925" s="30">
        <f>IF(AG925="None",0,IF(AG925="Fix5",0.05, IF(AG925="Fix6.25",0.0625,IF(AG925="Fix3.75",0.0375,IF(AG925="Fix10",0.1,IF(AG925="Fix3",0.03,0))))))</f>
        <v>0</v>
      </c>
      <c r="Z925" s="35">
        <f>T925-AA925-AB925</f>
        <v>119.25</v>
      </c>
      <c r="AA925" s="29">
        <f>IF(AD925="EUR",((T925-R925)*X925)*U925+(R925*X925),(T925*X925))</f>
        <v>39.75</v>
      </c>
      <c r="AB925" s="36">
        <f>IF(AD925="EUR",((T925-R925)*Y925)*U925+(R925*Y925),(T925*Y925))</f>
        <v>0</v>
      </c>
      <c r="AC925" s="37" t="b">
        <v>1</v>
      </c>
      <c r="AD925" s="37" t="s">
        <v>38</v>
      </c>
      <c r="AE925" s="37" t="s">
        <v>38</v>
      </c>
      <c r="AF925" s="37" t="str">
        <f t="array" ref="AF925">INDEX('Deal Info'!D:D, MATCH(A925,'Deal Info'!A:A, 0))</f>
        <v>DoEVLo</v>
      </c>
      <c r="AG925" s="38" t="str">
        <f t="array" ref="AG925">INDEX('Deal Info'!G:G, MATCH(A925,'Deal Info'!A:A, 0))</f>
        <v>None</v>
      </c>
    </row>
    <row r="926" spans="1:33" ht="14.25" hidden="1" x14ac:dyDescent="0.2">
      <c r="A926" s="18" t="str">
        <f t="array" ref="A926">IF(G926='Room Info'!$B$1, INDEX('Room Info'!$A$2:$A2446, MATCH(B926,'Room Info'!$B$2:$B2446, 0)),IF(G926='Room Info'!$C$1, INDEX('Room Info'!$A$2:$A2446, MATCH(B926,'Room Info'!$C$2:$C2446, 0)),IF(G926='Room Info'!$D$1, INDEX('Room Info'!$A$2:$A2446, MATCH(B926,'Room Info'!$D$2:$D2446, 0)),IF(G926='Room Info'!$E$1, INDEX('Room Info'!$A$2:$A2446, MATCH(B926,'Room Info'!$E$2:$E2446, 0)),IF(G926='Room Info'!$F$1, INDEX('Room Info'!$A$2:$A2446, MATCH(B926,'Room Info'!$F$2:$F2446, 0)),IF(G926='Room Info'!$H$1, INDEX('Room Info'!$A$2:$A2446, MATCH(B926,'Room Info'!$H$2:$H2446, 0)),IF(G926='Room Info'!$G$1, INDEX('Room Info'!$A$2:$A2446, MATCH(B926,'Room Info'!$G$2:$G2446, 0)))))))))</f>
        <v>Lo4io</v>
      </c>
      <c r="B926" s="45" t="s">
        <v>102</v>
      </c>
      <c r="C926" s="46">
        <v>44886</v>
      </c>
      <c r="D926" s="46">
        <v>44915</v>
      </c>
      <c r="E926" s="47">
        <v>44896</v>
      </c>
      <c r="F926" s="48" t="s">
        <v>34</v>
      </c>
      <c r="G926" s="54" t="s">
        <v>35</v>
      </c>
      <c r="H926" s="49" t="s">
        <v>85</v>
      </c>
      <c r="I926" s="49" t="s">
        <v>44</v>
      </c>
      <c r="J926" s="50">
        <v>50</v>
      </c>
      <c r="K926" s="51">
        <v>3892</v>
      </c>
      <c r="L926" s="52">
        <v>-10250</v>
      </c>
      <c r="M926" s="53">
        <v>7664</v>
      </c>
      <c r="N926" s="28">
        <f>K926*J926</f>
        <v>194600</v>
      </c>
      <c r="O926" s="54">
        <v>33334</v>
      </c>
      <c r="P926" s="29">
        <v>8.5647482010000004</v>
      </c>
      <c r="Q926" s="55"/>
      <c r="R926" s="31">
        <f>M926+Q926</f>
        <v>7664</v>
      </c>
      <c r="S926" s="56">
        <v>-7280</v>
      </c>
      <c r="T926" s="32">
        <f>R926+S926+IF(F926="Without EV deal",L926,0)</f>
        <v>384</v>
      </c>
      <c r="U926" s="57">
        <v>1</v>
      </c>
      <c r="V926" s="58"/>
      <c r="W926" s="58"/>
      <c r="X926" s="78">
        <v>0.25</v>
      </c>
      <c r="Y926" s="30">
        <f>IF(AG926="None",0,IF(AG926="Fix5",0.05, IF(AG926="Fix6.25",0.0625,IF(AG926="Fix3.75",0.0375,IF(AG926="Fix10",0.1,IF(AG926="Fix3",0.03,0))))))</f>
        <v>0</v>
      </c>
      <c r="Z926" s="35">
        <f>T926-AA926-AB926</f>
        <v>288</v>
      </c>
      <c r="AA926" s="29">
        <f>IF(AD926="EUR",((T926-R926)*X926)*U926+(R926*X926),(T926*X926))</f>
        <v>96</v>
      </c>
      <c r="AB926" s="36">
        <f>IF(AD926="EUR",((T926-R926)*Y926)*U926+(R926*Y926),(T926*Y926))</f>
        <v>0</v>
      </c>
      <c r="AC926" s="37" t="b">
        <v>1</v>
      </c>
      <c r="AD926" s="37" t="s">
        <v>38</v>
      </c>
      <c r="AE926" s="37" t="s">
        <v>38</v>
      </c>
      <c r="AF926" s="37" t="str">
        <f t="array" ref="AF926">INDEX('Deal Info'!D:D, MATCH(A926,'Deal Info'!A:A, 0))</f>
        <v>DoEVLo</v>
      </c>
      <c r="AG926" s="38" t="str">
        <f t="array" ref="AG926">INDEX('Deal Info'!G:G, MATCH(A926,'Deal Info'!A:A, 0))</f>
        <v>None</v>
      </c>
    </row>
    <row r="927" spans="1:33" ht="14.25" hidden="1" x14ac:dyDescent="0.2">
      <c r="A927" s="18" t="str">
        <f t="array" ref="A927">IF(G927='Room Info'!$B$1, INDEX('Room Info'!$A$2:$A2446, MATCH(B927,'Room Info'!$B$2:$B2446, 0)),IF(G927='Room Info'!$C$1, INDEX('Room Info'!$A$2:$A2446, MATCH(B927,'Room Info'!$C$2:$C2446, 0)),IF(G927='Room Info'!$D$1, INDEX('Room Info'!$A$2:$A2446, MATCH(B927,'Room Info'!$D$2:$D2446, 0)),IF(G927='Room Info'!$E$1, INDEX('Room Info'!$A$2:$A2446, MATCH(B927,'Room Info'!$E$2:$E2446, 0)),IF(G927='Room Info'!$F$1, INDEX('Room Info'!$A$2:$A2446, MATCH(B927,'Room Info'!$F$2:$F2446, 0)),IF(G927='Room Info'!$H$1, INDEX('Room Info'!$A$2:$A2446, MATCH(B927,'Room Info'!$H$2:$H2446, 0)),IF(G927='Room Info'!$G$1, INDEX('Room Info'!$A$2:$A2446, MATCH(B927,'Room Info'!$G$2:$G2446, 0)))))))))</f>
        <v>Lo4io</v>
      </c>
      <c r="B927" s="45" t="s">
        <v>102</v>
      </c>
      <c r="C927" s="46">
        <v>44886</v>
      </c>
      <c r="D927" s="46">
        <v>44915</v>
      </c>
      <c r="E927" s="47">
        <v>44896</v>
      </c>
      <c r="F927" s="48" t="s">
        <v>34</v>
      </c>
      <c r="G927" s="45" t="s">
        <v>35</v>
      </c>
      <c r="H927" s="49" t="s">
        <v>70</v>
      </c>
      <c r="I927" s="49" t="s">
        <v>37</v>
      </c>
      <c r="J927" s="50">
        <v>100</v>
      </c>
      <c r="K927" s="51">
        <v>731</v>
      </c>
      <c r="L927" s="52">
        <v>-2300</v>
      </c>
      <c r="M927" s="53">
        <v>2399</v>
      </c>
      <c r="N927" s="28">
        <f>K927*J927</f>
        <v>73100</v>
      </c>
      <c r="O927" s="54">
        <v>12441</v>
      </c>
      <c r="P927" s="29">
        <v>17.01915185</v>
      </c>
      <c r="Q927" s="55"/>
      <c r="R927" s="31">
        <f>M927+Q927</f>
        <v>2399</v>
      </c>
      <c r="S927" s="56">
        <v>-1606</v>
      </c>
      <c r="T927" s="32">
        <f>R927+S927+IF(F927="Without EV deal",L927,0)</f>
        <v>793</v>
      </c>
      <c r="U927" s="57">
        <v>1</v>
      </c>
      <c r="V927" s="58"/>
      <c r="W927" s="58"/>
      <c r="X927" s="78">
        <v>0.25</v>
      </c>
      <c r="Y927" s="30">
        <f>IF(AG927="None",0,IF(AG927="Fix5",0.05, IF(AG927="Fix6.25",0.0625,IF(AG927="Fix3.75",0.0375,IF(AG927="Fix10",0.1,IF(AG927="Fix3",0.03,0))))))</f>
        <v>0</v>
      </c>
      <c r="Z927" s="35">
        <f>T927-AA927-AB927</f>
        <v>594.75</v>
      </c>
      <c r="AA927" s="29">
        <f>IF(AD927="EUR",((T927-R927)*X927)*U927+(R927*X927),(T927*X927))</f>
        <v>198.25</v>
      </c>
      <c r="AB927" s="36">
        <f>IF(AD927="EUR",((T927-R927)*Y927)*U927+(R927*Y927),(T927*Y927))</f>
        <v>0</v>
      </c>
      <c r="AC927" s="37" t="b">
        <v>1</v>
      </c>
      <c r="AD927" s="37" t="s">
        <v>38</v>
      </c>
      <c r="AE927" s="37" t="s">
        <v>38</v>
      </c>
      <c r="AF927" s="37" t="str">
        <f t="array" ref="AF927">INDEX('Deal Info'!D:D, MATCH(A927,'Deal Info'!A:A, 0))</f>
        <v>DoEVLo</v>
      </c>
      <c r="AG927" s="38" t="str">
        <f t="array" ref="AG927">INDEX('Deal Info'!G:G, MATCH(A927,'Deal Info'!A:A, 0))</f>
        <v>None</v>
      </c>
    </row>
    <row r="928" spans="1:33" ht="14.25" hidden="1" x14ac:dyDescent="0.2">
      <c r="A928" s="18" t="str">
        <f t="array" ref="A928">IF(G928='Room Info'!$B$1, INDEX('Room Info'!$A$2:$A2446, MATCH(B928,'Room Info'!$B$2:$B2446, 0)),IF(G928='Room Info'!$C$1, INDEX('Room Info'!$A$2:$A2446, MATCH(B928,'Room Info'!$C$2:$C2446, 0)),IF(G928='Room Info'!$D$1, INDEX('Room Info'!$A$2:$A2446, MATCH(B928,'Room Info'!$D$2:$D2446, 0)),IF(G928='Room Info'!$E$1, INDEX('Room Info'!$A$2:$A2446, MATCH(B928,'Room Info'!$E$2:$E2446, 0)),IF(G928='Room Info'!$F$1, INDEX('Room Info'!$A$2:$A2446, MATCH(B928,'Room Info'!$F$2:$F2446, 0)),IF(G928='Room Info'!$H$1, INDEX('Room Info'!$A$2:$A2446, MATCH(B928,'Room Info'!$H$2:$H2446, 0)),IF(G928='Room Info'!$G$1, INDEX('Room Info'!$A$2:$A2446, MATCH(B928,'Room Info'!$G$2:$G2446, 0)))))))))</f>
        <v>Lo4io</v>
      </c>
      <c r="B928" s="45" t="s">
        <v>102</v>
      </c>
      <c r="C928" s="46">
        <v>44886</v>
      </c>
      <c r="D928" s="46">
        <v>44915</v>
      </c>
      <c r="E928" s="47">
        <v>44896</v>
      </c>
      <c r="F928" s="48" t="s">
        <v>34</v>
      </c>
      <c r="G928" s="45" t="s">
        <v>35</v>
      </c>
      <c r="H928" s="49" t="s">
        <v>84</v>
      </c>
      <c r="I928" s="49" t="s">
        <v>44</v>
      </c>
      <c r="J928" s="50">
        <v>100</v>
      </c>
      <c r="K928" s="51">
        <v>1729</v>
      </c>
      <c r="L928" s="52">
        <v>-6900</v>
      </c>
      <c r="M928" s="53">
        <v>5674</v>
      </c>
      <c r="N928" s="28">
        <f>K928*J928</f>
        <v>172900</v>
      </c>
      <c r="O928" s="54">
        <v>3126</v>
      </c>
      <c r="P928" s="29">
        <v>1.8079814919999999</v>
      </c>
      <c r="Q928" s="55"/>
      <c r="R928" s="31">
        <f>M928+Q928</f>
        <v>5674</v>
      </c>
      <c r="S928" s="56">
        <v>-8337</v>
      </c>
      <c r="T928" s="32">
        <f>R928+S928+IF(F928="Without EV deal",L928,0)</f>
        <v>-2663</v>
      </c>
      <c r="U928" s="57">
        <v>1</v>
      </c>
      <c r="V928" s="58"/>
      <c r="W928" s="58"/>
      <c r="X928" s="78">
        <v>0.25</v>
      </c>
      <c r="Y928" s="30">
        <f>IF(AG928="None",0,IF(AG928="Fix5",0.05, IF(AG928="Fix6.25",0.0625,IF(AG928="Fix3.75",0.0375,IF(AG928="Fix10",0.1,IF(AG928="Fix3",0.03,0))))))</f>
        <v>0</v>
      </c>
      <c r="Z928" s="35">
        <f>T928-AA928-AB928</f>
        <v>-1997.25</v>
      </c>
      <c r="AA928" s="29">
        <f>IF(AD928="EUR",((T928-R928)*X928)*U928+(R928*X928),(T928*X928))</f>
        <v>-665.75</v>
      </c>
      <c r="AB928" s="36">
        <f>IF(AD928="EUR",((T928-R928)*Y928)*U928+(R928*Y928),(T928*Y928))</f>
        <v>0</v>
      </c>
      <c r="AC928" s="37" t="b">
        <v>1</v>
      </c>
      <c r="AD928" s="37" t="s">
        <v>38</v>
      </c>
      <c r="AE928" s="37" t="s">
        <v>38</v>
      </c>
      <c r="AF928" s="37" t="str">
        <f t="array" ref="AF928">INDEX('Deal Info'!D:D, MATCH(A928,'Deal Info'!A:A, 0))</f>
        <v>DoEVLo</v>
      </c>
      <c r="AG928" s="38" t="str">
        <f t="array" ref="AG928">INDEX('Deal Info'!G:G, MATCH(A928,'Deal Info'!A:A, 0))</f>
        <v>None</v>
      </c>
    </row>
    <row r="929" spans="1:33" ht="14.25" hidden="1" x14ac:dyDescent="0.2">
      <c r="A929" s="18" t="str">
        <f t="array" ref="A929">IF(G929='Room Info'!$B$1, INDEX('Room Info'!$A$2:$A2446, MATCH(B929,'Room Info'!$B$2:$B2446, 0)),IF(G929='Room Info'!$C$1, INDEX('Room Info'!$A$2:$A2446, MATCH(B929,'Room Info'!$C$2:$C2446, 0)),IF(G929='Room Info'!$D$1, INDEX('Room Info'!$A$2:$A2446, MATCH(B929,'Room Info'!$D$2:$D2446, 0)),IF(G929='Room Info'!$E$1, INDEX('Room Info'!$A$2:$A2446, MATCH(B929,'Room Info'!$E$2:$E2446, 0)),IF(G929='Room Info'!$F$1, INDEX('Room Info'!$A$2:$A2446, MATCH(B929,'Room Info'!$F$2:$F2446, 0)),IF(G929='Room Info'!$H$1, INDEX('Room Info'!$A$2:$A2446, MATCH(B929,'Room Info'!$H$2:$H2446, 0)),IF(G929='Room Info'!$G$1, INDEX('Room Info'!$A$2:$A2446, MATCH(B929,'Room Info'!$G$2:$G2446, 0)))))))))</f>
        <v>Lo4io</v>
      </c>
      <c r="B929" s="45" t="s">
        <v>97</v>
      </c>
      <c r="C929" s="46">
        <v>44886</v>
      </c>
      <c r="D929" s="46">
        <v>44915</v>
      </c>
      <c r="E929" s="47">
        <v>44896</v>
      </c>
      <c r="F929" s="48" t="s">
        <v>34</v>
      </c>
      <c r="G929" s="45" t="s">
        <v>80</v>
      </c>
      <c r="H929" s="49" t="s">
        <v>71</v>
      </c>
      <c r="I929" s="49" t="s">
        <v>81</v>
      </c>
      <c r="J929" s="50">
        <v>20</v>
      </c>
      <c r="K929" s="51">
        <v>42</v>
      </c>
      <c r="L929" s="52">
        <v>320</v>
      </c>
      <c r="M929" s="53">
        <v>57</v>
      </c>
      <c r="N929" s="28">
        <f>K929*J929</f>
        <v>840</v>
      </c>
      <c r="O929" s="54">
        <v>1645</v>
      </c>
      <c r="P929" s="29">
        <v>39.166666669999998</v>
      </c>
      <c r="Q929" s="55"/>
      <c r="R929" s="31">
        <f>M929+Q929</f>
        <v>57</v>
      </c>
      <c r="S929" s="56">
        <v>33</v>
      </c>
      <c r="T929" s="32">
        <f>R929+S929+IF(F929="Without EV deal",L929,0)</f>
        <v>90</v>
      </c>
      <c r="U929" s="57">
        <v>1</v>
      </c>
      <c r="V929" s="58"/>
      <c r="W929" s="58"/>
      <c r="X929" s="78">
        <v>0.25</v>
      </c>
      <c r="Y929" s="30">
        <f>IF(AG929="None",0,IF(AG929="Fix5",0.05, IF(AG929="Fix6.25",0.0625,IF(AG929="Fix3.75",0.0375,IF(AG929="Fix10",0.1,IF(AG929="Fix3",0.03,0))))))</f>
        <v>0</v>
      </c>
      <c r="Z929" s="35">
        <f>T929-AA929-AB929</f>
        <v>67.5</v>
      </c>
      <c r="AA929" s="29">
        <f>IF(AD929="EUR",((T929-R929)*X929)*U929+(R929*X929),(T929*X929))</f>
        <v>22.5</v>
      </c>
      <c r="AB929" s="36">
        <f>IF(AD929="EUR",((T929-R929)*Y929)*U929+(R929*Y929),(T929*Y929))</f>
        <v>0</v>
      </c>
      <c r="AC929" s="37" t="b">
        <v>1</v>
      </c>
      <c r="AD929" s="37" t="s">
        <v>38</v>
      </c>
      <c r="AE929" s="37" t="s">
        <v>38</v>
      </c>
      <c r="AF929" s="37" t="str">
        <f t="array" ref="AF929">INDEX('Deal Info'!D:D, MATCH(A929,'Deal Info'!A:A, 0))</f>
        <v>DoEVLo</v>
      </c>
      <c r="AG929" s="38" t="str">
        <f t="array" ref="AG929">INDEX('Deal Info'!G:G, MATCH(A929,'Deal Info'!A:A, 0))</f>
        <v>None</v>
      </c>
    </row>
    <row r="930" spans="1:33" ht="14.25" hidden="1" x14ac:dyDescent="0.2">
      <c r="A930" s="18" t="str">
        <f t="array" ref="A930">IF(G930='Room Info'!$B$1, INDEX('Room Info'!$A$2:$A2446, MATCH(B930,'Room Info'!$B$2:$B2446, 0)),IF(G930='Room Info'!$C$1, INDEX('Room Info'!$A$2:$A2446, MATCH(B930,'Room Info'!$C$2:$C2446, 0)),IF(G930='Room Info'!$D$1, INDEX('Room Info'!$A$2:$A2446, MATCH(B930,'Room Info'!$D$2:$D2446, 0)),IF(G930='Room Info'!$E$1, INDEX('Room Info'!$A$2:$A2446, MATCH(B930,'Room Info'!$E$2:$E2446, 0)),IF(G930='Room Info'!$F$1, INDEX('Room Info'!$A$2:$A2446, MATCH(B930,'Room Info'!$F$2:$F2446, 0)),IF(G930='Room Info'!$H$1, INDEX('Room Info'!$A$2:$A2446, MATCH(B930,'Room Info'!$H$2:$H2446, 0)),IF(G930='Room Info'!$G$1, INDEX('Room Info'!$A$2:$A2446, MATCH(B930,'Room Info'!$G$2:$G2446, 0)))))))))</f>
        <v>Lo4io</v>
      </c>
      <c r="B930" s="45" t="s">
        <v>97</v>
      </c>
      <c r="C930" s="46">
        <v>44886</v>
      </c>
      <c r="D930" s="46">
        <v>44915</v>
      </c>
      <c r="E930" s="47">
        <v>44896</v>
      </c>
      <c r="F930" s="48" t="s">
        <v>34</v>
      </c>
      <c r="G930" s="45" t="s">
        <v>80</v>
      </c>
      <c r="H930" s="49" t="s">
        <v>72</v>
      </c>
      <c r="I930" s="49" t="s">
        <v>81</v>
      </c>
      <c r="J930" s="50">
        <v>50</v>
      </c>
      <c r="K930" s="51">
        <v>72</v>
      </c>
      <c r="L930" s="52">
        <v>250</v>
      </c>
      <c r="M930" s="53">
        <v>200</v>
      </c>
      <c r="N930" s="28">
        <f>K930*J930</f>
        <v>3600</v>
      </c>
      <c r="O930" s="54">
        <v>2779</v>
      </c>
      <c r="P930" s="29">
        <v>38.597222219999999</v>
      </c>
      <c r="Q930" s="55"/>
      <c r="R930" s="31">
        <f>M930+Q930</f>
        <v>200</v>
      </c>
      <c r="S930" s="56">
        <v>136</v>
      </c>
      <c r="T930" s="32">
        <f>R930+S930+IF(F930="Without EV deal",L930,0)</f>
        <v>336</v>
      </c>
      <c r="U930" s="57">
        <v>1</v>
      </c>
      <c r="V930" s="58"/>
      <c r="W930" s="58"/>
      <c r="X930" s="78">
        <v>0.25</v>
      </c>
      <c r="Y930" s="30">
        <f>IF(AG930="None",0,IF(AG930="Fix5",0.05, IF(AG930="Fix6.25",0.0625,IF(AG930="Fix3.75",0.0375,IF(AG930="Fix10",0.1,IF(AG930="Fix3",0.03,0))))))</f>
        <v>0</v>
      </c>
      <c r="Z930" s="35">
        <f>T930-AA930-AB930</f>
        <v>252</v>
      </c>
      <c r="AA930" s="29">
        <f>IF(AD930="EUR",((T930-R930)*X930)*U930+(R930*X930),(T930*X930))</f>
        <v>84</v>
      </c>
      <c r="AB930" s="36">
        <f>IF(AD930="EUR",((T930-R930)*Y930)*U930+(R930*Y930),(T930*Y930))</f>
        <v>0</v>
      </c>
      <c r="AC930" s="37" t="b">
        <v>1</v>
      </c>
      <c r="AD930" s="37" t="s">
        <v>38</v>
      </c>
      <c r="AE930" s="37" t="s">
        <v>38</v>
      </c>
      <c r="AF930" s="37" t="str">
        <f t="array" ref="AF930">INDEX('Deal Info'!D:D, MATCH(A930,'Deal Info'!A:A, 0))</f>
        <v>DoEVLo</v>
      </c>
      <c r="AG930" s="38" t="str">
        <f t="array" ref="AG930">INDEX('Deal Info'!G:G, MATCH(A930,'Deal Info'!A:A, 0))</f>
        <v>None</v>
      </c>
    </row>
    <row r="931" spans="1:33" ht="14.25" hidden="1" x14ac:dyDescent="0.2">
      <c r="A931" s="18" t="str">
        <f t="array" ref="A931">IF(G931='Room Info'!$B$1, INDEX('Room Info'!$A$2:$A2446, MATCH(B931,'Room Info'!$B$2:$B2446, 0)),IF(G931='Room Info'!$C$1, INDEX('Room Info'!$A$2:$A2446, MATCH(B931,'Room Info'!$C$2:$C2446, 0)),IF(G931='Room Info'!$D$1, INDEX('Room Info'!$A$2:$A2446, MATCH(B931,'Room Info'!$D$2:$D2446, 0)),IF(G931='Room Info'!$E$1, INDEX('Room Info'!$A$2:$A2446, MATCH(B931,'Room Info'!$E$2:$E2446, 0)),IF(G931='Room Info'!$F$1, INDEX('Room Info'!$A$2:$A2446, MATCH(B931,'Room Info'!$F$2:$F2446, 0)),IF(G931='Room Info'!$H$1, INDEX('Room Info'!$A$2:$A2446, MATCH(B931,'Room Info'!$H$2:$H2446, 0)),IF(G931='Room Info'!$G$1, INDEX('Room Info'!$A$2:$A2446, MATCH(B931,'Room Info'!$G$2:$G2446, 0)))))))))</f>
        <v>Lo4io</v>
      </c>
      <c r="B931" s="45" t="s">
        <v>102</v>
      </c>
      <c r="C931" s="46">
        <v>44886</v>
      </c>
      <c r="D931" s="46">
        <v>44915</v>
      </c>
      <c r="E931" s="47">
        <v>44896</v>
      </c>
      <c r="F931" s="48" t="s">
        <v>41</v>
      </c>
      <c r="G931" s="45" t="s">
        <v>35</v>
      </c>
      <c r="H931" s="49" t="s">
        <v>87</v>
      </c>
      <c r="I931" s="49" t="s">
        <v>44</v>
      </c>
      <c r="J931" s="50">
        <v>25</v>
      </c>
      <c r="K931" s="51">
        <v>32</v>
      </c>
      <c r="L931" s="52">
        <v>200</v>
      </c>
      <c r="M931" s="53">
        <v>32</v>
      </c>
      <c r="N931" s="28">
        <f>K931*J931</f>
        <v>800</v>
      </c>
      <c r="O931" s="65"/>
      <c r="P931" s="29">
        <v>0</v>
      </c>
      <c r="Q931" s="55"/>
      <c r="R931" s="31">
        <f>M931+Q931</f>
        <v>32</v>
      </c>
      <c r="S931" s="66"/>
      <c r="T931" s="32">
        <f>R931+S931+IF(F931="Without EV deal",L931,0)</f>
        <v>232</v>
      </c>
      <c r="U931" s="57">
        <v>1.0860000000000001</v>
      </c>
      <c r="V931" s="58"/>
      <c r="W931" s="58"/>
      <c r="X931" s="78">
        <v>0.25</v>
      </c>
      <c r="Y931" s="30">
        <f>IF(AG931="None",0,IF(AG931="Fix5",0.05, IF(AG931="Fix6.25",0.0625,IF(AG931="Fix3.75",0.0375,IF(AG931="Fix10",0.1,IF(AG931="Fix3",0.03,0))))))</f>
        <v>0</v>
      </c>
      <c r="Z931" s="35">
        <f>T931-AA931-AB931</f>
        <v>169.7</v>
      </c>
      <c r="AA931" s="29">
        <f>IF(AD931="EUR",((T931-R931)*X931)*U931+(R931*X931),(T931*X931))</f>
        <v>62.300000000000004</v>
      </c>
      <c r="AB931" s="36">
        <f>IF(AD931="EUR",((T931-R931)*Y931)*U931+(R931*Y931),(T931*Y931))</f>
        <v>0</v>
      </c>
      <c r="AC931" s="37" t="b">
        <v>1</v>
      </c>
      <c r="AD931" s="45" t="s">
        <v>50</v>
      </c>
      <c r="AE931" s="45"/>
      <c r="AF931" s="37" t="str">
        <f t="array" ref="AF931">INDEX('Deal Info'!D:D, MATCH(A931,'Deal Info'!A:A, 0))</f>
        <v>DoEVLo</v>
      </c>
      <c r="AG931" s="38" t="str">
        <f t="array" ref="AG931">INDEX('Deal Info'!G:G, MATCH(A931,'Deal Info'!A:A, 0))</f>
        <v>None</v>
      </c>
    </row>
    <row r="932" spans="1:33" ht="14.25" x14ac:dyDescent="0.2">
      <c r="A932" s="18" t="str">
        <f t="array" ref="A932">IF(G932='Room Info'!$B$1, INDEX('Room Info'!$A$2:$A2446, MATCH(B932,'Room Info'!$B$2:$B2446, 0)),IF(G932='Room Info'!$C$1, INDEX('Room Info'!$A$2:$A2446, MATCH(B932,'Room Info'!$C$2:$C2446, 0)),IF(G932='Room Info'!$D$1, INDEX('Room Info'!$A$2:$A2446, MATCH(B932,'Room Info'!$D$2:$D2446, 0)),IF(G932='Room Info'!$E$1, INDEX('Room Info'!$A$2:$A2446, MATCH(B932,'Room Info'!$E$2:$E2446, 0)),IF(G932='Room Info'!$F$1, INDEX('Room Info'!$A$2:$A2446, MATCH(B932,'Room Info'!$F$2:$F2446, 0)),IF(G932='Room Info'!$H$1, INDEX('Room Info'!$A$2:$A2446, MATCH(B932,'Room Info'!$H$2:$H2446, 0)),IF(G932='Room Info'!$G$1, INDEX('Room Info'!$A$2:$A2446, MATCH(B932,'Room Info'!$G$2:$G2446, 0)))))))))</f>
        <v>Mackevgen</v>
      </c>
      <c r="B932" s="45" t="s">
        <v>128</v>
      </c>
      <c r="C932" s="111">
        <v>44866</v>
      </c>
      <c r="D932" s="111">
        <v>44883</v>
      </c>
      <c r="E932" s="47">
        <v>44866</v>
      </c>
      <c r="F932" s="48" t="s">
        <v>49</v>
      </c>
      <c r="G932" s="65" t="s">
        <v>61</v>
      </c>
      <c r="H932" s="49" t="s">
        <v>55</v>
      </c>
      <c r="I932" s="49" t="s">
        <v>101</v>
      </c>
      <c r="J932" s="50">
        <v>10</v>
      </c>
      <c r="K932" s="123">
        <v>350</v>
      </c>
      <c r="L932" s="113">
        <v>130</v>
      </c>
      <c r="M932" s="62">
        <v>3816</v>
      </c>
      <c r="N932" s="28">
        <f>K932*J932</f>
        <v>3500</v>
      </c>
      <c r="O932" s="65">
        <v>35872</v>
      </c>
      <c r="P932" s="29">
        <v>102.49142860000001</v>
      </c>
      <c r="Q932" s="55"/>
      <c r="R932" s="31">
        <f>M932+Q932</f>
        <v>3816</v>
      </c>
      <c r="S932" s="66">
        <v>338</v>
      </c>
      <c r="T932" s="32">
        <f>R932+S932+IF(F932="Without EV deal",L932,0)</f>
        <v>4154</v>
      </c>
      <c r="U932" s="57">
        <v>1</v>
      </c>
      <c r="V932" s="58"/>
      <c r="W932" s="58"/>
      <c r="X932" s="78">
        <v>0.17</v>
      </c>
      <c r="Y932" s="30">
        <f>IF(AG932="None",0,IF(AG932="Fix5",0.05, IF(AG932="Fix6.25",0.0625,IF(AG932="Fix3.75",0.0375,IF(AG932="Fix10",0.1,IF(AG932="Fix3",0.03,0))))))</f>
        <v>0</v>
      </c>
      <c r="Z932" s="35">
        <f>T932-AA932-AB932</f>
        <v>3448</v>
      </c>
      <c r="AA932" s="29">
        <v>706</v>
      </c>
      <c r="AB932" s="36">
        <f>IF(AD932="EUR",((T932-R932)*Y932)*U932+(R932*Y932),(T932*Y932))</f>
        <v>0</v>
      </c>
      <c r="AC932" s="37" t="b">
        <v>1</v>
      </c>
      <c r="AD932" s="37" t="s">
        <v>38</v>
      </c>
      <c r="AE932" s="37" t="s">
        <v>38</v>
      </c>
      <c r="AF932" s="37" t="str">
        <f t="array" ref="AF932">INDEX('Deal Info'!D:D, MATCH(A932,'Deal Info'!A:A, 0))</f>
        <v>DoEV</v>
      </c>
      <c r="AG932" s="38" t="str">
        <f t="array" ref="AG932">INDEX('Deal Info'!G:G, MATCH(A932,'Deal Info'!A:A, 0))</f>
        <v>None</v>
      </c>
    </row>
    <row r="933" spans="1:33" ht="14.25" x14ac:dyDescent="0.2">
      <c r="A933" s="18" t="str">
        <f t="array" ref="A933">IF(G933='Room Info'!$B$1, INDEX('Room Info'!$A$2:$A2446, MATCH(B933,'Room Info'!$B$2:$B2446, 0)),IF(G933='Room Info'!$C$1, INDEX('Room Info'!$A$2:$A2446, MATCH(B933,'Room Info'!$C$2:$C2446, 0)),IF(G933='Room Info'!$D$1, INDEX('Room Info'!$A$2:$A2446, MATCH(B933,'Room Info'!$D$2:$D2446, 0)),IF(G933='Room Info'!$E$1, INDEX('Room Info'!$A$2:$A2446, MATCH(B933,'Room Info'!$E$2:$E2446, 0)),IF(G933='Room Info'!$F$1, INDEX('Room Info'!$A$2:$A2446, MATCH(B933,'Room Info'!$F$2:$F2446, 0)),IF(G933='Room Info'!$H$1, INDEX('Room Info'!$A$2:$A2446, MATCH(B933,'Room Info'!$H$2:$H2446, 0)),IF(G933='Room Info'!$G$1, INDEX('Room Info'!$A$2:$A2446, MATCH(B933,'Room Info'!$G$2:$G2446, 0)))))))))</f>
        <v>fortunate773</v>
      </c>
      <c r="B933" s="129" t="s">
        <v>95</v>
      </c>
      <c r="C933" s="46">
        <v>44886</v>
      </c>
      <c r="D933" s="46">
        <v>44915</v>
      </c>
      <c r="E933" s="47">
        <v>44896</v>
      </c>
      <c r="F933" s="133" t="s">
        <v>49</v>
      </c>
      <c r="G933" s="129" t="s">
        <v>61</v>
      </c>
      <c r="H933" s="49" t="s">
        <v>100</v>
      </c>
      <c r="I933" s="49" t="s">
        <v>101</v>
      </c>
      <c r="J933" s="70">
        <v>500</v>
      </c>
      <c r="K933" s="71">
        <v>15</v>
      </c>
      <c r="L933" s="113">
        <v>-2000</v>
      </c>
      <c r="M933" s="53">
        <v>11</v>
      </c>
      <c r="N933" s="28">
        <f>K933*J933</f>
        <v>7500</v>
      </c>
      <c r="O933" s="65">
        <v>1739</v>
      </c>
      <c r="P933" s="29">
        <v>115.9333333</v>
      </c>
      <c r="Q933" s="55"/>
      <c r="R933" s="31">
        <f>M933+Q933</f>
        <v>11</v>
      </c>
      <c r="S933" s="66">
        <v>995</v>
      </c>
      <c r="T933" s="32">
        <f>R933+S933+IF(F933="Without EV deal",L933,0)</f>
        <v>1006</v>
      </c>
      <c r="U933" s="57">
        <v>1</v>
      </c>
      <c r="V933" s="58"/>
      <c r="W933" s="58"/>
      <c r="X933" s="78">
        <f>IF(AF933="DoEV",IF(AND(V933&lt;20,W933&lt;55),0.3,0)+IF(AND(V933&lt;20,W933&gt;=55,W933&lt;105),0.23,0)+IF(AND(V933&lt;20,W933&gt;=105),0.17,0)+IF(AND(V933&gt;=20,V933&lt;40,W933&lt;45),0.3,0)+IF(AND(V933&gt;=20,V933&lt;40,W933&gt;=45,W933&lt;95),0.23,0)+IF(AND(V933&gt;=20,V933&lt;40,W933&gt;=95),0.17,0)+IF(AND(V933&gt;=40,V933&lt;75,W933&lt;35),0.3,0)+IF(AND(V933&gt;=40,V933&lt;75,W933&gt;=35,W933&lt;75),0.23,0)+IF(AND(V933&gt;=40,V933&lt;75,W933&gt;=75,W933&lt;120),0.17,0)+IF(AND(V933&gt;=40,V933&lt;75,W933&gt;=120),0.12,0)+IF(AND(V933&gt;=75,V933&lt;175,W933&lt;35),0.3,0)+IF(AND(V933&gt;=75,V933&lt;=175,W933&gt;=35,W933&lt;65),0.23,0)+IF(AND(V933&gt;=75,V933&lt;=175,W933&gt;=65,W933&lt;110),0.17,0)+IF(AND(V933&gt;=75,V933&lt;=175,W933&gt;=110),0.12,0)+IF(AND(V933&gt;175,W933&lt;25),0.3,0)+IF(AND(V933&gt;175,W933&gt;=25,W933&lt;55),0.23,0)+IF(AND(V933&gt;175,W933&gt;=55,W933&lt;95),0.17,0)+IF(AND(V933&gt;175,W933&gt;=95),0.12,0),
IF(AF933="Fix15",0.15,
IF(AF933="Fix11.25",0.1125,
IF(AF933="Fix10",0.1,
IF(AF933="Fix9",0.09,
IF(AF933="DoEV2017",IF(AND(W933&lt;74),0.2,0)+IF(AND(W933&gt;=74),0.17,0),
IF(AF933="SF",IF(AND(V933&lt;20,W933&lt;89),0.3,0)+IF(AND(V933&lt;20,W933&gt;=89),0.25,0)+IF(AND(V933&gt;=20,V933&lt;40,W933&lt;74),0.3,0)+IF(AND(V933&gt;=20,V933&lt;40,W933&gt;=75),0.22,0)+IF(AND(V933&gt;=40,V933&lt;75,W933&lt;75),0.26,0)+IF(AND(V933&gt;=40,V933&lt;75,W933&gt;=75),0.22,0)+IF(V933&gt;=75,0.22,0),
IF(AF933="DoEVold",IF(AND(V933&lt;40,W933&lt;35),0.35,0)+IF(AND(V933&lt;40,W933&gt;=35,W933&lt;75),0.25,0)+IF(AND(V933&lt;40,W933&gt;=75),0.17,0)+IF(AND(V933&gt;=40,V933&lt;75,W933&lt;25),0.35,0)+IF(AND(V933&gt;=40,V933&lt;75,W933&gt;=25,W933&lt;65),0.25,0)+IF(AND(V933&gt;=40,V933&lt;75,W933&gt;=65,W933&lt;100),0.17,0)+IF(AND(V933&gt;=40,V933&lt;75,W933&gt;=100),0.1,0)+IF(AND(V933&gt;=75,W933&lt;25),0.35,0)+IF(AND(V933&gt;=75,W933&gt;=25,W933&lt;60),0.25,0)+IF(AND(V933&gt;=75,W933&gt;=60,W933&lt;95),0.17,0)+IF(AND(V933&gt;=75,W933&gt;=95),0.1,0),
IF(AF933="DoEVold15",IF(AND(V933&lt;=40,W933&lt;35),0.35,0)+IF(AND(V933&lt;=40,W933&gt;=35,W933&lt;75),0.25,0)+IF(AND(V933&lt;=40,W933&gt;=75,W933&lt;120),0.17,0)+IF(AND(V933&lt;=40,W933&gt;=120),0.15,0)+IF(AND(V933&gt;40,V933&lt;75,W933&lt;25),0.35,0)+IF(AND(V933&gt;=40,V933&lt;75,W933&gt;=25,W933&lt;65),0.25,0)+IF(AND(V933&gt;=40,V933&lt;75,W933&gt;=65,W933&lt;100),0.17,0)+IF(AND(V933&gt;=40,V933&lt;75,W933&gt;=100),0.1,0)+IF(AND(V933&gt;=75,W933&lt;25),0.35,0)+IF(AND(V933&gt;=75,W933&gt;=25,W933&lt;60),0.25,0)+IF(AND(V933&gt;=75,W933&gt;=60,W933&lt;95),0.17,0)+IF(AND(V933&gt;=75,W933&gt;=95),0.1,0),
IF(AF933="DoEVba",IF(AND(V933&lt;20,W933&lt;105),0.2,0)+IF(AND(V933&lt;20,W933&gt;=105),0.15,0)+IF(AND(V933&gt;=20,V933&lt;40,W933&lt;95),0.2,0)+IF(AND(V933&gt;=20,V933&lt;40,W933&gt;=95,W933&lt;150),0.15,0)+IF(AND(V933&gt;=20,V933&lt;40,W933&gt;=150),0.12,0)+IF(AND(V933&gt;=40,V933&lt;75,W933&lt;75),0.2,0)+IF(AND(V933&gt;=40,V933&lt;75,W933&gt;=75,W933&lt;120),0.15,0)+IF(AND(V933&gt;=40,V933&lt;75,W933&gt;=120),0.12,0)+IF(AND(V933&gt;=75,V933&lt;175,W933&lt;65),0.2,0)+IF(AND(V933&gt;=75,V933&lt;175,W933&gt;=65,W933&lt;110),0.15,0)+IF(AND(V933&gt;=75,V933&lt;175,W933&gt;=110),0.12,0)+IF(AND(V933&gt;=175,W933&lt;55),0.2,0)+IF(AND(V933&gt;=175,W933&gt;=55,W933&lt;95),0.15,0)+IF(AND(V933&gt;=175,W933&gt;=95),0.12,0),
IF(AF933="DoEVku",IF(AND(V933&lt;20,W933&lt;55),0.23,0)+IF(AND(V933&lt;20,W933&gt;=55,W933&lt;105),0.2,0)+IF(AND(V933&lt;20,W933&gt;=105),0.17,0)+IF(AND(V933&gt;=20,V933&lt;40,W933&lt;45),0.23,0)+IF(AND(V933&gt;=20,V933&lt;40,W933&gt;=45,W933&lt;95),0.2,0)+IF(AND(V933&gt;=20,V933&lt;40,W933&gt;=95,W933&lt;=150),0.17,0)+IF(AND(V933&gt;=20,V933&lt;40,W933&gt;=150),0.12,0)+IF(AND(V933&gt;=40,V933&lt;75,W933&lt;35),0.23,0)+IF(AND(V933&gt;=40,V933&lt;75,W933&gt;=35,W933&lt;75),0.2,0)+IF(AND(V933&gt;=40,V933&lt;75,W933&gt;=75,W933&lt;120),0.17,0)+IF(AND(V933&gt;=40,V933&lt;75,W933&gt;=120),0.12,0)+IF(AND(V933&gt;=75,V933&lt;175,W933&lt;35),0.23,0)+IF(AND(V933&gt;=75,V933&lt;=175,W933&gt;=35,W933&lt;65),0.2,0)+IF(AND(V933&gt;=75,V933&lt;=175,W933&gt;=65,W933&lt;110),0.17,0)+IF(AND(V933&gt;=75,V933&lt;=175,W933&gt;=110),0.12,0)+IF(AND(V933&gt;175,W933&lt;25),0.23,0)+IF(AND(V933&gt;175,W933&gt;=25,W933&lt;55),0.2,0)+IF(AND(V933&gt;175,W933&gt;=55,W933&lt;95),0.17,0)+IF(AND(V933&gt;175,W933&gt;=95),0.12,0),
IF(AF933="DoEVs1",IF(AND(V933&lt;20,W933&lt;55),0.3,0)+IF(AND(V933&lt;20,W933&gt;=55,W933&lt;105),0.23,0)+IF(AND(V933&lt;20,W933&gt;=105),0.17,0)+IF(AND(V933&gt;=20,V933&lt;40,W933&lt;45),0.3,0)+IF(AND(V933&gt;=20,V933&lt;40,W933&gt;=45,W933&lt;95),0.23,0)+IF(AND(V933&gt;=20,V933&lt;40,W933&gt;=95,W933&lt;=150),0.17,0)+IF(AND(V933&gt;=20,V933&lt;40,W933&gt;=150),0.12,0)+IF(AND(V933&gt;=40,V933&lt;75,W933&lt;35),0.3,0)+IF(AND(V933&gt;=40,V933&lt;75,W933&gt;=35,W933&lt;75),0.23,0)+IF(AND(V933&gt;=40,V933&lt;75,W933&gt;=75,W933&lt;120),0.17,0)+IF(AND(V933&gt;=40,V933&lt;75,W933&gt;=120),0.12,0)+IF(AND(V933&gt;=75,V933&lt;175,W933&lt;35),0.3,0)+IF(AND(V933&gt;=75,V933&lt;=175,W933&gt;=35,W933&lt;65),0.23,0)+IF(AND(V933&gt;=75,V933&lt;=175,W933&gt;=65,W933&lt;110),0.17,0)+IF(AND(V933&gt;=75,V933&lt;=175,W933&gt;=110),0.12,0)+IF(AND(V933&gt;175,W933&lt;25),0.3,0)+IF(AND(V933&gt;175,W933&gt;=25,W933&lt;55),0.23,0)+IF(AND(V933&gt;175,W933&gt;=55,W933&lt;95),0.17,0)+IF(AND(V933&gt;175,W933&gt;=95),0.12,0),
IF(AF933="DoEVsu",IF(AND(V933&lt;20,W933&lt;55),0.3,0)+IF(AND(V933&lt;20,W933&gt;=55,W933&lt;105),0.23,0)+IF(AND(V933&lt;20,W933&gt;=105),0.17,0)+IF(AND(V933&gt;=20,V933&lt;40,W933&lt;45),0.3,0)+IF(AND(V933&gt;=20,V933&lt;40,W933&gt;=45,W933&lt;95),0.23,0)+IF(AND(V933&gt;=20,V933&lt;40,W933&gt;=95,W933&lt;=250),0.17,0)+IF(AND(V933&gt;=20,V933&lt;40,W933&gt;=250),0.12,0)+IF(AND(V933&gt;=40,V933&lt;75,W933&lt;35),0.3,0)+IF(AND(V933&gt;=40,V933&lt;75,W933&gt;=35,W933&lt;75),0.23,0)+IF(AND(V933&gt;=40,V933&lt;75,W933&gt;=75,W933&lt;120),0.17,0)+IF(AND(V933&gt;=40,V933&lt;75,W933&gt;=120),0.12,0)+IF(AND(V933&gt;=75,V933&lt;175,W933&lt;35),0.3,0)+IF(AND(V933&gt;=75,V933&lt;=175,W933&gt;=35,W933&lt;65),0.23,0)+IF(AND(V933&gt;=75,V933&lt;=175,W933&gt;=65,W933&lt;110),0.17,0)+IF(AND(V933&gt;=75,V933&lt;=175,W933&gt;=110),0.12,0)+IF(AND(V933&gt;175,W933&lt;25),0.3,0)+IF(AND(V933&gt;175,W933&gt;=25,W933&lt;55),0.23,0)+IF(AND(V933&gt;175,W933&gt;=55,W933&lt;95),0.17,0)+IF(AND(V933&gt;175,W933&gt;=95),0.12,0),
IF(AF933="DoEVni",IF(AND(V933&lt;20,W933&lt;55),0.3,0)+IF(AND(V933&lt;20,W933&gt;=55,W933&lt;105),0.23,0)+IF(AND(V933&lt;20,W933&gt;=105),0.17,0)+IF(AND(V933&gt;=20,V933&lt;40,W933&lt;45),0.3,0)+IF(AND(V933&gt;=20,V933&lt;40,W933&gt;=45,W933&lt;95),0.23,0)+IF(AND(V933&gt;=20,V933&lt;40,W933&gt;=95,W933&lt;=200),0.17,0)+IF(AND(V933&gt;=20,V933&lt;40,W933&gt;=200),0.12,0)+IF(AND(V933&gt;=40,V933&lt;75,W933&lt;35),0.3,0)+IF(AND(V933&gt;=40,V933&lt;75,W933&gt;=35,W933&lt;75),0.23,0)+IF(AND(V933&gt;=40,V933&lt;75,W933&gt;=75,W933&lt;120),0.17,0)+IF(AND(V933&gt;=40,V933&lt;75,W933&gt;=120),0.12,0)+IF(AND(V933&gt;=75,V933&lt;175,W933&lt;35),0.3,0)+IF(AND(V933&gt;=75,V933&lt;=175,W933&gt;=35,W933&lt;65),0.23,0)+IF(AND(V933&gt;=75,V933&lt;=175,W933&gt;=65,W933&lt;110),0.17,0)+IF(AND(V933&gt;=75,V933&lt;=175,W933&gt;=110),0.12,0)+IF(AND(V933&gt;175,W933&lt;25),0.3,0)+IF(AND(V933&gt;175,W933&gt;=25,W933&lt;55),0.23,0)+IF(AND(V933&gt;175,W933&gt;=55,W933&lt;95),0.17,0)+IF(AND(V933&gt;175,W933&gt;=95),0.12,0),
IF(AF933="DoEVLo",IF(AND(V933&lt;20,W933&lt;55),0.25,0)+IF(AND(V933&lt;20,W933&gt;=55,W933&lt;105),0.2,0)+IF(AND(V933&lt;20,W933&gt;=105),0.15,0)+IF(AND(V933&gt;=20,V933&lt;40,W933&lt;45),0.25,0)+IF(AND(V933&gt;=20,V933&lt;40,W933&gt;=45,W933&lt;95),0.2,0)+IF(AND(V933&gt;=20,V933&lt;40,W933&gt;=95),0.15,0)+IF(AND(V933&gt;=40,V933&lt;75,W933&lt;35),0.25,0)+IF(AND(V933&gt;=40,V933&lt;75,W933&gt;=35,W933&lt;75),0.2,0)+IF(AND(V933&gt;=40,V933&lt;75,W933&gt;=75,W933&lt;120),0.15,0)+IF(AND(V933&gt;=40,V933&lt;75,W933&gt;=120),0.1,0)+IF(AND(V933&gt;=75,V933&lt;175,W933&lt;35),0.25,0)+IF(AND(V933&gt;=75,V933&lt;=175,W933&gt;=35,W933&lt;65),0.2,0)+IF(AND(V933&gt;=75,V933&lt;=175,W933&gt;=65,W933&lt;110),0.15,0)+IF(AND(V933&gt;=75,V933&lt;=175,W933&gt;=110),0.1,0)+IF(AND(V933&gt;175,W933&lt;25),0.25,0)+IF(AND(V933&gt;175,W933&gt;=25,W933&lt;55),0.2,0)+IF(AND(V933&gt;175,W933&gt;=55,W933&lt;95),0.15,0)+IF(AND(V933&gt;175,W933&gt;=95),0.1,0))))))))))))))))</f>
        <v>0.15</v>
      </c>
      <c r="Y933" s="30">
        <f>IF(AG933="None",0,IF(AG933="Fix5",0.05,IF(AG933="Fix3.75",0.0375,IF(AG933="Fix10",0.1,IF(AG933="Fix3",0.03,0)))))</f>
        <v>0.05</v>
      </c>
      <c r="Z933" s="35">
        <v>805</v>
      </c>
      <c r="AA933" s="29">
        <v>201</v>
      </c>
      <c r="AB933" s="36"/>
      <c r="AC933" s="37" t="b">
        <v>0</v>
      </c>
      <c r="AD933" s="83" t="s">
        <v>50</v>
      </c>
      <c r="AE933" s="83"/>
      <c r="AF933" s="37" t="str">
        <f t="array" ref="AF933">INDEX('Deal Info'!D:D, MATCH(A933,'Deal Info'!A:A, 0))</f>
        <v>Fix15</v>
      </c>
      <c r="AG933" s="38" t="str">
        <f t="array" ref="AG933">INDEX('Deal Info'!G:G, MATCH(A933,'Deal Info'!A:A, 0))</f>
        <v>Fix5</v>
      </c>
    </row>
    <row r="934" spans="1:33" ht="14.25" x14ac:dyDescent="0.2">
      <c r="A934" s="18" t="str">
        <f t="array" ref="A934">IF(G934='Room Info'!$B$1, INDEX('Room Info'!$A$2:$A2446, MATCH(B934,'Room Info'!$B$2:$B2446, 0)),IF(G934='Room Info'!$C$1, INDEX('Room Info'!$A$2:$A2446, MATCH(B934,'Room Info'!$C$2:$C2446, 0)),IF(G934='Room Info'!$D$1, INDEX('Room Info'!$A$2:$A2446, MATCH(B934,'Room Info'!$D$2:$D2446, 0)),IF(G934='Room Info'!$E$1, INDEX('Room Info'!$A$2:$A2446, MATCH(B934,'Room Info'!$E$2:$E2446, 0)),IF(G934='Room Info'!$F$1, INDEX('Room Info'!$A$2:$A2446, MATCH(B934,'Room Info'!$F$2:$F2446, 0)),IF(G934='Room Info'!$H$1, INDEX('Room Info'!$A$2:$A2446, MATCH(B934,'Room Info'!$H$2:$H2446, 0)),IF(G934='Room Info'!$G$1, INDEX('Room Info'!$A$2:$A2446, MATCH(B934,'Room Info'!$G$2:$G2446, 0)))))))))</f>
        <v>Lo4io</v>
      </c>
      <c r="B934" s="65" t="s">
        <v>107</v>
      </c>
      <c r="C934" s="283">
        <v>44886</v>
      </c>
      <c r="D934" s="283">
        <v>44915</v>
      </c>
      <c r="E934" s="47">
        <v>44896</v>
      </c>
      <c r="F934" s="129" t="s">
        <v>34</v>
      </c>
      <c r="G934" s="65" t="s">
        <v>61</v>
      </c>
      <c r="H934" s="49" t="s">
        <v>57</v>
      </c>
      <c r="I934" s="49" t="s">
        <v>101</v>
      </c>
      <c r="J934" s="50">
        <v>50</v>
      </c>
      <c r="K934" s="51">
        <v>60</v>
      </c>
      <c r="L934" s="52">
        <v>2122</v>
      </c>
      <c r="M934" s="53">
        <v>0</v>
      </c>
      <c r="N934" s="28">
        <f>K934*J934</f>
        <v>3000</v>
      </c>
      <c r="O934" s="54">
        <v>8763</v>
      </c>
      <c r="P934" s="29">
        <v>146.05000000000001</v>
      </c>
      <c r="Q934" s="55"/>
      <c r="R934" s="31">
        <f>M934+Q934</f>
        <v>0</v>
      </c>
      <c r="S934" s="56">
        <v>538</v>
      </c>
      <c r="T934" s="32">
        <f>R934+S934+IF(F934="Without EV deal",L934,0)</f>
        <v>538</v>
      </c>
      <c r="U934" s="57">
        <v>1.0609999999999999</v>
      </c>
      <c r="V934" s="58">
        <v>59.405092313261733</v>
      </c>
      <c r="W934" s="58">
        <v>25.570198460257167</v>
      </c>
      <c r="X934" s="78">
        <f>IF(AF934="DoEV",IF(AND(V934&lt;20,W934&lt;55),0.3,0)+IF(AND(V934&lt;20,W934&gt;=55,W934&lt;105),0.23,0)+IF(AND(V934&lt;20,W934&gt;=105),0.17,0)+IF(AND(V934&gt;=20,V934&lt;40,W934&lt;45),0.3,0)+IF(AND(V934&gt;=20,V934&lt;40,W934&gt;=45,W934&lt;95),0.23,0)+IF(AND(V934&gt;=20,V934&lt;40,W934&gt;=95),0.17,0)+IF(AND(V934&gt;=40,V934&lt;75,W934&lt;35),0.3,0)+IF(AND(V934&gt;=40,V934&lt;75,W934&gt;=35,W934&lt;75),0.23,0)+IF(AND(V934&gt;=40,V934&lt;75,W934&gt;=75,W934&lt;120),0.17,0)+IF(AND(V934&gt;=40,V934&lt;75,W934&gt;=120),0.12,0)+IF(AND(V934&gt;=75,V934&lt;175,W934&lt;35),0.3,0)+IF(AND(V934&gt;=75,V934&lt;=175,W934&gt;=35,W934&lt;65),0.23,0)+IF(AND(V934&gt;=75,V934&lt;=175,W934&gt;=65,W934&lt;110),0.17,0)+IF(AND(V934&gt;=75,V934&lt;=175,W934&gt;=110),0.12,0)+IF(AND(V934&gt;175,W934&lt;25),0.3,0)+IF(AND(V934&gt;175,W934&gt;=25,W934&lt;55),0.23,0)+IF(AND(V934&gt;175,W934&gt;=55,W934&lt;95),0.17,0)+IF(AND(V934&gt;175,W934&gt;=95),0.12,0),
IF(AF934="Fix15",0.15,
IF(AF934="Fix11.25",0.1125,
IF(AF934="Fix10",0.1,
IF(AF934="Fix9",0.09,
IF(AF934="DoEV2017",IF(AND(W934&lt;74),0.2,0)+IF(AND(W934&gt;=74),0.17,0),
IF(AF934="SF",IF(AND(V934&lt;20,W934&lt;89),0.3,0)+IF(AND(V934&lt;20,W934&gt;=89),0.25,0)+IF(AND(V934&gt;=20,V934&lt;40,W934&lt;74),0.3,0)+IF(AND(V934&gt;=20,V934&lt;40,W934&gt;=75),0.22,0)+IF(AND(V934&gt;=40,V934&lt;75,W934&lt;75),0.26,0)+IF(AND(V934&gt;=40,V934&lt;75,W934&gt;=75),0.22,0)+IF(V934&gt;=75,0.22,0),
IF(AF934="DoEVold",IF(AND(V934&lt;40,W934&lt;35),0.35,0)+IF(AND(V934&lt;40,W934&gt;=35,W934&lt;75),0.25,0)+IF(AND(V934&lt;40,W934&gt;=75),0.17,0)+IF(AND(V934&gt;=40,V934&lt;75,W934&lt;25),0.35,0)+IF(AND(V934&gt;=40,V934&lt;75,W934&gt;=25,W934&lt;65),0.25,0)+IF(AND(V934&gt;=40,V934&lt;75,W934&gt;=65,W934&lt;100),0.17,0)+IF(AND(V934&gt;=40,V934&lt;75,W934&gt;=100),0.1,0)+IF(AND(V934&gt;=75,W934&lt;25),0.35,0)+IF(AND(V934&gt;=75,W934&gt;=25,W934&lt;60),0.25,0)+IF(AND(V934&gt;=75,W934&gt;=60,W934&lt;95),0.17,0)+IF(AND(V934&gt;=75,W934&gt;=95),0.1,0),
IF(AF934="DoEVold15",IF(AND(V934&lt;=40,W934&lt;35),0.35,0)+IF(AND(V934&lt;=40,W934&gt;=35,W934&lt;75),0.25,0)+IF(AND(V934&lt;=40,W934&gt;=75,W934&lt;120),0.17,0)+IF(AND(V934&lt;=40,W934&gt;=120),0.15,0)+IF(AND(V934&gt;40,V934&lt;75,W934&lt;25),0.35,0)+IF(AND(V934&gt;=40,V934&lt;75,W934&gt;=25,W934&lt;65),0.25,0)+IF(AND(V934&gt;=40,V934&lt;75,W934&gt;=65,W934&lt;100),0.17,0)+IF(AND(V934&gt;=40,V934&lt;75,W934&gt;=100),0.1,0)+IF(AND(V934&gt;=75,W934&lt;25),0.35,0)+IF(AND(V934&gt;=75,W934&gt;=25,W934&lt;60),0.25,0)+IF(AND(V934&gt;=75,W934&gt;=60,W934&lt;95),0.17,0)+IF(AND(V934&gt;=75,W934&gt;=95),0.1,0),
IF(AF934="DoEVba",IF(AND(V934&lt;20,W934&lt;105),0.2,0)+IF(AND(V934&lt;20,W934&gt;=105),0.15,0)+IF(AND(V934&gt;=20,V934&lt;40,W934&lt;95),0.2,0)+IF(AND(V934&gt;=20,V934&lt;40,W934&gt;=95,W934&lt;150),0.15,0)+IF(AND(V934&gt;=20,V934&lt;40,W934&gt;=150),0.12,0)+IF(AND(V934&gt;=40,V934&lt;75,W934&lt;75),0.2,0)+IF(AND(V934&gt;=40,V934&lt;75,W934&gt;=75,W934&lt;120),0.15,0)+IF(AND(V934&gt;=40,V934&lt;75,W934&gt;=120),0.12,0)+IF(AND(V934&gt;=75,V934&lt;175,W934&lt;65),0.2,0)+IF(AND(V934&gt;=75,V934&lt;175,W934&gt;=65,W934&lt;110),0.15,0)+IF(AND(V934&gt;=75,V934&lt;175,W934&gt;=110),0.12,0)+IF(AND(V934&gt;=175,W934&lt;55),0.2,0)+IF(AND(V934&gt;=175,W934&gt;=55,W934&lt;95),0.15,0)+IF(AND(V934&gt;=175,W934&gt;=95),0.12,0),
IF(AF934="DoEVku",IF(AND(V934&lt;20,W934&lt;55),0.23,0)+IF(AND(V934&lt;20,W934&gt;=55,W934&lt;105),0.2,0)+IF(AND(V934&lt;20,W934&gt;=105),0.17,0)+IF(AND(V934&gt;=20,V934&lt;40,W934&lt;45),0.23,0)+IF(AND(V934&gt;=20,V934&lt;40,W934&gt;=45,W934&lt;95),0.2,0)+IF(AND(V934&gt;=20,V934&lt;40,W934&gt;=95,W934&lt;=150),0.17,0)+IF(AND(V934&gt;=20,V934&lt;40,W934&gt;=150),0.12,0)+IF(AND(V934&gt;=40,V934&lt;75,W934&lt;35),0.23,0)+IF(AND(V934&gt;=40,V934&lt;75,W934&gt;=35,W934&lt;75),0.2,0)+IF(AND(V934&gt;=40,V934&lt;75,W934&gt;=75,W934&lt;120),0.17,0)+IF(AND(V934&gt;=40,V934&lt;75,W934&gt;=120),0.12,0)+IF(AND(V934&gt;=75,V934&lt;175,W934&lt;35),0.23,0)+IF(AND(V934&gt;=75,V934&lt;=175,W934&gt;=35,W934&lt;65),0.2,0)+IF(AND(V934&gt;=75,V934&lt;=175,W934&gt;=65,W934&lt;110),0.17,0)+IF(AND(V934&gt;=75,V934&lt;=175,W934&gt;=110),0.12,0)+IF(AND(V934&gt;175,W934&lt;25),0.23,0)+IF(AND(V934&gt;175,W934&gt;=25,W934&lt;55),0.2,0)+IF(AND(V934&gt;175,W934&gt;=55,W934&lt;95),0.17,0)+IF(AND(V934&gt;175,W934&gt;=95),0.12,0),
IF(AF934="DoEVs1",IF(AND(V934&lt;20,W934&lt;55),0.3,0)+IF(AND(V934&lt;20,W934&gt;=55,W934&lt;105),0.23,0)+IF(AND(V934&lt;20,W934&gt;=105),0.17,0)+IF(AND(V934&gt;=20,V934&lt;40,W934&lt;45),0.3,0)+IF(AND(V934&gt;=20,V934&lt;40,W934&gt;=45,W934&lt;95),0.23,0)+IF(AND(V934&gt;=20,V934&lt;40,W934&gt;=95,W934&lt;=150),0.17,0)+IF(AND(V934&gt;=20,V934&lt;40,W934&gt;=150),0.12,0)+IF(AND(V934&gt;=40,V934&lt;75,W934&lt;35),0.3,0)+IF(AND(V934&gt;=40,V934&lt;75,W934&gt;=35,W934&lt;75),0.23,0)+IF(AND(V934&gt;=40,V934&lt;75,W934&gt;=75,W934&lt;120),0.17,0)+IF(AND(V934&gt;=40,V934&lt;75,W934&gt;=120),0.12,0)+IF(AND(V934&gt;=75,V934&lt;175,W934&lt;35),0.3,0)+IF(AND(V934&gt;=75,V934&lt;=175,W934&gt;=35,W934&lt;65),0.23,0)+IF(AND(V934&gt;=75,V934&lt;=175,W934&gt;=65,W934&lt;110),0.17,0)+IF(AND(V934&gt;=75,V934&lt;=175,W934&gt;=110),0.12,0)+IF(AND(V934&gt;175,W934&lt;25),0.3,0)+IF(AND(V934&gt;175,W934&gt;=25,W934&lt;55),0.23,0)+IF(AND(V934&gt;175,W934&gt;=55,W934&lt;95),0.17,0)+IF(AND(V934&gt;175,W934&gt;=95),0.12,0),
IF(AF934="DoEVsu",IF(AND(V934&lt;20,W934&lt;55),0.3,0)+IF(AND(V934&lt;20,W934&gt;=55,W934&lt;105),0.23,0)+IF(AND(V934&lt;20,W934&gt;=105),0.17,0)+IF(AND(V934&gt;=20,V934&lt;40,W934&lt;45),0.3,0)+IF(AND(V934&gt;=20,V934&lt;40,W934&gt;=45,W934&lt;95),0.23,0)+IF(AND(V934&gt;=20,V934&lt;40,W934&gt;=95,W934&lt;=250),0.17,0)+IF(AND(V934&gt;=20,V934&lt;40,W934&gt;=250),0.12,0)+IF(AND(V934&gt;=40,V934&lt;75,W934&lt;35),0.3,0)+IF(AND(V934&gt;=40,V934&lt;75,W934&gt;=35,W934&lt;75),0.23,0)+IF(AND(V934&gt;=40,V934&lt;75,W934&gt;=75,W934&lt;120),0.17,0)+IF(AND(V934&gt;=40,V934&lt;75,W934&gt;=120),0.12,0)+IF(AND(V934&gt;=75,V934&lt;175,W934&lt;35),0.3,0)+IF(AND(V934&gt;=75,V934&lt;=175,W934&gt;=35,W934&lt;65),0.23,0)+IF(AND(V934&gt;=75,V934&lt;=175,W934&gt;=65,W934&lt;110),0.17,0)+IF(AND(V934&gt;=75,V934&lt;=175,W934&gt;=110),0.12,0)+IF(AND(V934&gt;175,W934&lt;25),0.3,0)+IF(AND(V934&gt;175,W934&gt;=25,W934&lt;55),0.23,0)+IF(AND(V934&gt;175,W934&gt;=55,W934&lt;95),0.17,0)+IF(AND(V934&gt;175,W934&gt;=95),0.12,0),
IF(AF934="DoEVni",IF(AND(V934&lt;20,W934&lt;55),0.3,0)+IF(AND(V934&lt;20,W934&gt;=55,W934&lt;105),0.23,0)+IF(AND(V934&lt;20,W934&gt;=105),0.17,0)+IF(AND(V934&gt;=20,V934&lt;40,W934&lt;45),0.3,0)+IF(AND(V934&gt;=20,V934&lt;40,W934&gt;=45,W934&lt;95),0.23,0)+IF(AND(V934&gt;=20,V934&lt;40,W934&gt;=95,W934&lt;=200),0.17,0)+IF(AND(V934&gt;=20,V934&lt;40,W934&gt;=200),0.12,0)+IF(AND(V934&gt;=40,V934&lt;75,W934&lt;35),0.3,0)+IF(AND(V934&gt;=40,V934&lt;75,W934&gt;=35,W934&lt;75),0.23,0)+IF(AND(V934&gt;=40,V934&lt;75,W934&gt;=75,W934&lt;120),0.17,0)+IF(AND(V934&gt;=40,V934&lt;75,W934&gt;=120),0.12,0)+IF(AND(V934&gt;=75,V934&lt;175,W934&lt;35),0.3,0)+IF(AND(V934&gt;=75,V934&lt;=175,W934&gt;=35,W934&lt;65),0.23,0)+IF(AND(V934&gt;=75,V934&lt;=175,W934&gt;=65,W934&lt;110),0.17,0)+IF(AND(V934&gt;=75,V934&lt;=175,W934&gt;=110),0.12,0)+IF(AND(V934&gt;175,W934&lt;25),0.3,0)+IF(AND(V934&gt;175,W934&gt;=25,W934&lt;55),0.23,0)+IF(AND(V934&gt;175,W934&gt;=55,W934&lt;95),0.17,0)+IF(AND(V934&gt;175,W934&gt;=95),0.12,0),
IF(AF934="DoEVLo",IF(AND(V934&lt;20,W934&lt;55),0.25,0)+IF(AND(V934&lt;20,W934&gt;=55,W934&lt;105),0.2,0)+IF(AND(V934&lt;20,W934&gt;=105),0.15,0)+IF(AND(V934&gt;=20,V934&lt;40,W934&lt;45),0.25,0)+IF(AND(V934&gt;=20,V934&lt;40,W934&gt;=45,W934&lt;95),0.2,0)+IF(AND(V934&gt;=20,V934&lt;40,W934&gt;=95),0.15,0)+IF(AND(V934&gt;=40,V934&lt;75,W934&lt;35),0.25,0)+IF(AND(V934&gt;=40,V934&lt;75,W934&gt;=35,W934&lt;75),0.2,0)+IF(AND(V934&gt;=40,V934&lt;75,W934&gt;=75,W934&lt;120),0.15,0)+IF(AND(V934&gt;=40,V934&lt;75,W934&gt;=120),0.1,0)+IF(AND(V934&gt;=75,V934&lt;175,W934&lt;35),0.25,0)+IF(AND(V934&gt;=75,V934&lt;=175,W934&gt;=35,W934&lt;65),0.2,0)+IF(AND(V934&gt;=75,V934&lt;=175,W934&gt;=65,W934&lt;110),0.15,0)+IF(AND(V934&gt;=75,V934&lt;=175,W934&gt;=110),0.1,0)+IF(AND(V934&gt;175,W934&lt;25),0.25,0)+IF(AND(V934&gt;175,W934&gt;=25,W934&lt;55),0.2,0)+IF(AND(V934&gt;175,W934&gt;=55,W934&lt;95),0.15,0)+IF(AND(V934&gt;175,W934&gt;=95),0.1,0))))))))))))))))</f>
        <v>0.25</v>
      </c>
      <c r="Y934" s="30">
        <f>IF(AG934="None",0,IF(AG934="Fix5",0.05,IF(AG934="Fix3.75",0.0375,IF(AG934="Fix10",0.1,IF(AG934="Fix3",0.03,0)))))</f>
        <v>0</v>
      </c>
      <c r="Z934" s="35">
        <f>T934-AA934-AB934</f>
        <v>395.2955</v>
      </c>
      <c r="AA934" s="29">
        <f>IF(AD934="EUR",((T934-R934)*X934)*U934+(R934*X934),(T934*X934))</f>
        <v>142.7045</v>
      </c>
      <c r="AB934" s="36">
        <f>IF(AD934="EUR",((T934-R934)*Y934)*U934+(R934*Y934),(T934*Y934))</f>
        <v>0</v>
      </c>
      <c r="AC934" s="37" t="b">
        <v>1</v>
      </c>
      <c r="AD934" s="83" t="s">
        <v>50</v>
      </c>
      <c r="AE934" s="83"/>
      <c r="AF934" s="37" t="str">
        <f t="array" ref="AF934">INDEX('Deal Info'!D:D, MATCH(A934,'Deal Info'!A:A, 0))</f>
        <v>DoEVLo</v>
      </c>
      <c r="AG934" s="38" t="str">
        <f t="array" ref="AG934">INDEX('Deal Info'!G:G, MATCH(A934,'Deal Info'!A:A, 0))</f>
        <v>None</v>
      </c>
    </row>
    <row r="935" spans="1:33" ht="14.25" x14ac:dyDescent="0.2">
      <c r="A935" s="18" t="str">
        <f t="array" ref="A935">IF(G935='Room Info'!$B$1, INDEX('Room Info'!$A$2:$A2446, MATCH(B935,'Room Info'!$B$2:$B2446, 0)),IF(G935='Room Info'!$C$1, INDEX('Room Info'!$A$2:$A2446, MATCH(B935,'Room Info'!$C$2:$C2446, 0)),IF(G935='Room Info'!$D$1, INDEX('Room Info'!$A$2:$A2446, MATCH(B935,'Room Info'!$D$2:$D2446, 0)),IF(G935='Room Info'!$E$1, INDEX('Room Info'!$A$2:$A2446, MATCH(B935,'Room Info'!$E$2:$E2446, 0)),IF(G935='Room Info'!$F$1, INDEX('Room Info'!$A$2:$A2446, MATCH(B935,'Room Info'!$F$2:$F2446, 0)),IF(G935='Room Info'!$H$1, INDEX('Room Info'!$A$2:$A2446, MATCH(B935,'Room Info'!$H$2:$H2446, 0)),IF(G935='Room Info'!$G$1, INDEX('Room Info'!$A$2:$A2446, MATCH(B935,'Room Info'!$G$2:$G2446, 0)))))))))</f>
        <v>Lo4io</v>
      </c>
      <c r="B935" s="65" t="s">
        <v>107</v>
      </c>
      <c r="C935" s="46">
        <v>44886</v>
      </c>
      <c r="D935" s="46">
        <v>44915</v>
      </c>
      <c r="E935" s="47">
        <v>44896</v>
      </c>
      <c r="F935" s="129" t="s">
        <v>34</v>
      </c>
      <c r="G935" s="54" t="s">
        <v>61</v>
      </c>
      <c r="H935" s="49" t="s">
        <v>57</v>
      </c>
      <c r="I935" s="49" t="s">
        <v>101</v>
      </c>
      <c r="J935" s="74">
        <v>50</v>
      </c>
      <c r="K935" s="134">
        <v>60</v>
      </c>
      <c r="L935" s="135">
        <v>2122</v>
      </c>
      <c r="M935" s="53">
        <v>0</v>
      </c>
      <c r="N935" s="28">
        <f>K935*J935</f>
        <v>3000</v>
      </c>
      <c r="O935" s="129">
        <v>8763</v>
      </c>
      <c r="P935" s="29">
        <v>146.05000000000001</v>
      </c>
      <c r="Q935" s="55"/>
      <c r="R935" s="31">
        <f>M935+Q935</f>
        <v>0</v>
      </c>
      <c r="S935" s="97">
        <v>538</v>
      </c>
      <c r="T935" s="32">
        <f>R935+S935+IF(F935="Without EV deal",L935,0)</f>
        <v>538</v>
      </c>
      <c r="U935" s="57">
        <v>1.0609999999999999</v>
      </c>
      <c r="V935" s="58"/>
      <c r="W935" s="58"/>
      <c r="X935" s="78">
        <v>0.25</v>
      </c>
      <c r="Y935" s="30">
        <f>IF(AG935="None",0,IF(AG935="Fix5",0.05, IF(AG935="Fix6.25",0.0625,IF(AG935="Fix3.75",0.0375,IF(AG935="Fix10",0.1,IF(AG935="Fix3",0.03,0))))))</f>
        <v>0</v>
      </c>
      <c r="Z935" s="35">
        <f>T935-AA935-AB935</f>
        <v>395.2955</v>
      </c>
      <c r="AA935" s="60">
        <f>IF(AD935="EUR",((T935-R935)*X935)*U935+(R935*X935),(T935*X935))</f>
        <v>142.7045</v>
      </c>
      <c r="AB935" s="36">
        <f>IF(AD935="EUR",((T935-R935)*Y935)*U935+(R935*Y935),(T935*Y935))</f>
        <v>0</v>
      </c>
      <c r="AC935" s="37" t="b">
        <v>1</v>
      </c>
      <c r="AD935" s="129" t="s">
        <v>50</v>
      </c>
      <c r="AE935" s="129"/>
      <c r="AF935" s="37" t="str">
        <f t="array" ref="AF935">INDEX('Deal Info'!D:D, MATCH(A935,'Deal Info'!A:A, 0))</f>
        <v>DoEVLo</v>
      </c>
      <c r="AG935" s="38" t="str">
        <f t="array" ref="AG935">INDEX('Deal Info'!G:G, MATCH(A935,'Deal Info'!A:A, 0))</f>
        <v>None</v>
      </c>
    </row>
    <row r="936" spans="1:33" ht="14.25" hidden="1" x14ac:dyDescent="0.2">
      <c r="A936" s="18" t="str">
        <f t="array" ref="A936">IF(G936='Room Info'!$B$1, INDEX('Room Info'!$A$2:$A2446, MATCH(B936,'Room Info'!$B$2:$B2446, 0)),IF(G936='Room Info'!$C$1, INDEX('Room Info'!$A$2:$A2446, MATCH(B936,'Room Info'!$C$2:$C2446, 0)),IF(G936='Room Info'!$D$1, INDEX('Room Info'!$A$2:$A2446, MATCH(B936,'Room Info'!$D$2:$D2446, 0)),IF(G936='Room Info'!$E$1, INDEX('Room Info'!$A$2:$A2446, MATCH(B936,'Room Info'!$E$2:$E2446, 0)),IF(G936='Room Info'!$F$1, INDEX('Room Info'!$A$2:$A2446, MATCH(B936,'Room Info'!$F$2:$F2446, 0)),IF(G936='Room Info'!$H$1, INDEX('Room Info'!$A$2:$A2446, MATCH(B936,'Room Info'!$H$2:$H2446, 0)),IF(G936='Room Info'!$G$1, INDEX('Room Info'!$A$2:$A2446, MATCH(B936,'Room Info'!$G$2:$G2446, 0)))))))))</f>
        <v>Lo4io</v>
      </c>
      <c r="B936" s="45" t="s">
        <v>102</v>
      </c>
      <c r="C936" s="99">
        <v>44916</v>
      </c>
      <c r="D936" s="99">
        <v>44946</v>
      </c>
      <c r="E936" s="47">
        <v>44927</v>
      </c>
      <c r="F936" s="45" t="s">
        <v>34</v>
      </c>
      <c r="G936" s="45" t="s">
        <v>35</v>
      </c>
      <c r="H936" s="49" t="s">
        <v>72</v>
      </c>
      <c r="I936" s="49" t="s">
        <v>37</v>
      </c>
      <c r="J936" s="74">
        <v>50</v>
      </c>
      <c r="K936" s="75">
        <v>859</v>
      </c>
      <c r="L936" s="72">
        <v>-150</v>
      </c>
      <c r="M936" s="76">
        <v>1108</v>
      </c>
      <c r="N936" s="28">
        <f>K936*J936</f>
        <v>42950</v>
      </c>
      <c r="O936" s="45">
        <v>11921</v>
      </c>
      <c r="P936" s="29">
        <v>13.877764839999999</v>
      </c>
      <c r="Q936" s="55"/>
      <c r="R936" s="31">
        <f>M936+Q936</f>
        <v>1108</v>
      </c>
      <c r="S936" s="73">
        <v>-1561</v>
      </c>
      <c r="T936" s="32">
        <f>R936+S936+IF(F936="Without EV deal",L936,0)</f>
        <v>-453</v>
      </c>
      <c r="U936" s="57">
        <v>1</v>
      </c>
      <c r="V936" s="58"/>
      <c r="W936" s="58"/>
      <c r="X936" s="78">
        <v>0.15</v>
      </c>
      <c r="Y936" s="30">
        <f>IF(AG936="None",0,IF(AG936="Fix5",0.05, IF(AG936="Fix6.25",0.0625,IF(AG936="Fix3.75",0.0375,IF(AG936="Fix10",0.1,IF(AG936="Fix3",0.03,0))))))</f>
        <v>0</v>
      </c>
      <c r="Z936" s="35">
        <f>T936-AA936-AB936</f>
        <v>-385.05</v>
      </c>
      <c r="AA936" s="29">
        <f>IF(AD936="EUR",((T936-R936)*X936)*U936+(R936*X936),(T936*X936))</f>
        <v>-67.95</v>
      </c>
      <c r="AB936" s="36">
        <f>IF(AD936="EUR",((T936-R936)*Y936)*U936+(R936*Y936),(T936*Y936))</f>
        <v>0</v>
      </c>
      <c r="AC936" s="37" t="b">
        <v>1</v>
      </c>
      <c r="AD936" s="37" t="s">
        <v>38</v>
      </c>
      <c r="AE936" s="37" t="s">
        <v>38</v>
      </c>
      <c r="AF936" s="37" t="str">
        <f t="array" ref="AF936">INDEX('Deal Info'!D:D, MATCH(A936,'Deal Info'!A:A, 0))</f>
        <v>DoEVLo</v>
      </c>
      <c r="AG936" s="38" t="str">
        <f t="array" ref="AG936">INDEX('Deal Info'!G:G, MATCH(A936,'Deal Info'!A:A, 0))</f>
        <v>None</v>
      </c>
    </row>
    <row r="937" spans="1:33" ht="14.25" hidden="1" x14ac:dyDescent="0.2">
      <c r="A937" s="18" t="str">
        <f t="array" ref="A937">IF(G937='Room Info'!$B$1, INDEX('Room Info'!$A$2:$A2446, MATCH(B937,'Room Info'!$B$2:$B2446, 0)),IF(G937='Room Info'!$C$1, INDEX('Room Info'!$A$2:$A2446, MATCH(B937,'Room Info'!$C$2:$C2446, 0)),IF(G937='Room Info'!$D$1, INDEX('Room Info'!$A$2:$A2446, MATCH(B937,'Room Info'!$D$2:$D2446, 0)),IF(G937='Room Info'!$E$1, INDEX('Room Info'!$A$2:$A2446, MATCH(B937,'Room Info'!$E$2:$E2446, 0)),IF(G937='Room Info'!$F$1, INDEX('Room Info'!$A$2:$A2446, MATCH(B937,'Room Info'!$F$2:$F2446, 0)),IF(G937='Room Info'!$H$1, INDEX('Room Info'!$A$2:$A2446, MATCH(B937,'Room Info'!$H$2:$H2446, 0)),IF(G937='Room Info'!$G$1, INDEX('Room Info'!$A$2:$A2446, MATCH(B937,'Room Info'!$G$2:$G2446, 0)))))))))</f>
        <v>Lo4io</v>
      </c>
      <c r="B937" s="45" t="s">
        <v>102</v>
      </c>
      <c r="C937" s="77">
        <v>44916</v>
      </c>
      <c r="D937" s="77">
        <v>44946</v>
      </c>
      <c r="E937" s="47">
        <v>44927</v>
      </c>
      <c r="F937" s="48" t="s">
        <v>34</v>
      </c>
      <c r="G937" s="45" t="s">
        <v>35</v>
      </c>
      <c r="H937" s="49" t="s">
        <v>85</v>
      </c>
      <c r="I937" s="49" t="s">
        <v>44</v>
      </c>
      <c r="J937" s="74">
        <v>50</v>
      </c>
      <c r="K937" s="75">
        <v>1</v>
      </c>
      <c r="L937" s="72">
        <v>-50</v>
      </c>
      <c r="M937" s="76">
        <v>1</v>
      </c>
      <c r="N937" s="28">
        <f>K937*J937</f>
        <v>50</v>
      </c>
      <c r="O937" s="45">
        <v>-163</v>
      </c>
      <c r="P937" s="29">
        <v>-163</v>
      </c>
      <c r="Q937" s="55"/>
      <c r="R937" s="31">
        <f>M937+Q937</f>
        <v>1</v>
      </c>
      <c r="S937" s="73">
        <v>-28</v>
      </c>
      <c r="T937" s="32">
        <f>R937+S937+IF(F937="Without EV deal",L937,0)</f>
        <v>-27</v>
      </c>
      <c r="U937" s="57">
        <v>1</v>
      </c>
      <c r="V937" s="58"/>
      <c r="W937" s="58"/>
      <c r="X937" s="78">
        <v>0.15</v>
      </c>
      <c r="Y937" s="30">
        <f>IF(AG937="None",0,IF(AG937="Fix5",0.05, IF(AG937="Fix6.25",0.0625,IF(AG937="Fix3.75",0.0375,IF(AG937="Fix10",0.1,IF(AG937="Fix3",0.03,0))))))</f>
        <v>0</v>
      </c>
      <c r="Z937" s="35">
        <f>T937-AA937-AB937</f>
        <v>-22.95</v>
      </c>
      <c r="AA937" s="29">
        <f>IF(AD937="EUR",((T937-R937)*X937)*U937+(R937*X937),(T937*X937))</f>
        <v>-4.05</v>
      </c>
      <c r="AB937" s="36">
        <f>IF(AD937="EUR",((T937-R937)*Y937)*U937+(R937*Y937),(T937*Y937))</f>
        <v>0</v>
      </c>
      <c r="AC937" s="37" t="b">
        <v>1</v>
      </c>
      <c r="AD937" s="37" t="s">
        <v>38</v>
      </c>
      <c r="AE937" s="37" t="s">
        <v>38</v>
      </c>
      <c r="AF937" s="37" t="str">
        <f t="array" ref="AF937">INDEX('Deal Info'!D:D, MATCH(A937,'Deal Info'!A:A, 0))</f>
        <v>DoEVLo</v>
      </c>
      <c r="AG937" s="38" t="str">
        <f t="array" ref="AG937">INDEX('Deal Info'!G:G, MATCH(A937,'Deal Info'!A:A, 0))</f>
        <v>None</v>
      </c>
    </row>
    <row r="938" spans="1:33" ht="14.25" hidden="1" x14ac:dyDescent="0.2">
      <c r="A938" s="18" t="str">
        <f t="array" ref="A938">IF(G938='Room Info'!$B$1, INDEX('Room Info'!$A$2:$A2446, MATCH(B938,'Room Info'!$B$2:$B2446, 0)),IF(G938='Room Info'!$C$1, INDEX('Room Info'!$A$2:$A2446, MATCH(B938,'Room Info'!$C$2:$C2446, 0)),IF(G938='Room Info'!$D$1, INDEX('Room Info'!$A$2:$A2446, MATCH(B938,'Room Info'!$D$2:$D2446, 0)),IF(G938='Room Info'!$E$1, INDEX('Room Info'!$A$2:$A2446, MATCH(B938,'Room Info'!$E$2:$E2446, 0)),IF(G938='Room Info'!$F$1, INDEX('Room Info'!$A$2:$A2446, MATCH(B938,'Room Info'!$F$2:$F2446, 0)),IF(G938='Room Info'!$H$1, INDEX('Room Info'!$A$2:$A2446, MATCH(B938,'Room Info'!$H$2:$H2446, 0)),IF(G938='Room Info'!$G$1, INDEX('Room Info'!$A$2:$A2446, MATCH(B938,'Room Info'!$G$2:$G2446, 0)))))))))</f>
        <v>Lo4io</v>
      </c>
      <c r="B938" s="45" t="s">
        <v>102</v>
      </c>
      <c r="C938" s="46">
        <v>44916</v>
      </c>
      <c r="D938" s="46">
        <v>44946</v>
      </c>
      <c r="E938" s="47">
        <v>44927</v>
      </c>
      <c r="F938" s="48" t="s">
        <v>34</v>
      </c>
      <c r="G938" s="45" t="s">
        <v>35</v>
      </c>
      <c r="H938" s="49" t="s">
        <v>70</v>
      </c>
      <c r="I938" s="49" t="s">
        <v>37</v>
      </c>
      <c r="J938" s="50">
        <v>100</v>
      </c>
      <c r="K938" s="51">
        <v>19</v>
      </c>
      <c r="L938" s="107">
        <v>400</v>
      </c>
      <c r="M938" s="53">
        <v>41</v>
      </c>
      <c r="N938" s="28">
        <f>K938*J938</f>
        <v>1900</v>
      </c>
      <c r="O938" s="108">
        <v>1734</v>
      </c>
      <c r="P938" s="29">
        <v>91.263157890000002</v>
      </c>
      <c r="Q938" s="55"/>
      <c r="R938" s="31">
        <f>M938+Q938</f>
        <v>41</v>
      </c>
      <c r="S938" s="109">
        <v>226</v>
      </c>
      <c r="T938" s="32">
        <f>R938+S938+IF(F938="Without EV deal",L938,0)</f>
        <v>267</v>
      </c>
      <c r="U938" s="57">
        <v>1</v>
      </c>
      <c r="V938" s="58"/>
      <c r="W938" s="58"/>
      <c r="X938" s="78">
        <v>0.15</v>
      </c>
      <c r="Y938" s="30">
        <f>IF(AG938="None",0,IF(AG938="Fix5",0.05, IF(AG938="Fix6.25",0.0625,IF(AG938="Fix3.75",0.0375,IF(AG938="Fix10",0.1,IF(AG938="Fix3",0.03,0))))))</f>
        <v>0</v>
      </c>
      <c r="Z938" s="35">
        <f>T938-AA938-AB938</f>
        <v>226.95</v>
      </c>
      <c r="AA938" s="29">
        <f>IF(AD938="EUR",((T938-R938)*X938)*U938+(R938*X938),(T938*X938))</f>
        <v>40.049999999999997</v>
      </c>
      <c r="AB938" s="36">
        <f>IF(AD938="EUR",((T938-R938)*Y938)*U938+(R938*Y938),(T938*Y938))</f>
        <v>0</v>
      </c>
      <c r="AC938" s="37" t="b">
        <v>1</v>
      </c>
      <c r="AD938" s="37" t="s">
        <v>38</v>
      </c>
      <c r="AE938" s="37" t="s">
        <v>38</v>
      </c>
      <c r="AF938" s="37" t="str">
        <f t="array" ref="AF938">INDEX('Deal Info'!D:D, MATCH(A938,'Deal Info'!A:A, 0))</f>
        <v>DoEVLo</v>
      </c>
      <c r="AG938" s="38" t="str">
        <f t="array" ref="AG938">INDEX('Deal Info'!G:G, MATCH(A938,'Deal Info'!A:A, 0))</f>
        <v>None</v>
      </c>
    </row>
    <row r="939" spans="1:33" ht="14.25" x14ac:dyDescent="0.2">
      <c r="A939" s="18" t="str">
        <f t="array" ref="A939">IF(G939='Room Info'!$B$1, INDEX('Room Info'!$A$2:$A2446, MATCH(B939,'Room Info'!$B$2:$B2446, 0)),IF(G939='Room Info'!$C$1, INDEX('Room Info'!$A$2:$A2446, MATCH(B939,'Room Info'!$C$2:$C2446, 0)),IF(G939='Room Info'!$D$1, INDEX('Room Info'!$A$2:$A2446, MATCH(B939,'Room Info'!$D$2:$D2446, 0)),IF(G939='Room Info'!$E$1, INDEX('Room Info'!$A$2:$A2446, MATCH(B939,'Room Info'!$E$2:$E2446, 0)),IF(G939='Room Info'!$F$1, INDEX('Room Info'!$A$2:$A2446, MATCH(B939,'Room Info'!$F$2:$F2446, 0)),IF(G939='Room Info'!$H$1, INDEX('Room Info'!$A$2:$A2446, MATCH(B939,'Room Info'!$H$2:$H2446, 0)),IF(G939='Room Info'!$G$1, INDEX('Room Info'!$A$2:$A2446, MATCH(B939,'Room Info'!$G$2:$G2446, 0)))))))))</f>
        <v>Freedoom</v>
      </c>
      <c r="B939" s="45" t="s">
        <v>129</v>
      </c>
      <c r="C939" s="46">
        <v>44896</v>
      </c>
      <c r="D939" s="46">
        <v>44921</v>
      </c>
      <c r="E939" s="47">
        <v>44896</v>
      </c>
      <c r="F939" s="129" t="s">
        <v>41</v>
      </c>
      <c r="G939" s="54" t="s">
        <v>61</v>
      </c>
      <c r="H939" s="49" t="s">
        <v>131</v>
      </c>
      <c r="I939" s="49" t="s">
        <v>68</v>
      </c>
      <c r="J939" s="50">
        <v>5</v>
      </c>
      <c r="K939" s="51">
        <v>30</v>
      </c>
      <c r="L939" s="52">
        <v>-70</v>
      </c>
      <c r="M939" s="53">
        <v>0</v>
      </c>
      <c r="N939" s="28">
        <f>K939*J939</f>
        <v>150</v>
      </c>
      <c r="O939" s="54">
        <v>541</v>
      </c>
      <c r="P939" s="29">
        <v>18.033333330000001</v>
      </c>
      <c r="Q939" s="55"/>
      <c r="R939" s="31">
        <f>M939+Q939</f>
        <v>0</v>
      </c>
      <c r="S939" s="56">
        <v>-5</v>
      </c>
      <c r="T939" s="32">
        <f>R939+S939+IF(F939="Without EV deal",L939,0)</f>
        <v>-75</v>
      </c>
      <c r="U939" s="57">
        <v>1</v>
      </c>
      <c r="V939" s="58"/>
      <c r="W939" s="58"/>
      <c r="X939" s="78">
        <f>IF(AF939="DoEV",IF(AND(V939&lt;20,W939&lt;55),0.3,0)+IF(AND(V939&lt;20,W939&gt;=55,W939&lt;105),0.23,0)+IF(AND(V939&lt;20,W939&gt;=105),0.17,0)+IF(AND(V939&gt;=20,V939&lt;40,W939&lt;45),0.3,0)+IF(AND(V939&gt;=20,V939&lt;40,W939&gt;=45,W939&lt;95),0.23,0)+IF(AND(V939&gt;=20,V939&lt;40,W939&gt;=95),0.17,0)+IF(AND(V939&gt;=40,V939&lt;75,W939&lt;35),0.3,0)+IF(AND(V939&gt;=40,V939&lt;75,W939&gt;=35,W939&lt;75),0.23,0)+IF(AND(V939&gt;=40,V939&lt;75,W939&gt;=75,W939&lt;120),0.17,0)+IF(AND(V939&gt;=40,V939&lt;75,W939&gt;=120),0.12,0)+IF(AND(V939&gt;=75,V939&lt;175,W939&lt;35),0.3,0)+IF(AND(V939&gt;=75,V939&lt;=175,W939&gt;=35,W939&lt;65),0.23,0)+IF(AND(V939&gt;=75,V939&lt;=175,W939&gt;=65,W939&lt;110),0.17,0)+IF(AND(V939&gt;=75,V939&lt;=175,W939&gt;=110),0.12,0)+IF(AND(V939&gt;175,W939&lt;25),0.3,0)+IF(AND(V939&gt;175,W939&gt;=25,W939&lt;55),0.23,0)+IF(AND(V939&gt;175,W939&gt;=55,W939&lt;95),0.17,0)+IF(AND(V939&gt;175,W939&gt;=95),0.12,0),
IF(AF939="Fix15",0.15,
IF(AF939="Fix11.25",0.1125,
IF(AF939="Fix10",0.1,
IF(AF939="Fix9",0.09,
IF(AF939="DoEV2017",IF(AND(W939&lt;74),0.2,0)+IF(AND(W939&gt;=74),0.17,0),
IF(AF939="SF",IF(AND(V939&lt;20,W939&lt;89),0.3,0)+IF(AND(V939&lt;20,W939&gt;=89),0.25,0)+IF(AND(V939&gt;=20,V939&lt;40,W939&lt;74),0.3,0)+IF(AND(V939&gt;=20,V939&lt;40,W939&gt;=75),0.22,0)+IF(AND(V939&gt;=40,V939&lt;75,W939&lt;75),0.26,0)+IF(AND(V939&gt;=40,V939&lt;75,W939&gt;=75),0.22,0)+IF(V939&gt;=75,0.22,0),
IF(AF939="DoEVold",IF(AND(V939&lt;40,W939&lt;35),0.35,0)+IF(AND(V939&lt;40,W939&gt;=35,W939&lt;75),0.25,0)+IF(AND(V939&lt;40,W939&gt;=75),0.17,0)+IF(AND(V939&gt;=40,V939&lt;75,W939&lt;25),0.35,0)+IF(AND(V939&gt;=40,V939&lt;75,W939&gt;=25,W939&lt;65),0.25,0)+IF(AND(V939&gt;=40,V939&lt;75,W939&gt;=65,W939&lt;100),0.17,0)+IF(AND(V939&gt;=40,V939&lt;75,W939&gt;=100),0.1,0)+IF(AND(V939&gt;=75,W939&lt;25),0.35,0)+IF(AND(V939&gt;=75,W939&gt;=25,W939&lt;60),0.25,0)+IF(AND(V939&gt;=75,W939&gt;=60,W939&lt;95),0.17,0)+IF(AND(V939&gt;=75,W939&gt;=95),0.1,0),
IF(AF939="DoEVold15",IF(AND(V939&lt;=40,W939&lt;35),0.35,0)+IF(AND(V939&lt;=40,W939&gt;=35,W939&lt;75),0.25,0)+IF(AND(V939&lt;=40,W939&gt;=75,W939&lt;120),0.17,0)+IF(AND(V939&lt;=40,W939&gt;=120),0.15,0)+IF(AND(V939&gt;40,V939&lt;75,W939&lt;25),0.35,0)+IF(AND(V939&gt;=40,V939&lt;75,W939&gt;=25,W939&lt;65),0.25,0)+IF(AND(V939&gt;=40,V939&lt;75,W939&gt;=65,W939&lt;100),0.17,0)+IF(AND(V939&gt;=40,V939&lt;75,W939&gt;=100),0.1,0)+IF(AND(V939&gt;=75,W939&lt;25),0.35,0)+IF(AND(V939&gt;=75,W939&gt;=25,W939&lt;60),0.25,0)+IF(AND(V939&gt;=75,W939&gt;=60,W939&lt;95),0.17,0)+IF(AND(V939&gt;=75,W939&gt;=95),0.1,0),
IF(AF939="DoEVba",IF(AND(V939&lt;20,W939&lt;105),0.2,0)+IF(AND(V939&lt;20,W939&gt;=105),0.15,0)+IF(AND(V939&gt;=20,V939&lt;40,W939&lt;95),0.2,0)+IF(AND(V939&gt;=20,V939&lt;40,W939&gt;=95,W939&lt;150),0.15,0)+IF(AND(V939&gt;=20,V939&lt;40,W939&gt;=150),0.12,0)+IF(AND(V939&gt;=40,V939&lt;75,W939&lt;75),0.2,0)+IF(AND(V939&gt;=40,V939&lt;75,W939&gt;=75,W939&lt;120),0.15,0)+IF(AND(V939&gt;=40,V939&lt;75,W939&gt;=120),0.12,0)+IF(AND(V939&gt;=75,V939&lt;175,W939&lt;65),0.2,0)+IF(AND(V939&gt;=75,V939&lt;175,W939&gt;=65,W939&lt;110),0.15,0)+IF(AND(V939&gt;=75,V939&lt;175,W939&gt;=110),0.12,0)+IF(AND(V939&gt;=175,W939&lt;55),0.2,0)+IF(AND(V939&gt;=175,W939&gt;=55,W939&lt;95),0.15,0)+IF(AND(V939&gt;=175,W939&gt;=95),0.12,0),
IF(AF939="DoEVku",IF(AND(V939&lt;20,W939&lt;55),0.23,0)+IF(AND(V939&lt;20,W939&gt;=55,W939&lt;105),0.2,0)+IF(AND(V939&lt;20,W939&gt;=105),0.17,0)+IF(AND(V939&gt;=20,V939&lt;40,W939&lt;45),0.23,0)+IF(AND(V939&gt;=20,V939&lt;40,W939&gt;=45,W939&lt;95),0.2,0)+IF(AND(V939&gt;=20,V939&lt;40,W939&gt;=95,W939&lt;=150),0.17,0)+IF(AND(V939&gt;=20,V939&lt;40,W939&gt;=150),0.12,0)+IF(AND(V939&gt;=40,V939&lt;75,W939&lt;35),0.23,0)+IF(AND(V939&gt;=40,V939&lt;75,W939&gt;=35,W939&lt;75),0.2,0)+IF(AND(V939&gt;=40,V939&lt;75,W939&gt;=75,W939&lt;120),0.17,0)+IF(AND(V939&gt;=40,V939&lt;75,W939&gt;=120),0.12,0)+IF(AND(V939&gt;=75,V939&lt;175,W939&lt;35),0.23,0)+IF(AND(V939&gt;=75,V939&lt;=175,W939&gt;=35,W939&lt;65),0.2,0)+IF(AND(V939&gt;=75,V939&lt;=175,W939&gt;=65,W939&lt;110),0.17,0)+IF(AND(V939&gt;=75,V939&lt;=175,W939&gt;=110),0.12,0)+IF(AND(V939&gt;175,W939&lt;25),0.23,0)+IF(AND(V939&gt;175,W939&gt;=25,W939&lt;55),0.2,0)+IF(AND(V939&gt;175,W939&gt;=55,W939&lt;95),0.17,0)+IF(AND(V939&gt;175,W939&gt;=95),0.12,0),
IF(AF939="DoEVs1",IF(AND(V939&lt;20,W939&lt;55),0.3,0)+IF(AND(V939&lt;20,W939&gt;=55,W939&lt;105),0.23,0)+IF(AND(V939&lt;20,W939&gt;=105),0.17,0)+IF(AND(V939&gt;=20,V939&lt;40,W939&lt;45),0.3,0)+IF(AND(V939&gt;=20,V939&lt;40,W939&gt;=45,W939&lt;95),0.23,0)+IF(AND(V939&gt;=20,V939&lt;40,W939&gt;=95,W939&lt;=150),0.17,0)+IF(AND(V939&gt;=20,V939&lt;40,W939&gt;=150),0.12,0)+IF(AND(V939&gt;=40,V939&lt;75,W939&lt;35),0.3,0)+IF(AND(V939&gt;=40,V939&lt;75,W939&gt;=35,W939&lt;75),0.23,0)+IF(AND(V939&gt;=40,V939&lt;75,W939&gt;=75,W939&lt;120),0.17,0)+IF(AND(V939&gt;=40,V939&lt;75,W939&gt;=120),0.12,0)+IF(AND(V939&gt;=75,V939&lt;175,W939&lt;35),0.3,0)+IF(AND(V939&gt;=75,V939&lt;=175,W939&gt;=35,W939&lt;65),0.23,0)+IF(AND(V939&gt;=75,V939&lt;=175,W939&gt;=65,W939&lt;110),0.17,0)+IF(AND(V939&gt;=75,V939&lt;=175,W939&gt;=110),0.12,0)+IF(AND(V939&gt;175,W939&lt;25),0.3,0)+IF(AND(V939&gt;175,W939&gt;=25,W939&lt;55),0.23,0)+IF(AND(V939&gt;175,W939&gt;=55,W939&lt;95),0.17,0)+IF(AND(V939&gt;175,W939&gt;=95),0.12,0),
IF(AF939="DoEVsu",IF(AND(V939&lt;20,W939&lt;55),0.3,0)+IF(AND(V939&lt;20,W939&gt;=55,W939&lt;105),0.23,0)+IF(AND(V939&lt;20,W939&gt;=105),0.17,0)+IF(AND(V939&gt;=20,V939&lt;40,W939&lt;45),0.3,0)+IF(AND(V939&gt;=20,V939&lt;40,W939&gt;=45,W939&lt;95),0.23,0)+IF(AND(V939&gt;=20,V939&lt;40,W939&gt;=95,W939&lt;=250),0.17,0)+IF(AND(V939&gt;=20,V939&lt;40,W939&gt;=250),0.12,0)+IF(AND(V939&gt;=40,V939&lt;75,W939&lt;35),0.3,0)+IF(AND(V939&gt;=40,V939&lt;75,W939&gt;=35,W939&lt;75),0.23,0)+IF(AND(V939&gt;=40,V939&lt;75,W939&gt;=75,W939&lt;120),0.17,0)+IF(AND(V939&gt;=40,V939&lt;75,W939&gt;=120),0.12,0)+IF(AND(V939&gt;=75,V939&lt;175,W939&lt;35),0.3,0)+IF(AND(V939&gt;=75,V939&lt;=175,W939&gt;=35,W939&lt;65),0.23,0)+IF(AND(V939&gt;=75,V939&lt;=175,W939&gt;=65,W939&lt;110),0.17,0)+IF(AND(V939&gt;=75,V939&lt;=175,W939&gt;=110),0.12,0)+IF(AND(V939&gt;175,W939&lt;25),0.3,0)+IF(AND(V939&gt;175,W939&gt;=25,W939&lt;55),0.23,0)+IF(AND(V939&gt;175,W939&gt;=55,W939&lt;95),0.17,0)+IF(AND(V939&gt;175,W939&gt;=95),0.12,0),
IF(AF939="DoEVni",IF(AND(V939&lt;20,W939&lt;55),0.3,0)+IF(AND(V939&lt;20,W939&gt;=55,W939&lt;105),0.23,0)+IF(AND(V939&lt;20,W939&gt;=105),0.17,0)+IF(AND(V939&gt;=20,V939&lt;40,W939&lt;45),0.3,0)+IF(AND(V939&gt;=20,V939&lt;40,W939&gt;=45,W939&lt;95),0.23,0)+IF(AND(V939&gt;=20,V939&lt;40,W939&gt;=95,W939&lt;=200),0.17,0)+IF(AND(V939&gt;=20,V939&lt;40,W939&gt;=200),0.12,0)+IF(AND(V939&gt;=40,V939&lt;75,W939&lt;35),0.3,0)+IF(AND(V939&gt;=40,V939&lt;75,W939&gt;=35,W939&lt;75),0.23,0)+IF(AND(V939&gt;=40,V939&lt;75,W939&gt;=75,W939&lt;120),0.17,0)+IF(AND(V939&gt;=40,V939&lt;75,W939&gt;=120),0.12,0)+IF(AND(V939&gt;=75,V939&lt;175,W939&lt;35),0.3,0)+IF(AND(V939&gt;=75,V939&lt;=175,W939&gt;=35,W939&lt;65),0.23,0)+IF(AND(V939&gt;=75,V939&lt;=175,W939&gt;=65,W939&lt;110),0.17,0)+IF(AND(V939&gt;=75,V939&lt;=175,W939&gt;=110),0.12,0)+IF(AND(V939&gt;175,W939&lt;25),0.3,0)+IF(AND(V939&gt;175,W939&gt;=25,W939&lt;55),0.23,0)+IF(AND(V939&gt;175,W939&gt;=55,W939&lt;95),0.17,0)+IF(AND(V939&gt;175,W939&gt;=95),0.12,0),
IF(AF939="DoEVLo",IF(AND(V939&lt;20,W939&lt;55),0.25,0)+IF(AND(V939&lt;20,W939&gt;=55,W939&lt;105),0.2,0)+IF(AND(V939&lt;20,W939&gt;=105),0.15,0)+IF(AND(V939&gt;=20,V939&lt;40,W939&lt;45),0.25,0)+IF(AND(V939&gt;=20,V939&lt;40,W939&gt;=45,W939&lt;95),0.2,0)+IF(AND(V939&gt;=20,V939&lt;40,W939&gt;=95),0.15,0)+IF(AND(V939&gt;=40,V939&lt;75,W939&lt;35),0.25,0)+IF(AND(V939&gt;=40,V939&lt;75,W939&gt;=35,W939&lt;75),0.2,0)+IF(AND(V939&gt;=40,V939&lt;75,W939&gt;=75,W939&lt;120),0.15,0)+IF(AND(V939&gt;=40,V939&lt;75,W939&gt;=120),0.1,0)+IF(AND(V939&gt;=75,V939&lt;175,W939&lt;35),0.25,0)+IF(AND(V939&gt;=75,V939&lt;=175,W939&gt;=35,W939&lt;65),0.2,0)+IF(AND(V939&gt;=75,V939&lt;=175,W939&gt;=65,W939&lt;110),0.15,0)+IF(AND(V939&gt;=75,V939&lt;=175,W939&gt;=110),0.1,0)+IF(AND(V939&gt;175,W939&lt;25),0.25,0)+IF(AND(V939&gt;175,W939&gt;=25,W939&lt;55),0.2,0)+IF(AND(V939&gt;175,W939&gt;=55,W939&lt;95),0.15,0)+IF(AND(V939&gt;175,W939&gt;=95),0.1,0))))))))))))))))</f>
        <v>0.35</v>
      </c>
      <c r="Y939" s="30">
        <f>IF(AG939="None",0,IF(AG939="Fix5",0.05,IF(AG939="Fix3.75",0.0375,IF(AG939="Fix10",0.1,IF(AG939="Fix3",0.03,0)))))</f>
        <v>0</v>
      </c>
      <c r="Z939" s="35">
        <v>-53</v>
      </c>
      <c r="AA939" s="60">
        <v>-18</v>
      </c>
      <c r="AB939" s="36">
        <f>IF(AD939="EUR",((T939-R939)*Y939)*U939+(R939*Y939),(T939*Y939))</f>
        <v>0</v>
      </c>
      <c r="AC939" s="37" t="b">
        <v>1</v>
      </c>
      <c r="AD939" s="37" t="s">
        <v>38</v>
      </c>
      <c r="AE939" s="37" t="s">
        <v>38</v>
      </c>
      <c r="AF939" s="37" t="str">
        <f t="array" ref="AF939">INDEX('Deal Info'!D:D, MATCH(A939,'Deal Info'!A:A, 0))</f>
        <v>DoEVold</v>
      </c>
      <c r="AG939" s="38" t="str">
        <f t="array" ref="AG939">INDEX('Deal Info'!G:G, MATCH(A939,'Deal Info'!A:A, 0))</f>
        <v>None</v>
      </c>
    </row>
    <row r="940" spans="1:33" ht="14.25" x14ac:dyDescent="0.2">
      <c r="A940" s="18" t="str">
        <f t="array" ref="A940">IF(G940='Room Info'!$B$1, INDEX('Room Info'!$A$2:$A2446, MATCH(B940,'Room Info'!$B$2:$B2446, 0)),IF(G940='Room Info'!$C$1, INDEX('Room Info'!$A$2:$A2446, MATCH(B940,'Room Info'!$C$2:$C2446, 0)),IF(G940='Room Info'!$D$1, INDEX('Room Info'!$A$2:$A2446, MATCH(B940,'Room Info'!$D$2:$D2446, 0)),IF(G940='Room Info'!$E$1, INDEX('Room Info'!$A$2:$A2446, MATCH(B940,'Room Info'!$E$2:$E2446, 0)),IF(G940='Room Info'!$F$1, INDEX('Room Info'!$A$2:$A2446, MATCH(B940,'Room Info'!$F$2:$F2446, 0)),IF(G940='Room Info'!$H$1, INDEX('Room Info'!$A$2:$A2446, MATCH(B940,'Room Info'!$H$2:$H2446, 0)),IF(G940='Room Info'!$G$1, INDEX('Room Info'!$A$2:$A2446, MATCH(B940,'Room Info'!$G$2:$G2446, 0)))))))))</f>
        <v>Freedoom</v>
      </c>
      <c r="B940" s="129" t="s">
        <v>129</v>
      </c>
      <c r="C940" s="46">
        <v>44896</v>
      </c>
      <c r="D940" s="46">
        <v>44921</v>
      </c>
      <c r="E940" s="47">
        <v>44896</v>
      </c>
      <c r="F940" s="45" t="s">
        <v>41</v>
      </c>
      <c r="G940" s="54" t="s">
        <v>61</v>
      </c>
      <c r="H940" s="49" t="s">
        <v>54</v>
      </c>
      <c r="I940" s="49" t="s">
        <v>101</v>
      </c>
      <c r="J940" s="50">
        <v>5</v>
      </c>
      <c r="K940" s="51">
        <v>2958</v>
      </c>
      <c r="L940" s="52">
        <v>290</v>
      </c>
      <c r="M940" s="53">
        <v>782</v>
      </c>
      <c r="N940" s="28">
        <f>K940*J940</f>
        <v>14790</v>
      </c>
      <c r="O940" s="54">
        <v>188757</v>
      </c>
      <c r="P940" s="29">
        <v>63.812373229999999</v>
      </c>
      <c r="Q940" s="55"/>
      <c r="R940" s="31">
        <f>M940+Q940</f>
        <v>782</v>
      </c>
      <c r="S940" s="56">
        <v>429</v>
      </c>
      <c r="T940" s="32">
        <f>R940+S940+IF(F940="Without EV deal",L940,0)</f>
        <v>1501</v>
      </c>
      <c r="U940" s="57">
        <v>1</v>
      </c>
      <c r="V940" s="58"/>
      <c r="W940" s="58"/>
      <c r="X940" s="78">
        <f>IF(AF940="DoEV",IF(AND(V940&lt;20,W940&lt;55),0.3,0)+IF(AND(V940&lt;20,W940&gt;=55,W940&lt;105),0.23,0)+IF(AND(V940&lt;20,W940&gt;=105),0.17,0)+IF(AND(V940&gt;=20,V940&lt;40,W940&lt;45),0.3,0)+IF(AND(V940&gt;=20,V940&lt;40,W940&gt;=45,W940&lt;95),0.23,0)+IF(AND(V940&gt;=20,V940&lt;40,W940&gt;=95),0.17,0)+IF(AND(V940&gt;=40,V940&lt;75,W940&lt;35),0.3,0)+IF(AND(V940&gt;=40,V940&lt;75,W940&gt;=35,W940&lt;75),0.23,0)+IF(AND(V940&gt;=40,V940&lt;75,W940&gt;=75,W940&lt;120),0.17,0)+IF(AND(V940&gt;=40,V940&lt;75,W940&gt;=120),0.12,0)+IF(AND(V940&gt;=75,V940&lt;175,W940&lt;35),0.3,0)+IF(AND(V940&gt;=75,V940&lt;=175,W940&gt;=35,W940&lt;65),0.23,0)+IF(AND(V940&gt;=75,V940&lt;=175,W940&gt;=65,W940&lt;110),0.17,0)+IF(AND(V940&gt;=75,V940&lt;=175,W940&gt;=110),0.12,0)+IF(AND(V940&gt;175,W940&lt;25),0.3,0)+IF(AND(V940&gt;175,W940&gt;=25,W940&lt;55),0.23,0)+IF(AND(V940&gt;175,W940&gt;=55,W940&lt;95),0.17,0)+IF(AND(V940&gt;175,W940&gt;=95),0.12,0),
IF(AF940="Fix15",0.15,
IF(AF940="Fix11.25",0.1125,
IF(AF940="Fix10",0.1,
IF(AF940="Fix9",0.09,
IF(AF940="DoEV2017",IF(AND(W940&lt;74),0.2,0)+IF(AND(W940&gt;=74),0.17,0),
IF(AF940="SF",IF(AND(V940&lt;20,W940&lt;89),0.3,0)+IF(AND(V940&lt;20,W940&gt;=89),0.25,0)+IF(AND(V940&gt;=20,V940&lt;40,W940&lt;74),0.3,0)+IF(AND(V940&gt;=20,V940&lt;40,W940&gt;=75),0.22,0)+IF(AND(V940&gt;=40,V940&lt;75,W940&lt;75),0.26,0)+IF(AND(V940&gt;=40,V940&lt;75,W940&gt;=75),0.22,0)+IF(V940&gt;=75,0.22,0),
IF(AF940="DoEVold",IF(AND(V940&lt;40,W940&lt;35),0.35,0)+IF(AND(V940&lt;40,W940&gt;=35,W940&lt;75),0.25,0)+IF(AND(V940&lt;40,W940&gt;=75),0.17,0)+IF(AND(V940&gt;=40,V940&lt;75,W940&lt;25),0.35,0)+IF(AND(V940&gt;=40,V940&lt;75,W940&gt;=25,W940&lt;65),0.25,0)+IF(AND(V940&gt;=40,V940&lt;75,W940&gt;=65,W940&lt;100),0.17,0)+IF(AND(V940&gt;=40,V940&lt;75,W940&gt;=100),0.1,0)+IF(AND(V940&gt;=75,W940&lt;25),0.35,0)+IF(AND(V940&gt;=75,W940&gt;=25,W940&lt;60),0.25,0)+IF(AND(V940&gt;=75,W940&gt;=60,W940&lt;95),0.17,0)+IF(AND(V940&gt;=75,W940&gt;=95),0.1,0),
IF(AF940="DoEVold15",IF(AND(V940&lt;=40,W940&lt;35),0.35,0)+IF(AND(V940&lt;=40,W940&gt;=35,W940&lt;75),0.25,0)+IF(AND(V940&lt;=40,W940&gt;=75,W940&lt;120),0.17,0)+IF(AND(V940&lt;=40,W940&gt;=120),0.15,0)+IF(AND(V940&gt;40,V940&lt;75,W940&lt;25),0.35,0)+IF(AND(V940&gt;=40,V940&lt;75,W940&gt;=25,W940&lt;65),0.25,0)+IF(AND(V940&gt;=40,V940&lt;75,W940&gt;=65,W940&lt;100),0.17,0)+IF(AND(V940&gt;=40,V940&lt;75,W940&gt;=100),0.1,0)+IF(AND(V940&gt;=75,W940&lt;25),0.35,0)+IF(AND(V940&gt;=75,W940&gt;=25,W940&lt;60),0.25,0)+IF(AND(V940&gt;=75,W940&gt;=60,W940&lt;95),0.17,0)+IF(AND(V940&gt;=75,W940&gt;=95),0.1,0),
IF(AF940="DoEVba",IF(AND(V940&lt;20,W940&lt;105),0.2,0)+IF(AND(V940&lt;20,W940&gt;=105),0.15,0)+IF(AND(V940&gt;=20,V940&lt;40,W940&lt;95),0.2,0)+IF(AND(V940&gt;=20,V940&lt;40,W940&gt;=95,W940&lt;150),0.15,0)+IF(AND(V940&gt;=20,V940&lt;40,W940&gt;=150),0.12,0)+IF(AND(V940&gt;=40,V940&lt;75,W940&lt;75),0.2,0)+IF(AND(V940&gt;=40,V940&lt;75,W940&gt;=75,W940&lt;120),0.15,0)+IF(AND(V940&gt;=40,V940&lt;75,W940&gt;=120),0.12,0)+IF(AND(V940&gt;=75,V940&lt;175,W940&lt;65),0.2,0)+IF(AND(V940&gt;=75,V940&lt;175,W940&gt;=65,W940&lt;110),0.15,0)+IF(AND(V940&gt;=75,V940&lt;175,W940&gt;=110),0.12,0)+IF(AND(V940&gt;=175,W940&lt;55),0.2,0)+IF(AND(V940&gt;=175,W940&gt;=55,W940&lt;95),0.15,0)+IF(AND(V940&gt;=175,W940&gt;=95),0.12,0),
IF(AF940="DoEVku",IF(AND(V940&lt;20,W940&lt;55),0.23,0)+IF(AND(V940&lt;20,W940&gt;=55,W940&lt;105),0.2,0)+IF(AND(V940&lt;20,W940&gt;=105),0.17,0)+IF(AND(V940&gt;=20,V940&lt;40,W940&lt;45),0.23,0)+IF(AND(V940&gt;=20,V940&lt;40,W940&gt;=45,W940&lt;95),0.2,0)+IF(AND(V940&gt;=20,V940&lt;40,W940&gt;=95,W940&lt;=150),0.17,0)+IF(AND(V940&gt;=20,V940&lt;40,W940&gt;=150),0.12,0)+IF(AND(V940&gt;=40,V940&lt;75,W940&lt;35),0.23,0)+IF(AND(V940&gt;=40,V940&lt;75,W940&gt;=35,W940&lt;75),0.2,0)+IF(AND(V940&gt;=40,V940&lt;75,W940&gt;=75,W940&lt;120),0.17,0)+IF(AND(V940&gt;=40,V940&lt;75,W940&gt;=120),0.12,0)+IF(AND(V940&gt;=75,V940&lt;175,W940&lt;35),0.23,0)+IF(AND(V940&gt;=75,V940&lt;=175,W940&gt;=35,W940&lt;65),0.2,0)+IF(AND(V940&gt;=75,V940&lt;=175,W940&gt;=65,W940&lt;110),0.17,0)+IF(AND(V940&gt;=75,V940&lt;=175,W940&gt;=110),0.12,0)+IF(AND(V940&gt;175,W940&lt;25),0.23,0)+IF(AND(V940&gt;175,W940&gt;=25,W940&lt;55),0.2,0)+IF(AND(V940&gt;175,W940&gt;=55,W940&lt;95),0.17,0)+IF(AND(V940&gt;175,W940&gt;=95),0.12,0),
IF(AF940="DoEVs1",IF(AND(V940&lt;20,W940&lt;55),0.3,0)+IF(AND(V940&lt;20,W940&gt;=55,W940&lt;105),0.23,0)+IF(AND(V940&lt;20,W940&gt;=105),0.17,0)+IF(AND(V940&gt;=20,V940&lt;40,W940&lt;45),0.3,0)+IF(AND(V940&gt;=20,V940&lt;40,W940&gt;=45,W940&lt;95),0.23,0)+IF(AND(V940&gt;=20,V940&lt;40,W940&gt;=95,W940&lt;=150),0.17,0)+IF(AND(V940&gt;=20,V940&lt;40,W940&gt;=150),0.12,0)+IF(AND(V940&gt;=40,V940&lt;75,W940&lt;35),0.3,0)+IF(AND(V940&gt;=40,V940&lt;75,W940&gt;=35,W940&lt;75),0.23,0)+IF(AND(V940&gt;=40,V940&lt;75,W940&gt;=75,W940&lt;120),0.17,0)+IF(AND(V940&gt;=40,V940&lt;75,W940&gt;=120),0.12,0)+IF(AND(V940&gt;=75,V940&lt;175,W940&lt;35),0.3,0)+IF(AND(V940&gt;=75,V940&lt;=175,W940&gt;=35,W940&lt;65),0.23,0)+IF(AND(V940&gt;=75,V940&lt;=175,W940&gt;=65,W940&lt;110),0.17,0)+IF(AND(V940&gt;=75,V940&lt;=175,W940&gt;=110),0.12,0)+IF(AND(V940&gt;175,W940&lt;25),0.3,0)+IF(AND(V940&gt;175,W940&gt;=25,W940&lt;55),0.23,0)+IF(AND(V940&gt;175,W940&gt;=55,W940&lt;95),0.17,0)+IF(AND(V940&gt;175,W940&gt;=95),0.12,0),
IF(AF940="DoEVsu",IF(AND(V940&lt;20,W940&lt;55),0.3,0)+IF(AND(V940&lt;20,W940&gt;=55,W940&lt;105),0.23,0)+IF(AND(V940&lt;20,W940&gt;=105),0.17,0)+IF(AND(V940&gt;=20,V940&lt;40,W940&lt;45),0.3,0)+IF(AND(V940&gt;=20,V940&lt;40,W940&gt;=45,W940&lt;95),0.23,0)+IF(AND(V940&gt;=20,V940&lt;40,W940&gt;=95,W940&lt;=250),0.17,0)+IF(AND(V940&gt;=20,V940&lt;40,W940&gt;=250),0.12,0)+IF(AND(V940&gt;=40,V940&lt;75,W940&lt;35),0.3,0)+IF(AND(V940&gt;=40,V940&lt;75,W940&gt;=35,W940&lt;75),0.23,0)+IF(AND(V940&gt;=40,V940&lt;75,W940&gt;=75,W940&lt;120),0.17,0)+IF(AND(V940&gt;=40,V940&lt;75,W940&gt;=120),0.12,0)+IF(AND(V940&gt;=75,V940&lt;175,W940&lt;35),0.3,0)+IF(AND(V940&gt;=75,V940&lt;=175,W940&gt;=35,W940&lt;65),0.23,0)+IF(AND(V940&gt;=75,V940&lt;=175,W940&gt;=65,W940&lt;110),0.17,0)+IF(AND(V940&gt;=75,V940&lt;=175,W940&gt;=110),0.12,0)+IF(AND(V940&gt;175,W940&lt;25),0.3,0)+IF(AND(V940&gt;175,W940&gt;=25,W940&lt;55),0.23,0)+IF(AND(V940&gt;175,W940&gt;=55,W940&lt;95),0.17,0)+IF(AND(V940&gt;175,W940&gt;=95),0.12,0),
IF(AF940="DoEVni",IF(AND(V940&lt;20,W940&lt;55),0.3,0)+IF(AND(V940&lt;20,W940&gt;=55,W940&lt;105),0.23,0)+IF(AND(V940&lt;20,W940&gt;=105),0.17,0)+IF(AND(V940&gt;=20,V940&lt;40,W940&lt;45),0.3,0)+IF(AND(V940&gt;=20,V940&lt;40,W940&gt;=45,W940&lt;95),0.23,0)+IF(AND(V940&gt;=20,V940&lt;40,W940&gt;=95,W940&lt;=200),0.17,0)+IF(AND(V940&gt;=20,V940&lt;40,W940&gt;=200),0.12,0)+IF(AND(V940&gt;=40,V940&lt;75,W940&lt;35),0.3,0)+IF(AND(V940&gt;=40,V940&lt;75,W940&gt;=35,W940&lt;75),0.23,0)+IF(AND(V940&gt;=40,V940&lt;75,W940&gt;=75,W940&lt;120),0.17,0)+IF(AND(V940&gt;=40,V940&lt;75,W940&gt;=120),0.12,0)+IF(AND(V940&gt;=75,V940&lt;175,W940&lt;35),0.3,0)+IF(AND(V940&gt;=75,V940&lt;=175,W940&gt;=35,W940&lt;65),0.23,0)+IF(AND(V940&gt;=75,V940&lt;=175,W940&gt;=65,W940&lt;110),0.17,0)+IF(AND(V940&gt;=75,V940&lt;=175,W940&gt;=110),0.12,0)+IF(AND(V940&gt;175,W940&lt;25),0.3,0)+IF(AND(V940&gt;175,W940&gt;=25,W940&lt;55),0.23,0)+IF(AND(V940&gt;175,W940&gt;=55,W940&lt;95),0.17,0)+IF(AND(V940&gt;175,W940&gt;=95),0.12,0),
IF(AF940="DoEVLo",IF(AND(V940&lt;20,W940&lt;55),0.25,0)+IF(AND(V940&lt;20,W940&gt;=55,W940&lt;105),0.2,0)+IF(AND(V940&lt;20,W940&gt;=105),0.15,0)+IF(AND(V940&gt;=20,V940&lt;40,W940&lt;45),0.25,0)+IF(AND(V940&gt;=20,V940&lt;40,W940&gt;=45,W940&lt;95),0.2,0)+IF(AND(V940&gt;=20,V940&lt;40,W940&gt;=95),0.15,0)+IF(AND(V940&gt;=40,V940&lt;75,W940&lt;35),0.25,0)+IF(AND(V940&gt;=40,V940&lt;75,W940&gt;=35,W940&lt;75),0.2,0)+IF(AND(V940&gt;=40,V940&lt;75,W940&gt;=75,W940&lt;120),0.15,0)+IF(AND(V940&gt;=40,V940&lt;75,W940&gt;=120),0.1,0)+IF(AND(V940&gt;=75,V940&lt;175,W940&lt;35),0.25,0)+IF(AND(V940&gt;=75,V940&lt;=175,W940&gt;=35,W940&lt;65),0.2,0)+IF(AND(V940&gt;=75,V940&lt;=175,W940&gt;=65,W940&lt;110),0.15,0)+IF(AND(V940&gt;=75,V940&lt;=175,W940&gt;=110),0.1,0)+IF(AND(V940&gt;175,W940&lt;25),0.25,0)+IF(AND(V940&gt;175,W940&gt;=25,W940&lt;55),0.2,0)+IF(AND(V940&gt;175,W940&gt;=55,W940&lt;95),0.15,0)+IF(AND(V940&gt;175,W940&gt;=95),0.1,0))))))))))))))))</f>
        <v>0.35</v>
      </c>
      <c r="Y940" s="30">
        <f>IF(AG940="None",0,IF(AG940="Fix5",0.05,IF(AG940="Fix3.75",0.0375,IF(AG940="Fix10",0.1,IF(AG940="Fix3",0.03,0)))))</f>
        <v>0</v>
      </c>
      <c r="Z940" s="35">
        <v>804</v>
      </c>
      <c r="AA940" s="60">
        <v>268</v>
      </c>
      <c r="AB940" s="36">
        <f>IF(AD940="EUR",((T940-R940)*Y940)*U940+(R940*Y940),(T940*Y940))</f>
        <v>0</v>
      </c>
      <c r="AC940" s="37" t="b">
        <v>1</v>
      </c>
      <c r="AD940" s="37" t="s">
        <v>38</v>
      </c>
      <c r="AE940" s="37" t="s">
        <v>38</v>
      </c>
      <c r="AF940" s="37" t="str">
        <f t="array" ref="AF940">INDEX('Deal Info'!D:D, MATCH(A940,'Deal Info'!A:A, 0))</f>
        <v>DoEVold</v>
      </c>
      <c r="AG940" s="38" t="str">
        <f t="array" ref="AG940">INDEX('Deal Info'!G:G, MATCH(A940,'Deal Info'!A:A, 0))</f>
        <v>None</v>
      </c>
    </row>
    <row r="941" spans="1:33" ht="14.25" x14ac:dyDescent="0.2">
      <c r="A941" s="18" t="str">
        <f t="array" ref="A941">IF(G941='Room Info'!$B$1, INDEX('Room Info'!$A$2:$A2446, MATCH(B941,'Room Info'!$B$2:$B2446, 0)),IF(G941='Room Info'!$C$1, INDEX('Room Info'!$A$2:$A2446, MATCH(B941,'Room Info'!$C$2:$C2446, 0)),IF(G941='Room Info'!$D$1, INDEX('Room Info'!$A$2:$A2446, MATCH(B941,'Room Info'!$D$2:$D2446, 0)),IF(G941='Room Info'!$E$1, INDEX('Room Info'!$A$2:$A2446, MATCH(B941,'Room Info'!$E$2:$E2446, 0)),IF(G941='Room Info'!$F$1, INDEX('Room Info'!$A$2:$A2446, MATCH(B941,'Room Info'!$F$2:$F2446, 0)),IF(G941='Room Info'!$H$1, INDEX('Room Info'!$A$2:$A2446, MATCH(B941,'Room Info'!$H$2:$H2446, 0)),IF(G941='Room Info'!$G$1, INDEX('Room Info'!$A$2:$A2446, MATCH(B941,'Room Info'!$G$2:$G2446, 0)))))))))</f>
        <v>fortunate773</v>
      </c>
      <c r="B941" s="129" t="s">
        <v>95</v>
      </c>
      <c r="C941" s="46">
        <v>44886</v>
      </c>
      <c r="D941" s="46">
        <v>44915</v>
      </c>
      <c r="E941" s="47">
        <v>44896</v>
      </c>
      <c r="F941" s="133" t="s">
        <v>49</v>
      </c>
      <c r="G941" s="129" t="s">
        <v>61</v>
      </c>
      <c r="H941" s="49" t="s">
        <v>135</v>
      </c>
      <c r="I941" s="49" t="s">
        <v>101</v>
      </c>
      <c r="J941" s="70">
        <v>250</v>
      </c>
      <c r="K941" s="71">
        <v>81</v>
      </c>
      <c r="L941" s="52">
        <v>-250</v>
      </c>
      <c r="M941" s="53">
        <v>2089</v>
      </c>
      <c r="N941" s="28">
        <f>K941*J941</f>
        <v>20250</v>
      </c>
      <c r="O941" s="54">
        <v>-11</v>
      </c>
      <c r="P941" s="29">
        <v>-0.13580246909999999</v>
      </c>
      <c r="Q941" s="55"/>
      <c r="R941" s="31">
        <f>M941+Q941</f>
        <v>2089</v>
      </c>
      <c r="S941" s="56">
        <v>-1615</v>
      </c>
      <c r="T941" s="32">
        <f>R941+S941+IF(F941="Without EV deal",L941,0)</f>
        <v>474</v>
      </c>
      <c r="U941" s="57">
        <v>1</v>
      </c>
      <c r="V941" s="58"/>
      <c r="W941" s="58"/>
      <c r="X941" s="78">
        <f>IF(AF941="DoEV",IF(AND(V941&lt;20,W941&lt;55),0.3,0)+IF(AND(V941&lt;20,W941&gt;=55,W941&lt;105),0.23,0)+IF(AND(V941&lt;20,W941&gt;=105),0.17,0)+IF(AND(V941&gt;=20,V941&lt;40,W941&lt;45),0.3,0)+IF(AND(V941&gt;=20,V941&lt;40,W941&gt;=45,W941&lt;95),0.23,0)+IF(AND(V941&gt;=20,V941&lt;40,W941&gt;=95),0.17,0)+IF(AND(V941&gt;=40,V941&lt;75,W941&lt;35),0.3,0)+IF(AND(V941&gt;=40,V941&lt;75,W941&gt;=35,W941&lt;75),0.23,0)+IF(AND(V941&gt;=40,V941&lt;75,W941&gt;=75,W941&lt;120),0.17,0)+IF(AND(V941&gt;=40,V941&lt;75,W941&gt;=120),0.12,0)+IF(AND(V941&gt;=75,V941&lt;175,W941&lt;35),0.3,0)+IF(AND(V941&gt;=75,V941&lt;=175,W941&gt;=35,W941&lt;65),0.23,0)+IF(AND(V941&gt;=75,V941&lt;=175,W941&gt;=65,W941&lt;110),0.17,0)+IF(AND(V941&gt;=75,V941&lt;=175,W941&gt;=110),0.12,0)+IF(AND(V941&gt;175,W941&lt;25),0.3,0)+IF(AND(V941&gt;175,W941&gt;=25,W941&lt;55),0.23,0)+IF(AND(V941&gt;175,W941&gt;=55,W941&lt;95),0.17,0)+IF(AND(V941&gt;175,W941&gt;=95),0.12,0),
IF(AF941="Fix15",0.15,
IF(AF941="Fix11.25",0.1125,
IF(AF941="Fix10",0.1,
IF(AF941="Fix9",0.09,
IF(AF941="DoEV2017",IF(AND(W941&lt;74),0.2,0)+IF(AND(W941&gt;=74),0.17,0),
IF(AF941="SF",IF(AND(V941&lt;20,W941&lt;89),0.3,0)+IF(AND(V941&lt;20,W941&gt;=89),0.25,0)+IF(AND(V941&gt;=20,V941&lt;40,W941&lt;74),0.3,0)+IF(AND(V941&gt;=20,V941&lt;40,W941&gt;=75),0.22,0)+IF(AND(V941&gt;=40,V941&lt;75,W941&lt;75),0.26,0)+IF(AND(V941&gt;=40,V941&lt;75,W941&gt;=75),0.22,0)+IF(V941&gt;=75,0.22,0),
IF(AF941="DoEVold",IF(AND(V941&lt;40,W941&lt;35),0.35,0)+IF(AND(V941&lt;40,W941&gt;=35,W941&lt;75),0.25,0)+IF(AND(V941&lt;40,W941&gt;=75),0.17,0)+IF(AND(V941&gt;=40,V941&lt;75,W941&lt;25),0.35,0)+IF(AND(V941&gt;=40,V941&lt;75,W941&gt;=25,W941&lt;65),0.25,0)+IF(AND(V941&gt;=40,V941&lt;75,W941&gt;=65,W941&lt;100),0.17,0)+IF(AND(V941&gt;=40,V941&lt;75,W941&gt;=100),0.1,0)+IF(AND(V941&gt;=75,W941&lt;25),0.35,0)+IF(AND(V941&gt;=75,W941&gt;=25,W941&lt;60),0.25,0)+IF(AND(V941&gt;=75,W941&gt;=60,W941&lt;95),0.17,0)+IF(AND(V941&gt;=75,W941&gt;=95),0.1,0),
IF(AF941="DoEVold15",IF(AND(V941&lt;=40,W941&lt;35),0.35,0)+IF(AND(V941&lt;=40,W941&gt;=35,W941&lt;75),0.25,0)+IF(AND(V941&lt;=40,W941&gt;=75,W941&lt;120),0.17,0)+IF(AND(V941&lt;=40,W941&gt;=120),0.15,0)+IF(AND(V941&gt;40,V941&lt;75,W941&lt;25),0.35,0)+IF(AND(V941&gt;=40,V941&lt;75,W941&gt;=25,W941&lt;65),0.25,0)+IF(AND(V941&gt;=40,V941&lt;75,W941&gt;=65,W941&lt;100),0.17,0)+IF(AND(V941&gt;=40,V941&lt;75,W941&gt;=100),0.1,0)+IF(AND(V941&gt;=75,W941&lt;25),0.35,0)+IF(AND(V941&gt;=75,W941&gt;=25,W941&lt;60),0.25,0)+IF(AND(V941&gt;=75,W941&gt;=60,W941&lt;95),0.17,0)+IF(AND(V941&gt;=75,W941&gt;=95),0.1,0),
IF(AF941="DoEVba",IF(AND(V941&lt;20,W941&lt;105),0.2,0)+IF(AND(V941&lt;20,W941&gt;=105),0.15,0)+IF(AND(V941&gt;=20,V941&lt;40,W941&lt;95),0.2,0)+IF(AND(V941&gt;=20,V941&lt;40,W941&gt;=95,W941&lt;150),0.15,0)+IF(AND(V941&gt;=20,V941&lt;40,W941&gt;=150),0.12,0)+IF(AND(V941&gt;=40,V941&lt;75,W941&lt;75),0.2,0)+IF(AND(V941&gt;=40,V941&lt;75,W941&gt;=75,W941&lt;120),0.15,0)+IF(AND(V941&gt;=40,V941&lt;75,W941&gt;=120),0.12,0)+IF(AND(V941&gt;=75,V941&lt;175,W941&lt;65),0.2,0)+IF(AND(V941&gt;=75,V941&lt;175,W941&gt;=65,W941&lt;110),0.15,0)+IF(AND(V941&gt;=75,V941&lt;175,W941&gt;=110),0.12,0)+IF(AND(V941&gt;=175,W941&lt;55),0.2,0)+IF(AND(V941&gt;=175,W941&gt;=55,W941&lt;95),0.15,0)+IF(AND(V941&gt;=175,W941&gt;=95),0.12,0),
IF(AF941="DoEVku",IF(AND(V941&lt;20,W941&lt;55),0.23,0)+IF(AND(V941&lt;20,W941&gt;=55,W941&lt;105),0.2,0)+IF(AND(V941&lt;20,W941&gt;=105),0.17,0)+IF(AND(V941&gt;=20,V941&lt;40,W941&lt;45),0.23,0)+IF(AND(V941&gt;=20,V941&lt;40,W941&gt;=45,W941&lt;95),0.2,0)+IF(AND(V941&gt;=20,V941&lt;40,W941&gt;=95,W941&lt;=150),0.17,0)+IF(AND(V941&gt;=20,V941&lt;40,W941&gt;=150),0.12,0)+IF(AND(V941&gt;=40,V941&lt;75,W941&lt;35),0.23,0)+IF(AND(V941&gt;=40,V941&lt;75,W941&gt;=35,W941&lt;75),0.2,0)+IF(AND(V941&gt;=40,V941&lt;75,W941&gt;=75,W941&lt;120),0.17,0)+IF(AND(V941&gt;=40,V941&lt;75,W941&gt;=120),0.12,0)+IF(AND(V941&gt;=75,V941&lt;175,W941&lt;35),0.23,0)+IF(AND(V941&gt;=75,V941&lt;=175,W941&gt;=35,W941&lt;65),0.2,0)+IF(AND(V941&gt;=75,V941&lt;=175,W941&gt;=65,W941&lt;110),0.17,0)+IF(AND(V941&gt;=75,V941&lt;=175,W941&gt;=110),0.12,0)+IF(AND(V941&gt;175,W941&lt;25),0.23,0)+IF(AND(V941&gt;175,W941&gt;=25,W941&lt;55),0.2,0)+IF(AND(V941&gt;175,W941&gt;=55,W941&lt;95),0.17,0)+IF(AND(V941&gt;175,W941&gt;=95),0.12,0),
IF(AF941="DoEVs1",IF(AND(V941&lt;20,W941&lt;55),0.3,0)+IF(AND(V941&lt;20,W941&gt;=55,W941&lt;105),0.23,0)+IF(AND(V941&lt;20,W941&gt;=105),0.17,0)+IF(AND(V941&gt;=20,V941&lt;40,W941&lt;45),0.3,0)+IF(AND(V941&gt;=20,V941&lt;40,W941&gt;=45,W941&lt;95),0.23,0)+IF(AND(V941&gt;=20,V941&lt;40,W941&gt;=95,W941&lt;=150),0.17,0)+IF(AND(V941&gt;=20,V941&lt;40,W941&gt;=150),0.12,0)+IF(AND(V941&gt;=40,V941&lt;75,W941&lt;35),0.3,0)+IF(AND(V941&gt;=40,V941&lt;75,W941&gt;=35,W941&lt;75),0.23,0)+IF(AND(V941&gt;=40,V941&lt;75,W941&gt;=75,W941&lt;120),0.17,0)+IF(AND(V941&gt;=40,V941&lt;75,W941&gt;=120),0.12,0)+IF(AND(V941&gt;=75,V941&lt;175,W941&lt;35),0.3,0)+IF(AND(V941&gt;=75,V941&lt;=175,W941&gt;=35,W941&lt;65),0.23,0)+IF(AND(V941&gt;=75,V941&lt;=175,W941&gt;=65,W941&lt;110),0.17,0)+IF(AND(V941&gt;=75,V941&lt;=175,W941&gt;=110),0.12,0)+IF(AND(V941&gt;175,W941&lt;25),0.3,0)+IF(AND(V941&gt;175,W941&gt;=25,W941&lt;55),0.23,0)+IF(AND(V941&gt;175,W941&gt;=55,W941&lt;95),0.17,0)+IF(AND(V941&gt;175,W941&gt;=95),0.12,0),
IF(AF941="DoEVsu",IF(AND(V941&lt;20,W941&lt;55),0.3,0)+IF(AND(V941&lt;20,W941&gt;=55,W941&lt;105),0.23,0)+IF(AND(V941&lt;20,W941&gt;=105),0.17,0)+IF(AND(V941&gt;=20,V941&lt;40,W941&lt;45),0.3,0)+IF(AND(V941&gt;=20,V941&lt;40,W941&gt;=45,W941&lt;95),0.23,0)+IF(AND(V941&gt;=20,V941&lt;40,W941&gt;=95,W941&lt;=250),0.17,0)+IF(AND(V941&gt;=20,V941&lt;40,W941&gt;=250),0.12,0)+IF(AND(V941&gt;=40,V941&lt;75,W941&lt;35),0.3,0)+IF(AND(V941&gt;=40,V941&lt;75,W941&gt;=35,W941&lt;75),0.23,0)+IF(AND(V941&gt;=40,V941&lt;75,W941&gt;=75,W941&lt;120),0.17,0)+IF(AND(V941&gt;=40,V941&lt;75,W941&gt;=120),0.12,0)+IF(AND(V941&gt;=75,V941&lt;175,W941&lt;35),0.3,0)+IF(AND(V941&gt;=75,V941&lt;=175,W941&gt;=35,W941&lt;65),0.23,0)+IF(AND(V941&gt;=75,V941&lt;=175,W941&gt;=65,W941&lt;110),0.17,0)+IF(AND(V941&gt;=75,V941&lt;=175,W941&gt;=110),0.12,0)+IF(AND(V941&gt;175,W941&lt;25),0.3,0)+IF(AND(V941&gt;175,W941&gt;=25,W941&lt;55),0.23,0)+IF(AND(V941&gt;175,W941&gt;=55,W941&lt;95),0.17,0)+IF(AND(V941&gt;175,W941&gt;=95),0.12,0),
IF(AF941="DoEVni",IF(AND(V941&lt;20,W941&lt;55),0.3,0)+IF(AND(V941&lt;20,W941&gt;=55,W941&lt;105),0.23,0)+IF(AND(V941&lt;20,W941&gt;=105),0.17,0)+IF(AND(V941&gt;=20,V941&lt;40,W941&lt;45),0.3,0)+IF(AND(V941&gt;=20,V941&lt;40,W941&gt;=45,W941&lt;95),0.23,0)+IF(AND(V941&gt;=20,V941&lt;40,W941&gt;=95,W941&lt;=200),0.17,0)+IF(AND(V941&gt;=20,V941&lt;40,W941&gt;=200),0.12,0)+IF(AND(V941&gt;=40,V941&lt;75,W941&lt;35),0.3,0)+IF(AND(V941&gt;=40,V941&lt;75,W941&gt;=35,W941&lt;75),0.23,0)+IF(AND(V941&gt;=40,V941&lt;75,W941&gt;=75,W941&lt;120),0.17,0)+IF(AND(V941&gt;=40,V941&lt;75,W941&gt;=120),0.12,0)+IF(AND(V941&gt;=75,V941&lt;175,W941&lt;35),0.3,0)+IF(AND(V941&gt;=75,V941&lt;=175,W941&gt;=35,W941&lt;65),0.23,0)+IF(AND(V941&gt;=75,V941&lt;=175,W941&gt;=65,W941&lt;110),0.17,0)+IF(AND(V941&gt;=75,V941&lt;=175,W941&gt;=110),0.12,0)+IF(AND(V941&gt;175,W941&lt;25),0.3,0)+IF(AND(V941&gt;175,W941&gt;=25,W941&lt;55),0.23,0)+IF(AND(V941&gt;175,W941&gt;=55,W941&lt;95),0.17,0)+IF(AND(V941&gt;175,W941&gt;=95),0.12,0),
IF(AF941="DoEVLo",IF(AND(V941&lt;20,W941&lt;55),0.25,0)+IF(AND(V941&lt;20,W941&gt;=55,W941&lt;105),0.2,0)+IF(AND(V941&lt;20,W941&gt;=105),0.15,0)+IF(AND(V941&gt;=20,V941&lt;40,W941&lt;45),0.25,0)+IF(AND(V941&gt;=20,V941&lt;40,W941&gt;=45,W941&lt;95),0.2,0)+IF(AND(V941&gt;=20,V941&lt;40,W941&gt;=95),0.15,0)+IF(AND(V941&gt;=40,V941&lt;75,W941&lt;35),0.25,0)+IF(AND(V941&gt;=40,V941&lt;75,W941&gt;=35,W941&lt;75),0.2,0)+IF(AND(V941&gt;=40,V941&lt;75,W941&gt;=75,W941&lt;120),0.15,0)+IF(AND(V941&gt;=40,V941&lt;75,W941&gt;=120),0.1,0)+IF(AND(V941&gt;=75,V941&lt;175,W941&lt;35),0.25,0)+IF(AND(V941&gt;=75,V941&lt;=175,W941&gt;=35,W941&lt;65),0.2,0)+IF(AND(V941&gt;=75,V941&lt;=175,W941&gt;=65,W941&lt;110),0.15,0)+IF(AND(V941&gt;=75,V941&lt;=175,W941&gt;=110),0.1,0)+IF(AND(V941&gt;175,W941&lt;25),0.25,0)+IF(AND(V941&gt;175,W941&gt;=25,W941&lt;55),0.2,0)+IF(AND(V941&gt;175,W941&gt;=55,W941&lt;95),0.15,0)+IF(AND(V941&gt;175,W941&gt;=95),0.1,0))))))))))))))))</f>
        <v>0.15</v>
      </c>
      <c r="Y941" s="30">
        <f>IF(AG941="None",0,IF(AG941="Fix5",0.05,IF(AG941="Fix3.75",0.0375,IF(AG941="Fix10",0.1,IF(AG941="Fix3",0.03,0)))))</f>
        <v>0.05</v>
      </c>
      <c r="Z941" s="35">
        <v>379</v>
      </c>
      <c r="AA941" s="60">
        <v>95</v>
      </c>
      <c r="AB941" s="36"/>
      <c r="AC941" s="37" t="b">
        <v>0</v>
      </c>
      <c r="AD941" s="37" t="s">
        <v>50</v>
      </c>
      <c r="AE941" s="37"/>
      <c r="AF941" s="37" t="str">
        <f t="array" ref="AF941">INDEX('Deal Info'!D:D, MATCH(A941,'Deal Info'!A:A, 0))</f>
        <v>Fix15</v>
      </c>
      <c r="AG941" s="38" t="str">
        <f t="array" ref="AG941">INDEX('Deal Info'!G:G, MATCH(A941,'Deal Info'!A:A, 0))</f>
        <v>Fix5</v>
      </c>
    </row>
    <row r="942" spans="1:33" ht="14.25" x14ac:dyDescent="0.2">
      <c r="A942" s="18" t="str">
        <f t="array" ref="A942">IF(G942='Room Info'!$B$1, INDEX('Room Info'!$A$2:$A2446, MATCH(B942,'Room Info'!$B$2:$B2446, 0)),IF(G942='Room Info'!$C$1, INDEX('Room Info'!$A$2:$A2446, MATCH(B942,'Room Info'!$C$2:$C2446, 0)),IF(G942='Room Info'!$D$1, INDEX('Room Info'!$A$2:$A2446, MATCH(B942,'Room Info'!$D$2:$D2446, 0)),IF(G942='Room Info'!$E$1, INDEX('Room Info'!$A$2:$A2446, MATCH(B942,'Room Info'!$E$2:$E2446, 0)),IF(G942='Room Info'!$F$1, INDEX('Room Info'!$A$2:$A2446, MATCH(B942,'Room Info'!$F$2:$F2446, 0)),IF(G942='Room Info'!$H$1, INDEX('Room Info'!$A$2:$A2446, MATCH(B942,'Room Info'!$H$2:$H2446, 0)),IF(G942='Room Info'!$G$1, INDEX('Room Info'!$A$2:$A2446, MATCH(B942,'Room Info'!$G$2:$G2446, 0)))))))))</f>
        <v>Lo4io</v>
      </c>
      <c r="B942" s="45" t="s">
        <v>107</v>
      </c>
      <c r="C942" s="283">
        <v>44886</v>
      </c>
      <c r="D942" s="283">
        <v>44915</v>
      </c>
      <c r="E942" s="47">
        <v>44896</v>
      </c>
      <c r="F942" s="48" t="s">
        <v>34</v>
      </c>
      <c r="G942" s="45" t="s">
        <v>61</v>
      </c>
      <c r="H942" s="49" t="s">
        <v>141</v>
      </c>
      <c r="I942" s="49" t="s">
        <v>68</v>
      </c>
      <c r="J942" s="70">
        <v>25</v>
      </c>
      <c r="K942" s="71">
        <v>614</v>
      </c>
      <c r="L942" s="135">
        <v>-133</v>
      </c>
      <c r="M942" s="79">
        <v>126</v>
      </c>
      <c r="N942" s="28">
        <f>K942*J942</f>
        <v>15350</v>
      </c>
      <c r="O942" s="129">
        <v>9997</v>
      </c>
      <c r="P942" s="29">
        <v>16.281758960000001</v>
      </c>
      <c r="Q942" s="55"/>
      <c r="R942" s="31">
        <f>M942+Q942</f>
        <v>126</v>
      </c>
      <c r="S942" s="97">
        <v>-559</v>
      </c>
      <c r="T942" s="32">
        <f>R942+S942+IF(F942="Without EV deal",L942,0)</f>
        <v>-433</v>
      </c>
      <c r="U942" s="57">
        <v>1.0609999999999999</v>
      </c>
      <c r="V942" s="58">
        <v>59.405092313261733</v>
      </c>
      <c r="W942" s="58">
        <v>25.570198460257167</v>
      </c>
      <c r="X942" s="78">
        <f>IF(AF942="DoEV",IF(AND(V942&lt;20,W942&lt;55),0.3,0)+IF(AND(V942&lt;20,W942&gt;=55,W942&lt;105),0.23,0)+IF(AND(V942&lt;20,W942&gt;=105),0.17,0)+IF(AND(V942&gt;=20,V942&lt;40,W942&lt;45),0.3,0)+IF(AND(V942&gt;=20,V942&lt;40,W942&gt;=45,W942&lt;95),0.23,0)+IF(AND(V942&gt;=20,V942&lt;40,W942&gt;=95),0.17,0)+IF(AND(V942&gt;=40,V942&lt;75,W942&lt;35),0.3,0)+IF(AND(V942&gt;=40,V942&lt;75,W942&gt;=35,W942&lt;75),0.23,0)+IF(AND(V942&gt;=40,V942&lt;75,W942&gt;=75,W942&lt;120),0.17,0)+IF(AND(V942&gt;=40,V942&lt;75,W942&gt;=120),0.12,0)+IF(AND(V942&gt;=75,V942&lt;175,W942&lt;35),0.3,0)+IF(AND(V942&gt;=75,V942&lt;=175,W942&gt;=35,W942&lt;65),0.23,0)+IF(AND(V942&gt;=75,V942&lt;=175,W942&gt;=65,W942&lt;110),0.17,0)+IF(AND(V942&gt;=75,V942&lt;=175,W942&gt;=110),0.12,0)+IF(AND(V942&gt;175,W942&lt;25),0.3,0)+IF(AND(V942&gt;175,W942&gt;=25,W942&lt;55),0.23,0)+IF(AND(V942&gt;175,W942&gt;=55,W942&lt;95),0.17,0)+IF(AND(V942&gt;175,W942&gt;=95),0.12,0),
IF(AF942="Fix15",0.15,
IF(AF942="Fix11.25",0.1125,
IF(AF942="Fix10",0.1,
IF(AF942="Fix9",0.09,
IF(AF942="DoEV2017",IF(AND(W942&lt;74),0.2,0)+IF(AND(W942&gt;=74),0.17,0),
IF(AF942="SF",IF(AND(V942&lt;20,W942&lt;89),0.3,0)+IF(AND(V942&lt;20,W942&gt;=89),0.25,0)+IF(AND(V942&gt;=20,V942&lt;40,W942&lt;74),0.3,0)+IF(AND(V942&gt;=20,V942&lt;40,W942&gt;=75),0.22,0)+IF(AND(V942&gt;=40,V942&lt;75,W942&lt;75),0.26,0)+IF(AND(V942&gt;=40,V942&lt;75,W942&gt;=75),0.22,0)+IF(V942&gt;=75,0.22,0),
IF(AF942="DoEVold",IF(AND(V942&lt;40,W942&lt;35),0.35,0)+IF(AND(V942&lt;40,W942&gt;=35,W942&lt;75),0.25,0)+IF(AND(V942&lt;40,W942&gt;=75),0.17,0)+IF(AND(V942&gt;=40,V942&lt;75,W942&lt;25),0.35,0)+IF(AND(V942&gt;=40,V942&lt;75,W942&gt;=25,W942&lt;65),0.25,0)+IF(AND(V942&gt;=40,V942&lt;75,W942&gt;=65,W942&lt;100),0.17,0)+IF(AND(V942&gt;=40,V942&lt;75,W942&gt;=100),0.1,0)+IF(AND(V942&gt;=75,W942&lt;25),0.35,0)+IF(AND(V942&gt;=75,W942&gt;=25,W942&lt;60),0.25,0)+IF(AND(V942&gt;=75,W942&gt;=60,W942&lt;95),0.17,0)+IF(AND(V942&gt;=75,W942&gt;=95),0.1,0),
IF(AF942="DoEVold15",IF(AND(V942&lt;=40,W942&lt;35),0.35,0)+IF(AND(V942&lt;=40,W942&gt;=35,W942&lt;75),0.25,0)+IF(AND(V942&lt;=40,W942&gt;=75,W942&lt;120),0.17,0)+IF(AND(V942&lt;=40,W942&gt;=120),0.15,0)+IF(AND(V942&gt;40,V942&lt;75,W942&lt;25),0.35,0)+IF(AND(V942&gt;=40,V942&lt;75,W942&gt;=25,W942&lt;65),0.25,0)+IF(AND(V942&gt;=40,V942&lt;75,W942&gt;=65,W942&lt;100),0.17,0)+IF(AND(V942&gt;=40,V942&lt;75,W942&gt;=100),0.1,0)+IF(AND(V942&gt;=75,W942&lt;25),0.35,0)+IF(AND(V942&gt;=75,W942&gt;=25,W942&lt;60),0.25,0)+IF(AND(V942&gt;=75,W942&gt;=60,W942&lt;95),0.17,0)+IF(AND(V942&gt;=75,W942&gt;=95),0.1,0),
IF(AF942="DoEVba",IF(AND(V942&lt;20,W942&lt;105),0.2,0)+IF(AND(V942&lt;20,W942&gt;=105),0.15,0)+IF(AND(V942&gt;=20,V942&lt;40,W942&lt;95),0.2,0)+IF(AND(V942&gt;=20,V942&lt;40,W942&gt;=95,W942&lt;150),0.15,0)+IF(AND(V942&gt;=20,V942&lt;40,W942&gt;=150),0.12,0)+IF(AND(V942&gt;=40,V942&lt;75,W942&lt;75),0.2,0)+IF(AND(V942&gt;=40,V942&lt;75,W942&gt;=75,W942&lt;120),0.15,0)+IF(AND(V942&gt;=40,V942&lt;75,W942&gt;=120),0.12,0)+IF(AND(V942&gt;=75,V942&lt;175,W942&lt;65),0.2,0)+IF(AND(V942&gt;=75,V942&lt;175,W942&gt;=65,W942&lt;110),0.15,0)+IF(AND(V942&gt;=75,V942&lt;175,W942&gt;=110),0.12,0)+IF(AND(V942&gt;=175,W942&lt;55),0.2,0)+IF(AND(V942&gt;=175,W942&gt;=55,W942&lt;95),0.15,0)+IF(AND(V942&gt;=175,W942&gt;=95),0.12,0),
IF(AF942="DoEVku",IF(AND(V942&lt;20,W942&lt;55),0.23,0)+IF(AND(V942&lt;20,W942&gt;=55,W942&lt;105),0.2,0)+IF(AND(V942&lt;20,W942&gt;=105),0.17,0)+IF(AND(V942&gt;=20,V942&lt;40,W942&lt;45),0.23,0)+IF(AND(V942&gt;=20,V942&lt;40,W942&gt;=45,W942&lt;95),0.2,0)+IF(AND(V942&gt;=20,V942&lt;40,W942&gt;=95,W942&lt;=150),0.17,0)+IF(AND(V942&gt;=20,V942&lt;40,W942&gt;=150),0.12,0)+IF(AND(V942&gt;=40,V942&lt;75,W942&lt;35),0.23,0)+IF(AND(V942&gt;=40,V942&lt;75,W942&gt;=35,W942&lt;75),0.2,0)+IF(AND(V942&gt;=40,V942&lt;75,W942&gt;=75,W942&lt;120),0.17,0)+IF(AND(V942&gt;=40,V942&lt;75,W942&gt;=120),0.12,0)+IF(AND(V942&gt;=75,V942&lt;175,W942&lt;35),0.23,0)+IF(AND(V942&gt;=75,V942&lt;=175,W942&gt;=35,W942&lt;65),0.2,0)+IF(AND(V942&gt;=75,V942&lt;=175,W942&gt;=65,W942&lt;110),0.17,0)+IF(AND(V942&gt;=75,V942&lt;=175,W942&gt;=110),0.12,0)+IF(AND(V942&gt;175,W942&lt;25),0.23,0)+IF(AND(V942&gt;175,W942&gt;=25,W942&lt;55),0.2,0)+IF(AND(V942&gt;175,W942&gt;=55,W942&lt;95),0.17,0)+IF(AND(V942&gt;175,W942&gt;=95),0.12,0),
IF(AF942="DoEVs1",IF(AND(V942&lt;20,W942&lt;55),0.3,0)+IF(AND(V942&lt;20,W942&gt;=55,W942&lt;105),0.23,0)+IF(AND(V942&lt;20,W942&gt;=105),0.17,0)+IF(AND(V942&gt;=20,V942&lt;40,W942&lt;45),0.3,0)+IF(AND(V942&gt;=20,V942&lt;40,W942&gt;=45,W942&lt;95),0.23,0)+IF(AND(V942&gt;=20,V942&lt;40,W942&gt;=95,W942&lt;=150),0.17,0)+IF(AND(V942&gt;=20,V942&lt;40,W942&gt;=150),0.12,0)+IF(AND(V942&gt;=40,V942&lt;75,W942&lt;35),0.3,0)+IF(AND(V942&gt;=40,V942&lt;75,W942&gt;=35,W942&lt;75),0.23,0)+IF(AND(V942&gt;=40,V942&lt;75,W942&gt;=75,W942&lt;120),0.17,0)+IF(AND(V942&gt;=40,V942&lt;75,W942&gt;=120),0.12,0)+IF(AND(V942&gt;=75,V942&lt;175,W942&lt;35),0.3,0)+IF(AND(V942&gt;=75,V942&lt;=175,W942&gt;=35,W942&lt;65),0.23,0)+IF(AND(V942&gt;=75,V942&lt;=175,W942&gt;=65,W942&lt;110),0.17,0)+IF(AND(V942&gt;=75,V942&lt;=175,W942&gt;=110),0.12,0)+IF(AND(V942&gt;175,W942&lt;25),0.3,0)+IF(AND(V942&gt;175,W942&gt;=25,W942&lt;55),0.23,0)+IF(AND(V942&gt;175,W942&gt;=55,W942&lt;95),0.17,0)+IF(AND(V942&gt;175,W942&gt;=95),0.12,0),
IF(AF942="DoEVsu",IF(AND(V942&lt;20,W942&lt;55),0.3,0)+IF(AND(V942&lt;20,W942&gt;=55,W942&lt;105),0.23,0)+IF(AND(V942&lt;20,W942&gt;=105),0.17,0)+IF(AND(V942&gt;=20,V942&lt;40,W942&lt;45),0.3,0)+IF(AND(V942&gt;=20,V942&lt;40,W942&gt;=45,W942&lt;95),0.23,0)+IF(AND(V942&gt;=20,V942&lt;40,W942&gt;=95,W942&lt;=250),0.17,0)+IF(AND(V942&gt;=20,V942&lt;40,W942&gt;=250),0.12,0)+IF(AND(V942&gt;=40,V942&lt;75,W942&lt;35),0.3,0)+IF(AND(V942&gt;=40,V942&lt;75,W942&gt;=35,W942&lt;75),0.23,0)+IF(AND(V942&gt;=40,V942&lt;75,W942&gt;=75,W942&lt;120),0.17,0)+IF(AND(V942&gt;=40,V942&lt;75,W942&gt;=120),0.12,0)+IF(AND(V942&gt;=75,V942&lt;175,W942&lt;35),0.3,0)+IF(AND(V942&gt;=75,V942&lt;=175,W942&gt;=35,W942&lt;65),0.23,0)+IF(AND(V942&gt;=75,V942&lt;=175,W942&gt;=65,W942&lt;110),0.17,0)+IF(AND(V942&gt;=75,V942&lt;=175,W942&gt;=110),0.12,0)+IF(AND(V942&gt;175,W942&lt;25),0.3,0)+IF(AND(V942&gt;175,W942&gt;=25,W942&lt;55),0.23,0)+IF(AND(V942&gt;175,W942&gt;=55,W942&lt;95),0.17,0)+IF(AND(V942&gt;175,W942&gt;=95),0.12,0),
IF(AF942="DoEVni",IF(AND(V942&lt;20,W942&lt;55),0.3,0)+IF(AND(V942&lt;20,W942&gt;=55,W942&lt;105),0.23,0)+IF(AND(V942&lt;20,W942&gt;=105),0.17,0)+IF(AND(V942&gt;=20,V942&lt;40,W942&lt;45),0.3,0)+IF(AND(V942&gt;=20,V942&lt;40,W942&gt;=45,W942&lt;95),0.23,0)+IF(AND(V942&gt;=20,V942&lt;40,W942&gt;=95,W942&lt;=200),0.17,0)+IF(AND(V942&gt;=20,V942&lt;40,W942&gt;=200),0.12,0)+IF(AND(V942&gt;=40,V942&lt;75,W942&lt;35),0.3,0)+IF(AND(V942&gt;=40,V942&lt;75,W942&gt;=35,W942&lt;75),0.23,0)+IF(AND(V942&gt;=40,V942&lt;75,W942&gt;=75,W942&lt;120),0.17,0)+IF(AND(V942&gt;=40,V942&lt;75,W942&gt;=120),0.12,0)+IF(AND(V942&gt;=75,V942&lt;175,W942&lt;35),0.3,0)+IF(AND(V942&gt;=75,V942&lt;=175,W942&gt;=35,W942&lt;65),0.23,0)+IF(AND(V942&gt;=75,V942&lt;=175,W942&gt;=65,W942&lt;110),0.17,0)+IF(AND(V942&gt;=75,V942&lt;=175,W942&gt;=110),0.12,0)+IF(AND(V942&gt;175,W942&lt;25),0.3,0)+IF(AND(V942&gt;175,W942&gt;=25,W942&lt;55),0.23,0)+IF(AND(V942&gt;175,W942&gt;=55,W942&lt;95),0.17,0)+IF(AND(V942&gt;175,W942&gt;=95),0.12,0),
IF(AF942="DoEVLo",IF(AND(V942&lt;20,W942&lt;55),0.25,0)+IF(AND(V942&lt;20,W942&gt;=55,W942&lt;105),0.2,0)+IF(AND(V942&lt;20,W942&gt;=105),0.15,0)+IF(AND(V942&gt;=20,V942&lt;40,W942&lt;45),0.25,0)+IF(AND(V942&gt;=20,V942&lt;40,W942&gt;=45,W942&lt;95),0.2,0)+IF(AND(V942&gt;=20,V942&lt;40,W942&gt;=95),0.15,0)+IF(AND(V942&gt;=40,V942&lt;75,W942&lt;35),0.25,0)+IF(AND(V942&gt;=40,V942&lt;75,W942&gt;=35,W942&lt;75),0.2,0)+IF(AND(V942&gt;=40,V942&lt;75,W942&gt;=75,W942&lt;120),0.15,0)+IF(AND(V942&gt;=40,V942&lt;75,W942&gt;=120),0.1,0)+IF(AND(V942&gt;=75,V942&lt;175,W942&lt;35),0.25,0)+IF(AND(V942&gt;=75,V942&lt;=175,W942&gt;=35,W942&lt;65),0.2,0)+IF(AND(V942&gt;=75,V942&lt;=175,W942&gt;=65,W942&lt;110),0.15,0)+IF(AND(V942&gt;=75,V942&lt;=175,W942&gt;=110),0.1,0)+IF(AND(V942&gt;175,W942&lt;25),0.25,0)+IF(AND(V942&gt;175,W942&gt;=25,W942&lt;55),0.2,0)+IF(AND(V942&gt;175,W942&gt;=55,W942&lt;95),0.15,0)+IF(AND(V942&gt;175,W942&gt;=95),0.1,0))))))))))))))))</f>
        <v>0.25</v>
      </c>
      <c r="Y942" s="30">
        <f>IF(AG942="None",0,IF(AG942="Fix5",0.05,IF(AG942="Fix3.75",0.0375,IF(AG942="Fix10",0.1,IF(AG942="Fix3",0.03,0)))))</f>
        <v>0</v>
      </c>
      <c r="Z942" s="35">
        <f>T942-AA942-AB942</f>
        <v>-316.22525000000002</v>
      </c>
      <c r="AA942" s="60">
        <f>IF(AD942="EUR",((T942-R942)*X942)*U942+(R942*X942),(T942*X942))</f>
        <v>-116.77474999999998</v>
      </c>
      <c r="AB942" s="36">
        <f>IF(AD942="EUR",((T942-R942)*Y942)*U942+(R942*Y942),(T942*Y942))</f>
        <v>0</v>
      </c>
      <c r="AC942" s="37" t="b">
        <v>1</v>
      </c>
      <c r="AD942" s="37" t="s">
        <v>50</v>
      </c>
      <c r="AE942" s="37"/>
      <c r="AF942" s="37" t="str">
        <f t="array" ref="AF942">INDEX('Deal Info'!D:D, MATCH(A942,'Deal Info'!A:A, 0))</f>
        <v>DoEVLo</v>
      </c>
      <c r="AG942" s="38" t="str">
        <f t="array" ref="AG942">INDEX('Deal Info'!G:G, MATCH(A942,'Deal Info'!A:A, 0))</f>
        <v>None</v>
      </c>
    </row>
    <row r="943" spans="1:33" ht="14.25" x14ac:dyDescent="0.2">
      <c r="A943" s="18" t="str">
        <f t="array" ref="A943">IF(G943='Room Info'!$B$1, INDEX('Room Info'!$A$2:$A2446, MATCH(B943,'Room Info'!$B$2:$B2446, 0)),IF(G943='Room Info'!$C$1, INDEX('Room Info'!$A$2:$A2446, MATCH(B943,'Room Info'!$C$2:$C2446, 0)),IF(G943='Room Info'!$D$1, INDEX('Room Info'!$A$2:$A2446, MATCH(B943,'Room Info'!$D$2:$D2446, 0)),IF(G943='Room Info'!$E$1, INDEX('Room Info'!$A$2:$A2446, MATCH(B943,'Room Info'!$E$2:$E2446, 0)),IF(G943='Room Info'!$F$1, INDEX('Room Info'!$A$2:$A2446, MATCH(B943,'Room Info'!$F$2:$F2446, 0)),IF(G943='Room Info'!$H$1, INDEX('Room Info'!$A$2:$A2446, MATCH(B943,'Room Info'!$H$2:$H2446, 0)),IF(G943='Room Info'!$G$1, INDEX('Room Info'!$A$2:$A2446, MATCH(B943,'Room Info'!$G$2:$G2446, 0)))))))))</f>
        <v>Lo4io</v>
      </c>
      <c r="B943" s="129" t="s">
        <v>107</v>
      </c>
      <c r="C943" s="136">
        <v>44886</v>
      </c>
      <c r="D943" s="136">
        <v>44915</v>
      </c>
      <c r="E943" s="47">
        <v>44896</v>
      </c>
      <c r="F943" s="48" t="s">
        <v>34</v>
      </c>
      <c r="G943" s="129" t="s">
        <v>61</v>
      </c>
      <c r="H943" s="49" t="s">
        <v>141</v>
      </c>
      <c r="I943" s="49" t="s">
        <v>68</v>
      </c>
      <c r="J943" s="74">
        <v>25</v>
      </c>
      <c r="K943" s="134">
        <v>614</v>
      </c>
      <c r="L943" s="135">
        <v>-133</v>
      </c>
      <c r="M943" s="79">
        <v>126</v>
      </c>
      <c r="N943" s="28">
        <f>K943*J943</f>
        <v>15350</v>
      </c>
      <c r="O943" s="129">
        <v>9997</v>
      </c>
      <c r="P943" s="29">
        <v>16.281758960000001</v>
      </c>
      <c r="Q943" s="55"/>
      <c r="R943" s="31">
        <f>M943+Q943</f>
        <v>126</v>
      </c>
      <c r="S943" s="97">
        <v>-559</v>
      </c>
      <c r="T943" s="32">
        <f>R943+S943+IF(F943="Without EV deal",L943,0)</f>
        <v>-433</v>
      </c>
      <c r="U943" s="57">
        <v>1.0609999999999999</v>
      </c>
      <c r="V943" s="58"/>
      <c r="W943" s="58"/>
      <c r="X943" s="78">
        <v>0.25</v>
      </c>
      <c r="Y943" s="30">
        <f>IF(AG943="None",0,IF(AG943="Fix5",0.05, IF(AG943="Fix6.25",0.0625,IF(AG943="Fix3.75",0.0375,IF(AG943="Fix10",0.1,IF(AG943="Fix3",0.03,0))))))</f>
        <v>0</v>
      </c>
      <c r="Z943" s="35">
        <f>T943-AA943-AB943</f>
        <v>-316.22525000000002</v>
      </c>
      <c r="AA943" s="29">
        <f>IF(AD943="EUR",((T943-R943)*X943)*U943+(R943*X943),(T943*X943))</f>
        <v>-116.77474999999998</v>
      </c>
      <c r="AB943" s="36">
        <f>IF(AD943="EUR",((T943-R943)*Y943)*U943+(R943*Y943),(T943*Y943))</f>
        <v>0</v>
      </c>
      <c r="AC943" s="37" t="b">
        <v>1</v>
      </c>
      <c r="AD943" s="129" t="s">
        <v>50</v>
      </c>
      <c r="AE943" s="129"/>
      <c r="AF943" s="37" t="str">
        <f t="array" ref="AF943">INDEX('Deal Info'!D:D, MATCH(A943,'Deal Info'!A:A, 0))</f>
        <v>DoEVLo</v>
      </c>
      <c r="AG943" s="38" t="str">
        <f t="array" ref="AG943">INDEX('Deal Info'!G:G, MATCH(A943,'Deal Info'!A:A, 0))</f>
        <v>None</v>
      </c>
    </row>
    <row r="944" spans="1:33" ht="14.25" x14ac:dyDescent="0.2">
      <c r="A944" s="18" t="str">
        <f t="array" ref="A944">IF(G944='Room Info'!$B$1, INDEX('Room Info'!$A$2:$A2446, MATCH(B944,'Room Info'!$B$2:$B2446, 0)),IF(G944='Room Info'!$C$1, INDEX('Room Info'!$A$2:$A2446, MATCH(B944,'Room Info'!$C$2:$C2446, 0)),IF(G944='Room Info'!$D$1, INDEX('Room Info'!$A$2:$A2446, MATCH(B944,'Room Info'!$D$2:$D2446, 0)),IF(G944='Room Info'!$E$1, INDEX('Room Info'!$A$2:$A2446, MATCH(B944,'Room Info'!$E$2:$E2446, 0)),IF(G944='Room Info'!$F$1, INDEX('Room Info'!$A$2:$A2446, MATCH(B944,'Room Info'!$F$2:$F2446, 0)),IF(G944='Room Info'!$H$1, INDEX('Room Info'!$A$2:$A2446, MATCH(B944,'Room Info'!$H$2:$H2446, 0)),IF(G944='Room Info'!$G$1, INDEX('Room Info'!$A$2:$A2446, MATCH(B944,'Room Info'!$G$2:$G2446, 0)))))))))</f>
        <v>Lo4io</v>
      </c>
      <c r="B944" s="96" t="s">
        <v>107</v>
      </c>
      <c r="C944" s="283">
        <v>44886</v>
      </c>
      <c r="D944" s="283">
        <v>44915</v>
      </c>
      <c r="E944" s="47">
        <v>44896</v>
      </c>
      <c r="F944" s="133" t="s">
        <v>34</v>
      </c>
      <c r="G944" s="129" t="s">
        <v>61</v>
      </c>
      <c r="H944" s="110" t="s">
        <v>167</v>
      </c>
      <c r="I944" s="110" t="s">
        <v>101</v>
      </c>
      <c r="J944" s="70">
        <v>25</v>
      </c>
      <c r="K944" s="71">
        <v>727</v>
      </c>
      <c r="L944" s="135">
        <v>2759</v>
      </c>
      <c r="M944" s="79">
        <v>4</v>
      </c>
      <c r="N944" s="28">
        <f>K944*J944</f>
        <v>18175</v>
      </c>
      <c r="O944" s="129">
        <v>71641</v>
      </c>
      <c r="P944" s="29">
        <v>98.543328750000001</v>
      </c>
      <c r="Q944" s="55"/>
      <c r="R944" s="31">
        <f>M944+Q944</f>
        <v>4</v>
      </c>
      <c r="S944" s="97">
        <v>1692</v>
      </c>
      <c r="T944" s="32">
        <f>R944+S944+IF(F944="Without EV deal",L944,0)</f>
        <v>1696</v>
      </c>
      <c r="U944" s="57">
        <v>1.0609999999999999</v>
      </c>
      <c r="V944" s="58">
        <v>59.405092313261733</v>
      </c>
      <c r="W944" s="58">
        <v>25.570198460257167</v>
      </c>
      <c r="X944" s="30">
        <f>IF(AF944="DoEV",IF(AND(V944&lt;20,W944&lt;55),0.3,0)+IF(AND(V944&lt;20,W944&gt;=55,W944&lt;105),0.23,0)+IF(AND(V944&lt;20,W944&gt;=105),0.17,0)+IF(AND(V944&gt;=20,V944&lt;40,W944&lt;45),0.3,0)+IF(AND(V944&gt;=20,V944&lt;40,W944&gt;=45,W944&lt;95),0.23,0)+IF(AND(V944&gt;=20,V944&lt;40,W944&gt;=95),0.17,0)+IF(AND(V944&gt;=40,V944&lt;75,W944&lt;35),0.3,0)+IF(AND(V944&gt;=40,V944&lt;75,W944&gt;=35,W944&lt;75),0.23,0)+IF(AND(V944&gt;=40,V944&lt;75,W944&gt;=75,W944&lt;120),0.17,0)+IF(AND(V944&gt;=40,V944&lt;75,W944&gt;=120),0.12,0)+IF(AND(V944&gt;=75,V944&lt;175,W944&lt;35),0.3,0)+IF(AND(V944&gt;=75,V944&lt;=175,W944&gt;=35,W944&lt;65),0.23,0)+IF(AND(V944&gt;=75,V944&lt;=175,W944&gt;=65,W944&lt;110),0.17,0)+IF(AND(V944&gt;=75,V944&lt;=175,W944&gt;=110),0.12,0)+IF(AND(V944&gt;175,W944&lt;25),0.3,0)+IF(AND(V944&gt;175,W944&gt;=25,W944&lt;55),0.23,0)+IF(AND(V944&gt;175,W944&gt;=55,W944&lt;95),0.17,0)+IF(AND(V944&gt;175,W944&gt;=95),0.12,0),
IF(AF944="Fix15",0.15,
IF(AF944="Fix11.25",0.1125,
IF(AF944="Fix10",0.1,
IF(AF944="Fix9",0.09,
IF(AF944="DoEV2017",IF(AND(W944&lt;74),0.2,0)+IF(AND(W944&gt;=74),0.17,0),
IF(AF944="SF",IF(AND(V944&lt;20,W944&lt;89),0.3,0)+IF(AND(V944&lt;20,W944&gt;=89),0.25,0)+IF(AND(V944&gt;=20,V944&lt;40,W944&lt;74),0.3,0)+IF(AND(V944&gt;=20,V944&lt;40,W944&gt;=75),0.22,0)+IF(AND(V944&gt;=40,V944&lt;75,W944&lt;75),0.26,0)+IF(AND(V944&gt;=40,V944&lt;75,W944&gt;=75),0.22,0)+IF(V944&gt;=75,0.22,0),
IF(AF944="DoEVold",IF(AND(V944&lt;40,W944&lt;35),0.35,0)+IF(AND(V944&lt;40,W944&gt;=35,W944&lt;75),0.25,0)+IF(AND(V944&lt;40,W944&gt;=75),0.17,0)+IF(AND(V944&gt;=40,V944&lt;75,W944&lt;25),0.35,0)+IF(AND(V944&gt;=40,V944&lt;75,W944&gt;=25,W944&lt;65),0.25,0)+IF(AND(V944&gt;=40,V944&lt;75,W944&gt;=65,W944&lt;100),0.17,0)+IF(AND(V944&gt;=40,V944&lt;75,W944&gt;=100),0.1,0)+IF(AND(V944&gt;=75,W944&lt;25),0.35,0)+IF(AND(V944&gt;=75,W944&gt;=25,W944&lt;60),0.25,0)+IF(AND(V944&gt;=75,W944&gt;=60,W944&lt;95),0.17,0)+IF(AND(V944&gt;=75,W944&gt;=95),0.1,0),
IF(AF944="DoEVold15",IF(AND(V944&lt;=40,W944&lt;35),0.35,0)+IF(AND(V944&lt;=40,W944&gt;=35,W944&lt;75),0.25,0)+IF(AND(V944&lt;=40,W944&gt;=75,W944&lt;120),0.17,0)+IF(AND(V944&lt;=40,W944&gt;=120),0.15,0)+IF(AND(V944&gt;40,V944&lt;75,W944&lt;25),0.35,0)+IF(AND(V944&gt;=40,V944&lt;75,W944&gt;=25,W944&lt;65),0.25,0)+IF(AND(V944&gt;=40,V944&lt;75,W944&gt;=65,W944&lt;100),0.17,0)+IF(AND(V944&gt;=40,V944&lt;75,W944&gt;=100),0.1,0)+IF(AND(V944&gt;=75,W944&lt;25),0.35,0)+IF(AND(V944&gt;=75,W944&gt;=25,W944&lt;60),0.25,0)+IF(AND(V944&gt;=75,W944&gt;=60,W944&lt;95),0.17,0)+IF(AND(V944&gt;=75,W944&gt;=95),0.1,0),
IF(AF944="DoEVba",IF(AND(V944&lt;20,W944&lt;105),0.2,0)+IF(AND(V944&lt;20,W944&gt;=105),0.15,0)+IF(AND(V944&gt;=20,V944&lt;40,W944&lt;95),0.2,0)+IF(AND(V944&gt;=20,V944&lt;40,W944&gt;=95,W944&lt;150),0.15,0)+IF(AND(V944&gt;=20,V944&lt;40,W944&gt;=150),0.12,0)+IF(AND(V944&gt;=40,V944&lt;75,W944&lt;75),0.2,0)+IF(AND(V944&gt;=40,V944&lt;75,W944&gt;=75,W944&lt;120),0.15,0)+IF(AND(V944&gt;=40,V944&lt;75,W944&gt;=120),0.12,0)+IF(AND(V944&gt;=75,V944&lt;175,W944&lt;65),0.2,0)+IF(AND(V944&gt;=75,V944&lt;175,W944&gt;=65,W944&lt;110),0.15,0)+IF(AND(V944&gt;=75,V944&lt;175,W944&gt;=110),0.12,0)+IF(AND(V944&gt;=175,W944&lt;55),0.2,0)+IF(AND(V944&gt;=175,W944&gt;=55,W944&lt;95),0.15,0)+IF(AND(V944&gt;=175,W944&gt;=95),0.12,0),
IF(AF944="DoEVku",IF(AND(V944&lt;20,W944&lt;55),0.23,0)+IF(AND(V944&lt;20,W944&gt;=55,W944&lt;105),0.2,0)+IF(AND(V944&lt;20,W944&gt;=105),0.17,0)+IF(AND(V944&gt;=20,V944&lt;40,W944&lt;45),0.23,0)+IF(AND(V944&gt;=20,V944&lt;40,W944&gt;=45,W944&lt;95),0.2,0)+IF(AND(V944&gt;=20,V944&lt;40,W944&gt;=95,W944&lt;=150),0.17,0)+IF(AND(V944&gt;=20,V944&lt;40,W944&gt;=150),0.12,0)+IF(AND(V944&gt;=40,V944&lt;75,W944&lt;35),0.23,0)+IF(AND(V944&gt;=40,V944&lt;75,W944&gt;=35,W944&lt;75),0.2,0)+IF(AND(V944&gt;=40,V944&lt;75,W944&gt;=75,W944&lt;120),0.17,0)+IF(AND(V944&gt;=40,V944&lt;75,W944&gt;=120),0.12,0)+IF(AND(V944&gt;=75,V944&lt;175,W944&lt;35),0.23,0)+IF(AND(V944&gt;=75,V944&lt;=175,W944&gt;=35,W944&lt;65),0.2,0)+IF(AND(V944&gt;=75,V944&lt;=175,W944&gt;=65,W944&lt;110),0.17,0)+IF(AND(V944&gt;=75,V944&lt;=175,W944&gt;=110),0.12,0)+IF(AND(V944&gt;175,W944&lt;25),0.23,0)+IF(AND(V944&gt;175,W944&gt;=25,W944&lt;55),0.2,0)+IF(AND(V944&gt;175,W944&gt;=55,W944&lt;95),0.17,0)+IF(AND(V944&gt;175,W944&gt;=95),0.12,0),
IF(AF944="DoEVs1",IF(AND(V944&lt;20,W944&lt;55),0.3,0)+IF(AND(V944&lt;20,W944&gt;=55,W944&lt;105),0.23,0)+IF(AND(V944&lt;20,W944&gt;=105),0.17,0)+IF(AND(V944&gt;=20,V944&lt;40,W944&lt;45),0.3,0)+IF(AND(V944&gt;=20,V944&lt;40,W944&gt;=45,W944&lt;95),0.23,0)+IF(AND(V944&gt;=20,V944&lt;40,W944&gt;=95,W944&lt;=150),0.17,0)+IF(AND(V944&gt;=20,V944&lt;40,W944&gt;=150),0.12,0)+IF(AND(V944&gt;=40,V944&lt;75,W944&lt;35),0.3,0)+IF(AND(V944&gt;=40,V944&lt;75,W944&gt;=35,W944&lt;75),0.23,0)+IF(AND(V944&gt;=40,V944&lt;75,W944&gt;=75,W944&lt;120),0.17,0)+IF(AND(V944&gt;=40,V944&lt;75,W944&gt;=120),0.12,0)+IF(AND(V944&gt;=75,V944&lt;175,W944&lt;35),0.3,0)+IF(AND(V944&gt;=75,V944&lt;=175,W944&gt;=35,W944&lt;65),0.23,0)+IF(AND(V944&gt;=75,V944&lt;=175,W944&gt;=65,W944&lt;110),0.17,0)+IF(AND(V944&gt;=75,V944&lt;=175,W944&gt;=110),0.12,0)+IF(AND(V944&gt;175,W944&lt;25),0.3,0)+IF(AND(V944&gt;175,W944&gt;=25,W944&lt;55),0.23,0)+IF(AND(V944&gt;175,W944&gt;=55,W944&lt;95),0.17,0)+IF(AND(V944&gt;175,W944&gt;=95),0.12,0),
IF(AF944="DoEVsu",IF(AND(V944&lt;20,W944&lt;55),0.3,0)+IF(AND(V944&lt;20,W944&gt;=55,W944&lt;105),0.23,0)+IF(AND(V944&lt;20,W944&gt;=105),0.17,0)+IF(AND(V944&gt;=20,V944&lt;40,W944&lt;45),0.3,0)+IF(AND(V944&gt;=20,V944&lt;40,W944&gt;=45,W944&lt;95),0.23,0)+IF(AND(V944&gt;=20,V944&lt;40,W944&gt;=95,W944&lt;=250),0.17,0)+IF(AND(V944&gt;=20,V944&lt;40,W944&gt;=250),0.12,0)+IF(AND(V944&gt;=40,V944&lt;75,W944&lt;35),0.3,0)+IF(AND(V944&gt;=40,V944&lt;75,W944&gt;=35,W944&lt;75),0.23,0)+IF(AND(V944&gt;=40,V944&lt;75,W944&gt;=75,W944&lt;120),0.17,0)+IF(AND(V944&gt;=40,V944&lt;75,W944&gt;=120),0.12,0)+IF(AND(V944&gt;=75,V944&lt;175,W944&lt;35),0.3,0)+IF(AND(V944&gt;=75,V944&lt;=175,W944&gt;=35,W944&lt;65),0.23,0)+IF(AND(V944&gt;=75,V944&lt;=175,W944&gt;=65,W944&lt;110),0.17,0)+IF(AND(V944&gt;=75,V944&lt;=175,W944&gt;=110),0.12,0)+IF(AND(V944&gt;175,W944&lt;25),0.3,0)+IF(AND(V944&gt;175,W944&gt;=25,W944&lt;55),0.23,0)+IF(AND(V944&gt;175,W944&gt;=55,W944&lt;95),0.17,0)+IF(AND(V944&gt;175,W944&gt;=95),0.12,0),
IF(AF944="DoEVni",IF(AND(V944&lt;20,W944&lt;55),0.3,0)+IF(AND(V944&lt;20,W944&gt;=55,W944&lt;105),0.23,0)+IF(AND(V944&lt;20,W944&gt;=105),0.17,0)+IF(AND(V944&gt;=20,V944&lt;40,W944&lt;45),0.3,0)+IF(AND(V944&gt;=20,V944&lt;40,W944&gt;=45,W944&lt;95),0.23,0)+IF(AND(V944&gt;=20,V944&lt;40,W944&gt;=95,W944&lt;=200),0.17,0)+IF(AND(V944&gt;=20,V944&lt;40,W944&gt;=200),0.12,0)+IF(AND(V944&gt;=40,V944&lt;75,W944&lt;35),0.3,0)+IF(AND(V944&gt;=40,V944&lt;75,W944&gt;=35,W944&lt;75),0.23,0)+IF(AND(V944&gt;=40,V944&lt;75,W944&gt;=75,W944&lt;120),0.17,0)+IF(AND(V944&gt;=40,V944&lt;75,W944&gt;=120),0.12,0)+IF(AND(V944&gt;=75,V944&lt;175,W944&lt;35),0.3,0)+IF(AND(V944&gt;=75,V944&lt;=175,W944&gt;=35,W944&lt;65),0.23,0)+IF(AND(V944&gt;=75,V944&lt;=175,W944&gt;=65,W944&lt;110),0.17,0)+IF(AND(V944&gt;=75,V944&lt;=175,W944&gt;=110),0.12,0)+IF(AND(V944&gt;175,W944&lt;25),0.3,0)+IF(AND(V944&gt;175,W944&gt;=25,W944&lt;55),0.23,0)+IF(AND(V944&gt;175,W944&gt;=55,W944&lt;95),0.17,0)+IF(AND(V944&gt;175,W944&gt;=95),0.12,0),
IF(AF944="DoEVLo",IF(AND(V944&lt;20,W944&lt;55),0.25,0)+IF(AND(V944&lt;20,W944&gt;=55,W944&lt;105),0.2,0)+IF(AND(V944&lt;20,W944&gt;=105),0.15,0)+IF(AND(V944&gt;=20,V944&lt;40,W944&lt;45),0.25,0)+IF(AND(V944&gt;=20,V944&lt;40,W944&gt;=45,W944&lt;95),0.2,0)+IF(AND(V944&gt;=20,V944&lt;40,W944&gt;=95),0.15,0)+IF(AND(V944&gt;=40,V944&lt;75,W944&lt;35),0.25,0)+IF(AND(V944&gt;=40,V944&lt;75,W944&gt;=35,W944&lt;75),0.2,0)+IF(AND(V944&gt;=40,V944&lt;75,W944&gt;=75,W944&lt;120),0.15,0)+IF(AND(V944&gt;=40,V944&lt;75,W944&gt;=120),0.1,0)+IF(AND(V944&gt;=75,V944&lt;175,W944&lt;35),0.25,0)+IF(AND(V944&gt;=75,V944&lt;=175,W944&gt;=35,W944&lt;65),0.2,0)+IF(AND(V944&gt;=75,V944&lt;=175,W944&gt;=65,W944&lt;110),0.15,0)+IF(AND(V944&gt;=75,V944&lt;=175,W944&gt;=110),0.1,0)+IF(AND(V944&gt;175,W944&lt;25),0.25,0)+IF(AND(V944&gt;175,W944&gt;=25,W944&lt;55),0.2,0)+IF(AND(V944&gt;175,W944&gt;=55,W944&lt;95),0.15,0)+IF(AND(V944&gt;175,W944&gt;=95),0.1,0))))))))))))))))</f>
        <v>0.25</v>
      </c>
      <c r="Y944" s="30">
        <f>IF(AG944="None",0,IF(AG944="Fix5",0.05,IF(AG944="Fix3.75",0.0375,IF(AG944="Fix10",0.1,IF(AG944="Fix3",0.03,0)))))</f>
        <v>0</v>
      </c>
      <c r="Z944" s="35">
        <f>T944-AA944-AB944</f>
        <v>1246.1970000000001</v>
      </c>
      <c r="AA944" s="29">
        <f>IF(AD944="EUR",((T944-R944)*X944)*U944+(R944*X944),(T944*X944))</f>
        <v>449.803</v>
      </c>
      <c r="AB944" s="36">
        <f>IF(AD944="EUR",((T944-R944)*Y944)*U944+(R944*Y944),(T944*Y944))</f>
        <v>0</v>
      </c>
      <c r="AC944" s="37" t="b">
        <v>1</v>
      </c>
      <c r="AD944" s="82" t="s">
        <v>50</v>
      </c>
      <c r="AE944" s="82"/>
      <c r="AF944" s="83" t="str">
        <f t="array" ref="AF944">INDEX('Deal Info'!D:D, MATCH(A944,'Deal Info'!A:A, 0))</f>
        <v>DoEVLo</v>
      </c>
      <c r="AG944" s="84" t="str">
        <f t="array" ref="AG944">INDEX('Deal Info'!G:G, MATCH(A944,'Deal Info'!A:A, 0))</f>
        <v>None</v>
      </c>
    </row>
    <row r="945" spans="1:33" ht="14.25" x14ac:dyDescent="0.2">
      <c r="A945" s="18" t="str">
        <f t="array" ref="A945">IF(G945='Room Info'!$B$1, INDEX('Room Info'!$A$2:$A2446, MATCH(B945,'Room Info'!$B$2:$B2446, 0)),IF(G945='Room Info'!$C$1, INDEX('Room Info'!$A$2:$A2446, MATCH(B945,'Room Info'!$C$2:$C2446, 0)),IF(G945='Room Info'!$D$1, INDEX('Room Info'!$A$2:$A2446, MATCH(B945,'Room Info'!$D$2:$D2446, 0)),IF(G945='Room Info'!$E$1, INDEX('Room Info'!$A$2:$A2446, MATCH(B945,'Room Info'!$E$2:$E2446, 0)),IF(G945='Room Info'!$F$1, INDEX('Room Info'!$A$2:$A2446, MATCH(B945,'Room Info'!$F$2:$F2446, 0)),IF(G945='Room Info'!$H$1, INDEX('Room Info'!$A$2:$A2446, MATCH(B945,'Room Info'!$H$2:$H2446, 0)),IF(G945='Room Info'!$G$1, INDEX('Room Info'!$A$2:$A2446, MATCH(B945,'Room Info'!$G$2:$G2446, 0)))))))))</f>
        <v>Lo4io</v>
      </c>
      <c r="B945" s="65" t="s">
        <v>107</v>
      </c>
      <c r="C945" s="111">
        <v>44886</v>
      </c>
      <c r="D945" s="111">
        <v>44915</v>
      </c>
      <c r="E945" s="47">
        <v>44896</v>
      </c>
      <c r="F945" s="96" t="s">
        <v>34</v>
      </c>
      <c r="G945" s="65" t="s">
        <v>61</v>
      </c>
      <c r="H945" s="110" t="s">
        <v>167</v>
      </c>
      <c r="I945" s="110" t="s">
        <v>101</v>
      </c>
      <c r="J945" s="74">
        <v>25</v>
      </c>
      <c r="K945" s="134">
        <v>727</v>
      </c>
      <c r="L945" s="135">
        <v>2759</v>
      </c>
      <c r="M945" s="62">
        <v>4</v>
      </c>
      <c r="N945" s="28">
        <f>K945*J945</f>
        <v>18175</v>
      </c>
      <c r="O945" s="129">
        <v>71641</v>
      </c>
      <c r="P945" s="29">
        <v>98.543328750000001</v>
      </c>
      <c r="Q945" s="55"/>
      <c r="R945" s="31">
        <f>M945+Q945</f>
        <v>4</v>
      </c>
      <c r="S945" s="97">
        <v>1692</v>
      </c>
      <c r="T945" s="32">
        <f>R945+S945+IF(F945="Without EV deal",L945,0)</f>
        <v>1696</v>
      </c>
      <c r="U945" s="114">
        <v>1.0609999999999999</v>
      </c>
      <c r="V945" s="69"/>
      <c r="W945" s="69"/>
      <c r="X945" s="30">
        <v>0.25</v>
      </c>
      <c r="Y945" s="30">
        <f>IF(AG945="None",0,IF(AG945="Fix5",0.05, IF(AG945="Fix6.25",0.0625,IF(AG945="Fix3.75",0.0375,IF(AG945="Fix10",0.1,IF(AG945="Fix3",0.03,0))))))</f>
        <v>0</v>
      </c>
      <c r="Z945" s="35">
        <f>T945-AA945-AB945</f>
        <v>1246.1970000000001</v>
      </c>
      <c r="AA945" s="29">
        <f>IF(AD945="EUR",((T945-R945)*X945)*U945+(R945*X945),(T945*X945))</f>
        <v>449.803</v>
      </c>
      <c r="AB945" s="36">
        <f>IF(AD945="EUR",((T945-R945)*Y945)*U945+(R945*Y945),(T945*Y945))</f>
        <v>0</v>
      </c>
      <c r="AC945" s="37" t="b">
        <v>1</v>
      </c>
      <c r="AD945" s="129" t="s">
        <v>50</v>
      </c>
      <c r="AE945" s="129"/>
      <c r="AF945" s="83" t="str">
        <f t="array" ref="AF945">INDEX('Deal Info'!D:D, MATCH(A945,'Deal Info'!A:A, 0))</f>
        <v>DoEVLo</v>
      </c>
      <c r="AG945" s="84" t="str">
        <f t="array" ref="AG945">INDEX('Deal Info'!G:G, MATCH(A945,'Deal Info'!A:A, 0))</f>
        <v>None</v>
      </c>
    </row>
    <row r="946" spans="1:33" ht="14.25" x14ac:dyDescent="0.2">
      <c r="A946" s="18" t="str">
        <f t="array" ref="A946">IF(G946='Room Info'!$B$1, INDEX('Room Info'!$A$2:$A2446, MATCH(B946,'Room Info'!$B$2:$B2446, 0)),IF(G946='Room Info'!$C$1, INDEX('Room Info'!$A$2:$A2446, MATCH(B946,'Room Info'!$C$2:$C2446, 0)),IF(G946='Room Info'!$D$1, INDEX('Room Info'!$A$2:$A2446, MATCH(B946,'Room Info'!$D$2:$D2446, 0)),IF(G946='Room Info'!$E$1, INDEX('Room Info'!$A$2:$A2446, MATCH(B946,'Room Info'!$E$2:$E2446, 0)),IF(G946='Room Info'!$F$1, INDEX('Room Info'!$A$2:$A2446, MATCH(B946,'Room Info'!$F$2:$F2446, 0)),IF(G946='Room Info'!$H$1, INDEX('Room Info'!$A$2:$A2446, MATCH(B946,'Room Info'!$H$2:$H2446, 0)),IF(G946='Room Info'!$G$1, INDEX('Room Info'!$A$2:$A2446, MATCH(B946,'Room Info'!$G$2:$G2446, 0)))))))))</f>
        <v>Mackevgen</v>
      </c>
      <c r="B946" s="65" t="s">
        <v>128</v>
      </c>
      <c r="C946" s="111">
        <v>44896</v>
      </c>
      <c r="D946" s="111">
        <v>44915</v>
      </c>
      <c r="E946" s="47">
        <v>44896</v>
      </c>
      <c r="F946" s="96" t="s">
        <v>49</v>
      </c>
      <c r="G946" s="65" t="s">
        <v>61</v>
      </c>
      <c r="H946" s="110" t="s">
        <v>167</v>
      </c>
      <c r="I946" s="110" t="s">
        <v>101</v>
      </c>
      <c r="J946" s="50">
        <v>25</v>
      </c>
      <c r="K946" s="51">
        <v>483</v>
      </c>
      <c r="L946" s="52">
        <v>1675</v>
      </c>
      <c r="M946" s="62">
        <v>230</v>
      </c>
      <c r="N946" s="28">
        <f>K946*J946</f>
        <v>12075</v>
      </c>
      <c r="O946" s="65">
        <v>27414</v>
      </c>
      <c r="P946" s="29">
        <v>56.75776398</v>
      </c>
      <c r="Q946" s="55"/>
      <c r="R946" s="31">
        <f>M946+Q946</f>
        <v>230</v>
      </c>
      <c r="S946" s="56">
        <v>196</v>
      </c>
      <c r="T946" s="32">
        <f>R946+S946+IF(F946="Without EV deal",L946,0)</f>
        <v>426</v>
      </c>
      <c r="U946" s="114">
        <v>1</v>
      </c>
      <c r="V946" s="69"/>
      <c r="W946" s="69"/>
      <c r="X946" s="30">
        <v>0.3</v>
      </c>
      <c r="Y946" s="30">
        <f>IF(AG946="None",0,IF(AG946="Fix5",0.05, IF(AG946="Fix6.25",0.0625,IF(AG946="Fix3.75",0.0375,IF(AG946="Fix10",0.1,IF(AG946="Fix3",0.03,0))))))</f>
        <v>0</v>
      </c>
      <c r="Z946" s="35">
        <f>T946-AA946-AB946</f>
        <v>298</v>
      </c>
      <c r="AA946" s="29">
        <v>128</v>
      </c>
      <c r="AB946" s="36">
        <f>IF(AD946="EUR",((T946-R946)*Y946)*U946+(R946*Y946),(T946*Y946))</f>
        <v>0</v>
      </c>
      <c r="AC946" s="37" t="b">
        <v>1</v>
      </c>
      <c r="AD946" s="82" t="s">
        <v>38</v>
      </c>
      <c r="AE946" s="83" t="s">
        <v>38</v>
      </c>
      <c r="AF946" s="83" t="str">
        <f t="array" ref="AF946">INDEX('Deal Info'!D:D, MATCH(A946,'Deal Info'!A:A, 0))</f>
        <v>DoEV</v>
      </c>
      <c r="AG946" s="84" t="str">
        <f t="array" ref="AG946">INDEX('Deal Info'!G:G, MATCH(A946,'Deal Info'!A:A, 0))</f>
        <v>None</v>
      </c>
    </row>
    <row r="947" spans="1:33" ht="14.25" x14ac:dyDescent="0.2">
      <c r="A947" s="18" t="str">
        <f t="array" ref="A947">IF(G947='Room Info'!$B$1, INDEX('Room Info'!$A$2:$A2446, MATCH(B947,'Room Info'!$B$2:$B2446, 0)),IF(G947='Room Info'!$C$1, INDEX('Room Info'!$A$2:$A2446, MATCH(B947,'Room Info'!$C$2:$C2446, 0)),IF(G947='Room Info'!$D$1, INDEX('Room Info'!$A$2:$A2446, MATCH(B947,'Room Info'!$D$2:$D2446, 0)),IF(G947='Room Info'!$E$1, INDEX('Room Info'!$A$2:$A2446, MATCH(B947,'Room Info'!$E$2:$E2446, 0)),IF(G947='Room Info'!$F$1, INDEX('Room Info'!$A$2:$A2446, MATCH(B947,'Room Info'!$F$2:$F2446, 0)),IF(G947='Room Info'!$H$1, INDEX('Room Info'!$A$2:$A2446, MATCH(B947,'Room Info'!$H$2:$H2446, 0)),IF(G947='Room Info'!$G$1, INDEX('Room Info'!$A$2:$A2446, MATCH(B947,'Room Info'!$G$2:$G2446, 0)))))))))</f>
        <v>eternity1</v>
      </c>
      <c r="B947" s="45" t="s">
        <v>180</v>
      </c>
      <c r="C947" s="46">
        <v>44886</v>
      </c>
      <c r="D947" s="46">
        <v>44915</v>
      </c>
      <c r="E947" s="47">
        <v>44896</v>
      </c>
      <c r="F947" s="48" t="s">
        <v>34</v>
      </c>
      <c r="G947" s="45" t="s">
        <v>61</v>
      </c>
      <c r="H947" s="49" t="s">
        <v>55</v>
      </c>
      <c r="I947" s="49" t="s">
        <v>101</v>
      </c>
      <c r="J947" s="70">
        <v>10</v>
      </c>
      <c r="K947" s="71">
        <v>4359</v>
      </c>
      <c r="L947" s="52">
        <v>1836</v>
      </c>
      <c r="M947" s="53">
        <v>990</v>
      </c>
      <c r="N947" s="28">
        <f>K947*J947</f>
        <v>43590</v>
      </c>
      <c r="O947" s="65">
        <v>239745</v>
      </c>
      <c r="P947" s="29">
        <v>55</v>
      </c>
      <c r="Q947" s="55"/>
      <c r="R947" s="31">
        <f>M947+Q947</f>
        <v>990</v>
      </c>
      <c r="S947" s="66">
        <v>615</v>
      </c>
      <c r="T947" s="32">
        <f>R947+S947+IF(F947="Without EV deal",L947,0)</f>
        <v>1605</v>
      </c>
      <c r="U947" s="57">
        <v>1</v>
      </c>
      <c r="V947" s="58">
        <v>10</v>
      </c>
      <c r="W947" s="58">
        <v>160.5</v>
      </c>
      <c r="X947" s="78">
        <v>0.17</v>
      </c>
      <c r="Y947" s="30">
        <f>IF(AG947="None",0,IF(AG947="Fix5",0.05,IF(AG947="Fix3.75",0.0375,IF(AG947="Fix10",0.1,IF(AG947="Fix3",0.03,0)))))</f>
        <v>0</v>
      </c>
      <c r="Z947" s="35">
        <f>T947-AA947-AB947</f>
        <v>1332.15</v>
      </c>
      <c r="AA947" s="29">
        <f>IF(AD947="EUR",((T947-R947)*X947)*U947+(R947*X947),(T947*X947))</f>
        <v>272.85000000000002</v>
      </c>
      <c r="AB947" s="36">
        <f>IF(AD947="EUR",((T947-R947)*Y947)*U947+(R947*Y947),(T947*Y947))</f>
        <v>0</v>
      </c>
      <c r="AC947" s="37" t="b">
        <v>1</v>
      </c>
      <c r="AD947" s="61" t="s">
        <v>50</v>
      </c>
      <c r="AE947" s="61"/>
      <c r="AF947" s="37" t="str">
        <f t="array" ref="AF947">INDEX('Deal Info'!D:D, MATCH(A947,'Deal Info'!A:A, 0))</f>
        <v>DoEV</v>
      </c>
      <c r="AG947" s="38" t="str">
        <f t="array" ref="AG947">INDEX('Deal Info'!G:G, MATCH(A947,'Deal Info'!A:A, 0))</f>
        <v>None</v>
      </c>
    </row>
    <row r="948" spans="1:33" ht="14.25" x14ac:dyDescent="0.2">
      <c r="A948" s="18" t="str">
        <f t="array" ref="A948">IF(G948='Room Info'!$B$1, INDEX('Room Info'!$A$2:$A2446, MATCH(B948,'Room Info'!$B$2:$B2446, 0)),IF(G948='Room Info'!$C$1, INDEX('Room Info'!$A$2:$A2446, MATCH(B948,'Room Info'!$C$2:$C2446, 0)),IF(G948='Room Info'!$D$1, INDEX('Room Info'!$A$2:$A2446, MATCH(B948,'Room Info'!$D$2:$D2446, 0)),IF(G948='Room Info'!$E$1, INDEX('Room Info'!$A$2:$A2446, MATCH(B948,'Room Info'!$E$2:$E2446, 0)),IF(G948='Room Info'!$F$1, INDEX('Room Info'!$A$2:$A2446, MATCH(B948,'Room Info'!$F$2:$F2446, 0)),IF(G948='Room Info'!$H$1, INDEX('Room Info'!$A$2:$A2446, MATCH(B948,'Room Info'!$H$2:$H2446, 0)),IF(G948='Room Info'!$G$1, INDEX('Room Info'!$A$2:$A2446, MATCH(B948,'Room Info'!$G$2:$G2446, 0)))))))))</f>
        <v>thepzdc</v>
      </c>
      <c r="B948" s="65" t="s">
        <v>235</v>
      </c>
      <c r="C948" s="46">
        <v>44896</v>
      </c>
      <c r="D948" s="46">
        <v>44915</v>
      </c>
      <c r="E948" s="47">
        <v>44896</v>
      </c>
      <c r="F948" s="48" t="s">
        <v>49</v>
      </c>
      <c r="G948" s="65" t="s">
        <v>61</v>
      </c>
      <c r="H948" s="49" t="s">
        <v>55</v>
      </c>
      <c r="I948" s="49" t="s">
        <v>101</v>
      </c>
      <c r="J948" s="50">
        <v>10</v>
      </c>
      <c r="K948" s="51">
        <v>8000</v>
      </c>
      <c r="L948" s="138">
        <v>1680</v>
      </c>
      <c r="M948" s="53">
        <v>1680</v>
      </c>
      <c r="N948" s="28">
        <f>K948*J948</f>
        <v>80000</v>
      </c>
      <c r="O948" s="128">
        <v>533153</v>
      </c>
      <c r="P948" s="29">
        <v>66.644125000000003</v>
      </c>
      <c r="Q948" s="55"/>
      <c r="R948" s="31">
        <f>M948+Q948</f>
        <v>1680</v>
      </c>
      <c r="S948" s="118">
        <v>2734</v>
      </c>
      <c r="T948" s="32">
        <f>R948+S948+IF(F948="Without EV deal",L948,0)</f>
        <v>4414</v>
      </c>
      <c r="U948" s="57">
        <v>1</v>
      </c>
      <c r="V948" s="58"/>
      <c r="W948" s="58"/>
      <c r="X948" s="78">
        <v>0.17</v>
      </c>
      <c r="Y948" s="30">
        <f>IF(AG948="None",0,IF(AG948="Fix5",0.05, IF(AG948="Fix6.25",0.0625,IF(AG948="Fix3.75",0.0375,IF(AG948="Fix10",0.1,IF(AG948="Fix3",0.03,0))))))</f>
        <v>0</v>
      </c>
      <c r="Z948" s="35">
        <f>T948-AA948-AB948</f>
        <v>3663.62</v>
      </c>
      <c r="AA948" s="29">
        <f>IF(AD948="EUR",((T948-R948)*X948)*U948+(R948*X948),(T948*X948))</f>
        <v>750.38000000000011</v>
      </c>
      <c r="AB948" s="36">
        <f>IF(AD948="EUR",((T948-R948)*Y948)*U948+(R948*Y948),(T948*Y948))</f>
        <v>0</v>
      </c>
      <c r="AC948" s="37" t="b">
        <v>1</v>
      </c>
      <c r="AD948" s="61" t="s">
        <v>38</v>
      </c>
      <c r="AE948" s="61" t="s">
        <v>38</v>
      </c>
      <c r="AF948" s="37" t="str">
        <f t="array" ref="AF948">INDEX('Deal Info'!D:D, MATCH(A948,'Deal Info'!A:A, 0))</f>
        <v>DoEV</v>
      </c>
      <c r="AG948" s="38" t="str">
        <f t="array" ref="AG948">INDEX('Deal Info'!G:G, MATCH(A948,'Deal Info'!A:A, 0))</f>
        <v>None</v>
      </c>
    </row>
    <row r="949" spans="1:33" ht="14.25" x14ac:dyDescent="0.2">
      <c r="A949" s="18" t="str">
        <f t="array" ref="A949">IF(G949='Room Info'!$B$1, INDEX('Room Info'!$A$2:$A2446, MATCH(B949,'Room Info'!$B$2:$B2446, 0)),IF(G949='Room Info'!$C$1, INDEX('Room Info'!$A$2:$A2446, MATCH(B949,'Room Info'!$C$2:$C2446, 0)),IF(G949='Room Info'!$D$1, INDEX('Room Info'!$A$2:$A2446, MATCH(B949,'Room Info'!$D$2:$D2446, 0)),IF(G949='Room Info'!$E$1, INDEX('Room Info'!$A$2:$A2446, MATCH(B949,'Room Info'!$E$2:$E2446, 0)),IF(G949='Room Info'!$F$1, INDEX('Room Info'!$A$2:$A2446, MATCH(B949,'Room Info'!$F$2:$F2446, 0)),IF(G949='Room Info'!$H$1, INDEX('Room Info'!$A$2:$A2446, MATCH(B949,'Room Info'!$H$2:$H2446, 0)),IF(G949='Room Info'!$G$1, INDEX('Room Info'!$A$2:$A2446, MATCH(B949,'Room Info'!$G$2:$G2446, 0)))))))))</f>
        <v>fortunate773</v>
      </c>
      <c r="B949" s="45" t="s">
        <v>95</v>
      </c>
      <c r="C949" s="46">
        <v>44916</v>
      </c>
      <c r="D949" s="46">
        <v>44957</v>
      </c>
      <c r="E949" s="47">
        <v>44927</v>
      </c>
      <c r="F949" s="48" t="s">
        <v>49</v>
      </c>
      <c r="G949" s="45" t="s">
        <v>61</v>
      </c>
      <c r="H949" s="49" t="s">
        <v>67</v>
      </c>
      <c r="I949" s="49" t="s">
        <v>68</v>
      </c>
      <c r="J949" s="70">
        <v>500</v>
      </c>
      <c r="K949" s="71">
        <v>1</v>
      </c>
      <c r="L949" s="135">
        <v>-500</v>
      </c>
      <c r="M949" s="53">
        <v>6</v>
      </c>
      <c r="N949" s="28">
        <f>K949*J949</f>
        <v>500</v>
      </c>
      <c r="O949" s="129">
        <v>-58</v>
      </c>
      <c r="P949" s="29">
        <v>-58</v>
      </c>
      <c r="Q949" s="55"/>
      <c r="R949" s="31">
        <f>M949+Q949</f>
        <v>6</v>
      </c>
      <c r="S949" s="97">
        <v>-127</v>
      </c>
      <c r="T949" s="32">
        <f>R949+S949+IF(F949="Without EV deal",L949,0)</f>
        <v>-121</v>
      </c>
      <c r="U949" s="57">
        <v>1</v>
      </c>
      <c r="V949" s="58"/>
      <c r="W949" s="58"/>
      <c r="X949" s="78">
        <f>IF(AF949="DoEV",IF(AND(V949&lt;20,W949&lt;55),0.3,0)+IF(AND(V949&lt;20,W949&gt;=55,W949&lt;105),0.23,0)+IF(AND(V949&lt;20,W949&gt;=105),0.17,0)+IF(AND(V949&gt;=20,V949&lt;40,W949&lt;45),0.3,0)+IF(AND(V949&gt;=20,V949&lt;40,W949&gt;=45,W949&lt;95),0.23,0)+IF(AND(V949&gt;=20,V949&lt;40,W949&gt;=95),0.17,0)+IF(AND(V949&gt;=40,V949&lt;75,W949&lt;35),0.3,0)+IF(AND(V949&gt;=40,V949&lt;75,W949&gt;=35,W949&lt;75),0.23,0)+IF(AND(V949&gt;=40,V949&lt;75,W949&gt;=75,W949&lt;120),0.17,0)+IF(AND(V949&gt;=40,V949&lt;75,W949&gt;=120),0.12,0)+IF(AND(V949&gt;=75,V949&lt;175,W949&lt;35),0.3,0)+IF(AND(V949&gt;=75,V949&lt;=175,W949&gt;=35,W949&lt;65),0.23,0)+IF(AND(V949&gt;=75,V949&lt;=175,W949&gt;=65,W949&lt;110),0.17,0)+IF(AND(V949&gt;=75,V949&lt;=175,W949&gt;=110),0.12,0)+IF(AND(V949&gt;175,W949&lt;25),0.3,0)+IF(AND(V949&gt;175,W949&gt;=25,W949&lt;55),0.23,0)+IF(AND(V949&gt;175,W949&gt;=55,W949&lt;95),0.17,0)+IF(AND(V949&gt;175,W949&gt;=95),0.12,0),
IF(AF949="Fix15",0.15,
IF(AF949="Fix11.25",0.1125,
IF(AF949="Fix10",0.1,
IF(AF949="Fix9",0.09,
IF(AF949="DoEV2017",IF(AND(W949&lt;74),0.2,0)+IF(AND(W949&gt;=74),0.17,0),
IF(AF949="SF",IF(AND(V949&lt;20,W949&lt;89),0.3,0)+IF(AND(V949&lt;20,W949&gt;=89),0.25,0)+IF(AND(V949&gt;=20,V949&lt;40,W949&lt;74),0.3,0)+IF(AND(V949&gt;=20,V949&lt;40,W949&gt;=75),0.22,0)+IF(AND(V949&gt;=40,V949&lt;75,W949&lt;75),0.26,0)+IF(AND(V949&gt;=40,V949&lt;75,W949&gt;=75),0.22,0)+IF(V949&gt;=75,0.22,0),
IF(AF949="DoEVold",IF(AND(V949&lt;40,W949&lt;35),0.35,0)+IF(AND(V949&lt;40,W949&gt;=35,W949&lt;75),0.25,0)+IF(AND(V949&lt;40,W949&gt;=75),0.17,0)+IF(AND(V949&gt;=40,V949&lt;75,W949&lt;25),0.35,0)+IF(AND(V949&gt;=40,V949&lt;75,W949&gt;=25,W949&lt;65),0.25,0)+IF(AND(V949&gt;=40,V949&lt;75,W949&gt;=65,W949&lt;100),0.17,0)+IF(AND(V949&gt;=40,V949&lt;75,W949&gt;=100),0.1,0)+IF(AND(V949&gt;=75,W949&lt;25),0.35,0)+IF(AND(V949&gt;=75,W949&gt;=25,W949&lt;60),0.25,0)+IF(AND(V949&gt;=75,W949&gt;=60,W949&lt;95),0.17,0)+IF(AND(V949&gt;=75,W949&gt;=95),0.1,0),
IF(AF949="DoEVold15",IF(AND(V949&lt;=40,W949&lt;35),0.35,0)+IF(AND(V949&lt;=40,W949&gt;=35,W949&lt;75),0.25,0)+IF(AND(V949&lt;=40,W949&gt;=75,W949&lt;120),0.17,0)+IF(AND(V949&lt;=40,W949&gt;=120),0.15,0)+IF(AND(V949&gt;40,V949&lt;75,W949&lt;25),0.35,0)+IF(AND(V949&gt;=40,V949&lt;75,W949&gt;=25,W949&lt;65),0.25,0)+IF(AND(V949&gt;=40,V949&lt;75,W949&gt;=65,W949&lt;100),0.17,0)+IF(AND(V949&gt;=40,V949&lt;75,W949&gt;=100),0.1,0)+IF(AND(V949&gt;=75,W949&lt;25),0.35,0)+IF(AND(V949&gt;=75,W949&gt;=25,W949&lt;60),0.25,0)+IF(AND(V949&gt;=75,W949&gt;=60,W949&lt;95),0.17,0)+IF(AND(V949&gt;=75,W949&gt;=95),0.1,0),
IF(AF949="DoEVba",IF(AND(V949&lt;20,W949&lt;105),0.2,0)+IF(AND(V949&lt;20,W949&gt;=105),0.15,0)+IF(AND(V949&gt;=20,V949&lt;40,W949&lt;95),0.2,0)+IF(AND(V949&gt;=20,V949&lt;40,W949&gt;=95,W949&lt;150),0.15,0)+IF(AND(V949&gt;=20,V949&lt;40,W949&gt;=150),0.12,0)+IF(AND(V949&gt;=40,V949&lt;75,W949&lt;75),0.2,0)+IF(AND(V949&gt;=40,V949&lt;75,W949&gt;=75,W949&lt;120),0.15,0)+IF(AND(V949&gt;=40,V949&lt;75,W949&gt;=120),0.12,0)+IF(AND(V949&gt;=75,V949&lt;175,W949&lt;65),0.2,0)+IF(AND(V949&gt;=75,V949&lt;175,W949&gt;=65,W949&lt;110),0.15,0)+IF(AND(V949&gt;=75,V949&lt;175,W949&gt;=110),0.12,0)+IF(AND(V949&gt;=175,W949&lt;55),0.2,0)+IF(AND(V949&gt;=175,W949&gt;=55,W949&lt;95),0.15,0)+IF(AND(V949&gt;=175,W949&gt;=95),0.12,0),
IF(AF949="DoEVku",IF(AND(V949&lt;20,W949&lt;55),0.23,0)+IF(AND(V949&lt;20,W949&gt;=55,W949&lt;105),0.2,0)+IF(AND(V949&lt;20,W949&gt;=105),0.17,0)+IF(AND(V949&gt;=20,V949&lt;40,W949&lt;45),0.23,0)+IF(AND(V949&gt;=20,V949&lt;40,W949&gt;=45,W949&lt;95),0.2,0)+IF(AND(V949&gt;=20,V949&lt;40,W949&gt;=95,W949&lt;=150),0.17,0)+IF(AND(V949&gt;=20,V949&lt;40,W949&gt;=150),0.12,0)+IF(AND(V949&gt;=40,V949&lt;75,W949&lt;35),0.23,0)+IF(AND(V949&gt;=40,V949&lt;75,W949&gt;=35,W949&lt;75),0.2,0)+IF(AND(V949&gt;=40,V949&lt;75,W949&gt;=75,W949&lt;120),0.17,0)+IF(AND(V949&gt;=40,V949&lt;75,W949&gt;=120),0.12,0)+IF(AND(V949&gt;=75,V949&lt;175,W949&lt;35),0.23,0)+IF(AND(V949&gt;=75,V949&lt;=175,W949&gt;=35,W949&lt;65),0.2,0)+IF(AND(V949&gt;=75,V949&lt;=175,W949&gt;=65,W949&lt;110),0.17,0)+IF(AND(V949&gt;=75,V949&lt;=175,W949&gt;=110),0.12,0)+IF(AND(V949&gt;175,W949&lt;25),0.23,0)+IF(AND(V949&gt;175,W949&gt;=25,W949&lt;55),0.2,0)+IF(AND(V949&gt;175,W949&gt;=55,W949&lt;95),0.17,0)+IF(AND(V949&gt;175,W949&gt;=95),0.12,0),
IF(AF949="DoEVs1",IF(AND(V949&lt;20,W949&lt;55),0.3,0)+IF(AND(V949&lt;20,W949&gt;=55,W949&lt;105),0.23,0)+IF(AND(V949&lt;20,W949&gt;=105),0.17,0)+IF(AND(V949&gt;=20,V949&lt;40,W949&lt;45),0.3,0)+IF(AND(V949&gt;=20,V949&lt;40,W949&gt;=45,W949&lt;95),0.23,0)+IF(AND(V949&gt;=20,V949&lt;40,W949&gt;=95,W949&lt;=150),0.17,0)+IF(AND(V949&gt;=20,V949&lt;40,W949&gt;=150),0.12,0)+IF(AND(V949&gt;=40,V949&lt;75,W949&lt;35),0.3,0)+IF(AND(V949&gt;=40,V949&lt;75,W949&gt;=35,W949&lt;75),0.23,0)+IF(AND(V949&gt;=40,V949&lt;75,W949&gt;=75,W949&lt;120),0.17,0)+IF(AND(V949&gt;=40,V949&lt;75,W949&gt;=120),0.12,0)+IF(AND(V949&gt;=75,V949&lt;175,W949&lt;35),0.3,0)+IF(AND(V949&gt;=75,V949&lt;=175,W949&gt;=35,W949&lt;65),0.23,0)+IF(AND(V949&gt;=75,V949&lt;=175,W949&gt;=65,W949&lt;110),0.17,0)+IF(AND(V949&gt;=75,V949&lt;=175,W949&gt;=110),0.12,0)+IF(AND(V949&gt;175,W949&lt;25),0.3,0)+IF(AND(V949&gt;175,W949&gt;=25,W949&lt;55),0.23,0)+IF(AND(V949&gt;175,W949&gt;=55,W949&lt;95),0.17,0)+IF(AND(V949&gt;175,W949&gt;=95),0.12,0),
IF(AF949="DoEVsu",IF(AND(V949&lt;20,W949&lt;55),0.3,0)+IF(AND(V949&lt;20,W949&gt;=55,W949&lt;105),0.23,0)+IF(AND(V949&lt;20,W949&gt;=105),0.17,0)+IF(AND(V949&gt;=20,V949&lt;40,W949&lt;45),0.3,0)+IF(AND(V949&gt;=20,V949&lt;40,W949&gt;=45,W949&lt;95),0.23,0)+IF(AND(V949&gt;=20,V949&lt;40,W949&gt;=95,W949&lt;=250),0.17,0)+IF(AND(V949&gt;=20,V949&lt;40,W949&gt;=250),0.12,0)+IF(AND(V949&gt;=40,V949&lt;75,W949&lt;35),0.3,0)+IF(AND(V949&gt;=40,V949&lt;75,W949&gt;=35,W949&lt;75),0.23,0)+IF(AND(V949&gt;=40,V949&lt;75,W949&gt;=75,W949&lt;120),0.17,0)+IF(AND(V949&gt;=40,V949&lt;75,W949&gt;=120),0.12,0)+IF(AND(V949&gt;=75,V949&lt;175,W949&lt;35),0.3,0)+IF(AND(V949&gt;=75,V949&lt;=175,W949&gt;=35,W949&lt;65),0.23,0)+IF(AND(V949&gt;=75,V949&lt;=175,W949&gt;=65,W949&lt;110),0.17,0)+IF(AND(V949&gt;=75,V949&lt;=175,W949&gt;=110),0.12,0)+IF(AND(V949&gt;175,W949&lt;25),0.3,0)+IF(AND(V949&gt;175,W949&gt;=25,W949&lt;55),0.23,0)+IF(AND(V949&gt;175,W949&gt;=55,W949&lt;95),0.17,0)+IF(AND(V949&gt;175,W949&gt;=95),0.12,0),
IF(AF949="DoEVni",IF(AND(V949&lt;20,W949&lt;55),0.3,0)+IF(AND(V949&lt;20,W949&gt;=55,W949&lt;105),0.23,0)+IF(AND(V949&lt;20,W949&gt;=105),0.17,0)+IF(AND(V949&gt;=20,V949&lt;40,W949&lt;45),0.3,0)+IF(AND(V949&gt;=20,V949&lt;40,W949&gt;=45,W949&lt;95),0.23,0)+IF(AND(V949&gt;=20,V949&lt;40,W949&gt;=95,W949&lt;=200),0.17,0)+IF(AND(V949&gt;=20,V949&lt;40,W949&gt;=200),0.12,0)+IF(AND(V949&gt;=40,V949&lt;75,W949&lt;35),0.3,0)+IF(AND(V949&gt;=40,V949&lt;75,W949&gt;=35,W949&lt;75),0.23,0)+IF(AND(V949&gt;=40,V949&lt;75,W949&gt;=75,W949&lt;120),0.17,0)+IF(AND(V949&gt;=40,V949&lt;75,W949&gt;=120),0.12,0)+IF(AND(V949&gt;=75,V949&lt;175,W949&lt;35),0.3,0)+IF(AND(V949&gt;=75,V949&lt;=175,W949&gt;=35,W949&lt;65),0.23,0)+IF(AND(V949&gt;=75,V949&lt;=175,W949&gt;=65,W949&lt;110),0.17,0)+IF(AND(V949&gt;=75,V949&lt;=175,W949&gt;=110),0.12,0)+IF(AND(V949&gt;175,W949&lt;25),0.3,0)+IF(AND(V949&gt;175,W949&gt;=25,W949&lt;55),0.23,0)+IF(AND(V949&gt;175,W949&gt;=55,W949&lt;95),0.17,0)+IF(AND(V949&gt;175,W949&gt;=95),0.12,0),
IF(AF949="DoEVLo",IF(AND(V949&lt;20,W949&lt;55),0.25,0)+IF(AND(V949&lt;20,W949&gt;=55,W949&lt;105),0.2,0)+IF(AND(V949&lt;20,W949&gt;=105),0.15,0)+IF(AND(V949&gt;=20,V949&lt;40,W949&lt;45),0.25,0)+IF(AND(V949&gt;=20,V949&lt;40,W949&gt;=45,W949&lt;95),0.2,0)+IF(AND(V949&gt;=20,V949&lt;40,W949&gt;=95),0.15,0)+IF(AND(V949&gt;=40,V949&lt;75,W949&lt;35),0.25,0)+IF(AND(V949&gt;=40,V949&lt;75,W949&gt;=35,W949&lt;75),0.2,0)+IF(AND(V949&gt;=40,V949&lt;75,W949&gt;=75,W949&lt;120),0.15,0)+IF(AND(V949&gt;=40,V949&lt;75,W949&gt;=120),0.1,0)+IF(AND(V949&gt;=75,V949&lt;175,W949&lt;35),0.25,0)+IF(AND(V949&gt;=75,V949&lt;=175,W949&gt;=35,W949&lt;65),0.2,0)+IF(AND(V949&gt;=75,V949&lt;=175,W949&gt;=65,W949&lt;110),0.15,0)+IF(AND(V949&gt;=75,V949&lt;=175,W949&gt;=110),0.1,0)+IF(AND(V949&gt;175,W949&lt;25),0.25,0)+IF(AND(V949&gt;175,W949&gt;=25,W949&lt;55),0.2,0)+IF(AND(V949&gt;175,W949&gt;=55,W949&lt;95),0.15,0)+IF(AND(V949&gt;175,W949&gt;=95),0.1,0))))))))))))))))</f>
        <v>0.15</v>
      </c>
      <c r="Y949" s="30">
        <f>IF(AG949="None",0,IF(AG949="Fix5",0.05,IF(AG949="Fix3.75",0.0375,IF(AG949="Fix10",0.1,IF(AG949="Fix3",0.03,0)))))</f>
        <v>0.05</v>
      </c>
      <c r="Z949" s="35">
        <v>-97</v>
      </c>
      <c r="AA949" s="29">
        <v>-24</v>
      </c>
      <c r="AB949" s="36"/>
      <c r="AC949" s="37" t="b">
        <v>0</v>
      </c>
      <c r="AD949" s="61" t="s">
        <v>50</v>
      </c>
      <c r="AE949" s="61"/>
      <c r="AF949" s="37" t="str">
        <f t="array" ref="AF949">INDEX('Deal Info'!D:D, MATCH(A949,'Deal Info'!A:A, 0))</f>
        <v>Fix15</v>
      </c>
      <c r="AG949" s="38" t="str">
        <f t="array" ref="AG949">INDEX('Deal Info'!G:G, MATCH(A949,'Deal Info'!A:A, 0))</f>
        <v>Fix5</v>
      </c>
    </row>
    <row r="950" spans="1:33" ht="14.25" x14ac:dyDescent="0.2">
      <c r="A950" s="18" t="str">
        <f t="array" ref="A950">IF(G950='Room Info'!$B$1, INDEX('Room Info'!$A$2:$A2446, MATCH(B950,'Room Info'!$B$2:$B2446, 0)),IF(G950='Room Info'!$C$1, INDEX('Room Info'!$A$2:$A2446, MATCH(B950,'Room Info'!$C$2:$C2446, 0)),IF(G950='Room Info'!$D$1, INDEX('Room Info'!$A$2:$A2446, MATCH(B950,'Room Info'!$D$2:$D2446, 0)),IF(G950='Room Info'!$E$1, INDEX('Room Info'!$A$2:$A2446, MATCH(B950,'Room Info'!$E$2:$E2446, 0)),IF(G950='Room Info'!$F$1, INDEX('Room Info'!$A$2:$A2446, MATCH(B950,'Room Info'!$F$2:$F2446, 0)),IF(G950='Room Info'!$H$1, INDEX('Room Info'!$A$2:$A2446, MATCH(B950,'Room Info'!$H$2:$H2446, 0)),IF(G950='Room Info'!$G$1, INDEX('Room Info'!$A$2:$A2446, MATCH(B950,'Room Info'!$G$2:$G2446, 0)))))))))</f>
        <v>fortunate773</v>
      </c>
      <c r="B950" s="45" t="s">
        <v>95</v>
      </c>
      <c r="C950" s="46">
        <v>44916</v>
      </c>
      <c r="D950" s="46">
        <v>44957</v>
      </c>
      <c r="E950" s="47">
        <v>44927</v>
      </c>
      <c r="F950" s="48" t="s">
        <v>49</v>
      </c>
      <c r="G950" s="65" t="s">
        <v>61</v>
      </c>
      <c r="H950" s="49" t="s">
        <v>100</v>
      </c>
      <c r="I950" s="49" t="s">
        <v>101</v>
      </c>
      <c r="J950" s="50">
        <v>500</v>
      </c>
      <c r="K950" s="51">
        <v>259</v>
      </c>
      <c r="L950" s="52">
        <v>-1000</v>
      </c>
      <c r="M950" s="53">
        <v>0</v>
      </c>
      <c r="N950" s="28">
        <f>K950*J950</f>
        <v>129500</v>
      </c>
      <c r="O950" s="54">
        <v>1817</v>
      </c>
      <c r="P950" s="29">
        <v>7.0154440149999999</v>
      </c>
      <c r="Q950" s="55"/>
      <c r="R950" s="31">
        <f>M950+Q950</f>
        <v>0</v>
      </c>
      <c r="S950" s="66">
        <v>-8182</v>
      </c>
      <c r="T950" s="32">
        <f>R950+S950+IF(F950="Without EV deal",L950,0)</f>
        <v>-8182</v>
      </c>
      <c r="U950" s="57">
        <v>1</v>
      </c>
      <c r="V950" s="58"/>
      <c r="W950" s="58"/>
      <c r="X950" s="78">
        <f>IF(AF950="DoEV",IF(AND(V950&lt;20,W950&lt;55),0.3,0)+IF(AND(V950&lt;20,W950&gt;=55,W950&lt;105),0.23,0)+IF(AND(V950&lt;20,W950&gt;=105),0.17,0)+IF(AND(V950&gt;=20,V950&lt;40,W950&lt;45),0.3,0)+IF(AND(V950&gt;=20,V950&lt;40,W950&gt;=45,W950&lt;95),0.23,0)+IF(AND(V950&gt;=20,V950&lt;40,W950&gt;=95),0.17,0)+IF(AND(V950&gt;=40,V950&lt;75,W950&lt;35),0.3,0)+IF(AND(V950&gt;=40,V950&lt;75,W950&gt;=35,W950&lt;75),0.23,0)+IF(AND(V950&gt;=40,V950&lt;75,W950&gt;=75,W950&lt;120),0.17,0)+IF(AND(V950&gt;=40,V950&lt;75,W950&gt;=120),0.12,0)+IF(AND(V950&gt;=75,V950&lt;175,W950&lt;35),0.3,0)+IF(AND(V950&gt;=75,V950&lt;=175,W950&gt;=35,W950&lt;65),0.23,0)+IF(AND(V950&gt;=75,V950&lt;=175,W950&gt;=65,W950&lt;110),0.17,0)+IF(AND(V950&gt;=75,V950&lt;=175,W950&gt;=110),0.12,0)+IF(AND(V950&gt;175,W950&lt;25),0.3,0)+IF(AND(V950&gt;175,W950&gt;=25,W950&lt;55),0.23,0)+IF(AND(V950&gt;175,W950&gt;=55,W950&lt;95),0.17,0)+IF(AND(V950&gt;175,W950&gt;=95),0.12,0),
IF(AF950="Fix15",0.15,
IF(AF950="Fix11.25",0.1125,
IF(AF950="Fix10",0.1,
IF(AF950="Fix9",0.09,
IF(AF950="DoEV2017",IF(AND(W950&lt;74),0.2,0)+IF(AND(W950&gt;=74),0.17,0),
IF(AF950="SF",IF(AND(V950&lt;20,W950&lt;89),0.3,0)+IF(AND(V950&lt;20,W950&gt;=89),0.25,0)+IF(AND(V950&gt;=20,V950&lt;40,W950&lt;74),0.3,0)+IF(AND(V950&gt;=20,V950&lt;40,W950&gt;=75),0.22,0)+IF(AND(V950&gt;=40,V950&lt;75,W950&lt;75),0.26,0)+IF(AND(V950&gt;=40,V950&lt;75,W950&gt;=75),0.22,0)+IF(V950&gt;=75,0.22,0),
IF(AF950="DoEVold",IF(AND(V950&lt;40,W950&lt;35),0.35,0)+IF(AND(V950&lt;40,W950&gt;=35,W950&lt;75),0.25,0)+IF(AND(V950&lt;40,W950&gt;=75),0.17,0)+IF(AND(V950&gt;=40,V950&lt;75,W950&lt;25),0.35,0)+IF(AND(V950&gt;=40,V950&lt;75,W950&gt;=25,W950&lt;65),0.25,0)+IF(AND(V950&gt;=40,V950&lt;75,W950&gt;=65,W950&lt;100),0.17,0)+IF(AND(V950&gt;=40,V950&lt;75,W950&gt;=100),0.1,0)+IF(AND(V950&gt;=75,W950&lt;25),0.35,0)+IF(AND(V950&gt;=75,W950&gt;=25,W950&lt;60),0.25,0)+IF(AND(V950&gt;=75,W950&gt;=60,W950&lt;95),0.17,0)+IF(AND(V950&gt;=75,W950&gt;=95),0.1,0),
IF(AF950="DoEVold15",IF(AND(V950&lt;=40,W950&lt;35),0.35,0)+IF(AND(V950&lt;=40,W950&gt;=35,W950&lt;75),0.25,0)+IF(AND(V950&lt;=40,W950&gt;=75,W950&lt;120),0.17,0)+IF(AND(V950&lt;=40,W950&gt;=120),0.15,0)+IF(AND(V950&gt;40,V950&lt;75,W950&lt;25),0.35,0)+IF(AND(V950&gt;=40,V950&lt;75,W950&gt;=25,W950&lt;65),0.25,0)+IF(AND(V950&gt;=40,V950&lt;75,W950&gt;=65,W950&lt;100),0.17,0)+IF(AND(V950&gt;=40,V950&lt;75,W950&gt;=100),0.1,0)+IF(AND(V950&gt;=75,W950&lt;25),0.35,0)+IF(AND(V950&gt;=75,W950&gt;=25,W950&lt;60),0.25,0)+IF(AND(V950&gt;=75,W950&gt;=60,W950&lt;95),0.17,0)+IF(AND(V950&gt;=75,W950&gt;=95),0.1,0),
IF(AF950="DoEVba",IF(AND(V950&lt;20,W950&lt;105),0.2,0)+IF(AND(V950&lt;20,W950&gt;=105),0.15,0)+IF(AND(V950&gt;=20,V950&lt;40,W950&lt;95),0.2,0)+IF(AND(V950&gt;=20,V950&lt;40,W950&gt;=95,W950&lt;150),0.15,0)+IF(AND(V950&gt;=20,V950&lt;40,W950&gt;=150),0.12,0)+IF(AND(V950&gt;=40,V950&lt;75,W950&lt;75),0.2,0)+IF(AND(V950&gt;=40,V950&lt;75,W950&gt;=75,W950&lt;120),0.15,0)+IF(AND(V950&gt;=40,V950&lt;75,W950&gt;=120),0.12,0)+IF(AND(V950&gt;=75,V950&lt;175,W950&lt;65),0.2,0)+IF(AND(V950&gt;=75,V950&lt;175,W950&gt;=65,W950&lt;110),0.15,0)+IF(AND(V950&gt;=75,V950&lt;175,W950&gt;=110),0.12,0)+IF(AND(V950&gt;=175,W950&lt;55),0.2,0)+IF(AND(V950&gt;=175,W950&gt;=55,W950&lt;95),0.15,0)+IF(AND(V950&gt;=175,W950&gt;=95),0.12,0),
IF(AF950="DoEVku",IF(AND(V950&lt;20,W950&lt;55),0.23,0)+IF(AND(V950&lt;20,W950&gt;=55,W950&lt;105),0.2,0)+IF(AND(V950&lt;20,W950&gt;=105),0.17,0)+IF(AND(V950&gt;=20,V950&lt;40,W950&lt;45),0.23,0)+IF(AND(V950&gt;=20,V950&lt;40,W950&gt;=45,W950&lt;95),0.2,0)+IF(AND(V950&gt;=20,V950&lt;40,W950&gt;=95,W950&lt;=150),0.17,0)+IF(AND(V950&gt;=20,V950&lt;40,W950&gt;=150),0.12,0)+IF(AND(V950&gt;=40,V950&lt;75,W950&lt;35),0.23,0)+IF(AND(V950&gt;=40,V950&lt;75,W950&gt;=35,W950&lt;75),0.2,0)+IF(AND(V950&gt;=40,V950&lt;75,W950&gt;=75,W950&lt;120),0.17,0)+IF(AND(V950&gt;=40,V950&lt;75,W950&gt;=120),0.12,0)+IF(AND(V950&gt;=75,V950&lt;175,W950&lt;35),0.23,0)+IF(AND(V950&gt;=75,V950&lt;=175,W950&gt;=35,W950&lt;65),0.2,0)+IF(AND(V950&gt;=75,V950&lt;=175,W950&gt;=65,W950&lt;110),0.17,0)+IF(AND(V950&gt;=75,V950&lt;=175,W950&gt;=110),0.12,0)+IF(AND(V950&gt;175,W950&lt;25),0.23,0)+IF(AND(V950&gt;175,W950&gt;=25,W950&lt;55),0.2,0)+IF(AND(V950&gt;175,W950&gt;=55,W950&lt;95),0.17,0)+IF(AND(V950&gt;175,W950&gt;=95),0.12,0),
IF(AF950="DoEVs1",IF(AND(V950&lt;20,W950&lt;55),0.3,0)+IF(AND(V950&lt;20,W950&gt;=55,W950&lt;105),0.23,0)+IF(AND(V950&lt;20,W950&gt;=105),0.17,0)+IF(AND(V950&gt;=20,V950&lt;40,W950&lt;45),0.3,0)+IF(AND(V950&gt;=20,V950&lt;40,W950&gt;=45,W950&lt;95),0.23,0)+IF(AND(V950&gt;=20,V950&lt;40,W950&gt;=95,W950&lt;=150),0.17,0)+IF(AND(V950&gt;=20,V950&lt;40,W950&gt;=150),0.12,0)+IF(AND(V950&gt;=40,V950&lt;75,W950&lt;35),0.3,0)+IF(AND(V950&gt;=40,V950&lt;75,W950&gt;=35,W950&lt;75),0.23,0)+IF(AND(V950&gt;=40,V950&lt;75,W950&gt;=75,W950&lt;120),0.17,0)+IF(AND(V950&gt;=40,V950&lt;75,W950&gt;=120),0.12,0)+IF(AND(V950&gt;=75,V950&lt;175,W950&lt;35),0.3,0)+IF(AND(V950&gt;=75,V950&lt;=175,W950&gt;=35,W950&lt;65),0.23,0)+IF(AND(V950&gt;=75,V950&lt;=175,W950&gt;=65,W950&lt;110),0.17,0)+IF(AND(V950&gt;=75,V950&lt;=175,W950&gt;=110),0.12,0)+IF(AND(V950&gt;175,W950&lt;25),0.3,0)+IF(AND(V950&gt;175,W950&gt;=25,W950&lt;55),0.23,0)+IF(AND(V950&gt;175,W950&gt;=55,W950&lt;95),0.17,0)+IF(AND(V950&gt;175,W950&gt;=95),0.12,0),
IF(AF950="DoEVsu",IF(AND(V950&lt;20,W950&lt;55),0.3,0)+IF(AND(V950&lt;20,W950&gt;=55,W950&lt;105),0.23,0)+IF(AND(V950&lt;20,W950&gt;=105),0.17,0)+IF(AND(V950&gt;=20,V950&lt;40,W950&lt;45),0.3,0)+IF(AND(V950&gt;=20,V950&lt;40,W950&gt;=45,W950&lt;95),0.23,0)+IF(AND(V950&gt;=20,V950&lt;40,W950&gt;=95,W950&lt;=250),0.17,0)+IF(AND(V950&gt;=20,V950&lt;40,W950&gt;=250),0.12,0)+IF(AND(V950&gt;=40,V950&lt;75,W950&lt;35),0.3,0)+IF(AND(V950&gt;=40,V950&lt;75,W950&gt;=35,W950&lt;75),0.23,0)+IF(AND(V950&gt;=40,V950&lt;75,W950&gt;=75,W950&lt;120),0.17,0)+IF(AND(V950&gt;=40,V950&lt;75,W950&gt;=120),0.12,0)+IF(AND(V950&gt;=75,V950&lt;175,W950&lt;35),0.3,0)+IF(AND(V950&gt;=75,V950&lt;=175,W950&gt;=35,W950&lt;65),0.23,0)+IF(AND(V950&gt;=75,V950&lt;=175,W950&gt;=65,W950&lt;110),0.17,0)+IF(AND(V950&gt;=75,V950&lt;=175,W950&gt;=110),0.12,0)+IF(AND(V950&gt;175,W950&lt;25),0.3,0)+IF(AND(V950&gt;175,W950&gt;=25,W950&lt;55),0.23,0)+IF(AND(V950&gt;175,W950&gt;=55,W950&lt;95),0.17,0)+IF(AND(V950&gt;175,W950&gt;=95),0.12,0),
IF(AF950="DoEVni",IF(AND(V950&lt;20,W950&lt;55),0.3,0)+IF(AND(V950&lt;20,W950&gt;=55,W950&lt;105),0.23,0)+IF(AND(V950&lt;20,W950&gt;=105),0.17,0)+IF(AND(V950&gt;=20,V950&lt;40,W950&lt;45),0.3,0)+IF(AND(V950&gt;=20,V950&lt;40,W950&gt;=45,W950&lt;95),0.23,0)+IF(AND(V950&gt;=20,V950&lt;40,W950&gt;=95,W950&lt;=200),0.17,0)+IF(AND(V950&gt;=20,V950&lt;40,W950&gt;=200),0.12,0)+IF(AND(V950&gt;=40,V950&lt;75,W950&lt;35),0.3,0)+IF(AND(V950&gt;=40,V950&lt;75,W950&gt;=35,W950&lt;75),0.23,0)+IF(AND(V950&gt;=40,V950&lt;75,W950&gt;=75,W950&lt;120),0.17,0)+IF(AND(V950&gt;=40,V950&lt;75,W950&gt;=120),0.12,0)+IF(AND(V950&gt;=75,V950&lt;175,W950&lt;35),0.3,0)+IF(AND(V950&gt;=75,V950&lt;=175,W950&gt;=35,W950&lt;65),0.23,0)+IF(AND(V950&gt;=75,V950&lt;=175,W950&gt;=65,W950&lt;110),0.17,0)+IF(AND(V950&gt;=75,V950&lt;=175,W950&gt;=110),0.12,0)+IF(AND(V950&gt;175,W950&lt;25),0.3,0)+IF(AND(V950&gt;175,W950&gt;=25,W950&lt;55),0.23,0)+IF(AND(V950&gt;175,W950&gt;=55,W950&lt;95),0.17,0)+IF(AND(V950&gt;175,W950&gt;=95),0.12,0),
IF(AF950="DoEVLo",IF(AND(V950&lt;20,W950&lt;55),0.25,0)+IF(AND(V950&lt;20,W950&gt;=55,W950&lt;105),0.2,0)+IF(AND(V950&lt;20,W950&gt;=105),0.15,0)+IF(AND(V950&gt;=20,V950&lt;40,W950&lt;45),0.25,0)+IF(AND(V950&gt;=20,V950&lt;40,W950&gt;=45,W950&lt;95),0.2,0)+IF(AND(V950&gt;=20,V950&lt;40,W950&gt;=95),0.15,0)+IF(AND(V950&gt;=40,V950&lt;75,W950&lt;35),0.25,0)+IF(AND(V950&gt;=40,V950&lt;75,W950&gt;=35,W950&lt;75),0.2,0)+IF(AND(V950&gt;=40,V950&lt;75,W950&gt;=75,W950&lt;120),0.15,0)+IF(AND(V950&gt;=40,V950&lt;75,W950&gt;=120),0.1,0)+IF(AND(V950&gt;=75,V950&lt;175,W950&lt;35),0.25,0)+IF(AND(V950&gt;=75,V950&lt;=175,W950&gt;=35,W950&lt;65),0.2,0)+IF(AND(V950&gt;=75,V950&lt;=175,W950&gt;=65,W950&lt;110),0.15,0)+IF(AND(V950&gt;=75,V950&lt;=175,W950&gt;=110),0.1,0)+IF(AND(V950&gt;175,W950&lt;25),0.25,0)+IF(AND(V950&gt;175,W950&gt;=25,W950&lt;55),0.2,0)+IF(AND(V950&gt;175,W950&gt;=55,W950&lt;95),0.15,0)+IF(AND(V950&gt;175,W950&gt;=95),0.1,0))))))))))))))))</f>
        <v>0.15</v>
      </c>
      <c r="Y950" s="30">
        <f>IF(AG950="None",0,IF(AG950="Fix5",0.05,IF(AG950="Fix3.75",0.0375,IF(AG950="Fix10",0.1,IF(AG950="Fix3",0.03,0)))))</f>
        <v>0.05</v>
      </c>
      <c r="Z950" s="35">
        <v>-6546</v>
      </c>
      <c r="AA950" s="29">
        <v>-1636</v>
      </c>
      <c r="AB950" s="36"/>
      <c r="AC950" s="37" t="b">
        <v>0</v>
      </c>
      <c r="AD950" s="61" t="s">
        <v>50</v>
      </c>
      <c r="AE950" s="61"/>
      <c r="AF950" s="37" t="str">
        <f t="array" ref="AF950">INDEX('Deal Info'!D:D, MATCH(A950,'Deal Info'!A:A, 0))</f>
        <v>Fix15</v>
      </c>
      <c r="AG950" s="38" t="str">
        <f t="array" ref="AG950">INDEX('Deal Info'!G:G, MATCH(A950,'Deal Info'!A:A, 0))</f>
        <v>Fix5</v>
      </c>
    </row>
    <row r="951" spans="1:33" ht="14.25" x14ac:dyDescent="0.2">
      <c r="A951" s="18" t="str">
        <f t="array" ref="A951">IF(G951='Room Info'!$B$1, INDEX('Room Info'!$A$2:$A2446, MATCH(B951,'Room Info'!$B$2:$B2446, 0)),IF(G951='Room Info'!$C$1, INDEX('Room Info'!$A$2:$A2446, MATCH(B951,'Room Info'!$C$2:$C2446, 0)),IF(G951='Room Info'!$D$1, INDEX('Room Info'!$A$2:$A2446, MATCH(B951,'Room Info'!$D$2:$D2446, 0)),IF(G951='Room Info'!$E$1, INDEX('Room Info'!$A$2:$A2446, MATCH(B951,'Room Info'!$E$2:$E2446, 0)),IF(G951='Room Info'!$F$1, INDEX('Room Info'!$A$2:$A2446, MATCH(B951,'Room Info'!$F$2:$F2446, 0)),IF(G951='Room Info'!$H$1, INDEX('Room Info'!$A$2:$A2446, MATCH(B951,'Room Info'!$H$2:$H2446, 0)),IF(G951='Room Info'!$G$1, INDEX('Room Info'!$A$2:$A2446, MATCH(B951,'Room Info'!$G$2:$G2446, 0)))))))))</f>
        <v>Lo4io</v>
      </c>
      <c r="B951" s="45" t="s">
        <v>107</v>
      </c>
      <c r="C951" s="46">
        <v>44916</v>
      </c>
      <c r="D951" s="46">
        <v>44946</v>
      </c>
      <c r="E951" s="47">
        <v>44927</v>
      </c>
      <c r="F951" s="48" t="s">
        <v>34</v>
      </c>
      <c r="G951" s="65" t="s">
        <v>61</v>
      </c>
      <c r="H951" s="49" t="s">
        <v>108</v>
      </c>
      <c r="I951" s="49" t="s">
        <v>68</v>
      </c>
      <c r="J951" s="70">
        <v>50</v>
      </c>
      <c r="K951" s="71">
        <v>1</v>
      </c>
      <c r="L951" s="52">
        <v>54</v>
      </c>
      <c r="M951" s="53">
        <v>0</v>
      </c>
      <c r="N951" s="28">
        <f>K951*J951</f>
        <v>50</v>
      </c>
      <c r="O951" s="54">
        <v>453</v>
      </c>
      <c r="P951" s="29">
        <v>453</v>
      </c>
      <c r="Q951" s="55"/>
      <c r="R951" s="31">
        <f>M951+Q951</f>
        <v>0</v>
      </c>
      <c r="S951" s="66">
        <v>64</v>
      </c>
      <c r="T951" s="32">
        <f>R951+S951+IF(F951="Without EV deal",L951,0)</f>
        <v>64</v>
      </c>
      <c r="U951" s="57">
        <v>1.0860000000000001</v>
      </c>
      <c r="V951" s="58">
        <v>43.526543878656554</v>
      </c>
      <c r="W951" s="58">
        <v>93.735905413814564</v>
      </c>
      <c r="X951" s="78">
        <f>IF(AF951="DoEV",IF(AND(V951&lt;20,W951&lt;55),0.3,0)+IF(AND(V951&lt;20,W951&gt;=55,W951&lt;105),0.23,0)+IF(AND(V951&lt;20,W951&gt;=105),0.17,0)+IF(AND(V951&gt;=20,V951&lt;40,W951&lt;45),0.3,0)+IF(AND(V951&gt;=20,V951&lt;40,W951&gt;=45,W951&lt;95),0.23,0)+IF(AND(V951&gt;=20,V951&lt;40,W951&gt;=95),0.17,0)+IF(AND(V951&gt;=40,V951&lt;75,W951&lt;35),0.3,0)+IF(AND(V951&gt;=40,V951&lt;75,W951&gt;=35,W951&lt;75),0.23,0)+IF(AND(V951&gt;=40,V951&lt;75,W951&gt;=75,W951&lt;120),0.17,0)+IF(AND(V951&gt;=40,V951&lt;75,W951&gt;=120),0.12,0)+IF(AND(V951&gt;=75,V951&lt;175,W951&lt;35),0.3,0)+IF(AND(V951&gt;=75,V951&lt;=175,W951&gt;=35,W951&lt;65),0.23,0)+IF(AND(V951&gt;=75,V951&lt;=175,W951&gt;=65,W951&lt;110),0.17,0)+IF(AND(V951&gt;=75,V951&lt;=175,W951&gt;=110),0.12,0)+IF(AND(V951&gt;175,W951&lt;25),0.3,0)+IF(AND(V951&gt;175,W951&gt;=25,W951&lt;55),0.23,0)+IF(AND(V951&gt;175,W951&gt;=55,W951&lt;95),0.17,0)+IF(AND(V951&gt;175,W951&gt;=95),0.12,0),
IF(AF951="Fix15",0.15,
IF(AF951="Fix11.25",0.1125,
IF(AF951="Fix10",0.1,
IF(AF951="Fix9",0.09,
IF(AF951="DoEV2017",IF(AND(W951&lt;74),0.2,0)+IF(AND(W951&gt;=74),0.17,0),
IF(AF951="SF",IF(AND(V951&lt;20,W951&lt;89),0.3,0)+IF(AND(V951&lt;20,W951&gt;=89),0.25,0)+IF(AND(V951&gt;=20,V951&lt;40,W951&lt;74),0.3,0)+IF(AND(V951&gt;=20,V951&lt;40,W951&gt;=75),0.22,0)+IF(AND(V951&gt;=40,V951&lt;75,W951&lt;75),0.26,0)+IF(AND(V951&gt;=40,V951&lt;75,W951&gt;=75),0.22,0)+IF(V951&gt;=75,0.22,0),
IF(AF951="DoEVold",IF(AND(V951&lt;40,W951&lt;35),0.35,0)+IF(AND(V951&lt;40,W951&gt;=35,W951&lt;75),0.25,0)+IF(AND(V951&lt;40,W951&gt;=75),0.17,0)+IF(AND(V951&gt;=40,V951&lt;75,W951&lt;25),0.35,0)+IF(AND(V951&gt;=40,V951&lt;75,W951&gt;=25,W951&lt;65),0.25,0)+IF(AND(V951&gt;=40,V951&lt;75,W951&gt;=65,W951&lt;100),0.17,0)+IF(AND(V951&gt;=40,V951&lt;75,W951&gt;=100),0.1,0)+IF(AND(V951&gt;=75,W951&lt;25),0.35,0)+IF(AND(V951&gt;=75,W951&gt;=25,W951&lt;60),0.25,0)+IF(AND(V951&gt;=75,W951&gt;=60,W951&lt;95),0.17,0)+IF(AND(V951&gt;=75,W951&gt;=95),0.1,0),
IF(AF951="DoEVold15",IF(AND(V951&lt;=40,W951&lt;35),0.35,0)+IF(AND(V951&lt;=40,W951&gt;=35,W951&lt;75),0.25,0)+IF(AND(V951&lt;=40,W951&gt;=75,W951&lt;120),0.17,0)+IF(AND(V951&lt;=40,W951&gt;=120),0.15,0)+IF(AND(V951&gt;40,V951&lt;75,W951&lt;25),0.35,0)+IF(AND(V951&gt;=40,V951&lt;75,W951&gt;=25,W951&lt;65),0.25,0)+IF(AND(V951&gt;=40,V951&lt;75,W951&gt;=65,W951&lt;100),0.17,0)+IF(AND(V951&gt;=40,V951&lt;75,W951&gt;=100),0.1,0)+IF(AND(V951&gt;=75,W951&lt;25),0.35,0)+IF(AND(V951&gt;=75,W951&gt;=25,W951&lt;60),0.25,0)+IF(AND(V951&gt;=75,W951&gt;=60,W951&lt;95),0.17,0)+IF(AND(V951&gt;=75,W951&gt;=95),0.1,0),
IF(AF951="DoEVba",IF(AND(V951&lt;20,W951&lt;105),0.2,0)+IF(AND(V951&lt;20,W951&gt;=105),0.15,0)+IF(AND(V951&gt;=20,V951&lt;40,W951&lt;95),0.2,0)+IF(AND(V951&gt;=20,V951&lt;40,W951&gt;=95,W951&lt;150),0.15,0)+IF(AND(V951&gt;=20,V951&lt;40,W951&gt;=150),0.12,0)+IF(AND(V951&gt;=40,V951&lt;75,W951&lt;75),0.2,0)+IF(AND(V951&gt;=40,V951&lt;75,W951&gt;=75,W951&lt;120),0.15,0)+IF(AND(V951&gt;=40,V951&lt;75,W951&gt;=120),0.12,0)+IF(AND(V951&gt;=75,V951&lt;175,W951&lt;65),0.2,0)+IF(AND(V951&gt;=75,V951&lt;175,W951&gt;=65,W951&lt;110),0.15,0)+IF(AND(V951&gt;=75,V951&lt;175,W951&gt;=110),0.12,0)+IF(AND(V951&gt;=175,W951&lt;55),0.2,0)+IF(AND(V951&gt;=175,W951&gt;=55,W951&lt;95),0.15,0)+IF(AND(V951&gt;=175,W951&gt;=95),0.12,0),
IF(AF951="DoEVku",IF(AND(V951&lt;20,W951&lt;55),0.23,0)+IF(AND(V951&lt;20,W951&gt;=55,W951&lt;105),0.2,0)+IF(AND(V951&lt;20,W951&gt;=105),0.17,0)+IF(AND(V951&gt;=20,V951&lt;40,W951&lt;45),0.23,0)+IF(AND(V951&gt;=20,V951&lt;40,W951&gt;=45,W951&lt;95),0.2,0)+IF(AND(V951&gt;=20,V951&lt;40,W951&gt;=95,W951&lt;=150),0.17,0)+IF(AND(V951&gt;=20,V951&lt;40,W951&gt;=150),0.12,0)+IF(AND(V951&gt;=40,V951&lt;75,W951&lt;35),0.23,0)+IF(AND(V951&gt;=40,V951&lt;75,W951&gt;=35,W951&lt;75),0.2,0)+IF(AND(V951&gt;=40,V951&lt;75,W951&gt;=75,W951&lt;120),0.17,0)+IF(AND(V951&gt;=40,V951&lt;75,W951&gt;=120),0.12,0)+IF(AND(V951&gt;=75,V951&lt;175,W951&lt;35),0.23,0)+IF(AND(V951&gt;=75,V951&lt;=175,W951&gt;=35,W951&lt;65),0.2,0)+IF(AND(V951&gt;=75,V951&lt;=175,W951&gt;=65,W951&lt;110),0.17,0)+IF(AND(V951&gt;=75,V951&lt;=175,W951&gt;=110),0.12,0)+IF(AND(V951&gt;175,W951&lt;25),0.23,0)+IF(AND(V951&gt;175,W951&gt;=25,W951&lt;55),0.2,0)+IF(AND(V951&gt;175,W951&gt;=55,W951&lt;95),0.17,0)+IF(AND(V951&gt;175,W951&gt;=95),0.12,0),
IF(AF951="DoEVs1",IF(AND(V951&lt;20,W951&lt;55),0.3,0)+IF(AND(V951&lt;20,W951&gt;=55,W951&lt;105),0.23,0)+IF(AND(V951&lt;20,W951&gt;=105),0.17,0)+IF(AND(V951&gt;=20,V951&lt;40,W951&lt;45),0.3,0)+IF(AND(V951&gt;=20,V951&lt;40,W951&gt;=45,W951&lt;95),0.23,0)+IF(AND(V951&gt;=20,V951&lt;40,W951&gt;=95,W951&lt;=150),0.17,0)+IF(AND(V951&gt;=20,V951&lt;40,W951&gt;=150),0.12,0)+IF(AND(V951&gt;=40,V951&lt;75,W951&lt;35),0.3,0)+IF(AND(V951&gt;=40,V951&lt;75,W951&gt;=35,W951&lt;75),0.23,0)+IF(AND(V951&gt;=40,V951&lt;75,W951&gt;=75,W951&lt;120),0.17,0)+IF(AND(V951&gt;=40,V951&lt;75,W951&gt;=120),0.12,0)+IF(AND(V951&gt;=75,V951&lt;175,W951&lt;35),0.3,0)+IF(AND(V951&gt;=75,V951&lt;=175,W951&gt;=35,W951&lt;65),0.23,0)+IF(AND(V951&gt;=75,V951&lt;=175,W951&gt;=65,W951&lt;110),0.17,0)+IF(AND(V951&gt;=75,V951&lt;=175,W951&gt;=110),0.12,0)+IF(AND(V951&gt;175,W951&lt;25),0.3,0)+IF(AND(V951&gt;175,W951&gt;=25,W951&lt;55),0.23,0)+IF(AND(V951&gt;175,W951&gt;=55,W951&lt;95),0.17,0)+IF(AND(V951&gt;175,W951&gt;=95),0.12,0),
IF(AF951="DoEVsu",IF(AND(V951&lt;20,W951&lt;55),0.3,0)+IF(AND(V951&lt;20,W951&gt;=55,W951&lt;105),0.23,0)+IF(AND(V951&lt;20,W951&gt;=105),0.17,0)+IF(AND(V951&gt;=20,V951&lt;40,W951&lt;45),0.3,0)+IF(AND(V951&gt;=20,V951&lt;40,W951&gt;=45,W951&lt;95),0.23,0)+IF(AND(V951&gt;=20,V951&lt;40,W951&gt;=95,W951&lt;=250),0.17,0)+IF(AND(V951&gt;=20,V951&lt;40,W951&gt;=250),0.12,0)+IF(AND(V951&gt;=40,V951&lt;75,W951&lt;35),0.3,0)+IF(AND(V951&gt;=40,V951&lt;75,W951&gt;=35,W951&lt;75),0.23,0)+IF(AND(V951&gt;=40,V951&lt;75,W951&gt;=75,W951&lt;120),0.17,0)+IF(AND(V951&gt;=40,V951&lt;75,W951&gt;=120),0.12,0)+IF(AND(V951&gt;=75,V951&lt;175,W951&lt;35),0.3,0)+IF(AND(V951&gt;=75,V951&lt;=175,W951&gt;=35,W951&lt;65),0.23,0)+IF(AND(V951&gt;=75,V951&lt;=175,W951&gt;=65,W951&lt;110),0.17,0)+IF(AND(V951&gt;=75,V951&lt;=175,W951&gt;=110),0.12,0)+IF(AND(V951&gt;175,W951&lt;25),0.3,0)+IF(AND(V951&gt;175,W951&gt;=25,W951&lt;55),0.23,0)+IF(AND(V951&gt;175,W951&gt;=55,W951&lt;95),0.17,0)+IF(AND(V951&gt;175,W951&gt;=95),0.12,0),
IF(AF951="DoEVni",IF(AND(V951&lt;20,W951&lt;55),0.3,0)+IF(AND(V951&lt;20,W951&gt;=55,W951&lt;105),0.23,0)+IF(AND(V951&lt;20,W951&gt;=105),0.17,0)+IF(AND(V951&gt;=20,V951&lt;40,W951&lt;45),0.3,0)+IF(AND(V951&gt;=20,V951&lt;40,W951&gt;=45,W951&lt;95),0.23,0)+IF(AND(V951&gt;=20,V951&lt;40,W951&gt;=95,W951&lt;=200),0.17,0)+IF(AND(V951&gt;=20,V951&lt;40,W951&gt;=200),0.12,0)+IF(AND(V951&gt;=40,V951&lt;75,W951&lt;35),0.3,0)+IF(AND(V951&gt;=40,V951&lt;75,W951&gt;=35,W951&lt;75),0.23,0)+IF(AND(V951&gt;=40,V951&lt;75,W951&gt;=75,W951&lt;120),0.17,0)+IF(AND(V951&gt;=40,V951&lt;75,W951&gt;=120),0.12,0)+IF(AND(V951&gt;=75,V951&lt;175,W951&lt;35),0.3,0)+IF(AND(V951&gt;=75,V951&lt;=175,W951&gt;=35,W951&lt;65),0.23,0)+IF(AND(V951&gt;=75,V951&lt;=175,W951&gt;=65,W951&lt;110),0.17,0)+IF(AND(V951&gt;=75,V951&lt;=175,W951&gt;=110),0.12,0)+IF(AND(V951&gt;175,W951&lt;25),0.3,0)+IF(AND(V951&gt;175,W951&gt;=25,W951&lt;55),0.23,0)+IF(AND(V951&gt;175,W951&gt;=55,W951&lt;95),0.17,0)+IF(AND(V951&gt;175,W951&gt;=95),0.12,0),
IF(AF951="DoEVLo",IF(AND(V951&lt;20,W951&lt;55),0.25,0)+IF(AND(V951&lt;20,W951&gt;=55,W951&lt;105),0.2,0)+IF(AND(V951&lt;20,W951&gt;=105),0.15,0)+IF(AND(V951&gt;=20,V951&lt;40,W951&lt;45),0.25,0)+IF(AND(V951&gt;=20,V951&lt;40,W951&gt;=45,W951&lt;95),0.2,0)+IF(AND(V951&gt;=20,V951&lt;40,W951&gt;=95),0.15,0)+IF(AND(V951&gt;=40,V951&lt;75,W951&lt;35),0.25,0)+IF(AND(V951&gt;=40,V951&lt;75,W951&gt;=35,W951&lt;75),0.2,0)+IF(AND(V951&gt;=40,V951&lt;75,W951&gt;=75,W951&lt;120),0.15,0)+IF(AND(V951&gt;=40,V951&lt;75,W951&gt;=120),0.1,0)+IF(AND(V951&gt;=75,V951&lt;175,W951&lt;35),0.25,0)+IF(AND(V951&gt;=75,V951&lt;=175,W951&gt;=35,W951&lt;65),0.2,0)+IF(AND(V951&gt;=75,V951&lt;=175,W951&gt;=65,W951&lt;110),0.15,0)+IF(AND(V951&gt;=75,V951&lt;=175,W951&gt;=110),0.1,0)+IF(AND(V951&gt;175,W951&lt;25),0.25,0)+IF(AND(V951&gt;175,W951&gt;=25,W951&lt;55),0.2,0)+IF(AND(V951&gt;175,W951&gt;=55,W951&lt;95),0.15,0)+IF(AND(V951&gt;175,W951&gt;=95),0.1,0))))))))))))))))</f>
        <v>0.15</v>
      </c>
      <c r="Y951" s="30">
        <f>IF(AG951="None",0,IF(AG951="Fix5",0.05,IF(AG951="Fix3.75",0.0375,IF(AG951="Fix10",0.1,IF(AG951="Fix3",0.03,0)))))</f>
        <v>0</v>
      </c>
      <c r="Z951" s="35">
        <f>T951-AA951-AB951</f>
        <v>53.574399999999997</v>
      </c>
      <c r="AA951" s="29">
        <f>IF(AD951="EUR",((T951-R951)*X951)*U951+(R951*X951),(T951*X951))</f>
        <v>10.425600000000001</v>
      </c>
      <c r="AB951" s="36">
        <f>IF(AD951="EUR",((T951-R951)*Y951)*U951+(R951*Y951),(T951*Y951))</f>
        <v>0</v>
      </c>
      <c r="AC951" s="37" t="b">
        <v>1</v>
      </c>
      <c r="AD951" s="61" t="s">
        <v>50</v>
      </c>
      <c r="AE951" s="61"/>
      <c r="AF951" s="37" t="str">
        <f t="array" ref="AF951">INDEX('Deal Info'!D:D, MATCH(A951,'Deal Info'!A:A, 0))</f>
        <v>DoEVLo</v>
      </c>
      <c r="AG951" s="38" t="str">
        <f t="array" ref="AG951">INDEX('Deal Info'!G:G, MATCH(A951,'Deal Info'!A:A, 0))</f>
        <v>None</v>
      </c>
    </row>
    <row r="952" spans="1:33" ht="14.25" x14ac:dyDescent="0.2">
      <c r="A952" s="18" t="str">
        <f t="array" ref="A952">IF(G952='Room Info'!$B$1, INDEX('Room Info'!$A$2:$A2446, MATCH(B952,'Room Info'!$B$2:$B2446, 0)),IF(G952='Room Info'!$C$1, INDEX('Room Info'!$A$2:$A2446, MATCH(B952,'Room Info'!$C$2:$C2446, 0)),IF(G952='Room Info'!$D$1, INDEX('Room Info'!$A$2:$A2446, MATCH(B952,'Room Info'!$D$2:$D2446, 0)),IF(G952='Room Info'!$E$1, INDEX('Room Info'!$A$2:$A2446, MATCH(B952,'Room Info'!$E$2:$E2446, 0)),IF(G952='Room Info'!$F$1, INDEX('Room Info'!$A$2:$A2446, MATCH(B952,'Room Info'!$F$2:$F2446, 0)),IF(G952='Room Info'!$H$1, INDEX('Room Info'!$A$2:$A2446, MATCH(B952,'Room Info'!$H$2:$H2446, 0)),IF(G952='Room Info'!$G$1, INDEX('Room Info'!$A$2:$A2446, MATCH(B952,'Room Info'!$G$2:$G2446, 0)))))))))</f>
        <v>Lo4io</v>
      </c>
      <c r="B952" s="45" t="s">
        <v>107</v>
      </c>
      <c r="C952" s="46">
        <v>44916</v>
      </c>
      <c r="D952" s="46">
        <v>44946</v>
      </c>
      <c r="E952" s="47">
        <v>44927</v>
      </c>
      <c r="F952" s="48" t="s">
        <v>34</v>
      </c>
      <c r="G952" s="45" t="s">
        <v>61</v>
      </c>
      <c r="H952" s="49" t="s">
        <v>108</v>
      </c>
      <c r="I952" s="49" t="s">
        <v>68</v>
      </c>
      <c r="J952" s="50">
        <v>50</v>
      </c>
      <c r="K952" s="51">
        <v>1</v>
      </c>
      <c r="L952" s="52">
        <v>54</v>
      </c>
      <c r="M952" s="62">
        <v>0</v>
      </c>
      <c r="N952" s="28">
        <f>K952*J952</f>
        <v>50</v>
      </c>
      <c r="O952" s="54">
        <v>453</v>
      </c>
      <c r="P952" s="29">
        <v>453</v>
      </c>
      <c r="Q952" s="55"/>
      <c r="R952" s="31">
        <f>M952+Q952</f>
        <v>0</v>
      </c>
      <c r="S952" s="66">
        <v>64</v>
      </c>
      <c r="T952" s="32">
        <f>R952+S952+IF(F952="Without EV deal",L952,0)</f>
        <v>64</v>
      </c>
      <c r="U952" s="57">
        <v>1.0860000000000001</v>
      </c>
      <c r="V952" s="58"/>
      <c r="W952" s="58"/>
      <c r="X952" s="30">
        <v>0.15</v>
      </c>
      <c r="Y952" s="30">
        <f>IF(AG952="None",0,IF(AG952="Fix5",0.05, IF(AG952="Fix6.25",0.0625,IF(AG952="Fix3.75",0.0375,IF(AG952="Fix10",0.1,IF(AG952="Fix3",0.03,0))))))</f>
        <v>0</v>
      </c>
      <c r="Z952" s="35">
        <f>T952-AA952-AB952</f>
        <v>53.574399999999997</v>
      </c>
      <c r="AA952" s="29">
        <f>IF(AD952="EUR",((T952-R952)*X952)*U952+(R952*X952),(T952*X952))</f>
        <v>10.425600000000001</v>
      </c>
      <c r="AB952" s="36">
        <f>IF(AD952="EUR",((T952-R952)*Y952)*U952+(R952*Y952),(T952*Y952))</f>
        <v>0</v>
      </c>
      <c r="AC952" s="37" t="b">
        <v>1</v>
      </c>
      <c r="AD952" s="129" t="s">
        <v>50</v>
      </c>
      <c r="AE952" s="129"/>
      <c r="AF952" s="37" t="str">
        <f t="array" ref="AF952">INDEX('Deal Info'!D:D, MATCH(A952,'Deal Info'!A:A, 0))</f>
        <v>DoEVLo</v>
      </c>
      <c r="AG952" s="38" t="str">
        <f t="array" ref="AG952">INDEX('Deal Info'!G:G, MATCH(A952,'Deal Info'!A:A, 0))</f>
        <v>None</v>
      </c>
    </row>
    <row r="953" spans="1:33" ht="14.25" x14ac:dyDescent="0.2">
      <c r="A953" s="18" t="str">
        <f t="array" ref="A953">IF(G953='Room Info'!$B$1, INDEX('Room Info'!$A$2:$A2446, MATCH(B953,'Room Info'!$B$2:$B2446, 0)),IF(G953='Room Info'!$C$1, INDEX('Room Info'!$A$2:$A2446, MATCH(B953,'Room Info'!$C$2:$C2446, 0)),IF(G953='Room Info'!$D$1, INDEX('Room Info'!$A$2:$A2446, MATCH(B953,'Room Info'!$D$2:$D2446, 0)),IF(G953='Room Info'!$E$1, INDEX('Room Info'!$A$2:$A2446, MATCH(B953,'Room Info'!$E$2:$E2446, 0)),IF(G953='Room Info'!$F$1, INDEX('Room Info'!$A$2:$A2446, MATCH(B953,'Room Info'!$F$2:$F2446, 0)),IF(G953='Room Info'!$H$1, INDEX('Room Info'!$A$2:$A2446, MATCH(B953,'Room Info'!$H$2:$H2446, 0)),IF(G953='Room Info'!$G$1, INDEX('Room Info'!$A$2:$A2446, MATCH(B953,'Room Info'!$G$2:$G2446, 0)))))))))</f>
        <v>Lo4io</v>
      </c>
      <c r="B953" s="65" t="s">
        <v>107</v>
      </c>
      <c r="C953" s="111">
        <v>44916</v>
      </c>
      <c r="D953" s="111">
        <v>44946</v>
      </c>
      <c r="E953" s="47">
        <v>44927</v>
      </c>
      <c r="F953" s="48" t="s">
        <v>34</v>
      </c>
      <c r="G953" s="45" t="s">
        <v>61</v>
      </c>
      <c r="H953" s="49" t="s">
        <v>57</v>
      </c>
      <c r="I953" s="49" t="s">
        <v>101</v>
      </c>
      <c r="J953" s="50">
        <v>50</v>
      </c>
      <c r="K953" s="123">
        <v>1818</v>
      </c>
      <c r="L953" s="113">
        <v>0</v>
      </c>
      <c r="M953" s="62">
        <v>2149</v>
      </c>
      <c r="N953" s="28">
        <f>K953*J953</f>
        <v>90900</v>
      </c>
      <c r="O953" s="65">
        <v>93881</v>
      </c>
      <c r="P953" s="29">
        <v>51.639713970000003</v>
      </c>
      <c r="Q953" s="55"/>
      <c r="R953" s="31">
        <f>M953+Q953</f>
        <v>2149</v>
      </c>
      <c r="S953" s="66">
        <v>887</v>
      </c>
      <c r="T953" s="32">
        <f>R953+S953+IF(F953="Without EV deal",L953,0)</f>
        <v>3036</v>
      </c>
      <c r="U953" s="57">
        <v>1.0860000000000001</v>
      </c>
      <c r="V953" s="69">
        <v>43.526543878656554</v>
      </c>
      <c r="W953" s="69">
        <v>93.735905413814564</v>
      </c>
      <c r="X953" s="30">
        <f>IF(AF953="DoEV",IF(AND(V953&lt;20,W953&lt;55),0.3,0)+IF(AND(V953&lt;20,W953&gt;=55,W953&lt;105),0.23,0)+IF(AND(V953&lt;20,W953&gt;=105),0.17,0)+IF(AND(V953&gt;=20,V953&lt;40,W953&lt;45),0.3,0)+IF(AND(V953&gt;=20,V953&lt;40,W953&gt;=45,W953&lt;95),0.23,0)+IF(AND(V953&gt;=20,V953&lt;40,W953&gt;=95),0.17,0)+IF(AND(V953&gt;=40,V953&lt;75,W953&lt;35),0.3,0)+IF(AND(V953&gt;=40,V953&lt;75,W953&gt;=35,W953&lt;75),0.23,0)+IF(AND(V953&gt;=40,V953&lt;75,W953&gt;=75,W953&lt;120),0.17,0)+IF(AND(V953&gt;=40,V953&lt;75,W953&gt;=120),0.12,0)+IF(AND(V953&gt;=75,V953&lt;175,W953&lt;35),0.3,0)+IF(AND(V953&gt;=75,V953&lt;=175,W953&gt;=35,W953&lt;65),0.23,0)+IF(AND(V953&gt;=75,V953&lt;=175,W953&gt;=65,W953&lt;110),0.17,0)+IF(AND(V953&gt;=75,V953&lt;=175,W953&gt;=110),0.12,0)+IF(AND(V953&gt;175,W953&lt;25),0.3,0)+IF(AND(V953&gt;175,W953&gt;=25,W953&lt;55),0.23,0)+IF(AND(V953&gt;175,W953&gt;=55,W953&lt;95),0.17,0)+IF(AND(V953&gt;175,W953&gt;=95),0.12,0),
IF(AF953="Fix15",0.15,
IF(AF953="Fix11.25",0.1125,
IF(AF953="Fix10",0.1,
IF(AF953="Fix9",0.09,
IF(AF953="DoEV2017",IF(AND(W953&lt;74),0.2,0)+IF(AND(W953&gt;=74),0.17,0),
IF(AF953="SF",IF(AND(V953&lt;20,W953&lt;89),0.3,0)+IF(AND(V953&lt;20,W953&gt;=89),0.25,0)+IF(AND(V953&gt;=20,V953&lt;40,W953&lt;74),0.3,0)+IF(AND(V953&gt;=20,V953&lt;40,W953&gt;=75),0.22,0)+IF(AND(V953&gt;=40,V953&lt;75,W953&lt;75),0.26,0)+IF(AND(V953&gt;=40,V953&lt;75,W953&gt;=75),0.22,0)+IF(V953&gt;=75,0.22,0),
IF(AF953="DoEVold",IF(AND(V953&lt;40,W953&lt;35),0.35,0)+IF(AND(V953&lt;40,W953&gt;=35,W953&lt;75),0.25,0)+IF(AND(V953&lt;40,W953&gt;=75),0.17,0)+IF(AND(V953&gt;=40,V953&lt;75,W953&lt;25),0.35,0)+IF(AND(V953&gt;=40,V953&lt;75,W953&gt;=25,W953&lt;65),0.25,0)+IF(AND(V953&gt;=40,V953&lt;75,W953&gt;=65,W953&lt;100),0.17,0)+IF(AND(V953&gt;=40,V953&lt;75,W953&gt;=100),0.1,0)+IF(AND(V953&gt;=75,W953&lt;25),0.35,0)+IF(AND(V953&gt;=75,W953&gt;=25,W953&lt;60),0.25,0)+IF(AND(V953&gt;=75,W953&gt;=60,W953&lt;95),0.17,0)+IF(AND(V953&gt;=75,W953&gt;=95),0.1,0),
IF(AF953="DoEVold15",IF(AND(V953&lt;=40,W953&lt;35),0.35,0)+IF(AND(V953&lt;=40,W953&gt;=35,W953&lt;75),0.25,0)+IF(AND(V953&lt;=40,W953&gt;=75,W953&lt;120),0.17,0)+IF(AND(V953&lt;=40,W953&gt;=120),0.15,0)+IF(AND(V953&gt;40,V953&lt;75,W953&lt;25),0.35,0)+IF(AND(V953&gt;=40,V953&lt;75,W953&gt;=25,W953&lt;65),0.25,0)+IF(AND(V953&gt;=40,V953&lt;75,W953&gt;=65,W953&lt;100),0.17,0)+IF(AND(V953&gt;=40,V953&lt;75,W953&gt;=100),0.1,0)+IF(AND(V953&gt;=75,W953&lt;25),0.35,0)+IF(AND(V953&gt;=75,W953&gt;=25,W953&lt;60),0.25,0)+IF(AND(V953&gt;=75,W953&gt;=60,W953&lt;95),0.17,0)+IF(AND(V953&gt;=75,W953&gt;=95),0.1,0),
IF(AF953="DoEVba",IF(AND(V953&lt;20,W953&lt;105),0.2,0)+IF(AND(V953&lt;20,W953&gt;=105),0.15,0)+IF(AND(V953&gt;=20,V953&lt;40,W953&lt;95),0.2,0)+IF(AND(V953&gt;=20,V953&lt;40,W953&gt;=95,W953&lt;150),0.15,0)+IF(AND(V953&gt;=20,V953&lt;40,W953&gt;=150),0.12,0)+IF(AND(V953&gt;=40,V953&lt;75,W953&lt;75),0.2,0)+IF(AND(V953&gt;=40,V953&lt;75,W953&gt;=75,W953&lt;120),0.15,0)+IF(AND(V953&gt;=40,V953&lt;75,W953&gt;=120),0.12,0)+IF(AND(V953&gt;=75,V953&lt;175,W953&lt;65),0.2,0)+IF(AND(V953&gt;=75,V953&lt;175,W953&gt;=65,W953&lt;110),0.15,0)+IF(AND(V953&gt;=75,V953&lt;175,W953&gt;=110),0.12,0)+IF(AND(V953&gt;=175,W953&lt;55),0.2,0)+IF(AND(V953&gt;=175,W953&gt;=55,W953&lt;95),0.15,0)+IF(AND(V953&gt;=175,W953&gt;=95),0.12,0),
IF(AF953="DoEVku",IF(AND(V953&lt;20,W953&lt;55),0.23,0)+IF(AND(V953&lt;20,W953&gt;=55,W953&lt;105),0.2,0)+IF(AND(V953&lt;20,W953&gt;=105),0.17,0)+IF(AND(V953&gt;=20,V953&lt;40,W953&lt;45),0.23,0)+IF(AND(V953&gt;=20,V953&lt;40,W953&gt;=45,W953&lt;95),0.2,0)+IF(AND(V953&gt;=20,V953&lt;40,W953&gt;=95,W953&lt;=150),0.17,0)+IF(AND(V953&gt;=20,V953&lt;40,W953&gt;=150),0.12,0)+IF(AND(V953&gt;=40,V953&lt;75,W953&lt;35),0.23,0)+IF(AND(V953&gt;=40,V953&lt;75,W953&gt;=35,W953&lt;75),0.2,0)+IF(AND(V953&gt;=40,V953&lt;75,W953&gt;=75,W953&lt;120),0.17,0)+IF(AND(V953&gt;=40,V953&lt;75,W953&gt;=120),0.12,0)+IF(AND(V953&gt;=75,V953&lt;175,W953&lt;35),0.23,0)+IF(AND(V953&gt;=75,V953&lt;=175,W953&gt;=35,W953&lt;65),0.2,0)+IF(AND(V953&gt;=75,V953&lt;=175,W953&gt;=65,W953&lt;110),0.17,0)+IF(AND(V953&gt;=75,V953&lt;=175,W953&gt;=110),0.12,0)+IF(AND(V953&gt;175,W953&lt;25),0.23,0)+IF(AND(V953&gt;175,W953&gt;=25,W953&lt;55),0.2,0)+IF(AND(V953&gt;175,W953&gt;=55,W953&lt;95),0.17,0)+IF(AND(V953&gt;175,W953&gt;=95),0.12,0),
IF(AF953="DoEVs1",IF(AND(V953&lt;20,W953&lt;55),0.3,0)+IF(AND(V953&lt;20,W953&gt;=55,W953&lt;105),0.23,0)+IF(AND(V953&lt;20,W953&gt;=105),0.17,0)+IF(AND(V953&gt;=20,V953&lt;40,W953&lt;45),0.3,0)+IF(AND(V953&gt;=20,V953&lt;40,W953&gt;=45,W953&lt;95),0.23,0)+IF(AND(V953&gt;=20,V953&lt;40,W953&gt;=95,W953&lt;=150),0.17,0)+IF(AND(V953&gt;=20,V953&lt;40,W953&gt;=150),0.12,0)+IF(AND(V953&gt;=40,V953&lt;75,W953&lt;35),0.3,0)+IF(AND(V953&gt;=40,V953&lt;75,W953&gt;=35,W953&lt;75),0.23,0)+IF(AND(V953&gt;=40,V953&lt;75,W953&gt;=75,W953&lt;120),0.17,0)+IF(AND(V953&gt;=40,V953&lt;75,W953&gt;=120),0.12,0)+IF(AND(V953&gt;=75,V953&lt;175,W953&lt;35),0.3,0)+IF(AND(V953&gt;=75,V953&lt;=175,W953&gt;=35,W953&lt;65),0.23,0)+IF(AND(V953&gt;=75,V953&lt;=175,W953&gt;=65,W953&lt;110),0.17,0)+IF(AND(V953&gt;=75,V953&lt;=175,W953&gt;=110),0.12,0)+IF(AND(V953&gt;175,W953&lt;25),0.3,0)+IF(AND(V953&gt;175,W953&gt;=25,W953&lt;55),0.23,0)+IF(AND(V953&gt;175,W953&gt;=55,W953&lt;95),0.17,0)+IF(AND(V953&gt;175,W953&gt;=95),0.12,0),
IF(AF953="DoEVsu",IF(AND(V953&lt;20,W953&lt;55),0.3,0)+IF(AND(V953&lt;20,W953&gt;=55,W953&lt;105),0.23,0)+IF(AND(V953&lt;20,W953&gt;=105),0.17,0)+IF(AND(V953&gt;=20,V953&lt;40,W953&lt;45),0.3,0)+IF(AND(V953&gt;=20,V953&lt;40,W953&gt;=45,W953&lt;95),0.23,0)+IF(AND(V953&gt;=20,V953&lt;40,W953&gt;=95,W953&lt;=250),0.17,0)+IF(AND(V953&gt;=20,V953&lt;40,W953&gt;=250),0.12,0)+IF(AND(V953&gt;=40,V953&lt;75,W953&lt;35),0.3,0)+IF(AND(V953&gt;=40,V953&lt;75,W953&gt;=35,W953&lt;75),0.23,0)+IF(AND(V953&gt;=40,V953&lt;75,W953&gt;=75,W953&lt;120),0.17,0)+IF(AND(V953&gt;=40,V953&lt;75,W953&gt;=120),0.12,0)+IF(AND(V953&gt;=75,V953&lt;175,W953&lt;35),0.3,0)+IF(AND(V953&gt;=75,V953&lt;=175,W953&gt;=35,W953&lt;65),0.23,0)+IF(AND(V953&gt;=75,V953&lt;=175,W953&gt;=65,W953&lt;110),0.17,0)+IF(AND(V953&gt;=75,V953&lt;=175,W953&gt;=110),0.12,0)+IF(AND(V953&gt;175,W953&lt;25),0.3,0)+IF(AND(V953&gt;175,W953&gt;=25,W953&lt;55),0.23,0)+IF(AND(V953&gt;175,W953&gt;=55,W953&lt;95),0.17,0)+IF(AND(V953&gt;175,W953&gt;=95),0.12,0),
IF(AF953="DoEVni",IF(AND(V953&lt;20,W953&lt;55),0.3,0)+IF(AND(V953&lt;20,W953&gt;=55,W953&lt;105),0.23,0)+IF(AND(V953&lt;20,W953&gt;=105),0.17,0)+IF(AND(V953&gt;=20,V953&lt;40,W953&lt;45),0.3,0)+IF(AND(V953&gt;=20,V953&lt;40,W953&gt;=45,W953&lt;95),0.23,0)+IF(AND(V953&gt;=20,V953&lt;40,W953&gt;=95,W953&lt;=200),0.17,0)+IF(AND(V953&gt;=20,V953&lt;40,W953&gt;=200),0.12,0)+IF(AND(V953&gt;=40,V953&lt;75,W953&lt;35),0.3,0)+IF(AND(V953&gt;=40,V953&lt;75,W953&gt;=35,W953&lt;75),0.23,0)+IF(AND(V953&gt;=40,V953&lt;75,W953&gt;=75,W953&lt;120),0.17,0)+IF(AND(V953&gt;=40,V953&lt;75,W953&gt;=120),0.12,0)+IF(AND(V953&gt;=75,V953&lt;175,W953&lt;35),0.3,0)+IF(AND(V953&gt;=75,V953&lt;=175,W953&gt;=35,W953&lt;65),0.23,0)+IF(AND(V953&gt;=75,V953&lt;=175,W953&gt;=65,W953&lt;110),0.17,0)+IF(AND(V953&gt;=75,V953&lt;=175,W953&gt;=110),0.12,0)+IF(AND(V953&gt;175,W953&lt;25),0.3,0)+IF(AND(V953&gt;175,W953&gt;=25,W953&lt;55),0.23,0)+IF(AND(V953&gt;175,W953&gt;=55,W953&lt;95),0.17,0)+IF(AND(V953&gt;175,W953&gt;=95),0.12,0),
IF(AF953="DoEVLo",IF(AND(V953&lt;20,W953&lt;55),0.25,0)+IF(AND(V953&lt;20,W953&gt;=55,W953&lt;105),0.2,0)+IF(AND(V953&lt;20,W953&gt;=105),0.15,0)+IF(AND(V953&gt;=20,V953&lt;40,W953&lt;45),0.25,0)+IF(AND(V953&gt;=20,V953&lt;40,W953&gt;=45,W953&lt;95),0.2,0)+IF(AND(V953&gt;=20,V953&lt;40,W953&gt;=95),0.15,0)+IF(AND(V953&gt;=40,V953&lt;75,W953&lt;35),0.25,0)+IF(AND(V953&gt;=40,V953&lt;75,W953&gt;=35,W953&lt;75),0.2,0)+IF(AND(V953&gt;=40,V953&lt;75,W953&gt;=75,W953&lt;120),0.15,0)+IF(AND(V953&gt;=40,V953&lt;75,W953&gt;=120),0.1,0)+IF(AND(V953&gt;=75,V953&lt;175,W953&lt;35),0.25,0)+IF(AND(V953&gt;=75,V953&lt;=175,W953&gt;=35,W953&lt;65),0.2,0)+IF(AND(V953&gt;=75,V953&lt;=175,W953&gt;=65,W953&lt;110),0.15,0)+IF(AND(V953&gt;=75,V953&lt;=175,W953&gt;=110),0.1,0)+IF(AND(V953&gt;175,W953&lt;25),0.25,0)+IF(AND(V953&gt;175,W953&gt;=25,W953&lt;55),0.2,0)+IF(AND(V953&gt;175,W953&gt;=55,W953&lt;95),0.15,0)+IF(AND(V953&gt;175,W953&gt;=95),0.1,0))))))))))))))))</f>
        <v>0.15</v>
      </c>
      <c r="Y953" s="30">
        <f>IF(AG953="None",0,IF(AG953="Fix5",0.05,IF(AG953="Fix3.75",0.0375,IF(AG953="Fix10",0.1,IF(AG953="Fix3",0.03,0)))))</f>
        <v>0</v>
      </c>
      <c r="Z953" s="35">
        <f>T953-AA953-AB953</f>
        <v>2569.1577000000002</v>
      </c>
      <c r="AA953" s="29">
        <f>IF(AD953="EUR",((T953-R953)*X953)*U953+(R953*X953),(T953*X953))</f>
        <v>466.84229999999997</v>
      </c>
      <c r="AB953" s="36">
        <f>IF(AD953="EUR",((T953-R953)*Y953)*U953+(R953*Y953),(T953*Y953))</f>
        <v>0</v>
      </c>
      <c r="AC953" s="37" t="b">
        <v>1</v>
      </c>
      <c r="AD953" s="61" t="s">
        <v>50</v>
      </c>
      <c r="AE953" s="61"/>
      <c r="AF953" s="37" t="str">
        <f t="array" ref="AF953">INDEX('Deal Info'!D:D, MATCH(A953,'Deal Info'!A:A, 0))</f>
        <v>DoEVLo</v>
      </c>
      <c r="AG953" s="38" t="str">
        <f t="array" ref="AG953">INDEX('Deal Info'!G:G, MATCH(A953,'Deal Info'!A:A, 0))</f>
        <v>None</v>
      </c>
    </row>
    <row r="954" spans="1:33" ht="14.25" hidden="1" x14ac:dyDescent="0.2">
      <c r="A954" s="18" t="str">
        <f t="array" ref="A954">IF(G954='Room Info'!$B$1, INDEX('Room Info'!$A$2:$A2446, MATCH(B954,'Room Info'!$B$2:$B2446, 0)),IF(G954='Room Info'!$C$1, INDEX('Room Info'!$A$2:$A2446, MATCH(B954,'Room Info'!$C$2:$C2446, 0)),IF(G954='Room Info'!$D$1, INDEX('Room Info'!$A$2:$A2446, MATCH(B954,'Room Info'!$D$2:$D2446, 0)),IF(G954='Room Info'!$E$1, INDEX('Room Info'!$A$2:$A2446, MATCH(B954,'Room Info'!$E$2:$E2446, 0)),IF(G954='Room Info'!$F$1, INDEX('Room Info'!$A$2:$A2446, MATCH(B954,'Room Info'!$F$2:$F2446, 0)),IF(G954='Room Info'!$H$1, INDEX('Room Info'!$A$2:$A2446, MATCH(B954,'Room Info'!$H$2:$H2446, 0)),IF(G954='Room Info'!$G$1, INDEX('Room Info'!$A$2:$A2446, MATCH(B954,'Room Info'!$G$2:$G2446, 0)))))))))</f>
        <v>Mandr1990</v>
      </c>
      <c r="B954" s="45" t="s">
        <v>185</v>
      </c>
      <c r="C954" s="46">
        <v>44613</v>
      </c>
      <c r="D954" s="46">
        <v>44640</v>
      </c>
      <c r="E954" s="47">
        <v>44621</v>
      </c>
      <c r="F954" s="48" t="s">
        <v>34</v>
      </c>
      <c r="G954" s="45" t="s">
        <v>80</v>
      </c>
      <c r="H954" s="49" t="s">
        <v>153</v>
      </c>
      <c r="I954" s="49" t="s">
        <v>81</v>
      </c>
      <c r="J954" s="50">
        <v>200</v>
      </c>
      <c r="K954" s="51">
        <v>1687</v>
      </c>
      <c r="L954" s="52">
        <v>-19200</v>
      </c>
      <c r="M954" s="53">
        <v>19434</v>
      </c>
      <c r="N954" s="28">
        <f>K954*J954</f>
        <v>337400</v>
      </c>
      <c r="O954" s="54">
        <v>12506</v>
      </c>
      <c r="P954" s="29">
        <v>7.4131594549999997</v>
      </c>
      <c r="Q954" s="55"/>
      <c r="R954" s="31">
        <f>M954+Q954</f>
        <v>19434</v>
      </c>
      <c r="S954" s="56">
        <v>-17824</v>
      </c>
      <c r="T954" s="32">
        <f>R954+S954+IF(F954="Without EV deal",L954,0)</f>
        <v>1610</v>
      </c>
      <c r="U954" s="57">
        <v>1</v>
      </c>
      <c r="V954" s="58"/>
      <c r="W954" s="58"/>
      <c r="X954" s="30">
        <f>IF(AF954="DoEV",IF(AND(V954&lt;20,W954&lt;55),0.3,0)+IF(AND(V954&lt;20,W954&gt;=55,W954&lt;105),0.23,0)+IF(AND(V954&lt;20,W954&gt;=105),0.17,0)+IF(AND(V954&gt;=20,V954&lt;40,W954&lt;45),0.3,0)+IF(AND(V954&gt;=20,V954&lt;40,W954&gt;=45,W954&lt;95),0.23,0)+IF(AND(V954&gt;=20,V954&lt;40,W954&gt;=95),0.17,0)+IF(AND(V954&gt;=40,V954&lt;75,W954&lt;35),0.3,0)+IF(AND(V954&gt;=40,V954&lt;75,W954&gt;=35,W954&lt;75),0.23,0)+IF(AND(V954&gt;=40,V954&lt;75,W954&gt;=75,W954&lt;120),0.17,0)+IF(AND(V954&gt;=40,V954&lt;75,W954&gt;=120),0.12,0)+IF(AND(V954&gt;=75,V954&lt;175,W954&lt;35),0.3,0)+IF(AND(V954&gt;=75,V954&lt;=175,W954&gt;=35,W954&lt;65),0.23,0)+IF(AND(V954&gt;=75,V954&lt;=175,W954&gt;=65,W954&lt;110),0.17,0)+IF(AND(V954&gt;=75,V954&lt;=175,W954&gt;=110),0.12,0)+IF(AND(V954&gt;175,W954&lt;25),0.3,0)+IF(AND(V954&gt;175,W954&gt;=25,W954&lt;55),0.23,0)+IF(AND(V954&gt;175,W954&gt;=55,W954&lt;95),0.17,0)+IF(AND(V954&gt;175,W954&gt;=95),0.12,0),
IF(AF954="Fix15",0.15,
IF(AF954="Fix18.75",0.1875,
IF(AF954="Fix11.25",0.1125,
IF(AF954="Fix10",0.1,
IF(AF954="Fix9",0.09,
IF(AF954="Fix19",0.19,
IF(AF954="DoEV2017",IF(AND(W954&lt;74),0.2,0)+IF(AND(W954&gt;=74),0.17,0),
IF(AF954="SF",IF(AND(V954&lt;20,W954&lt;89),0.3,0)+IF(AND(V954&lt;20,W954&gt;=89),0.25,0)+IF(AND(V954&gt;=20,V954&lt;40,W954&lt;74),0.3,0)+IF(AND(V954&gt;=20,V954&lt;40,W954&gt;=75),0.22,0)+IF(AND(V954&gt;=40,V954&lt;75,W954&lt;75),0.26,0)+IF(AND(V954&gt;=40,V954&lt;75,W954&gt;=75),0.22,0)+IF(V954&gt;=75,0.22,0),
IF(AF954="DoEVold",IF(AND(V954&lt;40,W954&lt;35),0.35,0)+IF(AND(V954&lt;40,W954&gt;=35,W954&lt;75),0.25,0)+IF(AND(V954&lt;40,W954&gt;=75),0.17,0)+IF(AND(V954&gt;=40,V954&lt;75,W954&lt;25),0.35,0)+IF(AND(V954&gt;=40,V954&lt;75,W954&gt;=25,W954&lt;65),0.25,0)+IF(AND(V954&gt;=40,V954&lt;75,W954&gt;=65,W954&lt;100),0.17,0)+IF(AND(V954&gt;=40,V954&lt;75,W954&gt;=100),0.1,0)+IF(AND(V954&gt;=75,W954&lt;25),0.35,0)+IF(AND(V954&gt;=75,W954&gt;=25,W954&lt;60),0.25,0)+IF(AND(V954&gt;=75,W954&gt;=60,W954&lt;95),0.17,0)+IF(AND(V954&gt;=75,W954&gt;=95),0.1,0),
IF(AF954="DoEVold15",IF(AND(V954&lt;=40,W954&lt;35),0.35,0)+IF(AND(V954&lt;=40,W954&gt;=35,W954&lt;75),0.25,0)+IF(AND(V954&lt;=40,W954&gt;=75,W954&lt;120),0.17,0)+IF(AND(V954&lt;=40,W954&gt;=120),0.15,0)+IF(AND(V954&gt;40,V954&lt;75,W954&lt;25),0.35,0)+IF(AND(V954&gt;=40,V954&lt;75,W954&gt;=25,W954&lt;65),0.25,0)+IF(AND(V954&gt;=40,V954&lt;75,W954&gt;=65,W954&lt;100),0.17,0)+IF(AND(V954&gt;=40,V954&lt;75,W954&gt;=100),0.1,0)+IF(AND(V954&gt;=75,W954&lt;25),0.35,0)+IF(AND(V954&gt;=75,W954&gt;=25,W954&lt;60),0.25,0)+IF(AND(V954&gt;=75,W954&gt;=60,W954&lt;95),0.17,0)+IF(AND(V954&gt;=75,W954&gt;=95),0.1,0),
IF(AF954="DoEVba",IF(AND(V954&lt;20,W954&lt;105),0.2,0)+IF(AND(V954&lt;20,W954&gt;=105),0.15,0)+IF(AND(V954&gt;=20,V954&lt;40,W954&lt;95),0.2,0)+IF(AND(V954&gt;=20,V954&lt;40,W954&gt;=95,W954&lt;150),0.15,0)+IF(AND(V954&gt;=20,V954&lt;40,W954&gt;=150),0.12,0)+IF(AND(V954&gt;=40,V954&lt;75,W954&lt;75),0.2,0)+IF(AND(V954&gt;=40,V954&lt;75,W954&gt;=75,W954&lt;120),0.15,0)+IF(AND(V954&gt;=40,V954&lt;75,W954&gt;=120),0.12,0)+IF(AND(V954&gt;=75,V954&lt;175,W954&lt;65),0.2,0)+IF(AND(V954&gt;=75,V954&lt;175,W954&gt;=65,W954&lt;110),0.15,0)+IF(AND(V954&gt;=75,V954&lt;175,W954&gt;=110),0.12,0)+IF(AND(V954&gt;=175,W954&lt;55),0.2,0)+IF(AND(V954&gt;=175,W954&gt;=55,W954&lt;95),0.15,0)+IF(AND(V954&gt;=175,W954&gt;=95),0.12,0),
IF(AF954="DoEVku",IF(AND(V954&lt;20,W954&lt;55),0.23,0)+IF(AND(V954&lt;20,W954&gt;=55,W954&lt;105),0.2,0)+IF(AND(V954&lt;20,W954&gt;=105),0.17,0)+IF(AND(V954&gt;=20,V954&lt;40,W954&lt;45),0.23,0)+IF(AND(V954&gt;=20,V954&lt;40,W954&gt;=45,W954&lt;95),0.2,0)+IF(AND(V954&gt;=20,V954&lt;40,W954&gt;=95,W954&lt;=150),0.17,0)+IF(AND(V954&gt;=20,V954&lt;40,W954&gt;=150),0.12,0)+IF(AND(V954&gt;=40,V954&lt;75,W954&lt;35),0.23,0)+IF(AND(V954&gt;=40,V954&lt;75,W954&gt;=35,W954&lt;75),0.2,0)+IF(AND(V954&gt;=40,V954&lt;75,W954&gt;=75,W954&lt;120),0.17,0)+IF(AND(V954&gt;=40,V954&lt;75,W954&gt;=120),0.12,0)+IF(AND(V954&gt;=75,V954&lt;175,W954&lt;35),0.23,0)+IF(AND(V954&gt;=75,V954&lt;=175,W954&gt;=35,W954&lt;65),0.2,0)+IF(AND(V954&gt;=75,V954&lt;=175,W954&gt;=65,W954&lt;110),0.17,0)+IF(AND(V954&gt;=75,V954&lt;=175,W954&gt;=110),0.12,0)+IF(AND(V954&gt;175,W954&lt;25),0.23,0)+IF(AND(V954&gt;175,W954&gt;=25,W954&lt;55),0.2,0)+IF(AND(V954&gt;175,W954&gt;=55,W954&lt;95),0.17,0)+IF(AND(V954&gt;175,W954&gt;=95),0.12,0),
IF(AF954="DoEVs1",IF(AND(V954&lt;20,W954&lt;55),0.3,0)+IF(AND(V954&lt;20,W954&gt;=55,W954&lt;105),0.23,0)+IF(AND(V954&lt;20,W954&gt;=105),0.17,0)+IF(AND(V954&gt;=20,V954&lt;40,W954&lt;45),0.3,0)+IF(AND(V954&gt;=20,V954&lt;40,W954&gt;=45,W954&lt;95),0.23,0)+IF(AND(V954&gt;=20,V954&lt;40,W954&gt;=95,W954&lt;=150),0.17,0)+IF(AND(V954&gt;=20,V954&lt;40,W954&gt;=150),0.12,0)+IF(AND(V954&gt;=40,V954&lt;75,W954&lt;35),0.3,0)+IF(AND(V954&gt;=40,V954&lt;75,W954&gt;=35,W954&lt;75),0.23,0)+IF(AND(V954&gt;=40,V954&lt;75,W954&gt;=75,W954&lt;120),0.17,0)+IF(AND(V954&gt;=40,V954&lt;75,W954&gt;=120),0.12,0)+IF(AND(V954&gt;=75,V954&lt;175,W954&lt;35),0.3,0)+IF(AND(V954&gt;=75,V954&lt;=175,W954&gt;=35,W954&lt;65),0.23,0)+IF(AND(V954&gt;=75,V954&lt;=175,W954&gt;=65,W954&lt;110),0.17,0)+IF(AND(V954&gt;=75,V954&lt;=175,W954&gt;=110),0.12,0)+IF(AND(V954&gt;175,W954&lt;25),0.3,0)+IF(AND(V954&gt;175,W954&gt;=25,W954&lt;55),0.23,0)+IF(AND(V954&gt;175,W954&gt;=55,W954&lt;95),0.17,0)+IF(AND(V954&gt;175,W954&gt;=95),0.12,0),
IF(AF954="DoEVsu",IF(AND(V954&lt;20,W954&lt;55),0.3,0)+IF(AND(V954&lt;20,W954&gt;=55,W954&lt;105),0.23,0)+IF(AND(V954&lt;20,W954&gt;=105),0.17,0)+IF(AND(V954&gt;=20,V954&lt;40,W954&lt;45),0.3,0)+IF(AND(V954&gt;=20,V954&lt;40,W954&gt;=45,W954&lt;95),0.23,0)+IF(AND(V954&gt;=20,V954&lt;40,W954&gt;=95,W954&lt;=250),0.17,0)+IF(AND(V954&gt;=20,V954&lt;40,W954&gt;=250),0.12,0)+IF(AND(V954&gt;=40,V954&lt;75,W954&lt;35),0.3,0)+IF(AND(V954&gt;=40,V954&lt;75,W954&gt;=35,W954&lt;75),0.23,0)+IF(AND(V954&gt;=40,V954&lt;75,W954&gt;=75,W954&lt;120),0.17,0)+IF(AND(V954&gt;=40,V954&lt;75,W954&gt;=120),0.12,0)+IF(AND(V954&gt;=75,V954&lt;175,W954&lt;35),0.3,0)+IF(AND(V954&gt;=75,V954&lt;=175,W954&gt;=35,W954&lt;65),0.23,0)+IF(AND(V954&gt;=75,V954&lt;=175,W954&gt;=65,W954&lt;110),0.17,0)+IF(AND(V954&gt;=75,V954&lt;=175,W954&gt;=110),0.12,0)+IF(AND(V954&gt;175,W954&lt;25),0.3,0)+IF(AND(V954&gt;175,W954&gt;=25,W954&lt;55),0.23,0)+IF(AND(V954&gt;175,W954&gt;=55,W954&lt;95),0.17,0)+IF(AND(V954&gt;175,W954&gt;=95),0.12,0),
IF(AF954="DoEVni",IF(AND(V954&lt;20,W954&lt;55),0.3,0)+IF(AND(V954&lt;20,W954&gt;=55,W954&lt;105),0.23,0)+IF(AND(V954&lt;20,W954&gt;=105),0.17,0)+IF(AND(V954&gt;=20,V954&lt;40,W954&lt;45),0.3,0)+IF(AND(V954&gt;=20,V954&lt;40,W954&gt;=45,W954&lt;95),0.23,0)+IF(AND(V954&gt;=20,V954&lt;40,W954&gt;=95,W954&lt;=200),0.17,0)+IF(AND(V954&gt;=20,V954&lt;40,W954&gt;=200),0.12,0)+IF(AND(V954&gt;=40,V954&lt;75,W954&lt;35),0.3,0)+IF(AND(V954&gt;=40,V954&lt;75,W954&gt;=35,W954&lt;75),0.23,0)+IF(AND(V954&gt;=40,V954&lt;75,W954&gt;=75,W954&lt;120),0.17,0)+IF(AND(V954&gt;=40,V954&lt;75,W954&gt;=120),0.12,0)+IF(AND(V954&gt;=75,V954&lt;175,W954&lt;35),0.3,0)+IF(AND(V954&gt;=75,V954&lt;=175,W954&gt;=35,W954&lt;65),0.23,0)+IF(AND(V954&gt;=75,V954&lt;=175,W954&gt;=65,W954&lt;110),0.17,0)+IF(AND(V954&gt;=75,V954&lt;=175,W954&gt;=110),0.12,0)+IF(AND(V954&gt;175,W954&lt;25),0.3,0)+IF(AND(V954&gt;175,W954&gt;=25,W954&lt;55),0.23,0)+IF(AND(V954&gt;175,W954&gt;=55,W954&lt;95),0.17,0)+IF(AND(V954&gt;175,W954&gt;=95),0.12,0),
IF(AF954="DoEVLo",IF(AND(V954&lt;20,W954&lt;55),0.25,0)+IF(AND(V954&lt;20,W954&gt;=55,W954&lt;105),0.2,0)+IF(AND(V954&lt;20,W954&gt;=105),0.15,0)+IF(AND(V954&gt;=20,V954&lt;40,W954&lt;45),0.25,0)+IF(AND(V954&gt;=20,V954&lt;40,W954&gt;=45,W954&lt;95),0.2,0)+IF(AND(V954&gt;=20,V954&lt;40,W954&gt;=95),0.15,0)+IF(AND(V954&gt;=40,V954&lt;75,W954&lt;35),0.25,0)+IF(AND(V954&gt;=40,V954&lt;75,W954&gt;=35,W954&lt;75),0.2,0)+IF(AND(V954&gt;=40,V954&lt;75,W954&gt;=75,W954&lt;120),0.15,0)+IF(AND(V954&gt;=40,V954&lt;75,W954&gt;=120),0.1,0)+IF(AND(V954&gt;=75,V954&lt;175,W954&lt;35),0.25,0)+IF(AND(V954&gt;=75,V954&lt;=175,W954&gt;=35,W954&lt;65),0.2,0)+IF(AND(V954&gt;=75,V954&lt;=175,W954&gt;=65,W954&lt;110),0.15,0)+IF(AND(V954&gt;=75,V954&lt;=175,W954&gt;=110),0.1,0)+IF(AND(V954&gt;175,W954&lt;25),0.25,0)+IF(AND(V954&gt;175,W954&gt;=25,W954&lt;55),0.2,0)+IF(AND(V954&gt;175,W954&gt;=55,W954&lt;95),0.15,0)+IF(AND(V954&gt;175,W954&gt;=95),0.1,0))))))))))))))))))</f>
        <v>0.09</v>
      </c>
      <c r="Y954" s="30">
        <f>IF(AG954="None",0,IF(AG954="Fix5",0.05, IF(AG954="Fix6.25",0.0625,IF(AG954="Fix3.75",0.0375,IF(AG954="Fix10",0.1,IF(AG954="Fix3",0.03,0))))))</f>
        <v>0.03</v>
      </c>
      <c r="Z954" s="35">
        <f>T954-AA954-AB954</f>
        <v>1416.8</v>
      </c>
      <c r="AA954" s="29">
        <f>IF(AD954="EUR",((T954-R954)*X954)*U954+(R954*X954),(T954*X954))</f>
        <v>144.9</v>
      </c>
      <c r="AB954" s="36">
        <f>IF(AD954="EUR",((T954-R954)*Y954)*U954+(R954*Y954),(T954*Y954))</f>
        <v>48.3</v>
      </c>
      <c r="AC954" s="37" t="b">
        <v>1</v>
      </c>
      <c r="AD954" s="37" t="s">
        <v>38</v>
      </c>
      <c r="AE954" s="37" t="s">
        <v>38</v>
      </c>
      <c r="AF954" s="38" t="str">
        <f t="array" ref="AF954">INDEX('Deal Info'!D:D, MATCH(A954,'Deal Info'!A:A, 0))</f>
        <v>Fix9</v>
      </c>
      <c r="AG954" s="38" t="str">
        <f t="array" ref="AG954">INDEX('Deal Info'!G:G, MATCH(A954,'Deal Info'!A:A, 0))</f>
        <v>Fix3</v>
      </c>
    </row>
    <row r="955" spans="1:33" ht="14.25" hidden="1" x14ac:dyDescent="0.2">
      <c r="A955" s="18" t="str">
        <f t="array" ref="A955">IF(G955='Room Info'!$B$1, INDEX('Room Info'!$A$2:$A2446, MATCH(B955,'Room Info'!$B$2:$B2446, 0)),IF(G955='Room Info'!$C$1, INDEX('Room Info'!$A$2:$A2446, MATCH(B955,'Room Info'!$C$2:$C2446, 0)),IF(G955='Room Info'!$D$1, INDEX('Room Info'!$A$2:$A2446, MATCH(B955,'Room Info'!$D$2:$D2446, 0)),IF(G955='Room Info'!$E$1, INDEX('Room Info'!$A$2:$A2446, MATCH(B955,'Room Info'!$E$2:$E2446, 0)),IF(G955='Room Info'!$F$1, INDEX('Room Info'!$A$2:$A2446, MATCH(B955,'Room Info'!$F$2:$F2446, 0)),IF(G955='Room Info'!$H$1, INDEX('Room Info'!$A$2:$A2446, MATCH(B955,'Room Info'!$H$2:$H2446, 0)),IF(G955='Room Info'!$G$1, INDEX('Room Info'!$A$2:$A2446, MATCH(B955,'Room Info'!$G$2:$G2446, 0)))))))))</f>
        <v>Mandr1990</v>
      </c>
      <c r="B955" s="45" t="s">
        <v>185</v>
      </c>
      <c r="C955" s="46">
        <v>44641</v>
      </c>
      <c r="D955" s="46">
        <v>44671</v>
      </c>
      <c r="E955" s="47">
        <v>44652</v>
      </c>
      <c r="F955" s="48" t="s">
        <v>34</v>
      </c>
      <c r="G955" s="45" t="s">
        <v>80</v>
      </c>
      <c r="H955" s="49" t="s">
        <v>70</v>
      </c>
      <c r="I955" s="49" t="s">
        <v>81</v>
      </c>
      <c r="J955" s="50">
        <v>100</v>
      </c>
      <c r="K955" s="51">
        <v>2</v>
      </c>
      <c r="L955" s="52">
        <v>-200</v>
      </c>
      <c r="M955" s="62"/>
      <c r="N955" s="28">
        <f>K955*J955</f>
        <v>200</v>
      </c>
      <c r="O955" s="54">
        <v>148</v>
      </c>
      <c r="P955" s="29">
        <v>74</v>
      </c>
      <c r="Q955" s="55"/>
      <c r="R955" s="31">
        <f>M955+Q955</f>
        <v>0</v>
      </c>
      <c r="S955" s="56">
        <v>29</v>
      </c>
      <c r="T955" s="32">
        <f>R955+S955+IF(F955="Without EV deal",L955,0)</f>
        <v>29</v>
      </c>
      <c r="U955" s="57">
        <v>1</v>
      </c>
      <c r="V955" s="58"/>
      <c r="W955" s="58"/>
      <c r="X955" s="30">
        <f>IF(AF955="DoEV",IF(AND(V955&lt;20,W955&lt;55),0.3,0)+IF(AND(V955&lt;20,W955&gt;=55,W955&lt;105),0.23,0)+IF(AND(V955&lt;20,W955&gt;=105),0.17,0)+IF(AND(V955&gt;=20,V955&lt;40,W955&lt;45),0.3,0)+IF(AND(V955&gt;=20,V955&lt;40,W955&gt;=45,W955&lt;95),0.23,0)+IF(AND(V955&gt;=20,V955&lt;40,W955&gt;=95),0.17,0)+IF(AND(V955&gt;=40,V955&lt;75,W955&lt;35),0.3,0)+IF(AND(V955&gt;=40,V955&lt;75,W955&gt;=35,W955&lt;75),0.23,0)+IF(AND(V955&gt;=40,V955&lt;75,W955&gt;=75,W955&lt;120),0.17,0)+IF(AND(V955&gt;=40,V955&lt;75,W955&gt;=120),0.12,0)+IF(AND(V955&gt;=75,V955&lt;175,W955&lt;35),0.3,0)+IF(AND(V955&gt;=75,V955&lt;=175,W955&gt;=35,W955&lt;65),0.23,0)+IF(AND(V955&gt;=75,V955&lt;=175,W955&gt;=65,W955&lt;110),0.17,0)+IF(AND(V955&gt;=75,V955&lt;=175,W955&gt;=110),0.12,0)+IF(AND(V955&gt;175,W955&lt;25),0.3,0)+IF(AND(V955&gt;175,W955&gt;=25,W955&lt;55),0.23,0)+IF(AND(V955&gt;175,W955&gt;=55,W955&lt;95),0.17,0)+IF(AND(V955&gt;175,W955&gt;=95),0.12,0),
IF(AF955="Fix15",0.15,
IF(AF955="Fix18.75",0.1875,
IF(AF955="Fix11.25",0.1125,
IF(AF955="Fix10",0.1,
IF(AF955="Fix9",0.09,
IF(AF955="Fix19",0.19,
IF(AF955="DoEV2017",IF(AND(W955&lt;74),0.2,0)+IF(AND(W955&gt;=74),0.17,0),
IF(AF955="SF",IF(AND(V955&lt;20,W955&lt;89),0.3,0)+IF(AND(V955&lt;20,W955&gt;=89),0.25,0)+IF(AND(V955&gt;=20,V955&lt;40,W955&lt;74),0.3,0)+IF(AND(V955&gt;=20,V955&lt;40,W955&gt;=75),0.22,0)+IF(AND(V955&gt;=40,V955&lt;75,W955&lt;75),0.26,0)+IF(AND(V955&gt;=40,V955&lt;75,W955&gt;=75),0.22,0)+IF(V955&gt;=75,0.22,0),
IF(AF955="DoEVold",IF(AND(V955&lt;40,W955&lt;35),0.35,0)+IF(AND(V955&lt;40,W955&gt;=35,W955&lt;75),0.25,0)+IF(AND(V955&lt;40,W955&gt;=75),0.17,0)+IF(AND(V955&gt;=40,V955&lt;75,W955&lt;25),0.35,0)+IF(AND(V955&gt;=40,V955&lt;75,W955&gt;=25,W955&lt;65),0.25,0)+IF(AND(V955&gt;=40,V955&lt;75,W955&gt;=65,W955&lt;100),0.17,0)+IF(AND(V955&gt;=40,V955&lt;75,W955&gt;=100),0.1,0)+IF(AND(V955&gt;=75,W955&lt;25),0.35,0)+IF(AND(V955&gt;=75,W955&gt;=25,W955&lt;60),0.25,0)+IF(AND(V955&gt;=75,W955&gt;=60,W955&lt;95),0.17,0)+IF(AND(V955&gt;=75,W955&gt;=95),0.1,0),
IF(AF955="DoEVold15",IF(AND(V955&lt;=40,W955&lt;35),0.35,0)+IF(AND(V955&lt;=40,W955&gt;=35,W955&lt;75),0.25,0)+IF(AND(V955&lt;=40,W955&gt;=75,W955&lt;120),0.17,0)+IF(AND(V955&lt;=40,W955&gt;=120),0.15,0)+IF(AND(V955&gt;40,V955&lt;75,W955&lt;25),0.35,0)+IF(AND(V955&gt;=40,V955&lt;75,W955&gt;=25,W955&lt;65),0.25,0)+IF(AND(V955&gt;=40,V955&lt;75,W955&gt;=65,W955&lt;100),0.17,0)+IF(AND(V955&gt;=40,V955&lt;75,W955&gt;=100),0.1,0)+IF(AND(V955&gt;=75,W955&lt;25),0.35,0)+IF(AND(V955&gt;=75,W955&gt;=25,W955&lt;60),0.25,0)+IF(AND(V955&gt;=75,W955&gt;=60,W955&lt;95),0.17,0)+IF(AND(V955&gt;=75,W955&gt;=95),0.1,0),
IF(AF955="DoEVba",IF(AND(V955&lt;20,W955&lt;105),0.2,0)+IF(AND(V955&lt;20,W955&gt;=105),0.15,0)+IF(AND(V955&gt;=20,V955&lt;40,W955&lt;95),0.2,0)+IF(AND(V955&gt;=20,V955&lt;40,W955&gt;=95,W955&lt;150),0.15,0)+IF(AND(V955&gt;=20,V955&lt;40,W955&gt;=150),0.12,0)+IF(AND(V955&gt;=40,V955&lt;75,W955&lt;75),0.2,0)+IF(AND(V955&gt;=40,V955&lt;75,W955&gt;=75,W955&lt;120),0.15,0)+IF(AND(V955&gt;=40,V955&lt;75,W955&gt;=120),0.12,0)+IF(AND(V955&gt;=75,V955&lt;175,W955&lt;65),0.2,0)+IF(AND(V955&gt;=75,V955&lt;175,W955&gt;=65,W955&lt;110),0.15,0)+IF(AND(V955&gt;=75,V955&lt;175,W955&gt;=110),0.12,0)+IF(AND(V955&gt;=175,W955&lt;55),0.2,0)+IF(AND(V955&gt;=175,W955&gt;=55,W955&lt;95),0.15,0)+IF(AND(V955&gt;=175,W955&gt;=95),0.12,0),
IF(AF955="DoEVku",IF(AND(V955&lt;20,W955&lt;55),0.23,0)+IF(AND(V955&lt;20,W955&gt;=55,W955&lt;105),0.2,0)+IF(AND(V955&lt;20,W955&gt;=105),0.17,0)+IF(AND(V955&gt;=20,V955&lt;40,W955&lt;45),0.23,0)+IF(AND(V955&gt;=20,V955&lt;40,W955&gt;=45,W955&lt;95),0.2,0)+IF(AND(V955&gt;=20,V955&lt;40,W955&gt;=95,W955&lt;=150),0.17,0)+IF(AND(V955&gt;=20,V955&lt;40,W955&gt;=150),0.12,0)+IF(AND(V955&gt;=40,V955&lt;75,W955&lt;35),0.23,0)+IF(AND(V955&gt;=40,V955&lt;75,W955&gt;=35,W955&lt;75),0.2,0)+IF(AND(V955&gt;=40,V955&lt;75,W955&gt;=75,W955&lt;120),0.17,0)+IF(AND(V955&gt;=40,V955&lt;75,W955&gt;=120),0.12,0)+IF(AND(V955&gt;=75,V955&lt;175,W955&lt;35),0.23,0)+IF(AND(V955&gt;=75,V955&lt;=175,W955&gt;=35,W955&lt;65),0.2,0)+IF(AND(V955&gt;=75,V955&lt;=175,W955&gt;=65,W955&lt;110),0.17,0)+IF(AND(V955&gt;=75,V955&lt;=175,W955&gt;=110),0.12,0)+IF(AND(V955&gt;175,W955&lt;25),0.23,0)+IF(AND(V955&gt;175,W955&gt;=25,W955&lt;55),0.2,0)+IF(AND(V955&gt;175,W955&gt;=55,W955&lt;95),0.17,0)+IF(AND(V955&gt;175,W955&gt;=95),0.12,0),
IF(AF955="DoEVs1",IF(AND(V955&lt;20,W955&lt;55),0.3,0)+IF(AND(V955&lt;20,W955&gt;=55,W955&lt;105),0.23,0)+IF(AND(V955&lt;20,W955&gt;=105),0.17,0)+IF(AND(V955&gt;=20,V955&lt;40,W955&lt;45),0.3,0)+IF(AND(V955&gt;=20,V955&lt;40,W955&gt;=45,W955&lt;95),0.23,0)+IF(AND(V955&gt;=20,V955&lt;40,W955&gt;=95,W955&lt;=150),0.17,0)+IF(AND(V955&gt;=20,V955&lt;40,W955&gt;=150),0.12,0)+IF(AND(V955&gt;=40,V955&lt;75,W955&lt;35),0.3,0)+IF(AND(V955&gt;=40,V955&lt;75,W955&gt;=35,W955&lt;75),0.23,0)+IF(AND(V955&gt;=40,V955&lt;75,W955&gt;=75,W955&lt;120),0.17,0)+IF(AND(V955&gt;=40,V955&lt;75,W955&gt;=120),0.12,0)+IF(AND(V955&gt;=75,V955&lt;175,W955&lt;35),0.3,0)+IF(AND(V955&gt;=75,V955&lt;=175,W955&gt;=35,W955&lt;65),0.23,0)+IF(AND(V955&gt;=75,V955&lt;=175,W955&gt;=65,W955&lt;110),0.17,0)+IF(AND(V955&gt;=75,V955&lt;=175,W955&gt;=110),0.12,0)+IF(AND(V955&gt;175,W955&lt;25),0.3,0)+IF(AND(V955&gt;175,W955&gt;=25,W955&lt;55),0.23,0)+IF(AND(V955&gt;175,W955&gt;=55,W955&lt;95),0.17,0)+IF(AND(V955&gt;175,W955&gt;=95),0.12,0),
IF(AF955="DoEVsu",IF(AND(V955&lt;20,W955&lt;55),0.3,0)+IF(AND(V955&lt;20,W955&gt;=55,W955&lt;105),0.23,0)+IF(AND(V955&lt;20,W955&gt;=105),0.17,0)+IF(AND(V955&gt;=20,V955&lt;40,W955&lt;45),0.3,0)+IF(AND(V955&gt;=20,V955&lt;40,W955&gt;=45,W955&lt;95),0.23,0)+IF(AND(V955&gt;=20,V955&lt;40,W955&gt;=95,W955&lt;=250),0.17,0)+IF(AND(V955&gt;=20,V955&lt;40,W955&gt;=250),0.12,0)+IF(AND(V955&gt;=40,V955&lt;75,W955&lt;35),0.3,0)+IF(AND(V955&gt;=40,V955&lt;75,W955&gt;=35,W955&lt;75),0.23,0)+IF(AND(V955&gt;=40,V955&lt;75,W955&gt;=75,W955&lt;120),0.17,0)+IF(AND(V955&gt;=40,V955&lt;75,W955&gt;=120),0.12,0)+IF(AND(V955&gt;=75,V955&lt;175,W955&lt;35),0.3,0)+IF(AND(V955&gt;=75,V955&lt;=175,W955&gt;=35,W955&lt;65),0.23,0)+IF(AND(V955&gt;=75,V955&lt;=175,W955&gt;=65,W955&lt;110),0.17,0)+IF(AND(V955&gt;=75,V955&lt;=175,W955&gt;=110),0.12,0)+IF(AND(V955&gt;175,W955&lt;25),0.3,0)+IF(AND(V955&gt;175,W955&gt;=25,W955&lt;55),0.23,0)+IF(AND(V955&gt;175,W955&gt;=55,W955&lt;95),0.17,0)+IF(AND(V955&gt;175,W955&gt;=95),0.12,0),
IF(AF955="DoEVni",IF(AND(V955&lt;20,W955&lt;55),0.3,0)+IF(AND(V955&lt;20,W955&gt;=55,W955&lt;105),0.23,0)+IF(AND(V955&lt;20,W955&gt;=105),0.17,0)+IF(AND(V955&gt;=20,V955&lt;40,W955&lt;45),0.3,0)+IF(AND(V955&gt;=20,V955&lt;40,W955&gt;=45,W955&lt;95),0.23,0)+IF(AND(V955&gt;=20,V955&lt;40,W955&gt;=95,W955&lt;=200),0.17,0)+IF(AND(V955&gt;=20,V955&lt;40,W955&gt;=200),0.12,0)+IF(AND(V955&gt;=40,V955&lt;75,W955&lt;35),0.3,0)+IF(AND(V955&gt;=40,V955&lt;75,W955&gt;=35,W955&lt;75),0.23,0)+IF(AND(V955&gt;=40,V955&lt;75,W955&gt;=75,W955&lt;120),0.17,0)+IF(AND(V955&gt;=40,V955&lt;75,W955&gt;=120),0.12,0)+IF(AND(V955&gt;=75,V955&lt;175,W955&lt;35),0.3,0)+IF(AND(V955&gt;=75,V955&lt;=175,W955&gt;=35,W955&lt;65),0.23,0)+IF(AND(V955&gt;=75,V955&lt;=175,W955&gt;=65,W955&lt;110),0.17,0)+IF(AND(V955&gt;=75,V955&lt;=175,W955&gt;=110),0.12,0)+IF(AND(V955&gt;175,W955&lt;25),0.3,0)+IF(AND(V955&gt;175,W955&gt;=25,W955&lt;55),0.23,0)+IF(AND(V955&gt;175,W955&gt;=55,W955&lt;95),0.17,0)+IF(AND(V955&gt;175,W955&gt;=95),0.12,0),
IF(AF955="DoEVLo",IF(AND(V955&lt;20,W955&lt;55),0.25,0)+IF(AND(V955&lt;20,W955&gt;=55,W955&lt;105),0.2,0)+IF(AND(V955&lt;20,W955&gt;=105),0.15,0)+IF(AND(V955&gt;=20,V955&lt;40,W955&lt;45),0.25,0)+IF(AND(V955&gt;=20,V955&lt;40,W955&gt;=45,W955&lt;95),0.2,0)+IF(AND(V955&gt;=20,V955&lt;40,W955&gt;=95),0.15,0)+IF(AND(V955&gt;=40,V955&lt;75,W955&lt;35),0.25,0)+IF(AND(V955&gt;=40,V955&lt;75,W955&gt;=35,W955&lt;75),0.2,0)+IF(AND(V955&gt;=40,V955&lt;75,W955&gt;=75,W955&lt;120),0.15,0)+IF(AND(V955&gt;=40,V955&lt;75,W955&gt;=120),0.1,0)+IF(AND(V955&gt;=75,V955&lt;175,W955&lt;35),0.25,0)+IF(AND(V955&gt;=75,V955&lt;=175,W955&gt;=35,W955&lt;65),0.2,0)+IF(AND(V955&gt;=75,V955&lt;=175,W955&gt;=65,W955&lt;110),0.15,0)+IF(AND(V955&gt;=75,V955&lt;=175,W955&gt;=110),0.1,0)+IF(AND(V955&gt;175,W955&lt;25),0.25,0)+IF(AND(V955&gt;175,W955&gt;=25,W955&lt;55),0.2,0)+IF(AND(V955&gt;175,W955&gt;=55,W955&lt;95),0.15,0)+IF(AND(V955&gt;175,W955&gt;=95),0.1,0))))))))))))))))))</f>
        <v>0.09</v>
      </c>
      <c r="Y955" s="30">
        <f>IF(AG955="None",0,IF(AG955="Fix5",0.05, IF(AG955="Fix6.25",0.0625,IF(AG955="Fix3.75",0.0375,IF(AG955="Fix10",0.1,IF(AG955="Fix3",0.03,0))))))</f>
        <v>0.03</v>
      </c>
      <c r="Z955" s="35">
        <f>T955-AA955-AB955</f>
        <v>25.52</v>
      </c>
      <c r="AA955" s="29">
        <f>IF(AD955="EUR",((T955-R955)*X955)*U955+(R955*X955),(T955*X955))</f>
        <v>2.61</v>
      </c>
      <c r="AB955" s="36">
        <f>IF(AD955="EUR",((T955-R955)*Y955)*U955+(R955*Y955),(T955*Y955))</f>
        <v>0.87</v>
      </c>
      <c r="AC955" s="37" t="b">
        <v>1</v>
      </c>
      <c r="AD955" s="37" t="s">
        <v>38</v>
      </c>
      <c r="AE955" s="37" t="s">
        <v>38</v>
      </c>
      <c r="AF955" s="38" t="str">
        <f t="array" ref="AF955">INDEX('Deal Info'!D:D, MATCH(A955,'Deal Info'!A:A, 0))</f>
        <v>Fix9</v>
      </c>
      <c r="AG955" s="38" t="str">
        <f t="array" ref="AG955">INDEX('Deal Info'!G:G, MATCH(A955,'Deal Info'!A:A, 0))</f>
        <v>Fix3</v>
      </c>
    </row>
    <row r="956" spans="1:33" ht="14.25" hidden="1" x14ac:dyDescent="0.2">
      <c r="A956" s="18" t="str">
        <f t="array" ref="A956">IF(G956='Room Info'!$B$1, INDEX('Room Info'!$A$2:$A2446, MATCH(B956,'Room Info'!$B$2:$B2446, 0)),IF(G956='Room Info'!$C$1, INDEX('Room Info'!$A$2:$A2446, MATCH(B956,'Room Info'!$C$2:$C2446, 0)),IF(G956='Room Info'!$D$1, INDEX('Room Info'!$A$2:$A2446, MATCH(B956,'Room Info'!$D$2:$D2446, 0)),IF(G956='Room Info'!$E$1, INDEX('Room Info'!$A$2:$A2446, MATCH(B956,'Room Info'!$E$2:$E2446, 0)),IF(G956='Room Info'!$F$1, INDEX('Room Info'!$A$2:$A2446, MATCH(B956,'Room Info'!$F$2:$F2446, 0)),IF(G956='Room Info'!$H$1, INDEX('Room Info'!$A$2:$A2446, MATCH(B956,'Room Info'!$H$2:$H2446, 0)),IF(G956='Room Info'!$G$1, INDEX('Room Info'!$A$2:$A2446, MATCH(B956,'Room Info'!$G$2:$G2446, 0)))))))))</f>
        <v>Mandr1990</v>
      </c>
      <c r="B956" s="45" t="s">
        <v>185</v>
      </c>
      <c r="C956" s="46">
        <v>44641</v>
      </c>
      <c r="D956" s="46">
        <v>44671</v>
      </c>
      <c r="E956" s="47">
        <v>44652</v>
      </c>
      <c r="F956" s="48" t="s">
        <v>34</v>
      </c>
      <c r="G956" s="45" t="s">
        <v>80</v>
      </c>
      <c r="H956" s="49" t="s">
        <v>153</v>
      </c>
      <c r="I956" s="49" t="s">
        <v>81</v>
      </c>
      <c r="J956" s="50">
        <v>200</v>
      </c>
      <c r="K956" s="51">
        <v>4513</v>
      </c>
      <c r="L956" s="52">
        <v>-65200</v>
      </c>
      <c r="M956" s="53">
        <v>49114</v>
      </c>
      <c r="N956" s="28">
        <f>K956*J956</f>
        <v>902600</v>
      </c>
      <c r="O956" s="54">
        <v>38941</v>
      </c>
      <c r="P956" s="29">
        <v>8.6286284070000008</v>
      </c>
      <c r="Q956" s="55"/>
      <c r="R956" s="31">
        <f>M956+Q956</f>
        <v>49114</v>
      </c>
      <c r="S956" s="56">
        <v>-40863</v>
      </c>
      <c r="T956" s="32">
        <f>R956+S956+IF(F956="Without EV deal",L956,0)</f>
        <v>8251</v>
      </c>
      <c r="U956" s="57">
        <v>1</v>
      </c>
      <c r="V956" s="58"/>
      <c r="W956" s="58"/>
      <c r="X956" s="30">
        <f>IF(AF956="DoEV",IF(AND(V956&lt;20,W956&lt;55),0.3,0)+IF(AND(V956&lt;20,W956&gt;=55,W956&lt;105),0.23,0)+IF(AND(V956&lt;20,W956&gt;=105),0.17,0)+IF(AND(V956&gt;=20,V956&lt;40,W956&lt;45),0.3,0)+IF(AND(V956&gt;=20,V956&lt;40,W956&gt;=45,W956&lt;95),0.23,0)+IF(AND(V956&gt;=20,V956&lt;40,W956&gt;=95),0.17,0)+IF(AND(V956&gt;=40,V956&lt;75,W956&lt;35),0.3,0)+IF(AND(V956&gt;=40,V956&lt;75,W956&gt;=35,W956&lt;75),0.23,0)+IF(AND(V956&gt;=40,V956&lt;75,W956&gt;=75,W956&lt;120),0.17,0)+IF(AND(V956&gt;=40,V956&lt;75,W956&gt;=120),0.12,0)+IF(AND(V956&gt;=75,V956&lt;175,W956&lt;35),0.3,0)+IF(AND(V956&gt;=75,V956&lt;=175,W956&gt;=35,W956&lt;65),0.23,0)+IF(AND(V956&gt;=75,V956&lt;=175,W956&gt;=65,W956&lt;110),0.17,0)+IF(AND(V956&gt;=75,V956&lt;=175,W956&gt;=110),0.12,0)+IF(AND(V956&gt;175,W956&lt;25),0.3,0)+IF(AND(V956&gt;175,W956&gt;=25,W956&lt;55),0.23,0)+IF(AND(V956&gt;175,W956&gt;=55,W956&lt;95),0.17,0)+IF(AND(V956&gt;175,W956&gt;=95),0.12,0),
IF(AF956="Fix15",0.15,
IF(AF956="Fix18.75",0.1875,
IF(AF956="Fix11.25",0.1125,
IF(AF956="Fix10",0.1,
IF(AF956="Fix9",0.09,
IF(AF956="Fix19",0.19,
IF(AF956="DoEV2017",IF(AND(W956&lt;74),0.2,0)+IF(AND(W956&gt;=74),0.17,0),
IF(AF956="SF",IF(AND(V956&lt;20,W956&lt;89),0.3,0)+IF(AND(V956&lt;20,W956&gt;=89),0.25,0)+IF(AND(V956&gt;=20,V956&lt;40,W956&lt;74),0.3,0)+IF(AND(V956&gt;=20,V956&lt;40,W956&gt;=75),0.22,0)+IF(AND(V956&gt;=40,V956&lt;75,W956&lt;75),0.26,0)+IF(AND(V956&gt;=40,V956&lt;75,W956&gt;=75),0.22,0)+IF(V956&gt;=75,0.22,0),
IF(AF956="DoEVold",IF(AND(V956&lt;40,W956&lt;35),0.35,0)+IF(AND(V956&lt;40,W956&gt;=35,W956&lt;75),0.25,0)+IF(AND(V956&lt;40,W956&gt;=75),0.17,0)+IF(AND(V956&gt;=40,V956&lt;75,W956&lt;25),0.35,0)+IF(AND(V956&gt;=40,V956&lt;75,W956&gt;=25,W956&lt;65),0.25,0)+IF(AND(V956&gt;=40,V956&lt;75,W956&gt;=65,W956&lt;100),0.17,0)+IF(AND(V956&gt;=40,V956&lt;75,W956&gt;=100),0.1,0)+IF(AND(V956&gt;=75,W956&lt;25),0.35,0)+IF(AND(V956&gt;=75,W956&gt;=25,W956&lt;60),0.25,0)+IF(AND(V956&gt;=75,W956&gt;=60,W956&lt;95),0.17,0)+IF(AND(V956&gt;=75,W956&gt;=95),0.1,0),
IF(AF956="DoEVold15",IF(AND(V956&lt;=40,W956&lt;35),0.35,0)+IF(AND(V956&lt;=40,W956&gt;=35,W956&lt;75),0.25,0)+IF(AND(V956&lt;=40,W956&gt;=75,W956&lt;120),0.17,0)+IF(AND(V956&lt;=40,W956&gt;=120),0.15,0)+IF(AND(V956&gt;40,V956&lt;75,W956&lt;25),0.35,0)+IF(AND(V956&gt;=40,V956&lt;75,W956&gt;=25,W956&lt;65),0.25,0)+IF(AND(V956&gt;=40,V956&lt;75,W956&gt;=65,W956&lt;100),0.17,0)+IF(AND(V956&gt;=40,V956&lt;75,W956&gt;=100),0.1,0)+IF(AND(V956&gt;=75,W956&lt;25),0.35,0)+IF(AND(V956&gt;=75,W956&gt;=25,W956&lt;60),0.25,0)+IF(AND(V956&gt;=75,W956&gt;=60,W956&lt;95),0.17,0)+IF(AND(V956&gt;=75,W956&gt;=95),0.1,0),
IF(AF956="DoEVba",IF(AND(V956&lt;20,W956&lt;105),0.2,0)+IF(AND(V956&lt;20,W956&gt;=105),0.15,0)+IF(AND(V956&gt;=20,V956&lt;40,W956&lt;95),0.2,0)+IF(AND(V956&gt;=20,V956&lt;40,W956&gt;=95,W956&lt;150),0.15,0)+IF(AND(V956&gt;=20,V956&lt;40,W956&gt;=150),0.12,0)+IF(AND(V956&gt;=40,V956&lt;75,W956&lt;75),0.2,0)+IF(AND(V956&gt;=40,V956&lt;75,W956&gt;=75,W956&lt;120),0.15,0)+IF(AND(V956&gt;=40,V956&lt;75,W956&gt;=120),0.12,0)+IF(AND(V956&gt;=75,V956&lt;175,W956&lt;65),0.2,0)+IF(AND(V956&gt;=75,V956&lt;175,W956&gt;=65,W956&lt;110),0.15,0)+IF(AND(V956&gt;=75,V956&lt;175,W956&gt;=110),0.12,0)+IF(AND(V956&gt;=175,W956&lt;55),0.2,0)+IF(AND(V956&gt;=175,W956&gt;=55,W956&lt;95),0.15,0)+IF(AND(V956&gt;=175,W956&gt;=95),0.12,0),
IF(AF956="DoEVku",IF(AND(V956&lt;20,W956&lt;55),0.23,0)+IF(AND(V956&lt;20,W956&gt;=55,W956&lt;105),0.2,0)+IF(AND(V956&lt;20,W956&gt;=105),0.17,0)+IF(AND(V956&gt;=20,V956&lt;40,W956&lt;45),0.23,0)+IF(AND(V956&gt;=20,V956&lt;40,W956&gt;=45,W956&lt;95),0.2,0)+IF(AND(V956&gt;=20,V956&lt;40,W956&gt;=95,W956&lt;=150),0.17,0)+IF(AND(V956&gt;=20,V956&lt;40,W956&gt;=150),0.12,0)+IF(AND(V956&gt;=40,V956&lt;75,W956&lt;35),0.23,0)+IF(AND(V956&gt;=40,V956&lt;75,W956&gt;=35,W956&lt;75),0.2,0)+IF(AND(V956&gt;=40,V956&lt;75,W956&gt;=75,W956&lt;120),0.17,0)+IF(AND(V956&gt;=40,V956&lt;75,W956&gt;=120),0.12,0)+IF(AND(V956&gt;=75,V956&lt;175,W956&lt;35),0.23,0)+IF(AND(V956&gt;=75,V956&lt;=175,W956&gt;=35,W956&lt;65),0.2,0)+IF(AND(V956&gt;=75,V956&lt;=175,W956&gt;=65,W956&lt;110),0.17,0)+IF(AND(V956&gt;=75,V956&lt;=175,W956&gt;=110),0.12,0)+IF(AND(V956&gt;175,W956&lt;25),0.23,0)+IF(AND(V956&gt;175,W956&gt;=25,W956&lt;55),0.2,0)+IF(AND(V956&gt;175,W956&gt;=55,W956&lt;95),0.17,0)+IF(AND(V956&gt;175,W956&gt;=95),0.12,0),
IF(AF956="DoEVs1",IF(AND(V956&lt;20,W956&lt;55),0.3,0)+IF(AND(V956&lt;20,W956&gt;=55,W956&lt;105),0.23,0)+IF(AND(V956&lt;20,W956&gt;=105),0.17,0)+IF(AND(V956&gt;=20,V956&lt;40,W956&lt;45),0.3,0)+IF(AND(V956&gt;=20,V956&lt;40,W956&gt;=45,W956&lt;95),0.23,0)+IF(AND(V956&gt;=20,V956&lt;40,W956&gt;=95,W956&lt;=150),0.17,0)+IF(AND(V956&gt;=20,V956&lt;40,W956&gt;=150),0.12,0)+IF(AND(V956&gt;=40,V956&lt;75,W956&lt;35),0.3,0)+IF(AND(V956&gt;=40,V956&lt;75,W956&gt;=35,W956&lt;75),0.23,0)+IF(AND(V956&gt;=40,V956&lt;75,W956&gt;=75,W956&lt;120),0.17,0)+IF(AND(V956&gt;=40,V956&lt;75,W956&gt;=120),0.12,0)+IF(AND(V956&gt;=75,V956&lt;175,W956&lt;35),0.3,0)+IF(AND(V956&gt;=75,V956&lt;=175,W956&gt;=35,W956&lt;65),0.23,0)+IF(AND(V956&gt;=75,V956&lt;=175,W956&gt;=65,W956&lt;110),0.17,0)+IF(AND(V956&gt;=75,V956&lt;=175,W956&gt;=110),0.12,0)+IF(AND(V956&gt;175,W956&lt;25),0.3,0)+IF(AND(V956&gt;175,W956&gt;=25,W956&lt;55),0.23,0)+IF(AND(V956&gt;175,W956&gt;=55,W956&lt;95),0.17,0)+IF(AND(V956&gt;175,W956&gt;=95),0.12,0),
IF(AF956="DoEVsu",IF(AND(V956&lt;20,W956&lt;55),0.3,0)+IF(AND(V956&lt;20,W956&gt;=55,W956&lt;105),0.23,0)+IF(AND(V956&lt;20,W956&gt;=105),0.17,0)+IF(AND(V956&gt;=20,V956&lt;40,W956&lt;45),0.3,0)+IF(AND(V956&gt;=20,V956&lt;40,W956&gt;=45,W956&lt;95),0.23,0)+IF(AND(V956&gt;=20,V956&lt;40,W956&gt;=95,W956&lt;=250),0.17,0)+IF(AND(V956&gt;=20,V956&lt;40,W956&gt;=250),0.12,0)+IF(AND(V956&gt;=40,V956&lt;75,W956&lt;35),0.3,0)+IF(AND(V956&gt;=40,V956&lt;75,W956&gt;=35,W956&lt;75),0.23,0)+IF(AND(V956&gt;=40,V956&lt;75,W956&gt;=75,W956&lt;120),0.17,0)+IF(AND(V956&gt;=40,V956&lt;75,W956&gt;=120),0.12,0)+IF(AND(V956&gt;=75,V956&lt;175,W956&lt;35),0.3,0)+IF(AND(V956&gt;=75,V956&lt;=175,W956&gt;=35,W956&lt;65),0.23,0)+IF(AND(V956&gt;=75,V956&lt;=175,W956&gt;=65,W956&lt;110),0.17,0)+IF(AND(V956&gt;=75,V956&lt;=175,W956&gt;=110),0.12,0)+IF(AND(V956&gt;175,W956&lt;25),0.3,0)+IF(AND(V956&gt;175,W956&gt;=25,W956&lt;55),0.23,0)+IF(AND(V956&gt;175,W956&gt;=55,W956&lt;95),0.17,0)+IF(AND(V956&gt;175,W956&gt;=95),0.12,0),
IF(AF956="DoEVni",IF(AND(V956&lt;20,W956&lt;55),0.3,0)+IF(AND(V956&lt;20,W956&gt;=55,W956&lt;105),0.23,0)+IF(AND(V956&lt;20,W956&gt;=105),0.17,0)+IF(AND(V956&gt;=20,V956&lt;40,W956&lt;45),0.3,0)+IF(AND(V956&gt;=20,V956&lt;40,W956&gt;=45,W956&lt;95),0.23,0)+IF(AND(V956&gt;=20,V956&lt;40,W956&gt;=95,W956&lt;=200),0.17,0)+IF(AND(V956&gt;=20,V956&lt;40,W956&gt;=200),0.12,0)+IF(AND(V956&gt;=40,V956&lt;75,W956&lt;35),0.3,0)+IF(AND(V956&gt;=40,V956&lt;75,W956&gt;=35,W956&lt;75),0.23,0)+IF(AND(V956&gt;=40,V956&lt;75,W956&gt;=75,W956&lt;120),0.17,0)+IF(AND(V956&gt;=40,V956&lt;75,W956&gt;=120),0.12,0)+IF(AND(V956&gt;=75,V956&lt;175,W956&lt;35),0.3,0)+IF(AND(V956&gt;=75,V956&lt;=175,W956&gt;=35,W956&lt;65),0.23,0)+IF(AND(V956&gt;=75,V956&lt;=175,W956&gt;=65,W956&lt;110),0.17,0)+IF(AND(V956&gt;=75,V956&lt;=175,W956&gt;=110),0.12,0)+IF(AND(V956&gt;175,W956&lt;25),0.3,0)+IF(AND(V956&gt;175,W956&gt;=25,W956&lt;55),0.23,0)+IF(AND(V956&gt;175,W956&gt;=55,W956&lt;95),0.17,0)+IF(AND(V956&gt;175,W956&gt;=95),0.12,0),
IF(AF956="DoEVLo",IF(AND(V956&lt;20,W956&lt;55),0.25,0)+IF(AND(V956&lt;20,W956&gt;=55,W956&lt;105),0.2,0)+IF(AND(V956&lt;20,W956&gt;=105),0.15,0)+IF(AND(V956&gt;=20,V956&lt;40,W956&lt;45),0.25,0)+IF(AND(V956&gt;=20,V956&lt;40,W956&gt;=45,W956&lt;95),0.2,0)+IF(AND(V956&gt;=20,V956&lt;40,W956&gt;=95),0.15,0)+IF(AND(V956&gt;=40,V956&lt;75,W956&lt;35),0.25,0)+IF(AND(V956&gt;=40,V956&lt;75,W956&gt;=35,W956&lt;75),0.2,0)+IF(AND(V956&gt;=40,V956&lt;75,W956&gt;=75,W956&lt;120),0.15,0)+IF(AND(V956&gt;=40,V956&lt;75,W956&gt;=120),0.1,0)+IF(AND(V956&gt;=75,V956&lt;175,W956&lt;35),0.25,0)+IF(AND(V956&gt;=75,V956&lt;=175,W956&gt;=35,W956&lt;65),0.2,0)+IF(AND(V956&gt;=75,V956&lt;=175,W956&gt;=65,W956&lt;110),0.15,0)+IF(AND(V956&gt;=75,V956&lt;=175,W956&gt;=110),0.1,0)+IF(AND(V956&gt;175,W956&lt;25),0.25,0)+IF(AND(V956&gt;175,W956&gt;=25,W956&lt;55),0.2,0)+IF(AND(V956&gt;175,W956&gt;=55,W956&lt;95),0.15,0)+IF(AND(V956&gt;175,W956&gt;=95),0.1,0))))))))))))))))))</f>
        <v>0.09</v>
      </c>
      <c r="Y956" s="30">
        <f>IF(AG956="None",0,IF(AG956="Fix5",0.05, IF(AG956="Fix6.25",0.0625,IF(AG956="Fix3.75",0.0375,IF(AG956="Fix10",0.1,IF(AG956="Fix3",0.03,0))))))</f>
        <v>0.03</v>
      </c>
      <c r="Z956" s="35">
        <f>T956-AA956-AB956</f>
        <v>7260.88</v>
      </c>
      <c r="AA956" s="29">
        <f>IF(AD956="EUR",((T956-R956)*X956)*U956+(R956*X956),(T956*X956))</f>
        <v>742.58999999999992</v>
      </c>
      <c r="AB956" s="36">
        <f>IF(AD956="EUR",((T956-R956)*Y956)*U956+(R956*Y956),(T956*Y956))</f>
        <v>247.53</v>
      </c>
      <c r="AC956" s="37" t="b">
        <v>1</v>
      </c>
      <c r="AD956" s="37" t="s">
        <v>38</v>
      </c>
      <c r="AE956" s="37" t="s">
        <v>38</v>
      </c>
      <c r="AF956" s="38" t="str">
        <f t="array" ref="AF956">INDEX('Deal Info'!D:D, MATCH(A956,'Deal Info'!A:A, 0))</f>
        <v>Fix9</v>
      </c>
      <c r="AG956" s="38" t="str">
        <f t="array" ref="AG956">INDEX('Deal Info'!G:G, MATCH(A956,'Deal Info'!A:A, 0))</f>
        <v>Fix3</v>
      </c>
    </row>
    <row r="957" spans="1:33" ht="14.25" hidden="1" x14ac:dyDescent="0.2">
      <c r="A957" s="18" t="str">
        <f t="array" ref="A957">IF(G957='Room Info'!$B$1, INDEX('Room Info'!$A$2:$A2446, MATCH(B957,'Room Info'!$B$2:$B2446, 0)),IF(G957='Room Info'!$C$1, INDEX('Room Info'!$A$2:$A2446, MATCH(B957,'Room Info'!$C$2:$C2446, 0)),IF(G957='Room Info'!$D$1, INDEX('Room Info'!$A$2:$A2446, MATCH(B957,'Room Info'!$D$2:$D2446, 0)),IF(G957='Room Info'!$E$1, INDEX('Room Info'!$A$2:$A2446, MATCH(B957,'Room Info'!$E$2:$E2446, 0)),IF(G957='Room Info'!$F$1, INDEX('Room Info'!$A$2:$A2446, MATCH(B957,'Room Info'!$F$2:$F2446, 0)),IF(G957='Room Info'!$H$1, INDEX('Room Info'!$A$2:$A2446, MATCH(B957,'Room Info'!$H$2:$H2446, 0)),IF(G957='Room Info'!$G$1, INDEX('Room Info'!$A$2:$A2446, MATCH(B957,'Room Info'!$G$2:$G2446, 0)))))))))</f>
        <v>Mandr1990</v>
      </c>
      <c r="B957" s="45" t="s">
        <v>185</v>
      </c>
      <c r="C957" s="46">
        <v>44672</v>
      </c>
      <c r="D957" s="46">
        <v>44701</v>
      </c>
      <c r="E957" s="47">
        <v>44682</v>
      </c>
      <c r="F957" s="48" t="s">
        <v>34</v>
      </c>
      <c r="G957" s="45" t="s">
        <v>80</v>
      </c>
      <c r="H957" s="49" t="s">
        <v>70</v>
      </c>
      <c r="I957" s="49" t="s">
        <v>81</v>
      </c>
      <c r="J957" s="50">
        <v>100</v>
      </c>
      <c r="K957" s="51">
        <v>466</v>
      </c>
      <c r="L957" s="52">
        <v>-3300</v>
      </c>
      <c r="M957" s="53">
        <v>2533</v>
      </c>
      <c r="N957" s="28">
        <f>K957*J957</f>
        <v>46600</v>
      </c>
      <c r="O957" s="54">
        <v>5102</v>
      </c>
      <c r="P957" s="29">
        <v>10.948497850000001</v>
      </c>
      <c r="Q957" s="55"/>
      <c r="R957" s="31">
        <f>M957+Q957</f>
        <v>2533</v>
      </c>
      <c r="S957" s="56">
        <v>-1909</v>
      </c>
      <c r="T957" s="32">
        <f>R957+S957+IF(F957="Without EV deal",L957,0)</f>
        <v>624</v>
      </c>
      <c r="U957" s="57">
        <v>1</v>
      </c>
      <c r="V957" s="58"/>
      <c r="W957" s="58"/>
      <c r="X957" s="30">
        <f>IF(AF957="DoEV",IF(AND(V957&lt;20,W957&lt;55),0.3,0)+IF(AND(V957&lt;20,W957&gt;=55,W957&lt;105),0.23,0)+IF(AND(V957&lt;20,W957&gt;=105),0.17,0)+IF(AND(V957&gt;=20,V957&lt;40,W957&lt;45),0.3,0)+IF(AND(V957&gt;=20,V957&lt;40,W957&gt;=45,W957&lt;95),0.23,0)+IF(AND(V957&gt;=20,V957&lt;40,W957&gt;=95),0.17,0)+IF(AND(V957&gt;=40,V957&lt;75,W957&lt;35),0.3,0)+IF(AND(V957&gt;=40,V957&lt;75,W957&gt;=35,W957&lt;75),0.23,0)+IF(AND(V957&gt;=40,V957&lt;75,W957&gt;=75,W957&lt;120),0.17,0)+IF(AND(V957&gt;=40,V957&lt;75,W957&gt;=120),0.12,0)+IF(AND(V957&gt;=75,V957&lt;175,W957&lt;35),0.3,0)+IF(AND(V957&gt;=75,V957&lt;=175,W957&gt;=35,W957&lt;65),0.23,0)+IF(AND(V957&gt;=75,V957&lt;=175,W957&gt;=65,W957&lt;110),0.17,0)+IF(AND(V957&gt;=75,V957&lt;=175,W957&gt;=110),0.12,0)+IF(AND(V957&gt;175,W957&lt;25),0.3,0)+IF(AND(V957&gt;175,W957&gt;=25,W957&lt;55),0.23,0)+IF(AND(V957&gt;175,W957&gt;=55,W957&lt;95),0.17,0)+IF(AND(V957&gt;175,W957&gt;=95),0.12,0),
IF(AF957="Fix15",0.15,
IF(AF957="Fix18.75",0.1875,
IF(AF957="Fix11.25",0.1125,
IF(AF957="Fix10",0.1,
IF(AF957="Fix9",0.09,
IF(AF957="Fix19",0.19,
IF(AF957="DoEV2017",IF(AND(W957&lt;74),0.2,0)+IF(AND(W957&gt;=74),0.17,0),
IF(AF957="SF",IF(AND(V957&lt;20,W957&lt;89),0.3,0)+IF(AND(V957&lt;20,W957&gt;=89),0.25,0)+IF(AND(V957&gt;=20,V957&lt;40,W957&lt;74),0.3,0)+IF(AND(V957&gt;=20,V957&lt;40,W957&gt;=75),0.22,0)+IF(AND(V957&gt;=40,V957&lt;75,W957&lt;75),0.26,0)+IF(AND(V957&gt;=40,V957&lt;75,W957&gt;=75),0.22,0)+IF(V957&gt;=75,0.22,0),
IF(AF957="DoEVold",IF(AND(V957&lt;40,W957&lt;35),0.35,0)+IF(AND(V957&lt;40,W957&gt;=35,W957&lt;75),0.25,0)+IF(AND(V957&lt;40,W957&gt;=75),0.17,0)+IF(AND(V957&gt;=40,V957&lt;75,W957&lt;25),0.35,0)+IF(AND(V957&gt;=40,V957&lt;75,W957&gt;=25,W957&lt;65),0.25,0)+IF(AND(V957&gt;=40,V957&lt;75,W957&gt;=65,W957&lt;100),0.17,0)+IF(AND(V957&gt;=40,V957&lt;75,W957&gt;=100),0.1,0)+IF(AND(V957&gt;=75,W957&lt;25),0.35,0)+IF(AND(V957&gt;=75,W957&gt;=25,W957&lt;60),0.25,0)+IF(AND(V957&gt;=75,W957&gt;=60,W957&lt;95),0.17,0)+IF(AND(V957&gt;=75,W957&gt;=95),0.1,0),
IF(AF957="DoEVold15",IF(AND(V957&lt;=40,W957&lt;35),0.35,0)+IF(AND(V957&lt;=40,W957&gt;=35,W957&lt;75),0.25,0)+IF(AND(V957&lt;=40,W957&gt;=75,W957&lt;120),0.17,0)+IF(AND(V957&lt;=40,W957&gt;=120),0.15,0)+IF(AND(V957&gt;40,V957&lt;75,W957&lt;25),0.35,0)+IF(AND(V957&gt;=40,V957&lt;75,W957&gt;=25,W957&lt;65),0.25,0)+IF(AND(V957&gt;=40,V957&lt;75,W957&gt;=65,W957&lt;100),0.17,0)+IF(AND(V957&gt;=40,V957&lt;75,W957&gt;=100),0.1,0)+IF(AND(V957&gt;=75,W957&lt;25),0.35,0)+IF(AND(V957&gt;=75,W957&gt;=25,W957&lt;60),0.25,0)+IF(AND(V957&gt;=75,W957&gt;=60,W957&lt;95),0.17,0)+IF(AND(V957&gt;=75,W957&gt;=95),0.1,0),
IF(AF957="DoEVba",IF(AND(V957&lt;20,W957&lt;105),0.2,0)+IF(AND(V957&lt;20,W957&gt;=105),0.15,0)+IF(AND(V957&gt;=20,V957&lt;40,W957&lt;95),0.2,0)+IF(AND(V957&gt;=20,V957&lt;40,W957&gt;=95,W957&lt;150),0.15,0)+IF(AND(V957&gt;=20,V957&lt;40,W957&gt;=150),0.12,0)+IF(AND(V957&gt;=40,V957&lt;75,W957&lt;75),0.2,0)+IF(AND(V957&gt;=40,V957&lt;75,W957&gt;=75,W957&lt;120),0.15,0)+IF(AND(V957&gt;=40,V957&lt;75,W957&gt;=120),0.12,0)+IF(AND(V957&gt;=75,V957&lt;175,W957&lt;65),0.2,0)+IF(AND(V957&gt;=75,V957&lt;175,W957&gt;=65,W957&lt;110),0.15,0)+IF(AND(V957&gt;=75,V957&lt;175,W957&gt;=110),0.12,0)+IF(AND(V957&gt;=175,W957&lt;55),0.2,0)+IF(AND(V957&gt;=175,W957&gt;=55,W957&lt;95),0.15,0)+IF(AND(V957&gt;=175,W957&gt;=95),0.12,0),
IF(AF957="DoEVku",IF(AND(V957&lt;20,W957&lt;55),0.23,0)+IF(AND(V957&lt;20,W957&gt;=55,W957&lt;105),0.2,0)+IF(AND(V957&lt;20,W957&gt;=105),0.17,0)+IF(AND(V957&gt;=20,V957&lt;40,W957&lt;45),0.23,0)+IF(AND(V957&gt;=20,V957&lt;40,W957&gt;=45,W957&lt;95),0.2,0)+IF(AND(V957&gt;=20,V957&lt;40,W957&gt;=95,W957&lt;=150),0.17,0)+IF(AND(V957&gt;=20,V957&lt;40,W957&gt;=150),0.12,0)+IF(AND(V957&gt;=40,V957&lt;75,W957&lt;35),0.23,0)+IF(AND(V957&gt;=40,V957&lt;75,W957&gt;=35,W957&lt;75),0.2,0)+IF(AND(V957&gt;=40,V957&lt;75,W957&gt;=75,W957&lt;120),0.17,0)+IF(AND(V957&gt;=40,V957&lt;75,W957&gt;=120),0.12,0)+IF(AND(V957&gt;=75,V957&lt;175,W957&lt;35),0.23,0)+IF(AND(V957&gt;=75,V957&lt;=175,W957&gt;=35,W957&lt;65),0.2,0)+IF(AND(V957&gt;=75,V957&lt;=175,W957&gt;=65,W957&lt;110),0.17,0)+IF(AND(V957&gt;=75,V957&lt;=175,W957&gt;=110),0.12,0)+IF(AND(V957&gt;175,W957&lt;25),0.23,0)+IF(AND(V957&gt;175,W957&gt;=25,W957&lt;55),0.2,0)+IF(AND(V957&gt;175,W957&gt;=55,W957&lt;95),0.17,0)+IF(AND(V957&gt;175,W957&gt;=95),0.12,0),
IF(AF957="DoEVs1",IF(AND(V957&lt;20,W957&lt;55),0.3,0)+IF(AND(V957&lt;20,W957&gt;=55,W957&lt;105),0.23,0)+IF(AND(V957&lt;20,W957&gt;=105),0.17,0)+IF(AND(V957&gt;=20,V957&lt;40,W957&lt;45),0.3,0)+IF(AND(V957&gt;=20,V957&lt;40,W957&gt;=45,W957&lt;95),0.23,0)+IF(AND(V957&gt;=20,V957&lt;40,W957&gt;=95,W957&lt;=150),0.17,0)+IF(AND(V957&gt;=20,V957&lt;40,W957&gt;=150),0.12,0)+IF(AND(V957&gt;=40,V957&lt;75,W957&lt;35),0.3,0)+IF(AND(V957&gt;=40,V957&lt;75,W957&gt;=35,W957&lt;75),0.23,0)+IF(AND(V957&gt;=40,V957&lt;75,W957&gt;=75,W957&lt;120),0.17,0)+IF(AND(V957&gt;=40,V957&lt;75,W957&gt;=120),0.12,0)+IF(AND(V957&gt;=75,V957&lt;175,W957&lt;35),0.3,0)+IF(AND(V957&gt;=75,V957&lt;=175,W957&gt;=35,W957&lt;65),0.23,0)+IF(AND(V957&gt;=75,V957&lt;=175,W957&gt;=65,W957&lt;110),0.17,0)+IF(AND(V957&gt;=75,V957&lt;=175,W957&gt;=110),0.12,0)+IF(AND(V957&gt;175,W957&lt;25),0.3,0)+IF(AND(V957&gt;175,W957&gt;=25,W957&lt;55),0.23,0)+IF(AND(V957&gt;175,W957&gt;=55,W957&lt;95),0.17,0)+IF(AND(V957&gt;175,W957&gt;=95),0.12,0),
IF(AF957="DoEVsu",IF(AND(V957&lt;20,W957&lt;55),0.3,0)+IF(AND(V957&lt;20,W957&gt;=55,W957&lt;105),0.23,0)+IF(AND(V957&lt;20,W957&gt;=105),0.17,0)+IF(AND(V957&gt;=20,V957&lt;40,W957&lt;45),0.3,0)+IF(AND(V957&gt;=20,V957&lt;40,W957&gt;=45,W957&lt;95),0.23,0)+IF(AND(V957&gt;=20,V957&lt;40,W957&gt;=95,W957&lt;=250),0.17,0)+IF(AND(V957&gt;=20,V957&lt;40,W957&gt;=250),0.12,0)+IF(AND(V957&gt;=40,V957&lt;75,W957&lt;35),0.3,0)+IF(AND(V957&gt;=40,V957&lt;75,W957&gt;=35,W957&lt;75),0.23,0)+IF(AND(V957&gt;=40,V957&lt;75,W957&gt;=75,W957&lt;120),0.17,0)+IF(AND(V957&gt;=40,V957&lt;75,W957&gt;=120),0.12,0)+IF(AND(V957&gt;=75,V957&lt;175,W957&lt;35),0.3,0)+IF(AND(V957&gt;=75,V957&lt;=175,W957&gt;=35,W957&lt;65),0.23,0)+IF(AND(V957&gt;=75,V957&lt;=175,W957&gt;=65,W957&lt;110),0.17,0)+IF(AND(V957&gt;=75,V957&lt;=175,W957&gt;=110),0.12,0)+IF(AND(V957&gt;175,W957&lt;25),0.3,0)+IF(AND(V957&gt;175,W957&gt;=25,W957&lt;55),0.23,0)+IF(AND(V957&gt;175,W957&gt;=55,W957&lt;95),0.17,0)+IF(AND(V957&gt;175,W957&gt;=95),0.12,0),
IF(AF957="DoEVni",IF(AND(V957&lt;20,W957&lt;55),0.3,0)+IF(AND(V957&lt;20,W957&gt;=55,W957&lt;105),0.23,0)+IF(AND(V957&lt;20,W957&gt;=105),0.17,0)+IF(AND(V957&gt;=20,V957&lt;40,W957&lt;45),0.3,0)+IF(AND(V957&gt;=20,V957&lt;40,W957&gt;=45,W957&lt;95),0.23,0)+IF(AND(V957&gt;=20,V957&lt;40,W957&gt;=95,W957&lt;=200),0.17,0)+IF(AND(V957&gt;=20,V957&lt;40,W957&gt;=200),0.12,0)+IF(AND(V957&gt;=40,V957&lt;75,W957&lt;35),0.3,0)+IF(AND(V957&gt;=40,V957&lt;75,W957&gt;=35,W957&lt;75),0.23,0)+IF(AND(V957&gt;=40,V957&lt;75,W957&gt;=75,W957&lt;120),0.17,0)+IF(AND(V957&gt;=40,V957&lt;75,W957&gt;=120),0.12,0)+IF(AND(V957&gt;=75,V957&lt;175,W957&lt;35),0.3,0)+IF(AND(V957&gt;=75,V957&lt;=175,W957&gt;=35,W957&lt;65),0.23,0)+IF(AND(V957&gt;=75,V957&lt;=175,W957&gt;=65,W957&lt;110),0.17,0)+IF(AND(V957&gt;=75,V957&lt;=175,W957&gt;=110),0.12,0)+IF(AND(V957&gt;175,W957&lt;25),0.3,0)+IF(AND(V957&gt;175,W957&gt;=25,W957&lt;55),0.23,0)+IF(AND(V957&gt;175,W957&gt;=55,W957&lt;95),0.17,0)+IF(AND(V957&gt;175,W957&gt;=95),0.12,0),
IF(AF957="DoEVLo",IF(AND(V957&lt;20,W957&lt;55),0.25,0)+IF(AND(V957&lt;20,W957&gt;=55,W957&lt;105),0.2,0)+IF(AND(V957&lt;20,W957&gt;=105),0.15,0)+IF(AND(V957&gt;=20,V957&lt;40,W957&lt;45),0.25,0)+IF(AND(V957&gt;=20,V957&lt;40,W957&gt;=45,W957&lt;95),0.2,0)+IF(AND(V957&gt;=20,V957&lt;40,W957&gt;=95),0.15,0)+IF(AND(V957&gt;=40,V957&lt;75,W957&lt;35),0.25,0)+IF(AND(V957&gt;=40,V957&lt;75,W957&gt;=35,W957&lt;75),0.2,0)+IF(AND(V957&gt;=40,V957&lt;75,W957&gt;=75,W957&lt;120),0.15,0)+IF(AND(V957&gt;=40,V957&lt;75,W957&gt;=120),0.1,0)+IF(AND(V957&gt;=75,V957&lt;175,W957&lt;35),0.25,0)+IF(AND(V957&gt;=75,V957&lt;=175,W957&gt;=35,W957&lt;65),0.2,0)+IF(AND(V957&gt;=75,V957&lt;=175,W957&gt;=65,W957&lt;110),0.15,0)+IF(AND(V957&gt;=75,V957&lt;=175,W957&gt;=110),0.1,0)+IF(AND(V957&gt;175,W957&lt;25),0.25,0)+IF(AND(V957&gt;175,W957&gt;=25,W957&lt;55),0.2,0)+IF(AND(V957&gt;175,W957&gt;=55,W957&lt;95),0.15,0)+IF(AND(V957&gt;175,W957&gt;=95),0.1,0))))))))))))))))))</f>
        <v>0.09</v>
      </c>
      <c r="Y957" s="30">
        <f>IF(AG957="None",0,IF(AG957="Fix5",0.05, IF(AG957="Fix6.25",0.0625,IF(AG957="Fix3.75",0.0375,IF(AG957="Fix10",0.1,IF(AG957="Fix3",0.03,0))))))</f>
        <v>0.03</v>
      </c>
      <c r="Z957" s="35">
        <f>T957-AA957-AB957</f>
        <v>549.12</v>
      </c>
      <c r="AA957" s="29">
        <f>IF(AD957="EUR",((T957-R957)*X957)*U957+(R957*X957),(T957*X957))</f>
        <v>56.16</v>
      </c>
      <c r="AB957" s="36">
        <f>IF(AD957="EUR",((T957-R957)*Y957)*U957+(R957*Y957),(T957*Y957))</f>
        <v>18.72</v>
      </c>
      <c r="AC957" s="37" t="b">
        <v>1</v>
      </c>
      <c r="AD957" s="37" t="s">
        <v>38</v>
      </c>
      <c r="AE957" s="37" t="s">
        <v>38</v>
      </c>
      <c r="AF957" s="38" t="str">
        <f t="array" ref="AF957">INDEX('Deal Info'!D:D, MATCH(A957,'Deal Info'!A:A, 0))</f>
        <v>Fix9</v>
      </c>
      <c r="AG957" s="38" t="str">
        <f t="array" ref="AG957">INDEX('Deal Info'!G:G, MATCH(A957,'Deal Info'!A:A, 0))</f>
        <v>Fix3</v>
      </c>
    </row>
    <row r="958" spans="1:33" ht="14.25" hidden="1" x14ac:dyDescent="0.2">
      <c r="A958" s="18" t="str">
        <f t="array" ref="A958">IF(G958='Room Info'!$B$1, INDEX('Room Info'!$A$2:$A2446, MATCH(B958,'Room Info'!$B$2:$B2446, 0)),IF(G958='Room Info'!$C$1, INDEX('Room Info'!$A$2:$A2446, MATCH(B958,'Room Info'!$C$2:$C2446, 0)),IF(G958='Room Info'!$D$1, INDEX('Room Info'!$A$2:$A2446, MATCH(B958,'Room Info'!$D$2:$D2446, 0)),IF(G958='Room Info'!$E$1, INDEX('Room Info'!$A$2:$A2446, MATCH(B958,'Room Info'!$E$2:$E2446, 0)),IF(G958='Room Info'!$F$1, INDEX('Room Info'!$A$2:$A2446, MATCH(B958,'Room Info'!$F$2:$F2446, 0)),IF(G958='Room Info'!$H$1, INDEX('Room Info'!$A$2:$A2446, MATCH(B958,'Room Info'!$H$2:$H2446, 0)),IF(G958='Room Info'!$G$1, INDEX('Room Info'!$A$2:$A2446, MATCH(B958,'Room Info'!$G$2:$G2446, 0)))))))))</f>
        <v>Mandr1990</v>
      </c>
      <c r="B958" s="45" t="s">
        <v>185</v>
      </c>
      <c r="C958" s="46">
        <v>44672</v>
      </c>
      <c r="D958" s="46">
        <v>44701</v>
      </c>
      <c r="E958" s="47">
        <v>44682</v>
      </c>
      <c r="F958" s="48" t="s">
        <v>34</v>
      </c>
      <c r="G958" s="45" t="s">
        <v>80</v>
      </c>
      <c r="H958" s="49" t="s">
        <v>153</v>
      </c>
      <c r="I958" s="49" t="s">
        <v>81</v>
      </c>
      <c r="J958" s="50">
        <v>200</v>
      </c>
      <c r="K958" s="51">
        <v>2709</v>
      </c>
      <c r="L958" s="52">
        <v>-22200</v>
      </c>
      <c r="M958" s="53">
        <v>29447</v>
      </c>
      <c r="N958" s="28">
        <f>K958*J958</f>
        <v>541800</v>
      </c>
      <c r="O958" s="54">
        <v>6716</v>
      </c>
      <c r="P958" s="29">
        <v>2.479143595</v>
      </c>
      <c r="Q958" s="55"/>
      <c r="R958" s="31">
        <f>M958+Q958</f>
        <v>29447</v>
      </c>
      <c r="S958" s="56">
        <v>-35391</v>
      </c>
      <c r="T958" s="32">
        <f>R958+S958+IF(F958="Without EV deal",L958,0)</f>
        <v>-5944</v>
      </c>
      <c r="U958" s="57">
        <v>1</v>
      </c>
      <c r="V958" s="58"/>
      <c r="W958" s="58"/>
      <c r="X958" s="30">
        <f>IF(AF958="DoEV",IF(AND(V958&lt;20,W958&lt;55),0.3,0)+IF(AND(V958&lt;20,W958&gt;=55,W958&lt;105),0.23,0)+IF(AND(V958&lt;20,W958&gt;=105),0.17,0)+IF(AND(V958&gt;=20,V958&lt;40,W958&lt;45),0.3,0)+IF(AND(V958&gt;=20,V958&lt;40,W958&gt;=45,W958&lt;95),0.23,0)+IF(AND(V958&gt;=20,V958&lt;40,W958&gt;=95),0.17,0)+IF(AND(V958&gt;=40,V958&lt;75,W958&lt;35),0.3,0)+IF(AND(V958&gt;=40,V958&lt;75,W958&gt;=35,W958&lt;75),0.23,0)+IF(AND(V958&gt;=40,V958&lt;75,W958&gt;=75,W958&lt;120),0.17,0)+IF(AND(V958&gt;=40,V958&lt;75,W958&gt;=120),0.12,0)+IF(AND(V958&gt;=75,V958&lt;175,W958&lt;35),0.3,0)+IF(AND(V958&gt;=75,V958&lt;=175,W958&gt;=35,W958&lt;65),0.23,0)+IF(AND(V958&gt;=75,V958&lt;=175,W958&gt;=65,W958&lt;110),0.17,0)+IF(AND(V958&gt;=75,V958&lt;=175,W958&gt;=110),0.12,0)+IF(AND(V958&gt;175,W958&lt;25),0.3,0)+IF(AND(V958&gt;175,W958&gt;=25,W958&lt;55),0.23,0)+IF(AND(V958&gt;175,W958&gt;=55,W958&lt;95),0.17,0)+IF(AND(V958&gt;175,W958&gt;=95),0.12,0),
IF(AF958="Fix15",0.15,
IF(AF958="Fix18.75",0.1875,
IF(AF958="Fix11.25",0.1125,
IF(AF958="Fix10",0.1,
IF(AF958="Fix9",0.09,
IF(AF958="Fix19",0.19,
IF(AF958="DoEV2017",IF(AND(W958&lt;74),0.2,0)+IF(AND(W958&gt;=74),0.17,0),
IF(AF958="SF",IF(AND(V958&lt;20,W958&lt;89),0.3,0)+IF(AND(V958&lt;20,W958&gt;=89),0.25,0)+IF(AND(V958&gt;=20,V958&lt;40,W958&lt;74),0.3,0)+IF(AND(V958&gt;=20,V958&lt;40,W958&gt;=75),0.22,0)+IF(AND(V958&gt;=40,V958&lt;75,W958&lt;75),0.26,0)+IF(AND(V958&gt;=40,V958&lt;75,W958&gt;=75),0.22,0)+IF(V958&gt;=75,0.22,0),
IF(AF958="DoEVold",IF(AND(V958&lt;40,W958&lt;35),0.35,0)+IF(AND(V958&lt;40,W958&gt;=35,W958&lt;75),0.25,0)+IF(AND(V958&lt;40,W958&gt;=75),0.17,0)+IF(AND(V958&gt;=40,V958&lt;75,W958&lt;25),0.35,0)+IF(AND(V958&gt;=40,V958&lt;75,W958&gt;=25,W958&lt;65),0.25,0)+IF(AND(V958&gt;=40,V958&lt;75,W958&gt;=65,W958&lt;100),0.17,0)+IF(AND(V958&gt;=40,V958&lt;75,W958&gt;=100),0.1,0)+IF(AND(V958&gt;=75,W958&lt;25),0.35,0)+IF(AND(V958&gt;=75,W958&gt;=25,W958&lt;60),0.25,0)+IF(AND(V958&gt;=75,W958&gt;=60,W958&lt;95),0.17,0)+IF(AND(V958&gt;=75,W958&gt;=95),0.1,0),
IF(AF958="DoEVold15",IF(AND(V958&lt;=40,W958&lt;35),0.35,0)+IF(AND(V958&lt;=40,W958&gt;=35,W958&lt;75),0.25,0)+IF(AND(V958&lt;=40,W958&gt;=75,W958&lt;120),0.17,0)+IF(AND(V958&lt;=40,W958&gt;=120),0.15,0)+IF(AND(V958&gt;40,V958&lt;75,W958&lt;25),0.35,0)+IF(AND(V958&gt;=40,V958&lt;75,W958&gt;=25,W958&lt;65),0.25,0)+IF(AND(V958&gt;=40,V958&lt;75,W958&gt;=65,W958&lt;100),0.17,0)+IF(AND(V958&gt;=40,V958&lt;75,W958&gt;=100),0.1,0)+IF(AND(V958&gt;=75,W958&lt;25),0.35,0)+IF(AND(V958&gt;=75,W958&gt;=25,W958&lt;60),0.25,0)+IF(AND(V958&gt;=75,W958&gt;=60,W958&lt;95),0.17,0)+IF(AND(V958&gt;=75,W958&gt;=95),0.1,0),
IF(AF958="DoEVba",IF(AND(V958&lt;20,W958&lt;105),0.2,0)+IF(AND(V958&lt;20,W958&gt;=105),0.15,0)+IF(AND(V958&gt;=20,V958&lt;40,W958&lt;95),0.2,0)+IF(AND(V958&gt;=20,V958&lt;40,W958&gt;=95,W958&lt;150),0.15,0)+IF(AND(V958&gt;=20,V958&lt;40,W958&gt;=150),0.12,0)+IF(AND(V958&gt;=40,V958&lt;75,W958&lt;75),0.2,0)+IF(AND(V958&gt;=40,V958&lt;75,W958&gt;=75,W958&lt;120),0.15,0)+IF(AND(V958&gt;=40,V958&lt;75,W958&gt;=120),0.12,0)+IF(AND(V958&gt;=75,V958&lt;175,W958&lt;65),0.2,0)+IF(AND(V958&gt;=75,V958&lt;175,W958&gt;=65,W958&lt;110),0.15,0)+IF(AND(V958&gt;=75,V958&lt;175,W958&gt;=110),0.12,0)+IF(AND(V958&gt;=175,W958&lt;55),0.2,0)+IF(AND(V958&gt;=175,W958&gt;=55,W958&lt;95),0.15,0)+IF(AND(V958&gt;=175,W958&gt;=95),0.12,0),
IF(AF958="DoEVku",IF(AND(V958&lt;20,W958&lt;55),0.23,0)+IF(AND(V958&lt;20,W958&gt;=55,W958&lt;105),0.2,0)+IF(AND(V958&lt;20,W958&gt;=105),0.17,0)+IF(AND(V958&gt;=20,V958&lt;40,W958&lt;45),0.23,0)+IF(AND(V958&gt;=20,V958&lt;40,W958&gt;=45,W958&lt;95),0.2,0)+IF(AND(V958&gt;=20,V958&lt;40,W958&gt;=95,W958&lt;=150),0.17,0)+IF(AND(V958&gt;=20,V958&lt;40,W958&gt;=150),0.12,0)+IF(AND(V958&gt;=40,V958&lt;75,W958&lt;35),0.23,0)+IF(AND(V958&gt;=40,V958&lt;75,W958&gt;=35,W958&lt;75),0.2,0)+IF(AND(V958&gt;=40,V958&lt;75,W958&gt;=75,W958&lt;120),0.17,0)+IF(AND(V958&gt;=40,V958&lt;75,W958&gt;=120),0.12,0)+IF(AND(V958&gt;=75,V958&lt;175,W958&lt;35),0.23,0)+IF(AND(V958&gt;=75,V958&lt;=175,W958&gt;=35,W958&lt;65),0.2,0)+IF(AND(V958&gt;=75,V958&lt;=175,W958&gt;=65,W958&lt;110),0.17,0)+IF(AND(V958&gt;=75,V958&lt;=175,W958&gt;=110),0.12,0)+IF(AND(V958&gt;175,W958&lt;25),0.23,0)+IF(AND(V958&gt;175,W958&gt;=25,W958&lt;55),0.2,0)+IF(AND(V958&gt;175,W958&gt;=55,W958&lt;95),0.17,0)+IF(AND(V958&gt;175,W958&gt;=95),0.12,0),
IF(AF958="DoEVs1",IF(AND(V958&lt;20,W958&lt;55),0.3,0)+IF(AND(V958&lt;20,W958&gt;=55,W958&lt;105),0.23,0)+IF(AND(V958&lt;20,W958&gt;=105),0.17,0)+IF(AND(V958&gt;=20,V958&lt;40,W958&lt;45),0.3,0)+IF(AND(V958&gt;=20,V958&lt;40,W958&gt;=45,W958&lt;95),0.23,0)+IF(AND(V958&gt;=20,V958&lt;40,W958&gt;=95,W958&lt;=150),0.17,0)+IF(AND(V958&gt;=20,V958&lt;40,W958&gt;=150),0.12,0)+IF(AND(V958&gt;=40,V958&lt;75,W958&lt;35),0.3,0)+IF(AND(V958&gt;=40,V958&lt;75,W958&gt;=35,W958&lt;75),0.23,0)+IF(AND(V958&gt;=40,V958&lt;75,W958&gt;=75,W958&lt;120),0.17,0)+IF(AND(V958&gt;=40,V958&lt;75,W958&gt;=120),0.12,0)+IF(AND(V958&gt;=75,V958&lt;175,W958&lt;35),0.3,0)+IF(AND(V958&gt;=75,V958&lt;=175,W958&gt;=35,W958&lt;65),0.23,0)+IF(AND(V958&gt;=75,V958&lt;=175,W958&gt;=65,W958&lt;110),0.17,0)+IF(AND(V958&gt;=75,V958&lt;=175,W958&gt;=110),0.12,0)+IF(AND(V958&gt;175,W958&lt;25),0.3,0)+IF(AND(V958&gt;175,W958&gt;=25,W958&lt;55),0.23,0)+IF(AND(V958&gt;175,W958&gt;=55,W958&lt;95),0.17,0)+IF(AND(V958&gt;175,W958&gt;=95),0.12,0),
IF(AF958="DoEVsu",IF(AND(V958&lt;20,W958&lt;55),0.3,0)+IF(AND(V958&lt;20,W958&gt;=55,W958&lt;105),0.23,0)+IF(AND(V958&lt;20,W958&gt;=105),0.17,0)+IF(AND(V958&gt;=20,V958&lt;40,W958&lt;45),0.3,0)+IF(AND(V958&gt;=20,V958&lt;40,W958&gt;=45,W958&lt;95),0.23,0)+IF(AND(V958&gt;=20,V958&lt;40,W958&gt;=95,W958&lt;=250),0.17,0)+IF(AND(V958&gt;=20,V958&lt;40,W958&gt;=250),0.12,0)+IF(AND(V958&gt;=40,V958&lt;75,W958&lt;35),0.3,0)+IF(AND(V958&gt;=40,V958&lt;75,W958&gt;=35,W958&lt;75),0.23,0)+IF(AND(V958&gt;=40,V958&lt;75,W958&gt;=75,W958&lt;120),0.17,0)+IF(AND(V958&gt;=40,V958&lt;75,W958&gt;=120),0.12,0)+IF(AND(V958&gt;=75,V958&lt;175,W958&lt;35),0.3,0)+IF(AND(V958&gt;=75,V958&lt;=175,W958&gt;=35,W958&lt;65),0.23,0)+IF(AND(V958&gt;=75,V958&lt;=175,W958&gt;=65,W958&lt;110),0.17,0)+IF(AND(V958&gt;=75,V958&lt;=175,W958&gt;=110),0.12,0)+IF(AND(V958&gt;175,W958&lt;25),0.3,0)+IF(AND(V958&gt;175,W958&gt;=25,W958&lt;55),0.23,0)+IF(AND(V958&gt;175,W958&gt;=55,W958&lt;95),0.17,0)+IF(AND(V958&gt;175,W958&gt;=95),0.12,0),
IF(AF958="DoEVni",IF(AND(V958&lt;20,W958&lt;55),0.3,0)+IF(AND(V958&lt;20,W958&gt;=55,W958&lt;105),0.23,0)+IF(AND(V958&lt;20,W958&gt;=105),0.17,0)+IF(AND(V958&gt;=20,V958&lt;40,W958&lt;45),0.3,0)+IF(AND(V958&gt;=20,V958&lt;40,W958&gt;=45,W958&lt;95),0.23,0)+IF(AND(V958&gt;=20,V958&lt;40,W958&gt;=95,W958&lt;=200),0.17,0)+IF(AND(V958&gt;=20,V958&lt;40,W958&gt;=200),0.12,0)+IF(AND(V958&gt;=40,V958&lt;75,W958&lt;35),0.3,0)+IF(AND(V958&gt;=40,V958&lt;75,W958&gt;=35,W958&lt;75),0.23,0)+IF(AND(V958&gt;=40,V958&lt;75,W958&gt;=75,W958&lt;120),0.17,0)+IF(AND(V958&gt;=40,V958&lt;75,W958&gt;=120),0.12,0)+IF(AND(V958&gt;=75,V958&lt;175,W958&lt;35),0.3,0)+IF(AND(V958&gt;=75,V958&lt;=175,W958&gt;=35,W958&lt;65),0.23,0)+IF(AND(V958&gt;=75,V958&lt;=175,W958&gt;=65,W958&lt;110),0.17,0)+IF(AND(V958&gt;=75,V958&lt;=175,W958&gt;=110),0.12,0)+IF(AND(V958&gt;175,W958&lt;25),0.3,0)+IF(AND(V958&gt;175,W958&gt;=25,W958&lt;55),0.23,0)+IF(AND(V958&gt;175,W958&gt;=55,W958&lt;95),0.17,0)+IF(AND(V958&gt;175,W958&gt;=95),0.12,0),
IF(AF958="DoEVLo",IF(AND(V958&lt;20,W958&lt;55),0.25,0)+IF(AND(V958&lt;20,W958&gt;=55,W958&lt;105),0.2,0)+IF(AND(V958&lt;20,W958&gt;=105),0.15,0)+IF(AND(V958&gt;=20,V958&lt;40,W958&lt;45),0.25,0)+IF(AND(V958&gt;=20,V958&lt;40,W958&gt;=45,W958&lt;95),0.2,0)+IF(AND(V958&gt;=20,V958&lt;40,W958&gt;=95),0.15,0)+IF(AND(V958&gt;=40,V958&lt;75,W958&lt;35),0.25,0)+IF(AND(V958&gt;=40,V958&lt;75,W958&gt;=35,W958&lt;75),0.2,0)+IF(AND(V958&gt;=40,V958&lt;75,W958&gt;=75,W958&lt;120),0.15,0)+IF(AND(V958&gt;=40,V958&lt;75,W958&gt;=120),0.1,0)+IF(AND(V958&gt;=75,V958&lt;175,W958&lt;35),0.25,0)+IF(AND(V958&gt;=75,V958&lt;=175,W958&gt;=35,W958&lt;65),0.2,0)+IF(AND(V958&gt;=75,V958&lt;=175,W958&gt;=65,W958&lt;110),0.15,0)+IF(AND(V958&gt;=75,V958&lt;=175,W958&gt;=110),0.1,0)+IF(AND(V958&gt;175,W958&lt;25),0.25,0)+IF(AND(V958&gt;175,W958&gt;=25,W958&lt;55),0.2,0)+IF(AND(V958&gt;175,W958&gt;=55,W958&lt;95),0.15,0)+IF(AND(V958&gt;175,W958&gt;=95),0.1,0))))))))))))))))))</f>
        <v>0.09</v>
      </c>
      <c r="Y958" s="30">
        <f>IF(AG958="None",0,IF(AG958="Fix5",0.05, IF(AG958="Fix6.25",0.0625,IF(AG958="Fix3.75",0.0375,IF(AG958="Fix10",0.1,IF(AG958="Fix3",0.03,0))))))</f>
        <v>0.03</v>
      </c>
      <c r="Z958" s="35">
        <f>T958-AA958-AB958</f>
        <v>-5230.72</v>
      </c>
      <c r="AA958" s="29">
        <f>IF(AD958="EUR",((T958-R958)*X958)*U958+(R958*X958),(T958*X958))</f>
        <v>-534.96</v>
      </c>
      <c r="AB958" s="36">
        <f>IF(AD958="EUR",((T958-R958)*Y958)*U958+(R958*Y958),(T958*Y958))</f>
        <v>-178.32</v>
      </c>
      <c r="AC958" s="37" t="b">
        <v>1</v>
      </c>
      <c r="AD958" s="37" t="s">
        <v>38</v>
      </c>
      <c r="AE958" s="37" t="s">
        <v>38</v>
      </c>
      <c r="AF958" s="38" t="str">
        <f t="array" ref="AF958">INDEX('Deal Info'!D:D, MATCH(A958,'Deal Info'!A:A, 0))</f>
        <v>Fix9</v>
      </c>
      <c r="AG958" s="38" t="str">
        <f t="array" ref="AG958">INDEX('Deal Info'!G:G, MATCH(A958,'Deal Info'!A:A, 0))</f>
        <v>Fix3</v>
      </c>
    </row>
    <row r="959" spans="1:33" ht="14.25" hidden="1" x14ac:dyDescent="0.2">
      <c r="A959" s="18" t="str">
        <f t="array" ref="A959">IF(G959='Room Info'!$B$1, INDEX('Room Info'!$A$2:$A2446, MATCH(B959,'Room Info'!$B$2:$B2446, 0)),IF(G959='Room Info'!$C$1, INDEX('Room Info'!$A$2:$A2446, MATCH(B959,'Room Info'!$C$2:$C2446, 0)),IF(G959='Room Info'!$D$1, INDEX('Room Info'!$A$2:$A2446, MATCH(B959,'Room Info'!$D$2:$D2446, 0)),IF(G959='Room Info'!$E$1, INDEX('Room Info'!$A$2:$A2446, MATCH(B959,'Room Info'!$E$2:$E2446, 0)),IF(G959='Room Info'!$F$1, INDEX('Room Info'!$A$2:$A2446, MATCH(B959,'Room Info'!$F$2:$F2446, 0)),IF(G959='Room Info'!$H$1, INDEX('Room Info'!$A$2:$A2446, MATCH(B959,'Room Info'!$H$2:$H2446, 0)),IF(G959='Room Info'!$G$1, INDEX('Room Info'!$A$2:$A2446, MATCH(B959,'Room Info'!$G$2:$G2446, 0)))))))))</f>
        <v>Mandr1990</v>
      </c>
      <c r="B959" s="45" t="s">
        <v>185</v>
      </c>
      <c r="C959" s="46">
        <v>44702</v>
      </c>
      <c r="D959" s="46">
        <v>44732</v>
      </c>
      <c r="E959" s="47">
        <v>44713</v>
      </c>
      <c r="F959" s="48" t="s">
        <v>34</v>
      </c>
      <c r="G959" s="45" t="s">
        <v>80</v>
      </c>
      <c r="H959" s="49" t="s">
        <v>70</v>
      </c>
      <c r="I959" s="49" t="s">
        <v>81</v>
      </c>
      <c r="J959" s="50">
        <v>100</v>
      </c>
      <c r="K959" s="51">
        <v>9217</v>
      </c>
      <c r="L959" s="52">
        <v>-41500</v>
      </c>
      <c r="M959" s="53">
        <v>51944</v>
      </c>
      <c r="N959" s="28">
        <f>K959*J959</f>
        <v>921700</v>
      </c>
      <c r="O959" s="54">
        <v>46830</v>
      </c>
      <c r="P959" s="29">
        <v>5.0808289029999996</v>
      </c>
      <c r="Q959" s="55"/>
      <c r="R959" s="31">
        <f>M959+Q959</f>
        <v>51944</v>
      </c>
      <c r="S959" s="56">
        <v>-52523</v>
      </c>
      <c r="T959" s="32">
        <f>R959+S959+IF(F959="Without EV deal",L959,0)</f>
        <v>-579</v>
      </c>
      <c r="U959" s="57">
        <v>1</v>
      </c>
      <c r="V959" s="58"/>
      <c r="W959" s="58"/>
      <c r="X959" s="30">
        <f>IF(AF959="DoEV",IF(AND(V959&lt;20,W959&lt;55),0.3,0)+IF(AND(V959&lt;20,W959&gt;=55,W959&lt;105),0.23,0)+IF(AND(V959&lt;20,W959&gt;=105),0.17,0)+IF(AND(V959&gt;=20,V959&lt;40,W959&lt;45),0.3,0)+IF(AND(V959&gt;=20,V959&lt;40,W959&gt;=45,W959&lt;95),0.23,0)+IF(AND(V959&gt;=20,V959&lt;40,W959&gt;=95),0.17,0)+IF(AND(V959&gt;=40,V959&lt;75,W959&lt;35),0.3,0)+IF(AND(V959&gt;=40,V959&lt;75,W959&gt;=35,W959&lt;75),0.23,0)+IF(AND(V959&gt;=40,V959&lt;75,W959&gt;=75,W959&lt;120),0.17,0)+IF(AND(V959&gt;=40,V959&lt;75,W959&gt;=120),0.12,0)+IF(AND(V959&gt;=75,V959&lt;175,W959&lt;35),0.3,0)+IF(AND(V959&gt;=75,V959&lt;=175,W959&gt;=35,W959&lt;65),0.23,0)+IF(AND(V959&gt;=75,V959&lt;=175,W959&gt;=65,W959&lt;110),0.17,0)+IF(AND(V959&gt;=75,V959&lt;=175,W959&gt;=110),0.12,0)+IF(AND(V959&gt;175,W959&lt;25),0.3,0)+IF(AND(V959&gt;175,W959&gt;=25,W959&lt;55),0.23,0)+IF(AND(V959&gt;175,W959&gt;=55,W959&lt;95),0.17,0)+IF(AND(V959&gt;175,W959&gt;=95),0.12,0),
IF(AF959="Fix15",0.15,
IF(AF959="Fix18.75",0.1875,
IF(AF959="Fix11.25",0.1125,
IF(AF959="Fix10",0.1,
IF(AF959="Fix9",0.09,
IF(AF959="Fix19",0.19,
IF(AF959="DoEV2017",IF(AND(W959&lt;74),0.2,0)+IF(AND(W959&gt;=74),0.17,0),
IF(AF959="SF",IF(AND(V959&lt;20,W959&lt;89),0.3,0)+IF(AND(V959&lt;20,W959&gt;=89),0.25,0)+IF(AND(V959&gt;=20,V959&lt;40,W959&lt;74),0.3,0)+IF(AND(V959&gt;=20,V959&lt;40,W959&gt;=75),0.22,0)+IF(AND(V959&gt;=40,V959&lt;75,W959&lt;75),0.26,0)+IF(AND(V959&gt;=40,V959&lt;75,W959&gt;=75),0.22,0)+IF(V959&gt;=75,0.22,0),
IF(AF959="DoEVold",IF(AND(V959&lt;40,W959&lt;35),0.35,0)+IF(AND(V959&lt;40,W959&gt;=35,W959&lt;75),0.25,0)+IF(AND(V959&lt;40,W959&gt;=75),0.17,0)+IF(AND(V959&gt;=40,V959&lt;75,W959&lt;25),0.35,0)+IF(AND(V959&gt;=40,V959&lt;75,W959&gt;=25,W959&lt;65),0.25,0)+IF(AND(V959&gt;=40,V959&lt;75,W959&gt;=65,W959&lt;100),0.17,0)+IF(AND(V959&gt;=40,V959&lt;75,W959&gt;=100),0.1,0)+IF(AND(V959&gt;=75,W959&lt;25),0.35,0)+IF(AND(V959&gt;=75,W959&gt;=25,W959&lt;60),0.25,0)+IF(AND(V959&gt;=75,W959&gt;=60,W959&lt;95),0.17,0)+IF(AND(V959&gt;=75,W959&gt;=95),0.1,0),
IF(AF959="DoEVold15",IF(AND(V959&lt;=40,W959&lt;35),0.35,0)+IF(AND(V959&lt;=40,W959&gt;=35,W959&lt;75),0.25,0)+IF(AND(V959&lt;=40,W959&gt;=75,W959&lt;120),0.17,0)+IF(AND(V959&lt;=40,W959&gt;=120),0.15,0)+IF(AND(V959&gt;40,V959&lt;75,W959&lt;25),0.35,0)+IF(AND(V959&gt;=40,V959&lt;75,W959&gt;=25,W959&lt;65),0.25,0)+IF(AND(V959&gt;=40,V959&lt;75,W959&gt;=65,W959&lt;100),0.17,0)+IF(AND(V959&gt;=40,V959&lt;75,W959&gt;=100),0.1,0)+IF(AND(V959&gt;=75,W959&lt;25),0.35,0)+IF(AND(V959&gt;=75,W959&gt;=25,W959&lt;60),0.25,0)+IF(AND(V959&gt;=75,W959&gt;=60,W959&lt;95),0.17,0)+IF(AND(V959&gt;=75,W959&gt;=95),0.1,0),
IF(AF959="DoEVba",IF(AND(V959&lt;20,W959&lt;105),0.2,0)+IF(AND(V959&lt;20,W959&gt;=105),0.15,0)+IF(AND(V959&gt;=20,V959&lt;40,W959&lt;95),0.2,0)+IF(AND(V959&gt;=20,V959&lt;40,W959&gt;=95,W959&lt;150),0.15,0)+IF(AND(V959&gt;=20,V959&lt;40,W959&gt;=150),0.12,0)+IF(AND(V959&gt;=40,V959&lt;75,W959&lt;75),0.2,0)+IF(AND(V959&gt;=40,V959&lt;75,W959&gt;=75,W959&lt;120),0.15,0)+IF(AND(V959&gt;=40,V959&lt;75,W959&gt;=120),0.12,0)+IF(AND(V959&gt;=75,V959&lt;175,W959&lt;65),0.2,0)+IF(AND(V959&gt;=75,V959&lt;175,W959&gt;=65,W959&lt;110),0.15,0)+IF(AND(V959&gt;=75,V959&lt;175,W959&gt;=110),0.12,0)+IF(AND(V959&gt;=175,W959&lt;55),0.2,0)+IF(AND(V959&gt;=175,W959&gt;=55,W959&lt;95),0.15,0)+IF(AND(V959&gt;=175,W959&gt;=95),0.12,0),
IF(AF959="DoEVku",IF(AND(V959&lt;20,W959&lt;55),0.23,0)+IF(AND(V959&lt;20,W959&gt;=55,W959&lt;105),0.2,0)+IF(AND(V959&lt;20,W959&gt;=105),0.17,0)+IF(AND(V959&gt;=20,V959&lt;40,W959&lt;45),0.23,0)+IF(AND(V959&gt;=20,V959&lt;40,W959&gt;=45,W959&lt;95),0.2,0)+IF(AND(V959&gt;=20,V959&lt;40,W959&gt;=95,W959&lt;=150),0.17,0)+IF(AND(V959&gt;=20,V959&lt;40,W959&gt;=150),0.12,0)+IF(AND(V959&gt;=40,V959&lt;75,W959&lt;35),0.23,0)+IF(AND(V959&gt;=40,V959&lt;75,W959&gt;=35,W959&lt;75),0.2,0)+IF(AND(V959&gt;=40,V959&lt;75,W959&gt;=75,W959&lt;120),0.17,0)+IF(AND(V959&gt;=40,V959&lt;75,W959&gt;=120),0.12,0)+IF(AND(V959&gt;=75,V959&lt;175,W959&lt;35),0.23,0)+IF(AND(V959&gt;=75,V959&lt;=175,W959&gt;=35,W959&lt;65),0.2,0)+IF(AND(V959&gt;=75,V959&lt;=175,W959&gt;=65,W959&lt;110),0.17,0)+IF(AND(V959&gt;=75,V959&lt;=175,W959&gt;=110),0.12,0)+IF(AND(V959&gt;175,W959&lt;25),0.23,0)+IF(AND(V959&gt;175,W959&gt;=25,W959&lt;55),0.2,0)+IF(AND(V959&gt;175,W959&gt;=55,W959&lt;95),0.17,0)+IF(AND(V959&gt;175,W959&gt;=95),0.12,0),
IF(AF959="DoEVs1",IF(AND(V959&lt;20,W959&lt;55),0.3,0)+IF(AND(V959&lt;20,W959&gt;=55,W959&lt;105),0.23,0)+IF(AND(V959&lt;20,W959&gt;=105),0.17,0)+IF(AND(V959&gt;=20,V959&lt;40,W959&lt;45),0.3,0)+IF(AND(V959&gt;=20,V959&lt;40,W959&gt;=45,W959&lt;95),0.23,0)+IF(AND(V959&gt;=20,V959&lt;40,W959&gt;=95,W959&lt;=150),0.17,0)+IF(AND(V959&gt;=20,V959&lt;40,W959&gt;=150),0.12,0)+IF(AND(V959&gt;=40,V959&lt;75,W959&lt;35),0.3,0)+IF(AND(V959&gt;=40,V959&lt;75,W959&gt;=35,W959&lt;75),0.23,0)+IF(AND(V959&gt;=40,V959&lt;75,W959&gt;=75,W959&lt;120),0.17,0)+IF(AND(V959&gt;=40,V959&lt;75,W959&gt;=120),0.12,0)+IF(AND(V959&gt;=75,V959&lt;175,W959&lt;35),0.3,0)+IF(AND(V959&gt;=75,V959&lt;=175,W959&gt;=35,W959&lt;65),0.23,0)+IF(AND(V959&gt;=75,V959&lt;=175,W959&gt;=65,W959&lt;110),0.17,0)+IF(AND(V959&gt;=75,V959&lt;=175,W959&gt;=110),0.12,0)+IF(AND(V959&gt;175,W959&lt;25),0.3,0)+IF(AND(V959&gt;175,W959&gt;=25,W959&lt;55),0.23,0)+IF(AND(V959&gt;175,W959&gt;=55,W959&lt;95),0.17,0)+IF(AND(V959&gt;175,W959&gt;=95),0.12,0),
IF(AF959="DoEVsu",IF(AND(V959&lt;20,W959&lt;55),0.3,0)+IF(AND(V959&lt;20,W959&gt;=55,W959&lt;105),0.23,0)+IF(AND(V959&lt;20,W959&gt;=105),0.17,0)+IF(AND(V959&gt;=20,V959&lt;40,W959&lt;45),0.3,0)+IF(AND(V959&gt;=20,V959&lt;40,W959&gt;=45,W959&lt;95),0.23,0)+IF(AND(V959&gt;=20,V959&lt;40,W959&gt;=95,W959&lt;=250),0.17,0)+IF(AND(V959&gt;=20,V959&lt;40,W959&gt;=250),0.12,0)+IF(AND(V959&gt;=40,V959&lt;75,W959&lt;35),0.3,0)+IF(AND(V959&gt;=40,V959&lt;75,W959&gt;=35,W959&lt;75),0.23,0)+IF(AND(V959&gt;=40,V959&lt;75,W959&gt;=75,W959&lt;120),0.17,0)+IF(AND(V959&gt;=40,V959&lt;75,W959&gt;=120),0.12,0)+IF(AND(V959&gt;=75,V959&lt;175,W959&lt;35),0.3,0)+IF(AND(V959&gt;=75,V959&lt;=175,W959&gt;=35,W959&lt;65),0.23,0)+IF(AND(V959&gt;=75,V959&lt;=175,W959&gt;=65,W959&lt;110),0.17,0)+IF(AND(V959&gt;=75,V959&lt;=175,W959&gt;=110),0.12,0)+IF(AND(V959&gt;175,W959&lt;25),0.3,0)+IF(AND(V959&gt;175,W959&gt;=25,W959&lt;55),0.23,0)+IF(AND(V959&gt;175,W959&gt;=55,W959&lt;95),0.17,0)+IF(AND(V959&gt;175,W959&gt;=95),0.12,0),
IF(AF959="DoEVni",IF(AND(V959&lt;20,W959&lt;55),0.3,0)+IF(AND(V959&lt;20,W959&gt;=55,W959&lt;105),0.23,0)+IF(AND(V959&lt;20,W959&gt;=105),0.17,0)+IF(AND(V959&gt;=20,V959&lt;40,W959&lt;45),0.3,0)+IF(AND(V959&gt;=20,V959&lt;40,W959&gt;=45,W959&lt;95),0.23,0)+IF(AND(V959&gt;=20,V959&lt;40,W959&gt;=95,W959&lt;=200),0.17,0)+IF(AND(V959&gt;=20,V959&lt;40,W959&gt;=200),0.12,0)+IF(AND(V959&gt;=40,V959&lt;75,W959&lt;35),0.3,0)+IF(AND(V959&gt;=40,V959&lt;75,W959&gt;=35,W959&lt;75),0.23,0)+IF(AND(V959&gt;=40,V959&lt;75,W959&gt;=75,W959&lt;120),0.17,0)+IF(AND(V959&gt;=40,V959&lt;75,W959&gt;=120),0.12,0)+IF(AND(V959&gt;=75,V959&lt;175,W959&lt;35),0.3,0)+IF(AND(V959&gt;=75,V959&lt;=175,W959&gt;=35,W959&lt;65),0.23,0)+IF(AND(V959&gt;=75,V959&lt;=175,W959&gt;=65,W959&lt;110),0.17,0)+IF(AND(V959&gt;=75,V959&lt;=175,W959&gt;=110),0.12,0)+IF(AND(V959&gt;175,W959&lt;25),0.3,0)+IF(AND(V959&gt;175,W959&gt;=25,W959&lt;55),0.23,0)+IF(AND(V959&gt;175,W959&gt;=55,W959&lt;95),0.17,0)+IF(AND(V959&gt;175,W959&gt;=95),0.12,0),
IF(AF959="DoEVLo",IF(AND(V959&lt;20,W959&lt;55),0.25,0)+IF(AND(V959&lt;20,W959&gt;=55,W959&lt;105),0.2,0)+IF(AND(V959&lt;20,W959&gt;=105),0.15,0)+IF(AND(V959&gt;=20,V959&lt;40,W959&lt;45),0.25,0)+IF(AND(V959&gt;=20,V959&lt;40,W959&gt;=45,W959&lt;95),0.2,0)+IF(AND(V959&gt;=20,V959&lt;40,W959&gt;=95),0.15,0)+IF(AND(V959&gt;=40,V959&lt;75,W959&lt;35),0.25,0)+IF(AND(V959&gt;=40,V959&lt;75,W959&gt;=35,W959&lt;75),0.2,0)+IF(AND(V959&gt;=40,V959&lt;75,W959&gt;=75,W959&lt;120),0.15,0)+IF(AND(V959&gt;=40,V959&lt;75,W959&gt;=120),0.1,0)+IF(AND(V959&gt;=75,V959&lt;175,W959&lt;35),0.25,0)+IF(AND(V959&gt;=75,V959&lt;=175,W959&gt;=35,W959&lt;65),0.2,0)+IF(AND(V959&gt;=75,V959&lt;=175,W959&gt;=65,W959&lt;110),0.15,0)+IF(AND(V959&gt;=75,V959&lt;=175,W959&gt;=110),0.1,0)+IF(AND(V959&gt;175,W959&lt;25),0.25,0)+IF(AND(V959&gt;175,W959&gt;=25,W959&lt;55),0.2,0)+IF(AND(V959&gt;175,W959&gt;=55,W959&lt;95),0.15,0)+IF(AND(V959&gt;175,W959&gt;=95),0.1,0))))))))))))))))))</f>
        <v>0.09</v>
      </c>
      <c r="Y959" s="30">
        <f>IF(AG959="None",0,IF(AG959="Fix5",0.05, IF(AG959="Fix6.25",0.0625,IF(AG959="Fix3.75",0.0375,IF(AG959="Fix10",0.1,IF(AG959="Fix3",0.03,0))))))</f>
        <v>0.03</v>
      </c>
      <c r="Z959" s="35">
        <f>T959-AA959-AB959</f>
        <v>-509.52</v>
      </c>
      <c r="AA959" s="29">
        <f>IF(AD959="EUR",((T959-R959)*X959)*U959+(R959*X959),(T959*X959))</f>
        <v>-52.11</v>
      </c>
      <c r="AB959" s="36">
        <f>IF(AD959="EUR",((T959-R959)*Y959)*U959+(R959*Y959),(T959*Y959))</f>
        <v>-17.37</v>
      </c>
      <c r="AC959" s="37" t="b">
        <v>1</v>
      </c>
      <c r="AD959" s="37" t="s">
        <v>38</v>
      </c>
      <c r="AE959" s="37" t="s">
        <v>38</v>
      </c>
      <c r="AF959" s="38" t="str">
        <f t="array" ref="AF959">INDEX('Deal Info'!D:D, MATCH(A959,'Deal Info'!A:A, 0))</f>
        <v>Fix9</v>
      </c>
      <c r="AG959" s="38" t="str">
        <f t="array" ref="AG959">INDEX('Deal Info'!G:G, MATCH(A959,'Deal Info'!A:A, 0))</f>
        <v>Fix3</v>
      </c>
    </row>
    <row r="960" spans="1:33" ht="14.25" hidden="1" x14ac:dyDescent="0.2">
      <c r="A960" s="18" t="str">
        <f t="array" ref="A960">IF(G960='Room Info'!$B$1, INDEX('Room Info'!$A$2:$A2446, MATCH(B960,'Room Info'!$B$2:$B2446, 0)),IF(G960='Room Info'!$C$1, INDEX('Room Info'!$A$2:$A2446, MATCH(B960,'Room Info'!$C$2:$C2446, 0)),IF(G960='Room Info'!$D$1, INDEX('Room Info'!$A$2:$A2446, MATCH(B960,'Room Info'!$D$2:$D2446, 0)),IF(G960='Room Info'!$E$1, INDEX('Room Info'!$A$2:$A2446, MATCH(B960,'Room Info'!$E$2:$E2446, 0)),IF(G960='Room Info'!$F$1, INDEX('Room Info'!$A$2:$A2446, MATCH(B960,'Room Info'!$F$2:$F2446, 0)),IF(G960='Room Info'!$H$1, INDEX('Room Info'!$A$2:$A2446, MATCH(B960,'Room Info'!$H$2:$H2446, 0)),IF(G960='Room Info'!$G$1, INDEX('Room Info'!$A$2:$A2446, MATCH(B960,'Room Info'!$G$2:$G2446, 0)))))))))</f>
        <v>Mandr1990</v>
      </c>
      <c r="B960" s="45" t="s">
        <v>185</v>
      </c>
      <c r="C960" s="77">
        <v>44733</v>
      </c>
      <c r="D960" s="77">
        <v>44762</v>
      </c>
      <c r="E960" s="47">
        <v>44743</v>
      </c>
      <c r="F960" s="48" t="s">
        <v>34</v>
      </c>
      <c r="G960" s="45" t="s">
        <v>80</v>
      </c>
      <c r="H960" s="49" t="s">
        <v>70</v>
      </c>
      <c r="I960" s="49" t="s">
        <v>81</v>
      </c>
      <c r="J960" s="74">
        <v>100</v>
      </c>
      <c r="K960" s="75">
        <v>6225</v>
      </c>
      <c r="L960" s="72">
        <v>-35500</v>
      </c>
      <c r="M960" s="76">
        <v>38110</v>
      </c>
      <c r="N960" s="28">
        <f>K960*J960</f>
        <v>622500</v>
      </c>
      <c r="O960" s="45">
        <v>65112</v>
      </c>
      <c r="P960" s="29">
        <v>10.45975904</v>
      </c>
      <c r="Q960" s="55"/>
      <c r="R960" s="31">
        <f>M960+Q960</f>
        <v>38110</v>
      </c>
      <c r="S960" s="73">
        <v>-27750</v>
      </c>
      <c r="T960" s="32">
        <f>R960+S960+IF(F960="Without EV deal",L960,0)</f>
        <v>10360</v>
      </c>
      <c r="U960" s="57">
        <v>1</v>
      </c>
      <c r="V960" s="58"/>
      <c r="W960" s="58"/>
      <c r="X960" s="30">
        <f>IF(AF960="DoEV",IF(AND(V960&lt;20,W960&lt;55),0.3,0)+IF(AND(V960&lt;20,W960&gt;=55,W960&lt;105),0.23,0)+IF(AND(V960&lt;20,W960&gt;=105),0.17,0)+IF(AND(V960&gt;=20,V960&lt;40,W960&lt;45),0.3,0)+IF(AND(V960&gt;=20,V960&lt;40,W960&gt;=45,W960&lt;95),0.23,0)+IF(AND(V960&gt;=20,V960&lt;40,W960&gt;=95),0.17,0)+IF(AND(V960&gt;=40,V960&lt;75,W960&lt;35),0.3,0)+IF(AND(V960&gt;=40,V960&lt;75,W960&gt;=35,W960&lt;75),0.23,0)+IF(AND(V960&gt;=40,V960&lt;75,W960&gt;=75,W960&lt;120),0.17,0)+IF(AND(V960&gt;=40,V960&lt;75,W960&gt;=120),0.12,0)+IF(AND(V960&gt;=75,V960&lt;175,W960&lt;35),0.3,0)+IF(AND(V960&gt;=75,V960&lt;=175,W960&gt;=35,W960&lt;65),0.23,0)+IF(AND(V960&gt;=75,V960&lt;=175,W960&gt;=65,W960&lt;110),0.17,0)+IF(AND(V960&gt;=75,V960&lt;=175,W960&gt;=110),0.12,0)+IF(AND(V960&gt;175,W960&lt;25),0.3,0)+IF(AND(V960&gt;175,W960&gt;=25,W960&lt;55),0.23,0)+IF(AND(V960&gt;175,W960&gt;=55,W960&lt;95),0.17,0)+IF(AND(V960&gt;175,W960&gt;=95),0.12,0),
IF(AF960="Fix15",0.15,
IF(AF960="Fix18.75",0.1875,
IF(AF960="Fix11.25",0.1125,
IF(AF960="Fix10",0.1,
IF(AF960="Fix9",0.09,
IF(AF960="Fix19",0.19,
IF(AF960="DoEV2017",IF(AND(W960&lt;74),0.2,0)+IF(AND(W960&gt;=74),0.17,0),
IF(AF960="SF",IF(AND(V960&lt;20,W960&lt;89),0.3,0)+IF(AND(V960&lt;20,W960&gt;=89),0.25,0)+IF(AND(V960&gt;=20,V960&lt;40,W960&lt;74),0.3,0)+IF(AND(V960&gt;=20,V960&lt;40,W960&gt;=75),0.22,0)+IF(AND(V960&gt;=40,V960&lt;75,W960&lt;75),0.26,0)+IF(AND(V960&gt;=40,V960&lt;75,W960&gt;=75),0.22,0)+IF(V960&gt;=75,0.22,0),
IF(AF960="DoEVold",IF(AND(V960&lt;40,W960&lt;35),0.35,0)+IF(AND(V960&lt;40,W960&gt;=35,W960&lt;75),0.25,0)+IF(AND(V960&lt;40,W960&gt;=75),0.17,0)+IF(AND(V960&gt;=40,V960&lt;75,W960&lt;25),0.35,0)+IF(AND(V960&gt;=40,V960&lt;75,W960&gt;=25,W960&lt;65),0.25,0)+IF(AND(V960&gt;=40,V960&lt;75,W960&gt;=65,W960&lt;100),0.17,0)+IF(AND(V960&gt;=40,V960&lt;75,W960&gt;=100),0.1,0)+IF(AND(V960&gt;=75,W960&lt;25),0.35,0)+IF(AND(V960&gt;=75,W960&gt;=25,W960&lt;60),0.25,0)+IF(AND(V960&gt;=75,W960&gt;=60,W960&lt;95),0.17,0)+IF(AND(V960&gt;=75,W960&gt;=95),0.1,0),
IF(AF960="DoEVold15",IF(AND(V960&lt;=40,W960&lt;35),0.35,0)+IF(AND(V960&lt;=40,W960&gt;=35,W960&lt;75),0.25,0)+IF(AND(V960&lt;=40,W960&gt;=75,W960&lt;120),0.17,0)+IF(AND(V960&lt;=40,W960&gt;=120),0.15,0)+IF(AND(V960&gt;40,V960&lt;75,W960&lt;25),0.35,0)+IF(AND(V960&gt;=40,V960&lt;75,W960&gt;=25,W960&lt;65),0.25,0)+IF(AND(V960&gt;=40,V960&lt;75,W960&gt;=65,W960&lt;100),0.17,0)+IF(AND(V960&gt;=40,V960&lt;75,W960&gt;=100),0.1,0)+IF(AND(V960&gt;=75,W960&lt;25),0.35,0)+IF(AND(V960&gt;=75,W960&gt;=25,W960&lt;60),0.25,0)+IF(AND(V960&gt;=75,W960&gt;=60,W960&lt;95),0.17,0)+IF(AND(V960&gt;=75,W960&gt;=95),0.1,0),
IF(AF960="DoEVba",IF(AND(V960&lt;20,W960&lt;105),0.2,0)+IF(AND(V960&lt;20,W960&gt;=105),0.15,0)+IF(AND(V960&gt;=20,V960&lt;40,W960&lt;95),0.2,0)+IF(AND(V960&gt;=20,V960&lt;40,W960&gt;=95,W960&lt;150),0.15,0)+IF(AND(V960&gt;=20,V960&lt;40,W960&gt;=150),0.12,0)+IF(AND(V960&gt;=40,V960&lt;75,W960&lt;75),0.2,0)+IF(AND(V960&gt;=40,V960&lt;75,W960&gt;=75,W960&lt;120),0.15,0)+IF(AND(V960&gt;=40,V960&lt;75,W960&gt;=120),0.12,0)+IF(AND(V960&gt;=75,V960&lt;175,W960&lt;65),0.2,0)+IF(AND(V960&gt;=75,V960&lt;175,W960&gt;=65,W960&lt;110),0.15,0)+IF(AND(V960&gt;=75,V960&lt;175,W960&gt;=110),0.12,0)+IF(AND(V960&gt;=175,W960&lt;55),0.2,0)+IF(AND(V960&gt;=175,W960&gt;=55,W960&lt;95),0.15,0)+IF(AND(V960&gt;=175,W960&gt;=95),0.12,0),
IF(AF960="DoEVku",IF(AND(V960&lt;20,W960&lt;55),0.23,0)+IF(AND(V960&lt;20,W960&gt;=55,W960&lt;105),0.2,0)+IF(AND(V960&lt;20,W960&gt;=105),0.17,0)+IF(AND(V960&gt;=20,V960&lt;40,W960&lt;45),0.23,0)+IF(AND(V960&gt;=20,V960&lt;40,W960&gt;=45,W960&lt;95),0.2,0)+IF(AND(V960&gt;=20,V960&lt;40,W960&gt;=95,W960&lt;=150),0.17,0)+IF(AND(V960&gt;=20,V960&lt;40,W960&gt;=150),0.12,0)+IF(AND(V960&gt;=40,V960&lt;75,W960&lt;35),0.23,0)+IF(AND(V960&gt;=40,V960&lt;75,W960&gt;=35,W960&lt;75),0.2,0)+IF(AND(V960&gt;=40,V960&lt;75,W960&gt;=75,W960&lt;120),0.17,0)+IF(AND(V960&gt;=40,V960&lt;75,W960&gt;=120),0.12,0)+IF(AND(V960&gt;=75,V960&lt;175,W960&lt;35),0.23,0)+IF(AND(V960&gt;=75,V960&lt;=175,W960&gt;=35,W960&lt;65),0.2,0)+IF(AND(V960&gt;=75,V960&lt;=175,W960&gt;=65,W960&lt;110),0.17,0)+IF(AND(V960&gt;=75,V960&lt;=175,W960&gt;=110),0.12,0)+IF(AND(V960&gt;175,W960&lt;25),0.23,0)+IF(AND(V960&gt;175,W960&gt;=25,W960&lt;55),0.2,0)+IF(AND(V960&gt;175,W960&gt;=55,W960&lt;95),0.17,0)+IF(AND(V960&gt;175,W960&gt;=95),0.12,0),
IF(AF960="DoEVs1",IF(AND(V960&lt;20,W960&lt;55),0.3,0)+IF(AND(V960&lt;20,W960&gt;=55,W960&lt;105),0.23,0)+IF(AND(V960&lt;20,W960&gt;=105),0.17,0)+IF(AND(V960&gt;=20,V960&lt;40,W960&lt;45),0.3,0)+IF(AND(V960&gt;=20,V960&lt;40,W960&gt;=45,W960&lt;95),0.23,0)+IF(AND(V960&gt;=20,V960&lt;40,W960&gt;=95,W960&lt;=150),0.17,0)+IF(AND(V960&gt;=20,V960&lt;40,W960&gt;=150),0.12,0)+IF(AND(V960&gt;=40,V960&lt;75,W960&lt;35),0.3,0)+IF(AND(V960&gt;=40,V960&lt;75,W960&gt;=35,W960&lt;75),0.23,0)+IF(AND(V960&gt;=40,V960&lt;75,W960&gt;=75,W960&lt;120),0.17,0)+IF(AND(V960&gt;=40,V960&lt;75,W960&gt;=120),0.12,0)+IF(AND(V960&gt;=75,V960&lt;175,W960&lt;35),0.3,0)+IF(AND(V960&gt;=75,V960&lt;=175,W960&gt;=35,W960&lt;65),0.23,0)+IF(AND(V960&gt;=75,V960&lt;=175,W960&gt;=65,W960&lt;110),0.17,0)+IF(AND(V960&gt;=75,V960&lt;=175,W960&gt;=110),0.12,0)+IF(AND(V960&gt;175,W960&lt;25),0.3,0)+IF(AND(V960&gt;175,W960&gt;=25,W960&lt;55),0.23,0)+IF(AND(V960&gt;175,W960&gt;=55,W960&lt;95),0.17,0)+IF(AND(V960&gt;175,W960&gt;=95),0.12,0),
IF(AF960="DoEVsu",IF(AND(V960&lt;20,W960&lt;55),0.3,0)+IF(AND(V960&lt;20,W960&gt;=55,W960&lt;105),0.23,0)+IF(AND(V960&lt;20,W960&gt;=105),0.17,0)+IF(AND(V960&gt;=20,V960&lt;40,W960&lt;45),0.3,0)+IF(AND(V960&gt;=20,V960&lt;40,W960&gt;=45,W960&lt;95),0.23,0)+IF(AND(V960&gt;=20,V960&lt;40,W960&gt;=95,W960&lt;=250),0.17,0)+IF(AND(V960&gt;=20,V960&lt;40,W960&gt;=250),0.12,0)+IF(AND(V960&gt;=40,V960&lt;75,W960&lt;35),0.3,0)+IF(AND(V960&gt;=40,V960&lt;75,W960&gt;=35,W960&lt;75),0.23,0)+IF(AND(V960&gt;=40,V960&lt;75,W960&gt;=75,W960&lt;120),0.17,0)+IF(AND(V960&gt;=40,V960&lt;75,W960&gt;=120),0.12,0)+IF(AND(V960&gt;=75,V960&lt;175,W960&lt;35),0.3,0)+IF(AND(V960&gt;=75,V960&lt;=175,W960&gt;=35,W960&lt;65),0.23,0)+IF(AND(V960&gt;=75,V960&lt;=175,W960&gt;=65,W960&lt;110),0.17,0)+IF(AND(V960&gt;=75,V960&lt;=175,W960&gt;=110),0.12,0)+IF(AND(V960&gt;175,W960&lt;25),0.3,0)+IF(AND(V960&gt;175,W960&gt;=25,W960&lt;55),0.23,0)+IF(AND(V960&gt;175,W960&gt;=55,W960&lt;95),0.17,0)+IF(AND(V960&gt;175,W960&gt;=95),0.12,0),
IF(AF960="DoEVni",IF(AND(V960&lt;20,W960&lt;55),0.3,0)+IF(AND(V960&lt;20,W960&gt;=55,W960&lt;105),0.23,0)+IF(AND(V960&lt;20,W960&gt;=105),0.17,0)+IF(AND(V960&gt;=20,V960&lt;40,W960&lt;45),0.3,0)+IF(AND(V960&gt;=20,V960&lt;40,W960&gt;=45,W960&lt;95),0.23,0)+IF(AND(V960&gt;=20,V960&lt;40,W960&gt;=95,W960&lt;=200),0.17,0)+IF(AND(V960&gt;=20,V960&lt;40,W960&gt;=200),0.12,0)+IF(AND(V960&gt;=40,V960&lt;75,W960&lt;35),0.3,0)+IF(AND(V960&gt;=40,V960&lt;75,W960&gt;=35,W960&lt;75),0.23,0)+IF(AND(V960&gt;=40,V960&lt;75,W960&gt;=75,W960&lt;120),0.17,0)+IF(AND(V960&gt;=40,V960&lt;75,W960&gt;=120),0.12,0)+IF(AND(V960&gt;=75,V960&lt;175,W960&lt;35),0.3,0)+IF(AND(V960&gt;=75,V960&lt;=175,W960&gt;=35,W960&lt;65),0.23,0)+IF(AND(V960&gt;=75,V960&lt;=175,W960&gt;=65,W960&lt;110),0.17,0)+IF(AND(V960&gt;=75,V960&lt;=175,W960&gt;=110),0.12,0)+IF(AND(V960&gt;175,W960&lt;25),0.3,0)+IF(AND(V960&gt;175,W960&gt;=25,W960&lt;55),0.23,0)+IF(AND(V960&gt;175,W960&gt;=55,W960&lt;95),0.17,0)+IF(AND(V960&gt;175,W960&gt;=95),0.12,0),
IF(AF960="DoEVLo",IF(AND(V960&lt;20,W960&lt;55),0.25,0)+IF(AND(V960&lt;20,W960&gt;=55,W960&lt;105),0.2,0)+IF(AND(V960&lt;20,W960&gt;=105),0.15,0)+IF(AND(V960&gt;=20,V960&lt;40,W960&lt;45),0.25,0)+IF(AND(V960&gt;=20,V960&lt;40,W960&gt;=45,W960&lt;95),0.2,0)+IF(AND(V960&gt;=20,V960&lt;40,W960&gt;=95),0.15,0)+IF(AND(V960&gt;=40,V960&lt;75,W960&lt;35),0.25,0)+IF(AND(V960&gt;=40,V960&lt;75,W960&gt;=35,W960&lt;75),0.2,0)+IF(AND(V960&gt;=40,V960&lt;75,W960&gt;=75,W960&lt;120),0.15,0)+IF(AND(V960&gt;=40,V960&lt;75,W960&gt;=120),0.1,0)+IF(AND(V960&gt;=75,V960&lt;175,W960&lt;35),0.25,0)+IF(AND(V960&gt;=75,V960&lt;=175,W960&gt;=35,W960&lt;65),0.2,0)+IF(AND(V960&gt;=75,V960&lt;=175,W960&gt;=65,W960&lt;110),0.15,0)+IF(AND(V960&gt;=75,V960&lt;=175,W960&gt;=110),0.1,0)+IF(AND(V960&gt;175,W960&lt;25),0.25,0)+IF(AND(V960&gt;175,W960&gt;=25,W960&lt;55),0.2,0)+IF(AND(V960&gt;175,W960&gt;=55,W960&lt;95),0.15,0)+IF(AND(V960&gt;175,W960&gt;=95),0.1,0))))))))))))))))))</f>
        <v>0.09</v>
      </c>
      <c r="Y960" s="30">
        <f>IF(AG960="None",0,IF(AG960="Fix5",0.05, IF(AG960="Fix6.25",0.0625,IF(AG960="Fix3.75",0.0375,IF(AG960="Fix10",0.1,IF(AG960="Fix3",0.03,0))))))</f>
        <v>0.03</v>
      </c>
      <c r="Z960" s="35">
        <f>T960-AA960-AB960</f>
        <v>9116.8000000000011</v>
      </c>
      <c r="AA960" s="29">
        <f>IF(AD960="EUR",((T960-R960)*X960)*U960+(R960*X960),(T960*X960))</f>
        <v>932.4</v>
      </c>
      <c r="AB960" s="36">
        <f>IF(AD960="EUR",((T960-R960)*Y960)*U960+(R960*Y960),(T960*Y960))</f>
        <v>310.8</v>
      </c>
      <c r="AC960" s="37" t="b">
        <v>1</v>
      </c>
      <c r="AD960" s="37" t="s">
        <v>38</v>
      </c>
      <c r="AE960" s="37" t="s">
        <v>38</v>
      </c>
      <c r="AF960" s="38" t="str">
        <f t="array" ref="AF960">INDEX('Deal Info'!D:D, MATCH(A960,'Deal Info'!A:A, 0))</f>
        <v>Fix9</v>
      </c>
      <c r="AG960" s="38" t="str">
        <f t="array" ref="AG960">INDEX('Deal Info'!G:G, MATCH(A960,'Deal Info'!A:A, 0))</f>
        <v>Fix3</v>
      </c>
    </row>
    <row r="961" spans="1:33" ht="14.25" hidden="1" x14ac:dyDescent="0.2">
      <c r="A961" s="18" t="str">
        <f t="array" ref="A961">IF(G961='Room Info'!$B$1, INDEX('Room Info'!$A$2:$A2446, MATCH(B961,'Room Info'!$B$2:$B2446, 0)),IF(G961='Room Info'!$C$1, INDEX('Room Info'!$A$2:$A2446, MATCH(B961,'Room Info'!$C$2:$C2446, 0)),IF(G961='Room Info'!$D$1, INDEX('Room Info'!$A$2:$A2446, MATCH(B961,'Room Info'!$D$2:$D2446, 0)),IF(G961='Room Info'!$E$1, INDEX('Room Info'!$A$2:$A2446, MATCH(B961,'Room Info'!$E$2:$E2446, 0)),IF(G961='Room Info'!$F$1, INDEX('Room Info'!$A$2:$A2446, MATCH(B961,'Room Info'!$F$2:$F2446, 0)),IF(G961='Room Info'!$H$1, INDEX('Room Info'!$A$2:$A2446, MATCH(B961,'Room Info'!$H$2:$H2446, 0)),IF(G961='Room Info'!$G$1, INDEX('Room Info'!$A$2:$A2446, MATCH(B961,'Room Info'!$G$2:$G2446, 0)))))))))</f>
        <v>Mandr1990</v>
      </c>
      <c r="B961" s="45" t="s">
        <v>185</v>
      </c>
      <c r="C961" s="77">
        <v>44763</v>
      </c>
      <c r="D961" s="77">
        <v>44793</v>
      </c>
      <c r="E961" s="47">
        <v>44774</v>
      </c>
      <c r="F961" s="48" t="s">
        <v>34</v>
      </c>
      <c r="G961" s="45" t="s">
        <v>80</v>
      </c>
      <c r="H961" s="49" t="s">
        <v>70</v>
      </c>
      <c r="I961" s="49" t="s">
        <v>81</v>
      </c>
      <c r="J961" s="74">
        <v>100</v>
      </c>
      <c r="K961" s="75">
        <v>6023</v>
      </c>
      <c r="L961" s="72">
        <v>-17000</v>
      </c>
      <c r="M961" s="76">
        <v>34262</v>
      </c>
      <c r="N961" s="28">
        <f>K961*J961</f>
        <v>602300</v>
      </c>
      <c r="O961" s="45">
        <v>72341</v>
      </c>
      <c r="P961" s="29">
        <v>12.010791960000001</v>
      </c>
      <c r="Q961" s="55"/>
      <c r="R961" s="31">
        <f>M961+Q961</f>
        <v>34262</v>
      </c>
      <c r="S961" s="73">
        <v>-22858</v>
      </c>
      <c r="T961" s="32">
        <f>R961+S961+IF(F961="Without EV deal",L961,0)</f>
        <v>11404</v>
      </c>
      <c r="U961" s="57">
        <v>1</v>
      </c>
      <c r="V961" s="58"/>
      <c r="W961" s="58"/>
      <c r="X961" s="30">
        <f>IF(AF961="DoEV",IF(AND(V961&lt;20,W961&lt;55),0.3,0)+IF(AND(V961&lt;20,W961&gt;=55,W961&lt;105),0.23,0)+IF(AND(V961&lt;20,W961&gt;=105),0.17,0)+IF(AND(V961&gt;=20,V961&lt;40,W961&lt;45),0.3,0)+IF(AND(V961&gt;=20,V961&lt;40,W961&gt;=45,W961&lt;95),0.23,0)+IF(AND(V961&gt;=20,V961&lt;40,W961&gt;=95),0.17,0)+IF(AND(V961&gt;=40,V961&lt;75,W961&lt;35),0.3,0)+IF(AND(V961&gt;=40,V961&lt;75,W961&gt;=35,W961&lt;75),0.23,0)+IF(AND(V961&gt;=40,V961&lt;75,W961&gt;=75,W961&lt;120),0.17,0)+IF(AND(V961&gt;=40,V961&lt;75,W961&gt;=120),0.12,0)+IF(AND(V961&gt;=75,V961&lt;175,W961&lt;35),0.3,0)+IF(AND(V961&gt;=75,V961&lt;=175,W961&gt;=35,W961&lt;65),0.23,0)+IF(AND(V961&gt;=75,V961&lt;=175,W961&gt;=65,W961&lt;110),0.17,0)+IF(AND(V961&gt;=75,V961&lt;=175,W961&gt;=110),0.12,0)+IF(AND(V961&gt;175,W961&lt;25),0.3,0)+IF(AND(V961&gt;175,W961&gt;=25,W961&lt;55),0.23,0)+IF(AND(V961&gt;175,W961&gt;=55,W961&lt;95),0.17,0)+IF(AND(V961&gt;175,W961&gt;=95),0.12,0),
IF(AF961="Fix15",0.15,
IF(AF961="Fix18.75",0.1875,
IF(AF961="Fix11.25",0.1125,
IF(AF961="Fix10",0.1,
IF(AF961="Fix9",0.09,
IF(AF961="Fix19",0.19,
IF(AF961="DoEV2017",IF(AND(W961&lt;74),0.2,0)+IF(AND(W961&gt;=74),0.17,0),
IF(AF961="SF",IF(AND(V961&lt;20,W961&lt;89),0.3,0)+IF(AND(V961&lt;20,W961&gt;=89),0.25,0)+IF(AND(V961&gt;=20,V961&lt;40,W961&lt;74),0.3,0)+IF(AND(V961&gt;=20,V961&lt;40,W961&gt;=75),0.22,0)+IF(AND(V961&gt;=40,V961&lt;75,W961&lt;75),0.26,0)+IF(AND(V961&gt;=40,V961&lt;75,W961&gt;=75),0.22,0)+IF(V961&gt;=75,0.22,0),
IF(AF961="DoEVold",IF(AND(V961&lt;40,W961&lt;35),0.35,0)+IF(AND(V961&lt;40,W961&gt;=35,W961&lt;75),0.25,0)+IF(AND(V961&lt;40,W961&gt;=75),0.17,0)+IF(AND(V961&gt;=40,V961&lt;75,W961&lt;25),0.35,0)+IF(AND(V961&gt;=40,V961&lt;75,W961&gt;=25,W961&lt;65),0.25,0)+IF(AND(V961&gt;=40,V961&lt;75,W961&gt;=65,W961&lt;100),0.17,0)+IF(AND(V961&gt;=40,V961&lt;75,W961&gt;=100),0.1,0)+IF(AND(V961&gt;=75,W961&lt;25),0.35,0)+IF(AND(V961&gt;=75,W961&gt;=25,W961&lt;60),0.25,0)+IF(AND(V961&gt;=75,W961&gt;=60,W961&lt;95),0.17,0)+IF(AND(V961&gt;=75,W961&gt;=95),0.1,0),
IF(AF961="DoEVold15",IF(AND(V961&lt;=40,W961&lt;35),0.35,0)+IF(AND(V961&lt;=40,W961&gt;=35,W961&lt;75),0.25,0)+IF(AND(V961&lt;=40,W961&gt;=75,W961&lt;120),0.17,0)+IF(AND(V961&lt;=40,W961&gt;=120),0.15,0)+IF(AND(V961&gt;40,V961&lt;75,W961&lt;25),0.35,0)+IF(AND(V961&gt;=40,V961&lt;75,W961&gt;=25,W961&lt;65),0.25,0)+IF(AND(V961&gt;=40,V961&lt;75,W961&gt;=65,W961&lt;100),0.17,0)+IF(AND(V961&gt;=40,V961&lt;75,W961&gt;=100),0.1,0)+IF(AND(V961&gt;=75,W961&lt;25),0.35,0)+IF(AND(V961&gt;=75,W961&gt;=25,W961&lt;60),0.25,0)+IF(AND(V961&gt;=75,W961&gt;=60,W961&lt;95),0.17,0)+IF(AND(V961&gt;=75,W961&gt;=95),0.1,0),
IF(AF961="DoEVba",IF(AND(V961&lt;20,W961&lt;105),0.2,0)+IF(AND(V961&lt;20,W961&gt;=105),0.15,0)+IF(AND(V961&gt;=20,V961&lt;40,W961&lt;95),0.2,0)+IF(AND(V961&gt;=20,V961&lt;40,W961&gt;=95,W961&lt;150),0.15,0)+IF(AND(V961&gt;=20,V961&lt;40,W961&gt;=150),0.12,0)+IF(AND(V961&gt;=40,V961&lt;75,W961&lt;75),0.2,0)+IF(AND(V961&gt;=40,V961&lt;75,W961&gt;=75,W961&lt;120),0.15,0)+IF(AND(V961&gt;=40,V961&lt;75,W961&gt;=120),0.12,0)+IF(AND(V961&gt;=75,V961&lt;175,W961&lt;65),0.2,0)+IF(AND(V961&gt;=75,V961&lt;175,W961&gt;=65,W961&lt;110),0.15,0)+IF(AND(V961&gt;=75,V961&lt;175,W961&gt;=110),0.12,0)+IF(AND(V961&gt;=175,W961&lt;55),0.2,0)+IF(AND(V961&gt;=175,W961&gt;=55,W961&lt;95),0.15,0)+IF(AND(V961&gt;=175,W961&gt;=95),0.12,0),
IF(AF961="DoEVku",IF(AND(V961&lt;20,W961&lt;55),0.23,0)+IF(AND(V961&lt;20,W961&gt;=55,W961&lt;105),0.2,0)+IF(AND(V961&lt;20,W961&gt;=105),0.17,0)+IF(AND(V961&gt;=20,V961&lt;40,W961&lt;45),0.23,0)+IF(AND(V961&gt;=20,V961&lt;40,W961&gt;=45,W961&lt;95),0.2,0)+IF(AND(V961&gt;=20,V961&lt;40,W961&gt;=95,W961&lt;=150),0.17,0)+IF(AND(V961&gt;=20,V961&lt;40,W961&gt;=150),0.12,0)+IF(AND(V961&gt;=40,V961&lt;75,W961&lt;35),0.23,0)+IF(AND(V961&gt;=40,V961&lt;75,W961&gt;=35,W961&lt;75),0.2,0)+IF(AND(V961&gt;=40,V961&lt;75,W961&gt;=75,W961&lt;120),0.17,0)+IF(AND(V961&gt;=40,V961&lt;75,W961&gt;=120),0.12,0)+IF(AND(V961&gt;=75,V961&lt;175,W961&lt;35),0.23,0)+IF(AND(V961&gt;=75,V961&lt;=175,W961&gt;=35,W961&lt;65),0.2,0)+IF(AND(V961&gt;=75,V961&lt;=175,W961&gt;=65,W961&lt;110),0.17,0)+IF(AND(V961&gt;=75,V961&lt;=175,W961&gt;=110),0.12,0)+IF(AND(V961&gt;175,W961&lt;25),0.23,0)+IF(AND(V961&gt;175,W961&gt;=25,W961&lt;55),0.2,0)+IF(AND(V961&gt;175,W961&gt;=55,W961&lt;95),0.17,0)+IF(AND(V961&gt;175,W961&gt;=95),0.12,0),
IF(AF961="DoEVs1",IF(AND(V961&lt;20,W961&lt;55),0.3,0)+IF(AND(V961&lt;20,W961&gt;=55,W961&lt;105),0.23,0)+IF(AND(V961&lt;20,W961&gt;=105),0.17,0)+IF(AND(V961&gt;=20,V961&lt;40,W961&lt;45),0.3,0)+IF(AND(V961&gt;=20,V961&lt;40,W961&gt;=45,W961&lt;95),0.23,0)+IF(AND(V961&gt;=20,V961&lt;40,W961&gt;=95,W961&lt;=150),0.17,0)+IF(AND(V961&gt;=20,V961&lt;40,W961&gt;=150),0.12,0)+IF(AND(V961&gt;=40,V961&lt;75,W961&lt;35),0.3,0)+IF(AND(V961&gt;=40,V961&lt;75,W961&gt;=35,W961&lt;75),0.23,0)+IF(AND(V961&gt;=40,V961&lt;75,W961&gt;=75,W961&lt;120),0.17,0)+IF(AND(V961&gt;=40,V961&lt;75,W961&gt;=120),0.12,0)+IF(AND(V961&gt;=75,V961&lt;175,W961&lt;35),0.3,0)+IF(AND(V961&gt;=75,V961&lt;=175,W961&gt;=35,W961&lt;65),0.23,0)+IF(AND(V961&gt;=75,V961&lt;=175,W961&gt;=65,W961&lt;110),0.17,0)+IF(AND(V961&gt;=75,V961&lt;=175,W961&gt;=110),0.12,0)+IF(AND(V961&gt;175,W961&lt;25),0.3,0)+IF(AND(V961&gt;175,W961&gt;=25,W961&lt;55),0.23,0)+IF(AND(V961&gt;175,W961&gt;=55,W961&lt;95),0.17,0)+IF(AND(V961&gt;175,W961&gt;=95),0.12,0),
IF(AF961="DoEVsu",IF(AND(V961&lt;20,W961&lt;55),0.3,0)+IF(AND(V961&lt;20,W961&gt;=55,W961&lt;105),0.23,0)+IF(AND(V961&lt;20,W961&gt;=105),0.17,0)+IF(AND(V961&gt;=20,V961&lt;40,W961&lt;45),0.3,0)+IF(AND(V961&gt;=20,V961&lt;40,W961&gt;=45,W961&lt;95),0.23,0)+IF(AND(V961&gt;=20,V961&lt;40,W961&gt;=95,W961&lt;=250),0.17,0)+IF(AND(V961&gt;=20,V961&lt;40,W961&gt;=250),0.12,0)+IF(AND(V961&gt;=40,V961&lt;75,W961&lt;35),0.3,0)+IF(AND(V961&gt;=40,V961&lt;75,W961&gt;=35,W961&lt;75),0.23,0)+IF(AND(V961&gt;=40,V961&lt;75,W961&gt;=75,W961&lt;120),0.17,0)+IF(AND(V961&gt;=40,V961&lt;75,W961&gt;=120),0.12,0)+IF(AND(V961&gt;=75,V961&lt;175,W961&lt;35),0.3,0)+IF(AND(V961&gt;=75,V961&lt;=175,W961&gt;=35,W961&lt;65),0.23,0)+IF(AND(V961&gt;=75,V961&lt;=175,W961&gt;=65,W961&lt;110),0.17,0)+IF(AND(V961&gt;=75,V961&lt;=175,W961&gt;=110),0.12,0)+IF(AND(V961&gt;175,W961&lt;25),0.3,0)+IF(AND(V961&gt;175,W961&gt;=25,W961&lt;55),0.23,0)+IF(AND(V961&gt;175,W961&gt;=55,W961&lt;95),0.17,0)+IF(AND(V961&gt;175,W961&gt;=95),0.12,0),
IF(AF961="DoEVni",IF(AND(V961&lt;20,W961&lt;55),0.3,0)+IF(AND(V961&lt;20,W961&gt;=55,W961&lt;105),0.23,0)+IF(AND(V961&lt;20,W961&gt;=105),0.17,0)+IF(AND(V961&gt;=20,V961&lt;40,W961&lt;45),0.3,0)+IF(AND(V961&gt;=20,V961&lt;40,W961&gt;=45,W961&lt;95),0.23,0)+IF(AND(V961&gt;=20,V961&lt;40,W961&gt;=95,W961&lt;=200),0.17,0)+IF(AND(V961&gt;=20,V961&lt;40,W961&gt;=200),0.12,0)+IF(AND(V961&gt;=40,V961&lt;75,W961&lt;35),0.3,0)+IF(AND(V961&gt;=40,V961&lt;75,W961&gt;=35,W961&lt;75),0.23,0)+IF(AND(V961&gt;=40,V961&lt;75,W961&gt;=75,W961&lt;120),0.17,0)+IF(AND(V961&gt;=40,V961&lt;75,W961&gt;=120),0.12,0)+IF(AND(V961&gt;=75,V961&lt;175,W961&lt;35),0.3,0)+IF(AND(V961&gt;=75,V961&lt;=175,W961&gt;=35,W961&lt;65),0.23,0)+IF(AND(V961&gt;=75,V961&lt;=175,W961&gt;=65,W961&lt;110),0.17,0)+IF(AND(V961&gt;=75,V961&lt;=175,W961&gt;=110),0.12,0)+IF(AND(V961&gt;175,W961&lt;25),0.3,0)+IF(AND(V961&gt;175,W961&gt;=25,W961&lt;55),0.23,0)+IF(AND(V961&gt;175,W961&gt;=55,W961&lt;95),0.17,0)+IF(AND(V961&gt;175,W961&gt;=95),0.12,0),
IF(AF961="DoEVLo",IF(AND(V961&lt;20,W961&lt;55),0.25,0)+IF(AND(V961&lt;20,W961&gt;=55,W961&lt;105),0.2,0)+IF(AND(V961&lt;20,W961&gt;=105),0.15,0)+IF(AND(V961&gt;=20,V961&lt;40,W961&lt;45),0.25,0)+IF(AND(V961&gt;=20,V961&lt;40,W961&gt;=45,W961&lt;95),0.2,0)+IF(AND(V961&gt;=20,V961&lt;40,W961&gt;=95),0.15,0)+IF(AND(V961&gt;=40,V961&lt;75,W961&lt;35),0.25,0)+IF(AND(V961&gt;=40,V961&lt;75,W961&gt;=35,W961&lt;75),0.2,0)+IF(AND(V961&gt;=40,V961&lt;75,W961&gt;=75,W961&lt;120),0.15,0)+IF(AND(V961&gt;=40,V961&lt;75,W961&gt;=120),0.1,0)+IF(AND(V961&gt;=75,V961&lt;175,W961&lt;35),0.25,0)+IF(AND(V961&gt;=75,V961&lt;=175,W961&gt;=35,W961&lt;65),0.2,0)+IF(AND(V961&gt;=75,V961&lt;=175,W961&gt;=65,W961&lt;110),0.15,0)+IF(AND(V961&gt;=75,V961&lt;=175,W961&gt;=110),0.1,0)+IF(AND(V961&gt;175,W961&lt;25),0.25,0)+IF(AND(V961&gt;175,W961&gt;=25,W961&lt;55),0.2,0)+IF(AND(V961&gt;175,W961&gt;=55,W961&lt;95),0.15,0)+IF(AND(V961&gt;175,W961&gt;=95),0.1,0))))))))))))))))))</f>
        <v>0.09</v>
      </c>
      <c r="Y961" s="30">
        <f>IF(AG961="None",0,IF(AG961="Fix5",0.05, IF(AG961="Fix6.25",0.0625,IF(AG961="Fix3.75",0.0375,IF(AG961="Fix10",0.1,IF(AG961="Fix3",0.03,0))))))</f>
        <v>0.03</v>
      </c>
      <c r="Z961" s="35">
        <f>T961-AA961-AB961</f>
        <v>10035.519999999999</v>
      </c>
      <c r="AA961" s="29">
        <f>IF(AD961="EUR",((T961-R961)*X961)*U961+(R961*X961),(T961*X961))</f>
        <v>1026.3599999999999</v>
      </c>
      <c r="AB961" s="36">
        <f>IF(AD961="EUR",((T961-R961)*Y961)*U961+(R961*Y961),(T961*Y961))</f>
        <v>342.12</v>
      </c>
      <c r="AC961" s="37" t="b">
        <v>1</v>
      </c>
      <c r="AD961" s="37" t="s">
        <v>38</v>
      </c>
      <c r="AE961" s="37" t="s">
        <v>38</v>
      </c>
      <c r="AF961" s="38" t="str">
        <f t="array" ref="AF961">INDEX('Deal Info'!D:D, MATCH(A961,'Deal Info'!A:A, 0))</f>
        <v>Fix9</v>
      </c>
      <c r="AG961" s="38" t="str">
        <f t="array" ref="AG961">INDEX('Deal Info'!G:G, MATCH(A961,'Deal Info'!A:A, 0))</f>
        <v>Fix3</v>
      </c>
    </row>
    <row r="962" spans="1:33" ht="14.25" hidden="1" x14ac:dyDescent="0.2">
      <c r="A962" s="18" t="str">
        <f t="array" ref="A962">IF(G962='Room Info'!$B$1, INDEX('Room Info'!$A$2:$A2446, MATCH(B962,'Room Info'!$B$2:$B2446, 0)),IF(G962='Room Info'!$C$1, INDEX('Room Info'!$A$2:$A2446, MATCH(B962,'Room Info'!$C$2:$C2446, 0)),IF(G962='Room Info'!$D$1, INDEX('Room Info'!$A$2:$A2446, MATCH(B962,'Room Info'!$D$2:$D2446, 0)),IF(G962='Room Info'!$E$1, INDEX('Room Info'!$A$2:$A2446, MATCH(B962,'Room Info'!$E$2:$E2446, 0)),IF(G962='Room Info'!$F$1, INDEX('Room Info'!$A$2:$A2446, MATCH(B962,'Room Info'!$F$2:$F2446, 0)),IF(G962='Room Info'!$H$1, INDEX('Room Info'!$A$2:$A2446, MATCH(B962,'Room Info'!$H$2:$H2446, 0)),IF(G962='Room Info'!$G$1, INDEX('Room Info'!$A$2:$A2446, MATCH(B962,'Room Info'!$G$2:$G2446, 0)))))))))</f>
        <v>Mandr1990</v>
      </c>
      <c r="B962" s="45" t="s">
        <v>185</v>
      </c>
      <c r="C962" s="46">
        <v>44794</v>
      </c>
      <c r="D962" s="46">
        <v>44824</v>
      </c>
      <c r="E962" s="47">
        <v>44805</v>
      </c>
      <c r="F962" s="48" t="s">
        <v>34</v>
      </c>
      <c r="G962" s="45" t="s">
        <v>80</v>
      </c>
      <c r="H962" s="49" t="s">
        <v>70</v>
      </c>
      <c r="I962" s="49" t="s">
        <v>81</v>
      </c>
      <c r="J962" s="50">
        <v>100</v>
      </c>
      <c r="K962" s="51">
        <v>5437</v>
      </c>
      <c r="L962" s="52">
        <v>-3000</v>
      </c>
      <c r="M962" s="53">
        <v>30836</v>
      </c>
      <c r="N962" s="28">
        <f>K962*J962</f>
        <v>543700</v>
      </c>
      <c r="O962" s="54">
        <v>91683</v>
      </c>
      <c r="P962" s="29">
        <v>16.862791980000001</v>
      </c>
      <c r="Q962" s="55"/>
      <c r="R962" s="31">
        <f>M962+Q962</f>
        <v>30836</v>
      </c>
      <c r="S962" s="56">
        <v>-13811</v>
      </c>
      <c r="T962" s="32">
        <f>R962+S962+IF(F962="Without EV deal",L962,0)</f>
        <v>17025</v>
      </c>
      <c r="U962" s="57">
        <v>1</v>
      </c>
      <c r="V962" s="58"/>
      <c r="W962" s="58"/>
      <c r="X962" s="30">
        <f>IF(AF962="DoEV",IF(AND(V962&lt;20,W962&lt;55),0.3,0)+IF(AND(V962&lt;20,W962&gt;=55,W962&lt;105),0.23,0)+IF(AND(V962&lt;20,W962&gt;=105),0.17,0)+IF(AND(V962&gt;=20,V962&lt;40,W962&lt;45),0.3,0)+IF(AND(V962&gt;=20,V962&lt;40,W962&gt;=45,W962&lt;95),0.23,0)+IF(AND(V962&gt;=20,V962&lt;40,W962&gt;=95),0.17,0)+IF(AND(V962&gt;=40,V962&lt;75,W962&lt;35),0.3,0)+IF(AND(V962&gt;=40,V962&lt;75,W962&gt;=35,W962&lt;75),0.23,0)+IF(AND(V962&gt;=40,V962&lt;75,W962&gt;=75,W962&lt;120),0.17,0)+IF(AND(V962&gt;=40,V962&lt;75,W962&gt;=120),0.12,0)+IF(AND(V962&gt;=75,V962&lt;175,W962&lt;35),0.3,0)+IF(AND(V962&gt;=75,V962&lt;=175,W962&gt;=35,W962&lt;65),0.23,0)+IF(AND(V962&gt;=75,V962&lt;=175,W962&gt;=65,W962&lt;110),0.17,0)+IF(AND(V962&gt;=75,V962&lt;=175,W962&gt;=110),0.12,0)+IF(AND(V962&gt;175,W962&lt;25),0.3,0)+IF(AND(V962&gt;175,W962&gt;=25,W962&lt;55),0.23,0)+IF(AND(V962&gt;175,W962&gt;=55,W962&lt;95),0.17,0)+IF(AND(V962&gt;175,W962&gt;=95),0.12,0),
IF(AF962="Fix15",0.15,
IF(AF962="Fix18.75",0.1875,
IF(AF962="Fix11.25",0.1125,
IF(AF962="Fix10",0.1,
IF(AF962="Fix9",0.09,
IF(AF962="Fix19",0.19,
IF(AF962="DoEV2017",IF(AND(W962&lt;74),0.2,0)+IF(AND(W962&gt;=74),0.17,0),
IF(AF962="SF",IF(AND(V962&lt;20,W962&lt;89),0.3,0)+IF(AND(V962&lt;20,W962&gt;=89),0.25,0)+IF(AND(V962&gt;=20,V962&lt;40,W962&lt;74),0.3,0)+IF(AND(V962&gt;=20,V962&lt;40,W962&gt;=75),0.22,0)+IF(AND(V962&gt;=40,V962&lt;75,W962&lt;75),0.26,0)+IF(AND(V962&gt;=40,V962&lt;75,W962&gt;=75),0.22,0)+IF(V962&gt;=75,0.22,0),
IF(AF962="DoEVold",IF(AND(V962&lt;40,W962&lt;35),0.35,0)+IF(AND(V962&lt;40,W962&gt;=35,W962&lt;75),0.25,0)+IF(AND(V962&lt;40,W962&gt;=75),0.17,0)+IF(AND(V962&gt;=40,V962&lt;75,W962&lt;25),0.35,0)+IF(AND(V962&gt;=40,V962&lt;75,W962&gt;=25,W962&lt;65),0.25,0)+IF(AND(V962&gt;=40,V962&lt;75,W962&gt;=65,W962&lt;100),0.17,0)+IF(AND(V962&gt;=40,V962&lt;75,W962&gt;=100),0.1,0)+IF(AND(V962&gt;=75,W962&lt;25),0.35,0)+IF(AND(V962&gt;=75,W962&gt;=25,W962&lt;60),0.25,0)+IF(AND(V962&gt;=75,W962&gt;=60,W962&lt;95),0.17,0)+IF(AND(V962&gt;=75,W962&gt;=95),0.1,0),
IF(AF962="DoEVold15",IF(AND(V962&lt;=40,W962&lt;35),0.35,0)+IF(AND(V962&lt;=40,W962&gt;=35,W962&lt;75),0.25,0)+IF(AND(V962&lt;=40,W962&gt;=75,W962&lt;120),0.17,0)+IF(AND(V962&lt;=40,W962&gt;=120),0.15,0)+IF(AND(V962&gt;40,V962&lt;75,W962&lt;25),0.35,0)+IF(AND(V962&gt;=40,V962&lt;75,W962&gt;=25,W962&lt;65),0.25,0)+IF(AND(V962&gt;=40,V962&lt;75,W962&gt;=65,W962&lt;100),0.17,0)+IF(AND(V962&gt;=40,V962&lt;75,W962&gt;=100),0.1,0)+IF(AND(V962&gt;=75,W962&lt;25),0.35,0)+IF(AND(V962&gt;=75,W962&gt;=25,W962&lt;60),0.25,0)+IF(AND(V962&gt;=75,W962&gt;=60,W962&lt;95),0.17,0)+IF(AND(V962&gt;=75,W962&gt;=95),0.1,0),
IF(AF962="DoEVba",IF(AND(V962&lt;20,W962&lt;105),0.2,0)+IF(AND(V962&lt;20,W962&gt;=105),0.15,0)+IF(AND(V962&gt;=20,V962&lt;40,W962&lt;95),0.2,0)+IF(AND(V962&gt;=20,V962&lt;40,W962&gt;=95,W962&lt;150),0.15,0)+IF(AND(V962&gt;=20,V962&lt;40,W962&gt;=150),0.12,0)+IF(AND(V962&gt;=40,V962&lt;75,W962&lt;75),0.2,0)+IF(AND(V962&gt;=40,V962&lt;75,W962&gt;=75,W962&lt;120),0.15,0)+IF(AND(V962&gt;=40,V962&lt;75,W962&gt;=120),0.12,0)+IF(AND(V962&gt;=75,V962&lt;175,W962&lt;65),0.2,0)+IF(AND(V962&gt;=75,V962&lt;175,W962&gt;=65,W962&lt;110),0.15,0)+IF(AND(V962&gt;=75,V962&lt;175,W962&gt;=110),0.12,0)+IF(AND(V962&gt;=175,W962&lt;55),0.2,0)+IF(AND(V962&gt;=175,W962&gt;=55,W962&lt;95),0.15,0)+IF(AND(V962&gt;=175,W962&gt;=95),0.12,0),
IF(AF962="DoEVku",IF(AND(V962&lt;20,W962&lt;55),0.23,0)+IF(AND(V962&lt;20,W962&gt;=55,W962&lt;105),0.2,0)+IF(AND(V962&lt;20,W962&gt;=105),0.17,0)+IF(AND(V962&gt;=20,V962&lt;40,W962&lt;45),0.23,0)+IF(AND(V962&gt;=20,V962&lt;40,W962&gt;=45,W962&lt;95),0.2,0)+IF(AND(V962&gt;=20,V962&lt;40,W962&gt;=95,W962&lt;=150),0.17,0)+IF(AND(V962&gt;=20,V962&lt;40,W962&gt;=150),0.12,0)+IF(AND(V962&gt;=40,V962&lt;75,W962&lt;35),0.23,0)+IF(AND(V962&gt;=40,V962&lt;75,W962&gt;=35,W962&lt;75),0.2,0)+IF(AND(V962&gt;=40,V962&lt;75,W962&gt;=75,W962&lt;120),0.17,0)+IF(AND(V962&gt;=40,V962&lt;75,W962&gt;=120),0.12,0)+IF(AND(V962&gt;=75,V962&lt;175,W962&lt;35),0.23,0)+IF(AND(V962&gt;=75,V962&lt;=175,W962&gt;=35,W962&lt;65),0.2,0)+IF(AND(V962&gt;=75,V962&lt;=175,W962&gt;=65,W962&lt;110),0.17,0)+IF(AND(V962&gt;=75,V962&lt;=175,W962&gt;=110),0.12,0)+IF(AND(V962&gt;175,W962&lt;25),0.23,0)+IF(AND(V962&gt;175,W962&gt;=25,W962&lt;55),0.2,0)+IF(AND(V962&gt;175,W962&gt;=55,W962&lt;95),0.17,0)+IF(AND(V962&gt;175,W962&gt;=95),0.12,0),
IF(AF962="DoEVs1",IF(AND(V962&lt;20,W962&lt;55),0.3,0)+IF(AND(V962&lt;20,W962&gt;=55,W962&lt;105),0.23,0)+IF(AND(V962&lt;20,W962&gt;=105),0.17,0)+IF(AND(V962&gt;=20,V962&lt;40,W962&lt;45),0.3,0)+IF(AND(V962&gt;=20,V962&lt;40,W962&gt;=45,W962&lt;95),0.23,0)+IF(AND(V962&gt;=20,V962&lt;40,W962&gt;=95,W962&lt;=150),0.17,0)+IF(AND(V962&gt;=20,V962&lt;40,W962&gt;=150),0.12,0)+IF(AND(V962&gt;=40,V962&lt;75,W962&lt;35),0.3,0)+IF(AND(V962&gt;=40,V962&lt;75,W962&gt;=35,W962&lt;75),0.23,0)+IF(AND(V962&gt;=40,V962&lt;75,W962&gt;=75,W962&lt;120),0.17,0)+IF(AND(V962&gt;=40,V962&lt;75,W962&gt;=120),0.12,0)+IF(AND(V962&gt;=75,V962&lt;175,W962&lt;35),0.3,0)+IF(AND(V962&gt;=75,V962&lt;=175,W962&gt;=35,W962&lt;65),0.23,0)+IF(AND(V962&gt;=75,V962&lt;=175,W962&gt;=65,W962&lt;110),0.17,0)+IF(AND(V962&gt;=75,V962&lt;=175,W962&gt;=110),0.12,0)+IF(AND(V962&gt;175,W962&lt;25),0.3,0)+IF(AND(V962&gt;175,W962&gt;=25,W962&lt;55),0.23,0)+IF(AND(V962&gt;175,W962&gt;=55,W962&lt;95),0.17,0)+IF(AND(V962&gt;175,W962&gt;=95),0.12,0),
IF(AF962="DoEVsu",IF(AND(V962&lt;20,W962&lt;55),0.3,0)+IF(AND(V962&lt;20,W962&gt;=55,W962&lt;105),0.23,0)+IF(AND(V962&lt;20,W962&gt;=105),0.17,0)+IF(AND(V962&gt;=20,V962&lt;40,W962&lt;45),0.3,0)+IF(AND(V962&gt;=20,V962&lt;40,W962&gt;=45,W962&lt;95),0.23,0)+IF(AND(V962&gt;=20,V962&lt;40,W962&gt;=95,W962&lt;=250),0.17,0)+IF(AND(V962&gt;=20,V962&lt;40,W962&gt;=250),0.12,0)+IF(AND(V962&gt;=40,V962&lt;75,W962&lt;35),0.3,0)+IF(AND(V962&gt;=40,V962&lt;75,W962&gt;=35,W962&lt;75),0.23,0)+IF(AND(V962&gt;=40,V962&lt;75,W962&gt;=75,W962&lt;120),0.17,0)+IF(AND(V962&gt;=40,V962&lt;75,W962&gt;=120),0.12,0)+IF(AND(V962&gt;=75,V962&lt;175,W962&lt;35),0.3,0)+IF(AND(V962&gt;=75,V962&lt;=175,W962&gt;=35,W962&lt;65),0.23,0)+IF(AND(V962&gt;=75,V962&lt;=175,W962&gt;=65,W962&lt;110),0.17,0)+IF(AND(V962&gt;=75,V962&lt;=175,W962&gt;=110),0.12,0)+IF(AND(V962&gt;175,W962&lt;25),0.3,0)+IF(AND(V962&gt;175,W962&gt;=25,W962&lt;55),0.23,0)+IF(AND(V962&gt;175,W962&gt;=55,W962&lt;95),0.17,0)+IF(AND(V962&gt;175,W962&gt;=95),0.12,0),
IF(AF962="DoEVni",IF(AND(V962&lt;20,W962&lt;55),0.3,0)+IF(AND(V962&lt;20,W962&gt;=55,W962&lt;105),0.23,0)+IF(AND(V962&lt;20,W962&gt;=105),0.17,0)+IF(AND(V962&gt;=20,V962&lt;40,W962&lt;45),0.3,0)+IF(AND(V962&gt;=20,V962&lt;40,W962&gt;=45,W962&lt;95),0.23,0)+IF(AND(V962&gt;=20,V962&lt;40,W962&gt;=95,W962&lt;=200),0.17,0)+IF(AND(V962&gt;=20,V962&lt;40,W962&gt;=200),0.12,0)+IF(AND(V962&gt;=40,V962&lt;75,W962&lt;35),0.3,0)+IF(AND(V962&gt;=40,V962&lt;75,W962&gt;=35,W962&lt;75),0.23,0)+IF(AND(V962&gt;=40,V962&lt;75,W962&gt;=75,W962&lt;120),0.17,0)+IF(AND(V962&gt;=40,V962&lt;75,W962&gt;=120),0.12,0)+IF(AND(V962&gt;=75,V962&lt;175,W962&lt;35),0.3,0)+IF(AND(V962&gt;=75,V962&lt;=175,W962&gt;=35,W962&lt;65),0.23,0)+IF(AND(V962&gt;=75,V962&lt;=175,W962&gt;=65,W962&lt;110),0.17,0)+IF(AND(V962&gt;=75,V962&lt;=175,W962&gt;=110),0.12,0)+IF(AND(V962&gt;175,W962&lt;25),0.3,0)+IF(AND(V962&gt;175,W962&gt;=25,W962&lt;55),0.23,0)+IF(AND(V962&gt;175,W962&gt;=55,W962&lt;95),0.17,0)+IF(AND(V962&gt;175,W962&gt;=95),0.12,0),
IF(AF962="DoEVLo",IF(AND(V962&lt;20,W962&lt;55),0.25,0)+IF(AND(V962&lt;20,W962&gt;=55,W962&lt;105),0.2,0)+IF(AND(V962&lt;20,W962&gt;=105),0.15,0)+IF(AND(V962&gt;=20,V962&lt;40,W962&lt;45),0.25,0)+IF(AND(V962&gt;=20,V962&lt;40,W962&gt;=45,W962&lt;95),0.2,0)+IF(AND(V962&gt;=20,V962&lt;40,W962&gt;=95),0.15,0)+IF(AND(V962&gt;=40,V962&lt;75,W962&lt;35),0.25,0)+IF(AND(V962&gt;=40,V962&lt;75,W962&gt;=35,W962&lt;75),0.2,0)+IF(AND(V962&gt;=40,V962&lt;75,W962&gt;=75,W962&lt;120),0.15,0)+IF(AND(V962&gt;=40,V962&lt;75,W962&gt;=120),0.1,0)+IF(AND(V962&gt;=75,V962&lt;175,W962&lt;35),0.25,0)+IF(AND(V962&gt;=75,V962&lt;=175,W962&gt;=35,W962&lt;65),0.2,0)+IF(AND(V962&gt;=75,V962&lt;=175,W962&gt;=65,W962&lt;110),0.15,0)+IF(AND(V962&gt;=75,V962&lt;=175,W962&gt;=110),0.1,0)+IF(AND(V962&gt;175,W962&lt;25),0.25,0)+IF(AND(V962&gt;175,W962&gt;=25,W962&lt;55),0.2,0)+IF(AND(V962&gt;175,W962&gt;=55,W962&lt;95),0.15,0)+IF(AND(V962&gt;175,W962&gt;=95),0.1,0))))))))))))))))))</f>
        <v>0.09</v>
      </c>
      <c r="Y962" s="30">
        <f>IF(AG962="None",0,IF(AG962="Fix5",0.05, IF(AG962="Fix6.25",0.0625,IF(AG962="Fix3.75",0.0375,IF(AG962="Fix10",0.1,IF(AG962="Fix3",0.03,0))))))</f>
        <v>0.03</v>
      </c>
      <c r="Z962" s="35">
        <f>T962-AA962-AB962</f>
        <v>14982</v>
      </c>
      <c r="AA962" s="29">
        <f>IF(AD962="EUR",((T962-R962)*X962)*U962+(R962*X962),(T962*X962))</f>
        <v>1532.25</v>
      </c>
      <c r="AB962" s="36">
        <f>IF(AD962="EUR",((T962-R962)*Y962)*U962+(R962*Y962),(T962*Y962))</f>
        <v>510.75</v>
      </c>
      <c r="AC962" s="37" t="b">
        <v>1</v>
      </c>
      <c r="AD962" s="37" t="s">
        <v>38</v>
      </c>
      <c r="AE962" s="37" t="s">
        <v>38</v>
      </c>
      <c r="AF962" s="38" t="str">
        <f t="array" ref="AF962">INDEX('Deal Info'!D:D, MATCH(A962,'Deal Info'!A:A, 0))</f>
        <v>Fix9</v>
      </c>
      <c r="AG962" s="38" t="str">
        <f t="array" ref="AG962">INDEX('Deal Info'!G:G, MATCH(A962,'Deal Info'!A:A, 0))</f>
        <v>Fix3</v>
      </c>
    </row>
    <row r="963" spans="1:33" ht="14.25" hidden="1" x14ac:dyDescent="0.2">
      <c r="A963" s="18" t="str">
        <f t="array" ref="A963">IF(G963='Room Info'!$B$1, INDEX('Room Info'!$A$2:$A2446, MATCH(B963,'Room Info'!$B$2:$B2446, 0)),IF(G963='Room Info'!$C$1, INDEX('Room Info'!$A$2:$A2446, MATCH(B963,'Room Info'!$C$2:$C2446, 0)),IF(G963='Room Info'!$D$1, INDEX('Room Info'!$A$2:$A2446, MATCH(B963,'Room Info'!$D$2:$D2446, 0)),IF(G963='Room Info'!$E$1, INDEX('Room Info'!$A$2:$A2446, MATCH(B963,'Room Info'!$E$2:$E2446, 0)),IF(G963='Room Info'!$F$1, INDEX('Room Info'!$A$2:$A2446, MATCH(B963,'Room Info'!$F$2:$F2446, 0)),IF(G963='Room Info'!$H$1, INDEX('Room Info'!$A$2:$A2446, MATCH(B963,'Room Info'!$H$2:$H2446, 0)),IF(G963='Room Info'!$G$1, INDEX('Room Info'!$A$2:$A2446, MATCH(B963,'Room Info'!$G$2:$G2446, 0)))))))))</f>
        <v>Mandr1990</v>
      </c>
      <c r="B963" s="45" t="s">
        <v>186</v>
      </c>
      <c r="C963" s="77">
        <v>44825</v>
      </c>
      <c r="D963" s="77">
        <v>44854</v>
      </c>
      <c r="E963" s="47">
        <v>44835</v>
      </c>
      <c r="F963" s="48" t="s">
        <v>34</v>
      </c>
      <c r="G963" s="54" t="s">
        <v>80</v>
      </c>
      <c r="H963" s="49" t="s">
        <v>71</v>
      </c>
      <c r="I963" s="49" t="s">
        <v>81</v>
      </c>
      <c r="J963" s="74">
        <v>20</v>
      </c>
      <c r="K963" s="75">
        <v>450</v>
      </c>
      <c r="L963" s="72">
        <v>-80</v>
      </c>
      <c r="M963" s="53">
        <v>505</v>
      </c>
      <c r="N963" s="28">
        <f>K963*J963</f>
        <v>9000</v>
      </c>
      <c r="O963" s="45">
        <v>9016</v>
      </c>
      <c r="P963" s="29">
        <v>20.035555559999999</v>
      </c>
      <c r="Q963" s="55"/>
      <c r="R963" s="31">
        <f>M963+Q963</f>
        <v>505</v>
      </c>
      <c r="S963" s="73">
        <v>-140</v>
      </c>
      <c r="T963" s="32">
        <f>R963+S963+IF(F963="Without EV deal",L963,0)</f>
        <v>365</v>
      </c>
      <c r="U963" s="57">
        <v>1</v>
      </c>
      <c r="V963" s="58"/>
      <c r="W963" s="58"/>
      <c r="X963" s="30">
        <f>IF(AF963="DoEV",IF(AND(V963&lt;20,W963&lt;55),0.3,0)+IF(AND(V963&lt;20,W963&gt;=55,W963&lt;105),0.23,0)+IF(AND(V963&lt;20,W963&gt;=105),0.17,0)+IF(AND(V963&gt;=20,V963&lt;40,W963&lt;45),0.3,0)+IF(AND(V963&gt;=20,V963&lt;40,W963&gt;=45,W963&lt;95),0.23,0)+IF(AND(V963&gt;=20,V963&lt;40,W963&gt;=95),0.17,0)+IF(AND(V963&gt;=40,V963&lt;75,W963&lt;35),0.3,0)+IF(AND(V963&gt;=40,V963&lt;75,W963&gt;=35,W963&lt;75),0.23,0)+IF(AND(V963&gt;=40,V963&lt;75,W963&gt;=75,W963&lt;120),0.17,0)+IF(AND(V963&gt;=40,V963&lt;75,W963&gt;=120),0.12,0)+IF(AND(V963&gt;=75,V963&lt;175,W963&lt;35),0.3,0)+IF(AND(V963&gt;=75,V963&lt;=175,W963&gt;=35,W963&lt;65),0.23,0)+IF(AND(V963&gt;=75,V963&lt;=175,W963&gt;=65,W963&lt;110),0.17,0)+IF(AND(V963&gt;=75,V963&lt;=175,W963&gt;=110),0.12,0)+IF(AND(V963&gt;175,W963&lt;25),0.3,0)+IF(AND(V963&gt;175,W963&gt;=25,W963&lt;55),0.23,0)+IF(AND(V963&gt;175,W963&gt;=55,W963&lt;95),0.17,0)+IF(AND(V963&gt;175,W963&gt;=95),0.12,0),
IF(AF963="Fix15",0.15,
IF(AF963="Fix18.75",0.1875,
IF(AF963="Fix11.25",0.1125,
IF(AF963="Fix10",0.1,
IF(AF963="Fix9",0.09,
IF(AF963="Fix19",0.19,
IF(AF963="DoEV2017",IF(AND(W963&lt;74),0.2,0)+IF(AND(W963&gt;=74),0.17,0),
IF(AF963="SF",IF(AND(V963&lt;20,W963&lt;89),0.3,0)+IF(AND(V963&lt;20,W963&gt;=89),0.25,0)+IF(AND(V963&gt;=20,V963&lt;40,W963&lt;74),0.3,0)+IF(AND(V963&gt;=20,V963&lt;40,W963&gt;=75),0.22,0)+IF(AND(V963&gt;=40,V963&lt;75,W963&lt;75),0.26,0)+IF(AND(V963&gt;=40,V963&lt;75,W963&gt;=75),0.22,0)+IF(V963&gt;=75,0.22,0),
IF(AF963="DoEVold",IF(AND(V963&lt;40,W963&lt;35),0.35,0)+IF(AND(V963&lt;40,W963&gt;=35,W963&lt;75),0.25,0)+IF(AND(V963&lt;40,W963&gt;=75),0.17,0)+IF(AND(V963&gt;=40,V963&lt;75,W963&lt;25),0.35,0)+IF(AND(V963&gt;=40,V963&lt;75,W963&gt;=25,W963&lt;65),0.25,0)+IF(AND(V963&gt;=40,V963&lt;75,W963&gt;=65,W963&lt;100),0.17,0)+IF(AND(V963&gt;=40,V963&lt;75,W963&gt;=100),0.1,0)+IF(AND(V963&gt;=75,W963&lt;25),0.35,0)+IF(AND(V963&gt;=75,W963&gt;=25,W963&lt;60),0.25,0)+IF(AND(V963&gt;=75,W963&gt;=60,W963&lt;95),0.17,0)+IF(AND(V963&gt;=75,W963&gt;=95),0.1,0),
IF(AF963="DoEVold15",IF(AND(V963&lt;=40,W963&lt;35),0.35,0)+IF(AND(V963&lt;=40,W963&gt;=35,W963&lt;75),0.25,0)+IF(AND(V963&lt;=40,W963&gt;=75,W963&lt;120),0.17,0)+IF(AND(V963&lt;=40,W963&gt;=120),0.15,0)+IF(AND(V963&gt;40,V963&lt;75,W963&lt;25),0.35,0)+IF(AND(V963&gt;=40,V963&lt;75,W963&gt;=25,W963&lt;65),0.25,0)+IF(AND(V963&gt;=40,V963&lt;75,W963&gt;=65,W963&lt;100),0.17,0)+IF(AND(V963&gt;=40,V963&lt;75,W963&gt;=100),0.1,0)+IF(AND(V963&gt;=75,W963&lt;25),0.35,0)+IF(AND(V963&gt;=75,W963&gt;=25,W963&lt;60),0.25,0)+IF(AND(V963&gt;=75,W963&gt;=60,W963&lt;95),0.17,0)+IF(AND(V963&gt;=75,W963&gt;=95),0.1,0),
IF(AF963="DoEVba",IF(AND(V963&lt;20,W963&lt;105),0.2,0)+IF(AND(V963&lt;20,W963&gt;=105),0.15,0)+IF(AND(V963&gt;=20,V963&lt;40,W963&lt;95),0.2,0)+IF(AND(V963&gt;=20,V963&lt;40,W963&gt;=95,W963&lt;150),0.15,0)+IF(AND(V963&gt;=20,V963&lt;40,W963&gt;=150),0.12,0)+IF(AND(V963&gt;=40,V963&lt;75,W963&lt;75),0.2,0)+IF(AND(V963&gt;=40,V963&lt;75,W963&gt;=75,W963&lt;120),0.15,0)+IF(AND(V963&gt;=40,V963&lt;75,W963&gt;=120),0.12,0)+IF(AND(V963&gt;=75,V963&lt;175,W963&lt;65),0.2,0)+IF(AND(V963&gt;=75,V963&lt;175,W963&gt;=65,W963&lt;110),0.15,0)+IF(AND(V963&gt;=75,V963&lt;175,W963&gt;=110),0.12,0)+IF(AND(V963&gt;=175,W963&lt;55),0.2,0)+IF(AND(V963&gt;=175,W963&gt;=55,W963&lt;95),0.15,0)+IF(AND(V963&gt;=175,W963&gt;=95),0.12,0),
IF(AF963="DoEVku",IF(AND(V963&lt;20,W963&lt;55),0.23,0)+IF(AND(V963&lt;20,W963&gt;=55,W963&lt;105),0.2,0)+IF(AND(V963&lt;20,W963&gt;=105),0.17,0)+IF(AND(V963&gt;=20,V963&lt;40,W963&lt;45),0.23,0)+IF(AND(V963&gt;=20,V963&lt;40,W963&gt;=45,W963&lt;95),0.2,0)+IF(AND(V963&gt;=20,V963&lt;40,W963&gt;=95,W963&lt;=150),0.17,0)+IF(AND(V963&gt;=20,V963&lt;40,W963&gt;=150),0.12,0)+IF(AND(V963&gt;=40,V963&lt;75,W963&lt;35),0.23,0)+IF(AND(V963&gt;=40,V963&lt;75,W963&gt;=35,W963&lt;75),0.2,0)+IF(AND(V963&gt;=40,V963&lt;75,W963&gt;=75,W963&lt;120),0.17,0)+IF(AND(V963&gt;=40,V963&lt;75,W963&gt;=120),0.12,0)+IF(AND(V963&gt;=75,V963&lt;175,W963&lt;35),0.23,0)+IF(AND(V963&gt;=75,V963&lt;=175,W963&gt;=35,W963&lt;65),0.2,0)+IF(AND(V963&gt;=75,V963&lt;=175,W963&gt;=65,W963&lt;110),0.17,0)+IF(AND(V963&gt;=75,V963&lt;=175,W963&gt;=110),0.12,0)+IF(AND(V963&gt;175,W963&lt;25),0.23,0)+IF(AND(V963&gt;175,W963&gt;=25,W963&lt;55),0.2,0)+IF(AND(V963&gt;175,W963&gt;=55,W963&lt;95),0.17,0)+IF(AND(V963&gt;175,W963&gt;=95),0.12,0),
IF(AF963="DoEVs1",IF(AND(V963&lt;20,W963&lt;55),0.3,0)+IF(AND(V963&lt;20,W963&gt;=55,W963&lt;105),0.23,0)+IF(AND(V963&lt;20,W963&gt;=105),0.17,0)+IF(AND(V963&gt;=20,V963&lt;40,W963&lt;45),0.3,0)+IF(AND(V963&gt;=20,V963&lt;40,W963&gt;=45,W963&lt;95),0.23,0)+IF(AND(V963&gt;=20,V963&lt;40,W963&gt;=95,W963&lt;=150),0.17,0)+IF(AND(V963&gt;=20,V963&lt;40,W963&gt;=150),0.12,0)+IF(AND(V963&gt;=40,V963&lt;75,W963&lt;35),0.3,0)+IF(AND(V963&gt;=40,V963&lt;75,W963&gt;=35,W963&lt;75),0.23,0)+IF(AND(V963&gt;=40,V963&lt;75,W963&gt;=75,W963&lt;120),0.17,0)+IF(AND(V963&gt;=40,V963&lt;75,W963&gt;=120),0.12,0)+IF(AND(V963&gt;=75,V963&lt;175,W963&lt;35),0.3,0)+IF(AND(V963&gt;=75,V963&lt;=175,W963&gt;=35,W963&lt;65),0.23,0)+IF(AND(V963&gt;=75,V963&lt;=175,W963&gt;=65,W963&lt;110),0.17,0)+IF(AND(V963&gt;=75,V963&lt;=175,W963&gt;=110),0.12,0)+IF(AND(V963&gt;175,W963&lt;25),0.3,0)+IF(AND(V963&gt;175,W963&gt;=25,W963&lt;55),0.23,0)+IF(AND(V963&gt;175,W963&gt;=55,W963&lt;95),0.17,0)+IF(AND(V963&gt;175,W963&gt;=95),0.12,0),
IF(AF963="DoEVsu",IF(AND(V963&lt;20,W963&lt;55),0.3,0)+IF(AND(V963&lt;20,W963&gt;=55,W963&lt;105),0.23,0)+IF(AND(V963&lt;20,W963&gt;=105),0.17,0)+IF(AND(V963&gt;=20,V963&lt;40,W963&lt;45),0.3,0)+IF(AND(V963&gt;=20,V963&lt;40,W963&gt;=45,W963&lt;95),0.23,0)+IF(AND(V963&gt;=20,V963&lt;40,W963&gt;=95,W963&lt;=250),0.17,0)+IF(AND(V963&gt;=20,V963&lt;40,W963&gt;=250),0.12,0)+IF(AND(V963&gt;=40,V963&lt;75,W963&lt;35),0.3,0)+IF(AND(V963&gt;=40,V963&lt;75,W963&gt;=35,W963&lt;75),0.23,0)+IF(AND(V963&gt;=40,V963&lt;75,W963&gt;=75,W963&lt;120),0.17,0)+IF(AND(V963&gt;=40,V963&lt;75,W963&gt;=120),0.12,0)+IF(AND(V963&gt;=75,V963&lt;175,W963&lt;35),0.3,0)+IF(AND(V963&gt;=75,V963&lt;=175,W963&gt;=35,W963&lt;65),0.23,0)+IF(AND(V963&gt;=75,V963&lt;=175,W963&gt;=65,W963&lt;110),0.17,0)+IF(AND(V963&gt;=75,V963&lt;=175,W963&gt;=110),0.12,0)+IF(AND(V963&gt;175,W963&lt;25),0.3,0)+IF(AND(V963&gt;175,W963&gt;=25,W963&lt;55),0.23,0)+IF(AND(V963&gt;175,W963&gt;=55,W963&lt;95),0.17,0)+IF(AND(V963&gt;175,W963&gt;=95),0.12,0),
IF(AF963="DoEVni",IF(AND(V963&lt;20,W963&lt;55),0.3,0)+IF(AND(V963&lt;20,W963&gt;=55,W963&lt;105),0.23,0)+IF(AND(V963&lt;20,W963&gt;=105),0.17,0)+IF(AND(V963&gt;=20,V963&lt;40,W963&lt;45),0.3,0)+IF(AND(V963&gt;=20,V963&lt;40,W963&gt;=45,W963&lt;95),0.23,0)+IF(AND(V963&gt;=20,V963&lt;40,W963&gt;=95,W963&lt;=200),0.17,0)+IF(AND(V963&gt;=20,V963&lt;40,W963&gt;=200),0.12,0)+IF(AND(V963&gt;=40,V963&lt;75,W963&lt;35),0.3,0)+IF(AND(V963&gt;=40,V963&lt;75,W963&gt;=35,W963&lt;75),0.23,0)+IF(AND(V963&gt;=40,V963&lt;75,W963&gt;=75,W963&lt;120),0.17,0)+IF(AND(V963&gt;=40,V963&lt;75,W963&gt;=120),0.12,0)+IF(AND(V963&gt;=75,V963&lt;175,W963&lt;35),0.3,0)+IF(AND(V963&gt;=75,V963&lt;=175,W963&gt;=35,W963&lt;65),0.23,0)+IF(AND(V963&gt;=75,V963&lt;=175,W963&gt;=65,W963&lt;110),0.17,0)+IF(AND(V963&gt;=75,V963&lt;=175,W963&gt;=110),0.12,0)+IF(AND(V963&gt;175,W963&lt;25),0.3,0)+IF(AND(V963&gt;175,W963&gt;=25,W963&lt;55),0.23,0)+IF(AND(V963&gt;175,W963&gt;=55,W963&lt;95),0.17,0)+IF(AND(V963&gt;175,W963&gt;=95),0.12,0),
IF(AF963="DoEVLo",IF(AND(V963&lt;20,W963&lt;55),0.25,0)+IF(AND(V963&lt;20,W963&gt;=55,W963&lt;105),0.2,0)+IF(AND(V963&lt;20,W963&gt;=105),0.15,0)+IF(AND(V963&gt;=20,V963&lt;40,W963&lt;45),0.25,0)+IF(AND(V963&gt;=20,V963&lt;40,W963&gt;=45,W963&lt;95),0.2,0)+IF(AND(V963&gt;=20,V963&lt;40,W963&gt;=95),0.15,0)+IF(AND(V963&gt;=40,V963&lt;75,W963&lt;35),0.25,0)+IF(AND(V963&gt;=40,V963&lt;75,W963&gt;=35,W963&lt;75),0.2,0)+IF(AND(V963&gt;=40,V963&lt;75,W963&gt;=75,W963&lt;120),0.15,0)+IF(AND(V963&gt;=40,V963&lt;75,W963&gt;=120),0.1,0)+IF(AND(V963&gt;=75,V963&lt;175,W963&lt;35),0.25,0)+IF(AND(V963&gt;=75,V963&lt;=175,W963&gt;=35,W963&lt;65),0.2,0)+IF(AND(V963&gt;=75,V963&lt;=175,W963&gt;=65,W963&lt;110),0.15,0)+IF(AND(V963&gt;=75,V963&lt;=175,W963&gt;=110),0.1,0)+IF(AND(V963&gt;175,W963&lt;25),0.25,0)+IF(AND(V963&gt;175,W963&gt;=25,W963&lt;55),0.2,0)+IF(AND(V963&gt;175,W963&gt;=55,W963&lt;95),0.15,0)+IF(AND(V963&gt;175,W963&gt;=95),0.1,0))))))))))))))))))</f>
        <v>0.09</v>
      </c>
      <c r="Y963" s="30">
        <f>IF(AG963="None",0,IF(AG963="Fix5",0.05, IF(AG963="Fix6.25",0.0625,IF(AG963="Fix3.75",0.0375,IF(AG963="Fix10",0.1,IF(AG963="Fix3",0.03,0))))))</f>
        <v>0.03</v>
      </c>
      <c r="Z963" s="35">
        <f>T963-AA963-AB963</f>
        <v>321.2</v>
      </c>
      <c r="AA963" s="29">
        <f>IF(AD963="EUR",((T963-R963)*X963)*U963+(R963*X963),(T963*X963))</f>
        <v>32.85</v>
      </c>
      <c r="AB963" s="36">
        <f>IF(AD963="EUR",((T963-R963)*Y963)*U963+(R963*Y963),(T963*Y963))</f>
        <v>10.95</v>
      </c>
      <c r="AC963" s="37" t="b">
        <v>1</v>
      </c>
      <c r="AD963" s="37" t="s">
        <v>38</v>
      </c>
      <c r="AE963" s="37" t="s">
        <v>38</v>
      </c>
      <c r="AF963" s="38" t="str">
        <f t="array" ref="AF963">INDEX('Deal Info'!D:D, MATCH(A963,'Deal Info'!A:A, 0))</f>
        <v>Fix9</v>
      </c>
      <c r="AG963" s="38" t="str">
        <f t="array" ref="AG963">INDEX('Deal Info'!G:G, MATCH(A963,'Deal Info'!A:A, 0))</f>
        <v>Fix3</v>
      </c>
    </row>
    <row r="964" spans="1:33" ht="14.25" hidden="1" x14ac:dyDescent="0.2">
      <c r="A964" s="18" t="str">
        <f t="array" ref="A964">IF(G964='Room Info'!$B$1, INDEX('Room Info'!$A$2:$A2446, MATCH(B964,'Room Info'!$B$2:$B2446, 0)),IF(G964='Room Info'!$C$1, INDEX('Room Info'!$A$2:$A2446, MATCH(B964,'Room Info'!$C$2:$C2446, 0)),IF(G964='Room Info'!$D$1, INDEX('Room Info'!$A$2:$A2446, MATCH(B964,'Room Info'!$D$2:$D2446, 0)),IF(G964='Room Info'!$E$1, INDEX('Room Info'!$A$2:$A2446, MATCH(B964,'Room Info'!$E$2:$E2446, 0)),IF(G964='Room Info'!$F$1, INDEX('Room Info'!$A$2:$A2446, MATCH(B964,'Room Info'!$F$2:$F2446, 0)),IF(G964='Room Info'!$H$1, INDEX('Room Info'!$A$2:$A2446, MATCH(B964,'Room Info'!$H$2:$H2446, 0)),IF(G964='Room Info'!$G$1, INDEX('Room Info'!$A$2:$A2446, MATCH(B964,'Room Info'!$G$2:$G2446, 0)))))))))</f>
        <v>Mandr1990</v>
      </c>
      <c r="B964" s="45" t="s">
        <v>186</v>
      </c>
      <c r="C964" s="46">
        <v>44825</v>
      </c>
      <c r="D964" s="46">
        <v>44854</v>
      </c>
      <c r="E964" s="47">
        <v>44835</v>
      </c>
      <c r="F964" s="48" t="s">
        <v>34</v>
      </c>
      <c r="G964" s="45" t="s">
        <v>80</v>
      </c>
      <c r="H964" s="49" t="s">
        <v>72</v>
      </c>
      <c r="I964" s="49" t="s">
        <v>81</v>
      </c>
      <c r="J964" s="50">
        <v>50</v>
      </c>
      <c r="K964" s="51">
        <v>4149</v>
      </c>
      <c r="L964" s="52">
        <v>-1700</v>
      </c>
      <c r="M964" s="53">
        <v>11648</v>
      </c>
      <c r="N964" s="28">
        <f>K964*J964</f>
        <v>207450</v>
      </c>
      <c r="O964" s="54">
        <v>67198</v>
      </c>
      <c r="P964" s="29">
        <v>16.196191850000002</v>
      </c>
      <c r="Q964" s="55"/>
      <c r="R964" s="31">
        <f>M964+Q964</f>
        <v>11648</v>
      </c>
      <c r="S964" s="56">
        <v>-5522</v>
      </c>
      <c r="T964" s="32">
        <f>R964+S964+IF(F964="Without EV deal",L964,0)</f>
        <v>6126</v>
      </c>
      <c r="U964" s="57">
        <v>1</v>
      </c>
      <c r="V964" s="58"/>
      <c r="W964" s="58"/>
      <c r="X964" s="30">
        <f>IF(AF964="DoEV",IF(AND(V964&lt;20,W964&lt;55),0.3,0)+IF(AND(V964&lt;20,W964&gt;=55,W964&lt;105),0.23,0)+IF(AND(V964&lt;20,W964&gt;=105),0.17,0)+IF(AND(V964&gt;=20,V964&lt;40,W964&lt;45),0.3,0)+IF(AND(V964&gt;=20,V964&lt;40,W964&gt;=45,W964&lt;95),0.23,0)+IF(AND(V964&gt;=20,V964&lt;40,W964&gt;=95),0.17,0)+IF(AND(V964&gt;=40,V964&lt;75,W964&lt;35),0.3,0)+IF(AND(V964&gt;=40,V964&lt;75,W964&gt;=35,W964&lt;75),0.23,0)+IF(AND(V964&gt;=40,V964&lt;75,W964&gt;=75,W964&lt;120),0.17,0)+IF(AND(V964&gt;=40,V964&lt;75,W964&gt;=120),0.12,0)+IF(AND(V964&gt;=75,V964&lt;175,W964&lt;35),0.3,0)+IF(AND(V964&gt;=75,V964&lt;=175,W964&gt;=35,W964&lt;65),0.23,0)+IF(AND(V964&gt;=75,V964&lt;=175,W964&gt;=65,W964&lt;110),0.17,0)+IF(AND(V964&gt;=75,V964&lt;=175,W964&gt;=110),0.12,0)+IF(AND(V964&gt;175,W964&lt;25),0.3,0)+IF(AND(V964&gt;175,W964&gt;=25,W964&lt;55),0.23,0)+IF(AND(V964&gt;175,W964&gt;=55,W964&lt;95),0.17,0)+IF(AND(V964&gt;175,W964&gt;=95),0.12,0),
IF(AF964="Fix15",0.15,
IF(AF964="Fix18.75",0.1875,
IF(AF964="Fix11.25",0.1125,
IF(AF964="Fix10",0.1,
IF(AF964="Fix9",0.09,
IF(AF964="Fix19",0.19,
IF(AF964="DoEV2017",IF(AND(W964&lt;74),0.2,0)+IF(AND(W964&gt;=74),0.17,0),
IF(AF964="SF",IF(AND(V964&lt;20,W964&lt;89),0.3,0)+IF(AND(V964&lt;20,W964&gt;=89),0.25,0)+IF(AND(V964&gt;=20,V964&lt;40,W964&lt;74),0.3,0)+IF(AND(V964&gt;=20,V964&lt;40,W964&gt;=75),0.22,0)+IF(AND(V964&gt;=40,V964&lt;75,W964&lt;75),0.26,0)+IF(AND(V964&gt;=40,V964&lt;75,W964&gt;=75),0.22,0)+IF(V964&gt;=75,0.22,0),
IF(AF964="DoEVold",IF(AND(V964&lt;40,W964&lt;35),0.35,0)+IF(AND(V964&lt;40,W964&gt;=35,W964&lt;75),0.25,0)+IF(AND(V964&lt;40,W964&gt;=75),0.17,0)+IF(AND(V964&gt;=40,V964&lt;75,W964&lt;25),0.35,0)+IF(AND(V964&gt;=40,V964&lt;75,W964&gt;=25,W964&lt;65),0.25,0)+IF(AND(V964&gt;=40,V964&lt;75,W964&gt;=65,W964&lt;100),0.17,0)+IF(AND(V964&gt;=40,V964&lt;75,W964&gt;=100),0.1,0)+IF(AND(V964&gt;=75,W964&lt;25),0.35,0)+IF(AND(V964&gt;=75,W964&gt;=25,W964&lt;60),0.25,0)+IF(AND(V964&gt;=75,W964&gt;=60,W964&lt;95),0.17,0)+IF(AND(V964&gt;=75,W964&gt;=95),0.1,0),
IF(AF964="DoEVold15",IF(AND(V964&lt;=40,W964&lt;35),0.35,0)+IF(AND(V964&lt;=40,W964&gt;=35,W964&lt;75),0.25,0)+IF(AND(V964&lt;=40,W964&gt;=75,W964&lt;120),0.17,0)+IF(AND(V964&lt;=40,W964&gt;=120),0.15,0)+IF(AND(V964&gt;40,V964&lt;75,W964&lt;25),0.35,0)+IF(AND(V964&gt;=40,V964&lt;75,W964&gt;=25,W964&lt;65),0.25,0)+IF(AND(V964&gt;=40,V964&lt;75,W964&gt;=65,W964&lt;100),0.17,0)+IF(AND(V964&gt;=40,V964&lt;75,W964&gt;=100),0.1,0)+IF(AND(V964&gt;=75,W964&lt;25),0.35,0)+IF(AND(V964&gt;=75,W964&gt;=25,W964&lt;60),0.25,0)+IF(AND(V964&gt;=75,W964&gt;=60,W964&lt;95),0.17,0)+IF(AND(V964&gt;=75,W964&gt;=95),0.1,0),
IF(AF964="DoEVba",IF(AND(V964&lt;20,W964&lt;105),0.2,0)+IF(AND(V964&lt;20,W964&gt;=105),0.15,0)+IF(AND(V964&gt;=20,V964&lt;40,W964&lt;95),0.2,0)+IF(AND(V964&gt;=20,V964&lt;40,W964&gt;=95,W964&lt;150),0.15,0)+IF(AND(V964&gt;=20,V964&lt;40,W964&gt;=150),0.12,0)+IF(AND(V964&gt;=40,V964&lt;75,W964&lt;75),0.2,0)+IF(AND(V964&gt;=40,V964&lt;75,W964&gt;=75,W964&lt;120),0.15,0)+IF(AND(V964&gt;=40,V964&lt;75,W964&gt;=120),0.12,0)+IF(AND(V964&gt;=75,V964&lt;175,W964&lt;65),0.2,0)+IF(AND(V964&gt;=75,V964&lt;175,W964&gt;=65,W964&lt;110),0.15,0)+IF(AND(V964&gt;=75,V964&lt;175,W964&gt;=110),0.12,0)+IF(AND(V964&gt;=175,W964&lt;55),0.2,0)+IF(AND(V964&gt;=175,W964&gt;=55,W964&lt;95),0.15,0)+IF(AND(V964&gt;=175,W964&gt;=95),0.12,0),
IF(AF964="DoEVku",IF(AND(V964&lt;20,W964&lt;55),0.23,0)+IF(AND(V964&lt;20,W964&gt;=55,W964&lt;105),0.2,0)+IF(AND(V964&lt;20,W964&gt;=105),0.17,0)+IF(AND(V964&gt;=20,V964&lt;40,W964&lt;45),0.23,0)+IF(AND(V964&gt;=20,V964&lt;40,W964&gt;=45,W964&lt;95),0.2,0)+IF(AND(V964&gt;=20,V964&lt;40,W964&gt;=95,W964&lt;=150),0.17,0)+IF(AND(V964&gt;=20,V964&lt;40,W964&gt;=150),0.12,0)+IF(AND(V964&gt;=40,V964&lt;75,W964&lt;35),0.23,0)+IF(AND(V964&gt;=40,V964&lt;75,W964&gt;=35,W964&lt;75),0.2,0)+IF(AND(V964&gt;=40,V964&lt;75,W964&gt;=75,W964&lt;120),0.17,0)+IF(AND(V964&gt;=40,V964&lt;75,W964&gt;=120),0.12,0)+IF(AND(V964&gt;=75,V964&lt;175,W964&lt;35),0.23,0)+IF(AND(V964&gt;=75,V964&lt;=175,W964&gt;=35,W964&lt;65),0.2,0)+IF(AND(V964&gt;=75,V964&lt;=175,W964&gt;=65,W964&lt;110),0.17,0)+IF(AND(V964&gt;=75,V964&lt;=175,W964&gt;=110),0.12,0)+IF(AND(V964&gt;175,W964&lt;25),0.23,0)+IF(AND(V964&gt;175,W964&gt;=25,W964&lt;55),0.2,0)+IF(AND(V964&gt;175,W964&gt;=55,W964&lt;95),0.17,0)+IF(AND(V964&gt;175,W964&gt;=95),0.12,0),
IF(AF964="DoEVs1",IF(AND(V964&lt;20,W964&lt;55),0.3,0)+IF(AND(V964&lt;20,W964&gt;=55,W964&lt;105),0.23,0)+IF(AND(V964&lt;20,W964&gt;=105),0.17,0)+IF(AND(V964&gt;=20,V964&lt;40,W964&lt;45),0.3,0)+IF(AND(V964&gt;=20,V964&lt;40,W964&gt;=45,W964&lt;95),0.23,0)+IF(AND(V964&gt;=20,V964&lt;40,W964&gt;=95,W964&lt;=150),0.17,0)+IF(AND(V964&gt;=20,V964&lt;40,W964&gt;=150),0.12,0)+IF(AND(V964&gt;=40,V964&lt;75,W964&lt;35),0.3,0)+IF(AND(V964&gt;=40,V964&lt;75,W964&gt;=35,W964&lt;75),0.23,0)+IF(AND(V964&gt;=40,V964&lt;75,W964&gt;=75,W964&lt;120),0.17,0)+IF(AND(V964&gt;=40,V964&lt;75,W964&gt;=120),0.12,0)+IF(AND(V964&gt;=75,V964&lt;175,W964&lt;35),0.3,0)+IF(AND(V964&gt;=75,V964&lt;=175,W964&gt;=35,W964&lt;65),0.23,0)+IF(AND(V964&gt;=75,V964&lt;=175,W964&gt;=65,W964&lt;110),0.17,0)+IF(AND(V964&gt;=75,V964&lt;=175,W964&gt;=110),0.12,0)+IF(AND(V964&gt;175,W964&lt;25),0.3,0)+IF(AND(V964&gt;175,W964&gt;=25,W964&lt;55),0.23,0)+IF(AND(V964&gt;175,W964&gt;=55,W964&lt;95),0.17,0)+IF(AND(V964&gt;175,W964&gt;=95),0.12,0),
IF(AF964="DoEVsu",IF(AND(V964&lt;20,W964&lt;55),0.3,0)+IF(AND(V964&lt;20,W964&gt;=55,W964&lt;105),0.23,0)+IF(AND(V964&lt;20,W964&gt;=105),0.17,0)+IF(AND(V964&gt;=20,V964&lt;40,W964&lt;45),0.3,0)+IF(AND(V964&gt;=20,V964&lt;40,W964&gt;=45,W964&lt;95),0.23,0)+IF(AND(V964&gt;=20,V964&lt;40,W964&gt;=95,W964&lt;=250),0.17,0)+IF(AND(V964&gt;=20,V964&lt;40,W964&gt;=250),0.12,0)+IF(AND(V964&gt;=40,V964&lt;75,W964&lt;35),0.3,0)+IF(AND(V964&gt;=40,V964&lt;75,W964&gt;=35,W964&lt;75),0.23,0)+IF(AND(V964&gt;=40,V964&lt;75,W964&gt;=75,W964&lt;120),0.17,0)+IF(AND(V964&gt;=40,V964&lt;75,W964&gt;=120),0.12,0)+IF(AND(V964&gt;=75,V964&lt;175,W964&lt;35),0.3,0)+IF(AND(V964&gt;=75,V964&lt;=175,W964&gt;=35,W964&lt;65),0.23,0)+IF(AND(V964&gt;=75,V964&lt;=175,W964&gt;=65,W964&lt;110),0.17,0)+IF(AND(V964&gt;=75,V964&lt;=175,W964&gt;=110),0.12,0)+IF(AND(V964&gt;175,W964&lt;25),0.3,0)+IF(AND(V964&gt;175,W964&gt;=25,W964&lt;55),0.23,0)+IF(AND(V964&gt;175,W964&gt;=55,W964&lt;95),0.17,0)+IF(AND(V964&gt;175,W964&gt;=95),0.12,0),
IF(AF964="DoEVni",IF(AND(V964&lt;20,W964&lt;55),0.3,0)+IF(AND(V964&lt;20,W964&gt;=55,W964&lt;105),0.23,0)+IF(AND(V964&lt;20,W964&gt;=105),0.17,0)+IF(AND(V964&gt;=20,V964&lt;40,W964&lt;45),0.3,0)+IF(AND(V964&gt;=20,V964&lt;40,W964&gt;=45,W964&lt;95),0.23,0)+IF(AND(V964&gt;=20,V964&lt;40,W964&gt;=95,W964&lt;=200),0.17,0)+IF(AND(V964&gt;=20,V964&lt;40,W964&gt;=200),0.12,0)+IF(AND(V964&gt;=40,V964&lt;75,W964&lt;35),0.3,0)+IF(AND(V964&gt;=40,V964&lt;75,W964&gt;=35,W964&lt;75),0.23,0)+IF(AND(V964&gt;=40,V964&lt;75,W964&gt;=75,W964&lt;120),0.17,0)+IF(AND(V964&gt;=40,V964&lt;75,W964&gt;=120),0.12,0)+IF(AND(V964&gt;=75,V964&lt;175,W964&lt;35),0.3,0)+IF(AND(V964&gt;=75,V964&lt;=175,W964&gt;=35,W964&lt;65),0.23,0)+IF(AND(V964&gt;=75,V964&lt;=175,W964&gt;=65,W964&lt;110),0.17,0)+IF(AND(V964&gt;=75,V964&lt;=175,W964&gt;=110),0.12,0)+IF(AND(V964&gt;175,W964&lt;25),0.3,0)+IF(AND(V964&gt;175,W964&gt;=25,W964&lt;55),0.23,0)+IF(AND(V964&gt;175,W964&gt;=55,W964&lt;95),0.17,0)+IF(AND(V964&gt;175,W964&gt;=95),0.12,0),
IF(AF964="DoEVLo",IF(AND(V964&lt;20,W964&lt;55),0.25,0)+IF(AND(V964&lt;20,W964&gt;=55,W964&lt;105),0.2,0)+IF(AND(V964&lt;20,W964&gt;=105),0.15,0)+IF(AND(V964&gt;=20,V964&lt;40,W964&lt;45),0.25,0)+IF(AND(V964&gt;=20,V964&lt;40,W964&gt;=45,W964&lt;95),0.2,0)+IF(AND(V964&gt;=20,V964&lt;40,W964&gt;=95),0.15,0)+IF(AND(V964&gt;=40,V964&lt;75,W964&lt;35),0.25,0)+IF(AND(V964&gt;=40,V964&lt;75,W964&gt;=35,W964&lt;75),0.2,0)+IF(AND(V964&gt;=40,V964&lt;75,W964&gt;=75,W964&lt;120),0.15,0)+IF(AND(V964&gt;=40,V964&lt;75,W964&gt;=120),0.1,0)+IF(AND(V964&gt;=75,V964&lt;175,W964&lt;35),0.25,0)+IF(AND(V964&gt;=75,V964&lt;=175,W964&gt;=35,W964&lt;65),0.2,0)+IF(AND(V964&gt;=75,V964&lt;=175,W964&gt;=65,W964&lt;110),0.15,0)+IF(AND(V964&gt;=75,V964&lt;=175,W964&gt;=110),0.1,0)+IF(AND(V964&gt;175,W964&lt;25),0.25,0)+IF(AND(V964&gt;175,W964&gt;=25,W964&lt;55),0.2,0)+IF(AND(V964&gt;175,W964&gt;=55,W964&lt;95),0.15,0)+IF(AND(V964&gt;175,W964&gt;=95),0.1,0))))))))))))))))))</f>
        <v>0.09</v>
      </c>
      <c r="Y964" s="30">
        <f>IF(AG964="None",0,IF(AG964="Fix5",0.05, IF(AG964="Fix6.25",0.0625,IF(AG964="Fix3.75",0.0375,IF(AG964="Fix10",0.1,IF(AG964="Fix3",0.03,0))))))</f>
        <v>0.03</v>
      </c>
      <c r="Z964" s="35">
        <f>T964-AA964-AB964</f>
        <v>5390.88</v>
      </c>
      <c r="AA964" s="29">
        <f>IF(AD964="EUR",((T964-R964)*X964)*U964+(R964*X964),(T964*X964))</f>
        <v>551.34</v>
      </c>
      <c r="AB964" s="36">
        <f>IF(AD964="EUR",((T964-R964)*Y964)*U964+(R964*Y964),(T964*Y964))</f>
        <v>183.78</v>
      </c>
      <c r="AC964" s="37" t="b">
        <v>1</v>
      </c>
      <c r="AD964" s="37" t="s">
        <v>38</v>
      </c>
      <c r="AE964" s="37" t="s">
        <v>38</v>
      </c>
      <c r="AF964" s="38" t="str">
        <f t="array" ref="AF964">INDEX('Deal Info'!D:D, MATCH(A964,'Deal Info'!A:A, 0))</f>
        <v>Fix9</v>
      </c>
      <c r="AG964" s="38" t="str">
        <f t="array" ref="AG964">INDEX('Deal Info'!G:G, MATCH(A964,'Deal Info'!A:A, 0))</f>
        <v>Fix3</v>
      </c>
    </row>
    <row r="965" spans="1:33" ht="14.25" hidden="1" x14ac:dyDescent="0.2">
      <c r="A965" s="18" t="str">
        <f t="array" ref="A965">IF(G965='Room Info'!$B$1, INDEX('Room Info'!$A$2:$A2446, MATCH(B965,'Room Info'!$B$2:$B2446, 0)),IF(G965='Room Info'!$C$1, INDEX('Room Info'!$A$2:$A2446, MATCH(B965,'Room Info'!$C$2:$C2446, 0)),IF(G965='Room Info'!$D$1, INDEX('Room Info'!$A$2:$A2446, MATCH(B965,'Room Info'!$D$2:$D2446, 0)),IF(G965='Room Info'!$E$1, INDEX('Room Info'!$A$2:$A2446, MATCH(B965,'Room Info'!$E$2:$E2446, 0)),IF(G965='Room Info'!$F$1, INDEX('Room Info'!$A$2:$A2446, MATCH(B965,'Room Info'!$F$2:$F2446, 0)),IF(G965='Room Info'!$H$1, INDEX('Room Info'!$A$2:$A2446, MATCH(B965,'Room Info'!$H$2:$H2446, 0)),IF(G965='Room Info'!$G$1, INDEX('Room Info'!$A$2:$A2446, MATCH(B965,'Room Info'!$G$2:$G2446, 0)))))))))</f>
        <v>Mandr1990</v>
      </c>
      <c r="B965" s="45" t="s">
        <v>186</v>
      </c>
      <c r="C965" s="46">
        <v>44855</v>
      </c>
      <c r="D965" s="46">
        <v>44885</v>
      </c>
      <c r="E965" s="47">
        <v>44866</v>
      </c>
      <c r="F965" s="48" t="s">
        <v>34</v>
      </c>
      <c r="G965" s="45" t="s">
        <v>80</v>
      </c>
      <c r="H965" s="49" t="s">
        <v>72</v>
      </c>
      <c r="I965" s="49" t="s">
        <v>81</v>
      </c>
      <c r="J965" s="50">
        <v>50</v>
      </c>
      <c r="K965" s="51">
        <v>1</v>
      </c>
      <c r="L965" s="52">
        <v>350</v>
      </c>
      <c r="M965" s="53">
        <v>3</v>
      </c>
      <c r="N965" s="28">
        <f>K965*J965</f>
        <v>50</v>
      </c>
      <c r="O965" s="54">
        <v>348</v>
      </c>
      <c r="P965" s="29">
        <v>348</v>
      </c>
      <c r="Q965" s="55"/>
      <c r="R965" s="31">
        <f>M965+Q965</f>
        <v>3</v>
      </c>
      <c r="S965" s="56">
        <v>46</v>
      </c>
      <c r="T965" s="32">
        <f>R965+S965+IF(F965="Without EV deal",L965,0)</f>
        <v>49</v>
      </c>
      <c r="U965" s="57">
        <v>1</v>
      </c>
      <c r="V965" s="58"/>
      <c r="W965" s="58"/>
      <c r="X965" s="30">
        <f>IF(AF965="DoEV",IF(AND(V965&lt;20,W965&lt;55),0.3,0)+IF(AND(V965&lt;20,W965&gt;=55,W965&lt;105),0.23,0)+IF(AND(V965&lt;20,W965&gt;=105),0.17,0)+IF(AND(V965&gt;=20,V965&lt;40,W965&lt;45),0.3,0)+IF(AND(V965&gt;=20,V965&lt;40,W965&gt;=45,W965&lt;95),0.23,0)+IF(AND(V965&gt;=20,V965&lt;40,W965&gt;=95),0.17,0)+IF(AND(V965&gt;=40,V965&lt;75,W965&lt;35),0.3,0)+IF(AND(V965&gt;=40,V965&lt;75,W965&gt;=35,W965&lt;75),0.23,0)+IF(AND(V965&gt;=40,V965&lt;75,W965&gt;=75,W965&lt;120),0.17,0)+IF(AND(V965&gt;=40,V965&lt;75,W965&gt;=120),0.12,0)+IF(AND(V965&gt;=75,V965&lt;175,W965&lt;35),0.3,0)+IF(AND(V965&gt;=75,V965&lt;=175,W965&gt;=35,W965&lt;65),0.23,0)+IF(AND(V965&gt;=75,V965&lt;=175,W965&gt;=65,W965&lt;110),0.17,0)+IF(AND(V965&gt;=75,V965&lt;=175,W965&gt;=110),0.12,0)+IF(AND(V965&gt;175,W965&lt;25),0.3,0)+IF(AND(V965&gt;175,W965&gt;=25,W965&lt;55),0.23,0)+IF(AND(V965&gt;175,W965&gt;=55,W965&lt;95),0.17,0)+IF(AND(V965&gt;175,W965&gt;=95),0.12,0),
IF(AF965="Fix15",0.15,
IF(AF965="Fix18.75",0.1875,
IF(AF965="Fix11.25",0.1125,
IF(AF965="Fix10",0.1,
IF(AF965="Fix9",0.09,
IF(AF965="Fix19",0.19,
IF(AF965="DoEV2017",IF(AND(W965&lt;74),0.2,0)+IF(AND(W965&gt;=74),0.17,0),
IF(AF965="SF",IF(AND(V965&lt;20,W965&lt;89),0.3,0)+IF(AND(V965&lt;20,W965&gt;=89),0.25,0)+IF(AND(V965&gt;=20,V965&lt;40,W965&lt;74),0.3,0)+IF(AND(V965&gt;=20,V965&lt;40,W965&gt;=75),0.22,0)+IF(AND(V965&gt;=40,V965&lt;75,W965&lt;75),0.26,0)+IF(AND(V965&gt;=40,V965&lt;75,W965&gt;=75),0.22,0)+IF(V965&gt;=75,0.22,0),
IF(AF965="DoEVold",IF(AND(V965&lt;40,W965&lt;35),0.35,0)+IF(AND(V965&lt;40,W965&gt;=35,W965&lt;75),0.25,0)+IF(AND(V965&lt;40,W965&gt;=75),0.17,0)+IF(AND(V965&gt;=40,V965&lt;75,W965&lt;25),0.35,0)+IF(AND(V965&gt;=40,V965&lt;75,W965&gt;=25,W965&lt;65),0.25,0)+IF(AND(V965&gt;=40,V965&lt;75,W965&gt;=65,W965&lt;100),0.17,0)+IF(AND(V965&gt;=40,V965&lt;75,W965&gt;=100),0.1,0)+IF(AND(V965&gt;=75,W965&lt;25),0.35,0)+IF(AND(V965&gt;=75,W965&gt;=25,W965&lt;60),0.25,0)+IF(AND(V965&gt;=75,W965&gt;=60,W965&lt;95),0.17,0)+IF(AND(V965&gt;=75,W965&gt;=95),0.1,0),
IF(AF965="DoEVold15",IF(AND(V965&lt;=40,W965&lt;35),0.35,0)+IF(AND(V965&lt;=40,W965&gt;=35,W965&lt;75),0.25,0)+IF(AND(V965&lt;=40,W965&gt;=75,W965&lt;120),0.17,0)+IF(AND(V965&lt;=40,W965&gt;=120),0.15,0)+IF(AND(V965&gt;40,V965&lt;75,W965&lt;25),0.35,0)+IF(AND(V965&gt;=40,V965&lt;75,W965&gt;=25,W965&lt;65),0.25,0)+IF(AND(V965&gt;=40,V965&lt;75,W965&gt;=65,W965&lt;100),0.17,0)+IF(AND(V965&gt;=40,V965&lt;75,W965&gt;=100),0.1,0)+IF(AND(V965&gt;=75,W965&lt;25),0.35,0)+IF(AND(V965&gt;=75,W965&gt;=25,W965&lt;60),0.25,0)+IF(AND(V965&gt;=75,W965&gt;=60,W965&lt;95),0.17,0)+IF(AND(V965&gt;=75,W965&gt;=95),0.1,0),
IF(AF965="DoEVba",IF(AND(V965&lt;20,W965&lt;105),0.2,0)+IF(AND(V965&lt;20,W965&gt;=105),0.15,0)+IF(AND(V965&gt;=20,V965&lt;40,W965&lt;95),0.2,0)+IF(AND(V965&gt;=20,V965&lt;40,W965&gt;=95,W965&lt;150),0.15,0)+IF(AND(V965&gt;=20,V965&lt;40,W965&gt;=150),0.12,0)+IF(AND(V965&gt;=40,V965&lt;75,W965&lt;75),0.2,0)+IF(AND(V965&gt;=40,V965&lt;75,W965&gt;=75,W965&lt;120),0.15,0)+IF(AND(V965&gt;=40,V965&lt;75,W965&gt;=120),0.12,0)+IF(AND(V965&gt;=75,V965&lt;175,W965&lt;65),0.2,0)+IF(AND(V965&gt;=75,V965&lt;175,W965&gt;=65,W965&lt;110),0.15,0)+IF(AND(V965&gt;=75,V965&lt;175,W965&gt;=110),0.12,0)+IF(AND(V965&gt;=175,W965&lt;55),0.2,0)+IF(AND(V965&gt;=175,W965&gt;=55,W965&lt;95),0.15,0)+IF(AND(V965&gt;=175,W965&gt;=95),0.12,0),
IF(AF965="DoEVku",IF(AND(V965&lt;20,W965&lt;55),0.23,0)+IF(AND(V965&lt;20,W965&gt;=55,W965&lt;105),0.2,0)+IF(AND(V965&lt;20,W965&gt;=105),0.17,0)+IF(AND(V965&gt;=20,V965&lt;40,W965&lt;45),0.23,0)+IF(AND(V965&gt;=20,V965&lt;40,W965&gt;=45,W965&lt;95),0.2,0)+IF(AND(V965&gt;=20,V965&lt;40,W965&gt;=95,W965&lt;=150),0.17,0)+IF(AND(V965&gt;=20,V965&lt;40,W965&gt;=150),0.12,0)+IF(AND(V965&gt;=40,V965&lt;75,W965&lt;35),0.23,0)+IF(AND(V965&gt;=40,V965&lt;75,W965&gt;=35,W965&lt;75),0.2,0)+IF(AND(V965&gt;=40,V965&lt;75,W965&gt;=75,W965&lt;120),0.17,0)+IF(AND(V965&gt;=40,V965&lt;75,W965&gt;=120),0.12,0)+IF(AND(V965&gt;=75,V965&lt;175,W965&lt;35),0.23,0)+IF(AND(V965&gt;=75,V965&lt;=175,W965&gt;=35,W965&lt;65),0.2,0)+IF(AND(V965&gt;=75,V965&lt;=175,W965&gt;=65,W965&lt;110),0.17,0)+IF(AND(V965&gt;=75,V965&lt;=175,W965&gt;=110),0.12,0)+IF(AND(V965&gt;175,W965&lt;25),0.23,0)+IF(AND(V965&gt;175,W965&gt;=25,W965&lt;55),0.2,0)+IF(AND(V965&gt;175,W965&gt;=55,W965&lt;95),0.17,0)+IF(AND(V965&gt;175,W965&gt;=95),0.12,0),
IF(AF965="DoEVs1",IF(AND(V965&lt;20,W965&lt;55),0.3,0)+IF(AND(V965&lt;20,W965&gt;=55,W965&lt;105),0.23,0)+IF(AND(V965&lt;20,W965&gt;=105),0.17,0)+IF(AND(V965&gt;=20,V965&lt;40,W965&lt;45),0.3,0)+IF(AND(V965&gt;=20,V965&lt;40,W965&gt;=45,W965&lt;95),0.23,0)+IF(AND(V965&gt;=20,V965&lt;40,W965&gt;=95,W965&lt;=150),0.17,0)+IF(AND(V965&gt;=20,V965&lt;40,W965&gt;=150),0.12,0)+IF(AND(V965&gt;=40,V965&lt;75,W965&lt;35),0.3,0)+IF(AND(V965&gt;=40,V965&lt;75,W965&gt;=35,W965&lt;75),0.23,0)+IF(AND(V965&gt;=40,V965&lt;75,W965&gt;=75,W965&lt;120),0.17,0)+IF(AND(V965&gt;=40,V965&lt;75,W965&gt;=120),0.12,0)+IF(AND(V965&gt;=75,V965&lt;175,W965&lt;35),0.3,0)+IF(AND(V965&gt;=75,V965&lt;=175,W965&gt;=35,W965&lt;65),0.23,0)+IF(AND(V965&gt;=75,V965&lt;=175,W965&gt;=65,W965&lt;110),0.17,0)+IF(AND(V965&gt;=75,V965&lt;=175,W965&gt;=110),0.12,0)+IF(AND(V965&gt;175,W965&lt;25),0.3,0)+IF(AND(V965&gt;175,W965&gt;=25,W965&lt;55),0.23,0)+IF(AND(V965&gt;175,W965&gt;=55,W965&lt;95),0.17,0)+IF(AND(V965&gt;175,W965&gt;=95),0.12,0),
IF(AF965="DoEVsu",IF(AND(V965&lt;20,W965&lt;55),0.3,0)+IF(AND(V965&lt;20,W965&gt;=55,W965&lt;105),0.23,0)+IF(AND(V965&lt;20,W965&gt;=105),0.17,0)+IF(AND(V965&gt;=20,V965&lt;40,W965&lt;45),0.3,0)+IF(AND(V965&gt;=20,V965&lt;40,W965&gt;=45,W965&lt;95),0.23,0)+IF(AND(V965&gt;=20,V965&lt;40,W965&gt;=95,W965&lt;=250),0.17,0)+IF(AND(V965&gt;=20,V965&lt;40,W965&gt;=250),0.12,0)+IF(AND(V965&gt;=40,V965&lt;75,W965&lt;35),0.3,0)+IF(AND(V965&gt;=40,V965&lt;75,W965&gt;=35,W965&lt;75),0.23,0)+IF(AND(V965&gt;=40,V965&lt;75,W965&gt;=75,W965&lt;120),0.17,0)+IF(AND(V965&gt;=40,V965&lt;75,W965&gt;=120),0.12,0)+IF(AND(V965&gt;=75,V965&lt;175,W965&lt;35),0.3,0)+IF(AND(V965&gt;=75,V965&lt;=175,W965&gt;=35,W965&lt;65),0.23,0)+IF(AND(V965&gt;=75,V965&lt;=175,W965&gt;=65,W965&lt;110),0.17,0)+IF(AND(V965&gt;=75,V965&lt;=175,W965&gt;=110),0.12,0)+IF(AND(V965&gt;175,W965&lt;25),0.3,0)+IF(AND(V965&gt;175,W965&gt;=25,W965&lt;55),0.23,0)+IF(AND(V965&gt;175,W965&gt;=55,W965&lt;95),0.17,0)+IF(AND(V965&gt;175,W965&gt;=95),0.12,0),
IF(AF965="DoEVni",IF(AND(V965&lt;20,W965&lt;55),0.3,0)+IF(AND(V965&lt;20,W965&gt;=55,W965&lt;105),0.23,0)+IF(AND(V965&lt;20,W965&gt;=105),0.17,0)+IF(AND(V965&gt;=20,V965&lt;40,W965&lt;45),0.3,0)+IF(AND(V965&gt;=20,V965&lt;40,W965&gt;=45,W965&lt;95),0.23,0)+IF(AND(V965&gt;=20,V965&lt;40,W965&gt;=95,W965&lt;=200),0.17,0)+IF(AND(V965&gt;=20,V965&lt;40,W965&gt;=200),0.12,0)+IF(AND(V965&gt;=40,V965&lt;75,W965&lt;35),0.3,0)+IF(AND(V965&gt;=40,V965&lt;75,W965&gt;=35,W965&lt;75),0.23,0)+IF(AND(V965&gt;=40,V965&lt;75,W965&gt;=75,W965&lt;120),0.17,0)+IF(AND(V965&gt;=40,V965&lt;75,W965&gt;=120),0.12,0)+IF(AND(V965&gt;=75,V965&lt;175,W965&lt;35),0.3,0)+IF(AND(V965&gt;=75,V965&lt;=175,W965&gt;=35,W965&lt;65),0.23,0)+IF(AND(V965&gt;=75,V965&lt;=175,W965&gt;=65,W965&lt;110),0.17,0)+IF(AND(V965&gt;=75,V965&lt;=175,W965&gt;=110),0.12,0)+IF(AND(V965&gt;175,W965&lt;25),0.3,0)+IF(AND(V965&gt;175,W965&gt;=25,W965&lt;55),0.23,0)+IF(AND(V965&gt;175,W965&gt;=55,W965&lt;95),0.17,0)+IF(AND(V965&gt;175,W965&gt;=95),0.12,0),
IF(AF965="DoEVLo",IF(AND(V965&lt;20,W965&lt;55),0.25,0)+IF(AND(V965&lt;20,W965&gt;=55,W965&lt;105),0.2,0)+IF(AND(V965&lt;20,W965&gt;=105),0.15,0)+IF(AND(V965&gt;=20,V965&lt;40,W965&lt;45),0.25,0)+IF(AND(V965&gt;=20,V965&lt;40,W965&gt;=45,W965&lt;95),0.2,0)+IF(AND(V965&gt;=20,V965&lt;40,W965&gt;=95),0.15,0)+IF(AND(V965&gt;=40,V965&lt;75,W965&lt;35),0.25,0)+IF(AND(V965&gt;=40,V965&lt;75,W965&gt;=35,W965&lt;75),0.2,0)+IF(AND(V965&gt;=40,V965&lt;75,W965&gt;=75,W965&lt;120),0.15,0)+IF(AND(V965&gt;=40,V965&lt;75,W965&gt;=120),0.1,0)+IF(AND(V965&gt;=75,V965&lt;175,W965&lt;35),0.25,0)+IF(AND(V965&gt;=75,V965&lt;=175,W965&gt;=35,W965&lt;65),0.2,0)+IF(AND(V965&gt;=75,V965&lt;=175,W965&gt;=65,W965&lt;110),0.15,0)+IF(AND(V965&gt;=75,V965&lt;=175,W965&gt;=110),0.1,0)+IF(AND(V965&gt;175,W965&lt;25),0.25,0)+IF(AND(V965&gt;175,W965&gt;=25,W965&lt;55),0.2,0)+IF(AND(V965&gt;175,W965&gt;=55,W965&lt;95),0.15,0)+IF(AND(V965&gt;175,W965&gt;=95),0.1,0))))))))))))))))))</f>
        <v>0.09</v>
      </c>
      <c r="Y965" s="30">
        <f>IF(AG965="None",0,IF(AG965="Fix5",0.05, IF(AG965="Fix6.25",0.0625,IF(AG965="Fix3.75",0.0375,IF(AG965="Fix10",0.1,IF(AG965="Fix3",0.03,0))))))</f>
        <v>0.03</v>
      </c>
      <c r="Z965" s="35">
        <f>T965-AA965-AB965</f>
        <v>43.120000000000005</v>
      </c>
      <c r="AA965" s="29">
        <f>IF(AD965="EUR",((T965-R965)*X965)*U965+(R965*X965),(T965*X965))</f>
        <v>4.41</v>
      </c>
      <c r="AB965" s="36">
        <f>IF(AD965="EUR",((T965-R965)*Y965)*U965+(R965*Y965),(T965*Y965))</f>
        <v>1.47</v>
      </c>
      <c r="AC965" s="37" t="b">
        <v>1</v>
      </c>
      <c r="AD965" s="37" t="s">
        <v>38</v>
      </c>
      <c r="AE965" s="37" t="s">
        <v>38</v>
      </c>
      <c r="AF965" s="38" t="str">
        <f t="array" ref="AF965">INDEX('Deal Info'!D:D, MATCH(A965,'Deal Info'!A:A, 0))</f>
        <v>Fix9</v>
      </c>
      <c r="AG965" s="38" t="str">
        <f t="array" ref="AG965">INDEX('Deal Info'!G:G, MATCH(A965,'Deal Info'!A:A, 0))</f>
        <v>Fix3</v>
      </c>
    </row>
    <row r="966" spans="1:33" ht="14.25" hidden="1" x14ac:dyDescent="0.2">
      <c r="A966" s="18" t="str">
        <f t="array" ref="A966">IF(G966='Room Info'!$B$1, INDEX('Room Info'!$A$2:$A2446, MATCH(B966,'Room Info'!$B$2:$B2446, 0)),IF(G966='Room Info'!$C$1, INDEX('Room Info'!$A$2:$A2446, MATCH(B966,'Room Info'!$C$2:$C2446, 0)),IF(G966='Room Info'!$D$1, INDEX('Room Info'!$A$2:$A2446, MATCH(B966,'Room Info'!$D$2:$D2446, 0)),IF(G966='Room Info'!$E$1, INDEX('Room Info'!$A$2:$A2446, MATCH(B966,'Room Info'!$E$2:$E2446, 0)),IF(G966='Room Info'!$F$1, INDEX('Room Info'!$A$2:$A2446, MATCH(B966,'Room Info'!$F$2:$F2446, 0)),IF(G966='Room Info'!$H$1, INDEX('Room Info'!$A$2:$A2446, MATCH(B966,'Room Info'!$H$2:$H2446, 0)),IF(G966='Room Info'!$G$1, INDEX('Room Info'!$A$2:$A2446, MATCH(B966,'Room Info'!$G$2:$G2446, 0)))))))))</f>
        <v>Mandr1990</v>
      </c>
      <c r="B966" s="45" t="s">
        <v>186</v>
      </c>
      <c r="C966" s="46">
        <v>44855</v>
      </c>
      <c r="D966" s="46">
        <v>44885</v>
      </c>
      <c r="E966" s="47">
        <v>44866</v>
      </c>
      <c r="F966" s="48" t="s">
        <v>34</v>
      </c>
      <c r="G966" s="45" t="s">
        <v>80</v>
      </c>
      <c r="H966" s="49" t="s">
        <v>70</v>
      </c>
      <c r="I966" s="49" t="s">
        <v>81</v>
      </c>
      <c r="J966" s="50">
        <v>100</v>
      </c>
      <c r="K966" s="51">
        <v>4956</v>
      </c>
      <c r="L966" s="52">
        <v>-24300</v>
      </c>
      <c r="M966" s="53">
        <v>26303</v>
      </c>
      <c r="N966" s="28">
        <f>K966*J966</f>
        <v>495600</v>
      </c>
      <c r="O966" s="54">
        <v>72267</v>
      </c>
      <c r="P966" s="29">
        <v>14.58171913</v>
      </c>
      <c r="Q966" s="55"/>
      <c r="R966" s="31">
        <f>M966+Q966</f>
        <v>26303</v>
      </c>
      <c r="S966" s="56">
        <v>-16308</v>
      </c>
      <c r="T966" s="32">
        <f>R966+S966+IF(F966="Without EV deal",L966,0)</f>
        <v>9995</v>
      </c>
      <c r="U966" s="57">
        <v>1</v>
      </c>
      <c r="V966" s="58"/>
      <c r="W966" s="58"/>
      <c r="X966" s="30">
        <f>IF(AF966="DoEV",IF(AND(V966&lt;20,W966&lt;55),0.3,0)+IF(AND(V966&lt;20,W966&gt;=55,W966&lt;105),0.23,0)+IF(AND(V966&lt;20,W966&gt;=105),0.17,0)+IF(AND(V966&gt;=20,V966&lt;40,W966&lt;45),0.3,0)+IF(AND(V966&gt;=20,V966&lt;40,W966&gt;=45,W966&lt;95),0.23,0)+IF(AND(V966&gt;=20,V966&lt;40,W966&gt;=95),0.17,0)+IF(AND(V966&gt;=40,V966&lt;75,W966&lt;35),0.3,0)+IF(AND(V966&gt;=40,V966&lt;75,W966&gt;=35,W966&lt;75),0.23,0)+IF(AND(V966&gt;=40,V966&lt;75,W966&gt;=75,W966&lt;120),0.17,0)+IF(AND(V966&gt;=40,V966&lt;75,W966&gt;=120),0.12,0)+IF(AND(V966&gt;=75,V966&lt;175,W966&lt;35),0.3,0)+IF(AND(V966&gt;=75,V966&lt;=175,W966&gt;=35,W966&lt;65),0.23,0)+IF(AND(V966&gt;=75,V966&lt;=175,W966&gt;=65,W966&lt;110),0.17,0)+IF(AND(V966&gt;=75,V966&lt;=175,W966&gt;=110),0.12,0)+IF(AND(V966&gt;175,W966&lt;25),0.3,0)+IF(AND(V966&gt;175,W966&gt;=25,W966&lt;55),0.23,0)+IF(AND(V966&gt;175,W966&gt;=55,W966&lt;95),0.17,0)+IF(AND(V966&gt;175,W966&gt;=95),0.12,0),
IF(AF966="Fix15",0.15,
IF(AF966="Fix18.75",0.1875,
IF(AF966="Fix11.25",0.1125,
IF(AF966="Fix10",0.1,
IF(AF966="Fix9",0.09,
IF(AF966="Fix19",0.19,
IF(AF966="DoEV2017",IF(AND(W966&lt;74),0.2,0)+IF(AND(W966&gt;=74),0.17,0),
IF(AF966="SF",IF(AND(V966&lt;20,W966&lt;89),0.3,0)+IF(AND(V966&lt;20,W966&gt;=89),0.25,0)+IF(AND(V966&gt;=20,V966&lt;40,W966&lt;74),0.3,0)+IF(AND(V966&gt;=20,V966&lt;40,W966&gt;=75),0.22,0)+IF(AND(V966&gt;=40,V966&lt;75,W966&lt;75),0.26,0)+IF(AND(V966&gt;=40,V966&lt;75,W966&gt;=75),0.22,0)+IF(V966&gt;=75,0.22,0),
IF(AF966="DoEVold",IF(AND(V966&lt;40,W966&lt;35),0.35,0)+IF(AND(V966&lt;40,W966&gt;=35,W966&lt;75),0.25,0)+IF(AND(V966&lt;40,W966&gt;=75),0.17,0)+IF(AND(V966&gt;=40,V966&lt;75,W966&lt;25),0.35,0)+IF(AND(V966&gt;=40,V966&lt;75,W966&gt;=25,W966&lt;65),0.25,0)+IF(AND(V966&gt;=40,V966&lt;75,W966&gt;=65,W966&lt;100),0.17,0)+IF(AND(V966&gt;=40,V966&lt;75,W966&gt;=100),0.1,0)+IF(AND(V966&gt;=75,W966&lt;25),0.35,0)+IF(AND(V966&gt;=75,W966&gt;=25,W966&lt;60),0.25,0)+IF(AND(V966&gt;=75,W966&gt;=60,W966&lt;95),0.17,0)+IF(AND(V966&gt;=75,W966&gt;=95),0.1,0),
IF(AF966="DoEVold15",IF(AND(V966&lt;=40,W966&lt;35),0.35,0)+IF(AND(V966&lt;=40,W966&gt;=35,W966&lt;75),0.25,0)+IF(AND(V966&lt;=40,W966&gt;=75,W966&lt;120),0.17,0)+IF(AND(V966&lt;=40,W966&gt;=120),0.15,0)+IF(AND(V966&gt;40,V966&lt;75,W966&lt;25),0.35,0)+IF(AND(V966&gt;=40,V966&lt;75,W966&gt;=25,W966&lt;65),0.25,0)+IF(AND(V966&gt;=40,V966&lt;75,W966&gt;=65,W966&lt;100),0.17,0)+IF(AND(V966&gt;=40,V966&lt;75,W966&gt;=100),0.1,0)+IF(AND(V966&gt;=75,W966&lt;25),0.35,0)+IF(AND(V966&gt;=75,W966&gt;=25,W966&lt;60),0.25,0)+IF(AND(V966&gt;=75,W966&gt;=60,W966&lt;95),0.17,0)+IF(AND(V966&gt;=75,W966&gt;=95),0.1,0),
IF(AF966="DoEVba",IF(AND(V966&lt;20,W966&lt;105),0.2,0)+IF(AND(V966&lt;20,W966&gt;=105),0.15,0)+IF(AND(V966&gt;=20,V966&lt;40,W966&lt;95),0.2,0)+IF(AND(V966&gt;=20,V966&lt;40,W966&gt;=95,W966&lt;150),0.15,0)+IF(AND(V966&gt;=20,V966&lt;40,W966&gt;=150),0.12,0)+IF(AND(V966&gt;=40,V966&lt;75,W966&lt;75),0.2,0)+IF(AND(V966&gt;=40,V966&lt;75,W966&gt;=75,W966&lt;120),0.15,0)+IF(AND(V966&gt;=40,V966&lt;75,W966&gt;=120),0.12,0)+IF(AND(V966&gt;=75,V966&lt;175,W966&lt;65),0.2,0)+IF(AND(V966&gt;=75,V966&lt;175,W966&gt;=65,W966&lt;110),0.15,0)+IF(AND(V966&gt;=75,V966&lt;175,W966&gt;=110),0.12,0)+IF(AND(V966&gt;=175,W966&lt;55),0.2,0)+IF(AND(V966&gt;=175,W966&gt;=55,W966&lt;95),0.15,0)+IF(AND(V966&gt;=175,W966&gt;=95),0.12,0),
IF(AF966="DoEVku",IF(AND(V966&lt;20,W966&lt;55),0.23,0)+IF(AND(V966&lt;20,W966&gt;=55,W966&lt;105),0.2,0)+IF(AND(V966&lt;20,W966&gt;=105),0.17,0)+IF(AND(V966&gt;=20,V966&lt;40,W966&lt;45),0.23,0)+IF(AND(V966&gt;=20,V966&lt;40,W966&gt;=45,W966&lt;95),0.2,0)+IF(AND(V966&gt;=20,V966&lt;40,W966&gt;=95,W966&lt;=150),0.17,0)+IF(AND(V966&gt;=20,V966&lt;40,W966&gt;=150),0.12,0)+IF(AND(V966&gt;=40,V966&lt;75,W966&lt;35),0.23,0)+IF(AND(V966&gt;=40,V966&lt;75,W966&gt;=35,W966&lt;75),0.2,0)+IF(AND(V966&gt;=40,V966&lt;75,W966&gt;=75,W966&lt;120),0.17,0)+IF(AND(V966&gt;=40,V966&lt;75,W966&gt;=120),0.12,0)+IF(AND(V966&gt;=75,V966&lt;175,W966&lt;35),0.23,0)+IF(AND(V966&gt;=75,V966&lt;=175,W966&gt;=35,W966&lt;65),0.2,0)+IF(AND(V966&gt;=75,V966&lt;=175,W966&gt;=65,W966&lt;110),0.17,0)+IF(AND(V966&gt;=75,V966&lt;=175,W966&gt;=110),0.12,0)+IF(AND(V966&gt;175,W966&lt;25),0.23,0)+IF(AND(V966&gt;175,W966&gt;=25,W966&lt;55),0.2,0)+IF(AND(V966&gt;175,W966&gt;=55,W966&lt;95),0.17,0)+IF(AND(V966&gt;175,W966&gt;=95),0.12,0),
IF(AF966="DoEVs1",IF(AND(V966&lt;20,W966&lt;55),0.3,0)+IF(AND(V966&lt;20,W966&gt;=55,W966&lt;105),0.23,0)+IF(AND(V966&lt;20,W966&gt;=105),0.17,0)+IF(AND(V966&gt;=20,V966&lt;40,W966&lt;45),0.3,0)+IF(AND(V966&gt;=20,V966&lt;40,W966&gt;=45,W966&lt;95),0.23,0)+IF(AND(V966&gt;=20,V966&lt;40,W966&gt;=95,W966&lt;=150),0.17,0)+IF(AND(V966&gt;=20,V966&lt;40,W966&gt;=150),0.12,0)+IF(AND(V966&gt;=40,V966&lt;75,W966&lt;35),0.3,0)+IF(AND(V966&gt;=40,V966&lt;75,W966&gt;=35,W966&lt;75),0.23,0)+IF(AND(V966&gt;=40,V966&lt;75,W966&gt;=75,W966&lt;120),0.17,0)+IF(AND(V966&gt;=40,V966&lt;75,W966&gt;=120),0.12,0)+IF(AND(V966&gt;=75,V966&lt;175,W966&lt;35),0.3,0)+IF(AND(V966&gt;=75,V966&lt;=175,W966&gt;=35,W966&lt;65),0.23,0)+IF(AND(V966&gt;=75,V966&lt;=175,W966&gt;=65,W966&lt;110),0.17,0)+IF(AND(V966&gt;=75,V966&lt;=175,W966&gt;=110),0.12,0)+IF(AND(V966&gt;175,W966&lt;25),0.3,0)+IF(AND(V966&gt;175,W966&gt;=25,W966&lt;55),0.23,0)+IF(AND(V966&gt;175,W966&gt;=55,W966&lt;95),0.17,0)+IF(AND(V966&gt;175,W966&gt;=95),0.12,0),
IF(AF966="DoEVsu",IF(AND(V966&lt;20,W966&lt;55),0.3,0)+IF(AND(V966&lt;20,W966&gt;=55,W966&lt;105),0.23,0)+IF(AND(V966&lt;20,W966&gt;=105),0.17,0)+IF(AND(V966&gt;=20,V966&lt;40,W966&lt;45),0.3,0)+IF(AND(V966&gt;=20,V966&lt;40,W966&gt;=45,W966&lt;95),0.23,0)+IF(AND(V966&gt;=20,V966&lt;40,W966&gt;=95,W966&lt;=250),0.17,0)+IF(AND(V966&gt;=20,V966&lt;40,W966&gt;=250),0.12,0)+IF(AND(V966&gt;=40,V966&lt;75,W966&lt;35),0.3,0)+IF(AND(V966&gt;=40,V966&lt;75,W966&gt;=35,W966&lt;75),0.23,0)+IF(AND(V966&gt;=40,V966&lt;75,W966&gt;=75,W966&lt;120),0.17,0)+IF(AND(V966&gt;=40,V966&lt;75,W966&gt;=120),0.12,0)+IF(AND(V966&gt;=75,V966&lt;175,W966&lt;35),0.3,0)+IF(AND(V966&gt;=75,V966&lt;=175,W966&gt;=35,W966&lt;65),0.23,0)+IF(AND(V966&gt;=75,V966&lt;=175,W966&gt;=65,W966&lt;110),0.17,0)+IF(AND(V966&gt;=75,V966&lt;=175,W966&gt;=110),0.12,0)+IF(AND(V966&gt;175,W966&lt;25),0.3,0)+IF(AND(V966&gt;175,W966&gt;=25,W966&lt;55),0.23,0)+IF(AND(V966&gt;175,W966&gt;=55,W966&lt;95),0.17,0)+IF(AND(V966&gt;175,W966&gt;=95),0.12,0),
IF(AF966="DoEVni",IF(AND(V966&lt;20,W966&lt;55),0.3,0)+IF(AND(V966&lt;20,W966&gt;=55,W966&lt;105),0.23,0)+IF(AND(V966&lt;20,W966&gt;=105),0.17,0)+IF(AND(V966&gt;=20,V966&lt;40,W966&lt;45),0.3,0)+IF(AND(V966&gt;=20,V966&lt;40,W966&gt;=45,W966&lt;95),0.23,0)+IF(AND(V966&gt;=20,V966&lt;40,W966&gt;=95,W966&lt;=200),0.17,0)+IF(AND(V966&gt;=20,V966&lt;40,W966&gt;=200),0.12,0)+IF(AND(V966&gt;=40,V966&lt;75,W966&lt;35),0.3,0)+IF(AND(V966&gt;=40,V966&lt;75,W966&gt;=35,W966&lt;75),0.23,0)+IF(AND(V966&gt;=40,V966&lt;75,W966&gt;=75,W966&lt;120),0.17,0)+IF(AND(V966&gt;=40,V966&lt;75,W966&gt;=120),0.12,0)+IF(AND(V966&gt;=75,V966&lt;175,W966&lt;35),0.3,0)+IF(AND(V966&gt;=75,V966&lt;=175,W966&gt;=35,W966&lt;65),0.23,0)+IF(AND(V966&gt;=75,V966&lt;=175,W966&gt;=65,W966&lt;110),0.17,0)+IF(AND(V966&gt;=75,V966&lt;=175,W966&gt;=110),0.12,0)+IF(AND(V966&gt;175,W966&lt;25),0.3,0)+IF(AND(V966&gt;175,W966&gt;=25,W966&lt;55),0.23,0)+IF(AND(V966&gt;175,W966&gt;=55,W966&lt;95),0.17,0)+IF(AND(V966&gt;175,W966&gt;=95),0.12,0),
IF(AF966="DoEVLo",IF(AND(V966&lt;20,W966&lt;55),0.25,0)+IF(AND(V966&lt;20,W966&gt;=55,W966&lt;105),0.2,0)+IF(AND(V966&lt;20,W966&gt;=105),0.15,0)+IF(AND(V966&gt;=20,V966&lt;40,W966&lt;45),0.25,0)+IF(AND(V966&gt;=20,V966&lt;40,W966&gt;=45,W966&lt;95),0.2,0)+IF(AND(V966&gt;=20,V966&lt;40,W966&gt;=95),0.15,0)+IF(AND(V966&gt;=40,V966&lt;75,W966&lt;35),0.25,0)+IF(AND(V966&gt;=40,V966&lt;75,W966&gt;=35,W966&lt;75),0.2,0)+IF(AND(V966&gt;=40,V966&lt;75,W966&gt;=75,W966&lt;120),0.15,0)+IF(AND(V966&gt;=40,V966&lt;75,W966&gt;=120),0.1,0)+IF(AND(V966&gt;=75,V966&lt;175,W966&lt;35),0.25,0)+IF(AND(V966&gt;=75,V966&lt;=175,W966&gt;=35,W966&lt;65),0.2,0)+IF(AND(V966&gt;=75,V966&lt;=175,W966&gt;=65,W966&lt;110),0.15,0)+IF(AND(V966&gt;=75,V966&lt;=175,W966&gt;=110),0.1,0)+IF(AND(V966&gt;175,W966&lt;25),0.25,0)+IF(AND(V966&gt;175,W966&gt;=25,W966&lt;55),0.2,0)+IF(AND(V966&gt;175,W966&gt;=55,W966&lt;95),0.15,0)+IF(AND(V966&gt;175,W966&gt;=95),0.1,0))))))))))))))))))</f>
        <v>0.09</v>
      </c>
      <c r="Y966" s="30">
        <f>IF(AG966="None",0,IF(AG966="Fix5",0.05, IF(AG966="Fix6.25",0.0625,IF(AG966="Fix3.75",0.0375,IF(AG966="Fix10",0.1,IF(AG966="Fix3",0.03,0))))))</f>
        <v>0.03</v>
      </c>
      <c r="Z966" s="35">
        <f>T966-AA966-AB966</f>
        <v>8795.6</v>
      </c>
      <c r="AA966" s="29">
        <f>IF(AD966="EUR",((T966-R966)*X966)*U966+(R966*X966),(T966*X966))</f>
        <v>899.55</v>
      </c>
      <c r="AB966" s="36">
        <f>IF(AD966="EUR",((T966-R966)*Y966)*U966+(R966*Y966),(T966*Y966))</f>
        <v>299.84999999999997</v>
      </c>
      <c r="AC966" s="37" t="b">
        <v>1</v>
      </c>
      <c r="AD966" s="37" t="s">
        <v>38</v>
      </c>
      <c r="AE966" s="37" t="s">
        <v>38</v>
      </c>
      <c r="AF966" s="38" t="str">
        <f t="array" ref="AF966">INDEX('Deal Info'!D:D, MATCH(A966,'Deal Info'!A:A, 0))</f>
        <v>Fix9</v>
      </c>
      <c r="AG966" s="38" t="str">
        <f t="array" ref="AG966">INDEX('Deal Info'!G:G, MATCH(A966,'Deal Info'!A:A, 0))</f>
        <v>Fix3</v>
      </c>
    </row>
    <row r="967" spans="1:33" ht="14.25" hidden="1" x14ac:dyDescent="0.2">
      <c r="A967" s="18" t="str">
        <f t="array" ref="A967">IF(G967='Room Info'!$B$1, INDEX('Room Info'!$A$2:$A2446, MATCH(B967,'Room Info'!$B$2:$B2446, 0)),IF(G967='Room Info'!$C$1, INDEX('Room Info'!$A$2:$A2446, MATCH(B967,'Room Info'!$C$2:$C2446, 0)),IF(G967='Room Info'!$D$1, INDEX('Room Info'!$A$2:$A2446, MATCH(B967,'Room Info'!$D$2:$D2446, 0)),IF(G967='Room Info'!$E$1, INDEX('Room Info'!$A$2:$A2446, MATCH(B967,'Room Info'!$E$2:$E2446, 0)),IF(G967='Room Info'!$F$1, INDEX('Room Info'!$A$2:$A2446, MATCH(B967,'Room Info'!$F$2:$F2446, 0)),IF(G967='Room Info'!$H$1, INDEX('Room Info'!$A$2:$A2446, MATCH(B967,'Room Info'!$H$2:$H2446, 0)),IF(G967='Room Info'!$G$1, INDEX('Room Info'!$A$2:$A2446, MATCH(B967,'Room Info'!$G$2:$G2446, 0)))))))))</f>
        <v>Mandr1990</v>
      </c>
      <c r="B967" s="45" t="s">
        <v>186</v>
      </c>
      <c r="C967" s="46">
        <v>44855</v>
      </c>
      <c r="D967" s="46">
        <v>44885</v>
      </c>
      <c r="E967" s="47">
        <v>44866</v>
      </c>
      <c r="F967" s="48" t="s">
        <v>34</v>
      </c>
      <c r="G967" s="45" t="s">
        <v>80</v>
      </c>
      <c r="H967" s="49" t="s">
        <v>153</v>
      </c>
      <c r="I967" s="49" t="s">
        <v>81</v>
      </c>
      <c r="J967" s="50">
        <v>200</v>
      </c>
      <c r="K967" s="51">
        <v>2511</v>
      </c>
      <c r="L967" s="52">
        <v>-35000</v>
      </c>
      <c r="M967" s="53">
        <v>26653</v>
      </c>
      <c r="N967" s="28">
        <f>K967*J967</f>
        <v>502200</v>
      </c>
      <c r="O967" s="54">
        <v>7955</v>
      </c>
      <c r="P967" s="29">
        <v>3.1680605339999999</v>
      </c>
      <c r="Q967" s="55"/>
      <c r="R967" s="31">
        <f>M967+Q967</f>
        <v>26653</v>
      </c>
      <c r="S967" s="56">
        <v>-33015</v>
      </c>
      <c r="T967" s="32">
        <f>R967+S967+IF(F967="Without EV deal",L967,0)</f>
        <v>-6362</v>
      </c>
      <c r="U967" s="57">
        <v>1</v>
      </c>
      <c r="V967" s="58"/>
      <c r="W967" s="58"/>
      <c r="X967" s="30">
        <f>IF(AF967="DoEV",IF(AND(V967&lt;20,W967&lt;55),0.3,0)+IF(AND(V967&lt;20,W967&gt;=55,W967&lt;105),0.23,0)+IF(AND(V967&lt;20,W967&gt;=105),0.17,0)+IF(AND(V967&gt;=20,V967&lt;40,W967&lt;45),0.3,0)+IF(AND(V967&gt;=20,V967&lt;40,W967&gt;=45,W967&lt;95),0.23,0)+IF(AND(V967&gt;=20,V967&lt;40,W967&gt;=95),0.17,0)+IF(AND(V967&gt;=40,V967&lt;75,W967&lt;35),0.3,0)+IF(AND(V967&gt;=40,V967&lt;75,W967&gt;=35,W967&lt;75),0.23,0)+IF(AND(V967&gt;=40,V967&lt;75,W967&gt;=75,W967&lt;120),0.17,0)+IF(AND(V967&gt;=40,V967&lt;75,W967&gt;=120),0.12,0)+IF(AND(V967&gt;=75,V967&lt;175,W967&lt;35),0.3,0)+IF(AND(V967&gt;=75,V967&lt;=175,W967&gt;=35,W967&lt;65),0.23,0)+IF(AND(V967&gt;=75,V967&lt;=175,W967&gt;=65,W967&lt;110),0.17,0)+IF(AND(V967&gt;=75,V967&lt;=175,W967&gt;=110),0.12,0)+IF(AND(V967&gt;175,W967&lt;25),0.3,0)+IF(AND(V967&gt;175,W967&gt;=25,W967&lt;55),0.23,0)+IF(AND(V967&gt;175,W967&gt;=55,W967&lt;95),0.17,0)+IF(AND(V967&gt;175,W967&gt;=95),0.12,0),
IF(AF967="Fix15",0.15,
IF(AF967="Fix18.75",0.1875,
IF(AF967="Fix11.25",0.1125,
IF(AF967="Fix10",0.1,
IF(AF967="Fix9",0.09,
IF(AF967="Fix19",0.19,
IF(AF967="DoEV2017",IF(AND(W967&lt;74),0.2,0)+IF(AND(W967&gt;=74),0.17,0),
IF(AF967="SF",IF(AND(V967&lt;20,W967&lt;89),0.3,0)+IF(AND(V967&lt;20,W967&gt;=89),0.25,0)+IF(AND(V967&gt;=20,V967&lt;40,W967&lt;74),0.3,0)+IF(AND(V967&gt;=20,V967&lt;40,W967&gt;=75),0.22,0)+IF(AND(V967&gt;=40,V967&lt;75,W967&lt;75),0.26,0)+IF(AND(V967&gt;=40,V967&lt;75,W967&gt;=75),0.22,0)+IF(V967&gt;=75,0.22,0),
IF(AF967="DoEVold",IF(AND(V967&lt;40,W967&lt;35),0.35,0)+IF(AND(V967&lt;40,W967&gt;=35,W967&lt;75),0.25,0)+IF(AND(V967&lt;40,W967&gt;=75),0.17,0)+IF(AND(V967&gt;=40,V967&lt;75,W967&lt;25),0.35,0)+IF(AND(V967&gt;=40,V967&lt;75,W967&gt;=25,W967&lt;65),0.25,0)+IF(AND(V967&gt;=40,V967&lt;75,W967&gt;=65,W967&lt;100),0.17,0)+IF(AND(V967&gt;=40,V967&lt;75,W967&gt;=100),0.1,0)+IF(AND(V967&gt;=75,W967&lt;25),0.35,0)+IF(AND(V967&gt;=75,W967&gt;=25,W967&lt;60),0.25,0)+IF(AND(V967&gt;=75,W967&gt;=60,W967&lt;95),0.17,0)+IF(AND(V967&gt;=75,W967&gt;=95),0.1,0),
IF(AF967="DoEVold15",IF(AND(V967&lt;=40,W967&lt;35),0.35,0)+IF(AND(V967&lt;=40,W967&gt;=35,W967&lt;75),0.25,0)+IF(AND(V967&lt;=40,W967&gt;=75,W967&lt;120),0.17,0)+IF(AND(V967&lt;=40,W967&gt;=120),0.15,0)+IF(AND(V967&gt;40,V967&lt;75,W967&lt;25),0.35,0)+IF(AND(V967&gt;=40,V967&lt;75,W967&gt;=25,W967&lt;65),0.25,0)+IF(AND(V967&gt;=40,V967&lt;75,W967&gt;=65,W967&lt;100),0.17,0)+IF(AND(V967&gt;=40,V967&lt;75,W967&gt;=100),0.1,0)+IF(AND(V967&gt;=75,W967&lt;25),0.35,0)+IF(AND(V967&gt;=75,W967&gt;=25,W967&lt;60),0.25,0)+IF(AND(V967&gt;=75,W967&gt;=60,W967&lt;95),0.17,0)+IF(AND(V967&gt;=75,W967&gt;=95),0.1,0),
IF(AF967="DoEVba",IF(AND(V967&lt;20,W967&lt;105),0.2,0)+IF(AND(V967&lt;20,W967&gt;=105),0.15,0)+IF(AND(V967&gt;=20,V967&lt;40,W967&lt;95),0.2,0)+IF(AND(V967&gt;=20,V967&lt;40,W967&gt;=95,W967&lt;150),0.15,0)+IF(AND(V967&gt;=20,V967&lt;40,W967&gt;=150),0.12,0)+IF(AND(V967&gt;=40,V967&lt;75,W967&lt;75),0.2,0)+IF(AND(V967&gt;=40,V967&lt;75,W967&gt;=75,W967&lt;120),0.15,0)+IF(AND(V967&gt;=40,V967&lt;75,W967&gt;=120),0.12,0)+IF(AND(V967&gt;=75,V967&lt;175,W967&lt;65),0.2,0)+IF(AND(V967&gt;=75,V967&lt;175,W967&gt;=65,W967&lt;110),0.15,0)+IF(AND(V967&gt;=75,V967&lt;175,W967&gt;=110),0.12,0)+IF(AND(V967&gt;=175,W967&lt;55),0.2,0)+IF(AND(V967&gt;=175,W967&gt;=55,W967&lt;95),0.15,0)+IF(AND(V967&gt;=175,W967&gt;=95),0.12,0),
IF(AF967="DoEVku",IF(AND(V967&lt;20,W967&lt;55),0.23,0)+IF(AND(V967&lt;20,W967&gt;=55,W967&lt;105),0.2,0)+IF(AND(V967&lt;20,W967&gt;=105),0.17,0)+IF(AND(V967&gt;=20,V967&lt;40,W967&lt;45),0.23,0)+IF(AND(V967&gt;=20,V967&lt;40,W967&gt;=45,W967&lt;95),0.2,0)+IF(AND(V967&gt;=20,V967&lt;40,W967&gt;=95,W967&lt;=150),0.17,0)+IF(AND(V967&gt;=20,V967&lt;40,W967&gt;=150),0.12,0)+IF(AND(V967&gt;=40,V967&lt;75,W967&lt;35),0.23,0)+IF(AND(V967&gt;=40,V967&lt;75,W967&gt;=35,W967&lt;75),0.2,0)+IF(AND(V967&gt;=40,V967&lt;75,W967&gt;=75,W967&lt;120),0.17,0)+IF(AND(V967&gt;=40,V967&lt;75,W967&gt;=120),0.12,0)+IF(AND(V967&gt;=75,V967&lt;175,W967&lt;35),0.23,0)+IF(AND(V967&gt;=75,V967&lt;=175,W967&gt;=35,W967&lt;65),0.2,0)+IF(AND(V967&gt;=75,V967&lt;=175,W967&gt;=65,W967&lt;110),0.17,0)+IF(AND(V967&gt;=75,V967&lt;=175,W967&gt;=110),0.12,0)+IF(AND(V967&gt;175,W967&lt;25),0.23,0)+IF(AND(V967&gt;175,W967&gt;=25,W967&lt;55),0.2,0)+IF(AND(V967&gt;175,W967&gt;=55,W967&lt;95),0.17,0)+IF(AND(V967&gt;175,W967&gt;=95),0.12,0),
IF(AF967="DoEVs1",IF(AND(V967&lt;20,W967&lt;55),0.3,0)+IF(AND(V967&lt;20,W967&gt;=55,W967&lt;105),0.23,0)+IF(AND(V967&lt;20,W967&gt;=105),0.17,0)+IF(AND(V967&gt;=20,V967&lt;40,W967&lt;45),0.3,0)+IF(AND(V967&gt;=20,V967&lt;40,W967&gt;=45,W967&lt;95),0.23,0)+IF(AND(V967&gt;=20,V967&lt;40,W967&gt;=95,W967&lt;=150),0.17,0)+IF(AND(V967&gt;=20,V967&lt;40,W967&gt;=150),0.12,0)+IF(AND(V967&gt;=40,V967&lt;75,W967&lt;35),0.3,0)+IF(AND(V967&gt;=40,V967&lt;75,W967&gt;=35,W967&lt;75),0.23,0)+IF(AND(V967&gt;=40,V967&lt;75,W967&gt;=75,W967&lt;120),0.17,0)+IF(AND(V967&gt;=40,V967&lt;75,W967&gt;=120),0.12,0)+IF(AND(V967&gt;=75,V967&lt;175,W967&lt;35),0.3,0)+IF(AND(V967&gt;=75,V967&lt;=175,W967&gt;=35,W967&lt;65),0.23,0)+IF(AND(V967&gt;=75,V967&lt;=175,W967&gt;=65,W967&lt;110),0.17,0)+IF(AND(V967&gt;=75,V967&lt;=175,W967&gt;=110),0.12,0)+IF(AND(V967&gt;175,W967&lt;25),0.3,0)+IF(AND(V967&gt;175,W967&gt;=25,W967&lt;55),0.23,0)+IF(AND(V967&gt;175,W967&gt;=55,W967&lt;95),0.17,0)+IF(AND(V967&gt;175,W967&gt;=95),0.12,0),
IF(AF967="DoEVsu",IF(AND(V967&lt;20,W967&lt;55),0.3,0)+IF(AND(V967&lt;20,W967&gt;=55,W967&lt;105),0.23,0)+IF(AND(V967&lt;20,W967&gt;=105),0.17,0)+IF(AND(V967&gt;=20,V967&lt;40,W967&lt;45),0.3,0)+IF(AND(V967&gt;=20,V967&lt;40,W967&gt;=45,W967&lt;95),0.23,0)+IF(AND(V967&gt;=20,V967&lt;40,W967&gt;=95,W967&lt;=250),0.17,0)+IF(AND(V967&gt;=20,V967&lt;40,W967&gt;=250),0.12,0)+IF(AND(V967&gt;=40,V967&lt;75,W967&lt;35),0.3,0)+IF(AND(V967&gt;=40,V967&lt;75,W967&gt;=35,W967&lt;75),0.23,0)+IF(AND(V967&gt;=40,V967&lt;75,W967&gt;=75,W967&lt;120),0.17,0)+IF(AND(V967&gt;=40,V967&lt;75,W967&gt;=120),0.12,0)+IF(AND(V967&gt;=75,V967&lt;175,W967&lt;35),0.3,0)+IF(AND(V967&gt;=75,V967&lt;=175,W967&gt;=35,W967&lt;65),0.23,0)+IF(AND(V967&gt;=75,V967&lt;=175,W967&gt;=65,W967&lt;110),0.17,0)+IF(AND(V967&gt;=75,V967&lt;=175,W967&gt;=110),0.12,0)+IF(AND(V967&gt;175,W967&lt;25),0.3,0)+IF(AND(V967&gt;175,W967&gt;=25,W967&lt;55),0.23,0)+IF(AND(V967&gt;175,W967&gt;=55,W967&lt;95),0.17,0)+IF(AND(V967&gt;175,W967&gt;=95),0.12,0),
IF(AF967="DoEVni",IF(AND(V967&lt;20,W967&lt;55),0.3,0)+IF(AND(V967&lt;20,W967&gt;=55,W967&lt;105),0.23,0)+IF(AND(V967&lt;20,W967&gt;=105),0.17,0)+IF(AND(V967&gt;=20,V967&lt;40,W967&lt;45),0.3,0)+IF(AND(V967&gt;=20,V967&lt;40,W967&gt;=45,W967&lt;95),0.23,0)+IF(AND(V967&gt;=20,V967&lt;40,W967&gt;=95,W967&lt;=200),0.17,0)+IF(AND(V967&gt;=20,V967&lt;40,W967&gt;=200),0.12,0)+IF(AND(V967&gt;=40,V967&lt;75,W967&lt;35),0.3,0)+IF(AND(V967&gt;=40,V967&lt;75,W967&gt;=35,W967&lt;75),0.23,0)+IF(AND(V967&gt;=40,V967&lt;75,W967&gt;=75,W967&lt;120),0.17,0)+IF(AND(V967&gt;=40,V967&lt;75,W967&gt;=120),0.12,0)+IF(AND(V967&gt;=75,V967&lt;175,W967&lt;35),0.3,0)+IF(AND(V967&gt;=75,V967&lt;=175,W967&gt;=35,W967&lt;65),0.23,0)+IF(AND(V967&gt;=75,V967&lt;=175,W967&gt;=65,W967&lt;110),0.17,0)+IF(AND(V967&gt;=75,V967&lt;=175,W967&gt;=110),0.12,0)+IF(AND(V967&gt;175,W967&lt;25),0.3,0)+IF(AND(V967&gt;175,W967&gt;=25,W967&lt;55),0.23,0)+IF(AND(V967&gt;175,W967&gt;=55,W967&lt;95),0.17,0)+IF(AND(V967&gt;175,W967&gt;=95),0.12,0),
IF(AF967="DoEVLo",IF(AND(V967&lt;20,W967&lt;55),0.25,0)+IF(AND(V967&lt;20,W967&gt;=55,W967&lt;105),0.2,0)+IF(AND(V967&lt;20,W967&gt;=105),0.15,0)+IF(AND(V967&gt;=20,V967&lt;40,W967&lt;45),0.25,0)+IF(AND(V967&gt;=20,V967&lt;40,W967&gt;=45,W967&lt;95),0.2,0)+IF(AND(V967&gt;=20,V967&lt;40,W967&gt;=95),0.15,0)+IF(AND(V967&gt;=40,V967&lt;75,W967&lt;35),0.25,0)+IF(AND(V967&gt;=40,V967&lt;75,W967&gt;=35,W967&lt;75),0.2,0)+IF(AND(V967&gt;=40,V967&lt;75,W967&gt;=75,W967&lt;120),0.15,0)+IF(AND(V967&gt;=40,V967&lt;75,W967&gt;=120),0.1,0)+IF(AND(V967&gt;=75,V967&lt;175,W967&lt;35),0.25,0)+IF(AND(V967&gt;=75,V967&lt;=175,W967&gt;=35,W967&lt;65),0.2,0)+IF(AND(V967&gt;=75,V967&lt;=175,W967&gt;=65,W967&lt;110),0.15,0)+IF(AND(V967&gt;=75,V967&lt;=175,W967&gt;=110),0.1,0)+IF(AND(V967&gt;175,W967&lt;25),0.25,0)+IF(AND(V967&gt;175,W967&gt;=25,W967&lt;55),0.2,0)+IF(AND(V967&gt;175,W967&gt;=55,W967&lt;95),0.15,0)+IF(AND(V967&gt;175,W967&gt;=95),0.1,0))))))))))))))))))</f>
        <v>0.09</v>
      </c>
      <c r="Y967" s="30">
        <f>IF(AG967="None",0,IF(AG967="Fix5",0.05, IF(AG967="Fix6.25",0.0625,IF(AG967="Fix3.75",0.0375,IF(AG967="Fix10",0.1,IF(AG967="Fix3",0.03,0))))))</f>
        <v>0.03</v>
      </c>
      <c r="Z967" s="35">
        <f>T967-AA967-AB967</f>
        <v>-5598.56</v>
      </c>
      <c r="AA967" s="29">
        <f>IF(AD967="EUR",((T967-R967)*X967)*U967+(R967*X967),(T967*X967))</f>
        <v>-572.57999999999993</v>
      </c>
      <c r="AB967" s="36">
        <f>IF(AD967="EUR",((T967-R967)*Y967)*U967+(R967*Y967),(T967*Y967))</f>
        <v>-190.85999999999999</v>
      </c>
      <c r="AC967" s="37" t="b">
        <v>1</v>
      </c>
      <c r="AD967" s="37" t="s">
        <v>38</v>
      </c>
      <c r="AE967" s="37" t="s">
        <v>38</v>
      </c>
      <c r="AF967" s="38" t="str">
        <f t="array" ref="AF967">INDEX('Deal Info'!D:D, MATCH(A967,'Deal Info'!A:A, 0))</f>
        <v>Fix9</v>
      </c>
      <c r="AG967" s="38" t="str">
        <f t="array" ref="AG967">INDEX('Deal Info'!G:G, MATCH(A967,'Deal Info'!A:A, 0))</f>
        <v>Fix3</v>
      </c>
    </row>
    <row r="968" spans="1:33" ht="14.25" hidden="1" x14ac:dyDescent="0.2">
      <c r="A968" s="18" t="str">
        <f t="array" ref="A968">IF(G968='Room Info'!$B$1, INDEX('Room Info'!$A$2:$A2446, MATCH(B968,'Room Info'!$B$2:$B2446, 0)),IF(G968='Room Info'!$C$1, INDEX('Room Info'!$A$2:$A2446, MATCH(B968,'Room Info'!$C$2:$C2446, 0)),IF(G968='Room Info'!$D$1, INDEX('Room Info'!$A$2:$A2446, MATCH(B968,'Room Info'!$D$2:$D2446, 0)),IF(G968='Room Info'!$E$1, INDEX('Room Info'!$A$2:$A2446, MATCH(B968,'Room Info'!$E$2:$E2446, 0)),IF(G968='Room Info'!$F$1, INDEX('Room Info'!$A$2:$A2446, MATCH(B968,'Room Info'!$F$2:$F2446, 0)),IF(G968='Room Info'!$H$1, INDEX('Room Info'!$A$2:$A2446, MATCH(B968,'Room Info'!$H$2:$H2446, 0)),IF(G968='Room Info'!$G$1, INDEX('Room Info'!$A$2:$A2446, MATCH(B968,'Room Info'!$G$2:$G2446, 0)))))))))</f>
        <v>Mandr1990</v>
      </c>
      <c r="B968" s="45" t="s">
        <v>185</v>
      </c>
      <c r="C968" s="46">
        <v>44886</v>
      </c>
      <c r="D968" s="46">
        <v>44915</v>
      </c>
      <c r="E968" s="47">
        <v>44896</v>
      </c>
      <c r="F968" s="48" t="s">
        <v>34</v>
      </c>
      <c r="G968" s="45" t="s">
        <v>80</v>
      </c>
      <c r="H968" s="49" t="s">
        <v>70</v>
      </c>
      <c r="I968" s="49" t="s">
        <v>81</v>
      </c>
      <c r="J968" s="50">
        <v>100</v>
      </c>
      <c r="K968" s="51">
        <v>6</v>
      </c>
      <c r="L968" s="52">
        <v>-300</v>
      </c>
      <c r="M968" s="53">
        <v>633</v>
      </c>
      <c r="N968" s="28">
        <f>K968*J968</f>
        <v>600</v>
      </c>
      <c r="O968" s="54">
        <v>-1802</v>
      </c>
      <c r="P968" s="29">
        <v>-300.33333329999999</v>
      </c>
      <c r="Q968" s="55"/>
      <c r="R968" s="31">
        <f>M968+Q968</f>
        <v>633</v>
      </c>
      <c r="S968" s="56">
        <v>-562</v>
      </c>
      <c r="T968" s="32">
        <f>R968+S968+IF(F968="Without EV deal",L968,0)</f>
        <v>71</v>
      </c>
      <c r="U968" s="57">
        <v>1</v>
      </c>
      <c r="V968" s="58"/>
      <c r="W968" s="58"/>
      <c r="X968" s="30">
        <f>IF(AF968="DoEV",IF(AND(V968&lt;20,W968&lt;55),0.3,0)+IF(AND(V968&lt;20,W968&gt;=55,W968&lt;105),0.23,0)+IF(AND(V968&lt;20,W968&gt;=105),0.17,0)+IF(AND(V968&gt;=20,V968&lt;40,W968&lt;45),0.3,0)+IF(AND(V968&gt;=20,V968&lt;40,W968&gt;=45,W968&lt;95),0.23,0)+IF(AND(V968&gt;=20,V968&lt;40,W968&gt;=95),0.17,0)+IF(AND(V968&gt;=40,V968&lt;75,W968&lt;35),0.3,0)+IF(AND(V968&gt;=40,V968&lt;75,W968&gt;=35,W968&lt;75),0.23,0)+IF(AND(V968&gt;=40,V968&lt;75,W968&gt;=75,W968&lt;120),0.17,0)+IF(AND(V968&gt;=40,V968&lt;75,W968&gt;=120),0.12,0)+IF(AND(V968&gt;=75,V968&lt;175,W968&lt;35),0.3,0)+IF(AND(V968&gt;=75,V968&lt;=175,W968&gt;=35,W968&lt;65),0.23,0)+IF(AND(V968&gt;=75,V968&lt;=175,W968&gt;=65,W968&lt;110),0.17,0)+IF(AND(V968&gt;=75,V968&lt;=175,W968&gt;=110),0.12,0)+IF(AND(V968&gt;175,W968&lt;25),0.3,0)+IF(AND(V968&gt;175,W968&gt;=25,W968&lt;55),0.23,0)+IF(AND(V968&gt;175,W968&gt;=55,W968&lt;95),0.17,0)+IF(AND(V968&gt;175,W968&gt;=95),0.12,0),
IF(AF968="Fix15",0.15,
IF(AF968="Fix18.75",0.1875,
IF(AF968="Fix11.25",0.1125,
IF(AF968="Fix10",0.1,
IF(AF968="Fix9",0.09,
IF(AF968="Fix19",0.19,
IF(AF968="DoEV2017",IF(AND(W968&lt;74),0.2,0)+IF(AND(W968&gt;=74),0.17,0),
IF(AF968="SF",IF(AND(V968&lt;20,W968&lt;89),0.3,0)+IF(AND(V968&lt;20,W968&gt;=89),0.25,0)+IF(AND(V968&gt;=20,V968&lt;40,W968&lt;74),0.3,0)+IF(AND(V968&gt;=20,V968&lt;40,W968&gt;=75),0.22,0)+IF(AND(V968&gt;=40,V968&lt;75,W968&lt;75),0.26,0)+IF(AND(V968&gt;=40,V968&lt;75,W968&gt;=75),0.22,0)+IF(V968&gt;=75,0.22,0),
IF(AF968="DoEVold",IF(AND(V968&lt;40,W968&lt;35),0.35,0)+IF(AND(V968&lt;40,W968&gt;=35,W968&lt;75),0.25,0)+IF(AND(V968&lt;40,W968&gt;=75),0.17,0)+IF(AND(V968&gt;=40,V968&lt;75,W968&lt;25),0.35,0)+IF(AND(V968&gt;=40,V968&lt;75,W968&gt;=25,W968&lt;65),0.25,0)+IF(AND(V968&gt;=40,V968&lt;75,W968&gt;=65,W968&lt;100),0.17,0)+IF(AND(V968&gt;=40,V968&lt;75,W968&gt;=100),0.1,0)+IF(AND(V968&gt;=75,W968&lt;25),0.35,0)+IF(AND(V968&gt;=75,W968&gt;=25,W968&lt;60),0.25,0)+IF(AND(V968&gt;=75,W968&gt;=60,W968&lt;95),0.17,0)+IF(AND(V968&gt;=75,W968&gt;=95),0.1,0),
IF(AF968="DoEVold15",IF(AND(V968&lt;=40,W968&lt;35),0.35,0)+IF(AND(V968&lt;=40,W968&gt;=35,W968&lt;75),0.25,0)+IF(AND(V968&lt;=40,W968&gt;=75,W968&lt;120),0.17,0)+IF(AND(V968&lt;=40,W968&gt;=120),0.15,0)+IF(AND(V968&gt;40,V968&lt;75,W968&lt;25),0.35,0)+IF(AND(V968&gt;=40,V968&lt;75,W968&gt;=25,W968&lt;65),0.25,0)+IF(AND(V968&gt;=40,V968&lt;75,W968&gt;=65,W968&lt;100),0.17,0)+IF(AND(V968&gt;=40,V968&lt;75,W968&gt;=100),0.1,0)+IF(AND(V968&gt;=75,W968&lt;25),0.35,0)+IF(AND(V968&gt;=75,W968&gt;=25,W968&lt;60),0.25,0)+IF(AND(V968&gt;=75,W968&gt;=60,W968&lt;95),0.17,0)+IF(AND(V968&gt;=75,W968&gt;=95),0.1,0),
IF(AF968="DoEVba",IF(AND(V968&lt;20,W968&lt;105),0.2,0)+IF(AND(V968&lt;20,W968&gt;=105),0.15,0)+IF(AND(V968&gt;=20,V968&lt;40,W968&lt;95),0.2,0)+IF(AND(V968&gt;=20,V968&lt;40,W968&gt;=95,W968&lt;150),0.15,0)+IF(AND(V968&gt;=20,V968&lt;40,W968&gt;=150),0.12,0)+IF(AND(V968&gt;=40,V968&lt;75,W968&lt;75),0.2,0)+IF(AND(V968&gt;=40,V968&lt;75,W968&gt;=75,W968&lt;120),0.15,0)+IF(AND(V968&gt;=40,V968&lt;75,W968&gt;=120),0.12,0)+IF(AND(V968&gt;=75,V968&lt;175,W968&lt;65),0.2,0)+IF(AND(V968&gt;=75,V968&lt;175,W968&gt;=65,W968&lt;110),0.15,0)+IF(AND(V968&gt;=75,V968&lt;175,W968&gt;=110),0.12,0)+IF(AND(V968&gt;=175,W968&lt;55),0.2,0)+IF(AND(V968&gt;=175,W968&gt;=55,W968&lt;95),0.15,0)+IF(AND(V968&gt;=175,W968&gt;=95),0.12,0),
IF(AF968="DoEVku",IF(AND(V968&lt;20,W968&lt;55),0.23,0)+IF(AND(V968&lt;20,W968&gt;=55,W968&lt;105),0.2,0)+IF(AND(V968&lt;20,W968&gt;=105),0.17,0)+IF(AND(V968&gt;=20,V968&lt;40,W968&lt;45),0.23,0)+IF(AND(V968&gt;=20,V968&lt;40,W968&gt;=45,W968&lt;95),0.2,0)+IF(AND(V968&gt;=20,V968&lt;40,W968&gt;=95,W968&lt;=150),0.17,0)+IF(AND(V968&gt;=20,V968&lt;40,W968&gt;=150),0.12,0)+IF(AND(V968&gt;=40,V968&lt;75,W968&lt;35),0.23,0)+IF(AND(V968&gt;=40,V968&lt;75,W968&gt;=35,W968&lt;75),0.2,0)+IF(AND(V968&gt;=40,V968&lt;75,W968&gt;=75,W968&lt;120),0.17,0)+IF(AND(V968&gt;=40,V968&lt;75,W968&gt;=120),0.12,0)+IF(AND(V968&gt;=75,V968&lt;175,W968&lt;35),0.23,0)+IF(AND(V968&gt;=75,V968&lt;=175,W968&gt;=35,W968&lt;65),0.2,0)+IF(AND(V968&gt;=75,V968&lt;=175,W968&gt;=65,W968&lt;110),0.17,0)+IF(AND(V968&gt;=75,V968&lt;=175,W968&gt;=110),0.12,0)+IF(AND(V968&gt;175,W968&lt;25),0.23,0)+IF(AND(V968&gt;175,W968&gt;=25,W968&lt;55),0.2,0)+IF(AND(V968&gt;175,W968&gt;=55,W968&lt;95),0.17,0)+IF(AND(V968&gt;175,W968&gt;=95),0.12,0),
IF(AF968="DoEVs1",IF(AND(V968&lt;20,W968&lt;55),0.3,0)+IF(AND(V968&lt;20,W968&gt;=55,W968&lt;105),0.23,0)+IF(AND(V968&lt;20,W968&gt;=105),0.17,0)+IF(AND(V968&gt;=20,V968&lt;40,W968&lt;45),0.3,0)+IF(AND(V968&gt;=20,V968&lt;40,W968&gt;=45,W968&lt;95),0.23,0)+IF(AND(V968&gt;=20,V968&lt;40,W968&gt;=95,W968&lt;=150),0.17,0)+IF(AND(V968&gt;=20,V968&lt;40,W968&gt;=150),0.12,0)+IF(AND(V968&gt;=40,V968&lt;75,W968&lt;35),0.3,0)+IF(AND(V968&gt;=40,V968&lt;75,W968&gt;=35,W968&lt;75),0.23,0)+IF(AND(V968&gt;=40,V968&lt;75,W968&gt;=75,W968&lt;120),0.17,0)+IF(AND(V968&gt;=40,V968&lt;75,W968&gt;=120),0.12,0)+IF(AND(V968&gt;=75,V968&lt;175,W968&lt;35),0.3,0)+IF(AND(V968&gt;=75,V968&lt;=175,W968&gt;=35,W968&lt;65),0.23,0)+IF(AND(V968&gt;=75,V968&lt;=175,W968&gt;=65,W968&lt;110),0.17,0)+IF(AND(V968&gt;=75,V968&lt;=175,W968&gt;=110),0.12,0)+IF(AND(V968&gt;175,W968&lt;25),0.3,0)+IF(AND(V968&gt;175,W968&gt;=25,W968&lt;55),0.23,0)+IF(AND(V968&gt;175,W968&gt;=55,W968&lt;95),0.17,0)+IF(AND(V968&gt;175,W968&gt;=95),0.12,0),
IF(AF968="DoEVsu",IF(AND(V968&lt;20,W968&lt;55),0.3,0)+IF(AND(V968&lt;20,W968&gt;=55,W968&lt;105),0.23,0)+IF(AND(V968&lt;20,W968&gt;=105),0.17,0)+IF(AND(V968&gt;=20,V968&lt;40,W968&lt;45),0.3,0)+IF(AND(V968&gt;=20,V968&lt;40,W968&gt;=45,W968&lt;95),0.23,0)+IF(AND(V968&gt;=20,V968&lt;40,W968&gt;=95,W968&lt;=250),0.17,0)+IF(AND(V968&gt;=20,V968&lt;40,W968&gt;=250),0.12,0)+IF(AND(V968&gt;=40,V968&lt;75,W968&lt;35),0.3,0)+IF(AND(V968&gt;=40,V968&lt;75,W968&gt;=35,W968&lt;75),0.23,0)+IF(AND(V968&gt;=40,V968&lt;75,W968&gt;=75,W968&lt;120),0.17,0)+IF(AND(V968&gt;=40,V968&lt;75,W968&gt;=120),0.12,0)+IF(AND(V968&gt;=75,V968&lt;175,W968&lt;35),0.3,0)+IF(AND(V968&gt;=75,V968&lt;=175,W968&gt;=35,W968&lt;65),0.23,0)+IF(AND(V968&gt;=75,V968&lt;=175,W968&gt;=65,W968&lt;110),0.17,0)+IF(AND(V968&gt;=75,V968&lt;=175,W968&gt;=110),0.12,0)+IF(AND(V968&gt;175,W968&lt;25),0.3,0)+IF(AND(V968&gt;175,W968&gt;=25,W968&lt;55),0.23,0)+IF(AND(V968&gt;175,W968&gt;=55,W968&lt;95),0.17,0)+IF(AND(V968&gt;175,W968&gt;=95),0.12,0),
IF(AF968="DoEVni",IF(AND(V968&lt;20,W968&lt;55),0.3,0)+IF(AND(V968&lt;20,W968&gt;=55,W968&lt;105),0.23,0)+IF(AND(V968&lt;20,W968&gt;=105),0.17,0)+IF(AND(V968&gt;=20,V968&lt;40,W968&lt;45),0.3,0)+IF(AND(V968&gt;=20,V968&lt;40,W968&gt;=45,W968&lt;95),0.23,0)+IF(AND(V968&gt;=20,V968&lt;40,W968&gt;=95,W968&lt;=200),0.17,0)+IF(AND(V968&gt;=20,V968&lt;40,W968&gt;=200),0.12,0)+IF(AND(V968&gt;=40,V968&lt;75,W968&lt;35),0.3,0)+IF(AND(V968&gt;=40,V968&lt;75,W968&gt;=35,W968&lt;75),0.23,0)+IF(AND(V968&gt;=40,V968&lt;75,W968&gt;=75,W968&lt;120),0.17,0)+IF(AND(V968&gt;=40,V968&lt;75,W968&gt;=120),0.12,0)+IF(AND(V968&gt;=75,V968&lt;175,W968&lt;35),0.3,0)+IF(AND(V968&gt;=75,V968&lt;=175,W968&gt;=35,W968&lt;65),0.23,0)+IF(AND(V968&gt;=75,V968&lt;=175,W968&gt;=65,W968&lt;110),0.17,0)+IF(AND(V968&gt;=75,V968&lt;=175,W968&gt;=110),0.12,0)+IF(AND(V968&gt;175,W968&lt;25),0.3,0)+IF(AND(V968&gt;175,W968&gt;=25,W968&lt;55),0.23,0)+IF(AND(V968&gt;175,W968&gt;=55,W968&lt;95),0.17,0)+IF(AND(V968&gt;175,W968&gt;=95),0.12,0),
IF(AF968="DoEVLo",IF(AND(V968&lt;20,W968&lt;55),0.25,0)+IF(AND(V968&lt;20,W968&gt;=55,W968&lt;105),0.2,0)+IF(AND(V968&lt;20,W968&gt;=105),0.15,0)+IF(AND(V968&gt;=20,V968&lt;40,W968&lt;45),0.25,0)+IF(AND(V968&gt;=20,V968&lt;40,W968&gt;=45,W968&lt;95),0.2,0)+IF(AND(V968&gt;=20,V968&lt;40,W968&gt;=95),0.15,0)+IF(AND(V968&gt;=40,V968&lt;75,W968&lt;35),0.25,0)+IF(AND(V968&gt;=40,V968&lt;75,W968&gt;=35,W968&lt;75),0.2,0)+IF(AND(V968&gt;=40,V968&lt;75,W968&gt;=75,W968&lt;120),0.15,0)+IF(AND(V968&gt;=40,V968&lt;75,W968&gt;=120),0.1,0)+IF(AND(V968&gt;=75,V968&lt;175,W968&lt;35),0.25,0)+IF(AND(V968&gt;=75,V968&lt;=175,W968&gt;=35,W968&lt;65),0.2,0)+IF(AND(V968&gt;=75,V968&lt;=175,W968&gt;=65,W968&lt;110),0.15,0)+IF(AND(V968&gt;=75,V968&lt;=175,W968&gt;=110),0.1,0)+IF(AND(V968&gt;175,W968&lt;25),0.25,0)+IF(AND(V968&gt;175,W968&gt;=25,W968&lt;55),0.2,0)+IF(AND(V968&gt;175,W968&gt;=55,W968&lt;95),0.15,0)+IF(AND(V968&gt;175,W968&gt;=95),0.1,0))))))))))))))))))</f>
        <v>0.09</v>
      </c>
      <c r="Y968" s="30">
        <f>IF(AG968="None",0,IF(AG968="Fix5",0.05, IF(AG968="Fix6.25",0.0625,IF(AG968="Fix3.75",0.0375,IF(AG968="Fix10",0.1,IF(AG968="Fix3",0.03,0))))))</f>
        <v>0.03</v>
      </c>
      <c r="Z968" s="35">
        <f>T968-AA968-AB968</f>
        <v>62.48</v>
      </c>
      <c r="AA968" s="29">
        <f>IF(AD968="EUR",((T968-R968)*X968)*U968+(R968*X968),(T968*X968))</f>
        <v>6.39</v>
      </c>
      <c r="AB968" s="36">
        <f>IF(AD968="EUR",((T968-R968)*Y968)*U968+(R968*Y968),(T968*Y968))</f>
        <v>2.13</v>
      </c>
      <c r="AC968" s="37" t="b">
        <v>1</v>
      </c>
      <c r="AD968" s="37" t="s">
        <v>38</v>
      </c>
      <c r="AE968" s="37" t="s">
        <v>38</v>
      </c>
      <c r="AF968" s="38" t="str">
        <f t="array" ref="AF968">INDEX('Deal Info'!D:D, MATCH(A968,'Deal Info'!A:A, 0))</f>
        <v>Fix9</v>
      </c>
      <c r="AG968" s="38" t="str">
        <f t="array" ref="AG968">INDEX('Deal Info'!G:G, MATCH(A968,'Deal Info'!A:A, 0))</f>
        <v>Fix3</v>
      </c>
    </row>
    <row r="969" spans="1:33" ht="14.25" hidden="1" x14ac:dyDescent="0.2">
      <c r="A969" s="18" t="str">
        <f t="array" ref="A969">IF(G969='Room Info'!$B$1, INDEX('Room Info'!$A$2:$A2446, MATCH(B969,'Room Info'!$B$2:$B2446, 0)),IF(G969='Room Info'!$C$1, INDEX('Room Info'!$A$2:$A2446, MATCH(B969,'Room Info'!$C$2:$C2446, 0)),IF(G969='Room Info'!$D$1, INDEX('Room Info'!$A$2:$A2446, MATCH(B969,'Room Info'!$D$2:$D2446, 0)),IF(G969='Room Info'!$E$1, INDEX('Room Info'!$A$2:$A2446, MATCH(B969,'Room Info'!$E$2:$E2446, 0)),IF(G969='Room Info'!$F$1, INDEX('Room Info'!$A$2:$A2446, MATCH(B969,'Room Info'!$F$2:$F2446, 0)),IF(G969='Room Info'!$H$1, INDEX('Room Info'!$A$2:$A2446, MATCH(B969,'Room Info'!$H$2:$H2446, 0)),IF(G969='Room Info'!$G$1, INDEX('Room Info'!$A$2:$A2446, MATCH(B969,'Room Info'!$G$2:$G2446, 0)))))))))</f>
        <v>Mandr1990</v>
      </c>
      <c r="B969" s="45" t="s">
        <v>186</v>
      </c>
      <c r="C969" s="77">
        <v>44886</v>
      </c>
      <c r="D969" s="77">
        <v>44915</v>
      </c>
      <c r="E969" s="47">
        <v>44896</v>
      </c>
      <c r="F969" s="48" t="s">
        <v>34</v>
      </c>
      <c r="G969" s="45" t="s">
        <v>80</v>
      </c>
      <c r="H969" s="49" t="s">
        <v>72</v>
      </c>
      <c r="I969" s="49" t="s">
        <v>81</v>
      </c>
      <c r="J969" s="74">
        <v>50</v>
      </c>
      <c r="K969" s="75">
        <v>2340</v>
      </c>
      <c r="L969" s="72">
        <v>-3550</v>
      </c>
      <c r="M969" s="76">
        <v>7922</v>
      </c>
      <c r="N969" s="28">
        <f>K969*J969</f>
        <v>117000</v>
      </c>
      <c r="O969" s="45">
        <v>27131</v>
      </c>
      <c r="P969" s="29">
        <v>11.59444444</v>
      </c>
      <c r="Q969" s="55"/>
      <c r="R969" s="31">
        <f>M969+Q969</f>
        <v>7922</v>
      </c>
      <c r="S969" s="73">
        <v>-4656</v>
      </c>
      <c r="T969" s="32">
        <f>R969+S969+IF(F969="Without EV deal",L969,0)</f>
        <v>3266</v>
      </c>
      <c r="U969" s="57">
        <v>1</v>
      </c>
      <c r="V969" s="58"/>
      <c r="W969" s="58"/>
      <c r="X969" s="30">
        <f>IF(AF969="DoEV",IF(AND(V969&lt;20,W969&lt;55),0.3,0)+IF(AND(V969&lt;20,W969&gt;=55,W969&lt;105),0.23,0)+IF(AND(V969&lt;20,W969&gt;=105),0.17,0)+IF(AND(V969&gt;=20,V969&lt;40,W969&lt;45),0.3,0)+IF(AND(V969&gt;=20,V969&lt;40,W969&gt;=45,W969&lt;95),0.23,0)+IF(AND(V969&gt;=20,V969&lt;40,W969&gt;=95),0.17,0)+IF(AND(V969&gt;=40,V969&lt;75,W969&lt;35),0.3,0)+IF(AND(V969&gt;=40,V969&lt;75,W969&gt;=35,W969&lt;75),0.23,0)+IF(AND(V969&gt;=40,V969&lt;75,W969&gt;=75,W969&lt;120),0.17,0)+IF(AND(V969&gt;=40,V969&lt;75,W969&gt;=120),0.12,0)+IF(AND(V969&gt;=75,V969&lt;175,W969&lt;35),0.3,0)+IF(AND(V969&gt;=75,V969&lt;=175,W969&gt;=35,W969&lt;65),0.23,0)+IF(AND(V969&gt;=75,V969&lt;=175,W969&gt;=65,W969&lt;110),0.17,0)+IF(AND(V969&gt;=75,V969&lt;=175,W969&gt;=110),0.12,0)+IF(AND(V969&gt;175,W969&lt;25),0.3,0)+IF(AND(V969&gt;175,W969&gt;=25,W969&lt;55),0.23,0)+IF(AND(V969&gt;175,W969&gt;=55,W969&lt;95),0.17,0)+IF(AND(V969&gt;175,W969&gt;=95),0.12,0),
IF(AF969="Fix15",0.15,
IF(AF969="Fix18.75",0.1875,
IF(AF969="Fix11.25",0.1125,
IF(AF969="Fix10",0.1,
IF(AF969="Fix9",0.09,
IF(AF969="Fix19",0.19,
IF(AF969="DoEV2017",IF(AND(W969&lt;74),0.2,0)+IF(AND(W969&gt;=74),0.17,0),
IF(AF969="SF",IF(AND(V969&lt;20,W969&lt;89),0.3,0)+IF(AND(V969&lt;20,W969&gt;=89),0.25,0)+IF(AND(V969&gt;=20,V969&lt;40,W969&lt;74),0.3,0)+IF(AND(V969&gt;=20,V969&lt;40,W969&gt;=75),0.22,0)+IF(AND(V969&gt;=40,V969&lt;75,W969&lt;75),0.26,0)+IF(AND(V969&gt;=40,V969&lt;75,W969&gt;=75),0.22,0)+IF(V969&gt;=75,0.22,0),
IF(AF969="DoEVold",IF(AND(V969&lt;40,W969&lt;35),0.35,0)+IF(AND(V969&lt;40,W969&gt;=35,W969&lt;75),0.25,0)+IF(AND(V969&lt;40,W969&gt;=75),0.17,0)+IF(AND(V969&gt;=40,V969&lt;75,W969&lt;25),0.35,0)+IF(AND(V969&gt;=40,V969&lt;75,W969&gt;=25,W969&lt;65),0.25,0)+IF(AND(V969&gt;=40,V969&lt;75,W969&gt;=65,W969&lt;100),0.17,0)+IF(AND(V969&gt;=40,V969&lt;75,W969&gt;=100),0.1,0)+IF(AND(V969&gt;=75,W969&lt;25),0.35,0)+IF(AND(V969&gt;=75,W969&gt;=25,W969&lt;60),0.25,0)+IF(AND(V969&gt;=75,W969&gt;=60,W969&lt;95),0.17,0)+IF(AND(V969&gt;=75,W969&gt;=95),0.1,0),
IF(AF969="DoEVold15",IF(AND(V969&lt;=40,W969&lt;35),0.35,0)+IF(AND(V969&lt;=40,W969&gt;=35,W969&lt;75),0.25,0)+IF(AND(V969&lt;=40,W969&gt;=75,W969&lt;120),0.17,0)+IF(AND(V969&lt;=40,W969&gt;=120),0.15,0)+IF(AND(V969&gt;40,V969&lt;75,W969&lt;25),0.35,0)+IF(AND(V969&gt;=40,V969&lt;75,W969&gt;=25,W969&lt;65),0.25,0)+IF(AND(V969&gt;=40,V969&lt;75,W969&gt;=65,W969&lt;100),0.17,0)+IF(AND(V969&gt;=40,V969&lt;75,W969&gt;=100),0.1,0)+IF(AND(V969&gt;=75,W969&lt;25),0.35,0)+IF(AND(V969&gt;=75,W969&gt;=25,W969&lt;60),0.25,0)+IF(AND(V969&gt;=75,W969&gt;=60,W969&lt;95),0.17,0)+IF(AND(V969&gt;=75,W969&gt;=95),0.1,0),
IF(AF969="DoEVba",IF(AND(V969&lt;20,W969&lt;105),0.2,0)+IF(AND(V969&lt;20,W969&gt;=105),0.15,0)+IF(AND(V969&gt;=20,V969&lt;40,W969&lt;95),0.2,0)+IF(AND(V969&gt;=20,V969&lt;40,W969&gt;=95,W969&lt;150),0.15,0)+IF(AND(V969&gt;=20,V969&lt;40,W969&gt;=150),0.12,0)+IF(AND(V969&gt;=40,V969&lt;75,W969&lt;75),0.2,0)+IF(AND(V969&gt;=40,V969&lt;75,W969&gt;=75,W969&lt;120),0.15,0)+IF(AND(V969&gt;=40,V969&lt;75,W969&gt;=120),0.12,0)+IF(AND(V969&gt;=75,V969&lt;175,W969&lt;65),0.2,0)+IF(AND(V969&gt;=75,V969&lt;175,W969&gt;=65,W969&lt;110),0.15,0)+IF(AND(V969&gt;=75,V969&lt;175,W969&gt;=110),0.12,0)+IF(AND(V969&gt;=175,W969&lt;55),0.2,0)+IF(AND(V969&gt;=175,W969&gt;=55,W969&lt;95),0.15,0)+IF(AND(V969&gt;=175,W969&gt;=95),0.12,0),
IF(AF969="DoEVku",IF(AND(V969&lt;20,W969&lt;55),0.23,0)+IF(AND(V969&lt;20,W969&gt;=55,W969&lt;105),0.2,0)+IF(AND(V969&lt;20,W969&gt;=105),0.17,0)+IF(AND(V969&gt;=20,V969&lt;40,W969&lt;45),0.23,0)+IF(AND(V969&gt;=20,V969&lt;40,W969&gt;=45,W969&lt;95),0.2,0)+IF(AND(V969&gt;=20,V969&lt;40,W969&gt;=95,W969&lt;=150),0.17,0)+IF(AND(V969&gt;=20,V969&lt;40,W969&gt;=150),0.12,0)+IF(AND(V969&gt;=40,V969&lt;75,W969&lt;35),0.23,0)+IF(AND(V969&gt;=40,V969&lt;75,W969&gt;=35,W969&lt;75),0.2,0)+IF(AND(V969&gt;=40,V969&lt;75,W969&gt;=75,W969&lt;120),0.17,0)+IF(AND(V969&gt;=40,V969&lt;75,W969&gt;=120),0.12,0)+IF(AND(V969&gt;=75,V969&lt;175,W969&lt;35),0.23,0)+IF(AND(V969&gt;=75,V969&lt;=175,W969&gt;=35,W969&lt;65),0.2,0)+IF(AND(V969&gt;=75,V969&lt;=175,W969&gt;=65,W969&lt;110),0.17,0)+IF(AND(V969&gt;=75,V969&lt;=175,W969&gt;=110),0.12,0)+IF(AND(V969&gt;175,W969&lt;25),0.23,0)+IF(AND(V969&gt;175,W969&gt;=25,W969&lt;55),0.2,0)+IF(AND(V969&gt;175,W969&gt;=55,W969&lt;95),0.17,0)+IF(AND(V969&gt;175,W969&gt;=95),0.12,0),
IF(AF969="DoEVs1",IF(AND(V969&lt;20,W969&lt;55),0.3,0)+IF(AND(V969&lt;20,W969&gt;=55,W969&lt;105),0.23,0)+IF(AND(V969&lt;20,W969&gt;=105),0.17,0)+IF(AND(V969&gt;=20,V969&lt;40,W969&lt;45),0.3,0)+IF(AND(V969&gt;=20,V969&lt;40,W969&gt;=45,W969&lt;95),0.23,0)+IF(AND(V969&gt;=20,V969&lt;40,W969&gt;=95,W969&lt;=150),0.17,0)+IF(AND(V969&gt;=20,V969&lt;40,W969&gt;=150),0.12,0)+IF(AND(V969&gt;=40,V969&lt;75,W969&lt;35),0.3,0)+IF(AND(V969&gt;=40,V969&lt;75,W969&gt;=35,W969&lt;75),0.23,0)+IF(AND(V969&gt;=40,V969&lt;75,W969&gt;=75,W969&lt;120),0.17,0)+IF(AND(V969&gt;=40,V969&lt;75,W969&gt;=120),0.12,0)+IF(AND(V969&gt;=75,V969&lt;175,W969&lt;35),0.3,0)+IF(AND(V969&gt;=75,V969&lt;=175,W969&gt;=35,W969&lt;65),0.23,0)+IF(AND(V969&gt;=75,V969&lt;=175,W969&gt;=65,W969&lt;110),0.17,0)+IF(AND(V969&gt;=75,V969&lt;=175,W969&gt;=110),0.12,0)+IF(AND(V969&gt;175,W969&lt;25),0.3,0)+IF(AND(V969&gt;175,W969&gt;=25,W969&lt;55),0.23,0)+IF(AND(V969&gt;175,W969&gt;=55,W969&lt;95),0.17,0)+IF(AND(V969&gt;175,W969&gt;=95),0.12,0),
IF(AF969="DoEVsu",IF(AND(V969&lt;20,W969&lt;55),0.3,0)+IF(AND(V969&lt;20,W969&gt;=55,W969&lt;105),0.23,0)+IF(AND(V969&lt;20,W969&gt;=105),0.17,0)+IF(AND(V969&gt;=20,V969&lt;40,W969&lt;45),0.3,0)+IF(AND(V969&gt;=20,V969&lt;40,W969&gt;=45,W969&lt;95),0.23,0)+IF(AND(V969&gt;=20,V969&lt;40,W969&gt;=95,W969&lt;=250),0.17,0)+IF(AND(V969&gt;=20,V969&lt;40,W969&gt;=250),0.12,0)+IF(AND(V969&gt;=40,V969&lt;75,W969&lt;35),0.3,0)+IF(AND(V969&gt;=40,V969&lt;75,W969&gt;=35,W969&lt;75),0.23,0)+IF(AND(V969&gt;=40,V969&lt;75,W969&gt;=75,W969&lt;120),0.17,0)+IF(AND(V969&gt;=40,V969&lt;75,W969&gt;=120),0.12,0)+IF(AND(V969&gt;=75,V969&lt;175,W969&lt;35),0.3,0)+IF(AND(V969&gt;=75,V969&lt;=175,W969&gt;=35,W969&lt;65),0.23,0)+IF(AND(V969&gt;=75,V969&lt;=175,W969&gt;=65,W969&lt;110),0.17,0)+IF(AND(V969&gt;=75,V969&lt;=175,W969&gt;=110),0.12,0)+IF(AND(V969&gt;175,W969&lt;25),0.3,0)+IF(AND(V969&gt;175,W969&gt;=25,W969&lt;55),0.23,0)+IF(AND(V969&gt;175,W969&gt;=55,W969&lt;95),0.17,0)+IF(AND(V969&gt;175,W969&gt;=95),0.12,0),
IF(AF969="DoEVni",IF(AND(V969&lt;20,W969&lt;55),0.3,0)+IF(AND(V969&lt;20,W969&gt;=55,W969&lt;105),0.23,0)+IF(AND(V969&lt;20,W969&gt;=105),0.17,0)+IF(AND(V969&gt;=20,V969&lt;40,W969&lt;45),0.3,0)+IF(AND(V969&gt;=20,V969&lt;40,W969&gt;=45,W969&lt;95),0.23,0)+IF(AND(V969&gt;=20,V969&lt;40,W969&gt;=95,W969&lt;=200),0.17,0)+IF(AND(V969&gt;=20,V969&lt;40,W969&gt;=200),0.12,0)+IF(AND(V969&gt;=40,V969&lt;75,W969&lt;35),0.3,0)+IF(AND(V969&gt;=40,V969&lt;75,W969&gt;=35,W969&lt;75),0.23,0)+IF(AND(V969&gt;=40,V969&lt;75,W969&gt;=75,W969&lt;120),0.17,0)+IF(AND(V969&gt;=40,V969&lt;75,W969&gt;=120),0.12,0)+IF(AND(V969&gt;=75,V969&lt;175,W969&lt;35),0.3,0)+IF(AND(V969&gt;=75,V969&lt;=175,W969&gt;=35,W969&lt;65),0.23,0)+IF(AND(V969&gt;=75,V969&lt;=175,W969&gt;=65,W969&lt;110),0.17,0)+IF(AND(V969&gt;=75,V969&lt;=175,W969&gt;=110),0.12,0)+IF(AND(V969&gt;175,W969&lt;25),0.3,0)+IF(AND(V969&gt;175,W969&gt;=25,W969&lt;55),0.23,0)+IF(AND(V969&gt;175,W969&gt;=55,W969&lt;95),0.17,0)+IF(AND(V969&gt;175,W969&gt;=95),0.12,0),
IF(AF969="DoEVLo",IF(AND(V969&lt;20,W969&lt;55),0.25,0)+IF(AND(V969&lt;20,W969&gt;=55,W969&lt;105),0.2,0)+IF(AND(V969&lt;20,W969&gt;=105),0.15,0)+IF(AND(V969&gt;=20,V969&lt;40,W969&lt;45),0.25,0)+IF(AND(V969&gt;=20,V969&lt;40,W969&gt;=45,W969&lt;95),0.2,0)+IF(AND(V969&gt;=20,V969&lt;40,W969&gt;=95),0.15,0)+IF(AND(V969&gt;=40,V969&lt;75,W969&lt;35),0.25,0)+IF(AND(V969&gt;=40,V969&lt;75,W969&gt;=35,W969&lt;75),0.2,0)+IF(AND(V969&gt;=40,V969&lt;75,W969&gt;=75,W969&lt;120),0.15,0)+IF(AND(V969&gt;=40,V969&lt;75,W969&gt;=120),0.1,0)+IF(AND(V969&gt;=75,V969&lt;175,W969&lt;35),0.25,0)+IF(AND(V969&gt;=75,V969&lt;=175,W969&gt;=35,W969&lt;65),0.2,0)+IF(AND(V969&gt;=75,V969&lt;=175,W969&gt;=65,W969&lt;110),0.15,0)+IF(AND(V969&gt;=75,V969&lt;=175,W969&gt;=110),0.1,0)+IF(AND(V969&gt;175,W969&lt;25),0.25,0)+IF(AND(V969&gt;175,W969&gt;=25,W969&lt;55),0.2,0)+IF(AND(V969&gt;175,W969&gt;=55,W969&lt;95),0.15,0)+IF(AND(V969&gt;175,W969&gt;=95),0.1,0))))))))))))))))))</f>
        <v>0.09</v>
      </c>
      <c r="Y969" s="30">
        <f>IF(AG969="None",0,IF(AG969="Fix5",0.05, IF(AG969="Fix6.25",0.0625,IF(AG969="Fix3.75",0.0375,IF(AG969="Fix10",0.1,IF(AG969="Fix3",0.03,0))))))</f>
        <v>0.03</v>
      </c>
      <c r="Z969" s="35">
        <f>T969-AA969-AB969</f>
        <v>2874.08</v>
      </c>
      <c r="AA969" s="29">
        <f>IF(AD969="EUR",((T969-R969)*X969)*U969+(R969*X969),(T969*X969))</f>
        <v>293.94</v>
      </c>
      <c r="AB969" s="36">
        <f>IF(AD969="EUR",((T969-R969)*Y969)*U969+(R969*Y969),(T969*Y969))</f>
        <v>97.97999999999999</v>
      </c>
      <c r="AC969" s="37" t="b">
        <v>1</v>
      </c>
      <c r="AD969" s="37" t="s">
        <v>38</v>
      </c>
      <c r="AE969" s="37" t="s">
        <v>38</v>
      </c>
      <c r="AF969" s="38" t="str">
        <f t="array" ref="AF969">INDEX('Deal Info'!D:D, MATCH(A969,'Deal Info'!A:A, 0))</f>
        <v>Fix9</v>
      </c>
      <c r="AG969" s="38" t="str">
        <f t="array" ref="AG969">INDEX('Deal Info'!G:G, MATCH(A969,'Deal Info'!A:A, 0))</f>
        <v>Fix3</v>
      </c>
    </row>
    <row r="970" spans="1:33" ht="14.25" hidden="1" x14ac:dyDescent="0.2">
      <c r="A970" s="18" t="str">
        <f t="array" ref="A970">IF(G970='Room Info'!$B$1, INDEX('Room Info'!$A$2:$A2446, MATCH(B970,'Room Info'!$B$2:$B2446, 0)),IF(G970='Room Info'!$C$1, INDEX('Room Info'!$A$2:$A2446, MATCH(B970,'Room Info'!$C$2:$C2446, 0)),IF(G970='Room Info'!$D$1, INDEX('Room Info'!$A$2:$A2446, MATCH(B970,'Room Info'!$D$2:$D2446, 0)),IF(G970='Room Info'!$E$1, INDEX('Room Info'!$A$2:$A2446, MATCH(B970,'Room Info'!$E$2:$E2446, 0)),IF(G970='Room Info'!$F$1, INDEX('Room Info'!$A$2:$A2446, MATCH(B970,'Room Info'!$F$2:$F2446, 0)),IF(G970='Room Info'!$H$1, INDEX('Room Info'!$A$2:$A2446, MATCH(B970,'Room Info'!$H$2:$H2446, 0)),IF(G970='Room Info'!$G$1, INDEX('Room Info'!$A$2:$A2446, MATCH(B970,'Room Info'!$G$2:$G2446, 0)))))))))</f>
        <v>Mandr1990</v>
      </c>
      <c r="B970" s="45" t="s">
        <v>186</v>
      </c>
      <c r="C970" s="77">
        <v>44886</v>
      </c>
      <c r="D970" s="77">
        <v>44915</v>
      </c>
      <c r="E970" s="47">
        <v>44896</v>
      </c>
      <c r="F970" s="48" t="s">
        <v>34</v>
      </c>
      <c r="G970" s="45" t="s">
        <v>80</v>
      </c>
      <c r="H970" s="49" t="s">
        <v>70</v>
      </c>
      <c r="I970" s="49" t="s">
        <v>81</v>
      </c>
      <c r="J970" s="74">
        <v>100</v>
      </c>
      <c r="K970" s="75">
        <v>3427</v>
      </c>
      <c r="L970" s="72">
        <v>-19800</v>
      </c>
      <c r="M970" s="76">
        <v>23203</v>
      </c>
      <c r="N970" s="28">
        <f>K970*J970</f>
        <v>342700</v>
      </c>
      <c r="O970" s="45">
        <v>20617</v>
      </c>
      <c r="P970" s="29">
        <v>6.0160490219999998</v>
      </c>
      <c r="Q970" s="55"/>
      <c r="R970" s="31">
        <f>M970+Q970</f>
        <v>23203</v>
      </c>
      <c r="S970" s="73">
        <v>-19137</v>
      </c>
      <c r="T970" s="32">
        <f>R970+S970+IF(F970="Without EV deal",L970,0)</f>
        <v>4066</v>
      </c>
      <c r="U970" s="57">
        <v>1</v>
      </c>
      <c r="V970" s="58"/>
      <c r="W970" s="58"/>
      <c r="X970" s="30">
        <f>IF(AF970="DoEV",IF(AND(V970&lt;20,W970&lt;55),0.3,0)+IF(AND(V970&lt;20,W970&gt;=55,W970&lt;105),0.23,0)+IF(AND(V970&lt;20,W970&gt;=105),0.17,0)+IF(AND(V970&gt;=20,V970&lt;40,W970&lt;45),0.3,0)+IF(AND(V970&gt;=20,V970&lt;40,W970&gt;=45,W970&lt;95),0.23,0)+IF(AND(V970&gt;=20,V970&lt;40,W970&gt;=95),0.17,0)+IF(AND(V970&gt;=40,V970&lt;75,W970&lt;35),0.3,0)+IF(AND(V970&gt;=40,V970&lt;75,W970&gt;=35,W970&lt;75),0.23,0)+IF(AND(V970&gt;=40,V970&lt;75,W970&gt;=75,W970&lt;120),0.17,0)+IF(AND(V970&gt;=40,V970&lt;75,W970&gt;=120),0.12,0)+IF(AND(V970&gt;=75,V970&lt;175,W970&lt;35),0.3,0)+IF(AND(V970&gt;=75,V970&lt;=175,W970&gt;=35,W970&lt;65),0.23,0)+IF(AND(V970&gt;=75,V970&lt;=175,W970&gt;=65,W970&lt;110),0.17,0)+IF(AND(V970&gt;=75,V970&lt;=175,W970&gt;=110),0.12,0)+IF(AND(V970&gt;175,W970&lt;25),0.3,0)+IF(AND(V970&gt;175,W970&gt;=25,W970&lt;55),0.23,0)+IF(AND(V970&gt;175,W970&gt;=55,W970&lt;95),0.17,0)+IF(AND(V970&gt;175,W970&gt;=95),0.12,0),
IF(AF970="Fix15",0.15,
IF(AF970="Fix18.75",0.1875,
IF(AF970="Fix11.25",0.1125,
IF(AF970="Fix10",0.1,
IF(AF970="Fix9",0.09,
IF(AF970="Fix19",0.19,
IF(AF970="DoEV2017",IF(AND(W970&lt;74),0.2,0)+IF(AND(W970&gt;=74),0.17,0),
IF(AF970="SF",IF(AND(V970&lt;20,W970&lt;89),0.3,0)+IF(AND(V970&lt;20,W970&gt;=89),0.25,0)+IF(AND(V970&gt;=20,V970&lt;40,W970&lt;74),0.3,0)+IF(AND(V970&gt;=20,V970&lt;40,W970&gt;=75),0.22,0)+IF(AND(V970&gt;=40,V970&lt;75,W970&lt;75),0.26,0)+IF(AND(V970&gt;=40,V970&lt;75,W970&gt;=75),0.22,0)+IF(V970&gt;=75,0.22,0),
IF(AF970="DoEVold",IF(AND(V970&lt;40,W970&lt;35),0.35,0)+IF(AND(V970&lt;40,W970&gt;=35,W970&lt;75),0.25,0)+IF(AND(V970&lt;40,W970&gt;=75),0.17,0)+IF(AND(V970&gt;=40,V970&lt;75,W970&lt;25),0.35,0)+IF(AND(V970&gt;=40,V970&lt;75,W970&gt;=25,W970&lt;65),0.25,0)+IF(AND(V970&gt;=40,V970&lt;75,W970&gt;=65,W970&lt;100),0.17,0)+IF(AND(V970&gt;=40,V970&lt;75,W970&gt;=100),0.1,0)+IF(AND(V970&gt;=75,W970&lt;25),0.35,0)+IF(AND(V970&gt;=75,W970&gt;=25,W970&lt;60),0.25,0)+IF(AND(V970&gt;=75,W970&gt;=60,W970&lt;95),0.17,0)+IF(AND(V970&gt;=75,W970&gt;=95),0.1,0),
IF(AF970="DoEVold15",IF(AND(V970&lt;=40,W970&lt;35),0.35,0)+IF(AND(V970&lt;=40,W970&gt;=35,W970&lt;75),0.25,0)+IF(AND(V970&lt;=40,W970&gt;=75,W970&lt;120),0.17,0)+IF(AND(V970&lt;=40,W970&gt;=120),0.15,0)+IF(AND(V970&gt;40,V970&lt;75,W970&lt;25),0.35,0)+IF(AND(V970&gt;=40,V970&lt;75,W970&gt;=25,W970&lt;65),0.25,0)+IF(AND(V970&gt;=40,V970&lt;75,W970&gt;=65,W970&lt;100),0.17,0)+IF(AND(V970&gt;=40,V970&lt;75,W970&gt;=100),0.1,0)+IF(AND(V970&gt;=75,W970&lt;25),0.35,0)+IF(AND(V970&gt;=75,W970&gt;=25,W970&lt;60),0.25,0)+IF(AND(V970&gt;=75,W970&gt;=60,W970&lt;95),0.17,0)+IF(AND(V970&gt;=75,W970&gt;=95),0.1,0),
IF(AF970="DoEVba",IF(AND(V970&lt;20,W970&lt;105),0.2,0)+IF(AND(V970&lt;20,W970&gt;=105),0.15,0)+IF(AND(V970&gt;=20,V970&lt;40,W970&lt;95),0.2,0)+IF(AND(V970&gt;=20,V970&lt;40,W970&gt;=95,W970&lt;150),0.15,0)+IF(AND(V970&gt;=20,V970&lt;40,W970&gt;=150),0.12,0)+IF(AND(V970&gt;=40,V970&lt;75,W970&lt;75),0.2,0)+IF(AND(V970&gt;=40,V970&lt;75,W970&gt;=75,W970&lt;120),0.15,0)+IF(AND(V970&gt;=40,V970&lt;75,W970&gt;=120),0.12,0)+IF(AND(V970&gt;=75,V970&lt;175,W970&lt;65),0.2,0)+IF(AND(V970&gt;=75,V970&lt;175,W970&gt;=65,W970&lt;110),0.15,0)+IF(AND(V970&gt;=75,V970&lt;175,W970&gt;=110),0.12,0)+IF(AND(V970&gt;=175,W970&lt;55),0.2,0)+IF(AND(V970&gt;=175,W970&gt;=55,W970&lt;95),0.15,0)+IF(AND(V970&gt;=175,W970&gt;=95),0.12,0),
IF(AF970="DoEVku",IF(AND(V970&lt;20,W970&lt;55),0.23,0)+IF(AND(V970&lt;20,W970&gt;=55,W970&lt;105),0.2,0)+IF(AND(V970&lt;20,W970&gt;=105),0.17,0)+IF(AND(V970&gt;=20,V970&lt;40,W970&lt;45),0.23,0)+IF(AND(V970&gt;=20,V970&lt;40,W970&gt;=45,W970&lt;95),0.2,0)+IF(AND(V970&gt;=20,V970&lt;40,W970&gt;=95,W970&lt;=150),0.17,0)+IF(AND(V970&gt;=20,V970&lt;40,W970&gt;=150),0.12,0)+IF(AND(V970&gt;=40,V970&lt;75,W970&lt;35),0.23,0)+IF(AND(V970&gt;=40,V970&lt;75,W970&gt;=35,W970&lt;75),0.2,0)+IF(AND(V970&gt;=40,V970&lt;75,W970&gt;=75,W970&lt;120),0.17,0)+IF(AND(V970&gt;=40,V970&lt;75,W970&gt;=120),0.12,0)+IF(AND(V970&gt;=75,V970&lt;175,W970&lt;35),0.23,0)+IF(AND(V970&gt;=75,V970&lt;=175,W970&gt;=35,W970&lt;65),0.2,0)+IF(AND(V970&gt;=75,V970&lt;=175,W970&gt;=65,W970&lt;110),0.17,0)+IF(AND(V970&gt;=75,V970&lt;=175,W970&gt;=110),0.12,0)+IF(AND(V970&gt;175,W970&lt;25),0.23,0)+IF(AND(V970&gt;175,W970&gt;=25,W970&lt;55),0.2,0)+IF(AND(V970&gt;175,W970&gt;=55,W970&lt;95),0.17,0)+IF(AND(V970&gt;175,W970&gt;=95),0.12,0),
IF(AF970="DoEVs1",IF(AND(V970&lt;20,W970&lt;55),0.3,0)+IF(AND(V970&lt;20,W970&gt;=55,W970&lt;105),0.23,0)+IF(AND(V970&lt;20,W970&gt;=105),0.17,0)+IF(AND(V970&gt;=20,V970&lt;40,W970&lt;45),0.3,0)+IF(AND(V970&gt;=20,V970&lt;40,W970&gt;=45,W970&lt;95),0.23,0)+IF(AND(V970&gt;=20,V970&lt;40,W970&gt;=95,W970&lt;=150),0.17,0)+IF(AND(V970&gt;=20,V970&lt;40,W970&gt;=150),0.12,0)+IF(AND(V970&gt;=40,V970&lt;75,W970&lt;35),0.3,0)+IF(AND(V970&gt;=40,V970&lt;75,W970&gt;=35,W970&lt;75),0.23,0)+IF(AND(V970&gt;=40,V970&lt;75,W970&gt;=75,W970&lt;120),0.17,0)+IF(AND(V970&gt;=40,V970&lt;75,W970&gt;=120),0.12,0)+IF(AND(V970&gt;=75,V970&lt;175,W970&lt;35),0.3,0)+IF(AND(V970&gt;=75,V970&lt;=175,W970&gt;=35,W970&lt;65),0.23,0)+IF(AND(V970&gt;=75,V970&lt;=175,W970&gt;=65,W970&lt;110),0.17,0)+IF(AND(V970&gt;=75,V970&lt;=175,W970&gt;=110),0.12,0)+IF(AND(V970&gt;175,W970&lt;25),0.3,0)+IF(AND(V970&gt;175,W970&gt;=25,W970&lt;55),0.23,0)+IF(AND(V970&gt;175,W970&gt;=55,W970&lt;95),0.17,0)+IF(AND(V970&gt;175,W970&gt;=95),0.12,0),
IF(AF970="DoEVsu",IF(AND(V970&lt;20,W970&lt;55),0.3,0)+IF(AND(V970&lt;20,W970&gt;=55,W970&lt;105),0.23,0)+IF(AND(V970&lt;20,W970&gt;=105),0.17,0)+IF(AND(V970&gt;=20,V970&lt;40,W970&lt;45),0.3,0)+IF(AND(V970&gt;=20,V970&lt;40,W970&gt;=45,W970&lt;95),0.23,0)+IF(AND(V970&gt;=20,V970&lt;40,W970&gt;=95,W970&lt;=250),0.17,0)+IF(AND(V970&gt;=20,V970&lt;40,W970&gt;=250),0.12,0)+IF(AND(V970&gt;=40,V970&lt;75,W970&lt;35),0.3,0)+IF(AND(V970&gt;=40,V970&lt;75,W970&gt;=35,W970&lt;75),0.23,0)+IF(AND(V970&gt;=40,V970&lt;75,W970&gt;=75,W970&lt;120),0.17,0)+IF(AND(V970&gt;=40,V970&lt;75,W970&gt;=120),0.12,0)+IF(AND(V970&gt;=75,V970&lt;175,W970&lt;35),0.3,0)+IF(AND(V970&gt;=75,V970&lt;=175,W970&gt;=35,W970&lt;65),0.23,0)+IF(AND(V970&gt;=75,V970&lt;=175,W970&gt;=65,W970&lt;110),0.17,0)+IF(AND(V970&gt;=75,V970&lt;=175,W970&gt;=110),0.12,0)+IF(AND(V970&gt;175,W970&lt;25),0.3,0)+IF(AND(V970&gt;175,W970&gt;=25,W970&lt;55),0.23,0)+IF(AND(V970&gt;175,W970&gt;=55,W970&lt;95),0.17,0)+IF(AND(V970&gt;175,W970&gt;=95),0.12,0),
IF(AF970="DoEVni",IF(AND(V970&lt;20,W970&lt;55),0.3,0)+IF(AND(V970&lt;20,W970&gt;=55,W970&lt;105),0.23,0)+IF(AND(V970&lt;20,W970&gt;=105),0.17,0)+IF(AND(V970&gt;=20,V970&lt;40,W970&lt;45),0.3,0)+IF(AND(V970&gt;=20,V970&lt;40,W970&gt;=45,W970&lt;95),0.23,0)+IF(AND(V970&gt;=20,V970&lt;40,W970&gt;=95,W970&lt;=200),0.17,0)+IF(AND(V970&gt;=20,V970&lt;40,W970&gt;=200),0.12,0)+IF(AND(V970&gt;=40,V970&lt;75,W970&lt;35),0.3,0)+IF(AND(V970&gt;=40,V970&lt;75,W970&gt;=35,W970&lt;75),0.23,0)+IF(AND(V970&gt;=40,V970&lt;75,W970&gt;=75,W970&lt;120),0.17,0)+IF(AND(V970&gt;=40,V970&lt;75,W970&gt;=120),0.12,0)+IF(AND(V970&gt;=75,V970&lt;175,W970&lt;35),0.3,0)+IF(AND(V970&gt;=75,V970&lt;=175,W970&gt;=35,W970&lt;65),0.23,0)+IF(AND(V970&gt;=75,V970&lt;=175,W970&gt;=65,W970&lt;110),0.17,0)+IF(AND(V970&gt;=75,V970&lt;=175,W970&gt;=110),0.12,0)+IF(AND(V970&gt;175,W970&lt;25),0.3,0)+IF(AND(V970&gt;175,W970&gt;=25,W970&lt;55),0.23,0)+IF(AND(V970&gt;175,W970&gt;=55,W970&lt;95),0.17,0)+IF(AND(V970&gt;175,W970&gt;=95),0.12,0),
IF(AF970="DoEVLo",IF(AND(V970&lt;20,W970&lt;55),0.25,0)+IF(AND(V970&lt;20,W970&gt;=55,W970&lt;105),0.2,0)+IF(AND(V970&lt;20,W970&gt;=105),0.15,0)+IF(AND(V970&gt;=20,V970&lt;40,W970&lt;45),0.25,0)+IF(AND(V970&gt;=20,V970&lt;40,W970&gt;=45,W970&lt;95),0.2,0)+IF(AND(V970&gt;=20,V970&lt;40,W970&gt;=95),0.15,0)+IF(AND(V970&gt;=40,V970&lt;75,W970&lt;35),0.25,0)+IF(AND(V970&gt;=40,V970&lt;75,W970&gt;=35,W970&lt;75),0.2,0)+IF(AND(V970&gt;=40,V970&lt;75,W970&gt;=75,W970&lt;120),0.15,0)+IF(AND(V970&gt;=40,V970&lt;75,W970&gt;=120),0.1,0)+IF(AND(V970&gt;=75,V970&lt;175,W970&lt;35),0.25,0)+IF(AND(V970&gt;=75,V970&lt;=175,W970&gt;=35,W970&lt;65),0.2,0)+IF(AND(V970&gt;=75,V970&lt;=175,W970&gt;=65,W970&lt;110),0.15,0)+IF(AND(V970&gt;=75,V970&lt;=175,W970&gt;=110),0.1,0)+IF(AND(V970&gt;175,W970&lt;25),0.25,0)+IF(AND(V970&gt;175,W970&gt;=25,W970&lt;55),0.2,0)+IF(AND(V970&gt;175,W970&gt;=55,W970&lt;95),0.15,0)+IF(AND(V970&gt;175,W970&gt;=95),0.1,0))))))))))))))))))</f>
        <v>0.09</v>
      </c>
      <c r="Y970" s="30">
        <f>IF(AG970="None",0,IF(AG970="Fix5",0.05, IF(AG970="Fix6.25",0.0625,IF(AG970="Fix3.75",0.0375,IF(AG970="Fix10",0.1,IF(AG970="Fix3",0.03,0))))))</f>
        <v>0.03</v>
      </c>
      <c r="Z970" s="35">
        <f>T970-AA970-AB970</f>
        <v>3578.08</v>
      </c>
      <c r="AA970" s="29">
        <f>IF(AD970="EUR",((T970-R970)*X970)*U970+(R970*X970),(T970*X970))</f>
        <v>365.94</v>
      </c>
      <c r="AB970" s="36">
        <f>IF(AD970="EUR",((T970-R970)*Y970)*U970+(R970*Y970),(T970*Y970))</f>
        <v>121.97999999999999</v>
      </c>
      <c r="AC970" s="37" t="b">
        <v>1</v>
      </c>
      <c r="AD970" s="37" t="s">
        <v>38</v>
      </c>
      <c r="AE970" s="37" t="s">
        <v>38</v>
      </c>
      <c r="AF970" s="38" t="str">
        <f t="array" ref="AF970">INDEX('Deal Info'!D:D, MATCH(A970,'Deal Info'!A:A, 0))</f>
        <v>Fix9</v>
      </c>
      <c r="AG970" s="38" t="str">
        <f t="array" ref="AG970">INDEX('Deal Info'!G:G, MATCH(A970,'Deal Info'!A:A, 0))</f>
        <v>Fix3</v>
      </c>
    </row>
    <row r="971" spans="1:33" ht="14.25" hidden="1" x14ac:dyDescent="0.2">
      <c r="A971" s="18" t="str">
        <f t="array" ref="A971">IF(G971='Room Info'!$B$1, INDEX('Room Info'!$A$2:$A2446, MATCH(B971,'Room Info'!$B$2:$B2446, 0)),IF(G971='Room Info'!$C$1, INDEX('Room Info'!$A$2:$A2446, MATCH(B971,'Room Info'!$C$2:$C2446, 0)),IF(G971='Room Info'!$D$1, INDEX('Room Info'!$A$2:$A2446, MATCH(B971,'Room Info'!$D$2:$D2446, 0)),IF(G971='Room Info'!$E$1, INDEX('Room Info'!$A$2:$A2446, MATCH(B971,'Room Info'!$E$2:$E2446, 0)),IF(G971='Room Info'!$F$1, INDEX('Room Info'!$A$2:$A2446, MATCH(B971,'Room Info'!$F$2:$F2446, 0)),IF(G971='Room Info'!$H$1, INDEX('Room Info'!$A$2:$A2446, MATCH(B971,'Room Info'!$H$2:$H2446, 0)),IF(G971='Room Info'!$G$1, INDEX('Room Info'!$A$2:$A2446, MATCH(B971,'Room Info'!$G$2:$G2446, 0)))))))))</f>
        <v>Mandr1990</v>
      </c>
      <c r="B971" s="45" t="s">
        <v>187</v>
      </c>
      <c r="C971" s="77">
        <v>44886</v>
      </c>
      <c r="D971" s="77">
        <v>44915</v>
      </c>
      <c r="E971" s="47">
        <v>44896</v>
      </c>
      <c r="F971" s="48" t="s">
        <v>34</v>
      </c>
      <c r="G971" s="45" t="s">
        <v>80</v>
      </c>
      <c r="H971" s="49" t="s">
        <v>72</v>
      </c>
      <c r="I971" s="49" t="s">
        <v>81</v>
      </c>
      <c r="J971" s="74">
        <v>50</v>
      </c>
      <c r="K971" s="75">
        <v>102</v>
      </c>
      <c r="L971" s="72">
        <v>-600</v>
      </c>
      <c r="M971" s="76">
        <v>166</v>
      </c>
      <c r="N971" s="28">
        <f>K971*J971</f>
        <v>5100</v>
      </c>
      <c r="O971" s="45">
        <v>-64</v>
      </c>
      <c r="P971" s="29">
        <v>-0.62745098040000002</v>
      </c>
      <c r="Q971" s="55"/>
      <c r="R971" s="31">
        <f>M971+Q971</f>
        <v>166</v>
      </c>
      <c r="S971" s="73">
        <v>-382</v>
      </c>
      <c r="T971" s="32">
        <f>R971+S971+IF(F971="Without EV deal",L971,0)</f>
        <v>-216</v>
      </c>
      <c r="U971" s="57">
        <v>1</v>
      </c>
      <c r="V971" s="58"/>
      <c r="W971" s="58"/>
      <c r="X971" s="30">
        <f>IF(AF971="DoEV",IF(AND(V971&lt;20,W971&lt;55),0.3,0)+IF(AND(V971&lt;20,W971&gt;=55,W971&lt;105),0.23,0)+IF(AND(V971&lt;20,W971&gt;=105),0.17,0)+IF(AND(V971&gt;=20,V971&lt;40,W971&lt;45),0.3,0)+IF(AND(V971&gt;=20,V971&lt;40,W971&gt;=45,W971&lt;95),0.23,0)+IF(AND(V971&gt;=20,V971&lt;40,W971&gt;=95),0.17,0)+IF(AND(V971&gt;=40,V971&lt;75,W971&lt;35),0.3,0)+IF(AND(V971&gt;=40,V971&lt;75,W971&gt;=35,W971&lt;75),0.23,0)+IF(AND(V971&gt;=40,V971&lt;75,W971&gt;=75,W971&lt;120),0.17,0)+IF(AND(V971&gt;=40,V971&lt;75,W971&gt;=120),0.12,0)+IF(AND(V971&gt;=75,V971&lt;175,W971&lt;35),0.3,0)+IF(AND(V971&gt;=75,V971&lt;=175,W971&gt;=35,W971&lt;65),0.23,0)+IF(AND(V971&gt;=75,V971&lt;=175,W971&gt;=65,W971&lt;110),0.17,0)+IF(AND(V971&gt;=75,V971&lt;=175,W971&gt;=110),0.12,0)+IF(AND(V971&gt;175,W971&lt;25),0.3,0)+IF(AND(V971&gt;175,W971&gt;=25,W971&lt;55),0.23,0)+IF(AND(V971&gt;175,W971&gt;=55,W971&lt;95),0.17,0)+IF(AND(V971&gt;175,W971&gt;=95),0.12,0),
IF(AF971="Fix15",0.15,
IF(AF971="Fix18.75",0.1875,
IF(AF971="Fix11.25",0.1125,
IF(AF971="Fix10",0.1,
IF(AF971="Fix9",0.09,
IF(AF971="Fix19",0.19,
IF(AF971="DoEV2017",IF(AND(W971&lt;74),0.2,0)+IF(AND(W971&gt;=74),0.17,0),
IF(AF971="SF",IF(AND(V971&lt;20,W971&lt;89),0.3,0)+IF(AND(V971&lt;20,W971&gt;=89),0.25,0)+IF(AND(V971&gt;=20,V971&lt;40,W971&lt;74),0.3,0)+IF(AND(V971&gt;=20,V971&lt;40,W971&gt;=75),0.22,0)+IF(AND(V971&gt;=40,V971&lt;75,W971&lt;75),0.26,0)+IF(AND(V971&gt;=40,V971&lt;75,W971&gt;=75),0.22,0)+IF(V971&gt;=75,0.22,0),
IF(AF971="DoEVold",IF(AND(V971&lt;40,W971&lt;35),0.35,0)+IF(AND(V971&lt;40,W971&gt;=35,W971&lt;75),0.25,0)+IF(AND(V971&lt;40,W971&gt;=75),0.17,0)+IF(AND(V971&gt;=40,V971&lt;75,W971&lt;25),0.35,0)+IF(AND(V971&gt;=40,V971&lt;75,W971&gt;=25,W971&lt;65),0.25,0)+IF(AND(V971&gt;=40,V971&lt;75,W971&gt;=65,W971&lt;100),0.17,0)+IF(AND(V971&gt;=40,V971&lt;75,W971&gt;=100),0.1,0)+IF(AND(V971&gt;=75,W971&lt;25),0.35,0)+IF(AND(V971&gt;=75,W971&gt;=25,W971&lt;60),0.25,0)+IF(AND(V971&gt;=75,W971&gt;=60,W971&lt;95),0.17,0)+IF(AND(V971&gt;=75,W971&gt;=95),0.1,0),
IF(AF971="DoEVold15",IF(AND(V971&lt;=40,W971&lt;35),0.35,0)+IF(AND(V971&lt;=40,W971&gt;=35,W971&lt;75),0.25,0)+IF(AND(V971&lt;=40,W971&gt;=75,W971&lt;120),0.17,0)+IF(AND(V971&lt;=40,W971&gt;=120),0.15,0)+IF(AND(V971&gt;40,V971&lt;75,W971&lt;25),0.35,0)+IF(AND(V971&gt;=40,V971&lt;75,W971&gt;=25,W971&lt;65),0.25,0)+IF(AND(V971&gt;=40,V971&lt;75,W971&gt;=65,W971&lt;100),0.17,0)+IF(AND(V971&gt;=40,V971&lt;75,W971&gt;=100),0.1,0)+IF(AND(V971&gt;=75,W971&lt;25),0.35,0)+IF(AND(V971&gt;=75,W971&gt;=25,W971&lt;60),0.25,0)+IF(AND(V971&gt;=75,W971&gt;=60,W971&lt;95),0.17,0)+IF(AND(V971&gt;=75,W971&gt;=95),0.1,0),
IF(AF971="DoEVba",IF(AND(V971&lt;20,W971&lt;105),0.2,0)+IF(AND(V971&lt;20,W971&gt;=105),0.15,0)+IF(AND(V971&gt;=20,V971&lt;40,W971&lt;95),0.2,0)+IF(AND(V971&gt;=20,V971&lt;40,W971&gt;=95,W971&lt;150),0.15,0)+IF(AND(V971&gt;=20,V971&lt;40,W971&gt;=150),0.12,0)+IF(AND(V971&gt;=40,V971&lt;75,W971&lt;75),0.2,0)+IF(AND(V971&gt;=40,V971&lt;75,W971&gt;=75,W971&lt;120),0.15,0)+IF(AND(V971&gt;=40,V971&lt;75,W971&gt;=120),0.12,0)+IF(AND(V971&gt;=75,V971&lt;175,W971&lt;65),0.2,0)+IF(AND(V971&gt;=75,V971&lt;175,W971&gt;=65,W971&lt;110),0.15,0)+IF(AND(V971&gt;=75,V971&lt;175,W971&gt;=110),0.12,0)+IF(AND(V971&gt;=175,W971&lt;55),0.2,0)+IF(AND(V971&gt;=175,W971&gt;=55,W971&lt;95),0.15,0)+IF(AND(V971&gt;=175,W971&gt;=95),0.12,0),
IF(AF971="DoEVku",IF(AND(V971&lt;20,W971&lt;55),0.23,0)+IF(AND(V971&lt;20,W971&gt;=55,W971&lt;105),0.2,0)+IF(AND(V971&lt;20,W971&gt;=105),0.17,0)+IF(AND(V971&gt;=20,V971&lt;40,W971&lt;45),0.23,0)+IF(AND(V971&gt;=20,V971&lt;40,W971&gt;=45,W971&lt;95),0.2,0)+IF(AND(V971&gt;=20,V971&lt;40,W971&gt;=95,W971&lt;=150),0.17,0)+IF(AND(V971&gt;=20,V971&lt;40,W971&gt;=150),0.12,0)+IF(AND(V971&gt;=40,V971&lt;75,W971&lt;35),0.23,0)+IF(AND(V971&gt;=40,V971&lt;75,W971&gt;=35,W971&lt;75),0.2,0)+IF(AND(V971&gt;=40,V971&lt;75,W971&gt;=75,W971&lt;120),0.17,0)+IF(AND(V971&gt;=40,V971&lt;75,W971&gt;=120),0.12,0)+IF(AND(V971&gt;=75,V971&lt;175,W971&lt;35),0.23,0)+IF(AND(V971&gt;=75,V971&lt;=175,W971&gt;=35,W971&lt;65),0.2,0)+IF(AND(V971&gt;=75,V971&lt;=175,W971&gt;=65,W971&lt;110),0.17,0)+IF(AND(V971&gt;=75,V971&lt;=175,W971&gt;=110),0.12,0)+IF(AND(V971&gt;175,W971&lt;25),0.23,0)+IF(AND(V971&gt;175,W971&gt;=25,W971&lt;55),0.2,0)+IF(AND(V971&gt;175,W971&gt;=55,W971&lt;95),0.17,0)+IF(AND(V971&gt;175,W971&gt;=95),0.12,0),
IF(AF971="DoEVs1",IF(AND(V971&lt;20,W971&lt;55),0.3,0)+IF(AND(V971&lt;20,W971&gt;=55,W971&lt;105),0.23,0)+IF(AND(V971&lt;20,W971&gt;=105),0.17,0)+IF(AND(V971&gt;=20,V971&lt;40,W971&lt;45),0.3,0)+IF(AND(V971&gt;=20,V971&lt;40,W971&gt;=45,W971&lt;95),0.23,0)+IF(AND(V971&gt;=20,V971&lt;40,W971&gt;=95,W971&lt;=150),0.17,0)+IF(AND(V971&gt;=20,V971&lt;40,W971&gt;=150),0.12,0)+IF(AND(V971&gt;=40,V971&lt;75,W971&lt;35),0.3,0)+IF(AND(V971&gt;=40,V971&lt;75,W971&gt;=35,W971&lt;75),0.23,0)+IF(AND(V971&gt;=40,V971&lt;75,W971&gt;=75,W971&lt;120),0.17,0)+IF(AND(V971&gt;=40,V971&lt;75,W971&gt;=120),0.12,0)+IF(AND(V971&gt;=75,V971&lt;175,W971&lt;35),0.3,0)+IF(AND(V971&gt;=75,V971&lt;=175,W971&gt;=35,W971&lt;65),0.23,0)+IF(AND(V971&gt;=75,V971&lt;=175,W971&gt;=65,W971&lt;110),0.17,0)+IF(AND(V971&gt;=75,V971&lt;=175,W971&gt;=110),0.12,0)+IF(AND(V971&gt;175,W971&lt;25),0.3,0)+IF(AND(V971&gt;175,W971&gt;=25,W971&lt;55),0.23,0)+IF(AND(V971&gt;175,W971&gt;=55,W971&lt;95),0.17,0)+IF(AND(V971&gt;175,W971&gt;=95),0.12,0),
IF(AF971="DoEVsu",IF(AND(V971&lt;20,W971&lt;55),0.3,0)+IF(AND(V971&lt;20,W971&gt;=55,W971&lt;105),0.23,0)+IF(AND(V971&lt;20,W971&gt;=105),0.17,0)+IF(AND(V971&gt;=20,V971&lt;40,W971&lt;45),0.3,0)+IF(AND(V971&gt;=20,V971&lt;40,W971&gt;=45,W971&lt;95),0.23,0)+IF(AND(V971&gt;=20,V971&lt;40,W971&gt;=95,W971&lt;=250),0.17,0)+IF(AND(V971&gt;=20,V971&lt;40,W971&gt;=250),0.12,0)+IF(AND(V971&gt;=40,V971&lt;75,W971&lt;35),0.3,0)+IF(AND(V971&gt;=40,V971&lt;75,W971&gt;=35,W971&lt;75),0.23,0)+IF(AND(V971&gt;=40,V971&lt;75,W971&gt;=75,W971&lt;120),0.17,0)+IF(AND(V971&gt;=40,V971&lt;75,W971&gt;=120),0.12,0)+IF(AND(V971&gt;=75,V971&lt;175,W971&lt;35),0.3,0)+IF(AND(V971&gt;=75,V971&lt;=175,W971&gt;=35,W971&lt;65),0.23,0)+IF(AND(V971&gt;=75,V971&lt;=175,W971&gt;=65,W971&lt;110),0.17,0)+IF(AND(V971&gt;=75,V971&lt;=175,W971&gt;=110),0.12,0)+IF(AND(V971&gt;175,W971&lt;25),0.3,0)+IF(AND(V971&gt;175,W971&gt;=25,W971&lt;55),0.23,0)+IF(AND(V971&gt;175,W971&gt;=55,W971&lt;95),0.17,0)+IF(AND(V971&gt;175,W971&gt;=95),0.12,0),
IF(AF971="DoEVni",IF(AND(V971&lt;20,W971&lt;55),0.3,0)+IF(AND(V971&lt;20,W971&gt;=55,W971&lt;105),0.23,0)+IF(AND(V971&lt;20,W971&gt;=105),0.17,0)+IF(AND(V971&gt;=20,V971&lt;40,W971&lt;45),0.3,0)+IF(AND(V971&gt;=20,V971&lt;40,W971&gt;=45,W971&lt;95),0.23,0)+IF(AND(V971&gt;=20,V971&lt;40,W971&gt;=95,W971&lt;=200),0.17,0)+IF(AND(V971&gt;=20,V971&lt;40,W971&gt;=200),0.12,0)+IF(AND(V971&gt;=40,V971&lt;75,W971&lt;35),0.3,0)+IF(AND(V971&gt;=40,V971&lt;75,W971&gt;=35,W971&lt;75),0.23,0)+IF(AND(V971&gt;=40,V971&lt;75,W971&gt;=75,W971&lt;120),0.17,0)+IF(AND(V971&gt;=40,V971&lt;75,W971&gt;=120),0.12,0)+IF(AND(V971&gt;=75,V971&lt;175,W971&lt;35),0.3,0)+IF(AND(V971&gt;=75,V971&lt;=175,W971&gt;=35,W971&lt;65),0.23,0)+IF(AND(V971&gt;=75,V971&lt;=175,W971&gt;=65,W971&lt;110),0.17,0)+IF(AND(V971&gt;=75,V971&lt;=175,W971&gt;=110),0.12,0)+IF(AND(V971&gt;175,W971&lt;25),0.3,0)+IF(AND(V971&gt;175,W971&gt;=25,W971&lt;55),0.23,0)+IF(AND(V971&gt;175,W971&gt;=55,W971&lt;95),0.17,0)+IF(AND(V971&gt;175,W971&gt;=95),0.12,0),
IF(AF971="DoEVLo",IF(AND(V971&lt;20,W971&lt;55),0.25,0)+IF(AND(V971&lt;20,W971&gt;=55,W971&lt;105),0.2,0)+IF(AND(V971&lt;20,W971&gt;=105),0.15,0)+IF(AND(V971&gt;=20,V971&lt;40,W971&lt;45),0.25,0)+IF(AND(V971&gt;=20,V971&lt;40,W971&gt;=45,W971&lt;95),0.2,0)+IF(AND(V971&gt;=20,V971&lt;40,W971&gt;=95),0.15,0)+IF(AND(V971&gt;=40,V971&lt;75,W971&lt;35),0.25,0)+IF(AND(V971&gt;=40,V971&lt;75,W971&gt;=35,W971&lt;75),0.2,0)+IF(AND(V971&gt;=40,V971&lt;75,W971&gt;=75,W971&lt;120),0.15,0)+IF(AND(V971&gt;=40,V971&lt;75,W971&gt;=120),0.1,0)+IF(AND(V971&gt;=75,V971&lt;175,W971&lt;35),0.25,0)+IF(AND(V971&gt;=75,V971&lt;=175,W971&gt;=35,W971&lt;65),0.2,0)+IF(AND(V971&gt;=75,V971&lt;=175,W971&gt;=65,W971&lt;110),0.15,0)+IF(AND(V971&gt;=75,V971&lt;=175,W971&gt;=110),0.1,0)+IF(AND(V971&gt;175,W971&lt;25),0.25,0)+IF(AND(V971&gt;175,W971&gt;=25,W971&lt;55),0.2,0)+IF(AND(V971&gt;175,W971&gt;=55,W971&lt;95),0.15,0)+IF(AND(V971&gt;175,W971&gt;=95),0.1,0))))))))))))))))))</f>
        <v>0.09</v>
      </c>
      <c r="Y971" s="30">
        <f>IF(AG971="None",0,IF(AG971="Fix5",0.05, IF(AG971="Fix6.25",0.0625,IF(AG971="Fix3.75",0.0375,IF(AG971="Fix10",0.1,IF(AG971="Fix3",0.03,0))))))</f>
        <v>0.03</v>
      </c>
      <c r="Z971" s="35">
        <f>T971-AA971-AB971</f>
        <v>-190.08</v>
      </c>
      <c r="AA971" s="29">
        <f>IF(AD971="EUR",((T971-R971)*X971)*U971+(R971*X971),(T971*X971))</f>
        <v>-19.439999999999998</v>
      </c>
      <c r="AB971" s="36">
        <f>IF(AD971="EUR",((T971-R971)*Y971)*U971+(R971*Y971),(T971*Y971))</f>
        <v>-6.4799999999999995</v>
      </c>
      <c r="AC971" s="37" t="b">
        <v>1</v>
      </c>
      <c r="AD971" s="37" t="s">
        <v>38</v>
      </c>
      <c r="AE971" s="37" t="s">
        <v>38</v>
      </c>
      <c r="AF971" s="38" t="str">
        <f t="array" ref="AF971">INDEX('Deal Info'!D:D, MATCH(A971,'Deal Info'!A:A, 0))</f>
        <v>Fix9</v>
      </c>
      <c r="AG971" s="38" t="str">
        <f t="array" ref="AG971">INDEX('Deal Info'!G:G, MATCH(A971,'Deal Info'!A:A, 0))</f>
        <v>Fix3</v>
      </c>
    </row>
    <row r="972" spans="1:33" ht="14.25" hidden="1" x14ac:dyDescent="0.2">
      <c r="A972" s="18" t="str">
        <f t="array" ref="A972">IF(G972='Room Info'!$B$1, INDEX('Room Info'!$A$2:$A2446, MATCH(B972,'Room Info'!$B$2:$B2446, 0)),IF(G972='Room Info'!$C$1, INDEX('Room Info'!$A$2:$A2446, MATCH(B972,'Room Info'!$C$2:$C2446, 0)),IF(G972='Room Info'!$D$1, INDEX('Room Info'!$A$2:$A2446, MATCH(B972,'Room Info'!$D$2:$D2446, 0)),IF(G972='Room Info'!$E$1, INDEX('Room Info'!$A$2:$A2446, MATCH(B972,'Room Info'!$E$2:$E2446, 0)),IF(G972='Room Info'!$F$1, INDEX('Room Info'!$A$2:$A2446, MATCH(B972,'Room Info'!$F$2:$F2446, 0)),IF(G972='Room Info'!$H$1, INDEX('Room Info'!$A$2:$A2446, MATCH(B972,'Room Info'!$H$2:$H2446, 0)),IF(G972='Room Info'!$G$1, INDEX('Room Info'!$A$2:$A2446, MATCH(B972,'Room Info'!$G$2:$G2446, 0)))))))))</f>
        <v>Mandr1990</v>
      </c>
      <c r="B972" s="45" t="s">
        <v>187</v>
      </c>
      <c r="C972" s="77">
        <v>44916</v>
      </c>
      <c r="D972" s="77">
        <v>44946</v>
      </c>
      <c r="E972" s="47">
        <v>44927</v>
      </c>
      <c r="F972" s="48" t="s">
        <v>34</v>
      </c>
      <c r="G972" s="45" t="s">
        <v>80</v>
      </c>
      <c r="H972" s="49" t="s">
        <v>72</v>
      </c>
      <c r="I972" s="49" t="s">
        <v>81</v>
      </c>
      <c r="J972" s="74">
        <v>50</v>
      </c>
      <c r="K972" s="75">
        <v>1124</v>
      </c>
      <c r="L972" s="72">
        <v>-1100</v>
      </c>
      <c r="M972" s="76">
        <v>3671</v>
      </c>
      <c r="N972" s="28">
        <f>K972*J972</f>
        <v>56200</v>
      </c>
      <c r="O972" s="45">
        <v>11452</v>
      </c>
      <c r="P972" s="29">
        <v>10.1886121</v>
      </c>
      <c r="Q972" s="55"/>
      <c r="R972" s="31">
        <f>M972+Q972</f>
        <v>3671</v>
      </c>
      <c r="S972" s="73">
        <v>-2366</v>
      </c>
      <c r="T972" s="32">
        <f>R972+S972+IF(F972="Without EV deal",L972,0)</f>
        <v>1305</v>
      </c>
      <c r="U972" s="57">
        <v>1</v>
      </c>
      <c r="V972" s="58"/>
      <c r="W972" s="58"/>
      <c r="X972" s="30">
        <f>IF(AF972="DoEV",IF(AND(V972&lt;20,W972&lt;55),0.3,0)+IF(AND(V972&lt;20,W972&gt;=55,W972&lt;105),0.23,0)+IF(AND(V972&lt;20,W972&gt;=105),0.17,0)+IF(AND(V972&gt;=20,V972&lt;40,W972&lt;45),0.3,0)+IF(AND(V972&gt;=20,V972&lt;40,W972&gt;=45,W972&lt;95),0.23,0)+IF(AND(V972&gt;=20,V972&lt;40,W972&gt;=95),0.17,0)+IF(AND(V972&gt;=40,V972&lt;75,W972&lt;35),0.3,0)+IF(AND(V972&gt;=40,V972&lt;75,W972&gt;=35,W972&lt;75),0.23,0)+IF(AND(V972&gt;=40,V972&lt;75,W972&gt;=75,W972&lt;120),0.17,0)+IF(AND(V972&gt;=40,V972&lt;75,W972&gt;=120),0.12,0)+IF(AND(V972&gt;=75,V972&lt;175,W972&lt;35),0.3,0)+IF(AND(V972&gt;=75,V972&lt;=175,W972&gt;=35,W972&lt;65),0.23,0)+IF(AND(V972&gt;=75,V972&lt;=175,W972&gt;=65,W972&lt;110),0.17,0)+IF(AND(V972&gt;=75,V972&lt;=175,W972&gt;=110),0.12,0)+IF(AND(V972&gt;175,W972&lt;25),0.3,0)+IF(AND(V972&gt;175,W972&gt;=25,W972&lt;55),0.23,0)+IF(AND(V972&gt;175,W972&gt;=55,W972&lt;95),0.17,0)+IF(AND(V972&gt;175,W972&gt;=95),0.12,0),
IF(AF972="Fix15",0.15,
IF(AF972="Fix18.75",0.1875,
IF(AF972="Fix11.25",0.1125,
IF(AF972="Fix10",0.1,
IF(AF972="Fix9",0.09,
IF(AF972="Fix19",0.19,
IF(AF972="DoEV2017",IF(AND(W972&lt;74),0.2,0)+IF(AND(W972&gt;=74),0.17,0),
IF(AF972="SF",IF(AND(V972&lt;20,W972&lt;89),0.3,0)+IF(AND(V972&lt;20,W972&gt;=89),0.25,0)+IF(AND(V972&gt;=20,V972&lt;40,W972&lt;74),0.3,0)+IF(AND(V972&gt;=20,V972&lt;40,W972&gt;=75),0.22,0)+IF(AND(V972&gt;=40,V972&lt;75,W972&lt;75),0.26,0)+IF(AND(V972&gt;=40,V972&lt;75,W972&gt;=75),0.22,0)+IF(V972&gt;=75,0.22,0),
IF(AF972="DoEVold",IF(AND(V972&lt;40,W972&lt;35),0.35,0)+IF(AND(V972&lt;40,W972&gt;=35,W972&lt;75),0.25,0)+IF(AND(V972&lt;40,W972&gt;=75),0.17,0)+IF(AND(V972&gt;=40,V972&lt;75,W972&lt;25),0.35,0)+IF(AND(V972&gt;=40,V972&lt;75,W972&gt;=25,W972&lt;65),0.25,0)+IF(AND(V972&gt;=40,V972&lt;75,W972&gt;=65,W972&lt;100),0.17,0)+IF(AND(V972&gt;=40,V972&lt;75,W972&gt;=100),0.1,0)+IF(AND(V972&gt;=75,W972&lt;25),0.35,0)+IF(AND(V972&gt;=75,W972&gt;=25,W972&lt;60),0.25,0)+IF(AND(V972&gt;=75,W972&gt;=60,W972&lt;95),0.17,0)+IF(AND(V972&gt;=75,W972&gt;=95),0.1,0),
IF(AF972="DoEVold15",IF(AND(V972&lt;=40,W972&lt;35),0.35,0)+IF(AND(V972&lt;=40,W972&gt;=35,W972&lt;75),0.25,0)+IF(AND(V972&lt;=40,W972&gt;=75,W972&lt;120),0.17,0)+IF(AND(V972&lt;=40,W972&gt;=120),0.15,0)+IF(AND(V972&gt;40,V972&lt;75,W972&lt;25),0.35,0)+IF(AND(V972&gt;=40,V972&lt;75,W972&gt;=25,W972&lt;65),0.25,0)+IF(AND(V972&gt;=40,V972&lt;75,W972&gt;=65,W972&lt;100),0.17,0)+IF(AND(V972&gt;=40,V972&lt;75,W972&gt;=100),0.1,0)+IF(AND(V972&gt;=75,W972&lt;25),0.35,0)+IF(AND(V972&gt;=75,W972&gt;=25,W972&lt;60),0.25,0)+IF(AND(V972&gt;=75,W972&gt;=60,W972&lt;95),0.17,0)+IF(AND(V972&gt;=75,W972&gt;=95),0.1,0),
IF(AF972="DoEVba",IF(AND(V972&lt;20,W972&lt;105),0.2,0)+IF(AND(V972&lt;20,W972&gt;=105),0.15,0)+IF(AND(V972&gt;=20,V972&lt;40,W972&lt;95),0.2,0)+IF(AND(V972&gt;=20,V972&lt;40,W972&gt;=95,W972&lt;150),0.15,0)+IF(AND(V972&gt;=20,V972&lt;40,W972&gt;=150),0.12,0)+IF(AND(V972&gt;=40,V972&lt;75,W972&lt;75),0.2,0)+IF(AND(V972&gt;=40,V972&lt;75,W972&gt;=75,W972&lt;120),0.15,0)+IF(AND(V972&gt;=40,V972&lt;75,W972&gt;=120),0.12,0)+IF(AND(V972&gt;=75,V972&lt;175,W972&lt;65),0.2,0)+IF(AND(V972&gt;=75,V972&lt;175,W972&gt;=65,W972&lt;110),0.15,0)+IF(AND(V972&gt;=75,V972&lt;175,W972&gt;=110),0.12,0)+IF(AND(V972&gt;=175,W972&lt;55),0.2,0)+IF(AND(V972&gt;=175,W972&gt;=55,W972&lt;95),0.15,0)+IF(AND(V972&gt;=175,W972&gt;=95),0.12,0),
IF(AF972="DoEVku",IF(AND(V972&lt;20,W972&lt;55),0.23,0)+IF(AND(V972&lt;20,W972&gt;=55,W972&lt;105),0.2,0)+IF(AND(V972&lt;20,W972&gt;=105),0.17,0)+IF(AND(V972&gt;=20,V972&lt;40,W972&lt;45),0.23,0)+IF(AND(V972&gt;=20,V972&lt;40,W972&gt;=45,W972&lt;95),0.2,0)+IF(AND(V972&gt;=20,V972&lt;40,W972&gt;=95,W972&lt;=150),0.17,0)+IF(AND(V972&gt;=20,V972&lt;40,W972&gt;=150),0.12,0)+IF(AND(V972&gt;=40,V972&lt;75,W972&lt;35),0.23,0)+IF(AND(V972&gt;=40,V972&lt;75,W972&gt;=35,W972&lt;75),0.2,0)+IF(AND(V972&gt;=40,V972&lt;75,W972&gt;=75,W972&lt;120),0.17,0)+IF(AND(V972&gt;=40,V972&lt;75,W972&gt;=120),0.12,0)+IF(AND(V972&gt;=75,V972&lt;175,W972&lt;35),0.23,0)+IF(AND(V972&gt;=75,V972&lt;=175,W972&gt;=35,W972&lt;65),0.2,0)+IF(AND(V972&gt;=75,V972&lt;=175,W972&gt;=65,W972&lt;110),0.17,0)+IF(AND(V972&gt;=75,V972&lt;=175,W972&gt;=110),0.12,0)+IF(AND(V972&gt;175,W972&lt;25),0.23,0)+IF(AND(V972&gt;175,W972&gt;=25,W972&lt;55),0.2,0)+IF(AND(V972&gt;175,W972&gt;=55,W972&lt;95),0.17,0)+IF(AND(V972&gt;175,W972&gt;=95),0.12,0),
IF(AF972="DoEVs1",IF(AND(V972&lt;20,W972&lt;55),0.3,0)+IF(AND(V972&lt;20,W972&gt;=55,W972&lt;105),0.23,0)+IF(AND(V972&lt;20,W972&gt;=105),0.17,0)+IF(AND(V972&gt;=20,V972&lt;40,W972&lt;45),0.3,0)+IF(AND(V972&gt;=20,V972&lt;40,W972&gt;=45,W972&lt;95),0.23,0)+IF(AND(V972&gt;=20,V972&lt;40,W972&gt;=95,W972&lt;=150),0.17,0)+IF(AND(V972&gt;=20,V972&lt;40,W972&gt;=150),0.12,0)+IF(AND(V972&gt;=40,V972&lt;75,W972&lt;35),0.3,0)+IF(AND(V972&gt;=40,V972&lt;75,W972&gt;=35,W972&lt;75),0.23,0)+IF(AND(V972&gt;=40,V972&lt;75,W972&gt;=75,W972&lt;120),0.17,0)+IF(AND(V972&gt;=40,V972&lt;75,W972&gt;=120),0.12,0)+IF(AND(V972&gt;=75,V972&lt;175,W972&lt;35),0.3,0)+IF(AND(V972&gt;=75,V972&lt;=175,W972&gt;=35,W972&lt;65),0.23,0)+IF(AND(V972&gt;=75,V972&lt;=175,W972&gt;=65,W972&lt;110),0.17,0)+IF(AND(V972&gt;=75,V972&lt;=175,W972&gt;=110),0.12,0)+IF(AND(V972&gt;175,W972&lt;25),0.3,0)+IF(AND(V972&gt;175,W972&gt;=25,W972&lt;55),0.23,0)+IF(AND(V972&gt;175,W972&gt;=55,W972&lt;95),0.17,0)+IF(AND(V972&gt;175,W972&gt;=95),0.12,0),
IF(AF972="DoEVsu",IF(AND(V972&lt;20,W972&lt;55),0.3,0)+IF(AND(V972&lt;20,W972&gt;=55,W972&lt;105),0.23,0)+IF(AND(V972&lt;20,W972&gt;=105),0.17,0)+IF(AND(V972&gt;=20,V972&lt;40,W972&lt;45),0.3,0)+IF(AND(V972&gt;=20,V972&lt;40,W972&gt;=45,W972&lt;95),0.23,0)+IF(AND(V972&gt;=20,V972&lt;40,W972&gt;=95,W972&lt;=250),0.17,0)+IF(AND(V972&gt;=20,V972&lt;40,W972&gt;=250),0.12,0)+IF(AND(V972&gt;=40,V972&lt;75,W972&lt;35),0.3,0)+IF(AND(V972&gt;=40,V972&lt;75,W972&gt;=35,W972&lt;75),0.23,0)+IF(AND(V972&gt;=40,V972&lt;75,W972&gt;=75,W972&lt;120),0.17,0)+IF(AND(V972&gt;=40,V972&lt;75,W972&gt;=120),0.12,0)+IF(AND(V972&gt;=75,V972&lt;175,W972&lt;35),0.3,0)+IF(AND(V972&gt;=75,V972&lt;=175,W972&gt;=35,W972&lt;65),0.23,0)+IF(AND(V972&gt;=75,V972&lt;=175,W972&gt;=65,W972&lt;110),0.17,0)+IF(AND(V972&gt;=75,V972&lt;=175,W972&gt;=110),0.12,0)+IF(AND(V972&gt;175,W972&lt;25),0.3,0)+IF(AND(V972&gt;175,W972&gt;=25,W972&lt;55),0.23,0)+IF(AND(V972&gt;175,W972&gt;=55,W972&lt;95),0.17,0)+IF(AND(V972&gt;175,W972&gt;=95),0.12,0),
IF(AF972="DoEVni",IF(AND(V972&lt;20,W972&lt;55),0.3,0)+IF(AND(V972&lt;20,W972&gt;=55,W972&lt;105),0.23,0)+IF(AND(V972&lt;20,W972&gt;=105),0.17,0)+IF(AND(V972&gt;=20,V972&lt;40,W972&lt;45),0.3,0)+IF(AND(V972&gt;=20,V972&lt;40,W972&gt;=45,W972&lt;95),0.23,0)+IF(AND(V972&gt;=20,V972&lt;40,W972&gt;=95,W972&lt;=200),0.17,0)+IF(AND(V972&gt;=20,V972&lt;40,W972&gt;=200),0.12,0)+IF(AND(V972&gt;=40,V972&lt;75,W972&lt;35),0.3,0)+IF(AND(V972&gt;=40,V972&lt;75,W972&gt;=35,W972&lt;75),0.23,0)+IF(AND(V972&gt;=40,V972&lt;75,W972&gt;=75,W972&lt;120),0.17,0)+IF(AND(V972&gt;=40,V972&lt;75,W972&gt;=120),0.12,0)+IF(AND(V972&gt;=75,V972&lt;175,W972&lt;35),0.3,0)+IF(AND(V972&gt;=75,V972&lt;=175,W972&gt;=35,W972&lt;65),0.23,0)+IF(AND(V972&gt;=75,V972&lt;=175,W972&gt;=65,W972&lt;110),0.17,0)+IF(AND(V972&gt;=75,V972&lt;=175,W972&gt;=110),0.12,0)+IF(AND(V972&gt;175,W972&lt;25),0.3,0)+IF(AND(V972&gt;175,W972&gt;=25,W972&lt;55),0.23,0)+IF(AND(V972&gt;175,W972&gt;=55,W972&lt;95),0.17,0)+IF(AND(V972&gt;175,W972&gt;=95),0.12,0),
IF(AF972="DoEVLo",IF(AND(V972&lt;20,W972&lt;55),0.25,0)+IF(AND(V972&lt;20,W972&gt;=55,W972&lt;105),0.2,0)+IF(AND(V972&lt;20,W972&gt;=105),0.15,0)+IF(AND(V972&gt;=20,V972&lt;40,W972&lt;45),0.25,0)+IF(AND(V972&gt;=20,V972&lt;40,W972&gt;=45,W972&lt;95),0.2,0)+IF(AND(V972&gt;=20,V972&lt;40,W972&gt;=95),0.15,0)+IF(AND(V972&gt;=40,V972&lt;75,W972&lt;35),0.25,0)+IF(AND(V972&gt;=40,V972&lt;75,W972&gt;=35,W972&lt;75),0.2,0)+IF(AND(V972&gt;=40,V972&lt;75,W972&gt;=75,W972&lt;120),0.15,0)+IF(AND(V972&gt;=40,V972&lt;75,W972&gt;=120),0.1,0)+IF(AND(V972&gt;=75,V972&lt;175,W972&lt;35),0.25,0)+IF(AND(V972&gt;=75,V972&lt;=175,W972&gt;=35,W972&lt;65),0.2,0)+IF(AND(V972&gt;=75,V972&lt;=175,W972&gt;=65,W972&lt;110),0.15,0)+IF(AND(V972&gt;=75,V972&lt;=175,W972&gt;=110),0.1,0)+IF(AND(V972&gt;175,W972&lt;25),0.25,0)+IF(AND(V972&gt;175,W972&gt;=25,W972&lt;55),0.2,0)+IF(AND(V972&gt;175,W972&gt;=55,W972&lt;95),0.15,0)+IF(AND(V972&gt;175,W972&gt;=95),0.1,0))))))))))))))))))</f>
        <v>0.09</v>
      </c>
      <c r="Y972" s="30">
        <f>IF(AG972="None",0,IF(AG972="Fix5",0.05, IF(AG972="Fix6.25",0.0625,IF(AG972="Fix3.75",0.0375,IF(AG972="Fix10",0.1,IF(AG972="Fix3",0.03,0))))))</f>
        <v>0.03</v>
      </c>
      <c r="Z972" s="35">
        <f>T972-AA972-AB972</f>
        <v>1148.3999999999999</v>
      </c>
      <c r="AA972" s="29">
        <f>IF(AD972="EUR",((T972-R972)*X972)*U972+(R972*X972),(T972*X972))</f>
        <v>117.44999999999999</v>
      </c>
      <c r="AB972" s="36">
        <f>IF(AD972="EUR",((T972-R972)*Y972)*U972+(R972*Y972),(T972*Y972))</f>
        <v>39.15</v>
      </c>
      <c r="AC972" s="37" t="b">
        <v>1</v>
      </c>
      <c r="AD972" s="37" t="s">
        <v>38</v>
      </c>
      <c r="AE972" s="37" t="s">
        <v>38</v>
      </c>
      <c r="AF972" s="38" t="str">
        <f t="array" ref="AF972">INDEX('Deal Info'!D:D, MATCH(A972,'Deal Info'!A:A, 0))</f>
        <v>Fix9</v>
      </c>
      <c r="AG972" s="38" t="str">
        <f t="array" ref="AG972">INDEX('Deal Info'!G:G, MATCH(A972,'Deal Info'!A:A, 0))</f>
        <v>Fix3</v>
      </c>
    </row>
    <row r="973" spans="1:33" ht="14.25" hidden="1" x14ac:dyDescent="0.2">
      <c r="A973" s="18" t="str">
        <f t="array" ref="A973">IF(G973='Room Info'!$B$1, INDEX('Room Info'!$A$2:$A2446, MATCH(B973,'Room Info'!$B$2:$B2446, 0)),IF(G973='Room Info'!$C$1, INDEX('Room Info'!$A$2:$A2446, MATCH(B973,'Room Info'!$C$2:$C2446, 0)),IF(G973='Room Info'!$D$1, INDEX('Room Info'!$A$2:$A2446, MATCH(B973,'Room Info'!$D$2:$D2446, 0)),IF(G973='Room Info'!$E$1, INDEX('Room Info'!$A$2:$A2446, MATCH(B973,'Room Info'!$E$2:$E2446, 0)),IF(G973='Room Info'!$F$1, INDEX('Room Info'!$A$2:$A2446, MATCH(B973,'Room Info'!$F$2:$F2446, 0)),IF(G973='Room Info'!$H$1, INDEX('Room Info'!$A$2:$A2446, MATCH(B973,'Room Info'!$H$2:$H2446, 0)),IF(G973='Room Info'!$G$1, INDEX('Room Info'!$A$2:$A2446, MATCH(B973,'Room Info'!$G$2:$G2446, 0)))))))))</f>
        <v>Mandr1990</v>
      </c>
      <c r="B973" s="45" t="s">
        <v>187</v>
      </c>
      <c r="C973" s="77">
        <v>44916</v>
      </c>
      <c r="D973" s="77">
        <v>44946</v>
      </c>
      <c r="E973" s="47">
        <v>44927</v>
      </c>
      <c r="F973" s="48" t="s">
        <v>34</v>
      </c>
      <c r="G973" s="45" t="s">
        <v>80</v>
      </c>
      <c r="H973" s="49" t="s">
        <v>70</v>
      </c>
      <c r="I973" s="49" t="s">
        <v>81</v>
      </c>
      <c r="J973" s="74">
        <v>100</v>
      </c>
      <c r="K973" s="75">
        <v>9</v>
      </c>
      <c r="L973" s="72">
        <v>900</v>
      </c>
      <c r="M973" s="76">
        <v>59</v>
      </c>
      <c r="N973" s="28">
        <f>K973*J973</f>
        <v>900</v>
      </c>
      <c r="O973" s="45">
        <v>567</v>
      </c>
      <c r="P973" s="29">
        <v>63</v>
      </c>
      <c r="Q973" s="55"/>
      <c r="R973" s="31">
        <f>M973+Q973</f>
        <v>59</v>
      </c>
      <c r="S973" s="73">
        <v>99</v>
      </c>
      <c r="T973" s="32">
        <f>R973+S973+IF(F973="Without EV deal",L973,0)</f>
        <v>158</v>
      </c>
      <c r="U973" s="57">
        <v>1</v>
      </c>
      <c r="V973" s="58"/>
      <c r="W973" s="58"/>
      <c r="X973" s="30">
        <f>IF(AF973="DoEV",IF(AND(V973&lt;20,W973&lt;55),0.3,0)+IF(AND(V973&lt;20,W973&gt;=55,W973&lt;105),0.23,0)+IF(AND(V973&lt;20,W973&gt;=105),0.17,0)+IF(AND(V973&gt;=20,V973&lt;40,W973&lt;45),0.3,0)+IF(AND(V973&gt;=20,V973&lt;40,W973&gt;=45,W973&lt;95),0.23,0)+IF(AND(V973&gt;=20,V973&lt;40,W973&gt;=95),0.17,0)+IF(AND(V973&gt;=40,V973&lt;75,W973&lt;35),0.3,0)+IF(AND(V973&gt;=40,V973&lt;75,W973&gt;=35,W973&lt;75),0.23,0)+IF(AND(V973&gt;=40,V973&lt;75,W973&gt;=75,W973&lt;120),0.17,0)+IF(AND(V973&gt;=40,V973&lt;75,W973&gt;=120),0.12,0)+IF(AND(V973&gt;=75,V973&lt;175,W973&lt;35),0.3,0)+IF(AND(V973&gt;=75,V973&lt;=175,W973&gt;=35,W973&lt;65),0.23,0)+IF(AND(V973&gt;=75,V973&lt;=175,W973&gt;=65,W973&lt;110),0.17,0)+IF(AND(V973&gt;=75,V973&lt;=175,W973&gt;=110),0.12,0)+IF(AND(V973&gt;175,W973&lt;25),0.3,0)+IF(AND(V973&gt;175,W973&gt;=25,W973&lt;55),0.23,0)+IF(AND(V973&gt;175,W973&gt;=55,W973&lt;95),0.17,0)+IF(AND(V973&gt;175,W973&gt;=95),0.12,0),
IF(AF973="Fix15",0.15,
IF(AF973="Fix18.75",0.1875,
IF(AF973="Fix11.25",0.1125,
IF(AF973="Fix10",0.1,
IF(AF973="Fix9",0.09,
IF(AF973="Fix19",0.19,
IF(AF973="DoEV2017",IF(AND(W973&lt;74),0.2,0)+IF(AND(W973&gt;=74),0.17,0),
IF(AF973="SF",IF(AND(V973&lt;20,W973&lt;89),0.3,0)+IF(AND(V973&lt;20,W973&gt;=89),0.25,0)+IF(AND(V973&gt;=20,V973&lt;40,W973&lt;74),0.3,0)+IF(AND(V973&gt;=20,V973&lt;40,W973&gt;=75),0.22,0)+IF(AND(V973&gt;=40,V973&lt;75,W973&lt;75),0.26,0)+IF(AND(V973&gt;=40,V973&lt;75,W973&gt;=75),0.22,0)+IF(V973&gt;=75,0.22,0),
IF(AF973="DoEVold",IF(AND(V973&lt;40,W973&lt;35),0.35,0)+IF(AND(V973&lt;40,W973&gt;=35,W973&lt;75),0.25,0)+IF(AND(V973&lt;40,W973&gt;=75),0.17,0)+IF(AND(V973&gt;=40,V973&lt;75,W973&lt;25),0.35,0)+IF(AND(V973&gt;=40,V973&lt;75,W973&gt;=25,W973&lt;65),0.25,0)+IF(AND(V973&gt;=40,V973&lt;75,W973&gt;=65,W973&lt;100),0.17,0)+IF(AND(V973&gt;=40,V973&lt;75,W973&gt;=100),0.1,0)+IF(AND(V973&gt;=75,W973&lt;25),0.35,0)+IF(AND(V973&gt;=75,W973&gt;=25,W973&lt;60),0.25,0)+IF(AND(V973&gt;=75,W973&gt;=60,W973&lt;95),0.17,0)+IF(AND(V973&gt;=75,W973&gt;=95),0.1,0),
IF(AF973="DoEVold15",IF(AND(V973&lt;=40,W973&lt;35),0.35,0)+IF(AND(V973&lt;=40,W973&gt;=35,W973&lt;75),0.25,0)+IF(AND(V973&lt;=40,W973&gt;=75,W973&lt;120),0.17,0)+IF(AND(V973&lt;=40,W973&gt;=120),0.15,0)+IF(AND(V973&gt;40,V973&lt;75,W973&lt;25),0.35,0)+IF(AND(V973&gt;=40,V973&lt;75,W973&gt;=25,W973&lt;65),0.25,0)+IF(AND(V973&gt;=40,V973&lt;75,W973&gt;=65,W973&lt;100),0.17,0)+IF(AND(V973&gt;=40,V973&lt;75,W973&gt;=100),0.1,0)+IF(AND(V973&gt;=75,W973&lt;25),0.35,0)+IF(AND(V973&gt;=75,W973&gt;=25,W973&lt;60),0.25,0)+IF(AND(V973&gt;=75,W973&gt;=60,W973&lt;95),0.17,0)+IF(AND(V973&gt;=75,W973&gt;=95),0.1,0),
IF(AF973="DoEVba",IF(AND(V973&lt;20,W973&lt;105),0.2,0)+IF(AND(V973&lt;20,W973&gt;=105),0.15,0)+IF(AND(V973&gt;=20,V973&lt;40,W973&lt;95),0.2,0)+IF(AND(V973&gt;=20,V973&lt;40,W973&gt;=95,W973&lt;150),0.15,0)+IF(AND(V973&gt;=20,V973&lt;40,W973&gt;=150),0.12,0)+IF(AND(V973&gt;=40,V973&lt;75,W973&lt;75),0.2,0)+IF(AND(V973&gt;=40,V973&lt;75,W973&gt;=75,W973&lt;120),0.15,0)+IF(AND(V973&gt;=40,V973&lt;75,W973&gt;=120),0.12,0)+IF(AND(V973&gt;=75,V973&lt;175,W973&lt;65),0.2,0)+IF(AND(V973&gt;=75,V973&lt;175,W973&gt;=65,W973&lt;110),0.15,0)+IF(AND(V973&gt;=75,V973&lt;175,W973&gt;=110),0.12,0)+IF(AND(V973&gt;=175,W973&lt;55),0.2,0)+IF(AND(V973&gt;=175,W973&gt;=55,W973&lt;95),0.15,0)+IF(AND(V973&gt;=175,W973&gt;=95),0.12,0),
IF(AF973="DoEVku",IF(AND(V973&lt;20,W973&lt;55),0.23,0)+IF(AND(V973&lt;20,W973&gt;=55,W973&lt;105),0.2,0)+IF(AND(V973&lt;20,W973&gt;=105),0.17,0)+IF(AND(V973&gt;=20,V973&lt;40,W973&lt;45),0.23,0)+IF(AND(V973&gt;=20,V973&lt;40,W973&gt;=45,W973&lt;95),0.2,0)+IF(AND(V973&gt;=20,V973&lt;40,W973&gt;=95,W973&lt;=150),0.17,0)+IF(AND(V973&gt;=20,V973&lt;40,W973&gt;=150),0.12,0)+IF(AND(V973&gt;=40,V973&lt;75,W973&lt;35),0.23,0)+IF(AND(V973&gt;=40,V973&lt;75,W973&gt;=35,W973&lt;75),0.2,0)+IF(AND(V973&gt;=40,V973&lt;75,W973&gt;=75,W973&lt;120),0.17,0)+IF(AND(V973&gt;=40,V973&lt;75,W973&gt;=120),0.12,0)+IF(AND(V973&gt;=75,V973&lt;175,W973&lt;35),0.23,0)+IF(AND(V973&gt;=75,V973&lt;=175,W973&gt;=35,W973&lt;65),0.2,0)+IF(AND(V973&gt;=75,V973&lt;=175,W973&gt;=65,W973&lt;110),0.17,0)+IF(AND(V973&gt;=75,V973&lt;=175,W973&gt;=110),0.12,0)+IF(AND(V973&gt;175,W973&lt;25),0.23,0)+IF(AND(V973&gt;175,W973&gt;=25,W973&lt;55),0.2,0)+IF(AND(V973&gt;175,W973&gt;=55,W973&lt;95),0.17,0)+IF(AND(V973&gt;175,W973&gt;=95),0.12,0),
IF(AF973="DoEVs1",IF(AND(V973&lt;20,W973&lt;55),0.3,0)+IF(AND(V973&lt;20,W973&gt;=55,W973&lt;105),0.23,0)+IF(AND(V973&lt;20,W973&gt;=105),0.17,0)+IF(AND(V973&gt;=20,V973&lt;40,W973&lt;45),0.3,0)+IF(AND(V973&gt;=20,V973&lt;40,W973&gt;=45,W973&lt;95),0.23,0)+IF(AND(V973&gt;=20,V973&lt;40,W973&gt;=95,W973&lt;=150),0.17,0)+IF(AND(V973&gt;=20,V973&lt;40,W973&gt;=150),0.12,0)+IF(AND(V973&gt;=40,V973&lt;75,W973&lt;35),0.3,0)+IF(AND(V973&gt;=40,V973&lt;75,W973&gt;=35,W973&lt;75),0.23,0)+IF(AND(V973&gt;=40,V973&lt;75,W973&gt;=75,W973&lt;120),0.17,0)+IF(AND(V973&gt;=40,V973&lt;75,W973&gt;=120),0.12,0)+IF(AND(V973&gt;=75,V973&lt;175,W973&lt;35),0.3,0)+IF(AND(V973&gt;=75,V973&lt;=175,W973&gt;=35,W973&lt;65),0.23,0)+IF(AND(V973&gt;=75,V973&lt;=175,W973&gt;=65,W973&lt;110),0.17,0)+IF(AND(V973&gt;=75,V973&lt;=175,W973&gt;=110),0.12,0)+IF(AND(V973&gt;175,W973&lt;25),0.3,0)+IF(AND(V973&gt;175,W973&gt;=25,W973&lt;55),0.23,0)+IF(AND(V973&gt;175,W973&gt;=55,W973&lt;95),0.17,0)+IF(AND(V973&gt;175,W973&gt;=95),0.12,0),
IF(AF973="DoEVsu",IF(AND(V973&lt;20,W973&lt;55),0.3,0)+IF(AND(V973&lt;20,W973&gt;=55,W973&lt;105),0.23,0)+IF(AND(V973&lt;20,W973&gt;=105),0.17,0)+IF(AND(V973&gt;=20,V973&lt;40,W973&lt;45),0.3,0)+IF(AND(V973&gt;=20,V973&lt;40,W973&gt;=45,W973&lt;95),0.23,0)+IF(AND(V973&gt;=20,V973&lt;40,W973&gt;=95,W973&lt;=250),0.17,0)+IF(AND(V973&gt;=20,V973&lt;40,W973&gt;=250),0.12,0)+IF(AND(V973&gt;=40,V973&lt;75,W973&lt;35),0.3,0)+IF(AND(V973&gt;=40,V973&lt;75,W973&gt;=35,W973&lt;75),0.23,0)+IF(AND(V973&gt;=40,V973&lt;75,W973&gt;=75,W973&lt;120),0.17,0)+IF(AND(V973&gt;=40,V973&lt;75,W973&gt;=120),0.12,0)+IF(AND(V973&gt;=75,V973&lt;175,W973&lt;35),0.3,0)+IF(AND(V973&gt;=75,V973&lt;=175,W973&gt;=35,W973&lt;65),0.23,0)+IF(AND(V973&gt;=75,V973&lt;=175,W973&gt;=65,W973&lt;110),0.17,0)+IF(AND(V973&gt;=75,V973&lt;=175,W973&gt;=110),0.12,0)+IF(AND(V973&gt;175,W973&lt;25),0.3,0)+IF(AND(V973&gt;175,W973&gt;=25,W973&lt;55),0.23,0)+IF(AND(V973&gt;175,W973&gt;=55,W973&lt;95),0.17,0)+IF(AND(V973&gt;175,W973&gt;=95),0.12,0),
IF(AF973="DoEVni",IF(AND(V973&lt;20,W973&lt;55),0.3,0)+IF(AND(V973&lt;20,W973&gt;=55,W973&lt;105),0.23,0)+IF(AND(V973&lt;20,W973&gt;=105),0.17,0)+IF(AND(V973&gt;=20,V973&lt;40,W973&lt;45),0.3,0)+IF(AND(V973&gt;=20,V973&lt;40,W973&gt;=45,W973&lt;95),0.23,0)+IF(AND(V973&gt;=20,V973&lt;40,W973&gt;=95,W973&lt;=200),0.17,0)+IF(AND(V973&gt;=20,V973&lt;40,W973&gt;=200),0.12,0)+IF(AND(V973&gt;=40,V973&lt;75,W973&lt;35),0.3,0)+IF(AND(V973&gt;=40,V973&lt;75,W973&gt;=35,W973&lt;75),0.23,0)+IF(AND(V973&gt;=40,V973&lt;75,W973&gt;=75,W973&lt;120),0.17,0)+IF(AND(V973&gt;=40,V973&lt;75,W973&gt;=120),0.12,0)+IF(AND(V973&gt;=75,V973&lt;175,W973&lt;35),0.3,0)+IF(AND(V973&gt;=75,V973&lt;=175,W973&gt;=35,W973&lt;65),0.23,0)+IF(AND(V973&gt;=75,V973&lt;=175,W973&gt;=65,W973&lt;110),0.17,0)+IF(AND(V973&gt;=75,V973&lt;=175,W973&gt;=110),0.12,0)+IF(AND(V973&gt;175,W973&lt;25),0.3,0)+IF(AND(V973&gt;175,W973&gt;=25,W973&lt;55),0.23,0)+IF(AND(V973&gt;175,W973&gt;=55,W973&lt;95),0.17,0)+IF(AND(V973&gt;175,W973&gt;=95),0.12,0),
IF(AF973="DoEVLo",IF(AND(V973&lt;20,W973&lt;55),0.25,0)+IF(AND(V973&lt;20,W973&gt;=55,W973&lt;105),0.2,0)+IF(AND(V973&lt;20,W973&gt;=105),0.15,0)+IF(AND(V973&gt;=20,V973&lt;40,W973&lt;45),0.25,0)+IF(AND(V973&gt;=20,V973&lt;40,W973&gt;=45,W973&lt;95),0.2,0)+IF(AND(V973&gt;=20,V973&lt;40,W973&gt;=95),0.15,0)+IF(AND(V973&gt;=40,V973&lt;75,W973&lt;35),0.25,0)+IF(AND(V973&gt;=40,V973&lt;75,W973&gt;=35,W973&lt;75),0.2,0)+IF(AND(V973&gt;=40,V973&lt;75,W973&gt;=75,W973&lt;120),0.15,0)+IF(AND(V973&gt;=40,V973&lt;75,W973&gt;=120),0.1,0)+IF(AND(V973&gt;=75,V973&lt;175,W973&lt;35),0.25,0)+IF(AND(V973&gt;=75,V973&lt;=175,W973&gt;=35,W973&lt;65),0.2,0)+IF(AND(V973&gt;=75,V973&lt;=175,W973&gt;=65,W973&lt;110),0.15,0)+IF(AND(V973&gt;=75,V973&lt;=175,W973&gt;=110),0.1,0)+IF(AND(V973&gt;175,W973&lt;25),0.25,0)+IF(AND(V973&gt;175,W973&gt;=25,W973&lt;55),0.2,0)+IF(AND(V973&gt;175,W973&gt;=55,W973&lt;95),0.15,0)+IF(AND(V973&gt;175,W973&gt;=95),0.1,0))))))))))))))))))</f>
        <v>0.09</v>
      </c>
      <c r="Y973" s="30">
        <f>IF(AG973="None",0,IF(AG973="Fix5",0.05, IF(AG973="Fix6.25",0.0625,IF(AG973="Fix3.75",0.0375,IF(AG973="Fix10",0.1,IF(AG973="Fix3",0.03,0))))))</f>
        <v>0.03</v>
      </c>
      <c r="Z973" s="35">
        <f>T973-AA973-AB973</f>
        <v>139.04</v>
      </c>
      <c r="AA973" s="29">
        <f>IF(AD973="EUR",((T973-R973)*X973)*U973+(R973*X973),(T973*X973))</f>
        <v>14.219999999999999</v>
      </c>
      <c r="AB973" s="36">
        <f>IF(AD973="EUR",((T973-R973)*Y973)*U973+(R973*Y973),(T973*Y973))</f>
        <v>4.74</v>
      </c>
      <c r="AC973" s="37" t="b">
        <v>1</v>
      </c>
      <c r="AD973" s="37" t="s">
        <v>38</v>
      </c>
      <c r="AE973" s="37" t="s">
        <v>38</v>
      </c>
      <c r="AF973" s="38" t="str">
        <f t="array" ref="AF973">INDEX('Deal Info'!D:D, MATCH(A973,'Deal Info'!A:A, 0))</f>
        <v>Fix9</v>
      </c>
      <c r="AG973" s="38" t="str">
        <f t="array" ref="AG973">INDEX('Deal Info'!G:G, MATCH(A973,'Deal Info'!A:A, 0))</f>
        <v>Fix3</v>
      </c>
    </row>
    <row r="974" spans="1:33" ht="14.25" hidden="1" x14ac:dyDescent="0.2">
      <c r="A974" s="18" t="str">
        <f t="array" ref="A974">IF(G974='Room Info'!$B$1, INDEX('Room Info'!$A$2:$A2446, MATCH(B974,'Room Info'!$B$2:$B2446, 0)),IF(G974='Room Info'!$C$1, INDEX('Room Info'!$A$2:$A2446, MATCH(B974,'Room Info'!$C$2:$C2446, 0)),IF(G974='Room Info'!$D$1, INDEX('Room Info'!$A$2:$A2446, MATCH(B974,'Room Info'!$D$2:$D2446, 0)),IF(G974='Room Info'!$E$1, INDEX('Room Info'!$A$2:$A2446, MATCH(B974,'Room Info'!$E$2:$E2446, 0)),IF(G974='Room Info'!$F$1, INDEX('Room Info'!$A$2:$A2446, MATCH(B974,'Room Info'!$F$2:$F2446, 0)),IF(G974='Room Info'!$H$1, INDEX('Room Info'!$A$2:$A2446, MATCH(B974,'Room Info'!$H$2:$H2446, 0)),IF(G974='Room Info'!$G$1, INDEX('Room Info'!$A$2:$A2446, MATCH(B974,'Room Info'!$G$2:$G2446, 0)))))))))</f>
        <v>Mandr1990</v>
      </c>
      <c r="B974" s="45" t="s">
        <v>187</v>
      </c>
      <c r="C974" s="46">
        <v>44916</v>
      </c>
      <c r="D974" s="46">
        <v>44946</v>
      </c>
      <c r="E974" s="47">
        <v>44927</v>
      </c>
      <c r="F974" s="48" t="s">
        <v>34</v>
      </c>
      <c r="G974" s="45" t="s">
        <v>80</v>
      </c>
      <c r="H974" s="49" t="s">
        <v>153</v>
      </c>
      <c r="I974" s="49" t="s">
        <v>81</v>
      </c>
      <c r="J974" s="50">
        <v>200</v>
      </c>
      <c r="K974" s="51">
        <v>7154</v>
      </c>
      <c r="L974" s="52">
        <v>-88600</v>
      </c>
      <c r="M974" s="53">
        <v>93462</v>
      </c>
      <c r="N974" s="28">
        <f>K974*J974</f>
        <v>1430800</v>
      </c>
      <c r="O974" s="54">
        <v>48299</v>
      </c>
      <c r="P974" s="29">
        <v>6.7513279280000003</v>
      </c>
      <c r="Q974" s="55"/>
      <c r="R974" s="31">
        <f>M974+Q974</f>
        <v>93462</v>
      </c>
      <c r="S974" s="56">
        <v>-74380</v>
      </c>
      <c r="T974" s="32">
        <f>R974+S974+IF(F974="Without EV deal",L974,0)</f>
        <v>19082</v>
      </c>
      <c r="U974" s="57">
        <v>1</v>
      </c>
      <c r="V974" s="58"/>
      <c r="W974" s="58"/>
      <c r="X974" s="30">
        <f>IF(AF974="DoEV",IF(AND(V974&lt;20,W974&lt;55),0.3,0)+IF(AND(V974&lt;20,W974&gt;=55,W974&lt;105),0.23,0)+IF(AND(V974&lt;20,W974&gt;=105),0.17,0)+IF(AND(V974&gt;=20,V974&lt;40,W974&lt;45),0.3,0)+IF(AND(V974&gt;=20,V974&lt;40,W974&gt;=45,W974&lt;95),0.23,0)+IF(AND(V974&gt;=20,V974&lt;40,W974&gt;=95),0.17,0)+IF(AND(V974&gt;=40,V974&lt;75,W974&lt;35),0.3,0)+IF(AND(V974&gt;=40,V974&lt;75,W974&gt;=35,W974&lt;75),0.23,0)+IF(AND(V974&gt;=40,V974&lt;75,W974&gt;=75,W974&lt;120),0.17,0)+IF(AND(V974&gt;=40,V974&lt;75,W974&gt;=120),0.12,0)+IF(AND(V974&gt;=75,V974&lt;175,W974&lt;35),0.3,0)+IF(AND(V974&gt;=75,V974&lt;=175,W974&gt;=35,W974&lt;65),0.23,0)+IF(AND(V974&gt;=75,V974&lt;=175,W974&gt;=65,W974&lt;110),0.17,0)+IF(AND(V974&gt;=75,V974&lt;=175,W974&gt;=110),0.12,0)+IF(AND(V974&gt;175,W974&lt;25),0.3,0)+IF(AND(V974&gt;175,W974&gt;=25,W974&lt;55),0.23,0)+IF(AND(V974&gt;175,W974&gt;=55,W974&lt;95),0.17,0)+IF(AND(V974&gt;175,W974&gt;=95),0.12,0),
IF(AF974="Fix15",0.15,
IF(AF974="Fix18.75",0.1875,
IF(AF974="Fix11.25",0.1125,
IF(AF974="Fix10",0.1,
IF(AF974="Fix9",0.09,
IF(AF974="Fix19",0.19,
IF(AF974="DoEV2017",IF(AND(W974&lt;74),0.2,0)+IF(AND(W974&gt;=74),0.17,0),
IF(AF974="SF",IF(AND(V974&lt;20,W974&lt;89),0.3,0)+IF(AND(V974&lt;20,W974&gt;=89),0.25,0)+IF(AND(V974&gt;=20,V974&lt;40,W974&lt;74),0.3,0)+IF(AND(V974&gt;=20,V974&lt;40,W974&gt;=75),0.22,0)+IF(AND(V974&gt;=40,V974&lt;75,W974&lt;75),0.26,0)+IF(AND(V974&gt;=40,V974&lt;75,W974&gt;=75),0.22,0)+IF(V974&gt;=75,0.22,0),
IF(AF974="DoEVold",IF(AND(V974&lt;40,W974&lt;35),0.35,0)+IF(AND(V974&lt;40,W974&gt;=35,W974&lt;75),0.25,0)+IF(AND(V974&lt;40,W974&gt;=75),0.17,0)+IF(AND(V974&gt;=40,V974&lt;75,W974&lt;25),0.35,0)+IF(AND(V974&gt;=40,V974&lt;75,W974&gt;=25,W974&lt;65),0.25,0)+IF(AND(V974&gt;=40,V974&lt;75,W974&gt;=65,W974&lt;100),0.17,0)+IF(AND(V974&gt;=40,V974&lt;75,W974&gt;=100),0.1,0)+IF(AND(V974&gt;=75,W974&lt;25),0.35,0)+IF(AND(V974&gt;=75,W974&gt;=25,W974&lt;60),0.25,0)+IF(AND(V974&gt;=75,W974&gt;=60,W974&lt;95),0.17,0)+IF(AND(V974&gt;=75,W974&gt;=95),0.1,0),
IF(AF974="DoEVold15",IF(AND(V974&lt;=40,W974&lt;35),0.35,0)+IF(AND(V974&lt;=40,W974&gt;=35,W974&lt;75),0.25,0)+IF(AND(V974&lt;=40,W974&gt;=75,W974&lt;120),0.17,0)+IF(AND(V974&lt;=40,W974&gt;=120),0.15,0)+IF(AND(V974&gt;40,V974&lt;75,W974&lt;25),0.35,0)+IF(AND(V974&gt;=40,V974&lt;75,W974&gt;=25,W974&lt;65),0.25,0)+IF(AND(V974&gt;=40,V974&lt;75,W974&gt;=65,W974&lt;100),0.17,0)+IF(AND(V974&gt;=40,V974&lt;75,W974&gt;=100),0.1,0)+IF(AND(V974&gt;=75,W974&lt;25),0.35,0)+IF(AND(V974&gt;=75,W974&gt;=25,W974&lt;60),0.25,0)+IF(AND(V974&gt;=75,W974&gt;=60,W974&lt;95),0.17,0)+IF(AND(V974&gt;=75,W974&gt;=95),0.1,0),
IF(AF974="DoEVba",IF(AND(V974&lt;20,W974&lt;105),0.2,0)+IF(AND(V974&lt;20,W974&gt;=105),0.15,0)+IF(AND(V974&gt;=20,V974&lt;40,W974&lt;95),0.2,0)+IF(AND(V974&gt;=20,V974&lt;40,W974&gt;=95,W974&lt;150),0.15,0)+IF(AND(V974&gt;=20,V974&lt;40,W974&gt;=150),0.12,0)+IF(AND(V974&gt;=40,V974&lt;75,W974&lt;75),0.2,0)+IF(AND(V974&gt;=40,V974&lt;75,W974&gt;=75,W974&lt;120),0.15,0)+IF(AND(V974&gt;=40,V974&lt;75,W974&gt;=120),0.12,0)+IF(AND(V974&gt;=75,V974&lt;175,W974&lt;65),0.2,0)+IF(AND(V974&gt;=75,V974&lt;175,W974&gt;=65,W974&lt;110),0.15,0)+IF(AND(V974&gt;=75,V974&lt;175,W974&gt;=110),0.12,0)+IF(AND(V974&gt;=175,W974&lt;55),0.2,0)+IF(AND(V974&gt;=175,W974&gt;=55,W974&lt;95),0.15,0)+IF(AND(V974&gt;=175,W974&gt;=95),0.12,0),
IF(AF974="DoEVku",IF(AND(V974&lt;20,W974&lt;55),0.23,0)+IF(AND(V974&lt;20,W974&gt;=55,W974&lt;105),0.2,0)+IF(AND(V974&lt;20,W974&gt;=105),0.17,0)+IF(AND(V974&gt;=20,V974&lt;40,W974&lt;45),0.23,0)+IF(AND(V974&gt;=20,V974&lt;40,W974&gt;=45,W974&lt;95),0.2,0)+IF(AND(V974&gt;=20,V974&lt;40,W974&gt;=95,W974&lt;=150),0.17,0)+IF(AND(V974&gt;=20,V974&lt;40,W974&gt;=150),0.12,0)+IF(AND(V974&gt;=40,V974&lt;75,W974&lt;35),0.23,0)+IF(AND(V974&gt;=40,V974&lt;75,W974&gt;=35,W974&lt;75),0.2,0)+IF(AND(V974&gt;=40,V974&lt;75,W974&gt;=75,W974&lt;120),0.17,0)+IF(AND(V974&gt;=40,V974&lt;75,W974&gt;=120),0.12,0)+IF(AND(V974&gt;=75,V974&lt;175,W974&lt;35),0.23,0)+IF(AND(V974&gt;=75,V974&lt;=175,W974&gt;=35,W974&lt;65),0.2,0)+IF(AND(V974&gt;=75,V974&lt;=175,W974&gt;=65,W974&lt;110),0.17,0)+IF(AND(V974&gt;=75,V974&lt;=175,W974&gt;=110),0.12,0)+IF(AND(V974&gt;175,W974&lt;25),0.23,0)+IF(AND(V974&gt;175,W974&gt;=25,W974&lt;55),0.2,0)+IF(AND(V974&gt;175,W974&gt;=55,W974&lt;95),0.17,0)+IF(AND(V974&gt;175,W974&gt;=95),0.12,0),
IF(AF974="DoEVs1",IF(AND(V974&lt;20,W974&lt;55),0.3,0)+IF(AND(V974&lt;20,W974&gt;=55,W974&lt;105),0.23,0)+IF(AND(V974&lt;20,W974&gt;=105),0.17,0)+IF(AND(V974&gt;=20,V974&lt;40,W974&lt;45),0.3,0)+IF(AND(V974&gt;=20,V974&lt;40,W974&gt;=45,W974&lt;95),0.23,0)+IF(AND(V974&gt;=20,V974&lt;40,W974&gt;=95,W974&lt;=150),0.17,0)+IF(AND(V974&gt;=20,V974&lt;40,W974&gt;=150),0.12,0)+IF(AND(V974&gt;=40,V974&lt;75,W974&lt;35),0.3,0)+IF(AND(V974&gt;=40,V974&lt;75,W974&gt;=35,W974&lt;75),0.23,0)+IF(AND(V974&gt;=40,V974&lt;75,W974&gt;=75,W974&lt;120),0.17,0)+IF(AND(V974&gt;=40,V974&lt;75,W974&gt;=120),0.12,0)+IF(AND(V974&gt;=75,V974&lt;175,W974&lt;35),0.3,0)+IF(AND(V974&gt;=75,V974&lt;=175,W974&gt;=35,W974&lt;65),0.23,0)+IF(AND(V974&gt;=75,V974&lt;=175,W974&gt;=65,W974&lt;110),0.17,0)+IF(AND(V974&gt;=75,V974&lt;=175,W974&gt;=110),0.12,0)+IF(AND(V974&gt;175,W974&lt;25),0.3,0)+IF(AND(V974&gt;175,W974&gt;=25,W974&lt;55),0.23,0)+IF(AND(V974&gt;175,W974&gt;=55,W974&lt;95),0.17,0)+IF(AND(V974&gt;175,W974&gt;=95),0.12,0),
IF(AF974="DoEVsu",IF(AND(V974&lt;20,W974&lt;55),0.3,0)+IF(AND(V974&lt;20,W974&gt;=55,W974&lt;105),0.23,0)+IF(AND(V974&lt;20,W974&gt;=105),0.17,0)+IF(AND(V974&gt;=20,V974&lt;40,W974&lt;45),0.3,0)+IF(AND(V974&gt;=20,V974&lt;40,W974&gt;=45,W974&lt;95),0.23,0)+IF(AND(V974&gt;=20,V974&lt;40,W974&gt;=95,W974&lt;=250),0.17,0)+IF(AND(V974&gt;=20,V974&lt;40,W974&gt;=250),0.12,0)+IF(AND(V974&gt;=40,V974&lt;75,W974&lt;35),0.3,0)+IF(AND(V974&gt;=40,V974&lt;75,W974&gt;=35,W974&lt;75),0.23,0)+IF(AND(V974&gt;=40,V974&lt;75,W974&gt;=75,W974&lt;120),0.17,0)+IF(AND(V974&gt;=40,V974&lt;75,W974&gt;=120),0.12,0)+IF(AND(V974&gt;=75,V974&lt;175,W974&lt;35),0.3,0)+IF(AND(V974&gt;=75,V974&lt;=175,W974&gt;=35,W974&lt;65),0.23,0)+IF(AND(V974&gt;=75,V974&lt;=175,W974&gt;=65,W974&lt;110),0.17,0)+IF(AND(V974&gt;=75,V974&lt;=175,W974&gt;=110),0.12,0)+IF(AND(V974&gt;175,W974&lt;25),0.3,0)+IF(AND(V974&gt;175,W974&gt;=25,W974&lt;55),0.23,0)+IF(AND(V974&gt;175,W974&gt;=55,W974&lt;95),0.17,0)+IF(AND(V974&gt;175,W974&gt;=95),0.12,0),
IF(AF974="DoEVni",IF(AND(V974&lt;20,W974&lt;55),0.3,0)+IF(AND(V974&lt;20,W974&gt;=55,W974&lt;105),0.23,0)+IF(AND(V974&lt;20,W974&gt;=105),0.17,0)+IF(AND(V974&gt;=20,V974&lt;40,W974&lt;45),0.3,0)+IF(AND(V974&gt;=20,V974&lt;40,W974&gt;=45,W974&lt;95),0.23,0)+IF(AND(V974&gt;=20,V974&lt;40,W974&gt;=95,W974&lt;=200),0.17,0)+IF(AND(V974&gt;=20,V974&lt;40,W974&gt;=200),0.12,0)+IF(AND(V974&gt;=40,V974&lt;75,W974&lt;35),0.3,0)+IF(AND(V974&gt;=40,V974&lt;75,W974&gt;=35,W974&lt;75),0.23,0)+IF(AND(V974&gt;=40,V974&lt;75,W974&gt;=75,W974&lt;120),0.17,0)+IF(AND(V974&gt;=40,V974&lt;75,W974&gt;=120),0.12,0)+IF(AND(V974&gt;=75,V974&lt;175,W974&lt;35),0.3,0)+IF(AND(V974&gt;=75,V974&lt;=175,W974&gt;=35,W974&lt;65),0.23,0)+IF(AND(V974&gt;=75,V974&lt;=175,W974&gt;=65,W974&lt;110),0.17,0)+IF(AND(V974&gt;=75,V974&lt;=175,W974&gt;=110),0.12,0)+IF(AND(V974&gt;175,W974&lt;25),0.3,0)+IF(AND(V974&gt;175,W974&gt;=25,W974&lt;55),0.23,0)+IF(AND(V974&gt;175,W974&gt;=55,W974&lt;95),0.17,0)+IF(AND(V974&gt;175,W974&gt;=95),0.12,0),
IF(AF974="DoEVLo",IF(AND(V974&lt;20,W974&lt;55),0.25,0)+IF(AND(V974&lt;20,W974&gt;=55,W974&lt;105),0.2,0)+IF(AND(V974&lt;20,W974&gt;=105),0.15,0)+IF(AND(V974&gt;=20,V974&lt;40,W974&lt;45),0.25,0)+IF(AND(V974&gt;=20,V974&lt;40,W974&gt;=45,W974&lt;95),0.2,0)+IF(AND(V974&gt;=20,V974&lt;40,W974&gt;=95),0.15,0)+IF(AND(V974&gt;=40,V974&lt;75,W974&lt;35),0.25,0)+IF(AND(V974&gt;=40,V974&lt;75,W974&gt;=35,W974&lt;75),0.2,0)+IF(AND(V974&gt;=40,V974&lt;75,W974&gt;=75,W974&lt;120),0.15,0)+IF(AND(V974&gt;=40,V974&lt;75,W974&gt;=120),0.1,0)+IF(AND(V974&gt;=75,V974&lt;175,W974&lt;35),0.25,0)+IF(AND(V974&gt;=75,V974&lt;=175,W974&gt;=35,W974&lt;65),0.2,0)+IF(AND(V974&gt;=75,V974&lt;=175,W974&gt;=65,W974&lt;110),0.15,0)+IF(AND(V974&gt;=75,V974&lt;=175,W974&gt;=110),0.1,0)+IF(AND(V974&gt;175,W974&lt;25),0.25,0)+IF(AND(V974&gt;175,W974&gt;=25,W974&lt;55),0.2,0)+IF(AND(V974&gt;175,W974&gt;=55,W974&lt;95),0.15,0)+IF(AND(V974&gt;175,W974&gt;=95),0.1,0))))))))))))))))))</f>
        <v>0.09</v>
      </c>
      <c r="Y974" s="30">
        <f>IF(AG974="None",0,IF(AG974="Fix5",0.05, IF(AG974="Fix6.25",0.0625,IF(AG974="Fix3.75",0.0375,IF(AG974="Fix10",0.1,IF(AG974="Fix3",0.03,0))))))</f>
        <v>0.03</v>
      </c>
      <c r="Z974" s="35">
        <f>T974-AA974-AB974</f>
        <v>16792.16</v>
      </c>
      <c r="AA974" s="29">
        <f>IF(AD974="EUR",((T974-R974)*X974)*U974+(R974*X974),(T974*X974))</f>
        <v>1717.3799999999999</v>
      </c>
      <c r="AB974" s="36">
        <f>IF(AD974="EUR",((T974-R974)*Y974)*U974+(R974*Y974),(T974*Y974))</f>
        <v>572.45999999999992</v>
      </c>
      <c r="AC974" s="37" t="b">
        <v>1</v>
      </c>
      <c r="AD974" s="37" t="s">
        <v>38</v>
      </c>
      <c r="AE974" s="37" t="s">
        <v>38</v>
      </c>
      <c r="AF974" s="38" t="str">
        <f t="array" ref="AF974">INDEX('Deal Info'!D:D, MATCH(A974,'Deal Info'!A:A, 0))</f>
        <v>Fix9</v>
      </c>
      <c r="AG974" s="38" t="str">
        <f t="array" ref="AG974">INDEX('Deal Info'!G:G, MATCH(A974,'Deal Info'!A:A, 0))</f>
        <v>Fix3</v>
      </c>
    </row>
    <row r="975" spans="1:33" ht="14.25" hidden="1" x14ac:dyDescent="0.2">
      <c r="A975" s="18" t="str">
        <f t="array" ref="A975">IF(G975='Room Info'!$B$1, INDEX('Room Info'!$A$2:$A2446, MATCH(B975,'Room Info'!$B$2:$B2446, 0)),IF(G975='Room Info'!$C$1, INDEX('Room Info'!$A$2:$A2446, MATCH(B975,'Room Info'!$C$2:$C2446, 0)),IF(G975='Room Info'!$D$1, INDEX('Room Info'!$A$2:$A2446, MATCH(B975,'Room Info'!$D$2:$D2446, 0)),IF(G975='Room Info'!$E$1, INDEX('Room Info'!$A$2:$A2446, MATCH(B975,'Room Info'!$E$2:$E2446, 0)),IF(G975='Room Info'!$F$1, INDEX('Room Info'!$A$2:$A2446, MATCH(B975,'Room Info'!$F$2:$F2446, 0)),IF(G975='Room Info'!$H$1, INDEX('Room Info'!$A$2:$A2446, MATCH(B975,'Room Info'!$H$2:$H2446, 0)),IF(G975='Room Info'!$G$1, INDEX('Room Info'!$A$2:$A2446, MATCH(B975,'Room Info'!$G$2:$G2446, 0)))))))))</f>
        <v>Mexanuk_AV</v>
      </c>
      <c r="B975" s="45" t="s">
        <v>113</v>
      </c>
      <c r="C975" s="46">
        <v>44337</v>
      </c>
      <c r="D975" s="46">
        <v>44367</v>
      </c>
      <c r="E975" s="47">
        <v>44348</v>
      </c>
      <c r="F975" s="48" t="s">
        <v>34</v>
      </c>
      <c r="G975" s="45" t="s">
        <v>35</v>
      </c>
      <c r="H975" s="49" t="s">
        <v>86</v>
      </c>
      <c r="I975" s="49" t="s">
        <v>37</v>
      </c>
      <c r="J975" s="50">
        <v>5</v>
      </c>
      <c r="K975" s="51">
        <v>1</v>
      </c>
      <c r="L975" s="52">
        <v>5</v>
      </c>
      <c r="M975" s="62"/>
      <c r="N975" s="28">
        <f>K975*J975</f>
        <v>5</v>
      </c>
      <c r="O975" s="54">
        <v>376</v>
      </c>
      <c r="P975" s="29">
        <v>376</v>
      </c>
      <c r="Q975" s="55"/>
      <c r="R975" s="31">
        <f>M975+Q975</f>
        <v>0</v>
      </c>
      <c r="S975" s="56">
        <v>3</v>
      </c>
      <c r="T975" s="32">
        <f>R975+S975+IF(F975="Without EV deal",L975,0)</f>
        <v>3</v>
      </c>
      <c r="U975" s="57">
        <v>1</v>
      </c>
      <c r="V975" s="58"/>
      <c r="W975" s="58"/>
      <c r="X975" s="78">
        <v>0.3</v>
      </c>
      <c r="Y975" s="30">
        <f>IF(AG975="None",0,IF(AG975="Fix5",0.05, IF(AG975="Fix6.25",0.0625,IF(AG975="Fix3.75",0.0375,IF(AG975="Fix10",0.1,IF(AG975="Fix3",0.03,0))))))</f>
        <v>0</v>
      </c>
      <c r="Z975" s="35">
        <f>T975-AA975-AB975</f>
        <v>2</v>
      </c>
      <c r="AA975" s="60">
        <v>1</v>
      </c>
      <c r="AB975" s="36">
        <f>IF(AD975="EUR",((T975-R975)*Y975)*U975+(R975*Y975),(T975*Y975))</f>
        <v>0</v>
      </c>
      <c r="AC975" s="37" t="b">
        <v>1</v>
      </c>
      <c r="AD975" s="37" t="s">
        <v>38</v>
      </c>
      <c r="AE975" s="37" t="s">
        <v>38</v>
      </c>
      <c r="AF975" s="37" t="str">
        <f t="array" ref="AF975">INDEX('Deal Info'!D:D, MATCH(A975,'Deal Info'!A:A, 0))</f>
        <v>SF</v>
      </c>
      <c r="AG975" s="38" t="str">
        <f t="array" ref="AG975">INDEX('Deal Info'!G:G, MATCH(A975,'Deal Info'!A:A, 0))</f>
        <v>None</v>
      </c>
    </row>
    <row r="976" spans="1:33" ht="14.25" hidden="1" x14ac:dyDescent="0.2">
      <c r="A976" s="18" t="str">
        <f t="array" ref="A976">IF(G976='Room Info'!$B$1, INDEX('Room Info'!$A$2:$A2446, MATCH(B976,'Room Info'!$B$2:$B2446, 0)),IF(G976='Room Info'!$C$1, INDEX('Room Info'!$A$2:$A2446, MATCH(B976,'Room Info'!$C$2:$C2446, 0)),IF(G976='Room Info'!$D$1, INDEX('Room Info'!$A$2:$A2446, MATCH(B976,'Room Info'!$D$2:$D2446, 0)),IF(G976='Room Info'!$E$1, INDEX('Room Info'!$A$2:$A2446, MATCH(B976,'Room Info'!$E$2:$E2446, 0)),IF(G976='Room Info'!$F$1, INDEX('Room Info'!$A$2:$A2446, MATCH(B976,'Room Info'!$F$2:$F2446, 0)),IF(G976='Room Info'!$H$1, INDEX('Room Info'!$A$2:$A2446, MATCH(B976,'Room Info'!$H$2:$H2446, 0)),IF(G976='Room Info'!$G$1, INDEX('Room Info'!$A$2:$A2446, MATCH(B976,'Room Info'!$G$2:$G2446, 0)))))))))</f>
        <v>Mexanuk_AV</v>
      </c>
      <c r="B976" s="45" t="s">
        <v>113</v>
      </c>
      <c r="C976" s="46">
        <v>44337</v>
      </c>
      <c r="D976" s="46">
        <v>44367</v>
      </c>
      <c r="E976" s="47">
        <v>44348</v>
      </c>
      <c r="F976" s="48" t="s">
        <v>34</v>
      </c>
      <c r="G976" s="54" t="s">
        <v>35</v>
      </c>
      <c r="H976" s="49" t="s">
        <v>40</v>
      </c>
      <c r="I976" s="49" t="s">
        <v>37</v>
      </c>
      <c r="J976" s="50">
        <v>10</v>
      </c>
      <c r="K976" s="51">
        <v>1132</v>
      </c>
      <c r="L976" s="52">
        <v>370</v>
      </c>
      <c r="M976" s="53">
        <v>14</v>
      </c>
      <c r="N976" s="28">
        <f>K976*J976</f>
        <v>11320</v>
      </c>
      <c r="O976" s="54">
        <v>64596</v>
      </c>
      <c r="P976" s="29">
        <v>57.063604239999997</v>
      </c>
      <c r="Q976" s="55"/>
      <c r="R976" s="31">
        <f>M976+Q976</f>
        <v>14</v>
      </c>
      <c r="S976" s="56">
        <v>359</v>
      </c>
      <c r="T976" s="32">
        <f>R976+S976+IF(F976="Without EV deal",L976,0)</f>
        <v>373</v>
      </c>
      <c r="U976" s="57">
        <v>1</v>
      </c>
      <c r="V976" s="58"/>
      <c r="W976" s="58"/>
      <c r="X976" s="78">
        <v>0.3</v>
      </c>
      <c r="Y976" s="30">
        <f>IF(AG976="None",0,IF(AG976="Fix5",0.05, IF(AG976="Fix6.25",0.0625,IF(AG976="Fix3.75",0.0375,IF(AG976="Fix10",0.1,IF(AG976="Fix3",0.03,0))))))</f>
        <v>0</v>
      </c>
      <c r="Z976" s="35">
        <f>T976-AA976-AB976</f>
        <v>261</v>
      </c>
      <c r="AA976" s="60">
        <v>112</v>
      </c>
      <c r="AB976" s="36">
        <f>IF(AD976="EUR",((T976-R976)*Y976)*U976+(R976*Y976),(T976*Y976))</f>
        <v>0</v>
      </c>
      <c r="AC976" s="37" t="b">
        <v>1</v>
      </c>
      <c r="AD976" s="37" t="s">
        <v>38</v>
      </c>
      <c r="AE976" s="37" t="s">
        <v>38</v>
      </c>
      <c r="AF976" s="37" t="str">
        <f t="array" ref="AF976">INDEX('Deal Info'!D:D, MATCH(A976,'Deal Info'!A:A, 0))</f>
        <v>SF</v>
      </c>
      <c r="AG976" s="38" t="str">
        <f t="array" ref="AG976">INDEX('Deal Info'!G:G, MATCH(A976,'Deal Info'!A:A, 0))</f>
        <v>None</v>
      </c>
    </row>
    <row r="977" spans="1:33" ht="14.25" hidden="1" x14ac:dyDescent="0.2">
      <c r="A977" s="18" t="str">
        <f t="array" ref="A977">IF(G977='Room Info'!$B$1, INDEX('Room Info'!$A$2:$A2446, MATCH(B977,'Room Info'!$B$2:$B2446, 0)),IF(G977='Room Info'!$C$1, INDEX('Room Info'!$A$2:$A2446, MATCH(B977,'Room Info'!$C$2:$C2446, 0)),IF(G977='Room Info'!$D$1, INDEX('Room Info'!$A$2:$A2446, MATCH(B977,'Room Info'!$D$2:$D2446, 0)),IF(G977='Room Info'!$E$1, INDEX('Room Info'!$A$2:$A2446, MATCH(B977,'Room Info'!$E$2:$E2446, 0)),IF(G977='Room Info'!$F$1, INDEX('Room Info'!$A$2:$A2446, MATCH(B977,'Room Info'!$F$2:$F2446, 0)),IF(G977='Room Info'!$H$1, INDEX('Room Info'!$A$2:$A2446, MATCH(B977,'Room Info'!$H$2:$H2446, 0)),IF(G977='Room Info'!$G$1, INDEX('Room Info'!$A$2:$A2446, MATCH(B977,'Room Info'!$G$2:$G2446, 0)))))))))</f>
        <v>Mexanuk_AV</v>
      </c>
      <c r="B977" s="45" t="s">
        <v>113</v>
      </c>
      <c r="C977" s="99">
        <v>44337</v>
      </c>
      <c r="D977" s="99">
        <v>44367</v>
      </c>
      <c r="E977" s="47">
        <v>44348</v>
      </c>
      <c r="F977" s="45" t="s">
        <v>34</v>
      </c>
      <c r="G977" s="45" t="s">
        <v>35</v>
      </c>
      <c r="H977" s="49" t="s">
        <v>83</v>
      </c>
      <c r="I977" s="49" t="s">
        <v>37</v>
      </c>
      <c r="J977" s="74">
        <v>10</v>
      </c>
      <c r="K977" s="75">
        <v>689</v>
      </c>
      <c r="L977" s="72">
        <v>-110</v>
      </c>
      <c r="M977" s="76">
        <v>10</v>
      </c>
      <c r="N977" s="28">
        <f>K977*J977</f>
        <v>6890</v>
      </c>
      <c r="O977" s="45">
        <v>31360</v>
      </c>
      <c r="P977" s="29">
        <v>45.515239479999998</v>
      </c>
      <c r="Q977" s="55"/>
      <c r="R977" s="31">
        <f>M977+Q977</f>
        <v>10</v>
      </c>
      <c r="S977" s="73">
        <v>-1</v>
      </c>
      <c r="T977" s="32">
        <f>R977+S977+IF(F977="Without EV deal",L977,0)</f>
        <v>9</v>
      </c>
      <c r="U977" s="57">
        <v>1</v>
      </c>
      <c r="V977" s="58"/>
      <c r="W977" s="58"/>
      <c r="X977" s="78">
        <v>0.3</v>
      </c>
      <c r="Y977" s="30">
        <f>IF(AG977="None",0,IF(AG977="Fix5",0.05, IF(AG977="Fix6.25",0.0625,IF(AG977="Fix3.75",0.0375,IF(AG977="Fix10",0.1,IF(AG977="Fix3",0.03,0))))))</f>
        <v>0</v>
      </c>
      <c r="Z977" s="35">
        <f>T977-AA977-AB977</f>
        <v>6</v>
      </c>
      <c r="AA977" s="60">
        <v>3</v>
      </c>
      <c r="AB977" s="36">
        <f>IF(AD977="EUR",((T977-R977)*Y977)*U977+(R977*Y977),(T977*Y977))</f>
        <v>0</v>
      </c>
      <c r="AC977" s="37" t="b">
        <v>1</v>
      </c>
      <c r="AD977" s="37" t="s">
        <v>38</v>
      </c>
      <c r="AE977" s="37" t="s">
        <v>38</v>
      </c>
      <c r="AF977" s="37" t="str">
        <f t="array" ref="AF977">INDEX('Deal Info'!D:D, MATCH(A977,'Deal Info'!A:A, 0))</f>
        <v>SF</v>
      </c>
      <c r="AG977" s="38" t="str">
        <f t="array" ref="AG977">INDEX('Deal Info'!G:G, MATCH(A977,'Deal Info'!A:A, 0))</f>
        <v>None</v>
      </c>
    </row>
    <row r="978" spans="1:33" ht="14.25" hidden="1" x14ac:dyDescent="0.2">
      <c r="A978" s="18" t="str">
        <f t="array" ref="A978">IF(G978='Room Info'!$B$1, INDEX('Room Info'!$A$2:$A2446, MATCH(B978,'Room Info'!$B$2:$B2446, 0)),IF(G978='Room Info'!$C$1, INDEX('Room Info'!$A$2:$A2446, MATCH(B978,'Room Info'!$C$2:$C2446, 0)),IF(G978='Room Info'!$D$1, INDEX('Room Info'!$A$2:$A2446, MATCH(B978,'Room Info'!$D$2:$D2446, 0)),IF(G978='Room Info'!$E$1, INDEX('Room Info'!$A$2:$A2446, MATCH(B978,'Room Info'!$E$2:$E2446, 0)),IF(G978='Room Info'!$F$1, INDEX('Room Info'!$A$2:$A2446, MATCH(B978,'Room Info'!$F$2:$F2446, 0)),IF(G978='Room Info'!$H$1, INDEX('Room Info'!$A$2:$A2446, MATCH(B978,'Room Info'!$H$2:$H2446, 0)),IF(G978='Room Info'!$G$1, INDEX('Room Info'!$A$2:$A2446, MATCH(B978,'Room Info'!$G$2:$G2446, 0)))))))))</f>
        <v>Mexanuk_AV</v>
      </c>
      <c r="B978" s="45" t="s">
        <v>113</v>
      </c>
      <c r="C978" s="77">
        <v>44368</v>
      </c>
      <c r="D978" s="77">
        <v>44397</v>
      </c>
      <c r="E978" s="47">
        <v>44378</v>
      </c>
      <c r="F978" s="48" t="s">
        <v>34</v>
      </c>
      <c r="G978" s="45" t="s">
        <v>35</v>
      </c>
      <c r="H978" s="49" t="s">
        <v>39</v>
      </c>
      <c r="I978" s="49" t="s">
        <v>37</v>
      </c>
      <c r="J978" s="74">
        <v>5</v>
      </c>
      <c r="K978" s="75">
        <v>1</v>
      </c>
      <c r="L978" s="72">
        <v>5</v>
      </c>
      <c r="M978" s="79"/>
      <c r="N978" s="28">
        <f>K978*J978</f>
        <v>5</v>
      </c>
      <c r="O978" s="45">
        <v>474</v>
      </c>
      <c r="P978" s="29">
        <v>474</v>
      </c>
      <c r="Q978" s="55"/>
      <c r="R978" s="31">
        <f>M978+Q978</f>
        <v>0</v>
      </c>
      <c r="S978" s="73">
        <v>4</v>
      </c>
      <c r="T978" s="32">
        <f>R978+S978+IF(F978="Without EV deal",L978,0)</f>
        <v>4</v>
      </c>
      <c r="U978" s="57">
        <v>1</v>
      </c>
      <c r="V978" s="58"/>
      <c r="W978" s="58"/>
      <c r="X978" s="78">
        <v>0.3</v>
      </c>
      <c r="Y978" s="30">
        <f>IF(AG978="None",0,IF(AG978="Fix5",0.05, IF(AG978="Fix6.25",0.0625,IF(AG978="Fix3.75",0.0375,IF(AG978="Fix10",0.1,IF(AG978="Fix3",0.03,0))))))</f>
        <v>0</v>
      </c>
      <c r="Z978" s="35">
        <f>T978-AA978-AB978</f>
        <v>3</v>
      </c>
      <c r="AA978" s="60">
        <v>1</v>
      </c>
      <c r="AB978" s="36">
        <f>IF(AD978="EUR",((T978-R978)*Y978)*U978+(R978*Y978),(T978*Y978))</f>
        <v>0</v>
      </c>
      <c r="AC978" s="37" t="b">
        <v>1</v>
      </c>
      <c r="AD978" s="37" t="s">
        <v>38</v>
      </c>
      <c r="AE978" s="37" t="s">
        <v>38</v>
      </c>
      <c r="AF978" s="37" t="str">
        <f t="array" ref="AF978">INDEX('Deal Info'!D:D, MATCH(A978,'Deal Info'!A:A, 0))</f>
        <v>SF</v>
      </c>
      <c r="AG978" s="38" t="str">
        <f t="array" ref="AG978">INDEX('Deal Info'!G:G, MATCH(A978,'Deal Info'!A:A, 0))</f>
        <v>None</v>
      </c>
    </row>
    <row r="979" spans="1:33" ht="14.25" hidden="1" x14ac:dyDescent="0.2">
      <c r="A979" s="18" t="str">
        <f t="array" ref="A979">IF(G979='Room Info'!$B$1, INDEX('Room Info'!$A$2:$A2446, MATCH(B979,'Room Info'!$B$2:$B2446, 0)),IF(G979='Room Info'!$C$1, INDEX('Room Info'!$A$2:$A2446, MATCH(B979,'Room Info'!$C$2:$C2446, 0)),IF(G979='Room Info'!$D$1, INDEX('Room Info'!$A$2:$A2446, MATCH(B979,'Room Info'!$D$2:$D2446, 0)),IF(G979='Room Info'!$E$1, INDEX('Room Info'!$A$2:$A2446, MATCH(B979,'Room Info'!$E$2:$E2446, 0)),IF(G979='Room Info'!$F$1, INDEX('Room Info'!$A$2:$A2446, MATCH(B979,'Room Info'!$F$2:$F2446, 0)),IF(G979='Room Info'!$H$1, INDEX('Room Info'!$A$2:$A2446, MATCH(B979,'Room Info'!$H$2:$H2446, 0)),IF(G979='Room Info'!$G$1, INDEX('Room Info'!$A$2:$A2446, MATCH(B979,'Room Info'!$G$2:$G2446, 0)))))))))</f>
        <v>Mexanuk_AV</v>
      </c>
      <c r="B979" s="45" t="s">
        <v>113</v>
      </c>
      <c r="C979" s="77">
        <v>44368</v>
      </c>
      <c r="D979" s="77">
        <v>44397</v>
      </c>
      <c r="E979" s="47">
        <v>44378</v>
      </c>
      <c r="F979" s="48" t="s">
        <v>34</v>
      </c>
      <c r="G979" s="45" t="s">
        <v>35</v>
      </c>
      <c r="H979" s="49" t="s">
        <v>40</v>
      </c>
      <c r="I979" s="49" t="s">
        <v>37</v>
      </c>
      <c r="J979" s="74">
        <v>10</v>
      </c>
      <c r="K979" s="75">
        <v>1504</v>
      </c>
      <c r="L979" s="72">
        <v>310</v>
      </c>
      <c r="M979" s="76">
        <v>284</v>
      </c>
      <c r="N979" s="28">
        <f>K979*J979</f>
        <v>15040</v>
      </c>
      <c r="O979" s="45">
        <v>77133</v>
      </c>
      <c r="P979" s="29">
        <v>51.285239359999998</v>
      </c>
      <c r="Q979" s="55"/>
      <c r="R979" s="31">
        <f>M979+Q979</f>
        <v>284</v>
      </c>
      <c r="S979" s="73">
        <v>292</v>
      </c>
      <c r="T979" s="32">
        <f>R979+S979+IF(F979="Without EV deal",L979,0)</f>
        <v>576</v>
      </c>
      <c r="U979" s="57">
        <v>1</v>
      </c>
      <c r="V979" s="58"/>
      <c r="W979" s="58"/>
      <c r="X979" s="78">
        <v>0.3</v>
      </c>
      <c r="Y979" s="30">
        <f>IF(AG979="None",0,IF(AG979="Fix5",0.05, IF(AG979="Fix6.25",0.0625,IF(AG979="Fix3.75",0.0375,IF(AG979="Fix10",0.1,IF(AG979="Fix3",0.03,0))))))</f>
        <v>0</v>
      </c>
      <c r="Z979" s="35">
        <f>T979-AA979-AB979</f>
        <v>403</v>
      </c>
      <c r="AA979" s="60">
        <v>173</v>
      </c>
      <c r="AB979" s="36">
        <f>IF(AD979="EUR",((T979-R979)*Y979)*U979+(R979*Y979),(T979*Y979))</f>
        <v>0</v>
      </c>
      <c r="AC979" s="37" t="b">
        <v>1</v>
      </c>
      <c r="AD979" s="37" t="s">
        <v>38</v>
      </c>
      <c r="AE979" s="37" t="s">
        <v>38</v>
      </c>
      <c r="AF979" s="37" t="str">
        <f t="array" ref="AF979">INDEX('Deal Info'!D:D, MATCH(A979,'Deal Info'!A:A, 0))</f>
        <v>SF</v>
      </c>
      <c r="AG979" s="38" t="str">
        <f t="array" ref="AG979">INDEX('Deal Info'!G:G, MATCH(A979,'Deal Info'!A:A, 0))</f>
        <v>None</v>
      </c>
    </row>
    <row r="980" spans="1:33" ht="14.25" hidden="1" x14ac:dyDescent="0.2">
      <c r="A980" s="18" t="str">
        <f t="array" ref="A980">IF(G980='Room Info'!$B$1, INDEX('Room Info'!$A$2:$A2446, MATCH(B980,'Room Info'!$B$2:$B2446, 0)),IF(G980='Room Info'!$C$1, INDEX('Room Info'!$A$2:$A2446, MATCH(B980,'Room Info'!$C$2:$C2446, 0)),IF(G980='Room Info'!$D$1, INDEX('Room Info'!$A$2:$A2446, MATCH(B980,'Room Info'!$D$2:$D2446, 0)),IF(G980='Room Info'!$E$1, INDEX('Room Info'!$A$2:$A2446, MATCH(B980,'Room Info'!$E$2:$E2446, 0)),IF(G980='Room Info'!$F$1, INDEX('Room Info'!$A$2:$A2446, MATCH(B980,'Room Info'!$F$2:$F2446, 0)),IF(G980='Room Info'!$H$1, INDEX('Room Info'!$A$2:$A2446, MATCH(B980,'Room Info'!$H$2:$H2446, 0)),IF(G980='Room Info'!$G$1, INDEX('Room Info'!$A$2:$A2446, MATCH(B980,'Room Info'!$G$2:$G2446, 0)))))))))</f>
        <v>Mexanuk_AV</v>
      </c>
      <c r="B980" s="45" t="s">
        <v>113</v>
      </c>
      <c r="C980" s="77">
        <v>44398</v>
      </c>
      <c r="D980" s="77">
        <v>44428</v>
      </c>
      <c r="E980" s="47">
        <v>44409</v>
      </c>
      <c r="F980" s="48" t="s">
        <v>34</v>
      </c>
      <c r="G980" s="45" t="s">
        <v>35</v>
      </c>
      <c r="H980" s="49" t="s">
        <v>40</v>
      </c>
      <c r="I980" s="49" t="s">
        <v>37</v>
      </c>
      <c r="J980" s="74">
        <v>10</v>
      </c>
      <c r="K980" s="75">
        <v>1504</v>
      </c>
      <c r="L980" s="72">
        <v>-190</v>
      </c>
      <c r="M980" s="76">
        <v>52</v>
      </c>
      <c r="N980" s="28">
        <f>K980*J980</f>
        <v>15040</v>
      </c>
      <c r="O980" s="45">
        <v>55554</v>
      </c>
      <c r="P980" s="29">
        <v>36.9375</v>
      </c>
      <c r="Q980" s="55"/>
      <c r="R980" s="31">
        <f>M980+Q980</f>
        <v>52</v>
      </c>
      <c r="S980" s="73">
        <v>-141</v>
      </c>
      <c r="T980" s="32">
        <f>R980+S980+IF(F980="Without EV deal",L980,0)</f>
        <v>-89</v>
      </c>
      <c r="U980" s="57">
        <v>1</v>
      </c>
      <c r="V980" s="58"/>
      <c r="W980" s="58"/>
      <c r="X980" s="78">
        <v>0.3</v>
      </c>
      <c r="Y980" s="30">
        <f>IF(AG980="None",0,IF(AG980="Fix5",0.05, IF(AG980="Fix6.25",0.0625,IF(AG980="Fix3.75",0.0375,IF(AG980="Fix10",0.1,IF(AG980="Fix3",0.03,0))))))</f>
        <v>0</v>
      </c>
      <c r="Z980" s="35">
        <f>T980-AA980-AB980</f>
        <v>-62</v>
      </c>
      <c r="AA980" s="60">
        <v>-27</v>
      </c>
      <c r="AB980" s="36">
        <f>IF(AD980="EUR",((T980-R980)*Y980)*U980+(R980*Y980),(T980*Y980))</f>
        <v>0</v>
      </c>
      <c r="AC980" s="37" t="b">
        <v>1</v>
      </c>
      <c r="AD980" s="37" t="s">
        <v>38</v>
      </c>
      <c r="AE980" s="37" t="s">
        <v>38</v>
      </c>
      <c r="AF980" s="37" t="str">
        <f t="array" ref="AF980">INDEX('Deal Info'!D:D, MATCH(A980,'Deal Info'!A:A, 0))</f>
        <v>SF</v>
      </c>
      <c r="AG980" s="38" t="str">
        <f t="array" ref="AG980">INDEX('Deal Info'!G:G, MATCH(A980,'Deal Info'!A:A, 0))</f>
        <v>None</v>
      </c>
    </row>
    <row r="981" spans="1:33" ht="14.25" hidden="1" x14ac:dyDescent="0.2">
      <c r="A981" s="18" t="str">
        <f t="array" ref="A981">IF(G981='Room Info'!$B$1, INDEX('Room Info'!$A$2:$A2446, MATCH(B981,'Room Info'!$B$2:$B2446, 0)),IF(G981='Room Info'!$C$1, INDEX('Room Info'!$A$2:$A2446, MATCH(B981,'Room Info'!$C$2:$C2446, 0)),IF(G981='Room Info'!$D$1, INDEX('Room Info'!$A$2:$A2446, MATCH(B981,'Room Info'!$D$2:$D2446, 0)),IF(G981='Room Info'!$E$1, INDEX('Room Info'!$A$2:$A2446, MATCH(B981,'Room Info'!$E$2:$E2446, 0)),IF(G981='Room Info'!$F$1, INDEX('Room Info'!$A$2:$A2446, MATCH(B981,'Room Info'!$F$2:$F2446, 0)),IF(G981='Room Info'!$H$1, INDEX('Room Info'!$A$2:$A2446, MATCH(B981,'Room Info'!$H$2:$H2446, 0)),IF(G981='Room Info'!$G$1, INDEX('Room Info'!$A$2:$A2446, MATCH(B981,'Room Info'!$G$2:$G2446, 0)))))))))</f>
        <v>Mexanuk_AV</v>
      </c>
      <c r="B981" s="45" t="s">
        <v>113</v>
      </c>
      <c r="C981" s="77">
        <v>44429</v>
      </c>
      <c r="D981" s="77">
        <v>44459</v>
      </c>
      <c r="E981" s="47">
        <v>44440</v>
      </c>
      <c r="F981" s="48" t="s">
        <v>34</v>
      </c>
      <c r="G981" s="45" t="s">
        <v>35</v>
      </c>
      <c r="H981" s="49" t="s">
        <v>39</v>
      </c>
      <c r="I981" s="49" t="s">
        <v>37</v>
      </c>
      <c r="J981" s="74">
        <v>5</v>
      </c>
      <c r="K981" s="75">
        <v>2</v>
      </c>
      <c r="L981" s="72">
        <v>-10</v>
      </c>
      <c r="M981" s="79"/>
      <c r="N981" s="28">
        <f>K981*J981</f>
        <v>10</v>
      </c>
      <c r="O981" s="45">
        <v>-159</v>
      </c>
      <c r="P981" s="29">
        <v>-79.5</v>
      </c>
      <c r="Q981" s="55"/>
      <c r="R981" s="31">
        <f>M981+Q981</f>
        <v>0</v>
      </c>
      <c r="S981" s="73">
        <v>-2</v>
      </c>
      <c r="T981" s="32">
        <f>R981+S981+IF(F981="Without EV deal",L981,0)</f>
        <v>-2</v>
      </c>
      <c r="U981" s="57">
        <v>1</v>
      </c>
      <c r="V981" s="58"/>
      <c r="W981" s="58"/>
      <c r="X981" s="78">
        <v>0.3</v>
      </c>
      <c r="Y981" s="30">
        <f>IF(AG981="None",0,IF(AG981="Fix5",0.05, IF(AG981="Fix6.25",0.0625,IF(AG981="Fix3.75",0.0375,IF(AG981="Fix10",0.1,IF(AG981="Fix3",0.03,0))))))</f>
        <v>0</v>
      </c>
      <c r="Z981" s="35">
        <f>T981-AA981-AB981</f>
        <v>-1</v>
      </c>
      <c r="AA981" s="60">
        <v>-1</v>
      </c>
      <c r="AB981" s="36">
        <f>IF(AD981="EUR",((T981-R981)*Y981)*U981+(R981*Y981),(T981*Y981))</f>
        <v>0</v>
      </c>
      <c r="AC981" s="37" t="b">
        <v>1</v>
      </c>
      <c r="AD981" s="37" t="s">
        <v>38</v>
      </c>
      <c r="AE981" s="37" t="s">
        <v>38</v>
      </c>
      <c r="AF981" s="37" t="str">
        <f t="array" ref="AF981">INDEX('Deal Info'!D:D, MATCH(A981,'Deal Info'!A:A, 0))</f>
        <v>SF</v>
      </c>
      <c r="AG981" s="38" t="str">
        <f t="array" ref="AG981">INDEX('Deal Info'!G:G, MATCH(A981,'Deal Info'!A:A, 0))</f>
        <v>None</v>
      </c>
    </row>
    <row r="982" spans="1:33" ht="14.25" hidden="1" x14ac:dyDescent="0.2">
      <c r="A982" s="18" t="str">
        <f t="array" ref="A982">IF(G982='Room Info'!$B$1, INDEX('Room Info'!$A$2:$A2446, MATCH(B982,'Room Info'!$B$2:$B2446, 0)),IF(G982='Room Info'!$C$1, INDEX('Room Info'!$A$2:$A2446, MATCH(B982,'Room Info'!$C$2:$C2446, 0)),IF(G982='Room Info'!$D$1, INDEX('Room Info'!$A$2:$A2446, MATCH(B982,'Room Info'!$D$2:$D2446, 0)),IF(G982='Room Info'!$E$1, INDEX('Room Info'!$A$2:$A2446, MATCH(B982,'Room Info'!$E$2:$E2446, 0)),IF(G982='Room Info'!$F$1, INDEX('Room Info'!$A$2:$A2446, MATCH(B982,'Room Info'!$F$2:$F2446, 0)),IF(G982='Room Info'!$H$1, INDEX('Room Info'!$A$2:$A2446, MATCH(B982,'Room Info'!$H$2:$H2446, 0)),IF(G982='Room Info'!$G$1, INDEX('Room Info'!$A$2:$A2446, MATCH(B982,'Room Info'!$G$2:$G2446, 0)))))))))</f>
        <v>Mexanuk_AV</v>
      </c>
      <c r="B982" s="54" t="s">
        <v>113</v>
      </c>
      <c r="C982" s="46">
        <v>44429</v>
      </c>
      <c r="D982" s="46">
        <v>44459</v>
      </c>
      <c r="E982" s="47">
        <v>44440</v>
      </c>
      <c r="F982" s="45" t="s">
        <v>34</v>
      </c>
      <c r="G982" s="54" t="s">
        <v>35</v>
      </c>
      <c r="H982" s="49" t="s">
        <v>40</v>
      </c>
      <c r="I982" s="49" t="s">
        <v>37</v>
      </c>
      <c r="J982" s="74">
        <v>10</v>
      </c>
      <c r="K982" s="75">
        <v>1549</v>
      </c>
      <c r="L982" s="72">
        <v>-480</v>
      </c>
      <c r="M982" s="53">
        <v>211</v>
      </c>
      <c r="N982" s="28">
        <f>K982*J982</f>
        <v>15490</v>
      </c>
      <c r="O982" s="45">
        <v>41218</v>
      </c>
      <c r="P982" s="29">
        <v>26.609425439999999</v>
      </c>
      <c r="Q982" s="55"/>
      <c r="R982" s="31">
        <f>M982+Q982</f>
        <v>211</v>
      </c>
      <c r="S982" s="73">
        <v>-423</v>
      </c>
      <c r="T982" s="32">
        <f>R982+S982+IF(F982="Without EV deal",L982,0)</f>
        <v>-212</v>
      </c>
      <c r="U982" s="57">
        <v>1</v>
      </c>
      <c r="V982" s="58"/>
      <c r="W982" s="58"/>
      <c r="X982" s="78">
        <v>0.3</v>
      </c>
      <c r="Y982" s="30">
        <f>IF(AG982="None",0,IF(AG982="Fix5",0.05, IF(AG982="Fix6.25",0.0625,IF(AG982="Fix3.75",0.0375,IF(AG982="Fix10",0.1,IF(AG982="Fix3",0.03,0))))))</f>
        <v>0</v>
      </c>
      <c r="Z982" s="35">
        <f>T982-AA982-AB982</f>
        <v>-148</v>
      </c>
      <c r="AA982" s="60">
        <v>-64</v>
      </c>
      <c r="AB982" s="36">
        <f>IF(AD982="EUR",((T982-R982)*Y982)*U982+(R982*Y982),(T982*Y982))</f>
        <v>0</v>
      </c>
      <c r="AC982" s="37" t="b">
        <v>1</v>
      </c>
      <c r="AD982" s="37" t="s">
        <v>38</v>
      </c>
      <c r="AE982" s="37" t="s">
        <v>38</v>
      </c>
      <c r="AF982" s="37" t="str">
        <f t="array" ref="AF982">INDEX('Deal Info'!D:D, MATCH(A982,'Deal Info'!A:A, 0))</f>
        <v>SF</v>
      </c>
      <c r="AG982" s="38" t="str">
        <f t="array" ref="AG982">INDEX('Deal Info'!G:G, MATCH(A982,'Deal Info'!A:A, 0))</f>
        <v>None</v>
      </c>
    </row>
    <row r="983" spans="1:33" ht="14.25" hidden="1" x14ac:dyDescent="0.2">
      <c r="A983" s="18" t="str">
        <f t="array" ref="A983">IF(G983='Room Info'!$B$1, INDEX('Room Info'!$A$2:$A2446, MATCH(B983,'Room Info'!$B$2:$B2446, 0)),IF(G983='Room Info'!$C$1, INDEX('Room Info'!$A$2:$A2446, MATCH(B983,'Room Info'!$C$2:$C2446, 0)),IF(G983='Room Info'!$D$1, INDEX('Room Info'!$A$2:$A2446, MATCH(B983,'Room Info'!$D$2:$D2446, 0)),IF(G983='Room Info'!$E$1, INDEX('Room Info'!$A$2:$A2446, MATCH(B983,'Room Info'!$E$2:$E2446, 0)),IF(G983='Room Info'!$F$1, INDEX('Room Info'!$A$2:$A2446, MATCH(B983,'Room Info'!$F$2:$F2446, 0)),IF(G983='Room Info'!$H$1, INDEX('Room Info'!$A$2:$A2446, MATCH(B983,'Room Info'!$H$2:$H2446, 0)),IF(G983='Room Info'!$G$1, INDEX('Room Info'!$A$2:$A2446, MATCH(B983,'Room Info'!$G$2:$G2446, 0)))))))))</f>
        <v>Mexanuk_AV</v>
      </c>
      <c r="B983" s="54" t="s">
        <v>113</v>
      </c>
      <c r="C983" s="46">
        <v>44460</v>
      </c>
      <c r="D983" s="46">
        <v>44489</v>
      </c>
      <c r="E983" s="47">
        <v>44470</v>
      </c>
      <c r="F983" s="45" t="s">
        <v>34</v>
      </c>
      <c r="G983" s="54" t="s">
        <v>35</v>
      </c>
      <c r="H983" s="49" t="s">
        <v>40</v>
      </c>
      <c r="I983" s="49" t="s">
        <v>37</v>
      </c>
      <c r="J983" s="74">
        <v>10</v>
      </c>
      <c r="K983" s="75">
        <v>1973</v>
      </c>
      <c r="L983" s="72">
        <v>420</v>
      </c>
      <c r="M983" s="53">
        <v>113</v>
      </c>
      <c r="N983" s="28">
        <f>K983*J983</f>
        <v>19730</v>
      </c>
      <c r="O983" s="45">
        <v>98631</v>
      </c>
      <c r="P983" s="29">
        <v>49.990369989999998</v>
      </c>
      <c r="Q983" s="55"/>
      <c r="R983" s="31">
        <f>M983+Q983</f>
        <v>113</v>
      </c>
      <c r="S983" s="73">
        <v>321</v>
      </c>
      <c r="T983" s="32">
        <f>R983+S983+IF(F983="Without EV deal",L983,0)</f>
        <v>434</v>
      </c>
      <c r="U983" s="57">
        <v>1</v>
      </c>
      <c r="V983" s="58"/>
      <c r="W983" s="58"/>
      <c r="X983" s="78">
        <v>0.25</v>
      </c>
      <c r="Y983" s="30">
        <f>IF(AG983="None",0,IF(AG983="Fix5",0.05, IF(AG983="Fix6.25",0.0625,IF(AG983="Fix3.75",0.0375,IF(AG983="Fix10",0.1,IF(AG983="Fix3",0.03,0))))))</f>
        <v>0</v>
      </c>
      <c r="Z983" s="35">
        <f>T983-AA983-AB983</f>
        <v>304</v>
      </c>
      <c r="AA983" s="60">
        <v>130</v>
      </c>
      <c r="AB983" s="36">
        <f>IF(AD983="EUR",((T983-R983)*Y983)*U983+(R983*Y983),(T983*Y983))</f>
        <v>0</v>
      </c>
      <c r="AC983" s="37" t="b">
        <v>1</v>
      </c>
      <c r="AD983" s="37" t="s">
        <v>38</v>
      </c>
      <c r="AE983" s="37" t="s">
        <v>38</v>
      </c>
      <c r="AF983" s="37" t="str">
        <f t="array" ref="AF983">INDEX('Deal Info'!D:D, MATCH(A983,'Deal Info'!A:A, 0))</f>
        <v>SF</v>
      </c>
      <c r="AG983" s="38" t="str">
        <f t="array" ref="AG983">INDEX('Deal Info'!G:G, MATCH(A983,'Deal Info'!A:A, 0))</f>
        <v>None</v>
      </c>
    </row>
    <row r="984" spans="1:33" ht="14.25" hidden="1" x14ac:dyDescent="0.2">
      <c r="A984" s="18" t="str">
        <f t="array" ref="A984">IF(G984='Room Info'!$B$1, INDEX('Room Info'!$A$2:$A2446, MATCH(B984,'Room Info'!$B$2:$B2446, 0)),IF(G984='Room Info'!$C$1, INDEX('Room Info'!$A$2:$A2446, MATCH(B984,'Room Info'!$C$2:$C2446, 0)),IF(G984='Room Info'!$D$1, INDEX('Room Info'!$A$2:$A2446, MATCH(B984,'Room Info'!$D$2:$D2446, 0)),IF(G984='Room Info'!$E$1, INDEX('Room Info'!$A$2:$A2446, MATCH(B984,'Room Info'!$E$2:$E2446, 0)),IF(G984='Room Info'!$F$1, INDEX('Room Info'!$A$2:$A2446, MATCH(B984,'Room Info'!$F$2:$F2446, 0)),IF(G984='Room Info'!$H$1, INDEX('Room Info'!$A$2:$A2446, MATCH(B984,'Room Info'!$H$2:$H2446, 0)),IF(G984='Room Info'!$G$1, INDEX('Room Info'!$A$2:$A2446, MATCH(B984,'Room Info'!$G$2:$G2446, 0)))))))))</f>
        <v>Mexanuk_AV</v>
      </c>
      <c r="B984" s="45" t="s">
        <v>113</v>
      </c>
      <c r="C984" s="46">
        <v>44490</v>
      </c>
      <c r="D984" s="46">
        <v>44520</v>
      </c>
      <c r="E984" s="47">
        <v>44501</v>
      </c>
      <c r="F984" s="48" t="s">
        <v>34</v>
      </c>
      <c r="G984" s="54" t="s">
        <v>35</v>
      </c>
      <c r="H984" s="49" t="s">
        <v>39</v>
      </c>
      <c r="I984" s="49" t="s">
        <v>37</v>
      </c>
      <c r="J984" s="50">
        <v>5</v>
      </c>
      <c r="K984" s="51">
        <v>5</v>
      </c>
      <c r="L984" s="52">
        <v>-5</v>
      </c>
      <c r="M984" s="53">
        <v>2</v>
      </c>
      <c r="N984" s="28">
        <f>K984*J984</f>
        <v>25</v>
      </c>
      <c r="O984" s="54">
        <v>839</v>
      </c>
      <c r="P984" s="29">
        <v>167.8</v>
      </c>
      <c r="Q984" s="55"/>
      <c r="R984" s="31">
        <f>M984+Q984</f>
        <v>2</v>
      </c>
      <c r="S984" s="56">
        <v>5</v>
      </c>
      <c r="T984" s="32">
        <f>R984+S984+IF(F984="Without EV deal",L984,0)</f>
        <v>7</v>
      </c>
      <c r="U984" s="57">
        <v>1</v>
      </c>
      <c r="V984" s="58"/>
      <c r="W984" s="58"/>
      <c r="X984" s="78">
        <v>0.25</v>
      </c>
      <c r="Y984" s="30">
        <f>IF(AG984="None",0,IF(AG984="Fix5",0.05, IF(AG984="Fix6.25",0.0625,IF(AG984="Fix3.75",0.0375,IF(AG984="Fix10",0.1,IF(AG984="Fix3",0.03,0))))))</f>
        <v>0</v>
      </c>
      <c r="Z984" s="35">
        <f>T984-AA984-AB984</f>
        <v>5</v>
      </c>
      <c r="AA984" s="60">
        <v>2</v>
      </c>
      <c r="AB984" s="36">
        <f>IF(AD984="EUR",((T984-R984)*Y984)*U984+(R984*Y984),(T984*Y984))</f>
        <v>0</v>
      </c>
      <c r="AC984" s="37" t="b">
        <v>1</v>
      </c>
      <c r="AD984" s="37" t="s">
        <v>38</v>
      </c>
      <c r="AE984" s="37" t="s">
        <v>38</v>
      </c>
      <c r="AF984" s="37" t="str">
        <f t="array" ref="AF984">INDEX('Deal Info'!D:D, MATCH(A984,'Deal Info'!A:A, 0))</f>
        <v>SF</v>
      </c>
      <c r="AG984" s="38" t="str">
        <f t="array" ref="AG984">INDEX('Deal Info'!G:G, MATCH(A984,'Deal Info'!A:A, 0))</f>
        <v>None</v>
      </c>
    </row>
    <row r="985" spans="1:33" ht="14.25" hidden="1" x14ac:dyDescent="0.2">
      <c r="A985" s="18" t="str">
        <f t="array" ref="A985">IF(G985='Room Info'!$B$1, INDEX('Room Info'!$A$2:$A2446, MATCH(B985,'Room Info'!$B$2:$B2446, 0)),IF(G985='Room Info'!$C$1, INDEX('Room Info'!$A$2:$A2446, MATCH(B985,'Room Info'!$C$2:$C2446, 0)),IF(G985='Room Info'!$D$1, INDEX('Room Info'!$A$2:$A2446, MATCH(B985,'Room Info'!$D$2:$D2446, 0)),IF(G985='Room Info'!$E$1, INDEX('Room Info'!$A$2:$A2446, MATCH(B985,'Room Info'!$E$2:$E2446, 0)),IF(G985='Room Info'!$F$1, INDEX('Room Info'!$A$2:$A2446, MATCH(B985,'Room Info'!$F$2:$F2446, 0)),IF(G985='Room Info'!$H$1, INDEX('Room Info'!$A$2:$A2446, MATCH(B985,'Room Info'!$H$2:$H2446, 0)),IF(G985='Room Info'!$G$1, INDEX('Room Info'!$A$2:$A2446, MATCH(B985,'Room Info'!$G$2:$G2446, 0)))))))))</f>
        <v>Mexanuk_AV</v>
      </c>
      <c r="B985" s="45" t="s">
        <v>113</v>
      </c>
      <c r="C985" s="46">
        <v>44490</v>
      </c>
      <c r="D985" s="46">
        <v>44520</v>
      </c>
      <c r="E985" s="47">
        <v>44501</v>
      </c>
      <c r="F985" s="48" t="s">
        <v>34</v>
      </c>
      <c r="G985" s="54" t="s">
        <v>35</v>
      </c>
      <c r="H985" s="49" t="s">
        <v>40</v>
      </c>
      <c r="I985" s="49" t="s">
        <v>37</v>
      </c>
      <c r="J985" s="50">
        <v>10</v>
      </c>
      <c r="K985" s="51">
        <v>1853</v>
      </c>
      <c r="L985" s="52">
        <v>-1390</v>
      </c>
      <c r="M985" s="53">
        <v>1353</v>
      </c>
      <c r="N985" s="28">
        <f>K985*J985</f>
        <v>18530</v>
      </c>
      <c r="O985" s="54">
        <v>55305</v>
      </c>
      <c r="P985" s="29">
        <v>29.846195359999999</v>
      </c>
      <c r="Q985" s="55"/>
      <c r="R985" s="31">
        <f>M985+Q985</f>
        <v>1353</v>
      </c>
      <c r="S985" s="56">
        <v>-344</v>
      </c>
      <c r="T985" s="32">
        <f>R985+S985+IF(F985="Without EV deal",L985,0)</f>
        <v>1009</v>
      </c>
      <c r="U985" s="57">
        <v>1</v>
      </c>
      <c r="V985" s="58"/>
      <c r="W985" s="58"/>
      <c r="X985" s="78">
        <v>0.3</v>
      </c>
      <c r="Y985" s="30">
        <f>IF(AG985="None",0,IF(AG985="Fix5",0.05, IF(AG985="Fix6.25",0.0625,IF(AG985="Fix3.75",0.0375,IF(AG985="Fix10",0.1,IF(AG985="Fix3",0.03,0))))))</f>
        <v>0</v>
      </c>
      <c r="Z985" s="35">
        <f>T985-AA985-AB985</f>
        <v>757</v>
      </c>
      <c r="AA985" s="60">
        <v>252</v>
      </c>
      <c r="AB985" s="36">
        <f>IF(AD985="EUR",((T985-R985)*Y985)*U985+(R985*Y985),(T985*Y985))</f>
        <v>0</v>
      </c>
      <c r="AC985" s="37" t="b">
        <v>1</v>
      </c>
      <c r="AD985" s="37" t="s">
        <v>38</v>
      </c>
      <c r="AE985" s="37" t="s">
        <v>38</v>
      </c>
      <c r="AF985" s="37" t="str">
        <f t="array" ref="AF985">INDEX('Deal Info'!D:D, MATCH(A985,'Deal Info'!A:A, 0))</f>
        <v>SF</v>
      </c>
      <c r="AG985" s="38" t="str">
        <f t="array" ref="AG985">INDEX('Deal Info'!G:G, MATCH(A985,'Deal Info'!A:A, 0))</f>
        <v>None</v>
      </c>
    </row>
    <row r="986" spans="1:33" ht="14.25" hidden="1" x14ac:dyDescent="0.2">
      <c r="A986" s="18" t="str">
        <f t="array" ref="A986">IF(G986='Room Info'!$B$1, INDEX('Room Info'!$A$2:$A2446, MATCH(B986,'Room Info'!$B$2:$B2446, 0)),IF(G986='Room Info'!$C$1, INDEX('Room Info'!$A$2:$A2446, MATCH(B986,'Room Info'!$C$2:$C2446, 0)),IF(G986='Room Info'!$D$1, INDEX('Room Info'!$A$2:$A2446, MATCH(B986,'Room Info'!$D$2:$D2446, 0)),IF(G986='Room Info'!$E$1, INDEX('Room Info'!$A$2:$A2446, MATCH(B986,'Room Info'!$E$2:$E2446, 0)),IF(G986='Room Info'!$F$1, INDEX('Room Info'!$A$2:$A2446, MATCH(B986,'Room Info'!$F$2:$F2446, 0)),IF(G986='Room Info'!$H$1, INDEX('Room Info'!$A$2:$A2446, MATCH(B986,'Room Info'!$H$2:$H2446, 0)),IF(G986='Room Info'!$G$1, INDEX('Room Info'!$A$2:$A2446, MATCH(B986,'Room Info'!$G$2:$G2446, 0)))))))))</f>
        <v>Mexanuk_AV</v>
      </c>
      <c r="B986" s="45" t="s">
        <v>113</v>
      </c>
      <c r="C986" s="46">
        <v>44521</v>
      </c>
      <c r="D986" s="46">
        <v>44550</v>
      </c>
      <c r="E986" s="47">
        <v>44531</v>
      </c>
      <c r="F986" s="48" t="s">
        <v>34</v>
      </c>
      <c r="G986" s="54" t="s">
        <v>35</v>
      </c>
      <c r="H986" s="49" t="s">
        <v>39</v>
      </c>
      <c r="I986" s="49" t="s">
        <v>37</v>
      </c>
      <c r="J986" s="50">
        <v>5</v>
      </c>
      <c r="K986" s="51">
        <v>1</v>
      </c>
      <c r="L986" s="115">
        <v>10</v>
      </c>
      <c r="M986" s="62"/>
      <c r="N986" s="28">
        <f>K986*J986</f>
        <v>5</v>
      </c>
      <c r="O986" s="116">
        <v>159</v>
      </c>
      <c r="P986" s="29">
        <v>159</v>
      </c>
      <c r="Q986" s="55"/>
      <c r="R986" s="31">
        <f>M986+Q986</f>
        <v>0</v>
      </c>
      <c r="S986" s="117">
        <v>-5</v>
      </c>
      <c r="T986" s="32">
        <f>R986+S986+IF(F986="Without EV deal",L986,0)</f>
        <v>-5</v>
      </c>
      <c r="U986" s="57">
        <v>1</v>
      </c>
      <c r="V986" s="58"/>
      <c r="W986" s="58"/>
      <c r="X986" s="78">
        <v>0.3</v>
      </c>
      <c r="Y986" s="30">
        <f>IF(AG986="None",0,IF(AG986="Fix5",0.05, IF(AG986="Fix6.25",0.0625,IF(AG986="Fix3.75",0.0375,IF(AG986="Fix10",0.1,IF(AG986="Fix3",0.03,0))))))</f>
        <v>0</v>
      </c>
      <c r="Z986" s="35">
        <f>T986-AA986-AB986</f>
        <v>-3</v>
      </c>
      <c r="AA986" s="60">
        <v>-2</v>
      </c>
      <c r="AB986" s="36">
        <f>IF(AD986="EUR",((T986-R986)*Y986)*U986+(R986*Y986),(T986*Y986))</f>
        <v>0</v>
      </c>
      <c r="AC986" s="37" t="b">
        <v>1</v>
      </c>
      <c r="AD986" s="37" t="s">
        <v>38</v>
      </c>
      <c r="AE986" s="37" t="s">
        <v>38</v>
      </c>
      <c r="AF986" s="37" t="str">
        <f t="array" ref="AF986">INDEX('Deal Info'!D:D, MATCH(A986,'Deal Info'!A:A, 0))</f>
        <v>SF</v>
      </c>
      <c r="AG986" s="38" t="str">
        <f t="array" ref="AG986">INDEX('Deal Info'!G:G, MATCH(A986,'Deal Info'!A:A, 0))</f>
        <v>None</v>
      </c>
    </row>
    <row r="987" spans="1:33" ht="14.25" hidden="1" x14ac:dyDescent="0.2">
      <c r="A987" s="18" t="str">
        <f t="array" ref="A987">IF(G987='Room Info'!$B$1, INDEX('Room Info'!$A$2:$A2446, MATCH(B987,'Room Info'!$B$2:$B2446, 0)),IF(G987='Room Info'!$C$1, INDEX('Room Info'!$A$2:$A2446, MATCH(B987,'Room Info'!$C$2:$C2446, 0)),IF(G987='Room Info'!$D$1, INDEX('Room Info'!$A$2:$A2446, MATCH(B987,'Room Info'!$D$2:$D2446, 0)),IF(G987='Room Info'!$E$1, INDEX('Room Info'!$A$2:$A2446, MATCH(B987,'Room Info'!$E$2:$E2446, 0)),IF(G987='Room Info'!$F$1, INDEX('Room Info'!$A$2:$A2446, MATCH(B987,'Room Info'!$F$2:$F2446, 0)),IF(G987='Room Info'!$H$1, INDEX('Room Info'!$A$2:$A2446, MATCH(B987,'Room Info'!$H$2:$H2446, 0)),IF(G987='Room Info'!$G$1, INDEX('Room Info'!$A$2:$A2446, MATCH(B987,'Room Info'!$G$2:$G2446, 0)))))))))</f>
        <v>Mexanuk_AV</v>
      </c>
      <c r="B987" s="45" t="s">
        <v>113</v>
      </c>
      <c r="C987" s="46">
        <v>44521</v>
      </c>
      <c r="D987" s="46">
        <v>44550</v>
      </c>
      <c r="E987" s="47">
        <v>44531</v>
      </c>
      <c r="F987" s="48" t="s">
        <v>34</v>
      </c>
      <c r="G987" s="54" t="s">
        <v>35</v>
      </c>
      <c r="H987" s="49" t="s">
        <v>40</v>
      </c>
      <c r="I987" s="49" t="s">
        <v>37</v>
      </c>
      <c r="J987" s="50">
        <v>10</v>
      </c>
      <c r="K987" s="51">
        <v>2373</v>
      </c>
      <c r="L987" s="115">
        <v>-950</v>
      </c>
      <c r="M987" s="53">
        <v>350</v>
      </c>
      <c r="N987" s="28">
        <f>K987*J987</f>
        <v>23730</v>
      </c>
      <c r="O987" s="116">
        <v>69748</v>
      </c>
      <c r="P987" s="29">
        <v>29.392330380000001</v>
      </c>
      <c r="Q987" s="55"/>
      <c r="R987" s="31">
        <f>M987+Q987</f>
        <v>350</v>
      </c>
      <c r="S987" s="117">
        <v>-476</v>
      </c>
      <c r="T987" s="32">
        <f>R987+S987+IF(F987="Without EV deal",L987,0)</f>
        <v>-126</v>
      </c>
      <c r="U987" s="57">
        <v>1</v>
      </c>
      <c r="V987" s="58"/>
      <c r="W987" s="58"/>
      <c r="X987" s="78">
        <v>0.3</v>
      </c>
      <c r="Y987" s="30">
        <f>IF(AG987="None",0,IF(AG987="Fix5",0.05, IF(AG987="Fix6.25",0.0625,IF(AG987="Fix3.75",0.0375,IF(AG987="Fix10",0.1,IF(AG987="Fix3",0.03,0))))))</f>
        <v>0</v>
      </c>
      <c r="Z987" s="35">
        <f>T987-AA987-AB987</f>
        <v>-88</v>
      </c>
      <c r="AA987" s="60">
        <v>-38</v>
      </c>
      <c r="AB987" s="36">
        <f>IF(AD987="EUR",((T987-R987)*Y987)*U987+(R987*Y987),(T987*Y987))</f>
        <v>0</v>
      </c>
      <c r="AC987" s="37" t="b">
        <v>1</v>
      </c>
      <c r="AD987" s="37" t="s">
        <v>38</v>
      </c>
      <c r="AE987" s="37" t="s">
        <v>38</v>
      </c>
      <c r="AF987" s="37" t="str">
        <f t="array" ref="AF987">INDEX('Deal Info'!D:D, MATCH(A987,'Deal Info'!A:A, 0))</f>
        <v>SF</v>
      </c>
      <c r="AG987" s="38" t="str">
        <f t="array" ref="AG987">INDEX('Deal Info'!G:G, MATCH(A987,'Deal Info'!A:A, 0))</f>
        <v>None</v>
      </c>
    </row>
    <row r="988" spans="1:33" ht="14.25" hidden="1" x14ac:dyDescent="0.2">
      <c r="A988" s="18" t="str">
        <f t="array" ref="A988">IF(G988='Room Info'!$B$1, INDEX('Room Info'!$A$2:$A2446, MATCH(B988,'Room Info'!$B$2:$B2446, 0)),IF(G988='Room Info'!$C$1, INDEX('Room Info'!$A$2:$A2446, MATCH(B988,'Room Info'!$C$2:$C2446, 0)),IF(G988='Room Info'!$D$1, INDEX('Room Info'!$A$2:$A2446, MATCH(B988,'Room Info'!$D$2:$D2446, 0)),IF(G988='Room Info'!$E$1, INDEX('Room Info'!$A$2:$A2446, MATCH(B988,'Room Info'!$E$2:$E2446, 0)),IF(G988='Room Info'!$F$1, INDEX('Room Info'!$A$2:$A2446, MATCH(B988,'Room Info'!$F$2:$F2446, 0)),IF(G988='Room Info'!$H$1, INDEX('Room Info'!$A$2:$A2446, MATCH(B988,'Room Info'!$H$2:$H2446, 0)),IF(G988='Room Info'!$G$1, INDEX('Room Info'!$A$2:$A2446, MATCH(B988,'Room Info'!$G$2:$G2446, 0)))))))))</f>
        <v>Mexanuk_AV</v>
      </c>
      <c r="B988" s="45" t="s">
        <v>113</v>
      </c>
      <c r="C988" s="46">
        <v>44551</v>
      </c>
      <c r="D988" s="46">
        <v>44581</v>
      </c>
      <c r="E988" s="47">
        <v>44562</v>
      </c>
      <c r="F988" s="48" t="s">
        <v>34</v>
      </c>
      <c r="G988" s="54" t="s">
        <v>35</v>
      </c>
      <c r="H988" s="49" t="s">
        <v>40</v>
      </c>
      <c r="I988" s="49" t="s">
        <v>37</v>
      </c>
      <c r="J988" s="50">
        <v>10</v>
      </c>
      <c r="K988" s="51">
        <v>2789</v>
      </c>
      <c r="L988" s="52">
        <v>-1040</v>
      </c>
      <c r="M988" s="53">
        <v>1425</v>
      </c>
      <c r="N988" s="28">
        <f>K988*J988</f>
        <v>27890</v>
      </c>
      <c r="O988" s="54">
        <v>72965</v>
      </c>
      <c r="P988" s="29">
        <v>26.1617067</v>
      </c>
      <c r="Q988" s="55"/>
      <c r="R988" s="31">
        <f>M988+Q988</f>
        <v>1425</v>
      </c>
      <c r="S988" s="56">
        <v>-744</v>
      </c>
      <c r="T988" s="32">
        <f>R988+S988+IF(F988="Without EV deal",L988,0)</f>
        <v>681</v>
      </c>
      <c r="U988" s="57">
        <v>1</v>
      </c>
      <c r="V988" s="58"/>
      <c r="W988" s="58"/>
      <c r="X988" s="78">
        <v>0.25</v>
      </c>
      <c r="Y988" s="30">
        <f>IF(AG988="None",0,IF(AG988="Fix5",0.05, IF(AG988="Fix6.25",0.0625,IF(AG988="Fix3.75",0.0375,IF(AG988="Fix10",0.1,IF(AG988="Fix3",0.03,0))))))</f>
        <v>0</v>
      </c>
      <c r="Z988" s="35">
        <f>T988-AA988-AB988</f>
        <v>477</v>
      </c>
      <c r="AA988" s="60">
        <v>204</v>
      </c>
      <c r="AB988" s="36">
        <f>IF(AD988="EUR",((T988-R988)*Y988)*U988+(R988*Y988),(T988*Y988))</f>
        <v>0</v>
      </c>
      <c r="AC988" s="37" t="b">
        <v>1</v>
      </c>
      <c r="AD988" s="37" t="s">
        <v>38</v>
      </c>
      <c r="AE988" s="37" t="s">
        <v>38</v>
      </c>
      <c r="AF988" s="37" t="str">
        <f t="array" ref="AF988">INDEX('Deal Info'!D:D, MATCH(A988,'Deal Info'!A:A, 0))</f>
        <v>SF</v>
      </c>
      <c r="AG988" s="38" t="str">
        <f t="array" ref="AG988">INDEX('Deal Info'!G:G, MATCH(A988,'Deal Info'!A:A, 0))</f>
        <v>None</v>
      </c>
    </row>
    <row r="989" spans="1:33" ht="14.25" hidden="1" x14ac:dyDescent="0.2">
      <c r="A989" s="18" t="str">
        <f t="array" ref="A989">IF(G989='Room Info'!$B$1, INDEX('Room Info'!$A$2:$A2446, MATCH(B989,'Room Info'!$B$2:$B2446, 0)),IF(G989='Room Info'!$C$1, INDEX('Room Info'!$A$2:$A2446, MATCH(B989,'Room Info'!$C$2:$C2446, 0)),IF(G989='Room Info'!$D$1, INDEX('Room Info'!$A$2:$A2446, MATCH(B989,'Room Info'!$D$2:$D2446, 0)),IF(G989='Room Info'!$E$1, INDEX('Room Info'!$A$2:$A2446, MATCH(B989,'Room Info'!$E$2:$E2446, 0)),IF(G989='Room Info'!$F$1, INDEX('Room Info'!$A$2:$A2446, MATCH(B989,'Room Info'!$F$2:$F2446, 0)),IF(G989='Room Info'!$H$1, INDEX('Room Info'!$A$2:$A2446, MATCH(B989,'Room Info'!$H$2:$H2446, 0)),IF(G989='Room Info'!$G$1, INDEX('Room Info'!$A$2:$A2446, MATCH(B989,'Room Info'!$G$2:$G2446, 0)))))))))</f>
        <v>Mexanuk_AV</v>
      </c>
      <c r="B989" s="45" t="s">
        <v>113</v>
      </c>
      <c r="C989" s="77">
        <v>44582</v>
      </c>
      <c r="D989" s="77">
        <v>44612</v>
      </c>
      <c r="E989" s="47">
        <v>44593</v>
      </c>
      <c r="F989" s="48" t="s">
        <v>34</v>
      </c>
      <c r="G989" s="45" t="s">
        <v>35</v>
      </c>
      <c r="H989" s="49" t="s">
        <v>40</v>
      </c>
      <c r="I989" s="49" t="s">
        <v>37</v>
      </c>
      <c r="J989" s="74">
        <v>10</v>
      </c>
      <c r="K989" s="75">
        <v>1016</v>
      </c>
      <c r="L989" s="72">
        <v>210</v>
      </c>
      <c r="M989" s="76">
        <v>1216</v>
      </c>
      <c r="N989" s="28">
        <f>K989*J989</f>
        <v>10160</v>
      </c>
      <c r="O989" s="45">
        <v>20037</v>
      </c>
      <c r="P989" s="29">
        <v>19.72145669</v>
      </c>
      <c r="Q989" s="55"/>
      <c r="R989" s="31">
        <f>M989+Q989</f>
        <v>1216</v>
      </c>
      <c r="S989" s="73">
        <v>-332</v>
      </c>
      <c r="T989" s="32">
        <f>R989+S989+IF(F989="Without EV deal",L989,0)</f>
        <v>884</v>
      </c>
      <c r="U989" s="57">
        <v>1</v>
      </c>
      <c r="V989" s="58"/>
      <c r="W989" s="58"/>
      <c r="X989" s="78">
        <v>0.3</v>
      </c>
      <c r="Y989" s="30">
        <f>IF(AG989="None",0,IF(AG989="Fix5",0.05, IF(AG989="Fix6.25",0.0625,IF(AG989="Fix3.75",0.0375,IF(AG989="Fix10",0.1,IF(AG989="Fix3",0.03,0))))))</f>
        <v>0</v>
      </c>
      <c r="Z989" s="35">
        <f>T989-AA989-AB989</f>
        <v>663</v>
      </c>
      <c r="AA989" s="60">
        <v>221</v>
      </c>
      <c r="AB989" s="36">
        <f>IF(AD989="EUR",((T989-R989)*Y989)*U989+(R989*Y989),(T989*Y989))</f>
        <v>0</v>
      </c>
      <c r="AC989" s="37" t="b">
        <v>1</v>
      </c>
      <c r="AD989" s="37" t="s">
        <v>38</v>
      </c>
      <c r="AE989" s="37" t="s">
        <v>38</v>
      </c>
      <c r="AF989" s="37" t="str">
        <f t="array" ref="AF989">INDEX('Deal Info'!D:D, MATCH(A989,'Deal Info'!A:A, 0))</f>
        <v>SF</v>
      </c>
      <c r="AG989" s="38" t="str">
        <f t="array" ref="AG989">INDEX('Deal Info'!G:G, MATCH(A989,'Deal Info'!A:A, 0))</f>
        <v>None</v>
      </c>
    </row>
    <row r="990" spans="1:33" ht="14.25" hidden="1" x14ac:dyDescent="0.2">
      <c r="A990" s="18" t="str">
        <f t="array" ref="A990">IF(G990='Room Info'!$B$1, INDEX('Room Info'!$A$2:$A2446, MATCH(B990,'Room Info'!$B$2:$B2446, 0)),IF(G990='Room Info'!$C$1, INDEX('Room Info'!$A$2:$A2446, MATCH(B990,'Room Info'!$C$2:$C2446, 0)),IF(G990='Room Info'!$D$1, INDEX('Room Info'!$A$2:$A2446, MATCH(B990,'Room Info'!$D$2:$D2446, 0)),IF(G990='Room Info'!$E$1, INDEX('Room Info'!$A$2:$A2446, MATCH(B990,'Room Info'!$E$2:$E2446, 0)),IF(G990='Room Info'!$F$1, INDEX('Room Info'!$A$2:$A2446, MATCH(B990,'Room Info'!$F$2:$F2446, 0)),IF(G990='Room Info'!$H$1, INDEX('Room Info'!$A$2:$A2446, MATCH(B990,'Room Info'!$H$2:$H2446, 0)),IF(G990='Room Info'!$G$1, INDEX('Room Info'!$A$2:$A2446, MATCH(B990,'Room Info'!$G$2:$G2446, 0)))))))))</f>
        <v>Mexanuk_AV</v>
      </c>
      <c r="B990" s="45" t="s">
        <v>113</v>
      </c>
      <c r="C990" s="46">
        <v>44613</v>
      </c>
      <c r="D990" s="46">
        <v>44640</v>
      </c>
      <c r="E990" s="47">
        <v>44621</v>
      </c>
      <c r="F990" s="48" t="s">
        <v>34</v>
      </c>
      <c r="G990" s="54" t="s">
        <v>35</v>
      </c>
      <c r="H990" s="49" t="s">
        <v>39</v>
      </c>
      <c r="I990" s="49" t="s">
        <v>37</v>
      </c>
      <c r="J990" s="50">
        <v>5</v>
      </c>
      <c r="K990" s="51">
        <v>162</v>
      </c>
      <c r="L990" s="52">
        <v>-125</v>
      </c>
      <c r="M990" s="53">
        <v>11</v>
      </c>
      <c r="N990" s="28">
        <f>K990*J990</f>
        <v>810</v>
      </c>
      <c r="O990" s="54">
        <v>2702</v>
      </c>
      <c r="P990" s="29">
        <v>16.679012350000001</v>
      </c>
      <c r="Q990" s="55"/>
      <c r="R990" s="31">
        <f>M990+Q990</f>
        <v>11</v>
      </c>
      <c r="S990" s="56">
        <v>-51</v>
      </c>
      <c r="T990" s="32">
        <f>R990+S990+IF(F990="Without EV deal",L990,0)</f>
        <v>-40</v>
      </c>
      <c r="U990" s="57">
        <v>1</v>
      </c>
      <c r="V990" s="58"/>
      <c r="W990" s="58"/>
      <c r="X990" s="78">
        <v>0.3</v>
      </c>
      <c r="Y990" s="30">
        <f>IF(AG990="None",0,IF(AG990="Fix5",0.05, IF(AG990="Fix6.25",0.0625,IF(AG990="Fix3.75",0.0375,IF(AG990="Fix10",0.1,IF(AG990="Fix3",0.03,0))))))</f>
        <v>0</v>
      </c>
      <c r="Z990" s="35">
        <f>T990-AA990-AB990</f>
        <v>-28</v>
      </c>
      <c r="AA990" s="60">
        <v>-12</v>
      </c>
      <c r="AB990" s="36">
        <f>IF(AD990="EUR",((T990-R990)*Y990)*U990+(R990*Y990),(T990*Y990))</f>
        <v>0</v>
      </c>
      <c r="AC990" s="37" t="b">
        <v>1</v>
      </c>
      <c r="AD990" s="37" t="s">
        <v>38</v>
      </c>
      <c r="AE990" s="37" t="s">
        <v>38</v>
      </c>
      <c r="AF990" s="37" t="str">
        <f t="array" ref="AF990">INDEX('Deal Info'!D:D, MATCH(A990,'Deal Info'!A:A, 0))</f>
        <v>SF</v>
      </c>
      <c r="AG990" s="38" t="str">
        <f t="array" ref="AG990">INDEX('Deal Info'!G:G, MATCH(A990,'Deal Info'!A:A, 0))</f>
        <v>None</v>
      </c>
    </row>
    <row r="991" spans="1:33" ht="14.25" hidden="1" x14ac:dyDescent="0.2">
      <c r="A991" s="18" t="str">
        <f t="array" ref="A991">IF(G991='Room Info'!$B$1, INDEX('Room Info'!$A$2:$A2446, MATCH(B991,'Room Info'!$B$2:$B2446, 0)),IF(G991='Room Info'!$C$1, INDEX('Room Info'!$A$2:$A2446, MATCH(B991,'Room Info'!$C$2:$C2446, 0)),IF(G991='Room Info'!$D$1, INDEX('Room Info'!$A$2:$A2446, MATCH(B991,'Room Info'!$D$2:$D2446, 0)),IF(G991='Room Info'!$E$1, INDEX('Room Info'!$A$2:$A2446, MATCH(B991,'Room Info'!$E$2:$E2446, 0)),IF(G991='Room Info'!$F$1, INDEX('Room Info'!$A$2:$A2446, MATCH(B991,'Room Info'!$F$2:$F2446, 0)),IF(G991='Room Info'!$H$1, INDEX('Room Info'!$A$2:$A2446, MATCH(B991,'Room Info'!$H$2:$H2446, 0)),IF(G991='Room Info'!$G$1, INDEX('Room Info'!$A$2:$A2446, MATCH(B991,'Room Info'!$G$2:$G2446, 0)))))))))</f>
        <v>Mexanuk_AV</v>
      </c>
      <c r="B991" s="45" t="s">
        <v>113</v>
      </c>
      <c r="C991" s="46">
        <v>44613</v>
      </c>
      <c r="D991" s="46">
        <v>44640</v>
      </c>
      <c r="E991" s="47">
        <v>44621</v>
      </c>
      <c r="F991" s="48" t="s">
        <v>34</v>
      </c>
      <c r="G991" s="54" t="s">
        <v>35</v>
      </c>
      <c r="H991" s="49" t="s">
        <v>40</v>
      </c>
      <c r="I991" s="49" t="s">
        <v>37</v>
      </c>
      <c r="J991" s="50">
        <v>10</v>
      </c>
      <c r="K991" s="51">
        <v>2153</v>
      </c>
      <c r="L991" s="52">
        <v>70</v>
      </c>
      <c r="M991" s="53">
        <v>264</v>
      </c>
      <c r="N991" s="28">
        <f>K991*J991</f>
        <v>21530</v>
      </c>
      <c r="O991" s="54">
        <v>90754</v>
      </c>
      <c r="P991" s="29">
        <v>42.152345560000001</v>
      </c>
      <c r="Q991" s="55"/>
      <c r="R991" s="31">
        <f>M991+Q991</f>
        <v>264</v>
      </c>
      <c r="S991" s="56">
        <v>32</v>
      </c>
      <c r="T991" s="32">
        <f>R991+S991+IF(F991="Without EV deal",L991,0)</f>
        <v>296</v>
      </c>
      <c r="U991" s="57">
        <v>1</v>
      </c>
      <c r="V991" s="58"/>
      <c r="W991" s="58"/>
      <c r="X991" s="78">
        <v>0.3</v>
      </c>
      <c r="Y991" s="30">
        <f>IF(AG991="None",0,IF(AG991="Fix5",0.05, IF(AG991="Fix6.25",0.0625,IF(AG991="Fix3.75",0.0375,IF(AG991="Fix10",0.1,IF(AG991="Fix3",0.03,0))))))</f>
        <v>0</v>
      </c>
      <c r="Z991" s="35">
        <f>T991-AA991-AB991</f>
        <v>207</v>
      </c>
      <c r="AA991" s="60">
        <v>89</v>
      </c>
      <c r="AB991" s="36">
        <f>IF(AD991="EUR",((T991-R991)*Y991)*U991+(R991*Y991),(T991*Y991))</f>
        <v>0</v>
      </c>
      <c r="AC991" s="37" t="b">
        <v>1</v>
      </c>
      <c r="AD991" s="37" t="s">
        <v>38</v>
      </c>
      <c r="AE991" s="37" t="s">
        <v>38</v>
      </c>
      <c r="AF991" s="37" t="str">
        <f t="array" ref="AF991">INDEX('Deal Info'!D:D, MATCH(A991,'Deal Info'!A:A, 0))</f>
        <v>SF</v>
      </c>
      <c r="AG991" s="38" t="str">
        <f t="array" ref="AG991">INDEX('Deal Info'!G:G, MATCH(A991,'Deal Info'!A:A, 0))</f>
        <v>None</v>
      </c>
    </row>
    <row r="992" spans="1:33" ht="14.25" hidden="1" x14ac:dyDescent="0.2">
      <c r="A992" s="18" t="str">
        <f t="array" ref="A992">IF(G992='Room Info'!$B$1, INDEX('Room Info'!$A$2:$A2446, MATCH(B992,'Room Info'!$B$2:$B2446, 0)),IF(G992='Room Info'!$C$1, INDEX('Room Info'!$A$2:$A2446, MATCH(B992,'Room Info'!$C$2:$C2446, 0)),IF(G992='Room Info'!$D$1, INDEX('Room Info'!$A$2:$A2446, MATCH(B992,'Room Info'!$D$2:$D2446, 0)),IF(G992='Room Info'!$E$1, INDEX('Room Info'!$A$2:$A2446, MATCH(B992,'Room Info'!$E$2:$E2446, 0)),IF(G992='Room Info'!$F$1, INDEX('Room Info'!$A$2:$A2446, MATCH(B992,'Room Info'!$F$2:$F2446, 0)),IF(G992='Room Info'!$H$1, INDEX('Room Info'!$A$2:$A2446, MATCH(B992,'Room Info'!$H$2:$H2446, 0)),IF(G992='Room Info'!$G$1, INDEX('Room Info'!$A$2:$A2446, MATCH(B992,'Room Info'!$G$2:$G2446, 0)))))))))</f>
        <v>Mexanuk_AV</v>
      </c>
      <c r="B992" s="45" t="s">
        <v>113</v>
      </c>
      <c r="C992" s="46">
        <v>44641</v>
      </c>
      <c r="D992" s="46">
        <v>44671</v>
      </c>
      <c r="E992" s="47">
        <v>44652</v>
      </c>
      <c r="F992" s="48" t="s">
        <v>34</v>
      </c>
      <c r="G992" s="54" t="s">
        <v>35</v>
      </c>
      <c r="H992" s="49" t="s">
        <v>39</v>
      </c>
      <c r="I992" s="49" t="s">
        <v>37</v>
      </c>
      <c r="J992" s="50">
        <v>5</v>
      </c>
      <c r="K992" s="51">
        <v>12</v>
      </c>
      <c r="L992" s="52">
        <v>15</v>
      </c>
      <c r="M992" s="53">
        <v>3</v>
      </c>
      <c r="N992" s="28">
        <f>K992*J992</f>
        <v>60</v>
      </c>
      <c r="O992" s="54">
        <v>1356</v>
      </c>
      <c r="P992" s="29">
        <v>113</v>
      </c>
      <c r="Q992" s="55"/>
      <c r="R992" s="31">
        <f>M992+Q992</f>
        <v>3</v>
      </c>
      <c r="S992" s="56">
        <v>7</v>
      </c>
      <c r="T992" s="32">
        <f>R992+S992+IF(F992="Without EV deal",L992,0)</f>
        <v>10</v>
      </c>
      <c r="U992" s="57">
        <v>1</v>
      </c>
      <c r="V992" s="58"/>
      <c r="W992" s="58"/>
      <c r="X992" s="78">
        <v>0.3</v>
      </c>
      <c r="Y992" s="30">
        <f>IF(AG992="None",0,IF(AG992="Fix5",0.05, IF(AG992="Fix6.25",0.0625,IF(AG992="Fix3.75",0.0375,IF(AG992="Fix10",0.1,IF(AG992="Fix3",0.03,0))))))</f>
        <v>0</v>
      </c>
      <c r="Z992" s="35">
        <f>T992-AA992-AB992</f>
        <v>7</v>
      </c>
      <c r="AA992" s="60">
        <v>3</v>
      </c>
      <c r="AB992" s="36">
        <f>IF(AD992="EUR",((T992-R992)*Y992)*U992+(R992*Y992),(T992*Y992))</f>
        <v>0</v>
      </c>
      <c r="AC992" s="37" t="b">
        <v>1</v>
      </c>
      <c r="AD992" s="37" t="s">
        <v>38</v>
      </c>
      <c r="AE992" s="37" t="s">
        <v>38</v>
      </c>
      <c r="AF992" s="37" t="str">
        <f t="array" ref="AF992">INDEX('Deal Info'!D:D, MATCH(A992,'Deal Info'!A:A, 0))</f>
        <v>SF</v>
      </c>
      <c r="AG992" s="38" t="str">
        <f t="array" ref="AG992">INDEX('Deal Info'!G:G, MATCH(A992,'Deal Info'!A:A, 0))</f>
        <v>None</v>
      </c>
    </row>
    <row r="993" spans="1:33" ht="14.25" hidden="1" x14ac:dyDescent="0.2">
      <c r="A993" s="18" t="str">
        <f t="array" ref="A993">IF(G993='Room Info'!$B$1, INDEX('Room Info'!$A$2:$A2446, MATCH(B993,'Room Info'!$B$2:$B2446, 0)),IF(G993='Room Info'!$C$1, INDEX('Room Info'!$A$2:$A2446, MATCH(B993,'Room Info'!$C$2:$C2446, 0)),IF(G993='Room Info'!$D$1, INDEX('Room Info'!$A$2:$A2446, MATCH(B993,'Room Info'!$D$2:$D2446, 0)),IF(G993='Room Info'!$E$1, INDEX('Room Info'!$A$2:$A2446, MATCH(B993,'Room Info'!$E$2:$E2446, 0)),IF(G993='Room Info'!$F$1, INDEX('Room Info'!$A$2:$A2446, MATCH(B993,'Room Info'!$F$2:$F2446, 0)),IF(G993='Room Info'!$H$1, INDEX('Room Info'!$A$2:$A2446, MATCH(B993,'Room Info'!$H$2:$H2446, 0)),IF(G993='Room Info'!$G$1, INDEX('Room Info'!$A$2:$A2446, MATCH(B993,'Room Info'!$G$2:$G2446, 0)))))))))</f>
        <v>Mexanuk_AV</v>
      </c>
      <c r="B993" s="45" t="s">
        <v>113</v>
      </c>
      <c r="C993" s="46">
        <v>44641</v>
      </c>
      <c r="D993" s="46">
        <v>44671</v>
      </c>
      <c r="E993" s="47">
        <v>44652</v>
      </c>
      <c r="F993" s="48" t="s">
        <v>34</v>
      </c>
      <c r="G993" s="45" t="s">
        <v>35</v>
      </c>
      <c r="H993" s="49" t="s">
        <v>40</v>
      </c>
      <c r="I993" s="49" t="s">
        <v>37</v>
      </c>
      <c r="J993" s="50">
        <v>10</v>
      </c>
      <c r="K993" s="51">
        <v>3011</v>
      </c>
      <c r="L993" s="52">
        <v>-1030</v>
      </c>
      <c r="M993" s="53">
        <v>1332</v>
      </c>
      <c r="N993" s="28">
        <f>K993*J993</f>
        <v>30110</v>
      </c>
      <c r="O993" s="54">
        <v>82416</v>
      </c>
      <c r="P993" s="29">
        <v>27.371637329999999</v>
      </c>
      <c r="Q993" s="55"/>
      <c r="R993" s="31">
        <f>M993+Q993</f>
        <v>1332</v>
      </c>
      <c r="S993" s="56">
        <v>-619</v>
      </c>
      <c r="T993" s="32">
        <f>R993+S993+IF(F993="Without EV deal",L993,0)</f>
        <v>713</v>
      </c>
      <c r="U993" s="57">
        <v>1</v>
      </c>
      <c r="V993" s="58"/>
      <c r="W993" s="58"/>
      <c r="X993" s="78">
        <v>0.25</v>
      </c>
      <c r="Y993" s="30">
        <f>IF(AG993="None",0,IF(AG993="Fix5",0.05, IF(AG993="Fix6.25",0.0625,IF(AG993="Fix3.75",0.0375,IF(AG993="Fix10",0.1,IF(AG993="Fix3",0.03,0))))))</f>
        <v>0</v>
      </c>
      <c r="Z993" s="35">
        <f>T993-AA993-AB993</f>
        <v>499</v>
      </c>
      <c r="AA993" s="60">
        <v>214</v>
      </c>
      <c r="AB993" s="36">
        <f>IF(AD993="EUR",((T993-R993)*Y993)*U993+(R993*Y993),(T993*Y993))</f>
        <v>0</v>
      </c>
      <c r="AC993" s="37" t="b">
        <v>1</v>
      </c>
      <c r="AD993" s="37" t="s">
        <v>38</v>
      </c>
      <c r="AE993" s="37" t="s">
        <v>38</v>
      </c>
      <c r="AF993" s="37" t="str">
        <f t="array" ref="AF993">INDEX('Deal Info'!D:D, MATCH(A993,'Deal Info'!A:A, 0))</f>
        <v>SF</v>
      </c>
      <c r="AG993" s="38" t="str">
        <f t="array" ref="AG993">INDEX('Deal Info'!G:G, MATCH(A993,'Deal Info'!A:A, 0))</f>
        <v>None</v>
      </c>
    </row>
    <row r="994" spans="1:33" ht="14.25" hidden="1" x14ac:dyDescent="0.2">
      <c r="A994" s="18" t="str">
        <f t="array" ref="A994">IF(G994='Room Info'!$B$1, INDEX('Room Info'!$A$2:$A2446, MATCH(B994,'Room Info'!$B$2:$B2446, 0)),IF(G994='Room Info'!$C$1, INDEX('Room Info'!$A$2:$A2446, MATCH(B994,'Room Info'!$C$2:$C2446, 0)),IF(G994='Room Info'!$D$1, INDEX('Room Info'!$A$2:$A2446, MATCH(B994,'Room Info'!$D$2:$D2446, 0)),IF(G994='Room Info'!$E$1, INDEX('Room Info'!$A$2:$A2446, MATCH(B994,'Room Info'!$E$2:$E2446, 0)),IF(G994='Room Info'!$F$1, INDEX('Room Info'!$A$2:$A2446, MATCH(B994,'Room Info'!$F$2:$F2446, 0)),IF(G994='Room Info'!$H$1, INDEX('Room Info'!$A$2:$A2446, MATCH(B994,'Room Info'!$H$2:$H2446, 0)),IF(G994='Room Info'!$G$1, INDEX('Room Info'!$A$2:$A2446, MATCH(B994,'Room Info'!$G$2:$G2446, 0)))))))))</f>
        <v>Mexanuk_AV</v>
      </c>
      <c r="B994" s="45" t="s">
        <v>113</v>
      </c>
      <c r="C994" s="46">
        <v>44672</v>
      </c>
      <c r="D994" s="46">
        <v>44701</v>
      </c>
      <c r="E994" s="47">
        <v>44682</v>
      </c>
      <c r="F994" s="48" t="s">
        <v>34</v>
      </c>
      <c r="G994" s="45" t="s">
        <v>35</v>
      </c>
      <c r="H994" s="49" t="s">
        <v>40</v>
      </c>
      <c r="I994" s="49" t="s">
        <v>37</v>
      </c>
      <c r="J994" s="50">
        <v>10</v>
      </c>
      <c r="K994" s="51">
        <v>2691</v>
      </c>
      <c r="L994" s="52">
        <v>-990</v>
      </c>
      <c r="M994" s="53">
        <v>1945</v>
      </c>
      <c r="N994" s="28">
        <f>K994*J994</f>
        <v>26910</v>
      </c>
      <c r="O994" s="54">
        <v>81314</v>
      </c>
      <c r="P994" s="29">
        <v>30.217019700000002</v>
      </c>
      <c r="Q994" s="55"/>
      <c r="R994" s="31">
        <f>M994+Q994</f>
        <v>1945</v>
      </c>
      <c r="S994" s="56">
        <v>-476</v>
      </c>
      <c r="T994" s="32">
        <f>R994+S994+IF(F994="Without EV deal",L994,0)</f>
        <v>1469</v>
      </c>
      <c r="U994" s="57">
        <v>1</v>
      </c>
      <c r="V994" s="58"/>
      <c r="W994" s="58"/>
      <c r="X994" s="78">
        <v>0.25</v>
      </c>
      <c r="Y994" s="30">
        <f>IF(AG994="None",0,IF(AG994="Fix5",0.05, IF(AG994="Fix6.25",0.0625,IF(AG994="Fix3.75",0.0375,IF(AG994="Fix10",0.1,IF(AG994="Fix3",0.03,0))))))</f>
        <v>0</v>
      </c>
      <c r="Z994" s="35">
        <f>T994-AA994-AB994</f>
        <v>1102</v>
      </c>
      <c r="AA994" s="60">
        <v>367</v>
      </c>
      <c r="AB994" s="36">
        <f>IF(AD994="EUR",((T994-R994)*Y994)*U994+(R994*Y994),(T994*Y994))</f>
        <v>0</v>
      </c>
      <c r="AC994" s="37" t="b">
        <v>1</v>
      </c>
      <c r="AD994" s="37" t="s">
        <v>38</v>
      </c>
      <c r="AE994" s="37" t="s">
        <v>38</v>
      </c>
      <c r="AF994" s="37" t="str">
        <f t="array" ref="AF994">INDEX('Deal Info'!D:D, MATCH(A994,'Deal Info'!A:A, 0))</f>
        <v>SF</v>
      </c>
      <c r="AG994" s="38" t="str">
        <f t="array" ref="AG994">INDEX('Deal Info'!G:G, MATCH(A994,'Deal Info'!A:A, 0))</f>
        <v>None</v>
      </c>
    </row>
    <row r="995" spans="1:33" ht="14.25" hidden="1" x14ac:dyDescent="0.2">
      <c r="A995" s="18" t="str">
        <f t="array" ref="A995">IF(G995='Room Info'!$B$1, INDEX('Room Info'!$A$2:$A2446, MATCH(B995,'Room Info'!$B$2:$B2446, 0)),IF(G995='Room Info'!$C$1, INDEX('Room Info'!$A$2:$A2446, MATCH(B995,'Room Info'!$C$2:$C2446, 0)),IF(G995='Room Info'!$D$1, INDEX('Room Info'!$A$2:$A2446, MATCH(B995,'Room Info'!$D$2:$D2446, 0)),IF(G995='Room Info'!$E$1, INDEX('Room Info'!$A$2:$A2446, MATCH(B995,'Room Info'!$E$2:$E2446, 0)),IF(G995='Room Info'!$F$1, INDEX('Room Info'!$A$2:$A2446, MATCH(B995,'Room Info'!$F$2:$F2446, 0)),IF(G995='Room Info'!$H$1, INDEX('Room Info'!$A$2:$A2446, MATCH(B995,'Room Info'!$H$2:$H2446, 0)),IF(G995='Room Info'!$G$1, INDEX('Room Info'!$A$2:$A2446, MATCH(B995,'Room Info'!$G$2:$G2446, 0)))))))))</f>
        <v>Mexanuk_AV</v>
      </c>
      <c r="B995" s="45" t="s">
        <v>113</v>
      </c>
      <c r="C995" s="46">
        <v>44702</v>
      </c>
      <c r="D995" s="46">
        <v>44732</v>
      </c>
      <c r="E995" s="47">
        <v>44713</v>
      </c>
      <c r="F995" s="48" t="s">
        <v>34</v>
      </c>
      <c r="G995" s="45" t="s">
        <v>35</v>
      </c>
      <c r="H995" s="49" t="s">
        <v>40</v>
      </c>
      <c r="I995" s="49" t="s">
        <v>37</v>
      </c>
      <c r="J995" s="50">
        <v>10</v>
      </c>
      <c r="K995" s="51">
        <v>2783</v>
      </c>
      <c r="L995" s="52">
        <v>810</v>
      </c>
      <c r="M995" s="53">
        <v>1455</v>
      </c>
      <c r="N995" s="28">
        <f>K995*J995</f>
        <v>27830</v>
      </c>
      <c r="O995" s="54">
        <v>109853</v>
      </c>
      <c r="P995" s="29">
        <v>39.472870999999998</v>
      </c>
      <c r="Q995" s="55"/>
      <c r="R995" s="31">
        <f>M995+Q995</f>
        <v>1455</v>
      </c>
      <c r="S995" s="56">
        <v>-27</v>
      </c>
      <c r="T995" s="32">
        <f>R995+S995+IF(F995="Without EV deal",L995,0)</f>
        <v>1428</v>
      </c>
      <c r="U995" s="57">
        <v>1</v>
      </c>
      <c r="V995" s="58"/>
      <c r="W995" s="58"/>
      <c r="X995" s="78">
        <v>0.25</v>
      </c>
      <c r="Y995" s="30">
        <f>IF(AG995="None",0,IF(AG995="Fix5",0.05, IF(AG995="Fix6.25",0.0625,IF(AG995="Fix3.75",0.0375,IF(AG995="Fix10",0.1,IF(AG995="Fix3",0.03,0))))))</f>
        <v>0</v>
      </c>
      <c r="Z995" s="35">
        <f>T995-AA995-AB995</f>
        <v>1071</v>
      </c>
      <c r="AA995" s="60">
        <v>357</v>
      </c>
      <c r="AB995" s="36">
        <f>IF(AD995="EUR",((T995-R995)*Y995)*U995+(R995*Y995),(T995*Y995))</f>
        <v>0</v>
      </c>
      <c r="AC995" s="37" t="b">
        <v>1</v>
      </c>
      <c r="AD995" s="37" t="s">
        <v>38</v>
      </c>
      <c r="AE995" s="37" t="s">
        <v>38</v>
      </c>
      <c r="AF995" s="37" t="str">
        <f t="array" ref="AF995">INDEX('Deal Info'!D:D, MATCH(A995,'Deal Info'!A:A, 0))</f>
        <v>SF</v>
      </c>
      <c r="AG995" s="38" t="str">
        <f t="array" ref="AG995">INDEX('Deal Info'!G:G, MATCH(A995,'Deal Info'!A:A, 0))</f>
        <v>None</v>
      </c>
    </row>
    <row r="996" spans="1:33" ht="14.25" hidden="1" x14ac:dyDescent="0.2">
      <c r="A996" s="18" t="str">
        <f t="array" ref="A996">IF(G996='Room Info'!$B$1, INDEX('Room Info'!$A$2:$A2446, MATCH(B996,'Room Info'!$B$2:$B2446, 0)),IF(G996='Room Info'!$C$1, INDEX('Room Info'!$A$2:$A2446, MATCH(B996,'Room Info'!$C$2:$C2446, 0)),IF(G996='Room Info'!$D$1, INDEX('Room Info'!$A$2:$A2446, MATCH(B996,'Room Info'!$D$2:$D2446, 0)),IF(G996='Room Info'!$E$1, INDEX('Room Info'!$A$2:$A2446, MATCH(B996,'Room Info'!$E$2:$E2446, 0)),IF(G996='Room Info'!$F$1, INDEX('Room Info'!$A$2:$A2446, MATCH(B996,'Room Info'!$F$2:$F2446, 0)),IF(G996='Room Info'!$H$1, INDEX('Room Info'!$A$2:$A2446, MATCH(B996,'Room Info'!$H$2:$H2446, 0)),IF(G996='Room Info'!$G$1, INDEX('Room Info'!$A$2:$A2446, MATCH(B996,'Room Info'!$G$2:$G2446, 0)))))))))</f>
        <v>Mexanuk_AV</v>
      </c>
      <c r="B996" s="45" t="s">
        <v>113</v>
      </c>
      <c r="C996" s="46">
        <v>44733</v>
      </c>
      <c r="D996" s="46">
        <v>44762</v>
      </c>
      <c r="E996" s="47">
        <v>44743</v>
      </c>
      <c r="F996" s="48" t="s">
        <v>34</v>
      </c>
      <c r="G996" s="45" t="s">
        <v>35</v>
      </c>
      <c r="H996" s="49" t="s">
        <v>39</v>
      </c>
      <c r="I996" s="49" t="s">
        <v>37</v>
      </c>
      <c r="J996" s="50">
        <v>5</v>
      </c>
      <c r="K996" s="51">
        <v>2</v>
      </c>
      <c r="L996" s="52">
        <v>0</v>
      </c>
      <c r="M996" s="62"/>
      <c r="N996" s="28">
        <f>K996*J996</f>
        <v>10</v>
      </c>
      <c r="O996" s="54">
        <v>-276</v>
      </c>
      <c r="P996" s="29">
        <v>-138</v>
      </c>
      <c r="Q996" s="55"/>
      <c r="R996" s="31">
        <f>M996+Q996</f>
        <v>0</v>
      </c>
      <c r="S996" s="56">
        <v>-3</v>
      </c>
      <c r="T996" s="32">
        <f>R996+S996+IF(F996="Without EV deal",L996,0)</f>
        <v>-3</v>
      </c>
      <c r="U996" s="57">
        <v>1</v>
      </c>
      <c r="V996" s="58"/>
      <c r="W996" s="58"/>
      <c r="X996" s="78">
        <v>0.25</v>
      </c>
      <c r="Y996" s="30">
        <f>IF(AG996="None",0,IF(AG996="Fix5",0.05, IF(AG996="Fix6.25",0.0625,IF(AG996="Fix3.75",0.0375,IF(AG996="Fix10",0.1,IF(AG996="Fix3",0.03,0))))))</f>
        <v>0</v>
      </c>
      <c r="Z996" s="35">
        <f>T996-AA996-AB996</f>
        <v>-2</v>
      </c>
      <c r="AA996" s="60">
        <v>-1</v>
      </c>
      <c r="AB996" s="36">
        <f>IF(AD996="EUR",((T996-R996)*Y996)*U996+(R996*Y996),(T996*Y996))</f>
        <v>0</v>
      </c>
      <c r="AC996" s="37" t="b">
        <v>1</v>
      </c>
      <c r="AD996" s="37" t="s">
        <v>38</v>
      </c>
      <c r="AE996" s="37" t="s">
        <v>38</v>
      </c>
      <c r="AF996" s="37" t="str">
        <f t="array" ref="AF996">INDEX('Deal Info'!D:D, MATCH(A996,'Deal Info'!A:A, 0))</f>
        <v>SF</v>
      </c>
      <c r="AG996" s="38" t="str">
        <f t="array" ref="AG996">INDEX('Deal Info'!G:G, MATCH(A996,'Deal Info'!A:A, 0))</f>
        <v>None</v>
      </c>
    </row>
    <row r="997" spans="1:33" ht="14.25" hidden="1" x14ac:dyDescent="0.2">
      <c r="A997" s="18" t="str">
        <f t="array" ref="A997">IF(G997='Room Info'!$B$1, INDEX('Room Info'!$A$2:$A2446, MATCH(B997,'Room Info'!$B$2:$B2446, 0)),IF(G997='Room Info'!$C$1, INDEX('Room Info'!$A$2:$A2446, MATCH(B997,'Room Info'!$C$2:$C2446, 0)),IF(G997='Room Info'!$D$1, INDEX('Room Info'!$A$2:$A2446, MATCH(B997,'Room Info'!$D$2:$D2446, 0)),IF(G997='Room Info'!$E$1, INDEX('Room Info'!$A$2:$A2446, MATCH(B997,'Room Info'!$E$2:$E2446, 0)),IF(G997='Room Info'!$F$1, INDEX('Room Info'!$A$2:$A2446, MATCH(B997,'Room Info'!$F$2:$F2446, 0)),IF(G997='Room Info'!$H$1, INDEX('Room Info'!$A$2:$A2446, MATCH(B997,'Room Info'!$H$2:$H2446, 0)),IF(G997='Room Info'!$G$1, INDEX('Room Info'!$A$2:$A2446, MATCH(B997,'Room Info'!$G$2:$G2446, 0)))))))))</f>
        <v>Mexanuk_AV</v>
      </c>
      <c r="B997" s="45" t="s">
        <v>113</v>
      </c>
      <c r="C997" s="46">
        <v>44733</v>
      </c>
      <c r="D997" s="46">
        <v>44762</v>
      </c>
      <c r="E997" s="47">
        <v>44743</v>
      </c>
      <c r="F997" s="48" t="s">
        <v>34</v>
      </c>
      <c r="G997" s="45" t="s">
        <v>35</v>
      </c>
      <c r="H997" s="49" t="s">
        <v>40</v>
      </c>
      <c r="I997" s="49" t="s">
        <v>37</v>
      </c>
      <c r="J997" s="50">
        <v>10</v>
      </c>
      <c r="K997" s="51">
        <v>2952</v>
      </c>
      <c r="L997" s="52">
        <v>-760</v>
      </c>
      <c r="M997" s="53">
        <v>1825</v>
      </c>
      <c r="N997" s="28">
        <f>K997*J997</f>
        <v>29520</v>
      </c>
      <c r="O997" s="54">
        <v>94078</v>
      </c>
      <c r="P997" s="29">
        <v>31.86924119</v>
      </c>
      <c r="Q997" s="55"/>
      <c r="R997" s="31">
        <f>M997+Q997</f>
        <v>1825</v>
      </c>
      <c r="S997" s="56">
        <v>-498</v>
      </c>
      <c r="T997" s="32">
        <f>R997+S997+IF(F997="Without EV deal",L997,0)</f>
        <v>1327</v>
      </c>
      <c r="U997" s="57">
        <v>1</v>
      </c>
      <c r="V997" s="58"/>
      <c r="W997" s="58"/>
      <c r="X997" s="78">
        <v>0.3</v>
      </c>
      <c r="Y997" s="30">
        <f>IF(AG997="None",0,IF(AG997="Fix5",0.05, IF(AG997="Fix6.25",0.0625,IF(AG997="Fix3.75",0.0375,IF(AG997="Fix10",0.1,IF(AG997="Fix3",0.03,0))))))</f>
        <v>0</v>
      </c>
      <c r="Z997" s="35">
        <f>T997-AA997-AB997</f>
        <v>995</v>
      </c>
      <c r="AA997" s="60">
        <v>332</v>
      </c>
      <c r="AB997" s="36">
        <f>IF(AD997="EUR",((T997-R997)*Y997)*U997+(R997*Y997),(T997*Y997))</f>
        <v>0</v>
      </c>
      <c r="AC997" s="37" t="b">
        <v>1</v>
      </c>
      <c r="AD997" s="37" t="s">
        <v>38</v>
      </c>
      <c r="AE997" s="37" t="s">
        <v>38</v>
      </c>
      <c r="AF997" s="37" t="str">
        <f t="array" ref="AF997">INDEX('Deal Info'!D:D, MATCH(A997,'Deal Info'!A:A, 0))</f>
        <v>SF</v>
      </c>
      <c r="AG997" s="38" t="str">
        <f t="array" ref="AG997">INDEX('Deal Info'!G:G, MATCH(A997,'Deal Info'!A:A, 0))</f>
        <v>None</v>
      </c>
    </row>
    <row r="998" spans="1:33" ht="14.25" hidden="1" x14ac:dyDescent="0.2">
      <c r="A998" s="18" t="str">
        <f t="array" ref="A998">IF(G998='Room Info'!$B$1, INDEX('Room Info'!$A$2:$A2446, MATCH(B998,'Room Info'!$B$2:$B2446, 0)),IF(G998='Room Info'!$C$1, INDEX('Room Info'!$A$2:$A2446, MATCH(B998,'Room Info'!$C$2:$C2446, 0)),IF(G998='Room Info'!$D$1, INDEX('Room Info'!$A$2:$A2446, MATCH(B998,'Room Info'!$D$2:$D2446, 0)),IF(G998='Room Info'!$E$1, INDEX('Room Info'!$A$2:$A2446, MATCH(B998,'Room Info'!$E$2:$E2446, 0)),IF(G998='Room Info'!$F$1, INDEX('Room Info'!$A$2:$A2446, MATCH(B998,'Room Info'!$F$2:$F2446, 0)),IF(G998='Room Info'!$H$1, INDEX('Room Info'!$A$2:$A2446, MATCH(B998,'Room Info'!$H$2:$H2446, 0)),IF(G998='Room Info'!$G$1, INDEX('Room Info'!$A$2:$A2446, MATCH(B998,'Room Info'!$G$2:$G2446, 0)))))))))</f>
        <v>Mexanuk_AV</v>
      </c>
      <c r="B998" s="45" t="s">
        <v>113</v>
      </c>
      <c r="C998" s="46">
        <v>44763</v>
      </c>
      <c r="D998" s="46">
        <v>44793</v>
      </c>
      <c r="E998" s="47">
        <v>44774</v>
      </c>
      <c r="F998" s="48" t="s">
        <v>34</v>
      </c>
      <c r="G998" s="45" t="s">
        <v>35</v>
      </c>
      <c r="H998" s="49" t="s">
        <v>40</v>
      </c>
      <c r="I998" s="49" t="s">
        <v>37</v>
      </c>
      <c r="J998" s="50">
        <v>10</v>
      </c>
      <c r="K998" s="51">
        <v>2673</v>
      </c>
      <c r="L998" s="52">
        <v>-1840</v>
      </c>
      <c r="M998" s="53">
        <v>165</v>
      </c>
      <c r="N998" s="28">
        <f>K998*J998</f>
        <v>26730</v>
      </c>
      <c r="O998" s="54">
        <v>47481</v>
      </c>
      <c r="P998" s="29">
        <v>17.763187429999999</v>
      </c>
      <c r="Q998" s="55"/>
      <c r="R998" s="31">
        <f>M998+Q998</f>
        <v>165</v>
      </c>
      <c r="S998" s="56">
        <v>-1085</v>
      </c>
      <c r="T998" s="32">
        <f>R998+S998+IF(F998="Without EV deal",L998,0)</f>
        <v>-920</v>
      </c>
      <c r="U998" s="57">
        <v>1</v>
      </c>
      <c r="V998" s="58"/>
      <c r="W998" s="58"/>
      <c r="X998" s="78">
        <v>0.3</v>
      </c>
      <c r="Y998" s="30">
        <f>IF(AG998="None",0,IF(AG998="Fix5",0.05, IF(AG998="Fix6.25",0.0625,IF(AG998="Fix3.75",0.0375,IF(AG998="Fix10",0.1,IF(AG998="Fix3",0.03,0))))))</f>
        <v>0</v>
      </c>
      <c r="Z998" s="35">
        <f>T998-AA998-AB998</f>
        <v>-644</v>
      </c>
      <c r="AA998" s="60">
        <v>-276</v>
      </c>
      <c r="AB998" s="36">
        <f>IF(AD998="EUR",((T998-R998)*Y998)*U998+(R998*Y998),(T998*Y998))</f>
        <v>0</v>
      </c>
      <c r="AC998" s="37" t="b">
        <v>1</v>
      </c>
      <c r="AD998" s="37" t="s">
        <v>38</v>
      </c>
      <c r="AE998" s="37" t="s">
        <v>38</v>
      </c>
      <c r="AF998" s="37" t="str">
        <f t="array" ref="AF998">INDEX('Deal Info'!D:D, MATCH(A998,'Deal Info'!A:A, 0))</f>
        <v>SF</v>
      </c>
      <c r="AG998" s="38" t="str">
        <f t="array" ref="AG998">INDEX('Deal Info'!G:G, MATCH(A998,'Deal Info'!A:A, 0))</f>
        <v>None</v>
      </c>
    </row>
    <row r="999" spans="1:33" ht="14.25" hidden="1" x14ac:dyDescent="0.2">
      <c r="A999" s="18" t="str">
        <f t="array" ref="A999">IF(G999='Room Info'!$B$1, INDEX('Room Info'!$A$2:$A2446, MATCH(B999,'Room Info'!$B$2:$B2446, 0)),IF(G999='Room Info'!$C$1, INDEX('Room Info'!$A$2:$A2446, MATCH(B999,'Room Info'!$C$2:$C2446, 0)),IF(G999='Room Info'!$D$1, INDEX('Room Info'!$A$2:$A2446, MATCH(B999,'Room Info'!$D$2:$D2446, 0)),IF(G999='Room Info'!$E$1, INDEX('Room Info'!$A$2:$A2446, MATCH(B999,'Room Info'!$E$2:$E2446, 0)),IF(G999='Room Info'!$F$1, INDEX('Room Info'!$A$2:$A2446, MATCH(B999,'Room Info'!$F$2:$F2446, 0)),IF(G999='Room Info'!$H$1, INDEX('Room Info'!$A$2:$A2446, MATCH(B999,'Room Info'!$H$2:$H2446, 0)),IF(G999='Room Info'!$G$1, INDEX('Room Info'!$A$2:$A2446, MATCH(B999,'Room Info'!$G$2:$G2446, 0)))))))))</f>
        <v>Mexanuk_AV</v>
      </c>
      <c r="B999" s="45" t="s">
        <v>113</v>
      </c>
      <c r="C999" s="46">
        <v>44794</v>
      </c>
      <c r="D999" s="46">
        <v>44824</v>
      </c>
      <c r="E999" s="47">
        <v>44805</v>
      </c>
      <c r="F999" s="48" t="s">
        <v>34</v>
      </c>
      <c r="G999" s="45" t="s">
        <v>35</v>
      </c>
      <c r="H999" s="49" t="s">
        <v>40</v>
      </c>
      <c r="I999" s="49" t="s">
        <v>37</v>
      </c>
      <c r="J999" s="50">
        <v>10</v>
      </c>
      <c r="K999" s="51">
        <v>3082</v>
      </c>
      <c r="L999" s="52">
        <v>-2510</v>
      </c>
      <c r="M999" s="53">
        <v>2470</v>
      </c>
      <c r="N999" s="28">
        <f>K999*J999</f>
        <v>30820</v>
      </c>
      <c r="O999" s="54">
        <v>59631</v>
      </c>
      <c r="P999" s="29">
        <v>19.34815055</v>
      </c>
      <c r="Q999" s="55"/>
      <c r="R999" s="31">
        <f>M999+Q999</f>
        <v>2470</v>
      </c>
      <c r="S999" s="56">
        <v>-1205</v>
      </c>
      <c r="T999" s="32">
        <f>R999+S999+IF(F999="Without EV deal",L999,0)</f>
        <v>1265</v>
      </c>
      <c r="U999" s="57">
        <v>1</v>
      </c>
      <c r="V999" s="58"/>
      <c r="W999" s="58"/>
      <c r="X999" s="78">
        <v>0.25</v>
      </c>
      <c r="Y999" s="30">
        <f>IF(AG999="None",0,IF(AG999="Fix5",0.05, IF(AG999="Fix6.25",0.0625,IF(AG999="Fix3.75",0.0375,IF(AG999="Fix10",0.1,IF(AG999="Fix3",0.03,0))))))</f>
        <v>0</v>
      </c>
      <c r="Z999" s="35">
        <f>T999-AA999-AB999</f>
        <v>885</v>
      </c>
      <c r="AA999" s="60">
        <v>380</v>
      </c>
      <c r="AB999" s="36">
        <f>IF(AD999="EUR",((T999-R999)*Y999)*U999+(R999*Y999),(T999*Y999))</f>
        <v>0</v>
      </c>
      <c r="AC999" s="37" t="b">
        <v>1</v>
      </c>
      <c r="AD999" s="37" t="s">
        <v>38</v>
      </c>
      <c r="AE999" s="37" t="s">
        <v>38</v>
      </c>
      <c r="AF999" s="37" t="str">
        <f t="array" ref="AF999">INDEX('Deal Info'!D:D, MATCH(A999,'Deal Info'!A:A, 0))</f>
        <v>SF</v>
      </c>
      <c r="AG999" s="38" t="str">
        <f t="array" ref="AG999">INDEX('Deal Info'!G:G, MATCH(A999,'Deal Info'!A:A, 0))</f>
        <v>None</v>
      </c>
    </row>
    <row r="1000" spans="1:33" ht="14.25" hidden="1" x14ac:dyDescent="0.2">
      <c r="A1000" s="18" t="str">
        <f t="array" ref="A1000">IF(G1000='Room Info'!$B$1, INDEX('Room Info'!$A$2:$A2446, MATCH(B1000,'Room Info'!$B$2:$B2446, 0)),IF(G1000='Room Info'!$C$1, INDEX('Room Info'!$A$2:$A2446, MATCH(B1000,'Room Info'!$C$2:$C2446, 0)),IF(G1000='Room Info'!$D$1, INDEX('Room Info'!$A$2:$A2446, MATCH(B1000,'Room Info'!$D$2:$D2446, 0)),IF(G1000='Room Info'!$E$1, INDEX('Room Info'!$A$2:$A2446, MATCH(B1000,'Room Info'!$E$2:$E2446, 0)),IF(G1000='Room Info'!$F$1, INDEX('Room Info'!$A$2:$A2446, MATCH(B1000,'Room Info'!$F$2:$F2446, 0)),IF(G1000='Room Info'!$H$1, INDEX('Room Info'!$A$2:$A2446, MATCH(B1000,'Room Info'!$H$2:$H2446, 0)),IF(G1000='Room Info'!$G$1, INDEX('Room Info'!$A$2:$A2446, MATCH(B1000,'Room Info'!$G$2:$G2446, 0)))))))))</f>
        <v>Mexanuk_AV</v>
      </c>
      <c r="B1000" s="45" t="s">
        <v>113</v>
      </c>
      <c r="C1000" s="46">
        <v>44825</v>
      </c>
      <c r="D1000" s="46">
        <v>44854</v>
      </c>
      <c r="E1000" s="47">
        <v>44835</v>
      </c>
      <c r="F1000" s="48" t="s">
        <v>34</v>
      </c>
      <c r="G1000" s="45" t="s">
        <v>35</v>
      </c>
      <c r="H1000" s="49" t="s">
        <v>39</v>
      </c>
      <c r="I1000" s="49" t="s">
        <v>37</v>
      </c>
      <c r="J1000" s="50">
        <v>5</v>
      </c>
      <c r="K1000" s="51">
        <v>1</v>
      </c>
      <c r="L1000" s="52">
        <v>-5</v>
      </c>
      <c r="M1000" s="62"/>
      <c r="N1000" s="28">
        <f>K1000*J1000</f>
        <v>5</v>
      </c>
      <c r="O1000" s="54">
        <v>98</v>
      </c>
      <c r="P1000" s="29">
        <v>98</v>
      </c>
      <c r="Q1000" s="55"/>
      <c r="R1000" s="31">
        <f>M1000+Q1000</f>
        <v>0</v>
      </c>
      <c r="S1000" s="56">
        <v>0</v>
      </c>
      <c r="T1000" s="32">
        <f>R1000+S1000+IF(F1000="Without EV deal",L1000,0)</f>
        <v>0</v>
      </c>
      <c r="U1000" s="57">
        <v>1</v>
      </c>
      <c r="V1000" s="58"/>
      <c r="W1000" s="58"/>
      <c r="X1000" s="78">
        <v>0.25</v>
      </c>
      <c r="Y1000" s="30">
        <f>IF(AG1000="None",0,IF(AG1000="Fix5",0.05, IF(AG1000="Fix6.25",0.0625,IF(AG1000="Fix3.75",0.0375,IF(AG1000="Fix10",0.1,IF(AG1000="Fix3",0.03,0))))))</f>
        <v>0</v>
      </c>
      <c r="Z1000" s="35">
        <f>T1000-AA1000-AB1000</f>
        <v>0</v>
      </c>
      <c r="AA1000" s="60">
        <v>0</v>
      </c>
      <c r="AB1000" s="36">
        <f>IF(AD1000="EUR",((T1000-R1000)*Y1000)*U1000+(R1000*Y1000),(T1000*Y1000))</f>
        <v>0</v>
      </c>
      <c r="AC1000" s="37" t="b">
        <v>1</v>
      </c>
      <c r="AD1000" s="37" t="s">
        <v>38</v>
      </c>
      <c r="AE1000" s="37" t="s">
        <v>38</v>
      </c>
      <c r="AF1000" s="37" t="str">
        <f t="array" ref="AF1000">INDEX('Deal Info'!D:D, MATCH(A1000,'Deal Info'!A:A, 0))</f>
        <v>SF</v>
      </c>
      <c r="AG1000" s="38" t="str">
        <f t="array" ref="AG1000">INDEX('Deal Info'!G:G, MATCH(A1000,'Deal Info'!A:A, 0))</f>
        <v>None</v>
      </c>
    </row>
    <row r="1001" spans="1:33" ht="14.25" hidden="1" x14ac:dyDescent="0.2">
      <c r="A1001" s="18" t="str">
        <f t="array" ref="A1001">IF(G1001='Room Info'!$B$1, INDEX('Room Info'!$A$2:$A2446, MATCH(B1001,'Room Info'!$B$2:$B2446, 0)),IF(G1001='Room Info'!$C$1, INDEX('Room Info'!$A$2:$A2446, MATCH(B1001,'Room Info'!$C$2:$C2446, 0)),IF(G1001='Room Info'!$D$1, INDEX('Room Info'!$A$2:$A2446, MATCH(B1001,'Room Info'!$D$2:$D2446, 0)),IF(G1001='Room Info'!$E$1, INDEX('Room Info'!$A$2:$A2446, MATCH(B1001,'Room Info'!$E$2:$E2446, 0)),IF(G1001='Room Info'!$F$1, INDEX('Room Info'!$A$2:$A2446, MATCH(B1001,'Room Info'!$F$2:$F2446, 0)),IF(G1001='Room Info'!$H$1, INDEX('Room Info'!$A$2:$A2446, MATCH(B1001,'Room Info'!$H$2:$H2446, 0)),IF(G1001='Room Info'!$G$1, INDEX('Room Info'!$A$2:$A2446, MATCH(B1001,'Room Info'!$G$2:$G2446, 0)))))))))</f>
        <v>Mexanuk_AV</v>
      </c>
      <c r="B1001" s="45" t="s">
        <v>113</v>
      </c>
      <c r="C1001" s="46">
        <v>44825</v>
      </c>
      <c r="D1001" s="46">
        <v>44854</v>
      </c>
      <c r="E1001" s="47">
        <v>44835</v>
      </c>
      <c r="F1001" s="48" t="s">
        <v>34</v>
      </c>
      <c r="G1001" s="45" t="s">
        <v>35</v>
      </c>
      <c r="H1001" s="49" t="s">
        <v>40</v>
      </c>
      <c r="I1001" s="49" t="s">
        <v>37</v>
      </c>
      <c r="J1001" s="50">
        <v>10</v>
      </c>
      <c r="K1001" s="51">
        <v>2772</v>
      </c>
      <c r="L1001" s="52">
        <v>-900</v>
      </c>
      <c r="M1001" s="53">
        <v>1350</v>
      </c>
      <c r="N1001" s="28">
        <f>K1001*J1001</f>
        <v>27720</v>
      </c>
      <c r="O1001" s="54">
        <v>83017</v>
      </c>
      <c r="P1001" s="29">
        <v>29.948412699999999</v>
      </c>
      <c r="Q1001" s="55"/>
      <c r="R1001" s="31">
        <f>M1001+Q1001</f>
        <v>1350</v>
      </c>
      <c r="S1001" s="56">
        <v>-508</v>
      </c>
      <c r="T1001" s="32">
        <f>R1001+S1001+IF(F1001="Without EV deal",L1001,0)</f>
        <v>842</v>
      </c>
      <c r="U1001" s="57">
        <v>1</v>
      </c>
      <c r="V1001" s="58"/>
      <c r="W1001" s="58"/>
      <c r="X1001" s="78">
        <v>0.3</v>
      </c>
      <c r="Y1001" s="30">
        <f>IF(AG1001="None",0,IF(AG1001="Fix5",0.05, IF(AG1001="Fix6.25",0.0625,IF(AG1001="Fix3.75",0.0375,IF(AG1001="Fix10",0.1,IF(AG1001="Fix3",0.03,0))))))</f>
        <v>0</v>
      </c>
      <c r="Z1001" s="35">
        <f>T1001-AA1001-AB1001</f>
        <v>632</v>
      </c>
      <c r="AA1001" s="60">
        <v>210</v>
      </c>
      <c r="AB1001" s="36">
        <f>IF(AD1001="EUR",((T1001-R1001)*Y1001)*U1001+(R1001*Y1001),(T1001*Y1001))</f>
        <v>0</v>
      </c>
      <c r="AC1001" s="37" t="b">
        <v>1</v>
      </c>
      <c r="AD1001" s="37" t="s">
        <v>38</v>
      </c>
      <c r="AE1001" s="37" t="s">
        <v>38</v>
      </c>
      <c r="AF1001" s="37" t="str">
        <f t="array" ref="AF1001">INDEX('Deal Info'!D:D, MATCH(A1001,'Deal Info'!A:A, 0))</f>
        <v>SF</v>
      </c>
      <c r="AG1001" s="38" t="str">
        <f t="array" ref="AG1001">INDEX('Deal Info'!G:G, MATCH(A1001,'Deal Info'!A:A, 0))</f>
        <v>None</v>
      </c>
    </row>
    <row r="1002" spans="1:33" ht="14.25" hidden="1" x14ac:dyDescent="0.2">
      <c r="A1002" s="18" t="str">
        <f t="array" ref="A1002">IF(G1002='Room Info'!$B$1, INDEX('Room Info'!$A$2:$A2446, MATCH(B1002,'Room Info'!$B$2:$B2446, 0)),IF(G1002='Room Info'!$C$1, INDEX('Room Info'!$A$2:$A2446, MATCH(B1002,'Room Info'!$C$2:$C2446, 0)),IF(G1002='Room Info'!$D$1, INDEX('Room Info'!$A$2:$A2446, MATCH(B1002,'Room Info'!$D$2:$D2446, 0)),IF(G1002='Room Info'!$E$1, INDEX('Room Info'!$A$2:$A2446, MATCH(B1002,'Room Info'!$E$2:$E2446, 0)),IF(G1002='Room Info'!$F$1, INDEX('Room Info'!$A$2:$A2446, MATCH(B1002,'Room Info'!$F$2:$F2446, 0)),IF(G1002='Room Info'!$H$1, INDEX('Room Info'!$A$2:$A2446, MATCH(B1002,'Room Info'!$H$2:$H2446, 0)),IF(G1002='Room Info'!$G$1, INDEX('Room Info'!$A$2:$A2446, MATCH(B1002,'Room Info'!$G$2:$G2446, 0)))))))))</f>
        <v>Mexanuk_AV</v>
      </c>
      <c r="B1002" s="45" t="s">
        <v>113</v>
      </c>
      <c r="C1002" s="46">
        <v>44855</v>
      </c>
      <c r="D1002" s="46">
        <v>44885</v>
      </c>
      <c r="E1002" s="47">
        <v>44866</v>
      </c>
      <c r="F1002" s="48" t="s">
        <v>34</v>
      </c>
      <c r="G1002" s="45" t="s">
        <v>35</v>
      </c>
      <c r="H1002" s="49" t="s">
        <v>40</v>
      </c>
      <c r="I1002" s="49" t="s">
        <v>37</v>
      </c>
      <c r="J1002" s="50">
        <v>10</v>
      </c>
      <c r="K1002" s="51">
        <v>341</v>
      </c>
      <c r="L1002" s="52">
        <v>-700</v>
      </c>
      <c r="M1002" s="53">
        <v>120</v>
      </c>
      <c r="N1002" s="28">
        <f>K1002*J1002</f>
        <v>3410</v>
      </c>
      <c r="O1002" s="54">
        <v>-5750</v>
      </c>
      <c r="P1002" s="29">
        <v>-16.862170089999999</v>
      </c>
      <c r="Q1002" s="55"/>
      <c r="R1002" s="31">
        <f>M1002+Q1002</f>
        <v>120</v>
      </c>
      <c r="S1002" s="56">
        <v>-363</v>
      </c>
      <c r="T1002" s="32">
        <f>R1002+S1002+IF(F1002="Without EV deal",L1002,0)</f>
        <v>-243</v>
      </c>
      <c r="U1002" s="57">
        <v>1</v>
      </c>
      <c r="V1002" s="58"/>
      <c r="W1002" s="58"/>
      <c r="X1002" s="78">
        <v>0.3</v>
      </c>
      <c r="Y1002" s="30">
        <f>IF(AG1002="None",0,IF(AG1002="Fix5",0.05, IF(AG1002="Fix6.25",0.0625,IF(AG1002="Fix3.75",0.0375,IF(AG1002="Fix10",0.1,IF(AG1002="Fix3",0.03,0))))))</f>
        <v>0</v>
      </c>
      <c r="Z1002" s="35">
        <f>T1002-AA1002-AB1002</f>
        <v>-170</v>
      </c>
      <c r="AA1002" s="60">
        <v>-73</v>
      </c>
      <c r="AB1002" s="36">
        <f>IF(AD1002="EUR",((T1002-R1002)*Y1002)*U1002+(R1002*Y1002),(T1002*Y1002))</f>
        <v>0</v>
      </c>
      <c r="AC1002" s="37" t="b">
        <v>1</v>
      </c>
      <c r="AD1002" s="37" t="s">
        <v>38</v>
      </c>
      <c r="AE1002" s="37" t="s">
        <v>38</v>
      </c>
      <c r="AF1002" s="37" t="str">
        <f t="array" ref="AF1002">INDEX('Deal Info'!D:D, MATCH(A1002,'Deal Info'!A:A, 0))</f>
        <v>SF</v>
      </c>
      <c r="AG1002" s="38" t="str">
        <f t="array" ref="AG1002">INDEX('Deal Info'!G:G, MATCH(A1002,'Deal Info'!A:A, 0))</f>
        <v>None</v>
      </c>
    </row>
    <row r="1003" spans="1:33" ht="14.25" hidden="1" x14ac:dyDescent="0.2">
      <c r="A1003" s="18" t="str">
        <f t="array" ref="A1003">IF(G1003='Room Info'!$B$1, INDEX('Room Info'!$A$2:$A2446, MATCH(B1003,'Room Info'!$B$2:$B2446, 0)),IF(G1003='Room Info'!$C$1, INDEX('Room Info'!$A$2:$A2446, MATCH(B1003,'Room Info'!$C$2:$C2446, 0)),IF(G1003='Room Info'!$D$1, INDEX('Room Info'!$A$2:$A2446, MATCH(B1003,'Room Info'!$D$2:$D2446, 0)),IF(G1003='Room Info'!$E$1, INDEX('Room Info'!$A$2:$A2446, MATCH(B1003,'Room Info'!$E$2:$E2446, 0)),IF(G1003='Room Info'!$F$1, INDEX('Room Info'!$A$2:$A2446, MATCH(B1003,'Room Info'!$F$2:$F2446, 0)),IF(G1003='Room Info'!$H$1, INDEX('Room Info'!$A$2:$A2446, MATCH(B1003,'Room Info'!$H$2:$H2446, 0)),IF(G1003='Room Info'!$G$1, INDEX('Room Info'!$A$2:$A2446, MATCH(B1003,'Room Info'!$G$2:$G2446, 0)))))))))</f>
        <v>Mexanuk_AV</v>
      </c>
      <c r="B1003" s="45" t="s">
        <v>113</v>
      </c>
      <c r="C1003" s="77">
        <v>44855</v>
      </c>
      <c r="D1003" s="77">
        <v>44885</v>
      </c>
      <c r="E1003" s="47">
        <v>44866</v>
      </c>
      <c r="F1003" s="48" t="s">
        <v>34</v>
      </c>
      <c r="G1003" s="45" t="s">
        <v>35</v>
      </c>
      <c r="H1003" s="49" t="s">
        <v>46</v>
      </c>
      <c r="I1003" s="49" t="s">
        <v>37</v>
      </c>
      <c r="J1003" s="74">
        <v>25</v>
      </c>
      <c r="K1003" s="75">
        <v>2243</v>
      </c>
      <c r="L1003" s="72">
        <v>250</v>
      </c>
      <c r="M1003" s="76">
        <v>1690</v>
      </c>
      <c r="N1003" s="28">
        <f>K1003*J1003</f>
        <v>56075</v>
      </c>
      <c r="O1003" s="45">
        <v>43614</v>
      </c>
      <c r="P1003" s="29">
        <v>19.444493980000001</v>
      </c>
      <c r="Q1003" s="55"/>
      <c r="R1003" s="31">
        <f>M1003+Q1003</f>
        <v>1690</v>
      </c>
      <c r="S1003" s="73">
        <v>-1652</v>
      </c>
      <c r="T1003" s="32">
        <f>R1003+S1003+IF(F1003="Without EV deal",L1003,0)</f>
        <v>38</v>
      </c>
      <c r="U1003" s="57">
        <v>1</v>
      </c>
      <c r="V1003" s="58"/>
      <c r="W1003" s="58"/>
      <c r="X1003" s="78">
        <v>0.3</v>
      </c>
      <c r="Y1003" s="30">
        <f>IF(AG1003="None",0,IF(AG1003="Fix5",0.05, IF(AG1003="Fix6.25",0.0625,IF(AG1003="Fix3.75",0.0375,IF(AG1003="Fix10",0.1,IF(AG1003="Fix3",0.03,0))))))</f>
        <v>0</v>
      </c>
      <c r="Z1003" s="35">
        <f>T1003-AA1003-AB1003</f>
        <v>27</v>
      </c>
      <c r="AA1003" s="60">
        <v>11</v>
      </c>
      <c r="AB1003" s="36">
        <f>IF(AD1003="EUR",((T1003-R1003)*Y1003)*U1003+(R1003*Y1003),(T1003*Y1003))</f>
        <v>0</v>
      </c>
      <c r="AC1003" s="37" t="b">
        <v>1</v>
      </c>
      <c r="AD1003" s="37" t="s">
        <v>38</v>
      </c>
      <c r="AE1003" s="37" t="s">
        <v>38</v>
      </c>
      <c r="AF1003" s="37" t="str">
        <f t="array" ref="AF1003">INDEX('Deal Info'!D:D, MATCH(A1003,'Deal Info'!A:A, 0))</f>
        <v>SF</v>
      </c>
      <c r="AG1003" s="38" t="str">
        <f t="array" ref="AG1003">INDEX('Deal Info'!G:G, MATCH(A1003,'Deal Info'!A:A, 0))</f>
        <v>None</v>
      </c>
    </row>
    <row r="1004" spans="1:33" ht="14.25" hidden="1" x14ac:dyDescent="0.2">
      <c r="A1004" s="18" t="str">
        <f t="array" ref="A1004">IF(G1004='Room Info'!$B$1, INDEX('Room Info'!$A$2:$A2446, MATCH(B1004,'Room Info'!$B$2:$B2446, 0)),IF(G1004='Room Info'!$C$1, INDEX('Room Info'!$A$2:$A2446, MATCH(B1004,'Room Info'!$C$2:$C2446, 0)),IF(G1004='Room Info'!$D$1, INDEX('Room Info'!$A$2:$A2446, MATCH(B1004,'Room Info'!$D$2:$D2446, 0)),IF(G1004='Room Info'!$E$1, INDEX('Room Info'!$A$2:$A2446, MATCH(B1004,'Room Info'!$E$2:$E2446, 0)),IF(G1004='Room Info'!$F$1, INDEX('Room Info'!$A$2:$A2446, MATCH(B1004,'Room Info'!$F$2:$F2446, 0)),IF(G1004='Room Info'!$H$1, INDEX('Room Info'!$A$2:$A2446, MATCH(B1004,'Room Info'!$H$2:$H2446, 0)),IF(G1004='Room Info'!$G$1, INDEX('Room Info'!$A$2:$A2446, MATCH(B1004,'Room Info'!$G$2:$G2446, 0)))))))))</f>
        <v>Mexanuk_AV</v>
      </c>
      <c r="B1004" s="45" t="s">
        <v>113</v>
      </c>
      <c r="C1004" s="77">
        <v>44886</v>
      </c>
      <c r="D1004" s="77">
        <v>44915</v>
      </c>
      <c r="E1004" s="47">
        <v>44896</v>
      </c>
      <c r="F1004" s="48" t="s">
        <v>34</v>
      </c>
      <c r="G1004" s="45" t="s">
        <v>35</v>
      </c>
      <c r="H1004" s="49" t="s">
        <v>46</v>
      </c>
      <c r="I1004" s="49" t="s">
        <v>37</v>
      </c>
      <c r="J1004" s="74">
        <v>25</v>
      </c>
      <c r="K1004" s="75">
        <v>797</v>
      </c>
      <c r="L1004" s="72">
        <v>-325</v>
      </c>
      <c r="M1004" s="76">
        <v>1100</v>
      </c>
      <c r="N1004" s="28">
        <f>K1004*J1004</f>
        <v>19925</v>
      </c>
      <c r="O1004" s="45">
        <v>8512</v>
      </c>
      <c r="P1004" s="29">
        <v>10.680050189999999</v>
      </c>
      <c r="Q1004" s="55"/>
      <c r="R1004" s="31">
        <f>M1004+Q1004</f>
        <v>1100</v>
      </c>
      <c r="S1004" s="73">
        <v>-877</v>
      </c>
      <c r="T1004" s="32">
        <f>R1004+S1004+IF(F1004="Without EV deal",L1004,0)</f>
        <v>223</v>
      </c>
      <c r="U1004" s="57">
        <v>1</v>
      </c>
      <c r="V1004" s="58"/>
      <c r="W1004" s="58"/>
      <c r="X1004" s="78">
        <v>0</v>
      </c>
      <c r="Y1004" s="30">
        <f>IF(AG1004="None",0,IF(AG1004="Fix5",0.05, IF(AG1004="Fix6.25",0.0625,IF(AG1004="Fix3.75",0.0375,IF(AG1004="Fix10",0.1,IF(AG1004="Fix3",0.03,0))))))</f>
        <v>0</v>
      </c>
      <c r="Z1004" s="35">
        <f>T1004-AA1004-AB1004</f>
        <v>156</v>
      </c>
      <c r="AA1004" s="60">
        <v>67</v>
      </c>
      <c r="AB1004" s="36">
        <f>IF(AD1004="EUR",((T1004-R1004)*Y1004)*U1004+(R1004*Y1004),(T1004*Y1004))</f>
        <v>0</v>
      </c>
      <c r="AC1004" s="37" t="b">
        <v>1</v>
      </c>
      <c r="AD1004" s="37" t="s">
        <v>38</v>
      </c>
      <c r="AE1004" s="37" t="s">
        <v>38</v>
      </c>
      <c r="AF1004" s="37" t="str">
        <f t="array" ref="AF1004">INDEX('Deal Info'!D:D, MATCH(A1004,'Deal Info'!A:A, 0))</f>
        <v>SF</v>
      </c>
      <c r="AG1004" s="38" t="str">
        <f t="array" ref="AG1004">INDEX('Deal Info'!G:G, MATCH(A1004,'Deal Info'!A:A, 0))</f>
        <v>None</v>
      </c>
    </row>
    <row r="1005" spans="1:33" ht="14.25" hidden="1" x14ac:dyDescent="0.2">
      <c r="A1005" s="18" t="str">
        <f t="array" ref="A1005">IF(G1005='Room Info'!$B$1, INDEX('Room Info'!$A$2:$A2446, MATCH(B1005,'Room Info'!$B$2:$B2446, 0)),IF(G1005='Room Info'!$C$1, INDEX('Room Info'!$A$2:$A2446, MATCH(B1005,'Room Info'!$C$2:$C2446, 0)),IF(G1005='Room Info'!$D$1, INDEX('Room Info'!$A$2:$A2446, MATCH(B1005,'Room Info'!$D$2:$D2446, 0)),IF(G1005='Room Info'!$E$1, INDEX('Room Info'!$A$2:$A2446, MATCH(B1005,'Room Info'!$E$2:$E2446, 0)),IF(G1005='Room Info'!$F$1, INDEX('Room Info'!$A$2:$A2446, MATCH(B1005,'Room Info'!$F$2:$F2446, 0)),IF(G1005='Room Info'!$H$1, INDEX('Room Info'!$A$2:$A2446, MATCH(B1005,'Room Info'!$H$2:$H2446, 0)),IF(G1005='Room Info'!$G$1, INDEX('Room Info'!$A$2:$A2446, MATCH(B1005,'Room Info'!$G$2:$G2446, 0)))))))))</f>
        <v>Mexanuk_AV</v>
      </c>
      <c r="B1005" s="45" t="s">
        <v>113</v>
      </c>
      <c r="C1005" s="46">
        <v>44916</v>
      </c>
      <c r="D1005" s="46">
        <v>44946</v>
      </c>
      <c r="E1005" s="47">
        <v>44927</v>
      </c>
      <c r="F1005" s="48" t="s">
        <v>34</v>
      </c>
      <c r="G1005" s="45" t="s">
        <v>35</v>
      </c>
      <c r="H1005" s="49" t="s">
        <v>46</v>
      </c>
      <c r="I1005" s="49" t="s">
        <v>37</v>
      </c>
      <c r="J1005" s="50">
        <v>25</v>
      </c>
      <c r="K1005" s="51">
        <v>0</v>
      </c>
      <c r="L1005" s="107">
        <v>0</v>
      </c>
      <c r="M1005" s="53">
        <v>0</v>
      </c>
      <c r="N1005" s="28">
        <f>K1005*J1005</f>
        <v>0</v>
      </c>
      <c r="O1005" s="108">
        <v>0</v>
      </c>
      <c r="P1005" s="29" t="s">
        <v>334</v>
      </c>
      <c r="Q1005" s="55"/>
      <c r="R1005" s="31">
        <f>M1005+Q1005</f>
        <v>0</v>
      </c>
      <c r="S1005" s="118"/>
      <c r="T1005" s="32">
        <f>R1005+S1005+IF(F1005="Without EV deal",L1005,0)</f>
        <v>0</v>
      </c>
      <c r="U1005" s="57">
        <v>1</v>
      </c>
      <c r="V1005" s="58"/>
      <c r="W1005" s="58"/>
      <c r="X1005" s="30">
        <f>IF(AF1005="DoEV",IF(AND(V1005&lt;20,W1005&lt;55),0.3,0)+IF(AND(V1005&lt;20,W1005&gt;=55,W1005&lt;105),0.23,0)+IF(AND(V1005&lt;20,W1005&gt;=105),0.17,0)+IF(AND(V1005&gt;=20,V1005&lt;40,W1005&lt;45),0.3,0)+IF(AND(V1005&gt;=20,V1005&lt;40,W1005&gt;=45,W1005&lt;95),0.23,0)+IF(AND(V1005&gt;=20,V1005&lt;40,W1005&gt;=95),0.17,0)+IF(AND(V1005&gt;=40,V1005&lt;75,W1005&lt;35),0.3,0)+IF(AND(V1005&gt;=40,V1005&lt;75,W1005&gt;=35,W1005&lt;75),0.23,0)+IF(AND(V1005&gt;=40,V1005&lt;75,W1005&gt;=75,W1005&lt;120),0.17,0)+IF(AND(V1005&gt;=40,V1005&lt;75,W1005&gt;=120),0.12,0)+IF(AND(V1005&gt;=75,V1005&lt;175,W1005&lt;35),0.3,0)+IF(AND(V1005&gt;=75,V1005&lt;=175,W1005&gt;=35,W1005&lt;65),0.23,0)+IF(AND(V1005&gt;=75,V1005&lt;=175,W1005&gt;=65,W1005&lt;110),0.17,0)+IF(AND(V1005&gt;=75,V1005&lt;=175,W1005&gt;=110),0.12,0)+IF(AND(V1005&gt;175,W1005&lt;25),0.3,0)+IF(AND(V1005&gt;175,W1005&gt;=25,W1005&lt;55),0.23,0)+IF(AND(V1005&gt;175,W1005&gt;=55,W1005&lt;95),0.17,0)+IF(AND(V1005&gt;175,W1005&gt;=95),0.12,0),
IF(AF1005="Fix15",0.15,
IF(AF1005="Fix18.75",0.1875,
IF(AF1005="Fix11.25",0.1125,
IF(AF1005="Fix10",0.1,
IF(AF1005="Fix9",0.09,
IF(AF1005="Fix19",0.19,
IF(AF1005="DoEV2017",IF(AND(W1005&lt;74),0.2,0)+IF(AND(W1005&gt;=74),0.17,0),
IF(AF1005="SF",IF(AND(V1005&lt;20,W1005&lt;89),0.3,0)+IF(AND(V1005&lt;20,W1005&gt;=89),0.25,0)+IF(AND(V1005&gt;=20,V1005&lt;40,W1005&lt;74),0.3,0)+IF(AND(V1005&gt;=20,V1005&lt;40,W1005&gt;=75),0.22,0)+IF(AND(V1005&gt;=40,V1005&lt;75,W1005&lt;75),0.26,0)+IF(AND(V1005&gt;=40,V1005&lt;75,W1005&gt;=75),0.22,0)+IF(V1005&gt;=75,0.22,0),
IF(AF1005="DoEVold",IF(AND(V1005&lt;40,W1005&lt;35),0.35,0)+IF(AND(V1005&lt;40,W1005&gt;=35,W1005&lt;75),0.25,0)+IF(AND(V1005&lt;40,W1005&gt;=75),0.17,0)+IF(AND(V1005&gt;=40,V1005&lt;75,W1005&lt;25),0.35,0)+IF(AND(V1005&gt;=40,V1005&lt;75,W1005&gt;=25,W1005&lt;65),0.25,0)+IF(AND(V1005&gt;=40,V1005&lt;75,W1005&gt;=65,W1005&lt;100),0.17,0)+IF(AND(V1005&gt;=40,V1005&lt;75,W1005&gt;=100),0.1,0)+IF(AND(V1005&gt;=75,W1005&lt;25),0.35,0)+IF(AND(V1005&gt;=75,W1005&gt;=25,W1005&lt;60),0.25,0)+IF(AND(V1005&gt;=75,W1005&gt;=60,W1005&lt;95),0.17,0)+IF(AND(V1005&gt;=75,W1005&gt;=95),0.1,0),
IF(AF1005="DoEVold15",IF(AND(V1005&lt;=40,W1005&lt;35),0.35,0)+IF(AND(V1005&lt;=40,W1005&gt;=35,W1005&lt;75),0.25,0)+IF(AND(V1005&lt;=40,W1005&gt;=75,W1005&lt;120),0.17,0)+IF(AND(V1005&lt;=40,W1005&gt;=120),0.15,0)+IF(AND(V1005&gt;40,V1005&lt;75,W1005&lt;25),0.35,0)+IF(AND(V1005&gt;=40,V1005&lt;75,W1005&gt;=25,W1005&lt;65),0.25,0)+IF(AND(V1005&gt;=40,V1005&lt;75,W1005&gt;=65,W1005&lt;100),0.17,0)+IF(AND(V1005&gt;=40,V1005&lt;75,W1005&gt;=100),0.1,0)+IF(AND(V1005&gt;=75,W1005&lt;25),0.35,0)+IF(AND(V1005&gt;=75,W1005&gt;=25,W1005&lt;60),0.25,0)+IF(AND(V1005&gt;=75,W1005&gt;=60,W1005&lt;95),0.17,0)+IF(AND(V1005&gt;=75,W1005&gt;=95),0.1,0),
IF(AF1005="DoEVba",IF(AND(V1005&lt;20,W1005&lt;105),0.2,0)+IF(AND(V1005&lt;20,W1005&gt;=105),0.15,0)+IF(AND(V1005&gt;=20,V1005&lt;40,W1005&lt;95),0.2,0)+IF(AND(V1005&gt;=20,V1005&lt;40,W1005&gt;=95,W1005&lt;150),0.15,0)+IF(AND(V1005&gt;=20,V1005&lt;40,W1005&gt;=150),0.12,0)+IF(AND(V1005&gt;=40,V1005&lt;75,W1005&lt;75),0.2,0)+IF(AND(V1005&gt;=40,V1005&lt;75,W1005&gt;=75,W1005&lt;120),0.15,0)+IF(AND(V1005&gt;=40,V1005&lt;75,W1005&gt;=120),0.12,0)+IF(AND(V1005&gt;=75,V1005&lt;175,W1005&lt;65),0.2,0)+IF(AND(V1005&gt;=75,V1005&lt;175,W1005&gt;=65,W1005&lt;110),0.15,0)+IF(AND(V1005&gt;=75,V1005&lt;175,W1005&gt;=110),0.12,0)+IF(AND(V1005&gt;=175,W1005&lt;55),0.2,0)+IF(AND(V1005&gt;=175,W1005&gt;=55,W1005&lt;95),0.15,0)+IF(AND(V1005&gt;=175,W1005&gt;=95),0.12,0),
IF(AF1005="DoEVku",IF(AND(V1005&lt;20,W1005&lt;55),0.23,0)+IF(AND(V1005&lt;20,W1005&gt;=55,W1005&lt;105),0.2,0)+IF(AND(V1005&lt;20,W1005&gt;=105),0.17,0)+IF(AND(V1005&gt;=20,V1005&lt;40,W1005&lt;45),0.23,0)+IF(AND(V1005&gt;=20,V1005&lt;40,W1005&gt;=45,W1005&lt;95),0.2,0)+IF(AND(V1005&gt;=20,V1005&lt;40,W1005&gt;=95,W1005&lt;=150),0.17,0)+IF(AND(V1005&gt;=20,V1005&lt;40,W1005&gt;=150),0.12,0)+IF(AND(V1005&gt;=40,V1005&lt;75,W1005&lt;35),0.23,0)+IF(AND(V1005&gt;=40,V1005&lt;75,W1005&gt;=35,W1005&lt;75),0.2,0)+IF(AND(V1005&gt;=40,V1005&lt;75,W1005&gt;=75,W1005&lt;120),0.17,0)+IF(AND(V1005&gt;=40,V1005&lt;75,W1005&gt;=120),0.12,0)+IF(AND(V1005&gt;=75,V1005&lt;175,W1005&lt;35),0.23,0)+IF(AND(V1005&gt;=75,V1005&lt;=175,W1005&gt;=35,W1005&lt;65),0.2,0)+IF(AND(V1005&gt;=75,V1005&lt;=175,W1005&gt;=65,W1005&lt;110),0.17,0)+IF(AND(V1005&gt;=75,V1005&lt;=175,W1005&gt;=110),0.12,0)+IF(AND(V1005&gt;175,W1005&lt;25),0.23,0)+IF(AND(V1005&gt;175,W1005&gt;=25,W1005&lt;55),0.2,0)+IF(AND(V1005&gt;175,W1005&gt;=55,W1005&lt;95),0.17,0)+IF(AND(V1005&gt;175,W1005&gt;=95),0.12,0),
IF(AF1005="DoEVs1",IF(AND(V1005&lt;20,W1005&lt;55),0.3,0)+IF(AND(V1005&lt;20,W1005&gt;=55,W1005&lt;105),0.23,0)+IF(AND(V1005&lt;20,W1005&gt;=105),0.17,0)+IF(AND(V1005&gt;=20,V1005&lt;40,W1005&lt;45),0.3,0)+IF(AND(V1005&gt;=20,V1005&lt;40,W1005&gt;=45,W1005&lt;95),0.23,0)+IF(AND(V1005&gt;=20,V1005&lt;40,W1005&gt;=95,W1005&lt;=150),0.17,0)+IF(AND(V1005&gt;=20,V1005&lt;40,W1005&gt;=150),0.12,0)+IF(AND(V1005&gt;=40,V1005&lt;75,W1005&lt;35),0.3,0)+IF(AND(V1005&gt;=40,V1005&lt;75,W1005&gt;=35,W1005&lt;75),0.23,0)+IF(AND(V1005&gt;=40,V1005&lt;75,W1005&gt;=75,W1005&lt;120),0.17,0)+IF(AND(V1005&gt;=40,V1005&lt;75,W1005&gt;=120),0.12,0)+IF(AND(V1005&gt;=75,V1005&lt;175,W1005&lt;35),0.3,0)+IF(AND(V1005&gt;=75,V1005&lt;=175,W1005&gt;=35,W1005&lt;65),0.23,0)+IF(AND(V1005&gt;=75,V1005&lt;=175,W1005&gt;=65,W1005&lt;110),0.17,0)+IF(AND(V1005&gt;=75,V1005&lt;=175,W1005&gt;=110),0.12,0)+IF(AND(V1005&gt;175,W1005&lt;25),0.3,0)+IF(AND(V1005&gt;175,W1005&gt;=25,W1005&lt;55),0.23,0)+IF(AND(V1005&gt;175,W1005&gt;=55,W1005&lt;95),0.17,0)+IF(AND(V1005&gt;175,W1005&gt;=95),0.12,0),
IF(AF1005="DoEVsu",IF(AND(V1005&lt;20,W1005&lt;55),0.3,0)+IF(AND(V1005&lt;20,W1005&gt;=55,W1005&lt;105),0.23,0)+IF(AND(V1005&lt;20,W1005&gt;=105),0.17,0)+IF(AND(V1005&gt;=20,V1005&lt;40,W1005&lt;45),0.3,0)+IF(AND(V1005&gt;=20,V1005&lt;40,W1005&gt;=45,W1005&lt;95),0.23,0)+IF(AND(V1005&gt;=20,V1005&lt;40,W1005&gt;=95,W1005&lt;=250),0.17,0)+IF(AND(V1005&gt;=20,V1005&lt;40,W1005&gt;=250),0.12,0)+IF(AND(V1005&gt;=40,V1005&lt;75,W1005&lt;35),0.3,0)+IF(AND(V1005&gt;=40,V1005&lt;75,W1005&gt;=35,W1005&lt;75),0.23,0)+IF(AND(V1005&gt;=40,V1005&lt;75,W1005&gt;=75,W1005&lt;120),0.17,0)+IF(AND(V1005&gt;=40,V1005&lt;75,W1005&gt;=120),0.12,0)+IF(AND(V1005&gt;=75,V1005&lt;175,W1005&lt;35),0.3,0)+IF(AND(V1005&gt;=75,V1005&lt;=175,W1005&gt;=35,W1005&lt;65),0.23,0)+IF(AND(V1005&gt;=75,V1005&lt;=175,W1005&gt;=65,W1005&lt;110),0.17,0)+IF(AND(V1005&gt;=75,V1005&lt;=175,W1005&gt;=110),0.12,0)+IF(AND(V1005&gt;175,W1005&lt;25),0.3,0)+IF(AND(V1005&gt;175,W1005&gt;=25,W1005&lt;55),0.23,0)+IF(AND(V1005&gt;175,W1005&gt;=55,W1005&lt;95),0.17,0)+IF(AND(V1005&gt;175,W1005&gt;=95),0.12,0),
IF(AF1005="DoEVni",IF(AND(V1005&lt;20,W1005&lt;55),0.3,0)+IF(AND(V1005&lt;20,W1005&gt;=55,W1005&lt;105),0.23,0)+IF(AND(V1005&lt;20,W1005&gt;=105),0.17,0)+IF(AND(V1005&gt;=20,V1005&lt;40,W1005&lt;45),0.3,0)+IF(AND(V1005&gt;=20,V1005&lt;40,W1005&gt;=45,W1005&lt;95),0.23,0)+IF(AND(V1005&gt;=20,V1005&lt;40,W1005&gt;=95,W1005&lt;=200),0.17,0)+IF(AND(V1005&gt;=20,V1005&lt;40,W1005&gt;=200),0.12,0)+IF(AND(V1005&gt;=40,V1005&lt;75,W1005&lt;35),0.3,0)+IF(AND(V1005&gt;=40,V1005&lt;75,W1005&gt;=35,W1005&lt;75),0.23,0)+IF(AND(V1005&gt;=40,V1005&lt;75,W1005&gt;=75,W1005&lt;120),0.17,0)+IF(AND(V1005&gt;=40,V1005&lt;75,W1005&gt;=120),0.12,0)+IF(AND(V1005&gt;=75,V1005&lt;175,W1005&lt;35),0.3,0)+IF(AND(V1005&gt;=75,V1005&lt;=175,W1005&gt;=35,W1005&lt;65),0.23,0)+IF(AND(V1005&gt;=75,V1005&lt;=175,W1005&gt;=65,W1005&lt;110),0.17,0)+IF(AND(V1005&gt;=75,V1005&lt;=175,W1005&gt;=110),0.12,0)+IF(AND(V1005&gt;175,W1005&lt;25),0.3,0)+IF(AND(V1005&gt;175,W1005&gt;=25,W1005&lt;55),0.23,0)+IF(AND(V1005&gt;175,W1005&gt;=55,W1005&lt;95),0.17,0)+IF(AND(V1005&gt;175,W1005&gt;=95),0.12,0),
IF(AF1005="DoEVLo",IF(AND(V1005&lt;20,W1005&lt;55),0.25,0)+IF(AND(V1005&lt;20,W1005&gt;=55,W1005&lt;105),0.2,0)+IF(AND(V1005&lt;20,W1005&gt;=105),0.15,0)+IF(AND(V1005&gt;=20,V1005&lt;40,W1005&lt;45),0.25,0)+IF(AND(V1005&gt;=20,V1005&lt;40,W1005&gt;=45,W1005&lt;95),0.2,0)+IF(AND(V1005&gt;=20,V1005&lt;40,W1005&gt;=95),0.15,0)+IF(AND(V1005&gt;=40,V1005&lt;75,W1005&lt;35),0.25,0)+IF(AND(V1005&gt;=40,V1005&lt;75,W1005&gt;=35,W1005&lt;75),0.2,0)+IF(AND(V1005&gt;=40,V1005&lt;75,W1005&gt;=75,W1005&lt;120),0.15,0)+IF(AND(V1005&gt;=40,V1005&lt;75,W1005&gt;=120),0.1,0)+IF(AND(V1005&gt;=75,V1005&lt;175,W1005&lt;35),0.25,0)+IF(AND(V1005&gt;=75,V1005&lt;=175,W1005&gt;=35,W1005&lt;65),0.2,0)+IF(AND(V1005&gt;=75,V1005&lt;=175,W1005&gt;=65,W1005&lt;110),0.15,0)+IF(AND(V1005&gt;=75,V1005&lt;=175,W1005&gt;=110),0.1,0)+IF(AND(V1005&gt;175,W1005&lt;25),0.25,0)+IF(AND(V1005&gt;175,W1005&gt;=25,W1005&lt;55),0.2,0)+IF(AND(V1005&gt;175,W1005&gt;=55,W1005&lt;95),0.15,0)+IF(AND(V1005&gt;175,W1005&gt;=95),0.1,0))))))))))))))))))</f>
        <v>0.3</v>
      </c>
      <c r="Y1005" s="30">
        <f>IF(AG1005="None",0,IF(AG1005="Fix5",0.05, IF(AG1005="Fix6.25",0.0625,IF(AG1005="Fix3.75",0.0375,IF(AG1005="Fix10",0.1,IF(AG1005="Fix3",0.03,0))))))</f>
        <v>0</v>
      </c>
      <c r="Z1005" s="35">
        <f>T1005-AA1005-AB1005</f>
        <v>0</v>
      </c>
      <c r="AA1005" s="60">
        <v>0</v>
      </c>
      <c r="AB1005" s="36">
        <f>IF(AD1005="EUR",((T1005-R1005)*Y1005)*U1005+(R1005*Y1005),(T1005*Y1005))</f>
        <v>0</v>
      </c>
      <c r="AC1005" s="37" t="b">
        <v>1</v>
      </c>
      <c r="AD1005" s="37" t="s">
        <v>38</v>
      </c>
      <c r="AE1005" s="37" t="s">
        <v>38</v>
      </c>
      <c r="AF1005" s="37" t="str">
        <f t="array" ref="AF1005">INDEX('Deal Info'!D:D, MATCH(A1005,'Deal Info'!A:A, 0))</f>
        <v>SF</v>
      </c>
      <c r="AG1005" s="38" t="str">
        <f t="array" ref="AG1005">INDEX('Deal Info'!G:G, MATCH(A1005,'Deal Info'!A:A, 0))</f>
        <v>None</v>
      </c>
    </row>
    <row r="1006" spans="1:33" ht="14.25" hidden="1" x14ac:dyDescent="0.2">
      <c r="A1006" s="18" t="str">
        <f t="array" ref="A1006">IF(G1006='Room Info'!$B$1, INDEX('Room Info'!$A$2:$A2446, MATCH(B1006,'Room Info'!$B$2:$B2446, 0)),IF(G1006='Room Info'!$C$1, INDEX('Room Info'!$A$2:$A2446, MATCH(B1006,'Room Info'!$C$2:$C2446, 0)),IF(G1006='Room Info'!$D$1, INDEX('Room Info'!$A$2:$A2446, MATCH(B1006,'Room Info'!$D$2:$D2446, 0)),IF(G1006='Room Info'!$E$1, INDEX('Room Info'!$A$2:$A2446, MATCH(B1006,'Room Info'!$E$2:$E2446, 0)),IF(G1006='Room Info'!$F$1, INDEX('Room Info'!$A$2:$A2446, MATCH(B1006,'Room Info'!$F$2:$F2446, 0)),IF(G1006='Room Info'!$H$1, INDEX('Room Info'!$A$2:$A2446, MATCH(B1006,'Room Info'!$H$2:$H2446, 0)),IF(G1006='Room Info'!$G$1, INDEX('Room Info'!$A$2:$A2446, MATCH(B1006,'Room Info'!$G$2:$G2446, 0)))))))))</f>
        <v>Night Kin9</v>
      </c>
      <c r="B1006" s="54" t="s">
        <v>188</v>
      </c>
      <c r="C1006" s="46">
        <v>44886</v>
      </c>
      <c r="D1006" s="46">
        <v>44915</v>
      </c>
      <c r="E1006" s="47">
        <v>44896</v>
      </c>
      <c r="F1006" s="45" t="s">
        <v>34</v>
      </c>
      <c r="G1006" s="54" t="s">
        <v>35</v>
      </c>
      <c r="H1006" s="49" t="s">
        <v>46</v>
      </c>
      <c r="I1006" s="49" t="s">
        <v>37</v>
      </c>
      <c r="J1006" s="50">
        <v>25</v>
      </c>
      <c r="K1006" s="51">
        <v>115</v>
      </c>
      <c r="L1006" s="52">
        <v>-150</v>
      </c>
      <c r="M1006" s="53">
        <v>124</v>
      </c>
      <c r="N1006" s="28">
        <f>K1006*J1006</f>
        <v>2875</v>
      </c>
      <c r="O1006" s="54">
        <v>3808</v>
      </c>
      <c r="P1006" s="29">
        <v>33.113043480000002</v>
      </c>
      <c r="Q1006" s="55"/>
      <c r="R1006" s="31">
        <f>M1006+Q1006</f>
        <v>124</v>
      </c>
      <c r="S1006" s="56">
        <v>-17</v>
      </c>
      <c r="T1006" s="32">
        <f>R1006+S1006+IF(F1006="Without EV deal",L1006,0)</f>
        <v>107</v>
      </c>
      <c r="U1006" s="57">
        <v>1</v>
      </c>
      <c r="V1006" s="58"/>
      <c r="W1006" s="58"/>
      <c r="X1006" s="78">
        <v>0.23</v>
      </c>
      <c r="Y1006" s="30">
        <f>IF(AG1006="None",0,IF(AG1006="Fix5",0.05, IF(AG1006="Fix6.25",0.0625,IF(AG1006="Fix3.75",0.0375,IF(AG1006="Fix10",0.1,IF(AG1006="Fix3",0.03,0))))))</f>
        <v>0</v>
      </c>
      <c r="Z1006" s="35">
        <f>T1006-AA1006-AB1006</f>
        <v>82.39</v>
      </c>
      <c r="AA1006" s="29">
        <f>IF(AD1006="EUR",((T1006-R1006)*X1006)*U1006+(R1006*X1006),(T1006*X1006))</f>
        <v>24.61</v>
      </c>
      <c r="AB1006" s="36">
        <f>IF(AD1006="EUR",((T1006-R1006)*Y1006)*U1006+(R1006*Y1006),(T1006*Y1006))</f>
        <v>0</v>
      </c>
      <c r="AC1006" s="37" t="b">
        <v>1</v>
      </c>
      <c r="AD1006" s="37" t="s">
        <v>38</v>
      </c>
      <c r="AE1006" s="37" t="s">
        <v>38</v>
      </c>
      <c r="AF1006" s="37" t="str">
        <f t="array" ref="AF1006">INDEX('Deal Info'!D:D, MATCH(A1006,'Deal Info'!A:A, 0))</f>
        <v>DoEVni</v>
      </c>
      <c r="AG1006" s="38" t="str">
        <f t="array" ref="AG1006">INDEX('Deal Info'!G:G, MATCH(A1006,'Deal Info'!A:A, 0))</f>
        <v>None</v>
      </c>
    </row>
    <row r="1007" spans="1:33" ht="14.25" hidden="1" x14ac:dyDescent="0.2">
      <c r="A1007" s="18" t="str">
        <f t="array" ref="A1007">IF(G1007='Room Info'!$B$1, INDEX('Room Info'!$A$2:$A2446, MATCH(B1007,'Room Info'!$B$2:$B2446, 0)),IF(G1007='Room Info'!$C$1, INDEX('Room Info'!$A$2:$A2446, MATCH(B1007,'Room Info'!$C$2:$C2446, 0)),IF(G1007='Room Info'!$D$1, INDEX('Room Info'!$A$2:$A2446, MATCH(B1007,'Room Info'!$D$2:$D2446, 0)),IF(G1007='Room Info'!$E$1, INDEX('Room Info'!$A$2:$A2446, MATCH(B1007,'Room Info'!$E$2:$E2446, 0)),IF(G1007='Room Info'!$F$1, INDEX('Room Info'!$A$2:$A2446, MATCH(B1007,'Room Info'!$F$2:$F2446, 0)),IF(G1007='Room Info'!$H$1, INDEX('Room Info'!$A$2:$A2446, MATCH(B1007,'Room Info'!$H$2:$H2446, 0)),IF(G1007='Room Info'!$G$1, INDEX('Room Info'!$A$2:$A2446, MATCH(B1007,'Room Info'!$G$2:$G2446, 0)))))))))</f>
        <v>Night Kin9</v>
      </c>
      <c r="B1007" s="54" t="s">
        <v>188</v>
      </c>
      <c r="C1007" s="46">
        <v>44886</v>
      </c>
      <c r="D1007" s="46">
        <v>44915</v>
      </c>
      <c r="E1007" s="47">
        <v>44896</v>
      </c>
      <c r="F1007" s="45" t="s">
        <v>34</v>
      </c>
      <c r="G1007" s="54" t="s">
        <v>35</v>
      </c>
      <c r="H1007" s="49" t="s">
        <v>87</v>
      </c>
      <c r="I1007" s="49" t="s">
        <v>44</v>
      </c>
      <c r="J1007" s="50">
        <v>25</v>
      </c>
      <c r="K1007" s="51">
        <v>5359</v>
      </c>
      <c r="L1007" s="52">
        <v>-250</v>
      </c>
      <c r="M1007" s="53">
        <v>5791</v>
      </c>
      <c r="N1007" s="28">
        <f>K1007*J1007</f>
        <v>133975</v>
      </c>
      <c r="O1007" s="54">
        <v>51997</v>
      </c>
      <c r="P1007" s="29">
        <v>9.7027430490000004</v>
      </c>
      <c r="Q1007" s="55"/>
      <c r="R1007" s="31">
        <f>M1007+Q1007</f>
        <v>5791</v>
      </c>
      <c r="S1007" s="56">
        <v>-4999</v>
      </c>
      <c r="T1007" s="32">
        <f>R1007+S1007+IF(F1007="Without EV deal",L1007,0)</f>
        <v>792</v>
      </c>
      <c r="U1007" s="57">
        <v>1</v>
      </c>
      <c r="V1007" s="58"/>
      <c r="W1007" s="58"/>
      <c r="X1007" s="78">
        <v>0.23</v>
      </c>
      <c r="Y1007" s="30">
        <f>IF(AG1007="None",0,IF(AG1007="Fix5",0.05, IF(AG1007="Fix6.25",0.0625,IF(AG1007="Fix3.75",0.0375,IF(AG1007="Fix10",0.1,IF(AG1007="Fix3",0.03,0))))))</f>
        <v>0</v>
      </c>
      <c r="Z1007" s="35">
        <f>T1007-AA1007-AB1007</f>
        <v>609.84</v>
      </c>
      <c r="AA1007" s="29">
        <f>IF(AD1007="EUR",((T1007-R1007)*X1007)*U1007+(R1007*X1007),(T1007*X1007))</f>
        <v>182.16</v>
      </c>
      <c r="AB1007" s="36">
        <f>IF(AD1007="EUR",((T1007-R1007)*Y1007)*U1007+(R1007*Y1007),(T1007*Y1007))</f>
        <v>0</v>
      </c>
      <c r="AC1007" s="37" t="b">
        <v>1</v>
      </c>
      <c r="AD1007" s="37" t="s">
        <v>38</v>
      </c>
      <c r="AE1007" s="37" t="s">
        <v>38</v>
      </c>
      <c r="AF1007" s="37" t="str">
        <f t="array" ref="AF1007">INDEX('Deal Info'!D:D, MATCH(A1007,'Deal Info'!A:A, 0))</f>
        <v>DoEVni</v>
      </c>
      <c r="AG1007" s="38" t="str">
        <f t="array" ref="AG1007">INDEX('Deal Info'!G:G, MATCH(A1007,'Deal Info'!A:A, 0))</f>
        <v>None</v>
      </c>
    </row>
    <row r="1008" spans="1:33" ht="14.25" hidden="1" x14ac:dyDescent="0.2">
      <c r="A1008" s="18" t="str">
        <f t="array" ref="A1008">IF(G1008='Room Info'!$B$1, INDEX('Room Info'!$A$2:$A2446, MATCH(B1008,'Room Info'!$B$2:$B2446, 0)),IF(G1008='Room Info'!$C$1, INDEX('Room Info'!$A$2:$A2446, MATCH(B1008,'Room Info'!$C$2:$C2446, 0)),IF(G1008='Room Info'!$D$1, INDEX('Room Info'!$A$2:$A2446, MATCH(B1008,'Room Info'!$D$2:$D2446, 0)),IF(G1008='Room Info'!$E$1, INDEX('Room Info'!$A$2:$A2446, MATCH(B1008,'Room Info'!$E$2:$E2446, 0)),IF(G1008='Room Info'!$F$1, INDEX('Room Info'!$A$2:$A2446, MATCH(B1008,'Room Info'!$F$2:$F2446, 0)),IF(G1008='Room Info'!$H$1, INDEX('Room Info'!$A$2:$A2446, MATCH(B1008,'Room Info'!$H$2:$H2446, 0)),IF(G1008='Room Info'!$G$1, INDEX('Room Info'!$A$2:$A2446, MATCH(B1008,'Room Info'!$G$2:$G2446, 0)))))))))</f>
        <v>Night Kin9</v>
      </c>
      <c r="B1008" s="45" t="s">
        <v>188</v>
      </c>
      <c r="C1008" s="46">
        <v>44886</v>
      </c>
      <c r="D1008" s="46">
        <v>44915</v>
      </c>
      <c r="E1008" s="47">
        <v>44896</v>
      </c>
      <c r="F1008" s="48" t="s">
        <v>34</v>
      </c>
      <c r="G1008" s="45" t="s">
        <v>35</v>
      </c>
      <c r="H1008" s="49" t="s">
        <v>72</v>
      </c>
      <c r="I1008" s="49" t="s">
        <v>37</v>
      </c>
      <c r="J1008" s="50">
        <v>50</v>
      </c>
      <c r="K1008" s="51">
        <v>1172</v>
      </c>
      <c r="L1008" s="52">
        <v>-1200</v>
      </c>
      <c r="M1008" s="53">
        <v>2533</v>
      </c>
      <c r="N1008" s="28">
        <f>K1008*J1008</f>
        <v>58600</v>
      </c>
      <c r="O1008" s="54">
        <v>24531</v>
      </c>
      <c r="P1008" s="29">
        <v>20.930887370000001</v>
      </c>
      <c r="Q1008" s="55"/>
      <c r="R1008" s="31">
        <f>M1008+Q1008</f>
        <v>2533</v>
      </c>
      <c r="S1008" s="56">
        <v>-1669</v>
      </c>
      <c r="T1008" s="32">
        <f>R1008+S1008+IF(F1008="Without EV deal",L1008,0)</f>
        <v>864</v>
      </c>
      <c r="U1008" s="57">
        <v>1</v>
      </c>
      <c r="V1008" s="58"/>
      <c r="W1008" s="58"/>
      <c r="X1008" s="78">
        <v>0.23</v>
      </c>
      <c r="Y1008" s="30">
        <f>IF(AG1008="None",0,IF(AG1008="Fix5",0.05, IF(AG1008="Fix6.25",0.0625,IF(AG1008="Fix3.75",0.0375,IF(AG1008="Fix10",0.1,IF(AG1008="Fix3",0.03,0))))))</f>
        <v>0</v>
      </c>
      <c r="Z1008" s="35">
        <f>T1008-AA1008-AB1008</f>
        <v>665.28</v>
      </c>
      <c r="AA1008" s="29">
        <f>IF(AD1008="EUR",((T1008-R1008)*X1008)*U1008+(R1008*X1008),(T1008*X1008))</f>
        <v>198.72</v>
      </c>
      <c r="AB1008" s="36">
        <f>IF(AD1008="EUR",((T1008-R1008)*Y1008)*U1008+(R1008*Y1008),(T1008*Y1008))</f>
        <v>0</v>
      </c>
      <c r="AC1008" s="37" t="b">
        <v>1</v>
      </c>
      <c r="AD1008" s="37" t="s">
        <v>38</v>
      </c>
      <c r="AE1008" s="37" t="s">
        <v>38</v>
      </c>
      <c r="AF1008" s="37" t="str">
        <f t="array" ref="AF1008">INDEX('Deal Info'!D:D, MATCH(A1008,'Deal Info'!A:A, 0))</f>
        <v>DoEVni</v>
      </c>
      <c r="AG1008" s="38" t="str">
        <f t="array" ref="AG1008">INDEX('Deal Info'!G:G, MATCH(A1008,'Deal Info'!A:A, 0))</f>
        <v>None</v>
      </c>
    </row>
    <row r="1009" spans="1:33" ht="14.25" hidden="1" x14ac:dyDescent="0.2">
      <c r="A1009" s="18" t="str">
        <f t="array" ref="A1009">IF(G1009='Room Info'!$B$1, INDEX('Room Info'!$A$2:$A2446, MATCH(B1009,'Room Info'!$B$2:$B2446, 0)),IF(G1009='Room Info'!$C$1, INDEX('Room Info'!$A$2:$A2446, MATCH(B1009,'Room Info'!$C$2:$C2446, 0)),IF(G1009='Room Info'!$D$1, INDEX('Room Info'!$A$2:$A2446, MATCH(B1009,'Room Info'!$D$2:$D2446, 0)),IF(G1009='Room Info'!$E$1, INDEX('Room Info'!$A$2:$A2446, MATCH(B1009,'Room Info'!$E$2:$E2446, 0)),IF(G1009='Room Info'!$F$1, INDEX('Room Info'!$A$2:$A2446, MATCH(B1009,'Room Info'!$F$2:$F2446, 0)),IF(G1009='Room Info'!$H$1, INDEX('Room Info'!$A$2:$A2446, MATCH(B1009,'Room Info'!$H$2:$H2446, 0)),IF(G1009='Room Info'!$G$1, INDEX('Room Info'!$A$2:$A2446, MATCH(B1009,'Room Info'!$G$2:$G2446, 0)))))))))</f>
        <v>Night Kin9</v>
      </c>
      <c r="B1009" s="45" t="s">
        <v>188</v>
      </c>
      <c r="C1009" s="46">
        <v>44886</v>
      </c>
      <c r="D1009" s="46">
        <v>44915</v>
      </c>
      <c r="E1009" s="47">
        <v>44896</v>
      </c>
      <c r="F1009" s="48" t="s">
        <v>34</v>
      </c>
      <c r="G1009" s="45" t="s">
        <v>35</v>
      </c>
      <c r="H1009" s="49" t="s">
        <v>85</v>
      </c>
      <c r="I1009" s="49" t="s">
        <v>44</v>
      </c>
      <c r="J1009" s="50">
        <v>50</v>
      </c>
      <c r="K1009" s="51">
        <v>5355</v>
      </c>
      <c r="L1009" s="52">
        <v>-13300</v>
      </c>
      <c r="M1009" s="53">
        <v>11573</v>
      </c>
      <c r="N1009" s="28">
        <f>K1009*J1009</f>
        <v>267750</v>
      </c>
      <c r="O1009" s="54">
        <v>34365</v>
      </c>
      <c r="P1009" s="29">
        <v>6.4173669469999997</v>
      </c>
      <c r="Q1009" s="55"/>
      <c r="R1009" s="31">
        <f>M1009+Q1009</f>
        <v>11573</v>
      </c>
      <c r="S1009" s="56">
        <v>-12710</v>
      </c>
      <c r="T1009" s="32">
        <f>R1009+S1009+IF(F1009="Without EV deal",L1009,0)</f>
        <v>-1137</v>
      </c>
      <c r="U1009" s="57">
        <v>1</v>
      </c>
      <c r="V1009" s="58"/>
      <c r="W1009" s="58"/>
      <c r="X1009" s="78">
        <v>0.23</v>
      </c>
      <c r="Y1009" s="30">
        <f>IF(AG1009="None",0,IF(AG1009="Fix5",0.05, IF(AG1009="Fix6.25",0.0625,IF(AG1009="Fix3.75",0.0375,IF(AG1009="Fix10",0.1,IF(AG1009="Fix3",0.03,0))))))</f>
        <v>0</v>
      </c>
      <c r="Z1009" s="35">
        <f>T1009-AA1009-AB1009</f>
        <v>-875.49</v>
      </c>
      <c r="AA1009" s="29">
        <f>IF(AD1009="EUR",((T1009-R1009)*X1009)*U1009+(R1009*X1009),(T1009*X1009))</f>
        <v>-261.51</v>
      </c>
      <c r="AB1009" s="36">
        <f>IF(AD1009="EUR",((T1009-R1009)*Y1009)*U1009+(R1009*Y1009),(T1009*Y1009))</f>
        <v>0</v>
      </c>
      <c r="AC1009" s="37" t="b">
        <v>1</v>
      </c>
      <c r="AD1009" s="37" t="s">
        <v>38</v>
      </c>
      <c r="AE1009" s="37" t="s">
        <v>38</v>
      </c>
      <c r="AF1009" s="37" t="str">
        <f t="array" ref="AF1009">INDEX('Deal Info'!D:D, MATCH(A1009,'Deal Info'!A:A, 0))</f>
        <v>DoEVni</v>
      </c>
      <c r="AG1009" s="38" t="str">
        <f t="array" ref="AG1009">INDEX('Deal Info'!G:G, MATCH(A1009,'Deal Info'!A:A, 0))</f>
        <v>None</v>
      </c>
    </row>
    <row r="1010" spans="1:33" ht="14.25" hidden="1" x14ac:dyDescent="0.2">
      <c r="A1010" s="18" t="str">
        <f t="array" ref="A1010">IF(G1010='Room Info'!$B$1, INDEX('Room Info'!$A$2:$A2446, MATCH(B1010,'Room Info'!$B$2:$B2446, 0)),IF(G1010='Room Info'!$C$1, INDEX('Room Info'!$A$2:$A2446, MATCH(B1010,'Room Info'!$C$2:$C2446, 0)),IF(G1010='Room Info'!$D$1, INDEX('Room Info'!$A$2:$A2446, MATCH(B1010,'Room Info'!$D$2:$D2446, 0)),IF(G1010='Room Info'!$E$1, INDEX('Room Info'!$A$2:$A2446, MATCH(B1010,'Room Info'!$E$2:$E2446, 0)),IF(G1010='Room Info'!$F$1, INDEX('Room Info'!$A$2:$A2446, MATCH(B1010,'Room Info'!$F$2:$F2446, 0)),IF(G1010='Room Info'!$H$1, INDEX('Room Info'!$A$2:$A2446, MATCH(B1010,'Room Info'!$H$2:$H2446, 0)),IF(G1010='Room Info'!$G$1, INDEX('Room Info'!$A$2:$A2446, MATCH(B1010,'Room Info'!$G$2:$G2446, 0)))))))))</f>
        <v>Night Kin9</v>
      </c>
      <c r="B1010" s="45" t="s">
        <v>188</v>
      </c>
      <c r="C1010" s="46">
        <v>44886</v>
      </c>
      <c r="D1010" s="46">
        <v>44915</v>
      </c>
      <c r="E1010" s="47">
        <v>44896</v>
      </c>
      <c r="F1010" s="48" t="s">
        <v>41</v>
      </c>
      <c r="G1010" s="45" t="s">
        <v>35</v>
      </c>
      <c r="H1010" s="49" t="s">
        <v>45</v>
      </c>
      <c r="I1010" s="49" t="s">
        <v>37</v>
      </c>
      <c r="J1010" s="50">
        <v>0.25</v>
      </c>
      <c r="K1010" s="51">
        <v>1</v>
      </c>
      <c r="L1010" s="52">
        <v>0</v>
      </c>
      <c r="M1010" s="53">
        <v>0</v>
      </c>
      <c r="N1010" s="28">
        <f>K1010*J1010</f>
        <v>0.25</v>
      </c>
      <c r="O1010" s="65"/>
      <c r="P1010" s="29">
        <v>0</v>
      </c>
      <c r="Q1010" s="55"/>
      <c r="R1010" s="31">
        <f>M1010+Q1010</f>
        <v>0</v>
      </c>
      <c r="S1010" s="66"/>
      <c r="T1010" s="32">
        <f>R1010+S1010+IF(F1010="Without EV deal",L1010,0)</f>
        <v>0</v>
      </c>
      <c r="U1010" s="57">
        <v>1</v>
      </c>
      <c r="V1010" s="58"/>
      <c r="W1010" s="58"/>
      <c r="X1010" s="78">
        <v>0.23</v>
      </c>
      <c r="Y1010" s="30">
        <f>IF(AG1010="None",0,IF(AG1010="Fix5",0.05, IF(AG1010="Fix6.25",0.0625,IF(AG1010="Fix3.75",0.0375,IF(AG1010="Fix10",0.1,IF(AG1010="Fix3",0.03,0))))))</f>
        <v>0</v>
      </c>
      <c r="Z1010" s="35">
        <f>T1010-AA1010-AB1010</f>
        <v>0</v>
      </c>
      <c r="AA1010" s="29">
        <f>IF(AD1010="EUR",((T1010-R1010)*X1010)*U1010+(R1010*X1010),(T1010*X1010))</f>
        <v>0</v>
      </c>
      <c r="AB1010" s="36">
        <f>IF(AD1010="EUR",((T1010-R1010)*Y1010)*U1010+(R1010*Y1010),(T1010*Y1010))</f>
        <v>0</v>
      </c>
      <c r="AC1010" s="37" t="b">
        <v>1</v>
      </c>
      <c r="AD1010" s="37" t="s">
        <v>38</v>
      </c>
      <c r="AE1010" s="37" t="s">
        <v>38</v>
      </c>
      <c r="AF1010" s="37" t="str">
        <f t="array" ref="AF1010">INDEX('Deal Info'!D:D, MATCH(A1010,'Deal Info'!A:A, 0))</f>
        <v>DoEVni</v>
      </c>
      <c r="AG1010" s="38" t="str">
        <f t="array" ref="AG1010">INDEX('Deal Info'!G:G, MATCH(A1010,'Deal Info'!A:A, 0))</f>
        <v>None</v>
      </c>
    </row>
    <row r="1011" spans="1:33" ht="14.25" hidden="1" x14ac:dyDescent="0.2">
      <c r="A1011" s="18" t="str">
        <f t="array" ref="A1011">IF(G1011='Room Info'!$B$1, INDEX('Room Info'!$A$2:$A2446, MATCH(B1011,'Room Info'!$B$2:$B2446, 0)),IF(G1011='Room Info'!$C$1, INDEX('Room Info'!$A$2:$A2446, MATCH(B1011,'Room Info'!$C$2:$C2446, 0)),IF(G1011='Room Info'!$D$1, INDEX('Room Info'!$A$2:$A2446, MATCH(B1011,'Room Info'!$D$2:$D2446, 0)),IF(G1011='Room Info'!$E$1, INDEX('Room Info'!$A$2:$A2446, MATCH(B1011,'Room Info'!$E$2:$E2446, 0)),IF(G1011='Room Info'!$F$1, INDEX('Room Info'!$A$2:$A2446, MATCH(B1011,'Room Info'!$F$2:$F2446, 0)),IF(G1011='Room Info'!$H$1, INDEX('Room Info'!$A$2:$A2446, MATCH(B1011,'Room Info'!$H$2:$H2446, 0)),IF(G1011='Room Info'!$G$1, INDEX('Room Info'!$A$2:$A2446, MATCH(B1011,'Room Info'!$G$2:$G2446, 0)))))))))</f>
        <v>Night Kin9</v>
      </c>
      <c r="B1011" s="45" t="s">
        <v>188</v>
      </c>
      <c r="C1011" s="46">
        <v>44886</v>
      </c>
      <c r="D1011" s="46">
        <v>44915</v>
      </c>
      <c r="E1011" s="47">
        <v>44896</v>
      </c>
      <c r="F1011" s="48" t="s">
        <v>41</v>
      </c>
      <c r="G1011" s="45" t="s">
        <v>35</v>
      </c>
      <c r="H1011" s="49" t="s">
        <v>42</v>
      </c>
      <c r="I1011" s="49" t="s">
        <v>37</v>
      </c>
      <c r="J1011" s="50">
        <v>1</v>
      </c>
      <c r="K1011" s="51">
        <v>4</v>
      </c>
      <c r="L1011" s="52">
        <v>3</v>
      </c>
      <c r="M1011" s="53">
        <v>0</v>
      </c>
      <c r="N1011" s="28">
        <f>K1011*J1011</f>
        <v>4</v>
      </c>
      <c r="O1011" s="65"/>
      <c r="P1011" s="29">
        <v>0</v>
      </c>
      <c r="Q1011" s="55"/>
      <c r="R1011" s="31">
        <f>M1011+Q1011</f>
        <v>0</v>
      </c>
      <c r="S1011" s="66"/>
      <c r="T1011" s="32">
        <f>R1011+S1011+IF(F1011="Without EV deal",L1011,0)</f>
        <v>3</v>
      </c>
      <c r="U1011" s="57">
        <v>1</v>
      </c>
      <c r="V1011" s="58"/>
      <c r="W1011" s="58"/>
      <c r="X1011" s="78">
        <v>0.23</v>
      </c>
      <c r="Y1011" s="30">
        <f>IF(AG1011="None",0,IF(AG1011="Fix5",0.05, IF(AG1011="Fix6.25",0.0625,IF(AG1011="Fix3.75",0.0375,IF(AG1011="Fix10",0.1,IF(AG1011="Fix3",0.03,0))))))</f>
        <v>0</v>
      </c>
      <c r="Z1011" s="35">
        <f>T1011-AA1011-AB1011</f>
        <v>2.31</v>
      </c>
      <c r="AA1011" s="29">
        <f>IF(AD1011="EUR",((T1011-R1011)*X1011)*U1011+(R1011*X1011),(T1011*X1011))</f>
        <v>0.69000000000000006</v>
      </c>
      <c r="AB1011" s="36">
        <f>IF(AD1011="EUR",((T1011-R1011)*Y1011)*U1011+(R1011*Y1011),(T1011*Y1011))</f>
        <v>0</v>
      </c>
      <c r="AC1011" s="37" t="b">
        <v>1</v>
      </c>
      <c r="AD1011" s="37" t="s">
        <v>38</v>
      </c>
      <c r="AE1011" s="37" t="s">
        <v>38</v>
      </c>
      <c r="AF1011" s="37" t="str">
        <f t="array" ref="AF1011">INDEX('Deal Info'!D:D, MATCH(A1011,'Deal Info'!A:A, 0))</f>
        <v>DoEVni</v>
      </c>
      <c r="AG1011" s="38" t="str">
        <f t="array" ref="AG1011">INDEX('Deal Info'!G:G, MATCH(A1011,'Deal Info'!A:A, 0))</f>
        <v>None</v>
      </c>
    </row>
    <row r="1012" spans="1:33" ht="14.25" hidden="1" x14ac:dyDescent="0.2">
      <c r="A1012" s="18" t="str">
        <f t="array" ref="A1012">IF(G1012='Room Info'!$B$1, INDEX('Room Info'!$A$2:$A2446, MATCH(B1012,'Room Info'!$B$2:$B2446, 0)),IF(G1012='Room Info'!$C$1, INDEX('Room Info'!$A$2:$A2446, MATCH(B1012,'Room Info'!$C$2:$C2446, 0)),IF(G1012='Room Info'!$D$1, INDEX('Room Info'!$A$2:$A2446, MATCH(B1012,'Room Info'!$D$2:$D2446, 0)),IF(G1012='Room Info'!$E$1, INDEX('Room Info'!$A$2:$A2446, MATCH(B1012,'Room Info'!$E$2:$E2446, 0)),IF(G1012='Room Info'!$F$1, INDEX('Room Info'!$A$2:$A2446, MATCH(B1012,'Room Info'!$F$2:$F2446, 0)),IF(G1012='Room Info'!$H$1, INDEX('Room Info'!$A$2:$A2446, MATCH(B1012,'Room Info'!$H$2:$H2446, 0)),IF(G1012='Room Info'!$G$1, INDEX('Room Info'!$A$2:$A2446, MATCH(B1012,'Room Info'!$G$2:$G2446, 0)))))))))</f>
        <v>Night Kin9</v>
      </c>
      <c r="B1012" s="45" t="s">
        <v>188</v>
      </c>
      <c r="C1012" s="99">
        <v>44886</v>
      </c>
      <c r="D1012" s="99">
        <v>44915</v>
      </c>
      <c r="E1012" s="47">
        <v>44896</v>
      </c>
      <c r="F1012" s="45" t="s">
        <v>41</v>
      </c>
      <c r="G1012" s="45" t="s">
        <v>35</v>
      </c>
      <c r="H1012" s="49" t="s">
        <v>47</v>
      </c>
      <c r="I1012" s="49" t="s">
        <v>44</v>
      </c>
      <c r="J1012" s="74">
        <v>1</v>
      </c>
      <c r="K1012" s="75">
        <v>1</v>
      </c>
      <c r="L1012" s="72">
        <v>1</v>
      </c>
      <c r="M1012" s="76">
        <v>0</v>
      </c>
      <c r="N1012" s="28">
        <f>K1012*J1012</f>
        <v>1</v>
      </c>
      <c r="O1012" s="96"/>
      <c r="P1012" s="29">
        <v>0</v>
      </c>
      <c r="Q1012" s="55"/>
      <c r="R1012" s="31">
        <f>M1012+Q1012</f>
        <v>0</v>
      </c>
      <c r="S1012" s="97"/>
      <c r="T1012" s="32">
        <f>R1012+S1012+IF(F1012="Without EV deal",L1012,0)</f>
        <v>1</v>
      </c>
      <c r="U1012" s="57">
        <v>1</v>
      </c>
      <c r="V1012" s="58"/>
      <c r="W1012" s="58"/>
      <c r="X1012" s="78">
        <v>0.23</v>
      </c>
      <c r="Y1012" s="30">
        <f>IF(AG1012="None",0,IF(AG1012="Fix5",0.05, IF(AG1012="Fix6.25",0.0625,IF(AG1012="Fix3.75",0.0375,IF(AG1012="Fix10",0.1,IF(AG1012="Fix3",0.03,0))))))</f>
        <v>0</v>
      </c>
      <c r="Z1012" s="35">
        <f>T1012-AA1012-AB1012</f>
        <v>0.77</v>
      </c>
      <c r="AA1012" s="29">
        <f>IF(AD1012="EUR",((T1012-R1012)*X1012)*U1012+(R1012*X1012),(T1012*X1012))</f>
        <v>0.23</v>
      </c>
      <c r="AB1012" s="36">
        <f>IF(AD1012="EUR",((T1012-R1012)*Y1012)*U1012+(R1012*Y1012),(T1012*Y1012))</f>
        <v>0</v>
      </c>
      <c r="AC1012" s="37" t="b">
        <v>1</v>
      </c>
      <c r="AD1012" s="37" t="s">
        <v>38</v>
      </c>
      <c r="AE1012" s="37" t="s">
        <v>38</v>
      </c>
      <c r="AF1012" s="37" t="str">
        <f t="array" ref="AF1012">INDEX('Deal Info'!D:D, MATCH(A1012,'Deal Info'!A:A, 0))</f>
        <v>DoEVni</v>
      </c>
      <c r="AG1012" s="38" t="str">
        <f t="array" ref="AG1012">INDEX('Deal Info'!G:G, MATCH(A1012,'Deal Info'!A:A, 0))</f>
        <v>None</v>
      </c>
    </row>
    <row r="1013" spans="1:33" ht="14.25" hidden="1" x14ac:dyDescent="0.2">
      <c r="A1013" s="18" t="str">
        <f t="array" ref="A1013">IF(G1013='Room Info'!$B$1, INDEX('Room Info'!$A$2:$A2446, MATCH(B1013,'Room Info'!$B$2:$B2446, 0)),IF(G1013='Room Info'!$C$1, INDEX('Room Info'!$A$2:$A2446, MATCH(B1013,'Room Info'!$C$2:$C2446, 0)),IF(G1013='Room Info'!$D$1, INDEX('Room Info'!$A$2:$A2446, MATCH(B1013,'Room Info'!$D$2:$D2446, 0)),IF(G1013='Room Info'!$E$1, INDEX('Room Info'!$A$2:$A2446, MATCH(B1013,'Room Info'!$E$2:$E2446, 0)),IF(G1013='Room Info'!$F$1, INDEX('Room Info'!$A$2:$A2446, MATCH(B1013,'Room Info'!$F$2:$F2446, 0)),IF(G1013='Room Info'!$H$1, INDEX('Room Info'!$A$2:$A2446, MATCH(B1013,'Room Info'!$H$2:$H2446, 0)),IF(G1013='Room Info'!$G$1, INDEX('Room Info'!$A$2:$A2446, MATCH(B1013,'Room Info'!$G$2:$G2446, 0)))))))))</f>
        <v>Night Kin9</v>
      </c>
      <c r="B1013" s="45" t="s">
        <v>188</v>
      </c>
      <c r="C1013" s="46">
        <v>44886</v>
      </c>
      <c r="D1013" s="46">
        <v>44915</v>
      </c>
      <c r="E1013" s="47">
        <v>44896</v>
      </c>
      <c r="F1013" s="48" t="s">
        <v>41</v>
      </c>
      <c r="G1013" s="45" t="s">
        <v>35</v>
      </c>
      <c r="H1013" s="49" t="s">
        <v>43</v>
      </c>
      <c r="I1013" s="49" t="s">
        <v>44</v>
      </c>
      <c r="J1013" s="50">
        <v>2</v>
      </c>
      <c r="K1013" s="51">
        <v>1</v>
      </c>
      <c r="L1013" s="52">
        <v>2</v>
      </c>
      <c r="M1013" s="53">
        <v>0</v>
      </c>
      <c r="N1013" s="28">
        <f>K1013*J1013</f>
        <v>2</v>
      </c>
      <c r="O1013" s="65"/>
      <c r="P1013" s="29">
        <v>0</v>
      </c>
      <c r="Q1013" s="55"/>
      <c r="R1013" s="31">
        <f>M1013+Q1013</f>
        <v>0</v>
      </c>
      <c r="S1013" s="66"/>
      <c r="T1013" s="32">
        <f>R1013+S1013+IF(F1013="Without EV deal",L1013,0)</f>
        <v>2</v>
      </c>
      <c r="U1013" s="57">
        <v>1</v>
      </c>
      <c r="V1013" s="58"/>
      <c r="W1013" s="58"/>
      <c r="X1013" s="78">
        <v>0.23</v>
      </c>
      <c r="Y1013" s="30">
        <f>IF(AG1013="None",0,IF(AG1013="Fix5",0.05, IF(AG1013="Fix6.25",0.0625,IF(AG1013="Fix3.75",0.0375,IF(AG1013="Fix10",0.1,IF(AG1013="Fix3",0.03,0))))))</f>
        <v>0</v>
      </c>
      <c r="Z1013" s="35">
        <f>T1013-AA1013-AB1013</f>
        <v>1.54</v>
      </c>
      <c r="AA1013" s="29">
        <f>IF(AD1013="EUR",((T1013-R1013)*X1013)*U1013+(R1013*X1013),(T1013*X1013))</f>
        <v>0.46</v>
      </c>
      <c r="AB1013" s="36">
        <f>IF(AD1013="EUR",((T1013-R1013)*Y1013)*U1013+(R1013*Y1013),(T1013*Y1013))</f>
        <v>0</v>
      </c>
      <c r="AC1013" s="37" t="b">
        <v>1</v>
      </c>
      <c r="AD1013" s="37" t="s">
        <v>38</v>
      </c>
      <c r="AE1013" s="37" t="s">
        <v>38</v>
      </c>
      <c r="AF1013" s="37" t="str">
        <f t="array" ref="AF1013">INDEX('Deal Info'!D:D, MATCH(A1013,'Deal Info'!A:A, 0))</f>
        <v>DoEVni</v>
      </c>
      <c r="AG1013" s="38" t="str">
        <f t="array" ref="AG1013">INDEX('Deal Info'!G:G, MATCH(A1013,'Deal Info'!A:A, 0))</f>
        <v>None</v>
      </c>
    </row>
    <row r="1014" spans="1:33" ht="14.25" hidden="1" x14ac:dyDescent="0.2">
      <c r="A1014" s="18" t="str">
        <f t="array" ref="A1014">IF(G1014='Room Info'!$B$1, INDEX('Room Info'!$A$2:$A2446, MATCH(B1014,'Room Info'!$B$2:$B2446, 0)),IF(G1014='Room Info'!$C$1, INDEX('Room Info'!$A$2:$A2446, MATCH(B1014,'Room Info'!$C$2:$C2446, 0)),IF(G1014='Room Info'!$D$1, INDEX('Room Info'!$A$2:$A2446, MATCH(B1014,'Room Info'!$D$2:$D2446, 0)),IF(G1014='Room Info'!$E$1, INDEX('Room Info'!$A$2:$A2446, MATCH(B1014,'Room Info'!$E$2:$E2446, 0)),IF(G1014='Room Info'!$F$1, INDEX('Room Info'!$A$2:$A2446, MATCH(B1014,'Room Info'!$F$2:$F2446, 0)),IF(G1014='Room Info'!$H$1, INDEX('Room Info'!$A$2:$A2446, MATCH(B1014,'Room Info'!$H$2:$H2446, 0)),IF(G1014='Room Info'!$G$1, INDEX('Room Info'!$A$2:$A2446, MATCH(B1014,'Room Info'!$G$2:$G2446, 0)))))))))</f>
        <v>Night Kin9</v>
      </c>
      <c r="B1014" s="45" t="s">
        <v>188</v>
      </c>
      <c r="C1014" s="99">
        <v>44916</v>
      </c>
      <c r="D1014" s="99">
        <v>44946</v>
      </c>
      <c r="E1014" s="47">
        <v>44927</v>
      </c>
      <c r="F1014" s="48" t="s">
        <v>34</v>
      </c>
      <c r="G1014" s="45" t="s">
        <v>35</v>
      </c>
      <c r="H1014" s="49" t="s">
        <v>46</v>
      </c>
      <c r="I1014" s="49" t="s">
        <v>37</v>
      </c>
      <c r="J1014" s="74">
        <v>25</v>
      </c>
      <c r="K1014" s="75">
        <v>84</v>
      </c>
      <c r="L1014" s="72">
        <v>-275</v>
      </c>
      <c r="M1014" s="76">
        <v>91</v>
      </c>
      <c r="N1014" s="28">
        <f>K1014*J1014</f>
        <v>2100</v>
      </c>
      <c r="O1014" s="45">
        <v>-8040</v>
      </c>
      <c r="P1014" s="29">
        <v>-95.714285709999999</v>
      </c>
      <c r="Q1014" s="55"/>
      <c r="R1014" s="31">
        <f>M1014+Q1014</f>
        <v>91</v>
      </c>
      <c r="S1014" s="73">
        <v>-498</v>
      </c>
      <c r="T1014" s="32">
        <f>R1014+S1014+IF(F1014="Without EV deal",L1014,0)</f>
        <v>-407</v>
      </c>
      <c r="U1014" s="57">
        <v>1</v>
      </c>
      <c r="V1014" s="58"/>
      <c r="W1014" s="58"/>
      <c r="X1014" s="78">
        <v>0.12</v>
      </c>
      <c r="Y1014" s="30">
        <f>IF(AG1014="None",0,IF(AG1014="Fix5",0.05, IF(AG1014="Fix6.25",0.0625,IF(AG1014="Fix3.75",0.0375,IF(AG1014="Fix10",0.1,IF(AG1014="Fix3",0.03,0))))))</f>
        <v>0</v>
      </c>
      <c r="Z1014" s="35">
        <f>T1014-AA1014-AB1014</f>
        <v>-358.16</v>
      </c>
      <c r="AA1014" s="29">
        <f>IF(AD1014="EUR",((T1014-R1014)*X1014)*U1014+(R1014*X1014),(T1014*X1014))</f>
        <v>-48.839999999999996</v>
      </c>
      <c r="AB1014" s="36">
        <f>IF(AD1014="EUR",((T1014-R1014)*Y1014)*U1014+(R1014*Y1014),(T1014*Y1014))</f>
        <v>0</v>
      </c>
      <c r="AC1014" s="37" t="b">
        <v>1</v>
      </c>
      <c r="AD1014" s="37" t="s">
        <v>38</v>
      </c>
      <c r="AE1014" s="37" t="s">
        <v>38</v>
      </c>
      <c r="AF1014" s="37" t="str">
        <f t="array" ref="AF1014">INDEX('Deal Info'!D:D, MATCH(A1014,'Deal Info'!A:A, 0))</f>
        <v>DoEVni</v>
      </c>
      <c r="AG1014" s="38" t="str">
        <f t="array" ref="AG1014">INDEX('Deal Info'!G:G, MATCH(A1014,'Deal Info'!A:A, 0))</f>
        <v>None</v>
      </c>
    </row>
    <row r="1015" spans="1:33" ht="14.25" hidden="1" x14ac:dyDescent="0.2">
      <c r="A1015" s="18" t="str">
        <f t="array" ref="A1015">IF(G1015='Room Info'!$B$1, INDEX('Room Info'!$A$2:$A2446, MATCH(B1015,'Room Info'!$B$2:$B2446, 0)),IF(G1015='Room Info'!$C$1, INDEX('Room Info'!$A$2:$A2446, MATCH(B1015,'Room Info'!$C$2:$C2446, 0)),IF(G1015='Room Info'!$D$1, INDEX('Room Info'!$A$2:$A2446, MATCH(B1015,'Room Info'!$D$2:$D2446, 0)),IF(G1015='Room Info'!$E$1, INDEX('Room Info'!$A$2:$A2446, MATCH(B1015,'Room Info'!$E$2:$E2446, 0)),IF(G1015='Room Info'!$F$1, INDEX('Room Info'!$A$2:$A2446, MATCH(B1015,'Room Info'!$F$2:$F2446, 0)),IF(G1015='Room Info'!$H$1, INDEX('Room Info'!$A$2:$A2446, MATCH(B1015,'Room Info'!$H$2:$H2446, 0)),IF(G1015='Room Info'!$G$1, INDEX('Room Info'!$A$2:$A2446, MATCH(B1015,'Room Info'!$G$2:$G2446, 0)))))))))</f>
        <v>Night Kin9</v>
      </c>
      <c r="B1015" s="45" t="s">
        <v>188</v>
      </c>
      <c r="C1015" s="99">
        <v>44916</v>
      </c>
      <c r="D1015" s="99">
        <v>44946</v>
      </c>
      <c r="E1015" s="47">
        <v>44927</v>
      </c>
      <c r="F1015" s="48" t="s">
        <v>34</v>
      </c>
      <c r="G1015" s="54" t="s">
        <v>35</v>
      </c>
      <c r="H1015" s="49" t="s">
        <v>87</v>
      </c>
      <c r="I1015" s="49" t="s">
        <v>44</v>
      </c>
      <c r="J1015" s="74">
        <v>25</v>
      </c>
      <c r="K1015" s="75">
        <v>3074</v>
      </c>
      <c r="L1015" s="72">
        <v>4525</v>
      </c>
      <c r="M1015" s="53">
        <v>3319</v>
      </c>
      <c r="N1015" s="28">
        <f>K1015*J1015</f>
        <v>76850</v>
      </c>
      <c r="O1015" s="45">
        <v>31155</v>
      </c>
      <c r="P1015" s="29">
        <v>10.13500325</v>
      </c>
      <c r="Q1015" s="55"/>
      <c r="R1015" s="31">
        <f>M1015+Q1015</f>
        <v>3319</v>
      </c>
      <c r="S1015" s="73">
        <v>-2358</v>
      </c>
      <c r="T1015" s="32">
        <f>R1015+S1015+IF(F1015="Without EV deal",L1015,0)</f>
        <v>961</v>
      </c>
      <c r="U1015" s="57">
        <v>1</v>
      </c>
      <c r="V1015" s="58"/>
      <c r="W1015" s="58"/>
      <c r="X1015" s="78">
        <v>0.12</v>
      </c>
      <c r="Y1015" s="30">
        <f>IF(AG1015="None",0,IF(AG1015="Fix5",0.05, IF(AG1015="Fix6.25",0.0625,IF(AG1015="Fix3.75",0.0375,IF(AG1015="Fix10",0.1,IF(AG1015="Fix3",0.03,0))))))</f>
        <v>0</v>
      </c>
      <c r="Z1015" s="35">
        <f>T1015-AA1015-AB1015</f>
        <v>845.68000000000006</v>
      </c>
      <c r="AA1015" s="29">
        <f>IF(AD1015="EUR",((T1015-R1015)*X1015)*U1015+(R1015*X1015),(T1015*X1015))</f>
        <v>115.32</v>
      </c>
      <c r="AB1015" s="36">
        <f>IF(AD1015="EUR",((T1015-R1015)*Y1015)*U1015+(R1015*Y1015),(T1015*Y1015))</f>
        <v>0</v>
      </c>
      <c r="AC1015" s="37" t="b">
        <v>1</v>
      </c>
      <c r="AD1015" s="37" t="s">
        <v>38</v>
      </c>
      <c r="AE1015" s="37" t="s">
        <v>38</v>
      </c>
      <c r="AF1015" s="37" t="str">
        <f t="array" ref="AF1015">INDEX('Deal Info'!D:D, MATCH(A1015,'Deal Info'!A:A, 0))</f>
        <v>DoEVni</v>
      </c>
      <c r="AG1015" s="38" t="str">
        <f t="array" ref="AG1015">INDEX('Deal Info'!G:G, MATCH(A1015,'Deal Info'!A:A, 0))</f>
        <v>None</v>
      </c>
    </row>
    <row r="1016" spans="1:33" ht="14.25" hidden="1" x14ac:dyDescent="0.2">
      <c r="A1016" s="18" t="str">
        <f t="array" ref="A1016">IF(G1016='Room Info'!$B$1, INDEX('Room Info'!$A$2:$A2446, MATCH(B1016,'Room Info'!$B$2:$B2446, 0)),IF(G1016='Room Info'!$C$1, INDEX('Room Info'!$A$2:$A2446, MATCH(B1016,'Room Info'!$C$2:$C2446, 0)),IF(G1016='Room Info'!$D$1, INDEX('Room Info'!$A$2:$A2446, MATCH(B1016,'Room Info'!$D$2:$D2446, 0)),IF(G1016='Room Info'!$E$1, INDEX('Room Info'!$A$2:$A2446, MATCH(B1016,'Room Info'!$E$2:$E2446, 0)),IF(G1016='Room Info'!$F$1, INDEX('Room Info'!$A$2:$A2446, MATCH(B1016,'Room Info'!$F$2:$F2446, 0)),IF(G1016='Room Info'!$H$1, INDEX('Room Info'!$A$2:$A2446, MATCH(B1016,'Room Info'!$H$2:$H2446, 0)),IF(G1016='Room Info'!$G$1, INDEX('Room Info'!$A$2:$A2446, MATCH(B1016,'Room Info'!$G$2:$G2446, 0)))))))))</f>
        <v>Night Kin9</v>
      </c>
      <c r="B1016" s="45" t="s">
        <v>188</v>
      </c>
      <c r="C1016" s="99">
        <v>44916</v>
      </c>
      <c r="D1016" s="99">
        <v>44946</v>
      </c>
      <c r="E1016" s="47">
        <v>44927</v>
      </c>
      <c r="F1016" s="48" t="s">
        <v>34</v>
      </c>
      <c r="G1016" s="54" t="s">
        <v>35</v>
      </c>
      <c r="H1016" s="49" t="s">
        <v>72</v>
      </c>
      <c r="I1016" s="49" t="s">
        <v>37</v>
      </c>
      <c r="J1016" s="74">
        <v>50</v>
      </c>
      <c r="K1016" s="75">
        <v>584</v>
      </c>
      <c r="L1016" s="72">
        <v>-1700</v>
      </c>
      <c r="M1016" s="53">
        <v>1261</v>
      </c>
      <c r="N1016" s="28">
        <f>K1016*J1016</f>
        <v>29200</v>
      </c>
      <c r="O1016" s="45">
        <v>15974</v>
      </c>
      <c r="P1016" s="29">
        <v>27.35273973</v>
      </c>
      <c r="Q1016" s="55"/>
      <c r="R1016" s="31">
        <f>M1016+Q1016</f>
        <v>1261</v>
      </c>
      <c r="S1016" s="73">
        <v>-327</v>
      </c>
      <c r="T1016" s="32">
        <f>R1016+S1016+IF(F1016="Without EV deal",L1016,0)</f>
        <v>934</v>
      </c>
      <c r="U1016" s="57">
        <v>1</v>
      </c>
      <c r="V1016" s="58"/>
      <c r="W1016" s="58"/>
      <c r="X1016" s="78">
        <v>0.12</v>
      </c>
      <c r="Y1016" s="30">
        <f>IF(AG1016="None",0,IF(AG1016="Fix5",0.05, IF(AG1016="Fix6.25",0.0625,IF(AG1016="Fix3.75",0.0375,IF(AG1016="Fix10",0.1,IF(AG1016="Fix3",0.03,0))))))</f>
        <v>0</v>
      </c>
      <c r="Z1016" s="35">
        <f>T1016-AA1016-AB1016</f>
        <v>821.92</v>
      </c>
      <c r="AA1016" s="29">
        <f>IF(AD1016="EUR",((T1016-R1016)*X1016)*U1016+(R1016*X1016),(T1016*X1016))</f>
        <v>112.08</v>
      </c>
      <c r="AB1016" s="36">
        <f>IF(AD1016="EUR",((T1016-R1016)*Y1016)*U1016+(R1016*Y1016),(T1016*Y1016))</f>
        <v>0</v>
      </c>
      <c r="AC1016" s="37" t="b">
        <v>1</v>
      </c>
      <c r="AD1016" s="37" t="s">
        <v>38</v>
      </c>
      <c r="AE1016" s="37" t="s">
        <v>38</v>
      </c>
      <c r="AF1016" s="37" t="str">
        <f t="array" ref="AF1016">INDEX('Deal Info'!D:D, MATCH(A1016,'Deal Info'!A:A, 0))</f>
        <v>DoEVni</v>
      </c>
      <c r="AG1016" s="38" t="str">
        <f t="array" ref="AG1016">INDEX('Deal Info'!G:G, MATCH(A1016,'Deal Info'!A:A, 0))</f>
        <v>None</v>
      </c>
    </row>
    <row r="1017" spans="1:33" ht="14.25" hidden="1" x14ac:dyDescent="0.2">
      <c r="A1017" s="18" t="str">
        <f t="array" ref="A1017">IF(G1017='Room Info'!$B$1, INDEX('Room Info'!$A$2:$A2446, MATCH(B1017,'Room Info'!$B$2:$B2446, 0)),IF(G1017='Room Info'!$C$1, INDEX('Room Info'!$A$2:$A2446, MATCH(B1017,'Room Info'!$C$2:$C2446, 0)),IF(G1017='Room Info'!$D$1, INDEX('Room Info'!$A$2:$A2446, MATCH(B1017,'Room Info'!$D$2:$D2446, 0)),IF(G1017='Room Info'!$E$1, INDEX('Room Info'!$A$2:$A2446, MATCH(B1017,'Room Info'!$E$2:$E2446, 0)),IF(G1017='Room Info'!$F$1, INDEX('Room Info'!$A$2:$A2446, MATCH(B1017,'Room Info'!$F$2:$F2446, 0)),IF(G1017='Room Info'!$H$1, INDEX('Room Info'!$A$2:$A2446, MATCH(B1017,'Room Info'!$H$2:$H2446, 0)),IF(G1017='Room Info'!$G$1, INDEX('Room Info'!$A$2:$A2446, MATCH(B1017,'Room Info'!$G$2:$G2446, 0)))))))))</f>
        <v>Night Kin9</v>
      </c>
      <c r="B1017" s="45" t="s">
        <v>188</v>
      </c>
      <c r="C1017" s="46">
        <v>44916</v>
      </c>
      <c r="D1017" s="46">
        <v>44946</v>
      </c>
      <c r="E1017" s="47">
        <v>44927</v>
      </c>
      <c r="F1017" s="48" t="s">
        <v>34</v>
      </c>
      <c r="G1017" s="45" t="s">
        <v>35</v>
      </c>
      <c r="H1017" s="49" t="s">
        <v>85</v>
      </c>
      <c r="I1017" s="49" t="s">
        <v>44</v>
      </c>
      <c r="J1017" s="50">
        <v>50</v>
      </c>
      <c r="K1017" s="51">
        <v>7103</v>
      </c>
      <c r="L1017" s="52">
        <v>-16600</v>
      </c>
      <c r="M1017" s="53">
        <v>15336</v>
      </c>
      <c r="N1017" s="28">
        <f>K1017*J1017</f>
        <v>355150</v>
      </c>
      <c r="O1017" s="54">
        <v>88391</v>
      </c>
      <c r="P1017" s="29">
        <v>12.444178519999999</v>
      </c>
      <c r="Q1017" s="55"/>
      <c r="R1017" s="31">
        <f>M1017+Q1017</f>
        <v>15336</v>
      </c>
      <c r="S1017" s="56">
        <v>-8317</v>
      </c>
      <c r="T1017" s="32">
        <f>R1017+S1017+IF(F1017="Without EV deal",L1017,0)</f>
        <v>7019</v>
      </c>
      <c r="U1017" s="57">
        <v>1</v>
      </c>
      <c r="V1017" s="58"/>
      <c r="W1017" s="58"/>
      <c r="X1017" s="78">
        <v>0.12</v>
      </c>
      <c r="Y1017" s="30">
        <f>IF(AG1017="None",0,IF(AG1017="Fix5",0.05, IF(AG1017="Fix6.25",0.0625,IF(AG1017="Fix3.75",0.0375,IF(AG1017="Fix10",0.1,IF(AG1017="Fix3",0.03,0))))))</f>
        <v>0</v>
      </c>
      <c r="Z1017" s="35">
        <f>T1017-AA1017-AB1017</f>
        <v>6176.72</v>
      </c>
      <c r="AA1017" s="29">
        <f>IF(AD1017="EUR",((T1017-R1017)*X1017)*U1017+(R1017*X1017),(T1017*X1017))</f>
        <v>842.28</v>
      </c>
      <c r="AB1017" s="36">
        <f>IF(AD1017="EUR",((T1017-R1017)*Y1017)*U1017+(R1017*Y1017),(T1017*Y1017))</f>
        <v>0</v>
      </c>
      <c r="AC1017" s="37" t="b">
        <v>1</v>
      </c>
      <c r="AD1017" s="37" t="s">
        <v>38</v>
      </c>
      <c r="AE1017" s="37" t="s">
        <v>38</v>
      </c>
      <c r="AF1017" s="37" t="str">
        <f t="array" ref="AF1017">INDEX('Deal Info'!D:D, MATCH(A1017,'Deal Info'!A:A, 0))</f>
        <v>DoEVni</v>
      </c>
      <c r="AG1017" s="38" t="str">
        <f t="array" ref="AG1017">INDEX('Deal Info'!G:G, MATCH(A1017,'Deal Info'!A:A, 0))</f>
        <v>None</v>
      </c>
    </row>
    <row r="1018" spans="1:33" ht="14.25" hidden="1" x14ac:dyDescent="0.2">
      <c r="A1018" s="18" t="str">
        <f t="array" ref="A1018">IF(G1018='Room Info'!$B$1, INDEX('Room Info'!$A$2:$A2446, MATCH(B1018,'Room Info'!$B$2:$B2446, 0)),IF(G1018='Room Info'!$C$1, INDEX('Room Info'!$A$2:$A2446, MATCH(B1018,'Room Info'!$C$2:$C2446, 0)),IF(G1018='Room Info'!$D$1, INDEX('Room Info'!$A$2:$A2446, MATCH(B1018,'Room Info'!$D$2:$D2446, 0)),IF(G1018='Room Info'!$E$1, INDEX('Room Info'!$A$2:$A2446, MATCH(B1018,'Room Info'!$E$2:$E2446, 0)),IF(G1018='Room Info'!$F$1, INDEX('Room Info'!$A$2:$A2446, MATCH(B1018,'Room Info'!$F$2:$F2446, 0)),IF(G1018='Room Info'!$H$1, INDEX('Room Info'!$A$2:$A2446, MATCH(B1018,'Room Info'!$H$2:$H2446, 0)),IF(G1018='Room Info'!$G$1, INDEX('Room Info'!$A$2:$A2446, MATCH(B1018,'Room Info'!$G$2:$G2446, 0)))))))))</f>
        <v>Night Kin9</v>
      </c>
      <c r="B1018" s="45" t="s">
        <v>188</v>
      </c>
      <c r="C1018" s="46">
        <v>44916</v>
      </c>
      <c r="D1018" s="46">
        <v>44946</v>
      </c>
      <c r="E1018" s="47">
        <v>44927</v>
      </c>
      <c r="F1018" s="48" t="s">
        <v>41</v>
      </c>
      <c r="G1018" s="45" t="s">
        <v>35</v>
      </c>
      <c r="H1018" s="49" t="s">
        <v>90</v>
      </c>
      <c r="I1018" s="49" t="s">
        <v>44</v>
      </c>
      <c r="J1018" s="50">
        <v>5</v>
      </c>
      <c r="K1018" s="51">
        <v>12</v>
      </c>
      <c r="L1018" s="52">
        <v>-20</v>
      </c>
      <c r="M1018" s="53">
        <v>3</v>
      </c>
      <c r="N1018" s="28">
        <f>K1018*J1018</f>
        <v>60</v>
      </c>
      <c r="O1018" s="65"/>
      <c r="P1018" s="29">
        <v>0</v>
      </c>
      <c r="Q1018" s="55"/>
      <c r="R1018" s="31">
        <f>M1018+Q1018</f>
        <v>3</v>
      </c>
      <c r="S1018" s="66"/>
      <c r="T1018" s="32">
        <f>R1018+S1018+IF(F1018="Without EV deal",L1018,0)</f>
        <v>-17</v>
      </c>
      <c r="U1018" s="57">
        <v>1</v>
      </c>
      <c r="V1018" s="58"/>
      <c r="W1018" s="58"/>
      <c r="X1018" s="78">
        <v>0.12</v>
      </c>
      <c r="Y1018" s="30">
        <f>IF(AG1018="None",0,IF(AG1018="Fix5",0.05, IF(AG1018="Fix6.25",0.0625,IF(AG1018="Fix3.75",0.0375,IF(AG1018="Fix10",0.1,IF(AG1018="Fix3",0.03,0))))))</f>
        <v>0</v>
      </c>
      <c r="Z1018" s="35">
        <f>T1018-AA1018-AB1018</f>
        <v>-14.96</v>
      </c>
      <c r="AA1018" s="29">
        <f>IF(AD1018="EUR",((T1018-R1018)*X1018)*U1018+(R1018*X1018),(T1018*X1018))</f>
        <v>-2.04</v>
      </c>
      <c r="AB1018" s="36">
        <f>IF(AD1018="EUR",((T1018-R1018)*Y1018)*U1018+(R1018*Y1018),(T1018*Y1018))</f>
        <v>0</v>
      </c>
      <c r="AC1018" s="37" t="b">
        <v>1</v>
      </c>
      <c r="AD1018" s="37" t="s">
        <v>38</v>
      </c>
      <c r="AE1018" s="37" t="s">
        <v>38</v>
      </c>
      <c r="AF1018" s="37" t="str">
        <f t="array" ref="AF1018">INDEX('Deal Info'!D:D, MATCH(A1018,'Deal Info'!A:A, 0))</f>
        <v>DoEVni</v>
      </c>
      <c r="AG1018" s="38" t="str">
        <f t="array" ref="AG1018">INDEX('Deal Info'!G:G, MATCH(A1018,'Deal Info'!A:A, 0))</f>
        <v>None</v>
      </c>
    </row>
    <row r="1019" spans="1:33" ht="14.25" hidden="1" x14ac:dyDescent="0.2">
      <c r="A1019" s="18" t="str">
        <f t="array" ref="A1019">IF(G1019='Room Info'!$B$1, INDEX('Room Info'!$A$2:$A2446, MATCH(B1019,'Room Info'!$B$2:$B2446, 0)),IF(G1019='Room Info'!$C$1, INDEX('Room Info'!$A$2:$A2446, MATCH(B1019,'Room Info'!$C$2:$C2446, 0)),IF(G1019='Room Info'!$D$1, INDEX('Room Info'!$A$2:$A2446, MATCH(B1019,'Room Info'!$D$2:$D2446, 0)),IF(G1019='Room Info'!$E$1, INDEX('Room Info'!$A$2:$A2446, MATCH(B1019,'Room Info'!$E$2:$E2446, 0)),IF(G1019='Room Info'!$F$1, INDEX('Room Info'!$A$2:$A2446, MATCH(B1019,'Room Info'!$F$2:$F2446, 0)),IF(G1019='Room Info'!$H$1, INDEX('Room Info'!$A$2:$A2446, MATCH(B1019,'Room Info'!$H$2:$H2446, 0)),IF(G1019='Room Info'!$G$1, INDEX('Room Info'!$A$2:$A2446, MATCH(B1019,'Room Info'!$G$2:$G2446, 0)))))))))</f>
        <v>OneTaper</v>
      </c>
      <c r="B1019" s="45" t="s">
        <v>189</v>
      </c>
      <c r="C1019" s="46">
        <v>44685</v>
      </c>
      <c r="D1019" s="46">
        <v>44712</v>
      </c>
      <c r="E1019" s="47">
        <v>44682</v>
      </c>
      <c r="F1019" s="48" t="s">
        <v>41</v>
      </c>
      <c r="G1019" s="45" t="s">
        <v>53</v>
      </c>
      <c r="H1019" s="49" t="s">
        <v>54</v>
      </c>
      <c r="I1019" s="49" t="s">
        <v>37</v>
      </c>
      <c r="J1019" s="50">
        <v>5</v>
      </c>
      <c r="K1019" s="51">
        <v>5</v>
      </c>
      <c r="L1019" s="52">
        <v>-1.3</v>
      </c>
      <c r="M1019" s="53">
        <v>1</v>
      </c>
      <c r="N1019" s="28">
        <f>K1019*J1019</f>
        <v>25</v>
      </c>
      <c r="O1019" s="54">
        <v>0</v>
      </c>
      <c r="P1019" s="29">
        <v>0</v>
      </c>
      <c r="Q1019" s="55"/>
      <c r="R1019" s="31">
        <f>M1019+Q1019</f>
        <v>1</v>
      </c>
      <c r="S1019" s="66"/>
      <c r="T1019" s="32">
        <f>R1019+S1019+IF(F1019="Without EV deal",L1019,0)</f>
        <v>-0.30000000000000004</v>
      </c>
      <c r="U1019" s="57">
        <v>1</v>
      </c>
      <c r="V1019" s="58"/>
      <c r="W1019" s="58"/>
      <c r="X1019" s="78">
        <v>0.3</v>
      </c>
      <c r="Y1019" s="30">
        <f>IF(AG1019="None",0,IF(AG1019="Fix5",0.05, IF(AG1019="Fix6.25",0.0625,IF(AG1019="Fix3.75",0.0375,IF(AG1019="Fix10",0.1,IF(AG1019="Fix3",0.03,0))))))</f>
        <v>0</v>
      </c>
      <c r="Z1019" s="35">
        <f>T1019-AA1019-AB1019</f>
        <v>-0.30000000000000004</v>
      </c>
      <c r="AA1019" s="60">
        <v>0</v>
      </c>
      <c r="AB1019" s="36">
        <f>IF(AD1019="EUR",((T1019-R1019)*Y1019)*U1019+(R1019*Y1019),(T1019*Y1019))</f>
        <v>0</v>
      </c>
      <c r="AC1019" s="37" t="b">
        <v>1</v>
      </c>
      <c r="AD1019" s="37" t="s">
        <v>38</v>
      </c>
      <c r="AE1019" s="37" t="s">
        <v>38</v>
      </c>
      <c r="AF1019" s="37" t="str">
        <f t="array" ref="AF1019">INDEX('Deal Info'!D:D, MATCH(A1019,'Deal Info'!A:A, 0))</f>
        <v>DoEV</v>
      </c>
      <c r="AG1019" s="38" t="str">
        <f t="array" ref="AG1019">INDEX('Deal Info'!G:G, MATCH(A1019,'Deal Info'!A:A, 0))</f>
        <v>None</v>
      </c>
    </row>
    <row r="1020" spans="1:33" ht="14.25" hidden="1" x14ac:dyDescent="0.2">
      <c r="A1020" s="18" t="str">
        <f t="array" ref="A1020">IF(G1020='Room Info'!$B$1, INDEX('Room Info'!$A$2:$A2446, MATCH(B1020,'Room Info'!$B$2:$B2446, 0)),IF(G1020='Room Info'!$C$1, INDEX('Room Info'!$A$2:$A2446, MATCH(B1020,'Room Info'!$C$2:$C2446, 0)),IF(G1020='Room Info'!$D$1, INDEX('Room Info'!$A$2:$A2446, MATCH(B1020,'Room Info'!$D$2:$D2446, 0)),IF(G1020='Room Info'!$E$1, INDEX('Room Info'!$A$2:$A2446, MATCH(B1020,'Room Info'!$E$2:$E2446, 0)),IF(G1020='Room Info'!$F$1, INDEX('Room Info'!$A$2:$A2446, MATCH(B1020,'Room Info'!$F$2:$F2446, 0)),IF(G1020='Room Info'!$H$1, INDEX('Room Info'!$A$2:$A2446, MATCH(B1020,'Room Info'!$H$2:$H2446, 0)),IF(G1020='Room Info'!$G$1, INDEX('Room Info'!$A$2:$A2446, MATCH(B1020,'Room Info'!$G$2:$G2446, 0)))))))))</f>
        <v>OneTaper</v>
      </c>
      <c r="B1020" s="45" t="s">
        <v>189</v>
      </c>
      <c r="C1020" s="99">
        <v>44685</v>
      </c>
      <c r="D1020" s="99">
        <v>44712</v>
      </c>
      <c r="E1020" s="47">
        <v>44682</v>
      </c>
      <c r="F1020" s="45" t="s">
        <v>41</v>
      </c>
      <c r="G1020" s="45" t="s">
        <v>53</v>
      </c>
      <c r="H1020" s="49" t="s">
        <v>55</v>
      </c>
      <c r="I1020" s="49" t="s">
        <v>37</v>
      </c>
      <c r="J1020" s="74">
        <v>10</v>
      </c>
      <c r="K1020" s="75">
        <v>10</v>
      </c>
      <c r="L1020" s="72">
        <v>-5.19</v>
      </c>
      <c r="M1020" s="76">
        <v>4</v>
      </c>
      <c r="N1020" s="28">
        <f>K1020*J1020</f>
        <v>100</v>
      </c>
      <c r="O1020" s="45">
        <v>-150</v>
      </c>
      <c r="P1020" s="29">
        <v>-15</v>
      </c>
      <c r="Q1020" s="55"/>
      <c r="R1020" s="31">
        <f>M1020+Q1020</f>
        <v>4</v>
      </c>
      <c r="S1020" s="97"/>
      <c r="T1020" s="32">
        <f>R1020+S1020+IF(F1020="Without EV deal",L1020,0)</f>
        <v>-1.1900000000000004</v>
      </c>
      <c r="U1020" s="57">
        <v>1</v>
      </c>
      <c r="V1020" s="58"/>
      <c r="W1020" s="58"/>
      <c r="X1020" s="78">
        <v>0.3</v>
      </c>
      <c r="Y1020" s="30">
        <f>IF(AG1020="None",0,IF(AG1020="Fix5",0.05, IF(AG1020="Fix6.25",0.0625,IF(AG1020="Fix3.75",0.0375,IF(AG1020="Fix10",0.1,IF(AG1020="Fix3",0.03,0))))))</f>
        <v>0</v>
      </c>
      <c r="Z1020" s="35">
        <f>T1020-AA1020-AB1020</f>
        <v>-0.19000000000000039</v>
      </c>
      <c r="AA1020" s="60">
        <v>-1</v>
      </c>
      <c r="AB1020" s="36">
        <f>IF(AD1020="EUR",((T1020-R1020)*Y1020)*U1020+(R1020*Y1020),(T1020*Y1020))</f>
        <v>0</v>
      </c>
      <c r="AC1020" s="37" t="b">
        <v>1</v>
      </c>
      <c r="AD1020" s="37" t="s">
        <v>38</v>
      </c>
      <c r="AE1020" s="37" t="s">
        <v>38</v>
      </c>
      <c r="AF1020" s="37" t="str">
        <f t="array" ref="AF1020">INDEX('Deal Info'!D:D, MATCH(A1020,'Deal Info'!A:A, 0))</f>
        <v>DoEV</v>
      </c>
      <c r="AG1020" s="38" t="str">
        <f t="array" ref="AG1020">INDEX('Deal Info'!G:G, MATCH(A1020,'Deal Info'!A:A, 0))</f>
        <v>None</v>
      </c>
    </row>
    <row r="1021" spans="1:33" ht="14.25" hidden="1" x14ac:dyDescent="0.2">
      <c r="A1021" s="18" t="str">
        <f t="array" ref="A1021">IF(G1021='Room Info'!$B$1, INDEX('Room Info'!$A$2:$A2446, MATCH(B1021,'Room Info'!$B$2:$B2446, 0)),IF(G1021='Room Info'!$C$1, INDEX('Room Info'!$A$2:$A2446, MATCH(B1021,'Room Info'!$C$2:$C2446, 0)),IF(G1021='Room Info'!$D$1, INDEX('Room Info'!$A$2:$A2446, MATCH(B1021,'Room Info'!$D$2:$D2446, 0)),IF(G1021='Room Info'!$E$1, INDEX('Room Info'!$A$2:$A2446, MATCH(B1021,'Room Info'!$E$2:$E2446, 0)),IF(G1021='Room Info'!$F$1, INDEX('Room Info'!$A$2:$A2446, MATCH(B1021,'Room Info'!$F$2:$F2446, 0)),IF(G1021='Room Info'!$H$1, INDEX('Room Info'!$A$2:$A2446, MATCH(B1021,'Room Info'!$H$2:$H2446, 0)),IF(G1021='Room Info'!$G$1, INDEX('Room Info'!$A$2:$A2446, MATCH(B1021,'Room Info'!$G$2:$G2446, 0)))))))))</f>
        <v>OneTaper</v>
      </c>
      <c r="B1021" s="45" t="s">
        <v>189</v>
      </c>
      <c r="C1021" s="99">
        <v>44685</v>
      </c>
      <c r="D1021" s="99">
        <v>44712</v>
      </c>
      <c r="E1021" s="47">
        <v>44682</v>
      </c>
      <c r="F1021" s="45" t="s">
        <v>41</v>
      </c>
      <c r="G1021" s="45" t="s">
        <v>53</v>
      </c>
      <c r="H1021" s="49" t="s">
        <v>56</v>
      </c>
      <c r="I1021" s="49" t="s">
        <v>37</v>
      </c>
      <c r="J1021" s="74">
        <v>20</v>
      </c>
      <c r="K1021" s="75">
        <v>1315</v>
      </c>
      <c r="L1021" s="72">
        <v>-1363.98</v>
      </c>
      <c r="M1021" s="76">
        <v>921</v>
      </c>
      <c r="N1021" s="28">
        <f>K1021*J1021</f>
        <v>26300</v>
      </c>
      <c r="O1021" s="45">
        <v>53915</v>
      </c>
      <c r="P1021" s="29">
        <v>41</v>
      </c>
      <c r="Q1021" s="55"/>
      <c r="R1021" s="31">
        <f>M1021+Q1021</f>
        <v>921</v>
      </c>
      <c r="S1021" s="97"/>
      <c r="T1021" s="32">
        <f>R1021+S1021+IF(F1021="Without EV deal",L1021,0)</f>
        <v>-442.98</v>
      </c>
      <c r="U1021" s="57">
        <v>1</v>
      </c>
      <c r="V1021" s="58"/>
      <c r="W1021" s="58"/>
      <c r="X1021" s="78">
        <v>0.3</v>
      </c>
      <c r="Y1021" s="30">
        <f>IF(AG1021="None",0,IF(AG1021="Fix5",0.05, IF(AG1021="Fix6.25",0.0625,IF(AG1021="Fix3.75",0.0375,IF(AG1021="Fix10",0.1,IF(AG1021="Fix3",0.03,0))))))</f>
        <v>0</v>
      </c>
      <c r="Z1021" s="35">
        <f>T1021-AA1021-AB1021</f>
        <v>-309.98</v>
      </c>
      <c r="AA1021" s="60">
        <v>-133</v>
      </c>
      <c r="AB1021" s="36">
        <f>IF(AD1021="EUR",((T1021-R1021)*Y1021)*U1021+(R1021*Y1021),(T1021*Y1021))</f>
        <v>0</v>
      </c>
      <c r="AC1021" s="37" t="b">
        <v>1</v>
      </c>
      <c r="AD1021" s="37" t="s">
        <v>38</v>
      </c>
      <c r="AE1021" s="37" t="s">
        <v>38</v>
      </c>
      <c r="AF1021" s="37" t="str">
        <f t="array" ref="AF1021">INDEX('Deal Info'!D:D, MATCH(A1021,'Deal Info'!A:A, 0))</f>
        <v>DoEV</v>
      </c>
      <c r="AG1021" s="38" t="str">
        <f t="array" ref="AG1021">INDEX('Deal Info'!G:G, MATCH(A1021,'Deal Info'!A:A, 0))</f>
        <v>None</v>
      </c>
    </row>
    <row r="1022" spans="1:33" ht="14.25" hidden="1" x14ac:dyDescent="0.2">
      <c r="A1022" s="18" t="str">
        <f t="array" ref="A1022">IF(G1022='Room Info'!$B$1, INDEX('Room Info'!$A$2:$A2446, MATCH(B1022,'Room Info'!$B$2:$B2446, 0)),IF(G1022='Room Info'!$C$1, INDEX('Room Info'!$A$2:$A2446, MATCH(B1022,'Room Info'!$C$2:$C2446, 0)),IF(G1022='Room Info'!$D$1, INDEX('Room Info'!$A$2:$A2446, MATCH(B1022,'Room Info'!$D$2:$D2446, 0)),IF(G1022='Room Info'!$E$1, INDEX('Room Info'!$A$2:$A2446, MATCH(B1022,'Room Info'!$E$2:$E2446, 0)),IF(G1022='Room Info'!$F$1, INDEX('Room Info'!$A$2:$A2446, MATCH(B1022,'Room Info'!$F$2:$F2446, 0)),IF(G1022='Room Info'!$H$1, INDEX('Room Info'!$A$2:$A2446, MATCH(B1022,'Room Info'!$H$2:$H2446, 0)),IF(G1022='Room Info'!$G$1, INDEX('Room Info'!$A$2:$A2446, MATCH(B1022,'Room Info'!$G$2:$G2446, 0)))))))))</f>
        <v>OneTaper</v>
      </c>
      <c r="B1022" s="45" t="s">
        <v>189</v>
      </c>
      <c r="C1022" s="99">
        <v>44685</v>
      </c>
      <c r="D1022" s="99">
        <v>44712</v>
      </c>
      <c r="E1022" s="47">
        <v>44682</v>
      </c>
      <c r="F1022" s="45" t="s">
        <v>41</v>
      </c>
      <c r="G1022" s="45" t="s">
        <v>53</v>
      </c>
      <c r="H1022" s="49" t="s">
        <v>57</v>
      </c>
      <c r="I1022" s="49" t="s">
        <v>37</v>
      </c>
      <c r="J1022" s="74">
        <v>50</v>
      </c>
      <c r="K1022" s="75">
        <v>183</v>
      </c>
      <c r="L1022" s="72">
        <v>-474.54</v>
      </c>
      <c r="M1022" s="76">
        <v>320</v>
      </c>
      <c r="N1022" s="28">
        <f>K1022*J1022</f>
        <v>9150</v>
      </c>
      <c r="O1022" s="45">
        <v>-3294</v>
      </c>
      <c r="P1022" s="29">
        <v>-18</v>
      </c>
      <c r="Q1022" s="55"/>
      <c r="R1022" s="31">
        <f>M1022+Q1022</f>
        <v>320</v>
      </c>
      <c r="S1022" s="97"/>
      <c r="T1022" s="32">
        <f>R1022+S1022+IF(F1022="Without EV deal",L1022,0)</f>
        <v>-154.54000000000002</v>
      </c>
      <c r="U1022" s="57">
        <v>1</v>
      </c>
      <c r="V1022" s="58"/>
      <c r="W1022" s="58"/>
      <c r="X1022" s="78">
        <v>0.3</v>
      </c>
      <c r="Y1022" s="30">
        <f>IF(AG1022="None",0,IF(AG1022="Fix5",0.05, IF(AG1022="Fix6.25",0.0625,IF(AG1022="Fix3.75",0.0375,IF(AG1022="Fix10",0.1,IF(AG1022="Fix3",0.03,0))))))</f>
        <v>0</v>
      </c>
      <c r="Z1022" s="35">
        <f>T1022-AA1022-AB1022</f>
        <v>-108.54000000000002</v>
      </c>
      <c r="AA1022" s="60">
        <v>-46</v>
      </c>
      <c r="AB1022" s="36">
        <f>IF(AD1022="EUR",((T1022-R1022)*Y1022)*U1022+(R1022*Y1022),(T1022*Y1022))</f>
        <v>0</v>
      </c>
      <c r="AC1022" s="37" t="b">
        <v>1</v>
      </c>
      <c r="AD1022" s="37" t="s">
        <v>38</v>
      </c>
      <c r="AE1022" s="37" t="s">
        <v>38</v>
      </c>
      <c r="AF1022" s="37" t="str">
        <f t="array" ref="AF1022">INDEX('Deal Info'!D:D, MATCH(A1022,'Deal Info'!A:A, 0))</f>
        <v>DoEV</v>
      </c>
      <c r="AG1022" s="38" t="str">
        <f t="array" ref="AG1022">INDEX('Deal Info'!G:G, MATCH(A1022,'Deal Info'!A:A, 0))</f>
        <v>None</v>
      </c>
    </row>
    <row r="1023" spans="1:33" ht="14.25" hidden="1" x14ac:dyDescent="0.2">
      <c r="A1023" s="18" t="str">
        <f t="array" ref="A1023">IF(G1023='Room Info'!$B$1, INDEX('Room Info'!$A$2:$A2446, MATCH(B1023,'Room Info'!$B$2:$B2446, 0)),IF(G1023='Room Info'!$C$1, INDEX('Room Info'!$A$2:$A2446, MATCH(B1023,'Room Info'!$C$2:$C2446, 0)),IF(G1023='Room Info'!$D$1, INDEX('Room Info'!$A$2:$A2446, MATCH(B1023,'Room Info'!$D$2:$D2446, 0)),IF(G1023='Room Info'!$E$1, INDEX('Room Info'!$A$2:$A2446, MATCH(B1023,'Room Info'!$E$2:$E2446, 0)),IF(G1023='Room Info'!$F$1, INDEX('Room Info'!$A$2:$A2446, MATCH(B1023,'Room Info'!$F$2:$F2446, 0)),IF(G1023='Room Info'!$H$1, INDEX('Room Info'!$A$2:$A2446, MATCH(B1023,'Room Info'!$H$2:$H2446, 0)),IF(G1023='Room Info'!$G$1, INDEX('Room Info'!$A$2:$A2446, MATCH(B1023,'Room Info'!$G$2:$G2446, 0)))))))))</f>
        <v>OneTaper</v>
      </c>
      <c r="B1023" s="45" t="s">
        <v>189</v>
      </c>
      <c r="C1023" s="99">
        <v>44713</v>
      </c>
      <c r="D1023" s="99">
        <v>44742</v>
      </c>
      <c r="E1023" s="47">
        <v>44713</v>
      </c>
      <c r="F1023" s="45" t="s">
        <v>41</v>
      </c>
      <c r="G1023" s="45" t="s">
        <v>53</v>
      </c>
      <c r="H1023" s="49" t="s">
        <v>54</v>
      </c>
      <c r="I1023" s="49" t="s">
        <v>37</v>
      </c>
      <c r="J1023" s="74">
        <v>5</v>
      </c>
      <c r="K1023" s="75">
        <v>8</v>
      </c>
      <c r="L1023" s="72">
        <v>-0.5</v>
      </c>
      <c r="M1023" s="76">
        <v>1</v>
      </c>
      <c r="N1023" s="28">
        <f>K1023*J1023</f>
        <v>40</v>
      </c>
      <c r="O1023" s="45">
        <v>-31</v>
      </c>
      <c r="P1023" s="29">
        <v>-3.875</v>
      </c>
      <c r="Q1023" s="55"/>
      <c r="R1023" s="31">
        <f>M1023+Q1023</f>
        <v>1</v>
      </c>
      <c r="S1023" s="97"/>
      <c r="T1023" s="32">
        <f>R1023+S1023+IF(F1023="Without EV deal",L1023,0)</f>
        <v>0.5</v>
      </c>
      <c r="U1023" s="57">
        <v>1</v>
      </c>
      <c r="V1023" s="58"/>
      <c r="W1023" s="58"/>
      <c r="X1023" s="78">
        <v>0.3</v>
      </c>
      <c r="Y1023" s="30">
        <f>IF(AG1023="None",0,IF(AG1023="Fix5",0.05, IF(AG1023="Fix6.25",0.0625,IF(AG1023="Fix3.75",0.0375,IF(AG1023="Fix10",0.1,IF(AG1023="Fix3",0.03,0))))))</f>
        <v>0</v>
      </c>
      <c r="Z1023" s="35">
        <f>T1023-AA1023-AB1023</f>
        <v>0.5</v>
      </c>
      <c r="AA1023" s="60">
        <v>0</v>
      </c>
      <c r="AB1023" s="36">
        <f>IF(AD1023="EUR",((T1023-R1023)*Y1023)*U1023+(R1023*Y1023),(T1023*Y1023))</f>
        <v>0</v>
      </c>
      <c r="AC1023" s="37" t="b">
        <v>1</v>
      </c>
      <c r="AD1023" s="37" t="s">
        <v>38</v>
      </c>
      <c r="AE1023" s="37" t="s">
        <v>38</v>
      </c>
      <c r="AF1023" s="37" t="str">
        <f t="array" ref="AF1023">INDEX('Deal Info'!D:D, MATCH(A1023,'Deal Info'!A:A, 0))</f>
        <v>DoEV</v>
      </c>
      <c r="AG1023" s="38" t="str">
        <f t="array" ref="AG1023">INDEX('Deal Info'!G:G, MATCH(A1023,'Deal Info'!A:A, 0))</f>
        <v>None</v>
      </c>
    </row>
    <row r="1024" spans="1:33" ht="14.25" hidden="1" x14ac:dyDescent="0.2">
      <c r="A1024" s="18" t="str">
        <f t="array" ref="A1024">IF(G1024='Room Info'!$B$1, INDEX('Room Info'!$A$2:$A2446, MATCH(B1024,'Room Info'!$B$2:$B2446, 0)),IF(G1024='Room Info'!$C$1, INDEX('Room Info'!$A$2:$A2446, MATCH(B1024,'Room Info'!$C$2:$C2446, 0)),IF(G1024='Room Info'!$D$1, INDEX('Room Info'!$A$2:$A2446, MATCH(B1024,'Room Info'!$D$2:$D2446, 0)),IF(G1024='Room Info'!$E$1, INDEX('Room Info'!$A$2:$A2446, MATCH(B1024,'Room Info'!$E$2:$E2446, 0)),IF(G1024='Room Info'!$F$1, INDEX('Room Info'!$A$2:$A2446, MATCH(B1024,'Room Info'!$F$2:$F2446, 0)),IF(G1024='Room Info'!$H$1, INDEX('Room Info'!$A$2:$A2446, MATCH(B1024,'Room Info'!$H$2:$H2446, 0)),IF(G1024='Room Info'!$G$1, INDEX('Room Info'!$A$2:$A2446, MATCH(B1024,'Room Info'!$G$2:$G2446, 0)))))))))</f>
        <v>OneTaper</v>
      </c>
      <c r="B1024" s="45" t="s">
        <v>189</v>
      </c>
      <c r="C1024" s="99">
        <v>44713</v>
      </c>
      <c r="D1024" s="99">
        <v>44742</v>
      </c>
      <c r="E1024" s="47">
        <v>44713</v>
      </c>
      <c r="F1024" s="45" t="s">
        <v>41</v>
      </c>
      <c r="G1024" s="45" t="s">
        <v>53</v>
      </c>
      <c r="H1024" s="49" t="s">
        <v>55</v>
      </c>
      <c r="I1024" s="49" t="s">
        <v>37</v>
      </c>
      <c r="J1024" s="74">
        <v>10</v>
      </c>
      <c r="K1024" s="75">
        <v>4</v>
      </c>
      <c r="L1024" s="72">
        <v>-0.5</v>
      </c>
      <c r="M1024" s="76">
        <v>1</v>
      </c>
      <c r="N1024" s="28">
        <f>K1024*J1024</f>
        <v>40</v>
      </c>
      <c r="O1024" s="45">
        <v>168</v>
      </c>
      <c r="P1024" s="29">
        <v>42</v>
      </c>
      <c r="Q1024" s="55"/>
      <c r="R1024" s="31">
        <f>M1024+Q1024</f>
        <v>1</v>
      </c>
      <c r="S1024" s="97"/>
      <c r="T1024" s="32">
        <f>R1024+S1024+IF(F1024="Without EV deal",L1024,0)</f>
        <v>0.5</v>
      </c>
      <c r="U1024" s="57">
        <v>1</v>
      </c>
      <c r="V1024" s="58"/>
      <c r="W1024" s="58"/>
      <c r="X1024" s="78">
        <v>0.3</v>
      </c>
      <c r="Y1024" s="30">
        <f>IF(AG1024="None",0,IF(AG1024="Fix5",0.05, IF(AG1024="Fix6.25",0.0625,IF(AG1024="Fix3.75",0.0375,IF(AG1024="Fix10",0.1,IF(AG1024="Fix3",0.03,0))))))</f>
        <v>0</v>
      </c>
      <c r="Z1024" s="35">
        <f>T1024-AA1024-AB1024</f>
        <v>0.5</v>
      </c>
      <c r="AA1024" s="60">
        <v>0</v>
      </c>
      <c r="AB1024" s="36">
        <f>IF(AD1024="EUR",((T1024-R1024)*Y1024)*U1024+(R1024*Y1024),(T1024*Y1024))</f>
        <v>0</v>
      </c>
      <c r="AC1024" s="37" t="b">
        <v>1</v>
      </c>
      <c r="AD1024" s="37" t="s">
        <v>38</v>
      </c>
      <c r="AE1024" s="37" t="s">
        <v>38</v>
      </c>
      <c r="AF1024" s="37" t="str">
        <f t="array" ref="AF1024">INDEX('Deal Info'!D:D, MATCH(A1024,'Deal Info'!A:A, 0))</f>
        <v>DoEV</v>
      </c>
      <c r="AG1024" s="38" t="str">
        <f t="array" ref="AG1024">INDEX('Deal Info'!G:G, MATCH(A1024,'Deal Info'!A:A, 0))</f>
        <v>None</v>
      </c>
    </row>
    <row r="1025" spans="1:33" ht="14.25" hidden="1" x14ac:dyDescent="0.2">
      <c r="A1025" s="18" t="str">
        <f t="array" ref="A1025">IF(G1025='Room Info'!$B$1, INDEX('Room Info'!$A$2:$A2446, MATCH(B1025,'Room Info'!$B$2:$B2446, 0)),IF(G1025='Room Info'!$C$1, INDEX('Room Info'!$A$2:$A2446, MATCH(B1025,'Room Info'!$C$2:$C2446, 0)),IF(G1025='Room Info'!$D$1, INDEX('Room Info'!$A$2:$A2446, MATCH(B1025,'Room Info'!$D$2:$D2446, 0)),IF(G1025='Room Info'!$E$1, INDEX('Room Info'!$A$2:$A2446, MATCH(B1025,'Room Info'!$E$2:$E2446, 0)),IF(G1025='Room Info'!$F$1, INDEX('Room Info'!$A$2:$A2446, MATCH(B1025,'Room Info'!$F$2:$F2446, 0)),IF(G1025='Room Info'!$H$1, INDEX('Room Info'!$A$2:$A2446, MATCH(B1025,'Room Info'!$H$2:$H2446, 0)),IF(G1025='Room Info'!$G$1, INDEX('Room Info'!$A$2:$A2446, MATCH(B1025,'Room Info'!$G$2:$G2446, 0)))))))))</f>
        <v>OneTaper</v>
      </c>
      <c r="B1025" s="54" t="s">
        <v>189</v>
      </c>
      <c r="C1025" s="99">
        <v>44713</v>
      </c>
      <c r="D1025" s="99">
        <v>44742</v>
      </c>
      <c r="E1025" s="47">
        <v>44713</v>
      </c>
      <c r="F1025" s="48" t="s">
        <v>41</v>
      </c>
      <c r="G1025" s="54" t="s">
        <v>53</v>
      </c>
      <c r="H1025" s="49" t="s">
        <v>56</v>
      </c>
      <c r="I1025" s="49" t="s">
        <v>37</v>
      </c>
      <c r="J1025" s="74">
        <v>20</v>
      </c>
      <c r="K1025" s="75">
        <v>1718</v>
      </c>
      <c r="L1025" s="72">
        <v>-429.1</v>
      </c>
      <c r="M1025" s="53">
        <v>1203</v>
      </c>
      <c r="N1025" s="28">
        <f>K1025*J1025</f>
        <v>34360</v>
      </c>
      <c r="O1025" s="45">
        <v>62360</v>
      </c>
      <c r="P1025" s="29">
        <v>36.298020950000002</v>
      </c>
      <c r="Q1025" s="55"/>
      <c r="R1025" s="31">
        <f>M1025+Q1025</f>
        <v>1203</v>
      </c>
      <c r="S1025" s="97"/>
      <c r="T1025" s="32">
        <f>R1025+S1025+IF(F1025="Without EV deal",L1025,0)</f>
        <v>773.9</v>
      </c>
      <c r="U1025" s="57">
        <v>1</v>
      </c>
      <c r="V1025" s="58"/>
      <c r="W1025" s="58"/>
      <c r="X1025" s="78">
        <v>0.3</v>
      </c>
      <c r="Y1025" s="30">
        <f>IF(AG1025="None",0,IF(AG1025="Fix5",0.05, IF(AG1025="Fix6.25",0.0625,IF(AG1025="Fix3.75",0.0375,IF(AG1025="Fix10",0.1,IF(AG1025="Fix3",0.03,0))))))</f>
        <v>0</v>
      </c>
      <c r="Z1025" s="35">
        <f>T1025-AA1025-AB1025</f>
        <v>541.9</v>
      </c>
      <c r="AA1025" s="60">
        <v>232</v>
      </c>
      <c r="AB1025" s="36">
        <f>IF(AD1025="EUR",((T1025-R1025)*Y1025)*U1025+(R1025*Y1025),(T1025*Y1025))</f>
        <v>0</v>
      </c>
      <c r="AC1025" s="37" t="b">
        <v>1</v>
      </c>
      <c r="AD1025" s="37" t="s">
        <v>38</v>
      </c>
      <c r="AE1025" s="37" t="s">
        <v>38</v>
      </c>
      <c r="AF1025" s="37" t="str">
        <f t="array" ref="AF1025">INDEX('Deal Info'!D:D, MATCH(A1025,'Deal Info'!A:A, 0))</f>
        <v>DoEV</v>
      </c>
      <c r="AG1025" s="38" t="str">
        <f t="array" ref="AG1025">INDEX('Deal Info'!G:G, MATCH(A1025,'Deal Info'!A:A, 0))</f>
        <v>None</v>
      </c>
    </row>
    <row r="1026" spans="1:33" ht="14.25" hidden="1" x14ac:dyDescent="0.2">
      <c r="A1026" s="18" t="str">
        <f t="array" ref="A1026">IF(G1026='Room Info'!$B$1, INDEX('Room Info'!$A$2:$A2446, MATCH(B1026,'Room Info'!$B$2:$B2446, 0)),IF(G1026='Room Info'!$C$1, INDEX('Room Info'!$A$2:$A2446, MATCH(B1026,'Room Info'!$C$2:$C2446, 0)),IF(G1026='Room Info'!$D$1, INDEX('Room Info'!$A$2:$A2446, MATCH(B1026,'Room Info'!$D$2:$D2446, 0)),IF(G1026='Room Info'!$E$1, INDEX('Room Info'!$A$2:$A2446, MATCH(B1026,'Room Info'!$E$2:$E2446, 0)),IF(G1026='Room Info'!$F$1, INDEX('Room Info'!$A$2:$A2446, MATCH(B1026,'Room Info'!$F$2:$F2446, 0)),IF(G1026='Room Info'!$H$1, INDEX('Room Info'!$A$2:$A2446, MATCH(B1026,'Room Info'!$H$2:$H2446, 0)),IF(G1026='Room Info'!$G$1, INDEX('Room Info'!$A$2:$A2446, MATCH(B1026,'Room Info'!$G$2:$G2446, 0)))))))))</f>
        <v>OneTaper</v>
      </c>
      <c r="B1026" s="54" t="s">
        <v>189</v>
      </c>
      <c r="C1026" s="99">
        <v>44713</v>
      </c>
      <c r="D1026" s="99">
        <v>44742</v>
      </c>
      <c r="E1026" s="47">
        <v>44713</v>
      </c>
      <c r="F1026" s="48" t="s">
        <v>41</v>
      </c>
      <c r="G1026" s="54" t="s">
        <v>53</v>
      </c>
      <c r="H1026" s="49" t="s">
        <v>57</v>
      </c>
      <c r="I1026" s="49" t="s">
        <v>37</v>
      </c>
      <c r="J1026" s="74">
        <v>50</v>
      </c>
      <c r="K1026" s="75">
        <v>160</v>
      </c>
      <c r="L1026" s="72">
        <v>-99.91</v>
      </c>
      <c r="M1026" s="53">
        <v>280</v>
      </c>
      <c r="N1026" s="28">
        <f>K1026*J1026</f>
        <v>8000</v>
      </c>
      <c r="O1026" s="45">
        <v>4860</v>
      </c>
      <c r="P1026" s="29">
        <v>30.375</v>
      </c>
      <c r="Q1026" s="55"/>
      <c r="R1026" s="31">
        <f>M1026+Q1026</f>
        <v>280</v>
      </c>
      <c r="S1026" s="97"/>
      <c r="T1026" s="32">
        <f>R1026+S1026+IF(F1026="Without EV deal",L1026,0)</f>
        <v>180.09</v>
      </c>
      <c r="U1026" s="57">
        <v>1</v>
      </c>
      <c r="V1026" s="58"/>
      <c r="W1026" s="58"/>
      <c r="X1026" s="78">
        <v>0.3</v>
      </c>
      <c r="Y1026" s="30">
        <f>IF(AG1026="None",0,IF(AG1026="Fix5",0.05, IF(AG1026="Fix6.25",0.0625,IF(AG1026="Fix3.75",0.0375,IF(AG1026="Fix10",0.1,IF(AG1026="Fix3",0.03,0))))))</f>
        <v>0</v>
      </c>
      <c r="Z1026" s="35">
        <f>T1026-AA1026-AB1026</f>
        <v>126.09</v>
      </c>
      <c r="AA1026" s="60">
        <v>54</v>
      </c>
      <c r="AB1026" s="36">
        <f>IF(AD1026="EUR",((T1026-R1026)*Y1026)*U1026+(R1026*Y1026),(T1026*Y1026))</f>
        <v>0</v>
      </c>
      <c r="AC1026" s="37" t="b">
        <v>1</v>
      </c>
      <c r="AD1026" s="37" t="s">
        <v>38</v>
      </c>
      <c r="AE1026" s="37" t="s">
        <v>38</v>
      </c>
      <c r="AF1026" s="37" t="str">
        <f t="array" ref="AF1026">INDEX('Deal Info'!D:D, MATCH(A1026,'Deal Info'!A:A, 0))</f>
        <v>DoEV</v>
      </c>
      <c r="AG1026" s="38" t="str">
        <f t="array" ref="AG1026">INDEX('Deal Info'!G:G, MATCH(A1026,'Deal Info'!A:A, 0))</f>
        <v>None</v>
      </c>
    </row>
    <row r="1027" spans="1:33" ht="14.25" hidden="1" x14ac:dyDescent="0.2">
      <c r="A1027" s="18" t="str">
        <f t="array" ref="A1027">IF(G1027='Room Info'!$B$1, INDEX('Room Info'!$A$2:$A2446, MATCH(B1027,'Room Info'!$B$2:$B2446, 0)),IF(G1027='Room Info'!$C$1, INDEX('Room Info'!$A$2:$A2446, MATCH(B1027,'Room Info'!$C$2:$C2446, 0)),IF(G1027='Room Info'!$D$1, INDEX('Room Info'!$A$2:$A2446, MATCH(B1027,'Room Info'!$D$2:$D2446, 0)),IF(G1027='Room Info'!$E$1, INDEX('Room Info'!$A$2:$A2446, MATCH(B1027,'Room Info'!$E$2:$E2446, 0)),IF(G1027='Room Info'!$F$1, INDEX('Room Info'!$A$2:$A2446, MATCH(B1027,'Room Info'!$F$2:$F2446, 0)),IF(G1027='Room Info'!$H$1, INDEX('Room Info'!$A$2:$A2446, MATCH(B1027,'Room Info'!$H$2:$H2446, 0)),IF(G1027='Room Info'!$G$1, INDEX('Room Info'!$A$2:$A2446, MATCH(B1027,'Room Info'!$G$2:$G2446, 0)))))))))</f>
        <v>OneTaper</v>
      </c>
      <c r="B1027" s="54" t="s">
        <v>189</v>
      </c>
      <c r="C1027" s="99">
        <v>44743</v>
      </c>
      <c r="D1027" s="99">
        <v>44773</v>
      </c>
      <c r="E1027" s="47">
        <v>44743</v>
      </c>
      <c r="F1027" s="48" t="s">
        <v>41</v>
      </c>
      <c r="G1027" s="54" t="s">
        <v>53</v>
      </c>
      <c r="H1027" s="49" t="s">
        <v>54</v>
      </c>
      <c r="I1027" s="49" t="s">
        <v>37</v>
      </c>
      <c r="J1027" s="74">
        <v>5</v>
      </c>
      <c r="K1027" s="75">
        <v>9</v>
      </c>
      <c r="L1027" s="72">
        <v>2.19</v>
      </c>
      <c r="M1027" s="53">
        <v>2</v>
      </c>
      <c r="N1027" s="28">
        <f>K1027*J1027</f>
        <v>45</v>
      </c>
      <c r="O1027" s="45">
        <v>157</v>
      </c>
      <c r="P1027" s="29">
        <v>17.444444440000002</v>
      </c>
      <c r="Q1027" s="55"/>
      <c r="R1027" s="31">
        <f>M1027+Q1027</f>
        <v>2</v>
      </c>
      <c r="S1027" s="97"/>
      <c r="T1027" s="32">
        <f>R1027+S1027+IF(F1027="Without EV deal",L1027,0)</f>
        <v>4.1899999999999995</v>
      </c>
      <c r="U1027" s="57">
        <v>1</v>
      </c>
      <c r="V1027" s="58"/>
      <c r="W1027" s="58"/>
      <c r="X1027" s="78">
        <v>0.17</v>
      </c>
      <c r="Y1027" s="30">
        <f>IF(AG1027="None",0,IF(AG1027="Fix5",0.05, IF(AG1027="Fix6.25",0.0625,IF(AG1027="Fix3.75",0.0375,IF(AG1027="Fix10",0.1,IF(AG1027="Fix3",0.03,0))))))</f>
        <v>0</v>
      </c>
      <c r="Z1027" s="35">
        <f>T1027-AA1027-AB1027</f>
        <v>3.1899999999999995</v>
      </c>
      <c r="AA1027" s="60">
        <v>1</v>
      </c>
      <c r="AB1027" s="36">
        <f>IF(AD1027="EUR",((T1027-R1027)*Y1027)*U1027+(R1027*Y1027),(T1027*Y1027))</f>
        <v>0</v>
      </c>
      <c r="AC1027" s="37" t="b">
        <v>1</v>
      </c>
      <c r="AD1027" s="37" t="s">
        <v>38</v>
      </c>
      <c r="AE1027" s="37" t="s">
        <v>38</v>
      </c>
      <c r="AF1027" s="37" t="str">
        <f t="array" ref="AF1027">INDEX('Deal Info'!D:D, MATCH(A1027,'Deal Info'!A:A, 0))</f>
        <v>DoEV</v>
      </c>
      <c r="AG1027" s="38" t="str">
        <f t="array" ref="AG1027">INDEX('Deal Info'!G:G, MATCH(A1027,'Deal Info'!A:A, 0))</f>
        <v>None</v>
      </c>
    </row>
    <row r="1028" spans="1:33" ht="14.25" hidden="1" x14ac:dyDescent="0.2">
      <c r="A1028" s="18" t="str">
        <f t="array" ref="A1028">IF(G1028='Room Info'!$B$1, INDEX('Room Info'!$A$2:$A2446, MATCH(B1028,'Room Info'!$B$2:$B2446, 0)),IF(G1028='Room Info'!$C$1, INDEX('Room Info'!$A$2:$A2446, MATCH(B1028,'Room Info'!$C$2:$C2446, 0)),IF(G1028='Room Info'!$D$1, INDEX('Room Info'!$A$2:$A2446, MATCH(B1028,'Room Info'!$D$2:$D2446, 0)),IF(G1028='Room Info'!$E$1, INDEX('Room Info'!$A$2:$A2446, MATCH(B1028,'Room Info'!$E$2:$E2446, 0)),IF(G1028='Room Info'!$F$1, INDEX('Room Info'!$A$2:$A2446, MATCH(B1028,'Room Info'!$F$2:$F2446, 0)),IF(G1028='Room Info'!$H$1, INDEX('Room Info'!$A$2:$A2446, MATCH(B1028,'Room Info'!$H$2:$H2446, 0)),IF(G1028='Room Info'!$G$1, INDEX('Room Info'!$A$2:$A2446, MATCH(B1028,'Room Info'!$G$2:$G2446, 0)))))))))</f>
        <v>OneTaper</v>
      </c>
      <c r="B1028" s="54" t="s">
        <v>189</v>
      </c>
      <c r="C1028" s="99">
        <v>44743</v>
      </c>
      <c r="D1028" s="99">
        <v>44773</v>
      </c>
      <c r="E1028" s="47">
        <v>44743</v>
      </c>
      <c r="F1028" s="48" t="s">
        <v>41</v>
      </c>
      <c r="G1028" s="54" t="s">
        <v>53</v>
      </c>
      <c r="H1028" s="49" t="s">
        <v>55</v>
      </c>
      <c r="I1028" s="49" t="s">
        <v>37</v>
      </c>
      <c r="J1028" s="74">
        <v>10</v>
      </c>
      <c r="K1028" s="75">
        <v>6</v>
      </c>
      <c r="L1028" s="72">
        <v>2.91</v>
      </c>
      <c r="M1028" s="53">
        <v>2</v>
      </c>
      <c r="N1028" s="28">
        <f>K1028*J1028</f>
        <v>60</v>
      </c>
      <c r="O1028" s="45">
        <v>149</v>
      </c>
      <c r="P1028" s="29">
        <v>24.833333329999999</v>
      </c>
      <c r="Q1028" s="55"/>
      <c r="R1028" s="31">
        <f>M1028+Q1028</f>
        <v>2</v>
      </c>
      <c r="S1028" s="97"/>
      <c r="T1028" s="32">
        <f>R1028+S1028+IF(F1028="Without EV deal",L1028,0)</f>
        <v>4.91</v>
      </c>
      <c r="U1028" s="57">
        <v>1</v>
      </c>
      <c r="V1028" s="58"/>
      <c r="W1028" s="58"/>
      <c r="X1028" s="78">
        <v>0.17</v>
      </c>
      <c r="Y1028" s="30">
        <f>IF(AG1028="None",0,IF(AG1028="Fix5",0.05, IF(AG1028="Fix6.25",0.0625,IF(AG1028="Fix3.75",0.0375,IF(AG1028="Fix10",0.1,IF(AG1028="Fix3",0.03,0))))))</f>
        <v>0</v>
      </c>
      <c r="Z1028" s="35">
        <f>T1028-AA1028-AB1028</f>
        <v>3.91</v>
      </c>
      <c r="AA1028" s="60">
        <v>1</v>
      </c>
      <c r="AB1028" s="36">
        <f>IF(AD1028="EUR",((T1028-R1028)*Y1028)*U1028+(R1028*Y1028),(T1028*Y1028))</f>
        <v>0</v>
      </c>
      <c r="AC1028" s="37" t="b">
        <v>1</v>
      </c>
      <c r="AD1028" s="37" t="s">
        <v>38</v>
      </c>
      <c r="AE1028" s="37" t="s">
        <v>38</v>
      </c>
      <c r="AF1028" s="37" t="str">
        <f t="array" ref="AF1028">INDEX('Deal Info'!D:D, MATCH(A1028,'Deal Info'!A:A, 0))</f>
        <v>DoEV</v>
      </c>
      <c r="AG1028" s="38" t="str">
        <f t="array" ref="AG1028">INDEX('Deal Info'!G:G, MATCH(A1028,'Deal Info'!A:A, 0))</f>
        <v>None</v>
      </c>
    </row>
    <row r="1029" spans="1:33" ht="14.25" hidden="1" x14ac:dyDescent="0.2">
      <c r="A1029" s="18" t="str">
        <f t="array" ref="A1029">IF(G1029='Room Info'!$B$1, INDEX('Room Info'!$A$2:$A2446, MATCH(B1029,'Room Info'!$B$2:$B2446, 0)),IF(G1029='Room Info'!$C$1, INDEX('Room Info'!$A$2:$A2446, MATCH(B1029,'Room Info'!$C$2:$C2446, 0)),IF(G1029='Room Info'!$D$1, INDEX('Room Info'!$A$2:$A2446, MATCH(B1029,'Room Info'!$D$2:$D2446, 0)),IF(G1029='Room Info'!$E$1, INDEX('Room Info'!$A$2:$A2446, MATCH(B1029,'Room Info'!$E$2:$E2446, 0)),IF(G1029='Room Info'!$F$1, INDEX('Room Info'!$A$2:$A2446, MATCH(B1029,'Room Info'!$F$2:$F2446, 0)),IF(G1029='Room Info'!$H$1, INDEX('Room Info'!$A$2:$A2446, MATCH(B1029,'Room Info'!$H$2:$H2446, 0)),IF(G1029='Room Info'!$G$1, INDEX('Room Info'!$A$2:$A2446, MATCH(B1029,'Room Info'!$G$2:$G2446, 0)))))))))</f>
        <v>OneTaper</v>
      </c>
      <c r="B1029" s="54" t="s">
        <v>189</v>
      </c>
      <c r="C1029" s="99">
        <v>44743</v>
      </c>
      <c r="D1029" s="99">
        <v>44773</v>
      </c>
      <c r="E1029" s="47">
        <v>44743</v>
      </c>
      <c r="F1029" s="48" t="s">
        <v>41</v>
      </c>
      <c r="G1029" s="54" t="s">
        <v>53</v>
      </c>
      <c r="H1029" s="49" t="s">
        <v>56</v>
      </c>
      <c r="I1029" s="49" t="s">
        <v>37</v>
      </c>
      <c r="J1029" s="74">
        <v>20</v>
      </c>
      <c r="K1029" s="75">
        <v>1556</v>
      </c>
      <c r="L1029" s="72">
        <v>1511.05</v>
      </c>
      <c r="M1029" s="53">
        <v>1089</v>
      </c>
      <c r="N1029" s="28">
        <f>K1029*J1029</f>
        <v>31120</v>
      </c>
      <c r="O1029" s="45">
        <v>60702</v>
      </c>
      <c r="P1029" s="29">
        <v>39.01156812</v>
      </c>
      <c r="Q1029" s="55"/>
      <c r="R1029" s="31">
        <f>M1029+Q1029</f>
        <v>1089</v>
      </c>
      <c r="S1029" s="97"/>
      <c r="T1029" s="32">
        <f>R1029+S1029+IF(F1029="Without EV deal",L1029,0)</f>
        <v>2600.0500000000002</v>
      </c>
      <c r="U1029" s="57">
        <v>1</v>
      </c>
      <c r="V1029" s="58"/>
      <c r="W1029" s="58"/>
      <c r="X1029" s="78">
        <v>0.17</v>
      </c>
      <c r="Y1029" s="30">
        <f>IF(AG1029="None",0,IF(AG1029="Fix5",0.05, IF(AG1029="Fix6.25",0.0625,IF(AG1029="Fix3.75",0.0375,IF(AG1029="Fix10",0.1,IF(AG1029="Fix3",0.03,0))))))</f>
        <v>0</v>
      </c>
      <c r="Z1029" s="35">
        <f>T1029-AA1029-AB1029</f>
        <v>2158.0500000000002</v>
      </c>
      <c r="AA1029" s="60">
        <v>442</v>
      </c>
      <c r="AB1029" s="36">
        <f>IF(AD1029="EUR",((T1029-R1029)*Y1029)*U1029+(R1029*Y1029),(T1029*Y1029))</f>
        <v>0</v>
      </c>
      <c r="AC1029" s="37" t="b">
        <v>1</v>
      </c>
      <c r="AD1029" s="37" t="s">
        <v>38</v>
      </c>
      <c r="AE1029" s="37" t="s">
        <v>38</v>
      </c>
      <c r="AF1029" s="37" t="str">
        <f t="array" ref="AF1029">INDEX('Deal Info'!D:D, MATCH(A1029,'Deal Info'!A:A, 0))</f>
        <v>DoEV</v>
      </c>
      <c r="AG1029" s="38" t="str">
        <f t="array" ref="AG1029">INDEX('Deal Info'!G:G, MATCH(A1029,'Deal Info'!A:A, 0))</f>
        <v>None</v>
      </c>
    </row>
    <row r="1030" spans="1:33" ht="14.25" hidden="1" x14ac:dyDescent="0.2">
      <c r="A1030" s="18" t="str">
        <f t="array" ref="A1030">IF(G1030='Room Info'!$B$1, INDEX('Room Info'!$A$2:$A2446, MATCH(B1030,'Room Info'!$B$2:$B2446, 0)),IF(G1030='Room Info'!$C$1, INDEX('Room Info'!$A$2:$A2446, MATCH(B1030,'Room Info'!$C$2:$C2446, 0)),IF(G1030='Room Info'!$D$1, INDEX('Room Info'!$A$2:$A2446, MATCH(B1030,'Room Info'!$D$2:$D2446, 0)),IF(G1030='Room Info'!$E$1, INDEX('Room Info'!$A$2:$A2446, MATCH(B1030,'Room Info'!$E$2:$E2446, 0)),IF(G1030='Room Info'!$F$1, INDEX('Room Info'!$A$2:$A2446, MATCH(B1030,'Room Info'!$F$2:$F2446, 0)),IF(G1030='Room Info'!$H$1, INDEX('Room Info'!$A$2:$A2446, MATCH(B1030,'Room Info'!$H$2:$H2446, 0)),IF(G1030='Room Info'!$G$1, INDEX('Room Info'!$A$2:$A2446, MATCH(B1030,'Room Info'!$G$2:$G2446, 0)))))))))</f>
        <v>OneTaper</v>
      </c>
      <c r="B1030" s="54" t="s">
        <v>189</v>
      </c>
      <c r="C1030" s="99">
        <v>44743</v>
      </c>
      <c r="D1030" s="99">
        <v>44773</v>
      </c>
      <c r="E1030" s="47">
        <v>44743</v>
      </c>
      <c r="F1030" s="48" t="s">
        <v>41</v>
      </c>
      <c r="G1030" s="54" t="s">
        <v>53</v>
      </c>
      <c r="H1030" s="49" t="s">
        <v>57</v>
      </c>
      <c r="I1030" s="49" t="s">
        <v>37</v>
      </c>
      <c r="J1030" s="74">
        <v>50</v>
      </c>
      <c r="K1030" s="75">
        <v>189</v>
      </c>
      <c r="L1030" s="72">
        <v>458.85</v>
      </c>
      <c r="M1030" s="53">
        <v>331</v>
      </c>
      <c r="N1030" s="28">
        <f>K1030*J1030</f>
        <v>9450</v>
      </c>
      <c r="O1030" s="45">
        <v>7756</v>
      </c>
      <c r="P1030" s="29">
        <v>41.037037040000001</v>
      </c>
      <c r="Q1030" s="55"/>
      <c r="R1030" s="31">
        <f>M1030+Q1030</f>
        <v>331</v>
      </c>
      <c r="S1030" s="97"/>
      <c r="T1030" s="32">
        <f>R1030+S1030+IF(F1030="Without EV deal",L1030,0)</f>
        <v>789.85</v>
      </c>
      <c r="U1030" s="57">
        <v>1</v>
      </c>
      <c r="V1030" s="58"/>
      <c r="W1030" s="58"/>
      <c r="X1030" s="78">
        <v>0.17</v>
      </c>
      <c r="Y1030" s="30">
        <f>IF(AG1030="None",0,IF(AG1030="Fix5",0.05, IF(AG1030="Fix6.25",0.0625,IF(AG1030="Fix3.75",0.0375,IF(AG1030="Fix10",0.1,IF(AG1030="Fix3",0.03,0))))))</f>
        <v>0</v>
      </c>
      <c r="Z1030" s="35">
        <f>T1030-AA1030-AB1030</f>
        <v>655.85</v>
      </c>
      <c r="AA1030" s="60">
        <v>134</v>
      </c>
      <c r="AB1030" s="36">
        <f>IF(AD1030="EUR",((T1030-R1030)*Y1030)*U1030+(R1030*Y1030),(T1030*Y1030))</f>
        <v>0</v>
      </c>
      <c r="AC1030" s="37" t="b">
        <v>1</v>
      </c>
      <c r="AD1030" s="37" t="s">
        <v>38</v>
      </c>
      <c r="AE1030" s="37" t="s">
        <v>38</v>
      </c>
      <c r="AF1030" s="37" t="str">
        <f t="array" ref="AF1030">INDEX('Deal Info'!D:D, MATCH(A1030,'Deal Info'!A:A, 0))</f>
        <v>DoEV</v>
      </c>
      <c r="AG1030" s="38" t="str">
        <f t="array" ref="AG1030">INDEX('Deal Info'!G:G, MATCH(A1030,'Deal Info'!A:A, 0))</f>
        <v>None</v>
      </c>
    </row>
    <row r="1031" spans="1:33" ht="14.25" hidden="1" x14ac:dyDescent="0.2">
      <c r="A1031" s="18" t="str">
        <f t="array" ref="A1031">IF(G1031='Room Info'!$B$1, INDEX('Room Info'!$A$2:$A2446, MATCH(B1031,'Room Info'!$B$2:$B2446, 0)),IF(G1031='Room Info'!$C$1, INDEX('Room Info'!$A$2:$A2446, MATCH(B1031,'Room Info'!$C$2:$C2446, 0)),IF(G1031='Room Info'!$D$1, INDEX('Room Info'!$A$2:$A2446, MATCH(B1031,'Room Info'!$D$2:$D2446, 0)),IF(G1031='Room Info'!$E$1, INDEX('Room Info'!$A$2:$A2446, MATCH(B1031,'Room Info'!$E$2:$E2446, 0)),IF(G1031='Room Info'!$F$1, INDEX('Room Info'!$A$2:$A2446, MATCH(B1031,'Room Info'!$F$2:$F2446, 0)),IF(G1031='Room Info'!$H$1, INDEX('Room Info'!$A$2:$A2446, MATCH(B1031,'Room Info'!$H$2:$H2446, 0)),IF(G1031='Room Info'!$G$1, INDEX('Room Info'!$A$2:$A2446, MATCH(B1031,'Room Info'!$G$2:$G2446, 0)))))))))</f>
        <v>OneTaper</v>
      </c>
      <c r="B1031" s="54" t="s">
        <v>189</v>
      </c>
      <c r="C1031" s="99">
        <v>44774</v>
      </c>
      <c r="D1031" s="99">
        <v>44804</v>
      </c>
      <c r="E1031" s="47">
        <v>44774</v>
      </c>
      <c r="F1031" s="48" t="s">
        <v>41</v>
      </c>
      <c r="G1031" s="54" t="s">
        <v>53</v>
      </c>
      <c r="H1031" s="49" t="s">
        <v>54</v>
      </c>
      <c r="I1031" s="49" t="s">
        <v>37</v>
      </c>
      <c r="J1031" s="74">
        <v>5</v>
      </c>
      <c r="K1031" s="75">
        <v>5</v>
      </c>
      <c r="L1031" s="72">
        <v>-2.39</v>
      </c>
      <c r="M1031" s="53">
        <v>1</v>
      </c>
      <c r="N1031" s="28">
        <f>K1031*J1031</f>
        <v>25</v>
      </c>
      <c r="O1031" s="45">
        <v>26</v>
      </c>
      <c r="P1031" s="29">
        <v>5.2</v>
      </c>
      <c r="Q1031" s="55"/>
      <c r="R1031" s="31">
        <f>M1031+Q1031</f>
        <v>1</v>
      </c>
      <c r="S1031" s="97"/>
      <c r="T1031" s="32">
        <f>R1031+S1031+IF(F1031="Without EV deal",L1031,0)</f>
        <v>-1.3900000000000001</v>
      </c>
      <c r="U1031" s="57">
        <v>1</v>
      </c>
      <c r="V1031" s="58"/>
      <c r="W1031" s="58"/>
      <c r="X1031" s="78">
        <v>0.16</v>
      </c>
      <c r="Y1031" s="30">
        <f>IF(AG1031="None",0,IF(AG1031="Fix5",0.05, IF(AG1031="Fix6.25",0.0625,IF(AG1031="Fix3.75",0.0375,IF(AG1031="Fix10",0.1,IF(AG1031="Fix3",0.03,0))))))</f>
        <v>0</v>
      </c>
      <c r="Z1031" s="35">
        <f>T1031-AA1031-AB1031</f>
        <v>-1.3900000000000001</v>
      </c>
      <c r="AA1031" s="60">
        <v>0</v>
      </c>
      <c r="AB1031" s="36">
        <f>IF(AD1031="EUR",((T1031-R1031)*Y1031)*U1031+(R1031*Y1031),(T1031*Y1031))</f>
        <v>0</v>
      </c>
      <c r="AC1031" s="37" t="b">
        <v>1</v>
      </c>
      <c r="AD1031" s="37" t="s">
        <v>38</v>
      </c>
      <c r="AE1031" s="37" t="s">
        <v>38</v>
      </c>
      <c r="AF1031" s="37" t="str">
        <f t="array" ref="AF1031">INDEX('Deal Info'!D:D, MATCH(A1031,'Deal Info'!A:A, 0))</f>
        <v>DoEV</v>
      </c>
      <c r="AG1031" s="38" t="str">
        <f t="array" ref="AG1031">INDEX('Deal Info'!G:G, MATCH(A1031,'Deal Info'!A:A, 0))</f>
        <v>None</v>
      </c>
    </row>
    <row r="1032" spans="1:33" ht="14.25" hidden="1" x14ac:dyDescent="0.2">
      <c r="A1032" s="18" t="str">
        <f t="array" ref="A1032">IF(G1032='Room Info'!$B$1, INDEX('Room Info'!$A$2:$A2446, MATCH(B1032,'Room Info'!$B$2:$B2446, 0)),IF(G1032='Room Info'!$C$1, INDEX('Room Info'!$A$2:$A2446, MATCH(B1032,'Room Info'!$C$2:$C2446, 0)),IF(G1032='Room Info'!$D$1, INDEX('Room Info'!$A$2:$A2446, MATCH(B1032,'Room Info'!$D$2:$D2446, 0)),IF(G1032='Room Info'!$E$1, INDEX('Room Info'!$A$2:$A2446, MATCH(B1032,'Room Info'!$E$2:$E2446, 0)),IF(G1032='Room Info'!$F$1, INDEX('Room Info'!$A$2:$A2446, MATCH(B1032,'Room Info'!$F$2:$F2446, 0)),IF(G1032='Room Info'!$H$1, INDEX('Room Info'!$A$2:$A2446, MATCH(B1032,'Room Info'!$H$2:$H2446, 0)),IF(G1032='Room Info'!$G$1, INDEX('Room Info'!$A$2:$A2446, MATCH(B1032,'Room Info'!$G$2:$G2446, 0)))))))))</f>
        <v>OneTaper</v>
      </c>
      <c r="B1032" s="45" t="s">
        <v>189</v>
      </c>
      <c r="C1032" s="46">
        <v>44774</v>
      </c>
      <c r="D1032" s="46">
        <v>44804</v>
      </c>
      <c r="E1032" s="47">
        <v>44774</v>
      </c>
      <c r="F1032" s="48" t="s">
        <v>41</v>
      </c>
      <c r="G1032" s="54" t="s">
        <v>53</v>
      </c>
      <c r="H1032" s="49" t="s">
        <v>55</v>
      </c>
      <c r="I1032" s="49" t="s">
        <v>37</v>
      </c>
      <c r="J1032" s="50">
        <v>10</v>
      </c>
      <c r="K1032" s="51">
        <v>5</v>
      </c>
      <c r="L1032" s="52">
        <v>-4.78</v>
      </c>
      <c r="M1032" s="53">
        <v>2</v>
      </c>
      <c r="N1032" s="28">
        <f>K1032*J1032</f>
        <v>50</v>
      </c>
      <c r="O1032" s="54">
        <v>61</v>
      </c>
      <c r="P1032" s="29">
        <v>12.2</v>
      </c>
      <c r="Q1032" s="55"/>
      <c r="R1032" s="31">
        <f>M1032+Q1032</f>
        <v>2</v>
      </c>
      <c r="S1032" s="66"/>
      <c r="T1032" s="32">
        <f>R1032+S1032+IF(F1032="Without EV deal",L1032,0)</f>
        <v>-2.7800000000000002</v>
      </c>
      <c r="U1032" s="57">
        <v>1</v>
      </c>
      <c r="V1032" s="58"/>
      <c r="W1032" s="58"/>
      <c r="X1032" s="78">
        <v>0.16</v>
      </c>
      <c r="Y1032" s="30">
        <f>IF(AG1032="None",0,IF(AG1032="Fix5",0.05, IF(AG1032="Fix6.25",0.0625,IF(AG1032="Fix3.75",0.0375,IF(AG1032="Fix10",0.1,IF(AG1032="Fix3",0.03,0))))))</f>
        <v>0</v>
      </c>
      <c r="Z1032" s="35">
        <f>T1032-AA1032-AB1032</f>
        <v>-2.7800000000000002</v>
      </c>
      <c r="AA1032" s="60">
        <v>0</v>
      </c>
      <c r="AB1032" s="36">
        <f>IF(AD1032="EUR",((T1032-R1032)*Y1032)*U1032+(R1032*Y1032),(T1032*Y1032))</f>
        <v>0</v>
      </c>
      <c r="AC1032" s="37" t="b">
        <v>1</v>
      </c>
      <c r="AD1032" s="37" t="s">
        <v>38</v>
      </c>
      <c r="AE1032" s="37" t="s">
        <v>38</v>
      </c>
      <c r="AF1032" s="37" t="str">
        <f t="array" ref="AF1032">INDEX('Deal Info'!D:D, MATCH(A1032,'Deal Info'!A:A, 0))</f>
        <v>DoEV</v>
      </c>
      <c r="AG1032" s="38" t="str">
        <f t="array" ref="AG1032">INDEX('Deal Info'!G:G, MATCH(A1032,'Deal Info'!A:A, 0))</f>
        <v>None</v>
      </c>
    </row>
    <row r="1033" spans="1:33" ht="14.25" hidden="1" x14ac:dyDescent="0.2">
      <c r="A1033" s="18" t="str">
        <f t="array" ref="A1033">IF(G1033='Room Info'!$B$1, INDEX('Room Info'!$A$2:$A2446, MATCH(B1033,'Room Info'!$B$2:$B2446, 0)),IF(G1033='Room Info'!$C$1, INDEX('Room Info'!$A$2:$A2446, MATCH(B1033,'Room Info'!$C$2:$C2446, 0)),IF(G1033='Room Info'!$D$1, INDEX('Room Info'!$A$2:$A2446, MATCH(B1033,'Room Info'!$D$2:$D2446, 0)),IF(G1033='Room Info'!$E$1, INDEX('Room Info'!$A$2:$A2446, MATCH(B1033,'Room Info'!$E$2:$E2446, 0)),IF(G1033='Room Info'!$F$1, INDEX('Room Info'!$A$2:$A2446, MATCH(B1033,'Room Info'!$F$2:$F2446, 0)),IF(G1033='Room Info'!$H$1, INDEX('Room Info'!$A$2:$A2446, MATCH(B1033,'Room Info'!$H$2:$H2446, 0)),IF(G1033='Room Info'!$G$1, INDEX('Room Info'!$A$2:$A2446, MATCH(B1033,'Room Info'!$G$2:$G2446, 0)))))))))</f>
        <v>OneTaper</v>
      </c>
      <c r="B1033" s="45" t="s">
        <v>189</v>
      </c>
      <c r="C1033" s="46">
        <v>44774</v>
      </c>
      <c r="D1033" s="46">
        <v>44804</v>
      </c>
      <c r="E1033" s="47">
        <v>44774</v>
      </c>
      <c r="F1033" s="48" t="s">
        <v>41</v>
      </c>
      <c r="G1033" s="54" t="s">
        <v>53</v>
      </c>
      <c r="H1033" s="49" t="s">
        <v>56</v>
      </c>
      <c r="I1033" s="49" t="s">
        <v>37</v>
      </c>
      <c r="J1033" s="50">
        <v>20</v>
      </c>
      <c r="K1033" s="51">
        <v>1370</v>
      </c>
      <c r="L1033" s="52">
        <v>-2620.94</v>
      </c>
      <c r="M1033" s="53">
        <v>959</v>
      </c>
      <c r="N1033" s="28">
        <f>K1033*J1033</f>
        <v>27400</v>
      </c>
      <c r="O1033" s="54">
        <v>57900</v>
      </c>
      <c r="P1033" s="29">
        <v>42.262773719999998</v>
      </c>
      <c r="Q1033" s="55"/>
      <c r="R1033" s="31">
        <f>M1033+Q1033</f>
        <v>959</v>
      </c>
      <c r="S1033" s="66"/>
      <c r="T1033" s="32">
        <f>R1033+S1033+IF(F1033="Without EV deal",L1033,0)</f>
        <v>-1661.94</v>
      </c>
      <c r="U1033" s="57">
        <v>1</v>
      </c>
      <c r="V1033" s="58"/>
      <c r="W1033" s="58"/>
      <c r="X1033" s="78">
        <v>0.16</v>
      </c>
      <c r="Y1033" s="30">
        <f>IF(AG1033="None",0,IF(AG1033="Fix5",0.05, IF(AG1033="Fix6.25",0.0625,IF(AG1033="Fix3.75",0.0375,IF(AG1033="Fix10",0.1,IF(AG1033="Fix3",0.03,0))))))</f>
        <v>0</v>
      </c>
      <c r="Z1033" s="35">
        <f>T1033-AA1033-AB1033</f>
        <v>-1395.94</v>
      </c>
      <c r="AA1033" s="60">
        <v>-266</v>
      </c>
      <c r="AB1033" s="36">
        <f>IF(AD1033="EUR",((T1033-R1033)*Y1033)*U1033+(R1033*Y1033),(T1033*Y1033))</f>
        <v>0</v>
      </c>
      <c r="AC1033" s="37" t="b">
        <v>1</v>
      </c>
      <c r="AD1033" s="37" t="s">
        <v>38</v>
      </c>
      <c r="AE1033" s="37" t="s">
        <v>38</v>
      </c>
      <c r="AF1033" s="37" t="str">
        <f t="array" ref="AF1033">INDEX('Deal Info'!D:D, MATCH(A1033,'Deal Info'!A:A, 0))</f>
        <v>DoEV</v>
      </c>
      <c r="AG1033" s="38" t="str">
        <f t="array" ref="AG1033">INDEX('Deal Info'!G:G, MATCH(A1033,'Deal Info'!A:A, 0))</f>
        <v>None</v>
      </c>
    </row>
    <row r="1034" spans="1:33" ht="14.25" hidden="1" x14ac:dyDescent="0.2">
      <c r="A1034" s="18" t="str">
        <f t="array" ref="A1034">IF(G1034='Room Info'!$B$1, INDEX('Room Info'!$A$2:$A2446, MATCH(B1034,'Room Info'!$B$2:$B2446, 0)),IF(G1034='Room Info'!$C$1, INDEX('Room Info'!$A$2:$A2446, MATCH(B1034,'Room Info'!$C$2:$C2446, 0)),IF(G1034='Room Info'!$D$1, INDEX('Room Info'!$A$2:$A2446, MATCH(B1034,'Room Info'!$D$2:$D2446, 0)),IF(G1034='Room Info'!$E$1, INDEX('Room Info'!$A$2:$A2446, MATCH(B1034,'Room Info'!$E$2:$E2446, 0)),IF(G1034='Room Info'!$F$1, INDEX('Room Info'!$A$2:$A2446, MATCH(B1034,'Room Info'!$F$2:$F2446, 0)),IF(G1034='Room Info'!$H$1, INDEX('Room Info'!$A$2:$A2446, MATCH(B1034,'Room Info'!$H$2:$H2446, 0)),IF(G1034='Room Info'!$G$1, INDEX('Room Info'!$A$2:$A2446, MATCH(B1034,'Room Info'!$G$2:$G2446, 0)))))))))</f>
        <v>OneTaper</v>
      </c>
      <c r="B1034" s="45" t="s">
        <v>189</v>
      </c>
      <c r="C1034" s="99">
        <v>44774</v>
      </c>
      <c r="D1034" s="99">
        <v>44804</v>
      </c>
      <c r="E1034" s="47">
        <v>44774</v>
      </c>
      <c r="F1034" s="45" t="s">
        <v>41</v>
      </c>
      <c r="G1034" s="45" t="s">
        <v>53</v>
      </c>
      <c r="H1034" s="49" t="s">
        <v>57</v>
      </c>
      <c r="I1034" s="49" t="s">
        <v>37</v>
      </c>
      <c r="J1034" s="74">
        <v>50</v>
      </c>
      <c r="K1034" s="75">
        <v>157</v>
      </c>
      <c r="L1034" s="72">
        <v>-750.89</v>
      </c>
      <c r="M1034" s="76">
        <v>275</v>
      </c>
      <c r="N1034" s="28">
        <f>K1034*J1034</f>
        <v>7850</v>
      </c>
      <c r="O1034" s="45">
        <v>-10146</v>
      </c>
      <c r="P1034" s="29">
        <v>-64.624203820000005</v>
      </c>
      <c r="Q1034" s="55"/>
      <c r="R1034" s="31">
        <f>M1034+Q1034</f>
        <v>275</v>
      </c>
      <c r="S1034" s="97"/>
      <c r="T1034" s="32">
        <f>R1034+S1034+IF(F1034="Without EV deal",L1034,0)</f>
        <v>-475.89</v>
      </c>
      <c r="U1034" s="57">
        <v>1</v>
      </c>
      <c r="V1034" s="58"/>
      <c r="W1034" s="58"/>
      <c r="X1034" s="78">
        <v>0.16</v>
      </c>
      <c r="Y1034" s="30">
        <f>IF(AG1034="None",0,IF(AG1034="Fix5",0.05, IF(AG1034="Fix6.25",0.0625,IF(AG1034="Fix3.75",0.0375,IF(AG1034="Fix10",0.1,IF(AG1034="Fix3",0.03,0))))))</f>
        <v>0</v>
      </c>
      <c r="Z1034" s="35">
        <f>T1034-AA1034-AB1034</f>
        <v>-399.89</v>
      </c>
      <c r="AA1034" s="60">
        <v>-76</v>
      </c>
      <c r="AB1034" s="36">
        <f>IF(AD1034="EUR",((T1034-R1034)*Y1034)*U1034+(R1034*Y1034),(T1034*Y1034))</f>
        <v>0</v>
      </c>
      <c r="AC1034" s="37" t="b">
        <v>1</v>
      </c>
      <c r="AD1034" s="37" t="s">
        <v>38</v>
      </c>
      <c r="AE1034" s="37" t="s">
        <v>38</v>
      </c>
      <c r="AF1034" s="37" t="str">
        <f t="array" ref="AF1034">INDEX('Deal Info'!D:D, MATCH(A1034,'Deal Info'!A:A, 0))</f>
        <v>DoEV</v>
      </c>
      <c r="AG1034" s="38" t="str">
        <f t="array" ref="AG1034">INDEX('Deal Info'!G:G, MATCH(A1034,'Deal Info'!A:A, 0))</f>
        <v>None</v>
      </c>
    </row>
    <row r="1035" spans="1:33" ht="14.25" hidden="1" x14ac:dyDescent="0.2">
      <c r="A1035" s="18" t="str">
        <f t="array" ref="A1035">IF(G1035='Room Info'!$B$1, INDEX('Room Info'!$A$2:$A2446, MATCH(B1035,'Room Info'!$B$2:$B2446, 0)),IF(G1035='Room Info'!$C$1, INDEX('Room Info'!$A$2:$A2446, MATCH(B1035,'Room Info'!$C$2:$C2446, 0)),IF(G1035='Room Info'!$D$1, INDEX('Room Info'!$A$2:$A2446, MATCH(B1035,'Room Info'!$D$2:$D2446, 0)),IF(G1035='Room Info'!$E$1, INDEX('Room Info'!$A$2:$A2446, MATCH(B1035,'Room Info'!$E$2:$E2446, 0)),IF(G1035='Room Info'!$F$1, INDEX('Room Info'!$A$2:$A2446, MATCH(B1035,'Room Info'!$F$2:$F2446, 0)),IF(G1035='Room Info'!$H$1, INDEX('Room Info'!$A$2:$A2446, MATCH(B1035,'Room Info'!$H$2:$H2446, 0)),IF(G1035='Room Info'!$G$1, INDEX('Room Info'!$A$2:$A2446, MATCH(B1035,'Room Info'!$G$2:$G2446, 0)))))))))</f>
        <v>OneTaper</v>
      </c>
      <c r="B1035" s="54" t="s">
        <v>189</v>
      </c>
      <c r="C1035" s="46">
        <v>44805</v>
      </c>
      <c r="D1035" s="46">
        <v>44834</v>
      </c>
      <c r="E1035" s="47">
        <v>44805</v>
      </c>
      <c r="F1035" s="45" t="s">
        <v>41</v>
      </c>
      <c r="G1035" s="54" t="s">
        <v>53</v>
      </c>
      <c r="H1035" s="49" t="s">
        <v>54</v>
      </c>
      <c r="I1035" s="49" t="s">
        <v>37</v>
      </c>
      <c r="J1035" s="74">
        <v>5</v>
      </c>
      <c r="K1035" s="75">
        <v>12</v>
      </c>
      <c r="L1035" s="72">
        <v>-4.0599999999999996</v>
      </c>
      <c r="M1035" s="53">
        <v>2</v>
      </c>
      <c r="N1035" s="28">
        <f>K1035*J1035</f>
        <v>60</v>
      </c>
      <c r="O1035" s="45">
        <v>448</v>
      </c>
      <c r="P1035" s="29">
        <v>37.333333330000002</v>
      </c>
      <c r="Q1035" s="55"/>
      <c r="R1035" s="31">
        <f>M1035+Q1035</f>
        <v>2</v>
      </c>
      <c r="S1035" s="97"/>
      <c r="T1035" s="32">
        <f>R1035+S1035+IF(F1035="Without EV deal",L1035,0)</f>
        <v>-2.0599999999999996</v>
      </c>
      <c r="U1035" s="57">
        <v>1</v>
      </c>
      <c r="V1035" s="58"/>
      <c r="W1035" s="58"/>
      <c r="X1035" s="78">
        <v>0.16</v>
      </c>
      <c r="Y1035" s="30">
        <f>IF(AG1035="None",0,IF(AG1035="Fix5",0.05, IF(AG1035="Fix6.25",0.0625,IF(AG1035="Fix3.75",0.0375,IF(AG1035="Fix10",0.1,IF(AG1035="Fix3",0.03,0))))))</f>
        <v>0</v>
      </c>
      <c r="Z1035" s="35">
        <f>T1035-AA1035-AB1035</f>
        <v>-2.0599999999999996</v>
      </c>
      <c r="AA1035" s="60">
        <v>0</v>
      </c>
      <c r="AB1035" s="36">
        <f>IF(AD1035="EUR",((T1035-R1035)*Y1035)*U1035+(R1035*Y1035),(T1035*Y1035))</f>
        <v>0</v>
      </c>
      <c r="AC1035" s="37" t="b">
        <v>1</v>
      </c>
      <c r="AD1035" s="37" t="s">
        <v>38</v>
      </c>
      <c r="AE1035" s="37" t="s">
        <v>38</v>
      </c>
      <c r="AF1035" s="37" t="str">
        <f t="array" ref="AF1035">INDEX('Deal Info'!D:D, MATCH(A1035,'Deal Info'!A:A, 0))</f>
        <v>DoEV</v>
      </c>
      <c r="AG1035" s="38" t="str">
        <f t="array" ref="AG1035">INDEX('Deal Info'!G:G, MATCH(A1035,'Deal Info'!A:A, 0))</f>
        <v>None</v>
      </c>
    </row>
    <row r="1036" spans="1:33" ht="14.25" hidden="1" x14ac:dyDescent="0.2">
      <c r="A1036" s="18" t="str">
        <f t="array" ref="A1036">IF(G1036='Room Info'!$B$1, INDEX('Room Info'!$A$2:$A2446, MATCH(B1036,'Room Info'!$B$2:$B2446, 0)),IF(G1036='Room Info'!$C$1, INDEX('Room Info'!$A$2:$A2446, MATCH(B1036,'Room Info'!$C$2:$C2446, 0)),IF(G1036='Room Info'!$D$1, INDEX('Room Info'!$A$2:$A2446, MATCH(B1036,'Room Info'!$D$2:$D2446, 0)),IF(G1036='Room Info'!$E$1, INDEX('Room Info'!$A$2:$A2446, MATCH(B1036,'Room Info'!$E$2:$E2446, 0)),IF(G1036='Room Info'!$F$1, INDEX('Room Info'!$A$2:$A2446, MATCH(B1036,'Room Info'!$F$2:$F2446, 0)),IF(G1036='Room Info'!$H$1, INDEX('Room Info'!$A$2:$A2446, MATCH(B1036,'Room Info'!$H$2:$H2446, 0)),IF(G1036='Room Info'!$G$1, INDEX('Room Info'!$A$2:$A2446, MATCH(B1036,'Room Info'!$G$2:$G2446, 0)))))))))</f>
        <v>OneTaper</v>
      </c>
      <c r="B1036" s="54" t="s">
        <v>189</v>
      </c>
      <c r="C1036" s="46">
        <v>44805</v>
      </c>
      <c r="D1036" s="46">
        <v>44834</v>
      </c>
      <c r="E1036" s="47">
        <v>44805</v>
      </c>
      <c r="F1036" s="45" t="s">
        <v>41</v>
      </c>
      <c r="G1036" s="54" t="s">
        <v>53</v>
      </c>
      <c r="H1036" s="49" t="s">
        <v>56</v>
      </c>
      <c r="I1036" s="49" t="s">
        <v>37</v>
      </c>
      <c r="J1036" s="50">
        <v>20</v>
      </c>
      <c r="K1036" s="51">
        <v>52</v>
      </c>
      <c r="L1036" s="52">
        <v>-70.400000000000006</v>
      </c>
      <c r="M1036" s="53">
        <v>36</v>
      </c>
      <c r="N1036" s="28">
        <f>K1036*J1036</f>
        <v>1040</v>
      </c>
      <c r="O1036" s="54">
        <v>3855</v>
      </c>
      <c r="P1036" s="29">
        <v>74.13461538</v>
      </c>
      <c r="Q1036" s="55"/>
      <c r="R1036" s="31">
        <f>M1036+Q1036</f>
        <v>36</v>
      </c>
      <c r="S1036" s="66"/>
      <c r="T1036" s="32">
        <f>R1036+S1036+IF(F1036="Without EV deal",L1036,0)</f>
        <v>-34.400000000000006</v>
      </c>
      <c r="U1036" s="57">
        <v>1</v>
      </c>
      <c r="V1036" s="58"/>
      <c r="W1036" s="58"/>
      <c r="X1036" s="78">
        <v>0.16</v>
      </c>
      <c r="Y1036" s="30">
        <f>IF(AG1036="None",0,IF(AG1036="Fix5",0.05, IF(AG1036="Fix6.25",0.0625,IF(AG1036="Fix3.75",0.0375,IF(AG1036="Fix10",0.1,IF(AG1036="Fix3",0.03,0))))))</f>
        <v>0</v>
      </c>
      <c r="Z1036" s="35">
        <f>T1036-AA1036-AB1036</f>
        <v>-29.400000000000006</v>
      </c>
      <c r="AA1036" s="60">
        <v>-5</v>
      </c>
      <c r="AB1036" s="36">
        <f>IF(AD1036="EUR",((T1036-R1036)*Y1036)*U1036+(R1036*Y1036),(T1036*Y1036))</f>
        <v>0</v>
      </c>
      <c r="AC1036" s="37" t="b">
        <v>1</v>
      </c>
      <c r="AD1036" s="37" t="s">
        <v>38</v>
      </c>
      <c r="AE1036" s="37" t="s">
        <v>38</v>
      </c>
      <c r="AF1036" s="37" t="str">
        <f t="array" ref="AF1036">INDEX('Deal Info'!D:D, MATCH(A1036,'Deal Info'!A:A, 0))</f>
        <v>DoEV</v>
      </c>
      <c r="AG1036" s="38" t="str">
        <f t="array" ref="AG1036">INDEX('Deal Info'!G:G, MATCH(A1036,'Deal Info'!A:A, 0))</f>
        <v>None</v>
      </c>
    </row>
    <row r="1037" spans="1:33" ht="14.25" hidden="1" x14ac:dyDescent="0.2">
      <c r="A1037" s="18" t="str">
        <f t="array" ref="A1037">IF(G1037='Room Info'!$B$1, INDEX('Room Info'!$A$2:$A2446, MATCH(B1037,'Room Info'!$B$2:$B2446, 0)),IF(G1037='Room Info'!$C$1, INDEX('Room Info'!$A$2:$A2446, MATCH(B1037,'Room Info'!$C$2:$C2446, 0)),IF(G1037='Room Info'!$D$1, INDEX('Room Info'!$A$2:$A2446, MATCH(B1037,'Room Info'!$D$2:$D2446, 0)),IF(G1037='Room Info'!$E$1, INDEX('Room Info'!$A$2:$A2446, MATCH(B1037,'Room Info'!$E$2:$E2446, 0)),IF(G1037='Room Info'!$F$1, INDEX('Room Info'!$A$2:$A2446, MATCH(B1037,'Room Info'!$F$2:$F2446, 0)),IF(G1037='Room Info'!$H$1, INDEX('Room Info'!$A$2:$A2446, MATCH(B1037,'Room Info'!$H$2:$H2446, 0)),IF(G1037='Room Info'!$G$1, INDEX('Room Info'!$A$2:$A2446, MATCH(B1037,'Room Info'!$G$2:$G2446, 0)))))))))</f>
        <v>OneTaper</v>
      </c>
      <c r="B1037" s="45" t="s">
        <v>189</v>
      </c>
      <c r="C1037" s="77">
        <v>44805</v>
      </c>
      <c r="D1037" s="77">
        <v>44834</v>
      </c>
      <c r="E1037" s="47">
        <v>44805</v>
      </c>
      <c r="F1037" s="48" t="s">
        <v>41</v>
      </c>
      <c r="G1037" s="45" t="s">
        <v>53</v>
      </c>
      <c r="H1037" s="49" t="s">
        <v>57</v>
      </c>
      <c r="I1037" s="49" t="s">
        <v>37</v>
      </c>
      <c r="J1037" s="74">
        <v>50</v>
      </c>
      <c r="K1037" s="75">
        <v>2553</v>
      </c>
      <c r="L1037" s="72">
        <v>-8640.5400000000009</v>
      </c>
      <c r="M1037" s="76">
        <v>4468</v>
      </c>
      <c r="N1037" s="28">
        <f>K1037*J1037</f>
        <v>127650</v>
      </c>
      <c r="O1037" s="45">
        <v>81059</v>
      </c>
      <c r="P1037" s="29">
        <v>31.75048962</v>
      </c>
      <c r="Q1037" s="55"/>
      <c r="R1037" s="31">
        <f>M1037+Q1037</f>
        <v>4468</v>
      </c>
      <c r="S1037" s="97"/>
      <c r="T1037" s="32">
        <f>R1037+S1037+IF(F1037="Without EV deal",L1037,0)</f>
        <v>-4172.5400000000009</v>
      </c>
      <c r="U1037" s="57">
        <v>1</v>
      </c>
      <c r="V1037" s="58"/>
      <c r="W1037" s="58"/>
      <c r="X1037" s="78">
        <v>0.16</v>
      </c>
      <c r="Y1037" s="30">
        <f>IF(AG1037="None",0,IF(AG1037="Fix5",0.05, IF(AG1037="Fix6.25",0.0625,IF(AG1037="Fix3.75",0.0375,IF(AG1037="Fix10",0.1,IF(AG1037="Fix3",0.03,0))))))</f>
        <v>0</v>
      </c>
      <c r="Z1037" s="35">
        <f>T1037-AA1037-AB1037</f>
        <v>-3504.5400000000009</v>
      </c>
      <c r="AA1037" s="60">
        <v>-668</v>
      </c>
      <c r="AB1037" s="36">
        <f>IF(AD1037="EUR",((T1037-R1037)*Y1037)*U1037+(R1037*Y1037),(T1037*Y1037))</f>
        <v>0</v>
      </c>
      <c r="AC1037" s="37" t="b">
        <v>1</v>
      </c>
      <c r="AD1037" s="37" t="s">
        <v>38</v>
      </c>
      <c r="AE1037" s="37" t="s">
        <v>38</v>
      </c>
      <c r="AF1037" s="37" t="str">
        <f t="array" ref="AF1037">INDEX('Deal Info'!D:D, MATCH(A1037,'Deal Info'!A:A, 0))</f>
        <v>DoEV</v>
      </c>
      <c r="AG1037" s="38" t="str">
        <f t="array" ref="AG1037">INDEX('Deal Info'!G:G, MATCH(A1037,'Deal Info'!A:A, 0))</f>
        <v>None</v>
      </c>
    </row>
    <row r="1038" spans="1:33" ht="14.25" hidden="1" x14ac:dyDescent="0.2">
      <c r="A1038" s="18" t="str">
        <f t="array" ref="A1038">IF(G1038='Room Info'!$B$1, INDEX('Room Info'!$A$2:$A2446, MATCH(B1038,'Room Info'!$B$2:$B2446, 0)),IF(G1038='Room Info'!$C$1, INDEX('Room Info'!$A$2:$A2446, MATCH(B1038,'Room Info'!$C$2:$C2446, 0)),IF(G1038='Room Info'!$D$1, INDEX('Room Info'!$A$2:$A2446, MATCH(B1038,'Room Info'!$D$2:$D2446, 0)),IF(G1038='Room Info'!$E$1, INDEX('Room Info'!$A$2:$A2446, MATCH(B1038,'Room Info'!$E$2:$E2446, 0)),IF(G1038='Room Info'!$F$1, INDEX('Room Info'!$A$2:$A2446, MATCH(B1038,'Room Info'!$F$2:$F2446, 0)),IF(G1038='Room Info'!$H$1, INDEX('Room Info'!$A$2:$A2446, MATCH(B1038,'Room Info'!$H$2:$H2446, 0)),IF(G1038='Room Info'!$G$1, INDEX('Room Info'!$A$2:$A2446, MATCH(B1038,'Room Info'!$G$2:$G2446, 0)))))))))</f>
        <v>OneTaper</v>
      </c>
      <c r="B1038" s="45" t="s">
        <v>189</v>
      </c>
      <c r="C1038" s="77">
        <v>44835</v>
      </c>
      <c r="D1038" s="77">
        <v>44865</v>
      </c>
      <c r="E1038" s="47">
        <v>44835</v>
      </c>
      <c r="F1038" s="48" t="s">
        <v>41</v>
      </c>
      <c r="G1038" s="54" t="s">
        <v>53</v>
      </c>
      <c r="H1038" s="49" t="s">
        <v>54</v>
      </c>
      <c r="I1038" s="49" t="s">
        <v>37</v>
      </c>
      <c r="J1038" s="74">
        <v>5</v>
      </c>
      <c r="K1038" s="75">
        <v>12</v>
      </c>
      <c r="L1038" s="72">
        <v>-3.62</v>
      </c>
      <c r="M1038" s="53">
        <v>2</v>
      </c>
      <c r="N1038" s="28">
        <f>K1038*J1038</f>
        <v>60</v>
      </c>
      <c r="O1038" s="45">
        <v>168</v>
      </c>
      <c r="P1038" s="29">
        <v>14</v>
      </c>
      <c r="Q1038" s="55"/>
      <c r="R1038" s="31">
        <f>M1038+Q1038</f>
        <v>2</v>
      </c>
      <c r="S1038" s="97"/>
      <c r="T1038" s="32">
        <f>R1038+S1038+IF(F1038="Without EV deal",L1038,0)</f>
        <v>-1.62</v>
      </c>
      <c r="U1038" s="57">
        <v>1</v>
      </c>
      <c r="V1038" s="58"/>
      <c r="W1038" s="58"/>
      <c r="X1038" s="78">
        <v>0.16</v>
      </c>
      <c r="Y1038" s="30">
        <f>IF(AG1038="None",0,IF(AG1038="Fix5",0.05, IF(AG1038="Fix6.25",0.0625,IF(AG1038="Fix3.75",0.0375,IF(AG1038="Fix10",0.1,IF(AG1038="Fix3",0.03,0))))))</f>
        <v>0</v>
      </c>
      <c r="Z1038" s="35">
        <f>T1038-AA1038-AB1038</f>
        <v>-1.62</v>
      </c>
      <c r="AA1038" s="60">
        <v>0</v>
      </c>
      <c r="AB1038" s="36">
        <f>IF(AD1038="EUR",((T1038-R1038)*Y1038)*U1038+(R1038*Y1038),(T1038*Y1038))</f>
        <v>0</v>
      </c>
      <c r="AC1038" s="37" t="b">
        <v>1</v>
      </c>
      <c r="AD1038" s="37" t="s">
        <v>38</v>
      </c>
      <c r="AE1038" s="37" t="s">
        <v>38</v>
      </c>
      <c r="AF1038" s="37" t="str">
        <f t="array" ref="AF1038">INDEX('Deal Info'!D:D, MATCH(A1038,'Deal Info'!A:A, 0))</f>
        <v>DoEV</v>
      </c>
      <c r="AG1038" s="38" t="str">
        <f t="array" ref="AG1038">INDEX('Deal Info'!G:G, MATCH(A1038,'Deal Info'!A:A, 0))</f>
        <v>None</v>
      </c>
    </row>
    <row r="1039" spans="1:33" ht="14.25" hidden="1" x14ac:dyDescent="0.2">
      <c r="A1039" s="18" t="str">
        <f t="array" ref="A1039">IF(G1039='Room Info'!$B$1, INDEX('Room Info'!$A$2:$A2446, MATCH(B1039,'Room Info'!$B$2:$B2446, 0)),IF(G1039='Room Info'!$C$1, INDEX('Room Info'!$A$2:$A2446, MATCH(B1039,'Room Info'!$C$2:$C2446, 0)),IF(G1039='Room Info'!$D$1, INDEX('Room Info'!$A$2:$A2446, MATCH(B1039,'Room Info'!$D$2:$D2446, 0)),IF(G1039='Room Info'!$E$1, INDEX('Room Info'!$A$2:$A2446, MATCH(B1039,'Room Info'!$E$2:$E2446, 0)),IF(G1039='Room Info'!$F$1, INDEX('Room Info'!$A$2:$A2446, MATCH(B1039,'Room Info'!$F$2:$F2446, 0)),IF(G1039='Room Info'!$H$1, INDEX('Room Info'!$A$2:$A2446, MATCH(B1039,'Room Info'!$H$2:$H2446, 0)),IF(G1039='Room Info'!$G$1, INDEX('Room Info'!$A$2:$A2446, MATCH(B1039,'Room Info'!$G$2:$G2446, 0)))))))))</f>
        <v>OneTaper</v>
      </c>
      <c r="B1039" s="45" t="s">
        <v>189</v>
      </c>
      <c r="C1039" s="46">
        <v>44835</v>
      </c>
      <c r="D1039" s="46">
        <v>44865</v>
      </c>
      <c r="E1039" s="47">
        <v>44835</v>
      </c>
      <c r="F1039" s="48" t="s">
        <v>41</v>
      </c>
      <c r="G1039" s="54" t="s">
        <v>53</v>
      </c>
      <c r="H1039" s="49" t="s">
        <v>55</v>
      </c>
      <c r="I1039" s="49" t="s">
        <v>37</v>
      </c>
      <c r="J1039" s="50">
        <v>10</v>
      </c>
      <c r="K1039" s="51">
        <v>5</v>
      </c>
      <c r="L1039" s="52">
        <v>-3.02</v>
      </c>
      <c r="M1039" s="53">
        <v>2</v>
      </c>
      <c r="N1039" s="28">
        <f>K1039*J1039</f>
        <v>50</v>
      </c>
      <c r="O1039" s="54">
        <v>-140</v>
      </c>
      <c r="P1039" s="29">
        <v>-28</v>
      </c>
      <c r="Q1039" s="55"/>
      <c r="R1039" s="31">
        <f>M1039+Q1039</f>
        <v>2</v>
      </c>
      <c r="S1039" s="66"/>
      <c r="T1039" s="32">
        <f>R1039+S1039+IF(F1039="Without EV deal",L1039,0)</f>
        <v>-1.02</v>
      </c>
      <c r="U1039" s="57">
        <v>1</v>
      </c>
      <c r="V1039" s="58"/>
      <c r="W1039" s="58"/>
      <c r="X1039" s="78">
        <v>0.16</v>
      </c>
      <c r="Y1039" s="30">
        <f>IF(AG1039="None",0,IF(AG1039="Fix5",0.05, IF(AG1039="Fix6.25",0.0625,IF(AG1039="Fix3.75",0.0375,IF(AG1039="Fix10",0.1,IF(AG1039="Fix3",0.03,0))))))</f>
        <v>0</v>
      </c>
      <c r="Z1039" s="35">
        <f>T1039-AA1039-AB1039</f>
        <v>-1.02</v>
      </c>
      <c r="AA1039" s="60">
        <v>0</v>
      </c>
      <c r="AB1039" s="36">
        <f>IF(AD1039="EUR",((T1039-R1039)*Y1039)*U1039+(R1039*Y1039),(T1039*Y1039))</f>
        <v>0</v>
      </c>
      <c r="AC1039" s="37" t="b">
        <v>1</v>
      </c>
      <c r="AD1039" s="37" t="s">
        <v>38</v>
      </c>
      <c r="AE1039" s="37" t="s">
        <v>38</v>
      </c>
      <c r="AF1039" s="37" t="str">
        <f t="array" ref="AF1039">INDEX('Deal Info'!D:D, MATCH(A1039,'Deal Info'!A:A, 0))</f>
        <v>DoEV</v>
      </c>
      <c r="AG1039" s="38" t="str">
        <f t="array" ref="AG1039">INDEX('Deal Info'!G:G, MATCH(A1039,'Deal Info'!A:A, 0))</f>
        <v>None</v>
      </c>
    </row>
    <row r="1040" spans="1:33" ht="14.25" hidden="1" x14ac:dyDescent="0.2">
      <c r="A1040" s="18" t="str">
        <f t="array" ref="A1040">IF(G1040='Room Info'!$B$1, INDEX('Room Info'!$A$2:$A2446, MATCH(B1040,'Room Info'!$B$2:$B2446, 0)),IF(G1040='Room Info'!$C$1, INDEX('Room Info'!$A$2:$A2446, MATCH(B1040,'Room Info'!$C$2:$C2446, 0)),IF(G1040='Room Info'!$D$1, INDEX('Room Info'!$A$2:$A2446, MATCH(B1040,'Room Info'!$D$2:$D2446, 0)),IF(G1040='Room Info'!$E$1, INDEX('Room Info'!$A$2:$A2446, MATCH(B1040,'Room Info'!$E$2:$E2446, 0)),IF(G1040='Room Info'!$F$1, INDEX('Room Info'!$A$2:$A2446, MATCH(B1040,'Room Info'!$F$2:$F2446, 0)),IF(G1040='Room Info'!$H$1, INDEX('Room Info'!$A$2:$A2446, MATCH(B1040,'Room Info'!$H$2:$H2446, 0)),IF(G1040='Room Info'!$G$1, INDEX('Room Info'!$A$2:$A2446, MATCH(B1040,'Room Info'!$G$2:$G2446, 0)))))))))</f>
        <v>OneTaper</v>
      </c>
      <c r="B1040" s="45" t="s">
        <v>189</v>
      </c>
      <c r="C1040" s="46">
        <v>44835</v>
      </c>
      <c r="D1040" s="46">
        <v>44865</v>
      </c>
      <c r="E1040" s="47">
        <v>44835</v>
      </c>
      <c r="F1040" s="48" t="s">
        <v>41</v>
      </c>
      <c r="G1040" s="54" t="s">
        <v>53</v>
      </c>
      <c r="H1040" s="49" t="s">
        <v>56</v>
      </c>
      <c r="I1040" s="49" t="s">
        <v>37</v>
      </c>
      <c r="J1040" s="50">
        <v>20</v>
      </c>
      <c r="K1040" s="51">
        <v>1513</v>
      </c>
      <c r="L1040" s="52">
        <v>-1826.05</v>
      </c>
      <c r="M1040" s="53">
        <v>1059</v>
      </c>
      <c r="N1040" s="28">
        <f>K1040*J1040</f>
        <v>30260</v>
      </c>
      <c r="O1040" s="54">
        <v>12104</v>
      </c>
      <c r="P1040" s="29">
        <v>8</v>
      </c>
      <c r="Q1040" s="55"/>
      <c r="R1040" s="31">
        <f>M1040+Q1040</f>
        <v>1059</v>
      </c>
      <c r="S1040" s="66"/>
      <c r="T1040" s="32">
        <f>R1040+S1040+IF(F1040="Without EV deal",L1040,0)</f>
        <v>-767.05</v>
      </c>
      <c r="U1040" s="57">
        <v>1</v>
      </c>
      <c r="V1040" s="58"/>
      <c r="W1040" s="58"/>
      <c r="X1040" s="78">
        <v>0.16</v>
      </c>
      <c r="Y1040" s="30">
        <f>IF(AG1040="None",0,IF(AG1040="Fix5",0.05, IF(AG1040="Fix6.25",0.0625,IF(AG1040="Fix3.75",0.0375,IF(AG1040="Fix10",0.1,IF(AG1040="Fix3",0.03,0))))))</f>
        <v>0</v>
      </c>
      <c r="Z1040" s="35">
        <f>T1040-AA1040-AB1040</f>
        <v>-644.04999999999995</v>
      </c>
      <c r="AA1040" s="60">
        <v>-123</v>
      </c>
      <c r="AB1040" s="36">
        <f>IF(AD1040="EUR",((T1040-R1040)*Y1040)*U1040+(R1040*Y1040),(T1040*Y1040))</f>
        <v>0</v>
      </c>
      <c r="AC1040" s="37" t="b">
        <v>1</v>
      </c>
      <c r="AD1040" s="37" t="s">
        <v>38</v>
      </c>
      <c r="AE1040" s="37" t="s">
        <v>38</v>
      </c>
      <c r="AF1040" s="37" t="str">
        <f t="array" ref="AF1040">INDEX('Deal Info'!D:D, MATCH(A1040,'Deal Info'!A:A, 0))</f>
        <v>DoEV</v>
      </c>
      <c r="AG1040" s="38" t="str">
        <f t="array" ref="AG1040">INDEX('Deal Info'!G:G, MATCH(A1040,'Deal Info'!A:A, 0))</f>
        <v>None</v>
      </c>
    </row>
    <row r="1041" spans="1:33" ht="14.25" hidden="1" x14ac:dyDescent="0.2">
      <c r="A1041" s="18" t="str">
        <f t="array" ref="A1041">IF(G1041='Room Info'!$B$1, INDEX('Room Info'!$A$2:$A2446, MATCH(B1041,'Room Info'!$B$2:$B2446, 0)),IF(G1041='Room Info'!$C$1, INDEX('Room Info'!$A$2:$A2446, MATCH(B1041,'Room Info'!$C$2:$C2446, 0)),IF(G1041='Room Info'!$D$1, INDEX('Room Info'!$A$2:$A2446, MATCH(B1041,'Room Info'!$D$2:$D2446, 0)),IF(G1041='Room Info'!$E$1, INDEX('Room Info'!$A$2:$A2446, MATCH(B1041,'Room Info'!$E$2:$E2446, 0)),IF(G1041='Room Info'!$F$1, INDEX('Room Info'!$A$2:$A2446, MATCH(B1041,'Room Info'!$F$2:$F2446, 0)),IF(G1041='Room Info'!$H$1, INDEX('Room Info'!$A$2:$A2446, MATCH(B1041,'Room Info'!$H$2:$H2446, 0)),IF(G1041='Room Info'!$G$1, INDEX('Room Info'!$A$2:$A2446, MATCH(B1041,'Room Info'!$G$2:$G2446, 0)))))))))</f>
        <v>OneTaper</v>
      </c>
      <c r="B1041" s="45" t="s">
        <v>189</v>
      </c>
      <c r="C1041" s="46">
        <v>44835</v>
      </c>
      <c r="D1041" s="46">
        <v>44865</v>
      </c>
      <c r="E1041" s="47">
        <v>44835</v>
      </c>
      <c r="F1041" s="48" t="s">
        <v>41</v>
      </c>
      <c r="G1041" s="45" t="s">
        <v>53</v>
      </c>
      <c r="H1041" s="49" t="s">
        <v>57</v>
      </c>
      <c r="I1041" s="49" t="s">
        <v>37</v>
      </c>
      <c r="J1041" s="50">
        <v>50</v>
      </c>
      <c r="K1041" s="51">
        <v>250</v>
      </c>
      <c r="L1041" s="52">
        <v>-754.32</v>
      </c>
      <c r="M1041" s="53">
        <v>438</v>
      </c>
      <c r="N1041" s="28">
        <f>K1041*J1041</f>
        <v>12500</v>
      </c>
      <c r="O1041" s="54">
        <v>7500</v>
      </c>
      <c r="P1041" s="29">
        <v>30</v>
      </c>
      <c r="Q1041" s="55"/>
      <c r="R1041" s="31">
        <f>M1041+Q1041</f>
        <v>438</v>
      </c>
      <c r="S1041" s="66"/>
      <c r="T1041" s="32">
        <f>R1041+S1041+IF(F1041="Without EV deal",L1041,0)</f>
        <v>-316.32000000000005</v>
      </c>
      <c r="U1041" s="57">
        <v>1</v>
      </c>
      <c r="V1041" s="58"/>
      <c r="W1041" s="58"/>
      <c r="X1041" s="78">
        <v>0.16</v>
      </c>
      <c r="Y1041" s="30">
        <f>IF(AG1041="None",0,IF(AG1041="Fix5",0.05, IF(AG1041="Fix6.25",0.0625,IF(AG1041="Fix3.75",0.0375,IF(AG1041="Fix10",0.1,IF(AG1041="Fix3",0.03,0))))))</f>
        <v>0</v>
      </c>
      <c r="Z1041" s="35">
        <f>T1041-AA1041-AB1041</f>
        <v>-265.32000000000005</v>
      </c>
      <c r="AA1041" s="60">
        <v>-51</v>
      </c>
      <c r="AB1041" s="36">
        <f>IF(AD1041="EUR",((T1041-R1041)*Y1041)*U1041+(R1041*Y1041),(T1041*Y1041))</f>
        <v>0</v>
      </c>
      <c r="AC1041" s="37" t="b">
        <v>1</v>
      </c>
      <c r="AD1041" s="37" t="s">
        <v>38</v>
      </c>
      <c r="AE1041" s="37" t="s">
        <v>38</v>
      </c>
      <c r="AF1041" s="37" t="str">
        <f t="array" ref="AF1041">INDEX('Deal Info'!D:D, MATCH(A1041,'Deal Info'!A:A, 0))</f>
        <v>DoEV</v>
      </c>
      <c r="AG1041" s="38" t="str">
        <f t="array" ref="AG1041">INDEX('Deal Info'!G:G, MATCH(A1041,'Deal Info'!A:A, 0))</f>
        <v>None</v>
      </c>
    </row>
    <row r="1042" spans="1:33" ht="14.25" hidden="1" x14ac:dyDescent="0.2">
      <c r="A1042" s="18" t="str">
        <f t="array" ref="A1042">IF(G1042='Room Info'!$B$1, INDEX('Room Info'!$A$2:$A2446, MATCH(B1042,'Room Info'!$B$2:$B2446, 0)),IF(G1042='Room Info'!$C$1, INDEX('Room Info'!$A$2:$A2446, MATCH(B1042,'Room Info'!$C$2:$C2446, 0)),IF(G1042='Room Info'!$D$1, INDEX('Room Info'!$A$2:$A2446, MATCH(B1042,'Room Info'!$D$2:$D2446, 0)),IF(G1042='Room Info'!$E$1, INDEX('Room Info'!$A$2:$A2446, MATCH(B1042,'Room Info'!$E$2:$E2446, 0)),IF(G1042='Room Info'!$F$1, INDEX('Room Info'!$A$2:$A2446, MATCH(B1042,'Room Info'!$F$2:$F2446, 0)),IF(G1042='Room Info'!$H$1, INDEX('Room Info'!$A$2:$A2446, MATCH(B1042,'Room Info'!$H$2:$H2446, 0)),IF(G1042='Room Info'!$G$1, INDEX('Room Info'!$A$2:$A2446, MATCH(B1042,'Room Info'!$G$2:$G2446, 0)))))))))</f>
        <v>OneTaper</v>
      </c>
      <c r="B1042" s="45" t="s">
        <v>189</v>
      </c>
      <c r="C1042" s="46">
        <v>44866</v>
      </c>
      <c r="D1042" s="46">
        <v>44872</v>
      </c>
      <c r="E1042" s="47">
        <v>44866</v>
      </c>
      <c r="F1042" s="48" t="s">
        <v>41</v>
      </c>
      <c r="G1042" s="45" t="s">
        <v>53</v>
      </c>
      <c r="H1042" s="49" t="s">
        <v>57</v>
      </c>
      <c r="I1042" s="49" t="s">
        <v>37</v>
      </c>
      <c r="J1042" s="50">
        <v>50</v>
      </c>
      <c r="K1042" s="112"/>
      <c r="L1042" s="52">
        <v>15810</v>
      </c>
      <c r="M1042" s="62"/>
      <c r="N1042" s="28">
        <f>K1042*J1042</f>
        <v>0</v>
      </c>
      <c r="O1042" s="65"/>
      <c r="P1042" s="29" t="s">
        <v>334</v>
      </c>
      <c r="Q1042" s="55"/>
      <c r="R1042" s="31">
        <f>M1042+Q1042</f>
        <v>0</v>
      </c>
      <c r="S1042" s="66"/>
      <c r="T1042" s="32">
        <f>R1042+S1042+IF(F1042="Without EV deal",L1042,0)</f>
        <v>15810</v>
      </c>
      <c r="U1042" s="57">
        <v>1</v>
      </c>
      <c r="V1042" s="58"/>
      <c r="W1042" s="58"/>
      <c r="X1042" s="78">
        <v>0.16</v>
      </c>
      <c r="Y1042" s="30">
        <f>IF(AG1042="None",0,IF(AG1042="Fix5",0.05, IF(AG1042="Fix6.25",0.0625,IF(AG1042="Fix3.75",0.0375,IF(AG1042="Fix10",0.1,IF(AG1042="Fix3",0.03,0))))))</f>
        <v>0</v>
      </c>
      <c r="Z1042" s="35">
        <f>T1042-AA1042-AB1042</f>
        <v>13277</v>
      </c>
      <c r="AA1042" s="60">
        <v>2533</v>
      </c>
      <c r="AB1042" s="36">
        <f>IF(AD1042="EUR",((T1042-R1042)*Y1042)*U1042+(R1042*Y1042),(T1042*Y1042))</f>
        <v>0</v>
      </c>
      <c r="AC1042" s="37" t="b">
        <v>1</v>
      </c>
      <c r="AD1042" s="37" t="s">
        <v>38</v>
      </c>
      <c r="AE1042" s="37" t="s">
        <v>38</v>
      </c>
      <c r="AF1042" s="37" t="str">
        <f t="array" ref="AF1042">INDEX('Deal Info'!D:D, MATCH(A1042,'Deal Info'!A:A, 0))</f>
        <v>DoEV</v>
      </c>
      <c r="AG1042" s="38" t="str">
        <f t="array" ref="AG1042">INDEX('Deal Info'!G:G, MATCH(A1042,'Deal Info'!A:A, 0))</f>
        <v>None</v>
      </c>
    </row>
    <row r="1043" spans="1:33" ht="14.25" hidden="1" x14ac:dyDescent="0.2">
      <c r="A1043" s="18" t="str">
        <f t="array" ref="A1043">IF(G1043='Room Info'!$B$1, INDEX('Room Info'!$A$2:$A2446, MATCH(B1043,'Room Info'!$B$2:$B2446, 0)),IF(G1043='Room Info'!$C$1, INDEX('Room Info'!$A$2:$A2446, MATCH(B1043,'Room Info'!$C$2:$C2446, 0)),IF(G1043='Room Info'!$D$1, INDEX('Room Info'!$A$2:$A2446, MATCH(B1043,'Room Info'!$D$2:$D2446, 0)),IF(G1043='Room Info'!$E$1, INDEX('Room Info'!$A$2:$A2446, MATCH(B1043,'Room Info'!$E$2:$E2446, 0)),IF(G1043='Room Info'!$F$1, INDEX('Room Info'!$A$2:$A2446, MATCH(B1043,'Room Info'!$F$2:$F2446, 0)),IF(G1043='Room Info'!$H$1, INDEX('Room Info'!$A$2:$A2446, MATCH(B1043,'Room Info'!$H$2:$H2446, 0)),IF(G1043='Room Info'!$G$1, INDEX('Room Info'!$A$2:$A2446, MATCH(B1043,'Room Info'!$G$2:$G2446, 0)))))))))</f>
        <v>OneTaper</v>
      </c>
      <c r="B1043" s="45" t="s">
        <v>189</v>
      </c>
      <c r="C1043" s="46">
        <v>44873</v>
      </c>
      <c r="D1043" s="46">
        <v>44895</v>
      </c>
      <c r="E1043" s="47">
        <v>44866</v>
      </c>
      <c r="F1043" s="48" t="s">
        <v>41</v>
      </c>
      <c r="G1043" s="45" t="s">
        <v>53</v>
      </c>
      <c r="H1043" s="49" t="s">
        <v>54</v>
      </c>
      <c r="I1043" s="49" t="s">
        <v>37</v>
      </c>
      <c r="J1043" s="50">
        <v>5</v>
      </c>
      <c r="K1043" s="51">
        <v>13</v>
      </c>
      <c r="L1043" s="52">
        <v>1.03</v>
      </c>
      <c r="M1043" s="53">
        <v>2</v>
      </c>
      <c r="N1043" s="28">
        <f>K1043*J1043</f>
        <v>65</v>
      </c>
      <c r="O1043" s="65"/>
      <c r="P1043" s="29">
        <v>0</v>
      </c>
      <c r="Q1043" s="55"/>
      <c r="R1043" s="31">
        <f>M1043+Q1043</f>
        <v>2</v>
      </c>
      <c r="S1043" s="66"/>
      <c r="T1043" s="32">
        <f>R1043+S1043+IF(F1043="Without EV deal",L1043,0)</f>
        <v>3.0300000000000002</v>
      </c>
      <c r="U1043" s="57">
        <v>1</v>
      </c>
      <c r="V1043" s="58"/>
      <c r="W1043" s="58"/>
      <c r="X1043" s="78">
        <v>0.23</v>
      </c>
      <c r="Y1043" s="30">
        <f>IF(AG1043="None",0,IF(AG1043="Fix5",0.05, IF(AG1043="Fix6.25",0.0625,IF(AG1043="Fix3.75",0.0375,IF(AG1043="Fix10",0.1,IF(AG1043="Fix3",0.03,0))))))</f>
        <v>0</v>
      </c>
      <c r="Z1043" s="35">
        <f>T1043-AA1043-AB1043</f>
        <v>2.0300000000000002</v>
      </c>
      <c r="AA1043" s="60">
        <v>1</v>
      </c>
      <c r="AB1043" s="36">
        <f>IF(AD1043="EUR",((T1043-R1043)*Y1043)*U1043+(R1043*Y1043),(T1043*Y1043))</f>
        <v>0</v>
      </c>
      <c r="AC1043" s="37" t="b">
        <v>1</v>
      </c>
      <c r="AD1043" s="37" t="s">
        <v>38</v>
      </c>
      <c r="AE1043" s="37" t="s">
        <v>38</v>
      </c>
      <c r="AF1043" s="37" t="str">
        <f t="array" ref="AF1043">INDEX('Deal Info'!D:D, MATCH(A1043,'Deal Info'!A:A, 0))</f>
        <v>DoEV</v>
      </c>
      <c r="AG1043" s="38" t="str">
        <f t="array" ref="AG1043">INDEX('Deal Info'!G:G, MATCH(A1043,'Deal Info'!A:A, 0))</f>
        <v>None</v>
      </c>
    </row>
    <row r="1044" spans="1:33" ht="14.25" hidden="1" x14ac:dyDescent="0.2">
      <c r="A1044" s="18" t="str">
        <f t="array" ref="A1044">IF(G1044='Room Info'!$B$1, INDEX('Room Info'!$A$2:$A2446, MATCH(B1044,'Room Info'!$B$2:$B2446, 0)),IF(G1044='Room Info'!$C$1, INDEX('Room Info'!$A$2:$A2446, MATCH(B1044,'Room Info'!$C$2:$C2446, 0)),IF(G1044='Room Info'!$D$1, INDEX('Room Info'!$A$2:$A2446, MATCH(B1044,'Room Info'!$D$2:$D2446, 0)),IF(G1044='Room Info'!$E$1, INDEX('Room Info'!$A$2:$A2446, MATCH(B1044,'Room Info'!$E$2:$E2446, 0)),IF(G1044='Room Info'!$F$1, INDEX('Room Info'!$A$2:$A2446, MATCH(B1044,'Room Info'!$F$2:$F2446, 0)),IF(G1044='Room Info'!$H$1, INDEX('Room Info'!$A$2:$A2446, MATCH(B1044,'Room Info'!$H$2:$H2446, 0)),IF(G1044='Room Info'!$G$1, INDEX('Room Info'!$A$2:$A2446, MATCH(B1044,'Room Info'!$G$2:$G2446, 0)))))))))</f>
        <v>OneTaper</v>
      </c>
      <c r="B1044" s="45" t="s">
        <v>189</v>
      </c>
      <c r="C1044" s="46">
        <v>44873</v>
      </c>
      <c r="D1044" s="46">
        <v>44895</v>
      </c>
      <c r="E1044" s="47">
        <v>44866</v>
      </c>
      <c r="F1044" s="48" t="s">
        <v>41</v>
      </c>
      <c r="G1044" s="45" t="s">
        <v>53</v>
      </c>
      <c r="H1044" s="49" t="s">
        <v>55</v>
      </c>
      <c r="I1044" s="49" t="s">
        <v>37</v>
      </c>
      <c r="J1044" s="50">
        <v>10</v>
      </c>
      <c r="K1044" s="51">
        <v>5</v>
      </c>
      <c r="L1044" s="52">
        <v>0.79</v>
      </c>
      <c r="M1044" s="53">
        <v>2</v>
      </c>
      <c r="N1044" s="28">
        <f>K1044*J1044</f>
        <v>50</v>
      </c>
      <c r="O1044" s="65"/>
      <c r="P1044" s="29">
        <v>0</v>
      </c>
      <c r="Q1044" s="55"/>
      <c r="R1044" s="31">
        <f>M1044+Q1044</f>
        <v>2</v>
      </c>
      <c r="S1044" s="66"/>
      <c r="T1044" s="32">
        <f>R1044+S1044+IF(F1044="Without EV deal",L1044,0)</f>
        <v>2.79</v>
      </c>
      <c r="U1044" s="57">
        <v>1</v>
      </c>
      <c r="V1044" s="58"/>
      <c r="W1044" s="58"/>
      <c r="X1044" s="78">
        <v>0.23</v>
      </c>
      <c r="Y1044" s="30">
        <f>IF(AG1044="None",0,IF(AG1044="Fix5",0.05, IF(AG1044="Fix6.25",0.0625,IF(AG1044="Fix3.75",0.0375,IF(AG1044="Fix10",0.1,IF(AG1044="Fix3",0.03,0))))))</f>
        <v>0</v>
      </c>
      <c r="Z1044" s="35">
        <f>T1044-AA1044-AB1044</f>
        <v>1.79</v>
      </c>
      <c r="AA1044" s="60">
        <v>1</v>
      </c>
      <c r="AB1044" s="36">
        <f>IF(AD1044="EUR",((T1044-R1044)*Y1044)*U1044+(R1044*Y1044),(T1044*Y1044))</f>
        <v>0</v>
      </c>
      <c r="AC1044" s="37" t="b">
        <v>1</v>
      </c>
      <c r="AD1044" s="37" t="s">
        <v>38</v>
      </c>
      <c r="AE1044" s="37" t="s">
        <v>38</v>
      </c>
      <c r="AF1044" s="37" t="str">
        <f t="array" ref="AF1044">INDEX('Deal Info'!D:D, MATCH(A1044,'Deal Info'!A:A, 0))</f>
        <v>DoEV</v>
      </c>
      <c r="AG1044" s="38" t="str">
        <f t="array" ref="AG1044">INDEX('Deal Info'!G:G, MATCH(A1044,'Deal Info'!A:A, 0))</f>
        <v>None</v>
      </c>
    </row>
    <row r="1045" spans="1:33" ht="14.25" hidden="1" x14ac:dyDescent="0.2">
      <c r="A1045" s="18" t="str">
        <f t="array" ref="A1045">IF(G1045='Room Info'!$B$1, INDEX('Room Info'!$A$2:$A2446, MATCH(B1045,'Room Info'!$B$2:$B2446, 0)),IF(G1045='Room Info'!$C$1, INDEX('Room Info'!$A$2:$A2446, MATCH(B1045,'Room Info'!$C$2:$C2446, 0)),IF(G1045='Room Info'!$D$1, INDEX('Room Info'!$A$2:$A2446, MATCH(B1045,'Room Info'!$D$2:$D2446, 0)),IF(G1045='Room Info'!$E$1, INDEX('Room Info'!$A$2:$A2446, MATCH(B1045,'Room Info'!$E$2:$E2446, 0)),IF(G1045='Room Info'!$F$1, INDEX('Room Info'!$A$2:$A2446, MATCH(B1045,'Room Info'!$F$2:$F2446, 0)),IF(G1045='Room Info'!$H$1, INDEX('Room Info'!$A$2:$A2446, MATCH(B1045,'Room Info'!$H$2:$H2446, 0)),IF(G1045='Room Info'!$G$1, INDEX('Room Info'!$A$2:$A2446, MATCH(B1045,'Room Info'!$G$2:$G2446, 0)))))))))</f>
        <v>OneTaper</v>
      </c>
      <c r="B1045" s="54" t="s">
        <v>189</v>
      </c>
      <c r="C1045" s="46">
        <v>44873</v>
      </c>
      <c r="D1045" s="46">
        <v>44895</v>
      </c>
      <c r="E1045" s="47">
        <v>44866</v>
      </c>
      <c r="F1045" s="45" t="s">
        <v>41</v>
      </c>
      <c r="G1045" s="54" t="s">
        <v>53</v>
      </c>
      <c r="H1045" s="49" t="s">
        <v>56</v>
      </c>
      <c r="I1045" s="49" t="s">
        <v>37</v>
      </c>
      <c r="J1045" s="50">
        <v>20</v>
      </c>
      <c r="K1045" s="51">
        <v>14</v>
      </c>
      <c r="L1045" s="52">
        <v>4.4400000000000004</v>
      </c>
      <c r="M1045" s="53">
        <v>10</v>
      </c>
      <c r="N1045" s="28">
        <f>K1045*J1045</f>
        <v>280</v>
      </c>
      <c r="O1045" s="65"/>
      <c r="P1045" s="29">
        <v>0</v>
      </c>
      <c r="Q1045" s="55"/>
      <c r="R1045" s="31">
        <f>M1045+Q1045</f>
        <v>10</v>
      </c>
      <c r="S1045" s="66"/>
      <c r="T1045" s="32">
        <f>R1045+S1045+IF(F1045="Without EV deal",L1045,0)</f>
        <v>14.440000000000001</v>
      </c>
      <c r="U1045" s="57">
        <v>1</v>
      </c>
      <c r="V1045" s="58"/>
      <c r="W1045" s="58"/>
      <c r="X1045" s="78">
        <v>0.23</v>
      </c>
      <c r="Y1045" s="30">
        <f>IF(AG1045="None",0,IF(AG1045="Fix5",0.05, IF(AG1045="Fix6.25",0.0625,IF(AG1045="Fix3.75",0.0375,IF(AG1045="Fix10",0.1,IF(AG1045="Fix3",0.03,0))))))</f>
        <v>0</v>
      </c>
      <c r="Z1045" s="35">
        <f>T1045-AA1045-AB1045</f>
        <v>11.440000000000001</v>
      </c>
      <c r="AA1045" s="60">
        <v>3</v>
      </c>
      <c r="AB1045" s="36">
        <f>IF(AD1045="EUR",((T1045-R1045)*Y1045)*U1045+(R1045*Y1045),(T1045*Y1045))</f>
        <v>0</v>
      </c>
      <c r="AC1045" s="37" t="b">
        <v>1</v>
      </c>
      <c r="AD1045" s="37" t="s">
        <v>38</v>
      </c>
      <c r="AE1045" s="37" t="s">
        <v>38</v>
      </c>
      <c r="AF1045" s="37" t="str">
        <f t="array" ref="AF1045">INDEX('Deal Info'!D:D, MATCH(A1045,'Deal Info'!A:A, 0))</f>
        <v>DoEV</v>
      </c>
      <c r="AG1045" s="38" t="str">
        <f t="array" ref="AG1045">INDEX('Deal Info'!G:G, MATCH(A1045,'Deal Info'!A:A, 0))</f>
        <v>None</v>
      </c>
    </row>
    <row r="1046" spans="1:33" ht="14.25" hidden="1" x14ac:dyDescent="0.2">
      <c r="A1046" s="18" t="str">
        <f t="array" ref="A1046">IF(G1046='Room Info'!$B$1, INDEX('Room Info'!$A$2:$A2446, MATCH(B1046,'Room Info'!$B$2:$B2446, 0)),IF(G1046='Room Info'!$C$1, INDEX('Room Info'!$A$2:$A2446, MATCH(B1046,'Room Info'!$C$2:$C2446, 0)),IF(G1046='Room Info'!$D$1, INDEX('Room Info'!$A$2:$A2446, MATCH(B1046,'Room Info'!$D$2:$D2446, 0)),IF(G1046='Room Info'!$E$1, INDEX('Room Info'!$A$2:$A2446, MATCH(B1046,'Room Info'!$E$2:$E2446, 0)),IF(G1046='Room Info'!$F$1, INDEX('Room Info'!$A$2:$A2446, MATCH(B1046,'Room Info'!$F$2:$F2446, 0)),IF(G1046='Room Info'!$H$1, INDEX('Room Info'!$A$2:$A2446, MATCH(B1046,'Room Info'!$H$2:$H2446, 0)),IF(G1046='Room Info'!$G$1, INDEX('Room Info'!$A$2:$A2446, MATCH(B1046,'Room Info'!$G$2:$G2446, 0)))))))))</f>
        <v>OneTaper</v>
      </c>
      <c r="B1046" s="54" t="s">
        <v>189</v>
      </c>
      <c r="C1046" s="46">
        <v>44873</v>
      </c>
      <c r="D1046" s="46">
        <v>44895</v>
      </c>
      <c r="E1046" s="47">
        <v>44866</v>
      </c>
      <c r="F1046" s="45" t="s">
        <v>41</v>
      </c>
      <c r="G1046" s="54" t="s">
        <v>53</v>
      </c>
      <c r="H1046" s="49" t="s">
        <v>57</v>
      </c>
      <c r="I1046" s="49" t="s">
        <v>37</v>
      </c>
      <c r="J1046" s="50">
        <v>50</v>
      </c>
      <c r="K1046" s="51">
        <v>612</v>
      </c>
      <c r="L1046" s="52">
        <v>484.95</v>
      </c>
      <c r="M1046" s="53">
        <v>1071</v>
      </c>
      <c r="N1046" s="28">
        <f>K1046*J1046</f>
        <v>30600</v>
      </c>
      <c r="O1046" s="65"/>
      <c r="P1046" s="29">
        <v>0</v>
      </c>
      <c r="Q1046" s="55"/>
      <c r="R1046" s="31">
        <f>M1046+Q1046</f>
        <v>1071</v>
      </c>
      <c r="S1046" s="66"/>
      <c r="T1046" s="32">
        <f>R1046+S1046+IF(F1046="Without EV deal",L1046,0)</f>
        <v>1555.95</v>
      </c>
      <c r="U1046" s="57">
        <v>1</v>
      </c>
      <c r="V1046" s="58"/>
      <c r="W1046" s="58"/>
      <c r="X1046" s="78">
        <v>0.23</v>
      </c>
      <c r="Y1046" s="30">
        <f>IF(AG1046="None",0,IF(AG1046="Fix5",0.05, IF(AG1046="Fix6.25",0.0625,IF(AG1046="Fix3.75",0.0375,IF(AG1046="Fix10",0.1,IF(AG1046="Fix3",0.03,0))))))</f>
        <v>0</v>
      </c>
      <c r="Z1046" s="35">
        <f>T1046-AA1046-AB1046</f>
        <v>1197.95</v>
      </c>
      <c r="AA1046" s="60">
        <v>358</v>
      </c>
      <c r="AB1046" s="36">
        <f>IF(AD1046="EUR",((T1046-R1046)*Y1046)*U1046+(R1046*Y1046),(T1046*Y1046))</f>
        <v>0</v>
      </c>
      <c r="AC1046" s="37" t="b">
        <v>1</v>
      </c>
      <c r="AD1046" s="37" t="s">
        <v>38</v>
      </c>
      <c r="AE1046" s="37" t="s">
        <v>38</v>
      </c>
      <c r="AF1046" s="37" t="str">
        <f t="array" ref="AF1046">INDEX('Deal Info'!D:D, MATCH(A1046,'Deal Info'!A:A, 0))</f>
        <v>DoEV</v>
      </c>
      <c r="AG1046" s="38" t="str">
        <f t="array" ref="AG1046">INDEX('Deal Info'!G:G, MATCH(A1046,'Deal Info'!A:A, 0))</f>
        <v>None</v>
      </c>
    </row>
    <row r="1047" spans="1:33" ht="14.25" hidden="1" x14ac:dyDescent="0.2">
      <c r="A1047" s="18" t="str">
        <f t="array" ref="A1047">IF(G1047='Room Info'!$B$1, INDEX('Room Info'!$A$2:$A2446, MATCH(B1047,'Room Info'!$B$2:$B2446, 0)),IF(G1047='Room Info'!$C$1, INDEX('Room Info'!$A$2:$A2446, MATCH(B1047,'Room Info'!$C$2:$C2446, 0)),IF(G1047='Room Info'!$D$1, INDEX('Room Info'!$A$2:$A2446, MATCH(B1047,'Room Info'!$D$2:$D2446, 0)),IF(G1047='Room Info'!$E$1, INDEX('Room Info'!$A$2:$A2446, MATCH(B1047,'Room Info'!$E$2:$E2446, 0)),IF(G1047='Room Info'!$F$1, INDEX('Room Info'!$A$2:$A2446, MATCH(B1047,'Room Info'!$F$2:$F2446, 0)),IF(G1047='Room Info'!$H$1, INDEX('Room Info'!$A$2:$A2446, MATCH(B1047,'Room Info'!$H$2:$H2446, 0)),IF(G1047='Room Info'!$G$1, INDEX('Room Info'!$A$2:$A2446, MATCH(B1047,'Room Info'!$G$2:$G2446, 0)))))))))</f>
        <v>OneTaper</v>
      </c>
      <c r="B1047" s="45" t="s">
        <v>189</v>
      </c>
      <c r="C1047" s="46">
        <v>44873</v>
      </c>
      <c r="D1047" s="46">
        <v>44895</v>
      </c>
      <c r="E1047" s="47">
        <v>44866</v>
      </c>
      <c r="F1047" s="48" t="s">
        <v>41</v>
      </c>
      <c r="G1047" s="45" t="s">
        <v>53</v>
      </c>
      <c r="H1047" s="49" t="s">
        <v>59</v>
      </c>
      <c r="I1047" s="49" t="s">
        <v>37</v>
      </c>
      <c r="J1047" s="50">
        <v>100</v>
      </c>
      <c r="K1047" s="51">
        <v>27</v>
      </c>
      <c r="L1047" s="52">
        <v>42.79</v>
      </c>
      <c r="M1047" s="53">
        <v>95</v>
      </c>
      <c r="N1047" s="28">
        <f>K1047*J1047</f>
        <v>2700</v>
      </c>
      <c r="O1047" s="65"/>
      <c r="P1047" s="29">
        <v>0</v>
      </c>
      <c r="Q1047" s="55"/>
      <c r="R1047" s="31">
        <f>M1047+Q1047</f>
        <v>95</v>
      </c>
      <c r="S1047" s="66"/>
      <c r="T1047" s="32">
        <f>R1047+S1047+IF(F1047="Without EV deal",L1047,0)</f>
        <v>137.79</v>
      </c>
      <c r="U1047" s="57">
        <v>1</v>
      </c>
      <c r="V1047" s="58"/>
      <c r="W1047" s="58"/>
      <c r="X1047" s="78">
        <v>0.23</v>
      </c>
      <c r="Y1047" s="30">
        <f>IF(AG1047="None",0,IF(AG1047="Fix5",0.05, IF(AG1047="Fix6.25",0.0625,IF(AG1047="Fix3.75",0.0375,IF(AG1047="Fix10",0.1,IF(AG1047="Fix3",0.03,0))))))</f>
        <v>0</v>
      </c>
      <c r="Z1047" s="35">
        <f>T1047-AA1047-AB1047</f>
        <v>105.78999999999999</v>
      </c>
      <c r="AA1047" s="60">
        <v>32</v>
      </c>
      <c r="AB1047" s="36">
        <f>IF(AD1047="EUR",((T1047-R1047)*Y1047)*U1047+(R1047*Y1047),(T1047*Y1047))</f>
        <v>0</v>
      </c>
      <c r="AC1047" s="37" t="b">
        <v>1</v>
      </c>
      <c r="AD1047" s="37" t="s">
        <v>38</v>
      </c>
      <c r="AE1047" s="37" t="s">
        <v>38</v>
      </c>
      <c r="AF1047" s="37" t="str">
        <f t="array" ref="AF1047">INDEX('Deal Info'!D:D, MATCH(A1047,'Deal Info'!A:A, 0))</f>
        <v>DoEV</v>
      </c>
      <c r="AG1047" s="38" t="str">
        <f t="array" ref="AG1047">INDEX('Deal Info'!G:G, MATCH(A1047,'Deal Info'!A:A, 0))</f>
        <v>None</v>
      </c>
    </row>
    <row r="1048" spans="1:33" ht="14.25" hidden="1" x14ac:dyDescent="0.2">
      <c r="A1048" s="18" t="str">
        <f t="array" ref="A1048">IF(G1048='Room Info'!$B$1, INDEX('Room Info'!$A$2:$A2446, MATCH(B1048,'Room Info'!$B$2:$B2446, 0)),IF(G1048='Room Info'!$C$1, INDEX('Room Info'!$A$2:$A2446, MATCH(B1048,'Room Info'!$C$2:$C2446, 0)),IF(G1048='Room Info'!$D$1, INDEX('Room Info'!$A$2:$A2446, MATCH(B1048,'Room Info'!$D$2:$D2446, 0)),IF(G1048='Room Info'!$E$1, INDEX('Room Info'!$A$2:$A2446, MATCH(B1048,'Room Info'!$E$2:$E2446, 0)),IF(G1048='Room Info'!$F$1, INDEX('Room Info'!$A$2:$A2446, MATCH(B1048,'Room Info'!$F$2:$F2446, 0)),IF(G1048='Room Info'!$H$1, INDEX('Room Info'!$A$2:$A2446, MATCH(B1048,'Room Info'!$H$2:$H2446, 0)),IF(G1048='Room Info'!$G$1, INDEX('Room Info'!$A$2:$A2446, MATCH(B1048,'Room Info'!$G$2:$G2446, 0)))))))))</f>
        <v>OneTaper</v>
      </c>
      <c r="B1048" s="45" t="s">
        <v>189</v>
      </c>
      <c r="C1048" s="46">
        <v>44896</v>
      </c>
      <c r="D1048" s="46">
        <v>44921</v>
      </c>
      <c r="E1048" s="47">
        <v>44896</v>
      </c>
      <c r="F1048" s="48" t="s">
        <v>41</v>
      </c>
      <c r="G1048" s="45" t="s">
        <v>53</v>
      </c>
      <c r="H1048" s="49" t="s">
        <v>54</v>
      </c>
      <c r="I1048" s="49" t="s">
        <v>37</v>
      </c>
      <c r="J1048" s="50">
        <v>5</v>
      </c>
      <c r="K1048" s="51">
        <v>16</v>
      </c>
      <c r="L1048" s="52">
        <v>0.37</v>
      </c>
      <c r="M1048" s="53">
        <v>3</v>
      </c>
      <c r="N1048" s="28">
        <f>K1048*J1048</f>
        <v>80</v>
      </c>
      <c r="O1048" s="65"/>
      <c r="P1048" s="29">
        <v>0</v>
      </c>
      <c r="Q1048" s="55"/>
      <c r="R1048" s="31">
        <f>M1048+Q1048</f>
        <v>3</v>
      </c>
      <c r="S1048" s="66"/>
      <c r="T1048" s="32">
        <f>R1048+S1048+IF(F1048="Without EV deal",L1048,0)</f>
        <v>3.37</v>
      </c>
      <c r="U1048" s="57">
        <v>1</v>
      </c>
      <c r="V1048" s="58"/>
      <c r="W1048" s="58"/>
      <c r="X1048" s="78">
        <v>0.17</v>
      </c>
      <c r="Y1048" s="30">
        <f>IF(AG1048="None",0,IF(AG1048="Fix5",0.05, IF(AG1048="Fix6.25",0.0625,IF(AG1048="Fix3.75",0.0375,IF(AG1048="Fix10",0.1,IF(AG1048="Fix3",0.03,0))))))</f>
        <v>0</v>
      </c>
      <c r="Z1048" s="35">
        <f>T1048-AA1048-AB1048</f>
        <v>2.37</v>
      </c>
      <c r="AA1048" s="60">
        <v>1</v>
      </c>
      <c r="AB1048" s="36">
        <f>IF(AD1048="EUR",((T1048-R1048)*Y1048)*U1048+(R1048*Y1048),(T1048*Y1048))</f>
        <v>0</v>
      </c>
      <c r="AC1048" s="37" t="b">
        <v>1</v>
      </c>
      <c r="AD1048" s="37" t="s">
        <v>38</v>
      </c>
      <c r="AE1048" s="37" t="s">
        <v>38</v>
      </c>
      <c r="AF1048" s="37" t="str">
        <f t="array" ref="AF1048">INDEX('Deal Info'!D:D, MATCH(A1048,'Deal Info'!A:A, 0))</f>
        <v>DoEV</v>
      </c>
      <c r="AG1048" s="38" t="str">
        <f t="array" ref="AG1048">INDEX('Deal Info'!G:G, MATCH(A1048,'Deal Info'!A:A, 0))</f>
        <v>None</v>
      </c>
    </row>
    <row r="1049" spans="1:33" ht="14.25" hidden="1" x14ac:dyDescent="0.2">
      <c r="A1049" s="18" t="str">
        <f t="array" ref="A1049">IF(G1049='Room Info'!$B$1, INDEX('Room Info'!$A$2:$A2446, MATCH(B1049,'Room Info'!$B$2:$B2446, 0)),IF(G1049='Room Info'!$C$1, INDEX('Room Info'!$A$2:$A2446, MATCH(B1049,'Room Info'!$C$2:$C2446, 0)),IF(G1049='Room Info'!$D$1, INDEX('Room Info'!$A$2:$A2446, MATCH(B1049,'Room Info'!$D$2:$D2446, 0)),IF(G1049='Room Info'!$E$1, INDEX('Room Info'!$A$2:$A2446, MATCH(B1049,'Room Info'!$E$2:$E2446, 0)),IF(G1049='Room Info'!$F$1, INDEX('Room Info'!$A$2:$A2446, MATCH(B1049,'Room Info'!$F$2:$F2446, 0)),IF(G1049='Room Info'!$H$1, INDEX('Room Info'!$A$2:$A2446, MATCH(B1049,'Room Info'!$H$2:$H2446, 0)),IF(G1049='Room Info'!$G$1, INDEX('Room Info'!$A$2:$A2446, MATCH(B1049,'Room Info'!$G$2:$G2446, 0)))))))))</f>
        <v>OneTaper</v>
      </c>
      <c r="B1049" s="45" t="s">
        <v>189</v>
      </c>
      <c r="C1049" s="46">
        <v>44896</v>
      </c>
      <c r="D1049" s="46">
        <v>44921</v>
      </c>
      <c r="E1049" s="47">
        <v>44896</v>
      </c>
      <c r="F1049" s="48" t="s">
        <v>41</v>
      </c>
      <c r="G1049" s="45" t="s">
        <v>53</v>
      </c>
      <c r="H1049" s="49" t="s">
        <v>55</v>
      </c>
      <c r="I1049" s="49" t="s">
        <v>37</v>
      </c>
      <c r="J1049" s="50">
        <v>10</v>
      </c>
      <c r="K1049" s="51">
        <v>14</v>
      </c>
      <c r="L1049" s="52">
        <v>0.64</v>
      </c>
      <c r="M1049" s="53">
        <v>5</v>
      </c>
      <c r="N1049" s="28">
        <f>K1049*J1049</f>
        <v>140</v>
      </c>
      <c r="O1049" s="65"/>
      <c r="P1049" s="29">
        <v>0</v>
      </c>
      <c r="Q1049" s="55"/>
      <c r="R1049" s="31">
        <f>M1049+Q1049</f>
        <v>5</v>
      </c>
      <c r="S1049" s="66"/>
      <c r="T1049" s="32">
        <f>R1049+S1049+IF(F1049="Without EV deal",L1049,0)</f>
        <v>5.64</v>
      </c>
      <c r="U1049" s="57">
        <v>1</v>
      </c>
      <c r="V1049" s="58"/>
      <c r="W1049" s="58"/>
      <c r="X1049" s="78">
        <v>0.17</v>
      </c>
      <c r="Y1049" s="30">
        <f>IF(AG1049="None",0,IF(AG1049="Fix5",0.05, IF(AG1049="Fix6.25",0.0625,IF(AG1049="Fix3.75",0.0375,IF(AG1049="Fix10",0.1,IF(AG1049="Fix3",0.03,0))))))</f>
        <v>0</v>
      </c>
      <c r="Z1049" s="35">
        <f>T1049-AA1049-AB1049</f>
        <v>4.6399999999999997</v>
      </c>
      <c r="AA1049" s="60">
        <v>1</v>
      </c>
      <c r="AB1049" s="36">
        <f>IF(AD1049="EUR",((T1049-R1049)*Y1049)*U1049+(R1049*Y1049),(T1049*Y1049))</f>
        <v>0</v>
      </c>
      <c r="AC1049" s="37" t="b">
        <v>1</v>
      </c>
      <c r="AD1049" s="37" t="s">
        <v>38</v>
      </c>
      <c r="AE1049" s="37" t="s">
        <v>38</v>
      </c>
      <c r="AF1049" s="37" t="str">
        <f t="array" ref="AF1049">INDEX('Deal Info'!D:D, MATCH(A1049,'Deal Info'!A:A, 0))</f>
        <v>DoEV</v>
      </c>
      <c r="AG1049" s="38" t="str">
        <f t="array" ref="AG1049">INDEX('Deal Info'!G:G, MATCH(A1049,'Deal Info'!A:A, 0))</f>
        <v>None</v>
      </c>
    </row>
    <row r="1050" spans="1:33" ht="14.25" hidden="1" x14ac:dyDescent="0.2">
      <c r="A1050" s="18" t="str">
        <f t="array" ref="A1050">IF(G1050='Room Info'!$B$1, INDEX('Room Info'!$A$2:$A2446, MATCH(B1050,'Room Info'!$B$2:$B2446, 0)),IF(G1050='Room Info'!$C$1, INDEX('Room Info'!$A$2:$A2446, MATCH(B1050,'Room Info'!$C$2:$C2446, 0)),IF(G1050='Room Info'!$D$1, INDEX('Room Info'!$A$2:$A2446, MATCH(B1050,'Room Info'!$D$2:$D2446, 0)),IF(G1050='Room Info'!$E$1, INDEX('Room Info'!$A$2:$A2446, MATCH(B1050,'Room Info'!$E$2:$E2446, 0)),IF(G1050='Room Info'!$F$1, INDEX('Room Info'!$A$2:$A2446, MATCH(B1050,'Room Info'!$F$2:$F2446, 0)),IF(G1050='Room Info'!$H$1, INDEX('Room Info'!$A$2:$A2446, MATCH(B1050,'Room Info'!$H$2:$H2446, 0)),IF(G1050='Room Info'!$G$1, INDEX('Room Info'!$A$2:$A2446, MATCH(B1050,'Room Info'!$G$2:$G2446, 0)))))))))</f>
        <v>OneTaper</v>
      </c>
      <c r="B1050" s="45" t="s">
        <v>189</v>
      </c>
      <c r="C1050" s="46">
        <v>44896</v>
      </c>
      <c r="D1050" s="46">
        <v>44921</v>
      </c>
      <c r="E1050" s="47">
        <v>44896</v>
      </c>
      <c r="F1050" s="48" t="s">
        <v>41</v>
      </c>
      <c r="G1050" s="45" t="s">
        <v>53</v>
      </c>
      <c r="H1050" s="49" t="s">
        <v>56</v>
      </c>
      <c r="I1050" s="49" t="s">
        <v>37</v>
      </c>
      <c r="J1050" s="50">
        <v>20</v>
      </c>
      <c r="K1050" s="51">
        <v>13</v>
      </c>
      <c r="L1050" s="52">
        <v>1.2</v>
      </c>
      <c r="M1050" s="53">
        <v>9</v>
      </c>
      <c r="N1050" s="28">
        <f>K1050*J1050</f>
        <v>260</v>
      </c>
      <c r="O1050" s="65"/>
      <c r="P1050" s="29">
        <v>0</v>
      </c>
      <c r="Q1050" s="55"/>
      <c r="R1050" s="31">
        <f>M1050+Q1050</f>
        <v>9</v>
      </c>
      <c r="S1050" s="66"/>
      <c r="T1050" s="32">
        <f>R1050+S1050+IF(F1050="Without EV deal",L1050,0)</f>
        <v>10.199999999999999</v>
      </c>
      <c r="U1050" s="57">
        <v>1</v>
      </c>
      <c r="V1050" s="58"/>
      <c r="W1050" s="58"/>
      <c r="X1050" s="78">
        <v>0.17</v>
      </c>
      <c r="Y1050" s="30">
        <f>IF(AG1050="None",0,IF(AG1050="Fix5",0.05, IF(AG1050="Fix6.25",0.0625,IF(AG1050="Fix3.75",0.0375,IF(AG1050="Fix10",0.1,IF(AG1050="Fix3",0.03,0))))))</f>
        <v>0</v>
      </c>
      <c r="Z1050" s="35">
        <f>T1050-AA1050-AB1050</f>
        <v>8.1999999999999993</v>
      </c>
      <c r="AA1050" s="60">
        <v>2</v>
      </c>
      <c r="AB1050" s="36">
        <f>IF(AD1050="EUR",((T1050-R1050)*Y1050)*U1050+(R1050*Y1050),(T1050*Y1050))</f>
        <v>0</v>
      </c>
      <c r="AC1050" s="37" t="b">
        <v>1</v>
      </c>
      <c r="AD1050" s="37" t="s">
        <v>38</v>
      </c>
      <c r="AE1050" s="37" t="s">
        <v>38</v>
      </c>
      <c r="AF1050" s="37" t="str">
        <f t="array" ref="AF1050">INDEX('Deal Info'!D:D, MATCH(A1050,'Deal Info'!A:A, 0))</f>
        <v>DoEV</v>
      </c>
      <c r="AG1050" s="38" t="str">
        <f t="array" ref="AG1050">INDEX('Deal Info'!G:G, MATCH(A1050,'Deal Info'!A:A, 0))</f>
        <v>None</v>
      </c>
    </row>
    <row r="1051" spans="1:33" ht="14.25" hidden="1" x14ac:dyDescent="0.2">
      <c r="A1051" s="18" t="str">
        <f t="array" ref="A1051">IF(G1051='Room Info'!$B$1, INDEX('Room Info'!$A$2:$A2446, MATCH(B1051,'Room Info'!$B$2:$B2446, 0)),IF(G1051='Room Info'!$C$1, INDEX('Room Info'!$A$2:$A2446, MATCH(B1051,'Room Info'!$C$2:$C2446, 0)),IF(G1051='Room Info'!$D$1, INDEX('Room Info'!$A$2:$A2446, MATCH(B1051,'Room Info'!$D$2:$D2446, 0)),IF(G1051='Room Info'!$E$1, INDEX('Room Info'!$A$2:$A2446, MATCH(B1051,'Room Info'!$E$2:$E2446, 0)),IF(G1051='Room Info'!$F$1, INDEX('Room Info'!$A$2:$A2446, MATCH(B1051,'Room Info'!$F$2:$F2446, 0)),IF(G1051='Room Info'!$H$1, INDEX('Room Info'!$A$2:$A2446, MATCH(B1051,'Room Info'!$H$2:$H2446, 0)),IF(G1051='Room Info'!$G$1, INDEX('Room Info'!$A$2:$A2446, MATCH(B1051,'Room Info'!$G$2:$G2446, 0)))))))))</f>
        <v>OneTaper</v>
      </c>
      <c r="B1051" s="45" t="s">
        <v>189</v>
      </c>
      <c r="C1051" s="46">
        <v>44896</v>
      </c>
      <c r="D1051" s="46">
        <v>44921</v>
      </c>
      <c r="E1051" s="47">
        <v>44896</v>
      </c>
      <c r="F1051" s="48" t="s">
        <v>41</v>
      </c>
      <c r="G1051" s="45" t="s">
        <v>53</v>
      </c>
      <c r="H1051" s="49" t="s">
        <v>57</v>
      </c>
      <c r="I1051" s="49" t="s">
        <v>37</v>
      </c>
      <c r="J1051" s="50">
        <v>50</v>
      </c>
      <c r="K1051" s="51">
        <v>1053</v>
      </c>
      <c r="L1051" s="52">
        <v>242.01</v>
      </c>
      <c r="M1051" s="53">
        <v>1843</v>
      </c>
      <c r="N1051" s="28">
        <f>K1051*J1051</f>
        <v>52650</v>
      </c>
      <c r="O1051" s="65"/>
      <c r="P1051" s="29">
        <v>0</v>
      </c>
      <c r="Q1051" s="55"/>
      <c r="R1051" s="31">
        <f>M1051+Q1051</f>
        <v>1843</v>
      </c>
      <c r="S1051" s="66"/>
      <c r="T1051" s="32">
        <f>R1051+S1051+IF(F1051="Without EV deal",L1051,0)</f>
        <v>2085.0100000000002</v>
      </c>
      <c r="U1051" s="57">
        <v>1</v>
      </c>
      <c r="V1051" s="58"/>
      <c r="W1051" s="58"/>
      <c r="X1051" s="78">
        <v>0.17</v>
      </c>
      <c r="Y1051" s="30">
        <f>IF(AG1051="None",0,IF(AG1051="Fix5",0.05, IF(AG1051="Fix6.25",0.0625,IF(AG1051="Fix3.75",0.0375,IF(AG1051="Fix10",0.1,IF(AG1051="Fix3",0.03,0))))))</f>
        <v>0</v>
      </c>
      <c r="Z1051" s="35">
        <f>T1051-AA1051-AB1051</f>
        <v>1731.0100000000002</v>
      </c>
      <c r="AA1051" s="60">
        <v>354</v>
      </c>
      <c r="AB1051" s="36">
        <f>IF(AD1051="EUR",((T1051-R1051)*Y1051)*U1051+(R1051*Y1051),(T1051*Y1051))</f>
        <v>0</v>
      </c>
      <c r="AC1051" s="37" t="b">
        <v>1</v>
      </c>
      <c r="AD1051" s="37" t="s">
        <v>38</v>
      </c>
      <c r="AE1051" s="37" t="s">
        <v>38</v>
      </c>
      <c r="AF1051" s="37" t="str">
        <f t="array" ref="AF1051">INDEX('Deal Info'!D:D, MATCH(A1051,'Deal Info'!A:A, 0))</f>
        <v>DoEV</v>
      </c>
      <c r="AG1051" s="38" t="str">
        <f t="array" ref="AG1051">INDEX('Deal Info'!G:G, MATCH(A1051,'Deal Info'!A:A, 0))</f>
        <v>None</v>
      </c>
    </row>
    <row r="1052" spans="1:33" ht="14.25" hidden="1" x14ac:dyDescent="0.2">
      <c r="A1052" s="18" t="str">
        <f t="array" ref="A1052">IF(G1052='Room Info'!$B$1, INDEX('Room Info'!$A$2:$A2446, MATCH(B1052,'Room Info'!$B$2:$B2446, 0)),IF(G1052='Room Info'!$C$1, INDEX('Room Info'!$A$2:$A2446, MATCH(B1052,'Room Info'!$C$2:$C2446, 0)),IF(G1052='Room Info'!$D$1, INDEX('Room Info'!$A$2:$A2446, MATCH(B1052,'Room Info'!$D$2:$D2446, 0)),IF(G1052='Room Info'!$E$1, INDEX('Room Info'!$A$2:$A2446, MATCH(B1052,'Room Info'!$E$2:$E2446, 0)),IF(G1052='Room Info'!$F$1, INDEX('Room Info'!$A$2:$A2446, MATCH(B1052,'Room Info'!$F$2:$F2446, 0)),IF(G1052='Room Info'!$H$1, INDEX('Room Info'!$A$2:$A2446, MATCH(B1052,'Room Info'!$H$2:$H2446, 0)),IF(G1052='Room Info'!$G$1, INDEX('Room Info'!$A$2:$A2446, MATCH(B1052,'Room Info'!$G$2:$G2446, 0)))))))))</f>
        <v>OneTaper</v>
      </c>
      <c r="B1052" s="45" t="s">
        <v>189</v>
      </c>
      <c r="C1052" s="46">
        <v>44896</v>
      </c>
      <c r="D1052" s="46">
        <v>44921</v>
      </c>
      <c r="E1052" s="47">
        <v>44896</v>
      </c>
      <c r="F1052" s="48" t="s">
        <v>41</v>
      </c>
      <c r="G1052" s="45" t="s">
        <v>53</v>
      </c>
      <c r="H1052" s="49" t="s">
        <v>59</v>
      </c>
      <c r="I1052" s="49" t="s">
        <v>37</v>
      </c>
      <c r="J1052" s="50">
        <v>100</v>
      </c>
      <c r="K1052" s="51">
        <v>774</v>
      </c>
      <c r="L1052" s="52">
        <v>355.78</v>
      </c>
      <c r="M1052" s="53">
        <v>2709</v>
      </c>
      <c r="N1052" s="28">
        <f>K1052*J1052</f>
        <v>77400</v>
      </c>
      <c r="O1052" s="65"/>
      <c r="P1052" s="29">
        <v>0</v>
      </c>
      <c r="Q1052" s="55"/>
      <c r="R1052" s="31">
        <f>M1052+Q1052</f>
        <v>2709</v>
      </c>
      <c r="S1052" s="66"/>
      <c r="T1052" s="32">
        <f>R1052+S1052+IF(F1052="Without EV deal",L1052,0)</f>
        <v>3064.7799999999997</v>
      </c>
      <c r="U1052" s="57">
        <v>1</v>
      </c>
      <c r="V1052" s="58"/>
      <c r="W1052" s="58"/>
      <c r="X1052" s="78">
        <v>0.17</v>
      </c>
      <c r="Y1052" s="30">
        <f>IF(AG1052="None",0,IF(AG1052="Fix5",0.05, IF(AG1052="Fix6.25",0.0625,IF(AG1052="Fix3.75",0.0375,IF(AG1052="Fix10",0.1,IF(AG1052="Fix3",0.03,0))))))</f>
        <v>0</v>
      </c>
      <c r="Z1052" s="35">
        <f>T1052-AA1052-AB1052</f>
        <v>2543.7799999999997</v>
      </c>
      <c r="AA1052" s="60">
        <v>521</v>
      </c>
      <c r="AB1052" s="36">
        <f>IF(AD1052="EUR",((T1052-R1052)*Y1052)*U1052+(R1052*Y1052),(T1052*Y1052))</f>
        <v>0</v>
      </c>
      <c r="AC1052" s="37" t="b">
        <v>1</v>
      </c>
      <c r="AD1052" s="37" t="s">
        <v>38</v>
      </c>
      <c r="AE1052" s="37" t="s">
        <v>38</v>
      </c>
      <c r="AF1052" s="37" t="str">
        <f t="array" ref="AF1052">INDEX('Deal Info'!D:D, MATCH(A1052,'Deal Info'!A:A, 0))</f>
        <v>DoEV</v>
      </c>
      <c r="AG1052" s="38" t="str">
        <f t="array" ref="AG1052">INDEX('Deal Info'!G:G, MATCH(A1052,'Deal Info'!A:A, 0))</f>
        <v>None</v>
      </c>
    </row>
    <row r="1053" spans="1:33" ht="14.25" hidden="1" x14ac:dyDescent="0.2">
      <c r="A1053" s="18" t="str">
        <f t="array" ref="A1053">IF(G1053='Room Info'!$B$1, INDEX('Room Info'!$A$2:$A2446, MATCH(B1053,'Room Info'!$B$2:$B2446, 0)),IF(G1053='Room Info'!$C$1, INDEX('Room Info'!$A$2:$A2446, MATCH(B1053,'Room Info'!$C$2:$C2446, 0)),IF(G1053='Room Info'!$D$1, INDEX('Room Info'!$A$2:$A2446, MATCH(B1053,'Room Info'!$D$2:$D2446, 0)),IF(G1053='Room Info'!$E$1, INDEX('Room Info'!$A$2:$A2446, MATCH(B1053,'Room Info'!$E$2:$E2446, 0)),IF(G1053='Room Info'!$F$1, INDEX('Room Info'!$A$2:$A2446, MATCH(B1053,'Room Info'!$F$2:$F2446, 0)),IF(G1053='Room Info'!$H$1, INDEX('Room Info'!$A$2:$A2446, MATCH(B1053,'Room Info'!$H$2:$H2446, 0)),IF(G1053='Room Info'!$G$1, INDEX('Room Info'!$A$2:$A2446, MATCH(B1053,'Room Info'!$G$2:$G2446, 0)))))))))</f>
        <v>OneTaper</v>
      </c>
      <c r="B1053" s="45" t="s">
        <v>189</v>
      </c>
      <c r="C1053" s="46">
        <v>44896</v>
      </c>
      <c r="D1053" s="46">
        <v>44921</v>
      </c>
      <c r="E1053" s="47">
        <v>44896</v>
      </c>
      <c r="F1053" s="48" t="s">
        <v>41</v>
      </c>
      <c r="G1053" s="45" t="s">
        <v>53</v>
      </c>
      <c r="H1053" s="49" t="s">
        <v>59</v>
      </c>
      <c r="I1053" s="49" t="s">
        <v>37</v>
      </c>
      <c r="J1053" s="50">
        <v>100</v>
      </c>
      <c r="K1053" s="51">
        <v>14</v>
      </c>
      <c r="L1053" s="52">
        <v>17</v>
      </c>
      <c r="M1053" s="53">
        <v>70</v>
      </c>
      <c r="N1053" s="28">
        <f>K1053*J1053</f>
        <v>1400</v>
      </c>
      <c r="O1053" s="65"/>
      <c r="P1053" s="29">
        <v>0</v>
      </c>
      <c r="Q1053" s="55"/>
      <c r="R1053" s="31">
        <f>M1053+Q1053</f>
        <v>70</v>
      </c>
      <c r="S1053" s="66"/>
      <c r="T1053" s="32">
        <f>R1053+S1053+IF(F1053="Without EV deal",L1053,0)</f>
        <v>87</v>
      </c>
      <c r="U1053" s="57">
        <v>1</v>
      </c>
      <c r="V1053" s="58"/>
      <c r="W1053" s="58"/>
      <c r="X1053" s="78">
        <v>0.17</v>
      </c>
      <c r="Y1053" s="30">
        <f>IF(AG1053="None",0,IF(AG1053="Fix5",0.05, IF(AG1053="Fix6.25",0.0625,IF(AG1053="Fix3.75",0.0375,IF(AG1053="Fix10",0.1,IF(AG1053="Fix3",0.03,0))))))</f>
        <v>0</v>
      </c>
      <c r="Z1053" s="35">
        <f>T1053-AA1053-AB1053</f>
        <v>72</v>
      </c>
      <c r="AA1053" s="60">
        <v>15</v>
      </c>
      <c r="AB1053" s="36">
        <f>IF(AD1053="EUR",((T1053-R1053)*Y1053)*U1053+(R1053*Y1053),(T1053*Y1053))</f>
        <v>0</v>
      </c>
      <c r="AC1053" s="37" t="b">
        <v>1</v>
      </c>
      <c r="AD1053" s="37" t="s">
        <v>38</v>
      </c>
      <c r="AE1053" s="37" t="s">
        <v>38</v>
      </c>
      <c r="AF1053" s="37" t="str">
        <f t="array" ref="AF1053">INDEX('Deal Info'!D:D, MATCH(A1053,'Deal Info'!A:A, 0))</f>
        <v>DoEV</v>
      </c>
      <c r="AG1053" s="38" t="str">
        <f t="array" ref="AG1053">INDEX('Deal Info'!G:G, MATCH(A1053,'Deal Info'!A:A, 0))</f>
        <v>None</v>
      </c>
    </row>
    <row r="1054" spans="1:33" ht="14.25" hidden="1" x14ac:dyDescent="0.2">
      <c r="A1054" s="18" t="str">
        <f t="array" ref="A1054">IF(G1054='Room Info'!$B$1, INDEX('Room Info'!$A$2:$A2446, MATCH(B1054,'Room Info'!$B$2:$B2446, 0)),IF(G1054='Room Info'!$C$1, INDEX('Room Info'!$A$2:$A2446, MATCH(B1054,'Room Info'!$C$2:$C2446, 0)),IF(G1054='Room Info'!$D$1, INDEX('Room Info'!$A$2:$A2446, MATCH(B1054,'Room Info'!$D$2:$D2446, 0)),IF(G1054='Room Info'!$E$1, INDEX('Room Info'!$A$2:$A2446, MATCH(B1054,'Room Info'!$E$2:$E2446, 0)),IF(G1054='Room Info'!$F$1, INDEX('Room Info'!$A$2:$A2446, MATCH(B1054,'Room Info'!$F$2:$F2446, 0)),IF(G1054='Room Info'!$H$1, INDEX('Room Info'!$A$2:$A2446, MATCH(B1054,'Room Info'!$H$2:$H2446, 0)),IF(G1054='Room Info'!$G$1, INDEX('Room Info'!$A$2:$A2446, MATCH(B1054,'Room Info'!$G$2:$G2446, 0)))))))))</f>
        <v>OneTaper</v>
      </c>
      <c r="B1054" s="45" t="s">
        <v>189</v>
      </c>
      <c r="C1054" s="46">
        <v>44922</v>
      </c>
      <c r="D1054" s="46">
        <v>44957</v>
      </c>
      <c r="E1054" s="47">
        <v>44927</v>
      </c>
      <c r="F1054" s="48" t="s">
        <v>41</v>
      </c>
      <c r="G1054" s="45" t="s">
        <v>53</v>
      </c>
      <c r="H1054" s="49" t="s">
        <v>54</v>
      </c>
      <c r="I1054" s="49" t="s">
        <v>37</v>
      </c>
      <c r="J1054" s="50">
        <v>5</v>
      </c>
      <c r="K1054" s="51">
        <v>18</v>
      </c>
      <c r="L1054" s="52">
        <v>3.95</v>
      </c>
      <c r="M1054" s="53">
        <v>3</v>
      </c>
      <c r="N1054" s="28">
        <f>K1054*J1054</f>
        <v>90</v>
      </c>
      <c r="O1054" s="54">
        <v>288</v>
      </c>
      <c r="P1054" s="29">
        <v>16</v>
      </c>
      <c r="Q1054" s="55"/>
      <c r="R1054" s="31">
        <f>M1054+Q1054</f>
        <v>3</v>
      </c>
      <c r="S1054" s="66"/>
      <c r="T1054" s="32">
        <f>R1054+S1054+IF(F1054="Without EV deal",L1054,0)</f>
        <v>6.95</v>
      </c>
      <c r="U1054" s="57">
        <v>1</v>
      </c>
      <c r="V1054" s="58"/>
      <c r="W1054" s="58"/>
      <c r="X1054" s="78">
        <v>0.12</v>
      </c>
      <c r="Y1054" s="30">
        <f>IF(AG1054="None",0,IF(AG1054="Fix5",0.05, IF(AG1054="Fix6.25",0.0625,IF(AG1054="Fix3.75",0.0375,IF(AG1054="Fix10",0.1,IF(AG1054="Fix3",0.03,0))))))</f>
        <v>0</v>
      </c>
      <c r="Z1054" s="35">
        <f>T1054-AA1054-AB1054</f>
        <v>5.95</v>
      </c>
      <c r="AA1054" s="60">
        <v>1</v>
      </c>
      <c r="AB1054" s="36">
        <f>IF(AD1054="EUR",((T1054-R1054)*Y1054)*U1054+(R1054*Y1054),(T1054*Y1054))</f>
        <v>0</v>
      </c>
      <c r="AC1054" s="37" t="b">
        <v>1</v>
      </c>
      <c r="AD1054" s="37" t="s">
        <v>38</v>
      </c>
      <c r="AE1054" s="37" t="s">
        <v>38</v>
      </c>
      <c r="AF1054" s="37" t="str">
        <f t="array" ref="AF1054">INDEX('Deal Info'!D:D, MATCH(A1054,'Deal Info'!A:A, 0))</f>
        <v>DoEV</v>
      </c>
      <c r="AG1054" s="38" t="str">
        <f t="array" ref="AG1054">INDEX('Deal Info'!G:G, MATCH(A1054,'Deal Info'!A:A, 0))</f>
        <v>None</v>
      </c>
    </row>
    <row r="1055" spans="1:33" ht="14.25" hidden="1" x14ac:dyDescent="0.2">
      <c r="A1055" s="18" t="str">
        <f t="array" ref="A1055">IF(G1055='Room Info'!$B$1, INDEX('Room Info'!$A$2:$A2446, MATCH(B1055,'Room Info'!$B$2:$B2446, 0)),IF(G1055='Room Info'!$C$1, INDEX('Room Info'!$A$2:$A2446, MATCH(B1055,'Room Info'!$C$2:$C2446, 0)),IF(G1055='Room Info'!$D$1, INDEX('Room Info'!$A$2:$A2446, MATCH(B1055,'Room Info'!$D$2:$D2446, 0)),IF(G1055='Room Info'!$E$1, INDEX('Room Info'!$A$2:$A2446, MATCH(B1055,'Room Info'!$E$2:$E2446, 0)),IF(G1055='Room Info'!$F$1, INDEX('Room Info'!$A$2:$A2446, MATCH(B1055,'Room Info'!$F$2:$F2446, 0)),IF(G1055='Room Info'!$H$1, INDEX('Room Info'!$A$2:$A2446, MATCH(B1055,'Room Info'!$H$2:$H2446, 0)),IF(G1055='Room Info'!$G$1, INDEX('Room Info'!$A$2:$A2446, MATCH(B1055,'Room Info'!$G$2:$G2446, 0)))))))))</f>
        <v>OneTaper</v>
      </c>
      <c r="B1055" s="45" t="s">
        <v>189</v>
      </c>
      <c r="C1055" s="77">
        <v>44922</v>
      </c>
      <c r="D1055" s="77">
        <v>44957</v>
      </c>
      <c r="E1055" s="47">
        <v>44927</v>
      </c>
      <c r="F1055" s="48" t="s">
        <v>41</v>
      </c>
      <c r="G1055" s="45" t="s">
        <v>53</v>
      </c>
      <c r="H1055" s="49" t="s">
        <v>55</v>
      </c>
      <c r="I1055" s="49" t="s">
        <v>37</v>
      </c>
      <c r="J1055" s="74">
        <v>10</v>
      </c>
      <c r="K1055" s="75">
        <v>4</v>
      </c>
      <c r="L1055" s="72">
        <v>1.76</v>
      </c>
      <c r="M1055" s="76">
        <v>1</v>
      </c>
      <c r="N1055" s="28">
        <f>K1055*J1055</f>
        <v>40</v>
      </c>
      <c r="O1055" s="45">
        <v>-336</v>
      </c>
      <c r="P1055" s="29">
        <v>-84</v>
      </c>
      <c r="Q1055" s="55"/>
      <c r="R1055" s="31">
        <f>M1055+Q1055</f>
        <v>1</v>
      </c>
      <c r="S1055" s="97"/>
      <c r="T1055" s="32">
        <f>R1055+S1055+IF(F1055="Without EV deal",L1055,0)</f>
        <v>2.76</v>
      </c>
      <c r="U1055" s="57">
        <v>1</v>
      </c>
      <c r="V1055" s="58"/>
      <c r="W1055" s="58"/>
      <c r="X1055" s="78">
        <v>0.12</v>
      </c>
      <c r="Y1055" s="30">
        <f>IF(AG1055="None",0,IF(AG1055="Fix5",0.05, IF(AG1055="Fix6.25",0.0625,IF(AG1055="Fix3.75",0.0375,IF(AG1055="Fix10",0.1,IF(AG1055="Fix3",0.03,0))))))</f>
        <v>0</v>
      </c>
      <c r="Z1055" s="35">
        <f>T1055-AA1055-AB1055</f>
        <v>2.76</v>
      </c>
      <c r="AA1055" s="60">
        <v>0</v>
      </c>
      <c r="AB1055" s="36">
        <f>IF(AD1055="EUR",((T1055-R1055)*Y1055)*U1055+(R1055*Y1055),(T1055*Y1055))</f>
        <v>0</v>
      </c>
      <c r="AC1055" s="37" t="b">
        <v>1</v>
      </c>
      <c r="AD1055" s="37" t="s">
        <v>38</v>
      </c>
      <c r="AE1055" s="37" t="s">
        <v>38</v>
      </c>
      <c r="AF1055" s="37" t="str">
        <f t="array" ref="AF1055">INDEX('Deal Info'!D:D, MATCH(A1055,'Deal Info'!A:A, 0))</f>
        <v>DoEV</v>
      </c>
      <c r="AG1055" s="38" t="str">
        <f t="array" ref="AG1055">INDEX('Deal Info'!G:G, MATCH(A1055,'Deal Info'!A:A, 0))</f>
        <v>None</v>
      </c>
    </row>
    <row r="1056" spans="1:33" ht="14.25" hidden="1" x14ac:dyDescent="0.2">
      <c r="A1056" s="18" t="str">
        <f t="array" ref="A1056">IF(G1056='Room Info'!$B$1, INDEX('Room Info'!$A$2:$A2446, MATCH(B1056,'Room Info'!$B$2:$B2446, 0)),IF(G1056='Room Info'!$C$1, INDEX('Room Info'!$A$2:$A2446, MATCH(B1056,'Room Info'!$C$2:$C2446, 0)),IF(G1056='Room Info'!$D$1, INDEX('Room Info'!$A$2:$A2446, MATCH(B1056,'Room Info'!$D$2:$D2446, 0)),IF(G1056='Room Info'!$E$1, INDEX('Room Info'!$A$2:$A2446, MATCH(B1056,'Room Info'!$E$2:$E2446, 0)),IF(G1056='Room Info'!$F$1, INDEX('Room Info'!$A$2:$A2446, MATCH(B1056,'Room Info'!$F$2:$F2446, 0)),IF(G1056='Room Info'!$H$1, INDEX('Room Info'!$A$2:$A2446, MATCH(B1056,'Room Info'!$H$2:$H2446, 0)),IF(G1056='Room Info'!$G$1, INDEX('Room Info'!$A$2:$A2446, MATCH(B1056,'Room Info'!$G$2:$G2446, 0)))))))))</f>
        <v>OneTaper</v>
      </c>
      <c r="B1056" s="45" t="s">
        <v>189</v>
      </c>
      <c r="C1056" s="77">
        <v>44922</v>
      </c>
      <c r="D1056" s="77">
        <v>44957</v>
      </c>
      <c r="E1056" s="47">
        <v>44927</v>
      </c>
      <c r="F1056" s="48" t="s">
        <v>41</v>
      </c>
      <c r="G1056" s="45" t="s">
        <v>53</v>
      </c>
      <c r="H1056" s="49" t="s">
        <v>56</v>
      </c>
      <c r="I1056" s="49" t="s">
        <v>37</v>
      </c>
      <c r="J1056" s="74">
        <v>20</v>
      </c>
      <c r="K1056" s="75">
        <v>19</v>
      </c>
      <c r="L1056" s="72">
        <v>16.690000000000001</v>
      </c>
      <c r="M1056" s="76">
        <v>13</v>
      </c>
      <c r="N1056" s="28">
        <f>K1056*J1056</f>
        <v>380</v>
      </c>
      <c r="O1056" s="45">
        <v>-722</v>
      </c>
      <c r="P1056" s="29">
        <v>-38</v>
      </c>
      <c r="Q1056" s="55"/>
      <c r="R1056" s="31">
        <f>M1056+Q1056</f>
        <v>13</v>
      </c>
      <c r="S1056" s="97"/>
      <c r="T1056" s="32">
        <f>R1056+S1056+IF(F1056="Without EV deal",L1056,0)</f>
        <v>29.69</v>
      </c>
      <c r="U1056" s="57">
        <v>1</v>
      </c>
      <c r="V1056" s="58"/>
      <c r="W1056" s="58"/>
      <c r="X1056" s="78">
        <v>0.12</v>
      </c>
      <c r="Y1056" s="30">
        <f>IF(AG1056="None",0,IF(AG1056="Fix5",0.05, IF(AG1056="Fix6.25",0.0625,IF(AG1056="Fix3.75",0.0375,IF(AG1056="Fix10",0.1,IF(AG1056="Fix3",0.03,0))))))</f>
        <v>0</v>
      </c>
      <c r="Z1056" s="35">
        <f>T1056-AA1056-AB1056</f>
        <v>25.69</v>
      </c>
      <c r="AA1056" s="60">
        <v>4</v>
      </c>
      <c r="AB1056" s="36">
        <f>IF(AD1056="EUR",((T1056-R1056)*Y1056)*U1056+(R1056*Y1056),(T1056*Y1056))</f>
        <v>0</v>
      </c>
      <c r="AC1056" s="37" t="b">
        <v>1</v>
      </c>
      <c r="AD1056" s="37" t="s">
        <v>38</v>
      </c>
      <c r="AE1056" s="37" t="s">
        <v>38</v>
      </c>
      <c r="AF1056" s="37" t="str">
        <f t="array" ref="AF1056">INDEX('Deal Info'!D:D, MATCH(A1056,'Deal Info'!A:A, 0))</f>
        <v>DoEV</v>
      </c>
      <c r="AG1056" s="38" t="str">
        <f t="array" ref="AG1056">INDEX('Deal Info'!G:G, MATCH(A1056,'Deal Info'!A:A, 0))</f>
        <v>None</v>
      </c>
    </row>
    <row r="1057" spans="1:33" ht="14.25" hidden="1" x14ac:dyDescent="0.2">
      <c r="A1057" s="18" t="str">
        <f t="array" ref="A1057">IF(G1057='Room Info'!$B$1, INDEX('Room Info'!$A$2:$A2446, MATCH(B1057,'Room Info'!$B$2:$B2446, 0)),IF(G1057='Room Info'!$C$1, INDEX('Room Info'!$A$2:$A2446, MATCH(B1057,'Room Info'!$C$2:$C2446, 0)),IF(G1057='Room Info'!$D$1, INDEX('Room Info'!$A$2:$A2446, MATCH(B1057,'Room Info'!$D$2:$D2446, 0)),IF(G1057='Room Info'!$E$1, INDEX('Room Info'!$A$2:$A2446, MATCH(B1057,'Room Info'!$E$2:$E2446, 0)),IF(G1057='Room Info'!$F$1, INDEX('Room Info'!$A$2:$A2446, MATCH(B1057,'Room Info'!$F$2:$F2446, 0)),IF(G1057='Room Info'!$H$1, INDEX('Room Info'!$A$2:$A2446, MATCH(B1057,'Room Info'!$H$2:$H2446, 0)),IF(G1057='Room Info'!$G$1, INDEX('Room Info'!$A$2:$A2446, MATCH(B1057,'Room Info'!$G$2:$G2446, 0)))))))))</f>
        <v>OneTaper</v>
      </c>
      <c r="B1057" s="45" t="s">
        <v>189</v>
      </c>
      <c r="C1057" s="46">
        <v>44922</v>
      </c>
      <c r="D1057" s="46">
        <v>44957</v>
      </c>
      <c r="E1057" s="47">
        <v>44927</v>
      </c>
      <c r="F1057" s="48" t="s">
        <v>41</v>
      </c>
      <c r="G1057" s="45" t="s">
        <v>53</v>
      </c>
      <c r="H1057" s="49" t="s">
        <v>57</v>
      </c>
      <c r="I1057" s="49" t="s">
        <v>37</v>
      </c>
      <c r="J1057" s="50">
        <v>50</v>
      </c>
      <c r="K1057" s="51">
        <v>1636</v>
      </c>
      <c r="L1057" s="52">
        <v>3593.43</v>
      </c>
      <c r="M1057" s="53">
        <v>2863</v>
      </c>
      <c r="N1057" s="28">
        <f>K1057*J1057</f>
        <v>81800</v>
      </c>
      <c r="O1057" s="54">
        <v>68712</v>
      </c>
      <c r="P1057" s="29">
        <v>42</v>
      </c>
      <c r="Q1057" s="55"/>
      <c r="R1057" s="31">
        <f>M1057+Q1057</f>
        <v>2863</v>
      </c>
      <c r="S1057" s="66"/>
      <c r="T1057" s="32">
        <f>R1057+S1057+IF(F1057="Without EV deal",L1057,0)</f>
        <v>6456.43</v>
      </c>
      <c r="U1057" s="57">
        <v>1</v>
      </c>
      <c r="V1057" s="58"/>
      <c r="W1057" s="58"/>
      <c r="X1057" s="78">
        <v>0.12</v>
      </c>
      <c r="Y1057" s="30">
        <f>IF(AG1057="None",0,IF(AG1057="Fix5",0.05, IF(AG1057="Fix6.25",0.0625,IF(AG1057="Fix3.75",0.0375,IF(AG1057="Fix10",0.1,IF(AG1057="Fix3",0.03,0))))))</f>
        <v>0</v>
      </c>
      <c r="Z1057" s="35">
        <f>T1057-AA1057-AB1057</f>
        <v>5681.43</v>
      </c>
      <c r="AA1057" s="60">
        <v>775</v>
      </c>
      <c r="AB1057" s="36">
        <f>IF(AD1057="EUR",((T1057-R1057)*Y1057)*U1057+(R1057*Y1057),(T1057*Y1057))</f>
        <v>0</v>
      </c>
      <c r="AC1057" s="37" t="b">
        <v>1</v>
      </c>
      <c r="AD1057" s="37" t="s">
        <v>38</v>
      </c>
      <c r="AE1057" s="37" t="s">
        <v>38</v>
      </c>
      <c r="AF1057" s="37" t="str">
        <f t="array" ref="AF1057">INDEX('Deal Info'!D:D, MATCH(A1057,'Deal Info'!A:A, 0))</f>
        <v>DoEV</v>
      </c>
      <c r="AG1057" s="38" t="str">
        <f t="array" ref="AG1057">INDEX('Deal Info'!G:G, MATCH(A1057,'Deal Info'!A:A, 0))</f>
        <v>None</v>
      </c>
    </row>
    <row r="1058" spans="1:33" ht="14.25" hidden="1" x14ac:dyDescent="0.2">
      <c r="A1058" s="18" t="str">
        <f t="array" ref="A1058">IF(G1058='Room Info'!$B$1, INDEX('Room Info'!$A$2:$A2446, MATCH(B1058,'Room Info'!$B$2:$B2446, 0)),IF(G1058='Room Info'!$C$1, INDEX('Room Info'!$A$2:$A2446, MATCH(B1058,'Room Info'!$C$2:$C2446, 0)),IF(G1058='Room Info'!$D$1, INDEX('Room Info'!$A$2:$A2446, MATCH(B1058,'Room Info'!$D$2:$D2446, 0)),IF(G1058='Room Info'!$E$1, INDEX('Room Info'!$A$2:$A2446, MATCH(B1058,'Room Info'!$E$2:$E2446, 0)),IF(G1058='Room Info'!$F$1, INDEX('Room Info'!$A$2:$A2446, MATCH(B1058,'Room Info'!$F$2:$F2446, 0)),IF(G1058='Room Info'!$H$1, INDEX('Room Info'!$A$2:$A2446, MATCH(B1058,'Room Info'!$H$2:$H2446, 0)),IF(G1058='Room Info'!$G$1, INDEX('Room Info'!$A$2:$A2446, MATCH(B1058,'Room Info'!$G$2:$G2446, 0)))))))))</f>
        <v>OneTaper</v>
      </c>
      <c r="B1058" s="45" t="s">
        <v>189</v>
      </c>
      <c r="C1058" s="77">
        <v>44922</v>
      </c>
      <c r="D1058" s="77">
        <v>44957</v>
      </c>
      <c r="E1058" s="47">
        <v>44927</v>
      </c>
      <c r="F1058" s="48" t="s">
        <v>41</v>
      </c>
      <c r="G1058" s="45" t="s">
        <v>53</v>
      </c>
      <c r="H1058" s="49" t="s">
        <v>59</v>
      </c>
      <c r="I1058" s="49" t="s">
        <v>37</v>
      </c>
      <c r="J1058" s="74">
        <v>100</v>
      </c>
      <c r="K1058" s="75">
        <v>212</v>
      </c>
      <c r="L1058" s="72">
        <v>931.3</v>
      </c>
      <c r="M1058" s="76">
        <v>742</v>
      </c>
      <c r="N1058" s="28">
        <f>K1058*J1058</f>
        <v>21200</v>
      </c>
      <c r="O1058" s="45">
        <v>8268</v>
      </c>
      <c r="P1058" s="29">
        <v>39</v>
      </c>
      <c r="Q1058" s="55"/>
      <c r="R1058" s="31">
        <f>M1058+Q1058</f>
        <v>742</v>
      </c>
      <c r="S1058" s="97"/>
      <c r="T1058" s="32">
        <f>R1058+S1058+IF(F1058="Without EV deal",L1058,0)</f>
        <v>1673.3</v>
      </c>
      <c r="U1058" s="57">
        <v>1</v>
      </c>
      <c r="V1058" s="58"/>
      <c r="W1058" s="58"/>
      <c r="X1058" s="78">
        <v>0.12</v>
      </c>
      <c r="Y1058" s="30">
        <f>IF(AG1058="None",0,IF(AG1058="Fix5",0.05, IF(AG1058="Fix6.25",0.0625,IF(AG1058="Fix3.75",0.0375,IF(AG1058="Fix10",0.1,IF(AG1058="Fix3",0.03,0))))))</f>
        <v>0</v>
      </c>
      <c r="Z1058" s="35">
        <f>T1058-AA1058-AB1058</f>
        <v>1472.3</v>
      </c>
      <c r="AA1058" s="60">
        <v>201</v>
      </c>
      <c r="AB1058" s="36">
        <f>IF(AD1058="EUR",((T1058-R1058)*Y1058)*U1058+(R1058*Y1058),(T1058*Y1058))</f>
        <v>0</v>
      </c>
      <c r="AC1058" s="37" t="b">
        <v>1</v>
      </c>
      <c r="AD1058" s="37" t="s">
        <v>38</v>
      </c>
      <c r="AE1058" s="37" t="s">
        <v>38</v>
      </c>
      <c r="AF1058" s="37" t="str">
        <f t="array" ref="AF1058">INDEX('Deal Info'!D:D, MATCH(A1058,'Deal Info'!A:A, 0))</f>
        <v>DoEV</v>
      </c>
      <c r="AG1058" s="38" t="str">
        <f t="array" ref="AG1058">INDEX('Deal Info'!G:G, MATCH(A1058,'Deal Info'!A:A, 0))</f>
        <v>None</v>
      </c>
    </row>
    <row r="1059" spans="1:33" ht="14.25" hidden="1" x14ac:dyDescent="0.2">
      <c r="A1059" s="18" t="str">
        <f t="array" ref="A1059">IF(G1059='Room Info'!$B$1, INDEX('Room Info'!$A$2:$A2446, MATCH(B1059,'Room Info'!$B$2:$B2446, 0)),IF(G1059='Room Info'!$C$1, INDEX('Room Info'!$A$2:$A2446, MATCH(B1059,'Room Info'!$C$2:$C2446, 0)),IF(G1059='Room Info'!$D$1, INDEX('Room Info'!$A$2:$A2446, MATCH(B1059,'Room Info'!$D$2:$D2446, 0)),IF(G1059='Room Info'!$E$1, INDEX('Room Info'!$A$2:$A2446, MATCH(B1059,'Room Info'!$E$2:$E2446, 0)),IF(G1059='Room Info'!$F$1, INDEX('Room Info'!$A$2:$A2446, MATCH(B1059,'Room Info'!$F$2:$F2446, 0)),IF(G1059='Room Info'!$H$1, INDEX('Room Info'!$A$2:$A2446, MATCH(B1059,'Room Info'!$H$2:$H2446, 0)),IF(G1059='Room Info'!$G$1, INDEX('Room Info'!$A$2:$A2446, MATCH(B1059,'Room Info'!$G$2:$G2446, 0)))))))))</f>
        <v>OneTaper</v>
      </c>
      <c r="B1059" s="45" t="s">
        <v>189</v>
      </c>
      <c r="C1059" s="77">
        <v>44922</v>
      </c>
      <c r="D1059" s="77">
        <v>44957</v>
      </c>
      <c r="E1059" s="47">
        <v>44927</v>
      </c>
      <c r="F1059" s="48" t="s">
        <v>41</v>
      </c>
      <c r="G1059" s="45" t="s">
        <v>53</v>
      </c>
      <c r="H1059" s="49" t="s">
        <v>190</v>
      </c>
      <c r="I1059" s="49" t="s">
        <v>37</v>
      </c>
      <c r="J1059" s="74">
        <v>200</v>
      </c>
      <c r="K1059" s="75">
        <v>28</v>
      </c>
      <c r="L1059" s="72">
        <v>210.86</v>
      </c>
      <c r="M1059" s="76">
        <v>168</v>
      </c>
      <c r="N1059" s="28">
        <f>K1059*J1059</f>
        <v>5600</v>
      </c>
      <c r="O1059" s="45">
        <v>84</v>
      </c>
      <c r="P1059" s="29">
        <v>3</v>
      </c>
      <c r="Q1059" s="55"/>
      <c r="R1059" s="31">
        <f>M1059+Q1059</f>
        <v>168</v>
      </c>
      <c r="S1059" s="97"/>
      <c r="T1059" s="32">
        <f>R1059+S1059+IF(F1059="Without EV deal",L1059,0)</f>
        <v>378.86</v>
      </c>
      <c r="U1059" s="57">
        <v>1</v>
      </c>
      <c r="V1059" s="58"/>
      <c r="W1059" s="58"/>
      <c r="X1059" s="78">
        <v>0.12</v>
      </c>
      <c r="Y1059" s="30">
        <f>IF(AG1059="None",0,IF(AG1059="Fix5",0.05, IF(AG1059="Fix6.25",0.0625,IF(AG1059="Fix3.75",0.0375,IF(AG1059="Fix10",0.1,IF(AG1059="Fix3",0.03,0))))))</f>
        <v>0</v>
      </c>
      <c r="Z1059" s="35">
        <f>T1059-AA1059-AB1059</f>
        <v>333.86</v>
      </c>
      <c r="AA1059" s="60">
        <v>45</v>
      </c>
      <c r="AB1059" s="36">
        <f>IF(AD1059="EUR",((T1059-R1059)*Y1059)*U1059+(R1059*Y1059),(T1059*Y1059))</f>
        <v>0</v>
      </c>
      <c r="AC1059" s="37" t="b">
        <v>1</v>
      </c>
      <c r="AD1059" s="37" t="s">
        <v>38</v>
      </c>
      <c r="AE1059" s="37" t="s">
        <v>38</v>
      </c>
      <c r="AF1059" s="37" t="str">
        <f t="array" ref="AF1059">INDEX('Deal Info'!D:D, MATCH(A1059,'Deal Info'!A:A, 0))</f>
        <v>DoEV</v>
      </c>
      <c r="AG1059" s="38" t="str">
        <f t="array" ref="AG1059">INDEX('Deal Info'!G:G, MATCH(A1059,'Deal Info'!A:A, 0))</f>
        <v>None</v>
      </c>
    </row>
    <row r="1060" spans="1:33" ht="14.25" hidden="1" x14ac:dyDescent="0.2">
      <c r="A1060" s="18" t="str">
        <f t="array" ref="A1060">IF(G1060='Room Info'!$B$1, INDEX('Room Info'!$A$2:$A2446, MATCH(B1060,'Room Info'!$B$2:$B2446, 0)),IF(G1060='Room Info'!$C$1, INDEX('Room Info'!$A$2:$A2446, MATCH(B1060,'Room Info'!$C$2:$C2446, 0)),IF(G1060='Room Info'!$D$1, INDEX('Room Info'!$A$2:$A2446, MATCH(B1060,'Room Info'!$D$2:$D2446, 0)),IF(G1060='Room Info'!$E$1, INDEX('Room Info'!$A$2:$A2446, MATCH(B1060,'Room Info'!$E$2:$E2446, 0)),IF(G1060='Room Info'!$F$1, INDEX('Room Info'!$A$2:$A2446, MATCH(B1060,'Room Info'!$F$2:$F2446, 0)),IF(G1060='Room Info'!$H$1, INDEX('Room Info'!$A$2:$A2446, MATCH(B1060,'Room Info'!$H$2:$H2446, 0)),IF(G1060='Room Info'!$G$1, INDEX('Room Info'!$A$2:$A2446, MATCH(B1060,'Room Info'!$G$2:$G2446, 0)))))))))</f>
        <v>overplayKK</v>
      </c>
      <c r="B1060" s="45" t="s">
        <v>191</v>
      </c>
      <c r="C1060" s="77">
        <v>44064</v>
      </c>
      <c r="D1060" s="77">
        <v>44094</v>
      </c>
      <c r="E1060" s="47">
        <v>44075</v>
      </c>
      <c r="F1060" s="48" t="s">
        <v>34</v>
      </c>
      <c r="G1060" s="45" t="s">
        <v>35</v>
      </c>
      <c r="H1060" s="49" t="s">
        <v>86</v>
      </c>
      <c r="I1060" s="49" t="s">
        <v>37</v>
      </c>
      <c r="J1060" s="74">
        <v>5</v>
      </c>
      <c r="K1060" s="75">
        <v>243</v>
      </c>
      <c r="L1060" s="72">
        <v>80</v>
      </c>
      <c r="M1060" s="76">
        <v>16</v>
      </c>
      <c r="N1060" s="28">
        <f>K1060*J1060</f>
        <v>1215</v>
      </c>
      <c r="O1060" s="45">
        <v>23336</v>
      </c>
      <c r="P1060" s="29">
        <v>96.032921810000005</v>
      </c>
      <c r="Q1060" s="55"/>
      <c r="R1060" s="31">
        <f>M1060+Q1060</f>
        <v>16</v>
      </c>
      <c r="S1060" s="73">
        <v>127</v>
      </c>
      <c r="T1060" s="32">
        <f>R1060+S1060+IF(F1060="Without EV deal",L1060,0)</f>
        <v>143</v>
      </c>
      <c r="U1060" s="57">
        <v>1</v>
      </c>
      <c r="V1060" s="58"/>
      <c r="W1060" s="58"/>
      <c r="X1060" s="78">
        <v>0.25</v>
      </c>
      <c r="Y1060" s="30">
        <f>IF(AG1060="None",0,IF(AG1060="Fix5",0.05, IF(AG1060="Fix6.25",0.0625,IF(AG1060="Fix3.75",0.0375,IF(AG1060="Fix10",0.1,IF(AG1060="Fix3",0.03,0))))))</f>
        <v>0</v>
      </c>
      <c r="Z1060" s="35">
        <f>T1060-AA1060-AB1060</f>
        <v>107.25</v>
      </c>
      <c r="AA1060" s="29">
        <f>IF(AD1060="EUR",((T1060-R1060)*X1060)*U1060+(R1060*X1060),(T1060*X1060))</f>
        <v>35.75</v>
      </c>
      <c r="AB1060" s="36">
        <f>IF(AD1060="EUR",((T1060-R1060)*Y1060)*U1060+(R1060*Y1060),(T1060*Y1060))</f>
        <v>0</v>
      </c>
      <c r="AC1060" s="37" t="b">
        <v>1</v>
      </c>
      <c r="AD1060" s="37" t="s">
        <v>38</v>
      </c>
      <c r="AE1060" s="37" t="s">
        <v>38</v>
      </c>
      <c r="AF1060" s="37" t="str">
        <f t="array" ref="AF1060">INDEX('Deal Info'!D:D, MATCH(A1060,'Deal Info'!A:A, 0))</f>
        <v>SF</v>
      </c>
      <c r="AG1060" s="38" t="str">
        <f t="array" ref="AG1060">INDEX('Deal Info'!G:G, MATCH(A1060,'Deal Info'!A:A, 0))</f>
        <v>None</v>
      </c>
    </row>
    <row r="1061" spans="1:33" ht="14.25" hidden="1" x14ac:dyDescent="0.2">
      <c r="A1061" s="18" t="str">
        <f t="array" ref="A1061">IF(G1061='Room Info'!$B$1, INDEX('Room Info'!$A$2:$A2446, MATCH(B1061,'Room Info'!$B$2:$B2446, 0)),IF(G1061='Room Info'!$C$1, INDEX('Room Info'!$A$2:$A2446, MATCH(B1061,'Room Info'!$C$2:$C2446, 0)),IF(G1061='Room Info'!$D$1, INDEX('Room Info'!$A$2:$A2446, MATCH(B1061,'Room Info'!$D$2:$D2446, 0)),IF(G1061='Room Info'!$E$1, INDEX('Room Info'!$A$2:$A2446, MATCH(B1061,'Room Info'!$E$2:$E2446, 0)),IF(G1061='Room Info'!$F$1, INDEX('Room Info'!$A$2:$A2446, MATCH(B1061,'Room Info'!$F$2:$F2446, 0)),IF(G1061='Room Info'!$H$1, INDEX('Room Info'!$A$2:$A2446, MATCH(B1061,'Room Info'!$H$2:$H2446, 0)),IF(G1061='Room Info'!$G$1, INDEX('Room Info'!$A$2:$A2446, MATCH(B1061,'Room Info'!$G$2:$G2446, 0)))))))))</f>
        <v>overplayKK</v>
      </c>
      <c r="B1061" s="45" t="s">
        <v>191</v>
      </c>
      <c r="C1061" s="46">
        <v>44064</v>
      </c>
      <c r="D1061" s="46">
        <v>44094</v>
      </c>
      <c r="E1061" s="47">
        <v>44075</v>
      </c>
      <c r="F1061" s="48" t="s">
        <v>34</v>
      </c>
      <c r="G1061" s="54" t="s">
        <v>35</v>
      </c>
      <c r="H1061" s="49" t="s">
        <v>192</v>
      </c>
      <c r="I1061" s="49" t="s">
        <v>37</v>
      </c>
      <c r="J1061" s="50">
        <v>10</v>
      </c>
      <c r="K1061" s="51">
        <v>1420</v>
      </c>
      <c r="L1061" s="52">
        <v>750</v>
      </c>
      <c r="M1061" s="53">
        <v>223</v>
      </c>
      <c r="N1061" s="28">
        <f>K1061*J1061</f>
        <v>14200</v>
      </c>
      <c r="O1061" s="54">
        <v>78212</v>
      </c>
      <c r="P1061" s="29">
        <v>55.07887324</v>
      </c>
      <c r="Q1061" s="55"/>
      <c r="R1061" s="31">
        <f>M1061+Q1061</f>
        <v>223</v>
      </c>
      <c r="S1061" s="56">
        <v>263</v>
      </c>
      <c r="T1061" s="32">
        <f>R1061+S1061+IF(F1061="Without EV deal",L1061,0)</f>
        <v>486</v>
      </c>
      <c r="U1061" s="57">
        <v>1</v>
      </c>
      <c r="V1061" s="58"/>
      <c r="W1061" s="58"/>
      <c r="X1061" s="78">
        <v>0.25</v>
      </c>
      <c r="Y1061" s="30">
        <f>IF(AG1061="None",0,IF(AG1061="Fix5",0.05, IF(AG1061="Fix6.25",0.0625,IF(AG1061="Fix3.75",0.0375,IF(AG1061="Fix10",0.1,IF(AG1061="Fix3",0.03,0))))))</f>
        <v>0</v>
      </c>
      <c r="Z1061" s="35">
        <f>T1061-AA1061-AB1061</f>
        <v>364.5</v>
      </c>
      <c r="AA1061" s="29">
        <f>IF(AD1061="EUR",((T1061-R1061)*X1061)*U1061+(R1061*X1061),(T1061*X1061))</f>
        <v>121.5</v>
      </c>
      <c r="AB1061" s="36">
        <f>IF(AD1061="EUR",((T1061-R1061)*Y1061)*U1061+(R1061*Y1061),(T1061*Y1061))</f>
        <v>0</v>
      </c>
      <c r="AC1061" s="37" t="b">
        <v>1</v>
      </c>
      <c r="AD1061" s="37" t="s">
        <v>38</v>
      </c>
      <c r="AE1061" s="37" t="s">
        <v>38</v>
      </c>
      <c r="AF1061" s="37" t="str">
        <f t="array" ref="AF1061">INDEX('Deal Info'!D:D, MATCH(A1061,'Deal Info'!A:A, 0))</f>
        <v>SF</v>
      </c>
      <c r="AG1061" s="38" t="str">
        <f t="array" ref="AG1061">INDEX('Deal Info'!G:G, MATCH(A1061,'Deal Info'!A:A, 0))</f>
        <v>None</v>
      </c>
    </row>
    <row r="1062" spans="1:33" ht="14.25" hidden="1" x14ac:dyDescent="0.2">
      <c r="A1062" s="18" t="str">
        <f t="array" ref="A1062">IF(G1062='Room Info'!$B$1, INDEX('Room Info'!$A$2:$A2446, MATCH(B1062,'Room Info'!$B$2:$B2446, 0)),IF(G1062='Room Info'!$C$1, INDEX('Room Info'!$A$2:$A2446, MATCH(B1062,'Room Info'!$C$2:$C2446, 0)),IF(G1062='Room Info'!$D$1, INDEX('Room Info'!$A$2:$A2446, MATCH(B1062,'Room Info'!$D$2:$D2446, 0)),IF(G1062='Room Info'!$E$1, INDEX('Room Info'!$A$2:$A2446, MATCH(B1062,'Room Info'!$E$2:$E2446, 0)),IF(G1062='Room Info'!$F$1, INDEX('Room Info'!$A$2:$A2446, MATCH(B1062,'Room Info'!$F$2:$F2446, 0)),IF(G1062='Room Info'!$H$1, INDEX('Room Info'!$A$2:$A2446, MATCH(B1062,'Room Info'!$H$2:$H2446, 0)),IF(G1062='Room Info'!$G$1, INDEX('Room Info'!$A$2:$A2446, MATCH(B1062,'Room Info'!$G$2:$G2446, 0)))))))))</f>
        <v>overplayKK</v>
      </c>
      <c r="B1062" s="45" t="s">
        <v>191</v>
      </c>
      <c r="C1062" s="46">
        <v>44064</v>
      </c>
      <c r="D1062" s="46">
        <v>44094</v>
      </c>
      <c r="E1062" s="47">
        <v>44075</v>
      </c>
      <c r="F1062" s="48" t="s">
        <v>34</v>
      </c>
      <c r="G1062" s="54" t="s">
        <v>35</v>
      </c>
      <c r="H1062" s="49" t="s">
        <v>192</v>
      </c>
      <c r="I1062" s="49" t="s">
        <v>37</v>
      </c>
      <c r="J1062" s="50">
        <v>10</v>
      </c>
      <c r="K1062" s="51">
        <v>8</v>
      </c>
      <c r="L1062" s="52">
        <v>60</v>
      </c>
      <c r="M1062" s="62"/>
      <c r="N1062" s="28">
        <f>K1062*J1062</f>
        <v>80</v>
      </c>
      <c r="O1062" s="54">
        <v>1873</v>
      </c>
      <c r="P1062" s="29">
        <v>234.125</v>
      </c>
      <c r="Q1062" s="55"/>
      <c r="R1062" s="31">
        <f>M1062+Q1062</f>
        <v>0</v>
      </c>
      <c r="S1062" s="56">
        <v>28</v>
      </c>
      <c r="T1062" s="32">
        <f>R1062+S1062+IF(F1062="Without EV deal",L1062,0)</f>
        <v>28</v>
      </c>
      <c r="U1062" s="57">
        <v>1</v>
      </c>
      <c r="V1062" s="58"/>
      <c r="W1062" s="58"/>
      <c r="X1062" s="78">
        <v>0.25</v>
      </c>
      <c r="Y1062" s="30">
        <f>IF(AG1062="None",0,IF(AG1062="Fix5",0.05, IF(AG1062="Fix6.25",0.0625,IF(AG1062="Fix3.75",0.0375,IF(AG1062="Fix10",0.1,IF(AG1062="Fix3",0.03,0))))))</f>
        <v>0</v>
      </c>
      <c r="Z1062" s="35">
        <f>T1062-AA1062-AB1062</f>
        <v>21</v>
      </c>
      <c r="AA1062" s="29">
        <f>IF(AD1062="EUR",((T1062-R1062)*X1062)*U1062+(R1062*X1062),(T1062*X1062))</f>
        <v>7</v>
      </c>
      <c r="AB1062" s="36">
        <f>IF(AD1062="EUR",((T1062-R1062)*Y1062)*U1062+(R1062*Y1062),(T1062*Y1062))</f>
        <v>0</v>
      </c>
      <c r="AC1062" s="37" t="b">
        <v>1</v>
      </c>
      <c r="AD1062" s="37" t="s">
        <v>38</v>
      </c>
      <c r="AE1062" s="37" t="s">
        <v>38</v>
      </c>
      <c r="AF1062" s="37" t="str">
        <f t="array" ref="AF1062">INDEX('Deal Info'!D:D, MATCH(A1062,'Deal Info'!A:A, 0))</f>
        <v>SF</v>
      </c>
      <c r="AG1062" s="38" t="str">
        <f t="array" ref="AG1062">INDEX('Deal Info'!G:G, MATCH(A1062,'Deal Info'!A:A, 0))</f>
        <v>None</v>
      </c>
    </row>
    <row r="1063" spans="1:33" ht="14.25" hidden="1" x14ac:dyDescent="0.2">
      <c r="A1063" s="18" t="str">
        <f t="array" ref="A1063">IF(G1063='Room Info'!$B$1, INDEX('Room Info'!$A$2:$A2446, MATCH(B1063,'Room Info'!$B$2:$B2446, 0)),IF(G1063='Room Info'!$C$1, INDEX('Room Info'!$A$2:$A2446, MATCH(B1063,'Room Info'!$C$2:$C2446, 0)),IF(G1063='Room Info'!$D$1, INDEX('Room Info'!$A$2:$A2446, MATCH(B1063,'Room Info'!$D$2:$D2446, 0)),IF(G1063='Room Info'!$E$1, INDEX('Room Info'!$A$2:$A2446, MATCH(B1063,'Room Info'!$E$2:$E2446, 0)),IF(G1063='Room Info'!$F$1, INDEX('Room Info'!$A$2:$A2446, MATCH(B1063,'Room Info'!$F$2:$F2446, 0)),IF(G1063='Room Info'!$H$1, INDEX('Room Info'!$A$2:$A2446, MATCH(B1063,'Room Info'!$H$2:$H2446, 0)),IF(G1063='Room Info'!$G$1, INDEX('Room Info'!$A$2:$A2446, MATCH(B1063,'Room Info'!$G$2:$G2446, 0)))))))))</f>
        <v>overplayKK</v>
      </c>
      <c r="B1063" s="45" t="s">
        <v>191</v>
      </c>
      <c r="C1063" s="46">
        <v>44095</v>
      </c>
      <c r="D1063" s="46">
        <v>44124</v>
      </c>
      <c r="E1063" s="47">
        <v>44105</v>
      </c>
      <c r="F1063" s="48" t="s">
        <v>34</v>
      </c>
      <c r="G1063" s="54" t="s">
        <v>35</v>
      </c>
      <c r="H1063" s="49" t="s">
        <v>86</v>
      </c>
      <c r="I1063" s="49" t="s">
        <v>37</v>
      </c>
      <c r="J1063" s="50">
        <v>5</v>
      </c>
      <c r="K1063" s="51">
        <v>1854</v>
      </c>
      <c r="L1063" s="52">
        <v>405</v>
      </c>
      <c r="M1063" s="53">
        <v>33</v>
      </c>
      <c r="N1063" s="28">
        <f>K1063*J1063</f>
        <v>9270</v>
      </c>
      <c r="O1063" s="54">
        <v>126350</v>
      </c>
      <c r="P1063" s="29">
        <v>68.149946060000005</v>
      </c>
      <c r="Q1063" s="55"/>
      <c r="R1063" s="31">
        <f>M1063+Q1063</f>
        <v>33</v>
      </c>
      <c r="S1063" s="56">
        <v>463</v>
      </c>
      <c r="T1063" s="32">
        <f>R1063+S1063+IF(F1063="Without EV deal",L1063,0)</f>
        <v>496</v>
      </c>
      <c r="U1063" s="57">
        <v>1</v>
      </c>
      <c r="V1063" s="58"/>
      <c r="W1063" s="58"/>
      <c r="X1063" s="78">
        <v>0.25</v>
      </c>
      <c r="Y1063" s="30">
        <f>IF(AG1063="None",0,IF(AG1063="Fix5",0.05, IF(AG1063="Fix6.25",0.0625,IF(AG1063="Fix3.75",0.0375,IF(AG1063="Fix10",0.1,IF(AG1063="Fix3",0.03,0))))))</f>
        <v>0</v>
      </c>
      <c r="Z1063" s="35">
        <f>T1063-AA1063-AB1063</f>
        <v>372</v>
      </c>
      <c r="AA1063" s="29">
        <f>IF(AD1063="EUR",((T1063-R1063)*X1063)*U1063+(R1063*X1063),(T1063*X1063))</f>
        <v>124</v>
      </c>
      <c r="AB1063" s="36">
        <f>IF(AD1063="EUR",((T1063-R1063)*Y1063)*U1063+(R1063*Y1063),(T1063*Y1063))</f>
        <v>0</v>
      </c>
      <c r="AC1063" s="37" t="b">
        <v>1</v>
      </c>
      <c r="AD1063" s="37" t="s">
        <v>38</v>
      </c>
      <c r="AE1063" s="37" t="s">
        <v>38</v>
      </c>
      <c r="AF1063" s="37" t="str">
        <f t="array" ref="AF1063">INDEX('Deal Info'!D:D, MATCH(A1063,'Deal Info'!A:A, 0))</f>
        <v>SF</v>
      </c>
      <c r="AG1063" s="38" t="str">
        <f t="array" ref="AG1063">INDEX('Deal Info'!G:G, MATCH(A1063,'Deal Info'!A:A, 0))</f>
        <v>None</v>
      </c>
    </row>
    <row r="1064" spans="1:33" ht="14.25" hidden="1" x14ac:dyDescent="0.2">
      <c r="A1064" s="18" t="str">
        <f t="array" ref="A1064">IF(G1064='Room Info'!$B$1, INDEX('Room Info'!$A$2:$A2446, MATCH(B1064,'Room Info'!$B$2:$B2446, 0)),IF(G1064='Room Info'!$C$1, INDEX('Room Info'!$A$2:$A2446, MATCH(B1064,'Room Info'!$C$2:$C2446, 0)),IF(G1064='Room Info'!$D$1, INDEX('Room Info'!$A$2:$A2446, MATCH(B1064,'Room Info'!$D$2:$D2446, 0)),IF(G1064='Room Info'!$E$1, INDEX('Room Info'!$A$2:$A2446, MATCH(B1064,'Room Info'!$E$2:$E2446, 0)),IF(G1064='Room Info'!$F$1, INDEX('Room Info'!$A$2:$A2446, MATCH(B1064,'Room Info'!$F$2:$F2446, 0)),IF(G1064='Room Info'!$H$1, INDEX('Room Info'!$A$2:$A2446, MATCH(B1064,'Room Info'!$H$2:$H2446, 0)),IF(G1064='Room Info'!$G$1, INDEX('Room Info'!$A$2:$A2446, MATCH(B1064,'Room Info'!$G$2:$G2446, 0)))))))))</f>
        <v>overplayKK</v>
      </c>
      <c r="B1064" s="45" t="s">
        <v>191</v>
      </c>
      <c r="C1064" s="46">
        <v>44095</v>
      </c>
      <c r="D1064" s="46">
        <v>44124</v>
      </c>
      <c r="E1064" s="47">
        <v>44105</v>
      </c>
      <c r="F1064" s="48" t="s">
        <v>34</v>
      </c>
      <c r="G1064" s="54" t="s">
        <v>35</v>
      </c>
      <c r="H1064" s="49" t="s">
        <v>192</v>
      </c>
      <c r="I1064" s="49" t="s">
        <v>37</v>
      </c>
      <c r="J1064" s="50">
        <v>10</v>
      </c>
      <c r="K1064" s="51">
        <v>510</v>
      </c>
      <c r="L1064" s="52">
        <v>480</v>
      </c>
      <c r="M1064" s="53">
        <v>21</v>
      </c>
      <c r="N1064" s="28">
        <f>K1064*J1064</f>
        <v>5100</v>
      </c>
      <c r="O1064" s="54">
        <v>38720</v>
      </c>
      <c r="P1064" s="29">
        <v>75.921568629999996</v>
      </c>
      <c r="Q1064" s="55"/>
      <c r="R1064" s="31">
        <f>M1064+Q1064</f>
        <v>21</v>
      </c>
      <c r="S1064" s="56">
        <v>269</v>
      </c>
      <c r="T1064" s="32">
        <f>R1064+S1064+IF(F1064="Without EV deal",L1064,0)</f>
        <v>290</v>
      </c>
      <c r="U1064" s="57">
        <v>1</v>
      </c>
      <c r="V1064" s="58"/>
      <c r="W1064" s="58"/>
      <c r="X1064" s="78">
        <v>0.25</v>
      </c>
      <c r="Y1064" s="30">
        <f>IF(AG1064="None",0,IF(AG1064="Fix5",0.05, IF(AG1064="Fix6.25",0.0625,IF(AG1064="Fix3.75",0.0375,IF(AG1064="Fix10",0.1,IF(AG1064="Fix3",0.03,0))))))</f>
        <v>0</v>
      </c>
      <c r="Z1064" s="35">
        <f>T1064-AA1064-AB1064</f>
        <v>217.5</v>
      </c>
      <c r="AA1064" s="29">
        <f>IF(AD1064="EUR",((T1064-R1064)*X1064)*U1064+(R1064*X1064),(T1064*X1064))</f>
        <v>72.5</v>
      </c>
      <c r="AB1064" s="36">
        <f>IF(AD1064="EUR",((T1064-R1064)*Y1064)*U1064+(R1064*Y1064),(T1064*Y1064))</f>
        <v>0</v>
      </c>
      <c r="AC1064" s="37" t="b">
        <v>1</v>
      </c>
      <c r="AD1064" s="37" t="s">
        <v>38</v>
      </c>
      <c r="AE1064" s="37" t="s">
        <v>38</v>
      </c>
      <c r="AF1064" s="37" t="str">
        <f t="array" ref="AF1064">INDEX('Deal Info'!D:D, MATCH(A1064,'Deal Info'!A:A, 0))</f>
        <v>SF</v>
      </c>
      <c r="AG1064" s="38" t="str">
        <f t="array" ref="AG1064">INDEX('Deal Info'!G:G, MATCH(A1064,'Deal Info'!A:A, 0))</f>
        <v>None</v>
      </c>
    </row>
    <row r="1065" spans="1:33" ht="14.25" hidden="1" x14ac:dyDescent="0.2">
      <c r="A1065" s="18" t="str">
        <f t="array" ref="A1065">IF(G1065='Room Info'!$B$1, INDEX('Room Info'!$A$2:$A2446, MATCH(B1065,'Room Info'!$B$2:$B2446, 0)),IF(G1065='Room Info'!$C$1, INDEX('Room Info'!$A$2:$A2446, MATCH(B1065,'Room Info'!$C$2:$C2446, 0)),IF(G1065='Room Info'!$D$1, INDEX('Room Info'!$A$2:$A2446, MATCH(B1065,'Room Info'!$D$2:$D2446, 0)),IF(G1065='Room Info'!$E$1, INDEX('Room Info'!$A$2:$A2446, MATCH(B1065,'Room Info'!$E$2:$E2446, 0)),IF(G1065='Room Info'!$F$1, INDEX('Room Info'!$A$2:$A2446, MATCH(B1065,'Room Info'!$F$2:$F2446, 0)),IF(G1065='Room Info'!$H$1, INDEX('Room Info'!$A$2:$A2446, MATCH(B1065,'Room Info'!$H$2:$H2446, 0)),IF(G1065='Room Info'!$G$1, INDEX('Room Info'!$A$2:$A2446, MATCH(B1065,'Room Info'!$G$2:$G2446, 0)))))))))</f>
        <v>overplayKK</v>
      </c>
      <c r="B1065" s="54" t="s">
        <v>191</v>
      </c>
      <c r="C1065" s="46">
        <v>44125</v>
      </c>
      <c r="D1065" s="46">
        <v>44155</v>
      </c>
      <c r="E1065" s="47">
        <v>44136</v>
      </c>
      <c r="F1065" s="45" t="s">
        <v>34</v>
      </c>
      <c r="G1065" s="54" t="s">
        <v>35</v>
      </c>
      <c r="H1065" s="49" t="s">
        <v>86</v>
      </c>
      <c r="I1065" s="49" t="s">
        <v>37</v>
      </c>
      <c r="J1065" s="50">
        <v>5</v>
      </c>
      <c r="K1065" s="51">
        <v>2743</v>
      </c>
      <c r="L1065" s="52">
        <v>765</v>
      </c>
      <c r="M1065" s="53">
        <v>42</v>
      </c>
      <c r="N1065" s="28">
        <f>K1065*J1065</f>
        <v>13715</v>
      </c>
      <c r="O1065" s="54">
        <v>221428</v>
      </c>
      <c r="P1065" s="29">
        <v>80.724753919999998</v>
      </c>
      <c r="Q1065" s="55"/>
      <c r="R1065" s="31">
        <f>M1065+Q1065</f>
        <v>42</v>
      </c>
      <c r="S1065" s="56">
        <v>989</v>
      </c>
      <c r="T1065" s="32">
        <f>R1065+S1065+IF(F1065="Without EV deal",L1065,0)</f>
        <v>1031</v>
      </c>
      <c r="U1065" s="57">
        <v>1</v>
      </c>
      <c r="V1065" s="58"/>
      <c r="W1065" s="58"/>
      <c r="X1065" s="78">
        <v>0.25</v>
      </c>
      <c r="Y1065" s="30">
        <f>IF(AG1065="None",0,IF(AG1065="Fix5",0.05, IF(AG1065="Fix6.25",0.0625,IF(AG1065="Fix3.75",0.0375,IF(AG1065="Fix10",0.1,IF(AG1065="Fix3",0.03,0))))))</f>
        <v>0</v>
      </c>
      <c r="Z1065" s="35">
        <f>T1065-AA1065-AB1065</f>
        <v>773.25</v>
      </c>
      <c r="AA1065" s="29">
        <f>IF(AD1065="EUR",((T1065-R1065)*X1065)*U1065+(R1065*X1065),(T1065*X1065))</f>
        <v>257.75</v>
      </c>
      <c r="AB1065" s="36">
        <f>IF(AD1065="EUR",((T1065-R1065)*Y1065)*U1065+(R1065*Y1065),(T1065*Y1065))</f>
        <v>0</v>
      </c>
      <c r="AC1065" s="37" t="b">
        <v>1</v>
      </c>
      <c r="AD1065" s="37" t="s">
        <v>38</v>
      </c>
      <c r="AE1065" s="37" t="s">
        <v>38</v>
      </c>
      <c r="AF1065" s="37" t="str">
        <f t="array" ref="AF1065">INDEX('Deal Info'!D:D, MATCH(A1065,'Deal Info'!A:A, 0))</f>
        <v>SF</v>
      </c>
      <c r="AG1065" s="38" t="str">
        <f t="array" ref="AG1065">INDEX('Deal Info'!G:G, MATCH(A1065,'Deal Info'!A:A, 0))</f>
        <v>None</v>
      </c>
    </row>
    <row r="1066" spans="1:33" ht="14.25" hidden="1" x14ac:dyDescent="0.2">
      <c r="A1066" s="18" t="str">
        <f t="array" ref="A1066">IF(G1066='Room Info'!$B$1, INDEX('Room Info'!$A$2:$A2446, MATCH(B1066,'Room Info'!$B$2:$B2446, 0)),IF(G1066='Room Info'!$C$1, INDEX('Room Info'!$A$2:$A2446, MATCH(B1066,'Room Info'!$C$2:$C2446, 0)),IF(G1066='Room Info'!$D$1, INDEX('Room Info'!$A$2:$A2446, MATCH(B1066,'Room Info'!$D$2:$D2446, 0)),IF(G1066='Room Info'!$E$1, INDEX('Room Info'!$A$2:$A2446, MATCH(B1066,'Room Info'!$E$2:$E2446, 0)),IF(G1066='Room Info'!$F$1, INDEX('Room Info'!$A$2:$A2446, MATCH(B1066,'Room Info'!$F$2:$F2446, 0)),IF(G1066='Room Info'!$H$1, INDEX('Room Info'!$A$2:$A2446, MATCH(B1066,'Room Info'!$H$2:$H2446, 0)),IF(G1066='Room Info'!$G$1, INDEX('Room Info'!$A$2:$A2446, MATCH(B1066,'Room Info'!$G$2:$G2446, 0)))))))))</f>
        <v>overplayKK</v>
      </c>
      <c r="B1066" s="54" t="s">
        <v>191</v>
      </c>
      <c r="C1066" s="46">
        <v>44125</v>
      </c>
      <c r="D1066" s="46">
        <v>44155</v>
      </c>
      <c r="E1066" s="47">
        <v>44136</v>
      </c>
      <c r="F1066" s="45" t="s">
        <v>34</v>
      </c>
      <c r="G1066" s="54" t="s">
        <v>35</v>
      </c>
      <c r="H1066" s="49" t="s">
        <v>83</v>
      </c>
      <c r="I1066" s="49" t="s">
        <v>37</v>
      </c>
      <c r="J1066" s="50">
        <v>10</v>
      </c>
      <c r="K1066" s="51">
        <v>504</v>
      </c>
      <c r="L1066" s="52">
        <v>-70</v>
      </c>
      <c r="M1066" s="53">
        <v>18</v>
      </c>
      <c r="N1066" s="28">
        <f>K1066*J1066</f>
        <v>5040</v>
      </c>
      <c r="O1066" s="54">
        <v>5749</v>
      </c>
      <c r="P1066" s="29">
        <v>11.406746030000001</v>
      </c>
      <c r="Q1066" s="55"/>
      <c r="R1066" s="31">
        <f>M1066+Q1066</f>
        <v>18</v>
      </c>
      <c r="S1066" s="56">
        <v>-329</v>
      </c>
      <c r="T1066" s="32">
        <f>R1066+S1066+IF(F1066="Without EV deal",L1066,0)</f>
        <v>-311</v>
      </c>
      <c r="U1066" s="57">
        <v>1</v>
      </c>
      <c r="V1066" s="58"/>
      <c r="W1066" s="58"/>
      <c r="X1066" s="78">
        <v>0.25</v>
      </c>
      <c r="Y1066" s="30">
        <f>IF(AG1066="None",0,IF(AG1066="Fix5",0.05, IF(AG1066="Fix6.25",0.0625,IF(AG1066="Fix3.75",0.0375,IF(AG1066="Fix10",0.1,IF(AG1066="Fix3",0.03,0))))))</f>
        <v>0</v>
      </c>
      <c r="Z1066" s="35">
        <f>T1066-AA1066-AB1066</f>
        <v>-233.25</v>
      </c>
      <c r="AA1066" s="29">
        <f>IF(AD1066="EUR",((T1066-R1066)*X1066)*U1066+(R1066*X1066),(T1066*X1066))</f>
        <v>-77.75</v>
      </c>
      <c r="AB1066" s="36">
        <f>IF(AD1066="EUR",((T1066-R1066)*Y1066)*U1066+(R1066*Y1066),(T1066*Y1066))</f>
        <v>0</v>
      </c>
      <c r="AC1066" s="37" t="b">
        <v>1</v>
      </c>
      <c r="AD1066" s="37" t="s">
        <v>38</v>
      </c>
      <c r="AE1066" s="37" t="s">
        <v>38</v>
      </c>
      <c r="AF1066" s="37" t="str">
        <f t="array" ref="AF1066">INDEX('Deal Info'!D:D, MATCH(A1066,'Deal Info'!A:A, 0))</f>
        <v>SF</v>
      </c>
      <c r="AG1066" s="38" t="str">
        <f t="array" ref="AG1066">INDEX('Deal Info'!G:G, MATCH(A1066,'Deal Info'!A:A, 0))</f>
        <v>None</v>
      </c>
    </row>
    <row r="1067" spans="1:33" ht="14.25" hidden="1" x14ac:dyDescent="0.2">
      <c r="A1067" s="18" t="str">
        <f t="array" ref="A1067">IF(G1067='Room Info'!$B$1, INDEX('Room Info'!$A$2:$A2446, MATCH(B1067,'Room Info'!$B$2:$B2446, 0)),IF(G1067='Room Info'!$C$1, INDEX('Room Info'!$A$2:$A2446, MATCH(B1067,'Room Info'!$C$2:$C2446, 0)),IF(G1067='Room Info'!$D$1, INDEX('Room Info'!$A$2:$A2446, MATCH(B1067,'Room Info'!$D$2:$D2446, 0)),IF(G1067='Room Info'!$E$1, INDEX('Room Info'!$A$2:$A2446, MATCH(B1067,'Room Info'!$E$2:$E2446, 0)),IF(G1067='Room Info'!$F$1, INDEX('Room Info'!$A$2:$A2446, MATCH(B1067,'Room Info'!$F$2:$F2446, 0)),IF(G1067='Room Info'!$H$1, INDEX('Room Info'!$A$2:$A2446, MATCH(B1067,'Room Info'!$H$2:$H2446, 0)),IF(G1067='Room Info'!$G$1, INDEX('Room Info'!$A$2:$A2446, MATCH(B1067,'Room Info'!$G$2:$G2446, 0)))))))))</f>
        <v>overplayKK</v>
      </c>
      <c r="B1067" s="45" t="s">
        <v>191</v>
      </c>
      <c r="C1067" s="46">
        <v>44156</v>
      </c>
      <c r="D1067" s="46">
        <v>44185</v>
      </c>
      <c r="E1067" s="47">
        <v>44166</v>
      </c>
      <c r="F1067" s="48" t="s">
        <v>34</v>
      </c>
      <c r="G1067" s="45" t="s">
        <v>35</v>
      </c>
      <c r="H1067" s="49" t="s">
        <v>86</v>
      </c>
      <c r="I1067" s="49" t="s">
        <v>37</v>
      </c>
      <c r="J1067" s="50">
        <v>5</v>
      </c>
      <c r="K1067" s="51">
        <v>2490</v>
      </c>
      <c r="L1067" s="52">
        <v>1180</v>
      </c>
      <c r="M1067" s="53">
        <v>57</v>
      </c>
      <c r="N1067" s="28">
        <f>K1067*J1067</f>
        <v>12450</v>
      </c>
      <c r="O1067" s="54">
        <v>146059</v>
      </c>
      <c r="P1067" s="29">
        <v>58.658232929999997</v>
      </c>
      <c r="Q1067" s="55"/>
      <c r="R1067" s="31">
        <f>M1067+Q1067</f>
        <v>57</v>
      </c>
      <c r="S1067" s="56">
        <v>391</v>
      </c>
      <c r="T1067" s="32">
        <f>R1067+S1067+IF(F1067="Without EV deal",L1067,0)</f>
        <v>448</v>
      </c>
      <c r="U1067" s="57">
        <v>1</v>
      </c>
      <c r="V1067" s="58"/>
      <c r="W1067" s="58"/>
      <c r="X1067" s="78">
        <v>0.25</v>
      </c>
      <c r="Y1067" s="30">
        <f>IF(AG1067="None",0,IF(AG1067="Fix5",0.05, IF(AG1067="Fix6.25",0.0625,IF(AG1067="Fix3.75",0.0375,IF(AG1067="Fix10",0.1,IF(AG1067="Fix3",0.03,0))))))</f>
        <v>0</v>
      </c>
      <c r="Z1067" s="35">
        <f>T1067-AA1067-AB1067</f>
        <v>336</v>
      </c>
      <c r="AA1067" s="29">
        <f>IF(AD1067="EUR",((T1067-R1067)*X1067)*U1067+(R1067*X1067),(T1067*X1067))</f>
        <v>112</v>
      </c>
      <c r="AB1067" s="36">
        <f>IF(AD1067="EUR",((T1067-R1067)*Y1067)*U1067+(R1067*Y1067),(T1067*Y1067))</f>
        <v>0</v>
      </c>
      <c r="AC1067" s="37" t="b">
        <v>1</v>
      </c>
      <c r="AD1067" s="37" t="s">
        <v>38</v>
      </c>
      <c r="AE1067" s="37" t="s">
        <v>38</v>
      </c>
      <c r="AF1067" s="37" t="str">
        <f t="array" ref="AF1067">INDEX('Deal Info'!D:D, MATCH(A1067,'Deal Info'!A:A, 0))</f>
        <v>SF</v>
      </c>
      <c r="AG1067" s="38" t="str">
        <f t="array" ref="AG1067">INDEX('Deal Info'!G:G, MATCH(A1067,'Deal Info'!A:A, 0))</f>
        <v>None</v>
      </c>
    </row>
    <row r="1068" spans="1:33" ht="14.25" hidden="1" x14ac:dyDescent="0.2">
      <c r="A1068" s="18" t="str">
        <f t="array" ref="A1068">IF(G1068='Room Info'!$B$1, INDEX('Room Info'!$A$2:$A2446, MATCH(B1068,'Room Info'!$B$2:$B2446, 0)),IF(G1068='Room Info'!$C$1, INDEX('Room Info'!$A$2:$A2446, MATCH(B1068,'Room Info'!$C$2:$C2446, 0)),IF(G1068='Room Info'!$D$1, INDEX('Room Info'!$A$2:$A2446, MATCH(B1068,'Room Info'!$D$2:$D2446, 0)),IF(G1068='Room Info'!$E$1, INDEX('Room Info'!$A$2:$A2446, MATCH(B1068,'Room Info'!$E$2:$E2446, 0)),IF(G1068='Room Info'!$F$1, INDEX('Room Info'!$A$2:$A2446, MATCH(B1068,'Room Info'!$F$2:$F2446, 0)),IF(G1068='Room Info'!$H$1, INDEX('Room Info'!$A$2:$A2446, MATCH(B1068,'Room Info'!$H$2:$H2446, 0)),IF(G1068='Room Info'!$G$1, INDEX('Room Info'!$A$2:$A2446, MATCH(B1068,'Room Info'!$G$2:$G2446, 0)))))))))</f>
        <v>overplayKK</v>
      </c>
      <c r="B1068" s="45" t="s">
        <v>191</v>
      </c>
      <c r="C1068" s="46">
        <v>44156</v>
      </c>
      <c r="D1068" s="46">
        <v>44185</v>
      </c>
      <c r="E1068" s="47">
        <v>44166</v>
      </c>
      <c r="F1068" s="48" t="s">
        <v>34</v>
      </c>
      <c r="G1068" s="45" t="s">
        <v>35</v>
      </c>
      <c r="H1068" s="49" t="s">
        <v>83</v>
      </c>
      <c r="I1068" s="49" t="s">
        <v>37</v>
      </c>
      <c r="J1068" s="50">
        <v>10</v>
      </c>
      <c r="K1068" s="51">
        <v>140</v>
      </c>
      <c r="L1068" s="52">
        <v>-50</v>
      </c>
      <c r="M1068" s="53">
        <v>7</v>
      </c>
      <c r="N1068" s="28">
        <f>K1068*J1068</f>
        <v>1400</v>
      </c>
      <c r="O1068" s="54">
        <v>1525</v>
      </c>
      <c r="P1068" s="29">
        <v>10.89285714</v>
      </c>
      <c r="Q1068" s="55"/>
      <c r="R1068" s="31">
        <f>M1068+Q1068</f>
        <v>7</v>
      </c>
      <c r="S1068" s="56">
        <v>-91</v>
      </c>
      <c r="T1068" s="32">
        <f>R1068+S1068+IF(F1068="Without EV deal",L1068,0)</f>
        <v>-84</v>
      </c>
      <c r="U1068" s="57">
        <v>1</v>
      </c>
      <c r="V1068" s="58"/>
      <c r="W1068" s="58"/>
      <c r="X1068" s="78">
        <v>0.25</v>
      </c>
      <c r="Y1068" s="30">
        <f>IF(AG1068="None",0,IF(AG1068="Fix5",0.05, IF(AG1068="Fix6.25",0.0625,IF(AG1068="Fix3.75",0.0375,IF(AG1068="Fix10",0.1,IF(AG1068="Fix3",0.03,0))))))</f>
        <v>0</v>
      </c>
      <c r="Z1068" s="35">
        <f>T1068-AA1068-AB1068</f>
        <v>-63</v>
      </c>
      <c r="AA1068" s="29">
        <f>IF(AD1068="EUR",((T1068-R1068)*X1068)*U1068+(R1068*X1068),(T1068*X1068))</f>
        <v>-21</v>
      </c>
      <c r="AB1068" s="36">
        <f>IF(AD1068="EUR",((T1068-R1068)*Y1068)*U1068+(R1068*Y1068),(T1068*Y1068))</f>
        <v>0</v>
      </c>
      <c r="AC1068" s="37" t="b">
        <v>1</v>
      </c>
      <c r="AD1068" s="37" t="s">
        <v>38</v>
      </c>
      <c r="AE1068" s="37" t="s">
        <v>38</v>
      </c>
      <c r="AF1068" s="37" t="str">
        <f t="array" ref="AF1068">INDEX('Deal Info'!D:D, MATCH(A1068,'Deal Info'!A:A, 0))</f>
        <v>SF</v>
      </c>
      <c r="AG1068" s="38" t="str">
        <f t="array" ref="AG1068">INDEX('Deal Info'!G:G, MATCH(A1068,'Deal Info'!A:A, 0))</f>
        <v>None</v>
      </c>
    </row>
    <row r="1069" spans="1:33" ht="14.25" hidden="1" x14ac:dyDescent="0.2">
      <c r="A1069" s="18" t="str">
        <f t="array" ref="A1069">IF(G1069='Room Info'!$B$1, INDEX('Room Info'!$A$2:$A2446, MATCH(B1069,'Room Info'!$B$2:$B2446, 0)),IF(G1069='Room Info'!$C$1, INDEX('Room Info'!$A$2:$A2446, MATCH(B1069,'Room Info'!$C$2:$C2446, 0)),IF(G1069='Room Info'!$D$1, INDEX('Room Info'!$A$2:$A2446, MATCH(B1069,'Room Info'!$D$2:$D2446, 0)),IF(G1069='Room Info'!$E$1, INDEX('Room Info'!$A$2:$A2446, MATCH(B1069,'Room Info'!$E$2:$E2446, 0)),IF(G1069='Room Info'!$F$1, INDEX('Room Info'!$A$2:$A2446, MATCH(B1069,'Room Info'!$F$2:$F2446, 0)),IF(G1069='Room Info'!$H$1, INDEX('Room Info'!$A$2:$A2446, MATCH(B1069,'Room Info'!$H$2:$H2446, 0)),IF(G1069='Room Info'!$G$1, INDEX('Room Info'!$A$2:$A2446, MATCH(B1069,'Room Info'!$G$2:$G2446, 0)))))))))</f>
        <v>overplayKK</v>
      </c>
      <c r="B1069" s="45" t="s">
        <v>191</v>
      </c>
      <c r="C1069" s="46">
        <v>44186</v>
      </c>
      <c r="D1069" s="46">
        <v>44216</v>
      </c>
      <c r="E1069" s="47">
        <v>44197</v>
      </c>
      <c r="F1069" s="48" t="s">
        <v>34</v>
      </c>
      <c r="G1069" s="45" t="s">
        <v>35</v>
      </c>
      <c r="H1069" s="49" t="s">
        <v>86</v>
      </c>
      <c r="I1069" s="49" t="s">
        <v>37</v>
      </c>
      <c r="J1069" s="50">
        <v>5</v>
      </c>
      <c r="K1069" s="51">
        <v>948</v>
      </c>
      <c r="L1069" s="52">
        <v>115</v>
      </c>
      <c r="M1069" s="53">
        <v>16</v>
      </c>
      <c r="N1069" s="28">
        <f>K1069*J1069</f>
        <v>4740</v>
      </c>
      <c r="O1069" s="54">
        <v>67343</v>
      </c>
      <c r="P1069" s="29">
        <v>71.036919830000002</v>
      </c>
      <c r="Q1069" s="55"/>
      <c r="R1069" s="31">
        <f>M1069+Q1069</f>
        <v>16</v>
      </c>
      <c r="S1069" s="56">
        <v>248</v>
      </c>
      <c r="T1069" s="32">
        <f>R1069+S1069+IF(F1069="Without EV deal",L1069,0)</f>
        <v>264</v>
      </c>
      <c r="U1069" s="57">
        <v>1</v>
      </c>
      <c r="V1069" s="58"/>
      <c r="W1069" s="58"/>
      <c r="X1069" s="78">
        <v>0.3</v>
      </c>
      <c r="Y1069" s="30">
        <f>IF(AG1069="None",0,IF(AG1069="Fix5",0.05, IF(AG1069="Fix6.25",0.0625,IF(AG1069="Fix3.75",0.0375,IF(AG1069="Fix10",0.1,IF(AG1069="Fix3",0.03,0))))))</f>
        <v>0</v>
      </c>
      <c r="Z1069" s="35">
        <f>T1069-AA1069-AB1069</f>
        <v>184.8</v>
      </c>
      <c r="AA1069" s="29">
        <f>IF(AD1069="EUR",((T1069-R1069)*X1069)*U1069+(R1069*X1069),(T1069*X1069))</f>
        <v>79.2</v>
      </c>
      <c r="AB1069" s="36">
        <f>IF(AD1069="EUR",((T1069-R1069)*Y1069)*U1069+(R1069*Y1069),(T1069*Y1069))</f>
        <v>0</v>
      </c>
      <c r="AC1069" s="37" t="b">
        <v>1</v>
      </c>
      <c r="AD1069" s="37" t="s">
        <v>38</v>
      </c>
      <c r="AE1069" s="37" t="s">
        <v>38</v>
      </c>
      <c r="AF1069" s="37" t="str">
        <f t="array" ref="AF1069">INDEX('Deal Info'!D:D, MATCH(A1069,'Deal Info'!A:A, 0))</f>
        <v>SF</v>
      </c>
      <c r="AG1069" s="38" t="str">
        <f t="array" ref="AG1069">INDEX('Deal Info'!G:G, MATCH(A1069,'Deal Info'!A:A, 0))</f>
        <v>None</v>
      </c>
    </row>
    <row r="1070" spans="1:33" ht="14.25" hidden="1" x14ac:dyDescent="0.2">
      <c r="A1070" s="18" t="str">
        <f t="array" ref="A1070">IF(G1070='Room Info'!$B$1, INDEX('Room Info'!$A$2:$A2446, MATCH(B1070,'Room Info'!$B$2:$B2446, 0)),IF(G1070='Room Info'!$C$1, INDEX('Room Info'!$A$2:$A2446, MATCH(B1070,'Room Info'!$C$2:$C2446, 0)),IF(G1070='Room Info'!$D$1, INDEX('Room Info'!$A$2:$A2446, MATCH(B1070,'Room Info'!$D$2:$D2446, 0)),IF(G1070='Room Info'!$E$1, INDEX('Room Info'!$A$2:$A2446, MATCH(B1070,'Room Info'!$E$2:$E2446, 0)),IF(G1070='Room Info'!$F$1, INDEX('Room Info'!$A$2:$A2446, MATCH(B1070,'Room Info'!$F$2:$F2446, 0)),IF(G1070='Room Info'!$H$1, INDEX('Room Info'!$A$2:$A2446, MATCH(B1070,'Room Info'!$H$2:$H2446, 0)),IF(G1070='Room Info'!$G$1, INDEX('Room Info'!$A$2:$A2446, MATCH(B1070,'Room Info'!$G$2:$G2446, 0)))))))))</f>
        <v>overplayKK</v>
      </c>
      <c r="B1070" s="45" t="s">
        <v>191</v>
      </c>
      <c r="C1070" s="46">
        <v>44186</v>
      </c>
      <c r="D1070" s="46">
        <v>44216</v>
      </c>
      <c r="E1070" s="47">
        <v>44197</v>
      </c>
      <c r="F1070" s="48" t="s">
        <v>34</v>
      </c>
      <c r="G1070" s="45" t="s">
        <v>35</v>
      </c>
      <c r="H1070" s="49" t="s">
        <v>83</v>
      </c>
      <c r="I1070" s="49" t="s">
        <v>37</v>
      </c>
      <c r="J1070" s="50">
        <v>10</v>
      </c>
      <c r="K1070" s="51">
        <v>212</v>
      </c>
      <c r="L1070" s="52">
        <v>340</v>
      </c>
      <c r="M1070" s="53">
        <v>31</v>
      </c>
      <c r="N1070" s="28">
        <f>K1070*J1070</f>
        <v>2120</v>
      </c>
      <c r="O1070" s="54">
        <v>21704</v>
      </c>
      <c r="P1070" s="29">
        <v>102.3773585</v>
      </c>
      <c r="Q1070" s="55"/>
      <c r="R1070" s="31">
        <f>M1070+Q1070</f>
        <v>31</v>
      </c>
      <c r="S1070" s="56">
        <v>207</v>
      </c>
      <c r="T1070" s="32">
        <f>R1070+S1070+IF(F1070="Without EV deal",L1070,0)</f>
        <v>238</v>
      </c>
      <c r="U1070" s="57">
        <v>1</v>
      </c>
      <c r="V1070" s="58"/>
      <c r="W1070" s="58"/>
      <c r="X1070" s="78">
        <v>0.3</v>
      </c>
      <c r="Y1070" s="30">
        <f>IF(AG1070="None",0,IF(AG1070="Fix5",0.05, IF(AG1070="Fix6.25",0.0625,IF(AG1070="Fix3.75",0.0375,IF(AG1070="Fix10",0.1,IF(AG1070="Fix3",0.03,0))))))</f>
        <v>0</v>
      </c>
      <c r="Z1070" s="35">
        <f>T1070-AA1070-AB1070</f>
        <v>166.60000000000002</v>
      </c>
      <c r="AA1070" s="29">
        <f>IF(AD1070="EUR",((T1070-R1070)*X1070)*U1070+(R1070*X1070),(T1070*X1070))</f>
        <v>71.399999999999991</v>
      </c>
      <c r="AB1070" s="36">
        <f>IF(AD1070="EUR",((T1070-R1070)*Y1070)*U1070+(R1070*Y1070),(T1070*Y1070))</f>
        <v>0</v>
      </c>
      <c r="AC1070" s="37" t="b">
        <v>1</v>
      </c>
      <c r="AD1070" s="37" t="s">
        <v>38</v>
      </c>
      <c r="AE1070" s="37" t="s">
        <v>38</v>
      </c>
      <c r="AF1070" s="37" t="str">
        <f t="array" ref="AF1070">INDEX('Deal Info'!D:D, MATCH(A1070,'Deal Info'!A:A, 0))</f>
        <v>SF</v>
      </c>
      <c r="AG1070" s="38" t="str">
        <f t="array" ref="AG1070">INDEX('Deal Info'!G:G, MATCH(A1070,'Deal Info'!A:A, 0))</f>
        <v>None</v>
      </c>
    </row>
    <row r="1071" spans="1:33" ht="14.25" hidden="1" x14ac:dyDescent="0.2">
      <c r="A1071" s="18" t="str">
        <f t="array" ref="A1071">IF(G1071='Room Info'!$B$1, INDEX('Room Info'!$A$2:$A2446, MATCH(B1071,'Room Info'!$B$2:$B2446, 0)),IF(G1071='Room Info'!$C$1, INDEX('Room Info'!$A$2:$A2446, MATCH(B1071,'Room Info'!$C$2:$C2446, 0)),IF(G1071='Room Info'!$D$1, INDEX('Room Info'!$A$2:$A2446, MATCH(B1071,'Room Info'!$D$2:$D2446, 0)),IF(G1071='Room Info'!$E$1, INDEX('Room Info'!$A$2:$A2446, MATCH(B1071,'Room Info'!$E$2:$E2446, 0)),IF(G1071='Room Info'!$F$1, INDEX('Room Info'!$A$2:$A2446, MATCH(B1071,'Room Info'!$F$2:$F2446, 0)),IF(G1071='Room Info'!$H$1, INDEX('Room Info'!$A$2:$A2446, MATCH(B1071,'Room Info'!$H$2:$H2446, 0)),IF(G1071='Room Info'!$G$1, INDEX('Room Info'!$A$2:$A2446, MATCH(B1071,'Room Info'!$G$2:$G2446, 0)))))))))</f>
        <v>overplayKK</v>
      </c>
      <c r="B1071" s="45" t="s">
        <v>191</v>
      </c>
      <c r="C1071" s="46">
        <v>44217</v>
      </c>
      <c r="D1071" s="46">
        <v>44247</v>
      </c>
      <c r="E1071" s="47">
        <v>44228</v>
      </c>
      <c r="F1071" s="48" t="s">
        <v>34</v>
      </c>
      <c r="G1071" s="45" t="s">
        <v>35</v>
      </c>
      <c r="H1071" s="49" t="s">
        <v>36</v>
      </c>
      <c r="I1071" s="49" t="s">
        <v>37</v>
      </c>
      <c r="J1071" s="50">
        <v>2</v>
      </c>
      <c r="K1071" s="51">
        <v>40</v>
      </c>
      <c r="L1071" s="52">
        <v>18</v>
      </c>
      <c r="M1071" s="53">
        <v>2</v>
      </c>
      <c r="N1071" s="28">
        <f>K1071*J1071</f>
        <v>80</v>
      </c>
      <c r="O1071" s="54">
        <v>7000</v>
      </c>
      <c r="P1071" s="29">
        <v>175</v>
      </c>
      <c r="Q1071" s="55"/>
      <c r="R1071" s="31">
        <f>M1071+Q1071</f>
        <v>2</v>
      </c>
      <c r="S1071" s="56">
        <v>18</v>
      </c>
      <c r="T1071" s="32">
        <f>R1071+S1071+IF(F1071="Without EV deal",L1071,0)</f>
        <v>20</v>
      </c>
      <c r="U1071" s="57">
        <v>1</v>
      </c>
      <c r="V1071" s="58"/>
      <c r="W1071" s="58"/>
      <c r="X1071" s="78">
        <v>0.25</v>
      </c>
      <c r="Y1071" s="30">
        <f>IF(AG1071="None",0,IF(AG1071="Fix5",0.05, IF(AG1071="Fix6.25",0.0625,IF(AG1071="Fix3.75",0.0375,IF(AG1071="Fix10",0.1,IF(AG1071="Fix3",0.03,0))))))</f>
        <v>0</v>
      </c>
      <c r="Z1071" s="35">
        <f>T1071-AA1071-AB1071</f>
        <v>15</v>
      </c>
      <c r="AA1071" s="29">
        <f>IF(AD1071="EUR",((T1071-R1071)*X1071)*U1071+(R1071*X1071),(T1071*X1071))</f>
        <v>5</v>
      </c>
      <c r="AB1071" s="36">
        <f>IF(AD1071="EUR",((T1071-R1071)*Y1071)*U1071+(R1071*Y1071),(T1071*Y1071))</f>
        <v>0</v>
      </c>
      <c r="AC1071" s="37" t="b">
        <v>1</v>
      </c>
      <c r="AD1071" s="37" t="s">
        <v>38</v>
      </c>
      <c r="AE1071" s="37" t="s">
        <v>38</v>
      </c>
      <c r="AF1071" s="37" t="str">
        <f t="array" ref="AF1071">INDEX('Deal Info'!D:D, MATCH(A1071,'Deal Info'!A:A, 0))</f>
        <v>SF</v>
      </c>
      <c r="AG1071" s="38" t="str">
        <f t="array" ref="AG1071">INDEX('Deal Info'!G:G, MATCH(A1071,'Deal Info'!A:A, 0))</f>
        <v>None</v>
      </c>
    </row>
    <row r="1072" spans="1:33" ht="14.25" hidden="1" x14ac:dyDescent="0.2">
      <c r="A1072" s="18" t="str">
        <f t="array" ref="A1072">IF(G1072='Room Info'!$B$1, INDEX('Room Info'!$A$2:$A2446, MATCH(B1072,'Room Info'!$B$2:$B2446, 0)),IF(G1072='Room Info'!$C$1, INDEX('Room Info'!$A$2:$A2446, MATCH(B1072,'Room Info'!$C$2:$C2446, 0)),IF(G1072='Room Info'!$D$1, INDEX('Room Info'!$A$2:$A2446, MATCH(B1072,'Room Info'!$D$2:$D2446, 0)),IF(G1072='Room Info'!$E$1, INDEX('Room Info'!$A$2:$A2446, MATCH(B1072,'Room Info'!$E$2:$E2446, 0)),IF(G1072='Room Info'!$F$1, INDEX('Room Info'!$A$2:$A2446, MATCH(B1072,'Room Info'!$F$2:$F2446, 0)),IF(G1072='Room Info'!$H$1, INDEX('Room Info'!$A$2:$A2446, MATCH(B1072,'Room Info'!$H$2:$H2446, 0)),IF(G1072='Room Info'!$G$1, INDEX('Room Info'!$A$2:$A2446, MATCH(B1072,'Room Info'!$G$2:$G2446, 0)))))))))</f>
        <v>overplayKK</v>
      </c>
      <c r="B1072" s="45" t="s">
        <v>191</v>
      </c>
      <c r="C1072" s="46">
        <v>44217</v>
      </c>
      <c r="D1072" s="46">
        <v>44247</v>
      </c>
      <c r="E1072" s="47">
        <v>44228</v>
      </c>
      <c r="F1072" s="48" t="s">
        <v>34</v>
      </c>
      <c r="G1072" s="45" t="s">
        <v>35</v>
      </c>
      <c r="H1072" s="49" t="s">
        <v>86</v>
      </c>
      <c r="I1072" s="49" t="s">
        <v>37</v>
      </c>
      <c r="J1072" s="50">
        <v>5</v>
      </c>
      <c r="K1072" s="51">
        <v>1844</v>
      </c>
      <c r="L1072" s="52">
        <v>665</v>
      </c>
      <c r="M1072" s="53">
        <v>200</v>
      </c>
      <c r="N1072" s="28">
        <f>K1072*J1072</f>
        <v>9220</v>
      </c>
      <c r="O1072" s="54">
        <v>159087</v>
      </c>
      <c r="P1072" s="29">
        <v>86.272776570000005</v>
      </c>
      <c r="Q1072" s="55"/>
      <c r="R1072" s="31">
        <f>M1072+Q1072</f>
        <v>200</v>
      </c>
      <c r="S1072" s="56">
        <v>765</v>
      </c>
      <c r="T1072" s="32">
        <f>R1072+S1072+IF(F1072="Without EV deal",L1072,0)</f>
        <v>965</v>
      </c>
      <c r="U1072" s="57">
        <v>1</v>
      </c>
      <c r="V1072" s="58"/>
      <c r="W1072" s="58"/>
      <c r="X1072" s="78">
        <v>0.25</v>
      </c>
      <c r="Y1072" s="30">
        <f>IF(AG1072="None",0,IF(AG1072="Fix5",0.05, IF(AG1072="Fix6.25",0.0625,IF(AG1072="Fix3.75",0.0375,IF(AG1072="Fix10",0.1,IF(AG1072="Fix3",0.03,0))))))</f>
        <v>0</v>
      </c>
      <c r="Z1072" s="35">
        <f>T1072-AA1072-AB1072</f>
        <v>723.75</v>
      </c>
      <c r="AA1072" s="29">
        <f>IF(AD1072="EUR",((T1072-R1072)*X1072)*U1072+(R1072*X1072),(T1072*X1072))</f>
        <v>241.25</v>
      </c>
      <c r="AB1072" s="36">
        <f>IF(AD1072="EUR",((T1072-R1072)*Y1072)*U1072+(R1072*Y1072),(T1072*Y1072))</f>
        <v>0</v>
      </c>
      <c r="AC1072" s="37" t="b">
        <v>1</v>
      </c>
      <c r="AD1072" s="37" t="s">
        <v>38</v>
      </c>
      <c r="AE1072" s="37" t="s">
        <v>38</v>
      </c>
      <c r="AF1072" s="37" t="str">
        <f t="array" ref="AF1072">INDEX('Deal Info'!D:D, MATCH(A1072,'Deal Info'!A:A, 0))</f>
        <v>SF</v>
      </c>
      <c r="AG1072" s="38" t="str">
        <f t="array" ref="AG1072">INDEX('Deal Info'!G:G, MATCH(A1072,'Deal Info'!A:A, 0))</f>
        <v>None</v>
      </c>
    </row>
    <row r="1073" spans="1:33" ht="14.25" hidden="1" x14ac:dyDescent="0.2">
      <c r="A1073" s="18" t="str">
        <f t="array" ref="A1073">IF(G1073='Room Info'!$B$1, INDEX('Room Info'!$A$2:$A2446, MATCH(B1073,'Room Info'!$B$2:$B2446, 0)),IF(G1073='Room Info'!$C$1, INDEX('Room Info'!$A$2:$A2446, MATCH(B1073,'Room Info'!$C$2:$C2446, 0)),IF(G1073='Room Info'!$D$1, INDEX('Room Info'!$A$2:$A2446, MATCH(B1073,'Room Info'!$D$2:$D2446, 0)),IF(G1073='Room Info'!$E$1, INDEX('Room Info'!$A$2:$A2446, MATCH(B1073,'Room Info'!$E$2:$E2446, 0)),IF(G1073='Room Info'!$F$1, INDEX('Room Info'!$A$2:$A2446, MATCH(B1073,'Room Info'!$F$2:$F2446, 0)),IF(G1073='Room Info'!$H$1, INDEX('Room Info'!$A$2:$A2446, MATCH(B1073,'Room Info'!$H$2:$H2446, 0)),IF(G1073='Room Info'!$G$1, INDEX('Room Info'!$A$2:$A2446, MATCH(B1073,'Room Info'!$G$2:$G2446, 0)))))))))</f>
        <v>overplayKK</v>
      </c>
      <c r="B1073" s="45" t="s">
        <v>191</v>
      </c>
      <c r="C1073" s="46">
        <v>44217</v>
      </c>
      <c r="D1073" s="46">
        <v>44247</v>
      </c>
      <c r="E1073" s="47">
        <v>44228</v>
      </c>
      <c r="F1073" s="48" t="s">
        <v>34</v>
      </c>
      <c r="G1073" s="45" t="s">
        <v>35</v>
      </c>
      <c r="H1073" s="49" t="s">
        <v>83</v>
      </c>
      <c r="I1073" s="49" t="s">
        <v>37</v>
      </c>
      <c r="J1073" s="50">
        <v>10</v>
      </c>
      <c r="K1073" s="51">
        <v>127</v>
      </c>
      <c r="L1073" s="52">
        <v>40</v>
      </c>
      <c r="M1073" s="53">
        <v>31</v>
      </c>
      <c r="N1073" s="28">
        <f>K1073*J1073</f>
        <v>1270</v>
      </c>
      <c r="O1073" s="54">
        <v>16650</v>
      </c>
      <c r="P1073" s="29">
        <v>131.10236219999999</v>
      </c>
      <c r="Q1073" s="55"/>
      <c r="R1073" s="31">
        <f>M1073+Q1073</f>
        <v>31</v>
      </c>
      <c r="S1073" s="56">
        <v>192</v>
      </c>
      <c r="T1073" s="32">
        <f>R1073+S1073+IF(F1073="Without EV deal",L1073,0)</f>
        <v>223</v>
      </c>
      <c r="U1073" s="57">
        <v>1</v>
      </c>
      <c r="V1073" s="58"/>
      <c r="W1073" s="58"/>
      <c r="X1073" s="78">
        <v>0.25</v>
      </c>
      <c r="Y1073" s="30">
        <f>IF(AG1073="None",0,IF(AG1073="Fix5",0.05, IF(AG1073="Fix6.25",0.0625,IF(AG1073="Fix3.75",0.0375,IF(AG1073="Fix10",0.1,IF(AG1073="Fix3",0.03,0))))))</f>
        <v>0</v>
      </c>
      <c r="Z1073" s="35">
        <f>T1073-AA1073-AB1073</f>
        <v>167.25</v>
      </c>
      <c r="AA1073" s="29">
        <f>IF(AD1073="EUR",((T1073-R1073)*X1073)*U1073+(R1073*X1073),(T1073*X1073))</f>
        <v>55.75</v>
      </c>
      <c r="AB1073" s="36">
        <f>IF(AD1073="EUR",((T1073-R1073)*Y1073)*U1073+(R1073*Y1073),(T1073*Y1073))</f>
        <v>0</v>
      </c>
      <c r="AC1073" s="37" t="b">
        <v>1</v>
      </c>
      <c r="AD1073" s="37" t="s">
        <v>38</v>
      </c>
      <c r="AE1073" s="37" t="s">
        <v>38</v>
      </c>
      <c r="AF1073" s="37" t="str">
        <f t="array" ref="AF1073">INDEX('Deal Info'!D:D, MATCH(A1073,'Deal Info'!A:A, 0))</f>
        <v>SF</v>
      </c>
      <c r="AG1073" s="38" t="str">
        <f t="array" ref="AG1073">INDEX('Deal Info'!G:G, MATCH(A1073,'Deal Info'!A:A, 0))</f>
        <v>None</v>
      </c>
    </row>
    <row r="1074" spans="1:33" ht="14.25" hidden="1" x14ac:dyDescent="0.2">
      <c r="A1074" s="18" t="str">
        <f t="array" ref="A1074">IF(G1074='Room Info'!$B$1, INDEX('Room Info'!$A$2:$A2446, MATCH(B1074,'Room Info'!$B$2:$B2446, 0)),IF(G1074='Room Info'!$C$1, INDEX('Room Info'!$A$2:$A2446, MATCH(B1074,'Room Info'!$C$2:$C2446, 0)),IF(G1074='Room Info'!$D$1, INDEX('Room Info'!$A$2:$A2446, MATCH(B1074,'Room Info'!$D$2:$D2446, 0)),IF(G1074='Room Info'!$E$1, INDEX('Room Info'!$A$2:$A2446, MATCH(B1074,'Room Info'!$E$2:$E2446, 0)),IF(G1074='Room Info'!$F$1, INDEX('Room Info'!$A$2:$A2446, MATCH(B1074,'Room Info'!$F$2:$F2446, 0)),IF(G1074='Room Info'!$H$1, INDEX('Room Info'!$A$2:$A2446, MATCH(B1074,'Room Info'!$H$2:$H2446, 0)),IF(G1074='Room Info'!$G$1, INDEX('Room Info'!$A$2:$A2446, MATCH(B1074,'Room Info'!$G$2:$G2446, 0)))))))))</f>
        <v>overplayKK</v>
      </c>
      <c r="B1074" s="45" t="s">
        <v>191</v>
      </c>
      <c r="C1074" s="46">
        <v>44248</v>
      </c>
      <c r="D1074" s="46">
        <v>44275</v>
      </c>
      <c r="E1074" s="47">
        <v>44256</v>
      </c>
      <c r="F1074" s="48" t="s">
        <v>34</v>
      </c>
      <c r="G1074" s="45" t="s">
        <v>35</v>
      </c>
      <c r="H1074" s="49" t="s">
        <v>86</v>
      </c>
      <c r="I1074" s="49" t="s">
        <v>37</v>
      </c>
      <c r="J1074" s="50">
        <v>5</v>
      </c>
      <c r="K1074" s="51">
        <v>156</v>
      </c>
      <c r="L1074" s="52">
        <v>20</v>
      </c>
      <c r="M1074" s="53">
        <v>17</v>
      </c>
      <c r="N1074" s="28">
        <f>K1074*J1074</f>
        <v>780</v>
      </c>
      <c r="O1074" s="54">
        <v>15627</v>
      </c>
      <c r="P1074" s="29">
        <v>100.1730769</v>
      </c>
      <c r="Q1074" s="55"/>
      <c r="R1074" s="31">
        <f>M1074+Q1074</f>
        <v>17</v>
      </c>
      <c r="S1074" s="56">
        <v>80</v>
      </c>
      <c r="T1074" s="32">
        <f>R1074+S1074+IF(F1074="Without EV deal",L1074,0)</f>
        <v>97</v>
      </c>
      <c r="U1074" s="57">
        <v>1</v>
      </c>
      <c r="V1074" s="58"/>
      <c r="W1074" s="58"/>
      <c r="X1074" s="78">
        <v>0.22</v>
      </c>
      <c r="Y1074" s="30">
        <f>IF(AG1074="None",0,IF(AG1074="Fix5",0.05, IF(AG1074="Fix6.25",0.0625,IF(AG1074="Fix3.75",0.0375,IF(AG1074="Fix10",0.1,IF(AG1074="Fix3",0.03,0))))))</f>
        <v>0</v>
      </c>
      <c r="Z1074" s="35">
        <f>T1074-AA1074-AB1074</f>
        <v>75.66</v>
      </c>
      <c r="AA1074" s="29">
        <f>IF(AD1074="EUR",((T1074-R1074)*X1074)*U1074+(R1074*X1074),(T1074*X1074))</f>
        <v>21.34</v>
      </c>
      <c r="AB1074" s="36">
        <f>IF(AD1074="EUR",((T1074-R1074)*Y1074)*U1074+(R1074*Y1074),(T1074*Y1074))</f>
        <v>0</v>
      </c>
      <c r="AC1074" s="37" t="b">
        <v>1</v>
      </c>
      <c r="AD1074" s="37" t="s">
        <v>38</v>
      </c>
      <c r="AE1074" s="37" t="s">
        <v>38</v>
      </c>
      <c r="AF1074" s="37" t="str">
        <f t="array" ref="AF1074">INDEX('Deal Info'!D:D, MATCH(A1074,'Deal Info'!A:A, 0))</f>
        <v>SF</v>
      </c>
      <c r="AG1074" s="38" t="str">
        <f t="array" ref="AG1074">INDEX('Deal Info'!G:G, MATCH(A1074,'Deal Info'!A:A, 0))</f>
        <v>None</v>
      </c>
    </row>
    <row r="1075" spans="1:33" ht="14.25" hidden="1" x14ac:dyDescent="0.2">
      <c r="A1075" s="18" t="str">
        <f t="array" ref="A1075">IF(G1075='Room Info'!$B$1, INDEX('Room Info'!$A$2:$A2446, MATCH(B1075,'Room Info'!$B$2:$B2446, 0)),IF(G1075='Room Info'!$C$1, INDEX('Room Info'!$A$2:$A2446, MATCH(B1075,'Room Info'!$C$2:$C2446, 0)),IF(G1075='Room Info'!$D$1, INDEX('Room Info'!$A$2:$A2446, MATCH(B1075,'Room Info'!$D$2:$D2446, 0)),IF(G1075='Room Info'!$E$1, INDEX('Room Info'!$A$2:$A2446, MATCH(B1075,'Room Info'!$E$2:$E2446, 0)),IF(G1075='Room Info'!$F$1, INDEX('Room Info'!$A$2:$A2446, MATCH(B1075,'Room Info'!$F$2:$F2446, 0)),IF(G1075='Room Info'!$H$1, INDEX('Room Info'!$A$2:$A2446, MATCH(B1075,'Room Info'!$H$2:$H2446, 0)),IF(G1075='Room Info'!$G$1, INDEX('Room Info'!$A$2:$A2446, MATCH(B1075,'Room Info'!$G$2:$G2446, 0)))))))))</f>
        <v>overplayKK</v>
      </c>
      <c r="B1075" s="45" t="s">
        <v>191</v>
      </c>
      <c r="C1075" s="46">
        <v>44248</v>
      </c>
      <c r="D1075" s="46">
        <v>44275</v>
      </c>
      <c r="E1075" s="47">
        <v>44256</v>
      </c>
      <c r="F1075" s="48" t="s">
        <v>34</v>
      </c>
      <c r="G1075" s="45" t="s">
        <v>35</v>
      </c>
      <c r="H1075" s="49" t="s">
        <v>83</v>
      </c>
      <c r="I1075" s="49" t="s">
        <v>37</v>
      </c>
      <c r="J1075" s="50">
        <v>10</v>
      </c>
      <c r="K1075" s="51">
        <v>135</v>
      </c>
      <c r="L1075" s="52">
        <v>150</v>
      </c>
      <c r="M1075" s="53">
        <v>35</v>
      </c>
      <c r="N1075" s="28">
        <f>K1075*J1075</f>
        <v>1350</v>
      </c>
      <c r="O1075" s="54">
        <v>8810</v>
      </c>
      <c r="P1075" s="29">
        <v>65.259259259999993</v>
      </c>
      <c r="Q1075" s="55"/>
      <c r="R1075" s="31">
        <f>M1075+Q1075</f>
        <v>35</v>
      </c>
      <c r="S1075" s="56">
        <v>38</v>
      </c>
      <c r="T1075" s="32">
        <f>R1075+S1075+IF(F1075="Without EV deal",L1075,0)</f>
        <v>73</v>
      </c>
      <c r="U1075" s="57">
        <v>1</v>
      </c>
      <c r="V1075" s="58"/>
      <c r="W1075" s="58"/>
      <c r="X1075" s="78">
        <v>0.22</v>
      </c>
      <c r="Y1075" s="30">
        <f>IF(AG1075="None",0,IF(AG1075="Fix5",0.05, IF(AG1075="Fix6.25",0.0625,IF(AG1075="Fix3.75",0.0375,IF(AG1075="Fix10",0.1,IF(AG1075="Fix3",0.03,0))))))</f>
        <v>0</v>
      </c>
      <c r="Z1075" s="35">
        <f>T1075-AA1075-AB1075</f>
        <v>56.94</v>
      </c>
      <c r="AA1075" s="29">
        <f>IF(AD1075="EUR",((T1075-R1075)*X1075)*U1075+(R1075*X1075),(T1075*X1075))</f>
        <v>16.059999999999999</v>
      </c>
      <c r="AB1075" s="36">
        <f>IF(AD1075="EUR",((T1075-R1075)*Y1075)*U1075+(R1075*Y1075),(T1075*Y1075))</f>
        <v>0</v>
      </c>
      <c r="AC1075" s="37" t="b">
        <v>1</v>
      </c>
      <c r="AD1075" s="37" t="s">
        <v>38</v>
      </c>
      <c r="AE1075" s="37" t="s">
        <v>38</v>
      </c>
      <c r="AF1075" s="37" t="str">
        <f t="array" ref="AF1075">INDEX('Deal Info'!D:D, MATCH(A1075,'Deal Info'!A:A, 0))</f>
        <v>SF</v>
      </c>
      <c r="AG1075" s="38" t="str">
        <f t="array" ref="AG1075">INDEX('Deal Info'!G:G, MATCH(A1075,'Deal Info'!A:A, 0))</f>
        <v>None</v>
      </c>
    </row>
    <row r="1076" spans="1:33" ht="14.25" hidden="1" x14ac:dyDescent="0.2">
      <c r="A1076" s="18" t="str">
        <f t="array" ref="A1076">IF(G1076='Room Info'!$B$1, INDEX('Room Info'!$A$2:$A2446, MATCH(B1076,'Room Info'!$B$2:$B2446, 0)),IF(G1076='Room Info'!$C$1, INDEX('Room Info'!$A$2:$A2446, MATCH(B1076,'Room Info'!$C$2:$C2446, 0)),IF(G1076='Room Info'!$D$1, INDEX('Room Info'!$A$2:$A2446, MATCH(B1076,'Room Info'!$D$2:$D2446, 0)),IF(G1076='Room Info'!$E$1, INDEX('Room Info'!$A$2:$A2446, MATCH(B1076,'Room Info'!$E$2:$E2446, 0)),IF(G1076='Room Info'!$F$1, INDEX('Room Info'!$A$2:$A2446, MATCH(B1076,'Room Info'!$F$2:$F2446, 0)),IF(G1076='Room Info'!$H$1, INDEX('Room Info'!$A$2:$A2446, MATCH(B1076,'Room Info'!$H$2:$H2446, 0)),IF(G1076='Room Info'!$G$1, INDEX('Room Info'!$A$2:$A2446, MATCH(B1076,'Room Info'!$G$2:$G2446, 0)))))))))</f>
        <v>overplayKK</v>
      </c>
      <c r="B1076" s="45" t="s">
        <v>193</v>
      </c>
      <c r="C1076" s="46">
        <v>44248</v>
      </c>
      <c r="D1076" s="46">
        <v>44275</v>
      </c>
      <c r="E1076" s="47">
        <v>44256</v>
      </c>
      <c r="F1076" s="48" t="s">
        <v>34</v>
      </c>
      <c r="G1076" s="45" t="s">
        <v>80</v>
      </c>
      <c r="H1076" s="49" t="s">
        <v>40</v>
      </c>
      <c r="I1076" s="49" t="s">
        <v>81</v>
      </c>
      <c r="J1076" s="50">
        <v>10</v>
      </c>
      <c r="K1076" s="51">
        <v>4477</v>
      </c>
      <c r="L1076" s="52">
        <v>-960</v>
      </c>
      <c r="M1076" s="53">
        <v>3165</v>
      </c>
      <c r="N1076" s="28">
        <f>K1076*J1076</f>
        <v>44770</v>
      </c>
      <c r="O1076" s="54">
        <v>141045</v>
      </c>
      <c r="P1076" s="29">
        <v>31.5043556</v>
      </c>
      <c r="Q1076" s="55"/>
      <c r="R1076" s="31">
        <f>M1076+Q1076</f>
        <v>3165</v>
      </c>
      <c r="S1076" s="56">
        <v>-847</v>
      </c>
      <c r="T1076" s="32">
        <f>R1076+S1076+IF(F1076="Without EV deal",L1076,0)</f>
        <v>2318</v>
      </c>
      <c r="U1076" s="57">
        <v>1</v>
      </c>
      <c r="V1076" s="58"/>
      <c r="W1076" s="58"/>
      <c r="X1076" s="78">
        <v>0.22</v>
      </c>
      <c r="Y1076" s="30">
        <f>IF(AG1076="None",0,IF(AG1076="Fix5",0.05, IF(AG1076="Fix6.25",0.0625,IF(AG1076="Fix3.75",0.0375,IF(AG1076="Fix10",0.1,IF(AG1076="Fix3",0.03,0))))))</f>
        <v>0</v>
      </c>
      <c r="Z1076" s="35">
        <f>T1076-AA1076-AB1076</f>
        <v>1808.04</v>
      </c>
      <c r="AA1076" s="29">
        <f>IF(AD1076="EUR",((T1076-R1076)*X1076)*U1076+(R1076*X1076),(T1076*X1076))</f>
        <v>509.96</v>
      </c>
      <c r="AB1076" s="36">
        <f>IF(AD1076="EUR",((T1076-R1076)*Y1076)*U1076+(R1076*Y1076),(T1076*Y1076))</f>
        <v>0</v>
      </c>
      <c r="AC1076" s="37" t="b">
        <v>1</v>
      </c>
      <c r="AD1076" s="37" t="s">
        <v>38</v>
      </c>
      <c r="AE1076" s="37" t="s">
        <v>38</v>
      </c>
      <c r="AF1076" s="37" t="str">
        <f t="array" ref="AF1076">INDEX('Deal Info'!D:D, MATCH(A1076,'Deal Info'!A:A, 0))</f>
        <v>SF</v>
      </c>
      <c r="AG1076" s="38" t="str">
        <f t="array" ref="AG1076">INDEX('Deal Info'!G:G, MATCH(A1076,'Deal Info'!A:A, 0))</f>
        <v>None</v>
      </c>
    </row>
    <row r="1077" spans="1:33" ht="14.25" hidden="1" x14ac:dyDescent="0.2">
      <c r="A1077" s="18" t="str">
        <f t="array" ref="A1077">IF(G1077='Room Info'!$B$1, INDEX('Room Info'!$A$2:$A2446, MATCH(B1077,'Room Info'!$B$2:$B2446, 0)),IF(G1077='Room Info'!$C$1, INDEX('Room Info'!$A$2:$A2446, MATCH(B1077,'Room Info'!$C$2:$C2446, 0)),IF(G1077='Room Info'!$D$1, INDEX('Room Info'!$A$2:$A2446, MATCH(B1077,'Room Info'!$D$2:$D2446, 0)),IF(G1077='Room Info'!$E$1, INDEX('Room Info'!$A$2:$A2446, MATCH(B1077,'Room Info'!$E$2:$E2446, 0)),IF(G1077='Room Info'!$F$1, INDEX('Room Info'!$A$2:$A2446, MATCH(B1077,'Room Info'!$F$2:$F2446, 0)),IF(G1077='Room Info'!$H$1, INDEX('Room Info'!$A$2:$A2446, MATCH(B1077,'Room Info'!$H$2:$H2446, 0)),IF(G1077='Room Info'!$G$1, INDEX('Room Info'!$A$2:$A2446, MATCH(B1077,'Room Info'!$G$2:$G2446, 0)))))))))</f>
        <v>overplayKK</v>
      </c>
      <c r="B1077" s="45" t="s">
        <v>193</v>
      </c>
      <c r="C1077" s="77">
        <v>44248</v>
      </c>
      <c r="D1077" s="77">
        <v>44275</v>
      </c>
      <c r="E1077" s="47">
        <v>44256</v>
      </c>
      <c r="F1077" s="48" t="s">
        <v>34</v>
      </c>
      <c r="G1077" s="45" t="s">
        <v>80</v>
      </c>
      <c r="H1077" s="49" t="s">
        <v>40</v>
      </c>
      <c r="I1077" s="49" t="s">
        <v>81</v>
      </c>
      <c r="J1077" s="74">
        <v>10</v>
      </c>
      <c r="K1077" s="75">
        <v>3939</v>
      </c>
      <c r="L1077" s="72">
        <v>-2210</v>
      </c>
      <c r="M1077" s="76">
        <v>2784</v>
      </c>
      <c r="N1077" s="28">
        <f>K1077*J1077</f>
        <v>39390</v>
      </c>
      <c r="O1077" s="45">
        <v>49163</v>
      </c>
      <c r="P1077" s="29">
        <v>12.48108657</v>
      </c>
      <c r="Q1077" s="55"/>
      <c r="R1077" s="31">
        <f>M1077+Q1077</f>
        <v>2784</v>
      </c>
      <c r="S1077" s="73">
        <v>-1631</v>
      </c>
      <c r="T1077" s="32">
        <f>R1077+S1077+IF(F1077="Without EV deal",L1077,0)</f>
        <v>1153</v>
      </c>
      <c r="U1077" s="57">
        <v>1</v>
      </c>
      <c r="V1077" s="58"/>
      <c r="W1077" s="58"/>
      <c r="X1077" s="78">
        <v>0.22</v>
      </c>
      <c r="Y1077" s="30">
        <f>IF(AG1077="None",0,IF(AG1077="Fix5",0.05, IF(AG1077="Fix6.25",0.0625,IF(AG1077="Fix3.75",0.0375,IF(AG1077="Fix10",0.1,IF(AG1077="Fix3",0.03,0))))))</f>
        <v>0</v>
      </c>
      <c r="Z1077" s="35">
        <f>T1077-AA1077-AB1077</f>
        <v>899.34</v>
      </c>
      <c r="AA1077" s="29">
        <f>IF(AD1077="EUR",((T1077-R1077)*X1077)*U1077+(R1077*X1077),(T1077*X1077))</f>
        <v>253.66</v>
      </c>
      <c r="AB1077" s="36">
        <f>IF(AD1077="EUR",((T1077-R1077)*Y1077)*U1077+(R1077*Y1077),(T1077*Y1077))</f>
        <v>0</v>
      </c>
      <c r="AC1077" s="37" t="b">
        <v>1</v>
      </c>
      <c r="AD1077" s="37" t="s">
        <v>38</v>
      </c>
      <c r="AE1077" s="37" t="s">
        <v>38</v>
      </c>
      <c r="AF1077" s="37" t="str">
        <f t="array" ref="AF1077">INDEX('Deal Info'!D:D, MATCH(A1077,'Deal Info'!A:A, 0))</f>
        <v>SF</v>
      </c>
      <c r="AG1077" s="38" t="str">
        <f t="array" ref="AG1077">INDEX('Deal Info'!G:G, MATCH(A1077,'Deal Info'!A:A, 0))</f>
        <v>None</v>
      </c>
    </row>
    <row r="1078" spans="1:33" ht="14.25" hidden="1" x14ac:dyDescent="0.2">
      <c r="A1078" s="18" t="str">
        <f t="array" ref="A1078">IF(G1078='Room Info'!$B$1, INDEX('Room Info'!$A$2:$A2446, MATCH(B1078,'Room Info'!$B$2:$B2446, 0)),IF(G1078='Room Info'!$C$1, INDEX('Room Info'!$A$2:$A2446, MATCH(B1078,'Room Info'!$C$2:$C2446, 0)),IF(G1078='Room Info'!$D$1, INDEX('Room Info'!$A$2:$A2446, MATCH(B1078,'Room Info'!$D$2:$D2446, 0)),IF(G1078='Room Info'!$E$1, INDEX('Room Info'!$A$2:$A2446, MATCH(B1078,'Room Info'!$E$2:$E2446, 0)),IF(G1078='Room Info'!$F$1, INDEX('Room Info'!$A$2:$A2446, MATCH(B1078,'Room Info'!$F$2:$F2446, 0)),IF(G1078='Room Info'!$H$1, INDEX('Room Info'!$A$2:$A2446, MATCH(B1078,'Room Info'!$H$2:$H2446, 0)),IF(G1078='Room Info'!$G$1, INDEX('Room Info'!$A$2:$A2446, MATCH(B1078,'Room Info'!$G$2:$G2446, 0)))))))))</f>
        <v>overplayKK</v>
      </c>
      <c r="B1078" s="45" t="s">
        <v>193</v>
      </c>
      <c r="C1078" s="77">
        <v>44248</v>
      </c>
      <c r="D1078" s="77">
        <v>44275</v>
      </c>
      <c r="E1078" s="47">
        <v>44256</v>
      </c>
      <c r="F1078" s="48" t="s">
        <v>34</v>
      </c>
      <c r="G1078" s="54" t="s">
        <v>80</v>
      </c>
      <c r="H1078" s="49" t="s">
        <v>71</v>
      </c>
      <c r="I1078" s="49" t="s">
        <v>81</v>
      </c>
      <c r="J1078" s="74">
        <v>20</v>
      </c>
      <c r="K1078" s="75">
        <v>49</v>
      </c>
      <c r="L1078" s="72">
        <v>380</v>
      </c>
      <c r="M1078" s="53">
        <v>69</v>
      </c>
      <c r="N1078" s="28">
        <f>K1078*J1078</f>
        <v>980</v>
      </c>
      <c r="O1078" s="45">
        <v>369</v>
      </c>
      <c r="P1078" s="29">
        <v>7.5306122450000004</v>
      </c>
      <c r="Q1078" s="55"/>
      <c r="R1078" s="31">
        <f>M1078+Q1078</f>
        <v>69</v>
      </c>
      <c r="S1078" s="73">
        <v>-61</v>
      </c>
      <c r="T1078" s="32">
        <f>R1078+S1078+IF(F1078="Without EV deal",L1078,0)</f>
        <v>8</v>
      </c>
      <c r="U1078" s="57">
        <v>1</v>
      </c>
      <c r="V1078" s="58"/>
      <c r="W1078" s="58"/>
      <c r="X1078" s="78">
        <v>0.22</v>
      </c>
      <c r="Y1078" s="30">
        <f>IF(AG1078="None",0,IF(AG1078="Fix5",0.05, IF(AG1078="Fix6.25",0.0625,IF(AG1078="Fix3.75",0.0375,IF(AG1078="Fix10",0.1,IF(AG1078="Fix3",0.03,0))))))</f>
        <v>0</v>
      </c>
      <c r="Z1078" s="35">
        <f>T1078-AA1078-AB1078</f>
        <v>6.24</v>
      </c>
      <c r="AA1078" s="29">
        <f>IF(AD1078="EUR",((T1078-R1078)*X1078)*U1078+(R1078*X1078),(T1078*X1078))</f>
        <v>1.76</v>
      </c>
      <c r="AB1078" s="36">
        <f>IF(AD1078="EUR",((T1078-R1078)*Y1078)*U1078+(R1078*Y1078),(T1078*Y1078))</f>
        <v>0</v>
      </c>
      <c r="AC1078" s="37" t="b">
        <v>1</v>
      </c>
      <c r="AD1078" s="37" t="s">
        <v>38</v>
      </c>
      <c r="AE1078" s="37" t="s">
        <v>38</v>
      </c>
      <c r="AF1078" s="37" t="str">
        <f t="array" ref="AF1078">INDEX('Deal Info'!D:D, MATCH(A1078,'Deal Info'!A:A, 0))</f>
        <v>SF</v>
      </c>
      <c r="AG1078" s="38" t="str">
        <f t="array" ref="AG1078">INDEX('Deal Info'!G:G, MATCH(A1078,'Deal Info'!A:A, 0))</f>
        <v>None</v>
      </c>
    </row>
    <row r="1079" spans="1:33" ht="14.25" hidden="1" x14ac:dyDescent="0.2">
      <c r="A1079" s="18" t="str">
        <f t="array" ref="A1079">IF(G1079='Room Info'!$B$1, INDEX('Room Info'!$A$2:$A2446, MATCH(B1079,'Room Info'!$B$2:$B2446, 0)),IF(G1079='Room Info'!$C$1, INDEX('Room Info'!$A$2:$A2446, MATCH(B1079,'Room Info'!$C$2:$C2446, 0)),IF(G1079='Room Info'!$D$1, INDEX('Room Info'!$A$2:$A2446, MATCH(B1079,'Room Info'!$D$2:$D2446, 0)),IF(G1079='Room Info'!$E$1, INDEX('Room Info'!$A$2:$A2446, MATCH(B1079,'Room Info'!$E$2:$E2446, 0)),IF(G1079='Room Info'!$F$1, INDEX('Room Info'!$A$2:$A2446, MATCH(B1079,'Room Info'!$F$2:$F2446, 0)),IF(G1079='Room Info'!$H$1, INDEX('Room Info'!$A$2:$A2446, MATCH(B1079,'Room Info'!$H$2:$H2446, 0)),IF(G1079='Room Info'!$G$1, INDEX('Room Info'!$A$2:$A2446, MATCH(B1079,'Room Info'!$G$2:$G2446, 0)))))))))</f>
        <v>overplayKK</v>
      </c>
      <c r="B1079" s="45" t="s">
        <v>193</v>
      </c>
      <c r="C1079" s="77">
        <v>44248</v>
      </c>
      <c r="D1079" s="77">
        <v>44275</v>
      </c>
      <c r="E1079" s="47">
        <v>44256</v>
      </c>
      <c r="F1079" s="48" t="s">
        <v>34</v>
      </c>
      <c r="G1079" s="45" t="s">
        <v>80</v>
      </c>
      <c r="H1079" s="49" t="s">
        <v>71</v>
      </c>
      <c r="I1079" s="49" t="s">
        <v>81</v>
      </c>
      <c r="J1079" s="74">
        <v>20</v>
      </c>
      <c r="K1079" s="75">
        <v>89</v>
      </c>
      <c r="L1079" s="72">
        <v>-20</v>
      </c>
      <c r="M1079" s="76">
        <v>126</v>
      </c>
      <c r="N1079" s="28">
        <f>K1079*J1079</f>
        <v>1780</v>
      </c>
      <c r="O1079" s="45">
        <v>-2422</v>
      </c>
      <c r="P1079" s="29">
        <v>-27.213483149999998</v>
      </c>
      <c r="Q1079" s="55"/>
      <c r="R1079" s="31">
        <f>M1079+Q1079</f>
        <v>126</v>
      </c>
      <c r="S1079" s="73">
        <v>-278</v>
      </c>
      <c r="T1079" s="32">
        <f>R1079+S1079+IF(F1079="Without EV deal",L1079,0)</f>
        <v>-152</v>
      </c>
      <c r="U1079" s="57">
        <v>1</v>
      </c>
      <c r="V1079" s="58"/>
      <c r="W1079" s="58"/>
      <c r="X1079" s="78">
        <v>0.22</v>
      </c>
      <c r="Y1079" s="30">
        <f>IF(AG1079="None",0,IF(AG1079="Fix5",0.05, IF(AG1079="Fix6.25",0.0625,IF(AG1079="Fix3.75",0.0375,IF(AG1079="Fix10",0.1,IF(AG1079="Fix3",0.03,0))))))</f>
        <v>0</v>
      </c>
      <c r="Z1079" s="35">
        <f>T1079-AA1079-AB1079</f>
        <v>-118.56</v>
      </c>
      <c r="AA1079" s="29">
        <f>IF(AD1079="EUR",((T1079-R1079)*X1079)*U1079+(R1079*X1079),(T1079*X1079))</f>
        <v>-33.44</v>
      </c>
      <c r="AB1079" s="36">
        <f>IF(AD1079="EUR",((T1079-R1079)*Y1079)*U1079+(R1079*Y1079),(T1079*Y1079))</f>
        <v>0</v>
      </c>
      <c r="AC1079" s="37" t="b">
        <v>1</v>
      </c>
      <c r="AD1079" s="37" t="s">
        <v>38</v>
      </c>
      <c r="AE1079" s="37" t="s">
        <v>38</v>
      </c>
      <c r="AF1079" s="37" t="str">
        <f t="array" ref="AF1079">INDEX('Deal Info'!D:D, MATCH(A1079,'Deal Info'!A:A, 0))</f>
        <v>SF</v>
      </c>
      <c r="AG1079" s="38" t="str">
        <f t="array" ref="AG1079">INDEX('Deal Info'!G:G, MATCH(A1079,'Deal Info'!A:A, 0))</f>
        <v>None</v>
      </c>
    </row>
    <row r="1080" spans="1:33" ht="14.25" hidden="1" x14ac:dyDescent="0.2">
      <c r="A1080" s="18" t="str">
        <f t="array" ref="A1080">IF(G1080='Room Info'!$B$1, INDEX('Room Info'!$A$2:$A2446, MATCH(B1080,'Room Info'!$B$2:$B2446, 0)),IF(G1080='Room Info'!$C$1, INDEX('Room Info'!$A$2:$A2446, MATCH(B1080,'Room Info'!$C$2:$C2446, 0)),IF(G1080='Room Info'!$D$1, INDEX('Room Info'!$A$2:$A2446, MATCH(B1080,'Room Info'!$D$2:$D2446, 0)),IF(G1080='Room Info'!$E$1, INDEX('Room Info'!$A$2:$A2446, MATCH(B1080,'Room Info'!$E$2:$E2446, 0)),IF(G1080='Room Info'!$F$1, INDEX('Room Info'!$A$2:$A2446, MATCH(B1080,'Room Info'!$F$2:$F2446, 0)),IF(G1080='Room Info'!$H$1, INDEX('Room Info'!$A$2:$A2446, MATCH(B1080,'Room Info'!$H$2:$H2446, 0)),IF(G1080='Room Info'!$G$1, INDEX('Room Info'!$A$2:$A2446, MATCH(B1080,'Room Info'!$G$2:$G2446, 0)))))))))</f>
        <v>overplayKK</v>
      </c>
      <c r="B1080" s="45" t="s">
        <v>193</v>
      </c>
      <c r="C1080" s="77">
        <v>44276</v>
      </c>
      <c r="D1080" s="77">
        <v>44306</v>
      </c>
      <c r="E1080" s="47">
        <v>44287</v>
      </c>
      <c r="F1080" s="48" t="s">
        <v>34</v>
      </c>
      <c r="G1080" s="45" t="s">
        <v>80</v>
      </c>
      <c r="H1080" s="49" t="s">
        <v>40</v>
      </c>
      <c r="I1080" s="49" t="s">
        <v>81</v>
      </c>
      <c r="J1080" s="74">
        <v>10</v>
      </c>
      <c r="K1080" s="75">
        <v>4690</v>
      </c>
      <c r="L1080" s="72">
        <v>-1660</v>
      </c>
      <c r="M1080" s="76">
        <v>2840</v>
      </c>
      <c r="N1080" s="28">
        <f>K1080*J1080</f>
        <v>46900</v>
      </c>
      <c r="O1080" s="45">
        <v>30700</v>
      </c>
      <c r="P1080" s="29">
        <v>6.5458422169999997</v>
      </c>
      <c r="Q1080" s="55"/>
      <c r="R1080" s="31">
        <f>M1080+Q1080</f>
        <v>2840</v>
      </c>
      <c r="S1080" s="73">
        <v>-2702</v>
      </c>
      <c r="T1080" s="32">
        <f>R1080+S1080+IF(F1080="Without EV deal",L1080,0)</f>
        <v>138</v>
      </c>
      <c r="U1080" s="57">
        <v>1</v>
      </c>
      <c r="V1080" s="58"/>
      <c r="W1080" s="58"/>
      <c r="X1080" s="78">
        <v>0.3</v>
      </c>
      <c r="Y1080" s="30">
        <f>IF(AG1080="None",0,IF(AG1080="Fix5",0.05, IF(AG1080="Fix6.25",0.0625,IF(AG1080="Fix3.75",0.0375,IF(AG1080="Fix10",0.1,IF(AG1080="Fix3",0.03,0))))))</f>
        <v>0</v>
      </c>
      <c r="Z1080" s="35">
        <f>T1080-AA1080-AB1080</f>
        <v>96.6</v>
      </c>
      <c r="AA1080" s="29">
        <f>IF(AD1080="EUR",((T1080-R1080)*X1080)*U1080+(R1080*X1080),(T1080*X1080))</f>
        <v>41.4</v>
      </c>
      <c r="AB1080" s="36">
        <f>IF(AD1080="EUR",((T1080-R1080)*Y1080)*U1080+(R1080*Y1080),(T1080*Y1080))</f>
        <v>0</v>
      </c>
      <c r="AC1080" s="37" t="b">
        <v>1</v>
      </c>
      <c r="AD1080" s="37" t="s">
        <v>38</v>
      </c>
      <c r="AE1080" s="37" t="s">
        <v>38</v>
      </c>
      <c r="AF1080" s="37" t="str">
        <f t="array" ref="AF1080">INDEX('Deal Info'!D:D, MATCH(A1080,'Deal Info'!A:A, 0))</f>
        <v>SF</v>
      </c>
      <c r="AG1080" s="38" t="str">
        <f t="array" ref="AG1080">INDEX('Deal Info'!G:G, MATCH(A1080,'Deal Info'!A:A, 0))</f>
        <v>None</v>
      </c>
    </row>
    <row r="1081" spans="1:33" ht="14.25" hidden="1" x14ac:dyDescent="0.2">
      <c r="A1081" s="18" t="str">
        <f t="array" ref="A1081">IF(G1081='Room Info'!$B$1, INDEX('Room Info'!$A$2:$A2446, MATCH(B1081,'Room Info'!$B$2:$B2446, 0)),IF(G1081='Room Info'!$C$1, INDEX('Room Info'!$A$2:$A2446, MATCH(B1081,'Room Info'!$C$2:$C2446, 0)),IF(G1081='Room Info'!$D$1, INDEX('Room Info'!$A$2:$A2446, MATCH(B1081,'Room Info'!$D$2:$D2446, 0)),IF(G1081='Room Info'!$E$1, INDEX('Room Info'!$A$2:$A2446, MATCH(B1081,'Room Info'!$E$2:$E2446, 0)),IF(G1081='Room Info'!$F$1, INDEX('Room Info'!$A$2:$A2446, MATCH(B1081,'Room Info'!$F$2:$F2446, 0)),IF(G1081='Room Info'!$H$1, INDEX('Room Info'!$A$2:$A2446, MATCH(B1081,'Room Info'!$H$2:$H2446, 0)),IF(G1081='Room Info'!$G$1, INDEX('Room Info'!$A$2:$A2446, MATCH(B1081,'Room Info'!$G$2:$G2446, 0)))))))))</f>
        <v>overplayKK</v>
      </c>
      <c r="B1081" s="45" t="s">
        <v>193</v>
      </c>
      <c r="C1081" s="77">
        <v>44276</v>
      </c>
      <c r="D1081" s="77">
        <v>44306</v>
      </c>
      <c r="E1081" s="47">
        <v>44287</v>
      </c>
      <c r="F1081" s="48" t="s">
        <v>34</v>
      </c>
      <c r="G1081" s="45" t="s">
        <v>80</v>
      </c>
      <c r="H1081" s="49" t="s">
        <v>71</v>
      </c>
      <c r="I1081" s="49" t="s">
        <v>81</v>
      </c>
      <c r="J1081" s="74">
        <v>20</v>
      </c>
      <c r="K1081" s="75">
        <v>4826</v>
      </c>
      <c r="L1081" s="72">
        <v>-9200</v>
      </c>
      <c r="M1081" s="76">
        <v>5845</v>
      </c>
      <c r="N1081" s="28">
        <f>K1081*J1081</f>
        <v>96520</v>
      </c>
      <c r="O1081" s="45">
        <v>17633</v>
      </c>
      <c r="P1081" s="29">
        <v>3.6537505179999998</v>
      </c>
      <c r="Q1081" s="55"/>
      <c r="R1081" s="31">
        <f>M1081+Q1081</f>
        <v>5845</v>
      </c>
      <c r="S1081" s="73">
        <v>-6365</v>
      </c>
      <c r="T1081" s="32">
        <f>R1081+S1081+IF(F1081="Without EV deal",L1081,0)</f>
        <v>-520</v>
      </c>
      <c r="U1081" s="57">
        <v>1</v>
      </c>
      <c r="V1081" s="58"/>
      <c r="W1081" s="58"/>
      <c r="X1081" s="78">
        <v>0.3</v>
      </c>
      <c r="Y1081" s="30">
        <f>IF(AG1081="None",0,IF(AG1081="Fix5",0.05, IF(AG1081="Fix6.25",0.0625,IF(AG1081="Fix3.75",0.0375,IF(AG1081="Fix10",0.1,IF(AG1081="Fix3",0.03,0))))))</f>
        <v>0</v>
      </c>
      <c r="Z1081" s="35">
        <f>T1081-AA1081-AB1081</f>
        <v>-364</v>
      </c>
      <c r="AA1081" s="29">
        <f>IF(AD1081="EUR",((T1081-R1081)*X1081)*U1081+(R1081*X1081),(T1081*X1081))</f>
        <v>-156</v>
      </c>
      <c r="AB1081" s="36">
        <f>IF(AD1081="EUR",((T1081-R1081)*Y1081)*U1081+(R1081*Y1081),(T1081*Y1081))</f>
        <v>0</v>
      </c>
      <c r="AC1081" s="37" t="b">
        <v>1</v>
      </c>
      <c r="AD1081" s="37" t="s">
        <v>38</v>
      </c>
      <c r="AE1081" s="37" t="s">
        <v>38</v>
      </c>
      <c r="AF1081" s="37" t="str">
        <f t="array" ref="AF1081">INDEX('Deal Info'!D:D, MATCH(A1081,'Deal Info'!A:A, 0))</f>
        <v>SF</v>
      </c>
      <c r="AG1081" s="38" t="str">
        <f t="array" ref="AG1081">INDEX('Deal Info'!G:G, MATCH(A1081,'Deal Info'!A:A, 0))</f>
        <v>None</v>
      </c>
    </row>
    <row r="1082" spans="1:33" ht="14.25" hidden="1" x14ac:dyDescent="0.2">
      <c r="A1082" s="18" t="str">
        <f t="array" ref="A1082">IF(G1082='Room Info'!$B$1, INDEX('Room Info'!$A$2:$A2446, MATCH(B1082,'Room Info'!$B$2:$B2446, 0)),IF(G1082='Room Info'!$C$1, INDEX('Room Info'!$A$2:$A2446, MATCH(B1082,'Room Info'!$C$2:$C2446, 0)),IF(G1082='Room Info'!$D$1, INDEX('Room Info'!$A$2:$A2446, MATCH(B1082,'Room Info'!$D$2:$D2446, 0)),IF(G1082='Room Info'!$E$1, INDEX('Room Info'!$A$2:$A2446, MATCH(B1082,'Room Info'!$E$2:$E2446, 0)),IF(G1082='Room Info'!$F$1, INDEX('Room Info'!$A$2:$A2446, MATCH(B1082,'Room Info'!$F$2:$F2446, 0)),IF(G1082='Room Info'!$H$1, INDEX('Room Info'!$A$2:$A2446, MATCH(B1082,'Room Info'!$H$2:$H2446, 0)),IF(G1082='Room Info'!$G$1, INDEX('Room Info'!$A$2:$A2446, MATCH(B1082,'Room Info'!$G$2:$G2446, 0)))))))))</f>
        <v>overplayKK</v>
      </c>
      <c r="B1082" s="45" t="s">
        <v>193</v>
      </c>
      <c r="C1082" s="77">
        <v>44307</v>
      </c>
      <c r="D1082" s="77">
        <v>44336</v>
      </c>
      <c r="E1082" s="47">
        <v>44317</v>
      </c>
      <c r="F1082" s="48" t="s">
        <v>34</v>
      </c>
      <c r="G1082" s="45" t="s">
        <v>80</v>
      </c>
      <c r="H1082" s="49" t="s">
        <v>71</v>
      </c>
      <c r="I1082" s="49" t="s">
        <v>81</v>
      </c>
      <c r="J1082" s="74">
        <v>20</v>
      </c>
      <c r="K1082" s="75">
        <v>7498</v>
      </c>
      <c r="L1082" s="72">
        <v>-11900</v>
      </c>
      <c r="M1082" s="76">
        <v>8029</v>
      </c>
      <c r="N1082" s="28">
        <f>K1082*J1082</f>
        <v>149960</v>
      </c>
      <c r="O1082" s="45">
        <v>12652</v>
      </c>
      <c r="P1082" s="29">
        <v>1.687383302</v>
      </c>
      <c r="Q1082" s="55"/>
      <c r="R1082" s="31">
        <f>M1082+Q1082</f>
        <v>8029</v>
      </c>
      <c r="S1082" s="73">
        <v>-10740</v>
      </c>
      <c r="T1082" s="32">
        <f>R1082+S1082+IF(F1082="Without EV deal",L1082,0)</f>
        <v>-2711</v>
      </c>
      <c r="U1082" s="57">
        <v>1</v>
      </c>
      <c r="V1082" s="58"/>
      <c r="W1082" s="58"/>
      <c r="X1082" s="78">
        <v>0.3</v>
      </c>
      <c r="Y1082" s="30">
        <f>IF(AG1082="None",0,IF(AG1082="Fix5",0.05, IF(AG1082="Fix6.25",0.0625,IF(AG1082="Fix3.75",0.0375,IF(AG1082="Fix10",0.1,IF(AG1082="Fix3",0.03,0))))))</f>
        <v>0</v>
      </c>
      <c r="Z1082" s="35">
        <f>T1082-AA1082-AB1082</f>
        <v>-1897.7</v>
      </c>
      <c r="AA1082" s="29">
        <f>IF(AD1082="EUR",((T1082-R1082)*X1082)*U1082+(R1082*X1082),(T1082*X1082))</f>
        <v>-813.3</v>
      </c>
      <c r="AB1082" s="36">
        <f>IF(AD1082="EUR",((T1082-R1082)*Y1082)*U1082+(R1082*Y1082),(T1082*Y1082))</f>
        <v>0</v>
      </c>
      <c r="AC1082" s="37" t="b">
        <v>1</v>
      </c>
      <c r="AD1082" s="37" t="s">
        <v>38</v>
      </c>
      <c r="AE1082" s="37" t="s">
        <v>38</v>
      </c>
      <c r="AF1082" s="37" t="str">
        <f t="array" ref="AF1082">INDEX('Deal Info'!D:D, MATCH(A1082,'Deal Info'!A:A, 0))</f>
        <v>SF</v>
      </c>
      <c r="AG1082" s="38" t="str">
        <f t="array" ref="AG1082">INDEX('Deal Info'!G:G, MATCH(A1082,'Deal Info'!A:A, 0))</f>
        <v>None</v>
      </c>
    </row>
    <row r="1083" spans="1:33" ht="14.25" hidden="1" x14ac:dyDescent="0.2">
      <c r="A1083" s="18" t="str">
        <f t="array" ref="A1083">IF(G1083='Room Info'!$B$1, INDEX('Room Info'!$A$2:$A2446, MATCH(B1083,'Room Info'!$B$2:$B2446, 0)),IF(G1083='Room Info'!$C$1, INDEX('Room Info'!$A$2:$A2446, MATCH(B1083,'Room Info'!$C$2:$C2446, 0)),IF(G1083='Room Info'!$D$1, INDEX('Room Info'!$A$2:$A2446, MATCH(B1083,'Room Info'!$D$2:$D2446, 0)),IF(G1083='Room Info'!$E$1, INDEX('Room Info'!$A$2:$A2446, MATCH(B1083,'Room Info'!$E$2:$E2446, 0)),IF(G1083='Room Info'!$F$1, INDEX('Room Info'!$A$2:$A2446, MATCH(B1083,'Room Info'!$F$2:$F2446, 0)),IF(G1083='Room Info'!$H$1, INDEX('Room Info'!$A$2:$A2446, MATCH(B1083,'Room Info'!$H$2:$H2446, 0)),IF(G1083='Room Info'!$G$1, INDEX('Room Info'!$A$2:$A2446, MATCH(B1083,'Room Info'!$G$2:$G2446, 0)))))))))</f>
        <v>overplayKK</v>
      </c>
      <c r="B1083" s="45" t="s">
        <v>193</v>
      </c>
      <c r="C1083" s="77">
        <v>44307</v>
      </c>
      <c r="D1083" s="77">
        <v>44336</v>
      </c>
      <c r="E1083" s="47">
        <v>44317</v>
      </c>
      <c r="F1083" s="48" t="s">
        <v>34</v>
      </c>
      <c r="G1083" s="45" t="s">
        <v>80</v>
      </c>
      <c r="H1083" s="49" t="s">
        <v>72</v>
      </c>
      <c r="I1083" s="49" t="s">
        <v>81</v>
      </c>
      <c r="J1083" s="74">
        <v>50</v>
      </c>
      <c r="K1083" s="75">
        <v>67</v>
      </c>
      <c r="L1083" s="72">
        <v>750</v>
      </c>
      <c r="M1083" s="76">
        <v>3529</v>
      </c>
      <c r="N1083" s="28">
        <f>K1083*J1083</f>
        <v>3350</v>
      </c>
      <c r="O1083" s="45">
        <v>1355</v>
      </c>
      <c r="P1083" s="29">
        <v>20.223880600000001</v>
      </c>
      <c r="Q1083" s="55"/>
      <c r="R1083" s="31">
        <f>M1083+Q1083</f>
        <v>3529</v>
      </c>
      <c r="S1083" s="73">
        <v>-61</v>
      </c>
      <c r="T1083" s="32">
        <f>R1083+S1083+IF(F1083="Without EV deal",L1083,0)</f>
        <v>3468</v>
      </c>
      <c r="U1083" s="57">
        <v>1</v>
      </c>
      <c r="V1083" s="58"/>
      <c r="W1083" s="58"/>
      <c r="X1083" s="78">
        <v>0.3</v>
      </c>
      <c r="Y1083" s="30">
        <f>IF(AG1083="None",0,IF(AG1083="Fix5",0.05, IF(AG1083="Fix6.25",0.0625,IF(AG1083="Fix3.75",0.0375,IF(AG1083="Fix10",0.1,IF(AG1083="Fix3",0.03,0))))))</f>
        <v>0</v>
      </c>
      <c r="Z1083" s="35">
        <f>T1083-AA1083-AB1083</f>
        <v>2427.6000000000004</v>
      </c>
      <c r="AA1083" s="29">
        <f>IF(AD1083="EUR",((T1083-R1083)*X1083)*U1083+(R1083*X1083),(T1083*X1083))</f>
        <v>1040.3999999999999</v>
      </c>
      <c r="AB1083" s="36">
        <f>IF(AD1083="EUR",((T1083-R1083)*Y1083)*U1083+(R1083*Y1083),(T1083*Y1083))</f>
        <v>0</v>
      </c>
      <c r="AC1083" s="37" t="b">
        <v>1</v>
      </c>
      <c r="AD1083" s="37" t="s">
        <v>38</v>
      </c>
      <c r="AE1083" s="37" t="s">
        <v>38</v>
      </c>
      <c r="AF1083" s="37" t="str">
        <f t="array" ref="AF1083">INDEX('Deal Info'!D:D, MATCH(A1083,'Deal Info'!A:A, 0))</f>
        <v>SF</v>
      </c>
      <c r="AG1083" s="38" t="str">
        <f t="array" ref="AG1083">INDEX('Deal Info'!G:G, MATCH(A1083,'Deal Info'!A:A, 0))</f>
        <v>None</v>
      </c>
    </row>
    <row r="1084" spans="1:33" ht="14.25" hidden="1" x14ac:dyDescent="0.2">
      <c r="A1084" s="18" t="str">
        <f t="array" ref="A1084">IF(G1084='Room Info'!$B$1, INDEX('Room Info'!$A$2:$A2446, MATCH(B1084,'Room Info'!$B$2:$B2446, 0)),IF(G1084='Room Info'!$C$1, INDEX('Room Info'!$A$2:$A2446, MATCH(B1084,'Room Info'!$C$2:$C2446, 0)),IF(G1084='Room Info'!$D$1, INDEX('Room Info'!$A$2:$A2446, MATCH(B1084,'Room Info'!$D$2:$D2446, 0)),IF(G1084='Room Info'!$E$1, INDEX('Room Info'!$A$2:$A2446, MATCH(B1084,'Room Info'!$E$2:$E2446, 0)),IF(G1084='Room Info'!$F$1, INDEX('Room Info'!$A$2:$A2446, MATCH(B1084,'Room Info'!$F$2:$F2446, 0)),IF(G1084='Room Info'!$H$1, INDEX('Room Info'!$A$2:$A2446, MATCH(B1084,'Room Info'!$H$2:$H2446, 0)),IF(G1084='Room Info'!$G$1, INDEX('Room Info'!$A$2:$A2446, MATCH(B1084,'Room Info'!$G$2:$G2446, 0)))))))))</f>
        <v>overplayKK</v>
      </c>
      <c r="B1084" s="45" t="s">
        <v>193</v>
      </c>
      <c r="C1084" s="77">
        <v>44337</v>
      </c>
      <c r="D1084" s="77">
        <v>44367</v>
      </c>
      <c r="E1084" s="47">
        <v>44348</v>
      </c>
      <c r="F1084" s="48" t="s">
        <v>34</v>
      </c>
      <c r="G1084" s="45" t="s">
        <v>80</v>
      </c>
      <c r="H1084" s="49" t="s">
        <v>71</v>
      </c>
      <c r="I1084" s="49" t="s">
        <v>81</v>
      </c>
      <c r="J1084" s="74">
        <v>20</v>
      </c>
      <c r="K1084" s="75">
        <v>5029</v>
      </c>
      <c r="L1084" s="72">
        <v>-3900</v>
      </c>
      <c r="M1084" s="76">
        <v>6944</v>
      </c>
      <c r="N1084" s="28">
        <f>K1084*J1084</f>
        <v>100580</v>
      </c>
      <c r="O1084" s="45">
        <v>33583</v>
      </c>
      <c r="P1084" s="29">
        <v>6.677868363</v>
      </c>
      <c r="Q1084" s="55"/>
      <c r="R1084" s="31">
        <f>M1084+Q1084</f>
        <v>6944</v>
      </c>
      <c r="S1084" s="73">
        <v>-5250</v>
      </c>
      <c r="T1084" s="32">
        <f>R1084+S1084+IF(F1084="Without EV deal",L1084,0)</f>
        <v>1694</v>
      </c>
      <c r="U1084" s="57">
        <v>1</v>
      </c>
      <c r="V1084" s="58"/>
      <c r="W1084" s="58"/>
      <c r="X1084" s="78">
        <v>0.22</v>
      </c>
      <c r="Y1084" s="30">
        <f>IF(AG1084="None",0,IF(AG1084="Fix5",0.05, IF(AG1084="Fix6.25",0.0625,IF(AG1084="Fix3.75",0.0375,IF(AG1084="Fix10",0.1,IF(AG1084="Fix3",0.03,0))))))</f>
        <v>0</v>
      </c>
      <c r="Z1084" s="35">
        <f>T1084-AA1084-AB1084</f>
        <v>1321.32</v>
      </c>
      <c r="AA1084" s="29">
        <f>IF(AD1084="EUR",((T1084-R1084)*X1084)*U1084+(R1084*X1084),(T1084*X1084))</f>
        <v>372.68</v>
      </c>
      <c r="AB1084" s="36">
        <f>IF(AD1084="EUR",((T1084-R1084)*Y1084)*U1084+(R1084*Y1084),(T1084*Y1084))</f>
        <v>0</v>
      </c>
      <c r="AC1084" s="37" t="b">
        <v>1</v>
      </c>
      <c r="AD1084" s="37" t="s">
        <v>38</v>
      </c>
      <c r="AE1084" s="37" t="s">
        <v>38</v>
      </c>
      <c r="AF1084" s="37" t="str">
        <f t="array" ref="AF1084">INDEX('Deal Info'!D:D, MATCH(A1084,'Deal Info'!A:A, 0))</f>
        <v>SF</v>
      </c>
      <c r="AG1084" s="38" t="str">
        <f t="array" ref="AG1084">INDEX('Deal Info'!G:G, MATCH(A1084,'Deal Info'!A:A, 0))</f>
        <v>None</v>
      </c>
    </row>
    <row r="1085" spans="1:33" ht="14.25" hidden="1" x14ac:dyDescent="0.2">
      <c r="A1085" s="18" t="str">
        <f t="array" ref="A1085">IF(G1085='Room Info'!$B$1, INDEX('Room Info'!$A$2:$A2446, MATCH(B1085,'Room Info'!$B$2:$B2446, 0)),IF(G1085='Room Info'!$C$1, INDEX('Room Info'!$A$2:$A2446, MATCH(B1085,'Room Info'!$C$2:$C2446, 0)),IF(G1085='Room Info'!$D$1, INDEX('Room Info'!$A$2:$A2446, MATCH(B1085,'Room Info'!$D$2:$D2446, 0)),IF(G1085='Room Info'!$E$1, INDEX('Room Info'!$A$2:$A2446, MATCH(B1085,'Room Info'!$E$2:$E2446, 0)),IF(G1085='Room Info'!$F$1, INDEX('Room Info'!$A$2:$A2446, MATCH(B1085,'Room Info'!$F$2:$F2446, 0)),IF(G1085='Room Info'!$H$1, INDEX('Room Info'!$A$2:$A2446, MATCH(B1085,'Room Info'!$H$2:$H2446, 0)),IF(G1085='Room Info'!$G$1, INDEX('Room Info'!$A$2:$A2446, MATCH(B1085,'Room Info'!$G$2:$G2446, 0)))))))))</f>
        <v>overplayKK</v>
      </c>
      <c r="B1085" s="54" t="s">
        <v>193</v>
      </c>
      <c r="C1085" s="99">
        <v>44337</v>
      </c>
      <c r="D1085" s="77">
        <v>44367</v>
      </c>
      <c r="E1085" s="47">
        <v>44348</v>
      </c>
      <c r="F1085" s="48" t="s">
        <v>34</v>
      </c>
      <c r="G1085" s="54" t="s">
        <v>80</v>
      </c>
      <c r="H1085" s="49" t="s">
        <v>72</v>
      </c>
      <c r="I1085" s="49" t="s">
        <v>81</v>
      </c>
      <c r="J1085" s="50">
        <v>50</v>
      </c>
      <c r="K1085" s="51">
        <v>13</v>
      </c>
      <c r="L1085" s="52">
        <v>100</v>
      </c>
      <c r="M1085" s="53">
        <v>45</v>
      </c>
      <c r="N1085" s="28">
        <f>K1085*J1085</f>
        <v>650</v>
      </c>
      <c r="O1085" s="54">
        <v>672</v>
      </c>
      <c r="P1085" s="29">
        <v>51.69230769</v>
      </c>
      <c r="Q1085" s="55"/>
      <c r="R1085" s="31">
        <f>M1085+Q1085</f>
        <v>45</v>
      </c>
      <c r="S1085" s="56">
        <v>50</v>
      </c>
      <c r="T1085" s="32">
        <f>R1085+S1085+IF(F1085="Without EV deal",L1085,0)</f>
        <v>95</v>
      </c>
      <c r="U1085" s="57">
        <v>1</v>
      </c>
      <c r="V1085" s="58"/>
      <c r="W1085" s="58"/>
      <c r="X1085" s="78">
        <v>0.22</v>
      </c>
      <c r="Y1085" s="30">
        <f>IF(AG1085="None",0,IF(AG1085="Fix5",0.05, IF(AG1085="Fix6.25",0.0625,IF(AG1085="Fix3.75",0.0375,IF(AG1085="Fix10",0.1,IF(AG1085="Fix3",0.03,0))))))</f>
        <v>0</v>
      </c>
      <c r="Z1085" s="35">
        <f>T1085-AA1085-AB1085</f>
        <v>74.099999999999994</v>
      </c>
      <c r="AA1085" s="29">
        <f>IF(AD1085="EUR",((T1085-R1085)*X1085)*U1085+(R1085*X1085),(T1085*X1085))</f>
        <v>20.9</v>
      </c>
      <c r="AB1085" s="36">
        <f>IF(AD1085="EUR",((T1085-R1085)*Y1085)*U1085+(R1085*Y1085),(T1085*Y1085))</f>
        <v>0</v>
      </c>
      <c r="AC1085" s="37" t="b">
        <v>1</v>
      </c>
      <c r="AD1085" s="37" t="s">
        <v>38</v>
      </c>
      <c r="AE1085" s="37" t="s">
        <v>38</v>
      </c>
      <c r="AF1085" s="37" t="str">
        <f t="array" ref="AF1085">INDEX('Deal Info'!D:D, MATCH(A1085,'Deal Info'!A:A, 0))</f>
        <v>SF</v>
      </c>
      <c r="AG1085" s="38" t="str">
        <f t="array" ref="AG1085">INDEX('Deal Info'!G:G, MATCH(A1085,'Deal Info'!A:A, 0))</f>
        <v>None</v>
      </c>
    </row>
    <row r="1086" spans="1:33" ht="14.25" hidden="1" x14ac:dyDescent="0.2">
      <c r="A1086" s="18" t="str">
        <f t="array" ref="A1086">IF(G1086='Room Info'!$B$1, INDEX('Room Info'!$A$2:$A2446, MATCH(B1086,'Room Info'!$B$2:$B2446, 0)),IF(G1086='Room Info'!$C$1, INDEX('Room Info'!$A$2:$A2446, MATCH(B1086,'Room Info'!$C$2:$C2446, 0)),IF(G1086='Room Info'!$D$1, INDEX('Room Info'!$A$2:$A2446, MATCH(B1086,'Room Info'!$D$2:$D2446, 0)),IF(G1086='Room Info'!$E$1, INDEX('Room Info'!$A$2:$A2446, MATCH(B1086,'Room Info'!$E$2:$E2446, 0)),IF(G1086='Room Info'!$F$1, INDEX('Room Info'!$A$2:$A2446, MATCH(B1086,'Room Info'!$F$2:$F2446, 0)),IF(G1086='Room Info'!$H$1, INDEX('Room Info'!$A$2:$A2446, MATCH(B1086,'Room Info'!$H$2:$H2446, 0)),IF(G1086='Room Info'!$G$1, INDEX('Room Info'!$A$2:$A2446, MATCH(B1086,'Room Info'!$G$2:$G2446, 0)))))))))</f>
        <v>overplayKK</v>
      </c>
      <c r="B1086" s="54" t="s">
        <v>193</v>
      </c>
      <c r="C1086" s="99">
        <v>44368</v>
      </c>
      <c r="D1086" s="77">
        <v>44397</v>
      </c>
      <c r="E1086" s="47">
        <v>44378</v>
      </c>
      <c r="F1086" s="48" t="s">
        <v>34</v>
      </c>
      <c r="G1086" s="54" t="s">
        <v>80</v>
      </c>
      <c r="H1086" s="49" t="s">
        <v>40</v>
      </c>
      <c r="I1086" s="49" t="s">
        <v>81</v>
      </c>
      <c r="J1086" s="50">
        <v>10</v>
      </c>
      <c r="K1086" s="51">
        <v>3263</v>
      </c>
      <c r="L1086" s="52">
        <v>-2270</v>
      </c>
      <c r="M1086" s="53">
        <v>1641</v>
      </c>
      <c r="N1086" s="28">
        <f>K1086*J1086</f>
        <v>32630</v>
      </c>
      <c r="O1086" s="54">
        <v>13784</v>
      </c>
      <c r="P1086" s="29">
        <v>4.2243334350000001</v>
      </c>
      <c r="Q1086" s="55"/>
      <c r="R1086" s="31">
        <f>M1086+Q1086</f>
        <v>1641</v>
      </c>
      <c r="S1086" s="56">
        <v>-2025</v>
      </c>
      <c r="T1086" s="32">
        <f>R1086+S1086+IF(F1086="Without EV deal",L1086,0)</f>
        <v>-384</v>
      </c>
      <c r="U1086" s="57">
        <v>1</v>
      </c>
      <c r="V1086" s="58"/>
      <c r="W1086" s="58"/>
      <c r="X1086" s="78">
        <v>0.22</v>
      </c>
      <c r="Y1086" s="30">
        <f>IF(AG1086="None",0,IF(AG1086="Fix5",0.05, IF(AG1086="Fix6.25",0.0625,IF(AG1086="Fix3.75",0.0375,IF(AG1086="Fix10",0.1,IF(AG1086="Fix3",0.03,0))))))</f>
        <v>0</v>
      </c>
      <c r="Z1086" s="35">
        <f>T1086-AA1086-AB1086</f>
        <v>-299.52</v>
      </c>
      <c r="AA1086" s="29">
        <f>IF(AD1086="EUR",((T1086-R1086)*X1086)*U1086+(R1086*X1086),(T1086*X1086))</f>
        <v>-84.48</v>
      </c>
      <c r="AB1086" s="36">
        <f>IF(AD1086="EUR",((T1086-R1086)*Y1086)*U1086+(R1086*Y1086),(T1086*Y1086))</f>
        <v>0</v>
      </c>
      <c r="AC1086" s="37" t="b">
        <v>1</v>
      </c>
      <c r="AD1086" s="37" t="s">
        <v>38</v>
      </c>
      <c r="AE1086" s="37" t="s">
        <v>38</v>
      </c>
      <c r="AF1086" s="37" t="str">
        <f t="array" ref="AF1086">INDEX('Deal Info'!D:D, MATCH(A1086,'Deal Info'!A:A, 0))</f>
        <v>SF</v>
      </c>
      <c r="AG1086" s="38" t="str">
        <f t="array" ref="AG1086">INDEX('Deal Info'!G:G, MATCH(A1086,'Deal Info'!A:A, 0))</f>
        <v>None</v>
      </c>
    </row>
    <row r="1087" spans="1:33" ht="14.25" hidden="1" x14ac:dyDescent="0.2">
      <c r="A1087" s="18" t="str">
        <f t="array" ref="A1087">IF(G1087='Room Info'!$B$1, INDEX('Room Info'!$A$2:$A2446, MATCH(B1087,'Room Info'!$B$2:$B2446, 0)),IF(G1087='Room Info'!$C$1, INDEX('Room Info'!$A$2:$A2446, MATCH(B1087,'Room Info'!$C$2:$C2446, 0)),IF(G1087='Room Info'!$D$1, INDEX('Room Info'!$A$2:$A2446, MATCH(B1087,'Room Info'!$D$2:$D2446, 0)),IF(G1087='Room Info'!$E$1, INDEX('Room Info'!$A$2:$A2446, MATCH(B1087,'Room Info'!$E$2:$E2446, 0)),IF(G1087='Room Info'!$F$1, INDEX('Room Info'!$A$2:$A2446, MATCH(B1087,'Room Info'!$F$2:$F2446, 0)),IF(G1087='Room Info'!$H$1, INDEX('Room Info'!$A$2:$A2446, MATCH(B1087,'Room Info'!$H$2:$H2446, 0)),IF(G1087='Room Info'!$G$1, INDEX('Room Info'!$A$2:$A2446, MATCH(B1087,'Room Info'!$G$2:$G2446, 0)))))))))</f>
        <v>overplayKK</v>
      </c>
      <c r="B1087" s="45" t="s">
        <v>193</v>
      </c>
      <c r="C1087" s="46">
        <v>44368</v>
      </c>
      <c r="D1087" s="46">
        <v>44397</v>
      </c>
      <c r="E1087" s="47">
        <v>44378</v>
      </c>
      <c r="F1087" s="48" t="s">
        <v>34</v>
      </c>
      <c r="G1087" s="54" t="s">
        <v>80</v>
      </c>
      <c r="H1087" s="49" t="s">
        <v>71</v>
      </c>
      <c r="I1087" s="49" t="s">
        <v>81</v>
      </c>
      <c r="J1087" s="50">
        <v>20</v>
      </c>
      <c r="K1087" s="51">
        <v>889</v>
      </c>
      <c r="L1087" s="52">
        <v>-2100</v>
      </c>
      <c r="M1087" s="53">
        <v>894</v>
      </c>
      <c r="N1087" s="28">
        <f>K1087*J1087</f>
        <v>17780</v>
      </c>
      <c r="O1087" s="54">
        <v>1845</v>
      </c>
      <c r="P1087" s="29">
        <v>2.0753655790000001</v>
      </c>
      <c r="Q1087" s="55"/>
      <c r="R1087" s="31">
        <f>M1087+Q1087</f>
        <v>894</v>
      </c>
      <c r="S1087" s="56">
        <v>-1213</v>
      </c>
      <c r="T1087" s="32">
        <f>R1087+S1087+IF(F1087="Without EV deal",L1087,0)</f>
        <v>-319</v>
      </c>
      <c r="U1087" s="57">
        <v>1</v>
      </c>
      <c r="V1087" s="58"/>
      <c r="W1087" s="58"/>
      <c r="X1087" s="78">
        <v>0.22</v>
      </c>
      <c r="Y1087" s="30">
        <f>IF(AG1087="None",0,IF(AG1087="Fix5",0.05, IF(AG1087="Fix6.25",0.0625,IF(AG1087="Fix3.75",0.0375,IF(AG1087="Fix10",0.1,IF(AG1087="Fix3",0.03,0))))))</f>
        <v>0</v>
      </c>
      <c r="Z1087" s="35">
        <f>T1087-AA1087-AB1087</f>
        <v>-248.82</v>
      </c>
      <c r="AA1087" s="29">
        <f>IF(AD1087="EUR",((T1087-R1087)*X1087)*U1087+(R1087*X1087),(T1087*X1087))</f>
        <v>-70.180000000000007</v>
      </c>
      <c r="AB1087" s="36">
        <f>IF(AD1087="EUR",((T1087-R1087)*Y1087)*U1087+(R1087*Y1087),(T1087*Y1087))</f>
        <v>0</v>
      </c>
      <c r="AC1087" s="37" t="b">
        <v>1</v>
      </c>
      <c r="AD1087" s="37" t="s">
        <v>38</v>
      </c>
      <c r="AE1087" s="37" t="s">
        <v>38</v>
      </c>
      <c r="AF1087" s="37" t="str">
        <f t="array" ref="AF1087">INDEX('Deal Info'!D:D, MATCH(A1087,'Deal Info'!A:A, 0))</f>
        <v>SF</v>
      </c>
      <c r="AG1087" s="38" t="str">
        <f t="array" ref="AG1087">INDEX('Deal Info'!G:G, MATCH(A1087,'Deal Info'!A:A, 0))</f>
        <v>None</v>
      </c>
    </row>
    <row r="1088" spans="1:33" ht="14.25" hidden="1" x14ac:dyDescent="0.2">
      <c r="A1088" s="18" t="str">
        <f t="array" ref="A1088">IF(G1088='Room Info'!$B$1, INDEX('Room Info'!$A$2:$A2446, MATCH(B1088,'Room Info'!$B$2:$B2446, 0)),IF(G1088='Room Info'!$C$1, INDEX('Room Info'!$A$2:$A2446, MATCH(B1088,'Room Info'!$C$2:$C2446, 0)),IF(G1088='Room Info'!$D$1, INDEX('Room Info'!$A$2:$A2446, MATCH(B1088,'Room Info'!$D$2:$D2446, 0)),IF(G1088='Room Info'!$E$1, INDEX('Room Info'!$A$2:$A2446, MATCH(B1088,'Room Info'!$E$2:$E2446, 0)),IF(G1088='Room Info'!$F$1, INDEX('Room Info'!$A$2:$A2446, MATCH(B1088,'Room Info'!$F$2:$F2446, 0)),IF(G1088='Room Info'!$H$1, INDEX('Room Info'!$A$2:$A2446, MATCH(B1088,'Room Info'!$H$2:$H2446, 0)),IF(G1088='Room Info'!$G$1, INDEX('Room Info'!$A$2:$A2446, MATCH(B1088,'Room Info'!$G$2:$G2446, 0)))))))))</f>
        <v>overplayKK</v>
      </c>
      <c r="B1088" s="45" t="s">
        <v>193</v>
      </c>
      <c r="C1088" s="46">
        <v>44368</v>
      </c>
      <c r="D1088" s="46">
        <v>44397</v>
      </c>
      <c r="E1088" s="47">
        <v>44378</v>
      </c>
      <c r="F1088" s="48" t="s">
        <v>34</v>
      </c>
      <c r="G1088" s="54" t="s">
        <v>80</v>
      </c>
      <c r="H1088" s="49" t="s">
        <v>72</v>
      </c>
      <c r="I1088" s="49" t="s">
        <v>81</v>
      </c>
      <c r="J1088" s="50">
        <v>50</v>
      </c>
      <c r="K1088" s="51">
        <v>6</v>
      </c>
      <c r="L1088" s="52">
        <v>-150</v>
      </c>
      <c r="M1088" s="53">
        <v>15</v>
      </c>
      <c r="N1088" s="28">
        <f>K1088*J1088</f>
        <v>300</v>
      </c>
      <c r="O1088" s="54">
        <v>-348</v>
      </c>
      <c r="P1088" s="29">
        <v>-58</v>
      </c>
      <c r="Q1088" s="55"/>
      <c r="R1088" s="31">
        <f>M1088+Q1088</f>
        <v>15</v>
      </c>
      <c r="S1088" s="56">
        <v>-72</v>
      </c>
      <c r="T1088" s="32">
        <f>R1088+S1088+IF(F1088="Without EV deal",L1088,0)</f>
        <v>-57</v>
      </c>
      <c r="U1088" s="57">
        <v>1</v>
      </c>
      <c r="V1088" s="58"/>
      <c r="W1088" s="58"/>
      <c r="X1088" s="78">
        <v>0.22</v>
      </c>
      <c r="Y1088" s="30">
        <f>IF(AG1088="None",0,IF(AG1088="Fix5",0.05, IF(AG1088="Fix6.25",0.0625,IF(AG1088="Fix3.75",0.0375,IF(AG1088="Fix10",0.1,IF(AG1088="Fix3",0.03,0))))))</f>
        <v>0</v>
      </c>
      <c r="Z1088" s="35">
        <f>T1088-AA1088-AB1088</f>
        <v>-44.46</v>
      </c>
      <c r="AA1088" s="29">
        <f>IF(AD1088="EUR",((T1088-R1088)*X1088)*U1088+(R1088*X1088),(T1088*X1088))</f>
        <v>-12.540000000000001</v>
      </c>
      <c r="AB1088" s="36">
        <f>IF(AD1088="EUR",((T1088-R1088)*Y1088)*U1088+(R1088*Y1088),(T1088*Y1088))</f>
        <v>0</v>
      </c>
      <c r="AC1088" s="37" t="b">
        <v>1</v>
      </c>
      <c r="AD1088" s="37" t="s">
        <v>38</v>
      </c>
      <c r="AE1088" s="37" t="s">
        <v>38</v>
      </c>
      <c r="AF1088" s="37" t="str">
        <f t="array" ref="AF1088">INDEX('Deal Info'!D:D, MATCH(A1088,'Deal Info'!A:A, 0))</f>
        <v>SF</v>
      </c>
      <c r="AG1088" s="38" t="str">
        <f t="array" ref="AG1088">INDEX('Deal Info'!G:G, MATCH(A1088,'Deal Info'!A:A, 0))</f>
        <v>None</v>
      </c>
    </row>
    <row r="1089" spans="1:33" ht="14.25" hidden="1" x14ac:dyDescent="0.2">
      <c r="A1089" s="18" t="str">
        <f t="array" ref="A1089">IF(G1089='Room Info'!$B$1, INDEX('Room Info'!$A$2:$A2446, MATCH(B1089,'Room Info'!$B$2:$B2446, 0)),IF(G1089='Room Info'!$C$1, INDEX('Room Info'!$A$2:$A2446, MATCH(B1089,'Room Info'!$C$2:$C2446, 0)),IF(G1089='Room Info'!$D$1, INDEX('Room Info'!$A$2:$A2446, MATCH(B1089,'Room Info'!$D$2:$D2446, 0)),IF(G1089='Room Info'!$E$1, INDEX('Room Info'!$A$2:$A2446, MATCH(B1089,'Room Info'!$E$2:$E2446, 0)),IF(G1089='Room Info'!$F$1, INDEX('Room Info'!$A$2:$A2446, MATCH(B1089,'Room Info'!$F$2:$F2446, 0)),IF(G1089='Room Info'!$H$1, INDEX('Room Info'!$A$2:$A2446, MATCH(B1089,'Room Info'!$H$2:$H2446, 0)),IF(G1089='Room Info'!$G$1, INDEX('Room Info'!$A$2:$A2446, MATCH(B1089,'Room Info'!$G$2:$G2446, 0)))))))))</f>
        <v>overplayKK</v>
      </c>
      <c r="B1089" s="45" t="s">
        <v>193</v>
      </c>
      <c r="C1089" s="77">
        <v>44398</v>
      </c>
      <c r="D1089" s="77">
        <v>44428</v>
      </c>
      <c r="E1089" s="47">
        <v>44409</v>
      </c>
      <c r="F1089" s="48" t="s">
        <v>34</v>
      </c>
      <c r="G1089" s="45" t="s">
        <v>80</v>
      </c>
      <c r="H1089" s="49" t="s">
        <v>122</v>
      </c>
      <c r="I1089" s="49" t="s">
        <v>81</v>
      </c>
      <c r="J1089" s="74">
        <v>3</v>
      </c>
      <c r="K1089" s="75">
        <v>845</v>
      </c>
      <c r="L1089" s="72">
        <v>171</v>
      </c>
      <c r="M1089" s="76">
        <v>66</v>
      </c>
      <c r="N1089" s="28">
        <f>K1089*J1089</f>
        <v>2535</v>
      </c>
      <c r="O1089" s="45">
        <v>25106</v>
      </c>
      <c r="P1089" s="29">
        <v>29.711242599999999</v>
      </c>
      <c r="Q1089" s="55"/>
      <c r="R1089" s="31">
        <f>M1089+Q1089</f>
        <v>66</v>
      </c>
      <c r="S1089" s="73">
        <v>23</v>
      </c>
      <c r="T1089" s="32">
        <f>R1089+S1089+IF(F1089="Without EV deal",L1089,0)</f>
        <v>89</v>
      </c>
      <c r="U1089" s="57">
        <v>1</v>
      </c>
      <c r="V1089" s="58"/>
      <c r="W1089" s="58"/>
      <c r="X1089" s="78">
        <v>0.22</v>
      </c>
      <c r="Y1089" s="30">
        <f>IF(AG1089="None",0,IF(AG1089="Fix5",0.05, IF(AG1089="Fix6.25",0.0625,IF(AG1089="Fix3.75",0.0375,IF(AG1089="Fix10",0.1,IF(AG1089="Fix3",0.03,0))))))</f>
        <v>0</v>
      </c>
      <c r="Z1089" s="35">
        <f>T1089-AA1089-AB1089</f>
        <v>69.42</v>
      </c>
      <c r="AA1089" s="29">
        <f>IF(AD1089="EUR",((T1089-R1089)*X1089)*U1089+(R1089*X1089),(T1089*X1089))</f>
        <v>19.580000000000002</v>
      </c>
      <c r="AB1089" s="36">
        <f>IF(AD1089="EUR",((T1089-R1089)*Y1089)*U1089+(R1089*Y1089),(T1089*Y1089))</f>
        <v>0</v>
      </c>
      <c r="AC1089" s="37" t="b">
        <v>1</v>
      </c>
      <c r="AD1089" s="37" t="s">
        <v>38</v>
      </c>
      <c r="AE1089" s="37" t="s">
        <v>38</v>
      </c>
      <c r="AF1089" s="37" t="str">
        <f t="array" ref="AF1089">INDEX('Deal Info'!D:D, MATCH(A1089,'Deal Info'!A:A, 0))</f>
        <v>SF</v>
      </c>
      <c r="AG1089" s="38" t="str">
        <f t="array" ref="AG1089">INDEX('Deal Info'!G:G, MATCH(A1089,'Deal Info'!A:A, 0))</f>
        <v>None</v>
      </c>
    </row>
    <row r="1090" spans="1:33" ht="14.25" hidden="1" x14ac:dyDescent="0.2">
      <c r="A1090" s="18" t="str">
        <f t="array" ref="A1090">IF(G1090='Room Info'!$B$1, INDEX('Room Info'!$A$2:$A2446, MATCH(B1090,'Room Info'!$B$2:$B2446, 0)),IF(G1090='Room Info'!$C$1, INDEX('Room Info'!$A$2:$A2446, MATCH(B1090,'Room Info'!$C$2:$C2446, 0)),IF(G1090='Room Info'!$D$1, INDEX('Room Info'!$A$2:$A2446, MATCH(B1090,'Room Info'!$D$2:$D2446, 0)),IF(G1090='Room Info'!$E$1, INDEX('Room Info'!$A$2:$A2446, MATCH(B1090,'Room Info'!$E$2:$E2446, 0)),IF(G1090='Room Info'!$F$1, INDEX('Room Info'!$A$2:$A2446, MATCH(B1090,'Room Info'!$F$2:$F2446, 0)),IF(G1090='Room Info'!$H$1, INDEX('Room Info'!$A$2:$A2446, MATCH(B1090,'Room Info'!$H$2:$H2446, 0)),IF(G1090='Room Info'!$G$1, INDEX('Room Info'!$A$2:$A2446, MATCH(B1090,'Room Info'!$G$2:$G2446, 0)))))))))</f>
        <v>overplayKK</v>
      </c>
      <c r="B1090" s="54" t="s">
        <v>193</v>
      </c>
      <c r="C1090" s="46">
        <v>44398</v>
      </c>
      <c r="D1090" s="46">
        <v>44428</v>
      </c>
      <c r="E1090" s="47">
        <v>44409</v>
      </c>
      <c r="F1090" s="45" t="s">
        <v>34</v>
      </c>
      <c r="G1090" s="54" t="s">
        <v>80</v>
      </c>
      <c r="H1090" s="49" t="s">
        <v>86</v>
      </c>
      <c r="I1090" s="49" t="s">
        <v>81</v>
      </c>
      <c r="J1090" s="74">
        <v>5</v>
      </c>
      <c r="K1090" s="75">
        <v>5525</v>
      </c>
      <c r="L1090" s="72">
        <v>-685</v>
      </c>
      <c r="M1090" s="53">
        <v>715</v>
      </c>
      <c r="N1090" s="28">
        <f>K1090*J1090</f>
        <v>27625</v>
      </c>
      <c r="O1090" s="45">
        <v>84365</v>
      </c>
      <c r="P1090" s="29">
        <v>15.269683260000001</v>
      </c>
      <c r="Q1090" s="55"/>
      <c r="R1090" s="31">
        <f>M1090+Q1090</f>
        <v>715</v>
      </c>
      <c r="S1090" s="73">
        <v>-904</v>
      </c>
      <c r="T1090" s="32">
        <f>R1090+S1090+IF(F1090="Without EV deal",L1090,0)</f>
        <v>-189</v>
      </c>
      <c r="U1090" s="57">
        <v>1</v>
      </c>
      <c r="V1090" s="58"/>
      <c r="W1090" s="58"/>
      <c r="X1090" s="78">
        <v>0.22</v>
      </c>
      <c r="Y1090" s="30">
        <f>IF(AG1090="None",0,IF(AG1090="Fix5",0.05, IF(AG1090="Fix6.25",0.0625,IF(AG1090="Fix3.75",0.0375,IF(AG1090="Fix10",0.1,IF(AG1090="Fix3",0.03,0))))))</f>
        <v>0</v>
      </c>
      <c r="Z1090" s="35">
        <f>T1090-AA1090-AB1090</f>
        <v>-147.42000000000002</v>
      </c>
      <c r="AA1090" s="29">
        <f>IF(AD1090="EUR",((T1090-R1090)*X1090)*U1090+(R1090*X1090),(T1090*X1090))</f>
        <v>-41.58</v>
      </c>
      <c r="AB1090" s="36">
        <f>IF(AD1090="EUR",((T1090-R1090)*Y1090)*U1090+(R1090*Y1090),(T1090*Y1090))</f>
        <v>0</v>
      </c>
      <c r="AC1090" s="37" t="b">
        <v>1</v>
      </c>
      <c r="AD1090" s="37" t="s">
        <v>38</v>
      </c>
      <c r="AE1090" s="37" t="s">
        <v>38</v>
      </c>
      <c r="AF1090" s="37" t="str">
        <f t="array" ref="AF1090">INDEX('Deal Info'!D:D, MATCH(A1090,'Deal Info'!A:A, 0))</f>
        <v>SF</v>
      </c>
      <c r="AG1090" s="38" t="str">
        <f t="array" ref="AG1090">INDEX('Deal Info'!G:G, MATCH(A1090,'Deal Info'!A:A, 0))</f>
        <v>None</v>
      </c>
    </row>
    <row r="1091" spans="1:33" ht="14.25" hidden="1" x14ac:dyDescent="0.2">
      <c r="A1091" s="18" t="str">
        <f t="array" ref="A1091">IF(G1091='Room Info'!$B$1, INDEX('Room Info'!$A$2:$A2446, MATCH(B1091,'Room Info'!$B$2:$B2446, 0)),IF(G1091='Room Info'!$C$1, INDEX('Room Info'!$A$2:$A2446, MATCH(B1091,'Room Info'!$C$2:$C2446, 0)),IF(G1091='Room Info'!$D$1, INDEX('Room Info'!$A$2:$A2446, MATCH(B1091,'Room Info'!$D$2:$D2446, 0)),IF(G1091='Room Info'!$E$1, INDEX('Room Info'!$A$2:$A2446, MATCH(B1091,'Room Info'!$E$2:$E2446, 0)),IF(G1091='Room Info'!$F$1, INDEX('Room Info'!$A$2:$A2446, MATCH(B1091,'Room Info'!$F$2:$F2446, 0)),IF(G1091='Room Info'!$H$1, INDEX('Room Info'!$A$2:$A2446, MATCH(B1091,'Room Info'!$H$2:$H2446, 0)),IF(G1091='Room Info'!$G$1, INDEX('Room Info'!$A$2:$A2446, MATCH(B1091,'Room Info'!$G$2:$G2446, 0)))))))))</f>
        <v>overplayKK</v>
      </c>
      <c r="B1091" s="54" t="s">
        <v>193</v>
      </c>
      <c r="C1091" s="46">
        <v>44398</v>
      </c>
      <c r="D1091" s="46">
        <v>44428</v>
      </c>
      <c r="E1091" s="47">
        <v>44409</v>
      </c>
      <c r="F1091" s="45" t="s">
        <v>34</v>
      </c>
      <c r="G1091" s="54" t="s">
        <v>80</v>
      </c>
      <c r="H1091" s="49" t="s">
        <v>40</v>
      </c>
      <c r="I1091" s="49" t="s">
        <v>81</v>
      </c>
      <c r="J1091" s="74">
        <v>10</v>
      </c>
      <c r="K1091" s="75">
        <v>1008</v>
      </c>
      <c r="L1091" s="72">
        <v>-30</v>
      </c>
      <c r="M1091" s="53">
        <v>261</v>
      </c>
      <c r="N1091" s="28">
        <f>K1091*J1091</f>
        <v>10080</v>
      </c>
      <c r="O1091" s="45">
        <v>18108</v>
      </c>
      <c r="P1091" s="29">
        <v>17.964285709999999</v>
      </c>
      <c r="Q1091" s="55"/>
      <c r="R1091" s="31">
        <f>M1091+Q1091</f>
        <v>261</v>
      </c>
      <c r="S1091" s="73">
        <v>-248</v>
      </c>
      <c r="T1091" s="32">
        <f>R1091+S1091+IF(F1091="Without EV deal",L1091,0)</f>
        <v>13</v>
      </c>
      <c r="U1091" s="57">
        <v>1</v>
      </c>
      <c r="V1091" s="58"/>
      <c r="W1091" s="58"/>
      <c r="X1091" s="78">
        <v>0.22</v>
      </c>
      <c r="Y1091" s="30">
        <f>IF(AG1091="None",0,IF(AG1091="Fix5",0.05, IF(AG1091="Fix6.25",0.0625,IF(AG1091="Fix3.75",0.0375,IF(AG1091="Fix10",0.1,IF(AG1091="Fix3",0.03,0))))))</f>
        <v>0</v>
      </c>
      <c r="Z1091" s="35">
        <f>T1091-AA1091-AB1091</f>
        <v>10.14</v>
      </c>
      <c r="AA1091" s="29">
        <f>IF(AD1091="EUR",((T1091-R1091)*X1091)*U1091+(R1091*X1091),(T1091*X1091))</f>
        <v>2.86</v>
      </c>
      <c r="AB1091" s="36">
        <f>IF(AD1091="EUR",((T1091-R1091)*Y1091)*U1091+(R1091*Y1091),(T1091*Y1091))</f>
        <v>0</v>
      </c>
      <c r="AC1091" s="37" t="b">
        <v>1</v>
      </c>
      <c r="AD1091" s="37" t="s">
        <v>38</v>
      </c>
      <c r="AE1091" s="37" t="s">
        <v>38</v>
      </c>
      <c r="AF1091" s="37" t="str">
        <f t="array" ref="AF1091">INDEX('Deal Info'!D:D, MATCH(A1091,'Deal Info'!A:A, 0))</f>
        <v>SF</v>
      </c>
      <c r="AG1091" s="38" t="str">
        <f t="array" ref="AG1091">INDEX('Deal Info'!G:G, MATCH(A1091,'Deal Info'!A:A, 0))</f>
        <v>None</v>
      </c>
    </row>
    <row r="1092" spans="1:33" ht="14.25" hidden="1" x14ac:dyDescent="0.2">
      <c r="A1092" s="18" t="str">
        <f t="array" ref="A1092">IF(G1092='Room Info'!$B$1, INDEX('Room Info'!$A$2:$A2446, MATCH(B1092,'Room Info'!$B$2:$B2446, 0)),IF(G1092='Room Info'!$C$1, INDEX('Room Info'!$A$2:$A2446, MATCH(B1092,'Room Info'!$C$2:$C2446, 0)),IF(G1092='Room Info'!$D$1, INDEX('Room Info'!$A$2:$A2446, MATCH(B1092,'Room Info'!$D$2:$D2446, 0)),IF(G1092='Room Info'!$E$1, INDEX('Room Info'!$A$2:$A2446, MATCH(B1092,'Room Info'!$E$2:$E2446, 0)),IF(G1092='Room Info'!$F$1, INDEX('Room Info'!$A$2:$A2446, MATCH(B1092,'Room Info'!$F$2:$F2446, 0)),IF(G1092='Room Info'!$H$1, INDEX('Room Info'!$A$2:$A2446, MATCH(B1092,'Room Info'!$H$2:$H2446, 0)),IF(G1092='Room Info'!$G$1, INDEX('Room Info'!$A$2:$A2446, MATCH(B1092,'Room Info'!$G$2:$G2446, 0)))))))))</f>
        <v>overplayKK</v>
      </c>
      <c r="B1092" s="45" t="s">
        <v>193</v>
      </c>
      <c r="C1092" s="77">
        <v>44398</v>
      </c>
      <c r="D1092" s="46">
        <v>44428</v>
      </c>
      <c r="E1092" s="47">
        <v>44409</v>
      </c>
      <c r="F1092" s="48" t="s">
        <v>34</v>
      </c>
      <c r="G1092" s="54" t="s">
        <v>80</v>
      </c>
      <c r="H1092" s="49" t="s">
        <v>71</v>
      </c>
      <c r="I1092" s="49" t="s">
        <v>81</v>
      </c>
      <c r="J1092" s="74">
        <v>20</v>
      </c>
      <c r="K1092" s="75">
        <v>2</v>
      </c>
      <c r="L1092" s="72">
        <v>-40</v>
      </c>
      <c r="M1092" s="53">
        <v>1</v>
      </c>
      <c r="N1092" s="28">
        <f>K1092*J1092</f>
        <v>40</v>
      </c>
      <c r="O1092" s="45">
        <v>-205</v>
      </c>
      <c r="P1092" s="29">
        <v>-102.5</v>
      </c>
      <c r="Q1092" s="55"/>
      <c r="R1092" s="31">
        <f>M1092+Q1092</f>
        <v>1</v>
      </c>
      <c r="S1092" s="73">
        <v>-15</v>
      </c>
      <c r="T1092" s="32">
        <f>R1092+S1092+IF(F1092="Without EV deal",L1092,0)</f>
        <v>-14</v>
      </c>
      <c r="U1092" s="57">
        <v>1</v>
      </c>
      <c r="V1092" s="58"/>
      <c r="W1092" s="58"/>
      <c r="X1092" s="78">
        <v>0.22</v>
      </c>
      <c r="Y1092" s="30">
        <f>IF(AG1092="None",0,IF(AG1092="Fix5",0.05, IF(AG1092="Fix6.25",0.0625,IF(AG1092="Fix3.75",0.0375,IF(AG1092="Fix10",0.1,IF(AG1092="Fix3",0.03,0))))))</f>
        <v>0</v>
      </c>
      <c r="Z1092" s="35">
        <f>T1092-AA1092-AB1092</f>
        <v>-10.92</v>
      </c>
      <c r="AA1092" s="29">
        <f>IF(AD1092="EUR",((T1092-R1092)*X1092)*U1092+(R1092*X1092),(T1092*X1092))</f>
        <v>-3.08</v>
      </c>
      <c r="AB1092" s="36">
        <f>IF(AD1092="EUR",((T1092-R1092)*Y1092)*U1092+(R1092*Y1092),(T1092*Y1092))</f>
        <v>0</v>
      </c>
      <c r="AC1092" s="37" t="b">
        <v>1</v>
      </c>
      <c r="AD1092" s="37" t="s">
        <v>38</v>
      </c>
      <c r="AE1092" s="37" t="s">
        <v>38</v>
      </c>
      <c r="AF1092" s="37" t="str">
        <f t="array" ref="AF1092">INDEX('Deal Info'!D:D, MATCH(A1092,'Deal Info'!A:A, 0))</f>
        <v>SF</v>
      </c>
      <c r="AG1092" s="38" t="str">
        <f t="array" ref="AG1092">INDEX('Deal Info'!G:G, MATCH(A1092,'Deal Info'!A:A, 0))</f>
        <v>None</v>
      </c>
    </row>
    <row r="1093" spans="1:33" ht="14.25" hidden="1" x14ac:dyDescent="0.2">
      <c r="A1093" s="18" t="str">
        <f t="array" ref="A1093">IF(G1093='Room Info'!$B$1, INDEX('Room Info'!$A$2:$A2446, MATCH(B1093,'Room Info'!$B$2:$B2446, 0)),IF(G1093='Room Info'!$C$1, INDEX('Room Info'!$A$2:$A2446, MATCH(B1093,'Room Info'!$C$2:$C2446, 0)),IF(G1093='Room Info'!$D$1, INDEX('Room Info'!$A$2:$A2446, MATCH(B1093,'Room Info'!$D$2:$D2446, 0)),IF(G1093='Room Info'!$E$1, INDEX('Room Info'!$A$2:$A2446, MATCH(B1093,'Room Info'!$E$2:$E2446, 0)),IF(G1093='Room Info'!$F$1, INDEX('Room Info'!$A$2:$A2446, MATCH(B1093,'Room Info'!$F$2:$F2446, 0)),IF(G1093='Room Info'!$H$1, INDEX('Room Info'!$A$2:$A2446, MATCH(B1093,'Room Info'!$H$2:$H2446, 0)),IF(G1093='Room Info'!$G$1, INDEX('Room Info'!$A$2:$A2446, MATCH(B1093,'Room Info'!$G$2:$G2446, 0)))))))))</f>
        <v>overplayKK</v>
      </c>
      <c r="B1093" s="45" t="s">
        <v>193</v>
      </c>
      <c r="C1093" s="77">
        <v>44429</v>
      </c>
      <c r="D1093" s="46">
        <v>44459</v>
      </c>
      <c r="E1093" s="47">
        <v>44440</v>
      </c>
      <c r="F1093" s="48" t="s">
        <v>34</v>
      </c>
      <c r="G1093" s="54" t="s">
        <v>80</v>
      </c>
      <c r="H1093" s="49" t="s">
        <v>86</v>
      </c>
      <c r="I1093" s="49" t="s">
        <v>81</v>
      </c>
      <c r="J1093" s="74">
        <v>5</v>
      </c>
      <c r="K1093" s="75">
        <v>15333</v>
      </c>
      <c r="L1093" s="72">
        <v>-920</v>
      </c>
      <c r="M1093" s="53">
        <v>4768</v>
      </c>
      <c r="N1093" s="28">
        <f>K1093*J1093</f>
        <v>76665</v>
      </c>
      <c r="O1093" s="45">
        <v>252465</v>
      </c>
      <c r="P1093" s="29">
        <v>16.465466639999999</v>
      </c>
      <c r="Q1093" s="55"/>
      <c r="R1093" s="31">
        <f>M1093+Q1093</f>
        <v>4768</v>
      </c>
      <c r="S1093" s="73">
        <v>-2154</v>
      </c>
      <c r="T1093" s="32">
        <f>R1093+S1093+IF(F1093="Without EV deal",L1093,0)</f>
        <v>2614</v>
      </c>
      <c r="U1093" s="57">
        <v>1</v>
      </c>
      <c r="V1093" s="58"/>
      <c r="W1093" s="58"/>
      <c r="X1093" s="78">
        <v>0.22</v>
      </c>
      <c r="Y1093" s="30">
        <f>IF(AG1093="None",0,IF(AG1093="Fix5",0.05, IF(AG1093="Fix6.25",0.0625,IF(AG1093="Fix3.75",0.0375,IF(AG1093="Fix10",0.1,IF(AG1093="Fix3",0.03,0))))))</f>
        <v>0</v>
      </c>
      <c r="Z1093" s="35">
        <f>T1093-AA1093-AB1093</f>
        <v>2038.92</v>
      </c>
      <c r="AA1093" s="29">
        <f>IF(AD1093="EUR",((T1093-R1093)*X1093)*U1093+(R1093*X1093),(T1093*X1093))</f>
        <v>575.08000000000004</v>
      </c>
      <c r="AB1093" s="36">
        <f>IF(AD1093="EUR",((T1093-R1093)*Y1093)*U1093+(R1093*Y1093),(T1093*Y1093))</f>
        <v>0</v>
      </c>
      <c r="AC1093" s="37" t="b">
        <v>1</v>
      </c>
      <c r="AD1093" s="37" t="s">
        <v>38</v>
      </c>
      <c r="AE1093" s="37" t="s">
        <v>38</v>
      </c>
      <c r="AF1093" s="37" t="str">
        <f t="array" ref="AF1093">INDEX('Deal Info'!D:D, MATCH(A1093,'Deal Info'!A:A, 0))</f>
        <v>SF</v>
      </c>
      <c r="AG1093" s="38" t="str">
        <f t="array" ref="AG1093">INDEX('Deal Info'!G:G, MATCH(A1093,'Deal Info'!A:A, 0))</f>
        <v>None</v>
      </c>
    </row>
    <row r="1094" spans="1:33" ht="14.25" hidden="1" x14ac:dyDescent="0.2">
      <c r="A1094" s="18" t="str">
        <f t="array" ref="A1094">IF(G1094='Room Info'!$B$1, INDEX('Room Info'!$A$2:$A2446, MATCH(B1094,'Room Info'!$B$2:$B2446, 0)),IF(G1094='Room Info'!$C$1, INDEX('Room Info'!$A$2:$A2446, MATCH(B1094,'Room Info'!$C$2:$C2446, 0)),IF(G1094='Room Info'!$D$1, INDEX('Room Info'!$A$2:$A2446, MATCH(B1094,'Room Info'!$D$2:$D2446, 0)),IF(G1094='Room Info'!$E$1, INDEX('Room Info'!$A$2:$A2446, MATCH(B1094,'Room Info'!$E$2:$E2446, 0)),IF(G1094='Room Info'!$F$1, INDEX('Room Info'!$A$2:$A2446, MATCH(B1094,'Room Info'!$F$2:$F2446, 0)),IF(G1094='Room Info'!$H$1, INDEX('Room Info'!$A$2:$A2446, MATCH(B1094,'Room Info'!$H$2:$H2446, 0)),IF(G1094='Room Info'!$G$1, INDEX('Room Info'!$A$2:$A2446, MATCH(B1094,'Room Info'!$G$2:$G2446, 0)))))))))</f>
        <v>overplayKK</v>
      </c>
      <c r="B1094" s="45" t="s">
        <v>193</v>
      </c>
      <c r="C1094" s="77">
        <v>44460</v>
      </c>
      <c r="D1094" s="46">
        <v>44489</v>
      </c>
      <c r="E1094" s="47">
        <v>44470</v>
      </c>
      <c r="F1094" s="48" t="s">
        <v>34</v>
      </c>
      <c r="G1094" s="45" t="s">
        <v>80</v>
      </c>
      <c r="H1094" s="49" t="s">
        <v>86</v>
      </c>
      <c r="I1094" s="49" t="s">
        <v>81</v>
      </c>
      <c r="J1094" s="74">
        <v>5</v>
      </c>
      <c r="K1094" s="75">
        <v>1942</v>
      </c>
      <c r="L1094" s="72">
        <v>-165</v>
      </c>
      <c r="M1094" s="76">
        <v>1705</v>
      </c>
      <c r="N1094" s="28">
        <f>K1094*J1094</f>
        <v>9710</v>
      </c>
      <c r="O1094" s="45">
        <v>48550</v>
      </c>
      <c r="P1094" s="29">
        <v>25</v>
      </c>
      <c r="Q1094" s="55"/>
      <c r="R1094" s="31">
        <f>M1094+Q1094</f>
        <v>1705</v>
      </c>
      <c r="S1094" s="73">
        <v>-35</v>
      </c>
      <c r="T1094" s="32">
        <f>R1094+S1094+IF(F1094="Without EV deal",L1094,0)</f>
        <v>1670</v>
      </c>
      <c r="U1094" s="57">
        <v>1</v>
      </c>
      <c r="V1094" s="58"/>
      <c r="W1094" s="58"/>
      <c r="X1094" s="78">
        <v>0.22</v>
      </c>
      <c r="Y1094" s="30">
        <f>IF(AG1094="None",0,IF(AG1094="Fix5",0.05, IF(AG1094="Fix6.25",0.0625,IF(AG1094="Fix3.75",0.0375,IF(AG1094="Fix10",0.1,IF(AG1094="Fix3",0.03,0))))))</f>
        <v>0</v>
      </c>
      <c r="Z1094" s="35">
        <f>T1094-AA1094-AB1094</f>
        <v>1302.5999999999999</v>
      </c>
      <c r="AA1094" s="29">
        <f>IF(AD1094="EUR",((T1094-R1094)*X1094)*U1094+(R1094*X1094),(T1094*X1094))</f>
        <v>367.4</v>
      </c>
      <c r="AB1094" s="36">
        <f>IF(AD1094="EUR",((T1094-R1094)*Y1094)*U1094+(R1094*Y1094),(T1094*Y1094))</f>
        <v>0</v>
      </c>
      <c r="AC1094" s="37" t="b">
        <v>1</v>
      </c>
      <c r="AD1094" s="37" t="s">
        <v>38</v>
      </c>
      <c r="AE1094" s="37" t="s">
        <v>38</v>
      </c>
      <c r="AF1094" s="37" t="str">
        <f t="array" ref="AF1094">INDEX('Deal Info'!D:D, MATCH(A1094,'Deal Info'!A:A, 0))</f>
        <v>SF</v>
      </c>
      <c r="AG1094" s="38" t="str">
        <f t="array" ref="AG1094">INDEX('Deal Info'!G:G, MATCH(A1094,'Deal Info'!A:A, 0))</f>
        <v>None</v>
      </c>
    </row>
    <row r="1095" spans="1:33" ht="14.25" hidden="1" x14ac:dyDescent="0.2">
      <c r="A1095" s="18" t="str">
        <f t="array" ref="A1095">IF(G1095='Room Info'!$B$1, INDEX('Room Info'!$A$2:$A2446, MATCH(B1095,'Room Info'!$B$2:$B2446, 0)),IF(G1095='Room Info'!$C$1, INDEX('Room Info'!$A$2:$A2446, MATCH(B1095,'Room Info'!$C$2:$C2446, 0)),IF(G1095='Room Info'!$D$1, INDEX('Room Info'!$A$2:$A2446, MATCH(B1095,'Room Info'!$D$2:$D2446, 0)),IF(G1095='Room Info'!$E$1, INDEX('Room Info'!$A$2:$A2446, MATCH(B1095,'Room Info'!$E$2:$E2446, 0)),IF(G1095='Room Info'!$F$1, INDEX('Room Info'!$A$2:$A2446, MATCH(B1095,'Room Info'!$F$2:$F2446, 0)),IF(G1095='Room Info'!$H$1, INDEX('Room Info'!$A$2:$A2446, MATCH(B1095,'Room Info'!$H$2:$H2446, 0)),IF(G1095='Room Info'!$G$1, INDEX('Room Info'!$A$2:$A2446, MATCH(B1095,'Room Info'!$G$2:$G2446, 0)))))))))</f>
        <v>overplayKK</v>
      </c>
      <c r="B1095" s="45" t="s">
        <v>193</v>
      </c>
      <c r="C1095" s="46">
        <v>44460</v>
      </c>
      <c r="D1095" s="46">
        <v>44489</v>
      </c>
      <c r="E1095" s="47">
        <v>44470</v>
      </c>
      <c r="F1095" s="48" t="s">
        <v>34</v>
      </c>
      <c r="G1095" s="54" t="s">
        <v>80</v>
      </c>
      <c r="H1095" s="49" t="s">
        <v>40</v>
      </c>
      <c r="I1095" s="49" t="s">
        <v>81</v>
      </c>
      <c r="J1095" s="50">
        <v>10</v>
      </c>
      <c r="K1095" s="51">
        <v>3690</v>
      </c>
      <c r="L1095" s="52">
        <v>-1960</v>
      </c>
      <c r="M1095" s="53">
        <v>935</v>
      </c>
      <c r="N1095" s="28">
        <f>K1095*J1095</f>
        <v>36900</v>
      </c>
      <c r="O1095" s="54">
        <v>39159</v>
      </c>
      <c r="P1095" s="29">
        <v>10.612195120000001</v>
      </c>
      <c r="Q1095" s="55"/>
      <c r="R1095" s="31">
        <f>M1095+Q1095</f>
        <v>935</v>
      </c>
      <c r="S1095" s="56">
        <v>-1585</v>
      </c>
      <c r="T1095" s="32">
        <f>R1095+S1095+IF(F1095="Without EV deal",L1095,0)</f>
        <v>-650</v>
      </c>
      <c r="U1095" s="57">
        <v>1</v>
      </c>
      <c r="V1095" s="58"/>
      <c r="W1095" s="58"/>
      <c r="X1095" s="78">
        <v>0.22</v>
      </c>
      <c r="Y1095" s="30">
        <f>IF(AG1095="None",0,IF(AG1095="Fix5",0.05, IF(AG1095="Fix6.25",0.0625,IF(AG1095="Fix3.75",0.0375,IF(AG1095="Fix10",0.1,IF(AG1095="Fix3",0.03,0))))))</f>
        <v>0</v>
      </c>
      <c r="Z1095" s="35">
        <f>T1095-AA1095-AB1095</f>
        <v>-507</v>
      </c>
      <c r="AA1095" s="29">
        <f>IF(AD1095="EUR",((T1095-R1095)*X1095)*U1095+(R1095*X1095),(T1095*X1095))</f>
        <v>-143</v>
      </c>
      <c r="AB1095" s="36">
        <f>IF(AD1095="EUR",((T1095-R1095)*Y1095)*U1095+(R1095*Y1095),(T1095*Y1095))</f>
        <v>0</v>
      </c>
      <c r="AC1095" s="37" t="b">
        <v>1</v>
      </c>
      <c r="AD1095" s="37" t="s">
        <v>38</v>
      </c>
      <c r="AE1095" s="37" t="s">
        <v>38</v>
      </c>
      <c r="AF1095" s="37" t="str">
        <f t="array" ref="AF1095">INDEX('Deal Info'!D:D, MATCH(A1095,'Deal Info'!A:A, 0))</f>
        <v>SF</v>
      </c>
      <c r="AG1095" s="38" t="str">
        <f t="array" ref="AG1095">INDEX('Deal Info'!G:G, MATCH(A1095,'Deal Info'!A:A, 0))</f>
        <v>None</v>
      </c>
    </row>
    <row r="1096" spans="1:33" ht="14.25" hidden="1" x14ac:dyDescent="0.2">
      <c r="A1096" s="18" t="str">
        <f t="array" ref="A1096">IF(G1096='Room Info'!$B$1, INDEX('Room Info'!$A$2:$A2446, MATCH(B1096,'Room Info'!$B$2:$B2446, 0)),IF(G1096='Room Info'!$C$1, INDEX('Room Info'!$A$2:$A2446, MATCH(B1096,'Room Info'!$C$2:$C2446, 0)),IF(G1096='Room Info'!$D$1, INDEX('Room Info'!$A$2:$A2446, MATCH(B1096,'Room Info'!$D$2:$D2446, 0)),IF(G1096='Room Info'!$E$1, INDEX('Room Info'!$A$2:$A2446, MATCH(B1096,'Room Info'!$E$2:$E2446, 0)),IF(G1096='Room Info'!$F$1, INDEX('Room Info'!$A$2:$A2446, MATCH(B1096,'Room Info'!$F$2:$F2446, 0)),IF(G1096='Room Info'!$H$1, INDEX('Room Info'!$A$2:$A2446, MATCH(B1096,'Room Info'!$H$2:$H2446, 0)),IF(G1096='Room Info'!$G$1, INDEX('Room Info'!$A$2:$A2446, MATCH(B1096,'Room Info'!$G$2:$G2446, 0)))))))))</f>
        <v>overplayKK</v>
      </c>
      <c r="B1096" s="45" t="s">
        <v>191</v>
      </c>
      <c r="C1096" s="46">
        <v>44490</v>
      </c>
      <c r="D1096" s="46">
        <v>44520</v>
      </c>
      <c r="E1096" s="47">
        <v>44501</v>
      </c>
      <c r="F1096" s="48" t="s">
        <v>34</v>
      </c>
      <c r="G1096" s="54" t="s">
        <v>35</v>
      </c>
      <c r="H1096" s="49" t="s">
        <v>39</v>
      </c>
      <c r="I1096" s="49" t="s">
        <v>37</v>
      </c>
      <c r="J1096" s="50">
        <v>5</v>
      </c>
      <c r="K1096" s="51">
        <v>661</v>
      </c>
      <c r="L1096" s="52">
        <v>365</v>
      </c>
      <c r="M1096" s="53">
        <v>114</v>
      </c>
      <c r="N1096" s="28">
        <f>K1096*J1096</f>
        <v>3305</v>
      </c>
      <c r="O1096" s="54">
        <v>50905</v>
      </c>
      <c r="P1096" s="29">
        <v>77.012102870000007</v>
      </c>
      <c r="Q1096" s="55"/>
      <c r="R1096" s="31">
        <f>M1096+Q1096</f>
        <v>114</v>
      </c>
      <c r="S1096" s="56">
        <v>170</v>
      </c>
      <c r="T1096" s="32">
        <f>R1096+S1096+IF(F1096="Without EV deal",L1096,0)</f>
        <v>284</v>
      </c>
      <c r="U1096" s="57">
        <v>1</v>
      </c>
      <c r="V1096" s="58"/>
      <c r="W1096" s="58"/>
      <c r="X1096" s="78">
        <v>0.3</v>
      </c>
      <c r="Y1096" s="30">
        <f>IF(AG1096="None",0,IF(AG1096="Fix5",0.05, IF(AG1096="Fix6.25",0.0625,IF(AG1096="Fix3.75",0.0375,IF(AG1096="Fix10",0.1,IF(AG1096="Fix3",0.03,0))))))</f>
        <v>0</v>
      </c>
      <c r="Z1096" s="35">
        <f>T1096-AA1096-AB1096</f>
        <v>198.8</v>
      </c>
      <c r="AA1096" s="29">
        <f>IF(AD1096="EUR",((T1096-R1096)*X1096)*U1096+(R1096*X1096),(T1096*X1096))</f>
        <v>85.2</v>
      </c>
      <c r="AB1096" s="36">
        <f>IF(AD1096="EUR",((T1096-R1096)*Y1096)*U1096+(R1096*Y1096),(T1096*Y1096))</f>
        <v>0</v>
      </c>
      <c r="AC1096" s="37" t="b">
        <v>1</v>
      </c>
      <c r="AD1096" s="37" t="s">
        <v>38</v>
      </c>
      <c r="AE1096" s="37" t="s">
        <v>38</v>
      </c>
      <c r="AF1096" s="37" t="str">
        <f t="array" ref="AF1096">INDEX('Deal Info'!D:D, MATCH(A1096,'Deal Info'!A:A, 0))</f>
        <v>SF</v>
      </c>
      <c r="AG1096" s="38" t="str">
        <f t="array" ref="AG1096">INDEX('Deal Info'!G:G, MATCH(A1096,'Deal Info'!A:A, 0))</f>
        <v>None</v>
      </c>
    </row>
    <row r="1097" spans="1:33" ht="14.25" hidden="1" x14ac:dyDescent="0.2">
      <c r="A1097" s="18" t="str">
        <f t="array" ref="A1097">IF(G1097='Room Info'!$B$1, INDEX('Room Info'!$A$2:$A2446, MATCH(B1097,'Room Info'!$B$2:$B2446, 0)),IF(G1097='Room Info'!$C$1, INDEX('Room Info'!$A$2:$A2446, MATCH(B1097,'Room Info'!$C$2:$C2446, 0)),IF(G1097='Room Info'!$D$1, INDEX('Room Info'!$A$2:$A2446, MATCH(B1097,'Room Info'!$D$2:$D2446, 0)),IF(G1097='Room Info'!$E$1, INDEX('Room Info'!$A$2:$A2446, MATCH(B1097,'Room Info'!$E$2:$E2446, 0)),IF(G1097='Room Info'!$F$1, INDEX('Room Info'!$A$2:$A2446, MATCH(B1097,'Room Info'!$F$2:$F2446, 0)),IF(G1097='Room Info'!$H$1, INDEX('Room Info'!$A$2:$A2446, MATCH(B1097,'Room Info'!$H$2:$H2446, 0)),IF(G1097='Room Info'!$G$1, INDEX('Room Info'!$A$2:$A2446, MATCH(B1097,'Room Info'!$G$2:$G2446, 0)))))))))</f>
        <v>overplayKK</v>
      </c>
      <c r="B1097" s="45" t="s">
        <v>191</v>
      </c>
      <c r="C1097" s="46">
        <v>44490</v>
      </c>
      <c r="D1097" s="46">
        <v>44520</v>
      </c>
      <c r="E1097" s="47">
        <v>44501</v>
      </c>
      <c r="F1097" s="48" t="s">
        <v>34</v>
      </c>
      <c r="G1097" s="45" t="s">
        <v>35</v>
      </c>
      <c r="H1097" s="49" t="s">
        <v>40</v>
      </c>
      <c r="I1097" s="49" t="s">
        <v>37</v>
      </c>
      <c r="J1097" s="50">
        <v>10</v>
      </c>
      <c r="K1097" s="51">
        <v>617</v>
      </c>
      <c r="L1097" s="52">
        <v>70</v>
      </c>
      <c r="M1097" s="53">
        <v>186</v>
      </c>
      <c r="N1097" s="28">
        <f>K1097*J1097</f>
        <v>6170</v>
      </c>
      <c r="O1097" s="54">
        <v>9990</v>
      </c>
      <c r="P1097" s="29">
        <v>16.191247969999999</v>
      </c>
      <c r="Q1097" s="55"/>
      <c r="R1097" s="31">
        <f>M1097+Q1097</f>
        <v>186</v>
      </c>
      <c r="S1097" s="56">
        <v>-271</v>
      </c>
      <c r="T1097" s="32">
        <f>R1097+S1097+IF(F1097="Without EV deal",L1097,0)</f>
        <v>-85</v>
      </c>
      <c r="U1097" s="57">
        <v>1</v>
      </c>
      <c r="V1097" s="58"/>
      <c r="W1097" s="58"/>
      <c r="X1097" s="78">
        <v>0.3</v>
      </c>
      <c r="Y1097" s="30">
        <f>IF(AG1097="None",0,IF(AG1097="Fix5",0.05, IF(AG1097="Fix6.25",0.0625,IF(AG1097="Fix3.75",0.0375,IF(AG1097="Fix10",0.1,IF(AG1097="Fix3",0.03,0))))))</f>
        <v>0</v>
      </c>
      <c r="Z1097" s="35">
        <f>T1097-AA1097-AB1097</f>
        <v>-59.5</v>
      </c>
      <c r="AA1097" s="29">
        <f>IF(AD1097="EUR",((T1097-R1097)*X1097)*U1097+(R1097*X1097),(T1097*X1097))</f>
        <v>-25.5</v>
      </c>
      <c r="AB1097" s="36">
        <f>IF(AD1097="EUR",((T1097-R1097)*Y1097)*U1097+(R1097*Y1097),(T1097*Y1097))</f>
        <v>0</v>
      </c>
      <c r="AC1097" s="37" t="b">
        <v>1</v>
      </c>
      <c r="AD1097" s="37" t="s">
        <v>38</v>
      </c>
      <c r="AE1097" s="37" t="s">
        <v>38</v>
      </c>
      <c r="AF1097" s="37" t="str">
        <f t="array" ref="AF1097">INDEX('Deal Info'!D:D, MATCH(A1097,'Deal Info'!A:A, 0))</f>
        <v>SF</v>
      </c>
      <c r="AG1097" s="38" t="str">
        <f t="array" ref="AG1097">INDEX('Deal Info'!G:G, MATCH(A1097,'Deal Info'!A:A, 0))</f>
        <v>None</v>
      </c>
    </row>
    <row r="1098" spans="1:33" ht="14.25" hidden="1" x14ac:dyDescent="0.2">
      <c r="A1098" s="18" t="str">
        <f t="array" ref="A1098">IF(G1098='Room Info'!$B$1, INDEX('Room Info'!$A$2:$A2446, MATCH(B1098,'Room Info'!$B$2:$B2446, 0)),IF(G1098='Room Info'!$C$1, INDEX('Room Info'!$A$2:$A2446, MATCH(B1098,'Room Info'!$C$2:$C2446, 0)),IF(G1098='Room Info'!$D$1, INDEX('Room Info'!$A$2:$A2446, MATCH(B1098,'Room Info'!$D$2:$D2446, 0)),IF(G1098='Room Info'!$E$1, INDEX('Room Info'!$A$2:$A2446, MATCH(B1098,'Room Info'!$E$2:$E2446, 0)),IF(G1098='Room Info'!$F$1, INDEX('Room Info'!$A$2:$A2446, MATCH(B1098,'Room Info'!$F$2:$F2446, 0)),IF(G1098='Room Info'!$H$1, INDEX('Room Info'!$A$2:$A2446, MATCH(B1098,'Room Info'!$H$2:$H2446, 0)),IF(G1098='Room Info'!$G$1, INDEX('Room Info'!$A$2:$A2446, MATCH(B1098,'Room Info'!$G$2:$G2446, 0)))))))))</f>
        <v>overplayKK</v>
      </c>
      <c r="B1098" s="45" t="s">
        <v>193</v>
      </c>
      <c r="C1098" s="46">
        <v>44490</v>
      </c>
      <c r="D1098" s="46">
        <v>44520</v>
      </c>
      <c r="E1098" s="47">
        <v>44501</v>
      </c>
      <c r="F1098" s="48" t="s">
        <v>34</v>
      </c>
      <c r="G1098" s="45" t="s">
        <v>80</v>
      </c>
      <c r="H1098" s="49" t="s">
        <v>86</v>
      </c>
      <c r="I1098" s="49" t="s">
        <v>81</v>
      </c>
      <c r="J1098" s="50">
        <v>5</v>
      </c>
      <c r="K1098" s="51">
        <v>785</v>
      </c>
      <c r="L1098" s="52">
        <v>60</v>
      </c>
      <c r="M1098" s="53">
        <v>130</v>
      </c>
      <c r="N1098" s="28">
        <f>K1098*J1098</f>
        <v>3925</v>
      </c>
      <c r="O1098" s="54">
        <v>11116</v>
      </c>
      <c r="P1098" s="29">
        <v>14.16050955</v>
      </c>
      <c r="Q1098" s="55"/>
      <c r="R1098" s="31">
        <f>M1098+Q1098</f>
        <v>130</v>
      </c>
      <c r="S1098" s="56">
        <v>-126</v>
      </c>
      <c r="T1098" s="32">
        <f>R1098+S1098+IF(F1098="Without EV deal",L1098,0)</f>
        <v>4</v>
      </c>
      <c r="U1098" s="57">
        <v>1</v>
      </c>
      <c r="V1098" s="58"/>
      <c r="W1098" s="58"/>
      <c r="X1098" s="78">
        <v>0.3</v>
      </c>
      <c r="Y1098" s="30">
        <f>IF(AG1098="None",0,IF(AG1098="Fix5",0.05, IF(AG1098="Fix6.25",0.0625,IF(AG1098="Fix3.75",0.0375,IF(AG1098="Fix10",0.1,IF(AG1098="Fix3",0.03,0))))))</f>
        <v>0</v>
      </c>
      <c r="Z1098" s="35">
        <f>T1098-AA1098-AB1098</f>
        <v>2.8</v>
      </c>
      <c r="AA1098" s="29">
        <f>IF(AD1098="EUR",((T1098-R1098)*X1098)*U1098+(R1098*X1098),(T1098*X1098))</f>
        <v>1.2</v>
      </c>
      <c r="AB1098" s="36">
        <f>IF(AD1098="EUR",((T1098-R1098)*Y1098)*U1098+(R1098*Y1098),(T1098*Y1098))</f>
        <v>0</v>
      </c>
      <c r="AC1098" s="37" t="b">
        <v>1</v>
      </c>
      <c r="AD1098" s="37" t="s">
        <v>38</v>
      </c>
      <c r="AE1098" s="37" t="s">
        <v>38</v>
      </c>
      <c r="AF1098" s="37" t="str">
        <f t="array" ref="AF1098">INDEX('Deal Info'!D:D, MATCH(A1098,'Deal Info'!A:A, 0))</f>
        <v>SF</v>
      </c>
      <c r="AG1098" s="38" t="str">
        <f t="array" ref="AG1098">INDEX('Deal Info'!G:G, MATCH(A1098,'Deal Info'!A:A, 0))</f>
        <v>None</v>
      </c>
    </row>
    <row r="1099" spans="1:33" ht="14.25" hidden="1" x14ac:dyDescent="0.2">
      <c r="A1099" s="18" t="str">
        <f t="array" ref="A1099">IF(G1099='Room Info'!$B$1, INDEX('Room Info'!$A$2:$A2446, MATCH(B1099,'Room Info'!$B$2:$B2446, 0)),IF(G1099='Room Info'!$C$1, INDEX('Room Info'!$A$2:$A2446, MATCH(B1099,'Room Info'!$C$2:$C2446, 0)),IF(G1099='Room Info'!$D$1, INDEX('Room Info'!$A$2:$A2446, MATCH(B1099,'Room Info'!$D$2:$D2446, 0)),IF(G1099='Room Info'!$E$1, INDEX('Room Info'!$A$2:$A2446, MATCH(B1099,'Room Info'!$E$2:$E2446, 0)),IF(G1099='Room Info'!$F$1, INDEX('Room Info'!$A$2:$A2446, MATCH(B1099,'Room Info'!$F$2:$F2446, 0)),IF(G1099='Room Info'!$H$1, INDEX('Room Info'!$A$2:$A2446, MATCH(B1099,'Room Info'!$H$2:$H2446, 0)),IF(G1099='Room Info'!$G$1, INDEX('Room Info'!$A$2:$A2446, MATCH(B1099,'Room Info'!$G$2:$G2446, 0)))))))))</f>
        <v>overplayKK</v>
      </c>
      <c r="B1099" s="45" t="s">
        <v>193</v>
      </c>
      <c r="C1099" s="46">
        <v>44490</v>
      </c>
      <c r="D1099" s="46">
        <v>44520</v>
      </c>
      <c r="E1099" s="47">
        <v>44501</v>
      </c>
      <c r="F1099" s="48" t="s">
        <v>34</v>
      </c>
      <c r="G1099" s="45" t="s">
        <v>80</v>
      </c>
      <c r="H1099" s="49" t="s">
        <v>40</v>
      </c>
      <c r="I1099" s="49" t="s">
        <v>81</v>
      </c>
      <c r="J1099" s="50">
        <v>10</v>
      </c>
      <c r="K1099" s="51">
        <v>2</v>
      </c>
      <c r="L1099" s="52">
        <v>0</v>
      </c>
      <c r="M1099" s="53">
        <v>2</v>
      </c>
      <c r="N1099" s="28">
        <f>K1099*J1099</f>
        <v>20</v>
      </c>
      <c r="O1099" s="54">
        <v>340</v>
      </c>
      <c r="P1099" s="29">
        <v>170</v>
      </c>
      <c r="Q1099" s="55"/>
      <c r="R1099" s="31">
        <f>M1099+Q1099</f>
        <v>2</v>
      </c>
      <c r="S1099" s="56">
        <v>8</v>
      </c>
      <c r="T1099" s="32">
        <f>R1099+S1099+IF(F1099="Without EV deal",L1099,0)</f>
        <v>10</v>
      </c>
      <c r="U1099" s="57">
        <v>1</v>
      </c>
      <c r="V1099" s="58"/>
      <c r="W1099" s="58"/>
      <c r="X1099" s="78">
        <v>0.3</v>
      </c>
      <c r="Y1099" s="30">
        <f>IF(AG1099="None",0,IF(AG1099="Fix5",0.05, IF(AG1099="Fix6.25",0.0625,IF(AG1099="Fix3.75",0.0375,IF(AG1099="Fix10",0.1,IF(AG1099="Fix3",0.03,0))))))</f>
        <v>0</v>
      </c>
      <c r="Z1099" s="35">
        <f>T1099-AA1099-AB1099</f>
        <v>7</v>
      </c>
      <c r="AA1099" s="29">
        <f>IF(AD1099="EUR",((T1099-R1099)*X1099)*U1099+(R1099*X1099),(T1099*X1099))</f>
        <v>3</v>
      </c>
      <c r="AB1099" s="36">
        <f>IF(AD1099="EUR",((T1099-R1099)*Y1099)*U1099+(R1099*Y1099),(T1099*Y1099))</f>
        <v>0</v>
      </c>
      <c r="AC1099" s="37" t="b">
        <v>1</v>
      </c>
      <c r="AD1099" s="37" t="s">
        <v>38</v>
      </c>
      <c r="AE1099" s="37" t="s">
        <v>38</v>
      </c>
      <c r="AF1099" s="37" t="str">
        <f t="array" ref="AF1099">INDEX('Deal Info'!D:D, MATCH(A1099,'Deal Info'!A:A, 0))</f>
        <v>SF</v>
      </c>
      <c r="AG1099" s="38" t="str">
        <f t="array" ref="AG1099">INDEX('Deal Info'!G:G, MATCH(A1099,'Deal Info'!A:A, 0))</f>
        <v>None</v>
      </c>
    </row>
    <row r="1100" spans="1:33" ht="14.25" hidden="1" x14ac:dyDescent="0.2">
      <c r="A1100" s="18" t="str">
        <f t="array" ref="A1100">IF(G1100='Room Info'!$B$1, INDEX('Room Info'!$A$2:$A2446, MATCH(B1100,'Room Info'!$B$2:$B2446, 0)),IF(G1100='Room Info'!$C$1, INDEX('Room Info'!$A$2:$A2446, MATCH(B1100,'Room Info'!$C$2:$C2446, 0)),IF(G1100='Room Info'!$D$1, INDEX('Room Info'!$A$2:$A2446, MATCH(B1100,'Room Info'!$D$2:$D2446, 0)),IF(G1100='Room Info'!$E$1, INDEX('Room Info'!$A$2:$A2446, MATCH(B1100,'Room Info'!$E$2:$E2446, 0)),IF(G1100='Room Info'!$F$1, INDEX('Room Info'!$A$2:$A2446, MATCH(B1100,'Room Info'!$F$2:$F2446, 0)),IF(G1100='Room Info'!$H$1, INDEX('Room Info'!$A$2:$A2446, MATCH(B1100,'Room Info'!$H$2:$H2446, 0)),IF(G1100='Room Info'!$G$1, INDEX('Room Info'!$A$2:$A2446, MATCH(B1100,'Room Info'!$G$2:$G2446, 0)))))))))</f>
        <v>overplayKK</v>
      </c>
      <c r="B1100" s="45" t="s">
        <v>191</v>
      </c>
      <c r="C1100" s="46">
        <v>44490</v>
      </c>
      <c r="D1100" s="46">
        <v>44520</v>
      </c>
      <c r="E1100" s="47">
        <v>44501</v>
      </c>
      <c r="F1100" s="48" t="s">
        <v>41</v>
      </c>
      <c r="G1100" s="45" t="s">
        <v>35</v>
      </c>
      <c r="H1100" s="49" t="s">
        <v>45</v>
      </c>
      <c r="I1100" s="49" t="s">
        <v>37</v>
      </c>
      <c r="J1100" s="50">
        <v>0.25</v>
      </c>
      <c r="K1100" s="51">
        <v>4</v>
      </c>
      <c r="L1100" s="52">
        <v>1.5</v>
      </c>
      <c r="M1100" s="62"/>
      <c r="N1100" s="28">
        <f>K1100*J1100</f>
        <v>1</v>
      </c>
      <c r="O1100" s="65"/>
      <c r="P1100" s="29">
        <v>0</v>
      </c>
      <c r="Q1100" s="55"/>
      <c r="R1100" s="31">
        <f>M1100+Q1100</f>
        <v>0</v>
      </c>
      <c r="S1100" s="66"/>
      <c r="T1100" s="32">
        <f>R1100+S1100+IF(F1100="Without EV deal",L1100,0)</f>
        <v>1.5</v>
      </c>
      <c r="U1100" s="57">
        <v>1</v>
      </c>
      <c r="V1100" s="58"/>
      <c r="W1100" s="58"/>
      <c r="X1100" s="78">
        <v>0.3</v>
      </c>
      <c r="Y1100" s="30">
        <f>IF(AG1100="None",0,IF(AG1100="Fix5",0.05, IF(AG1100="Fix6.25",0.0625,IF(AG1100="Fix3.75",0.0375,IF(AG1100="Fix10",0.1,IF(AG1100="Fix3",0.03,0))))))</f>
        <v>0</v>
      </c>
      <c r="Z1100" s="35">
        <f>T1100-AA1100-AB1100</f>
        <v>1.05</v>
      </c>
      <c r="AA1100" s="29">
        <f>IF(AD1100="EUR",((T1100-R1100)*X1100)*U1100+(R1100*X1100),(T1100*X1100))</f>
        <v>0.44999999999999996</v>
      </c>
      <c r="AB1100" s="36">
        <f>IF(AD1100="EUR",((T1100-R1100)*Y1100)*U1100+(R1100*Y1100),(T1100*Y1100))</f>
        <v>0</v>
      </c>
      <c r="AC1100" s="37" t="b">
        <v>1</v>
      </c>
      <c r="AD1100" s="37" t="s">
        <v>38</v>
      </c>
      <c r="AE1100" s="37" t="s">
        <v>38</v>
      </c>
      <c r="AF1100" s="37" t="str">
        <f t="array" ref="AF1100">INDEX('Deal Info'!D:D, MATCH(A1100,'Deal Info'!A:A, 0))</f>
        <v>SF</v>
      </c>
      <c r="AG1100" s="38" t="str">
        <f t="array" ref="AG1100">INDEX('Deal Info'!G:G, MATCH(A1100,'Deal Info'!A:A, 0))</f>
        <v>None</v>
      </c>
    </row>
    <row r="1101" spans="1:33" ht="14.25" hidden="1" x14ac:dyDescent="0.2">
      <c r="A1101" s="18" t="str">
        <f t="array" ref="A1101">IF(G1101='Room Info'!$B$1, INDEX('Room Info'!$A$2:$A2446, MATCH(B1101,'Room Info'!$B$2:$B2446, 0)),IF(G1101='Room Info'!$C$1, INDEX('Room Info'!$A$2:$A2446, MATCH(B1101,'Room Info'!$C$2:$C2446, 0)),IF(G1101='Room Info'!$D$1, INDEX('Room Info'!$A$2:$A2446, MATCH(B1101,'Room Info'!$D$2:$D2446, 0)),IF(G1101='Room Info'!$E$1, INDEX('Room Info'!$A$2:$A2446, MATCH(B1101,'Room Info'!$E$2:$E2446, 0)),IF(G1101='Room Info'!$F$1, INDEX('Room Info'!$A$2:$A2446, MATCH(B1101,'Room Info'!$F$2:$F2446, 0)),IF(G1101='Room Info'!$H$1, INDEX('Room Info'!$A$2:$A2446, MATCH(B1101,'Room Info'!$H$2:$H2446, 0)),IF(G1101='Room Info'!$G$1, INDEX('Room Info'!$A$2:$A2446, MATCH(B1101,'Room Info'!$G$2:$G2446, 0)))))))))</f>
        <v>overplayKK</v>
      </c>
      <c r="B1101" s="45" t="s">
        <v>191</v>
      </c>
      <c r="C1101" s="46">
        <v>44490</v>
      </c>
      <c r="D1101" s="46">
        <v>44520</v>
      </c>
      <c r="E1101" s="47">
        <v>44501</v>
      </c>
      <c r="F1101" s="48" t="s">
        <v>41</v>
      </c>
      <c r="G1101" s="45" t="s">
        <v>35</v>
      </c>
      <c r="H1101" s="49" t="s">
        <v>51</v>
      </c>
      <c r="I1101" s="49" t="s">
        <v>44</v>
      </c>
      <c r="J1101" s="50">
        <v>0.25</v>
      </c>
      <c r="K1101" s="51">
        <v>9</v>
      </c>
      <c r="L1101" s="52">
        <v>-1.75</v>
      </c>
      <c r="M1101" s="62"/>
      <c r="N1101" s="28">
        <f>K1101*J1101</f>
        <v>2.25</v>
      </c>
      <c r="O1101" s="65"/>
      <c r="P1101" s="29">
        <v>0</v>
      </c>
      <c r="Q1101" s="55"/>
      <c r="R1101" s="31">
        <f>M1101+Q1101</f>
        <v>0</v>
      </c>
      <c r="S1101" s="66"/>
      <c r="T1101" s="32">
        <f>R1101+S1101+IF(F1101="Without EV deal",L1101,0)</f>
        <v>-1.75</v>
      </c>
      <c r="U1101" s="57">
        <v>1</v>
      </c>
      <c r="V1101" s="58"/>
      <c r="W1101" s="58"/>
      <c r="X1101" s="78">
        <v>0.3</v>
      </c>
      <c r="Y1101" s="30">
        <f>IF(AG1101="None",0,IF(AG1101="Fix5",0.05, IF(AG1101="Fix6.25",0.0625,IF(AG1101="Fix3.75",0.0375,IF(AG1101="Fix10",0.1,IF(AG1101="Fix3",0.03,0))))))</f>
        <v>0</v>
      </c>
      <c r="Z1101" s="35">
        <f>T1101-AA1101-AB1101</f>
        <v>-1.2250000000000001</v>
      </c>
      <c r="AA1101" s="29">
        <f>IF(AD1101="EUR",((T1101-R1101)*X1101)*U1101+(R1101*X1101),(T1101*X1101))</f>
        <v>-0.52500000000000002</v>
      </c>
      <c r="AB1101" s="36">
        <f>IF(AD1101="EUR",((T1101-R1101)*Y1101)*U1101+(R1101*Y1101),(T1101*Y1101))</f>
        <v>0</v>
      </c>
      <c r="AC1101" s="37" t="b">
        <v>1</v>
      </c>
      <c r="AD1101" s="37" t="s">
        <v>38</v>
      </c>
      <c r="AE1101" s="37" t="s">
        <v>38</v>
      </c>
      <c r="AF1101" s="37" t="str">
        <f t="array" ref="AF1101">INDEX('Deal Info'!D:D, MATCH(A1101,'Deal Info'!A:A, 0))</f>
        <v>SF</v>
      </c>
      <c r="AG1101" s="38" t="str">
        <f t="array" ref="AG1101">INDEX('Deal Info'!G:G, MATCH(A1101,'Deal Info'!A:A, 0))</f>
        <v>None</v>
      </c>
    </row>
    <row r="1102" spans="1:33" ht="14.25" hidden="1" x14ac:dyDescent="0.2">
      <c r="A1102" s="18" t="str">
        <f t="array" ref="A1102">IF(G1102='Room Info'!$B$1, INDEX('Room Info'!$A$2:$A2446, MATCH(B1102,'Room Info'!$B$2:$B2446, 0)),IF(G1102='Room Info'!$C$1, INDEX('Room Info'!$A$2:$A2446, MATCH(B1102,'Room Info'!$C$2:$C2446, 0)),IF(G1102='Room Info'!$D$1, INDEX('Room Info'!$A$2:$A2446, MATCH(B1102,'Room Info'!$D$2:$D2446, 0)),IF(G1102='Room Info'!$E$1, INDEX('Room Info'!$A$2:$A2446, MATCH(B1102,'Room Info'!$E$2:$E2446, 0)),IF(G1102='Room Info'!$F$1, INDEX('Room Info'!$A$2:$A2446, MATCH(B1102,'Room Info'!$F$2:$F2446, 0)),IF(G1102='Room Info'!$H$1, INDEX('Room Info'!$A$2:$A2446, MATCH(B1102,'Room Info'!$H$2:$H2446, 0)),IF(G1102='Room Info'!$G$1, INDEX('Room Info'!$A$2:$A2446, MATCH(B1102,'Room Info'!$G$2:$G2446, 0)))))))))</f>
        <v>overplayKK</v>
      </c>
      <c r="B1102" s="45" t="s">
        <v>193</v>
      </c>
      <c r="C1102" s="46">
        <v>44521</v>
      </c>
      <c r="D1102" s="46">
        <v>44550</v>
      </c>
      <c r="E1102" s="47">
        <v>44531</v>
      </c>
      <c r="F1102" s="48" t="s">
        <v>34</v>
      </c>
      <c r="G1102" s="45" t="s">
        <v>80</v>
      </c>
      <c r="H1102" s="49" t="s">
        <v>86</v>
      </c>
      <c r="I1102" s="49" t="s">
        <v>81</v>
      </c>
      <c r="J1102" s="50">
        <v>5</v>
      </c>
      <c r="K1102" s="51">
        <v>2060</v>
      </c>
      <c r="L1102" s="52">
        <v>-100</v>
      </c>
      <c r="M1102" s="53">
        <v>500</v>
      </c>
      <c r="N1102" s="28">
        <f>K1102*J1102</f>
        <v>10300</v>
      </c>
      <c r="O1102" s="54">
        <v>39007</v>
      </c>
      <c r="P1102" s="29">
        <v>18.935436889999998</v>
      </c>
      <c r="Q1102" s="55"/>
      <c r="R1102" s="31">
        <f>M1102+Q1102</f>
        <v>500</v>
      </c>
      <c r="S1102" s="56">
        <v>-210</v>
      </c>
      <c r="T1102" s="32">
        <f>R1102+S1102+IF(F1102="Without EV deal",L1102,0)</f>
        <v>290</v>
      </c>
      <c r="U1102" s="57">
        <v>1</v>
      </c>
      <c r="V1102" s="58"/>
      <c r="W1102" s="58"/>
      <c r="X1102" s="78">
        <v>0.25</v>
      </c>
      <c r="Y1102" s="30">
        <f>IF(AG1102="None",0,IF(AG1102="Fix5",0.05, IF(AG1102="Fix6.25",0.0625,IF(AG1102="Fix3.75",0.0375,IF(AG1102="Fix10",0.1,IF(AG1102="Fix3",0.03,0))))))</f>
        <v>0</v>
      </c>
      <c r="Z1102" s="35">
        <f>T1102-AA1102-AB1102</f>
        <v>217.5</v>
      </c>
      <c r="AA1102" s="29">
        <f>IF(AD1102="EUR",((T1102-R1102)*X1102)*U1102+(R1102*X1102),(T1102*X1102))</f>
        <v>72.5</v>
      </c>
      <c r="AB1102" s="36">
        <f>IF(AD1102="EUR",((T1102-R1102)*Y1102)*U1102+(R1102*Y1102),(T1102*Y1102))</f>
        <v>0</v>
      </c>
      <c r="AC1102" s="37" t="b">
        <v>1</v>
      </c>
      <c r="AD1102" s="37" t="s">
        <v>38</v>
      </c>
      <c r="AE1102" s="37" t="s">
        <v>38</v>
      </c>
      <c r="AF1102" s="37" t="str">
        <f t="array" ref="AF1102">INDEX('Deal Info'!D:D, MATCH(A1102,'Deal Info'!A:A, 0))</f>
        <v>SF</v>
      </c>
      <c r="AG1102" s="38" t="str">
        <f t="array" ref="AG1102">INDEX('Deal Info'!G:G, MATCH(A1102,'Deal Info'!A:A, 0))</f>
        <v>None</v>
      </c>
    </row>
    <row r="1103" spans="1:33" ht="14.25" hidden="1" x14ac:dyDescent="0.2">
      <c r="A1103" s="18" t="str">
        <f t="array" ref="A1103">IF(G1103='Room Info'!$B$1, INDEX('Room Info'!$A$2:$A2446, MATCH(B1103,'Room Info'!$B$2:$B2446, 0)),IF(G1103='Room Info'!$C$1, INDEX('Room Info'!$A$2:$A2446, MATCH(B1103,'Room Info'!$C$2:$C2446, 0)),IF(G1103='Room Info'!$D$1, INDEX('Room Info'!$A$2:$A2446, MATCH(B1103,'Room Info'!$D$2:$D2446, 0)),IF(G1103='Room Info'!$E$1, INDEX('Room Info'!$A$2:$A2446, MATCH(B1103,'Room Info'!$E$2:$E2446, 0)),IF(G1103='Room Info'!$F$1, INDEX('Room Info'!$A$2:$A2446, MATCH(B1103,'Room Info'!$F$2:$F2446, 0)),IF(G1103='Room Info'!$H$1, INDEX('Room Info'!$A$2:$A2446, MATCH(B1103,'Room Info'!$H$2:$H2446, 0)),IF(G1103='Room Info'!$G$1, INDEX('Room Info'!$A$2:$A2446, MATCH(B1103,'Room Info'!$G$2:$G2446, 0)))))))))</f>
        <v>overplayKK</v>
      </c>
      <c r="B1103" s="45" t="s">
        <v>193</v>
      </c>
      <c r="C1103" s="46">
        <v>44521</v>
      </c>
      <c r="D1103" s="46">
        <v>44550</v>
      </c>
      <c r="E1103" s="47">
        <v>44531</v>
      </c>
      <c r="F1103" s="48" t="s">
        <v>34</v>
      </c>
      <c r="G1103" s="45" t="s">
        <v>80</v>
      </c>
      <c r="H1103" s="49" t="s">
        <v>40</v>
      </c>
      <c r="I1103" s="49" t="s">
        <v>81</v>
      </c>
      <c r="J1103" s="50">
        <v>10</v>
      </c>
      <c r="K1103" s="51">
        <v>3297</v>
      </c>
      <c r="L1103" s="52">
        <v>-1460</v>
      </c>
      <c r="M1103" s="53">
        <v>1500</v>
      </c>
      <c r="N1103" s="28">
        <f>K1103*J1103</f>
        <v>32970</v>
      </c>
      <c r="O1103" s="54">
        <v>54635</v>
      </c>
      <c r="P1103" s="29">
        <v>16.57112527</v>
      </c>
      <c r="Q1103" s="55"/>
      <c r="R1103" s="31">
        <f>M1103+Q1103</f>
        <v>1500</v>
      </c>
      <c r="S1103" s="56">
        <v>-870</v>
      </c>
      <c r="T1103" s="32">
        <f>R1103+S1103+IF(F1103="Without EV deal",L1103,0)</f>
        <v>630</v>
      </c>
      <c r="U1103" s="57">
        <v>1</v>
      </c>
      <c r="V1103" s="58"/>
      <c r="W1103" s="58"/>
      <c r="X1103" s="78">
        <v>0.25</v>
      </c>
      <c r="Y1103" s="30">
        <f>IF(AG1103="None",0,IF(AG1103="Fix5",0.05, IF(AG1103="Fix6.25",0.0625,IF(AG1103="Fix3.75",0.0375,IF(AG1103="Fix10",0.1,IF(AG1103="Fix3",0.03,0))))))</f>
        <v>0</v>
      </c>
      <c r="Z1103" s="35">
        <f>T1103-AA1103-AB1103</f>
        <v>472.5</v>
      </c>
      <c r="AA1103" s="29">
        <f>IF(AD1103="EUR",((T1103-R1103)*X1103)*U1103+(R1103*X1103),(T1103*X1103))</f>
        <v>157.5</v>
      </c>
      <c r="AB1103" s="36">
        <f>IF(AD1103="EUR",((T1103-R1103)*Y1103)*U1103+(R1103*Y1103),(T1103*Y1103))</f>
        <v>0</v>
      </c>
      <c r="AC1103" s="37" t="b">
        <v>1</v>
      </c>
      <c r="AD1103" s="37" t="s">
        <v>38</v>
      </c>
      <c r="AE1103" s="37" t="s">
        <v>38</v>
      </c>
      <c r="AF1103" s="37" t="str">
        <f t="array" ref="AF1103">INDEX('Deal Info'!D:D, MATCH(A1103,'Deal Info'!A:A, 0))</f>
        <v>SF</v>
      </c>
      <c r="AG1103" s="38" t="str">
        <f t="array" ref="AG1103">INDEX('Deal Info'!G:G, MATCH(A1103,'Deal Info'!A:A, 0))</f>
        <v>None</v>
      </c>
    </row>
    <row r="1104" spans="1:33" ht="14.25" hidden="1" x14ac:dyDescent="0.2">
      <c r="A1104" s="18" t="str">
        <f t="array" ref="A1104">IF(G1104='Room Info'!$B$1, INDEX('Room Info'!$A$2:$A2446, MATCH(B1104,'Room Info'!$B$2:$B2446, 0)),IF(G1104='Room Info'!$C$1, INDEX('Room Info'!$A$2:$A2446, MATCH(B1104,'Room Info'!$C$2:$C2446, 0)),IF(G1104='Room Info'!$D$1, INDEX('Room Info'!$A$2:$A2446, MATCH(B1104,'Room Info'!$D$2:$D2446, 0)),IF(G1104='Room Info'!$E$1, INDEX('Room Info'!$A$2:$A2446, MATCH(B1104,'Room Info'!$E$2:$E2446, 0)),IF(G1104='Room Info'!$F$1, INDEX('Room Info'!$A$2:$A2446, MATCH(B1104,'Room Info'!$F$2:$F2446, 0)),IF(G1104='Room Info'!$H$1, INDEX('Room Info'!$A$2:$A2446, MATCH(B1104,'Room Info'!$H$2:$H2446, 0)),IF(G1104='Room Info'!$G$1, INDEX('Room Info'!$A$2:$A2446, MATCH(B1104,'Room Info'!$G$2:$G2446, 0)))))))))</f>
        <v>overplayKK</v>
      </c>
      <c r="B1104" s="45" t="s">
        <v>193</v>
      </c>
      <c r="C1104" s="46">
        <v>44521</v>
      </c>
      <c r="D1104" s="46">
        <v>44550</v>
      </c>
      <c r="E1104" s="47">
        <v>44531</v>
      </c>
      <c r="F1104" s="48" t="s">
        <v>34</v>
      </c>
      <c r="G1104" s="45" t="s">
        <v>80</v>
      </c>
      <c r="H1104" s="49" t="s">
        <v>71</v>
      </c>
      <c r="I1104" s="49" t="s">
        <v>81</v>
      </c>
      <c r="J1104" s="50">
        <v>20</v>
      </c>
      <c r="K1104" s="51">
        <v>62</v>
      </c>
      <c r="L1104" s="52">
        <v>-620</v>
      </c>
      <c r="M1104" s="53">
        <v>89</v>
      </c>
      <c r="N1104" s="28">
        <f>K1104*J1104</f>
        <v>1240</v>
      </c>
      <c r="O1104" s="54">
        <v>505</v>
      </c>
      <c r="P1104" s="29">
        <v>8.1451612900000008</v>
      </c>
      <c r="Q1104" s="55"/>
      <c r="R1104" s="31">
        <f>M1104+Q1104</f>
        <v>89</v>
      </c>
      <c r="S1104" s="56">
        <v>-64</v>
      </c>
      <c r="T1104" s="32">
        <f>R1104+S1104+IF(F1104="Without EV deal",L1104,0)</f>
        <v>25</v>
      </c>
      <c r="U1104" s="57">
        <v>1</v>
      </c>
      <c r="V1104" s="58"/>
      <c r="W1104" s="58"/>
      <c r="X1104" s="78">
        <v>0.25</v>
      </c>
      <c r="Y1104" s="30">
        <f>IF(AG1104="None",0,IF(AG1104="Fix5",0.05, IF(AG1104="Fix6.25",0.0625,IF(AG1104="Fix3.75",0.0375,IF(AG1104="Fix10",0.1,IF(AG1104="Fix3",0.03,0))))))</f>
        <v>0</v>
      </c>
      <c r="Z1104" s="35">
        <f>T1104-AA1104-AB1104</f>
        <v>18.75</v>
      </c>
      <c r="AA1104" s="29">
        <f>IF(AD1104="EUR",((T1104-R1104)*X1104)*U1104+(R1104*X1104),(T1104*X1104))</f>
        <v>6.25</v>
      </c>
      <c r="AB1104" s="36">
        <f>IF(AD1104="EUR",((T1104-R1104)*Y1104)*U1104+(R1104*Y1104),(T1104*Y1104))</f>
        <v>0</v>
      </c>
      <c r="AC1104" s="37" t="b">
        <v>1</v>
      </c>
      <c r="AD1104" s="37" t="s">
        <v>38</v>
      </c>
      <c r="AE1104" s="37" t="s">
        <v>38</v>
      </c>
      <c r="AF1104" s="37" t="str">
        <f t="array" ref="AF1104">INDEX('Deal Info'!D:D, MATCH(A1104,'Deal Info'!A:A, 0))</f>
        <v>SF</v>
      </c>
      <c r="AG1104" s="38" t="str">
        <f t="array" ref="AG1104">INDEX('Deal Info'!G:G, MATCH(A1104,'Deal Info'!A:A, 0))</f>
        <v>None</v>
      </c>
    </row>
    <row r="1105" spans="1:33" ht="14.25" hidden="1" x14ac:dyDescent="0.2">
      <c r="A1105" s="18" t="str">
        <f t="array" ref="A1105">IF(G1105='Room Info'!$B$1, INDEX('Room Info'!$A$2:$A2446, MATCH(B1105,'Room Info'!$B$2:$B2446, 0)),IF(G1105='Room Info'!$C$1, INDEX('Room Info'!$A$2:$A2446, MATCH(B1105,'Room Info'!$C$2:$C2446, 0)),IF(G1105='Room Info'!$D$1, INDEX('Room Info'!$A$2:$A2446, MATCH(B1105,'Room Info'!$D$2:$D2446, 0)),IF(G1105='Room Info'!$E$1, INDEX('Room Info'!$A$2:$A2446, MATCH(B1105,'Room Info'!$E$2:$E2446, 0)),IF(G1105='Room Info'!$F$1, INDEX('Room Info'!$A$2:$A2446, MATCH(B1105,'Room Info'!$F$2:$F2446, 0)),IF(G1105='Room Info'!$H$1, INDEX('Room Info'!$A$2:$A2446, MATCH(B1105,'Room Info'!$H$2:$H2446, 0)),IF(G1105='Room Info'!$G$1, INDEX('Room Info'!$A$2:$A2446, MATCH(B1105,'Room Info'!$G$2:$G2446, 0)))))))))</f>
        <v>overplayKK</v>
      </c>
      <c r="B1105" s="45" t="s">
        <v>193</v>
      </c>
      <c r="C1105" s="46">
        <v>44551</v>
      </c>
      <c r="D1105" s="46">
        <v>44581</v>
      </c>
      <c r="E1105" s="47">
        <v>44562</v>
      </c>
      <c r="F1105" s="48" t="s">
        <v>34</v>
      </c>
      <c r="G1105" s="45" t="s">
        <v>80</v>
      </c>
      <c r="H1105" s="49" t="s">
        <v>86</v>
      </c>
      <c r="I1105" s="49" t="s">
        <v>81</v>
      </c>
      <c r="J1105" s="50">
        <v>5</v>
      </c>
      <c r="K1105" s="51">
        <v>5788</v>
      </c>
      <c r="L1105" s="52">
        <v>-155</v>
      </c>
      <c r="M1105" s="53">
        <v>2295</v>
      </c>
      <c r="N1105" s="28">
        <f>K1105*J1105</f>
        <v>28940</v>
      </c>
      <c r="O1105" s="54">
        <v>101129</v>
      </c>
      <c r="P1105" s="29">
        <v>17.472183829999999</v>
      </c>
      <c r="Q1105" s="55"/>
      <c r="R1105" s="31">
        <f>M1105+Q1105</f>
        <v>2295</v>
      </c>
      <c r="S1105" s="56">
        <v>-695</v>
      </c>
      <c r="T1105" s="32">
        <f>R1105+S1105+IF(F1105="Without EV deal",L1105,0)</f>
        <v>1600</v>
      </c>
      <c r="U1105" s="57">
        <v>1</v>
      </c>
      <c r="V1105" s="58"/>
      <c r="W1105" s="58"/>
      <c r="X1105" s="78">
        <v>0.25</v>
      </c>
      <c r="Y1105" s="30">
        <f>IF(AG1105="None",0,IF(AG1105="Fix5",0.05, IF(AG1105="Fix6.25",0.0625,IF(AG1105="Fix3.75",0.0375,IF(AG1105="Fix10",0.1,IF(AG1105="Fix3",0.03,0))))))</f>
        <v>0</v>
      </c>
      <c r="Z1105" s="35">
        <f>T1105-AA1105-AB1105</f>
        <v>1200</v>
      </c>
      <c r="AA1105" s="29">
        <f>IF(AD1105="EUR",((T1105-R1105)*X1105)*U1105+(R1105*X1105),(T1105*X1105))</f>
        <v>400</v>
      </c>
      <c r="AB1105" s="36">
        <f>IF(AD1105="EUR",((T1105-R1105)*Y1105)*U1105+(R1105*Y1105),(T1105*Y1105))</f>
        <v>0</v>
      </c>
      <c r="AC1105" s="37" t="b">
        <v>1</v>
      </c>
      <c r="AD1105" s="37" t="s">
        <v>38</v>
      </c>
      <c r="AE1105" s="37" t="s">
        <v>38</v>
      </c>
      <c r="AF1105" s="37" t="str">
        <f t="array" ref="AF1105">INDEX('Deal Info'!D:D, MATCH(A1105,'Deal Info'!A:A, 0))</f>
        <v>SF</v>
      </c>
      <c r="AG1105" s="38" t="str">
        <f t="array" ref="AG1105">INDEX('Deal Info'!G:G, MATCH(A1105,'Deal Info'!A:A, 0))</f>
        <v>None</v>
      </c>
    </row>
    <row r="1106" spans="1:33" ht="14.25" hidden="1" x14ac:dyDescent="0.2">
      <c r="A1106" s="18" t="str">
        <f t="array" ref="A1106">IF(G1106='Room Info'!$B$1, INDEX('Room Info'!$A$2:$A2446, MATCH(B1106,'Room Info'!$B$2:$B2446, 0)),IF(G1106='Room Info'!$C$1, INDEX('Room Info'!$A$2:$A2446, MATCH(B1106,'Room Info'!$C$2:$C2446, 0)),IF(G1106='Room Info'!$D$1, INDEX('Room Info'!$A$2:$A2446, MATCH(B1106,'Room Info'!$D$2:$D2446, 0)),IF(G1106='Room Info'!$E$1, INDEX('Room Info'!$A$2:$A2446, MATCH(B1106,'Room Info'!$E$2:$E2446, 0)),IF(G1106='Room Info'!$F$1, INDEX('Room Info'!$A$2:$A2446, MATCH(B1106,'Room Info'!$F$2:$F2446, 0)),IF(G1106='Room Info'!$H$1, INDEX('Room Info'!$A$2:$A2446, MATCH(B1106,'Room Info'!$H$2:$H2446, 0)),IF(G1106='Room Info'!$G$1, INDEX('Room Info'!$A$2:$A2446, MATCH(B1106,'Room Info'!$G$2:$G2446, 0)))))))))</f>
        <v>overplayKK</v>
      </c>
      <c r="B1106" s="45" t="s">
        <v>193</v>
      </c>
      <c r="C1106" s="46">
        <v>44551</v>
      </c>
      <c r="D1106" s="46">
        <v>44581</v>
      </c>
      <c r="E1106" s="47">
        <v>44562</v>
      </c>
      <c r="F1106" s="48" t="s">
        <v>34</v>
      </c>
      <c r="G1106" s="45" t="s">
        <v>80</v>
      </c>
      <c r="H1106" s="49" t="s">
        <v>40</v>
      </c>
      <c r="I1106" s="49" t="s">
        <v>81</v>
      </c>
      <c r="J1106" s="50">
        <v>10</v>
      </c>
      <c r="K1106" s="51">
        <v>1036</v>
      </c>
      <c r="L1106" s="52">
        <v>590</v>
      </c>
      <c r="M1106" s="53">
        <v>620</v>
      </c>
      <c r="N1106" s="28">
        <f>K1106*J1106</f>
        <v>10360</v>
      </c>
      <c r="O1106" s="54">
        <v>17407</v>
      </c>
      <c r="P1106" s="29">
        <v>16.802123550000001</v>
      </c>
      <c r="Q1106" s="55"/>
      <c r="R1106" s="31">
        <f>M1106+Q1106</f>
        <v>620</v>
      </c>
      <c r="S1106" s="56">
        <v>-266</v>
      </c>
      <c r="T1106" s="32">
        <f>R1106+S1106+IF(F1106="Without EV deal",L1106,0)</f>
        <v>354</v>
      </c>
      <c r="U1106" s="57">
        <v>1</v>
      </c>
      <c r="V1106" s="58"/>
      <c r="W1106" s="58"/>
      <c r="X1106" s="78">
        <v>0.25</v>
      </c>
      <c r="Y1106" s="30">
        <f>IF(AG1106="None",0,IF(AG1106="Fix5",0.05, IF(AG1106="Fix6.25",0.0625,IF(AG1106="Fix3.75",0.0375,IF(AG1106="Fix10",0.1,IF(AG1106="Fix3",0.03,0))))))</f>
        <v>0</v>
      </c>
      <c r="Z1106" s="35">
        <f>T1106-AA1106-AB1106</f>
        <v>265.5</v>
      </c>
      <c r="AA1106" s="29">
        <f>IF(AD1106="EUR",((T1106-R1106)*X1106)*U1106+(R1106*X1106),(T1106*X1106))</f>
        <v>88.5</v>
      </c>
      <c r="AB1106" s="36">
        <f>IF(AD1106="EUR",((T1106-R1106)*Y1106)*U1106+(R1106*Y1106),(T1106*Y1106))</f>
        <v>0</v>
      </c>
      <c r="AC1106" s="37" t="b">
        <v>1</v>
      </c>
      <c r="AD1106" s="37" t="s">
        <v>38</v>
      </c>
      <c r="AE1106" s="37" t="s">
        <v>38</v>
      </c>
      <c r="AF1106" s="37" t="str">
        <f t="array" ref="AF1106">INDEX('Deal Info'!D:D, MATCH(A1106,'Deal Info'!A:A, 0))</f>
        <v>SF</v>
      </c>
      <c r="AG1106" s="38" t="str">
        <f t="array" ref="AG1106">INDEX('Deal Info'!G:G, MATCH(A1106,'Deal Info'!A:A, 0))</f>
        <v>None</v>
      </c>
    </row>
    <row r="1107" spans="1:33" ht="14.25" hidden="1" x14ac:dyDescent="0.2">
      <c r="A1107" s="18" t="str">
        <f t="array" ref="A1107">IF(G1107='Room Info'!$B$1, INDEX('Room Info'!$A$2:$A2446, MATCH(B1107,'Room Info'!$B$2:$B2446, 0)),IF(G1107='Room Info'!$C$1, INDEX('Room Info'!$A$2:$A2446, MATCH(B1107,'Room Info'!$C$2:$C2446, 0)),IF(G1107='Room Info'!$D$1, INDEX('Room Info'!$A$2:$A2446, MATCH(B1107,'Room Info'!$D$2:$D2446, 0)),IF(G1107='Room Info'!$E$1, INDEX('Room Info'!$A$2:$A2446, MATCH(B1107,'Room Info'!$E$2:$E2446, 0)),IF(G1107='Room Info'!$F$1, INDEX('Room Info'!$A$2:$A2446, MATCH(B1107,'Room Info'!$F$2:$F2446, 0)),IF(G1107='Room Info'!$H$1, INDEX('Room Info'!$A$2:$A2446, MATCH(B1107,'Room Info'!$H$2:$H2446, 0)),IF(G1107='Room Info'!$G$1, INDEX('Room Info'!$A$2:$A2446, MATCH(B1107,'Room Info'!$G$2:$G2446, 0)))))))))</f>
        <v>overplayKK</v>
      </c>
      <c r="B1107" s="45" t="s">
        <v>193</v>
      </c>
      <c r="C1107" s="46">
        <v>44551</v>
      </c>
      <c r="D1107" s="46">
        <v>44581</v>
      </c>
      <c r="E1107" s="47">
        <v>44562</v>
      </c>
      <c r="F1107" s="48" t="s">
        <v>34</v>
      </c>
      <c r="G1107" s="45" t="s">
        <v>80</v>
      </c>
      <c r="H1107" s="49" t="s">
        <v>71</v>
      </c>
      <c r="I1107" s="49" t="s">
        <v>81</v>
      </c>
      <c r="J1107" s="50">
        <v>20</v>
      </c>
      <c r="K1107" s="51">
        <v>791</v>
      </c>
      <c r="L1107" s="52">
        <v>-940</v>
      </c>
      <c r="M1107" s="53">
        <v>310</v>
      </c>
      <c r="N1107" s="28">
        <f>K1107*J1107</f>
        <v>15820</v>
      </c>
      <c r="O1107" s="54">
        <v>14230</v>
      </c>
      <c r="P1107" s="29">
        <v>17.989886219999999</v>
      </c>
      <c r="Q1107" s="55"/>
      <c r="R1107" s="31">
        <f>M1107+Q1107</f>
        <v>310</v>
      </c>
      <c r="S1107" s="56">
        <v>-352</v>
      </c>
      <c r="T1107" s="32">
        <f>R1107+S1107+IF(F1107="Without EV deal",L1107,0)</f>
        <v>-42</v>
      </c>
      <c r="U1107" s="57">
        <v>1</v>
      </c>
      <c r="V1107" s="58"/>
      <c r="W1107" s="58"/>
      <c r="X1107" s="78">
        <v>0.25</v>
      </c>
      <c r="Y1107" s="30">
        <f>IF(AG1107="None",0,IF(AG1107="Fix5",0.05, IF(AG1107="Fix6.25",0.0625,IF(AG1107="Fix3.75",0.0375,IF(AG1107="Fix10",0.1,IF(AG1107="Fix3",0.03,0))))))</f>
        <v>0</v>
      </c>
      <c r="Z1107" s="35">
        <f>T1107-AA1107-AB1107</f>
        <v>-31.5</v>
      </c>
      <c r="AA1107" s="29">
        <f>IF(AD1107="EUR",((T1107-R1107)*X1107)*U1107+(R1107*X1107),(T1107*X1107))</f>
        <v>-10.5</v>
      </c>
      <c r="AB1107" s="36">
        <f>IF(AD1107="EUR",((T1107-R1107)*Y1107)*U1107+(R1107*Y1107),(T1107*Y1107))</f>
        <v>0</v>
      </c>
      <c r="AC1107" s="37" t="b">
        <v>1</v>
      </c>
      <c r="AD1107" s="37" t="s">
        <v>38</v>
      </c>
      <c r="AE1107" s="37" t="s">
        <v>38</v>
      </c>
      <c r="AF1107" s="37" t="str">
        <f t="array" ref="AF1107">INDEX('Deal Info'!D:D, MATCH(A1107,'Deal Info'!A:A, 0))</f>
        <v>SF</v>
      </c>
      <c r="AG1107" s="38" t="str">
        <f t="array" ref="AG1107">INDEX('Deal Info'!G:G, MATCH(A1107,'Deal Info'!A:A, 0))</f>
        <v>None</v>
      </c>
    </row>
    <row r="1108" spans="1:33" ht="14.25" hidden="1" x14ac:dyDescent="0.2">
      <c r="A1108" s="18" t="str">
        <f t="array" ref="A1108">IF(G1108='Room Info'!$B$1, INDEX('Room Info'!$A$2:$A2446, MATCH(B1108,'Room Info'!$B$2:$B2446, 0)),IF(G1108='Room Info'!$C$1, INDEX('Room Info'!$A$2:$A2446, MATCH(B1108,'Room Info'!$C$2:$C2446, 0)),IF(G1108='Room Info'!$D$1, INDEX('Room Info'!$A$2:$A2446, MATCH(B1108,'Room Info'!$D$2:$D2446, 0)),IF(G1108='Room Info'!$E$1, INDEX('Room Info'!$A$2:$A2446, MATCH(B1108,'Room Info'!$E$2:$E2446, 0)),IF(G1108='Room Info'!$F$1, INDEX('Room Info'!$A$2:$A2446, MATCH(B1108,'Room Info'!$F$2:$F2446, 0)),IF(G1108='Room Info'!$H$1, INDEX('Room Info'!$A$2:$A2446, MATCH(B1108,'Room Info'!$H$2:$H2446, 0)),IF(G1108='Room Info'!$G$1, INDEX('Room Info'!$A$2:$A2446, MATCH(B1108,'Room Info'!$G$2:$G2446, 0)))))))))</f>
        <v>overplayKK</v>
      </c>
      <c r="B1108" s="45" t="s">
        <v>193</v>
      </c>
      <c r="C1108" s="46">
        <v>44582</v>
      </c>
      <c r="D1108" s="46">
        <v>44612</v>
      </c>
      <c r="E1108" s="47">
        <v>44593</v>
      </c>
      <c r="F1108" s="48" t="s">
        <v>34</v>
      </c>
      <c r="G1108" s="45" t="s">
        <v>80</v>
      </c>
      <c r="H1108" s="49" t="s">
        <v>40</v>
      </c>
      <c r="I1108" s="49" t="s">
        <v>81</v>
      </c>
      <c r="J1108" s="50">
        <v>10</v>
      </c>
      <c r="K1108" s="51">
        <v>1848</v>
      </c>
      <c r="L1108" s="52">
        <v>830</v>
      </c>
      <c r="M1108" s="53">
        <v>975</v>
      </c>
      <c r="N1108" s="28">
        <f>K1108*J1108</f>
        <v>18480</v>
      </c>
      <c r="O1108" s="54">
        <v>38866</v>
      </c>
      <c r="P1108" s="29">
        <v>21.031385279999999</v>
      </c>
      <c r="Q1108" s="55"/>
      <c r="R1108" s="31">
        <f>M1108+Q1108</f>
        <v>975</v>
      </c>
      <c r="S1108" s="56">
        <v>-241</v>
      </c>
      <c r="T1108" s="32">
        <f>R1108+S1108+IF(F1108="Without EV deal",L1108,0)</f>
        <v>734</v>
      </c>
      <c r="U1108" s="57">
        <v>1</v>
      </c>
      <c r="V1108" s="58"/>
      <c r="W1108" s="58"/>
      <c r="X1108" s="78">
        <v>0.22</v>
      </c>
      <c r="Y1108" s="30">
        <f>IF(AG1108="None",0,IF(AG1108="Fix5",0.05, IF(AG1108="Fix6.25",0.0625,IF(AG1108="Fix3.75",0.0375,IF(AG1108="Fix10",0.1,IF(AG1108="Fix3",0.03,0))))))</f>
        <v>0</v>
      </c>
      <c r="Z1108" s="35">
        <f>T1108-AA1108-AB1108</f>
        <v>572.52</v>
      </c>
      <c r="AA1108" s="29">
        <f>IF(AD1108="EUR",((T1108-R1108)*X1108)*U1108+(R1108*X1108),(T1108*X1108))</f>
        <v>161.47999999999999</v>
      </c>
      <c r="AB1108" s="36">
        <f>IF(AD1108="EUR",((T1108-R1108)*Y1108)*U1108+(R1108*Y1108),(T1108*Y1108))</f>
        <v>0</v>
      </c>
      <c r="AC1108" s="37" t="b">
        <v>1</v>
      </c>
      <c r="AD1108" s="37" t="s">
        <v>38</v>
      </c>
      <c r="AE1108" s="37" t="s">
        <v>38</v>
      </c>
      <c r="AF1108" s="37" t="str">
        <f t="array" ref="AF1108">INDEX('Deal Info'!D:D, MATCH(A1108,'Deal Info'!A:A, 0))</f>
        <v>SF</v>
      </c>
      <c r="AG1108" s="38" t="str">
        <f t="array" ref="AG1108">INDEX('Deal Info'!G:G, MATCH(A1108,'Deal Info'!A:A, 0))</f>
        <v>None</v>
      </c>
    </row>
    <row r="1109" spans="1:33" ht="14.25" hidden="1" x14ac:dyDescent="0.2">
      <c r="A1109" s="18" t="str">
        <f t="array" ref="A1109">IF(G1109='Room Info'!$B$1, INDEX('Room Info'!$A$2:$A2446, MATCH(B1109,'Room Info'!$B$2:$B2446, 0)),IF(G1109='Room Info'!$C$1, INDEX('Room Info'!$A$2:$A2446, MATCH(B1109,'Room Info'!$C$2:$C2446, 0)),IF(G1109='Room Info'!$D$1, INDEX('Room Info'!$A$2:$A2446, MATCH(B1109,'Room Info'!$D$2:$D2446, 0)),IF(G1109='Room Info'!$E$1, INDEX('Room Info'!$A$2:$A2446, MATCH(B1109,'Room Info'!$E$2:$E2446, 0)),IF(G1109='Room Info'!$F$1, INDEX('Room Info'!$A$2:$A2446, MATCH(B1109,'Room Info'!$F$2:$F2446, 0)),IF(G1109='Room Info'!$H$1, INDEX('Room Info'!$A$2:$A2446, MATCH(B1109,'Room Info'!$H$2:$H2446, 0)),IF(G1109='Room Info'!$G$1, INDEX('Room Info'!$A$2:$A2446, MATCH(B1109,'Room Info'!$G$2:$G2446, 0)))))))))</f>
        <v>overplayKK</v>
      </c>
      <c r="B1109" s="45" t="s">
        <v>193</v>
      </c>
      <c r="C1109" s="46">
        <v>44582</v>
      </c>
      <c r="D1109" s="46">
        <v>44612</v>
      </c>
      <c r="E1109" s="47">
        <v>44593</v>
      </c>
      <c r="F1109" s="48" t="s">
        <v>34</v>
      </c>
      <c r="G1109" s="45" t="s">
        <v>80</v>
      </c>
      <c r="H1109" s="49" t="s">
        <v>71</v>
      </c>
      <c r="I1109" s="49" t="s">
        <v>81</v>
      </c>
      <c r="J1109" s="50">
        <v>20</v>
      </c>
      <c r="K1109" s="51">
        <v>3455</v>
      </c>
      <c r="L1109" s="52">
        <v>-5280</v>
      </c>
      <c r="M1109" s="53">
        <v>3646</v>
      </c>
      <c r="N1109" s="28">
        <f>K1109*J1109</f>
        <v>69100</v>
      </c>
      <c r="O1109" s="54">
        <v>33942</v>
      </c>
      <c r="P1109" s="29">
        <v>9.8240231550000008</v>
      </c>
      <c r="Q1109" s="55"/>
      <c r="R1109" s="31">
        <f>M1109+Q1109</f>
        <v>3646</v>
      </c>
      <c r="S1109" s="56">
        <v>-3067</v>
      </c>
      <c r="T1109" s="32">
        <f>R1109+S1109+IF(F1109="Without EV deal",L1109,0)</f>
        <v>579</v>
      </c>
      <c r="U1109" s="57">
        <v>1</v>
      </c>
      <c r="V1109" s="58"/>
      <c r="W1109" s="58"/>
      <c r="X1109" s="78">
        <v>0.22</v>
      </c>
      <c r="Y1109" s="30">
        <f>IF(AG1109="None",0,IF(AG1109="Fix5",0.05, IF(AG1109="Fix6.25",0.0625,IF(AG1109="Fix3.75",0.0375,IF(AG1109="Fix10",0.1,IF(AG1109="Fix3",0.03,0))))))</f>
        <v>0</v>
      </c>
      <c r="Z1109" s="35">
        <f>T1109-AA1109-AB1109</f>
        <v>451.62</v>
      </c>
      <c r="AA1109" s="29">
        <f>IF(AD1109="EUR",((T1109-R1109)*X1109)*U1109+(R1109*X1109),(T1109*X1109))</f>
        <v>127.38</v>
      </c>
      <c r="AB1109" s="36">
        <f>IF(AD1109="EUR",((T1109-R1109)*Y1109)*U1109+(R1109*Y1109),(T1109*Y1109))</f>
        <v>0</v>
      </c>
      <c r="AC1109" s="37" t="b">
        <v>1</v>
      </c>
      <c r="AD1109" s="37" t="s">
        <v>38</v>
      </c>
      <c r="AE1109" s="37" t="s">
        <v>38</v>
      </c>
      <c r="AF1109" s="37" t="str">
        <f t="array" ref="AF1109">INDEX('Deal Info'!D:D, MATCH(A1109,'Deal Info'!A:A, 0))</f>
        <v>SF</v>
      </c>
      <c r="AG1109" s="38" t="str">
        <f t="array" ref="AG1109">INDEX('Deal Info'!G:G, MATCH(A1109,'Deal Info'!A:A, 0))</f>
        <v>None</v>
      </c>
    </row>
    <row r="1110" spans="1:33" ht="14.25" hidden="1" x14ac:dyDescent="0.2">
      <c r="A1110" s="18" t="str">
        <f t="array" ref="A1110">IF(G1110='Room Info'!$B$1, INDEX('Room Info'!$A$2:$A2446, MATCH(B1110,'Room Info'!$B$2:$B2446, 0)),IF(G1110='Room Info'!$C$1, INDEX('Room Info'!$A$2:$A2446, MATCH(B1110,'Room Info'!$C$2:$C2446, 0)),IF(G1110='Room Info'!$D$1, INDEX('Room Info'!$A$2:$A2446, MATCH(B1110,'Room Info'!$D$2:$D2446, 0)),IF(G1110='Room Info'!$E$1, INDEX('Room Info'!$A$2:$A2446, MATCH(B1110,'Room Info'!$E$2:$E2446, 0)),IF(G1110='Room Info'!$F$1, INDEX('Room Info'!$A$2:$A2446, MATCH(B1110,'Room Info'!$F$2:$F2446, 0)),IF(G1110='Room Info'!$H$1, INDEX('Room Info'!$A$2:$A2446, MATCH(B1110,'Room Info'!$H$2:$H2446, 0)),IF(G1110='Room Info'!$G$1, INDEX('Room Info'!$A$2:$A2446, MATCH(B1110,'Room Info'!$G$2:$G2446, 0)))))))))</f>
        <v>overplayKK</v>
      </c>
      <c r="B1110" s="45" t="s">
        <v>193</v>
      </c>
      <c r="C1110" s="46">
        <v>44613</v>
      </c>
      <c r="D1110" s="46">
        <v>44640</v>
      </c>
      <c r="E1110" s="47">
        <v>44621</v>
      </c>
      <c r="F1110" s="48" t="s">
        <v>34</v>
      </c>
      <c r="G1110" s="45" t="s">
        <v>80</v>
      </c>
      <c r="H1110" s="49" t="s">
        <v>40</v>
      </c>
      <c r="I1110" s="49" t="s">
        <v>81</v>
      </c>
      <c r="J1110" s="50">
        <v>10</v>
      </c>
      <c r="K1110" s="51">
        <v>2915</v>
      </c>
      <c r="L1110" s="52">
        <v>-840</v>
      </c>
      <c r="M1110" s="53">
        <v>1468</v>
      </c>
      <c r="N1110" s="28">
        <f>K1110*J1110</f>
        <v>29150</v>
      </c>
      <c r="O1110" s="54">
        <v>48916</v>
      </c>
      <c r="P1110" s="29">
        <v>16.78078902</v>
      </c>
      <c r="Q1110" s="55"/>
      <c r="R1110" s="31">
        <f>M1110+Q1110</f>
        <v>1468</v>
      </c>
      <c r="S1110" s="56">
        <v>-754</v>
      </c>
      <c r="T1110" s="32">
        <f>R1110+S1110+IF(F1110="Without EV deal",L1110,0)</f>
        <v>714</v>
      </c>
      <c r="U1110" s="57">
        <v>1</v>
      </c>
      <c r="V1110" s="58"/>
      <c r="W1110" s="58"/>
      <c r="X1110" s="78">
        <v>0.22</v>
      </c>
      <c r="Y1110" s="30">
        <f>IF(AG1110="None",0,IF(AG1110="Fix5",0.05, IF(AG1110="Fix6.25",0.0625,IF(AG1110="Fix3.75",0.0375,IF(AG1110="Fix10",0.1,IF(AG1110="Fix3",0.03,0))))))</f>
        <v>0</v>
      </c>
      <c r="Z1110" s="35">
        <f>T1110-AA1110-AB1110</f>
        <v>556.91999999999996</v>
      </c>
      <c r="AA1110" s="29">
        <f>IF(AD1110="EUR",((T1110-R1110)*X1110)*U1110+(R1110*X1110),(T1110*X1110))</f>
        <v>157.08000000000001</v>
      </c>
      <c r="AB1110" s="36">
        <f>IF(AD1110="EUR",((T1110-R1110)*Y1110)*U1110+(R1110*Y1110),(T1110*Y1110))</f>
        <v>0</v>
      </c>
      <c r="AC1110" s="37" t="b">
        <v>1</v>
      </c>
      <c r="AD1110" s="37" t="s">
        <v>38</v>
      </c>
      <c r="AE1110" s="37" t="s">
        <v>38</v>
      </c>
      <c r="AF1110" s="37" t="str">
        <f t="array" ref="AF1110">INDEX('Deal Info'!D:D, MATCH(A1110,'Deal Info'!A:A, 0))</f>
        <v>SF</v>
      </c>
      <c r="AG1110" s="38" t="str">
        <f t="array" ref="AG1110">INDEX('Deal Info'!G:G, MATCH(A1110,'Deal Info'!A:A, 0))</f>
        <v>None</v>
      </c>
    </row>
    <row r="1111" spans="1:33" ht="14.25" hidden="1" x14ac:dyDescent="0.2">
      <c r="A1111" s="18" t="str">
        <f t="array" ref="A1111">IF(G1111='Room Info'!$B$1, INDEX('Room Info'!$A$2:$A2446, MATCH(B1111,'Room Info'!$B$2:$B2446, 0)),IF(G1111='Room Info'!$C$1, INDEX('Room Info'!$A$2:$A2446, MATCH(B1111,'Room Info'!$C$2:$C2446, 0)),IF(G1111='Room Info'!$D$1, INDEX('Room Info'!$A$2:$A2446, MATCH(B1111,'Room Info'!$D$2:$D2446, 0)),IF(G1111='Room Info'!$E$1, INDEX('Room Info'!$A$2:$A2446, MATCH(B1111,'Room Info'!$E$2:$E2446, 0)),IF(G1111='Room Info'!$F$1, INDEX('Room Info'!$A$2:$A2446, MATCH(B1111,'Room Info'!$F$2:$F2446, 0)),IF(G1111='Room Info'!$H$1, INDEX('Room Info'!$A$2:$A2446, MATCH(B1111,'Room Info'!$H$2:$H2446, 0)),IF(G1111='Room Info'!$G$1, INDEX('Room Info'!$A$2:$A2446, MATCH(B1111,'Room Info'!$G$2:$G2446, 0)))))))))</f>
        <v>overplayKK</v>
      </c>
      <c r="B1111" s="45" t="s">
        <v>193</v>
      </c>
      <c r="C1111" s="77">
        <v>44613</v>
      </c>
      <c r="D1111" s="77">
        <v>44640</v>
      </c>
      <c r="E1111" s="47">
        <v>44621</v>
      </c>
      <c r="F1111" s="48" t="s">
        <v>34</v>
      </c>
      <c r="G1111" s="45" t="s">
        <v>80</v>
      </c>
      <c r="H1111" s="49" t="s">
        <v>71</v>
      </c>
      <c r="I1111" s="49" t="s">
        <v>81</v>
      </c>
      <c r="J1111" s="74">
        <v>20</v>
      </c>
      <c r="K1111" s="75">
        <v>2746</v>
      </c>
      <c r="L1111" s="72">
        <v>-1700</v>
      </c>
      <c r="M1111" s="76">
        <v>2767</v>
      </c>
      <c r="N1111" s="28">
        <f>K1111*J1111</f>
        <v>54920</v>
      </c>
      <c r="O1111" s="45">
        <v>42974</v>
      </c>
      <c r="P1111" s="29">
        <v>15.64967225</v>
      </c>
      <c r="Q1111" s="55"/>
      <c r="R1111" s="31">
        <f>M1111+Q1111</f>
        <v>2767</v>
      </c>
      <c r="S1111" s="73">
        <v>-1600</v>
      </c>
      <c r="T1111" s="32">
        <f>R1111+S1111+IF(F1111="Without EV deal",L1111,0)</f>
        <v>1167</v>
      </c>
      <c r="U1111" s="57">
        <v>1</v>
      </c>
      <c r="V1111" s="58"/>
      <c r="W1111" s="58"/>
      <c r="X1111" s="78">
        <v>0.22</v>
      </c>
      <c r="Y1111" s="30">
        <f>IF(AG1111="None",0,IF(AG1111="Fix5",0.05, IF(AG1111="Fix6.25",0.0625,IF(AG1111="Fix3.75",0.0375,IF(AG1111="Fix10",0.1,IF(AG1111="Fix3",0.03,0))))))</f>
        <v>0</v>
      </c>
      <c r="Z1111" s="35">
        <f>T1111-AA1111-AB1111</f>
        <v>910.26</v>
      </c>
      <c r="AA1111" s="29">
        <f>IF(AD1111="EUR",((T1111-R1111)*X1111)*U1111+(R1111*X1111),(T1111*X1111))</f>
        <v>256.74</v>
      </c>
      <c r="AB1111" s="36">
        <f>IF(AD1111="EUR",((T1111-R1111)*Y1111)*U1111+(R1111*Y1111),(T1111*Y1111))</f>
        <v>0</v>
      </c>
      <c r="AC1111" s="37" t="b">
        <v>1</v>
      </c>
      <c r="AD1111" s="37" t="s">
        <v>38</v>
      </c>
      <c r="AE1111" s="37" t="s">
        <v>38</v>
      </c>
      <c r="AF1111" s="37" t="str">
        <f t="array" ref="AF1111">INDEX('Deal Info'!D:D, MATCH(A1111,'Deal Info'!A:A, 0))</f>
        <v>SF</v>
      </c>
      <c r="AG1111" s="38" t="str">
        <f t="array" ref="AG1111">INDEX('Deal Info'!G:G, MATCH(A1111,'Deal Info'!A:A, 0))</f>
        <v>None</v>
      </c>
    </row>
    <row r="1112" spans="1:33" ht="14.25" hidden="1" x14ac:dyDescent="0.2">
      <c r="A1112" s="18" t="str">
        <f t="array" ref="A1112">IF(G1112='Room Info'!$B$1, INDEX('Room Info'!$A$2:$A2446, MATCH(B1112,'Room Info'!$B$2:$B2446, 0)),IF(G1112='Room Info'!$C$1, INDEX('Room Info'!$A$2:$A2446, MATCH(B1112,'Room Info'!$C$2:$C2446, 0)),IF(G1112='Room Info'!$D$1, INDEX('Room Info'!$A$2:$A2446, MATCH(B1112,'Room Info'!$D$2:$D2446, 0)),IF(G1112='Room Info'!$E$1, INDEX('Room Info'!$A$2:$A2446, MATCH(B1112,'Room Info'!$E$2:$E2446, 0)),IF(G1112='Room Info'!$F$1, INDEX('Room Info'!$A$2:$A2446, MATCH(B1112,'Room Info'!$F$2:$F2446, 0)),IF(G1112='Room Info'!$H$1, INDEX('Room Info'!$A$2:$A2446, MATCH(B1112,'Room Info'!$H$2:$H2446, 0)),IF(G1112='Room Info'!$G$1, INDEX('Room Info'!$A$2:$A2446, MATCH(B1112,'Room Info'!$G$2:$G2446, 0)))))))))</f>
        <v>overplayKK</v>
      </c>
      <c r="B1112" s="45" t="s">
        <v>193</v>
      </c>
      <c r="C1112" s="46">
        <v>44641</v>
      </c>
      <c r="D1112" s="46">
        <v>44671</v>
      </c>
      <c r="E1112" s="47">
        <v>44652</v>
      </c>
      <c r="F1112" s="48" t="s">
        <v>34</v>
      </c>
      <c r="G1112" s="45" t="s">
        <v>80</v>
      </c>
      <c r="H1112" s="49" t="s">
        <v>40</v>
      </c>
      <c r="I1112" s="49" t="s">
        <v>81</v>
      </c>
      <c r="J1112" s="50">
        <v>10</v>
      </c>
      <c r="K1112" s="51">
        <v>2</v>
      </c>
      <c r="L1112" s="52">
        <v>30</v>
      </c>
      <c r="M1112" s="53">
        <v>1</v>
      </c>
      <c r="N1112" s="28">
        <f>K1112*J1112</f>
        <v>20</v>
      </c>
      <c r="O1112" s="54">
        <v>-808</v>
      </c>
      <c r="P1112" s="29">
        <v>-404</v>
      </c>
      <c r="Q1112" s="55"/>
      <c r="R1112" s="31">
        <f>M1112+Q1112</f>
        <v>1</v>
      </c>
      <c r="S1112" s="56">
        <v>-25</v>
      </c>
      <c r="T1112" s="32">
        <f>R1112+S1112+IF(F1112="Without EV deal",L1112,0)</f>
        <v>-24</v>
      </c>
      <c r="U1112" s="57">
        <v>1</v>
      </c>
      <c r="V1112" s="58"/>
      <c r="W1112" s="58"/>
      <c r="X1112" s="78">
        <v>0.22</v>
      </c>
      <c r="Y1112" s="30">
        <f>IF(AG1112="None",0,IF(AG1112="Fix5",0.05, IF(AG1112="Fix6.25",0.0625,IF(AG1112="Fix3.75",0.0375,IF(AG1112="Fix10",0.1,IF(AG1112="Fix3",0.03,0))))))</f>
        <v>0</v>
      </c>
      <c r="Z1112" s="35">
        <f>T1112-AA1112-AB1112</f>
        <v>-18.72</v>
      </c>
      <c r="AA1112" s="29">
        <f>IF(AD1112="EUR",((T1112-R1112)*X1112)*U1112+(R1112*X1112),(T1112*X1112))</f>
        <v>-5.28</v>
      </c>
      <c r="AB1112" s="36">
        <f>IF(AD1112="EUR",((T1112-R1112)*Y1112)*U1112+(R1112*Y1112),(T1112*Y1112))</f>
        <v>0</v>
      </c>
      <c r="AC1112" s="37" t="b">
        <v>1</v>
      </c>
      <c r="AD1112" s="37" t="s">
        <v>38</v>
      </c>
      <c r="AE1112" s="37" t="s">
        <v>38</v>
      </c>
      <c r="AF1112" s="37" t="str">
        <f t="array" ref="AF1112">INDEX('Deal Info'!D:D, MATCH(A1112,'Deal Info'!A:A, 0))</f>
        <v>SF</v>
      </c>
      <c r="AG1112" s="38" t="str">
        <f t="array" ref="AG1112">INDEX('Deal Info'!G:G, MATCH(A1112,'Deal Info'!A:A, 0))</f>
        <v>None</v>
      </c>
    </row>
    <row r="1113" spans="1:33" ht="14.25" hidden="1" x14ac:dyDescent="0.2">
      <c r="A1113" s="18" t="str">
        <f t="array" ref="A1113">IF(G1113='Room Info'!$B$1, INDEX('Room Info'!$A$2:$A2446, MATCH(B1113,'Room Info'!$B$2:$B2446, 0)),IF(G1113='Room Info'!$C$1, INDEX('Room Info'!$A$2:$A2446, MATCH(B1113,'Room Info'!$C$2:$C2446, 0)),IF(G1113='Room Info'!$D$1, INDEX('Room Info'!$A$2:$A2446, MATCH(B1113,'Room Info'!$D$2:$D2446, 0)),IF(G1113='Room Info'!$E$1, INDEX('Room Info'!$A$2:$A2446, MATCH(B1113,'Room Info'!$E$2:$E2446, 0)),IF(G1113='Room Info'!$F$1, INDEX('Room Info'!$A$2:$A2446, MATCH(B1113,'Room Info'!$F$2:$F2446, 0)),IF(G1113='Room Info'!$H$1, INDEX('Room Info'!$A$2:$A2446, MATCH(B1113,'Room Info'!$H$2:$H2446, 0)),IF(G1113='Room Info'!$G$1, INDEX('Room Info'!$A$2:$A2446, MATCH(B1113,'Room Info'!$G$2:$G2446, 0)))))))))</f>
        <v>overplayKK</v>
      </c>
      <c r="B1113" s="45" t="s">
        <v>193</v>
      </c>
      <c r="C1113" s="77">
        <v>44641</v>
      </c>
      <c r="D1113" s="77">
        <v>44671</v>
      </c>
      <c r="E1113" s="47">
        <v>44652</v>
      </c>
      <c r="F1113" s="48" t="s">
        <v>34</v>
      </c>
      <c r="G1113" s="45" t="s">
        <v>80</v>
      </c>
      <c r="H1113" s="49" t="s">
        <v>71</v>
      </c>
      <c r="I1113" s="49" t="s">
        <v>81</v>
      </c>
      <c r="J1113" s="74">
        <v>20</v>
      </c>
      <c r="K1113" s="75">
        <v>427</v>
      </c>
      <c r="L1113" s="72">
        <v>-420</v>
      </c>
      <c r="M1113" s="76">
        <v>482</v>
      </c>
      <c r="N1113" s="28">
        <f>K1113*J1113</f>
        <v>8540</v>
      </c>
      <c r="O1113" s="45">
        <v>17142</v>
      </c>
      <c r="P1113" s="29">
        <v>40.145199060000003</v>
      </c>
      <c r="Q1113" s="55"/>
      <c r="R1113" s="31">
        <f>M1113+Q1113</f>
        <v>482</v>
      </c>
      <c r="S1113" s="73">
        <v>388</v>
      </c>
      <c r="T1113" s="32">
        <f>R1113+S1113+IF(F1113="Without EV deal",L1113,0)</f>
        <v>870</v>
      </c>
      <c r="U1113" s="57">
        <v>1</v>
      </c>
      <c r="V1113" s="58"/>
      <c r="W1113" s="58"/>
      <c r="X1113" s="78">
        <v>0.22</v>
      </c>
      <c r="Y1113" s="30">
        <f>IF(AG1113="None",0,IF(AG1113="Fix5",0.05, IF(AG1113="Fix6.25",0.0625,IF(AG1113="Fix3.75",0.0375,IF(AG1113="Fix10",0.1,IF(AG1113="Fix3",0.03,0))))))</f>
        <v>0</v>
      </c>
      <c r="Z1113" s="35">
        <f>T1113-AA1113-AB1113</f>
        <v>678.6</v>
      </c>
      <c r="AA1113" s="29">
        <f>IF(AD1113="EUR",((T1113-R1113)*X1113)*U1113+(R1113*X1113),(T1113*X1113))</f>
        <v>191.4</v>
      </c>
      <c r="AB1113" s="36">
        <f>IF(AD1113="EUR",((T1113-R1113)*Y1113)*U1113+(R1113*Y1113),(T1113*Y1113))</f>
        <v>0</v>
      </c>
      <c r="AC1113" s="37" t="b">
        <v>1</v>
      </c>
      <c r="AD1113" s="37" t="s">
        <v>38</v>
      </c>
      <c r="AE1113" s="37" t="s">
        <v>38</v>
      </c>
      <c r="AF1113" s="37" t="str">
        <f t="array" ref="AF1113">INDEX('Deal Info'!D:D, MATCH(A1113,'Deal Info'!A:A, 0))</f>
        <v>SF</v>
      </c>
      <c r="AG1113" s="38" t="str">
        <f t="array" ref="AG1113">INDEX('Deal Info'!G:G, MATCH(A1113,'Deal Info'!A:A, 0))</f>
        <v>None</v>
      </c>
    </row>
    <row r="1114" spans="1:33" ht="14.25" hidden="1" x14ac:dyDescent="0.2">
      <c r="A1114" s="18" t="str">
        <f t="array" ref="A1114">IF(G1114='Room Info'!$B$1, INDEX('Room Info'!$A$2:$A2446, MATCH(B1114,'Room Info'!$B$2:$B2446, 0)),IF(G1114='Room Info'!$C$1, INDEX('Room Info'!$A$2:$A2446, MATCH(B1114,'Room Info'!$C$2:$C2446, 0)),IF(G1114='Room Info'!$D$1, INDEX('Room Info'!$A$2:$A2446, MATCH(B1114,'Room Info'!$D$2:$D2446, 0)),IF(G1114='Room Info'!$E$1, INDEX('Room Info'!$A$2:$A2446, MATCH(B1114,'Room Info'!$E$2:$E2446, 0)),IF(G1114='Room Info'!$F$1, INDEX('Room Info'!$A$2:$A2446, MATCH(B1114,'Room Info'!$F$2:$F2446, 0)),IF(G1114='Room Info'!$H$1, INDEX('Room Info'!$A$2:$A2446, MATCH(B1114,'Room Info'!$H$2:$H2446, 0)),IF(G1114='Room Info'!$G$1, INDEX('Room Info'!$A$2:$A2446, MATCH(B1114,'Room Info'!$G$2:$G2446, 0)))))))))</f>
        <v>overplayKK</v>
      </c>
      <c r="B1114" s="45" t="s">
        <v>193</v>
      </c>
      <c r="C1114" s="77">
        <v>44641</v>
      </c>
      <c r="D1114" s="77">
        <v>44671</v>
      </c>
      <c r="E1114" s="47">
        <v>44652</v>
      </c>
      <c r="F1114" s="48" t="s">
        <v>34</v>
      </c>
      <c r="G1114" s="45" t="s">
        <v>80</v>
      </c>
      <c r="H1114" s="49" t="s">
        <v>72</v>
      </c>
      <c r="I1114" s="49" t="s">
        <v>81</v>
      </c>
      <c r="J1114" s="74">
        <v>50</v>
      </c>
      <c r="K1114" s="75">
        <v>1923</v>
      </c>
      <c r="L1114" s="72">
        <v>750</v>
      </c>
      <c r="M1114" s="76">
        <v>5422</v>
      </c>
      <c r="N1114" s="28">
        <f>K1114*J1114</f>
        <v>96150</v>
      </c>
      <c r="O1114" s="45">
        <v>28945</v>
      </c>
      <c r="P1114" s="29">
        <v>15.052002079999999</v>
      </c>
      <c r="Q1114" s="55"/>
      <c r="R1114" s="31">
        <f>M1114+Q1114</f>
        <v>5422</v>
      </c>
      <c r="S1114" s="73">
        <v>-2576</v>
      </c>
      <c r="T1114" s="32">
        <f>R1114+S1114+IF(F1114="Without EV deal",L1114,0)</f>
        <v>2846</v>
      </c>
      <c r="U1114" s="57">
        <v>1</v>
      </c>
      <c r="V1114" s="58"/>
      <c r="W1114" s="58"/>
      <c r="X1114" s="78">
        <v>0.22</v>
      </c>
      <c r="Y1114" s="30">
        <f>IF(AG1114="None",0,IF(AG1114="Fix5",0.05, IF(AG1114="Fix6.25",0.0625,IF(AG1114="Fix3.75",0.0375,IF(AG1114="Fix10",0.1,IF(AG1114="Fix3",0.03,0))))))</f>
        <v>0</v>
      </c>
      <c r="Z1114" s="35">
        <f>T1114-AA1114-AB1114</f>
        <v>2219.88</v>
      </c>
      <c r="AA1114" s="29">
        <f>IF(AD1114="EUR",((T1114-R1114)*X1114)*U1114+(R1114*X1114),(T1114*X1114))</f>
        <v>626.12</v>
      </c>
      <c r="AB1114" s="36">
        <f>IF(AD1114="EUR",((T1114-R1114)*Y1114)*U1114+(R1114*Y1114),(T1114*Y1114))</f>
        <v>0</v>
      </c>
      <c r="AC1114" s="37" t="b">
        <v>1</v>
      </c>
      <c r="AD1114" s="37" t="s">
        <v>38</v>
      </c>
      <c r="AE1114" s="37" t="s">
        <v>38</v>
      </c>
      <c r="AF1114" s="37" t="str">
        <f t="array" ref="AF1114">INDEX('Deal Info'!D:D, MATCH(A1114,'Deal Info'!A:A, 0))</f>
        <v>SF</v>
      </c>
      <c r="AG1114" s="38" t="str">
        <f t="array" ref="AG1114">INDEX('Deal Info'!G:G, MATCH(A1114,'Deal Info'!A:A, 0))</f>
        <v>None</v>
      </c>
    </row>
    <row r="1115" spans="1:33" ht="14.25" hidden="1" x14ac:dyDescent="0.2">
      <c r="A1115" s="18" t="str">
        <f t="array" ref="A1115">IF(G1115='Room Info'!$B$1, INDEX('Room Info'!$A$2:$A2446, MATCH(B1115,'Room Info'!$B$2:$B2446, 0)),IF(G1115='Room Info'!$C$1, INDEX('Room Info'!$A$2:$A2446, MATCH(B1115,'Room Info'!$C$2:$C2446, 0)),IF(G1115='Room Info'!$D$1, INDEX('Room Info'!$A$2:$A2446, MATCH(B1115,'Room Info'!$D$2:$D2446, 0)),IF(G1115='Room Info'!$E$1, INDEX('Room Info'!$A$2:$A2446, MATCH(B1115,'Room Info'!$E$2:$E2446, 0)),IF(G1115='Room Info'!$F$1, INDEX('Room Info'!$A$2:$A2446, MATCH(B1115,'Room Info'!$F$2:$F2446, 0)),IF(G1115='Room Info'!$H$1, INDEX('Room Info'!$A$2:$A2446, MATCH(B1115,'Room Info'!$H$2:$H2446, 0)),IF(G1115='Room Info'!$G$1, INDEX('Room Info'!$A$2:$A2446, MATCH(B1115,'Room Info'!$G$2:$G2446, 0)))))))))</f>
        <v>overplayKK</v>
      </c>
      <c r="B1115" s="45" t="s">
        <v>193</v>
      </c>
      <c r="C1115" s="46">
        <v>44672</v>
      </c>
      <c r="D1115" s="46">
        <v>44701</v>
      </c>
      <c r="E1115" s="47">
        <v>44682</v>
      </c>
      <c r="F1115" s="48" t="s">
        <v>34</v>
      </c>
      <c r="G1115" s="54" t="s">
        <v>80</v>
      </c>
      <c r="H1115" s="49" t="s">
        <v>71</v>
      </c>
      <c r="I1115" s="49" t="s">
        <v>81</v>
      </c>
      <c r="J1115" s="50">
        <v>20</v>
      </c>
      <c r="K1115" s="51">
        <v>4073</v>
      </c>
      <c r="L1115" s="52">
        <v>-3200</v>
      </c>
      <c r="M1115" s="53">
        <v>3502</v>
      </c>
      <c r="N1115" s="28">
        <f>K1115*J1115</f>
        <v>81460</v>
      </c>
      <c r="O1115" s="54">
        <v>53269</v>
      </c>
      <c r="P1115" s="29">
        <v>13.07856617</v>
      </c>
      <c r="Q1115" s="55"/>
      <c r="R1115" s="31">
        <f>M1115+Q1115</f>
        <v>3502</v>
      </c>
      <c r="S1115" s="56">
        <v>-2837</v>
      </c>
      <c r="T1115" s="32">
        <f>R1115+S1115+IF(F1115="Without EV deal",L1115,0)</f>
        <v>665</v>
      </c>
      <c r="U1115" s="57">
        <v>1</v>
      </c>
      <c r="V1115" s="58"/>
      <c r="W1115" s="58"/>
      <c r="X1115" s="78">
        <v>0.3</v>
      </c>
      <c r="Y1115" s="30">
        <f>IF(AG1115="None",0,IF(AG1115="Fix5",0.05, IF(AG1115="Fix6.25",0.0625,IF(AG1115="Fix3.75",0.0375,IF(AG1115="Fix10",0.1,IF(AG1115="Fix3",0.03,0))))))</f>
        <v>0</v>
      </c>
      <c r="Z1115" s="35">
        <f>T1115-AA1115-AB1115</f>
        <v>465.5</v>
      </c>
      <c r="AA1115" s="29">
        <f>IF(AD1115="EUR",((T1115-R1115)*X1115)*U1115+(R1115*X1115),(T1115*X1115))</f>
        <v>199.5</v>
      </c>
      <c r="AB1115" s="36">
        <f>IF(AD1115="EUR",((T1115-R1115)*Y1115)*U1115+(R1115*Y1115),(T1115*Y1115))</f>
        <v>0</v>
      </c>
      <c r="AC1115" s="37" t="b">
        <v>1</v>
      </c>
      <c r="AD1115" s="37" t="s">
        <v>38</v>
      </c>
      <c r="AE1115" s="37" t="s">
        <v>38</v>
      </c>
      <c r="AF1115" s="37" t="str">
        <f t="array" ref="AF1115">INDEX('Deal Info'!D:D, MATCH(A1115,'Deal Info'!A:A, 0))</f>
        <v>SF</v>
      </c>
      <c r="AG1115" s="38" t="str">
        <f t="array" ref="AG1115">INDEX('Deal Info'!G:G, MATCH(A1115,'Deal Info'!A:A, 0))</f>
        <v>None</v>
      </c>
    </row>
    <row r="1116" spans="1:33" ht="14.25" hidden="1" x14ac:dyDescent="0.2">
      <c r="A1116" s="18" t="str">
        <f t="array" ref="A1116">IF(G1116='Room Info'!$B$1, INDEX('Room Info'!$A$2:$A2446, MATCH(B1116,'Room Info'!$B$2:$B2446, 0)),IF(G1116='Room Info'!$C$1, INDEX('Room Info'!$A$2:$A2446, MATCH(B1116,'Room Info'!$C$2:$C2446, 0)),IF(G1116='Room Info'!$D$1, INDEX('Room Info'!$A$2:$A2446, MATCH(B1116,'Room Info'!$D$2:$D2446, 0)),IF(G1116='Room Info'!$E$1, INDEX('Room Info'!$A$2:$A2446, MATCH(B1116,'Room Info'!$E$2:$E2446, 0)),IF(G1116='Room Info'!$F$1, INDEX('Room Info'!$A$2:$A2446, MATCH(B1116,'Room Info'!$F$2:$F2446, 0)),IF(G1116='Room Info'!$H$1, INDEX('Room Info'!$A$2:$A2446, MATCH(B1116,'Room Info'!$H$2:$H2446, 0)),IF(G1116='Room Info'!$G$1, INDEX('Room Info'!$A$2:$A2446, MATCH(B1116,'Room Info'!$G$2:$G2446, 0)))))))))</f>
        <v>overplayKK</v>
      </c>
      <c r="B1116" s="45" t="s">
        <v>193</v>
      </c>
      <c r="C1116" s="46">
        <v>44672</v>
      </c>
      <c r="D1116" s="46">
        <v>44701</v>
      </c>
      <c r="E1116" s="47">
        <v>44682</v>
      </c>
      <c r="F1116" s="48" t="s">
        <v>34</v>
      </c>
      <c r="G1116" s="54" t="s">
        <v>80</v>
      </c>
      <c r="H1116" s="49" t="s">
        <v>72</v>
      </c>
      <c r="I1116" s="49" t="s">
        <v>81</v>
      </c>
      <c r="J1116" s="50">
        <v>50</v>
      </c>
      <c r="K1116" s="51">
        <v>1524</v>
      </c>
      <c r="L1116" s="52">
        <v>-8250</v>
      </c>
      <c r="M1116" s="53">
        <v>3276</v>
      </c>
      <c r="N1116" s="28">
        <f>K1116*J1116</f>
        <v>76200</v>
      </c>
      <c r="O1116" s="54">
        <v>5566</v>
      </c>
      <c r="P1116" s="29">
        <v>3.6522309709999998</v>
      </c>
      <c r="Q1116" s="55"/>
      <c r="R1116" s="31">
        <f>M1116+Q1116</f>
        <v>3276</v>
      </c>
      <c r="S1116" s="56">
        <v>-4720</v>
      </c>
      <c r="T1116" s="32">
        <f>R1116+S1116+IF(F1116="Without EV deal",L1116,0)</f>
        <v>-1444</v>
      </c>
      <c r="U1116" s="57">
        <v>1</v>
      </c>
      <c r="V1116" s="58"/>
      <c r="W1116" s="58"/>
      <c r="X1116" s="78">
        <v>0.3</v>
      </c>
      <c r="Y1116" s="30">
        <f>IF(AG1116="None",0,IF(AG1116="Fix5",0.05, IF(AG1116="Fix6.25",0.0625,IF(AG1116="Fix3.75",0.0375,IF(AG1116="Fix10",0.1,IF(AG1116="Fix3",0.03,0))))))</f>
        <v>0</v>
      </c>
      <c r="Z1116" s="35">
        <f>T1116-AA1116-AB1116</f>
        <v>-1010.8</v>
      </c>
      <c r="AA1116" s="29">
        <f>IF(AD1116="EUR",((T1116-R1116)*X1116)*U1116+(R1116*X1116),(T1116*X1116))</f>
        <v>-433.2</v>
      </c>
      <c r="AB1116" s="36">
        <f>IF(AD1116="EUR",((T1116-R1116)*Y1116)*U1116+(R1116*Y1116),(T1116*Y1116))</f>
        <v>0</v>
      </c>
      <c r="AC1116" s="37" t="b">
        <v>1</v>
      </c>
      <c r="AD1116" s="37" t="s">
        <v>38</v>
      </c>
      <c r="AE1116" s="37" t="s">
        <v>38</v>
      </c>
      <c r="AF1116" s="37" t="str">
        <f t="array" ref="AF1116">INDEX('Deal Info'!D:D, MATCH(A1116,'Deal Info'!A:A, 0))</f>
        <v>SF</v>
      </c>
      <c r="AG1116" s="38" t="str">
        <f t="array" ref="AG1116">INDEX('Deal Info'!G:G, MATCH(A1116,'Deal Info'!A:A, 0))</f>
        <v>None</v>
      </c>
    </row>
    <row r="1117" spans="1:33" ht="14.25" hidden="1" x14ac:dyDescent="0.2">
      <c r="A1117" s="18" t="str">
        <f t="array" ref="A1117">IF(G1117='Room Info'!$B$1, INDEX('Room Info'!$A$2:$A2446, MATCH(B1117,'Room Info'!$B$2:$B2446, 0)),IF(G1117='Room Info'!$C$1, INDEX('Room Info'!$A$2:$A2446, MATCH(B1117,'Room Info'!$C$2:$C2446, 0)),IF(G1117='Room Info'!$D$1, INDEX('Room Info'!$A$2:$A2446, MATCH(B1117,'Room Info'!$D$2:$D2446, 0)),IF(G1117='Room Info'!$E$1, INDEX('Room Info'!$A$2:$A2446, MATCH(B1117,'Room Info'!$E$2:$E2446, 0)),IF(G1117='Room Info'!$F$1, INDEX('Room Info'!$A$2:$A2446, MATCH(B1117,'Room Info'!$F$2:$F2446, 0)),IF(G1117='Room Info'!$H$1, INDEX('Room Info'!$A$2:$A2446, MATCH(B1117,'Room Info'!$H$2:$H2446, 0)),IF(G1117='Room Info'!$G$1, INDEX('Room Info'!$A$2:$A2446, MATCH(B1117,'Room Info'!$G$2:$G2446, 0)))))))))</f>
        <v>overplayKK</v>
      </c>
      <c r="B1117" s="45" t="s">
        <v>193</v>
      </c>
      <c r="C1117" s="46">
        <v>44702</v>
      </c>
      <c r="D1117" s="46">
        <v>44732</v>
      </c>
      <c r="E1117" s="47">
        <v>44713</v>
      </c>
      <c r="F1117" s="48" t="s">
        <v>34</v>
      </c>
      <c r="G1117" s="54" t="s">
        <v>80</v>
      </c>
      <c r="H1117" s="49" t="s">
        <v>71</v>
      </c>
      <c r="I1117" s="49" t="s">
        <v>81</v>
      </c>
      <c r="J1117" s="50">
        <v>20</v>
      </c>
      <c r="K1117" s="51">
        <v>4956</v>
      </c>
      <c r="L1117" s="52">
        <v>-4480</v>
      </c>
      <c r="M1117" s="53">
        <v>5814</v>
      </c>
      <c r="N1117" s="28">
        <f>K1117*J1117</f>
        <v>99120</v>
      </c>
      <c r="O1117" s="54">
        <v>45693</v>
      </c>
      <c r="P1117" s="29">
        <v>9.2197336560000007</v>
      </c>
      <c r="Q1117" s="55"/>
      <c r="R1117" s="31">
        <f>M1117+Q1117</f>
        <v>5814</v>
      </c>
      <c r="S1117" s="56">
        <v>-4468</v>
      </c>
      <c r="T1117" s="32">
        <f>R1117+S1117+IF(F1117="Without EV deal",L1117,0)</f>
        <v>1346</v>
      </c>
      <c r="U1117" s="57">
        <v>1</v>
      </c>
      <c r="V1117" s="58"/>
      <c r="W1117" s="58"/>
      <c r="X1117" s="78">
        <v>0.3</v>
      </c>
      <c r="Y1117" s="30">
        <f>IF(AG1117="None",0,IF(AG1117="Fix5",0.05, IF(AG1117="Fix6.25",0.0625,IF(AG1117="Fix3.75",0.0375,IF(AG1117="Fix10",0.1,IF(AG1117="Fix3",0.03,0))))))</f>
        <v>0</v>
      </c>
      <c r="Z1117" s="35">
        <f>T1117-AA1117-AB1117</f>
        <v>942.2</v>
      </c>
      <c r="AA1117" s="29">
        <f>IF(AD1117="EUR",((T1117-R1117)*X1117)*U1117+(R1117*X1117),(T1117*X1117))</f>
        <v>403.8</v>
      </c>
      <c r="AB1117" s="36">
        <f>IF(AD1117="EUR",((T1117-R1117)*Y1117)*U1117+(R1117*Y1117),(T1117*Y1117))</f>
        <v>0</v>
      </c>
      <c r="AC1117" s="37" t="b">
        <v>1</v>
      </c>
      <c r="AD1117" s="37" t="s">
        <v>38</v>
      </c>
      <c r="AE1117" s="37" t="s">
        <v>38</v>
      </c>
      <c r="AF1117" s="37" t="str">
        <f t="array" ref="AF1117">INDEX('Deal Info'!D:D, MATCH(A1117,'Deal Info'!A:A, 0))</f>
        <v>SF</v>
      </c>
      <c r="AG1117" s="38" t="str">
        <f t="array" ref="AG1117">INDEX('Deal Info'!G:G, MATCH(A1117,'Deal Info'!A:A, 0))</f>
        <v>None</v>
      </c>
    </row>
    <row r="1118" spans="1:33" ht="14.25" hidden="1" x14ac:dyDescent="0.2">
      <c r="A1118" s="18" t="str">
        <f t="array" ref="A1118">IF(G1118='Room Info'!$B$1, INDEX('Room Info'!$A$2:$A2446, MATCH(B1118,'Room Info'!$B$2:$B2446, 0)),IF(G1118='Room Info'!$C$1, INDEX('Room Info'!$A$2:$A2446, MATCH(B1118,'Room Info'!$C$2:$C2446, 0)),IF(G1118='Room Info'!$D$1, INDEX('Room Info'!$A$2:$A2446, MATCH(B1118,'Room Info'!$D$2:$D2446, 0)),IF(G1118='Room Info'!$E$1, INDEX('Room Info'!$A$2:$A2446, MATCH(B1118,'Room Info'!$E$2:$E2446, 0)),IF(G1118='Room Info'!$F$1, INDEX('Room Info'!$A$2:$A2446, MATCH(B1118,'Room Info'!$F$2:$F2446, 0)),IF(G1118='Room Info'!$H$1, INDEX('Room Info'!$A$2:$A2446, MATCH(B1118,'Room Info'!$H$2:$H2446, 0)),IF(G1118='Room Info'!$G$1, INDEX('Room Info'!$A$2:$A2446, MATCH(B1118,'Room Info'!$G$2:$G2446, 0)))))))))</f>
        <v>overplayKK</v>
      </c>
      <c r="B1118" s="54" t="s">
        <v>193</v>
      </c>
      <c r="C1118" s="46">
        <v>44702</v>
      </c>
      <c r="D1118" s="46">
        <v>44732</v>
      </c>
      <c r="E1118" s="47">
        <v>44713</v>
      </c>
      <c r="F1118" s="45" t="s">
        <v>34</v>
      </c>
      <c r="G1118" s="54" t="s">
        <v>80</v>
      </c>
      <c r="H1118" s="49" t="s">
        <v>72</v>
      </c>
      <c r="I1118" s="49" t="s">
        <v>81</v>
      </c>
      <c r="J1118" s="50">
        <v>50</v>
      </c>
      <c r="K1118" s="51">
        <v>1</v>
      </c>
      <c r="L1118" s="52">
        <v>50</v>
      </c>
      <c r="M1118" s="62"/>
      <c r="N1118" s="28">
        <f>K1118*J1118</f>
        <v>50</v>
      </c>
      <c r="O1118" s="54">
        <v>531</v>
      </c>
      <c r="P1118" s="29">
        <v>531</v>
      </c>
      <c r="Q1118" s="55"/>
      <c r="R1118" s="31">
        <f>M1118+Q1118</f>
        <v>0</v>
      </c>
      <c r="S1118" s="56">
        <v>73</v>
      </c>
      <c r="T1118" s="32">
        <f>R1118+S1118+IF(F1118="Without EV deal",L1118,0)</f>
        <v>73</v>
      </c>
      <c r="U1118" s="57">
        <v>1</v>
      </c>
      <c r="V1118" s="58"/>
      <c r="W1118" s="58"/>
      <c r="X1118" s="78">
        <v>0.3</v>
      </c>
      <c r="Y1118" s="30">
        <f>IF(AG1118="None",0,IF(AG1118="Fix5",0.05, IF(AG1118="Fix6.25",0.0625,IF(AG1118="Fix3.75",0.0375,IF(AG1118="Fix10",0.1,IF(AG1118="Fix3",0.03,0))))))</f>
        <v>0</v>
      </c>
      <c r="Z1118" s="35">
        <f>T1118-AA1118-AB1118</f>
        <v>51.1</v>
      </c>
      <c r="AA1118" s="29">
        <f>IF(AD1118="EUR",((T1118-R1118)*X1118)*U1118+(R1118*X1118),(T1118*X1118))</f>
        <v>21.9</v>
      </c>
      <c r="AB1118" s="36">
        <f>IF(AD1118="EUR",((T1118-R1118)*Y1118)*U1118+(R1118*Y1118),(T1118*Y1118))</f>
        <v>0</v>
      </c>
      <c r="AC1118" s="37" t="b">
        <v>1</v>
      </c>
      <c r="AD1118" s="37" t="s">
        <v>38</v>
      </c>
      <c r="AE1118" s="37" t="s">
        <v>38</v>
      </c>
      <c r="AF1118" s="37" t="str">
        <f t="array" ref="AF1118">INDEX('Deal Info'!D:D, MATCH(A1118,'Deal Info'!A:A, 0))</f>
        <v>SF</v>
      </c>
      <c r="AG1118" s="38" t="str">
        <f t="array" ref="AG1118">INDEX('Deal Info'!G:G, MATCH(A1118,'Deal Info'!A:A, 0))</f>
        <v>None</v>
      </c>
    </row>
    <row r="1119" spans="1:33" ht="14.25" hidden="1" x14ac:dyDescent="0.2">
      <c r="A1119" s="18" t="str">
        <f t="array" ref="A1119">IF(G1119='Room Info'!$B$1, INDEX('Room Info'!$A$2:$A2446, MATCH(B1119,'Room Info'!$B$2:$B2446, 0)),IF(G1119='Room Info'!$C$1, INDEX('Room Info'!$A$2:$A2446, MATCH(B1119,'Room Info'!$C$2:$C2446, 0)),IF(G1119='Room Info'!$D$1, INDEX('Room Info'!$A$2:$A2446, MATCH(B1119,'Room Info'!$D$2:$D2446, 0)),IF(G1119='Room Info'!$E$1, INDEX('Room Info'!$A$2:$A2446, MATCH(B1119,'Room Info'!$E$2:$E2446, 0)),IF(G1119='Room Info'!$F$1, INDEX('Room Info'!$A$2:$A2446, MATCH(B1119,'Room Info'!$F$2:$F2446, 0)),IF(G1119='Room Info'!$H$1, INDEX('Room Info'!$A$2:$A2446, MATCH(B1119,'Room Info'!$H$2:$H2446, 0)),IF(G1119='Room Info'!$G$1, INDEX('Room Info'!$A$2:$A2446, MATCH(B1119,'Room Info'!$G$2:$G2446, 0)))))))))</f>
        <v>overplayKK</v>
      </c>
      <c r="B1119" s="54" t="s">
        <v>193</v>
      </c>
      <c r="C1119" s="46">
        <v>44733</v>
      </c>
      <c r="D1119" s="46">
        <v>44762</v>
      </c>
      <c r="E1119" s="47">
        <v>44743</v>
      </c>
      <c r="F1119" s="45" t="s">
        <v>34</v>
      </c>
      <c r="G1119" s="54" t="s">
        <v>80</v>
      </c>
      <c r="H1119" s="49" t="s">
        <v>40</v>
      </c>
      <c r="I1119" s="49" t="s">
        <v>81</v>
      </c>
      <c r="J1119" s="50">
        <v>10</v>
      </c>
      <c r="K1119" s="51">
        <v>107</v>
      </c>
      <c r="L1119" s="52">
        <v>-140</v>
      </c>
      <c r="M1119" s="53">
        <v>54</v>
      </c>
      <c r="N1119" s="28">
        <f>K1119*J1119</f>
        <v>1070</v>
      </c>
      <c r="O1119" s="54">
        <v>1049</v>
      </c>
      <c r="P1119" s="29">
        <v>9.8037383180000006</v>
      </c>
      <c r="Q1119" s="55"/>
      <c r="R1119" s="31">
        <f>M1119+Q1119</f>
        <v>54</v>
      </c>
      <c r="S1119" s="56">
        <v>-50</v>
      </c>
      <c r="T1119" s="32">
        <f>R1119+S1119+IF(F1119="Without EV deal",L1119,0)</f>
        <v>4</v>
      </c>
      <c r="U1119" s="57">
        <v>1</v>
      </c>
      <c r="V1119" s="58"/>
      <c r="W1119" s="58"/>
      <c r="X1119" s="78">
        <v>0.3</v>
      </c>
      <c r="Y1119" s="30">
        <f>IF(AG1119="None",0,IF(AG1119="Fix5",0.05, IF(AG1119="Fix6.25",0.0625,IF(AG1119="Fix3.75",0.0375,IF(AG1119="Fix10",0.1,IF(AG1119="Fix3",0.03,0))))))</f>
        <v>0</v>
      </c>
      <c r="Z1119" s="35">
        <f>T1119-AA1119-AB1119</f>
        <v>2.8</v>
      </c>
      <c r="AA1119" s="29">
        <f>IF(AD1119="EUR",((T1119-R1119)*X1119)*U1119+(R1119*X1119),(T1119*X1119))</f>
        <v>1.2</v>
      </c>
      <c r="AB1119" s="36">
        <f>IF(AD1119="EUR",((T1119-R1119)*Y1119)*U1119+(R1119*Y1119),(T1119*Y1119))</f>
        <v>0</v>
      </c>
      <c r="AC1119" s="37" t="b">
        <v>1</v>
      </c>
      <c r="AD1119" s="37" t="s">
        <v>38</v>
      </c>
      <c r="AE1119" s="37" t="s">
        <v>38</v>
      </c>
      <c r="AF1119" s="37" t="str">
        <f t="array" ref="AF1119">INDEX('Deal Info'!D:D, MATCH(A1119,'Deal Info'!A:A, 0))</f>
        <v>SF</v>
      </c>
      <c r="AG1119" s="38" t="str">
        <f t="array" ref="AG1119">INDEX('Deal Info'!G:G, MATCH(A1119,'Deal Info'!A:A, 0))</f>
        <v>None</v>
      </c>
    </row>
    <row r="1120" spans="1:33" ht="14.25" hidden="1" x14ac:dyDescent="0.2">
      <c r="A1120" s="18" t="str">
        <f t="array" ref="A1120">IF(G1120='Room Info'!$B$1, INDEX('Room Info'!$A$2:$A2446, MATCH(B1120,'Room Info'!$B$2:$B2446, 0)),IF(G1120='Room Info'!$C$1, INDEX('Room Info'!$A$2:$A2446, MATCH(B1120,'Room Info'!$C$2:$C2446, 0)),IF(G1120='Room Info'!$D$1, INDEX('Room Info'!$A$2:$A2446, MATCH(B1120,'Room Info'!$D$2:$D2446, 0)),IF(G1120='Room Info'!$E$1, INDEX('Room Info'!$A$2:$A2446, MATCH(B1120,'Room Info'!$E$2:$E2446, 0)),IF(G1120='Room Info'!$F$1, INDEX('Room Info'!$A$2:$A2446, MATCH(B1120,'Room Info'!$F$2:$F2446, 0)),IF(G1120='Room Info'!$H$1, INDEX('Room Info'!$A$2:$A2446, MATCH(B1120,'Room Info'!$H$2:$H2446, 0)),IF(G1120='Room Info'!$G$1, INDEX('Room Info'!$A$2:$A2446, MATCH(B1120,'Room Info'!$G$2:$G2446, 0)))))))))</f>
        <v>overplayKK</v>
      </c>
      <c r="B1120" s="45" t="s">
        <v>193</v>
      </c>
      <c r="C1120" s="46">
        <v>44733</v>
      </c>
      <c r="D1120" s="46">
        <v>44762</v>
      </c>
      <c r="E1120" s="47">
        <v>44743</v>
      </c>
      <c r="F1120" s="48" t="s">
        <v>34</v>
      </c>
      <c r="G1120" s="45" t="s">
        <v>80</v>
      </c>
      <c r="H1120" s="49" t="s">
        <v>71</v>
      </c>
      <c r="I1120" s="49" t="s">
        <v>81</v>
      </c>
      <c r="J1120" s="50">
        <v>20</v>
      </c>
      <c r="K1120" s="51">
        <v>5617</v>
      </c>
      <c r="L1120" s="52">
        <v>-1120</v>
      </c>
      <c r="M1120" s="53">
        <v>5639</v>
      </c>
      <c r="N1120" s="28">
        <f>K1120*J1120</f>
        <v>112340</v>
      </c>
      <c r="O1120" s="54">
        <v>72272</v>
      </c>
      <c r="P1120" s="29">
        <v>12.866654799999999</v>
      </c>
      <c r="Q1120" s="55"/>
      <c r="R1120" s="31">
        <f>M1120+Q1120</f>
        <v>5639</v>
      </c>
      <c r="S1120" s="56">
        <v>-4230</v>
      </c>
      <c r="T1120" s="32">
        <f>R1120+S1120+IF(F1120="Without EV deal",L1120,0)</f>
        <v>1409</v>
      </c>
      <c r="U1120" s="57">
        <v>1</v>
      </c>
      <c r="V1120" s="58"/>
      <c r="W1120" s="58"/>
      <c r="X1120" s="78">
        <v>0.3</v>
      </c>
      <c r="Y1120" s="30">
        <f>IF(AG1120="None",0,IF(AG1120="Fix5",0.05, IF(AG1120="Fix6.25",0.0625,IF(AG1120="Fix3.75",0.0375,IF(AG1120="Fix10",0.1,IF(AG1120="Fix3",0.03,0))))))</f>
        <v>0</v>
      </c>
      <c r="Z1120" s="35">
        <f>T1120-AA1120-AB1120</f>
        <v>986.3</v>
      </c>
      <c r="AA1120" s="29">
        <f>IF(AD1120="EUR",((T1120-R1120)*X1120)*U1120+(R1120*X1120),(T1120*X1120))</f>
        <v>422.7</v>
      </c>
      <c r="AB1120" s="36">
        <f>IF(AD1120="EUR",((T1120-R1120)*Y1120)*U1120+(R1120*Y1120),(T1120*Y1120))</f>
        <v>0</v>
      </c>
      <c r="AC1120" s="37" t="b">
        <v>1</v>
      </c>
      <c r="AD1120" s="37" t="s">
        <v>38</v>
      </c>
      <c r="AE1120" s="37" t="s">
        <v>38</v>
      </c>
      <c r="AF1120" s="37" t="str">
        <f t="array" ref="AF1120">INDEX('Deal Info'!D:D, MATCH(A1120,'Deal Info'!A:A, 0))</f>
        <v>SF</v>
      </c>
      <c r="AG1120" s="38" t="str">
        <f t="array" ref="AG1120">INDEX('Deal Info'!G:G, MATCH(A1120,'Deal Info'!A:A, 0))</f>
        <v>None</v>
      </c>
    </row>
    <row r="1121" spans="1:33" ht="14.25" hidden="1" x14ac:dyDescent="0.2">
      <c r="A1121" s="18" t="str">
        <f t="array" ref="A1121">IF(G1121='Room Info'!$B$1, INDEX('Room Info'!$A$2:$A2446, MATCH(B1121,'Room Info'!$B$2:$B2446, 0)),IF(G1121='Room Info'!$C$1, INDEX('Room Info'!$A$2:$A2446, MATCH(B1121,'Room Info'!$C$2:$C2446, 0)),IF(G1121='Room Info'!$D$1, INDEX('Room Info'!$A$2:$A2446, MATCH(B1121,'Room Info'!$D$2:$D2446, 0)),IF(G1121='Room Info'!$E$1, INDEX('Room Info'!$A$2:$A2446, MATCH(B1121,'Room Info'!$E$2:$E2446, 0)),IF(G1121='Room Info'!$F$1, INDEX('Room Info'!$A$2:$A2446, MATCH(B1121,'Room Info'!$F$2:$F2446, 0)),IF(G1121='Room Info'!$H$1, INDEX('Room Info'!$A$2:$A2446, MATCH(B1121,'Room Info'!$H$2:$H2446, 0)),IF(G1121='Room Info'!$G$1, INDEX('Room Info'!$A$2:$A2446, MATCH(B1121,'Room Info'!$G$2:$G2446, 0)))))))))</f>
        <v>overplayKK</v>
      </c>
      <c r="B1121" s="45" t="s">
        <v>193</v>
      </c>
      <c r="C1121" s="46">
        <v>44733</v>
      </c>
      <c r="D1121" s="46">
        <v>44762</v>
      </c>
      <c r="E1121" s="47">
        <v>44743</v>
      </c>
      <c r="F1121" s="48" t="s">
        <v>34</v>
      </c>
      <c r="G1121" s="45" t="s">
        <v>80</v>
      </c>
      <c r="H1121" s="49" t="s">
        <v>72</v>
      </c>
      <c r="I1121" s="49" t="s">
        <v>81</v>
      </c>
      <c r="J1121" s="50">
        <v>50</v>
      </c>
      <c r="K1121" s="51">
        <v>498</v>
      </c>
      <c r="L1121" s="52">
        <v>-3800</v>
      </c>
      <c r="M1121" s="53">
        <v>1250</v>
      </c>
      <c r="N1121" s="28">
        <f>K1121*J1121</f>
        <v>24900</v>
      </c>
      <c r="O1121" s="54">
        <v>2919</v>
      </c>
      <c r="P1121" s="29">
        <v>5.8614457829999997</v>
      </c>
      <c r="Q1121" s="55"/>
      <c r="R1121" s="31">
        <f>M1121+Q1121</f>
        <v>1250</v>
      </c>
      <c r="S1121" s="56">
        <v>-1439</v>
      </c>
      <c r="T1121" s="32">
        <f>R1121+S1121+IF(F1121="Without EV deal",L1121,0)</f>
        <v>-189</v>
      </c>
      <c r="U1121" s="57">
        <v>1</v>
      </c>
      <c r="V1121" s="58"/>
      <c r="W1121" s="58"/>
      <c r="X1121" s="78">
        <v>0.3</v>
      </c>
      <c r="Y1121" s="30">
        <f>IF(AG1121="None",0,IF(AG1121="Fix5",0.05, IF(AG1121="Fix6.25",0.0625,IF(AG1121="Fix3.75",0.0375,IF(AG1121="Fix10",0.1,IF(AG1121="Fix3",0.03,0))))))</f>
        <v>0</v>
      </c>
      <c r="Z1121" s="35">
        <f>T1121-AA1121-AB1121</f>
        <v>-132.30000000000001</v>
      </c>
      <c r="AA1121" s="29">
        <f>IF(AD1121="EUR",((T1121-R1121)*X1121)*U1121+(R1121*X1121),(T1121*X1121))</f>
        <v>-56.699999999999996</v>
      </c>
      <c r="AB1121" s="36">
        <f>IF(AD1121="EUR",((T1121-R1121)*Y1121)*U1121+(R1121*Y1121),(T1121*Y1121))</f>
        <v>0</v>
      </c>
      <c r="AC1121" s="37" t="b">
        <v>1</v>
      </c>
      <c r="AD1121" s="37" t="s">
        <v>38</v>
      </c>
      <c r="AE1121" s="37" t="s">
        <v>38</v>
      </c>
      <c r="AF1121" s="37" t="str">
        <f t="array" ref="AF1121">INDEX('Deal Info'!D:D, MATCH(A1121,'Deal Info'!A:A, 0))</f>
        <v>SF</v>
      </c>
      <c r="AG1121" s="38" t="str">
        <f t="array" ref="AG1121">INDEX('Deal Info'!G:G, MATCH(A1121,'Deal Info'!A:A, 0))</f>
        <v>None</v>
      </c>
    </row>
    <row r="1122" spans="1:33" ht="14.25" hidden="1" x14ac:dyDescent="0.2">
      <c r="A1122" s="18" t="str">
        <f t="array" ref="A1122">IF(G1122='Room Info'!$B$1, INDEX('Room Info'!$A$2:$A2446, MATCH(B1122,'Room Info'!$B$2:$B2446, 0)),IF(G1122='Room Info'!$C$1, INDEX('Room Info'!$A$2:$A2446, MATCH(B1122,'Room Info'!$C$2:$C2446, 0)),IF(G1122='Room Info'!$D$1, INDEX('Room Info'!$A$2:$A2446, MATCH(B1122,'Room Info'!$D$2:$D2446, 0)),IF(G1122='Room Info'!$E$1, INDEX('Room Info'!$A$2:$A2446, MATCH(B1122,'Room Info'!$E$2:$E2446, 0)),IF(G1122='Room Info'!$F$1, INDEX('Room Info'!$A$2:$A2446, MATCH(B1122,'Room Info'!$F$2:$F2446, 0)),IF(G1122='Room Info'!$H$1, INDEX('Room Info'!$A$2:$A2446, MATCH(B1122,'Room Info'!$H$2:$H2446, 0)),IF(G1122='Room Info'!$G$1, INDEX('Room Info'!$A$2:$A2446, MATCH(B1122,'Room Info'!$G$2:$G2446, 0)))))))))</f>
        <v>overplayKK</v>
      </c>
      <c r="B1122" s="45" t="s">
        <v>193</v>
      </c>
      <c r="C1122" s="46">
        <v>44763</v>
      </c>
      <c r="D1122" s="46">
        <v>44793</v>
      </c>
      <c r="E1122" s="47">
        <v>44774</v>
      </c>
      <c r="F1122" s="48" t="s">
        <v>34</v>
      </c>
      <c r="G1122" s="45" t="s">
        <v>80</v>
      </c>
      <c r="H1122" s="49" t="s">
        <v>86</v>
      </c>
      <c r="I1122" s="49" t="s">
        <v>81</v>
      </c>
      <c r="J1122" s="50">
        <v>5</v>
      </c>
      <c r="K1122" s="51">
        <v>958</v>
      </c>
      <c r="L1122" s="52">
        <v>130</v>
      </c>
      <c r="M1122" s="53">
        <v>225</v>
      </c>
      <c r="N1122" s="28">
        <f>K1122*J1122</f>
        <v>4790</v>
      </c>
      <c r="O1122" s="54">
        <v>37334</v>
      </c>
      <c r="P1122" s="29">
        <v>38.970772439999998</v>
      </c>
      <c r="Q1122" s="55"/>
      <c r="R1122" s="31">
        <f>M1122+Q1122</f>
        <v>225</v>
      </c>
      <c r="S1122" s="56">
        <v>190</v>
      </c>
      <c r="T1122" s="32">
        <f>R1122+S1122+IF(F1122="Without EV deal",L1122,0)</f>
        <v>415</v>
      </c>
      <c r="U1122" s="57">
        <v>1</v>
      </c>
      <c r="V1122" s="58"/>
      <c r="W1122" s="58"/>
      <c r="X1122" s="78">
        <v>0.25</v>
      </c>
      <c r="Y1122" s="30">
        <f>IF(AG1122="None",0,IF(AG1122="Fix5",0.05, IF(AG1122="Fix6.25",0.0625,IF(AG1122="Fix3.75",0.0375,IF(AG1122="Fix10",0.1,IF(AG1122="Fix3",0.03,0))))))</f>
        <v>0</v>
      </c>
      <c r="Z1122" s="35">
        <f>T1122-AA1122-AB1122</f>
        <v>311.25</v>
      </c>
      <c r="AA1122" s="29">
        <f>IF(AD1122="EUR",((T1122-R1122)*X1122)*U1122+(R1122*X1122),(T1122*X1122))</f>
        <v>103.75</v>
      </c>
      <c r="AB1122" s="36">
        <f>IF(AD1122="EUR",((T1122-R1122)*Y1122)*U1122+(R1122*Y1122),(T1122*Y1122))</f>
        <v>0</v>
      </c>
      <c r="AC1122" s="37" t="b">
        <v>1</v>
      </c>
      <c r="AD1122" s="37" t="s">
        <v>38</v>
      </c>
      <c r="AE1122" s="37" t="s">
        <v>38</v>
      </c>
      <c r="AF1122" s="37" t="str">
        <f t="array" ref="AF1122">INDEX('Deal Info'!D:D, MATCH(A1122,'Deal Info'!A:A, 0))</f>
        <v>SF</v>
      </c>
      <c r="AG1122" s="38" t="str">
        <f t="array" ref="AG1122">INDEX('Deal Info'!G:G, MATCH(A1122,'Deal Info'!A:A, 0))</f>
        <v>None</v>
      </c>
    </row>
    <row r="1123" spans="1:33" ht="14.25" hidden="1" x14ac:dyDescent="0.2">
      <c r="A1123" s="18" t="str">
        <f t="array" ref="A1123">IF(G1123='Room Info'!$B$1, INDEX('Room Info'!$A$2:$A2446, MATCH(B1123,'Room Info'!$B$2:$B2446, 0)),IF(G1123='Room Info'!$C$1, INDEX('Room Info'!$A$2:$A2446, MATCH(B1123,'Room Info'!$C$2:$C2446, 0)),IF(G1123='Room Info'!$D$1, INDEX('Room Info'!$A$2:$A2446, MATCH(B1123,'Room Info'!$D$2:$D2446, 0)),IF(G1123='Room Info'!$E$1, INDEX('Room Info'!$A$2:$A2446, MATCH(B1123,'Room Info'!$E$2:$E2446, 0)),IF(G1123='Room Info'!$F$1, INDEX('Room Info'!$A$2:$A2446, MATCH(B1123,'Room Info'!$F$2:$F2446, 0)),IF(G1123='Room Info'!$H$1, INDEX('Room Info'!$A$2:$A2446, MATCH(B1123,'Room Info'!$H$2:$H2446, 0)),IF(G1123='Room Info'!$G$1, INDEX('Room Info'!$A$2:$A2446, MATCH(B1123,'Room Info'!$G$2:$G2446, 0)))))))))</f>
        <v>overplayKK</v>
      </c>
      <c r="B1123" s="45" t="s">
        <v>193</v>
      </c>
      <c r="C1123" s="46">
        <v>44763</v>
      </c>
      <c r="D1123" s="46">
        <v>44793</v>
      </c>
      <c r="E1123" s="47">
        <v>44774</v>
      </c>
      <c r="F1123" s="48" t="s">
        <v>34</v>
      </c>
      <c r="G1123" s="45" t="s">
        <v>80</v>
      </c>
      <c r="H1123" s="49" t="s">
        <v>40</v>
      </c>
      <c r="I1123" s="49" t="s">
        <v>81</v>
      </c>
      <c r="J1123" s="50">
        <v>10</v>
      </c>
      <c r="K1123" s="51">
        <v>2500</v>
      </c>
      <c r="L1123" s="52">
        <v>210</v>
      </c>
      <c r="M1123" s="53">
        <v>1174</v>
      </c>
      <c r="N1123" s="28">
        <f>K1123*J1123</f>
        <v>25000</v>
      </c>
      <c r="O1123" s="54">
        <v>44842</v>
      </c>
      <c r="P1123" s="29">
        <v>17.936800000000002</v>
      </c>
      <c r="Q1123" s="55"/>
      <c r="R1123" s="31">
        <f>M1123+Q1123</f>
        <v>1174</v>
      </c>
      <c r="S1123" s="56">
        <v>-523</v>
      </c>
      <c r="T1123" s="32">
        <f>R1123+S1123+IF(F1123="Without EV deal",L1123,0)</f>
        <v>651</v>
      </c>
      <c r="U1123" s="57">
        <v>1</v>
      </c>
      <c r="V1123" s="58"/>
      <c r="W1123" s="58"/>
      <c r="X1123" s="78">
        <v>0.25</v>
      </c>
      <c r="Y1123" s="30">
        <f>IF(AG1123="None",0,IF(AG1123="Fix5",0.05, IF(AG1123="Fix6.25",0.0625,IF(AG1123="Fix3.75",0.0375,IF(AG1123="Fix10",0.1,IF(AG1123="Fix3",0.03,0))))))</f>
        <v>0</v>
      </c>
      <c r="Z1123" s="35">
        <f>T1123-AA1123-AB1123</f>
        <v>488.25</v>
      </c>
      <c r="AA1123" s="29">
        <f>IF(AD1123="EUR",((T1123-R1123)*X1123)*U1123+(R1123*X1123),(T1123*X1123))</f>
        <v>162.75</v>
      </c>
      <c r="AB1123" s="36">
        <f>IF(AD1123="EUR",((T1123-R1123)*Y1123)*U1123+(R1123*Y1123),(T1123*Y1123))</f>
        <v>0</v>
      </c>
      <c r="AC1123" s="37" t="b">
        <v>1</v>
      </c>
      <c r="AD1123" s="37" t="s">
        <v>38</v>
      </c>
      <c r="AE1123" s="37" t="s">
        <v>38</v>
      </c>
      <c r="AF1123" s="37" t="str">
        <f t="array" ref="AF1123">INDEX('Deal Info'!D:D, MATCH(A1123,'Deal Info'!A:A, 0))</f>
        <v>SF</v>
      </c>
      <c r="AG1123" s="38" t="str">
        <f t="array" ref="AG1123">INDEX('Deal Info'!G:G, MATCH(A1123,'Deal Info'!A:A, 0))</f>
        <v>None</v>
      </c>
    </row>
    <row r="1124" spans="1:33" ht="14.25" hidden="1" x14ac:dyDescent="0.2">
      <c r="A1124" s="18" t="str">
        <f t="array" ref="A1124">IF(G1124='Room Info'!$B$1, INDEX('Room Info'!$A$2:$A2446, MATCH(B1124,'Room Info'!$B$2:$B2446, 0)),IF(G1124='Room Info'!$C$1, INDEX('Room Info'!$A$2:$A2446, MATCH(B1124,'Room Info'!$C$2:$C2446, 0)),IF(G1124='Room Info'!$D$1, INDEX('Room Info'!$A$2:$A2446, MATCH(B1124,'Room Info'!$D$2:$D2446, 0)),IF(G1124='Room Info'!$E$1, INDEX('Room Info'!$A$2:$A2446, MATCH(B1124,'Room Info'!$E$2:$E2446, 0)),IF(G1124='Room Info'!$F$1, INDEX('Room Info'!$A$2:$A2446, MATCH(B1124,'Room Info'!$F$2:$F2446, 0)),IF(G1124='Room Info'!$H$1, INDEX('Room Info'!$A$2:$A2446, MATCH(B1124,'Room Info'!$H$2:$H2446, 0)),IF(G1124='Room Info'!$G$1, INDEX('Room Info'!$A$2:$A2446, MATCH(B1124,'Room Info'!$G$2:$G2446, 0)))))))))</f>
        <v>overplayKK</v>
      </c>
      <c r="B1124" s="45" t="s">
        <v>193</v>
      </c>
      <c r="C1124" s="46">
        <v>44763</v>
      </c>
      <c r="D1124" s="46">
        <v>44793</v>
      </c>
      <c r="E1124" s="47">
        <v>44774</v>
      </c>
      <c r="F1124" s="48" t="s">
        <v>34</v>
      </c>
      <c r="G1124" s="45" t="s">
        <v>80</v>
      </c>
      <c r="H1124" s="49" t="s">
        <v>71</v>
      </c>
      <c r="I1124" s="49" t="s">
        <v>81</v>
      </c>
      <c r="J1124" s="50">
        <v>20</v>
      </c>
      <c r="K1124" s="51">
        <v>1502</v>
      </c>
      <c r="L1124" s="52">
        <v>-2940</v>
      </c>
      <c r="M1124" s="53">
        <v>1411</v>
      </c>
      <c r="N1124" s="28">
        <f>K1124*J1124</f>
        <v>30040</v>
      </c>
      <c r="O1124" s="54">
        <v>17898</v>
      </c>
      <c r="P1124" s="29">
        <v>11.91611185</v>
      </c>
      <c r="Q1124" s="55"/>
      <c r="R1124" s="31">
        <f>M1124+Q1124</f>
        <v>1411</v>
      </c>
      <c r="S1124" s="56">
        <v>-1148</v>
      </c>
      <c r="T1124" s="32">
        <f>R1124+S1124+IF(F1124="Without EV deal",L1124,0)</f>
        <v>263</v>
      </c>
      <c r="U1124" s="57">
        <v>1</v>
      </c>
      <c r="V1124" s="58"/>
      <c r="W1124" s="58"/>
      <c r="X1124" s="78">
        <v>0.25</v>
      </c>
      <c r="Y1124" s="30">
        <f>IF(AG1124="None",0,IF(AG1124="Fix5",0.05, IF(AG1124="Fix6.25",0.0625,IF(AG1124="Fix3.75",0.0375,IF(AG1124="Fix10",0.1,IF(AG1124="Fix3",0.03,0))))))</f>
        <v>0</v>
      </c>
      <c r="Z1124" s="35">
        <f>T1124-AA1124-AB1124</f>
        <v>197.25</v>
      </c>
      <c r="AA1124" s="29">
        <f>IF(AD1124="EUR",((T1124-R1124)*X1124)*U1124+(R1124*X1124),(T1124*X1124))</f>
        <v>65.75</v>
      </c>
      <c r="AB1124" s="36">
        <f>IF(AD1124="EUR",((T1124-R1124)*Y1124)*U1124+(R1124*Y1124),(T1124*Y1124))</f>
        <v>0</v>
      </c>
      <c r="AC1124" s="37" t="b">
        <v>1</v>
      </c>
      <c r="AD1124" s="37" t="s">
        <v>38</v>
      </c>
      <c r="AE1124" s="37" t="s">
        <v>38</v>
      </c>
      <c r="AF1124" s="37" t="str">
        <f t="array" ref="AF1124">INDEX('Deal Info'!D:D, MATCH(A1124,'Deal Info'!A:A, 0))</f>
        <v>SF</v>
      </c>
      <c r="AG1124" s="38" t="str">
        <f t="array" ref="AG1124">INDEX('Deal Info'!G:G, MATCH(A1124,'Deal Info'!A:A, 0))</f>
        <v>None</v>
      </c>
    </row>
    <row r="1125" spans="1:33" ht="14.25" hidden="1" x14ac:dyDescent="0.2">
      <c r="A1125" s="18" t="str">
        <f t="array" ref="A1125">IF(G1125='Room Info'!$B$1, INDEX('Room Info'!$A$2:$A2446, MATCH(B1125,'Room Info'!$B$2:$B2446, 0)),IF(G1125='Room Info'!$C$1, INDEX('Room Info'!$A$2:$A2446, MATCH(B1125,'Room Info'!$C$2:$C2446, 0)),IF(G1125='Room Info'!$D$1, INDEX('Room Info'!$A$2:$A2446, MATCH(B1125,'Room Info'!$D$2:$D2446, 0)),IF(G1125='Room Info'!$E$1, INDEX('Room Info'!$A$2:$A2446, MATCH(B1125,'Room Info'!$E$2:$E2446, 0)),IF(G1125='Room Info'!$F$1, INDEX('Room Info'!$A$2:$A2446, MATCH(B1125,'Room Info'!$F$2:$F2446, 0)),IF(G1125='Room Info'!$H$1, INDEX('Room Info'!$A$2:$A2446, MATCH(B1125,'Room Info'!$H$2:$H2446, 0)),IF(G1125='Room Info'!$G$1, INDEX('Room Info'!$A$2:$A2446, MATCH(B1125,'Room Info'!$G$2:$G2446, 0)))))))))</f>
        <v>overplayKK</v>
      </c>
      <c r="B1125" s="45" t="s">
        <v>193</v>
      </c>
      <c r="C1125" s="46">
        <v>44794</v>
      </c>
      <c r="D1125" s="46">
        <v>44824</v>
      </c>
      <c r="E1125" s="47">
        <v>44805</v>
      </c>
      <c r="F1125" s="48" t="s">
        <v>34</v>
      </c>
      <c r="G1125" s="45" t="s">
        <v>80</v>
      </c>
      <c r="H1125" s="49" t="s">
        <v>86</v>
      </c>
      <c r="I1125" s="49" t="s">
        <v>81</v>
      </c>
      <c r="J1125" s="50">
        <v>5</v>
      </c>
      <c r="K1125" s="51">
        <v>2473</v>
      </c>
      <c r="L1125" s="52">
        <v>-90</v>
      </c>
      <c r="M1125" s="53">
        <v>660</v>
      </c>
      <c r="N1125" s="28">
        <f>K1125*J1125</f>
        <v>12365</v>
      </c>
      <c r="O1125" s="54">
        <v>67866</v>
      </c>
      <c r="P1125" s="29">
        <v>27.442782050000002</v>
      </c>
      <c r="Q1125" s="55"/>
      <c r="R1125" s="31">
        <f>M1125+Q1125</f>
        <v>660</v>
      </c>
      <c r="S1125" s="56">
        <v>62</v>
      </c>
      <c r="T1125" s="32">
        <f>R1125+S1125+IF(F1125="Without EV deal",L1125,0)</f>
        <v>722</v>
      </c>
      <c r="U1125" s="57">
        <v>1</v>
      </c>
      <c r="V1125" s="58"/>
      <c r="W1125" s="58"/>
      <c r="X1125" s="78">
        <v>0.25</v>
      </c>
      <c r="Y1125" s="30">
        <f>IF(AG1125="None",0,IF(AG1125="Fix5",0.05, IF(AG1125="Fix6.25",0.0625,IF(AG1125="Fix3.75",0.0375,IF(AG1125="Fix10",0.1,IF(AG1125="Fix3",0.03,0))))))</f>
        <v>0</v>
      </c>
      <c r="Z1125" s="35">
        <f>T1125-AA1125-AB1125</f>
        <v>541.5</v>
      </c>
      <c r="AA1125" s="29">
        <f>IF(AD1125="EUR",((T1125-R1125)*X1125)*U1125+(R1125*X1125),(T1125*X1125))</f>
        <v>180.5</v>
      </c>
      <c r="AB1125" s="36">
        <f>IF(AD1125="EUR",((T1125-R1125)*Y1125)*U1125+(R1125*Y1125),(T1125*Y1125))</f>
        <v>0</v>
      </c>
      <c r="AC1125" s="37" t="b">
        <v>1</v>
      </c>
      <c r="AD1125" s="37" t="s">
        <v>38</v>
      </c>
      <c r="AE1125" s="37" t="s">
        <v>38</v>
      </c>
      <c r="AF1125" s="37" t="str">
        <f t="array" ref="AF1125">INDEX('Deal Info'!D:D, MATCH(A1125,'Deal Info'!A:A, 0))</f>
        <v>SF</v>
      </c>
      <c r="AG1125" s="38" t="str">
        <f t="array" ref="AG1125">INDEX('Deal Info'!G:G, MATCH(A1125,'Deal Info'!A:A, 0))</f>
        <v>None</v>
      </c>
    </row>
    <row r="1126" spans="1:33" ht="14.25" hidden="1" x14ac:dyDescent="0.2">
      <c r="A1126" s="18" t="str">
        <f t="array" ref="A1126">IF(G1126='Room Info'!$B$1, INDEX('Room Info'!$A$2:$A2446, MATCH(B1126,'Room Info'!$B$2:$B2446, 0)),IF(G1126='Room Info'!$C$1, INDEX('Room Info'!$A$2:$A2446, MATCH(B1126,'Room Info'!$C$2:$C2446, 0)),IF(G1126='Room Info'!$D$1, INDEX('Room Info'!$A$2:$A2446, MATCH(B1126,'Room Info'!$D$2:$D2446, 0)),IF(G1126='Room Info'!$E$1, INDEX('Room Info'!$A$2:$A2446, MATCH(B1126,'Room Info'!$E$2:$E2446, 0)),IF(G1126='Room Info'!$F$1, INDEX('Room Info'!$A$2:$A2446, MATCH(B1126,'Room Info'!$F$2:$F2446, 0)),IF(G1126='Room Info'!$H$1, INDEX('Room Info'!$A$2:$A2446, MATCH(B1126,'Room Info'!$H$2:$H2446, 0)),IF(G1126='Room Info'!$G$1, INDEX('Room Info'!$A$2:$A2446, MATCH(B1126,'Room Info'!$G$2:$G2446, 0)))))))))</f>
        <v>overplayKK</v>
      </c>
      <c r="B1126" s="45" t="s">
        <v>193</v>
      </c>
      <c r="C1126" s="46">
        <v>44794</v>
      </c>
      <c r="D1126" s="46">
        <v>44824</v>
      </c>
      <c r="E1126" s="47">
        <v>44805</v>
      </c>
      <c r="F1126" s="48" t="s">
        <v>34</v>
      </c>
      <c r="G1126" s="45" t="s">
        <v>80</v>
      </c>
      <c r="H1126" s="49" t="s">
        <v>40</v>
      </c>
      <c r="I1126" s="49" t="s">
        <v>81</v>
      </c>
      <c r="J1126" s="50">
        <v>10</v>
      </c>
      <c r="K1126" s="51">
        <v>2192</v>
      </c>
      <c r="L1126" s="52">
        <v>-390</v>
      </c>
      <c r="M1126" s="53">
        <v>1170</v>
      </c>
      <c r="N1126" s="28">
        <f>K1126*J1126</f>
        <v>21920</v>
      </c>
      <c r="O1126" s="54">
        <v>55121</v>
      </c>
      <c r="P1126" s="29">
        <v>25.14644161</v>
      </c>
      <c r="Q1126" s="55"/>
      <c r="R1126" s="31">
        <f>M1126+Q1126</f>
        <v>1170</v>
      </c>
      <c r="S1126" s="56">
        <v>-34</v>
      </c>
      <c r="T1126" s="32">
        <f>R1126+S1126+IF(F1126="Without EV deal",L1126,0)</f>
        <v>1136</v>
      </c>
      <c r="U1126" s="57">
        <v>1</v>
      </c>
      <c r="V1126" s="58"/>
      <c r="W1126" s="58"/>
      <c r="X1126" s="78">
        <v>0.25</v>
      </c>
      <c r="Y1126" s="30">
        <f>IF(AG1126="None",0,IF(AG1126="Fix5",0.05, IF(AG1126="Fix6.25",0.0625,IF(AG1126="Fix3.75",0.0375,IF(AG1126="Fix10",0.1,IF(AG1126="Fix3",0.03,0))))))</f>
        <v>0</v>
      </c>
      <c r="Z1126" s="35">
        <f>T1126-AA1126-AB1126</f>
        <v>852</v>
      </c>
      <c r="AA1126" s="29">
        <f>IF(AD1126="EUR",((T1126-R1126)*X1126)*U1126+(R1126*X1126),(T1126*X1126))</f>
        <v>284</v>
      </c>
      <c r="AB1126" s="36">
        <f>IF(AD1126="EUR",((T1126-R1126)*Y1126)*U1126+(R1126*Y1126),(T1126*Y1126))</f>
        <v>0</v>
      </c>
      <c r="AC1126" s="37" t="b">
        <v>1</v>
      </c>
      <c r="AD1126" s="37" t="s">
        <v>38</v>
      </c>
      <c r="AE1126" s="37" t="s">
        <v>38</v>
      </c>
      <c r="AF1126" s="37" t="str">
        <f t="array" ref="AF1126">INDEX('Deal Info'!D:D, MATCH(A1126,'Deal Info'!A:A, 0))</f>
        <v>SF</v>
      </c>
      <c r="AG1126" s="38" t="str">
        <f t="array" ref="AG1126">INDEX('Deal Info'!G:G, MATCH(A1126,'Deal Info'!A:A, 0))</f>
        <v>None</v>
      </c>
    </row>
    <row r="1127" spans="1:33" ht="14.25" hidden="1" x14ac:dyDescent="0.2">
      <c r="A1127" s="18" t="str">
        <f t="array" ref="A1127">IF(G1127='Room Info'!$B$1, INDEX('Room Info'!$A$2:$A2446, MATCH(B1127,'Room Info'!$B$2:$B2446, 0)),IF(G1127='Room Info'!$C$1, INDEX('Room Info'!$A$2:$A2446, MATCH(B1127,'Room Info'!$C$2:$C2446, 0)),IF(G1127='Room Info'!$D$1, INDEX('Room Info'!$A$2:$A2446, MATCH(B1127,'Room Info'!$D$2:$D2446, 0)),IF(G1127='Room Info'!$E$1, INDEX('Room Info'!$A$2:$A2446, MATCH(B1127,'Room Info'!$E$2:$E2446, 0)),IF(G1127='Room Info'!$F$1, INDEX('Room Info'!$A$2:$A2446, MATCH(B1127,'Room Info'!$F$2:$F2446, 0)),IF(G1127='Room Info'!$H$1, INDEX('Room Info'!$A$2:$A2446, MATCH(B1127,'Room Info'!$H$2:$H2446, 0)),IF(G1127='Room Info'!$G$1, INDEX('Room Info'!$A$2:$A2446, MATCH(B1127,'Room Info'!$G$2:$G2446, 0)))))))))</f>
        <v>overplayKK</v>
      </c>
      <c r="B1127" s="45" t="s">
        <v>193</v>
      </c>
      <c r="C1127" s="99">
        <v>44794</v>
      </c>
      <c r="D1127" s="99">
        <v>44824</v>
      </c>
      <c r="E1127" s="47">
        <v>44805</v>
      </c>
      <c r="F1127" s="45" t="s">
        <v>34</v>
      </c>
      <c r="G1127" s="45" t="s">
        <v>80</v>
      </c>
      <c r="H1127" s="49" t="s">
        <v>71</v>
      </c>
      <c r="I1127" s="49" t="s">
        <v>81</v>
      </c>
      <c r="J1127" s="74">
        <v>20</v>
      </c>
      <c r="K1127" s="75">
        <v>7</v>
      </c>
      <c r="L1127" s="72">
        <v>60</v>
      </c>
      <c r="M1127" s="76">
        <v>7</v>
      </c>
      <c r="N1127" s="28">
        <f>K1127*J1127</f>
        <v>140</v>
      </c>
      <c r="O1127" s="45">
        <v>-857</v>
      </c>
      <c r="P1127" s="29">
        <v>-122.4285714</v>
      </c>
      <c r="Q1127" s="55"/>
      <c r="R1127" s="31">
        <f>M1127+Q1127</f>
        <v>7</v>
      </c>
      <c r="S1127" s="73">
        <v>-60</v>
      </c>
      <c r="T1127" s="32">
        <f>R1127+S1127+IF(F1127="Without EV deal",L1127,0)</f>
        <v>-53</v>
      </c>
      <c r="U1127" s="57">
        <v>1</v>
      </c>
      <c r="V1127" s="58"/>
      <c r="W1127" s="58"/>
      <c r="X1127" s="78">
        <v>0.25</v>
      </c>
      <c r="Y1127" s="30">
        <f>IF(AG1127="None",0,IF(AG1127="Fix5",0.05, IF(AG1127="Fix6.25",0.0625,IF(AG1127="Fix3.75",0.0375,IF(AG1127="Fix10",0.1,IF(AG1127="Fix3",0.03,0))))))</f>
        <v>0</v>
      </c>
      <c r="Z1127" s="35">
        <f>T1127-AA1127-AB1127</f>
        <v>-39.75</v>
      </c>
      <c r="AA1127" s="29">
        <f>IF(AD1127="EUR",((T1127-R1127)*X1127)*U1127+(R1127*X1127),(T1127*X1127))</f>
        <v>-13.25</v>
      </c>
      <c r="AB1127" s="36">
        <f>IF(AD1127="EUR",((T1127-R1127)*Y1127)*U1127+(R1127*Y1127),(T1127*Y1127))</f>
        <v>0</v>
      </c>
      <c r="AC1127" s="37" t="b">
        <v>1</v>
      </c>
      <c r="AD1127" s="37" t="s">
        <v>38</v>
      </c>
      <c r="AE1127" s="37" t="s">
        <v>38</v>
      </c>
      <c r="AF1127" s="37" t="str">
        <f t="array" ref="AF1127">INDEX('Deal Info'!D:D, MATCH(A1127,'Deal Info'!A:A, 0))</f>
        <v>SF</v>
      </c>
      <c r="AG1127" s="38" t="str">
        <f t="array" ref="AG1127">INDEX('Deal Info'!G:G, MATCH(A1127,'Deal Info'!A:A, 0))</f>
        <v>None</v>
      </c>
    </row>
    <row r="1128" spans="1:33" ht="14.25" hidden="1" x14ac:dyDescent="0.2">
      <c r="A1128" s="18" t="str">
        <f t="array" ref="A1128">IF(G1128='Room Info'!$B$1, INDEX('Room Info'!$A$2:$A2446, MATCH(B1128,'Room Info'!$B$2:$B2446, 0)),IF(G1128='Room Info'!$C$1, INDEX('Room Info'!$A$2:$A2446, MATCH(B1128,'Room Info'!$C$2:$C2446, 0)),IF(G1128='Room Info'!$D$1, INDEX('Room Info'!$A$2:$A2446, MATCH(B1128,'Room Info'!$D$2:$D2446, 0)),IF(G1128='Room Info'!$E$1, INDEX('Room Info'!$A$2:$A2446, MATCH(B1128,'Room Info'!$E$2:$E2446, 0)),IF(G1128='Room Info'!$F$1, INDEX('Room Info'!$A$2:$A2446, MATCH(B1128,'Room Info'!$F$2:$F2446, 0)),IF(G1128='Room Info'!$H$1, INDEX('Room Info'!$A$2:$A2446, MATCH(B1128,'Room Info'!$H$2:$H2446, 0)),IF(G1128='Room Info'!$G$1, INDEX('Room Info'!$A$2:$A2446, MATCH(B1128,'Room Info'!$G$2:$G2446, 0)))))))))</f>
        <v>overplayKK</v>
      </c>
      <c r="B1128" s="45" t="s">
        <v>193</v>
      </c>
      <c r="C1128" s="99">
        <v>44825</v>
      </c>
      <c r="D1128" s="99">
        <v>44854</v>
      </c>
      <c r="E1128" s="47">
        <v>44835</v>
      </c>
      <c r="F1128" s="45" t="s">
        <v>34</v>
      </c>
      <c r="G1128" s="54" t="s">
        <v>80</v>
      </c>
      <c r="H1128" s="49" t="s">
        <v>86</v>
      </c>
      <c r="I1128" s="49" t="s">
        <v>81</v>
      </c>
      <c r="J1128" s="74">
        <v>5</v>
      </c>
      <c r="K1128" s="75">
        <v>4</v>
      </c>
      <c r="L1128" s="72">
        <v>5</v>
      </c>
      <c r="M1128" s="53">
        <v>8</v>
      </c>
      <c r="N1128" s="28">
        <f>K1128*J1128</f>
        <v>20</v>
      </c>
      <c r="O1128" s="45">
        <v>147</v>
      </c>
      <c r="P1128" s="29">
        <v>36.75</v>
      </c>
      <c r="Q1128" s="55"/>
      <c r="R1128" s="31">
        <f>M1128+Q1128</f>
        <v>8</v>
      </c>
      <c r="S1128" s="73">
        <v>1</v>
      </c>
      <c r="T1128" s="32">
        <f>R1128+S1128+IF(F1128="Without EV deal",L1128,0)</f>
        <v>9</v>
      </c>
      <c r="U1128" s="57">
        <v>1</v>
      </c>
      <c r="V1128" s="58"/>
      <c r="W1128" s="58"/>
      <c r="X1128" s="78">
        <v>0.3</v>
      </c>
      <c r="Y1128" s="30">
        <f>IF(AG1128="None",0,IF(AG1128="Fix5",0.05, IF(AG1128="Fix6.25",0.0625,IF(AG1128="Fix3.75",0.0375,IF(AG1128="Fix10",0.1,IF(AG1128="Fix3",0.03,0))))))</f>
        <v>0</v>
      </c>
      <c r="Z1128" s="35">
        <f>T1128-AA1128-AB1128</f>
        <v>6.3000000000000007</v>
      </c>
      <c r="AA1128" s="29">
        <f>IF(AD1128="EUR",((T1128-R1128)*X1128)*U1128+(R1128*X1128),(T1128*X1128))</f>
        <v>2.6999999999999997</v>
      </c>
      <c r="AB1128" s="36">
        <f>IF(AD1128="EUR",((T1128-R1128)*Y1128)*U1128+(R1128*Y1128),(T1128*Y1128))</f>
        <v>0</v>
      </c>
      <c r="AC1128" s="37" t="b">
        <v>1</v>
      </c>
      <c r="AD1128" s="37" t="s">
        <v>38</v>
      </c>
      <c r="AE1128" s="37" t="s">
        <v>38</v>
      </c>
      <c r="AF1128" s="37" t="str">
        <f t="array" ref="AF1128">INDEX('Deal Info'!D:D, MATCH(A1128,'Deal Info'!A:A, 0))</f>
        <v>SF</v>
      </c>
      <c r="AG1128" s="38" t="str">
        <f t="array" ref="AG1128">INDEX('Deal Info'!G:G, MATCH(A1128,'Deal Info'!A:A, 0))</f>
        <v>None</v>
      </c>
    </row>
    <row r="1129" spans="1:33" ht="14.25" hidden="1" x14ac:dyDescent="0.2">
      <c r="A1129" s="18" t="str">
        <f t="array" ref="A1129">IF(G1129='Room Info'!$B$1, INDEX('Room Info'!$A$2:$A2446, MATCH(B1129,'Room Info'!$B$2:$B2446, 0)),IF(G1129='Room Info'!$C$1, INDEX('Room Info'!$A$2:$A2446, MATCH(B1129,'Room Info'!$C$2:$C2446, 0)),IF(G1129='Room Info'!$D$1, INDEX('Room Info'!$A$2:$A2446, MATCH(B1129,'Room Info'!$D$2:$D2446, 0)),IF(G1129='Room Info'!$E$1, INDEX('Room Info'!$A$2:$A2446, MATCH(B1129,'Room Info'!$E$2:$E2446, 0)),IF(G1129='Room Info'!$F$1, INDEX('Room Info'!$A$2:$A2446, MATCH(B1129,'Room Info'!$F$2:$F2446, 0)),IF(G1129='Room Info'!$H$1, INDEX('Room Info'!$A$2:$A2446, MATCH(B1129,'Room Info'!$H$2:$H2446, 0)),IF(G1129='Room Info'!$G$1, INDEX('Room Info'!$A$2:$A2446, MATCH(B1129,'Room Info'!$G$2:$G2446, 0)))))))))</f>
        <v>overplayKK</v>
      </c>
      <c r="B1129" s="45" t="s">
        <v>193</v>
      </c>
      <c r="C1129" s="77">
        <v>44825</v>
      </c>
      <c r="D1129" s="77">
        <v>44854</v>
      </c>
      <c r="E1129" s="47">
        <v>44835</v>
      </c>
      <c r="F1129" s="48" t="s">
        <v>34</v>
      </c>
      <c r="G1129" s="45" t="s">
        <v>80</v>
      </c>
      <c r="H1129" s="49" t="s">
        <v>40</v>
      </c>
      <c r="I1129" s="49" t="s">
        <v>81</v>
      </c>
      <c r="J1129" s="74">
        <v>10</v>
      </c>
      <c r="K1129" s="75">
        <v>5400</v>
      </c>
      <c r="L1129" s="72">
        <v>-3540</v>
      </c>
      <c r="M1129" s="76">
        <v>2160</v>
      </c>
      <c r="N1129" s="28">
        <f>K1129*J1129</f>
        <v>54000</v>
      </c>
      <c r="O1129" s="45">
        <v>74218</v>
      </c>
      <c r="P1129" s="29">
        <v>13.74407407</v>
      </c>
      <c r="Q1129" s="55"/>
      <c r="R1129" s="31">
        <f>M1129+Q1129</f>
        <v>2160</v>
      </c>
      <c r="S1129" s="73">
        <v>-1818</v>
      </c>
      <c r="T1129" s="32">
        <f>R1129+S1129+IF(F1129="Without EV deal",L1129,0)</f>
        <v>342</v>
      </c>
      <c r="U1129" s="57">
        <v>1</v>
      </c>
      <c r="V1129" s="58"/>
      <c r="W1129" s="58"/>
      <c r="X1129" s="78">
        <v>0.3</v>
      </c>
      <c r="Y1129" s="30">
        <f>IF(AG1129="None",0,IF(AG1129="Fix5",0.05, IF(AG1129="Fix6.25",0.0625,IF(AG1129="Fix3.75",0.0375,IF(AG1129="Fix10",0.1,IF(AG1129="Fix3",0.03,0))))))</f>
        <v>0</v>
      </c>
      <c r="Z1129" s="35">
        <f>T1129-AA1129-AB1129</f>
        <v>239.4</v>
      </c>
      <c r="AA1129" s="29">
        <f>IF(AD1129="EUR",((T1129-R1129)*X1129)*U1129+(R1129*X1129),(T1129*X1129))</f>
        <v>102.6</v>
      </c>
      <c r="AB1129" s="36">
        <f>IF(AD1129="EUR",((T1129-R1129)*Y1129)*U1129+(R1129*Y1129),(T1129*Y1129))</f>
        <v>0</v>
      </c>
      <c r="AC1129" s="37" t="b">
        <v>1</v>
      </c>
      <c r="AD1129" s="37" t="s">
        <v>38</v>
      </c>
      <c r="AE1129" s="37" t="s">
        <v>38</v>
      </c>
      <c r="AF1129" s="37" t="str">
        <f t="array" ref="AF1129">INDEX('Deal Info'!D:D, MATCH(A1129,'Deal Info'!A:A, 0))</f>
        <v>SF</v>
      </c>
      <c r="AG1129" s="38" t="str">
        <f t="array" ref="AG1129">INDEX('Deal Info'!G:G, MATCH(A1129,'Deal Info'!A:A, 0))</f>
        <v>None</v>
      </c>
    </row>
    <row r="1130" spans="1:33" ht="14.25" hidden="1" x14ac:dyDescent="0.2">
      <c r="A1130" s="18" t="str">
        <f t="array" ref="A1130">IF(G1130='Room Info'!$B$1, INDEX('Room Info'!$A$2:$A2446, MATCH(B1130,'Room Info'!$B$2:$B2446, 0)),IF(G1130='Room Info'!$C$1, INDEX('Room Info'!$A$2:$A2446, MATCH(B1130,'Room Info'!$C$2:$C2446, 0)),IF(G1130='Room Info'!$D$1, INDEX('Room Info'!$A$2:$A2446, MATCH(B1130,'Room Info'!$D$2:$D2446, 0)),IF(G1130='Room Info'!$E$1, INDEX('Room Info'!$A$2:$A2446, MATCH(B1130,'Room Info'!$E$2:$E2446, 0)),IF(G1130='Room Info'!$F$1, INDEX('Room Info'!$A$2:$A2446, MATCH(B1130,'Room Info'!$F$2:$F2446, 0)),IF(G1130='Room Info'!$H$1, INDEX('Room Info'!$A$2:$A2446, MATCH(B1130,'Room Info'!$H$2:$H2446, 0)),IF(G1130='Room Info'!$G$1, INDEX('Room Info'!$A$2:$A2446, MATCH(B1130,'Room Info'!$G$2:$G2446, 0)))))))))</f>
        <v>overplayKK</v>
      </c>
      <c r="B1130" s="45" t="s">
        <v>193</v>
      </c>
      <c r="C1130" s="77">
        <v>44855</v>
      </c>
      <c r="D1130" s="77">
        <v>44885</v>
      </c>
      <c r="E1130" s="47">
        <v>44866</v>
      </c>
      <c r="F1130" s="48" t="s">
        <v>34</v>
      </c>
      <c r="G1130" s="45" t="s">
        <v>80</v>
      </c>
      <c r="H1130" s="91" t="s">
        <v>40</v>
      </c>
      <c r="I1130" s="49" t="s">
        <v>81</v>
      </c>
      <c r="J1130" s="74">
        <v>10</v>
      </c>
      <c r="K1130" s="75">
        <v>8</v>
      </c>
      <c r="L1130" s="72">
        <v>20</v>
      </c>
      <c r="M1130" s="76">
        <v>2</v>
      </c>
      <c r="N1130" s="28">
        <f>K1130*J1130</f>
        <v>80</v>
      </c>
      <c r="O1130" s="45">
        <v>554</v>
      </c>
      <c r="P1130" s="29">
        <v>69.25</v>
      </c>
      <c r="Q1130" s="55"/>
      <c r="R1130" s="31">
        <f>M1130+Q1130</f>
        <v>2</v>
      </c>
      <c r="S1130" s="73">
        <v>10</v>
      </c>
      <c r="T1130" s="32">
        <f>R1130+S1130+IF(F1130="Without EV deal",L1130,0)</f>
        <v>12</v>
      </c>
      <c r="U1130" s="57">
        <v>1</v>
      </c>
      <c r="V1130" s="58"/>
      <c r="W1130" s="58"/>
      <c r="X1130" s="78">
        <v>0.22</v>
      </c>
      <c r="Y1130" s="30">
        <f>IF(AG1130="None",0,IF(AG1130="Fix5",0.05, IF(AG1130="Fix6.25",0.0625,IF(AG1130="Fix3.75",0.0375,IF(AG1130="Fix10",0.1,IF(AG1130="Fix3",0.03,0))))))</f>
        <v>0</v>
      </c>
      <c r="Z1130" s="35">
        <f>T1130-AA1130-AB1130</f>
        <v>9.36</v>
      </c>
      <c r="AA1130" s="29">
        <f>IF(AD1130="EUR",((T1130-R1130)*X1130)*U1130+(R1130*X1130),(T1130*X1130))</f>
        <v>2.64</v>
      </c>
      <c r="AB1130" s="36">
        <f>IF(AD1130="EUR",((T1130-R1130)*Y1130)*U1130+(R1130*Y1130),(T1130*Y1130))</f>
        <v>0</v>
      </c>
      <c r="AC1130" s="37" t="b">
        <v>1</v>
      </c>
      <c r="AD1130" s="37" t="s">
        <v>38</v>
      </c>
      <c r="AE1130" s="37" t="s">
        <v>38</v>
      </c>
      <c r="AF1130" s="37" t="str">
        <f t="array" ref="AF1130">INDEX('Deal Info'!D:D, MATCH(A1130,'Deal Info'!A:A, 0))</f>
        <v>SF</v>
      </c>
      <c r="AG1130" s="38" t="str">
        <f t="array" ref="AG1130">INDEX('Deal Info'!G:G, MATCH(A1130,'Deal Info'!A:A, 0))</f>
        <v>None</v>
      </c>
    </row>
    <row r="1131" spans="1:33" ht="14.25" hidden="1" x14ac:dyDescent="0.2">
      <c r="A1131" s="18" t="str">
        <f t="array" ref="A1131">IF(G1131='Room Info'!$B$1, INDEX('Room Info'!$A$2:$A2446, MATCH(B1131,'Room Info'!$B$2:$B2446, 0)),IF(G1131='Room Info'!$C$1, INDEX('Room Info'!$A$2:$A2446, MATCH(B1131,'Room Info'!$C$2:$C2446, 0)),IF(G1131='Room Info'!$D$1, INDEX('Room Info'!$A$2:$A2446, MATCH(B1131,'Room Info'!$D$2:$D2446, 0)),IF(G1131='Room Info'!$E$1, INDEX('Room Info'!$A$2:$A2446, MATCH(B1131,'Room Info'!$E$2:$E2446, 0)),IF(G1131='Room Info'!$F$1, INDEX('Room Info'!$A$2:$A2446, MATCH(B1131,'Room Info'!$F$2:$F2446, 0)),IF(G1131='Room Info'!$H$1, INDEX('Room Info'!$A$2:$A2446, MATCH(B1131,'Room Info'!$H$2:$H2446, 0)),IF(G1131='Room Info'!$G$1, INDEX('Room Info'!$A$2:$A2446, MATCH(B1131,'Room Info'!$G$2:$G2446, 0)))))))))</f>
        <v>overplayKK</v>
      </c>
      <c r="B1131" s="45" t="s">
        <v>193</v>
      </c>
      <c r="C1131" s="46">
        <v>44855</v>
      </c>
      <c r="D1131" s="46">
        <v>44885</v>
      </c>
      <c r="E1131" s="47">
        <v>44866</v>
      </c>
      <c r="F1131" s="45" t="s">
        <v>34</v>
      </c>
      <c r="G1131" s="54" t="s">
        <v>80</v>
      </c>
      <c r="H1131" s="49" t="s">
        <v>71</v>
      </c>
      <c r="I1131" s="49" t="s">
        <v>81</v>
      </c>
      <c r="J1131" s="50">
        <v>20</v>
      </c>
      <c r="K1131" s="51">
        <v>7421</v>
      </c>
      <c r="L1131" s="52">
        <v>-5300</v>
      </c>
      <c r="M1131" s="53">
        <v>7575</v>
      </c>
      <c r="N1131" s="28">
        <f>K1131*J1131</f>
        <v>148420</v>
      </c>
      <c r="O1131" s="54">
        <v>87606</v>
      </c>
      <c r="P1131" s="29">
        <v>11.805147549999999</v>
      </c>
      <c r="Q1131" s="55"/>
      <c r="R1131" s="31">
        <f>M1131+Q1131</f>
        <v>7575</v>
      </c>
      <c r="S1131" s="56">
        <v>-6069</v>
      </c>
      <c r="T1131" s="32">
        <f>R1131+S1131+IF(F1131="Without EV deal",L1131,0)</f>
        <v>1506</v>
      </c>
      <c r="U1131" s="57">
        <v>1</v>
      </c>
      <c r="V1131" s="58"/>
      <c r="W1131" s="58"/>
      <c r="X1131" s="78">
        <v>0.22</v>
      </c>
      <c r="Y1131" s="30">
        <f>IF(AG1131="None",0,IF(AG1131="Fix5",0.05, IF(AG1131="Fix6.25",0.0625,IF(AG1131="Fix3.75",0.0375,IF(AG1131="Fix10",0.1,IF(AG1131="Fix3",0.03,0))))))</f>
        <v>0</v>
      </c>
      <c r="Z1131" s="35">
        <f>T1131-AA1131-AB1131</f>
        <v>1174.68</v>
      </c>
      <c r="AA1131" s="29">
        <f>IF(AD1131="EUR",((T1131-R1131)*X1131)*U1131+(R1131*X1131),(T1131*X1131))</f>
        <v>331.32</v>
      </c>
      <c r="AB1131" s="36">
        <f>IF(AD1131="EUR",((T1131-R1131)*Y1131)*U1131+(R1131*Y1131),(T1131*Y1131))</f>
        <v>0</v>
      </c>
      <c r="AC1131" s="37" t="b">
        <v>1</v>
      </c>
      <c r="AD1131" s="37" t="s">
        <v>38</v>
      </c>
      <c r="AE1131" s="37" t="s">
        <v>38</v>
      </c>
      <c r="AF1131" s="37" t="str">
        <f t="array" ref="AF1131">INDEX('Deal Info'!D:D, MATCH(A1131,'Deal Info'!A:A, 0))</f>
        <v>SF</v>
      </c>
      <c r="AG1131" s="38" t="str">
        <f t="array" ref="AG1131">INDEX('Deal Info'!G:G, MATCH(A1131,'Deal Info'!A:A, 0))</f>
        <v>None</v>
      </c>
    </row>
    <row r="1132" spans="1:33" ht="14.25" hidden="1" x14ac:dyDescent="0.2">
      <c r="A1132" s="18" t="str">
        <f t="array" ref="A1132">IF(G1132='Room Info'!$B$1, INDEX('Room Info'!$A$2:$A2446, MATCH(B1132,'Room Info'!$B$2:$B2446, 0)),IF(G1132='Room Info'!$C$1, INDEX('Room Info'!$A$2:$A2446, MATCH(B1132,'Room Info'!$C$2:$C2446, 0)),IF(G1132='Room Info'!$D$1, INDEX('Room Info'!$A$2:$A2446, MATCH(B1132,'Room Info'!$D$2:$D2446, 0)),IF(G1132='Room Info'!$E$1, INDEX('Room Info'!$A$2:$A2446, MATCH(B1132,'Room Info'!$E$2:$E2446, 0)),IF(G1132='Room Info'!$F$1, INDEX('Room Info'!$A$2:$A2446, MATCH(B1132,'Room Info'!$F$2:$F2446, 0)),IF(G1132='Room Info'!$H$1, INDEX('Room Info'!$A$2:$A2446, MATCH(B1132,'Room Info'!$H$2:$H2446, 0)),IF(G1132='Room Info'!$G$1, INDEX('Room Info'!$A$2:$A2446, MATCH(B1132,'Room Info'!$G$2:$G2446, 0)))))))))</f>
        <v>overplayKK</v>
      </c>
      <c r="B1132" s="45" t="s">
        <v>193</v>
      </c>
      <c r="C1132" s="46">
        <v>44886</v>
      </c>
      <c r="D1132" s="46">
        <v>44915</v>
      </c>
      <c r="E1132" s="47">
        <v>44896</v>
      </c>
      <c r="F1132" s="45" t="s">
        <v>34</v>
      </c>
      <c r="G1132" s="54" t="s">
        <v>80</v>
      </c>
      <c r="H1132" s="49" t="s">
        <v>40</v>
      </c>
      <c r="I1132" s="49" t="s">
        <v>81</v>
      </c>
      <c r="J1132" s="50">
        <v>10</v>
      </c>
      <c r="K1132" s="51">
        <v>3892</v>
      </c>
      <c r="L1132" s="52">
        <v>480</v>
      </c>
      <c r="M1132" s="53">
        <v>2231</v>
      </c>
      <c r="N1132" s="28">
        <f>K1132*J1132</f>
        <v>38920</v>
      </c>
      <c r="O1132" s="54">
        <v>75820</v>
      </c>
      <c r="P1132" s="29">
        <v>19.480986640000001</v>
      </c>
      <c r="Q1132" s="55"/>
      <c r="R1132" s="31">
        <f>M1132+Q1132</f>
        <v>2231</v>
      </c>
      <c r="S1132" s="56">
        <v>-666</v>
      </c>
      <c r="T1132" s="32">
        <f>R1132+S1132+IF(F1132="Without EV deal",L1132,0)</f>
        <v>1565</v>
      </c>
      <c r="U1132" s="57">
        <v>1</v>
      </c>
      <c r="V1132" s="58"/>
      <c r="W1132" s="58"/>
      <c r="X1132" s="78">
        <v>0.22</v>
      </c>
      <c r="Y1132" s="30">
        <f>IF(AG1132="None",0,IF(AG1132="Fix5",0.05, IF(AG1132="Fix6.25",0.0625,IF(AG1132="Fix3.75",0.0375,IF(AG1132="Fix10",0.1,IF(AG1132="Fix3",0.03,0))))))</f>
        <v>0</v>
      </c>
      <c r="Z1132" s="35">
        <f>T1132-AA1132-AB1132</f>
        <v>1220.7</v>
      </c>
      <c r="AA1132" s="29">
        <f>IF(AD1132="EUR",((T1132-R1132)*X1132)*U1132+(R1132*X1132),(T1132*X1132))</f>
        <v>344.3</v>
      </c>
      <c r="AB1132" s="36">
        <f>IF(AD1132="EUR",((T1132-R1132)*Y1132)*U1132+(R1132*Y1132),(T1132*Y1132))</f>
        <v>0</v>
      </c>
      <c r="AC1132" s="37" t="b">
        <v>1</v>
      </c>
      <c r="AD1132" s="37" t="s">
        <v>38</v>
      </c>
      <c r="AE1132" s="37" t="s">
        <v>38</v>
      </c>
      <c r="AF1132" s="37" t="str">
        <f t="array" ref="AF1132">INDEX('Deal Info'!D:D, MATCH(A1132,'Deal Info'!A:A, 0))</f>
        <v>SF</v>
      </c>
      <c r="AG1132" s="38" t="str">
        <f t="array" ref="AG1132">INDEX('Deal Info'!G:G, MATCH(A1132,'Deal Info'!A:A, 0))</f>
        <v>None</v>
      </c>
    </row>
    <row r="1133" spans="1:33" ht="14.25" hidden="1" x14ac:dyDescent="0.2">
      <c r="A1133" s="18" t="str">
        <f t="array" ref="A1133">IF(G1133='Room Info'!$B$1, INDEX('Room Info'!$A$2:$A2446, MATCH(B1133,'Room Info'!$B$2:$B2446, 0)),IF(G1133='Room Info'!$C$1, INDEX('Room Info'!$A$2:$A2446, MATCH(B1133,'Room Info'!$C$2:$C2446, 0)),IF(G1133='Room Info'!$D$1, INDEX('Room Info'!$A$2:$A2446, MATCH(B1133,'Room Info'!$D$2:$D2446, 0)),IF(G1133='Room Info'!$E$1, INDEX('Room Info'!$A$2:$A2446, MATCH(B1133,'Room Info'!$E$2:$E2446, 0)),IF(G1133='Room Info'!$F$1, INDEX('Room Info'!$A$2:$A2446, MATCH(B1133,'Room Info'!$F$2:$F2446, 0)),IF(G1133='Room Info'!$H$1, INDEX('Room Info'!$A$2:$A2446, MATCH(B1133,'Room Info'!$H$2:$H2446, 0)),IF(G1133='Room Info'!$G$1, INDEX('Room Info'!$A$2:$A2446, MATCH(B1133,'Room Info'!$G$2:$G2446, 0)))))))))</f>
        <v>overplayKK</v>
      </c>
      <c r="B1133" s="45" t="s">
        <v>193</v>
      </c>
      <c r="C1133" s="99">
        <v>44886</v>
      </c>
      <c r="D1133" s="99">
        <v>44915</v>
      </c>
      <c r="E1133" s="47">
        <v>44896</v>
      </c>
      <c r="F1133" s="45" t="s">
        <v>34</v>
      </c>
      <c r="G1133" s="45" t="s">
        <v>80</v>
      </c>
      <c r="H1133" s="49" t="s">
        <v>71</v>
      </c>
      <c r="I1133" s="49" t="s">
        <v>81</v>
      </c>
      <c r="J1133" s="74">
        <v>20</v>
      </c>
      <c r="K1133" s="75">
        <v>3173</v>
      </c>
      <c r="L1133" s="72">
        <v>-5340</v>
      </c>
      <c r="M1133" s="76">
        <v>3638</v>
      </c>
      <c r="N1133" s="28">
        <f>K1133*J1133</f>
        <v>63460</v>
      </c>
      <c r="O1133" s="45">
        <v>30658</v>
      </c>
      <c r="P1133" s="29">
        <v>9.6621493849999993</v>
      </c>
      <c r="Q1133" s="55"/>
      <c r="R1133" s="31">
        <f>M1133+Q1133</f>
        <v>3638</v>
      </c>
      <c r="S1133" s="73">
        <v>-2878</v>
      </c>
      <c r="T1133" s="32">
        <f>R1133+S1133+IF(F1133="Without EV deal",L1133,0)</f>
        <v>760</v>
      </c>
      <c r="U1133" s="57">
        <v>1</v>
      </c>
      <c r="V1133" s="58"/>
      <c r="W1133" s="58"/>
      <c r="X1133" s="78">
        <v>0.22</v>
      </c>
      <c r="Y1133" s="30">
        <f>IF(AG1133="None",0,IF(AG1133="Fix5",0.05, IF(AG1133="Fix6.25",0.0625,IF(AG1133="Fix3.75",0.0375,IF(AG1133="Fix10",0.1,IF(AG1133="Fix3",0.03,0))))))</f>
        <v>0</v>
      </c>
      <c r="Z1133" s="35">
        <f>T1133-AA1133-AB1133</f>
        <v>592.79999999999995</v>
      </c>
      <c r="AA1133" s="29">
        <f>IF(AD1133="EUR",((T1133-R1133)*X1133)*U1133+(R1133*X1133),(T1133*X1133))</f>
        <v>167.2</v>
      </c>
      <c r="AB1133" s="36">
        <f>IF(AD1133="EUR",((T1133-R1133)*Y1133)*U1133+(R1133*Y1133),(T1133*Y1133))</f>
        <v>0</v>
      </c>
      <c r="AC1133" s="37" t="b">
        <v>1</v>
      </c>
      <c r="AD1133" s="37" t="s">
        <v>38</v>
      </c>
      <c r="AE1133" s="37" t="s">
        <v>38</v>
      </c>
      <c r="AF1133" s="37" t="str">
        <f t="array" ref="AF1133">INDEX('Deal Info'!D:D, MATCH(A1133,'Deal Info'!A:A, 0))</f>
        <v>SF</v>
      </c>
      <c r="AG1133" s="38" t="str">
        <f t="array" ref="AG1133">INDEX('Deal Info'!G:G, MATCH(A1133,'Deal Info'!A:A, 0))</f>
        <v>None</v>
      </c>
    </row>
    <row r="1134" spans="1:33" ht="14.25" hidden="1" x14ac:dyDescent="0.2">
      <c r="A1134" s="18" t="str">
        <f t="array" ref="A1134">IF(G1134='Room Info'!$B$1, INDEX('Room Info'!$A$2:$A2446, MATCH(B1134,'Room Info'!$B$2:$B2446, 0)),IF(G1134='Room Info'!$C$1, INDEX('Room Info'!$A$2:$A2446, MATCH(B1134,'Room Info'!$C$2:$C2446, 0)),IF(G1134='Room Info'!$D$1, INDEX('Room Info'!$A$2:$A2446, MATCH(B1134,'Room Info'!$D$2:$D2446, 0)),IF(G1134='Room Info'!$E$1, INDEX('Room Info'!$A$2:$A2446, MATCH(B1134,'Room Info'!$E$2:$E2446, 0)),IF(G1134='Room Info'!$F$1, INDEX('Room Info'!$A$2:$A2446, MATCH(B1134,'Room Info'!$F$2:$F2446, 0)),IF(G1134='Room Info'!$H$1, INDEX('Room Info'!$A$2:$A2446, MATCH(B1134,'Room Info'!$H$2:$H2446, 0)),IF(G1134='Room Info'!$G$1, INDEX('Room Info'!$A$2:$A2446, MATCH(B1134,'Room Info'!$G$2:$G2446, 0)))))))))</f>
        <v>overplayKK</v>
      </c>
      <c r="B1134" s="45" t="s">
        <v>194</v>
      </c>
      <c r="C1134" s="46">
        <v>44916</v>
      </c>
      <c r="D1134" s="46">
        <v>44946</v>
      </c>
      <c r="E1134" s="47">
        <v>44927</v>
      </c>
      <c r="F1134" s="48" t="s">
        <v>34</v>
      </c>
      <c r="G1134" s="54" t="s">
        <v>80</v>
      </c>
      <c r="H1134" s="49" t="s">
        <v>40</v>
      </c>
      <c r="I1134" s="49" t="s">
        <v>81</v>
      </c>
      <c r="J1134" s="50">
        <v>10</v>
      </c>
      <c r="K1134" s="51">
        <v>5906</v>
      </c>
      <c r="L1134" s="52">
        <v>-1720</v>
      </c>
      <c r="M1134" s="53">
        <v>2660</v>
      </c>
      <c r="N1134" s="28">
        <f>K1134*J1134</f>
        <v>59060</v>
      </c>
      <c r="O1134" s="54">
        <v>116716</v>
      </c>
      <c r="P1134" s="29">
        <v>19.762275649999999</v>
      </c>
      <c r="Q1134" s="55"/>
      <c r="R1134" s="31">
        <f>M1134+Q1134</f>
        <v>2660</v>
      </c>
      <c r="S1134" s="56">
        <v>-860</v>
      </c>
      <c r="T1134" s="32">
        <f>R1134+S1134+IF(F1134="Without EV deal",L1134,0)</f>
        <v>1800</v>
      </c>
      <c r="U1134" s="57">
        <v>1</v>
      </c>
      <c r="V1134" s="58"/>
      <c r="W1134" s="58"/>
      <c r="X1134" s="78">
        <v>0.22</v>
      </c>
      <c r="Y1134" s="30">
        <f>IF(AG1134="None",0,IF(AG1134="Fix5",0.05, IF(AG1134="Fix6.25",0.0625,IF(AG1134="Fix3.75",0.0375,IF(AG1134="Fix10",0.1,IF(AG1134="Fix3",0.03,0))))))</f>
        <v>0</v>
      </c>
      <c r="Z1134" s="35">
        <f>T1134-AA1134-AB1134</f>
        <v>1404</v>
      </c>
      <c r="AA1134" s="29">
        <f>IF(AD1134="EUR",((T1134-R1134)*X1134)*U1134+(R1134*X1134),(T1134*X1134))</f>
        <v>396</v>
      </c>
      <c r="AB1134" s="36">
        <f>IF(AD1134="EUR",((T1134-R1134)*Y1134)*U1134+(R1134*Y1134),(T1134*Y1134))</f>
        <v>0</v>
      </c>
      <c r="AC1134" s="37" t="b">
        <v>1</v>
      </c>
      <c r="AD1134" s="37" t="s">
        <v>38</v>
      </c>
      <c r="AE1134" s="37" t="s">
        <v>38</v>
      </c>
      <c r="AF1134" s="37" t="str">
        <f t="array" ref="AF1134">INDEX('Deal Info'!D:D, MATCH(A1134,'Deal Info'!A:A, 0))</f>
        <v>SF</v>
      </c>
      <c r="AG1134" s="38" t="str">
        <f t="array" ref="AG1134">INDEX('Deal Info'!G:G, MATCH(A1134,'Deal Info'!A:A, 0))</f>
        <v>None</v>
      </c>
    </row>
    <row r="1135" spans="1:33" ht="14.25" hidden="1" x14ac:dyDescent="0.2">
      <c r="A1135" s="18" t="str">
        <f t="array" ref="A1135">IF(G1135='Room Info'!$B$1, INDEX('Room Info'!$A$2:$A2446, MATCH(B1135,'Room Info'!$B$2:$B2446, 0)),IF(G1135='Room Info'!$C$1, INDEX('Room Info'!$A$2:$A2446, MATCH(B1135,'Room Info'!$C$2:$C2446, 0)),IF(G1135='Room Info'!$D$1, INDEX('Room Info'!$A$2:$A2446, MATCH(B1135,'Room Info'!$D$2:$D2446, 0)),IF(G1135='Room Info'!$E$1, INDEX('Room Info'!$A$2:$A2446, MATCH(B1135,'Room Info'!$E$2:$E2446, 0)),IF(G1135='Room Info'!$F$1, INDEX('Room Info'!$A$2:$A2446, MATCH(B1135,'Room Info'!$F$2:$F2446, 0)),IF(G1135='Room Info'!$H$1, INDEX('Room Info'!$A$2:$A2446, MATCH(B1135,'Room Info'!$H$2:$H2446, 0)),IF(G1135='Room Info'!$G$1, INDEX('Room Info'!$A$2:$A2446, MATCH(B1135,'Room Info'!$G$2:$G2446, 0)))))))))</f>
        <v>overplayKK</v>
      </c>
      <c r="B1135" s="45" t="s">
        <v>194</v>
      </c>
      <c r="C1135" s="46">
        <v>44916</v>
      </c>
      <c r="D1135" s="46">
        <v>44946</v>
      </c>
      <c r="E1135" s="47">
        <v>44927</v>
      </c>
      <c r="F1135" s="48" t="s">
        <v>34</v>
      </c>
      <c r="G1135" s="54" t="s">
        <v>80</v>
      </c>
      <c r="H1135" s="49" t="s">
        <v>71</v>
      </c>
      <c r="I1135" s="49" t="s">
        <v>81</v>
      </c>
      <c r="J1135" s="50">
        <v>20</v>
      </c>
      <c r="K1135" s="51">
        <v>5</v>
      </c>
      <c r="L1135" s="52">
        <v>40</v>
      </c>
      <c r="M1135" s="53">
        <v>7</v>
      </c>
      <c r="N1135" s="28">
        <f>K1135*J1135</f>
        <v>100</v>
      </c>
      <c r="O1135" s="54">
        <v>691</v>
      </c>
      <c r="P1135" s="29">
        <v>138.19999999999999</v>
      </c>
      <c r="Q1135" s="55"/>
      <c r="R1135" s="31">
        <f>M1135+Q1135</f>
        <v>7</v>
      </c>
      <c r="S1135" s="56">
        <v>33</v>
      </c>
      <c r="T1135" s="32">
        <f>R1135+S1135+IF(F1135="Without EV deal",L1135,0)</f>
        <v>40</v>
      </c>
      <c r="U1135" s="57">
        <v>1</v>
      </c>
      <c r="V1135" s="58"/>
      <c r="W1135" s="58"/>
      <c r="X1135" s="78">
        <v>0.22</v>
      </c>
      <c r="Y1135" s="30">
        <f>IF(AG1135="None",0,IF(AG1135="Fix5",0.05, IF(AG1135="Fix6.25",0.0625,IF(AG1135="Fix3.75",0.0375,IF(AG1135="Fix10",0.1,IF(AG1135="Fix3",0.03,0))))))</f>
        <v>0</v>
      </c>
      <c r="Z1135" s="35">
        <f>T1135-AA1135-AB1135</f>
        <v>31.2</v>
      </c>
      <c r="AA1135" s="29">
        <f>IF(AD1135="EUR",((T1135-R1135)*X1135)*U1135+(R1135*X1135),(T1135*X1135))</f>
        <v>8.8000000000000007</v>
      </c>
      <c r="AB1135" s="36">
        <f>IF(AD1135="EUR",((T1135-R1135)*Y1135)*U1135+(R1135*Y1135),(T1135*Y1135))</f>
        <v>0</v>
      </c>
      <c r="AC1135" s="37" t="b">
        <v>1</v>
      </c>
      <c r="AD1135" s="37" t="s">
        <v>38</v>
      </c>
      <c r="AE1135" s="37" t="s">
        <v>38</v>
      </c>
      <c r="AF1135" s="37" t="str">
        <f t="array" ref="AF1135">INDEX('Deal Info'!D:D, MATCH(A1135,'Deal Info'!A:A, 0))</f>
        <v>SF</v>
      </c>
      <c r="AG1135" s="38" t="str">
        <f t="array" ref="AG1135">INDEX('Deal Info'!G:G, MATCH(A1135,'Deal Info'!A:A, 0))</f>
        <v>None</v>
      </c>
    </row>
    <row r="1136" spans="1:33" ht="14.25" hidden="1" x14ac:dyDescent="0.2">
      <c r="A1136" s="18" t="str">
        <f t="array" ref="A1136">IF(G1136='Room Info'!$B$1, INDEX('Room Info'!$A$2:$A2446, MATCH(B1136,'Room Info'!$B$2:$B2446, 0)),IF(G1136='Room Info'!$C$1, INDEX('Room Info'!$A$2:$A2446, MATCH(B1136,'Room Info'!$C$2:$C2446, 0)),IF(G1136='Room Info'!$D$1, INDEX('Room Info'!$A$2:$A2446, MATCH(B1136,'Room Info'!$D$2:$D2446, 0)),IF(G1136='Room Info'!$E$1, INDEX('Room Info'!$A$2:$A2446, MATCH(B1136,'Room Info'!$E$2:$E2446, 0)),IF(G1136='Room Info'!$F$1, INDEX('Room Info'!$A$2:$A2446, MATCH(B1136,'Room Info'!$F$2:$F2446, 0)),IF(G1136='Room Info'!$H$1, INDEX('Room Info'!$A$2:$A2446, MATCH(B1136,'Room Info'!$H$2:$H2446, 0)),IF(G1136='Room Info'!$G$1, INDEX('Room Info'!$A$2:$A2446, MATCH(B1136,'Room Info'!$G$2:$G2446, 0)))))))))</f>
        <v>QQcheliQ</v>
      </c>
      <c r="B1136" s="45" t="s">
        <v>195</v>
      </c>
      <c r="C1136" s="77">
        <v>44632</v>
      </c>
      <c r="D1136" s="46">
        <v>44640</v>
      </c>
      <c r="E1136" s="47">
        <v>44621</v>
      </c>
      <c r="F1136" s="48" t="s">
        <v>34</v>
      </c>
      <c r="G1136" s="45" t="s">
        <v>35</v>
      </c>
      <c r="H1136" s="49" t="s">
        <v>40</v>
      </c>
      <c r="I1136" s="49" t="s">
        <v>37</v>
      </c>
      <c r="J1136" s="50">
        <v>10</v>
      </c>
      <c r="K1136" s="51">
        <v>404</v>
      </c>
      <c r="L1136" s="52">
        <v>500</v>
      </c>
      <c r="M1136" s="53">
        <v>45</v>
      </c>
      <c r="N1136" s="28">
        <f>K1136*J1136</f>
        <v>4040</v>
      </c>
      <c r="O1136" s="54">
        <v>27472</v>
      </c>
      <c r="P1136" s="29">
        <v>68</v>
      </c>
      <c r="Q1136" s="55"/>
      <c r="R1136" s="31">
        <f>M1136+Q1136</f>
        <v>45</v>
      </c>
      <c r="S1136" s="56">
        <v>202</v>
      </c>
      <c r="T1136" s="32">
        <f>R1136+S1136+IF(F1136="Without EV deal",L1136,0)</f>
        <v>247</v>
      </c>
      <c r="U1136" s="57">
        <v>1</v>
      </c>
      <c r="V1136" s="58"/>
      <c r="W1136" s="58"/>
      <c r="X1136" s="78">
        <v>0.23</v>
      </c>
      <c r="Y1136" s="30">
        <f>IF(AG1136="None",0,IF(AG1136="Fix5",0.05, IF(AG1136="Fix6.25",0.0625,IF(AG1136="Fix3.75",0.0375,IF(AG1136="Fix10",0.1,IF(AG1136="Fix3",0.03,0))))))</f>
        <v>0</v>
      </c>
      <c r="Z1136" s="35">
        <f>T1136-AA1136-AB1136</f>
        <v>190</v>
      </c>
      <c r="AA1136" s="60">
        <v>57</v>
      </c>
      <c r="AB1136" s="36">
        <f>IF(AD1136="EUR",((T1136-R1136)*Y1136)*U1136+(R1136*Y1136),(T1136*Y1136))</f>
        <v>0</v>
      </c>
      <c r="AC1136" s="37" t="b">
        <v>1</v>
      </c>
      <c r="AD1136" s="37" t="s">
        <v>38</v>
      </c>
      <c r="AE1136" s="37" t="s">
        <v>38</v>
      </c>
      <c r="AF1136" s="37" t="str">
        <f t="array" ref="AF1136">INDEX('Deal Info'!D:D, MATCH(A1136,'Deal Info'!A:A, 0))</f>
        <v>DoEV</v>
      </c>
      <c r="AG1136" s="38" t="str">
        <f t="array" ref="AG1136">INDEX('Deal Info'!G:G, MATCH(A1136,'Deal Info'!A:A, 0))</f>
        <v>None</v>
      </c>
    </row>
    <row r="1137" spans="1:33" ht="14.25" hidden="1" x14ac:dyDescent="0.2">
      <c r="A1137" s="18" t="str">
        <f t="array" ref="A1137">IF(G1137='Room Info'!$B$1, INDEX('Room Info'!$A$2:$A2446, MATCH(B1137,'Room Info'!$B$2:$B2446, 0)),IF(G1137='Room Info'!$C$1, INDEX('Room Info'!$A$2:$A2446, MATCH(B1137,'Room Info'!$C$2:$C2446, 0)),IF(G1137='Room Info'!$D$1, INDEX('Room Info'!$A$2:$A2446, MATCH(B1137,'Room Info'!$D$2:$D2446, 0)),IF(G1137='Room Info'!$E$1, INDEX('Room Info'!$A$2:$A2446, MATCH(B1137,'Room Info'!$E$2:$E2446, 0)),IF(G1137='Room Info'!$F$1, INDEX('Room Info'!$A$2:$A2446, MATCH(B1137,'Room Info'!$F$2:$F2446, 0)),IF(G1137='Room Info'!$H$1, INDEX('Room Info'!$A$2:$A2446, MATCH(B1137,'Room Info'!$H$2:$H2446, 0)),IF(G1137='Room Info'!$G$1, INDEX('Room Info'!$A$2:$A2446, MATCH(B1137,'Room Info'!$G$2:$G2446, 0)))))))))</f>
        <v>QQcheliQ</v>
      </c>
      <c r="B1137" s="45" t="s">
        <v>195</v>
      </c>
      <c r="C1137" s="46">
        <v>44641</v>
      </c>
      <c r="D1137" s="46">
        <v>44671</v>
      </c>
      <c r="E1137" s="47">
        <v>44652</v>
      </c>
      <c r="F1137" s="48" t="s">
        <v>34</v>
      </c>
      <c r="G1137" s="45" t="s">
        <v>35</v>
      </c>
      <c r="H1137" s="49" t="s">
        <v>40</v>
      </c>
      <c r="I1137" s="49" t="s">
        <v>37</v>
      </c>
      <c r="J1137" s="50">
        <v>10</v>
      </c>
      <c r="K1137" s="51">
        <v>1932</v>
      </c>
      <c r="L1137" s="52">
        <v>460</v>
      </c>
      <c r="M1137" s="53">
        <v>380</v>
      </c>
      <c r="N1137" s="28">
        <f>K1137*J1137</f>
        <v>19320</v>
      </c>
      <c r="O1137" s="54">
        <v>125504</v>
      </c>
      <c r="P1137" s="29">
        <v>64.960662529999993</v>
      </c>
      <c r="Q1137" s="55"/>
      <c r="R1137" s="31">
        <f>M1137+Q1137</f>
        <v>380</v>
      </c>
      <c r="S1137" s="56">
        <v>955</v>
      </c>
      <c r="T1137" s="32">
        <f>R1137+S1137+IF(F1137="Without EV deal",L1137,0)</f>
        <v>1335</v>
      </c>
      <c r="U1137" s="57">
        <v>1</v>
      </c>
      <c r="V1137" s="58"/>
      <c r="W1137" s="58"/>
      <c r="X1137" s="78">
        <v>0.23</v>
      </c>
      <c r="Y1137" s="30">
        <f>IF(AG1137="None",0,IF(AG1137="Fix5",0.05, IF(AG1137="Fix6.25",0.0625,IF(AG1137="Fix3.75",0.0375,IF(AG1137="Fix10",0.1,IF(AG1137="Fix3",0.03,0))))))</f>
        <v>0</v>
      </c>
      <c r="Z1137" s="35">
        <f>T1137-AA1137-AB1137</f>
        <v>1028</v>
      </c>
      <c r="AA1137" s="60">
        <v>307</v>
      </c>
      <c r="AB1137" s="36">
        <f>IF(AD1137="EUR",((T1137-R1137)*Y1137)*U1137+(R1137*Y1137),(T1137*Y1137))</f>
        <v>0</v>
      </c>
      <c r="AC1137" s="37" t="b">
        <v>1</v>
      </c>
      <c r="AD1137" s="37" t="s">
        <v>38</v>
      </c>
      <c r="AE1137" s="37" t="s">
        <v>38</v>
      </c>
      <c r="AF1137" s="37" t="str">
        <f t="array" ref="AF1137">INDEX('Deal Info'!D:D, MATCH(A1137,'Deal Info'!A:A, 0))</f>
        <v>DoEV</v>
      </c>
      <c r="AG1137" s="38" t="str">
        <f t="array" ref="AG1137">INDEX('Deal Info'!G:G, MATCH(A1137,'Deal Info'!A:A, 0))</f>
        <v>None</v>
      </c>
    </row>
    <row r="1138" spans="1:33" ht="14.25" hidden="1" x14ac:dyDescent="0.2">
      <c r="A1138" s="18" t="str">
        <f t="array" ref="A1138">IF(G1138='Room Info'!$B$1, INDEX('Room Info'!$A$2:$A2446, MATCH(B1138,'Room Info'!$B$2:$B2446, 0)),IF(G1138='Room Info'!$C$1, INDEX('Room Info'!$A$2:$A2446, MATCH(B1138,'Room Info'!$C$2:$C2446, 0)),IF(G1138='Room Info'!$D$1, INDEX('Room Info'!$A$2:$A2446, MATCH(B1138,'Room Info'!$D$2:$D2446, 0)),IF(G1138='Room Info'!$E$1, INDEX('Room Info'!$A$2:$A2446, MATCH(B1138,'Room Info'!$E$2:$E2446, 0)),IF(G1138='Room Info'!$F$1, INDEX('Room Info'!$A$2:$A2446, MATCH(B1138,'Room Info'!$F$2:$F2446, 0)),IF(G1138='Room Info'!$H$1, INDEX('Room Info'!$A$2:$A2446, MATCH(B1138,'Room Info'!$H$2:$H2446, 0)),IF(G1138='Room Info'!$G$1, INDEX('Room Info'!$A$2:$A2446, MATCH(B1138,'Room Info'!$G$2:$G2446, 0)))))))))</f>
        <v>QQcheliQ</v>
      </c>
      <c r="B1138" s="45" t="s">
        <v>195</v>
      </c>
      <c r="C1138" s="46">
        <v>44641</v>
      </c>
      <c r="D1138" s="46">
        <v>44671</v>
      </c>
      <c r="E1138" s="47">
        <v>44652</v>
      </c>
      <c r="F1138" s="48" t="s">
        <v>34</v>
      </c>
      <c r="G1138" s="45" t="s">
        <v>35</v>
      </c>
      <c r="H1138" s="49" t="s">
        <v>46</v>
      </c>
      <c r="I1138" s="49" t="s">
        <v>37</v>
      </c>
      <c r="J1138" s="50">
        <v>25</v>
      </c>
      <c r="K1138" s="51">
        <v>250</v>
      </c>
      <c r="L1138" s="52">
        <v>-775</v>
      </c>
      <c r="M1138" s="53">
        <v>105</v>
      </c>
      <c r="N1138" s="28">
        <f>K1138*J1138</f>
        <v>6250</v>
      </c>
      <c r="O1138" s="54">
        <v>217</v>
      </c>
      <c r="P1138" s="29">
        <v>0.86799999999999999</v>
      </c>
      <c r="Q1138" s="55"/>
      <c r="R1138" s="31">
        <f>M1138+Q1138</f>
        <v>105</v>
      </c>
      <c r="S1138" s="56">
        <v>-366</v>
      </c>
      <c r="T1138" s="32">
        <f>R1138+S1138+IF(F1138="Without EV deal",L1138,0)</f>
        <v>-261</v>
      </c>
      <c r="U1138" s="57">
        <v>1</v>
      </c>
      <c r="V1138" s="58"/>
      <c r="W1138" s="58"/>
      <c r="X1138" s="78">
        <v>0.23</v>
      </c>
      <c r="Y1138" s="30">
        <f>IF(AG1138="None",0,IF(AG1138="Fix5",0.05, IF(AG1138="Fix6.25",0.0625,IF(AG1138="Fix3.75",0.0375,IF(AG1138="Fix10",0.1,IF(AG1138="Fix3",0.03,0))))))</f>
        <v>0</v>
      </c>
      <c r="Z1138" s="35">
        <f>T1138-AA1138-AB1138</f>
        <v>-201</v>
      </c>
      <c r="AA1138" s="60">
        <v>-60</v>
      </c>
      <c r="AB1138" s="36">
        <f>IF(AD1138="EUR",((T1138-R1138)*Y1138)*U1138+(R1138*Y1138),(T1138*Y1138))</f>
        <v>0</v>
      </c>
      <c r="AC1138" s="37" t="b">
        <v>1</v>
      </c>
      <c r="AD1138" s="37" t="s">
        <v>38</v>
      </c>
      <c r="AE1138" s="37" t="s">
        <v>38</v>
      </c>
      <c r="AF1138" s="37" t="str">
        <f t="array" ref="AF1138">INDEX('Deal Info'!D:D, MATCH(A1138,'Deal Info'!A:A, 0))</f>
        <v>DoEV</v>
      </c>
      <c r="AG1138" s="38" t="str">
        <f t="array" ref="AG1138">INDEX('Deal Info'!G:G, MATCH(A1138,'Deal Info'!A:A, 0))</f>
        <v>None</v>
      </c>
    </row>
    <row r="1139" spans="1:33" ht="14.25" hidden="1" x14ac:dyDescent="0.2">
      <c r="A1139" s="18" t="str">
        <f t="array" ref="A1139">IF(G1139='Room Info'!$B$1, INDEX('Room Info'!$A$2:$A2446, MATCH(B1139,'Room Info'!$B$2:$B2446, 0)),IF(G1139='Room Info'!$C$1, INDEX('Room Info'!$A$2:$A2446, MATCH(B1139,'Room Info'!$C$2:$C2446, 0)),IF(G1139='Room Info'!$D$1, INDEX('Room Info'!$A$2:$A2446, MATCH(B1139,'Room Info'!$D$2:$D2446, 0)),IF(G1139='Room Info'!$E$1, INDEX('Room Info'!$A$2:$A2446, MATCH(B1139,'Room Info'!$E$2:$E2446, 0)),IF(G1139='Room Info'!$F$1, INDEX('Room Info'!$A$2:$A2446, MATCH(B1139,'Room Info'!$F$2:$F2446, 0)),IF(G1139='Room Info'!$H$1, INDEX('Room Info'!$A$2:$A2446, MATCH(B1139,'Room Info'!$H$2:$H2446, 0)),IF(G1139='Room Info'!$G$1, INDEX('Room Info'!$A$2:$A2446, MATCH(B1139,'Room Info'!$G$2:$G2446, 0)))))))))</f>
        <v>QQcheliQ</v>
      </c>
      <c r="B1139" s="54" t="s">
        <v>195</v>
      </c>
      <c r="C1139" s="46">
        <v>44672</v>
      </c>
      <c r="D1139" s="46">
        <v>44701</v>
      </c>
      <c r="E1139" s="47">
        <v>44682</v>
      </c>
      <c r="F1139" s="45" t="s">
        <v>34</v>
      </c>
      <c r="G1139" s="54" t="s">
        <v>35</v>
      </c>
      <c r="H1139" s="49" t="s">
        <v>40</v>
      </c>
      <c r="I1139" s="49" t="s">
        <v>37</v>
      </c>
      <c r="J1139" s="74">
        <v>10</v>
      </c>
      <c r="K1139" s="75">
        <v>164</v>
      </c>
      <c r="L1139" s="72">
        <v>460</v>
      </c>
      <c r="M1139" s="53">
        <v>28</v>
      </c>
      <c r="N1139" s="28">
        <f>K1139*J1139</f>
        <v>1640</v>
      </c>
      <c r="O1139" s="45">
        <v>17179</v>
      </c>
      <c r="P1139" s="29">
        <v>104.75</v>
      </c>
      <c r="Q1139" s="55"/>
      <c r="R1139" s="31">
        <f>M1139+Q1139</f>
        <v>28</v>
      </c>
      <c r="S1139" s="73">
        <v>195</v>
      </c>
      <c r="T1139" s="32">
        <f>R1139+S1139+IF(F1139="Without EV deal",L1139,0)</f>
        <v>223</v>
      </c>
      <c r="U1139" s="57">
        <v>1</v>
      </c>
      <c r="V1139" s="58"/>
      <c r="W1139" s="58"/>
      <c r="X1139" s="78">
        <v>0.3</v>
      </c>
      <c r="Y1139" s="30">
        <f>IF(AG1139="None",0,IF(AG1139="Fix5",0.05, IF(AG1139="Fix6.25",0.0625,IF(AG1139="Fix3.75",0.0375,IF(AG1139="Fix10",0.1,IF(AG1139="Fix3",0.03,0))))))</f>
        <v>0</v>
      </c>
      <c r="Z1139" s="35">
        <f>T1139-AA1139-AB1139</f>
        <v>156</v>
      </c>
      <c r="AA1139" s="60">
        <v>67</v>
      </c>
      <c r="AB1139" s="36">
        <f>IF(AD1139="EUR",((T1139-R1139)*Y1139)*U1139+(R1139*Y1139),(T1139*Y1139))</f>
        <v>0</v>
      </c>
      <c r="AC1139" s="37" t="b">
        <v>1</v>
      </c>
      <c r="AD1139" s="37" t="s">
        <v>38</v>
      </c>
      <c r="AE1139" s="37" t="s">
        <v>38</v>
      </c>
      <c r="AF1139" s="37" t="str">
        <f t="array" ref="AF1139">INDEX('Deal Info'!D:D, MATCH(A1139,'Deal Info'!A:A, 0))</f>
        <v>DoEV</v>
      </c>
      <c r="AG1139" s="38" t="str">
        <f t="array" ref="AG1139">INDEX('Deal Info'!G:G, MATCH(A1139,'Deal Info'!A:A, 0))</f>
        <v>None</v>
      </c>
    </row>
    <row r="1140" spans="1:33" ht="14.25" hidden="1" x14ac:dyDescent="0.2">
      <c r="A1140" s="18" t="str">
        <f t="array" ref="A1140">IF(G1140='Room Info'!$B$1, INDEX('Room Info'!$A$2:$A2446, MATCH(B1140,'Room Info'!$B$2:$B2446, 0)),IF(G1140='Room Info'!$C$1, INDEX('Room Info'!$A$2:$A2446, MATCH(B1140,'Room Info'!$C$2:$C2446, 0)),IF(G1140='Room Info'!$D$1, INDEX('Room Info'!$A$2:$A2446, MATCH(B1140,'Room Info'!$D$2:$D2446, 0)),IF(G1140='Room Info'!$E$1, INDEX('Room Info'!$A$2:$A2446, MATCH(B1140,'Room Info'!$E$2:$E2446, 0)),IF(G1140='Room Info'!$F$1, INDEX('Room Info'!$A$2:$A2446, MATCH(B1140,'Room Info'!$F$2:$F2446, 0)),IF(G1140='Room Info'!$H$1, INDEX('Room Info'!$A$2:$A2446, MATCH(B1140,'Room Info'!$H$2:$H2446, 0)),IF(G1140='Room Info'!$G$1, INDEX('Room Info'!$A$2:$A2446, MATCH(B1140,'Room Info'!$G$2:$G2446, 0)))))))))</f>
        <v>QQcheliQ</v>
      </c>
      <c r="B1140" s="54" t="s">
        <v>196</v>
      </c>
      <c r="C1140" s="46">
        <v>44682</v>
      </c>
      <c r="D1140" s="46">
        <v>44712</v>
      </c>
      <c r="E1140" s="47">
        <v>44682</v>
      </c>
      <c r="F1140" s="45" t="s">
        <v>34</v>
      </c>
      <c r="G1140" s="54" t="s">
        <v>69</v>
      </c>
      <c r="H1140" s="49" t="s">
        <v>71</v>
      </c>
      <c r="I1140" s="49" t="s">
        <v>37</v>
      </c>
      <c r="J1140" s="74">
        <v>20</v>
      </c>
      <c r="K1140" s="75">
        <v>1467</v>
      </c>
      <c r="L1140" s="72">
        <v>120</v>
      </c>
      <c r="M1140" s="53">
        <v>1595</v>
      </c>
      <c r="N1140" s="28">
        <f>K1140*J1140</f>
        <v>29340</v>
      </c>
      <c r="O1140" s="45">
        <v>81147</v>
      </c>
      <c r="P1140" s="29">
        <v>55.314928430000002</v>
      </c>
      <c r="Q1140" s="55"/>
      <c r="R1140" s="31">
        <f>M1140+Q1140</f>
        <v>1595</v>
      </c>
      <c r="S1140" s="73">
        <v>1210</v>
      </c>
      <c r="T1140" s="32">
        <f>R1140+S1140+IF(F1140="Without EV deal",L1140,0)</f>
        <v>2805</v>
      </c>
      <c r="U1140" s="57">
        <v>1</v>
      </c>
      <c r="V1140" s="58"/>
      <c r="W1140" s="58"/>
      <c r="X1140" s="78">
        <v>0.17</v>
      </c>
      <c r="Y1140" s="30">
        <f>IF(AG1140="None",0,IF(AG1140="Fix5",0.05, IF(AG1140="Fix6.25",0.0625,IF(AG1140="Fix3.75",0.0375,IF(AG1140="Fix10",0.1,IF(AG1140="Fix3",0.03,0))))))</f>
        <v>0</v>
      </c>
      <c r="Z1140" s="35">
        <f>T1140-AA1140-AB1140</f>
        <v>2328</v>
      </c>
      <c r="AA1140" s="60">
        <v>477</v>
      </c>
      <c r="AB1140" s="36">
        <f>IF(AD1140="EUR",((T1140-R1140)*Y1140)*U1140+(R1140*Y1140),(T1140*Y1140))</f>
        <v>0</v>
      </c>
      <c r="AC1140" s="37" t="b">
        <v>1</v>
      </c>
      <c r="AD1140" s="37" t="s">
        <v>38</v>
      </c>
      <c r="AE1140" s="37" t="s">
        <v>38</v>
      </c>
      <c r="AF1140" s="37" t="str">
        <f t="array" ref="AF1140">INDEX('Deal Info'!D:D, MATCH(A1140,'Deal Info'!A:A, 0))</f>
        <v>DoEV</v>
      </c>
      <c r="AG1140" s="38" t="str">
        <f t="array" ref="AG1140">INDEX('Deal Info'!G:G, MATCH(A1140,'Deal Info'!A:A, 0))</f>
        <v>None</v>
      </c>
    </row>
    <row r="1141" spans="1:33" ht="14.25" hidden="1" x14ac:dyDescent="0.2">
      <c r="A1141" s="18" t="str">
        <f t="array" ref="A1141">IF(G1141='Room Info'!$B$1, INDEX('Room Info'!$A$2:$A2446, MATCH(B1141,'Room Info'!$B$2:$B2446, 0)),IF(G1141='Room Info'!$C$1, INDEX('Room Info'!$A$2:$A2446, MATCH(B1141,'Room Info'!$C$2:$C2446, 0)),IF(G1141='Room Info'!$D$1, INDEX('Room Info'!$A$2:$A2446, MATCH(B1141,'Room Info'!$D$2:$D2446, 0)),IF(G1141='Room Info'!$E$1, INDEX('Room Info'!$A$2:$A2446, MATCH(B1141,'Room Info'!$E$2:$E2446, 0)),IF(G1141='Room Info'!$F$1, INDEX('Room Info'!$A$2:$A2446, MATCH(B1141,'Room Info'!$F$2:$F2446, 0)),IF(G1141='Room Info'!$H$1, INDEX('Room Info'!$A$2:$A2446, MATCH(B1141,'Room Info'!$H$2:$H2446, 0)),IF(G1141='Room Info'!$G$1, INDEX('Room Info'!$A$2:$A2446, MATCH(B1141,'Room Info'!$G$2:$G2446, 0)))))))))</f>
        <v>QQcheliQ</v>
      </c>
      <c r="B1141" s="45" t="s">
        <v>196</v>
      </c>
      <c r="C1141" s="99">
        <v>44682</v>
      </c>
      <c r="D1141" s="99">
        <v>44712</v>
      </c>
      <c r="E1141" s="47">
        <v>44682</v>
      </c>
      <c r="F1141" s="45" t="s">
        <v>41</v>
      </c>
      <c r="G1141" s="45" t="s">
        <v>69</v>
      </c>
      <c r="H1141" s="49" t="s">
        <v>197</v>
      </c>
      <c r="I1141" s="49" t="s">
        <v>74</v>
      </c>
      <c r="J1141" s="74">
        <v>3</v>
      </c>
      <c r="K1141" s="75">
        <v>3</v>
      </c>
      <c r="L1141" s="72">
        <v>21</v>
      </c>
      <c r="M1141" s="76">
        <v>0</v>
      </c>
      <c r="N1141" s="28">
        <f>K1141*J1141</f>
        <v>9</v>
      </c>
      <c r="O1141" s="96"/>
      <c r="P1141" s="29">
        <v>0</v>
      </c>
      <c r="Q1141" s="55"/>
      <c r="R1141" s="31">
        <f>M1141+Q1141</f>
        <v>0</v>
      </c>
      <c r="S1141" s="97"/>
      <c r="T1141" s="32">
        <f>R1141+S1141+IF(F1141="Without EV deal",L1141,0)</f>
        <v>21</v>
      </c>
      <c r="U1141" s="57">
        <v>1</v>
      </c>
      <c r="V1141" s="58"/>
      <c r="W1141" s="58"/>
      <c r="X1141" s="78">
        <v>0.17</v>
      </c>
      <c r="Y1141" s="30">
        <f>IF(AG1141="None",0,IF(AG1141="Fix5",0.05, IF(AG1141="Fix6.25",0.0625,IF(AG1141="Fix3.75",0.0375,IF(AG1141="Fix10",0.1,IF(AG1141="Fix3",0.03,0))))))</f>
        <v>0</v>
      </c>
      <c r="Z1141" s="35">
        <f>T1141-AA1141-AB1141</f>
        <v>17</v>
      </c>
      <c r="AA1141" s="60">
        <v>4</v>
      </c>
      <c r="AB1141" s="36">
        <f>IF(AD1141="EUR",((T1141-R1141)*Y1141)*U1141+(R1141*Y1141),(T1141*Y1141))</f>
        <v>0</v>
      </c>
      <c r="AC1141" s="37" t="b">
        <v>1</v>
      </c>
      <c r="AD1141" s="37" t="s">
        <v>38</v>
      </c>
      <c r="AE1141" s="37" t="s">
        <v>38</v>
      </c>
      <c r="AF1141" s="37" t="str">
        <f t="array" ref="AF1141">INDEX('Deal Info'!D:D, MATCH(A1141,'Deal Info'!A:A, 0))</f>
        <v>DoEV</v>
      </c>
      <c r="AG1141" s="38" t="str">
        <f t="array" ref="AG1141">INDEX('Deal Info'!G:G, MATCH(A1141,'Deal Info'!A:A, 0))</f>
        <v>None</v>
      </c>
    </row>
    <row r="1142" spans="1:33" ht="14.25" hidden="1" x14ac:dyDescent="0.2">
      <c r="A1142" s="18" t="str">
        <f t="array" ref="A1142">IF(G1142='Room Info'!$B$1, INDEX('Room Info'!$A$2:$A2446, MATCH(B1142,'Room Info'!$B$2:$B2446, 0)),IF(G1142='Room Info'!$C$1, INDEX('Room Info'!$A$2:$A2446, MATCH(B1142,'Room Info'!$C$2:$C2446, 0)),IF(G1142='Room Info'!$D$1, INDEX('Room Info'!$A$2:$A2446, MATCH(B1142,'Room Info'!$D$2:$D2446, 0)),IF(G1142='Room Info'!$E$1, INDEX('Room Info'!$A$2:$A2446, MATCH(B1142,'Room Info'!$E$2:$E2446, 0)),IF(G1142='Room Info'!$F$1, INDEX('Room Info'!$A$2:$A2446, MATCH(B1142,'Room Info'!$F$2:$F2446, 0)),IF(G1142='Room Info'!$H$1, INDEX('Room Info'!$A$2:$A2446, MATCH(B1142,'Room Info'!$H$2:$H2446, 0)),IF(G1142='Room Info'!$G$1, INDEX('Room Info'!$A$2:$A2446, MATCH(B1142,'Room Info'!$G$2:$G2446, 0)))))))))</f>
        <v>QQcheliQ</v>
      </c>
      <c r="B1142" s="45" t="s">
        <v>196</v>
      </c>
      <c r="C1142" s="99">
        <v>44682</v>
      </c>
      <c r="D1142" s="99">
        <v>44712</v>
      </c>
      <c r="E1142" s="47">
        <v>44682</v>
      </c>
      <c r="F1142" s="48" t="s">
        <v>41</v>
      </c>
      <c r="G1142" s="54" t="s">
        <v>69</v>
      </c>
      <c r="H1142" s="49" t="s">
        <v>39</v>
      </c>
      <c r="I1142" s="49" t="s">
        <v>37</v>
      </c>
      <c r="J1142" s="74">
        <v>5</v>
      </c>
      <c r="K1142" s="75">
        <v>1</v>
      </c>
      <c r="L1142" s="72">
        <v>0</v>
      </c>
      <c r="M1142" s="53">
        <v>0</v>
      </c>
      <c r="N1142" s="28">
        <f>K1142*J1142</f>
        <v>5</v>
      </c>
      <c r="O1142" s="96"/>
      <c r="P1142" s="29">
        <v>0</v>
      </c>
      <c r="Q1142" s="55"/>
      <c r="R1142" s="31">
        <f>M1142+Q1142</f>
        <v>0</v>
      </c>
      <c r="S1142" s="97"/>
      <c r="T1142" s="32">
        <f>R1142+S1142+IF(F1142="Without EV deal",L1142,0)</f>
        <v>0</v>
      </c>
      <c r="U1142" s="57">
        <v>1</v>
      </c>
      <c r="V1142" s="58"/>
      <c r="W1142" s="58"/>
      <c r="X1142" s="78">
        <v>0.17</v>
      </c>
      <c r="Y1142" s="30">
        <f>IF(AG1142="None",0,IF(AG1142="Fix5",0.05, IF(AG1142="Fix6.25",0.0625,IF(AG1142="Fix3.75",0.0375,IF(AG1142="Fix10",0.1,IF(AG1142="Fix3",0.03,0))))))</f>
        <v>0</v>
      </c>
      <c r="Z1142" s="35">
        <f>T1142-AA1142-AB1142</f>
        <v>0</v>
      </c>
      <c r="AA1142" s="60">
        <v>0</v>
      </c>
      <c r="AB1142" s="36">
        <f>IF(AD1142="EUR",((T1142-R1142)*Y1142)*U1142+(R1142*Y1142),(T1142*Y1142))</f>
        <v>0</v>
      </c>
      <c r="AC1142" s="37" t="b">
        <v>1</v>
      </c>
      <c r="AD1142" s="37" t="s">
        <v>38</v>
      </c>
      <c r="AE1142" s="37" t="s">
        <v>38</v>
      </c>
      <c r="AF1142" s="37" t="str">
        <f t="array" ref="AF1142">INDEX('Deal Info'!D:D, MATCH(A1142,'Deal Info'!A:A, 0))</f>
        <v>DoEV</v>
      </c>
      <c r="AG1142" s="38" t="str">
        <f t="array" ref="AG1142">INDEX('Deal Info'!G:G, MATCH(A1142,'Deal Info'!A:A, 0))</f>
        <v>None</v>
      </c>
    </row>
    <row r="1143" spans="1:33" ht="14.25" hidden="1" x14ac:dyDescent="0.2">
      <c r="A1143" s="18" t="str">
        <f t="array" ref="A1143">IF(G1143='Room Info'!$B$1, INDEX('Room Info'!$A$2:$A2446, MATCH(B1143,'Room Info'!$B$2:$B2446, 0)),IF(G1143='Room Info'!$C$1, INDEX('Room Info'!$A$2:$A2446, MATCH(B1143,'Room Info'!$C$2:$C2446, 0)),IF(G1143='Room Info'!$D$1, INDEX('Room Info'!$A$2:$A2446, MATCH(B1143,'Room Info'!$D$2:$D2446, 0)),IF(G1143='Room Info'!$E$1, INDEX('Room Info'!$A$2:$A2446, MATCH(B1143,'Room Info'!$E$2:$E2446, 0)),IF(G1143='Room Info'!$F$1, INDEX('Room Info'!$A$2:$A2446, MATCH(B1143,'Room Info'!$F$2:$F2446, 0)),IF(G1143='Room Info'!$H$1, INDEX('Room Info'!$A$2:$A2446, MATCH(B1143,'Room Info'!$H$2:$H2446, 0)),IF(G1143='Room Info'!$G$1, INDEX('Room Info'!$A$2:$A2446, MATCH(B1143,'Room Info'!$G$2:$G2446, 0)))))))))</f>
        <v>QQcheliQ</v>
      </c>
      <c r="B1143" s="45" t="s">
        <v>196</v>
      </c>
      <c r="C1143" s="99">
        <v>44682</v>
      </c>
      <c r="D1143" s="99">
        <v>44712</v>
      </c>
      <c r="E1143" s="47">
        <v>44682</v>
      </c>
      <c r="F1143" s="48" t="s">
        <v>41</v>
      </c>
      <c r="G1143" s="54" t="s">
        <v>69</v>
      </c>
      <c r="H1143" s="49" t="s">
        <v>72</v>
      </c>
      <c r="I1143" s="49" t="s">
        <v>37</v>
      </c>
      <c r="J1143" s="74">
        <v>50</v>
      </c>
      <c r="K1143" s="75">
        <v>56</v>
      </c>
      <c r="L1143" s="72">
        <v>-750</v>
      </c>
      <c r="M1143" s="53">
        <v>2</v>
      </c>
      <c r="N1143" s="28">
        <f>K1143*J1143</f>
        <v>2800</v>
      </c>
      <c r="O1143" s="96"/>
      <c r="P1143" s="29">
        <v>0</v>
      </c>
      <c r="Q1143" s="55"/>
      <c r="R1143" s="31">
        <f>M1143+Q1143</f>
        <v>2</v>
      </c>
      <c r="S1143" s="97"/>
      <c r="T1143" s="32">
        <f>R1143+S1143+IF(F1143="Without EV deal",L1143,0)</f>
        <v>-748</v>
      </c>
      <c r="U1143" s="57">
        <v>1</v>
      </c>
      <c r="V1143" s="58"/>
      <c r="W1143" s="58"/>
      <c r="X1143" s="78">
        <v>0.17</v>
      </c>
      <c r="Y1143" s="30">
        <f>IF(AG1143="None",0,IF(AG1143="Fix5",0.05, IF(AG1143="Fix6.25",0.0625,IF(AG1143="Fix3.75",0.0375,IF(AG1143="Fix10",0.1,IF(AG1143="Fix3",0.03,0))))))</f>
        <v>0</v>
      </c>
      <c r="Z1143" s="35">
        <f>T1143-AA1143-AB1143</f>
        <v>-621</v>
      </c>
      <c r="AA1143" s="60">
        <v>-127</v>
      </c>
      <c r="AB1143" s="36">
        <f>IF(AD1143="EUR",((T1143-R1143)*Y1143)*U1143+(R1143*Y1143),(T1143*Y1143))</f>
        <v>0</v>
      </c>
      <c r="AC1143" s="37" t="b">
        <v>1</v>
      </c>
      <c r="AD1143" s="37" t="s">
        <v>38</v>
      </c>
      <c r="AE1143" s="37" t="s">
        <v>38</v>
      </c>
      <c r="AF1143" s="37" t="str">
        <f t="array" ref="AF1143">INDEX('Deal Info'!D:D, MATCH(A1143,'Deal Info'!A:A, 0))</f>
        <v>DoEV</v>
      </c>
      <c r="AG1143" s="38" t="str">
        <f t="array" ref="AG1143">INDEX('Deal Info'!G:G, MATCH(A1143,'Deal Info'!A:A, 0))</f>
        <v>None</v>
      </c>
    </row>
    <row r="1144" spans="1:33" ht="14.25" hidden="1" x14ac:dyDescent="0.2">
      <c r="A1144" s="18" t="str">
        <f t="array" ref="A1144">IF(G1144='Room Info'!$B$1, INDEX('Room Info'!$A$2:$A2446, MATCH(B1144,'Room Info'!$B$2:$B2446, 0)),IF(G1144='Room Info'!$C$1, INDEX('Room Info'!$A$2:$A2446, MATCH(B1144,'Room Info'!$C$2:$C2446, 0)),IF(G1144='Room Info'!$D$1, INDEX('Room Info'!$A$2:$A2446, MATCH(B1144,'Room Info'!$D$2:$D2446, 0)),IF(G1144='Room Info'!$E$1, INDEX('Room Info'!$A$2:$A2446, MATCH(B1144,'Room Info'!$E$2:$E2446, 0)),IF(G1144='Room Info'!$F$1, INDEX('Room Info'!$A$2:$A2446, MATCH(B1144,'Room Info'!$F$2:$F2446, 0)),IF(G1144='Room Info'!$H$1, INDEX('Room Info'!$A$2:$A2446, MATCH(B1144,'Room Info'!$H$2:$H2446, 0)),IF(G1144='Room Info'!$G$1, INDEX('Room Info'!$A$2:$A2446, MATCH(B1144,'Room Info'!$G$2:$G2446, 0)))))))))</f>
        <v>QQcheliQ</v>
      </c>
      <c r="B1144" s="45" t="s">
        <v>195</v>
      </c>
      <c r="C1144" s="99">
        <v>44702</v>
      </c>
      <c r="D1144" s="99">
        <v>44732</v>
      </c>
      <c r="E1144" s="47">
        <v>44713</v>
      </c>
      <c r="F1144" s="48" t="s">
        <v>34</v>
      </c>
      <c r="G1144" s="54" t="s">
        <v>35</v>
      </c>
      <c r="H1144" s="49" t="s">
        <v>46</v>
      </c>
      <c r="I1144" s="49" t="s">
        <v>37</v>
      </c>
      <c r="J1144" s="74">
        <v>25</v>
      </c>
      <c r="K1144" s="75">
        <v>959</v>
      </c>
      <c r="L1144" s="72">
        <v>-375</v>
      </c>
      <c r="M1144" s="53">
        <v>380</v>
      </c>
      <c r="N1144" s="28">
        <f>K1144*J1144</f>
        <v>23975</v>
      </c>
      <c r="O1144" s="45">
        <v>44649</v>
      </c>
      <c r="P1144" s="29">
        <v>46.557872779999997</v>
      </c>
      <c r="Q1144" s="55"/>
      <c r="R1144" s="31">
        <f>M1144+Q1144</f>
        <v>380</v>
      </c>
      <c r="S1144" s="73">
        <v>577</v>
      </c>
      <c r="T1144" s="32">
        <f>R1144+S1144+IF(F1144="Without EV deal",L1144,0)</f>
        <v>957</v>
      </c>
      <c r="U1144" s="57">
        <v>1</v>
      </c>
      <c r="V1144" s="58"/>
      <c r="W1144" s="58"/>
      <c r="X1144" s="78">
        <v>0.17</v>
      </c>
      <c r="Y1144" s="30">
        <f>IF(AG1144="None",0,IF(AG1144="Fix5",0.05, IF(AG1144="Fix6.25",0.0625,IF(AG1144="Fix3.75",0.0375,IF(AG1144="Fix10",0.1,IF(AG1144="Fix3",0.03,0))))))</f>
        <v>0</v>
      </c>
      <c r="Z1144" s="35">
        <f>T1144-AA1144-AB1144</f>
        <v>794</v>
      </c>
      <c r="AA1144" s="60">
        <v>163</v>
      </c>
      <c r="AB1144" s="36">
        <f>IF(AD1144="EUR",((T1144-R1144)*Y1144)*U1144+(R1144*Y1144),(T1144*Y1144))</f>
        <v>0</v>
      </c>
      <c r="AC1144" s="37" t="b">
        <v>1</v>
      </c>
      <c r="AD1144" s="37" t="s">
        <v>38</v>
      </c>
      <c r="AE1144" s="37" t="s">
        <v>38</v>
      </c>
      <c r="AF1144" s="37" t="str">
        <f t="array" ref="AF1144">INDEX('Deal Info'!D:D, MATCH(A1144,'Deal Info'!A:A, 0))</f>
        <v>DoEV</v>
      </c>
      <c r="AG1144" s="38" t="str">
        <f t="array" ref="AG1144">INDEX('Deal Info'!G:G, MATCH(A1144,'Deal Info'!A:A, 0))</f>
        <v>None</v>
      </c>
    </row>
    <row r="1145" spans="1:33" ht="14.25" hidden="1" x14ac:dyDescent="0.2">
      <c r="A1145" s="18" t="str">
        <f t="array" ref="A1145">IF(G1145='Room Info'!$B$1, INDEX('Room Info'!$A$2:$A2446, MATCH(B1145,'Room Info'!$B$2:$B2446, 0)),IF(G1145='Room Info'!$C$1, INDEX('Room Info'!$A$2:$A2446, MATCH(B1145,'Room Info'!$C$2:$C2446, 0)),IF(G1145='Room Info'!$D$1, INDEX('Room Info'!$A$2:$A2446, MATCH(B1145,'Room Info'!$D$2:$D2446, 0)),IF(G1145='Room Info'!$E$1, INDEX('Room Info'!$A$2:$A2446, MATCH(B1145,'Room Info'!$E$2:$E2446, 0)),IF(G1145='Room Info'!$F$1, INDEX('Room Info'!$A$2:$A2446, MATCH(B1145,'Room Info'!$F$2:$F2446, 0)),IF(G1145='Room Info'!$H$1, INDEX('Room Info'!$A$2:$A2446, MATCH(B1145,'Room Info'!$H$2:$H2446, 0)),IF(G1145='Room Info'!$G$1, INDEX('Room Info'!$A$2:$A2446, MATCH(B1145,'Room Info'!$G$2:$G2446, 0)))))))))</f>
        <v>QQcheliQ</v>
      </c>
      <c r="B1145" s="45" t="s">
        <v>196</v>
      </c>
      <c r="C1145" s="46">
        <v>44713</v>
      </c>
      <c r="D1145" s="46">
        <v>44742</v>
      </c>
      <c r="E1145" s="47">
        <v>44713</v>
      </c>
      <c r="F1145" s="48" t="s">
        <v>41</v>
      </c>
      <c r="G1145" s="54" t="s">
        <v>69</v>
      </c>
      <c r="H1145" s="49" t="s">
        <v>40</v>
      </c>
      <c r="I1145" s="49" t="s">
        <v>37</v>
      </c>
      <c r="J1145" s="50">
        <v>10</v>
      </c>
      <c r="K1145" s="51">
        <v>2</v>
      </c>
      <c r="L1145" s="52">
        <v>100</v>
      </c>
      <c r="M1145" s="53">
        <v>74</v>
      </c>
      <c r="N1145" s="28">
        <f>K1145*J1145</f>
        <v>20</v>
      </c>
      <c r="O1145" s="54">
        <v>792</v>
      </c>
      <c r="P1145" s="29">
        <v>396</v>
      </c>
      <c r="Q1145" s="55"/>
      <c r="R1145" s="31">
        <f>M1145+Q1145</f>
        <v>74</v>
      </c>
      <c r="S1145" s="56"/>
      <c r="T1145" s="32">
        <f>R1145+S1145+IF(F1145="Without EV deal",L1145,0)</f>
        <v>174</v>
      </c>
      <c r="U1145" s="57">
        <v>1</v>
      </c>
      <c r="V1145" s="58"/>
      <c r="W1145" s="58"/>
      <c r="X1145" s="78">
        <v>0.3</v>
      </c>
      <c r="Y1145" s="30">
        <f>IF(AG1145="None",0,IF(AG1145="Fix5",0.05, IF(AG1145="Fix6.25",0.0625,IF(AG1145="Fix3.75",0.0375,IF(AG1145="Fix10",0.1,IF(AG1145="Fix3",0.03,0))))))</f>
        <v>0</v>
      </c>
      <c r="Z1145" s="35">
        <f>T1145-AA1145-AB1145</f>
        <v>122</v>
      </c>
      <c r="AA1145" s="60">
        <v>52</v>
      </c>
      <c r="AB1145" s="36">
        <f>IF(AD1145="EUR",((T1145-R1145)*Y1145)*U1145+(R1145*Y1145),(T1145*Y1145))</f>
        <v>0</v>
      </c>
      <c r="AC1145" s="37" t="b">
        <v>1</v>
      </c>
      <c r="AD1145" s="37" t="s">
        <v>38</v>
      </c>
      <c r="AE1145" s="37" t="s">
        <v>38</v>
      </c>
      <c r="AF1145" s="37" t="str">
        <f t="array" ref="AF1145">INDEX('Deal Info'!D:D, MATCH(A1145,'Deal Info'!A:A, 0))</f>
        <v>DoEV</v>
      </c>
      <c r="AG1145" s="38" t="str">
        <f t="array" ref="AG1145">INDEX('Deal Info'!G:G, MATCH(A1145,'Deal Info'!A:A, 0))</f>
        <v>None</v>
      </c>
    </row>
    <row r="1146" spans="1:33" ht="14.25" hidden="1" x14ac:dyDescent="0.2">
      <c r="A1146" s="18" t="str">
        <f t="array" ref="A1146">IF(G1146='Room Info'!$B$1, INDEX('Room Info'!$A$2:$A2446, MATCH(B1146,'Room Info'!$B$2:$B2446, 0)),IF(G1146='Room Info'!$C$1, INDEX('Room Info'!$A$2:$A2446, MATCH(B1146,'Room Info'!$C$2:$C2446, 0)),IF(G1146='Room Info'!$D$1, INDEX('Room Info'!$A$2:$A2446, MATCH(B1146,'Room Info'!$D$2:$D2446, 0)),IF(G1146='Room Info'!$E$1, INDEX('Room Info'!$A$2:$A2446, MATCH(B1146,'Room Info'!$E$2:$E2446, 0)),IF(G1146='Room Info'!$F$1, INDEX('Room Info'!$A$2:$A2446, MATCH(B1146,'Room Info'!$F$2:$F2446, 0)),IF(G1146='Room Info'!$H$1, INDEX('Room Info'!$A$2:$A2446, MATCH(B1146,'Room Info'!$H$2:$H2446, 0)),IF(G1146='Room Info'!$G$1, INDEX('Room Info'!$A$2:$A2446, MATCH(B1146,'Room Info'!$G$2:$G2446, 0)))))))))</f>
        <v>QQcheliQ</v>
      </c>
      <c r="B1146" s="45" t="s">
        <v>196</v>
      </c>
      <c r="C1146" s="46">
        <v>44713</v>
      </c>
      <c r="D1146" s="46">
        <v>44742</v>
      </c>
      <c r="E1146" s="47">
        <v>44713</v>
      </c>
      <c r="F1146" s="48" t="s">
        <v>41</v>
      </c>
      <c r="G1146" s="45" t="s">
        <v>69</v>
      </c>
      <c r="H1146" s="49" t="s">
        <v>71</v>
      </c>
      <c r="I1146" s="49" t="s">
        <v>37</v>
      </c>
      <c r="J1146" s="50">
        <v>20</v>
      </c>
      <c r="K1146" s="51">
        <v>363</v>
      </c>
      <c r="L1146" s="52">
        <v>-460</v>
      </c>
      <c r="M1146" s="53">
        <v>388</v>
      </c>
      <c r="N1146" s="28">
        <f>K1146*J1146</f>
        <v>7260</v>
      </c>
      <c r="O1146" s="54">
        <v>1769</v>
      </c>
      <c r="P1146" s="29">
        <v>4.8732782370000001</v>
      </c>
      <c r="Q1146" s="55"/>
      <c r="R1146" s="31">
        <f>M1146+Q1146</f>
        <v>388</v>
      </c>
      <c r="S1146" s="56"/>
      <c r="T1146" s="32">
        <f>R1146+S1146+IF(F1146="Without EV deal",L1146,0)</f>
        <v>-72</v>
      </c>
      <c r="U1146" s="57">
        <v>1</v>
      </c>
      <c r="V1146" s="58"/>
      <c r="W1146" s="58"/>
      <c r="X1146" s="78">
        <v>0.3</v>
      </c>
      <c r="Y1146" s="30">
        <f>IF(AG1146="None",0,IF(AG1146="Fix5",0.05, IF(AG1146="Fix6.25",0.0625,IF(AG1146="Fix3.75",0.0375,IF(AG1146="Fix10",0.1,IF(AG1146="Fix3",0.03,0))))))</f>
        <v>0</v>
      </c>
      <c r="Z1146" s="35">
        <f>T1146-AA1146-AB1146</f>
        <v>-50</v>
      </c>
      <c r="AA1146" s="60">
        <v>-22</v>
      </c>
      <c r="AB1146" s="36">
        <f>IF(AD1146="EUR",((T1146-R1146)*Y1146)*U1146+(R1146*Y1146),(T1146*Y1146))</f>
        <v>0</v>
      </c>
      <c r="AC1146" s="37" t="b">
        <v>1</v>
      </c>
      <c r="AD1146" s="37" t="s">
        <v>38</v>
      </c>
      <c r="AE1146" s="37" t="s">
        <v>38</v>
      </c>
      <c r="AF1146" s="37" t="str">
        <f t="array" ref="AF1146">INDEX('Deal Info'!D:D, MATCH(A1146,'Deal Info'!A:A, 0))</f>
        <v>DoEV</v>
      </c>
      <c r="AG1146" s="38" t="str">
        <f t="array" ref="AG1146">INDEX('Deal Info'!G:G, MATCH(A1146,'Deal Info'!A:A, 0))</f>
        <v>None</v>
      </c>
    </row>
    <row r="1147" spans="1:33" ht="14.25" hidden="1" x14ac:dyDescent="0.2">
      <c r="A1147" s="18" t="str">
        <f t="array" ref="A1147">IF(G1147='Room Info'!$B$1, INDEX('Room Info'!$A$2:$A2446, MATCH(B1147,'Room Info'!$B$2:$B2446, 0)),IF(G1147='Room Info'!$C$1, INDEX('Room Info'!$A$2:$A2446, MATCH(B1147,'Room Info'!$C$2:$C2446, 0)),IF(G1147='Room Info'!$D$1, INDEX('Room Info'!$A$2:$A2446, MATCH(B1147,'Room Info'!$D$2:$D2446, 0)),IF(G1147='Room Info'!$E$1, INDEX('Room Info'!$A$2:$A2446, MATCH(B1147,'Room Info'!$E$2:$E2446, 0)),IF(G1147='Room Info'!$F$1, INDEX('Room Info'!$A$2:$A2446, MATCH(B1147,'Room Info'!$F$2:$F2446, 0)),IF(G1147='Room Info'!$H$1, INDEX('Room Info'!$A$2:$A2446, MATCH(B1147,'Room Info'!$H$2:$H2446, 0)),IF(G1147='Room Info'!$G$1, INDEX('Room Info'!$A$2:$A2446, MATCH(B1147,'Room Info'!$G$2:$G2446, 0)))))))))</f>
        <v>QQcheliQ</v>
      </c>
      <c r="B1147" s="45" t="s">
        <v>196</v>
      </c>
      <c r="C1147" s="46">
        <v>44713</v>
      </c>
      <c r="D1147" s="46">
        <v>44742</v>
      </c>
      <c r="E1147" s="47">
        <v>44713</v>
      </c>
      <c r="F1147" s="48" t="s">
        <v>41</v>
      </c>
      <c r="G1147" s="45" t="s">
        <v>69</v>
      </c>
      <c r="H1147" s="49" t="s">
        <v>39</v>
      </c>
      <c r="I1147" s="49" t="s">
        <v>37</v>
      </c>
      <c r="J1147" s="50">
        <v>5</v>
      </c>
      <c r="K1147" s="51">
        <v>17</v>
      </c>
      <c r="L1147" s="52">
        <v>5</v>
      </c>
      <c r="M1147" s="53">
        <v>0</v>
      </c>
      <c r="N1147" s="28">
        <f>K1147*J1147</f>
        <v>85</v>
      </c>
      <c r="O1147" s="65"/>
      <c r="P1147" s="29">
        <v>0</v>
      </c>
      <c r="Q1147" s="55"/>
      <c r="R1147" s="31">
        <f>M1147+Q1147</f>
        <v>0</v>
      </c>
      <c r="S1147" s="66"/>
      <c r="T1147" s="32">
        <f>R1147+S1147+IF(F1147="Without EV deal",L1147,0)</f>
        <v>5</v>
      </c>
      <c r="U1147" s="57">
        <v>1</v>
      </c>
      <c r="V1147" s="58"/>
      <c r="W1147" s="58"/>
      <c r="X1147" s="78">
        <v>0.3</v>
      </c>
      <c r="Y1147" s="30">
        <f>IF(AG1147="None",0,IF(AG1147="Fix5",0.05, IF(AG1147="Fix6.25",0.0625,IF(AG1147="Fix3.75",0.0375,IF(AG1147="Fix10",0.1,IF(AG1147="Fix3",0.03,0))))))</f>
        <v>0</v>
      </c>
      <c r="Z1147" s="35">
        <f>T1147-AA1147-AB1147</f>
        <v>4</v>
      </c>
      <c r="AA1147" s="60">
        <v>1</v>
      </c>
      <c r="AB1147" s="36">
        <f>IF(AD1147="EUR",((T1147-R1147)*Y1147)*U1147+(R1147*Y1147),(T1147*Y1147))</f>
        <v>0</v>
      </c>
      <c r="AC1147" s="37" t="b">
        <v>1</v>
      </c>
      <c r="AD1147" s="37" t="s">
        <v>38</v>
      </c>
      <c r="AE1147" s="37" t="s">
        <v>38</v>
      </c>
      <c r="AF1147" s="37" t="str">
        <f t="array" ref="AF1147">INDEX('Deal Info'!D:D, MATCH(A1147,'Deal Info'!A:A, 0))</f>
        <v>DoEV</v>
      </c>
      <c r="AG1147" s="38" t="str">
        <f t="array" ref="AG1147">INDEX('Deal Info'!G:G, MATCH(A1147,'Deal Info'!A:A, 0))</f>
        <v>None</v>
      </c>
    </row>
    <row r="1148" spans="1:33" ht="14.25" hidden="1" x14ac:dyDescent="0.2">
      <c r="A1148" s="18" t="str">
        <f t="array" ref="A1148">IF(G1148='Room Info'!$B$1, INDEX('Room Info'!$A$2:$A2446, MATCH(B1148,'Room Info'!$B$2:$B2446, 0)),IF(G1148='Room Info'!$C$1, INDEX('Room Info'!$A$2:$A2446, MATCH(B1148,'Room Info'!$C$2:$C2446, 0)),IF(G1148='Room Info'!$D$1, INDEX('Room Info'!$A$2:$A2446, MATCH(B1148,'Room Info'!$D$2:$D2446, 0)),IF(G1148='Room Info'!$E$1, INDEX('Room Info'!$A$2:$A2446, MATCH(B1148,'Room Info'!$E$2:$E2446, 0)),IF(G1148='Room Info'!$F$1, INDEX('Room Info'!$A$2:$A2446, MATCH(B1148,'Room Info'!$F$2:$F2446, 0)),IF(G1148='Room Info'!$H$1, INDEX('Room Info'!$A$2:$A2446, MATCH(B1148,'Room Info'!$H$2:$H2446, 0)),IF(G1148='Room Info'!$G$1, INDEX('Room Info'!$A$2:$A2446, MATCH(B1148,'Room Info'!$G$2:$G2446, 0)))))))))</f>
        <v>QQcheliQ</v>
      </c>
      <c r="B1148" s="45" t="s">
        <v>195</v>
      </c>
      <c r="C1148" s="46">
        <v>44733</v>
      </c>
      <c r="D1148" s="46">
        <v>44762</v>
      </c>
      <c r="E1148" s="47">
        <v>44743</v>
      </c>
      <c r="F1148" s="48" t="s">
        <v>34</v>
      </c>
      <c r="G1148" s="45" t="s">
        <v>35</v>
      </c>
      <c r="H1148" s="49" t="s">
        <v>39</v>
      </c>
      <c r="I1148" s="49" t="s">
        <v>37</v>
      </c>
      <c r="J1148" s="50">
        <v>5</v>
      </c>
      <c r="K1148" s="51">
        <v>1</v>
      </c>
      <c r="L1148" s="52">
        <v>-5</v>
      </c>
      <c r="M1148" s="62"/>
      <c r="N1148" s="28">
        <f>K1148*J1148</f>
        <v>5</v>
      </c>
      <c r="O1148" s="54">
        <v>-9</v>
      </c>
      <c r="P1148" s="29">
        <v>-9</v>
      </c>
      <c r="Q1148" s="55"/>
      <c r="R1148" s="31">
        <f>M1148+Q1148</f>
        <v>0</v>
      </c>
      <c r="S1148" s="56">
        <v>-1</v>
      </c>
      <c r="T1148" s="32">
        <f>R1148+S1148+IF(F1148="Without EV deal",L1148,0)</f>
        <v>-1</v>
      </c>
      <c r="U1148" s="57">
        <v>1</v>
      </c>
      <c r="V1148" s="58"/>
      <c r="W1148" s="58"/>
      <c r="X1148" s="78">
        <v>0.3</v>
      </c>
      <c r="Y1148" s="30">
        <f>IF(AG1148="None",0,IF(AG1148="Fix5",0.05, IF(AG1148="Fix6.25",0.0625,IF(AG1148="Fix3.75",0.0375,IF(AG1148="Fix10",0.1,IF(AG1148="Fix3",0.03,0))))))</f>
        <v>0</v>
      </c>
      <c r="Z1148" s="35">
        <f>T1148-AA1148-AB1148</f>
        <v>-1</v>
      </c>
      <c r="AA1148" s="60">
        <v>0</v>
      </c>
      <c r="AB1148" s="36">
        <f>IF(AD1148="EUR",((T1148-R1148)*Y1148)*U1148+(R1148*Y1148),(T1148*Y1148))</f>
        <v>0</v>
      </c>
      <c r="AC1148" s="37" t="b">
        <v>1</v>
      </c>
      <c r="AD1148" s="37" t="s">
        <v>38</v>
      </c>
      <c r="AE1148" s="37" t="s">
        <v>38</v>
      </c>
      <c r="AF1148" s="37" t="str">
        <f t="array" ref="AF1148">INDEX('Deal Info'!D:D, MATCH(A1148,'Deal Info'!A:A, 0))</f>
        <v>DoEV</v>
      </c>
      <c r="AG1148" s="38" t="str">
        <f t="array" ref="AG1148">INDEX('Deal Info'!G:G, MATCH(A1148,'Deal Info'!A:A, 0))</f>
        <v>None</v>
      </c>
    </row>
    <row r="1149" spans="1:33" ht="14.25" hidden="1" x14ac:dyDescent="0.2">
      <c r="A1149" s="18" t="str">
        <f t="array" ref="A1149">IF(G1149='Room Info'!$B$1, INDEX('Room Info'!$A$2:$A2446, MATCH(B1149,'Room Info'!$B$2:$B2446, 0)),IF(G1149='Room Info'!$C$1, INDEX('Room Info'!$A$2:$A2446, MATCH(B1149,'Room Info'!$C$2:$C2446, 0)),IF(G1149='Room Info'!$D$1, INDEX('Room Info'!$A$2:$A2446, MATCH(B1149,'Room Info'!$D$2:$D2446, 0)),IF(G1149='Room Info'!$E$1, INDEX('Room Info'!$A$2:$A2446, MATCH(B1149,'Room Info'!$E$2:$E2446, 0)),IF(G1149='Room Info'!$F$1, INDEX('Room Info'!$A$2:$A2446, MATCH(B1149,'Room Info'!$F$2:$F2446, 0)),IF(G1149='Room Info'!$H$1, INDEX('Room Info'!$A$2:$A2446, MATCH(B1149,'Room Info'!$H$2:$H2446, 0)),IF(G1149='Room Info'!$G$1, INDEX('Room Info'!$A$2:$A2446, MATCH(B1149,'Room Info'!$G$2:$G2446, 0)))))))))</f>
        <v>QQcheliQ</v>
      </c>
      <c r="B1149" s="45" t="s">
        <v>195</v>
      </c>
      <c r="C1149" s="46">
        <v>44733</v>
      </c>
      <c r="D1149" s="46">
        <v>44762</v>
      </c>
      <c r="E1149" s="47">
        <v>44743</v>
      </c>
      <c r="F1149" s="48" t="s">
        <v>34</v>
      </c>
      <c r="G1149" s="45" t="s">
        <v>35</v>
      </c>
      <c r="H1149" s="49" t="s">
        <v>46</v>
      </c>
      <c r="I1149" s="49" t="s">
        <v>37</v>
      </c>
      <c r="J1149" s="50">
        <v>25</v>
      </c>
      <c r="K1149" s="51">
        <v>1904</v>
      </c>
      <c r="L1149" s="52">
        <v>-2000</v>
      </c>
      <c r="M1149" s="53">
        <v>889</v>
      </c>
      <c r="N1149" s="28">
        <f>K1149*J1149</f>
        <v>47600</v>
      </c>
      <c r="O1149" s="54">
        <v>30799</v>
      </c>
      <c r="P1149" s="29">
        <v>16.175945380000002</v>
      </c>
      <c r="Q1149" s="55"/>
      <c r="R1149" s="31">
        <f>M1149+Q1149</f>
        <v>889</v>
      </c>
      <c r="S1149" s="56">
        <v>-1682</v>
      </c>
      <c r="T1149" s="32">
        <f>R1149+S1149+IF(F1149="Without EV deal",L1149,0)</f>
        <v>-793</v>
      </c>
      <c r="U1149" s="57">
        <v>1</v>
      </c>
      <c r="V1149" s="58"/>
      <c r="W1149" s="58"/>
      <c r="X1149" s="78">
        <v>0.3</v>
      </c>
      <c r="Y1149" s="30">
        <f>IF(AG1149="None",0,IF(AG1149="Fix5",0.05, IF(AG1149="Fix6.25",0.0625,IF(AG1149="Fix3.75",0.0375,IF(AG1149="Fix10",0.1,IF(AG1149="Fix3",0.03,0))))))</f>
        <v>0</v>
      </c>
      <c r="Z1149" s="35">
        <f>T1149-AA1149-AB1149</f>
        <v>-556</v>
      </c>
      <c r="AA1149" s="60">
        <v>-237</v>
      </c>
      <c r="AB1149" s="36">
        <f>IF(AD1149="EUR",((T1149-R1149)*Y1149)*U1149+(R1149*Y1149),(T1149*Y1149))</f>
        <v>0</v>
      </c>
      <c r="AC1149" s="37" t="b">
        <v>1</v>
      </c>
      <c r="AD1149" s="37" t="s">
        <v>38</v>
      </c>
      <c r="AE1149" s="37" t="s">
        <v>38</v>
      </c>
      <c r="AF1149" s="37" t="str">
        <f t="array" ref="AF1149">INDEX('Deal Info'!D:D, MATCH(A1149,'Deal Info'!A:A, 0))</f>
        <v>DoEV</v>
      </c>
      <c r="AG1149" s="38" t="str">
        <f t="array" ref="AG1149">INDEX('Deal Info'!G:G, MATCH(A1149,'Deal Info'!A:A, 0))</f>
        <v>None</v>
      </c>
    </row>
    <row r="1150" spans="1:33" ht="14.25" hidden="1" x14ac:dyDescent="0.2">
      <c r="A1150" s="18" t="str">
        <f t="array" ref="A1150">IF(G1150='Room Info'!$B$1, INDEX('Room Info'!$A$2:$A2446, MATCH(B1150,'Room Info'!$B$2:$B2446, 0)),IF(G1150='Room Info'!$C$1, INDEX('Room Info'!$A$2:$A2446, MATCH(B1150,'Room Info'!$C$2:$C2446, 0)),IF(G1150='Room Info'!$D$1, INDEX('Room Info'!$A$2:$A2446, MATCH(B1150,'Room Info'!$D$2:$D2446, 0)),IF(G1150='Room Info'!$E$1, INDEX('Room Info'!$A$2:$A2446, MATCH(B1150,'Room Info'!$E$2:$E2446, 0)),IF(G1150='Room Info'!$F$1, INDEX('Room Info'!$A$2:$A2446, MATCH(B1150,'Room Info'!$F$2:$F2446, 0)),IF(G1150='Room Info'!$H$1, INDEX('Room Info'!$A$2:$A2446, MATCH(B1150,'Room Info'!$H$2:$H2446, 0)),IF(G1150='Room Info'!$G$1, INDEX('Room Info'!$A$2:$A2446, MATCH(B1150,'Room Info'!$G$2:$G2446, 0)))))))))</f>
        <v>QQcheliQ</v>
      </c>
      <c r="B1150" s="45" t="s">
        <v>195</v>
      </c>
      <c r="C1150" s="46">
        <v>44733</v>
      </c>
      <c r="D1150" s="46">
        <v>44762</v>
      </c>
      <c r="E1150" s="47">
        <v>44743</v>
      </c>
      <c r="F1150" s="45" t="s">
        <v>41</v>
      </c>
      <c r="G1150" s="54" t="s">
        <v>35</v>
      </c>
      <c r="H1150" s="49" t="s">
        <v>47</v>
      </c>
      <c r="I1150" s="49" t="s">
        <v>44</v>
      </c>
      <c r="J1150" s="50">
        <v>1</v>
      </c>
      <c r="K1150" s="51">
        <v>2</v>
      </c>
      <c r="L1150" s="52">
        <v>0</v>
      </c>
      <c r="M1150" s="62"/>
      <c r="N1150" s="28">
        <f>K1150*J1150</f>
        <v>2</v>
      </c>
      <c r="O1150" s="65"/>
      <c r="P1150" s="29">
        <v>0</v>
      </c>
      <c r="Q1150" s="55"/>
      <c r="R1150" s="31">
        <f>M1150+Q1150</f>
        <v>0</v>
      </c>
      <c r="S1150" s="66"/>
      <c r="T1150" s="32">
        <f>R1150+S1150+IF(F1150="Without EV deal",L1150,0)</f>
        <v>0</v>
      </c>
      <c r="U1150" s="57">
        <v>1</v>
      </c>
      <c r="V1150" s="58"/>
      <c r="W1150" s="58"/>
      <c r="X1150" s="78">
        <v>0.3</v>
      </c>
      <c r="Y1150" s="30">
        <f>IF(AG1150="None",0,IF(AG1150="Fix5",0.05, IF(AG1150="Fix6.25",0.0625,IF(AG1150="Fix3.75",0.0375,IF(AG1150="Fix10",0.1,IF(AG1150="Fix3",0.03,0))))))</f>
        <v>0</v>
      </c>
      <c r="Z1150" s="35">
        <f>T1150-AA1150-AB1150</f>
        <v>0</v>
      </c>
      <c r="AA1150" s="60">
        <v>0</v>
      </c>
      <c r="AB1150" s="36">
        <f>IF(AD1150="EUR",((T1150-R1150)*Y1150)*U1150+(R1150*Y1150),(T1150*Y1150))</f>
        <v>0</v>
      </c>
      <c r="AC1150" s="37" t="b">
        <v>1</v>
      </c>
      <c r="AD1150" s="37" t="s">
        <v>38</v>
      </c>
      <c r="AE1150" s="37" t="s">
        <v>38</v>
      </c>
      <c r="AF1150" s="37" t="str">
        <f t="array" ref="AF1150">INDEX('Deal Info'!D:D, MATCH(A1150,'Deal Info'!A:A, 0))</f>
        <v>DoEV</v>
      </c>
      <c r="AG1150" s="38" t="str">
        <f t="array" ref="AG1150">INDEX('Deal Info'!G:G, MATCH(A1150,'Deal Info'!A:A, 0))</f>
        <v>None</v>
      </c>
    </row>
    <row r="1151" spans="1:33" ht="14.25" hidden="1" x14ac:dyDescent="0.2">
      <c r="A1151" s="18" t="str">
        <f t="array" ref="A1151">IF(G1151='Room Info'!$B$1, INDEX('Room Info'!$A$2:$A2446, MATCH(B1151,'Room Info'!$B$2:$B2446, 0)),IF(G1151='Room Info'!$C$1, INDEX('Room Info'!$A$2:$A2446, MATCH(B1151,'Room Info'!$C$2:$C2446, 0)),IF(G1151='Room Info'!$D$1, INDEX('Room Info'!$A$2:$A2446, MATCH(B1151,'Room Info'!$D$2:$D2446, 0)),IF(G1151='Room Info'!$E$1, INDEX('Room Info'!$A$2:$A2446, MATCH(B1151,'Room Info'!$E$2:$E2446, 0)),IF(G1151='Room Info'!$F$1, INDEX('Room Info'!$A$2:$A2446, MATCH(B1151,'Room Info'!$F$2:$F2446, 0)),IF(G1151='Room Info'!$H$1, INDEX('Room Info'!$A$2:$A2446, MATCH(B1151,'Room Info'!$H$2:$H2446, 0)),IF(G1151='Room Info'!$G$1, INDEX('Room Info'!$A$2:$A2446, MATCH(B1151,'Room Info'!$G$2:$G2446, 0)))))))))</f>
        <v>QQcheliQ</v>
      </c>
      <c r="B1151" s="45" t="s">
        <v>195</v>
      </c>
      <c r="C1151" s="46">
        <v>44733</v>
      </c>
      <c r="D1151" s="46">
        <v>44762</v>
      </c>
      <c r="E1151" s="47">
        <v>44743</v>
      </c>
      <c r="F1151" s="48" t="s">
        <v>41</v>
      </c>
      <c r="G1151" s="45" t="s">
        <v>35</v>
      </c>
      <c r="H1151" s="49" t="s">
        <v>36</v>
      </c>
      <c r="I1151" s="49" t="s">
        <v>37</v>
      </c>
      <c r="J1151" s="50">
        <v>2</v>
      </c>
      <c r="K1151" s="51">
        <v>44</v>
      </c>
      <c r="L1151" s="52">
        <v>6</v>
      </c>
      <c r="M1151" s="53">
        <v>2</v>
      </c>
      <c r="N1151" s="28">
        <f>K1151*J1151</f>
        <v>88</v>
      </c>
      <c r="O1151" s="65"/>
      <c r="P1151" s="29">
        <v>0</v>
      </c>
      <c r="Q1151" s="55"/>
      <c r="R1151" s="31">
        <f>M1151+Q1151</f>
        <v>2</v>
      </c>
      <c r="S1151" s="66"/>
      <c r="T1151" s="32">
        <f>R1151+S1151+IF(F1151="Without EV deal",L1151,0)</f>
        <v>8</v>
      </c>
      <c r="U1151" s="57">
        <v>1</v>
      </c>
      <c r="V1151" s="58"/>
      <c r="W1151" s="58"/>
      <c r="X1151" s="78">
        <v>0.3</v>
      </c>
      <c r="Y1151" s="30">
        <f>IF(AG1151="None",0,IF(AG1151="Fix5",0.05, IF(AG1151="Fix6.25",0.0625,IF(AG1151="Fix3.75",0.0375,IF(AG1151="Fix10",0.1,IF(AG1151="Fix3",0.03,0))))))</f>
        <v>0</v>
      </c>
      <c r="Z1151" s="35">
        <f>T1151-AA1151-AB1151</f>
        <v>6</v>
      </c>
      <c r="AA1151" s="60">
        <v>2</v>
      </c>
      <c r="AB1151" s="36">
        <f>IF(AD1151="EUR",((T1151-R1151)*Y1151)*U1151+(R1151*Y1151),(T1151*Y1151))</f>
        <v>0</v>
      </c>
      <c r="AC1151" s="37" t="b">
        <v>1</v>
      </c>
      <c r="AD1151" s="37" t="s">
        <v>38</v>
      </c>
      <c r="AE1151" s="37" t="s">
        <v>38</v>
      </c>
      <c r="AF1151" s="37" t="str">
        <f t="array" ref="AF1151">INDEX('Deal Info'!D:D, MATCH(A1151,'Deal Info'!A:A, 0))</f>
        <v>DoEV</v>
      </c>
      <c r="AG1151" s="38" t="str">
        <f t="array" ref="AG1151">INDEX('Deal Info'!G:G, MATCH(A1151,'Deal Info'!A:A, 0))</f>
        <v>None</v>
      </c>
    </row>
    <row r="1152" spans="1:33" ht="14.25" hidden="1" x14ac:dyDescent="0.2">
      <c r="A1152" s="18" t="str">
        <f t="array" ref="A1152">IF(G1152='Room Info'!$B$1, INDEX('Room Info'!$A$2:$A2446, MATCH(B1152,'Room Info'!$B$2:$B2446, 0)),IF(G1152='Room Info'!$C$1, INDEX('Room Info'!$A$2:$A2446, MATCH(B1152,'Room Info'!$C$2:$C2446, 0)),IF(G1152='Room Info'!$D$1, INDEX('Room Info'!$A$2:$A2446, MATCH(B1152,'Room Info'!$D$2:$D2446, 0)),IF(G1152='Room Info'!$E$1, INDEX('Room Info'!$A$2:$A2446, MATCH(B1152,'Room Info'!$E$2:$E2446, 0)),IF(G1152='Room Info'!$F$1, INDEX('Room Info'!$A$2:$A2446, MATCH(B1152,'Room Info'!$F$2:$F2446, 0)),IF(G1152='Room Info'!$H$1, INDEX('Room Info'!$A$2:$A2446, MATCH(B1152,'Room Info'!$H$2:$H2446, 0)),IF(G1152='Room Info'!$G$1, INDEX('Room Info'!$A$2:$A2446, MATCH(B1152,'Room Info'!$G$2:$G2446, 0)))))))))</f>
        <v>QQcheliQ</v>
      </c>
      <c r="B1152" s="45" t="s">
        <v>195</v>
      </c>
      <c r="C1152" s="46">
        <v>44733</v>
      </c>
      <c r="D1152" s="46">
        <v>44762</v>
      </c>
      <c r="E1152" s="47">
        <v>44743</v>
      </c>
      <c r="F1152" s="48" t="s">
        <v>41</v>
      </c>
      <c r="G1152" s="45" t="s">
        <v>35</v>
      </c>
      <c r="H1152" s="49" t="s">
        <v>51</v>
      </c>
      <c r="I1152" s="49" t="s">
        <v>44</v>
      </c>
      <c r="J1152" s="50">
        <v>0.25</v>
      </c>
      <c r="K1152" s="51">
        <v>2</v>
      </c>
      <c r="L1152" s="52">
        <v>-1</v>
      </c>
      <c r="M1152" s="62"/>
      <c r="N1152" s="28">
        <f>K1152*J1152</f>
        <v>0.5</v>
      </c>
      <c r="O1152" s="65"/>
      <c r="P1152" s="29">
        <v>0</v>
      </c>
      <c r="Q1152" s="55"/>
      <c r="R1152" s="31">
        <f>M1152+Q1152</f>
        <v>0</v>
      </c>
      <c r="S1152" s="66"/>
      <c r="T1152" s="32">
        <f>R1152+S1152+IF(F1152="Without EV deal",L1152,0)</f>
        <v>-1</v>
      </c>
      <c r="U1152" s="57">
        <v>1</v>
      </c>
      <c r="V1152" s="58"/>
      <c r="W1152" s="58"/>
      <c r="X1152" s="78">
        <v>0.3</v>
      </c>
      <c r="Y1152" s="30">
        <f>IF(AG1152="None",0,IF(AG1152="Fix5",0.05, IF(AG1152="Fix6.25",0.0625,IF(AG1152="Fix3.75",0.0375,IF(AG1152="Fix10",0.1,IF(AG1152="Fix3",0.03,0))))))</f>
        <v>0</v>
      </c>
      <c r="Z1152" s="35">
        <f>T1152-AA1152-AB1152</f>
        <v>-1</v>
      </c>
      <c r="AA1152" s="60">
        <v>0</v>
      </c>
      <c r="AB1152" s="36">
        <f>IF(AD1152="EUR",((T1152-R1152)*Y1152)*U1152+(R1152*Y1152),(T1152*Y1152))</f>
        <v>0</v>
      </c>
      <c r="AC1152" s="37" t="b">
        <v>1</v>
      </c>
      <c r="AD1152" s="37" t="s">
        <v>38</v>
      </c>
      <c r="AE1152" s="37" t="s">
        <v>38</v>
      </c>
      <c r="AF1152" s="37" t="str">
        <f t="array" ref="AF1152">INDEX('Deal Info'!D:D, MATCH(A1152,'Deal Info'!A:A, 0))</f>
        <v>DoEV</v>
      </c>
      <c r="AG1152" s="38" t="str">
        <f t="array" ref="AG1152">INDEX('Deal Info'!G:G, MATCH(A1152,'Deal Info'!A:A, 0))</f>
        <v>None</v>
      </c>
    </row>
    <row r="1153" spans="1:33" ht="14.25" hidden="1" x14ac:dyDescent="0.2">
      <c r="A1153" s="18" t="str">
        <f t="array" ref="A1153">IF(G1153='Room Info'!$B$1, INDEX('Room Info'!$A$2:$A2446, MATCH(B1153,'Room Info'!$B$2:$B2446, 0)),IF(G1153='Room Info'!$C$1, INDEX('Room Info'!$A$2:$A2446, MATCH(B1153,'Room Info'!$C$2:$C2446, 0)),IF(G1153='Room Info'!$D$1, INDEX('Room Info'!$A$2:$A2446, MATCH(B1153,'Room Info'!$D$2:$D2446, 0)),IF(G1153='Room Info'!$E$1, INDEX('Room Info'!$A$2:$A2446, MATCH(B1153,'Room Info'!$E$2:$E2446, 0)),IF(G1153='Room Info'!$F$1, INDEX('Room Info'!$A$2:$A2446, MATCH(B1153,'Room Info'!$F$2:$F2446, 0)),IF(G1153='Room Info'!$H$1, INDEX('Room Info'!$A$2:$A2446, MATCH(B1153,'Room Info'!$H$2:$H2446, 0)),IF(G1153='Room Info'!$G$1, INDEX('Room Info'!$A$2:$A2446, MATCH(B1153,'Room Info'!$G$2:$G2446, 0)))))))))</f>
        <v>QQcheliQ</v>
      </c>
      <c r="B1153" s="45" t="s">
        <v>195</v>
      </c>
      <c r="C1153" s="46">
        <v>44763</v>
      </c>
      <c r="D1153" s="46">
        <v>44793</v>
      </c>
      <c r="E1153" s="47">
        <v>44774</v>
      </c>
      <c r="F1153" s="48" t="s">
        <v>34</v>
      </c>
      <c r="G1153" s="45" t="s">
        <v>35</v>
      </c>
      <c r="H1153" s="49" t="s">
        <v>39</v>
      </c>
      <c r="I1153" s="49" t="s">
        <v>37</v>
      </c>
      <c r="J1153" s="50">
        <v>5</v>
      </c>
      <c r="K1153" s="51">
        <v>6</v>
      </c>
      <c r="L1153" s="52">
        <v>10</v>
      </c>
      <c r="M1153" s="53">
        <v>1</v>
      </c>
      <c r="N1153" s="28">
        <f>K1153*J1153</f>
        <v>30</v>
      </c>
      <c r="O1153" s="54">
        <v>973</v>
      </c>
      <c r="P1153" s="29">
        <v>162.16666670000001</v>
      </c>
      <c r="Q1153" s="55"/>
      <c r="R1153" s="31">
        <f>M1153+Q1153</f>
        <v>1</v>
      </c>
      <c r="S1153" s="56">
        <v>6</v>
      </c>
      <c r="T1153" s="32">
        <f>R1153+S1153+IF(F1153="Without EV deal",L1153,0)</f>
        <v>7</v>
      </c>
      <c r="U1153" s="57">
        <v>1</v>
      </c>
      <c r="V1153" s="58"/>
      <c r="W1153" s="58"/>
      <c r="X1153" s="78">
        <v>0.3</v>
      </c>
      <c r="Y1153" s="30">
        <f>IF(AG1153="None",0,IF(AG1153="Fix5",0.05, IF(AG1153="Fix6.25",0.0625,IF(AG1153="Fix3.75",0.0375,IF(AG1153="Fix10",0.1,IF(AG1153="Fix3",0.03,0))))))</f>
        <v>0</v>
      </c>
      <c r="Z1153" s="35">
        <f>T1153-AA1153-AB1153</f>
        <v>5</v>
      </c>
      <c r="AA1153" s="60">
        <v>2</v>
      </c>
      <c r="AB1153" s="36">
        <f>IF(AD1153="EUR",((T1153-R1153)*Y1153)*U1153+(R1153*Y1153),(T1153*Y1153))</f>
        <v>0</v>
      </c>
      <c r="AC1153" s="37" t="b">
        <v>1</v>
      </c>
      <c r="AD1153" s="37" t="s">
        <v>38</v>
      </c>
      <c r="AE1153" s="37" t="s">
        <v>38</v>
      </c>
      <c r="AF1153" s="37" t="str">
        <f t="array" ref="AF1153">INDEX('Deal Info'!D:D, MATCH(A1153,'Deal Info'!A:A, 0))</f>
        <v>DoEV</v>
      </c>
      <c r="AG1153" s="38" t="str">
        <f t="array" ref="AG1153">INDEX('Deal Info'!G:G, MATCH(A1153,'Deal Info'!A:A, 0))</f>
        <v>None</v>
      </c>
    </row>
    <row r="1154" spans="1:33" ht="14.25" hidden="1" x14ac:dyDescent="0.2">
      <c r="A1154" s="18" t="str">
        <f t="array" ref="A1154">IF(G1154='Room Info'!$B$1, INDEX('Room Info'!$A$2:$A2446, MATCH(B1154,'Room Info'!$B$2:$B2446, 0)),IF(G1154='Room Info'!$C$1, INDEX('Room Info'!$A$2:$A2446, MATCH(B1154,'Room Info'!$C$2:$C2446, 0)),IF(G1154='Room Info'!$D$1, INDEX('Room Info'!$A$2:$A2446, MATCH(B1154,'Room Info'!$D$2:$D2446, 0)),IF(G1154='Room Info'!$E$1, INDEX('Room Info'!$A$2:$A2446, MATCH(B1154,'Room Info'!$E$2:$E2446, 0)),IF(G1154='Room Info'!$F$1, INDEX('Room Info'!$A$2:$A2446, MATCH(B1154,'Room Info'!$F$2:$F2446, 0)),IF(G1154='Room Info'!$H$1, INDEX('Room Info'!$A$2:$A2446, MATCH(B1154,'Room Info'!$H$2:$H2446, 0)),IF(G1154='Room Info'!$G$1, INDEX('Room Info'!$A$2:$A2446, MATCH(B1154,'Room Info'!$G$2:$G2446, 0)))))))))</f>
        <v>QQcheliQ</v>
      </c>
      <c r="B1154" s="45" t="s">
        <v>195</v>
      </c>
      <c r="C1154" s="46">
        <v>44763</v>
      </c>
      <c r="D1154" s="46">
        <v>44793</v>
      </c>
      <c r="E1154" s="47">
        <v>44774</v>
      </c>
      <c r="F1154" s="48" t="s">
        <v>34</v>
      </c>
      <c r="G1154" s="45" t="s">
        <v>35</v>
      </c>
      <c r="H1154" s="49" t="s">
        <v>40</v>
      </c>
      <c r="I1154" s="49" t="s">
        <v>37</v>
      </c>
      <c r="J1154" s="50">
        <v>10</v>
      </c>
      <c r="K1154" s="51">
        <v>12</v>
      </c>
      <c r="L1154" s="52">
        <v>-20</v>
      </c>
      <c r="M1154" s="53">
        <v>3</v>
      </c>
      <c r="N1154" s="28">
        <f>K1154*J1154</f>
        <v>120</v>
      </c>
      <c r="O1154" s="54">
        <v>2049</v>
      </c>
      <c r="P1154" s="29">
        <v>170.75</v>
      </c>
      <c r="Q1154" s="55"/>
      <c r="R1154" s="31">
        <f>M1154+Q1154</f>
        <v>3</v>
      </c>
      <c r="S1154" s="56">
        <v>29</v>
      </c>
      <c r="T1154" s="32">
        <f>R1154+S1154+IF(F1154="Without EV deal",L1154,0)</f>
        <v>32</v>
      </c>
      <c r="U1154" s="57">
        <v>1</v>
      </c>
      <c r="V1154" s="58"/>
      <c r="W1154" s="58"/>
      <c r="X1154" s="78">
        <v>0.3</v>
      </c>
      <c r="Y1154" s="30">
        <f>IF(AG1154="None",0,IF(AG1154="Fix5",0.05, IF(AG1154="Fix6.25",0.0625,IF(AG1154="Fix3.75",0.0375,IF(AG1154="Fix10",0.1,IF(AG1154="Fix3",0.03,0))))))</f>
        <v>0</v>
      </c>
      <c r="Z1154" s="35">
        <f>T1154-AA1154-AB1154</f>
        <v>22</v>
      </c>
      <c r="AA1154" s="60">
        <v>10</v>
      </c>
      <c r="AB1154" s="36">
        <f>IF(AD1154="EUR",((T1154-R1154)*Y1154)*U1154+(R1154*Y1154),(T1154*Y1154))</f>
        <v>0</v>
      </c>
      <c r="AC1154" s="37" t="b">
        <v>1</v>
      </c>
      <c r="AD1154" s="37" t="s">
        <v>38</v>
      </c>
      <c r="AE1154" s="37" t="s">
        <v>38</v>
      </c>
      <c r="AF1154" s="37" t="str">
        <f t="array" ref="AF1154">INDEX('Deal Info'!D:D, MATCH(A1154,'Deal Info'!A:A, 0))</f>
        <v>DoEV</v>
      </c>
      <c r="AG1154" s="38" t="str">
        <f t="array" ref="AG1154">INDEX('Deal Info'!G:G, MATCH(A1154,'Deal Info'!A:A, 0))</f>
        <v>None</v>
      </c>
    </row>
    <row r="1155" spans="1:33" ht="14.25" hidden="1" x14ac:dyDescent="0.2">
      <c r="A1155" s="18" t="str">
        <f t="array" ref="A1155">IF(G1155='Room Info'!$B$1, INDEX('Room Info'!$A$2:$A2446, MATCH(B1155,'Room Info'!$B$2:$B2446, 0)),IF(G1155='Room Info'!$C$1, INDEX('Room Info'!$A$2:$A2446, MATCH(B1155,'Room Info'!$C$2:$C2446, 0)),IF(G1155='Room Info'!$D$1, INDEX('Room Info'!$A$2:$A2446, MATCH(B1155,'Room Info'!$D$2:$D2446, 0)),IF(G1155='Room Info'!$E$1, INDEX('Room Info'!$A$2:$A2446, MATCH(B1155,'Room Info'!$E$2:$E2446, 0)),IF(G1155='Room Info'!$F$1, INDEX('Room Info'!$A$2:$A2446, MATCH(B1155,'Room Info'!$F$2:$F2446, 0)),IF(G1155='Room Info'!$H$1, INDEX('Room Info'!$A$2:$A2446, MATCH(B1155,'Room Info'!$H$2:$H2446, 0)),IF(G1155='Room Info'!$G$1, INDEX('Room Info'!$A$2:$A2446, MATCH(B1155,'Room Info'!$G$2:$G2446, 0)))))))))</f>
        <v>QQcheliQ</v>
      </c>
      <c r="B1155" s="45" t="s">
        <v>195</v>
      </c>
      <c r="C1155" s="99">
        <v>44763</v>
      </c>
      <c r="D1155" s="99">
        <v>44793</v>
      </c>
      <c r="E1155" s="47">
        <v>44774</v>
      </c>
      <c r="F1155" s="45" t="s">
        <v>34</v>
      </c>
      <c r="G1155" s="45" t="s">
        <v>35</v>
      </c>
      <c r="H1155" s="49" t="s">
        <v>46</v>
      </c>
      <c r="I1155" s="49" t="s">
        <v>37</v>
      </c>
      <c r="J1155" s="74">
        <v>25</v>
      </c>
      <c r="K1155" s="75">
        <v>1250</v>
      </c>
      <c r="L1155" s="72">
        <v>1025</v>
      </c>
      <c r="M1155" s="76">
        <v>718</v>
      </c>
      <c r="N1155" s="28">
        <f>K1155*J1155</f>
        <v>31250</v>
      </c>
      <c r="O1155" s="45">
        <v>44115</v>
      </c>
      <c r="P1155" s="29">
        <v>35.292000000000002</v>
      </c>
      <c r="Q1155" s="55"/>
      <c r="R1155" s="31">
        <f>M1155+Q1155</f>
        <v>718</v>
      </c>
      <c r="S1155" s="73">
        <v>71</v>
      </c>
      <c r="T1155" s="32">
        <f>R1155+S1155+IF(F1155="Without EV deal",L1155,0)</f>
        <v>789</v>
      </c>
      <c r="U1155" s="57">
        <v>1</v>
      </c>
      <c r="V1155" s="58"/>
      <c r="W1155" s="58"/>
      <c r="X1155" s="78">
        <v>0.3</v>
      </c>
      <c r="Y1155" s="30">
        <f>IF(AG1155="None",0,IF(AG1155="Fix5",0.05, IF(AG1155="Fix6.25",0.0625,IF(AG1155="Fix3.75",0.0375,IF(AG1155="Fix10",0.1,IF(AG1155="Fix3",0.03,0))))))</f>
        <v>0</v>
      </c>
      <c r="Z1155" s="35">
        <f>T1155-AA1155-AB1155</f>
        <v>553</v>
      </c>
      <c r="AA1155" s="60">
        <v>236</v>
      </c>
      <c r="AB1155" s="36">
        <f>IF(AD1155="EUR",((T1155-R1155)*Y1155)*U1155+(R1155*Y1155),(T1155*Y1155))</f>
        <v>0</v>
      </c>
      <c r="AC1155" s="37" t="b">
        <v>1</v>
      </c>
      <c r="AD1155" s="37" t="s">
        <v>38</v>
      </c>
      <c r="AE1155" s="37" t="s">
        <v>38</v>
      </c>
      <c r="AF1155" s="37" t="str">
        <f t="array" ref="AF1155">INDEX('Deal Info'!D:D, MATCH(A1155,'Deal Info'!A:A, 0))</f>
        <v>DoEV</v>
      </c>
      <c r="AG1155" s="38" t="str">
        <f t="array" ref="AG1155">INDEX('Deal Info'!G:G, MATCH(A1155,'Deal Info'!A:A, 0))</f>
        <v>None</v>
      </c>
    </row>
    <row r="1156" spans="1:33" ht="14.25" hidden="1" x14ac:dyDescent="0.2">
      <c r="A1156" s="18" t="str">
        <f t="array" ref="A1156">IF(G1156='Room Info'!$B$1, INDEX('Room Info'!$A$2:$A2446, MATCH(B1156,'Room Info'!$B$2:$B2446, 0)),IF(G1156='Room Info'!$C$1, INDEX('Room Info'!$A$2:$A2446, MATCH(B1156,'Room Info'!$C$2:$C2446, 0)),IF(G1156='Room Info'!$D$1, INDEX('Room Info'!$A$2:$A2446, MATCH(B1156,'Room Info'!$D$2:$D2446, 0)),IF(G1156='Room Info'!$E$1, INDEX('Room Info'!$A$2:$A2446, MATCH(B1156,'Room Info'!$E$2:$E2446, 0)),IF(G1156='Room Info'!$F$1, INDEX('Room Info'!$A$2:$A2446, MATCH(B1156,'Room Info'!$F$2:$F2446, 0)),IF(G1156='Room Info'!$H$1, INDEX('Room Info'!$A$2:$A2446, MATCH(B1156,'Room Info'!$H$2:$H2446, 0)),IF(G1156='Room Info'!$G$1, INDEX('Room Info'!$A$2:$A2446, MATCH(B1156,'Room Info'!$G$2:$G2446, 0)))))))))</f>
        <v>QQcheliQ</v>
      </c>
      <c r="B1156" s="45" t="s">
        <v>195</v>
      </c>
      <c r="C1156" s="46">
        <v>44763</v>
      </c>
      <c r="D1156" s="46">
        <v>44793</v>
      </c>
      <c r="E1156" s="47">
        <v>44774</v>
      </c>
      <c r="F1156" s="48" t="s">
        <v>41</v>
      </c>
      <c r="G1156" s="45" t="s">
        <v>35</v>
      </c>
      <c r="H1156" s="49" t="s">
        <v>51</v>
      </c>
      <c r="I1156" s="49" t="s">
        <v>44</v>
      </c>
      <c r="J1156" s="50">
        <v>0.25</v>
      </c>
      <c r="K1156" s="51">
        <v>4</v>
      </c>
      <c r="L1156" s="52">
        <v>0</v>
      </c>
      <c r="M1156" s="62"/>
      <c r="N1156" s="28">
        <f>K1156*J1156</f>
        <v>1</v>
      </c>
      <c r="O1156" s="65"/>
      <c r="P1156" s="29">
        <v>0</v>
      </c>
      <c r="Q1156" s="55"/>
      <c r="R1156" s="31">
        <f>M1156+Q1156</f>
        <v>0</v>
      </c>
      <c r="S1156" s="66"/>
      <c r="T1156" s="32">
        <f>R1156+S1156+IF(F1156="Without EV deal",L1156,0)</f>
        <v>0</v>
      </c>
      <c r="U1156" s="57">
        <v>1</v>
      </c>
      <c r="V1156" s="58"/>
      <c r="W1156" s="58"/>
      <c r="X1156" s="78">
        <v>0.3</v>
      </c>
      <c r="Y1156" s="30">
        <f>IF(AG1156="None",0,IF(AG1156="Fix5",0.05, IF(AG1156="Fix6.25",0.0625,IF(AG1156="Fix3.75",0.0375,IF(AG1156="Fix10",0.1,IF(AG1156="Fix3",0.03,0))))))</f>
        <v>0</v>
      </c>
      <c r="Z1156" s="35">
        <f>T1156-AA1156-AB1156</f>
        <v>0</v>
      </c>
      <c r="AA1156" s="60">
        <v>0</v>
      </c>
      <c r="AB1156" s="36">
        <f>IF(AD1156="EUR",((T1156-R1156)*Y1156)*U1156+(R1156*Y1156),(T1156*Y1156))</f>
        <v>0</v>
      </c>
      <c r="AC1156" s="37" t="b">
        <v>1</v>
      </c>
      <c r="AD1156" s="37" t="s">
        <v>38</v>
      </c>
      <c r="AE1156" s="37" t="s">
        <v>38</v>
      </c>
      <c r="AF1156" s="37" t="str">
        <f t="array" ref="AF1156">INDEX('Deal Info'!D:D, MATCH(A1156,'Deal Info'!A:A, 0))</f>
        <v>DoEV</v>
      </c>
      <c r="AG1156" s="38" t="str">
        <f t="array" ref="AG1156">INDEX('Deal Info'!G:G, MATCH(A1156,'Deal Info'!A:A, 0))</f>
        <v>None</v>
      </c>
    </row>
    <row r="1157" spans="1:33" ht="14.25" hidden="1" x14ac:dyDescent="0.2">
      <c r="A1157" s="18" t="str">
        <f t="array" ref="A1157">IF(G1157='Room Info'!$B$1, INDEX('Room Info'!$A$2:$A2446, MATCH(B1157,'Room Info'!$B$2:$B2446, 0)),IF(G1157='Room Info'!$C$1, INDEX('Room Info'!$A$2:$A2446, MATCH(B1157,'Room Info'!$C$2:$C2446, 0)),IF(G1157='Room Info'!$D$1, INDEX('Room Info'!$A$2:$A2446, MATCH(B1157,'Room Info'!$D$2:$D2446, 0)),IF(G1157='Room Info'!$E$1, INDEX('Room Info'!$A$2:$A2446, MATCH(B1157,'Room Info'!$E$2:$E2446, 0)),IF(G1157='Room Info'!$F$1, INDEX('Room Info'!$A$2:$A2446, MATCH(B1157,'Room Info'!$F$2:$F2446, 0)),IF(G1157='Room Info'!$H$1, INDEX('Room Info'!$A$2:$A2446, MATCH(B1157,'Room Info'!$H$2:$H2446, 0)),IF(G1157='Room Info'!$G$1, INDEX('Room Info'!$A$2:$A2446, MATCH(B1157,'Room Info'!$G$2:$G2446, 0)))))))))</f>
        <v>QQcheliQ</v>
      </c>
      <c r="B1157" s="45" t="s">
        <v>195</v>
      </c>
      <c r="C1157" s="46">
        <v>44763</v>
      </c>
      <c r="D1157" s="46">
        <v>44793</v>
      </c>
      <c r="E1157" s="47">
        <v>44774</v>
      </c>
      <c r="F1157" s="48" t="s">
        <v>41</v>
      </c>
      <c r="G1157" s="45" t="s">
        <v>35</v>
      </c>
      <c r="H1157" s="49" t="s">
        <v>36</v>
      </c>
      <c r="I1157" s="49" t="s">
        <v>37</v>
      </c>
      <c r="J1157" s="50">
        <v>2</v>
      </c>
      <c r="K1157" s="51">
        <v>2</v>
      </c>
      <c r="L1157" s="52">
        <v>-4</v>
      </c>
      <c r="M1157" s="62"/>
      <c r="N1157" s="28">
        <f>K1157*J1157</f>
        <v>4</v>
      </c>
      <c r="O1157" s="65"/>
      <c r="P1157" s="29">
        <v>0</v>
      </c>
      <c r="Q1157" s="55"/>
      <c r="R1157" s="31">
        <f>M1157+Q1157</f>
        <v>0</v>
      </c>
      <c r="S1157" s="66"/>
      <c r="T1157" s="32">
        <f>R1157+S1157+IF(F1157="Without EV deal",L1157,0)</f>
        <v>-4</v>
      </c>
      <c r="U1157" s="57">
        <v>1</v>
      </c>
      <c r="V1157" s="58"/>
      <c r="W1157" s="58"/>
      <c r="X1157" s="78">
        <v>0.3</v>
      </c>
      <c r="Y1157" s="30">
        <f>IF(AG1157="None",0,IF(AG1157="Fix5",0.05, IF(AG1157="Fix6.25",0.0625,IF(AG1157="Fix3.75",0.0375,IF(AG1157="Fix10",0.1,IF(AG1157="Fix3",0.03,0))))))</f>
        <v>0</v>
      </c>
      <c r="Z1157" s="35">
        <f>T1157-AA1157-AB1157</f>
        <v>-3</v>
      </c>
      <c r="AA1157" s="60">
        <v>-1</v>
      </c>
      <c r="AB1157" s="36">
        <f>IF(AD1157="EUR",((T1157-R1157)*Y1157)*U1157+(R1157*Y1157),(T1157*Y1157))</f>
        <v>0</v>
      </c>
      <c r="AC1157" s="37" t="b">
        <v>1</v>
      </c>
      <c r="AD1157" s="37" t="s">
        <v>38</v>
      </c>
      <c r="AE1157" s="37" t="s">
        <v>38</v>
      </c>
      <c r="AF1157" s="37" t="str">
        <f t="array" ref="AF1157">INDEX('Deal Info'!D:D, MATCH(A1157,'Deal Info'!A:A, 0))</f>
        <v>DoEV</v>
      </c>
      <c r="AG1157" s="38" t="str">
        <f t="array" ref="AG1157">INDEX('Deal Info'!G:G, MATCH(A1157,'Deal Info'!A:A, 0))</f>
        <v>None</v>
      </c>
    </row>
    <row r="1158" spans="1:33" ht="14.25" hidden="1" x14ac:dyDescent="0.2">
      <c r="A1158" s="18" t="str">
        <f t="array" ref="A1158">IF(G1158='Room Info'!$B$1, INDEX('Room Info'!$A$2:$A2446, MATCH(B1158,'Room Info'!$B$2:$B2446, 0)),IF(G1158='Room Info'!$C$1, INDEX('Room Info'!$A$2:$A2446, MATCH(B1158,'Room Info'!$C$2:$C2446, 0)),IF(G1158='Room Info'!$D$1, INDEX('Room Info'!$A$2:$A2446, MATCH(B1158,'Room Info'!$D$2:$D2446, 0)),IF(G1158='Room Info'!$E$1, INDEX('Room Info'!$A$2:$A2446, MATCH(B1158,'Room Info'!$E$2:$E2446, 0)),IF(G1158='Room Info'!$F$1, INDEX('Room Info'!$A$2:$A2446, MATCH(B1158,'Room Info'!$F$2:$F2446, 0)),IF(G1158='Room Info'!$H$1, INDEX('Room Info'!$A$2:$A2446, MATCH(B1158,'Room Info'!$H$2:$H2446, 0)),IF(G1158='Room Info'!$G$1, INDEX('Room Info'!$A$2:$A2446, MATCH(B1158,'Room Info'!$G$2:$G2446, 0)))))))))</f>
        <v>QQcheliQ</v>
      </c>
      <c r="B1158" s="45" t="s">
        <v>196</v>
      </c>
      <c r="C1158" s="46">
        <v>44774</v>
      </c>
      <c r="D1158" s="46">
        <v>44804</v>
      </c>
      <c r="E1158" s="47">
        <v>44774</v>
      </c>
      <c r="F1158" s="48" t="s">
        <v>34</v>
      </c>
      <c r="G1158" s="45" t="s">
        <v>69</v>
      </c>
      <c r="H1158" s="49" t="s">
        <v>40</v>
      </c>
      <c r="I1158" s="49" t="s">
        <v>37</v>
      </c>
      <c r="J1158" s="50">
        <v>10</v>
      </c>
      <c r="K1158" s="51">
        <v>44</v>
      </c>
      <c r="L1158" s="52">
        <v>130</v>
      </c>
      <c r="M1158" s="53">
        <v>18</v>
      </c>
      <c r="N1158" s="28">
        <f>K1158*J1158</f>
        <v>440</v>
      </c>
      <c r="O1158" s="54">
        <v>4428</v>
      </c>
      <c r="P1158" s="29">
        <v>100.6363636</v>
      </c>
      <c r="Q1158" s="55"/>
      <c r="R1158" s="31">
        <f>M1158+Q1158</f>
        <v>18</v>
      </c>
      <c r="S1158" s="56">
        <v>54</v>
      </c>
      <c r="T1158" s="32">
        <f>R1158+S1158+IF(F1158="Without EV deal",L1158,0)</f>
        <v>72</v>
      </c>
      <c r="U1158" s="57">
        <v>1</v>
      </c>
      <c r="V1158" s="58"/>
      <c r="W1158" s="58"/>
      <c r="X1158" s="78">
        <v>0.17</v>
      </c>
      <c r="Y1158" s="30">
        <f>IF(AG1158="None",0,IF(AG1158="Fix5",0.05, IF(AG1158="Fix6.25",0.0625,IF(AG1158="Fix3.75",0.0375,IF(AG1158="Fix10",0.1,IF(AG1158="Fix3",0.03,0))))))</f>
        <v>0</v>
      </c>
      <c r="Z1158" s="35">
        <f>T1158-AA1158-AB1158</f>
        <v>60</v>
      </c>
      <c r="AA1158" s="60">
        <v>12</v>
      </c>
      <c r="AB1158" s="36">
        <f>IF(AD1158="EUR",((T1158-R1158)*Y1158)*U1158+(R1158*Y1158),(T1158*Y1158))</f>
        <v>0</v>
      </c>
      <c r="AC1158" s="37" t="b">
        <v>1</v>
      </c>
      <c r="AD1158" s="37" t="s">
        <v>38</v>
      </c>
      <c r="AE1158" s="37" t="s">
        <v>38</v>
      </c>
      <c r="AF1158" s="37" t="str">
        <f t="array" ref="AF1158">INDEX('Deal Info'!D:D, MATCH(A1158,'Deal Info'!A:A, 0))</f>
        <v>DoEV</v>
      </c>
      <c r="AG1158" s="38" t="str">
        <f t="array" ref="AG1158">INDEX('Deal Info'!G:G, MATCH(A1158,'Deal Info'!A:A, 0))</f>
        <v>None</v>
      </c>
    </row>
    <row r="1159" spans="1:33" ht="14.25" hidden="1" x14ac:dyDescent="0.2">
      <c r="A1159" s="18" t="str">
        <f t="array" ref="A1159">IF(G1159='Room Info'!$B$1, INDEX('Room Info'!$A$2:$A2446, MATCH(B1159,'Room Info'!$B$2:$B2446, 0)),IF(G1159='Room Info'!$C$1, INDEX('Room Info'!$A$2:$A2446, MATCH(B1159,'Room Info'!$C$2:$C2446, 0)),IF(G1159='Room Info'!$D$1, INDEX('Room Info'!$A$2:$A2446, MATCH(B1159,'Room Info'!$D$2:$D2446, 0)),IF(G1159='Room Info'!$E$1, INDEX('Room Info'!$A$2:$A2446, MATCH(B1159,'Room Info'!$E$2:$E2446, 0)),IF(G1159='Room Info'!$F$1, INDEX('Room Info'!$A$2:$A2446, MATCH(B1159,'Room Info'!$F$2:$F2446, 0)),IF(G1159='Room Info'!$H$1, INDEX('Room Info'!$A$2:$A2446, MATCH(B1159,'Room Info'!$H$2:$H2446, 0)),IF(G1159='Room Info'!$G$1, INDEX('Room Info'!$A$2:$A2446, MATCH(B1159,'Room Info'!$G$2:$G2446, 0)))))))))</f>
        <v>QQcheliQ</v>
      </c>
      <c r="B1159" s="45" t="s">
        <v>195</v>
      </c>
      <c r="C1159" s="46">
        <v>44794</v>
      </c>
      <c r="D1159" s="46">
        <v>44824</v>
      </c>
      <c r="E1159" s="47">
        <v>44805</v>
      </c>
      <c r="F1159" s="48" t="s">
        <v>34</v>
      </c>
      <c r="G1159" s="45" t="s">
        <v>35</v>
      </c>
      <c r="H1159" s="49" t="s">
        <v>39</v>
      </c>
      <c r="I1159" s="49" t="s">
        <v>37</v>
      </c>
      <c r="J1159" s="50">
        <v>5</v>
      </c>
      <c r="K1159" s="51">
        <v>122</v>
      </c>
      <c r="L1159" s="52">
        <v>55</v>
      </c>
      <c r="M1159" s="53">
        <v>37</v>
      </c>
      <c r="N1159" s="28">
        <f>K1159*J1159</f>
        <v>610</v>
      </c>
      <c r="O1159" s="54">
        <v>8511</v>
      </c>
      <c r="P1159" s="29">
        <v>69.762295080000001</v>
      </c>
      <c r="Q1159" s="55"/>
      <c r="R1159" s="31">
        <f>M1159+Q1159</f>
        <v>37</v>
      </c>
      <c r="S1159" s="56">
        <v>23</v>
      </c>
      <c r="T1159" s="32">
        <f>R1159+S1159+IF(F1159="Without EV deal",L1159,0)</f>
        <v>60</v>
      </c>
      <c r="U1159" s="57">
        <v>1</v>
      </c>
      <c r="V1159" s="58"/>
      <c r="W1159" s="58"/>
      <c r="X1159" s="78">
        <v>0.17</v>
      </c>
      <c r="Y1159" s="30">
        <f>IF(AG1159="None",0,IF(AG1159="Fix5",0.05, IF(AG1159="Fix6.25",0.0625,IF(AG1159="Fix3.75",0.0375,IF(AG1159="Fix10",0.1,IF(AG1159="Fix3",0.03,0))))))</f>
        <v>0</v>
      </c>
      <c r="Z1159" s="35">
        <f>T1159-AA1159-AB1159</f>
        <v>50</v>
      </c>
      <c r="AA1159" s="60">
        <v>10</v>
      </c>
      <c r="AB1159" s="36">
        <f>IF(AD1159="EUR",((T1159-R1159)*Y1159)*U1159+(R1159*Y1159),(T1159*Y1159))</f>
        <v>0</v>
      </c>
      <c r="AC1159" s="37" t="b">
        <v>1</v>
      </c>
      <c r="AD1159" s="37" t="s">
        <v>38</v>
      </c>
      <c r="AE1159" s="37" t="s">
        <v>38</v>
      </c>
      <c r="AF1159" s="37" t="str">
        <f t="array" ref="AF1159">INDEX('Deal Info'!D:D, MATCH(A1159,'Deal Info'!A:A, 0))</f>
        <v>DoEV</v>
      </c>
      <c r="AG1159" s="38" t="str">
        <f t="array" ref="AG1159">INDEX('Deal Info'!G:G, MATCH(A1159,'Deal Info'!A:A, 0))</f>
        <v>None</v>
      </c>
    </row>
    <row r="1160" spans="1:33" ht="14.25" hidden="1" x14ac:dyDescent="0.2">
      <c r="A1160" s="18" t="str">
        <f t="array" ref="A1160">IF(G1160='Room Info'!$B$1, INDEX('Room Info'!$A$2:$A2446, MATCH(B1160,'Room Info'!$B$2:$B2446, 0)),IF(G1160='Room Info'!$C$1, INDEX('Room Info'!$A$2:$A2446, MATCH(B1160,'Room Info'!$C$2:$C2446, 0)),IF(G1160='Room Info'!$D$1, INDEX('Room Info'!$A$2:$A2446, MATCH(B1160,'Room Info'!$D$2:$D2446, 0)),IF(G1160='Room Info'!$E$1, INDEX('Room Info'!$A$2:$A2446, MATCH(B1160,'Room Info'!$E$2:$E2446, 0)),IF(G1160='Room Info'!$F$1, INDEX('Room Info'!$A$2:$A2446, MATCH(B1160,'Room Info'!$F$2:$F2446, 0)),IF(G1160='Room Info'!$H$1, INDEX('Room Info'!$A$2:$A2446, MATCH(B1160,'Room Info'!$H$2:$H2446, 0)),IF(G1160='Room Info'!$G$1, INDEX('Room Info'!$A$2:$A2446, MATCH(B1160,'Room Info'!$G$2:$G2446, 0)))))))))</f>
        <v>QQcheliQ</v>
      </c>
      <c r="B1160" s="45" t="s">
        <v>195</v>
      </c>
      <c r="C1160" s="46">
        <v>44794</v>
      </c>
      <c r="D1160" s="46">
        <v>44824</v>
      </c>
      <c r="E1160" s="47">
        <v>44805</v>
      </c>
      <c r="F1160" s="48" t="s">
        <v>34</v>
      </c>
      <c r="G1160" s="45" t="s">
        <v>35</v>
      </c>
      <c r="H1160" s="49" t="s">
        <v>40</v>
      </c>
      <c r="I1160" s="49" t="s">
        <v>37</v>
      </c>
      <c r="J1160" s="50">
        <v>10</v>
      </c>
      <c r="K1160" s="51">
        <v>19</v>
      </c>
      <c r="L1160" s="52">
        <v>0</v>
      </c>
      <c r="M1160" s="53">
        <v>10</v>
      </c>
      <c r="N1160" s="28">
        <f>K1160*J1160</f>
        <v>190</v>
      </c>
      <c r="O1160" s="54">
        <v>2062</v>
      </c>
      <c r="P1160" s="29">
        <v>108.52631580000001</v>
      </c>
      <c r="Q1160" s="55"/>
      <c r="R1160" s="31">
        <f>M1160+Q1160</f>
        <v>10</v>
      </c>
      <c r="S1160" s="56">
        <v>24</v>
      </c>
      <c r="T1160" s="32">
        <f>R1160+S1160+IF(F1160="Without EV deal",L1160,0)</f>
        <v>34</v>
      </c>
      <c r="U1160" s="57">
        <v>1</v>
      </c>
      <c r="V1160" s="58"/>
      <c r="W1160" s="58"/>
      <c r="X1160" s="78">
        <v>0.17</v>
      </c>
      <c r="Y1160" s="30">
        <f>IF(AG1160="None",0,IF(AG1160="Fix5",0.05, IF(AG1160="Fix6.25",0.0625,IF(AG1160="Fix3.75",0.0375,IF(AG1160="Fix10",0.1,IF(AG1160="Fix3",0.03,0))))))</f>
        <v>0</v>
      </c>
      <c r="Z1160" s="35">
        <f>T1160-AA1160-AB1160</f>
        <v>28</v>
      </c>
      <c r="AA1160" s="60">
        <v>6</v>
      </c>
      <c r="AB1160" s="36">
        <f>IF(AD1160="EUR",((T1160-R1160)*Y1160)*U1160+(R1160*Y1160),(T1160*Y1160))</f>
        <v>0</v>
      </c>
      <c r="AC1160" s="37" t="b">
        <v>1</v>
      </c>
      <c r="AD1160" s="37" t="s">
        <v>38</v>
      </c>
      <c r="AE1160" s="37" t="s">
        <v>38</v>
      </c>
      <c r="AF1160" s="37" t="str">
        <f t="array" ref="AF1160">INDEX('Deal Info'!D:D, MATCH(A1160,'Deal Info'!A:A, 0))</f>
        <v>DoEV</v>
      </c>
      <c r="AG1160" s="38" t="str">
        <f t="array" ref="AG1160">INDEX('Deal Info'!G:G, MATCH(A1160,'Deal Info'!A:A, 0))</f>
        <v>None</v>
      </c>
    </row>
    <row r="1161" spans="1:33" ht="14.25" hidden="1" x14ac:dyDescent="0.2">
      <c r="A1161" s="18" t="str">
        <f t="array" ref="A1161">IF(G1161='Room Info'!$B$1, INDEX('Room Info'!$A$2:$A2446, MATCH(B1161,'Room Info'!$B$2:$B2446, 0)),IF(G1161='Room Info'!$C$1, INDEX('Room Info'!$A$2:$A2446, MATCH(B1161,'Room Info'!$C$2:$C2446, 0)),IF(G1161='Room Info'!$D$1, INDEX('Room Info'!$A$2:$A2446, MATCH(B1161,'Room Info'!$D$2:$D2446, 0)),IF(G1161='Room Info'!$E$1, INDEX('Room Info'!$A$2:$A2446, MATCH(B1161,'Room Info'!$E$2:$E2446, 0)),IF(G1161='Room Info'!$F$1, INDEX('Room Info'!$A$2:$A2446, MATCH(B1161,'Room Info'!$F$2:$F2446, 0)),IF(G1161='Room Info'!$H$1, INDEX('Room Info'!$A$2:$A2446, MATCH(B1161,'Room Info'!$H$2:$H2446, 0)),IF(G1161='Room Info'!$G$1, INDEX('Room Info'!$A$2:$A2446, MATCH(B1161,'Room Info'!$G$2:$G2446, 0)))))))))</f>
        <v>QQcheliQ</v>
      </c>
      <c r="B1161" s="45" t="s">
        <v>195</v>
      </c>
      <c r="C1161" s="99">
        <v>44794</v>
      </c>
      <c r="D1161" s="99">
        <v>44824</v>
      </c>
      <c r="E1161" s="47">
        <v>44805</v>
      </c>
      <c r="F1161" s="45" t="s">
        <v>34</v>
      </c>
      <c r="G1161" s="45" t="s">
        <v>35</v>
      </c>
      <c r="H1161" s="91" t="s">
        <v>46</v>
      </c>
      <c r="I1161" s="49" t="s">
        <v>37</v>
      </c>
      <c r="J1161" s="74">
        <v>25</v>
      </c>
      <c r="K1161" s="75">
        <v>1774</v>
      </c>
      <c r="L1161" s="72">
        <v>-750</v>
      </c>
      <c r="M1161" s="76">
        <v>2008</v>
      </c>
      <c r="N1161" s="28">
        <f>K1161*J1161</f>
        <v>44350</v>
      </c>
      <c r="O1161" s="45">
        <v>63008</v>
      </c>
      <c r="P1161" s="29">
        <v>35.517474630000002</v>
      </c>
      <c r="Q1161" s="55"/>
      <c r="R1161" s="31">
        <f>M1161+Q1161</f>
        <v>2008</v>
      </c>
      <c r="S1161" s="73">
        <v>57</v>
      </c>
      <c r="T1161" s="32">
        <f>R1161+S1161+IF(F1161="Without EV deal",L1161,0)</f>
        <v>2065</v>
      </c>
      <c r="U1161" s="57">
        <v>1</v>
      </c>
      <c r="V1161" s="58"/>
      <c r="W1161" s="58"/>
      <c r="X1161" s="78">
        <v>0.17</v>
      </c>
      <c r="Y1161" s="30">
        <f>IF(AG1161="None",0,IF(AG1161="Fix5",0.05, IF(AG1161="Fix6.25",0.0625,IF(AG1161="Fix3.75",0.0375,IF(AG1161="Fix10",0.1,IF(AG1161="Fix3",0.03,0))))))</f>
        <v>0</v>
      </c>
      <c r="Z1161" s="35">
        <f>T1161-AA1161-AB1161</f>
        <v>1713</v>
      </c>
      <c r="AA1161" s="60">
        <v>352</v>
      </c>
      <c r="AB1161" s="36">
        <f>IF(AD1161="EUR",((T1161-R1161)*Y1161)*U1161+(R1161*Y1161),(T1161*Y1161))</f>
        <v>0</v>
      </c>
      <c r="AC1161" s="37" t="b">
        <v>1</v>
      </c>
      <c r="AD1161" s="37" t="s">
        <v>38</v>
      </c>
      <c r="AE1161" s="37" t="s">
        <v>38</v>
      </c>
      <c r="AF1161" s="37" t="str">
        <f t="array" ref="AF1161">INDEX('Deal Info'!D:D, MATCH(A1161,'Deal Info'!A:A, 0))</f>
        <v>DoEV</v>
      </c>
      <c r="AG1161" s="38" t="str">
        <f t="array" ref="AG1161">INDEX('Deal Info'!G:G, MATCH(A1161,'Deal Info'!A:A, 0))</f>
        <v>None</v>
      </c>
    </row>
    <row r="1162" spans="1:33" ht="14.25" hidden="1" x14ac:dyDescent="0.2">
      <c r="A1162" s="18" t="str">
        <f t="array" ref="A1162">IF(G1162='Room Info'!$B$1, INDEX('Room Info'!$A$2:$A2446, MATCH(B1162,'Room Info'!$B$2:$B2446, 0)),IF(G1162='Room Info'!$C$1, INDEX('Room Info'!$A$2:$A2446, MATCH(B1162,'Room Info'!$C$2:$C2446, 0)),IF(G1162='Room Info'!$D$1, INDEX('Room Info'!$A$2:$A2446, MATCH(B1162,'Room Info'!$D$2:$D2446, 0)),IF(G1162='Room Info'!$E$1, INDEX('Room Info'!$A$2:$A2446, MATCH(B1162,'Room Info'!$E$2:$E2446, 0)),IF(G1162='Room Info'!$F$1, INDEX('Room Info'!$A$2:$A2446, MATCH(B1162,'Room Info'!$F$2:$F2446, 0)),IF(G1162='Room Info'!$H$1, INDEX('Room Info'!$A$2:$A2446, MATCH(B1162,'Room Info'!$H$2:$H2446, 0)),IF(G1162='Room Info'!$G$1, INDEX('Room Info'!$A$2:$A2446, MATCH(B1162,'Room Info'!$G$2:$G2446, 0)))))))))</f>
        <v>QQcheliQ</v>
      </c>
      <c r="B1162" s="45" t="s">
        <v>195</v>
      </c>
      <c r="C1162" s="99">
        <v>44794</v>
      </c>
      <c r="D1162" s="99">
        <v>44824</v>
      </c>
      <c r="E1162" s="47">
        <v>44805</v>
      </c>
      <c r="F1162" s="45" t="s">
        <v>41</v>
      </c>
      <c r="G1162" s="45" t="s">
        <v>35</v>
      </c>
      <c r="H1162" s="49" t="s">
        <v>51</v>
      </c>
      <c r="I1162" s="49" t="s">
        <v>44</v>
      </c>
      <c r="J1162" s="50">
        <v>0.25</v>
      </c>
      <c r="K1162" s="51">
        <v>2</v>
      </c>
      <c r="L1162" s="52">
        <v>-0.5</v>
      </c>
      <c r="M1162" s="62"/>
      <c r="N1162" s="28">
        <f>K1162*J1162</f>
        <v>0.5</v>
      </c>
      <c r="O1162" s="65"/>
      <c r="P1162" s="29">
        <v>0</v>
      </c>
      <c r="Q1162" s="55"/>
      <c r="R1162" s="31">
        <f>M1162+Q1162</f>
        <v>0</v>
      </c>
      <c r="S1162" s="66"/>
      <c r="T1162" s="32">
        <f>R1162+S1162+IF(F1162="Without EV deal",L1162,0)</f>
        <v>-0.5</v>
      </c>
      <c r="U1162" s="57">
        <v>1</v>
      </c>
      <c r="V1162" s="58"/>
      <c r="W1162" s="58"/>
      <c r="X1162" s="78">
        <v>0.17</v>
      </c>
      <c r="Y1162" s="30">
        <f>IF(AG1162="None",0,IF(AG1162="Fix5",0.05, IF(AG1162="Fix6.25",0.0625,IF(AG1162="Fix3.75",0.0375,IF(AG1162="Fix10",0.1,IF(AG1162="Fix3",0.03,0))))))</f>
        <v>0</v>
      </c>
      <c r="Z1162" s="35">
        <f>T1162-AA1162-AB1162</f>
        <v>-0.5</v>
      </c>
      <c r="AA1162" s="60">
        <v>0</v>
      </c>
      <c r="AB1162" s="36">
        <f>IF(AD1162="EUR",((T1162-R1162)*Y1162)*U1162+(R1162*Y1162),(T1162*Y1162))</f>
        <v>0</v>
      </c>
      <c r="AC1162" s="37" t="b">
        <v>1</v>
      </c>
      <c r="AD1162" s="37" t="s">
        <v>38</v>
      </c>
      <c r="AE1162" s="37" t="s">
        <v>38</v>
      </c>
      <c r="AF1162" s="37" t="str">
        <f t="array" ref="AF1162">INDEX('Deal Info'!D:D, MATCH(A1162,'Deal Info'!A:A, 0))</f>
        <v>DoEV</v>
      </c>
      <c r="AG1162" s="38" t="str">
        <f t="array" ref="AG1162">INDEX('Deal Info'!G:G, MATCH(A1162,'Deal Info'!A:A, 0))</f>
        <v>None</v>
      </c>
    </row>
    <row r="1163" spans="1:33" ht="14.25" hidden="1" x14ac:dyDescent="0.2">
      <c r="A1163" s="18" t="str">
        <f t="array" ref="A1163">IF(G1163='Room Info'!$B$1, INDEX('Room Info'!$A$2:$A2446, MATCH(B1163,'Room Info'!$B$2:$B2446, 0)),IF(G1163='Room Info'!$C$1, INDEX('Room Info'!$A$2:$A2446, MATCH(B1163,'Room Info'!$C$2:$C2446, 0)),IF(G1163='Room Info'!$D$1, INDEX('Room Info'!$A$2:$A2446, MATCH(B1163,'Room Info'!$D$2:$D2446, 0)),IF(G1163='Room Info'!$E$1, INDEX('Room Info'!$A$2:$A2446, MATCH(B1163,'Room Info'!$E$2:$E2446, 0)),IF(G1163='Room Info'!$F$1, INDEX('Room Info'!$A$2:$A2446, MATCH(B1163,'Room Info'!$F$2:$F2446, 0)),IF(G1163='Room Info'!$H$1, INDEX('Room Info'!$A$2:$A2446, MATCH(B1163,'Room Info'!$H$2:$H2446, 0)),IF(G1163='Room Info'!$G$1, INDEX('Room Info'!$A$2:$A2446, MATCH(B1163,'Room Info'!$G$2:$G2446, 0)))))))))</f>
        <v>QQcheliQ</v>
      </c>
      <c r="B1163" s="45" t="s">
        <v>195</v>
      </c>
      <c r="C1163" s="99">
        <v>44794</v>
      </c>
      <c r="D1163" s="99">
        <v>44824</v>
      </c>
      <c r="E1163" s="47">
        <v>44805</v>
      </c>
      <c r="F1163" s="45" t="s">
        <v>41</v>
      </c>
      <c r="G1163" s="45" t="s">
        <v>35</v>
      </c>
      <c r="H1163" s="49" t="s">
        <v>47</v>
      </c>
      <c r="I1163" s="49" t="s">
        <v>44</v>
      </c>
      <c r="J1163" s="50">
        <v>1</v>
      </c>
      <c r="K1163" s="51">
        <v>1</v>
      </c>
      <c r="L1163" s="52">
        <v>-1</v>
      </c>
      <c r="M1163" s="62"/>
      <c r="N1163" s="28">
        <f>K1163*J1163</f>
        <v>1</v>
      </c>
      <c r="O1163" s="65"/>
      <c r="P1163" s="29">
        <v>0</v>
      </c>
      <c r="Q1163" s="55"/>
      <c r="R1163" s="31">
        <f>M1163+Q1163</f>
        <v>0</v>
      </c>
      <c r="S1163" s="66"/>
      <c r="T1163" s="32">
        <f>R1163+S1163+IF(F1163="Without EV deal",L1163,0)</f>
        <v>-1</v>
      </c>
      <c r="U1163" s="57">
        <v>1</v>
      </c>
      <c r="V1163" s="58"/>
      <c r="W1163" s="58"/>
      <c r="X1163" s="78">
        <v>0.17</v>
      </c>
      <c r="Y1163" s="30">
        <f>IF(AG1163="None",0,IF(AG1163="Fix5",0.05, IF(AG1163="Fix6.25",0.0625,IF(AG1163="Fix3.75",0.0375,IF(AG1163="Fix10",0.1,IF(AG1163="Fix3",0.03,0))))))</f>
        <v>0</v>
      </c>
      <c r="Z1163" s="35">
        <f>T1163-AA1163-AB1163</f>
        <v>-1</v>
      </c>
      <c r="AA1163" s="60">
        <v>0</v>
      </c>
      <c r="AB1163" s="36">
        <f>IF(AD1163="EUR",((T1163-R1163)*Y1163)*U1163+(R1163*Y1163),(T1163*Y1163))</f>
        <v>0</v>
      </c>
      <c r="AC1163" s="37" t="b">
        <v>1</v>
      </c>
      <c r="AD1163" s="37" t="s">
        <v>38</v>
      </c>
      <c r="AE1163" s="37" t="s">
        <v>38</v>
      </c>
      <c r="AF1163" s="37" t="str">
        <f t="array" ref="AF1163">INDEX('Deal Info'!D:D, MATCH(A1163,'Deal Info'!A:A, 0))</f>
        <v>DoEV</v>
      </c>
      <c r="AG1163" s="38" t="str">
        <f t="array" ref="AG1163">INDEX('Deal Info'!G:G, MATCH(A1163,'Deal Info'!A:A, 0))</f>
        <v>None</v>
      </c>
    </row>
    <row r="1164" spans="1:33" ht="14.25" hidden="1" x14ac:dyDescent="0.2">
      <c r="A1164" s="18" t="str">
        <f t="array" ref="A1164">IF(G1164='Room Info'!$B$1, INDEX('Room Info'!$A$2:$A2446, MATCH(B1164,'Room Info'!$B$2:$B2446, 0)),IF(G1164='Room Info'!$C$1, INDEX('Room Info'!$A$2:$A2446, MATCH(B1164,'Room Info'!$C$2:$C2446, 0)),IF(G1164='Room Info'!$D$1, INDEX('Room Info'!$A$2:$A2446, MATCH(B1164,'Room Info'!$D$2:$D2446, 0)),IF(G1164='Room Info'!$E$1, INDEX('Room Info'!$A$2:$A2446, MATCH(B1164,'Room Info'!$E$2:$E2446, 0)),IF(G1164='Room Info'!$F$1, INDEX('Room Info'!$A$2:$A2446, MATCH(B1164,'Room Info'!$F$2:$F2446, 0)),IF(G1164='Room Info'!$H$1, INDEX('Room Info'!$A$2:$A2446, MATCH(B1164,'Room Info'!$H$2:$H2446, 0)),IF(G1164='Room Info'!$G$1, INDEX('Room Info'!$A$2:$A2446, MATCH(B1164,'Room Info'!$G$2:$G2446, 0)))))))))</f>
        <v>QQcheliQ</v>
      </c>
      <c r="B1164" s="45" t="s">
        <v>195</v>
      </c>
      <c r="C1164" s="46">
        <v>44825</v>
      </c>
      <c r="D1164" s="46">
        <v>44854</v>
      </c>
      <c r="E1164" s="47">
        <v>44835</v>
      </c>
      <c r="F1164" s="48" t="s">
        <v>34</v>
      </c>
      <c r="G1164" s="45" t="s">
        <v>35</v>
      </c>
      <c r="H1164" s="49" t="s">
        <v>46</v>
      </c>
      <c r="I1164" s="49" t="s">
        <v>37</v>
      </c>
      <c r="J1164" s="50">
        <v>25</v>
      </c>
      <c r="K1164" s="51">
        <v>730</v>
      </c>
      <c r="L1164" s="52">
        <v>-1475</v>
      </c>
      <c r="M1164" s="53">
        <v>225</v>
      </c>
      <c r="N1164" s="28">
        <f>K1164*J1164</f>
        <v>18250</v>
      </c>
      <c r="O1164" s="54">
        <v>9494</v>
      </c>
      <c r="P1164" s="29">
        <v>13.005479449999999</v>
      </c>
      <c r="Q1164" s="55"/>
      <c r="R1164" s="31">
        <f>M1164+Q1164</f>
        <v>225</v>
      </c>
      <c r="S1164" s="56">
        <v>-726</v>
      </c>
      <c r="T1164" s="32">
        <f>R1164+S1164+IF(F1164="Without EV deal",L1164,0)</f>
        <v>-501</v>
      </c>
      <c r="U1164" s="57">
        <v>1</v>
      </c>
      <c r="V1164" s="58"/>
      <c r="W1164" s="58"/>
      <c r="X1164" s="78">
        <v>0.3</v>
      </c>
      <c r="Y1164" s="30">
        <f>IF(AG1164="None",0,IF(AG1164="Fix5",0.05, IF(AG1164="Fix6.25",0.0625,IF(AG1164="Fix3.75",0.0375,IF(AG1164="Fix10",0.1,IF(AG1164="Fix3",0.03,0))))))</f>
        <v>0</v>
      </c>
      <c r="Z1164" s="35">
        <f>T1164-AA1164-AB1164</f>
        <v>-347</v>
      </c>
      <c r="AA1164" s="60">
        <v>-154</v>
      </c>
      <c r="AB1164" s="36">
        <f>IF(AD1164="EUR",((T1164-R1164)*Y1164)*U1164+(R1164*Y1164),(T1164*Y1164))</f>
        <v>0</v>
      </c>
      <c r="AC1164" s="37" t="b">
        <v>1</v>
      </c>
      <c r="AD1164" s="37" t="s">
        <v>38</v>
      </c>
      <c r="AE1164" s="37" t="s">
        <v>38</v>
      </c>
      <c r="AF1164" s="37" t="str">
        <f t="array" ref="AF1164">INDEX('Deal Info'!D:D, MATCH(A1164,'Deal Info'!A:A, 0))</f>
        <v>DoEV</v>
      </c>
      <c r="AG1164" s="38" t="str">
        <f t="array" ref="AG1164">INDEX('Deal Info'!G:G, MATCH(A1164,'Deal Info'!A:A, 0))</f>
        <v>None</v>
      </c>
    </row>
    <row r="1165" spans="1:33" ht="14.25" hidden="1" x14ac:dyDescent="0.2">
      <c r="A1165" s="18" t="str">
        <f t="array" ref="A1165">IF(G1165='Room Info'!$B$1, INDEX('Room Info'!$A$2:$A2446, MATCH(B1165,'Room Info'!$B$2:$B2446, 0)),IF(G1165='Room Info'!$C$1, INDEX('Room Info'!$A$2:$A2446, MATCH(B1165,'Room Info'!$C$2:$C2446, 0)),IF(G1165='Room Info'!$D$1, INDEX('Room Info'!$A$2:$A2446, MATCH(B1165,'Room Info'!$D$2:$D2446, 0)),IF(G1165='Room Info'!$E$1, INDEX('Room Info'!$A$2:$A2446, MATCH(B1165,'Room Info'!$E$2:$E2446, 0)),IF(G1165='Room Info'!$F$1, INDEX('Room Info'!$A$2:$A2446, MATCH(B1165,'Room Info'!$F$2:$F2446, 0)),IF(G1165='Room Info'!$H$1, INDEX('Room Info'!$A$2:$A2446, MATCH(B1165,'Room Info'!$H$2:$H2446, 0)),IF(G1165='Room Info'!$G$1, INDEX('Room Info'!$A$2:$A2446, MATCH(B1165,'Room Info'!$G$2:$G2446, 0)))))))))</f>
        <v>QQcheliQ</v>
      </c>
      <c r="B1165" s="45" t="s">
        <v>195</v>
      </c>
      <c r="C1165" s="46">
        <v>44855</v>
      </c>
      <c r="D1165" s="46">
        <v>44885</v>
      </c>
      <c r="E1165" s="47">
        <v>44866</v>
      </c>
      <c r="F1165" s="45" t="s">
        <v>34</v>
      </c>
      <c r="G1165" s="45" t="s">
        <v>35</v>
      </c>
      <c r="H1165" s="49" t="s">
        <v>39</v>
      </c>
      <c r="I1165" s="49" t="s">
        <v>37</v>
      </c>
      <c r="J1165" s="50">
        <v>5</v>
      </c>
      <c r="K1165" s="51">
        <v>38</v>
      </c>
      <c r="L1165" s="52">
        <v>-10</v>
      </c>
      <c r="M1165" s="53">
        <v>10</v>
      </c>
      <c r="N1165" s="28">
        <f>K1165*J1165</f>
        <v>190</v>
      </c>
      <c r="O1165" s="54">
        <v>1888</v>
      </c>
      <c r="P1165" s="29">
        <v>49.684210530000001</v>
      </c>
      <c r="Q1165" s="55"/>
      <c r="R1165" s="31">
        <f>M1165+Q1165</f>
        <v>10</v>
      </c>
      <c r="S1165" s="56">
        <v>0</v>
      </c>
      <c r="T1165" s="32">
        <f>R1165+S1165+IF(F1165="Without EV deal",L1165,0)</f>
        <v>10</v>
      </c>
      <c r="U1165" s="57">
        <v>1</v>
      </c>
      <c r="V1165" s="58"/>
      <c r="W1165" s="58"/>
      <c r="X1165" s="78">
        <v>0.3</v>
      </c>
      <c r="Y1165" s="30">
        <f>IF(AG1165="None",0,IF(AG1165="Fix5",0.05, IF(AG1165="Fix6.25",0.0625,IF(AG1165="Fix3.75",0.0375,IF(AG1165="Fix10",0.1,IF(AG1165="Fix3",0.03,0))))))</f>
        <v>0</v>
      </c>
      <c r="Z1165" s="35">
        <f>T1165-AA1165-AB1165</f>
        <v>7</v>
      </c>
      <c r="AA1165" s="60">
        <v>3</v>
      </c>
      <c r="AB1165" s="36">
        <f>IF(AD1165="EUR",((T1165-R1165)*Y1165)*U1165+(R1165*Y1165),(T1165*Y1165))</f>
        <v>0</v>
      </c>
      <c r="AC1165" s="37" t="b">
        <v>1</v>
      </c>
      <c r="AD1165" s="37" t="s">
        <v>38</v>
      </c>
      <c r="AE1165" s="37" t="s">
        <v>38</v>
      </c>
      <c r="AF1165" s="37" t="str">
        <f t="array" ref="AF1165">INDEX('Deal Info'!D:D, MATCH(A1165,'Deal Info'!A:A, 0))</f>
        <v>DoEV</v>
      </c>
      <c r="AG1165" s="38" t="str">
        <f t="array" ref="AG1165">INDEX('Deal Info'!G:G, MATCH(A1165,'Deal Info'!A:A, 0))</f>
        <v>None</v>
      </c>
    </row>
    <row r="1166" spans="1:33" ht="14.25" hidden="1" x14ac:dyDescent="0.2">
      <c r="A1166" s="18" t="str">
        <f t="array" ref="A1166">IF(G1166='Room Info'!$B$1, INDEX('Room Info'!$A$2:$A2446, MATCH(B1166,'Room Info'!$B$2:$B2446, 0)),IF(G1166='Room Info'!$C$1, INDEX('Room Info'!$A$2:$A2446, MATCH(B1166,'Room Info'!$C$2:$C2446, 0)),IF(G1166='Room Info'!$D$1, INDEX('Room Info'!$A$2:$A2446, MATCH(B1166,'Room Info'!$D$2:$D2446, 0)),IF(G1166='Room Info'!$E$1, INDEX('Room Info'!$A$2:$A2446, MATCH(B1166,'Room Info'!$E$2:$E2446, 0)),IF(G1166='Room Info'!$F$1, INDEX('Room Info'!$A$2:$A2446, MATCH(B1166,'Room Info'!$F$2:$F2446, 0)),IF(G1166='Room Info'!$H$1, INDEX('Room Info'!$A$2:$A2446, MATCH(B1166,'Room Info'!$H$2:$H2446, 0)),IF(G1166='Room Info'!$G$1, INDEX('Room Info'!$A$2:$A2446, MATCH(B1166,'Room Info'!$G$2:$G2446, 0)))))))))</f>
        <v>QQcheliQ</v>
      </c>
      <c r="B1166" s="45" t="s">
        <v>195</v>
      </c>
      <c r="C1166" s="46">
        <v>44855</v>
      </c>
      <c r="D1166" s="46">
        <v>44885</v>
      </c>
      <c r="E1166" s="47">
        <v>44866</v>
      </c>
      <c r="F1166" s="45" t="s">
        <v>34</v>
      </c>
      <c r="G1166" s="45" t="s">
        <v>35</v>
      </c>
      <c r="H1166" s="49" t="s">
        <v>46</v>
      </c>
      <c r="I1166" s="49" t="s">
        <v>37</v>
      </c>
      <c r="J1166" s="50">
        <v>25</v>
      </c>
      <c r="K1166" s="51">
        <v>1928</v>
      </c>
      <c r="L1166" s="52">
        <v>-1175</v>
      </c>
      <c r="M1166" s="53">
        <v>1895</v>
      </c>
      <c r="N1166" s="28">
        <f>K1166*J1166</f>
        <v>48200</v>
      </c>
      <c r="O1166" s="54">
        <v>43157</v>
      </c>
      <c r="P1166" s="29">
        <v>22.384336099999999</v>
      </c>
      <c r="Q1166" s="55"/>
      <c r="R1166" s="31">
        <f>M1166+Q1166</f>
        <v>1895</v>
      </c>
      <c r="S1166" s="56">
        <v>-1148</v>
      </c>
      <c r="T1166" s="32">
        <f>R1166+S1166+IF(F1166="Without EV deal",L1166,0)</f>
        <v>747</v>
      </c>
      <c r="U1166" s="57">
        <v>1</v>
      </c>
      <c r="V1166" s="58"/>
      <c r="W1166" s="58"/>
      <c r="X1166" s="78">
        <v>0.3</v>
      </c>
      <c r="Y1166" s="30">
        <f>IF(AG1166="None",0,IF(AG1166="Fix5",0.05, IF(AG1166="Fix6.25",0.0625,IF(AG1166="Fix3.75",0.0375,IF(AG1166="Fix10",0.1,IF(AG1166="Fix3",0.03,0))))))</f>
        <v>0</v>
      </c>
      <c r="Z1166" s="35">
        <f>T1166-AA1166-AB1166</f>
        <v>517</v>
      </c>
      <c r="AA1166" s="60">
        <v>230</v>
      </c>
      <c r="AB1166" s="36">
        <f>IF(AD1166="EUR",((T1166-R1166)*Y1166)*U1166+(R1166*Y1166),(T1166*Y1166))</f>
        <v>0</v>
      </c>
      <c r="AC1166" s="37" t="b">
        <v>1</v>
      </c>
      <c r="AD1166" s="37" t="s">
        <v>38</v>
      </c>
      <c r="AE1166" s="37" t="s">
        <v>38</v>
      </c>
      <c r="AF1166" s="37" t="str">
        <f t="array" ref="AF1166">INDEX('Deal Info'!D:D, MATCH(A1166,'Deal Info'!A:A, 0))</f>
        <v>DoEV</v>
      </c>
      <c r="AG1166" s="38" t="str">
        <f t="array" ref="AG1166">INDEX('Deal Info'!G:G, MATCH(A1166,'Deal Info'!A:A, 0))</f>
        <v>None</v>
      </c>
    </row>
    <row r="1167" spans="1:33" ht="14.25" hidden="1" x14ac:dyDescent="0.2">
      <c r="A1167" s="18" t="str">
        <f t="array" ref="A1167">IF(G1167='Room Info'!$B$1, INDEX('Room Info'!$A$2:$A2446, MATCH(B1167,'Room Info'!$B$2:$B2446, 0)),IF(G1167='Room Info'!$C$1, INDEX('Room Info'!$A$2:$A2446, MATCH(B1167,'Room Info'!$C$2:$C2446, 0)),IF(G1167='Room Info'!$D$1, INDEX('Room Info'!$A$2:$A2446, MATCH(B1167,'Room Info'!$D$2:$D2446, 0)),IF(G1167='Room Info'!$E$1, INDEX('Room Info'!$A$2:$A2446, MATCH(B1167,'Room Info'!$E$2:$E2446, 0)),IF(G1167='Room Info'!$F$1, INDEX('Room Info'!$A$2:$A2446, MATCH(B1167,'Room Info'!$F$2:$F2446, 0)),IF(G1167='Room Info'!$H$1, INDEX('Room Info'!$A$2:$A2446, MATCH(B1167,'Room Info'!$H$2:$H2446, 0)),IF(G1167='Room Info'!$G$1, INDEX('Room Info'!$A$2:$A2446, MATCH(B1167,'Room Info'!$G$2:$G2446, 0)))))))))</f>
        <v>QQcheliQ</v>
      </c>
      <c r="B1167" s="45" t="s">
        <v>195</v>
      </c>
      <c r="C1167" s="46">
        <v>44886</v>
      </c>
      <c r="D1167" s="46">
        <v>44915</v>
      </c>
      <c r="E1167" s="47">
        <v>44896</v>
      </c>
      <c r="F1167" s="45" t="s">
        <v>34</v>
      </c>
      <c r="G1167" s="54" t="s">
        <v>35</v>
      </c>
      <c r="H1167" s="49" t="s">
        <v>39</v>
      </c>
      <c r="I1167" s="49" t="s">
        <v>37</v>
      </c>
      <c r="J1167" s="50">
        <v>5</v>
      </c>
      <c r="K1167" s="51">
        <v>4</v>
      </c>
      <c r="L1167" s="52">
        <v>5</v>
      </c>
      <c r="M1167" s="53">
        <v>1</v>
      </c>
      <c r="N1167" s="28">
        <f>K1167*J1167</f>
        <v>20</v>
      </c>
      <c r="O1167" s="54">
        <v>572</v>
      </c>
      <c r="P1167" s="29">
        <v>143</v>
      </c>
      <c r="Q1167" s="55"/>
      <c r="R1167" s="31">
        <f>M1167+Q1167</f>
        <v>1</v>
      </c>
      <c r="S1167" s="56">
        <v>3</v>
      </c>
      <c r="T1167" s="32">
        <f>R1167+S1167+IF(F1167="Without EV deal",L1167,0)</f>
        <v>4</v>
      </c>
      <c r="U1167" s="57">
        <v>1</v>
      </c>
      <c r="V1167" s="58"/>
      <c r="W1167" s="58"/>
      <c r="X1167" s="78">
        <v>0.23</v>
      </c>
      <c r="Y1167" s="30">
        <f>IF(AG1167="None",0,IF(AG1167="Fix5",0.05, IF(AG1167="Fix6.25",0.0625,IF(AG1167="Fix3.75",0.0375,IF(AG1167="Fix10",0.1,IF(AG1167="Fix3",0.03,0))))))</f>
        <v>0</v>
      </c>
      <c r="Z1167" s="35">
        <f>T1167-AA1167-AB1167</f>
        <v>3</v>
      </c>
      <c r="AA1167" s="60">
        <v>1</v>
      </c>
      <c r="AB1167" s="36">
        <f>IF(AD1167="EUR",((T1167-R1167)*Y1167)*U1167+(R1167*Y1167),(T1167*Y1167))</f>
        <v>0</v>
      </c>
      <c r="AC1167" s="37" t="b">
        <v>1</v>
      </c>
      <c r="AD1167" s="37" t="s">
        <v>38</v>
      </c>
      <c r="AE1167" s="37" t="s">
        <v>38</v>
      </c>
      <c r="AF1167" s="37" t="str">
        <f t="array" ref="AF1167">INDEX('Deal Info'!D:D, MATCH(A1167,'Deal Info'!A:A, 0))</f>
        <v>DoEV</v>
      </c>
      <c r="AG1167" s="38" t="str">
        <f t="array" ref="AG1167">INDEX('Deal Info'!G:G, MATCH(A1167,'Deal Info'!A:A, 0))</f>
        <v>None</v>
      </c>
    </row>
    <row r="1168" spans="1:33" ht="14.25" hidden="1" x14ac:dyDescent="0.2">
      <c r="A1168" s="18" t="str">
        <f t="array" ref="A1168">IF(G1168='Room Info'!$B$1, INDEX('Room Info'!$A$2:$A2446, MATCH(B1168,'Room Info'!$B$2:$B2446, 0)),IF(G1168='Room Info'!$C$1, INDEX('Room Info'!$A$2:$A2446, MATCH(B1168,'Room Info'!$C$2:$C2446, 0)),IF(G1168='Room Info'!$D$1, INDEX('Room Info'!$A$2:$A2446, MATCH(B1168,'Room Info'!$D$2:$D2446, 0)),IF(G1168='Room Info'!$E$1, INDEX('Room Info'!$A$2:$A2446, MATCH(B1168,'Room Info'!$E$2:$E2446, 0)),IF(G1168='Room Info'!$F$1, INDEX('Room Info'!$A$2:$A2446, MATCH(B1168,'Room Info'!$F$2:$F2446, 0)),IF(G1168='Room Info'!$H$1, INDEX('Room Info'!$A$2:$A2446, MATCH(B1168,'Room Info'!$H$2:$H2446, 0)),IF(G1168='Room Info'!$G$1, INDEX('Room Info'!$A$2:$A2446, MATCH(B1168,'Room Info'!$G$2:$G2446, 0)))))))))</f>
        <v>QQcheliQ</v>
      </c>
      <c r="B1168" s="45" t="s">
        <v>195</v>
      </c>
      <c r="C1168" s="46">
        <v>44886</v>
      </c>
      <c r="D1168" s="46">
        <v>44915</v>
      </c>
      <c r="E1168" s="47">
        <v>44896</v>
      </c>
      <c r="F1168" s="45" t="s">
        <v>34</v>
      </c>
      <c r="G1168" s="54" t="s">
        <v>35</v>
      </c>
      <c r="H1168" s="49" t="s">
        <v>40</v>
      </c>
      <c r="I1168" s="49" t="s">
        <v>37</v>
      </c>
      <c r="J1168" s="50">
        <v>10</v>
      </c>
      <c r="K1168" s="51">
        <v>1</v>
      </c>
      <c r="L1168" s="52">
        <v>40</v>
      </c>
      <c r="M1168" s="62"/>
      <c r="N1168" s="28">
        <f>K1168*J1168</f>
        <v>10</v>
      </c>
      <c r="O1168" s="54">
        <v>485</v>
      </c>
      <c r="P1168" s="29">
        <v>485</v>
      </c>
      <c r="Q1168" s="55"/>
      <c r="R1168" s="31">
        <f>M1168+Q1168</f>
        <v>0</v>
      </c>
      <c r="S1168" s="56">
        <v>8</v>
      </c>
      <c r="T1168" s="32">
        <f>R1168+S1168+IF(F1168="Without EV deal",L1168,0)</f>
        <v>8</v>
      </c>
      <c r="U1168" s="57">
        <v>1</v>
      </c>
      <c r="V1168" s="58"/>
      <c r="W1168" s="58"/>
      <c r="X1168" s="78">
        <v>0.23</v>
      </c>
      <c r="Y1168" s="30">
        <f>IF(AG1168="None",0,IF(AG1168="Fix5",0.05, IF(AG1168="Fix6.25",0.0625,IF(AG1168="Fix3.75",0.0375,IF(AG1168="Fix10",0.1,IF(AG1168="Fix3",0.03,0))))))</f>
        <v>0</v>
      </c>
      <c r="Z1168" s="35">
        <f>T1168-AA1168-AB1168</f>
        <v>6</v>
      </c>
      <c r="AA1168" s="60">
        <v>2</v>
      </c>
      <c r="AB1168" s="36">
        <f>IF(AD1168="EUR",((T1168-R1168)*Y1168)*U1168+(R1168*Y1168),(T1168*Y1168))</f>
        <v>0</v>
      </c>
      <c r="AC1168" s="37" t="b">
        <v>1</v>
      </c>
      <c r="AD1168" s="37" t="s">
        <v>38</v>
      </c>
      <c r="AE1168" s="37" t="s">
        <v>38</v>
      </c>
      <c r="AF1168" s="37" t="str">
        <f t="array" ref="AF1168">INDEX('Deal Info'!D:D, MATCH(A1168,'Deal Info'!A:A, 0))</f>
        <v>DoEV</v>
      </c>
      <c r="AG1168" s="38" t="str">
        <f t="array" ref="AG1168">INDEX('Deal Info'!G:G, MATCH(A1168,'Deal Info'!A:A, 0))</f>
        <v>None</v>
      </c>
    </row>
    <row r="1169" spans="1:33" ht="14.25" hidden="1" x14ac:dyDescent="0.2">
      <c r="A1169" s="18" t="str">
        <f t="array" ref="A1169">IF(G1169='Room Info'!$B$1, INDEX('Room Info'!$A$2:$A2446, MATCH(B1169,'Room Info'!$B$2:$B2446, 0)),IF(G1169='Room Info'!$C$1, INDEX('Room Info'!$A$2:$A2446, MATCH(B1169,'Room Info'!$C$2:$C2446, 0)),IF(G1169='Room Info'!$D$1, INDEX('Room Info'!$A$2:$A2446, MATCH(B1169,'Room Info'!$D$2:$D2446, 0)),IF(G1169='Room Info'!$E$1, INDEX('Room Info'!$A$2:$A2446, MATCH(B1169,'Room Info'!$E$2:$E2446, 0)),IF(G1169='Room Info'!$F$1, INDEX('Room Info'!$A$2:$A2446, MATCH(B1169,'Room Info'!$F$2:$F2446, 0)),IF(G1169='Room Info'!$H$1, INDEX('Room Info'!$A$2:$A2446, MATCH(B1169,'Room Info'!$H$2:$H2446, 0)),IF(G1169='Room Info'!$G$1, INDEX('Room Info'!$A$2:$A2446, MATCH(B1169,'Room Info'!$G$2:$G2446, 0)))))))))</f>
        <v>QQcheliQ</v>
      </c>
      <c r="B1169" s="45" t="s">
        <v>195</v>
      </c>
      <c r="C1169" s="99">
        <v>44886</v>
      </c>
      <c r="D1169" s="99">
        <v>44915</v>
      </c>
      <c r="E1169" s="47">
        <v>44896</v>
      </c>
      <c r="F1169" s="45" t="s">
        <v>34</v>
      </c>
      <c r="G1169" s="45" t="s">
        <v>35</v>
      </c>
      <c r="H1169" s="49" t="s">
        <v>46</v>
      </c>
      <c r="I1169" s="49" t="s">
        <v>37</v>
      </c>
      <c r="J1169" s="74">
        <v>25</v>
      </c>
      <c r="K1169" s="75">
        <v>2097</v>
      </c>
      <c r="L1169" s="72">
        <v>-2875</v>
      </c>
      <c r="M1169" s="76">
        <v>1767</v>
      </c>
      <c r="N1169" s="28">
        <f>K1169*J1169</f>
        <v>52425</v>
      </c>
      <c r="O1169" s="45">
        <v>58557</v>
      </c>
      <c r="P1169" s="29">
        <v>27.924177400000001</v>
      </c>
      <c r="Q1169" s="55"/>
      <c r="R1169" s="31">
        <f>M1169+Q1169</f>
        <v>1767</v>
      </c>
      <c r="S1169" s="73">
        <v>-631</v>
      </c>
      <c r="T1169" s="32">
        <f>R1169+S1169+IF(F1169="Without EV deal",L1169,0)</f>
        <v>1136</v>
      </c>
      <c r="U1169" s="57">
        <v>1</v>
      </c>
      <c r="V1169" s="58"/>
      <c r="W1169" s="58"/>
      <c r="X1169" s="78">
        <v>0.23</v>
      </c>
      <c r="Y1169" s="30">
        <f>IF(AG1169="None",0,IF(AG1169="Fix5",0.05, IF(AG1169="Fix6.25",0.0625,IF(AG1169="Fix3.75",0.0375,IF(AG1169="Fix10",0.1,IF(AG1169="Fix3",0.03,0))))))</f>
        <v>0</v>
      </c>
      <c r="Z1169" s="35">
        <f>T1169-AA1169-AB1169</f>
        <v>875</v>
      </c>
      <c r="AA1169" s="60">
        <v>261</v>
      </c>
      <c r="AB1169" s="36">
        <f>IF(AD1169="EUR",((T1169-R1169)*Y1169)*U1169+(R1169*Y1169),(T1169*Y1169))</f>
        <v>0</v>
      </c>
      <c r="AC1169" s="37" t="b">
        <v>1</v>
      </c>
      <c r="AD1169" s="37" t="s">
        <v>38</v>
      </c>
      <c r="AE1169" s="37" t="s">
        <v>38</v>
      </c>
      <c r="AF1169" s="37" t="str">
        <f t="array" ref="AF1169">INDEX('Deal Info'!D:D, MATCH(A1169,'Deal Info'!A:A, 0))</f>
        <v>DoEV</v>
      </c>
      <c r="AG1169" s="38" t="str">
        <f t="array" ref="AG1169">INDEX('Deal Info'!G:G, MATCH(A1169,'Deal Info'!A:A, 0))</f>
        <v>None</v>
      </c>
    </row>
    <row r="1170" spans="1:33" ht="14.25" hidden="1" x14ac:dyDescent="0.2">
      <c r="A1170" s="18" t="str">
        <f t="array" ref="A1170">IF(G1170='Room Info'!$B$1, INDEX('Room Info'!$A$2:$A2446, MATCH(B1170,'Room Info'!$B$2:$B2446, 0)),IF(G1170='Room Info'!$C$1, INDEX('Room Info'!$A$2:$A2446, MATCH(B1170,'Room Info'!$C$2:$C2446, 0)),IF(G1170='Room Info'!$D$1, INDEX('Room Info'!$A$2:$A2446, MATCH(B1170,'Room Info'!$D$2:$D2446, 0)),IF(G1170='Room Info'!$E$1, INDEX('Room Info'!$A$2:$A2446, MATCH(B1170,'Room Info'!$E$2:$E2446, 0)),IF(G1170='Room Info'!$F$1, INDEX('Room Info'!$A$2:$A2446, MATCH(B1170,'Room Info'!$F$2:$F2446, 0)),IF(G1170='Room Info'!$H$1, INDEX('Room Info'!$A$2:$A2446, MATCH(B1170,'Room Info'!$H$2:$H2446, 0)),IF(G1170='Room Info'!$G$1, INDEX('Room Info'!$A$2:$A2446, MATCH(B1170,'Room Info'!$G$2:$G2446, 0)))))))))</f>
        <v>QQcheliQ</v>
      </c>
      <c r="B1170" s="45" t="s">
        <v>195</v>
      </c>
      <c r="C1170" s="99">
        <v>44916</v>
      </c>
      <c r="D1170" s="99">
        <v>44946</v>
      </c>
      <c r="E1170" s="47">
        <v>44927</v>
      </c>
      <c r="F1170" s="45" t="s">
        <v>34</v>
      </c>
      <c r="G1170" s="45" t="s">
        <v>35</v>
      </c>
      <c r="H1170" s="49" t="s">
        <v>39</v>
      </c>
      <c r="I1170" s="49" t="s">
        <v>37</v>
      </c>
      <c r="J1170" s="74">
        <v>5</v>
      </c>
      <c r="K1170" s="75">
        <v>22</v>
      </c>
      <c r="L1170" s="72">
        <v>10</v>
      </c>
      <c r="M1170" s="76">
        <v>7</v>
      </c>
      <c r="N1170" s="28">
        <f>K1170*J1170</f>
        <v>110</v>
      </c>
      <c r="O1170" s="45">
        <v>2006</v>
      </c>
      <c r="P1170" s="29">
        <v>91.181818179999993</v>
      </c>
      <c r="Q1170" s="55"/>
      <c r="R1170" s="31">
        <f>M1170+Q1170</f>
        <v>7</v>
      </c>
      <c r="S1170" s="73">
        <v>9</v>
      </c>
      <c r="T1170" s="32">
        <f>R1170+S1170+IF(F1170="Without EV deal",L1170,0)</f>
        <v>16</v>
      </c>
      <c r="U1170" s="57">
        <v>1</v>
      </c>
      <c r="V1170" s="58"/>
      <c r="W1170" s="58"/>
      <c r="X1170" s="78">
        <v>0.23</v>
      </c>
      <c r="Y1170" s="30">
        <f>IF(AG1170="None",0,IF(AG1170="Fix5",0.05, IF(AG1170="Fix6.25",0.0625,IF(AG1170="Fix3.75",0.0375,IF(AG1170="Fix10",0.1,IF(AG1170="Fix3",0.03,0))))))</f>
        <v>0</v>
      </c>
      <c r="Z1170" s="35">
        <f>T1170-AA1170-AB1170</f>
        <v>12</v>
      </c>
      <c r="AA1170" s="60">
        <v>4</v>
      </c>
      <c r="AB1170" s="36">
        <f>IF(AD1170="EUR",((T1170-R1170)*Y1170)*U1170+(R1170*Y1170),(T1170*Y1170))</f>
        <v>0</v>
      </c>
      <c r="AC1170" s="37" t="b">
        <v>1</v>
      </c>
      <c r="AD1170" s="37" t="s">
        <v>38</v>
      </c>
      <c r="AE1170" s="37" t="s">
        <v>38</v>
      </c>
      <c r="AF1170" s="37" t="str">
        <f t="array" ref="AF1170">INDEX('Deal Info'!D:D, MATCH(A1170,'Deal Info'!A:A, 0))</f>
        <v>DoEV</v>
      </c>
      <c r="AG1170" s="38" t="str">
        <f t="array" ref="AG1170">INDEX('Deal Info'!G:G, MATCH(A1170,'Deal Info'!A:A, 0))</f>
        <v>None</v>
      </c>
    </row>
    <row r="1171" spans="1:33" ht="14.25" hidden="1" x14ac:dyDescent="0.2">
      <c r="A1171" s="18" t="str">
        <f t="array" ref="A1171">IF(G1171='Room Info'!$B$1, INDEX('Room Info'!$A$2:$A2446, MATCH(B1171,'Room Info'!$B$2:$B2446, 0)),IF(G1171='Room Info'!$C$1, INDEX('Room Info'!$A$2:$A2446, MATCH(B1171,'Room Info'!$C$2:$C2446, 0)),IF(G1171='Room Info'!$D$1, INDEX('Room Info'!$A$2:$A2446, MATCH(B1171,'Room Info'!$D$2:$D2446, 0)),IF(G1171='Room Info'!$E$1, INDEX('Room Info'!$A$2:$A2446, MATCH(B1171,'Room Info'!$E$2:$E2446, 0)),IF(G1171='Room Info'!$F$1, INDEX('Room Info'!$A$2:$A2446, MATCH(B1171,'Room Info'!$F$2:$F2446, 0)),IF(G1171='Room Info'!$H$1, INDEX('Room Info'!$A$2:$A2446, MATCH(B1171,'Room Info'!$H$2:$H2446, 0)),IF(G1171='Room Info'!$G$1, INDEX('Room Info'!$A$2:$A2446, MATCH(B1171,'Room Info'!$G$2:$G2446, 0)))))))))</f>
        <v>QQcheliQ</v>
      </c>
      <c r="B1171" s="45" t="s">
        <v>195</v>
      </c>
      <c r="C1171" s="46">
        <v>44916</v>
      </c>
      <c r="D1171" s="46">
        <v>44946</v>
      </c>
      <c r="E1171" s="47">
        <v>44927</v>
      </c>
      <c r="F1171" s="48" t="s">
        <v>34</v>
      </c>
      <c r="G1171" s="54" t="s">
        <v>35</v>
      </c>
      <c r="H1171" s="49" t="s">
        <v>40</v>
      </c>
      <c r="I1171" s="49" t="s">
        <v>37</v>
      </c>
      <c r="J1171" s="50">
        <v>10</v>
      </c>
      <c r="K1171" s="51">
        <v>11</v>
      </c>
      <c r="L1171" s="52">
        <v>0</v>
      </c>
      <c r="M1171" s="53">
        <v>6</v>
      </c>
      <c r="N1171" s="28">
        <f>K1171*J1171</f>
        <v>110</v>
      </c>
      <c r="O1171" s="54">
        <v>1210</v>
      </c>
      <c r="P1171" s="29">
        <v>110</v>
      </c>
      <c r="Q1171" s="55"/>
      <c r="R1171" s="31">
        <f>M1171+Q1171</f>
        <v>6</v>
      </c>
      <c r="S1171" s="56">
        <v>14</v>
      </c>
      <c r="T1171" s="32">
        <f>R1171+S1171+IF(F1171="Without EV deal",L1171,0)</f>
        <v>20</v>
      </c>
      <c r="U1171" s="57">
        <v>1</v>
      </c>
      <c r="V1171" s="58"/>
      <c r="W1171" s="58"/>
      <c r="X1171" s="78">
        <v>0.23</v>
      </c>
      <c r="Y1171" s="30">
        <f>IF(AG1171="None",0,IF(AG1171="Fix5",0.05, IF(AG1171="Fix6.25",0.0625,IF(AG1171="Fix3.75",0.0375,IF(AG1171="Fix10",0.1,IF(AG1171="Fix3",0.03,0))))))</f>
        <v>0</v>
      </c>
      <c r="Z1171" s="35">
        <f>T1171-AA1171-AB1171</f>
        <v>15</v>
      </c>
      <c r="AA1171" s="60">
        <v>5</v>
      </c>
      <c r="AB1171" s="36">
        <f>IF(AD1171="EUR",((T1171-R1171)*Y1171)*U1171+(R1171*Y1171),(T1171*Y1171))</f>
        <v>0</v>
      </c>
      <c r="AC1171" s="37" t="b">
        <v>1</v>
      </c>
      <c r="AD1171" s="37" t="s">
        <v>38</v>
      </c>
      <c r="AE1171" s="37" t="s">
        <v>38</v>
      </c>
      <c r="AF1171" s="37" t="str">
        <f t="array" ref="AF1171">INDEX('Deal Info'!D:D, MATCH(A1171,'Deal Info'!A:A, 0))</f>
        <v>DoEV</v>
      </c>
      <c r="AG1171" s="38" t="str">
        <f t="array" ref="AG1171">INDEX('Deal Info'!G:G, MATCH(A1171,'Deal Info'!A:A, 0))</f>
        <v>None</v>
      </c>
    </row>
    <row r="1172" spans="1:33" ht="14.25" hidden="1" x14ac:dyDescent="0.2">
      <c r="A1172" s="18" t="str">
        <f t="array" ref="A1172">IF(G1172='Room Info'!$B$1, INDEX('Room Info'!$A$2:$A2446, MATCH(B1172,'Room Info'!$B$2:$B2446, 0)),IF(G1172='Room Info'!$C$1, INDEX('Room Info'!$A$2:$A2446, MATCH(B1172,'Room Info'!$C$2:$C2446, 0)),IF(G1172='Room Info'!$D$1, INDEX('Room Info'!$A$2:$A2446, MATCH(B1172,'Room Info'!$D$2:$D2446, 0)),IF(G1172='Room Info'!$E$1, INDEX('Room Info'!$A$2:$A2446, MATCH(B1172,'Room Info'!$E$2:$E2446, 0)),IF(G1172='Room Info'!$F$1, INDEX('Room Info'!$A$2:$A2446, MATCH(B1172,'Room Info'!$F$2:$F2446, 0)),IF(G1172='Room Info'!$H$1, INDEX('Room Info'!$A$2:$A2446, MATCH(B1172,'Room Info'!$H$2:$H2446, 0)),IF(G1172='Room Info'!$G$1, INDEX('Room Info'!$A$2:$A2446, MATCH(B1172,'Room Info'!$G$2:$G2446, 0)))))))))</f>
        <v>QQcheliQ</v>
      </c>
      <c r="B1172" s="45" t="s">
        <v>195</v>
      </c>
      <c r="C1172" s="46">
        <v>44916</v>
      </c>
      <c r="D1172" s="46">
        <v>44946</v>
      </c>
      <c r="E1172" s="47">
        <v>44927</v>
      </c>
      <c r="F1172" s="48" t="s">
        <v>34</v>
      </c>
      <c r="G1172" s="54" t="s">
        <v>35</v>
      </c>
      <c r="H1172" s="49" t="s">
        <v>46</v>
      </c>
      <c r="I1172" s="49" t="s">
        <v>37</v>
      </c>
      <c r="J1172" s="50">
        <v>25</v>
      </c>
      <c r="K1172" s="51">
        <v>2151</v>
      </c>
      <c r="L1172" s="52">
        <v>1200</v>
      </c>
      <c r="M1172" s="53">
        <v>2582</v>
      </c>
      <c r="N1172" s="28">
        <f>K1172*J1172</f>
        <v>53775</v>
      </c>
      <c r="O1172" s="54">
        <v>37625</v>
      </c>
      <c r="P1172" s="29">
        <v>17.491864249999999</v>
      </c>
      <c r="Q1172" s="55"/>
      <c r="R1172" s="31">
        <f>M1172+Q1172</f>
        <v>2582</v>
      </c>
      <c r="S1172" s="56">
        <v>-1594</v>
      </c>
      <c r="T1172" s="32">
        <f>R1172+S1172+IF(F1172="Without EV deal",L1172,0)</f>
        <v>988</v>
      </c>
      <c r="U1172" s="57">
        <v>1</v>
      </c>
      <c r="V1172" s="58"/>
      <c r="W1172" s="58"/>
      <c r="X1172" s="78">
        <v>0.23</v>
      </c>
      <c r="Y1172" s="30">
        <f>IF(AG1172="None",0,IF(AG1172="Fix5",0.05, IF(AG1172="Fix6.25",0.0625,IF(AG1172="Fix3.75",0.0375,IF(AG1172="Fix10",0.1,IF(AG1172="Fix3",0.03,0))))))</f>
        <v>0</v>
      </c>
      <c r="Z1172" s="35">
        <f>T1172-AA1172-AB1172</f>
        <v>761</v>
      </c>
      <c r="AA1172" s="60">
        <v>227</v>
      </c>
      <c r="AB1172" s="36">
        <f>IF(AD1172="EUR",((T1172-R1172)*Y1172)*U1172+(R1172*Y1172),(T1172*Y1172))</f>
        <v>0</v>
      </c>
      <c r="AC1172" s="37" t="b">
        <v>1</v>
      </c>
      <c r="AD1172" s="37" t="s">
        <v>38</v>
      </c>
      <c r="AE1172" s="37" t="s">
        <v>38</v>
      </c>
      <c r="AF1172" s="37" t="str">
        <f t="array" ref="AF1172">INDEX('Deal Info'!D:D, MATCH(A1172,'Deal Info'!A:A, 0))</f>
        <v>DoEV</v>
      </c>
      <c r="AG1172" s="38" t="str">
        <f t="array" ref="AG1172">INDEX('Deal Info'!G:G, MATCH(A1172,'Deal Info'!A:A, 0))</f>
        <v>None</v>
      </c>
    </row>
    <row r="1173" spans="1:33" ht="14.25" hidden="1" x14ac:dyDescent="0.2">
      <c r="A1173" s="18" t="str">
        <f t="array" ref="A1173">IF(G1173='Room Info'!$B$1, INDEX('Room Info'!$A$2:$A2446, MATCH(B1173,'Room Info'!$B$2:$B2446, 0)),IF(G1173='Room Info'!$C$1, INDEX('Room Info'!$A$2:$A2446, MATCH(B1173,'Room Info'!$C$2:$C2446, 0)),IF(G1173='Room Info'!$D$1, INDEX('Room Info'!$A$2:$A2446, MATCH(B1173,'Room Info'!$D$2:$D2446, 0)),IF(G1173='Room Info'!$E$1, INDEX('Room Info'!$A$2:$A2446, MATCH(B1173,'Room Info'!$E$2:$E2446, 0)),IF(G1173='Room Info'!$F$1, INDEX('Room Info'!$A$2:$A2446, MATCH(B1173,'Room Info'!$F$2:$F2446, 0)),IF(G1173='Room Info'!$H$1, INDEX('Room Info'!$A$2:$A2446, MATCH(B1173,'Room Info'!$H$2:$H2446, 0)),IF(G1173='Room Info'!$G$1, INDEX('Room Info'!$A$2:$A2446, MATCH(B1173,'Room Info'!$G$2:$G2446, 0)))))))))</f>
        <v>QQcheliQ</v>
      </c>
      <c r="B1173" s="45" t="s">
        <v>195</v>
      </c>
      <c r="C1173" s="46">
        <v>44916</v>
      </c>
      <c r="D1173" s="46">
        <v>44946</v>
      </c>
      <c r="E1173" s="47">
        <v>44927</v>
      </c>
      <c r="F1173" s="48" t="s">
        <v>34</v>
      </c>
      <c r="G1173" s="54" t="s">
        <v>35</v>
      </c>
      <c r="H1173" s="49" t="s">
        <v>72</v>
      </c>
      <c r="I1173" s="49" t="s">
        <v>37</v>
      </c>
      <c r="J1173" s="50">
        <v>50</v>
      </c>
      <c r="K1173" s="51">
        <v>306</v>
      </c>
      <c r="L1173" s="52">
        <v>-800</v>
      </c>
      <c r="M1173" s="53">
        <v>735</v>
      </c>
      <c r="N1173" s="28">
        <f>K1173*J1173</f>
        <v>15300</v>
      </c>
      <c r="O1173" s="54">
        <v>10779</v>
      </c>
      <c r="P1173" s="29">
        <v>35.225490200000003</v>
      </c>
      <c r="Q1173" s="55"/>
      <c r="R1173" s="31">
        <f>M1173+Q1173</f>
        <v>735</v>
      </c>
      <c r="S1173" s="56">
        <v>50</v>
      </c>
      <c r="T1173" s="32">
        <f>R1173+S1173+IF(F1173="Without EV deal",L1173,0)</f>
        <v>785</v>
      </c>
      <c r="U1173" s="57">
        <v>1</v>
      </c>
      <c r="V1173" s="58"/>
      <c r="W1173" s="58"/>
      <c r="X1173" s="78">
        <v>0.23</v>
      </c>
      <c r="Y1173" s="30">
        <f>IF(AG1173="None",0,IF(AG1173="Fix5",0.05, IF(AG1173="Fix6.25",0.0625,IF(AG1173="Fix3.75",0.0375,IF(AG1173="Fix10",0.1,IF(AG1173="Fix3",0.03,0))))))</f>
        <v>0</v>
      </c>
      <c r="Z1173" s="35">
        <f>T1173-AA1173-AB1173</f>
        <v>605</v>
      </c>
      <c r="AA1173" s="60">
        <v>180</v>
      </c>
      <c r="AB1173" s="36">
        <f>IF(AD1173="EUR",((T1173-R1173)*Y1173)*U1173+(R1173*Y1173),(T1173*Y1173))</f>
        <v>0</v>
      </c>
      <c r="AC1173" s="37" t="b">
        <v>1</v>
      </c>
      <c r="AD1173" s="37" t="s">
        <v>38</v>
      </c>
      <c r="AE1173" s="37" t="s">
        <v>38</v>
      </c>
      <c r="AF1173" s="37" t="str">
        <f t="array" ref="AF1173">INDEX('Deal Info'!D:D, MATCH(A1173,'Deal Info'!A:A, 0))</f>
        <v>DoEV</v>
      </c>
      <c r="AG1173" s="38" t="str">
        <f t="array" ref="AG1173">INDEX('Deal Info'!G:G, MATCH(A1173,'Deal Info'!A:A, 0))</f>
        <v>None</v>
      </c>
    </row>
    <row r="1174" spans="1:33" ht="14.25" hidden="1" x14ac:dyDescent="0.2">
      <c r="A1174" s="18" t="str">
        <f t="array" ref="A1174">IF(G1174='Room Info'!$B$1, INDEX('Room Info'!$A$2:$A2446, MATCH(B1174,'Room Info'!$B$2:$B2446, 0)),IF(G1174='Room Info'!$C$1, INDEX('Room Info'!$A$2:$A2446, MATCH(B1174,'Room Info'!$C$2:$C2446, 0)),IF(G1174='Room Info'!$D$1, INDEX('Room Info'!$A$2:$A2446, MATCH(B1174,'Room Info'!$D$2:$D2446, 0)),IF(G1174='Room Info'!$E$1, INDEX('Room Info'!$A$2:$A2446, MATCH(B1174,'Room Info'!$E$2:$E2446, 0)),IF(G1174='Room Info'!$F$1, INDEX('Room Info'!$A$2:$A2446, MATCH(B1174,'Room Info'!$F$2:$F2446, 0)),IF(G1174='Room Info'!$H$1, INDEX('Room Info'!$A$2:$A2446, MATCH(B1174,'Room Info'!$H$2:$H2446, 0)),IF(G1174='Room Info'!$G$1, INDEX('Room Info'!$A$2:$A2446, MATCH(B1174,'Room Info'!$G$2:$G2446, 0)))))))))</f>
        <v>Rus29APX</v>
      </c>
      <c r="B1174" s="45" t="s">
        <v>198</v>
      </c>
      <c r="C1174" s="99">
        <v>44682</v>
      </c>
      <c r="D1174" s="99">
        <v>44712</v>
      </c>
      <c r="E1174" s="47">
        <v>44682</v>
      </c>
      <c r="F1174" s="45" t="s">
        <v>41</v>
      </c>
      <c r="G1174" s="45" t="s">
        <v>53</v>
      </c>
      <c r="H1174" s="49" t="s">
        <v>55</v>
      </c>
      <c r="I1174" s="49" t="s">
        <v>37</v>
      </c>
      <c r="J1174" s="50">
        <v>10</v>
      </c>
      <c r="K1174" s="51">
        <v>10</v>
      </c>
      <c r="L1174" s="52">
        <v>-4.38</v>
      </c>
      <c r="M1174" s="53">
        <v>4</v>
      </c>
      <c r="N1174" s="28">
        <f>K1174*J1174</f>
        <v>100</v>
      </c>
      <c r="O1174" s="54">
        <v>-66</v>
      </c>
      <c r="P1174" s="29">
        <v>-6.6</v>
      </c>
      <c r="Q1174" s="55"/>
      <c r="R1174" s="31">
        <f>M1174+Q1174</f>
        <v>4</v>
      </c>
      <c r="S1174" s="56"/>
      <c r="T1174" s="32">
        <f>R1174+S1174+IF(F1174="Without EV deal",L1174,0)</f>
        <v>-0.37999999999999989</v>
      </c>
      <c r="U1174" s="57">
        <v>0.93500000000000005</v>
      </c>
      <c r="V1174" s="58"/>
      <c r="W1174" s="58"/>
      <c r="X1174" s="78">
        <v>0.3</v>
      </c>
      <c r="Y1174" s="30">
        <f>IF(AG1174="None",0,IF(AG1174="Fix5",0.05, IF(AG1174="Fix6.25",0.0625,IF(AG1174="Fix3.75",0.0375,IF(AG1174="Fix10",0.1,IF(AG1174="Fix3",0.03,0))))))</f>
        <v>0</v>
      </c>
      <c r="Z1174" s="35">
        <f>T1174-AA1174-AB1174</f>
        <v>-0.37999999999999989</v>
      </c>
      <c r="AA1174" s="60">
        <v>0</v>
      </c>
      <c r="AB1174" s="36">
        <f>IF(AD1174="EUR",((T1174-R1174)*Y1174)*U1174+(R1174*Y1174),(T1174*Y1174))</f>
        <v>0</v>
      </c>
      <c r="AC1174" s="37" t="b">
        <v>1</v>
      </c>
      <c r="AD1174" s="61" t="s">
        <v>50</v>
      </c>
      <c r="AE1174" s="61"/>
      <c r="AF1174" s="37" t="str">
        <f t="array" ref="AF1174">INDEX('Deal Info'!D:D, MATCH(A1174,'Deal Info'!A:A, 0))</f>
        <v>DoEV</v>
      </c>
      <c r="AG1174" s="38" t="str">
        <f t="array" ref="AG1174">INDEX('Deal Info'!G:G, MATCH(A1174,'Deal Info'!A:A, 0))</f>
        <v>None</v>
      </c>
    </row>
    <row r="1175" spans="1:33" ht="28.5" hidden="1" x14ac:dyDescent="0.2">
      <c r="A1175" s="18" t="str">
        <f t="array" ref="A1175">IF(G1175='Room Info'!$B$1, INDEX('Room Info'!$A$2:$A2446, MATCH(B1175,'Room Info'!$B$2:$B2446, 0)),IF(G1175='Room Info'!$C$1, INDEX('Room Info'!$A$2:$A2446, MATCH(B1175,'Room Info'!$C$2:$C2446, 0)),IF(G1175='Room Info'!$D$1, INDEX('Room Info'!$A$2:$A2446, MATCH(B1175,'Room Info'!$D$2:$D2446, 0)),IF(G1175='Room Info'!$E$1, INDEX('Room Info'!$A$2:$A2446, MATCH(B1175,'Room Info'!$E$2:$E2446, 0)),IF(G1175='Room Info'!$F$1, INDEX('Room Info'!$A$2:$A2446, MATCH(B1175,'Room Info'!$F$2:$F2446, 0)),IF(G1175='Room Info'!$H$1, INDEX('Room Info'!$A$2:$A2446, MATCH(B1175,'Room Info'!$H$2:$H2446, 0)),IF(G1175='Room Info'!$G$1, INDEX('Room Info'!$A$2:$A2446, MATCH(B1175,'Room Info'!$G$2:$G2446, 0)))))))))</f>
        <v>Rus29APX</v>
      </c>
      <c r="B1175" s="54" t="s">
        <v>198</v>
      </c>
      <c r="C1175" s="46">
        <v>44682</v>
      </c>
      <c r="D1175" s="46">
        <v>44712</v>
      </c>
      <c r="E1175" s="47">
        <v>44682</v>
      </c>
      <c r="F1175" s="45" t="s">
        <v>41</v>
      </c>
      <c r="G1175" s="54" t="s">
        <v>53</v>
      </c>
      <c r="H1175" s="49" t="s">
        <v>56</v>
      </c>
      <c r="I1175" s="49" t="s">
        <v>37</v>
      </c>
      <c r="J1175" s="50">
        <v>20</v>
      </c>
      <c r="K1175" s="51">
        <v>2214</v>
      </c>
      <c r="L1175" s="52">
        <v>-1941.62</v>
      </c>
      <c r="M1175" s="53">
        <v>1550</v>
      </c>
      <c r="N1175" s="28">
        <f>K1175*J1175</f>
        <v>44280</v>
      </c>
      <c r="O1175" s="54">
        <v>66466</v>
      </c>
      <c r="P1175" s="29">
        <v>30.020776869999999</v>
      </c>
      <c r="Q1175" s="55"/>
      <c r="R1175" s="31">
        <f>M1175+Q1175</f>
        <v>1550</v>
      </c>
      <c r="S1175" s="56"/>
      <c r="T1175" s="32">
        <f>R1175+S1175+IF(F1175="Without EV deal",L1175,0)</f>
        <v>-391.61999999999989</v>
      </c>
      <c r="U1175" s="57">
        <v>0.93500000000000005</v>
      </c>
      <c r="V1175" s="58"/>
      <c r="W1175" s="58"/>
      <c r="X1175" s="78">
        <v>0.3</v>
      </c>
      <c r="Y1175" s="30">
        <f>IF(AG1175="None",0,IF(AG1175="Fix5",0.05, IF(AG1175="Fix6.25",0.0625,IF(AG1175="Fix3.75",0.0375,IF(AG1175="Fix10",0.1,IF(AG1175="Fix3",0.03,0))))))</f>
        <v>0</v>
      </c>
      <c r="Z1175" s="35">
        <f>T1175-AA1175-AB1175</f>
        <v>-281.61999999999989</v>
      </c>
      <c r="AA1175" s="60">
        <v>-110</v>
      </c>
      <c r="AB1175" s="36">
        <f>IF(AD1175="EUR",((T1175-R1175)*Y1175)*U1175+(R1175*Y1175),(T1175*Y1175))</f>
        <v>0</v>
      </c>
      <c r="AC1175" s="37" t="b">
        <v>1</v>
      </c>
      <c r="AD1175" s="61" t="s">
        <v>50</v>
      </c>
      <c r="AE1175" s="61"/>
      <c r="AF1175" s="37" t="str">
        <f t="array" ref="AF1175">INDEX('Deal Info'!D:D, MATCH(A1175,'Deal Info'!A:A, 0))</f>
        <v>DoEV</v>
      </c>
      <c r="AG1175" s="38" t="str">
        <f t="array" ref="AG1175">INDEX('Deal Info'!G:G, MATCH(A1175,'Deal Info'!A:A, 0))</f>
        <v>None</v>
      </c>
    </row>
    <row r="1176" spans="1:33" ht="14.25" hidden="1" x14ac:dyDescent="0.2">
      <c r="A1176" s="18" t="str">
        <f t="array" ref="A1176">IF(G1176='Room Info'!$B$1, INDEX('Room Info'!$A$2:$A2446, MATCH(B1176,'Room Info'!$B$2:$B2446, 0)),IF(G1176='Room Info'!$C$1, INDEX('Room Info'!$A$2:$A2446, MATCH(B1176,'Room Info'!$C$2:$C2446, 0)),IF(G1176='Room Info'!$D$1, INDEX('Room Info'!$A$2:$A2446, MATCH(B1176,'Room Info'!$D$2:$D2446, 0)),IF(G1176='Room Info'!$E$1, INDEX('Room Info'!$A$2:$A2446, MATCH(B1176,'Room Info'!$E$2:$E2446, 0)),IF(G1176='Room Info'!$F$1, INDEX('Room Info'!$A$2:$A2446, MATCH(B1176,'Room Info'!$F$2:$F2446, 0)),IF(G1176='Room Info'!$H$1, INDEX('Room Info'!$A$2:$A2446, MATCH(B1176,'Room Info'!$H$2:$H2446, 0)),IF(G1176='Room Info'!$G$1, INDEX('Room Info'!$A$2:$A2446, MATCH(B1176,'Room Info'!$G$2:$G2446, 0)))))))))</f>
        <v>Rus29APX</v>
      </c>
      <c r="B1176" s="45" t="s">
        <v>198</v>
      </c>
      <c r="C1176" s="46">
        <v>44713</v>
      </c>
      <c r="D1176" s="46">
        <v>44742</v>
      </c>
      <c r="E1176" s="47">
        <v>44713</v>
      </c>
      <c r="F1176" s="48" t="s">
        <v>41</v>
      </c>
      <c r="G1176" s="45" t="s">
        <v>53</v>
      </c>
      <c r="H1176" s="49" t="s">
        <v>55</v>
      </c>
      <c r="I1176" s="49" t="s">
        <v>37</v>
      </c>
      <c r="J1176" s="50">
        <v>10</v>
      </c>
      <c r="K1176" s="51">
        <v>8</v>
      </c>
      <c r="L1176" s="52">
        <v>-1.82</v>
      </c>
      <c r="M1176" s="53">
        <v>3</v>
      </c>
      <c r="N1176" s="28">
        <f>K1176*J1176</f>
        <v>80</v>
      </c>
      <c r="O1176" s="54">
        <v>-448</v>
      </c>
      <c r="P1176" s="29">
        <v>-56</v>
      </c>
      <c r="Q1176" s="55"/>
      <c r="R1176" s="31">
        <f>M1176+Q1176</f>
        <v>3</v>
      </c>
      <c r="S1176" s="56"/>
      <c r="T1176" s="32">
        <f>R1176+S1176+IF(F1176="Without EV deal",L1176,0)</f>
        <v>1.18</v>
      </c>
      <c r="U1176" s="57">
        <v>0.93500000000000005</v>
      </c>
      <c r="V1176" s="58"/>
      <c r="W1176" s="58"/>
      <c r="X1176" s="78">
        <v>0.3</v>
      </c>
      <c r="Y1176" s="30">
        <f>IF(AG1176="None",0,IF(AG1176="Fix5",0.05, IF(AG1176="Fix6.25",0.0625,IF(AG1176="Fix3.75",0.0375,IF(AG1176="Fix10",0.1,IF(AG1176="Fix3",0.03,0))))))</f>
        <v>0</v>
      </c>
      <c r="Z1176" s="35">
        <f>T1176-AA1176-AB1176</f>
        <v>1.18</v>
      </c>
      <c r="AA1176" s="60">
        <v>0</v>
      </c>
      <c r="AB1176" s="36">
        <f>IF(AD1176="EUR",((T1176-R1176)*Y1176)*U1176+(R1176*Y1176),(T1176*Y1176))</f>
        <v>0</v>
      </c>
      <c r="AC1176" s="37" t="b">
        <v>1</v>
      </c>
      <c r="AD1176" s="61" t="s">
        <v>50</v>
      </c>
      <c r="AE1176" s="61"/>
      <c r="AF1176" s="37" t="str">
        <f t="array" ref="AF1176">INDEX('Deal Info'!D:D, MATCH(A1176,'Deal Info'!A:A, 0))</f>
        <v>DoEV</v>
      </c>
      <c r="AG1176" s="38" t="str">
        <f t="array" ref="AG1176">INDEX('Deal Info'!G:G, MATCH(A1176,'Deal Info'!A:A, 0))</f>
        <v>None</v>
      </c>
    </row>
    <row r="1177" spans="1:33" ht="14.25" hidden="1" x14ac:dyDescent="0.2">
      <c r="A1177" s="18" t="str">
        <f t="array" ref="A1177">IF(G1177='Room Info'!$B$1, INDEX('Room Info'!$A$2:$A2446, MATCH(B1177,'Room Info'!$B$2:$B2446, 0)),IF(G1177='Room Info'!$C$1, INDEX('Room Info'!$A$2:$A2446, MATCH(B1177,'Room Info'!$C$2:$C2446, 0)),IF(G1177='Room Info'!$D$1, INDEX('Room Info'!$A$2:$A2446, MATCH(B1177,'Room Info'!$D$2:$D2446, 0)),IF(G1177='Room Info'!$E$1, INDEX('Room Info'!$A$2:$A2446, MATCH(B1177,'Room Info'!$E$2:$E2446, 0)),IF(G1177='Room Info'!$F$1, INDEX('Room Info'!$A$2:$A2446, MATCH(B1177,'Room Info'!$F$2:$F2446, 0)),IF(G1177='Room Info'!$H$1, INDEX('Room Info'!$A$2:$A2446, MATCH(B1177,'Room Info'!$H$2:$H2446, 0)),IF(G1177='Room Info'!$G$1, INDEX('Room Info'!$A$2:$A2446, MATCH(B1177,'Room Info'!$G$2:$G2446, 0)))))))))</f>
        <v>Rus29APX</v>
      </c>
      <c r="B1177" s="45" t="s">
        <v>198</v>
      </c>
      <c r="C1177" s="46">
        <v>44713</v>
      </c>
      <c r="D1177" s="46">
        <v>44742</v>
      </c>
      <c r="E1177" s="47">
        <v>44713</v>
      </c>
      <c r="F1177" s="48" t="s">
        <v>41</v>
      </c>
      <c r="G1177" s="45" t="s">
        <v>53</v>
      </c>
      <c r="H1177" s="49" t="s">
        <v>56</v>
      </c>
      <c r="I1177" s="49" t="s">
        <v>37</v>
      </c>
      <c r="J1177" s="50">
        <v>20</v>
      </c>
      <c r="K1177" s="51">
        <v>1892</v>
      </c>
      <c r="L1177" s="52">
        <v>-862.18</v>
      </c>
      <c r="M1177" s="53">
        <v>1324</v>
      </c>
      <c r="N1177" s="28">
        <f>K1177*J1177</f>
        <v>37840</v>
      </c>
      <c r="O1177" s="54">
        <v>93921</v>
      </c>
      <c r="P1177" s="29">
        <v>49.64112051</v>
      </c>
      <c r="Q1177" s="55"/>
      <c r="R1177" s="31">
        <f>M1177+Q1177</f>
        <v>1324</v>
      </c>
      <c r="S1177" s="56"/>
      <c r="T1177" s="32">
        <f>R1177+S1177+IF(F1177="Without EV deal",L1177,0)</f>
        <v>461.82000000000005</v>
      </c>
      <c r="U1177" s="57">
        <v>0.93500000000000005</v>
      </c>
      <c r="V1177" s="58"/>
      <c r="W1177" s="58"/>
      <c r="X1177" s="78">
        <v>0.3</v>
      </c>
      <c r="Y1177" s="30">
        <f>IF(AG1177="None",0,IF(AG1177="Fix5",0.05, IF(AG1177="Fix6.25",0.0625,IF(AG1177="Fix3.75",0.0375,IF(AG1177="Fix10",0.1,IF(AG1177="Fix3",0.03,0))))))</f>
        <v>0</v>
      </c>
      <c r="Z1177" s="35">
        <f>T1177-AA1177-AB1177</f>
        <v>331.82000000000005</v>
      </c>
      <c r="AA1177" s="60">
        <v>130</v>
      </c>
      <c r="AB1177" s="36">
        <f>IF(AD1177="EUR",((T1177-R1177)*Y1177)*U1177+(R1177*Y1177),(T1177*Y1177))</f>
        <v>0</v>
      </c>
      <c r="AC1177" s="37" t="b">
        <v>1</v>
      </c>
      <c r="AD1177" s="61" t="s">
        <v>50</v>
      </c>
      <c r="AE1177" s="61"/>
      <c r="AF1177" s="37" t="str">
        <f t="array" ref="AF1177">INDEX('Deal Info'!D:D, MATCH(A1177,'Deal Info'!A:A, 0))</f>
        <v>DoEV</v>
      </c>
      <c r="AG1177" s="38" t="str">
        <f t="array" ref="AG1177">INDEX('Deal Info'!G:G, MATCH(A1177,'Deal Info'!A:A, 0))</f>
        <v>None</v>
      </c>
    </row>
    <row r="1178" spans="1:33" ht="14.25" hidden="1" x14ac:dyDescent="0.2">
      <c r="A1178" s="18" t="str">
        <f t="array" ref="A1178">IF(G1178='Room Info'!$B$1, INDEX('Room Info'!$A$2:$A2446, MATCH(B1178,'Room Info'!$B$2:$B2446, 0)),IF(G1178='Room Info'!$C$1, INDEX('Room Info'!$A$2:$A2446, MATCH(B1178,'Room Info'!$C$2:$C2446, 0)),IF(G1178='Room Info'!$D$1, INDEX('Room Info'!$A$2:$A2446, MATCH(B1178,'Room Info'!$D$2:$D2446, 0)),IF(G1178='Room Info'!$E$1, INDEX('Room Info'!$A$2:$A2446, MATCH(B1178,'Room Info'!$E$2:$E2446, 0)),IF(G1178='Room Info'!$F$1, INDEX('Room Info'!$A$2:$A2446, MATCH(B1178,'Room Info'!$F$2:$F2446, 0)),IF(G1178='Room Info'!$H$1, INDEX('Room Info'!$A$2:$A2446, MATCH(B1178,'Room Info'!$H$2:$H2446, 0)),IF(G1178='Room Info'!$G$1, INDEX('Room Info'!$A$2:$A2446, MATCH(B1178,'Room Info'!$G$2:$G2446, 0)))))))))</f>
        <v>Rus29APX</v>
      </c>
      <c r="B1178" s="45" t="s">
        <v>198</v>
      </c>
      <c r="C1178" s="46">
        <v>44743</v>
      </c>
      <c r="D1178" s="46">
        <v>44773</v>
      </c>
      <c r="E1178" s="47">
        <v>44743</v>
      </c>
      <c r="F1178" s="48" t="s">
        <v>41</v>
      </c>
      <c r="G1178" s="45" t="s">
        <v>53</v>
      </c>
      <c r="H1178" s="49" t="s">
        <v>56</v>
      </c>
      <c r="I1178" s="49" t="s">
        <v>37</v>
      </c>
      <c r="J1178" s="50">
        <v>20</v>
      </c>
      <c r="K1178" s="51">
        <v>3031</v>
      </c>
      <c r="L1178" s="52">
        <v>5465</v>
      </c>
      <c r="M1178" s="53">
        <v>2122</v>
      </c>
      <c r="N1178" s="28">
        <f>K1178*J1178</f>
        <v>60620</v>
      </c>
      <c r="O1178" s="54">
        <v>153126</v>
      </c>
      <c r="P1178" s="29">
        <v>50.519960410000003</v>
      </c>
      <c r="Q1178" s="55"/>
      <c r="R1178" s="31">
        <f>M1178+Q1178</f>
        <v>2122</v>
      </c>
      <c r="S1178" s="56"/>
      <c r="T1178" s="32">
        <f>R1178+S1178+IF(F1178="Without EV deal",L1178,0)</f>
        <v>7587</v>
      </c>
      <c r="U1178" s="57">
        <v>0.97899999999999998</v>
      </c>
      <c r="V1178" s="58"/>
      <c r="W1178" s="58"/>
      <c r="X1178" s="78">
        <v>0.17</v>
      </c>
      <c r="Y1178" s="30">
        <f>IF(AG1178="None",0,IF(AG1178="Fix5",0.05, IF(AG1178="Fix6.25",0.0625,IF(AG1178="Fix3.75",0.0375,IF(AG1178="Fix10",0.1,IF(AG1178="Fix3",0.03,0))))))</f>
        <v>0</v>
      </c>
      <c r="Z1178" s="35">
        <f>T1178-AA1178-AB1178</f>
        <v>6324</v>
      </c>
      <c r="AA1178" s="60">
        <v>1263</v>
      </c>
      <c r="AB1178" s="36">
        <f>IF(AD1178="EUR",((T1178-R1178)*Y1178)*U1178+(R1178*Y1178),(T1178*Y1178))</f>
        <v>0</v>
      </c>
      <c r="AC1178" s="37" t="b">
        <v>1</v>
      </c>
      <c r="AD1178" s="61" t="s">
        <v>50</v>
      </c>
      <c r="AE1178" s="61"/>
      <c r="AF1178" s="37" t="str">
        <f t="array" ref="AF1178">INDEX('Deal Info'!D:D, MATCH(A1178,'Deal Info'!A:A, 0))</f>
        <v>DoEV</v>
      </c>
      <c r="AG1178" s="38" t="str">
        <f t="array" ref="AG1178">INDEX('Deal Info'!G:G, MATCH(A1178,'Deal Info'!A:A, 0))</f>
        <v>None</v>
      </c>
    </row>
    <row r="1179" spans="1:33" ht="14.25" hidden="1" x14ac:dyDescent="0.2">
      <c r="A1179" s="18" t="str">
        <f t="array" ref="A1179">IF(G1179='Room Info'!$B$1, INDEX('Room Info'!$A$2:$A2446, MATCH(B1179,'Room Info'!$B$2:$B2446, 0)),IF(G1179='Room Info'!$C$1, INDEX('Room Info'!$A$2:$A2446, MATCH(B1179,'Room Info'!$C$2:$C2446, 0)),IF(G1179='Room Info'!$D$1, INDEX('Room Info'!$A$2:$A2446, MATCH(B1179,'Room Info'!$D$2:$D2446, 0)),IF(G1179='Room Info'!$E$1, INDEX('Room Info'!$A$2:$A2446, MATCH(B1179,'Room Info'!$E$2:$E2446, 0)),IF(G1179='Room Info'!$F$1, INDEX('Room Info'!$A$2:$A2446, MATCH(B1179,'Room Info'!$F$2:$F2446, 0)),IF(G1179='Room Info'!$H$1, INDEX('Room Info'!$A$2:$A2446, MATCH(B1179,'Room Info'!$H$2:$H2446, 0)),IF(G1179='Room Info'!$G$1, INDEX('Room Info'!$A$2:$A2446, MATCH(B1179,'Room Info'!$G$2:$G2446, 0)))))))))</f>
        <v>Rus29APX</v>
      </c>
      <c r="B1179" s="45" t="s">
        <v>198</v>
      </c>
      <c r="C1179" s="46">
        <v>44774</v>
      </c>
      <c r="D1179" s="46">
        <v>44804</v>
      </c>
      <c r="E1179" s="47">
        <v>44774</v>
      </c>
      <c r="F1179" s="48" t="s">
        <v>41</v>
      </c>
      <c r="G1179" s="45" t="s">
        <v>53</v>
      </c>
      <c r="H1179" s="49" t="s">
        <v>55</v>
      </c>
      <c r="I1179" s="49" t="s">
        <v>37</v>
      </c>
      <c r="J1179" s="50">
        <v>10</v>
      </c>
      <c r="K1179" s="51">
        <v>5</v>
      </c>
      <c r="L1179" s="52">
        <v>1</v>
      </c>
      <c r="M1179" s="53">
        <v>2</v>
      </c>
      <c r="N1179" s="28">
        <f>K1179*J1179</f>
        <v>50</v>
      </c>
      <c r="O1179" s="54">
        <v>-218</v>
      </c>
      <c r="P1179" s="29">
        <v>-43.6</v>
      </c>
      <c r="Q1179" s="55"/>
      <c r="R1179" s="31">
        <f>M1179+Q1179</f>
        <v>2</v>
      </c>
      <c r="S1179" s="56"/>
      <c r="T1179" s="32">
        <f>R1179+S1179+IF(F1179="Without EV deal",L1179,0)</f>
        <v>3</v>
      </c>
      <c r="U1179" s="57">
        <v>1</v>
      </c>
      <c r="V1179" s="58"/>
      <c r="W1179" s="58"/>
      <c r="X1179" s="78">
        <v>0.23</v>
      </c>
      <c r="Y1179" s="30">
        <f>IF(AG1179="None",0,IF(AG1179="Fix5",0.05, IF(AG1179="Fix6.25",0.0625,IF(AG1179="Fix3.75",0.0375,IF(AG1179="Fix10",0.1,IF(AG1179="Fix3",0.03,0))))))</f>
        <v>0</v>
      </c>
      <c r="Z1179" s="35">
        <f>T1179-AA1179-AB1179</f>
        <v>2</v>
      </c>
      <c r="AA1179" s="60">
        <v>1</v>
      </c>
      <c r="AB1179" s="36">
        <f>IF(AD1179="EUR",((T1179-R1179)*Y1179)*U1179+(R1179*Y1179),(T1179*Y1179))</f>
        <v>0</v>
      </c>
      <c r="AC1179" s="37" t="b">
        <v>1</v>
      </c>
      <c r="AD1179" s="37" t="s">
        <v>38</v>
      </c>
      <c r="AE1179" s="37" t="s">
        <v>38</v>
      </c>
      <c r="AF1179" s="37" t="str">
        <f t="array" ref="AF1179">INDEX('Deal Info'!D:D, MATCH(A1179,'Deal Info'!A:A, 0))</f>
        <v>DoEV</v>
      </c>
      <c r="AG1179" s="38" t="str">
        <f t="array" ref="AG1179">INDEX('Deal Info'!G:G, MATCH(A1179,'Deal Info'!A:A, 0))</f>
        <v>None</v>
      </c>
    </row>
    <row r="1180" spans="1:33" ht="14.25" hidden="1" x14ac:dyDescent="0.2">
      <c r="A1180" s="18" t="str">
        <f t="array" ref="A1180">IF(G1180='Room Info'!$B$1, INDEX('Room Info'!$A$2:$A2446, MATCH(B1180,'Room Info'!$B$2:$B2446, 0)),IF(G1180='Room Info'!$C$1, INDEX('Room Info'!$A$2:$A2446, MATCH(B1180,'Room Info'!$C$2:$C2446, 0)),IF(G1180='Room Info'!$D$1, INDEX('Room Info'!$A$2:$A2446, MATCH(B1180,'Room Info'!$D$2:$D2446, 0)),IF(G1180='Room Info'!$E$1, INDEX('Room Info'!$A$2:$A2446, MATCH(B1180,'Room Info'!$E$2:$E2446, 0)),IF(G1180='Room Info'!$F$1, INDEX('Room Info'!$A$2:$A2446, MATCH(B1180,'Room Info'!$F$2:$F2446, 0)),IF(G1180='Room Info'!$H$1, INDEX('Room Info'!$A$2:$A2446, MATCH(B1180,'Room Info'!$H$2:$H2446, 0)),IF(G1180='Room Info'!$G$1, INDEX('Room Info'!$A$2:$A2446, MATCH(B1180,'Room Info'!$G$2:$G2446, 0)))))))))</f>
        <v>Rus29APX</v>
      </c>
      <c r="B1180" s="45" t="s">
        <v>198</v>
      </c>
      <c r="C1180" s="46">
        <v>44774</v>
      </c>
      <c r="D1180" s="46">
        <v>44804</v>
      </c>
      <c r="E1180" s="47">
        <v>44774</v>
      </c>
      <c r="F1180" s="48" t="s">
        <v>41</v>
      </c>
      <c r="G1180" s="45" t="s">
        <v>53</v>
      </c>
      <c r="H1180" s="49" t="s">
        <v>56</v>
      </c>
      <c r="I1180" s="49" t="s">
        <v>37</v>
      </c>
      <c r="J1180" s="50">
        <v>20</v>
      </c>
      <c r="K1180" s="51">
        <v>1239</v>
      </c>
      <c r="L1180" s="52">
        <v>69</v>
      </c>
      <c r="M1180" s="53">
        <v>867</v>
      </c>
      <c r="N1180" s="28">
        <f>K1180*J1180</f>
        <v>24780</v>
      </c>
      <c r="O1180" s="54">
        <v>41776</v>
      </c>
      <c r="P1180" s="29">
        <v>33.717514119999997</v>
      </c>
      <c r="Q1180" s="55"/>
      <c r="R1180" s="31">
        <f>M1180+Q1180</f>
        <v>867</v>
      </c>
      <c r="S1180" s="56"/>
      <c r="T1180" s="32">
        <f>R1180+S1180+IF(F1180="Without EV deal",L1180,0)</f>
        <v>936</v>
      </c>
      <c r="U1180" s="57">
        <v>1</v>
      </c>
      <c r="V1180" s="58"/>
      <c r="W1180" s="58"/>
      <c r="X1180" s="78">
        <v>0.23</v>
      </c>
      <c r="Y1180" s="30">
        <f>IF(AG1180="None",0,IF(AG1180="Fix5",0.05, IF(AG1180="Fix6.25",0.0625,IF(AG1180="Fix3.75",0.0375,IF(AG1180="Fix10",0.1,IF(AG1180="Fix3",0.03,0))))))</f>
        <v>0</v>
      </c>
      <c r="Z1180" s="35">
        <f>T1180-AA1180-AB1180</f>
        <v>721</v>
      </c>
      <c r="AA1180" s="60">
        <v>215</v>
      </c>
      <c r="AB1180" s="36">
        <f>IF(AD1180="EUR",((T1180-R1180)*Y1180)*U1180+(R1180*Y1180),(T1180*Y1180))</f>
        <v>0</v>
      </c>
      <c r="AC1180" s="37" t="b">
        <v>1</v>
      </c>
      <c r="AD1180" s="37" t="s">
        <v>38</v>
      </c>
      <c r="AE1180" s="37" t="s">
        <v>38</v>
      </c>
      <c r="AF1180" s="37" t="str">
        <f t="array" ref="AF1180">INDEX('Deal Info'!D:D, MATCH(A1180,'Deal Info'!A:A, 0))</f>
        <v>DoEV</v>
      </c>
      <c r="AG1180" s="38" t="str">
        <f t="array" ref="AG1180">INDEX('Deal Info'!G:G, MATCH(A1180,'Deal Info'!A:A, 0))</f>
        <v>None</v>
      </c>
    </row>
    <row r="1181" spans="1:33" ht="14.25" hidden="1" x14ac:dyDescent="0.2">
      <c r="A1181" s="18" t="str">
        <f t="array" ref="A1181">IF(G1181='Room Info'!$B$1, INDEX('Room Info'!$A$2:$A2446, MATCH(B1181,'Room Info'!$B$2:$B2446, 0)),IF(G1181='Room Info'!$C$1, INDEX('Room Info'!$A$2:$A2446, MATCH(B1181,'Room Info'!$C$2:$C2446, 0)),IF(G1181='Room Info'!$D$1, INDEX('Room Info'!$A$2:$A2446, MATCH(B1181,'Room Info'!$D$2:$D2446, 0)),IF(G1181='Room Info'!$E$1, INDEX('Room Info'!$A$2:$A2446, MATCH(B1181,'Room Info'!$E$2:$E2446, 0)),IF(G1181='Room Info'!$F$1, INDEX('Room Info'!$A$2:$A2446, MATCH(B1181,'Room Info'!$F$2:$F2446, 0)),IF(G1181='Room Info'!$H$1, INDEX('Room Info'!$A$2:$A2446, MATCH(B1181,'Room Info'!$H$2:$H2446, 0)),IF(G1181='Room Info'!$G$1, INDEX('Room Info'!$A$2:$A2446, MATCH(B1181,'Room Info'!$G$2:$G2446, 0)))))))))</f>
        <v>Rus29APX</v>
      </c>
      <c r="B1181" s="45" t="s">
        <v>198</v>
      </c>
      <c r="C1181" s="99">
        <v>44805</v>
      </c>
      <c r="D1181" s="46">
        <v>44834</v>
      </c>
      <c r="E1181" s="47">
        <v>44805</v>
      </c>
      <c r="F1181" s="45" t="s">
        <v>41</v>
      </c>
      <c r="G1181" s="54" t="s">
        <v>53</v>
      </c>
      <c r="H1181" s="49" t="s">
        <v>55</v>
      </c>
      <c r="I1181" s="49" t="s">
        <v>37</v>
      </c>
      <c r="J1181" s="74">
        <v>10</v>
      </c>
      <c r="K1181" s="75">
        <v>21</v>
      </c>
      <c r="L1181" s="72">
        <v>1</v>
      </c>
      <c r="M1181" s="53">
        <v>7</v>
      </c>
      <c r="N1181" s="28">
        <f>K1181*J1181</f>
        <v>210</v>
      </c>
      <c r="O1181" s="45">
        <v>2646</v>
      </c>
      <c r="P1181" s="29">
        <v>126</v>
      </c>
      <c r="Q1181" s="55"/>
      <c r="R1181" s="31">
        <f>M1181+Q1181</f>
        <v>7</v>
      </c>
      <c r="S1181" s="73"/>
      <c r="T1181" s="32">
        <f>R1181+S1181+IF(F1181="Without EV deal",L1181,0)</f>
        <v>8</v>
      </c>
      <c r="U1181" s="57">
        <v>1</v>
      </c>
      <c r="V1181" s="58"/>
      <c r="W1181" s="58"/>
      <c r="X1181" s="78">
        <v>0.23</v>
      </c>
      <c r="Y1181" s="30">
        <f>IF(AG1181="None",0,IF(AG1181="Fix5",0.05, IF(AG1181="Fix6.25",0.0625,IF(AG1181="Fix3.75",0.0375,IF(AG1181="Fix10",0.1,IF(AG1181="Fix3",0.03,0))))))</f>
        <v>0</v>
      </c>
      <c r="Z1181" s="35">
        <f>T1181-AA1181-AB1181</f>
        <v>6</v>
      </c>
      <c r="AA1181" s="60">
        <v>2</v>
      </c>
      <c r="AB1181" s="36">
        <f>IF(AD1181="EUR",((T1181-R1181)*Y1181)*U1181+(R1181*Y1181),(T1181*Y1181))</f>
        <v>0</v>
      </c>
      <c r="AC1181" s="37" t="b">
        <v>1</v>
      </c>
      <c r="AD1181" s="37" t="s">
        <v>38</v>
      </c>
      <c r="AE1181" s="37" t="s">
        <v>38</v>
      </c>
      <c r="AF1181" s="37" t="str">
        <f t="array" ref="AF1181">INDEX('Deal Info'!D:D, MATCH(A1181,'Deal Info'!A:A, 0))</f>
        <v>DoEV</v>
      </c>
      <c r="AG1181" s="38" t="str">
        <f t="array" ref="AG1181">INDEX('Deal Info'!G:G, MATCH(A1181,'Deal Info'!A:A, 0))</f>
        <v>None</v>
      </c>
    </row>
    <row r="1182" spans="1:33" ht="14.25" hidden="1" x14ac:dyDescent="0.2">
      <c r="A1182" s="18" t="str">
        <f t="array" ref="A1182">IF(G1182='Room Info'!$B$1, INDEX('Room Info'!$A$2:$A2446, MATCH(B1182,'Room Info'!$B$2:$B2446, 0)),IF(G1182='Room Info'!$C$1, INDEX('Room Info'!$A$2:$A2446, MATCH(B1182,'Room Info'!$C$2:$C2446, 0)),IF(G1182='Room Info'!$D$1, INDEX('Room Info'!$A$2:$A2446, MATCH(B1182,'Room Info'!$D$2:$D2446, 0)),IF(G1182='Room Info'!$E$1, INDEX('Room Info'!$A$2:$A2446, MATCH(B1182,'Room Info'!$E$2:$E2446, 0)),IF(G1182='Room Info'!$F$1, INDEX('Room Info'!$A$2:$A2446, MATCH(B1182,'Room Info'!$F$2:$F2446, 0)),IF(G1182='Room Info'!$H$1, INDEX('Room Info'!$A$2:$A2446, MATCH(B1182,'Room Info'!$H$2:$H2446, 0)),IF(G1182='Room Info'!$G$1, INDEX('Room Info'!$A$2:$A2446, MATCH(B1182,'Room Info'!$G$2:$G2446, 0)))))))))</f>
        <v>Rus29APX</v>
      </c>
      <c r="B1182" s="45" t="s">
        <v>198</v>
      </c>
      <c r="C1182" s="99">
        <v>44805</v>
      </c>
      <c r="D1182" s="46">
        <v>44834</v>
      </c>
      <c r="E1182" s="47">
        <v>44805</v>
      </c>
      <c r="F1182" s="45" t="s">
        <v>41</v>
      </c>
      <c r="G1182" s="54" t="s">
        <v>53</v>
      </c>
      <c r="H1182" s="49" t="s">
        <v>56</v>
      </c>
      <c r="I1182" s="49" t="s">
        <v>37</v>
      </c>
      <c r="J1182" s="74">
        <v>20</v>
      </c>
      <c r="K1182" s="75">
        <v>1200</v>
      </c>
      <c r="L1182" s="72">
        <v>122</v>
      </c>
      <c r="M1182" s="53">
        <v>840</v>
      </c>
      <c r="N1182" s="28">
        <f>K1182*J1182</f>
        <v>24000</v>
      </c>
      <c r="O1182" s="45">
        <v>55200</v>
      </c>
      <c r="P1182" s="29">
        <v>46</v>
      </c>
      <c r="Q1182" s="55"/>
      <c r="R1182" s="31">
        <f>M1182+Q1182</f>
        <v>840</v>
      </c>
      <c r="S1182" s="73"/>
      <c r="T1182" s="32">
        <f>R1182+S1182+IF(F1182="Without EV deal",L1182,0)</f>
        <v>962</v>
      </c>
      <c r="U1182" s="57">
        <v>1</v>
      </c>
      <c r="V1182" s="58"/>
      <c r="W1182" s="58"/>
      <c r="X1182" s="78">
        <v>0.23</v>
      </c>
      <c r="Y1182" s="30">
        <f>IF(AG1182="None",0,IF(AG1182="Fix5",0.05, IF(AG1182="Fix6.25",0.0625,IF(AG1182="Fix3.75",0.0375,IF(AG1182="Fix10",0.1,IF(AG1182="Fix3",0.03,0))))))</f>
        <v>0</v>
      </c>
      <c r="Z1182" s="35">
        <f>T1182-AA1182-AB1182</f>
        <v>741</v>
      </c>
      <c r="AA1182" s="60">
        <v>221</v>
      </c>
      <c r="AB1182" s="36">
        <f>IF(AD1182="EUR",((T1182-R1182)*Y1182)*U1182+(R1182*Y1182),(T1182*Y1182))</f>
        <v>0</v>
      </c>
      <c r="AC1182" s="37" t="b">
        <v>1</v>
      </c>
      <c r="AD1182" s="37" t="s">
        <v>38</v>
      </c>
      <c r="AE1182" s="37" t="s">
        <v>38</v>
      </c>
      <c r="AF1182" s="37" t="str">
        <f t="array" ref="AF1182">INDEX('Deal Info'!D:D, MATCH(A1182,'Deal Info'!A:A, 0))</f>
        <v>DoEV</v>
      </c>
      <c r="AG1182" s="38" t="str">
        <f t="array" ref="AG1182">INDEX('Deal Info'!G:G, MATCH(A1182,'Deal Info'!A:A, 0))</f>
        <v>None</v>
      </c>
    </row>
    <row r="1183" spans="1:33" ht="14.25" hidden="1" x14ac:dyDescent="0.2">
      <c r="A1183" s="18" t="str">
        <f t="array" ref="A1183">IF(G1183='Room Info'!$B$1, INDEX('Room Info'!$A$2:$A2446, MATCH(B1183,'Room Info'!$B$2:$B2446, 0)),IF(G1183='Room Info'!$C$1, INDEX('Room Info'!$A$2:$A2446, MATCH(B1183,'Room Info'!$C$2:$C2446, 0)),IF(G1183='Room Info'!$D$1, INDEX('Room Info'!$A$2:$A2446, MATCH(B1183,'Room Info'!$D$2:$D2446, 0)),IF(G1183='Room Info'!$E$1, INDEX('Room Info'!$A$2:$A2446, MATCH(B1183,'Room Info'!$E$2:$E2446, 0)),IF(G1183='Room Info'!$F$1, INDEX('Room Info'!$A$2:$A2446, MATCH(B1183,'Room Info'!$F$2:$F2446, 0)),IF(G1183='Room Info'!$H$1, INDEX('Room Info'!$A$2:$A2446, MATCH(B1183,'Room Info'!$H$2:$H2446, 0)),IF(G1183='Room Info'!$G$1, INDEX('Room Info'!$A$2:$A2446, MATCH(B1183,'Room Info'!$G$2:$G2446, 0)))))))))</f>
        <v>Rus29APX</v>
      </c>
      <c r="B1183" s="45" t="s">
        <v>198</v>
      </c>
      <c r="C1183" s="77">
        <v>44835</v>
      </c>
      <c r="D1183" s="77">
        <v>44865</v>
      </c>
      <c r="E1183" s="47">
        <v>44835</v>
      </c>
      <c r="F1183" s="48" t="s">
        <v>41</v>
      </c>
      <c r="G1183" s="54" t="s">
        <v>53</v>
      </c>
      <c r="H1183" s="91" t="s">
        <v>55</v>
      </c>
      <c r="I1183" s="49" t="s">
        <v>37</v>
      </c>
      <c r="J1183" s="74">
        <v>10</v>
      </c>
      <c r="K1183" s="75">
        <v>10</v>
      </c>
      <c r="L1183" s="72">
        <v>2</v>
      </c>
      <c r="M1183" s="53">
        <v>4</v>
      </c>
      <c r="N1183" s="28">
        <f>K1183*J1183</f>
        <v>100</v>
      </c>
      <c r="O1183" s="45">
        <v>770</v>
      </c>
      <c r="P1183" s="29">
        <v>77</v>
      </c>
      <c r="Q1183" s="55"/>
      <c r="R1183" s="31">
        <f>M1183+Q1183</f>
        <v>4</v>
      </c>
      <c r="S1183" s="73"/>
      <c r="T1183" s="32">
        <f>R1183+S1183+IF(F1183="Without EV deal",L1183,0)</f>
        <v>6</v>
      </c>
      <c r="U1183" s="57">
        <v>1</v>
      </c>
      <c r="V1183" s="58"/>
      <c r="W1183" s="58"/>
      <c r="X1183" s="78">
        <v>0.23</v>
      </c>
      <c r="Y1183" s="30">
        <f>IF(AG1183="None",0,IF(AG1183="Fix5",0.05, IF(AG1183="Fix6.25",0.0625,IF(AG1183="Fix3.75",0.0375,IF(AG1183="Fix10",0.1,IF(AG1183="Fix3",0.03,0))))))</f>
        <v>0</v>
      </c>
      <c r="Z1183" s="35">
        <f>T1183-AA1183-AB1183</f>
        <v>5</v>
      </c>
      <c r="AA1183" s="60">
        <v>1</v>
      </c>
      <c r="AB1183" s="36">
        <f>IF(AD1183="EUR",((T1183-R1183)*Y1183)*U1183+(R1183*Y1183),(T1183*Y1183))</f>
        <v>0</v>
      </c>
      <c r="AC1183" s="37" t="b">
        <v>1</v>
      </c>
      <c r="AD1183" s="37" t="s">
        <v>38</v>
      </c>
      <c r="AE1183" s="37" t="s">
        <v>38</v>
      </c>
      <c r="AF1183" s="37" t="str">
        <f t="array" ref="AF1183">INDEX('Deal Info'!D:D, MATCH(A1183,'Deal Info'!A:A, 0))</f>
        <v>DoEV</v>
      </c>
      <c r="AG1183" s="38" t="str">
        <f t="array" ref="AG1183">INDEX('Deal Info'!G:G, MATCH(A1183,'Deal Info'!A:A, 0))</f>
        <v>None</v>
      </c>
    </row>
    <row r="1184" spans="1:33" ht="14.25" hidden="1" x14ac:dyDescent="0.2">
      <c r="A1184" s="18" t="str">
        <f t="array" ref="A1184">IF(G1184='Room Info'!$B$1, INDEX('Room Info'!$A$2:$A2446, MATCH(B1184,'Room Info'!$B$2:$B2446, 0)),IF(G1184='Room Info'!$C$1, INDEX('Room Info'!$A$2:$A2446, MATCH(B1184,'Room Info'!$C$2:$C2446, 0)),IF(G1184='Room Info'!$D$1, INDEX('Room Info'!$A$2:$A2446, MATCH(B1184,'Room Info'!$D$2:$D2446, 0)),IF(G1184='Room Info'!$E$1, INDEX('Room Info'!$A$2:$A2446, MATCH(B1184,'Room Info'!$E$2:$E2446, 0)),IF(G1184='Room Info'!$F$1, INDEX('Room Info'!$A$2:$A2446, MATCH(B1184,'Room Info'!$F$2:$F2446, 0)),IF(G1184='Room Info'!$H$1, INDEX('Room Info'!$A$2:$A2446, MATCH(B1184,'Room Info'!$H$2:$H2446, 0)),IF(G1184='Room Info'!$G$1, INDEX('Room Info'!$A$2:$A2446, MATCH(B1184,'Room Info'!$G$2:$G2446, 0)))))))))</f>
        <v>Rus29APX</v>
      </c>
      <c r="B1184" s="45" t="s">
        <v>198</v>
      </c>
      <c r="C1184" s="77">
        <v>44835</v>
      </c>
      <c r="D1184" s="77">
        <v>44865</v>
      </c>
      <c r="E1184" s="47">
        <v>44835</v>
      </c>
      <c r="F1184" s="48" t="s">
        <v>41</v>
      </c>
      <c r="G1184" s="45" t="s">
        <v>53</v>
      </c>
      <c r="H1184" s="91" t="s">
        <v>56</v>
      </c>
      <c r="I1184" s="49" t="s">
        <v>37</v>
      </c>
      <c r="J1184" s="74">
        <v>20</v>
      </c>
      <c r="K1184" s="75">
        <v>2314</v>
      </c>
      <c r="L1184" s="72">
        <v>121</v>
      </c>
      <c r="M1184" s="76">
        <v>1620</v>
      </c>
      <c r="N1184" s="28">
        <f>K1184*J1184</f>
        <v>46280</v>
      </c>
      <c r="O1184" s="45">
        <v>80990</v>
      </c>
      <c r="P1184" s="29">
        <v>35</v>
      </c>
      <c r="Q1184" s="55"/>
      <c r="R1184" s="31">
        <f>M1184+Q1184</f>
        <v>1620</v>
      </c>
      <c r="S1184" s="73"/>
      <c r="T1184" s="32">
        <f>R1184+S1184+IF(F1184="Without EV deal",L1184,0)</f>
        <v>1741</v>
      </c>
      <c r="U1184" s="57">
        <v>1</v>
      </c>
      <c r="V1184" s="58"/>
      <c r="W1184" s="58"/>
      <c r="X1184" s="78">
        <v>0.23</v>
      </c>
      <c r="Y1184" s="30">
        <f>IF(AG1184="None",0,IF(AG1184="Fix5",0.05, IF(AG1184="Fix6.25",0.0625,IF(AG1184="Fix3.75",0.0375,IF(AG1184="Fix10",0.1,IF(AG1184="Fix3",0.03,0))))))</f>
        <v>0</v>
      </c>
      <c r="Z1184" s="35">
        <f>T1184-AA1184-AB1184</f>
        <v>1341</v>
      </c>
      <c r="AA1184" s="60">
        <v>400</v>
      </c>
      <c r="AB1184" s="36">
        <f>IF(AD1184="EUR",((T1184-R1184)*Y1184)*U1184+(R1184*Y1184),(T1184*Y1184))</f>
        <v>0</v>
      </c>
      <c r="AC1184" s="37" t="b">
        <v>1</v>
      </c>
      <c r="AD1184" s="37" t="s">
        <v>38</v>
      </c>
      <c r="AE1184" s="37" t="s">
        <v>38</v>
      </c>
      <c r="AF1184" s="37" t="str">
        <f t="array" ref="AF1184">INDEX('Deal Info'!D:D, MATCH(A1184,'Deal Info'!A:A, 0))</f>
        <v>DoEV</v>
      </c>
      <c r="AG1184" s="38" t="str">
        <f t="array" ref="AG1184">INDEX('Deal Info'!G:G, MATCH(A1184,'Deal Info'!A:A, 0))</f>
        <v>None</v>
      </c>
    </row>
    <row r="1185" spans="1:33" ht="14.25" hidden="1" x14ac:dyDescent="0.2">
      <c r="A1185" s="18" t="str">
        <f t="array" ref="A1185">IF(G1185='Room Info'!$B$1, INDEX('Room Info'!$A$2:$A2446, MATCH(B1185,'Room Info'!$B$2:$B2446, 0)),IF(G1185='Room Info'!$C$1, INDEX('Room Info'!$A$2:$A2446, MATCH(B1185,'Room Info'!$C$2:$C2446, 0)),IF(G1185='Room Info'!$D$1, INDEX('Room Info'!$A$2:$A2446, MATCH(B1185,'Room Info'!$D$2:$D2446, 0)),IF(G1185='Room Info'!$E$1, INDEX('Room Info'!$A$2:$A2446, MATCH(B1185,'Room Info'!$E$2:$E2446, 0)),IF(G1185='Room Info'!$F$1, INDEX('Room Info'!$A$2:$A2446, MATCH(B1185,'Room Info'!$F$2:$F2446, 0)),IF(G1185='Room Info'!$H$1, INDEX('Room Info'!$A$2:$A2446, MATCH(B1185,'Room Info'!$H$2:$H2446, 0)),IF(G1185='Room Info'!$G$1, INDEX('Room Info'!$A$2:$A2446, MATCH(B1185,'Room Info'!$G$2:$G2446, 0)))))))))</f>
        <v>Rus29APX</v>
      </c>
      <c r="B1185" s="45" t="s">
        <v>198</v>
      </c>
      <c r="C1185" s="77">
        <v>44835</v>
      </c>
      <c r="D1185" s="77">
        <v>44865</v>
      </c>
      <c r="E1185" s="47">
        <v>44835</v>
      </c>
      <c r="F1185" s="48" t="s">
        <v>49</v>
      </c>
      <c r="G1185" s="45" t="s">
        <v>35</v>
      </c>
      <c r="H1185" s="91" t="s">
        <v>40</v>
      </c>
      <c r="I1185" s="49" t="s">
        <v>37</v>
      </c>
      <c r="J1185" s="74">
        <v>10</v>
      </c>
      <c r="K1185" s="75">
        <v>471</v>
      </c>
      <c r="L1185" s="72">
        <v>-460</v>
      </c>
      <c r="M1185" s="76">
        <v>40</v>
      </c>
      <c r="N1185" s="28">
        <f>K1185*J1185</f>
        <v>4710</v>
      </c>
      <c r="O1185" s="45">
        <v>13789</v>
      </c>
      <c r="P1185" s="29">
        <v>29.276008489999999</v>
      </c>
      <c r="Q1185" s="55"/>
      <c r="R1185" s="31">
        <f>M1185+Q1185</f>
        <v>40</v>
      </c>
      <c r="S1185" s="73">
        <v>-120</v>
      </c>
      <c r="T1185" s="32">
        <f>R1185+S1185+IF(F1185="Without EV deal",L1185,0)</f>
        <v>-80</v>
      </c>
      <c r="U1185" s="57">
        <v>1</v>
      </c>
      <c r="V1185" s="58"/>
      <c r="W1185" s="58"/>
      <c r="X1185" s="78">
        <v>0.23</v>
      </c>
      <c r="Y1185" s="30">
        <f>IF(AG1185="None",0,IF(AG1185="Fix5",0.05, IF(AG1185="Fix6.25",0.0625,IF(AG1185="Fix3.75",0.0375,IF(AG1185="Fix10",0.1,IF(AG1185="Fix3",0.03,0))))))</f>
        <v>0</v>
      </c>
      <c r="Z1185" s="35">
        <f>T1185-AA1185-AB1185</f>
        <v>-62</v>
      </c>
      <c r="AA1185" s="60">
        <v>-18</v>
      </c>
      <c r="AB1185" s="36">
        <f>IF(AD1185="EUR",((T1185-R1185)*Y1185)*U1185+(R1185*Y1185),(T1185*Y1185))</f>
        <v>0</v>
      </c>
      <c r="AC1185" s="37" t="b">
        <v>1</v>
      </c>
      <c r="AD1185" s="37" t="s">
        <v>38</v>
      </c>
      <c r="AE1185" s="37" t="s">
        <v>38</v>
      </c>
      <c r="AF1185" s="37" t="str">
        <f t="array" ref="AF1185">INDEX('Deal Info'!D:D, MATCH(A1185,'Deal Info'!A:A, 0))</f>
        <v>DoEV</v>
      </c>
      <c r="AG1185" s="38" t="str">
        <f t="array" ref="AG1185">INDEX('Deal Info'!G:G, MATCH(A1185,'Deal Info'!A:A, 0))</f>
        <v>None</v>
      </c>
    </row>
    <row r="1186" spans="1:33" ht="14.25" hidden="1" x14ac:dyDescent="0.2">
      <c r="A1186" s="18" t="str">
        <f t="array" ref="A1186">IF(G1186='Room Info'!$B$1, INDEX('Room Info'!$A$2:$A2446, MATCH(B1186,'Room Info'!$B$2:$B2446, 0)),IF(G1186='Room Info'!$C$1, INDEX('Room Info'!$A$2:$A2446, MATCH(B1186,'Room Info'!$C$2:$C2446, 0)),IF(G1186='Room Info'!$D$1, INDEX('Room Info'!$A$2:$A2446, MATCH(B1186,'Room Info'!$D$2:$D2446, 0)),IF(G1186='Room Info'!$E$1, INDEX('Room Info'!$A$2:$A2446, MATCH(B1186,'Room Info'!$E$2:$E2446, 0)),IF(G1186='Room Info'!$F$1, INDEX('Room Info'!$A$2:$A2446, MATCH(B1186,'Room Info'!$F$2:$F2446, 0)),IF(G1186='Room Info'!$H$1, INDEX('Room Info'!$A$2:$A2446, MATCH(B1186,'Room Info'!$H$2:$H2446, 0)),IF(G1186='Room Info'!$G$1, INDEX('Room Info'!$A$2:$A2446, MATCH(B1186,'Room Info'!$G$2:$G2446, 0)))))))))</f>
        <v>Rus29APX</v>
      </c>
      <c r="B1186" s="45" t="s">
        <v>198</v>
      </c>
      <c r="C1186" s="46">
        <v>44835</v>
      </c>
      <c r="D1186" s="46">
        <v>44865</v>
      </c>
      <c r="E1186" s="47">
        <v>44835</v>
      </c>
      <c r="F1186" s="45" t="s">
        <v>49</v>
      </c>
      <c r="G1186" s="54" t="s">
        <v>35</v>
      </c>
      <c r="H1186" s="49" t="s">
        <v>46</v>
      </c>
      <c r="I1186" s="49" t="s">
        <v>37</v>
      </c>
      <c r="J1186" s="50">
        <v>25</v>
      </c>
      <c r="K1186" s="51">
        <v>475</v>
      </c>
      <c r="L1186" s="52">
        <v>525</v>
      </c>
      <c r="M1186" s="53">
        <v>80</v>
      </c>
      <c r="N1186" s="28">
        <f>K1186*J1186</f>
        <v>11875</v>
      </c>
      <c r="O1186" s="54">
        <v>30528</v>
      </c>
      <c r="P1186" s="29">
        <v>64.269473680000004</v>
      </c>
      <c r="Q1186" s="55"/>
      <c r="R1186" s="31">
        <f>M1186+Q1186</f>
        <v>80</v>
      </c>
      <c r="S1186" s="56">
        <v>588</v>
      </c>
      <c r="T1186" s="32">
        <f>R1186+S1186+IF(F1186="Without EV deal",L1186,0)</f>
        <v>668</v>
      </c>
      <c r="U1186" s="57">
        <v>1</v>
      </c>
      <c r="V1186" s="58"/>
      <c r="W1186" s="58"/>
      <c r="X1186" s="78">
        <v>0.23</v>
      </c>
      <c r="Y1186" s="30">
        <f>IF(AG1186="None",0,IF(AG1186="Fix5",0.05, IF(AG1186="Fix6.25",0.0625,IF(AG1186="Fix3.75",0.0375,IF(AG1186="Fix10",0.1,IF(AG1186="Fix3",0.03,0))))))</f>
        <v>0</v>
      </c>
      <c r="Z1186" s="35">
        <f>T1186-AA1186-AB1186</f>
        <v>514</v>
      </c>
      <c r="AA1186" s="60">
        <v>154</v>
      </c>
      <c r="AB1186" s="36">
        <f>IF(AD1186="EUR",((T1186-R1186)*Y1186)*U1186+(R1186*Y1186),(T1186*Y1186))</f>
        <v>0</v>
      </c>
      <c r="AC1186" s="37" t="b">
        <v>1</v>
      </c>
      <c r="AD1186" s="37" t="s">
        <v>38</v>
      </c>
      <c r="AE1186" s="37" t="s">
        <v>38</v>
      </c>
      <c r="AF1186" s="37" t="str">
        <f t="array" ref="AF1186">INDEX('Deal Info'!D:D, MATCH(A1186,'Deal Info'!A:A, 0))</f>
        <v>DoEV</v>
      </c>
      <c r="AG1186" s="38" t="str">
        <f t="array" ref="AG1186">INDEX('Deal Info'!G:G, MATCH(A1186,'Deal Info'!A:A, 0))</f>
        <v>None</v>
      </c>
    </row>
    <row r="1187" spans="1:33" ht="14.25" hidden="1" x14ac:dyDescent="0.2">
      <c r="A1187" s="18" t="str">
        <f t="array" ref="A1187">IF(G1187='Room Info'!$B$1, INDEX('Room Info'!$A$2:$A2446, MATCH(B1187,'Room Info'!$B$2:$B2446, 0)),IF(G1187='Room Info'!$C$1, INDEX('Room Info'!$A$2:$A2446, MATCH(B1187,'Room Info'!$C$2:$C2446, 0)),IF(G1187='Room Info'!$D$1, INDEX('Room Info'!$A$2:$A2446, MATCH(B1187,'Room Info'!$D$2:$D2446, 0)),IF(G1187='Room Info'!$E$1, INDEX('Room Info'!$A$2:$A2446, MATCH(B1187,'Room Info'!$E$2:$E2446, 0)),IF(G1187='Room Info'!$F$1, INDEX('Room Info'!$A$2:$A2446, MATCH(B1187,'Room Info'!$F$2:$F2446, 0)),IF(G1187='Room Info'!$H$1, INDEX('Room Info'!$A$2:$A2446, MATCH(B1187,'Room Info'!$H$2:$H2446, 0)),IF(G1187='Room Info'!$G$1, INDEX('Room Info'!$A$2:$A2446, MATCH(B1187,'Room Info'!$G$2:$G2446, 0)))))))))</f>
        <v>Rus29APX</v>
      </c>
      <c r="B1187" s="45" t="s">
        <v>198</v>
      </c>
      <c r="C1187" s="46">
        <v>44835</v>
      </c>
      <c r="D1187" s="46">
        <v>44865</v>
      </c>
      <c r="E1187" s="47">
        <v>44835</v>
      </c>
      <c r="F1187" s="45" t="s">
        <v>41</v>
      </c>
      <c r="G1187" s="54" t="s">
        <v>35</v>
      </c>
      <c r="H1187" s="49" t="s">
        <v>45</v>
      </c>
      <c r="I1187" s="49" t="s">
        <v>37</v>
      </c>
      <c r="J1187" s="50">
        <v>0.25</v>
      </c>
      <c r="K1187" s="51">
        <v>2</v>
      </c>
      <c r="L1187" s="52">
        <v>1</v>
      </c>
      <c r="M1187" s="62"/>
      <c r="N1187" s="28">
        <f>K1187*J1187</f>
        <v>0.5</v>
      </c>
      <c r="O1187" s="65"/>
      <c r="P1187" s="29">
        <v>0</v>
      </c>
      <c r="Q1187" s="55"/>
      <c r="R1187" s="31">
        <f>M1187+Q1187</f>
        <v>0</v>
      </c>
      <c r="S1187" s="66"/>
      <c r="T1187" s="32">
        <f>R1187+S1187+IF(F1187="Without EV deal",L1187,0)</f>
        <v>1</v>
      </c>
      <c r="U1187" s="57">
        <v>1</v>
      </c>
      <c r="V1187" s="58"/>
      <c r="W1187" s="58"/>
      <c r="X1187" s="78">
        <v>0.23</v>
      </c>
      <c r="Y1187" s="30">
        <f>IF(AG1187="None",0,IF(AG1187="Fix5",0.05, IF(AG1187="Fix6.25",0.0625,IF(AG1187="Fix3.75",0.0375,IF(AG1187="Fix10",0.1,IF(AG1187="Fix3",0.03,0))))))</f>
        <v>0</v>
      </c>
      <c r="Z1187" s="35">
        <f>T1187-AA1187-AB1187</f>
        <v>1</v>
      </c>
      <c r="AA1187" s="60">
        <v>0</v>
      </c>
      <c r="AB1187" s="36">
        <f>IF(AD1187="EUR",((T1187-R1187)*Y1187)*U1187+(R1187*Y1187),(T1187*Y1187))</f>
        <v>0</v>
      </c>
      <c r="AC1187" s="37" t="b">
        <v>1</v>
      </c>
      <c r="AD1187" s="37" t="s">
        <v>38</v>
      </c>
      <c r="AE1187" s="37" t="s">
        <v>38</v>
      </c>
      <c r="AF1187" s="37" t="str">
        <f t="array" ref="AF1187">INDEX('Deal Info'!D:D, MATCH(A1187,'Deal Info'!A:A, 0))</f>
        <v>DoEV</v>
      </c>
      <c r="AG1187" s="38" t="str">
        <f t="array" ref="AG1187">INDEX('Deal Info'!G:G, MATCH(A1187,'Deal Info'!A:A, 0))</f>
        <v>None</v>
      </c>
    </row>
    <row r="1188" spans="1:33" ht="28.5" hidden="1" x14ac:dyDescent="0.2">
      <c r="A1188" s="18" t="str">
        <f t="array" ref="A1188">IF(G1188='Room Info'!$B$1, INDEX('Room Info'!$A$2:$A2446, MATCH(B1188,'Room Info'!$B$2:$B2446, 0)),IF(G1188='Room Info'!$C$1, INDEX('Room Info'!$A$2:$A2446, MATCH(B1188,'Room Info'!$C$2:$C2446, 0)),IF(G1188='Room Info'!$D$1, INDEX('Room Info'!$A$2:$A2446, MATCH(B1188,'Room Info'!$D$2:$D2446, 0)),IF(G1188='Room Info'!$E$1, INDEX('Room Info'!$A$2:$A2446, MATCH(B1188,'Room Info'!$E$2:$E2446, 0)),IF(G1188='Room Info'!$F$1, INDEX('Room Info'!$A$2:$A2446, MATCH(B1188,'Room Info'!$F$2:$F2446, 0)),IF(G1188='Room Info'!$H$1, INDEX('Room Info'!$A$2:$A2446, MATCH(B1188,'Room Info'!$H$2:$H2446, 0)),IF(G1188='Room Info'!$G$1, INDEX('Room Info'!$A$2:$A2446, MATCH(B1188,'Room Info'!$G$2:$G2446, 0)))))))))</f>
        <v>Rus29APX</v>
      </c>
      <c r="B1188" s="54" t="s">
        <v>198</v>
      </c>
      <c r="C1188" s="99">
        <v>44835</v>
      </c>
      <c r="D1188" s="46">
        <v>44865</v>
      </c>
      <c r="E1188" s="47">
        <v>44835</v>
      </c>
      <c r="F1188" s="48" t="s">
        <v>41</v>
      </c>
      <c r="G1188" s="54" t="s">
        <v>35</v>
      </c>
      <c r="H1188" s="49" t="s">
        <v>39</v>
      </c>
      <c r="I1188" s="49" t="s">
        <v>37</v>
      </c>
      <c r="J1188" s="50">
        <v>5</v>
      </c>
      <c r="K1188" s="51">
        <v>4</v>
      </c>
      <c r="L1188" s="52">
        <v>-10</v>
      </c>
      <c r="M1188" s="62"/>
      <c r="N1188" s="28">
        <f>K1188*J1188</f>
        <v>20</v>
      </c>
      <c r="O1188" s="65"/>
      <c r="P1188" s="29">
        <v>0</v>
      </c>
      <c r="Q1188" s="55"/>
      <c r="R1188" s="31">
        <f>M1188+Q1188</f>
        <v>0</v>
      </c>
      <c r="S1188" s="66"/>
      <c r="T1188" s="32">
        <f>R1188+S1188+IF(F1188="Without EV deal",L1188,0)</f>
        <v>-10</v>
      </c>
      <c r="U1188" s="57">
        <v>1</v>
      </c>
      <c r="V1188" s="58"/>
      <c r="W1188" s="58"/>
      <c r="X1188" s="78">
        <v>0.23</v>
      </c>
      <c r="Y1188" s="30">
        <f>IF(AG1188="None",0,IF(AG1188="Fix5",0.05, IF(AG1188="Fix6.25",0.0625,IF(AG1188="Fix3.75",0.0375,IF(AG1188="Fix10",0.1,IF(AG1188="Fix3",0.03,0))))))</f>
        <v>0</v>
      </c>
      <c r="Z1188" s="35">
        <f>T1188-AA1188-AB1188</f>
        <v>-8</v>
      </c>
      <c r="AA1188" s="60">
        <v>-2</v>
      </c>
      <c r="AB1188" s="36">
        <f>IF(AD1188="EUR",((T1188-R1188)*Y1188)*U1188+(R1188*Y1188),(T1188*Y1188))</f>
        <v>0</v>
      </c>
      <c r="AC1188" s="37" t="b">
        <v>1</v>
      </c>
      <c r="AD1188" s="37" t="s">
        <v>38</v>
      </c>
      <c r="AE1188" s="37" t="s">
        <v>38</v>
      </c>
      <c r="AF1188" s="37" t="str">
        <f t="array" ref="AF1188">INDEX('Deal Info'!D:D, MATCH(A1188,'Deal Info'!A:A, 0))</f>
        <v>DoEV</v>
      </c>
      <c r="AG1188" s="38" t="str">
        <f t="array" ref="AG1188">INDEX('Deal Info'!G:G, MATCH(A1188,'Deal Info'!A:A, 0))</f>
        <v>None</v>
      </c>
    </row>
    <row r="1189" spans="1:33" ht="28.5" hidden="1" x14ac:dyDescent="0.2">
      <c r="A1189" s="18" t="str">
        <f t="array" ref="A1189">IF(G1189='Room Info'!$B$1, INDEX('Room Info'!$A$2:$A2446, MATCH(B1189,'Room Info'!$B$2:$B2446, 0)),IF(G1189='Room Info'!$C$1, INDEX('Room Info'!$A$2:$A2446, MATCH(B1189,'Room Info'!$C$2:$C2446, 0)),IF(G1189='Room Info'!$D$1, INDEX('Room Info'!$A$2:$A2446, MATCH(B1189,'Room Info'!$D$2:$D2446, 0)),IF(G1189='Room Info'!$E$1, INDEX('Room Info'!$A$2:$A2446, MATCH(B1189,'Room Info'!$E$2:$E2446, 0)),IF(G1189='Room Info'!$F$1, INDEX('Room Info'!$A$2:$A2446, MATCH(B1189,'Room Info'!$F$2:$F2446, 0)),IF(G1189='Room Info'!$H$1, INDEX('Room Info'!$A$2:$A2446, MATCH(B1189,'Room Info'!$H$2:$H2446, 0)),IF(G1189='Room Info'!$G$1, INDEX('Room Info'!$A$2:$A2446, MATCH(B1189,'Room Info'!$G$2:$G2446, 0)))))))))</f>
        <v>Rus29APX</v>
      </c>
      <c r="B1189" s="54" t="s">
        <v>198</v>
      </c>
      <c r="C1189" s="99">
        <v>44866</v>
      </c>
      <c r="D1189" s="46">
        <v>44895</v>
      </c>
      <c r="E1189" s="47">
        <v>44866</v>
      </c>
      <c r="F1189" s="48" t="s">
        <v>41</v>
      </c>
      <c r="G1189" s="54" t="s">
        <v>53</v>
      </c>
      <c r="H1189" s="49" t="s">
        <v>56</v>
      </c>
      <c r="I1189" s="49" t="s">
        <v>37</v>
      </c>
      <c r="J1189" s="50">
        <v>20</v>
      </c>
      <c r="K1189" s="51">
        <v>714</v>
      </c>
      <c r="L1189" s="52">
        <v>2052.3200000000002</v>
      </c>
      <c r="M1189" s="53">
        <v>500</v>
      </c>
      <c r="N1189" s="28">
        <f>K1189*J1189</f>
        <v>14280</v>
      </c>
      <c r="O1189" s="65"/>
      <c r="P1189" s="29">
        <v>0</v>
      </c>
      <c r="Q1189" s="55"/>
      <c r="R1189" s="31">
        <f>M1189+Q1189</f>
        <v>500</v>
      </c>
      <c r="S1189" s="66"/>
      <c r="T1189" s="32">
        <f>R1189+S1189+IF(F1189="Without EV deal",L1189,0)</f>
        <v>2552.3200000000002</v>
      </c>
      <c r="U1189" s="57">
        <v>1</v>
      </c>
      <c r="V1189" s="58"/>
      <c r="W1189" s="58"/>
      <c r="X1189" s="78">
        <v>0.17</v>
      </c>
      <c r="Y1189" s="30">
        <f>IF(AG1189="None",0,IF(AG1189="Fix5",0.05, IF(AG1189="Fix6.25",0.0625,IF(AG1189="Fix3.75",0.0375,IF(AG1189="Fix10",0.1,IF(AG1189="Fix3",0.03,0))))))</f>
        <v>0</v>
      </c>
      <c r="Z1189" s="35">
        <f>T1189-AA1189-AB1189</f>
        <v>2118.3200000000002</v>
      </c>
      <c r="AA1189" s="60">
        <v>434</v>
      </c>
      <c r="AB1189" s="36">
        <f>IF(AD1189="EUR",((T1189-R1189)*Y1189)*U1189+(R1189*Y1189),(T1189*Y1189))</f>
        <v>0</v>
      </c>
      <c r="AC1189" s="37" t="b">
        <v>1</v>
      </c>
      <c r="AD1189" s="37" t="s">
        <v>38</v>
      </c>
      <c r="AE1189" s="37" t="s">
        <v>38</v>
      </c>
      <c r="AF1189" s="37" t="str">
        <f t="array" ref="AF1189">INDEX('Deal Info'!D:D, MATCH(A1189,'Deal Info'!A:A, 0))</f>
        <v>DoEV</v>
      </c>
      <c r="AG1189" s="38" t="str">
        <f t="array" ref="AG1189">INDEX('Deal Info'!G:G, MATCH(A1189,'Deal Info'!A:A, 0))</f>
        <v>None</v>
      </c>
    </row>
    <row r="1190" spans="1:33" ht="28.5" hidden="1" x14ac:dyDescent="0.2">
      <c r="A1190" s="18" t="str">
        <f t="array" ref="A1190">IF(G1190='Room Info'!$B$1, INDEX('Room Info'!$A$2:$A2446, MATCH(B1190,'Room Info'!$B$2:$B2446, 0)),IF(G1190='Room Info'!$C$1, INDEX('Room Info'!$A$2:$A2446, MATCH(B1190,'Room Info'!$C$2:$C2446, 0)),IF(G1190='Room Info'!$D$1, INDEX('Room Info'!$A$2:$A2446, MATCH(B1190,'Room Info'!$D$2:$D2446, 0)),IF(G1190='Room Info'!$E$1, INDEX('Room Info'!$A$2:$A2446, MATCH(B1190,'Room Info'!$E$2:$E2446, 0)),IF(G1190='Room Info'!$F$1, INDEX('Room Info'!$A$2:$A2446, MATCH(B1190,'Room Info'!$F$2:$F2446, 0)),IF(G1190='Room Info'!$H$1, INDEX('Room Info'!$A$2:$A2446, MATCH(B1190,'Room Info'!$H$2:$H2446, 0)),IF(G1190='Room Info'!$G$1, INDEX('Room Info'!$A$2:$A2446, MATCH(B1190,'Room Info'!$G$2:$G2446, 0)))))))))</f>
        <v>Rus29APX</v>
      </c>
      <c r="B1190" s="54" t="s">
        <v>198</v>
      </c>
      <c r="C1190" s="99">
        <v>44866</v>
      </c>
      <c r="D1190" s="46">
        <v>44895</v>
      </c>
      <c r="E1190" s="47">
        <v>44866</v>
      </c>
      <c r="F1190" s="48" t="s">
        <v>41</v>
      </c>
      <c r="G1190" s="54" t="s">
        <v>53</v>
      </c>
      <c r="H1190" s="49" t="s">
        <v>55</v>
      </c>
      <c r="I1190" s="49" t="s">
        <v>37</v>
      </c>
      <c r="J1190" s="50">
        <v>10</v>
      </c>
      <c r="K1190" s="51">
        <v>13</v>
      </c>
      <c r="L1190" s="52">
        <v>18.68</v>
      </c>
      <c r="M1190" s="53">
        <v>5</v>
      </c>
      <c r="N1190" s="28">
        <f>K1190*J1190</f>
        <v>130</v>
      </c>
      <c r="O1190" s="65"/>
      <c r="P1190" s="29">
        <v>0</v>
      </c>
      <c r="Q1190" s="55"/>
      <c r="R1190" s="31">
        <f>M1190+Q1190</f>
        <v>5</v>
      </c>
      <c r="S1190" s="66"/>
      <c r="T1190" s="32">
        <f>R1190+S1190+IF(F1190="Without EV deal",L1190,0)</f>
        <v>23.68</v>
      </c>
      <c r="U1190" s="57">
        <v>1</v>
      </c>
      <c r="V1190" s="58"/>
      <c r="W1190" s="58"/>
      <c r="X1190" s="78">
        <v>0.17</v>
      </c>
      <c r="Y1190" s="30">
        <f>IF(AG1190="None",0,IF(AG1190="Fix5",0.05, IF(AG1190="Fix6.25",0.0625,IF(AG1190="Fix3.75",0.0375,IF(AG1190="Fix10",0.1,IF(AG1190="Fix3",0.03,0))))))</f>
        <v>0</v>
      </c>
      <c r="Z1190" s="35">
        <f>T1190-AA1190-AB1190</f>
        <v>19.68</v>
      </c>
      <c r="AA1190" s="60">
        <v>4</v>
      </c>
      <c r="AB1190" s="36">
        <f>IF(AD1190="EUR",((T1190-R1190)*Y1190)*U1190+(R1190*Y1190),(T1190*Y1190))</f>
        <v>0</v>
      </c>
      <c r="AC1190" s="37" t="b">
        <v>1</v>
      </c>
      <c r="AD1190" s="37" t="s">
        <v>38</v>
      </c>
      <c r="AE1190" s="37" t="s">
        <v>38</v>
      </c>
      <c r="AF1190" s="37" t="str">
        <f t="array" ref="AF1190">INDEX('Deal Info'!D:D, MATCH(A1190,'Deal Info'!A:A, 0))</f>
        <v>DoEV</v>
      </c>
      <c r="AG1190" s="38" t="str">
        <f t="array" ref="AG1190">INDEX('Deal Info'!G:G, MATCH(A1190,'Deal Info'!A:A, 0))</f>
        <v>None</v>
      </c>
    </row>
    <row r="1191" spans="1:33" ht="14.25" hidden="1" x14ac:dyDescent="0.2">
      <c r="A1191" s="18" t="str">
        <f t="array" ref="A1191">IF(G1191='Room Info'!$B$1, INDEX('Room Info'!$A$2:$A2446, MATCH(B1191,'Room Info'!$B$2:$B2446, 0)),IF(G1191='Room Info'!$C$1, INDEX('Room Info'!$A$2:$A2446, MATCH(B1191,'Room Info'!$C$2:$C2446, 0)),IF(G1191='Room Info'!$D$1, INDEX('Room Info'!$A$2:$A2446, MATCH(B1191,'Room Info'!$D$2:$D2446, 0)),IF(G1191='Room Info'!$E$1, INDEX('Room Info'!$A$2:$A2446, MATCH(B1191,'Room Info'!$E$2:$E2446, 0)),IF(G1191='Room Info'!$F$1, INDEX('Room Info'!$A$2:$A2446, MATCH(B1191,'Room Info'!$F$2:$F2446, 0)),IF(G1191='Room Info'!$H$1, INDEX('Room Info'!$A$2:$A2446, MATCH(B1191,'Room Info'!$H$2:$H2446, 0)),IF(G1191='Room Info'!$G$1, INDEX('Room Info'!$A$2:$A2446, MATCH(B1191,'Room Info'!$G$2:$G2446, 0)))))))))</f>
        <v>Rus29APX</v>
      </c>
      <c r="B1191" s="45" t="s">
        <v>198</v>
      </c>
      <c r="C1191" s="46">
        <v>44866</v>
      </c>
      <c r="D1191" s="46">
        <v>44895</v>
      </c>
      <c r="E1191" s="47">
        <v>44866</v>
      </c>
      <c r="F1191" s="48" t="s">
        <v>49</v>
      </c>
      <c r="G1191" s="54" t="s">
        <v>35</v>
      </c>
      <c r="H1191" s="49" t="s">
        <v>40</v>
      </c>
      <c r="I1191" s="49" t="s">
        <v>37</v>
      </c>
      <c r="J1191" s="50">
        <v>10</v>
      </c>
      <c r="K1191" s="51">
        <v>186</v>
      </c>
      <c r="L1191" s="52">
        <v>1350</v>
      </c>
      <c r="M1191" s="53">
        <v>112</v>
      </c>
      <c r="N1191" s="28">
        <f>K1191*J1191</f>
        <v>1860</v>
      </c>
      <c r="O1191" s="54">
        <v>10393</v>
      </c>
      <c r="P1191" s="29">
        <v>55.876344090000003</v>
      </c>
      <c r="Q1191" s="55"/>
      <c r="R1191" s="31">
        <f>M1191+Q1191</f>
        <v>112</v>
      </c>
      <c r="S1191" s="56">
        <v>47</v>
      </c>
      <c r="T1191" s="32">
        <f>R1191+S1191+IF(F1191="Without EV deal",L1191,0)</f>
        <v>159</v>
      </c>
      <c r="U1191" s="57">
        <v>1</v>
      </c>
      <c r="V1191" s="58"/>
      <c r="W1191" s="58"/>
      <c r="X1191" s="78">
        <v>0.17</v>
      </c>
      <c r="Y1191" s="30">
        <f>IF(AG1191="None",0,IF(AG1191="Fix5",0.05, IF(AG1191="Fix6.25",0.0625,IF(AG1191="Fix3.75",0.0375,IF(AG1191="Fix10",0.1,IF(AG1191="Fix3",0.03,0))))))</f>
        <v>0</v>
      </c>
      <c r="Z1191" s="35">
        <f>T1191-AA1191-AB1191</f>
        <v>132</v>
      </c>
      <c r="AA1191" s="60">
        <v>27</v>
      </c>
      <c r="AB1191" s="36">
        <f>IF(AD1191="EUR",((T1191-R1191)*Y1191)*U1191+(R1191*Y1191),(T1191*Y1191))</f>
        <v>0</v>
      </c>
      <c r="AC1191" s="37" t="b">
        <v>1</v>
      </c>
      <c r="AD1191" s="37" t="s">
        <v>38</v>
      </c>
      <c r="AE1191" s="37" t="s">
        <v>38</v>
      </c>
      <c r="AF1191" s="37" t="str">
        <f t="array" ref="AF1191">INDEX('Deal Info'!D:D, MATCH(A1191,'Deal Info'!A:A, 0))</f>
        <v>DoEV</v>
      </c>
      <c r="AG1191" s="38" t="str">
        <f t="array" ref="AG1191">INDEX('Deal Info'!G:G, MATCH(A1191,'Deal Info'!A:A, 0))</f>
        <v>None</v>
      </c>
    </row>
    <row r="1192" spans="1:33" ht="14.25" hidden="1" x14ac:dyDescent="0.2">
      <c r="A1192" s="18" t="str">
        <f t="array" ref="A1192">IF(G1192='Room Info'!$B$1, INDEX('Room Info'!$A$2:$A2446, MATCH(B1192,'Room Info'!$B$2:$B2446, 0)),IF(G1192='Room Info'!$C$1, INDEX('Room Info'!$A$2:$A2446, MATCH(B1192,'Room Info'!$C$2:$C2446, 0)),IF(G1192='Room Info'!$D$1, INDEX('Room Info'!$A$2:$A2446, MATCH(B1192,'Room Info'!$D$2:$D2446, 0)),IF(G1192='Room Info'!$E$1, INDEX('Room Info'!$A$2:$A2446, MATCH(B1192,'Room Info'!$E$2:$E2446, 0)),IF(G1192='Room Info'!$F$1, INDEX('Room Info'!$A$2:$A2446, MATCH(B1192,'Room Info'!$F$2:$F2446, 0)),IF(G1192='Room Info'!$H$1, INDEX('Room Info'!$A$2:$A2446, MATCH(B1192,'Room Info'!$H$2:$H2446, 0)),IF(G1192='Room Info'!$G$1, INDEX('Room Info'!$A$2:$A2446, MATCH(B1192,'Room Info'!$G$2:$G2446, 0)))))))))</f>
        <v>Rus29APX</v>
      </c>
      <c r="B1192" s="45" t="s">
        <v>198</v>
      </c>
      <c r="C1192" s="77">
        <v>44866</v>
      </c>
      <c r="D1192" s="46">
        <v>44895</v>
      </c>
      <c r="E1192" s="47">
        <v>44866</v>
      </c>
      <c r="F1192" s="48" t="s">
        <v>49</v>
      </c>
      <c r="G1192" s="45" t="s">
        <v>35</v>
      </c>
      <c r="H1192" s="49" t="s">
        <v>46</v>
      </c>
      <c r="I1192" s="49" t="s">
        <v>37</v>
      </c>
      <c r="J1192" s="50">
        <v>25</v>
      </c>
      <c r="K1192" s="51">
        <v>691</v>
      </c>
      <c r="L1192" s="52">
        <v>310</v>
      </c>
      <c r="M1192" s="53">
        <v>891</v>
      </c>
      <c r="N1192" s="28">
        <f>K1192*J1192</f>
        <v>17275</v>
      </c>
      <c r="O1192" s="54">
        <v>49705</v>
      </c>
      <c r="P1192" s="29">
        <v>71.931982629999993</v>
      </c>
      <c r="Q1192" s="55"/>
      <c r="R1192" s="31">
        <f>M1192+Q1192</f>
        <v>891</v>
      </c>
      <c r="S1192" s="56">
        <v>1140</v>
      </c>
      <c r="T1192" s="32">
        <f>R1192+S1192+IF(F1192="Without EV deal",L1192,0)</f>
        <v>2031</v>
      </c>
      <c r="U1192" s="57">
        <v>1</v>
      </c>
      <c r="V1192" s="58"/>
      <c r="W1192" s="58"/>
      <c r="X1192" s="78">
        <v>0.17</v>
      </c>
      <c r="Y1192" s="30">
        <f>IF(AG1192="None",0,IF(AG1192="Fix5",0.05, IF(AG1192="Fix6.25",0.0625,IF(AG1192="Fix3.75",0.0375,IF(AG1192="Fix10",0.1,IF(AG1192="Fix3",0.03,0))))))</f>
        <v>0</v>
      </c>
      <c r="Z1192" s="35">
        <f>T1192-AA1192-AB1192</f>
        <v>1686</v>
      </c>
      <c r="AA1192" s="60">
        <v>345</v>
      </c>
      <c r="AB1192" s="36">
        <f>IF(AD1192="EUR",((T1192-R1192)*Y1192)*U1192+(R1192*Y1192),(T1192*Y1192))</f>
        <v>0</v>
      </c>
      <c r="AC1192" s="37" t="b">
        <v>1</v>
      </c>
      <c r="AD1192" s="37" t="s">
        <v>38</v>
      </c>
      <c r="AE1192" s="37" t="s">
        <v>38</v>
      </c>
      <c r="AF1192" s="37" t="str">
        <f t="array" ref="AF1192">INDEX('Deal Info'!D:D, MATCH(A1192,'Deal Info'!A:A, 0))</f>
        <v>DoEV</v>
      </c>
      <c r="AG1192" s="38" t="str">
        <f t="array" ref="AG1192">INDEX('Deal Info'!G:G, MATCH(A1192,'Deal Info'!A:A, 0))</f>
        <v>None</v>
      </c>
    </row>
    <row r="1193" spans="1:33" ht="14.25" hidden="1" x14ac:dyDescent="0.2">
      <c r="A1193" s="18" t="str">
        <f t="array" ref="A1193">IF(G1193='Room Info'!$B$1, INDEX('Room Info'!$A$2:$A2446, MATCH(B1193,'Room Info'!$B$2:$B2446, 0)),IF(G1193='Room Info'!$C$1, INDEX('Room Info'!$A$2:$A2446, MATCH(B1193,'Room Info'!$C$2:$C2446, 0)),IF(G1193='Room Info'!$D$1, INDEX('Room Info'!$A$2:$A2446, MATCH(B1193,'Room Info'!$D$2:$D2446, 0)),IF(G1193='Room Info'!$E$1, INDEX('Room Info'!$A$2:$A2446, MATCH(B1193,'Room Info'!$E$2:$E2446, 0)),IF(G1193='Room Info'!$F$1, INDEX('Room Info'!$A$2:$A2446, MATCH(B1193,'Room Info'!$F$2:$F2446, 0)),IF(G1193='Room Info'!$H$1, INDEX('Room Info'!$A$2:$A2446, MATCH(B1193,'Room Info'!$H$2:$H2446, 0)),IF(G1193='Room Info'!$G$1, INDEX('Room Info'!$A$2:$A2446, MATCH(B1193,'Room Info'!$G$2:$G2446, 0)))))))))</f>
        <v>Rus29APX</v>
      </c>
      <c r="B1193" s="45" t="s">
        <v>198</v>
      </c>
      <c r="C1193" s="46">
        <v>44866</v>
      </c>
      <c r="D1193" s="46">
        <v>44895</v>
      </c>
      <c r="E1193" s="47">
        <v>44866</v>
      </c>
      <c r="F1193" s="48" t="s">
        <v>41</v>
      </c>
      <c r="G1193" s="45" t="s">
        <v>35</v>
      </c>
      <c r="H1193" s="49" t="s">
        <v>39</v>
      </c>
      <c r="I1193" s="49" t="s">
        <v>37</v>
      </c>
      <c r="J1193" s="50">
        <v>5</v>
      </c>
      <c r="K1193" s="51">
        <v>2</v>
      </c>
      <c r="L1193" s="52">
        <v>-10</v>
      </c>
      <c r="M1193" s="53">
        <v>1</v>
      </c>
      <c r="N1193" s="28">
        <f>K1193*J1193</f>
        <v>10</v>
      </c>
      <c r="O1193" s="54">
        <v>-424</v>
      </c>
      <c r="P1193" s="29">
        <v>-212</v>
      </c>
      <c r="Q1193" s="55"/>
      <c r="R1193" s="31">
        <f>M1193+Q1193</f>
        <v>1</v>
      </c>
      <c r="S1193" s="56"/>
      <c r="T1193" s="32">
        <f>R1193+S1193+IF(F1193="Without EV deal",L1193,0)</f>
        <v>-9</v>
      </c>
      <c r="U1193" s="57">
        <v>1</v>
      </c>
      <c r="V1193" s="58"/>
      <c r="W1193" s="58"/>
      <c r="X1193" s="78">
        <v>0.17</v>
      </c>
      <c r="Y1193" s="30">
        <f>IF(AG1193="None",0,IF(AG1193="Fix5",0.05, IF(AG1193="Fix6.25",0.0625,IF(AG1193="Fix3.75",0.0375,IF(AG1193="Fix10",0.1,IF(AG1193="Fix3",0.03,0))))))</f>
        <v>0</v>
      </c>
      <c r="Z1193" s="35">
        <f>T1193-AA1193-AB1193</f>
        <v>-7</v>
      </c>
      <c r="AA1193" s="60">
        <v>-2</v>
      </c>
      <c r="AB1193" s="36">
        <f>IF(AD1193="EUR",((T1193-R1193)*Y1193)*U1193+(R1193*Y1193),(T1193*Y1193))</f>
        <v>0</v>
      </c>
      <c r="AC1193" s="37" t="b">
        <v>1</v>
      </c>
      <c r="AD1193" s="37" t="s">
        <v>38</v>
      </c>
      <c r="AE1193" s="37" t="s">
        <v>38</v>
      </c>
      <c r="AF1193" s="37" t="str">
        <f t="array" ref="AF1193">INDEX('Deal Info'!D:D, MATCH(A1193,'Deal Info'!A:A, 0))</f>
        <v>DoEV</v>
      </c>
      <c r="AG1193" s="38" t="str">
        <f t="array" ref="AG1193">INDEX('Deal Info'!G:G, MATCH(A1193,'Deal Info'!A:A, 0))</f>
        <v>None</v>
      </c>
    </row>
    <row r="1194" spans="1:33" ht="14.25" hidden="1" x14ac:dyDescent="0.2">
      <c r="A1194" s="18" t="str">
        <f t="array" ref="A1194">IF(G1194='Room Info'!$B$1, INDEX('Room Info'!$A$2:$A2446, MATCH(B1194,'Room Info'!$B$2:$B2446, 0)),IF(G1194='Room Info'!$C$1, INDEX('Room Info'!$A$2:$A2446, MATCH(B1194,'Room Info'!$C$2:$C2446, 0)),IF(G1194='Room Info'!$D$1, INDEX('Room Info'!$A$2:$A2446, MATCH(B1194,'Room Info'!$D$2:$D2446, 0)),IF(G1194='Room Info'!$E$1, INDEX('Room Info'!$A$2:$A2446, MATCH(B1194,'Room Info'!$E$2:$E2446, 0)),IF(G1194='Room Info'!$F$1, INDEX('Room Info'!$A$2:$A2446, MATCH(B1194,'Room Info'!$F$2:$F2446, 0)),IF(G1194='Room Info'!$H$1, INDEX('Room Info'!$A$2:$A2446, MATCH(B1194,'Room Info'!$H$2:$H2446, 0)),IF(G1194='Room Info'!$G$1, INDEX('Room Info'!$A$2:$A2446, MATCH(B1194,'Room Info'!$G$2:$G2446, 0)))))))))</f>
        <v>Rus29APX</v>
      </c>
      <c r="B1194" s="45" t="s">
        <v>198</v>
      </c>
      <c r="C1194" s="46">
        <v>44866</v>
      </c>
      <c r="D1194" s="46">
        <v>44895</v>
      </c>
      <c r="E1194" s="47">
        <v>44866</v>
      </c>
      <c r="F1194" s="48" t="s">
        <v>41</v>
      </c>
      <c r="G1194" s="45" t="s">
        <v>35</v>
      </c>
      <c r="H1194" s="49" t="s">
        <v>87</v>
      </c>
      <c r="I1194" s="49" t="s">
        <v>44</v>
      </c>
      <c r="J1194" s="50">
        <v>25</v>
      </c>
      <c r="K1194" s="51">
        <v>1</v>
      </c>
      <c r="L1194" s="52">
        <v>-35</v>
      </c>
      <c r="M1194" s="53">
        <v>1</v>
      </c>
      <c r="N1194" s="28">
        <f>K1194*J1194</f>
        <v>25</v>
      </c>
      <c r="O1194" s="65"/>
      <c r="P1194" s="29">
        <v>0</v>
      </c>
      <c r="Q1194" s="55"/>
      <c r="R1194" s="31">
        <f>M1194+Q1194</f>
        <v>1</v>
      </c>
      <c r="S1194" s="66"/>
      <c r="T1194" s="32">
        <f>R1194+S1194+IF(F1194="Without EV deal",L1194,0)</f>
        <v>-34</v>
      </c>
      <c r="U1194" s="57">
        <v>1</v>
      </c>
      <c r="V1194" s="58"/>
      <c r="W1194" s="58"/>
      <c r="X1194" s="78">
        <v>0.17</v>
      </c>
      <c r="Y1194" s="30">
        <f>IF(AG1194="None",0,IF(AG1194="Fix5",0.05, IF(AG1194="Fix6.25",0.0625,IF(AG1194="Fix3.75",0.0375,IF(AG1194="Fix10",0.1,IF(AG1194="Fix3",0.03,0))))))</f>
        <v>0</v>
      </c>
      <c r="Z1194" s="35">
        <f>T1194-AA1194-AB1194</f>
        <v>-28</v>
      </c>
      <c r="AA1194" s="60">
        <v>-6</v>
      </c>
      <c r="AB1194" s="36">
        <f>IF(AD1194="EUR",((T1194-R1194)*Y1194)*U1194+(R1194*Y1194),(T1194*Y1194))</f>
        <v>0</v>
      </c>
      <c r="AC1194" s="37" t="b">
        <v>1</v>
      </c>
      <c r="AD1194" s="37" t="s">
        <v>38</v>
      </c>
      <c r="AE1194" s="37" t="s">
        <v>38</v>
      </c>
      <c r="AF1194" s="37" t="str">
        <f t="array" ref="AF1194">INDEX('Deal Info'!D:D, MATCH(A1194,'Deal Info'!A:A, 0))</f>
        <v>DoEV</v>
      </c>
      <c r="AG1194" s="38" t="str">
        <f t="array" ref="AG1194">INDEX('Deal Info'!G:G, MATCH(A1194,'Deal Info'!A:A, 0))</f>
        <v>None</v>
      </c>
    </row>
    <row r="1195" spans="1:33" ht="14.25" hidden="1" x14ac:dyDescent="0.2">
      <c r="A1195" s="18" t="str">
        <f t="array" ref="A1195">IF(G1195='Room Info'!$B$1, INDEX('Room Info'!$A$2:$A2446, MATCH(B1195,'Room Info'!$B$2:$B2446, 0)),IF(G1195='Room Info'!$C$1, INDEX('Room Info'!$A$2:$A2446, MATCH(B1195,'Room Info'!$C$2:$C2446, 0)),IF(G1195='Room Info'!$D$1, INDEX('Room Info'!$A$2:$A2446, MATCH(B1195,'Room Info'!$D$2:$D2446, 0)),IF(G1195='Room Info'!$E$1, INDEX('Room Info'!$A$2:$A2446, MATCH(B1195,'Room Info'!$E$2:$E2446, 0)),IF(G1195='Room Info'!$F$1, INDEX('Room Info'!$A$2:$A2446, MATCH(B1195,'Room Info'!$F$2:$F2446, 0)),IF(G1195='Room Info'!$H$1, INDEX('Room Info'!$A$2:$A2446, MATCH(B1195,'Room Info'!$H$2:$H2446, 0)),IF(G1195='Room Info'!$G$1, INDEX('Room Info'!$A$2:$A2446, MATCH(B1195,'Room Info'!$G$2:$G2446, 0)))))))))</f>
        <v>Rus29APX</v>
      </c>
      <c r="B1195" s="45" t="s">
        <v>198</v>
      </c>
      <c r="C1195" s="46">
        <v>44866</v>
      </c>
      <c r="D1195" s="46">
        <v>44895</v>
      </c>
      <c r="E1195" s="47">
        <v>44866</v>
      </c>
      <c r="F1195" s="48" t="s">
        <v>41</v>
      </c>
      <c r="G1195" s="45" t="s">
        <v>35</v>
      </c>
      <c r="H1195" s="49" t="s">
        <v>72</v>
      </c>
      <c r="I1195" s="49" t="s">
        <v>37</v>
      </c>
      <c r="J1195" s="50">
        <v>50</v>
      </c>
      <c r="K1195" s="51">
        <v>3</v>
      </c>
      <c r="L1195" s="52">
        <v>-150</v>
      </c>
      <c r="M1195" s="53">
        <v>8</v>
      </c>
      <c r="N1195" s="28">
        <f>K1195*J1195</f>
        <v>150</v>
      </c>
      <c r="O1195" s="54">
        <v>-103</v>
      </c>
      <c r="P1195" s="29">
        <v>-34.333333330000002</v>
      </c>
      <c r="Q1195" s="55"/>
      <c r="R1195" s="31">
        <f>M1195+Q1195</f>
        <v>8</v>
      </c>
      <c r="S1195" s="56"/>
      <c r="T1195" s="32">
        <f>R1195+S1195+IF(F1195="Without EV deal",L1195,0)</f>
        <v>-142</v>
      </c>
      <c r="U1195" s="57">
        <v>1</v>
      </c>
      <c r="V1195" s="58"/>
      <c r="W1195" s="58"/>
      <c r="X1195" s="78">
        <v>0.17</v>
      </c>
      <c r="Y1195" s="30">
        <f>IF(AG1195="None",0,IF(AG1195="Fix5",0.05, IF(AG1195="Fix6.25",0.0625,IF(AG1195="Fix3.75",0.0375,IF(AG1195="Fix10",0.1,IF(AG1195="Fix3",0.03,0))))))</f>
        <v>0</v>
      </c>
      <c r="Z1195" s="35">
        <f>T1195-AA1195-AB1195</f>
        <v>-118</v>
      </c>
      <c r="AA1195" s="60">
        <v>-24</v>
      </c>
      <c r="AB1195" s="36">
        <f>IF(AD1195="EUR",((T1195-R1195)*Y1195)*U1195+(R1195*Y1195),(T1195*Y1195))</f>
        <v>0</v>
      </c>
      <c r="AC1195" s="37" t="b">
        <v>1</v>
      </c>
      <c r="AD1195" s="37" t="s">
        <v>38</v>
      </c>
      <c r="AE1195" s="37" t="s">
        <v>38</v>
      </c>
      <c r="AF1195" s="37" t="str">
        <f t="array" ref="AF1195">INDEX('Deal Info'!D:D, MATCH(A1195,'Deal Info'!A:A, 0))</f>
        <v>DoEV</v>
      </c>
      <c r="AG1195" s="38" t="str">
        <f t="array" ref="AG1195">INDEX('Deal Info'!G:G, MATCH(A1195,'Deal Info'!A:A, 0))</f>
        <v>None</v>
      </c>
    </row>
    <row r="1196" spans="1:33" ht="14.25" hidden="1" x14ac:dyDescent="0.2">
      <c r="A1196" s="18" t="str">
        <f t="array" ref="A1196">IF(G1196='Room Info'!$B$1, INDEX('Room Info'!$A$2:$A2446, MATCH(B1196,'Room Info'!$B$2:$B2446, 0)),IF(G1196='Room Info'!$C$1, INDEX('Room Info'!$A$2:$A2446, MATCH(B1196,'Room Info'!$C$2:$C2446, 0)),IF(G1196='Room Info'!$D$1, INDEX('Room Info'!$A$2:$A2446, MATCH(B1196,'Room Info'!$D$2:$D2446, 0)),IF(G1196='Room Info'!$E$1, INDEX('Room Info'!$A$2:$A2446, MATCH(B1196,'Room Info'!$E$2:$E2446, 0)),IF(G1196='Room Info'!$F$1, INDEX('Room Info'!$A$2:$A2446, MATCH(B1196,'Room Info'!$F$2:$F2446, 0)),IF(G1196='Room Info'!$H$1, INDEX('Room Info'!$A$2:$A2446, MATCH(B1196,'Room Info'!$H$2:$H2446, 0)),IF(G1196='Room Info'!$G$1, INDEX('Room Info'!$A$2:$A2446, MATCH(B1196,'Room Info'!$G$2:$G2446, 0)))))))))</f>
        <v>Rus29APX</v>
      </c>
      <c r="B1196" s="45" t="s">
        <v>198</v>
      </c>
      <c r="C1196" s="46">
        <v>44896</v>
      </c>
      <c r="D1196" s="46">
        <v>44915</v>
      </c>
      <c r="E1196" s="47">
        <v>44896</v>
      </c>
      <c r="F1196" s="48" t="s">
        <v>49</v>
      </c>
      <c r="G1196" s="45" t="s">
        <v>35</v>
      </c>
      <c r="H1196" s="49" t="s">
        <v>46</v>
      </c>
      <c r="I1196" s="49" t="s">
        <v>37</v>
      </c>
      <c r="J1196" s="50">
        <v>25</v>
      </c>
      <c r="K1196" s="51">
        <v>1128</v>
      </c>
      <c r="L1196" s="52">
        <v>525</v>
      </c>
      <c r="M1196" s="53">
        <v>993</v>
      </c>
      <c r="N1196" s="28">
        <f>K1196*J1196</f>
        <v>28200</v>
      </c>
      <c r="O1196" s="54">
        <v>24999</v>
      </c>
      <c r="P1196" s="29">
        <v>22.162234040000001</v>
      </c>
      <c r="Q1196" s="55"/>
      <c r="R1196" s="31">
        <f>M1196+Q1196</f>
        <v>993</v>
      </c>
      <c r="S1196" s="56">
        <v>-670</v>
      </c>
      <c r="T1196" s="32">
        <f>R1196+S1196+IF(F1196="Without EV deal",L1196,0)</f>
        <v>323</v>
      </c>
      <c r="U1196" s="57">
        <v>1</v>
      </c>
      <c r="V1196" s="58"/>
      <c r="W1196" s="58"/>
      <c r="X1196" s="78">
        <v>0.23</v>
      </c>
      <c r="Y1196" s="30">
        <f>IF(AG1196="None",0,IF(AG1196="Fix5",0.05, IF(AG1196="Fix6.25",0.0625,IF(AG1196="Fix3.75",0.0375,IF(AG1196="Fix10",0.1,IF(AG1196="Fix3",0.03,0))))))</f>
        <v>0</v>
      </c>
      <c r="Z1196" s="35">
        <f>T1196-AA1196-AB1196</f>
        <v>249</v>
      </c>
      <c r="AA1196" s="60">
        <v>74</v>
      </c>
      <c r="AB1196" s="36">
        <f>IF(AD1196="EUR",((T1196-R1196)*Y1196)*U1196+(R1196*Y1196),(T1196*Y1196))</f>
        <v>0</v>
      </c>
      <c r="AC1196" s="37" t="b">
        <v>1</v>
      </c>
      <c r="AD1196" s="37" t="s">
        <v>38</v>
      </c>
      <c r="AE1196" s="37" t="s">
        <v>38</v>
      </c>
      <c r="AF1196" s="37" t="str">
        <f t="array" ref="AF1196">INDEX('Deal Info'!D:D, MATCH(A1196,'Deal Info'!A:A, 0))</f>
        <v>DoEV</v>
      </c>
      <c r="AG1196" s="38" t="str">
        <f t="array" ref="AG1196">INDEX('Deal Info'!G:G, MATCH(A1196,'Deal Info'!A:A, 0))</f>
        <v>None</v>
      </c>
    </row>
    <row r="1197" spans="1:33" ht="28.5" hidden="1" x14ac:dyDescent="0.2">
      <c r="A1197" s="18" t="str">
        <f t="array" ref="A1197">IF(G1197='Room Info'!$B$1, INDEX('Room Info'!$A$2:$A2446, MATCH(B1197,'Room Info'!$B$2:$B2446, 0)),IF(G1197='Room Info'!$C$1, INDEX('Room Info'!$A$2:$A2446, MATCH(B1197,'Room Info'!$C$2:$C2446, 0)),IF(G1197='Room Info'!$D$1, INDEX('Room Info'!$A$2:$A2446, MATCH(B1197,'Room Info'!$D$2:$D2446, 0)),IF(G1197='Room Info'!$E$1, INDEX('Room Info'!$A$2:$A2446, MATCH(B1197,'Room Info'!$E$2:$E2446, 0)),IF(G1197='Room Info'!$F$1, INDEX('Room Info'!$A$2:$A2446, MATCH(B1197,'Room Info'!$F$2:$F2446, 0)),IF(G1197='Room Info'!$H$1, INDEX('Room Info'!$A$2:$A2446, MATCH(B1197,'Room Info'!$H$2:$H2446, 0)),IF(G1197='Room Info'!$G$1, INDEX('Room Info'!$A$2:$A2446, MATCH(B1197,'Room Info'!$G$2:$G2446, 0)))))))))</f>
        <v>Rus29APX</v>
      </c>
      <c r="B1197" s="54" t="s">
        <v>198</v>
      </c>
      <c r="C1197" s="46">
        <v>44896</v>
      </c>
      <c r="D1197" s="46">
        <v>44915</v>
      </c>
      <c r="E1197" s="47">
        <v>44896</v>
      </c>
      <c r="F1197" s="45" t="s">
        <v>49</v>
      </c>
      <c r="G1197" s="54" t="s">
        <v>35</v>
      </c>
      <c r="H1197" s="49" t="s">
        <v>40</v>
      </c>
      <c r="I1197" s="49" t="s">
        <v>37</v>
      </c>
      <c r="J1197" s="74">
        <v>10</v>
      </c>
      <c r="K1197" s="75">
        <v>426</v>
      </c>
      <c r="L1197" s="72">
        <v>460</v>
      </c>
      <c r="M1197" s="53">
        <v>175</v>
      </c>
      <c r="N1197" s="28">
        <f>K1197*J1197</f>
        <v>4260</v>
      </c>
      <c r="O1197" s="45">
        <v>35351</v>
      </c>
      <c r="P1197" s="29">
        <v>82.983568079999998</v>
      </c>
      <c r="Q1197" s="55"/>
      <c r="R1197" s="31">
        <f>M1197+Q1197</f>
        <v>175</v>
      </c>
      <c r="S1197" s="73">
        <v>330</v>
      </c>
      <c r="T1197" s="32">
        <f>R1197+S1197+IF(F1197="Without EV deal",L1197,0)</f>
        <v>505</v>
      </c>
      <c r="U1197" s="57">
        <v>1</v>
      </c>
      <c r="V1197" s="58"/>
      <c r="W1197" s="58"/>
      <c r="X1197" s="78">
        <v>0.23</v>
      </c>
      <c r="Y1197" s="30">
        <f>IF(AG1197="None",0,IF(AG1197="Fix5",0.05, IF(AG1197="Fix6.25",0.0625,IF(AG1197="Fix3.75",0.0375,IF(AG1197="Fix10",0.1,IF(AG1197="Fix3",0.03,0))))))</f>
        <v>0</v>
      </c>
      <c r="Z1197" s="35">
        <f>T1197-AA1197-AB1197</f>
        <v>389</v>
      </c>
      <c r="AA1197" s="60">
        <v>116</v>
      </c>
      <c r="AB1197" s="36">
        <f>IF(AD1197="EUR",((T1197-R1197)*Y1197)*U1197+(R1197*Y1197),(T1197*Y1197))</f>
        <v>0</v>
      </c>
      <c r="AC1197" s="37" t="b">
        <v>1</v>
      </c>
      <c r="AD1197" s="37" t="s">
        <v>38</v>
      </c>
      <c r="AE1197" s="37" t="s">
        <v>38</v>
      </c>
      <c r="AF1197" s="37" t="str">
        <f t="array" ref="AF1197">INDEX('Deal Info'!D:D, MATCH(A1197,'Deal Info'!A:A, 0))</f>
        <v>DoEV</v>
      </c>
      <c r="AG1197" s="38" t="str">
        <f t="array" ref="AG1197">INDEX('Deal Info'!G:G, MATCH(A1197,'Deal Info'!A:A, 0))</f>
        <v>None</v>
      </c>
    </row>
    <row r="1198" spans="1:33" ht="28.5" hidden="1" x14ac:dyDescent="0.2">
      <c r="A1198" s="18" t="str">
        <f t="array" ref="A1198">IF(G1198='Room Info'!$B$1, INDEX('Room Info'!$A$2:$A2446, MATCH(B1198,'Room Info'!$B$2:$B2446, 0)),IF(G1198='Room Info'!$C$1, INDEX('Room Info'!$A$2:$A2446, MATCH(B1198,'Room Info'!$C$2:$C2446, 0)),IF(G1198='Room Info'!$D$1, INDEX('Room Info'!$A$2:$A2446, MATCH(B1198,'Room Info'!$D$2:$D2446, 0)),IF(G1198='Room Info'!$E$1, INDEX('Room Info'!$A$2:$A2446, MATCH(B1198,'Room Info'!$E$2:$E2446, 0)),IF(G1198='Room Info'!$F$1, INDEX('Room Info'!$A$2:$A2446, MATCH(B1198,'Room Info'!$F$2:$F2446, 0)),IF(G1198='Room Info'!$H$1, INDEX('Room Info'!$A$2:$A2446, MATCH(B1198,'Room Info'!$H$2:$H2446, 0)),IF(G1198='Room Info'!$G$1, INDEX('Room Info'!$A$2:$A2446, MATCH(B1198,'Room Info'!$G$2:$G2446, 0)))))))))</f>
        <v>Rus29APX</v>
      </c>
      <c r="B1198" s="54" t="s">
        <v>198</v>
      </c>
      <c r="C1198" s="46">
        <v>44896</v>
      </c>
      <c r="D1198" s="46">
        <v>44915</v>
      </c>
      <c r="E1198" s="47">
        <v>44896</v>
      </c>
      <c r="F1198" s="45" t="s">
        <v>41</v>
      </c>
      <c r="G1198" s="54" t="s">
        <v>35</v>
      </c>
      <c r="H1198" s="49" t="s">
        <v>72</v>
      </c>
      <c r="I1198" s="49" t="s">
        <v>37</v>
      </c>
      <c r="J1198" s="74">
        <v>50</v>
      </c>
      <c r="K1198" s="75">
        <v>3</v>
      </c>
      <c r="L1198" s="72">
        <v>-50</v>
      </c>
      <c r="M1198" s="53">
        <v>5</v>
      </c>
      <c r="N1198" s="28">
        <f>K1198*J1198</f>
        <v>150</v>
      </c>
      <c r="O1198" s="96"/>
      <c r="P1198" s="29">
        <v>0</v>
      </c>
      <c r="Q1198" s="55"/>
      <c r="R1198" s="31">
        <f>M1198+Q1198</f>
        <v>5</v>
      </c>
      <c r="S1198" s="97"/>
      <c r="T1198" s="32">
        <f>R1198+S1198+IF(F1198="Without EV deal",L1198,0)</f>
        <v>-45</v>
      </c>
      <c r="U1198" s="57">
        <v>1</v>
      </c>
      <c r="V1198" s="58"/>
      <c r="W1198" s="58"/>
      <c r="X1198" s="78">
        <v>0.23</v>
      </c>
      <c r="Y1198" s="30">
        <f>IF(AG1198="None",0,IF(AG1198="Fix5",0.05, IF(AG1198="Fix6.25",0.0625,IF(AG1198="Fix3.75",0.0375,IF(AG1198="Fix10",0.1,IF(AG1198="Fix3",0.03,0))))))</f>
        <v>0</v>
      </c>
      <c r="Z1198" s="35">
        <f>T1198-AA1198-AB1198</f>
        <v>-35</v>
      </c>
      <c r="AA1198" s="60">
        <v>-10</v>
      </c>
      <c r="AB1198" s="36">
        <f>IF(AD1198="EUR",((T1198-R1198)*Y1198)*U1198+(R1198*Y1198),(T1198*Y1198))</f>
        <v>0</v>
      </c>
      <c r="AC1198" s="37" t="b">
        <v>1</v>
      </c>
      <c r="AD1198" s="37" t="s">
        <v>38</v>
      </c>
      <c r="AE1198" s="37" t="s">
        <v>38</v>
      </c>
      <c r="AF1198" s="37" t="str">
        <f t="array" ref="AF1198">INDEX('Deal Info'!D:D, MATCH(A1198,'Deal Info'!A:A, 0))</f>
        <v>DoEV</v>
      </c>
      <c r="AG1198" s="38" t="str">
        <f t="array" ref="AG1198">INDEX('Deal Info'!G:G, MATCH(A1198,'Deal Info'!A:A, 0))</f>
        <v>None</v>
      </c>
    </row>
    <row r="1199" spans="1:33" ht="14.25" hidden="1" x14ac:dyDescent="0.2">
      <c r="A1199" s="18" t="str">
        <f t="array" ref="A1199">IF(G1199='Room Info'!$B$1, INDEX('Room Info'!$A$2:$A2446, MATCH(B1199,'Room Info'!$B$2:$B2446, 0)),IF(G1199='Room Info'!$C$1, INDEX('Room Info'!$A$2:$A2446, MATCH(B1199,'Room Info'!$C$2:$C2446, 0)),IF(G1199='Room Info'!$D$1, INDEX('Room Info'!$A$2:$A2446, MATCH(B1199,'Room Info'!$D$2:$D2446, 0)),IF(G1199='Room Info'!$E$1, INDEX('Room Info'!$A$2:$A2446, MATCH(B1199,'Room Info'!$E$2:$E2446, 0)),IF(G1199='Room Info'!$F$1, INDEX('Room Info'!$A$2:$A2446, MATCH(B1199,'Room Info'!$F$2:$F2446, 0)),IF(G1199='Room Info'!$H$1, INDEX('Room Info'!$A$2:$A2446, MATCH(B1199,'Room Info'!$H$2:$H2446, 0)),IF(G1199='Room Info'!$G$1, INDEX('Room Info'!$A$2:$A2446, MATCH(B1199,'Room Info'!$G$2:$G2446, 0)))))))))</f>
        <v>Rus29APX</v>
      </c>
      <c r="B1199" s="45" t="s">
        <v>198</v>
      </c>
      <c r="C1199" s="99">
        <v>44896</v>
      </c>
      <c r="D1199" s="46">
        <v>44915</v>
      </c>
      <c r="E1199" s="47">
        <v>44896</v>
      </c>
      <c r="F1199" s="48" t="s">
        <v>41</v>
      </c>
      <c r="G1199" s="54" t="s">
        <v>35</v>
      </c>
      <c r="H1199" s="49" t="s">
        <v>87</v>
      </c>
      <c r="I1199" s="49" t="s">
        <v>44</v>
      </c>
      <c r="J1199" s="74">
        <v>25</v>
      </c>
      <c r="K1199" s="75">
        <v>2</v>
      </c>
      <c r="L1199" s="72">
        <v>50</v>
      </c>
      <c r="M1199" s="53">
        <v>2</v>
      </c>
      <c r="N1199" s="28">
        <f>K1199*J1199</f>
        <v>50</v>
      </c>
      <c r="O1199" s="96"/>
      <c r="P1199" s="29">
        <v>0</v>
      </c>
      <c r="Q1199" s="55"/>
      <c r="R1199" s="31">
        <f>M1199+Q1199</f>
        <v>2</v>
      </c>
      <c r="S1199" s="97"/>
      <c r="T1199" s="32">
        <f>R1199+S1199+IF(F1199="Without EV deal",L1199,0)</f>
        <v>52</v>
      </c>
      <c r="U1199" s="57">
        <v>1</v>
      </c>
      <c r="V1199" s="58"/>
      <c r="W1199" s="58"/>
      <c r="X1199" s="78">
        <v>0.23</v>
      </c>
      <c r="Y1199" s="30">
        <f>IF(AG1199="None",0,IF(AG1199="Fix5",0.05, IF(AG1199="Fix6.25",0.0625,IF(AG1199="Fix3.75",0.0375,IF(AG1199="Fix10",0.1,IF(AG1199="Fix3",0.03,0))))))</f>
        <v>0</v>
      </c>
      <c r="Z1199" s="35">
        <f>T1199-AA1199-AB1199</f>
        <v>40</v>
      </c>
      <c r="AA1199" s="60">
        <v>12</v>
      </c>
      <c r="AB1199" s="36">
        <f>IF(AD1199="EUR",((T1199-R1199)*Y1199)*U1199+(R1199*Y1199),(T1199*Y1199))</f>
        <v>0</v>
      </c>
      <c r="AC1199" s="37" t="b">
        <v>1</v>
      </c>
      <c r="AD1199" s="37" t="s">
        <v>38</v>
      </c>
      <c r="AE1199" s="37" t="s">
        <v>38</v>
      </c>
      <c r="AF1199" s="37" t="str">
        <f t="array" ref="AF1199">INDEX('Deal Info'!D:D, MATCH(A1199,'Deal Info'!A:A, 0))</f>
        <v>DoEV</v>
      </c>
      <c r="AG1199" s="38" t="str">
        <f t="array" ref="AG1199">INDEX('Deal Info'!G:G, MATCH(A1199,'Deal Info'!A:A, 0))</f>
        <v>None</v>
      </c>
    </row>
    <row r="1200" spans="1:33" ht="14.25" hidden="1" x14ac:dyDescent="0.2">
      <c r="A1200" s="18" t="str">
        <f t="array" ref="A1200">IF(G1200='Room Info'!$B$1, INDEX('Room Info'!$A$2:$A2446, MATCH(B1200,'Room Info'!$B$2:$B2446, 0)),IF(G1200='Room Info'!$C$1, INDEX('Room Info'!$A$2:$A2446, MATCH(B1200,'Room Info'!$C$2:$C2446, 0)),IF(G1200='Room Info'!$D$1, INDEX('Room Info'!$A$2:$A2446, MATCH(B1200,'Room Info'!$D$2:$D2446, 0)),IF(G1200='Room Info'!$E$1, INDEX('Room Info'!$A$2:$A2446, MATCH(B1200,'Room Info'!$E$2:$E2446, 0)),IF(G1200='Room Info'!$F$1, INDEX('Room Info'!$A$2:$A2446, MATCH(B1200,'Room Info'!$F$2:$F2446, 0)),IF(G1200='Room Info'!$H$1, INDEX('Room Info'!$A$2:$A2446, MATCH(B1200,'Room Info'!$H$2:$H2446, 0)),IF(G1200='Room Info'!$G$1, INDEX('Room Info'!$A$2:$A2446, MATCH(B1200,'Room Info'!$G$2:$G2446, 0)))))))))</f>
        <v>Rus29APX</v>
      </c>
      <c r="B1200" s="45" t="s">
        <v>198</v>
      </c>
      <c r="C1200" s="99">
        <v>44896</v>
      </c>
      <c r="D1200" s="46">
        <v>44921</v>
      </c>
      <c r="E1200" s="47">
        <v>44896</v>
      </c>
      <c r="F1200" s="48" t="s">
        <v>41</v>
      </c>
      <c r="G1200" s="54" t="s">
        <v>53</v>
      </c>
      <c r="H1200" s="49" t="s">
        <v>56</v>
      </c>
      <c r="I1200" s="49" t="s">
        <v>37</v>
      </c>
      <c r="J1200" s="74">
        <v>20</v>
      </c>
      <c r="K1200" s="75">
        <v>697</v>
      </c>
      <c r="L1200" s="72">
        <v>749.16</v>
      </c>
      <c r="M1200" s="53">
        <v>488</v>
      </c>
      <c r="N1200" s="28">
        <f>K1200*J1200</f>
        <v>13940</v>
      </c>
      <c r="O1200" s="96"/>
      <c r="P1200" s="29">
        <v>0</v>
      </c>
      <c r="Q1200" s="55"/>
      <c r="R1200" s="31">
        <f>M1200+Q1200</f>
        <v>488</v>
      </c>
      <c r="S1200" s="97"/>
      <c r="T1200" s="32">
        <f>R1200+S1200+IF(F1200="Without EV deal",L1200,0)</f>
        <v>1237.1599999999999</v>
      </c>
      <c r="U1200" s="57">
        <v>1</v>
      </c>
      <c r="V1200" s="58"/>
      <c r="W1200" s="58"/>
      <c r="X1200" s="78">
        <v>0.23</v>
      </c>
      <c r="Y1200" s="30">
        <f>IF(AG1200="None",0,IF(AG1200="Fix5",0.05, IF(AG1200="Fix6.25",0.0625,IF(AG1200="Fix3.75",0.0375,IF(AG1200="Fix10",0.1,IF(AG1200="Fix3",0.03,0))))))</f>
        <v>0</v>
      </c>
      <c r="Z1200" s="35">
        <f>T1200-AA1200-AB1200</f>
        <v>952.15999999999985</v>
      </c>
      <c r="AA1200" s="60">
        <v>285</v>
      </c>
      <c r="AB1200" s="36">
        <f>IF(AD1200="EUR",((T1200-R1200)*Y1200)*U1200+(R1200*Y1200),(T1200*Y1200))</f>
        <v>0</v>
      </c>
      <c r="AC1200" s="37" t="b">
        <v>1</v>
      </c>
      <c r="AD1200" s="37" t="s">
        <v>38</v>
      </c>
      <c r="AE1200" s="37" t="s">
        <v>38</v>
      </c>
      <c r="AF1200" s="37" t="str">
        <f t="array" ref="AF1200">INDEX('Deal Info'!D:D, MATCH(A1200,'Deal Info'!A:A, 0))</f>
        <v>DoEV</v>
      </c>
      <c r="AG1200" s="38" t="str">
        <f t="array" ref="AG1200">INDEX('Deal Info'!G:G, MATCH(A1200,'Deal Info'!A:A, 0))</f>
        <v>None</v>
      </c>
    </row>
    <row r="1201" spans="1:33" ht="14.25" hidden="1" x14ac:dyDescent="0.2">
      <c r="A1201" s="18" t="str">
        <f t="array" ref="A1201">IF(G1201='Room Info'!$B$1, INDEX('Room Info'!$A$2:$A2446, MATCH(B1201,'Room Info'!$B$2:$B2446, 0)),IF(G1201='Room Info'!$C$1, INDEX('Room Info'!$A$2:$A2446, MATCH(B1201,'Room Info'!$C$2:$C2446, 0)),IF(G1201='Room Info'!$D$1, INDEX('Room Info'!$A$2:$A2446, MATCH(B1201,'Room Info'!$D$2:$D2446, 0)),IF(G1201='Room Info'!$E$1, INDEX('Room Info'!$A$2:$A2446, MATCH(B1201,'Room Info'!$E$2:$E2446, 0)),IF(G1201='Room Info'!$F$1, INDEX('Room Info'!$A$2:$A2446, MATCH(B1201,'Room Info'!$F$2:$F2446, 0)),IF(G1201='Room Info'!$H$1, INDEX('Room Info'!$A$2:$A2446, MATCH(B1201,'Room Info'!$H$2:$H2446, 0)),IF(G1201='Room Info'!$G$1, INDEX('Room Info'!$A$2:$A2446, MATCH(B1201,'Room Info'!$G$2:$G2446, 0)))))))))</f>
        <v>Rus29APX</v>
      </c>
      <c r="B1201" s="45" t="s">
        <v>198</v>
      </c>
      <c r="C1201" s="99">
        <v>44896</v>
      </c>
      <c r="D1201" s="46">
        <v>44921</v>
      </c>
      <c r="E1201" s="47">
        <v>44896</v>
      </c>
      <c r="F1201" s="48" t="s">
        <v>41</v>
      </c>
      <c r="G1201" s="54" t="s">
        <v>53</v>
      </c>
      <c r="H1201" s="49" t="s">
        <v>55</v>
      </c>
      <c r="I1201" s="49" t="s">
        <v>37</v>
      </c>
      <c r="J1201" s="74">
        <v>10</v>
      </c>
      <c r="K1201" s="75">
        <v>5</v>
      </c>
      <c r="L1201" s="72">
        <v>2.69</v>
      </c>
      <c r="M1201" s="53">
        <v>2</v>
      </c>
      <c r="N1201" s="28">
        <f>K1201*J1201</f>
        <v>50</v>
      </c>
      <c r="O1201" s="96"/>
      <c r="P1201" s="29">
        <v>0</v>
      </c>
      <c r="Q1201" s="55"/>
      <c r="R1201" s="31">
        <f>M1201+Q1201</f>
        <v>2</v>
      </c>
      <c r="S1201" s="97"/>
      <c r="T1201" s="32">
        <f>R1201+S1201+IF(F1201="Without EV deal",L1201,0)</f>
        <v>4.6899999999999995</v>
      </c>
      <c r="U1201" s="57">
        <v>1</v>
      </c>
      <c r="V1201" s="58"/>
      <c r="W1201" s="58"/>
      <c r="X1201" s="78">
        <v>0.23</v>
      </c>
      <c r="Y1201" s="30">
        <f>IF(AG1201="None",0,IF(AG1201="Fix5",0.05, IF(AG1201="Fix6.25",0.0625,IF(AG1201="Fix3.75",0.0375,IF(AG1201="Fix10",0.1,IF(AG1201="Fix3",0.03,0))))))</f>
        <v>0</v>
      </c>
      <c r="Z1201" s="35">
        <f>T1201-AA1201-AB1201</f>
        <v>3.6899999999999995</v>
      </c>
      <c r="AA1201" s="60">
        <v>1</v>
      </c>
      <c r="AB1201" s="36">
        <f>IF(AD1201="EUR",((T1201-R1201)*Y1201)*U1201+(R1201*Y1201),(T1201*Y1201))</f>
        <v>0</v>
      </c>
      <c r="AC1201" s="37" t="b">
        <v>1</v>
      </c>
      <c r="AD1201" s="37" t="s">
        <v>38</v>
      </c>
      <c r="AE1201" s="37" t="s">
        <v>38</v>
      </c>
      <c r="AF1201" s="37" t="str">
        <f t="array" ref="AF1201">INDEX('Deal Info'!D:D, MATCH(A1201,'Deal Info'!A:A, 0))</f>
        <v>DoEV</v>
      </c>
      <c r="AG1201" s="38" t="str">
        <f t="array" ref="AG1201">INDEX('Deal Info'!G:G, MATCH(A1201,'Deal Info'!A:A, 0))</f>
        <v>None</v>
      </c>
    </row>
    <row r="1202" spans="1:33" ht="14.25" hidden="1" x14ac:dyDescent="0.2">
      <c r="A1202" s="18" t="str">
        <f t="array" ref="A1202">IF(G1202='Room Info'!$B$1, INDEX('Room Info'!$A$2:$A2446, MATCH(B1202,'Room Info'!$B$2:$B2446, 0)),IF(G1202='Room Info'!$C$1, INDEX('Room Info'!$A$2:$A2446, MATCH(B1202,'Room Info'!$C$2:$C2446, 0)),IF(G1202='Room Info'!$D$1, INDEX('Room Info'!$A$2:$A2446, MATCH(B1202,'Room Info'!$D$2:$D2446, 0)),IF(G1202='Room Info'!$E$1, INDEX('Room Info'!$A$2:$A2446, MATCH(B1202,'Room Info'!$E$2:$E2446, 0)),IF(G1202='Room Info'!$F$1, INDEX('Room Info'!$A$2:$A2446, MATCH(B1202,'Room Info'!$F$2:$F2446, 0)),IF(G1202='Room Info'!$H$1, INDEX('Room Info'!$A$2:$A2446, MATCH(B1202,'Room Info'!$H$2:$H2446, 0)),IF(G1202='Room Info'!$G$1, INDEX('Room Info'!$A$2:$A2446, MATCH(B1202,'Room Info'!$G$2:$G2446, 0)))))))))</f>
        <v>Rus29APX</v>
      </c>
      <c r="B1202" s="45" t="s">
        <v>198</v>
      </c>
      <c r="C1202" s="99">
        <v>44896</v>
      </c>
      <c r="D1202" s="46">
        <v>44921</v>
      </c>
      <c r="E1202" s="47">
        <v>44896</v>
      </c>
      <c r="F1202" s="48" t="s">
        <v>41</v>
      </c>
      <c r="G1202" s="54" t="s">
        <v>53</v>
      </c>
      <c r="H1202" s="49" t="s">
        <v>54</v>
      </c>
      <c r="I1202" s="49" t="s">
        <v>37</v>
      </c>
      <c r="J1202" s="74">
        <v>5</v>
      </c>
      <c r="K1202" s="75">
        <v>8</v>
      </c>
      <c r="L1202" s="72">
        <v>2.15</v>
      </c>
      <c r="M1202" s="53">
        <v>1</v>
      </c>
      <c r="N1202" s="28">
        <f>K1202*J1202</f>
        <v>40</v>
      </c>
      <c r="O1202" s="96"/>
      <c r="P1202" s="29">
        <v>0</v>
      </c>
      <c r="Q1202" s="55"/>
      <c r="R1202" s="31">
        <f>M1202+Q1202</f>
        <v>1</v>
      </c>
      <c r="S1202" s="97"/>
      <c r="T1202" s="32">
        <f>R1202+S1202+IF(F1202="Without EV deal",L1202,0)</f>
        <v>3.15</v>
      </c>
      <c r="U1202" s="57">
        <v>1</v>
      </c>
      <c r="V1202" s="58"/>
      <c r="W1202" s="58"/>
      <c r="X1202" s="78">
        <v>0.23</v>
      </c>
      <c r="Y1202" s="30">
        <f>IF(AG1202="None",0,IF(AG1202="Fix5",0.05, IF(AG1202="Fix6.25",0.0625,IF(AG1202="Fix3.75",0.0375,IF(AG1202="Fix10",0.1,IF(AG1202="Fix3",0.03,0))))))</f>
        <v>0</v>
      </c>
      <c r="Z1202" s="35">
        <f>T1202-AA1202-AB1202</f>
        <v>2.15</v>
      </c>
      <c r="AA1202" s="60">
        <v>1</v>
      </c>
      <c r="AB1202" s="36">
        <f>IF(AD1202="EUR",((T1202-R1202)*Y1202)*U1202+(R1202*Y1202),(T1202*Y1202))</f>
        <v>0</v>
      </c>
      <c r="AC1202" s="37" t="b">
        <v>1</v>
      </c>
      <c r="AD1202" s="37" t="s">
        <v>38</v>
      </c>
      <c r="AE1202" s="37" t="s">
        <v>38</v>
      </c>
      <c r="AF1202" s="37" t="str">
        <f t="array" ref="AF1202">INDEX('Deal Info'!D:D, MATCH(A1202,'Deal Info'!A:A, 0))</f>
        <v>DoEV</v>
      </c>
      <c r="AG1202" s="38" t="str">
        <f t="array" ref="AG1202">INDEX('Deal Info'!G:G, MATCH(A1202,'Deal Info'!A:A, 0))</f>
        <v>None</v>
      </c>
    </row>
    <row r="1203" spans="1:33" ht="14.25" hidden="1" x14ac:dyDescent="0.2">
      <c r="A1203" s="18" t="str">
        <f t="array" ref="A1203">IF(G1203='Room Info'!$B$1, INDEX('Room Info'!$A$2:$A2446, MATCH(B1203,'Room Info'!$B$2:$B2446, 0)),IF(G1203='Room Info'!$C$1, INDEX('Room Info'!$A$2:$A2446, MATCH(B1203,'Room Info'!$C$2:$C2446, 0)),IF(G1203='Room Info'!$D$1, INDEX('Room Info'!$A$2:$A2446, MATCH(B1203,'Room Info'!$D$2:$D2446, 0)),IF(G1203='Room Info'!$E$1, INDEX('Room Info'!$A$2:$A2446, MATCH(B1203,'Room Info'!$E$2:$E2446, 0)),IF(G1203='Room Info'!$F$1, INDEX('Room Info'!$A$2:$A2446, MATCH(B1203,'Room Info'!$F$2:$F2446, 0)),IF(G1203='Room Info'!$H$1, INDEX('Room Info'!$A$2:$A2446, MATCH(B1203,'Room Info'!$H$2:$H2446, 0)),IF(G1203='Room Info'!$G$1, INDEX('Room Info'!$A$2:$A2446, MATCH(B1203,'Room Info'!$G$2:$G2446, 0)))))))))</f>
        <v>Rus29APX</v>
      </c>
      <c r="B1203" s="45" t="s">
        <v>198</v>
      </c>
      <c r="C1203" s="46">
        <v>44922</v>
      </c>
      <c r="D1203" s="46">
        <v>44957</v>
      </c>
      <c r="E1203" s="47">
        <v>44927</v>
      </c>
      <c r="F1203" s="48" t="s">
        <v>41</v>
      </c>
      <c r="G1203" s="54" t="s">
        <v>53</v>
      </c>
      <c r="H1203" s="49" t="s">
        <v>54</v>
      </c>
      <c r="I1203" s="49" t="s">
        <v>37</v>
      </c>
      <c r="J1203" s="50">
        <v>5</v>
      </c>
      <c r="K1203" s="51">
        <v>4</v>
      </c>
      <c r="L1203" s="52">
        <v>1.1000000000000001</v>
      </c>
      <c r="M1203" s="53">
        <v>1</v>
      </c>
      <c r="N1203" s="28">
        <f>K1203*J1203</f>
        <v>20</v>
      </c>
      <c r="O1203" s="65"/>
      <c r="P1203" s="29">
        <v>0</v>
      </c>
      <c r="Q1203" s="55"/>
      <c r="R1203" s="31">
        <f>M1203+Q1203</f>
        <v>1</v>
      </c>
      <c r="S1203" s="66"/>
      <c r="T1203" s="32">
        <f>R1203+S1203+IF(F1203="Without EV deal",L1203,0)</f>
        <v>2.1</v>
      </c>
      <c r="U1203" s="57">
        <v>1</v>
      </c>
      <c r="V1203" s="58"/>
      <c r="W1203" s="58"/>
      <c r="X1203" s="78">
        <v>0.17</v>
      </c>
      <c r="Y1203" s="30">
        <f>IF(AG1203="None",0,IF(AG1203="Fix5",0.05, IF(AG1203="Fix6.25",0.0625,IF(AG1203="Fix3.75",0.0375,IF(AG1203="Fix10",0.1,IF(AG1203="Fix3",0.03,0))))))</f>
        <v>0</v>
      </c>
      <c r="Z1203" s="35">
        <f>T1203-AA1203-AB1203</f>
        <v>2.1</v>
      </c>
      <c r="AA1203" s="60">
        <v>0</v>
      </c>
      <c r="AB1203" s="36">
        <f>IF(AD1203="EUR",((T1203-R1203)*Y1203)*U1203+(R1203*Y1203),(T1203*Y1203))</f>
        <v>0</v>
      </c>
      <c r="AC1203" s="37" t="b">
        <v>1</v>
      </c>
      <c r="AD1203" s="37" t="s">
        <v>38</v>
      </c>
      <c r="AE1203" s="37" t="s">
        <v>38</v>
      </c>
      <c r="AF1203" s="37" t="str">
        <f t="array" ref="AF1203">INDEX('Deal Info'!D:D, MATCH(A1203,'Deal Info'!A:A, 0))</f>
        <v>DoEV</v>
      </c>
      <c r="AG1203" s="38" t="str">
        <f t="array" ref="AG1203">INDEX('Deal Info'!G:G, MATCH(A1203,'Deal Info'!A:A, 0))</f>
        <v>None</v>
      </c>
    </row>
    <row r="1204" spans="1:33" ht="14.25" hidden="1" x14ac:dyDescent="0.2">
      <c r="A1204" s="18" t="str">
        <f t="array" ref="A1204">IF(G1204='Room Info'!$B$1, INDEX('Room Info'!$A$2:$A2446, MATCH(B1204,'Room Info'!$B$2:$B2446, 0)),IF(G1204='Room Info'!$C$1, INDEX('Room Info'!$A$2:$A2446, MATCH(B1204,'Room Info'!$C$2:$C2446, 0)),IF(G1204='Room Info'!$D$1, INDEX('Room Info'!$A$2:$A2446, MATCH(B1204,'Room Info'!$D$2:$D2446, 0)),IF(G1204='Room Info'!$E$1, INDEX('Room Info'!$A$2:$A2446, MATCH(B1204,'Room Info'!$E$2:$E2446, 0)),IF(G1204='Room Info'!$F$1, INDEX('Room Info'!$A$2:$A2446, MATCH(B1204,'Room Info'!$F$2:$F2446, 0)),IF(G1204='Room Info'!$H$1, INDEX('Room Info'!$A$2:$A2446, MATCH(B1204,'Room Info'!$H$2:$H2446, 0)),IF(G1204='Room Info'!$G$1, INDEX('Room Info'!$A$2:$A2446, MATCH(B1204,'Room Info'!$G$2:$G2446, 0)))))))))</f>
        <v>Rus29APX</v>
      </c>
      <c r="B1204" s="45" t="s">
        <v>198</v>
      </c>
      <c r="C1204" s="46">
        <v>44922</v>
      </c>
      <c r="D1204" s="46">
        <v>44957</v>
      </c>
      <c r="E1204" s="47">
        <v>44927</v>
      </c>
      <c r="F1204" s="48" t="s">
        <v>41</v>
      </c>
      <c r="G1204" s="54" t="s">
        <v>53</v>
      </c>
      <c r="H1204" s="49" t="s">
        <v>55</v>
      </c>
      <c r="I1204" s="49" t="s">
        <v>37</v>
      </c>
      <c r="J1204" s="50">
        <v>10</v>
      </c>
      <c r="K1204" s="51">
        <v>15</v>
      </c>
      <c r="L1204" s="52">
        <v>8.23</v>
      </c>
      <c r="M1204" s="53">
        <v>5</v>
      </c>
      <c r="N1204" s="28">
        <f>K1204*J1204</f>
        <v>150</v>
      </c>
      <c r="O1204" s="65"/>
      <c r="P1204" s="29">
        <v>0</v>
      </c>
      <c r="Q1204" s="55"/>
      <c r="R1204" s="31">
        <f>M1204+Q1204</f>
        <v>5</v>
      </c>
      <c r="S1204" s="66"/>
      <c r="T1204" s="32">
        <f>R1204+S1204+IF(F1204="Without EV deal",L1204,0)</f>
        <v>13.23</v>
      </c>
      <c r="U1204" s="57">
        <v>1</v>
      </c>
      <c r="V1204" s="58"/>
      <c r="W1204" s="58"/>
      <c r="X1204" s="78">
        <v>0.17</v>
      </c>
      <c r="Y1204" s="30">
        <f>IF(AG1204="None",0,IF(AG1204="Fix5",0.05, IF(AG1204="Fix6.25",0.0625,IF(AG1204="Fix3.75",0.0375,IF(AG1204="Fix10",0.1,IF(AG1204="Fix3",0.03,0))))))</f>
        <v>0</v>
      </c>
      <c r="Z1204" s="35">
        <f>T1204-AA1204-AB1204</f>
        <v>11.23</v>
      </c>
      <c r="AA1204" s="60">
        <v>2</v>
      </c>
      <c r="AB1204" s="36">
        <f>IF(AD1204="EUR",((T1204-R1204)*Y1204)*U1204+(R1204*Y1204),(T1204*Y1204))</f>
        <v>0</v>
      </c>
      <c r="AC1204" s="37" t="b">
        <v>1</v>
      </c>
      <c r="AD1204" s="37" t="s">
        <v>38</v>
      </c>
      <c r="AE1204" s="37" t="s">
        <v>38</v>
      </c>
      <c r="AF1204" s="37" t="str">
        <f t="array" ref="AF1204">INDEX('Deal Info'!D:D, MATCH(A1204,'Deal Info'!A:A, 0))</f>
        <v>DoEV</v>
      </c>
      <c r="AG1204" s="38" t="str">
        <f t="array" ref="AG1204">INDEX('Deal Info'!G:G, MATCH(A1204,'Deal Info'!A:A, 0))</f>
        <v>None</v>
      </c>
    </row>
    <row r="1205" spans="1:33" ht="14.25" hidden="1" x14ac:dyDescent="0.2">
      <c r="A1205" s="18" t="str">
        <f t="array" ref="A1205">IF(G1205='Room Info'!$B$1, INDEX('Room Info'!$A$2:$A2446, MATCH(B1205,'Room Info'!$B$2:$B2446, 0)),IF(G1205='Room Info'!$C$1, INDEX('Room Info'!$A$2:$A2446, MATCH(B1205,'Room Info'!$C$2:$C2446, 0)),IF(G1205='Room Info'!$D$1, INDEX('Room Info'!$A$2:$A2446, MATCH(B1205,'Room Info'!$D$2:$D2446, 0)),IF(G1205='Room Info'!$E$1, INDEX('Room Info'!$A$2:$A2446, MATCH(B1205,'Room Info'!$E$2:$E2446, 0)),IF(G1205='Room Info'!$F$1, INDEX('Room Info'!$A$2:$A2446, MATCH(B1205,'Room Info'!$F$2:$F2446, 0)),IF(G1205='Room Info'!$H$1, INDEX('Room Info'!$A$2:$A2446, MATCH(B1205,'Room Info'!$H$2:$H2446, 0)),IF(G1205='Room Info'!$G$1, INDEX('Room Info'!$A$2:$A2446, MATCH(B1205,'Room Info'!$G$2:$G2446, 0)))))))))</f>
        <v>Rus29APX</v>
      </c>
      <c r="B1205" s="45" t="s">
        <v>198</v>
      </c>
      <c r="C1205" s="46">
        <v>44922</v>
      </c>
      <c r="D1205" s="46">
        <v>44957</v>
      </c>
      <c r="E1205" s="47">
        <v>44927</v>
      </c>
      <c r="F1205" s="48" t="s">
        <v>41</v>
      </c>
      <c r="G1205" s="45" t="s">
        <v>53</v>
      </c>
      <c r="H1205" s="49" t="s">
        <v>56</v>
      </c>
      <c r="I1205" s="49" t="s">
        <v>37</v>
      </c>
      <c r="J1205" s="50">
        <v>20</v>
      </c>
      <c r="K1205" s="51">
        <v>1616</v>
      </c>
      <c r="L1205" s="52">
        <v>1772.26</v>
      </c>
      <c r="M1205" s="53">
        <v>1131</v>
      </c>
      <c r="N1205" s="28">
        <f>K1205*J1205</f>
        <v>32320</v>
      </c>
      <c r="O1205" s="65"/>
      <c r="P1205" s="29">
        <v>0</v>
      </c>
      <c r="Q1205" s="55"/>
      <c r="R1205" s="31">
        <f>M1205+Q1205</f>
        <v>1131</v>
      </c>
      <c r="S1205" s="66"/>
      <c r="T1205" s="32">
        <f>R1205+S1205+IF(F1205="Without EV deal",L1205,0)</f>
        <v>2903.26</v>
      </c>
      <c r="U1205" s="57">
        <v>1</v>
      </c>
      <c r="V1205" s="58"/>
      <c r="W1205" s="58"/>
      <c r="X1205" s="78">
        <v>0.17</v>
      </c>
      <c r="Y1205" s="30">
        <f>IF(AG1205="None",0,IF(AG1205="Fix5",0.05, IF(AG1205="Fix6.25",0.0625,IF(AG1205="Fix3.75",0.0375,IF(AG1205="Fix10",0.1,IF(AG1205="Fix3",0.03,0))))))</f>
        <v>0</v>
      </c>
      <c r="Z1205" s="35">
        <f>T1205-AA1205-AB1205</f>
        <v>2409.2600000000002</v>
      </c>
      <c r="AA1205" s="60">
        <v>494</v>
      </c>
      <c r="AB1205" s="36">
        <f>IF(AD1205="EUR",((T1205-R1205)*Y1205)*U1205+(R1205*Y1205),(T1205*Y1205))</f>
        <v>0</v>
      </c>
      <c r="AC1205" s="37" t="b">
        <v>1</v>
      </c>
      <c r="AD1205" s="37" t="s">
        <v>38</v>
      </c>
      <c r="AE1205" s="37" t="s">
        <v>38</v>
      </c>
      <c r="AF1205" s="37" t="str">
        <f t="array" ref="AF1205">INDEX('Deal Info'!D:D, MATCH(A1205,'Deal Info'!A:A, 0))</f>
        <v>DoEV</v>
      </c>
      <c r="AG1205" s="38" t="str">
        <f t="array" ref="AG1205">INDEX('Deal Info'!G:G, MATCH(A1205,'Deal Info'!A:A, 0))</f>
        <v>None</v>
      </c>
    </row>
    <row r="1206" spans="1:33" ht="14.25" hidden="1" x14ac:dyDescent="0.2">
      <c r="A1206" s="18" t="str">
        <f t="array" ref="A1206">IF(G1206='Room Info'!$B$1, INDEX('Room Info'!$A$2:$A2446, MATCH(B1206,'Room Info'!$B$2:$B2446, 0)),IF(G1206='Room Info'!$C$1, INDEX('Room Info'!$A$2:$A2446, MATCH(B1206,'Room Info'!$C$2:$C2446, 0)),IF(G1206='Room Info'!$D$1, INDEX('Room Info'!$A$2:$A2446, MATCH(B1206,'Room Info'!$D$2:$D2446, 0)),IF(G1206='Room Info'!$E$1, INDEX('Room Info'!$A$2:$A2446, MATCH(B1206,'Room Info'!$E$2:$E2446, 0)),IF(G1206='Room Info'!$F$1, INDEX('Room Info'!$A$2:$A2446, MATCH(B1206,'Room Info'!$F$2:$F2446, 0)),IF(G1206='Room Info'!$H$1, INDEX('Room Info'!$A$2:$A2446, MATCH(B1206,'Room Info'!$H$2:$H2446, 0)),IF(G1206='Room Info'!$G$1, INDEX('Room Info'!$A$2:$A2446, MATCH(B1206,'Room Info'!$G$2:$G2446, 0)))))))))</f>
        <v>Rus29APX</v>
      </c>
      <c r="B1206" s="45" t="s">
        <v>198</v>
      </c>
      <c r="C1206" s="46">
        <v>44922</v>
      </c>
      <c r="D1206" s="46">
        <v>44957</v>
      </c>
      <c r="E1206" s="47">
        <v>44927</v>
      </c>
      <c r="F1206" s="48" t="s">
        <v>41</v>
      </c>
      <c r="G1206" s="45" t="s">
        <v>53</v>
      </c>
      <c r="H1206" s="49" t="s">
        <v>57</v>
      </c>
      <c r="I1206" s="49" t="s">
        <v>37</v>
      </c>
      <c r="J1206" s="50">
        <v>50</v>
      </c>
      <c r="K1206" s="51">
        <v>161</v>
      </c>
      <c r="L1206" s="52">
        <v>441.42</v>
      </c>
      <c r="M1206" s="53">
        <v>282</v>
      </c>
      <c r="N1206" s="28">
        <f>K1206*J1206</f>
        <v>8050</v>
      </c>
      <c r="O1206" s="65"/>
      <c r="P1206" s="29">
        <v>0</v>
      </c>
      <c r="Q1206" s="55"/>
      <c r="R1206" s="31">
        <f>M1206+Q1206</f>
        <v>282</v>
      </c>
      <c r="S1206" s="66"/>
      <c r="T1206" s="32">
        <f>R1206+S1206+IF(F1206="Without EV deal",L1206,0)</f>
        <v>723.42000000000007</v>
      </c>
      <c r="U1206" s="57">
        <v>1</v>
      </c>
      <c r="V1206" s="58"/>
      <c r="W1206" s="58"/>
      <c r="X1206" s="78">
        <v>0.17</v>
      </c>
      <c r="Y1206" s="30">
        <f>IF(AG1206="None",0,IF(AG1206="Fix5",0.05, IF(AG1206="Fix6.25",0.0625,IF(AG1206="Fix3.75",0.0375,IF(AG1206="Fix10",0.1,IF(AG1206="Fix3",0.03,0))))))</f>
        <v>0</v>
      </c>
      <c r="Z1206" s="35">
        <f>T1206-AA1206-AB1206</f>
        <v>600.42000000000007</v>
      </c>
      <c r="AA1206" s="60">
        <v>123</v>
      </c>
      <c r="AB1206" s="36">
        <f>IF(AD1206="EUR",((T1206-R1206)*Y1206)*U1206+(R1206*Y1206),(T1206*Y1206))</f>
        <v>0</v>
      </c>
      <c r="AC1206" s="37" t="b">
        <v>1</v>
      </c>
      <c r="AD1206" s="37" t="s">
        <v>38</v>
      </c>
      <c r="AE1206" s="37" t="s">
        <v>38</v>
      </c>
      <c r="AF1206" s="37" t="str">
        <f t="array" ref="AF1206">INDEX('Deal Info'!D:D, MATCH(A1206,'Deal Info'!A:A, 0))</f>
        <v>DoEV</v>
      </c>
      <c r="AG1206" s="38" t="str">
        <f t="array" ref="AG1206">INDEX('Deal Info'!G:G, MATCH(A1206,'Deal Info'!A:A, 0))</f>
        <v>None</v>
      </c>
    </row>
    <row r="1207" spans="1:33" ht="14.25" hidden="1" x14ac:dyDescent="0.2">
      <c r="A1207" s="18" t="str">
        <f t="array" ref="A1207">IF(G1207='Room Info'!$B$1, INDEX('Room Info'!$A$2:$A2446, MATCH(B1207,'Room Info'!$B$2:$B2446, 0)),IF(G1207='Room Info'!$C$1, INDEX('Room Info'!$A$2:$A2446, MATCH(B1207,'Room Info'!$C$2:$C2446, 0)),IF(G1207='Room Info'!$D$1, INDEX('Room Info'!$A$2:$A2446, MATCH(B1207,'Room Info'!$D$2:$D2446, 0)),IF(G1207='Room Info'!$E$1, INDEX('Room Info'!$A$2:$A2446, MATCH(B1207,'Room Info'!$E$2:$E2446, 0)),IF(G1207='Room Info'!$F$1, INDEX('Room Info'!$A$2:$A2446, MATCH(B1207,'Room Info'!$F$2:$F2446, 0)),IF(G1207='Room Info'!$H$1, INDEX('Room Info'!$A$2:$A2446, MATCH(B1207,'Room Info'!$H$2:$H2446, 0)),IF(G1207='Room Info'!$G$1, INDEX('Room Info'!$A$2:$A2446, MATCH(B1207,'Room Info'!$G$2:$G2446, 0)))))))))</f>
        <v>Rus29APX</v>
      </c>
      <c r="B1207" s="45" t="s">
        <v>198</v>
      </c>
      <c r="C1207" s="46">
        <v>44916</v>
      </c>
      <c r="D1207" s="46">
        <v>44957</v>
      </c>
      <c r="E1207" s="47">
        <v>44927</v>
      </c>
      <c r="F1207" s="48" t="s">
        <v>49</v>
      </c>
      <c r="G1207" s="45" t="s">
        <v>35</v>
      </c>
      <c r="H1207" s="49" t="s">
        <v>46</v>
      </c>
      <c r="I1207" s="49" t="s">
        <v>37</v>
      </c>
      <c r="J1207" s="50">
        <v>25</v>
      </c>
      <c r="K1207" s="51">
        <v>1040</v>
      </c>
      <c r="L1207" s="52">
        <v>-500</v>
      </c>
      <c r="M1207" s="53">
        <v>527</v>
      </c>
      <c r="N1207" s="28">
        <f>K1207*J1207</f>
        <v>26000</v>
      </c>
      <c r="O1207" s="54">
        <v>67010</v>
      </c>
      <c r="P1207" s="29">
        <v>64.432692309999993</v>
      </c>
      <c r="Q1207" s="55"/>
      <c r="R1207" s="31">
        <f>M1207+Q1207</f>
        <v>527</v>
      </c>
      <c r="S1207" s="56">
        <v>1489</v>
      </c>
      <c r="T1207" s="32">
        <f>R1207+S1207+IF(F1207="Without EV deal",L1207,0)</f>
        <v>2016</v>
      </c>
      <c r="U1207" s="57">
        <v>1</v>
      </c>
      <c r="V1207" s="58"/>
      <c r="W1207" s="58"/>
      <c r="X1207" s="78">
        <v>0.17</v>
      </c>
      <c r="Y1207" s="30">
        <f>IF(AG1207="None",0,IF(AG1207="Fix5",0.05, IF(AG1207="Fix6.25",0.0625,IF(AG1207="Fix3.75",0.0375,IF(AG1207="Fix10",0.1,IF(AG1207="Fix3",0.03,0))))))</f>
        <v>0</v>
      </c>
      <c r="Z1207" s="35">
        <f>T1207-AA1207-AB1207</f>
        <v>1673</v>
      </c>
      <c r="AA1207" s="60">
        <v>343</v>
      </c>
      <c r="AB1207" s="36">
        <f>IF(AD1207="EUR",((T1207-R1207)*Y1207)*U1207+(R1207*Y1207),(T1207*Y1207))</f>
        <v>0</v>
      </c>
      <c r="AC1207" s="37" t="b">
        <v>1</v>
      </c>
      <c r="AD1207" s="37" t="s">
        <v>38</v>
      </c>
      <c r="AE1207" s="37" t="s">
        <v>38</v>
      </c>
      <c r="AF1207" s="37" t="str">
        <f t="array" ref="AF1207">INDEX('Deal Info'!D:D, MATCH(A1207,'Deal Info'!A:A, 0))</f>
        <v>DoEV</v>
      </c>
      <c r="AG1207" s="38" t="str">
        <f t="array" ref="AG1207">INDEX('Deal Info'!G:G, MATCH(A1207,'Deal Info'!A:A, 0))</f>
        <v>None</v>
      </c>
    </row>
    <row r="1208" spans="1:33" ht="14.25" hidden="1" x14ac:dyDescent="0.2">
      <c r="A1208" s="18" t="str">
        <f t="array" ref="A1208">IF(G1208='Room Info'!$B$1, INDEX('Room Info'!$A$2:$A2446, MATCH(B1208,'Room Info'!$B$2:$B2446, 0)),IF(G1208='Room Info'!$C$1, INDEX('Room Info'!$A$2:$A2446, MATCH(B1208,'Room Info'!$C$2:$C2446, 0)),IF(G1208='Room Info'!$D$1, INDEX('Room Info'!$A$2:$A2446, MATCH(B1208,'Room Info'!$D$2:$D2446, 0)),IF(G1208='Room Info'!$E$1, INDEX('Room Info'!$A$2:$A2446, MATCH(B1208,'Room Info'!$E$2:$E2446, 0)),IF(G1208='Room Info'!$F$1, INDEX('Room Info'!$A$2:$A2446, MATCH(B1208,'Room Info'!$F$2:$F2446, 0)),IF(G1208='Room Info'!$H$1, INDEX('Room Info'!$A$2:$A2446, MATCH(B1208,'Room Info'!$H$2:$H2446, 0)),IF(G1208='Room Info'!$G$1, INDEX('Room Info'!$A$2:$A2446, MATCH(B1208,'Room Info'!$G$2:$G2446, 0)))))))))</f>
        <v>Rus29APX</v>
      </c>
      <c r="B1208" s="45" t="s">
        <v>198</v>
      </c>
      <c r="C1208" s="46">
        <v>44916</v>
      </c>
      <c r="D1208" s="46">
        <v>44957</v>
      </c>
      <c r="E1208" s="47">
        <v>44927</v>
      </c>
      <c r="F1208" s="48" t="s">
        <v>49</v>
      </c>
      <c r="G1208" s="45" t="s">
        <v>35</v>
      </c>
      <c r="H1208" s="49" t="s">
        <v>40</v>
      </c>
      <c r="I1208" s="49" t="s">
        <v>37</v>
      </c>
      <c r="J1208" s="50">
        <v>10</v>
      </c>
      <c r="K1208" s="51">
        <v>630</v>
      </c>
      <c r="L1208" s="52">
        <v>960</v>
      </c>
      <c r="M1208" s="53">
        <v>149</v>
      </c>
      <c r="N1208" s="28">
        <f>K1208*J1208</f>
        <v>6300</v>
      </c>
      <c r="O1208" s="54">
        <v>47150</v>
      </c>
      <c r="P1208" s="29">
        <v>74.841269839999995</v>
      </c>
      <c r="Q1208" s="55"/>
      <c r="R1208" s="31">
        <f>M1208+Q1208</f>
        <v>149</v>
      </c>
      <c r="S1208" s="56">
        <v>410</v>
      </c>
      <c r="T1208" s="32">
        <f>R1208+S1208+IF(F1208="Without EV deal",L1208,0)</f>
        <v>559</v>
      </c>
      <c r="U1208" s="57">
        <v>1</v>
      </c>
      <c r="V1208" s="58"/>
      <c r="W1208" s="58"/>
      <c r="X1208" s="78">
        <v>0.17</v>
      </c>
      <c r="Y1208" s="30">
        <f>IF(AG1208="None",0,IF(AG1208="Fix5",0.05, IF(AG1208="Fix6.25",0.0625,IF(AG1208="Fix3.75",0.0375,IF(AG1208="Fix10",0.1,IF(AG1208="Fix3",0.03,0))))))</f>
        <v>0</v>
      </c>
      <c r="Z1208" s="35">
        <f>T1208-AA1208-AB1208</f>
        <v>464</v>
      </c>
      <c r="AA1208" s="60">
        <v>95</v>
      </c>
      <c r="AB1208" s="36">
        <f>IF(AD1208="EUR",((T1208-R1208)*Y1208)*U1208+(R1208*Y1208),(T1208*Y1208))</f>
        <v>0</v>
      </c>
      <c r="AC1208" s="37" t="b">
        <v>1</v>
      </c>
      <c r="AD1208" s="37" t="s">
        <v>38</v>
      </c>
      <c r="AE1208" s="37" t="s">
        <v>38</v>
      </c>
      <c r="AF1208" s="37" t="str">
        <f t="array" ref="AF1208">INDEX('Deal Info'!D:D, MATCH(A1208,'Deal Info'!A:A, 0))</f>
        <v>DoEV</v>
      </c>
      <c r="AG1208" s="38" t="str">
        <f t="array" ref="AG1208">INDEX('Deal Info'!G:G, MATCH(A1208,'Deal Info'!A:A, 0))</f>
        <v>None</v>
      </c>
    </row>
    <row r="1209" spans="1:33" ht="14.25" hidden="1" x14ac:dyDescent="0.2">
      <c r="A1209" s="18" t="str">
        <f t="array" ref="A1209">IF(G1209='Room Info'!$B$1, INDEX('Room Info'!$A$2:$A2446, MATCH(B1209,'Room Info'!$B$2:$B2446, 0)),IF(G1209='Room Info'!$C$1, INDEX('Room Info'!$A$2:$A2446, MATCH(B1209,'Room Info'!$C$2:$C2446, 0)),IF(G1209='Room Info'!$D$1, INDEX('Room Info'!$A$2:$A2446, MATCH(B1209,'Room Info'!$D$2:$D2446, 0)),IF(G1209='Room Info'!$E$1, INDEX('Room Info'!$A$2:$A2446, MATCH(B1209,'Room Info'!$E$2:$E2446, 0)),IF(G1209='Room Info'!$F$1, INDEX('Room Info'!$A$2:$A2446, MATCH(B1209,'Room Info'!$F$2:$F2446, 0)),IF(G1209='Room Info'!$H$1, INDEX('Room Info'!$A$2:$A2446, MATCH(B1209,'Room Info'!$H$2:$H2446, 0)),IF(G1209='Room Info'!$G$1, INDEX('Room Info'!$A$2:$A2446, MATCH(B1209,'Room Info'!$G$2:$G2446, 0)))))))))</f>
        <v>Rus29APX</v>
      </c>
      <c r="B1209" s="45" t="s">
        <v>198</v>
      </c>
      <c r="C1209" s="46">
        <v>44916</v>
      </c>
      <c r="D1209" s="46">
        <v>44957</v>
      </c>
      <c r="E1209" s="47">
        <v>44927</v>
      </c>
      <c r="F1209" s="48" t="s">
        <v>41</v>
      </c>
      <c r="G1209" s="45" t="s">
        <v>35</v>
      </c>
      <c r="H1209" s="49" t="s">
        <v>87</v>
      </c>
      <c r="I1209" s="49" t="s">
        <v>44</v>
      </c>
      <c r="J1209" s="50">
        <v>25</v>
      </c>
      <c r="K1209" s="51">
        <v>4</v>
      </c>
      <c r="L1209" s="52">
        <v>-50</v>
      </c>
      <c r="M1209" s="53">
        <v>2</v>
      </c>
      <c r="N1209" s="28">
        <f>K1209*J1209</f>
        <v>100</v>
      </c>
      <c r="O1209" s="65"/>
      <c r="P1209" s="29">
        <v>0</v>
      </c>
      <c r="Q1209" s="55"/>
      <c r="R1209" s="31">
        <f>M1209+Q1209</f>
        <v>2</v>
      </c>
      <c r="S1209" s="66"/>
      <c r="T1209" s="32">
        <f>R1209+S1209+IF(F1209="Without EV deal",L1209,0)</f>
        <v>-48</v>
      </c>
      <c r="U1209" s="57">
        <v>1</v>
      </c>
      <c r="V1209" s="58"/>
      <c r="W1209" s="58"/>
      <c r="X1209" s="78">
        <v>0.17</v>
      </c>
      <c r="Y1209" s="30">
        <f>IF(AG1209="None",0,IF(AG1209="Fix5",0.05, IF(AG1209="Fix6.25",0.0625,IF(AG1209="Fix3.75",0.0375,IF(AG1209="Fix10",0.1,IF(AG1209="Fix3",0.03,0))))))</f>
        <v>0</v>
      </c>
      <c r="Z1209" s="35">
        <f>T1209-AA1209-AB1209</f>
        <v>-40</v>
      </c>
      <c r="AA1209" s="60">
        <v>-8</v>
      </c>
      <c r="AB1209" s="36">
        <f>IF(AD1209="EUR",((T1209-R1209)*Y1209)*U1209+(R1209*Y1209),(T1209*Y1209))</f>
        <v>0</v>
      </c>
      <c r="AC1209" s="37" t="b">
        <v>1</v>
      </c>
      <c r="AD1209" s="37" t="s">
        <v>38</v>
      </c>
      <c r="AE1209" s="37" t="s">
        <v>38</v>
      </c>
      <c r="AF1209" s="37" t="str">
        <f t="array" ref="AF1209">INDEX('Deal Info'!D:D, MATCH(A1209,'Deal Info'!A:A, 0))</f>
        <v>DoEV</v>
      </c>
      <c r="AG1209" s="38" t="str">
        <f t="array" ref="AG1209">INDEX('Deal Info'!G:G, MATCH(A1209,'Deal Info'!A:A, 0))</f>
        <v>None</v>
      </c>
    </row>
    <row r="1210" spans="1:33" ht="14.25" hidden="1" x14ac:dyDescent="0.2">
      <c r="A1210" s="18" t="str">
        <f t="array" ref="A1210">IF(G1210='Room Info'!$B$1, INDEX('Room Info'!$A$2:$A2446, MATCH(B1210,'Room Info'!$B$2:$B2446, 0)),IF(G1210='Room Info'!$C$1, INDEX('Room Info'!$A$2:$A2446, MATCH(B1210,'Room Info'!$C$2:$C2446, 0)),IF(G1210='Room Info'!$D$1, INDEX('Room Info'!$A$2:$A2446, MATCH(B1210,'Room Info'!$D$2:$D2446, 0)),IF(G1210='Room Info'!$E$1, INDEX('Room Info'!$A$2:$A2446, MATCH(B1210,'Room Info'!$E$2:$E2446, 0)),IF(G1210='Room Info'!$F$1, INDEX('Room Info'!$A$2:$A2446, MATCH(B1210,'Room Info'!$F$2:$F2446, 0)),IF(G1210='Room Info'!$H$1, INDEX('Room Info'!$A$2:$A2446, MATCH(B1210,'Room Info'!$H$2:$H2446, 0)),IF(G1210='Room Info'!$G$1, INDEX('Room Info'!$A$2:$A2446, MATCH(B1210,'Room Info'!$G$2:$G2446, 0)))))))))</f>
        <v>Rus29APX</v>
      </c>
      <c r="B1210" s="45" t="s">
        <v>198</v>
      </c>
      <c r="C1210" s="46">
        <v>44916</v>
      </c>
      <c r="D1210" s="46">
        <v>44957</v>
      </c>
      <c r="E1210" s="47">
        <v>44927</v>
      </c>
      <c r="F1210" s="45" t="s">
        <v>41</v>
      </c>
      <c r="G1210" s="54" t="s">
        <v>35</v>
      </c>
      <c r="H1210" s="49" t="s">
        <v>72</v>
      </c>
      <c r="I1210" s="49" t="s">
        <v>37</v>
      </c>
      <c r="J1210" s="50">
        <v>50</v>
      </c>
      <c r="K1210" s="51">
        <v>2</v>
      </c>
      <c r="L1210" s="52">
        <v>-100</v>
      </c>
      <c r="M1210" s="53">
        <v>2</v>
      </c>
      <c r="N1210" s="28">
        <f>K1210*J1210</f>
        <v>100</v>
      </c>
      <c r="O1210" s="65"/>
      <c r="P1210" s="29">
        <v>0</v>
      </c>
      <c r="Q1210" s="55"/>
      <c r="R1210" s="31">
        <f>M1210+Q1210</f>
        <v>2</v>
      </c>
      <c r="S1210" s="66"/>
      <c r="T1210" s="32">
        <f>R1210+S1210+IF(F1210="Without EV deal",L1210,0)</f>
        <v>-98</v>
      </c>
      <c r="U1210" s="57">
        <v>1</v>
      </c>
      <c r="V1210" s="58"/>
      <c r="W1210" s="58"/>
      <c r="X1210" s="78">
        <v>0.17</v>
      </c>
      <c r="Y1210" s="30">
        <f>IF(AG1210="None",0,IF(AG1210="Fix5",0.05, IF(AG1210="Fix6.25",0.0625,IF(AG1210="Fix3.75",0.0375,IF(AG1210="Fix10",0.1,IF(AG1210="Fix3",0.03,0))))))</f>
        <v>0</v>
      </c>
      <c r="Z1210" s="35">
        <f>T1210-AA1210-AB1210</f>
        <v>-81</v>
      </c>
      <c r="AA1210" s="60">
        <v>-17</v>
      </c>
      <c r="AB1210" s="36">
        <f>IF(AD1210="EUR",((T1210-R1210)*Y1210)*U1210+(R1210*Y1210),(T1210*Y1210))</f>
        <v>0</v>
      </c>
      <c r="AC1210" s="37" t="b">
        <v>1</v>
      </c>
      <c r="AD1210" s="37" t="s">
        <v>38</v>
      </c>
      <c r="AE1210" s="37" t="s">
        <v>38</v>
      </c>
      <c r="AF1210" s="37" t="str">
        <f t="array" ref="AF1210">INDEX('Deal Info'!D:D, MATCH(A1210,'Deal Info'!A:A, 0))</f>
        <v>DoEV</v>
      </c>
      <c r="AG1210" s="38" t="str">
        <f t="array" ref="AG1210">INDEX('Deal Info'!G:G, MATCH(A1210,'Deal Info'!A:A, 0))</f>
        <v>None</v>
      </c>
    </row>
    <row r="1211" spans="1:33" ht="14.25" hidden="1" x14ac:dyDescent="0.2">
      <c r="A1211" s="18" t="str">
        <f t="array" ref="A1211">IF(G1211='Room Info'!$B$1, INDEX('Room Info'!$A$2:$A2446, MATCH(B1211,'Room Info'!$B$2:$B2446, 0)),IF(G1211='Room Info'!$C$1, INDEX('Room Info'!$A$2:$A2446, MATCH(B1211,'Room Info'!$C$2:$C2446, 0)),IF(G1211='Room Info'!$D$1, INDEX('Room Info'!$A$2:$A2446, MATCH(B1211,'Room Info'!$D$2:$D2446, 0)),IF(G1211='Room Info'!$E$1, INDEX('Room Info'!$A$2:$A2446, MATCH(B1211,'Room Info'!$E$2:$E2446, 0)),IF(G1211='Room Info'!$F$1, INDEX('Room Info'!$A$2:$A2446, MATCH(B1211,'Room Info'!$F$2:$F2446, 0)),IF(G1211='Room Info'!$H$1, INDEX('Room Info'!$A$2:$A2446, MATCH(B1211,'Room Info'!$H$2:$H2446, 0)),IF(G1211='Room Info'!$G$1, INDEX('Room Info'!$A$2:$A2446, MATCH(B1211,'Room Info'!$G$2:$G2446, 0)))))))))</f>
        <v>Rus29APX</v>
      </c>
      <c r="B1211" s="45" t="s">
        <v>198</v>
      </c>
      <c r="C1211" s="46">
        <v>44916</v>
      </c>
      <c r="D1211" s="46">
        <v>44957</v>
      </c>
      <c r="E1211" s="47">
        <v>44927</v>
      </c>
      <c r="F1211" s="45" t="s">
        <v>41</v>
      </c>
      <c r="G1211" s="54" t="s">
        <v>35</v>
      </c>
      <c r="H1211" s="49" t="s">
        <v>39</v>
      </c>
      <c r="I1211" s="49" t="s">
        <v>37</v>
      </c>
      <c r="J1211" s="50">
        <v>5</v>
      </c>
      <c r="K1211" s="51">
        <v>1</v>
      </c>
      <c r="L1211" s="52">
        <v>20</v>
      </c>
      <c r="M1211" s="62"/>
      <c r="N1211" s="28">
        <f>K1211*J1211</f>
        <v>5</v>
      </c>
      <c r="O1211" s="65"/>
      <c r="P1211" s="29">
        <v>0</v>
      </c>
      <c r="Q1211" s="55"/>
      <c r="R1211" s="31">
        <f>M1211+Q1211</f>
        <v>0</v>
      </c>
      <c r="S1211" s="66"/>
      <c r="T1211" s="32">
        <f>R1211+S1211+IF(F1211="Without EV deal",L1211,0)</f>
        <v>20</v>
      </c>
      <c r="U1211" s="57">
        <v>1</v>
      </c>
      <c r="V1211" s="58"/>
      <c r="W1211" s="58"/>
      <c r="X1211" s="78">
        <v>0.17</v>
      </c>
      <c r="Y1211" s="30">
        <f>IF(AG1211="None",0,IF(AG1211="Fix5",0.05, IF(AG1211="Fix6.25",0.0625,IF(AG1211="Fix3.75",0.0375,IF(AG1211="Fix10",0.1,IF(AG1211="Fix3",0.03,0))))))</f>
        <v>0</v>
      </c>
      <c r="Z1211" s="35">
        <f>T1211-AA1211-AB1211</f>
        <v>17</v>
      </c>
      <c r="AA1211" s="60">
        <v>3</v>
      </c>
      <c r="AB1211" s="36">
        <f>IF(AD1211="EUR",((T1211-R1211)*Y1211)*U1211+(R1211*Y1211),(T1211*Y1211))</f>
        <v>0</v>
      </c>
      <c r="AC1211" s="37" t="b">
        <v>1</v>
      </c>
      <c r="AD1211" s="37" t="s">
        <v>38</v>
      </c>
      <c r="AE1211" s="37" t="s">
        <v>38</v>
      </c>
      <c r="AF1211" s="37" t="str">
        <f t="array" ref="AF1211">INDEX('Deal Info'!D:D, MATCH(A1211,'Deal Info'!A:A, 0))</f>
        <v>DoEV</v>
      </c>
      <c r="AG1211" s="38" t="str">
        <f t="array" ref="AG1211">INDEX('Deal Info'!G:G, MATCH(A1211,'Deal Info'!A:A, 0))</f>
        <v>None</v>
      </c>
    </row>
    <row r="1212" spans="1:33" ht="14.25" hidden="1" x14ac:dyDescent="0.2">
      <c r="A1212" s="18" t="str">
        <f t="array" ref="A1212">IF(G1212='Room Info'!$B$1, INDEX('Room Info'!$A$2:$A2446, MATCH(B1212,'Room Info'!$B$2:$B2446, 0)),IF(G1212='Room Info'!$C$1, INDEX('Room Info'!$A$2:$A2446, MATCH(B1212,'Room Info'!$C$2:$C2446, 0)),IF(G1212='Room Info'!$D$1, INDEX('Room Info'!$A$2:$A2446, MATCH(B1212,'Room Info'!$D$2:$D2446, 0)),IF(G1212='Room Info'!$E$1, INDEX('Room Info'!$A$2:$A2446, MATCH(B1212,'Room Info'!$E$2:$E2446, 0)),IF(G1212='Room Info'!$F$1, INDEX('Room Info'!$A$2:$A2446, MATCH(B1212,'Room Info'!$F$2:$F2446, 0)),IF(G1212='Room Info'!$H$1, INDEX('Room Info'!$A$2:$A2446, MATCH(B1212,'Room Info'!$H$2:$H2446, 0)),IF(G1212='Room Info'!$G$1, INDEX('Room Info'!$A$2:$A2446, MATCH(B1212,'Room Info'!$G$2:$G2446, 0)))))))))</f>
        <v>Sun_Set_pro8</v>
      </c>
      <c r="B1212" s="45" t="s">
        <v>98</v>
      </c>
      <c r="C1212" s="46">
        <v>44503</v>
      </c>
      <c r="D1212" s="46">
        <v>44530</v>
      </c>
      <c r="E1212" s="47">
        <v>44501</v>
      </c>
      <c r="F1212" s="48" t="s">
        <v>41</v>
      </c>
      <c r="G1212" s="54" t="s">
        <v>35</v>
      </c>
      <c r="H1212" s="49" t="s">
        <v>40</v>
      </c>
      <c r="I1212" s="49" t="s">
        <v>37</v>
      </c>
      <c r="J1212" s="50">
        <v>10</v>
      </c>
      <c r="K1212" s="51">
        <v>1</v>
      </c>
      <c r="L1212" s="52">
        <v>-10</v>
      </c>
      <c r="M1212" s="62"/>
      <c r="N1212" s="28">
        <f>K1212*J1212</f>
        <v>10</v>
      </c>
      <c r="O1212" s="54">
        <v>-435</v>
      </c>
      <c r="P1212" s="29">
        <v>-435</v>
      </c>
      <c r="Q1212" s="55"/>
      <c r="R1212" s="31">
        <f>M1212+Q1212</f>
        <v>0</v>
      </c>
      <c r="S1212" s="56"/>
      <c r="T1212" s="32">
        <f>R1212+S1212+IF(F1212="Without EV deal",L1212,0)</f>
        <v>-10</v>
      </c>
      <c r="U1212" s="57">
        <v>1</v>
      </c>
      <c r="V1212" s="58"/>
      <c r="W1212" s="58"/>
      <c r="X1212" s="78">
        <v>0.25</v>
      </c>
      <c r="Y1212" s="30">
        <f>IF(AG1212="None",0,IF(AG1212="Fix5",0.05, IF(AG1212="Fix6.25",0.0625,IF(AG1212="Fix3.75",0.0375,IF(AG1212="Fix10",0.1,IF(AG1212="Fix3",0.03,0))))))</f>
        <v>0</v>
      </c>
      <c r="Z1212" s="35">
        <f>T1212-AA1212-AB1212</f>
        <v>-7.5</v>
      </c>
      <c r="AA1212" s="29">
        <f>IF(AD1212="EUR",((T1212-R1212)*X1212)*U1212+(R1212*X1212),(T1212*X1212))</f>
        <v>-2.5</v>
      </c>
      <c r="AB1212" s="36">
        <f>IF(AD1212="EUR",((T1212-R1212)*Y1212)*U1212+(R1212*Y1212),(T1212*Y1212))</f>
        <v>0</v>
      </c>
      <c r="AC1212" s="37" t="b">
        <v>1</v>
      </c>
      <c r="AD1212" s="61" t="s">
        <v>38</v>
      </c>
      <c r="AE1212" s="83" t="s">
        <v>38</v>
      </c>
      <c r="AF1212" s="37" t="str">
        <f t="array" ref="AF1212">INDEX('Deal Info'!D:D, MATCH(A1212,'Deal Info'!A:A, 0))</f>
        <v>DoEVold</v>
      </c>
      <c r="AG1212" s="38" t="str">
        <f t="array" ref="AG1212">INDEX('Deal Info'!G:G, MATCH(A1212,'Deal Info'!A:A, 0))</f>
        <v>None</v>
      </c>
    </row>
    <row r="1213" spans="1:33" ht="14.25" hidden="1" x14ac:dyDescent="0.2">
      <c r="A1213" s="18" t="str">
        <f t="array" ref="A1213">IF(G1213='Room Info'!$B$1, INDEX('Room Info'!$A$2:$A2446, MATCH(B1213,'Room Info'!$B$2:$B2446, 0)),IF(G1213='Room Info'!$C$1, INDEX('Room Info'!$A$2:$A2446, MATCH(B1213,'Room Info'!$C$2:$C2446, 0)),IF(G1213='Room Info'!$D$1, INDEX('Room Info'!$A$2:$A2446, MATCH(B1213,'Room Info'!$D$2:$D2446, 0)),IF(G1213='Room Info'!$E$1, INDEX('Room Info'!$A$2:$A2446, MATCH(B1213,'Room Info'!$E$2:$E2446, 0)),IF(G1213='Room Info'!$F$1, INDEX('Room Info'!$A$2:$A2446, MATCH(B1213,'Room Info'!$F$2:$F2446, 0)),IF(G1213='Room Info'!$H$1, INDEX('Room Info'!$A$2:$A2446, MATCH(B1213,'Room Info'!$H$2:$H2446, 0)),IF(G1213='Room Info'!$G$1, INDEX('Room Info'!$A$2:$A2446, MATCH(B1213,'Room Info'!$G$2:$G2446, 0)))))))))</f>
        <v>Sun_Set_pro8</v>
      </c>
      <c r="B1213" s="45" t="s">
        <v>98</v>
      </c>
      <c r="C1213" s="46">
        <v>44503</v>
      </c>
      <c r="D1213" s="46">
        <v>44530</v>
      </c>
      <c r="E1213" s="47">
        <v>44501</v>
      </c>
      <c r="F1213" s="48" t="s">
        <v>41</v>
      </c>
      <c r="G1213" s="45" t="s">
        <v>35</v>
      </c>
      <c r="H1213" s="49" t="s">
        <v>46</v>
      </c>
      <c r="I1213" s="49" t="s">
        <v>37</v>
      </c>
      <c r="J1213" s="50">
        <v>25</v>
      </c>
      <c r="K1213" s="51">
        <v>16</v>
      </c>
      <c r="L1213" s="52">
        <v>-125</v>
      </c>
      <c r="M1213" s="53">
        <v>19</v>
      </c>
      <c r="N1213" s="28">
        <f>K1213*J1213</f>
        <v>400</v>
      </c>
      <c r="O1213" s="54">
        <v>-3881</v>
      </c>
      <c r="P1213" s="29">
        <v>-242.5625</v>
      </c>
      <c r="Q1213" s="55"/>
      <c r="R1213" s="31">
        <f>M1213+Q1213</f>
        <v>19</v>
      </c>
      <c r="S1213" s="56"/>
      <c r="T1213" s="32">
        <f>R1213+S1213+IF(F1213="Without EV deal",L1213,0)</f>
        <v>-106</v>
      </c>
      <c r="U1213" s="57">
        <v>1</v>
      </c>
      <c r="V1213" s="58"/>
      <c r="W1213" s="58"/>
      <c r="X1213" s="78">
        <v>0.25</v>
      </c>
      <c r="Y1213" s="30">
        <f>IF(AG1213="None",0,IF(AG1213="Fix5",0.05, IF(AG1213="Fix6.25",0.0625,IF(AG1213="Fix3.75",0.0375,IF(AG1213="Fix10",0.1,IF(AG1213="Fix3",0.03,0))))))</f>
        <v>0</v>
      </c>
      <c r="Z1213" s="35">
        <f>T1213-AA1213-AB1213</f>
        <v>-79.5</v>
      </c>
      <c r="AA1213" s="29">
        <f>IF(AD1213="EUR",((T1213-R1213)*X1213)*U1213+(R1213*X1213),(T1213*X1213))</f>
        <v>-26.5</v>
      </c>
      <c r="AB1213" s="36">
        <f>IF(AD1213="EUR",((T1213-R1213)*Y1213)*U1213+(R1213*Y1213),(T1213*Y1213))</f>
        <v>0</v>
      </c>
      <c r="AC1213" s="37" t="b">
        <v>1</v>
      </c>
      <c r="AD1213" s="61" t="s">
        <v>38</v>
      </c>
      <c r="AE1213" s="83" t="s">
        <v>38</v>
      </c>
      <c r="AF1213" s="37" t="str">
        <f t="array" ref="AF1213">INDEX('Deal Info'!D:D, MATCH(A1213,'Deal Info'!A:A, 0))</f>
        <v>DoEVold</v>
      </c>
      <c r="AG1213" s="38" t="str">
        <f t="array" ref="AG1213">INDEX('Deal Info'!G:G, MATCH(A1213,'Deal Info'!A:A, 0))</f>
        <v>None</v>
      </c>
    </row>
    <row r="1214" spans="1:33" ht="14.25" hidden="1" x14ac:dyDescent="0.2">
      <c r="A1214" s="18" t="str">
        <f t="array" ref="A1214">IF(G1214='Room Info'!$B$1, INDEX('Room Info'!$A$2:$A2446, MATCH(B1214,'Room Info'!$B$2:$B2446, 0)),IF(G1214='Room Info'!$C$1, INDEX('Room Info'!$A$2:$A2446, MATCH(B1214,'Room Info'!$C$2:$C2446, 0)),IF(G1214='Room Info'!$D$1, INDEX('Room Info'!$A$2:$A2446, MATCH(B1214,'Room Info'!$D$2:$D2446, 0)),IF(G1214='Room Info'!$E$1, INDEX('Room Info'!$A$2:$A2446, MATCH(B1214,'Room Info'!$E$2:$E2446, 0)),IF(G1214='Room Info'!$F$1, INDEX('Room Info'!$A$2:$A2446, MATCH(B1214,'Room Info'!$F$2:$F2446, 0)),IF(G1214='Room Info'!$H$1, INDEX('Room Info'!$A$2:$A2446, MATCH(B1214,'Room Info'!$H$2:$H2446, 0)),IF(G1214='Room Info'!$G$1, INDEX('Room Info'!$A$2:$A2446, MATCH(B1214,'Room Info'!$G$2:$G2446, 0)))))))))</f>
        <v>Sun_Set_pro8</v>
      </c>
      <c r="B1214" s="45" t="s">
        <v>98</v>
      </c>
      <c r="C1214" s="46">
        <v>44503</v>
      </c>
      <c r="D1214" s="46">
        <v>44530</v>
      </c>
      <c r="E1214" s="47">
        <v>44501</v>
      </c>
      <c r="F1214" s="48" t="s">
        <v>41</v>
      </c>
      <c r="G1214" s="45" t="s">
        <v>35</v>
      </c>
      <c r="H1214" s="49" t="s">
        <v>115</v>
      </c>
      <c r="I1214" s="49" t="s">
        <v>44</v>
      </c>
      <c r="J1214" s="50">
        <v>10</v>
      </c>
      <c r="K1214" s="51">
        <v>545</v>
      </c>
      <c r="L1214" s="52">
        <v>-1050</v>
      </c>
      <c r="M1214" s="53">
        <v>299</v>
      </c>
      <c r="N1214" s="28">
        <f>K1214*J1214</f>
        <v>5450</v>
      </c>
      <c r="O1214" s="54">
        <v>6075</v>
      </c>
      <c r="P1214" s="29">
        <v>11.146788989999999</v>
      </c>
      <c r="Q1214" s="55"/>
      <c r="R1214" s="31">
        <f>M1214+Q1214</f>
        <v>299</v>
      </c>
      <c r="S1214" s="56"/>
      <c r="T1214" s="32">
        <f>R1214+S1214+IF(F1214="Without EV deal",L1214,0)</f>
        <v>-751</v>
      </c>
      <c r="U1214" s="57">
        <v>1</v>
      </c>
      <c r="V1214" s="58"/>
      <c r="W1214" s="58"/>
      <c r="X1214" s="78">
        <v>0.25</v>
      </c>
      <c r="Y1214" s="30">
        <f>IF(AG1214="None",0,IF(AG1214="Fix5",0.05, IF(AG1214="Fix6.25",0.0625,IF(AG1214="Fix3.75",0.0375,IF(AG1214="Fix10",0.1,IF(AG1214="Fix3",0.03,0))))))</f>
        <v>0</v>
      </c>
      <c r="Z1214" s="35">
        <f>T1214-AA1214-AB1214</f>
        <v>-563.25</v>
      </c>
      <c r="AA1214" s="29">
        <f>IF(AD1214="EUR",((T1214-R1214)*X1214)*U1214+(R1214*X1214),(T1214*X1214))</f>
        <v>-187.75</v>
      </c>
      <c r="AB1214" s="36">
        <f>IF(AD1214="EUR",((T1214-R1214)*Y1214)*U1214+(R1214*Y1214),(T1214*Y1214))</f>
        <v>0</v>
      </c>
      <c r="AC1214" s="37" t="b">
        <v>1</v>
      </c>
      <c r="AD1214" s="61" t="s">
        <v>38</v>
      </c>
      <c r="AE1214" s="83" t="s">
        <v>38</v>
      </c>
      <c r="AF1214" s="37" t="str">
        <f t="array" ref="AF1214">INDEX('Deal Info'!D:D, MATCH(A1214,'Deal Info'!A:A, 0))</f>
        <v>DoEVold</v>
      </c>
      <c r="AG1214" s="38" t="str">
        <f t="array" ref="AG1214">INDEX('Deal Info'!G:G, MATCH(A1214,'Deal Info'!A:A, 0))</f>
        <v>None</v>
      </c>
    </row>
    <row r="1215" spans="1:33" ht="14.25" hidden="1" x14ac:dyDescent="0.2">
      <c r="A1215" s="18" t="str">
        <f t="array" ref="A1215">IF(G1215='Room Info'!$B$1, INDEX('Room Info'!$A$2:$A2446, MATCH(B1215,'Room Info'!$B$2:$B2446, 0)),IF(G1215='Room Info'!$C$1, INDEX('Room Info'!$A$2:$A2446, MATCH(B1215,'Room Info'!$C$2:$C2446, 0)),IF(G1215='Room Info'!$D$1, INDEX('Room Info'!$A$2:$A2446, MATCH(B1215,'Room Info'!$D$2:$D2446, 0)),IF(G1215='Room Info'!$E$1, INDEX('Room Info'!$A$2:$A2446, MATCH(B1215,'Room Info'!$E$2:$E2446, 0)),IF(G1215='Room Info'!$F$1, INDEX('Room Info'!$A$2:$A2446, MATCH(B1215,'Room Info'!$F$2:$F2446, 0)),IF(G1215='Room Info'!$H$1, INDEX('Room Info'!$A$2:$A2446, MATCH(B1215,'Room Info'!$H$2:$H2446, 0)),IF(G1215='Room Info'!$G$1, INDEX('Room Info'!$A$2:$A2446, MATCH(B1215,'Room Info'!$G$2:$G2446, 0)))))))))</f>
        <v>Sun_Set_pro8</v>
      </c>
      <c r="B1215" s="45" t="s">
        <v>98</v>
      </c>
      <c r="C1215" s="46">
        <v>44503</v>
      </c>
      <c r="D1215" s="46">
        <v>44530</v>
      </c>
      <c r="E1215" s="47">
        <v>44501</v>
      </c>
      <c r="F1215" s="48" t="s">
        <v>41</v>
      </c>
      <c r="G1215" s="45" t="s">
        <v>35</v>
      </c>
      <c r="H1215" s="49" t="s">
        <v>87</v>
      </c>
      <c r="I1215" s="49" t="s">
        <v>44</v>
      </c>
      <c r="J1215" s="50">
        <v>25</v>
      </c>
      <c r="K1215" s="51">
        <v>1668</v>
      </c>
      <c r="L1215" s="52">
        <v>-425</v>
      </c>
      <c r="M1215" s="53">
        <v>1967</v>
      </c>
      <c r="N1215" s="28">
        <f>K1215*J1215</f>
        <v>41700</v>
      </c>
      <c r="O1215" s="54">
        <v>20880</v>
      </c>
      <c r="P1215" s="29">
        <v>12.51798561</v>
      </c>
      <c r="Q1215" s="55"/>
      <c r="R1215" s="31">
        <f>M1215+Q1215</f>
        <v>1967</v>
      </c>
      <c r="S1215" s="56"/>
      <c r="T1215" s="32">
        <f>R1215+S1215+IF(F1215="Without EV deal",L1215,0)</f>
        <v>1542</v>
      </c>
      <c r="U1215" s="57">
        <v>1</v>
      </c>
      <c r="V1215" s="58"/>
      <c r="W1215" s="58"/>
      <c r="X1215" s="78">
        <v>0.25</v>
      </c>
      <c r="Y1215" s="30">
        <f>IF(AG1215="None",0,IF(AG1215="Fix5",0.05, IF(AG1215="Fix6.25",0.0625,IF(AG1215="Fix3.75",0.0375,IF(AG1215="Fix10",0.1,IF(AG1215="Fix3",0.03,0))))))</f>
        <v>0</v>
      </c>
      <c r="Z1215" s="35">
        <f>T1215-AA1215-AB1215</f>
        <v>1156.5</v>
      </c>
      <c r="AA1215" s="29">
        <f>IF(AD1215="EUR",((T1215-R1215)*X1215)*U1215+(R1215*X1215),(T1215*X1215))</f>
        <v>385.5</v>
      </c>
      <c r="AB1215" s="36">
        <f>IF(AD1215="EUR",((T1215-R1215)*Y1215)*U1215+(R1215*Y1215),(T1215*Y1215))</f>
        <v>0</v>
      </c>
      <c r="AC1215" s="37" t="b">
        <v>1</v>
      </c>
      <c r="AD1215" s="61" t="s">
        <v>38</v>
      </c>
      <c r="AE1215" s="83" t="s">
        <v>38</v>
      </c>
      <c r="AF1215" s="37" t="str">
        <f t="array" ref="AF1215">INDEX('Deal Info'!D:D, MATCH(A1215,'Deal Info'!A:A, 0))</f>
        <v>DoEVold</v>
      </c>
      <c r="AG1215" s="38" t="str">
        <f t="array" ref="AG1215">INDEX('Deal Info'!G:G, MATCH(A1215,'Deal Info'!A:A, 0))</f>
        <v>None</v>
      </c>
    </row>
    <row r="1216" spans="1:33" ht="14.25" hidden="1" x14ac:dyDescent="0.2">
      <c r="A1216" s="18" t="str">
        <f t="array" ref="A1216">IF(G1216='Room Info'!$B$1, INDEX('Room Info'!$A$2:$A2446, MATCH(B1216,'Room Info'!$B$2:$B2446, 0)),IF(G1216='Room Info'!$C$1, INDEX('Room Info'!$A$2:$A2446, MATCH(B1216,'Room Info'!$C$2:$C2446, 0)),IF(G1216='Room Info'!$D$1, INDEX('Room Info'!$A$2:$A2446, MATCH(B1216,'Room Info'!$D$2:$D2446, 0)),IF(G1216='Room Info'!$E$1, INDEX('Room Info'!$A$2:$A2446, MATCH(B1216,'Room Info'!$E$2:$E2446, 0)),IF(G1216='Room Info'!$F$1, INDEX('Room Info'!$A$2:$A2446, MATCH(B1216,'Room Info'!$F$2:$F2446, 0)),IF(G1216='Room Info'!$H$1, INDEX('Room Info'!$A$2:$A2446, MATCH(B1216,'Room Info'!$H$2:$H2446, 0)),IF(G1216='Room Info'!$G$1, INDEX('Room Info'!$A$2:$A2446, MATCH(B1216,'Room Info'!$G$2:$G2446, 0)))))))))</f>
        <v>Sun_Set_pro8</v>
      </c>
      <c r="B1216" s="45" t="s">
        <v>98</v>
      </c>
      <c r="C1216" s="46">
        <v>44531</v>
      </c>
      <c r="D1216" s="46">
        <v>44561</v>
      </c>
      <c r="E1216" s="47">
        <v>44531</v>
      </c>
      <c r="F1216" s="48" t="s">
        <v>41</v>
      </c>
      <c r="G1216" s="45" t="s">
        <v>35</v>
      </c>
      <c r="H1216" s="49" t="s">
        <v>115</v>
      </c>
      <c r="I1216" s="49" t="s">
        <v>44</v>
      </c>
      <c r="J1216" s="50">
        <v>10</v>
      </c>
      <c r="K1216" s="51">
        <v>694</v>
      </c>
      <c r="L1216" s="52">
        <v>-320</v>
      </c>
      <c r="M1216" s="53">
        <v>305</v>
      </c>
      <c r="N1216" s="28">
        <f>K1216*J1216</f>
        <v>6940</v>
      </c>
      <c r="O1216" s="54">
        <v>13186</v>
      </c>
      <c r="P1216" s="29">
        <v>19</v>
      </c>
      <c r="Q1216" s="55"/>
      <c r="R1216" s="31">
        <f>M1216+Q1216</f>
        <v>305</v>
      </c>
      <c r="S1216" s="56"/>
      <c r="T1216" s="32">
        <f>R1216+S1216+IF(F1216="Without EV deal",L1216,0)</f>
        <v>-15</v>
      </c>
      <c r="U1216" s="57">
        <v>1</v>
      </c>
      <c r="V1216" s="58"/>
      <c r="W1216" s="58"/>
      <c r="X1216" s="78">
        <v>0.25</v>
      </c>
      <c r="Y1216" s="30">
        <f>IF(AG1216="None",0,IF(AG1216="Fix5",0.05, IF(AG1216="Fix6.25",0.0625,IF(AG1216="Fix3.75",0.0375,IF(AG1216="Fix10",0.1,IF(AG1216="Fix3",0.03,0))))))</f>
        <v>0</v>
      </c>
      <c r="Z1216" s="35">
        <f>T1216-AA1216-AB1216</f>
        <v>-11.25</v>
      </c>
      <c r="AA1216" s="29">
        <f>IF(AD1216="EUR",((T1216-R1216)*X1216)*U1216+(R1216*X1216),(T1216*X1216))</f>
        <v>-3.75</v>
      </c>
      <c r="AB1216" s="36">
        <f>IF(AD1216="EUR",((T1216-R1216)*Y1216)*U1216+(R1216*Y1216),(T1216*Y1216))</f>
        <v>0</v>
      </c>
      <c r="AC1216" s="37" t="b">
        <v>1</v>
      </c>
      <c r="AD1216" s="61" t="s">
        <v>38</v>
      </c>
      <c r="AE1216" s="83" t="s">
        <v>38</v>
      </c>
      <c r="AF1216" s="37" t="str">
        <f t="array" ref="AF1216">INDEX('Deal Info'!D:D, MATCH(A1216,'Deal Info'!A:A, 0))</f>
        <v>DoEVold</v>
      </c>
      <c r="AG1216" s="38" t="str">
        <f t="array" ref="AG1216">INDEX('Deal Info'!G:G, MATCH(A1216,'Deal Info'!A:A, 0))</f>
        <v>None</v>
      </c>
    </row>
    <row r="1217" spans="1:33" ht="14.25" hidden="1" x14ac:dyDescent="0.2">
      <c r="A1217" s="18" t="str">
        <f t="array" ref="A1217">IF(G1217='Room Info'!$B$1, INDEX('Room Info'!$A$2:$A2446, MATCH(B1217,'Room Info'!$B$2:$B2446, 0)),IF(G1217='Room Info'!$C$1, INDEX('Room Info'!$A$2:$A2446, MATCH(B1217,'Room Info'!$C$2:$C2446, 0)),IF(G1217='Room Info'!$D$1, INDEX('Room Info'!$A$2:$A2446, MATCH(B1217,'Room Info'!$D$2:$D2446, 0)),IF(G1217='Room Info'!$E$1, INDEX('Room Info'!$A$2:$A2446, MATCH(B1217,'Room Info'!$E$2:$E2446, 0)),IF(G1217='Room Info'!$F$1, INDEX('Room Info'!$A$2:$A2446, MATCH(B1217,'Room Info'!$F$2:$F2446, 0)),IF(G1217='Room Info'!$H$1, INDEX('Room Info'!$A$2:$A2446, MATCH(B1217,'Room Info'!$H$2:$H2446, 0)),IF(G1217='Room Info'!$G$1, INDEX('Room Info'!$A$2:$A2446, MATCH(B1217,'Room Info'!$G$2:$G2446, 0)))))))))</f>
        <v>Sun_Set_pro8</v>
      </c>
      <c r="B1217" s="45" t="s">
        <v>98</v>
      </c>
      <c r="C1217" s="46">
        <v>44531</v>
      </c>
      <c r="D1217" s="46">
        <v>44561</v>
      </c>
      <c r="E1217" s="47">
        <v>44531</v>
      </c>
      <c r="F1217" s="48" t="s">
        <v>41</v>
      </c>
      <c r="G1217" s="45" t="s">
        <v>35</v>
      </c>
      <c r="H1217" s="49" t="s">
        <v>87</v>
      </c>
      <c r="I1217" s="49" t="s">
        <v>44</v>
      </c>
      <c r="J1217" s="50">
        <v>25</v>
      </c>
      <c r="K1217" s="51">
        <v>2392</v>
      </c>
      <c r="L1217" s="52">
        <v>-1600</v>
      </c>
      <c r="M1217" s="53">
        <v>2255</v>
      </c>
      <c r="N1217" s="28">
        <f>K1217*J1217</f>
        <v>59800</v>
      </c>
      <c r="O1217" s="54">
        <v>33488</v>
      </c>
      <c r="P1217" s="29">
        <v>14</v>
      </c>
      <c r="Q1217" s="55"/>
      <c r="R1217" s="31">
        <f>M1217+Q1217</f>
        <v>2255</v>
      </c>
      <c r="S1217" s="56"/>
      <c r="T1217" s="32">
        <f>R1217+S1217+IF(F1217="Without EV deal",L1217,0)</f>
        <v>655</v>
      </c>
      <c r="U1217" s="57">
        <v>1</v>
      </c>
      <c r="V1217" s="58"/>
      <c r="W1217" s="58"/>
      <c r="X1217" s="78">
        <v>0.25</v>
      </c>
      <c r="Y1217" s="30">
        <f>IF(AG1217="None",0,IF(AG1217="Fix5",0.05, IF(AG1217="Fix6.25",0.0625,IF(AG1217="Fix3.75",0.0375,IF(AG1217="Fix10",0.1,IF(AG1217="Fix3",0.03,0))))))</f>
        <v>0</v>
      </c>
      <c r="Z1217" s="35">
        <f>T1217-AA1217-AB1217</f>
        <v>491.25</v>
      </c>
      <c r="AA1217" s="29">
        <f>IF(AD1217="EUR",((T1217-R1217)*X1217)*U1217+(R1217*X1217),(T1217*X1217))</f>
        <v>163.75</v>
      </c>
      <c r="AB1217" s="36">
        <f>IF(AD1217="EUR",((T1217-R1217)*Y1217)*U1217+(R1217*Y1217),(T1217*Y1217))</f>
        <v>0</v>
      </c>
      <c r="AC1217" s="37" t="b">
        <v>1</v>
      </c>
      <c r="AD1217" s="61" t="s">
        <v>38</v>
      </c>
      <c r="AE1217" s="83" t="s">
        <v>38</v>
      </c>
      <c r="AF1217" s="37" t="str">
        <f t="array" ref="AF1217">INDEX('Deal Info'!D:D, MATCH(A1217,'Deal Info'!A:A, 0))</f>
        <v>DoEVold</v>
      </c>
      <c r="AG1217" s="38" t="str">
        <f t="array" ref="AG1217">INDEX('Deal Info'!G:G, MATCH(A1217,'Deal Info'!A:A, 0))</f>
        <v>None</v>
      </c>
    </row>
    <row r="1218" spans="1:33" ht="14.25" hidden="1" x14ac:dyDescent="0.2">
      <c r="A1218" s="18" t="s">
        <v>98</v>
      </c>
      <c r="B1218" s="45" t="s">
        <v>98</v>
      </c>
      <c r="C1218" s="46">
        <v>44562</v>
      </c>
      <c r="D1218" s="46">
        <v>44581</v>
      </c>
      <c r="E1218" s="47">
        <v>44562</v>
      </c>
      <c r="F1218" s="48" t="s">
        <v>41</v>
      </c>
      <c r="G1218" s="45" t="s">
        <v>80</v>
      </c>
      <c r="H1218" s="49" t="s">
        <v>71</v>
      </c>
      <c r="I1218" s="49" t="s">
        <v>81</v>
      </c>
      <c r="J1218" s="50">
        <v>20</v>
      </c>
      <c r="K1218" s="51">
        <v>413</v>
      </c>
      <c r="L1218" s="52">
        <v>40</v>
      </c>
      <c r="M1218" s="53">
        <v>200</v>
      </c>
      <c r="N1218" s="28">
        <f>K1218*J1218</f>
        <v>8260</v>
      </c>
      <c r="O1218" s="54">
        <v>6156</v>
      </c>
      <c r="P1218" s="29">
        <v>14.905569010000001</v>
      </c>
      <c r="Q1218" s="55"/>
      <c r="R1218" s="31">
        <f>M1218+Q1218</f>
        <v>200</v>
      </c>
      <c r="S1218" s="56"/>
      <c r="T1218" s="32">
        <f>R1218+S1218+IF(F1218="Without EV deal",L1218,0)</f>
        <v>240</v>
      </c>
      <c r="U1218" s="57">
        <v>1</v>
      </c>
      <c r="V1218" s="58"/>
      <c r="W1218" s="58"/>
      <c r="X1218" s="78">
        <v>0.25</v>
      </c>
      <c r="Y1218" s="30">
        <f>IF(AG1218="None",0,IF(AG1218="Fix5",0.05, IF(AG1218="Fix6.25",0.0625,IF(AG1218="Fix3.75",0.0375,IF(AG1218="Fix10",0.1,IF(AG1218="Fix3",0.03,0))))))</f>
        <v>0</v>
      </c>
      <c r="Z1218" s="35">
        <f>T1218-AA1218-AB1218</f>
        <v>180</v>
      </c>
      <c r="AA1218" s="29">
        <f>IF(AD1218="EUR",((T1218-R1218)*X1218)*U1218+(R1218*X1218),(T1218*X1218))</f>
        <v>60</v>
      </c>
      <c r="AB1218" s="36">
        <f>IF(AD1218="EUR",((T1218-R1218)*Y1218)*U1218+(R1218*Y1218),(T1218*Y1218))</f>
        <v>0</v>
      </c>
      <c r="AC1218" s="37" t="b">
        <v>1</v>
      </c>
      <c r="AD1218" s="61" t="s">
        <v>38</v>
      </c>
      <c r="AE1218" s="83" t="s">
        <v>38</v>
      </c>
      <c r="AF1218" s="37" t="str">
        <f t="array" ref="AF1218">INDEX('Deal Info'!D:D, MATCH(A1218,'Deal Info'!A:A, 0))</f>
        <v>DoEVold</v>
      </c>
      <c r="AG1218" s="38" t="str">
        <f t="array" ref="AG1218">INDEX('Deal Info'!G:G, MATCH(A1218,'Deal Info'!A:A, 0))</f>
        <v>None</v>
      </c>
    </row>
    <row r="1219" spans="1:33" ht="14.25" hidden="1" x14ac:dyDescent="0.2">
      <c r="A1219" s="18" t="s">
        <v>98</v>
      </c>
      <c r="B1219" s="54" t="s">
        <v>98</v>
      </c>
      <c r="C1219" s="46">
        <v>44562</v>
      </c>
      <c r="D1219" s="46">
        <v>44581</v>
      </c>
      <c r="E1219" s="47">
        <v>44562</v>
      </c>
      <c r="F1219" s="48" t="s">
        <v>41</v>
      </c>
      <c r="G1219" s="54" t="s">
        <v>80</v>
      </c>
      <c r="H1219" s="54" t="s">
        <v>40</v>
      </c>
      <c r="I1219" s="49" t="s">
        <v>81</v>
      </c>
      <c r="J1219" s="50">
        <v>10</v>
      </c>
      <c r="K1219" s="51">
        <v>400</v>
      </c>
      <c r="L1219" s="107">
        <v>60</v>
      </c>
      <c r="M1219" s="53">
        <v>135</v>
      </c>
      <c r="N1219" s="28">
        <f>K1219*J1219</f>
        <v>4000</v>
      </c>
      <c r="O1219" s="108">
        <v>2389</v>
      </c>
      <c r="P1219" s="29">
        <v>5.9725000000000001</v>
      </c>
      <c r="Q1219" s="55"/>
      <c r="R1219" s="31">
        <f>M1219+Q1219</f>
        <v>135</v>
      </c>
      <c r="S1219" s="109"/>
      <c r="T1219" s="32">
        <f>R1219+S1219+IF(F1219="Without EV deal",L1219,0)</f>
        <v>195</v>
      </c>
      <c r="U1219" s="57">
        <v>1</v>
      </c>
      <c r="V1219" s="58"/>
      <c r="W1219" s="58"/>
      <c r="X1219" s="78">
        <v>0.25</v>
      </c>
      <c r="Y1219" s="30">
        <f>IF(AG1219="None",0,IF(AG1219="Fix5",0.05, IF(AG1219="Fix6.25",0.0625,IF(AG1219="Fix3.75",0.0375,IF(AG1219="Fix10",0.1,IF(AG1219="Fix3",0.03,0))))))</f>
        <v>0</v>
      </c>
      <c r="Z1219" s="35">
        <f>T1219-AA1219-AB1219</f>
        <v>146.25</v>
      </c>
      <c r="AA1219" s="29">
        <f>IF(AD1219="EUR",((T1219-R1219)*X1219)*U1219+(R1219*X1219),(T1219*X1219))</f>
        <v>48.75</v>
      </c>
      <c r="AB1219" s="36">
        <f>IF(AD1219="EUR",((T1219-R1219)*Y1219)*U1219+(R1219*Y1219),(T1219*Y1219))</f>
        <v>0</v>
      </c>
      <c r="AC1219" s="37" t="b">
        <v>1</v>
      </c>
      <c r="AD1219" s="61" t="s">
        <v>38</v>
      </c>
      <c r="AE1219" s="83" t="s">
        <v>38</v>
      </c>
      <c r="AF1219" s="37" t="str">
        <f t="array" ref="AF1219">INDEX('Deal Info'!D:D, MATCH(A1219,'Deal Info'!A:A, 0))</f>
        <v>DoEVold</v>
      </c>
      <c r="AG1219" s="38" t="str">
        <f t="array" ref="AG1219">INDEX('Deal Info'!G:G, MATCH(A1219,'Deal Info'!A:A, 0))</f>
        <v>None</v>
      </c>
    </row>
    <row r="1220" spans="1:33" ht="14.25" hidden="1" x14ac:dyDescent="0.2">
      <c r="A1220" s="18" t="s">
        <v>98</v>
      </c>
      <c r="B1220" s="54" t="s">
        <v>98</v>
      </c>
      <c r="C1220" s="46">
        <v>44582</v>
      </c>
      <c r="D1220" s="46">
        <v>44592</v>
      </c>
      <c r="E1220" s="47">
        <v>44562</v>
      </c>
      <c r="F1220" s="48" t="s">
        <v>49</v>
      </c>
      <c r="G1220" s="54" t="s">
        <v>80</v>
      </c>
      <c r="H1220" s="54" t="s">
        <v>71</v>
      </c>
      <c r="I1220" s="49" t="s">
        <v>81</v>
      </c>
      <c r="J1220" s="50">
        <v>20</v>
      </c>
      <c r="K1220" s="51">
        <v>1514</v>
      </c>
      <c r="L1220" s="107">
        <v>-560</v>
      </c>
      <c r="M1220" s="53">
        <v>887</v>
      </c>
      <c r="N1220" s="28">
        <f>K1220*J1220</f>
        <v>30280</v>
      </c>
      <c r="O1220" s="108">
        <v>17446</v>
      </c>
      <c r="P1220" s="29">
        <v>11.52311757</v>
      </c>
      <c r="Q1220" s="55"/>
      <c r="R1220" s="31">
        <f>M1220+Q1220</f>
        <v>887</v>
      </c>
      <c r="S1220" s="109">
        <v>-1128</v>
      </c>
      <c r="T1220" s="32">
        <f>R1220+S1220+IF(F1220="Without EV deal",L1220,0)</f>
        <v>-241</v>
      </c>
      <c r="U1220" s="57">
        <v>1</v>
      </c>
      <c r="V1220" s="58"/>
      <c r="W1220" s="58"/>
      <c r="X1220" s="78">
        <v>0.25</v>
      </c>
      <c r="Y1220" s="30">
        <f>IF(AG1220="None",0,IF(AG1220="Fix5",0.05, IF(AG1220="Fix6.25",0.0625,IF(AG1220="Fix3.75",0.0375,IF(AG1220="Fix10",0.1,IF(AG1220="Fix3",0.03,0))))))</f>
        <v>0</v>
      </c>
      <c r="Z1220" s="35">
        <f>T1220-AA1220-AB1220</f>
        <v>-180.75</v>
      </c>
      <c r="AA1220" s="29">
        <f>IF(AD1220="EUR",((T1220-R1220)*X1220)*U1220+(R1220*X1220),(T1220*X1220))</f>
        <v>-60.25</v>
      </c>
      <c r="AB1220" s="36">
        <f>IF(AD1220="EUR",((T1220-R1220)*Y1220)*U1220+(R1220*Y1220),(T1220*Y1220))</f>
        <v>0</v>
      </c>
      <c r="AC1220" s="37" t="b">
        <v>1</v>
      </c>
      <c r="AD1220" s="61" t="s">
        <v>38</v>
      </c>
      <c r="AE1220" s="83" t="s">
        <v>38</v>
      </c>
      <c r="AF1220" s="37" t="str">
        <f t="array" ref="AF1220">INDEX('Deal Info'!D:D, MATCH(A1220,'Deal Info'!A:A, 0))</f>
        <v>DoEVold</v>
      </c>
      <c r="AG1220" s="38" t="str">
        <f t="array" ref="AG1220">INDEX('Deal Info'!G:G, MATCH(A1220,'Deal Info'!A:A, 0))</f>
        <v>None</v>
      </c>
    </row>
    <row r="1221" spans="1:33" ht="14.25" hidden="1" x14ac:dyDescent="0.2">
      <c r="A1221" s="18" t="s">
        <v>98</v>
      </c>
      <c r="B1221" s="54" t="s">
        <v>98</v>
      </c>
      <c r="C1221" s="46">
        <v>44582</v>
      </c>
      <c r="D1221" s="46">
        <v>44592</v>
      </c>
      <c r="E1221" s="47">
        <v>44562</v>
      </c>
      <c r="F1221" s="48" t="s">
        <v>49</v>
      </c>
      <c r="G1221" s="54" t="s">
        <v>80</v>
      </c>
      <c r="H1221" s="54" t="s">
        <v>72</v>
      </c>
      <c r="I1221" s="49" t="s">
        <v>81</v>
      </c>
      <c r="J1221" s="50">
        <v>50</v>
      </c>
      <c r="K1221" s="51">
        <v>22</v>
      </c>
      <c r="L1221" s="52">
        <v>-300</v>
      </c>
      <c r="M1221" s="53">
        <v>300</v>
      </c>
      <c r="N1221" s="28">
        <f>K1221*J1221</f>
        <v>1100</v>
      </c>
      <c r="O1221" s="54">
        <v>-431</v>
      </c>
      <c r="P1221" s="29">
        <v>-19.59090909</v>
      </c>
      <c r="Q1221" s="55"/>
      <c r="R1221" s="31">
        <f>M1221+Q1221</f>
        <v>300</v>
      </c>
      <c r="S1221" s="56">
        <v>-123</v>
      </c>
      <c r="T1221" s="32">
        <f>R1221+S1221+IF(F1221="Without EV deal",L1221,0)</f>
        <v>177</v>
      </c>
      <c r="U1221" s="57">
        <v>1</v>
      </c>
      <c r="V1221" s="58"/>
      <c r="W1221" s="58"/>
      <c r="X1221" s="78">
        <v>0.25</v>
      </c>
      <c r="Y1221" s="30">
        <f>IF(AG1221="None",0,IF(AG1221="Fix5",0.05, IF(AG1221="Fix6.25",0.0625,IF(AG1221="Fix3.75",0.0375,IF(AG1221="Fix10",0.1,IF(AG1221="Fix3",0.03,0))))))</f>
        <v>0</v>
      </c>
      <c r="Z1221" s="35">
        <f>T1221-AA1221-AB1221</f>
        <v>132.75</v>
      </c>
      <c r="AA1221" s="29">
        <f>IF(AD1221="EUR",((T1221-R1221)*X1221)*U1221+(R1221*X1221),(T1221*X1221))</f>
        <v>44.25</v>
      </c>
      <c r="AB1221" s="36">
        <f>IF(AD1221="EUR",((T1221-R1221)*Y1221)*U1221+(R1221*Y1221),(T1221*Y1221))</f>
        <v>0</v>
      </c>
      <c r="AC1221" s="37" t="b">
        <v>1</v>
      </c>
      <c r="AD1221" s="61" t="s">
        <v>38</v>
      </c>
      <c r="AE1221" s="83" t="s">
        <v>38</v>
      </c>
      <c r="AF1221" s="37" t="str">
        <f t="array" ref="AF1221">INDEX('Deal Info'!D:D, MATCH(A1221,'Deal Info'!A:A, 0))</f>
        <v>DoEVold</v>
      </c>
      <c r="AG1221" s="38" t="str">
        <f t="array" ref="AG1221">INDEX('Deal Info'!G:G, MATCH(A1221,'Deal Info'!A:A, 0))</f>
        <v>None</v>
      </c>
    </row>
    <row r="1222" spans="1:33" ht="14.25" hidden="1" x14ac:dyDescent="0.2">
      <c r="A1222" s="18" t="str">
        <f t="array" ref="A1222">IF(G1222='Room Info'!$B$1, INDEX('Room Info'!$A$2:$A2446, MATCH(B1222,'Room Info'!$B$2:$B2446, 0)),IF(G1222='Room Info'!$C$1, INDEX('Room Info'!$A$2:$A2446, MATCH(B1222,'Room Info'!$C$2:$C2446, 0)),IF(G1222='Room Info'!$D$1, INDEX('Room Info'!$A$2:$A2446, MATCH(B1222,'Room Info'!$D$2:$D2446, 0)),IF(G1222='Room Info'!$E$1, INDEX('Room Info'!$A$2:$A2446, MATCH(B1222,'Room Info'!$E$2:$E2446, 0)),IF(G1222='Room Info'!$F$1, INDEX('Room Info'!$A$2:$A2446, MATCH(B1222,'Room Info'!$F$2:$F2446, 0)),IF(G1222='Room Info'!$H$1, INDEX('Room Info'!$A$2:$A2446, MATCH(B1222,'Room Info'!$H$2:$H2446, 0)),IF(G1222='Room Info'!$G$1, INDEX('Room Info'!$A$2:$A2446, MATCH(B1222,'Room Info'!$G$2:$G2446, 0)))))))))</f>
        <v>Sun_Set_pro8</v>
      </c>
      <c r="B1222" s="54" t="s">
        <v>98</v>
      </c>
      <c r="C1222" s="46">
        <v>44593</v>
      </c>
      <c r="D1222" s="46">
        <v>44620</v>
      </c>
      <c r="E1222" s="47">
        <v>44593</v>
      </c>
      <c r="F1222" s="48" t="s">
        <v>49</v>
      </c>
      <c r="G1222" s="54" t="s">
        <v>35</v>
      </c>
      <c r="H1222" s="54" t="s">
        <v>87</v>
      </c>
      <c r="I1222" s="49" t="s">
        <v>44</v>
      </c>
      <c r="J1222" s="50">
        <v>25</v>
      </c>
      <c r="K1222" s="51">
        <v>5335</v>
      </c>
      <c r="L1222" s="52">
        <v>-4625</v>
      </c>
      <c r="M1222" s="53">
        <v>4967</v>
      </c>
      <c r="N1222" s="28">
        <f>K1222*J1222</f>
        <v>133375</v>
      </c>
      <c r="O1222" s="54">
        <v>67550</v>
      </c>
      <c r="P1222" s="29">
        <v>12.66166823</v>
      </c>
      <c r="Q1222" s="55"/>
      <c r="R1222" s="31">
        <f>M1222+Q1222</f>
        <v>4967</v>
      </c>
      <c r="S1222" s="56">
        <v>-3061</v>
      </c>
      <c r="T1222" s="32">
        <f>R1222+S1222+IF(F1222="Without EV deal",L1222,0)</f>
        <v>1906</v>
      </c>
      <c r="U1222" s="57">
        <v>1</v>
      </c>
      <c r="V1222" s="58"/>
      <c r="W1222" s="58"/>
      <c r="X1222" s="78">
        <v>0.25</v>
      </c>
      <c r="Y1222" s="30">
        <f>IF(AG1222="None",0,IF(AG1222="Fix5",0.05, IF(AG1222="Fix6.25",0.0625,IF(AG1222="Fix3.75",0.0375,IF(AG1222="Fix10",0.1,IF(AG1222="Fix3",0.03,0))))))</f>
        <v>0</v>
      </c>
      <c r="Z1222" s="35">
        <f>T1222-AA1222-AB1222</f>
        <v>1429.5</v>
      </c>
      <c r="AA1222" s="29">
        <f>IF(AD1222="EUR",((T1222-R1222)*X1222)*U1222+(R1222*X1222),(T1222*X1222))</f>
        <v>476.5</v>
      </c>
      <c r="AB1222" s="36">
        <f>IF(AD1222="EUR",((T1222-R1222)*Y1222)*U1222+(R1222*Y1222),(T1222*Y1222))</f>
        <v>0</v>
      </c>
      <c r="AC1222" s="37" t="b">
        <v>1</v>
      </c>
      <c r="AD1222" s="61" t="s">
        <v>38</v>
      </c>
      <c r="AE1222" s="83" t="s">
        <v>38</v>
      </c>
      <c r="AF1222" s="37" t="str">
        <f t="array" ref="AF1222">INDEX('Deal Info'!D:D, MATCH(A1222,'Deal Info'!A:A, 0))</f>
        <v>DoEVold</v>
      </c>
      <c r="AG1222" s="38" t="str">
        <f t="array" ref="AG1222">INDEX('Deal Info'!G:G, MATCH(A1222,'Deal Info'!A:A, 0))</f>
        <v>None</v>
      </c>
    </row>
    <row r="1223" spans="1:33" ht="14.25" hidden="1" x14ac:dyDescent="0.2">
      <c r="A1223" s="18" t="str">
        <f t="array" ref="A1223">IF(G1223='Room Info'!$B$1, INDEX('Room Info'!$A$2:$A2446, MATCH(B1223,'Room Info'!$B$2:$B2446, 0)),IF(G1223='Room Info'!$C$1, INDEX('Room Info'!$A$2:$A2446, MATCH(B1223,'Room Info'!$C$2:$C2446, 0)),IF(G1223='Room Info'!$D$1, INDEX('Room Info'!$A$2:$A2446, MATCH(B1223,'Room Info'!$D$2:$D2446, 0)),IF(G1223='Room Info'!$E$1, INDEX('Room Info'!$A$2:$A2446, MATCH(B1223,'Room Info'!$E$2:$E2446, 0)),IF(G1223='Room Info'!$F$1, INDEX('Room Info'!$A$2:$A2446, MATCH(B1223,'Room Info'!$F$2:$F2446, 0)),IF(G1223='Room Info'!$H$1, INDEX('Room Info'!$A$2:$A2446, MATCH(B1223,'Room Info'!$H$2:$H2446, 0)),IF(G1223='Room Info'!$G$1, INDEX('Room Info'!$A$2:$A2446, MATCH(B1223,'Room Info'!$G$2:$G2446, 0)))))))))</f>
        <v>Sun_Set_pro8</v>
      </c>
      <c r="B1223" s="54" t="s">
        <v>98</v>
      </c>
      <c r="C1223" s="46">
        <v>44593</v>
      </c>
      <c r="D1223" s="46">
        <v>44620</v>
      </c>
      <c r="E1223" s="47">
        <v>44593</v>
      </c>
      <c r="F1223" s="48" t="s">
        <v>41</v>
      </c>
      <c r="G1223" s="54" t="s">
        <v>35</v>
      </c>
      <c r="H1223" s="54" t="s">
        <v>115</v>
      </c>
      <c r="I1223" s="49" t="s">
        <v>44</v>
      </c>
      <c r="J1223" s="50">
        <v>10</v>
      </c>
      <c r="K1223" s="51">
        <v>6</v>
      </c>
      <c r="L1223" s="52">
        <v>-40</v>
      </c>
      <c r="M1223" s="53">
        <v>3</v>
      </c>
      <c r="N1223" s="28">
        <f>K1223*J1223</f>
        <v>60</v>
      </c>
      <c r="O1223" s="65"/>
      <c r="P1223" s="29">
        <v>0</v>
      </c>
      <c r="Q1223" s="55"/>
      <c r="R1223" s="31">
        <f>M1223+Q1223</f>
        <v>3</v>
      </c>
      <c r="S1223" s="66"/>
      <c r="T1223" s="32">
        <f>R1223+S1223+IF(F1223="Without EV deal",L1223,0)</f>
        <v>-37</v>
      </c>
      <c r="U1223" s="57">
        <v>1</v>
      </c>
      <c r="V1223" s="58"/>
      <c r="W1223" s="58"/>
      <c r="X1223" s="78">
        <v>0.25</v>
      </c>
      <c r="Y1223" s="30">
        <f>IF(AG1223="None",0,IF(AG1223="Fix5",0.05, IF(AG1223="Fix6.25",0.0625,IF(AG1223="Fix3.75",0.0375,IF(AG1223="Fix10",0.1,IF(AG1223="Fix3",0.03,0))))))</f>
        <v>0</v>
      </c>
      <c r="Z1223" s="35">
        <f>T1223-AA1223-AB1223</f>
        <v>-27.75</v>
      </c>
      <c r="AA1223" s="29">
        <f>IF(AD1223="EUR",((T1223-R1223)*X1223)*U1223+(R1223*X1223),(T1223*X1223))</f>
        <v>-9.25</v>
      </c>
      <c r="AB1223" s="36">
        <f>IF(AD1223="EUR",((T1223-R1223)*Y1223)*U1223+(R1223*Y1223),(T1223*Y1223))</f>
        <v>0</v>
      </c>
      <c r="AC1223" s="37" t="b">
        <v>1</v>
      </c>
      <c r="AD1223" s="61" t="s">
        <v>38</v>
      </c>
      <c r="AE1223" s="83" t="s">
        <v>38</v>
      </c>
      <c r="AF1223" s="37" t="str">
        <f t="array" ref="AF1223">INDEX('Deal Info'!D:D, MATCH(A1223,'Deal Info'!A:A, 0))</f>
        <v>DoEVold</v>
      </c>
      <c r="AG1223" s="38" t="str">
        <f t="array" ref="AG1223">INDEX('Deal Info'!G:G, MATCH(A1223,'Deal Info'!A:A, 0))</f>
        <v>None</v>
      </c>
    </row>
    <row r="1224" spans="1:33" ht="14.25" hidden="1" x14ac:dyDescent="0.2">
      <c r="A1224" s="18" t="str">
        <f t="array" ref="A1224">IF(G1224='Room Info'!$B$1, INDEX('Room Info'!$A$2:$A2446, MATCH(B1224,'Room Info'!$B$2:$B2446, 0)),IF(G1224='Room Info'!$C$1, INDEX('Room Info'!$A$2:$A2446, MATCH(B1224,'Room Info'!$C$2:$C2446, 0)),IF(G1224='Room Info'!$D$1, INDEX('Room Info'!$A$2:$A2446, MATCH(B1224,'Room Info'!$D$2:$D2446, 0)),IF(G1224='Room Info'!$E$1, INDEX('Room Info'!$A$2:$A2446, MATCH(B1224,'Room Info'!$E$2:$E2446, 0)),IF(G1224='Room Info'!$F$1, INDEX('Room Info'!$A$2:$A2446, MATCH(B1224,'Room Info'!$F$2:$F2446, 0)),IF(G1224='Room Info'!$H$1, INDEX('Room Info'!$A$2:$A2446, MATCH(B1224,'Room Info'!$H$2:$H2446, 0)),IF(G1224='Room Info'!$G$1, INDEX('Room Info'!$A$2:$A2446, MATCH(B1224,'Room Info'!$G$2:$G2446, 0)))))))))</f>
        <v>Sun_Set_pro8</v>
      </c>
      <c r="B1224" s="45" t="s">
        <v>98</v>
      </c>
      <c r="C1224" s="46">
        <v>44621</v>
      </c>
      <c r="D1224" s="46">
        <v>44651</v>
      </c>
      <c r="E1224" s="47">
        <v>44621</v>
      </c>
      <c r="F1224" s="48" t="s">
        <v>49</v>
      </c>
      <c r="G1224" s="45" t="s">
        <v>35</v>
      </c>
      <c r="H1224" s="49" t="s">
        <v>87</v>
      </c>
      <c r="I1224" s="49" t="s">
        <v>44</v>
      </c>
      <c r="J1224" s="50">
        <v>25</v>
      </c>
      <c r="K1224" s="51">
        <v>518</v>
      </c>
      <c r="L1224" s="52">
        <v>-1275</v>
      </c>
      <c r="M1224" s="53">
        <v>260</v>
      </c>
      <c r="N1224" s="28">
        <f>K1224*J1224</f>
        <v>12950</v>
      </c>
      <c r="O1224" s="54">
        <v>12017</v>
      </c>
      <c r="P1224" s="29">
        <v>23.198841699999999</v>
      </c>
      <c r="Q1224" s="55"/>
      <c r="R1224" s="31">
        <f>M1224+Q1224</f>
        <v>260</v>
      </c>
      <c r="S1224" s="56">
        <v>115</v>
      </c>
      <c r="T1224" s="32">
        <f>R1224+S1224+IF(F1224="Without EV deal",L1224,0)</f>
        <v>375</v>
      </c>
      <c r="U1224" s="57">
        <v>1</v>
      </c>
      <c r="V1224" s="58"/>
      <c r="W1224" s="58"/>
      <c r="X1224" s="78">
        <v>0.35</v>
      </c>
      <c r="Y1224" s="30">
        <f>IF(AG1224="None",0,IF(AG1224="Fix5",0.05, IF(AG1224="Fix6.25",0.0625,IF(AG1224="Fix3.75",0.0375,IF(AG1224="Fix10",0.1,IF(AG1224="Fix3",0.03,0))))))</f>
        <v>0</v>
      </c>
      <c r="Z1224" s="35">
        <f>T1224-AA1224-AB1224</f>
        <v>243.75</v>
      </c>
      <c r="AA1224" s="29">
        <f>IF(AD1224="EUR",((T1224-R1224)*X1224)*U1224+(R1224*X1224),(T1224*X1224))</f>
        <v>131.25</v>
      </c>
      <c r="AB1224" s="36">
        <f>IF(AD1224="EUR",((T1224-R1224)*Y1224)*U1224+(R1224*Y1224),(T1224*Y1224))</f>
        <v>0</v>
      </c>
      <c r="AC1224" s="37" t="b">
        <v>1</v>
      </c>
      <c r="AD1224" s="61" t="s">
        <v>38</v>
      </c>
      <c r="AE1224" s="83" t="s">
        <v>38</v>
      </c>
      <c r="AF1224" s="37" t="str">
        <f t="array" ref="AF1224">INDEX('Deal Info'!D:D, MATCH(A1224,'Deal Info'!A:A, 0))</f>
        <v>DoEVold</v>
      </c>
      <c r="AG1224" s="38" t="str">
        <f t="array" ref="AG1224">INDEX('Deal Info'!G:G, MATCH(A1224,'Deal Info'!A:A, 0))</f>
        <v>None</v>
      </c>
    </row>
    <row r="1225" spans="1:33" ht="14.25" x14ac:dyDescent="0.2">
      <c r="A1225" s="18" t="str">
        <f t="array" ref="A1225">IF(G1225='Room Info'!$B$1, INDEX('Room Info'!$A$2:$A2446, MATCH(B1225,'Room Info'!$B$2:$B2446, 0)),IF(G1225='Room Info'!$C$1, INDEX('Room Info'!$A$2:$A2446, MATCH(B1225,'Room Info'!$C$2:$C2446, 0)),IF(G1225='Room Info'!$D$1, INDEX('Room Info'!$A$2:$A2446, MATCH(B1225,'Room Info'!$D$2:$D2446, 0)),IF(G1225='Room Info'!$E$1, INDEX('Room Info'!$A$2:$A2446, MATCH(B1225,'Room Info'!$E$2:$E2446, 0)),IF(G1225='Room Info'!$F$1, INDEX('Room Info'!$A$2:$A2446, MATCH(B1225,'Room Info'!$F$2:$F2446, 0)),IF(G1225='Room Info'!$H$1, INDEX('Room Info'!$A$2:$A2446, MATCH(B1225,'Room Info'!$H$2:$H2446, 0)),IF(G1225='Room Info'!$G$1, INDEX('Room Info'!$A$2:$A2446, MATCH(B1225,'Room Info'!$G$2:$G2446, 0)))))))))</f>
        <v>Lo4io</v>
      </c>
      <c r="B1225" s="45" t="s">
        <v>107</v>
      </c>
      <c r="C1225" s="283">
        <v>44916</v>
      </c>
      <c r="D1225" s="283">
        <v>44946</v>
      </c>
      <c r="E1225" s="47">
        <v>44927</v>
      </c>
      <c r="F1225" s="129" t="s">
        <v>34</v>
      </c>
      <c r="G1225" s="45" t="s">
        <v>61</v>
      </c>
      <c r="H1225" s="49" t="s">
        <v>57</v>
      </c>
      <c r="I1225" s="49" t="s">
        <v>101</v>
      </c>
      <c r="J1225" s="74">
        <v>50</v>
      </c>
      <c r="K1225" s="75">
        <v>1818</v>
      </c>
      <c r="L1225" s="72">
        <v>0</v>
      </c>
      <c r="M1225" s="76">
        <v>2149</v>
      </c>
      <c r="N1225" s="28">
        <f>K1225*J1225</f>
        <v>90900</v>
      </c>
      <c r="O1225" s="45">
        <v>93881</v>
      </c>
      <c r="P1225" s="29">
        <v>51.639713970000003</v>
      </c>
      <c r="Q1225" s="55"/>
      <c r="R1225" s="31">
        <f>M1225+Q1225</f>
        <v>2149</v>
      </c>
      <c r="S1225" s="73">
        <v>887</v>
      </c>
      <c r="T1225" s="32">
        <f>R1225+S1225+IF(F1225="Without EV deal",L1225,0)</f>
        <v>3036</v>
      </c>
      <c r="U1225" s="57">
        <v>1.0860000000000001</v>
      </c>
      <c r="V1225" s="69"/>
      <c r="W1225" s="69"/>
      <c r="X1225" s="30">
        <v>0.15</v>
      </c>
      <c r="Y1225" s="30">
        <f>IF(AG1225="None",0,IF(AG1225="Fix5",0.05, IF(AG1225="Fix6.25",0.0625,IF(AG1225="Fix3.75",0.0375,IF(AG1225="Fix10",0.1,IF(AG1225="Fix3",0.03,0))))))</f>
        <v>0</v>
      </c>
      <c r="Z1225" s="35">
        <f>T1225-AA1225-AB1225</f>
        <v>2569.1577000000002</v>
      </c>
      <c r="AA1225" s="29">
        <f>IF(AD1225="EUR",((T1225-R1225)*X1225)*U1225+(R1225*X1225),(T1225*X1225))</f>
        <v>466.84229999999997</v>
      </c>
      <c r="AB1225" s="36">
        <f>IF(AD1225="EUR",((T1225-R1225)*Y1225)*U1225+(R1225*Y1225),(T1225*Y1225))</f>
        <v>0</v>
      </c>
      <c r="AC1225" s="37" t="b">
        <v>1</v>
      </c>
      <c r="AD1225" s="129" t="s">
        <v>50</v>
      </c>
      <c r="AE1225" s="129"/>
      <c r="AF1225" s="37" t="str">
        <f t="array" ref="AF1225">INDEX('Deal Info'!D:D, MATCH(A1225,'Deal Info'!A:A, 0))</f>
        <v>DoEVLo</v>
      </c>
      <c r="AG1225" s="38" t="str">
        <f t="array" ref="AG1225">INDEX('Deal Info'!G:G, MATCH(A1225,'Deal Info'!A:A, 0))</f>
        <v>None</v>
      </c>
    </row>
    <row r="1226" spans="1:33" ht="14.25" x14ac:dyDescent="0.2">
      <c r="A1226" s="18" t="str">
        <f t="array" ref="A1226">IF(G1226='Room Info'!$B$1, INDEX('Room Info'!$A$2:$A2446, MATCH(B1226,'Room Info'!$B$2:$B2446, 0)),IF(G1226='Room Info'!$C$1, INDEX('Room Info'!$A$2:$A2446, MATCH(B1226,'Room Info'!$C$2:$C2446, 0)),IF(G1226='Room Info'!$D$1, INDEX('Room Info'!$A$2:$A2446, MATCH(B1226,'Room Info'!$D$2:$D2446, 0)),IF(G1226='Room Info'!$E$1, INDEX('Room Info'!$A$2:$A2446, MATCH(B1226,'Room Info'!$E$2:$E2446, 0)),IF(G1226='Room Info'!$F$1, INDEX('Room Info'!$A$2:$A2446, MATCH(B1226,'Room Info'!$F$2:$F2446, 0)),IF(G1226='Room Info'!$H$1, INDEX('Room Info'!$A$2:$A2446, MATCH(B1226,'Room Info'!$H$2:$H2446, 0)),IF(G1226='Room Info'!$G$1, INDEX('Room Info'!$A$2:$A2446, MATCH(B1226,'Room Info'!$G$2:$G2446, 0)))))))))</f>
        <v>Freedoom</v>
      </c>
      <c r="B1226" s="45" t="s">
        <v>129</v>
      </c>
      <c r="C1226" s="46">
        <v>44922</v>
      </c>
      <c r="D1226" s="46">
        <v>44957</v>
      </c>
      <c r="E1226" s="47">
        <v>44927</v>
      </c>
      <c r="F1226" s="48" t="s">
        <v>41</v>
      </c>
      <c r="G1226" s="45" t="s">
        <v>61</v>
      </c>
      <c r="H1226" s="49" t="s">
        <v>54</v>
      </c>
      <c r="I1226" s="49" t="s">
        <v>101</v>
      </c>
      <c r="J1226" s="70">
        <v>5</v>
      </c>
      <c r="K1226" s="71">
        <v>1864</v>
      </c>
      <c r="L1226" s="135">
        <v>-585</v>
      </c>
      <c r="M1226" s="53">
        <v>198</v>
      </c>
      <c r="N1226" s="28">
        <f>K1226*J1226</f>
        <v>9320</v>
      </c>
      <c r="O1226" s="129">
        <v>118946</v>
      </c>
      <c r="P1226" s="29">
        <v>63.812231760000003</v>
      </c>
      <c r="Q1226" s="55"/>
      <c r="R1226" s="31">
        <f>M1226+Q1226</f>
        <v>198</v>
      </c>
      <c r="S1226" s="97">
        <v>270</v>
      </c>
      <c r="T1226" s="32">
        <f>R1226+S1226+IF(F1226="Without EV deal",L1226,0)</f>
        <v>-117</v>
      </c>
      <c r="U1226" s="57">
        <v>1</v>
      </c>
      <c r="V1226" s="58">
        <v>4.71</v>
      </c>
      <c r="W1226" s="58">
        <v>101</v>
      </c>
      <c r="X1226" s="78">
        <f>IF(AF1226="DoEV",IF(AND(V1226&lt;20,W1226&lt;55),0.3,0)+IF(AND(V1226&lt;20,W1226&gt;=55,W1226&lt;105),0.23,0)+IF(AND(V1226&lt;20,W1226&gt;=105),0.17,0)+IF(AND(V1226&gt;=20,V1226&lt;40,W1226&lt;45),0.3,0)+IF(AND(V1226&gt;=20,V1226&lt;40,W1226&gt;=45,W1226&lt;95),0.23,0)+IF(AND(V1226&gt;=20,V1226&lt;40,W1226&gt;=95),0.17,0)+IF(AND(V1226&gt;=40,V1226&lt;75,W1226&lt;35),0.3,0)+IF(AND(V1226&gt;=40,V1226&lt;75,W1226&gt;=35,W1226&lt;75),0.23,0)+IF(AND(V1226&gt;=40,V1226&lt;75,W1226&gt;=75,W1226&lt;120),0.17,0)+IF(AND(V1226&gt;=40,V1226&lt;75,W1226&gt;=120),0.12,0)+IF(AND(V1226&gt;=75,V1226&lt;175,W1226&lt;35),0.3,0)+IF(AND(V1226&gt;=75,V1226&lt;=175,W1226&gt;=35,W1226&lt;65),0.23,0)+IF(AND(V1226&gt;=75,V1226&lt;=175,W1226&gt;=65,W1226&lt;110),0.17,0)+IF(AND(V1226&gt;=75,V1226&lt;=175,W1226&gt;=110),0.12,0)+IF(AND(V1226&gt;175,W1226&lt;25),0.3,0)+IF(AND(V1226&gt;175,W1226&gt;=25,W1226&lt;55),0.23,0)+IF(AND(V1226&gt;175,W1226&gt;=55,W1226&lt;95),0.17,0)+IF(AND(V1226&gt;175,W1226&gt;=95),0.12,0),
IF(AF1226="Fix15",0.15,
IF(AF1226="Fix11.25",0.1125,
IF(AF1226="Fix10",0.1,
IF(AF1226="Fix9",0.09,
IF(AF1226="DoEV2017",IF(AND(W1226&lt;74),0.2,0)+IF(AND(W1226&gt;=74),0.17,0),
IF(AF1226="SF",IF(AND(V1226&lt;20,W1226&lt;89),0.3,0)+IF(AND(V1226&lt;20,W1226&gt;=89),0.25,0)+IF(AND(V1226&gt;=20,V1226&lt;40,W1226&lt;74),0.3,0)+IF(AND(V1226&gt;=20,V1226&lt;40,W1226&gt;=75),0.22,0)+IF(AND(V1226&gt;=40,V1226&lt;75,W1226&lt;75),0.26,0)+IF(AND(V1226&gt;=40,V1226&lt;75,W1226&gt;=75),0.22,0)+IF(V1226&gt;=75,0.22,0),
IF(AF1226="DoEVold",IF(AND(V1226&lt;40,W1226&lt;35),0.35,0)+IF(AND(V1226&lt;40,W1226&gt;=35,W1226&lt;75),0.25,0)+IF(AND(V1226&lt;40,W1226&gt;=75),0.17,0)+IF(AND(V1226&gt;=40,V1226&lt;75,W1226&lt;25),0.35,0)+IF(AND(V1226&gt;=40,V1226&lt;75,W1226&gt;=25,W1226&lt;65),0.25,0)+IF(AND(V1226&gt;=40,V1226&lt;75,W1226&gt;=65,W1226&lt;100),0.17,0)+IF(AND(V1226&gt;=40,V1226&lt;75,W1226&gt;=100),0.1,0)+IF(AND(V1226&gt;=75,W1226&lt;25),0.35,0)+IF(AND(V1226&gt;=75,W1226&gt;=25,W1226&lt;60),0.25,0)+IF(AND(V1226&gt;=75,W1226&gt;=60,W1226&lt;95),0.17,0)+IF(AND(V1226&gt;=75,W1226&gt;=95),0.1,0),
IF(AF1226="DoEVold15",IF(AND(V1226&lt;=40,W1226&lt;35),0.35,0)+IF(AND(V1226&lt;=40,W1226&gt;=35,W1226&lt;75),0.25,0)+IF(AND(V1226&lt;=40,W1226&gt;=75,W1226&lt;120),0.17,0)+IF(AND(V1226&lt;=40,W1226&gt;=120),0.15,0)+IF(AND(V1226&gt;40,V1226&lt;75,W1226&lt;25),0.35,0)+IF(AND(V1226&gt;=40,V1226&lt;75,W1226&gt;=25,W1226&lt;65),0.25,0)+IF(AND(V1226&gt;=40,V1226&lt;75,W1226&gt;=65,W1226&lt;100),0.17,0)+IF(AND(V1226&gt;=40,V1226&lt;75,W1226&gt;=100),0.1,0)+IF(AND(V1226&gt;=75,W1226&lt;25),0.35,0)+IF(AND(V1226&gt;=75,W1226&gt;=25,W1226&lt;60),0.25,0)+IF(AND(V1226&gt;=75,W1226&gt;=60,W1226&lt;95),0.17,0)+IF(AND(V1226&gt;=75,W1226&gt;=95),0.1,0),
IF(AF1226="DoEVba",IF(AND(V1226&lt;20,W1226&lt;105),0.2,0)+IF(AND(V1226&lt;20,W1226&gt;=105),0.15,0)+IF(AND(V1226&gt;=20,V1226&lt;40,W1226&lt;95),0.2,0)+IF(AND(V1226&gt;=20,V1226&lt;40,W1226&gt;=95,W1226&lt;150),0.15,0)+IF(AND(V1226&gt;=20,V1226&lt;40,W1226&gt;=150),0.12,0)+IF(AND(V1226&gt;=40,V1226&lt;75,W1226&lt;75),0.2,0)+IF(AND(V1226&gt;=40,V1226&lt;75,W1226&gt;=75,W1226&lt;120),0.15,0)+IF(AND(V1226&gt;=40,V1226&lt;75,W1226&gt;=120),0.12,0)+IF(AND(V1226&gt;=75,V1226&lt;175,W1226&lt;65),0.2,0)+IF(AND(V1226&gt;=75,V1226&lt;175,W1226&gt;=65,W1226&lt;110),0.15,0)+IF(AND(V1226&gt;=75,V1226&lt;175,W1226&gt;=110),0.12,0)+IF(AND(V1226&gt;=175,W1226&lt;55),0.2,0)+IF(AND(V1226&gt;=175,W1226&gt;=55,W1226&lt;95),0.15,0)+IF(AND(V1226&gt;=175,W1226&gt;=95),0.12,0),
IF(AF1226="DoEVku",IF(AND(V1226&lt;20,W1226&lt;55),0.23,0)+IF(AND(V1226&lt;20,W1226&gt;=55,W1226&lt;105),0.2,0)+IF(AND(V1226&lt;20,W1226&gt;=105),0.17,0)+IF(AND(V1226&gt;=20,V1226&lt;40,W1226&lt;45),0.23,0)+IF(AND(V1226&gt;=20,V1226&lt;40,W1226&gt;=45,W1226&lt;95),0.2,0)+IF(AND(V1226&gt;=20,V1226&lt;40,W1226&gt;=95,W1226&lt;=150),0.17,0)+IF(AND(V1226&gt;=20,V1226&lt;40,W1226&gt;=150),0.12,0)+IF(AND(V1226&gt;=40,V1226&lt;75,W1226&lt;35),0.23,0)+IF(AND(V1226&gt;=40,V1226&lt;75,W1226&gt;=35,W1226&lt;75),0.2,0)+IF(AND(V1226&gt;=40,V1226&lt;75,W1226&gt;=75,W1226&lt;120),0.17,0)+IF(AND(V1226&gt;=40,V1226&lt;75,W1226&gt;=120),0.12,0)+IF(AND(V1226&gt;=75,V1226&lt;175,W1226&lt;35),0.23,0)+IF(AND(V1226&gt;=75,V1226&lt;=175,W1226&gt;=35,W1226&lt;65),0.2,0)+IF(AND(V1226&gt;=75,V1226&lt;=175,W1226&gt;=65,W1226&lt;110),0.17,0)+IF(AND(V1226&gt;=75,V1226&lt;=175,W1226&gt;=110),0.12,0)+IF(AND(V1226&gt;175,W1226&lt;25),0.23,0)+IF(AND(V1226&gt;175,W1226&gt;=25,W1226&lt;55),0.2,0)+IF(AND(V1226&gt;175,W1226&gt;=55,W1226&lt;95),0.17,0)+IF(AND(V1226&gt;175,W1226&gt;=95),0.12,0),
IF(AF1226="DoEVs1",IF(AND(V1226&lt;20,W1226&lt;55),0.3,0)+IF(AND(V1226&lt;20,W1226&gt;=55,W1226&lt;105),0.23,0)+IF(AND(V1226&lt;20,W1226&gt;=105),0.17,0)+IF(AND(V1226&gt;=20,V1226&lt;40,W1226&lt;45),0.3,0)+IF(AND(V1226&gt;=20,V1226&lt;40,W1226&gt;=45,W1226&lt;95),0.23,0)+IF(AND(V1226&gt;=20,V1226&lt;40,W1226&gt;=95,W1226&lt;=150),0.17,0)+IF(AND(V1226&gt;=20,V1226&lt;40,W1226&gt;=150),0.12,0)+IF(AND(V1226&gt;=40,V1226&lt;75,W1226&lt;35),0.3,0)+IF(AND(V1226&gt;=40,V1226&lt;75,W1226&gt;=35,W1226&lt;75),0.23,0)+IF(AND(V1226&gt;=40,V1226&lt;75,W1226&gt;=75,W1226&lt;120),0.17,0)+IF(AND(V1226&gt;=40,V1226&lt;75,W1226&gt;=120),0.12,0)+IF(AND(V1226&gt;=75,V1226&lt;175,W1226&lt;35),0.3,0)+IF(AND(V1226&gt;=75,V1226&lt;=175,W1226&gt;=35,W1226&lt;65),0.23,0)+IF(AND(V1226&gt;=75,V1226&lt;=175,W1226&gt;=65,W1226&lt;110),0.17,0)+IF(AND(V1226&gt;=75,V1226&lt;=175,W1226&gt;=110),0.12,0)+IF(AND(V1226&gt;175,W1226&lt;25),0.3,0)+IF(AND(V1226&gt;175,W1226&gt;=25,W1226&lt;55),0.23,0)+IF(AND(V1226&gt;175,W1226&gt;=55,W1226&lt;95),0.17,0)+IF(AND(V1226&gt;175,W1226&gt;=95),0.12,0),
IF(AF1226="DoEVsu",IF(AND(V1226&lt;20,W1226&lt;55),0.3,0)+IF(AND(V1226&lt;20,W1226&gt;=55,W1226&lt;105),0.23,0)+IF(AND(V1226&lt;20,W1226&gt;=105),0.17,0)+IF(AND(V1226&gt;=20,V1226&lt;40,W1226&lt;45),0.3,0)+IF(AND(V1226&gt;=20,V1226&lt;40,W1226&gt;=45,W1226&lt;95),0.23,0)+IF(AND(V1226&gt;=20,V1226&lt;40,W1226&gt;=95,W1226&lt;=250),0.17,0)+IF(AND(V1226&gt;=20,V1226&lt;40,W1226&gt;=250),0.12,0)+IF(AND(V1226&gt;=40,V1226&lt;75,W1226&lt;35),0.3,0)+IF(AND(V1226&gt;=40,V1226&lt;75,W1226&gt;=35,W1226&lt;75),0.23,0)+IF(AND(V1226&gt;=40,V1226&lt;75,W1226&gt;=75,W1226&lt;120),0.17,0)+IF(AND(V1226&gt;=40,V1226&lt;75,W1226&gt;=120),0.12,0)+IF(AND(V1226&gt;=75,V1226&lt;175,W1226&lt;35),0.3,0)+IF(AND(V1226&gt;=75,V1226&lt;=175,W1226&gt;=35,W1226&lt;65),0.23,0)+IF(AND(V1226&gt;=75,V1226&lt;=175,W1226&gt;=65,W1226&lt;110),0.17,0)+IF(AND(V1226&gt;=75,V1226&lt;=175,W1226&gt;=110),0.12,0)+IF(AND(V1226&gt;175,W1226&lt;25),0.3,0)+IF(AND(V1226&gt;175,W1226&gt;=25,W1226&lt;55),0.23,0)+IF(AND(V1226&gt;175,W1226&gt;=55,W1226&lt;95),0.17,0)+IF(AND(V1226&gt;175,W1226&gt;=95),0.12,0),
IF(AF1226="DoEVni",IF(AND(V1226&lt;20,W1226&lt;55),0.3,0)+IF(AND(V1226&lt;20,W1226&gt;=55,W1226&lt;105),0.23,0)+IF(AND(V1226&lt;20,W1226&gt;=105),0.17,0)+IF(AND(V1226&gt;=20,V1226&lt;40,W1226&lt;45),0.3,0)+IF(AND(V1226&gt;=20,V1226&lt;40,W1226&gt;=45,W1226&lt;95),0.23,0)+IF(AND(V1226&gt;=20,V1226&lt;40,W1226&gt;=95,W1226&lt;=200),0.17,0)+IF(AND(V1226&gt;=20,V1226&lt;40,W1226&gt;=200),0.12,0)+IF(AND(V1226&gt;=40,V1226&lt;75,W1226&lt;35),0.3,0)+IF(AND(V1226&gt;=40,V1226&lt;75,W1226&gt;=35,W1226&lt;75),0.23,0)+IF(AND(V1226&gt;=40,V1226&lt;75,W1226&gt;=75,W1226&lt;120),0.17,0)+IF(AND(V1226&gt;=40,V1226&lt;75,W1226&gt;=120),0.12,0)+IF(AND(V1226&gt;=75,V1226&lt;175,W1226&lt;35),0.3,0)+IF(AND(V1226&gt;=75,V1226&lt;=175,W1226&gt;=35,W1226&lt;65),0.23,0)+IF(AND(V1226&gt;=75,V1226&lt;=175,W1226&gt;=65,W1226&lt;110),0.17,0)+IF(AND(V1226&gt;=75,V1226&lt;=175,W1226&gt;=110),0.12,0)+IF(AND(V1226&gt;175,W1226&lt;25),0.3,0)+IF(AND(V1226&gt;175,W1226&gt;=25,W1226&lt;55),0.23,0)+IF(AND(V1226&gt;175,W1226&gt;=55,W1226&lt;95),0.17,0)+IF(AND(V1226&gt;175,W1226&gt;=95),0.12,0),
IF(AF1226="DoEVLo",IF(AND(V1226&lt;20,W1226&lt;55),0.25,0)+IF(AND(V1226&lt;20,W1226&gt;=55,W1226&lt;105),0.2,0)+IF(AND(V1226&lt;20,W1226&gt;=105),0.15,0)+IF(AND(V1226&gt;=20,V1226&lt;40,W1226&lt;45),0.25,0)+IF(AND(V1226&gt;=20,V1226&lt;40,W1226&gt;=45,W1226&lt;95),0.2,0)+IF(AND(V1226&gt;=20,V1226&lt;40,W1226&gt;=95),0.15,0)+IF(AND(V1226&gt;=40,V1226&lt;75,W1226&lt;35),0.25,0)+IF(AND(V1226&gt;=40,V1226&lt;75,W1226&gt;=35,W1226&lt;75),0.2,0)+IF(AND(V1226&gt;=40,V1226&lt;75,W1226&gt;=75,W1226&lt;120),0.15,0)+IF(AND(V1226&gt;=40,V1226&lt;75,W1226&gt;=120),0.1,0)+IF(AND(V1226&gt;=75,V1226&lt;175,W1226&lt;35),0.25,0)+IF(AND(V1226&gt;=75,V1226&lt;=175,W1226&gt;=35,W1226&lt;65),0.2,0)+IF(AND(V1226&gt;=75,V1226&lt;=175,W1226&gt;=65,W1226&lt;110),0.15,0)+IF(AND(V1226&gt;=75,V1226&lt;=175,W1226&gt;=110),0.1,0)+IF(AND(V1226&gt;175,W1226&lt;25),0.25,0)+IF(AND(V1226&gt;175,W1226&gt;=25,W1226&lt;55),0.2,0)+IF(AND(V1226&gt;175,W1226&gt;=55,W1226&lt;95),0.15,0)+IF(AND(V1226&gt;175,W1226&gt;=95),0.1,0))))))))))))))))</f>
        <v>0.17</v>
      </c>
      <c r="Y1226" s="30">
        <f>IF(AG1226="None",0,IF(AG1226="Fix5",0.05,IF(AG1226="Fix3.75",0.0375,IF(AG1226="Fix10",0.1,IF(AG1226="Fix3",0.03,0)))))</f>
        <v>0</v>
      </c>
      <c r="Z1226" s="35">
        <f>T1226-AA1226-AB1226</f>
        <v>-97.11</v>
      </c>
      <c r="AA1226" s="29">
        <f>IF(AD1226="EUR",((T1226-R1226)*X1226)*U1226+(R1226*X1226),(T1226*X1226))</f>
        <v>-19.89</v>
      </c>
      <c r="AB1226" s="36">
        <f>IF(AD1226="EUR",((T1226-R1226)*Y1226)*U1226+(R1226*Y1226),(T1226*Y1226))</f>
        <v>0</v>
      </c>
      <c r="AC1226" s="37" t="b">
        <v>0</v>
      </c>
      <c r="AD1226" s="83" t="s">
        <v>38</v>
      </c>
      <c r="AE1226" s="83" t="s">
        <v>38</v>
      </c>
      <c r="AF1226" s="37" t="str">
        <f t="array" ref="AF1226">INDEX('Deal Info'!D:D, MATCH(A1226,'Deal Info'!A:A, 0))</f>
        <v>DoEVold</v>
      </c>
      <c r="AG1226" s="38" t="str">
        <f t="array" ref="AG1226">INDEX('Deal Info'!G:G, MATCH(A1226,'Deal Info'!A:A, 0))</f>
        <v>None</v>
      </c>
    </row>
    <row r="1227" spans="1:33" ht="14.25" x14ac:dyDescent="0.2">
      <c r="A1227" s="18" t="str">
        <f t="array" ref="A1227">IF(G1227='Room Info'!$B$1, INDEX('Room Info'!$A$2:$A2446, MATCH(B1227,'Room Info'!$B$2:$B2446, 0)),IF(G1227='Room Info'!$C$1, INDEX('Room Info'!$A$2:$A2446, MATCH(B1227,'Room Info'!$C$2:$C2446, 0)),IF(G1227='Room Info'!$D$1, INDEX('Room Info'!$A$2:$A2446, MATCH(B1227,'Room Info'!$D$2:$D2446, 0)),IF(G1227='Room Info'!$E$1, INDEX('Room Info'!$A$2:$A2446, MATCH(B1227,'Room Info'!$E$2:$E2446, 0)),IF(G1227='Room Info'!$F$1, INDEX('Room Info'!$A$2:$A2446, MATCH(B1227,'Room Info'!$F$2:$F2446, 0)),IF(G1227='Room Info'!$H$1, INDEX('Room Info'!$A$2:$A2446, MATCH(B1227,'Room Info'!$H$2:$H2446, 0)),IF(G1227='Room Info'!$G$1, INDEX('Room Info'!$A$2:$A2446, MATCH(B1227,'Room Info'!$G$2:$G2446, 0)))))))))</f>
        <v>fortunate773</v>
      </c>
      <c r="B1227" s="45" t="s">
        <v>95</v>
      </c>
      <c r="C1227" s="111">
        <v>44916</v>
      </c>
      <c r="D1227" s="111">
        <v>44957</v>
      </c>
      <c r="E1227" s="47">
        <v>44927</v>
      </c>
      <c r="F1227" s="48" t="s">
        <v>49</v>
      </c>
      <c r="G1227" s="65" t="s">
        <v>61</v>
      </c>
      <c r="H1227" s="49" t="s">
        <v>134</v>
      </c>
      <c r="I1227" s="49" t="s">
        <v>68</v>
      </c>
      <c r="J1227" s="50">
        <v>250</v>
      </c>
      <c r="K1227" s="123">
        <v>1</v>
      </c>
      <c r="L1227" s="113">
        <v>250</v>
      </c>
      <c r="M1227" s="62">
        <v>3</v>
      </c>
      <c r="N1227" s="28">
        <f>K1227*J1227</f>
        <v>250</v>
      </c>
      <c r="O1227" s="65">
        <v>51</v>
      </c>
      <c r="P1227" s="29">
        <v>51</v>
      </c>
      <c r="Q1227" s="55"/>
      <c r="R1227" s="31">
        <f>M1227+Q1227</f>
        <v>3</v>
      </c>
      <c r="S1227" s="66">
        <v>20</v>
      </c>
      <c r="T1227" s="32">
        <f>R1227+S1227+IF(F1227="Without EV deal",L1227,0)</f>
        <v>23</v>
      </c>
      <c r="U1227" s="57">
        <v>1</v>
      </c>
      <c r="V1227" s="58"/>
      <c r="W1227" s="58"/>
      <c r="X1227" s="78">
        <f>IF(AF1227="DoEV",IF(AND(V1227&lt;20,W1227&lt;55),0.3,0)+IF(AND(V1227&lt;20,W1227&gt;=55,W1227&lt;105),0.23,0)+IF(AND(V1227&lt;20,W1227&gt;=105),0.17,0)+IF(AND(V1227&gt;=20,V1227&lt;40,W1227&lt;45),0.3,0)+IF(AND(V1227&gt;=20,V1227&lt;40,W1227&gt;=45,W1227&lt;95),0.23,0)+IF(AND(V1227&gt;=20,V1227&lt;40,W1227&gt;=95),0.17,0)+IF(AND(V1227&gt;=40,V1227&lt;75,W1227&lt;35),0.3,0)+IF(AND(V1227&gt;=40,V1227&lt;75,W1227&gt;=35,W1227&lt;75),0.23,0)+IF(AND(V1227&gt;=40,V1227&lt;75,W1227&gt;=75,W1227&lt;120),0.17,0)+IF(AND(V1227&gt;=40,V1227&lt;75,W1227&gt;=120),0.12,0)+IF(AND(V1227&gt;=75,V1227&lt;175,W1227&lt;35),0.3,0)+IF(AND(V1227&gt;=75,V1227&lt;=175,W1227&gt;=35,W1227&lt;65),0.23,0)+IF(AND(V1227&gt;=75,V1227&lt;=175,W1227&gt;=65,W1227&lt;110),0.17,0)+IF(AND(V1227&gt;=75,V1227&lt;=175,W1227&gt;=110),0.12,0)+IF(AND(V1227&gt;175,W1227&lt;25),0.3,0)+IF(AND(V1227&gt;175,W1227&gt;=25,W1227&lt;55),0.23,0)+IF(AND(V1227&gt;175,W1227&gt;=55,W1227&lt;95),0.17,0)+IF(AND(V1227&gt;175,W1227&gt;=95),0.12,0),
IF(AF1227="Fix15",0.15,
IF(AF1227="Fix11.25",0.1125,
IF(AF1227="Fix10",0.1,
IF(AF1227="Fix9",0.09,
IF(AF1227="DoEV2017",IF(AND(W1227&lt;74),0.2,0)+IF(AND(W1227&gt;=74),0.17,0),
IF(AF1227="SF",IF(AND(V1227&lt;20,W1227&lt;89),0.3,0)+IF(AND(V1227&lt;20,W1227&gt;=89),0.25,0)+IF(AND(V1227&gt;=20,V1227&lt;40,W1227&lt;74),0.3,0)+IF(AND(V1227&gt;=20,V1227&lt;40,W1227&gt;=75),0.22,0)+IF(AND(V1227&gt;=40,V1227&lt;75,W1227&lt;75),0.26,0)+IF(AND(V1227&gt;=40,V1227&lt;75,W1227&gt;=75),0.22,0)+IF(V1227&gt;=75,0.22,0),
IF(AF1227="DoEVold",IF(AND(V1227&lt;40,W1227&lt;35),0.35,0)+IF(AND(V1227&lt;40,W1227&gt;=35,W1227&lt;75),0.25,0)+IF(AND(V1227&lt;40,W1227&gt;=75),0.17,0)+IF(AND(V1227&gt;=40,V1227&lt;75,W1227&lt;25),0.35,0)+IF(AND(V1227&gt;=40,V1227&lt;75,W1227&gt;=25,W1227&lt;65),0.25,0)+IF(AND(V1227&gt;=40,V1227&lt;75,W1227&gt;=65,W1227&lt;100),0.17,0)+IF(AND(V1227&gt;=40,V1227&lt;75,W1227&gt;=100),0.1,0)+IF(AND(V1227&gt;=75,W1227&lt;25),0.35,0)+IF(AND(V1227&gt;=75,W1227&gt;=25,W1227&lt;60),0.25,0)+IF(AND(V1227&gt;=75,W1227&gt;=60,W1227&lt;95),0.17,0)+IF(AND(V1227&gt;=75,W1227&gt;=95),0.1,0),
IF(AF1227="DoEVold15",IF(AND(V1227&lt;=40,W1227&lt;35),0.35,0)+IF(AND(V1227&lt;=40,W1227&gt;=35,W1227&lt;75),0.25,0)+IF(AND(V1227&lt;=40,W1227&gt;=75,W1227&lt;120),0.17,0)+IF(AND(V1227&lt;=40,W1227&gt;=120),0.15,0)+IF(AND(V1227&gt;40,V1227&lt;75,W1227&lt;25),0.35,0)+IF(AND(V1227&gt;=40,V1227&lt;75,W1227&gt;=25,W1227&lt;65),0.25,0)+IF(AND(V1227&gt;=40,V1227&lt;75,W1227&gt;=65,W1227&lt;100),0.17,0)+IF(AND(V1227&gt;=40,V1227&lt;75,W1227&gt;=100),0.1,0)+IF(AND(V1227&gt;=75,W1227&lt;25),0.35,0)+IF(AND(V1227&gt;=75,W1227&gt;=25,W1227&lt;60),0.25,0)+IF(AND(V1227&gt;=75,W1227&gt;=60,W1227&lt;95),0.17,0)+IF(AND(V1227&gt;=75,W1227&gt;=95),0.1,0),
IF(AF1227="DoEVba",IF(AND(V1227&lt;20,W1227&lt;105),0.2,0)+IF(AND(V1227&lt;20,W1227&gt;=105),0.15,0)+IF(AND(V1227&gt;=20,V1227&lt;40,W1227&lt;95),0.2,0)+IF(AND(V1227&gt;=20,V1227&lt;40,W1227&gt;=95,W1227&lt;150),0.15,0)+IF(AND(V1227&gt;=20,V1227&lt;40,W1227&gt;=150),0.12,0)+IF(AND(V1227&gt;=40,V1227&lt;75,W1227&lt;75),0.2,0)+IF(AND(V1227&gt;=40,V1227&lt;75,W1227&gt;=75,W1227&lt;120),0.15,0)+IF(AND(V1227&gt;=40,V1227&lt;75,W1227&gt;=120),0.12,0)+IF(AND(V1227&gt;=75,V1227&lt;175,W1227&lt;65),0.2,0)+IF(AND(V1227&gt;=75,V1227&lt;175,W1227&gt;=65,W1227&lt;110),0.15,0)+IF(AND(V1227&gt;=75,V1227&lt;175,W1227&gt;=110),0.12,0)+IF(AND(V1227&gt;=175,W1227&lt;55),0.2,0)+IF(AND(V1227&gt;=175,W1227&gt;=55,W1227&lt;95),0.15,0)+IF(AND(V1227&gt;=175,W1227&gt;=95),0.12,0),
IF(AF1227="DoEVku",IF(AND(V1227&lt;20,W1227&lt;55),0.23,0)+IF(AND(V1227&lt;20,W1227&gt;=55,W1227&lt;105),0.2,0)+IF(AND(V1227&lt;20,W1227&gt;=105),0.17,0)+IF(AND(V1227&gt;=20,V1227&lt;40,W1227&lt;45),0.23,0)+IF(AND(V1227&gt;=20,V1227&lt;40,W1227&gt;=45,W1227&lt;95),0.2,0)+IF(AND(V1227&gt;=20,V1227&lt;40,W1227&gt;=95,W1227&lt;=150),0.17,0)+IF(AND(V1227&gt;=20,V1227&lt;40,W1227&gt;=150),0.12,0)+IF(AND(V1227&gt;=40,V1227&lt;75,W1227&lt;35),0.23,0)+IF(AND(V1227&gt;=40,V1227&lt;75,W1227&gt;=35,W1227&lt;75),0.2,0)+IF(AND(V1227&gt;=40,V1227&lt;75,W1227&gt;=75,W1227&lt;120),0.17,0)+IF(AND(V1227&gt;=40,V1227&lt;75,W1227&gt;=120),0.12,0)+IF(AND(V1227&gt;=75,V1227&lt;175,W1227&lt;35),0.23,0)+IF(AND(V1227&gt;=75,V1227&lt;=175,W1227&gt;=35,W1227&lt;65),0.2,0)+IF(AND(V1227&gt;=75,V1227&lt;=175,W1227&gt;=65,W1227&lt;110),0.17,0)+IF(AND(V1227&gt;=75,V1227&lt;=175,W1227&gt;=110),0.12,0)+IF(AND(V1227&gt;175,W1227&lt;25),0.23,0)+IF(AND(V1227&gt;175,W1227&gt;=25,W1227&lt;55),0.2,0)+IF(AND(V1227&gt;175,W1227&gt;=55,W1227&lt;95),0.17,0)+IF(AND(V1227&gt;175,W1227&gt;=95),0.12,0),
IF(AF1227="DoEVs1",IF(AND(V1227&lt;20,W1227&lt;55),0.3,0)+IF(AND(V1227&lt;20,W1227&gt;=55,W1227&lt;105),0.23,0)+IF(AND(V1227&lt;20,W1227&gt;=105),0.17,0)+IF(AND(V1227&gt;=20,V1227&lt;40,W1227&lt;45),0.3,0)+IF(AND(V1227&gt;=20,V1227&lt;40,W1227&gt;=45,W1227&lt;95),0.23,0)+IF(AND(V1227&gt;=20,V1227&lt;40,W1227&gt;=95,W1227&lt;=150),0.17,0)+IF(AND(V1227&gt;=20,V1227&lt;40,W1227&gt;=150),0.12,0)+IF(AND(V1227&gt;=40,V1227&lt;75,W1227&lt;35),0.3,0)+IF(AND(V1227&gt;=40,V1227&lt;75,W1227&gt;=35,W1227&lt;75),0.23,0)+IF(AND(V1227&gt;=40,V1227&lt;75,W1227&gt;=75,W1227&lt;120),0.17,0)+IF(AND(V1227&gt;=40,V1227&lt;75,W1227&gt;=120),0.12,0)+IF(AND(V1227&gt;=75,V1227&lt;175,W1227&lt;35),0.3,0)+IF(AND(V1227&gt;=75,V1227&lt;=175,W1227&gt;=35,W1227&lt;65),0.23,0)+IF(AND(V1227&gt;=75,V1227&lt;=175,W1227&gt;=65,W1227&lt;110),0.17,0)+IF(AND(V1227&gt;=75,V1227&lt;=175,W1227&gt;=110),0.12,0)+IF(AND(V1227&gt;175,W1227&lt;25),0.3,0)+IF(AND(V1227&gt;175,W1227&gt;=25,W1227&lt;55),0.23,0)+IF(AND(V1227&gt;175,W1227&gt;=55,W1227&lt;95),0.17,0)+IF(AND(V1227&gt;175,W1227&gt;=95),0.12,0),
IF(AF1227="DoEVsu",IF(AND(V1227&lt;20,W1227&lt;55),0.3,0)+IF(AND(V1227&lt;20,W1227&gt;=55,W1227&lt;105),0.23,0)+IF(AND(V1227&lt;20,W1227&gt;=105),0.17,0)+IF(AND(V1227&gt;=20,V1227&lt;40,W1227&lt;45),0.3,0)+IF(AND(V1227&gt;=20,V1227&lt;40,W1227&gt;=45,W1227&lt;95),0.23,0)+IF(AND(V1227&gt;=20,V1227&lt;40,W1227&gt;=95,W1227&lt;=250),0.17,0)+IF(AND(V1227&gt;=20,V1227&lt;40,W1227&gt;=250),0.12,0)+IF(AND(V1227&gt;=40,V1227&lt;75,W1227&lt;35),0.3,0)+IF(AND(V1227&gt;=40,V1227&lt;75,W1227&gt;=35,W1227&lt;75),0.23,0)+IF(AND(V1227&gt;=40,V1227&lt;75,W1227&gt;=75,W1227&lt;120),0.17,0)+IF(AND(V1227&gt;=40,V1227&lt;75,W1227&gt;=120),0.12,0)+IF(AND(V1227&gt;=75,V1227&lt;175,W1227&lt;35),0.3,0)+IF(AND(V1227&gt;=75,V1227&lt;=175,W1227&gt;=35,W1227&lt;65),0.23,0)+IF(AND(V1227&gt;=75,V1227&lt;=175,W1227&gt;=65,W1227&lt;110),0.17,0)+IF(AND(V1227&gt;=75,V1227&lt;=175,W1227&gt;=110),0.12,0)+IF(AND(V1227&gt;175,W1227&lt;25),0.3,0)+IF(AND(V1227&gt;175,W1227&gt;=25,W1227&lt;55),0.23,0)+IF(AND(V1227&gt;175,W1227&gt;=55,W1227&lt;95),0.17,0)+IF(AND(V1227&gt;175,W1227&gt;=95),0.12,0),
IF(AF1227="DoEVni",IF(AND(V1227&lt;20,W1227&lt;55),0.3,0)+IF(AND(V1227&lt;20,W1227&gt;=55,W1227&lt;105),0.23,0)+IF(AND(V1227&lt;20,W1227&gt;=105),0.17,0)+IF(AND(V1227&gt;=20,V1227&lt;40,W1227&lt;45),0.3,0)+IF(AND(V1227&gt;=20,V1227&lt;40,W1227&gt;=45,W1227&lt;95),0.23,0)+IF(AND(V1227&gt;=20,V1227&lt;40,W1227&gt;=95,W1227&lt;=200),0.17,0)+IF(AND(V1227&gt;=20,V1227&lt;40,W1227&gt;=200),0.12,0)+IF(AND(V1227&gt;=40,V1227&lt;75,W1227&lt;35),0.3,0)+IF(AND(V1227&gt;=40,V1227&lt;75,W1227&gt;=35,W1227&lt;75),0.23,0)+IF(AND(V1227&gt;=40,V1227&lt;75,W1227&gt;=75,W1227&lt;120),0.17,0)+IF(AND(V1227&gt;=40,V1227&lt;75,W1227&gt;=120),0.12,0)+IF(AND(V1227&gt;=75,V1227&lt;175,W1227&lt;35),0.3,0)+IF(AND(V1227&gt;=75,V1227&lt;=175,W1227&gt;=35,W1227&lt;65),0.23,0)+IF(AND(V1227&gt;=75,V1227&lt;=175,W1227&gt;=65,W1227&lt;110),0.17,0)+IF(AND(V1227&gt;=75,V1227&lt;=175,W1227&gt;=110),0.12,0)+IF(AND(V1227&gt;175,W1227&lt;25),0.3,0)+IF(AND(V1227&gt;175,W1227&gt;=25,W1227&lt;55),0.23,0)+IF(AND(V1227&gt;175,W1227&gt;=55,W1227&lt;95),0.17,0)+IF(AND(V1227&gt;175,W1227&gt;=95),0.12,0),
IF(AF1227="DoEVLo",IF(AND(V1227&lt;20,W1227&lt;55),0.25,0)+IF(AND(V1227&lt;20,W1227&gt;=55,W1227&lt;105),0.2,0)+IF(AND(V1227&lt;20,W1227&gt;=105),0.15,0)+IF(AND(V1227&gt;=20,V1227&lt;40,W1227&lt;45),0.25,0)+IF(AND(V1227&gt;=20,V1227&lt;40,W1227&gt;=45,W1227&lt;95),0.2,0)+IF(AND(V1227&gt;=20,V1227&lt;40,W1227&gt;=95),0.15,0)+IF(AND(V1227&gt;=40,V1227&lt;75,W1227&lt;35),0.25,0)+IF(AND(V1227&gt;=40,V1227&lt;75,W1227&gt;=35,W1227&lt;75),0.2,0)+IF(AND(V1227&gt;=40,V1227&lt;75,W1227&gt;=75,W1227&lt;120),0.15,0)+IF(AND(V1227&gt;=40,V1227&lt;75,W1227&gt;=120),0.1,0)+IF(AND(V1227&gt;=75,V1227&lt;175,W1227&lt;35),0.25,0)+IF(AND(V1227&gt;=75,V1227&lt;=175,W1227&gt;=35,W1227&lt;65),0.2,0)+IF(AND(V1227&gt;=75,V1227&lt;=175,W1227&gt;=65,W1227&lt;110),0.15,0)+IF(AND(V1227&gt;=75,V1227&lt;=175,W1227&gt;=110),0.1,0)+IF(AND(V1227&gt;175,W1227&lt;25),0.25,0)+IF(AND(V1227&gt;175,W1227&gt;=25,W1227&lt;55),0.2,0)+IF(AND(V1227&gt;175,W1227&gt;=55,W1227&lt;95),0.15,0)+IF(AND(V1227&gt;175,W1227&gt;=95),0.1,0))))))))))))))))</f>
        <v>0.15</v>
      </c>
      <c r="Y1227" s="30">
        <f>IF(AG1227="None",0,IF(AG1227="Fix5",0.05,IF(AG1227="Fix3.75",0.0375,IF(AG1227="Fix10",0.1,IF(AG1227="Fix3",0.03,0)))))</f>
        <v>0.05</v>
      </c>
      <c r="Z1227" s="35">
        <v>18</v>
      </c>
      <c r="AA1227" s="29">
        <v>5</v>
      </c>
      <c r="AB1227" s="36"/>
      <c r="AC1227" s="37" t="b">
        <v>0</v>
      </c>
      <c r="AD1227" s="61" t="s">
        <v>50</v>
      </c>
      <c r="AE1227" s="61"/>
      <c r="AF1227" s="37" t="str">
        <f t="array" ref="AF1227">INDEX('Deal Info'!D:D, MATCH(A1227,'Deal Info'!A:A, 0))</f>
        <v>Fix15</v>
      </c>
      <c r="AG1227" s="38" t="str">
        <f t="array" ref="AG1227">INDEX('Deal Info'!G:G, MATCH(A1227,'Deal Info'!A:A, 0))</f>
        <v>Fix5</v>
      </c>
    </row>
    <row r="1228" spans="1:33" ht="14.25" hidden="1" x14ac:dyDescent="0.2">
      <c r="A1228" s="18" t="s">
        <v>98</v>
      </c>
      <c r="B1228" s="45" t="s">
        <v>99</v>
      </c>
      <c r="C1228" s="46">
        <v>44652</v>
      </c>
      <c r="D1228" s="46">
        <v>44681</v>
      </c>
      <c r="E1228" s="47">
        <v>44652</v>
      </c>
      <c r="F1228" s="48" t="s">
        <v>49</v>
      </c>
      <c r="G1228" s="45" t="s">
        <v>35</v>
      </c>
      <c r="H1228" s="49" t="s">
        <v>87</v>
      </c>
      <c r="I1228" s="49" t="s">
        <v>44</v>
      </c>
      <c r="J1228" s="50">
        <v>25</v>
      </c>
      <c r="K1228" s="51">
        <v>187</v>
      </c>
      <c r="L1228" s="52">
        <v>-700</v>
      </c>
      <c r="M1228" s="62"/>
      <c r="N1228" s="28">
        <f>K1228*J1228</f>
        <v>4675</v>
      </c>
      <c r="O1228" s="54">
        <v>5800</v>
      </c>
      <c r="P1228" s="29">
        <v>31.016042779999999</v>
      </c>
      <c r="Q1228" s="55"/>
      <c r="R1228" s="31">
        <f>M1228+Q1228</f>
        <v>0</v>
      </c>
      <c r="S1228" s="56">
        <v>184</v>
      </c>
      <c r="T1228" s="32">
        <f>R1228+S1228+IF(F1228="Without EV deal",L1228,0)</f>
        <v>184</v>
      </c>
      <c r="U1228" s="57">
        <v>1</v>
      </c>
      <c r="V1228" s="58"/>
      <c r="W1228" s="58"/>
      <c r="X1228" s="78">
        <v>0.25</v>
      </c>
      <c r="Y1228" s="30">
        <f>IF(AG1228="None",0,IF(AG1228="Fix5",0.05, IF(AG1228="Fix6.25",0.0625,IF(AG1228="Fix3.75",0.0375,IF(AG1228="Fix10",0.1,IF(AG1228="Fix3",0.03,0))))))</f>
        <v>0</v>
      </c>
      <c r="Z1228" s="35">
        <f>T1228-AA1228-AB1228</f>
        <v>138</v>
      </c>
      <c r="AA1228" s="29">
        <f>IF(AD1228="EUR",((T1228-R1228)*X1228)*U1228+(R1228*X1228),(T1228*X1228))</f>
        <v>46</v>
      </c>
      <c r="AB1228" s="36">
        <f>IF(AD1228="EUR",((T1228-R1228)*Y1228)*U1228+(R1228*Y1228),(T1228*Y1228))</f>
        <v>0</v>
      </c>
      <c r="AC1228" s="37" t="b">
        <v>1</v>
      </c>
      <c r="AD1228" s="61" t="s">
        <v>38</v>
      </c>
      <c r="AE1228" s="83" t="s">
        <v>38</v>
      </c>
      <c r="AF1228" s="37" t="str">
        <f t="array" ref="AF1228">INDEX('Deal Info'!D:D, MATCH(A1228,'Deal Info'!A:A, 0))</f>
        <v>DoEVold</v>
      </c>
      <c r="AG1228" s="38" t="str">
        <f t="array" ref="AG1228">INDEX('Deal Info'!G:G, MATCH(A1228,'Deal Info'!A:A, 0))</f>
        <v>None</v>
      </c>
    </row>
    <row r="1229" spans="1:33" ht="14.25" x14ac:dyDescent="0.2">
      <c r="A1229" s="18" t="str">
        <f t="array" ref="A1229">IF(G1229='Room Info'!$B$1, INDEX('Room Info'!$A$2:$A2446, MATCH(B1229,'Room Info'!$B$2:$B2446, 0)),IF(G1229='Room Info'!$C$1, INDEX('Room Info'!$A$2:$A2446, MATCH(B1229,'Room Info'!$C$2:$C2446, 0)),IF(G1229='Room Info'!$D$1, INDEX('Room Info'!$A$2:$A2446, MATCH(B1229,'Room Info'!$D$2:$D2446, 0)),IF(G1229='Room Info'!$E$1, INDEX('Room Info'!$A$2:$A2446, MATCH(B1229,'Room Info'!$E$2:$E2446, 0)),IF(G1229='Room Info'!$F$1, INDEX('Room Info'!$A$2:$A2446, MATCH(B1229,'Room Info'!$F$2:$F2446, 0)),IF(G1229='Room Info'!$H$1, INDEX('Room Info'!$A$2:$A2446, MATCH(B1229,'Room Info'!$H$2:$H2446, 0)),IF(G1229='Room Info'!$G$1, INDEX('Room Info'!$A$2:$A2446, MATCH(B1229,'Room Info'!$G$2:$G2446, 0)))))))))</f>
        <v>fortunate773</v>
      </c>
      <c r="B1229" s="45" t="s">
        <v>95</v>
      </c>
      <c r="C1229" s="111">
        <v>44916</v>
      </c>
      <c r="D1229" s="111">
        <v>44957</v>
      </c>
      <c r="E1229" s="47">
        <v>44927</v>
      </c>
      <c r="F1229" s="129" t="s">
        <v>41</v>
      </c>
      <c r="G1229" s="65" t="s">
        <v>61</v>
      </c>
      <c r="H1229" s="49" t="s">
        <v>134</v>
      </c>
      <c r="I1229" s="49" t="s">
        <v>68</v>
      </c>
      <c r="J1229" s="50">
        <v>250</v>
      </c>
      <c r="K1229" s="123">
        <v>0</v>
      </c>
      <c r="L1229" s="113">
        <v>0</v>
      </c>
      <c r="M1229" s="62">
        <v>750</v>
      </c>
      <c r="N1229" s="28">
        <f>K1229*J1229</f>
        <v>0</v>
      </c>
      <c r="O1229" s="65">
        <v>0</v>
      </c>
      <c r="P1229" s="29" t="s">
        <v>334</v>
      </c>
      <c r="Q1229" s="55"/>
      <c r="R1229" s="31">
        <f>M1229+Q1229</f>
        <v>750</v>
      </c>
      <c r="S1229" s="66"/>
      <c r="T1229" s="32">
        <f>R1229+S1229+IF(F1229="Without EV deal",L1229,0)</f>
        <v>750</v>
      </c>
      <c r="U1229" s="57">
        <v>1</v>
      </c>
      <c r="V1229" s="69"/>
      <c r="W1229" s="69"/>
      <c r="X1229" s="30">
        <f>IF(AF1229="DoEV",IF(AND(V1229&lt;20,W1229&lt;55),0.3,0)+IF(AND(V1229&lt;20,W1229&gt;=55,W1229&lt;105),0.23,0)+IF(AND(V1229&lt;20,W1229&gt;=105),0.17,0)+IF(AND(V1229&gt;=20,V1229&lt;40,W1229&lt;45),0.3,0)+IF(AND(V1229&gt;=20,V1229&lt;40,W1229&gt;=45,W1229&lt;95),0.23,0)+IF(AND(V1229&gt;=20,V1229&lt;40,W1229&gt;=95),0.17,0)+IF(AND(V1229&gt;=40,V1229&lt;75,W1229&lt;35),0.3,0)+IF(AND(V1229&gt;=40,V1229&lt;75,W1229&gt;=35,W1229&lt;75),0.23,0)+IF(AND(V1229&gt;=40,V1229&lt;75,W1229&gt;=75,W1229&lt;120),0.17,0)+IF(AND(V1229&gt;=40,V1229&lt;75,W1229&gt;=120),0.12,0)+IF(AND(V1229&gt;=75,V1229&lt;175,W1229&lt;35),0.3,0)+IF(AND(V1229&gt;=75,V1229&lt;=175,W1229&gt;=35,W1229&lt;65),0.23,0)+IF(AND(V1229&gt;=75,V1229&lt;=175,W1229&gt;=65,W1229&lt;110),0.17,0)+IF(AND(V1229&gt;=75,V1229&lt;=175,W1229&gt;=110),0.12,0)+IF(AND(V1229&gt;175,W1229&lt;25),0.3,0)+IF(AND(V1229&gt;175,W1229&gt;=25,W1229&lt;55),0.23,0)+IF(AND(V1229&gt;175,W1229&gt;=55,W1229&lt;95),0.17,0)+IF(AND(V1229&gt;175,W1229&gt;=95),0.12,0),
IF(AF1229="Fix15",0.15,
IF(AF1229="Fix11.25",0.1125,
IF(AF1229="Fix10",0.1,
IF(AF1229="Fix9",0.09,
IF(AF1229="DoEV2017",IF(AND(W1229&lt;74),0.2,0)+IF(AND(W1229&gt;=74),0.17,0),
IF(AF1229="SF",IF(AND(V1229&lt;20,W1229&lt;89),0.3,0)+IF(AND(V1229&lt;20,W1229&gt;=89),0.25,0)+IF(AND(V1229&gt;=20,V1229&lt;40,W1229&lt;74),0.3,0)+IF(AND(V1229&gt;=20,V1229&lt;40,W1229&gt;=75),0.22,0)+IF(AND(V1229&gt;=40,V1229&lt;75,W1229&lt;75),0.26,0)+IF(AND(V1229&gt;=40,V1229&lt;75,W1229&gt;=75),0.22,0)+IF(V1229&gt;=75,0.22,0),
IF(AF1229="DoEVold",IF(AND(V1229&lt;40,W1229&lt;35),0.35,0)+IF(AND(V1229&lt;40,W1229&gt;=35,W1229&lt;75),0.25,0)+IF(AND(V1229&lt;40,W1229&gt;=75),0.17,0)+IF(AND(V1229&gt;=40,V1229&lt;75,W1229&lt;25),0.35,0)+IF(AND(V1229&gt;=40,V1229&lt;75,W1229&gt;=25,W1229&lt;65),0.25,0)+IF(AND(V1229&gt;=40,V1229&lt;75,W1229&gt;=65,W1229&lt;100),0.17,0)+IF(AND(V1229&gt;=40,V1229&lt;75,W1229&gt;=100),0.1,0)+IF(AND(V1229&gt;=75,W1229&lt;25),0.35,0)+IF(AND(V1229&gt;=75,W1229&gt;=25,W1229&lt;60),0.25,0)+IF(AND(V1229&gt;=75,W1229&gt;=60,W1229&lt;95),0.17,0)+IF(AND(V1229&gt;=75,W1229&gt;=95),0.1,0),
IF(AF1229="DoEVold15",IF(AND(V1229&lt;=40,W1229&lt;35),0.35,0)+IF(AND(V1229&lt;=40,W1229&gt;=35,W1229&lt;75),0.25,0)+IF(AND(V1229&lt;=40,W1229&gt;=75,W1229&lt;120),0.17,0)+IF(AND(V1229&lt;=40,W1229&gt;=120),0.15,0)+IF(AND(V1229&gt;40,V1229&lt;75,W1229&lt;25),0.35,0)+IF(AND(V1229&gt;=40,V1229&lt;75,W1229&gt;=25,W1229&lt;65),0.25,0)+IF(AND(V1229&gt;=40,V1229&lt;75,W1229&gt;=65,W1229&lt;100),0.17,0)+IF(AND(V1229&gt;=40,V1229&lt;75,W1229&gt;=100),0.1,0)+IF(AND(V1229&gt;=75,W1229&lt;25),0.35,0)+IF(AND(V1229&gt;=75,W1229&gt;=25,W1229&lt;60),0.25,0)+IF(AND(V1229&gt;=75,W1229&gt;=60,W1229&lt;95),0.17,0)+IF(AND(V1229&gt;=75,W1229&gt;=95),0.1,0),
IF(AF1229="DoEVba",IF(AND(V1229&lt;20,W1229&lt;105),0.2,0)+IF(AND(V1229&lt;20,W1229&gt;=105),0.15,0)+IF(AND(V1229&gt;=20,V1229&lt;40,W1229&lt;95),0.2,0)+IF(AND(V1229&gt;=20,V1229&lt;40,W1229&gt;=95,W1229&lt;150),0.15,0)+IF(AND(V1229&gt;=20,V1229&lt;40,W1229&gt;=150),0.12,0)+IF(AND(V1229&gt;=40,V1229&lt;75,W1229&lt;75),0.2,0)+IF(AND(V1229&gt;=40,V1229&lt;75,W1229&gt;=75,W1229&lt;120),0.15,0)+IF(AND(V1229&gt;=40,V1229&lt;75,W1229&gt;=120),0.12,0)+IF(AND(V1229&gt;=75,V1229&lt;175,W1229&lt;65),0.2,0)+IF(AND(V1229&gt;=75,V1229&lt;175,W1229&gt;=65,W1229&lt;110),0.15,0)+IF(AND(V1229&gt;=75,V1229&lt;175,W1229&gt;=110),0.12,0)+IF(AND(V1229&gt;=175,W1229&lt;55),0.2,0)+IF(AND(V1229&gt;=175,W1229&gt;=55,W1229&lt;95),0.15,0)+IF(AND(V1229&gt;=175,W1229&gt;=95),0.12,0),
IF(AF1229="DoEVku",IF(AND(V1229&lt;20,W1229&lt;55),0.23,0)+IF(AND(V1229&lt;20,W1229&gt;=55,W1229&lt;105),0.2,0)+IF(AND(V1229&lt;20,W1229&gt;=105),0.17,0)+IF(AND(V1229&gt;=20,V1229&lt;40,W1229&lt;45),0.23,0)+IF(AND(V1229&gt;=20,V1229&lt;40,W1229&gt;=45,W1229&lt;95),0.2,0)+IF(AND(V1229&gt;=20,V1229&lt;40,W1229&gt;=95,W1229&lt;=150),0.17,0)+IF(AND(V1229&gt;=20,V1229&lt;40,W1229&gt;=150),0.12,0)+IF(AND(V1229&gt;=40,V1229&lt;75,W1229&lt;35),0.23,0)+IF(AND(V1229&gt;=40,V1229&lt;75,W1229&gt;=35,W1229&lt;75),0.2,0)+IF(AND(V1229&gt;=40,V1229&lt;75,W1229&gt;=75,W1229&lt;120),0.17,0)+IF(AND(V1229&gt;=40,V1229&lt;75,W1229&gt;=120),0.12,0)+IF(AND(V1229&gt;=75,V1229&lt;175,W1229&lt;35),0.23,0)+IF(AND(V1229&gt;=75,V1229&lt;=175,W1229&gt;=35,W1229&lt;65),0.2,0)+IF(AND(V1229&gt;=75,V1229&lt;=175,W1229&gt;=65,W1229&lt;110),0.17,0)+IF(AND(V1229&gt;=75,V1229&lt;=175,W1229&gt;=110),0.12,0)+IF(AND(V1229&gt;175,W1229&lt;25),0.23,0)+IF(AND(V1229&gt;175,W1229&gt;=25,W1229&lt;55),0.2,0)+IF(AND(V1229&gt;175,W1229&gt;=55,W1229&lt;95),0.17,0)+IF(AND(V1229&gt;175,W1229&gt;=95),0.12,0),
IF(AF1229="DoEVs1",IF(AND(V1229&lt;20,W1229&lt;55),0.3,0)+IF(AND(V1229&lt;20,W1229&gt;=55,W1229&lt;105),0.23,0)+IF(AND(V1229&lt;20,W1229&gt;=105),0.17,0)+IF(AND(V1229&gt;=20,V1229&lt;40,W1229&lt;45),0.3,0)+IF(AND(V1229&gt;=20,V1229&lt;40,W1229&gt;=45,W1229&lt;95),0.23,0)+IF(AND(V1229&gt;=20,V1229&lt;40,W1229&gt;=95,W1229&lt;=150),0.17,0)+IF(AND(V1229&gt;=20,V1229&lt;40,W1229&gt;=150),0.12,0)+IF(AND(V1229&gt;=40,V1229&lt;75,W1229&lt;35),0.3,0)+IF(AND(V1229&gt;=40,V1229&lt;75,W1229&gt;=35,W1229&lt;75),0.23,0)+IF(AND(V1229&gt;=40,V1229&lt;75,W1229&gt;=75,W1229&lt;120),0.17,0)+IF(AND(V1229&gt;=40,V1229&lt;75,W1229&gt;=120),0.12,0)+IF(AND(V1229&gt;=75,V1229&lt;175,W1229&lt;35),0.3,0)+IF(AND(V1229&gt;=75,V1229&lt;=175,W1229&gt;=35,W1229&lt;65),0.23,0)+IF(AND(V1229&gt;=75,V1229&lt;=175,W1229&gt;=65,W1229&lt;110),0.17,0)+IF(AND(V1229&gt;=75,V1229&lt;=175,W1229&gt;=110),0.12,0)+IF(AND(V1229&gt;175,W1229&lt;25),0.3,0)+IF(AND(V1229&gt;175,W1229&gt;=25,W1229&lt;55),0.23,0)+IF(AND(V1229&gt;175,W1229&gt;=55,W1229&lt;95),0.17,0)+IF(AND(V1229&gt;175,W1229&gt;=95),0.12,0),
IF(AF1229="DoEVsu",IF(AND(V1229&lt;20,W1229&lt;55),0.3,0)+IF(AND(V1229&lt;20,W1229&gt;=55,W1229&lt;105),0.23,0)+IF(AND(V1229&lt;20,W1229&gt;=105),0.17,0)+IF(AND(V1229&gt;=20,V1229&lt;40,W1229&lt;45),0.3,0)+IF(AND(V1229&gt;=20,V1229&lt;40,W1229&gt;=45,W1229&lt;95),0.23,0)+IF(AND(V1229&gt;=20,V1229&lt;40,W1229&gt;=95,W1229&lt;=250),0.17,0)+IF(AND(V1229&gt;=20,V1229&lt;40,W1229&gt;=250),0.12,0)+IF(AND(V1229&gt;=40,V1229&lt;75,W1229&lt;35),0.3,0)+IF(AND(V1229&gt;=40,V1229&lt;75,W1229&gt;=35,W1229&lt;75),0.23,0)+IF(AND(V1229&gt;=40,V1229&lt;75,W1229&gt;=75,W1229&lt;120),0.17,0)+IF(AND(V1229&gt;=40,V1229&lt;75,W1229&gt;=120),0.12,0)+IF(AND(V1229&gt;=75,V1229&lt;175,W1229&lt;35),0.3,0)+IF(AND(V1229&gt;=75,V1229&lt;=175,W1229&gt;=35,W1229&lt;65),0.23,0)+IF(AND(V1229&gt;=75,V1229&lt;=175,W1229&gt;=65,W1229&lt;110),0.17,0)+IF(AND(V1229&gt;=75,V1229&lt;=175,W1229&gt;=110),0.12,0)+IF(AND(V1229&gt;175,W1229&lt;25),0.3,0)+IF(AND(V1229&gt;175,W1229&gt;=25,W1229&lt;55),0.23,0)+IF(AND(V1229&gt;175,W1229&gt;=55,W1229&lt;95),0.17,0)+IF(AND(V1229&gt;175,W1229&gt;=95),0.12,0),
IF(AF1229="DoEVni",IF(AND(V1229&lt;20,W1229&lt;55),0.3,0)+IF(AND(V1229&lt;20,W1229&gt;=55,W1229&lt;105),0.23,0)+IF(AND(V1229&lt;20,W1229&gt;=105),0.17,0)+IF(AND(V1229&gt;=20,V1229&lt;40,W1229&lt;45),0.3,0)+IF(AND(V1229&gt;=20,V1229&lt;40,W1229&gt;=45,W1229&lt;95),0.23,0)+IF(AND(V1229&gt;=20,V1229&lt;40,W1229&gt;=95,W1229&lt;=200),0.17,0)+IF(AND(V1229&gt;=20,V1229&lt;40,W1229&gt;=200),0.12,0)+IF(AND(V1229&gt;=40,V1229&lt;75,W1229&lt;35),0.3,0)+IF(AND(V1229&gt;=40,V1229&lt;75,W1229&gt;=35,W1229&lt;75),0.23,0)+IF(AND(V1229&gt;=40,V1229&lt;75,W1229&gt;=75,W1229&lt;120),0.17,0)+IF(AND(V1229&gt;=40,V1229&lt;75,W1229&gt;=120),0.12,0)+IF(AND(V1229&gt;=75,V1229&lt;175,W1229&lt;35),0.3,0)+IF(AND(V1229&gt;=75,V1229&lt;=175,W1229&gt;=35,W1229&lt;65),0.23,0)+IF(AND(V1229&gt;=75,V1229&lt;=175,W1229&gt;=65,W1229&lt;110),0.17,0)+IF(AND(V1229&gt;=75,V1229&lt;=175,W1229&gt;=110),0.12,0)+IF(AND(V1229&gt;175,W1229&lt;25),0.3,0)+IF(AND(V1229&gt;175,W1229&gt;=25,W1229&lt;55),0.23,0)+IF(AND(V1229&gt;175,W1229&gt;=55,W1229&lt;95),0.17,0)+IF(AND(V1229&gt;175,W1229&gt;=95),0.12,0),
IF(AF1229="DoEVLo",IF(AND(V1229&lt;20,W1229&lt;55),0.25,0)+IF(AND(V1229&lt;20,W1229&gt;=55,W1229&lt;105),0.2,0)+IF(AND(V1229&lt;20,W1229&gt;=105),0.15,0)+IF(AND(V1229&gt;=20,V1229&lt;40,W1229&lt;45),0.25,0)+IF(AND(V1229&gt;=20,V1229&lt;40,W1229&gt;=45,W1229&lt;95),0.2,0)+IF(AND(V1229&gt;=20,V1229&lt;40,W1229&gt;=95),0.15,0)+IF(AND(V1229&gt;=40,V1229&lt;75,W1229&lt;35),0.25,0)+IF(AND(V1229&gt;=40,V1229&lt;75,W1229&gt;=35,W1229&lt;75),0.2,0)+IF(AND(V1229&gt;=40,V1229&lt;75,W1229&gt;=75,W1229&lt;120),0.15,0)+IF(AND(V1229&gt;=40,V1229&lt;75,W1229&gt;=120),0.1,0)+IF(AND(V1229&gt;=75,V1229&lt;175,W1229&lt;35),0.25,0)+IF(AND(V1229&gt;=75,V1229&lt;=175,W1229&gt;=35,W1229&lt;65),0.2,0)+IF(AND(V1229&gt;=75,V1229&lt;=175,W1229&gt;=65,W1229&lt;110),0.15,0)+IF(AND(V1229&gt;=75,V1229&lt;=175,W1229&gt;=110),0.1,0)+IF(AND(V1229&gt;175,W1229&lt;25),0.25,0)+IF(AND(V1229&gt;175,W1229&gt;=25,W1229&lt;55),0.2,0)+IF(AND(V1229&gt;175,W1229&gt;=55,W1229&lt;95),0.15,0)+IF(AND(V1229&gt;175,W1229&gt;=95),0.1,0))))))))))))))))</f>
        <v>0.15</v>
      </c>
      <c r="Y1229" s="30">
        <f>IF(AG1229="None",0,IF(AG1229="Fix5",0.05,IF(AG1229="Fix3.75",0.0375,IF(AG1229="Fix10",0.1,IF(AG1229="Fix3",0.03,0)))))</f>
        <v>0.05</v>
      </c>
      <c r="Z1229" s="35">
        <v>600</v>
      </c>
      <c r="AA1229" s="29">
        <v>150</v>
      </c>
      <c r="AB1229" s="36"/>
      <c r="AC1229" s="37" t="b">
        <v>0</v>
      </c>
      <c r="AD1229" s="61" t="s">
        <v>50</v>
      </c>
      <c r="AE1229" s="61"/>
      <c r="AF1229" s="37" t="str">
        <f t="array" ref="AF1229">INDEX('Deal Info'!D:D, MATCH(A1229,'Deal Info'!A:A, 0))</f>
        <v>Fix15</v>
      </c>
      <c r="AG1229" s="38" t="str">
        <f t="array" ref="AG1229">INDEX('Deal Info'!G:G, MATCH(A1229,'Deal Info'!A:A, 0))</f>
        <v>Fix5</v>
      </c>
    </row>
    <row r="1230" spans="1:33" ht="14.25" x14ac:dyDescent="0.2">
      <c r="A1230" s="18" t="str">
        <f t="array" ref="A1230">IF(G1230='Room Info'!$B$1, INDEX('Room Info'!$A$2:$A2446, MATCH(B1230,'Room Info'!$B$2:$B2446, 0)),IF(G1230='Room Info'!$C$1, INDEX('Room Info'!$A$2:$A2446, MATCH(B1230,'Room Info'!$C$2:$C2446, 0)),IF(G1230='Room Info'!$D$1, INDEX('Room Info'!$A$2:$A2446, MATCH(B1230,'Room Info'!$D$2:$D2446, 0)),IF(G1230='Room Info'!$E$1, INDEX('Room Info'!$A$2:$A2446, MATCH(B1230,'Room Info'!$E$2:$E2446, 0)),IF(G1230='Room Info'!$F$1, INDEX('Room Info'!$A$2:$A2446, MATCH(B1230,'Room Info'!$F$2:$F2446, 0)),IF(G1230='Room Info'!$H$1, INDEX('Room Info'!$A$2:$A2446, MATCH(B1230,'Room Info'!$H$2:$H2446, 0)),IF(G1230='Room Info'!$G$1, INDEX('Room Info'!$A$2:$A2446, MATCH(B1230,'Room Info'!$G$2:$G2446, 0)))))))))</f>
        <v>fortunate773</v>
      </c>
      <c r="B1230" s="45" t="s">
        <v>95</v>
      </c>
      <c r="C1230" s="111">
        <v>44916</v>
      </c>
      <c r="D1230" s="111">
        <v>44957</v>
      </c>
      <c r="E1230" s="47">
        <v>44927</v>
      </c>
      <c r="F1230" s="48" t="s">
        <v>49</v>
      </c>
      <c r="G1230" s="45" t="s">
        <v>61</v>
      </c>
      <c r="H1230" s="49" t="s">
        <v>135</v>
      </c>
      <c r="I1230" s="49" t="s">
        <v>101</v>
      </c>
      <c r="J1230" s="70">
        <v>250</v>
      </c>
      <c r="K1230" s="71">
        <v>2168</v>
      </c>
      <c r="L1230" s="113">
        <v>-750</v>
      </c>
      <c r="M1230" s="62">
        <v>26599</v>
      </c>
      <c r="N1230" s="28">
        <f>K1230*J1230</f>
        <v>542000</v>
      </c>
      <c r="O1230" s="65">
        <v>17698</v>
      </c>
      <c r="P1230" s="29">
        <v>8.1632841329999994</v>
      </c>
      <c r="Q1230" s="55"/>
      <c r="R1230" s="31">
        <f>M1230+Q1230</f>
        <v>26599</v>
      </c>
      <c r="S1230" s="66">
        <v>-33107</v>
      </c>
      <c r="T1230" s="32">
        <f>R1230+S1230+IF(F1230="Without EV deal",L1230,0)</f>
        <v>-6508</v>
      </c>
      <c r="U1230" s="57">
        <v>1</v>
      </c>
      <c r="V1230" s="69"/>
      <c r="W1230" s="69"/>
      <c r="X1230" s="30">
        <f>IF(AF1230="DoEV",IF(AND(V1230&lt;20,W1230&lt;55),0.3,0)+IF(AND(V1230&lt;20,W1230&gt;=55,W1230&lt;105),0.23,0)+IF(AND(V1230&lt;20,W1230&gt;=105),0.17,0)+IF(AND(V1230&gt;=20,V1230&lt;40,W1230&lt;45),0.3,0)+IF(AND(V1230&gt;=20,V1230&lt;40,W1230&gt;=45,W1230&lt;95),0.23,0)+IF(AND(V1230&gt;=20,V1230&lt;40,W1230&gt;=95),0.17,0)+IF(AND(V1230&gt;=40,V1230&lt;75,W1230&lt;35),0.3,0)+IF(AND(V1230&gt;=40,V1230&lt;75,W1230&gt;=35,W1230&lt;75),0.23,0)+IF(AND(V1230&gt;=40,V1230&lt;75,W1230&gt;=75,W1230&lt;120),0.17,0)+IF(AND(V1230&gt;=40,V1230&lt;75,W1230&gt;=120),0.12,0)+IF(AND(V1230&gt;=75,V1230&lt;175,W1230&lt;35),0.3,0)+IF(AND(V1230&gt;=75,V1230&lt;=175,W1230&gt;=35,W1230&lt;65),0.23,0)+IF(AND(V1230&gt;=75,V1230&lt;=175,W1230&gt;=65,W1230&lt;110),0.17,0)+IF(AND(V1230&gt;=75,V1230&lt;=175,W1230&gt;=110),0.12,0)+IF(AND(V1230&gt;175,W1230&lt;25),0.3,0)+IF(AND(V1230&gt;175,W1230&gt;=25,W1230&lt;55),0.23,0)+IF(AND(V1230&gt;175,W1230&gt;=55,W1230&lt;95),0.17,0)+IF(AND(V1230&gt;175,W1230&gt;=95),0.12,0),
IF(AF1230="Fix15",0.15,
IF(AF1230="Fix11.25",0.1125,
IF(AF1230="Fix10",0.1,
IF(AF1230="Fix9",0.09,
IF(AF1230="DoEV2017",IF(AND(W1230&lt;74),0.2,0)+IF(AND(W1230&gt;=74),0.17,0),
IF(AF1230="SF",IF(AND(V1230&lt;20,W1230&lt;89),0.3,0)+IF(AND(V1230&lt;20,W1230&gt;=89),0.25,0)+IF(AND(V1230&gt;=20,V1230&lt;40,W1230&lt;74),0.3,0)+IF(AND(V1230&gt;=20,V1230&lt;40,W1230&gt;=75),0.22,0)+IF(AND(V1230&gt;=40,V1230&lt;75,W1230&lt;75),0.26,0)+IF(AND(V1230&gt;=40,V1230&lt;75,W1230&gt;=75),0.22,0)+IF(V1230&gt;=75,0.22,0),
IF(AF1230="DoEVold",IF(AND(V1230&lt;40,W1230&lt;35),0.35,0)+IF(AND(V1230&lt;40,W1230&gt;=35,W1230&lt;75),0.25,0)+IF(AND(V1230&lt;40,W1230&gt;=75),0.17,0)+IF(AND(V1230&gt;=40,V1230&lt;75,W1230&lt;25),0.35,0)+IF(AND(V1230&gt;=40,V1230&lt;75,W1230&gt;=25,W1230&lt;65),0.25,0)+IF(AND(V1230&gt;=40,V1230&lt;75,W1230&gt;=65,W1230&lt;100),0.17,0)+IF(AND(V1230&gt;=40,V1230&lt;75,W1230&gt;=100),0.1,0)+IF(AND(V1230&gt;=75,W1230&lt;25),0.35,0)+IF(AND(V1230&gt;=75,W1230&gt;=25,W1230&lt;60),0.25,0)+IF(AND(V1230&gt;=75,W1230&gt;=60,W1230&lt;95),0.17,0)+IF(AND(V1230&gt;=75,W1230&gt;=95),0.1,0),
IF(AF1230="DoEVold15",IF(AND(V1230&lt;=40,W1230&lt;35),0.35,0)+IF(AND(V1230&lt;=40,W1230&gt;=35,W1230&lt;75),0.25,0)+IF(AND(V1230&lt;=40,W1230&gt;=75,W1230&lt;120),0.17,0)+IF(AND(V1230&lt;=40,W1230&gt;=120),0.15,0)+IF(AND(V1230&gt;40,V1230&lt;75,W1230&lt;25),0.35,0)+IF(AND(V1230&gt;=40,V1230&lt;75,W1230&gt;=25,W1230&lt;65),0.25,0)+IF(AND(V1230&gt;=40,V1230&lt;75,W1230&gt;=65,W1230&lt;100),0.17,0)+IF(AND(V1230&gt;=40,V1230&lt;75,W1230&gt;=100),0.1,0)+IF(AND(V1230&gt;=75,W1230&lt;25),0.35,0)+IF(AND(V1230&gt;=75,W1230&gt;=25,W1230&lt;60),0.25,0)+IF(AND(V1230&gt;=75,W1230&gt;=60,W1230&lt;95),0.17,0)+IF(AND(V1230&gt;=75,W1230&gt;=95),0.1,0),
IF(AF1230="DoEVba",IF(AND(V1230&lt;20,W1230&lt;105),0.2,0)+IF(AND(V1230&lt;20,W1230&gt;=105),0.15,0)+IF(AND(V1230&gt;=20,V1230&lt;40,W1230&lt;95),0.2,0)+IF(AND(V1230&gt;=20,V1230&lt;40,W1230&gt;=95,W1230&lt;150),0.15,0)+IF(AND(V1230&gt;=20,V1230&lt;40,W1230&gt;=150),0.12,0)+IF(AND(V1230&gt;=40,V1230&lt;75,W1230&lt;75),0.2,0)+IF(AND(V1230&gt;=40,V1230&lt;75,W1230&gt;=75,W1230&lt;120),0.15,0)+IF(AND(V1230&gt;=40,V1230&lt;75,W1230&gt;=120),0.12,0)+IF(AND(V1230&gt;=75,V1230&lt;175,W1230&lt;65),0.2,0)+IF(AND(V1230&gt;=75,V1230&lt;175,W1230&gt;=65,W1230&lt;110),0.15,0)+IF(AND(V1230&gt;=75,V1230&lt;175,W1230&gt;=110),0.12,0)+IF(AND(V1230&gt;=175,W1230&lt;55),0.2,0)+IF(AND(V1230&gt;=175,W1230&gt;=55,W1230&lt;95),0.15,0)+IF(AND(V1230&gt;=175,W1230&gt;=95),0.12,0),
IF(AF1230="DoEVku",IF(AND(V1230&lt;20,W1230&lt;55),0.23,0)+IF(AND(V1230&lt;20,W1230&gt;=55,W1230&lt;105),0.2,0)+IF(AND(V1230&lt;20,W1230&gt;=105),0.17,0)+IF(AND(V1230&gt;=20,V1230&lt;40,W1230&lt;45),0.23,0)+IF(AND(V1230&gt;=20,V1230&lt;40,W1230&gt;=45,W1230&lt;95),0.2,0)+IF(AND(V1230&gt;=20,V1230&lt;40,W1230&gt;=95,W1230&lt;=150),0.17,0)+IF(AND(V1230&gt;=20,V1230&lt;40,W1230&gt;=150),0.12,0)+IF(AND(V1230&gt;=40,V1230&lt;75,W1230&lt;35),0.23,0)+IF(AND(V1230&gt;=40,V1230&lt;75,W1230&gt;=35,W1230&lt;75),0.2,0)+IF(AND(V1230&gt;=40,V1230&lt;75,W1230&gt;=75,W1230&lt;120),0.17,0)+IF(AND(V1230&gt;=40,V1230&lt;75,W1230&gt;=120),0.12,0)+IF(AND(V1230&gt;=75,V1230&lt;175,W1230&lt;35),0.23,0)+IF(AND(V1230&gt;=75,V1230&lt;=175,W1230&gt;=35,W1230&lt;65),0.2,0)+IF(AND(V1230&gt;=75,V1230&lt;=175,W1230&gt;=65,W1230&lt;110),0.17,0)+IF(AND(V1230&gt;=75,V1230&lt;=175,W1230&gt;=110),0.12,0)+IF(AND(V1230&gt;175,W1230&lt;25),0.23,0)+IF(AND(V1230&gt;175,W1230&gt;=25,W1230&lt;55),0.2,0)+IF(AND(V1230&gt;175,W1230&gt;=55,W1230&lt;95),0.17,0)+IF(AND(V1230&gt;175,W1230&gt;=95),0.12,0),
IF(AF1230="DoEVs1",IF(AND(V1230&lt;20,W1230&lt;55),0.3,0)+IF(AND(V1230&lt;20,W1230&gt;=55,W1230&lt;105),0.23,0)+IF(AND(V1230&lt;20,W1230&gt;=105),0.17,0)+IF(AND(V1230&gt;=20,V1230&lt;40,W1230&lt;45),0.3,0)+IF(AND(V1230&gt;=20,V1230&lt;40,W1230&gt;=45,W1230&lt;95),0.23,0)+IF(AND(V1230&gt;=20,V1230&lt;40,W1230&gt;=95,W1230&lt;=150),0.17,0)+IF(AND(V1230&gt;=20,V1230&lt;40,W1230&gt;=150),0.12,0)+IF(AND(V1230&gt;=40,V1230&lt;75,W1230&lt;35),0.3,0)+IF(AND(V1230&gt;=40,V1230&lt;75,W1230&gt;=35,W1230&lt;75),0.23,0)+IF(AND(V1230&gt;=40,V1230&lt;75,W1230&gt;=75,W1230&lt;120),0.17,0)+IF(AND(V1230&gt;=40,V1230&lt;75,W1230&gt;=120),0.12,0)+IF(AND(V1230&gt;=75,V1230&lt;175,W1230&lt;35),0.3,0)+IF(AND(V1230&gt;=75,V1230&lt;=175,W1230&gt;=35,W1230&lt;65),0.23,0)+IF(AND(V1230&gt;=75,V1230&lt;=175,W1230&gt;=65,W1230&lt;110),0.17,0)+IF(AND(V1230&gt;=75,V1230&lt;=175,W1230&gt;=110),0.12,0)+IF(AND(V1230&gt;175,W1230&lt;25),0.3,0)+IF(AND(V1230&gt;175,W1230&gt;=25,W1230&lt;55),0.23,0)+IF(AND(V1230&gt;175,W1230&gt;=55,W1230&lt;95),0.17,0)+IF(AND(V1230&gt;175,W1230&gt;=95),0.12,0),
IF(AF1230="DoEVsu",IF(AND(V1230&lt;20,W1230&lt;55),0.3,0)+IF(AND(V1230&lt;20,W1230&gt;=55,W1230&lt;105),0.23,0)+IF(AND(V1230&lt;20,W1230&gt;=105),0.17,0)+IF(AND(V1230&gt;=20,V1230&lt;40,W1230&lt;45),0.3,0)+IF(AND(V1230&gt;=20,V1230&lt;40,W1230&gt;=45,W1230&lt;95),0.23,0)+IF(AND(V1230&gt;=20,V1230&lt;40,W1230&gt;=95,W1230&lt;=250),0.17,0)+IF(AND(V1230&gt;=20,V1230&lt;40,W1230&gt;=250),0.12,0)+IF(AND(V1230&gt;=40,V1230&lt;75,W1230&lt;35),0.3,0)+IF(AND(V1230&gt;=40,V1230&lt;75,W1230&gt;=35,W1230&lt;75),0.23,0)+IF(AND(V1230&gt;=40,V1230&lt;75,W1230&gt;=75,W1230&lt;120),0.17,0)+IF(AND(V1230&gt;=40,V1230&lt;75,W1230&gt;=120),0.12,0)+IF(AND(V1230&gt;=75,V1230&lt;175,W1230&lt;35),0.3,0)+IF(AND(V1230&gt;=75,V1230&lt;=175,W1230&gt;=35,W1230&lt;65),0.23,0)+IF(AND(V1230&gt;=75,V1230&lt;=175,W1230&gt;=65,W1230&lt;110),0.17,0)+IF(AND(V1230&gt;=75,V1230&lt;=175,W1230&gt;=110),0.12,0)+IF(AND(V1230&gt;175,W1230&lt;25),0.3,0)+IF(AND(V1230&gt;175,W1230&gt;=25,W1230&lt;55),0.23,0)+IF(AND(V1230&gt;175,W1230&gt;=55,W1230&lt;95),0.17,0)+IF(AND(V1230&gt;175,W1230&gt;=95),0.12,0),
IF(AF1230="DoEVni",IF(AND(V1230&lt;20,W1230&lt;55),0.3,0)+IF(AND(V1230&lt;20,W1230&gt;=55,W1230&lt;105),0.23,0)+IF(AND(V1230&lt;20,W1230&gt;=105),0.17,0)+IF(AND(V1230&gt;=20,V1230&lt;40,W1230&lt;45),0.3,0)+IF(AND(V1230&gt;=20,V1230&lt;40,W1230&gt;=45,W1230&lt;95),0.23,0)+IF(AND(V1230&gt;=20,V1230&lt;40,W1230&gt;=95,W1230&lt;=200),0.17,0)+IF(AND(V1230&gt;=20,V1230&lt;40,W1230&gt;=200),0.12,0)+IF(AND(V1230&gt;=40,V1230&lt;75,W1230&lt;35),0.3,0)+IF(AND(V1230&gt;=40,V1230&lt;75,W1230&gt;=35,W1230&lt;75),0.23,0)+IF(AND(V1230&gt;=40,V1230&lt;75,W1230&gt;=75,W1230&lt;120),0.17,0)+IF(AND(V1230&gt;=40,V1230&lt;75,W1230&gt;=120),0.12,0)+IF(AND(V1230&gt;=75,V1230&lt;175,W1230&lt;35),0.3,0)+IF(AND(V1230&gt;=75,V1230&lt;=175,W1230&gt;=35,W1230&lt;65),0.23,0)+IF(AND(V1230&gt;=75,V1230&lt;=175,W1230&gt;=65,W1230&lt;110),0.17,0)+IF(AND(V1230&gt;=75,V1230&lt;=175,W1230&gt;=110),0.12,0)+IF(AND(V1230&gt;175,W1230&lt;25),0.3,0)+IF(AND(V1230&gt;175,W1230&gt;=25,W1230&lt;55),0.23,0)+IF(AND(V1230&gt;175,W1230&gt;=55,W1230&lt;95),0.17,0)+IF(AND(V1230&gt;175,W1230&gt;=95),0.12,0),
IF(AF1230="DoEVLo",IF(AND(V1230&lt;20,W1230&lt;55),0.25,0)+IF(AND(V1230&lt;20,W1230&gt;=55,W1230&lt;105),0.2,0)+IF(AND(V1230&lt;20,W1230&gt;=105),0.15,0)+IF(AND(V1230&gt;=20,V1230&lt;40,W1230&lt;45),0.25,0)+IF(AND(V1230&gt;=20,V1230&lt;40,W1230&gt;=45,W1230&lt;95),0.2,0)+IF(AND(V1230&gt;=20,V1230&lt;40,W1230&gt;=95),0.15,0)+IF(AND(V1230&gt;=40,V1230&lt;75,W1230&lt;35),0.25,0)+IF(AND(V1230&gt;=40,V1230&lt;75,W1230&gt;=35,W1230&lt;75),0.2,0)+IF(AND(V1230&gt;=40,V1230&lt;75,W1230&gt;=75,W1230&lt;120),0.15,0)+IF(AND(V1230&gt;=40,V1230&lt;75,W1230&gt;=120),0.1,0)+IF(AND(V1230&gt;=75,V1230&lt;175,W1230&lt;35),0.25,0)+IF(AND(V1230&gt;=75,V1230&lt;=175,W1230&gt;=35,W1230&lt;65),0.2,0)+IF(AND(V1230&gt;=75,V1230&lt;=175,W1230&gt;=65,W1230&lt;110),0.15,0)+IF(AND(V1230&gt;=75,V1230&lt;=175,W1230&gt;=110),0.1,0)+IF(AND(V1230&gt;175,W1230&lt;25),0.25,0)+IF(AND(V1230&gt;175,W1230&gt;=25,W1230&lt;55),0.2,0)+IF(AND(V1230&gt;175,W1230&gt;=55,W1230&lt;95),0.15,0)+IF(AND(V1230&gt;175,W1230&gt;=95),0.1,0))))))))))))))))</f>
        <v>0.15</v>
      </c>
      <c r="Y1230" s="30">
        <f>IF(AG1230="None",0,IF(AG1230="Fix5",0.05,IF(AG1230="Fix3.75",0.0375,IF(AG1230="Fix10",0.1,IF(AG1230="Fix3",0.03,0)))))</f>
        <v>0.05</v>
      </c>
      <c r="Z1230" s="35">
        <v>-5206</v>
      </c>
      <c r="AA1230" s="29">
        <v>-1302</v>
      </c>
      <c r="AB1230" s="36"/>
      <c r="AC1230" s="37" t="b">
        <v>0</v>
      </c>
      <c r="AD1230" s="61" t="s">
        <v>50</v>
      </c>
      <c r="AE1230" s="61"/>
      <c r="AF1230" s="37" t="str">
        <f t="array" ref="AF1230">INDEX('Deal Info'!D:D, MATCH(A1230,'Deal Info'!A:A, 0))</f>
        <v>Fix15</v>
      </c>
      <c r="AG1230" s="38" t="str">
        <f t="array" ref="AG1230">INDEX('Deal Info'!G:G, MATCH(A1230,'Deal Info'!A:A, 0))</f>
        <v>Fix5</v>
      </c>
    </row>
    <row r="1231" spans="1:33" ht="14.25" x14ac:dyDescent="0.2">
      <c r="A1231" s="18" t="str">
        <f t="array" ref="A1231">IF(G1231='Room Info'!$B$1, INDEX('Room Info'!$A$2:$A2446, MATCH(B1231,'Room Info'!$B$2:$B2446, 0)),IF(G1231='Room Info'!$C$1, INDEX('Room Info'!$A$2:$A2446, MATCH(B1231,'Room Info'!$C$2:$C2446, 0)),IF(G1231='Room Info'!$D$1, INDEX('Room Info'!$A$2:$A2446, MATCH(B1231,'Room Info'!$D$2:$D2446, 0)),IF(G1231='Room Info'!$E$1, INDEX('Room Info'!$A$2:$A2446, MATCH(B1231,'Room Info'!$E$2:$E2446, 0)),IF(G1231='Room Info'!$F$1, INDEX('Room Info'!$A$2:$A2446, MATCH(B1231,'Room Info'!$F$2:$F2446, 0)),IF(G1231='Room Info'!$H$1, INDEX('Room Info'!$A$2:$A2446, MATCH(B1231,'Room Info'!$H$2:$H2446, 0)),IF(G1231='Room Info'!$G$1, INDEX('Room Info'!$A$2:$A2446, MATCH(B1231,'Room Info'!$G$2:$G2446, 0)))))))))</f>
        <v>Lo4io</v>
      </c>
      <c r="B1231" s="45" t="s">
        <v>107</v>
      </c>
      <c r="C1231" s="92">
        <v>44916</v>
      </c>
      <c r="D1231" s="92">
        <v>44946</v>
      </c>
      <c r="E1231" s="47">
        <v>44927</v>
      </c>
      <c r="F1231" s="48" t="s">
        <v>34</v>
      </c>
      <c r="G1231" s="45" t="s">
        <v>61</v>
      </c>
      <c r="H1231" s="49" t="s">
        <v>141</v>
      </c>
      <c r="I1231" s="49" t="s">
        <v>68</v>
      </c>
      <c r="J1231" s="74">
        <v>25</v>
      </c>
      <c r="K1231" s="134">
        <v>1</v>
      </c>
      <c r="L1231" s="72">
        <v>-27</v>
      </c>
      <c r="M1231" s="62">
        <v>25</v>
      </c>
      <c r="N1231" s="28">
        <f>K1231*J1231</f>
        <v>25</v>
      </c>
      <c r="O1231" s="45">
        <v>-88</v>
      </c>
      <c r="P1231" s="29">
        <v>-88</v>
      </c>
      <c r="Q1231" s="55"/>
      <c r="R1231" s="31">
        <f>M1231+Q1231</f>
        <v>25</v>
      </c>
      <c r="S1231" s="73">
        <v>-9</v>
      </c>
      <c r="T1231" s="32">
        <f>R1231+S1231+IF(F1231="Without EV deal",L1231,0)</f>
        <v>16</v>
      </c>
      <c r="U1231" s="57">
        <v>1.0860000000000001</v>
      </c>
      <c r="V1231" s="69">
        <v>43.526543878656554</v>
      </c>
      <c r="W1231" s="69">
        <v>93.735905413814564</v>
      </c>
      <c r="X1231" s="30">
        <f>IF(AF1231="DoEV",IF(AND(V1231&lt;20,W1231&lt;55),0.3,0)+IF(AND(V1231&lt;20,W1231&gt;=55,W1231&lt;105),0.23,0)+IF(AND(V1231&lt;20,W1231&gt;=105),0.17,0)+IF(AND(V1231&gt;=20,V1231&lt;40,W1231&lt;45),0.3,0)+IF(AND(V1231&gt;=20,V1231&lt;40,W1231&gt;=45,W1231&lt;95),0.23,0)+IF(AND(V1231&gt;=20,V1231&lt;40,W1231&gt;=95),0.17,0)+IF(AND(V1231&gt;=40,V1231&lt;75,W1231&lt;35),0.3,0)+IF(AND(V1231&gt;=40,V1231&lt;75,W1231&gt;=35,W1231&lt;75),0.23,0)+IF(AND(V1231&gt;=40,V1231&lt;75,W1231&gt;=75,W1231&lt;120),0.17,0)+IF(AND(V1231&gt;=40,V1231&lt;75,W1231&gt;=120),0.12,0)+IF(AND(V1231&gt;=75,V1231&lt;175,W1231&lt;35),0.3,0)+IF(AND(V1231&gt;=75,V1231&lt;=175,W1231&gt;=35,W1231&lt;65),0.23,0)+IF(AND(V1231&gt;=75,V1231&lt;=175,W1231&gt;=65,W1231&lt;110),0.17,0)+IF(AND(V1231&gt;=75,V1231&lt;=175,W1231&gt;=110),0.12,0)+IF(AND(V1231&gt;175,W1231&lt;25),0.3,0)+IF(AND(V1231&gt;175,W1231&gt;=25,W1231&lt;55),0.23,0)+IF(AND(V1231&gt;175,W1231&gt;=55,W1231&lt;95),0.17,0)+IF(AND(V1231&gt;175,W1231&gt;=95),0.12,0),
IF(AF1231="Fix15",0.15,
IF(AF1231="Fix11.25",0.1125,
IF(AF1231="Fix10",0.1,
IF(AF1231="Fix9",0.09,
IF(AF1231="DoEV2017",IF(AND(W1231&lt;74),0.2,0)+IF(AND(W1231&gt;=74),0.17,0),
IF(AF1231="SF",IF(AND(V1231&lt;20,W1231&lt;89),0.3,0)+IF(AND(V1231&lt;20,W1231&gt;=89),0.25,0)+IF(AND(V1231&gt;=20,V1231&lt;40,W1231&lt;74),0.3,0)+IF(AND(V1231&gt;=20,V1231&lt;40,W1231&gt;=75),0.22,0)+IF(AND(V1231&gt;=40,V1231&lt;75,W1231&lt;75),0.26,0)+IF(AND(V1231&gt;=40,V1231&lt;75,W1231&gt;=75),0.22,0)+IF(V1231&gt;=75,0.22,0),
IF(AF1231="DoEVold",IF(AND(V1231&lt;40,W1231&lt;35),0.35,0)+IF(AND(V1231&lt;40,W1231&gt;=35,W1231&lt;75),0.25,0)+IF(AND(V1231&lt;40,W1231&gt;=75),0.17,0)+IF(AND(V1231&gt;=40,V1231&lt;75,W1231&lt;25),0.35,0)+IF(AND(V1231&gt;=40,V1231&lt;75,W1231&gt;=25,W1231&lt;65),0.25,0)+IF(AND(V1231&gt;=40,V1231&lt;75,W1231&gt;=65,W1231&lt;100),0.17,0)+IF(AND(V1231&gt;=40,V1231&lt;75,W1231&gt;=100),0.1,0)+IF(AND(V1231&gt;=75,W1231&lt;25),0.35,0)+IF(AND(V1231&gt;=75,W1231&gt;=25,W1231&lt;60),0.25,0)+IF(AND(V1231&gt;=75,W1231&gt;=60,W1231&lt;95),0.17,0)+IF(AND(V1231&gt;=75,W1231&gt;=95),0.1,0),
IF(AF1231="DoEVold15",IF(AND(V1231&lt;=40,W1231&lt;35),0.35,0)+IF(AND(V1231&lt;=40,W1231&gt;=35,W1231&lt;75),0.25,0)+IF(AND(V1231&lt;=40,W1231&gt;=75,W1231&lt;120),0.17,0)+IF(AND(V1231&lt;=40,W1231&gt;=120),0.15,0)+IF(AND(V1231&gt;40,V1231&lt;75,W1231&lt;25),0.35,0)+IF(AND(V1231&gt;=40,V1231&lt;75,W1231&gt;=25,W1231&lt;65),0.25,0)+IF(AND(V1231&gt;=40,V1231&lt;75,W1231&gt;=65,W1231&lt;100),0.17,0)+IF(AND(V1231&gt;=40,V1231&lt;75,W1231&gt;=100),0.1,0)+IF(AND(V1231&gt;=75,W1231&lt;25),0.35,0)+IF(AND(V1231&gt;=75,W1231&gt;=25,W1231&lt;60),0.25,0)+IF(AND(V1231&gt;=75,W1231&gt;=60,W1231&lt;95),0.17,0)+IF(AND(V1231&gt;=75,W1231&gt;=95),0.1,0),
IF(AF1231="DoEVba",IF(AND(V1231&lt;20,W1231&lt;105),0.2,0)+IF(AND(V1231&lt;20,W1231&gt;=105),0.15,0)+IF(AND(V1231&gt;=20,V1231&lt;40,W1231&lt;95),0.2,0)+IF(AND(V1231&gt;=20,V1231&lt;40,W1231&gt;=95,W1231&lt;150),0.15,0)+IF(AND(V1231&gt;=20,V1231&lt;40,W1231&gt;=150),0.12,0)+IF(AND(V1231&gt;=40,V1231&lt;75,W1231&lt;75),0.2,0)+IF(AND(V1231&gt;=40,V1231&lt;75,W1231&gt;=75,W1231&lt;120),0.15,0)+IF(AND(V1231&gt;=40,V1231&lt;75,W1231&gt;=120),0.12,0)+IF(AND(V1231&gt;=75,V1231&lt;175,W1231&lt;65),0.2,0)+IF(AND(V1231&gt;=75,V1231&lt;175,W1231&gt;=65,W1231&lt;110),0.15,0)+IF(AND(V1231&gt;=75,V1231&lt;175,W1231&gt;=110),0.12,0)+IF(AND(V1231&gt;=175,W1231&lt;55),0.2,0)+IF(AND(V1231&gt;=175,W1231&gt;=55,W1231&lt;95),0.15,0)+IF(AND(V1231&gt;=175,W1231&gt;=95),0.12,0),
IF(AF1231="DoEVku",IF(AND(V1231&lt;20,W1231&lt;55),0.23,0)+IF(AND(V1231&lt;20,W1231&gt;=55,W1231&lt;105),0.2,0)+IF(AND(V1231&lt;20,W1231&gt;=105),0.17,0)+IF(AND(V1231&gt;=20,V1231&lt;40,W1231&lt;45),0.23,0)+IF(AND(V1231&gt;=20,V1231&lt;40,W1231&gt;=45,W1231&lt;95),0.2,0)+IF(AND(V1231&gt;=20,V1231&lt;40,W1231&gt;=95,W1231&lt;=150),0.17,0)+IF(AND(V1231&gt;=20,V1231&lt;40,W1231&gt;=150),0.12,0)+IF(AND(V1231&gt;=40,V1231&lt;75,W1231&lt;35),0.23,0)+IF(AND(V1231&gt;=40,V1231&lt;75,W1231&gt;=35,W1231&lt;75),0.2,0)+IF(AND(V1231&gt;=40,V1231&lt;75,W1231&gt;=75,W1231&lt;120),0.17,0)+IF(AND(V1231&gt;=40,V1231&lt;75,W1231&gt;=120),0.12,0)+IF(AND(V1231&gt;=75,V1231&lt;175,W1231&lt;35),0.23,0)+IF(AND(V1231&gt;=75,V1231&lt;=175,W1231&gt;=35,W1231&lt;65),0.2,0)+IF(AND(V1231&gt;=75,V1231&lt;=175,W1231&gt;=65,W1231&lt;110),0.17,0)+IF(AND(V1231&gt;=75,V1231&lt;=175,W1231&gt;=110),0.12,0)+IF(AND(V1231&gt;175,W1231&lt;25),0.23,0)+IF(AND(V1231&gt;175,W1231&gt;=25,W1231&lt;55),0.2,0)+IF(AND(V1231&gt;175,W1231&gt;=55,W1231&lt;95),0.17,0)+IF(AND(V1231&gt;175,W1231&gt;=95),0.12,0),
IF(AF1231="DoEVs1",IF(AND(V1231&lt;20,W1231&lt;55),0.3,0)+IF(AND(V1231&lt;20,W1231&gt;=55,W1231&lt;105),0.23,0)+IF(AND(V1231&lt;20,W1231&gt;=105),0.17,0)+IF(AND(V1231&gt;=20,V1231&lt;40,W1231&lt;45),0.3,0)+IF(AND(V1231&gt;=20,V1231&lt;40,W1231&gt;=45,W1231&lt;95),0.23,0)+IF(AND(V1231&gt;=20,V1231&lt;40,W1231&gt;=95,W1231&lt;=150),0.17,0)+IF(AND(V1231&gt;=20,V1231&lt;40,W1231&gt;=150),0.12,0)+IF(AND(V1231&gt;=40,V1231&lt;75,W1231&lt;35),0.3,0)+IF(AND(V1231&gt;=40,V1231&lt;75,W1231&gt;=35,W1231&lt;75),0.23,0)+IF(AND(V1231&gt;=40,V1231&lt;75,W1231&gt;=75,W1231&lt;120),0.17,0)+IF(AND(V1231&gt;=40,V1231&lt;75,W1231&gt;=120),0.12,0)+IF(AND(V1231&gt;=75,V1231&lt;175,W1231&lt;35),0.3,0)+IF(AND(V1231&gt;=75,V1231&lt;=175,W1231&gt;=35,W1231&lt;65),0.23,0)+IF(AND(V1231&gt;=75,V1231&lt;=175,W1231&gt;=65,W1231&lt;110),0.17,0)+IF(AND(V1231&gt;=75,V1231&lt;=175,W1231&gt;=110),0.12,0)+IF(AND(V1231&gt;175,W1231&lt;25),0.3,0)+IF(AND(V1231&gt;175,W1231&gt;=25,W1231&lt;55),0.23,0)+IF(AND(V1231&gt;175,W1231&gt;=55,W1231&lt;95),0.17,0)+IF(AND(V1231&gt;175,W1231&gt;=95),0.12,0),
IF(AF1231="DoEVsu",IF(AND(V1231&lt;20,W1231&lt;55),0.3,0)+IF(AND(V1231&lt;20,W1231&gt;=55,W1231&lt;105),0.23,0)+IF(AND(V1231&lt;20,W1231&gt;=105),0.17,0)+IF(AND(V1231&gt;=20,V1231&lt;40,W1231&lt;45),0.3,0)+IF(AND(V1231&gt;=20,V1231&lt;40,W1231&gt;=45,W1231&lt;95),0.23,0)+IF(AND(V1231&gt;=20,V1231&lt;40,W1231&gt;=95,W1231&lt;=250),0.17,0)+IF(AND(V1231&gt;=20,V1231&lt;40,W1231&gt;=250),0.12,0)+IF(AND(V1231&gt;=40,V1231&lt;75,W1231&lt;35),0.3,0)+IF(AND(V1231&gt;=40,V1231&lt;75,W1231&gt;=35,W1231&lt;75),0.23,0)+IF(AND(V1231&gt;=40,V1231&lt;75,W1231&gt;=75,W1231&lt;120),0.17,0)+IF(AND(V1231&gt;=40,V1231&lt;75,W1231&gt;=120),0.12,0)+IF(AND(V1231&gt;=75,V1231&lt;175,W1231&lt;35),0.3,0)+IF(AND(V1231&gt;=75,V1231&lt;=175,W1231&gt;=35,W1231&lt;65),0.23,0)+IF(AND(V1231&gt;=75,V1231&lt;=175,W1231&gt;=65,W1231&lt;110),0.17,0)+IF(AND(V1231&gt;=75,V1231&lt;=175,W1231&gt;=110),0.12,0)+IF(AND(V1231&gt;175,W1231&lt;25),0.3,0)+IF(AND(V1231&gt;175,W1231&gt;=25,W1231&lt;55),0.23,0)+IF(AND(V1231&gt;175,W1231&gt;=55,W1231&lt;95),0.17,0)+IF(AND(V1231&gt;175,W1231&gt;=95),0.12,0),
IF(AF1231="DoEVni",IF(AND(V1231&lt;20,W1231&lt;55),0.3,0)+IF(AND(V1231&lt;20,W1231&gt;=55,W1231&lt;105),0.23,0)+IF(AND(V1231&lt;20,W1231&gt;=105),0.17,0)+IF(AND(V1231&gt;=20,V1231&lt;40,W1231&lt;45),0.3,0)+IF(AND(V1231&gt;=20,V1231&lt;40,W1231&gt;=45,W1231&lt;95),0.23,0)+IF(AND(V1231&gt;=20,V1231&lt;40,W1231&gt;=95,W1231&lt;=200),0.17,0)+IF(AND(V1231&gt;=20,V1231&lt;40,W1231&gt;=200),0.12,0)+IF(AND(V1231&gt;=40,V1231&lt;75,W1231&lt;35),0.3,0)+IF(AND(V1231&gt;=40,V1231&lt;75,W1231&gt;=35,W1231&lt;75),0.23,0)+IF(AND(V1231&gt;=40,V1231&lt;75,W1231&gt;=75,W1231&lt;120),0.17,0)+IF(AND(V1231&gt;=40,V1231&lt;75,W1231&gt;=120),0.12,0)+IF(AND(V1231&gt;=75,V1231&lt;175,W1231&lt;35),0.3,0)+IF(AND(V1231&gt;=75,V1231&lt;=175,W1231&gt;=35,W1231&lt;65),0.23,0)+IF(AND(V1231&gt;=75,V1231&lt;=175,W1231&gt;=65,W1231&lt;110),0.17,0)+IF(AND(V1231&gt;=75,V1231&lt;=175,W1231&gt;=110),0.12,0)+IF(AND(V1231&gt;175,W1231&lt;25),0.3,0)+IF(AND(V1231&gt;175,W1231&gt;=25,W1231&lt;55),0.23,0)+IF(AND(V1231&gt;175,W1231&gt;=55,W1231&lt;95),0.17,0)+IF(AND(V1231&gt;175,W1231&gt;=95),0.12,0),
IF(AF1231="DoEVLo",IF(AND(V1231&lt;20,W1231&lt;55),0.25,0)+IF(AND(V1231&lt;20,W1231&gt;=55,W1231&lt;105),0.2,0)+IF(AND(V1231&lt;20,W1231&gt;=105),0.15,0)+IF(AND(V1231&gt;=20,V1231&lt;40,W1231&lt;45),0.25,0)+IF(AND(V1231&gt;=20,V1231&lt;40,W1231&gt;=45,W1231&lt;95),0.2,0)+IF(AND(V1231&gt;=20,V1231&lt;40,W1231&gt;=95),0.15,0)+IF(AND(V1231&gt;=40,V1231&lt;75,W1231&lt;35),0.25,0)+IF(AND(V1231&gt;=40,V1231&lt;75,W1231&gt;=35,W1231&lt;75),0.2,0)+IF(AND(V1231&gt;=40,V1231&lt;75,W1231&gt;=75,W1231&lt;120),0.15,0)+IF(AND(V1231&gt;=40,V1231&lt;75,W1231&gt;=120),0.1,0)+IF(AND(V1231&gt;=75,V1231&lt;175,W1231&lt;35),0.25,0)+IF(AND(V1231&gt;=75,V1231&lt;=175,W1231&gt;=35,W1231&lt;65),0.2,0)+IF(AND(V1231&gt;=75,V1231&lt;=175,W1231&gt;=65,W1231&lt;110),0.15,0)+IF(AND(V1231&gt;=75,V1231&lt;=175,W1231&gt;=110),0.1,0)+IF(AND(V1231&gt;175,W1231&lt;25),0.25,0)+IF(AND(V1231&gt;175,W1231&gt;=25,W1231&lt;55),0.2,0)+IF(AND(V1231&gt;175,W1231&gt;=55,W1231&lt;95),0.15,0)+IF(AND(V1231&gt;175,W1231&gt;=95),0.1,0))))))))))))))))</f>
        <v>0.15</v>
      </c>
      <c r="Y1231" s="30">
        <f>IF(AG1231="None",0,IF(AG1231="Fix5",0.05,IF(AG1231="Fix3.75",0.0375,IF(AG1231="Fix10",0.1,IF(AG1231="Fix3",0.03,0)))))</f>
        <v>0</v>
      </c>
      <c r="Z1231" s="35">
        <f>T1231-AA1231-AB1231</f>
        <v>13.716100000000001</v>
      </c>
      <c r="AA1231" s="29">
        <f>IF(AD1231="EUR",((T1231-R1231)*X1231)*U1231+(R1231*X1231),(T1231*X1231))</f>
        <v>2.2839</v>
      </c>
      <c r="AB1231" s="36">
        <f>IF(AD1231="EUR",((T1231-R1231)*Y1231)*U1231+(R1231*Y1231),(T1231*Y1231))</f>
        <v>0</v>
      </c>
      <c r="AC1231" s="37" t="b">
        <v>1</v>
      </c>
      <c r="AD1231" s="37" t="s">
        <v>50</v>
      </c>
      <c r="AE1231" s="37"/>
      <c r="AF1231" s="37" t="str">
        <f t="array" ref="AF1231">INDEX('Deal Info'!D:D, MATCH(A1231,'Deal Info'!A:A, 0))</f>
        <v>DoEVLo</v>
      </c>
      <c r="AG1231" s="38" t="str">
        <f t="array" ref="AG1231">INDEX('Deal Info'!G:G, MATCH(A1231,'Deal Info'!A:A, 0))</f>
        <v>None</v>
      </c>
    </row>
    <row r="1232" spans="1:33" ht="14.25" x14ac:dyDescent="0.2">
      <c r="A1232" s="18" t="str">
        <f t="array" ref="A1232">IF(G1232='Room Info'!$B$1, INDEX('Room Info'!$A$2:$A2446, MATCH(B1232,'Room Info'!$B$2:$B2446, 0)),IF(G1232='Room Info'!$C$1, INDEX('Room Info'!$A$2:$A2446, MATCH(B1232,'Room Info'!$C$2:$C2446, 0)),IF(G1232='Room Info'!$D$1, INDEX('Room Info'!$A$2:$A2446, MATCH(B1232,'Room Info'!$D$2:$D2446, 0)),IF(G1232='Room Info'!$E$1, INDEX('Room Info'!$A$2:$A2446, MATCH(B1232,'Room Info'!$E$2:$E2446, 0)),IF(G1232='Room Info'!$F$1, INDEX('Room Info'!$A$2:$A2446, MATCH(B1232,'Room Info'!$F$2:$F2446, 0)),IF(G1232='Room Info'!$H$1, INDEX('Room Info'!$A$2:$A2446, MATCH(B1232,'Room Info'!$H$2:$H2446, 0)),IF(G1232='Room Info'!$G$1, INDEX('Room Info'!$A$2:$A2446, MATCH(B1232,'Room Info'!$G$2:$G2446, 0)))))))))</f>
        <v>Lo4io</v>
      </c>
      <c r="B1232" s="45" t="s">
        <v>107</v>
      </c>
      <c r="C1232" s="46">
        <v>44916</v>
      </c>
      <c r="D1232" s="46">
        <v>44946</v>
      </c>
      <c r="E1232" s="47">
        <v>44927</v>
      </c>
      <c r="F1232" s="48" t="s">
        <v>34</v>
      </c>
      <c r="G1232" s="45" t="s">
        <v>61</v>
      </c>
      <c r="H1232" s="49" t="s">
        <v>141</v>
      </c>
      <c r="I1232" s="49" t="s">
        <v>68</v>
      </c>
      <c r="J1232" s="50">
        <v>25</v>
      </c>
      <c r="K1232" s="123">
        <v>1</v>
      </c>
      <c r="L1232" s="113">
        <v>-27</v>
      </c>
      <c r="M1232" s="53">
        <v>25</v>
      </c>
      <c r="N1232" s="28">
        <f>K1232*J1232</f>
        <v>25</v>
      </c>
      <c r="O1232" s="65">
        <v>-88</v>
      </c>
      <c r="P1232" s="29">
        <v>-88</v>
      </c>
      <c r="Q1232" s="55"/>
      <c r="R1232" s="31">
        <f>M1232+Q1232</f>
        <v>25</v>
      </c>
      <c r="S1232" s="66">
        <v>-9</v>
      </c>
      <c r="T1232" s="32">
        <f>R1232+S1232+IF(F1232="Without EV deal",L1232,0)</f>
        <v>16</v>
      </c>
      <c r="U1232" s="57">
        <v>1.0860000000000001</v>
      </c>
      <c r="V1232" s="58"/>
      <c r="W1232" s="58"/>
      <c r="X1232" s="78">
        <v>0.15</v>
      </c>
      <c r="Y1232" s="78">
        <f>IF(AG1232="None",0,IF(AG1232="Fix5",0.05, IF(AG1232="Fix6.25",0.0625,IF(AG1232="Fix3.75",0.0375,IF(AG1232="Fix10",0.1,IF(AG1232="Fix3",0.03,0))))))</f>
        <v>0</v>
      </c>
      <c r="Z1232" s="59">
        <f>T1232-AA1232-AB1232</f>
        <v>13.716100000000001</v>
      </c>
      <c r="AA1232" s="60">
        <f>IF(AD1232="EUR",((T1232-R1232)*X1232)*U1232+(R1232*X1232),(T1232*X1232))</f>
        <v>2.2839</v>
      </c>
      <c r="AB1232" s="36">
        <f>IF(AD1232="EUR",((T1232-R1232)*Y1232)*U1232+(R1232*Y1232),(T1232*Y1232))</f>
        <v>0</v>
      </c>
      <c r="AC1232" s="37" t="b">
        <v>1</v>
      </c>
      <c r="AD1232" s="129" t="s">
        <v>50</v>
      </c>
      <c r="AE1232" s="129"/>
      <c r="AF1232" s="37" t="str">
        <f t="array" ref="AF1232">INDEX('Deal Info'!D:D, MATCH(A1232,'Deal Info'!A:A, 0))</f>
        <v>DoEVLo</v>
      </c>
      <c r="AG1232" s="38" t="str">
        <f t="array" ref="AG1232">INDEX('Deal Info'!G:G, MATCH(A1232,'Deal Info'!A:A, 0))</f>
        <v>None</v>
      </c>
    </row>
    <row r="1233" spans="1:33" ht="14.25" x14ac:dyDescent="0.2">
      <c r="A1233" s="18" t="str">
        <f t="array" ref="A1233">IF(G1233='Room Info'!$B$1, INDEX('Room Info'!$A$2:$A2446, MATCH(B1233,'Room Info'!$B$2:$B2446, 0)),IF(G1233='Room Info'!$C$1, INDEX('Room Info'!$A$2:$A2446, MATCH(B1233,'Room Info'!$C$2:$C2446, 0)),IF(G1233='Room Info'!$D$1, INDEX('Room Info'!$A$2:$A2446, MATCH(B1233,'Room Info'!$D$2:$D2446, 0)),IF(G1233='Room Info'!$E$1, INDEX('Room Info'!$A$2:$A2446, MATCH(B1233,'Room Info'!$E$2:$E2446, 0)),IF(G1233='Room Info'!$F$1, INDEX('Room Info'!$A$2:$A2446, MATCH(B1233,'Room Info'!$F$2:$F2446, 0)),IF(G1233='Room Info'!$H$1, INDEX('Room Info'!$A$2:$A2446, MATCH(B1233,'Room Info'!$H$2:$H2446, 0)),IF(G1233='Room Info'!$G$1, INDEX('Room Info'!$A$2:$A2446, MATCH(B1233,'Room Info'!$G$2:$G2446, 0)))))))))</f>
        <v>Sun_Set_pro8</v>
      </c>
      <c r="B1233" s="45" t="s">
        <v>98</v>
      </c>
      <c r="C1233" s="46">
        <v>44927</v>
      </c>
      <c r="D1233" s="46">
        <v>44957</v>
      </c>
      <c r="E1233" s="47">
        <v>44927</v>
      </c>
      <c r="F1233" s="45" t="s">
        <v>41</v>
      </c>
      <c r="G1233" s="54" t="s">
        <v>61</v>
      </c>
      <c r="H1233" s="49" t="s">
        <v>141</v>
      </c>
      <c r="I1233" s="49" t="s">
        <v>68</v>
      </c>
      <c r="J1233" s="50">
        <v>25</v>
      </c>
      <c r="K1233" s="51">
        <v>290</v>
      </c>
      <c r="L1233" s="52">
        <v>-975</v>
      </c>
      <c r="M1233" s="53"/>
      <c r="N1233" s="28">
        <f>K1233*J1233</f>
        <v>7250</v>
      </c>
      <c r="O1233" s="54">
        <v>12180</v>
      </c>
      <c r="P1233" s="29">
        <v>42</v>
      </c>
      <c r="Q1233" s="55"/>
      <c r="R1233" s="31">
        <f>M1233+Q1233</f>
        <v>0</v>
      </c>
      <c r="S1233" s="56"/>
      <c r="T1233" s="32">
        <f>R1233+S1233+IF(F1233="Without EV deal",L1233,0)</f>
        <v>-975</v>
      </c>
      <c r="U1233" s="57">
        <v>1.08</v>
      </c>
      <c r="V1233" s="58"/>
      <c r="W1233" s="58"/>
      <c r="X1233" s="78">
        <v>0.25</v>
      </c>
      <c r="Y1233" s="78">
        <f>IF(AG1233="None",0,IF(AG1233="Fix5",0.05, IF(AG1233="Fix6.25",0.0625,IF(AG1233="Fix3.75",0.0375,IF(AG1233="Fix10",0.1,IF(AG1233="Fix3",0.03,0))))))</f>
        <v>0</v>
      </c>
      <c r="Z1233" s="59">
        <f>T1233-AA1233-AB1233</f>
        <v>-711.75</v>
      </c>
      <c r="AA1233" s="60">
        <f>IF(AD1233="EUR",((T1233-R1233)*X1233)*U1233+(R1233*X1233),(T1233*X1233))</f>
        <v>-263.25</v>
      </c>
      <c r="AB1233" s="36">
        <f>IF(AD1233="EUR",((T1233-R1233)*Y1233)*U1233+(R1233*Y1233),(T1233*Y1233))</f>
        <v>0</v>
      </c>
      <c r="AC1233" s="37" t="b">
        <v>1</v>
      </c>
      <c r="AD1233" s="61" t="s">
        <v>50</v>
      </c>
      <c r="AE1233" s="61"/>
      <c r="AF1233" s="37" t="str">
        <f t="array" ref="AF1233">INDEX('Deal Info'!D:D, MATCH(A1233,'Deal Info'!A:A, 0))</f>
        <v>DoEVold</v>
      </c>
      <c r="AG1233" s="38" t="str">
        <f t="array" ref="AG1233">INDEX('Deal Info'!G:G, MATCH(A1233,'Deal Info'!A:A, 0))</f>
        <v>None</v>
      </c>
    </row>
    <row r="1234" spans="1:33" ht="14.25" x14ac:dyDescent="0.2">
      <c r="A1234" s="18" t="str">
        <f t="array" ref="A1234">IF(G1234='Room Info'!$B$1, INDEX('Room Info'!$A$2:$A2446, MATCH(B1234,'Room Info'!$B$2:$B2446, 0)),IF(G1234='Room Info'!$C$1, INDEX('Room Info'!$A$2:$A2446, MATCH(B1234,'Room Info'!$C$2:$C2446, 0)),IF(G1234='Room Info'!$D$1, INDEX('Room Info'!$A$2:$A2446, MATCH(B1234,'Room Info'!$D$2:$D2446, 0)),IF(G1234='Room Info'!$E$1, INDEX('Room Info'!$A$2:$A2446, MATCH(B1234,'Room Info'!$E$2:$E2446, 0)),IF(G1234='Room Info'!$F$1, INDEX('Room Info'!$A$2:$A2446, MATCH(B1234,'Room Info'!$F$2:$F2446, 0)),IF(G1234='Room Info'!$H$1, INDEX('Room Info'!$A$2:$A2446, MATCH(B1234,'Room Info'!$H$2:$H2446, 0)),IF(G1234='Room Info'!$G$1, INDEX('Room Info'!$A$2:$A2446, MATCH(B1234,'Room Info'!$G$2:$G2446, 0)))))))))</f>
        <v>Lo4io</v>
      </c>
      <c r="B1234" s="45" t="s">
        <v>107</v>
      </c>
      <c r="C1234" s="46">
        <v>44916</v>
      </c>
      <c r="D1234" s="46">
        <v>44946</v>
      </c>
      <c r="E1234" s="47">
        <v>44927</v>
      </c>
      <c r="F1234" s="48" t="s">
        <v>34</v>
      </c>
      <c r="G1234" s="54" t="s">
        <v>61</v>
      </c>
      <c r="H1234" s="49" t="s">
        <v>167</v>
      </c>
      <c r="I1234" s="49" t="s">
        <v>101</v>
      </c>
      <c r="J1234" s="70">
        <v>25</v>
      </c>
      <c r="K1234" s="71">
        <v>993</v>
      </c>
      <c r="L1234" s="52">
        <v>-380</v>
      </c>
      <c r="M1234" s="53">
        <v>706</v>
      </c>
      <c r="N1234" s="28">
        <f>K1234*J1234</f>
        <v>24825</v>
      </c>
      <c r="O1234" s="54">
        <v>56313</v>
      </c>
      <c r="P1234" s="29">
        <v>56.709969790000002</v>
      </c>
      <c r="Q1234" s="55"/>
      <c r="R1234" s="31">
        <f>M1234+Q1234</f>
        <v>706</v>
      </c>
      <c r="S1234" s="56">
        <v>471</v>
      </c>
      <c r="T1234" s="32">
        <f>R1234+S1234+IF(F1234="Without EV deal",L1234,0)</f>
        <v>1177</v>
      </c>
      <c r="U1234" s="57">
        <v>1.0860000000000001</v>
      </c>
      <c r="V1234" s="58">
        <v>43.526543878656554</v>
      </c>
      <c r="W1234" s="58">
        <v>93.735905413814564</v>
      </c>
      <c r="X1234" s="30">
        <f>IF(AF1234="DoEV",IF(AND(V1234&lt;20,W1234&lt;55),0.3,0)+IF(AND(V1234&lt;20,W1234&gt;=55,W1234&lt;105),0.23,0)+IF(AND(V1234&lt;20,W1234&gt;=105),0.17,0)+IF(AND(V1234&gt;=20,V1234&lt;40,W1234&lt;45),0.3,0)+IF(AND(V1234&gt;=20,V1234&lt;40,W1234&gt;=45,W1234&lt;95),0.23,0)+IF(AND(V1234&gt;=20,V1234&lt;40,W1234&gt;=95),0.17,0)+IF(AND(V1234&gt;=40,V1234&lt;75,W1234&lt;35),0.3,0)+IF(AND(V1234&gt;=40,V1234&lt;75,W1234&gt;=35,W1234&lt;75),0.23,0)+IF(AND(V1234&gt;=40,V1234&lt;75,W1234&gt;=75,W1234&lt;120),0.17,0)+IF(AND(V1234&gt;=40,V1234&lt;75,W1234&gt;=120),0.12,0)+IF(AND(V1234&gt;=75,V1234&lt;175,W1234&lt;35),0.3,0)+IF(AND(V1234&gt;=75,V1234&lt;=175,W1234&gt;=35,W1234&lt;65),0.23,0)+IF(AND(V1234&gt;=75,V1234&lt;=175,W1234&gt;=65,W1234&lt;110),0.17,0)+IF(AND(V1234&gt;=75,V1234&lt;=175,W1234&gt;=110),0.12,0)+IF(AND(V1234&gt;175,W1234&lt;25),0.3,0)+IF(AND(V1234&gt;175,W1234&gt;=25,W1234&lt;55),0.23,0)+IF(AND(V1234&gt;175,W1234&gt;=55,W1234&lt;95),0.17,0)+IF(AND(V1234&gt;175,W1234&gt;=95),0.12,0),
IF(AF1234="Fix15",0.15,
IF(AF1234="Fix11.25",0.1125,
IF(AF1234="Fix10",0.1,
IF(AF1234="Fix9",0.09,
IF(AF1234="DoEV2017",IF(AND(W1234&lt;74),0.2,0)+IF(AND(W1234&gt;=74),0.17,0),
IF(AF1234="SF",IF(AND(V1234&lt;20,W1234&lt;89),0.3,0)+IF(AND(V1234&lt;20,W1234&gt;=89),0.25,0)+IF(AND(V1234&gt;=20,V1234&lt;40,W1234&lt;74),0.3,0)+IF(AND(V1234&gt;=20,V1234&lt;40,W1234&gt;=75),0.22,0)+IF(AND(V1234&gt;=40,V1234&lt;75,W1234&lt;75),0.26,0)+IF(AND(V1234&gt;=40,V1234&lt;75,W1234&gt;=75),0.22,0)+IF(V1234&gt;=75,0.22,0),
IF(AF1234="DoEVold",IF(AND(V1234&lt;40,W1234&lt;35),0.35,0)+IF(AND(V1234&lt;40,W1234&gt;=35,W1234&lt;75),0.25,0)+IF(AND(V1234&lt;40,W1234&gt;=75),0.17,0)+IF(AND(V1234&gt;=40,V1234&lt;75,W1234&lt;25),0.35,0)+IF(AND(V1234&gt;=40,V1234&lt;75,W1234&gt;=25,W1234&lt;65),0.25,0)+IF(AND(V1234&gt;=40,V1234&lt;75,W1234&gt;=65,W1234&lt;100),0.17,0)+IF(AND(V1234&gt;=40,V1234&lt;75,W1234&gt;=100),0.1,0)+IF(AND(V1234&gt;=75,W1234&lt;25),0.35,0)+IF(AND(V1234&gt;=75,W1234&gt;=25,W1234&lt;60),0.25,0)+IF(AND(V1234&gt;=75,W1234&gt;=60,W1234&lt;95),0.17,0)+IF(AND(V1234&gt;=75,W1234&gt;=95),0.1,0),
IF(AF1234="DoEVold15",IF(AND(V1234&lt;=40,W1234&lt;35),0.35,0)+IF(AND(V1234&lt;=40,W1234&gt;=35,W1234&lt;75),0.25,0)+IF(AND(V1234&lt;=40,W1234&gt;=75,W1234&lt;120),0.17,0)+IF(AND(V1234&lt;=40,W1234&gt;=120),0.15,0)+IF(AND(V1234&gt;40,V1234&lt;75,W1234&lt;25),0.35,0)+IF(AND(V1234&gt;=40,V1234&lt;75,W1234&gt;=25,W1234&lt;65),0.25,0)+IF(AND(V1234&gt;=40,V1234&lt;75,W1234&gt;=65,W1234&lt;100),0.17,0)+IF(AND(V1234&gt;=40,V1234&lt;75,W1234&gt;=100),0.1,0)+IF(AND(V1234&gt;=75,W1234&lt;25),0.35,0)+IF(AND(V1234&gt;=75,W1234&gt;=25,W1234&lt;60),0.25,0)+IF(AND(V1234&gt;=75,W1234&gt;=60,W1234&lt;95),0.17,0)+IF(AND(V1234&gt;=75,W1234&gt;=95),0.1,0),
IF(AF1234="DoEVba",IF(AND(V1234&lt;20,W1234&lt;105),0.2,0)+IF(AND(V1234&lt;20,W1234&gt;=105),0.15,0)+IF(AND(V1234&gt;=20,V1234&lt;40,W1234&lt;95),0.2,0)+IF(AND(V1234&gt;=20,V1234&lt;40,W1234&gt;=95,W1234&lt;150),0.15,0)+IF(AND(V1234&gt;=20,V1234&lt;40,W1234&gt;=150),0.12,0)+IF(AND(V1234&gt;=40,V1234&lt;75,W1234&lt;75),0.2,0)+IF(AND(V1234&gt;=40,V1234&lt;75,W1234&gt;=75,W1234&lt;120),0.15,0)+IF(AND(V1234&gt;=40,V1234&lt;75,W1234&gt;=120),0.12,0)+IF(AND(V1234&gt;=75,V1234&lt;175,W1234&lt;65),0.2,0)+IF(AND(V1234&gt;=75,V1234&lt;175,W1234&gt;=65,W1234&lt;110),0.15,0)+IF(AND(V1234&gt;=75,V1234&lt;175,W1234&gt;=110),0.12,0)+IF(AND(V1234&gt;=175,W1234&lt;55),0.2,0)+IF(AND(V1234&gt;=175,W1234&gt;=55,W1234&lt;95),0.15,0)+IF(AND(V1234&gt;=175,W1234&gt;=95),0.12,0),
IF(AF1234="DoEVku",IF(AND(V1234&lt;20,W1234&lt;55),0.23,0)+IF(AND(V1234&lt;20,W1234&gt;=55,W1234&lt;105),0.2,0)+IF(AND(V1234&lt;20,W1234&gt;=105),0.17,0)+IF(AND(V1234&gt;=20,V1234&lt;40,W1234&lt;45),0.23,0)+IF(AND(V1234&gt;=20,V1234&lt;40,W1234&gt;=45,W1234&lt;95),0.2,0)+IF(AND(V1234&gt;=20,V1234&lt;40,W1234&gt;=95,W1234&lt;=150),0.17,0)+IF(AND(V1234&gt;=20,V1234&lt;40,W1234&gt;=150),0.12,0)+IF(AND(V1234&gt;=40,V1234&lt;75,W1234&lt;35),0.23,0)+IF(AND(V1234&gt;=40,V1234&lt;75,W1234&gt;=35,W1234&lt;75),0.2,0)+IF(AND(V1234&gt;=40,V1234&lt;75,W1234&gt;=75,W1234&lt;120),0.17,0)+IF(AND(V1234&gt;=40,V1234&lt;75,W1234&gt;=120),0.12,0)+IF(AND(V1234&gt;=75,V1234&lt;175,W1234&lt;35),0.23,0)+IF(AND(V1234&gt;=75,V1234&lt;=175,W1234&gt;=35,W1234&lt;65),0.2,0)+IF(AND(V1234&gt;=75,V1234&lt;=175,W1234&gt;=65,W1234&lt;110),0.17,0)+IF(AND(V1234&gt;=75,V1234&lt;=175,W1234&gt;=110),0.12,0)+IF(AND(V1234&gt;175,W1234&lt;25),0.23,0)+IF(AND(V1234&gt;175,W1234&gt;=25,W1234&lt;55),0.2,0)+IF(AND(V1234&gt;175,W1234&gt;=55,W1234&lt;95),0.17,0)+IF(AND(V1234&gt;175,W1234&gt;=95),0.12,0),
IF(AF1234="DoEVs1",IF(AND(V1234&lt;20,W1234&lt;55),0.3,0)+IF(AND(V1234&lt;20,W1234&gt;=55,W1234&lt;105),0.23,0)+IF(AND(V1234&lt;20,W1234&gt;=105),0.17,0)+IF(AND(V1234&gt;=20,V1234&lt;40,W1234&lt;45),0.3,0)+IF(AND(V1234&gt;=20,V1234&lt;40,W1234&gt;=45,W1234&lt;95),0.23,0)+IF(AND(V1234&gt;=20,V1234&lt;40,W1234&gt;=95,W1234&lt;=150),0.17,0)+IF(AND(V1234&gt;=20,V1234&lt;40,W1234&gt;=150),0.12,0)+IF(AND(V1234&gt;=40,V1234&lt;75,W1234&lt;35),0.3,0)+IF(AND(V1234&gt;=40,V1234&lt;75,W1234&gt;=35,W1234&lt;75),0.23,0)+IF(AND(V1234&gt;=40,V1234&lt;75,W1234&gt;=75,W1234&lt;120),0.17,0)+IF(AND(V1234&gt;=40,V1234&lt;75,W1234&gt;=120),0.12,0)+IF(AND(V1234&gt;=75,V1234&lt;175,W1234&lt;35),0.3,0)+IF(AND(V1234&gt;=75,V1234&lt;=175,W1234&gt;=35,W1234&lt;65),0.23,0)+IF(AND(V1234&gt;=75,V1234&lt;=175,W1234&gt;=65,W1234&lt;110),0.17,0)+IF(AND(V1234&gt;=75,V1234&lt;=175,W1234&gt;=110),0.12,0)+IF(AND(V1234&gt;175,W1234&lt;25),0.3,0)+IF(AND(V1234&gt;175,W1234&gt;=25,W1234&lt;55),0.23,0)+IF(AND(V1234&gt;175,W1234&gt;=55,W1234&lt;95),0.17,0)+IF(AND(V1234&gt;175,W1234&gt;=95),0.12,0),
IF(AF1234="DoEVsu",IF(AND(V1234&lt;20,W1234&lt;55),0.3,0)+IF(AND(V1234&lt;20,W1234&gt;=55,W1234&lt;105),0.23,0)+IF(AND(V1234&lt;20,W1234&gt;=105),0.17,0)+IF(AND(V1234&gt;=20,V1234&lt;40,W1234&lt;45),0.3,0)+IF(AND(V1234&gt;=20,V1234&lt;40,W1234&gt;=45,W1234&lt;95),0.23,0)+IF(AND(V1234&gt;=20,V1234&lt;40,W1234&gt;=95,W1234&lt;=250),0.17,0)+IF(AND(V1234&gt;=20,V1234&lt;40,W1234&gt;=250),0.12,0)+IF(AND(V1234&gt;=40,V1234&lt;75,W1234&lt;35),0.3,0)+IF(AND(V1234&gt;=40,V1234&lt;75,W1234&gt;=35,W1234&lt;75),0.23,0)+IF(AND(V1234&gt;=40,V1234&lt;75,W1234&gt;=75,W1234&lt;120),0.17,0)+IF(AND(V1234&gt;=40,V1234&lt;75,W1234&gt;=120),0.12,0)+IF(AND(V1234&gt;=75,V1234&lt;175,W1234&lt;35),0.3,0)+IF(AND(V1234&gt;=75,V1234&lt;=175,W1234&gt;=35,W1234&lt;65),0.23,0)+IF(AND(V1234&gt;=75,V1234&lt;=175,W1234&gt;=65,W1234&lt;110),0.17,0)+IF(AND(V1234&gt;=75,V1234&lt;=175,W1234&gt;=110),0.12,0)+IF(AND(V1234&gt;175,W1234&lt;25),0.3,0)+IF(AND(V1234&gt;175,W1234&gt;=25,W1234&lt;55),0.23,0)+IF(AND(V1234&gt;175,W1234&gt;=55,W1234&lt;95),0.17,0)+IF(AND(V1234&gt;175,W1234&gt;=95),0.12,0),
IF(AF1234="DoEVni",IF(AND(V1234&lt;20,W1234&lt;55),0.3,0)+IF(AND(V1234&lt;20,W1234&gt;=55,W1234&lt;105),0.23,0)+IF(AND(V1234&lt;20,W1234&gt;=105),0.17,0)+IF(AND(V1234&gt;=20,V1234&lt;40,W1234&lt;45),0.3,0)+IF(AND(V1234&gt;=20,V1234&lt;40,W1234&gt;=45,W1234&lt;95),0.23,0)+IF(AND(V1234&gt;=20,V1234&lt;40,W1234&gt;=95,W1234&lt;=200),0.17,0)+IF(AND(V1234&gt;=20,V1234&lt;40,W1234&gt;=200),0.12,0)+IF(AND(V1234&gt;=40,V1234&lt;75,W1234&lt;35),0.3,0)+IF(AND(V1234&gt;=40,V1234&lt;75,W1234&gt;=35,W1234&lt;75),0.23,0)+IF(AND(V1234&gt;=40,V1234&lt;75,W1234&gt;=75,W1234&lt;120),0.17,0)+IF(AND(V1234&gt;=40,V1234&lt;75,W1234&gt;=120),0.12,0)+IF(AND(V1234&gt;=75,V1234&lt;175,W1234&lt;35),0.3,0)+IF(AND(V1234&gt;=75,V1234&lt;=175,W1234&gt;=35,W1234&lt;65),0.23,0)+IF(AND(V1234&gt;=75,V1234&lt;=175,W1234&gt;=65,W1234&lt;110),0.17,0)+IF(AND(V1234&gt;=75,V1234&lt;=175,W1234&gt;=110),0.12,0)+IF(AND(V1234&gt;175,W1234&lt;25),0.3,0)+IF(AND(V1234&gt;175,W1234&gt;=25,W1234&lt;55),0.23,0)+IF(AND(V1234&gt;175,W1234&gt;=55,W1234&lt;95),0.17,0)+IF(AND(V1234&gt;175,W1234&gt;=95),0.12,0),
IF(AF1234="DoEVLo",IF(AND(V1234&lt;20,W1234&lt;55),0.25,0)+IF(AND(V1234&lt;20,W1234&gt;=55,W1234&lt;105),0.2,0)+IF(AND(V1234&lt;20,W1234&gt;=105),0.15,0)+IF(AND(V1234&gt;=20,V1234&lt;40,W1234&lt;45),0.25,0)+IF(AND(V1234&gt;=20,V1234&lt;40,W1234&gt;=45,W1234&lt;95),0.2,0)+IF(AND(V1234&gt;=20,V1234&lt;40,W1234&gt;=95),0.15,0)+IF(AND(V1234&gt;=40,V1234&lt;75,W1234&lt;35),0.25,0)+IF(AND(V1234&gt;=40,V1234&lt;75,W1234&gt;=35,W1234&lt;75),0.2,0)+IF(AND(V1234&gt;=40,V1234&lt;75,W1234&gt;=75,W1234&lt;120),0.15,0)+IF(AND(V1234&gt;=40,V1234&lt;75,W1234&gt;=120),0.1,0)+IF(AND(V1234&gt;=75,V1234&lt;175,W1234&lt;35),0.25,0)+IF(AND(V1234&gt;=75,V1234&lt;=175,W1234&gt;=35,W1234&lt;65),0.2,0)+IF(AND(V1234&gt;=75,V1234&lt;=175,W1234&gt;=65,W1234&lt;110),0.15,0)+IF(AND(V1234&gt;=75,V1234&lt;=175,W1234&gt;=110),0.1,0)+IF(AND(V1234&gt;175,W1234&lt;25),0.25,0)+IF(AND(V1234&gt;175,W1234&gt;=25,W1234&lt;55),0.2,0)+IF(AND(V1234&gt;175,W1234&gt;=55,W1234&lt;95),0.15,0)+IF(AND(V1234&gt;175,W1234&gt;=95),0.1,0))))))))))))))))</f>
        <v>0.15</v>
      </c>
      <c r="Y1234" s="30">
        <f>IF(AG1234="None",0,IF(AG1234="Fix5",0.05,IF(AG1234="Fix3.75",0.0375,IF(AG1234="Fix10",0.1,IF(AG1234="Fix3",0.03,0)))))</f>
        <v>0</v>
      </c>
      <c r="Z1234" s="59">
        <f>T1234-AA1234-AB1234</f>
        <v>994.3741</v>
      </c>
      <c r="AA1234" s="60">
        <f>IF(AD1234="EUR",((T1234-R1234)*X1234)*U1234+(R1234*X1234),(T1234*X1234))</f>
        <v>182.6259</v>
      </c>
      <c r="AB1234" s="36">
        <f>IF(AD1234="EUR",((T1234-R1234)*Y1234)*U1234+(R1234*Y1234),(T1234*Y1234))</f>
        <v>0</v>
      </c>
      <c r="AC1234" s="37" t="b">
        <v>1</v>
      </c>
      <c r="AD1234" s="61" t="s">
        <v>50</v>
      </c>
      <c r="AE1234" s="61"/>
      <c r="AF1234" s="37" t="str">
        <f t="array" ref="AF1234">INDEX('Deal Info'!D:D, MATCH(A1234,'Deal Info'!A:A, 0))</f>
        <v>DoEVLo</v>
      </c>
      <c r="AG1234" s="38" t="str">
        <f t="array" ref="AG1234">INDEX('Deal Info'!G:G, MATCH(A1234,'Deal Info'!A:A, 0))</f>
        <v>None</v>
      </c>
    </row>
    <row r="1235" spans="1:33" ht="14.25" x14ac:dyDescent="0.2">
      <c r="A1235" s="18" t="str">
        <f t="array" ref="A1235">IF(G1235='Room Info'!$B$1, INDEX('Room Info'!$A$2:$A2446, MATCH(B1235,'Room Info'!$B$2:$B2446, 0)),IF(G1235='Room Info'!$C$1, INDEX('Room Info'!$A$2:$A2446, MATCH(B1235,'Room Info'!$C$2:$C2446, 0)),IF(G1235='Room Info'!$D$1, INDEX('Room Info'!$A$2:$A2446, MATCH(B1235,'Room Info'!$D$2:$D2446, 0)),IF(G1235='Room Info'!$E$1, INDEX('Room Info'!$A$2:$A2446, MATCH(B1235,'Room Info'!$E$2:$E2446, 0)),IF(G1235='Room Info'!$F$1, INDEX('Room Info'!$A$2:$A2446, MATCH(B1235,'Room Info'!$F$2:$F2446, 0)),IF(G1235='Room Info'!$H$1, INDEX('Room Info'!$A$2:$A2446, MATCH(B1235,'Room Info'!$H$2:$H2446, 0)),IF(G1235='Room Info'!$G$1, INDEX('Room Info'!$A$2:$A2446, MATCH(B1235,'Room Info'!$G$2:$G2446, 0)))))))))</f>
        <v>eternity1</v>
      </c>
      <c r="B1235" s="45" t="s">
        <v>180</v>
      </c>
      <c r="C1235" s="46">
        <v>44916</v>
      </c>
      <c r="D1235" s="46">
        <v>44946</v>
      </c>
      <c r="E1235" s="47">
        <v>44927</v>
      </c>
      <c r="F1235" s="48" t="s">
        <v>34</v>
      </c>
      <c r="G1235" s="45" t="s">
        <v>61</v>
      </c>
      <c r="H1235" s="49" t="s">
        <v>167</v>
      </c>
      <c r="I1235" s="49" t="s">
        <v>101</v>
      </c>
      <c r="J1235" s="70">
        <v>25</v>
      </c>
      <c r="K1235" s="71">
        <v>1666</v>
      </c>
      <c r="L1235" s="52">
        <v>-1222</v>
      </c>
      <c r="M1235" s="53">
        <v>15</v>
      </c>
      <c r="N1235" s="28">
        <f>K1235*J1235</f>
        <v>41650</v>
      </c>
      <c r="O1235" s="54">
        <v>44982</v>
      </c>
      <c r="P1235" s="29">
        <v>27</v>
      </c>
      <c r="Q1235" s="55"/>
      <c r="R1235" s="31">
        <f>M1235+Q1235</f>
        <v>15</v>
      </c>
      <c r="S1235" s="56">
        <v>-1535</v>
      </c>
      <c r="T1235" s="32">
        <f>R1235+S1235+IF(F1235="Without EV deal",L1235,0)</f>
        <v>-1520</v>
      </c>
      <c r="U1235" s="57">
        <v>1</v>
      </c>
      <c r="V1235" s="58">
        <v>13</v>
      </c>
      <c r="W1235" s="58">
        <v>38</v>
      </c>
      <c r="X1235" s="30">
        <f>IF(AF1235="DoEV",IF(AND(V1235&lt;20,W1235&lt;55),0.3,0)+IF(AND(V1235&lt;20,W1235&gt;=55,W1235&lt;105),0.23,0)+IF(AND(V1235&lt;20,W1235&gt;=105),0.17,0)+IF(AND(V1235&gt;=20,V1235&lt;40,W1235&lt;45),0.3,0)+IF(AND(V1235&gt;=20,V1235&lt;40,W1235&gt;=45,W1235&lt;95),0.23,0)+IF(AND(V1235&gt;=20,V1235&lt;40,W1235&gt;=95),0.17,0)+IF(AND(V1235&gt;=40,V1235&lt;75,W1235&lt;35),0.3,0)+IF(AND(V1235&gt;=40,V1235&lt;75,W1235&gt;=35,W1235&lt;75),0.23,0)+IF(AND(V1235&gt;=40,V1235&lt;75,W1235&gt;=75,W1235&lt;120),0.17,0)+IF(AND(V1235&gt;=40,V1235&lt;75,W1235&gt;=120),0.12,0)+IF(AND(V1235&gt;=75,V1235&lt;175,W1235&lt;35),0.3,0)+IF(AND(V1235&gt;=75,V1235&lt;=175,W1235&gt;=35,W1235&lt;65),0.23,0)+IF(AND(V1235&gt;=75,V1235&lt;=175,W1235&gt;=65,W1235&lt;110),0.17,0)+IF(AND(V1235&gt;=75,V1235&lt;=175,W1235&gt;=110),0.12,0)+IF(AND(V1235&gt;175,W1235&lt;25),0.3,0)+IF(AND(V1235&gt;175,W1235&gt;=25,W1235&lt;55),0.23,0)+IF(AND(V1235&gt;175,W1235&gt;=55,W1235&lt;95),0.17,0)+IF(AND(V1235&gt;175,W1235&gt;=95),0.12,0),
IF(AF1235="Fix15",0.15,
IF(AF1235="Fix11.25",0.1125,
IF(AF1235="Fix10",0.1,
IF(AF1235="Fix9",0.09,
IF(AF1235="DoEV2017",IF(AND(W1235&lt;74),0.2,0)+IF(AND(W1235&gt;=74),0.17,0),
IF(AF1235="SF",IF(AND(V1235&lt;20,W1235&lt;89),0.3,0)+IF(AND(V1235&lt;20,W1235&gt;=89),0.25,0)+IF(AND(V1235&gt;=20,V1235&lt;40,W1235&lt;74),0.3,0)+IF(AND(V1235&gt;=20,V1235&lt;40,W1235&gt;=75),0.22,0)+IF(AND(V1235&gt;=40,V1235&lt;75,W1235&lt;75),0.26,0)+IF(AND(V1235&gt;=40,V1235&lt;75,W1235&gt;=75),0.22,0)+IF(V1235&gt;=75,0.22,0),
IF(AF1235="DoEVold",IF(AND(V1235&lt;40,W1235&lt;35),0.35,0)+IF(AND(V1235&lt;40,W1235&gt;=35,W1235&lt;75),0.25,0)+IF(AND(V1235&lt;40,W1235&gt;=75),0.17,0)+IF(AND(V1235&gt;=40,V1235&lt;75,W1235&lt;25),0.35,0)+IF(AND(V1235&gt;=40,V1235&lt;75,W1235&gt;=25,W1235&lt;65),0.25,0)+IF(AND(V1235&gt;=40,V1235&lt;75,W1235&gt;=65,W1235&lt;100),0.17,0)+IF(AND(V1235&gt;=40,V1235&lt;75,W1235&gt;=100),0.1,0)+IF(AND(V1235&gt;=75,W1235&lt;25),0.35,0)+IF(AND(V1235&gt;=75,W1235&gt;=25,W1235&lt;60),0.25,0)+IF(AND(V1235&gt;=75,W1235&gt;=60,W1235&lt;95),0.17,0)+IF(AND(V1235&gt;=75,W1235&gt;=95),0.1,0),
IF(AF1235="DoEVold15",IF(AND(V1235&lt;=40,W1235&lt;35),0.35,0)+IF(AND(V1235&lt;=40,W1235&gt;=35,W1235&lt;75),0.25,0)+IF(AND(V1235&lt;=40,W1235&gt;=75,W1235&lt;120),0.17,0)+IF(AND(V1235&lt;=40,W1235&gt;=120),0.15,0)+IF(AND(V1235&gt;40,V1235&lt;75,W1235&lt;25),0.35,0)+IF(AND(V1235&gt;=40,V1235&lt;75,W1235&gt;=25,W1235&lt;65),0.25,0)+IF(AND(V1235&gt;=40,V1235&lt;75,W1235&gt;=65,W1235&lt;100),0.17,0)+IF(AND(V1235&gt;=40,V1235&lt;75,W1235&gt;=100),0.1,0)+IF(AND(V1235&gt;=75,W1235&lt;25),0.35,0)+IF(AND(V1235&gt;=75,W1235&gt;=25,W1235&lt;60),0.25,0)+IF(AND(V1235&gt;=75,W1235&gt;=60,W1235&lt;95),0.17,0)+IF(AND(V1235&gt;=75,W1235&gt;=95),0.1,0),
IF(AF1235="DoEVba",IF(AND(V1235&lt;20,W1235&lt;105),0.2,0)+IF(AND(V1235&lt;20,W1235&gt;=105),0.15,0)+IF(AND(V1235&gt;=20,V1235&lt;40,W1235&lt;95),0.2,0)+IF(AND(V1235&gt;=20,V1235&lt;40,W1235&gt;=95,W1235&lt;150),0.15,0)+IF(AND(V1235&gt;=20,V1235&lt;40,W1235&gt;=150),0.12,0)+IF(AND(V1235&gt;=40,V1235&lt;75,W1235&lt;75),0.2,0)+IF(AND(V1235&gt;=40,V1235&lt;75,W1235&gt;=75,W1235&lt;120),0.15,0)+IF(AND(V1235&gt;=40,V1235&lt;75,W1235&gt;=120),0.12,0)+IF(AND(V1235&gt;=75,V1235&lt;175,W1235&lt;65),0.2,0)+IF(AND(V1235&gt;=75,V1235&lt;175,W1235&gt;=65,W1235&lt;110),0.15,0)+IF(AND(V1235&gt;=75,V1235&lt;175,W1235&gt;=110),0.12,0)+IF(AND(V1235&gt;=175,W1235&lt;55),0.2,0)+IF(AND(V1235&gt;=175,W1235&gt;=55,W1235&lt;95),0.15,0)+IF(AND(V1235&gt;=175,W1235&gt;=95),0.12,0),
IF(AF1235="DoEVku",IF(AND(V1235&lt;20,W1235&lt;55),0.23,0)+IF(AND(V1235&lt;20,W1235&gt;=55,W1235&lt;105),0.2,0)+IF(AND(V1235&lt;20,W1235&gt;=105),0.17,0)+IF(AND(V1235&gt;=20,V1235&lt;40,W1235&lt;45),0.23,0)+IF(AND(V1235&gt;=20,V1235&lt;40,W1235&gt;=45,W1235&lt;95),0.2,0)+IF(AND(V1235&gt;=20,V1235&lt;40,W1235&gt;=95,W1235&lt;=150),0.17,0)+IF(AND(V1235&gt;=20,V1235&lt;40,W1235&gt;=150),0.12,0)+IF(AND(V1235&gt;=40,V1235&lt;75,W1235&lt;35),0.23,0)+IF(AND(V1235&gt;=40,V1235&lt;75,W1235&gt;=35,W1235&lt;75),0.2,0)+IF(AND(V1235&gt;=40,V1235&lt;75,W1235&gt;=75,W1235&lt;120),0.17,0)+IF(AND(V1235&gt;=40,V1235&lt;75,W1235&gt;=120),0.12,0)+IF(AND(V1235&gt;=75,V1235&lt;175,W1235&lt;35),0.23,0)+IF(AND(V1235&gt;=75,V1235&lt;=175,W1235&gt;=35,W1235&lt;65),0.2,0)+IF(AND(V1235&gt;=75,V1235&lt;=175,W1235&gt;=65,W1235&lt;110),0.17,0)+IF(AND(V1235&gt;=75,V1235&lt;=175,W1235&gt;=110),0.12,0)+IF(AND(V1235&gt;175,W1235&lt;25),0.23,0)+IF(AND(V1235&gt;175,W1235&gt;=25,W1235&lt;55),0.2,0)+IF(AND(V1235&gt;175,W1235&gt;=55,W1235&lt;95),0.17,0)+IF(AND(V1235&gt;175,W1235&gt;=95),0.12,0),
IF(AF1235="DoEVs1",IF(AND(V1235&lt;20,W1235&lt;55),0.3,0)+IF(AND(V1235&lt;20,W1235&gt;=55,W1235&lt;105),0.23,0)+IF(AND(V1235&lt;20,W1235&gt;=105),0.17,0)+IF(AND(V1235&gt;=20,V1235&lt;40,W1235&lt;45),0.3,0)+IF(AND(V1235&gt;=20,V1235&lt;40,W1235&gt;=45,W1235&lt;95),0.23,0)+IF(AND(V1235&gt;=20,V1235&lt;40,W1235&gt;=95,W1235&lt;=150),0.17,0)+IF(AND(V1235&gt;=20,V1235&lt;40,W1235&gt;=150),0.12,0)+IF(AND(V1235&gt;=40,V1235&lt;75,W1235&lt;35),0.3,0)+IF(AND(V1235&gt;=40,V1235&lt;75,W1235&gt;=35,W1235&lt;75),0.23,0)+IF(AND(V1235&gt;=40,V1235&lt;75,W1235&gt;=75,W1235&lt;120),0.17,0)+IF(AND(V1235&gt;=40,V1235&lt;75,W1235&gt;=120),0.12,0)+IF(AND(V1235&gt;=75,V1235&lt;175,W1235&lt;35),0.3,0)+IF(AND(V1235&gt;=75,V1235&lt;=175,W1235&gt;=35,W1235&lt;65),0.23,0)+IF(AND(V1235&gt;=75,V1235&lt;=175,W1235&gt;=65,W1235&lt;110),0.17,0)+IF(AND(V1235&gt;=75,V1235&lt;=175,W1235&gt;=110),0.12,0)+IF(AND(V1235&gt;175,W1235&lt;25),0.3,0)+IF(AND(V1235&gt;175,W1235&gt;=25,W1235&lt;55),0.23,0)+IF(AND(V1235&gt;175,W1235&gt;=55,W1235&lt;95),0.17,0)+IF(AND(V1235&gt;175,W1235&gt;=95),0.12,0),
IF(AF1235="DoEVsu",IF(AND(V1235&lt;20,W1235&lt;55),0.3,0)+IF(AND(V1235&lt;20,W1235&gt;=55,W1235&lt;105),0.23,0)+IF(AND(V1235&lt;20,W1235&gt;=105),0.17,0)+IF(AND(V1235&gt;=20,V1235&lt;40,W1235&lt;45),0.3,0)+IF(AND(V1235&gt;=20,V1235&lt;40,W1235&gt;=45,W1235&lt;95),0.23,0)+IF(AND(V1235&gt;=20,V1235&lt;40,W1235&gt;=95,W1235&lt;=250),0.17,0)+IF(AND(V1235&gt;=20,V1235&lt;40,W1235&gt;=250),0.12,0)+IF(AND(V1235&gt;=40,V1235&lt;75,W1235&lt;35),0.3,0)+IF(AND(V1235&gt;=40,V1235&lt;75,W1235&gt;=35,W1235&lt;75),0.23,0)+IF(AND(V1235&gt;=40,V1235&lt;75,W1235&gt;=75,W1235&lt;120),0.17,0)+IF(AND(V1235&gt;=40,V1235&lt;75,W1235&gt;=120),0.12,0)+IF(AND(V1235&gt;=75,V1235&lt;175,W1235&lt;35),0.3,0)+IF(AND(V1235&gt;=75,V1235&lt;=175,W1235&gt;=35,W1235&lt;65),0.23,0)+IF(AND(V1235&gt;=75,V1235&lt;=175,W1235&gt;=65,W1235&lt;110),0.17,0)+IF(AND(V1235&gt;=75,V1235&lt;=175,W1235&gt;=110),0.12,0)+IF(AND(V1235&gt;175,W1235&lt;25),0.3,0)+IF(AND(V1235&gt;175,W1235&gt;=25,W1235&lt;55),0.23,0)+IF(AND(V1235&gt;175,W1235&gt;=55,W1235&lt;95),0.17,0)+IF(AND(V1235&gt;175,W1235&gt;=95),0.12,0),
IF(AF1235="DoEVni",IF(AND(V1235&lt;20,W1235&lt;55),0.3,0)+IF(AND(V1235&lt;20,W1235&gt;=55,W1235&lt;105),0.23,0)+IF(AND(V1235&lt;20,W1235&gt;=105),0.17,0)+IF(AND(V1235&gt;=20,V1235&lt;40,W1235&lt;45),0.3,0)+IF(AND(V1235&gt;=20,V1235&lt;40,W1235&gt;=45,W1235&lt;95),0.23,0)+IF(AND(V1235&gt;=20,V1235&lt;40,W1235&gt;=95,W1235&lt;=200),0.17,0)+IF(AND(V1235&gt;=20,V1235&lt;40,W1235&gt;=200),0.12,0)+IF(AND(V1235&gt;=40,V1235&lt;75,W1235&lt;35),0.3,0)+IF(AND(V1235&gt;=40,V1235&lt;75,W1235&gt;=35,W1235&lt;75),0.23,0)+IF(AND(V1235&gt;=40,V1235&lt;75,W1235&gt;=75,W1235&lt;120),0.17,0)+IF(AND(V1235&gt;=40,V1235&lt;75,W1235&gt;=120),0.12,0)+IF(AND(V1235&gt;=75,V1235&lt;175,W1235&lt;35),0.3,0)+IF(AND(V1235&gt;=75,V1235&lt;=175,W1235&gt;=35,W1235&lt;65),0.23,0)+IF(AND(V1235&gt;=75,V1235&lt;=175,W1235&gt;=65,W1235&lt;110),0.17,0)+IF(AND(V1235&gt;=75,V1235&lt;=175,W1235&gt;=110),0.12,0)+IF(AND(V1235&gt;175,W1235&lt;25),0.3,0)+IF(AND(V1235&gt;175,W1235&gt;=25,W1235&lt;55),0.23,0)+IF(AND(V1235&gt;175,W1235&gt;=55,W1235&lt;95),0.17,0)+IF(AND(V1235&gt;175,W1235&gt;=95),0.12,0),
IF(AF1235="DoEVLo",IF(AND(V1235&lt;20,W1235&lt;55),0.25,0)+IF(AND(V1235&lt;20,W1235&gt;=55,W1235&lt;105),0.2,0)+IF(AND(V1235&lt;20,W1235&gt;=105),0.15,0)+IF(AND(V1235&gt;=20,V1235&lt;40,W1235&lt;45),0.25,0)+IF(AND(V1235&gt;=20,V1235&lt;40,W1235&gt;=45,W1235&lt;95),0.2,0)+IF(AND(V1235&gt;=20,V1235&lt;40,W1235&gt;=95),0.15,0)+IF(AND(V1235&gt;=40,V1235&lt;75,W1235&lt;35),0.25,0)+IF(AND(V1235&gt;=40,V1235&lt;75,W1235&gt;=35,W1235&lt;75),0.2,0)+IF(AND(V1235&gt;=40,V1235&lt;75,W1235&gt;=75,W1235&lt;120),0.15,0)+IF(AND(V1235&gt;=40,V1235&lt;75,W1235&gt;=120),0.1,0)+IF(AND(V1235&gt;=75,V1235&lt;175,W1235&lt;35),0.25,0)+IF(AND(V1235&gt;=75,V1235&lt;=175,W1235&gt;=35,W1235&lt;65),0.2,0)+IF(AND(V1235&gt;=75,V1235&lt;=175,W1235&gt;=65,W1235&lt;110),0.15,0)+IF(AND(V1235&gt;=75,V1235&lt;=175,W1235&gt;=110),0.1,0)+IF(AND(V1235&gt;175,W1235&lt;25),0.25,0)+IF(AND(V1235&gt;175,W1235&gt;=25,W1235&lt;55),0.2,0)+IF(AND(V1235&gt;175,W1235&gt;=55,W1235&lt;95),0.15,0)+IF(AND(V1235&gt;175,W1235&gt;=95),0.1,0))))))))))))))))</f>
        <v>0.3</v>
      </c>
      <c r="Y1235" s="30">
        <f>IF(AG1235="None",0,IF(AG1235="Fix5",0.05,IF(AG1235="Fix3.75",0.0375,IF(AG1235="Fix10",0.1,IF(AG1235="Fix3",0.03,0)))))</f>
        <v>0</v>
      </c>
      <c r="Z1235" s="59">
        <f>IF(AND(AD1235="EUR", F1235="Without EV deal"), (T1235*U1235)-AA1235-AB1235, IF(AD1235="EUR", (R1235*U1235+S1235)-AA1235-AB1235,T1235-AA1235-AB1235))</f>
        <v>-1064</v>
      </c>
      <c r="AA1235" s="60">
        <f>IF(AND(AD1235="EUR", F1235="Without EV deal"), (T1235*X1235)*U1235, IF(AD1235="EUR", (R1235*U1235+S1235)*X1235, T1235*X1235))</f>
        <v>-456</v>
      </c>
      <c r="AB1235" s="36">
        <f>IF(AD1235="EUR",((T1235-R1235)*Y1235)*U1235+(R1235*Y1235),(T1235*Y1235))</f>
        <v>0</v>
      </c>
      <c r="AC1235" s="37" t="b">
        <v>1</v>
      </c>
      <c r="AD1235" s="61" t="s">
        <v>50</v>
      </c>
      <c r="AE1235" s="61"/>
      <c r="AF1235" s="37" t="str">
        <f t="array" ref="AF1235">INDEX('Deal Info'!D:D, MATCH(A1235,'Deal Info'!A:A, 0))</f>
        <v>DoEV</v>
      </c>
      <c r="AG1235" s="38" t="str">
        <f t="array" ref="AG1235">INDEX('Deal Info'!G:G, MATCH(A1235,'Deal Info'!A:A, 0))</f>
        <v>None</v>
      </c>
    </row>
    <row r="1236" spans="1:33" ht="14.25" x14ac:dyDescent="0.2">
      <c r="A1236" s="18" t="str">
        <f t="array" ref="A1236">IF(G1236='Room Info'!$B$1, INDEX('Room Info'!$A$2:$A2446, MATCH(B1236,'Room Info'!$B$2:$B2446, 0)),IF(G1236='Room Info'!$C$1, INDEX('Room Info'!$A$2:$A2446, MATCH(B1236,'Room Info'!$C$2:$C2446, 0)),IF(G1236='Room Info'!$D$1, INDEX('Room Info'!$A$2:$A2446, MATCH(B1236,'Room Info'!$D$2:$D2446, 0)),IF(G1236='Room Info'!$E$1, INDEX('Room Info'!$A$2:$A2446, MATCH(B1236,'Room Info'!$E$2:$E2446, 0)),IF(G1236='Room Info'!$F$1, INDEX('Room Info'!$A$2:$A2446, MATCH(B1236,'Room Info'!$F$2:$F2446, 0)),IF(G1236='Room Info'!$H$1, INDEX('Room Info'!$A$2:$A2446, MATCH(B1236,'Room Info'!$H$2:$H2446, 0)),IF(G1236='Room Info'!$G$1, INDEX('Room Info'!$A$2:$A2446, MATCH(B1236,'Room Info'!$G$2:$G2446, 0)))))))))</f>
        <v>Lo4io</v>
      </c>
      <c r="B1236" s="45" t="s">
        <v>107</v>
      </c>
      <c r="C1236" s="46">
        <v>44916</v>
      </c>
      <c r="D1236" s="46">
        <v>44946</v>
      </c>
      <c r="E1236" s="47">
        <v>44927</v>
      </c>
      <c r="F1236" s="48" t="s">
        <v>34</v>
      </c>
      <c r="G1236" s="45" t="s">
        <v>61</v>
      </c>
      <c r="H1236" s="49" t="s">
        <v>167</v>
      </c>
      <c r="I1236" s="49" t="s">
        <v>101</v>
      </c>
      <c r="J1236" s="50">
        <v>25</v>
      </c>
      <c r="K1236" s="51">
        <v>993</v>
      </c>
      <c r="L1236" s="52">
        <v>-380</v>
      </c>
      <c r="M1236" s="53">
        <v>706</v>
      </c>
      <c r="N1236" s="28">
        <f>K1236*J1236</f>
        <v>24825</v>
      </c>
      <c r="O1236" s="54">
        <v>56313</v>
      </c>
      <c r="P1236" s="29">
        <v>56.709969790000002</v>
      </c>
      <c r="Q1236" s="55"/>
      <c r="R1236" s="31">
        <f>M1236+Q1236</f>
        <v>706</v>
      </c>
      <c r="S1236" s="56">
        <v>471</v>
      </c>
      <c r="T1236" s="32">
        <f>R1236+S1236+IF(F1236="Without EV deal",L1236,0)</f>
        <v>1177</v>
      </c>
      <c r="U1236" s="57">
        <v>1.0860000000000001</v>
      </c>
      <c r="V1236" s="58"/>
      <c r="W1236" s="58"/>
      <c r="X1236" s="78">
        <v>0.15</v>
      </c>
      <c r="Y1236" s="30">
        <f>IF(AG1236="None",0,IF(AG1236="Fix5",0.05, IF(AG1236="Fix6.25",0.0625,IF(AG1236="Fix3.75",0.0375,IF(AG1236="Fix10",0.1,IF(AG1236="Fix3",0.03,0))))))</f>
        <v>0</v>
      </c>
      <c r="Z1236" s="35">
        <f>T1236-AA1236-AB1236</f>
        <v>994.3741</v>
      </c>
      <c r="AA1236" s="29">
        <f>IF(AD1236="EUR",((T1236-R1236)*X1236)*U1236+(R1236*X1236),(T1236*X1236))</f>
        <v>182.6259</v>
      </c>
      <c r="AB1236" s="36">
        <f>IF(AD1236="EUR",((T1236-R1236)*Y1236)*U1236+(R1236*Y1236),(T1236*Y1236))</f>
        <v>0</v>
      </c>
      <c r="AC1236" s="37" t="b">
        <v>1</v>
      </c>
      <c r="AD1236" s="45" t="s">
        <v>50</v>
      </c>
      <c r="AE1236" s="45"/>
      <c r="AF1236" s="37" t="str">
        <f t="array" ref="AF1236">INDEX('Deal Info'!D:D, MATCH(A1236,'Deal Info'!A:A, 0))</f>
        <v>DoEVLo</v>
      </c>
      <c r="AG1236" s="38" t="str">
        <f t="array" ref="AG1236">INDEX('Deal Info'!G:G, MATCH(A1236,'Deal Info'!A:A, 0))</f>
        <v>None</v>
      </c>
    </row>
    <row r="1237" spans="1:33" ht="14.25" x14ac:dyDescent="0.2">
      <c r="A1237" s="18" t="str">
        <f t="array" ref="A1237">IF(G1237='Room Info'!$B$1, INDEX('Room Info'!$A$2:$A2446, MATCH(B1237,'Room Info'!$B$2:$B2446, 0)),IF(G1237='Room Info'!$C$1, INDEX('Room Info'!$A$2:$A2446, MATCH(B1237,'Room Info'!$C$2:$C2446, 0)),IF(G1237='Room Info'!$D$1, INDEX('Room Info'!$A$2:$A2446, MATCH(B1237,'Room Info'!$D$2:$D2446, 0)),IF(G1237='Room Info'!$E$1, INDEX('Room Info'!$A$2:$A2446, MATCH(B1237,'Room Info'!$E$2:$E2446, 0)),IF(G1237='Room Info'!$F$1, INDEX('Room Info'!$A$2:$A2446, MATCH(B1237,'Room Info'!$F$2:$F2446, 0)),IF(G1237='Room Info'!$H$1, INDEX('Room Info'!$A$2:$A2446, MATCH(B1237,'Room Info'!$H$2:$H2446, 0)),IF(G1237='Room Info'!$G$1, INDEX('Room Info'!$A$2:$A2446, MATCH(B1237,'Room Info'!$G$2:$G2446, 0)))))))))</f>
        <v>Mackevgen</v>
      </c>
      <c r="B1237" s="45" t="s">
        <v>128</v>
      </c>
      <c r="C1237" s="111">
        <v>44916</v>
      </c>
      <c r="D1237" s="111">
        <v>44957</v>
      </c>
      <c r="E1237" s="47">
        <v>44927</v>
      </c>
      <c r="F1237" s="48" t="s">
        <v>49</v>
      </c>
      <c r="G1237" s="45" t="s">
        <v>61</v>
      </c>
      <c r="H1237" s="49" t="s">
        <v>167</v>
      </c>
      <c r="I1237" s="49" t="s">
        <v>101</v>
      </c>
      <c r="J1237" s="50">
        <v>25</v>
      </c>
      <c r="K1237" s="123">
        <v>1908</v>
      </c>
      <c r="L1237" s="113">
        <v>887</v>
      </c>
      <c r="M1237" s="62">
        <v>6</v>
      </c>
      <c r="N1237" s="28">
        <f>K1237*J1237</f>
        <v>47700</v>
      </c>
      <c r="O1237" s="65">
        <v>64067</v>
      </c>
      <c r="P1237" s="29">
        <v>33.578092239999997</v>
      </c>
      <c r="Q1237" s="55"/>
      <c r="R1237" s="31">
        <f>M1237+Q1237</f>
        <v>6</v>
      </c>
      <c r="S1237" s="66">
        <v>-1103</v>
      </c>
      <c r="T1237" s="32">
        <f>R1237+S1237+IF(F1237="Without EV deal",L1237,0)</f>
        <v>-1097</v>
      </c>
      <c r="U1237" s="57">
        <v>1</v>
      </c>
      <c r="V1237" s="58"/>
      <c r="W1237" s="58"/>
      <c r="X1237" s="78">
        <v>0.17</v>
      </c>
      <c r="Y1237" s="30">
        <f>IF(AG1237="None",0,IF(AG1237="Fix5",0.05, IF(AG1237="Fix6.25",0.0625,IF(AG1237="Fix3.75",0.0375,IF(AG1237="Fix10",0.1,IF(AG1237="Fix3",0.03,0))))))</f>
        <v>0</v>
      </c>
      <c r="Z1237" s="35">
        <f>T1237-AA1237-AB1237</f>
        <v>-911</v>
      </c>
      <c r="AA1237" s="29">
        <v>-186</v>
      </c>
      <c r="AB1237" s="36">
        <f>IF(AD1237="EUR",((T1237-R1237)*Y1237)*U1237+(R1237*Y1237),(T1237*Y1237))</f>
        <v>0</v>
      </c>
      <c r="AC1237" s="37" t="b">
        <v>1</v>
      </c>
      <c r="AD1237" s="37" t="s">
        <v>38</v>
      </c>
      <c r="AE1237" s="37" t="s">
        <v>38</v>
      </c>
      <c r="AF1237" s="37" t="str">
        <f t="array" ref="AF1237">INDEX('Deal Info'!D:D, MATCH(A1237,'Deal Info'!A:A, 0))</f>
        <v>DoEV</v>
      </c>
      <c r="AG1237" s="38" t="str">
        <f t="array" ref="AG1237">INDEX('Deal Info'!G:G, MATCH(A1237,'Deal Info'!A:A, 0))</f>
        <v>None</v>
      </c>
    </row>
    <row r="1238" spans="1:33" ht="14.25" x14ac:dyDescent="0.2">
      <c r="A1238" s="18" t="str">
        <f t="array" ref="A1238">IF(G1238='Room Info'!$B$1, INDEX('Room Info'!$A$2:$A2446, MATCH(B1238,'Room Info'!$B$2:$B2446, 0)),IF(G1238='Room Info'!$C$1, INDEX('Room Info'!$A$2:$A2446, MATCH(B1238,'Room Info'!$C$2:$C2446, 0)),IF(G1238='Room Info'!$D$1, INDEX('Room Info'!$A$2:$A2446, MATCH(B1238,'Room Info'!$D$2:$D2446, 0)),IF(G1238='Room Info'!$E$1, INDEX('Room Info'!$A$2:$A2446, MATCH(B1238,'Room Info'!$E$2:$E2446, 0)),IF(G1238='Room Info'!$F$1, INDEX('Room Info'!$A$2:$A2446, MATCH(B1238,'Room Info'!$F$2:$F2446, 0)),IF(G1238='Room Info'!$H$1, INDEX('Room Info'!$A$2:$A2446, MATCH(B1238,'Room Info'!$H$2:$H2446, 0)),IF(G1238='Room Info'!$G$1, INDEX('Room Info'!$A$2:$A2446, MATCH(B1238,'Room Info'!$G$2:$G2446, 0)))))))))</f>
        <v>Sun_Set_pro8</v>
      </c>
      <c r="B1238" s="54" t="s">
        <v>98</v>
      </c>
      <c r="C1238" s="46">
        <v>44927</v>
      </c>
      <c r="D1238" s="46">
        <v>44957</v>
      </c>
      <c r="E1238" s="47">
        <v>44927</v>
      </c>
      <c r="F1238" s="133" t="s">
        <v>41</v>
      </c>
      <c r="G1238" s="54" t="s">
        <v>61</v>
      </c>
      <c r="H1238" s="49" t="s">
        <v>167</v>
      </c>
      <c r="I1238" s="49" t="s">
        <v>101</v>
      </c>
      <c r="J1238" s="50">
        <v>25</v>
      </c>
      <c r="K1238" s="51">
        <v>6</v>
      </c>
      <c r="L1238" s="138">
        <v>75</v>
      </c>
      <c r="M1238" s="53"/>
      <c r="N1238" s="28">
        <f>K1238*J1238</f>
        <v>150</v>
      </c>
      <c r="O1238" s="128">
        <v>720</v>
      </c>
      <c r="P1238" s="29">
        <v>120</v>
      </c>
      <c r="Q1238" s="55"/>
      <c r="R1238" s="31">
        <f>M1238+Q1238</f>
        <v>0</v>
      </c>
      <c r="S1238" s="118"/>
      <c r="T1238" s="32">
        <f>R1238+S1238+IF(F1238="Without EV deal",L1238,0)</f>
        <v>75</v>
      </c>
      <c r="U1238" s="57">
        <v>1.08</v>
      </c>
      <c r="V1238" s="58"/>
      <c r="W1238" s="58"/>
      <c r="X1238" s="78">
        <v>0.25</v>
      </c>
      <c r="Y1238" s="30">
        <f>IF(AG1238="None",0,IF(AG1238="Fix5",0.05, IF(AG1238="Fix6.25",0.0625,IF(AG1238="Fix3.75",0.0375,IF(AG1238="Fix10",0.1,IF(AG1238="Fix3",0.03,0))))))</f>
        <v>0</v>
      </c>
      <c r="Z1238" s="35">
        <f>T1238-AA1238-AB1238</f>
        <v>54.75</v>
      </c>
      <c r="AA1238" s="60">
        <f>IF(AD1238="EUR",((T1238-R1238)*X1238)*U1238+(R1238*X1238),(T1238*X1238))</f>
        <v>20.25</v>
      </c>
      <c r="AB1238" s="36">
        <f>IF(AD1238="EUR",((T1238-R1238)*Y1238)*U1238+(R1238*Y1238),(T1238*Y1238))</f>
        <v>0</v>
      </c>
      <c r="AC1238" s="37" t="b">
        <v>1</v>
      </c>
      <c r="AD1238" s="37" t="s">
        <v>50</v>
      </c>
      <c r="AE1238" s="37"/>
      <c r="AF1238" s="37" t="str">
        <f t="array" ref="AF1238">INDEX('Deal Info'!D:D, MATCH(A1238,'Deal Info'!A:A, 0))</f>
        <v>DoEVold</v>
      </c>
      <c r="AG1238" s="38" t="str">
        <f t="array" ref="AG1238">INDEX('Deal Info'!G:G, MATCH(A1238,'Deal Info'!A:A, 0))</f>
        <v>None</v>
      </c>
    </row>
    <row r="1239" spans="1:33" ht="14.25" x14ac:dyDescent="0.2">
      <c r="A1239" s="18" t="str">
        <f t="array" ref="A1239">IF(G1239='Room Info'!$B$1, INDEX('Room Info'!$A$2:$A2446, MATCH(B1239,'Room Info'!$B$2:$B2446, 0)),IF(G1239='Room Info'!$C$1, INDEX('Room Info'!$A$2:$A2446, MATCH(B1239,'Room Info'!$C$2:$C2446, 0)),IF(G1239='Room Info'!$D$1, INDEX('Room Info'!$A$2:$A2446, MATCH(B1239,'Room Info'!$D$2:$D2446, 0)),IF(G1239='Room Info'!$E$1, INDEX('Room Info'!$A$2:$A2446, MATCH(B1239,'Room Info'!$E$2:$E2446, 0)),IF(G1239='Room Info'!$F$1, INDEX('Room Info'!$A$2:$A2446, MATCH(B1239,'Room Info'!$F$2:$F2446, 0)),IF(G1239='Room Info'!$H$1, INDEX('Room Info'!$A$2:$A2446, MATCH(B1239,'Room Info'!$H$2:$H2446, 0)),IF(G1239='Room Info'!$G$1, INDEX('Room Info'!$A$2:$A2446, MATCH(B1239,'Room Info'!$G$2:$G2446, 0)))))))))</f>
        <v>vezuxa</v>
      </c>
      <c r="B1239" s="45" t="s">
        <v>133</v>
      </c>
      <c r="C1239" s="46">
        <v>44896</v>
      </c>
      <c r="D1239" s="46">
        <v>44957</v>
      </c>
      <c r="E1239" s="47">
        <v>44927</v>
      </c>
      <c r="F1239" s="48" t="s">
        <v>41</v>
      </c>
      <c r="G1239" s="129" t="s">
        <v>61</v>
      </c>
      <c r="H1239" s="49" t="s">
        <v>183</v>
      </c>
      <c r="I1239" s="49" t="s">
        <v>101</v>
      </c>
      <c r="J1239" s="50">
        <v>2</v>
      </c>
      <c r="K1239" s="51">
        <v>0</v>
      </c>
      <c r="L1239" s="52">
        <v>0</v>
      </c>
      <c r="M1239" s="53"/>
      <c r="N1239" s="28">
        <f>K1239*J1239</f>
        <v>0</v>
      </c>
      <c r="O1239" s="54">
        <v>0</v>
      </c>
      <c r="P1239" s="29" t="s">
        <v>334</v>
      </c>
      <c r="Q1239" s="55"/>
      <c r="R1239" s="31">
        <f>M1239+Q1239</f>
        <v>0</v>
      </c>
      <c r="S1239" s="56"/>
      <c r="T1239" s="32">
        <f>R1239+S1239+IF(F1239="Without EV deal",L1239,0)</f>
        <v>0</v>
      </c>
      <c r="U1239" s="57">
        <v>1</v>
      </c>
      <c r="V1239" s="58"/>
      <c r="W1239" s="58"/>
      <c r="X1239" s="78">
        <f>IF(AF1239="DoEV",IF(AND(V1239&lt;20,W1239&lt;55),0.3,0)+IF(AND(V1239&lt;20,W1239&gt;=55,W1239&lt;105),0.23,0)+IF(AND(V1239&lt;20,W1239&gt;=105),0.17,0)+IF(AND(V1239&gt;=20,V1239&lt;40,W1239&lt;45),0.3,0)+IF(AND(V1239&gt;=20,V1239&lt;40,W1239&gt;=45,W1239&lt;95),0.23,0)+IF(AND(V1239&gt;=20,V1239&lt;40,W1239&gt;=95),0.17,0)+IF(AND(V1239&gt;=40,V1239&lt;75,W1239&lt;35),0.3,0)+IF(AND(V1239&gt;=40,V1239&lt;75,W1239&gt;=35,W1239&lt;75),0.23,0)+IF(AND(V1239&gt;=40,V1239&lt;75,W1239&gt;=75,W1239&lt;120),0.17,0)+IF(AND(V1239&gt;=40,V1239&lt;75,W1239&gt;=120),0.12,0)+IF(AND(V1239&gt;=75,V1239&lt;175,W1239&lt;35),0.3,0)+IF(AND(V1239&gt;=75,V1239&lt;=175,W1239&gt;=35,W1239&lt;65),0.23,0)+IF(AND(V1239&gt;=75,V1239&lt;=175,W1239&gt;=65,W1239&lt;110),0.17,0)+IF(AND(V1239&gt;=75,V1239&lt;=175,W1239&gt;=110),0.12,0)+IF(AND(V1239&gt;175,W1239&lt;25),0.3,0)+IF(AND(V1239&gt;175,W1239&gt;=25,W1239&lt;55),0.23,0)+IF(AND(V1239&gt;175,W1239&gt;=55,W1239&lt;95),0.17,0)+IF(AND(V1239&gt;175,W1239&gt;=95),0.12,0),
IF(AF1239="Fix15",0.15,
IF(AF1239="Fix18.75",0.1875,
IF(AF1239="Fix11.25",0.1125,
IF(AF1239="Fix10",0.1,
IF(AF1239="Fix9",0.09,
IF(AF1239="DoEV2017",IF(AND(W1239&lt;74),0.2,0)+IF(AND(W1239&gt;=74),0.17,0),
IF(AF1239="SF",IF(AND(V1239&lt;20,W1239&lt;89),0.3,0)+IF(AND(V1239&lt;20,W1239&gt;=89),0.25,0)+IF(AND(V1239&gt;=20,V1239&lt;40,W1239&lt;74),0.3,0)+IF(AND(V1239&gt;=20,V1239&lt;40,W1239&gt;=75),0.22,0)+IF(AND(V1239&gt;=40,V1239&lt;75,W1239&lt;75),0.26,0)+IF(AND(V1239&gt;=40,V1239&lt;75,W1239&gt;=75),0.22,0)+IF(V1239&gt;=75,0.22,0),
IF(AF1239="DoEVold",IF(AND(V1239&lt;40,W1239&lt;35),0.35,0)+IF(AND(V1239&lt;40,W1239&gt;=35,W1239&lt;75),0.25,0)+IF(AND(V1239&lt;40,W1239&gt;=75),0.17,0)+IF(AND(V1239&gt;=40,V1239&lt;75,W1239&lt;25),0.35,0)+IF(AND(V1239&gt;=40,V1239&lt;75,W1239&gt;=25,W1239&lt;65),0.25,0)+IF(AND(V1239&gt;=40,V1239&lt;75,W1239&gt;=65,W1239&lt;100),0.17,0)+IF(AND(V1239&gt;=40,V1239&lt;75,W1239&gt;=100),0.1,0)+IF(AND(V1239&gt;=75,W1239&lt;25),0.35,0)+IF(AND(V1239&gt;=75,W1239&gt;=25,W1239&lt;60),0.25,0)+IF(AND(V1239&gt;=75,W1239&gt;=60,W1239&lt;95),0.17,0)+IF(AND(V1239&gt;=75,W1239&gt;=95),0.1,0),
IF(AF1239="DoEVold15",IF(AND(V1239&lt;=40,W1239&lt;35),0.35,0)+IF(AND(V1239&lt;=40,W1239&gt;=35,W1239&lt;75),0.25,0)+IF(AND(V1239&lt;=40,W1239&gt;=75,W1239&lt;120),0.17,0)+IF(AND(V1239&lt;=40,W1239&gt;=120),0.15,0)+IF(AND(V1239&gt;40,V1239&lt;75,W1239&lt;25),0.35,0)+IF(AND(V1239&gt;=40,V1239&lt;75,W1239&gt;=25,W1239&lt;65),0.25,0)+IF(AND(V1239&gt;=40,V1239&lt;75,W1239&gt;=65,W1239&lt;100),0.17,0)+IF(AND(V1239&gt;=40,V1239&lt;75,W1239&gt;=100),0.1,0)+IF(AND(V1239&gt;=75,W1239&lt;25),0.35,0)+IF(AND(V1239&gt;=75,W1239&gt;=25,W1239&lt;60),0.25,0)+IF(AND(V1239&gt;=75,W1239&gt;=60,W1239&lt;95),0.17,0)+IF(AND(V1239&gt;=75,W1239&gt;=95),0.1,0),
IF(AF1239="DoEVba",IF(AND(V1239&lt;20,W1239&lt;105),0.2,0)+IF(AND(V1239&lt;20,W1239&gt;=105),0.15,0)+IF(AND(V1239&gt;=20,V1239&lt;40,W1239&lt;95),0.2,0)+IF(AND(V1239&gt;=20,V1239&lt;40,W1239&gt;=95,W1239&lt;150),0.15,0)+IF(AND(V1239&gt;=20,V1239&lt;40,W1239&gt;=150),0.12,0)+IF(AND(V1239&gt;=40,V1239&lt;75,W1239&lt;75),0.2,0)+IF(AND(V1239&gt;=40,V1239&lt;75,W1239&gt;=75,W1239&lt;120),0.15,0)+IF(AND(V1239&gt;=40,V1239&lt;75,W1239&gt;=120),0.12,0)+IF(AND(V1239&gt;=75,V1239&lt;175,W1239&lt;65),0.2,0)+IF(AND(V1239&gt;=75,V1239&lt;175,W1239&gt;=65,W1239&lt;110),0.15,0)+IF(AND(V1239&gt;=75,V1239&lt;175,W1239&gt;=110),0.12,0)+IF(AND(V1239&gt;=175,W1239&lt;55),0.2,0)+IF(AND(V1239&gt;=175,W1239&gt;=55,W1239&lt;95),0.15,0)+IF(AND(V1239&gt;=175,W1239&gt;=95),0.12,0),
IF(AF1239="DoEVku",IF(AND(V1239&lt;20,W1239&lt;55),0.23,0)+IF(AND(V1239&lt;20,W1239&gt;=55,W1239&lt;105),0.2,0)+IF(AND(V1239&lt;20,W1239&gt;=105),0.17,0)+IF(AND(V1239&gt;=20,V1239&lt;40,W1239&lt;45),0.23,0)+IF(AND(V1239&gt;=20,V1239&lt;40,W1239&gt;=45,W1239&lt;95),0.2,0)+IF(AND(V1239&gt;=20,V1239&lt;40,W1239&gt;=95,W1239&lt;=150),0.17,0)+IF(AND(V1239&gt;=20,V1239&lt;40,W1239&gt;=150),0.12,0)+IF(AND(V1239&gt;=40,V1239&lt;75,W1239&lt;35),0.23,0)+IF(AND(V1239&gt;=40,V1239&lt;75,W1239&gt;=35,W1239&lt;75),0.2,0)+IF(AND(V1239&gt;=40,V1239&lt;75,W1239&gt;=75,W1239&lt;120),0.17,0)+IF(AND(V1239&gt;=40,V1239&lt;75,W1239&gt;=120),0.12,0)+IF(AND(V1239&gt;=75,V1239&lt;175,W1239&lt;35),0.23,0)+IF(AND(V1239&gt;=75,V1239&lt;=175,W1239&gt;=35,W1239&lt;65),0.2,0)+IF(AND(V1239&gt;=75,V1239&lt;=175,W1239&gt;=65,W1239&lt;110),0.17,0)+IF(AND(V1239&gt;=75,V1239&lt;=175,W1239&gt;=110),0.12,0)+IF(AND(V1239&gt;175,W1239&lt;25),0.23,0)+IF(AND(V1239&gt;175,W1239&gt;=25,W1239&lt;55),0.2,0)+IF(AND(V1239&gt;175,W1239&gt;=55,W1239&lt;95),0.17,0)+IF(AND(V1239&gt;175,W1239&gt;=95),0.12,0),
IF(AF1239="DoEVs1",IF(AND(V1239&lt;20,W1239&lt;55),0.3,0)+IF(AND(V1239&lt;20,W1239&gt;=55,W1239&lt;105),0.23,0)+IF(AND(V1239&lt;20,W1239&gt;=105),0.17,0)+IF(AND(V1239&gt;=20,V1239&lt;40,W1239&lt;45),0.3,0)+IF(AND(V1239&gt;=20,V1239&lt;40,W1239&gt;=45,W1239&lt;95),0.23,0)+IF(AND(V1239&gt;=20,V1239&lt;40,W1239&gt;=95,W1239&lt;=150),0.17,0)+IF(AND(V1239&gt;=20,V1239&lt;40,W1239&gt;=150),0.12,0)+IF(AND(V1239&gt;=40,V1239&lt;75,W1239&lt;35),0.3,0)+IF(AND(V1239&gt;=40,V1239&lt;75,W1239&gt;=35,W1239&lt;75),0.23,0)+IF(AND(V1239&gt;=40,V1239&lt;75,W1239&gt;=75,W1239&lt;120),0.17,0)+IF(AND(V1239&gt;=40,V1239&lt;75,W1239&gt;=120),0.12,0)+IF(AND(V1239&gt;=75,V1239&lt;175,W1239&lt;35),0.3,0)+IF(AND(V1239&gt;=75,V1239&lt;=175,W1239&gt;=35,W1239&lt;65),0.23,0)+IF(AND(V1239&gt;=75,V1239&lt;=175,W1239&gt;=65,W1239&lt;110),0.17,0)+IF(AND(V1239&gt;=75,V1239&lt;=175,W1239&gt;=110),0.12,0)+IF(AND(V1239&gt;175,W1239&lt;25),0.3,0)+IF(AND(V1239&gt;175,W1239&gt;=25,W1239&lt;55),0.23,0)+IF(AND(V1239&gt;175,W1239&gt;=55,W1239&lt;95),0.17,0)+IF(AND(V1239&gt;175,W1239&gt;=95),0.12,0),
IF(AF1239="DoEVsu",IF(AND(V1239&lt;20,W1239&lt;55),0.3,0)+IF(AND(V1239&lt;20,W1239&gt;=55,W1239&lt;105),0.23,0)+IF(AND(V1239&lt;20,W1239&gt;=105),0.17,0)+IF(AND(V1239&gt;=20,V1239&lt;40,W1239&lt;45),0.3,0)+IF(AND(V1239&gt;=20,V1239&lt;40,W1239&gt;=45,W1239&lt;95),0.23,0)+IF(AND(V1239&gt;=20,V1239&lt;40,W1239&gt;=95,W1239&lt;=250),0.17,0)+IF(AND(V1239&gt;=20,V1239&lt;40,W1239&gt;=250),0.12,0)+IF(AND(V1239&gt;=40,V1239&lt;75,W1239&lt;35),0.3,0)+IF(AND(V1239&gt;=40,V1239&lt;75,W1239&gt;=35,W1239&lt;75),0.23,0)+IF(AND(V1239&gt;=40,V1239&lt;75,W1239&gt;=75,W1239&lt;120),0.17,0)+IF(AND(V1239&gt;=40,V1239&lt;75,W1239&gt;=120),0.12,0)+IF(AND(V1239&gt;=75,V1239&lt;175,W1239&lt;35),0.3,0)+IF(AND(V1239&gt;=75,V1239&lt;=175,W1239&gt;=35,W1239&lt;65),0.23,0)+IF(AND(V1239&gt;=75,V1239&lt;=175,W1239&gt;=65,W1239&lt;110),0.17,0)+IF(AND(V1239&gt;=75,V1239&lt;=175,W1239&gt;=110),0.12,0)+IF(AND(V1239&gt;175,W1239&lt;25),0.3,0)+IF(AND(V1239&gt;175,W1239&gt;=25,W1239&lt;55),0.23,0)+IF(AND(V1239&gt;175,W1239&gt;=55,W1239&lt;95),0.17,0)+IF(AND(V1239&gt;175,W1239&gt;=95),0.12,0),
IF(AF1239="DoEVni",IF(AND(V1239&lt;20,W1239&lt;55),0.3,0)+IF(AND(V1239&lt;20,W1239&gt;=55,W1239&lt;105),0.23,0)+IF(AND(V1239&lt;20,W1239&gt;=105),0.17,0)+IF(AND(V1239&gt;=20,V1239&lt;40,W1239&lt;45),0.3,0)+IF(AND(V1239&gt;=20,V1239&lt;40,W1239&gt;=45,W1239&lt;95),0.23,0)+IF(AND(V1239&gt;=20,V1239&lt;40,W1239&gt;=95,W1239&lt;=200),0.17,0)+IF(AND(V1239&gt;=20,V1239&lt;40,W1239&gt;=200),0.12,0)+IF(AND(V1239&gt;=40,V1239&lt;75,W1239&lt;35),0.3,0)+IF(AND(V1239&gt;=40,V1239&lt;75,W1239&gt;=35,W1239&lt;75),0.23,0)+IF(AND(V1239&gt;=40,V1239&lt;75,W1239&gt;=75,W1239&lt;120),0.17,0)+IF(AND(V1239&gt;=40,V1239&lt;75,W1239&gt;=120),0.12,0)+IF(AND(V1239&gt;=75,V1239&lt;175,W1239&lt;35),0.3,0)+IF(AND(V1239&gt;=75,V1239&lt;=175,W1239&gt;=35,W1239&lt;65),0.23,0)+IF(AND(V1239&gt;=75,V1239&lt;=175,W1239&gt;=65,W1239&lt;110),0.17,0)+IF(AND(V1239&gt;=75,V1239&lt;=175,W1239&gt;=110),0.12,0)+IF(AND(V1239&gt;175,W1239&lt;25),0.3,0)+IF(AND(V1239&gt;175,W1239&gt;=25,W1239&lt;55),0.23,0)+IF(AND(V1239&gt;175,W1239&gt;=55,W1239&lt;95),0.17,0)+IF(AND(V1239&gt;175,W1239&gt;=95),0.12,0),
IF(AF1239="DoEVLo",IF(AND(V1239&lt;20,W1239&lt;55),0.25,0)+IF(AND(V1239&lt;20,W1239&gt;=55,W1239&lt;105),0.2,0)+IF(AND(V1239&lt;20,W1239&gt;=105),0.15,0)+IF(AND(V1239&gt;=20,V1239&lt;40,W1239&lt;45),0.25,0)+IF(AND(V1239&gt;=20,V1239&lt;40,W1239&gt;=45,W1239&lt;95),0.2,0)+IF(AND(V1239&gt;=20,V1239&lt;40,W1239&gt;=95),0.15,0)+IF(AND(V1239&gt;=40,V1239&lt;75,W1239&lt;35),0.25,0)+IF(AND(V1239&gt;=40,V1239&lt;75,W1239&gt;=35,W1239&lt;75),0.2,0)+IF(AND(V1239&gt;=40,V1239&lt;75,W1239&gt;=75,W1239&lt;120),0.15,0)+IF(AND(V1239&gt;=40,V1239&lt;75,W1239&gt;=120),0.1,0)+IF(AND(V1239&gt;=75,V1239&lt;175,W1239&lt;35),0.25,0)+IF(AND(V1239&gt;=75,V1239&lt;=175,W1239&gt;=35,W1239&lt;65),0.2,0)+IF(AND(V1239&gt;=75,V1239&lt;=175,W1239&gt;=65,W1239&lt;110),0.15,0)+IF(AND(V1239&gt;=75,V1239&lt;=175,W1239&gt;=110),0.1,0)+IF(AND(V1239&gt;175,W1239&lt;25),0.25,0)+IF(AND(V1239&gt;175,W1239&gt;=25,W1239&lt;55),0.2,0)+IF(AND(V1239&gt;175,W1239&gt;=55,W1239&lt;95),0.15,0)+IF(AND(V1239&gt;175,W1239&gt;=95),0.1,0)))))))))))))))))</f>
        <v>0.3</v>
      </c>
      <c r="Y1239" s="30">
        <f>IF(AG1239="None",0,IF(AG1239="Fix5",0.05, IF(AG1239="Fix6.25",0.0625,IF(AG1239="Fix3.75",0.0375,IF(AG1239="Fix10",0.1,IF(AG1239="Fix3",0.03,0))))))</f>
        <v>0</v>
      </c>
      <c r="Z1239" s="35">
        <f>T1239-AA1239-AB1239</f>
        <v>0</v>
      </c>
      <c r="AA1239" s="29">
        <f>IF(AD1239="EUR",((T1239-R1239)*X1239)*U1239+(R1239*X1239),(T1239*X1239))</f>
        <v>0</v>
      </c>
      <c r="AB1239" s="36">
        <f>IF(AD1239="EUR",((T1239-R1239)*Y1239)*U1239+(R1239*Y1239),(T1239*Y1239))</f>
        <v>0</v>
      </c>
      <c r="AC1239" s="37" t="b">
        <v>1</v>
      </c>
      <c r="AD1239" s="61" t="s">
        <v>38</v>
      </c>
      <c r="AE1239" s="61" t="s">
        <v>38</v>
      </c>
      <c r="AF1239" s="37" t="str">
        <f t="array" ref="AF1239">INDEX('Deal Info'!D:D, MATCH(A1239,'Deal Info'!A:A, 0))</f>
        <v>DoEV</v>
      </c>
      <c r="AG1239" s="38" t="str">
        <f t="array" ref="AG1239">INDEX('Deal Info'!G:G, MATCH(A1239,'Deal Info'!A:A, 0))</f>
        <v>None</v>
      </c>
    </row>
    <row r="1240" spans="1:33" ht="14.25" x14ac:dyDescent="0.2">
      <c r="A1240" s="18" t="str">
        <f t="array" ref="A1240">IF(G1240='Room Info'!$B$1, INDEX('Room Info'!$A$2:$A2446, MATCH(B1240,'Room Info'!$B$2:$B2446, 0)),IF(G1240='Room Info'!$C$1, INDEX('Room Info'!$A$2:$A2446, MATCH(B1240,'Room Info'!$C$2:$C2446, 0)),IF(G1240='Room Info'!$D$1, INDEX('Room Info'!$A$2:$A2446, MATCH(B1240,'Room Info'!$D$2:$D2446, 0)),IF(G1240='Room Info'!$E$1, INDEX('Room Info'!$A$2:$A2446, MATCH(B1240,'Room Info'!$E$2:$E2446, 0)),IF(G1240='Room Info'!$F$1, INDEX('Room Info'!$A$2:$A2446, MATCH(B1240,'Room Info'!$F$2:$F2446, 0)),IF(G1240='Room Info'!$H$1, INDEX('Room Info'!$A$2:$A2446, MATCH(B1240,'Room Info'!$H$2:$H2446, 0)),IF(G1240='Room Info'!$G$1, INDEX('Room Info'!$A$2:$A2446, MATCH(B1240,'Room Info'!$G$2:$G2446, 0)))))))))</f>
        <v>fortunate773</v>
      </c>
      <c r="B1240" s="45" t="s">
        <v>95</v>
      </c>
      <c r="C1240" s="46">
        <v>44916</v>
      </c>
      <c r="D1240" s="46">
        <v>44957</v>
      </c>
      <c r="E1240" s="47">
        <v>44927</v>
      </c>
      <c r="F1240" s="48" t="s">
        <v>49</v>
      </c>
      <c r="G1240" s="129" t="s">
        <v>61</v>
      </c>
      <c r="H1240" s="49" t="s">
        <v>59</v>
      </c>
      <c r="I1240" s="49" t="s">
        <v>101</v>
      </c>
      <c r="J1240" s="70">
        <v>100</v>
      </c>
      <c r="K1240" s="71">
        <v>333</v>
      </c>
      <c r="L1240" s="52">
        <v>-2600</v>
      </c>
      <c r="M1240" s="53">
        <v>117</v>
      </c>
      <c r="N1240" s="28">
        <f>K1240*J1240</f>
        <v>33300</v>
      </c>
      <c r="O1240" s="54">
        <v>8105</v>
      </c>
      <c r="P1240" s="29">
        <v>24.339339339999999</v>
      </c>
      <c r="Q1240" s="55"/>
      <c r="R1240" s="31">
        <f>M1240+Q1240</f>
        <v>117</v>
      </c>
      <c r="S1240" s="56">
        <v>-1416</v>
      </c>
      <c r="T1240" s="32">
        <f>R1240+S1240+IF(F1240="Without EV deal",L1240,0)</f>
        <v>-1299</v>
      </c>
      <c r="U1240" s="57">
        <v>1</v>
      </c>
      <c r="V1240" s="58"/>
      <c r="W1240" s="58"/>
      <c r="X1240" s="78">
        <f>IF(AF1240="DoEV",IF(AND(V1240&lt;20,W1240&lt;55),0.3,0)+IF(AND(V1240&lt;20,W1240&gt;=55,W1240&lt;105),0.23,0)+IF(AND(V1240&lt;20,W1240&gt;=105),0.17,0)+IF(AND(V1240&gt;=20,V1240&lt;40,W1240&lt;45),0.3,0)+IF(AND(V1240&gt;=20,V1240&lt;40,W1240&gt;=45,W1240&lt;95),0.23,0)+IF(AND(V1240&gt;=20,V1240&lt;40,W1240&gt;=95),0.17,0)+IF(AND(V1240&gt;=40,V1240&lt;75,W1240&lt;35),0.3,0)+IF(AND(V1240&gt;=40,V1240&lt;75,W1240&gt;=35,W1240&lt;75),0.23,0)+IF(AND(V1240&gt;=40,V1240&lt;75,W1240&gt;=75,W1240&lt;120),0.17,0)+IF(AND(V1240&gt;=40,V1240&lt;75,W1240&gt;=120),0.12,0)+IF(AND(V1240&gt;=75,V1240&lt;175,W1240&lt;35),0.3,0)+IF(AND(V1240&gt;=75,V1240&lt;=175,W1240&gt;=35,W1240&lt;65),0.23,0)+IF(AND(V1240&gt;=75,V1240&lt;=175,W1240&gt;=65,W1240&lt;110),0.17,0)+IF(AND(V1240&gt;=75,V1240&lt;=175,W1240&gt;=110),0.12,0)+IF(AND(V1240&gt;175,W1240&lt;25),0.3,0)+IF(AND(V1240&gt;175,W1240&gt;=25,W1240&lt;55),0.23,0)+IF(AND(V1240&gt;175,W1240&gt;=55,W1240&lt;95),0.17,0)+IF(AND(V1240&gt;175,W1240&gt;=95),0.12,0),
IF(AF1240="Fix15",0.15,
IF(AF1240="Fix11.25",0.1125,
IF(AF1240="Fix10",0.1,
IF(AF1240="Fix9",0.09,
IF(AF1240="DoEV2017",IF(AND(W1240&lt;74),0.2,0)+IF(AND(W1240&gt;=74),0.17,0),
IF(AF1240="SF",IF(AND(V1240&lt;20,W1240&lt;89),0.3,0)+IF(AND(V1240&lt;20,W1240&gt;=89),0.25,0)+IF(AND(V1240&gt;=20,V1240&lt;40,W1240&lt;74),0.3,0)+IF(AND(V1240&gt;=20,V1240&lt;40,W1240&gt;=75),0.22,0)+IF(AND(V1240&gt;=40,V1240&lt;75,W1240&lt;75),0.26,0)+IF(AND(V1240&gt;=40,V1240&lt;75,W1240&gt;=75),0.22,0)+IF(V1240&gt;=75,0.22,0),
IF(AF1240="DoEVold",IF(AND(V1240&lt;40,W1240&lt;35),0.35,0)+IF(AND(V1240&lt;40,W1240&gt;=35,W1240&lt;75),0.25,0)+IF(AND(V1240&lt;40,W1240&gt;=75),0.17,0)+IF(AND(V1240&gt;=40,V1240&lt;75,W1240&lt;25),0.35,0)+IF(AND(V1240&gt;=40,V1240&lt;75,W1240&gt;=25,W1240&lt;65),0.25,0)+IF(AND(V1240&gt;=40,V1240&lt;75,W1240&gt;=65,W1240&lt;100),0.17,0)+IF(AND(V1240&gt;=40,V1240&lt;75,W1240&gt;=100),0.1,0)+IF(AND(V1240&gt;=75,W1240&lt;25),0.35,0)+IF(AND(V1240&gt;=75,W1240&gt;=25,W1240&lt;60),0.25,0)+IF(AND(V1240&gt;=75,W1240&gt;=60,W1240&lt;95),0.17,0)+IF(AND(V1240&gt;=75,W1240&gt;=95),0.1,0),
IF(AF1240="DoEVold15",IF(AND(V1240&lt;=40,W1240&lt;35),0.35,0)+IF(AND(V1240&lt;=40,W1240&gt;=35,W1240&lt;75),0.25,0)+IF(AND(V1240&lt;=40,W1240&gt;=75,W1240&lt;120),0.17,0)+IF(AND(V1240&lt;=40,W1240&gt;=120),0.15,0)+IF(AND(V1240&gt;40,V1240&lt;75,W1240&lt;25),0.35,0)+IF(AND(V1240&gt;=40,V1240&lt;75,W1240&gt;=25,W1240&lt;65),0.25,0)+IF(AND(V1240&gt;=40,V1240&lt;75,W1240&gt;=65,W1240&lt;100),0.17,0)+IF(AND(V1240&gt;=40,V1240&lt;75,W1240&gt;=100),0.1,0)+IF(AND(V1240&gt;=75,W1240&lt;25),0.35,0)+IF(AND(V1240&gt;=75,W1240&gt;=25,W1240&lt;60),0.25,0)+IF(AND(V1240&gt;=75,W1240&gt;=60,W1240&lt;95),0.17,0)+IF(AND(V1240&gt;=75,W1240&gt;=95),0.1,0),
IF(AF1240="DoEVba",IF(AND(V1240&lt;20,W1240&lt;105),0.2,0)+IF(AND(V1240&lt;20,W1240&gt;=105),0.15,0)+IF(AND(V1240&gt;=20,V1240&lt;40,W1240&lt;95),0.2,0)+IF(AND(V1240&gt;=20,V1240&lt;40,W1240&gt;=95,W1240&lt;150),0.15,0)+IF(AND(V1240&gt;=20,V1240&lt;40,W1240&gt;=150),0.12,0)+IF(AND(V1240&gt;=40,V1240&lt;75,W1240&lt;75),0.2,0)+IF(AND(V1240&gt;=40,V1240&lt;75,W1240&gt;=75,W1240&lt;120),0.15,0)+IF(AND(V1240&gt;=40,V1240&lt;75,W1240&gt;=120),0.12,0)+IF(AND(V1240&gt;=75,V1240&lt;175,W1240&lt;65),0.2,0)+IF(AND(V1240&gt;=75,V1240&lt;175,W1240&gt;=65,W1240&lt;110),0.15,0)+IF(AND(V1240&gt;=75,V1240&lt;175,W1240&gt;=110),0.12,0)+IF(AND(V1240&gt;=175,W1240&lt;55),0.2,0)+IF(AND(V1240&gt;=175,W1240&gt;=55,W1240&lt;95),0.15,0)+IF(AND(V1240&gt;=175,W1240&gt;=95),0.12,0),
IF(AF1240="DoEVku",IF(AND(V1240&lt;20,W1240&lt;55),0.23,0)+IF(AND(V1240&lt;20,W1240&gt;=55,W1240&lt;105),0.2,0)+IF(AND(V1240&lt;20,W1240&gt;=105),0.17,0)+IF(AND(V1240&gt;=20,V1240&lt;40,W1240&lt;45),0.23,0)+IF(AND(V1240&gt;=20,V1240&lt;40,W1240&gt;=45,W1240&lt;95),0.2,0)+IF(AND(V1240&gt;=20,V1240&lt;40,W1240&gt;=95,W1240&lt;=150),0.17,0)+IF(AND(V1240&gt;=20,V1240&lt;40,W1240&gt;=150),0.12,0)+IF(AND(V1240&gt;=40,V1240&lt;75,W1240&lt;35),0.23,0)+IF(AND(V1240&gt;=40,V1240&lt;75,W1240&gt;=35,W1240&lt;75),0.2,0)+IF(AND(V1240&gt;=40,V1240&lt;75,W1240&gt;=75,W1240&lt;120),0.17,0)+IF(AND(V1240&gt;=40,V1240&lt;75,W1240&gt;=120),0.12,0)+IF(AND(V1240&gt;=75,V1240&lt;175,W1240&lt;35),0.23,0)+IF(AND(V1240&gt;=75,V1240&lt;=175,W1240&gt;=35,W1240&lt;65),0.2,0)+IF(AND(V1240&gt;=75,V1240&lt;=175,W1240&gt;=65,W1240&lt;110),0.17,0)+IF(AND(V1240&gt;=75,V1240&lt;=175,W1240&gt;=110),0.12,0)+IF(AND(V1240&gt;175,W1240&lt;25),0.23,0)+IF(AND(V1240&gt;175,W1240&gt;=25,W1240&lt;55),0.2,0)+IF(AND(V1240&gt;175,W1240&gt;=55,W1240&lt;95),0.17,0)+IF(AND(V1240&gt;175,W1240&gt;=95),0.12,0),
IF(AF1240="DoEVs1",IF(AND(V1240&lt;20,W1240&lt;55),0.3,0)+IF(AND(V1240&lt;20,W1240&gt;=55,W1240&lt;105),0.23,0)+IF(AND(V1240&lt;20,W1240&gt;=105),0.17,0)+IF(AND(V1240&gt;=20,V1240&lt;40,W1240&lt;45),0.3,0)+IF(AND(V1240&gt;=20,V1240&lt;40,W1240&gt;=45,W1240&lt;95),0.23,0)+IF(AND(V1240&gt;=20,V1240&lt;40,W1240&gt;=95,W1240&lt;=150),0.17,0)+IF(AND(V1240&gt;=20,V1240&lt;40,W1240&gt;=150),0.12,0)+IF(AND(V1240&gt;=40,V1240&lt;75,W1240&lt;35),0.3,0)+IF(AND(V1240&gt;=40,V1240&lt;75,W1240&gt;=35,W1240&lt;75),0.23,0)+IF(AND(V1240&gt;=40,V1240&lt;75,W1240&gt;=75,W1240&lt;120),0.17,0)+IF(AND(V1240&gt;=40,V1240&lt;75,W1240&gt;=120),0.12,0)+IF(AND(V1240&gt;=75,V1240&lt;175,W1240&lt;35),0.3,0)+IF(AND(V1240&gt;=75,V1240&lt;=175,W1240&gt;=35,W1240&lt;65),0.23,0)+IF(AND(V1240&gt;=75,V1240&lt;=175,W1240&gt;=65,W1240&lt;110),0.17,0)+IF(AND(V1240&gt;=75,V1240&lt;=175,W1240&gt;=110),0.12,0)+IF(AND(V1240&gt;175,W1240&lt;25),0.3,0)+IF(AND(V1240&gt;175,W1240&gt;=25,W1240&lt;55),0.23,0)+IF(AND(V1240&gt;175,W1240&gt;=55,W1240&lt;95),0.17,0)+IF(AND(V1240&gt;175,W1240&gt;=95),0.12,0),
IF(AF1240="DoEVsu",IF(AND(V1240&lt;20,W1240&lt;55),0.3,0)+IF(AND(V1240&lt;20,W1240&gt;=55,W1240&lt;105),0.23,0)+IF(AND(V1240&lt;20,W1240&gt;=105),0.17,0)+IF(AND(V1240&gt;=20,V1240&lt;40,W1240&lt;45),0.3,0)+IF(AND(V1240&gt;=20,V1240&lt;40,W1240&gt;=45,W1240&lt;95),0.23,0)+IF(AND(V1240&gt;=20,V1240&lt;40,W1240&gt;=95,W1240&lt;=250),0.17,0)+IF(AND(V1240&gt;=20,V1240&lt;40,W1240&gt;=250),0.12,0)+IF(AND(V1240&gt;=40,V1240&lt;75,W1240&lt;35),0.3,0)+IF(AND(V1240&gt;=40,V1240&lt;75,W1240&gt;=35,W1240&lt;75),0.23,0)+IF(AND(V1240&gt;=40,V1240&lt;75,W1240&gt;=75,W1240&lt;120),0.17,0)+IF(AND(V1240&gt;=40,V1240&lt;75,W1240&gt;=120),0.12,0)+IF(AND(V1240&gt;=75,V1240&lt;175,W1240&lt;35),0.3,0)+IF(AND(V1240&gt;=75,V1240&lt;=175,W1240&gt;=35,W1240&lt;65),0.23,0)+IF(AND(V1240&gt;=75,V1240&lt;=175,W1240&gt;=65,W1240&lt;110),0.17,0)+IF(AND(V1240&gt;=75,V1240&lt;=175,W1240&gt;=110),0.12,0)+IF(AND(V1240&gt;175,W1240&lt;25),0.3,0)+IF(AND(V1240&gt;175,W1240&gt;=25,W1240&lt;55),0.23,0)+IF(AND(V1240&gt;175,W1240&gt;=55,W1240&lt;95),0.17,0)+IF(AND(V1240&gt;175,W1240&gt;=95),0.12,0),
IF(AF1240="DoEVni",IF(AND(V1240&lt;20,W1240&lt;55),0.3,0)+IF(AND(V1240&lt;20,W1240&gt;=55,W1240&lt;105),0.23,0)+IF(AND(V1240&lt;20,W1240&gt;=105),0.17,0)+IF(AND(V1240&gt;=20,V1240&lt;40,W1240&lt;45),0.3,0)+IF(AND(V1240&gt;=20,V1240&lt;40,W1240&gt;=45,W1240&lt;95),0.23,0)+IF(AND(V1240&gt;=20,V1240&lt;40,W1240&gt;=95,W1240&lt;=200),0.17,0)+IF(AND(V1240&gt;=20,V1240&lt;40,W1240&gt;=200),0.12,0)+IF(AND(V1240&gt;=40,V1240&lt;75,W1240&lt;35),0.3,0)+IF(AND(V1240&gt;=40,V1240&lt;75,W1240&gt;=35,W1240&lt;75),0.23,0)+IF(AND(V1240&gt;=40,V1240&lt;75,W1240&gt;=75,W1240&lt;120),0.17,0)+IF(AND(V1240&gt;=40,V1240&lt;75,W1240&gt;=120),0.12,0)+IF(AND(V1240&gt;=75,V1240&lt;175,W1240&lt;35),0.3,0)+IF(AND(V1240&gt;=75,V1240&lt;=175,W1240&gt;=35,W1240&lt;65),0.23,0)+IF(AND(V1240&gt;=75,V1240&lt;=175,W1240&gt;=65,W1240&lt;110),0.17,0)+IF(AND(V1240&gt;=75,V1240&lt;=175,W1240&gt;=110),0.12,0)+IF(AND(V1240&gt;175,W1240&lt;25),0.3,0)+IF(AND(V1240&gt;175,W1240&gt;=25,W1240&lt;55),0.23,0)+IF(AND(V1240&gt;175,W1240&gt;=55,W1240&lt;95),0.17,0)+IF(AND(V1240&gt;175,W1240&gt;=95),0.12,0),
IF(AF1240="DoEVLo",IF(AND(V1240&lt;20,W1240&lt;55),0.25,0)+IF(AND(V1240&lt;20,W1240&gt;=55,W1240&lt;105),0.2,0)+IF(AND(V1240&lt;20,W1240&gt;=105),0.15,0)+IF(AND(V1240&gt;=20,V1240&lt;40,W1240&lt;45),0.25,0)+IF(AND(V1240&gt;=20,V1240&lt;40,W1240&gt;=45,W1240&lt;95),0.2,0)+IF(AND(V1240&gt;=20,V1240&lt;40,W1240&gt;=95),0.15,0)+IF(AND(V1240&gt;=40,V1240&lt;75,W1240&lt;35),0.25,0)+IF(AND(V1240&gt;=40,V1240&lt;75,W1240&gt;=35,W1240&lt;75),0.2,0)+IF(AND(V1240&gt;=40,V1240&lt;75,W1240&gt;=75,W1240&lt;120),0.15,0)+IF(AND(V1240&gt;=40,V1240&lt;75,W1240&gt;=120),0.1,0)+IF(AND(V1240&gt;=75,V1240&lt;175,W1240&lt;35),0.25,0)+IF(AND(V1240&gt;=75,V1240&lt;=175,W1240&gt;=35,W1240&lt;65),0.2,0)+IF(AND(V1240&gt;=75,V1240&lt;=175,W1240&gt;=65,W1240&lt;110),0.15,0)+IF(AND(V1240&gt;=75,V1240&lt;=175,W1240&gt;=110),0.1,0)+IF(AND(V1240&gt;175,W1240&lt;25),0.25,0)+IF(AND(V1240&gt;175,W1240&gt;=25,W1240&lt;55),0.2,0)+IF(AND(V1240&gt;175,W1240&gt;=55,W1240&lt;95),0.15,0)+IF(AND(V1240&gt;175,W1240&gt;=95),0.1,0))))))))))))))))</f>
        <v>0.15</v>
      </c>
      <c r="Y1240" s="30">
        <f>IF(AG1240="None",0,IF(AG1240="Fix5",0.05,IF(AG1240="Fix3.75",0.0375,IF(AG1240="Fix10",0.1,IF(AG1240="Fix3",0.03,0)))))</f>
        <v>0.05</v>
      </c>
      <c r="Z1240" s="35">
        <v>-1039</v>
      </c>
      <c r="AA1240" s="29">
        <v>-260</v>
      </c>
      <c r="AB1240" s="36"/>
      <c r="AC1240" s="37" t="b">
        <v>0</v>
      </c>
      <c r="AD1240" s="61" t="s">
        <v>50</v>
      </c>
      <c r="AE1240" s="61"/>
      <c r="AF1240" s="37" t="str">
        <f t="array" ref="AF1240">INDEX('Deal Info'!D:D, MATCH(A1240,'Deal Info'!A:A, 0))</f>
        <v>Fix15</v>
      </c>
      <c r="AG1240" s="38" t="str">
        <f t="array" ref="AG1240">INDEX('Deal Info'!G:G, MATCH(A1240,'Deal Info'!A:A, 0))</f>
        <v>Fix5</v>
      </c>
    </row>
    <row r="1241" spans="1:33" ht="14.25" hidden="1" x14ac:dyDescent="0.2">
      <c r="A1241" s="18" t="str">
        <f t="array" ref="A1241">IF(G1241='Room Info'!$B$1, INDEX('Room Info'!$A$2:$A2446, MATCH(B1241,'Room Info'!$B$2:$B2446, 0)),IF(G1241='Room Info'!$C$1, INDEX('Room Info'!$A$2:$A2446, MATCH(B1241,'Room Info'!$C$2:$C2446, 0)),IF(G1241='Room Info'!$D$1, INDEX('Room Info'!$A$2:$A2446, MATCH(B1241,'Room Info'!$D$2:$D2446, 0)),IF(G1241='Room Info'!$E$1, INDEX('Room Info'!$A$2:$A2446, MATCH(B1241,'Room Info'!$E$2:$E2446, 0)),IF(G1241='Room Info'!$F$1, INDEX('Room Info'!$A$2:$A2446, MATCH(B1241,'Room Info'!$F$2:$F2446, 0)),IF(G1241='Room Info'!$H$1, INDEX('Room Info'!$A$2:$A2446, MATCH(B1241,'Room Info'!$H$2:$H2446, 0)),IF(G1241='Room Info'!$G$1, INDEX('Room Info'!$A$2:$A2446, MATCH(B1241,'Room Info'!$G$2:$G2446, 0)))))))))</f>
        <v>Sun_Set_pro8</v>
      </c>
      <c r="B1241" s="45" t="s">
        <v>98</v>
      </c>
      <c r="C1241" s="99">
        <v>44682</v>
      </c>
      <c r="D1241" s="99">
        <v>44712</v>
      </c>
      <c r="E1241" s="47">
        <v>44682</v>
      </c>
      <c r="F1241" s="45" t="s">
        <v>41</v>
      </c>
      <c r="G1241" s="54" t="s">
        <v>35</v>
      </c>
      <c r="H1241" s="49" t="s">
        <v>87</v>
      </c>
      <c r="I1241" s="49" t="s">
        <v>44</v>
      </c>
      <c r="J1241" s="50">
        <v>25</v>
      </c>
      <c r="K1241" s="51">
        <v>101</v>
      </c>
      <c r="L1241" s="52">
        <v>275</v>
      </c>
      <c r="M1241" s="53">
        <v>20</v>
      </c>
      <c r="N1241" s="28">
        <f>K1241*J1241</f>
        <v>2525</v>
      </c>
      <c r="O1241" s="65"/>
      <c r="P1241" s="29">
        <v>0</v>
      </c>
      <c r="Q1241" s="55"/>
      <c r="R1241" s="31">
        <f>M1241+Q1241</f>
        <v>20</v>
      </c>
      <c r="S1241" s="66"/>
      <c r="T1241" s="32">
        <f>R1241+S1241+IF(F1241="Without EV deal",L1241,0)</f>
        <v>295</v>
      </c>
      <c r="U1241" s="57">
        <v>1</v>
      </c>
      <c r="V1241" s="58"/>
      <c r="W1241" s="58"/>
      <c r="X1241" s="78">
        <v>0.25</v>
      </c>
      <c r="Y1241" s="30">
        <f>IF(AG1241="None",0,IF(AG1241="Fix5",0.05, IF(AG1241="Fix6.25",0.0625,IF(AG1241="Fix3.75",0.0375,IF(AG1241="Fix10",0.1,IF(AG1241="Fix3",0.03,0))))))</f>
        <v>0</v>
      </c>
      <c r="Z1241" s="35">
        <f>T1241-AA1241-AB1241</f>
        <v>221.25</v>
      </c>
      <c r="AA1241" s="29">
        <f>IF(AD1241="EUR",((T1241-R1241)*X1241)*U1241+(R1241*X1241),(T1241*X1241))</f>
        <v>73.75</v>
      </c>
      <c r="AB1241" s="36">
        <f>IF(AD1241="EUR",((T1241-R1241)*Y1241)*U1241+(R1241*Y1241),(T1241*Y1241))</f>
        <v>0</v>
      </c>
      <c r="AC1241" s="37" t="b">
        <v>1</v>
      </c>
      <c r="AD1241" s="61" t="s">
        <v>38</v>
      </c>
      <c r="AE1241" s="83" t="s">
        <v>38</v>
      </c>
      <c r="AF1241" s="37" t="str">
        <f t="array" ref="AF1241">INDEX('Deal Info'!D:D, MATCH(A1241,'Deal Info'!A:A, 0))</f>
        <v>DoEVold</v>
      </c>
      <c r="AG1241" s="38" t="str">
        <f t="array" ref="AG1241">INDEX('Deal Info'!G:G, MATCH(A1241,'Deal Info'!A:A, 0))</f>
        <v>None</v>
      </c>
    </row>
    <row r="1242" spans="1:33" ht="14.25" x14ac:dyDescent="0.2">
      <c r="A1242" s="18" t="str">
        <f t="array" ref="A1242">IF(G1242='Room Info'!$B$1, INDEX('Room Info'!$A$2:$A2446, MATCH(B1242,'Room Info'!$B$2:$B2446, 0)),IF(G1242='Room Info'!$C$1, INDEX('Room Info'!$A$2:$A2446, MATCH(B1242,'Room Info'!$C$2:$C2446, 0)),IF(G1242='Room Info'!$D$1, INDEX('Room Info'!$A$2:$A2446, MATCH(B1242,'Room Info'!$D$2:$D2446, 0)),IF(G1242='Room Info'!$E$1, INDEX('Room Info'!$A$2:$A2446, MATCH(B1242,'Room Info'!$E$2:$E2446, 0)),IF(G1242='Room Info'!$F$1, INDEX('Room Info'!$A$2:$A2446, MATCH(B1242,'Room Info'!$F$2:$F2446, 0)),IF(G1242='Room Info'!$H$1, INDEX('Room Info'!$A$2:$A2446, MATCH(B1242,'Room Info'!$H$2:$H2446, 0)),IF(G1242='Room Info'!$G$1, INDEX('Room Info'!$A$2:$A2446, MATCH(B1242,'Room Info'!$G$2:$G2446, 0)))))))))</f>
        <v>eternity1</v>
      </c>
      <c r="B1242" s="45" t="s">
        <v>180</v>
      </c>
      <c r="C1242" s="46">
        <v>44916</v>
      </c>
      <c r="D1242" s="46">
        <v>44946</v>
      </c>
      <c r="E1242" s="47">
        <v>44927</v>
      </c>
      <c r="F1242" s="133" t="s">
        <v>34</v>
      </c>
      <c r="G1242" s="45" t="s">
        <v>61</v>
      </c>
      <c r="H1242" s="110" t="s">
        <v>55</v>
      </c>
      <c r="I1242" s="49" t="s">
        <v>101</v>
      </c>
      <c r="J1242" s="70">
        <v>10</v>
      </c>
      <c r="K1242" s="71">
        <v>3726</v>
      </c>
      <c r="L1242" s="52">
        <v>-369</v>
      </c>
      <c r="M1242" s="53">
        <v>1150</v>
      </c>
      <c r="N1242" s="28">
        <f>K1242*J1242</f>
        <v>37260</v>
      </c>
      <c r="O1242" s="54">
        <v>182574</v>
      </c>
      <c r="P1242" s="29">
        <v>49</v>
      </c>
      <c r="Q1242" s="55"/>
      <c r="R1242" s="31">
        <f>M1242+Q1242</f>
        <v>1150</v>
      </c>
      <c r="S1242" s="56">
        <v>107</v>
      </c>
      <c r="T1242" s="32">
        <f>R1242+S1242+IF(F1242="Without EV deal",L1242,0)</f>
        <v>1257</v>
      </c>
      <c r="U1242" s="57">
        <v>1</v>
      </c>
      <c r="V1242" s="58">
        <v>13</v>
      </c>
      <c r="W1242" s="58">
        <v>38</v>
      </c>
      <c r="X1242" s="30">
        <f>IF(AF1242="DoEV",IF(AND(V1242&lt;20,W1242&lt;55),0.3,0)+IF(AND(V1242&lt;20,W1242&gt;=55,W1242&lt;105),0.23,0)+IF(AND(V1242&lt;20,W1242&gt;=105),0.17,0)+IF(AND(V1242&gt;=20,V1242&lt;40,W1242&lt;45),0.3,0)+IF(AND(V1242&gt;=20,V1242&lt;40,W1242&gt;=45,W1242&lt;95),0.23,0)+IF(AND(V1242&gt;=20,V1242&lt;40,W1242&gt;=95),0.17,0)+IF(AND(V1242&gt;=40,V1242&lt;75,W1242&lt;35),0.3,0)+IF(AND(V1242&gt;=40,V1242&lt;75,W1242&gt;=35,W1242&lt;75),0.23,0)+IF(AND(V1242&gt;=40,V1242&lt;75,W1242&gt;=75,W1242&lt;120),0.17,0)+IF(AND(V1242&gt;=40,V1242&lt;75,W1242&gt;=120),0.12,0)+IF(AND(V1242&gt;=75,V1242&lt;175,W1242&lt;35),0.3,0)+IF(AND(V1242&gt;=75,V1242&lt;=175,W1242&gt;=35,W1242&lt;65),0.23,0)+IF(AND(V1242&gt;=75,V1242&lt;=175,W1242&gt;=65,W1242&lt;110),0.17,0)+IF(AND(V1242&gt;=75,V1242&lt;=175,W1242&gt;=110),0.12,0)+IF(AND(V1242&gt;175,W1242&lt;25),0.3,0)+IF(AND(V1242&gt;175,W1242&gt;=25,W1242&lt;55),0.23,0)+IF(AND(V1242&gt;175,W1242&gt;=55,W1242&lt;95),0.17,0)+IF(AND(V1242&gt;175,W1242&gt;=95),0.12,0),
IF(AF1242="Fix15",0.15,
IF(AF1242="Fix11.25",0.1125,
IF(AF1242="Fix10",0.1,
IF(AF1242="Fix9",0.09,
IF(AF1242="DoEV2017",IF(AND(W1242&lt;74),0.2,0)+IF(AND(W1242&gt;=74),0.17,0),
IF(AF1242="SF",IF(AND(V1242&lt;20,W1242&lt;89),0.3,0)+IF(AND(V1242&lt;20,W1242&gt;=89),0.25,0)+IF(AND(V1242&gt;=20,V1242&lt;40,W1242&lt;74),0.3,0)+IF(AND(V1242&gt;=20,V1242&lt;40,W1242&gt;=75),0.22,0)+IF(AND(V1242&gt;=40,V1242&lt;75,W1242&lt;75),0.26,0)+IF(AND(V1242&gt;=40,V1242&lt;75,W1242&gt;=75),0.22,0)+IF(V1242&gt;=75,0.22,0),
IF(AF1242="DoEVold",IF(AND(V1242&lt;40,W1242&lt;35),0.35,0)+IF(AND(V1242&lt;40,W1242&gt;=35,W1242&lt;75),0.25,0)+IF(AND(V1242&lt;40,W1242&gt;=75),0.17,0)+IF(AND(V1242&gt;=40,V1242&lt;75,W1242&lt;25),0.35,0)+IF(AND(V1242&gt;=40,V1242&lt;75,W1242&gt;=25,W1242&lt;65),0.25,0)+IF(AND(V1242&gt;=40,V1242&lt;75,W1242&gt;=65,W1242&lt;100),0.17,0)+IF(AND(V1242&gt;=40,V1242&lt;75,W1242&gt;=100),0.1,0)+IF(AND(V1242&gt;=75,W1242&lt;25),0.35,0)+IF(AND(V1242&gt;=75,W1242&gt;=25,W1242&lt;60),0.25,0)+IF(AND(V1242&gt;=75,W1242&gt;=60,W1242&lt;95),0.17,0)+IF(AND(V1242&gt;=75,W1242&gt;=95),0.1,0),
IF(AF1242="DoEVold15",IF(AND(V1242&lt;=40,W1242&lt;35),0.35,0)+IF(AND(V1242&lt;=40,W1242&gt;=35,W1242&lt;75),0.25,0)+IF(AND(V1242&lt;=40,W1242&gt;=75,W1242&lt;120),0.17,0)+IF(AND(V1242&lt;=40,W1242&gt;=120),0.15,0)+IF(AND(V1242&gt;40,V1242&lt;75,W1242&lt;25),0.35,0)+IF(AND(V1242&gt;=40,V1242&lt;75,W1242&gt;=25,W1242&lt;65),0.25,0)+IF(AND(V1242&gt;=40,V1242&lt;75,W1242&gt;=65,W1242&lt;100),0.17,0)+IF(AND(V1242&gt;=40,V1242&lt;75,W1242&gt;=100),0.1,0)+IF(AND(V1242&gt;=75,W1242&lt;25),0.35,0)+IF(AND(V1242&gt;=75,W1242&gt;=25,W1242&lt;60),0.25,0)+IF(AND(V1242&gt;=75,W1242&gt;=60,W1242&lt;95),0.17,0)+IF(AND(V1242&gt;=75,W1242&gt;=95),0.1,0),
IF(AF1242="DoEVba",IF(AND(V1242&lt;20,W1242&lt;105),0.2,0)+IF(AND(V1242&lt;20,W1242&gt;=105),0.15,0)+IF(AND(V1242&gt;=20,V1242&lt;40,W1242&lt;95),0.2,0)+IF(AND(V1242&gt;=20,V1242&lt;40,W1242&gt;=95,W1242&lt;150),0.15,0)+IF(AND(V1242&gt;=20,V1242&lt;40,W1242&gt;=150),0.12,0)+IF(AND(V1242&gt;=40,V1242&lt;75,W1242&lt;75),0.2,0)+IF(AND(V1242&gt;=40,V1242&lt;75,W1242&gt;=75,W1242&lt;120),0.15,0)+IF(AND(V1242&gt;=40,V1242&lt;75,W1242&gt;=120),0.12,0)+IF(AND(V1242&gt;=75,V1242&lt;175,W1242&lt;65),0.2,0)+IF(AND(V1242&gt;=75,V1242&lt;175,W1242&gt;=65,W1242&lt;110),0.15,0)+IF(AND(V1242&gt;=75,V1242&lt;175,W1242&gt;=110),0.12,0)+IF(AND(V1242&gt;=175,W1242&lt;55),0.2,0)+IF(AND(V1242&gt;=175,W1242&gt;=55,W1242&lt;95),0.15,0)+IF(AND(V1242&gt;=175,W1242&gt;=95),0.12,0),
IF(AF1242="DoEVku",IF(AND(V1242&lt;20,W1242&lt;55),0.23,0)+IF(AND(V1242&lt;20,W1242&gt;=55,W1242&lt;105),0.2,0)+IF(AND(V1242&lt;20,W1242&gt;=105),0.17,0)+IF(AND(V1242&gt;=20,V1242&lt;40,W1242&lt;45),0.23,0)+IF(AND(V1242&gt;=20,V1242&lt;40,W1242&gt;=45,W1242&lt;95),0.2,0)+IF(AND(V1242&gt;=20,V1242&lt;40,W1242&gt;=95,W1242&lt;=150),0.17,0)+IF(AND(V1242&gt;=20,V1242&lt;40,W1242&gt;=150),0.12,0)+IF(AND(V1242&gt;=40,V1242&lt;75,W1242&lt;35),0.23,0)+IF(AND(V1242&gt;=40,V1242&lt;75,W1242&gt;=35,W1242&lt;75),0.2,0)+IF(AND(V1242&gt;=40,V1242&lt;75,W1242&gt;=75,W1242&lt;120),0.17,0)+IF(AND(V1242&gt;=40,V1242&lt;75,W1242&gt;=120),0.12,0)+IF(AND(V1242&gt;=75,V1242&lt;175,W1242&lt;35),0.23,0)+IF(AND(V1242&gt;=75,V1242&lt;=175,W1242&gt;=35,W1242&lt;65),0.2,0)+IF(AND(V1242&gt;=75,V1242&lt;=175,W1242&gt;=65,W1242&lt;110),0.17,0)+IF(AND(V1242&gt;=75,V1242&lt;=175,W1242&gt;=110),0.12,0)+IF(AND(V1242&gt;175,W1242&lt;25),0.23,0)+IF(AND(V1242&gt;175,W1242&gt;=25,W1242&lt;55),0.2,0)+IF(AND(V1242&gt;175,W1242&gt;=55,W1242&lt;95),0.17,0)+IF(AND(V1242&gt;175,W1242&gt;=95),0.12,0),
IF(AF1242="DoEVs1",IF(AND(V1242&lt;20,W1242&lt;55),0.3,0)+IF(AND(V1242&lt;20,W1242&gt;=55,W1242&lt;105),0.23,0)+IF(AND(V1242&lt;20,W1242&gt;=105),0.17,0)+IF(AND(V1242&gt;=20,V1242&lt;40,W1242&lt;45),0.3,0)+IF(AND(V1242&gt;=20,V1242&lt;40,W1242&gt;=45,W1242&lt;95),0.23,0)+IF(AND(V1242&gt;=20,V1242&lt;40,W1242&gt;=95,W1242&lt;=150),0.17,0)+IF(AND(V1242&gt;=20,V1242&lt;40,W1242&gt;=150),0.12,0)+IF(AND(V1242&gt;=40,V1242&lt;75,W1242&lt;35),0.3,0)+IF(AND(V1242&gt;=40,V1242&lt;75,W1242&gt;=35,W1242&lt;75),0.23,0)+IF(AND(V1242&gt;=40,V1242&lt;75,W1242&gt;=75,W1242&lt;120),0.17,0)+IF(AND(V1242&gt;=40,V1242&lt;75,W1242&gt;=120),0.12,0)+IF(AND(V1242&gt;=75,V1242&lt;175,W1242&lt;35),0.3,0)+IF(AND(V1242&gt;=75,V1242&lt;=175,W1242&gt;=35,W1242&lt;65),0.23,0)+IF(AND(V1242&gt;=75,V1242&lt;=175,W1242&gt;=65,W1242&lt;110),0.17,0)+IF(AND(V1242&gt;=75,V1242&lt;=175,W1242&gt;=110),0.12,0)+IF(AND(V1242&gt;175,W1242&lt;25),0.3,0)+IF(AND(V1242&gt;175,W1242&gt;=25,W1242&lt;55),0.23,0)+IF(AND(V1242&gt;175,W1242&gt;=55,W1242&lt;95),0.17,0)+IF(AND(V1242&gt;175,W1242&gt;=95),0.12,0),
IF(AF1242="DoEVsu",IF(AND(V1242&lt;20,W1242&lt;55),0.3,0)+IF(AND(V1242&lt;20,W1242&gt;=55,W1242&lt;105),0.23,0)+IF(AND(V1242&lt;20,W1242&gt;=105),0.17,0)+IF(AND(V1242&gt;=20,V1242&lt;40,W1242&lt;45),0.3,0)+IF(AND(V1242&gt;=20,V1242&lt;40,W1242&gt;=45,W1242&lt;95),0.23,0)+IF(AND(V1242&gt;=20,V1242&lt;40,W1242&gt;=95,W1242&lt;=250),0.17,0)+IF(AND(V1242&gt;=20,V1242&lt;40,W1242&gt;=250),0.12,0)+IF(AND(V1242&gt;=40,V1242&lt;75,W1242&lt;35),0.3,0)+IF(AND(V1242&gt;=40,V1242&lt;75,W1242&gt;=35,W1242&lt;75),0.23,0)+IF(AND(V1242&gt;=40,V1242&lt;75,W1242&gt;=75,W1242&lt;120),0.17,0)+IF(AND(V1242&gt;=40,V1242&lt;75,W1242&gt;=120),0.12,0)+IF(AND(V1242&gt;=75,V1242&lt;175,W1242&lt;35),0.3,0)+IF(AND(V1242&gt;=75,V1242&lt;=175,W1242&gt;=35,W1242&lt;65),0.23,0)+IF(AND(V1242&gt;=75,V1242&lt;=175,W1242&gt;=65,W1242&lt;110),0.17,0)+IF(AND(V1242&gt;=75,V1242&lt;=175,W1242&gt;=110),0.12,0)+IF(AND(V1242&gt;175,W1242&lt;25),0.3,0)+IF(AND(V1242&gt;175,W1242&gt;=25,W1242&lt;55),0.23,0)+IF(AND(V1242&gt;175,W1242&gt;=55,W1242&lt;95),0.17,0)+IF(AND(V1242&gt;175,W1242&gt;=95),0.12,0),
IF(AF1242="DoEVni",IF(AND(V1242&lt;20,W1242&lt;55),0.3,0)+IF(AND(V1242&lt;20,W1242&gt;=55,W1242&lt;105),0.23,0)+IF(AND(V1242&lt;20,W1242&gt;=105),0.17,0)+IF(AND(V1242&gt;=20,V1242&lt;40,W1242&lt;45),0.3,0)+IF(AND(V1242&gt;=20,V1242&lt;40,W1242&gt;=45,W1242&lt;95),0.23,0)+IF(AND(V1242&gt;=20,V1242&lt;40,W1242&gt;=95,W1242&lt;=200),0.17,0)+IF(AND(V1242&gt;=20,V1242&lt;40,W1242&gt;=200),0.12,0)+IF(AND(V1242&gt;=40,V1242&lt;75,W1242&lt;35),0.3,0)+IF(AND(V1242&gt;=40,V1242&lt;75,W1242&gt;=35,W1242&lt;75),0.23,0)+IF(AND(V1242&gt;=40,V1242&lt;75,W1242&gt;=75,W1242&lt;120),0.17,0)+IF(AND(V1242&gt;=40,V1242&lt;75,W1242&gt;=120),0.12,0)+IF(AND(V1242&gt;=75,V1242&lt;175,W1242&lt;35),0.3,0)+IF(AND(V1242&gt;=75,V1242&lt;=175,W1242&gt;=35,W1242&lt;65),0.23,0)+IF(AND(V1242&gt;=75,V1242&lt;=175,W1242&gt;=65,W1242&lt;110),0.17,0)+IF(AND(V1242&gt;=75,V1242&lt;=175,W1242&gt;=110),0.12,0)+IF(AND(V1242&gt;175,W1242&lt;25),0.3,0)+IF(AND(V1242&gt;175,W1242&gt;=25,W1242&lt;55),0.23,0)+IF(AND(V1242&gt;175,W1242&gt;=55,W1242&lt;95),0.17,0)+IF(AND(V1242&gt;175,W1242&gt;=95),0.12,0),
IF(AF1242="DoEVLo",IF(AND(V1242&lt;20,W1242&lt;55),0.25,0)+IF(AND(V1242&lt;20,W1242&gt;=55,W1242&lt;105),0.2,0)+IF(AND(V1242&lt;20,W1242&gt;=105),0.15,0)+IF(AND(V1242&gt;=20,V1242&lt;40,W1242&lt;45),0.25,0)+IF(AND(V1242&gt;=20,V1242&lt;40,W1242&gt;=45,W1242&lt;95),0.2,0)+IF(AND(V1242&gt;=20,V1242&lt;40,W1242&gt;=95),0.15,0)+IF(AND(V1242&gt;=40,V1242&lt;75,W1242&lt;35),0.25,0)+IF(AND(V1242&gt;=40,V1242&lt;75,W1242&gt;=35,W1242&lt;75),0.2,0)+IF(AND(V1242&gt;=40,V1242&lt;75,W1242&gt;=75,W1242&lt;120),0.15,0)+IF(AND(V1242&gt;=40,V1242&lt;75,W1242&gt;=120),0.1,0)+IF(AND(V1242&gt;=75,V1242&lt;175,W1242&lt;35),0.25,0)+IF(AND(V1242&gt;=75,V1242&lt;=175,W1242&gt;=35,W1242&lt;65),0.2,0)+IF(AND(V1242&gt;=75,V1242&lt;=175,W1242&gt;=65,W1242&lt;110),0.15,0)+IF(AND(V1242&gt;=75,V1242&lt;=175,W1242&gt;=110),0.1,0)+IF(AND(V1242&gt;175,W1242&lt;25),0.25,0)+IF(AND(V1242&gt;175,W1242&gt;=25,W1242&lt;55),0.2,0)+IF(AND(V1242&gt;175,W1242&gt;=55,W1242&lt;95),0.15,0)+IF(AND(V1242&gt;175,W1242&gt;=95),0.1,0))))))))))))))))</f>
        <v>0.3</v>
      </c>
      <c r="Y1242" s="30">
        <f>IF(AG1242="None",0,IF(AG1242="Fix5",0.05,IF(AG1242="Fix3.75",0.0375,IF(AG1242="Fix10",0.1,IF(AG1242="Fix3",0.03,0)))))</f>
        <v>0</v>
      </c>
      <c r="Z1242" s="35">
        <f>IF(AND(AD1242="EUR", F1242="Without EV deal"), (T1242*U1242)-AA1242-AB1242, IF(AD1242="EUR", (R1242*U1242+S1242)-AA1242-AB1242,T1242-AA1242-AB1242))</f>
        <v>879.90000000000009</v>
      </c>
      <c r="AA1242" s="29">
        <f>IF(AND(AD1242="EUR", F1242="Without EV deal"), (T1242*X1242)*U1242, IF(AD1242="EUR", (R1242*U1242+S1242)*X1242, T1242*X1242))</f>
        <v>377.09999999999997</v>
      </c>
      <c r="AB1242" s="36">
        <f>IF(AD1242="EUR",((T1242-R1242)*Y1242)*U1242+(R1242*Y1242),(T1242*Y1242))</f>
        <v>0</v>
      </c>
      <c r="AC1242" s="37" t="b">
        <v>1</v>
      </c>
      <c r="AD1242" s="82" t="s">
        <v>50</v>
      </c>
      <c r="AE1242" s="82"/>
      <c r="AF1242" s="83" t="str">
        <f t="array" ref="AF1242">INDEX('Deal Info'!D:D, MATCH(A1242,'Deal Info'!A:A, 0))</f>
        <v>DoEV</v>
      </c>
      <c r="AG1242" s="84" t="str">
        <f t="array" ref="AG1242">INDEX('Deal Info'!G:G, MATCH(A1242,'Deal Info'!A:A, 0))</f>
        <v>None</v>
      </c>
    </row>
    <row r="1243" spans="1:33" ht="14.25" hidden="1" x14ac:dyDescent="0.2">
      <c r="A1243" s="18" t="str">
        <f t="array" ref="A1243">IF(G1243='Room Info'!$B$1, INDEX('Room Info'!$A$2:$A2446, MATCH(B1243,'Room Info'!$B$2:$B2446, 0)),IF(G1243='Room Info'!$C$1, INDEX('Room Info'!$A$2:$A2446, MATCH(B1243,'Room Info'!$C$2:$C2446, 0)),IF(G1243='Room Info'!$D$1, INDEX('Room Info'!$A$2:$A2446, MATCH(B1243,'Room Info'!$D$2:$D2446, 0)),IF(G1243='Room Info'!$E$1, INDEX('Room Info'!$A$2:$A2446, MATCH(B1243,'Room Info'!$E$2:$E2446, 0)),IF(G1243='Room Info'!$F$1, INDEX('Room Info'!$A$2:$A2446, MATCH(B1243,'Room Info'!$F$2:$F2446, 0)),IF(G1243='Room Info'!$H$1, INDEX('Room Info'!$A$2:$A2446, MATCH(B1243,'Room Info'!$H$2:$H2446, 0)),IF(G1243='Room Info'!$G$1, INDEX('Room Info'!$A$2:$A2446, MATCH(B1243,'Room Info'!$G$2:$G2446, 0)))))))))</f>
        <v>Sun_Set_pro8</v>
      </c>
      <c r="B1243" s="45" t="s">
        <v>98</v>
      </c>
      <c r="C1243" s="46">
        <v>44743</v>
      </c>
      <c r="D1243" s="46">
        <v>44773</v>
      </c>
      <c r="E1243" s="47">
        <v>44743</v>
      </c>
      <c r="F1243" s="45" t="s">
        <v>41</v>
      </c>
      <c r="G1243" s="54" t="s">
        <v>35</v>
      </c>
      <c r="H1243" s="49" t="s">
        <v>46</v>
      </c>
      <c r="I1243" s="49" t="s">
        <v>37</v>
      </c>
      <c r="J1243" s="50">
        <v>25</v>
      </c>
      <c r="K1243" s="51">
        <v>1</v>
      </c>
      <c r="L1243" s="52">
        <v>-25</v>
      </c>
      <c r="M1243" s="53">
        <v>1</v>
      </c>
      <c r="N1243" s="28">
        <f>K1243*J1243</f>
        <v>25</v>
      </c>
      <c r="O1243" s="65"/>
      <c r="P1243" s="29">
        <v>0</v>
      </c>
      <c r="Q1243" s="55"/>
      <c r="R1243" s="31">
        <f>M1243+Q1243</f>
        <v>1</v>
      </c>
      <c r="S1243" s="66"/>
      <c r="T1243" s="32">
        <f>R1243+S1243+IF(F1243="Without EV deal",L1243,0)</f>
        <v>-24</v>
      </c>
      <c r="U1243" s="57">
        <v>1</v>
      </c>
      <c r="V1243" s="58"/>
      <c r="W1243" s="58"/>
      <c r="X1243" s="78">
        <v>0.25</v>
      </c>
      <c r="Y1243" s="30">
        <f>IF(AG1243="None",0,IF(AG1243="Fix5",0.05, IF(AG1243="Fix6.25",0.0625,IF(AG1243="Fix3.75",0.0375,IF(AG1243="Fix10",0.1,IF(AG1243="Fix3",0.03,0))))))</f>
        <v>0</v>
      </c>
      <c r="Z1243" s="35">
        <f>T1243-AA1243-AB1243</f>
        <v>-18</v>
      </c>
      <c r="AA1243" s="29">
        <f>IF(AD1243="EUR",((T1243-R1243)*X1243)*U1243+(R1243*X1243),(T1243*X1243))</f>
        <v>-6</v>
      </c>
      <c r="AB1243" s="36">
        <f>IF(AD1243="EUR",((T1243-R1243)*Y1243)*U1243+(R1243*Y1243),(T1243*Y1243))</f>
        <v>0</v>
      </c>
      <c r="AC1243" s="37" t="b">
        <v>1</v>
      </c>
      <c r="AD1243" s="61" t="s">
        <v>38</v>
      </c>
      <c r="AE1243" s="83" t="s">
        <v>38</v>
      </c>
      <c r="AF1243" s="37" t="str">
        <f t="array" ref="AF1243">INDEX('Deal Info'!D:D, MATCH(A1243,'Deal Info'!A:A, 0))</f>
        <v>DoEVold</v>
      </c>
      <c r="AG1243" s="38" t="str">
        <f t="array" ref="AG1243">INDEX('Deal Info'!G:G, MATCH(A1243,'Deal Info'!A:A, 0))</f>
        <v>None</v>
      </c>
    </row>
    <row r="1244" spans="1:33" ht="14.25" hidden="1" x14ac:dyDescent="0.2">
      <c r="A1244" s="18" t="str">
        <f t="array" ref="A1244">IF(G1244='Room Info'!$B$1, INDEX('Room Info'!$A$2:$A2446, MATCH(B1244,'Room Info'!$B$2:$B2446, 0)),IF(G1244='Room Info'!$C$1, INDEX('Room Info'!$A$2:$A2446, MATCH(B1244,'Room Info'!$C$2:$C2446, 0)),IF(G1244='Room Info'!$D$1, INDEX('Room Info'!$A$2:$A2446, MATCH(B1244,'Room Info'!$D$2:$D2446, 0)),IF(G1244='Room Info'!$E$1, INDEX('Room Info'!$A$2:$A2446, MATCH(B1244,'Room Info'!$E$2:$E2446, 0)),IF(G1244='Room Info'!$F$1, INDEX('Room Info'!$A$2:$A2446, MATCH(B1244,'Room Info'!$F$2:$F2446, 0)),IF(G1244='Room Info'!$H$1, INDEX('Room Info'!$A$2:$A2446, MATCH(B1244,'Room Info'!$H$2:$H2446, 0)),IF(G1244='Room Info'!$G$1, INDEX('Room Info'!$A$2:$A2446, MATCH(B1244,'Room Info'!$G$2:$G2446, 0)))))))))</f>
        <v>Sun_Set_pro8</v>
      </c>
      <c r="B1244" s="45" t="s">
        <v>98</v>
      </c>
      <c r="C1244" s="77">
        <v>44743</v>
      </c>
      <c r="D1244" s="77">
        <v>44773</v>
      </c>
      <c r="E1244" s="47">
        <v>44743</v>
      </c>
      <c r="F1244" s="48" t="s">
        <v>41</v>
      </c>
      <c r="G1244" s="45" t="s">
        <v>35</v>
      </c>
      <c r="H1244" s="91" t="s">
        <v>51</v>
      </c>
      <c r="I1244" s="49" t="s">
        <v>44</v>
      </c>
      <c r="J1244" s="74">
        <v>0.25</v>
      </c>
      <c r="K1244" s="75">
        <v>8</v>
      </c>
      <c r="L1244" s="72">
        <v>-1</v>
      </c>
      <c r="M1244" s="79"/>
      <c r="N1244" s="28">
        <f>K1244*J1244</f>
        <v>2</v>
      </c>
      <c r="O1244" s="45">
        <v>832</v>
      </c>
      <c r="P1244" s="29">
        <v>104</v>
      </c>
      <c r="Q1244" s="55"/>
      <c r="R1244" s="31">
        <f>M1244+Q1244</f>
        <v>0</v>
      </c>
      <c r="S1244" s="73"/>
      <c r="T1244" s="32">
        <f>R1244+S1244+IF(F1244="Without EV deal",L1244,0)</f>
        <v>-1</v>
      </c>
      <c r="U1244" s="57">
        <v>1</v>
      </c>
      <c r="V1244" s="58"/>
      <c r="W1244" s="58"/>
      <c r="X1244" s="78">
        <v>0.25</v>
      </c>
      <c r="Y1244" s="30">
        <f>IF(AG1244="None",0,IF(AG1244="Fix5",0.05, IF(AG1244="Fix6.25",0.0625,IF(AG1244="Fix3.75",0.0375,IF(AG1244="Fix10",0.1,IF(AG1244="Fix3",0.03,0))))))</f>
        <v>0</v>
      </c>
      <c r="Z1244" s="35">
        <f>T1244-AA1244-AB1244</f>
        <v>-0.75</v>
      </c>
      <c r="AA1244" s="29">
        <f>IF(AD1244="EUR",((T1244-R1244)*X1244)*U1244+(R1244*X1244),(T1244*X1244))</f>
        <v>-0.25</v>
      </c>
      <c r="AB1244" s="36">
        <f>IF(AD1244="EUR",((T1244-R1244)*Y1244)*U1244+(R1244*Y1244),(T1244*Y1244))</f>
        <v>0</v>
      </c>
      <c r="AC1244" s="37" t="b">
        <v>1</v>
      </c>
      <c r="AD1244" s="61" t="s">
        <v>38</v>
      </c>
      <c r="AE1244" s="83" t="s">
        <v>38</v>
      </c>
      <c r="AF1244" s="37" t="str">
        <f t="array" ref="AF1244">INDEX('Deal Info'!D:D, MATCH(A1244,'Deal Info'!A:A, 0))</f>
        <v>DoEVold</v>
      </c>
      <c r="AG1244" s="38" t="str">
        <f t="array" ref="AG1244">INDEX('Deal Info'!G:G, MATCH(A1244,'Deal Info'!A:A, 0))</f>
        <v>None</v>
      </c>
    </row>
    <row r="1245" spans="1:33" ht="14.25" hidden="1" x14ac:dyDescent="0.2">
      <c r="A1245" s="18" t="str">
        <f t="array" ref="A1245">IF(G1245='Room Info'!$B$1, INDEX('Room Info'!$A$2:$A2446, MATCH(B1245,'Room Info'!$B$2:$B2446, 0)),IF(G1245='Room Info'!$C$1, INDEX('Room Info'!$A$2:$A2446, MATCH(B1245,'Room Info'!$C$2:$C2446, 0)),IF(G1245='Room Info'!$D$1, INDEX('Room Info'!$A$2:$A2446, MATCH(B1245,'Room Info'!$D$2:$D2446, 0)),IF(G1245='Room Info'!$E$1, INDEX('Room Info'!$A$2:$A2446, MATCH(B1245,'Room Info'!$E$2:$E2446, 0)),IF(G1245='Room Info'!$F$1, INDEX('Room Info'!$A$2:$A2446, MATCH(B1245,'Room Info'!$F$2:$F2446, 0)),IF(G1245='Room Info'!$H$1, INDEX('Room Info'!$A$2:$A2446, MATCH(B1245,'Room Info'!$H$2:$H2446, 0)),IF(G1245='Room Info'!$G$1, INDEX('Room Info'!$A$2:$A2446, MATCH(B1245,'Room Info'!$G$2:$G2446, 0)))))))))</f>
        <v>Sun_Set_pro8</v>
      </c>
      <c r="B1245" s="45" t="s">
        <v>98</v>
      </c>
      <c r="C1245" s="77">
        <v>44743</v>
      </c>
      <c r="D1245" s="77">
        <v>44773</v>
      </c>
      <c r="E1245" s="47">
        <v>44743</v>
      </c>
      <c r="F1245" s="48" t="s">
        <v>49</v>
      </c>
      <c r="G1245" s="45" t="s">
        <v>35</v>
      </c>
      <c r="H1245" s="91" t="s">
        <v>85</v>
      </c>
      <c r="I1245" s="49" t="s">
        <v>44</v>
      </c>
      <c r="J1245" s="74">
        <v>50</v>
      </c>
      <c r="K1245" s="75">
        <v>3242</v>
      </c>
      <c r="L1245" s="72">
        <v>-5400</v>
      </c>
      <c r="M1245" s="76">
        <v>6639</v>
      </c>
      <c r="N1245" s="28">
        <f>K1245*J1245</f>
        <v>162100</v>
      </c>
      <c r="O1245" s="45">
        <v>51872</v>
      </c>
      <c r="P1245" s="29">
        <v>16</v>
      </c>
      <c r="Q1245" s="55"/>
      <c r="R1245" s="31">
        <f>M1245+Q1245</f>
        <v>6639</v>
      </c>
      <c r="S1245" s="73">
        <v>-2359</v>
      </c>
      <c r="T1245" s="32">
        <f>R1245+S1245+IF(F1245="Without EV deal",L1245,0)</f>
        <v>4280</v>
      </c>
      <c r="U1245" s="57">
        <v>1</v>
      </c>
      <c r="V1245" s="58"/>
      <c r="W1245" s="58"/>
      <c r="X1245" s="78">
        <v>0.25</v>
      </c>
      <c r="Y1245" s="30">
        <f>IF(AG1245="None",0,IF(AG1245="Fix5",0.05, IF(AG1245="Fix6.25",0.0625,IF(AG1245="Fix3.75",0.0375,IF(AG1245="Fix10",0.1,IF(AG1245="Fix3",0.03,0))))))</f>
        <v>0</v>
      </c>
      <c r="Z1245" s="35">
        <f>T1245-AA1245-AB1245</f>
        <v>3210</v>
      </c>
      <c r="AA1245" s="29">
        <f>IF(AD1245="EUR",((T1245-R1245)*X1245)*U1245+(R1245*X1245),(T1245*X1245))</f>
        <v>1070</v>
      </c>
      <c r="AB1245" s="36">
        <f>IF(AD1245="EUR",((T1245-R1245)*Y1245)*U1245+(R1245*Y1245),(T1245*Y1245))</f>
        <v>0</v>
      </c>
      <c r="AC1245" s="37" t="b">
        <v>1</v>
      </c>
      <c r="AD1245" s="61" t="s">
        <v>38</v>
      </c>
      <c r="AE1245" s="83" t="s">
        <v>38</v>
      </c>
      <c r="AF1245" s="37" t="str">
        <f t="array" ref="AF1245">INDEX('Deal Info'!D:D, MATCH(A1245,'Deal Info'!A:A, 0))</f>
        <v>DoEVold</v>
      </c>
      <c r="AG1245" s="38" t="str">
        <f t="array" ref="AG1245">INDEX('Deal Info'!G:G, MATCH(A1245,'Deal Info'!A:A, 0))</f>
        <v>None</v>
      </c>
    </row>
    <row r="1246" spans="1:33" ht="14.25" hidden="1" x14ac:dyDescent="0.2">
      <c r="A1246" s="18" t="str">
        <f t="array" ref="A1246">IF(G1246='Room Info'!$B$1, INDEX('Room Info'!$A$2:$A2446, MATCH(B1246,'Room Info'!$B$2:$B2446, 0)),IF(G1246='Room Info'!$C$1, INDEX('Room Info'!$A$2:$A2446, MATCH(B1246,'Room Info'!$C$2:$C2446, 0)),IF(G1246='Room Info'!$D$1, INDEX('Room Info'!$A$2:$A2446, MATCH(B1246,'Room Info'!$D$2:$D2446, 0)),IF(G1246='Room Info'!$E$1, INDEX('Room Info'!$A$2:$A2446, MATCH(B1246,'Room Info'!$E$2:$E2446, 0)),IF(G1246='Room Info'!$F$1, INDEX('Room Info'!$A$2:$A2446, MATCH(B1246,'Room Info'!$F$2:$F2446, 0)),IF(G1246='Room Info'!$H$1, INDEX('Room Info'!$A$2:$A2446, MATCH(B1246,'Room Info'!$H$2:$H2446, 0)),IF(G1246='Room Info'!$G$1, INDEX('Room Info'!$A$2:$A2446, MATCH(B1246,'Room Info'!$G$2:$G2446, 0)))))))))</f>
        <v>Sun_Set_pro8</v>
      </c>
      <c r="B1246" s="45" t="s">
        <v>98</v>
      </c>
      <c r="C1246" s="77">
        <v>44743</v>
      </c>
      <c r="D1246" s="77">
        <v>44773</v>
      </c>
      <c r="E1246" s="47">
        <v>44743</v>
      </c>
      <c r="F1246" s="48" t="s">
        <v>49</v>
      </c>
      <c r="G1246" s="45" t="s">
        <v>35</v>
      </c>
      <c r="H1246" s="91" t="s">
        <v>87</v>
      </c>
      <c r="I1246" s="49" t="s">
        <v>44</v>
      </c>
      <c r="J1246" s="74">
        <v>25</v>
      </c>
      <c r="K1246" s="75">
        <v>4185</v>
      </c>
      <c r="L1246" s="72">
        <v>-4300</v>
      </c>
      <c r="M1246" s="76">
        <v>4260</v>
      </c>
      <c r="N1246" s="28">
        <f>K1246*J1246</f>
        <v>104625</v>
      </c>
      <c r="O1246" s="45">
        <v>62775</v>
      </c>
      <c r="P1246" s="29">
        <v>15</v>
      </c>
      <c r="Q1246" s="55"/>
      <c r="R1246" s="31">
        <f>M1246+Q1246</f>
        <v>4260</v>
      </c>
      <c r="S1246" s="73">
        <v>-1846</v>
      </c>
      <c r="T1246" s="32">
        <f>R1246+S1246+IF(F1246="Without EV deal",L1246,0)</f>
        <v>2414</v>
      </c>
      <c r="U1246" s="57">
        <v>1</v>
      </c>
      <c r="V1246" s="58"/>
      <c r="W1246" s="58"/>
      <c r="X1246" s="78">
        <v>0.25</v>
      </c>
      <c r="Y1246" s="30">
        <f>IF(AG1246="None",0,IF(AG1246="Fix5",0.05, IF(AG1246="Fix6.25",0.0625,IF(AG1246="Fix3.75",0.0375,IF(AG1246="Fix10",0.1,IF(AG1246="Fix3",0.03,0))))))</f>
        <v>0</v>
      </c>
      <c r="Z1246" s="35">
        <f>T1246-AA1246-AB1246</f>
        <v>1810.5</v>
      </c>
      <c r="AA1246" s="29">
        <f>IF(AD1246="EUR",((T1246-R1246)*X1246)*U1246+(R1246*X1246),(T1246*X1246))</f>
        <v>603.5</v>
      </c>
      <c r="AB1246" s="36">
        <f>IF(AD1246="EUR",((T1246-R1246)*Y1246)*U1246+(R1246*Y1246),(T1246*Y1246))</f>
        <v>0</v>
      </c>
      <c r="AC1246" s="37" t="b">
        <v>1</v>
      </c>
      <c r="AD1246" s="61" t="s">
        <v>38</v>
      </c>
      <c r="AE1246" s="83" t="s">
        <v>38</v>
      </c>
      <c r="AF1246" s="37" t="str">
        <f t="array" ref="AF1246">INDEX('Deal Info'!D:D, MATCH(A1246,'Deal Info'!A:A, 0))</f>
        <v>DoEVold</v>
      </c>
      <c r="AG1246" s="38" t="str">
        <f t="array" ref="AG1246">INDEX('Deal Info'!G:G, MATCH(A1246,'Deal Info'!A:A, 0))</f>
        <v>None</v>
      </c>
    </row>
    <row r="1247" spans="1:33" ht="14.25" hidden="1" x14ac:dyDescent="0.2">
      <c r="A1247" s="18" t="str">
        <f t="array" ref="A1247">IF(G1247='Room Info'!$B$1, INDEX('Room Info'!$A$2:$A2446, MATCH(B1247,'Room Info'!$B$2:$B2446, 0)),IF(G1247='Room Info'!$C$1, INDEX('Room Info'!$A$2:$A2446, MATCH(B1247,'Room Info'!$C$2:$C2446, 0)),IF(G1247='Room Info'!$D$1, INDEX('Room Info'!$A$2:$A2446, MATCH(B1247,'Room Info'!$D$2:$D2446, 0)),IF(G1247='Room Info'!$E$1, INDEX('Room Info'!$A$2:$A2446, MATCH(B1247,'Room Info'!$E$2:$E2446, 0)),IF(G1247='Room Info'!$F$1, INDEX('Room Info'!$A$2:$A2446, MATCH(B1247,'Room Info'!$F$2:$F2446, 0)),IF(G1247='Room Info'!$H$1, INDEX('Room Info'!$A$2:$A2446, MATCH(B1247,'Room Info'!$H$2:$H2446, 0)),IF(G1247='Room Info'!$G$1, INDEX('Room Info'!$A$2:$A2446, MATCH(B1247,'Room Info'!$G$2:$G2446, 0)))))))))</f>
        <v>Sun_Set_pro8</v>
      </c>
      <c r="B1247" s="45" t="s">
        <v>98</v>
      </c>
      <c r="C1247" s="77">
        <v>44774</v>
      </c>
      <c r="D1247" s="77">
        <v>44804</v>
      </c>
      <c r="E1247" s="47">
        <v>44774</v>
      </c>
      <c r="F1247" s="48" t="s">
        <v>49</v>
      </c>
      <c r="G1247" s="54" t="s">
        <v>35</v>
      </c>
      <c r="H1247" s="49" t="s">
        <v>87</v>
      </c>
      <c r="I1247" s="49" t="s">
        <v>44</v>
      </c>
      <c r="J1247" s="50">
        <v>25</v>
      </c>
      <c r="K1247" s="51">
        <v>880</v>
      </c>
      <c r="L1247" s="52">
        <v>400</v>
      </c>
      <c r="M1247" s="53">
        <v>909</v>
      </c>
      <c r="N1247" s="28">
        <f>K1247*J1247</f>
        <v>22000</v>
      </c>
      <c r="O1247" s="54">
        <v>11273</v>
      </c>
      <c r="P1247" s="29">
        <v>12.81022727</v>
      </c>
      <c r="Q1247" s="55"/>
      <c r="R1247" s="31">
        <f>M1247+Q1247</f>
        <v>909</v>
      </c>
      <c r="S1247" s="56">
        <v>-552</v>
      </c>
      <c r="T1247" s="32">
        <f>R1247+S1247+IF(F1247="Without EV deal",L1247,0)</f>
        <v>357</v>
      </c>
      <c r="U1247" s="57">
        <v>1</v>
      </c>
      <c r="V1247" s="58"/>
      <c r="W1247" s="58"/>
      <c r="X1247" s="78">
        <v>0.25</v>
      </c>
      <c r="Y1247" s="30">
        <f>IF(AG1247="None",0,IF(AG1247="Fix5",0.05, IF(AG1247="Fix6.25",0.0625,IF(AG1247="Fix3.75",0.0375,IF(AG1247="Fix10",0.1,IF(AG1247="Fix3",0.03,0))))))</f>
        <v>0</v>
      </c>
      <c r="Z1247" s="35">
        <f>T1247-AA1247-AB1247</f>
        <v>267.75</v>
      </c>
      <c r="AA1247" s="29">
        <f>IF(AD1247="EUR",((T1247-R1247)*X1247)*U1247+(R1247*X1247),(T1247*X1247))</f>
        <v>89.25</v>
      </c>
      <c r="AB1247" s="36">
        <f>IF(AD1247="EUR",((T1247-R1247)*Y1247)*U1247+(R1247*Y1247),(T1247*Y1247))</f>
        <v>0</v>
      </c>
      <c r="AC1247" s="37" t="b">
        <v>1</v>
      </c>
      <c r="AD1247" s="61" t="s">
        <v>38</v>
      </c>
      <c r="AE1247" s="83" t="s">
        <v>38</v>
      </c>
      <c r="AF1247" s="37" t="str">
        <f t="array" ref="AF1247">INDEX('Deal Info'!D:D, MATCH(A1247,'Deal Info'!A:A, 0))</f>
        <v>DoEVold</v>
      </c>
      <c r="AG1247" s="38" t="str">
        <f t="array" ref="AG1247">INDEX('Deal Info'!G:G, MATCH(A1247,'Deal Info'!A:A, 0))</f>
        <v>None</v>
      </c>
    </row>
    <row r="1248" spans="1:33" ht="14.25" hidden="1" x14ac:dyDescent="0.2">
      <c r="A1248" s="18" t="str">
        <f t="array" ref="A1248">IF(G1248='Room Info'!$B$1, INDEX('Room Info'!$A$2:$A2446, MATCH(B1248,'Room Info'!$B$2:$B2446, 0)),IF(G1248='Room Info'!$C$1, INDEX('Room Info'!$A$2:$A2446, MATCH(B1248,'Room Info'!$C$2:$C2446, 0)),IF(G1248='Room Info'!$D$1, INDEX('Room Info'!$A$2:$A2446, MATCH(B1248,'Room Info'!$D$2:$D2446, 0)),IF(G1248='Room Info'!$E$1, INDEX('Room Info'!$A$2:$A2446, MATCH(B1248,'Room Info'!$E$2:$E2446, 0)),IF(G1248='Room Info'!$F$1, INDEX('Room Info'!$A$2:$A2446, MATCH(B1248,'Room Info'!$F$2:$F2446, 0)),IF(G1248='Room Info'!$H$1, INDEX('Room Info'!$A$2:$A2446, MATCH(B1248,'Room Info'!$H$2:$H2446, 0)),IF(G1248='Room Info'!$G$1, INDEX('Room Info'!$A$2:$A2446, MATCH(B1248,'Room Info'!$G$2:$G2446, 0)))))))))</f>
        <v>Sun_Set_pro8</v>
      </c>
      <c r="B1248" s="45" t="s">
        <v>98</v>
      </c>
      <c r="C1248" s="77">
        <v>44774</v>
      </c>
      <c r="D1248" s="77">
        <v>44804</v>
      </c>
      <c r="E1248" s="47">
        <v>44774</v>
      </c>
      <c r="F1248" s="48" t="s">
        <v>49</v>
      </c>
      <c r="G1248" s="45" t="s">
        <v>35</v>
      </c>
      <c r="H1248" s="49" t="s">
        <v>85</v>
      </c>
      <c r="I1248" s="49" t="s">
        <v>44</v>
      </c>
      <c r="J1248" s="74">
        <v>50</v>
      </c>
      <c r="K1248" s="75">
        <v>4310</v>
      </c>
      <c r="L1248" s="72">
        <v>-6900</v>
      </c>
      <c r="M1248" s="76">
        <v>8903</v>
      </c>
      <c r="N1248" s="28">
        <f>K1248*J1248</f>
        <v>215500</v>
      </c>
      <c r="O1248" s="45">
        <v>79376</v>
      </c>
      <c r="P1248" s="29">
        <v>18.41670534</v>
      </c>
      <c r="Q1248" s="55"/>
      <c r="R1248" s="31">
        <f>M1248+Q1248</f>
        <v>8903</v>
      </c>
      <c r="S1248" s="73">
        <v>-1657</v>
      </c>
      <c r="T1248" s="32">
        <f>R1248+S1248+IF(F1248="Without EV deal",L1248,0)</f>
        <v>7246</v>
      </c>
      <c r="U1248" s="57">
        <v>1</v>
      </c>
      <c r="V1248" s="58"/>
      <c r="W1248" s="58"/>
      <c r="X1248" s="78">
        <v>0.25</v>
      </c>
      <c r="Y1248" s="30">
        <f>IF(AG1248="None",0,IF(AG1248="Fix5",0.05, IF(AG1248="Fix6.25",0.0625,IF(AG1248="Fix3.75",0.0375,IF(AG1248="Fix10",0.1,IF(AG1248="Fix3",0.03,0))))))</f>
        <v>0</v>
      </c>
      <c r="Z1248" s="35">
        <f>T1248-AA1248-AB1248</f>
        <v>5434.5</v>
      </c>
      <c r="AA1248" s="29">
        <f>IF(AD1248="EUR",((T1248-R1248)*X1248)*U1248+(R1248*X1248),(T1248*X1248))</f>
        <v>1811.5</v>
      </c>
      <c r="AB1248" s="36">
        <f>IF(AD1248="EUR",((T1248-R1248)*Y1248)*U1248+(R1248*Y1248),(T1248*Y1248))</f>
        <v>0</v>
      </c>
      <c r="AC1248" s="37" t="b">
        <v>1</v>
      </c>
      <c r="AD1248" s="61" t="s">
        <v>38</v>
      </c>
      <c r="AE1248" s="83" t="s">
        <v>38</v>
      </c>
      <c r="AF1248" s="37" t="str">
        <f t="array" ref="AF1248">INDEX('Deal Info'!D:D, MATCH(A1248,'Deal Info'!A:A, 0))</f>
        <v>DoEVold</v>
      </c>
      <c r="AG1248" s="38" t="str">
        <f t="array" ref="AG1248">INDEX('Deal Info'!G:G, MATCH(A1248,'Deal Info'!A:A, 0))</f>
        <v>None</v>
      </c>
    </row>
    <row r="1249" spans="1:33" ht="14.25" hidden="1" x14ac:dyDescent="0.2">
      <c r="A1249" s="18" t="str">
        <f t="array" ref="A1249">IF(G1249='Room Info'!$B$1, INDEX('Room Info'!$A$2:$A2446, MATCH(B1249,'Room Info'!$B$2:$B2446, 0)),IF(G1249='Room Info'!$C$1, INDEX('Room Info'!$A$2:$A2446, MATCH(B1249,'Room Info'!$C$2:$C2446, 0)),IF(G1249='Room Info'!$D$1, INDEX('Room Info'!$A$2:$A2446, MATCH(B1249,'Room Info'!$D$2:$D2446, 0)),IF(G1249='Room Info'!$E$1, INDEX('Room Info'!$A$2:$A2446, MATCH(B1249,'Room Info'!$E$2:$E2446, 0)),IF(G1249='Room Info'!$F$1, INDEX('Room Info'!$A$2:$A2446, MATCH(B1249,'Room Info'!$F$2:$F2446, 0)),IF(G1249='Room Info'!$H$1, INDEX('Room Info'!$A$2:$A2446, MATCH(B1249,'Room Info'!$H$2:$H2446, 0)),IF(G1249='Room Info'!$G$1, INDEX('Room Info'!$A$2:$A2446, MATCH(B1249,'Room Info'!$G$2:$G2446, 0)))))))))</f>
        <v>Sun_Set_pro8</v>
      </c>
      <c r="B1249" s="45" t="s">
        <v>98</v>
      </c>
      <c r="C1249" s="77">
        <v>44774</v>
      </c>
      <c r="D1249" s="77">
        <v>44804</v>
      </c>
      <c r="E1249" s="47">
        <v>44774</v>
      </c>
      <c r="F1249" s="48" t="s">
        <v>49</v>
      </c>
      <c r="G1249" s="45" t="s">
        <v>35</v>
      </c>
      <c r="H1249" s="91" t="s">
        <v>84</v>
      </c>
      <c r="I1249" s="49" t="s">
        <v>44</v>
      </c>
      <c r="J1249" s="74">
        <v>100</v>
      </c>
      <c r="K1249" s="75">
        <v>650</v>
      </c>
      <c r="L1249" s="72">
        <v>-100</v>
      </c>
      <c r="M1249" s="76">
        <v>2238</v>
      </c>
      <c r="N1249" s="28">
        <f>K1249*J1249</f>
        <v>65000</v>
      </c>
      <c r="O1249" s="45">
        <v>9316</v>
      </c>
      <c r="P1249" s="29">
        <v>14.33230769</v>
      </c>
      <c r="Q1249" s="55"/>
      <c r="R1249" s="31">
        <f>M1249+Q1249</f>
        <v>2238</v>
      </c>
      <c r="S1249" s="73">
        <v>-646</v>
      </c>
      <c r="T1249" s="32">
        <f>R1249+S1249+IF(F1249="Without EV deal",L1249,0)</f>
        <v>1592</v>
      </c>
      <c r="U1249" s="57">
        <v>1</v>
      </c>
      <c r="V1249" s="58"/>
      <c r="W1249" s="58"/>
      <c r="X1249" s="78">
        <v>0.25</v>
      </c>
      <c r="Y1249" s="30">
        <f>IF(AG1249="None",0,IF(AG1249="Fix5",0.05, IF(AG1249="Fix6.25",0.0625,IF(AG1249="Fix3.75",0.0375,IF(AG1249="Fix10",0.1,IF(AG1249="Fix3",0.03,0))))))</f>
        <v>0</v>
      </c>
      <c r="Z1249" s="35">
        <f>T1249-AA1249-AB1249</f>
        <v>1194</v>
      </c>
      <c r="AA1249" s="29">
        <f>IF(AD1249="EUR",((T1249-R1249)*X1249)*U1249+(R1249*X1249),(T1249*X1249))</f>
        <v>398</v>
      </c>
      <c r="AB1249" s="36">
        <f>IF(AD1249="EUR",((T1249-R1249)*Y1249)*U1249+(R1249*Y1249),(T1249*Y1249))</f>
        <v>0</v>
      </c>
      <c r="AC1249" s="37" t="b">
        <v>1</v>
      </c>
      <c r="AD1249" s="61" t="s">
        <v>38</v>
      </c>
      <c r="AE1249" s="83" t="s">
        <v>38</v>
      </c>
      <c r="AF1249" s="37" t="str">
        <f t="array" ref="AF1249">INDEX('Deal Info'!D:D, MATCH(A1249,'Deal Info'!A:A, 0))</f>
        <v>DoEVold</v>
      </c>
      <c r="AG1249" s="38" t="str">
        <f t="array" ref="AG1249">INDEX('Deal Info'!G:G, MATCH(A1249,'Deal Info'!A:A, 0))</f>
        <v>None</v>
      </c>
    </row>
    <row r="1250" spans="1:33" ht="14.25" hidden="1" x14ac:dyDescent="0.2">
      <c r="A1250" s="18" t="str">
        <f t="array" ref="A1250">IF(G1250='Room Info'!$B$1, INDEX('Room Info'!$A$2:$A2446, MATCH(B1250,'Room Info'!$B$2:$B2446, 0)),IF(G1250='Room Info'!$C$1, INDEX('Room Info'!$A$2:$A2446, MATCH(B1250,'Room Info'!$C$2:$C2446, 0)),IF(G1250='Room Info'!$D$1, INDEX('Room Info'!$A$2:$A2446, MATCH(B1250,'Room Info'!$D$2:$D2446, 0)),IF(G1250='Room Info'!$E$1, INDEX('Room Info'!$A$2:$A2446, MATCH(B1250,'Room Info'!$E$2:$E2446, 0)),IF(G1250='Room Info'!$F$1, INDEX('Room Info'!$A$2:$A2446, MATCH(B1250,'Room Info'!$F$2:$F2446, 0)),IF(G1250='Room Info'!$H$1, INDEX('Room Info'!$A$2:$A2446, MATCH(B1250,'Room Info'!$H$2:$H2446, 0)),IF(G1250='Room Info'!$G$1, INDEX('Room Info'!$A$2:$A2446, MATCH(B1250,'Room Info'!$G$2:$G2446, 0)))))))))</f>
        <v>Sun_Set_pro8</v>
      </c>
      <c r="B1250" s="45" t="s">
        <v>98</v>
      </c>
      <c r="C1250" s="77">
        <v>44774</v>
      </c>
      <c r="D1250" s="77">
        <v>44804</v>
      </c>
      <c r="E1250" s="47">
        <v>44774</v>
      </c>
      <c r="F1250" s="48" t="s">
        <v>41</v>
      </c>
      <c r="G1250" s="45" t="s">
        <v>35</v>
      </c>
      <c r="H1250" s="91" t="s">
        <v>51</v>
      </c>
      <c r="I1250" s="49" t="s">
        <v>44</v>
      </c>
      <c r="J1250" s="74">
        <v>0.25</v>
      </c>
      <c r="K1250" s="75">
        <v>5</v>
      </c>
      <c r="L1250" s="72">
        <v>2</v>
      </c>
      <c r="M1250" s="76">
        <v>0</v>
      </c>
      <c r="N1250" s="28">
        <f>K1250*J1250</f>
        <v>1.25</v>
      </c>
      <c r="O1250" s="45">
        <v>-600</v>
      </c>
      <c r="P1250" s="29">
        <v>-120</v>
      </c>
      <c r="Q1250" s="55"/>
      <c r="R1250" s="31">
        <f>M1250+Q1250</f>
        <v>0</v>
      </c>
      <c r="S1250" s="73"/>
      <c r="T1250" s="32">
        <f>R1250+S1250+IF(F1250="Without EV deal",L1250,0)</f>
        <v>2</v>
      </c>
      <c r="U1250" s="57">
        <v>1</v>
      </c>
      <c r="V1250" s="58"/>
      <c r="W1250" s="58"/>
      <c r="X1250" s="78">
        <v>0.25</v>
      </c>
      <c r="Y1250" s="30">
        <f>IF(AG1250="None",0,IF(AG1250="Fix5",0.05, IF(AG1250="Fix6.25",0.0625,IF(AG1250="Fix3.75",0.0375,IF(AG1250="Fix10",0.1,IF(AG1250="Fix3",0.03,0))))))</f>
        <v>0</v>
      </c>
      <c r="Z1250" s="35">
        <f>T1250-AA1250-AB1250</f>
        <v>1.5</v>
      </c>
      <c r="AA1250" s="29">
        <f>IF(AD1250="EUR",((T1250-R1250)*X1250)*U1250+(R1250*X1250),(T1250*X1250))</f>
        <v>0.5</v>
      </c>
      <c r="AB1250" s="36">
        <f>IF(AD1250="EUR",((T1250-R1250)*Y1250)*U1250+(R1250*Y1250),(T1250*Y1250))</f>
        <v>0</v>
      </c>
      <c r="AC1250" s="37" t="b">
        <v>1</v>
      </c>
      <c r="AD1250" s="61" t="s">
        <v>38</v>
      </c>
      <c r="AE1250" s="83" t="s">
        <v>38</v>
      </c>
      <c r="AF1250" s="37" t="str">
        <f t="array" ref="AF1250">INDEX('Deal Info'!D:D, MATCH(A1250,'Deal Info'!A:A, 0))</f>
        <v>DoEVold</v>
      </c>
      <c r="AG1250" s="38" t="str">
        <f t="array" ref="AG1250">INDEX('Deal Info'!G:G, MATCH(A1250,'Deal Info'!A:A, 0))</f>
        <v>None</v>
      </c>
    </row>
    <row r="1251" spans="1:33" ht="14.25" hidden="1" x14ac:dyDescent="0.2">
      <c r="A1251" s="18" t="str">
        <f t="array" ref="A1251">IF(G1251='Room Info'!$B$1, INDEX('Room Info'!$A$2:$A2446, MATCH(B1251,'Room Info'!$B$2:$B2446, 0)),IF(G1251='Room Info'!$C$1, INDEX('Room Info'!$A$2:$A2446, MATCH(B1251,'Room Info'!$C$2:$C2446, 0)),IF(G1251='Room Info'!$D$1, INDEX('Room Info'!$A$2:$A2446, MATCH(B1251,'Room Info'!$D$2:$D2446, 0)),IF(G1251='Room Info'!$E$1, INDEX('Room Info'!$A$2:$A2446, MATCH(B1251,'Room Info'!$E$2:$E2446, 0)),IF(G1251='Room Info'!$F$1, INDEX('Room Info'!$A$2:$A2446, MATCH(B1251,'Room Info'!$F$2:$F2446, 0)),IF(G1251='Room Info'!$H$1, INDEX('Room Info'!$A$2:$A2446, MATCH(B1251,'Room Info'!$H$2:$H2446, 0)),IF(G1251='Room Info'!$G$1, INDEX('Room Info'!$A$2:$A2446, MATCH(B1251,'Room Info'!$G$2:$G2446, 0)))))))))</f>
        <v>Sun_Set_pro8</v>
      </c>
      <c r="B1251" s="45" t="s">
        <v>98</v>
      </c>
      <c r="C1251" s="77">
        <v>44805</v>
      </c>
      <c r="D1251" s="77">
        <v>44834</v>
      </c>
      <c r="E1251" s="47">
        <v>44805</v>
      </c>
      <c r="F1251" s="48" t="s">
        <v>49</v>
      </c>
      <c r="G1251" s="45" t="s">
        <v>35</v>
      </c>
      <c r="H1251" s="91" t="s">
        <v>72</v>
      </c>
      <c r="I1251" s="49" t="s">
        <v>37</v>
      </c>
      <c r="J1251" s="74">
        <v>50</v>
      </c>
      <c r="K1251" s="75">
        <v>1</v>
      </c>
      <c r="L1251" s="72">
        <v>-50</v>
      </c>
      <c r="M1251" s="76">
        <v>2</v>
      </c>
      <c r="N1251" s="28">
        <f>K1251*J1251</f>
        <v>50</v>
      </c>
      <c r="O1251" s="45">
        <v>-500</v>
      </c>
      <c r="P1251" s="29">
        <v>-500</v>
      </c>
      <c r="Q1251" s="55"/>
      <c r="R1251" s="31">
        <f>M1251+Q1251</f>
        <v>2</v>
      </c>
      <c r="S1251" s="73">
        <v>-50</v>
      </c>
      <c r="T1251" s="32">
        <f>R1251+S1251+IF(F1251="Without EV deal",L1251,0)</f>
        <v>-48</v>
      </c>
      <c r="U1251" s="57">
        <v>1</v>
      </c>
      <c r="V1251" s="58"/>
      <c r="W1251" s="58"/>
      <c r="X1251" s="78">
        <v>0.35</v>
      </c>
      <c r="Y1251" s="30">
        <f>IF(AG1251="None",0,IF(AG1251="Fix5",0.05, IF(AG1251="Fix6.25",0.0625,IF(AG1251="Fix3.75",0.0375,IF(AG1251="Fix10",0.1,IF(AG1251="Fix3",0.03,0))))))</f>
        <v>0</v>
      </c>
      <c r="Z1251" s="35">
        <f>T1251-AA1251-AB1251</f>
        <v>-31.200000000000003</v>
      </c>
      <c r="AA1251" s="29">
        <f>IF(AD1251="EUR",((T1251-R1251)*X1251)*U1251+(R1251*X1251),(T1251*X1251))</f>
        <v>-16.799999999999997</v>
      </c>
      <c r="AB1251" s="36">
        <f>IF(AD1251="EUR",((T1251-R1251)*Y1251)*U1251+(R1251*Y1251),(T1251*Y1251))</f>
        <v>0</v>
      </c>
      <c r="AC1251" s="37" t="b">
        <v>1</v>
      </c>
      <c r="AD1251" s="61" t="s">
        <v>38</v>
      </c>
      <c r="AE1251" s="83" t="s">
        <v>38</v>
      </c>
      <c r="AF1251" s="37" t="str">
        <f t="array" ref="AF1251">INDEX('Deal Info'!D:D, MATCH(A1251,'Deal Info'!A:A, 0))</f>
        <v>DoEVold</v>
      </c>
      <c r="AG1251" s="38" t="str">
        <f t="array" ref="AG1251">INDEX('Deal Info'!G:G, MATCH(A1251,'Deal Info'!A:A, 0))</f>
        <v>None</v>
      </c>
    </row>
    <row r="1252" spans="1:33" ht="14.25" hidden="1" x14ac:dyDescent="0.2">
      <c r="A1252" s="18" t="str">
        <f t="array" ref="A1252">IF(G1252='Room Info'!$B$1, INDEX('Room Info'!$A$2:$A2446, MATCH(B1252,'Room Info'!$B$2:$B2446, 0)),IF(G1252='Room Info'!$C$1, INDEX('Room Info'!$A$2:$A2446, MATCH(B1252,'Room Info'!$C$2:$C2446, 0)),IF(G1252='Room Info'!$D$1, INDEX('Room Info'!$A$2:$A2446, MATCH(B1252,'Room Info'!$D$2:$D2446, 0)),IF(G1252='Room Info'!$E$1, INDEX('Room Info'!$A$2:$A2446, MATCH(B1252,'Room Info'!$E$2:$E2446, 0)),IF(G1252='Room Info'!$F$1, INDEX('Room Info'!$A$2:$A2446, MATCH(B1252,'Room Info'!$F$2:$F2446, 0)),IF(G1252='Room Info'!$H$1, INDEX('Room Info'!$A$2:$A2446, MATCH(B1252,'Room Info'!$H$2:$H2446, 0)),IF(G1252='Room Info'!$G$1, INDEX('Room Info'!$A$2:$A2446, MATCH(B1252,'Room Info'!$G$2:$G2446, 0)))))))))</f>
        <v>Sun_Set_pro8</v>
      </c>
      <c r="B1252" s="45" t="s">
        <v>98</v>
      </c>
      <c r="C1252" s="77">
        <v>44805</v>
      </c>
      <c r="D1252" s="77">
        <v>44834</v>
      </c>
      <c r="E1252" s="47">
        <v>44805</v>
      </c>
      <c r="F1252" s="48" t="s">
        <v>49</v>
      </c>
      <c r="G1252" s="45" t="s">
        <v>35</v>
      </c>
      <c r="H1252" s="91" t="s">
        <v>87</v>
      </c>
      <c r="I1252" s="49" t="s">
        <v>44</v>
      </c>
      <c r="J1252" s="74">
        <v>25</v>
      </c>
      <c r="K1252" s="75">
        <v>984</v>
      </c>
      <c r="L1252" s="72">
        <v>-75</v>
      </c>
      <c r="M1252" s="76">
        <v>962</v>
      </c>
      <c r="N1252" s="28">
        <f>K1252*J1252</f>
        <v>24600</v>
      </c>
      <c r="O1252" s="45">
        <v>11295</v>
      </c>
      <c r="P1252" s="29">
        <v>11.47865854</v>
      </c>
      <c r="Q1252" s="55"/>
      <c r="R1252" s="31">
        <f>M1252+Q1252</f>
        <v>962</v>
      </c>
      <c r="S1252" s="73">
        <v>-596</v>
      </c>
      <c r="T1252" s="32">
        <f>R1252+S1252+IF(F1252="Without EV deal",L1252,0)</f>
        <v>366</v>
      </c>
      <c r="U1252" s="57">
        <v>1</v>
      </c>
      <c r="V1252" s="58"/>
      <c r="W1252" s="58"/>
      <c r="X1252" s="78">
        <v>0.35</v>
      </c>
      <c r="Y1252" s="30">
        <f>IF(AG1252="None",0,IF(AG1252="Fix5",0.05, IF(AG1252="Fix6.25",0.0625,IF(AG1252="Fix3.75",0.0375,IF(AG1252="Fix10",0.1,IF(AG1252="Fix3",0.03,0))))))</f>
        <v>0</v>
      </c>
      <c r="Z1252" s="35">
        <f>T1252-AA1252-AB1252</f>
        <v>237.9</v>
      </c>
      <c r="AA1252" s="29">
        <f>IF(AD1252="EUR",((T1252-R1252)*X1252)*U1252+(R1252*X1252),(T1252*X1252))</f>
        <v>128.1</v>
      </c>
      <c r="AB1252" s="36">
        <f>IF(AD1252="EUR",((T1252-R1252)*Y1252)*U1252+(R1252*Y1252),(T1252*Y1252))</f>
        <v>0</v>
      </c>
      <c r="AC1252" s="37" t="b">
        <v>1</v>
      </c>
      <c r="AD1252" s="61" t="s">
        <v>38</v>
      </c>
      <c r="AE1252" s="83" t="s">
        <v>38</v>
      </c>
      <c r="AF1252" s="37" t="str">
        <f t="array" ref="AF1252">INDEX('Deal Info'!D:D, MATCH(A1252,'Deal Info'!A:A, 0))</f>
        <v>DoEVold</v>
      </c>
      <c r="AG1252" s="38" t="str">
        <f t="array" ref="AG1252">INDEX('Deal Info'!G:G, MATCH(A1252,'Deal Info'!A:A, 0))</f>
        <v>None</v>
      </c>
    </row>
    <row r="1253" spans="1:33" ht="14.25" hidden="1" x14ac:dyDescent="0.2">
      <c r="A1253" s="18" t="str">
        <f t="array" ref="A1253">IF(G1253='Room Info'!$B$1, INDEX('Room Info'!$A$2:$A2446, MATCH(B1253,'Room Info'!$B$2:$B2446, 0)),IF(G1253='Room Info'!$C$1, INDEX('Room Info'!$A$2:$A2446, MATCH(B1253,'Room Info'!$C$2:$C2446, 0)),IF(G1253='Room Info'!$D$1, INDEX('Room Info'!$A$2:$A2446, MATCH(B1253,'Room Info'!$D$2:$D2446, 0)),IF(G1253='Room Info'!$E$1, INDEX('Room Info'!$A$2:$A2446, MATCH(B1253,'Room Info'!$E$2:$E2446, 0)),IF(G1253='Room Info'!$F$1, INDEX('Room Info'!$A$2:$A2446, MATCH(B1253,'Room Info'!$F$2:$F2446, 0)),IF(G1253='Room Info'!$H$1, INDEX('Room Info'!$A$2:$A2446, MATCH(B1253,'Room Info'!$H$2:$H2446, 0)),IF(G1253='Room Info'!$G$1, INDEX('Room Info'!$A$2:$A2446, MATCH(B1253,'Room Info'!$G$2:$G2446, 0)))))))))</f>
        <v>Sun_Set_pro8</v>
      </c>
      <c r="B1253" s="45" t="s">
        <v>98</v>
      </c>
      <c r="C1253" s="77">
        <v>44805</v>
      </c>
      <c r="D1253" s="77">
        <v>44834</v>
      </c>
      <c r="E1253" s="47">
        <v>44805</v>
      </c>
      <c r="F1253" s="48" t="s">
        <v>49</v>
      </c>
      <c r="G1253" s="45" t="s">
        <v>35</v>
      </c>
      <c r="H1253" s="91" t="s">
        <v>85</v>
      </c>
      <c r="I1253" s="49" t="s">
        <v>44</v>
      </c>
      <c r="J1253" s="74">
        <v>50</v>
      </c>
      <c r="K1253" s="75">
        <v>4968</v>
      </c>
      <c r="L1253" s="72">
        <v>-4600</v>
      </c>
      <c r="M1253" s="76">
        <v>9700</v>
      </c>
      <c r="N1253" s="28">
        <f>K1253*J1253</f>
        <v>248400</v>
      </c>
      <c r="O1253" s="45">
        <v>50789</v>
      </c>
      <c r="P1253" s="29">
        <v>10.22322866</v>
      </c>
      <c r="Q1253" s="55"/>
      <c r="R1253" s="31">
        <f>M1253+Q1253</f>
        <v>9700</v>
      </c>
      <c r="S1253" s="73">
        <v>-6979</v>
      </c>
      <c r="T1253" s="32">
        <f>R1253+S1253+IF(F1253="Without EV deal",L1253,0)</f>
        <v>2721</v>
      </c>
      <c r="U1253" s="57">
        <v>1</v>
      </c>
      <c r="V1253" s="58"/>
      <c r="W1253" s="58"/>
      <c r="X1253" s="78">
        <v>0.35</v>
      </c>
      <c r="Y1253" s="30">
        <f>IF(AG1253="None",0,IF(AG1253="Fix5",0.05, IF(AG1253="Fix6.25",0.0625,IF(AG1253="Fix3.75",0.0375,IF(AG1253="Fix10",0.1,IF(AG1253="Fix3",0.03,0))))))</f>
        <v>0</v>
      </c>
      <c r="Z1253" s="35">
        <f>T1253-AA1253-AB1253</f>
        <v>1768.65</v>
      </c>
      <c r="AA1253" s="29">
        <f>IF(AD1253="EUR",((T1253-R1253)*X1253)*U1253+(R1253*X1253),(T1253*X1253))</f>
        <v>952.34999999999991</v>
      </c>
      <c r="AB1253" s="36">
        <f>IF(AD1253="EUR",((T1253-R1253)*Y1253)*U1253+(R1253*Y1253),(T1253*Y1253))</f>
        <v>0</v>
      </c>
      <c r="AC1253" s="37" t="b">
        <v>1</v>
      </c>
      <c r="AD1253" s="61" t="s">
        <v>38</v>
      </c>
      <c r="AE1253" s="83" t="s">
        <v>38</v>
      </c>
      <c r="AF1253" s="37" t="str">
        <f t="array" ref="AF1253">INDEX('Deal Info'!D:D, MATCH(A1253,'Deal Info'!A:A, 0))</f>
        <v>DoEVold</v>
      </c>
      <c r="AG1253" s="38" t="str">
        <f t="array" ref="AG1253">INDEX('Deal Info'!G:G, MATCH(A1253,'Deal Info'!A:A, 0))</f>
        <v>None</v>
      </c>
    </row>
    <row r="1254" spans="1:33" ht="14.25" hidden="1" x14ac:dyDescent="0.2">
      <c r="A1254" s="18" t="str">
        <f t="array" ref="A1254">IF(G1254='Room Info'!$B$1, INDEX('Room Info'!$A$2:$A2446, MATCH(B1254,'Room Info'!$B$2:$B2446, 0)),IF(G1254='Room Info'!$C$1, INDEX('Room Info'!$A$2:$A2446, MATCH(B1254,'Room Info'!$C$2:$C2446, 0)),IF(G1254='Room Info'!$D$1, INDEX('Room Info'!$A$2:$A2446, MATCH(B1254,'Room Info'!$D$2:$D2446, 0)),IF(G1254='Room Info'!$E$1, INDEX('Room Info'!$A$2:$A2446, MATCH(B1254,'Room Info'!$E$2:$E2446, 0)),IF(G1254='Room Info'!$F$1, INDEX('Room Info'!$A$2:$A2446, MATCH(B1254,'Room Info'!$F$2:$F2446, 0)),IF(G1254='Room Info'!$H$1, INDEX('Room Info'!$A$2:$A2446, MATCH(B1254,'Room Info'!$H$2:$H2446, 0)),IF(G1254='Room Info'!$G$1, INDEX('Room Info'!$A$2:$A2446, MATCH(B1254,'Room Info'!$G$2:$G2446, 0)))))))))</f>
        <v>Sun_Set_pro8</v>
      </c>
      <c r="B1254" s="45" t="s">
        <v>98</v>
      </c>
      <c r="C1254" s="77">
        <v>44805</v>
      </c>
      <c r="D1254" s="77">
        <v>44834</v>
      </c>
      <c r="E1254" s="47">
        <v>44805</v>
      </c>
      <c r="F1254" s="48" t="s">
        <v>49</v>
      </c>
      <c r="G1254" s="45" t="s">
        <v>35</v>
      </c>
      <c r="H1254" s="91" t="s">
        <v>84</v>
      </c>
      <c r="I1254" s="49" t="s">
        <v>44</v>
      </c>
      <c r="J1254" s="74">
        <v>100</v>
      </c>
      <c r="K1254" s="75">
        <v>180</v>
      </c>
      <c r="L1254" s="72">
        <v>-4900</v>
      </c>
      <c r="M1254" s="76">
        <v>586</v>
      </c>
      <c r="N1254" s="28">
        <f>K1254*J1254</f>
        <v>18000</v>
      </c>
      <c r="O1254" s="45">
        <v>-2421</v>
      </c>
      <c r="P1254" s="29">
        <v>-13.45</v>
      </c>
      <c r="Q1254" s="55"/>
      <c r="R1254" s="31">
        <f>M1254+Q1254</f>
        <v>586</v>
      </c>
      <c r="S1254" s="73">
        <v>-1656</v>
      </c>
      <c r="T1254" s="32">
        <f>R1254+S1254+IF(F1254="Without EV deal",L1254,0)</f>
        <v>-1070</v>
      </c>
      <c r="U1254" s="57">
        <v>1</v>
      </c>
      <c r="V1254" s="58"/>
      <c r="W1254" s="58"/>
      <c r="X1254" s="78">
        <v>0.35</v>
      </c>
      <c r="Y1254" s="30">
        <f>IF(AG1254="None",0,IF(AG1254="Fix5",0.05, IF(AG1254="Fix6.25",0.0625,IF(AG1254="Fix3.75",0.0375,IF(AG1254="Fix10",0.1,IF(AG1254="Fix3",0.03,0))))))</f>
        <v>0</v>
      </c>
      <c r="Z1254" s="35">
        <f>T1254-AA1254-AB1254</f>
        <v>-695.5</v>
      </c>
      <c r="AA1254" s="29">
        <f>IF(AD1254="EUR",((T1254-R1254)*X1254)*U1254+(R1254*X1254),(T1254*X1254))</f>
        <v>-374.5</v>
      </c>
      <c r="AB1254" s="36">
        <f>IF(AD1254="EUR",((T1254-R1254)*Y1254)*U1254+(R1254*Y1254),(T1254*Y1254))</f>
        <v>0</v>
      </c>
      <c r="AC1254" s="37" t="b">
        <v>1</v>
      </c>
      <c r="AD1254" s="61" t="s">
        <v>38</v>
      </c>
      <c r="AE1254" s="83" t="s">
        <v>38</v>
      </c>
      <c r="AF1254" s="37" t="str">
        <f t="array" ref="AF1254">INDEX('Deal Info'!D:D, MATCH(A1254,'Deal Info'!A:A, 0))</f>
        <v>DoEVold</v>
      </c>
      <c r="AG1254" s="38" t="str">
        <f t="array" ref="AG1254">INDEX('Deal Info'!G:G, MATCH(A1254,'Deal Info'!A:A, 0))</f>
        <v>None</v>
      </c>
    </row>
    <row r="1255" spans="1:33" ht="14.25" hidden="1" x14ac:dyDescent="0.2">
      <c r="A1255" s="18" t="str">
        <f t="array" ref="A1255">IF(G1255='Room Info'!$B$1, INDEX('Room Info'!$A$2:$A2446, MATCH(B1255,'Room Info'!$B$2:$B2446, 0)),IF(G1255='Room Info'!$C$1, INDEX('Room Info'!$A$2:$A2446, MATCH(B1255,'Room Info'!$C$2:$C2446, 0)),IF(G1255='Room Info'!$D$1, INDEX('Room Info'!$A$2:$A2446, MATCH(B1255,'Room Info'!$D$2:$D2446, 0)),IF(G1255='Room Info'!$E$1, INDEX('Room Info'!$A$2:$A2446, MATCH(B1255,'Room Info'!$E$2:$E2446, 0)),IF(G1255='Room Info'!$F$1, INDEX('Room Info'!$A$2:$A2446, MATCH(B1255,'Room Info'!$F$2:$F2446, 0)),IF(G1255='Room Info'!$H$1, INDEX('Room Info'!$A$2:$A2446, MATCH(B1255,'Room Info'!$H$2:$H2446, 0)),IF(G1255='Room Info'!$G$1, INDEX('Room Info'!$A$2:$A2446, MATCH(B1255,'Room Info'!$G$2:$G2446, 0)))))))))</f>
        <v>Sun_Set_pro8</v>
      </c>
      <c r="B1255" s="45" t="s">
        <v>98</v>
      </c>
      <c r="C1255" s="77">
        <v>44805</v>
      </c>
      <c r="D1255" s="77">
        <v>44834</v>
      </c>
      <c r="E1255" s="47">
        <v>44805</v>
      </c>
      <c r="F1255" s="48" t="s">
        <v>41</v>
      </c>
      <c r="G1255" s="45" t="s">
        <v>35</v>
      </c>
      <c r="H1255" s="91" t="s">
        <v>51</v>
      </c>
      <c r="I1255" s="49" t="s">
        <v>44</v>
      </c>
      <c r="J1255" s="74">
        <v>0.25</v>
      </c>
      <c r="K1255" s="75">
        <v>18</v>
      </c>
      <c r="L1255" s="72">
        <v>-1</v>
      </c>
      <c r="M1255" s="79"/>
      <c r="N1255" s="28">
        <f>K1255*J1255</f>
        <v>4.5</v>
      </c>
      <c r="O1255" s="96"/>
      <c r="P1255" s="29">
        <v>0</v>
      </c>
      <c r="Q1255" s="55"/>
      <c r="R1255" s="31">
        <f>M1255+Q1255</f>
        <v>0</v>
      </c>
      <c r="S1255" s="97"/>
      <c r="T1255" s="32">
        <f>R1255+S1255+IF(F1255="Without EV deal",L1255,0)</f>
        <v>-1</v>
      </c>
      <c r="U1255" s="57">
        <v>1</v>
      </c>
      <c r="V1255" s="58"/>
      <c r="W1255" s="58"/>
      <c r="X1255" s="78">
        <v>0.35</v>
      </c>
      <c r="Y1255" s="30">
        <f>IF(AG1255="None",0,IF(AG1255="Fix5",0.05, IF(AG1255="Fix6.25",0.0625,IF(AG1255="Fix3.75",0.0375,IF(AG1255="Fix10",0.1,IF(AG1255="Fix3",0.03,0))))))</f>
        <v>0</v>
      </c>
      <c r="Z1255" s="35">
        <f>T1255-AA1255-AB1255</f>
        <v>-0.65</v>
      </c>
      <c r="AA1255" s="29">
        <f>IF(AD1255="EUR",((T1255-R1255)*X1255)*U1255+(R1255*X1255),(T1255*X1255))</f>
        <v>-0.35</v>
      </c>
      <c r="AB1255" s="36">
        <f>IF(AD1255="EUR",((T1255-R1255)*Y1255)*U1255+(R1255*Y1255),(T1255*Y1255))</f>
        <v>0</v>
      </c>
      <c r="AC1255" s="37" t="b">
        <v>1</v>
      </c>
      <c r="AD1255" s="61" t="s">
        <v>38</v>
      </c>
      <c r="AE1255" s="83" t="s">
        <v>38</v>
      </c>
      <c r="AF1255" s="37" t="str">
        <f t="array" ref="AF1255">INDEX('Deal Info'!D:D, MATCH(A1255,'Deal Info'!A:A, 0))</f>
        <v>DoEVold</v>
      </c>
      <c r="AG1255" s="38" t="str">
        <f t="array" ref="AG1255">INDEX('Deal Info'!G:G, MATCH(A1255,'Deal Info'!A:A, 0))</f>
        <v>None</v>
      </c>
    </row>
    <row r="1256" spans="1:33" ht="14.25" hidden="1" x14ac:dyDescent="0.2">
      <c r="A1256" s="18" t="str">
        <f t="array" ref="A1256">IF(G1256='Room Info'!$B$1, INDEX('Room Info'!$A$2:$A2446, MATCH(B1256,'Room Info'!$B$2:$B2446, 0)),IF(G1256='Room Info'!$C$1, INDEX('Room Info'!$A$2:$A2446, MATCH(B1256,'Room Info'!$C$2:$C2446, 0)),IF(G1256='Room Info'!$D$1, INDEX('Room Info'!$A$2:$A2446, MATCH(B1256,'Room Info'!$D$2:$D2446, 0)),IF(G1256='Room Info'!$E$1, INDEX('Room Info'!$A$2:$A2446, MATCH(B1256,'Room Info'!$E$2:$E2446, 0)),IF(G1256='Room Info'!$F$1, INDEX('Room Info'!$A$2:$A2446, MATCH(B1256,'Room Info'!$F$2:$F2446, 0)),IF(G1256='Room Info'!$H$1, INDEX('Room Info'!$A$2:$A2446, MATCH(B1256,'Room Info'!$H$2:$H2446, 0)),IF(G1256='Room Info'!$G$1, INDEX('Room Info'!$A$2:$A2446, MATCH(B1256,'Room Info'!$G$2:$G2446, 0)))))))))</f>
        <v>Sun_Set_pro8</v>
      </c>
      <c r="B1256" s="45" t="s">
        <v>98</v>
      </c>
      <c r="C1256" s="77">
        <v>44835</v>
      </c>
      <c r="D1256" s="77">
        <v>44865</v>
      </c>
      <c r="E1256" s="47">
        <v>44835</v>
      </c>
      <c r="F1256" s="48" t="s">
        <v>49</v>
      </c>
      <c r="G1256" s="45" t="s">
        <v>35</v>
      </c>
      <c r="H1256" s="91" t="s">
        <v>72</v>
      </c>
      <c r="I1256" s="49" t="s">
        <v>37</v>
      </c>
      <c r="J1256" s="74">
        <v>50</v>
      </c>
      <c r="K1256" s="75">
        <v>2</v>
      </c>
      <c r="L1256" s="72">
        <v>-100</v>
      </c>
      <c r="M1256" s="76">
        <v>4</v>
      </c>
      <c r="N1256" s="28">
        <f>K1256*J1256</f>
        <v>100</v>
      </c>
      <c r="O1256" s="45">
        <v>-335</v>
      </c>
      <c r="P1256" s="29">
        <v>-167.5</v>
      </c>
      <c r="Q1256" s="55"/>
      <c r="R1256" s="31">
        <f>M1256+Q1256</f>
        <v>4</v>
      </c>
      <c r="S1256" s="73">
        <v>-38</v>
      </c>
      <c r="T1256" s="32">
        <f>R1256+S1256+IF(F1256="Without EV deal",L1256,0)</f>
        <v>-34</v>
      </c>
      <c r="U1256" s="57">
        <v>1</v>
      </c>
      <c r="V1256" s="58"/>
      <c r="W1256" s="58"/>
      <c r="X1256" s="78">
        <v>0.17</v>
      </c>
      <c r="Y1256" s="30">
        <f>IF(AG1256="None",0,IF(AG1256="Fix5",0.05, IF(AG1256="Fix6.25",0.0625,IF(AG1256="Fix3.75",0.0375,IF(AG1256="Fix10",0.1,IF(AG1256="Fix3",0.03,0))))))</f>
        <v>0</v>
      </c>
      <c r="Z1256" s="35">
        <f>T1256-AA1256-AB1256</f>
        <v>-28.22</v>
      </c>
      <c r="AA1256" s="29">
        <f>IF(AD1256="EUR",((T1256-R1256)*X1256)*U1256+(R1256*X1256),(T1256*X1256))</f>
        <v>-5.78</v>
      </c>
      <c r="AB1256" s="36">
        <f>IF(AD1256="EUR",((T1256-R1256)*Y1256)*U1256+(R1256*Y1256),(T1256*Y1256))</f>
        <v>0</v>
      </c>
      <c r="AC1256" s="37" t="b">
        <v>1</v>
      </c>
      <c r="AD1256" s="61" t="s">
        <v>38</v>
      </c>
      <c r="AE1256" s="83" t="s">
        <v>38</v>
      </c>
      <c r="AF1256" s="37" t="str">
        <f t="array" ref="AF1256">INDEX('Deal Info'!D:D, MATCH(A1256,'Deal Info'!A:A, 0))</f>
        <v>DoEVold</v>
      </c>
      <c r="AG1256" s="38" t="str">
        <f t="array" ref="AG1256">INDEX('Deal Info'!G:G, MATCH(A1256,'Deal Info'!A:A, 0))</f>
        <v>None</v>
      </c>
    </row>
    <row r="1257" spans="1:33" ht="14.25" hidden="1" x14ac:dyDescent="0.2">
      <c r="A1257" s="18" t="str">
        <f t="array" ref="A1257">IF(G1257='Room Info'!$B$1, INDEX('Room Info'!$A$2:$A2446, MATCH(B1257,'Room Info'!$B$2:$B2446, 0)),IF(G1257='Room Info'!$C$1, INDEX('Room Info'!$A$2:$A2446, MATCH(B1257,'Room Info'!$C$2:$C2446, 0)),IF(G1257='Room Info'!$D$1, INDEX('Room Info'!$A$2:$A2446, MATCH(B1257,'Room Info'!$D$2:$D2446, 0)),IF(G1257='Room Info'!$E$1, INDEX('Room Info'!$A$2:$A2446, MATCH(B1257,'Room Info'!$E$2:$E2446, 0)),IF(G1257='Room Info'!$F$1, INDEX('Room Info'!$A$2:$A2446, MATCH(B1257,'Room Info'!$F$2:$F2446, 0)),IF(G1257='Room Info'!$H$1, INDEX('Room Info'!$A$2:$A2446, MATCH(B1257,'Room Info'!$H$2:$H2446, 0)),IF(G1257='Room Info'!$G$1, INDEX('Room Info'!$A$2:$A2446, MATCH(B1257,'Room Info'!$G$2:$G2446, 0)))))))))</f>
        <v>Sun_Set_pro8</v>
      </c>
      <c r="B1257" s="45" t="s">
        <v>98</v>
      </c>
      <c r="C1257" s="46">
        <v>44835</v>
      </c>
      <c r="D1257" s="46">
        <v>44865</v>
      </c>
      <c r="E1257" s="47">
        <v>44835</v>
      </c>
      <c r="F1257" s="48" t="s">
        <v>49</v>
      </c>
      <c r="G1257" s="45" t="s">
        <v>35</v>
      </c>
      <c r="H1257" s="49" t="s">
        <v>84</v>
      </c>
      <c r="I1257" s="49" t="s">
        <v>44</v>
      </c>
      <c r="J1257" s="50">
        <v>100</v>
      </c>
      <c r="K1257" s="51">
        <v>25</v>
      </c>
      <c r="L1257" s="52">
        <v>1500</v>
      </c>
      <c r="M1257" s="53">
        <v>86</v>
      </c>
      <c r="N1257" s="28">
        <f>K1257*J1257</f>
        <v>2500</v>
      </c>
      <c r="O1257" s="54">
        <v>1958</v>
      </c>
      <c r="P1257" s="29">
        <v>78.319999999999993</v>
      </c>
      <c r="Q1257" s="55"/>
      <c r="R1257" s="31">
        <f>M1257+Q1257</f>
        <v>86</v>
      </c>
      <c r="S1257" s="56">
        <v>461</v>
      </c>
      <c r="T1257" s="32">
        <f>R1257+S1257+IF(F1257="Without EV deal",L1257,0)</f>
        <v>547</v>
      </c>
      <c r="U1257" s="57">
        <v>1</v>
      </c>
      <c r="V1257" s="58"/>
      <c r="W1257" s="58"/>
      <c r="X1257" s="78">
        <v>0.17</v>
      </c>
      <c r="Y1257" s="30">
        <f>IF(AG1257="None",0,IF(AG1257="Fix5",0.05, IF(AG1257="Fix6.25",0.0625,IF(AG1257="Fix3.75",0.0375,IF(AG1257="Fix10",0.1,IF(AG1257="Fix3",0.03,0))))))</f>
        <v>0</v>
      </c>
      <c r="Z1257" s="35">
        <f>T1257-AA1257-AB1257</f>
        <v>454.01</v>
      </c>
      <c r="AA1257" s="29">
        <f>IF(AD1257="EUR",((T1257-R1257)*X1257)*U1257+(R1257*X1257),(T1257*X1257))</f>
        <v>92.990000000000009</v>
      </c>
      <c r="AB1257" s="36">
        <f>IF(AD1257="EUR",((T1257-R1257)*Y1257)*U1257+(R1257*Y1257),(T1257*Y1257))</f>
        <v>0</v>
      </c>
      <c r="AC1257" s="37" t="b">
        <v>1</v>
      </c>
      <c r="AD1257" s="61" t="s">
        <v>38</v>
      </c>
      <c r="AE1257" s="83" t="s">
        <v>38</v>
      </c>
      <c r="AF1257" s="37" t="str">
        <f t="array" ref="AF1257">INDEX('Deal Info'!D:D, MATCH(A1257,'Deal Info'!A:A, 0))</f>
        <v>DoEVold</v>
      </c>
      <c r="AG1257" s="38" t="str">
        <f t="array" ref="AG1257">INDEX('Deal Info'!G:G, MATCH(A1257,'Deal Info'!A:A, 0))</f>
        <v>None</v>
      </c>
    </row>
    <row r="1258" spans="1:33" ht="14.25" hidden="1" x14ac:dyDescent="0.2">
      <c r="A1258" s="18" t="str">
        <f t="array" ref="A1258">IF(G1258='Room Info'!$B$1, INDEX('Room Info'!$A$2:$A2446, MATCH(B1258,'Room Info'!$B$2:$B2446, 0)),IF(G1258='Room Info'!$C$1, INDEX('Room Info'!$A$2:$A2446, MATCH(B1258,'Room Info'!$C$2:$C2446, 0)),IF(G1258='Room Info'!$D$1, INDEX('Room Info'!$A$2:$A2446, MATCH(B1258,'Room Info'!$D$2:$D2446, 0)),IF(G1258='Room Info'!$E$1, INDEX('Room Info'!$A$2:$A2446, MATCH(B1258,'Room Info'!$E$2:$E2446, 0)),IF(G1258='Room Info'!$F$1, INDEX('Room Info'!$A$2:$A2446, MATCH(B1258,'Room Info'!$F$2:$F2446, 0)),IF(G1258='Room Info'!$H$1, INDEX('Room Info'!$A$2:$A2446, MATCH(B1258,'Room Info'!$H$2:$H2446, 0)),IF(G1258='Room Info'!$G$1, INDEX('Room Info'!$A$2:$A2446, MATCH(B1258,'Room Info'!$G$2:$G2446, 0)))))))))</f>
        <v>Sun_Set_pro8</v>
      </c>
      <c r="B1258" s="45" t="s">
        <v>98</v>
      </c>
      <c r="C1258" s="46">
        <v>44835</v>
      </c>
      <c r="D1258" s="46">
        <v>44865</v>
      </c>
      <c r="E1258" s="47">
        <v>44835</v>
      </c>
      <c r="F1258" s="48" t="s">
        <v>49</v>
      </c>
      <c r="G1258" s="45" t="s">
        <v>35</v>
      </c>
      <c r="H1258" s="49" t="s">
        <v>87</v>
      </c>
      <c r="I1258" s="49" t="s">
        <v>44</v>
      </c>
      <c r="J1258" s="50">
        <v>25</v>
      </c>
      <c r="K1258" s="51">
        <v>237</v>
      </c>
      <c r="L1258" s="52">
        <v>775</v>
      </c>
      <c r="M1258" s="53">
        <v>282</v>
      </c>
      <c r="N1258" s="28">
        <f>K1258*J1258</f>
        <v>5925</v>
      </c>
      <c r="O1258" s="54">
        <v>7368</v>
      </c>
      <c r="P1258" s="29">
        <v>31.088607589999999</v>
      </c>
      <c r="Q1258" s="55"/>
      <c r="R1258" s="31">
        <f>M1258+Q1258</f>
        <v>282</v>
      </c>
      <c r="S1258" s="56">
        <v>157</v>
      </c>
      <c r="T1258" s="32">
        <f>R1258+S1258+IF(F1258="Without EV deal",L1258,0)</f>
        <v>439</v>
      </c>
      <c r="U1258" s="57">
        <v>1</v>
      </c>
      <c r="V1258" s="58"/>
      <c r="W1258" s="58"/>
      <c r="X1258" s="78">
        <v>0.17</v>
      </c>
      <c r="Y1258" s="30">
        <f>IF(AG1258="None",0,IF(AG1258="Fix5",0.05, IF(AG1258="Fix6.25",0.0625,IF(AG1258="Fix3.75",0.0375,IF(AG1258="Fix10",0.1,IF(AG1258="Fix3",0.03,0))))))</f>
        <v>0</v>
      </c>
      <c r="Z1258" s="35">
        <f>T1258-AA1258-AB1258</f>
        <v>364.37</v>
      </c>
      <c r="AA1258" s="29">
        <f>IF(AD1258="EUR",((T1258-R1258)*X1258)*U1258+(R1258*X1258),(T1258*X1258))</f>
        <v>74.63000000000001</v>
      </c>
      <c r="AB1258" s="36">
        <f>IF(AD1258="EUR",((T1258-R1258)*Y1258)*U1258+(R1258*Y1258),(T1258*Y1258))</f>
        <v>0</v>
      </c>
      <c r="AC1258" s="37" t="b">
        <v>1</v>
      </c>
      <c r="AD1258" s="61" t="s">
        <v>38</v>
      </c>
      <c r="AE1258" s="83" t="s">
        <v>38</v>
      </c>
      <c r="AF1258" s="37" t="str">
        <f t="array" ref="AF1258">INDEX('Deal Info'!D:D, MATCH(A1258,'Deal Info'!A:A, 0))</f>
        <v>DoEVold</v>
      </c>
      <c r="AG1258" s="38" t="str">
        <f t="array" ref="AG1258">INDEX('Deal Info'!G:G, MATCH(A1258,'Deal Info'!A:A, 0))</f>
        <v>None</v>
      </c>
    </row>
    <row r="1259" spans="1:33" ht="14.25" hidden="1" x14ac:dyDescent="0.2">
      <c r="A1259" s="18" t="str">
        <f t="array" ref="A1259">IF(G1259='Room Info'!$B$1, INDEX('Room Info'!$A$2:$A2446, MATCH(B1259,'Room Info'!$B$2:$B2446, 0)),IF(G1259='Room Info'!$C$1, INDEX('Room Info'!$A$2:$A2446, MATCH(B1259,'Room Info'!$C$2:$C2446, 0)),IF(G1259='Room Info'!$D$1, INDEX('Room Info'!$A$2:$A2446, MATCH(B1259,'Room Info'!$D$2:$D2446, 0)),IF(G1259='Room Info'!$E$1, INDEX('Room Info'!$A$2:$A2446, MATCH(B1259,'Room Info'!$E$2:$E2446, 0)),IF(G1259='Room Info'!$F$1, INDEX('Room Info'!$A$2:$A2446, MATCH(B1259,'Room Info'!$F$2:$F2446, 0)),IF(G1259='Room Info'!$H$1, INDEX('Room Info'!$A$2:$A2446, MATCH(B1259,'Room Info'!$H$2:$H2446, 0)),IF(G1259='Room Info'!$G$1, INDEX('Room Info'!$A$2:$A2446, MATCH(B1259,'Room Info'!$G$2:$G2446, 0)))))))))</f>
        <v>Sun_Set_pro8</v>
      </c>
      <c r="B1259" s="45" t="s">
        <v>98</v>
      </c>
      <c r="C1259" s="46">
        <v>44835</v>
      </c>
      <c r="D1259" s="46">
        <v>44865</v>
      </c>
      <c r="E1259" s="47">
        <v>44835</v>
      </c>
      <c r="F1259" s="48" t="s">
        <v>49</v>
      </c>
      <c r="G1259" s="45" t="s">
        <v>35</v>
      </c>
      <c r="H1259" s="49" t="s">
        <v>85</v>
      </c>
      <c r="I1259" s="49" t="s">
        <v>44</v>
      </c>
      <c r="J1259" s="50">
        <v>50</v>
      </c>
      <c r="K1259" s="51">
        <v>5711</v>
      </c>
      <c r="L1259" s="52">
        <v>-16010</v>
      </c>
      <c r="M1259" s="53">
        <v>11827</v>
      </c>
      <c r="N1259" s="28">
        <f>K1259*J1259</f>
        <v>285550</v>
      </c>
      <c r="O1259" s="54">
        <v>42493</v>
      </c>
      <c r="P1259" s="29">
        <v>7.4405533180000001</v>
      </c>
      <c r="Q1259" s="55"/>
      <c r="R1259" s="31">
        <f>M1259+Q1259</f>
        <v>11827</v>
      </c>
      <c r="S1259" s="56">
        <v>-13142</v>
      </c>
      <c r="T1259" s="32">
        <f>R1259+S1259+IF(F1259="Without EV deal",L1259,0)</f>
        <v>-1315</v>
      </c>
      <c r="U1259" s="57">
        <v>1</v>
      </c>
      <c r="V1259" s="58"/>
      <c r="W1259" s="58"/>
      <c r="X1259" s="78">
        <v>0.17</v>
      </c>
      <c r="Y1259" s="30">
        <f>IF(AG1259="None",0,IF(AG1259="Fix5",0.05, IF(AG1259="Fix6.25",0.0625,IF(AG1259="Fix3.75",0.0375,IF(AG1259="Fix10",0.1,IF(AG1259="Fix3",0.03,0))))))</f>
        <v>0</v>
      </c>
      <c r="Z1259" s="35">
        <f>T1259-AA1259-AB1259</f>
        <v>-1091.45</v>
      </c>
      <c r="AA1259" s="29">
        <f>IF(AD1259="EUR",((T1259-R1259)*X1259)*U1259+(R1259*X1259),(T1259*X1259))</f>
        <v>-223.55</v>
      </c>
      <c r="AB1259" s="36">
        <f>IF(AD1259="EUR",((T1259-R1259)*Y1259)*U1259+(R1259*Y1259),(T1259*Y1259))</f>
        <v>0</v>
      </c>
      <c r="AC1259" s="37" t="b">
        <v>1</v>
      </c>
      <c r="AD1259" s="61" t="s">
        <v>38</v>
      </c>
      <c r="AE1259" s="83" t="s">
        <v>38</v>
      </c>
      <c r="AF1259" s="37" t="str">
        <f t="array" ref="AF1259">INDEX('Deal Info'!D:D, MATCH(A1259,'Deal Info'!A:A, 0))</f>
        <v>DoEVold</v>
      </c>
      <c r="AG1259" s="38" t="str">
        <f t="array" ref="AG1259">INDEX('Deal Info'!G:G, MATCH(A1259,'Deal Info'!A:A, 0))</f>
        <v>None</v>
      </c>
    </row>
    <row r="1260" spans="1:33" ht="14.25" hidden="1" x14ac:dyDescent="0.2">
      <c r="A1260" s="18" t="str">
        <f t="array" ref="A1260">IF(G1260='Room Info'!$B$1, INDEX('Room Info'!$A$2:$A2446, MATCH(B1260,'Room Info'!$B$2:$B2446, 0)),IF(G1260='Room Info'!$C$1, INDEX('Room Info'!$A$2:$A2446, MATCH(B1260,'Room Info'!$C$2:$C2446, 0)),IF(G1260='Room Info'!$D$1, INDEX('Room Info'!$A$2:$A2446, MATCH(B1260,'Room Info'!$D$2:$D2446, 0)),IF(G1260='Room Info'!$E$1, INDEX('Room Info'!$A$2:$A2446, MATCH(B1260,'Room Info'!$E$2:$E2446, 0)),IF(G1260='Room Info'!$F$1, INDEX('Room Info'!$A$2:$A2446, MATCH(B1260,'Room Info'!$F$2:$F2446, 0)),IF(G1260='Room Info'!$H$1, INDEX('Room Info'!$A$2:$A2446, MATCH(B1260,'Room Info'!$H$2:$H2446, 0)),IF(G1260='Room Info'!$G$1, INDEX('Room Info'!$A$2:$A2446, MATCH(B1260,'Room Info'!$G$2:$G2446, 0)))))))))</f>
        <v>Sun_Set_pro8</v>
      </c>
      <c r="B1260" s="45" t="s">
        <v>98</v>
      </c>
      <c r="C1260" s="46">
        <v>44866</v>
      </c>
      <c r="D1260" s="46">
        <v>44895</v>
      </c>
      <c r="E1260" s="47">
        <v>44866</v>
      </c>
      <c r="F1260" s="48" t="s">
        <v>49</v>
      </c>
      <c r="G1260" s="45" t="s">
        <v>35</v>
      </c>
      <c r="H1260" s="49" t="s">
        <v>84</v>
      </c>
      <c r="I1260" s="49" t="s">
        <v>44</v>
      </c>
      <c r="J1260" s="50">
        <v>100</v>
      </c>
      <c r="K1260" s="51">
        <v>32</v>
      </c>
      <c r="L1260" s="52">
        <v>900</v>
      </c>
      <c r="M1260" s="53">
        <v>110</v>
      </c>
      <c r="N1260" s="28">
        <f>K1260*J1260</f>
        <v>3200</v>
      </c>
      <c r="O1260" s="54">
        <v>1484</v>
      </c>
      <c r="P1260" s="29">
        <v>46.375</v>
      </c>
      <c r="Q1260" s="55"/>
      <c r="R1260" s="31">
        <f>M1260+Q1260</f>
        <v>110</v>
      </c>
      <c r="S1260" s="56">
        <v>281</v>
      </c>
      <c r="T1260" s="32">
        <f>R1260+S1260+IF(F1260="Without EV deal",L1260,0)</f>
        <v>391</v>
      </c>
      <c r="U1260" s="57">
        <v>1</v>
      </c>
      <c r="V1260" s="58"/>
      <c r="W1260" s="58"/>
      <c r="X1260" s="78">
        <v>0.17</v>
      </c>
      <c r="Y1260" s="30">
        <f>IF(AG1260="None",0,IF(AG1260="Fix5",0.05, IF(AG1260="Fix6.25",0.0625,IF(AG1260="Fix3.75",0.0375,IF(AG1260="Fix10",0.1,IF(AG1260="Fix3",0.03,0))))))</f>
        <v>0</v>
      </c>
      <c r="Z1260" s="35">
        <f>T1260-AA1260-AB1260</f>
        <v>324.52999999999997</v>
      </c>
      <c r="AA1260" s="29">
        <f>IF(AD1260="EUR",((T1260-R1260)*X1260)*U1260+(R1260*X1260),(T1260*X1260))</f>
        <v>66.47</v>
      </c>
      <c r="AB1260" s="36">
        <f>IF(AD1260="EUR",((T1260-R1260)*Y1260)*U1260+(R1260*Y1260),(T1260*Y1260))</f>
        <v>0</v>
      </c>
      <c r="AC1260" s="37" t="b">
        <v>1</v>
      </c>
      <c r="AD1260" s="61" t="s">
        <v>38</v>
      </c>
      <c r="AE1260" s="83" t="s">
        <v>38</v>
      </c>
      <c r="AF1260" s="37" t="str">
        <f t="array" ref="AF1260">INDEX('Deal Info'!D:D, MATCH(A1260,'Deal Info'!A:A, 0))</f>
        <v>DoEVold</v>
      </c>
      <c r="AG1260" s="38" t="str">
        <f t="array" ref="AG1260">INDEX('Deal Info'!G:G, MATCH(A1260,'Deal Info'!A:A, 0))</f>
        <v>None</v>
      </c>
    </row>
    <row r="1261" spans="1:33" ht="14.25" hidden="1" x14ac:dyDescent="0.2">
      <c r="A1261" s="18" t="str">
        <f t="array" ref="A1261">IF(G1261='Room Info'!$B$1, INDEX('Room Info'!$A$2:$A2446, MATCH(B1261,'Room Info'!$B$2:$B2446, 0)),IF(G1261='Room Info'!$C$1, INDEX('Room Info'!$A$2:$A2446, MATCH(B1261,'Room Info'!$C$2:$C2446, 0)),IF(G1261='Room Info'!$D$1, INDEX('Room Info'!$A$2:$A2446, MATCH(B1261,'Room Info'!$D$2:$D2446, 0)),IF(G1261='Room Info'!$E$1, INDEX('Room Info'!$A$2:$A2446, MATCH(B1261,'Room Info'!$E$2:$E2446, 0)),IF(G1261='Room Info'!$F$1, INDEX('Room Info'!$A$2:$A2446, MATCH(B1261,'Room Info'!$F$2:$F2446, 0)),IF(G1261='Room Info'!$H$1, INDEX('Room Info'!$A$2:$A2446, MATCH(B1261,'Room Info'!$H$2:$H2446, 0)),IF(G1261='Room Info'!$G$1, INDEX('Room Info'!$A$2:$A2446, MATCH(B1261,'Room Info'!$G$2:$G2446, 0)))))))))</f>
        <v>Sun_Set_pro8</v>
      </c>
      <c r="B1261" s="45" t="s">
        <v>98</v>
      </c>
      <c r="C1261" s="46">
        <v>44866</v>
      </c>
      <c r="D1261" s="46">
        <v>44895</v>
      </c>
      <c r="E1261" s="47">
        <v>44866</v>
      </c>
      <c r="F1261" s="48" t="s">
        <v>49</v>
      </c>
      <c r="G1261" s="45" t="s">
        <v>35</v>
      </c>
      <c r="H1261" s="49" t="s">
        <v>87</v>
      </c>
      <c r="I1261" s="49" t="s">
        <v>44</v>
      </c>
      <c r="J1261" s="50">
        <v>25</v>
      </c>
      <c r="K1261" s="51">
        <v>733</v>
      </c>
      <c r="L1261" s="52">
        <v>800</v>
      </c>
      <c r="M1261" s="53">
        <v>758</v>
      </c>
      <c r="N1261" s="28">
        <f>K1261*J1261</f>
        <v>18325</v>
      </c>
      <c r="O1261" s="54">
        <v>21331</v>
      </c>
      <c r="P1261" s="29">
        <v>29.100954980000001</v>
      </c>
      <c r="Q1261" s="55"/>
      <c r="R1261" s="31">
        <f>M1261+Q1261</f>
        <v>758</v>
      </c>
      <c r="S1261" s="56">
        <v>425</v>
      </c>
      <c r="T1261" s="32">
        <f>R1261+S1261+IF(F1261="Without EV deal",L1261,0)</f>
        <v>1183</v>
      </c>
      <c r="U1261" s="57">
        <v>1</v>
      </c>
      <c r="V1261" s="58"/>
      <c r="W1261" s="58"/>
      <c r="X1261" s="78">
        <v>0.17</v>
      </c>
      <c r="Y1261" s="30">
        <f>IF(AG1261="None",0,IF(AG1261="Fix5",0.05, IF(AG1261="Fix6.25",0.0625,IF(AG1261="Fix3.75",0.0375,IF(AG1261="Fix10",0.1,IF(AG1261="Fix3",0.03,0))))))</f>
        <v>0</v>
      </c>
      <c r="Z1261" s="35">
        <f>T1261-AA1261-AB1261</f>
        <v>981.89</v>
      </c>
      <c r="AA1261" s="29">
        <f>IF(AD1261="EUR",((T1261-R1261)*X1261)*U1261+(R1261*X1261),(T1261*X1261))</f>
        <v>201.11</v>
      </c>
      <c r="AB1261" s="36">
        <f>IF(AD1261="EUR",((T1261-R1261)*Y1261)*U1261+(R1261*Y1261),(T1261*Y1261))</f>
        <v>0</v>
      </c>
      <c r="AC1261" s="37" t="b">
        <v>1</v>
      </c>
      <c r="AD1261" s="61" t="s">
        <v>38</v>
      </c>
      <c r="AE1261" s="83" t="s">
        <v>38</v>
      </c>
      <c r="AF1261" s="37" t="str">
        <f t="array" ref="AF1261">INDEX('Deal Info'!D:D, MATCH(A1261,'Deal Info'!A:A, 0))</f>
        <v>DoEVold</v>
      </c>
      <c r="AG1261" s="38" t="str">
        <f t="array" ref="AG1261">INDEX('Deal Info'!G:G, MATCH(A1261,'Deal Info'!A:A, 0))</f>
        <v>None</v>
      </c>
    </row>
    <row r="1262" spans="1:33" ht="14.25" hidden="1" x14ac:dyDescent="0.2">
      <c r="A1262" s="18" t="str">
        <f t="array" ref="A1262">IF(G1262='Room Info'!$B$1, INDEX('Room Info'!$A$2:$A2446, MATCH(B1262,'Room Info'!$B$2:$B2446, 0)),IF(G1262='Room Info'!$C$1, INDEX('Room Info'!$A$2:$A2446, MATCH(B1262,'Room Info'!$C$2:$C2446, 0)),IF(G1262='Room Info'!$D$1, INDEX('Room Info'!$A$2:$A2446, MATCH(B1262,'Room Info'!$D$2:$D2446, 0)),IF(G1262='Room Info'!$E$1, INDEX('Room Info'!$A$2:$A2446, MATCH(B1262,'Room Info'!$E$2:$E2446, 0)),IF(G1262='Room Info'!$F$1, INDEX('Room Info'!$A$2:$A2446, MATCH(B1262,'Room Info'!$F$2:$F2446, 0)),IF(G1262='Room Info'!$H$1, INDEX('Room Info'!$A$2:$A2446, MATCH(B1262,'Room Info'!$H$2:$H2446, 0)),IF(G1262='Room Info'!$G$1, INDEX('Room Info'!$A$2:$A2446, MATCH(B1262,'Room Info'!$G$2:$G2446, 0)))))))))</f>
        <v>Sun_Set_pro8</v>
      </c>
      <c r="B1262" s="45" t="s">
        <v>98</v>
      </c>
      <c r="C1262" s="46">
        <v>44866</v>
      </c>
      <c r="D1262" s="46">
        <v>44895</v>
      </c>
      <c r="E1262" s="47">
        <v>44866</v>
      </c>
      <c r="F1262" s="48" t="s">
        <v>49</v>
      </c>
      <c r="G1262" s="45" t="s">
        <v>35</v>
      </c>
      <c r="H1262" s="49" t="s">
        <v>85</v>
      </c>
      <c r="I1262" s="49" t="s">
        <v>44</v>
      </c>
      <c r="J1262" s="50">
        <v>50</v>
      </c>
      <c r="K1262" s="51">
        <v>10829</v>
      </c>
      <c r="L1262" s="52">
        <v>-5500</v>
      </c>
      <c r="M1262" s="53">
        <v>22411</v>
      </c>
      <c r="N1262" s="28">
        <f>K1262*J1262</f>
        <v>541450</v>
      </c>
      <c r="O1262" s="54">
        <v>104819</v>
      </c>
      <c r="P1262" s="29">
        <v>9.6794717890000008</v>
      </c>
      <c r="Q1262" s="55"/>
      <c r="R1262" s="31">
        <f>M1262+Q1262</f>
        <v>22411</v>
      </c>
      <c r="S1262" s="56">
        <v>-19832</v>
      </c>
      <c r="T1262" s="32">
        <f>R1262+S1262+IF(F1262="Without EV deal",L1262,0)</f>
        <v>2579</v>
      </c>
      <c r="U1262" s="57">
        <v>1</v>
      </c>
      <c r="V1262" s="58"/>
      <c r="W1262" s="58"/>
      <c r="X1262" s="78">
        <v>0.17</v>
      </c>
      <c r="Y1262" s="30">
        <f>IF(AG1262="None",0,IF(AG1262="Fix5",0.05, IF(AG1262="Fix6.25",0.0625,IF(AG1262="Fix3.75",0.0375,IF(AG1262="Fix10",0.1,IF(AG1262="Fix3",0.03,0))))))</f>
        <v>0</v>
      </c>
      <c r="Z1262" s="35">
        <f>T1262-AA1262-AB1262</f>
        <v>2140.5700000000002</v>
      </c>
      <c r="AA1262" s="29">
        <f>IF(AD1262="EUR",((T1262-R1262)*X1262)*U1262+(R1262*X1262),(T1262*X1262))</f>
        <v>438.43</v>
      </c>
      <c r="AB1262" s="36">
        <f>IF(AD1262="EUR",((T1262-R1262)*Y1262)*U1262+(R1262*Y1262),(T1262*Y1262))</f>
        <v>0</v>
      </c>
      <c r="AC1262" s="37" t="b">
        <v>1</v>
      </c>
      <c r="AD1262" s="61" t="s">
        <v>38</v>
      </c>
      <c r="AE1262" s="83" t="s">
        <v>38</v>
      </c>
      <c r="AF1262" s="37" t="str">
        <f t="array" ref="AF1262">INDEX('Deal Info'!D:D, MATCH(A1262,'Deal Info'!A:A, 0))</f>
        <v>DoEVold</v>
      </c>
      <c r="AG1262" s="38" t="str">
        <f t="array" ref="AG1262">INDEX('Deal Info'!G:G, MATCH(A1262,'Deal Info'!A:A, 0))</f>
        <v>None</v>
      </c>
    </row>
    <row r="1263" spans="1:33" ht="14.25" hidden="1" x14ac:dyDescent="0.2">
      <c r="A1263" s="18" t="str">
        <f t="array" ref="A1263">IF(G1263='Room Info'!$B$1, INDEX('Room Info'!$A$2:$A2446, MATCH(B1263,'Room Info'!$B$2:$B2446, 0)),IF(G1263='Room Info'!$C$1, INDEX('Room Info'!$A$2:$A2446, MATCH(B1263,'Room Info'!$C$2:$C2446, 0)),IF(G1263='Room Info'!$D$1, INDEX('Room Info'!$A$2:$A2446, MATCH(B1263,'Room Info'!$D$2:$D2446, 0)),IF(G1263='Room Info'!$E$1, INDEX('Room Info'!$A$2:$A2446, MATCH(B1263,'Room Info'!$E$2:$E2446, 0)),IF(G1263='Room Info'!$F$1, INDEX('Room Info'!$A$2:$A2446, MATCH(B1263,'Room Info'!$F$2:$F2446, 0)),IF(G1263='Room Info'!$H$1, INDEX('Room Info'!$A$2:$A2446, MATCH(B1263,'Room Info'!$H$2:$H2446, 0)),IF(G1263='Room Info'!$G$1, INDEX('Room Info'!$A$2:$A2446, MATCH(B1263,'Room Info'!$G$2:$G2446, 0)))))))))</f>
        <v>Sun_Set_pro8</v>
      </c>
      <c r="B1263" s="45" t="s">
        <v>98</v>
      </c>
      <c r="C1263" s="46">
        <v>44866</v>
      </c>
      <c r="D1263" s="46">
        <v>44895</v>
      </c>
      <c r="E1263" s="47">
        <v>44866</v>
      </c>
      <c r="F1263" s="48" t="s">
        <v>41</v>
      </c>
      <c r="G1263" s="45" t="s">
        <v>35</v>
      </c>
      <c r="H1263" s="49" t="s">
        <v>115</v>
      </c>
      <c r="I1263" s="49" t="s">
        <v>44</v>
      </c>
      <c r="J1263" s="50">
        <v>10</v>
      </c>
      <c r="K1263" s="51">
        <v>83</v>
      </c>
      <c r="L1263" s="52">
        <v>-40</v>
      </c>
      <c r="M1263" s="53">
        <v>40</v>
      </c>
      <c r="N1263" s="28">
        <f>K1263*J1263</f>
        <v>830</v>
      </c>
      <c r="O1263" s="65"/>
      <c r="P1263" s="29">
        <v>0</v>
      </c>
      <c r="Q1263" s="55"/>
      <c r="R1263" s="31">
        <f>M1263+Q1263</f>
        <v>40</v>
      </c>
      <c r="S1263" s="66"/>
      <c r="T1263" s="32">
        <f>R1263+S1263+IF(F1263="Without EV deal",L1263,0)</f>
        <v>0</v>
      </c>
      <c r="U1263" s="57">
        <v>1</v>
      </c>
      <c r="V1263" s="58"/>
      <c r="W1263" s="58"/>
      <c r="X1263" s="78">
        <v>0.17</v>
      </c>
      <c r="Y1263" s="30">
        <f>IF(AG1263="None",0,IF(AG1263="Fix5",0.05, IF(AG1263="Fix6.25",0.0625,IF(AG1263="Fix3.75",0.0375,IF(AG1263="Fix10",0.1,IF(AG1263="Fix3",0.03,0))))))</f>
        <v>0</v>
      </c>
      <c r="Z1263" s="35">
        <f>T1263-AA1263-AB1263</f>
        <v>0</v>
      </c>
      <c r="AA1263" s="29">
        <f>IF(AD1263="EUR",((T1263-R1263)*X1263)*U1263+(R1263*X1263),(T1263*X1263))</f>
        <v>0</v>
      </c>
      <c r="AB1263" s="36">
        <f>IF(AD1263="EUR",((T1263-R1263)*Y1263)*U1263+(R1263*Y1263),(T1263*Y1263))</f>
        <v>0</v>
      </c>
      <c r="AC1263" s="37" t="b">
        <v>1</v>
      </c>
      <c r="AD1263" s="61" t="s">
        <v>38</v>
      </c>
      <c r="AE1263" s="83" t="s">
        <v>38</v>
      </c>
      <c r="AF1263" s="37" t="str">
        <f t="array" ref="AF1263">INDEX('Deal Info'!D:D, MATCH(A1263,'Deal Info'!A:A, 0))</f>
        <v>DoEVold</v>
      </c>
      <c r="AG1263" s="38" t="str">
        <f t="array" ref="AG1263">INDEX('Deal Info'!G:G, MATCH(A1263,'Deal Info'!A:A, 0))</f>
        <v>None</v>
      </c>
    </row>
    <row r="1264" spans="1:33" ht="14.25" hidden="1" x14ac:dyDescent="0.2">
      <c r="A1264" s="18" t="str">
        <f t="array" ref="A1264">IF(G1264='Room Info'!$B$1, INDEX('Room Info'!$A$2:$A2446, MATCH(B1264,'Room Info'!$B$2:$B2446, 0)),IF(G1264='Room Info'!$C$1, INDEX('Room Info'!$A$2:$A2446, MATCH(B1264,'Room Info'!$C$2:$C2446, 0)),IF(G1264='Room Info'!$D$1, INDEX('Room Info'!$A$2:$A2446, MATCH(B1264,'Room Info'!$D$2:$D2446, 0)),IF(G1264='Room Info'!$E$1, INDEX('Room Info'!$A$2:$A2446, MATCH(B1264,'Room Info'!$E$2:$E2446, 0)),IF(G1264='Room Info'!$F$1, INDEX('Room Info'!$A$2:$A2446, MATCH(B1264,'Room Info'!$F$2:$F2446, 0)),IF(G1264='Room Info'!$H$1, INDEX('Room Info'!$A$2:$A2446, MATCH(B1264,'Room Info'!$H$2:$H2446, 0)),IF(G1264='Room Info'!$G$1, INDEX('Room Info'!$A$2:$A2446, MATCH(B1264,'Room Info'!$G$2:$G2446, 0)))))))))</f>
        <v>Sun_Set_pro8</v>
      </c>
      <c r="B1264" s="45" t="s">
        <v>98</v>
      </c>
      <c r="C1264" s="46">
        <v>44896</v>
      </c>
      <c r="D1264" s="46">
        <v>44915</v>
      </c>
      <c r="E1264" s="47">
        <v>44896</v>
      </c>
      <c r="F1264" s="48" t="s">
        <v>49</v>
      </c>
      <c r="G1264" s="45" t="s">
        <v>35</v>
      </c>
      <c r="H1264" s="49" t="s">
        <v>87</v>
      </c>
      <c r="I1264" s="49" t="s">
        <v>44</v>
      </c>
      <c r="J1264" s="50">
        <v>25</v>
      </c>
      <c r="K1264" s="51">
        <v>390</v>
      </c>
      <c r="L1264" s="52">
        <v>925</v>
      </c>
      <c r="M1264" s="53">
        <v>174</v>
      </c>
      <c r="N1264" s="28">
        <f>K1264*J1264</f>
        <v>9750</v>
      </c>
      <c r="O1264" s="54">
        <v>6486</v>
      </c>
      <c r="P1264" s="29">
        <v>16.630769229999999</v>
      </c>
      <c r="Q1264" s="55"/>
      <c r="R1264" s="31">
        <f>M1264+Q1264</f>
        <v>174</v>
      </c>
      <c r="S1264" s="56">
        <v>-131</v>
      </c>
      <c r="T1264" s="32">
        <f>R1264+S1264+IF(F1264="Without EV deal",L1264,0)</f>
        <v>43</v>
      </c>
      <c r="U1264" s="57">
        <v>1</v>
      </c>
      <c r="V1264" s="58"/>
      <c r="W1264" s="58"/>
      <c r="X1264" s="78">
        <v>0.25</v>
      </c>
      <c r="Y1264" s="30">
        <f>IF(AG1264="None",0,IF(AG1264="Fix5",0.05, IF(AG1264="Fix6.25",0.0625,IF(AG1264="Fix3.75",0.0375,IF(AG1264="Fix10",0.1,IF(AG1264="Fix3",0.03,0))))))</f>
        <v>0</v>
      </c>
      <c r="Z1264" s="35">
        <f>T1264-AA1264-AB1264</f>
        <v>32.25</v>
      </c>
      <c r="AA1264" s="29">
        <f>IF(AD1264="EUR",((T1264-R1264)*X1264)*U1264+(R1264*X1264),(T1264*X1264))</f>
        <v>10.75</v>
      </c>
      <c r="AB1264" s="36">
        <f>IF(AD1264="EUR",((T1264-R1264)*Y1264)*U1264+(R1264*Y1264),(T1264*Y1264))</f>
        <v>0</v>
      </c>
      <c r="AC1264" s="37" t="b">
        <v>1</v>
      </c>
      <c r="AD1264" s="61" t="s">
        <v>38</v>
      </c>
      <c r="AE1264" s="83" t="s">
        <v>38</v>
      </c>
      <c r="AF1264" s="37" t="str">
        <f t="array" ref="AF1264">INDEX('Deal Info'!D:D, MATCH(A1264,'Deal Info'!A:A, 0))</f>
        <v>DoEVold</v>
      </c>
      <c r="AG1264" s="38" t="str">
        <f t="array" ref="AG1264">INDEX('Deal Info'!G:G, MATCH(A1264,'Deal Info'!A:A, 0))</f>
        <v>None</v>
      </c>
    </row>
    <row r="1265" spans="1:33" ht="14.25" hidden="1" x14ac:dyDescent="0.2">
      <c r="A1265" s="18" t="str">
        <f t="array" ref="A1265">IF(G1265='Room Info'!$B$1, INDEX('Room Info'!$A$2:$A2446, MATCH(B1265,'Room Info'!$B$2:$B2446, 0)),IF(G1265='Room Info'!$C$1, INDEX('Room Info'!$A$2:$A2446, MATCH(B1265,'Room Info'!$C$2:$C2446, 0)),IF(G1265='Room Info'!$D$1, INDEX('Room Info'!$A$2:$A2446, MATCH(B1265,'Room Info'!$D$2:$D2446, 0)),IF(G1265='Room Info'!$E$1, INDEX('Room Info'!$A$2:$A2446, MATCH(B1265,'Room Info'!$E$2:$E2446, 0)),IF(G1265='Room Info'!$F$1, INDEX('Room Info'!$A$2:$A2446, MATCH(B1265,'Room Info'!$F$2:$F2446, 0)),IF(G1265='Room Info'!$H$1, INDEX('Room Info'!$A$2:$A2446, MATCH(B1265,'Room Info'!$H$2:$H2446, 0)),IF(G1265='Room Info'!$G$1, INDEX('Room Info'!$A$2:$A2446, MATCH(B1265,'Room Info'!$G$2:$G2446, 0)))))))))</f>
        <v>Sun_Set_pro8</v>
      </c>
      <c r="B1265" s="45" t="s">
        <v>98</v>
      </c>
      <c r="C1265" s="46">
        <v>44896</v>
      </c>
      <c r="D1265" s="46">
        <v>44915</v>
      </c>
      <c r="E1265" s="47">
        <v>44896</v>
      </c>
      <c r="F1265" s="48" t="s">
        <v>49</v>
      </c>
      <c r="G1265" s="45" t="s">
        <v>35</v>
      </c>
      <c r="H1265" s="49" t="s">
        <v>85</v>
      </c>
      <c r="I1265" s="49" t="s">
        <v>44</v>
      </c>
      <c r="J1265" s="50">
        <v>50</v>
      </c>
      <c r="K1265" s="51">
        <v>5055</v>
      </c>
      <c r="L1265" s="52">
        <v>-500</v>
      </c>
      <c r="M1265" s="53">
        <v>4513</v>
      </c>
      <c r="N1265" s="28">
        <f>K1265*J1265</f>
        <v>252750</v>
      </c>
      <c r="O1265" s="54">
        <v>49896</v>
      </c>
      <c r="P1265" s="29">
        <v>9.8706231449999997</v>
      </c>
      <c r="Q1265" s="55"/>
      <c r="R1265" s="31">
        <f>M1265+Q1265</f>
        <v>4513</v>
      </c>
      <c r="S1265" s="56">
        <v>-8681</v>
      </c>
      <c r="T1265" s="32">
        <f>R1265+S1265+IF(F1265="Without EV deal",L1265,0)</f>
        <v>-4168</v>
      </c>
      <c r="U1265" s="57">
        <v>1</v>
      </c>
      <c r="V1265" s="58"/>
      <c r="W1265" s="58"/>
      <c r="X1265" s="78">
        <v>0.25</v>
      </c>
      <c r="Y1265" s="30">
        <f>IF(AG1265="None",0,IF(AG1265="Fix5",0.05, IF(AG1265="Fix6.25",0.0625,IF(AG1265="Fix3.75",0.0375,IF(AG1265="Fix10",0.1,IF(AG1265="Fix3",0.03,0))))))</f>
        <v>0</v>
      </c>
      <c r="Z1265" s="35">
        <f>T1265-AA1265-AB1265</f>
        <v>-3126</v>
      </c>
      <c r="AA1265" s="29">
        <f>IF(AD1265="EUR",((T1265-R1265)*X1265)*U1265+(R1265*X1265),(T1265*X1265))</f>
        <v>-1042</v>
      </c>
      <c r="AB1265" s="36">
        <f>IF(AD1265="EUR",((T1265-R1265)*Y1265)*U1265+(R1265*Y1265),(T1265*Y1265))</f>
        <v>0</v>
      </c>
      <c r="AC1265" s="37" t="b">
        <v>1</v>
      </c>
      <c r="AD1265" s="61" t="s">
        <v>38</v>
      </c>
      <c r="AE1265" s="83" t="s">
        <v>38</v>
      </c>
      <c r="AF1265" s="37" t="str">
        <f t="array" ref="AF1265">INDEX('Deal Info'!D:D, MATCH(A1265,'Deal Info'!A:A, 0))</f>
        <v>DoEVold</v>
      </c>
      <c r="AG1265" s="38" t="str">
        <f t="array" ref="AG1265">INDEX('Deal Info'!G:G, MATCH(A1265,'Deal Info'!A:A, 0))</f>
        <v>None</v>
      </c>
    </row>
    <row r="1266" spans="1:33" ht="14.25" hidden="1" x14ac:dyDescent="0.2">
      <c r="A1266" s="18" t="str">
        <f t="array" ref="A1266">IF(G1266='Room Info'!$B$1, INDEX('Room Info'!$A$2:$A2446, MATCH(B1266,'Room Info'!$B$2:$B2446, 0)),IF(G1266='Room Info'!$C$1, INDEX('Room Info'!$A$2:$A2446, MATCH(B1266,'Room Info'!$C$2:$C2446, 0)),IF(G1266='Room Info'!$D$1, INDEX('Room Info'!$A$2:$A2446, MATCH(B1266,'Room Info'!$D$2:$D2446, 0)),IF(G1266='Room Info'!$E$1, INDEX('Room Info'!$A$2:$A2446, MATCH(B1266,'Room Info'!$E$2:$E2446, 0)),IF(G1266='Room Info'!$F$1, INDEX('Room Info'!$A$2:$A2446, MATCH(B1266,'Room Info'!$F$2:$F2446, 0)),IF(G1266='Room Info'!$H$1, INDEX('Room Info'!$A$2:$A2446, MATCH(B1266,'Room Info'!$H$2:$H2446, 0)),IF(G1266='Room Info'!$G$1, INDEX('Room Info'!$A$2:$A2446, MATCH(B1266,'Room Info'!$G$2:$G2446, 0)))))))))</f>
        <v>Sun_Set_pro8</v>
      </c>
      <c r="B1266" s="45" t="s">
        <v>98</v>
      </c>
      <c r="C1266" s="46">
        <v>44896</v>
      </c>
      <c r="D1266" s="46">
        <v>44915</v>
      </c>
      <c r="E1266" s="47">
        <v>44896</v>
      </c>
      <c r="F1266" s="48" t="s">
        <v>49</v>
      </c>
      <c r="G1266" s="45" t="s">
        <v>35</v>
      </c>
      <c r="H1266" s="49" t="s">
        <v>46</v>
      </c>
      <c r="I1266" s="49" t="s">
        <v>37</v>
      </c>
      <c r="J1266" s="50">
        <v>25</v>
      </c>
      <c r="K1266" s="51">
        <v>2</v>
      </c>
      <c r="L1266" s="52">
        <v>75</v>
      </c>
      <c r="M1266" s="53">
        <v>1</v>
      </c>
      <c r="N1266" s="28">
        <f>K1266*J1266</f>
        <v>50</v>
      </c>
      <c r="O1266" s="54">
        <v>582</v>
      </c>
      <c r="P1266" s="29">
        <v>291</v>
      </c>
      <c r="Q1266" s="55"/>
      <c r="R1266" s="31">
        <f>M1266+Q1266</f>
        <v>1</v>
      </c>
      <c r="S1266" s="56">
        <v>24</v>
      </c>
      <c r="T1266" s="32">
        <f>R1266+S1266+IF(F1266="Without EV deal",L1266,0)</f>
        <v>25</v>
      </c>
      <c r="U1266" s="57">
        <v>1</v>
      </c>
      <c r="V1266" s="58"/>
      <c r="W1266" s="58"/>
      <c r="X1266" s="78">
        <v>0.25</v>
      </c>
      <c r="Y1266" s="30">
        <f>IF(AG1266="None",0,IF(AG1266="Fix5",0.05, IF(AG1266="Fix6.25",0.0625,IF(AG1266="Fix3.75",0.0375,IF(AG1266="Fix10",0.1,IF(AG1266="Fix3",0.03,0))))))</f>
        <v>0</v>
      </c>
      <c r="Z1266" s="35">
        <f>T1266-AA1266-AB1266</f>
        <v>18.75</v>
      </c>
      <c r="AA1266" s="29">
        <f>IF(AD1266="EUR",((T1266-R1266)*X1266)*U1266+(R1266*X1266),(T1266*X1266))</f>
        <v>6.25</v>
      </c>
      <c r="AB1266" s="36">
        <f>IF(AD1266="EUR",((T1266-R1266)*Y1266)*U1266+(R1266*Y1266),(T1266*Y1266))</f>
        <v>0</v>
      </c>
      <c r="AC1266" s="37" t="b">
        <v>1</v>
      </c>
      <c r="AD1266" s="61" t="s">
        <v>38</v>
      </c>
      <c r="AE1266" s="83" t="s">
        <v>38</v>
      </c>
      <c r="AF1266" s="37" t="str">
        <f t="array" ref="AF1266">INDEX('Deal Info'!D:D, MATCH(A1266,'Deal Info'!A:A, 0))</f>
        <v>DoEVold</v>
      </c>
      <c r="AG1266" s="38" t="str">
        <f t="array" ref="AG1266">INDEX('Deal Info'!G:G, MATCH(A1266,'Deal Info'!A:A, 0))</f>
        <v>None</v>
      </c>
    </row>
    <row r="1267" spans="1:33" ht="14.25" hidden="1" x14ac:dyDescent="0.2">
      <c r="A1267" s="18" t="str">
        <f t="array" ref="A1267">IF(G1267='Room Info'!$B$1, INDEX('Room Info'!$A$2:$A2446, MATCH(B1267,'Room Info'!$B$2:$B2446, 0)),IF(G1267='Room Info'!$C$1, INDEX('Room Info'!$A$2:$A2446, MATCH(B1267,'Room Info'!$C$2:$C2446, 0)),IF(G1267='Room Info'!$D$1, INDEX('Room Info'!$A$2:$A2446, MATCH(B1267,'Room Info'!$D$2:$D2446, 0)),IF(G1267='Room Info'!$E$1, INDEX('Room Info'!$A$2:$A2446, MATCH(B1267,'Room Info'!$E$2:$E2446, 0)),IF(G1267='Room Info'!$F$1, INDEX('Room Info'!$A$2:$A2446, MATCH(B1267,'Room Info'!$F$2:$F2446, 0)),IF(G1267='Room Info'!$H$1, INDEX('Room Info'!$A$2:$A2446, MATCH(B1267,'Room Info'!$H$2:$H2446, 0)),IF(G1267='Room Info'!$G$1, INDEX('Room Info'!$A$2:$A2446, MATCH(B1267,'Room Info'!$G$2:$G2446, 0)))))))))</f>
        <v>Sun_Set_pro8</v>
      </c>
      <c r="B1267" s="45" t="s">
        <v>98</v>
      </c>
      <c r="C1267" s="46">
        <v>44896</v>
      </c>
      <c r="D1267" s="46">
        <v>44915</v>
      </c>
      <c r="E1267" s="47">
        <v>44896</v>
      </c>
      <c r="F1267" s="48" t="s">
        <v>49</v>
      </c>
      <c r="G1267" s="45" t="s">
        <v>35</v>
      </c>
      <c r="H1267" s="49" t="s">
        <v>72</v>
      </c>
      <c r="I1267" s="49" t="s">
        <v>37</v>
      </c>
      <c r="J1267" s="50">
        <v>50</v>
      </c>
      <c r="K1267" s="51">
        <v>4</v>
      </c>
      <c r="L1267" s="52">
        <v>-50</v>
      </c>
      <c r="M1267" s="53">
        <v>4</v>
      </c>
      <c r="N1267" s="28">
        <f>K1267*J1267</f>
        <v>200</v>
      </c>
      <c r="O1267" s="54">
        <v>250</v>
      </c>
      <c r="P1267" s="29">
        <v>62.5</v>
      </c>
      <c r="Q1267" s="55"/>
      <c r="R1267" s="31">
        <f>M1267+Q1267</f>
        <v>4</v>
      </c>
      <c r="S1267" s="56">
        <v>10</v>
      </c>
      <c r="T1267" s="32">
        <f>R1267+S1267+IF(F1267="Without EV deal",L1267,0)</f>
        <v>14</v>
      </c>
      <c r="U1267" s="57">
        <v>1</v>
      </c>
      <c r="V1267" s="58"/>
      <c r="W1267" s="58"/>
      <c r="X1267" s="78">
        <v>0.25</v>
      </c>
      <c r="Y1267" s="30">
        <f>IF(AG1267="None",0,IF(AG1267="Fix5",0.05, IF(AG1267="Fix6.25",0.0625,IF(AG1267="Fix3.75",0.0375,IF(AG1267="Fix10",0.1,IF(AG1267="Fix3",0.03,0))))))</f>
        <v>0</v>
      </c>
      <c r="Z1267" s="35">
        <f>T1267-AA1267-AB1267</f>
        <v>10.5</v>
      </c>
      <c r="AA1267" s="29">
        <f>IF(AD1267="EUR",((T1267-R1267)*X1267)*U1267+(R1267*X1267),(T1267*X1267))</f>
        <v>3.5</v>
      </c>
      <c r="AB1267" s="36">
        <f>IF(AD1267="EUR",((T1267-R1267)*Y1267)*U1267+(R1267*Y1267),(T1267*Y1267))</f>
        <v>0</v>
      </c>
      <c r="AC1267" s="37" t="b">
        <v>1</v>
      </c>
      <c r="AD1267" s="61" t="s">
        <v>38</v>
      </c>
      <c r="AE1267" s="83" t="s">
        <v>38</v>
      </c>
      <c r="AF1267" s="37" t="str">
        <f t="array" ref="AF1267">INDEX('Deal Info'!D:D, MATCH(A1267,'Deal Info'!A:A, 0))</f>
        <v>DoEVold</v>
      </c>
      <c r="AG1267" s="38" t="str">
        <f t="array" ref="AG1267">INDEX('Deal Info'!G:G, MATCH(A1267,'Deal Info'!A:A, 0))</f>
        <v>None</v>
      </c>
    </row>
    <row r="1268" spans="1:33" ht="14.25" hidden="1" x14ac:dyDescent="0.2">
      <c r="A1268" s="18" t="str">
        <f t="array" ref="A1268">IF(G1268='Room Info'!$B$1, INDEX('Room Info'!$A$2:$A2446, MATCH(B1268,'Room Info'!$B$2:$B2446, 0)),IF(G1268='Room Info'!$C$1, INDEX('Room Info'!$A$2:$A2446, MATCH(B1268,'Room Info'!$C$2:$C2446, 0)),IF(G1268='Room Info'!$D$1, INDEX('Room Info'!$A$2:$A2446, MATCH(B1268,'Room Info'!$D$2:$D2446, 0)),IF(G1268='Room Info'!$E$1, INDEX('Room Info'!$A$2:$A2446, MATCH(B1268,'Room Info'!$E$2:$E2446, 0)),IF(G1268='Room Info'!$F$1, INDEX('Room Info'!$A$2:$A2446, MATCH(B1268,'Room Info'!$F$2:$F2446, 0)),IF(G1268='Room Info'!$H$1, INDEX('Room Info'!$A$2:$A2446, MATCH(B1268,'Room Info'!$H$2:$H2446, 0)),IF(G1268='Room Info'!$G$1, INDEX('Room Info'!$A$2:$A2446, MATCH(B1268,'Room Info'!$G$2:$G2446, 0)))))))))</f>
        <v>Sun_Set_pro8</v>
      </c>
      <c r="B1268" s="45" t="s">
        <v>98</v>
      </c>
      <c r="C1268" s="46">
        <v>44896</v>
      </c>
      <c r="D1268" s="46">
        <v>44915</v>
      </c>
      <c r="E1268" s="47">
        <v>44896</v>
      </c>
      <c r="F1268" s="48" t="s">
        <v>41</v>
      </c>
      <c r="G1268" s="45" t="s">
        <v>35</v>
      </c>
      <c r="H1268" s="49" t="s">
        <v>115</v>
      </c>
      <c r="I1268" s="49" t="s">
        <v>44</v>
      </c>
      <c r="J1268" s="50">
        <v>10</v>
      </c>
      <c r="K1268" s="51">
        <v>41</v>
      </c>
      <c r="L1268" s="52">
        <v>0</v>
      </c>
      <c r="M1268" s="53">
        <v>8</v>
      </c>
      <c r="N1268" s="28">
        <f>K1268*J1268</f>
        <v>410</v>
      </c>
      <c r="O1268" s="65"/>
      <c r="P1268" s="29">
        <v>0</v>
      </c>
      <c r="Q1268" s="55"/>
      <c r="R1268" s="31">
        <f>M1268+Q1268</f>
        <v>8</v>
      </c>
      <c r="S1268" s="66"/>
      <c r="T1268" s="32">
        <f>R1268+S1268+IF(F1268="Without EV deal",L1268,0)</f>
        <v>8</v>
      </c>
      <c r="U1268" s="57">
        <v>1</v>
      </c>
      <c r="V1268" s="58"/>
      <c r="W1268" s="58"/>
      <c r="X1268" s="78">
        <v>0.25</v>
      </c>
      <c r="Y1268" s="30">
        <f>IF(AG1268="None",0,IF(AG1268="Fix5",0.05, IF(AG1268="Fix6.25",0.0625,IF(AG1268="Fix3.75",0.0375,IF(AG1268="Fix10",0.1,IF(AG1268="Fix3",0.03,0))))))</f>
        <v>0</v>
      </c>
      <c r="Z1268" s="35">
        <f>T1268-AA1268-AB1268</f>
        <v>6</v>
      </c>
      <c r="AA1268" s="29">
        <f>IF(AD1268="EUR",((T1268-R1268)*X1268)*U1268+(R1268*X1268),(T1268*X1268))</f>
        <v>2</v>
      </c>
      <c r="AB1268" s="36">
        <f>IF(AD1268="EUR",((T1268-R1268)*Y1268)*U1268+(R1268*Y1268),(T1268*Y1268))</f>
        <v>0</v>
      </c>
      <c r="AC1268" s="37" t="b">
        <v>1</v>
      </c>
      <c r="AD1268" s="61" t="s">
        <v>38</v>
      </c>
      <c r="AE1268" s="83" t="s">
        <v>38</v>
      </c>
      <c r="AF1268" s="37" t="str">
        <f t="array" ref="AF1268">INDEX('Deal Info'!D:D, MATCH(A1268,'Deal Info'!A:A, 0))</f>
        <v>DoEVold</v>
      </c>
      <c r="AG1268" s="38" t="str">
        <f t="array" ref="AG1268">INDEX('Deal Info'!G:G, MATCH(A1268,'Deal Info'!A:A, 0))</f>
        <v>None</v>
      </c>
    </row>
    <row r="1269" spans="1:33" ht="14.25" hidden="1" x14ac:dyDescent="0.2">
      <c r="A1269" s="18" t="str">
        <f t="array" ref="A1269">IF(G1269='Room Info'!$B$1, INDEX('Room Info'!$A$2:$A2446, MATCH(B1269,'Room Info'!$B$2:$B2446, 0)),IF(G1269='Room Info'!$C$1, INDEX('Room Info'!$A$2:$A2446, MATCH(B1269,'Room Info'!$C$2:$C2446, 0)),IF(G1269='Room Info'!$D$1, INDEX('Room Info'!$A$2:$A2446, MATCH(B1269,'Room Info'!$D$2:$D2446, 0)),IF(G1269='Room Info'!$E$1, INDEX('Room Info'!$A$2:$A2446, MATCH(B1269,'Room Info'!$E$2:$E2446, 0)),IF(G1269='Room Info'!$F$1, INDEX('Room Info'!$A$2:$A2446, MATCH(B1269,'Room Info'!$F$2:$F2446, 0)),IF(G1269='Room Info'!$H$1, INDEX('Room Info'!$A$2:$A2446, MATCH(B1269,'Room Info'!$H$2:$H2446, 0)),IF(G1269='Room Info'!$G$1, INDEX('Room Info'!$A$2:$A2446, MATCH(B1269,'Room Info'!$G$2:$G2446, 0)))))))))</f>
        <v>Sun_Set_pro8</v>
      </c>
      <c r="B1269" s="45" t="s">
        <v>98</v>
      </c>
      <c r="C1269" s="46">
        <v>44916</v>
      </c>
      <c r="D1269" s="46">
        <v>44957</v>
      </c>
      <c r="E1269" s="47">
        <v>44927</v>
      </c>
      <c r="F1269" s="48" t="s">
        <v>49</v>
      </c>
      <c r="G1269" s="45" t="s">
        <v>35</v>
      </c>
      <c r="H1269" s="49" t="s">
        <v>85</v>
      </c>
      <c r="I1269" s="49" t="s">
        <v>44</v>
      </c>
      <c r="J1269" s="50">
        <v>50</v>
      </c>
      <c r="K1269" s="51">
        <v>4854</v>
      </c>
      <c r="L1269" s="52">
        <v>-20650</v>
      </c>
      <c r="M1269" s="53">
        <v>15252</v>
      </c>
      <c r="N1269" s="28">
        <f>K1269*J1269</f>
        <v>242700</v>
      </c>
      <c r="O1269" s="54">
        <v>49779</v>
      </c>
      <c r="P1269" s="29">
        <v>10.255253400000001</v>
      </c>
      <c r="Q1269" s="55"/>
      <c r="R1269" s="31">
        <f>M1269+Q1269</f>
        <v>15252</v>
      </c>
      <c r="S1269" s="56">
        <v>-7405</v>
      </c>
      <c r="T1269" s="32">
        <f>R1269+S1269+IF(F1269="Without EV deal",L1269,0)</f>
        <v>7847</v>
      </c>
      <c r="U1269" s="57">
        <v>1</v>
      </c>
      <c r="V1269" s="58"/>
      <c r="W1269" s="58"/>
      <c r="X1269" s="78">
        <v>0.25</v>
      </c>
      <c r="Y1269" s="30">
        <f>IF(AG1269="None",0,IF(AG1269="Fix5",0.05, IF(AG1269="Fix6.25",0.0625,IF(AG1269="Fix3.75",0.0375,IF(AG1269="Fix10",0.1,IF(AG1269="Fix3",0.03,0))))))</f>
        <v>0</v>
      </c>
      <c r="Z1269" s="35">
        <f>T1269-AA1269-AB1269</f>
        <v>5885.25</v>
      </c>
      <c r="AA1269" s="29">
        <f>IF(AD1269="EUR",((T1269-R1269)*X1269)*U1269+(R1269*X1269),(T1269*X1269))</f>
        <v>1961.75</v>
      </c>
      <c r="AB1269" s="36">
        <f>IF(AD1269="EUR",((T1269-R1269)*Y1269)*U1269+(R1269*Y1269),(T1269*Y1269))</f>
        <v>0</v>
      </c>
      <c r="AC1269" s="37" t="b">
        <v>1</v>
      </c>
      <c r="AD1269" s="61" t="s">
        <v>38</v>
      </c>
      <c r="AE1269" s="83" t="s">
        <v>38</v>
      </c>
      <c r="AF1269" s="37" t="str">
        <f t="array" ref="AF1269">INDEX('Deal Info'!D:D, MATCH(A1269,'Deal Info'!A:A, 0))</f>
        <v>DoEVold</v>
      </c>
      <c r="AG1269" s="38" t="str">
        <f t="array" ref="AG1269">INDEX('Deal Info'!G:G, MATCH(A1269,'Deal Info'!A:A, 0))</f>
        <v>None</v>
      </c>
    </row>
    <row r="1270" spans="1:33" ht="14.25" hidden="1" x14ac:dyDescent="0.2">
      <c r="A1270" s="18" t="str">
        <f t="array" ref="A1270">IF(G1270='Room Info'!$B$1, INDEX('Room Info'!$A$2:$A2446, MATCH(B1270,'Room Info'!$B$2:$B2446, 0)),IF(G1270='Room Info'!$C$1, INDEX('Room Info'!$A$2:$A2446, MATCH(B1270,'Room Info'!$C$2:$C2446, 0)),IF(G1270='Room Info'!$D$1, INDEX('Room Info'!$A$2:$A2446, MATCH(B1270,'Room Info'!$D$2:$D2446, 0)),IF(G1270='Room Info'!$E$1, INDEX('Room Info'!$A$2:$A2446, MATCH(B1270,'Room Info'!$E$2:$E2446, 0)),IF(G1270='Room Info'!$F$1, INDEX('Room Info'!$A$2:$A2446, MATCH(B1270,'Room Info'!$F$2:$F2446, 0)),IF(G1270='Room Info'!$H$1, INDEX('Room Info'!$A$2:$A2446, MATCH(B1270,'Room Info'!$H$2:$H2446, 0)),IF(G1270='Room Info'!$G$1, INDEX('Room Info'!$A$2:$A2446, MATCH(B1270,'Room Info'!$G$2:$G2446, 0)))))))))</f>
        <v>Sun_Set_pro8</v>
      </c>
      <c r="B1270" s="45" t="s">
        <v>98</v>
      </c>
      <c r="C1270" s="46">
        <v>44916</v>
      </c>
      <c r="D1270" s="46">
        <v>44957</v>
      </c>
      <c r="E1270" s="47">
        <v>44927</v>
      </c>
      <c r="F1270" s="45" t="s">
        <v>49</v>
      </c>
      <c r="G1270" s="54" t="s">
        <v>35</v>
      </c>
      <c r="H1270" s="49" t="s">
        <v>87</v>
      </c>
      <c r="I1270" s="49" t="s">
        <v>44</v>
      </c>
      <c r="J1270" s="50">
        <v>25</v>
      </c>
      <c r="K1270" s="51">
        <v>1095</v>
      </c>
      <c r="L1270" s="52">
        <v>-1300</v>
      </c>
      <c r="M1270" s="53">
        <v>1720</v>
      </c>
      <c r="N1270" s="28">
        <f>K1270*J1270</f>
        <v>27375</v>
      </c>
      <c r="O1270" s="54">
        <v>7349</v>
      </c>
      <c r="P1270" s="29">
        <v>6.7114155249999996</v>
      </c>
      <c r="Q1270" s="55"/>
      <c r="R1270" s="31">
        <f>M1270+Q1270</f>
        <v>1720</v>
      </c>
      <c r="S1270" s="56">
        <v>-1135</v>
      </c>
      <c r="T1270" s="32">
        <f>R1270+S1270+IF(F1270="Without EV deal",L1270,0)</f>
        <v>585</v>
      </c>
      <c r="U1270" s="57">
        <v>1</v>
      </c>
      <c r="V1270" s="58"/>
      <c r="W1270" s="58"/>
      <c r="X1270" s="78">
        <v>0.25</v>
      </c>
      <c r="Y1270" s="30">
        <f>IF(AG1270="None",0,IF(AG1270="Fix5",0.05, IF(AG1270="Fix6.25",0.0625,IF(AG1270="Fix3.75",0.0375,IF(AG1270="Fix10",0.1,IF(AG1270="Fix3",0.03,0))))))</f>
        <v>0</v>
      </c>
      <c r="Z1270" s="35">
        <f>T1270-AA1270-AB1270</f>
        <v>438.75</v>
      </c>
      <c r="AA1270" s="29">
        <f>IF(AD1270="EUR",((T1270-R1270)*X1270)*U1270+(R1270*X1270),(T1270*X1270))</f>
        <v>146.25</v>
      </c>
      <c r="AB1270" s="36">
        <f>IF(AD1270="EUR",((T1270-R1270)*Y1270)*U1270+(R1270*Y1270),(T1270*Y1270))</f>
        <v>0</v>
      </c>
      <c r="AC1270" s="37" t="b">
        <v>1</v>
      </c>
      <c r="AD1270" s="61" t="s">
        <v>38</v>
      </c>
      <c r="AE1270" s="83" t="s">
        <v>38</v>
      </c>
      <c r="AF1270" s="37" t="str">
        <f t="array" ref="AF1270">INDEX('Deal Info'!D:D, MATCH(A1270,'Deal Info'!A:A, 0))</f>
        <v>DoEVold</v>
      </c>
      <c r="AG1270" s="38" t="str">
        <f t="array" ref="AG1270">INDEX('Deal Info'!G:G, MATCH(A1270,'Deal Info'!A:A, 0))</f>
        <v>None</v>
      </c>
    </row>
    <row r="1271" spans="1:33" ht="14.25" hidden="1" x14ac:dyDescent="0.2">
      <c r="A1271" s="18" t="str">
        <f t="array" ref="A1271">IF(G1271='Room Info'!$B$1, INDEX('Room Info'!$A$2:$A2446, MATCH(B1271,'Room Info'!$B$2:$B2446, 0)),IF(G1271='Room Info'!$C$1, INDEX('Room Info'!$A$2:$A2446, MATCH(B1271,'Room Info'!$C$2:$C2446, 0)),IF(G1271='Room Info'!$D$1, INDEX('Room Info'!$A$2:$A2446, MATCH(B1271,'Room Info'!$D$2:$D2446, 0)),IF(G1271='Room Info'!$E$1, INDEX('Room Info'!$A$2:$A2446, MATCH(B1271,'Room Info'!$E$2:$E2446, 0)),IF(G1271='Room Info'!$F$1, INDEX('Room Info'!$A$2:$A2446, MATCH(B1271,'Room Info'!$F$2:$F2446, 0)),IF(G1271='Room Info'!$H$1, INDEX('Room Info'!$A$2:$A2446, MATCH(B1271,'Room Info'!$H$2:$H2446, 0)),IF(G1271='Room Info'!$G$1, INDEX('Room Info'!$A$2:$A2446, MATCH(B1271,'Room Info'!$G$2:$G2446, 0)))))))))</f>
        <v>Sun_Set_pro8</v>
      </c>
      <c r="B1271" s="45" t="s">
        <v>98</v>
      </c>
      <c r="C1271" s="46">
        <v>44916</v>
      </c>
      <c r="D1271" s="46">
        <v>44957</v>
      </c>
      <c r="E1271" s="47">
        <v>44927</v>
      </c>
      <c r="F1271" s="45" t="s">
        <v>49</v>
      </c>
      <c r="G1271" s="54" t="s">
        <v>35</v>
      </c>
      <c r="H1271" s="49" t="s">
        <v>72</v>
      </c>
      <c r="I1271" s="49" t="s">
        <v>37</v>
      </c>
      <c r="J1271" s="50">
        <v>50</v>
      </c>
      <c r="K1271" s="51">
        <v>1</v>
      </c>
      <c r="L1271" s="52">
        <v>50</v>
      </c>
      <c r="M1271" s="53">
        <v>3</v>
      </c>
      <c r="N1271" s="28">
        <f>K1271*J1271</f>
        <v>50</v>
      </c>
      <c r="O1271" s="54">
        <v>156</v>
      </c>
      <c r="P1271" s="29">
        <v>156</v>
      </c>
      <c r="Q1271" s="55"/>
      <c r="R1271" s="31">
        <f>M1271+Q1271</f>
        <v>3</v>
      </c>
      <c r="S1271" s="56">
        <v>11</v>
      </c>
      <c r="T1271" s="32">
        <f>R1271+S1271+IF(F1271="Without EV deal",L1271,0)</f>
        <v>14</v>
      </c>
      <c r="U1271" s="57">
        <v>1</v>
      </c>
      <c r="V1271" s="58"/>
      <c r="W1271" s="58"/>
      <c r="X1271" s="78">
        <v>0.25</v>
      </c>
      <c r="Y1271" s="30">
        <f>IF(AG1271="None",0,IF(AG1271="Fix5",0.05, IF(AG1271="Fix6.25",0.0625,IF(AG1271="Fix3.75",0.0375,IF(AG1271="Fix10",0.1,IF(AG1271="Fix3",0.03,0))))))</f>
        <v>0</v>
      </c>
      <c r="Z1271" s="35">
        <f>T1271-AA1271-AB1271</f>
        <v>10.5</v>
      </c>
      <c r="AA1271" s="29">
        <f>IF(AD1271="EUR",((T1271-R1271)*X1271)*U1271+(R1271*X1271),(T1271*X1271))</f>
        <v>3.5</v>
      </c>
      <c r="AB1271" s="36">
        <f>IF(AD1271="EUR",((T1271-R1271)*Y1271)*U1271+(R1271*Y1271),(T1271*Y1271))</f>
        <v>0</v>
      </c>
      <c r="AC1271" s="37" t="b">
        <v>1</v>
      </c>
      <c r="AD1271" s="61" t="s">
        <v>38</v>
      </c>
      <c r="AE1271" s="83" t="s">
        <v>38</v>
      </c>
      <c r="AF1271" s="37" t="str">
        <f t="array" ref="AF1271">INDEX('Deal Info'!D:D, MATCH(A1271,'Deal Info'!A:A, 0))</f>
        <v>DoEVold</v>
      </c>
      <c r="AG1271" s="38" t="str">
        <f t="array" ref="AG1271">INDEX('Deal Info'!G:G, MATCH(A1271,'Deal Info'!A:A, 0))</f>
        <v>None</v>
      </c>
    </row>
    <row r="1272" spans="1:33" ht="14.25" x14ac:dyDescent="0.2">
      <c r="A1272" s="18" t="str">
        <f t="array" ref="A1272">IF(G1272='Room Info'!$B$1, INDEX('Room Info'!$A$2:$A2446, MATCH(B1272,'Room Info'!$B$2:$B2446, 0)),IF(G1272='Room Info'!$C$1, INDEX('Room Info'!$A$2:$A2446, MATCH(B1272,'Room Info'!$C$2:$C2446, 0)),IF(G1272='Room Info'!$D$1, INDEX('Room Info'!$A$2:$A2446, MATCH(B1272,'Room Info'!$D$2:$D2446, 0)),IF(G1272='Room Info'!$E$1, INDEX('Room Info'!$A$2:$A2446, MATCH(B1272,'Room Info'!$E$2:$E2446, 0)),IF(G1272='Room Info'!$F$1, INDEX('Room Info'!$A$2:$A2446, MATCH(B1272,'Room Info'!$F$2:$F2446, 0)),IF(G1272='Room Info'!$H$1, INDEX('Room Info'!$A$2:$A2446, MATCH(B1272,'Room Info'!$H$2:$H2446, 0)),IF(G1272='Room Info'!$G$1, INDEX('Room Info'!$A$2:$A2446, MATCH(B1272,'Room Info'!$G$2:$G2446, 0)))))))))</f>
        <v>Mackevgen</v>
      </c>
      <c r="B1272" s="129" t="s">
        <v>128</v>
      </c>
      <c r="C1272" s="111">
        <v>44916</v>
      </c>
      <c r="D1272" s="111">
        <v>44957</v>
      </c>
      <c r="E1272" s="21">
        <v>44927</v>
      </c>
      <c r="F1272" s="133" t="s">
        <v>49</v>
      </c>
      <c r="G1272" s="129" t="s">
        <v>61</v>
      </c>
      <c r="H1272" s="110" t="s">
        <v>55</v>
      </c>
      <c r="I1272" s="110" t="s">
        <v>101</v>
      </c>
      <c r="J1272" s="50">
        <v>10</v>
      </c>
      <c r="K1272" s="123">
        <v>9443</v>
      </c>
      <c r="L1272" s="113">
        <v>2527</v>
      </c>
      <c r="M1272" s="62">
        <v>1119</v>
      </c>
      <c r="N1272" s="28">
        <f>K1272*J1272</f>
        <v>94430</v>
      </c>
      <c r="O1272" s="65">
        <v>562976</v>
      </c>
      <c r="P1272" s="29">
        <v>59.618341630000003</v>
      </c>
      <c r="Q1272" s="103"/>
      <c r="R1272" s="31">
        <f>M1272+Q1272</f>
        <v>1119</v>
      </c>
      <c r="S1272" s="66">
        <v>2276</v>
      </c>
      <c r="T1272" s="32">
        <f>R1272+S1272+IF(F1272="Without EV deal",L1272,0)</f>
        <v>3395</v>
      </c>
      <c r="U1272" s="114">
        <v>1</v>
      </c>
      <c r="V1272" s="58"/>
      <c r="W1272" s="58"/>
      <c r="X1272" s="30">
        <v>0.17</v>
      </c>
      <c r="Y1272" s="30">
        <f>IF(AG1272="None",0,IF(AG1272="Fix5",0.05, IF(AG1272="Fix6.25",0.0625,IF(AG1272="Fix3.75",0.0375,IF(AG1272="Fix10",0.1,IF(AG1272="Fix3",0.03,0))))))</f>
        <v>0</v>
      </c>
      <c r="Z1272" s="35">
        <f>T1272-AA1272-AB1272</f>
        <v>2818</v>
      </c>
      <c r="AA1272" s="29">
        <v>577</v>
      </c>
      <c r="AB1272" s="36">
        <f>IF(AD1272="EUR",((T1272-R1272)*Y1272)*U1272+(R1272*Y1272),(T1272*Y1272))</f>
        <v>0</v>
      </c>
      <c r="AC1272" s="37" t="b">
        <v>1</v>
      </c>
      <c r="AD1272" s="82" t="s">
        <v>38</v>
      </c>
      <c r="AE1272" s="82" t="s">
        <v>38</v>
      </c>
      <c r="AF1272" s="83" t="str">
        <f t="array" ref="AF1272">INDEX('Deal Info'!D:D, MATCH(A1272,'Deal Info'!A:A, 0))</f>
        <v>DoEV</v>
      </c>
      <c r="AG1272" s="84" t="str">
        <f t="array" ref="AG1272">INDEX('Deal Info'!G:G, MATCH(A1272,'Deal Info'!A:A, 0))</f>
        <v>None</v>
      </c>
    </row>
    <row r="1273" spans="1:33" ht="14.25" x14ac:dyDescent="0.2">
      <c r="A1273" s="18" t="str">
        <f t="array" ref="A1273">IF(G1273='Room Info'!$B$1, INDEX('Room Info'!$A$2:$A2446, MATCH(B1273,'Room Info'!$B$2:$B2446, 0)),IF(G1273='Room Info'!$C$1, INDEX('Room Info'!$A$2:$A2446, MATCH(B1273,'Room Info'!$C$2:$C2446, 0)),IF(G1273='Room Info'!$D$1, INDEX('Room Info'!$A$2:$A2446, MATCH(B1273,'Room Info'!$D$2:$D2446, 0)),IF(G1273='Room Info'!$E$1, INDEX('Room Info'!$A$2:$A2446, MATCH(B1273,'Room Info'!$E$2:$E2446, 0)),IF(G1273='Room Info'!$F$1, INDEX('Room Info'!$A$2:$A2446, MATCH(B1273,'Room Info'!$F$2:$F2446, 0)),IF(G1273='Room Info'!$H$1, INDEX('Room Info'!$A$2:$A2446, MATCH(B1273,'Room Info'!$H$2:$H2446, 0)),IF(G1273='Room Info'!$G$1, INDEX('Room Info'!$A$2:$A2446, MATCH(B1273,'Room Info'!$G$2:$G2446, 0)))))))))</f>
        <v>thepzdc</v>
      </c>
      <c r="B1273" s="65" t="s">
        <v>235</v>
      </c>
      <c r="C1273" s="46">
        <v>44916</v>
      </c>
      <c r="D1273" s="46">
        <v>44957</v>
      </c>
      <c r="E1273" s="47">
        <v>44927</v>
      </c>
      <c r="F1273" s="48" t="s">
        <v>49</v>
      </c>
      <c r="G1273" s="65" t="s">
        <v>61</v>
      </c>
      <c r="H1273" s="110" t="s">
        <v>55</v>
      </c>
      <c r="I1273" s="110" t="s">
        <v>101</v>
      </c>
      <c r="J1273" s="50">
        <v>10</v>
      </c>
      <c r="K1273" s="51">
        <v>12000</v>
      </c>
      <c r="L1273" s="127">
        <v>2190</v>
      </c>
      <c r="M1273" s="53">
        <v>2190</v>
      </c>
      <c r="N1273" s="28">
        <f>K1273*J1273</f>
        <v>120000</v>
      </c>
      <c r="O1273" s="54">
        <v>732199</v>
      </c>
      <c r="P1273" s="29">
        <v>61.016583330000003</v>
      </c>
      <c r="Q1273" s="55"/>
      <c r="R1273" s="31">
        <f>M1273+Q1273</f>
        <v>2190</v>
      </c>
      <c r="S1273" s="66">
        <v>3202</v>
      </c>
      <c r="T1273" s="32">
        <f>R1273+S1273+IF(F1273="Without EV deal",L1273,0)</f>
        <v>5392</v>
      </c>
      <c r="U1273" s="57">
        <v>1</v>
      </c>
      <c r="V1273" s="58"/>
      <c r="W1273" s="58"/>
      <c r="X1273" s="30">
        <v>0.17</v>
      </c>
      <c r="Y1273" s="30">
        <f>IF(AG1273="None",0,IF(AG1273="Fix5",0.05, IF(AG1273="Fix6.25",0.0625,IF(AG1273="Fix3.75",0.0375,IF(AG1273="Fix10",0.1,IF(AG1273="Fix3",0.03,0))))))</f>
        <v>0</v>
      </c>
      <c r="Z1273" s="35">
        <f>T1273-AA1273-AB1273</f>
        <v>4475.3599999999997</v>
      </c>
      <c r="AA1273" s="29">
        <f>IF(AD1273="EUR",((T1273-R1273)*X1273)*U1273+(R1273*X1273),(T1273*X1273))</f>
        <v>916.6400000000001</v>
      </c>
      <c r="AB1273" s="36">
        <f>IF(AD1273="EUR",((T1273-R1273)*Y1273)*U1273+(R1273*Y1273),(T1273*Y1273))</f>
        <v>0</v>
      </c>
      <c r="AC1273" s="37" t="b">
        <v>1</v>
      </c>
      <c r="AD1273" s="82" t="s">
        <v>38</v>
      </c>
      <c r="AE1273" s="83" t="s">
        <v>38</v>
      </c>
      <c r="AF1273" s="83" t="str">
        <f t="array" ref="AF1273">INDEX('Deal Info'!D:D, MATCH(A1273,'Deal Info'!A:A, 0))</f>
        <v>DoEV</v>
      </c>
      <c r="AG1273" s="84" t="str">
        <f t="array" ref="AG1273">INDEX('Deal Info'!G:G, MATCH(A1273,'Deal Info'!A:A, 0))</f>
        <v>None</v>
      </c>
    </row>
    <row r="1274" spans="1:33" ht="28.5" hidden="1" x14ac:dyDescent="0.2">
      <c r="A1274" s="18" t="str">
        <f t="array" ref="A1274">IF(G1274='Room Info'!$B$1, INDEX('Room Info'!$A$2:$A2446, MATCH(B1274,'Room Info'!$B$2:$B2446, 0)),IF(G1274='Room Info'!$C$1, INDEX('Room Info'!$A$2:$A2446, MATCH(B1274,'Room Info'!$C$2:$C2446, 0)),IF(G1274='Room Info'!$D$1, INDEX('Room Info'!$A$2:$A2446, MATCH(B1274,'Room Info'!$D$2:$D2446, 0)),IF(G1274='Room Info'!$E$1, INDEX('Room Info'!$A$2:$A2446, MATCH(B1274,'Room Info'!$E$2:$E2446, 0)),IF(G1274='Room Info'!$F$1, INDEX('Room Info'!$A$2:$A2446, MATCH(B1274,'Room Info'!$F$2:$F2446, 0)),IF(G1274='Room Info'!$H$1, INDEX('Room Info'!$A$2:$A2446, MATCH(B1274,'Room Info'!$H$2:$H2446, 0)),IF(G1274='Room Info'!$G$1, INDEX('Room Info'!$A$2:$A2446, MATCH(B1274,'Room Info'!$G$2:$G2446, 0)))))))))</f>
        <v>supreme325i</v>
      </c>
      <c r="B1274" s="54" t="s">
        <v>116</v>
      </c>
      <c r="C1274" s="46">
        <v>44765</v>
      </c>
      <c r="D1274" s="46">
        <v>44793</v>
      </c>
      <c r="E1274" s="47">
        <v>44774</v>
      </c>
      <c r="F1274" s="48" t="s">
        <v>34</v>
      </c>
      <c r="G1274" s="54" t="s">
        <v>80</v>
      </c>
      <c r="H1274" s="49" t="s">
        <v>72</v>
      </c>
      <c r="I1274" s="49" t="s">
        <v>81</v>
      </c>
      <c r="J1274" s="50">
        <v>50</v>
      </c>
      <c r="K1274" s="51">
        <v>6744</v>
      </c>
      <c r="L1274" s="107">
        <v>-11650</v>
      </c>
      <c r="M1274" s="53">
        <v>17407</v>
      </c>
      <c r="N1274" s="28">
        <f>K1274*J1274</f>
        <v>337200</v>
      </c>
      <c r="O1274" s="108">
        <v>48104</v>
      </c>
      <c r="P1274" s="29">
        <v>7.1328588369999997</v>
      </c>
      <c r="Q1274" s="55"/>
      <c r="R1274" s="31">
        <f>M1274+Q1274</f>
        <v>17407</v>
      </c>
      <c r="S1274" s="109">
        <v>-17529</v>
      </c>
      <c r="T1274" s="32">
        <f>R1274+S1274+IF(F1274="Without EV deal",L1274,0)</f>
        <v>-122</v>
      </c>
      <c r="U1274" s="57">
        <v>1</v>
      </c>
      <c r="V1274" s="58"/>
      <c r="W1274" s="58"/>
      <c r="X1274" s="78">
        <v>0.3</v>
      </c>
      <c r="Y1274" s="30">
        <f>IF(AG1274="None",0,IF(AG1274="Fix5",0.05, IF(AG1274="Fix6.25",0.0625,IF(AG1274="Fix3.75",0.0375,IF(AG1274="Fix10",0.1,IF(AG1274="Fix3",0.03,0))))))</f>
        <v>0</v>
      </c>
      <c r="Z1274" s="35">
        <f>T1274-AA1274-AB1274</f>
        <v>-85.4</v>
      </c>
      <c r="AA1274" s="29">
        <f>IF(AD1274="EUR",((T1274-R1274)*X1274)*U1274+(R1274*X1274),(T1274*X1274))</f>
        <v>-36.6</v>
      </c>
      <c r="AB1274" s="36">
        <f>IF(AD1274="EUR",((T1274-R1274)*Y1274)*U1274+(R1274*Y1274),(T1274*Y1274))</f>
        <v>0</v>
      </c>
      <c r="AC1274" s="37" t="b">
        <v>1</v>
      </c>
      <c r="AD1274" s="37" t="s">
        <v>38</v>
      </c>
      <c r="AE1274" s="37" t="s">
        <v>38</v>
      </c>
      <c r="AF1274" s="37" t="str">
        <f t="array" ref="AF1274">INDEX('Deal Info'!D:D, MATCH(A1274,'Deal Info'!A:A, 0))</f>
        <v>DoEVsu</v>
      </c>
      <c r="AG1274" s="38" t="str">
        <f t="array" ref="AG1274">INDEX('Deal Info'!G:G, MATCH(A1274,'Deal Info'!A:A, 0))</f>
        <v>None</v>
      </c>
    </row>
    <row r="1275" spans="1:33" ht="28.5" hidden="1" x14ac:dyDescent="0.2">
      <c r="A1275" s="18" t="str">
        <f t="array" ref="A1275">IF(G1275='Room Info'!$B$1, INDEX('Room Info'!$A$2:$A2446, MATCH(B1275,'Room Info'!$B$2:$B2446, 0)),IF(G1275='Room Info'!$C$1, INDEX('Room Info'!$A$2:$A2446, MATCH(B1275,'Room Info'!$C$2:$C2446, 0)),IF(G1275='Room Info'!$D$1, INDEX('Room Info'!$A$2:$A2446, MATCH(B1275,'Room Info'!$D$2:$D2446, 0)),IF(G1275='Room Info'!$E$1, INDEX('Room Info'!$A$2:$A2446, MATCH(B1275,'Room Info'!$E$2:$E2446, 0)),IF(G1275='Room Info'!$F$1, INDEX('Room Info'!$A$2:$A2446, MATCH(B1275,'Room Info'!$F$2:$F2446, 0)),IF(G1275='Room Info'!$H$1, INDEX('Room Info'!$A$2:$A2446, MATCH(B1275,'Room Info'!$H$2:$H2446, 0)),IF(G1275='Room Info'!$G$1, INDEX('Room Info'!$A$2:$A2446, MATCH(B1275,'Room Info'!$G$2:$G2446, 0)))))))))</f>
        <v>supreme325i</v>
      </c>
      <c r="B1275" s="54" t="s">
        <v>116</v>
      </c>
      <c r="C1275" s="46">
        <v>44794</v>
      </c>
      <c r="D1275" s="46">
        <v>44824</v>
      </c>
      <c r="E1275" s="47">
        <v>44805</v>
      </c>
      <c r="F1275" s="48" t="s">
        <v>34</v>
      </c>
      <c r="G1275" s="54" t="s">
        <v>80</v>
      </c>
      <c r="H1275" s="49" t="s">
        <v>72</v>
      </c>
      <c r="I1275" s="49" t="s">
        <v>81</v>
      </c>
      <c r="J1275" s="50">
        <v>50</v>
      </c>
      <c r="K1275" s="51">
        <v>1266</v>
      </c>
      <c r="L1275" s="107">
        <v>-4850</v>
      </c>
      <c r="M1275" s="53">
        <v>2109</v>
      </c>
      <c r="N1275" s="28">
        <f>K1275*J1275</f>
        <v>63300</v>
      </c>
      <c r="O1275" s="108">
        <v>4786</v>
      </c>
      <c r="P1275" s="29">
        <v>3.7804107419999999</v>
      </c>
      <c r="Q1275" s="55"/>
      <c r="R1275" s="31">
        <f>M1275+Q1275</f>
        <v>2109</v>
      </c>
      <c r="S1275" s="109">
        <v>-3990</v>
      </c>
      <c r="T1275" s="32">
        <f>R1275+S1275+IF(F1275="Without EV deal",L1275,0)</f>
        <v>-1881</v>
      </c>
      <c r="U1275" s="57">
        <v>1</v>
      </c>
      <c r="V1275" s="58"/>
      <c r="W1275" s="58"/>
      <c r="X1275" s="78">
        <v>0.3</v>
      </c>
      <c r="Y1275" s="30">
        <f>IF(AG1275="None",0,IF(AG1275="Fix5",0.05, IF(AG1275="Fix6.25",0.0625,IF(AG1275="Fix3.75",0.0375,IF(AG1275="Fix10",0.1,IF(AG1275="Fix3",0.03,0))))))</f>
        <v>0</v>
      </c>
      <c r="Z1275" s="35">
        <f>T1275-AA1275-AB1275</f>
        <v>-1316.7</v>
      </c>
      <c r="AA1275" s="29">
        <f>IF(AD1275="EUR",((T1275-R1275)*X1275)*U1275+(R1275*X1275),(T1275*X1275))</f>
        <v>-564.29999999999995</v>
      </c>
      <c r="AB1275" s="36">
        <f>IF(AD1275="EUR",((T1275-R1275)*Y1275)*U1275+(R1275*Y1275),(T1275*Y1275))</f>
        <v>0</v>
      </c>
      <c r="AC1275" s="37" t="b">
        <v>1</v>
      </c>
      <c r="AD1275" s="37" t="s">
        <v>38</v>
      </c>
      <c r="AE1275" s="37" t="s">
        <v>38</v>
      </c>
      <c r="AF1275" s="37" t="str">
        <f t="array" ref="AF1275">INDEX('Deal Info'!D:D, MATCH(A1275,'Deal Info'!A:A, 0))</f>
        <v>DoEVsu</v>
      </c>
      <c r="AG1275" s="38" t="str">
        <f t="array" ref="AG1275">INDEX('Deal Info'!G:G, MATCH(A1275,'Deal Info'!A:A, 0))</f>
        <v>None</v>
      </c>
    </row>
    <row r="1276" spans="1:33" ht="28.5" hidden="1" x14ac:dyDescent="0.2">
      <c r="A1276" s="18" t="str">
        <f t="array" ref="A1276">IF(G1276='Room Info'!$B$1, INDEX('Room Info'!$A$2:$A2446, MATCH(B1276,'Room Info'!$B$2:$B2446, 0)),IF(G1276='Room Info'!$C$1, INDEX('Room Info'!$A$2:$A2446, MATCH(B1276,'Room Info'!$C$2:$C2446, 0)),IF(G1276='Room Info'!$D$1, INDEX('Room Info'!$A$2:$A2446, MATCH(B1276,'Room Info'!$D$2:$D2446, 0)),IF(G1276='Room Info'!$E$1, INDEX('Room Info'!$A$2:$A2446, MATCH(B1276,'Room Info'!$E$2:$E2446, 0)),IF(G1276='Room Info'!$F$1, INDEX('Room Info'!$A$2:$A2446, MATCH(B1276,'Room Info'!$F$2:$F2446, 0)),IF(G1276='Room Info'!$H$1, INDEX('Room Info'!$A$2:$A2446, MATCH(B1276,'Room Info'!$H$2:$H2446, 0)),IF(G1276='Room Info'!$G$1, INDEX('Room Info'!$A$2:$A2446, MATCH(B1276,'Room Info'!$G$2:$G2446, 0)))))))))</f>
        <v>supreme325i</v>
      </c>
      <c r="B1276" s="54" t="s">
        <v>117</v>
      </c>
      <c r="C1276" s="46">
        <v>44835</v>
      </c>
      <c r="D1276" s="46">
        <v>44865</v>
      </c>
      <c r="E1276" s="47">
        <v>44835</v>
      </c>
      <c r="F1276" s="48" t="s">
        <v>34</v>
      </c>
      <c r="G1276" s="54" t="s">
        <v>69</v>
      </c>
      <c r="H1276" s="49" t="s">
        <v>71</v>
      </c>
      <c r="I1276" s="49" t="s">
        <v>37</v>
      </c>
      <c r="J1276" s="50">
        <v>20</v>
      </c>
      <c r="K1276" s="51">
        <v>3317</v>
      </c>
      <c r="L1276" s="52">
        <v>2260</v>
      </c>
      <c r="M1276" s="53">
        <v>2901</v>
      </c>
      <c r="N1276" s="28">
        <f>K1276*J1276</f>
        <v>66340</v>
      </c>
      <c r="O1276" s="54">
        <v>174660</v>
      </c>
      <c r="P1276" s="29">
        <v>52.656014470000002</v>
      </c>
      <c r="Q1276" s="55"/>
      <c r="R1276" s="31">
        <f>M1276+Q1276</f>
        <v>2901</v>
      </c>
      <c r="S1276" s="56">
        <v>2189</v>
      </c>
      <c r="T1276" s="32">
        <f>R1276+S1276+IF(F1276="Without EV deal",L1276,0)</f>
        <v>5090</v>
      </c>
      <c r="U1276" s="57">
        <v>1</v>
      </c>
      <c r="V1276" s="58"/>
      <c r="W1276" s="58"/>
      <c r="X1276" s="78">
        <v>0.3</v>
      </c>
      <c r="Y1276" s="30">
        <f>IF(AG1276="None",0,IF(AG1276="Fix5",0.05, IF(AG1276="Fix6.25",0.0625,IF(AG1276="Fix3.75",0.0375,IF(AG1276="Fix10",0.1,IF(AG1276="Fix3",0.03,0))))))</f>
        <v>0</v>
      </c>
      <c r="Z1276" s="35">
        <f>T1276-AA1276-AB1276</f>
        <v>3563</v>
      </c>
      <c r="AA1276" s="29">
        <f>IF(AD1276="EUR",((T1276-R1276)*X1276)*U1276+(R1276*X1276),(T1276*X1276))</f>
        <v>1527</v>
      </c>
      <c r="AB1276" s="36">
        <f>IF(AD1276="EUR",((T1276-R1276)*Y1276)*U1276+(R1276*Y1276),(T1276*Y1276))</f>
        <v>0</v>
      </c>
      <c r="AC1276" s="37" t="b">
        <v>1</v>
      </c>
      <c r="AD1276" s="37" t="s">
        <v>38</v>
      </c>
      <c r="AE1276" s="37" t="s">
        <v>38</v>
      </c>
      <c r="AF1276" s="37" t="str">
        <f t="array" ref="AF1276">INDEX('Deal Info'!D:D, MATCH(A1276,'Deal Info'!A:A, 0))</f>
        <v>DoEVsu</v>
      </c>
      <c r="AG1276" s="38" t="str">
        <f t="array" ref="AG1276">INDEX('Deal Info'!G:G, MATCH(A1276,'Deal Info'!A:A, 0))</f>
        <v>None</v>
      </c>
    </row>
    <row r="1277" spans="1:33" ht="28.5" hidden="1" x14ac:dyDescent="0.2">
      <c r="A1277" s="18" t="str">
        <f t="array" ref="A1277">IF(G1277='Room Info'!$B$1, INDEX('Room Info'!$A$2:$A2446, MATCH(B1277,'Room Info'!$B$2:$B2446, 0)),IF(G1277='Room Info'!$C$1, INDEX('Room Info'!$A$2:$A2446, MATCH(B1277,'Room Info'!$C$2:$C2446, 0)),IF(G1277='Room Info'!$D$1, INDEX('Room Info'!$A$2:$A2446, MATCH(B1277,'Room Info'!$D$2:$D2446, 0)),IF(G1277='Room Info'!$E$1, INDEX('Room Info'!$A$2:$A2446, MATCH(B1277,'Room Info'!$E$2:$E2446, 0)),IF(G1277='Room Info'!$F$1, INDEX('Room Info'!$A$2:$A2446, MATCH(B1277,'Room Info'!$F$2:$F2446, 0)),IF(G1277='Room Info'!$H$1, INDEX('Room Info'!$A$2:$A2446, MATCH(B1277,'Room Info'!$H$2:$H2446, 0)),IF(G1277='Room Info'!$G$1, INDEX('Room Info'!$A$2:$A2446, MATCH(B1277,'Room Info'!$G$2:$G2446, 0)))))))))</f>
        <v>supreme325i</v>
      </c>
      <c r="B1277" s="54" t="s">
        <v>117</v>
      </c>
      <c r="C1277" s="46">
        <v>44835</v>
      </c>
      <c r="D1277" s="46">
        <v>44865</v>
      </c>
      <c r="E1277" s="47">
        <v>44835</v>
      </c>
      <c r="F1277" s="48" t="s">
        <v>34</v>
      </c>
      <c r="G1277" s="54" t="s">
        <v>69</v>
      </c>
      <c r="H1277" s="49" t="s">
        <v>71</v>
      </c>
      <c r="I1277" s="49" t="s">
        <v>37</v>
      </c>
      <c r="J1277" s="50">
        <v>20</v>
      </c>
      <c r="K1277" s="51">
        <v>1397</v>
      </c>
      <c r="L1277" s="52">
        <v>-1500</v>
      </c>
      <c r="M1277" s="53">
        <v>1073</v>
      </c>
      <c r="N1277" s="28">
        <f>K1277*J1277</f>
        <v>27940</v>
      </c>
      <c r="O1277" s="54">
        <v>31191</v>
      </c>
      <c r="P1277" s="29">
        <v>22.327129559999999</v>
      </c>
      <c r="Q1277" s="55"/>
      <c r="R1277" s="31">
        <f>M1277+Q1277</f>
        <v>1073</v>
      </c>
      <c r="S1277" s="56">
        <v>-664</v>
      </c>
      <c r="T1277" s="32">
        <f>R1277+S1277+IF(F1277="Without EV deal",L1277,0)</f>
        <v>409</v>
      </c>
      <c r="U1277" s="57">
        <v>1</v>
      </c>
      <c r="V1277" s="58"/>
      <c r="W1277" s="58"/>
      <c r="X1277" s="78">
        <v>0.3</v>
      </c>
      <c r="Y1277" s="30">
        <f>IF(AG1277="None",0,IF(AG1277="Fix5",0.05, IF(AG1277="Fix6.25",0.0625,IF(AG1277="Fix3.75",0.0375,IF(AG1277="Fix10",0.1,IF(AG1277="Fix3",0.03,0))))))</f>
        <v>0</v>
      </c>
      <c r="Z1277" s="35">
        <f>T1277-AA1277-AB1277</f>
        <v>286.3</v>
      </c>
      <c r="AA1277" s="29">
        <f>IF(AD1277="EUR",((T1277-R1277)*X1277)*U1277+(R1277*X1277),(T1277*X1277))</f>
        <v>122.69999999999999</v>
      </c>
      <c r="AB1277" s="36">
        <f>IF(AD1277="EUR",((T1277-R1277)*Y1277)*U1277+(R1277*Y1277),(T1277*Y1277))</f>
        <v>0</v>
      </c>
      <c r="AC1277" s="37" t="b">
        <v>1</v>
      </c>
      <c r="AD1277" s="37" t="s">
        <v>38</v>
      </c>
      <c r="AE1277" s="37" t="s">
        <v>38</v>
      </c>
      <c r="AF1277" s="37" t="str">
        <f t="array" ref="AF1277">INDEX('Deal Info'!D:D, MATCH(A1277,'Deal Info'!A:A, 0))</f>
        <v>DoEVsu</v>
      </c>
      <c r="AG1277" s="38" t="str">
        <f t="array" ref="AG1277">INDEX('Deal Info'!G:G, MATCH(A1277,'Deal Info'!A:A, 0))</f>
        <v>None</v>
      </c>
    </row>
    <row r="1278" spans="1:33" ht="28.5" hidden="1" x14ac:dyDescent="0.2">
      <c r="A1278" s="18" t="str">
        <f t="array" ref="A1278">IF(G1278='Room Info'!$B$1, INDEX('Room Info'!$A$2:$A2446, MATCH(B1278,'Room Info'!$B$2:$B2446, 0)),IF(G1278='Room Info'!$C$1, INDEX('Room Info'!$A$2:$A2446, MATCH(B1278,'Room Info'!$C$2:$C2446, 0)),IF(G1278='Room Info'!$D$1, INDEX('Room Info'!$A$2:$A2446, MATCH(B1278,'Room Info'!$D$2:$D2446, 0)),IF(G1278='Room Info'!$E$1, INDEX('Room Info'!$A$2:$A2446, MATCH(B1278,'Room Info'!$E$2:$E2446, 0)),IF(G1278='Room Info'!$F$1, INDEX('Room Info'!$A$2:$A2446, MATCH(B1278,'Room Info'!$F$2:$F2446, 0)),IF(G1278='Room Info'!$H$1, INDEX('Room Info'!$A$2:$A2446, MATCH(B1278,'Room Info'!$H$2:$H2446, 0)),IF(G1278='Room Info'!$G$1, INDEX('Room Info'!$A$2:$A2446, MATCH(B1278,'Room Info'!$G$2:$G2446, 0)))))))))</f>
        <v>supreme325i</v>
      </c>
      <c r="B1278" s="54" t="s">
        <v>117</v>
      </c>
      <c r="C1278" s="46">
        <v>44866</v>
      </c>
      <c r="D1278" s="46">
        <v>44895</v>
      </c>
      <c r="E1278" s="47">
        <v>44866</v>
      </c>
      <c r="F1278" s="48" t="s">
        <v>34</v>
      </c>
      <c r="G1278" s="54" t="s">
        <v>69</v>
      </c>
      <c r="H1278" s="49" t="s">
        <v>71</v>
      </c>
      <c r="I1278" s="49" t="s">
        <v>37</v>
      </c>
      <c r="J1278" s="50">
        <v>20</v>
      </c>
      <c r="K1278" s="51">
        <v>6194</v>
      </c>
      <c r="L1278" s="52">
        <v>-420</v>
      </c>
      <c r="M1278" s="53">
        <v>5577</v>
      </c>
      <c r="N1278" s="28">
        <f>K1278*J1278</f>
        <v>123880</v>
      </c>
      <c r="O1278" s="54">
        <v>241827</v>
      </c>
      <c r="P1278" s="29">
        <v>39.04213755</v>
      </c>
      <c r="Q1278" s="55"/>
      <c r="R1278" s="31">
        <f>M1278+Q1278</f>
        <v>5577</v>
      </c>
      <c r="S1278" s="56">
        <v>1143</v>
      </c>
      <c r="T1278" s="32">
        <f>R1278+S1278+IF(F1278="Without EV deal",L1278,0)</f>
        <v>6720</v>
      </c>
      <c r="U1278" s="57">
        <v>1</v>
      </c>
      <c r="V1278" s="58"/>
      <c r="W1278" s="58"/>
      <c r="X1278" s="78">
        <v>0.12</v>
      </c>
      <c r="Y1278" s="30">
        <f>IF(AG1278="None",0,IF(AG1278="Fix5",0.05, IF(AG1278="Fix6.25",0.0625,IF(AG1278="Fix3.75",0.0375,IF(AG1278="Fix10",0.1,IF(AG1278="Fix3",0.03,0))))))</f>
        <v>0</v>
      </c>
      <c r="Z1278" s="35">
        <f>T1278-AA1278-AB1278</f>
        <v>5913.6</v>
      </c>
      <c r="AA1278" s="29">
        <f>IF(AD1278="EUR",((T1278-R1278)*X1278)*U1278+(R1278*X1278),(T1278*X1278))</f>
        <v>806.4</v>
      </c>
      <c r="AB1278" s="36">
        <f>IF(AD1278="EUR",((T1278-R1278)*Y1278)*U1278+(R1278*Y1278),(T1278*Y1278))</f>
        <v>0</v>
      </c>
      <c r="AC1278" s="37" t="b">
        <v>1</v>
      </c>
      <c r="AD1278" s="37" t="s">
        <v>38</v>
      </c>
      <c r="AE1278" s="37" t="s">
        <v>38</v>
      </c>
      <c r="AF1278" s="37" t="str">
        <f t="array" ref="AF1278">INDEX('Deal Info'!D:D, MATCH(A1278,'Deal Info'!A:A, 0))</f>
        <v>DoEVsu</v>
      </c>
      <c r="AG1278" s="38" t="str">
        <f t="array" ref="AG1278">INDEX('Deal Info'!G:G, MATCH(A1278,'Deal Info'!A:A, 0))</f>
        <v>None</v>
      </c>
    </row>
    <row r="1279" spans="1:33" ht="28.5" hidden="1" x14ac:dyDescent="0.2">
      <c r="A1279" s="18" t="str">
        <f t="array" ref="A1279">IF(G1279='Room Info'!$B$1, INDEX('Room Info'!$A$2:$A2446, MATCH(B1279,'Room Info'!$B$2:$B2446, 0)),IF(G1279='Room Info'!$C$1, INDEX('Room Info'!$A$2:$A2446, MATCH(B1279,'Room Info'!$C$2:$C2446, 0)),IF(G1279='Room Info'!$D$1, INDEX('Room Info'!$A$2:$A2446, MATCH(B1279,'Room Info'!$D$2:$D2446, 0)),IF(G1279='Room Info'!$E$1, INDEX('Room Info'!$A$2:$A2446, MATCH(B1279,'Room Info'!$E$2:$E2446, 0)),IF(G1279='Room Info'!$F$1, INDEX('Room Info'!$A$2:$A2446, MATCH(B1279,'Room Info'!$F$2:$F2446, 0)),IF(G1279='Room Info'!$H$1, INDEX('Room Info'!$A$2:$A2446, MATCH(B1279,'Room Info'!$H$2:$H2446, 0)),IF(G1279='Room Info'!$G$1, INDEX('Room Info'!$A$2:$A2446, MATCH(B1279,'Room Info'!$G$2:$G2446, 0)))))))))</f>
        <v>supreme325i</v>
      </c>
      <c r="B1279" s="54" t="s">
        <v>117</v>
      </c>
      <c r="C1279" s="46">
        <v>44896</v>
      </c>
      <c r="D1279" s="46">
        <v>44926</v>
      </c>
      <c r="E1279" s="47">
        <v>44896</v>
      </c>
      <c r="F1279" s="48" t="s">
        <v>34</v>
      </c>
      <c r="G1279" s="54" t="s">
        <v>69</v>
      </c>
      <c r="H1279" s="49" t="s">
        <v>71</v>
      </c>
      <c r="I1279" s="49" t="s">
        <v>37</v>
      </c>
      <c r="J1279" s="50">
        <v>20</v>
      </c>
      <c r="K1279" s="51">
        <v>6733</v>
      </c>
      <c r="L1279" s="107">
        <v>1460</v>
      </c>
      <c r="M1279" s="53">
        <v>6617</v>
      </c>
      <c r="N1279" s="28">
        <f>K1279*J1279</f>
        <v>134660</v>
      </c>
      <c r="O1279" s="108">
        <v>237283</v>
      </c>
      <c r="P1279" s="29">
        <v>35.241794149999997</v>
      </c>
      <c r="Q1279" s="55"/>
      <c r="R1279" s="31">
        <f>M1279+Q1279</f>
        <v>6617</v>
      </c>
      <c r="S1279" s="109">
        <v>520</v>
      </c>
      <c r="T1279" s="32">
        <f>R1279+S1279+IF(F1279="Without EV deal",L1279,0)</f>
        <v>7137</v>
      </c>
      <c r="U1279" s="57">
        <v>1</v>
      </c>
      <c r="V1279" s="58"/>
      <c r="W1279" s="58"/>
      <c r="X1279" s="78">
        <v>0.12</v>
      </c>
      <c r="Y1279" s="30">
        <f>IF(AG1279="None",0,IF(AG1279="Fix5",0.05, IF(AG1279="Fix6.25",0.0625,IF(AG1279="Fix3.75",0.0375,IF(AG1279="Fix10",0.1,IF(AG1279="Fix3",0.03,0))))))</f>
        <v>0</v>
      </c>
      <c r="Z1279" s="35">
        <f>T1279-AA1279-AB1279</f>
        <v>6280.56</v>
      </c>
      <c r="AA1279" s="29">
        <f>IF(AD1279="EUR",((T1279-R1279)*X1279)*U1279+(R1279*X1279),(T1279*X1279))</f>
        <v>856.43999999999994</v>
      </c>
      <c r="AB1279" s="36">
        <f>IF(AD1279="EUR",((T1279-R1279)*Y1279)*U1279+(R1279*Y1279),(T1279*Y1279))</f>
        <v>0</v>
      </c>
      <c r="AC1279" s="37" t="b">
        <v>1</v>
      </c>
      <c r="AD1279" s="37" t="s">
        <v>38</v>
      </c>
      <c r="AE1279" s="37" t="s">
        <v>38</v>
      </c>
      <c r="AF1279" s="37" t="str">
        <f t="array" ref="AF1279">INDEX('Deal Info'!D:D, MATCH(A1279,'Deal Info'!A:A, 0))</f>
        <v>DoEVsu</v>
      </c>
      <c r="AG1279" s="38" t="str">
        <f t="array" ref="AG1279">INDEX('Deal Info'!G:G, MATCH(A1279,'Deal Info'!A:A, 0))</f>
        <v>None</v>
      </c>
    </row>
    <row r="1280" spans="1:33" ht="14.25" x14ac:dyDescent="0.2">
      <c r="A1280" s="18" t="str">
        <f t="array" ref="A1280">IF(G1280='Room Info'!$B$1, INDEX('Room Info'!$A$2:$A2446, MATCH(B1280,'Room Info'!$B$2:$B2446, 0)),IF(G1280='Room Info'!$C$1, INDEX('Room Info'!$A$2:$A2446, MATCH(B1280,'Room Info'!$C$2:$C2446, 0)),IF(G1280='Room Info'!$D$1, INDEX('Room Info'!$A$2:$A2446, MATCH(B1280,'Room Info'!$D$2:$D2446, 0)),IF(G1280='Room Info'!$E$1, INDEX('Room Info'!$A$2:$A2446, MATCH(B1280,'Room Info'!$E$2:$E2446, 0)),IF(G1280='Room Info'!$F$1, INDEX('Room Info'!$A$2:$A2446, MATCH(B1280,'Room Info'!$F$2:$F2446, 0)),IF(G1280='Room Info'!$H$1, INDEX('Room Info'!$A$2:$A2446, MATCH(B1280,'Room Info'!$H$2:$H2446, 0)),IF(G1280='Room Info'!$G$1, INDEX('Room Info'!$A$2:$A2446, MATCH(B1280,'Room Info'!$G$2:$G2446, 0)))))))))</f>
        <v>fortunate773</v>
      </c>
      <c r="B1280" s="45" t="s">
        <v>95</v>
      </c>
      <c r="C1280" s="46">
        <v>44958</v>
      </c>
      <c r="D1280" s="46">
        <v>44985</v>
      </c>
      <c r="E1280" s="90">
        <v>44958</v>
      </c>
      <c r="F1280" s="129" t="s">
        <v>49</v>
      </c>
      <c r="G1280" s="45" t="s">
        <v>61</v>
      </c>
      <c r="H1280" s="81" t="s">
        <v>100</v>
      </c>
      <c r="I1280" s="110" t="s">
        <v>101</v>
      </c>
      <c r="J1280" s="39">
        <v>500</v>
      </c>
      <c r="K1280" s="51">
        <v>243</v>
      </c>
      <c r="L1280" s="52">
        <v>-7500</v>
      </c>
      <c r="M1280" s="53"/>
      <c r="N1280" s="28">
        <f>K1280*J1280</f>
        <v>121500</v>
      </c>
      <c r="O1280" s="54">
        <v>2613</v>
      </c>
      <c r="P1280" s="29">
        <v>10.753086420000001</v>
      </c>
      <c r="Q1280" s="55"/>
      <c r="R1280" s="31">
        <f>M1280+Q1280*J1280*K1280*0.07</f>
        <v>0</v>
      </c>
      <c r="S1280" s="66">
        <f>-6129</f>
        <v>-6129</v>
      </c>
      <c r="T1280" s="32">
        <f>IF(AND(AD1280="EUR", F1280="Without EV deal"), R1280 + L1280,
IF(AND(AD1280="USD", F1280="Without EV deal"), R1280 + L1280,
IF(AND(AD1280="EUR", F1280="Steel Phoenix"), R1280 + S1280/U1280,
R1280 + S1280)))</f>
        <v>-6129</v>
      </c>
      <c r="U1280" s="57">
        <v>1.0620000000000001</v>
      </c>
      <c r="V1280" s="69"/>
      <c r="W1280" s="69"/>
      <c r="X1280" s="30">
        <f>IF(AF1280="DoEV",IF(AND(V1280&lt;20,W1280&lt;55),0.3,0)+IF(AND(V1280&lt;20,W1280&gt;=55,W1280&lt;105),0.23,0)+IF(AND(V1280&lt;20,W1280&gt;=105),0.17,0)+IF(AND(V1280&gt;=20,V1280&lt;40,W1280&lt;45),0.3,0)+IF(AND(V1280&gt;=20,V1280&lt;40,W1280&gt;=45,W1280&lt;95),0.23,0)+IF(AND(V1280&gt;=20,V1280&lt;40,W1280&gt;=95),0.17,0)+IF(AND(V1280&gt;=40,V1280&lt;75,W1280&lt;35),0.3,0)+IF(AND(V1280&gt;=40,V1280&lt;75,W1280&gt;=35,W1280&lt;75),0.23,0)+IF(AND(V1280&gt;=40,V1280&lt;75,W1280&gt;=75,W1280&lt;120),0.17,0)+IF(AND(V1280&gt;=40,V1280&lt;75,W1280&gt;=120),0.12,0)+IF(AND(V1280&gt;=75,V1280&lt;175,W1280&lt;35),0.3,0)+IF(AND(V1280&gt;=75,V1280&lt;=175,W1280&gt;=35,W1280&lt;65),0.23,0)+IF(AND(V1280&gt;=75,V1280&lt;=175,W1280&gt;=65,W1280&lt;110),0.17,0)+IF(AND(V1280&gt;=75,V1280&lt;=175,W1280&gt;=110),0.12,0)+IF(AND(V1280&gt;175,W1280&lt;25),0.3,0)+IF(AND(V1280&gt;175,W1280&gt;=25,W1280&lt;55),0.23,0)+IF(AND(V1280&gt;175,W1280&gt;=55,W1280&lt;95),0.17,0)+IF(AND(V1280&gt;175,W1280&gt;=95),0.12,0),
IF(AF1280="Fix15",0.15,
IF(AF1280="Fix5",0.05,
IF(AF1280="Fix18.75",0.1875,
IF(AF1280="Fix11.25",0.1125,
IF(AF1280="Fix10",0.1,
IF(AF1280="Fix9",0.09,
IF(AF1280="Fix12",0.12,
IF(AF1280="Fix19",0.19,
IF(AF1280="DoEV2017",IF(AND(W1280&lt;74),0.2,0)+IF(AND(W1280&gt;=74),0.17,0),
IF(AF1280="SF",IF(AND(V1280&lt;20,W1280&lt;89),0.3,0)+IF(AND(V1280&lt;20,W1280&gt;=89),0.25,0)+IF(AND(V1280&gt;=20,V1280&lt;40,W1280&lt;74),0.3,0)+IF(AND(V1280&gt;=20,V1280&lt;40,W1280&gt;=75),0.22,0)+IF(AND(V1280&gt;=40,V1280&lt;75,W1280&lt;75),0.26,0)+IF(AND(V1280&gt;=40,V1280&lt;75,W1280&gt;=75),0.22,0)+IF(V1280&gt;=75,0.22,0),
IF(AF1280="DoEVold",IF(AND(V1280&lt;40,W1280&lt;35),0.35,0)+IF(AND(V1280&lt;40,W1280&gt;=35,W1280&lt;75),0.25,0)+IF(AND(V1280&lt;40,W1280&gt;=75),0.17,0)+IF(AND(V1280&gt;=40,V1280&lt;75,W1280&lt;25),0.35,0)+IF(AND(V1280&gt;=40,V1280&lt;75,W1280&gt;=25,W1280&lt;65),0.25,0)+IF(AND(V1280&gt;=40,V1280&lt;75,W1280&gt;=65,W1280&lt;100),0.17,0)+IF(AND(V1280&gt;=40,V1280&lt;75,W1280&gt;=100),0.1,0)+IF(AND(V1280&gt;=75,W1280&lt;25),0.35,0)+IF(AND(V1280&gt;=75,W1280&gt;=25,W1280&lt;60),0.25,0)+IF(AND(V1280&gt;=75,W1280&gt;=60,W1280&lt;95),0.17,0)+IF(AND(V1280&gt;=75,W1280&gt;=95),0.1,0),
IF(AF1280="DoEVold15",IF(AND(V1280&lt;=40,W1280&lt;35),0.35,0)+IF(AND(V1280&lt;=40,W1280&gt;=35,W1280&lt;75),0.25,0)+IF(AND(V1280&lt;=40,W1280&gt;=75,W1280&lt;120),0.17,0)+IF(AND(V1280&lt;=40,W1280&gt;=120),0.15,0)+IF(AND(V1280&gt;40,V1280&lt;75,W1280&lt;25),0.35,0)+IF(AND(V1280&gt;=40,V1280&lt;75,W1280&gt;=25,W1280&lt;65),0.25,0)+IF(AND(V1280&gt;=40,V1280&lt;75,W1280&gt;=65,W1280&lt;100),0.17,0)+IF(AND(V1280&gt;=40,V1280&lt;75,W1280&gt;=100),0.1,0)+IF(AND(V1280&gt;=75,W1280&lt;25),0.35,0)+IF(AND(V1280&gt;=75,W1280&gt;=25,W1280&lt;60),0.25,0)+IF(AND(V1280&gt;=75,W1280&gt;=60,W1280&lt;95),0.17,0)+IF(AND(V1280&gt;=75,W1280&gt;=95),0.1,0),
IF(AF1280="DoEVba",IF(AND(V1280&lt;20,W1280&lt;105),0.2,0)+IF(AND(V1280&lt;20,W1280&gt;=105),0.15,0)+IF(AND(V1280&gt;=20,V1280&lt;40,W1280&lt;95),0.2,0)+IF(AND(V1280&gt;=20,V1280&lt;40,W1280&gt;=95,W1280&lt;150),0.15,0)+IF(AND(V1280&gt;=20,V1280&lt;40,W1280&gt;=150),0.12,0)+IF(AND(V1280&gt;=40,V1280&lt;75,W1280&lt;75),0.2,0)+IF(AND(V1280&gt;=40,V1280&lt;75,W1280&gt;=75,W1280&lt;120),0.15,0)+IF(AND(V1280&gt;=40,V1280&lt;75,W1280&gt;=120),0.12,0)+IF(AND(V1280&gt;=75,V1280&lt;175,W1280&lt;65),0.2,0)+IF(AND(V1280&gt;=75,V1280&lt;175,W1280&gt;=65,W1280&lt;110),0.15,0)+IF(AND(V1280&gt;=75,V1280&lt;175,W1280&gt;=110),0.12,0)+IF(AND(V1280&gt;=175,W1280&lt;55),0.2,0)+IF(AND(V1280&gt;=175,W1280&gt;=55,W1280&lt;95),0.15,0)+IF(AND(V1280&gt;=175,W1280&gt;=95),0.12,0),
IF(AF1280="DoEVku",IF(AND(V1280&lt;20,W1280&lt;55),0.23,0)+IF(AND(V1280&lt;20,W1280&gt;=55,W1280&lt;105),0.2,0)+IF(AND(V1280&lt;20,W1280&gt;=105),0.17,0)+IF(AND(V1280&gt;=20,V1280&lt;40,W1280&lt;45),0.23,0)+IF(AND(V1280&gt;=20,V1280&lt;40,W1280&gt;=45,W1280&lt;95),0.2,0)+IF(AND(V1280&gt;=20,V1280&lt;40,W1280&gt;=95,W1280&lt;=150),0.17,0)+IF(AND(V1280&gt;=20,V1280&lt;40,W1280&gt;=150),0.12,0)+IF(AND(V1280&gt;=40,V1280&lt;75,W1280&lt;35),0.23,0)+IF(AND(V1280&gt;=40,V1280&lt;75,W1280&gt;=35,W1280&lt;75),0.2,0)+IF(AND(V1280&gt;=40,V1280&lt;75,W1280&gt;=75,W1280&lt;120),0.17,0)+IF(AND(V1280&gt;=40,V1280&lt;75,W1280&gt;=120),0.12,0)+IF(AND(V1280&gt;=75,V1280&lt;175,W1280&lt;35),0.23,0)+IF(AND(V1280&gt;=75,V1280&lt;=175,W1280&gt;=35,W1280&lt;65),0.2,0)+IF(AND(V1280&gt;=75,V1280&lt;=175,W1280&gt;=65,W1280&lt;110),0.17,0)+IF(AND(V1280&gt;=75,V1280&lt;=175,W1280&gt;=110),0.12,0)+IF(AND(V1280&gt;175,W1280&lt;25),0.23,0)+IF(AND(V1280&gt;175,W1280&gt;=25,W1280&lt;55),0.2,0)+IF(AND(V1280&gt;175,W1280&gt;=55,W1280&lt;95),0.17,0)+IF(AND(V1280&gt;175,W1280&gt;=95),0.12,0),
IF(AF1280="DoEVs1",IF(AND(V1280&lt;20,W1280&lt;55),0.3,0)+IF(AND(V1280&lt;20,W1280&gt;=55,W1280&lt;105),0.23,0)+IF(AND(V1280&lt;20,W1280&gt;=105),0.17,0)+IF(AND(V1280&gt;=20,V1280&lt;40,W1280&lt;45),0.3,0)+IF(AND(V1280&gt;=20,V1280&lt;40,W1280&gt;=45,W1280&lt;95),0.23,0)+IF(AND(V1280&gt;=20,V1280&lt;40,W1280&gt;=95,W1280&lt;=150),0.17,0)+IF(AND(V1280&gt;=20,V1280&lt;40,W1280&gt;=150),0.12,0)+IF(AND(V1280&gt;=40,V1280&lt;75,W1280&lt;35),0.3,0)+IF(AND(V1280&gt;=40,V1280&lt;75,W1280&gt;=35,W1280&lt;75),0.23,0)+IF(AND(V1280&gt;=40,V1280&lt;75,W1280&gt;=75,W1280&lt;120),0.17,0)+IF(AND(V1280&gt;=40,V1280&lt;75,W1280&gt;=120),0.12,0)+IF(AND(V1280&gt;=75,V1280&lt;175,W1280&lt;35),0.3,0)+IF(AND(V1280&gt;=75,V1280&lt;=175,W1280&gt;=35,W1280&lt;65),0.23,0)+IF(AND(V1280&gt;=75,V1280&lt;=175,W1280&gt;=65,W1280&lt;110),0.17,0)+IF(AND(V1280&gt;=75,V1280&lt;=175,W1280&gt;=110),0.12,0)+IF(AND(V1280&gt;175,W1280&lt;25),0.3,0)+IF(AND(V1280&gt;175,W1280&gt;=25,W1280&lt;55),0.23,0)+IF(AND(V1280&gt;175,W1280&gt;=55,W1280&lt;95),0.17,0)+IF(AND(V1280&gt;175,W1280&gt;=95),0.12,0),
IF(AF1280="DoEVsu",IF(AND(V1280&lt;20,W1280&lt;55),0.3,0)+IF(AND(V1280&lt;20,W1280&gt;=55,W1280&lt;105),0.23,0)+IF(AND(V1280&lt;20,W1280&gt;=105),0.17,0)+IF(AND(V1280&gt;=20,V1280&lt;40,W1280&lt;45),0.3,0)+IF(AND(V1280&gt;=20,V1280&lt;40,W1280&gt;=45,W1280&lt;95),0.23,0)+IF(AND(V1280&gt;=20,V1280&lt;40,W1280&gt;=95,W1280&lt;=250),0.17,0)+IF(AND(V1280&gt;=20,V1280&lt;40,W1280&gt;=250),0.12,0)+IF(AND(V1280&gt;=40,V1280&lt;75,W1280&lt;35),0.3,0)+IF(AND(V1280&gt;=40,V1280&lt;75,W1280&gt;=35,W1280&lt;75),0.23,0)+IF(AND(V1280&gt;=40,V1280&lt;75,W1280&gt;=75,W1280&lt;120),0.17,0)+IF(AND(V1280&gt;=40,V1280&lt;75,W1280&gt;=120),0.12,0)+IF(AND(V1280&gt;=75,V1280&lt;175,W1280&lt;35),0.3,0)+IF(AND(V1280&gt;=75,V1280&lt;=175,W1280&gt;=35,W1280&lt;65),0.23,0)+IF(AND(V1280&gt;=75,V1280&lt;=175,W1280&gt;=65,W1280&lt;110),0.17,0)+IF(AND(V1280&gt;=75,V1280&lt;=175,W1280&gt;=110),0.12,0)+IF(AND(V1280&gt;175,W1280&lt;25),0.3,0)+IF(AND(V1280&gt;175,W1280&gt;=25,W1280&lt;55),0.23,0)+IF(AND(V1280&gt;175,W1280&gt;=55,W1280&lt;95),0.17,0)+IF(AND(V1280&gt;175,W1280&gt;=95),0.12,0),
IF(AF1280="DoEVni",IF(AND(V1280&lt;20,W1280&lt;55),0.3,0)+IF(AND(V1280&lt;20,W1280&gt;=55,W1280&lt;105),0.23,0)+IF(AND(V1280&lt;20,W1280&gt;=105),0.17,0)+IF(AND(V1280&gt;=20,V1280&lt;40,W1280&lt;45),0.3,0)+IF(AND(V1280&gt;=20,V1280&lt;40,W1280&gt;=45,W1280&lt;95),0.23,0)+IF(AND(V1280&gt;=20,V1280&lt;40,W1280&gt;=95,W1280&lt;=200),0.17,0)+IF(AND(V1280&gt;=20,V1280&lt;40,W1280&gt;=200),0.12,0)+IF(AND(V1280&gt;=40,V1280&lt;75,W1280&lt;35),0.3,0)+IF(AND(V1280&gt;=40,V1280&lt;75,W1280&gt;=35,W1280&lt;75),0.23,0)+IF(AND(V1280&gt;=40,V1280&lt;75,W1280&gt;=75,W1280&lt;120),0.17,0)+IF(AND(V1280&gt;=40,V1280&lt;75,W1280&gt;=120),0.12,0)+IF(AND(V1280&gt;=75,V1280&lt;175,W1280&lt;35),0.3,0)+IF(AND(V1280&gt;=75,V1280&lt;=175,W1280&gt;=35,W1280&lt;65),0.23,0)+IF(AND(V1280&gt;=75,V1280&lt;=175,W1280&gt;=65,W1280&lt;110),0.17,0)+IF(AND(V1280&gt;=75,V1280&lt;=175,W1280&gt;=110),0.12,0)+IF(AND(V1280&gt;175,W1280&lt;25),0.3,0)+IF(AND(V1280&gt;175,W1280&gt;=25,W1280&lt;55),0.23,0)+IF(AND(V1280&gt;175,W1280&gt;=55,W1280&lt;95),0.17,0)+IF(AND(V1280&gt;175,W1280&gt;=95),0.12,0),
IF(AF1280="DoEVLo",IF(AND(V1280&lt;20,W1280&lt;55),0.25,0)+IF(AND(V1280&lt;20,W1280&gt;=55,W1280&lt;105),0.2,0)+IF(AND(V1280&lt;20,W1280&gt;=105),0.15,0)+IF(AND(V1280&gt;=20,V1280&lt;40,W1280&lt;45),0.25,0)+IF(AND(V1280&gt;=20,V1280&lt;40,W1280&gt;=45,W1280&lt;95),0.2,0)+IF(AND(V1280&gt;=20,V1280&lt;40,W1280&gt;=95),0.15,0)+IF(AND(V1280&gt;=40,V1280&lt;75,W1280&lt;35),0.25,0)+IF(AND(V1280&gt;=40,V1280&lt;75,W1280&gt;=35,W1280&lt;75),0.2,0)+IF(AND(V1280&gt;=40,V1280&lt;75,W1280&gt;=75,W1280&lt;120),0.15,0)+IF(AND(V1280&gt;=40,V1280&lt;75,W1280&gt;=120),0.1,0)+IF(AND(V1280&gt;=75,V1280&lt;175,W1280&lt;35),0.25,0)+IF(AND(V1280&gt;=75,V1280&lt;=175,W1280&gt;=35,W1280&lt;65),0.2,0)+IF(AND(V1280&gt;=75,V1280&lt;=175,W1280&gt;=65,W1280&lt;110),0.15,0)+IF(AND(V1280&gt;=75,V1280&lt;=175,W1280&gt;=110),0.1,0)+IF(AND(V1280&gt;175,W1280&lt;25),0.25,0)+IF(AND(V1280&gt;175,W1280&gt;=25,W1280&lt;55),0.2,0)+IF(AND(V1280&gt;175,W1280&gt;=55,W1280&lt;95),0.15,0)+IF(AND(V1280&gt;175,W1280&gt;=95),0.1,0))))))))))))))))))))</f>
        <v>0.15</v>
      </c>
      <c r="Y1280" s="30">
        <f>IF(AG1280="None",0,IF(AG1280="Fix5",0.05, IF(AG1280="Fix6.25",0.0625,IF(AG1280="Fix3.75",0.0375, IF(AG1280="Fix11",0.11, IF(AG1280="Fix10",0.1,IF(AG1280="Fix3",0.03,0)))))))</f>
        <v>0.05</v>
      </c>
      <c r="Z1280" s="35">
        <f>IF(AND(AD1280="EUR", AE1280 = "USD"), T1280*U1280-AA1280-AB1280, T1280-AA1280-AB1280)</f>
        <v>-4903.2</v>
      </c>
      <c r="AA1280" s="29">
        <f>IF(AND(AD1280="EUR", F1280="Without EV deal", AE1280="USD"), (T1280*X1280)*U1280,
IF(AND(AD1280="EUR", F1280="Without EV deal", AE1280="EUR"), (T1280*X1280),
IF(AND(AD1280="EUR",AE1280="USD"), (T1280*X1280)*U1280,
T1280*X1280)))</f>
        <v>-919.35</v>
      </c>
      <c r="AB1280" s="36">
        <f>IF(AND(AD1280="EUR", F1280="Without EV deal", AE1280="USD"), (T1280*Y1280)*U1280,
IF(AND(AD1280="EUR", F1280="Without EV deal", AE1280="EUR"), (T1280*Y1280),
IF(AND(AD1280="EUR",AE1280="USD"), (T1280*Y1280)*U1280,
T1280*Y1280)))</f>
        <v>-306.45</v>
      </c>
      <c r="AC1280" s="37" t="b">
        <v>0</v>
      </c>
      <c r="AD1280" s="82" t="str">
        <f>IF(OR(H1280="€0.25 Flash",
H1280="€0.25(nitro) new",
H1280="€1",
H1280="€2",
H1280="€2 (bf 01.08)",
H1280="€5",
H1280="€5 (1M)",
H1280="€5 (bf 01.08)",
H1280="€5 (bf 05.05)",
H1280="€5 Nitro",
H1280="€5(wx) new",
H1280="€10",
H1280="€10 (1M)",
H1280="€10 (bf 01.08)",
H1280="€10 (bf 05.05)",
H1280="€10 (MP)",
H1280="€10 (old)",
H1280="€10 Nitro (bf 05.05)",
H1280="€10 Nitro (old)",
H1280="€10(wx) new",
H1280="€20",
H1280="€25",
H1280="€25 (bf 01.08)",
H1280="€25 (bf 05.05)",
H1280="€25 (MP)",
H1280="€25 (old)",
H1280="€25 Nitro",
H1280="€25 Nitro (bf 01.08)",
H1280="€25 Nitro (bf 05.05)",
H1280="€25(nitro) new",
H1280="€25(wx) new",
H1280="€50",
H1280="€50 (bf 01.08)",
H1280="€50 (bf 05.05)",
H1280="€50 (old)",
H1280="€50 Nitro",
H1280="€50 Nitro (bf 01.08)",
H1280="€50 Nitro (bf 05.05)",
H1280="€50(wx) new",
H1280="€100",
H1280="€100 (old)",
H1280="€100 Nitro",
H1280="€100 Nitro (old)",
H1280="€200",
H1280="€250",
H1280="€250 Nitro",
H1280="€500",
H1280="€500 Nitro"),"EUR", "USD")</f>
        <v>EUR</v>
      </c>
      <c r="AE1280" s="83" t="s">
        <v>50</v>
      </c>
      <c r="AF1280" s="83" t="str">
        <f t="array" ref="AF1280">INDEX('Deal Info'!D:D, MATCH(A1280,'Deal Info'!A:A, 0))</f>
        <v>Fix15</v>
      </c>
      <c r="AG1280" s="84" t="str">
        <f t="array" ref="AG1280">INDEX('Deal Info'!G:G, MATCH(A1280,'Deal Info'!A:A, 0))</f>
        <v>Fix5</v>
      </c>
    </row>
    <row r="1281" spans="1:33" ht="28.5" x14ac:dyDescent="0.2">
      <c r="A1281" s="18" t="str">
        <f t="array" ref="A1281">IF(G1281='Room Info'!$B$1, INDEX('Room Info'!$A$2:$A2446, MATCH(B1281,'Room Info'!$B$2:$B2446, 0)),IF(G1281='Room Info'!$C$1, INDEX('Room Info'!$A$2:$A2446, MATCH(B1281,'Room Info'!$C$2:$C2446, 0)),IF(G1281='Room Info'!$D$1, INDEX('Room Info'!$A$2:$A2446, MATCH(B1281,'Room Info'!$D$2:$D2446, 0)),IF(G1281='Room Info'!$E$1, INDEX('Room Info'!$A$2:$A2446, MATCH(B1281,'Room Info'!$E$2:$E2446, 0)),IF(G1281='Room Info'!$F$1, INDEX('Room Info'!$A$2:$A2446, MATCH(B1281,'Room Info'!$F$2:$F2446, 0)),IF(G1281='Room Info'!$H$1, INDEX('Room Info'!$A$2:$A2446, MATCH(B1281,'Room Info'!$H$2:$H2446, 0)),IF(G1281='Room Info'!$G$1, INDEX('Room Info'!$A$2:$A2446, MATCH(B1281,'Room Info'!$G$2:$G2446, 0)))))))))</f>
        <v>Lo4io</v>
      </c>
      <c r="B1281" s="130" t="s">
        <v>103</v>
      </c>
      <c r="C1281" s="86">
        <v>44947</v>
      </c>
      <c r="D1281" s="87">
        <v>44977</v>
      </c>
      <c r="E1281" s="47">
        <v>44958</v>
      </c>
      <c r="F1281" s="22" t="s">
        <v>34</v>
      </c>
      <c r="G1281" s="130" t="s">
        <v>61</v>
      </c>
      <c r="H1281" s="81" t="s">
        <v>104</v>
      </c>
      <c r="I1281" s="81" t="s">
        <v>101</v>
      </c>
      <c r="J1281" s="154">
        <v>50</v>
      </c>
      <c r="K1281" s="88">
        <v>693</v>
      </c>
      <c r="L1281" s="89">
        <v>-700</v>
      </c>
      <c r="M1281" s="44"/>
      <c r="N1281" s="28">
        <f>K1281*J1281</f>
        <v>34650</v>
      </c>
      <c r="O1281" s="130">
        <v>29237</v>
      </c>
      <c r="P1281" s="29">
        <v>42.189033190000004</v>
      </c>
      <c r="Q1281" s="78"/>
      <c r="R1281" s="31">
        <f>M1281+Q1281</f>
        <v>0</v>
      </c>
      <c r="S1281" s="119"/>
      <c r="T1281" s="32">
        <f>IF(AND(AD1281="EUR", F1281="Without EV deal"), R1281 + L1281,
IF(AND(AD1281="USD", F1281="Without EV deal"), R1281 + L1281,
IF(AND(AD1281="EUR", F1281="Steel Phoenix"), R1281 + S1281/U1281,
R1281 + S1281)))</f>
        <v>0</v>
      </c>
      <c r="U1281" s="33">
        <v>1.0669999999999999</v>
      </c>
      <c r="V1281" s="58">
        <v>37.325261419922953</v>
      </c>
      <c r="W1281" s="64">
        <v>65</v>
      </c>
      <c r="X1281" s="78">
        <f>IF(AF1281="DoEV",IF(AND(V1281&lt;20,W1281&lt;55),0.3,0)+IF(AND(V1281&lt;20,W1281&gt;=55,W1281&lt;105),0.23,0)+IF(AND(V1281&lt;20,W1281&gt;=105),0.17,0)+IF(AND(V1281&gt;=20,V1281&lt;40,W1281&lt;45),0.3,0)+IF(AND(V1281&gt;=20,V1281&lt;40,W1281&gt;=45,W1281&lt;95),0.23,0)+IF(AND(V1281&gt;=20,V1281&lt;40,W1281&gt;=95),0.17,0)+IF(AND(V1281&gt;=40,V1281&lt;75,W1281&lt;35),0.3,0)+IF(AND(V1281&gt;=40,V1281&lt;75,W1281&gt;=35,W1281&lt;75),0.23,0)+IF(AND(V1281&gt;=40,V1281&lt;75,W1281&gt;=75,W1281&lt;120),0.17,0)+IF(AND(V1281&gt;=40,V1281&lt;75,W1281&gt;=120),0.12,0)+IF(AND(V1281&gt;=75,V1281&lt;175,W1281&lt;35),0.3,0)+IF(AND(V1281&gt;=75,V1281&lt;=175,W1281&gt;=35,W1281&lt;65),0.23,0)+IF(AND(V1281&gt;=75,V1281&lt;=175,W1281&gt;=65,W1281&lt;110),0.17,0)+IF(AND(V1281&gt;=75,V1281&lt;=175,W1281&gt;=110),0.12,0)+IF(AND(V1281&gt;175,W1281&lt;25),0.3,0)+IF(AND(V1281&gt;175,W1281&gt;=25,W1281&lt;55),0.23,0)+IF(AND(V1281&gt;175,W1281&gt;=55,W1281&lt;95),0.17,0)+IF(AND(V1281&gt;175,W1281&gt;=95),0.12,0),
IF(AF1281="Fix15",0.15,
IF(AF1281="Fix5",0.05,
IF(AF1281="Fix18.75",0.1875,
IF(AF1281="Fix11.25",0.1125,
IF(AF1281="Fix10",0.1,
IF(AF1281="Fix9",0.09,
IF(AF1281="Fix12",0.12,
IF(AF1281="Fix19",0.19,
IF(AF1281="DoEV2017",IF(AND(W1281&lt;74),0.2,0)+IF(AND(W1281&gt;=74),0.17,0),
IF(AF1281="SF",IF(AND(V1281&lt;20,W1281&lt;89),0.3,0)+IF(AND(V1281&lt;20,W1281&gt;=89),0.25,0)+IF(AND(V1281&gt;=20,V1281&lt;40,W1281&lt;74),0.3,0)+IF(AND(V1281&gt;=20,V1281&lt;40,W1281&gt;=75),0.22,0)+IF(AND(V1281&gt;=40,V1281&lt;75,W1281&lt;75),0.26,0)+IF(AND(V1281&gt;=40,V1281&lt;75,W1281&gt;=75),0.22,0)+IF(V1281&gt;=75,0.22,0),
IF(AF1281="DoEVold",IF(AND(V1281&lt;40,W1281&lt;35),0.35,0)+IF(AND(V1281&lt;40,W1281&gt;=35,W1281&lt;75),0.25,0)+IF(AND(V1281&lt;40,W1281&gt;=75),0.17,0)+IF(AND(V1281&gt;=40,V1281&lt;75,W1281&lt;25),0.35,0)+IF(AND(V1281&gt;=40,V1281&lt;75,W1281&gt;=25,W1281&lt;65),0.25,0)+IF(AND(V1281&gt;=40,V1281&lt;75,W1281&gt;=65,W1281&lt;100),0.17,0)+IF(AND(V1281&gt;=40,V1281&lt;75,W1281&gt;=100),0.1,0)+IF(AND(V1281&gt;=75,W1281&lt;25),0.35,0)+IF(AND(V1281&gt;=75,W1281&gt;=25,W1281&lt;60),0.25,0)+IF(AND(V1281&gt;=75,W1281&gt;=60,W1281&lt;95),0.17,0)+IF(AND(V1281&gt;=75,W1281&gt;=95),0.1,0),
IF(AF1281="DoEVold15",IF(AND(V1281&lt;=40,W1281&lt;35),0.35,0)+IF(AND(V1281&lt;=40,W1281&gt;=35,W1281&lt;75),0.25,0)+IF(AND(V1281&lt;=40,W1281&gt;=75,W1281&lt;120),0.17,0)+IF(AND(V1281&lt;=40,W1281&gt;=120),0.15,0)+IF(AND(V1281&gt;40,V1281&lt;75,W1281&lt;25),0.35,0)+IF(AND(V1281&gt;=40,V1281&lt;75,W1281&gt;=25,W1281&lt;65),0.25,0)+IF(AND(V1281&gt;=40,V1281&lt;75,W1281&gt;=65,W1281&lt;100),0.17,0)+IF(AND(V1281&gt;=40,V1281&lt;75,W1281&gt;=100),0.1,0)+IF(AND(V1281&gt;=75,W1281&lt;25),0.35,0)+IF(AND(V1281&gt;=75,W1281&gt;=25,W1281&lt;60),0.25,0)+IF(AND(V1281&gt;=75,W1281&gt;=60,W1281&lt;95),0.17,0)+IF(AND(V1281&gt;=75,W1281&gt;=95),0.1,0),
IF(AF1281="DoEVba",IF(AND(V1281&lt;20,W1281&lt;105),0.2,0)+IF(AND(V1281&lt;20,W1281&gt;=105),0.15,0)+IF(AND(V1281&gt;=20,V1281&lt;40,W1281&lt;95),0.2,0)+IF(AND(V1281&gt;=20,V1281&lt;40,W1281&gt;=95,W1281&lt;150),0.15,0)+IF(AND(V1281&gt;=20,V1281&lt;40,W1281&gt;=150),0.12,0)+IF(AND(V1281&gt;=40,V1281&lt;75,W1281&lt;75),0.2,0)+IF(AND(V1281&gt;=40,V1281&lt;75,W1281&gt;=75,W1281&lt;120),0.15,0)+IF(AND(V1281&gt;=40,V1281&lt;75,W1281&gt;=120),0.12,0)+IF(AND(V1281&gt;=75,V1281&lt;175,W1281&lt;65),0.2,0)+IF(AND(V1281&gt;=75,V1281&lt;175,W1281&gt;=65,W1281&lt;110),0.15,0)+IF(AND(V1281&gt;=75,V1281&lt;175,W1281&gt;=110),0.12,0)+IF(AND(V1281&gt;=175,W1281&lt;55),0.2,0)+IF(AND(V1281&gt;=175,W1281&gt;=55,W1281&lt;95),0.15,0)+IF(AND(V1281&gt;=175,W1281&gt;=95),0.12,0),
IF(AF1281="DoEVku",IF(AND(V1281&lt;20,W1281&lt;55),0.23,0)+IF(AND(V1281&lt;20,W1281&gt;=55,W1281&lt;105),0.2,0)+IF(AND(V1281&lt;20,W1281&gt;=105),0.17,0)+IF(AND(V1281&gt;=20,V1281&lt;40,W1281&lt;45),0.23,0)+IF(AND(V1281&gt;=20,V1281&lt;40,W1281&gt;=45,W1281&lt;95),0.2,0)+IF(AND(V1281&gt;=20,V1281&lt;40,W1281&gt;=95,W1281&lt;=150),0.17,0)+IF(AND(V1281&gt;=20,V1281&lt;40,W1281&gt;=150),0.12,0)+IF(AND(V1281&gt;=40,V1281&lt;75,W1281&lt;35),0.23,0)+IF(AND(V1281&gt;=40,V1281&lt;75,W1281&gt;=35,W1281&lt;75),0.2,0)+IF(AND(V1281&gt;=40,V1281&lt;75,W1281&gt;=75,W1281&lt;120),0.17,0)+IF(AND(V1281&gt;=40,V1281&lt;75,W1281&gt;=120),0.12,0)+IF(AND(V1281&gt;=75,V1281&lt;175,W1281&lt;35),0.23,0)+IF(AND(V1281&gt;=75,V1281&lt;=175,W1281&gt;=35,W1281&lt;65),0.2,0)+IF(AND(V1281&gt;=75,V1281&lt;=175,W1281&gt;=65,W1281&lt;110),0.17,0)+IF(AND(V1281&gt;=75,V1281&lt;=175,W1281&gt;=110),0.12,0)+IF(AND(V1281&gt;175,W1281&lt;25),0.23,0)+IF(AND(V1281&gt;175,W1281&gt;=25,W1281&lt;55),0.2,0)+IF(AND(V1281&gt;175,W1281&gt;=55,W1281&lt;95),0.17,0)+IF(AND(V1281&gt;175,W1281&gt;=95),0.12,0),
IF(AF1281="DoEVs1",IF(AND(V1281&lt;20,W1281&lt;55),0.3,0)+IF(AND(V1281&lt;20,W1281&gt;=55,W1281&lt;105),0.23,0)+IF(AND(V1281&lt;20,W1281&gt;=105),0.17,0)+IF(AND(V1281&gt;=20,V1281&lt;40,W1281&lt;45),0.3,0)+IF(AND(V1281&gt;=20,V1281&lt;40,W1281&gt;=45,W1281&lt;95),0.23,0)+IF(AND(V1281&gt;=20,V1281&lt;40,W1281&gt;=95,W1281&lt;=150),0.17,0)+IF(AND(V1281&gt;=20,V1281&lt;40,W1281&gt;=150),0.12,0)+IF(AND(V1281&gt;=40,V1281&lt;75,W1281&lt;35),0.3,0)+IF(AND(V1281&gt;=40,V1281&lt;75,W1281&gt;=35,W1281&lt;75),0.23,0)+IF(AND(V1281&gt;=40,V1281&lt;75,W1281&gt;=75,W1281&lt;120),0.17,0)+IF(AND(V1281&gt;=40,V1281&lt;75,W1281&gt;=120),0.12,0)+IF(AND(V1281&gt;=75,V1281&lt;175,W1281&lt;35),0.3,0)+IF(AND(V1281&gt;=75,V1281&lt;=175,W1281&gt;=35,W1281&lt;65),0.23,0)+IF(AND(V1281&gt;=75,V1281&lt;=175,W1281&gt;=65,W1281&lt;110),0.17,0)+IF(AND(V1281&gt;=75,V1281&lt;=175,W1281&gt;=110),0.12,0)+IF(AND(V1281&gt;175,W1281&lt;25),0.3,0)+IF(AND(V1281&gt;175,W1281&gt;=25,W1281&lt;55),0.23,0)+IF(AND(V1281&gt;175,W1281&gt;=55,W1281&lt;95),0.17,0)+IF(AND(V1281&gt;175,W1281&gt;=95),0.12,0),
IF(AF1281="DoEVsu",IF(AND(V1281&lt;20,W1281&lt;55),0.3,0)+IF(AND(V1281&lt;20,W1281&gt;=55,W1281&lt;105),0.23,0)+IF(AND(V1281&lt;20,W1281&gt;=105),0.17,0)+IF(AND(V1281&gt;=20,V1281&lt;40,W1281&lt;45),0.3,0)+IF(AND(V1281&gt;=20,V1281&lt;40,W1281&gt;=45,W1281&lt;95),0.23,0)+IF(AND(V1281&gt;=20,V1281&lt;40,W1281&gt;=95,W1281&lt;=250),0.17,0)+IF(AND(V1281&gt;=20,V1281&lt;40,W1281&gt;=250),0.12,0)+IF(AND(V1281&gt;=40,V1281&lt;75,W1281&lt;35),0.3,0)+IF(AND(V1281&gt;=40,V1281&lt;75,W1281&gt;=35,W1281&lt;75),0.23,0)+IF(AND(V1281&gt;=40,V1281&lt;75,W1281&gt;=75,W1281&lt;120),0.17,0)+IF(AND(V1281&gt;=40,V1281&lt;75,W1281&gt;=120),0.12,0)+IF(AND(V1281&gt;=75,V1281&lt;175,W1281&lt;35),0.3,0)+IF(AND(V1281&gt;=75,V1281&lt;=175,W1281&gt;=35,W1281&lt;65),0.23,0)+IF(AND(V1281&gt;=75,V1281&lt;=175,W1281&gt;=65,W1281&lt;110),0.17,0)+IF(AND(V1281&gt;=75,V1281&lt;=175,W1281&gt;=110),0.12,0)+IF(AND(V1281&gt;175,W1281&lt;25),0.3,0)+IF(AND(V1281&gt;175,W1281&gt;=25,W1281&lt;55),0.23,0)+IF(AND(V1281&gt;175,W1281&gt;=55,W1281&lt;95),0.17,0)+IF(AND(V1281&gt;175,W1281&gt;=95),0.12,0),
IF(AF1281="DoEVni",IF(AND(V1281&lt;20,W1281&lt;55),0.3,0)+IF(AND(V1281&lt;20,W1281&gt;=55,W1281&lt;105),0.23,0)+IF(AND(V1281&lt;20,W1281&gt;=105),0.17,0)+IF(AND(V1281&gt;=20,V1281&lt;40,W1281&lt;45),0.3,0)+IF(AND(V1281&gt;=20,V1281&lt;40,W1281&gt;=45,W1281&lt;95),0.23,0)+IF(AND(V1281&gt;=20,V1281&lt;40,W1281&gt;=95,W1281&lt;=200),0.17,0)+IF(AND(V1281&gt;=20,V1281&lt;40,W1281&gt;=200),0.12,0)+IF(AND(V1281&gt;=40,V1281&lt;75,W1281&lt;35),0.3,0)+IF(AND(V1281&gt;=40,V1281&lt;75,W1281&gt;=35,W1281&lt;75),0.23,0)+IF(AND(V1281&gt;=40,V1281&lt;75,W1281&gt;=75,W1281&lt;120),0.17,0)+IF(AND(V1281&gt;=40,V1281&lt;75,W1281&gt;=120),0.12,0)+IF(AND(V1281&gt;=75,V1281&lt;175,W1281&lt;35),0.3,0)+IF(AND(V1281&gt;=75,V1281&lt;=175,W1281&gt;=35,W1281&lt;65),0.23,0)+IF(AND(V1281&gt;=75,V1281&lt;=175,W1281&gt;=65,W1281&lt;110),0.17,0)+IF(AND(V1281&gt;=75,V1281&lt;=175,W1281&gt;=110),0.12,0)+IF(AND(V1281&gt;175,W1281&lt;25),0.3,0)+IF(AND(V1281&gt;175,W1281&gt;=25,W1281&lt;55),0.23,0)+IF(AND(V1281&gt;175,W1281&gt;=55,W1281&lt;95),0.17,0)+IF(AND(V1281&gt;175,W1281&gt;=95),0.12,0),
IF(AF1281="DoEVLo",IF(AND(V1281&lt;20,W1281&lt;55),0.25,0)+IF(AND(V1281&lt;20,W1281&gt;=55,W1281&lt;105),0.2,0)+IF(AND(V1281&lt;20,W1281&gt;=105),0.15,0)+IF(AND(V1281&gt;=20,V1281&lt;40,W1281&lt;45),0.25,0)+IF(AND(V1281&gt;=20,V1281&lt;40,W1281&gt;=45,W1281&lt;95),0.2,0)+IF(AND(V1281&gt;=20,V1281&lt;40,W1281&gt;=95),0.15,0)+IF(AND(V1281&gt;=40,V1281&lt;75,W1281&lt;35),0.25,0)+IF(AND(V1281&gt;=40,V1281&lt;75,W1281&gt;=35,W1281&lt;75),0.2,0)+IF(AND(V1281&gt;=40,V1281&lt;75,W1281&gt;=75,W1281&lt;120),0.15,0)+IF(AND(V1281&gt;=40,V1281&lt;75,W1281&gt;=120),0.1,0)+IF(AND(V1281&gt;=75,V1281&lt;175,W1281&lt;35),0.25,0)+IF(AND(V1281&gt;=75,V1281&lt;=175,W1281&gt;=35,W1281&lt;65),0.2,0)+IF(AND(V1281&gt;=75,V1281&lt;=175,W1281&gt;=65,W1281&lt;110),0.15,0)+IF(AND(V1281&gt;=75,V1281&lt;=175,W1281&gt;=110),0.1,0)+IF(AND(V1281&gt;175,W1281&lt;25),0.25,0)+IF(AND(V1281&gt;175,W1281&gt;=25,W1281&lt;55),0.2,0)+IF(AND(V1281&gt;175,W1281&gt;=55,W1281&lt;95),0.15,0)+IF(AND(V1281&gt;175,W1281&gt;=95),0.1,0))))))))))))))))))))</f>
        <v>0.2</v>
      </c>
      <c r="Y1281" s="30">
        <f>IF(AG1281="None",0,IF(AG1281="Fix5",0.05, IF(AG1281="Fix6.25",0.0625,IF(AG1281="Fix3.75",0.0375, IF(AG1281="Fix11",0.11, IF(AG1281="Fix10",0.1,IF(AG1281="Fix3",0.03,0)))))))</f>
        <v>0</v>
      </c>
      <c r="Z1281" s="35">
        <f>IF(AND(AD1281="EUR", AE1281 = "USD"), T1281*U1281-AA1281-AB1281, T1281-AA1281-AB1281)</f>
        <v>0</v>
      </c>
      <c r="AA1281" s="29">
        <f>IF(AND(AD1281="EUR", F1281="Without EV deal", AE1281="USD"), (T1281*X1281)*U1281,
IF(AND(AD1281="EUR", F1281="Without EV deal", AE1281="EUR"), (T1281*X1281),
IF(AND(AD1281="EUR",AE1281="USD"), (T1281*X1281)*U1281,
T1281*X1281)))</f>
        <v>0</v>
      </c>
      <c r="AB1281" s="36">
        <f>IF(AND(AD1281="EUR", F1281="Without EV deal", AE1281="USD"), (T1281*Y1281)*U1281,
IF(AND(AD1281="EUR", F1281="Without EV deal", AE1281="EUR"), (T1281*Y1281),
IF(AND(AD1281="EUR",AE1281="USD"), (T1281*Y1281)*U1281,
T1281*Y1281)))</f>
        <v>0</v>
      </c>
      <c r="AC1281" s="37" t="b">
        <v>1</v>
      </c>
      <c r="AD1281" s="61" t="str">
        <f>IF(OR(H1281="€0.25 Flash",
H1281="€0.25(nitro) new",
H1281="€1",
H1281="€2",
H1281="€2 (bf 01.08)",
H1281="€5",
H1281="€5 (1M)",
H1281="€5 (bf 01.08)",
H1281="€5 (bf 05.05)",
H1281="€5 Nitro",
H1281="€5(wx) new",
H1281="€10",
H1281="€10 (1M)",
H1281="€10 (bf 01.08)",
H1281="€10 (bf 05.05)",
H1281="€10 (MP)",
H1281="€10 (old)",
H1281="€10 Nitro (bf 05.05)",
H1281="€10 Nitro (old)",
H1281="€10(wx) new",
H1281="€20",
H1281="€25",
H1281="€25 (bf 01.08)",
H1281="€25 (bf 05.05)",
H1281="€25 (MP)",
H1281="€25 (old)",
H1281="€25 Nitro",
H1281="€25 Nitro (bf 01.08)",
H1281="€25 Nitro (bf 05.05)",
H1281="€25(nitro) new",
H1281="€25(wx) new",
H1281="€50",
H1281="€50 (bf 01.08)",
H1281="€50 (bf 05.05)",
H1281="€50 (old)",
H1281="€50 Nitro",
H1281="€50 Nitro (bf 01.08)",
H1281="€50 Nitro (bf 05.05)",
H1281="€50(wx) new",
H1281="€100",
H1281="€100 (old)",
H1281="€100 Nitro",
H1281="€100 Nitro (old)",
H1281="€200",
H1281="€250",
H1281="€250 Nitro",
H1281="€500",
H1281="€500 Nitro"),"EUR", "USD")</f>
        <v>EUR</v>
      </c>
      <c r="AE1281" s="61" t="s">
        <v>38</v>
      </c>
      <c r="AF1281" s="37" t="str">
        <f t="array" ref="AF1281">INDEX('Deal Info'!D:D, MATCH(A1281,'Deal Info'!A:A, 0))</f>
        <v>DoEVLo</v>
      </c>
      <c r="AG1281" s="38" t="str">
        <f t="array" ref="AG1281">INDEX('Deal Info'!G:G, MATCH(A1281,'Deal Info'!A:A, 0))</f>
        <v>None</v>
      </c>
    </row>
    <row r="1282" spans="1:33" ht="14.25" hidden="1" x14ac:dyDescent="0.2">
      <c r="A1282" s="18" t="str">
        <f t="array" ref="A1282">IF(G1282='Room Info'!$B$1, INDEX('Room Info'!$A$2:$A2446, MATCH(B1282,'Room Info'!$B$2:$B2446, 0)),IF(G1282='Room Info'!$C$1, INDEX('Room Info'!$A$2:$A2446, MATCH(B1282,'Room Info'!$C$2:$C2446, 0)),IF(G1282='Room Info'!$D$1, INDEX('Room Info'!$A$2:$A2446, MATCH(B1282,'Room Info'!$D$2:$D2446, 0)),IF(G1282='Room Info'!$E$1, INDEX('Room Info'!$A$2:$A2446, MATCH(B1282,'Room Info'!$E$2:$E2446, 0)),IF(G1282='Room Info'!$F$1, INDEX('Room Info'!$A$2:$A2446, MATCH(B1282,'Room Info'!$F$2:$F2446, 0)),IF(G1282='Room Info'!$H$1, INDEX('Room Info'!$A$2:$A2446, MATCH(B1282,'Room Info'!$H$2:$H2446, 0)),IF(G1282='Room Info'!$G$1, INDEX('Room Info'!$A$2:$A2446, MATCH(B1282,'Room Info'!$G$2:$G2446, 0)))))))))</f>
        <v>TVREZ</v>
      </c>
      <c r="B1282" s="45" t="s">
        <v>204</v>
      </c>
      <c r="C1282" s="46">
        <v>44805</v>
      </c>
      <c r="D1282" s="46">
        <v>44834</v>
      </c>
      <c r="E1282" s="47">
        <v>44805</v>
      </c>
      <c r="F1282" s="48" t="s">
        <v>49</v>
      </c>
      <c r="G1282" s="54" t="s">
        <v>35</v>
      </c>
      <c r="H1282" s="49" t="s">
        <v>46</v>
      </c>
      <c r="I1282" s="49" t="s">
        <v>37</v>
      </c>
      <c r="J1282" s="50">
        <v>25</v>
      </c>
      <c r="K1282" s="51">
        <v>3595</v>
      </c>
      <c r="L1282" s="52">
        <v>3875</v>
      </c>
      <c r="M1282" s="53">
        <v>3837</v>
      </c>
      <c r="N1282" s="28">
        <f>K1282*J1282</f>
        <v>89875</v>
      </c>
      <c r="O1282" s="54">
        <v>143551</v>
      </c>
      <c r="P1282" s="29">
        <v>39.930737129999997</v>
      </c>
      <c r="Q1282" s="55"/>
      <c r="R1282" s="31">
        <f>M1282+Q1282</f>
        <v>3837</v>
      </c>
      <c r="S1282" s="56">
        <v>1306</v>
      </c>
      <c r="T1282" s="32">
        <f>R1282+S1282+IF(F1282="Without EV deal",L1282,0)</f>
        <v>5143</v>
      </c>
      <c r="U1282" s="57">
        <v>1</v>
      </c>
      <c r="V1282" s="58"/>
      <c r="W1282" s="58"/>
      <c r="X1282" s="78">
        <v>0.17</v>
      </c>
      <c r="Y1282" s="78">
        <v>0</v>
      </c>
      <c r="Z1282" s="35">
        <f>T1282-AA1282-AB1282</f>
        <v>4268.6899999999996</v>
      </c>
      <c r="AA1282" s="29">
        <f>IF(AD1282="EUR",((T1282-R1282)*X1282)*U1282+(R1282*X1282),(T1282*X1282))</f>
        <v>874.31000000000006</v>
      </c>
      <c r="AB1282" s="36">
        <f>IF(AD1282="EUR",((T1282-R1282)*Y1282)*U1282+(R1282*Y1282),(T1282*Y1282))</f>
        <v>0</v>
      </c>
      <c r="AC1282" s="37" t="b">
        <v>1</v>
      </c>
      <c r="AD1282" s="37" t="s">
        <v>38</v>
      </c>
      <c r="AE1282" s="37" t="s">
        <v>38</v>
      </c>
      <c r="AF1282" s="37" t="str">
        <f t="array" ref="AF1282">INDEX('Deal Info'!D:D, MATCH(A1282,'Deal Info'!A:A, 0))</f>
        <v>DoEV</v>
      </c>
      <c r="AG1282" s="38" t="str">
        <f t="array" ref="AG1282">INDEX('Deal Info'!G:G, MATCH(A1282,'Deal Info'!A:A, 0))</f>
        <v>Fix10</v>
      </c>
    </row>
    <row r="1283" spans="1:33" ht="14.25" hidden="1" x14ac:dyDescent="0.2">
      <c r="A1283" s="18" t="str">
        <f t="array" ref="A1283">IF(G1283='Room Info'!$B$1, INDEX('Room Info'!$A$2:$A2446, MATCH(B1283,'Room Info'!$B$2:$B2446, 0)),IF(G1283='Room Info'!$C$1, INDEX('Room Info'!$A$2:$A2446, MATCH(B1283,'Room Info'!$C$2:$C2446, 0)),IF(G1283='Room Info'!$D$1, INDEX('Room Info'!$A$2:$A2446, MATCH(B1283,'Room Info'!$D$2:$D2446, 0)),IF(G1283='Room Info'!$E$1, INDEX('Room Info'!$A$2:$A2446, MATCH(B1283,'Room Info'!$E$2:$E2446, 0)),IF(G1283='Room Info'!$F$1, INDEX('Room Info'!$A$2:$A2446, MATCH(B1283,'Room Info'!$F$2:$F2446, 0)),IF(G1283='Room Info'!$H$1, INDEX('Room Info'!$A$2:$A2446, MATCH(B1283,'Room Info'!$H$2:$H2446, 0)),IF(G1283='Room Info'!$G$1, INDEX('Room Info'!$A$2:$A2446, MATCH(B1283,'Room Info'!$G$2:$G2446, 0)))))))))</f>
        <v>TVREZ</v>
      </c>
      <c r="B1283" s="45" t="s">
        <v>204</v>
      </c>
      <c r="C1283" s="46">
        <v>44805</v>
      </c>
      <c r="D1283" s="46">
        <v>44834</v>
      </c>
      <c r="E1283" s="47">
        <v>44835</v>
      </c>
      <c r="F1283" s="48" t="s">
        <v>41</v>
      </c>
      <c r="G1283" s="45" t="s">
        <v>35</v>
      </c>
      <c r="H1283" s="49" t="s">
        <v>72</v>
      </c>
      <c r="I1283" s="49" t="s">
        <v>37</v>
      </c>
      <c r="J1283" s="50">
        <v>50</v>
      </c>
      <c r="K1283" s="51">
        <v>20</v>
      </c>
      <c r="L1283" s="52">
        <v>50</v>
      </c>
      <c r="M1283" s="53">
        <v>43</v>
      </c>
      <c r="N1283" s="28">
        <f>K1283*J1283</f>
        <v>1000</v>
      </c>
      <c r="O1283" s="54">
        <v>1017</v>
      </c>
      <c r="P1283" s="29">
        <v>50.85</v>
      </c>
      <c r="Q1283" s="55"/>
      <c r="R1283" s="31">
        <f>M1283+Q1283</f>
        <v>43</v>
      </c>
      <c r="S1283" s="56"/>
      <c r="T1283" s="32">
        <f>R1283+S1283+IF(F1283="Without EV deal",L1283,0)</f>
        <v>93</v>
      </c>
      <c r="U1283" s="57">
        <v>1</v>
      </c>
      <c r="V1283" s="58"/>
      <c r="W1283" s="58"/>
      <c r="X1283" s="78">
        <v>0.17</v>
      </c>
      <c r="Y1283" s="78">
        <v>0</v>
      </c>
      <c r="Z1283" s="35">
        <f>T1283-AA1283-AB1283</f>
        <v>77.19</v>
      </c>
      <c r="AA1283" s="29">
        <f>IF(AD1283="EUR",((T1283-R1283)*X1283)*U1283+(R1283*X1283),(T1283*X1283))</f>
        <v>15.81</v>
      </c>
      <c r="AB1283" s="36">
        <f>IF(AD1283="EUR",((T1283-R1283)*Y1283)*U1283+(R1283*Y1283),(T1283*Y1283))</f>
        <v>0</v>
      </c>
      <c r="AC1283" s="37" t="b">
        <v>1</v>
      </c>
      <c r="AD1283" s="37" t="s">
        <v>38</v>
      </c>
      <c r="AE1283" s="37" t="s">
        <v>38</v>
      </c>
      <c r="AF1283" s="37" t="str">
        <f t="array" ref="AF1283">INDEX('Deal Info'!D:D, MATCH(A1283,'Deal Info'!A:A, 0))</f>
        <v>DoEV</v>
      </c>
      <c r="AG1283" s="38" t="str">
        <f t="array" ref="AG1283">INDEX('Deal Info'!G:G, MATCH(A1283,'Deal Info'!A:A, 0))</f>
        <v>Fix10</v>
      </c>
    </row>
    <row r="1284" spans="1:33" ht="14.25" hidden="1" x14ac:dyDescent="0.2">
      <c r="A1284" s="18" t="str">
        <f t="array" ref="A1284">IF(G1284='Room Info'!$B$1, INDEX('Room Info'!$A$2:$A2446, MATCH(B1284,'Room Info'!$B$2:$B2446, 0)),IF(G1284='Room Info'!$C$1, INDEX('Room Info'!$A$2:$A2446, MATCH(B1284,'Room Info'!$C$2:$C2446, 0)),IF(G1284='Room Info'!$D$1, INDEX('Room Info'!$A$2:$A2446, MATCH(B1284,'Room Info'!$D$2:$D2446, 0)),IF(G1284='Room Info'!$E$1, INDEX('Room Info'!$A$2:$A2446, MATCH(B1284,'Room Info'!$E$2:$E2446, 0)),IF(G1284='Room Info'!$F$1, INDEX('Room Info'!$A$2:$A2446, MATCH(B1284,'Room Info'!$F$2:$F2446, 0)),IF(G1284='Room Info'!$H$1, INDEX('Room Info'!$A$2:$A2446, MATCH(B1284,'Room Info'!$H$2:$H2446, 0)),IF(G1284='Room Info'!$G$1, INDEX('Room Info'!$A$2:$A2446, MATCH(B1284,'Room Info'!$G$2:$G2446, 0)))))))))</f>
        <v>TVREZ</v>
      </c>
      <c r="B1284" s="45" t="s">
        <v>204</v>
      </c>
      <c r="C1284" s="46">
        <v>44835</v>
      </c>
      <c r="D1284" s="46">
        <v>44865</v>
      </c>
      <c r="E1284" s="47">
        <v>44835</v>
      </c>
      <c r="F1284" s="48" t="s">
        <v>49</v>
      </c>
      <c r="G1284" s="45" t="s">
        <v>35</v>
      </c>
      <c r="H1284" s="49" t="s">
        <v>46</v>
      </c>
      <c r="I1284" s="49" t="s">
        <v>37</v>
      </c>
      <c r="J1284" s="50">
        <v>25</v>
      </c>
      <c r="K1284" s="51">
        <v>2060</v>
      </c>
      <c r="L1284" s="52">
        <v>2550</v>
      </c>
      <c r="M1284" s="53">
        <v>2081</v>
      </c>
      <c r="N1284" s="28">
        <f>K1284*J1284</f>
        <v>51500</v>
      </c>
      <c r="O1284" s="54">
        <v>97258</v>
      </c>
      <c r="P1284" s="29">
        <v>47.21262136</v>
      </c>
      <c r="Q1284" s="55"/>
      <c r="R1284" s="31">
        <f>M1284+Q1284</f>
        <v>2081</v>
      </c>
      <c r="S1284" s="56">
        <v>932</v>
      </c>
      <c r="T1284" s="32">
        <f>R1284+S1284+IF(F1284="Without EV deal",L1284,0)</f>
        <v>3013</v>
      </c>
      <c r="U1284" s="57">
        <v>1</v>
      </c>
      <c r="V1284" s="58"/>
      <c r="W1284" s="58"/>
      <c r="X1284" s="78">
        <v>0.23</v>
      </c>
      <c r="Y1284" s="78">
        <v>0</v>
      </c>
      <c r="Z1284" s="35">
        <f>T1284-AA1284-AB1284</f>
        <v>2320.0100000000002</v>
      </c>
      <c r="AA1284" s="29">
        <f>IF(AD1284="EUR",((T1284-R1284)*X1284)*U1284+(R1284*X1284),(T1284*X1284))</f>
        <v>692.99</v>
      </c>
      <c r="AB1284" s="36">
        <f>IF(AD1284="EUR",((T1284-R1284)*Y1284)*U1284+(R1284*Y1284),(T1284*Y1284))</f>
        <v>0</v>
      </c>
      <c r="AC1284" s="37" t="b">
        <v>1</v>
      </c>
      <c r="AD1284" s="37" t="s">
        <v>38</v>
      </c>
      <c r="AE1284" s="37" t="s">
        <v>38</v>
      </c>
      <c r="AF1284" s="37" t="str">
        <f t="array" ref="AF1284">INDEX('Deal Info'!D:D, MATCH(A1284,'Deal Info'!A:A, 0))</f>
        <v>DoEV</v>
      </c>
      <c r="AG1284" s="38" t="str">
        <f t="array" ref="AG1284">INDEX('Deal Info'!G:G, MATCH(A1284,'Deal Info'!A:A, 0))</f>
        <v>Fix10</v>
      </c>
    </row>
    <row r="1285" spans="1:33" ht="14.25" hidden="1" x14ac:dyDescent="0.2">
      <c r="A1285" s="18" t="str">
        <f t="array" ref="A1285">IF(G1285='Room Info'!$B$1, INDEX('Room Info'!$A$2:$A2446, MATCH(B1285,'Room Info'!$B$2:$B2446, 0)),IF(G1285='Room Info'!$C$1, INDEX('Room Info'!$A$2:$A2446, MATCH(B1285,'Room Info'!$C$2:$C2446, 0)),IF(G1285='Room Info'!$D$1, INDEX('Room Info'!$A$2:$A2446, MATCH(B1285,'Room Info'!$D$2:$D2446, 0)),IF(G1285='Room Info'!$E$1, INDEX('Room Info'!$A$2:$A2446, MATCH(B1285,'Room Info'!$E$2:$E2446, 0)),IF(G1285='Room Info'!$F$1, INDEX('Room Info'!$A$2:$A2446, MATCH(B1285,'Room Info'!$F$2:$F2446, 0)),IF(G1285='Room Info'!$H$1, INDEX('Room Info'!$A$2:$A2446, MATCH(B1285,'Room Info'!$H$2:$H2446, 0)),IF(G1285='Room Info'!$G$1, INDEX('Room Info'!$A$2:$A2446, MATCH(B1285,'Room Info'!$G$2:$G2446, 0)))))))))</f>
        <v>TVREZ</v>
      </c>
      <c r="B1285" s="45" t="s">
        <v>204</v>
      </c>
      <c r="C1285" s="46">
        <v>44849</v>
      </c>
      <c r="D1285" s="46">
        <v>44865</v>
      </c>
      <c r="E1285" s="47">
        <v>44835</v>
      </c>
      <c r="F1285" s="48" t="s">
        <v>49</v>
      </c>
      <c r="G1285" s="45" t="s">
        <v>35</v>
      </c>
      <c r="H1285" s="49" t="s">
        <v>72</v>
      </c>
      <c r="I1285" s="49" t="s">
        <v>37</v>
      </c>
      <c r="J1285" s="50">
        <v>50</v>
      </c>
      <c r="K1285" s="51">
        <v>736</v>
      </c>
      <c r="L1285" s="52">
        <v>-2900</v>
      </c>
      <c r="M1285" s="53">
        <v>1489</v>
      </c>
      <c r="N1285" s="28">
        <f>K1285*J1285</f>
        <v>36800</v>
      </c>
      <c r="O1285" s="54">
        <v>-4231</v>
      </c>
      <c r="P1285" s="29">
        <v>-5.7486413040000004</v>
      </c>
      <c r="Q1285" s="55"/>
      <c r="R1285" s="31">
        <f>M1285+Q1285</f>
        <v>1489</v>
      </c>
      <c r="S1285" s="56">
        <v>-2929</v>
      </c>
      <c r="T1285" s="32">
        <f>R1285+S1285+IF(F1285="Without EV deal",L1285,0)</f>
        <v>-1440</v>
      </c>
      <c r="U1285" s="57">
        <v>1</v>
      </c>
      <c r="V1285" s="58"/>
      <c r="W1285" s="58"/>
      <c r="X1285" s="78">
        <v>0.23</v>
      </c>
      <c r="Y1285" s="78">
        <v>0</v>
      </c>
      <c r="Z1285" s="35">
        <f>T1285-AA1285-AB1285</f>
        <v>-1108.8</v>
      </c>
      <c r="AA1285" s="29">
        <f>IF(AD1285="EUR",((T1285-R1285)*X1285)*U1285+(R1285*X1285),(T1285*X1285))</f>
        <v>-331.2</v>
      </c>
      <c r="AB1285" s="36">
        <f>IF(AD1285="EUR",((T1285-R1285)*Y1285)*U1285+(R1285*Y1285),(T1285*Y1285))</f>
        <v>0</v>
      </c>
      <c r="AC1285" s="37" t="b">
        <v>1</v>
      </c>
      <c r="AD1285" s="37" t="s">
        <v>38</v>
      </c>
      <c r="AE1285" s="37" t="s">
        <v>38</v>
      </c>
      <c r="AF1285" s="37" t="str">
        <f t="array" ref="AF1285">INDEX('Deal Info'!D:D, MATCH(A1285,'Deal Info'!A:A, 0))</f>
        <v>DoEV</v>
      </c>
      <c r="AG1285" s="38" t="str">
        <f t="array" ref="AG1285">INDEX('Deal Info'!G:G, MATCH(A1285,'Deal Info'!A:A, 0))</f>
        <v>Fix10</v>
      </c>
    </row>
    <row r="1286" spans="1:33" ht="14.25" hidden="1" x14ac:dyDescent="0.2">
      <c r="A1286" s="18" t="str">
        <f t="array" ref="A1286">IF(G1286='Room Info'!$B$1, INDEX('Room Info'!$A$2:$A2446, MATCH(B1286,'Room Info'!$B$2:$B2446, 0)),IF(G1286='Room Info'!$C$1, INDEX('Room Info'!$A$2:$A2446, MATCH(B1286,'Room Info'!$C$2:$C2446, 0)),IF(G1286='Room Info'!$D$1, INDEX('Room Info'!$A$2:$A2446, MATCH(B1286,'Room Info'!$D$2:$D2446, 0)),IF(G1286='Room Info'!$E$1, INDEX('Room Info'!$A$2:$A2446, MATCH(B1286,'Room Info'!$E$2:$E2446, 0)),IF(G1286='Room Info'!$F$1, INDEX('Room Info'!$A$2:$A2446, MATCH(B1286,'Room Info'!$F$2:$F2446, 0)),IF(G1286='Room Info'!$H$1, INDEX('Room Info'!$A$2:$A2446, MATCH(B1286,'Room Info'!$H$2:$H2446, 0)),IF(G1286='Room Info'!$G$1, INDEX('Room Info'!$A$2:$A2446, MATCH(B1286,'Room Info'!$G$2:$G2446, 0)))))))))</f>
        <v>TVREZ</v>
      </c>
      <c r="B1286" s="45" t="s">
        <v>204</v>
      </c>
      <c r="C1286" s="46">
        <v>44866</v>
      </c>
      <c r="D1286" s="46">
        <v>44895</v>
      </c>
      <c r="E1286" s="47">
        <v>44866</v>
      </c>
      <c r="F1286" s="48" t="s">
        <v>49</v>
      </c>
      <c r="G1286" s="45" t="s">
        <v>35</v>
      </c>
      <c r="H1286" s="49" t="s">
        <v>46</v>
      </c>
      <c r="I1286" s="49" t="s">
        <v>37</v>
      </c>
      <c r="J1286" s="50">
        <v>25</v>
      </c>
      <c r="K1286" s="51">
        <v>3619</v>
      </c>
      <c r="L1286" s="52">
        <v>-500</v>
      </c>
      <c r="M1286" s="53">
        <v>3738</v>
      </c>
      <c r="N1286" s="28">
        <f>K1286*J1286</f>
        <v>90475</v>
      </c>
      <c r="O1286" s="54">
        <v>56968</v>
      </c>
      <c r="P1286" s="29">
        <v>15.74136502</v>
      </c>
      <c r="Q1286" s="55"/>
      <c r="R1286" s="31">
        <f>M1286+Q1286</f>
        <v>3738</v>
      </c>
      <c r="S1286" s="56">
        <v>-3424</v>
      </c>
      <c r="T1286" s="32">
        <f>R1286+S1286+IF(F1286="Without EV deal",L1286,0)</f>
        <v>314</v>
      </c>
      <c r="U1286" s="57">
        <v>1</v>
      </c>
      <c r="V1286" s="58"/>
      <c r="W1286" s="58"/>
      <c r="X1286" s="78">
        <v>0.3</v>
      </c>
      <c r="Y1286" s="78">
        <v>0</v>
      </c>
      <c r="Z1286" s="35">
        <f>T1286-AA1286-AB1286</f>
        <v>219.8</v>
      </c>
      <c r="AA1286" s="29">
        <f>IF(AD1286="EUR",((T1286-R1286)*X1286)*U1286+(R1286*X1286),(T1286*X1286))</f>
        <v>94.2</v>
      </c>
      <c r="AB1286" s="36">
        <f>IF(AD1286="EUR",((T1286-R1286)*Y1286)*U1286+(R1286*Y1286),(T1286*Y1286))</f>
        <v>0</v>
      </c>
      <c r="AC1286" s="37" t="b">
        <v>1</v>
      </c>
      <c r="AD1286" s="37" t="s">
        <v>38</v>
      </c>
      <c r="AE1286" s="37" t="s">
        <v>38</v>
      </c>
      <c r="AF1286" s="37" t="str">
        <f t="array" ref="AF1286">INDEX('Deal Info'!D:D, MATCH(A1286,'Deal Info'!A:A, 0))</f>
        <v>DoEV</v>
      </c>
      <c r="AG1286" s="38" t="str">
        <f t="array" ref="AG1286">INDEX('Deal Info'!G:G, MATCH(A1286,'Deal Info'!A:A, 0))</f>
        <v>Fix10</v>
      </c>
    </row>
    <row r="1287" spans="1:33" ht="14.25" hidden="1" x14ac:dyDescent="0.2">
      <c r="A1287" s="18" t="str">
        <f t="array" ref="A1287">IF(G1287='Room Info'!$B$1, INDEX('Room Info'!$A$2:$A2446, MATCH(B1287,'Room Info'!$B$2:$B2446, 0)),IF(G1287='Room Info'!$C$1, INDEX('Room Info'!$A$2:$A2446, MATCH(B1287,'Room Info'!$C$2:$C2446, 0)),IF(G1287='Room Info'!$D$1, INDEX('Room Info'!$A$2:$A2446, MATCH(B1287,'Room Info'!$D$2:$D2446, 0)),IF(G1287='Room Info'!$E$1, INDEX('Room Info'!$A$2:$A2446, MATCH(B1287,'Room Info'!$E$2:$E2446, 0)),IF(G1287='Room Info'!$F$1, INDEX('Room Info'!$A$2:$A2446, MATCH(B1287,'Room Info'!$F$2:$F2446, 0)),IF(G1287='Room Info'!$H$1, INDEX('Room Info'!$A$2:$A2446, MATCH(B1287,'Room Info'!$H$2:$H2446, 0)),IF(G1287='Room Info'!$G$1, INDEX('Room Info'!$A$2:$A2446, MATCH(B1287,'Room Info'!$G$2:$G2446, 0)))))))))</f>
        <v>TVREZ</v>
      </c>
      <c r="B1287" s="45" t="s">
        <v>204</v>
      </c>
      <c r="C1287" s="46">
        <v>44866</v>
      </c>
      <c r="D1287" s="46">
        <v>44895</v>
      </c>
      <c r="E1287" s="47">
        <v>44866</v>
      </c>
      <c r="F1287" s="48" t="s">
        <v>41</v>
      </c>
      <c r="G1287" s="45" t="s">
        <v>35</v>
      </c>
      <c r="H1287" s="49" t="s">
        <v>72</v>
      </c>
      <c r="I1287" s="49" t="s">
        <v>37</v>
      </c>
      <c r="J1287" s="50">
        <v>50</v>
      </c>
      <c r="K1287" s="51">
        <v>8</v>
      </c>
      <c r="L1287" s="52">
        <v>-50</v>
      </c>
      <c r="M1287" s="53">
        <v>17</v>
      </c>
      <c r="N1287" s="28">
        <f>K1287*J1287</f>
        <v>400</v>
      </c>
      <c r="O1287" s="65"/>
      <c r="P1287" s="29">
        <v>0</v>
      </c>
      <c r="Q1287" s="55"/>
      <c r="R1287" s="31">
        <f>M1287+Q1287</f>
        <v>17</v>
      </c>
      <c r="S1287" s="66"/>
      <c r="T1287" s="32">
        <f>R1287+S1287+IF(F1287="Without EV deal",L1287,0)</f>
        <v>-33</v>
      </c>
      <c r="U1287" s="57">
        <v>1</v>
      </c>
      <c r="V1287" s="58"/>
      <c r="W1287" s="58"/>
      <c r="X1287" s="78">
        <v>0.3</v>
      </c>
      <c r="Y1287" s="78">
        <v>0</v>
      </c>
      <c r="Z1287" s="35">
        <f>T1287-AA1287-AB1287</f>
        <v>-23.1</v>
      </c>
      <c r="AA1287" s="29">
        <f>IF(AD1287="EUR",((T1287-R1287)*X1287)*U1287+(R1287*X1287),(T1287*X1287))</f>
        <v>-9.9</v>
      </c>
      <c r="AB1287" s="36">
        <f>IF(AD1287="EUR",((T1287-R1287)*Y1287)*U1287+(R1287*Y1287),(T1287*Y1287))</f>
        <v>0</v>
      </c>
      <c r="AC1287" s="37" t="b">
        <v>1</v>
      </c>
      <c r="AD1287" s="37" t="s">
        <v>38</v>
      </c>
      <c r="AE1287" s="37" t="s">
        <v>38</v>
      </c>
      <c r="AF1287" s="37" t="str">
        <f t="array" ref="AF1287">INDEX('Deal Info'!D:D, MATCH(A1287,'Deal Info'!A:A, 0))</f>
        <v>DoEV</v>
      </c>
      <c r="AG1287" s="38" t="str">
        <f t="array" ref="AG1287">INDEX('Deal Info'!G:G, MATCH(A1287,'Deal Info'!A:A, 0))</f>
        <v>Fix10</v>
      </c>
    </row>
    <row r="1288" spans="1:33" ht="14.25" hidden="1" x14ac:dyDescent="0.2">
      <c r="A1288" s="18" t="str">
        <f t="array" ref="A1288">IF(G1288='Room Info'!$B$1, INDEX('Room Info'!$A$2:$A2446, MATCH(B1288,'Room Info'!$B$2:$B2446, 0)),IF(G1288='Room Info'!$C$1, INDEX('Room Info'!$A$2:$A2446, MATCH(B1288,'Room Info'!$C$2:$C2446, 0)),IF(G1288='Room Info'!$D$1, INDEX('Room Info'!$A$2:$A2446, MATCH(B1288,'Room Info'!$D$2:$D2446, 0)),IF(G1288='Room Info'!$E$1, INDEX('Room Info'!$A$2:$A2446, MATCH(B1288,'Room Info'!$E$2:$E2446, 0)),IF(G1288='Room Info'!$F$1, INDEX('Room Info'!$A$2:$A2446, MATCH(B1288,'Room Info'!$F$2:$F2446, 0)),IF(G1288='Room Info'!$H$1, INDEX('Room Info'!$A$2:$A2446, MATCH(B1288,'Room Info'!$H$2:$H2446, 0)),IF(G1288='Room Info'!$G$1, INDEX('Room Info'!$A$2:$A2446, MATCH(B1288,'Room Info'!$G$2:$G2446, 0)))))))))</f>
        <v>TVREZ</v>
      </c>
      <c r="B1288" s="45" t="s">
        <v>204</v>
      </c>
      <c r="C1288" s="77">
        <v>44896</v>
      </c>
      <c r="D1288" s="46">
        <v>44915</v>
      </c>
      <c r="E1288" s="47">
        <v>44896</v>
      </c>
      <c r="F1288" s="48" t="s">
        <v>49</v>
      </c>
      <c r="G1288" s="54" t="s">
        <v>35</v>
      </c>
      <c r="H1288" s="54" t="s">
        <v>46</v>
      </c>
      <c r="I1288" s="49" t="s">
        <v>37</v>
      </c>
      <c r="J1288" s="50">
        <v>25</v>
      </c>
      <c r="K1288" s="51">
        <v>3138</v>
      </c>
      <c r="L1288" s="52">
        <v>-4350</v>
      </c>
      <c r="M1288" s="53">
        <v>3275</v>
      </c>
      <c r="N1288" s="28">
        <f>K1288*J1288</f>
        <v>78450</v>
      </c>
      <c r="O1288" s="54">
        <v>83999</v>
      </c>
      <c r="P1288" s="29">
        <v>26.768323769999999</v>
      </c>
      <c r="Q1288" s="55"/>
      <c r="R1288" s="31">
        <f>M1288+Q1288</f>
        <v>3275</v>
      </c>
      <c r="S1288" s="56">
        <v>-1194</v>
      </c>
      <c r="T1288" s="32">
        <f>R1288+S1288+IF(F1288="Without EV deal",L1288,0)</f>
        <v>2081</v>
      </c>
      <c r="U1288" s="57">
        <v>1</v>
      </c>
      <c r="V1288" s="58"/>
      <c r="W1288" s="58"/>
      <c r="X1288" s="78">
        <v>0.17</v>
      </c>
      <c r="Y1288" s="78">
        <v>0.1</v>
      </c>
      <c r="Z1288" s="35">
        <f>T1288-AA1288-AB1288</f>
        <v>1519.13</v>
      </c>
      <c r="AA1288" s="29">
        <f>IF(AD1288="EUR",((T1288-R1288)*X1288)*U1288+(R1288*X1288),(T1288*X1288))</f>
        <v>353.77000000000004</v>
      </c>
      <c r="AB1288" s="36">
        <f>IF(AD1288="EUR",((T1288-R1288)*Y1288)*U1288+(R1288*Y1288),(T1288*Y1288))</f>
        <v>208.10000000000002</v>
      </c>
      <c r="AC1288" s="37" t="b">
        <v>1</v>
      </c>
      <c r="AD1288" s="37" t="s">
        <v>38</v>
      </c>
      <c r="AE1288" s="37" t="s">
        <v>38</v>
      </c>
      <c r="AF1288" s="37" t="str">
        <f t="array" ref="AF1288">INDEX('Deal Info'!D:D, MATCH(A1288,'Deal Info'!A:A, 0))</f>
        <v>DoEV</v>
      </c>
      <c r="AG1288" s="38" t="str">
        <f t="array" ref="AG1288">INDEX('Deal Info'!G:G, MATCH(A1288,'Deal Info'!A:A, 0))</f>
        <v>Fix10</v>
      </c>
    </row>
    <row r="1289" spans="1:33" ht="14.25" hidden="1" x14ac:dyDescent="0.2">
      <c r="A1289" s="18" t="str">
        <f t="array" ref="A1289">IF(G1289='Room Info'!$B$1, INDEX('Room Info'!$A$2:$A2446, MATCH(B1289,'Room Info'!$B$2:$B2446, 0)),IF(G1289='Room Info'!$C$1, INDEX('Room Info'!$A$2:$A2446, MATCH(B1289,'Room Info'!$C$2:$C2446, 0)),IF(G1289='Room Info'!$D$1, INDEX('Room Info'!$A$2:$A2446, MATCH(B1289,'Room Info'!$D$2:$D2446, 0)),IF(G1289='Room Info'!$E$1, INDEX('Room Info'!$A$2:$A2446, MATCH(B1289,'Room Info'!$E$2:$E2446, 0)),IF(G1289='Room Info'!$F$1, INDEX('Room Info'!$A$2:$A2446, MATCH(B1289,'Room Info'!$F$2:$F2446, 0)),IF(G1289='Room Info'!$H$1, INDEX('Room Info'!$A$2:$A2446, MATCH(B1289,'Room Info'!$H$2:$H2446, 0)),IF(G1289='Room Info'!$G$1, INDEX('Room Info'!$A$2:$A2446, MATCH(B1289,'Room Info'!$G$2:$G2446, 0)))))))))</f>
        <v>TVREZ</v>
      </c>
      <c r="B1289" s="54" t="s">
        <v>204</v>
      </c>
      <c r="C1289" s="46">
        <v>44896</v>
      </c>
      <c r="D1289" s="46">
        <v>44915</v>
      </c>
      <c r="E1289" s="47">
        <v>44896</v>
      </c>
      <c r="F1289" s="45" t="s">
        <v>41</v>
      </c>
      <c r="G1289" s="54" t="s">
        <v>35</v>
      </c>
      <c r="H1289" s="49" t="s">
        <v>72</v>
      </c>
      <c r="I1289" s="49" t="s">
        <v>37</v>
      </c>
      <c r="J1289" s="74">
        <v>50</v>
      </c>
      <c r="K1289" s="75">
        <v>12</v>
      </c>
      <c r="L1289" s="72">
        <v>-100</v>
      </c>
      <c r="M1289" s="53">
        <v>25</v>
      </c>
      <c r="N1289" s="28">
        <f>K1289*J1289</f>
        <v>600</v>
      </c>
      <c r="O1289" s="96"/>
      <c r="P1289" s="29">
        <v>0</v>
      </c>
      <c r="Q1289" s="55"/>
      <c r="R1289" s="31">
        <f>M1289+Q1289</f>
        <v>25</v>
      </c>
      <c r="S1289" s="97"/>
      <c r="T1289" s="32">
        <f>R1289+S1289+IF(F1289="Without EV deal",L1289,0)</f>
        <v>-75</v>
      </c>
      <c r="U1289" s="57">
        <v>1</v>
      </c>
      <c r="V1289" s="58"/>
      <c r="W1289" s="58"/>
      <c r="X1289" s="78">
        <v>0.17</v>
      </c>
      <c r="Y1289" s="78">
        <v>0.1</v>
      </c>
      <c r="Z1289" s="35">
        <f>T1289-AA1289-AB1289</f>
        <v>-54.75</v>
      </c>
      <c r="AA1289" s="29">
        <f>IF(AD1289="EUR",((T1289-R1289)*X1289)*U1289+(R1289*X1289),(T1289*X1289))</f>
        <v>-12.750000000000002</v>
      </c>
      <c r="AB1289" s="36">
        <f>IF(AD1289="EUR",((T1289-R1289)*Y1289)*U1289+(R1289*Y1289),(T1289*Y1289))</f>
        <v>-7.5</v>
      </c>
      <c r="AC1289" s="37" t="b">
        <v>1</v>
      </c>
      <c r="AD1289" s="37" t="s">
        <v>38</v>
      </c>
      <c r="AE1289" s="37" t="s">
        <v>38</v>
      </c>
      <c r="AF1289" s="37" t="str">
        <f t="array" ref="AF1289">INDEX('Deal Info'!D:D, MATCH(A1289,'Deal Info'!A:A, 0))</f>
        <v>DoEV</v>
      </c>
      <c r="AG1289" s="38" t="str">
        <f t="array" ref="AG1289">INDEX('Deal Info'!G:G, MATCH(A1289,'Deal Info'!A:A, 0))</f>
        <v>Fix10</v>
      </c>
    </row>
    <row r="1290" spans="1:33" ht="14.25" hidden="1" x14ac:dyDescent="0.2">
      <c r="A1290" s="18" t="str">
        <f t="array" ref="A1290">IF(G1290='Room Info'!$B$1, INDEX('Room Info'!$A$2:$A2446, MATCH(B1290,'Room Info'!$B$2:$B2446, 0)),IF(G1290='Room Info'!$C$1, INDEX('Room Info'!$A$2:$A2446, MATCH(B1290,'Room Info'!$C$2:$C2446, 0)),IF(G1290='Room Info'!$D$1, INDEX('Room Info'!$A$2:$A2446, MATCH(B1290,'Room Info'!$D$2:$D2446, 0)),IF(G1290='Room Info'!$E$1, INDEX('Room Info'!$A$2:$A2446, MATCH(B1290,'Room Info'!$E$2:$E2446, 0)),IF(G1290='Room Info'!$F$1, INDEX('Room Info'!$A$2:$A2446, MATCH(B1290,'Room Info'!$F$2:$F2446, 0)),IF(G1290='Room Info'!$H$1, INDEX('Room Info'!$A$2:$A2446, MATCH(B1290,'Room Info'!$H$2:$H2446, 0)),IF(G1290='Room Info'!$G$1, INDEX('Room Info'!$A$2:$A2446, MATCH(B1290,'Room Info'!$G$2:$G2446, 0)))))))))</f>
        <v>TVREZ</v>
      </c>
      <c r="B1290" s="54" t="s">
        <v>204</v>
      </c>
      <c r="C1290" s="46">
        <v>44916</v>
      </c>
      <c r="D1290" s="46">
        <v>44957</v>
      </c>
      <c r="E1290" s="47">
        <v>44927</v>
      </c>
      <c r="F1290" s="45" t="s">
        <v>49</v>
      </c>
      <c r="G1290" s="54" t="s">
        <v>35</v>
      </c>
      <c r="H1290" s="49" t="s">
        <v>46</v>
      </c>
      <c r="I1290" s="49" t="s">
        <v>37</v>
      </c>
      <c r="J1290" s="74">
        <v>25</v>
      </c>
      <c r="K1290" s="75">
        <v>4085</v>
      </c>
      <c r="L1290" s="72">
        <v>200</v>
      </c>
      <c r="M1290" s="53">
        <v>4343</v>
      </c>
      <c r="N1290" s="28">
        <f>K1290*J1290</f>
        <v>102125</v>
      </c>
      <c r="O1290" s="45">
        <v>164997</v>
      </c>
      <c r="P1290" s="29">
        <v>40.390942469999999</v>
      </c>
      <c r="Q1290" s="55"/>
      <c r="R1290" s="31">
        <f>M1290+Q1290</f>
        <v>4343</v>
      </c>
      <c r="S1290" s="73">
        <v>1297</v>
      </c>
      <c r="T1290" s="32">
        <f>R1290+S1290+IF(F1290="Without EV deal",L1290,0)</f>
        <v>5640</v>
      </c>
      <c r="U1290" s="57">
        <v>1</v>
      </c>
      <c r="V1290" s="58"/>
      <c r="W1290" s="58"/>
      <c r="X1290" s="78">
        <v>0.17</v>
      </c>
      <c r="Y1290" s="78">
        <v>0.1</v>
      </c>
      <c r="Z1290" s="35">
        <f>T1290-AA1290-AB1290</f>
        <v>4117.2</v>
      </c>
      <c r="AA1290" s="29">
        <f>IF(AD1290="EUR",((T1290-R1290)*X1290)*U1290+(R1290*X1290),(T1290*X1290))</f>
        <v>958.80000000000007</v>
      </c>
      <c r="AB1290" s="36">
        <f>IF(AD1290="EUR",((T1290-R1290)*Y1290)*U1290+(R1290*Y1290),(T1290*Y1290))</f>
        <v>564</v>
      </c>
      <c r="AC1290" s="37" t="b">
        <v>1</v>
      </c>
      <c r="AD1290" s="37" t="s">
        <v>38</v>
      </c>
      <c r="AE1290" s="37" t="s">
        <v>38</v>
      </c>
      <c r="AF1290" s="37" t="str">
        <f t="array" ref="AF1290">INDEX('Deal Info'!D:D, MATCH(A1290,'Deal Info'!A:A, 0))</f>
        <v>DoEV</v>
      </c>
      <c r="AG1290" s="38" t="str">
        <f t="array" ref="AG1290">INDEX('Deal Info'!G:G, MATCH(A1290,'Deal Info'!A:A, 0))</f>
        <v>Fix10</v>
      </c>
    </row>
    <row r="1291" spans="1:33" ht="14.25" hidden="1" x14ac:dyDescent="0.2">
      <c r="A1291" s="18" t="str">
        <f t="array" ref="A1291">IF(G1291='Room Info'!$B$1, INDEX('Room Info'!$A$2:$A2446, MATCH(B1291,'Room Info'!$B$2:$B2446, 0)),IF(G1291='Room Info'!$C$1, INDEX('Room Info'!$A$2:$A2446, MATCH(B1291,'Room Info'!$C$2:$C2446, 0)),IF(G1291='Room Info'!$D$1, INDEX('Room Info'!$A$2:$A2446, MATCH(B1291,'Room Info'!$D$2:$D2446, 0)),IF(G1291='Room Info'!$E$1, INDEX('Room Info'!$A$2:$A2446, MATCH(B1291,'Room Info'!$E$2:$E2446, 0)),IF(G1291='Room Info'!$F$1, INDEX('Room Info'!$A$2:$A2446, MATCH(B1291,'Room Info'!$F$2:$F2446, 0)),IF(G1291='Room Info'!$H$1, INDEX('Room Info'!$A$2:$A2446, MATCH(B1291,'Room Info'!$H$2:$H2446, 0)),IF(G1291='Room Info'!$G$1, INDEX('Room Info'!$A$2:$A2446, MATCH(B1291,'Room Info'!$G$2:$G2446, 0)))))))))</f>
        <v>TVREZ</v>
      </c>
      <c r="B1291" s="45" t="s">
        <v>204</v>
      </c>
      <c r="C1291" s="46">
        <v>44916</v>
      </c>
      <c r="D1291" s="46">
        <v>44957</v>
      </c>
      <c r="E1291" s="47">
        <v>44927</v>
      </c>
      <c r="F1291" s="48" t="s">
        <v>49</v>
      </c>
      <c r="G1291" s="54" t="s">
        <v>35</v>
      </c>
      <c r="H1291" s="49" t="s">
        <v>72</v>
      </c>
      <c r="I1291" s="49" t="s">
        <v>37</v>
      </c>
      <c r="J1291" s="74">
        <v>50</v>
      </c>
      <c r="K1291" s="75">
        <v>8</v>
      </c>
      <c r="L1291" s="72">
        <v>-200</v>
      </c>
      <c r="M1291" s="53">
        <v>17</v>
      </c>
      <c r="N1291" s="28">
        <f>K1291*J1291</f>
        <v>400</v>
      </c>
      <c r="O1291" s="96"/>
      <c r="P1291" s="29">
        <v>0</v>
      </c>
      <c r="Q1291" s="55"/>
      <c r="R1291" s="31">
        <f>M1291+Q1291</f>
        <v>17</v>
      </c>
      <c r="S1291" s="97"/>
      <c r="T1291" s="32">
        <f>R1291+S1291+IF(F1291="Without EV deal",L1291,0)</f>
        <v>17</v>
      </c>
      <c r="U1291" s="57">
        <v>1</v>
      </c>
      <c r="V1291" s="58"/>
      <c r="W1291" s="58"/>
      <c r="X1291" s="78">
        <v>0.17</v>
      </c>
      <c r="Y1291" s="78">
        <v>0.1</v>
      </c>
      <c r="Z1291" s="35">
        <f>T1291-AA1291-AB1291</f>
        <v>12.41</v>
      </c>
      <c r="AA1291" s="29">
        <f>IF(AD1291="EUR",((T1291-R1291)*X1291)*U1291+(R1291*X1291),(T1291*X1291))</f>
        <v>2.89</v>
      </c>
      <c r="AB1291" s="36">
        <f>IF(AD1291="EUR",((T1291-R1291)*Y1291)*U1291+(R1291*Y1291),(T1291*Y1291))</f>
        <v>1.7000000000000002</v>
      </c>
      <c r="AC1291" s="37" t="b">
        <v>1</v>
      </c>
      <c r="AD1291" s="37" t="s">
        <v>38</v>
      </c>
      <c r="AE1291" s="37" t="s">
        <v>38</v>
      </c>
      <c r="AF1291" s="37" t="str">
        <f t="array" ref="AF1291">INDEX('Deal Info'!D:D, MATCH(A1291,'Deal Info'!A:A, 0))</f>
        <v>DoEV</v>
      </c>
      <c r="AG1291" s="38" t="str">
        <f t="array" ref="AG1291">INDEX('Deal Info'!G:G, MATCH(A1291,'Deal Info'!A:A, 0))</f>
        <v>Fix10</v>
      </c>
    </row>
    <row r="1292" spans="1:33" ht="14.25" hidden="1" x14ac:dyDescent="0.2">
      <c r="A1292" s="18" t="str">
        <f t="array" ref="A1292">IF(G1292='Room Info'!$B$1, INDEX('Room Info'!$A$2:$A2446, MATCH(B1292,'Room Info'!$B$2:$B2446, 0)),IF(G1292='Room Info'!$C$1, INDEX('Room Info'!$A$2:$A2446, MATCH(B1292,'Room Info'!$C$2:$C2446, 0)),IF(G1292='Room Info'!$D$1, INDEX('Room Info'!$A$2:$A2446, MATCH(B1292,'Room Info'!$D$2:$D2446, 0)),IF(G1292='Room Info'!$E$1, INDEX('Room Info'!$A$2:$A2446, MATCH(B1292,'Room Info'!$E$2:$E2446, 0)),IF(G1292='Room Info'!$F$1, INDEX('Room Info'!$A$2:$A2446, MATCH(B1292,'Room Info'!$F$2:$F2446, 0)),IF(G1292='Room Info'!$H$1, INDEX('Room Info'!$A$2:$A2446, MATCH(B1292,'Room Info'!$H$2:$H2446, 0)),IF(G1292='Room Info'!$G$1, INDEX('Room Info'!$A$2:$A2446, MATCH(B1292,'Room Info'!$G$2:$G2446, 0)))))))))</f>
        <v>ushakov17</v>
      </c>
      <c r="B1292" s="45" t="s">
        <v>205</v>
      </c>
      <c r="C1292" s="46">
        <v>44866</v>
      </c>
      <c r="D1292" s="46">
        <v>44895</v>
      </c>
      <c r="E1292" s="47">
        <v>44866</v>
      </c>
      <c r="F1292" s="48" t="s">
        <v>41</v>
      </c>
      <c r="G1292" s="54" t="s">
        <v>35</v>
      </c>
      <c r="H1292" s="49" t="s">
        <v>39</v>
      </c>
      <c r="I1292" s="49" t="s">
        <v>37</v>
      </c>
      <c r="J1292" s="74">
        <v>5</v>
      </c>
      <c r="K1292" s="75">
        <v>13</v>
      </c>
      <c r="L1292" s="72">
        <v>5</v>
      </c>
      <c r="M1292" s="62"/>
      <c r="N1292" s="28">
        <f>K1292*J1292</f>
        <v>65</v>
      </c>
      <c r="O1292" s="96"/>
      <c r="P1292" s="29">
        <v>0</v>
      </c>
      <c r="Q1292" s="55"/>
      <c r="R1292" s="31">
        <f>M1292+Q1292</f>
        <v>0</v>
      </c>
      <c r="S1292" s="97"/>
      <c r="T1292" s="32">
        <f>R1292+S1292+IF(F1292="Without EV deal",L1292,0)</f>
        <v>5</v>
      </c>
      <c r="U1292" s="57">
        <v>1</v>
      </c>
      <c r="V1292" s="58"/>
      <c r="W1292" s="58"/>
      <c r="X1292" s="30">
        <f>IF(AF1292="DoEV",IF(AND(V1292&lt;20,W1292&lt;55),0.3,0)+IF(AND(V1292&lt;20,W1292&gt;=55,W1292&lt;105),0.23,0)+IF(AND(V1292&lt;20,W1292&gt;=105),0.17,0)+IF(AND(V1292&gt;=20,V1292&lt;40,W1292&lt;45),0.3,0)+IF(AND(V1292&gt;=20,V1292&lt;40,W1292&gt;=45,W1292&lt;95),0.23,0)+IF(AND(V1292&gt;=20,V1292&lt;40,W1292&gt;=95),0.17,0)+IF(AND(V1292&gt;=40,V1292&lt;75,W1292&lt;35),0.3,0)+IF(AND(V1292&gt;=40,V1292&lt;75,W1292&gt;=35,W1292&lt;75),0.23,0)+IF(AND(V1292&gt;=40,V1292&lt;75,W1292&gt;=75,W1292&lt;120),0.17,0)+IF(AND(V1292&gt;=40,V1292&lt;75,W1292&gt;=120),0.12,0)+IF(AND(V1292&gt;=75,V1292&lt;175,W1292&lt;35),0.3,0)+IF(AND(V1292&gt;=75,V1292&lt;=175,W1292&gt;=35,W1292&lt;65),0.23,0)+IF(AND(V1292&gt;=75,V1292&lt;=175,W1292&gt;=65,W1292&lt;110),0.17,0)+IF(AND(V1292&gt;=75,V1292&lt;=175,W1292&gt;=110),0.12,0)+IF(AND(V1292&gt;175,W1292&lt;25),0.3,0)+IF(AND(V1292&gt;175,W1292&gt;=25,W1292&lt;55),0.23,0)+IF(AND(V1292&gt;175,W1292&gt;=55,W1292&lt;95),0.17,0)+IF(AND(V1292&gt;175,W1292&gt;=95),0.12,0),
IF(AF1292="Fix15",0.15,
IF(AF1292="Fix18.75",0.1875,
IF(AF1292="Fix11.25",0.1125,
IF(AF1292="Fix10",0.1,
IF(AF1292="Fix9",0.09,
IF(AF1292="Fix19",0.19,
IF(AF1292="DoEV2017",IF(AND(W1292&lt;74),0.2,0)+IF(AND(W1292&gt;=74),0.17,0),
IF(AF1292="SF",IF(AND(V1292&lt;20,W1292&lt;89),0.3,0)+IF(AND(V1292&lt;20,W1292&gt;=89),0.25,0)+IF(AND(V1292&gt;=20,V1292&lt;40,W1292&lt;74),0.3,0)+IF(AND(V1292&gt;=20,V1292&lt;40,W1292&gt;=75),0.22,0)+IF(AND(V1292&gt;=40,V1292&lt;75,W1292&lt;75),0.26,0)+IF(AND(V1292&gt;=40,V1292&lt;75,W1292&gt;=75),0.22,0)+IF(V1292&gt;=75,0.22,0),
IF(AF1292="DoEVold",IF(AND(V1292&lt;40,W1292&lt;35),0.35,0)+IF(AND(V1292&lt;40,W1292&gt;=35,W1292&lt;75),0.25,0)+IF(AND(V1292&lt;40,W1292&gt;=75),0.17,0)+IF(AND(V1292&gt;=40,V1292&lt;75,W1292&lt;25),0.35,0)+IF(AND(V1292&gt;=40,V1292&lt;75,W1292&gt;=25,W1292&lt;65),0.25,0)+IF(AND(V1292&gt;=40,V1292&lt;75,W1292&gt;=65,W1292&lt;100),0.17,0)+IF(AND(V1292&gt;=40,V1292&lt;75,W1292&gt;=100),0.1,0)+IF(AND(V1292&gt;=75,W1292&lt;25),0.35,0)+IF(AND(V1292&gt;=75,W1292&gt;=25,W1292&lt;60),0.25,0)+IF(AND(V1292&gt;=75,W1292&gt;=60,W1292&lt;95),0.17,0)+IF(AND(V1292&gt;=75,W1292&gt;=95),0.1,0),
IF(AF1292="DoEVold15",IF(AND(V1292&lt;=40,W1292&lt;35),0.35,0)+IF(AND(V1292&lt;=40,W1292&gt;=35,W1292&lt;75),0.25,0)+IF(AND(V1292&lt;=40,W1292&gt;=75,W1292&lt;120),0.17,0)+IF(AND(V1292&lt;=40,W1292&gt;=120),0.15,0)+IF(AND(V1292&gt;40,V1292&lt;75,W1292&lt;25),0.35,0)+IF(AND(V1292&gt;=40,V1292&lt;75,W1292&gt;=25,W1292&lt;65),0.25,0)+IF(AND(V1292&gt;=40,V1292&lt;75,W1292&gt;=65,W1292&lt;100),0.17,0)+IF(AND(V1292&gt;=40,V1292&lt;75,W1292&gt;=100),0.1,0)+IF(AND(V1292&gt;=75,W1292&lt;25),0.35,0)+IF(AND(V1292&gt;=75,W1292&gt;=25,W1292&lt;60),0.25,0)+IF(AND(V1292&gt;=75,W1292&gt;=60,W1292&lt;95),0.17,0)+IF(AND(V1292&gt;=75,W1292&gt;=95),0.1,0),
IF(AF1292="DoEVba",IF(AND(V1292&lt;20,W1292&lt;105),0.2,0)+IF(AND(V1292&lt;20,W1292&gt;=105),0.15,0)+IF(AND(V1292&gt;=20,V1292&lt;40,W1292&lt;95),0.2,0)+IF(AND(V1292&gt;=20,V1292&lt;40,W1292&gt;=95,W1292&lt;150),0.15,0)+IF(AND(V1292&gt;=20,V1292&lt;40,W1292&gt;=150),0.12,0)+IF(AND(V1292&gt;=40,V1292&lt;75,W1292&lt;75),0.2,0)+IF(AND(V1292&gt;=40,V1292&lt;75,W1292&gt;=75,W1292&lt;120),0.15,0)+IF(AND(V1292&gt;=40,V1292&lt;75,W1292&gt;=120),0.12,0)+IF(AND(V1292&gt;=75,V1292&lt;175,W1292&lt;65),0.2,0)+IF(AND(V1292&gt;=75,V1292&lt;175,W1292&gt;=65,W1292&lt;110),0.15,0)+IF(AND(V1292&gt;=75,V1292&lt;175,W1292&gt;=110),0.12,0)+IF(AND(V1292&gt;=175,W1292&lt;55),0.2,0)+IF(AND(V1292&gt;=175,W1292&gt;=55,W1292&lt;95),0.15,0)+IF(AND(V1292&gt;=175,W1292&gt;=95),0.12,0),
IF(AF1292="DoEVku",IF(AND(V1292&lt;20,W1292&lt;55),0.23,0)+IF(AND(V1292&lt;20,W1292&gt;=55,W1292&lt;105),0.2,0)+IF(AND(V1292&lt;20,W1292&gt;=105),0.17,0)+IF(AND(V1292&gt;=20,V1292&lt;40,W1292&lt;45),0.23,0)+IF(AND(V1292&gt;=20,V1292&lt;40,W1292&gt;=45,W1292&lt;95),0.2,0)+IF(AND(V1292&gt;=20,V1292&lt;40,W1292&gt;=95,W1292&lt;=150),0.17,0)+IF(AND(V1292&gt;=20,V1292&lt;40,W1292&gt;=150),0.12,0)+IF(AND(V1292&gt;=40,V1292&lt;75,W1292&lt;35),0.23,0)+IF(AND(V1292&gt;=40,V1292&lt;75,W1292&gt;=35,W1292&lt;75),0.2,0)+IF(AND(V1292&gt;=40,V1292&lt;75,W1292&gt;=75,W1292&lt;120),0.17,0)+IF(AND(V1292&gt;=40,V1292&lt;75,W1292&gt;=120),0.12,0)+IF(AND(V1292&gt;=75,V1292&lt;175,W1292&lt;35),0.23,0)+IF(AND(V1292&gt;=75,V1292&lt;=175,W1292&gt;=35,W1292&lt;65),0.2,0)+IF(AND(V1292&gt;=75,V1292&lt;=175,W1292&gt;=65,W1292&lt;110),0.17,0)+IF(AND(V1292&gt;=75,V1292&lt;=175,W1292&gt;=110),0.12,0)+IF(AND(V1292&gt;175,W1292&lt;25),0.23,0)+IF(AND(V1292&gt;175,W1292&gt;=25,W1292&lt;55),0.2,0)+IF(AND(V1292&gt;175,W1292&gt;=55,W1292&lt;95),0.17,0)+IF(AND(V1292&gt;175,W1292&gt;=95),0.12,0),
IF(AF1292="DoEVs1",IF(AND(V1292&lt;20,W1292&lt;55),0.3,0)+IF(AND(V1292&lt;20,W1292&gt;=55,W1292&lt;105),0.23,0)+IF(AND(V1292&lt;20,W1292&gt;=105),0.17,0)+IF(AND(V1292&gt;=20,V1292&lt;40,W1292&lt;45),0.3,0)+IF(AND(V1292&gt;=20,V1292&lt;40,W1292&gt;=45,W1292&lt;95),0.23,0)+IF(AND(V1292&gt;=20,V1292&lt;40,W1292&gt;=95,W1292&lt;=150),0.17,0)+IF(AND(V1292&gt;=20,V1292&lt;40,W1292&gt;=150),0.12,0)+IF(AND(V1292&gt;=40,V1292&lt;75,W1292&lt;35),0.3,0)+IF(AND(V1292&gt;=40,V1292&lt;75,W1292&gt;=35,W1292&lt;75),0.23,0)+IF(AND(V1292&gt;=40,V1292&lt;75,W1292&gt;=75,W1292&lt;120),0.17,0)+IF(AND(V1292&gt;=40,V1292&lt;75,W1292&gt;=120),0.12,0)+IF(AND(V1292&gt;=75,V1292&lt;175,W1292&lt;35),0.3,0)+IF(AND(V1292&gt;=75,V1292&lt;=175,W1292&gt;=35,W1292&lt;65),0.23,0)+IF(AND(V1292&gt;=75,V1292&lt;=175,W1292&gt;=65,W1292&lt;110),0.17,0)+IF(AND(V1292&gt;=75,V1292&lt;=175,W1292&gt;=110),0.12,0)+IF(AND(V1292&gt;175,W1292&lt;25),0.3,0)+IF(AND(V1292&gt;175,W1292&gt;=25,W1292&lt;55),0.23,0)+IF(AND(V1292&gt;175,W1292&gt;=55,W1292&lt;95),0.17,0)+IF(AND(V1292&gt;175,W1292&gt;=95),0.12,0),
IF(AF1292="DoEVsu",IF(AND(V1292&lt;20,W1292&lt;55),0.3,0)+IF(AND(V1292&lt;20,W1292&gt;=55,W1292&lt;105),0.23,0)+IF(AND(V1292&lt;20,W1292&gt;=105),0.17,0)+IF(AND(V1292&gt;=20,V1292&lt;40,W1292&lt;45),0.3,0)+IF(AND(V1292&gt;=20,V1292&lt;40,W1292&gt;=45,W1292&lt;95),0.23,0)+IF(AND(V1292&gt;=20,V1292&lt;40,W1292&gt;=95,W1292&lt;=250),0.17,0)+IF(AND(V1292&gt;=20,V1292&lt;40,W1292&gt;=250),0.12,0)+IF(AND(V1292&gt;=40,V1292&lt;75,W1292&lt;35),0.3,0)+IF(AND(V1292&gt;=40,V1292&lt;75,W1292&gt;=35,W1292&lt;75),0.23,0)+IF(AND(V1292&gt;=40,V1292&lt;75,W1292&gt;=75,W1292&lt;120),0.17,0)+IF(AND(V1292&gt;=40,V1292&lt;75,W1292&gt;=120),0.12,0)+IF(AND(V1292&gt;=75,V1292&lt;175,W1292&lt;35),0.3,0)+IF(AND(V1292&gt;=75,V1292&lt;=175,W1292&gt;=35,W1292&lt;65),0.23,0)+IF(AND(V1292&gt;=75,V1292&lt;=175,W1292&gt;=65,W1292&lt;110),0.17,0)+IF(AND(V1292&gt;=75,V1292&lt;=175,W1292&gt;=110),0.12,0)+IF(AND(V1292&gt;175,W1292&lt;25),0.3,0)+IF(AND(V1292&gt;175,W1292&gt;=25,W1292&lt;55),0.23,0)+IF(AND(V1292&gt;175,W1292&gt;=55,W1292&lt;95),0.17,0)+IF(AND(V1292&gt;175,W1292&gt;=95),0.12,0),
IF(AF1292="DoEVni",IF(AND(V1292&lt;20,W1292&lt;55),0.3,0)+IF(AND(V1292&lt;20,W1292&gt;=55,W1292&lt;105),0.23,0)+IF(AND(V1292&lt;20,W1292&gt;=105),0.17,0)+IF(AND(V1292&gt;=20,V1292&lt;40,W1292&lt;45),0.3,0)+IF(AND(V1292&gt;=20,V1292&lt;40,W1292&gt;=45,W1292&lt;95),0.23,0)+IF(AND(V1292&gt;=20,V1292&lt;40,W1292&gt;=95,W1292&lt;=200),0.17,0)+IF(AND(V1292&gt;=20,V1292&lt;40,W1292&gt;=200),0.12,0)+IF(AND(V1292&gt;=40,V1292&lt;75,W1292&lt;35),0.3,0)+IF(AND(V1292&gt;=40,V1292&lt;75,W1292&gt;=35,W1292&lt;75),0.23,0)+IF(AND(V1292&gt;=40,V1292&lt;75,W1292&gt;=75,W1292&lt;120),0.17,0)+IF(AND(V1292&gt;=40,V1292&lt;75,W1292&gt;=120),0.12,0)+IF(AND(V1292&gt;=75,V1292&lt;175,W1292&lt;35),0.3,0)+IF(AND(V1292&gt;=75,V1292&lt;=175,W1292&gt;=35,W1292&lt;65),0.23,0)+IF(AND(V1292&gt;=75,V1292&lt;=175,W1292&gt;=65,W1292&lt;110),0.17,0)+IF(AND(V1292&gt;=75,V1292&lt;=175,W1292&gt;=110),0.12,0)+IF(AND(V1292&gt;175,W1292&lt;25),0.3,0)+IF(AND(V1292&gt;175,W1292&gt;=25,W1292&lt;55),0.23,0)+IF(AND(V1292&gt;175,W1292&gt;=55,W1292&lt;95),0.17,0)+IF(AND(V1292&gt;175,W1292&gt;=95),0.12,0),
IF(AF1292="DoEVLo",IF(AND(V1292&lt;20,W1292&lt;55),0.25,0)+IF(AND(V1292&lt;20,W1292&gt;=55,W1292&lt;105),0.2,0)+IF(AND(V1292&lt;20,W1292&gt;=105),0.15,0)+IF(AND(V1292&gt;=20,V1292&lt;40,W1292&lt;45),0.25,0)+IF(AND(V1292&gt;=20,V1292&lt;40,W1292&gt;=45,W1292&lt;95),0.2,0)+IF(AND(V1292&gt;=20,V1292&lt;40,W1292&gt;=95),0.15,0)+IF(AND(V1292&gt;=40,V1292&lt;75,W1292&lt;35),0.25,0)+IF(AND(V1292&gt;=40,V1292&lt;75,W1292&gt;=35,W1292&lt;75),0.2,0)+IF(AND(V1292&gt;=40,V1292&lt;75,W1292&gt;=75,W1292&lt;120),0.15,0)+IF(AND(V1292&gt;=40,V1292&lt;75,W1292&gt;=120),0.1,0)+IF(AND(V1292&gt;=75,V1292&lt;175,W1292&lt;35),0.25,0)+IF(AND(V1292&gt;=75,V1292&lt;=175,W1292&gt;=35,W1292&lt;65),0.2,0)+IF(AND(V1292&gt;=75,V1292&lt;=175,W1292&gt;=65,W1292&lt;110),0.15,0)+IF(AND(V1292&gt;=75,V1292&lt;=175,W1292&gt;=110),0.1,0)+IF(AND(V1292&gt;175,W1292&lt;25),0.25,0)+IF(AND(V1292&gt;175,W1292&gt;=25,W1292&lt;55),0.2,0)+IF(AND(V1292&gt;175,W1292&gt;=55,W1292&lt;95),0.15,0)+IF(AND(V1292&gt;175,W1292&gt;=95),0.1,0))))))))))))))))))</f>
        <v>0.3</v>
      </c>
      <c r="Y1292" s="30">
        <f>IF(AG1292="None",0,IF(AG1292="Fix5",0.05, IF(AG1292="Fix6.25",0.0625,IF(AG1292="Fix3.75",0.0375,IF(AG1292="Fix10",0.1,IF(AG1292="Fix3",0.03,0))))))</f>
        <v>0</v>
      </c>
      <c r="Z1292" s="35">
        <f>T1292-AA1292-AB1292</f>
        <v>3.5</v>
      </c>
      <c r="AA1292" s="29">
        <f>IF(AD1292="EUR",((T1292-R1292)*X1292)*U1292+(R1292*X1292),(T1292*X1292))</f>
        <v>1.5</v>
      </c>
      <c r="AB1292" s="36">
        <f>IF(AD1292="EUR",((T1292-R1292)*Y1292)*U1292+(R1292*Y1292),(T1292*Y1292))</f>
        <v>0</v>
      </c>
      <c r="AC1292" s="37" t="b">
        <v>1</v>
      </c>
      <c r="AD1292" s="37" t="s">
        <v>38</v>
      </c>
      <c r="AE1292" s="37" t="s">
        <v>38</v>
      </c>
      <c r="AF1292" s="37" t="str">
        <f t="array" ref="AF1292">INDEX('Deal Info'!D:D, MATCH(A1292,'Deal Info'!A:A, 0))</f>
        <v>DoEV</v>
      </c>
      <c r="AG1292" s="38" t="str">
        <f t="array" ref="AG1292">INDEX('Deal Info'!G:G, MATCH(A1292,'Deal Info'!A:A, 0))</f>
        <v>None</v>
      </c>
    </row>
    <row r="1293" spans="1:33" ht="14.25" hidden="1" x14ac:dyDescent="0.2">
      <c r="A1293" s="18" t="str">
        <f t="array" ref="A1293">IF(G1293='Room Info'!$B$1, INDEX('Room Info'!$A$2:$A2446, MATCH(B1293,'Room Info'!$B$2:$B2446, 0)),IF(G1293='Room Info'!$C$1, INDEX('Room Info'!$A$2:$A2446, MATCH(B1293,'Room Info'!$C$2:$C2446, 0)),IF(G1293='Room Info'!$D$1, INDEX('Room Info'!$A$2:$A2446, MATCH(B1293,'Room Info'!$D$2:$D2446, 0)),IF(G1293='Room Info'!$E$1, INDEX('Room Info'!$A$2:$A2446, MATCH(B1293,'Room Info'!$E$2:$E2446, 0)),IF(G1293='Room Info'!$F$1, INDEX('Room Info'!$A$2:$A2446, MATCH(B1293,'Room Info'!$F$2:$F2446, 0)),IF(G1293='Room Info'!$H$1, INDEX('Room Info'!$A$2:$A2446, MATCH(B1293,'Room Info'!$H$2:$H2446, 0)),IF(G1293='Room Info'!$G$1, INDEX('Room Info'!$A$2:$A2446, MATCH(B1293,'Room Info'!$G$2:$G2446, 0)))))))))</f>
        <v>ushakov17</v>
      </c>
      <c r="B1293" s="45" t="s">
        <v>205</v>
      </c>
      <c r="C1293" s="46">
        <v>44866</v>
      </c>
      <c r="D1293" s="46">
        <v>44895</v>
      </c>
      <c r="E1293" s="47">
        <v>44866</v>
      </c>
      <c r="F1293" s="48" t="s">
        <v>41</v>
      </c>
      <c r="G1293" s="54" t="s">
        <v>35</v>
      </c>
      <c r="H1293" s="49" t="s">
        <v>40</v>
      </c>
      <c r="I1293" s="49" t="s">
        <v>37</v>
      </c>
      <c r="J1293" s="74">
        <v>10</v>
      </c>
      <c r="K1293" s="75">
        <v>3814</v>
      </c>
      <c r="L1293" s="72">
        <v>-1520</v>
      </c>
      <c r="M1293" s="53">
        <v>698</v>
      </c>
      <c r="N1293" s="28">
        <f>K1293*J1293</f>
        <v>38140</v>
      </c>
      <c r="O1293" s="45">
        <v>76280</v>
      </c>
      <c r="P1293" s="29">
        <v>20</v>
      </c>
      <c r="Q1293" s="55"/>
      <c r="R1293" s="31">
        <f>M1293+Q1293</f>
        <v>698</v>
      </c>
      <c r="S1293" s="97"/>
      <c r="T1293" s="32">
        <f>R1293+S1293+IF(F1293="Without EV deal",L1293,0)</f>
        <v>-822</v>
      </c>
      <c r="U1293" s="57">
        <v>1</v>
      </c>
      <c r="V1293" s="58"/>
      <c r="W1293" s="58"/>
      <c r="X1293" s="30">
        <f>IF(AF1293="DoEV",IF(AND(V1293&lt;20,W1293&lt;55),0.3,0)+IF(AND(V1293&lt;20,W1293&gt;=55,W1293&lt;105),0.23,0)+IF(AND(V1293&lt;20,W1293&gt;=105),0.17,0)+IF(AND(V1293&gt;=20,V1293&lt;40,W1293&lt;45),0.3,0)+IF(AND(V1293&gt;=20,V1293&lt;40,W1293&gt;=45,W1293&lt;95),0.23,0)+IF(AND(V1293&gt;=20,V1293&lt;40,W1293&gt;=95),0.17,0)+IF(AND(V1293&gt;=40,V1293&lt;75,W1293&lt;35),0.3,0)+IF(AND(V1293&gt;=40,V1293&lt;75,W1293&gt;=35,W1293&lt;75),0.23,0)+IF(AND(V1293&gt;=40,V1293&lt;75,W1293&gt;=75,W1293&lt;120),0.17,0)+IF(AND(V1293&gt;=40,V1293&lt;75,W1293&gt;=120),0.12,0)+IF(AND(V1293&gt;=75,V1293&lt;175,W1293&lt;35),0.3,0)+IF(AND(V1293&gt;=75,V1293&lt;=175,W1293&gt;=35,W1293&lt;65),0.23,0)+IF(AND(V1293&gt;=75,V1293&lt;=175,W1293&gt;=65,W1293&lt;110),0.17,0)+IF(AND(V1293&gt;=75,V1293&lt;=175,W1293&gt;=110),0.12,0)+IF(AND(V1293&gt;175,W1293&lt;25),0.3,0)+IF(AND(V1293&gt;175,W1293&gt;=25,W1293&lt;55),0.23,0)+IF(AND(V1293&gt;175,W1293&gt;=55,W1293&lt;95),0.17,0)+IF(AND(V1293&gt;175,W1293&gt;=95),0.12,0),
IF(AF1293="Fix15",0.15,
IF(AF1293="Fix18.75",0.1875,
IF(AF1293="Fix11.25",0.1125,
IF(AF1293="Fix10",0.1,
IF(AF1293="Fix9",0.09,
IF(AF1293="Fix19",0.19,
IF(AF1293="DoEV2017",IF(AND(W1293&lt;74),0.2,0)+IF(AND(W1293&gt;=74),0.17,0),
IF(AF1293="SF",IF(AND(V1293&lt;20,W1293&lt;89),0.3,0)+IF(AND(V1293&lt;20,W1293&gt;=89),0.25,0)+IF(AND(V1293&gt;=20,V1293&lt;40,W1293&lt;74),0.3,0)+IF(AND(V1293&gt;=20,V1293&lt;40,W1293&gt;=75),0.22,0)+IF(AND(V1293&gt;=40,V1293&lt;75,W1293&lt;75),0.26,0)+IF(AND(V1293&gt;=40,V1293&lt;75,W1293&gt;=75),0.22,0)+IF(V1293&gt;=75,0.22,0),
IF(AF1293="DoEVold",IF(AND(V1293&lt;40,W1293&lt;35),0.35,0)+IF(AND(V1293&lt;40,W1293&gt;=35,W1293&lt;75),0.25,0)+IF(AND(V1293&lt;40,W1293&gt;=75),0.17,0)+IF(AND(V1293&gt;=40,V1293&lt;75,W1293&lt;25),0.35,0)+IF(AND(V1293&gt;=40,V1293&lt;75,W1293&gt;=25,W1293&lt;65),0.25,0)+IF(AND(V1293&gt;=40,V1293&lt;75,W1293&gt;=65,W1293&lt;100),0.17,0)+IF(AND(V1293&gt;=40,V1293&lt;75,W1293&gt;=100),0.1,0)+IF(AND(V1293&gt;=75,W1293&lt;25),0.35,0)+IF(AND(V1293&gt;=75,W1293&gt;=25,W1293&lt;60),0.25,0)+IF(AND(V1293&gt;=75,W1293&gt;=60,W1293&lt;95),0.17,0)+IF(AND(V1293&gt;=75,W1293&gt;=95),0.1,0),
IF(AF1293="DoEVold15",IF(AND(V1293&lt;=40,W1293&lt;35),0.35,0)+IF(AND(V1293&lt;=40,W1293&gt;=35,W1293&lt;75),0.25,0)+IF(AND(V1293&lt;=40,W1293&gt;=75,W1293&lt;120),0.17,0)+IF(AND(V1293&lt;=40,W1293&gt;=120),0.15,0)+IF(AND(V1293&gt;40,V1293&lt;75,W1293&lt;25),0.35,0)+IF(AND(V1293&gt;=40,V1293&lt;75,W1293&gt;=25,W1293&lt;65),0.25,0)+IF(AND(V1293&gt;=40,V1293&lt;75,W1293&gt;=65,W1293&lt;100),0.17,0)+IF(AND(V1293&gt;=40,V1293&lt;75,W1293&gt;=100),0.1,0)+IF(AND(V1293&gt;=75,W1293&lt;25),0.35,0)+IF(AND(V1293&gt;=75,W1293&gt;=25,W1293&lt;60),0.25,0)+IF(AND(V1293&gt;=75,W1293&gt;=60,W1293&lt;95),0.17,0)+IF(AND(V1293&gt;=75,W1293&gt;=95),0.1,0),
IF(AF1293="DoEVba",IF(AND(V1293&lt;20,W1293&lt;105),0.2,0)+IF(AND(V1293&lt;20,W1293&gt;=105),0.15,0)+IF(AND(V1293&gt;=20,V1293&lt;40,W1293&lt;95),0.2,0)+IF(AND(V1293&gt;=20,V1293&lt;40,W1293&gt;=95,W1293&lt;150),0.15,0)+IF(AND(V1293&gt;=20,V1293&lt;40,W1293&gt;=150),0.12,0)+IF(AND(V1293&gt;=40,V1293&lt;75,W1293&lt;75),0.2,0)+IF(AND(V1293&gt;=40,V1293&lt;75,W1293&gt;=75,W1293&lt;120),0.15,0)+IF(AND(V1293&gt;=40,V1293&lt;75,W1293&gt;=120),0.12,0)+IF(AND(V1293&gt;=75,V1293&lt;175,W1293&lt;65),0.2,0)+IF(AND(V1293&gt;=75,V1293&lt;175,W1293&gt;=65,W1293&lt;110),0.15,0)+IF(AND(V1293&gt;=75,V1293&lt;175,W1293&gt;=110),0.12,0)+IF(AND(V1293&gt;=175,W1293&lt;55),0.2,0)+IF(AND(V1293&gt;=175,W1293&gt;=55,W1293&lt;95),0.15,0)+IF(AND(V1293&gt;=175,W1293&gt;=95),0.12,0),
IF(AF1293="DoEVku",IF(AND(V1293&lt;20,W1293&lt;55),0.23,0)+IF(AND(V1293&lt;20,W1293&gt;=55,W1293&lt;105),0.2,0)+IF(AND(V1293&lt;20,W1293&gt;=105),0.17,0)+IF(AND(V1293&gt;=20,V1293&lt;40,W1293&lt;45),0.23,0)+IF(AND(V1293&gt;=20,V1293&lt;40,W1293&gt;=45,W1293&lt;95),0.2,0)+IF(AND(V1293&gt;=20,V1293&lt;40,W1293&gt;=95,W1293&lt;=150),0.17,0)+IF(AND(V1293&gt;=20,V1293&lt;40,W1293&gt;=150),0.12,0)+IF(AND(V1293&gt;=40,V1293&lt;75,W1293&lt;35),0.23,0)+IF(AND(V1293&gt;=40,V1293&lt;75,W1293&gt;=35,W1293&lt;75),0.2,0)+IF(AND(V1293&gt;=40,V1293&lt;75,W1293&gt;=75,W1293&lt;120),0.17,0)+IF(AND(V1293&gt;=40,V1293&lt;75,W1293&gt;=120),0.12,0)+IF(AND(V1293&gt;=75,V1293&lt;175,W1293&lt;35),0.23,0)+IF(AND(V1293&gt;=75,V1293&lt;=175,W1293&gt;=35,W1293&lt;65),0.2,0)+IF(AND(V1293&gt;=75,V1293&lt;=175,W1293&gt;=65,W1293&lt;110),0.17,0)+IF(AND(V1293&gt;=75,V1293&lt;=175,W1293&gt;=110),0.12,0)+IF(AND(V1293&gt;175,W1293&lt;25),0.23,0)+IF(AND(V1293&gt;175,W1293&gt;=25,W1293&lt;55),0.2,0)+IF(AND(V1293&gt;175,W1293&gt;=55,W1293&lt;95),0.17,0)+IF(AND(V1293&gt;175,W1293&gt;=95),0.12,0),
IF(AF1293="DoEVs1",IF(AND(V1293&lt;20,W1293&lt;55),0.3,0)+IF(AND(V1293&lt;20,W1293&gt;=55,W1293&lt;105),0.23,0)+IF(AND(V1293&lt;20,W1293&gt;=105),0.17,0)+IF(AND(V1293&gt;=20,V1293&lt;40,W1293&lt;45),0.3,0)+IF(AND(V1293&gt;=20,V1293&lt;40,W1293&gt;=45,W1293&lt;95),0.23,0)+IF(AND(V1293&gt;=20,V1293&lt;40,W1293&gt;=95,W1293&lt;=150),0.17,0)+IF(AND(V1293&gt;=20,V1293&lt;40,W1293&gt;=150),0.12,0)+IF(AND(V1293&gt;=40,V1293&lt;75,W1293&lt;35),0.3,0)+IF(AND(V1293&gt;=40,V1293&lt;75,W1293&gt;=35,W1293&lt;75),0.23,0)+IF(AND(V1293&gt;=40,V1293&lt;75,W1293&gt;=75,W1293&lt;120),0.17,0)+IF(AND(V1293&gt;=40,V1293&lt;75,W1293&gt;=120),0.12,0)+IF(AND(V1293&gt;=75,V1293&lt;175,W1293&lt;35),0.3,0)+IF(AND(V1293&gt;=75,V1293&lt;=175,W1293&gt;=35,W1293&lt;65),0.23,0)+IF(AND(V1293&gt;=75,V1293&lt;=175,W1293&gt;=65,W1293&lt;110),0.17,0)+IF(AND(V1293&gt;=75,V1293&lt;=175,W1293&gt;=110),0.12,0)+IF(AND(V1293&gt;175,W1293&lt;25),0.3,0)+IF(AND(V1293&gt;175,W1293&gt;=25,W1293&lt;55),0.23,0)+IF(AND(V1293&gt;175,W1293&gt;=55,W1293&lt;95),0.17,0)+IF(AND(V1293&gt;175,W1293&gt;=95),0.12,0),
IF(AF1293="DoEVsu",IF(AND(V1293&lt;20,W1293&lt;55),0.3,0)+IF(AND(V1293&lt;20,W1293&gt;=55,W1293&lt;105),0.23,0)+IF(AND(V1293&lt;20,W1293&gt;=105),0.17,0)+IF(AND(V1293&gt;=20,V1293&lt;40,W1293&lt;45),0.3,0)+IF(AND(V1293&gt;=20,V1293&lt;40,W1293&gt;=45,W1293&lt;95),0.23,0)+IF(AND(V1293&gt;=20,V1293&lt;40,W1293&gt;=95,W1293&lt;=250),0.17,0)+IF(AND(V1293&gt;=20,V1293&lt;40,W1293&gt;=250),0.12,0)+IF(AND(V1293&gt;=40,V1293&lt;75,W1293&lt;35),0.3,0)+IF(AND(V1293&gt;=40,V1293&lt;75,W1293&gt;=35,W1293&lt;75),0.23,0)+IF(AND(V1293&gt;=40,V1293&lt;75,W1293&gt;=75,W1293&lt;120),0.17,0)+IF(AND(V1293&gt;=40,V1293&lt;75,W1293&gt;=120),0.12,0)+IF(AND(V1293&gt;=75,V1293&lt;175,W1293&lt;35),0.3,0)+IF(AND(V1293&gt;=75,V1293&lt;=175,W1293&gt;=35,W1293&lt;65),0.23,0)+IF(AND(V1293&gt;=75,V1293&lt;=175,W1293&gt;=65,W1293&lt;110),0.17,0)+IF(AND(V1293&gt;=75,V1293&lt;=175,W1293&gt;=110),0.12,0)+IF(AND(V1293&gt;175,W1293&lt;25),0.3,0)+IF(AND(V1293&gt;175,W1293&gt;=25,W1293&lt;55),0.23,0)+IF(AND(V1293&gt;175,W1293&gt;=55,W1293&lt;95),0.17,0)+IF(AND(V1293&gt;175,W1293&gt;=95),0.12,0),
IF(AF1293="DoEVni",IF(AND(V1293&lt;20,W1293&lt;55),0.3,0)+IF(AND(V1293&lt;20,W1293&gt;=55,W1293&lt;105),0.23,0)+IF(AND(V1293&lt;20,W1293&gt;=105),0.17,0)+IF(AND(V1293&gt;=20,V1293&lt;40,W1293&lt;45),0.3,0)+IF(AND(V1293&gt;=20,V1293&lt;40,W1293&gt;=45,W1293&lt;95),0.23,0)+IF(AND(V1293&gt;=20,V1293&lt;40,W1293&gt;=95,W1293&lt;=200),0.17,0)+IF(AND(V1293&gt;=20,V1293&lt;40,W1293&gt;=200),0.12,0)+IF(AND(V1293&gt;=40,V1293&lt;75,W1293&lt;35),0.3,0)+IF(AND(V1293&gt;=40,V1293&lt;75,W1293&gt;=35,W1293&lt;75),0.23,0)+IF(AND(V1293&gt;=40,V1293&lt;75,W1293&gt;=75,W1293&lt;120),0.17,0)+IF(AND(V1293&gt;=40,V1293&lt;75,W1293&gt;=120),0.12,0)+IF(AND(V1293&gt;=75,V1293&lt;175,W1293&lt;35),0.3,0)+IF(AND(V1293&gt;=75,V1293&lt;=175,W1293&gt;=35,W1293&lt;65),0.23,0)+IF(AND(V1293&gt;=75,V1293&lt;=175,W1293&gt;=65,W1293&lt;110),0.17,0)+IF(AND(V1293&gt;=75,V1293&lt;=175,W1293&gt;=110),0.12,0)+IF(AND(V1293&gt;175,W1293&lt;25),0.3,0)+IF(AND(V1293&gt;175,W1293&gt;=25,W1293&lt;55),0.23,0)+IF(AND(V1293&gt;175,W1293&gt;=55,W1293&lt;95),0.17,0)+IF(AND(V1293&gt;175,W1293&gt;=95),0.12,0),
IF(AF1293="DoEVLo",IF(AND(V1293&lt;20,W1293&lt;55),0.25,0)+IF(AND(V1293&lt;20,W1293&gt;=55,W1293&lt;105),0.2,0)+IF(AND(V1293&lt;20,W1293&gt;=105),0.15,0)+IF(AND(V1293&gt;=20,V1293&lt;40,W1293&lt;45),0.25,0)+IF(AND(V1293&gt;=20,V1293&lt;40,W1293&gt;=45,W1293&lt;95),0.2,0)+IF(AND(V1293&gt;=20,V1293&lt;40,W1293&gt;=95),0.15,0)+IF(AND(V1293&gt;=40,V1293&lt;75,W1293&lt;35),0.25,0)+IF(AND(V1293&gt;=40,V1293&lt;75,W1293&gt;=35,W1293&lt;75),0.2,0)+IF(AND(V1293&gt;=40,V1293&lt;75,W1293&gt;=75,W1293&lt;120),0.15,0)+IF(AND(V1293&gt;=40,V1293&lt;75,W1293&gt;=120),0.1,0)+IF(AND(V1293&gt;=75,V1293&lt;175,W1293&lt;35),0.25,0)+IF(AND(V1293&gt;=75,V1293&lt;=175,W1293&gt;=35,W1293&lt;65),0.2,0)+IF(AND(V1293&gt;=75,V1293&lt;=175,W1293&gt;=65,W1293&lt;110),0.15,0)+IF(AND(V1293&gt;=75,V1293&lt;=175,W1293&gt;=110),0.1,0)+IF(AND(V1293&gt;175,W1293&lt;25),0.25,0)+IF(AND(V1293&gt;175,W1293&gt;=25,W1293&lt;55),0.2,0)+IF(AND(V1293&gt;175,W1293&gt;=55,W1293&lt;95),0.15,0)+IF(AND(V1293&gt;175,W1293&gt;=95),0.1,0))))))))))))))))))</f>
        <v>0.3</v>
      </c>
      <c r="Y1293" s="30">
        <f>IF(AG1293="None",0,IF(AG1293="Fix5",0.05, IF(AG1293="Fix6.25",0.0625,IF(AG1293="Fix3.75",0.0375,IF(AG1293="Fix10",0.1,IF(AG1293="Fix3",0.03,0))))))</f>
        <v>0</v>
      </c>
      <c r="Z1293" s="35">
        <f>T1293-AA1293-AB1293</f>
        <v>-575.4</v>
      </c>
      <c r="AA1293" s="29">
        <f>IF(AD1293="EUR",((T1293-R1293)*X1293)*U1293+(R1293*X1293),(T1293*X1293))</f>
        <v>-246.6</v>
      </c>
      <c r="AB1293" s="36">
        <f>IF(AD1293="EUR",((T1293-R1293)*Y1293)*U1293+(R1293*Y1293),(T1293*Y1293))</f>
        <v>0</v>
      </c>
      <c r="AC1293" s="37" t="b">
        <v>1</v>
      </c>
      <c r="AD1293" s="37" t="s">
        <v>38</v>
      </c>
      <c r="AE1293" s="37" t="s">
        <v>38</v>
      </c>
      <c r="AF1293" s="37" t="str">
        <f t="array" ref="AF1293">INDEX('Deal Info'!D:D, MATCH(A1293,'Deal Info'!A:A, 0))</f>
        <v>DoEV</v>
      </c>
      <c r="AG1293" s="38" t="str">
        <f t="array" ref="AG1293">INDEX('Deal Info'!G:G, MATCH(A1293,'Deal Info'!A:A, 0))</f>
        <v>None</v>
      </c>
    </row>
    <row r="1294" spans="1:33" ht="14.25" hidden="1" x14ac:dyDescent="0.2">
      <c r="A1294" s="18" t="str">
        <f t="array" ref="A1294">IF(G1294='Room Info'!$B$1, INDEX('Room Info'!$A$2:$A2446, MATCH(B1294,'Room Info'!$B$2:$B2446, 0)),IF(G1294='Room Info'!$C$1, INDEX('Room Info'!$A$2:$A2446, MATCH(B1294,'Room Info'!$C$2:$C2446, 0)),IF(G1294='Room Info'!$D$1, INDEX('Room Info'!$A$2:$A2446, MATCH(B1294,'Room Info'!$D$2:$D2446, 0)),IF(G1294='Room Info'!$E$1, INDEX('Room Info'!$A$2:$A2446, MATCH(B1294,'Room Info'!$E$2:$E2446, 0)),IF(G1294='Room Info'!$F$1, INDEX('Room Info'!$A$2:$A2446, MATCH(B1294,'Room Info'!$F$2:$F2446, 0)),IF(G1294='Room Info'!$H$1, INDEX('Room Info'!$A$2:$A2446, MATCH(B1294,'Room Info'!$H$2:$H2446, 0)),IF(G1294='Room Info'!$G$1, INDEX('Room Info'!$A$2:$A2446, MATCH(B1294,'Room Info'!$G$2:$G2446, 0)))))))))</f>
        <v>ushakov17</v>
      </c>
      <c r="B1294" s="45" t="s">
        <v>205</v>
      </c>
      <c r="C1294" s="46">
        <v>44866</v>
      </c>
      <c r="D1294" s="46">
        <v>44895</v>
      </c>
      <c r="E1294" s="47">
        <v>44866</v>
      </c>
      <c r="F1294" s="48" t="s">
        <v>41</v>
      </c>
      <c r="G1294" s="54" t="s">
        <v>35</v>
      </c>
      <c r="H1294" s="49" t="s">
        <v>115</v>
      </c>
      <c r="I1294" s="49" t="s">
        <v>44</v>
      </c>
      <c r="J1294" s="74">
        <v>10</v>
      </c>
      <c r="K1294" s="75">
        <v>2</v>
      </c>
      <c r="L1294" s="72">
        <v>10</v>
      </c>
      <c r="M1294" s="62"/>
      <c r="N1294" s="28">
        <f>K1294*J1294</f>
        <v>20</v>
      </c>
      <c r="O1294" s="96"/>
      <c r="P1294" s="29">
        <v>0</v>
      </c>
      <c r="Q1294" s="55"/>
      <c r="R1294" s="31">
        <f>M1294+Q1294</f>
        <v>0</v>
      </c>
      <c r="S1294" s="97"/>
      <c r="T1294" s="32">
        <f>R1294+S1294+IF(F1294="Without EV deal",L1294,0)</f>
        <v>10</v>
      </c>
      <c r="U1294" s="57">
        <v>1</v>
      </c>
      <c r="V1294" s="58"/>
      <c r="W1294" s="58"/>
      <c r="X1294" s="30">
        <f>IF(AF1294="DoEV",IF(AND(V1294&lt;20,W1294&lt;55),0.3,0)+IF(AND(V1294&lt;20,W1294&gt;=55,W1294&lt;105),0.23,0)+IF(AND(V1294&lt;20,W1294&gt;=105),0.17,0)+IF(AND(V1294&gt;=20,V1294&lt;40,W1294&lt;45),0.3,0)+IF(AND(V1294&gt;=20,V1294&lt;40,W1294&gt;=45,W1294&lt;95),0.23,0)+IF(AND(V1294&gt;=20,V1294&lt;40,W1294&gt;=95),0.17,0)+IF(AND(V1294&gt;=40,V1294&lt;75,W1294&lt;35),0.3,0)+IF(AND(V1294&gt;=40,V1294&lt;75,W1294&gt;=35,W1294&lt;75),0.23,0)+IF(AND(V1294&gt;=40,V1294&lt;75,W1294&gt;=75,W1294&lt;120),0.17,0)+IF(AND(V1294&gt;=40,V1294&lt;75,W1294&gt;=120),0.12,0)+IF(AND(V1294&gt;=75,V1294&lt;175,W1294&lt;35),0.3,0)+IF(AND(V1294&gt;=75,V1294&lt;=175,W1294&gt;=35,W1294&lt;65),0.23,0)+IF(AND(V1294&gt;=75,V1294&lt;=175,W1294&gt;=65,W1294&lt;110),0.17,0)+IF(AND(V1294&gt;=75,V1294&lt;=175,W1294&gt;=110),0.12,0)+IF(AND(V1294&gt;175,W1294&lt;25),0.3,0)+IF(AND(V1294&gt;175,W1294&gt;=25,W1294&lt;55),0.23,0)+IF(AND(V1294&gt;175,W1294&gt;=55,W1294&lt;95),0.17,0)+IF(AND(V1294&gt;175,W1294&gt;=95),0.12,0),
IF(AF1294="Fix15",0.15,
IF(AF1294="Fix18.75",0.1875,
IF(AF1294="Fix11.25",0.1125,
IF(AF1294="Fix10",0.1,
IF(AF1294="Fix9",0.09,
IF(AF1294="Fix19",0.19,
IF(AF1294="DoEV2017",IF(AND(W1294&lt;74),0.2,0)+IF(AND(W1294&gt;=74),0.17,0),
IF(AF1294="SF",IF(AND(V1294&lt;20,W1294&lt;89),0.3,0)+IF(AND(V1294&lt;20,W1294&gt;=89),0.25,0)+IF(AND(V1294&gt;=20,V1294&lt;40,W1294&lt;74),0.3,0)+IF(AND(V1294&gt;=20,V1294&lt;40,W1294&gt;=75),0.22,0)+IF(AND(V1294&gt;=40,V1294&lt;75,W1294&lt;75),0.26,0)+IF(AND(V1294&gt;=40,V1294&lt;75,W1294&gt;=75),0.22,0)+IF(V1294&gt;=75,0.22,0),
IF(AF1294="DoEVold",IF(AND(V1294&lt;40,W1294&lt;35),0.35,0)+IF(AND(V1294&lt;40,W1294&gt;=35,W1294&lt;75),0.25,0)+IF(AND(V1294&lt;40,W1294&gt;=75),0.17,0)+IF(AND(V1294&gt;=40,V1294&lt;75,W1294&lt;25),0.35,0)+IF(AND(V1294&gt;=40,V1294&lt;75,W1294&gt;=25,W1294&lt;65),0.25,0)+IF(AND(V1294&gt;=40,V1294&lt;75,W1294&gt;=65,W1294&lt;100),0.17,0)+IF(AND(V1294&gt;=40,V1294&lt;75,W1294&gt;=100),0.1,0)+IF(AND(V1294&gt;=75,W1294&lt;25),0.35,0)+IF(AND(V1294&gt;=75,W1294&gt;=25,W1294&lt;60),0.25,0)+IF(AND(V1294&gt;=75,W1294&gt;=60,W1294&lt;95),0.17,0)+IF(AND(V1294&gt;=75,W1294&gt;=95),0.1,0),
IF(AF1294="DoEVold15",IF(AND(V1294&lt;=40,W1294&lt;35),0.35,0)+IF(AND(V1294&lt;=40,W1294&gt;=35,W1294&lt;75),0.25,0)+IF(AND(V1294&lt;=40,W1294&gt;=75,W1294&lt;120),0.17,0)+IF(AND(V1294&lt;=40,W1294&gt;=120),0.15,0)+IF(AND(V1294&gt;40,V1294&lt;75,W1294&lt;25),0.35,0)+IF(AND(V1294&gt;=40,V1294&lt;75,W1294&gt;=25,W1294&lt;65),0.25,0)+IF(AND(V1294&gt;=40,V1294&lt;75,W1294&gt;=65,W1294&lt;100),0.17,0)+IF(AND(V1294&gt;=40,V1294&lt;75,W1294&gt;=100),0.1,0)+IF(AND(V1294&gt;=75,W1294&lt;25),0.35,0)+IF(AND(V1294&gt;=75,W1294&gt;=25,W1294&lt;60),0.25,0)+IF(AND(V1294&gt;=75,W1294&gt;=60,W1294&lt;95),0.17,0)+IF(AND(V1294&gt;=75,W1294&gt;=95),0.1,0),
IF(AF1294="DoEVba",IF(AND(V1294&lt;20,W1294&lt;105),0.2,0)+IF(AND(V1294&lt;20,W1294&gt;=105),0.15,0)+IF(AND(V1294&gt;=20,V1294&lt;40,W1294&lt;95),0.2,0)+IF(AND(V1294&gt;=20,V1294&lt;40,W1294&gt;=95,W1294&lt;150),0.15,0)+IF(AND(V1294&gt;=20,V1294&lt;40,W1294&gt;=150),0.12,0)+IF(AND(V1294&gt;=40,V1294&lt;75,W1294&lt;75),0.2,0)+IF(AND(V1294&gt;=40,V1294&lt;75,W1294&gt;=75,W1294&lt;120),0.15,0)+IF(AND(V1294&gt;=40,V1294&lt;75,W1294&gt;=120),0.12,0)+IF(AND(V1294&gt;=75,V1294&lt;175,W1294&lt;65),0.2,0)+IF(AND(V1294&gt;=75,V1294&lt;175,W1294&gt;=65,W1294&lt;110),0.15,0)+IF(AND(V1294&gt;=75,V1294&lt;175,W1294&gt;=110),0.12,0)+IF(AND(V1294&gt;=175,W1294&lt;55),0.2,0)+IF(AND(V1294&gt;=175,W1294&gt;=55,W1294&lt;95),0.15,0)+IF(AND(V1294&gt;=175,W1294&gt;=95),0.12,0),
IF(AF1294="DoEVku",IF(AND(V1294&lt;20,W1294&lt;55),0.23,0)+IF(AND(V1294&lt;20,W1294&gt;=55,W1294&lt;105),0.2,0)+IF(AND(V1294&lt;20,W1294&gt;=105),0.17,0)+IF(AND(V1294&gt;=20,V1294&lt;40,W1294&lt;45),0.23,0)+IF(AND(V1294&gt;=20,V1294&lt;40,W1294&gt;=45,W1294&lt;95),0.2,0)+IF(AND(V1294&gt;=20,V1294&lt;40,W1294&gt;=95,W1294&lt;=150),0.17,0)+IF(AND(V1294&gt;=20,V1294&lt;40,W1294&gt;=150),0.12,0)+IF(AND(V1294&gt;=40,V1294&lt;75,W1294&lt;35),0.23,0)+IF(AND(V1294&gt;=40,V1294&lt;75,W1294&gt;=35,W1294&lt;75),0.2,0)+IF(AND(V1294&gt;=40,V1294&lt;75,W1294&gt;=75,W1294&lt;120),0.17,0)+IF(AND(V1294&gt;=40,V1294&lt;75,W1294&gt;=120),0.12,0)+IF(AND(V1294&gt;=75,V1294&lt;175,W1294&lt;35),0.23,0)+IF(AND(V1294&gt;=75,V1294&lt;=175,W1294&gt;=35,W1294&lt;65),0.2,0)+IF(AND(V1294&gt;=75,V1294&lt;=175,W1294&gt;=65,W1294&lt;110),0.17,0)+IF(AND(V1294&gt;=75,V1294&lt;=175,W1294&gt;=110),0.12,0)+IF(AND(V1294&gt;175,W1294&lt;25),0.23,0)+IF(AND(V1294&gt;175,W1294&gt;=25,W1294&lt;55),0.2,0)+IF(AND(V1294&gt;175,W1294&gt;=55,W1294&lt;95),0.17,0)+IF(AND(V1294&gt;175,W1294&gt;=95),0.12,0),
IF(AF1294="DoEVs1",IF(AND(V1294&lt;20,W1294&lt;55),0.3,0)+IF(AND(V1294&lt;20,W1294&gt;=55,W1294&lt;105),0.23,0)+IF(AND(V1294&lt;20,W1294&gt;=105),0.17,0)+IF(AND(V1294&gt;=20,V1294&lt;40,W1294&lt;45),0.3,0)+IF(AND(V1294&gt;=20,V1294&lt;40,W1294&gt;=45,W1294&lt;95),0.23,0)+IF(AND(V1294&gt;=20,V1294&lt;40,W1294&gt;=95,W1294&lt;=150),0.17,0)+IF(AND(V1294&gt;=20,V1294&lt;40,W1294&gt;=150),0.12,0)+IF(AND(V1294&gt;=40,V1294&lt;75,W1294&lt;35),0.3,0)+IF(AND(V1294&gt;=40,V1294&lt;75,W1294&gt;=35,W1294&lt;75),0.23,0)+IF(AND(V1294&gt;=40,V1294&lt;75,W1294&gt;=75,W1294&lt;120),0.17,0)+IF(AND(V1294&gt;=40,V1294&lt;75,W1294&gt;=120),0.12,0)+IF(AND(V1294&gt;=75,V1294&lt;175,W1294&lt;35),0.3,0)+IF(AND(V1294&gt;=75,V1294&lt;=175,W1294&gt;=35,W1294&lt;65),0.23,0)+IF(AND(V1294&gt;=75,V1294&lt;=175,W1294&gt;=65,W1294&lt;110),0.17,0)+IF(AND(V1294&gt;=75,V1294&lt;=175,W1294&gt;=110),0.12,0)+IF(AND(V1294&gt;175,W1294&lt;25),0.3,0)+IF(AND(V1294&gt;175,W1294&gt;=25,W1294&lt;55),0.23,0)+IF(AND(V1294&gt;175,W1294&gt;=55,W1294&lt;95),0.17,0)+IF(AND(V1294&gt;175,W1294&gt;=95),0.12,0),
IF(AF1294="DoEVsu",IF(AND(V1294&lt;20,W1294&lt;55),0.3,0)+IF(AND(V1294&lt;20,W1294&gt;=55,W1294&lt;105),0.23,0)+IF(AND(V1294&lt;20,W1294&gt;=105),0.17,0)+IF(AND(V1294&gt;=20,V1294&lt;40,W1294&lt;45),0.3,0)+IF(AND(V1294&gt;=20,V1294&lt;40,W1294&gt;=45,W1294&lt;95),0.23,0)+IF(AND(V1294&gt;=20,V1294&lt;40,W1294&gt;=95,W1294&lt;=250),0.17,0)+IF(AND(V1294&gt;=20,V1294&lt;40,W1294&gt;=250),0.12,0)+IF(AND(V1294&gt;=40,V1294&lt;75,W1294&lt;35),0.3,0)+IF(AND(V1294&gt;=40,V1294&lt;75,W1294&gt;=35,W1294&lt;75),0.23,0)+IF(AND(V1294&gt;=40,V1294&lt;75,W1294&gt;=75,W1294&lt;120),0.17,0)+IF(AND(V1294&gt;=40,V1294&lt;75,W1294&gt;=120),0.12,0)+IF(AND(V1294&gt;=75,V1294&lt;175,W1294&lt;35),0.3,0)+IF(AND(V1294&gt;=75,V1294&lt;=175,W1294&gt;=35,W1294&lt;65),0.23,0)+IF(AND(V1294&gt;=75,V1294&lt;=175,W1294&gt;=65,W1294&lt;110),0.17,0)+IF(AND(V1294&gt;=75,V1294&lt;=175,W1294&gt;=110),0.12,0)+IF(AND(V1294&gt;175,W1294&lt;25),0.3,0)+IF(AND(V1294&gt;175,W1294&gt;=25,W1294&lt;55),0.23,0)+IF(AND(V1294&gt;175,W1294&gt;=55,W1294&lt;95),0.17,0)+IF(AND(V1294&gt;175,W1294&gt;=95),0.12,0),
IF(AF1294="DoEVni",IF(AND(V1294&lt;20,W1294&lt;55),0.3,0)+IF(AND(V1294&lt;20,W1294&gt;=55,W1294&lt;105),0.23,0)+IF(AND(V1294&lt;20,W1294&gt;=105),0.17,0)+IF(AND(V1294&gt;=20,V1294&lt;40,W1294&lt;45),0.3,0)+IF(AND(V1294&gt;=20,V1294&lt;40,W1294&gt;=45,W1294&lt;95),0.23,0)+IF(AND(V1294&gt;=20,V1294&lt;40,W1294&gt;=95,W1294&lt;=200),0.17,0)+IF(AND(V1294&gt;=20,V1294&lt;40,W1294&gt;=200),0.12,0)+IF(AND(V1294&gt;=40,V1294&lt;75,W1294&lt;35),0.3,0)+IF(AND(V1294&gt;=40,V1294&lt;75,W1294&gt;=35,W1294&lt;75),0.23,0)+IF(AND(V1294&gt;=40,V1294&lt;75,W1294&gt;=75,W1294&lt;120),0.17,0)+IF(AND(V1294&gt;=40,V1294&lt;75,W1294&gt;=120),0.12,0)+IF(AND(V1294&gt;=75,V1294&lt;175,W1294&lt;35),0.3,0)+IF(AND(V1294&gt;=75,V1294&lt;=175,W1294&gt;=35,W1294&lt;65),0.23,0)+IF(AND(V1294&gt;=75,V1294&lt;=175,W1294&gt;=65,W1294&lt;110),0.17,0)+IF(AND(V1294&gt;=75,V1294&lt;=175,W1294&gt;=110),0.12,0)+IF(AND(V1294&gt;175,W1294&lt;25),0.3,0)+IF(AND(V1294&gt;175,W1294&gt;=25,W1294&lt;55),0.23,0)+IF(AND(V1294&gt;175,W1294&gt;=55,W1294&lt;95),0.17,0)+IF(AND(V1294&gt;175,W1294&gt;=95),0.12,0),
IF(AF1294="DoEVLo",IF(AND(V1294&lt;20,W1294&lt;55),0.25,0)+IF(AND(V1294&lt;20,W1294&gt;=55,W1294&lt;105),0.2,0)+IF(AND(V1294&lt;20,W1294&gt;=105),0.15,0)+IF(AND(V1294&gt;=20,V1294&lt;40,W1294&lt;45),0.25,0)+IF(AND(V1294&gt;=20,V1294&lt;40,W1294&gt;=45,W1294&lt;95),0.2,0)+IF(AND(V1294&gt;=20,V1294&lt;40,W1294&gt;=95),0.15,0)+IF(AND(V1294&gt;=40,V1294&lt;75,W1294&lt;35),0.25,0)+IF(AND(V1294&gt;=40,V1294&lt;75,W1294&gt;=35,W1294&lt;75),0.2,0)+IF(AND(V1294&gt;=40,V1294&lt;75,W1294&gt;=75,W1294&lt;120),0.15,0)+IF(AND(V1294&gt;=40,V1294&lt;75,W1294&gt;=120),0.1,0)+IF(AND(V1294&gt;=75,V1294&lt;175,W1294&lt;35),0.25,0)+IF(AND(V1294&gt;=75,V1294&lt;=175,W1294&gt;=35,W1294&lt;65),0.2,0)+IF(AND(V1294&gt;=75,V1294&lt;=175,W1294&gt;=65,W1294&lt;110),0.15,0)+IF(AND(V1294&gt;=75,V1294&lt;=175,W1294&gt;=110),0.1,0)+IF(AND(V1294&gt;175,W1294&lt;25),0.25,0)+IF(AND(V1294&gt;175,W1294&gt;=25,W1294&lt;55),0.2,0)+IF(AND(V1294&gt;175,W1294&gt;=55,W1294&lt;95),0.15,0)+IF(AND(V1294&gt;175,W1294&gt;=95),0.1,0))))))))))))))))))</f>
        <v>0.3</v>
      </c>
      <c r="Y1294" s="30">
        <f>IF(AG1294="None",0,IF(AG1294="Fix5",0.05, IF(AG1294="Fix6.25",0.0625,IF(AG1294="Fix3.75",0.0375,IF(AG1294="Fix10",0.1,IF(AG1294="Fix3",0.03,0))))))</f>
        <v>0</v>
      </c>
      <c r="Z1294" s="35">
        <f>T1294-AA1294-AB1294</f>
        <v>7</v>
      </c>
      <c r="AA1294" s="29">
        <f>IF(AD1294="EUR",((T1294-R1294)*X1294)*U1294+(R1294*X1294),(T1294*X1294))</f>
        <v>3</v>
      </c>
      <c r="AB1294" s="36">
        <f>IF(AD1294="EUR",((T1294-R1294)*Y1294)*U1294+(R1294*Y1294),(T1294*Y1294))</f>
        <v>0</v>
      </c>
      <c r="AC1294" s="37" t="b">
        <v>1</v>
      </c>
      <c r="AD1294" s="37" t="s">
        <v>38</v>
      </c>
      <c r="AE1294" s="37" t="s">
        <v>38</v>
      </c>
      <c r="AF1294" s="37" t="str">
        <f t="array" ref="AF1294">INDEX('Deal Info'!D:D, MATCH(A1294,'Deal Info'!A:A, 0))</f>
        <v>DoEV</v>
      </c>
      <c r="AG1294" s="38" t="str">
        <f t="array" ref="AG1294">INDEX('Deal Info'!G:G, MATCH(A1294,'Deal Info'!A:A, 0))</f>
        <v>None</v>
      </c>
    </row>
    <row r="1295" spans="1:33" ht="14.25" hidden="1" x14ac:dyDescent="0.2">
      <c r="A1295" s="18" t="str">
        <f t="array" ref="A1295">IF(G1295='Room Info'!$B$1, INDEX('Room Info'!$A$2:$A2446, MATCH(B1295,'Room Info'!$B$2:$B2446, 0)),IF(G1295='Room Info'!$C$1, INDEX('Room Info'!$A$2:$A2446, MATCH(B1295,'Room Info'!$C$2:$C2446, 0)),IF(G1295='Room Info'!$D$1, INDEX('Room Info'!$A$2:$A2446, MATCH(B1295,'Room Info'!$D$2:$D2446, 0)),IF(G1295='Room Info'!$E$1, INDEX('Room Info'!$A$2:$A2446, MATCH(B1295,'Room Info'!$E$2:$E2446, 0)),IF(G1295='Room Info'!$F$1, INDEX('Room Info'!$A$2:$A2446, MATCH(B1295,'Room Info'!$F$2:$F2446, 0)),IF(G1295='Room Info'!$H$1, INDEX('Room Info'!$A$2:$A2446, MATCH(B1295,'Room Info'!$H$2:$H2446, 0)),IF(G1295='Room Info'!$G$1, INDEX('Room Info'!$A$2:$A2446, MATCH(B1295,'Room Info'!$G$2:$G2446, 0)))))))))</f>
        <v>ushakov17</v>
      </c>
      <c r="B1295" s="45" t="s">
        <v>205</v>
      </c>
      <c r="C1295" s="46">
        <v>44896</v>
      </c>
      <c r="D1295" s="46">
        <v>44926</v>
      </c>
      <c r="E1295" s="47">
        <v>44896</v>
      </c>
      <c r="F1295" s="45" t="s">
        <v>41</v>
      </c>
      <c r="G1295" s="45" t="s">
        <v>35</v>
      </c>
      <c r="H1295" s="49" t="s">
        <v>40</v>
      </c>
      <c r="I1295" s="49" t="s">
        <v>37</v>
      </c>
      <c r="J1295" s="74">
        <v>10</v>
      </c>
      <c r="K1295" s="75">
        <v>1888</v>
      </c>
      <c r="L1295" s="72">
        <v>570</v>
      </c>
      <c r="M1295" s="53">
        <v>419</v>
      </c>
      <c r="N1295" s="28">
        <f>K1295*J1295</f>
        <v>18880</v>
      </c>
      <c r="O1295" s="45">
        <v>56640</v>
      </c>
      <c r="P1295" s="29">
        <v>30</v>
      </c>
      <c r="Q1295" s="55"/>
      <c r="R1295" s="31">
        <f>M1295+Q1295</f>
        <v>419</v>
      </c>
      <c r="S1295" s="97"/>
      <c r="T1295" s="32">
        <f>R1295+S1295+IF(F1295="Without EV deal",L1295,0)</f>
        <v>989</v>
      </c>
      <c r="U1295" s="57">
        <v>1</v>
      </c>
      <c r="V1295" s="58"/>
      <c r="W1295" s="58"/>
      <c r="X1295" s="30">
        <f>IF(AF1295="DoEV",IF(AND(V1295&lt;20,W1295&lt;55),0.3,0)+IF(AND(V1295&lt;20,W1295&gt;=55,W1295&lt;105),0.23,0)+IF(AND(V1295&lt;20,W1295&gt;=105),0.17,0)+IF(AND(V1295&gt;=20,V1295&lt;40,W1295&lt;45),0.3,0)+IF(AND(V1295&gt;=20,V1295&lt;40,W1295&gt;=45,W1295&lt;95),0.23,0)+IF(AND(V1295&gt;=20,V1295&lt;40,W1295&gt;=95),0.17,0)+IF(AND(V1295&gt;=40,V1295&lt;75,W1295&lt;35),0.3,0)+IF(AND(V1295&gt;=40,V1295&lt;75,W1295&gt;=35,W1295&lt;75),0.23,0)+IF(AND(V1295&gt;=40,V1295&lt;75,W1295&gt;=75,W1295&lt;120),0.17,0)+IF(AND(V1295&gt;=40,V1295&lt;75,W1295&gt;=120),0.12,0)+IF(AND(V1295&gt;=75,V1295&lt;175,W1295&lt;35),0.3,0)+IF(AND(V1295&gt;=75,V1295&lt;=175,W1295&gt;=35,W1295&lt;65),0.23,0)+IF(AND(V1295&gt;=75,V1295&lt;=175,W1295&gt;=65,W1295&lt;110),0.17,0)+IF(AND(V1295&gt;=75,V1295&lt;=175,W1295&gt;=110),0.12,0)+IF(AND(V1295&gt;175,W1295&lt;25),0.3,0)+IF(AND(V1295&gt;175,W1295&gt;=25,W1295&lt;55),0.23,0)+IF(AND(V1295&gt;175,W1295&gt;=55,W1295&lt;95),0.17,0)+IF(AND(V1295&gt;175,W1295&gt;=95),0.12,0),
IF(AF1295="Fix15",0.15,
IF(AF1295="Fix18.75",0.1875,
IF(AF1295="Fix11.25",0.1125,
IF(AF1295="Fix10",0.1,
IF(AF1295="Fix9",0.09,
IF(AF1295="Fix19",0.19,
IF(AF1295="DoEV2017",IF(AND(W1295&lt;74),0.2,0)+IF(AND(W1295&gt;=74),0.17,0),
IF(AF1295="SF",IF(AND(V1295&lt;20,W1295&lt;89),0.3,0)+IF(AND(V1295&lt;20,W1295&gt;=89),0.25,0)+IF(AND(V1295&gt;=20,V1295&lt;40,W1295&lt;74),0.3,0)+IF(AND(V1295&gt;=20,V1295&lt;40,W1295&gt;=75),0.22,0)+IF(AND(V1295&gt;=40,V1295&lt;75,W1295&lt;75),0.26,0)+IF(AND(V1295&gt;=40,V1295&lt;75,W1295&gt;=75),0.22,0)+IF(V1295&gt;=75,0.22,0),
IF(AF1295="DoEVold",IF(AND(V1295&lt;40,W1295&lt;35),0.35,0)+IF(AND(V1295&lt;40,W1295&gt;=35,W1295&lt;75),0.25,0)+IF(AND(V1295&lt;40,W1295&gt;=75),0.17,0)+IF(AND(V1295&gt;=40,V1295&lt;75,W1295&lt;25),0.35,0)+IF(AND(V1295&gt;=40,V1295&lt;75,W1295&gt;=25,W1295&lt;65),0.25,0)+IF(AND(V1295&gt;=40,V1295&lt;75,W1295&gt;=65,W1295&lt;100),0.17,0)+IF(AND(V1295&gt;=40,V1295&lt;75,W1295&gt;=100),0.1,0)+IF(AND(V1295&gt;=75,W1295&lt;25),0.35,0)+IF(AND(V1295&gt;=75,W1295&gt;=25,W1295&lt;60),0.25,0)+IF(AND(V1295&gt;=75,W1295&gt;=60,W1295&lt;95),0.17,0)+IF(AND(V1295&gt;=75,W1295&gt;=95),0.1,0),
IF(AF1295="DoEVold15",IF(AND(V1295&lt;=40,W1295&lt;35),0.35,0)+IF(AND(V1295&lt;=40,W1295&gt;=35,W1295&lt;75),0.25,0)+IF(AND(V1295&lt;=40,W1295&gt;=75,W1295&lt;120),0.17,0)+IF(AND(V1295&lt;=40,W1295&gt;=120),0.15,0)+IF(AND(V1295&gt;40,V1295&lt;75,W1295&lt;25),0.35,0)+IF(AND(V1295&gt;=40,V1295&lt;75,W1295&gt;=25,W1295&lt;65),0.25,0)+IF(AND(V1295&gt;=40,V1295&lt;75,W1295&gt;=65,W1295&lt;100),0.17,0)+IF(AND(V1295&gt;=40,V1295&lt;75,W1295&gt;=100),0.1,0)+IF(AND(V1295&gt;=75,W1295&lt;25),0.35,0)+IF(AND(V1295&gt;=75,W1295&gt;=25,W1295&lt;60),0.25,0)+IF(AND(V1295&gt;=75,W1295&gt;=60,W1295&lt;95),0.17,0)+IF(AND(V1295&gt;=75,W1295&gt;=95),0.1,0),
IF(AF1295="DoEVba",IF(AND(V1295&lt;20,W1295&lt;105),0.2,0)+IF(AND(V1295&lt;20,W1295&gt;=105),0.15,0)+IF(AND(V1295&gt;=20,V1295&lt;40,W1295&lt;95),0.2,0)+IF(AND(V1295&gt;=20,V1295&lt;40,W1295&gt;=95,W1295&lt;150),0.15,0)+IF(AND(V1295&gt;=20,V1295&lt;40,W1295&gt;=150),0.12,0)+IF(AND(V1295&gt;=40,V1295&lt;75,W1295&lt;75),0.2,0)+IF(AND(V1295&gt;=40,V1295&lt;75,W1295&gt;=75,W1295&lt;120),0.15,0)+IF(AND(V1295&gt;=40,V1295&lt;75,W1295&gt;=120),0.12,0)+IF(AND(V1295&gt;=75,V1295&lt;175,W1295&lt;65),0.2,0)+IF(AND(V1295&gt;=75,V1295&lt;175,W1295&gt;=65,W1295&lt;110),0.15,0)+IF(AND(V1295&gt;=75,V1295&lt;175,W1295&gt;=110),0.12,0)+IF(AND(V1295&gt;=175,W1295&lt;55),0.2,0)+IF(AND(V1295&gt;=175,W1295&gt;=55,W1295&lt;95),0.15,0)+IF(AND(V1295&gt;=175,W1295&gt;=95),0.12,0),
IF(AF1295="DoEVku",IF(AND(V1295&lt;20,W1295&lt;55),0.23,0)+IF(AND(V1295&lt;20,W1295&gt;=55,W1295&lt;105),0.2,0)+IF(AND(V1295&lt;20,W1295&gt;=105),0.17,0)+IF(AND(V1295&gt;=20,V1295&lt;40,W1295&lt;45),0.23,0)+IF(AND(V1295&gt;=20,V1295&lt;40,W1295&gt;=45,W1295&lt;95),0.2,0)+IF(AND(V1295&gt;=20,V1295&lt;40,W1295&gt;=95,W1295&lt;=150),0.17,0)+IF(AND(V1295&gt;=20,V1295&lt;40,W1295&gt;=150),0.12,0)+IF(AND(V1295&gt;=40,V1295&lt;75,W1295&lt;35),0.23,0)+IF(AND(V1295&gt;=40,V1295&lt;75,W1295&gt;=35,W1295&lt;75),0.2,0)+IF(AND(V1295&gt;=40,V1295&lt;75,W1295&gt;=75,W1295&lt;120),0.17,0)+IF(AND(V1295&gt;=40,V1295&lt;75,W1295&gt;=120),0.12,0)+IF(AND(V1295&gt;=75,V1295&lt;175,W1295&lt;35),0.23,0)+IF(AND(V1295&gt;=75,V1295&lt;=175,W1295&gt;=35,W1295&lt;65),0.2,0)+IF(AND(V1295&gt;=75,V1295&lt;=175,W1295&gt;=65,W1295&lt;110),0.17,0)+IF(AND(V1295&gt;=75,V1295&lt;=175,W1295&gt;=110),0.12,0)+IF(AND(V1295&gt;175,W1295&lt;25),0.23,0)+IF(AND(V1295&gt;175,W1295&gt;=25,W1295&lt;55),0.2,0)+IF(AND(V1295&gt;175,W1295&gt;=55,W1295&lt;95),0.17,0)+IF(AND(V1295&gt;175,W1295&gt;=95),0.12,0),
IF(AF1295="DoEVs1",IF(AND(V1295&lt;20,W1295&lt;55),0.3,0)+IF(AND(V1295&lt;20,W1295&gt;=55,W1295&lt;105),0.23,0)+IF(AND(V1295&lt;20,W1295&gt;=105),0.17,0)+IF(AND(V1295&gt;=20,V1295&lt;40,W1295&lt;45),0.3,0)+IF(AND(V1295&gt;=20,V1295&lt;40,W1295&gt;=45,W1295&lt;95),0.23,0)+IF(AND(V1295&gt;=20,V1295&lt;40,W1295&gt;=95,W1295&lt;=150),0.17,0)+IF(AND(V1295&gt;=20,V1295&lt;40,W1295&gt;=150),0.12,0)+IF(AND(V1295&gt;=40,V1295&lt;75,W1295&lt;35),0.3,0)+IF(AND(V1295&gt;=40,V1295&lt;75,W1295&gt;=35,W1295&lt;75),0.23,0)+IF(AND(V1295&gt;=40,V1295&lt;75,W1295&gt;=75,W1295&lt;120),0.17,0)+IF(AND(V1295&gt;=40,V1295&lt;75,W1295&gt;=120),0.12,0)+IF(AND(V1295&gt;=75,V1295&lt;175,W1295&lt;35),0.3,0)+IF(AND(V1295&gt;=75,V1295&lt;=175,W1295&gt;=35,W1295&lt;65),0.23,0)+IF(AND(V1295&gt;=75,V1295&lt;=175,W1295&gt;=65,W1295&lt;110),0.17,0)+IF(AND(V1295&gt;=75,V1295&lt;=175,W1295&gt;=110),0.12,0)+IF(AND(V1295&gt;175,W1295&lt;25),0.3,0)+IF(AND(V1295&gt;175,W1295&gt;=25,W1295&lt;55),0.23,0)+IF(AND(V1295&gt;175,W1295&gt;=55,W1295&lt;95),0.17,0)+IF(AND(V1295&gt;175,W1295&gt;=95),0.12,0),
IF(AF1295="DoEVsu",IF(AND(V1295&lt;20,W1295&lt;55),0.3,0)+IF(AND(V1295&lt;20,W1295&gt;=55,W1295&lt;105),0.23,0)+IF(AND(V1295&lt;20,W1295&gt;=105),0.17,0)+IF(AND(V1295&gt;=20,V1295&lt;40,W1295&lt;45),0.3,0)+IF(AND(V1295&gt;=20,V1295&lt;40,W1295&gt;=45,W1295&lt;95),0.23,0)+IF(AND(V1295&gt;=20,V1295&lt;40,W1295&gt;=95,W1295&lt;=250),0.17,0)+IF(AND(V1295&gt;=20,V1295&lt;40,W1295&gt;=250),0.12,0)+IF(AND(V1295&gt;=40,V1295&lt;75,W1295&lt;35),0.3,0)+IF(AND(V1295&gt;=40,V1295&lt;75,W1295&gt;=35,W1295&lt;75),0.23,0)+IF(AND(V1295&gt;=40,V1295&lt;75,W1295&gt;=75,W1295&lt;120),0.17,0)+IF(AND(V1295&gt;=40,V1295&lt;75,W1295&gt;=120),0.12,0)+IF(AND(V1295&gt;=75,V1295&lt;175,W1295&lt;35),0.3,0)+IF(AND(V1295&gt;=75,V1295&lt;=175,W1295&gt;=35,W1295&lt;65),0.23,0)+IF(AND(V1295&gt;=75,V1295&lt;=175,W1295&gt;=65,W1295&lt;110),0.17,0)+IF(AND(V1295&gt;=75,V1295&lt;=175,W1295&gt;=110),0.12,0)+IF(AND(V1295&gt;175,W1295&lt;25),0.3,0)+IF(AND(V1295&gt;175,W1295&gt;=25,W1295&lt;55),0.23,0)+IF(AND(V1295&gt;175,W1295&gt;=55,W1295&lt;95),0.17,0)+IF(AND(V1295&gt;175,W1295&gt;=95),0.12,0),
IF(AF1295="DoEVni",IF(AND(V1295&lt;20,W1295&lt;55),0.3,0)+IF(AND(V1295&lt;20,W1295&gt;=55,W1295&lt;105),0.23,0)+IF(AND(V1295&lt;20,W1295&gt;=105),0.17,0)+IF(AND(V1295&gt;=20,V1295&lt;40,W1295&lt;45),0.3,0)+IF(AND(V1295&gt;=20,V1295&lt;40,W1295&gt;=45,W1295&lt;95),0.23,0)+IF(AND(V1295&gt;=20,V1295&lt;40,W1295&gt;=95,W1295&lt;=200),0.17,0)+IF(AND(V1295&gt;=20,V1295&lt;40,W1295&gt;=200),0.12,0)+IF(AND(V1295&gt;=40,V1295&lt;75,W1295&lt;35),0.3,0)+IF(AND(V1295&gt;=40,V1295&lt;75,W1295&gt;=35,W1295&lt;75),0.23,0)+IF(AND(V1295&gt;=40,V1295&lt;75,W1295&gt;=75,W1295&lt;120),0.17,0)+IF(AND(V1295&gt;=40,V1295&lt;75,W1295&gt;=120),0.12,0)+IF(AND(V1295&gt;=75,V1295&lt;175,W1295&lt;35),0.3,0)+IF(AND(V1295&gt;=75,V1295&lt;=175,W1295&gt;=35,W1295&lt;65),0.23,0)+IF(AND(V1295&gt;=75,V1295&lt;=175,W1295&gt;=65,W1295&lt;110),0.17,0)+IF(AND(V1295&gt;=75,V1295&lt;=175,W1295&gt;=110),0.12,0)+IF(AND(V1295&gt;175,W1295&lt;25),0.3,0)+IF(AND(V1295&gt;175,W1295&gt;=25,W1295&lt;55),0.23,0)+IF(AND(V1295&gt;175,W1295&gt;=55,W1295&lt;95),0.17,0)+IF(AND(V1295&gt;175,W1295&gt;=95),0.12,0),
IF(AF1295="DoEVLo",IF(AND(V1295&lt;20,W1295&lt;55),0.25,0)+IF(AND(V1295&lt;20,W1295&gt;=55,W1295&lt;105),0.2,0)+IF(AND(V1295&lt;20,W1295&gt;=105),0.15,0)+IF(AND(V1295&gt;=20,V1295&lt;40,W1295&lt;45),0.25,0)+IF(AND(V1295&gt;=20,V1295&lt;40,W1295&gt;=45,W1295&lt;95),0.2,0)+IF(AND(V1295&gt;=20,V1295&lt;40,W1295&gt;=95),0.15,0)+IF(AND(V1295&gt;=40,V1295&lt;75,W1295&lt;35),0.25,0)+IF(AND(V1295&gt;=40,V1295&lt;75,W1295&gt;=35,W1295&lt;75),0.2,0)+IF(AND(V1295&gt;=40,V1295&lt;75,W1295&gt;=75,W1295&lt;120),0.15,0)+IF(AND(V1295&gt;=40,V1295&lt;75,W1295&gt;=120),0.1,0)+IF(AND(V1295&gt;=75,V1295&lt;175,W1295&lt;35),0.25,0)+IF(AND(V1295&gt;=75,V1295&lt;=175,W1295&gt;=35,W1295&lt;65),0.2,0)+IF(AND(V1295&gt;=75,V1295&lt;=175,W1295&gt;=65,W1295&lt;110),0.15,0)+IF(AND(V1295&gt;=75,V1295&lt;=175,W1295&gt;=110),0.1,0)+IF(AND(V1295&gt;175,W1295&lt;25),0.25,0)+IF(AND(V1295&gt;175,W1295&gt;=25,W1295&lt;55),0.2,0)+IF(AND(V1295&gt;175,W1295&gt;=55,W1295&lt;95),0.15,0)+IF(AND(V1295&gt;175,W1295&gt;=95),0.1,0))))))))))))))))))</f>
        <v>0.3</v>
      </c>
      <c r="Y1295" s="30">
        <f>IF(AG1295="None",0,IF(AG1295="Fix5",0.05, IF(AG1295="Fix6.25",0.0625,IF(AG1295="Fix3.75",0.0375,IF(AG1295="Fix10",0.1,IF(AG1295="Fix3",0.03,0))))))</f>
        <v>0</v>
      </c>
      <c r="Z1295" s="35">
        <f>T1295-AA1295-AB1295</f>
        <v>692.3</v>
      </c>
      <c r="AA1295" s="29">
        <f>IF(AD1295="EUR",((T1295-R1295)*X1295)*U1295+(R1295*X1295),(T1295*X1295))</f>
        <v>296.7</v>
      </c>
      <c r="AB1295" s="36">
        <f>IF(AD1295="EUR",((T1295-R1295)*Y1295)*U1295+(R1295*Y1295),(T1295*Y1295))</f>
        <v>0</v>
      </c>
      <c r="AC1295" s="37" t="b">
        <v>1</v>
      </c>
      <c r="AD1295" s="37" t="s">
        <v>38</v>
      </c>
      <c r="AE1295" s="37" t="s">
        <v>38</v>
      </c>
      <c r="AF1295" s="37" t="str">
        <f t="array" ref="AF1295">INDEX('Deal Info'!D:D, MATCH(A1295,'Deal Info'!A:A, 0))</f>
        <v>DoEV</v>
      </c>
      <c r="AG1295" s="38" t="str">
        <f t="array" ref="AG1295">INDEX('Deal Info'!G:G, MATCH(A1295,'Deal Info'!A:A, 0))</f>
        <v>None</v>
      </c>
    </row>
    <row r="1296" spans="1:33" ht="14.25" hidden="1" x14ac:dyDescent="0.2">
      <c r="A1296" s="18" t="str">
        <f t="array" ref="A1296">IF(G1296='Room Info'!$B$1, INDEX('Room Info'!$A$2:$A2446, MATCH(B1296,'Room Info'!$B$2:$B2446, 0)),IF(G1296='Room Info'!$C$1, INDEX('Room Info'!$A$2:$A2446, MATCH(B1296,'Room Info'!$C$2:$C2446, 0)),IF(G1296='Room Info'!$D$1, INDEX('Room Info'!$A$2:$A2446, MATCH(B1296,'Room Info'!$D$2:$D2446, 0)),IF(G1296='Room Info'!$E$1, INDEX('Room Info'!$A$2:$A2446, MATCH(B1296,'Room Info'!$E$2:$E2446, 0)),IF(G1296='Room Info'!$F$1, INDEX('Room Info'!$A$2:$A2446, MATCH(B1296,'Room Info'!$F$2:$F2446, 0)),IF(G1296='Room Info'!$H$1, INDEX('Room Info'!$A$2:$A2446, MATCH(B1296,'Room Info'!$H$2:$H2446, 0)),IF(G1296='Room Info'!$G$1, INDEX('Room Info'!$A$2:$A2446, MATCH(B1296,'Room Info'!$G$2:$G2446, 0)))))))))</f>
        <v>ushakov17</v>
      </c>
      <c r="B1296" s="45" t="s">
        <v>205</v>
      </c>
      <c r="C1296" s="46">
        <v>44896</v>
      </c>
      <c r="D1296" s="46">
        <v>44926</v>
      </c>
      <c r="E1296" s="47">
        <v>44896</v>
      </c>
      <c r="F1296" s="45" t="s">
        <v>41</v>
      </c>
      <c r="G1296" s="54" t="s">
        <v>35</v>
      </c>
      <c r="H1296" s="49" t="s">
        <v>72</v>
      </c>
      <c r="I1296" s="49" t="s">
        <v>37</v>
      </c>
      <c r="J1296" s="50">
        <v>50</v>
      </c>
      <c r="K1296" s="51">
        <v>1</v>
      </c>
      <c r="L1296" s="52">
        <v>100</v>
      </c>
      <c r="M1296" s="53">
        <v>1</v>
      </c>
      <c r="N1296" s="28">
        <f>K1296*J1296</f>
        <v>50</v>
      </c>
      <c r="O1296" s="65"/>
      <c r="P1296" s="29">
        <v>0</v>
      </c>
      <c r="Q1296" s="55"/>
      <c r="R1296" s="31">
        <f>M1296+Q1296</f>
        <v>1</v>
      </c>
      <c r="S1296" s="66"/>
      <c r="T1296" s="32">
        <f>R1296+S1296+IF(F1296="Without EV deal",L1296,0)</f>
        <v>101</v>
      </c>
      <c r="U1296" s="57">
        <v>1</v>
      </c>
      <c r="V1296" s="58"/>
      <c r="W1296" s="58"/>
      <c r="X1296" s="30">
        <f>IF(AF1296="DoEV",IF(AND(V1296&lt;20,W1296&lt;55),0.3,0)+IF(AND(V1296&lt;20,W1296&gt;=55,W1296&lt;105),0.23,0)+IF(AND(V1296&lt;20,W1296&gt;=105),0.17,0)+IF(AND(V1296&gt;=20,V1296&lt;40,W1296&lt;45),0.3,0)+IF(AND(V1296&gt;=20,V1296&lt;40,W1296&gt;=45,W1296&lt;95),0.23,0)+IF(AND(V1296&gt;=20,V1296&lt;40,W1296&gt;=95),0.17,0)+IF(AND(V1296&gt;=40,V1296&lt;75,W1296&lt;35),0.3,0)+IF(AND(V1296&gt;=40,V1296&lt;75,W1296&gt;=35,W1296&lt;75),0.23,0)+IF(AND(V1296&gt;=40,V1296&lt;75,W1296&gt;=75,W1296&lt;120),0.17,0)+IF(AND(V1296&gt;=40,V1296&lt;75,W1296&gt;=120),0.12,0)+IF(AND(V1296&gt;=75,V1296&lt;175,W1296&lt;35),0.3,0)+IF(AND(V1296&gt;=75,V1296&lt;=175,W1296&gt;=35,W1296&lt;65),0.23,0)+IF(AND(V1296&gt;=75,V1296&lt;=175,W1296&gt;=65,W1296&lt;110),0.17,0)+IF(AND(V1296&gt;=75,V1296&lt;=175,W1296&gt;=110),0.12,0)+IF(AND(V1296&gt;175,W1296&lt;25),0.3,0)+IF(AND(V1296&gt;175,W1296&gt;=25,W1296&lt;55),0.23,0)+IF(AND(V1296&gt;175,W1296&gt;=55,W1296&lt;95),0.17,0)+IF(AND(V1296&gt;175,W1296&gt;=95),0.12,0),
IF(AF1296="Fix15",0.15,
IF(AF1296="Fix18.75",0.1875,
IF(AF1296="Fix11.25",0.1125,
IF(AF1296="Fix10",0.1,
IF(AF1296="Fix9",0.09,
IF(AF1296="Fix19",0.19,
IF(AF1296="DoEV2017",IF(AND(W1296&lt;74),0.2,0)+IF(AND(W1296&gt;=74),0.17,0),
IF(AF1296="SF",IF(AND(V1296&lt;20,W1296&lt;89),0.3,0)+IF(AND(V1296&lt;20,W1296&gt;=89),0.25,0)+IF(AND(V1296&gt;=20,V1296&lt;40,W1296&lt;74),0.3,0)+IF(AND(V1296&gt;=20,V1296&lt;40,W1296&gt;=75),0.22,0)+IF(AND(V1296&gt;=40,V1296&lt;75,W1296&lt;75),0.26,0)+IF(AND(V1296&gt;=40,V1296&lt;75,W1296&gt;=75),0.22,0)+IF(V1296&gt;=75,0.22,0),
IF(AF1296="DoEVold",IF(AND(V1296&lt;40,W1296&lt;35),0.35,0)+IF(AND(V1296&lt;40,W1296&gt;=35,W1296&lt;75),0.25,0)+IF(AND(V1296&lt;40,W1296&gt;=75),0.17,0)+IF(AND(V1296&gt;=40,V1296&lt;75,W1296&lt;25),0.35,0)+IF(AND(V1296&gt;=40,V1296&lt;75,W1296&gt;=25,W1296&lt;65),0.25,0)+IF(AND(V1296&gt;=40,V1296&lt;75,W1296&gt;=65,W1296&lt;100),0.17,0)+IF(AND(V1296&gt;=40,V1296&lt;75,W1296&gt;=100),0.1,0)+IF(AND(V1296&gt;=75,W1296&lt;25),0.35,0)+IF(AND(V1296&gt;=75,W1296&gt;=25,W1296&lt;60),0.25,0)+IF(AND(V1296&gt;=75,W1296&gt;=60,W1296&lt;95),0.17,0)+IF(AND(V1296&gt;=75,W1296&gt;=95),0.1,0),
IF(AF1296="DoEVold15",IF(AND(V1296&lt;=40,W1296&lt;35),0.35,0)+IF(AND(V1296&lt;=40,W1296&gt;=35,W1296&lt;75),0.25,0)+IF(AND(V1296&lt;=40,W1296&gt;=75,W1296&lt;120),0.17,0)+IF(AND(V1296&lt;=40,W1296&gt;=120),0.15,0)+IF(AND(V1296&gt;40,V1296&lt;75,W1296&lt;25),0.35,0)+IF(AND(V1296&gt;=40,V1296&lt;75,W1296&gt;=25,W1296&lt;65),0.25,0)+IF(AND(V1296&gt;=40,V1296&lt;75,W1296&gt;=65,W1296&lt;100),0.17,0)+IF(AND(V1296&gt;=40,V1296&lt;75,W1296&gt;=100),0.1,0)+IF(AND(V1296&gt;=75,W1296&lt;25),0.35,0)+IF(AND(V1296&gt;=75,W1296&gt;=25,W1296&lt;60),0.25,0)+IF(AND(V1296&gt;=75,W1296&gt;=60,W1296&lt;95),0.17,0)+IF(AND(V1296&gt;=75,W1296&gt;=95),0.1,0),
IF(AF1296="DoEVba",IF(AND(V1296&lt;20,W1296&lt;105),0.2,0)+IF(AND(V1296&lt;20,W1296&gt;=105),0.15,0)+IF(AND(V1296&gt;=20,V1296&lt;40,W1296&lt;95),0.2,0)+IF(AND(V1296&gt;=20,V1296&lt;40,W1296&gt;=95,W1296&lt;150),0.15,0)+IF(AND(V1296&gt;=20,V1296&lt;40,W1296&gt;=150),0.12,0)+IF(AND(V1296&gt;=40,V1296&lt;75,W1296&lt;75),0.2,0)+IF(AND(V1296&gt;=40,V1296&lt;75,W1296&gt;=75,W1296&lt;120),0.15,0)+IF(AND(V1296&gt;=40,V1296&lt;75,W1296&gt;=120),0.12,0)+IF(AND(V1296&gt;=75,V1296&lt;175,W1296&lt;65),0.2,0)+IF(AND(V1296&gt;=75,V1296&lt;175,W1296&gt;=65,W1296&lt;110),0.15,0)+IF(AND(V1296&gt;=75,V1296&lt;175,W1296&gt;=110),0.12,0)+IF(AND(V1296&gt;=175,W1296&lt;55),0.2,0)+IF(AND(V1296&gt;=175,W1296&gt;=55,W1296&lt;95),0.15,0)+IF(AND(V1296&gt;=175,W1296&gt;=95),0.12,0),
IF(AF1296="DoEVku",IF(AND(V1296&lt;20,W1296&lt;55),0.23,0)+IF(AND(V1296&lt;20,W1296&gt;=55,W1296&lt;105),0.2,0)+IF(AND(V1296&lt;20,W1296&gt;=105),0.17,0)+IF(AND(V1296&gt;=20,V1296&lt;40,W1296&lt;45),0.23,0)+IF(AND(V1296&gt;=20,V1296&lt;40,W1296&gt;=45,W1296&lt;95),0.2,0)+IF(AND(V1296&gt;=20,V1296&lt;40,W1296&gt;=95,W1296&lt;=150),0.17,0)+IF(AND(V1296&gt;=20,V1296&lt;40,W1296&gt;=150),0.12,0)+IF(AND(V1296&gt;=40,V1296&lt;75,W1296&lt;35),0.23,0)+IF(AND(V1296&gt;=40,V1296&lt;75,W1296&gt;=35,W1296&lt;75),0.2,0)+IF(AND(V1296&gt;=40,V1296&lt;75,W1296&gt;=75,W1296&lt;120),0.17,0)+IF(AND(V1296&gt;=40,V1296&lt;75,W1296&gt;=120),0.12,0)+IF(AND(V1296&gt;=75,V1296&lt;175,W1296&lt;35),0.23,0)+IF(AND(V1296&gt;=75,V1296&lt;=175,W1296&gt;=35,W1296&lt;65),0.2,0)+IF(AND(V1296&gt;=75,V1296&lt;=175,W1296&gt;=65,W1296&lt;110),0.17,0)+IF(AND(V1296&gt;=75,V1296&lt;=175,W1296&gt;=110),0.12,0)+IF(AND(V1296&gt;175,W1296&lt;25),0.23,0)+IF(AND(V1296&gt;175,W1296&gt;=25,W1296&lt;55),0.2,0)+IF(AND(V1296&gt;175,W1296&gt;=55,W1296&lt;95),0.17,0)+IF(AND(V1296&gt;175,W1296&gt;=95),0.12,0),
IF(AF1296="DoEVs1",IF(AND(V1296&lt;20,W1296&lt;55),0.3,0)+IF(AND(V1296&lt;20,W1296&gt;=55,W1296&lt;105),0.23,0)+IF(AND(V1296&lt;20,W1296&gt;=105),0.17,0)+IF(AND(V1296&gt;=20,V1296&lt;40,W1296&lt;45),0.3,0)+IF(AND(V1296&gt;=20,V1296&lt;40,W1296&gt;=45,W1296&lt;95),0.23,0)+IF(AND(V1296&gt;=20,V1296&lt;40,W1296&gt;=95,W1296&lt;=150),0.17,0)+IF(AND(V1296&gt;=20,V1296&lt;40,W1296&gt;=150),0.12,0)+IF(AND(V1296&gt;=40,V1296&lt;75,W1296&lt;35),0.3,0)+IF(AND(V1296&gt;=40,V1296&lt;75,W1296&gt;=35,W1296&lt;75),0.23,0)+IF(AND(V1296&gt;=40,V1296&lt;75,W1296&gt;=75,W1296&lt;120),0.17,0)+IF(AND(V1296&gt;=40,V1296&lt;75,W1296&gt;=120),0.12,0)+IF(AND(V1296&gt;=75,V1296&lt;175,W1296&lt;35),0.3,0)+IF(AND(V1296&gt;=75,V1296&lt;=175,W1296&gt;=35,W1296&lt;65),0.23,0)+IF(AND(V1296&gt;=75,V1296&lt;=175,W1296&gt;=65,W1296&lt;110),0.17,0)+IF(AND(V1296&gt;=75,V1296&lt;=175,W1296&gt;=110),0.12,0)+IF(AND(V1296&gt;175,W1296&lt;25),0.3,0)+IF(AND(V1296&gt;175,W1296&gt;=25,W1296&lt;55),0.23,0)+IF(AND(V1296&gt;175,W1296&gt;=55,W1296&lt;95),0.17,0)+IF(AND(V1296&gt;175,W1296&gt;=95),0.12,0),
IF(AF1296="DoEVsu",IF(AND(V1296&lt;20,W1296&lt;55),0.3,0)+IF(AND(V1296&lt;20,W1296&gt;=55,W1296&lt;105),0.23,0)+IF(AND(V1296&lt;20,W1296&gt;=105),0.17,0)+IF(AND(V1296&gt;=20,V1296&lt;40,W1296&lt;45),0.3,0)+IF(AND(V1296&gt;=20,V1296&lt;40,W1296&gt;=45,W1296&lt;95),0.23,0)+IF(AND(V1296&gt;=20,V1296&lt;40,W1296&gt;=95,W1296&lt;=250),0.17,0)+IF(AND(V1296&gt;=20,V1296&lt;40,W1296&gt;=250),0.12,0)+IF(AND(V1296&gt;=40,V1296&lt;75,W1296&lt;35),0.3,0)+IF(AND(V1296&gt;=40,V1296&lt;75,W1296&gt;=35,W1296&lt;75),0.23,0)+IF(AND(V1296&gt;=40,V1296&lt;75,W1296&gt;=75,W1296&lt;120),0.17,0)+IF(AND(V1296&gt;=40,V1296&lt;75,W1296&gt;=120),0.12,0)+IF(AND(V1296&gt;=75,V1296&lt;175,W1296&lt;35),0.3,0)+IF(AND(V1296&gt;=75,V1296&lt;=175,W1296&gt;=35,W1296&lt;65),0.23,0)+IF(AND(V1296&gt;=75,V1296&lt;=175,W1296&gt;=65,W1296&lt;110),0.17,0)+IF(AND(V1296&gt;=75,V1296&lt;=175,W1296&gt;=110),0.12,0)+IF(AND(V1296&gt;175,W1296&lt;25),0.3,0)+IF(AND(V1296&gt;175,W1296&gt;=25,W1296&lt;55),0.23,0)+IF(AND(V1296&gt;175,W1296&gt;=55,W1296&lt;95),0.17,0)+IF(AND(V1296&gt;175,W1296&gt;=95),0.12,0),
IF(AF1296="DoEVni",IF(AND(V1296&lt;20,W1296&lt;55),0.3,0)+IF(AND(V1296&lt;20,W1296&gt;=55,W1296&lt;105),0.23,0)+IF(AND(V1296&lt;20,W1296&gt;=105),0.17,0)+IF(AND(V1296&gt;=20,V1296&lt;40,W1296&lt;45),0.3,0)+IF(AND(V1296&gt;=20,V1296&lt;40,W1296&gt;=45,W1296&lt;95),0.23,0)+IF(AND(V1296&gt;=20,V1296&lt;40,W1296&gt;=95,W1296&lt;=200),0.17,0)+IF(AND(V1296&gt;=20,V1296&lt;40,W1296&gt;=200),0.12,0)+IF(AND(V1296&gt;=40,V1296&lt;75,W1296&lt;35),0.3,0)+IF(AND(V1296&gt;=40,V1296&lt;75,W1296&gt;=35,W1296&lt;75),0.23,0)+IF(AND(V1296&gt;=40,V1296&lt;75,W1296&gt;=75,W1296&lt;120),0.17,0)+IF(AND(V1296&gt;=40,V1296&lt;75,W1296&gt;=120),0.12,0)+IF(AND(V1296&gt;=75,V1296&lt;175,W1296&lt;35),0.3,0)+IF(AND(V1296&gt;=75,V1296&lt;=175,W1296&gt;=35,W1296&lt;65),0.23,0)+IF(AND(V1296&gt;=75,V1296&lt;=175,W1296&gt;=65,W1296&lt;110),0.17,0)+IF(AND(V1296&gt;=75,V1296&lt;=175,W1296&gt;=110),0.12,0)+IF(AND(V1296&gt;175,W1296&lt;25),0.3,0)+IF(AND(V1296&gt;175,W1296&gt;=25,W1296&lt;55),0.23,0)+IF(AND(V1296&gt;175,W1296&gt;=55,W1296&lt;95),0.17,0)+IF(AND(V1296&gt;175,W1296&gt;=95),0.12,0),
IF(AF1296="DoEVLo",IF(AND(V1296&lt;20,W1296&lt;55),0.25,0)+IF(AND(V1296&lt;20,W1296&gt;=55,W1296&lt;105),0.2,0)+IF(AND(V1296&lt;20,W1296&gt;=105),0.15,0)+IF(AND(V1296&gt;=20,V1296&lt;40,W1296&lt;45),0.25,0)+IF(AND(V1296&gt;=20,V1296&lt;40,W1296&gt;=45,W1296&lt;95),0.2,0)+IF(AND(V1296&gt;=20,V1296&lt;40,W1296&gt;=95),0.15,0)+IF(AND(V1296&gt;=40,V1296&lt;75,W1296&lt;35),0.25,0)+IF(AND(V1296&gt;=40,V1296&lt;75,W1296&gt;=35,W1296&lt;75),0.2,0)+IF(AND(V1296&gt;=40,V1296&lt;75,W1296&gt;=75,W1296&lt;120),0.15,0)+IF(AND(V1296&gt;=40,V1296&lt;75,W1296&gt;=120),0.1,0)+IF(AND(V1296&gt;=75,V1296&lt;175,W1296&lt;35),0.25,0)+IF(AND(V1296&gt;=75,V1296&lt;=175,W1296&gt;=35,W1296&lt;65),0.2,0)+IF(AND(V1296&gt;=75,V1296&lt;=175,W1296&gt;=65,W1296&lt;110),0.15,0)+IF(AND(V1296&gt;=75,V1296&lt;=175,W1296&gt;=110),0.1,0)+IF(AND(V1296&gt;175,W1296&lt;25),0.25,0)+IF(AND(V1296&gt;175,W1296&gt;=25,W1296&lt;55),0.2,0)+IF(AND(V1296&gt;175,W1296&gt;=55,W1296&lt;95),0.15,0)+IF(AND(V1296&gt;175,W1296&gt;=95),0.1,0))))))))))))))))))</f>
        <v>0.3</v>
      </c>
      <c r="Y1296" s="30">
        <f>IF(AG1296="None",0,IF(AG1296="Fix5",0.05, IF(AG1296="Fix6.25",0.0625,IF(AG1296="Fix3.75",0.0375,IF(AG1296="Fix10",0.1,IF(AG1296="Fix3",0.03,0))))))</f>
        <v>0</v>
      </c>
      <c r="Z1296" s="35">
        <f>T1296-AA1296-AB1296</f>
        <v>70.7</v>
      </c>
      <c r="AA1296" s="29">
        <f>IF(AD1296="EUR",((T1296-R1296)*X1296)*U1296+(R1296*X1296),(T1296*X1296))</f>
        <v>30.299999999999997</v>
      </c>
      <c r="AB1296" s="36">
        <f>IF(AD1296="EUR",((T1296-R1296)*Y1296)*U1296+(R1296*Y1296),(T1296*Y1296))</f>
        <v>0</v>
      </c>
      <c r="AC1296" s="37" t="b">
        <v>1</v>
      </c>
      <c r="AD1296" s="37" t="s">
        <v>38</v>
      </c>
      <c r="AE1296" s="37" t="s">
        <v>38</v>
      </c>
      <c r="AF1296" s="37" t="str">
        <f t="array" ref="AF1296">INDEX('Deal Info'!D:D, MATCH(A1296,'Deal Info'!A:A, 0))</f>
        <v>DoEV</v>
      </c>
      <c r="AG1296" s="38" t="str">
        <f t="array" ref="AG1296">INDEX('Deal Info'!G:G, MATCH(A1296,'Deal Info'!A:A, 0))</f>
        <v>None</v>
      </c>
    </row>
    <row r="1297" spans="1:33" ht="14.25" hidden="1" x14ac:dyDescent="0.2">
      <c r="A1297" s="18" t="str">
        <f t="array" ref="A1297">IF(G1297='Room Info'!$B$1, INDEX('Room Info'!$A$2:$A2446, MATCH(B1297,'Room Info'!$B$2:$B2446, 0)),IF(G1297='Room Info'!$C$1, INDEX('Room Info'!$A$2:$A2446, MATCH(B1297,'Room Info'!$C$2:$C2446, 0)),IF(G1297='Room Info'!$D$1, INDEX('Room Info'!$A$2:$A2446, MATCH(B1297,'Room Info'!$D$2:$D2446, 0)),IF(G1297='Room Info'!$E$1, INDEX('Room Info'!$A$2:$A2446, MATCH(B1297,'Room Info'!$E$2:$E2446, 0)),IF(G1297='Room Info'!$F$1, INDEX('Room Info'!$A$2:$A2446, MATCH(B1297,'Room Info'!$F$2:$F2446, 0)),IF(G1297='Room Info'!$H$1, INDEX('Room Info'!$A$2:$A2446, MATCH(B1297,'Room Info'!$H$2:$H2446, 0)),IF(G1297='Room Info'!$G$1, INDEX('Room Info'!$A$2:$A2446, MATCH(B1297,'Room Info'!$G$2:$G2446, 0)))))))))</f>
        <v>ushakov17</v>
      </c>
      <c r="B1297" s="45" t="s">
        <v>205</v>
      </c>
      <c r="C1297" s="46">
        <v>44927</v>
      </c>
      <c r="D1297" s="46">
        <v>44957</v>
      </c>
      <c r="E1297" s="47">
        <v>44927</v>
      </c>
      <c r="F1297" s="45" t="s">
        <v>41</v>
      </c>
      <c r="G1297" s="54" t="s">
        <v>35</v>
      </c>
      <c r="H1297" s="49" t="s">
        <v>46</v>
      </c>
      <c r="I1297" s="49" t="s">
        <v>37</v>
      </c>
      <c r="J1297" s="50">
        <v>25</v>
      </c>
      <c r="K1297" s="51">
        <v>12</v>
      </c>
      <c r="L1297" s="52">
        <v>0</v>
      </c>
      <c r="M1297" s="53">
        <v>6</v>
      </c>
      <c r="N1297" s="28">
        <f>K1297*J1297</f>
        <v>300</v>
      </c>
      <c r="O1297" s="65"/>
      <c r="P1297" s="29">
        <v>0</v>
      </c>
      <c r="Q1297" s="55"/>
      <c r="R1297" s="31">
        <f>M1297+Q1297</f>
        <v>6</v>
      </c>
      <c r="S1297" s="66"/>
      <c r="T1297" s="32">
        <f>R1297+S1297+IF(F1297="Without EV deal",L1297,0)</f>
        <v>6</v>
      </c>
      <c r="U1297" s="57">
        <v>1</v>
      </c>
      <c r="V1297" s="58"/>
      <c r="W1297" s="58"/>
      <c r="X1297" s="30">
        <f>IF(AF1297="DoEV",IF(AND(V1297&lt;20,W1297&lt;55),0.3,0)+IF(AND(V1297&lt;20,W1297&gt;=55,W1297&lt;105),0.23,0)+IF(AND(V1297&lt;20,W1297&gt;=105),0.17,0)+IF(AND(V1297&gt;=20,V1297&lt;40,W1297&lt;45),0.3,0)+IF(AND(V1297&gt;=20,V1297&lt;40,W1297&gt;=45,W1297&lt;95),0.23,0)+IF(AND(V1297&gt;=20,V1297&lt;40,W1297&gt;=95),0.17,0)+IF(AND(V1297&gt;=40,V1297&lt;75,W1297&lt;35),0.3,0)+IF(AND(V1297&gt;=40,V1297&lt;75,W1297&gt;=35,W1297&lt;75),0.23,0)+IF(AND(V1297&gt;=40,V1297&lt;75,W1297&gt;=75,W1297&lt;120),0.17,0)+IF(AND(V1297&gt;=40,V1297&lt;75,W1297&gt;=120),0.12,0)+IF(AND(V1297&gt;=75,V1297&lt;175,W1297&lt;35),0.3,0)+IF(AND(V1297&gt;=75,V1297&lt;=175,W1297&gt;=35,W1297&lt;65),0.23,0)+IF(AND(V1297&gt;=75,V1297&lt;=175,W1297&gt;=65,W1297&lt;110),0.17,0)+IF(AND(V1297&gt;=75,V1297&lt;=175,W1297&gt;=110),0.12,0)+IF(AND(V1297&gt;175,W1297&lt;25),0.3,0)+IF(AND(V1297&gt;175,W1297&gt;=25,W1297&lt;55),0.23,0)+IF(AND(V1297&gt;175,W1297&gt;=55,W1297&lt;95),0.17,0)+IF(AND(V1297&gt;175,W1297&gt;=95),0.12,0),
IF(AF1297="Fix15",0.15,
IF(AF1297="Fix18.75",0.1875,
IF(AF1297="Fix11.25",0.1125,
IF(AF1297="Fix10",0.1,
IF(AF1297="Fix9",0.09,
IF(AF1297="Fix19",0.19,
IF(AF1297="DoEV2017",IF(AND(W1297&lt;74),0.2,0)+IF(AND(W1297&gt;=74),0.17,0),
IF(AF1297="SF",IF(AND(V1297&lt;20,W1297&lt;89),0.3,0)+IF(AND(V1297&lt;20,W1297&gt;=89),0.25,0)+IF(AND(V1297&gt;=20,V1297&lt;40,W1297&lt;74),0.3,0)+IF(AND(V1297&gt;=20,V1297&lt;40,W1297&gt;=75),0.22,0)+IF(AND(V1297&gt;=40,V1297&lt;75,W1297&lt;75),0.26,0)+IF(AND(V1297&gt;=40,V1297&lt;75,W1297&gt;=75),0.22,0)+IF(V1297&gt;=75,0.22,0),
IF(AF1297="DoEVold",IF(AND(V1297&lt;40,W1297&lt;35),0.35,0)+IF(AND(V1297&lt;40,W1297&gt;=35,W1297&lt;75),0.25,0)+IF(AND(V1297&lt;40,W1297&gt;=75),0.17,0)+IF(AND(V1297&gt;=40,V1297&lt;75,W1297&lt;25),0.35,0)+IF(AND(V1297&gt;=40,V1297&lt;75,W1297&gt;=25,W1297&lt;65),0.25,0)+IF(AND(V1297&gt;=40,V1297&lt;75,W1297&gt;=65,W1297&lt;100),0.17,0)+IF(AND(V1297&gt;=40,V1297&lt;75,W1297&gt;=100),0.1,0)+IF(AND(V1297&gt;=75,W1297&lt;25),0.35,0)+IF(AND(V1297&gt;=75,W1297&gt;=25,W1297&lt;60),0.25,0)+IF(AND(V1297&gt;=75,W1297&gt;=60,W1297&lt;95),0.17,0)+IF(AND(V1297&gt;=75,W1297&gt;=95),0.1,0),
IF(AF1297="DoEVold15",IF(AND(V1297&lt;=40,W1297&lt;35),0.35,0)+IF(AND(V1297&lt;=40,W1297&gt;=35,W1297&lt;75),0.25,0)+IF(AND(V1297&lt;=40,W1297&gt;=75,W1297&lt;120),0.17,0)+IF(AND(V1297&lt;=40,W1297&gt;=120),0.15,0)+IF(AND(V1297&gt;40,V1297&lt;75,W1297&lt;25),0.35,0)+IF(AND(V1297&gt;=40,V1297&lt;75,W1297&gt;=25,W1297&lt;65),0.25,0)+IF(AND(V1297&gt;=40,V1297&lt;75,W1297&gt;=65,W1297&lt;100),0.17,0)+IF(AND(V1297&gt;=40,V1297&lt;75,W1297&gt;=100),0.1,0)+IF(AND(V1297&gt;=75,W1297&lt;25),0.35,0)+IF(AND(V1297&gt;=75,W1297&gt;=25,W1297&lt;60),0.25,0)+IF(AND(V1297&gt;=75,W1297&gt;=60,W1297&lt;95),0.17,0)+IF(AND(V1297&gt;=75,W1297&gt;=95),0.1,0),
IF(AF1297="DoEVba",IF(AND(V1297&lt;20,W1297&lt;105),0.2,0)+IF(AND(V1297&lt;20,W1297&gt;=105),0.15,0)+IF(AND(V1297&gt;=20,V1297&lt;40,W1297&lt;95),0.2,0)+IF(AND(V1297&gt;=20,V1297&lt;40,W1297&gt;=95,W1297&lt;150),0.15,0)+IF(AND(V1297&gt;=20,V1297&lt;40,W1297&gt;=150),0.12,0)+IF(AND(V1297&gt;=40,V1297&lt;75,W1297&lt;75),0.2,0)+IF(AND(V1297&gt;=40,V1297&lt;75,W1297&gt;=75,W1297&lt;120),0.15,0)+IF(AND(V1297&gt;=40,V1297&lt;75,W1297&gt;=120),0.12,0)+IF(AND(V1297&gt;=75,V1297&lt;175,W1297&lt;65),0.2,0)+IF(AND(V1297&gt;=75,V1297&lt;175,W1297&gt;=65,W1297&lt;110),0.15,0)+IF(AND(V1297&gt;=75,V1297&lt;175,W1297&gt;=110),0.12,0)+IF(AND(V1297&gt;=175,W1297&lt;55),0.2,0)+IF(AND(V1297&gt;=175,W1297&gt;=55,W1297&lt;95),0.15,0)+IF(AND(V1297&gt;=175,W1297&gt;=95),0.12,0),
IF(AF1297="DoEVku",IF(AND(V1297&lt;20,W1297&lt;55),0.23,0)+IF(AND(V1297&lt;20,W1297&gt;=55,W1297&lt;105),0.2,0)+IF(AND(V1297&lt;20,W1297&gt;=105),0.17,0)+IF(AND(V1297&gt;=20,V1297&lt;40,W1297&lt;45),0.23,0)+IF(AND(V1297&gt;=20,V1297&lt;40,W1297&gt;=45,W1297&lt;95),0.2,0)+IF(AND(V1297&gt;=20,V1297&lt;40,W1297&gt;=95,W1297&lt;=150),0.17,0)+IF(AND(V1297&gt;=20,V1297&lt;40,W1297&gt;=150),0.12,0)+IF(AND(V1297&gt;=40,V1297&lt;75,W1297&lt;35),0.23,0)+IF(AND(V1297&gt;=40,V1297&lt;75,W1297&gt;=35,W1297&lt;75),0.2,0)+IF(AND(V1297&gt;=40,V1297&lt;75,W1297&gt;=75,W1297&lt;120),0.17,0)+IF(AND(V1297&gt;=40,V1297&lt;75,W1297&gt;=120),0.12,0)+IF(AND(V1297&gt;=75,V1297&lt;175,W1297&lt;35),0.23,0)+IF(AND(V1297&gt;=75,V1297&lt;=175,W1297&gt;=35,W1297&lt;65),0.2,0)+IF(AND(V1297&gt;=75,V1297&lt;=175,W1297&gt;=65,W1297&lt;110),0.17,0)+IF(AND(V1297&gt;=75,V1297&lt;=175,W1297&gt;=110),0.12,0)+IF(AND(V1297&gt;175,W1297&lt;25),0.23,0)+IF(AND(V1297&gt;175,W1297&gt;=25,W1297&lt;55),0.2,0)+IF(AND(V1297&gt;175,W1297&gt;=55,W1297&lt;95),0.17,0)+IF(AND(V1297&gt;175,W1297&gt;=95),0.12,0),
IF(AF1297="DoEVs1",IF(AND(V1297&lt;20,W1297&lt;55),0.3,0)+IF(AND(V1297&lt;20,W1297&gt;=55,W1297&lt;105),0.23,0)+IF(AND(V1297&lt;20,W1297&gt;=105),0.17,0)+IF(AND(V1297&gt;=20,V1297&lt;40,W1297&lt;45),0.3,0)+IF(AND(V1297&gt;=20,V1297&lt;40,W1297&gt;=45,W1297&lt;95),0.23,0)+IF(AND(V1297&gt;=20,V1297&lt;40,W1297&gt;=95,W1297&lt;=150),0.17,0)+IF(AND(V1297&gt;=20,V1297&lt;40,W1297&gt;=150),0.12,0)+IF(AND(V1297&gt;=40,V1297&lt;75,W1297&lt;35),0.3,0)+IF(AND(V1297&gt;=40,V1297&lt;75,W1297&gt;=35,W1297&lt;75),0.23,0)+IF(AND(V1297&gt;=40,V1297&lt;75,W1297&gt;=75,W1297&lt;120),0.17,0)+IF(AND(V1297&gt;=40,V1297&lt;75,W1297&gt;=120),0.12,0)+IF(AND(V1297&gt;=75,V1297&lt;175,W1297&lt;35),0.3,0)+IF(AND(V1297&gt;=75,V1297&lt;=175,W1297&gt;=35,W1297&lt;65),0.23,0)+IF(AND(V1297&gt;=75,V1297&lt;=175,W1297&gt;=65,W1297&lt;110),0.17,0)+IF(AND(V1297&gt;=75,V1297&lt;=175,W1297&gt;=110),0.12,0)+IF(AND(V1297&gt;175,W1297&lt;25),0.3,0)+IF(AND(V1297&gt;175,W1297&gt;=25,W1297&lt;55),0.23,0)+IF(AND(V1297&gt;175,W1297&gt;=55,W1297&lt;95),0.17,0)+IF(AND(V1297&gt;175,W1297&gt;=95),0.12,0),
IF(AF1297="DoEVsu",IF(AND(V1297&lt;20,W1297&lt;55),0.3,0)+IF(AND(V1297&lt;20,W1297&gt;=55,W1297&lt;105),0.23,0)+IF(AND(V1297&lt;20,W1297&gt;=105),0.17,0)+IF(AND(V1297&gt;=20,V1297&lt;40,W1297&lt;45),0.3,0)+IF(AND(V1297&gt;=20,V1297&lt;40,W1297&gt;=45,W1297&lt;95),0.23,0)+IF(AND(V1297&gt;=20,V1297&lt;40,W1297&gt;=95,W1297&lt;=250),0.17,0)+IF(AND(V1297&gt;=20,V1297&lt;40,W1297&gt;=250),0.12,0)+IF(AND(V1297&gt;=40,V1297&lt;75,W1297&lt;35),0.3,0)+IF(AND(V1297&gt;=40,V1297&lt;75,W1297&gt;=35,W1297&lt;75),0.23,0)+IF(AND(V1297&gt;=40,V1297&lt;75,W1297&gt;=75,W1297&lt;120),0.17,0)+IF(AND(V1297&gt;=40,V1297&lt;75,W1297&gt;=120),0.12,0)+IF(AND(V1297&gt;=75,V1297&lt;175,W1297&lt;35),0.3,0)+IF(AND(V1297&gt;=75,V1297&lt;=175,W1297&gt;=35,W1297&lt;65),0.23,0)+IF(AND(V1297&gt;=75,V1297&lt;=175,W1297&gt;=65,W1297&lt;110),0.17,0)+IF(AND(V1297&gt;=75,V1297&lt;=175,W1297&gt;=110),0.12,0)+IF(AND(V1297&gt;175,W1297&lt;25),0.3,0)+IF(AND(V1297&gt;175,W1297&gt;=25,W1297&lt;55),0.23,0)+IF(AND(V1297&gt;175,W1297&gt;=55,W1297&lt;95),0.17,0)+IF(AND(V1297&gt;175,W1297&gt;=95),0.12,0),
IF(AF1297="DoEVni",IF(AND(V1297&lt;20,W1297&lt;55),0.3,0)+IF(AND(V1297&lt;20,W1297&gt;=55,W1297&lt;105),0.23,0)+IF(AND(V1297&lt;20,W1297&gt;=105),0.17,0)+IF(AND(V1297&gt;=20,V1297&lt;40,W1297&lt;45),0.3,0)+IF(AND(V1297&gt;=20,V1297&lt;40,W1297&gt;=45,W1297&lt;95),0.23,0)+IF(AND(V1297&gt;=20,V1297&lt;40,W1297&gt;=95,W1297&lt;=200),0.17,0)+IF(AND(V1297&gt;=20,V1297&lt;40,W1297&gt;=200),0.12,0)+IF(AND(V1297&gt;=40,V1297&lt;75,W1297&lt;35),0.3,0)+IF(AND(V1297&gt;=40,V1297&lt;75,W1297&gt;=35,W1297&lt;75),0.23,0)+IF(AND(V1297&gt;=40,V1297&lt;75,W1297&gt;=75,W1297&lt;120),0.17,0)+IF(AND(V1297&gt;=40,V1297&lt;75,W1297&gt;=120),0.12,0)+IF(AND(V1297&gt;=75,V1297&lt;175,W1297&lt;35),0.3,0)+IF(AND(V1297&gt;=75,V1297&lt;=175,W1297&gt;=35,W1297&lt;65),0.23,0)+IF(AND(V1297&gt;=75,V1297&lt;=175,W1297&gt;=65,W1297&lt;110),0.17,0)+IF(AND(V1297&gt;=75,V1297&lt;=175,W1297&gt;=110),0.12,0)+IF(AND(V1297&gt;175,W1297&lt;25),0.3,0)+IF(AND(V1297&gt;175,W1297&gt;=25,W1297&lt;55),0.23,0)+IF(AND(V1297&gt;175,W1297&gt;=55,W1297&lt;95),0.17,0)+IF(AND(V1297&gt;175,W1297&gt;=95),0.12,0),
IF(AF1297="DoEVLo",IF(AND(V1297&lt;20,W1297&lt;55),0.25,0)+IF(AND(V1297&lt;20,W1297&gt;=55,W1297&lt;105),0.2,0)+IF(AND(V1297&lt;20,W1297&gt;=105),0.15,0)+IF(AND(V1297&gt;=20,V1297&lt;40,W1297&lt;45),0.25,0)+IF(AND(V1297&gt;=20,V1297&lt;40,W1297&gt;=45,W1297&lt;95),0.2,0)+IF(AND(V1297&gt;=20,V1297&lt;40,W1297&gt;=95),0.15,0)+IF(AND(V1297&gt;=40,V1297&lt;75,W1297&lt;35),0.25,0)+IF(AND(V1297&gt;=40,V1297&lt;75,W1297&gt;=35,W1297&lt;75),0.2,0)+IF(AND(V1297&gt;=40,V1297&lt;75,W1297&gt;=75,W1297&lt;120),0.15,0)+IF(AND(V1297&gt;=40,V1297&lt;75,W1297&gt;=120),0.1,0)+IF(AND(V1297&gt;=75,V1297&lt;175,W1297&lt;35),0.25,0)+IF(AND(V1297&gt;=75,V1297&lt;=175,W1297&gt;=35,W1297&lt;65),0.2,0)+IF(AND(V1297&gt;=75,V1297&lt;=175,W1297&gt;=65,W1297&lt;110),0.15,0)+IF(AND(V1297&gt;=75,V1297&lt;=175,W1297&gt;=110),0.1,0)+IF(AND(V1297&gt;175,W1297&lt;25),0.25,0)+IF(AND(V1297&gt;175,W1297&gt;=25,W1297&lt;55),0.2,0)+IF(AND(V1297&gt;175,W1297&gt;=55,W1297&lt;95),0.15,0)+IF(AND(V1297&gt;175,W1297&gt;=95),0.1,0))))))))))))))))))</f>
        <v>0.3</v>
      </c>
      <c r="Y1297" s="30">
        <f>IF(AG1297="None",0,IF(AG1297="Fix5",0.05, IF(AG1297="Fix6.25",0.0625,IF(AG1297="Fix3.75",0.0375,IF(AG1297="Fix10",0.1,IF(AG1297="Fix3",0.03,0))))))</f>
        <v>0</v>
      </c>
      <c r="Z1297" s="35">
        <f>T1297-AA1297-AB1297</f>
        <v>4.2</v>
      </c>
      <c r="AA1297" s="29">
        <f>IF(AD1297="EUR",((T1297-R1297)*X1297)*U1297+(R1297*X1297),(T1297*X1297))</f>
        <v>1.7999999999999998</v>
      </c>
      <c r="AB1297" s="36">
        <f>IF(AD1297="EUR",((T1297-R1297)*Y1297)*U1297+(R1297*Y1297),(T1297*Y1297))</f>
        <v>0</v>
      </c>
      <c r="AC1297" s="37" t="b">
        <v>1</v>
      </c>
      <c r="AD1297" s="37" t="s">
        <v>38</v>
      </c>
      <c r="AE1297" s="37" t="s">
        <v>38</v>
      </c>
      <c r="AF1297" s="37" t="str">
        <f t="array" ref="AF1297">INDEX('Deal Info'!D:D, MATCH(A1297,'Deal Info'!A:A, 0))</f>
        <v>DoEV</v>
      </c>
      <c r="AG1297" s="38" t="str">
        <f t="array" ref="AG1297">INDEX('Deal Info'!G:G, MATCH(A1297,'Deal Info'!A:A, 0))</f>
        <v>None</v>
      </c>
    </row>
    <row r="1298" spans="1:33" ht="14.25" hidden="1" x14ac:dyDescent="0.2">
      <c r="A1298" s="18" t="str">
        <f t="array" ref="A1298">IF(G1298='Room Info'!$B$1, INDEX('Room Info'!$A$2:$A2446, MATCH(B1298,'Room Info'!$B$2:$B2446, 0)),IF(G1298='Room Info'!$C$1, INDEX('Room Info'!$A$2:$A2446, MATCH(B1298,'Room Info'!$C$2:$C2446, 0)),IF(G1298='Room Info'!$D$1, INDEX('Room Info'!$A$2:$A2446, MATCH(B1298,'Room Info'!$D$2:$D2446, 0)),IF(G1298='Room Info'!$E$1, INDEX('Room Info'!$A$2:$A2446, MATCH(B1298,'Room Info'!$E$2:$E2446, 0)),IF(G1298='Room Info'!$F$1, INDEX('Room Info'!$A$2:$A2446, MATCH(B1298,'Room Info'!$F$2:$F2446, 0)),IF(G1298='Room Info'!$H$1, INDEX('Room Info'!$A$2:$A2446, MATCH(B1298,'Room Info'!$H$2:$H2446, 0)),IF(G1298='Room Info'!$G$1, INDEX('Room Info'!$A$2:$A2446, MATCH(B1298,'Room Info'!$G$2:$G2446, 0)))))))))</f>
        <v>ushakov17</v>
      </c>
      <c r="B1298" s="45" t="s">
        <v>205</v>
      </c>
      <c r="C1298" s="46">
        <v>44927</v>
      </c>
      <c r="D1298" s="46">
        <v>44957</v>
      </c>
      <c r="E1298" s="47">
        <v>44927</v>
      </c>
      <c r="F1298" s="45" t="s">
        <v>41</v>
      </c>
      <c r="G1298" s="54" t="s">
        <v>35</v>
      </c>
      <c r="H1298" s="49" t="s">
        <v>40</v>
      </c>
      <c r="I1298" s="49" t="s">
        <v>37</v>
      </c>
      <c r="J1298" s="50">
        <v>10</v>
      </c>
      <c r="K1298" s="51">
        <v>2152</v>
      </c>
      <c r="L1298" s="52">
        <v>-50</v>
      </c>
      <c r="M1298" s="53">
        <v>533</v>
      </c>
      <c r="N1298" s="28">
        <f>K1298*J1298</f>
        <v>21520</v>
      </c>
      <c r="O1298" s="54">
        <v>77472</v>
      </c>
      <c r="P1298" s="29">
        <v>36</v>
      </c>
      <c r="Q1298" s="55"/>
      <c r="R1298" s="31">
        <f>M1298+Q1298</f>
        <v>533</v>
      </c>
      <c r="S1298" s="66"/>
      <c r="T1298" s="32">
        <f>R1298+S1298+IF(F1298="Without EV deal",L1298,0)</f>
        <v>483</v>
      </c>
      <c r="U1298" s="57">
        <v>1</v>
      </c>
      <c r="V1298" s="58"/>
      <c r="W1298" s="58"/>
      <c r="X1298" s="30">
        <f>IF(AF1298="DoEV",IF(AND(V1298&lt;20,W1298&lt;55),0.3,0)+IF(AND(V1298&lt;20,W1298&gt;=55,W1298&lt;105),0.23,0)+IF(AND(V1298&lt;20,W1298&gt;=105),0.17,0)+IF(AND(V1298&gt;=20,V1298&lt;40,W1298&lt;45),0.3,0)+IF(AND(V1298&gt;=20,V1298&lt;40,W1298&gt;=45,W1298&lt;95),0.23,0)+IF(AND(V1298&gt;=20,V1298&lt;40,W1298&gt;=95),0.17,0)+IF(AND(V1298&gt;=40,V1298&lt;75,W1298&lt;35),0.3,0)+IF(AND(V1298&gt;=40,V1298&lt;75,W1298&gt;=35,W1298&lt;75),0.23,0)+IF(AND(V1298&gt;=40,V1298&lt;75,W1298&gt;=75,W1298&lt;120),0.17,0)+IF(AND(V1298&gt;=40,V1298&lt;75,W1298&gt;=120),0.12,0)+IF(AND(V1298&gt;=75,V1298&lt;175,W1298&lt;35),0.3,0)+IF(AND(V1298&gt;=75,V1298&lt;=175,W1298&gt;=35,W1298&lt;65),0.23,0)+IF(AND(V1298&gt;=75,V1298&lt;=175,W1298&gt;=65,W1298&lt;110),0.17,0)+IF(AND(V1298&gt;=75,V1298&lt;=175,W1298&gt;=110),0.12,0)+IF(AND(V1298&gt;175,W1298&lt;25),0.3,0)+IF(AND(V1298&gt;175,W1298&gt;=25,W1298&lt;55),0.23,0)+IF(AND(V1298&gt;175,W1298&gt;=55,W1298&lt;95),0.17,0)+IF(AND(V1298&gt;175,W1298&gt;=95),0.12,0),
IF(AF1298="Fix15",0.15,
IF(AF1298="Fix18.75",0.1875,
IF(AF1298="Fix11.25",0.1125,
IF(AF1298="Fix10",0.1,
IF(AF1298="Fix9",0.09,
IF(AF1298="Fix19",0.19,
IF(AF1298="DoEV2017",IF(AND(W1298&lt;74),0.2,0)+IF(AND(W1298&gt;=74),0.17,0),
IF(AF1298="SF",IF(AND(V1298&lt;20,W1298&lt;89),0.3,0)+IF(AND(V1298&lt;20,W1298&gt;=89),0.25,0)+IF(AND(V1298&gt;=20,V1298&lt;40,W1298&lt;74),0.3,0)+IF(AND(V1298&gt;=20,V1298&lt;40,W1298&gt;=75),0.22,0)+IF(AND(V1298&gt;=40,V1298&lt;75,W1298&lt;75),0.26,0)+IF(AND(V1298&gt;=40,V1298&lt;75,W1298&gt;=75),0.22,0)+IF(V1298&gt;=75,0.22,0),
IF(AF1298="DoEVold",IF(AND(V1298&lt;40,W1298&lt;35),0.35,0)+IF(AND(V1298&lt;40,W1298&gt;=35,W1298&lt;75),0.25,0)+IF(AND(V1298&lt;40,W1298&gt;=75),0.17,0)+IF(AND(V1298&gt;=40,V1298&lt;75,W1298&lt;25),0.35,0)+IF(AND(V1298&gt;=40,V1298&lt;75,W1298&gt;=25,W1298&lt;65),0.25,0)+IF(AND(V1298&gt;=40,V1298&lt;75,W1298&gt;=65,W1298&lt;100),0.17,0)+IF(AND(V1298&gt;=40,V1298&lt;75,W1298&gt;=100),0.1,0)+IF(AND(V1298&gt;=75,W1298&lt;25),0.35,0)+IF(AND(V1298&gt;=75,W1298&gt;=25,W1298&lt;60),0.25,0)+IF(AND(V1298&gt;=75,W1298&gt;=60,W1298&lt;95),0.17,0)+IF(AND(V1298&gt;=75,W1298&gt;=95),0.1,0),
IF(AF1298="DoEVold15",IF(AND(V1298&lt;=40,W1298&lt;35),0.35,0)+IF(AND(V1298&lt;=40,W1298&gt;=35,W1298&lt;75),0.25,0)+IF(AND(V1298&lt;=40,W1298&gt;=75,W1298&lt;120),0.17,0)+IF(AND(V1298&lt;=40,W1298&gt;=120),0.15,0)+IF(AND(V1298&gt;40,V1298&lt;75,W1298&lt;25),0.35,0)+IF(AND(V1298&gt;=40,V1298&lt;75,W1298&gt;=25,W1298&lt;65),0.25,0)+IF(AND(V1298&gt;=40,V1298&lt;75,W1298&gt;=65,W1298&lt;100),0.17,0)+IF(AND(V1298&gt;=40,V1298&lt;75,W1298&gt;=100),0.1,0)+IF(AND(V1298&gt;=75,W1298&lt;25),0.35,0)+IF(AND(V1298&gt;=75,W1298&gt;=25,W1298&lt;60),0.25,0)+IF(AND(V1298&gt;=75,W1298&gt;=60,W1298&lt;95),0.17,0)+IF(AND(V1298&gt;=75,W1298&gt;=95),0.1,0),
IF(AF1298="DoEVba",IF(AND(V1298&lt;20,W1298&lt;105),0.2,0)+IF(AND(V1298&lt;20,W1298&gt;=105),0.15,0)+IF(AND(V1298&gt;=20,V1298&lt;40,W1298&lt;95),0.2,0)+IF(AND(V1298&gt;=20,V1298&lt;40,W1298&gt;=95,W1298&lt;150),0.15,0)+IF(AND(V1298&gt;=20,V1298&lt;40,W1298&gt;=150),0.12,0)+IF(AND(V1298&gt;=40,V1298&lt;75,W1298&lt;75),0.2,0)+IF(AND(V1298&gt;=40,V1298&lt;75,W1298&gt;=75,W1298&lt;120),0.15,0)+IF(AND(V1298&gt;=40,V1298&lt;75,W1298&gt;=120),0.12,0)+IF(AND(V1298&gt;=75,V1298&lt;175,W1298&lt;65),0.2,0)+IF(AND(V1298&gt;=75,V1298&lt;175,W1298&gt;=65,W1298&lt;110),0.15,0)+IF(AND(V1298&gt;=75,V1298&lt;175,W1298&gt;=110),0.12,0)+IF(AND(V1298&gt;=175,W1298&lt;55),0.2,0)+IF(AND(V1298&gt;=175,W1298&gt;=55,W1298&lt;95),0.15,0)+IF(AND(V1298&gt;=175,W1298&gt;=95),0.12,0),
IF(AF1298="DoEVku",IF(AND(V1298&lt;20,W1298&lt;55),0.23,0)+IF(AND(V1298&lt;20,W1298&gt;=55,W1298&lt;105),0.2,0)+IF(AND(V1298&lt;20,W1298&gt;=105),0.17,0)+IF(AND(V1298&gt;=20,V1298&lt;40,W1298&lt;45),0.23,0)+IF(AND(V1298&gt;=20,V1298&lt;40,W1298&gt;=45,W1298&lt;95),0.2,0)+IF(AND(V1298&gt;=20,V1298&lt;40,W1298&gt;=95,W1298&lt;=150),0.17,0)+IF(AND(V1298&gt;=20,V1298&lt;40,W1298&gt;=150),0.12,0)+IF(AND(V1298&gt;=40,V1298&lt;75,W1298&lt;35),0.23,0)+IF(AND(V1298&gt;=40,V1298&lt;75,W1298&gt;=35,W1298&lt;75),0.2,0)+IF(AND(V1298&gt;=40,V1298&lt;75,W1298&gt;=75,W1298&lt;120),0.17,0)+IF(AND(V1298&gt;=40,V1298&lt;75,W1298&gt;=120),0.12,0)+IF(AND(V1298&gt;=75,V1298&lt;175,W1298&lt;35),0.23,0)+IF(AND(V1298&gt;=75,V1298&lt;=175,W1298&gt;=35,W1298&lt;65),0.2,0)+IF(AND(V1298&gt;=75,V1298&lt;=175,W1298&gt;=65,W1298&lt;110),0.17,0)+IF(AND(V1298&gt;=75,V1298&lt;=175,W1298&gt;=110),0.12,0)+IF(AND(V1298&gt;175,W1298&lt;25),0.23,0)+IF(AND(V1298&gt;175,W1298&gt;=25,W1298&lt;55),0.2,0)+IF(AND(V1298&gt;175,W1298&gt;=55,W1298&lt;95),0.17,0)+IF(AND(V1298&gt;175,W1298&gt;=95),0.12,0),
IF(AF1298="DoEVs1",IF(AND(V1298&lt;20,W1298&lt;55),0.3,0)+IF(AND(V1298&lt;20,W1298&gt;=55,W1298&lt;105),0.23,0)+IF(AND(V1298&lt;20,W1298&gt;=105),0.17,0)+IF(AND(V1298&gt;=20,V1298&lt;40,W1298&lt;45),0.3,0)+IF(AND(V1298&gt;=20,V1298&lt;40,W1298&gt;=45,W1298&lt;95),0.23,0)+IF(AND(V1298&gt;=20,V1298&lt;40,W1298&gt;=95,W1298&lt;=150),0.17,0)+IF(AND(V1298&gt;=20,V1298&lt;40,W1298&gt;=150),0.12,0)+IF(AND(V1298&gt;=40,V1298&lt;75,W1298&lt;35),0.3,0)+IF(AND(V1298&gt;=40,V1298&lt;75,W1298&gt;=35,W1298&lt;75),0.23,0)+IF(AND(V1298&gt;=40,V1298&lt;75,W1298&gt;=75,W1298&lt;120),0.17,0)+IF(AND(V1298&gt;=40,V1298&lt;75,W1298&gt;=120),0.12,0)+IF(AND(V1298&gt;=75,V1298&lt;175,W1298&lt;35),0.3,0)+IF(AND(V1298&gt;=75,V1298&lt;=175,W1298&gt;=35,W1298&lt;65),0.23,0)+IF(AND(V1298&gt;=75,V1298&lt;=175,W1298&gt;=65,W1298&lt;110),0.17,0)+IF(AND(V1298&gt;=75,V1298&lt;=175,W1298&gt;=110),0.12,0)+IF(AND(V1298&gt;175,W1298&lt;25),0.3,0)+IF(AND(V1298&gt;175,W1298&gt;=25,W1298&lt;55),0.23,0)+IF(AND(V1298&gt;175,W1298&gt;=55,W1298&lt;95),0.17,0)+IF(AND(V1298&gt;175,W1298&gt;=95),0.12,0),
IF(AF1298="DoEVsu",IF(AND(V1298&lt;20,W1298&lt;55),0.3,0)+IF(AND(V1298&lt;20,W1298&gt;=55,W1298&lt;105),0.23,0)+IF(AND(V1298&lt;20,W1298&gt;=105),0.17,0)+IF(AND(V1298&gt;=20,V1298&lt;40,W1298&lt;45),0.3,0)+IF(AND(V1298&gt;=20,V1298&lt;40,W1298&gt;=45,W1298&lt;95),0.23,0)+IF(AND(V1298&gt;=20,V1298&lt;40,W1298&gt;=95,W1298&lt;=250),0.17,0)+IF(AND(V1298&gt;=20,V1298&lt;40,W1298&gt;=250),0.12,0)+IF(AND(V1298&gt;=40,V1298&lt;75,W1298&lt;35),0.3,0)+IF(AND(V1298&gt;=40,V1298&lt;75,W1298&gt;=35,W1298&lt;75),0.23,0)+IF(AND(V1298&gt;=40,V1298&lt;75,W1298&gt;=75,W1298&lt;120),0.17,0)+IF(AND(V1298&gt;=40,V1298&lt;75,W1298&gt;=120),0.12,0)+IF(AND(V1298&gt;=75,V1298&lt;175,W1298&lt;35),0.3,0)+IF(AND(V1298&gt;=75,V1298&lt;=175,W1298&gt;=35,W1298&lt;65),0.23,0)+IF(AND(V1298&gt;=75,V1298&lt;=175,W1298&gt;=65,W1298&lt;110),0.17,0)+IF(AND(V1298&gt;=75,V1298&lt;=175,W1298&gt;=110),0.12,0)+IF(AND(V1298&gt;175,W1298&lt;25),0.3,0)+IF(AND(V1298&gt;175,W1298&gt;=25,W1298&lt;55),0.23,0)+IF(AND(V1298&gt;175,W1298&gt;=55,W1298&lt;95),0.17,0)+IF(AND(V1298&gt;175,W1298&gt;=95),0.12,0),
IF(AF1298="DoEVni",IF(AND(V1298&lt;20,W1298&lt;55),0.3,0)+IF(AND(V1298&lt;20,W1298&gt;=55,W1298&lt;105),0.23,0)+IF(AND(V1298&lt;20,W1298&gt;=105),0.17,0)+IF(AND(V1298&gt;=20,V1298&lt;40,W1298&lt;45),0.3,0)+IF(AND(V1298&gt;=20,V1298&lt;40,W1298&gt;=45,W1298&lt;95),0.23,0)+IF(AND(V1298&gt;=20,V1298&lt;40,W1298&gt;=95,W1298&lt;=200),0.17,0)+IF(AND(V1298&gt;=20,V1298&lt;40,W1298&gt;=200),0.12,0)+IF(AND(V1298&gt;=40,V1298&lt;75,W1298&lt;35),0.3,0)+IF(AND(V1298&gt;=40,V1298&lt;75,W1298&gt;=35,W1298&lt;75),0.23,0)+IF(AND(V1298&gt;=40,V1298&lt;75,W1298&gt;=75,W1298&lt;120),0.17,0)+IF(AND(V1298&gt;=40,V1298&lt;75,W1298&gt;=120),0.12,0)+IF(AND(V1298&gt;=75,V1298&lt;175,W1298&lt;35),0.3,0)+IF(AND(V1298&gt;=75,V1298&lt;=175,W1298&gt;=35,W1298&lt;65),0.23,0)+IF(AND(V1298&gt;=75,V1298&lt;=175,W1298&gt;=65,W1298&lt;110),0.17,0)+IF(AND(V1298&gt;=75,V1298&lt;=175,W1298&gt;=110),0.12,0)+IF(AND(V1298&gt;175,W1298&lt;25),0.3,0)+IF(AND(V1298&gt;175,W1298&gt;=25,W1298&lt;55),0.23,0)+IF(AND(V1298&gt;175,W1298&gt;=55,W1298&lt;95),0.17,0)+IF(AND(V1298&gt;175,W1298&gt;=95),0.12,0),
IF(AF1298="DoEVLo",IF(AND(V1298&lt;20,W1298&lt;55),0.25,0)+IF(AND(V1298&lt;20,W1298&gt;=55,W1298&lt;105),0.2,0)+IF(AND(V1298&lt;20,W1298&gt;=105),0.15,0)+IF(AND(V1298&gt;=20,V1298&lt;40,W1298&lt;45),0.25,0)+IF(AND(V1298&gt;=20,V1298&lt;40,W1298&gt;=45,W1298&lt;95),0.2,0)+IF(AND(V1298&gt;=20,V1298&lt;40,W1298&gt;=95),0.15,0)+IF(AND(V1298&gt;=40,V1298&lt;75,W1298&lt;35),0.25,0)+IF(AND(V1298&gt;=40,V1298&lt;75,W1298&gt;=35,W1298&lt;75),0.2,0)+IF(AND(V1298&gt;=40,V1298&lt;75,W1298&gt;=75,W1298&lt;120),0.15,0)+IF(AND(V1298&gt;=40,V1298&lt;75,W1298&gt;=120),0.1,0)+IF(AND(V1298&gt;=75,V1298&lt;175,W1298&lt;35),0.25,0)+IF(AND(V1298&gt;=75,V1298&lt;=175,W1298&gt;=35,W1298&lt;65),0.2,0)+IF(AND(V1298&gt;=75,V1298&lt;=175,W1298&gt;=65,W1298&lt;110),0.15,0)+IF(AND(V1298&gt;=75,V1298&lt;=175,W1298&gt;=110),0.1,0)+IF(AND(V1298&gt;175,W1298&lt;25),0.25,0)+IF(AND(V1298&gt;175,W1298&gt;=25,W1298&lt;55),0.2,0)+IF(AND(V1298&gt;175,W1298&gt;=55,W1298&lt;95),0.15,0)+IF(AND(V1298&gt;175,W1298&gt;=95),0.1,0))))))))))))))))))</f>
        <v>0.3</v>
      </c>
      <c r="Y1298" s="30">
        <f>IF(AG1298="None",0,IF(AG1298="Fix5",0.05, IF(AG1298="Fix6.25",0.0625,IF(AG1298="Fix3.75",0.0375,IF(AG1298="Fix10",0.1,IF(AG1298="Fix3",0.03,0))))))</f>
        <v>0</v>
      </c>
      <c r="Z1298" s="35">
        <f>T1298-AA1298-AB1298</f>
        <v>338.1</v>
      </c>
      <c r="AA1298" s="29">
        <f>IF(AD1298="EUR",((T1298-R1298)*X1298)*U1298+(R1298*X1298),(T1298*X1298))</f>
        <v>144.9</v>
      </c>
      <c r="AB1298" s="36">
        <f>IF(AD1298="EUR",((T1298-R1298)*Y1298)*U1298+(R1298*Y1298),(T1298*Y1298))</f>
        <v>0</v>
      </c>
      <c r="AC1298" s="37" t="b">
        <v>1</v>
      </c>
      <c r="AD1298" s="37" t="s">
        <v>38</v>
      </c>
      <c r="AE1298" s="37" t="s">
        <v>38</v>
      </c>
      <c r="AF1298" s="37" t="str">
        <f t="array" ref="AF1298">INDEX('Deal Info'!D:D, MATCH(A1298,'Deal Info'!A:A, 0))</f>
        <v>DoEV</v>
      </c>
      <c r="AG1298" s="38" t="str">
        <f t="array" ref="AG1298">INDEX('Deal Info'!G:G, MATCH(A1298,'Deal Info'!A:A, 0))</f>
        <v>None</v>
      </c>
    </row>
    <row r="1299" spans="1:33" ht="14.25" hidden="1" x14ac:dyDescent="0.2">
      <c r="A1299" s="18" t="str">
        <f t="array" ref="A1299">IF(G1299='Room Info'!$B$1, INDEX('Room Info'!$A$2:$A2446, MATCH(B1299,'Room Info'!$B$2:$B2446, 0)),IF(G1299='Room Info'!$C$1, INDEX('Room Info'!$A$2:$A2446, MATCH(B1299,'Room Info'!$C$2:$C2446, 0)),IF(G1299='Room Info'!$D$1, INDEX('Room Info'!$A$2:$A2446, MATCH(B1299,'Room Info'!$D$2:$D2446, 0)),IF(G1299='Room Info'!$E$1, INDEX('Room Info'!$A$2:$A2446, MATCH(B1299,'Room Info'!$E$2:$E2446, 0)),IF(G1299='Room Info'!$F$1, INDEX('Room Info'!$A$2:$A2446, MATCH(B1299,'Room Info'!$F$2:$F2446, 0)),IF(G1299='Room Info'!$H$1, INDEX('Room Info'!$A$2:$A2446, MATCH(B1299,'Room Info'!$H$2:$H2446, 0)),IF(G1299='Room Info'!$G$1, INDEX('Room Info'!$A$2:$A2446, MATCH(B1299,'Room Info'!$G$2:$G2446, 0)))))))))</f>
        <v>ushakov17</v>
      </c>
      <c r="B1299" s="45" t="s">
        <v>205</v>
      </c>
      <c r="C1299" s="46">
        <v>44927</v>
      </c>
      <c r="D1299" s="46">
        <v>44957</v>
      </c>
      <c r="E1299" s="47">
        <v>44927</v>
      </c>
      <c r="F1299" s="45" t="s">
        <v>41</v>
      </c>
      <c r="G1299" s="54" t="s">
        <v>35</v>
      </c>
      <c r="H1299" s="49" t="s">
        <v>115</v>
      </c>
      <c r="I1299" s="49" t="s">
        <v>44</v>
      </c>
      <c r="J1299" s="50">
        <v>10</v>
      </c>
      <c r="K1299" s="51">
        <v>3</v>
      </c>
      <c r="L1299" s="52">
        <v>0</v>
      </c>
      <c r="M1299" s="53">
        <v>1</v>
      </c>
      <c r="N1299" s="28">
        <f>K1299*J1299</f>
        <v>30</v>
      </c>
      <c r="O1299" s="65"/>
      <c r="P1299" s="29">
        <v>0</v>
      </c>
      <c r="Q1299" s="55"/>
      <c r="R1299" s="31">
        <f>M1299+Q1299</f>
        <v>1</v>
      </c>
      <c r="S1299" s="66"/>
      <c r="T1299" s="32">
        <f>R1299+S1299+IF(F1299="Without EV deal",L1299,0)</f>
        <v>1</v>
      </c>
      <c r="U1299" s="57">
        <v>1</v>
      </c>
      <c r="V1299" s="58"/>
      <c r="W1299" s="58"/>
      <c r="X1299" s="30">
        <f>IF(AF1299="DoEV",IF(AND(V1299&lt;20,W1299&lt;55),0.3,0)+IF(AND(V1299&lt;20,W1299&gt;=55,W1299&lt;105),0.23,0)+IF(AND(V1299&lt;20,W1299&gt;=105),0.17,0)+IF(AND(V1299&gt;=20,V1299&lt;40,W1299&lt;45),0.3,0)+IF(AND(V1299&gt;=20,V1299&lt;40,W1299&gt;=45,W1299&lt;95),0.23,0)+IF(AND(V1299&gt;=20,V1299&lt;40,W1299&gt;=95),0.17,0)+IF(AND(V1299&gt;=40,V1299&lt;75,W1299&lt;35),0.3,0)+IF(AND(V1299&gt;=40,V1299&lt;75,W1299&gt;=35,W1299&lt;75),0.23,0)+IF(AND(V1299&gt;=40,V1299&lt;75,W1299&gt;=75,W1299&lt;120),0.17,0)+IF(AND(V1299&gt;=40,V1299&lt;75,W1299&gt;=120),0.12,0)+IF(AND(V1299&gt;=75,V1299&lt;175,W1299&lt;35),0.3,0)+IF(AND(V1299&gt;=75,V1299&lt;=175,W1299&gt;=35,W1299&lt;65),0.23,0)+IF(AND(V1299&gt;=75,V1299&lt;=175,W1299&gt;=65,W1299&lt;110),0.17,0)+IF(AND(V1299&gt;=75,V1299&lt;=175,W1299&gt;=110),0.12,0)+IF(AND(V1299&gt;175,W1299&lt;25),0.3,0)+IF(AND(V1299&gt;175,W1299&gt;=25,W1299&lt;55),0.23,0)+IF(AND(V1299&gt;175,W1299&gt;=55,W1299&lt;95),0.17,0)+IF(AND(V1299&gt;175,W1299&gt;=95),0.12,0),
IF(AF1299="Fix15",0.15,
IF(AF1299="Fix18.75",0.1875,
IF(AF1299="Fix11.25",0.1125,
IF(AF1299="Fix10",0.1,
IF(AF1299="Fix9",0.09,
IF(AF1299="Fix19",0.19,
IF(AF1299="DoEV2017",IF(AND(W1299&lt;74),0.2,0)+IF(AND(W1299&gt;=74),0.17,0),
IF(AF1299="SF",IF(AND(V1299&lt;20,W1299&lt;89),0.3,0)+IF(AND(V1299&lt;20,W1299&gt;=89),0.25,0)+IF(AND(V1299&gt;=20,V1299&lt;40,W1299&lt;74),0.3,0)+IF(AND(V1299&gt;=20,V1299&lt;40,W1299&gt;=75),0.22,0)+IF(AND(V1299&gt;=40,V1299&lt;75,W1299&lt;75),0.26,0)+IF(AND(V1299&gt;=40,V1299&lt;75,W1299&gt;=75),0.22,0)+IF(V1299&gt;=75,0.22,0),
IF(AF1299="DoEVold",IF(AND(V1299&lt;40,W1299&lt;35),0.35,0)+IF(AND(V1299&lt;40,W1299&gt;=35,W1299&lt;75),0.25,0)+IF(AND(V1299&lt;40,W1299&gt;=75),0.17,0)+IF(AND(V1299&gt;=40,V1299&lt;75,W1299&lt;25),0.35,0)+IF(AND(V1299&gt;=40,V1299&lt;75,W1299&gt;=25,W1299&lt;65),0.25,0)+IF(AND(V1299&gt;=40,V1299&lt;75,W1299&gt;=65,W1299&lt;100),0.17,0)+IF(AND(V1299&gt;=40,V1299&lt;75,W1299&gt;=100),0.1,0)+IF(AND(V1299&gt;=75,W1299&lt;25),0.35,0)+IF(AND(V1299&gt;=75,W1299&gt;=25,W1299&lt;60),0.25,0)+IF(AND(V1299&gt;=75,W1299&gt;=60,W1299&lt;95),0.17,0)+IF(AND(V1299&gt;=75,W1299&gt;=95),0.1,0),
IF(AF1299="DoEVold15",IF(AND(V1299&lt;=40,W1299&lt;35),0.35,0)+IF(AND(V1299&lt;=40,W1299&gt;=35,W1299&lt;75),0.25,0)+IF(AND(V1299&lt;=40,W1299&gt;=75,W1299&lt;120),0.17,0)+IF(AND(V1299&lt;=40,W1299&gt;=120),0.15,0)+IF(AND(V1299&gt;40,V1299&lt;75,W1299&lt;25),0.35,0)+IF(AND(V1299&gt;=40,V1299&lt;75,W1299&gt;=25,W1299&lt;65),0.25,0)+IF(AND(V1299&gt;=40,V1299&lt;75,W1299&gt;=65,W1299&lt;100),0.17,0)+IF(AND(V1299&gt;=40,V1299&lt;75,W1299&gt;=100),0.1,0)+IF(AND(V1299&gt;=75,W1299&lt;25),0.35,0)+IF(AND(V1299&gt;=75,W1299&gt;=25,W1299&lt;60),0.25,0)+IF(AND(V1299&gt;=75,W1299&gt;=60,W1299&lt;95),0.17,0)+IF(AND(V1299&gt;=75,W1299&gt;=95),0.1,0),
IF(AF1299="DoEVba",IF(AND(V1299&lt;20,W1299&lt;105),0.2,0)+IF(AND(V1299&lt;20,W1299&gt;=105),0.15,0)+IF(AND(V1299&gt;=20,V1299&lt;40,W1299&lt;95),0.2,0)+IF(AND(V1299&gt;=20,V1299&lt;40,W1299&gt;=95,W1299&lt;150),0.15,0)+IF(AND(V1299&gt;=20,V1299&lt;40,W1299&gt;=150),0.12,0)+IF(AND(V1299&gt;=40,V1299&lt;75,W1299&lt;75),0.2,0)+IF(AND(V1299&gt;=40,V1299&lt;75,W1299&gt;=75,W1299&lt;120),0.15,0)+IF(AND(V1299&gt;=40,V1299&lt;75,W1299&gt;=120),0.12,0)+IF(AND(V1299&gt;=75,V1299&lt;175,W1299&lt;65),0.2,0)+IF(AND(V1299&gt;=75,V1299&lt;175,W1299&gt;=65,W1299&lt;110),0.15,0)+IF(AND(V1299&gt;=75,V1299&lt;175,W1299&gt;=110),0.12,0)+IF(AND(V1299&gt;=175,W1299&lt;55),0.2,0)+IF(AND(V1299&gt;=175,W1299&gt;=55,W1299&lt;95),0.15,0)+IF(AND(V1299&gt;=175,W1299&gt;=95),0.12,0),
IF(AF1299="DoEVku",IF(AND(V1299&lt;20,W1299&lt;55),0.23,0)+IF(AND(V1299&lt;20,W1299&gt;=55,W1299&lt;105),0.2,0)+IF(AND(V1299&lt;20,W1299&gt;=105),0.17,0)+IF(AND(V1299&gt;=20,V1299&lt;40,W1299&lt;45),0.23,0)+IF(AND(V1299&gt;=20,V1299&lt;40,W1299&gt;=45,W1299&lt;95),0.2,0)+IF(AND(V1299&gt;=20,V1299&lt;40,W1299&gt;=95,W1299&lt;=150),0.17,0)+IF(AND(V1299&gt;=20,V1299&lt;40,W1299&gt;=150),0.12,0)+IF(AND(V1299&gt;=40,V1299&lt;75,W1299&lt;35),0.23,0)+IF(AND(V1299&gt;=40,V1299&lt;75,W1299&gt;=35,W1299&lt;75),0.2,0)+IF(AND(V1299&gt;=40,V1299&lt;75,W1299&gt;=75,W1299&lt;120),0.17,0)+IF(AND(V1299&gt;=40,V1299&lt;75,W1299&gt;=120),0.12,0)+IF(AND(V1299&gt;=75,V1299&lt;175,W1299&lt;35),0.23,0)+IF(AND(V1299&gt;=75,V1299&lt;=175,W1299&gt;=35,W1299&lt;65),0.2,0)+IF(AND(V1299&gt;=75,V1299&lt;=175,W1299&gt;=65,W1299&lt;110),0.17,0)+IF(AND(V1299&gt;=75,V1299&lt;=175,W1299&gt;=110),0.12,0)+IF(AND(V1299&gt;175,W1299&lt;25),0.23,0)+IF(AND(V1299&gt;175,W1299&gt;=25,W1299&lt;55),0.2,0)+IF(AND(V1299&gt;175,W1299&gt;=55,W1299&lt;95),0.17,0)+IF(AND(V1299&gt;175,W1299&gt;=95),0.12,0),
IF(AF1299="DoEVs1",IF(AND(V1299&lt;20,W1299&lt;55),0.3,0)+IF(AND(V1299&lt;20,W1299&gt;=55,W1299&lt;105),0.23,0)+IF(AND(V1299&lt;20,W1299&gt;=105),0.17,0)+IF(AND(V1299&gt;=20,V1299&lt;40,W1299&lt;45),0.3,0)+IF(AND(V1299&gt;=20,V1299&lt;40,W1299&gt;=45,W1299&lt;95),0.23,0)+IF(AND(V1299&gt;=20,V1299&lt;40,W1299&gt;=95,W1299&lt;=150),0.17,0)+IF(AND(V1299&gt;=20,V1299&lt;40,W1299&gt;=150),0.12,0)+IF(AND(V1299&gt;=40,V1299&lt;75,W1299&lt;35),0.3,0)+IF(AND(V1299&gt;=40,V1299&lt;75,W1299&gt;=35,W1299&lt;75),0.23,0)+IF(AND(V1299&gt;=40,V1299&lt;75,W1299&gt;=75,W1299&lt;120),0.17,0)+IF(AND(V1299&gt;=40,V1299&lt;75,W1299&gt;=120),0.12,0)+IF(AND(V1299&gt;=75,V1299&lt;175,W1299&lt;35),0.3,0)+IF(AND(V1299&gt;=75,V1299&lt;=175,W1299&gt;=35,W1299&lt;65),0.23,0)+IF(AND(V1299&gt;=75,V1299&lt;=175,W1299&gt;=65,W1299&lt;110),0.17,0)+IF(AND(V1299&gt;=75,V1299&lt;=175,W1299&gt;=110),0.12,0)+IF(AND(V1299&gt;175,W1299&lt;25),0.3,0)+IF(AND(V1299&gt;175,W1299&gt;=25,W1299&lt;55),0.23,0)+IF(AND(V1299&gt;175,W1299&gt;=55,W1299&lt;95),0.17,0)+IF(AND(V1299&gt;175,W1299&gt;=95),0.12,0),
IF(AF1299="DoEVsu",IF(AND(V1299&lt;20,W1299&lt;55),0.3,0)+IF(AND(V1299&lt;20,W1299&gt;=55,W1299&lt;105),0.23,0)+IF(AND(V1299&lt;20,W1299&gt;=105),0.17,0)+IF(AND(V1299&gt;=20,V1299&lt;40,W1299&lt;45),0.3,0)+IF(AND(V1299&gt;=20,V1299&lt;40,W1299&gt;=45,W1299&lt;95),0.23,0)+IF(AND(V1299&gt;=20,V1299&lt;40,W1299&gt;=95,W1299&lt;=250),0.17,0)+IF(AND(V1299&gt;=20,V1299&lt;40,W1299&gt;=250),0.12,0)+IF(AND(V1299&gt;=40,V1299&lt;75,W1299&lt;35),0.3,0)+IF(AND(V1299&gt;=40,V1299&lt;75,W1299&gt;=35,W1299&lt;75),0.23,0)+IF(AND(V1299&gt;=40,V1299&lt;75,W1299&gt;=75,W1299&lt;120),0.17,0)+IF(AND(V1299&gt;=40,V1299&lt;75,W1299&gt;=120),0.12,0)+IF(AND(V1299&gt;=75,V1299&lt;175,W1299&lt;35),0.3,0)+IF(AND(V1299&gt;=75,V1299&lt;=175,W1299&gt;=35,W1299&lt;65),0.23,0)+IF(AND(V1299&gt;=75,V1299&lt;=175,W1299&gt;=65,W1299&lt;110),0.17,0)+IF(AND(V1299&gt;=75,V1299&lt;=175,W1299&gt;=110),0.12,0)+IF(AND(V1299&gt;175,W1299&lt;25),0.3,0)+IF(AND(V1299&gt;175,W1299&gt;=25,W1299&lt;55),0.23,0)+IF(AND(V1299&gt;175,W1299&gt;=55,W1299&lt;95),0.17,0)+IF(AND(V1299&gt;175,W1299&gt;=95),0.12,0),
IF(AF1299="DoEVni",IF(AND(V1299&lt;20,W1299&lt;55),0.3,0)+IF(AND(V1299&lt;20,W1299&gt;=55,W1299&lt;105),0.23,0)+IF(AND(V1299&lt;20,W1299&gt;=105),0.17,0)+IF(AND(V1299&gt;=20,V1299&lt;40,W1299&lt;45),0.3,0)+IF(AND(V1299&gt;=20,V1299&lt;40,W1299&gt;=45,W1299&lt;95),0.23,0)+IF(AND(V1299&gt;=20,V1299&lt;40,W1299&gt;=95,W1299&lt;=200),0.17,0)+IF(AND(V1299&gt;=20,V1299&lt;40,W1299&gt;=200),0.12,0)+IF(AND(V1299&gt;=40,V1299&lt;75,W1299&lt;35),0.3,0)+IF(AND(V1299&gt;=40,V1299&lt;75,W1299&gt;=35,W1299&lt;75),0.23,0)+IF(AND(V1299&gt;=40,V1299&lt;75,W1299&gt;=75,W1299&lt;120),0.17,0)+IF(AND(V1299&gt;=40,V1299&lt;75,W1299&gt;=120),0.12,0)+IF(AND(V1299&gt;=75,V1299&lt;175,W1299&lt;35),0.3,0)+IF(AND(V1299&gt;=75,V1299&lt;=175,W1299&gt;=35,W1299&lt;65),0.23,0)+IF(AND(V1299&gt;=75,V1299&lt;=175,W1299&gt;=65,W1299&lt;110),0.17,0)+IF(AND(V1299&gt;=75,V1299&lt;=175,W1299&gt;=110),0.12,0)+IF(AND(V1299&gt;175,W1299&lt;25),0.3,0)+IF(AND(V1299&gt;175,W1299&gt;=25,W1299&lt;55),0.23,0)+IF(AND(V1299&gt;175,W1299&gt;=55,W1299&lt;95),0.17,0)+IF(AND(V1299&gt;175,W1299&gt;=95),0.12,0),
IF(AF1299="DoEVLo",IF(AND(V1299&lt;20,W1299&lt;55),0.25,0)+IF(AND(V1299&lt;20,W1299&gt;=55,W1299&lt;105),0.2,0)+IF(AND(V1299&lt;20,W1299&gt;=105),0.15,0)+IF(AND(V1299&gt;=20,V1299&lt;40,W1299&lt;45),0.25,0)+IF(AND(V1299&gt;=20,V1299&lt;40,W1299&gt;=45,W1299&lt;95),0.2,0)+IF(AND(V1299&gt;=20,V1299&lt;40,W1299&gt;=95),0.15,0)+IF(AND(V1299&gt;=40,V1299&lt;75,W1299&lt;35),0.25,0)+IF(AND(V1299&gt;=40,V1299&lt;75,W1299&gt;=35,W1299&lt;75),0.2,0)+IF(AND(V1299&gt;=40,V1299&lt;75,W1299&gt;=75,W1299&lt;120),0.15,0)+IF(AND(V1299&gt;=40,V1299&lt;75,W1299&gt;=120),0.1,0)+IF(AND(V1299&gt;=75,V1299&lt;175,W1299&lt;35),0.25,0)+IF(AND(V1299&gt;=75,V1299&lt;=175,W1299&gt;=35,W1299&lt;65),0.2,0)+IF(AND(V1299&gt;=75,V1299&lt;=175,W1299&gt;=65,W1299&lt;110),0.15,0)+IF(AND(V1299&gt;=75,V1299&lt;=175,W1299&gt;=110),0.1,0)+IF(AND(V1299&gt;175,W1299&lt;25),0.25,0)+IF(AND(V1299&gt;175,W1299&gt;=25,W1299&lt;55),0.2,0)+IF(AND(V1299&gt;175,W1299&gt;=55,W1299&lt;95),0.15,0)+IF(AND(V1299&gt;175,W1299&gt;=95),0.1,0))))))))))))))))))</f>
        <v>0.3</v>
      </c>
      <c r="Y1299" s="30">
        <f>IF(AG1299="None",0,IF(AG1299="Fix5",0.05, IF(AG1299="Fix6.25",0.0625,IF(AG1299="Fix3.75",0.0375,IF(AG1299="Fix10",0.1,IF(AG1299="Fix3",0.03,0))))))</f>
        <v>0</v>
      </c>
      <c r="Z1299" s="35">
        <f>T1299-AA1299-AB1299</f>
        <v>0.7</v>
      </c>
      <c r="AA1299" s="29">
        <f>IF(AD1299="EUR",((T1299-R1299)*X1299)*U1299+(R1299*X1299),(T1299*X1299))</f>
        <v>0.3</v>
      </c>
      <c r="AB1299" s="36">
        <f>IF(AD1299="EUR",((T1299-R1299)*Y1299)*U1299+(R1299*Y1299),(T1299*Y1299))</f>
        <v>0</v>
      </c>
      <c r="AC1299" s="37" t="b">
        <v>1</v>
      </c>
      <c r="AD1299" s="37" t="s">
        <v>38</v>
      </c>
      <c r="AE1299" s="37" t="s">
        <v>38</v>
      </c>
      <c r="AF1299" s="37" t="str">
        <f t="array" ref="AF1299">INDEX('Deal Info'!D:D, MATCH(A1299,'Deal Info'!A:A, 0))</f>
        <v>DoEV</v>
      </c>
      <c r="AG1299" s="38" t="str">
        <f t="array" ref="AG1299">INDEX('Deal Info'!G:G, MATCH(A1299,'Deal Info'!A:A, 0))</f>
        <v>None</v>
      </c>
    </row>
    <row r="1300" spans="1:33" ht="14.25" hidden="1" x14ac:dyDescent="0.2">
      <c r="A1300" s="18" t="str">
        <f t="array" ref="A1300">IF(G1300='Room Info'!$B$1, INDEX('Room Info'!$A$2:$A2446, MATCH(B1300,'Room Info'!$B$2:$B2446, 0)),IF(G1300='Room Info'!$C$1, INDEX('Room Info'!$A$2:$A2446, MATCH(B1300,'Room Info'!$C$2:$C2446, 0)),IF(G1300='Room Info'!$D$1, INDEX('Room Info'!$A$2:$A2446, MATCH(B1300,'Room Info'!$D$2:$D2446, 0)),IF(G1300='Room Info'!$E$1, INDEX('Room Info'!$A$2:$A2446, MATCH(B1300,'Room Info'!$E$2:$E2446, 0)),IF(G1300='Room Info'!$F$1, INDEX('Room Info'!$A$2:$A2446, MATCH(B1300,'Room Info'!$F$2:$F2446, 0)),IF(G1300='Room Info'!$H$1, INDEX('Room Info'!$A$2:$A2446, MATCH(B1300,'Room Info'!$H$2:$H2446, 0)),IF(G1300='Room Info'!$G$1, INDEX('Room Info'!$A$2:$A2446, MATCH(B1300,'Room Info'!$G$2:$G2446, 0)))))))))</f>
        <v>volkovsky</v>
      </c>
      <c r="B1300" s="45" t="s">
        <v>206</v>
      </c>
      <c r="C1300" s="46">
        <v>44521</v>
      </c>
      <c r="D1300" s="46">
        <v>44550</v>
      </c>
      <c r="E1300" s="47">
        <v>44531</v>
      </c>
      <c r="F1300" s="45" t="s">
        <v>34</v>
      </c>
      <c r="G1300" s="54" t="s">
        <v>35</v>
      </c>
      <c r="H1300" s="49" t="s">
        <v>70</v>
      </c>
      <c r="I1300" s="49" t="s">
        <v>37</v>
      </c>
      <c r="J1300" s="50">
        <v>100</v>
      </c>
      <c r="K1300" s="51">
        <v>1243</v>
      </c>
      <c r="L1300" s="52">
        <v>7200</v>
      </c>
      <c r="M1300" s="53">
        <v>3976</v>
      </c>
      <c r="N1300" s="28">
        <f>K1300*J1300</f>
        <v>124300</v>
      </c>
      <c r="O1300" s="54">
        <v>25028</v>
      </c>
      <c r="P1300" s="29">
        <v>20.13515688</v>
      </c>
      <c r="Q1300" s="55"/>
      <c r="R1300" s="31">
        <f>M1300+Q1300</f>
        <v>3976</v>
      </c>
      <c r="S1300" s="56">
        <v>-2363</v>
      </c>
      <c r="T1300" s="32">
        <f>R1300+S1300+IF(F1300="Without EV deal",L1300,0)</f>
        <v>1613</v>
      </c>
      <c r="U1300" s="57"/>
      <c r="V1300" s="58"/>
      <c r="W1300" s="58"/>
      <c r="X1300" s="30">
        <f>IF(AF1300="DoEV",IF(AND(V1300&lt;20,W1300&lt;55),0.3,0)+IF(AND(V1300&lt;20,W1300&gt;=55,W1300&lt;105),0.23,0)+IF(AND(V1300&lt;20,W1300&gt;=105),0.17,0)+IF(AND(V1300&gt;=20,V1300&lt;40,W1300&lt;45),0.3,0)+IF(AND(V1300&gt;=20,V1300&lt;40,W1300&gt;=45,W1300&lt;95),0.23,0)+IF(AND(V1300&gt;=20,V1300&lt;40,W1300&gt;=95),0.17,0)+IF(AND(V1300&gt;=40,V1300&lt;75,W1300&lt;35),0.3,0)+IF(AND(V1300&gt;=40,V1300&lt;75,W1300&gt;=35,W1300&lt;75),0.23,0)+IF(AND(V1300&gt;=40,V1300&lt;75,W1300&gt;=75,W1300&lt;120),0.17,0)+IF(AND(V1300&gt;=40,V1300&lt;75,W1300&gt;=120),0.12,0)+IF(AND(V1300&gt;=75,V1300&lt;175,W1300&lt;35),0.3,0)+IF(AND(V1300&gt;=75,V1300&lt;=175,W1300&gt;=35,W1300&lt;65),0.23,0)+IF(AND(V1300&gt;=75,V1300&lt;=175,W1300&gt;=65,W1300&lt;110),0.17,0)+IF(AND(V1300&gt;=75,V1300&lt;=175,W1300&gt;=110),0.12,0)+IF(AND(V1300&gt;175,W1300&lt;25),0.3,0)+IF(AND(V1300&gt;175,W1300&gt;=25,W1300&lt;55),0.23,0)+IF(AND(V1300&gt;175,W1300&gt;=55,W1300&lt;95),0.17,0)+IF(AND(V1300&gt;175,W1300&gt;=95),0.12,0),
IF(AF1300="Fix15",0.15,
IF(AF1300="Fix18.75",0.1875,
IF(AF1300="Fix11.25",0.1125,
IF(AF1300="Fix10",0.1,
IF(AF1300="Fix9",0.09,
IF(AF1300="Fix19",0.19,
IF(AF1300="DoEV2017",IF(AND(W1300&lt;74),0.2,0)+IF(AND(W1300&gt;=74),0.17,0),
IF(AF1300="SF",IF(AND(V1300&lt;20,W1300&lt;89),0.3,0)+IF(AND(V1300&lt;20,W1300&gt;=89),0.25,0)+IF(AND(V1300&gt;=20,V1300&lt;40,W1300&lt;74),0.3,0)+IF(AND(V1300&gt;=20,V1300&lt;40,W1300&gt;=75),0.22,0)+IF(AND(V1300&gt;=40,V1300&lt;75,W1300&lt;75),0.26,0)+IF(AND(V1300&gt;=40,V1300&lt;75,W1300&gt;=75),0.22,0)+IF(V1300&gt;=75,0.22,0),
IF(AF1300="DoEVold",IF(AND(V1300&lt;40,W1300&lt;35),0.35,0)+IF(AND(V1300&lt;40,W1300&gt;=35,W1300&lt;75),0.25,0)+IF(AND(V1300&lt;40,W1300&gt;=75),0.17,0)+IF(AND(V1300&gt;=40,V1300&lt;75,W1300&lt;25),0.35,0)+IF(AND(V1300&gt;=40,V1300&lt;75,W1300&gt;=25,W1300&lt;65),0.25,0)+IF(AND(V1300&gt;=40,V1300&lt;75,W1300&gt;=65,W1300&lt;100),0.17,0)+IF(AND(V1300&gt;=40,V1300&lt;75,W1300&gt;=100),0.1,0)+IF(AND(V1300&gt;=75,W1300&lt;25),0.35,0)+IF(AND(V1300&gt;=75,W1300&gt;=25,W1300&lt;60),0.25,0)+IF(AND(V1300&gt;=75,W1300&gt;=60,W1300&lt;95),0.17,0)+IF(AND(V1300&gt;=75,W1300&gt;=95),0.1,0),
IF(AF1300="DoEVold15",IF(AND(V1300&lt;=40,W1300&lt;35),0.35,0)+IF(AND(V1300&lt;=40,W1300&gt;=35,W1300&lt;75),0.25,0)+IF(AND(V1300&lt;=40,W1300&gt;=75,W1300&lt;120),0.17,0)+IF(AND(V1300&lt;=40,W1300&gt;=120),0.15,0)+IF(AND(V1300&gt;40,V1300&lt;75,W1300&lt;25),0.35,0)+IF(AND(V1300&gt;=40,V1300&lt;75,W1300&gt;=25,W1300&lt;65),0.25,0)+IF(AND(V1300&gt;=40,V1300&lt;75,W1300&gt;=65,W1300&lt;100),0.17,0)+IF(AND(V1300&gt;=40,V1300&lt;75,W1300&gt;=100),0.1,0)+IF(AND(V1300&gt;=75,W1300&lt;25),0.35,0)+IF(AND(V1300&gt;=75,W1300&gt;=25,W1300&lt;60),0.25,0)+IF(AND(V1300&gt;=75,W1300&gt;=60,W1300&lt;95),0.17,0)+IF(AND(V1300&gt;=75,W1300&gt;=95),0.1,0),
IF(AF1300="DoEVba",IF(AND(V1300&lt;20,W1300&lt;105),0.2,0)+IF(AND(V1300&lt;20,W1300&gt;=105),0.15,0)+IF(AND(V1300&gt;=20,V1300&lt;40,W1300&lt;95),0.2,0)+IF(AND(V1300&gt;=20,V1300&lt;40,W1300&gt;=95,W1300&lt;150),0.15,0)+IF(AND(V1300&gt;=20,V1300&lt;40,W1300&gt;=150),0.12,0)+IF(AND(V1300&gt;=40,V1300&lt;75,W1300&lt;75),0.2,0)+IF(AND(V1300&gt;=40,V1300&lt;75,W1300&gt;=75,W1300&lt;120),0.15,0)+IF(AND(V1300&gt;=40,V1300&lt;75,W1300&gt;=120),0.12,0)+IF(AND(V1300&gt;=75,V1300&lt;175,W1300&lt;65),0.2,0)+IF(AND(V1300&gt;=75,V1300&lt;175,W1300&gt;=65,W1300&lt;110),0.15,0)+IF(AND(V1300&gt;=75,V1300&lt;175,W1300&gt;=110),0.12,0)+IF(AND(V1300&gt;=175,W1300&lt;55),0.2,0)+IF(AND(V1300&gt;=175,W1300&gt;=55,W1300&lt;95),0.15,0)+IF(AND(V1300&gt;=175,W1300&gt;=95),0.12,0),
IF(AF1300="DoEVku",IF(AND(V1300&lt;20,W1300&lt;55),0.23,0)+IF(AND(V1300&lt;20,W1300&gt;=55,W1300&lt;105),0.2,0)+IF(AND(V1300&lt;20,W1300&gt;=105),0.17,0)+IF(AND(V1300&gt;=20,V1300&lt;40,W1300&lt;45),0.23,0)+IF(AND(V1300&gt;=20,V1300&lt;40,W1300&gt;=45,W1300&lt;95),0.2,0)+IF(AND(V1300&gt;=20,V1300&lt;40,W1300&gt;=95,W1300&lt;=150),0.17,0)+IF(AND(V1300&gt;=20,V1300&lt;40,W1300&gt;=150),0.12,0)+IF(AND(V1300&gt;=40,V1300&lt;75,W1300&lt;35),0.23,0)+IF(AND(V1300&gt;=40,V1300&lt;75,W1300&gt;=35,W1300&lt;75),0.2,0)+IF(AND(V1300&gt;=40,V1300&lt;75,W1300&gt;=75,W1300&lt;120),0.17,0)+IF(AND(V1300&gt;=40,V1300&lt;75,W1300&gt;=120),0.12,0)+IF(AND(V1300&gt;=75,V1300&lt;175,W1300&lt;35),0.23,0)+IF(AND(V1300&gt;=75,V1300&lt;=175,W1300&gt;=35,W1300&lt;65),0.2,0)+IF(AND(V1300&gt;=75,V1300&lt;=175,W1300&gt;=65,W1300&lt;110),0.17,0)+IF(AND(V1300&gt;=75,V1300&lt;=175,W1300&gt;=110),0.12,0)+IF(AND(V1300&gt;175,W1300&lt;25),0.23,0)+IF(AND(V1300&gt;175,W1300&gt;=25,W1300&lt;55),0.2,0)+IF(AND(V1300&gt;175,W1300&gt;=55,W1300&lt;95),0.17,0)+IF(AND(V1300&gt;175,W1300&gt;=95),0.12,0),
IF(AF1300="DoEVs1",IF(AND(V1300&lt;20,W1300&lt;55),0.3,0)+IF(AND(V1300&lt;20,W1300&gt;=55,W1300&lt;105),0.23,0)+IF(AND(V1300&lt;20,W1300&gt;=105),0.17,0)+IF(AND(V1300&gt;=20,V1300&lt;40,W1300&lt;45),0.3,0)+IF(AND(V1300&gt;=20,V1300&lt;40,W1300&gt;=45,W1300&lt;95),0.23,0)+IF(AND(V1300&gt;=20,V1300&lt;40,W1300&gt;=95,W1300&lt;=150),0.17,0)+IF(AND(V1300&gt;=20,V1300&lt;40,W1300&gt;=150),0.12,0)+IF(AND(V1300&gt;=40,V1300&lt;75,W1300&lt;35),0.3,0)+IF(AND(V1300&gt;=40,V1300&lt;75,W1300&gt;=35,W1300&lt;75),0.23,0)+IF(AND(V1300&gt;=40,V1300&lt;75,W1300&gt;=75,W1300&lt;120),0.17,0)+IF(AND(V1300&gt;=40,V1300&lt;75,W1300&gt;=120),0.12,0)+IF(AND(V1300&gt;=75,V1300&lt;175,W1300&lt;35),0.3,0)+IF(AND(V1300&gt;=75,V1300&lt;=175,W1300&gt;=35,W1300&lt;65),0.23,0)+IF(AND(V1300&gt;=75,V1300&lt;=175,W1300&gt;=65,W1300&lt;110),0.17,0)+IF(AND(V1300&gt;=75,V1300&lt;=175,W1300&gt;=110),0.12,0)+IF(AND(V1300&gt;175,W1300&lt;25),0.3,0)+IF(AND(V1300&gt;175,W1300&gt;=25,W1300&lt;55),0.23,0)+IF(AND(V1300&gt;175,W1300&gt;=55,W1300&lt;95),0.17,0)+IF(AND(V1300&gt;175,W1300&gt;=95),0.12,0),
IF(AF1300="DoEVsu",IF(AND(V1300&lt;20,W1300&lt;55),0.3,0)+IF(AND(V1300&lt;20,W1300&gt;=55,W1300&lt;105),0.23,0)+IF(AND(V1300&lt;20,W1300&gt;=105),0.17,0)+IF(AND(V1300&gt;=20,V1300&lt;40,W1300&lt;45),0.3,0)+IF(AND(V1300&gt;=20,V1300&lt;40,W1300&gt;=45,W1300&lt;95),0.23,0)+IF(AND(V1300&gt;=20,V1300&lt;40,W1300&gt;=95,W1300&lt;=250),0.17,0)+IF(AND(V1300&gt;=20,V1300&lt;40,W1300&gt;=250),0.12,0)+IF(AND(V1300&gt;=40,V1300&lt;75,W1300&lt;35),0.3,0)+IF(AND(V1300&gt;=40,V1300&lt;75,W1300&gt;=35,W1300&lt;75),0.23,0)+IF(AND(V1300&gt;=40,V1300&lt;75,W1300&gt;=75,W1300&lt;120),0.17,0)+IF(AND(V1300&gt;=40,V1300&lt;75,W1300&gt;=120),0.12,0)+IF(AND(V1300&gt;=75,V1300&lt;175,W1300&lt;35),0.3,0)+IF(AND(V1300&gt;=75,V1300&lt;=175,W1300&gt;=35,W1300&lt;65),0.23,0)+IF(AND(V1300&gt;=75,V1300&lt;=175,W1300&gt;=65,W1300&lt;110),0.17,0)+IF(AND(V1300&gt;=75,V1300&lt;=175,W1300&gt;=110),0.12,0)+IF(AND(V1300&gt;175,W1300&lt;25),0.3,0)+IF(AND(V1300&gt;175,W1300&gt;=25,W1300&lt;55),0.23,0)+IF(AND(V1300&gt;175,W1300&gt;=55,W1300&lt;95),0.17,0)+IF(AND(V1300&gt;175,W1300&gt;=95),0.12,0),
IF(AF1300="DoEVni",IF(AND(V1300&lt;20,W1300&lt;55),0.3,0)+IF(AND(V1300&lt;20,W1300&gt;=55,W1300&lt;105),0.23,0)+IF(AND(V1300&lt;20,W1300&gt;=105),0.17,0)+IF(AND(V1300&gt;=20,V1300&lt;40,W1300&lt;45),0.3,0)+IF(AND(V1300&gt;=20,V1300&lt;40,W1300&gt;=45,W1300&lt;95),0.23,0)+IF(AND(V1300&gt;=20,V1300&lt;40,W1300&gt;=95,W1300&lt;=200),0.17,0)+IF(AND(V1300&gt;=20,V1300&lt;40,W1300&gt;=200),0.12,0)+IF(AND(V1300&gt;=40,V1300&lt;75,W1300&lt;35),0.3,0)+IF(AND(V1300&gt;=40,V1300&lt;75,W1300&gt;=35,W1300&lt;75),0.23,0)+IF(AND(V1300&gt;=40,V1300&lt;75,W1300&gt;=75,W1300&lt;120),0.17,0)+IF(AND(V1300&gt;=40,V1300&lt;75,W1300&gt;=120),0.12,0)+IF(AND(V1300&gt;=75,V1300&lt;175,W1300&lt;35),0.3,0)+IF(AND(V1300&gt;=75,V1300&lt;=175,W1300&gt;=35,W1300&lt;65),0.23,0)+IF(AND(V1300&gt;=75,V1300&lt;=175,W1300&gt;=65,W1300&lt;110),0.17,0)+IF(AND(V1300&gt;=75,V1300&lt;=175,W1300&gt;=110),0.12,0)+IF(AND(V1300&gt;175,W1300&lt;25),0.3,0)+IF(AND(V1300&gt;175,W1300&gt;=25,W1300&lt;55),0.23,0)+IF(AND(V1300&gt;175,W1300&gt;=55,W1300&lt;95),0.17,0)+IF(AND(V1300&gt;175,W1300&gt;=95),0.12,0),
IF(AF1300="DoEVLo",IF(AND(V1300&lt;20,W1300&lt;55),0.25,0)+IF(AND(V1300&lt;20,W1300&gt;=55,W1300&lt;105),0.2,0)+IF(AND(V1300&lt;20,W1300&gt;=105),0.15,0)+IF(AND(V1300&gt;=20,V1300&lt;40,W1300&lt;45),0.25,0)+IF(AND(V1300&gt;=20,V1300&lt;40,W1300&gt;=45,W1300&lt;95),0.2,0)+IF(AND(V1300&gt;=20,V1300&lt;40,W1300&gt;=95),0.15,0)+IF(AND(V1300&gt;=40,V1300&lt;75,W1300&lt;35),0.25,0)+IF(AND(V1300&gt;=40,V1300&lt;75,W1300&gt;=35,W1300&lt;75),0.2,0)+IF(AND(V1300&gt;=40,V1300&lt;75,W1300&gt;=75,W1300&lt;120),0.15,0)+IF(AND(V1300&gt;=40,V1300&lt;75,W1300&gt;=120),0.1,0)+IF(AND(V1300&gt;=75,V1300&lt;175,W1300&lt;35),0.25,0)+IF(AND(V1300&gt;=75,V1300&lt;=175,W1300&gt;=35,W1300&lt;65),0.2,0)+IF(AND(V1300&gt;=75,V1300&lt;=175,W1300&gt;=65,W1300&lt;110),0.15,0)+IF(AND(V1300&gt;=75,V1300&lt;=175,W1300&gt;=110),0.1,0)+IF(AND(V1300&gt;175,W1300&lt;25),0.25,0)+IF(AND(V1300&gt;175,W1300&gt;=25,W1300&lt;55),0.2,0)+IF(AND(V1300&gt;175,W1300&gt;=55,W1300&lt;95),0.15,0)+IF(AND(V1300&gt;175,W1300&gt;=95),0.1,0))))))))))))))))))</f>
        <v>0.1</v>
      </c>
      <c r="Y1300" s="30">
        <f>IF(AG1300="None",0,IF(AG1300="Fix5",0.05, IF(AG1300="Fix6.25",0.0625,IF(AG1300="Fix3.75",0.0375,IF(AG1300="Fix10",0.1,IF(AG1300="Fix3",0.03,0))))))</f>
        <v>0</v>
      </c>
      <c r="Z1300" s="35">
        <f>T1300-AA1300-AB1300</f>
        <v>1451.7</v>
      </c>
      <c r="AA1300" s="29">
        <f>IF(AD1300="EUR",((T1300-R1300)*X1300)*U1300+(R1300*X1300),(T1300*X1300))</f>
        <v>161.30000000000001</v>
      </c>
      <c r="AB1300" s="36">
        <f>IF(AD1300="EUR",((T1300-R1300)*Y1300)*U1300+(R1300*Y1300),(T1300*Y1300))</f>
        <v>0</v>
      </c>
      <c r="AC1300" s="37" t="b">
        <v>1</v>
      </c>
      <c r="AD1300" s="37" t="s">
        <v>38</v>
      </c>
      <c r="AE1300" s="37" t="s">
        <v>38</v>
      </c>
      <c r="AF1300" s="37" t="str">
        <f t="array" ref="AF1300">INDEX('Deal Info'!D:D, MATCH(A1300,'Deal Info'!A:A, 0))</f>
        <v>Fix10</v>
      </c>
      <c r="AG1300" s="38" t="str">
        <f t="array" ref="AG1300">INDEX('Deal Info'!G:G, MATCH(A1300,'Deal Info'!A:A, 0))</f>
        <v>None</v>
      </c>
    </row>
    <row r="1301" spans="1:33" ht="14.25" hidden="1" x14ac:dyDescent="0.2">
      <c r="A1301" s="18" t="str">
        <f t="array" ref="A1301">IF(G1301='Room Info'!$B$1, INDEX('Room Info'!$A$2:$A2446, MATCH(B1301,'Room Info'!$B$2:$B2446, 0)),IF(G1301='Room Info'!$C$1, INDEX('Room Info'!$A$2:$A2446, MATCH(B1301,'Room Info'!$C$2:$C2446, 0)),IF(G1301='Room Info'!$D$1, INDEX('Room Info'!$A$2:$A2446, MATCH(B1301,'Room Info'!$D$2:$D2446, 0)),IF(G1301='Room Info'!$E$1, INDEX('Room Info'!$A$2:$A2446, MATCH(B1301,'Room Info'!$E$2:$E2446, 0)),IF(G1301='Room Info'!$F$1, INDEX('Room Info'!$A$2:$A2446, MATCH(B1301,'Room Info'!$F$2:$F2446, 0)),IF(G1301='Room Info'!$H$1, INDEX('Room Info'!$A$2:$A2446, MATCH(B1301,'Room Info'!$H$2:$H2446, 0)),IF(G1301='Room Info'!$G$1, INDEX('Room Info'!$A$2:$A2446, MATCH(B1301,'Room Info'!$G$2:$G2446, 0)))))))))</f>
        <v>volkovsky</v>
      </c>
      <c r="B1301" s="45" t="s">
        <v>206</v>
      </c>
      <c r="C1301" s="46">
        <v>44521</v>
      </c>
      <c r="D1301" s="46">
        <v>44550</v>
      </c>
      <c r="E1301" s="47">
        <v>44531</v>
      </c>
      <c r="F1301" s="45" t="s">
        <v>34</v>
      </c>
      <c r="G1301" s="54" t="s">
        <v>35</v>
      </c>
      <c r="H1301" s="49" t="s">
        <v>84</v>
      </c>
      <c r="I1301" s="49" t="s">
        <v>44</v>
      </c>
      <c r="J1301" s="50">
        <v>100</v>
      </c>
      <c r="K1301" s="51">
        <v>35</v>
      </c>
      <c r="L1301" s="52">
        <v>-1600</v>
      </c>
      <c r="M1301" s="53">
        <v>141</v>
      </c>
      <c r="N1301" s="28">
        <f>K1301*J1301</f>
        <v>3500</v>
      </c>
      <c r="O1301" s="54">
        <v>1834</v>
      </c>
      <c r="P1301" s="29">
        <v>52.4</v>
      </c>
      <c r="Q1301" s="55"/>
      <c r="R1301" s="31">
        <f>M1301+Q1301</f>
        <v>141</v>
      </c>
      <c r="S1301" s="56">
        <v>679</v>
      </c>
      <c r="T1301" s="32">
        <f>R1301+S1301+IF(F1301="Without EV deal",L1301,0)</f>
        <v>820</v>
      </c>
      <c r="U1301" s="57"/>
      <c r="V1301" s="58"/>
      <c r="W1301" s="58"/>
      <c r="X1301" s="30">
        <f>IF(AF1301="DoEV",IF(AND(V1301&lt;20,W1301&lt;55),0.3,0)+IF(AND(V1301&lt;20,W1301&gt;=55,W1301&lt;105),0.23,0)+IF(AND(V1301&lt;20,W1301&gt;=105),0.17,0)+IF(AND(V1301&gt;=20,V1301&lt;40,W1301&lt;45),0.3,0)+IF(AND(V1301&gt;=20,V1301&lt;40,W1301&gt;=45,W1301&lt;95),0.23,0)+IF(AND(V1301&gt;=20,V1301&lt;40,W1301&gt;=95),0.17,0)+IF(AND(V1301&gt;=40,V1301&lt;75,W1301&lt;35),0.3,0)+IF(AND(V1301&gt;=40,V1301&lt;75,W1301&gt;=35,W1301&lt;75),0.23,0)+IF(AND(V1301&gt;=40,V1301&lt;75,W1301&gt;=75,W1301&lt;120),0.17,0)+IF(AND(V1301&gt;=40,V1301&lt;75,W1301&gt;=120),0.12,0)+IF(AND(V1301&gt;=75,V1301&lt;175,W1301&lt;35),0.3,0)+IF(AND(V1301&gt;=75,V1301&lt;=175,W1301&gt;=35,W1301&lt;65),0.23,0)+IF(AND(V1301&gt;=75,V1301&lt;=175,W1301&gt;=65,W1301&lt;110),0.17,0)+IF(AND(V1301&gt;=75,V1301&lt;=175,W1301&gt;=110),0.12,0)+IF(AND(V1301&gt;175,W1301&lt;25),0.3,0)+IF(AND(V1301&gt;175,W1301&gt;=25,W1301&lt;55),0.23,0)+IF(AND(V1301&gt;175,W1301&gt;=55,W1301&lt;95),0.17,0)+IF(AND(V1301&gt;175,W1301&gt;=95),0.12,0),
IF(AF1301="Fix15",0.15,
IF(AF1301="Fix18.75",0.1875,
IF(AF1301="Fix11.25",0.1125,
IF(AF1301="Fix10",0.1,
IF(AF1301="Fix9",0.09,
IF(AF1301="Fix19",0.19,
IF(AF1301="DoEV2017",IF(AND(W1301&lt;74),0.2,0)+IF(AND(W1301&gt;=74),0.17,0),
IF(AF1301="SF",IF(AND(V1301&lt;20,W1301&lt;89),0.3,0)+IF(AND(V1301&lt;20,W1301&gt;=89),0.25,0)+IF(AND(V1301&gt;=20,V1301&lt;40,W1301&lt;74),0.3,0)+IF(AND(V1301&gt;=20,V1301&lt;40,W1301&gt;=75),0.22,0)+IF(AND(V1301&gt;=40,V1301&lt;75,W1301&lt;75),0.26,0)+IF(AND(V1301&gt;=40,V1301&lt;75,W1301&gt;=75),0.22,0)+IF(V1301&gt;=75,0.22,0),
IF(AF1301="DoEVold",IF(AND(V1301&lt;40,W1301&lt;35),0.35,0)+IF(AND(V1301&lt;40,W1301&gt;=35,W1301&lt;75),0.25,0)+IF(AND(V1301&lt;40,W1301&gt;=75),0.17,0)+IF(AND(V1301&gt;=40,V1301&lt;75,W1301&lt;25),0.35,0)+IF(AND(V1301&gt;=40,V1301&lt;75,W1301&gt;=25,W1301&lt;65),0.25,0)+IF(AND(V1301&gt;=40,V1301&lt;75,W1301&gt;=65,W1301&lt;100),0.17,0)+IF(AND(V1301&gt;=40,V1301&lt;75,W1301&gt;=100),0.1,0)+IF(AND(V1301&gt;=75,W1301&lt;25),0.35,0)+IF(AND(V1301&gt;=75,W1301&gt;=25,W1301&lt;60),0.25,0)+IF(AND(V1301&gt;=75,W1301&gt;=60,W1301&lt;95),0.17,0)+IF(AND(V1301&gt;=75,W1301&gt;=95),0.1,0),
IF(AF1301="DoEVold15",IF(AND(V1301&lt;=40,W1301&lt;35),0.35,0)+IF(AND(V1301&lt;=40,W1301&gt;=35,W1301&lt;75),0.25,0)+IF(AND(V1301&lt;=40,W1301&gt;=75,W1301&lt;120),0.17,0)+IF(AND(V1301&lt;=40,W1301&gt;=120),0.15,0)+IF(AND(V1301&gt;40,V1301&lt;75,W1301&lt;25),0.35,0)+IF(AND(V1301&gt;=40,V1301&lt;75,W1301&gt;=25,W1301&lt;65),0.25,0)+IF(AND(V1301&gt;=40,V1301&lt;75,W1301&gt;=65,W1301&lt;100),0.17,0)+IF(AND(V1301&gt;=40,V1301&lt;75,W1301&gt;=100),0.1,0)+IF(AND(V1301&gt;=75,W1301&lt;25),0.35,0)+IF(AND(V1301&gt;=75,W1301&gt;=25,W1301&lt;60),0.25,0)+IF(AND(V1301&gt;=75,W1301&gt;=60,W1301&lt;95),0.17,0)+IF(AND(V1301&gt;=75,W1301&gt;=95),0.1,0),
IF(AF1301="DoEVba",IF(AND(V1301&lt;20,W1301&lt;105),0.2,0)+IF(AND(V1301&lt;20,W1301&gt;=105),0.15,0)+IF(AND(V1301&gt;=20,V1301&lt;40,W1301&lt;95),0.2,0)+IF(AND(V1301&gt;=20,V1301&lt;40,W1301&gt;=95,W1301&lt;150),0.15,0)+IF(AND(V1301&gt;=20,V1301&lt;40,W1301&gt;=150),0.12,0)+IF(AND(V1301&gt;=40,V1301&lt;75,W1301&lt;75),0.2,0)+IF(AND(V1301&gt;=40,V1301&lt;75,W1301&gt;=75,W1301&lt;120),0.15,0)+IF(AND(V1301&gt;=40,V1301&lt;75,W1301&gt;=120),0.12,0)+IF(AND(V1301&gt;=75,V1301&lt;175,W1301&lt;65),0.2,0)+IF(AND(V1301&gt;=75,V1301&lt;175,W1301&gt;=65,W1301&lt;110),0.15,0)+IF(AND(V1301&gt;=75,V1301&lt;175,W1301&gt;=110),0.12,0)+IF(AND(V1301&gt;=175,W1301&lt;55),0.2,0)+IF(AND(V1301&gt;=175,W1301&gt;=55,W1301&lt;95),0.15,0)+IF(AND(V1301&gt;=175,W1301&gt;=95),0.12,0),
IF(AF1301="DoEVku",IF(AND(V1301&lt;20,W1301&lt;55),0.23,0)+IF(AND(V1301&lt;20,W1301&gt;=55,W1301&lt;105),0.2,0)+IF(AND(V1301&lt;20,W1301&gt;=105),0.17,0)+IF(AND(V1301&gt;=20,V1301&lt;40,W1301&lt;45),0.23,0)+IF(AND(V1301&gt;=20,V1301&lt;40,W1301&gt;=45,W1301&lt;95),0.2,0)+IF(AND(V1301&gt;=20,V1301&lt;40,W1301&gt;=95,W1301&lt;=150),0.17,0)+IF(AND(V1301&gt;=20,V1301&lt;40,W1301&gt;=150),0.12,0)+IF(AND(V1301&gt;=40,V1301&lt;75,W1301&lt;35),0.23,0)+IF(AND(V1301&gt;=40,V1301&lt;75,W1301&gt;=35,W1301&lt;75),0.2,0)+IF(AND(V1301&gt;=40,V1301&lt;75,W1301&gt;=75,W1301&lt;120),0.17,0)+IF(AND(V1301&gt;=40,V1301&lt;75,W1301&gt;=120),0.12,0)+IF(AND(V1301&gt;=75,V1301&lt;175,W1301&lt;35),0.23,0)+IF(AND(V1301&gt;=75,V1301&lt;=175,W1301&gt;=35,W1301&lt;65),0.2,0)+IF(AND(V1301&gt;=75,V1301&lt;=175,W1301&gt;=65,W1301&lt;110),0.17,0)+IF(AND(V1301&gt;=75,V1301&lt;=175,W1301&gt;=110),0.12,0)+IF(AND(V1301&gt;175,W1301&lt;25),0.23,0)+IF(AND(V1301&gt;175,W1301&gt;=25,W1301&lt;55),0.2,0)+IF(AND(V1301&gt;175,W1301&gt;=55,W1301&lt;95),0.17,0)+IF(AND(V1301&gt;175,W1301&gt;=95),0.12,0),
IF(AF1301="DoEVs1",IF(AND(V1301&lt;20,W1301&lt;55),0.3,0)+IF(AND(V1301&lt;20,W1301&gt;=55,W1301&lt;105),0.23,0)+IF(AND(V1301&lt;20,W1301&gt;=105),0.17,0)+IF(AND(V1301&gt;=20,V1301&lt;40,W1301&lt;45),0.3,0)+IF(AND(V1301&gt;=20,V1301&lt;40,W1301&gt;=45,W1301&lt;95),0.23,0)+IF(AND(V1301&gt;=20,V1301&lt;40,W1301&gt;=95,W1301&lt;=150),0.17,0)+IF(AND(V1301&gt;=20,V1301&lt;40,W1301&gt;=150),0.12,0)+IF(AND(V1301&gt;=40,V1301&lt;75,W1301&lt;35),0.3,0)+IF(AND(V1301&gt;=40,V1301&lt;75,W1301&gt;=35,W1301&lt;75),0.23,0)+IF(AND(V1301&gt;=40,V1301&lt;75,W1301&gt;=75,W1301&lt;120),0.17,0)+IF(AND(V1301&gt;=40,V1301&lt;75,W1301&gt;=120),0.12,0)+IF(AND(V1301&gt;=75,V1301&lt;175,W1301&lt;35),0.3,0)+IF(AND(V1301&gt;=75,V1301&lt;=175,W1301&gt;=35,W1301&lt;65),0.23,0)+IF(AND(V1301&gt;=75,V1301&lt;=175,W1301&gt;=65,W1301&lt;110),0.17,0)+IF(AND(V1301&gt;=75,V1301&lt;=175,W1301&gt;=110),0.12,0)+IF(AND(V1301&gt;175,W1301&lt;25),0.3,0)+IF(AND(V1301&gt;175,W1301&gt;=25,W1301&lt;55),0.23,0)+IF(AND(V1301&gt;175,W1301&gt;=55,W1301&lt;95),0.17,0)+IF(AND(V1301&gt;175,W1301&gt;=95),0.12,0),
IF(AF1301="DoEVsu",IF(AND(V1301&lt;20,W1301&lt;55),0.3,0)+IF(AND(V1301&lt;20,W1301&gt;=55,W1301&lt;105),0.23,0)+IF(AND(V1301&lt;20,W1301&gt;=105),0.17,0)+IF(AND(V1301&gt;=20,V1301&lt;40,W1301&lt;45),0.3,0)+IF(AND(V1301&gt;=20,V1301&lt;40,W1301&gt;=45,W1301&lt;95),0.23,0)+IF(AND(V1301&gt;=20,V1301&lt;40,W1301&gt;=95,W1301&lt;=250),0.17,0)+IF(AND(V1301&gt;=20,V1301&lt;40,W1301&gt;=250),0.12,0)+IF(AND(V1301&gt;=40,V1301&lt;75,W1301&lt;35),0.3,0)+IF(AND(V1301&gt;=40,V1301&lt;75,W1301&gt;=35,W1301&lt;75),0.23,0)+IF(AND(V1301&gt;=40,V1301&lt;75,W1301&gt;=75,W1301&lt;120),0.17,0)+IF(AND(V1301&gt;=40,V1301&lt;75,W1301&gt;=120),0.12,0)+IF(AND(V1301&gt;=75,V1301&lt;175,W1301&lt;35),0.3,0)+IF(AND(V1301&gt;=75,V1301&lt;=175,W1301&gt;=35,W1301&lt;65),0.23,0)+IF(AND(V1301&gt;=75,V1301&lt;=175,W1301&gt;=65,W1301&lt;110),0.17,0)+IF(AND(V1301&gt;=75,V1301&lt;=175,W1301&gt;=110),0.12,0)+IF(AND(V1301&gt;175,W1301&lt;25),0.3,0)+IF(AND(V1301&gt;175,W1301&gt;=25,W1301&lt;55),0.23,0)+IF(AND(V1301&gt;175,W1301&gt;=55,W1301&lt;95),0.17,0)+IF(AND(V1301&gt;175,W1301&gt;=95),0.12,0),
IF(AF1301="DoEVni",IF(AND(V1301&lt;20,W1301&lt;55),0.3,0)+IF(AND(V1301&lt;20,W1301&gt;=55,W1301&lt;105),0.23,0)+IF(AND(V1301&lt;20,W1301&gt;=105),0.17,0)+IF(AND(V1301&gt;=20,V1301&lt;40,W1301&lt;45),0.3,0)+IF(AND(V1301&gt;=20,V1301&lt;40,W1301&gt;=45,W1301&lt;95),0.23,0)+IF(AND(V1301&gt;=20,V1301&lt;40,W1301&gt;=95,W1301&lt;=200),0.17,0)+IF(AND(V1301&gt;=20,V1301&lt;40,W1301&gt;=200),0.12,0)+IF(AND(V1301&gt;=40,V1301&lt;75,W1301&lt;35),0.3,0)+IF(AND(V1301&gt;=40,V1301&lt;75,W1301&gt;=35,W1301&lt;75),0.23,0)+IF(AND(V1301&gt;=40,V1301&lt;75,W1301&gt;=75,W1301&lt;120),0.17,0)+IF(AND(V1301&gt;=40,V1301&lt;75,W1301&gt;=120),0.12,0)+IF(AND(V1301&gt;=75,V1301&lt;175,W1301&lt;35),0.3,0)+IF(AND(V1301&gt;=75,V1301&lt;=175,W1301&gt;=35,W1301&lt;65),0.23,0)+IF(AND(V1301&gt;=75,V1301&lt;=175,W1301&gt;=65,W1301&lt;110),0.17,0)+IF(AND(V1301&gt;=75,V1301&lt;=175,W1301&gt;=110),0.12,0)+IF(AND(V1301&gt;175,W1301&lt;25),0.3,0)+IF(AND(V1301&gt;175,W1301&gt;=25,W1301&lt;55),0.23,0)+IF(AND(V1301&gt;175,W1301&gt;=55,W1301&lt;95),0.17,0)+IF(AND(V1301&gt;175,W1301&gt;=95),0.12,0),
IF(AF1301="DoEVLo",IF(AND(V1301&lt;20,W1301&lt;55),0.25,0)+IF(AND(V1301&lt;20,W1301&gt;=55,W1301&lt;105),0.2,0)+IF(AND(V1301&lt;20,W1301&gt;=105),0.15,0)+IF(AND(V1301&gt;=20,V1301&lt;40,W1301&lt;45),0.25,0)+IF(AND(V1301&gt;=20,V1301&lt;40,W1301&gt;=45,W1301&lt;95),0.2,0)+IF(AND(V1301&gt;=20,V1301&lt;40,W1301&gt;=95),0.15,0)+IF(AND(V1301&gt;=40,V1301&lt;75,W1301&lt;35),0.25,0)+IF(AND(V1301&gt;=40,V1301&lt;75,W1301&gt;=35,W1301&lt;75),0.2,0)+IF(AND(V1301&gt;=40,V1301&lt;75,W1301&gt;=75,W1301&lt;120),0.15,0)+IF(AND(V1301&gt;=40,V1301&lt;75,W1301&gt;=120),0.1,0)+IF(AND(V1301&gt;=75,V1301&lt;175,W1301&lt;35),0.25,0)+IF(AND(V1301&gt;=75,V1301&lt;=175,W1301&gt;=35,W1301&lt;65),0.2,0)+IF(AND(V1301&gt;=75,V1301&lt;=175,W1301&gt;=65,W1301&lt;110),0.15,0)+IF(AND(V1301&gt;=75,V1301&lt;=175,W1301&gt;=110),0.1,0)+IF(AND(V1301&gt;175,W1301&lt;25),0.25,0)+IF(AND(V1301&gt;175,W1301&gt;=25,W1301&lt;55),0.2,0)+IF(AND(V1301&gt;175,W1301&gt;=55,W1301&lt;95),0.15,0)+IF(AND(V1301&gt;175,W1301&gt;=95),0.1,0))))))))))))))))))</f>
        <v>0.1</v>
      </c>
      <c r="Y1301" s="30">
        <f>IF(AG1301="None",0,IF(AG1301="Fix5",0.05, IF(AG1301="Fix6.25",0.0625,IF(AG1301="Fix3.75",0.0375,IF(AG1301="Fix10",0.1,IF(AG1301="Fix3",0.03,0))))))</f>
        <v>0</v>
      </c>
      <c r="Z1301" s="35">
        <f>T1301-AA1301-AB1301</f>
        <v>738</v>
      </c>
      <c r="AA1301" s="29">
        <f>IF(AD1301="EUR",((T1301-R1301)*X1301)*U1301+(R1301*X1301),(T1301*X1301))</f>
        <v>82</v>
      </c>
      <c r="AB1301" s="36">
        <f>IF(AD1301="EUR",((T1301-R1301)*Y1301)*U1301+(R1301*Y1301),(T1301*Y1301))</f>
        <v>0</v>
      </c>
      <c r="AC1301" s="37" t="b">
        <v>1</v>
      </c>
      <c r="AD1301" s="37" t="s">
        <v>38</v>
      </c>
      <c r="AE1301" s="37" t="s">
        <v>38</v>
      </c>
      <c r="AF1301" s="37" t="str">
        <f t="array" ref="AF1301">INDEX('Deal Info'!D:D, MATCH(A1301,'Deal Info'!A:A, 0))</f>
        <v>Fix10</v>
      </c>
      <c r="AG1301" s="38" t="str">
        <f t="array" ref="AG1301">INDEX('Deal Info'!G:G, MATCH(A1301,'Deal Info'!A:A, 0))</f>
        <v>None</v>
      </c>
    </row>
    <row r="1302" spans="1:33" ht="14.25" hidden="1" x14ac:dyDescent="0.2">
      <c r="A1302" s="18" t="str">
        <f t="array" ref="A1302">IF(G1302='Room Info'!$B$1, INDEX('Room Info'!$A$2:$A2446, MATCH(B1302,'Room Info'!$B$2:$B2446, 0)),IF(G1302='Room Info'!$C$1, INDEX('Room Info'!$A$2:$A2446, MATCH(B1302,'Room Info'!$C$2:$C2446, 0)),IF(G1302='Room Info'!$D$1, INDEX('Room Info'!$A$2:$A2446, MATCH(B1302,'Room Info'!$D$2:$D2446, 0)),IF(G1302='Room Info'!$E$1, INDEX('Room Info'!$A$2:$A2446, MATCH(B1302,'Room Info'!$E$2:$E2446, 0)),IF(G1302='Room Info'!$F$1, INDEX('Room Info'!$A$2:$A2446, MATCH(B1302,'Room Info'!$F$2:$F2446, 0)),IF(G1302='Room Info'!$H$1, INDEX('Room Info'!$A$2:$A2446, MATCH(B1302,'Room Info'!$H$2:$H2446, 0)),IF(G1302='Room Info'!$G$1, INDEX('Room Info'!$A$2:$A2446, MATCH(B1302,'Room Info'!$G$2:$G2446, 0)))))))))</f>
        <v>volkovsky</v>
      </c>
      <c r="B1302" s="45" t="s">
        <v>206</v>
      </c>
      <c r="C1302" s="46">
        <v>44521</v>
      </c>
      <c r="D1302" s="46">
        <v>44550</v>
      </c>
      <c r="E1302" s="47">
        <v>44531</v>
      </c>
      <c r="F1302" s="45" t="s">
        <v>34</v>
      </c>
      <c r="G1302" s="54" t="s">
        <v>35</v>
      </c>
      <c r="H1302" s="49" t="s">
        <v>88</v>
      </c>
      <c r="I1302" s="49" t="s">
        <v>37</v>
      </c>
      <c r="J1302" s="50">
        <v>250</v>
      </c>
      <c r="K1302" s="51">
        <v>435</v>
      </c>
      <c r="L1302" s="52">
        <v>-2250</v>
      </c>
      <c r="M1302" s="53">
        <v>3656</v>
      </c>
      <c r="N1302" s="28">
        <f>K1302*J1302</f>
        <v>108750</v>
      </c>
      <c r="O1302" s="54">
        <v>18612</v>
      </c>
      <c r="P1302" s="29">
        <v>42.786206900000003</v>
      </c>
      <c r="Q1302" s="55"/>
      <c r="R1302" s="31">
        <f>M1302+Q1302</f>
        <v>3656</v>
      </c>
      <c r="S1302" s="56">
        <v>3356</v>
      </c>
      <c r="T1302" s="32">
        <f>R1302+S1302+IF(F1302="Without EV deal",L1302,0)</f>
        <v>7012</v>
      </c>
      <c r="U1302" s="57"/>
      <c r="V1302" s="58"/>
      <c r="W1302" s="58"/>
      <c r="X1302" s="30">
        <f>IF(AF1302="DoEV",IF(AND(V1302&lt;20,W1302&lt;55),0.3,0)+IF(AND(V1302&lt;20,W1302&gt;=55,W1302&lt;105),0.23,0)+IF(AND(V1302&lt;20,W1302&gt;=105),0.17,0)+IF(AND(V1302&gt;=20,V1302&lt;40,W1302&lt;45),0.3,0)+IF(AND(V1302&gt;=20,V1302&lt;40,W1302&gt;=45,W1302&lt;95),0.23,0)+IF(AND(V1302&gt;=20,V1302&lt;40,W1302&gt;=95),0.17,0)+IF(AND(V1302&gt;=40,V1302&lt;75,W1302&lt;35),0.3,0)+IF(AND(V1302&gt;=40,V1302&lt;75,W1302&gt;=35,W1302&lt;75),0.23,0)+IF(AND(V1302&gt;=40,V1302&lt;75,W1302&gt;=75,W1302&lt;120),0.17,0)+IF(AND(V1302&gt;=40,V1302&lt;75,W1302&gt;=120),0.12,0)+IF(AND(V1302&gt;=75,V1302&lt;175,W1302&lt;35),0.3,0)+IF(AND(V1302&gt;=75,V1302&lt;=175,W1302&gt;=35,W1302&lt;65),0.23,0)+IF(AND(V1302&gt;=75,V1302&lt;=175,W1302&gt;=65,W1302&lt;110),0.17,0)+IF(AND(V1302&gt;=75,V1302&lt;=175,W1302&gt;=110),0.12,0)+IF(AND(V1302&gt;175,W1302&lt;25),0.3,0)+IF(AND(V1302&gt;175,W1302&gt;=25,W1302&lt;55),0.23,0)+IF(AND(V1302&gt;175,W1302&gt;=55,W1302&lt;95),0.17,0)+IF(AND(V1302&gt;175,W1302&gt;=95),0.12,0),
IF(AF1302="Fix15",0.15,
IF(AF1302="Fix18.75",0.1875,
IF(AF1302="Fix11.25",0.1125,
IF(AF1302="Fix10",0.1,
IF(AF1302="Fix9",0.09,
IF(AF1302="Fix19",0.19,
IF(AF1302="DoEV2017",IF(AND(W1302&lt;74),0.2,0)+IF(AND(W1302&gt;=74),0.17,0),
IF(AF1302="SF",IF(AND(V1302&lt;20,W1302&lt;89),0.3,0)+IF(AND(V1302&lt;20,W1302&gt;=89),0.25,0)+IF(AND(V1302&gt;=20,V1302&lt;40,W1302&lt;74),0.3,0)+IF(AND(V1302&gt;=20,V1302&lt;40,W1302&gt;=75),0.22,0)+IF(AND(V1302&gt;=40,V1302&lt;75,W1302&lt;75),0.26,0)+IF(AND(V1302&gt;=40,V1302&lt;75,W1302&gt;=75),0.22,0)+IF(V1302&gt;=75,0.22,0),
IF(AF1302="DoEVold",IF(AND(V1302&lt;40,W1302&lt;35),0.35,0)+IF(AND(V1302&lt;40,W1302&gt;=35,W1302&lt;75),0.25,0)+IF(AND(V1302&lt;40,W1302&gt;=75),0.17,0)+IF(AND(V1302&gt;=40,V1302&lt;75,W1302&lt;25),0.35,0)+IF(AND(V1302&gt;=40,V1302&lt;75,W1302&gt;=25,W1302&lt;65),0.25,0)+IF(AND(V1302&gt;=40,V1302&lt;75,W1302&gt;=65,W1302&lt;100),0.17,0)+IF(AND(V1302&gt;=40,V1302&lt;75,W1302&gt;=100),0.1,0)+IF(AND(V1302&gt;=75,W1302&lt;25),0.35,0)+IF(AND(V1302&gt;=75,W1302&gt;=25,W1302&lt;60),0.25,0)+IF(AND(V1302&gt;=75,W1302&gt;=60,W1302&lt;95),0.17,0)+IF(AND(V1302&gt;=75,W1302&gt;=95),0.1,0),
IF(AF1302="DoEVold15",IF(AND(V1302&lt;=40,W1302&lt;35),0.35,0)+IF(AND(V1302&lt;=40,W1302&gt;=35,W1302&lt;75),0.25,0)+IF(AND(V1302&lt;=40,W1302&gt;=75,W1302&lt;120),0.17,0)+IF(AND(V1302&lt;=40,W1302&gt;=120),0.15,0)+IF(AND(V1302&gt;40,V1302&lt;75,W1302&lt;25),0.35,0)+IF(AND(V1302&gt;=40,V1302&lt;75,W1302&gt;=25,W1302&lt;65),0.25,0)+IF(AND(V1302&gt;=40,V1302&lt;75,W1302&gt;=65,W1302&lt;100),0.17,0)+IF(AND(V1302&gt;=40,V1302&lt;75,W1302&gt;=100),0.1,0)+IF(AND(V1302&gt;=75,W1302&lt;25),0.35,0)+IF(AND(V1302&gt;=75,W1302&gt;=25,W1302&lt;60),0.25,0)+IF(AND(V1302&gt;=75,W1302&gt;=60,W1302&lt;95),0.17,0)+IF(AND(V1302&gt;=75,W1302&gt;=95),0.1,0),
IF(AF1302="DoEVba",IF(AND(V1302&lt;20,W1302&lt;105),0.2,0)+IF(AND(V1302&lt;20,W1302&gt;=105),0.15,0)+IF(AND(V1302&gt;=20,V1302&lt;40,W1302&lt;95),0.2,0)+IF(AND(V1302&gt;=20,V1302&lt;40,W1302&gt;=95,W1302&lt;150),0.15,0)+IF(AND(V1302&gt;=20,V1302&lt;40,W1302&gt;=150),0.12,0)+IF(AND(V1302&gt;=40,V1302&lt;75,W1302&lt;75),0.2,0)+IF(AND(V1302&gt;=40,V1302&lt;75,W1302&gt;=75,W1302&lt;120),0.15,0)+IF(AND(V1302&gt;=40,V1302&lt;75,W1302&gt;=120),0.12,0)+IF(AND(V1302&gt;=75,V1302&lt;175,W1302&lt;65),0.2,0)+IF(AND(V1302&gt;=75,V1302&lt;175,W1302&gt;=65,W1302&lt;110),0.15,0)+IF(AND(V1302&gt;=75,V1302&lt;175,W1302&gt;=110),0.12,0)+IF(AND(V1302&gt;=175,W1302&lt;55),0.2,0)+IF(AND(V1302&gt;=175,W1302&gt;=55,W1302&lt;95),0.15,0)+IF(AND(V1302&gt;=175,W1302&gt;=95),0.12,0),
IF(AF1302="DoEVku",IF(AND(V1302&lt;20,W1302&lt;55),0.23,0)+IF(AND(V1302&lt;20,W1302&gt;=55,W1302&lt;105),0.2,0)+IF(AND(V1302&lt;20,W1302&gt;=105),0.17,0)+IF(AND(V1302&gt;=20,V1302&lt;40,W1302&lt;45),0.23,0)+IF(AND(V1302&gt;=20,V1302&lt;40,W1302&gt;=45,W1302&lt;95),0.2,0)+IF(AND(V1302&gt;=20,V1302&lt;40,W1302&gt;=95,W1302&lt;=150),0.17,0)+IF(AND(V1302&gt;=20,V1302&lt;40,W1302&gt;=150),0.12,0)+IF(AND(V1302&gt;=40,V1302&lt;75,W1302&lt;35),0.23,0)+IF(AND(V1302&gt;=40,V1302&lt;75,W1302&gt;=35,W1302&lt;75),0.2,0)+IF(AND(V1302&gt;=40,V1302&lt;75,W1302&gt;=75,W1302&lt;120),0.17,0)+IF(AND(V1302&gt;=40,V1302&lt;75,W1302&gt;=120),0.12,0)+IF(AND(V1302&gt;=75,V1302&lt;175,W1302&lt;35),0.23,0)+IF(AND(V1302&gt;=75,V1302&lt;=175,W1302&gt;=35,W1302&lt;65),0.2,0)+IF(AND(V1302&gt;=75,V1302&lt;=175,W1302&gt;=65,W1302&lt;110),0.17,0)+IF(AND(V1302&gt;=75,V1302&lt;=175,W1302&gt;=110),0.12,0)+IF(AND(V1302&gt;175,W1302&lt;25),0.23,0)+IF(AND(V1302&gt;175,W1302&gt;=25,W1302&lt;55),0.2,0)+IF(AND(V1302&gt;175,W1302&gt;=55,W1302&lt;95),0.17,0)+IF(AND(V1302&gt;175,W1302&gt;=95),0.12,0),
IF(AF1302="DoEVs1",IF(AND(V1302&lt;20,W1302&lt;55),0.3,0)+IF(AND(V1302&lt;20,W1302&gt;=55,W1302&lt;105),0.23,0)+IF(AND(V1302&lt;20,W1302&gt;=105),0.17,0)+IF(AND(V1302&gt;=20,V1302&lt;40,W1302&lt;45),0.3,0)+IF(AND(V1302&gt;=20,V1302&lt;40,W1302&gt;=45,W1302&lt;95),0.23,0)+IF(AND(V1302&gt;=20,V1302&lt;40,W1302&gt;=95,W1302&lt;=150),0.17,0)+IF(AND(V1302&gt;=20,V1302&lt;40,W1302&gt;=150),0.12,0)+IF(AND(V1302&gt;=40,V1302&lt;75,W1302&lt;35),0.3,0)+IF(AND(V1302&gt;=40,V1302&lt;75,W1302&gt;=35,W1302&lt;75),0.23,0)+IF(AND(V1302&gt;=40,V1302&lt;75,W1302&gt;=75,W1302&lt;120),0.17,0)+IF(AND(V1302&gt;=40,V1302&lt;75,W1302&gt;=120),0.12,0)+IF(AND(V1302&gt;=75,V1302&lt;175,W1302&lt;35),0.3,0)+IF(AND(V1302&gt;=75,V1302&lt;=175,W1302&gt;=35,W1302&lt;65),0.23,0)+IF(AND(V1302&gt;=75,V1302&lt;=175,W1302&gt;=65,W1302&lt;110),0.17,0)+IF(AND(V1302&gt;=75,V1302&lt;=175,W1302&gt;=110),0.12,0)+IF(AND(V1302&gt;175,W1302&lt;25),0.3,0)+IF(AND(V1302&gt;175,W1302&gt;=25,W1302&lt;55),0.23,0)+IF(AND(V1302&gt;175,W1302&gt;=55,W1302&lt;95),0.17,0)+IF(AND(V1302&gt;175,W1302&gt;=95),0.12,0),
IF(AF1302="DoEVsu",IF(AND(V1302&lt;20,W1302&lt;55),0.3,0)+IF(AND(V1302&lt;20,W1302&gt;=55,W1302&lt;105),0.23,0)+IF(AND(V1302&lt;20,W1302&gt;=105),0.17,0)+IF(AND(V1302&gt;=20,V1302&lt;40,W1302&lt;45),0.3,0)+IF(AND(V1302&gt;=20,V1302&lt;40,W1302&gt;=45,W1302&lt;95),0.23,0)+IF(AND(V1302&gt;=20,V1302&lt;40,W1302&gt;=95,W1302&lt;=250),0.17,0)+IF(AND(V1302&gt;=20,V1302&lt;40,W1302&gt;=250),0.12,0)+IF(AND(V1302&gt;=40,V1302&lt;75,W1302&lt;35),0.3,0)+IF(AND(V1302&gt;=40,V1302&lt;75,W1302&gt;=35,W1302&lt;75),0.23,0)+IF(AND(V1302&gt;=40,V1302&lt;75,W1302&gt;=75,W1302&lt;120),0.17,0)+IF(AND(V1302&gt;=40,V1302&lt;75,W1302&gt;=120),0.12,0)+IF(AND(V1302&gt;=75,V1302&lt;175,W1302&lt;35),0.3,0)+IF(AND(V1302&gt;=75,V1302&lt;=175,W1302&gt;=35,W1302&lt;65),0.23,0)+IF(AND(V1302&gt;=75,V1302&lt;=175,W1302&gt;=65,W1302&lt;110),0.17,0)+IF(AND(V1302&gt;=75,V1302&lt;=175,W1302&gt;=110),0.12,0)+IF(AND(V1302&gt;175,W1302&lt;25),0.3,0)+IF(AND(V1302&gt;175,W1302&gt;=25,W1302&lt;55),0.23,0)+IF(AND(V1302&gt;175,W1302&gt;=55,W1302&lt;95),0.17,0)+IF(AND(V1302&gt;175,W1302&gt;=95),0.12,0),
IF(AF1302="DoEVni",IF(AND(V1302&lt;20,W1302&lt;55),0.3,0)+IF(AND(V1302&lt;20,W1302&gt;=55,W1302&lt;105),0.23,0)+IF(AND(V1302&lt;20,W1302&gt;=105),0.17,0)+IF(AND(V1302&gt;=20,V1302&lt;40,W1302&lt;45),0.3,0)+IF(AND(V1302&gt;=20,V1302&lt;40,W1302&gt;=45,W1302&lt;95),0.23,0)+IF(AND(V1302&gt;=20,V1302&lt;40,W1302&gt;=95,W1302&lt;=200),0.17,0)+IF(AND(V1302&gt;=20,V1302&lt;40,W1302&gt;=200),0.12,0)+IF(AND(V1302&gt;=40,V1302&lt;75,W1302&lt;35),0.3,0)+IF(AND(V1302&gt;=40,V1302&lt;75,W1302&gt;=35,W1302&lt;75),0.23,0)+IF(AND(V1302&gt;=40,V1302&lt;75,W1302&gt;=75,W1302&lt;120),0.17,0)+IF(AND(V1302&gt;=40,V1302&lt;75,W1302&gt;=120),0.12,0)+IF(AND(V1302&gt;=75,V1302&lt;175,W1302&lt;35),0.3,0)+IF(AND(V1302&gt;=75,V1302&lt;=175,W1302&gt;=35,W1302&lt;65),0.23,0)+IF(AND(V1302&gt;=75,V1302&lt;=175,W1302&gt;=65,W1302&lt;110),0.17,0)+IF(AND(V1302&gt;=75,V1302&lt;=175,W1302&gt;=110),0.12,0)+IF(AND(V1302&gt;175,W1302&lt;25),0.3,0)+IF(AND(V1302&gt;175,W1302&gt;=25,W1302&lt;55),0.23,0)+IF(AND(V1302&gt;175,W1302&gt;=55,W1302&lt;95),0.17,0)+IF(AND(V1302&gt;175,W1302&gt;=95),0.12,0),
IF(AF1302="DoEVLo",IF(AND(V1302&lt;20,W1302&lt;55),0.25,0)+IF(AND(V1302&lt;20,W1302&gt;=55,W1302&lt;105),0.2,0)+IF(AND(V1302&lt;20,W1302&gt;=105),0.15,0)+IF(AND(V1302&gt;=20,V1302&lt;40,W1302&lt;45),0.25,0)+IF(AND(V1302&gt;=20,V1302&lt;40,W1302&gt;=45,W1302&lt;95),0.2,0)+IF(AND(V1302&gt;=20,V1302&lt;40,W1302&gt;=95),0.15,0)+IF(AND(V1302&gt;=40,V1302&lt;75,W1302&lt;35),0.25,0)+IF(AND(V1302&gt;=40,V1302&lt;75,W1302&gt;=35,W1302&lt;75),0.2,0)+IF(AND(V1302&gt;=40,V1302&lt;75,W1302&gt;=75,W1302&lt;120),0.15,0)+IF(AND(V1302&gt;=40,V1302&lt;75,W1302&gt;=120),0.1,0)+IF(AND(V1302&gt;=75,V1302&lt;175,W1302&lt;35),0.25,0)+IF(AND(V1302&gt;=75,V1302&lt;=175,W1302&gt;=35,W1302&lt;65),0.2,0)+IF(AND(V1302&gt;=75,V1302&lt;=175,W1302&gt;=65,W1302&lt;110),0.15,0)+IF(AND(V1302&gt;=75,V1302&lt;=175,W1302&gt;=110),0.1,0)+IF(AND(V1302&gt;175,W1302&lt;25),0.25,0)+IF(AND(V1302&gt;175,W1302&gt;=25,W1302&lt;55),0.2,0)+IF(AND(V1302&gt;175,W1302&gt;=55,W1302&lt;95),0.15,0)+IF(AND(V1302&gt;175,W1302&gt;=95),0.1,0))))))))))))))))))</f>
        <v>0.1</v>
      </c>
      <c r="Y1302" s="30">
        <f>IF(AG1302="None",0,IF(AG1302="Fix5",0.05, IF(AG1302="Fix6.25",0.0625,IF(AG1302="Fix3.75",0.0375,IF(AG1302="Fix10",0.1,IF(AG1302="Fix3",0.03,0))))))</f>
        <v>0</v>
      </c>
      <c r="Z1302" s="35">
        <f>T1302-AA1302-AB1302</f>
        <v>6310.8</v>
      </c>
      <c r="AA1302" s="29">
        <f>IF(AD1302="EUR",((T1302-R1302)*X1302)*U1302+(R1302*X1302),(T1302*X1302))</f>
        <v>701.2</v>
      </c>
      <c r="AB1302" s="36">
        <f>IF(AD1302="EUR",((T1302-R1302)*Y1302)*U1302+(R1302*Y1302),(T1302*Y1302))</f>
        <v>0</v>
      </c>
      <c r="AC1302" s="37" t="b">
        <v>1</v>
      </c>
      <c r="AD1302" s="37" t="s">
        <v>38</v>
      </c>
      <c r="AE1302" s="37" t="s">
        <v>38</v>
      </c>
      <c r="AF1302" s="37" t="str">
        <f t="array" ref="AF1302">INDEX('Deal Info'!D:D, MATCH(A1302,'Deal Info'!A:A, 0))</f>
        <v>Fix10</v>
      </c>
      <c r="AG1302" s="38" t="str">
        <f t="array" ref="AG1302">INDEX('Deal Info'!G:G, MATCH(A1302,'Deal Info'!A:A, 0))</f>
        <v>None</v>
      </c>
    </row>
    <row r="1303" spans="1:33" ht="14.25" hidden="1" x14ac:dyDescent="0.2">
      <c r="A1303" s="18" t="str">
        <f t="array" ref="A1303">IF(G1303='Room Info'!$B$1, INDEX('Room Info'!$A$2:$A2446, MATCH(B1303,'Room Info'!$B$2:$B2446, 0)),IF(G1303='Room Info'!$C$1, INDEX('Room Info'!$A$2:$A2446, MATCH(B1303,'Room Info'!$C$2:$C2446, 0)),IF(G1303='Room Info'!$D$1, INDEX('Room Info'!$A$2:$A2446, MATCH(B1303,'Room Info'!$D$2:$D2446, 0)),IF(G1303='Room Info'!$E$1, INDEX('Room Info'!$A$2:$A2446, MATCH(B1303,'Room Info'!$E$2:$E2446, 0)),IF(G1303='Room Info'!$F$1, INDEX('Room Info'!$A$2:$A2446, MATCH(B1303,'Room Info'!$F$2:$F2446, 0)),IF(G1303='Room Info'!$H$1, INDEX('Room Info'!$A$2:$A2446, MATCH(B1303,'Room Info'!$H$2:$H2446, 0)),IF(G1303='Room Info'!$G$1, INDEX('Room Info'!$A$2:$A2446, MATCH(B1303,'Room Info'!$G$2:$G2446, 0)))))))))</f>
        <v>volkovsky</v>
      </c>
      <c r="B1303" s="45" t="s">
        <v>206</v>
      </c>
      <c r="C1303" s="46">
        <v>44521</v>
      </c>
      <c r="D1303" s="46">
        <v>44550</v>
      </c>
      <c r="E1303" s="47">
        <v>44531</v>
      </c>
      <c r="F1303" s="48" t="s">
        <v>34</v>
      </c>
      <c r="G1303" s="54" t="s">
        <v>35</v>
      </c>
      <c r="H1303" s="49" t="s">
        <v>148</v>
      </c>
      <c r="I1303" s="49" t="s">
        <v>44</v>
      </c>
      <c r="J1303" s="50">
        <v>250</v>
      </c>
      <c r="K1303" s="51">
        <v>216</v>
      </c>
      <c r="L1303" s="52">
        <v>0</v>
      </c>
      <c r="M1303" s="53">
        <v>1533</v>
      </c>
      <c r="N1303" s="28">
        <f>K1303*J1303</f>
        <v>54000</v>
      </c>
      <c r="O1303" s="54">
        <v>3679</v>
      </c>
      <c r="P1303" s="29">
        <v>17.032407410000001</v>
      </c>
      <c r="Q1303" s="55"/>
      <c r="R1303" s="31">
        <f>M1303+Q1303</f>
        <v>1533</v>
      </c>
      <c r="S1303" s="56">
        <v>12</v>
      </c>
      <c r="T1303" s="32">
        <f>R1303+S1303+IF(F1303="Without EV deal",L1303,0)</f>
        <v>1545</v>
      </c>
      <c r="U1303" s="57"/>
      <c r="V1303" s="58"/>
      <c r="W1303" s="58"/>
      <c r="X1303" s="30">
        <f>IF(AF1303="DoEV",IF(AND(V1303&lt;20,W1303&lt;55),0.3,0)+IF(AND(V1303&lt;20,W1303&gt;=55,W1303&lt;105),0.23,0)+IF(AND(V1303&lt;20,W1303&gt;=105),0.17,0)+IF(AND(V1303&gt;=20,V1303&lt;40,W1303&lt;45),0.3,0)+IF(AND(V1303&gt;=20,V1303&lt;40,W1303&gt;=45,W1303&lt;95),0.23,0)+IF(AND(V1303&gt;=20,V1303&lt;40,W1303&gt;=95),0.17,0)+IF(AND(V1303&gt;=40,V1303&lt;75,W1303&lt;35),0.3,0)+IF(AND(V1303&gt;=40,V1303&lt;75,W1303&gt;=35,W1303&lt;75),0.23,0)+IF(AND(V1303&gt;=40,V1303&lt;75,W1303&gt;=75,W1303&lt;120),0.17,0)+IF(AND(V1303&gt;=40,V1303&lt;75,W1303&gt;=120),0.12,0)+IF(AND(V1303&gt;=75,V1303&lt;175,W1303&lt;35),0.3,0)+IF(AND(V1303&gt;=75,V1303&lt;=175,W1303&gt;=35,W1303&lt;65),0.23,0)+IF(AND(V1303&gt;=75,V1303&lt;=175,W1303&gt;=65,W1303&lt;110),0.17,0)+IF(AND(V1303&gt;=75,V1303&lt;=175,W1303&gt;=110),0.12,0)+IF(AND(V1303&gt;175,W1303&lt;25),0.3,0)+IF(AND(V1303&gt;175,W1303&gt;=25,W1303&lt;55),0.23,0)+IF(AND(V1303&gt;175,W1303&gt;=55,W1303&lt;95),0.17,0)+IF(AND(V1303&gt;175,W1303&gt;=95),0.12,0),
IF(AF1303="Fix15",0.15,
IF(AF1303="Fix18.75",0.1875,
IF(AF1303="Fix11.25",0.1125,
IF(AF1303="Fix10",0.1,
IF(AF1303="Fix9",0.09,
IF(AF1303="Fix19",0.19,
IF(AF1303="DoEV2017",IF(AND(W1303&lt;74),0.2,0)+IF(AND(W1303&gt;=74),0.17,0),
IF(AF1303="SF",IF(AND(V1303&lt;20,W1303&lt;89),0.3,0)+IF(AND(V1303&lt;20,W1303&gt;=89),0.25,0)+IF(AND(V1303&gt;=20,V1303&lt;40,W1303&lt;74),0.3,0)+IF(AND(V1303&gt;=20,V1303&lt;40,W1303&gt;=75),0.22,0)+IF(AND(V1303&gt;=40,V1303&lt;75,W1303&lt;75),0.26,0)+IF(AND(V1303&gt;=40,V1303&lt;75,W1303&gt;=75),0.22,0)+IF(V1303&gt;=75,0.22,0),
IF(AF1303="DoEVold",IF(AND(V1303&lt;40,W1303&lt;35),0.35,0)+IF(AND(V1303&lt;40,W1303&gt;=35,W1303&lt;75),0.25,0)+IF(AND(V1303&lt;40,W1303&gt;=75),0.17,0)+IF(AND(V1303&gt;=40,V1303&lt;75,W1303&lt;25),0.35,0)+IF(AND(V1303&gt;=40,V1303&lt;75,W1303&gt;=25,W1303&lt;65),0.25,0)+IF(AND(V1303&gt;=40,V1303&lt;75,W1303&gt;=65,W1303&lt;100),0.17,0)+IF(AND(V1303&gt;=40,V1303&lt;75,W1303&gt;=100),0.1,0)+IF(AND(V1303&gt;=75,W1303&lt;25),0.35,0)+IF(AND(V1303&gt;=75,W1303&gt;=25,W1303&lt;60),0.25,0)+IF(AND(V1303&gt;=75,W1303&gt;=60,W1303&lt;95),0.17,0)+IF(AND(V1303&gt;=75,W1303&gt;=95),0.1,0),
IF(AF1303="DoEVold15",IF(AND(V1303&lt;=40,W1303&lt;35),0.35,0)+IF(AND(V1303&lt;=40,W1303&gt;=35,W1303&lt;75),0.25,0)+IF(AND(V1303&lt;=40,W1303&gt;=75,W1303&lt;120),0.17,0)+IF(AND(V1303&lt;=40,W1303&gt;=120),0.15,0)+IF(AND(V1303&gt;40,V1303&lt;75,W1303&lt;25),0.35,0)+IF(AND(V1303&gt;=40,V1303&lt;75,W1303&gt;=25,W1303&lt;65),0.25,0)+IF(AND(V1303&gt;=40,V1303&lt;75,W1303&gt;=65,W1303&lt;100),0.17,0)+IF(AND(V1303&gt;=40,V1303&lt;75,W1303&gt;=100),0.1,0)+IF(AND(V1303&gt;=75,W1303&lt;25),0.35,0)+IF(AND(V1303&gt;=75,W1303&gt;=25,W1303&lt;60),0.25,0)+IF(AND(V1303&gt;=75,W1303&gt;=60,W1303&lt;95),0.17,0)+IF(AND(V1303&gt;=75,W1303&gt;=95),0.1,0),
IF(AF1303="DoEVba",IF(AND(V1303&lt;20,W1303&lt;105),0.2,0)+IF(AND(V1303&lt;20,W1303&gt;=105),0.15,0)+IF(AND(V1303&gt;=20,V1303&lt;40,W1303&lt;95),0.2,0)+IF(AND(V1303&gt;=20,V1303&lt;40,W1303&gt;=95,W1303&lt;150),0.15,0)+IF(AND(V1303&gt;=20,V1303&lt;40,W1303&gt;=150),0.12,0)+IF(AND(V1303&gt;=40,V1303&lt;75,W1303&lt;75),0.2,0)+IF(AND(V1303&gt;=40,V1303&lt;75,W1303&gt;=75,W1303&lt;120),0.15,0)+IF(AND(V1303&gt;=40,V1303&lt;75,W1303&gt;=120),0.12,0)+IF(AND(V1303&gt;=75,V1303&lt;175,W1303&lt;65),0.2,0)+IF(AND(V1303&gt;=75,V1303&lt;175,W1303&gt;=65,W1303&lt;110),0.15,0)+IF(AND(V1303&gt;=75,V1303&lt;175,W1303&gt;=110),0.12,0)+IF(AND(V1303&gt;=175,W1303&lt;55),0.2,0)+IF(AND(V1303&gt;=175,W1303&gt;=55,W1303&lt;95),0.15,0)+IF(AND(V1303&gt;=175,W1303&gt;=95),0.12,0),
IF(AF1303="DoEVku",IF(AND(V1303&lt;20,W1303&lt;55),0.23,0)+IF(AND(V1303&lt;20,W1303&gt;=55,W1303&lt;105),0.2,0)+IF(AND(V1303&lt;20,W1303&gt;=105),0.17,0)+IF(AND(V1303&gt;=20,V1303&lt;40,W1303&lt;45),0.23,0)+IF(AND(V1303&gt;=20,V1303&lt;40,W1303&gt;=45,W1303&lt;95),0.2,0)+IF(AND(V1303&gt;=20,V1303&lt;40,W1303&gt;=95,W1303&lt;=150),0.17,0)+IF(AND(V1303&gt;=20,V1303&lt;40,W1303&gt;=150),0.12,0)+IF(AND(V1303&gt;=40,V1303&lt;75,W1303&lt;35),0.23,0)+IF(AND(V1303&gt;=40,V1303&lt;75,W1303&gt;=35,W1303&lt;75),0.2,0)+IF(AND(V1303&gt;=40,V1303&lt;75,W1303&gt;=75,W1303&lt;120),0.17,0)+IF(AND(V1303&gt;=40,V1303&lt;75,W1303&gt;=120),0.12,0)+IF(AND(V1303&gt;=75,V1303&lt;175,W1303&lt;35),0.23,0)+IF(AND(V1303&gt;=75,V1303&lt;=175,W1303&gt;=35,W1303&lt;65),0.2,0)+IF(AND(V1303&gt;=75,V1303&lt;=175,W1303&gt;=65,W1303&lt;110),0.17,0)+IF(AND(V1303&gt;=75,V1303&lt;=175,W1303&gt;=110),0.12,0)+IF(AND(V1303&gt;175,W1303&lt;25),0.23,0)+IF(AND(V1303&gt;175,W1303&gt;=25,W1303&lt;55),0.2,0)+IF(AND(V1303&gt;175,W1303&gt;=55,W1303&lt;95),0.17,0)+IF(AND(V1303&gt;175,W1303&gt;=95),0.12,0),
IF(AF1303="DoEVs1",IF(AND(V1303&lt;20,W1303&lt;55),0.3,0)+IF(AND(V1303&lt;20,W1303&gt;=55,W1303&lt;105),0.23,0)+IF(AND(V1303&lt;20,W1303&gt;=105),0.17,0)+IF(AND(V1303&gt;=20,V1303&lt;40,W1303&lt;45),0.3,0)+IF(AND(V1303&gt;=20,V1303&lt;40,W1303&gt;=45,W1303&lt;95),0.23,0)+IF(AND(V1303&gt;=20,V1303&lt;40,W1303&gt;=95,W1303&lt;=150),0.17,0)+IF(AND(V1303&gt;=20,V1303&lt;40,W1303&gt;=150),0.12,0)+IF(AND(V1303&gt;=40,V1303&lt;75,W1303&lt;35),0.3,0)+IF(AND(V1303&gt;=40,V1303&lt;75,W1303&gt;=35,W1303&lt;75),0.23,0)+IF(AND(V1303&gt;=40,V1303&lt;75,W1303&gt;=75,W1303&lt;120),0.17,0)+IF(AND(V1303&gt;=40,V1303&lt;75,W1303&gt;=120),0.12,0)+IF(AND(V1303&gt;=75,V1303&lt;175,W1303&lt;35),0.3,0)+IF(AND(V1303&gt;=75,V1303&lt;=175,W1303&gt;=35,W1303&lt;65),0.23,0)+IF(AND(V1303&gt;=75,V1303&lt;=175,W1303&gt;=65,W1303&lt;110),0.17,0)+IF(AND(V1303&gt;=75,V1303&lt;=175,W1303&gt;=110),0.12,0)+IF(AND(V1303&gt;175,W1303&lt;25),0.3,0)+IF(AND(V1303&gt;175,W1303&gt;=25,W1303&lt;55),0.23,0)+IF(AND(V1303&gt;175,W1303&gt;=55,W1303&lt;95),0.17,0)+IF(AND(V1303&gt;175,W1303&gt;=95),0.12,0),
IF(AF1303="DoEVsu",IF(AND(V1303&lt;20,W1303&lt;55),0.3,0)+IF(AND(V1303&lt;20,W1303&gt;=55,W1303&lt;105),0.23,0)+IF(AND(V1303&lt;20,W1303&gt;=105),0.17,0)+IF(AND(V1303&gt;=20,V1303&lt;40,W1303&lt;45),0.3,0)+IF(AND(V1303&gt;=20,V1303&lt;40,W1303&gt;=45,W1303&lt;95),0.23,0)+IF(AND(V1303&gt;=20,V1303&lt;40,W1303&gt;=95,W1303&lt;=250),0.17,0)+IF(AND(V1303&gt;=20,V1303&lt;40,W1303&gt;=250),0.12,0)+IF(AND(V1303&gt;=40,V1303&lt;75,W1303&lt;35),0.3,0)+IF(AND(V1303&gt;=40,V1303&lt;75,W1303&gt;=35,W1303&lt;75),0.23,0)+IF(AND(V1303&gt;=40,V1303&lt;75,W1303&gt;=75,W1303&lt;120),0.17,0)+IF(AND(V1303&gt;=40,V1303&lt;75,W1303&gt;=120),0.12,0)+IF(AND(V1303&gt;=75,V1303&lt;175,W1303&lt;35),0.3,0)+IF(AND(V1303&gt;=75,V1303&lt;=175,W1303&gt;=35,W1303&lt;65),0.23,0)+IF(AND(V1303&gt;=75,V1303&lt;=175,W1303&gt;=65,W1303&lt;110),0.17,0)+IF(AND(V1303&gt;=75,V1303&lt;=175,W1303&gt;=110),0.12,0)+IF(AND(V1303&gt;175,W1303&lt;25),0.3,0)+IF(AND(V1303&gt;175,W1303&gt;=25,W1303&lt;55),0.23,0)+IF(AND(V1303&gt;175,W1303&gt;=55,W1303&lt;95),0.17,0)+IF(AND(V1303&gt;175,W1303&gt;=95),0.12,0),
IF(AF1303="DoEVni",IF(AND(V1303&lt;20,W1303&lt;55),0.3,0)+IF(AND(V1303&lt;20,W1303&gt;=55,W1303&lt;105),0.23,0)+IF(AND(V1303&lt;20,W1303&gt;=105),0.17,0)+IF(AND(V1303&gt;=20,V1303&lt;40,W1303&lt;45),0.3,0)+IF(AND(V1303&gt;=20,V1303&lt;40,W1303&gt;=45,W1303&lt;95),0.23,0)+IF(AND(V1303&gt;=20,V1303&lt;40,W1303&gt;=95,W1303&lt;=200),0.17,0)+IF(AND(V1303&gt;=20,V1303&lt;40,W1303&gt;=200),0.12,0)+IF(AND(V1303&gt;=40,V1303&lt;75,W1303&lt;35),0.3,0)+IF(AND(V1303&gt;=40,V1303&lt;75,W1303&gt;=35,W1303&lt;75),0.23,0)+IF(AND(V1303&gt;=40,V1303&lt;75,W1303&gt;=75,W1303&lt;120),0.17,0)+IF(AND(V1303&gt;=40,V1303&lt;75,W1303&gt;=120),0.12,0)+IF(AND(V1303&gt;=75,V1303&lt;175,W1303&lt;35),0.3,0)+IF(AND(V1303&gt;=75,V1303&lt;=175,W1303&gt;=35,W1303&lt;65),0.23,0)+IF(AND(V1303&gt;=75,V1303&lt;=175,W1303&gt;=65,W1303&lt;110),0.17,0)+IF(AND(V1303&gt;=75,V1303&lt;=175,W1303&gt;=110),0.12,0)+IF(AND(V1303&gt;175,W1303&lt;25),0.3,0)+IF(AND(V1303&gt;175,W1303&gt;=25,W1303&lt;55),0.23,0)+IF(AND(V1303&gt;175,W1303&gt;=55,W1303&lt;95),0.17,0)+IF(AND(V1303&gt;175,W1303&gt;=95),0.12,0),
IF(AF1303="DoEVLo",IF(AND(V1303&lt;20,W1303&lt;55),0.25,0)+IF(AND(V1303&lt;20,W1303&gt;=55,W1303&lt;105),0.2,0)+IF(AND(V1303&lt;20,W1303&gt;=105),0.15,0)+IF(AND(V1303&gt;=20,V1303&lt;40,W1303&lt;45),0.25,0)+IF(AND(V1303&gt;=20,V1303&lt;40,W1303&gt;=45,W1303&lt;95),0.2,0)+IF(AND(V1303&gt;=20,V1303&lt;40,W1303&gt;=95),0.15,0)+IF(AND(V1303&gt;=40,V1303&lt;75,W1303&lt;35),0.25,0)+IF(AND(V1303&gt;=40,V1303&lt;75,W1303&gt;=35,W1303&lt;75),0.2,0)+IF(AND(V1303&gt;=40,V1303&lt;75,W1303&gt;=75,W1303&lt;120),0.15,0)+IF(AND(V1303&gt;=40,V1303&lt;75,W1303&gt;=120),0.1,0)+IF(AND(V1303&gt;=75,V1303&lt;175,W1303&lt;35),0.25,0)+IF(AND(V1303&gt;=75,V1303&lt;=175,W1303&gt;=35,W1303&lt;65),0.2,0)+IF(AND(V1303&gt;=75,V1303&lt;=175,W1303&gt;=65,W1303&lt;110),0.15,0)+IF(AND(V1303&gt;=75,V1303&lt;=175,W1303&gt;=110),0.1,0)+IF(AND(V1303&gt;175,W1303&lt;25),0.25,0)+IF(AND(V1303&gt;175,W1303&gt;=25,W1303&lt;55),0.2,0)+IF(AND(V1303&gt;175,W1303&gt;=55,W1303&lt;95),0.15,0)+IF(AND(V1303&gt;175,W1303&gt;=95),0.1,0))))))))))))))))))</f>
        <v>0.1</v>
      </c>
      <c r="Y1303" s="30">
        <f>IF(AG1303="None",0,IF(AG1303="Fix5",0.05, IF(AG1303="Fix6.25",0.0625,IF(AG1303="Fix3.75",0.0375,IF(AG1303="Fix10",0.1,IF(AG1303="Fix3",0.03,0))))))</f>
        <v>0</v>
      </c>
      <c r="Z1303" s="35">
        <f>T1303-AA1303-AB1303</f>
        <v>1390.5</v>
      </c>
      <c r="AA1303" s="29">
        <f>IF(AD1303="EUR",((T1303-R1303)*X1303)*U1303+(R1303*X1303),(T1303*X1303))</f>
        <v>154.5</v>
      </c>
      <c r="AB1303" s="36">
        <f>IF(AD1303="EUR",((T1303-R1303)*Y1303)*U1303+(R1303*Y1303),(T1303*Y1303))</f>
        <v>0</v>
      </c>
      <c r="AC1303" s="37" t="b">
        <v>1</v>
      </c>
      <c r="AD1303" s="37" t="s">
        <v>38</v>
      </c>
      <c r="AE1303" s="37" t="s">
        <v>38</v>
      </c>
      <c r="AF1303" s="37" t="str">
        <f t="array" ref="AF1303">INDEX('Deal Info'!D:D, MATCH(A1303,'Deal Info'!A:A, 0))</f>
        <v>Fix10</v>
      </c>
      <c r="AG1303" s="38" t="str">
        <f t="array" ref="AG1303">INDEX('Deal Info'!G:G, MATCH(A1303,'Deal Info'!A:A, 0))</f>
        <v>None</v>
      </c>
    </row>
    <row r="1304" spans="1:33" ht="14.25" hidden="1" x14ac:dyDescent="0.2">
      <c r="A1304" s="18" t="str">
        <f t="array" ref="A1304">IF(G1304='Room Info'!$B$1, INDEX('Room Info'!$A$2:$A2446, MATCH(B1304,'Room Info'!$B$2:$B2446, 0)),IF(G1304='Room Info'!$C$1, INDEX('Room Info'!$A$2:$A2446, MATCH(B1304,'Room Info'!$C$2:$C2446, 0)),IF(G1304='Room Info'!$D$1, INDEX('Room Info'!$A$2:$A2446, MATCH(B1304,'Room Info'!$D$2:$D2446, 0)),IF(G1304='Room Info'!$E$1, INDEX('Room Info'!$A$2:$A2446, MATCH(B1304,'Room Info'!$E$2:$E2446, 0)),IF(G1304='Room Info'!$F$1, INDEX('Room Info'!$A$2:$A2446, MATCH(B1304,'Room Info'!$F$2:$F2446, 0)),IF(G1304='Room Info'!$H$1, INDEX('Room Info'!$A$2:$A2446, MATCH(B1304,'Room Info'!$H$2:$H2446, 0)),IF(G1304='Room Info'!$G$1, INDEX('Room Info'!$A$2:$A2446, MATCH(B1304,'Room Info'!$G$2:$G2446, 0)))))))))</f>
        <v>volkovsky</v>
      </c>
      <c r="B1304" s="45" t="s">
        <v>206</v>
      </c>
      <c r="C1304" s="46">
        <v>44521</v>
      </c>
      <c r="D1304" s="46">
        <v>44550</v>
      </c>
      <c r="E1304" s="47">
        <v>44531</v>
      </c>
      <c r="F1304" s="48" t="s">
        <v>34</v>
      </c>
      <c r="G1304" s="54" t="s">
        <v>35</v>
      </c>
      <c r="H1304" s="49" t="s">
        <v>142</v>
      </c>
      <c r="I1304" s="49" t="s">
        <v>37</v>
      </c>
      <c r="J1304" s="50">
        <v>500</v>
      </c>
      <c r="K1304" s="51">
        <v>2</v>
      </c>
      <c r="L1304" s="52">
        <v>2000</v>
      </c>
      <c r="M1304" s="53">
        <v>39</v>
      </c>
      <c r="N1304" s="28">
        <f>K1304*J1304</f>
        <v>1000</v>
      </c>
      <c r="O1304" s="54">
        <v>1033</v>
      </c>
      <c r="P1304" s="29">
        <v>516.5</v>
      </c>
      <c r="Q1304" s="55"/>
      <c r="R1304" s="31">
        <f>M1304+Q1304</f>
        <v>39</v>
      </c>
      <c r="S1304" s="56">
        <v>919</v>
      </c>
      <c r="T1304" s="32">
        <f>R1304+S1304+IF(F1304="Without EV deal",L1304,0)</f>
        <v>958</v>
      </c>
      <c r="U1304" s="57"/>
      <c r="V1304" s="58"/>
      <c r="W1304" s="58"/>
      <c r="X1304" s="30">
        <f>IF(AF1304="DoEV",IF(AND(V1304&lt;20,W1304&lt;55),0.3,0)+IF(AND(V1304&lt;20,W1304&gt;=55,W1304&lt;105),0.23,0)+IF(AND(V1304&lt;20,W1304&gt;=105),0.17,0)+IF(AND(V1304&gt;=20,V1304&lt;40,W1304&lt;45),0.3,0)+IF(AND(V1304&gt;=20,V1304&lt;40,W1304&gt;=45,W1304&lt;95),0.23,0)+IF(AND(V1304&gt;=20,V1304&lt;40,W1304&gt;=95),0.17,0)+IF(AND(V1304&gt;=40,V1304&lt;75,W1304&lt;35),0.3,0)+IF(AND(V1304&gt;=40,V1304&lt;75,W1304&gt;=35,W1304&lt;75),0.23,0)+IF(AND(V1304&gt;=40,V1304&lt;75,W1304&gt;=75,W1304&lt;120),0.17,0)+IF(AND(V1304&gt;=40,V1304&lt;75,W1304&gt;=120),0.12,0)+IF(AND(V1304&gt;=75,V1304&lt;175,W1304&lt;35),0.3,0)+IF(AND(V1304&gt;=75,V1304&lt;=175,W1304&gt;=35,W1304&lt;65),0.23,0)+IF(AND(V1304&gt;=75,V1304&lt;=175,W1304&gt;=65,W1304&lt;110),0.17,0)+IF(AND(V1304&gt;=75,V1304&lt;=175,W1304&gt;=110),0.12,0)+IF(AND(V1304&gt;175,W1304&lt;25),0.3,0)+IF(AND(V1304&gt;175,W1304&gt;=25,W1304&lt;55),0.23,0)+IF(AND(V1304&gt;175,W1304&gt;=55,W1304&lt;95),0.17,0)+IF(AND(V1304&gt;175,W1304&gt;=95),0.12,0),
IF(AF1304="Fix15",0.15,
IF(AF1304="Fix18.75",0.1875,
IF(AF1304="Fix11.25",0.1125,
IF(AF1304="Fix10",0.1,
IF(AF1304="Fix9",0.09,
IF(AF1304="Fix19",0.19,
IF(AF1304="DoEV2017",IF(AND(W1304&lt;74),0.2,0)+IF(AND(W1304&gt;=74),0.17,0),
IF(AF1304="SF",IF(AND(V1304&lt;20,W1304&lt;89),0.3,0)+IF(AND(V1304&lt;20,W1304&gt;=89),0.25,0)+IF(AND(V1304&gt;=20,V1304&lt;40,W1304&lt;74),0.3,0)+IF(AND(V1304&gt;=20,V1304&lt;40,W1304&gt;=75),0.22,0)+IF(AND(V1304&gt;=40,V1304&lt;75,W1304&lt;75),0.26,0)+IF(AND(V1304&gt;=40,V1304&lt;75,W1304&gt;=75),0.22,0)+IF(V1304&gt;=75,0.22,0),
IF(AF1304="DoEVold",IF(AND(V1304&lt;40,W1304&lt;35),0.35,0)+IF(AND(V1304&lt;40,W1304&gt;=35,W1304&lt;75),0.25,0)+IF(AND(V1304&lt;40,W1304&gt;=75),0.17,0)+IF(AND(V1304&gt;=40,V1304&lt;75,W1304&lt;25),0.35,0)+IF(AND(V1304&gt;=40,V1304&lt;75,W1304&gt;=25,W1304&lt;65),0.25,0)+IF(AND(V1304&gt;=40,V1304&lt;75,W1304&gt;=65,W1304&lt;100),0.17,0)+IF(AND(V1304&gt;=40,V1304&lt;75,W1304&gt;=100),0.1,0)+IF(AND(V1304&gt;=75,W1304&lt;25),0.35,0)+IF(AND(V1304&gt;=75,W1304&gt;=25,W1304&lt;60),0.25,0)+IF(AND(V1304&gt;=75,W1304&gt;=60,W1304&lt;95),0.17,0)+IF(AND(V1304&gt;=75,W1304&gt;=95),0.1,0),
IF(AF1304="DoEVold15",IF(AND(V1304&lt;=40,W1304&lt;35),0.35,0)+IF(AND(V1304&lt;=40,W1304&gt;=35,W1304&lt;75),0.25,0)+IF(AND(V1304&lt;=40,W1304&gt;=75,W1304&lt;120),0.17,0)+IF(AND(V1304&lt;=40,W1304&gt;=120),0.15,0)+IF(AND(V1304&gt;40,V1304&lt;75,W1304&lt;25),0.35,0)+IF(AND(V1304&gt;=40,V1304&lt;75,W1304&gt;=25,W1304&lt;65),0.25,0)+IF(AND(V1304&gt;=40,V1304&lt;75,W1304&gt;=65,W1304&lt;100),0.17,0)+IF(AND(V1304&gt;=40,V1304&lt;75,W1304&gt;=100),0.1,0)+IF(AND(V1304&gt;=75,W1304&lt;25),0.35,0)+IF(AND(V1304&gt;=75,W1304&gt;=25,W1304&lt;60),0.25,0)+IF(AND(V1304&gt;=75,W1304&gt;=60,W1304&lt;95),0.17,0)+IF(AND(V1304&gt;=75,W1304&gt;=95),0.1,0),
IF(AF1304="DoEVba",IF(AND(V1304&lt;20,W1304&lt;105),0.2,0)+IF(AND(V1304&lt;20,W1304&gt;=105),0.15,0)+IF(AND(V1304&gt;=20,V1304&lt;40,W1304&lt;95),0.2,0)+IF(AND(V1304&gt;=20,V1304&lt;40,W1304&gt;=95,W1304&lt;150),0.15,0)+IF(AND(V1304&gt;=20,V1304&lt;40,W1304&gt;=150),0.12,0)+IF(AND(V1304&gt;=40,V1304&lt;75,W1304&lt;75),0.2,0)+IF(AND(V1304&gt;=40,V1304&lt;75,W1304&gt;=75,W1304&lt;120),0.15,0)+IF(AND(V1304&gt;=40,V1304&lt;75,W1304&gt;=120),0.12,0)+IF(AND(V1304&gt;=75,V1304&lt;175,W1304&lt;65),0.2,0)+IF(AND(V1304&gt;=75,V1304&lt;175,W1304&gt;=65,W1304&lt;110),0.15,0)+IF(AND(V1304&gt;=75,V1304&lt;175,W1304&gt;=110),0.12,0)+IF(AND(V1304&gt;=175,W1304&lt;55),0.2,0)+IF(AND(V1304&gt;=175,W1304&gt;=55,W1304&lt;95),0.15,0)+IF(AND(V1304&gt;=175,W1304&gt;=95),0.12,0),
IF(AF1304="DoEVku",IF(AND(V1304&lt;20,W1304&lt;55),0.23,0)+IF(AND(V1304&lt;20,W1304&gt;=55,W1304&lt;105),0.2,0)+IF(AND(V1304&lt;20,W1304&gt;=105),0.17,0)+IF(AND(V1304&gt;=20,V1304&lt;40,W1304&lt;45),0.23,0)+IF(AND(V1304&gt;=20,V1304&lt;40,W1304&gt;=45,W1304&lt;95),0.2,0)+IF(AND(V1304&gt;=20,V1304&lt;40,W1304&gt;=95,W1304&lt;=150),0.17,0)+IF(AND(V1304&gt;=20,V1304&lt;40,W1304&gt;=150),0.12,0)+IF(AND(V1304&gt;=40,V1304&lt;75,W1304&lt;35),0.23,0)+IF(AND(V1304&gt;=40,V1304&lt;75,W1304&gt;=35,W1304&lt;75),0.2,0)+IF(AND(V1304&gt;=40,V1304&lt;75,W1304&gt;=75,W1304&lt;120),0.17,0)+IF(AND(V1304&gt;=40,V1304&lt;75,W1304&gt;=120),0.12,0)+IF(AND(V1304&gt;=75,V1304&lt;175,W1304&lt;35),0.23,0)+IF(AND(V1304&gt;=75,V1304&lt;=175,W1304&gt;=35,W1304&lt;65),0.2,0)+IF(AND(V1304&gt;=75,V1304&lt;=175,W1304&gt;=65,W1304&lt;110),0.17,0)+IF(AND(V1304&gt;=75,V1304&lt;=175,W1304&gt;=110),0.12,0)+IF(AND(V1304&gt;175,W1304&lt;25),0.23,0)+IF(AND(V1304&gt;175,W1304&gt;=25,W1304&lt;55),0.2,0)+IF(AND(V1304&gt;175,W1304&gt;=55,W1304&lt;95),0.17,0)+IF(AND(V1304&gt;175,W1304&gt;=95),0.12,0),
IF(AF1304="DoEVs1",IF(AND(V1304&lt;20,W1304&lt;55),0.3,0)+IF(AND(V1304&lt;20,W1304&gt;=55,W1304&lt;105),0.23,0)+IF(AND(V1304&lt;20,W1304&gt;=105),0.17,0)+IF(AND(V1304&gt;=20,V1304&lt;40,W1304&lt;45),0.3,0)+IF(AND(V1304&gt;=20,V1304&lt;40,W1304&gt;=45,W1304&lt;95),0.23,0)+IF(AND(V1304&gt;=20,V1304&lt;40,W1304&gt;=95,W1304&lt;=150),0.17,0)+IF(AND(V1304&gt;=20,V1304&lt;40,W1304&gt;=150),0.12,0)+IF(AND(V1304&gt;=40,V1304&lt;75,W1304&lt;35),0.3,0)+IF(AND(V1304&gt;=40,V1304&lt;75,W1304&gt;=35,W1304&lt;75),0.23,0)+IF(AND(V1304&gt;=40,V1304&lt;75,W1304&gt;=75,W1304&lt;120),0.17,0)+IF(AND(V1304&gt;=40,V1304&lt;75,W1304&gt;=120),0.12,0)+IF(AND(V1304&gt;=75,V1304&lt;175,W1304&lt;35),0.3,0)+IF(AND(V1304&gt;=75,V1304&lt;=175,W1304&gt;=35,W1304&lt;65),0.23,0)+IF(AND(V1304&gt;=75,V1304&lt;=175,W1304&gt;=65,W1304&lt;110),0.17,0)+IF(AND(V1304&gt;=75,V1304&lt;=175,W1304&gt;=110),0.12,0)+IF(AND(V1304&gt;175,W1304&lt;25),0.3,0)+IF(AND(V1304&gt;175,W1304&gt;=25,W1304&lt;55),0.23,0)+IF(AND(V1304&gt;175,W1304&gt;=55,W1304&lt;95),0.17,0)+IF(AND(V1304&gt;175,W1304&gt;=95),0.12,0),
IF(AF1304="DoEVsu",IF(AND(V1304&lt;20,W1304&lt;55),0.3,0)+IF(AND(V1304&lt;20,W1304&gt;=55,W1304&lt;105),0.23,0)+IF(AND(V1304&lt;20,W1304&gt;=105),0.17,0)+IF(AND(V1304&gt;=20,V1304&lt;40,W1304&lt;45),0.3,0)+IF(AND(V1304&gt;=20,V1304&lt;40,W1304&gt;=45,W1304&lt;95),0.23,0)+IF(AND(V1304&gt;=20,V1304&lt;40,W1304&gt;=95,W1304&lt;=250),0.17,0)+IF(AND(V1304&gt;=20,V1304&lt;40,W1304&gt;=250),0.12,0)+IF(AND(V1304&gt;=40,V1304&lt;75,W1304&lt;35),0.3,0)+IF(AND(V1304&gt;=40,V1304&lt;75,W1304&gt;=35,W1304&lt;75),0.23,0)+IF(AND(V1304&gt;=40,V1304&lt;75,W1304&gt;=75,W1304&lt;120),0.17,0)+IF(AND(V1304&gt;=40,V1304&lt;75,W1304&gt;=120),0.12,0)+IF(AND(V1304&gt;=75,V1304&lt;175,W1304&lt;35),0.3,0)+IF(AND(V1304&gt;=75,V1304&lt;=175,W1304&gt;=35,W1304&lt;65),0.23,0)+IF(AND(V1304&gt;=75,V1304&lt;=175,W1304&gt;=65,W1304&lt;110),0.17,0)+IF(AND(V1304&gt;=75,V1304&lt;=175,W1304&gt;=110),0.12,0)+IF(AND(V1304&gt;175,W1304&lt;25),0.3,0)+IF(AND(V1304&gt;175,W1304&gt;=25,W1304&lt;55),0.23,0)+IF(AND(V1304&gt;175,W1304&gt;=55,W1304&lt;95),0.17,0)+IF(AND(V1304&gt;175,W1304&gt;=95),0.12,0),
IF(AF1304="DoEVni",IF(AND(V1304&lt;20,W1304&lt;55),0.3,0)+IF(AND(V1304&lt;20,W1304&gt;=55,W1304&lt;105),0.23,0)+IF(AND(V1304&lt;20,W1304&gt;=105),0.17,0)+IF(AND(V1304&gt;=20,V1304&lt;40,W1304&lt;45),0.3,0)+IF(AND(V1304&gt;=20,V1304&lt;40,W1304&gt;=45,W1304&lt;95),0.23,0)+IF(AND(V1304&gt;=20,V1304&lt;40,W1304&gt;=95,W1304&lt;=200),0.17,0)+IF(AND(V1304&gt;=20,V1304&lt;40,W1304&gt;=200),0.12,0)+IF(AND(V1304&gt;=40,V1304&lt;75,W1304&lt;35),0.3,0)+IF(AND(V1304&gt;=40,V1304&lt;75,W1304&gt;=35,W1304&lt;75),0.23,0)+IF(AND(V1304&gt;=40,V1304&lt;75,W1304&gt;=75,W1304&lt;120),0.17,0)+IF(AND(V1304&gt;=40,V1304&lt;75,W1304&gt;=120),0.12,0)+IF(AND(V1304&gt;=75,V1304&lt;175,W1304&lt;35),0.3,0)+IF(AND(V1304&gt;=75,V1304&lt;=175,W1304&gt;=35,W1304&lt;65),0.23,0)+IF(AND(V1304&gt;=75,V1304&lt;=175,W1304&gt;=65,W1304&lt;110),0.17,0)+IF(AND(V1304&gt;=75,V1304&lt;=175,W1304&gt;=110),0.12,0)+IF(AND(V1304&gt;175,W1304&lt;25),0.3,0)+IF(AND(V1304&gt;175,W1304&gt;=25,W1304&lt;55),0.23,0)+IF(AND(V1304&gt;175,W1304&gt;=55,W1304&lt;95),0.17,0)+IF(AND(V1304&gt;175,W1304&gt;=95),0.12,0),
IF(AF1304="DoEVLo",IF(AND(V1304&lt;20,W1304&lt;55),0.25,0)+IF(AND(V1304&lt;20,W1304&gt;=55,W1304&lt;105),0.2,0)+IF(AND(V1304&lt;20,W1304&gt;=105),0.15,0)+IF(AND(V1304&gt;=20,V1304&lt;40,W1304&lt;45),0.25,0)+IF(AND(V1304&gt;=20,V1304&lt;40,W1304&gt;=45,W1304&lt;95),0.2,0)+IF(AND(V1304&gt;=20,V1304&lt;40,W1304&gt;=95),0.15,0)+IF(AND(V1304&gt;=40,V1304&lt;75,W1304&lt;35),0.25,0)+IF(AND(V1304&gt;=40,V1304&lt;75,W1304&gt;=35,W1304&lt;75),0.2,0)+IF(AND(V1304&gt;=40,V1304&lt;75,W1304&gt;=75,W1304&lt;120),0.15,0)+IF(AND(V1304&gt;=40,V1304&lt;75,W1304&gt;=120),0.1,0)+IF(AND(V1304&gt;=75,V1304&lt;175,W1304&lt;35),0.25,0)+IF(AND(V1304&gt;=75,V1304&lt;=175,W1304&gt;=35,W1304&lt;65),0.2,0)+IF(AND(V1304&gt;=75,V1304&lt;=175,W1304&gt;=65,W1304&lt;110),0.15,0)+IF(AND(V1304&gt;=75,V1304&lt;=175,W1304&gt;=110),0.1,0)+IF(AND(V1304&gt;175,W1304&lt;25),0.25,0)+IF(AND(V1304&gt;175,W1304&gt;=25,W1304&lt;55),0.2,0)+IF(AND(V1304&gt;175,W1304&gt;=55,W1304&lt;95),0.15,0)+IF(AND(V1304&gt;175,W1304&gt;=95),0.1,0))))))))))))))))))</f>
        <v>0.1</v>
      </c>
      <c r="Y1304" s="30">
        <f>IF(AG1304="None",0,IF(AG1304="Fix5",0.05, IF(AG1304="Fix6.25",0.0625,IF(AG1304="Fix3.75",0.0375,IF(AG1304="Fix10",0.1,IF(AG1304="Fix3",0.03,0))))))</f>
        <v>0</v>
      </c>
      <c r="Z1304" s="35">
        <f>T1304-AA1304-AB1304</f>
        <v>862.2</v>
      </c>
      <c r="AA1304" s="29">
        <f>IF(AD1304="EUR",((T1304-R1304)*X1304)*U1304+(R1304*X1304),(T1304*X1304))</f>
        <v>95.800000000000011</v>
      </c>
      <c r="AB1304" s="36">
        <f>IF(AD1304="EUR",((T1304-R1304)*Y1304)*U1304+(R1304*Y1304),(T1304*Y1304))</f>
        <v>0</v>
      </c>
      <c r="AC1304" s="37" t="b">
        <v>1</v>
      </c>
      <c r="AD1304" s="37" t="s">
        <v>38</v>
      </c>
      <c r="AE1304" s="37" t="s">
        <v>38</v>
      </c>
      <c r="AF1304" s="37" t="str">
        <f t="array" ref="AF1304">INDEX('Deal Info'!D:D, MATCH(A1304,'Deal Info'!A:A, 0))</f>
        <v>Fix10</v>
      </c>
      <c r="AG1304" s="38" t="str">
        <f t="array" ref="AG1304">INDEX('Deal Info'!G:G, MATCH(A1304,'Deal Info'!A:A, 0))</f>
        <v>None</v>
      </c>
    </row>
    <row r="1305" spans="1:33" ht="14.25" hidden="1" x14ac:dyDescent="0.2">
      <c r="A1305" s="18" t="str">
        <f t="array" ref="A1305">IF(G1305='Room Info'!$B$1, INDEX('Room Info'!$A$2:$A2446, MATCH(B1305,'Room Info'!$B$2:$B2446, 0)),IF(G1305='Room Info'!$C$1, INDEX('Room Info'!$A$2:$A2446, MATCH(B1305,'Room Info'!$C$2:$C2446, 0)),IF(G1305='Room Info'!$D$1, INDEX('Room Info'!$A$2:$A2446, MATCH(B1305,'Room Info'!$D$2:$D2446, 0)),IF(G1305='Room Info'!$E$1, INDEX('Room Info'!$A$2:$A2446, MATCH(B1305,'Room Info'!$E$2:$E2446, 0)),IF(G1305='Room Info'!$F$1, INDEX('Room Info'!$A$2:$A2446, MATCH(B1305,'Room Info'!$F$2:$F2446, 0)),IF(G1305='Room Info'!$H$1, INDEX('Room Info'!$A$2:$A2446, MATCH(B1305,'Room Info'!$H$2:$H2446, 0)),IF(G1305='Room Info'!$G$1, INDEX('Room Info'!$A$2:$A2446, MATCH(B1305,'Room Info'!$G$2:$G2446, 0)))))))))</f>
        <v>volkovsky</v>
      </c>
      <c r="B1305" s="45" t="s">
        <v>206</v>
      </c>
      <c r="C1305" s="46">
        <v>44551</v>
      </c>
      <c r="D1305" s="46">
        <v>44581</v>
      </c>
      <c r="E1305" s="47">
        <v>44562</v>
      </c>
      <c r="F1305" s="48" t="s">
        <v>34</v>
      </c>
      <c r="G1305" s="45" t="s">
        <v>35</v>
      </c>
      <c r="H1305" s="49" t="s">
        <v>70</v>
      </c>
      <c r="I1305" s="49" t="s">
        <v>37</v>
      </c>
      <c r="J1305" s="50">
        <v>100</v>
      </c>
      <c r="K1305" s="51">
        <v>718</v>
      </c>
      <c r="L1305" s="52">
        <v>-7700</v>
      </c>
      <c r="M1305" s="53">
        <v>3005</v>
      </c>
      <c r="N1305" s="28">
        <f>K1305*J1305</f>
        <v>71800</v>
      </c>
      <c r="O1305" s="54">
        <v>-5742</v>
      </c>
      <c r="P1305" s="29">
        <v>-7.9972144849999998</v>
      </c>
      <c r="Q1305" s="55"/>
      <c r="R1305" s="31">
        <f>M1305+Q1305</f>
        <v>3005</v>
      </c>
      <c r="S1305" s="56">
        <v>-4967</v>
      </c>
      <c r="T1305" s="32">
        <f>R1305+S1305+IF(F1305="Without EV deal",L1305,0)</f>
        <v>-1962</v>
      </c>
      <c r="U1305" s="57"/>
      <c r="V1305" s="58"/>
      <c r="W1305" s="58"/>
      <c r="X1305" s="30">
        <f>IF(AF1305="DoEV",IF(AND(V1305&lt;20,W1305&lt;55),0.3,0)+IF(AND(V1305&lt;20,W1305&gt;=55,W1305&lt;105),0.23,0)+IF(AND(V1305&lt;20,W1305&gt;=105),0.17,0)+IF(AND(V1305&gt;=20,V1305&lt;40,W1305&lt;45),0.3,0)+IF(AND(V1305&gt;=20,V1305&lt;40,W1305&gt;=45,W1305&lt;95),0.23,0)+IF(AND(V1305&gt;=20,V1305&lt;40,W1305&gt;=95),0.17,0)+IF(AND(V1305&gt;=40,V1305&lt;75,W1305&lt;35),0.3,0)+IF(AND(V1305&gt;=40,V1305&lt;75,W1305&gt;=35,W1305&lt;75),0.23,0)+IF(AND(V1305&gt;=40,V1305&lt;75,W1305&gt;=75,W1305&lt;120),0.17,0)+IF(AND(V1305&gt;=40,V1305&lt;75,W1305&gt;=120),0.12,0)+IF(AND(V1305&gt;=75,V1305&lt;175,W1305&lt;35),0.3,0)+IF(AND(V1305&gt;=75,V1305&lt;=175,W1305&gt;=35,W1305&lt;65),0.23,0)+IF(AND(V1305&gt;=75,V1305&lt;=175,W1305&gt;=65,W1305&lt;110),0.17,0)+IF(AND(V1305&gt;=75,V1305&lt;=175,W1305&gt;=110),0.12,0)+IF(AND(V1305&gt;175,W1305&lt;25),0.3,0)+IF(AND(V1305&gt;175,W1305&gt;=25,W1305&lt;55),0.23,0)+IF(AND(V1305&gt;175,W1305&gt;=55,W1305&lt;95),0.17,0)+IF(AND(V1305&gt;175,W1305&gt;=95),0.12,0),
IF(AF1305="Fix15",0.15,
IF(AF1305="Fix18.75",0.1875,
IF(AF1305="Fix11.25",0.1125,
IF(AF1305="Fix10",0.1,
IF(AF1305="Fix9",0.09,
IF(AF1305="Fix19",0.19,
IF(AF1305="DoEV2017",IF(AND(W1305&lt;74),0.2,0)+IF(AND(W1305&gt;=74),0.17,0),
IF(AF1305="SF",IF(AND(V1305&lt;20,W1305&lt;89),0.3,0)+IF(AND(V1305&lt;20,W1305&gt;=89),0.25,0)+IF(AND(V1305&gt;=20,V1305&lt;40,W1305&lt;74),0.3,0)+IF(AND(V1305&gt;=20,V1305&lt;40,W1305&gt;=75),0.22,0)+IF(AND(V1305&gt;=40,V1305&lt;75,W1305&lt;75),0.26,0)+IF(AND(V1305&gt;=40,V1305&lt;75,W1305&gt;=75),0.22,0)+IF(V1305&gt;=75,0.22,0),
IF(AF1305="DoEVold",IF(AND(V1305&lt;40,W1305&lt;35),0.35,0)+IF(AND(V1305&lt;40,W1305&gt;=35,W1305&lt;75),0.25,0)+IF(AND(V1305&lt;40,W1305&gt;=75),0.17,0)+IF(AND(V1305&gt;=40,V1305&lt;75,W1305&lt;25),0.35,0)+IF(AND(V1305&gt;=40,V1305&lt;75,W1305&gt;=25,W1305&lt;65),0.25,0)+IF(AND(V1305&gt;=40,V1305&lt;75,W1305&gt;=65,W1305&lt;100),0.17,0)+IF(AND(V1305&gt;=40,V1305&lt;75,W1305&gt;=100),0.1,0)+IF(AND(V1305&gt;=75,W1305&lt;25),0.35,0)+IF(AND(V1305&gt;=75,W1305&gt;=25,W1305&lt;60),0.25,0)+IF(AND(V1305&gt;=75,W1305&gt;=60,W1305&lt;95),0.17,0)+IF(AND(V1305&gt;=75,W1305&gt;=95),0.1,0),
IF(AF1305="DoEVold15",IF(AND(V1305&lt;=40,W1305&lt;35),0.35,0)+IF(AND(V1305&lt;=40,W1305&gt;=35,W1305&lt;75),0.25,0)+IF(AND(V1305&lt;=40,W1305&gt;=75,W1305&lt;120),0.17,0)+IF(AND(V1305&lt;=40,W1305&gt;=120),0.15,0)+IF(AND(V1305&gt;40,V1305&lt;75,W1305&lt;25),0.35,0)+IF(AND(V1305&gt;=40,V1305&lt;75,W1305&gt;=25,W1305&lt;65),0.25,0)+IF(AND(V1305&gt;=40,V1305&lt;75,W1305&gt;=65,W1305&lt;100),0.17,0)+IF(AND(V1305&gt;=40,V1305&lt;75,W1305&gt;=100),0.1,0)+IF(AND(V1305&gt;=75,W1305&lt;25),0.35,0)+IF(AND(V1305&gt;=75,W1305&gt;=25,W1305&lt;60),0.25,0)+IF(AND(V1305&gt;=75,W1305&gt;=60,W1305&lt;95),0.17,0)+IF(AND(V1305&gt;=75,W1305&gt;=95),0.1,0),
IF(AF1305="DoEVba",IF(AND(V1305&lt;20,W1305&lt;105),0.2,0)+IF(AND(V1305&lt;20,W1305&gt;=105),0.15,0)+IF(AND(V1305&gt;=20,V1305&lt;40,W1305&lt;95),0.2,0)+IF(AND(V1305&gt;=20,V1305&lt;40,W1305&gt;=95,W1305&lt;150),0.15,0)+IF(AND(V1305&gt;=20,V1305&lt;40,W1305&gt;=150),0.12,0)+IF(AND(V1305&gt;=40,V1305&lt;75,W1305&lt;75),0.2,0)+IF(AND(V1305&gt;=40,V1305&lt;75,W1305&gt;=75,W1305&lt;120),0.15,0)+IF(AND(V1305&gt;=40,V1305&lt;75,W1305&gt;=120),0.12,0)+IF(AND(V1305&gt;=75,V1305&lt;175,W1305&lt;65),0.2,0)+IF(AND(V1305&gt;=75,V1305&lt;175,W1305&gt;=65,W1305&lt;110),0.15,0)+IF(AND(V1305&gt;=75,V1305&lt;175,W1305&gt;=110),0.12,0)+IF(AND(V1305&gt;=175,W1305&lt;55),0.2,0)+IF(AND(V1305&gt;=175,W1305&gt;=55,W1305&lt;95),0.15,0)+IF(AND(V1305&gt;=175,W1305&gt;=95),0.12,0),
IF(AF1305="DoEVku",IF(AND(V1305&lt;20,W1305&lt;55),0.23,0)+IF(AND(V1305&lt;20,W1305&gt;=55,W1305&lt;105),0.2,0)+IF(AND(V1305&lt;20,W1305&gt;=105),0.17,0)+IF(AND(V1305&gt;=20,V1305&lt;40,W1305&lt;45),0.23,0)+IF(AND(V1305&gt;=20,V1305&lt;40,W1305&gt;=45,W1305&lt;95),0.2,0)+IF(AND(V1305&gt;=20,V1305&lt;40,W1305&gt;=95,W1305&lt;=150),0.17,0)+IF(AND(V1305&gt;=20,V1305&lt;40,W1305&gt;=150),0.12,0)+IF(AND(V1305&gt;=40,V1305&lt;75,W1305&lt;35),0.23,0)+IF(AND(V1305&gt;=40,V1305&lt;75,W1305&gt;=35,W1305&lt;75),0.2,0)+IF(AND(V1305&gt;=40,V1305&lt;75,W1305&gt;=75,W1305&lt;120),0.17,0)+IF(AND(V1305&gt;=40,V1305&lt;75,W1305&gt;=120),0.12,0)+IF(AND(V1305&gt;=75,V1305&lt;175,W1305&lt;35),0.23,0)+IF(AND(V1305&gt;=75,V1305&lt;=175,W1305&gt;=35,W1305&lt;65),0.2,0)+IF(AND(V1305&gt;=75,V1305&lt;=175,W1305&gt;=65,W1305&lt;110),0.17,0)+IF(AND(V1305&gt;=75,V1305&lt;=175,W1305&gt;=110),0.12,0)+IF(AND(V1305&gt;175,W1305&lt;25),0.23,0)+IF(AND(V1305&gt;175,W1305&gt;=25,W1305&lt;55),0.2,0)+IF(AND(V1305&gt;175,W1305&gt;=55,W1305&lt;95),0.17,0)+IF(AND(V1305&gt;175,W1305&gt;=95),0.12,0),
IF(AF1305="DoEVs1",IF(AND(V1305&lt;20,W1305&lt;55),0.3,0)+IF(AND(V1305&lt;20,W1305&gt;=55,W1305&lt;105),0.23,0)+IF(AND(V1305&lt;20,W1305&gt;=105),0.17,0)+IF(AND(V1305&gt;=20,V1305&lt;40,W1305&lt;45),0.3,0)+IF(AND(V1305&gt;=20,V1305&lt;40,W1305&gt;=45,W1305&lt;95),0.23,0)+IF(AND(V1305&gt;=20,V1305&lt;40,W1305&gt;=95,W1305&lt;=150),0.17,0)+IF(AND(V1305&gt;=20,V1305&lt;40,W1305&gt;=150),0.12,0)+IF(AND(V1305&gt;=40,V1305&lt;75,W1305&lt;35),0.3,0)+IF(AND(V1305&gt;=40,V1305&lt;75,W1305&gt;=35,W1305&lt;75),0.23,0)+IF(AND(V1305&gt;=40,V1305&lt;75,W1305&gt;=75,W1305&lt;120),0.17,0)+IF(AND(V1305&gt;=40,V1305&lt;75,W1305&gt;=120),0.12,0)+IF(AND(V1305&gt;=75,V1305&lt;175,W1305&lt;35),0.3,0)+IF(AND(V1305&gt;=75,V1305&lt;=175,W1305&gt;=35,W1305&lt;65),0.23,0)+IF(AND(V1305&gt;=75,V1305&lt;=175,W1305&gt;=65,W1305&lt;110),0.17,0)+IF(AND(V1305&gt;=75,V1305&lt;=175,W1305&gt;=110),0.12,0)+IF(AND(V1305&gt;175,W1305&lt;25),0.3,0)+IF(AND(V1305&gt;175,W1305&gt;=25,W1305&lt;55),0.23,0)+IF(AND(V1305&gt;175,W1305&gt;=55,W1305&lt;95),0.17,0)+IF(AND(V1305&gt;175,W1305&gt;=95),0.12,0),
IF(AF1305="DoEVsu",IF(AND(V1305&lt;20,W1305&lt;55),0.3,0)+IF(AND(V1305&lt;20,W1305&gt;=55,W1305&lt;105),0.23,0)+IF(AND(V1305&lt;20,W1305&gt;=105),0.17,0)+IF(AND(V1305&gt;=20,V1305&lt;40,W1305&lt;45),0.3,0)+IF(AND(V1305&gt;=20,V1305&lt;40,W1305&gt;=45,W1305&lt;95),0.23,0)+IF(AND(V1305&gt;=20,V1305&lt;40,W1305&gt;=95,W1305&lt;=250),0.17,0)+IF(AND(V1305&gt;=20,V1305&lt;40,W1305&gt;=250),0.12,0)+IF(AND(V1305&gt;=40,V1305&lt;75,W1305&lt;35),0.3,0)+IF(AND(V1305&gt;=40,V1305&lt;75,W1305&gt;=35,W1305&lt;75),0.23,0)+IF(AND(V1305&gt;=40,V1305&lt;75,W1305&gt;=75,W1305&lt;120),0.17,0)+IF(AND(V1305&gt;=40,V1305&lt;75,W1305&gt;=120),0.12,0)+IF(AND(V1305&gt;=75,V1305&lt;175,W1305&lt;35),0.3,0)+IF(AND(V1305&gt;=75,V1305&lt;=175,W1305&gt;=35,W1305&lt;65),0.23,0)+IF(AND(V1305&gt;=75,V1305&lt;=175,W1305&gt;=65,W1305&lt;110),0.17,0)+IF(AND(V1305&gt;=75,V1305&lt;=175,W1305&gt;=110),0.12,0)+IF(AND(V1305&gt;175,W1305&lt;25),0.3,0)+IF(AND(V1305&gt;175,W1305&gt;=25,W1305&lt;55),0.23,0)+IF(AND(V1305&gt;175,W1305&gt;=55,W1305&lt;95),0.17,0)+IF(AND(V1305&gt;175,W1305&gt;=95),0.12,0),
IF(AF1305="DoEVni",IF(AND(V1305&lt;20,W1305&lt;55),0.3,0)+IF(AND(V1305&lt;20,W1305&gt;=55,W1305&lt;105),0.23,0)+IF(AND(V1305&lt;20,W1305&gt;=105),0.17,0)+IF(AND(V1305&gt;=20,V1305&lt;40,W1305&lt;45),0.3,0)+IF(AND(V1305&gt;=20,V1305&lt;40,W1305&gt;=45,W1305&lt;95),0.23,0)+IF(AND(V1305&gt;=20,V1305&lt;40,W1305&gt;=95,W1305&lt;=200),0.17,0)+IF(AND(V1305&gt;=20,V1305&lt;40,W1305&gt;=200),0.12,0)+IF(AND(V1305&gt;=40,V1305&lt;75,W1305&lt;35),0.3,0)+IF(AND(V1305&gt;=40,V1305&lt;75,W1305&gt;=35,W1305&lt;75),0.23,0)+IF(AND(V1305&gt;=40,V1305&lt;75,W1305&gt;=75,W1305&lt;120),0.17,0)+IF(AND(V1305&gt;=40,V1305&lt;75,W1305&gt;=120),0.12,0)+IF(AND(V1305&gt;=75,V1305&lt;175,W1305&lt;35),0.3,0)+IF(AND(V1305&gt;=75,V1305&lt;=175,W1305&gt;=35,W1305&lt;65),0.23,0)+IF(AND(V1305&gt;=75,V1305&lt;=175,W1305&gt;=65,W1305&lt;110),0.17,0)+IF(AND(V1305&gt;=75,V1305&lt;=175,W1305&gt;=110),0.12,0)+IF(AND(V1305&gt;175,W1305&lt;25),0.3,0)+IF(AND(V1305&gt;175,W1305&gt;=25,W1305&lt;55),0.23,0)+IF(AND(V1305&gt;175,W1305&gt;=55,W1305&lt;95),0.17,0)+IF(AND(V1305&gt;175,W1305&gt;=95),0.12,0),
IF(AF1305="DoEVLo",IF(AND(V1305&lt;20,W1305&lt;55),0.25,0)+IF(AND(V1305&lt;20,W1305&gt;=55,W1305&lt;105),0.2,0)+IF(AND(V1305&lt;20,W1305&gt;=105),0.15,0)+IF(AND(V1305&gt;=20,V1305&lt;40,W1305&lt;45),0.25,0)+IF(AND(V1305&gt;=20,V1305&lt;40,W1305&gt;=45,W1305&lt;95),0.2,0)+IF(AND(V1305&gt;=20,V1305&lt;40,W1305&gt;=95),0.15,0)+IF(AND(V1305&gt;=40,V1305&lt;75,W1305&lt;35),0.25,0)+IF(AND(V1305&gt;=40,V1305&lt;75,W1305&gt;=35,W1305&lt;75),0.2,0)+IF(AND(V1305&gt;=40,V1305&lt;75,W1305&gt;=75,W1305&lt;120),0.15,0)+IF(AND(V1305&gt;=40,V1305&lt;75,W1305&gt;=120),0.1,0)+IF(AND(V1305&gt;=75,V1305&lt;175,W1305&lt;35),0.25,0)+IF(AND(V1305&gt;=75,V1305&lt;=175,W1305&gt;=35,W1305&lt;65),0.2,0)+IF(AND(V1305&gt;=75,V1305&lt;=175,W1305&gt;=65,W1305&lt;110),0.15,0)+IF(AND(V1305&gt;=75,V1305&lt;=175,W1305&gt;=110),0.1,0)+IF(AND(V1305&gt;175,W1305&lt;25),0.25,0)+IF(AND(V1305&gt;175,W1305&gt;=25,W1305&lt;55),0.2,0)+IF(AND(V1305&gt;175,W1305&gt;=55,W1305&lt;95),0.15,0)+IF(AND(V1305&gt;175,W1305&gt;=95),0.1,0))))))))))))))))))</f>
        <v>0.1</v>
      </c>
      <c r="Y1305" s="30">
        <f>IF(AG1305="None",0,IF(AG1305="Fix5",0.05, IF(AG1305="Fix6.25",0.0625,IF(AG1305="Fix3.75",0.0375,IF(AG1305="Fix10",0.1,IF(AG1305="Fix3",0.03,0))))))</f>
        <v>0</v>
      </c>
      <c r="Z1305" s="35">
        <f>T1305-AA1305-AB1305</f>
        <v>-1765.8</v>
      </c>
      <c r="AA1305" s="29">
        <f>IF(AD1305="EUR",((T1305-R1305)*X1305)*U1305+(R1305*X1305),(T1305*X1305))</f>
        <v>-196.20000000000002</v>
      </c>
      <c r="AB1305" s="36">
        <f>IF(AD1305="EUR",((T1305-R1305)*Y1305)*U1305+(R1305*Y1305),(T1305*Y1305))</f>
        <v>0</v>
      </c>
      <c r="AC1305" s="37" t="b">
        <v>1</v>
      </c>
      <c r="AD1305" s="37" t="s">
        <v>38</v>
      </c>
      <c r="AE1305" s="37" t="s">
        <v>38</v>
      </c>
      <c r="AF1305" s="37" t="str">
        <f t="array" ref="AF1305">INDEX('Deal Info'!D:D, MATCH(A1305,'Deal Info'!A:A, 0))</f>
        <v>Fix10</v>
      </c>
      <c r="AG1305" s="38" t="str">
        <f t="array" ref="AG1305">INDEX('Deal Info'!G:G, MATCH(A1305,'Deal Info'!A:A, 0))</f>
        <v>None</v>
      </c>
    </row>
    <row r="1306" spans="1:33" ht="14.25" hidden="1" x14ac:dyDescent="0.2">
      <c r="A1306" s="18" t="str">
        <f t="array" ref="A1306">IF(G1306='Room Info'!$B$1, INDEX('Room Info'!$A$2:$A2446, MATCH(B1306,'Room Info'!$B$2:$B2446, 0)),IF(G1306='Room Info'!$C$1, INDEX('Room Info'!$A$2:$A2446, MATCH(B1306,'Room Info'!$C$2:$C2446, 0)),IF(G1306='Room Info'!$D$1, INDEX('Room Info'!$A$2:$A2446, MATCH(B1306,'Room Info'!$D$2:$D2446, 0)),IF(G1306='Room Info'!$E$1, INDEX('Room Info'!$A$2:$A2446, MATCH(B1306,'Room Info'!$E$2:$E2446, 0)),IF(G1306='Room Info'!$F$1, INDEX('Room Info'!$A$2:$A2446, MATCH(B1306,'Room Info'!$F$2:$F2446, 0)),IF(G1306='Room Info'!$H$1, INDEX('Room Info'!$A$2:$A2446, MATCH(B1306,'Room Info'!$H$2:$H2446, 0)),IF(G1306='Room Info'!$G$1, INDEX('Room Info'!$A$2:$A2446, MATCH(B1306,'Room Info'!$G$2:$G2446, 0)))))))))</f>
        <v>volkovsky</v>
      </c>
      <c r="B1306" s="45" t="s">
        <v>206</v>
      </c>
      <c r="C1306" s="46">
        <v>44551</v>
      </c>
      <c r="D1306" s="46">
        <v>44581</v>
      </c>
      <c r="E1306" s="47">
        <v>44562</v>
      </c>
      <c r="F1306" s="48" t="s">
        <v>34</v>
      </c>
      <c r="G1306" s="45" t="s">
        <v>35</v>
      </c>
      <c r="H1306" s="49" t="s">
        <v>88</v>
      </c>
      <c r="I1306" s="49" t="s">
        <v>37</v>
      </c>
      <c r="J1306" s="50">
        <v>250</v>
      </c>
      <c r="K1306" s="51">
        <v>671</v>
      </c>
      <c r="L1306" s="52">
        <v>-15500</v>
      </c>
      <c r="M1306" s="53">
        <v>7502</v>
      </c>
      <c r="N1306" s="28">
        <f>K1306*J1306</f>
        <v>167750</v>
      </c>
      <c r="O1306" s="54">
        <v>-11348</v>
      </c>
      <c r="P1306" s="29">
        <v>-16.912071539999999</v>
      </c>
      <c r="Q1306" s="55"/>
      <c r="R1306" s="31">
        <f>M1306+Q1306</f>
        <v>7502</v>
      </c>
      <c r="S1306" s="56">
        <v>-14068</v>
      </c>
      <c r="T1306" s="32">
        <f>R1306+S1306+IF(F1306="Without EV deal",L1306,0)</f>
        <v>-6566</v>
      </c>
      <c r="U1306" s="57"/>
      <c r="V1306" s="58"/>
      <c r="W1306" s="58"/>
      <c r="X1306" s="30">
        <f>IF(AF1306="DoEV",IF(AND(V1306&lt;20,W1306&lt;55),0.3,0)+IF(AND(V1306&lt;20,W1306&gt;=55,W1306&lt;105),0.23,0)+IF(AND(V1306&lt;20,W1306&gt;=105),0.17,0)+IF(AND(V1306&gt;=20,V1306&lt;40,W1306&lt;45),0.3,0)+IF(AND(V1306&gt;=20,V1306&lt;40,W1306&gt;=45,W1306&lt;95),0.23,0)+IF(AND(V1306&gt;=20,V1306&lt;40,W1306&gt;=95),0.17,0)+IF(AND(V1306&gt;=40,V1306&lt;75,W1306&lt;35),0.3,0)+IF(AND(V1306&gt;=40,V1306&lt;75,W1306&gt;=35,W1306&lt;75),0.23,0)+IF(AND(V1306&gt;=40,V1306&lt;75,W1306&gt;=75,W1306&lt;120),0.17,0)+IF(AND(V1306&gt;=40,V1306&lt;75,W1306&gt;=120),0.12,0)+IF(AND(V1306&gt;=75,V1306&lt;175,W1306&lt;35),0.3,0)+IF(AND(V1306&gt;=75,V1306&lt;=175,W1306&gt;=35,W1306&lt;65),0.23,0)+IF(AND(V1306&gt;=75,V1306&lt;=175,W1306&gt;=65,W1306&lt;110),0.17,0)+IF(AND(V1306&gt;=75,V1306&lt;=175,W1306&gt;=110),0.12,0)+IF(AND(V1306&gt;175,W1306&lt;25),0.3,0)+IF(AND(V1306&gt;175,W1306&gt;=25,W1306&lt;55),0.23,0)+IF(AND(V1306&gt;175,W1306&gt;=55,W1306&lt;95),0.17,0)+IF(AND(V1306&gt;175,W1306&gt;=95),0.12,0),
IF(AF1306="Fix15",0.15,
IF(AF1306="Fix18.75",0.1875,
IF(AF1306="Fix11.25",0.1125,
IF(AF1306="Fix10",0.1,
IF(AF1306="Fix9",0.09,
IF(AF1306="Fix19",0.19,
IF(AF1306="DoEV2017",IF(AND(W1306&lt;74),0.2,0)+IF(AND(W1306&gt;=74),0.17,0),
IF(AF1306="SF",IF(AND(V1306&lt;20,W1306&lt;89),0.3,0)+IF(AND(V1306&lt;20,W1306&gt;=89),0.25,0)+IF(AND(V1306&gt;=20,V1306&lt;40,W1306&lt;74),0.3,0)+IF(AND(V1306&gt;=20,V1306&lt;40,W1306&gt;=75),0.22,0)+IF(AND(V1306&gt;=40,V1306&lt;75,W1306&lt;75),0.26,0)+IF(AND(V1306&gt;=40,V1306&lt;75,W1306&gt;=75),0.22,0)+IF(V1306&gt;=75,0.22,0),
IF(AF1306="DoEVold",IF(AND(V1306&lt;40,W1306&lt;35),0.35,0)+IF(AND(V1306&lt;40,W1306&gt;=35,W1306&lt;75),0.25,0)+IF(AND(V1306&lt;40,W1306&gt;=75),0.17,0)+IF(AND(V1306&gt;=40,V1306&lt;75,W1306&lt;25),0.35,0)+IF(AND(V1306&gt;=40,V1306&lt;75,W1306&gt;=25,W1306&lt;65),0.25,0)+IF(AND(V1306&gt;=40,V1306&lt;75,W1306&gt;=65,W1306&lt;100),0.17,0)+IF(AND(V1306&gt;=40,V1306&lt;75,W1306&gt;=100),0.1,0)+IF(AND(V1306&gt;=75,W1306&lt;25),0.35,0)+IF(AND(V1306&gt;=75,W1306&gt;=25,W1306&lt;60),0.25,0)+IF(AND(V1306&gt;=75,W1306&gt;=60,W1306&lt;95),0.17,0)+IF(AND(V1306&gt;=75,W1306&gt;=95),0.1,0),
IF(AF1306="DoEVold15",IF(AND(V1306&lt;=40,W1306&lt;35),0.35,0)+IF(AND(V1306&lt;=40,W1306&gt;=35,W1306&lt;75),0.25,0)+IF(AND(V1306&lt;=40,W1306&gt;=75,W1306&lt;120),0.17,0)+IF(AND(V1306&lt;=40,W1306&gt;=120),0.15,0)+IF(AND(V1306&gt;40,V1306&lt;75,W1306&lt;25),0.35,0)+IF(AND(V1306&gt;=40,V1306&lt;75,W1306&gt;=25,W1306&lt;65),0.25,0)+IF(AND(V1306&gt;=40,V1306&lt;75,W1306&gt;=65,W1306&lt;100),0.17,0)+IF(AND(V1306&gt;=40,V1306&lt;75,W1306&gt;=100),0.1,0)+IF(AND(V1306&gt;=75,W1306&lt;25),0.35,0)+IF(AND(V1306&gt;=75,W1306&gt;=25,W1306&lt;60),0.25,0)+IF(AND(V1306&gt;=75,W1306&gt;=60,W1306&lt;95),0.17,0)+IF(AND(V1306&gt;=75,W1306&gt;=95),0.1,0),
IF(AF1306="DoEVba",IF(AND(V1306&lt;20,W1306&lt;105),0.2,0)+IF(AND(V1306&lt;20,W1306&gt;=105),0.15,0)+IF(AND(V1306&gt;=20,V1306&lt;40,W1306&lt;95),0.2,0)+IF(AND(V1306&gt;=20,V1306&lt;40,W1306&gt;=95,W1306&lt;150),0.15,0)+IF(AND(V1306&gt;=20,V1306&lt;40,W1306&gt;=150),0.12,0)+IF(AND(V1306&gt;=40,V1306&lt;75,W1306&lt;75),0.2,0)+IF(AND(V1306&gt;=40,V1306&lt;75,W1306&gt;=75,W1306&lt;120),0.15,0)+IF(AND(V1306&gt;=40,V1306&lt;75,W1306&gt;=120),0.12,0)+IF(AND(V1306&gt;=75,V1306&lt;175,W1306&lt;65),0.2,0)+IF(AND(V1306&gt;=75,V1306&lt;175,W1306&gt;=65,W1306&lt;110),0.15,0)+IF(AND(V1306&gt;=75,V1306&lt;175,W1306&gt;=110),0.12,0)+IF(AND(V1306&gt;=175,W1306&lt;55),0.2,0)+IF(AND(V1306&gt;=175,W1306&gt;=55,W1306&lt;95),0.15,0)+IF(AND(V1306&gt;=175,W1306&gt;=95),0.12,0),
IF(AF1306="DoEVku",IF(AND(V1306&lt;20,W1306&lt;55),0.23,0)+IF(AND(V1306&lt;20,W1306&gt;=55,W1306&lt;105),0.2,0)+IF(AND(V1306&lt;20,W1306&gt;=105),0.17,0)+IF(AND(V1306&gt;=20,V1306&lt;40,W1306&lt;45),0.23,0)+IF(AND(V1306&gt;=20,V1306&lt;40,W1306&gt;=45,W1306&lt;95),0.2,0)+IF(AND(V1306&gt;=20,V1306&lt;40,W1306&gt;=95,W1306&lt;=150),0.17,0)+IF(AND(V1306&gt;=20,V1306&lt;40,W1306&gt;=150),0.12,0)+IF(AND(V1306&gt;=40,V1306&lt;75,W1306&lt;35),0.23,0)+IF(AND(V1306&gt;=40,V1306&lt;75,W1306&gt;=35,W1306&lt;75),0.2,0)+IF(AND(V1306&gt;=40,V1306&lt;75,W1306&gt;=75,W1306&lt;120),0.17,0)+IF(AND(V1306&gt;=40,V1306&lt;75,W1306&gt;=120),0.12,0)+IF(AND(V1306&gt;=75,V1306&lt;175,W1306&lt;35),0.23,0)+IF(AND(V1306&gt;=75,V1306&lt;=175,W1306&gt;=35,W1306&lt;65),0.2,0)+IF(AND(V1306&gt;=75,V1306&lt;=175,W1306&gt;=65,W1306&lt;110),0.17,0)+IF(AND(V1306&gt;=75,V1306&lt;=175,W1306&gt;=110),0.12,0)+IF(AND(V1306&gt;175,W1306&lt;25),0.23,0)+IF(AND(V1306&gt;175,W1306&gt;=25,W1306&lt;55),0.2,0)+IF(AND(V1306&gt;175,W1306&gt;=55,W1306&lt;95),0.17,0)+IF(AND(V1306&gt;175,W1306&gt;=95),0.12,0),
IF(AF1306="DoEVs1",IF(AND(V1306&lt;20,W1306&lt;55),0.3,0)+IF(AND(V1306&lt;20,W1306&gt;=55,W1306&lt;105),0.23,0)+IF(AND(V1306&lt;20,W1306&gt;=105),0.17,0)+IF(AND(V1306&gt;=20,V1306&lt;40,W1306&lt;45),0.3,0)+IF(AND(V1306&gt;=20,V1306&lt;40,W1306&gt;=45,W1306&lt;95),0.23,0)+IF(AND(V1306&gt;=20,V1306&lt;40,W1306&gt;=95,W1306&lt;=150),0.17,0)+IF(AND(V1306&gt;=20,V1306&lt;40,W1306&gt;=150),0.12,0)+IF(AND(V1306&gt;=40,V1306&lt;75,W1306&lt;35),0.3,0)+IF(AND(V1306&gt;=40,V1306&lt;75,W1306&gt;=35,W1306&lt;75),0.23,0)+IF(AND(V1306&gt;=40,V1306&lt;75,W1306&gt;=75,W1306&lt;120),0.17,0)+IF(AND(V1306&gt;=40,V1306&lt;75,W1306&gt;=120),0.12,0)+IF(AND(V1306&gt;=75,V1306&lt;175,W1306&lt;35),0.3,0)+IF(AND(V1306&gt;=75,V1306&lt;=175,W1306&gt;=35,W1306&lt;65),0.23,0)+IF(AND(V1306&gt;=75,V1306&lt;=175,W1306&gt;=65,W1306&lt;110),0.17,0)+IF(AND(V1306&gt;=75,V1306&lt;=175,W1306&gt;=110),0.12,0)+IF(AND(V1306&gt;175,W1306&lt;25),0.3,0)+IF(AND(V1306&gt;175,W1306&gt;=25,W1306&lt;55),0.23,0)+IF(AND(V1306&gt;175,W1306&gt;=55,W1306&lt;95),0.17,0)+IF(AND(V1306&gt;175,W1306&gt;=95),0.12,0),
IF(AF1306="DoEVsu",IF(AND(V1306&lt;20,W1306&lt;55),0.3,0)+IF(AND(V1306&lt;20,W1306&gt;=55,W1306&lt;105),0.23,0)+IF(AND(V1306&lt;20,W1306&gt;=105),0.17,0)+IF(AND(V1306&gt;=20,V1306&lt;40,W1306&lt;45),0.3,0)+IF(AND(V1306&gt;=20,V1306&lt;40,W1306&gt;=45,W1306&lt;95),0.23,0)+IF(AND(V1306&gt;=20,V1306&lt;40,W1306&gt;=95,W1306&lt;=250),0.17,0)+IF(AND(V1306&gt;=20,V1306&lt;40,W1306&gt;=250),0.12,0)+IF(AND(V1306&gt;=40,V1306&lt;75,W1306&lt;35),0.3,0)+IF(AND(V1306&gt;=40,V1306&lt;75,W1306&gt;=35,W1306&lt;75),0.23,0)+IF(AND(V1306&gt;=40,V1306&lt;75,W1306&gt;=75,W1306&lt;120),0.17,0)+IF(AND(V1306&gt;=40,V1306&lt;75,W1306&gt;=120),0.12,0)+IF(AND(V1306&gt;=75,V1306&lt;175,W1306&lt;35),0.3,0)+IF(AND(V1306&gt;=75,V1306&lt;=175,W1306&gt;=35,W1306&lt;65),0.23,0)+IF(AND(V1306&gt;=75,V1306&lt;=175,W1306&gt;=65,W1306&lt;110),0.17,0)+IF(AND(V1306&gt;=75,V1306&lt;=175,W1306&gt;=110),0.12,0)+IF(AND(V1306&gt;175,W1306&lt;25),0.3,0)+IF(AND(V1306&gt;175,W1306&gt;=25,W1306&lt;55),0.23,0)+IF(AND(V1306&gt;175,W1306&gt;=55,W1306&lt;95),0.17,0)+IF(AND(V1306&gt;175,W1306&gt;=95),0.12,0),
IF(AF1306="DoEVni",IF(AND(V1306&lt;20,W1306&lt;55),0.3,0)+IF(AND(V1306&lt;20,W1306&gt;=55,W1306&lt;105),0.23,0)+IF(AND(V1306&lt;20,W1306&gt;=105),0.17,0)+IF(AND(V1306&gt;=20,V1306&lt;40,W1306&lt;45),0.3,0)+IF(AND(V1306&gt;=20,V1306&lt;40,W1306&gt;=45,W1306&lt;95),0.23,0)+IF(AND(V1306&gt;=20,V1306&lt;40,W1306&gt;=95,W1306&lt;=200),0.17,0)+IF(AND(V1306&gt;=20,V1306&lt;40,W1306&gt;=200),0.12,0)+IF(AND(V1306&gt;=40,V1306&lt;75,W1306&lt;35),0.3,0)+IF(AND(V1306&gt;=40,V1306&lt;75,W1306&gt;=35,W1306&lt;75),0.23,0)+IF(AND(V1306&gt;=40,V1306&lt;75,W1306&gt;=75,W1306&lt;120),0.17,0)+IF(AND(V1306&gt;=40,V1306&lt;75,W1306&gt;=120),0.12,0)+IF(AND(V1306&gt;=75,V1306&lt;175,W1306&lt;35),0.3,0)+IF(AND(V1306&gt;=75,V1306&lt;=175,W1306&gt;=35,W1306&lt;65),0.23,0)+IF(AND(V1306&gt;=75,V1306&lt;=175,W1306&gt;=65,W1306&lt;110),0.17,0)+IF(AND(V1306&gt;=75,V1306&lt;=175,W1306&gt;=110),0.12,0)+IF(AND(V1306&gt;175,W1306&lt;25),0.3,0)+IF(AND(V1306&gt;175,W1306&gt;=25,W1306&lt;55),0.23,0)+IF(AND(V1306&gt;175,W1306&gt;=55,W1306&lt;95),0.17,0)+IF(AND(V1306&gt;175,W1306&gt;=95),0.12,0),
IF(AF1306="DoEVLo",IF(AND(V1306&lt;20,W1306&lt;55),0.25,0)+IF(AND(V1306&lt;20,W1306&gt;=55,W1306&lt;105),0.2,0)+IF(AND(V1306&lt;20,W1306&gt;=105),0.15,0)+IF(AND(V1306&gt;=20,V1306&lt;40,W1306&lt;45),0.25,0)+IF(AND(V1306&gt;=20,V1306&lt;40,W1306&gt;=45,W1306&lt;95),0.2,0)+IF(AND(V1306&gt;=20,V1306&lt;40,W1306&gt;=95),0.15,0)+IF(AND(V1306&gt;=40,V1306&lt;75,W1306&lt;35),0.25,0)+IF(AND(V1306&gt;=40,V1306&lt;75,W1306&gt;=35,W1306&lt;75),0.2,0)+IF(AND(V1306&gt;=40,V1306&lt;75,W1306&gt;=75,W1306&lt;120),0.15,0)+IF(AND(V1306&gt;=40,V1306&lt;75,W1306&gt;=120),0.1,0)+IF(AND(V1306&gt;=75,V1306&lt;175,W1306&lt;35),0.25,0)+IF(AND(V1306&gt;=75,V1306&lt;=175,W1306&gt;=35,W1306&lt;65),0.2,0)+IF(AND(V1306&gt;=75,V1306&lt;=175,W1306&gt;=65,W1306&lt;110),0.15,0)+IF(AND(V1306&gt;=75,V1306&lt;=175,W1306&gt;=110),0.1,0)+IF(AND(V1306&gt;175,W1306&lt;25),0.25,0)+IF(AND(V1306&gt;175,W1306&gt;=25,W1306&lt;55),0.2,0)+IF(AND(V1306&gt;175,W1306&gt;=55,W1306&lt;95),0.15,0)+IF(AND(V1306&gt;175,W1306&gt;=95),0.1,0))))))))))))))))))</f>
        <v>0.1</v>
      </c>
      <c r="Y1306" s="30">
        <f>IF(AG1306="None",0,IF(AG1306="Fix5",0.05, IF(AG1306="Fix6.25",0.0625,IF(AG1306="Fix3.75",0.0375,IF(AG1306="Fix10",0.1,IF(AG1306="Fix3",0.03,0))))))</f>
        <v>0</v>
      </c>
      <c r="Z1306" s="35">
        <f>T1306-AA1306-AB1306</f>
        <v>-5909.4</v>
      </c>
      <c r="AA1306" s="29">
        <f>IF(AD1306="EUR",((T1306-R1306)*X1306)*U1306+(R1306*X1306),(T1306*X1306))</f>
        <v>-656.6</v>
      </c>
      <c r="AB1306" s="36">
        <f>IF(AD1306="EUR",((T1306-R1306)*Y1306)*U1306+(R1306*Y1306),(T1306*Y1306))</f>
        <v>0</v>
      </c>
      <c r="AC1306" s="37" t="b">
        <v>1</v>
      </c>
      <c r="AD1306" s="37" t="s">
        <v>38</v>
      </c>
      <c r="AE1306" s="37" t="s">
        <v>38</v>
      </c>
      <c r="AF1306" s="37" t="str">
        <f t="array" ref="AF1306">INDEX('Deal Info'!D:D, MATCH(A1306,'Deal Info'!A:A, 0))</f>
        <v>Fix10</v>
      </c>
      <c r="AG1306" s="38" t="str">
        <f t="array" ref="AG1306">INDEX('Deal Info'!G:G, MATCH(A1306,'Deal Info'!A:A, 0))</f>
        <v>None</v>
      </c>
    </row>
    <row r="1307" spans="1:33" ht="14.25" hidden="1" x14ac:dyDescent="0.2">
      <c r="A1307" s="18" t="str">
        <f t="array" ref="A1307">IF(G1307='Room Info'!$B$1, INDEX('Room Info'!$A$2:$A2446, MATCH(B1307,'Room Info'!$B$2:$B2446, 0)),IF(G1307='Room Info'!$C$1, INDEX('Room Info'!$A$2:$A2446, MATCH(B1307,'Room Info'!$C$2:$C2446, 0)),IF(G1307='Room Info'!$D$1, INDEX('Room Info'!$A$2:$A2446, MATCH(B1307,'Room Info'!$D$2:$D2446, 0)),IF(G1307='Room Info'!$E$1, INDEX('Room Info'!$A$2:$A2446, MATCH(B1307,'Room Info'!$E$2:$E2446, 0)),IF(G1307='Room Info'!$F$1, INDEX('Room Info'!$A$2:$A2446, MATCH(B1307,'Room Info'!$F$2:$F2446, 0)),IF(G1307='Room Info'!$H$1, INDEX('Room Info'!$A$2:$A2446, MATCH(B1307,'Room Info'!$H$2:$H2446, 0)),IF(G1307='Room Info'!$G$1, INDEX('Room Info'!$A$2:$A2446, MATCH(B1307,'Room Info'!$G$2:$G2446, 0)))))))))</f>
        <v>volkovsky</v>
      </c>
      <c r="B1307" s="45" t="s">
        <v>206</v>
      </c>
      <c r="C1307" s="46">
        <v>44551</v>
      </c>
      <c r="D1307" s="46">
        <v>44581</v>
      </c>
      <c r="E1307" s="47">
        <v>44562</v>
      </c>
      <c r="F1307" s="48" t="s">
        <v>34</v>
      </c>
      <c r="G1307" s="45" t="s">
        <v>35</v>
      </c>
      <c r="H1307" s="49" t="s">
        <v>148</v>
      </c>
      <c r="I1307" s="49" t="s">
        <v>44</v>
      </c>
      <c r="J1307" s="50">
        <v>250</v>
      </c>
      <c r="K1307" s="51">
        <v>205</v>
      </c>
      <c r="L1307" s="52">
        <v>-3250</v>
      </c>
      <c r="M1307" s="53">
        <v>2209</v>
      </c>
      <c r="N1307" s="28">
        <f>K1307*J1307</f>
        <v>51250</v>
      </c>
      <c r="O1307" s="54">
        <v>1510</v>
      </c>
      <c r="P1307" s="29">
        <v>7.3658536589999999</v>
      </c>
      <c r="Q1307" s="55"/>
      <c r="R1307" s="31">
        <f>M1307+Q1307</f>
        <v>2209</v>
      </c>
      <c r="S1307" s="56">
        <v>-1466</v>
      </c>
      <c r="T1307" s="32">
        <f>R1307+S1307+IF(F1307="Without EV deal",L1307,0)</f>
        <v>743</v>
      </c>
      <c r="U1307" s="57"/>
      <c r="V1307" s="58"/>
      <c r="W1307" s="58"/>
      <c r="X1307" s="30">
        <f>IF(AF1307="DoEV",IF(AND(V1307&lt;20,W1307&lt;55),0.3,0)+IF(AND(V1307&lt;20,W1307&gt;=55,W1307&lt;105),0.23,0)+IF(AND(V1307&lt;20,W1307&gt;=105),0.17,0)+IF(AND(V1307&gt;=20,V1307&lt;40,W1307&lt;45),0.3,0)+IF(AND(V1307&gt;=20,V1307&lt;40,W1307&gt;=45,W1307&lt;95),0.23,0)+IF(AND(V1307&gt;=20,V1307&lt;40,W1307&gt;=95),0.17,0)+IF(AND(V1307&gt;=40,V1307&lt;75,W1307&lt;35),0.3,0)+IF(AND(V1307&gt;=40,V1307&lt;75,W1307&gt;=35,W1307&lt;75),0.23,0)+IF(AND(V1307&gt;=40,V1307&lt;75,W1307&gt;=75,W1307&lt;120),0.17,0)+IF(AND(V1307&gt;=40,V1307&lt;75,W1307&gt;=120),0.12,0)+IF(AND(V1307&gt;=75,V1307&lt;175,W1307&lt;35),0.3,0)+IF(AND(V1307&gt;=75,V1307&lt;=175,W1307&gt;=35,W1307&lt;65),0.23,0)+IF(AND(V1307&gt;=75,V1307&lt;=175,W1307&gt;=65,W1307&lt;110),0.17,0)+IF(AND(V1307&gt;=75,V1307&lt;=175,W1307&gt;=110),0.12,0)+IF(AND(V1307&gt;175,W1307&lt;25),0.3,0)+IF(AND(V1307&gt;175,W1307&gt;=25,W1307&lt;55),0.23,0)+IF(AND(V1307&gt;175,W1307&gt;=55,W1307&lt;95),0.17,0)+IF(AND(V1307&gt;175,W1307&gt;=95),0.12,0),
IF(AF1307="Fix15",0.15,
IF(AF1307="Fix18.75",0.1875,
IF(AF1307="Fix11.25",0.1125,
IF(AF1307="Fix10",0.1,
IF(AF1307="Fix9",0.09,
IF(AF1307="Fix19",0.19,
IF(AF1307="DoEV2017",IF(AND(W1307&lt;74),0.2,0)+IF(AND(W1307&gt;=74),0.17,0),
IF(AF1307="SF",IF(AND(V1307&lt;20,W1307&lt;89),0.3,0)+IF(AND(V1307&lt;20,W1307&gt;=89),0.25,0)+IF(AND(V1307&gt;=20,V1307&lt;40,W1307&lt;74),0.3,0)+IF(AND(V1307&gt;=20,V1307&lt;40,W1307&gt;=75),0.22,0)+IF(AND(V1307&gt;=40,V1307&lt;75,W1307&lt;75),0.26,0)+IF(AND(V1307&gt;=40,V1307&lt;75,W1307&gt;=75),0.22,0)+IF(V1307&gt;=75,0.22,0),
IF(AF1307="DoEVold",IF(AND(V1307&lt;40,W1307&lt;35),0.35,0)+IF(AND(V1307&lt;40,W1307&gt;=35,W1307&lt;75),0.25,0)+IF(AND(V1307&lt;40,W1307&gt;=75),0.17,0)+IF(AND(V1307&gt;=40,V1307&lt;75,W1307&lt;25),0.35,0)+IF(AND(V1307&gt;=40,V1307&lt;75,W1307&gt;=25,W1307&lt;65),0.25,0)+IF(AND(V1307&gt;=40,V1307&lt;75,W1307&gt;=65,W1307&lt;100),0.17,0)+IF(AND(V1307&gt;=40,V1307&lt;75,W1307&gt;=100),0.1,0)+IF(AND(V1307&gt;=75,W1307&lt;25),0.35,0)+IF(AND(V1307&gt;=75,W1307&gt;=25,W1307&lt;60),0.25,0)+IF(AND(V1307&gt;=75,W1307&gt;=60,W1307&lt;95),0.17,0)+IF(AND(V1307&gt;=75,W1307&gt;=95),0.1,0),
IF(AF1307="DoEVold15",IF(AND(V1307&lt;=40,W1307&lt;35),0.35,0)+IF(AND(V1307&lt;=40,W1307&gt;=35,W1307&lt;75),0.25,0)+IF(AND(V1307&lt;=40,W1307&gt;=75,W1307&lt;120),0.17,0)+IF(AND(V1307&lt;=40,W1307&gt;=120),0.15,0)+IF(AND(V1307&gt;40,V1307&lt;75,W1307&lt;25),0.35,0)+IF(AND(V1307&gt;=40,V1307&lt;75,W1307&gt;=25,W1307&lt;65),0.25,0)+IF(AND(V1307&gt;=40,V1307&lt;75,W1307&gt;=65,W1307&lt;100),0.17,0)+IF(AND(V1307&gt;=40,V1307&lt;75,W1307&gt;=100),0.1,0)+IF(AND(V1307&gt;=75,W1307&lt;25),0.35,0)+IF(AND(V1307&gt;=75,W1307&gt;=25,W1307&lt;60),0.25,0)+IF(AND(V1307&gt;=75,W1307&gt;=60,W1307&lt;95),0.17,0)+IF(AND(V1307&gt;=75,W1307&gt;=95),0.1,0),
IF(AF1307="DoEVba",IF(AND(V1307&lt;20,W1307&lt;105),0.2,0)+IF(AND(V1307&lt;20,W1307&gt;=105),0.15,0)+IF(AND(V1307&gt;=20,V1307&lt;40,W1307&lt;95),0.2,0)+IF(AND(V1307&gt;=20,V1307&lt;40,W1307&gt;=95,W1307&lt;150),0.15,0)+IF(AND(V1307&gt;=20,V1307&lt;40,W1307&gt;=150),0.12,0)+IF(AND(V1307&gt;=40,V1307&lt;75,W1307&lt;75),0.2,0)+IF(AND(V1307&gt;=40,V1307&lt;75,W1307&gt;=75,W1307&lt;120),0.15,0)+IF(AND(V1307&gt;=40,V1307&lt;75,W1307&gt;=120),0.12,0)+IF(AND(V1307&gt;=75,V1307&lt;175,W1307&lt;65),0.2,0)+IF(AND(V1307&gt;=75,V1307&lt;175,W1307&gt;=65,W1307&lt;110),0.15,0)+IF(AND(V1307&gt;=75,V1307&lt;175,W1307&gt;=110),0.12,0)+IF(AND(V1307&gt;=175,W1307&lt;55),0.2,0)+IF(AND(V1307&gt;=175,W1307&gt;=55,W1307&lt;95),0.15,0)+IF(AND(V1307&gt;=175,W1307&gt;=95),0.12,0),
IF(AF1307="DoEVku",IF(AND(V1307&lt;20,W1307&lt;55),0.23,0)+IF(AND(V1307&lt;20,W1307&gt;=55,W1307&lt;105),0.2,0)+IF(AND(V1307&lt;20,W1307&gt;=105),0.17,0)+IF(AND(V1307&gt;=20,V1307&lt;40,W1307&lt;45),0.23,0)+IF(AND(V1307&gt;=20,V1307&lt;40,W1307&gt;=45,W1307&lt;95),0.2,0)+IF(AND(V1307&gt;=20,V1307&lt;40,W1307&gt;=95,W1307&lt;=150),0.17,0)+IF(AND(V1307&gt;=20,V1307&lt;40,W1307&gt;=150),0.12,0)+IF(AND(V1307&gt;=40,V1307&lt;75,W1307&lt;35),0.23,0)+IF(AND(V1307&gt;=40,V1307&lt;75,W1307&gt;=35,W1307&lt;75),0.2,0)+IF(AND(V1307&gt;=40,V1307&lt;75,W1307&gt;=75,W1307&lt;120),0.17,0)+IF(AND(V1307&gt;=40,V1307&lt;75,W1307&gt;=120),0.12,0)+IF(AND(V1307&gt;=75,V1307&lt;175,W1307&lt;35),0.23,0)+IF(AND(V1307&gt;=75,V1307&lt;=175,W1307&gt;=35,W1307&lt;65),0.2,0)+IF(AND(V1307&gt;=75,V1307&lt;=175,W1307&gt;=65,W1307&lt;110),0.17,0)+IF(AND(V1307&gt;=75,V1307&lt;=175,W1307&gt;=110),0.12,0)+IF(AND(V1307&gt;175,W1307&lt;25),0.23,0)+IF(AND(V1307&gt;175,W1307&gt;=25,W1307&lt;55),0.2,0)+IF(AND(V1307&gt;175,W1307&gt;=55,W1307&lt;95),0.17,0)+IF(AND(V1307&gt;175,W1307&gt;=95),0.12,0),
IF(AF1307="DoEVs1",IF(AND(V1307&lt;20,W1307&lt;55),0.3,0)+IF(AND(V1307&lt;20,W1307&gt;=55,W1307&lt;105),0.23,0)+IF(AND(V1307&lt;20,W1307&gt;=105),0.17,0)+IF(AND(V1307&gt;=20,V1307&lt;40,W1307&lt;45),0.3,0)+IF(AND(V1307&gt;=20,V1307&lt;40,W1307&gt;=45,W1307&lt;95),0.23,0)+IF(AND(V1307&gt;=20,V1307&lt;40,W1307&gt;=95,W1307&lt;=150),0.17,0)+IF(AND(V1307&gt;=20,V1307&lt;40,W1307&gt;=150),0.12,0)+IF(AND(V1307&gt;=40,V1307&lt;75,W1307&lt;35),0.3,0)+IF(AND(V1307&gt;=40,V1307&lt;75,W1307&gt;=35,W1307&lt;75),0.23,0)+IF(AND(V1307&gt;=40,V1307&lt;75,W1307&gt;=75,W1307&lt;120),0.17,0)+IF(AND(V1307&gt;=40,V1307&lt;75,W1307&gt;=120),0.12,0)+IF(AND(V1307&gt;=75,V1307&lt;175,W1307&lt;35),0.3,0)+IF(AND(V1307&gt;=75,V1307&lt;=175,W1307&gt;=35,W1307&lt;65),0.23,0)+IF(AND(V1307&gt;=75,V1307&lt;=175,W1307&gt;=65,W1307&lt;110),0.17,0)+IF(AND(V1307&gt;=75,V1307&lt;=175,W1307&gt;=110),0.12,0)+IF(AND(V1307&gt;175,W1307&lt;25),0.3,0)+IF(AND(V1307&gt;175,W1307&gt;=25,W1307&lt;55),0.23,0)+IF(AND(V1307&gt;175,W1307&gt;=55,W1307&lt;95),0.17,0)+IF(AND(V1307&gt;175,W1307&gt;=95),0.12,0),
IF(AF1307="DoEVsu",IF(AND(V1307&lt;20,W1307&lt;55),0.3,0)+IF(AND(V1307&lt;20,W1307&gt;=55,W1307&lt;105),0.23,0)+IF(AND(V1307&lt;20,W1307&gt;=105),0.17,0)+IF(AND(V1307&gt;=20,V1307&lt;40,W1307&lt;45),0.3,0)+IF(AND(V1307&gt;=20,V1307&lt;40,W1307&gt;=45,W1307&lt;95),0.23,0)+IF(AND(V1307&gt;=20,V1307&lt;40,W1307&gt;=95,W1307&lt;=250),0.17,0)+IF(AND(V1307&gt;=20,V1307&lt;40,W1307&gt;=250),0.12,0)+IF(AND(V1307&gt;=40,V1307&lt;75,W1307&lt;35),0.3,0)+IF(AND(V1307&gt;=40,V1307&lt;75,W1307&gt;=35,W1307&lt;75),0.23,0)+IF(AND(V1307&gt;=40,V1307&lt;75,W1307&gt;=75,W1307&lt;120),0.17,0)+IF(AND(V1307&gt;=40,V1307&lt;75,W1307&gt;=120),0.12,0)+IF(AND(V1307&gt;=75,V1307&lt;175,W1307&lt;35),0.3,0)+IF(AND(V1307&gt;=75,V1307&lt;=175,W1307&gt;=35,W1307&lt;65),0.23,0)+IF(AND(V1307&gt;=75,V1307&lt;=175,W1307&gt;=65,W1307&lt;110),0.17,0)+IF(AND(V1307&gt;=75,V1307&lt;=175,W1307&gt;=110),0.12,0)+IF(AND(V1307&gt;175,W1307&lt;25),0.3,0)+IF(AND(V1307&gt;175,W1307&gt;=25,W1307&lt;55),0.23,0)+IF(AND(V1307&gt;175,W1307&gt;=55,W1307&lt;95),0.17,0)+IF(AND(V1307&gt;175,W1307&gt;=95),0.12,0),
IF(AF1307="DoEVni",IF(AND(V1307&lt;20,W1307&lt;55),0.3,0)+IF(AND(V1307&lt;20,W1307&gt;=55,W1307&lt;105),0.23,0)+IF(AND(V1307&lt;20,W1307&gt;=105),0.17,0)+IF(AND(V1307&gt;=20,V1307&lt;40,W1307&lt;45),0.3,0)+IF(AND(V1307&gt;=20,V1307&lt;40,W1307&gt;=45,W1307&lt;95),0.23,0)+IF(AND(V1307&gt;=20,V1307&lt;40,W1307&gt;=95,W1307&lt;=200),0.17,0)+IF(AND(V1307&gt;=20,V1307&lt;40,W1307&gt;=200),0.12,0)+IF(AND(V1307&gt;=40,V1307&lt;75,W1307&lt;35),0.3,0)+IF(AND(V1307&gt;=40,V1307&lt;75,W1307&gt;=35,W1307&lt;75),0.23,0)+IF(AND(V1307&gt;=40,V1307&lt;75,W1307&gt;=75,W1307&lt;120),0.17,0)+IF(AND(V1307&gt;=40,V1307&lt;75,W1307&gt;=120),0.12,0)+IF(AND(V1307&gt;=75,V1307&lt;175,W1307&lt;35),0.3,0)+IF(AND(V1307&gt;=75,V1307&lt;=175,W1307&gt;=35,W1307&lt;65),0.23,0)+IF(AND(V1307&gt;=75,V1307&lt;=175,W1307&gt;=65,W1307&lt;110),0.17,0)+IF(AND(V1307&gt;=75,V1307&lt;=175,W1307&gt;=110),0.12,0)+IF(AND(V1307&gt;175,W1307&lt;25),0.3,0)+IF(AND(V1307&gt;175,W1307&gt;=25,W1307&lt;55),0.23,0)+IF(AND(V1307&gt;175,W1307&gt;=55,W1307&lt;95),0.17,0)+IF(AND(V1307&gt;175,W1307&gt;=95),0.12,0),
IF(AF1307="DoEVLo",IF(AND(V1307&lt;20,W1307&lt;55),0.25,0)+IF(AND(V1307&lt;20,W1307&gt;=55,W1307&lt;105),0.2,0)+IF(AND(V1307&lt;20,W1307&gt;=105),0.15,0)+IF(AND(V1307&gt;=20,V1307&lt;40,W1307&lt;45),0.25,0)+IF(AND(V1307&gt;=20,V1307&lt;40,W1307&gt;=45,W1307&lt;95),0.2,0)+IF(AND(V1307&gt;=20,V1307&lt;40,W1307&gt;=95),0.15,0)+IF(AND(V1307&gt;=40,V1307&lt;75,W1307&lt;35),0.25,0)+IF(AND(V1307&gt;=40,V1307&lt;75,W1307&gt;=35,W1307&lt;75),0.2,0)+IF(AND(V1307&gt;=40,V1307&lt;75,W1307&gt;=75,W1307&lt;120),0.15,0)+IF(AND(V1307&gt;=40,V1307&lt;75,W1307&gt;=120),0.1,0)+IF(AND(V1307&gt;=75,V1307&lt;175,W1307&lt;35),0.25,0)+IF(AND(V1307&gt;=75,V1307&lt;=175,W1307&gt;=35,W1307&lt;65),0.2,0)+IF(AND(V1307&gt;=75,V1307&lt;=175,W1307&gt;=65,W1307&lt;110),0.15,0)+IF(AND(V1307&gt;=75,V1307&lt;=175,W1307&gt;=110),0.1,0)+IF(AND(V1307&gt;175,W1307&lt;25),0.25,0)+IF(AND(V1307&gt;175,W1307&gt;=25,W1307&lt;55),0.2,0)+IF(AND(V1307&gt;175,W1307&gt;=55,W1307&lt;95),0.15,0)+IF(AND(V1307&gt;175,W1307&gt;=95),0.1,0))))))))))))))))))</f>
        <v>0.1</v>
      </c>
      <c r="Y1307" s="30">
        <f>IF(AG1307="None",0,IF(AG1307="Fix5",0.05, IF(AG1307="Fix6.25",0.0625,IF(AG1307="Fix3.75",0.0375,IF(AG1307="Fix10",0.1,IF(AG1307="Fix3",0.03,0))))))</f>
        <v>0</v>
      </c>
      <c r="Z1307" s="35">
        <f>T1307-AA1307-AB1307</f>
        <v>668.7</v>
      </c>
      <c r="AA1307" s="29">
        <f>IF(AD1307="EUR",((T1307-R1307)*X1307)*U1307+(R1307*X1307),(T1307*X1307))</f>
        <v>74.3</v>
      </c>
      <c r="AB1307" s="36">
        <f>IF(AD1307="EUR",((T1307-R1307)*Y1307)*U1307+(R1307*Y1307),(T1307*Y1307))</f>
        <v>0</v>
      </c>
      <c r="AC1307" s="37" t="b">
        <v>1</v>
      </c>
      <c r="AD1307" s="37" t="s">
        <v>38</v>
      </c>
      <c r="AE1307" s="37" t="s">
        <v>38</v>
      </c>
      <c r="AF1307" s="37" t="str">
        <f t="array" ref="AF1307">INDEX('Deal Info'!D:D, MATCH(A1307,'Deal Info'!A:A, 0))</f>
        <v>Fix10</v>
      </c>
      <c r="AG1307" s="38" t="str">
        <f t="array" ref="AG1307">INDEX('Deal Info'!G:G, MATCH(A1307,'Deal Info'!A:A, 0))</f>
        <v>None</v>
      </c>
    </row>
    <row r="1308" spans="1:33" ht="14.25" hidden="1" x14ac:dyDescent="0.2">
      <c r="A1308" s="18" t="str">
        <f t="array" ref="A1308">IF(G1308='Room Info'!$B$1, INDEX('Room Info'!$A$2:$A2446, MATCH(B1308,'Room Info'!$B$2:$B2446, 0)),IF(G1308='Room Info'!$C$1, INDEX('Room Info'!$A$2:$A2446, MATCH(B1308,'Room Info'!$C$2:$C2446, 0)),IF(G1308='Room Info'!$D$1, INDEX('Room Info'!$A$2:$A2446, MATCH(B1308,'Room Info'!$D$2:$D2446, 0)),IF(G1308='Room Info'!$E$1, INDEX('Room Info'!$A$2:$A2446, MATCH(B1308,'Room Info'!$E$2:$E2446, 0)),IF(G1308='Room Info'!$F$1, INDEX('Room Info'!$A$2:$A2446, MATCH(B1308,'Room Info'!$F$2:$F2446, 0)),IF(G1308='Room Info'!$H$1, INDEX('Room Info'!$A$2:$A2446, MATCH(B1308,'Room Info'!$H$2:$H2446, 0)),IF(G1308='Room Info'!$G$1, INDEX('Room Info'!$A$2:$A2446, MATCH(B1308,'Room Info'!$G$2:$G2446, 0)))))))))</f>
        <v>volkovsky</v>
      </c>
      <c r="B1308" s="45" t="s">
        <v>206</v>
      </c>
      <c r="C1308" s="46">
        <v>44551</v>
      </c>
      <c r="D1308" s="46">
        <v>44581</v>
      </c>
      <c r="E1308" s="47">
        <v>44562</v>
      </c>
      <c r="F1308" s="45" t="s">
        <v>34</v>
      </c>
      <c r="G1308" s="54" t="s">
        <v>35</v>
      </c>
      <c r="H1308" s="49" t="s">
        <v>142</v>
      </c>
      <c r="I1308" s="49" t="s">
        <v>37</v>
      </c>
      <c r="J1308" s="50">
        <v>500</v>
      </c>
      <c r="K1308" s="51">
        <v>19</v>
      </c>
      <c r="L1308" s="52">
        <v>2500</v>
      </c>
      <c r="M1308" s="53">
        <v>794</v>
      </c>
      <c r="N1308" s="28">
        <f>K1308*J1308</f>
        <v>9500</v>
      </c>
      <c r="O1308" s="54">
        <v>-1652</v>
      </c>
      <c r="P1308" s="29">
        <v>-86.947368420000004</v>
      </c>
      <c r="Q1308" s="55"/>
      <c r="R1308" s="31">
        <f>M1308+Q1308</f>
        <v>794</v>
      </c>
      <c r="S1308" s="56">
        <v>-2042</v>
      </c>
      <c r="T1308" s="32">
        <f>R1308+S1308+IF(F1308="Without EV deal",L1308,0)</f>
        <v>-1248</v>
      </c>
      <c r="U1308" s="57"/>
      <c r="V1308" s="58"/>
      <c r="W1308" s="58"/>
      <c r="X1308" s="30">
        <f>IF(AF1308="DoEV",IF(AND(V1308&lt;20,W1308&lt;55),0.3,0)+IF(AND(V1308&lt;20,W1308&gt;=55,W1308&lt;105),0.23,0)+IF(AND(V1308&lt;20,W1308&gt;=105),0.17,0)+IF(AND(V1308&gt;=20,V1308&lt;40,W1308&lt;45),0.3,0)+IF(AND(V1308&gt;=20,V1308&lt;40,W1308&gt;=45,W1308&lt;95),0.23,0)+IF(AND(V1308&gt;=20,V1308&lt;40,W1308&gt;=95),0.17,0)+IF(AND(V1308&gt;=40,V1308&lt;75,W1308&lt;35),0.3,0)+IF(AND(V1308&gt;=40,V1308&lt;75,W1308&gt;=35,W1308&lt;75),0.23,0)+IF(AND(V1308&gt;=40,V1308&lt;75,W1308&gt;=75,W1308&lt;120),0.17,0)+IF(AND(V1308&gt;=40,V1308&lt;75,W1308&gt;=120),0.12,0)+IF(AND(V1308&gt;=75,V1308&lt;175,W1308&lt;35),0.3,0)+IF(AND(V1308&gt;=75,V1308&lt;=175,W1308&gt;=35,W1308&lt;65),0.23,0)+IF(AND(V1308&gt;=75,V1308&lt;=175,W1308&gt;=65,W1308&lt;110),0.17,0)+IF(AND(V1308&gt;=75,V1308&lt;=175,W1308&gt;=110),0.12,0)+IF(AND(V1308&gt;175,W1308&lt;25),0.3,0)+IF(AND(V1308&gt;175,W1308&gt;=25,W1308&lt;55),0.23,0)+IF(AND(V1308&gt;175,W1308&gt;=55,W1308&lt;95),0.17,0)+IF(AND(V1308&gt;175,W1308&gt;=95),0.12,0),
IF(AF1308="Fix15",0.15,
IF(AF1308="Fix18.75",0.1875,
IF(AF1308="Fix11.25",0.1125,
IF(AF1308="Fix10",0.1,
IF(AF1308="Fix9",0.09,
IF(AF1308="Fix19",0.19,
IF(AF1308="DoEV2017",IF(AND(W1308&lt;74),0.2,0)+IF(AND(W1308&gt;=74),0.17,0),
IF(AF1308="SF",IF(AND(V1308&lt;20,W1308&lt;89),0.3,0)+IF(AND(V1308&lt;20,W1308&gt;=89),0.25,0)+IF(AND(V1308&gt;=20,V1308&lt;40,W1308&lt;74),0.3,0)+IF(AND(V1308&gt;=20,V1308&lt;40,W1308&gt;=75),0.22,0)+IF(AND(V1308&gt;=40,V1308&lt;75,W1308&lt;75),0.26,0)+IF(AND(V1308&gt;=40,V1308&lt;75,W1308&gt;=75),0.22,0)+IF(V1308&gt;=75,0.22,0),
IF(AF1308="DoEVold",IF(AND(V1308&lt;40,W1308&lt;35),0.35,0)+IF(AND(V1308&lt;40,W1308&gt;=35,W1308&lt;75),0.25,0)+IF(AND(V1308&lt;40,W1308&gt;=75),0.17,0)+IF(AND(V1308&gt;=40,V1308&lt;75,W1308&lt;25),0.35,0)+IF(AND(V1308&gt;=40,V1308&lt;75,W1308&gt;=25,W1308&lt;65),0.25,0)+IF(AND(V1308&gt;=40,V1308&lt;75,W1308&gt;=65,W1308&lt;100),0.17,0)+IF(AND(V1308&gt;=40,V1308&lt;75,W1308&gt;=100),0.1,0)+IF(AND(V1308&gt;=75,W1308&lt;25),0.35,0)+IF(AND(V1308&gt;=75,W1308&gt;=25,W1308&lt;60),0.25,0)+IF(AND(V1308&gt;=75,W1308&gt;=60,W1308&lt;95),0.17,0)+IF(AND(V1308&gt;=75,W1308&gt;=95),0.1,0),
IF(AF1308="DoEVold15",IF(AND(V1308&lt;=40,W1308&lt;35),0.35,0)+IF(AND(V1308&lt;=40,W1308&gt;=35,W1308&lt;75),0.25,0)+IF(AND(V1308&lt;=40,W1308&gt;=75,W1308&lt;120),0.17,0)+IF(AND(V1308&lt;=40,W1308&gt;=120),0.15,0)+IF(AND(V1308&gt;40,V1308&lt;75,W1308&lt;25),0.35,0)+IF(AND(V1308&gt;=40,V1308&lt;75,W1308&gt;=25,W1308&lt;65),0.25,0)+IF(AND(V1308&gt;=40,V1308&lt;75,W1308&gt;=65,W1308&lt;100),0.17,0)+IF(AND(V1308&gt;=40,V1308&lt;75,W1308&gt;=100),0.1,0)+IF(AND(V1308&gt;=75,W1308&lt;25),0.35,0)+IF(AND(V1308&gt;=75,W1308&gt;=25,W1308&lt;60),0.25,0)+IF(AND(V1308&gt;=75,W1308&gt;=60,W1308&lt;95),0.17,0)+IF(AND(V1308&gt;=75,W1308&gt;=95),0.1,0),
IF(AF1308="DoEVba",IF(AND(V1308&lt;20,W1308&lt;105),0.2,0)+IF(AND(V1308&lt;20,W1308&gt;=105),0.15,0)+IF(AND(V1308&gt;=20,V1308&lt;40,W1308&lt;95),0.2,0)+IF(AND(V1308&gt;=20,V1308&lt;40,W1308&gt;=95,W1308&lt;150),0.15,0)+IF(AND(V1308&gt;=20,V1308&lt;40,W1308&gt;=150),0.12,0)+IF(AND(V1308&gt;=40,V1308&lt;75,W1308&lt;75),0.2,0)+IF(AND(V1308&gt;=40,V1308&lt;75,W1308&gt;=75,W1308&lt;120),0.15,0)+IF(AND(V1308&gt;=40,V1308&lt;75,W1308&gt;=120),0.12,0)+IF(AND(V1308&gt;=75,V1308&lt;175,W1308&lt;65),0.2,0)+IF(AND(V1308&gt;=75,V1308&lt;175,W1308&gt;=65,W1308&lt;110),0.15,0)+IF(AND(V1308&gt;=75,V1308&lt;175,W1308&gt;=110),0.12,0)+IF(AND(V1308&gt;=175,W1308&lt;55),0.2,0)+IF(AND(V1308&gt;=175,W1308&gt;=55,W1308&lt;95),0.15,0)+IF(AND(V1308&gt;=175,W1308&gt;=95),0.12,0),
IF(AF1308="DoEVku",IF(AND(V1308&lt;20,W1308&lt;55),0.23,0)+IF(AND(V1308&lt;20,W1308&gt;=55,W1308&lt;105),0.2,0)+IF(AND(V1308&lt;20,W1308&gt;=105),0.17,0)+IF(AND(V1308&gt;=20,V1308&lt;40,W1308&lt;45),0.23,0)+IF(AND(V1308&gt;=20,V1308&lt;40,W1308&gt;=45,W1308&lt;95),0.2,0)+IF(AND(V1308&gt;=20,V1308&lt;40,W1308&gt;=95,W1308&lt;=150),0.17,0)+IF(AND(V1308&gt;=20,V1308&lt;40,W1308&gt;=150),0.12,0)+IF(AND(V1308&gt;=40,V1308&lt;75,W1308&lt;35),0.23,0)+IF(AND(V1308&gt;=40,V1308&lt;75,W1308&gt;=35,W1308&lt;75),0.2,0)+IF(AND(V1308&gt;=40,V1308&lt;75,W1308&gt;=75,W1308&lt;120),0.17,0)+IF(AND(V1308&gt;=40,V1308&lt;75,W1308&gt;=120),0.12,0)+IF(AND(V1308&gt;=75,V1308&lt;175,W1308&lt;35),0.23,0)+IF(AND(V1308&gt;=75,V1308&lt;=175,W1308&gt;=35,W1308&lt;65),0.2,0)+IF(AND(V1308&gt;=75,V1308&lt;=175,W1308&gt;=65,W1308&lt;110),0.17,0)+IF(AND(V1308&gt;=75,V1308&lt;=175,W1308&gt;=110),0.12,0)+IF(AND(V1308&gt;175,W1308&lt;25),0.23,0)+IF(AND(V1308&gt;175,W1308&gt;=25,W1308&lt;55),0.2,0)+IF(AND(V1308&gt;175,W1308&gt;=55,W1308&lt;95),0.17,0)+IF(AND(V1308&gt;175,W1308&gt;=95),0.12,0),
IF(AF1308="DoEVs1",IF(AND(V1308&lt;20,W1308&lt;55),0.3,0)+IF(AND(V1308&lt;20,W1308&gt;=55,W1308&lt;105),0.23,0)+IF(AND(V1308&lt;20,W1308&gt;=105),0.17,0)+IF(AND(V1308&gt;=20,V1308&lt;40,W1308&lt;45),0.3,0)+IF(AND(V1308&gt;=20,V1308&lt;40,W1308&gt;=45,W1308&lt;95),0.23,0)+IF(AND(V1308&gt;=20,V1308&lt;40,W1308&gt;=95,W1308&lt;=150),0.17,0)+IF(AND(V1308&gt;=20,V1308&lt;40,W1308&gt;=150),0.12,0)+IF(AND(V1308&gt;=40,V1308&lt;75,W1308&lt;35),0.3,0)+IF(AND(V1308&gt;=40,V1308&lt;75,W1308&gt;=35,W1308&lt;75),0.23,0)+IF(AND(V1308&gt;=40,V1308&lt;75,W1308&gt;=75,W1308&lt;120),0.17,0)+IF(AND(V1308&gt;=40,V1308&lt;75,W1308&gt;=120),0.12,0)+IF(AND(V1308&gt;=75,V1308&lt;175,W1308&lt;35),0.3,0)+IF(AND(V1308&gt;=75,V1308&lt;=175,W1308&gt;=35,W1308&lt;65),0.23,0)+IF(AND(V1308&gt;=75,V1308&lt;=175,W1308&gt;=65,W1308&lt;110),0.17,0)+IF(AND(V1308&gt;=75,V1308&lt;=175,W1308&gt;=110),0.12,0)+IF(AND(V1308&gt;175,W1308&lt;25),0.3,0)+IF(AND(V1308&gt;175,W1308&gt;=25,W1308&lt;55),0.23,0)+IF(AND(V1308&gt;175,W1308&gt;=55,W1308&lt;95),0.17,0)+IF(AND(V1308&gt;175,W1308&gt;=95),0.12,0),
IF(AF1308="DoEVsu",IF(AND(V1308&lt;20,W1308&lt;55),0.3,0)+IF(AND(V1308&lt;20,W1308&gt;=55,W1308&lt;105),0.23,0)+IF(AND(V1308&lt;20,W1308&gt;=105),0.17,0)+IF(AND(V1308&gt;=20,V1308&lt;40,W1308&lt;45),0.3,0)+IF(AND(V1308&gt;=20,V1308&lt;40,W1308&gt;=45,W1308&lt;95),0.23,0)+IF(AND(V1308&gt;=20,V1308&lt;40,W1308&gt;=95,W1308&lt;=250),0.17,0)+IF(AND(V1308&gt;=20,V1308&lt;40,W1308&gt;=250),0.12,0)+IF(AND(V1308&gt;=40,V1308&lt;75,W1308&lt;35),0.3,0)+IF(AND(V1308&gt;=40,V1308&lt;75,W1308&gt;=35,W1308&lt;75),0.23,0)+IF(AND(V1308&gt;=40,V1308&lt;75,W1308&gt;=75,W1308&lt;120),0.17,0)+IF(AND(V1308&gt;=40,V1308&lt;75,W1308&gt;=120),0.12,0)+IF(AND(V1308&gt;=75,V1308&lt;175,W1308&lt;35),0.3,0)+IF(AND(V1308&gt;=75,V1308&lt;=175,W1308&gt;=35,W1308&lt;65),0.23,0)+IF(AND(V1308&gt;=75,V1308&lt;=175,W1308&gt;=65,W1308&lt;110),0.17,0)+IF(AND(V1308&gt;=75,V1308&lt;=175,W1308&gt;=110),0.12,0)+IF(AND(V1308&gt;175,W1308&lt;25),0.3,0)+IF(AND(V1308&gt;175,W1308&gt;=25,W1308&lt;55),0.23,0)+IF(AND(V1308&gt;175,W1308&gt;=55,W1308&lt;95),0.17,0)+IF(AND(V1308&gt;175,W1308&gt;=95),0.12,0),
IF(AF1308="DoEVni",IF(AND(V1308&lt;20,W1308&lt;55),0.3,0)+IF(AND(V1308&lt;20,W1308&gt;=55,W1308&lt;105),0.23,0)+IF(AND(V1308&lt;20,W1308&gt;=105),0.17,0)+IF(AND(V1308&gt;=20,V1308&lt;40,W1308&lt;45),0.3,0)+IF(AND(V1308&gt;=20,V1308&lt;40,W1308&gt;=45,W1308&lt;95),0.23,0)+IF(AND(V1308&gt;=20,V1308&lt;40,W1308&gt;=95,W1308&lt;=200),0.17,0)+IF(AND(V1308&gt;=20,V1308&lt;40,W1308&gt;=200),0.12,0)+IF(AND(V1308&gt;=40,V1308&lt;75,W1308&lt;35),0.3,0)+IF(AND(V1308&gt;=40,V1308&lt;75,W1308&gt;=35,W1308&lt;75),0.23,0)+IF(AND(V1308&gt;=40,V1308&lt;75,W1308&gt;=75,W1308&lt;120),0.17,0)+IF(AND(V1308&gt;=40,V1308&lt;75,W1308&gt;=120),0.12,0)+IF(AND(V1308&gt;=75,V1308&lt;175,W1308&lt;35),0.3,0)+IF(AND(V1308&gt;=75,V1308&lt;=175,W1308&gt;=35,W1308&lt;65),0.23,0)+IF(AND(V1308&gt;=75,V1308&lt;=175,W1308&gt;=65,W1308&lt;110),0.17,0)+IF(AND(V1308&gt;=75,V1308&lt;=175,W1308&gt;=110),0.12,0)+IF(AND(V1308&gt;175,W1308&lt;25),0.3,0)+IF(AND(V1308&gt;175,W1308&gt;=25,W1308&lt;55),0.23,0)+IF(AND(V1308&gt;175,W1308&gt;=55,W1308&lt;95),0.17,0)+IF(AND(V1308&gt;175,W1308&gt;=95),0.12,0),
IF(AF1308="DoEVLo",IF(AND(V1308&lt;20,W1308&lt;55),0.25,0)+IF(AND(V1308&lt;20,W1308&gt;=55,W1308&lt;105),0.2,0)+IF(AND(V1308&lt;20,W1308&gt;=105),0.15,0)+IF(AND(V1308&gt;=20,V1308&lt;40,W1308&lt;45),0.25,0)+IF(AND(V1308&gt;=20,V1308&lt;40,W1308&gt;=45,W1308&lt;95),0.2,0)+IF(AND(V1308&gt;=20,V1308&lt;40,W1308&gt;=95),0.15,0)+IF(AND(V1308&gt;=40,V1308&lt;75,W1308&lt;35),0.25,0)+IF(AND(V1308&gt;=40,V1308&lt;75,W1308&gt;=35,W1308&lt;75),0.2,0)+IF(AND(V1308&gt;=40,V1308&lt;75,W1308&gt;=75,W1308&lt;120),0.15,0)+IF(AND(V1308&gt;=40,V1308&lt;75,W1308&gt;=120),0.1,0)+IF(AND(V1308&gt;=75,V1308&lt;175,W1308&lt;35),0.25,0)+IF(AND(V1308&gt;=75,V1308&lt;=175,W1308&gt;=35,W1308&lt;65),0.2,0)+IF(AND(V1308&gt;=75,V1308&lt;=175,W1308&gt;=65,W1308&lt;110),0.15,0)+IF(AND(V1308&gt;=75,V1308&lt;=175,W1308&gt;=110),0.1,0)+IF(AND(V1308&gt;175,W1308&lt;25),0.25,0)+IF(AND(V1308&gt;175,W1308&gt;=25,W1308&lt;55),0.2,0)+IF(AND(V1308&gt;175,W1308&gt;=55,W1308&lt;95),0.15,0)+IF(AND(V1308&gt;175,W1308&gt;=95),0.1,0))))))))))))))))))</f>
        <v>0.1</v>
      </c>
      <c r="Y1308" s="30">
        <f>IF(AG1308="None",0,IF(AG1308="Fix5",0.05, IF(AG1308="Fix6.25",0.0625,IF(AG1308="Fix3.75",0.0375,IF(AG1308="Fix10",0.1,IF(AG1308="Fix3",0.03,0))))))</f>
        <v>0</v>
      </c>
      <c r="Z1308" s="35">
        <f>T1308-AA1308-AB1308</f>
        <v>-1123.2</v>
      </c>
      <c r="AA1308" s="29">
        <f>IF(AD1308="EUR",((T1308-R1308)*X1308)*U1308+(R1308*X1308),(T1308*X1308))</f>
        <v>-124.80000000000001</v>
      </c>
      <c r="AB1308" s="36">
        <f>IF(AD1308="EUR",((T1308-R1308)*Y1308)*U1308+(R1308*Y1308),(T1308*Y1308))</f>
        <v>0</v>
      </c>
      <c r="AC1308" s="37" t="b">
        <v>1</v>
      </c>
      <c r="AD1308" s="37" t="s">
        <v>38</v>
      </c>
      <c r="AE1308" s="37" t="s">
        <v>38</v>
      </c>
      <c r="AF1308" s="37" t="str">
        <f t="array" ref="AF1308">INDEX('Deal Info'!D:D, MATCH(A1308,'Deal Info'!A:A, 0))</f>
        <v>Fix10</v>
      </c>
      <c r="AG1308" s="38" t="str">
        <f t="array" ref="AG1308">INDEX('Deal Info'!G:G, MATCH(A1308,'Deal Info'!A:A, 0))</f>
        <v>None</v>
      </c>
    </row>
    <row r="1309" spans="1:33" ht="14.25" hidden="1" x14ac:dyDescent="0.2">
      <c r="A1309" s="18" t="str">
        <f t="array" ref="A1309">IF(G1309='Room Info'!$B$1, INDEX('Room Info'!$A$2:$A2446, MATCH(B1309,'Room Info'!$B$2:$B2446, 0)),IF(G1309='Room Info'!$C$1, INDEX('Room Info'!$A$2:$A2446, MATCH(B1309,'Room Info'!$C$2:$C2446, 0)),IF(G1309='Room Info'!$D$1, INDEX('Room Info'!$A$2:$A2446, MATCH(B1309,'Room Info'!$D$2:$D2446, 0)),IF(G1309='Room Info'!$E$1, INDEX('Room Info'!$A$2:$A2446, MATCH(B1309,'Room Info'!$E$2:$E2446, 0)),IF(G1309='Room Info'!$F$1, INDEX('Room Info'!$A$2:$A2446, MATCH(B1309,'Room Info'!$F$2:$F2446, 0)),IF(G1309='Room Info'!$H$1, INDEX('Room Info'!$A$2:$A2446, MATCH(B1309,'Room Info'!$H$2:$H2446, 0)),IF(G1309='Room Info'!$G$1, INDEX('Room Info'!$A$2:$A2446, MATCH(B1309,'Room Info'!$G$2:$G2446, 0)))))))))</f>
        <v>volkovsky</v>
      </c>
      <c r="B1309" s="45" t="s">
        <v>206</v>
      </c>
      <c r="C1309" s="46">
        <v>44551</v>
      </c>
      <c r="D1309" s="46">
        <v>44581</v>
      </c>
      <c r="E1309" s="47">
        <v>44562</v>
      </c>
      <c r="F1309" s="48" t="s">
        <v>34</v>
      </c>
      <c r="G1309" s="45" t="s">
        <v>35</v>
      </c>
      <c r="H1309" s="49" t="s">
        <v>149</v>
      </c>
      <c r="I1309" s="49" t="s">
        <v>44</v>
      </c>
      <c r="J1309" s="50">
        <v>500</v>
      </c>
      <c r="K1309" s="51">
        <v>1</v>
      </c>
      <c r="L1309" s="52">
        <v>-500</v>
      </c>
      <c r="M1309" s="53">
        <v>40</v>
      </c>
      <c r="N1309" s="28">
        <f>K1309*J1309</f>
        <v>500</v>
      </c>
      <c r="O1309" s="54">
        <v>-132</v>
      </c>
      <c r="P1309" s="29">
        <v>-132</v>
      </c>
      <c r="Q1309" s="55"/>
      <c r="R1309" s="31">
        <f>M1309+Q1309</f>
        <v>40</v>
      </c>
      <c r="S1309" s="56">
        <v>-233</v>
      </c>
      <c r="T1309" s="32">
        <f>R1309+S1309+IF(F1309="Without EV deal",L1309,0)</f>
        <v>-193</v>
      </c>
      <c r="U1309" s="57"/>
      <c r="V1309" s="58"/>
      <c r="W1309" s="58"/>
      <c r="X1309" s="30">
        <f>IF(AF1309="DoEV",IF(AND(V1309&lt;20,W1309&lt;55),0.3,0)+IF(AND(V1309&lt;20,W1309&gt;=55,W1309&lt;105),0.23,0)+IF(AND(V1309&lt;20,W1309&gt;=105),0.17,0)+IF(AND(V1309&gt;=20,V1309&lt;40,W1309&lt;45),0.3,0)+IF(AND(V1309&gt;=20,V1309&lt;40,W1309&gt;=45,W1309&lt;95),0.23,0)+IF(AND(V1309&gt;=20,V1309&lt;40,W1309&gt;=95),0.17,0)+IF(AND(V1309&gt;=40,V1309&lt;75,W1309&lt;35),0.3,0)+IF(AND(V1309&gt;=40,V1309&lt;75,W1309&gt;=35,W1309&lt;75),0.23,0)+IF(AND(V1309&gt;=40,V1309&lt;75,W1309&gt;=75,W1309&lt;120),0.17,0)+IF(AND(V1309&gt;=40,V1309&lt;75,W1309&gt;=120),0.12,0)+IF(AND(V1309&gt;=75,V1309&lt;175,W1309&lt;35),0.3,0)+IF(AND(V1309&gt;=75,V1309&lt;=175,W1309&gt;=35,W1309&lt;65),0.23,0)+IF(AND(V1309&gt;=75,V1309&lt;=175,W1309&gt;=65,W1309&lt;110),0.17,0)+IF(AND(V1309&gt;=75,V1309&lt;=175,W1309&gt;=110),0.12,0)+IF(AND(V1309&gt;175,W1309&lt;25),0.3,0)+IF(AND(V1309&gt;175,W1309&gt;=25,W1309&lt;55),0.23,0)+IF(AND(V1309&gt;175,W1309&gt;=55,W1309&lt;95),0.17,0)+IF(AND(V1309&gt;175,W1309&gt;=95),0.12,0),
IF(AF1309="Fix15",0.15,
IF(AF1309="Fix18.75",0.1875,
IF(AF1309="Fix11.25",0.1125,
IF(AF1309="Fix10",0.1,
IF(AF1309="Fix9",0.09,
IF(AF1309="Fix19",0.19,
IF(AF1309="DoEV2017",IF(AND(W1309&lt;74),0.2,0)+IF(AND(W1309&gt;=74),0.17,0),
IF(AF1309="SF",IF(AND(V1309&lt;20,W1309&lt;89),0.3,0)+IF(AND(V1309&lt;20,W1309&gt;=89),0.25,0)+IF(AND(V1309&gt;=20,V1309&lt;40,W1309&lt;74),0.3,0)+IF(AND(V1309&gt;=20,V1309&lt;40,W1309&gt;=75),0.22,0)+IF(AND(V1309&gt;=40,V1309&lt;75,W1309&lt;75),0.26,0)+IF(AND(V1309&gt;=40,V1309&lt;75,W1309&gt;=75),0.22,0)+IF(V1309&gt;=75,0.22,0),
IF(AF1309="DoEVold",IF(AND(V1309&lt;40,W1309&lt;35),0.35,0)+IF(AND(V1309&lt;40,W1309&gt;=35,W1309&lt;75),0.25,0)+IF(AND(V1309&lt;40,W1309&gt;=75),0.17,0)+IF(AND(V1309&gt;=40,V1309&lt;75,W1309&lt;25),0.35,0)+IF(AND(V1309&gt;=40,V1309&lt;75,W1309&gt;=25,W1309&lt;65),0.25,0)+IF(AND(V1309&gt;=40,V1309&lt;75,W1309&gt;=65,W1309&lt;100),0.17,0)+IF(AND(V1309&gt;=40,V1309&lt;75,W1309&gt;=100),0.1,0)+IF(AND(V1309&gt;=75,W1309&lt;25),0.35,0)+IF(AND(V1309&gt;=75,W1309&gt;=25,W1309&lt;60),0.25,0)+IF(AND(V1309&gt;=75,W1309&gt;=60,W1309&lt;95),0.17,0)+IF(AND(V1309&gt;=75,W1309&gt;=95),0.1,0),
IF(AF1309="DoEVold15",IF(AND(V1309&lt;=40,W1309&lt;35),0.35,0)+IF(AND(V1309&lt;=40,W1309&gt;=35,W1309&lt;75),0.25,0)+IF(AND(V1309&lt;=40,W1309&gt;=75,W1309&lt;120),0.17,0)+IF(AND(V1309&lt;=40,W1309&gt;=120),0.15,0)+IF(AND(V1309&gt;40,V1309&lt;75,W1309&lt;25),0.35,0)+IF(AND(V1309&gt;=40,V1309&lt;75,W1309&gt;=25,W1309&lt;65),0.25,0)+IF(AND(V1309&gt;=40,V1309&lt;75,W1309&gt;=65,W1309&lt;100),0.17,0)+IF(AND(V1309&gt;=40,V1309&lt;75,W1309&gt;=100),0.1,0)+IF(AND(V1309&gt;=75,W1309&lt;25),0.35,0)+IF(AND(V1309&gt;=75,W1309&gt;=25,W1309&lt;60),0.25,0)+IF(AND(V1309&gt;=75,W1309&gt;=60,W1309&lt;95),0.17,0)+IF(AND(V1309&gt;=75,W1309&gt;=95),0.1,0),
IF(AF1309="DoEVba",IF(AND(V1309&lt;20,W1309&lt;105),0.2,0)+IF(AND(V1309&lt;20,W1309&gt;=105),0.15,0)+IF(AND(V1309&gt;=20,V1309&lt;40,W1309&lt;95),0.2,0)+IF(AND(V1309&gt;=20,V1309&lt;40,W1309&gt;=95,W1309&lt;150),0.15,0)+IF(AND(V1309&gt;=20,V1309&lt;40,W1309&gt;=150),0.12,0)+IF(AND(V1309&gt;=40,V1309&lt;75,W1309&lt;75),0.2,0)+IF(AND(V1309&gt;=40,V1309&lt;75,W1309&gt;=75,W1309&lt;120),0.15,0)+IF(AND(V1309&gt;=40,V1309&lt;75,W1309&gt;=120),0.12,0)+IF(AND(V1309&gt;=75,V1309&lt;175,W1309&lt;65),0.2,0)+IF(AND(V1309&gt;=75,V1309&lt;175,W1309&gt;=65,W1309&lt;110),0.15,0)+IF(AND(V1309&gt;=75,V1309&lt;175,W1309&gt;=110),0.12,0)+IF(AND(V1309&gt;=175,W1309&lt;55),0.2,0)+IF(AND(V1309&gt;=175,W1309&gt;=55,W1309&lt;95),0.15,0)+IF(AND(V1309&gt;=175,W1309&gt;=95),0.12,0),
IF(AF1309="DoEVku",IF(AND(V1309&lt;20,W1309&lt;55),0.23,0)+IF(AND(V1309&lt;20,W1309&gt;=55,W1309&lt;105),0.2,0)+IF(AND(V1309&lt;20,W1309&gt;=105),0.17,0)+IF(AND(V1309&gt;=20,V1309&lt;40,W1309&lt;45),0.23,0)+IF(AND(V1309&gt;=20,V1309&lt;40,W1309&gt;=45,W1309&lt;95),0.2,0)+IF(AND(V1309&gt;=20,V1309&lt;40,W1309&gt;=95,W1309&lt;=150),0.17,0)+IF(AND(V1309&gt;=20,V1309&lt;40,W1309&gt;=150),0.12,0)+IF(AND(V1309&gt;=40,V1309&lt;75,W1309&lt;35),0.23,0)+IF(AND(V1309&gt;=40,V1309&lt;75,W1309&gt;=35,W1309&lt;75),0.2,0)+IF(AND(V1309&gt;=40,V1309&lt;75,W1309&gt;=75,W1309&lt;120),0.17,0)+IF(AND(V1309&gt;=40,V1309&lt;75,W1309&gt;=120),0.12,0)+IF(AND(V1309&gt;=75,V1309&lt;175,W1309&lt;35),0.23,0)+IF(AND(V1309&gt;=75,V1309&lt;=175,W1309&gt;=35,W1309&lt;65),0.2,0)+IF(AND(V1309&gt;=75,V1309&lt;=175,W1309&gt;=65,W1309&lt;110),0.17,0)+IF(AND(V1309&gt;=75,V1309&lt;=175,W1309&gt;=110),0.12,0)+IF(AND(V1309&gt;175,W1309&lt;25),0.23,0)+IF(AND(V1309&gt;175,W1309&gt;=25,W1309&lt;55),0.2,0)+IF(AND(V1309&gt;175,W1309&gt;=55,W1309&lt;95),0.17,0)+IF(AND(V1309&gt;175,W1309&gt;=95),0.12,0),
IF(AF1309="DoEVs1",IF(AND(V1309&lt;20,W1309&lt;55),0.3,0)+IF(AND(V1309&lt;20,W1309&gt;=55,W1309&lt;105),0.23,0)+IF(AND(V1309&lt;20,W1309&gt;=105),0.17,0)+IF(AND(V1309&gt;=20,V1309&lt;40,W1309&lt;45),0.3,0)+IF(AND(V1309&gt;=20,V1309&lt;40,W1309&gt;=45,W1309&lt;95),0.23,0)+IF(AND(V1309&gt;=20,V1309&lt;40,W1309&gt;=95,W1309&lt;=150),0.17,0)+IF(AND(V1309&gt;=20,V1309&lt;40,W1309&gt;=150),0.12,0)+IF(AND(V1309&gt;=40,V1309&lt;75,W1309&lt;35),0.3,0)+IF(AND(V1309&gt;=40,V1309&lt;75,W1309&gt;=35,W1309&lt;75),0.23,0)+IF(AND(V1309&gt;=40,V1309&lt;75,W1309&gt;=75,W1309&lt;120),0.17,0)+IF(AND(V1309&gt;=40,V1309&lt;75,W1309&gt;=120),0.12,0)+IF(AND(V1309&gt;=75,V1309&lt;175,W1309&lt;35),0.3,0)+IF(AND(V1309&gt;=75,V1309&lt;=175,W1309&gt;=35,W1309&lt;65),0.23,0)+IF(AND(V1309&gt;=75,V1309&lt;=175,W1309&gt;=65,W1309&lt;110),0.17,0)+IF(AND(V1309&gt;=75,V1309&lt;=175,W1309&gt;=110),0.12,0)+IF(AND(V1309&gt;175,W1309&lt;25),0.3,0)+IF(AND(V1309&gt;175,W1309&gt;=25,W1309&lt;55),0.23,0)+IF(AND(V1309&gt;175,W1309&gt;=55,W1309&lt;95),0.17,0)+IF(AND(V1309&gt;175,W1309&gt;=95),0.12,0),
IF(AF1309="DoEVsu",IF(AND(V1309&lt;20,W1309&lt;55),0.3,0)+IF(AND(V1309&lt;20,W1309&gt;=55,W1309&lt;105),0.23,0)+IF(AND(V1309&lt;20,W1309&gt;=105),0.17,0)+IF(AND(V1309&gt;=20,V1309&lt;40,W1309&lt;45),0.3,0)+IF(AND(V1309&gt;=20,V1309&lt;40,W1309&gt;=45,W1309&lt;95),0.23,0)+IF(AND(V1309&gt;=20,V1309&lt;40,W1309&gt;=95,W1309&lt;=250),0.17,0)+IF(AND(V1309&gt;=20,V1309&lt;40,W1309&gt;=250),0.12,0)+IF(AND(V1309&gt;=40,V1309&lt;75,W1309&lt;35),0.3,0)+IF(AND(V1309&gt;=40,V1309&lt;75,W1309&gt;=35,W1309&lt;75),0.23,0)+IF(AND(V1309&gt;=40,V1309&lt;75,W1309&gt;=75,W1309&lt;120),0.17,0)+IF(AND(V1309&gt;=40,V1309&lt;75,W1309&gt;=120),0.12,0)+IF(AND(V1309&gt;=75,V1309&lt;175,W1309&lt;35),0.3,0)+IF(AND(V1309&gt;=75,V1309&lt;=175,W1309&gt;=35,W1309&lt;65),0.23,0)+IF(AND(V1309&gt;=75,V1309&lt;=175,W1309&gt;=65,W1309&lt;110),0.17,0)+IF(AND(V1309&gt;=75,V1309&lt;=175,W1309&gt;=110),0.12,0)+IF(AND(V1309&gt;175,W1309&lt;25),0.3,0)+IF(AND(V1309&gt;175,W1309&gt;=25,W1309&lt;55),0.23,0)+IF(AND(V1309&gt;175,W1309&gt;=55,W1309&lt;95),0.17,0)+IF(AND(V1309&gt;175,W1309&gt;=95),0.12,0),
IF(AF1309="DoEVni",IF(AND(V1309&lt;20,W1309&lt;55),0.3,0)+IF(AND(V1309&lt;20,W1309&gt;=55,W1309&lt;105),0.23,0)+IF(AND(V1309&lt;20,W1309&gt;=105),0.17,0)+IF(AND(V1309&gt;=20,V1309&lt;40,W1309&lt;45),0.3,0)+IF(AND(V1309&gt;=20,V1309&lt;40,W1309&gt;=45,W1309&lt;95),0.23,0)+IF(AND(V1309&gt;=20,V1309&lt;40,W1309&gt;=95,W1309&lt;=200),0.17,0)+IF(AND(V1309&gt;=20,V1309&lt;40,W1309&gt;=200),0.12,0)+IF(AND(V1309&gt;=40,V1309&lt;75,W1309&lt;35),0.3,0)+IF(AND(V1309&gt;=40,V1309&lt;75,W1309&gt;=35,W1309&lt;75),0.23,0)+IF(AND(V1309&gt;=40,V1309&lt;75,W1309&gt;=75,W1309&lt;120),0.17,0)+IF(AND(V1309&gt;=40,V1309&lt;75,W1309&gt;=120),0.12,0)+IF(AND(V1309&gt;=75,V1309&lt;175,W1309&lt;35),0.3,0)+IF(AND(V1309&gt;=75,V1309&lt;=175,W1309&gt;=35,W1309&lt;65),0.23,0)+IF(AND(V1309&gt;=75,V1309&lt;=175,W1309&gt;=65,W1309&lt;110),0.17,0)+IF(AND(V1309&gt;=75,V1309&lt;=175,W1309&gt;=110),0.12,0)+IF(AND(V1309&gt;175,W1309&lt;25),0.3,0)+IF(AND(V1309&gt;175,W1309&gt;=25,W1309&lt;55),0.23,0)+IF(AND(V1309&gt;175,W1309&gt;=55,W1309&lt;95),0.17,0)+IF(AND(V1309&gt;175,W1309&gt;=95),0.12,0),
IF(AF1309="DoEVLo",IF(AND(V1309&lt;20,W1309&lt;55),0.25,0)+IF(AND(V1309&lt;20,W1309&gt;=55,W1309&lt;105),0.2,0)+IF(AND(V1309&lt;20,W1309&gt;=105),0.15,0)+IF(AND(V1309&gt;=20,V1309&lt;40,W1309&lt;45),0.25,0)+IF(AND(V1309&gt;=20,V1309&lt;40,W1309&gt;=45,W1309&lt;95),0.2,0)+IF(AND(V1309&gt;=20,V1309&lt;40,W1309&gt;=95),0.15,0)+IF(AND(V1309&gt;=40,V1309&lt;75,W1309&lt;35),0.25,0)+IF(AND(V1309&gt;=40,V1309&lt;75,W1309&gt;=35,W1309&lt;75),0.2,0)+IF(AND(V1309&gt;=40,V1309&lt;75,W1309&gt;=75,W1309&lt;120),0.15,0)+IF(AND(V1309&gt;=40,V1309&lt;75,W1309&gt;=120),0.1,0)+IF(AND(V1309&gt;=75,V1309&lt;175,W1309&lt;35),0.25,0)+IF(AND(V1309&gt;=75,V1309&lt;=175,W1309&gt;=35,W1309&lt;65),0.2,0)+IF(AND(V1309&gt;=75,V1309&lt;=175,W1309&gt;=65,W1309&lt;110),0.15,0)+IF(AND(V1309&gt;=75,V1309&lt;=175,W1309&gt;=110),0.1,0)+IF(AND(V1309&gt;175,W1309&lt;25),0.25,0)+IF(AND(V1309&gt;175,W1309&gt;=25,W1309&lt;55),0.2,0)+IF(AND(V1309&gt;175,W1309&gt;=55,W1309&lt;95),0.15,0)+IF(AND(V1309&gt;175,W1309&gt;=95),0.1,0))))))))))))))))))</f>
        <v>0.1</v>
      </c>
      <c r="Y1309" s="30">
        <f>IF(AG1309="None",0,IF(AG1309="Fix5",0.05, IF(AG1309="Fix6.25",0.0625,IF(AG1309="Fix3.75",0.0375,IF(AG1309="Fix10",0.1,IF(AG1309="Fix3",0.03,0))))))</f>
        <v>0</v>
      </c>
      <c r="Z1309" s="35">
        <f>T1309-AA1309-AB1309</f>
        <v>-173.7</v>
      </c>
      <c r="AA1309" s="29">
        <f>IF(AD1309="EUR",((T1309-R1309)*X1309)*U1309+(R1309*X1309),(T1309*X1309))</f>
        <v>-19.3</v>
      </c>
      <c r="AB1309" s="36">
        <f>IF(AD1309="EUR",((T1309-R1309)*Y1309)*U1309+(R1309*Y1309),(T1309*Y1309))</f>
        <v>0</v>
      </c>
      <c r="AC1309" s="37" t="b">
        <v>1</v>
      </c>
      <c r="AD1309" s="37" t="s">
        <v>38</v>
      </c>
      <c r="AE1309" s="37" t="s">
        <v>38</v>
      </c>
      <c r="AF1309" s="37" t="str">
        <f t="array" ref="AF1309">INDEX('Deal Info'!D:D, MATCH(A1309,'Deal Info'!A:A, 0))</f>
        <v>Fix10</v>
      </c>
      <c r="AG1309" s="38" t="str">
        <f t="array" ref="AG1309">INDEX('Deal Info'!G:G, MATCH(A1309,'Deal Info'!A:A, 0))</f>
        <v>None</v>
      </c>
    </row>
    <row r="1310" spans="1:33" ht="14.25" hidden="1" x14ac:dyDescent="0.2">
      <c r="A1310" s="18" t="str">
        <f t="array" ref="A1310">IF(G1310='Room Info'!$B$1, INDEX('Room Info'!$A$2:$A2446, MATCH(B1310,'Room Info'!$B$2:$B2446, 0)),IF(G1310='Room Info'!$C$1, INDEX('Room Info'!$A$2:$A2446, MATCH(B1310,'Room Info'!$C$2:$C2446, 0)),IF(G1310='Room Info'!$D$1, INDEX('Room Info'!$A$2:$A2446, MATCH(B1310,'Room Info'!$D$2:$D2446, 0)),IF(G1310='Room Info'!$E$1, INDEX('Room Info'!$A$2:$A2446, MATCH(B1310,'Room Info'!$E$2:$E2446, 0)),IF(G1310='Room Info'!$F$1, INDEX('Room Info'!$A$2:$A2446, MATCH(B1310,'Room Info'!$F$2:$F2446, 0)),IF(G1310='Room Info'!$H$1, INDEX('Room Info'!$A$2:$A2446, MATCH(B1310,'Room Info'!$H$2:$H2446, 0)),IF(G1310='Room Info'!$G$1, INDEX('Room Info'!$A$2:$A2446, MATCH(B1310,'Room Info'!$G$2:$G2446, 0)))))))))</f>
        <v>volkovsky</v>
      </c>
      <c r="B1310" s="45" t="s">
        <v>206</v>
      </c>
      <c r="C1310" s="46">
        <v>44582</v>
      </c>
      <c r="D1310" s="46">
        <v>44612</v>
      </c>
      <c r="E1310" s="47">
        <v>44593</v>
      </c>
      <c r="F1310" s="48" t="s">
        <v>34</v>
      </c>
      <c r="G1310" s="45" t="s">
        <v>35</v>
      </c>
      <c r="H1310" s="49" t="s">
        <v>39</v>
      </c>
      <c r="I1310" s="49" t="s">
        <v>37</v>
      </c>
      <c r="J1310" s="50">
        <v>5</v>
      </c>
      <c r="K1310" s="51">
        <v>1</v>
      </c>
      <c r="L1310" s="52">
        <v>-5</v>
      </c>
      <c r="M1310" s="62"/>
      <c r="N1310" s="28">
        <f>K1310*J1310</f>
        <v>5</v>
      </c>
      <c r="O1310" s="54">
        <v>-363</v>
      </c>
      <c r="P1310" s="29">
        <v>-363</v>
      </c>
      <c r="Q1310" s="55"/>
      <c r="R1310" s="31">
        <f>M1310+Q1310</f>
        <v>0</v>
      </c>
      <c r="S1310" s="56">
        <v>-4</v>
      </c>
      <c r="T1310" s="32">
        <f>R1310+S1310+IF(F1310="Without EV deal",L1310,0)</f>
        <v>-4</v>
      </c>
      <c r="U1310" s="57"/>
      <c r="V1310" s="58"/>
      <c r="W1310" s="58"/>
      <c r="X1310" s="30">
        <f>IF(AF1310="DoEV",IF(AND(V1310&lt;20,W1310&lt;55),0.3,0)+IF(AND(V1310&lt;20,W1310&gt;=55,W1310&lt;105),0.23,0)+IF(AND(V1310&lt;20,W1310&gt;=105),0.17,0)+IF(AND(V1310&gt;=20,V1310&lt;40,W1310&lt;45),0.3,0)+IF(AND(V1310&gt;=20,V1310&lt;40,W1310&gt;=45,W1310&lt;95),0.23,0)+IF(AND(V1310&gt;=20,V1310&lt;40,W1310&gt;=95),0.17,0)+IF(AND(V1310&gt;=40,V1310&lt;75,W1310&lt;35),0.3,0)+IF(AND(V1310&gt;=40,V1310&lt;75,W1310&gt;=35,W1310&lt;75),0.23,0)+IF(AND(V1310&gt;=40,V1310&lt;75,W1310&gt;=75,W1310&lt;120),0.17,0)+IF(AND(V1310&gt;=40,V1310&lt;75,W1310&gt;=120),0.12,0)+IF(AND(V1310&gt;=75,V1310&lt;175,W1310&lt;35),0.3,0)+IF(AND(V1310&gt;=75,V1310&lt;=175,W1310&gt;=35,W1310&lt;65),0.23,0)+IF(AND(V1310&gt;=75,V1310&lt;=175,W1310&gt;=65,W1310&lt;110),0.17,0)+IF(AND(V1310&gt;=75,V1310&lt;=175,W1310&gt;=110),0.12,0)+IF(AND(V1310&gt;175,W1310&lt;25),0.3,0)+IF(AND(V1310&gt;175,W1310&gt;=25,W1310&lt;55),0.23,0)+IF(AND(V1310&gt;175,W1310&gt;=55,W1310&lt;95),0.17,0)+IF(AND(V1310&gt;175,W1310&gt;=95),0.12,0),
IF(AF1310="Fix15",0.15,
IF(AF1310="Fix18.75",0.1875,
IF(AF1310="Fix11.25",0.1125,
IF(AF1310="Fix10",0.1,
IF(AF1310="Fix9",0.09,
IF(AF1310="Fix19",0.19,
IF(AF1310="DoEV2017",IF(AND(W1310&lt;74),0.2,0)+IF(AND(W1310&gt;=74),0.17,0),
IF(AF1310="SF",IF(AND(V1310&lt;20,W1310&lt;89),0.3,0)+IF(AND(V1310&lt;20,W1310&gt;=89),0.25,0)+IF(AND(V1310&gt;=20,V1310&lt;40,W1310&lt;74),0.3,0)+IF(AND(V1310&gt;=20,V1310&lt;40,W1310&gt;=75),0.22,0)+IF(AND(V1310&gt;=40,V1310&lt;75,W1310&lt;75),0.26,0)+IF(AND(V1310&gt;=40,V1310&lt;75,W1310&gt;=75),0.22,0)+IF(V1310&gt;=75,0.22,0),
IF(AF1310="DoEVold",IF(AND(V1310&lt;40,W1310&lt;35),0.35,0)+IF(AND(V1310&lt;40,W1310&gt;=35,W1310&lt;75),0.25,0)+IF(AND(V1310&lt;40,W1310&gt;=75),0.17,0)+IF(AND(V1310&gt;=40,V1310&lt;75,W1310&lt;25),0.35,0)+IF(AND(V1310&gt;=40,V1310&lt;75,W1310&gt;=25,W1310&lt;65),0.25,0)+IF(AND(V1310&gt;=40,V1310&lt;75,W1310&gt;=65,W1310&lt;100),0.17,0)+IF(AND(V1310&gt;=40,V1310&lt;75,W1310&gt;=100),0.1,0)+IF(AND(V1310&gt;=75,W1310&lt;25),0.35,0)+IF(AND(V1310&gt;=75,W1310&gt;=25,W1310&lt;60),0.25,0)+IF(AND(V1310&gt;=75,W1310&gt;=60,W1310&lt;95),0.17,0)+IF(AND(V1310&gt;=75,W1310&gt;=95),0.1,0),
IF(AF1310="DoEVold15",IF(AND(V1310&lt;=40,W1310&lt;35),0.35,0)+IF(AND(V1310&lt;=40,W1310&gt;=35,W1310&lt;75),0.25,0)+IF(AND(V1310&lt;=40,W1310&gt;=75,W1310&lt;120),0.17,0)+IF(AND(V1310&lt;=40,W1310&gt;=120),0.15,0)+IF(AND(V1310&gt;40,V1310&lt;75,W1310&lt;25),0.35,0)+IF(AND(V1310&gt;=40,V1310&lt;75,W1310&gt;=25,W1310&lt;65),0.25,0)+IF(AND(V1310&gt;=40,V1310&lt;75,W1310&gt;=65,W1310&lt;100),0.17,0)+IF(AND(V1310&gt;=40,V1310&lt;75,W1310&gt;=100),0.1,0)+IF(AND(V1310&gt;=75,W1310&lt;25),0.35,0)+IF(AND(V1310&gt;=75,W1310&gt;=25,W1310&lt;60),0.25,0)+IF(AND(V1310&gt;=75,W1310&gt;=60,W1310&lt;95),0.17,0)+IF(AND(V1310&gt;=75,W1310&gt;=95),0.1,0),
IF(AF1310="DoEVba",IF(AND(V1310&lt;20,W1310&lt;105),0.2,0)+IF(AND(V1310&lt;20,W1310&gt;=105),0.15,0)+IF(AND(V1310&gt;=20,V1310&lt;40,W1310&lt;95),0.2,0)+IF(AND(V1310&gt;=20,V1310&lt;40,W1310&gt;=95,W1310&lt;150),0.15,0)+IF(AND(V1310&gt;=20,V1310&lt;40,W1310&gt;=150),0.12,0)+IF(AND(V1310&gt;=40,V1310&lt;75,W1310&lt;75),0.2,0)+IF(AND(V1310&gt;=40,V1310&lt;75,W1310&gt;=75,W1310&lt;120),0.15,0)+IF(AND(V1310&gt;=40,V1310&lt;75,W1310&gt;=120),0.12,0)+IF(AND(V1310&gt;=75,V1310&lt;175,W1310&lt;65),0.2,0)+IF(AND(V1310&gt;=75,V1310&lt;175,W1310&gt;=65,W1310&lt;110),0.15,0)+IF(AND(V1310&gt;=75,V1310&lt;175,W1310&gt;=110),0.12,0)+IF(AND(V1310&gt;=175,W1310&lt;55),0.2,0)+IF(AND(V1310&gt;=175,W1310&gt;=55,W1310&lt;95),0.15,0)+IF(AND(V1310&gt;=175,W1310&gt;=95),0.12,0),
IF(AF1310="DoEVku",IF(AND(V1310&lt;20,W1310&lt;55),0.23,0)+IF(AND(V1310&lt;20,W1310&gt;=55,W1310&lt;105),0.2,0)+IF(AND(V1310&lt;20,W1310&gt;=105),0.17,0)+IF(AND(V1310&gt;=20,V1310&lt;40,W1310&lt;45),0.23,0)+IF(AND(V1310&gt;=20,V1310&lt;40,W1310&gt;=45,W1310&lt;95),0.2,0)+IF(AND(V1310&gt;=20,V1310&lt;40,W1310&gt;=95,W1310&lt;=150),0.17,0)+IF(AND(V1310&gt;=20,V1310&lt;40,W1310&gt;=150),0.12,0)+IF(AND(V1310&gt;=40,V1310&lt;75,W1310&lt;35),0.23,0)+IF(AND(V1310&gt;=40,V1310&lt;75,W1310&gt;=35,W1310&lt;75),0.2,0)+IF(AND(V1310&gt;=40,V1310&lt;75,W1310&gt;=75,W1310&lt;120),0.17,0)+IF(AND(V1310&gt;=40,V1310&lt;75,W1310&gt;=120),0.12,0)+IF(AND(V1310&gt;=75,V1310&lt;175,W1310&lt;35),0.23,0)+IF(AND(V1310&gt;=75,V1310&lt;=175,W1310&gt;=35,W1310&lt;65),0.2,0)+IF(AND(V1310&gt;=75,V1310&lt;=175,W1310&gt;=65,W1310&lt;110),0.17,0)+IF(AND(V1310&gt;=75,V1310&lt;=175,W1310&gt;=110),0.12,0)+IF(AND(V1310&gt;175,W1310&lt;25),0.23,0)+IF(AND(V1310&gt;175,W1310&gt;=25,W1310&lt;55),0.2,0)+IF(AND(V1310&gt;175,W1310&gt;=55,W1310&lt;95),0.17,0)+IF(AND(V1310&gt;175,W1310&gt;=95),0.12,0),
IF(AF1310="DoEVs1",IF(AND(V1310&lt;20,W1310&lt;55),0.3,0)+IF(AND(V1310&lt;20,W1310&gt;=55,W1310&lt;105),0.23,0)+IF(AND(V1310&lt;20,W1310&gt;=105),0.17,0)+IF(AND(V1310&gt;=20,V1310&lt;40,W1310&lt;45),0.3,0)+IF(AND(V1310&gt;=20,V1310&lt;40,W1310&gt;=45,W1310&lt;95),0.23,0)+IF(AND(V1310&gt;=20,V1310&lt;40,W1310&gt;=95,W1310&lt;=150),0.17,0)+IF(AND(V1310&gt;=20,V1310&lt;40,W1310&gt;=150),0.12,0)+IF(AND(V1310&gt;=40,V1310&lt;75,W1310&lt;35),0.3,0)+IF(AND(V1310&gt;=40,V1310&lt;75,W1310&gt;=35,W1310&lt;75),0.23,0)+IF(AND(V1310&gt;=40,V1310&lt;75,W1310&gt;=75,W1310&lt;120),0.17,0)+IF(AND(V1310&gt;=40,V1310&lt;75,W1310&gt;=120),0.12,0)+IF(AND(V1310&gt;=75,V1310&lt;175,W1310&lt;35),0.3,0)+IF(AND(V1310&gt;=75,V1310&lt;=175,W1310&gt;=35,W1310&lt;65),0.23,0)+IF(AND(V1310&gt;=75,V1310&lt;=175,W1310&gt;=65,W1310&lt;110),0.17,0)+IF(AND(V1310&gt;=75,V1310&lt;=175,W1310&gt;=110),0.12,0)+IF(AND(V1310&gt;175,W1310&lt;25),0.3,0)+IF(AND(V1310&gt;175,W1310&gt;=25,W1310&lt;55),0.23,0)+IF(AND(V1310&gt;175,W1310&gt;=55,W1310&lt;95),0.17,0)+IF(AND(V1310&gt;175,W1310&gt;=95),0.12,0),
IF(AF1310="DoEVsu",IF(AND(V1310&lt;20,W1310&lt;55),0.3,0)+IF(AND(V1310&lt;20,W1310&gt;=55,W1310&lt;105),0.23,0)+IF(AND(V1310&lt;20,W1310&gt;=105),0.17,0)+IF(AND(V1310&gt;=20,V1310&lt;40,W1310&lt;45),0.3,0)+IF(AND(V1310&gt;=20,V1310&lt;40,W1310&gt;=45,W1310&lt;95),0.23,0)+IF(AND(V1310&gt;=20,V1310&lt;40,W1310&gt;=95,W1310&lt;=250),0.17,0)+IF(AND(V1310&gt;=20,V1310&lt;40,W1310&gt;=250),0.12,0)+IF(AND(V1310&gt;=40,V1310&lt;75,W1310&lt;35),0.3,0)+IF(AND(V1310&gt;=40,V1310&lt;75,W1310&gt;=35,W1310&lt;75),0.23,0)+IF(AND(V1310&gt;=40,V1310&lt;75,W1310&gt;=75,W1310&lt;120),0.17,0)+IF(AND(V1310&gt;=40,V1310&lt;75,W1310&gt;=120),0.12,0)+IF(AND(V1310&gt;=75,V1310&lt;175,W1310&lt;35),0.3,0)+IF(AND(V1310&gt;=75,V1310&lt;=175,W1310&gt;=35,W1310&lt;65),0.23,0)+IF(AND(V1310&gt;=75,V1310&lt;=175,W1310&gt;=65,W1310&lt;110),0.17,0)+IF(AND(V1310&gt;=75,V1310&lt;=175,W1310&gt;=110),0.12,0)+IF(AND(V1310&gt;175,W1310&lt;25),0.3,0)+IF(AND(V1310&gt;175,W1310&gt;=25,W1310&lt;55),0.23,0)+IF(AND(V1310&gt;175,W1310&gt;=55,W1310&lt;95),0.17,0)+IF(AND(V1310&gt;175,W1310&gt;=95),0.12,0),
IF(AF1310="DoEVni",IF(AND(V1310&lt;20,W1310&lt;55),0.3,0)+IF(AND(V1310&lt;20,W1310&gt;=55,W1310&lt;105),0.23,0)+IF(AND(V1310&lt;20,W1310&gt;=105),0.17,0)+IF(AND(V1310&gt;=20,V1310&lt;40,W1310&lt;45),0.3,0)+IF(AND(V1310&gt;=20,V1310&lt;40,W1310&gt;=45,W1310&lt;95),0.23,0)+IF(AND(V1310&gt;=20,V1310&lt;40,W1310&gt;=95,W1310&lt;=200),0.17,0)+IF(AND(V1310&gt;=20,V1310&lt;40,W1310&gt;=200),0.12,0)+IF(AND(V1310&gt;=40,V1310&lt;75,W1310&lt;35),0.3,0)+IF(AND(V1310&gt;=40,V1310&lt;75,W1310&gt;=35,W1310&lt;75),0.23,0)+IF(AND(V1310&gt;=40,V1310&lt;75,W1310&gt;=75,W1310&lt;120),0.17,0)+IF(AND(V1310&gt;=40,V1310&lt;75,W1310&gt;=120),0.12,0)+IF(AND(V1310&gt;=75,V1310&lt;175,W1310&lt;35),0.3,0)+IF(AND(V1310&gt;=75,V1310&lt;=175,W1310&gt;=35,W1310&lt;65),0.23,0)+IF(AND(V1310&gt;=75,V1310&lt;=175,W1310&gt;=65,W1310&lt;110),0.17,0)+IF(AND(V1310&gt;=75,V1310&lt;=175,W1310&gt;=110),0.12,0)+IF(AND(V1310&gt;175,W1310&lt;25),0.3,0)+IF(AND(V1310&gt;175,W1310&gt;=25,W1310&lt;55),0.23,0)+IF(AND(V1310&gt;175,W1310&gt;=55,W1310&lt;95),0.17,0)+IF(AND(V1310&gt;175,W1310&gt;=95),0.12,0),
IF(AF1310="DoEVLo",IF(AND(V1310&lt;20,W1310&lt;55),0.25,0)+IF(AND(V1310&lt;20,W1310&gt;=55,W1310&lt;105),0.2,0)+IF(AND(V1310&lt;20,W1310&gt;=105),0.15,0)+IF(AND(V1310&gt;=20,V1310&lt;40,W1310&lt;45),0.25,0)+IF(AND(V1310&gt;=20,V1310&lt;40,W1310&gt;=45,W1310&lt;95),0.2,0)+IF(AND(V1310&gt;=20,V1310&lt;40,W1310&gt;=95),0.15,0)+IF(AND(V1310&gt;=40,V1310&lt;75,W1310&lt;35),0.25,0)+IF(AND(V1310&gt;=40,V1310&lt;75,W1310&gt;=35,W1310&lt;75),0.2,0)+IF(AND(V1310&gt;=40,V1310&lt;75,W1310&gt;=75,W1310&lt;120),0.15,0)+IF(AND(V1310&gt;=40,V1310&lt;75,W1310&gt;=120),0.1,0)+IF(AND(V1310&gt;=75,V1310&lt;175,W1310&lt;35),0.25,0)+IF(AND(V1310&gt;=75,V1310&lt;=175,W1310&gt;=35,W1310&lt;65),0.2,0)+IF(AND(V1310&gt;=75,V1310&lt;=175,W1310&gt;=65,W1310&lt;110),0.15,0)+IF(AND(V1310&gt;=75,V1310&lt;=175,W1310&gt;=110),0.1,0)+IF(AND(V1310&gt;175,W1310&lt;25),0.25,0)+IF(AND(V1310&gt;175,W1310&gt;=25,W1310&lt;55),0.2,0)+IF(AND(V1310&gt;175,W1310&gt;=55,W1310&lt;95),0.15,0)+IF(AND(V1310&gt;175,W1310&gt;=95),0.1,0))))))))))))))))))</f>
        <v>0.1</v>
      </c>
      <c r="Y1310" s="30">
        <f>IF(AG1310="None",0,IF(AG1310="Fix5",0.05, IF(AG1310="Fix6.25",0.0625,IF(AG1310="Fix3.75",0.0375,IF(AG1310="Fix10",0.1,IF(AG1310="Fix3",0.03,0))))))</f>
        <v>0</v>
      </c>
      <c r="Z1310" s="35">
        <f>T1310-AA1310-AB1310</f>
        <v>-3.6</v>
      </c>
      <c r="AA1310" s="29">
        <f>IF(AD1310="EUR",((T1310-R1310)*X1310)*U1310+(R1310*X1310),(T1310*X1310))</f>
        <v>-0.4</v>
      </c>
      <c r="AB1310" s="36">
        <f>IF(AD1310="EUR",((T1310-R1310)*Y1310)*U1310+(R1310*Y1310),(T1310*Y1310))</f>
        <v>0</v>
      </c>
      <c r="AC1310" s="37" t="b">
        <v>1</v>
      </c>
      <c r="AD1310" s="37" t="s">
        <v>38</v>
      </c>
      <c r="AE1310" s="37" t="s">
        <v>38</v>
      </c>
      <c r="AF1310" s="37" t="str">
        <f t="array" ref="AF1310">INDEX('Deal Info'!D:D, MATCH(A1310,'Deal Info'!A:A, 0))</f>
        <v>Fix10</v>
      </c>
      <c r="AG1310" s="38" t="str">
        <f t="array" ref="AG1310">INDEX('Deal Info'!G:G, MATCH(A1310,'Deal Info'!A:A, 0))</f>
        <v>None</v>
      </c>
    </row>
    <row r="1311" spans="1:33" ht="14.25" hidden="1" x14ac:dyDescent="0.2">
      <c r="A1311" s="18" t="str">
        <f t="array" ref="A1311">IF(G1311='Room Info'!$B$1, INDEX('Room Info'!$A$2:$A2446, MATCH(B1311,'Room Info'!$B$2:$B2446, 0)),IF(G1311='Room Info'!$C$1, INDEX('Room Info'!$A$2:$A2446, MATCH(B1311,'Room Info'!$C$2:$C2446, 0)),IF(G1311='Room Info'!$D$1, INDEX('Room Info'!$A$2:$A2446, MATCH(B1311,'Room Info'!$D$2:$D2446, 0)),IF(G1311='Room Info'!$E$1, INDEX('Room Info'!$A$2:$A2446, MATCH(B1311,'Room Info'!$E$2:$E2446, 0)),IF(G1311='Room Info'!$F$1, INDEX('Room Info'!$A$2:$A2446, MATCH(B1311,'Room Info'!$F$2:$F2446, 0)),IF(G1311='Room Info'!$H$1, INDEX('Room Info'!$A$2:$A2446, MATCH(B1311,'Room Info'!$H$2:$H2446, 0)),IF(G1311='Room Info'!$G$1, INDEX('Room Info'!$A$2:$A2446, MATCH(B1311,'Room Info'!$G$2:$G2446, 0)))))))))</f>
        <v>volkovsky</v>
      </c>
      <c r="B1311" s="45" t="s">
        <v>206</v>
      </c>
      <c r="C1311" s="46">
        <v>44582</v>
      </c>
      <c r="D1311" s="46">
        <v>44612</v>
      </c>
      <c r="E1311" s="47">
        <v>44593</v>
      </c>
      <c r="F1311" s="48" t="s">
        <v>34</v>
      </c>
      <c r="G1311" s="45" t="s">
        <v>35</v>
      </c>
      <c r="H1311" s="49" t="s">
        <v>70</v>
      </c>
      <c r="I1311" s="49" t="s">
        <v>37</v>
      </c>
      <c r="J1311" s="50">
        <v>100</v>
      </c>
      <c r="K1311" s="51">
        <v>1073</v>
      </c>
      <c r="L1311" s="52">
        <v>-3800</v>
      </c>
      <c r="M1311" s="53">
        <v>2826</v>
      </c>
      <c r="N1311" s="28">
        <f>K1311*J1311</f>
        <v>107300</v>
      </c>
      <c r="O1311" s="54">
        <v>27960</v>
      </c>
      <c r="P1311" s="29">
        <v>26.05778192</v>
      </c>
      <c r="Q1311" s="55"/>
      <c r="R1311" s="31">
        <f>M1311+Q1311</f>
        <v>2826</v>
      </c>
      <c r="S1311" s="56">
        <v>-524</v>
      </c>
      <c r="T1311" s="32">
        <f>R1311+S1311+IF(F1311="Without EV deal",L1311,0)</f>
        <v>2302</v>
      </c>
      <c r="U1311" s="57"/>
      <c r="V1311" s="58"/>
      <c r="W1311" s="58"/>
      <c r="X1311" s="30">
        <f>IF(AF1311="DoEV",IF(AND(V1311&lt;20,W1311&lt;55),0.3,0)+IF(AND(V1311&lt;20,W1311&gt;=55,W1311&lt;105),0.23,0)+IF(AND(V1311&lt;20,W1311&gt;=105),0.17,0)+IF(AND(V1311&gt;=20,V1311&lt;40,W1311&lt;45),0.3,0)+IF(AND(V1311&gt;=20,V1311&lt;40,W1311&gt;=45,W1311&lt;95),0.23,0)+IF(AND(V1311&gt;=20,V1311&lt;40,W1311&gt;=95),0.17,0)+IF(AND(V1311&gt;=40,V1311&lt;75,W1311&lt;35),0.3,0)+IF(AND(V1311&gt;=40,V1311&lt;75,W1311&gt;=35,W1311&lt;75),0.23,0)+IF(AND(V1311&gt;=40,V1311&lt;75,W1311&gt;=75,W1311&lt;120),0.17,0)+IF(AND(V1311&gt;=40,V1311&lt;75,W1311&gt;=120),0.12,0)+IF(AND(V1311&gt;=75,V1311&lt;175,W1311&lt;35),0.3,0)+IF(AND(V1311&gt;=75,V1311&lt;=175,W1311&gt;=35,W1311&lt;65),0.23,0)+IF(AND(V1311&gt;=75,V1311&lt;=175,W1311&gt;=65,W1311&lt;110),0.17,0)+IF(AND(V1311&gt;=75,V1311&lt;=175,W1311&gt;=110),0.12,0)+IF(AND(V1311&gt;175,W1311&lt;25),0.3,0)+IF(AND(V1311&gt;175,W1311&gt;=25,W1311&lt;55),0.23,0)+IF(AND(V1311&gt;175,W1311&gt;=55,W1311&lt;95),0.17,0)+IF(AND(V1311&gt;175,W1311&gt;=95),0.12,0),
IF(AF1311="Fix15",0.15,
IF(AF1311="Fix18.75",0.1875,
IF(AF1311="Fix11.25",0.1125,
IF(AF1311="Fix10",0.1,
IF(AF1311="Fix9",0.09,
IF(AF1311="Fix19",0.19,
IF(AF1311="DoEV2017",IF(AND(W1311&lt;74),0.2,0)+IF(AND(W1311&gt;=74),0.17,0),
IF(AF1311="SF",IF(AND(V1311&lt;20,W1311&lt;89),0.3,0)+IF(AND(V1311&lt;20,W1311&gt;=89),0.25,0)+IF(AND(V1311&gt;=20,V1311&lt;40,W1311&lt;74),0.3,0)+IF(AND(V1311&gt;=20,V1311&lt;40,W1311&gt;=75),0.22,0)+IF(AND(V1311&gt;=40,V1311&lt;75,W1311&lt;75),0.26,0)+IF(AND(V1311&gt;=40,V1311&lt;75,W1311&gt;=75),0.22,0)+IF(V1311&gt;=75,0.22,0),
IF(AF1311="DoEVold",IF(AND(V1311&lt;40,W1311&lt;35),0.35,0)+IF(AND(V1311&lt;40,W1311&gt;=35,W1311&lt;75),0.25,0)+IF(AND(V1311&lt;40,W1311&gt;=75),0.17,0)+IF(AND(V1311&gt;=40,V1311&lt;75,W1311&lt;25),0.35,0)+IF(AND(V1311&gt;=40,V1311&lt;75,W1311&gt;=25,W1311&lt;65),0.25,0)+IF(AND(V1311&gt;=40,V1311&lt;75,W1311&gt;=65,W1311&lt;100),0.17,0)+IF(AND(V1311&gt;=40,V1311&lt;75,W1311&gt;=100),0.1,0)+IF(AND(V1311&gt;=75,W1311&lt;25),0.35,0)+IF(AND(V1311&gt;=75,W1311&gt;=25,W1311&lt;60),0.25,0)+IF(AND(V1311&gt;=75,W1311&gt;=60,W1311&lt;95),0.17,0)+IF(AND(V1311&gt;=75,W1311&gt;=95),0.1,0),
IF(AF1311="DoEVold15",IF(AND(V1311&lt;=40,W1311&lt;35),0.35,0)+IF(AND(V1311&lt;=40,W1311&gt;=35,W1311&lt;75),0.25,0)+IF(AND(V1311&lt;=40,W1311&gt;=75,W1311&lt;120),0.17,0)+IF(AND(V1311&lt;=40,W1311&gt;=120),0.15,0)+IF(AND(V1311&gt;40,V1311&lt;75,W1311&lt;25),0.35,0)+IF(AND(V1311&gt;=40,V1311&lt;75,W1311&gt;=25,W1311&lt;65),0.25,0)+IF(AND(V1311&gt;=40,V1311&lt;75,W1311&gt;=65,W1311&lt;100),0.17,0)+IF(AND(V1311&gt;=40,V1311&lt;75,W1311&gt;=100),0.1,0)+IF(AND(V1311&gt;=75,W1311&lt;25),0.35,0)+IF(AND(V1311&gt;=75,W1311&gt;=25,W1311&lt;60),0.25,0)+IF(AND(V1311&gt;=75,W1311&gt;=60,W1311&lt;95),0.17,0)+IF(AND(V1311&gt;=75,W1311&gt;=95),0.1,0),
IF(AF1311="DoEVba",IF(AND(V1311&lt;20,W1311&lt;105),0.2,0)+IF(AND(V1311&lt;20,W1311&gt;=105),0.15,0)+IF(AND(V1311&gt;=20,V1311&lt;40,W1311&lt;95),0.2,0)+IF(AND(V1311&gt;=20,V1311&lt;40,W1311&gt;=95,W1311&lt;150),0.15,0)+IF(AND(V1311&gt;=20,V1311&lt;40,W1311&gt;=150),0.12,0)+IF(AND(V1311&gt;=40,V1311&lt;75,W1311&lt;75),0.2,0)+IF(AND(V1311&gt;=40,V1311&lt;75,W1311&gt;=75,W1311&lt;120),0.15,0)+IF(AND(V1311&gt;=40,V1311&lt;75,W1311&gt;=120),0.12,0)+IF(AND(V1311&gt;=75,V1311&lt;175,W1311&lt;65),0.2,0)+IF(AND(V1311&gt;=75,V1311&lt;175,W1311&gt;=65,W1311&lt;110),0.15,0)+IF(AND(V1311&gt;=75,V1311&lt;175,W1311&gt;=110),0.12,0)+IF(AND(V1311&gt;=175,W1311&lt;55),0.2,0)+IF(AND(V1311&gt;=175,W1311&gt;=55,W1311&lt;95),0.15,0)+IF(AND(V1311&gt;=175,W1311&gt;=95),0.12,0),
IF(AF1311="DoEVku",IF(AND(V1311&lt;20,W1311&lt;55),0.23,0)+IF(AND(V1311&lt;20,W1311&gt;=55,W1311&lt;105),0.2,0)+IF(AND(V1311&lt;20,W1311&gt;=105),0.17,0)+IF(AND(V1311&gt;=20,V1311&lt;40,W1311&lt;45),0.23,0)+IF(AND(V1311&gt;=20,V1311&lt;40,W1311&gt;=45,W1311&lt;95),0.2,0)+IF(AND(V1311&gt;=20,V1311&lt;40,W1311&gt;=95,W1311&lt;=150),0.17,0)+IF(AND(V1311&gt;=20,V1311&lt;40,W1311&gt;=150),0.12,0)+IF(AND(V1311&gt;=40,V1311&lt;75,W1311&lt;35),0.23,0)+IF(AND(V1311&gt;=40,V1311&lt;75,W1311&gt;=35,W1311&lt;75),0.2,0)+IF(AND(V1311&gt;=40,V1311&lt;75,W1311&gt;=75,W1311&lt;120),0.17,0)+IF(AND(V1311&gt;=40,V1311&lt;75,W1311&gt;=120),0.12,0)+IF(AND(V1311&gt;=75,V1311&lt;175,W1311&lt;35),0.23,0)+IF(AND(V1311&gt;=75,V1311&lt;=175,W1311&gt;=35,W1311&lt;65),0.2,0)+IF(AND(V1311&gt;=75,V1311&lt;=175,W1311&gt;=65,W1311&lt;110),0.17,0)+IF(AND(V1311&gt;=75,V1311&lt;=175,W1311&gt;=110),0.12,0)+IF(AND(V1311&gt;175,W1311&lt;25),0.23,0)+IF(AND(V1311&gt;175,W1311&gt;=25,W1311&lt;55),0.2,0)+IF(AND(V1311&gt;175,W1311&gt;=55,W1311&lt;95),0.17,0)+IF(AND(V1311&gt;175,W1311&gt;=95),0.12,0),
IF(AF1311="DoEVs1",IF(AND(V1311&lt;20,W1311&lt;55),0.3,0)+IF(AND(V1311&lt;20,W1311&gt;=55,W1311&lt;105),0.23,0)+IF(AND(V1311&lt;20,W1311&gt;=105),0.17,0)+IF(AND(V1311&gt;=20,V1311&lt;40,W1311&lt;45),0.3,0)+IF(AND(V1311&gt;=20,V1311&lt;40,W1311&gt;=45,W1311&lt;95),0.23,0)+IF(AND(V1311&gt;=20,V1311&lt;40,W1311&gt;=95,W1311&lt;=150),0.17,0)+IF(AND(V1311&gt;=20,V1311&lt;40,W1311&gt;=150),0.12,0)+IF(AND(V1311&gt;=40,V1311&lt;75,W1311&lt;35),0.3,0)+IF(AND(V1311&gt;=40,V1311&lt;75,W1311&gt;=35,W1311&lt;75),0.23,0)+IF(AND(V1311&gt;=40,V1311&lt;75,W1311&gt;=75,W1311&lt;120),0.17,0)+IF(AND(V1311&gt;=40,V1311&lt;75,W1311&gt;=120),0.12,0)+IF(AND(V1311&gt;=75,V1311&lt;175,W1311&lt;35),0.3,0)+IF(AND(V1311&gt;=75,V1311&lt;=175,W1311&gt;=35,W1311&lt;65),0.23,0)+IF(AND(V1311&gt;=75,V1311&lt;=175,W1311&gt;=65,W1311&lt;110),0.17,0)+IF(AND(V1311&gt;=75,V1311&lt;=175,W1311&gt;=110),0.12,0)+IF(AND(V1311&gt;175,W1311&lt;25),0.3,0)+IF(AND(V1311&gt;175,W1311&gt;=25,W1311&lt;55),0.23,0)+IF(AND(V1311&gt;175,W1311&gt;=55,W1311&lt;95),0.17,0)+IF(AND(V1311&gt;175,W1311&gt;=95),0.12,0),
IF(AF1311="DoEVsu",IF(AND(V1311&lt;20,W1311&lt;55),0.3,0)+IF(AND(V1311&lt;20,W1311&gt;=55,W1311&lt;105),0.23,0)+IF(AND(V1311&lt;20,W1311&gt;=105),0.17,0)+IF(AND(V1311&gt;=20,V1311&lt;40,W1311&lt;45),0.3,0)+IF(AND(V1311&gt;=20,V1311&lt;40,W1311&gt;=45,W1311&lt;95),0.23,0)+IF(AND(V1311&gt;=20,V1311&lt;40,W1311&gt;=95,W1311&lt;=250),0.17,0)+IF(AND(V1311&gt;=20,V1311&lt;40,W1311&gt;=250),0.12,0)+IF(AND(V1311&gt;=40,V1311&lt;75,W1311&lt;35),0.3,0)+IF(AND(V1311&gt;=40,V1311&lt;75,W1311&gt;=35,W1311&lt;75),0.23,0)+IF(AND(V1311&gt;=40,V1311&lt;75,W1311&gt;=75,W1311&lt;120),0.17,0)+IF(AND(V1311&gt;=40,V1311&lt;75,W1311&gt;=120),0.12,0)+IF(AND(V1311&gt;=75,V1311&lt;175,W1311&lt;35),0.3,0)+IF(AND(V1311&gt;=75,V1311&lt;=175,W1311&gt;=35,W1311&lt;65),0.23,0)+IF(AND(V1311&gt;=75,V1311&lt;=175,W1311&gt;=65,W1311&lt;110),0.17,0)+IF(AND(V1311&gt;=75,V1311&lt;=175,W1311&gt;=110),0.12,0)+IF(AND(V1311&gt;175,W1311&lt;25),0.3,0)+IF(AND(V1311&gt;175,W1311&gt;=25,W1311&lt;55),0.23,0)+IF(AND(V1311&gt;175,W1311&gt;=55,W1311&lt;95),0.17,0)+IF(AND(V1311&gt;175,W1311&gt;=95),0.12,0),
IF(AF1311="DoEVni",IF(AND(V1311&lt;20,W1311&lt;55),0.3,0)+IF(AND(V1311&lt;20,W1311&gt;=55,W1311&lt;105),0.23,0)+IF(AND(V1311&lt;20,W1311&gt;=105),0.17,0)+IF(AND(V1311&gt;=20,V1311&lt;40,W1311&lt;45),0.3,0)+IF(AND(V1311&gt;=20,V1311&lt;40,W1311&gt;=45,W1311&lt;95),0.23,0)+IF(AND(V1311&gt;=20,V1311&lt;40,W1311&gt;=95,W1311&lt;=200),0.17,0)+IF(AND(V1311&gt;=20,V1311&lt;40,W1311&gt;=200),0.12,0)+IF(AND(V1311&gt;=40,V1311&lt;75,W1311&lt;35),0.3,0)+IF(AND(V1311&gt;=40,V1311&lt;75,W1311&gt;=35,W1311&lt;75),0.23,0)+IF(AND(V1311&gt;=40,V1311&lt;75,W1311&gt;=75,W1311&lt;120),0.17,0)+IF(AND(V1311&gt;=40,V1311&lt;75,W1311&gt;=120),0.12,0)+IF(AND(V1311&gt;=75,V1311&lt;175,W1311&lt;35),0.3,0)+IF(AND(V1311&gt;=75,V1311&lt;=175,W1311&gt;=35,W1311&lt;65),0.23,0)+IF(AND(V1311&gt;=75,V1311&lt;=175,W1311&gt;=65,W1311&lt;110),0.17,0)+IF(AND(V1311&gt;=75,V1311&lt;=175,W1311&gt;=110),0.12,0)+IF(AND(V1311&gt;175,W1311&lt;25),0.3,0)+IF(AND(V1311&gt;175,W1311&gt;=25,W1311&lt;55),0.23,0)+IF(AND(V1311&gt;175,W1311&gt;=55,W1311&lt;95),0.17,0)+IF(AND(V1311&gt;175,W1311&gt;=95),0.12,0),
IF(AF1311="DoEVLo",IF(AND(V1311&lt;20,W1311&lt;55),0.25,0)+IF(AND(V1311&lt;20,W1311&gt;=55,W1311&lt;105),0.2,0)+IF(AND(V1311&lt;20,W1311&gt;=105),0.15,0)+IF(AND(V1311&gt;=20,V1311&lt;40,W1311&lt;45),0.25,0)+IF(AND(V1311&gt;=20,V1311&lt;40,W1311&gt;=45,W1311&lt;95),0.2,0)+IF(AND(V1311&gt;=20,V1311&lt;40,W1311&gt;=95),0.15,0)+IF(AND(V1311&gt;=40,V1311&lt;75,W1311&lt;35),0.25,0)+IF(AND(V1311&gt;=40,V1311&lt;75,W1311&gt;=35,W1311&lt;75),0.2,0)+IF(AND(V1311&gt;=40,V1311&lt;75,W1311&gt;=75,W1311&lt;120),0.15,0)+IF(AND(V1311&gt;=40,V1311&lt;75,W1311&gt;=120),0.1,0)+IF(AND(V1311&gt;=75,V1311&lt;175,W1311&lt;35),0.25,0)+IF(AND(V1311&gt;=75,V1311&lt;=175,W1311&gt;=35,W1311&lt;65),0.2,0)+IF(AND(V1311&gt;=75,V1311&lt;=175,W1311&gt;=65,W1311&lt;110),0.15,0)+IF(AND(V1311&gt;=75,V1311&lt;=175,W1311&gt;=110),0.1,0)+IF(AND(V1311&gt;175,W1311&lt;25),0.25,0)+IF(AND(V1311&gt;175,W1311&gt;=25,W1311&lt;55),0.2,0)+IF(AND(V1311&gt;175,W1311&gt;=55,W1311&lt;95),0.15,0)+IF(AND(V1311&gt;175,W1311&gt;=95),0.1,0))))))))))))))))))</f>
        <v>0.1</v>
      </c>
      <c r="Y1311" s="30">
        <f>IF(AG1311="None",0,IF(AG1311="Fix5",0.05, IF(AG1311="Fix6.25",0.0625,IF(AG1311="Fix3.75",0.0375,IF(AG1311="Fix10",0.1,IF(AG1311="Fix3",0.03,0))))))</f>
        <v>0</v>
      </c>
      <c r="Z1311" s="35">
        <f>T1311-AA1311-AB1311</f>
        <v>2071.8000000000002</v>
      </c>
      <c r="AA1311" s="29">
        <f>IF(AD1311="EUR",((T1311-R1311)*X1311)*U1311+(R1311*X1311),(T1311*X1311))</f>
        <v>230.20000000000002</v>
      </c>
      <c r="AB1311" s="36">
        <f>IF(AD1311="EUR",((T1311-R1311)*Y1311)*U1311+(R1311*Y1311),(T1311*Y1311))</f>
        <v>0</v>
      </c>
      <c r="AC1311" s="37" t="b">
        <v>1</v>
      </c>
      <c r="AD1311" s="37" t="s">
        <v>38</v>
      </c>
      <c r="AE1311" s="37" t="s">
        <v>38</v>
      </c>
      <c r="AF1311" s="37" t="str">
        <f t="array" ref="AF1311">INDEX('Deal Info'!D:D, MATCH(A1311,'Deal Info'!A:A, 0))</f>
        <v>Fix10</v>
      </c>
      <c r="AG1311" s="38" t="str">
        <f t="array" ref="AG1311">INDEX('Deal Info'!G:G, MATCH(A1311,'Deal Info'!A:A, 0))</f>
        <v>None</v>
      </c>
    </row>
    <row r="1312" spans="1:33" ht="14.25" hidden="1" x14ac:dyDescent="0.2">
      <c r="A1312" s="18" t="str">
        <f t="array" ref="A1312">IF(G1312='Room Info'!$B$1, INDEX('Room Info'!$A$2:$A2446, MATCH(B1312,'Room Info'!$B$2:$B2446, 0)),IF(G1312='Room Info'!$C$1, INDEX('Room Info'!$A$2:$A2446, MATCH(B1312,'Room Info'!$C$2:$C2446, 0)),IF(G1312='Room Info'!$D$1, INDEX('Room Info'!$A$2:$A2446, MATCH(B1312,'Room Info'!$D$2:$D2446, 0)),IF(G1312='Room Info'!$E$1, INDEX('Room Info'!$A$2:$A2446, MATCH(B1312,'Room Info'!$E$2:$E2446, 0)),IF(G1312='Room Info'!$F$1, INDEX('Room Info'!$A$2:$A2446, MATCH(B1312,'Room Info'!$F$2:$F2446, 0)),IF(G1312='Room Info'!$H$1, INDEX('Room Info'!$A$2:$A2446, MATCH(B1312,'Room Info'!$H$2:$H2446, 0)),IF(G1312='Room Info'!$G$1, INDEX('Room Info'!$A$2:$A2446, MATCH(B1312,'Room Info'!$G$2:$G2446, 0)))))))))</f>
        <v>volkovsky</v>
      </c>
      <c r="B1312" s="45" t="s">
        <v>206</v>
      </c>
      <c r="C1312" s="46">
        <v>44582</v>
      </c>
      <c r="D1312" s="46">
        <v>44612</v>
      </c>
      <c r="E1312" s="47">
        <v>44593</v>
      </c>
      <c r="F1312" s="48" t="s">
        <v>34</v>
      </c>
      <c r="G1312" s="45" t="s">
        <v>35</v>
      </c>
      <c r="H1312" s="49" t="s">
        <v>84</v>
      </c>
      <c r="I1312" s="49" t="s">
        <v>44</v>
      </c>
      <c r="J1312" s="50">
        <v>100</v>
      </c>
      <c r="K1312" s="51">
        <v>1</v>
      </c>
      <c r="L1312" s="52">
        <v>-100</v>
      </c>
      <c r="M1312" s="53">
        <v>3</v>
      </c>
      <c r="N1312" s="28">
        <f>K1312*J1312</f>
        <v>100</v>
      </c>
      <c r="O1312" s="54">
        <v>-165</v>
      </c>
      <c r="P1312" s="29">
        <v>-165</v>
      </c>
      <c r="Q1312" s="55"/>
      <c r="R1312" s="31">
        <f>M1312+Q1312</f>
        <v>3</v>
      </c>
      <c r="S1312" s="56">
        <v>-57</v>
      </c>
      <c r="T1312" s="32">
        <f>R1312+S1312+IF(F1312="Without EV deal",L1312,0)</f>
        <v>-54</v>
      </c>
      <c r="U1312" s="57"/>
      <c r="V1312" s="58"/>
      <c r="W1312" s="58"/>
      <c r="X1312" s="30">
        <f>IF(AF1312="DoEV",IF(AND(V1312&lt;20,W1312&lt;55),0.3,0)+IF(AND(V1312&lt;20,W1312&gt;=55,W1312&lt;105),0.23,0)+IF(AND(V1312&lt;20,W1312&gt;=105),0.17,0)+IF(AND(V1312&gt;=20,V1312&lt;40,W1312&lt;45),0.3,0)+IF(AND(V1312&gt;=20,V1312&lt;40,W1312&gt;=45,W1312&lt;95),0.23,0)+IF(AND(V1312&gt;=20,V1312&lt;40,W1312&gt;=95),0.17,0)+IF(AND(V1312&gt;=40,V1312&lt;75,W1312&lt;35),0.3,0)+IF(AND(V1312&gt;=40,V1312&lt;75,W1312&gt;=35,W1312&lt;75),0.23,0)+IF(AND(V1312&gt;=40,V1312&lt;75,W1312&gt;=75,W1312&lt;120),0.17,0)+IF(AND(V1312&gt;=40,V1312&lt;75,W1312&gt;=120),0.12,0)+IF(AND(V1312&gt;=75,V1312&lt;175,W1312&lt;35),0.3,0)+IF(AND(V1312&gt;=75,V1312&lt;=175,W1312&gt;=35,W1312&lt;65),0.23,0)+IF(AND(V1312&gt;=75,V1312&lt;=175,W1312&gt;=65,W1312&lt;110),0.17,0)+IF(AND(V1312&gt;=75,V1312&lt;=175,W1312&gt;=110),0.12,0)+IF(AND(V1312&gt;175,W1312&lt;25),0.3,0)+IF(AND(V1312&gt;175,W1312&gt;=25,W1312&lt;55),0.23,0)+IF(AND(V1312&gt;175,W1312&gt;=55,W1312&lt;95),0.17,0)+IF(AND(V1312&gt;175,W1312&gt;=95),0.12,0),
IF(AF1312="Fix15",0.15,
IF(AF1312="Fix18.75",0.1875,
IF(AF1312="Fix11.25",0.1125,
IF(AF1312="Fix10",0.1,
IF(AF1312="Fix9",0.09,
IF(AF1312="Fix19",0.19,
IF(AF1312="DoEV2017",IF(AND(W1312&lt;74),0.2,0)+IF(AND(W1312&gt;=74),0.17,0),
IF(AF1312="SF",IF(AND(V1312&lt;20,W1312&lt;89),0.3,0)+IF(AND(V1312&lt;20,W1312&gt;=89),0.25,0)+IF(AND(V1312&gt;=20,V1312&lt;40,W1312&lt;74),0.3,0)+IF(AND(V1312&gt;=20,V1312&lt;40,W1312&gt;=75),0.22,0)+IF(AND(V1312&gt;=40,V1312&lt;75,W1312&lt;75),0.26,0)+IF(AND(V1312&gt;=40,V1312&lt;75,W1312&gt;=75),0.22,0)+IF(V1312&gt;=75,0.22,0),
IF(AF1312="DoEVold",IF(AND(V1312&lt;40,W1312&lt;35),0.35,0)+IF(AND(V1312&lt;40,W1312&gt;=35,W1312&lt;75),0.25,0)+IF(AND(V1312&lt;40,W1312&gt;=75),0.17,0)+IF(AND(V1312&gt;=40,V1312&lt;75,W1312&lt;25),0.35,0)+IF(AND(V1312&gt;=40,V1312&lt;75,W1312&gt;=25,W1312&lt;65),0.25,0)+IF(AND(V1312&gt;=40,V1312&lt;75,W1312&gt;=65,W1312&lt;100),0.17,0)+IF(AND(V1312&gt;=40,V1312&lt;75,W1312&gt;=100),0.1,0)+IF(AND(V1312&gt;=75,W1312&lt;25),0.35,0)+IF(AND(V1312&gt;=75,W1312&gt;=25,W1312&lt;60),0.25,0)+IF(AND(V1312&gt;=75,W1312&gt;=60,W1312&lt;95),0.17,0)+IF(AND(V1312&gt;=75,W1312&gt;=95),0.1,0),
IF(AF1312="DoEVold15",IF(AND(V1312&lt;=40,W1312&lt;35),0.35,0)+IF(AND(V1312&lt;=40,W1312&gt;=35,W1312&lt;75),0.25,0)+IF(AND(V1312&lt;=40,W1312&gt;=75,W1312&lt;120),0.17,0)+IF(AND(V1312&lt;=40,W1312&gt;=120),0.15,0)+IF(AND(V1312&gt;40,V1312&lt;75,W1312&lt;25),0.35,0)+IF(AND(V1312&gt;=40,V1312&lt;75,W1312&gt;=25,W1312&lt;65),0.25,0)+IF(AND(V1312&gt;=40,V1312&lt;75,W1312&gt;=65,W1312&lt;100),0.17,0)+IF(AND(V1312&gt;=40,V1312&lt;75,W1312&gt;=100),0.1,0)+IF(AND(V1312&gt;=75,W1312&lt;25),0.35,0)+IF(AND(V1312&gt;=75,W1312&gt;=25,W1312&lt;60),0.25,0)+IF(AND(V1312&gt;=75,W1312&gt;=60,W1312&lt;95),0.17,0)+IF(AND(V1312&gt;=75,W1312&gt;=95),0.1,0),
IF(AF1312="DoEVba",IF(AND(V1312&lt;20,W1312&lt;105),0.2,0)+IF(AND(V1312&lt;20,W1312&gt;=105),0.15,0)+IF(AND(V1312&gt;=20,V1312&lt;40,W1312&lt;95),0.2,0)+IF(AND(V1312&gt;=20,V1312&lt;40,W1312&gt;=95,W1312&lt;150),0.15,0)+IF(AND(V1312&gt;=20,V1312&lt;40,W1312&gt;=150),0.12,0)+IF(AND(V1312&gt;=40,V1312&lt;75,W1312&lt;75),0.2,0)+IF(AND(V1312&gt;=40,V1312&lt;75,W1312&gt;=75,W1312&lt;120),0.15,0)+IF(AND(V1312&gt;=40,V1312&lt;75,W1312&gt;=120),0.12,0)+IF(AND(V1312&gt;=75,V1312&lt;175,W1312&lt;65),0.2,0)+IF(AND(V1312&gt;=75,V1312&lt;175,W1312&gt;=65,W1312&lt;110),0.15,0)+IF(AND(V1312&gt;=75,V1312&lt;175,W1312&gt;=110),0.12,0)+IF(AND(V1312&gt;=175,W1312&lt;55),0.2,0)+IF(AND(V1312&gt;=175,W1312&gt;=55,W1312&lt;95),0.15,0)+IF(AND(V1312&gt;=175,W1312&gt;=95),0.12,0),
IF(AF1312="DoEVku",IF(AND(V1312&lt;20,W1312&lt;55),0.23,0)+IF(AND(V1312&lt;20,W1312&gt;=55,W1312&lt;105),0.2,0)+IF(AND(V1312&lt;20,W1312&gt;=105),0.17,0)+IF(AND(V1312&gt;=20,V1312&lt;40,W1312&lt;45),0.23,0)+IF(AND(V1312&gt;=20,V1312&lt;40,W1312&gt;=45,W1312&lt;95),0.2,0)+IF(AND(V1312&gt;=20,V1312&lt;40,W1312&gt;=95,W1312&lt;=150),0.17,0)+IF(AND(V1312&gt;=20,V1312&lt;40,W1312&gt;=150),0.12,0)+IF(AND(V1312&gt;=40,V1312&lt;75,W1312&lt;35),0.23,0)+IF(AND(V1312&gt;=40,V1312&lt;75,W1312&gt;=35,W1312&lt;75),0.2,0)+IF(AND(V1312&gt;=40,V1312&lt;75,W1312&gt;=75,W1312&lt;120),0.17,0)+IF(AND(V1312&gt;=40,V1312&lt;75,W1312&gt;=120),0.12,0)+IF(AND(V1312&gt;=75,V1312&lt;175,W1312&lt;35),0.23,0)+IF(AND(V1312&gt;=75,V1312&lt;=175,W1312&gt;=35,W1312&lt;65),0.2,0)+IF(AND(V1312&gt;=75,V1312&lt;=175,W1312&gt;=65,W1312&lt;110),0.17,0)+IF(AND(V1312&gt;=75,V1312&lt;=175,W1312&gt;=110),0.12,0)+IF(AND(V1312&gt;175,W1312&lt;25),0.23,0)+IF(AND(V1312&gt;175,W1312&gt;=25,W1312&lt;55),0.2,0)+IF(AND(V1312&gt;175,W1312&gt;=55,W1312&lt;95),0.17,0)+IF(AND(V1312&gt;175,W1312&gt;=95),0.12,0),
IF(AF1312="DoEVs1",IF(AND(V1312&lt;20,W1312&lt;55),0.3,0)+IF(AND(V1312&lt;20,W1312&gt;=55,W1312&lt;105),0.23,0)+IF(AND(V1312&lt;20,W1312&gt;=105),0.17,0)+IF(AND(V1312&gt;=20,V1312&lt;40,W1312&lt;45),0.3,0)+IF(AND(V1312&gt;=20,V1312&lt;40,W1312&gt;=45,W1312&lt;95),0.23,0)+IF(AND(V1312&gt;=20,V1312&lt;40,W1312&gt;=95,W1312&lt;=150),0.17,0)+IF(AND(V1312&gt;=20,V1312&lt;40,W1312&gt;=150),0.12,0)+IF(AND(V1312&gt;=40,V1312&lt;75,W1312&lt;35),0.3,0)+IF(AND(V1312&gt;=40,V1312&lt;75,W1312&gt;=35,W1312&lt;75),0.23,0)+IF(AND(V1312&gt;=40,V1312&lt;75,W1312&gt;=75,W1312&lt;120),0.17,0)+IF(AND(V1312&gt;=40,V1312&lt;75,W1312&gt;=120),0.12,0)+IF(AND(V1312&gt;=75,V1312&lt;175,W1312&lt;35),0.3,0)+IF(AND(V1312&gt;=75,V1312&lt;=175,W1312&gt;=35,W1312&lt;65),0.23,0)+IF(AND(V1312&gt;=75,V1312&lt;=175,W1312&gt;=65,W1312&lt;110),0.17,0)+IF(AND(V1312&gt;=75,V1312&lt;=175,W1312&gt;=110),0.12,0)+IF(AND(V1312&gt;175,W1312&lt;25),0.3,0)+IF(AND(V1312&gt;175,W1312&gt;=25,W1312&lt;55),0.23,0)+IF(AND(V1312&gt;175,W1312&gt;=55,W1312&lt;95),0.17,0)+IF(AND(V1312&gt;175,W1312&gt;=95),0.12,0),
IF(AF1312="DoEVsu",IF(AND(V1312&lt;20,W1312&lt;55),0.3,0)+IF(AND(V1312&lt;20,W1312&gt;=55,W1312&lt;105),0.23,0)+IF(AND(V1312&lt;20,W1312&gt;=105),0.17,0)+IF(AND(V1312&gt;=20,V1312&lt;40,W1312&lt;45),0.3,0)+IF(AND(V1312&gt;=20,V1312&lt;40,W1312&gt;=45,W1312&lt;95),0.23,0)+IF(AND(V1312&gt;=20,V1312&lt;40,W1312&gt;=95,W1312&lt;=250),0.17,0)+IF(AND(V1312&gt;=20,V1312&lt;40,W1312&gt;=250),0.12,0)+IF(AND(V1312&gt;=40,V1312&lt;75,W1312&lt;35),0.3,0)+IF(AND(V1312&gt;=40,V1312&lt;75,W1312&gt;=35,W1312&lt;75),0.23,0)+IF(AND(V1312&gt;=40,V1312&lt;75,W1312&gt;=75,W1312&lt;120),0.17,0)+IF(AND(V1312&gt;=40,V1312&lt;75,W1312&gt;=120),0.12,0)+IF(AND(V1312&gt;=75,V1312&lt;175,W1312&lt;35),0.3,0)+IF(AND(V1312&gt;=75,V1312&lt;=175,W1312&gt;=35,W1312&lt;65),0.23,0)+IF(AND(V1312&gt;=75,V1312&lt;=175,W1312&gt;=65,W1312&lt;110),0.17,0)+IF(AND(V1312&gt;=75,V1312&lt;=175,W1312&gt;=110),0.12,0)+IF(AND(V1312&gt;175,W1312&lt;25),0.3,0)+IF(AND(V1312&gt;175,W1312&gt;=25,W1312&lt;55),0.23,0)+IF(AND(V1312&gt;175,W1312&gt;=55,W1312&lt;95),0.17,0)+IF(AND(V1312&gt;175,W1312&gt;=95),0.12,0),
IF(AF1312="DoEVni",IF(AND(V1312&lt;20,W1312&lt;55),0.3,0)+IF(AND(V1312&lt;20,W1312&gt;=55,W1312&lt;105),0.23,0)+IF(AND(V1312&lt;20,W1312&gt;=105),0.17,0)+IF(AND(V1312&gt;=20,V1312&lt;40,W1312&lt;45),0.3,0)+IF(AND(V1312&gt;=20,V1312&lt;40,W1312&gt;=45,W1312&lt;95),0.23,0)+IF(AND(V1312&gt;=20,V1312&lt;40,W1312&gt;=95,W1312&lt;=200),0.17,0)+IF(AND(V1312&gt;=20,V1312&lt;40,W1312&gt;=200),0.12,0)+IF(AND(V1312&gt;=40,V1312&lt;75,W1312&lt;35),0.3,0)+IF(AND(V1312&gt;=40,V1312&lt;75,W1312&gt;=35,W1312&lt;75),0.23,0)+IF(AND(V1312&gt;=40,V1312&lt;75,W1312&gt;=75,W1312&lt;120),0.17,0)+IF(AND(V1312&gt;=40,V1312&lt;75,W1312&gt;=120),0.12,0)+IF(AND(V1312&gt;=75,V1312&lt;175,W1312&lt;35),0.3,0)+IF(AND(V1312&gt;=75,V1312&lt;=175,W1312&gt;=35,W1312&lt;65),0.23,0)+IF(AND(V1312&gt;=75,V1312&lt;=175,W1312&gt;=65,W1312&lt;110),0.17,0)+IF(AND(V1312&gt;=75,V1312&lt;=175,W1312&gt;=110),0.12,0)+IF(AND(V1312&gt;175,W1312&lt;25),0.3,0)+IF(AND(V1312&gt;175,W1312&gt;=25,W1312&lt;55),0.23,0)+IF(AND(V1312&gt;175,W1312&gt;=55,W1312&lt;95),0.17,0)+IF(AND(V1312&gt;175,W1312&gt;=95),0.12,0),
IF(AF1312="DoEVLo",IF(AND(V1312&lt;20,W1312&lt;55),0.25,0)+IF(AND(V1312&lt;20,W1312&gt;=55,W1312&lt;105),0.2,0)+IF(AND(V1312&lt;20,W1312&gt;=105),0.15,0)+IF(AND(V1312&gt;=20,V1312&lt;40,W1312&lt;45),0.25,0)+IF(AND(V1312&gt;=20,V1312&lt;40,W1312&gt;=45,W1312&lt;95),0.2,0)+IF(AND(V1312&gt;=20,V1312&lt;40,W1312&gt;=95),0.15,0)+IF(AND(V1312&gt;=40,V1312&lt;75,W1312&lt;35),0.25,0)+IF(AND(V1312&gt;=40,V1312&lt;75,W1312&gt;=35,W1312&lt;75),0.2,0)+IF(AND(V1312&gt;=40,V1312&lt;75,W1312&gt;=75,W1312&lt;120),0.15,0)+IF(AND(V1312&gt;=40,V1312&lt;75,W1312&gt;=120),0.1,0)+IF(AND(V1312&gt;=75,V1312&lt;175,W1312&lt;35),0.25,0)+IF(AND(V1312&gt;=75,V1312&lt;=175,W1312&gt;=35,W1312&lt;65),0.2,0)+IF(AND(V1312&gt;=75,V1312&lt;=175,W1312&gt;=65,W1312&lt;110),0.15,0)+IF(AND(V1312&gt;=75,V1312&lt;=175,W1312&gt;=110),0.1,0)+IF(AND(V1312&gt;175,W1312&lt;25),0.25,0)+IF(AND(V1312&gt;175,W1312&gt;=25,W1312&lt;55),0.2,0)+IF(AND(V1312&gt;175,W1312&gt;=55,W1312&lt;95),0.15,0)+IF(AND(V1312&gt;175,W1312&gt;=95),0.1,0))))))))))))))))))</f>
        <v>0.1</v>
      </c>
      <c r="Y1312" s="30">
        <f>IF(AG1312="None",0,IF(AG1312="Fix5",0.05, IF(AG1312="Fix6.25",0.0625,IF(AG1312="Fix3.75",0.0375,IF(AG1312="Fix10",0.1,IF(AG1312="Fix3",0.03,0))))))</f>
        <v>0</v>
      </c>
      <c r="Z1312" s="35">
        <f>T1312-AA1312-AB1312</f>
        <v>-48.6</v>
      </c>
      <c r="AA1312" s="29">
        <f>IF(AD1312="EUR",((T1312-R1312)*X1312)*U1312+(R1312*X1312),(T1312*X1312))</f>
        <v>-5.4</v>
      </c>
      <c r="AB1312" s="36">
        <f>IF(AD1312="EUR",((T1312-R1312)*Y1312)*U1312+(R1312*Y1312),(T1312*Y1312))</f>
        <v>0</v>
      </c>
      <c r="AC1312" s="37" t="b">
        <v>1</v>
      </c>
      <c r="AD1312" s="37" t="s">
        <v>38</v>
      </c>
      <c r="AE1312" s="37" t="s">
        <v>38</v>
      </c>
      <c r="AF1312" s="37" t="str">
        <f t="array" ref="AF1312">INDEX('Deal Info'!D:D, MATCH(A1312,'Deal Info'!A:A, 0))</f>
        <v>Fix10</v>
      </c>
      <c r="AG1312" s="38" t="str">
        <f t="array" ref="AG1312">INDEX('Deal Info'!G:G, MATCH(A1312,'Deal Info'!A:A, 0))</f>
        <v>None</v>
      </c>
    </row>
    <row r="1313" spans="1:33" ht="14.25" hidden="1" x14ac:dyDescent="0.2">
      <c r="A1313" s="18" t="str">
        <f t="array" ref="A1313">IF(G1313='Room Info'!$B$1, INDEX('Room Info'!$A$2:$A2446, MATCH(B1313,'Room Info'!$B$2:$B2446, 0)),IF(G1313='Room Info'!$C$1, INDEX('Room Info'!$A$2:$A2446, MATCH(B1313,'Room Info'!$C$2:$C2446, 0)),IF(G1313='Room Info'!$D$1, INDEX('Room Info'!$A$2:$A2446, MATCH(B1313,'Room Info'!$D$2:$D2446, 0)),IF(G1313='Room Info'!$E$1, INDEX('Room Info'!$A$2:$A2446, MATCH(B1313,'Room Info'!$E$2:$E2446, 0)),IF(G1313='Room Info'!$F$1, INDEX('Room Info'!$A$2:$A2446, MATCH(B1313,'Room Info'!$F$2:$F2446, 0)),IF(G1313='Room Info'!$H$1, INDEX('Room Info'!$A$2:$A2446, MATCH(B1313,'Room Info'!$H$2:$H2446, 0)),IF(G1313='Room Info'!$G$1, INDEX('Room Info'!$A$2:$A2446, MATCH(B1313,'Room Info'!$G$2:$G2446, 0)))))))))</f>
        <v>volkovsky</v>
      </c>
      <c r="B1313" s="54" t="s">
        <v>206</v>
      </c>
      <c r="C1313" s="46">
        <v>44582</v>
      </c>
      <c r="D1313" s="46">
        <v>44612</v>
      </c>
      <c r="E1313" s="47">
        <v>44593</v>
      </c>
      <c r="F1313" s="48" t="s">
        <v>34</v>
      </c>
      <c r="G1313" s="54" t="s">
        <v>35</v>
      </c>
      <c r="H1313" s="54" t="s">
        <v>88</v>
      </c>
      <c r="I1313" s="49" t="s">
        <v>37</v>
      </c>
      <c r="J1313" s="50">
        <v>250</v>
      </c>
      <c r="K1313" s="51">
        <v>680</v>
      </c>
      <c r="L1313" s="52">
        <v>1000</v>
      </c>
      <c r="M1313" s="53">
        <v>4478</v>
      </c>
      <c r="N1313" s="28">
        <f>K1313*J1313</f>
        <v>170000</v>
      </c>
      <c r="O1313" s="54">
        <v>19011</v>
      </c>
      <c r="P1313" s="29">
        <v>27.95735294</v>
      </c>
      <c r="Q1313" s="55"/>
      <c r="R1313" s="31">
        <f>M1313+Q1313</f>
        <v>4478</v>
      </c>
      <c r="S1313" s="56">
        <v>177</v>
      </c>
      <c r="T1313" s="32">
        <f>R1313+S1313+IF(F1313="Without EV deal",L1313,0)</f>
        <v>4655</v>
      </c>
      <c r="U1313" s="57"/>
      <c r="V1313" s="58"/>
      <c r="W1313" s="58"/>
      <c r="X1313" s="30">
        <f>IF(AF1313="DoEV",IF(AND(V1313&lt;20,W1313&lt;55),0.3,0)+IF(AND(V1313&lt;20,W1313&gt;=55,W1313&lt;105),0.23,0)+IF(AND(V1313&lt;20,W1313&gt;=105),0.17,0)+IF(AND(V1313&gt;=20,V1313&lt;40,W1313&lt;45),0.3,0)+IF(AND(V1313&gt;=20,V1313&lt;40,W1313&gt;=45,W1313&lt;95),0.23,0)+IF(AND(V1313&gt;=20,V1313&lt;40,W1313&gt;=95),0.17,0)+IF(AND(V1313&gt;=40,V1313&lt;75,W1313&lt;35),0.3,0)+IF(AND(V1313&gt;=40,V1313&lt;75,W1313&gt;=35,W1313&lt;75),0.23,0)+IF(AND(V1313&gt;=40,V1313&lt;75,W1313&gt;=75,W1313&lt;120),0.17,0)+IF(AND(V1313&gt;=40,V1313&lt;75,W1313&gt;=120),0.12,0)+IF(AND(V1313&gt;=75,V1313&lt;175,W1313&lt;35),0.3,0)+IF(AND(V1313&gt;=75,V1313&lt;=175,W1313&gt;=35,W1313&lt;65),0.23,0)+IF(AND(V1313&gt;=75,V1313&lt;=175,W1313&gt;=65,W1313&lt;110),0.17,0)+IF(AND(V1313&gt;=75,V1313&lt;=175,W1313&gt;=110),0.12,0)+IF(AND(V1313&gt;175,W1313&lt;25),0.3,0)+IF(AND(V1313&gt;175,W1313&gt;=25,W1313&lt;55),0.23,0)+IF(AND(V1313&gt;175,W1313&gt;=55,W1313&lt;95),0.17,0)+IF(AND(V1313&gt;175,W1313&gt;=95),0.12,0),
IF(AF1313="Fix15",0.15,
IF(AF1313="Fix18.75",0.1875,
IF(AF1313="Fix11.25",0.1125,
IF(AF1313="Fix10",0.1,
IF(AF1313="Fix9",0.09,
IF(AF1313="Fix19",0.19,
IF(AF1313="DoEV2017",IF(AND(W1313&lt;74),0.2,0)+IF(AND(W1313&gt;=74),0.17,0),
IF(AF1313="SF",IF(AND(V1313&lt;20,W1313&lt;89),0.3,0)+IF(AND(V1313&lt;20,W1313&gt;=89),0.25,0)+IF(AND(V1313&gt;=20,V1313&lt;40,W1313&lt;74),0.3,0)+IF(AND(V1313&gt;=20,V1313&lt;40,W1313&gt;=75),0.22,0)+IF(AND(V1313&gt;=40,V1313&lt;75,W1313&lt;75),0.26,0)+IF(AND(V1313&gt;=40,V1313&lt;75,W1313&gt;=75),0.22,0)+IF(V1313&gt;=75,0.22,0),
IF(AF1313="DoEVold",IF(AND(V1313&lt;40,W1313&lt;35),0.35,0)+IF(AND(V1313&lt;40,W1313&gt;=35,W1313&lt;75),0.25,0)+IF(AND(V1313&lt;40,W1313&gt;=75),0.17,0)+IF(AND(V1313&gt;=40,V1313&lt;75,W1313&lt;25),0.35,0)+IF(AND(V1313&gt;=40,V1313&lt;75,W1313&gt;=25,W1313&lt;65),0.25,0)+IF(AND(V1313&gt;=40,V1313&lt;75,W1313&gt;=65,W1313&lt;100),0.17,0)+IF(AND(V1313&gt;=40,V1313&lt;75,W1313&gt;=100),0.1,0)+IF(AND(V1313&gt;=75,W1313&lt;25),0.35,0)+IF(AND(V1313&gt;=75,W1313&gt;=25,W1313&lt;60),0.25,0)+IF(AND(V1313&gt;=75,W1313&gt;=60,W1313&lt;95),0.17,0)+IF(AND(V1313&gt;=75,W1313&gt;=95),0.1,0),
IF(AF1313="DoEVold15",IF(AND(V1313&lt;=40,W1313&lt;35),0.35,0)+IF(AND(V1313&lt;=40,W1313&gt;=35,W1313&lt;75),0.25,0)+IF(AND(V1313&lt;=40,W1313&gt;=75,W1313&lt;120),0.17,0)+IF(AND(V1313&lt;=40,W1313&gt;=120),0.15,0)+IF(AND(V1313&gt;40,V1313&lt;75,W1313&lt;25),0.35,0)+IF(AND(V1313&gt;=40,V1313&lt;75,W1313&gt;=25,W1313&lt;65),0.25,0)+IF(AND(V1313&gt;=40,V1313&lt;75,W1313&gt;=65,W1313&lt;100),0.17,0)+IF(AND(V1313&gt;=40,V1313&lt;75,W1313&gt;=100),0.1,0)+IF(AND(V1313&gt;=75,W1313&lt;25),0.35,0)+IF(AND(V1313&gt;=75,W1313&gt;=25,W1313&lt;60),0.25,0)+IF(AND(V1313&gt;=75,W1313&gt;=60,W1313&lt;95),0.17,0)+IF(AND(V1313&gt;=75,W1313&gt;=95),0.1,0),
IF(AF1313="DoEVba",IF(AND(V1313&lt;20,W1313&lt;105),0.2,0)+IF(AND(V1313&lt;20,W1313&gt;=105),0.15,0)+IF(AND(V1313&gt;=20,V1313&lt;40,W1313&lt;95),0.2,0)+IF(AND(V1313&gt;=20,V1313&lt;40,W1313&gt;=95,W1313&lt;150),0.15,0)+IF(AND(V1313&gt;=20,V1313&lt;40,W1313&gt;=150),0.12,0)+IF(AND(V1313&gt;=40,V1313&lt;75,W1313&lt;75),0.2,0)+IF(AND(V1313&gt;=40,V1313&lt;75,W1313&gt;=75,W1313&lt;120),0.15,0)+IF(AND(V1313&gt;=40,V1313&lt;75,W1313&gt;=120),0.12,0)+IF(AND(V1313&gt;=75,V1313&lt;175,W1313&lt;65),0.2,0)+IF(AND(V1313&gt;=75,V1313&lt;175,W1313&gt;=65,W1313&lt;110),0.15,0)+IF(AND(V1313&gt;=75,V1313&lt;175,W1313&gt;=110),0.12,0)+IF(AND(V1313&gt;=175,W1313&lt;55),0.2,0)+IF(AND(V1313&gt;=175,W1313&gt;=55,W1313&lt;95),0.15,0)+IF(AND(V1313&gt;=175,W1313&gt;=95),0.12,0),
IF(AF1313="DoEVku",IF(AND(V1313&lt;20,W1313&lt;55),0.23,0)+IF(AND(V1313&lt;20,W1313&gt;=55,W1313&lt;105),0.2,0)+IF(AND(V1313&lt;20,W1313&gt;=105),0.17,0)+IF(AND(V1313&gt;=20,V1313&lt;40,W1313&lt;45),0.23,0)+IF(AND(V1313&gt;=20,V1313&lt;40,W1313&gt;=45,W1313&lt;95),0.2,0)+IF(AND(V1313&gt;=20,V1313&lt;40,W1313&gt;=95,W1313&lt;=150),0.17,0)+IF(AND(V1313&gt;=20,V1313&lt;40,W1313&gt;=150),0.12,0)+IF(AND(V1313&gt;=40,V1313&lt;75,W1313&lt;35),0.23,0)+IF(AND(V1313&gt;=40,V1313&lt;75,W1313&gt;=35,W1313&lt;75),0.2,0)+IF(AND(V1313&gt;=40,V1313&lt;75,W1313&gt;=75,W1313&lt;120),0.17,0)+IF(AND(V1313&gt;=40,V1313&lt;75,W1313&gt;=120),0.12,0)+IF(AND(V1313&gt;=75,V1313&lt;175,W1313&lt;35),0.23,0)+IF(AND(V1313&gt;=75,V1313&lt;=175,W1313&gt;=35,W1313&lt;65),0.2,0)+IF(AND(V1313&gt;=75,V1313&lt;=175,W1313&gt;=65,W1313&lt;110),0.17,0)+IF(AND(V1313&gt;=75,V1313&lt;=175,W1313&gt;=110),0.12,0)+IF(AND(V1313&gt;175,W1313&lt;25),0.23,0)+IF(AND(V1313&gt;175,W1313&gt;=25,W1313&lt;55),0.2,0)+IF(AND(V1313&gt;175,W1313&gt;=55,W1313&lt;95),0.17,0)+IF(AND(V1313&gt;175,W1313&gt;=95),0.12,0),
IF(AF1313="DoEVs1",IF(AND(V1313&lt;20,W1313&lt;55),0.3,0)+IF(AND(V1313&lt;20,W1313&gt;=55,W1313&lt;105),0.23,0)+IF(AND(V1313&lt;20,W1313&gt;=105),0.17,0)+IF(AND(V1313&gt;=20,V1313&lt;40,W1313&lt;45),0.3,0)+IF(AND(V1313&gt;=20,V1313&lt;40,W1313&gt;=45,W1313&lt;95),0.23,0)+IF(AND(V1313&gt;=20,V1313&lt;40,W1313&gt;=95,W1313&lt;=150),0.17,0)+IF(AND(V1313&gt;=20,V1313&lt;40,W1313&gt;=150),0.12,0)+IF(AND(V1313&gt;=40,V1313&lt;75,W1313&lt;35),0.3,0)+IF(AND(V1313&gt;=40,V1313&lt;75,W1313&gt;=35,W1313&lt;75),0.23,0)+IF(AND(V1313&gt;=40,V1313&lt;75,W1313&gt;=75,W1313&lt;120),0.17,0)+IF(AND(V1313&gt;=40,V1313&lt;75,W1313&gt;=120),0.12,0)+IF(AND(V1313&gt;=75,V1313&lt;175,W1313&lt;35),0.3,0)+IF(AND(V1313&gt;=75,V1313&lt;=175,W1313&gt;=35,W1313&lt;65),0.23,0)+IF(AND(V1313&gt;=75,V1313&lt;=175,W1313&gt;=65,W1313&lt;110),0.17,0)+IF(AND(V1313&gt;=75,V1313&lt;=175,W1313&gt;=110),0.12,0)+IF(AND(V1313&gt;175,W1313&lt;25),0.3,0)+IF(AND(V1313&gt;175,W1313&gt;=25,W1313&lt;55),0.23,0)+IF(AND(V1313&gt;175,W1313&gt;=55,W1313&lt;95),0.17,0)+IF(AND(V1313&gt;175,W1313&gt;=95),0.12,0),
IF(AF1313="DoEVsu",IF(AND(V1313&lt;20,W1313&lt;55),0.3,0)+IF(AND(V1313&lt;20,W1313&gt;=55,W1313&lt;105),0.23,0)+IF(AND(V1313&lt;20,W1313&gt;=105),0.17,0)+IF(AND(V1313&gt;=20,V1313&lt;40,W1313&lt;45),0.3,0)+IF(AND(V1313&gt;=20,V1313&lt;40,W1313&gt;=45,W1313&lt;95),0.23,0)+IF(AND(V1313&gt;=20,V1313&lt;40,W1313&gt;=95,W1313&lt;=250),0.17,0)+IF(AND(V1313&gt;=20,V1313&lt;40,W1313&gt;=250),0.12,0)+IF(AND(V1313&gt;=40,V1313&lt;75,W1313&lt;35),0.3,0)+IF(AND(V1313&gt;=40,V1313&lt;75,W1313&gt;=35,W1313&lt;75),0.23,0)+IF(AND(V1313&gt;=40,V1313&lt;75,W1313&gt;=75,W1313&lt;120),0.17,0)+IF(AND(V1313&gt;=40,V1313&lt;75,W1313&gt;=120),0.12,0)+IF(AND(V1313&gt;=75,V1313&lt;175,W1313&lt;35),0.3,0)+IF(AND(V1313&gt;=75,V1313&lt;=175,W1313&gt;=35,W1313&lt;65),0.23,0)+IF(AND(V1313&gt;=75,V1313&lt;=175,W1313&gt;=65,W1313&lt;110),0.17,0)+IF(AND(V1313&gt;=75,V1313&lt;=175,W1313&gt;=110),0.12,0)+IF(AND(V1313&gt;175,W1313&lt;25),0.3,0)+IF(AND(V1313&gt;175,W1313&gt;=25,W1313&lt;55),0.23,0)+IF(AND(V1313&gt;175,W1313&gt;=55,W1313&lt;95),0.17,0)+IF(AND(V1313&gt;175,W1313&gt;=95),0.12,0),
IF(AF1313="DoEVni",IF(AND(V1313&lt;20,W1313&lt;55),0.3,0)+IF(AND(V1313&lt;20,W1313&gt;=55,W1313&lt;105),0.23,0)+IF(AND(V1313&lt;20,W1313&gt;=105),0.17,0)+IF(AND(V1313&gt;=20,V1313&lt;40,W1313&lt;45),0.3,0)+IF(AND(V1313&gt;=20,V1313&lt;40,W1313&gt;=45,W1313&lt;95),0.23,0)+IF(AND(V1313&gt;=20,V1313&lt;40,W1313&gt;=95,W1313&lt;=200),0.17,0)+IF(AND(V1313&gt;=20,V1313&lt;40,W1313&gt;=200),0.12,0)+IF(AND(V1313&gt;=40,V1313&lt;75,W1313&lt;35),0.3,0)+IF(AND(V1313&gt;=40,V1313&lt;75,W1313&gt;=35,W1313&lt;75),0.23,0)+IF(AND(V1313&gt;=40,V1313&lt;75,W1313&gt;=75,W1313&lt;120),0.17,0)+IF(AND(V1313&gt;=40,V1313&lt;75,W1313&gt;=120),0.12,0)+IF(AND(V1313&gt;=75,V1313&lt;175,W1313&lt;35),0.3,0)+IF(AND(V1313&gt;=75,V1313&lt;=175,W1313&gt;=35,W1313&lt;65),0.23,0)+IF(AND(V1313&gt;=75,V1313&lt;=175,W1313&gt;=65,W1313&lt;110),0.17,0)+IF(AND(V1313&gt;=75,V1313&lt;=175,W1313&gt;=110),0.12,0)+IF(AND(V1313&gt;175,W1313&lt;25),0.3,0)+IF(AND(V1313&gt;175,W1313&gt;=25,W1313&lt;55),0.23,0)+IF(AND(V1313&gt;175,W1313&gt;=55,W1313&lt;95),0.17,0)+IF(AND(V1313&gt;175,W1313&gt;=95),0.12,0),
IF(AF1313="DoEVLo",IF(AND(V1313&lt;20,W1313&lt;55),0.25,0)+IF(AND(V1313&lt;20,W1313&gt;=55,W1313&lt;105),0.2,0)+IF(AND(V1313&lt;20,W1313&gt;=105),0.15,0)+IF(AND(V1313&gt;=20,V1313&lt;40,W1313&lt;45),0.25,0)+IF(AND(V1313&gt;=20,V1313&lt;40,W1313&gt;=45,W1313&lt;95),0.2,0)+IF(AND(V1313&gt;=20,V1313&lt;40,W1313&gt;=95),0.15,0)+IF(AND(V1313&gt;=40,V1313&lt;75,W1313&lt;35),0.25,0)+IF(AND(V1313&gt;=40,V1313&lt;75,W1313&gt;=35,W1313&lt;75),0.2,0)+IF(AND(V1313&gt;=40,V1313&lt;75,W1313&gt;=75,W1313&lt;120),0.15,0)+IF(AND(V1313&gt;=40,V1313&lt;75,W1313&gt;=120),0.1,0)+IF(AND(V1313&gt;=75,V1313&lt;175,W1313&lt;35),0.25,0)+IF(AND(V1313&gt;=75,V1313&lt;=175,W1313&gt;=35,W1313&lt;65),0.2,0)+IF(AND(V1313&gt;=75,V1313&lt;=175,W1313&gt;=65,W1313&lt;110),0.15,0)+IF(AND(V1313&gt;=75,V1313&lt;=175,W1313&gt;=110),0.1,0)+IF(AND(V1313&gt;175,W1313&lt;25),0.25,0)+IF(AND(V1313&gt;175,W1313&gt;=25,W1313&lt;55),0.2,0)+IF(AND(V1313&gt;175,W1313&gt;=55,W1313&lt;95),0.15,0)+IF(AND(V1313&gt;175,W1313&gt;=95),0.1,0))))))))))))))))))</f>
        <v>0.1</v>
      </c>
      <c r="Y1313" s="30">
        <f>IF(AG1313="None",0,IF(AG1313="Fix5",0.05, IF(AG1313="Fix6.25",0.0625,IF(AG1313="Fix3.75",0.0375,IF(AG1313="Fix10",0.1,IF(AG1313="Fix3",0.03,0))))))</f>
        <v>0</v>
      </c>
      <c r="Z1313" s="35">
        <f>T1313-AA1313-AB1313</f>
        <v>4189.5</v>
      </c>
      <c r="AA1313" s="29">
        <f>IF(AD1313="EUR",((T1313-R1313)*X1313)*U1313+(R1313*X1313),(T1313*X1313))</f>
        <v>465.5</v>
      </c>
      <c r="AB1313" s="36">
        <f>IF(AD1313="EUR",((T1313-R1313)*Y1313)*U1313+(R1313*Y1313),(T1313*Y1313))</f>
        <v>0</v>
      </c>
      <c r="AC1313" s="37" t="b">
        <v>1</v>
      </c>
      <c r="AD1313" s="37" t="s">
        <v>38</v>
      </c>
      <c r="AE1313" s="37" t="s">
        <v>38</v>
      </c>
      <c r="AF1313" s="37" t="str">
        <f t="array" ref="AF1313">INDEX('Deal Info'!D:D, MATCH(A1313,'Deal Info'!A:A, 0))</f>
        <v>Fix10</v>
      </c>
      <c r="AG1313" s="38" t="str">
        <f t="array" ref="AG1313">INDEX('Deal Info'!G:G, MATCH(A1313,'Deal Info'!A:A, 0))</f>
        <v>None</v>
      </c>
    </row>
    <row r="1314" spans="1:33" ht="14.25" hidden="1" x14ac:dyDescent="0.2">
      <c r="A1314" s="18" t="str">
        <f t="array" ref="A1314">IF(G1314='Room Info'!$B$1, INDEX('Room Info'!$A$2:$A2446, MATCH(B1314,'Room Info'!$B$2:$B2446, 0)),IF(G1314='Room Info'!$C$1, INDEX('Room Info'!$A$2:$A2446, MATCH(B1314,'Room Info'!$C$2:$C2446, 0)),IF(G1314='Room Info'!$D$1, INDEX('Room Info'!$A$2:$A2446, MATCH(B1314,'Room Info'!$D$2:$D2446, 0)),IF(G1314='Room Info'!$E$1, INDEX('Room Info'!$A$2:$A2446, MATCH(B1314,'Room Info'!$E$2:$E2446, 0)),IF(G1314='Room Info'!$F$1, INDEX('Room Info'!$A$2:$A2446, MATCH(B1314,'Room Info'!$F$2:$F2446, 0)),IF(G1314='Room Info'!$H$1, INDEX('Room Info'!$A$2:$A2446, MATCH(B1314,'Room Info'!$H$2:$H2446, 0)),IF(G1314='Room Info'!$G$1, INDEX('Room Info'!$A$2:$A2446, MATCH(B1314,'Room Info'!$G$2:$G2446, 0)))))))))</f>
        <v>volkovsky</v>
      </c>
      <c r="B1314" s="54" t="s">
        <v>206</v>
      </c>
      <c r="C1314" s="46">
        <v>44582</v>
      </c>
      <c r="D1314" s="46">
        <v>44612</v>
      </c>
      <c r="E1314" s="47">
        <v>44593</v>
      </c>
      <c r="F1314" s="48" t="s">
        <v>34</v>
      </c>
      <c r="G1314" s="54" t="s">
        <v>35</v>
      </c>
      <c r="H1314" s="54" t="s">
        <v>148</v>
      </c>
      <c r="I1314" s="49" t="s">
        <v>44</v>
      </c>
      <c r="J1314" s="50">
        <v>250</v>
      </c>
      <c r="K1314" s="51">
        <v>235</v>
      </c>
      <c r="L1314" s="52">
        <v>1500</v>
      </c>
      <c r="M1314" s="53">
        <v>1548</v>
      </c>
      <c r="N1314" s="28">
        <f>K1314*J1314</f>
        <v>58750</v>
      </c>
      <c r="O1314" s="54">
        <v>3881</v>
      </c>
      <c r="P1314" s="29">
        <v>16.514893619999999</v>
      </c>
      <c r="Q1314" s="55"/>
      <c r="R1314" s="31">
        <f>M1314+Q1314</f>
        <v>1548</v>
      </c>
      <c r="S1314" s="56">
        <v>32</v>
      </c>
      <c r="T1314" s="32">
        <f>R1314+S1314+IF(F1314="Without EV deal",L1314,0)</f>
        <v>1580</v>
      </c>
      <c r="U1314" s="57"/>
      <c r="V1314" s="58"/>
      <c r="W1314" s="58"/>
      <c r="X1314" s="30">
        <f>IF(AF1314="DoEV",IF(AND(V1314&lt;20,W1314&lt;55),0.3,0)+IF(AND(V1314&lt;20,W1314&gt;=55,W1314&lt;105),0.23,0)+IF(AND(V1314&lt;20,W1314&gt;=105),0.17,0)+IF(AND(V1314&gt;=20,V1314&lt;40,W1314&lt;45),0.3,0)+IF(AND(V1314&gt;=20,V1314&lt;40,W1314&gt;=45,W1314&lt;95),0.23,0)+IF(AND(V1314&gt;=20,V1314&lt;40,W1314&gt;=95),0.17,0)+IF(AND(V1314&gt;=40,V1314&lt;75,W1314&lt;35),0.3,0)+IF(AND(V1314&gt;=40,V1314&lt;75,W1314&gt;=35,W1314&lt;75),0.23,0)+IF(AND(V1314&gt;=40,V1314&lt;75,W1314&gt;=75,W1314&lt;120),0.17,0)+IF(AND(V1314&gt;=40,V1314&lt;75,W1314&gt;=120),0.12,0)+IF(AND(V1314&gt;=75,V1314&lt;175,W1314&lt;35),0.3,0)+IF(AND(V1314&gt;=75,V1314&lt;=175,W1314&gt;=35,W1314&lt;65),0.23,0)+IF(AND(V1314&gt;=75,V1314&lt;=175,W1314&gt;=65,W1314&lt;110),0.17,0)+IF(AND(V1314&gt;=75,V1314&lt;=175,W1314&gt;=110),0.12,0)+IF(AND(V1314&gt;175,W1314&lt;25),0.3,0)+IF(AND(V1314&gt;175,W1314&gt;=25,W1314&lt;55),0.23,0)+IF(AND(V1314&gt;175,W1314&gt;=55,W1314&lt;95),0.17,0)+IF(AND(V1314&gt;175,W1314&gt;=95),0.12,0),
IF(AF1314="Fix15",0.15,
IF(AF1314="Fix18.75",0.1875,
IF(AF1314="Fix11.25",0.1125,
IF(AF1314="Fix10",0.1,
IF(AF1314="Fix9",0.09,
IF(AF1314="Fix19",0.19,
IF(AF1314="DoEV2017",IF(AND(W1314&lt;74),0.2,0)+IF(AND(W1314&gt;=74),0.17,0),
IF(AF1314="SF",IF(AND(V1314&lt;20,W1314&lt;89),0.3,0)+IF(AND(V1314&lt;20,W1314&gt;=89),0.25,0)+IF(AND(V1314&gt;=20,V1314&lt;40,W1314&lt;74),0.3,0)+IF(AND(V1314&gt;=20,V1314&lt;40,W1314&gt;=75),0.22,0)+IF(AND(V1314&gt;=40,V1314&lt;75,W1314&lt;75),0.26,0)+IF(AND(V1314&gt;=40,V1314&lt;75,W1314&gt;=75),0.22,0)+IF(V1314&gt;=75,0.22,0),
IF(AF1314="DoEVold",IF(AND(V1314&lt;40,W1314&lt;35),0.35,0)+IF(AND(V1314&lt;40,W1314&gt;=35,W1314&lt;75),0.25,0)+IF(AND(V1314&lt;40,W1314&gt;=75),0.17,0)+IF(AND(V1314&gt;=40,V1314&lt;75,W1314&lt;25),0.35,0)+IF(AND(V1314&gt;=40,V1314&lt;75,W1314&gt;=25,W1314&lt;65),0.25,0)+IF(AND(V1314&gt;=40,V1314&lt;75,W1314&gt;=65,W1314&lt;100),0.17,0)+IF(AND(V1314&gt;=40,V1314&lt;75,W1314&gt;=100),0.1,0)+IF(AND(V1314&gt;=75,W1314&lt;25),0.35,0)+IF(AND(V1314&gt;=75,W1314&gt;=25,W1314&lt;60),0.25,0)+IF(AND(V1314&gt;=75,W1314&gt;=60,W1314&lt;95),0.17,0)+IF(AND(V1314&gt;=75,W1314&gt;=95),0.1,0),
IF(AF1314="DoEVold15",IF(AND(V1314&lt;=40,W1314&lt;35),0.35,0)+IF(AND(V1314&lt;=40,W1314&gt;=35,W1314&lt;75),0.25,0)+IF(AND(V1314&lt;=40,W1314&gt;=75,W1314&lt;120),0.17,0)+IF(AND(V1314&lt;=40,W1314&gt;=120),0.15,0)+IF(AND(V1314&gt;40,V1314&lt;75,W1314&lt;25),0.35,0)+IF(AND(V1314&gt;=40,V1314&lt;75,W1314&gt;=25,W1314&lt;65),0.25,0)+IF(AND(V1314&gt;=40,V1314&lt;75,W1314&gt;=65,W1314&lt;100),0.17,0)+IF(AND(V1314&gt;=40,V1314&lt;75,W1314&gt;=100),0.1,0)+IF(AND(V1314&gt;=75,W1314&lt;25),0.35,0)+IF(AND(V1314&gt;=75,W1314&gt;=25,W1314&lt;60),0.25,0)+IF(AND(V1314&gt;=75,W1314&gt;=60,W1314&lt;95),0.17,0)+IF(AND(V1314&gt;=75,W1314&gt;=95),0.1,0),
IF(AF1314="DoEVba",IF(AND(V1314&lt;20,W1314&lt;105),0.2,0)+IF(AND(V1314&lt;20,W1314&gt;=105),0.15,0)+IF(AND(V1314&gt;=20,V1314&lt;40,W1314&lt;95),0.2,0)+IF(AND(V1314&gt;=20,V1314&lt;40,W1314&gt;=95,W1314&lt;150),0.15,0)+IF(AND(V1314&gt;=20,V1314&lt;40,W1314&gt;=150),0.12,0)+IF(AND(V1314&gt;=40,V1314&lt;75,W1314&lt;75),0.2,0)+IF(AND(V1314&gt;=40,V1314&lt;75,W1314&gt;=75,W1314&lt;120),0.15,0)+IF(AND(V1314&gt;=40,V1314&lt;75,W1314&gt;=120),0.12,0)+IF(AND(V1314&gt;=75,V1314&lt;175,W1314&lt;65),0.2,0)+IF(AND(V1314&gt;=75,V1314&lt;175,W1314&gt;=65,W1314&lt;110),0.15,0)+IF(AND(V1314&gt;=75,V1314&lt;175,W1314&gt;=110),0.12,0)+IF(AND(V1314&gt;=175,W1314&lt;55),0.2,0)+IF(AND(V1314&gt;=175,W1314&gt;=55,W1314&lt;95),0.15,0)+IF(AND(V1314&gt;=175,W1314&gt;=95),0.12,0),
IF(AF1314="DoEVku",IF(AND(V1314&lt;20,W1314&lt;55),0.23,0)+IF(AND(V1314&lt;20,W1314&gt;=55,W1314&lt;105),0.2,0)+IF(AND(V1314&lt;20,W1314&gt;=105),0.17,0)+IF(AND(V1314&gt;=20,V1314&lt;40,W1314&lt;45),0.23,0)+IF(AND(V1314&gt;=20,V1314&lt;40,W1314&gt;=45,W1314&lt;95),0.2,0)+IF(AND(V1314&gt;=20,V1314&lt;40,W1314&gt;=95,W1314&lt;=150),0.17,0)+IF(AND(V1314&gt;=20,V1314&lt;40,W1314&gt;=150),0.12,0)+IF(AND(V1314&gt;=40,V1314&lt;75,W1314&lt;35),0.23,0)+IF(AND(V1314&gt;=40,V1314&lt;75,W1314&gt;=35,W1314&lt;75),0.2,0)+IF(AND(V1314&gt;=40,V1314&lt;75,W1314&gt;=75,W1314&lt;120),0.17,0)+IF(AND(V1314&gt;=40,V1314&lt;75,W1314&gt;=120),0.12,0)+IF(AND(V1314&gt;=75,V1314&lt;175,W1314&lt;35),0.23,0)+IF(AND(V1314&gt;=75,V1314&lt;=175,W1314&gt;=35,W1314&lt;65),0.2,0)+IF(AND(V1314&gt;=75,V1314&lt;=175,W1314&gt;=65,W1314&lt;110),0.17,0)+IF(AND(V1314&gt;=75,V1314&lt;=175,W1314&gt;=110),0.12,0)+IF(AND(V1314&gt;175,W1314&lt;25),0.23,0)+IF(AND(V1314&gt;175,W1314&gt;=25,W1314&lt;55),0.2,0)+IF(AND(V1314&gt;175,W1314&gt;=55,W1314&lt;95),0.17,0)+IF(AND(V1314&gt;175,W1314&gt;=95),0.12,0),
IF(AF1314="DoEVs1",IF(AND(V1314&lt;20,W1314&lt;55),0.3,0)+IF(AND(V1314&lt;20,W1314&gt;=55,W1314&lt;105),0.23,0)+IF(AND(V1314&lt;20,W1314&gt;=105),0.17,0)+IF(AND(V1314&gt;=20,V1314&lt;40,W1314&lt;45),0.3,0)+IF(AND(V1314&gt;=20,V1314&lt;40,W1314&gt;=45,W1314&lt;95),0.23,0)+IF(AND(V1314&gt;=20,V1314&lt;40,W1314&gt;=95,W1314&lt;=150),0.17,0)+IF(AND(V1314&gt;=20,V1314&lt;40,W1314&gt;=150),0.12,0)+IF(AND(V1314&gt;=40,V1314&lt;75,W1314&lt;35),0.3,0)+IF(AND(V1314&gt;=40,V1314&lt;75,W1314&gt;=35,W1314&lt;75),0.23,0)+IF(AND(V1314&gt;=40,V1314&lt;75,W1314&gt;=75,W1314&lt;120),0.17,0)+IF(AND(V1314&gt;=40,V1314&lt;75,W1314&gt;=120),0.12,0)+IF(AND(V1314&gt;=75,V1314&lt;175,W1314&lt;35),0.3,0)+IF(AND(V1314&gt;=75,V1314&lt;=175,W1314&gt;=35,W1314&lt;65),0.23,0)+IF(AND(V1314&gt;=75,V1314&lt;=175,W1314&gt;=65,W1314&lt;110),0.17,0)+IF(AND(V1314&gt;=75,V1314&lt;=175,W1314&gt;=110),0.12,0)+IF(AND(V1314&gt;175,W1314&lt;25),0.3,0)+IF(AND(V1314&gt;175,W1314&gt;=25,W1314&lt;55),0.23,0)+IF(AND(V1314&gt;175,W1314&gt;=55,W1314&lt;95),0.17,0)+IF(AND(V1314&gt;175,W1314&gt;=95),0.12,0),
IF(AF1314="DoEVsu",IF(AND(V1314&lt;20,W1314&lt;55),0.3,0)+IF(AND(V1314&lt;20,W1314&gt;=55,W1314&lt;105),0.23,0)+IF(AND(V1314&lt;20,W1314&gt;=105),0.17,0)+IF(AND(V1314&gt;=20,V1314&lt;40,W1314&lt;45),0.3,0)+IF(AND(V1314&gt;=20,V1314&lt;40,W1314&gt;=45,W1314&lt;95),0.23,0)+IF(AND(V1314&gt;=20,V1314&lt;40,W1314&gt;=95,W1314&lt;=250),0.17,0)+IF(AND(V1314&gt;=20,V1314&lt;40,W1314&gt;=250),0.12,0)+IF(AND(V1314&gt;=40,V1314&lt;75,W1314&lt;35),0.3,0)+IF(AND(V1314&gt;=40,V1314&lt;75,W1314&gt;=35,W1314&lt;75),0.23,0)+IF(AND(V1314&gt;=40,V1314&lt;75,W1314&gt;=75,W1314&lt;120),0.17,0)+IF(AND(V1314&gt;=40,V1314&lt;75,W1314&gt;=120),0.12,0)+IF(AND(V1314&gt;=75,V1314&lt;175,W1314&lt;35),0.3,0)+IF(AND(V1314&gt;=75,V1314&lt;=175,W1314&gt;=35,W1314&lt;65),0.23,0)+IF(AND(V1314&gt;=75,V1314&lt;=175,W1314&gt;=65,W1314&lt;110),0.17,0)+IF(AND(V1314&gt;=75,V1314&lt;=175,W1314&gt;=110),0.12,0)+IF(AND(V1314&gt;175,W1314&lt;25),0.3,0)+IF(AND(V1314&gt;175,W1314&gt;=25,W1314&lt;55),0.23,0)+IF(AND(V1314&gt;175,W1314&gt;=55,W1314&lt;95),0.17,0)+IF(AND(V1314&gt;175,W1314&gt;=95),0.12,0),
IF(AF1314="DoEVni",IF(AND(V1314&lt;20,W1314&lt;55),0.3,0)+IF(AND(V1314&lt;20,W1314&gt;=55,W1314&lt;105),0.23,0)+IF(AND(V1314&lt;20,W1314&gt;=105),0.17,0)+IF(AND(V1314&gt;=20,V1314&lt;40,W1314&lt;45),0.3,0)+IF(AND(V1314&gt;=20,V1314&lt;40,W1314&gt;=45,W1314&lt;95),0.23,0)+IF(AND(V1314&gt;=20,V1314&lt;40,W1314&gt;=95,W1314&lt;=200),0.17,0)+IF(AND(V1314&gt;=20,V1314&lt;40,W1314&gt;=200),0.12,0)+IF(AND(V1314&gt;=40,V1314&lt;75,W1314&lt;35),0.3,0)+IF(AND(V1314&gt;=40,V1314&lt;75,W1314&gt;=35,W1314&lt;75),0.23,0)+IF(AND(V1314&gt;=40,V1314&lt;75,W1314&gt;=75,W1314&lt;120),0.17,0)+IF(AND(V1314&gt;=40,V1314&lt;75,W1314&gt;=120),0.12,0)+IF(AND(V1314&gt;=75,V1314&lt;175,W1314&lt;35),0.3,0)+IF(AND(V1314&gt;=75,V1314&lt;=175,W1314&gt;=35,W1314&lt;65),0.23,0)+IF(AND(V1314&gt;=75,V1314&lt;=175,W1314&gt;=65,W1314&lt;110),0.17,0)+IF(AND(V1314&gt;=75,V1314&lt;=175,W1314&gt;=110),0.12,0)+IF(AND(V1314&gt;175,W1314&lt;25),0.3,0)+IF(AND(V1314&gt;175,W1314&gt;=25,W1314&lt;55),0.23,0)+IF(AND(V1314&gt;175,W1314&gt;=55,W1314&lt;95),0.17,0)+IF(AND(V1314&gt;175,W1314&gt;=95),0.12,0),
IF(AF1314="DoEVLo",IF(AND(V1314&lt;20,W1314&lt;55),0.25,0)+IF(AND(V1314&lt;20,W1314&gt;=55,W1314&lt;105),0.2,0)+IF(AND(V1314&lt;20,W1314&gt;=105),0.15,0)+IF(AND(V1314&gt;=20,V1314&lt;40,W1314&lt;45),0.25,0)+IF(AND(V1314&gt;=20,V1314&lt;40,W1314&gt;=45,W1314&lt;95),0.2,0)+IF(AND(V1314&gt;=20,V1314&lt;40,W1314&gt;=95),0.15,0)+IF(AND(V1314&gt;=40,V1314&lt;75,W1314&lt;35),0.25,0)+IF(AND(V1314&gt;=40,V1314&lt;75,W1314&gt;=35,W1314&lt;75),0.2,0)+IF(AND(V1314&gt;=40,V1314&lt;75,W1314&gt;=75,W1314&lt;120),0.15,0)+IF(AND(V1314&gt;=40,V1314&lt;75,W1314&gt;=120),0.1,0)+IF(AND(V1314&gt;=75,V1314&lt;175,W1314&lt;35),0.25,0)+IF(AND(V1314&gt;=75,V1314&lt;=175,W1314&gt;=35,W1314&lt;65),0.2,0)+IF(AND(V1314&gt;=75,V1314&lt;=175,W1314&gt;=65,W1314&lt;110),0.15,0)+IF(AND(V1314&gt;=75,V1314&lt;=175,W1314&gt;=110),0.1,0)+IF(AND(V1314&gt;175,W1314&lt;25),0.25,0)+IF(AND(V1314&gt;175,W1314&gt;=25,W1314&lt;55),0.2,0)+IF(AND(V1314&gt;175,W1314&gt;=55,W1314&lt;95),0.15,0)+IF(AND(V1314&gt;175,W1314&gt;=95),0.1,0))))))))))))))))))</f>
        <v>0.1</v>
      </c>
      <c r="Y1314" s="30">
        <f>IF(AG1314="None",0,IF(AG1314="Fix5",0.05, IF(AG1314="Fix6.25",0.0625,IF(AG1314="Fix3.75",0.0375,IF(AG1314="Fix10",0.1,IF(AG1314="Fix3",0.03,0))))))</f>
        <v>0</v>
      </c>
      <c r="Z1314" s="35">
        <f>T1314-AA1314-AB1314</f>
        <v>1422</v>
      </c>
      <c r="AA1314" s="29">
        <f>IF(AD1314="EUR",((T1314-R1314)*X1314)*U1314+(R1314*X1314),(T1314*X1314))</f>
        <v>158</v>
      </c>
      <c r="AB1314" s="36">
        <f>IF(AD1314="EUR",((T1314-R1314)*Y1314)*U1314+(R1314*Y1314),(T1314*Y1314))</f>
        <v>0</v>
      </c>
      <c r="AC1314" s="37" t="b">
        <v>1</v>
      </c>
      <c r="AD1314" s="37" t="s">
        <v>38</v>
      </c>
      <c r="AE1314" s="37" t="s">
        <v>38</v>
      </c>
      <c r="AF1314" s="37" t="str">
        <f t="array" ref="AF1314">INDEX('Deal Info'!D:D, MATCH(A1314,'Deal Info'!A:A, 0))</f>
        <v>Fix10</v>
      </c>
      <c r="AG1314" s="38" t="str">
        <f t="array" ref="AG1314">INDEX('Deal Info'!G:G, MATCH(A1314,'Deal Info'!A:A, 0))</f>
        <v>None</v>
      </c>
    </row>
    <row r="1315" spans="1:33" ht="14.25" hidden="1" x14ac:dyDescent="0.2">
      <c r="A1315" s="18" t="str">
        <f t="array" ref="A1315">IF(G1315='Room Info'!$B$1, INDEX('Room Info'!$A$2:$A2446, MATCH(B1315,'Room Info'!$B$2:$B2446, 0)),IF(G1315='Room Info'!$C$1, INDEX('Room Info'!$A$2:$A2446, MATCH(B1315,'Room Info'!$C$2:$C2446, 0)),IF(G1315='Room Info'!$D$1, INDEX('Room Info'!$A$2:$A2446, MATCH(B1315,'Room Info'!$D$2:$D2446, 0)),IF(G1315='Room Info'!$E$1, INDEX('Room Info'!$A$2:$A2446, MATCH(B1315,'Room Info'!$E$2:$E2446, 0)),IF(G1315='Room Info'!$F$1, INDEX('Room Info'!$A$2:$A2446, MATCH(B1315,'Room Info'!$F$2:$F2446, 0)),IF(G1315='Room Info'!$H$1, INDEX('Room Info'!$A$2:$A2446, MATCH(B1315,'Room Info'!$H$2:$H2446, 0)),IF(G1315='Room Info'!$G$1, INDEX('Room Info'!$A$2:$A2446, MATCH(B1315,'Room Info'!$G$2:$G2446, 0)))))))))</f>
        <v>volkovsky</v>
      </c>
      <c r="B1315" s="54" t="s">
        <v>206</v>
      </c>
      <c r="C1315" s="46">
        <v>44613</v>
      </c>
      <c r="D1315" s="46">
        <v>44640</v>
      </c>
      <c r="E1315" s="47">
        <v>44621</v>
      </c>
      <c r="F1315" s="48" t="s">
        <v>34</v>
      </c>
      <c r="G1315" s="54" t="s">
        <v>35</v>
      </c>
      <c r="H1315" s="54" t="s">
        <v>70</v>
      </c>
      <c r="I1315" s="49" t="s">
        <v>37</v>
      </c>
      <c r="J1315" s="50">
        <v>100</v>
      </c>
      <c r="K1315" s="51">
        <v>498</v>
      </c>
      <c r="L1315" s="52">
        <v>400</v>
      </c>
      <c r="M1315" s="53">
        <v>3747</v>
      </c>
      <c r="N1315" s="28">
        <f>K1315*J1315</f>
        <v>49800</v>
      </c>
      <c r="O1315" s="54">
        <v>5294</v>
      </c>
      <c r="P1315" s="29">
        <v>10.630522089999999</v>
      </c>
      <c r="Q1315" s="55"/>
      <c r="R1315" s="31">
        <f>M1315+Q1315</f>
        <v>3747</v>
      </c>
      <c r="S1315" s="56">
        <v>-1738</v>
      </c>
      <c r="T1315" s="32">
        <f>R1315+S1315+IF(F1315="Without EV deal",L1315,0)</f>
        <v>2009</v>
      </c>
      <c r="U1315" s="57"/>
      <c r="V1315" s="58"/>
      <c r="W1315" s="58"/>
      <c r="X1315" s="30">
        <f>IF(AF1315="DoEV",IF(AND(V1315&lt;20,W1315&lt;55),0.3,0)+IF(AND(V1315&lt;20,W1315&gt;=55,W1315&lt;105),0.23,0)+IF(AND(V1315&lt;20,W1315&gt;=105),0.17,0)+IF(AND(V1315&gt;=20,V1315&lt;40,W1315&lt;45),0.3,0)+IF(AND(V1315&gt;=20,V1315&lt;40,W1315&gt;=45,W1315&lt;95),0.23,0)+IF(AND(V1315&gt;=20,V1315&lt;40,W1315&gt;=95),0.17,0)+IF(AND(V1315&gt;=40,V1315&lt;75,W1315&lt;35),0.3,0)+IF(AND(V1315&gt;=40,V1315&lt;75,W1315&gt;=35,W1315&lt;75),0.23,0)+IF(AND(V1315&gt;=40,V1315&lt;75,W1315&gt;=75,W1315&lt;120),0.17,0)+IF(AND(V1315&gt;=40,V1315&lt;75,W1315&gt;=120),0.12,0)+IF(AND(V1315&gt;=75,V1315&lt;175,W1315&lt;35),0.3,0)+IF(AND(V1315&gt;=75,V1315&lt;=175,W1315&gt;=35,W1315&lt;65),0.23,0)+IF(AND(V1315&gt;=75,V1315&lt;=175,W1315&gt;=65,W1315&lt;110),0.17,0)+IF(AND(V1315&gt;=75,V1315&lt;=175,W1315&gt;=110),0.12,0)+IF(AND(V1315&gt;175,W1315&lt;25),0.3,0)+IF(AND(V1315&gt;175,W1315&gt;=25,W1315&lt;55),0.23,0)+IF(AND(V1315&gt;175,W1315&gt;=55,W1315&lt;95),0.17,0)+IF(AND(V1315&gt;175,W1315&gt;=95),0.12,0),
IF(AF1315="Fix15",0.15,
IF(AF1315="Fix18.75",0.1875,
IF(AF1315="Fix11.25",0.1125,
IF(AF1315="Fix10",0.1,
IF(AF1315="Fix9",0.09,
IF(AF1315="Fix19",0.19,
IF(AF1315="DoEV2017",IF(AND(W1315&lt;74),0.2,0)+IF(AND(W1315&gt;=74),0.17,0),
IF(AF1315="SF",IF(AND(V1315&lt;20,W1315&lt;89),0.3,0)+IF(AND(V1315&lt;20,W1315&gt;=89),0.25,0)+IF(AND(V1315&gt;=20,V1315&lt;40,W1315&lt;74),0.3,0)+IF(AND(V1315&gt;=20,V1315&lt;40,W1315&gt;=75),0.22,0)+IF(AND(V1315&gt;=40,V1315&lt;75,W1315&lt;75),0.26,0)+IF(AND(V1315&gt;=40,V1315&lt;75,W1315&gt;=75),0.22,0)+IF(V1315&gt;=75,0.22,0),
IF(AF1315="DoEVold",IF(AND(V1315&lt;40,W1315&lt;35),0.35,0)+IF(AND(V1315&lt;40,W1315&gt;=35,W1315&lt;75),0.25,0)+IF(AND(V1315&lt;40,W1315&gt;=75),0.17,0)+IF(AND(V1315&gt;=40,V1315&lt;75,W1315&lt;25),0.35,0)+IF(AND(V1315&gt;=40,V1315&lt;75,W1315&gt;=25,W1315&lt;65),0.25,0)+IF(AND(V1315&gt;=40,V1315&lt;75,W1315&gt;=65,W1315&lt;100),0.17,0)+IF(AND(V1315&gt;=40,V1315&lt;75,W1315&gt;=100),0.1,0)+IF(AND(V1315&gt;=75,W1315&lt;25),0.35,0)+IF(AND(V1315&gt;=75,W1315&gt;=25,W1315&lt;60),0.25,0)+IF(AND(V1315&gt;=75,W1315&gt;=60,W1315&lt;95),0.17,0)+IF(AND(V1315&gt;=75,W1315&gt;=95),0.1,0),
IF(AF1315="DoEVold15",IF(AND(V1315&lt;=40,W1315&lt;35),0.35,0)+IF(AND(V1315&lt;=40,W1315&gt;=35,W1315&lt;75),0.25,0)+IF(AND(V1315&lt;=40,W1315&gt;=75,W1315&lt;120),0.17,0)+IF(AND(V1315&lt;=40,W1315&gt;=120),0.15,0)+IF(AND(V1315&gt;40,V1315&lt;75,W1315&lt;25),0.35,0)+IF(AND(V1315&gt;=40,V1315&lt;75,W1315&gt;=25,W1315&lt;65),0.25,0)+IF(AND(V1315&gt;=40,V1315&lt;75,W1315&gt;=65,W1315&lt;100),0.17,0)+IF(AND(V1315&gt;=40,V1315&lt;75,W1315&gt;=100),0.1,0)+IF(AND(V1315&gt;=75,W1315&lt;25),0.35,0)+IF(AND(V1315&gt;=75,W1315&gt;=25,W1315&lt;60),0.25,0)+IF(AND(V1315&gt;=75,W1315&gt;=60,W1315&lt;95),0.17,0)+IF(AND(V1315&gt;=75,W1315&gt;=95),0.1,0),
IF(AF1315="DoEVba",IF(AND(V1315&lt;20,W1315&lt;105),0.2,0)+IF(AND(V1315&lt;20,W1315&gt;=105),0.15,0)+IF(AND(V1315&gt;=20,V1315&lt;40,W1315&lt;95),0.2,0)+IF(AND(V1315&gt;=20,V1315&lt;40,W1315&gt;=95,W1315&lt;150),0.15,0)+IF(AND(V1315&gt;=20,V1315&lt;40,W1315&gt;=150),0.12,0)+IF(AND(V1315&gt;=40,V1315&lt;75,W1315&lt;75),0.2,0)+IF(AND(V1315&gt;=40,V1315&lt;75,W1315&gt;=75,W1315&lt;120),0.15,0)+IF(AND(V1315&gt;=40,V1315&lt;75,W1315&gt;=120),0.12,0)+IF(AND(V1315&gt;=75,V1315&lt;175,W1315&lt;65),0.2,0)+IF(AND(V1315&gt;=75,V1315&lt;175,W1315&gt;=65,W1315&lt;110),0.15,0)+IF(AND(V1315&gt;=75,V1315&lt;175,W1315&gt;=110),0.12,0)+IF(AND(V1315&gt;=175,W1315&lt;55),0.2,0)+IF(AND(V1315&gt;=175,W1315&gt;=55,W1315&lt;95),0.15,0)+IF(AND(V1315&gt;=175,W1315&gt;=95),0.12,0),
IF(AF1315="DoEVku",IF(AND(V1315&lt;20,W1315&lt;55),0.23,0)+IF(AND(V1315&lt;20,W1315&gt;=55,W1315&lt;105),0.2,0)+IF(AND(V1315&lt;20,W1315&gt;=105),0.17,0)+IF(AND(V1315&gt;=20,V1315&lt;40,W1315&lt;45),0.23,0)+IF(AND(V1315&gt;=20,V1315&lt;40,W1315&gt;=45,W1315&lt;95),0.2,0)+IF(AND(V1315&gt;=20,V1315&lt;40,W1315&gt;=95,W1315&lt;=150),0.17,0)+IF(AND(V1315&gt;=20,V1315&lt;40,W1315&gt;=150),0.12,0)+IF(AND(V1315&gt;=40,V1315&lt;75,W1315&lt;35),0.23,0)+IF(AND(V1315&gt;=40,V1315&lt;75,W1315&gt;=35,W1315&lt;75),0.2,0)+IF(AND(V1315&gt;=40,V1315&lt;75,W1315&gt;=75,W1315&lt;120),0.17,0)+IF(AND(V1315&gt;=40,V1315&lt;75,W1315&gt;=120),0.12,0)+IF(AND(V1315&gt;=75,V1315&lt;175,W1315&lt;35),0.23,0)+IF(AND(V1315&gt;=75,V1315&lt;=175,W1315&gt;=35,W1315&lt;65),0.2,0)+IF(AND(V1315&gt;=75,V1315&lt;=175,W1315&gt;=65,W1315&lt;110),0.17,0)+IF(AND(V1315&gt;=75,V1315&lt;=175,W1315&gt;=110),0.12,0)+IF(AND(V1315&gt;175,W1315&lt;25),0.23,0)+IF(AND(V1315&gt;175,W1315&gt;=25,W1315&lt;55),0.2,0)+IF(AND(V1315&gt;175,W1315&gt;=55,W1315&lt;95),0.17,0)+IF(AND(V1315&gt;175,W1315&gt;=95),0.12,0),
IF(AF1315="DoEVs1",IF(AND(V1315&lt;20,W1315&lt;55),0.3,0)+IF(AND(V1315&lt;20,W1315&gt;=55,W1315&lt;105),0.23,0)+IF(AND(V1315&lt;20,W1315&gt;=105),0.17,0)+IF(AND(V1315&gt;=20,V1315&lt;40,W1315&lt;45),0.3,0)+IF(AND(V1315&gt;=20,V1315&lt;40,W1315&gt;=45,W1315&lt;95),0.23,0)+IF(AND(V1315&gt;=20,V1315&lt;40,W1315&gt;=95,W1315&lt;=150),0.17,0)+IF(AND(V1315&gt;=20,V1315&lt;40,W1315&gt;=150),0.12,0)+IF(AND(V1315&gt;=40,V1315&lt;75,W1315&lt;35),0.3,0)+IF(AND(V1315&gt;=40,V1315&lt;75,W1315&gt;=35,W1315&lt;75),0.23,0)+IF(AND(V1315&gt;=40,V1315&lt;75,W1315&gt;=75,W1315&lt;120),0.17,0)+IF(AND(V1315&gt;=40,V1315&lt;75,W1315&gt;=120),0.12,0)+IF(AND(V1315&gt;=75,V1315&lt;175,W1315&lt;35),0.3,0)+IF(AND(V1315&gt;=75,V1315&lt;=175,W1315&gt;=35,W1315&lt;65),0.23,0)+IF(AND(V1315&gt;=75,V1315&lt;=175,W1315&gt;=65,W1315&lt;110),0.17,0)+IF(AND(V1315&gt;=75,V1315&lt;=175,W1315&gt;=110),0.12,0)+IF(AND(V1315&gt;175,W1315&lt;25),0.3,0)+IF(AND(V1315&gt;175,W1315&gt;=25,W1315&lt;55),0.23,0)+IF(AND(V1315&gt;175,W1315&gt;=55,W1315&lt;95),0.17,0)+IF(AND(V1315&gt;175,W1315&gt;=95),0.12,0),
IF(AF1315="DoEVsu",IF(AND(V1315&lt;20,W1315&lt;55),0.3,0)+IF(AND(V1315&lt;20,W1315&gt;=55,W1315&lt;105),0.23,0)+IF(AND(V1315&lt;20,W1315&gt;=105),0.17,0)+IF(AND(V1315&gt;=20,V1315&lt;40,W1315&lt;45),0.3,0)+IF(AND(V1315&gt;=20,V1315&lt;40,W1315&gt;=45,W1315&lt;95),0.23,0)+IF(AND(V1315&gt;=20,V1315&lt;40,W1315&gt;=95,W1315&lt;=250),0.17,0)+IF(AND(V1315&gt;=20,V1315&lt;40,W1315&gt;=250),0.12,0)+IF(AND(V1315&gt;=40,V1315&lt;75,W1315&lt;35),0.3,0)+IF(AND(V1315&gt;=40,V1315&lt;75,W1315&gt;=35,W1315&lt;75),0.23,0)+IF(AND(V1315&gt;=40,V1315&lt;75,W1315&gt;=75,W1315&lt;120),0.17,0)+IF(AND(V1315&gt;=40,V1315&lt;75,W1315&gt;=120),0.12,0)+IF(AND(V1315&gt;=75,V1315&lt;175,W1315&lt;35),0.3,0)+IF(AND(V1315&gt;=75,V1315&lt;=175,W1315&gt;=35,W1315&lt;65),0.23,0)+IF(AND(V1315&gt;=75,V1315&lt;=175,W1315&gt;=65,W1315&lt;110),0.17,0)+IF(AND(V1315&gt;=75,V1315&lt;=175,W1315&gt;=110),0.12,0)+IF(AND(V1315&gt;175,W1315&lt;25),0.3,0)+IF(AND(V1315&gt;175,W1315&gt;=25,W1315&lt;55),0.23,0)+IF(AND(V1315&gt;175,W1315&gt;=55,W1315&lt;95),0.17,0)+IF(AND(V1315&gt;175,W1315&gt;=95),0.12,0),
IF(AF1315="DoEVni",IF(AND(V1315&lt;20,W1315&lt;55),0.3,0)+IF(AND(V1315&lt;20,W1315&gt;=55,W1315&lt;105),0.23,0)+IF(AND(V1315&lt;20,W1315&gt;=105),0.17,0)+IF(AND(V1315&gt;=20,V1315&lt;40,W1315&lt;45),0.3,0)+IF(AND(V1315&gt;=20,V1315&lt;40,W1315&gt;=45,W1315&lt;95),0.23,0)+IF(AND(V1315&gt;=20,V1315&lt;40,W1315&gt;=95,W1315&lt;=200),0.17,0)+IF(AND(V1315&gt;=20,V1315&lt;40,W1315&gt;=200),0.12,0)+IF(AND(V1315&gt;=40,V1315&lt;75,W1315&lt;35),0.3,0)+IF(AND(V1315&gt;=40,V1315&lt;75,W1315&gt;=35,W1315&lt;75),0.23,0)+IF(AND(V1315&gt;=40,V1315&lt;75,W1315&gt;=75,W1315&lt;120),0.17,0)+IF(AND(V1315&gt;=40,V1315&lt;75,W1315&gt;=120),0.12,0)+IF(AND(V1315&gt;=75,V1315&lt;175,W1315&lt;35),0.3,0)+IF(AND(V1315&gt;=75,V1315&lt;=175,W1315&gt;=35,W1315&lt;65),0.23,0)+IF(AND(V1315&gt;=75,V1315&lt;=175,W1315&gt;=65,W1315&lt;110),0.17,0)+IF(AND(V1315&gt;=75,V1315&lt;=175,W1315&gt;=110),0.12,0)+IF(AND(V1315&gt;175,W1315&lt;25),0.3,0)+IF(AND(V1315&gt;175,W1315&gt;=25,W1315&lt;55),0.23,0)+IF(AND(V1315&gt;175,W1315&gt;=55,W1315&lt;95),0.17,0)+IF(AND(V1315&gt;175,W1315&gt;=95),0.12,0),
IF(AF1315="DoEVLo",IF(AND(V1315&lt;20,W1315&lt;55),0.25,0)+IF(AND(V1315&lt;20,W1315&gt;=55,W1315&lt;105),0.2,0)+IF(AND(V1315&lt;20,W1315&gt;=105),0.15,0)+IF(AND(V1315&gt;=20,V1315&lt;40,W1315&lt;45),0.25,0)+IF(AND(V1315&gt;=20,V1315&lt;40,W1315&gt;=45,W1315&lt;95),0.2,0)+IF(AND(V1315&gt;=20,V1315&lt;40,W1315&gt;=95),0.15,0)+IF(AND(V1315&gt;=40,V1315&lt;75,W1315&lt;35),0.25,0)+IF(AND(V1315&gt;=40,V1315&lt;75,W1315&gt;=35,W1315&lt;75),0.2,0)+IF(AND(V1315&gt;=40,V1315&lt;75,W1315&gt;=75,W1315&lt;120),0.15,0)+IF(AND(V1315&gt;=40,V1315&lt;75,W1315&gt;=120),0.1,0)+IF(AND(V1315&gt;=75,V1315&lt;175,W1315&lt;35),0.25,0)+IF(AND(V1315&gt;=75,V1315&lt;=175,W1315&gt;=35,W1315&lt;65),0.2,0)+IF(AND(V1315&gt;=75,V1315&lt;=175,W1315&gt;=65,W1315&lt;110),0.15,0)+IF(AND(V1315&gt;=75,V1315&lt;=175,W1315&gt;=110),0.1,0)+IF(AND(V1315&gt;175,W1315&lt;25),0.25,0)+IF(AND(V1315&gt;175,W1315&gt;=25,W1315&lt;55),0.2,0)+IF(AND(V1315&gt;175,W1315&gt;=55,W1315&lt;95),0.15,0)+IF(AND(V1315&gt;175,W1315&gt;=95),0.1,0))))))))))))))))))</f>
        <v>0.1</v>
      </c>
      <c r="Y1315" s="30">
        <f>IF(AG1315="None",0,IF(AG1315="Fix5",0.05, IF(AG1315="Fix6.25",0.0625,IF(AG1315="Fix3.75",0.0375,IF(AG1315="Fix10",0.1,IF(AG1315="Fix3",0.03,0))))))</f>
        <v>0</v>
      </c>
      <c r="Z1315" s="35">
        <f>T1315-AA1315-AB1315</f>
        <v>1808.1</v>
      </c>
      <c r="AA1315" s="29">
        <f>IF(AD1315="EUR",((T1315-R1315)*X1315)*U1315+(R1315*X1315),(T1315*X1315))</f>
        <v>200.9</v>
      </c>
      <c r="AB1315" s="36">
        <f>IF(AD1315="EUR",((T1315-R1315)*Y1315)*U1315+(R1315*Y1315),(T1315*Y1315))</f>
        <v>0</v>
      </c>
      <c r="AC1315" s="37" t="b">
        <v>1</v>
      </c>
      <c r="AD1315" s="37" t="s">
        <v>38</v>
      </c>
      <c r="AE1315" s="37" t="s">
        <v>38</v>
      </c>
      <c r="AF1315" s="37" t="str">
        <f t="array" ref="AF1315">INDEX('Deal Info'!D:D, MATCH(A1315,'Deal Info'!A:A, 0))</f>
        <v>Fix10</v>
      </c>
      <c r="AG1315" s="38" t="str">
        <f t="array" ref="AG1315">INDEX('Deal Info'!G:G, MATCH(A1315,'Deal Info'!A:A, 0))</f>
        <v>None</v>
      </c>
    </row>
    <row r="1316" spans="1:33" ht="14.25" hidden="1" x14ac:dyDescent="0.2">
      <c r="A1316" s="18" t="str">
        <f t="array" ref="A1316">IF(G1316='Room Info'!$B$1, INDEX('Room Info'!$A$2:$A2446, MATCH(B1316,'Room Info'!$B$2:$B2446, 0)),IF(G1316='Room Info'!$C$1, INDEX('Room Info'!$A$2:$A2446, MATCH(B1316,'Room Info'!$C$2:$C2446, 0)),IF(G1316='Room Info'!$D$1, INDEX('Room Info'!$A$2:$A2446, MATCH(B1316,'Room Info'!$D$2:$D2446, 0)),IF(G1316='Room Info'!$E$1, INDEX('Room Info'!$A$2:$A2446, MATCH(B1316,'Room Info'!$E$2:$E2446, 0)),IF(G1316='Room Info'!$F$1, INDEX('Room Info'!$A$2:$A2446, MATCH(B1316,'Room Info'!$F$2:$F2446, 0)),IF(G1316='Room Info'!$H$1, INDEX('Room Info'!$A$2:$A2446, MATCH(B1316,'Room Info'!$H$2:$H2446, 0)),IF(G1316='Room Info'!$G$1, INDEX('Room Info'!$A$2:$A2446, MATCH(B1316,'Room Info'!$G$2:$G2446, 0)))))))))</f>
        <v>volkovsky</v>
      </c>
      <c r="B1316" s="54" t="s">
        <v>206</v>
      </c>
      <c r="C1316" s="46">
        <v>44613</v>
      </c>
      <c r="D1316" s="46">
        <v>44640</v>
      </c>
      <c r="E1316" s="47">
        <v>44621</v>
      </c>
      <c r="F1316" s="48" t="s">
        <v>34</v>
      </c>
      <c r="G1316" s="54" t="s">
        <v>35</v>
      </c>
      <c r="H1316" s="54" t="s">
        <v>84</v>
      </c>
      <c r="I1316" s="49" t="s">
        <v>44</v>
      </c>
      <c r="J1316" s="50">
        <v>100</v>
      </c>
      <c r="K1316" s="51">
        <v>20</v>
      </c>
      <c r="L1316" s="52">
        <v>400</v>
      </c>
      <c r="M1316" s="53">
        <v>150</v>
      </c>
      <c r="N1316" s="28">
        <f>K1316*J1316</f>
        <v>2000</v>
      </c>
      <c r="O1316" s="54">
        <v>827</v>
      </c>
      <c r="P1316" s="29">
        <v>41.35</v>
      </c>
      <c r="Q1316" s="55"/>
      <c r="R1316" s="31">
        <f>M1316+Q1316</f>
        <v>150</v>
      </c>
      <c r="S1316" s="56">
        <v>149</v>
      </c>
      <c r="T1316" s="32">
        <f>R1316+S1316+IF(F1316="Without EV deal",L1316,0)</f>
        <v>299</v>
      </c>
      <c r="U1316" s="57"/>
      <c r="V1316" s="58"/>
      <c r="W1316" s="58"/>
      <c r="X1316" s="30">
        <f>IF(AF1316="DoEV",IF(AND(V1316&lt;20,W1316&lt;55),0.3,0)+IF(AND(V1316&lt;20,W1316&gt;=55,W1316&lt;105),0.23,0)+IF(AND(V1316&lt;20,W1316&gt;=105),0.17,0)+IF(AND(V1316&gt;=20,V1316&lt;40,W1316&lt;45),0.3,0)+IF(AND(V1316&gt;=20,V1316&lt;40,W1316&gt;=45,W1316&lt;95),0.23,0)+IF(AND(V1316&gt;=20,V1316&lt;40,W1316&gt;=95),0.17,0)+IF(AND(V1316&gt;=40,V1316&lt;75,W1316&lt;35),0.3,0)+IF(AND(V1316&gt;=40,V1316&lt;75,W1316&gt;=35,W1316&lt;75),0.23,0)+IF(AND(V1316&gt;=40,V1316&lt;75,W1316&gt;=75,W1316&lt;120),0.17,0)+IF(AND(V1316&gt;=40,V1316&lt;75,W1316&gt;=120),0.12,0)+IF(AND(V1316&gt;=75,V1316&lt;175,W1316&lt;35),0.3,0)+IF(AND(V1316&gt;=75,V1316&lt;=175,W1316&gt;=35,W1316&lt;65),0.23,0)+IF(AND(V1316&gt;=75,V1316&lt;=175,W1316&gt;=65,W1316&lt;110),0.17,0)+IF(AND(V1316&gt;=75,V1316&lt;=175,W1316&gt;=110),0.12,0)+IF(AND(V1316&gt;175,W1316&lt;25),0.3,0)+IF(AND(V1316&gt;175,W1316&gt;=25,W1316&lt;55),0.23,0)+IF(AND(V1316&gt;175,W1316&gt;=55,W1316&lt;95),0.17,0)+IF(AND(V1316&gt;175,W1316&gt;=95),0.12,0),
IF(AF1316="Fix15",0.15,
IF(AF1316="Fix18.75",0.1875,
IF(AF1316="Fix11.25",0.1125,
IF(AF1316="Fix10",0.1,
IF(AF1316="Fix9",0.09,
IF(AF1316="Fix19",0.19,
IF(AF1316="DoEV2017",IF(AND(W1316&lt;74),0.2,0)+IF(AND(W1316&gt;=74),0.17,0),
IF(AF1316="SF",IF(AND(V1316&lt;20,W1316&lt;89),0.3,0)+IF(AND(V1316&lt;20,W1316&gt;=89),0.25,0)+IF(AND(V1316&gt;=20,V1316&lt;40,W1316&lt;74),0.3,0)+IF(AND(V1316&gt;=20,V1316&lt;40,W1316&gt;=75),0.22,0)+IF(AND(V1316&gt;=40,V1316&lt;75,W1316&lt;75),0.26,0)+IF(AND(V1316&gt;=40,V1316&lt;75,W1316&gt;=75),0.22,0)+IF(V1316&gt;=75,0.22,0),
IF(AF1316="DoEVold",IF(AND(V1316&lt;40,W1316&lt;35),0.35,0)+IF(AND(V1316&lt;40,W1316&gt;=35,W1316&lt;75),0.25,0)+IF(AND(V1316&lt;40,W1316&gt;=75),0.17,0)+IF(AND(V1316&gt;=40,V1316&lt;75,W1316&lt;25),0.35,0)+IF(AND(V1316&gt;=40,V1316&lt;75,W1316&gt;=25,W1316&lt;65),0.25,0)+IF(AND(V1316&gt;=40,V1316&lt;75,W1316&gt;=65,W1316&lt;100),0.17,0)+IF(AND(V1316&gt;=40,V1316&lt;75,W1316&gt;=100),0.1,0)+IF(AND(V1316&gt;=75,W1316&lt;25),0.35,0)+IF(AND(V1316&gt;=75,W1316&gt;=25,W1316&lt;60),0.25,0)+IF(AND(V1316&gt;=75,W1316&gt;=60,W1316&lt;95),0.17,0)+IF(AND(V1316&gt;=75,W1316&gt;=95),0.1,0),
IF(AF1316="DoEVold15",IF(AND(V1316&lt;=40,W1316&lt;35),0.35,0)+IF(AND(V1316&lt;=40,W1316&gt;=35,W1316&lt;75),0.25,0)+IF(AND(V1316&lt;=40,W1316&gt;=75,W1316&lt;120),0.17,0)+IF(AND(V1316&lt;=40,W1316&gt;=120),0.15,0)+IF(AND(V1316&gt;40,V1316&lt;75,W1316&lt;25),0.35,0)+IF(AND(V1316&gt;=40,V1316&lt;75,W1316&gt;=25,W1316&lt;65),0.25,0)+IF(AND(V1316&gt;=40,V1316&lt;75,W1316&gt;=65,W1316&lt;100),0.17,0)+IF(AND(V1316&gt;=40,V1316&lt;75,W1316&gt;=100),0.1,0)+IF(AND(V1316&gt;=75,W1316&lt;25),0.35,0)+IF(AND(V1316&gt;=75,W1316&gt;=25,W1316&lt;60),0.25,0)+IF(AND(V1316&gt;=75,W1316&gt;=60,W1316&lt;95),0.17,0)+IF(AND(V1316&gt;=75,W1316&gt;=95),0.1,0),
IF(AF1316="DoEVba",IF(AND(V1316&lt;20,W1316&lt;105),0.2,0)+IF(AND(V1316&lt;20,W1316&gt;=105),0.15,0)+IF(AND(V1316&gt;=20,V1316&lt;40,W1316&lt;95),0.2,0)+IF(AND(V1316&gt;=20,V1316&lt;40,W1316&gt;=95,W1316&lt;150),0.15,0)+IF(AND(V1316&gt;=20,V1316&lt;40,W1316&gt;=150),0.12,0)+IF(AND(V1316&gt;=40,V1316&lt;75,W1316&lt;75),0.2,0)+IF(AND(V1316&gt;=40,V1316&lt;75,W1316&gt;=75,W1316&lt;120),0.15,0)+IF(AND(V1316&gt;=40,V1316&lt;75,W1316&gt;=120),0.12,0)+IF(AND(V1316&gt;=75,V1316&lt;175,W1316&lt;65),0.2,0)+IF(AND(V1316&gt;=75,V1316&lt;175,W1316&gt;=65,W1316&lt;110),0.15,0)+IF(AND(V1316&gt;=75,V1316&lt;175,W1316&gt;=110),0.12,0)+IF(AND(V1316&gt;=175,W1316&lt;55),0.2,0)+IF(AND(V1316&gt;=175,W1316&gt;=55,W1316&lt;95),0.15,0)+IF(AND(V1316&gt;=175,W1316&gt;=95),0.12,0),
IF(AF1316="DoEVku",IF(AND(V1316&lt;20,W1316&lt;55),0.23,0)+IF(AND(V1316&lt;20,W1316&gt;=55,W1316&lt;105),0.2,0)+IF(AND(V1316&lt;20,W1316&gt;=105),0.17,0)+IF(AND(V1316&gt;=20,V1316&lt;40,W1316&lt;45),0.23,0)+IF(AND(V1316&gt;=20,V1316&lt;40,W1316&gt;=45,W1316&lt;95),0.2,0)+IF(AND(V1316&gt;=20,V1316&lt;40,W1316&gt;=95,W1316&lt;=150),0.17,0)+IF(AND(V1316&gt;=20,V1316&lt;40,W1316&gt;=150),0.12,0)+IF(AND(V1316&gt;=40,V1316&lt;75,W1316&lt;35),0.23,0)+IF(AND(V1316&gt;=40,V1316&lt;75,W1316&gt;=35,W1316&lt;75),0.2,0)+IF(AND(V1316&gt;=40,V1316&lt;75,W1316&gt;=75,W1316&lt;120),0.17,0)+IF(AND(V1316&gt;=40,V1316&lt;75,W1316&gt;=120),0.12,0)+IF(AND(V1316&gt;=75,V1316&lt;175,W1316&lt;35),0.23,0)+IF(AND(V1316&gt;=75,V1316&lt;=175,W1316&gt;=35,W1316&lt;65),0.2,0)+IF(AND(V1316&gt;=75,V1316&lt;=175,W1316&gt;=65,W1316&lt;110),0.17,0)+IF(AND(V1316&gt;=75,V1316&lt;=175,W1316&gt;=110),0.12,0)+IF(AND(V1316&gt;175,W1316&lt;25),0.23,0)+IF(AND(V1316&gt;175,W1316&gt;=25,W1316&lt;55),0.2,0)+IF(AND(V1316&gt;175,W1316&gt;=55,W1316&lt;95),0.17,0)+IF(AND(V1316&gt;175,W1316&gt;=95),0.12,0),
IF(AF1316="DoEVs1",IF(AND(V1316&lt;20,W1316&lt;55),0.3,0)+IF(AND(V1316&lt;20,W1316&gt;=55,W1316&lt;105),0.23,0)+IF(AND(V1316&lt;20,W1316&gt;=105),0.17,0)+IF(AND(V1316&gt;=20,V1316&lt;40,W1316&lt;45),0.3,0)+IF(AND(V1316&gt;=20,V1316&lt;40,W1316&gt;=45,W1316&lt;95),0.23,0)+IF(AND(V1316&gt;=20,V1316&lt;40,W1316&gt;=95,W1316&lt;=150),0.17,0)+IF(AND(V1316&gt;=20,V1316&lt;40,W1316&gt;=150),0.12,0)+IF(AND(V1316&gt;=40,V1316&lt;75,W1316&lt;35),0.3,0)+IF(AND(V1316&gt;=40,V1316&lt;75,W1316&gt;=35,W1316&lt;75),0.23,0)+IF(AND(V1316&gt;=40,V1316&lt;75,W1316&gt;=75,W1316&lt;120),0.17,0)+IF(AND(V1316&gt;=40,V1316&lt;75,W1316&gt;=120),0.12,0)+IF(AND(V1316&gt;=75,V1316&lt;175,W1316&lt;35),0.3,0)+IF(AND(V1316&gt;=75,V1316&lt;=175,W1316&gt;=35,W1316&lt;65),0.23,0)+IF(AND(V1316&gt;=75,V1316&lt;=175,W1316&gt;=65,W1316&lt;110),0.17,0)+IF(AND(V1316&gt;=75,V1316&lt;=175,W1316&gt;=110),0.12,0)+IF(AND(V1316&gt;175,W1316&lt;25),0.3,0)+IF(AND(V1316&gt;175,W1316&gt;=25,W1316&lt;55),0.23,0)+IF(AND(V1316&gt;175,W1316&gt;=55,W1316&lt;95),0.17,0)+IF(AND(V1316&gt;175,W1316&gt;=95),0.12,0),
IF(AF1316="DoEVsu",IF(AND(V1316&lt;20,W1316&lt;55),0.3,0)+IF(AND(V1316&lt;20,W1316&gt;=55,W1316&lt;105),0.23,0)+IF(AND(V1316&lt;20,W1316&gt;=105),0.17,0)+IF(AND(V1316&gt;=20,V1316&lt;40,W1316&lt;45),0.3,0)+IF(AND(V1316&gt;=20,V1316&lt;40,W1316&gt;=45,W1316&lt;95),0.23,0)+IF(AND(V1316&gt;=20,V1316&lt;40,W1316&gt;=95,W1316&lt;=250),0.17,0)+IF(AND(V1316&gt;=20,V1316&lt;40,W1316&gt;=250),0.12,0)+IF(AND(V1316&gt;=40,V1316&lt;75,W1316&lt;35),0.3,0)+IF(AND(V1316&gt;=40,V1316&lt;75,W1316&gt;=35,W1316&lt;75),0.23,0)+IF(AND(V1316&gt;=40,V1316&lt;75,W1316&gt;=75,W1316&lt;120),0.17,0)+IF(AND(V1316&gt;=40,V1316&lt;75,W1316&gt;=120),0.12,0)+IF(AND(V1316&gt;=75,V1316&lt;175,W1316&lt;35),0.3,0)+IF(AND(V1316&gt;=75,V1316&lt;=175,W1316&gt;=35,W1316&lt;65),0.23,0)+IF(AND(V1316&gt;=75,V1316&lt;=175,W1316&gt;=65,W1316&lt;110),0.17,0)+IF(AND(V1316&gt;=75,V1316&lt;=175,W1316&gt;=110),0.12,0)+IF(AND(V1316&gt;175,W1316&lt;25),0.3,0)+IF(AND(V1316&gt;175,W1316&gt;=25,W1316&lt;55),0.23,0)+IF(AND(V1316&gt;175,W1316&gt;=55,W1316&lt;95),0.17,0)+IF(AND(V1316&gt;175,W1316&gt;=95),0.12,0),
IF(AF1316="DoEVni",IF(AND(V1316&lt;20,W1316&lt;55),0.3,0)+IF(AND(V1316&lt;20,W1316&gt;=55,W1316&lt;105),0.23,0)+IF(AND(V1316&lt;20,W1316&gt;=105),0.17,0)+IF(AND(V1316&gt;=20,V1316&lt;40,W1316&lt;45),0.3,0)+IF(AND(V1316&gt;=20,V1316&lt;40,W1316&gt;=45,W1316&lt;95),0.23,0)+IF(AND(V1316&gt;=20,V1316&lt;40,W1316&gt;=95,W1316&lt;=200),0.17,0)+IF(AND(V1316&gt;=20,V1316&lt;40,W1316&gt;=200),0.12,0)+IF(AND(V1316&gt;=40,V1316&lt;75,W1316&lt;35),0.3,0)+IF(AND(V1316&gt;=40,V1316&lt;75,W1316&gt;=35,W1316&lt;75),0.23,0)+IF(AND(V1316&gt;=40,V1316&lt;75,W1316&gt;=75,W1316&lt;120),0.17,0)+IF(AND(V1316&gt;=40,V1316&lt;75,W1316&gt;=120),0.12,0)+IF(AND(V1316&gt;=75,V1316&lt;175,W1316&lt;35),0.3,0)+IF(AND(V1316&gt;=75,V1316&lt;=175,W1316&gt;=35,W1316&lt;65),0.23,0)+IF(AND(V1316&gt;=75,V1316&lt;=175,W1316&gt;=65,W1316&lt;110),0.17,0)+IF(AND(V1316&gt;=75,V1316&lt;=175,W1316&gt;=110),0.12,0)+IF(AND(V1316&gt;175,W1316&lt;25),0.3,0)+IF(AND(V1316&gt;175,W1316&gt;=25,W1316&lt;55),0.23,0)+IF(AND(V1316&gt;175,W1316&gt;=55,W1316&lt;95),0.17,0)+IF(AND(V1316&gt;175,W1316&gt;=95),0.12,0),
IF(AF1316="DoEVLo",IF(AND(V1316&lt;20,W1316&lt;55),0.25,0)+IF(AND(V1316&lt;20,W1316&gt;=55,W1316&lt;105),0.2,0)+IF(AND(V1316&lt;20,W1316&gt;=105),0.15,0)+IF(AND(V1316&gt;=20,V1316&lt;40,W1316&lt;45),0.25,0)+IF(AND(V1316&gt;=20,V1316&lt;40,W1316&gt;=45,W1316&lt;95),0.2,0)+IF(AND(V1316&gt;=20,V1316&lt;40,W1316&gt;=95),0.15,0)+IF(AND(V1316&gt;=40,V1316&lt;75,W1316&lt;35),0.25,0)+IF(AND(V1316&gt;=40,V1316&lt;75,W1316&gt;=35,W1316&lt;75),0.2,0)+IF(AND(V1316&gt;=40,V1316&lt;75,W1316&gt;=75,W1316&lt;120),0.15,0)+IF(AND(V1316&gt;=40,V1316&lt;75,W1316&gt;=120),0.1,0)+IF(AND(V1316&gt;=75,V1316&lt;175,W1316&lt;35),0.25,0)+IF(AND(V1316&gt;=75,V1316&lt;=175,W1316&gt;=35,W1316&lt;65),0.2,0)+IF(AND(V1316&gt;=75,V1316&lt;=175,W1316&gt;=65,W1316&lt;110),0.15,0)+IF(AND(V1316&gt;=75,V1316&lt;=175,W1316&gt;=110),0.1,0)+IF(AND(V1316&gt;175,W1316&lt;25),0.25,0)+IF(AND(V1316&gt;175,W1316&gt;=25,W1316&lt;55),0.2,0)+IF(AND(V1316&gt;175,W1316&gt;=55,W1316&lt;95),0.15,0)+IF(AND(V1316&gt;175,W1316&gt;=95),0.1,0))))))))))))))))))</f>
        <v>0.1</v>
      </c>
      <c r="Y1316" s="30">
        <f>IF(AG1316="None",0,IF(AG1316="Fix5",0.05, IF(AG1316="Fix6.25",0.0625,IF(AG1316="Fix3.75",0.0375,IF(AG1316="Fix10",0.1,IF(AG1316="Fix3",0.03,0))))))</f>
        <v>0</v>
      </c>
      <c r="Z1316" s="35">
        <f>T1316-AA1316-AB1316</f>
        <v>269.10000000000002</v>
      </c>
      <c r="AA1316" s="29">
        <f>IF(AD1316="EUR",((T1316-R1316)*X1316)*U1316+(R1316*X1316),(T1316*X1316))</f>
        <v>29.900000000000002</v>
      </c>
      <c r="AB1316" s="36">
        <f>IF(AD1316="EUR",((T1316-R1316)*Y1316)*U1316+(R1316*Y1316),(T1316*Y1316))</f>
        <v>0</v>
      </c>
      <c r="AC1316" s="37" t="b">
        <v>1</v>
      </c>
      <c r="AD1316" s="37" t="s">
        <v>38</v>
      </c>
      <c r="AE1316" s="37" t="s">
        <v>38</v>
      </c>
      <c r="AF1316" s="37" t="str">
        <f t="array" ref="AF1316">INDEX('Deal Info'!D:D, MATCH(A1316,'Deal Info'!A:A, 0))</f>
        <v>Fix10</v>
      </c>
      <c r="AG1316" s="38" t="str">
        <f t="array" ref="AG1316">INDEX('Deal Info'!G:G, MATCH(A1316,'Deal Info'!A:A, 0))</f>
        <v>None</v>
      </c>
    </row>
    <row r="1317" spans="1:33" ht="14.25" hidden="1" x14ac:dyDescent="0.2">
      <c r="A1317" s="18" t="str">
        <f t="array" ref="A1317">IF(G1317='Room Info'!$B$1, INDEX('Room Info'!$A$2:$A2446, MATCH(B1317,'Room Info'!$B$2:$B2446, 0)),IF(G1317='Room Info'!$C$1, INDEX('Room Info'!$A$2:$A2446, MATCH(B1317,'Room Info'!$C$2:$C2446, 0)),IF(G1317='Room Info'!$D$1, INDEX('Room Info'!$A$2:$A2446, MATCH(B1317,'Room Info'!$D$2:$D2446, 0)),IF(G1317='Room Info'!$E$1, INDEX('Room Info'!$A$2:$A2446, MATCH(B1317,'Room Info'!$E$2:$E2446, 0)),IF(G1317='Room Info'!$F$1, INDEX('Room Info'!$A$2:$A2446, MATCH(B1317,'Room Info'!$F$2:$F2446, 0)),IF(G1317='Room Info'!$H$1, INDEX('Room Info'!$A$2:$A2446, MATCH(B1317,'Room Info'!$H$2:$H2446, 0)),IF(G1317='Room Info'!$G$1, INDEX('Room Info'!$A$2:$A2446, MATCH(B1317,'Room Info'!$G$2:$G2446, 0)))))))))</f>
        <v>volkovsky</v>
      </c>
      <c r="B1317" s="45" t="s">
        <v>206</v>
      </c>
      <c r="C1317" s="46">
        <v>44613</v>
      </c>
      <c r="D1317" s="46">
        <v>44640</v>
      </c>
      <c r="E1317" s="47">
        <v>44621</v>
      </c>
      <c r="F1317" s="48" t="s">
        <v>34</v>
      </c>
      <c r="G1317" s="45" t="s">
        <v>35</v>
      </c>
      <c r="H1317" s="49" t="s">
        <v>88</v>
      </c>
      <c r="I1317" s="49" t="s">
        <v>37</v>
      </c>
      <c r="J1317" s="50">
        <v>250</v>
      </c>
      <c r="K1317" s="51">
        <v>163</v>
      </c>
      <c r="L1317" s="52">
        <v>6500</v>
      </c>
      <c r="M1317" s="53">
        <v>3066</v>
      </c>
      <c r="N1317" s="28">
        <f>K1317*J1317</f>
        <v>40750</v>
      </c>
      <c r="O1317" s="54">
        <v>16300</v>
      </c>
      <c r="P1317" s="29">
        <v>100</v>
      </c>
      <c r="Q1317" s="55"/>
      <c r="R1317" s="31">
        <f>M1317+Q1317</f>
        <v>3066</v>
      </c>
      <c r="S1317" s="56">
        <v>5521</v>
      </c>
      <c r="T1317" s="32">
        <f>R1317+S1317+IF(F1317="Without EV deal",L1317,0)</f>
        <v>8587</v>
      </c>
      <c r="U1317" s="57"/>
      <c r="V1317" s="58"/>
      <c r="W1317" s="58"/>
      <c r="X1317" s="30">
        <f>IF(AF1317="DoEV",IF(AND(V1317&lt;20,W1317&lt;55),0.3,0)+IF(AND(V1317&lt;20,W1317&gt;=55,W1317&lt;105),0.23,0)+IF(AND(V1317&lt;20,W1317&gt;=105),0.17,0)+IF(AND(V1317&gt;=20,V1317&lt;40,W1317&lt;45),0.3,0)+IF(AND(V1317&gt;=20,V1317&lt;40,W1317&gt;=45,W1317&lt;95),0.23,0)+IF(AND(V1317&gt;=20,V1317&lt;40,W1317&gt;=95),0.17,0)+IF(AND(V1317&gt;=40,V1317&lt;75,W1317&lt;35),0.3,0)+IF(AND(V1317&gt;=40,V1317&lt;75,W1317&gt;=35,W1317&lt;75),0.23,0)+IF(AND(V1317&gt;=40,V1317&lt;75,W1317&gt;=75,W1317&lt;120),0.17,0)+IF(AND(V1317&gt;=40,V1317&lt;75,W1317&gt;=120),0.12,0)+IF(AND(V1317&gt;=75,V1317&lt;175,W1317&lt;35),0.3,0)+IF(AND(V1317&gt;=75,V1317&lt;=175,W1317&gt;=35,W1317&lt;65),0.23,0)+IF(AND(V1317&gt;=75,V1317&lt;=175,W1317&gt;=65,W1317&lt;110),0.17,0)+IF(AND(V1317&gt;=75,V1317&lt;=175,W1317&gt;=110),0.12,0)+IF(AND(V1317&gt;175,W1317&lt;25),0.3,0)+IF(AND(V1317&gt;175,W1317&gt;=25,W1317&lt;55),0.23,0)+IF(AND(V1317&gt;175,W1317&gt;=55,W1317&lt;95),0.17,0)+IF(AND(V1317&gt;175,W1317&gt;=95),0.12,0),
IF(AF1317="Fix15",0.15,
IF(AF1317="Fix18.75",0.1875,
IF(AF1317="Fix11.25",0.1125,
IF(AF1317="Fix10",0.1,
IF(AF1317="Fix9",0.09,
IF(AF1317="Fix19",0.19,
IF(AF1317="DoEV2017",IF(AND(W1317&lt;74),0.2,0)+IF(AND(W1317&gt;=74),0.17,0),
IF(AF1317="SF",IF(AND(V1317&lt;20,W1317&lt;89),0.3,0)+IF(AND(V1317&lt;20,W1317&gt;=89),0.25,0)+IF(AND(V1317&gt;=20,V1317&lt;40,W1317&lt;74),0.3,0)+IF(AND(V1317&gt;=20,V1317&lt;40,W1317&gt;=75),0.22,0)+IF(AND(V1317&gt;=40,V1317&lt;75,W1317&lt;75),0.26,0)+IF(AND(V1317&gt;=40,V1317&lt;75,W1317&gt;=75),0.22,0)+IF(V1317&gt;=75,0.22,0),
IF(AF1317="DoEVold",IF(AND(V1317&lt;40,W1317&lt;35),0.35,0)+IF(AND(V1317&lt;40,W1317&gt;=35,W1317&lt;75),0.25,0)+IF(AND(V1317&lt;40,W1317&gt;=75),0.17,0)+IF(AND(V1317&gt;=40,V1317&lt;75,W1317&lt;25),0.35,0)+IF(AND(V1317&gt;=40,V1317&lt;75,W1317&gt;=25,W1317&lt;65),0.25,0)+IF(AND(V1317&gt;=40,V1317&lt;75,W1317&gt;=65,W1317&lt;100),0.17,0)+IF(AND(V1317&gt;=40,V1317&lt;75,W1317&gt;=100),0.1,0)+IF(AND(V1317&gt;=75,W1317&lt;25),0.35,0)+IF(AND(V1317&gt;=75,W1317&gt;=25,W1317&lt;60),0.25,0)+IF(AND(V1317&gt;=75,W1317&gt;=60,W1317&lt;95),0.17,0)+IF(AND(V1317&gt;=75,W1317&gt;=95),0.1,0),
IF(AF1317="DoEVold15",IF(AND(V1317&lt;=40,W1317&lt;35),0.35,0)+IF(AND(V1317&lt;=40,W1317&gt;=35,W1317&lt;75),0.25,0)+IF(AND(V1317&lt;=40,W1317&gt;=75,W1317&lt;120),0.17,0)+IF(AND(V1317&lt;=40,W1317&gt;=120),0.15,0)+IF(AND(V1317&gt;40,V1317&lt;75,W1317&lt;25),0.35,0)+IF(AND(V1317&gt;=40,V1317&lt;75,W1317&gt;=25,W1317&lt;65),0.25,0)+IF(AND(V1317&gt;=40,V1317&lt;75,W1317&gt;=65,W1317&lt;100),0.17,0)+IF(AND(V1317&gt;=40,V1317&lt;75,W1317&gt;=100),0.1,0)+IF(AND(V1317&gt;=75,W1317&lt;25),0.35,0)+IF(AND(V1317&gt;=75,W1317&gt;=25,W1317&lt;60),0.25,0)+IF(AND(V1317&gt;=75,W1317&gt;=60,W1317&lt;95),0.17,0)+IF(AND(V1317&gt;=75,W1317&gt;=95),0.1,0),
IF(AF1317="DoEVba",IF(AND(V1317&lt;20,W1317&lt;105),0.2,0)+IF(AND(V1317&lt;20,W1317&gt;=105),0.15,0)+IF(AND(V1317&gt;=20,V1317&lt;40,W1317&lt;95),0.2,0)+IF(AND(V1317&gt;=20,V1317&lt;40,W1317&gt;=95,W1317&lt;150),0.15,0)+IF(AND(V1317&gt;=20,V1317&lt;40,W1317&gt;=150),0.12,0)+IF(AND(V1317&gt;=40,V1317&lt;75,W1317&lt;75),0.2,0)+IF(AND(V1317&gt;=40,V1317&lt;75,W1317&gt;=75,W1317&lt;120),0.15,0)+IF(AND(V1317&gt;=40,V1317&lt;75,W1317&gt;=120),0.12,0)+IF(AND(V1317&gt;=75,V1317&lt;175,W1317&lt;65),0.2,0)+IF(AND(V1317&gt;=75,V1317&lt;175,W1317&gt;=65,W1317&lt;110),0.15,0)+IF(AND(V1317&gt;=75,V1317&lt;175,W1317&gt;=110),0.12,0)+IF(AND(V1317&gt;=175,W1317&lt;55),0.2,0)+IF(AND(V1317&gt;=175,W1317&gt;=55,W1317&lt;95),0.15,0)+IF(AND(V1317&gt;=175,W1317&gt;=95),0.12,0),
IF(AF1317="DoEVku",IF(AND(V1317&lt;20,W1317&lt;55),0.23,0)+IF(AND(V1317&lt;20,W1317&gt;=55,W1317&lt;105),0.2,0)+IF(AND(V1317&lt;20,W1317&gt;=105),0.17,0)+IF(AND(V1317&gt;=20,V1317&lt;40,W1317&lt;45),0.23,0)+IF(AND(V1317&gt;=20,V1317&lt;40,W1317&gt;=45,W1317&lt;95),0.2,0)+IF(AND(V1317&gt;=20,V1317&lt;40,W1317&gt;=95,W1317&lt;=150),0.17,0)+IF(AND(V1317&gt;=20,V1317&lt;40,W1317&gt;=150),0.12,0)+IF(AND(V1317&gt;=40,V1317&lt;75,W1317&lt;35),0.23,0)+IF(AND(V1317&gt;=40,V1317&lt;75,W1317&gt;=35,W1317&lt;75),0.2,0)+IF(AND(V1317&gt;=40,V1317&lt;75,W1317&gt;=75,W1317&lt;120),0.17,0)+IF(AND(V1317&gt;=40,V1317&lt;75,W1317&gt;=120),0.12,0)+IF(AND(V1317&gt;=75,V1317&lt;175,W1317&lt;35),0.23,0)+IF(AND(V1317&gt;=75,V1317&lt;=175,W1317&gt;=35,W1317&lt;65),0.2,0)+IF(AND(V1317&gt;=75,V1317&lt;=175,W1317&gt;=65,W1317&lt;110),0.17,0)+IF(AND(V1317&gt;=75,V1317&lt;=175,W1317&gt;=110),0.12,0)+IF(AND(V1317&gt;175,W1317&lt;25),0.23,0)+IF(AND(V1317&gt;175,W1317&gt;=25,W1317&lt;55),0.2,0)+IF(AND(V1317&gt;175,W1317&gt;=55,W1317&lt;95),0.17,0)+IF(AND(V1317&gt;175,W1317&gt;=95),0.12,0),
IF(AF1317="DoEVs1",IF(AND(V1317&lt;20,W1317&lt;55),0.3,0)+IF(AND(V1317&lt;20,W1317&gt;=55,W1317&lt;105),0.23,0)+IF(AND(V1317&lt;20,W1317&gt;=105),0.17,0)+IF(AND(V1317&gt;=20,V1317&lt;40,W1317&lt;45),0.3,0)+IF(AND(V1317&gt;=20,V1317&lt;40,W1317&gt;=45,W1317&lt;95),0.23,0)+IF(AND(V1317&gt;=20,V1317&lt;40,W1317&gt;=95,W1317&lt;=150),0.17,0)+IF(AND(V1317&gt;=20,V1317&lt;40,W1317&gt;=150),0.12,0)+IF(AND(V1317&gt;=40,V1317&lt;75,W1317&lt;35),0.3,0)+IF(AND(V1317&gt;=40,V1317&lt;75,W1317&gt;=35,W1317&lt;75),0.23,0)+IF(AND(V1317&gt;=40,V1317&lt;75,W1317&gt;=75,W1317&lt;120),0.17,0)+IF(AND(V1317&gt;=40,V1317&lt;75,W1317&gt;=120),0.12,0)+IF(AND(V1317&gt;=75,V1317&lt;175,W1317&lt;35),0.3,0)+IF(AND(V1317&gt;=75,V1317&lt;=175,W1317&gt;=35,W1317&lt;65),0.23,0)+IF(AND(V1317&gt;=75,V1317&lt;=175,W1317&gt;=65,W1317&lt;110),0.17,0)+IF(AND(V1317&gt;=75,V1317&lt;=175,W1317&gt;=110),0.12,0)+IF(AND(V1317&gt;175,W1317&lt;25),0.3,0)+IF(AND(V1317&gt;175,W1317&gt;=25,W1317&lt;55),0.23,0)+IF(AND(V1317&gt;175,W1317&gt;=55,W1317&lt;95),0.17,0)+IF(AND(V1317&gt;175,W1317&gt;=95),0.12,0),
IF(AF1317="DoEVsu",IF(AND(V1317&lt;20,W1317&lt;55),0.3,0)+IF(AND(V1317&lt;20,W1317&gt;=55,W1317&lt;105),0.23,0)+IF(AND(V1317&lt;20,W1317&gt;=105),0.17,0)+IF(AND(V1317&gt;=20,V1317&lt;40,W1317&lt;45),0.3,0)+IF(AND(V1317&gt;=20,V1317&lt;40,W1317&gt;=45,W1317&lt;95),0.23,0)+IF(AND(V1317&gt;=20,V1317&lt;40,W1317&gt;=95,W1317&lt;=250),0.17,0)+IF(AND(V1317&gt;=20,V1317&lt;40,W1317&gt;=250),0.12,0)+IF(AND(V1317&gt;=40,V1317&lt;75,W1317&lt;35),0.3,0)+IF(AND(V1317&gt;=40,V1317&lt;75,W1317&gt;=35,W1317&lt;75),0.23,0)+IF(AND(V1317&gt;=40,V1317&lt;75,W1317&gt;=75,W1317&lt;120),0.17,0)+IF(AND(V1317&gt;=40,V1317&lt;75,W1317&gt;=120),0.12,0)+IF(AND(V1317&gt;=75,V1317&lt;175,W1317&lt;35),0.3,0)+IF(AND(V1317&gt;=75,V1317&lt;=175,W1317&gt;=35,W1317&lt;65),0.23,0)+IF(AND(V1317&gt;=75,V1317&lt;=175,W1317&gt;=65,W1317&lt;110),0.17,0)+IF(AND(V1317&gt;=75,V1317&lt;=175,W1317&gt;=110),0.12,0)+IF(AND(V1317&gt;175,W1317&lt;25),0.3,0)+IF(AND(V1317&gt;175,W1317&gt;=25,W1317&lt;55),0.23,0)+IF(AND(V1317&gt;175,W1317&gt;=55,W1317&lt;95),0.17,0)+IF(AND(V1317&gt;175,W1317&gt;=95),0.12,0),
IF(AF1317="DoEVni",IF(AND(V1317&lt;20,W1317&lt;55),0.3,0)+IF(AND(V1317&lt;20,W1317&gt;=55,W1317&lt;105),0.23,0)+IF(AND(V1317&lt;20,W1317&gt;=105),0.17,0)+IF(AND(V1317&gt;=20,V1317&lt;40,W1317&lt;45),0.3,0)+IF(AND(V1317&gt;=20,V1317&lt;40,W1317&gt;=45,W1317&lt;95),0.23,0)+IF(AND(V1317&gt;=20,V1317&lt;40,W1317&gt;=95,W1317&lt;=200),0.17,0)+IF(AND(V1317&gt;=20,V1317&lt;40,W1317&gt;=200),0.12,0)+IF(AND(V1317&gt;=40,V1317&lt;75,W1317&lt;35),0.3,0)+IF(AND(V1317&gt;=40,V1317&lt;75,W1317&gt;=35,W1317&lt;75),0.23,0)+IF(AND(V1317&gt;=40,V1317&lt;75,W1317&gt;=75,W1317&lt;120),0.17,0)+IF(AND(V1317&gt;=40,V1317&lt;75,W1317&gt;=120),0.12,0)+IF(AND(V1317&gt;=75,V1317&lt;175,W1317&lt;35),0.3,0)+IF(AND(V1317&gt;=75,V1317&lt;=175,W1317&gt;=35,W1317&lt;65),0.23,0)+IF(AND(V1317&gt;=75,V1317&lt;=175,W1317&gt;=65,W1317&lt;110),0.17,0)+IF(AND(V1317&gt;=75,V1317&lt;=175,W1317&gt;=110),0.12,0)+IF(AND(V1317&gt;175,W1317&lt;25),0.3,0)+IF(AND(V1317&gt;175,W1317&gt;=25,W1317&lt;55),0.23,0)+IF(AND(V1317&gt;175,W1317&gt;=55,W1317&lt;95),0.17,0)+IF(AND(V1317&gt;175,W1317&gt;=95),0.12,0),
IF(AF1317="DoEVLo",IF(AND(V1317&lt;20,W1317&lt;55),0.25,0)+IF(AND(V1317&lt;20,W1317&gt;=55,W1317&lt;105),0.2,0)+IF(AND(V1317&lt;20,W1317&gt;=105),0.15,0)+IF(AND(V1317&gt;=20,V1317&lt;40,W1317&lt;45),0.25,0)+IF(AND(V1317&gt;=20,V1317&lt;40,W1317&gt;=45,W1317&lt;95),0.2,0)+IF(AND(V1317&gt;=20,V1317&lt;40,W1317&gt;=95),0.15,0)+IF(AND(V1317&gt;=40,V1317&lt;75,W1317&lt;35),0.25,0)+IF(AND(V1317&gt;=40,V1317&lt;75,W1317&gt;=35,W1317&lt;75),0.2,0)+IF(AND(V1317&gt;=40,V1317&lt;75,W1317&gt;=75,W1317&lt;120),0.15,0)+IF(AND(V1317&gt;=40,V1317&lt;75,W1317&gt;=120),0.1,0)+IF(AND(V1317&gt;=75,V1317&lt;175,W1317&lt;35),0.25,0)+IF(AND(V1317&gt;=75,V1317&lt;=175,W1317&gt;=35,W1317&lt;65),0.2,0)+IF(AND(V1317&gt;=75,V1317&lt;=175,W1317&gt;=65,W1317&lt;110),0.15,0)+IF(AND(V1317&gt;=75,V1317&lt;=175,W1317&gt;=110),0.1,0)+IF(AND(V1317&gt;175,W1317&lt;25),0.25,0)+IF(AND(V1317&gt;175,W1317&gt;=25,W1317&lt;55),0.2,0)+IF(AND(V1317&gt;175,W1317&gt;=55,W1317&lt;95),0.15,0)+IF(AND(V1317&gt;175,W1317&gt;=95),0.1,0))))))))))))))))))</f>
        <v>0.1</v>
      </c>
      <c r="Y1317" s="30">
        <f>IF(AG1317="None",0,IF(AG1317="Fix5",0.05, IF(AG1317="Fix6.25",0.0625,IF(AG1317="Fix3.75",0.0375,IF(AG1317="Fix10",0.1,IF(AG1317="Fix3",0.03,0))))))</f>
        <v>0</v>
      </c>
      <c r="Z1317" s="35">
        <f>T1317-AA1317-AB1317</f>
        <v>7728.3</v>
      </c>
      <c r="AA1317" s="29">
        <f>IF(AD1317="EUR",((T1317-R1317)*X1317)*U1317+(R1317*X1317),(T1317*X1317))</f>
        <v>858.7</v>
      </c>
      <c r="AB1317" s="36">
        <f>IF(AD1317="EUR",((T1317-R1317)*Y1317)*U1317+(R1317*Y1317),(T1317*Y1317))</f>
        <v>0</v>
      </c>
      <c r="AC1317" s="37" t="b">
        <v>1</v>
      </c>
      <c r="AD1317" s="37" t="s">
        <v>38</v>
      </c>
      <c r="AE1317" s="37" t="s">
        <v>38</v>
      </c>
      <c r="AF1317" s="37" t="str">
        <f t="array" ref="AF1317">INDEX('Deal Info'!D:D, MATCH(A1317,'Deal Info'!A:A, 0))</f>
        <v>Fix10</v>
      </c>
      <c r="AG1317" s="38" t="str">
        <f t="array" ref="AG1317">INDEX('Deal Info'!G:G, MATCH(A1317,'Deal Info'!A:A, 0))</f>
        <v>None</v>
      </c>
    </row>
    <row r="1318" spans="1:33" ht="14.25" hidden="1" x14ac:dyDescent="0.2">
      <c r="A1318" s="18" t="str">
        <f t="array" ref="A1318">IF(G1318='Room Info'!$B$1, INDEX('Room Info'!$A$2:$A2446, MATCH(B1318,'Room Info'!$B$2:$B2446, 0)),IF(G1318='Room Info'!$C$1, INDEX('Room Info'!$A$2:$A2446, MATCH(B1318,'Room Info'!$C$2:$C2446, 0)),IF(G1318='Room Info'!$D$1, INDEX('Room Info'!$A$2:$A2446, MATCH(B1318,'Room Info'!$D$2:$D2446, 0)),IF(G1318='Room Info'!$E$1, INDEX('Room Info'!$A$2:$A2446, MATCH(B1318,'Room Info'!$E$2:$E2446, 0)),IF(G1318='Room Info'!$F$1, INDEX('Room Info'!$A$2:$A2446, MATCH(B1318,'Room Info'!$F$2:$F2446, 0)),IF(G1318='Room Info'!$H$1, INDEX('Room Info'!$A$2:$A2446, MATCH(B1318,'Room Info'!$H$2:$H2446, 0)),IF(G1318='Room Info'!$G$1, INDEX('Room Info'!$A$2:$A2446, MATCH(B1318,'Room Info'!$G$2:$G2446, 0)))))))))</f>
        <v>volkovsky</v>
      </c>
      <c r="B1318" s="45" t="s">
        <v>206</v>
      </c>
      <c r="C1318" s="46">
        <v>44613</v>
      </c>
      <c r="D1318" s="46">
        <v>44640</v>
      </c>
      <c r="E1318" s="47">
        <v>44621</v>
      </c>
      <c r="F1318" s="48" t="s">
        <v>34</v>
      </c>
      <c r="G1318" s="45" t="s">
        <v>35</v>
      </c>
      <c r="H1318" s="49" t="s">
        <v>148</v>
      </c>
      <c r="I1318" s="49" t="s">
        <v>44</v>
      </c>
      <c r="J1318" s="50">
        <v>250</v>
      </c>
      <c r="K1318" s="51">
        <v>95</v>
      </c>
      <c r="L1318" s="52">
        <v>-1000</v>
      </c>
      <c r="M1318" s="53">
        <v>1787</v>
      </c>
      <c r="N1318" s="28">
        <f>K1318*J1318</f>
        <v>23750</v>
      </c>
      <c r="O1318" s="54">
        <v>964</v>
      </c>
      <c r="P1318" s="29">
        <v>10.147368419999999</v>
      </c>
      <c r="Q1318" s="55"/>
      <c r="R1318" s="31">
        <f>M1318+Q1318</f>
        <v>1787</v>
      </c>
      <c r="S1318" s="56">
        <v>-490</v>
      </c>
      <c r="T1318" s="32">
        <f>R1318+S1318+IF(F1318="Without EV deal",L1318,0)</f>
        <v>1297</v>
      </c>
      <c r="U1318" s="57"/>
      <c r="V1318" s="58"/>
      <c r="W1318" s="58"/>
      <c r="X1318" s="30">
        <f>IF(AF1318="DoEV",IF(AND(V1318&lt;20,W1318&lt;55),0.3,0)+IF(AND(V1318&lt;20,W1318&gt;=55,W1318&lt;105),0.23,0)+IF(AND(V1318&lt;20,W1318&gt;=105),0.17,0)+IF(AND(V1318&gt;=20,V1318&lt;40,W1318&lt;45),0.3,0)+IF(AND(V1318&gt;=20,V1318&lt;40,W1318&gt;=45,W1318&lt;95),0.23,0)+IF(AND(V1318&gt;=20,V1318&lt;40,W1318&gt;=95),0.17,0)+IF(AND(V1318&gt;=40,V1318&lt;75,W1318&lt;35),0.3,0)+IF(AND(V1318&gt;=40,V1318&lt;75,W1318&gt;=35,W1318&lt;75),0.23,0)+IF(AND(V1318&gt;=40,V1318&lt;75,W1318&gt;=75,W1318&lt;120),0.17,0)+IF(AND(V1318&gt;=40,V1318&lt;75,W1318&gt;=120),0.12,0)+IF(AND(V1318&gt;=75,V1318&lt;175,W1318&lt;35),0.3,0)+IF(AND(V1318&gt;=75,V1318&lt;=175,W1318&gt;=35,W1318&lt;65),0.23,0)+IF(AND(V1318&gt;=75,V1318&lt;=175,W1318&gt;=65,W1318&lt;110),0.17,0)+IF(AND(V1318&gt;=75,V1318&lt;=175,W1318&gt;=110),0.12,0)+IF(AND(V1318&gt;175,W1318&lt;25),0.3,0)+IF(AND(V1318&gt;175,W1318&gt;=25,W1318&lt;55),0.23,0)+IF(AND(V1318&gt;175,W1318&gt;=55,W1318&lt;95),0.17,0)+IF(AND(V1318&gt;175,W1318&gt;=95),0.12,0),
IF(AF1318="Fix15",0.15,
IF(AF1318="Fix18.75",0.1875,
IF(AF1318="Fix11.25",0.1125,
IF(AF1318="Fix10",0.1,
IF(AF1318="Fix9",0.09,
IF(AF1318="Fix19",0.19,
IF(AF1318="DoEV2017",IF(AND(W1318&lt;74),0.2,0)+IF(AND(W1318&gt;=74),0.17,0),
IF(AF1318="SF",IF(AND(V1318&lt;20,W1318&lt;89),0.3,0)+IF(AND(V1318&lt;20,W1318&gt;=89),0.25,0)+IF(AND(V1318&gt;=20,V1318&lt;40,W1318&lt;74),0.3,0)+IF(AND(V1318&gt;=20,V1318&lt;40,W1318&gt;=75),0.22,0)+IF(AND(V1318&gt;=40,V1318&lt;75,W1318&lt;75),0.26,0)+IF(AND(V1318&gt;=40,V1318&lt;75,W1318&gt;=75),0.22,0)+IF(V1318&gt;=75,0.22,0),
IF(AF1318="DoEVold",IF(AND(V1318&lt;40,W1318&lt;35),0.35,0)+IF(AND(V1318&lt;40,W1318&gt;=35,W1318&lt;75),0.25,0)+IF(AND(V1318&lt;40,W1318&gt;=75),0.17,0)+IF(AND(V1318&gt;=40,V1318&lt;75,W1318&lt;25),0.35,0)+IF(AND(V1318&gt;=40,V1318&lt;75,W1318&gt;=25,W1318&lt;65),0.25,0)+IF(AND(V1318&gt;=40,V1318&lt;75,W1318&gt;=65,W1318&lt;100),0.17,0)+IF(AND(V1318&gt;=40,V1318&lt;75,W1318&gt;=100),0.1,0)+IF(AND(V1318&gt;=75,W1318&lt;25),0.35,0)+IF(AND(V1318&gt;=75,W1318&gt;=25,W1318&lt;60),0.25,0)+IF(AND(V1318&gt;=75,W1318&gt;=60,W1318&lt;95),0.17,0)+IF(AND(V1318&gt;=75,W1318&gt;=95),0.1,0),
IF(AF1318="DoEVold15",IF(AND(V1318&lt;=40,W1318&lt;35),0.35,0)+IF(AND(V1318&lt;=40,W1318&gt;=35,W1318&lt;75),0.25,0)+IF(AND(V1318&lt;=40,W1318&gt;=75,W1318&lt;120),0.17,0)+IF(AND(V1318&lt;=40,W1318&gt;=120),0.15,0)+IF(AND(V1318&gt;40,V1318&lt;75,W1318&lt;25),0.35,0)+IF(AND(V1318&gt;=40,V1318&lt;75,W1318&gt;=25,W1318&lt;65),0.25,0)+IF(AND(V1318&gt;=40,V1318&lt;75,W1318&gt;=65,W1318&lt;100),0.17,0)+IF(AND(V1318&gt;=40,V1318&lt;75,W1318&gt;=100),0.1,0)+IF(AND(V1318&gt;=75,W1318&lt;25),0.35,0)+IF(AND(V1318&gt;=75,W1318&gt;=25,W1318&lt;60),0.25,0)+IF(AND(V1318&gt;=75,W1318&gt;=60,W1318&lt;95),0.17,0)+IF(AND(V1318&gt;=75,W1318&gt;=95),0.1,0),
IF(AF1318="DoEVba",IF(AND(V1318&lt;20,W1318&lt;105),0.2,0)+IF(AND(V1318&lt;20,W1318&gt;=105),0.15,0)+IF(AND(V1318&gt;=20,V1318&lt;40,W1318&lt;95),0.2,0)+IF(AND(V1318&gt;=20,V1318&lt;40,W1318&gt;=95,W1318&lt;150),0.15,0)+IF(AND(V1318&gt;=20,V1318&lt;40,W1318&gt;=150),0.12,0)+IF(AND(V1318&gt;=40,V1318&lt;75,W1318&lt;75),0.2,0)+IF(AND(V1318&gt;=40,V1318&lt;75,W1318&gt;=75,W1318&lt;120),0.15,0)+IF(AND(V1318&gt;=40,V1318&lt;75,W1318&gt;=120),0.12,0)+IF(AND(V1318&gt;=75,V1318&lt;175,W1318&lt;65),0.2,0)+IF(AND(V1318&gt;=75,V1318&lt;175,W1318&gt;=65,W1318&lt;110),0.15,0)+IF(AND(V1318&gt;=75,V1318&lt;175,W1318&gt;=110),0.12,0)+IF(AND(V1318&gt;=175,W1318&lt;55),0.2,0)+IF(AND(V1318&gt;=175,W1318&gt;=55,W1318&lt;95),0.15,0)+IF(AND(V1318&gt;=175,W1318&gt;=95),0.12,0),
IF(AF1318="DoEVku",IF(AND(V1318&lt;20,W1318&lt;55),0.23,0)+IF(AND(V1318&lt;20,W1318&gt;=55,W1318&lt;105),0.2,0)+IF(AND(V1318&lt;20,W1318&gt;=105),0.17,0)+IF(AND(V1318&gt;=20,V1318&lt;40,W1318&lt;45),0.23,0)+IF(AND(V1318&gt;=20,V1318&lt;40,W1318&gt;=45,W1318&lt;95),0.2,0)+IF(AND(V1318&gt;=20,V1318&lt;40,W1318&gt;=95,W1318&lt;=150),0.17,0)+IF(AND(V1318&gt;=20,V1318&lt;40,W1318&gt;=150),0.12,0)+IF(AND(V1318&gt;=40,V1318&lt;75,W1318&lt;35),0.23,0)+IF(AND(V1318&gt;=40,V1318&lt;75,W1318&gt;=35,W1318&lt;75),0.2,0)+IF(AND(V1318&gt;=40,V1318&lt;75,W1318&gt;=75,W1318&lt;120),0.17,0)+IF(AND(V1318&gt;=40,V1318&lt;75,W1318&gt;=120),0.12,0)+IF(AND(V1318&gt;=75,V1318&lt;175,W1318&lt;35),0.23,0)+IF(AND(V1318&gt;=75,V1318&lt;=175,W1318&gt;=35,W1318&lt;65),0.2,0)+IF(AND(V1318&gt;=75,V1318&lt;=175,W1318&gt;=65,W1318&lt;110),0.17,0)+IF(AND(V1318&gt;=75,V1318&lt;=175,W1318&gt;=110),0.12,0)+IF(AND(V1318&gt;175,W1318&lt;25),0.23,0)+IF(AND(V1318&gt;175,W1318&gt;=25,W1318&lt;55),0.2,0)+IF(AND(V1318&gt;175,W1318&gt;=55,W1318&lt;95),0.17,0)+IF(AND(V1318&gt;175,W1318&gt;=95),0.12,0),
IF(AF1318="DoEVs1",IF(AND(V1318&lt;20,W1318&lt;55),0.3,0)+IF(AND(V1318&lt;20,W1318&gt;=55,W1318&lt;105),0.23,0)+IF(AND(V1318&lt;20,W1318&gt;=105),0.17,0)+IF(AND(V1318&gt;=20,V1318&lt;40,W1318&lt;45),0.3,0)+IF(AND(V1318&gt;=20,V1318&lt;40,W1318&gt;=45,W1318&lt;95),0.23,0)+IF(AND(V1318&gt;=20,V1318&lt;40,W1318&gt;=95,W1318&lt;=150),0.17,0)+IF(AND(V1318&gt;=20,V1318&lt;40,W1318&gt;=150),0.12,0)+IF(AND(V1318&gt;=40,V1318&lt;75,W1318&lt;35),0.3,0)+IF(AND(V1318&gt;=40,V1318&lt;75,W1318&gt;=35,W1318&lt;75),0.23,0)+IF(AND(V1318&gt;=40,V1318&lt;75,W1318&gt;=75,W1318&lt;120),0.17,0)+IF(AND(V1318&gt;=40,V1318&lt;75,W1318&gt;=120),0.12,0)+IF(AND(V1318&gt;=75,V1318&lt;175,W1318&lt;35),0.3,0)+IF(AND(V1318&gt;=75,V1318&lt;=175,W1318&gt;=35,W1318&lt;65),0.23,0)+IF(AND(V1318&gt;=75,V1318&lt;=175,W1318&gt;=65,W1318&lt;110),0.17,0)+IF(AND(V1318&gt;=75,V1318&lt;=175,W1318&gt;=110),0.12,0)+IF(AND(V1318&gt;175,W1318&lt;25),0.3,0)+IF(AND(V1318&gt;175,W1318&gt;=25,W1318&lt;55),0.23,0)+IF(AND(V1318&gt;175,W1318&gt;=55,W1318&lt;95),0.17,0)+IF(AND(V1318&gt;175,W1318&gt;=95),0.12,0),
IF(AF1318="DoEVsu",IF(AND(V1318&lt;20,W1318&lt;55),0.3,0)+IF(AND(V1318&lt;20,W1318&gt;=55,W1318&lt;105),0.23,0)+IF(AND(V1318&lt;20,W1318&gt;=105),0.17,0)+IF(AND(V1318&gt;=20,V1318&lt;40,W1318&lt;45),0.3,0)+IF(AND(V1318&gt;=20,V1318&lt;40,W1318&gt;=45,W1318&lt;95),0.23,0)+IF(AND(V1318&gt;=20,V1318&lt;40,W1318&gt;=95,W1318&lt;=250),0.17,0)+IF(AND(V1318&gt;=20,V1318&lt;40,W1318&gt;=250),0.12,0)+IF(AND(V1318&gt;=40,V1318&lt;75,W1318&lt;35),0.3,0)+IF(AND(V1318&gt;=40,V1318&lt;75,W1318&gt;=35,W1318&lt;75),0.23,0)+IF(AND(V1318&gt;=40,V1318&lt;75,W1318&gt;=75,W1318&lt;120),0.17,0)+IF(AND(V1318&gt;=40,V1318&lt;75,W1318&gt;=120),0.12,0)+IF(AND(V1318&gt;=75,V1318&lt;175,W1318&lt;35),0.3,0)+IF(AND(V1318&gt;=75,V1318&lt;=175,W1318&gt;=35,W1318&lt;65),0.23,0)+IF(AND(V1318&gt;=75,V1318&lt;=175,W1318&gt;=65,W1318&lt;110),0.17,0)+IF(AND(V1318&gt;=75,V1318&lt;=175,W1318&gt;=110),0.12,0)+IF(AND(V1318&gt;175,W1318&lt;25),0.3,0)+IF(AND(V1318&gt;175,W1318&gt;=25,W1318&lt;55),0.23,0)+IF(AND(V1318&gt;175,W1318&gt;=55,W1318&lt;95),0.17,0)+IF(AND(V1318&gt;175,W1318&gt;=95),0.12,0),
IF(AF1318="DoEVni",IF(AND(V1318&lt;20,W1318&lt;55),0.3,0)+IF(AND(V1318&lt;20,W1318&gt;=55,W1318&lt;105),0.23,0)+IF(AND(V1318&lt;20,W1318&gt;=105),0.17,0)+IF(AND(V1318&gt;=20,V1318&lt;40,W1318&lt;45),0.3,0)+IF(AND(V1318&gt;=20,V1318&lt;40,W1318&gt;=45,W1318&lt;95),0.23,0)+IF(AND(V1318&gt;=20,V1318&lt;40,W1318&gt;=95,W1318&lt;=200),0.17,0)+IF(AND(V1318&gt;=20,V1318&lt;40,W1318&gt;=200),0.12,0)+IF(AND(V1318&gt;=40,V1318&lt;75,W1318&lt;35),0.3,0)+IF(AND(V1318&gt;=40,V1318&lt;75,W1318&gt;=35,W1318&lt;75),0.23,0)+IF(AND(V1318&gt;=40,V1318&lt;75,W1318&gt;=75,W1318&lt;120),0.17,0)+IF(AND(V1318&gt;=40,V1318&lt;75,W1318&gt;=120),0.12,0)+IF(AND(V1318&gt;=75,V1318&lt;175,W1318&lt;35),0.3,0)+IF(AND(V1318&gt;=75,V1318&lt;=175,W1318&gt;=35,W1318&lt;65),0.23,0)+IF(AND(V1318&gt;=75,V1318&lt;=175,W1318&gt;=65,W1318&lt;110),0.17,0)+IF(AND(V1318&gt;=75,V1318&lt;=175,W1318&gt;=110),0.12,0)+IF(AND(V1318&gt;175,W1318&lt;25),0.3,0)+IF(AND(V1318&gt;175,W1318&gt;=25,W1318&lt;55),0.23,0)+IF(AND(V1318&gt;175,W1318&gt;=55,W1318&lt;95),0.17,0)+IF(AND(V1318&gt;175,W1318&gt;=95),0.12,0),
IF(AF1318="DoEVLo",IF(AND(V1318&lt;20,W1318&lt;55),0.25,0)+IF(AND(V1318&lt;20,W1318&gt;=55,W1318&lt;105),0.2,0)+IF(AND(V1318&lt;20,W1318&gt;=105),0.15,0)+IF(AND(V1318&gt;=20,V1318&lt;40,W1318&lt;45),0.25,0)+IF(AND(V1318&gt;=20,V1318&lt;40,W1318&gt;=45,W1318&lt;95),0.2,0)+IF(AND(V1318&gt;=20,V1318&lt;40,W1318&gt;=95),0.15,0)+IF(AND(V1318&gt;=40,V1318&lt;75,W1318&lt;35),0.25,0)+IF(AND(V1318&gt;=40,V1318&lt;75,W1318&gt;=35,W1318&lt;75),0.2,0)+IF(AND(V1318&gt;=40,V1318&lt;75,W1318&gt;=75,W1318&lt;120),0.15,0)+IF(AND(V1318&gt;=40,V1318&lt;75,W1318&gt;=120),0.1,0)+IF(AND(V1318&gt;=75,V1318&lt;175,W1318&lt;35),0.25,0)+IF(AND(V1318&gt;=75,V1318&lt;=175,W1318&gt;=35,W1318&lt;65),0.2,0)+IF(AND(V1318&gt;=75,V1318&lt;=175,W1318&gt;=65,W1318&lt;110),0.15,0)+IF(AND(V1318&gt;=75,V1318&lt;=175,W1318&gt;=110),0.1,0)+IF(AND(V1318&gt;175,W1318&lt;25),0.25,0)+IF(AND(V1318&gt;175,W1318&gt;=25,W1318&lt;55),0.2,0)+IF(AND(V1318&gt;175,W1318&gt;=55,W1318&lt;95),0.15,0)+IF(AND(V1318&gt;175,W1318&gt;=95),0.1,0))))))))))))))))))</f>
        <v>0.1</v>
      </c>
      <c r="Y1318" s="30">
        <f>IF(AG1318="None",0,IF(AG1318="Fix5",0.05, IF(AG1318="Fix6.25",0.0625,IF(AG1318="Fix3.75",0.0375,IF(AG1318="Fix10",0.1,IF(AG1318="Fix3",0.03,0))))))</f>
        <v>0</v>
      </c>
      <c r="Z1318" s="35">
        <f>T1318-AA1318-AB1318</f>
        <v>1167.3</v>
      </c>
      <c r="AA1318" s="29">
        <f>IF(AD1318="EUR",((T1318-R1318)*X1318)*U1318+(R1318*X1318),(T1318*X1318))</f>
        <v>129.70000000000002</v>
      </c>
      <c r="AB1318" s="36">
        <f>IF(AD1318="EUR",((T1318-R1318)*Y1318)*U1318+(R1318*Y1318),(T1318*Y1318))</f>
        <v>0</v>
      </c>
      <c r="AC1318" s="37" t="b">
        <v>1</v>
      </c>
      <c r="AD1318" s="37" t="s">
        <v>38</v>
      </c>
      <c r="AE1318" s="37" t="s">
        <v>38</v>
      </c>
      <c r="AF1318" s="37" t="str">
        <f t="array" ref="AF1318">INDEX('Deal Info'!D:D, MATCH(A1318,'Deal Info'!A:A, 0))</f>
        <v>Fix10</v>
      </c>
      <c r="AG1318" s="38" t="str">
        <f t="array" ref="AG1318">INDEX('Deal Info'!G:G, MATCH(A1318,'Deal Info'!A:A, 0))</f>
        <v>None</v>
      </c>
    </row>
    <row r="1319" spans="1:33" ht="14.25" hidden="1" x14ac:dyDescent="0.2">
      <c r="A1319" s="18" t="str">
        <f t="array" ref="A1319">IF(G1319='Room Info'!$B$1, INDEX('Room Info'!$A$2:$A2446, MATCH(B1319,'Room Info'!$B$2:$B2446, 0)),IF(G1319='Room Info'!$C$1, INDEX('Room Info'!$A$2:$A2446, MATCH(B1319,'Room Info'!$C$2:$C2446, 0)),IF(G1319='Room Info'!$D$1, INDEX('Room Info'!$A$2:$A2446, MATCH(B1319,'Room Info'!$D$2:$D2446, 0)),IF(G1319='Room Info'!$E$1, INDEX('Room Info'!$A$2:$A2446, MATCH(B1319,'Room Info'!$E$2:$E2446, 0)),IF(G1319='Room Info'!$F$1, INDEX('Room Info'!$A$2:$A2446, MATCH(B1319,'Room Info'!$F$2:$F2446, 0)),IF(G1319='Room Info'!$H$1, INDEX('Room Info'!$A$2:$A2446, MATCH(B1319,'Room Info'!$H$2:$H2446, 0)),IF(G1319='Room Info'!$G$1, INDEX('Room Info'!$A$2:$A2446, MATCH(B1319,'Room Info'!$G$2:$G2446, 0)))))))))</f>
        <v>volkovsky</v>
      </c>
      <c r="B1319" s="45" t="s">
        <v>207</v>
      </c>
      <c r="C1319" s="46">
        <v>44641</v>
      </c>
      <c r="D1319" s="46">
        <v>44671</v>
      </c>
      <c r="E1319" s="47">
        <v>44652</v>
      </c>
      <c r="F1319" s="48" t="s">
        <v>34</v>
      </c>
      <c r="G1319" s="45" t="s">
        <v>80</v>
      </c>
      <c r="H1319" s="49" t="s">
        <v>71</v>
      </c>
      <c r="I1319" s="49" t="s">
        <v>37</v>
      </c>
      <c r="J1319" s="50">
        <v>20</v>
      </c>
      <c r="K1319" s="51">
        <v>84</v>
      </c>
      <c r="L1319" s="52">
        <v>-160</v>
      </c>
      <c r="M1319" s="62"/>
      <c r="N1319" s="28">
        <f>K1319*J1319</f>
        <v>1680</v>
      </c>
      <c r="O1319" s="54">
        <v>2562</v>
      </c>
      <c r="P1319" s="29">
        <v>30.5</v>
      </c>
      <c r="Q1319" s="55"/>
      <c r="R1319" s="31">
        <f>M1319+Q1319</f>
        <v>0</v>
      </c>
      <c r="S1319" s="56">
        <v>30</v>
      </c>
      <c r="T1319" s="32">
        <f>R1319+S1319+IF(F1319="Without EV deal",L1319,0)</f>
        <v>30</v>
      </c>
      <c r="U1319" s="57"/>
      <c r="V1319" s="58"/>
      <c r="W1319" s="58"/>
      <c r="X1319" s="30">
        <f>IF(AF1319="DoEV",IF(AND(V1319&lt;20,W1319&lt;55),0.3,0)+IF(AND(V1319&lt;20,W1319&gt;=55,W1319&lt;105),0.23,0)+IF(AND(V1319&lt;20,W1319&gt;=105),0.17,0)+IF(AND(V1319&gt;=20,V1319&lt;40,W1319&lt;45),0.3,0)+IF(AND(V1319&gt;=20,V1319&lt;40,W1319&gt;=45,W1319&lt;95),0.23,0)+IF(AND(V1319&gt;=20,V1319&lt;40,W1319&gt;=95),0.17,0)+IF(AND(V1319&gt;=40,V1319&lt;75,W1319&lt;35),0.3,0)+IF(AND(V1319&gt;=40,V1319&lt;75,W1319&gt;=35,W1319&lt;75),0.23,0)+IF(AND(V1319&gt;=40,V1319&lt;75,W1319&gt;=75,W1319&lt;120),0.17,0)+IF(AND(V1319&gt;=40,V1319&lt;75,W1319&gt;=120),0.12,0)+IF(AND(V1319&gt;=75,V1319&lt;175,W1319&lt;35),0.3,0)+IF(AND(V1319&gt;=75,V1319&lt;=175,W1319&gt;=35,W1319&lt;65),0.23,0)+IF(AND(V1319&gt;=75,V1319&lt;=175,W1319&gt;=65,W1319&lt;110),0.17,0)+IF(AND(V1319&gt;=75,V1319&lt;=175,W1319&gt;=110),0.12,0)+IF(AND(V1319&gt;175,W1319&lt;25),0.3,0)+IF(AND(V1319&gt;175,W1319&gt;=25,W1319&lt;55),0.23,0)+IF(AND(V1319&gt;175,W1319&gt;=55,W1319&lt;95),0.17,0)+IF(AND(V1319&gt;175,W1319&gt;=95),0.12,0),
IF(AF1319="Fix15",0.15,
IF(AF1319="Fix18.75",0.1875,
IF(AF1319="Fix11.25",0.1125,
IF(AF1319="Fix10",0.1,
IF(AF1319="Fix9",0.09,
IF(AF1319="Fix19",0.19,
IF(AF1319="DoEV2017",IF(AND(W1319&lt;74),0.2,0)+IF(AND(W1319&gt;=74),0.17,0),
IF(AF1319="SF",IF(AND(V1319&lt;20,W1319&lt;89),0.3,0)+IF(AND(V1319&lt;20,W1319&gt;=89),0.25,0)+IF(AND(V1319&gt;=20,V1319&lt;40,W1319&lt;74),0.3,0)+IF(AND(V1319&gt;=20,V1319&lt;40,W1319&gt;=75),0.22,0)+IF(AND(V1319&gt;=40,V1319&lt;75,W1319&lt;75),0.26,0)+IF(AND(V1319&gt;=40,V1319&lt;75,W1319&gt;=75),0.22,0)+IF(V1319&gt;=75,0.22,0),
IF(AF1319="DoEVold",IF(AND(V1319&lt;40,W1319&lt;35),0.35,0)+IF(AND(V1319&lt;40,W1319&gt;=35,W1319&lt;75),0.25,0)+IF(AND(V1319&lt;40,W1319&gt;=75),0.17,0)+IF(AND(V1319&gt;=40,V1319&lt;75,W1319&lt;25),0.35,0)+IF(AND(V1319&gt;=40,V1319&lt;75,W1319&gt;=25,W1319&lt;65),0.25,0)+IF(AND(V1319&gt;=40,V1319&lt;75,W1319&gt;=65,W1319&lt;100),0.17,0)+IF(AND(V1319&gt;=40,V1319&lt;75,W1319&gt;=100),0.1,0)+IF(AND(V1319&gt;=75,W1319&lt;25),0.35,0)+IF(AND(V1319&gt;=75,W1319&gt;=25,W1319&lt;60),0.25,0)+IF(AND(V1319&gt;=75,W1319&gt;=60,W1319&lt;95),0.17,0)+IF(AND(V1319&gt;=75,W1319&gt;=95),0.1,0),
IF(AF1319="DoEVold15",IF(AND(V1319&lt;=40,W1319&lt;35),0.35,0)+IF(AND(V1319&lt;=40,W1319&gt;=35,W1319&lt;75),0.25,0)+IF(AND(V1319&lt;=40,W1319&gt;=75,W1319&lt;120),0.17,0)+IF(AND(V1319&lt;=40,W1319&gt;=120),0.15,0)+IF(AND(V1319&gt;40,V1319&lt;75,W1319&lt;25),0.35,0)+IF(AND(V1319&gt;=40,V1319&lt;75,W1319&gt;=25,W1319&lt;65),0.25,0)+IF(AND(V1319&gt;=40,V1319&lt;75,W1319&gt;=65,W1319&lt;100),0.17,0)+IF(AND(V1319&gt;=40,V1319&lt;75,W1319&gt;=100),0.1,0)+IF(AND(V1319&gt;=75,W1319&lt;25),0.35,0)+IF(AND(V1319&gt;=75,W1319&gt;=25,W1319&lt;60),0.25,0)+IF(AND(V1319&gt;=75,W1319&gt;=60,W1319&lt;95),0.17,0)+IF(AND(V1319&gt;=75,W1319&gt;=95),0.1,0),
IF(AF1319="DoEVba",IF(AND(V1319&lt;20,W1319&lt;105),0.2,0)+IF(AND(V1319&lt;20,W1319&gt;=105),0.15,0)+IF(AND(V1319&gt;=20,V1319&lt;40,W1319&lt;95),0.2,0)+IF(AND(V1319&gt;=20,V1319&lt;40,W1319&gt;=95,W1319&lt;150),0.15,0)+IF(AND(V1319&gt;=20,V1319&lt;40,W1319&gt;=150),0.12,0)+IF(AND(V1319&gt;=40,V1319&lt;75,W1319&lt;75),0.2,0)+IF(AND(V1319&gt;=40,V1319&lt;75,W1319&gt;=75,W1319&lt;120),0.15,0)+IF(AND(V1319&gt;=40,V1319&lt;75,W1319&gt;=120),0.12,0)+IF(AND(V1319&gt;=75,V1319&lt;175,W1319&lt;65),0.2,0)+IF(AND(V1319&gt;=75,V1319&lt;175,W1319&gt;=65,W1319&lt;110),0.15,0)+IF(AND(V1319&gt;=75,V1319&lt;175,W1319&gt;=110),0.12,0)+IF(AND(V1319&gt;=175,W1319&lt;55),0.2,0)+IF(AND(V1319&gt;=175,W1319&gt;=55,W1319&lt;95),0.15,0)+IF(AND(V1319&gt;=175,W1319&gt;=95),0.12,0),
IF(AF1319="DoEVku",IF(AND(V1319&lt;20,W1319&lt;55),0.23,0)+IF(AND(V1319&lt;20,W1319&gt;=55,W1319&lt;105),0.2,0)+IF(AND(V1319&lt;20,W1319&gt;=105),0.17,0)+IF(AND(V1319&gt;=20,V1319&lt;40,W1319&lt;45),0.23,0)+IF(AND(V1319&gt;=20,V1319&lt;40,W1319&gt;=45,W1319&lt;95),0.2,0)+IF(AND(V1319&gt;=20,V1319&lt;40,W1319&gt;=95,W1319&lt;=150),0.17,0)+IF(AND(V1319&gt;=20,V1319&lt;40,W1319&gt;=150),0.12,0)+IF(AND(V1319&gt;=40,V1319&lt;75,W1319&lt;35),0.23,0)+IF(AND(V1319&gt;=40,V1319&lt;75,W1319&gt;=35,W1319&lt;75),0.2,0)+IF(AND(V1319&gt;=40,V1319&lt;75,W1319&gt;=75,W1319&lt;120),0.17,0)+IF(AND(V1319&gt;=40,V1319&lt;75,W1319&gt;=120),0.12,0)+IF(AND(V1319&gt;=75,V1319&lt;175,W1319&lt;35),0.23,0)+IF(AND(V1319&gt;=75,V1319&lt;=175,W1319&gt;=35,W1319&lt;65),0.2,0)+IF(AND(V1319&gt;=75,V1319&lt;=175,W1319&gt;=65,W1319&lt;110),0.17,0)+IF(AND(V1319&gt;=75,V1319&lt;=175,W1319&gt;=110),0.12,0)+IF(AND(V1319&gt;175,W1319&lt;25),0.23,0)+IF(AND(V1319&gt;175,W1319&gt;=25,W1319&lt;55),0.2,0)+IF(AND(V1319&gt;175,W1319&gt;=55,W1319&lt;95),0.17,0)+IF(AND(V1319&gt;175,W1319&gt;=95),0.12,0),
IF(AF1319="DoEVs1",IF(AND(V1319&lt;20,W1319&lt;55),0.3,0)+IF(AND(V1319&lt;20,W1319&gt;=55,W1319&lt;105),0.23,0)+IF(AND(V1319&lt;20,W1319&gt;=105),0.17,0)+IF(AND(V1319&gt;=20,V1319&lt;40,W1319&lt;45),0.3,0)+IF(AND(V1319&gt;=20,V1319&lt;40,W1319&gt;=45,W1319&lt;95),0.23,0)+IF(AND(V1319&gt;=20,V1319&lt;40,W1319&gt;=95,W1319&lt;=150),0.17,0)+IF(AND(V1319&gt;=20,V1319&lt;40,W1319&gt;=150),0.12,0)+IF(AND(V1319&gt;=40,V1319&lt;75,W1319&lt;35),0.3,0)+IF(AND(V1319&gt;=40,V1319&lt;75,W1319&gt;=35,W1319&lt;75),0.23,0)+IF(AND(V1319&gt;=40,V1319&lt;75,W1319&gt;=75,W1319&lt;120),0.17,0)+IF(AND(V1319&gt;=40,V1319&lt;75,W1319&gt;=120),0.12,0)+IF(AND(V1319&gt;=75,V1319&lt;175,W1319&lt;35),0.3,0)+IF(AND(V1319&gt;=75,V1319&lt;=175,W1319&gt;=35,W1319&lt;65),0.23,0)+IF(AND(V1319&gt;=75,V1319&lt;=175,W1319&gt;=65,W1319&lt;110),0.17,0)+IF(AND(V1319&gt;=75,V1319&lt;=175,W1319&gt;=110),0.12,0)+IF(AND(V1319&gt;175,W1319&lt;25),0.3,0)+IF(AND(V1319&gt;175,W1319&gt;=25,W1319&lt;55),0.23,0)+IF(AND(V1319&gt;175,W1319&gt;=55,W1319&lt;95),0.17,0)+IF(AND(V1319&gt;175,W1319&gt;=95),0.12,0),
IF(AF1319="DoEVsu",IF(AND(V1319&lt;20,W1319&lt;55),0.3,0)+IF(AND(V1319&lt;20,W1319&gt;=55,W1319&lt;105),0.23,0)+IF(AND(V1319&lt;20,W1319&gt;=105),0.17,0)+IF(AND(V1319&gt;=20,V1319&lt;40,W1319&lt;45),0.3,0)+IF(AND(V1319&gt;=20,V1319&lt;40,W1319&gt;=45,W1319&lt;95),0.23,0)+IF(AND(V1319&gt;=20,V1319&lt;40,W1319&gt;=95,W1319&lt;=250),0.17,0)+IF(AND(V1319&gt;=20,V1319&lt;40,W1319&gt;=250),0.12,0)+IF(AND(V1319&gt;=40,V1319&lt;75,W1319&lt;35),0.3,0)+IF(AND(V1319&gt;=40,V1319&lt;75,W1319&gt;=35,W1319&lt;75),0.23,0)+IF(AND(V1319&gt;=40,V1319&lt;75,W1319&gt;=75,W1319&lt;120),0.17,0)+IF(AND(V1319&gt;=40,V1319&lt;75,W1319&gt;=120),0.12,0)+IF(AND(V1319&gt;=75,V1319&lt;175,W1319&lt;35),0.3,0)+IF(AND(V1319&gt;=75,V1319&lt;=175,W1319&gt;=35,W1319&lt;65),0.23,0)+IF(AND(V1319&gt;=75,V1319&lt;=175,W1319&gt;=65,W1319&lt;110),0.17,0)+IF(AND(V1319&gt;=75,V1319&lt;=175,W1319&gt;=110),0.12,0)+IF(AND(V1319&gt;175,W1319&lt;25),0.3,0)+IF(AND(V1319&gt;175,W1319&gt;=25,W1319&lt;55),0.23,0)+IF(AND(V1319&gt;175,W1319&gt;=55,W1319&lt;95),0.17,0)+IF(AND(V1319&gt;175,W1319&gt;=95),0.12,0),
IF(AF1319="DoEVni",IF(AND(V1319&lt;20,W1319&lt;55),0.3,0)+IF(AND(V1319&lt;20,W1319&gt;=55,W1319&lt;105),0.23,0)+IF(AND(V1319&lt;20,W1319&gt;=105),0.17,0)+IF(AND(V1319&gt;=20,V1319&lt;40,W1319&lt;45),0.3,0)+IF(AND(V1319&gt;=20,V1319&lt;40,W1319&gt;=45,W1319&lt;95),0.23,0)+IF(AND(V1319&gt;=20,V1319&lt;40,W1319&gt;=95,W1319&lt;=200),0.17,0)+IF(AND(V1319&gt;=20,V1319&lt;40,W1319&gt;=200),0.12,0)+IF(AND(V1319&gt;=40,V1319&lt;75,W1319&lt;35),0.3,0)+IF(AND(V1319&gt;=40,V1319&lt;75,W1319&gt;=35,W1319&lt;75),0.23,0)+IF(AND(V1319&gt;=40,V1319&lt;75,W1319&gt;=75,W1319&lt;120),0.17,0)+IF(AND(V1319&gt;=40,V1319&lt;75,W1319&gt;=120),0.12,0)+IF(AND(V1319&gt;=75,V1319&lt;175,W1319&lt;35),0.3,0)+IF(AND(V1319&gt;=75,V1319&lt;=175,W1319&gt;=35,W1319&lt;65),0.23,0)+IF(AND(V1319&gt;=75,V1319&lt;=175,W1319&gt;=65,W1319&lt;110),0.17,0)+IF(AND(V1319&gt;=75,V1319&lt;=175,W1319&gt;=110),0.12,0)+IF(AND(V1319&gt;175,W1319&lt;25),0.3,0)+IF(AND(V1319&gt;175,W1319&gt;=25,W1319&lt;55),0.23,0)+IF(AND(V1319&gt;175,W1319&gt;=55,W1319&lt;95),0.17,0)+IF(AND(V1319&gt;175,W1319&gt;=95),0.12,0),
IF(AF1319="DoEVLo",IF(AND(V1319&lt;20,W1319&lt;55),0.25,0)+IF(AND(V1319&lt;20,W1319&gt;=55,W1319&lt;105),0.2,0)+IF(AND(V1319&lt;20,W1319&gt;=105),0.15,0)+IF(AND(V1319&gt;=20,V1319&lt;40,W1319&lt;45),0.25,0)+IF(AND(V1319&gt;=20,V1319&lt;40,W1319&gt;=45,W1319&lt;95),0.2,0)+IF(AND(V1319&gt;=20,V1319&lt;40,W1319&gt;=95),0.15,0)+IF(AND(V1319&gt;=40,V1319&lt;75,W1319&lt;35),0.25,0)+IF(AND(V1319&gt;=40,V1319&lt;75,W1319&gt;=35,W1319&lt;75),0.2,0)+IF(AND(V1319&gt;=40,V1319&lt;75,W1319&gt;=75,W1319&lt;120),0.15,0)+IF(AND(V1319&gt;=40,V1319&lt;75,W1319&gt;=120),0.1,0)+IF(AND(V1319&gt;=75,V1319&lt;175,W1319&lt;35),0.25,0)+IF(AND(V1319&gt;=75,V1319&lt;=175,W1319&gt;=35,W1319&lt;65),0.2,0)+IF(AND(V1319&gt;=75,V1319&lt;=175,W1319&gt;=65,W1319&lt;110),0.15,0)+IF(AND(V1319&gt;=75,V1319&lt;=175,W1319&gt;=110),0.1,0)+IF(AND(V1319&gt;175,W1319&lt;25),0.25,0)+IF(AND(V1319&gt;175,W1319&gt;=25,W1319&lt;55),0.2,0)+IF(AND(V1319&gt;175,W1319&gt;=55,W1319&lt;95),0.15,0)+IF(AND(V1319&gt;175,W1319&gt;=95),0.1,0))))))))))))))))))</f>
        <v>0.1</v>
      </c>
      <c r="Y1319" s="30">
        <f>IF(AG1319="None",0,IF(AG1319="Fix5",0.05, IF(AG1319="Fix6.25",0.0625,IF(AG1319="Fix3.75",0.0375,IF(AG1319="Fix10",0.1,IF(AG1319="Fix3",0.03,0))))))</f>
        <v>0</v>
      </c>
      <c r="Z1319" s="35">
        <f>T1319-AA1319-AB1319</f>
        <v>27</v>
      </c>
      <c r="AA1319" s="29">
        <f>IF(AD1319="EUR",((T1319-R1319)*X1319)*U1319+(R1319*X1319),(T1319*X1319))</f>
        <v>3</v>
      </c>
      <c r="AB1319" s="36">
        <f>IF(AD1319="EUR",((T1319-R1319)*Y1319)*U1319+(R1319*Y1319),(T1319*Y1319))</f>
        <v>0</v>
      </c>
      <c r="AC1319" s="37" t="b">
        <v>1</v>
      </c>
      <c r="AD1319" s="37" t="s">
        <v>38</v>
      </c>
      <c r="AE1319" s="37" t="s">
        <v>38</v>
      </c>
      <c r="AF1319" s="37" t="str">
        <f t="array" ref="AF1319">INDEX('Deal Info'!D:D, MATCH(A1319,'Deal Info'!A:A, 0))</f>
        <v>Fix10</v>
      </c>
      <c r="AG1319" s="38" t="str">
        <f t="array" ref="AG1319">INDEX('Deal Info'!G:G, MATCH(A1319,'Deal Info'!A:A, 0))</f>
        <v>None</v>
      </c>
    </row>
    <row r="1320" spans="1:33" ht="14.25" hidden="1" x14ac:dyDescent="0.2">
      <c r="A1320" s="18" t="str">
        <f t="array" ref="A1320">IF(G1320='Room Info'!$B$1, INDEX('Room Info'!$A$2:$A2446, MATCH(B1320,'Room Info'!$B$2:$B2446, 0)),IF(G1320='Room Info'!$C$1, INDEX('Room Info'!$A$2:$A2446, MATCH(B1320,'Room Info'!$C$2:$C2446, 0)),IF(G1320='Room Info'!$D$1, INDEX('Room Info'!$A$2:$A2446, MATCH(B1320,'Room Info'!$D$2:$D2446, 0)),IF(G1320='Room Info'!$E$1, INDEX('Room Info'!$A$2:$A2446, MATCH(B1320,'Room Info'!$E$2:$E2446, 0)),IF(G1320='Room Info'!$F$1, INDEX('Room Info'!$A$2:$A2446, MATCH(B1320,'Room Info'!$F$2:$F2446, 0)),IF(G1320='Room Info'!$H$1, INDEX('Room Info'!$A$2:$A2446, MATCH(B1320,'Room Info'!$H$2:$H2446, 0)),IF(G1320='Room Info'!$G$1, INDEX('Room Info'!$A$2:$A2446, MATCH(B1320,'Room Info'!$G$2:$G2446, 0)))))))))</f>
        <v>volkovsky</v>
      </c>
      <c r="B1320" s="45" t="s">
        <v>206</v>
      </c>
      <c r="C1320" s="46">
        <v>44641</v>
      </c>
      <c r="D1320" s="46">
        <v>44671</v>
      </c>
      <c r="E1320" s="47">
        <v>44652</v>
      </c>
      <c r="F1320" s="48" t="s">
        <v>34</v>
      </c>
      <c r="G1320" s="45" t="s">
        <v>35</v>
      </c>
      <c r="H1320" s="49" t="s">
        <v>39</v>
      </c>
      <c r="I1320" s="49" t="s">
        <v>37</v>
      </c>
      <c r="J1320" s="50">
        <v>5</v>
      </c>
      <c r="K1320" s="51">
        <v>1</v>
      </c>
      <c r="L1320" s="52">
        <v>-5</v>
      </c>
      <c r="M1320" s="62"/>
      <c r="N1320" s="28">
        <f>K1320*J1320</f>
        <v>5</v>
      </c>
      <c r="O1320" s="54">
        <v>164</v>
      </c>
      <c r="P1320" s="29">
        <v>164</v>
      </c>
      <c r="Q1320" s="55"/>
      <c r="R1320" s="31">
        <f>M1320+Q1320</f>
        <v>0</v>
      </c>
      <c r="S1320" s="56">
        <v>1</v>
      </c>
      <c r="T1320" s="32">
        <f>R1320+S1320+IF(F1320="Without EV deal",L1320,0)</f>
        <v>1</v>
      </c>
      <c r="U1320" s="57"/>
      <c r="V1320" s="58"/>
      <c r="W1320" s="58"/>
      <c r="X1320" s="30">
        <f>IF(AF1320="DoEV",IF(AND(V1320&lt;20,W1320&lt;55),0.3,0)+IF(AND(V1320&lt;20,W1320&gt;=55,W1320&lt;105),0.23,0)+IF(AND(V1320&lt;20,W1320&gt;=105),0.17,0)+IF(AND(V1320&gt;=20,V1320&lt;40,W1320&lt;45),0.3,0)+IF(AND(V1320&gt;=20,V1320&lt;40,W1320&gt;=45,W1320&lt;95),0.23,0)+IF(AND(V1320&gt;=20,V1320&lt;40,W1320&gt;=95),0.17,0)+IF(AND(V1320&gt;=40,V1320&lt;75,W1320&lt;35),0.3,0)+IF(AND(V1320&gt;=40,V1320&lt;75,W1320&gt;=35,W1320&lt;75),0.23,0)+IF(AND(V1320&gt;=40,V1320&lt;75,W1320&gt;=75,W1320&lt;120),0.17,0)+IF(AND(V1320&gt;=40,V1320&lt;75,W1320&gt;=120),0.12,0)+IF(AND(V1320&gt;=75,V1320&lt;175,W1320&lt;35),0.3,0)+IF(AND(V1320&gt;=75,V1320&lt;=175,W1320&gt;=35,W1320&lt;65),0.23,0)+IF(AND(V1320&gt;=75,V1320&lt;=175,W1320&gt;=65,W1320&lt;110),0.17,0)+IF(AND(V1320&gt;=75,V1320&lt;=175,W1320&gt;=110),0.12,0)+IF(AND(V1320&gt;175,W1320&lt;25),0.3,0)+IF(AND(V1320&gt;175,W1320&gt;=25,W1320&lt;55),0.23,0)+IF(AND(V1320&gt;175,W1320&gt;=55,W1320&lt;95),0.17,0)+IF(AND(V1320&gt;175,W1320&gt;=95),0.12,0),
IF(AF1320="Fix15",0.15,
IF(AF1320="Fix18.75",0.1875,
IF(AF1320="Fix11.25",0.1125,
IF(AF1320="Fix10",0.1,
IF(AF1320="Fix9",0.09,
IF(AF1320="Fix19",0.19,
IF(AF1320="DoEV2017",IF(AND(W1320&lt;74),0.2,0)+IF(AND(W1320&gt;=74),0.17,0),
IF(AF1320="SF",IF(AND(V1320&lt;20,W1320&lt;89),0.3,0)+IF(AND(V1320&lt;20,W1320&gt;=89),0.25,0)+IF(AND(V1320&gt;=20,V1320&lt;40,W1320&lt;74),0.3,0)+IF(AND(V1320&gt;=20,V1320&lt;40,W1320&gt;=75),0.22,0)+IF(AND(V1320&gt;=40,V1320&lt;75,W1320&lt;75),0.26,0)+IF(AND(V1320&gt;=40,V1320&lt;75,W1320&gt;=75),0.22,0)+IF(V1320&gt;=75,0.22,0),
IF(AF1320="DoEVold",IF(AND(V1320&lt;40,W1320&lt;35),0.35,0)+IF(AND(V1320&lt;40,W1320&gt;=35,W1320&lt;75),0.25,0)+IF(AND(V1320&lt;40,W1320&gt;=75),0.17,0)+IF(AND(V1320&gt;=40,V1320&lt;75,W1320&lt;25),0.35,0)+IF(AND(V1320&gt;=40,V1320&lt;75,W1320&gt;=25,W1320&lt;65),0.25,0)+IF(AND(V1320&gt;=40,V1320&lt;75,W1320&gt;=65,W1320&lt;100),0.17,0)+IF(AND(V1320&gt;=40,V1320&lt;75,W1320&gt;=100),0.1,0)+IF(AND(V1320&gt;=75,W1320&lt;25),0.35,0)+IF(AND(V1320&gt;=75,W1320&gt;=25,W1320&lt;60),0.25,0)+IF(AND(V1320&gt;=75,W1320&gt;=60,W1320&lt;95),0.17,0)+IF(AND(V1320&gt;=75,W1320&gt;=95),0.1,0),
IF(AF1320="DoEVold15",IF(AND(V1320&lt;=40,W1320&lt;35),0.35,0)+IF(AND(V1320&lt;=40,W1320&gt;=35,W1320&lt;75),0.25,0)+IF(AND(V1320&lt;=40,W1320&gt;=75,W1320&lt;120),0.17,0)+IF(AND(V1320&lt;=40,W1320&gt;=120),0.15,0)+IF(AND(V1320&gt;40,V1320&lt;75,W1320&lt;25),0.35,0)+IF(AND(V1320&gt;=40,V1320&lt;75,W1320&gt;=25,W1320&lt;65),0.25,0)+IF(AND(V1320&gt;=40,V1320&lt;75,W1320&gt;=65,W1320&lt;100),0.17,0)+IF(AND(V1320&gt;=40,V1320&lt;75,W1320&gt;=100),0.1,0)+IF(AND(V1320&gt;=75,W1320&lt;25),0.35,0)+IF(AND(V1320&gt;=75,W1320&gt;=25,W1320&lt;60),0.25,0)+IF(AND(V1320&gt;=75,W1320&gt;=60,W1320&lt;95),0.17,0)+IF(AND(V1320&gt;=75,W1320&gt;=95),0.1,0),
IF(AF1320="DoEVba",IF(AND(V1320&lt;20,W1320&lt;105),0.2,0)+IF(AND(V1320&lt;20,W1320&gt;=105),0.15,0)+IF(AND(V1320&gt;=20,V1320&lt;40,W1320&lt;95),0.2,0)+IF(AND(V1320&gt;=20,V1320&lt;40,W1320&gt;=95,W1320&lt;150),0.15,0)+IF(AND(V1320&gt;=20,V1320&lt;40,W1320&gt;=150),0.12,0)+IF(AND(V1320&gt;=40,V1320&lt;75,W1320&lt;75),0.2,0)+IF(AND(V1320&gt;=40,V1320&lt;75,W1320&gt;=75,W1320&lt;120),0.15,0)+IF(AND(V1320&gt;=40,V1320&lt;75,W1320&gt;=120),0.12,0)+IF(AND(V1320&gt;=75,V1320&lt;175,W1320&lt;65),0.2,0)+IF(AND(V1320&gt;=75,V1320&lt;175,W1320&gt;=65,W1320&lt;110),0.15,0)+IF(AND(V1320&gt;=75,V1320&lt;175,W1320&gt;=110),0.12,0)+IF(AND(V1320&gt;=175,W1320&lt;55),0.2,0)+IF(AND(V1320&gt;=175,W1320&gt;=55,W1320&lt;95),0.15,0)+IF(AND(V1320&gt;=175,W1320&gt;=95),0.12,0),
IF(AF1320="DoEVku",IF(AND(V1320&lt;20,W1320&lt;55),0.23,0)+IF(AND(V1320&lt;20,W1320&gt;=55,W1320&lt;105),0.2,0)+IF(AND(V1320&lt;20,W1320&gt;=105),0.17,0)+IF(AND(V1320&gt;=20,V1320&lt;40,W1320&lt;45),0.23,0)+IF(AND(V1320&gt;=20,V1320&lt;40,W1320&gt;=45,W1320&lt;95),0.2,0)+IF(AND(V1320&gt;=20,V1320&lt;40,W1320&gt;=95,W1320&lt;=150),0.17,0)+IF(AND(V1320&gt;=20,V1320&lt;40,W1320&gt;=150),0.12,0)+IF(AND(V1320&gt;=40,V1320&lt;75,W1320&lt;35),0.23,0)+IF(AND(V1320&gt;=40,V1320&lt;75,W1320&gt;=35,W1320&lt;75),0.2,0)+IF(AND(V1320&gt;=40,V1320&lt;75,W1320&gt;=75,W1320&lt;120),0.17,0)+IF(AND(V1320&gt;=40,V1320&lt;75,W1320&gt;=120),0.12,0)+IF(AND(V1320&gt;=75,V1320&lt;175,W1320&lt;35),0.23,0)+IF(AND(V1320&gt;=75,V1320&lt;=175,W1320&gt;=35,W1320&lt;65),0.2,0)+IF(AND(V1320&gt;=75,V1320&lt;=175,W1320&gt;=65,W1320&lt;110),0.17,0)+IF(AND(V1320&gt;=75,V1320&lt;=175,W1320&gt;=110),0.12,0)+IF(AND(V1320&gt;175,W1320&lt;25),0.23,0)+IF(AND(V1320&gt;175,W1320&gt;=25,W1320&lt;55),0.2,0)+IF(AND(V1320&gt;175,W1320&gt;=55,W1320&lt;95),0.17,0)+IF(AND(V1320&gt;175,W1320&gt;=95),0.12,0),
IF(AF1320="DoEVs1",IF(AND(V1320&lt;20,W1320&lt;55),0.3,0)+IF(AND(V1320&lt;20,W1320&gt;=55,W1320&lt;105),0.23,0)+IF(AND(V1320&lt;20,W1320&gt;=105),0.17,0)+IF(AND(V1320&gt;=20,V1320&lt;40,W1320&lt;45),0.3,0)+IF(AND(V1320&gt;=20,V1320&lt;40,W1320&gt;=45,W1320&lt;95),0.23,0)+IF(AND(V1320&gt;=20,V1320&lt;40,W1320&gt;=95,W1320&lt;=150),0.17,0)+IF(AND(V1320&gt;=20,V1320&lt;40,W1320&gt;=150),0.12,0)+IF(AND(V1320&gt;=40,V1320&lt;75,W1320&lt;35),0.3,0)+IF(AND(V1320&gt;=40,V1320&lt;75,W1320&gt;=35,W1320&lt;75),0.23,0)+IF(AND(V1320&gt;=40,V1320&lt;75,W1320&gt;=75,W1320&lt;120),0.17,0)+IF(AND(V1320&gt;=40,V1320&lt;75,W1320&gt;=120),0.12,0)+IF(AND(V1320&gt;=75,V1320&lt;175,W1320&lt;35),0.3,0)+IF(AND(V1320&gt;=75,V1320&lt;=175,W1320&gt;=35,W1320&lt;65),0.23,0)+IF(AND(V1320&gt;=75,V1320&lt;=175,W1320&gt;=65,W1320&lt;110),0.17,0)+IF(AND(V1320&gt;=75,V1320&lt;=175,W1320&gt;=110),0.12,0)+IF(AND(V1320&gt;175,W1320&lt;25),0.3,0)+IF(AND(V1320&gt;175,W1320&gt;=25,W1320&lt;55),0.23,0)+IF(AND(V1320&gt;175,W1320&gt;=55,W1320&lt;95),0.17,0)+IF(AND(V1320&gt;175,W1320&gt;=95),0.12,0),
IF(AF1320="DoEVsu",IF(AND(V1320&lt;20,W1320&lt;55),0.3,0)+IF(AND(V1320&lt;20,W1320&gt;=55,W1320&lt;105),0.23,0)+IF(AND(V1320&lt;20,W1320&gt;=105),0.17,0)+IF(AND(V1320&gt;=20,V1320&lt;40,W1320&lt;45),0.3,0)+IF(AND(V1320&gt;=20,V1320&lt;40,W1320&gt;=45,W1320&lt;95),0.23,0)+IF(AND(V1320&gt;=20,V1320&lt;40,W1320&gt;=95,W1320&lt;=250),0.17,0)+IF(AND(V1320&gt;=20,V1320&lt;40,W1320&gt;=250),0.12,0)+IF(AND(V1320&gt;=40,V1320&lt;75,W1320&lt;35),0.3,0)+IF(AND(V1320&gt;=40,V1320&lt;75,W1320&gt;=35,W1320&lt;75),0.23,0)+IF(AND(V1320&gt;=40,V1320&lt;75,W1320&gt;=75,W1320&lt;120),0.17,0)+IF(AND(V1320&gt;=40,V1320&lt;75,W1320&gt;=120),0.12,0)+IF(AND(V1320&gt;=75,V1320&lt;175,W1320&lt;35),0.3,0)+IF(AND(V1320&gt;=75,V1320&lt;=175,W1320&gt;=35,W1320&lt;65),0.23,0)+IF(AND(V1320&gt;=75,V1320&lt;=175,W1320&gt;=65,W1320&lt;110),0.17,0)+IF(AND(V1320&gt;=75,V1320&lt;=175,W1320&gt;=110),0.12,0)+IF(AND(V1320&gt;175,W1320&lt;25),0.3,0)+IF(AND(V1320&gt;175,W1320&gt;=25,W1320&lt;55),0.23,0)+IF(AND(V1320&gt;175,W1320&gt;=55,W1320&lt;95),0.17,0)+IF(AND(V1320&gt;175,W1320&gt;=95),0.12,0),
IF(AF1320="DoEVni",IF(AND(V1320&lt;20,W1320&lt;55),0.3,0)+IF(AND(V1320&lt;20,W1320&gt;=55,W1320&lt;105),0.23,0)+IF(AND(V1320&lt;20,W1320&gt;=105),0.17,0)+IF(AND(V1320&gt;=20,V1320&lt;40,W1320&lt;45),0.3,0)+IF(AND(V1320&gt;=20,V1320&lt;40,W1320&gt;=45,W1320&lt;95),0.23,0)+IF(AND(V1320&gt;=20,V1320&lt;40,W1320&gt;=95,W1320&lt;=200),0.17,0)+IF(AND(V1320&gt;=20,V1320&lt;40,W1320&gt;=200),0.12,0)+IF(AND(V1320&gt;=40,V1320&lt;75,W1320&lt;35),0.3,0)+IF(AND(V1320&gt;=40,V1320&lt;75,W1320&gt;=35,W1320&lt;75),0.23,0)+IF(AND(V1320&gt;=40,V1320&lt;75,W1320&gt;=75,W1320&lt;120),0.17,0)+IF(AND(V1320&gt;=40,V1320&lt;75,W1320&gt;=120),0.12,0)+IF(AND(V1320&gt;=75,V1320&lt;175,W1320&lt;35),0.3,0)+IF(AND(V1320&gt;=75,V1320&lt;=175,W1320&gt;=35,W1320&lt;65),0.23,0)+IF(AND(V1320&gt;=75,V1320&lt;=175,W1320&gt;=65,W1320&lt;110),0.17,0)+IF(AND(V1320&gt;=75,V1320&lt;=175,W1320&gt;=110),0.12,0)+IF(AND(V1320&gt;175,W1320&lt;25),0.3,0)+IF(AND(V1320&gt;175,W1320&gt;=25,W1320&lt;55),0.23,0)+IF(AND(V1320&gt;175,W1320&gt;=55,W1320&lt;95),0.17,0)+IF(AND(V1320&gt;175,W1320&gt;=95),0.12,0),
IF(AF1320="DoEVLo",IF(AND(V1320&lt;20,W1320&lt;55),0.25,0)+IF(AND(V1320&lt;20,W1320&gt;=55,W1320&lt;105),0.2,0)+IF(AND(V1320&lt;20,W1320&gt;=105),0.15,0)+IF(AND(V1320&gt;=20,V1320&lt;40,W1320&lt;45),0.25,0)+IF(AND(V1320&gt;=20,V1320&lt;40,W1320&gt;=45,W1320&lt;95),0.2,0)+IF(AND(V1320&gt;=20,V1320&lt;40,W1320&gt;=95),0.15,0)+IF(AND(V1320&gt;=40,V1320&lt;75,W1320&lt;35),0.25,0)+IF(AND(V1320&gt;=40,V1320&lt;75,W1320&gt;=35,W1320&lt;75),0.2,0)+IF(AND(V1320&gt;=40,V1320&lt;75,W1320&gt;=75,W1320&lt;120),0.15,0)+IF(AND(V1320&gt;=40,V1320&lt;75,W1320&gt;=120),0.1,0)+IF(AND(V1320&gt;=75,V1320&lt;175,W1320&lt;35),0.25,0)+IF(AND(V1320&gt;=75,V1320&lt;=175,W1320&gt;=35,W1320&lt;65),0.2,0)+IF(AND(V1320&gt;=75,V1320&lt;=175,W1320&gt;=65,W1320&lt;110),0.15,0)+IF(AND(V1320&gt;=75,V1320&lt;=175,W1320&gt;=110),0.1,0)+IF(AND(V1320&gt;175,W1320&lt;25),0.25,0)+IF(AND(V1320&gt;175,W1320&gt;=25,W1320&lt;55),0.2,0)+IF(AND(V1320&gt;175,W1320&gt;=55,W1320&lt;95),0.15,0)+IF(AND(V1320&gt;175,W1320&gt;=95),0.1,0))))))))))))))))))</f>
        <v>0.1</v>
      </c>
      <c r="Y1320" s="30">
        <f>IF(AG1320="None",0,IF(AG1320="Fix5",0.05, IF(AG1320="Fix6.25",0.0625,IF(AG1320="Fix3.75",0.0375,IF(AG1320="Fix10",0.1,IF(AG1320="Fix3",0.03,0))))))</f>
        <v>0</v>
      </c>
      <c r="Z1320" s="35">
        <f>T1320-AA1320-AB1320</f>
        <v>0.9</v>
      </c>
      <c r="AA1320" s="29">
        <f>IF(AD1320="EUR",((T1320-R1320)*X1320)*U1320+(R1320*X1320),(T1320*X1320))</f>
        <v>0.1</v>
      </c>
      <c r="AB1320" s="36">
        <f>IF(AD1320="EUR",((T1320-R1320)*Y1320)*U1320+(R1320*Y1320),(T1320*Y1320))</f>
        <v>0</v>
      </c>
      <c r="AC1320" s="37" t="b">
        <v>1</v>
      </c>
      <c r="AD1320" s="37" t="s">
        <v>38</v>
      </c>
      <c r="AE1320" s="37" t="s">
        <v>38</v>
      </c>
      <c r="AF1320" s="37" t="str">
        <f t="array" ref="AF1320">INDEX('Deal Info'!D:D, MATCH(A1320,'Deal Info'!A:A, 0))</f>
        <v>Fix10</v>
      </c>
      <c r="AG1320" s="38" t="str">
        <f t="array" ref="AG1320">INDEX('Deal Info'!G:G, MATCH(A1320,'Deal Info'!A:A, 0))</f>
        <v>None</v>
      </c>
    </row>
    <row r="1321" spans="1:33" ht="14.25" hidden="1" x14ac:dyDescent="0.2">
      <c r="A1321" s="18" t="str">
        <f t="array" ref="A1321">IF(G1321='Room Info'!$B$1, INDEX('Room Info'!$A$2:$A2446, MATCH(B1321,'Room Info'!$B$2:$B2446, 0)),IF(G1321='Room Info'!$C$1, INDEX('Room Info'!$A$2:$A2446, MATCH(B1321,'Room Info'!$C$2:$C2446, 0)),IF(G1321='Room Info'!$D$1, INDEX('Room Info'!$A$2:$A2446, MATCH(B1321,'Room Info'!$D$2:$D2446, 0)),IF(G1321='Room Info'!$E$1, INDEX('Room Info'!$A$2:$A2446, MATCH(B1321,'Room Info'!$E$2:$E2446, 0)),IF(G1321='Room Info'!$F$1, INDEX('Room Info'!$A$2:$A2446, MATCH(B1321,'Room Info'!$F$2:$F2446, 0)),IF(G1321='Room Info'!$H$1, INDEX('Room Info'!$A$2:$A2446, MATCH(B1321,'Room Info'!$H$2:$H2446, 0)),IF(G1321='Room Info'!$G$1, INDEX('Room Info'!$A$2:$A2446, MATCH(B1321,'Room Info'!$G$2:$G2446, 0)))))))))</f>
        <v>volkovsky</v>
      </c>
      <c r="B1321" s="45" t="s">
        <v>206</v>
      </c>
      <c r="C1321" s="46">
        <v>44641</v>
      </c>
      <c r="D1321" s="46">
        <v>44671</v>
      </c>
      <c r="E1321" s="47">
        <v>44652</v>
      </c>
      <c r="F1321" s="48" t="s">
        <v>34</v>
      </c>
      <c r="G1321" s="45" t="s">
        <v>35</v>
      </c>
      <c r="H1321" s="49" t="s">
        <v>70</v>
      </c>
      <c r="I1321" s="49" t="s">
        <v>37</v>
      </c>
      <c r="J1321" s="50">
        <v>100</v>
      </c>
      <c r="K1321" s="51">
        <v>522</v>
      </c>
      <c r="L1321" s="52">
        <v>200</v>
      </c>
      <c r="M1321" s="53">
        <v>768</v>
      </c>
      <c r="N1321" s="28">
        <f>K1321*J1321</f>
        <v>52200</v>
      </c>
      <c r="O1321" s="54">
        <v>7177</v>
      </c>
      <c r="P1321" s="29">
        <v>13.749042149999999</v>
      </c>
      <c r="Q1321" s="55"/>
      <c r="R1321" s="31">
        <f>M1321+Q1321</f>
        <v>768</v>
      </c>
      <c r="S1321" s="56">
        <v>-1304</v>
      </c>
      <c r="T1321" s="32">
        <f>R1321+S1321+IF(F1321="Without EV deal",L1321,0)</f>
        <v>-536</v>
      </c>
      <c r="U1321" s="57"/>
      <c r="V1321" s="58"/>
      <c r="W1321" s="58"/>
      <c r="X1321" s="30">
        <f>IF(AF1321="DoEV",IF(AND(V1321&lt;20,W1321&lt;55),0.3,0)+IF(AND(V1321&lt;20,W1321&gt;=55,W1321&lt;105),0.23,0)+IF(AND(V1321&lt;20,W1321&gt;=105),0.17,0)+IF(AND(V1321&gt;=20,V1321&lt;40,W1321&lt;45),0.3,0)+IF(AND(V1321&gt;=20,V1321&lt;40,W1321&gt;=45,W1321&lt;95),0.23,0)+IF(AND(V1321&gt;=20,V1321&lt;40,W1321&gt;=95),0.17,0)+IF(AND(V1321&gt;=40,V1321&lt;75,W1321&lt;35),0.3,0)+IF(AND(V1321&gt;=40,V1321&lt;75,W1321&gt;=35,W1321&lt;75),0.23,0)+IF(AND(V1321&gt;=40,V1321&lt;75,W1321&gt;=75,W1321&lt;120),0.17,0)+IF(AND(V1321&gt;=40,V1321&lt;75,W1321&gt;=120),0.12,0)+IF(AND(V1321&gt;=75,V1321&lt;175,W1321&lt;35),0.3,0)+IF(AND(V1321&gt;=75,V1321&lt;=175,W1321&gt;=35,W1321&lt;65),0.23,0)+IF(AND(V1321&gt;=75,V1321&lt;=175,W1321&gt;=65,W1321&lt;110),0.17,0)+IF(AND(V1321&gt;=75,V1321&lt;=175,W1321&gt;=110),0.12,0)+IF(AND(V1321&gt;175,W1321&lt;25),0.3,0)+IF(AND(V1321&gt;175,W1321&gt;=25,W1321&lt;55),0.23,0)+IF(AND(V1321&gt;175,W1321&gt;=55,W1321&lt;95),0.17,0)+IF(AND(V1321&gt;175,W1321&gt;=95),0.12,0),
IF(AF1321="Fix15",0.15,
IF(AF1321="Fix18.75",0.1875,
IF(AF1321="Fix11.25",0.1125,
IF(AF1321="Fix10",0.1,
IF(AF1321="Fix9",0.09,
IF(AF1321="Fix19",0.19,
IF(AF1321="DoEV2017",IF(AND(W1321&lt;74),0.2,0)+IF(AND(W1321&gt;=74),0.17,0),
IF(AF1321="SF",IF(AND(V1321&lt;20,W1321&lt;89),0.3,0)+IF(AND(V1321&lt;20,W1321&gt;=89),0.25,0)+IF(AND(V1321&gt;=20,V1321&lt;40,W1321&lt;74),0.3,0)+IF(AND(V1321&gt;=20,V1321&lt;40,W1321&gt;=75),0.22,0)+IF(AND(V1321&gt;=40,V1321&lt;75,W1321&lt;75),0.26,0)+IF(AND(V1321&gt;=40,V1321&lt;75,W1321&gt;=75),0.22,0)+IF(V1321&gt;=75,0.22,0),
IF(AF1321="DoEVold",IF(AND(V1321&lt;40,W1321&lt;35),0.35,0)+IF(AND(V1321&lt;40,W1321&gt;=35,W1321&lt;75),0.25,0)+IF(AND(V1321&lt;40,W1321&gt;=75),0.17,0)+IF(AND(V1321&gt;=40,V1321&lt;75,W1321&lt;25),0.35,0)+IF(AND(V1321&gt;=40,V1321&lt;75,W1321&gt;=25,W1321&lt;65),0.25,0)+IF(AND(V1321&gt;=40,V1321&lt;75,W1321&gt;=65,W1321&lt;100),0.17,0)+IF(AND(V1321&gt;=40,V1321&lt;75,W1321&gt;=100),0.1,0)+IF(AND(V1321&gt;=75,W1321&lt;25),0.35,0)+IF(AND(V1321&gt;=75,W1321&gt;=25,W1321&lt;60),0.25,0)+IF(AND(V1321&gt;=75,W1321&gt;=60,W1321&lt;95),0.17,0)+IF(AND(V1321&gt;=75,W1321&gt;=95),0.1,0),
IF(AF1321="DoEVold15",IF(AND(V1321&lt;=40,W1321&lt;35),0.35,0)+IF(AND(V1321&lt;=40,W1321&gt;=35,W1321&lt;75),0.25,0)+IF(AND(V1321&lt;=40,W1321&gt;=75,W1321&lt;120),0.17,0)+IF(AND(V1321&lt;=40,W1321&gt;=120),0.15,0)+IF(AND(V1321&gt;40,V1321&lt;75,W1321&lt;25),0.35,0)+IF(AND(V1321&gt;=40,V1321&lt;75,W1321&gt;=25,W1321&lt;65),0.25,0)+IF(AND(V1321&gt;=40,V1321&lt;75,W1321&gt;=65,W1321&lt;100),0.17,0)+IF(AND(V1321&gt;=40,V1321&lt;75,W1321&gt;=100),0.1,0)+IF(AND(V1321&gt;=75,W1321&lt;25),0.35,0)+IF(AND(V1321&gt;=75,W1321&gt;=25,W1321&lt;60),0.25,0)+IF(AND(V1321&gt;=75,W1321&gt;=60,W1321&lt;95),0.17,0)+IF(AND(V1321&gt;=75,W1321&gt;=95),0.1,0),
IF(AF1321="DoEVba",IF(AND(V1321&lt;20,W1321&lt;105),0.2,0)+IF(AND(V1321&lt;20,W1321&gt;=105),0.15,0)+IF(AND(V1321&gt;=20,V1321&lt;40,W1321&lt;95),0.2,0)+IF(AND(V1321&gt;=20,V1321&lt;40,W1321&gt;=95,W1321&lt;150),0.15,0)+IF(AND(V1321&gt;=20,V1321&lt;40,W1321&gt;=150),0.12,0)+IF(AND(V1321&gt;=40,V1321&lt;75,W1321&lt;75),0.2,0)+IF(AND(V1321&gt;=40,V1321&lt;75,W1321&gt;=75,W1321&lt;120),0.15,0)+IF(AND(V1321&gt;=40,V1321&lt;75,W1321&gt;=120),0.12,0)+IF(AND(V1321&gt;=75,V1321&lt;175,W1321&lt;65),0.2,0)+IF(AND(V1321&gt;=75,V1321&lt;175,W1321&gt;=65,W1321&lt;110),0.15,0)+IF(AND(V1321&gt;=75,V1321&lt;175,W1321&gt;=110),0.12,0)+IF(AND(V1321&gt;=175,W1321&lt;55),0.2,0)+IF(AND(V1321&gt;=175,W1321&gt;=55,W1321&lt;95),0.15,0)+IF(AND(V1321&gt;=175,W1321&gt;=95),0.12,0),
IF(AF1321="DoEVku",IF(AND(V1321&lt;20,W1321&lt;55),0.23,0)+IF(AND(V1321&lt;20,W1321&gt;=55,W1321&lt;105),0.2,0)+IF(AND(V1321&lt;20,W1321&gt;=105),0.17,0)+IF(AND(V1321&gt;=20,V1321&lt;40,W1321&lt;45),0.23,0)+IF(AND(V1321&gt;=20,V1321&lt;40,W1321&gt;=45,W1321&lt;95),0.2,0)+IF(AND(V1321&gt;=20,V1321&lt;40,W1321&gt;=95,W1321&lt;=150),0.17,0)+IF(AND(V1321&gt;=20,V1321&lt;40,W1321&gt;=150),0.12,0)+IF(AND(V1321&gt;=40,V1321&lt;75,W1321&lt;35),0.23,0)+IF(AND(V1321&gt;=40,V1321&lt;75,W1321&gt;=35,W1321&lt;75),0.2,0)+IF(AND(V1321&gt;=40,V1321&lt;75,W1321&gt;=75,W1321&lt;120),0.17,0)+IF(AND(V1321&gt;=40,V1321&lt;75,W1321&gt;=120),0.12,0)+IF(AND(V1321&gt;=75,V1321&lt;175,W1321&lt;35),0.23,0)+IF(AND(V1321&gt;=75,V1321&lt;=175,W1321&gt;=35,W1321&lt;65),0.2,0)+IF(AND(V1321&gt;=75,V1321&lt;=175,W1321&gt;=65,W1321&lt;110),0.17,0)+IF(AND(V1321&gt;=75,V1321&lt;=175,W1321&gt;=110),0.12,0)+IF(AND(V1321&gt;175,W1321&lt;25),0.23,0)+IF(AND(V1321&gt;175,W1321&gt;=25,W1321&lt;55),0.2,0)+IF(AND(V1321&gt;175,W1321&gt;=55,W1321&lt;95),0.17,0)+IF(AND(V1321&gt;175,W1321&gt;=95),0.12,0),
IF(AF1321="DoEVs1",IF(AND(V1321&lt;20,W1321&lt;55),0.3,0)+IF(AND(V1321&lt;20,W1321&gt;=55,W1321&lt;105),0.23,0)+IF(AND(V1321&lt;20,W1321&gt;=105),0.17,0)+IF(AND(V1321&gt;=20,V1321&lt;40,W1321&lt;45),0.3,0)+IF(AND(V1321&gt;=20,V1321&lt;40,W1321&gt;=45,W1321&lt;95),0.23,0)+IF(AND(V1321&gt;=20,V1321&lt;40,W1321&gt;=95,W1321&lt;=150),0.17,0)+IF(AND(V1321&gt;=20,V1321&lt;40,W1321&gt;=150),0.12,0)+IF(AND(V1321&gt;=40,V1321&lt;75,W1321&lt;35),0.3,0)+IF(AND(V1321&gt;=40,V1321&lt;75,W1321&gt;=35,W1321&lt;75),0.23,0)+IF(AND(V1321&gt;=40,V1321&lt;75,W1321&gt;=75,W1321&lt;120),0.17,0)+IF(AND(V1321&gt;=40,V1321&lt;75,W1321&gt;=120),0.12,0)+IF(AND(V1321&gt;=75,V1321&lt;175,W1321&lt;35),0.3,0)+IF(AND(V1321&gt;=75,V1321&lt;=175,W1321&gt;=35,W1321&lt;65),0.23,0)+IF(AND(V1321&gt;=75,V1321&lt;=175,W1321&gt;=65,W1321&lt;110),0.17,0)+IF(AND(V1321&gt;=75,V1321&lt;=175,W1321&gt;=110),0.12,0)+IF(AND(V1321&gt;175,W1321&lt;25),0.3,0)+IF(AND(V1321&gt;175,W1321&gt;=25,W1321&lt;55),0.23,0)+IF(AND(V1321&gt;175,W1321&gt;=55,W1321&lt;95),0.17,0)+IF(AND(V1321&gt;175,W1321&gt;=95),0.12,0),
IF(AF1321="DoEVsu",IF(AND(V1321&lt;20,W1321&lt;55),0.3,0)+IF(AND(V1321&lt;20,W1321&gt;=55,W1321&lt;105),0.23,0)+IF(AND(V1321&lt;20,W1321&gt;=105),0.17,0)+IF(AND(V1321&gt;=20,V1321&lt;40,W1321&lt;45),0.3,0)+IF(AND(V1321&gt;=20,V1321&lt;40,W1321&gt;=45,W1321&lt;95),0.23,0)+IF(AND(V1321&gt;=20,V1321&lt;40,W1321&gt;=95,W1321&lt;=250),0.17,0)+IF(AND(V1321&gt;=20,V1321&lt;40,W1321&gt;=250),0.12,0)+IF(AND(V1321&gt;=40,V1321&lt;75,W1321&lt;35),0.3,0)+IF(AND(V1321&gt;=40,V1321&lt;75,W1321&gt;=35,W1321&lt;75),0.23,0)+IF(AND(V1321&gt;=40,V1321&lt;75,W1321&gt;=75,W1321&lt;120),0.17,0)+IF(AND(V1321&gt;=40,V1321&lt;75,W1321&gt;=120),0.12,0)+IF(AND(V1321&gt;=75,V1321&lt;175,W1321&lt;35),0.3,0)+IF(AND(V1321&gt;=75,V1321&lt;=175,W1321&gt;=35,W1321&lt;65),0.23,0)+IF(AND(V1321&gt;=75,V1321&lt;=175,W1321&gt;=65,W1321&lt;110),0.17,0)+IF(AND(V1321&gt;=75,V1321&lt;=175,W1321&gt;=110),0.12,0)+IF(AND(V1321&gt;175,W1321&lt;25),0.3,0)+IF(AND(V1321&gt;175,W1321&gt;=25,W1321&lt;55),0.23,0)+IF(AND(V1321&gt;175,W1321&gt;=55,W1321&lt;95),0.17,0)+IF(AND(V1321&gt;175,W1321&gt;=95),0.12,0),
IF(AF1321="DoEVni",IF(AND(V1321&lt;20,W1321&lt;55),0.3,0)+IF(AND(V1321&lt;20,W1321&gt;=55,W1321&lt;105),0.23,0)+IF(AND(V1321&lt;20,W1321&gt;=105),0.17,0)+IF(AND(V1321&gt;=20,V1321&lt;40,W1321&lt;45),0.3,0)+IF(AND(V1321&gt;=20,V1321&lt;40,W1321&gt;=45,W1321&lt;95),0.23,0)+IF(AND(V1321&gt;=20,V1321&lt;40,W1321&gt;=95,W1321&lt;=200),0.17,0)+IF(AND(V1321&gt;=20,V1321&lt;40,W1321&gt;=200),0.12,0)+IF(AND(V1321&gt;=40,V1321&lt;75,W1321&lt;35),0.3,0)+IF(AND(V1321&gt;=40,V1321&lt;75,W1321&gt;=35,W1321&lt;75),0.23,0)+IF(AND(V1321&gt;=40,V1321&lt;75,W1321&gt;=75,W1321&lt;120),0.17,0)+IF(AND(V1321&gt;=40,V1321&lt;75,W1321&gt;=120),0.12,0)+IF(AND(V1321&gt;=75,V1321&lt;175,W1321&lt;35),0.3,0)+IF(AND(V1321&gt;=75,V1321&lt;=175,W1321&gt;=35,W1321&lt;65),0.23,0)+IF(AND(V1321&gt;=75,V1321&lt;=175,W1321&gt;=65,W1321&lt;110),0.17,0)+IF(AND(V1321&gt;=75,V1321&lt;=175,W1321&gt;=110),0.12,0)+IF(AND(V1321&gt;175,W1321&lt;25),0.3,0)+IF(AND(V1321&gt;175,W1321&gt;=25,W1321&lt;55),0.23,0)+IF(AND(V1321&gt;175,W1321&gt;=55,W1321&lt;95),0.17,0)+IF(AND(V1321&gt;175,W1321&gt;=95),0.12,0),
IF(AF1321="DoEVLo",IF(AND(V1321&lt;20,W1321&lt;55),0.25,0)+IF(AND(V1321&lt;20,W1321&gt;=55,W1321&lt;105),0.2,0)+IF(AND(V1321&lt;20,W1321&gt;=105),0.15,0)+IF(AND(V1321&gt;=20,V1321&lt;40,W1321&lt;45),0.25,0)+IF(AND(V1321&gt;=20,V1321&lt;40,W1321&gt;=45,W1321&lt;95),0.2,0)+IF(AND(V1321&gt;=20,V1321&lt;40,W1321&gt;=95),0.15,0)+IF(AND(V1321&gt;=40,V1321&lt;75,W1321&lt;35),0.25,0)+IF(AND(V1321&gt;=40,V1321&lt;75,W1321&gt;=35,W1321&lt;75),0.2,0)+IF(AND(V1321&gt;=40,V1321&lt;75,W1321&gt;=75,W1321&lt;120),0.15,0)+IF(AND(V1321&gt;=40,V1321&lt;75,W1321&gt;=120),0.1,0)+IF(AND(V1321&gt;=75,V1321&lt;175,W1321&lt;35),0.25,0)+IF(AND(V1321&gt;=75,V1321&lt;=175,W1321&gt;=35,W1321&lt;65),0.2,0)+IF(AND(V1321&gt;=75,V1321&lt;=175,W1321&gt;=65,W1321&lt;110),0.15,0)+IF(AND(V1321&gt;=75,V1321&lt;=175,W1321&gt;=110),0.1,0)+IF(AND(V1321&gt;175,W1321&lt;25),0.25,0)+IF(AND(V1321&gt;175,W1321&gt;=25,W1321&lt;55),0.2,0)+IF(AND(V1321&gt;175,W1321&gt;=55,W1321&lt;95),0.15,0)+IF(AND(V1321&gt;175,W1321&gt;=95),0.1,0))))))))))))))))))</f>
        <v>0.1</v>
      </c>
      <c r="Y1321" s="30">
        <f>IF(AG1321="None",0,IF(AG1321="Fix5",0.05, IF(AG1321="Fix6.25",0.0625,IF(AG1321="Fix3.75",0.0375,IF(AG1321="Fix10",0.1,IF(AG1321="Fix3",0.03,0))))))</f>
        <v>0</v>
      </c>
      <c r="Z1321" s="35">
        <f>T1321-AA1321-AB1321</f>
        <v>-482.4</v>
      </c>
      <c r="AA1321" s="29">
        <f>IF(AD1321="EUR",((T1321-R1321)*X1321)*U1321+(R1321*X1321),(T1321*X1321))</f>
        <v>-53.6</v>
      </c>
      <c r="AB1321" s="36">
        <f>IF(AD1321="EUR",((T1321-R1321)*Y1321)*U1321+(R1321*Y1321),(T1321*Y1321))</f>
        <v>0</v>
      </c>
      <c r="AC1321" s="37" t="b">
        <v>1</v>
      </c>
      <c r="AD1321" s="37" t="s">
        <v>38</v>
      </c>
      <c r="AE1321" s="37" t="s">
        <v>38</v>
      </c>
      <c r="AF1321" s="37" t="str">
        <f t="array" ref="AF1321">INDEX('Deal Info'!D:D, MATCH(A1321,'Deal Info'!A:A, 0))</f>
        <v>Fix10</v>
      </c>
      <c r="AG1321" s="38" t="str">
        <f t="array" ref="AG1321">INDEX('Deal Info'!G:G, MATCH(A1321,'Deal Info'!A:A, 0))</f>
        <v>None</v>
      </c>
    </row>
    <row r="1322" spans="1:33" ht="14.25" hidden="1" x14ac:dyDescent="0.2">
      <c r="A1322" s="18" t="str">
        <f t="array" ref="A1322">IF(G1322='Room Info'!$B$1, INDEX('Room Info'!$A$2:$A2446, MATCH(B1322,'Room Info'!$B$2:$B2446, 0)),IF(G1322='Room Info'!$C$1, INDEX('Room Info'!$A$2:$A2446, MATCH(B1322,'Room Info'!$C$2:$C2446, 0)),IF(G1322='Room Info'!$D$1, INDEX('Room Info'!$A$2:$A2446, MATCH(B1322,'Room Info'!$D$2:$D2446, 0)),IF(G1322='Room Info'!$E$1, INDEX('Room Info'!$A$2:$A2446, MATCH(B1322,'Room Info'!$E$2:$E2446, 0)),IF(G1322='Room Info'!$F$1, INDEX('Room Info'!$A$2:$A2446, MATCH(B1322,'Room Info'!$F$2:$F2446, 0)),IF(G1322='Room Info'!$H$1, INDEX('Room Info'!$A$2:$A2446, MATCH(B1322,'Room Info'!$H$2:$H2446, 0)),IF(G1322='Room Info'!$G$1, INDEX('Room Info'!$A$2:$A2446, MATCH(B1322,'Room Info'!$G$2:$G2446, 0)))))))))</f>
        <v>volkovsky</v>
      </c>
      <c r="B1322" s="45" t="s">
        <v>206</v>
      </c>
      <c r="C1322" s="46">
        <v>44641</v>
      </c>
      <c r="D1322" s="46">
        <v>44671</v>
      </c>
      <c r="E1322" s="47">
        <v>44652</v>
      </c>
      <c r="F1322" s="48" t="s">
        <v>34</v>
      </c>
      <c r="G1322" s="45" t="s">
        <v>35</v>
      </c>
      <c r="H1322" s="49" t="s">
        <v>84</v>
      </c>
      <c r="I1322" s="49" t="s">
        <v>44</v>
      </c>
      <c r="J1322" s="50">
        <v>100</v>
      </c>
      <c r="K1322" s="51">
        <v>1</v>
      </c>
      <c r="L1322" s="52">
        <v>-100</v>
      </c>
      <c r="M1322" s="53">
        <v>1</v>
      </c>
      <c r="N1322" s="28">
        <f>K1322*J1322</f>
        <v>100</v>
      </c>
      <c r="O1322" s="54">
        <v>395</v>
      </c>
      <c r="P1322" s="29">
        <v>395</v>
      </c>
      <c r="Q1322" s="55"/>
      <c r="R1322" s="31">
        <f>M1322+Q1322</f>
        <v>1</v>
      </c>
      <c r="S1322" s="56">
        <v>118</v>
      </c>
      <c r="T1322" s="32">
        <f>R1322+S1322+IF(F1322="Without EV deal",L1322,0)</f>
        <v>119</v>
      </c>
      <c r="U1322" s="57"/>
      <c r="V1322" s="58"/>
      <c r="W1322" s="58"/>
      <c r="X1322" s="30">
        <f>IF(AF1322="DoEV",IF(AND(V1322&lt;20,W1322&lt;55),0.3,0)+IF(AND(V1322&lt;20,W1322&gt;=55,W1322&lt;105),0.23,0)+IF(AND(V1322&lt;20,W1322&gt;=105),0.17,0)+IF(AND(V1322&gt;=20,V1322&lt;40,W1322&lt;45),0.3,0)+IF(AND(V1322&gt;=20,V1322&lt;40,W1322&gt;=45,W1322&lt;95),0.23,0)+IF(AND(V1322&gt;=20,V1322&lt;40,W1322&gt;=95),0.17,0)+IF(AND(V1322&gt;=40,V1322&lt;75,W1322&lt;35),0.3,0)+IF(AND(V1322&gt;=40,V1322&lt;75,W1322&gt;=35,W1322&lt;75),0.23,0)+IF(AND(V1322&gt;=40,V1322&lt;75,W1322&gt;=75,W1322&lt;120),0.17,0)+IF(AND(V1322&gt;=40,V1322&lt;75,W1322&gt;=120),0.12,0)+IF(AND(V1322&gt;=75,V1322&lt;175,W1322&lt;35),0.3,0)+IF(AND(V1322&gt;=75,V1322&lt;=175,W1322&gt;=35,W1322&lt;65),0.23,0)+IF(AND(V1322&gt;=75,V1322&lt;=175,W1322&gt;=65,W1322&lt;110),0.17,0)+IF(AND(V1322&gt;=75,V1322&lt;=175,W1322&gt;=110),0.12,0)+IF(AND(V1322&gt;175,W1322&lt;25),0.3,0)+IF(AND(V1322&gt;175,W1322&gt;=25,W1322&lt;55),0.23,0)+IF(AND(V1322&gt;175,W1322&gt;=55,W1322&lt;95),0.17,0)+IF(AND(V1322&gt;175,W1322&gt;=95),0.12,0),
IF(AF1322="Fix15",0.15,
IF(AF1322="Fix18.75",0.1875,
IF(AF1322="Fix11.25",0.1125,
IF(AF1322="Fix10",0.1,
IF(AF1322="Fix9",0.09,
IF(AF1322="Fix19",0.19,
IF(AF1322="DoEV2017",IF(AND(W1322&lt;74),0.2,0)+IF(AND(W1322&gt;=74),0.17,0),
IF(AF1322="SF",IF(AND(V1322&lt;20,W1322&lt;89),0.3,0)+IF(AND(V1322&lt;20,W1322&gt;=89),0.25,0)+IF(AND(V1322&gt;=20,V1322&lt;40,W1322&lt;74),0.3,0)+IF(AND(V1322&gt;=20,V1322&lt;40,W1322&gt;=75),0.22,0)+IF(AND(V1322&gt;=40,V1322&lt;75,W1322&lt;75),0.26,0)+IF(AND(V1322&gt;=40,V1322&lt;75,W1322&gt;=75),0.22,0)+IF(V1322&gt;=75,0.22,0),
IF(AF1322="DoEVold",IF(AND(V1322&lt;40,W1322&lt;35),0.35,0)+IF(AND(V1322&lt;40,W1322&gt;=35,W1322&lt;75),0.25,0)+IF(AND(V1322&lt;40,W1322&gt;=75),0.17,0)+IF(AND(V1322&gt;=40,V1322&lt;75,W1322&lt;25),0.35,0)+IF(AND(V1322&gt;=40,V1322&lt;75,W1322&gt;=25,W1322&lt;65),0.25,0)+IF(AND(V1322&gt;=40,V1322&lt;75,W1322&gt;=65,W1322&lt;100),0.17,0)+IF(AND(V1322&gt;=40,V1322&lt;75,W1322&gt;=100),0.1,0)+IF(AND(V1322&gt;=75,W1322&lt;25),0.35,0)+IF(AND(V1322&gt;=75,W1322&gt;=25,W1322&lt;60),0.25,0)+IF(AND(V1322&gt;=75,W1322&gt;=60,W1322&lt;95),0.17,0)+IF(AND(V1322&gt;=75,W1322&gt;=95),0.1,0),
IF(AF1322="DoEVold15",IF(AND(V1322&lt;=40,W1322&lt;35),0.35,0)+IF(AND(V1322&lt;=40,W1322&gt;=35,W1322&lt;75),0.25,0)+IF(AND(V1322&lt;=40,W1322&gt;=75,W1322&lt;120),0.17,0)+IF(AND(V1322&lt;=40,W1322&gt;=120),0.15,0)+IF(AND(V1322&gt;40,V1322&lt;75,W1322&lt;25),0.35,0)+IF(AND(V1322&gt;=40,V1322&lt;75,W1322&gt;=25,W1322&lt;65),0.25,0)+IF(AND(V1322&gt;=40,V1322&lt;75,W1322&gt;=65,W1322&lt;100),0.17,0)+IF(AND(V1322&gt;=40,V1322&lt;75,W1322&gt;=100),0.1,0)+IF(AND(V1322&gt;=75,W1322&lt;25),0.35,0)+IF(AND(V1322&gt;=75,W1322&gt;=25,W1322&lt;60),0.25,0)+IF(AND(V1322&gt;=75,W1322&gt;=60,W1322&lt;95),0.17,0)+IF(AND(V1322&gt;=75,W1322&gt;=95),0.1,0),
IF(AF1322="DoEVba",IF(AND(V1322&lt;20,W1322&lt;105),0.2,0)+IF(AND(V1322&lt;20,W1322&gt;=105),0.15,0)+IF(AND(V1322&gt;=20,V1322&lt;40,W1322&lt;95),0.2,0)+IF(AND(V1322&gt;=20,V1322&lt;40,W1322&gt;=95,W1322&lt;150),0.15,0)+IF(AND(V1322&gt;=20,V1322&lt;40,W1322&gt;=150),0.12,0)+IF(AND(V1322&gt;=40,V1322&lt;75,W1322&lt;75),0.2,0)+IF(AND(V1322&gt;=40,V1322&lt;75,W1322&gt;=75,W1322&lt;120),0.15,0)+IF(AND(V1322&gt;=40,V1322&lt;75,W1322&gt;=120),0.12,0)+IF(AND(V1322&gt;=75,V1322&lt;175,W1322&lt;65),0.2,0)+IF(AND(V1322&gt;=75,V1322&lt;175,W1322&gt;=65,W1322&lt;110),0.15,0)+IF(AND(V1322&gt;=75,V1322&lt;175,W1322&gt;=110),0.12,0)+IF(AND(V1322&gt;=175,W1322&lt;55),0.2,0)+IF(AND(V1322&gt;=175,W1322&gt;=55,W1322&lt;95),0.15,0)+IF(AND(V1322&gt;=175,W1322&gt;=95),0.12,0),
IF(AF1322="DoEVku",IF(AND(V1322&lt;20,W1322&lt;55),0.23,0)+IF(AND(V1322&lt;20,W1322&gt;=55,W1322&lt;105),0.2,0)+IF(AND(V1322&lt;20,W1322&gt;=105),0.17,0)+IF(AND(V1322&gt;=20,V1322&lt;40,W1322&lt;45),0.23,0)+IF(AND(V1322&gt;=20,V1322&lt;40,W1322&gt;=45,W1322&lt;95),0.2,0)+IF(AND(V1322&gt;=20,V1322&lt;40,W1322&gt;=95,W1322&lt;=150),0.17,0)+IF(AND(V1322&gt;=20,V1322&lt;40,W1322&gt;=150),0.12,0)+IF(AND(V1322&gt;=40,V1322&lt;75,W1322&lt;35),0.23,0)+IF(AND(V1322&gt;=40,V1322&lt;75,W1322&gt;=35,W1322&lt;75),0.2,0)+IF(AND(V1322&gt;=40,V1322&lt;75,W1322&gt;=75,W1322&lt;120),0.17,0)+IF(AND(V1322&gt;=40,V1322&lt;75,W1322&gt;=120),0.12,0)+IF(AND(V1322&gt;=75,V1322&lt;175,W1322&lt;35),0.23,0)+IF(AND(V1322&gt;=75,V1322&lt;=175,W1322&gt;=35,W1322&lt;65),0.2,0)+IF(AND(V1322&gt;=75,V1322&lt;=175,W1322&gt;=65,W1322&lt;110),0.17,0)+IF(AND(V1322&gt;=75,V1322&lt;=175,W1322&gt;=110),0.12,0)+IF(AND(V1322&gt;175,W1322&lt;25),0.23,0)+IF(AND(V1322&gt;175,W1322&gt;=25,W1322&lt;55),0.2,0)+IF(AND(V1322&gt;175,W1322&gt;=55,W1322&lt;95),0.17,0)+IF(AND(V1322&gt;175,W1322&gt;=95),0.12,0),
IF(AF1322="DoEVs1",IF(AND(V1322&lt;20,W1322&lt;55),0.3,0)+IF(AND(V1322&lt;20,W1322&gt;=55,W1322&lt;105),0.23,0)+IF(AND(V1322&lt;20,W1322&gt;=105),0.17,0)+IF(AND(V1322&gt;=20,V1322&lt;40,W1322&lt;45),0.3,0)+IF(AND(V1322&gt;=20,V1322&lt;40,W1322&gt;=45,W1322&lt;95),0.23,0)+IF(AND(V1322&gt;=20,V1322&lt;40,W1322&gt;=95,W1322&lt;=150),0.17,0)+IF(AND(V1322&gt;=20,V1322&lt;40,W1322&gt;=150),0.12,0)+IF(AND(V1322&gt;=40,V1322&lt;75,W1322&lt;35),0.3,0)+IF(AND(V1322&gt;=40,V1322&lt;75,W1322&gt;=35,W1322&lt;75),0.23,0)+IF(AND(V1322&gt;=40,V1322&lt;75,W1322&gt;=75,W1322&lt;120),0.17,0)+IF(AND(V1322&gt;=40,V1322&lt;75,W1322&gt;=120),0.12,0)+IF(AND(V1322&gt;=75,V1322&lt;175,W1322&lt;35),0.3,0)+IF(AND(V1322&gt;=75,V1322&lt;=175,W1322&gt;=35,W1322&lt;65),0.23,0)+IF(AND(V1322&gt;=75,V1322&lt;=175,W1322&gt;=65,W1322&lt;110),0.17,0)+IF(AND(V1322&gt;=75,V1322&lt;=175,W1322&gt;=110),0.12,0)+IF(AND(V1322&gt;175,W1322&lt;25),0.3,0)+IF(AND(V1322&gt;175,W1322&gt;=25,W1322&lt;55),0.23,0)+IF(AND(V1322&gt;175,W1322&gt;=55,W1322&lt;95),0.17,0)+IF(AND(V1322&gt;175,W1322&gt;=95),0.12,0),
IF(AF1322="DoEVsu",IF(AND(V1322&lt;20,W1322&lt;55),0.3,0)+IF(AND(V1322&lt;20,W1322&gt;=55,W1322&lt;105),0.23,0)+IF(AND(V1322&lt;20,W1322&gt;=105),0.17,0)+IF(AND(V1322&gt;=20,V1322&lt;40,W1322&lt;45),0.3,0)+IF(AND(V1322&gt;=20,V1322&lt;40,W1322&gt;=45,W1322&lt;95),0.23,0)+IF(AND(V1322&gt;=20,V1322&lt;40,W1322&gt;=95,W1322&lt;=250),0.17,0)+IF(AND(V1322&gt;=20,V1322&lt;40,W1322&gt;=250),0.12,0)+IF(AND(V1322&gt;=40,V1322&lt;75,W1322&lt;35),0.3,0)+IF(AND(V1322&gt;=40,V1322&lt;75,W1322&gt;=35,W1322&lt;75),0.23,0)+IF(AND(V1322&gt;=40,V1322&lt;75,W1322&gt;=75,W1322&lt;120),0.17,0)+IF(AND(V1322&gt;=40,V1322&lt;75,W1322&gt;=120),0.12,0)+IF(AND(V1322&gt;=75,V1322&lt;175,W1322&lt;35),0.3,0)+IF(AND(V1322&gt;=75,V1322&lt;=175,W1322&gt;=35,W1322&lt;65),0.23,0)+IF(AND(V1322&gt;=75,V1322&lt;=175,W1322&gt;=65,W1322&lt;110),0.17,0)+IF(AND(V1322&gt;=75,V1322&lt;=175,W1322&gt;=110),0.12,0)+IF(AND(V1322&gt;175,W1322&lt;25),0.3,0)+IF(AND(V1322&gt;175,W1322&gt;=25,W1322&lt;55),0.23,0)+IF(AND(V1322&gt;175,W1322&gt;=55,W1322&lt;95),0.17,0)+IF(AND(V1322&gt;175,W1322&gt;=95),0.12,0),
IF(AF1322="DoEVni",IF(AND(V1322&lt;20,W1322&lt;55),0.3,0)+IF(AND(V1322&lt;20,W1322&gt;=55,W1322&lt;105),0.23,0)+IF(AND(V1322&lt;20,W1322&gt;=105),0.17,0)+IF(AND(V1322&gt;=20,V1322&lt;40,W1322&lt;45),0.3,0)+IF(AND(V1322&gt;=20,V1322&lt;40,W1322&gt;=45,W1322&lt;95),0.23,0)+IF(AND(V1322&gt;=20,V1322&lt;40,W1322&gt;=95,W1322&lt;=200),0.17,0)+IF(AND(V1322&gt;=20,V1322&lt;40,W1322&gt;=200),0.12,0)+IF(AND(V1322&gt;=40,V1322&lt;75,W1322&lt;35),0.3,0)+IF(AND(V1322&gt;=40,V1322&lt;75,W1322&gt;=35,W1322&lt;75),0.23,0)+IF(AND(V1322&gt;=40,V1322&lt;75,W1322&gt;=75,W1322&lt;120),0.17,0)+IF(AND(V1322&gt;=40,V1322&lt;75,W1322&gt;=120),0.12,0)+IF(AND(V1322&gt;=75,V1322&lt;175,W1322&lt;35),0.3,0)+IF(AND(V1322&gt;=75,V1322&lt;=175,W1322&gt;=35,W1322&lt;65),0.23,0)+IF(AND(V1322&gt;=75,V1322&lt;=175,W1322&gt;=65,W1322&lt;110),0.17,0)+IF(AND(V1322&gt;=75,V1322&lt;=175,W1322&gt;=110),0.12,0)+IF(AND(V1322&gt;175,W1322&lt;25),0.3,0)+IF(AND(V1322&gt;175,W1322&gt;=25,W1322&lt;55),0.23,0)+IF(AND(V1322&gt;175,W1322&gt;=55,W1322&lt;95),0.17,0)+IF(AND(V1322&gt;175,W1322&gt;=95),0.12,0),
IF(AF1322="DoEVLo",IF(AND(V1322&lt;20,W1322&lt;55),0.25,0)+IF(AND(V1322&lt;20,W1322&gt;=55,W1322&lt;105),0.2,0)+IF(AND(V1322&lt;20,W1322&gt;=105),0.15,0)+IF(AND(V1322&gt;=20,V1322&lt;40,W1322&lt;45),0.25,0)+IF(AND(V1322&gt;=20,V1322&lt;40,W1322&gt;=45,W1322&lt;95),0.2,0)+IF(AND(V1322&gt;=20,V1322&lt;40,W1322&gt;=95),0.15,0)+IF(AND(V1322&gt;=40,V1322&lt;75,W1322&lt;35),0.25,0)+IF(AND(V1322&gt;=40,V1322&lt;75,W1322&gt;=35,W1322&lt;75),0.2,0)+IF(AND(V1322&gt;=40,V1322&lt;75,W1322&gt;=75,W1322&lt;120),0.15,0)+IF(AND(V1322&gt;=40,V1322&lt;75,W1322&gt;=120),0.1,0)+IF(AND(V1322&gt;=75,V1322&lt;175,W1322&lt;35),0.25,0)+IF(AND(V1322&gt;=75,V1322&lt;=175,W1322&gt;=35,W1322&lt;65),0.2,0)+IF(AND(V1322&gt;=75,V1322&lt;=175,W1322&gt;=65,W1322&lt;110),0.15,0)+IF(AND(V1322&gt;=75,V1322&lt;=175,W1322&gt;=110),0.1,0)+IF(AND(V1322&gt;175,W1322&lt;25),0.25,0)+IF(AND(V1322&gt;175,W1322&gt;=25,W1322&lt;55),0.2,0)+IF(AND(V1322&gt;175,W1322&gt;=55,W1322&lt;95),0.15,0)+IF(AND(V1322&gt;175,W1322&gt;=95),0.1,0))))))))))))))))))</f>
        <v>0.1</v>
      </c>
      <c r="Y1322" s="30">
        <f>IF(AG1322="None",0,IF(AG1322="Fix5",0.05, IF(AG1322="Fix6.25",0.0625,IF(AG1322="Fix3.75",0.0375,IF(AG1322="Fix10",0.1,IF(AG1322="Fix3",0.03,0))))))</f>
        <v>0</v>
      </c>
      <c r="Z1322" s="35">
        <f>T1322-AA1322-AB1322</f>
        <v>107.1</v>
      </c>
      <c r="AA1322" s="29">
        <f>IF(AD1322="EUR",((T1322-R1322)*X1322)*U1322+(R1322*X1322),(T1322*X1322))</f>
        <v>11.9</v>
      </c>
      <c r="AB1322" s="36">
        <f>IF(AD1322="EUR",((T1322-R1322)*Y1322)*U1322+(R1322*Y1322),(T1322*Y1322))</f>
        <v>0</v>
      </c>
      <c r="AC1322" s="37" t="b">
        <v>1</v>
      </c>
      <c r="AD1322" s="37" t="s">
        <v>38</v>
      </c>
      <c r="AE1322" s="37" t="s">
        <v>38</v>
      </c>
      <c r="AF1322" s="37" t="str">
        <f t="array" ref="AF1322">INDEX('Deal Info'!D:D, MATCH(A1322,'Deal Info'!A:A, 0))</f>
        <v>Fix10</v>
      </c>
      <c r="AG1322" s="38" t="str">
        <f t="array" ref="AG1322">INDEX('Deal Info'!G:G, MATCH(A1322,'Deal Info'!A:A, 0))</f>
        <v>None</v>
      </c>
    </row>
    <row r="1323" spans="1:33" ht="14.25" hidden="1" x14ac:dyDescent="0.2">
      <c r="A1323" s="18" t="str">
        <f t="array" ref="A1323">IF(G1323='Room Info'!$B$1, INDEX('Room Info'!$A$2:$A2446, MATCH(B1323,'Room Info'!$B$2:$B2446, 0)),IF(G1323='Room Info'!$C$1, INDEX('Room Info'!$A$2:$A2446, MATCH(B1323,'Room Info'!$C$2:$C2446, 0)),IF(G1323='Room Info'!$D$1, INDEX('Room Info'!$A$2:$A2446, MATCH(B1323,'Room Info'!$D$2:$D2446, 0)),IF(G1323='Room Info'!$E$1, INDEX('Room Info'!$A$2:$A2446, MATCH(B1323,'Room Info'!$E$2:$E2446, 0)),IF(G1323='Room Info'!$F$1, INDEX('Room Info'!$A$2:$A2446, MATCH(B1323,'Room Info'!$F$2:$F2446, 0)),IF(G1323='Room Info'!$H$1, INDEX('Room Info'!$A$2:$A2446, MATCH(B1323,'Room Info'!$H$2:$H2446, 0)),IF(G1323='Room Info'!$G$1, INDEX('Room Info'!$A$2:$A2446, MATCH(B1323,'Room Info'!$G$2:$G2446, 0)))))))))</f>
        <v>volkovsky</v>
      </c>
      <c r="B1323" s="45" t="s">
        <v>206</v>
      </c>
      <c r="C1323" s="77">
        <v>44641</v>
      </c>
      <c r="D1323" s="77">
        <v>44671</v>
      </c>
      <c r="E1323" s="47">
        <v>44652</v>
      </c>
      <c r="F1323" s="48" t="s">
        <v>34</v>
      </c>
      <c r="G1323" s="54" t="s">
        <v>35</v>
      </c>
      <c r="H1323" s="91" t="s">
        <v>88</v>
      </c>
      <c r="I1323" s="49" t="s">
        <v>37</v>
      </c>
      <c r="J1323" s="50">
        <v>250</v>
      </c>
      <c r="K1323" s="51">
        <v>673</v>
      </c>
      <c r="L1323" s="52">
        <v>12250</v>
      </c>
      <c r="M1323" s="53">
        <v>2476</v>
      </c>
      <c r="N1323" s="28">
        <f>K1323*J1323</f>
        <v>168250</v>
      </c>
      <c r="O1323" s="54">
        <v>13328</v>
      </c>
      <c r="P1323" s="29">
        <v>19.8038633</v>
      </c>
      <c r="Q1323" s="55"/>
      <c r="R1323" s="31">
        <f>M1323+Q1323</f>
        <v>2476</v>
      </c>
      <c r="S1323" s="56">
        <v>-1875</v>
      </c>
      <c r="T1323" s="32">
        <f>R1323+S1323+IF(F1323="Without EV deal",L1323,0)</f>
        <v>601</v>
      </c>
      <c r="U1323" s="57"/>
      <c r="V1323" s="58"/>
      <c r="W1323" s="58"/>
      <c r="X1323" s="30">
        <f>IF(AF1323="DoEV",IF(AND(V1323&lt;20,W1323&lt;55),0.3,0)+IF(AND(V1323&lt;20,W1323&gt;=55,W1323&lt;105),0.23,0)+IF(AND(V1323&lt;20,W1323&gt;=105),0.17,0)+IF(AND(V1323&gt;=20,V1323&lt;40,W1323&lt;45),0.3,0)+IF(AND(V1323&gt;=20,V1323&lt;40,W1323&gt;=45,W1323&lt;95),0.23,0)+IF(AND(V1323&gt;=20,V1323&lt;40,W1323&gt;=95),0.17,0)+IF(AND(V1323&gt;=40,V1323&lt;75,W1323&lt;35),0.3,0)+IF(AND(V1323&gt;=40,V1323&lt;75,W1323&gt;=35,W1323&lt;75),0.23,0)+IF(AND(V1323&gt;=40,V1323&lt;75,W1323&gt;=75,W1323&lt;120),0.17,0)+IF(AND(V1323&gt;=40,V1323&lt;75,W1323&gt;=120),0.12,0)+IF(AND(V1323&gt;=75,V1323&lt;175,W1323&lt;35),0.3,0)+IF(AND(V1323&gt;=75,V1323&lt;=175,W1323&gt;=35,W1323&lt;65),0.23,0)+IF(AND(V1323&gt;=75,V1323&lt;=175,W1323&gt;=65,W1323&lt;110),0.17,0)+IF(AND(V1323&gt;=75,V1323&lt;=175,W1323&gt;=110),0.12,0)+IF(AND(V1323&gt;175,W1323&lt;25),0.3,0)+IF(AND(V1323&gt;175,W1323&gt;=25,W1323&lt;55),0.23,0)+IF(AND(V1323&gt;175,W1323&gt;=55,W1323&lt;95),0.17,0)+IF(AND(V1323&gt;175,W1323&gt;=95),0.12,0),
IF(AF1323="Fix15",0.15,
IF(AF1323="Fix18.75",0.1875,
IF(AF1323="Fix11.25",0.1125,
IF(AF1323="Fix10",0.1,
IF(AF1323="Fix9",0.09,
IF(AF1323="Fix19",0.19,
IF(AF1323="DoEV2017",IF(AND(W1323&lt;74),0.2,0)+IF(AND(W1323&gt;=74),0.17,0),
IF(AF1323="SF",IF(AND(V1323&lt;20,W1323&lt;89),0.3,0)+IF(AND(V1323&lt;20,W1323&gt;=89),0.25,0)+IF(AND(V1323&gt;=20,V1323&lt;40,W1323&lt;74),0.3,0)+IF(AND(V1323&gt;=20,V1323&lt;40,W1323&gt;=75),0.22,0)+IF(AND(V1323&gt;=40,V1323&lt;75,W1323&lt;75),0.26,0)+IF(AND(V1323&gt;=40,V1323&lt;75,W1323&gt;=75),0.22,0)+IF(V1323&gt;=75,0.22,0),
IF(AF1323="DoEVold",IF(AND(V1323&lt;40,W1323&lt;35),0.35,0)+IF(AND(V1323&lt;40,W1323&gt;=35,W1323&lt;75),0.25,0)+IF(AND(V1323&lt;40,W1323&gt;=75),0.17,0)+IF(AND(V1323&gt;=40,V1323&lt;75,W1323&lt;25),0.35,0)+IF(AND(V1323&gt;=40,V1323&lt;75,W1323&gt;=25,W1323&lt;65),0.25,0)+IF(AND(V1323&gt;=40,V1323&lt;75,W1323&gt;=65,W1323&lt;100),0.17,0)+IF(AND(V1323&gt;=40,V1323&lt;75,W1323&gt;=100),0.1,0)+IF(AND(V1323&gt;=75,W1323&lt;25),0.35,0)+IF(AND(V1323&gt;=75,W1323&gt;=25,W1323&lt;60),0.25,0)+IF(AND(V1323&gt;=75,W1323&gt;=60,W1323&lt;95),0.17,0)+IF(AND(V1323&gt;=75,W1323&gt;=95),0.1,0),
IF(AF1323="DoEVold15",IF(AND(V1323&lt;=40,W1323&lt;35),0.35,0)+IF(AND(V1323&lt;=40,W1323&gt;=35,W1323&lt;75),0.25,0)+IF(AND(V1323&lt;=40,W1323&gt;=75,W1323&lt;120),0.17,0)+IF(AND(V1323&lt;=40,W1323&gt;=120),0.15,0)+IF(AND(V1323&gt;40,V1323&lt;75,W1323&lt;25),0.35,0)+IF(AND(V1323&gt;=40,V1323&lt;75,W1323&gt;=25,W1323&lt;65),0.25,0)+IF(AND(V1323&gt;=40,V1323&lt;75,W1323&gt;=65,W1323&lt;100),0.17,0)+IF(AND(V1323&gt;=40,V1323&lt;75,W1323&gt;=100),0.1,0)+IF(AND(V1323&gt;=75,W1323&lt;25),0.35,0)+IF(AND(V1323&gt;=75,W1323&gt;=25,W1323&lt;60),0.25,0)+IF(AND(V1323&gt;=75,W1323&gt;=60,W1323&lt;95),0.17,0)+IF(AND(V1323&gt;=75,W1323&gt;=95),0.1,0),
IF(AF1323="DoEVba",IF(AND(V1323&lt;20,W1323&lt;105),0.2,0)+IF(AND(V1323&lt;20,W1323&gt;=105),0.15,0)+IF(AND(V1323&gt;=20,V1323&lt;40,W1323&lt;95),0.2,0)+IF(AND(V1323&gt;=20,V1323&lt;40,W1323&gt;=95,W1323&lt;150),0.15,0)+IF(AND(V1323&gt;=20,V1323&lt;40,W1323&gt;=150),0.12,0)+IF(AND(V1323&gt;=40,V1323&lt;75,W1323&lt;75),0.2,0)+IF(AND(V1323&gt;=40,V1323&lt;75,W1323&gt;=75,W1323&lt;120),0.15,0)+IF(AND(V1323&gt;=40,V1323&lt;75,W1323&gt;=120),0.12,0)+IF(AND(V1323&gt;=75,V1323&lt;175,W1323&lt;65),0.2,0)+IF(AND(V1323&gt;=75,V1323&lt;175,W1323&gt;=65,W1323&lt;110),0.15,0)+IF(AND(V1323&gt;=75,V1323&lt;175,W1323&gt;=110),0.12,0)+IF(AND(V1323&gt;=175,W1323&lt;55),0.2,0)+IF(AND(V1323&gt;=175,W1323&gt;=55,W1323&lt;95),0.15,0)+IF(AND(V1323&gt;=175,W1323&gt;=95),0.12,0),
IF(AF1323="DoEVku",IF(AND(V1323&lt;20,W1323&lt;55),0.23,0)+IF(AND(V1323&lt;20,W1323&gt;=55,W1323&lt;105),0.2,0)+IF(AND(V1323&lt;20,W1323&gt;=105),0.17,0)+IF(AND(V1323&gt;=20,V1323&lt;40,W1323&lt;45),0.23,0)+IF(AND(V1323&gt;=20,V1323&lt;40,W1323&gt;=45,W1323&lt;95),0.2,0)+IF(AND(V1323&gt;=20,V1323&lt;40,W1323&gt;=95,W1323&lt;=150),0.17,0)+IF(AND(V1323&gt;=20,V1323&lt;40,W1323&gt;=150),0.12,0)+IF(AND(V1323&gt;=40,V1323&lt;75,W1323&lt;35),0.23,0)+IF(AND(V1323&gt;=40,V1323&lt;75,W1323&gt;=35,W1323&lt;75),0.2,0)+IF(AND(V1323&gt;=40,V1323&lt;75,W1323&gt;=75,W1323&lt;120),0.17,0)+IF(AND(V1323&gt;=40,V1323&lt;75,W1323&gt;=120),0.12,0)+IF(AND(V1323&gt;=75,V1323&lt;175,W1323&lt;35),0.23,0)+IF(AND(V1323&gt;=75,V1323&lt;=175,W1323&gt;=35,W1323&lt;65),0.2,0)+IF(AND(V1323&gt;=75,V1323&lt;=175,W1323&gt;=65,W1323&lt;110),0.17,0)+IF(AND(V1323&gt;=75,V1323&lt;=175,W1323&gt;=110),0.12,0)+IF(AND(V1323&gt;175,W1323&lt;25),0.23,0)+IF(AND(V1323&gt;175,W1323&gt;=25,W1323&lt;55),0.2,0)+IF(AND(V1323&gt;175,W1323&gt;=55,W1323&lt;95),0.17,0)+IF(AND(V1323&gt;175,W1323&gt;=95),0.12,0),
IF(AF1323="DoEVs1",IF(AND(V1323&lt;20,W1323&lt;55),0.3,0)+IF(AND(V1323&lt;20,W1323&gt;=55,W1323&lt;105),0.23,0)+IF(AND(V1323&lt;20,W1323&gt;=105),0.17,0)+IF(AND(V1323&gt;=20,V1323&lt;40,W1323&lt;45),0.3,0)+IF(AND(V1323&gt;=20,V1323&lt;40,W1323&gt;=45,W1323&lt;95),0.23,0)+IF(AND(V1323&gt;=20,V1323&lt;40,W1323&gt;=95,W1323&lt;=150),0.17,0)+IF(AND(V1323&gt;=20,V1323&lt;40,W1323&gt;=150),0.12,0)+IF(AND(V1323&gt;=40,V1323&lt;75,W1323&lt;35),0.3,0)+IF(AND(V1323&gt;=40,V1323&lt;75,W1323&gt;=35,W1323&lt;75),0.23,0)+IF(AND(V1323&gt;=40,V1323&lt;75,W1323&gt;=75,W1323&lt;120),0.17,0)+IF(AND(V1323&gt;=40,V1323&lt;75,W1323&gt;=120),0.12,0)+IF(AND(V1323&gt;=75,V1323&lt;175,W1323&lt;35),0.3,0)+IF(AND(V1323&gt;=75,V1323&lt;=175,W1323&gt;=35,W1323&lt;65),0.23,0)+IF(AND(V1323&gt;=75,V1323&lt;=175,W1323&gt;=65,W1323&lt;110),0.17,0)+IF(AND(V1323&gt;=75,V1323&lt;=175,W1323&gt;=110),0.12,0)+IF(AND(V1323&gt;175,W1323&lt;25),0.3,0)+IF(AND(V1323&gt;175,W1323&gt;=25,W1323&lt;55),0.23,0)+IF(AND(V1323&gt;175,W1323&gt;=55,W1323&lt;95),0.17,0)+IF(AND(V1323&gt;175,W1323&gt;=95),0.12,0),
IF(AF1323="DoEVsu",IF(AND(V1323&lt;20,W1323&lt;55),0.3,0)+IF(AND(V1323&lt;20,W1323&gt;=55,W1323&lt;105),0.23,0)+IF(AND(V1323&lt;20,W1323&gt;=105),0.17,0)+IF(AND(V1323&gt;=20,V1323&lt;40,W1323&lt;45),0.3,0)+IF(AND(V1323&gt;=20,V1323&lt;40,W1323&gt;=45,W1323&lt;95),0.23,0)+IF(AND(V1323&gt;=20,V1323&lt;40,W1323&gt;=95,W1323&lt;=250),0.17,0)+IF(AND(V1323&gt;=20,V1323&lt;40,W1323&gt;=250),0.12,0)+IF(AND(V1323&gt;=40,V1323&lt;75,W1323&lt;35),0.3,0)+IF(AND(V1323&gt;=40,V1323&lt;75,W1323&gt;=35,W1323&lt;75),0.23,0)+IF(AND(V1323&gt;=40,V1323&lt;75,W1323&gt;=75,W1323&lt;120),0.17,0)+IF(AND(V1323&gt;=40,V1323&lt;75,W1323&gt;=120),0.12,0)+IF(AND(V1323&gt;=75,V1323&lt;175,W1323&lt;35),0.3,0)+IF(AND(V1323&gt;=75,V1323&lt;=175,W1323&gt;=35,W1323&lt;65),0.23,0)+IF(AND(V1323&gt;=75,V1323&lt;=175,W1323&gt;=65,W1323&lt;110),0.17,0)+IF(AND(V1323&gt;=75,V1323&lt;=175,W1323&gt;=110),0.12,0)+IF(AND(V1323&gt;175,W1323&lt;25),0.3,0)+IF(AND(V1323&gt;175,W1323&gt;=25,W1323&lt;55),0.23,0)+IF(AND(V1323&gt;175,W1323&gt;=55,W1323&lt;95),0.17,0)+IF(AND(V1323&gt;175,W1323&gt;=95),0.12,0),
IF(AF1323="DoEVni",IF(AND(V1323&lt;20,W1323&lt;55),0.3,0)+IF(AND(V1323&lt;20,W1323&gt;=55,W1323&lt;105),0.23,0)+IF(AND(V1323&lt;20,W1323&gt;=105),0.17,0)+IF(AND(V1323&gt;=20,V1323&lt;40,W1323&lt;45),0.3,0)+IF(AND(V1323&gt;=20,V1323&lt;40,W1323&gt;=45,W1323&lt;95),0.23,0)+IF(AND(V1323&gt;=20,V1323&lt;40,W1323&gt;=95,W1323&lt;=200),0.17,0)+IF(AND(V1323&gt;=20,V1323&lt;40,W1323&gt;=200),0.12,0)+IF(AND(V1323&gt;=40,V1323&lt;75,W1323&lt;35),0.3,0)+IF(AND(V1323&gt;=40,V1323&lt;75,W1323&gt;=35,W1323&lt;75),0.23,0)+IF(AND(V1323&gt;=40,V1323&lt;75,W1323&gt;=75,W1323&lt;120),0.17,0)+IF(AND(V1323&gt;=40,V1323&lt;75,W1323&gt;=120),0.12,0)+IF(AND(V1323&gt;=75,V1323&lt;175,W1323&lt;35),0.3,0)+IF(AND(V1323&gt;=75,V1323&lt;=175,W1323&gt;=35,W1323&lt;65),0.23,0)+IF(AND(V1323&gt;=75,V1323&lt;=175,W1323&gt;=65,W1323&lt;110),0.17,0)+IF(AND(V1323&gt;=75,V1323&lt;=175,W1323&gt;=110),0.12,0)+IF(AND(V1323&gt;175,W1323&lt;25),0.3,0)+IF(AND(V1323&gt;175,W1323&gt;=25,W1323&lt;55),0.23,0)+IF(AND(V1323&gt;175,W1323&gt;=55,W1323&lt;95),0.17,0)+IF(AND(V1323&gt;175,W1323&gt;=95),0.12,0),
IF(AF1323="DoEVLo",IF(AND(V1323&lt;20,W1323&lt;55),0.25,0)+IF(AND(V1323&lt;20,W1323&gt;=55,W1323&lt;105),0.2,0)+IF(AND(V1323&lt;20,W1323&gt;=105),0.15,0)+IF(AND(V1323&gt;=20,V1323&lt;40,W1323&lt;45),0.25,0)+IF(AND(V1323&gt;=20,V1323&lt;40,W1323&gt;=45,W1323&lt;95),0.2,0)+IF(AND(V1323&gt;=20,V1323&lt;40,W1323&gt;=95),0.15,0)+IF(AND(V1323&gt;=40,V1323&lt;75,W1323&lt;35),0.25,0)+IF(AND(V1323&gt;=40,V1323&lt;75,W1323&gt;=35,W1323&lt;75),0.2,0)+IF(AND(V1323&gt;=40,V1323&lt;75,W1323&gt;=75,W1323&lt;120),0.15,0)+IF(AND(V1323&gt;=40,V1323&lt;75,W1323&gt;=120),0.1,0)+IF(AND(V1323&gt;=75,V1323&lt;175,W1323&lt;35),0.25,0)+IF(AND(V1323&gt;=75,V1323&lt;=175,W1323&gt;=35,W1323&lt;65),0.2,0)+IF(AND(V1323&gt;=75,V1323&lt;=175,W1323&gt;=65,W1323&lt;110),0.15,0)+IF(AND(V1323&gt;=75,V1323&lt;=175,W1323&gt;=110),0.1,0)+IF(AND(V1323&gt;175,W1323&lt;25),0.25,0)+IF(AND(V1323&gt;175,W1323&gt;=25,W1323&lt;55),0.2,0)+IF(AND(V1323&gt;175,W1323&gt;=55,W1323&lt;95),0.15,0)+IF(AND(V1323&gt;175,W1323&gt;=95),0.1,0))))))))))))))))))</f>
        <v>0.1</v>
      </c>
      <c r="Y1323" s="30">
        <f>IF(AG1323="None",0,IF(AG1323="Fix5",0.05, IF(AG1323="Fix6.25",0.0625,IF(AG1323="Fix3.75",0.0375,IF(AG1323="Fix10",0.1,IF(AG1323="Fix3",0.03,0))))))</f>
        <v>0</v>
      </c>
      <c r="Z1323" s="35">
        <f>T1323-AA1323-AB1323</f>
        <v>540.9</v>
      </c>
      <c r="AA1323" s="29">
        <f>IF(AD1323="EUR",((T1323-R1323)*X1323)*U1323+(R1323*X1323),(T1323*X1323))</f>
        <v>60.1</v>
      </c>
      <c r="AB1323" s="36">
        <f>IF(AD1323="EUR",((T1323-R1323)*Y1323)*U1323+(R1323*Y1323),(T1323*Y1323))</f>
        <v>0</v>
      </c>
      <c r="AC1323" s="37" t="b">
        <v>1</v>
      </c>
      <c r="AD1323" s="37" t="s">
        <v>38</v>
      </c>
      <c r="AE1323" s="37" t="s">
        <v>38</v>
      </c>
      <c r="AF1323" s="37" t="str">
        <f t="array" ref="AF1323">INDEX('Deal Info'!D:D, MATCH(A1323,'Deal Info'!A:A, 0))</f>
        <v>Fix10</v>
      </c>
      <c r="AG1323" s="38" t="str">
        <f t="array" ref="AG1323">INDEX('Deal Info'!G:G, MATCH(A1323,'Deal Info'!A:A, 0))</f>
        <v>None</v>
      </c>
    </row>
    <row r="1324" spans="1:33" ht="14.25" hidden="1" x14ac:dyDescent="0.2">
      <c r="A1324" s="18" t="str">
        <f t="array" ref="A1324">IF(G1324='Room Info'!$B$1, INDEX('Room Info'!$A$2:$A2446, MATCH(B1324,'Room Info'!$B$2:$B2446, 0)),IF(G1324='Room Info'!$C$1, INDEX('Room Info'!$A$2:$A2446, MATCH(B1324,'Room Info'!$C$2:$C2446, 0)),IF(G1324='Room Info'!$D$1, INDEX('Room Info'!$A$2:$A2446, MATCH(B1324,'Room Info'!$D$2:$D2446, 0)),IF(G1324='Room Info'!$E$1, INDEX('Room Info'!$A$2:$A2446, MATCH(B1324,'Room Info'!$E$2:$E2446, 0)),IF(G1324='Room Info'!$F$1, INDEX('Room Info'!$A$2:$A2446, MATCH(B1324,'Room Info'!$F$2:$F2446, 0)),IF(G1324='Room Info'!$H$1, INDEX('Room Info'!$A$2:$A2446, MATCH(B1324,'Room Info'!$H$2:$H2446, 0)),IF(G1324='Room Info'!$G$1, INDEX('Room Info'!$A$2:$A2446, MATCH(B1324,'Room Info'!$G$2:$G2446, 0)))))))))</f>
        <v>volkovsky</v>
      </c>
      <c r="B1324" s="45" t="s">
        <v>206</v>
      </c>
      <c r="C1324" s="77">
        <v>44641</v>
      </c>
      <c r="D1324" s="77">
        <v>44671</v>
      </c>
      <c r="E1324" s="47">
        <v>44652</v>
      </c>
      <c r="F1324" s="48" t="s">
        <v>34</v>
      </c>
      <c r="G1324" s="45" t="s">
        <v>35</v>
      </c>
      <c r="H1324" s="91" t="s">
        <v>148</v>
      </c>
      <c r="I1324" s="49" t="s">
        <v>44</v>
      </c>
      <c r="J1324" s="74">
        <v>250</v>
      </c>
      <c r="K1324" s="75">
        <v>107</v>
      </c>
      <c r="L1324" s="72">
        <v>1500</v>
      </c>
      <c r="M1324" s="76">
        <v>394</v>
      </c>
      <c r="N1324" s="28">
        <f>K1324*J1324</f>
        <v>26750</v>
      </c>
      <c r="O1324" s="45">
        <v>-117</v>
      </c>
      <c r="P1324" s="29">
        <v>-1.0934579440000001</v>
      </c>
      <c r="Q1324" s="55"/>
      <c r="R1324" s="31">
        <f>M1324+Q1324</f>
        <v>394</v>
      </c>
      <c r="S1324" s="73">
        <v>-1385</v>
      </c>
      <c r="T1324" s="32">
        <f>R1324+S1324+IF(F1324="Without EV deal",L1324,0)</f>
        <v>-991</v>
      </c>
      <c r="U1324" s="57"/>
      <c r="V1324" s="58"/>
      <c r="W1324" s="58"/>
      <c r="X1324" s="30">
        <f>IF(AF1324="DoEV",IF(AND(V1324&lt;20,W1324&lt;55),0.3,0)+IF(AND(V1324&lt;20,W1324&gt;=55,W1324&lt;105),0.23,0)+IF(AND(V1324&lt;20,W1324&gt;=105),0.17,0)+IF(AND(V1324&gt;=20,V1324&lt;40,W1324&lt;45),0.3,0)+IF(AND(V1324&gt;=20,V1324&lt;40,W1324&gt;=45,W1324&lt;95),0.23,0)+IF(AND(V1324&gt;=20,V1324&lt;40,W1324&gt;=95),0.17,0)+IF(AND(V1324&gt;=40,V1324&lt;75,W1324&lt;35),0.3,0)+IF(AND(V1324&gt;=40,V1324&lt;75,W1324&gt;=35,W1324&lt;75),0.23,0)+IF(AND(V1324&gt;=40,V1324&lt;75,W1324&gt;=75,W1324&lt;120),0.17,0)+IF(AND(V1324&gt;=40,V1324&lt;75,W1324&gt;=120),0.12,0)+IF(AND(V1324&gt;=75,V1324&lt;175,W1324&lt;35),0.3,0)+IF(AND(V1324&gt;=75,V1324&lt;=175,W1324&gt;=35,W1324&lt;65),0.23,0)+IF(AND(V1324&gt;=75,V1324&lt;=175,W1324&gt;=65,W1324&lt;110),0.17,0)+IF(AND(V1324&gt;=75,V1324&lt;=175,W1324&gt;=110),0.12,0)+IF(AND(V1324&gt;175,W1324&lt;25),0.3,0)+IF(AND(V1324&gt;175,W1324&gt;=25,W1324&lt;55),0.23,0)+IF(AND(V1324&gt;175,W1324&gt;=55,W1324&lt;95),0.17,0)+IF(AND(V1324&gt;175,W1324&gt;=95),0.12,0),
IF(AF1324="Fix15",0.15,
IF(AF1324="Fix18.75",0.1875,
IF(AF1324="Fix11.25",0.1125,
IF(AF1324="Fix10",0.1,
IF(AF1324="Fix9",0.09,
IF(AF1324="Fix19",0.19,
IF(AF1324="DoEV2017",IF(AND(W1324&lt;74),0.2,0)+IF(AND(W1324&gt;=74),0.17,0),
IF(AF1324="SF",IF(AND(V1324&lt;20,W1324&lt;89),0.3,0)+IF(AND(V1324&lt;20,W1324&gt;=89),0.25,0)+IF(AND(V1324&gt;=20,V1324&lt;40,W1324&lt;74),0.3,0)+IF(AND(V1324&gt;=20,V1324&lt;40,W1324&gt;=75),0.22,0)+IF(AND(V1324&gt;=40,V1324&lt;75,W1324&lt;75),0.26,0)+IF(AND(V1324&gt;=40,V1324&lt;75,W1324&gt;=75),0.22,0)+IF(V1324&gt;=75,0.22,0),
IF(AF1324="DoEVold",IF(AND(V1324&lt;40,W1324&lt;35),0.35,0)+IF(AND(V1324&lt;40,W1324&gt;=35,W1324&lt;75),0.25,0)+IF(AND(V1324&lt;40,W1324&gt;=75),0.17,0)+IF(AND(V1324&gt;=40,V1324&lt;75,W1324&lt;25),0.35,0)+IF(AND(V1324&gt;=40,V1324&lt;75,W1324&gt;=25,W1324&lt;65),0.25,0)+IF(AND(V1324&gt;=40,V1324&lt;75,W1324&gt;=65,W1324&lt;100),0.17,0)+IF(AND(V1324&gt;=40,V1324&lt;75,W1324&gt;=100),0.1,0)+IF(AND(V1324&gt;=75,W1324&lt;25),0.35,0)+IF(AND(V1324&gt;=75,W1324&gt;=25,W1324&lt;60),0.25,0)+IF(AND(V1324&gt;=75,W1324&gt;=60,W1324&lt;95),0.17,0)+IF(AND(V1324&gt;=75,W1324&gt;=95),0.1,0),
IF(AF1324="DoEVold15",IF(AND(V1324&lt;=40,W1324&lt;35),0.35,0)+IF(AND(V1324&lt;=40,W1324&gt;=35,W1324&lt;75),0.25,0)+IF(AND(V1324&lt;=40,W1324&gt;=75,W1324&lt;120),0.17,0)+IF(AND(V1324&lt;=40,W1324&gt;=120),0.15,0)+IF(AND(V1324&gt;40,V1324&lt;75,W1324&lt;25),0.35,0)+IF(AND(V1324&gt;=40,V1324&lt;75,W1324&gt;=25,W1324&lt;65),0.25,0)+IF(AND(V1324&gt;=40,V1324&lt;75,W1324&gt;=65,W1324&lt;100),0.17,0)+IF(AND(V1324&gt;=40,V1324&lt;75,W1324&gt;=100),0.1,0)+IF(AND(V1324&gt;=75,W1324&lt;25),0.35,0)+IF(AND(V1324&gt;=75,W1324&gt;=25,W1324&lt;60),0.25,0)+IF(AND(V1324&gt;=75,W1324&gt;=60,W1324&lt;95),0.17,0)+IF(AND(V1324&gt;=75,W1324&gt;=95),0.1,0),
IF(AF1324="DoEVba",IF(AND(V1324&lt;20,W1324&lt;105),0.2,0)+IF(AND(V1324&lt;20,W1324&gt;=105),0.15,0)+IF(AND(V1324&gt;=20,V1324&lt;40,W1324&lt;95),0.2,0)+IF(AND(V1324&gt;=20,V1324&lt;40,W1324&gt;=95,W1324&lt;150),0.15,0)+IF(AND(V1324&gt;=20,V1324&lt;40,W1324&gt;=150),0.12,0)+IF(AND(V1324&gt;=40,V1324&lt;75,W1324&lt;75),0.2,0)+IF(AND(V1324&gt;=40,V1324&lt;75,W1324&gt;=75,W1324&lt;120),0.15,0)+IF(AND(V1324&gt;=40,V1324&lt;75,W1324&gt;=120),0.12,0)+IF(AND(V1324&gt;=75,V1324&lt;175,W1324&lt;65),0.2,0)+IF(AND(V1324&gt;=75,V1324&lt;175,W1324&gt;=65,W1324&lt;110),0.15,0)+IF(AND(V1324&gt;=75,V1324&lt;175,W1324&gt;=110),0.12,0)+IF(AND(V1324&gt;=175,W1324&lt;55),0.2,0)+IF(AND(V1324&gt;=175,W1324&gt;=55,W1324&lt;95),0.15,0)+IF(AND(V1324&gt;=175,W1324&gt;=95),0.12,0),
IF(AF1324="DoEVku",IF(AND(V1324&lt;20,W1324&lt;55),0.23,0)+IF(AND(V1324&lt;20,W1324&gt;=55,W1324&lt;105),0.2,0)+IF(AND(V1324&lt;20,W1324&gt;=105),0.17,0)+IF(AND(V1324&gt;=20,V1324&lt;40,W1324&lt;45),0.23,0)+IF(AND(V1324&gt;=20,V1324&lt;40,W1324&gt;=45,W1324&lt;95),0.2,0)+IF(AND(V1324&gt;=20,V1324&lt;40,W1324&gt;=95,W1324&lt;=150),0.17,0)+IF(AND(V1324&gt;=20,V1324&lt;40,W1324&gt;=150),0.12,0)+IF(AND(V1324&gt;=40,V1324&lt;75,W1324&lt;35),0.23,0)+IF(AND(V1324&gt;=40,V1324&lt;75,W1324&gt;=35,W1324&lt;75),0.2,0)+IF(AND(V1324&gt;=40,V1324&lt;75,W1324&gt;=75,W1324&lt;120),0.17,0)+IF(AND(V1324&gt;=40,V1324&lt;75,W1324&gt;=120),0.12,0)+IF(AND(V1324&gt;=75,V1324&lt;175,W1324&lt;35),0.23,0)+IF(AND(V1324&gt;=75,V1324&lt;=175,W1324&gt;=35,W1324&lt;65),0.2,0)+IF(AND(V1324&gt;=75,V1324&lt;=175,W1324&gt;=65,W1324&lt;110),0.17,0)+IF(AND(V1324&gt;=75,V1324&lt;=175,W1324&gt;=110),0.12,0)+IF(AND(V1324&gt;175,W1324&lt;25),0.23,0)+IF(AND(V1324&gt;175,W1324&gt;=25,W1324&lt;55),0.2,0)+IF(AND(V1324&gt;175,W1324&gt;=55,W1324&lt;95),0.17,0)+IF(AND(V1324&gt;175,W1324&gt;=95),0.12,0),
IF(AF1324="DoEVs1",IF(AND(V1324&lt;20,W1324&lt;55),0.3,0)+IF(AND(V1324&lt;20,W1324&gt;=55,W1324&lt;105),0.23,0)+IF(AND(V1324&lt;20,W1324&gt;=105),0.17,0)+IF(AND(V1324&gt;=20,V1324&lt;40,W1324&lt;45),0.3,0)+IF(AND(V1324&gt;=20,V1324&lt;40,W1324&gt;=45,W1324&lt;95),0.23,0)+IF(AND(V1324&gt;=20,V1324&lt;40,W1324&gt;=95,W1324&lt;=150),0.17,0)+IF(AND(V1324&gt;=20,V1324&lt;40,W1324&gt;=150),0.12,0)+IF(AND(V1324&gt;=40,V1324&lt;75,W1324&lt;35),0.3,0)+IF(AND(V1324&gt;=40,V1324&lt;75,W1324&gt;=35,W1324&lt;75),0.23,0)+IF(AND(V1324&gt;=40,V1324&lt;75,W1324&gt;=75,W1324&lt;120),0.17,0)+IF(AND(V1324&gt;=40,V1324&lt;75,W1324&gt;=120),0.12,0)+IF(AND(V1324&gt;=75,V1324&lt;175,W1324&lt;35),0.3,0)+IF(AND(V1324&gt;=75,V1324&lt;=175,W1324&gt;=35,W1324&lt;65),0.23,0)+IF(AND(V1324&gt;=75,V1324&lt;=175,W1324&gt;=65,W1324&lt;110),0.17,0)+IF(AND(V1324&gt;=75,V1324&lt;=175,W1324&gt;=110),0.12,0)+IF(AND(V1324&gt;175,W1324&lt;25),0.3,0)+IF(AND(V1324&gt;175,W1324&gt;=25,W1324&lt;55),0.23,0)+IF(AND(V1324&gt;175,W1324&gt;=55,W1324&lt;95),0.17,0)+IF(AND(V1324&gt;175,W1324&gt;=95),0.12,0),
IF(AF1324="DoEVsu",IF(AND(V1324&lt;20,W1324&lt;55),0.3,0)+IF(AND(V1324&lt;20,W1324&gt;=55,W1324&lt;105),0.23,0)+IF(AND(V1324&lt;20,W1324&gt;=105),0.17,0)+IF(AND(V1324&gt;=20,V1324&lt;40,W1324&lt;45),0.3,0)+IF(AND(V1324&gt;=20,V1324&lt;40,W1324&gt;=45,W1324&lt;95),0.23,0)+IF(AND(V1324&gt;=20,V1324&lt;40,W1324&gt;=95,W1324&lt;=250),0.17,0)+IF(AND(V1324&gt;=20,V1324&lt;40,W1324&gt;=250),0.12,0)+IF(AND(V1324&gt;=40,V1324&lt;75,W1324&lt;35),0.3,0)+IF(AND(V1324&gt;=40,V1324&lt;75,W1324&gt;=35,W1324&lt;75),0.23,0)+IF(AND(V1324&gt;=40,V1324&lt;75,W1324&gt;=75,W1324&lt;120),0.17,0)+IF(AND(V1324&gt;=40,V1324&lt;75,W1324&gt;=120),0.12,0)+IF(AND(V1324&gt;=75,V1324&lt;175,W1324&lt;35),0.3,0)+IF(AND(V1324&gt;=75,V1324&lt;=175,W1324&gt;=35,W1324&lt;65),0.23,0)+IF(AND(V1324&gt;=75,V1324&lt;=175,W1324&gt;=65,W1324&lt;110),0.17,0)+IF(AND(V1324&gt;=75,V1324&lt;=175,W1324&gt;=110),0.12,0)+IF(AND(V1324&gt;175,W1324&lt;25),0.3,0)+IF(AND(V1324&gt;175,W1324&gt;=25,W1324&lt;55),0.23,0)+IF(AND(V1324&gt;175,W1324&gt;=55,W1324&lt;95),0.17,0)+IF(AND(V1324&gt;175,W1324&gt;=95),0.12,0),
IF(AF1324="DoEVni",IF(AND(V1324&lt;20,W1324&lt;55),0.3,0)+IF(AND(V1324&lt;20,W1324&gt;=55,W1324&lt;105),0.23,0)+IF(AND(V1324&lt;20,W1324&gt;=105),0.17,0)+IF(AND(V1324&gt;=20,V1324&lt;40,W1324&lt;45),0.3,0)+IF(AND(V1324&gt;=20,V1324&lt;40,W1324&gt;=45,W1324&lt;95),0.23,0)+IF(AND(V1324&gt;=20,V1324&lt;40,W1324&gt;=95,W1324&lt;=200),0.17,0)+IF(AND(V1324&gt;=20,V1324&lt;40,W1324&gt;=200),0.12,0)+IF(AND(V1324&gt;=40,V1324&lt;75,W1324&lt;35),0.3,0)+IF(AND(V1324&gt;=40,V1324&lt;75,W1324&gt;=35,W1324&lt;75),0.23,0)+IF(AND(V1324&gt;=40,V1324&lt;75,W1324&gt;=75,W1324&lt;120),0.17,0)+IF(AND(V1324&gt;=40,V1324&lt;75,W1324&gt;=120),0.12,0)+IF(AND(V1324&gt;=75,V1324&lt;175,W1324&lt;35),0.3,0)+IF(AND(V1324&gt;=75,V1324&lt;=175,W1324&gt;=35,W1324&lt;65),0.23,0)+IF(AND(V1324&gt;=75,V1324&lt;=175,W1324&gt;=65,W1324&lt;110),0.17,0)+IF(AND(V1324&gt;=75,V1324&lt;=175,W1324&gt;=110),0.12,0)+IF(AND(V1324&gt;175,W1324&lt;25),0.3,0)+IF(AND(V1324&gt;175,W1324&gt;=25,W1324&lt;55),0.23,0)+IF(AND(V1324&gt;175,W1324&gt;=55,W1324&lt;95),0.17,0)+IF(AND(V1324&gt;175,W1324&gt;=95),0.12,0),
IF(AF1324="DoEVLo",IF(AND(V1324&lt;20,W1324&lt;55),0.25,0)+IF(AND(V1324&lt;20,W1324&gt;=55,W1324&lt;105),0.2,0)+IF(AND(V1324&lt;20,W1324&gt;=105),0.15,0)+IF(AND(V1324&gt;=20,V1324&lt;40,W1324&lt;45),0.25,0)+IF(AND(V1324&gt;=20,V1324&lt;40,W1324&gt;=45,W1324&lt;95),0.2,0)+IF(AND(V1324&gt;=20,V1324&lt;40,W1324&gt;=95),0.15,0)+IF(AND(V1324&gt;=40,V1324&lt;75,W1324&lt;35),0.25,0)+IF(AND(V1324&gt;=40,V1324&lt;75,W1324&gt;=35,W1324&lt;75),0.2,0)+IF(AND(V1324&gt;=40,V1324&lt;75,W1324&gt;=75,W1324&lt;120),0.15,0)+IF(AND(V1324&gt;=40,V1324&lt;75,W1324&gt;=120),0.1,0)+IF(AND(V1324&gt;=75,V1324&lt;175,W1324&lt;35),0.25,0)+IF(AND(V1324&gt;=75,V1324&lt;=175,W1324&gt;=35,W1324&lt;65),0.2,0)+IF(AND(V1324&gt;=75,V1324&lt;=175,W1324&gt;=65,W1324&lt;110),0.15,0)+IF(AND(V1324&gt;=75,V1324&lt;=175,W1324&gt;=110),0.1,0)+IF(AND(V1324&gt;175,W1324&lt;25),0.25,0)+IF(AND(V1324&gt;175,W1324&gt;=25,W1324&lt;55),0.2,0)+IF(AND(V1324&gt;175,W1324&gt;=55,W1324&lt;95),0.15,0)+IF(AND(V1324&gt;175,W1324&gt;=95),0.1,0))))))))))))))))))</f>
        <v>0.1</v>
      </c>
      <c r="Y1324" s="30">
        <f>IF(AG1324="None",0,IF(AG1324="Fix5",0.05, IF(AG1324="Fix6.25",0.0625,IF(AG1324="Fix3.75",0.0375,IF(AG1324="Fix10",0.1,IF(AG1324="Fix3",0.03,0))))))</f>
        <v>0</v>
      </c>
      <c r="Z1324" s="35">
        <f>T1324-AA1324-AB1324</f>
        <v>-891.9</v>
      </c>
      <c r="AA1324" s="29">
        <f>IF(AD1324="EUR",((T1324-R1324)*X1324)*U1324+(R1324*X1324),(T1324*X1324))</f>
        <v>-99.100000000000009</v>
      </c>
      <c r="AB1324" s="36">
        <f>IF(AD1324="EUR",((T1324-R1324)*Y1324)*U1324+(R1324*Y1324),(T1324*Y1324))</f>
        <v>0</v>
      </c>
      <c r="AC1324" s="37" t="b">
        <v>1</v>
      </c>
      <c r="AD1324" s="37" t="s">
        <v>38</v>
      </c>
      <c r="AE1324" s="37" t="s">
        <v>38</v>
      </c>
      <c r="AF1324" s="37" t="str">
        <f t="array" ref="AF1324">INDEX('Deal Info'!D:D, MATCH(A1324,'Deal Info'!A:A, 0))</f>
        <v>Fix10</v>
      </c>
      <c r="AG1324" s="38" t="str">
        <f t="array" ref="AG1324">INDEX('Deal Info'!G:G, MATCH(A1324,'Deal Info'!A:A, 0))</f>
        <v>None</v>
      </c>
    </row>
    <row r="1325" spans="1:33" ht="14.25" hidden="1" x14ac:dyDescent="0.2">
      <c r="A1325" s="18" t="str">
        <f t="array" ref="A1325">IF(G1325='Room Info'!$B$1, INDEX('Room Info'!$A$2:$A2446, MATCH(B1325,'Room Info'!$B$2:$B2446, 0)),IF(G1325='Room Info'!$C$1, INDEX('Room Info'!$A$2:$A2446, MATCH(B1325,'Room Info'!$C$2:$C2446, 0)),IF(G1325='Room Info'!$D$1, INDEX('Room Info'!$A$2:$A2446, MATCH(B1325,'Room Info'!$D$2:$D2446, 0)),IF(G1325='Room Info'!$E$1, INDEX('Room Info'!$A$2:$A2446, MATCH(B1325,'Room Info'!$E$2:$E2446, 0)),IF(G1325='Room Info'!$F$1, INDEX('Room Info'!$A$2:$A2446, MATCH(B1325,'Room Info'!$F$2:$F2446, 0)),IF(G1325='Room Info'!$H$1, INDEX('Room Info'!$A$2:$A2446, MATCH(B1325,'Room Info'!$H$2:$H2446, 0)),IF(G1325='Room Info'!$G$1, INDEX('Room Info'!$A$2:$A2446, MATCH(B1325,'Room Info'!$G$2:$G2446, 0)))))))))</f>
        <v>volkovsky</v>
      </c>
      <c r="B1325" s="45" t="s">
        <v>206</v>
      </c>
      <c r="C1325" s="77">
        <v>44641</v>
      </c>
      <c r="D1325" s="77">
        <v>44671</v>
      </c>
      <c r="E1325" s="47">
        <v>44652</v>
      </c>
      <c r="F1325" s="48" t="s">
        <v>34</v>
      </c>
      <c r="G1325" s="45" t="s">
        <v>35</v>
      </c>
      <c r="H1325" s="91" t="s">
        <v>142</v>
      </c>
      <c r="I1325" s="49" t="s">
        <v>37</v>
      </c>
      <c r="J1325" s="74">
        <v>500</v>
      </c>
      <c r="K1325" s="75">
        <v>2</v>
      </c>
      <c r="L1325" s="72">
        <v>500</v>
      </c>
      <c r="M1325" s="76">
        <v>15</v>
      </c>
      <c r="N1325" s="28">
        <f>K1325*J1325</f>
        <v>1000</v>
      </c>
      <c r="O1325" s="45">
        <v>-450</v>
      </c>
      <c r="P1325" s="29">
        <v>-225</v>
      </c>
      <c r="Q1325" s="55"/>
      <c r="R1325" s="31">
        <f>M1325+Q1325</f>
        <v>15</v>
      </c>
      <c r="S1325" s="73">
        <v>-471</v>
      </c>
      <c r="T1325" s="32">
        <f>R1325+S1325+IF(F1325="Without EV deal",L1325,0)</f>
        <v>-456</v>
      </c>
      <c r="U1325" s="57"/>
      <c r="V1325" s="58"/>
      <c r="W1325" s="58"/>
      <c r="X1325" s="30">
        <f>IF(AF1325="DoEV",IF(AND(V1325&lt;20,W1325&lt;55),0.3,0)+IF(AND(V1325&lt;20,W1325&gt;=55,W1325&lt;105),0.23,0)+IF(AND(V1325&lt;20,W1325&gt;=105),0.17,0)+IF(AND(V1325&gt;=20,V1325&lt;40,W1325&lt;45),0.3,0)+IF(AND(V1325&gt;=20,V1325&lt;40,W1325&gt;=45,W1325&lt;95),0.23,0)+IF(AND(V1325&gt;=20,V1325&lt;40,W1325&gt;=95),0.17,0)+IF(AND(V1325&gt;=40,V1325&lt;75,W1325&lt;35),0.3,0)+IF(AND(V1325&gt;=40,V1325&lt;75,W1325&gt;=35,W1325&lt;75),0.23,0)+IF(AND(V1325&gt;=40,V1325&lt;75,W1325&gt;=75,W1325&lt;120),0.17,0)+IF(AND(V1325&gt;=40,V1325&lt;75,W1325&gt;=120),0.12,0)+IF(AND(V1325&gt;=75,V1325&lt;175,W1325&lt;35),0.3,0)+IF(AND(V1325&gt;=75,V1325&lt;=175,W1325&gt;=35,W1325&lt;65),0.23,0)+IF(AND(V1325&gt;=75,V1325&lt;=175,W1325&gt;=65,W1325&lt;110),0.17,0)+IF(AND(V1325&gt;=75,V1325&lt;=175,W1325&gt;=110),0.12,0)+IF(AND(V1325&gt;175,W1325&lt;25),0.3,0)+IF(AND(V1325&gt;175,W1325&gt;=25,W1325&lt;55),0.23,0)+IF(AND(V1325&gt;175,W1325&gt;=55,W1325&lt;95),0.17,0)+IF(AND(V1325&gt;175,W1325&gt;=95),0.12,0),
IF(AF1325="Fix15",0.15,
IF(AF1325="Fix18.75",0.1875,
IF(AF1325="Fix11.25",0.1125,
IF(AF1325="Fix10",0.1,
IF(AF1325="Fix9",0.09,
IF(AF1325="Fix19",0.19,
IF(AF1325="DoEV2017",IF(AND(W1325&lt;74),0.2,0)+IF(AND(W1325&gt;=74),0.17,0),
IF(AF1325="SF",IF(AND(V1325&lt;20,W1325&lt;89),0.3,0)+IF(AND(V1325&lt;20,W1325&gt;=89),0.25,0)+IF(AND(V1325&gt;=20,V1325&lt;40,W1325&lt;74),0.3,0)+IF(AND(V1325&gt;=20,V1325&lt;40,W1325&gt;=75),0.22,0)+IF(AND(V1325&gt;=40,V1325&lt;75,W1325&lt;75),0.26,0)+IF(AND(V1325&gt;=40,V1325&lt;75,W1325&gt;=75),0.22,0)+IF(V1325&gt;=75,0.22,0),
IF(AF1325="DoEVold",IF(AND(V1325&lt;40,W1325&lt;35),0.35,0)+IF(AND(V1325&lt;40,W1325&gt;=35,W1325&lt;75),0.25,0)+IF(AND(V1325&lt;40,W1325&gt;=75),0.17,0)+IF(AND(V1325&gt;=40,V1325&lt;75,W1325&lt;25),0.35,0)+IF(AND(V1325&gt;=40,V1325&lt;75,W1325&gt;=25,W1325&lt;65),0.25,0)+IF(AND(V1325&gt;=40,V1325&lt;75,W1325&gt;=65,W1325&lt;100),0.17,0)+IF(AND(V1325&gt;=40,V1325&lt;75,W1325&gt;=100),0.1,0)+IF(AND(V1325&gt;=75,W1325&lt;25),0.35,0)+IF(AND(V1325&gt;=75,W1325&gt;=25,W1325&lt;60),0.25,0)+IF(AND(V1325&gt;=75,W1325&gt;=60,W1325&lt;95),0.17,0)+IF(AND(V1325&gt;=75,W1325&gt;=95),0.1,0),
IF(AF1325="DoEVold15",IF(AND(V1325&lt;=40,W1325&lt;35),0.35,0)+IF(AND(V1325&lt;=40,W1325&gt;=35,W1325&lt;75),0.25,0)+IF(AND(V1325&lt;=40,W1325&gt;=75,W1325&lt;120),0.17,0)+IF(AND(V1325&lt;=40,W1325&gt;=120),0.15,0)+IF(AND(V1325&gt;40,V1325&lt;75,W1325&lt;25),0.35,0)+IF(AND(V1325&gt;=40,V1325&lt;75,W1325&gt;=25,W1325&lt;65),0.25,0)+IF(AND(V1325&gt;=40,V1325&lt;75,W1325&gt;=65,W1325&lt;100),0.17,0)+IF(AND(V1325&gt;=40,V1325&lt;75,W1325&gt;=100),0.1,0)+IF(AND(V1325&gt;=75,W1325&lt;25),0.35,0)+IF(AND(V1325&gt;=75,W1325&gt;=25,W1325&lt;60),0.25,0)+IF(AND(V1325&gt;=75,W1325&gt;=60,W1325&lt;95),0.17,0)+IF(AND(V1325&gt;=75,W1325&gt;=95),0.1,0),
IF(AF1325="DoEVba",IF(AND(V1325&lt;20,W1325&lt;105),0.2,0)+IF(AND(V1325&lt;20,W1325&gt;=105),0.15,0)+IF(AND(V1325&gt;=20,V1325&lt;40,W1325&lt;95),0.2,0)+IF(AND(V1325&gt;=20,V1325&lt;40,W1325&gt;=95,W1325&lt;150),0.15,0)+IF(AND(V1325&gt;=20,V1325&lt;40,W1325&gt;=150),0.12,0)+IF(AND(V1325&gt;=40,V1325&lt;75,W1325&lt;75),0.2,0)+IF(AND(V1325&gt;=40,V1325&lt;75,W1325&gt;=75,W1325&lt;120),0.15,0)+IF(AND(V1325&gt;=40,V1325&lt;75,W1325&gt;=120),0.12,0)+IF(AND(V1325&gt;=75,V1325&lt;175,W1325&lt;65),0.2,0)+IF(AND(V1325&gt;=75,V1325&lt;175,W1325&gt;=65,W1325&lt;110),0.15,0)+IF(AND(V1325&gt;=75,V1325&lt;175,W1325&gt;=110),0.12,0)+IF(AND(V1325&gt;=175,W1325&lt;55),0.2,0)+IF(AND(V1325&gt;=175,W1325&gt;=55,W1325&lt;95),0.15,0)+IF(AND(V1325&gt;=175,W1325&gt;=95),0.12,0),
IF(AF1325="DoEVku",IF(AND(V1325&lt;20,W1325&lt;55),0.23,0)+IF(AND(V1325&lt;20,W1325&gt;=55,W1325&lt;105),0.2,0)+IF(AND(V1325&lt;20,W1325&gt;=105),0.17,0)+IF(AND(V1325&gt;=20,V1325&lt;40,W1325&lt;45),0.23,0)+IF(AND(V1325&gt;=20,V1325&lt;40,W1325&gt;=45,W1325&lt;95),0.2,0)+IF(AND(V1325&gt;=20,V1325&lt;40,W1325&gt;=95,W1325&lt;=150),0.17,0)+IF(AND(V1325&gt;=20,V1325&lt;40,W1325&gt;=150),0.12,0)+IF(AND(V1325&gt;=40,V1325&lt;75,W1325&lt;35),0.23,0)+IF(AND(V1325&gt;=40,V1325&lt;75,W1325&gt;=35,W1325&lt;75),0.2,0)+IF(AND(V1325&gt;=40,V1325&lt;75,W1325&gt;=75,W1325&lt;120),0.17,0)+IF(AND(V1325&gt;=40,V1325&lt;75,W1325&gt;=120),0.12,0)+IF(AND(V1325&gt;=75,V1325&lt;175,W1325&lt;35),0.23,0)+IF(AND(V1325&gt;=75,V1325&lt;=175,W1325&gt;=35,W1325&lt;65),0.2,0)+IF(AND(V1325&gt;=75,V1325&lt;=175,W1325&gt;=65,W1325&lt;110),0.17,0)+IF(AND(V1325&gt;=75,V1325&lt;=175,W1325&gt;=110),0.12,0)+IF(AND(V1325&gt;175,W1325&lt;25),0.23,0)+IF(AND(V1325&gt;175,W1325&gt;=25,W1325&lt;55),0.2,0)+IF(AND(V1325&gt;175,W1325&gt;=55,W1325&lt;95),0.17,0)+IF(AND(V1325&gt;175,W1325&gt;=95),0.12,0),
IF(AF1325="DoEVs1",IF(AND(V1325&lt;20,W1325&lt;55),0.3,0)+IF(AND(V1325&lt;20,W1325&gt;=55,W1325&lt;105),0.23,0)+IF(AND(V1325&lt;20,W1325&gt;=105),0.17,0)+IF(AND(V1325&gt;=20,V1325&lt;40,W1325&lt;45),0.3,0)+IF(AND(V1325&gt;=20,V1325&lt;40,W1325&gt;=45,W1325&lt;95),0.23,0)+IF(AND(V1325&gt;=20,V1325&lt;40,W1325&gt;=95,W1325&lt;=150),0.17,0)+IF(AND(V1325&gt;=20,V1325&lt;40,W1325&gt;=150),0.12,0)+IF(AND(V1325&gt;=40,V1325&lt;75,W1325&lt;35),0.3,0)+IF(AND(V1325&gt;=40,V1325&lt;75,W1325&gt;=35,W1325&lt;75),0.23,0)+IF(AND(V1325&gt;=40,V1325&lt;75,W1325&gt;=75,W1325&lt;120),0.17,0)+IF(AND(V1325&gt;=40,V1325&lt;75,W1325&gt;=120),0.12,0)+IF(AND(V1325&gt;=75,V1325&lt;175,W1325&lt;35),0.3,0)+IF(AND(V1325&gt;=75,V1325&lt;=175,W1325&gt;=35,W1325&lt;65),0.23,0)+IF(AND(V1325&gt;=75,V1325&lt;=175,W1325&gt;=65,W1325&lt;110),0.17,0)+IF(AND(V1325&gt;=75,V1325&lt;=175,W1325&gt;=110),0.12,0)+IF(AND(V1325&gt;175,W1325&lt;25),0.3,0)+IF(AND(V1325&gt;175,W1325&gt;=25,W1325&lt;55),0.23,0)+IF(AND(V1325&gt;175,W1325&gt;=55,W1325&lt;95),0.17,0)+IF(AND(V1325&gt;175,W1325&gt;=95),0.12,0),
IF(AF1325="DoEVsu",IF(AND(V1325&lt;20,W1325&lt;55),0.3,0)+IF(AND(V1325&lt;20,W1325&gt;=55,W1325&lt;105),0.23,0)+IF(AND(V1325&lt;20,W1325&gt;=105),0.17,0)+IF(AND(V1325&gt;=20,V1325&lt;40,W1325&lt;45),0.3,0)+IF(AND(V1325&gt;=20,V1325&lt;40,W1325&gt;=45,W1325&lt;95),0.23,0)+IF(AND(V1325&gt;=20,V1325&lt;40,W1325&gt;=95,W1325&lt;=250),0.17,0)+IF(AND(V1325&gt;=20,V1325&lt;40,W1325&gt;=250),0.12,0)+IF(AND(V1325&gt;=40,V1325&lt;75,W1325&lt;35),0.3,0)+IF(AND(V1325&gt;=40,V1325&lt;75,W1325&gt;=35,W1325&lt;75),0.23,0)+IF(AND(V1325&gt;=40,V1325&lt;75,W1325&gt;=75,W1325&lt;120),0.17,0)+IF(AND(V1325&gt;=40,V1325&lt;75,W1325&gt;=120),0.12,0)+IF(AND(V1325&gt;=75,V1325&lt;175,W1325&lt;35),0.3,0)+IF(AND(V1325&gt;=75,V1325&lt;=175,W1325&gt;=35,W1325&lt;65),0.23,0)+IF(AND(V1325&gt;=75,V1325&lt;=175,W1325&gt;=65,W1325&lt;110),0.17,0)+IF(AND(V1325&gt;=75,V1325&lt;=175,W1325&gt;=110),0.12,0)+IF(AND(V1325&gt;175,W1325&lt;25),0.3,0)+IF(AND(V1325&gt;175,W1325&gt;=25,W1325&lt;55),0.23,0)+IF(AND(V1325&gt;175,W1325&gt;=55,W1325&lt;95),0.17,0)+IF(AND(V1325&gt;175,W1325&gt;=95),0.12,0),
IF(AF1325="DoEVni",IF(AND(V1325&lt;20,W1325&lt;55),0.3,0)+IF(AND(V1325&lt;20,W1325&gt;=55,W1325&lt;105),0.23,0)+IF(AND(V1325&lt;20,W1325&gt;=105),0.17,0)+IF(AND(V1325&gt;=20,V1325&lt;40,W1325&lt;45),0.3,0)+IF(AND(V1325&gt;=20,V1325&lt;40,W1325&gt;=45,W1325&lt;95),0.23,0)+IF(AND(V1325&gt;=20,V1325&lt;40,W1325&gt;=95,W1325&lt;=200),0.17,0)+IF(AND(V1325&gt;=20,V1325&lt;40,W1325&gt;=200),0.12,0)+IF(AND(V1325&gt;=40,V1325&lt;75,W1325&lt;35),0.3,0)+IF(AND(V1325&gt;=40,V1325&lt;75,W1325&gt;=35,W1325&lt;75),0.23,0)+IF(AND(V1325&gt;=40,V1325&lt;75,W1325&gt;=75,W1325&lt;120),0.17,0)+IF(AND(V1325&gt;=40,V1325&lt;75,W1325&gt;=120),0.12,0)+IF(AND(V1325&gt;=75,V1325&lt;175,W1325&lt;35),0.3,0)+IF(AND(V1325&gt;=75,V1325&lt;=175,W1325&gt;=35,W1325&lt;65),0.23,0)+IF(AND(V1325&gt;=75,V1325&lt;=175,W1325&gt;=65,W1325&lt;110),0.17,0)+IF(AND(V1325&gt;=75,V1325&lt;=175,W1325&gt;=110),0.12,0)+IF(AND(V1325&gt;175,W1325&lt;25),0.3,0)+IF(AND(V1325&gt;175,W1325&gt;=25,W1325&lt;55),0.23,0)+IF(AND(V1325&gt;175,W1325&gt;=55,W1325&lt;95),0.17,0)+IF(AND(V1325&gt;175,W1325&gt;=95),0.12,0),
IF(AF1325="DoEVLo",IF(AND(V1325&lt;20,W1325&lt;55),0.25,0)+IF(AND(V1325&lt;20,W1325&gt;=55,W1325&lt;105),0.2,0)+IF(AND(V1325&lt;20,W1325&gt;=105),0.15,0)+IF(AND(V1325&gt;=20,V1325&lt;40,W1325&lt;45),0.25,0)+IF(AND(V1325&gt;=20,V1325&lt;40,W1325&gt;=45,W1325&lt;95),0.2,0)+IF(AND(V1325&gt;=20,V1325&lt;40,W1325&gt;=95),0.15,0)+IF(AND(V1325&gt;=40,V1325&lt;75,W1325&lt;35),0.25,0)+IF(AND(V1325&gt;=40,V1325&lt;75,W1325&gt;=35,W1325&lt;75),0.2,0)+IF(AND(V1325&gt;=40,V1325&lt;75,W1325&gt;=75,W1325&lt;120),0.15,0)+IF(AND(V1325&gt;=40,V1325&lt;75,W1325&gt;=120),0.1,0)+IF(AND(V1325&gt;=75,V1325&lt;175,W1325&lt;35),0.25,0)+IF(AND(V1325&gt;=75,V1325&lt;=175,W1325&gt;=35,W1325&lt;65),0.2,0)+IF(AND(V1325&gt;=75,V1325&lt;=175,W1325&gt;=65,W1325&lt;110),0.15,0)+IF(AND(V1325&gt;=75,V1325&lt;=175,W1325&gt;=110),0.1,0)+IF(AND(V1325&gt;175,W1325&lt;25),0.25,0)+IF(AND(V1325&gt;175,W1325&gt;=25,W1325&lt;55),0.2,0)+IF(AND(V1325&gt;175,W1325&gt;=55,W1325&lt;95),0.15,0)+IF(AND(V1325&gt;175,W1325&gt;=95),0.1,0))))))))))))))))))</f>
        <v>0.1</v>
      </c>
      <c r="Y1325" s="30">
        <f>IF(AG1325="None",0,IF(AG1325="Fix5",0.05, IF(AG1325="Fix6.25",0.0625,IF(AG1325="Fix3.75",0.0375,IF(AG1325="Fix10",0.1,IF(AG1325="Fix3",0.03,0))))))</f>
        <v>0</v>
      </c>
      <c r="Z1325" s="35">
        <f>T1325-AA1325-AB1325</f>
        <v>-410.4</v>
      </c>
      <c r="AA1325" s="29">
        <f>IF(AD1325="EUR",((T1325-R1325)*X1325)*U1325+(R1325*X1325),(T1325*X1325))</f>
        <v>-45.6</v>
      </c>
      <c r="AB1325" s="36">
        <f>IF(AD1325="EUR",((T1325-R1325)*Y1325)*U1325+(R1325*Y1325),(T1325*Y1325))</f>
        <v>0</v>
      </c>
      <c r="AC1325" s="37" t="b">
        <v>1</v>
      </c>
      <c r="AD1325" s="37" t="s">
        <v>38</v>
      </c>
      <c r="AE1325" s="37" t="s">
        <v>38</v>
      </c>
      <c r="AF1325" s="37" t="str">
        <f t="array" ref="AF1325">INDEX('Deal Info'!D:D, MATCH(A1325,'Deal Info'!A:A, 0))</f>
        <v>Fix10</v>
      </c>
      <c r="AG1325" s="38" t="str">
        <f t="array" ref="AG1325">INDEX('Deal Info'!G:G, MATCH(A1325,'Deal Info'!A:A, 0))</f>
        <v>None</v>
      </c>
    </row>
    <row r="1326" spans="1:33" ht="14.25" hidden="1" x14ac:dyDescent="0.2">
      <c r="A1326" s="18" t="str">
        <f t="array" ref="A1326">IF(G1326='Room Info'!$B$1, INDEX('Room Info'!$A$2:$A2446, MATCH(B1326,'Room Info'!$B$2:$B2446, 0)),IF(G1326='Room Info'!$C$1, INDEX('Room Info'!$A$2:$A2446, MATCH(B1326,'Room Info'!$C$2:$C2446, 0)),IF(G1326='Room Info'!$D$1, INDEX('Room Info'!$A$2:$A2446, MATCH(B1326,'Room Info'!$D$2:$D2446, 0)),IF(G1326='Room Info'!$E$1, INDEX('Room Info'!$A$2:$A2446, MATCH(B1326,'Room Info'!$E$2:$E2446, 0)),IF(G1326='Room Info'!$F$1, INDEX('Room Info'!$A$2:$A2446, MATCH(B1326,'Room Info'!$F$2:$F2446, 0)),IF(G1326='Room Info'!$H$1, INDEX('Room Info'!$A$2:$A2446, MATCH(B1326,'Room Info'!$H$2:$H2446, 0)),IF(G1326='Room Info'!$G$1, INDEX('Room Info'!$A$2:$A2446, MATCH(B1326,'Room Info'!$G$2:$G2446, 0)))))))))</f>
        <v>volkovsky</v>
      </c>
      <c r="B1326" s="45" t="s">
        <v>206</v>
      </c>
      <c r="C1326" s="77">
        <v>44672</v>
      </c>
      <c r="D1326" s="77">
        <v>44701</v>
      </c>
      <c r="E1326" s="47">
        <v>44682</v>
      </c>
      <c r="F1326" s="48" t="s">
        <v>34</v>
      </c>
      <c r="G1326" s="45" t="s">
        <v>35</v>
      </c>
      <c r="H1326" s="91" t="s">
        <v>70</v>
      </c>
      <c r="I1326" s="49" t="s">
        <v>37</v>
      </c>
      <c r="J1326" s="74">
        <v>100</v>
      </c>
      <c r="K1326" s="75">
        <v>193</v>
      </c>
      <c r="L1326" s="72">
        <v>-1800</v>
      </c>
      <c r="M1326" s="76">
        <v>622</v>
      </c>
      <c r="N1326" s="28">
        <f>K1326*J1326</f>
        <v>19300</v>
      </c>
      <c r="O1326" s="45">
        <v>858</v>
      </c>
      <c r="P1326" s="29">
        <v>4.4455958549999997</v>
      </c>
      <c r="Q1326" s="55"/>
      <c r="R1326" s="31">
        <f>M1326+Q1326</f>
        <v>622</v>
      </c>
      <c r="S1326" s="73">
        <v>-864</v>
      </c>
      <c r="T1326" s="32">
        <f>R1326+S1326+IF(F1326="Without EV deal",L1326,0)</f>
        <v>-242</v>
      </c>
      <c r="U1326" s="57"/>
      <c r="V1326" s="58"/>
      <c r="W1326" s="58"/>
      <c r="X1326" s="30">
        <f>IF(AF1326="DoEV",IF(AND(V1326&lt;20,W1326&lt;55),0.3,0)+IF(AND(V1326&lt;20,W1326&gt;=55,W1326&lt;105),0.23,0)+IF(AND(V1326&lt;20,W1326&gt;=105),0.17,0)+IF(AND(V1326&gt;=20,V1326&lt;40,W1326&lt;45),0.3,0)+IF(AND(V1326&gt;=20,V1326&lt;40,W1326&gt;=45,W1326&lt;95),0.23,0)+IF(AND(V1326&gt;=20,V1326&lt;40,W1326&gt;=95),0.17,0)+IF(AND(V1326&gt;=40,V1326&lt;75,W1326&lt;35),0.3,0)+IF(AND(V1326&gt;=40,V1326&lt;75,W1326&gt;=35,W1326&lt;75),0.23,0)+IF(AND(V1326&gt;=40,V1326&lt;75,W1326&gt;=75,W1326&lt;120),0.17,0)+IF(AND(V1326&gt;=40,V1326&lt;75,W1326&gt;=120),0.12,0)+IF(AND(V1326&gt;=75,V1326&lt;175,W1326&lt;35),0.3,0)+IF(AND(V1326&gt;=75,V1326&lt;=175,W1326&gt;=35,W1326&lt;65),0.23,0)+IF(AND(V1326&gt;=75,V1326&lt;=175,W1326&gt;=65,W1326&lt;110),0.17,0)+IF(AND(V1326&gt;=75,V1326&lt;=175,W1326&gt;=110),0.12,0)+IF(AND(V1326&gt;175,W1326&lt;25),0.3,0)+IF(AND(V1326&gt;175,W1326&gt;=25,W1326&lt;55),0.23,0)+IF(AND(V1326&gt;175,W1326&gt;=55,W1326&lt;95),0.17,0)+IF(AND(V1326&gt;175,W1326&gt;=95),0.12,0),
IF(AF1326="Fix15",0.15,
IF(AF1326="Fix18.75",0.1875,
IF(AF1326="Fix11.25",0.1125,
IF(AF1326="Fix10",0.1,
IF(AF1326="Fix9",0.09,
IF(AF1326="Fix19",0.19,
IF(AF1326="DoEV2017",IF(AND(W1326&lt;74),0.2,0)+IF(AND(W1326&gt;=74),0.17,0),
IF(AF1326="SF",IF(AND(V1326&lt;20,W1326&lt;89),0.3,0)+IF(AND(V1326&lt;20,W1326&gt;=89),0.25,0)+IF(AND(V1326&gt;=20,V1326&lt;40,W1326&lt;74),0.3,0)+IF(AND(V1326&gt;=20,V1326&lt;40,W1326&gt;=75),0.22,0)+IF(AND(V1326&gt;=40,V1326&lt;75,W1326&lt;75),0.26,0)+IF(AND(V1326&gt;=40,V1326&lt;75,W1326&gt;=75),0.22,0)+IF(V1326&gt;=75,0.22,0),
IF(AF1326="DoEVold",IF(AND(V1326&lt;40,W1326&lt;35),0.35,0)+IF(AND(V1326&lt;40,W1326&gt;=35,W1326&lt;75),0.25,0)+IF(AND(V1326&lt;40,W1326&gt;=75),0.17,0)+IF(AND(V1326&gt;=40,V1326&lt;75,W1326&lt;25),0.35,0)+IF(AND(V1326&gt;=40,V1326&lt;75,W1326&gt;=25,W1326&lt;65),0.25,0)+IF(AND(V1326&gt;=40,V1326&lt;75,W1326&gt;=65,W1326&lt;100),0.17,0)+IF(AND(V1326&gt;=40,V1326&lt;75,W1326&gt;=100),0.1,0)+IF(AND(V1326&gt;=75,W1326&lt;25),0.35,0)+IF(AND(V1326&gt;=75,W1326&gt;=25,W1326&lt;60),0.25,0)+IF(AND(V1326&gt;=75,W1326&gt;=60,W1326&lt;95),0.17,0)+IF(AND(V1326&gt;=75,W1326&gt;=95),0.1,0),
IF(AF1326="DoEVold15",IF(AND(V1326&lt;=40,W1326&lt;35),0.35,0)+IF(AND(V1326&lt;=40,W1326&gt;=35,W1326&lt;75),0.25,0)+IF(AND(V1326&lt;=40,W1326&gt;=75,W1326&lt;120),0.17,0)+IF(AND(V1326&lt;=40,W1326&gt;=120),0.15,0)+IF(AND(V1326&gt;40,V1326&lt;75,W1326&lt;25),0.35,0)+IF(AND(V1326&gt;=40,V1326&lt;75,W1326&gt;=25,W1326&lt;65),0.25,0)+IF(AND(V1326&gt;=40,V1326&lt;75,W1326&gt;=65,W1326&lt;100),0.17,0)+IF(AND(V1326&gt;=40,V1326&lt;75,W1326&gt;=100),0.1,0)+IF(AND(V1326&gt;=75,W1326&lt;25),0.35,0)+IF(AND(V1326&gt;=75,W1326&gt;=25,W1326&lt;60),0.25,0)+IF(AND(V1326&gt;=75,W1326&gt;=60,W1326&lt;95),0.17,0)+IF(AND(V1326&gt;=75,W1326&gt;=95),0.1,0),
IF(AF1326="DoEVba",IF(AND(V1326&lt;20,W1326&lt;105),0.2,0)+IF(AND(V1326&lt;20,W1326&gt;=105),0.15,0)+IF(AND(V1326&gt;=20,V1326&lt;40,W1326&lt;95),0.2,0)+IF(AND(V1326&gt;=20,V1326&lt;40,W1326&gt;=95,W1326&lt;150),0.15,0)+IF(AND(V1326&gt;=20,V1326&lt;40,W1326&gt;=150),0.12,0)+IF(AND(V1326&gt;=40,V1326&lt;75,W1326&lt;75),0.2,0)+IF(AND(V1326&gt;=40,V1326&lt;75,W1326&gt;=75,W1326&lt;120),0.15,0)+IF(AND(V1326&gt;=40,V1326&lt;75,W1326&gt;=120),0.12,0)+IF(AND(V1326&gt;=75,V1326&lt;175,W1326&lt;65),0.2,0)+IF(AND(V1326&gt;=75,V1326&lt;175,W1326&gt;=65,W1326&lt;110),0.15,0)+IF(AND(V1326&gt;=75,V1326&lt;175,W1326&gt;=110),0.12,0)+IF(AND(V1326&gt;=175,W1326&lt;55),0.2,0)+IF(AND(V1326&gt;=175,W1326&gt;=55,W1326&lt;95),0.15,0)+IF(AND(V1326&gt;=175,W1326&gt;=95),0.12,0),
IF(AF1326="DoEVku",IF(AND(V1326&lt;20,W1326&lt;55),0.23,0)+IF(AND(V1326&lt;20,W1326&gt;=55,W1326&lt;105),0.2,0)+IF(AND(V1326&lt;20,W1326&gt;=105),0.17,0)+IF(AND(V1326&gt;=20,V1326&lt;40,W1326&lt;45),0.23,0)+IF(AND(V1326&gt;=20,V1326&lt;40,W1326&gt;=45,W1326&lt;95),0.2,0)+IF(AND(V1326&gt;=20,V1326&lt;40,W1326&gt;=95,W1326&lt;=150),0.17,0)+IF(AND(V1326&gt;=20,V1326&lt;40,W1326&gt;=150),0.12,0)+IF(AND(V1326&gt;=40,V1326&lt;75,W1326&lt;35),0.23,0)+IF(AND(V1326&gt;=40,V1326&lt;75,W1326&gt;=35,W1326&lt;75),0.2,0)+IF(AND(V1326&gt;=40,V1326&lt;75,W1326&gt;=75,W1326&lt;120),0.17,0)+IF(AND(V1326&gt;=40,V1326&lt;75,W1326&gt;=120),0.12,0)+IF(AND(V1326&gt;=75,V1326&lt;175,W1326&lt;35),0.23,0)+IF(AND(V1326&gt;=75,V1326&lt;=175,W1326&gt;=35,W1326&lt;65),0.2,0)+IF(AND(V1326&gt;=75,V1326&lt;=175,W1326&gt;=65,W1326&lt;110),0.17,0)+IF(AND(V1326&gt;=75,V1326&lt;=175,W1326&gt;=110),0.12,0)+IF(AND(V1326&gt;175,W1326&lt;25),0.23,0)+IF(AND(V1326&gt;175,W1326&gt;=25,W1326&lt;55),0.2,0)+IF(AND(V1326&gt;175,W1326&gt;=55,W1326&lt;95),0.17,0)+IF(AND(V1326&gt;175,W1326&gt;=95),0.12,0),
IF(AF1326="DoEVs1",IF(AND(V1326&lt;20,W1326&lt;55),0.3,0)+IF(AND(V1326&lt;20,W1326&gt;=55,W1326&lt;105),0.23,0)+IF(AND(V1326&lt;20,W1326&gt;=105),0.17,0)+IF(AND(V1326&gt;=20,V1326&lt;40,W1326&lt;45),0.3,0)+IF(AND(V1326&gt;=20,V1326&lt;40,W1326&gt;=45,W1326&lt;95),0.23,0)+IF(AND(V1326&gt;=20,V1326&lt;40,W1326&gt;=95,W1326&lt;=150),0.17,0)+IF(AND(V1326&gt;=20,V1326&lt;40,W1326&gt;=150),0.12,0)+IF(AND(V1326&gt;=40,V1326&lt;75,W1326&lt;35),0.3,0)+IF(AND(V1326&gt;=40,V1326&lt;75,W1326&gt;=35,W1326&lt;75),0.23,0)+IF(AND(V1326&gt;=40,V1326&lt;75,W1326&gt;=75,W1326&lt;120),0.17,0)+IF(AND(V1326&gt;=40,V1326&lt;75,W1326&gt;=120),0.12,0)+IF(AND(V1326&gt;=75,V1326&lt;175,W1326&lt;35),0.3,0)+IF(AND(V1326&gt;=75,V1326&lt;=175,W1326&gt;=35,W1326&lt;65),0.23,0)+IF(AND(V1326&gt;=75,V1326&lt;=175,W1326&gt;=65,W1326&lt;110),0.17,0)+IF(AND(V1326&gt;=75,V1326&lt;=175,W1326&gt;=110),0.12,0)+IF(AND(V1326&gt;175,W1326&lt;25),0.3,0)+IF(AND(V1326&gt;175,W1326&gt;=25,W1326&lt;55),0.23,0)+IF(AND(V1326&gt;175,W1326&gt;=55,W1326&lt;95),0.17,0)+IF(AND(V1326&gt;175,W1326&gt;=95),0.12,0),
IF(AF1326="DoEVsu",IF(AND(V1326&lt;20,W1326&lt;55),0.3,0)+IF(AND(V1326&lt;20,W1326&gt;=55,W1326&lt;105),0.23,0)+IF(AND(V1326&lt;20,W1326&gt;=105),0.17,0)+IF(AND(V1326&gt;=20,V1326&lt;40,W1326&lt;45),0.3,0)+IF(AND(V1326&gt;=20,V1326&lt;40,W1326&gt;=45,W1326&lt;95),0.23,0)+IF(AND(V1326&gt;=20,V1326&lt;40,W1326&gt;=95,W1326&lt;=250),0.17,0)+IF(AND(V1326&gt;=20,V1326&lt;40,W1326&gt;=250),0.12,0)+IF(AND(V1326&gt;=40,V1326&lt;75,W1326&lt;35),0.3,0)+IF(AND(V1326&gt;=40,V1326&lt;75,W1326&gt;=35,W1326&lt;75),0.23,0)+IF(AND(V1326&gt;=40,V1326&lt;75,W1326&gt;=75,W1326&lt;120),0.17,0)+IF(AND(V1326&gt;=40,V1326&lt;75,W1326&gt;=120),0.12,0)+IF(AND(V1326&gt;=75,V1326&lt;175,W1326&lt;35),0.3,0)+IF(AND(V1326&gt;=75,V1326&lt;=175,W1326&gt;=35,W1326&lt;65),0.23,0)+IF(AND(V1326&gt;=75,V1326&lt;=175,W1326&gt;=65,W1326&lt;110),0.17,0)+IF(AND(V1326&gt;=75,V1326&lt;=175,W1326&gt;=110),0.12,0)+IF(AND(V1326&gt;175,W1326&lt;25),0.3,0)+IF(AND(V1326&gt;175,W1326&gt;=25,W1326&lt;55),0.23,0)+IF(AND(V1326&gt;175,W1326&gt;=55,W1326&lt;95),0.17,0)+IF(AND(V1326&gt;175,W1326&gt;=95),0.12,0),
IF(AF1326="DoEVni",IF(AND(V1326&lt;20,W1326&lt;55),0.3,0)+IF(AND(V1326&lt;20,W1326&gt;=55,W1326&lt;105),0.23,0)+IF(AND(V1326&lt;20,W1326&gt;=105),0.17,0)+IF(AND(V1326&gt;=20,V1326&lt;40,W1326&lt;45),0.3,0)+IF(AND(V1326&gt;=20,V1326&lt;40,W1326&gt;=45,W1326&lt;95),0.23,0)+IF(AND(V1326&gt;=20,V1326&lt;40,W1326&gt;=95,W1326&lt;=200),0.17,0)+IF(AND(V1326&gt;=20,V1326&lt;40,W1326&gt;=200),0.12,0)+IF(AND(V1326&gt;=40,V1326&lt;75,W1326&lt;35),0.3,0)+IF(AND(V1326&gt;=40,V1326&lt;75,W1326&gt;=35,W1326&lt;75),0.23,0)+IF(AND(V1326&gt;=40,V1326&lt;75,W1326&gt;=75,W1326&lt;120),0.17,0)+IF(AND(V1326&gt;=40,V1326&lt;75,W1326&gt;=120),0.12,0)+IF(AND(V1326&gt;=75,V1326&lt;175,W1326&lt;35),0.3,0)+IF(AND(V1326&gt;=75,V1326&lt;=175,W1326&gt;=35,W1326&lt;65),0.23,0)+IF(AND(V1326&gt;=75,V1326&lt;=175,W1326&gt;=65,W1326&lt;110),0.17,0)+IF(AND(V1326&gt;=75,V1326&lt;=175,W1326&gt;=110),0.12,0)+IF(AND(V1326&gt;175,W1326&lt;25),0.3,0)+IF(AND(V1326&gt;175,W1326&gt;=25,W1326&lt;55),0.23,0)+IF(AND(V1326&gt;175,W1326&gt;=55,W1326&lt;95),0.17,0)+IF(AND(V1326&gt;175,W1326&gt;=95),0.12,0),
IF(AF1326="DoEVLo",IF(AND(V1326&lt;20,W1326&lt;55),0.25,0)+IF(AND(V1326&lt;20,W1326&gt;=55,W1326&lt;105),0.2,0)+IF(AND(V1326&lt;20,W1326&gt;=105),0.15,0)+IF(AND(V1326&gt;=20,V1326&lt;40,W1326&lt;45),0.25,0)+IF(AND(V1326&gt;=20,V1326&lt;40,W1326&gt;=45,W1326&lt;95),0.2,0)+IF(AND(V1326&gt;=20,V1326&lt;40,W1326&gt;=95),0.15,0)+IF(AND(V1326&gt;=40,V1326&lt;75,W1326&lt;35),0.25,0)+IF(AND(V1326&gt;=40,V1326&lt;75,W1326&gt;=35,W1326&lt;75),0.2,0)+IF(AND(V1326&gt;=40,V1326&lt;75,W1326&gt;=75,W1326&lt;120),0.15,0)+IF(AND(V1326&gt;=40,V1326&lt;75,W1326&gt;=120),0.1,0)+IF(AND(V1326&gt;=75,V1326&lt;175,W1326&lt;35),0.25,0)+IF(AND(V1326&gt;=75,V1326&lt;=175,W1326&gt;=35,W1326&lt;65),0.2,0)+IF(AND(V1326&gt;=75,V1326&lt;=175,W1326&gt;=65,W1326&lt;110),0.15,0)+IF(AND(V1326&gt;=75,V1326&lt;=175,W1326&gt;=110),0.1,0)+IF(AND(V1326&gt;175,W1326&lt;25),0.25,0)+IF(AND(V1326&gt;175,W1326&gt;=25,W1326&lt;55),0.2,0)+IF(AND(V1326&gt;175,W1326&gt;=55,W1326&lt;95),0.15,0)+IF(AND(V1326&gt;175,W1326&gt;=95),0.1,0))))))))))))))))))</f>
        <v>0.1</v>
      </c>
      <c r="Y1326" s="30">
        <f>IF(AG1326="None",0,IF(AG1326="Fix5",0.05, IF(AG1326="Fix6.25",0.0625,IF(AG1326="Fix3.75",0.0375,IF(AG1326="Fix10",0.1,IF(AG1326="Fix3",0.03,0))))))</f>
        <v>0</v>
      </c>
      <c r="Z1326" s="35">
        <f>T1326-AA1326-AB1326</f>
        <v>-217.8</v>
      </c>
      <c r="AA1326" s="29">
        <f>IF(AD1326="EUR",((T1326-R1326)*X1326)*U1326+(R1326*X1326),(T1326*X1326))</f>
        <v>-24.200000000000003</v>
      </c>
      <c r="AB1326" s="36">
        <f>IF(AD1326="EUR",((T1326-R1326)*Y1326)*U1326+(R1326*Y1326),(T1326*Y1326))</f>
        <v>0</v>
      </c>
      <c r="AC1326" s="37" t="b">
        <v>1</v>
      </c>
      <c r="AD1326" s="37" t="s">
        <v>38</v>
      </c>
      <c r="AE1326" s="37" t="s">
        <v>38</v>
      </c>
      <c r="AF1326" s="37" t="str">
        <f t="array" ref="AF1326">INDEX('Deal Info'!D:D, MATCH(A1326,'Deal Info'!A:A, 0))</f>
        <v>Fix10</v>
      </c>
      <c r="AG1326" s="38" t="str">
        <f t="array" ref="AG1326">INDEX('Deal Info'!G:G, MATCH(A1326,'Deal Info'!A:A, 0))</f>
        <v>None</v>
      </c>
    </row>
    <row r="1327" spans="1:33" ht="14.25" hidden="1" x14ac:dyDescent="0.2">
      <c r="A1327" s="18" t="str">
        <f t="array" ref="A1327">IF(G1327='Room Info'!$B$1, INDEX('Room Info'!$A$2:$A2446, MATCH(B1327,'Room Info'!$B$2:$B2446, 0)),IF(G1327='Room Info'!$C$1, INDEX('Room Info'!$A$2:$A2446, MATCH(B1327,'Room Info'!$C$2:$C2446, 0)),IF(G1327='Room Info'!$D$1, INDEX('Room Info'!$A$2:$A2446, MATCH(B1327,'Room Info'!$D$2:$D2446, 0)),IF(G1327='Room Info'!$E$1, INDEX('Room Info'!$A$2:$A2446, MATCH(B1327,'Room Info'!$E$2:$E2446, 0)),IF(G1327='Room Info'!$F$1, INDEX('Room Info'!$A$2:$A2446, MATCH(B1327,'Room Info'!$F$2:$F2446, 0)),IF(G1327='Room Info'!$H$1, INDEX('Room Info'!$A$2:$A2446, MATCH(B1327,'Room Info'!$H$2:$H2446, 0)),IF(G1327='Room Info'!$G$1, INDEX('Room Info'!$A$2:$A2446, MATCH(B1327,'Room Info'!$G$2:$G2446, 0)))))))))</f>
        <v>volkovsky</v>
      </c>
      <c r="B1327" s="45" t="s">
        <v>206</v>
      </c>
      <c r="C1327" s="77">
        <v>44672</v>
      </c>
      <c r="D1327" s="77">
        <v>44701</v>
      </c>
      <c r="E1327" s="47">
        <v>44682</v>
      </c>
      <c r="F1327" s="48" t="s">
        <v>34</v>
      </c>
      <c r="G1327" s="45" t="s">
        <v>35</v>
      </c>
      <c r="H1327" s="91" t="s">
        <v>84</v>
      </c>
      <c r="I1327" s="49" t="s">
        <v>44</v>
      </c>
      <c r="J1327" s="74">
        <v>100</v>
      </c>
      <c r="K1327" s="75">
        <v>580</v>
      </c>
      <c r="L1327" s="72">
        <v>-200</v>
      </c>
      <c r="M1327" s="76">
        <v>1871</v>
      </c>
      <c r="N1327" s="28">
        <f>K1327*J1327</f>
        <v>58000</v>
      </c>
      <c r="O1327" s="45">
        <v>2835</v>
      </c>
      <c r="P1327" s="29">
        <v>4.8879310340000002</v>
      </c>
      <c r="Q1327" s="55"/>
      <c r="R1327" s="31">
        <f>M1327+Q1327</f>
        <v>1871</v>
      </c>
      <c r="S1327" s="73">
        <v>-2195</v>
      </c>
      <c r="T1327" s="32">
        <f>R1327+S1327+IF(F1327="Without EV deal",L1327,0)</f>
        <v>-324</v>
      </c>
      <c r="U1327" s="57"/>
      <c r="V1327" s="58"/>
      <c r="W1327" s="58"/>
      <c r="X1327" s="30">
        <f>IF(AF1327="DoEV",IF(AND(V1327&lt;20,W1327&lt;55),0.3,0)+IF(AND(V1327&lt;20,W1327&gt;=55,W1327&lt;105),0.23,0)+IF(AND(V1327&lt;20,W1327&gt;=105),0.17,0)+IF(AND(V1327&gt;=20,V1327&lt;40,W1327&lt;45),0.3,0)+IF(AND(V1327&gt;=20,V1327&lt;40,W1327&gt;=45,W1327&lt;95),0.23,0)+IF(AND(V1327&gt;=20,V1327&lt;40,W1327&gt;=95),0.17,0)+IF(AND(V1327&gt;=40,V1327&lt;75,W1327&lt;35),0.3,0)+IF(AND(V1327&gt;=40,V1327&lt;75,W1327&gt;=35,W1327&lt;75),0.23,0)+IF(AND(V1327&gt;=40,V1327&lt;75,W1327&gt;=75,W1327&lt;120),0.17,0)+IF(AND(V1327&gt;=40,V1327&lt;75,W1327&gt;=120),0.12,0)+IF(AND(V1327&gt;=75,V1327&lt;175,W1327&lt;35),0.3,0)+IF(AND(V1327&gt;=75,V1327&lt;=175,W1327&gt;=35,W1327&lt;65),0.23,0)+IF(AND(V1327&gt;=75,V1327&lt;=175,W1327&gt;=65,W1327&lt;110),0.17,0)+IF(AND(V1327&gt;=75,V1327&lt;=175,W1327&gt;=110),0.12,0)+IF(AND(V1327&gt;175,W1327&lt;25),0.3,0)+IF(AND(V1327&gt;175,W1327&gt;=25,W1327&lt;55),0.23,0)+IF(AND(V1327&gt;175,W1327&gt;=55,W1327&lt;95),0.17,0)+IF(AND(V1327&gt;175,W1327&gt;=95),0.12,0),
IF(AF1327="Fix15",0.15,
IF(AF1327="Fix18.75",0.1875,
IF(AF1327="Fix11.25",0.1125,
IF(AF1327="Fix10",0.1,
IF(AF1327="Fix9",0.09,
IF(AF1327="Fix19",0.19,
IF(AF1327="DoEV2017",IF(AND(W1327&lt;74),0.2,0)+IF(AND(W1327&gt;=74),0.17,0),
IF(AF1327="SF",IF(AND(V1327&lt;20,W1327&lt;89),0.3,0)+IF(AND(V1327&lt;20,W1327&gt;=89),0.25,0)+IF(AND(V1327&gt;=20,V1327&lt;40,W1327&lt;74),0.3,0)+IF(AND(V1327&gt;=20,V1327&lt;40,W1327&gt;=75),0.22,0)+IF(AND(V1327&gt;=40,V1327&lt;75,W1327&lt;75),0.26,0)+IF(AND(V1327&gt;=40,V1327&lt;75,W1327&gt;=75),0.22,0)+IF(V1327&gt;=75,0.22,0),
IF(AF1327="DoEVold",IF(AND(V1327&lt;40,W1327&lt;35),0.35,0)+IF(AND(V1327&lt;40,W1327&gt;=35,W1327&lt;75),0.25,0)+IF(AND(V1327&lt;40,W1327&gt;=75),0.17,0)+IF(AND(V1327&gt;=40,V1327&lt;75,W1327&lt;25),0.35,0)+IF(AND(V1327&gt;=40,V1327&lt;75,W1327&gt;=25,W1327&lt;65),0.25,0)+IF(AND(V1327&gt;=40,V1327&lt;75,W1327&gt;=65,W1327&lt;100),0.17,0)+IF(AND(V1327&gt;=40,V1327&lt;75,W1327&gt;=100),0.1,0)+IF(AND(V1327&gt;=75,W1327&lt;25),0.35,0)+IF(AND(V1327&gt;=75,W1327&gt;=25,W1327&lt;60),0.25,0)+IF(AND(V1327&gt;=75,W1327&gt;=60,W1327&lt;95),0.17,0)+IF(AND(V1327&gt;=75,W1327&gt;=95),0.1,0),
IF(AF1327="DoEVold15",IF(AND(V1327&lt;=40,W1327&lt;35),0.35,0)+IF(AND(V1327&lt;=40,W1327&gt;=35,W1327&lt;75),0.25,0)+IF(AND(V1327&lt;=40,W1327&gt;=75,W1327&lt;120),0.17,0)+IF(AND(V1327&lt;=40,W1327&gt;=120),0.15,0)+IF(AND(V1327&gt;40,V1327&lt;75,W1327&lt;25),0.35,0)+IF(AND(V1327&gt;=40,V1327&lt;75,W1327&gt;=25,W1327&lt;65),0.25,0)+IF(AND(V1327&gt;=40,V1327&lt;75,W1327&gt;=65,W1327&lt;100),0.17,0)+IF(AND(V1327&gt;=40,V1327&lt;75,W1327&gt;=100),0.1,0)+IF(AND(V1327&gt;=75,W1327&lt;25),0.35,0)+IF(AND(V1327&gt;=75,W1327&gt;=25,W1327&lt;60),0.25,0)+IF(AND(V1327&gt;=75,W1327&gt;=60,W1327&lt;95),0.17,0)+IF(AND(V1327&gt;=75,W1327&gt;=95),0.1,0),
IF(AF1327="DoEVba",IF(AND(V1327&lt;20,W1327&lt;105),0.2,0)+IF(AND(V1327&lt;20,W1327&gt;=105),0.15,0)+IF(AND(V1327&gt;=20,V1327&lt;40,W1327&lt;95),0.2,0)+IF(AND(V1327&gt;=20,V1327&lt;40,W1327&gt;=95,W1327&lt;150),0.15,0)+IF(AND(V1327&gt;=20,V1327&lt;40,W1327&gt;=150),0.12,0)+IF(AND(V1327&gt;=40,V1327&lt;75,W1327&lt;75),0.2,0)+IF(AND(V1327&gt;=40,V1327&lt;75,W1327&gt;=75,W1327&lt;120),0.15,0)+IF(AND(V1327&gt;=40,V1327&lt;75,W1327&gt;=120),0.12,0)+IF(AND(V1327&gt;=75,V1327&lt;175,W1327&lt;65),0.2,0)+IF(AND(V1327&gt;=75,V1327&lt;175,W1327&gt;=65,W1327&lt;110),0.15,0)+IF(AND(V1327&gt;=75,V1327&lt;175,W1327&gt;=110),0.12,0)+IF(AND(V1327&gt;=175,W1327&lt;55),0.2,0)+IF(AND(V1327&gt;=175,W1327&gt;=55,W1327&lt;95),0.15,0)+IF(AND(V1327&gt;=175,W1327&gt;=95),0.12,0),
IF(AF1327="DoEVku",IF(AND(V1327&lt;20,W1327&lt;55),0.23,0)+IF(AND(V1327&lt;20,W1327&gt;=55,W1327&lt;105),0.2,0)+IF(AND(V1327&lt;20,W1327&gt;=105),0.17,0)+IF(AND(V1327&gt;=20,V1327&lt;40,W1327&lt;45),0.23,0)+IF(AND(V1327&gt;=20,V1327&lt;40,W1327&gt;=45,W1327&lt;95),0.2,0)+IF(AND(V1327&gt;=20,V1327&lt;40,W1327&gt;=95,W1327&lt;=150),0.17,0)+IF(AND(V1327&gt;=20,V1327&lt;40,W1327&gt;=150),0.12,0)+IF(AND(V1327&gt;=40,V1327&lt;75,W1327&lt;35),0.23,0)+IF(AND(V1327&gt;=40,V1327&lt;75,W1327&gt;=35,W1327&lt;75),0.2,0)+IF(AND(V1327&gt;=40,V1327&lt;75,W1327&gt;=75,W1327&lt;120),0.17,0)+IF(AND(V1327&gt;=40,V1327&lt;75,W1327&gt;=120),0.12,0)+IF(AND(V1327&gt;=75,V1327&lt;175,W1327&lt;35),0.23,0)+IF(AND(V1327&gt;=75,V1327&lt;=175,W1327&gt;=35,W1327&lt;65),0.2,0)+IF(AND(V1327&gt;=75,V1327&lt;=175,W1327&gt;=65,W1327&lt;110),0.17,0)+IF(AND(V1327&gt;=75,V1327&lt;=175,W1327&gt;=110),0.12,0)+IF(AND(V1327&gt;175,W1327&lt;25),0.23,0)+IF(AND(V1327&gt;175,W1327&gt;=25,W1327&lt;55),0.2,0)+IF(AND(V1327&gt;175,W1327&gt;=55,W1327&lt;95),0.17,0)+IF(AND(V1327&gt;175,W1327&gt;=95),0.12,0),
IF(AF1327="DoEVs1",IF(AND(V1327&lt;20,W1327&lt;55),0.3,0)+IF(AND(V1327&lt;20,W1327&gt;=55,W1327&lt;105),0.23,0)+IF(AND(V1327&lt;20,W1327&gt;=105),0.17,0)+IF(AND(V1327&gt;=20,V1327&lt;40,W1327&lt;45),0.3,0)+IF(AND(V1327&gt;=20,V1327&lt;40,W1327&gt;=45,W1327&lt;95),0.23,0)+IF(AND(V1327&gt;=20,V1327&lt;40,W1327&gt;=95,W1327&lt;=150),0.17,0)+IF(AND(V1327&gt;=20,V1327&lt;40,W1327&gt;=150),0.12,0)+IF(AND(V1327&gt;=40,V1327&lt;75,W1327&lt;35),0.3,0)+IF(AND(V1327&gt;=40,V1327&lt;75,W1327&gt;=35,W1327&lt;75),0.23,0)+IF(AND(V1327&gt;=40,V1327&lt;75,W1327&gt;=75,W1327&lt;120),0.17,0)+IF(AND(V1327&gt;=40,V1327&lt;75,W1327&gt;=120),0.12,0)+IF(AND(V1327&gt;=75,V1327&lt;175,W1327&lt;35),0.3,0)+IF(AND(V1327&gt;=75,V1327&lt;=175,W1327&gt;=35,W1327&lt;65),0.23,0)+IF(AND(V1327&gt;=75,V1327&lt;=175,W1327&gt;=65,W1327&lt;110),0.17,0)+IF(AND(V1327&gt;=75,V1327&lt;=175,W1327&gt;=110),0.12,0)+IF(AND(V1327&gt;175,W1327&lt;25),0.3,0)+IF(AND(V1327&gt;175,W1327&gt;=25,W1327&lt;55),0.23,0)+IF(AND(V1327&gt;175,W1327&gt;=55,W1327&lt;95),0.17,0)+IF(AND(V1327&gt;175,W1327&gt;=95),0.12,0),
IF(AF1327="DoEVsu",IF(AND(V1327&lt;20,W1327&lt;55),0.3,0)+IF(AND(V1327&lt;20,W1327&gt;=55,W1327&lt;105),0.23,0)+IF(AND(V1327&lt;20,W1327&gt;=105),0.17,0)+IF(AND(V1327&gt;=20,V1327&lt;40,W1327&lt;45),0.3,0)+IF(AND(V1327&gt;=20,V1327&lt;40,W1327&gt;=45,W1327&lt;95),0.23,0)+IF(AND(V1327&gt;=20,V1327&lt;40,W1327&gt;=95,W1327&lt;=250),0.17,0)+IF(AND(V1327&gt;=20,V1327&lt;40,W1327&gt;=250),0.12,0)+IF(AND(V1327&gt;=40,V1327&lt;75,W1327&lt;35),0.3,0)+IF(AND(V1327&gt;=40,V1327&lt;75,W1327&gt;=35,W1327&lt;75),0.23,0)+IF(AND(V1327&gt;=40,V1327&lt;75,W1327&gt;=75,W1327&lt;120),0.17,0)+IF(AND(V1327&gt;=40,V1327&lt;75,W1327&gt;=120),0.12,0)+IF(AND(V1327&gt;=75,V1327&lt;175,W1327&lt;35),0.3,0)+IF(AND(V1327&gt;=75,V1327&lt;=175,W1327&gt;=35,W1327&lt;65),0.23,0)+IF(AND(V1327&gt;=75,V1327&lt;=175,W1327&gt;=65,W1327&lt;110),0.17,0)+IF(AND(V1327&gt;=75,V1327&lt;=175,W1327&gt;=110),0.12,0)+IF(AND(V1327&gt;175,W1327&lt;25),0.3,0)+IF(AND(V1327&gt;175,W1327&gt;=25,W1327&lt;55),0.23,0)+IF(AND(V1327&gt;175,W1327&gt;=55,W1327&lt;95),0.17,0)+IF(AND(V1327&gt;175,W1327&gt;=95),0.12,0),
IF(AF1327="DoEVni",IF(AND(V1327&lt;20,W1327&lt;55),0.3,0)+IF(AND(V1327&lt;20,W1327&gt;=55,W1327&lt;105),0.23,0)+IF(AND(V1327&lt;20,W1327&gt;=105),0.17,0)+IF(AND(V1327&gt;=20,V1327&lt;40,W1327&lt;45),0.3,0)+IF(AND(V1327&gt;=20,V1327&lt;40,W1327&gt;=45,W1327&lt;95),0.23,0)+IF(AND(V1327&gt;=20,V1327&lt;40,W1327&gt;=95,W1327&lt;=200),0.17,0)+IF(AND(V1327&gt;=20,V1327&lt;40,W1327&gt;=200),0.12,0)+IF(AND(V1327&gt;=40,V1327&lt;75,W1327&lt;35),0.3,0)+IF(AND(V1327&gt;=40,V1327&lt;75,W1327&gt;=35,W1327&lt;75),0.23,0)+IF(AND(V1327&gt;=40,V1327&lt;75,W1327&gt;=75,W1327&lt;120),0.17,0)+IF(AND(V1327&gt;=40,V1327&lt;75,W1327&gt;=120),0.12,0)+IF(AND(V1327&gt;=75,V1327&lt;175,W1327&lt;35),0.3,0)+IF(AND(V1327&gt;=75,V1327&lt;=175,W1327&gt;=35,W1327&lt;65),0.23,0)+IF(AND(V1327&gt;=75,V1327&lt;=175,W1327&gt;=65,W1327&lt;110),0.17,0)+IF(AND(V1327&gt;=75,V1327&lt;=175,W1327&gt;=110),0.12,0)+IF(AND(V1327&gt;175,W1327&lt;25),0.3,0)+IF(AND(V1327&gt;175,W1327&gt;=25,W1327&lt;55),0.23,0)+IF(AND(V1327&gt;175,W1327&gt;=55,W1327&lt;95),0.17,0)+IF(AND(V1327&gt;175,W1327&gt;=95),0.12,0),
IF(AF1327="DoEVLo",IF(AND(V1327&lt;20,W1327&lt;55),0.25,0)+IF(AND(V1327&lt;20,W1327&gt;=55,W1327&lt;105),0.2,0)+IF(AND(V1327&lt;20,W1327&gt;=105),0.15,0)+IF(AND(V1327&gt;=20,V1327&lt;40,W1327&lt;45),0.25,0)+IF(AND(V1327&gt;=20,V1327&lt;40,W1327&gt;=45,W1327&lt;95),0.2,0)+IF(AND(V1327&gt;=20,V1327&lt;40,W1327&gt;=95),0.15,0)+IF(AND(V1327&gt;=40,V1327&lt;75,W1327&lt;35),0.25,0)+IF(AND(V1327&gt;=40,V1327&lt;75,W1327&gt;=35,W1327&lt;75),0.2,0)+IF(AND(V1327&gt;=40,V1327&lt;75,W1327&gt;=75,W1327&lt;120),0.15,0)+IF(AND(V1327&gt;=40,V1327&lt;75,W1327&gt;=120),0.1,0)+IF(AND(V1327&gt;=75,V1327&lt;175,W1327&lt;35),0.25,0)+IF(AND(V1327&gt;=75,V1327&lt;=175,W1327&gt;=35,W1327&lt;65),0.2,0)+IF(AND(V1327&gt;=75,V1327&lt;=175,W1327&gt;=65,W1327&lt;110),0.15,0)+IF(AND(V1327&gt;=75,V1327&lt;=175,W1327&gt;=110),0.1,0)+IF(AND(V1327&gt;175,W1327&lt;25),0.25,0)+IF(AND(V1327&gt;175,W1327&gt;=25,W1327&lt;55),0.2,0)+IF(AND(V1327&gt;175,W1327&gt;=55,W1327&lt;95),0.15,0)+IF(AND(V1327&gt;175,W1327&gt;=95),0.1,0))))))))))))))))))</f>
        <v>0.1</v>
      </c>
      <c r="Y1327" s="30">
        <f>IF(AG1327="None",0,IF(AG1327="Fix5",0.05, IF(AG1327="Fix6.25",0.0625,IF(AG1327="Fix3.75",0.0375,IF(AG1327="Fix10",0.1,IF(AG1327="Fix3",0.03,0))))))</f>
        <v>0</v>
      </c>
      <c r="Z1327" s="35">
        <f>T1327-AA1327-AB1327</f>
        <v>-291.60000000000002</v>
      </c>
      <c r="AA1327" s="29">
        <f>IF(AD1327="EUR",((T1327-R1327)*X1327)*U1327+(R1327*X1327),(T1327*X1327))</f>
        <v>-32.4</v>
      </c>
      <c r="AB1327" s="36">
        <f>IF(AD1327="EUR",((T1327-R1327)*Y1327)*U1327+(R1327*Y1327),(T1327*Y1327))</f>
        <v>0</v>
      </c>
      <c r="AC1327" s="37" t="b">
        <v>1</v>
      </c>
      <c r="AD1327" s="37" t="s">
        <v>38</v>
      </c>
      <c r="AE1327" s="37" t="s">
        <v>38</v>
      </c>
      <c r="AF1327" s="37" t="str">
        <f t="array" ref="AF1327">INDEX('Deal Info'!D:D, MATCH(A1327,'Deal Info'!A:A, 0))</f>
        <v>Fix10</v>
      </c>
      <c r="AG1327" s="38" t="str">
        <f t="array" ref="AG1327">INDEX('Deal Info'!G:G, MATCH(A1327,'Deal Info'!A:A, 0))</f>
        <v>None</v>
      </c>
    </row>
    <row r="1328" spans="1:33" ht="14.25" hidden="1" x14ac:dyDescent="0.2">
      <c r="A1328" s="18" t="str">
        <f t="array" ref="A1328">IF(G1328='Room Info'!$B$1, INDEX('Room Info'!$A$2:$A2446, MATCH(B1328,'Room Info'!$B$2:$B2446, 0)),IF(G1328='Room Info'!$C$1, INDEX('Room Info'!$A$2:$A2446, MATCH(B1328,'Room Info'!$C$2:$C2446, 0)),IF(G1328='Room Info'!$D$1, INDEX('Room Info'!$A$2:$A2446, MATCH(B1328,'Room Info'!$D$2:$D2446, 0)),IF(G1328='Room Info'!$E$1, INDEX('Room Info'!$A$2:$A2446, MATCH(B1328,'Room Info'!$E$2:$E2446, 0)),IF(G1328='Room Info'!$F$1, INDEX('Room Info'!$A$2:$A2446, MATCH(B1328,'Room Info'!$F$2:$F2446, 0)),IF(G1328='Room Info'!$H$1, INDEX('Room Info'!$A$2:$A2446, MATCH(B1328,'Room Info'!$H$2:$H2446, 0)),IF(G1328='Room Info'!$G$1, INDEX('Room Info'!$A$2:$A2446, MATCH(B1328,'Room Info'!$G$2:$G2446, 0)))))))))</f>
        <v>volkovsky</v>
      </c>
      <c r="B1328" s="45" t="s">
        <v>206</v>
      </c>
      <c r="C1328" s="77">
        <v>44672</v>
      </c>
      <c r="D1328" s="77">
        <v>44701</v>
      </c>
      <c r="E1328" s="47">
        <v>44682</v>
      </c>
      <c r="F1328" s="48" t="s">
        <v>34</v>
      </c>
      <c r="G1328" s="45" t="s">
        <v>35</v>
      </c>
      <c r="H1328" s="91" t="s">
        <v>88</v>
      </c>
      <c r="I1328" s="49" t="s">
        <v>37</v>
      </c>
      <c r="J1328" s="74">
        <v>250</v>
      </c>
      <c r="K1328" s="75">
        <v>473</v>
      </c>
      <c r="L1328" s="72">
        <v>-2750</v>
      </c>
      <c r="M1328" s="76">
        <v>3815</v>
      </c>
      <c r="N1328" s="28">
        <f>K1328*J1328</f>
        <v>118250</v>
      </c>
      <c r="O1328" s="45">
        <v>10056</v>
      </c>
      <c r="P1328" s="29">
        <v>21.26004228</v>
      </c>
      <c r="Q1328" s="55"/>
      <c r="R1328" s="31">
        <f>M1328+Q1328</f>
        <v>3815</v>
      </c>
      <c r="S1328" s="73">
        <v>-1274</v>
      </c>
      <c r="T1328" s="32">
        <f>R1328+S1328+IF(F1328="Without EV deal",L1328,0)</f>
        <v>2541</v>
      </c>
      <c r="U1328" s="57"/>
      <c r="V1328" s="58"/>
      <c r="W1328" s="58"/>
      <c r="X1328" s="30">
        <f>IF(AF1328="DoEV",IF(AND(V1328&lt;20,W1328&lt;55),0.3,0)+IF(AND(V1328&lt;20,W1328&gt;=55,W1328&lt;105),0.23,0)+IF(AND(V1328&lt;20,W1328&gt;=105),0.17,0)+IF(AND(V1328&gt;=20,V1328&lt;40,W1328&lt;45),0.3,0)+IF(AND(V1328&gt;=20,V1328&lt;40,W1328&gt;=45,W1328&lt;95),0.23,0)+IF(AND(V1328&gt;=20,V1328&lt;40,W1328&gt;=95),0.17,0)+IF(AND(V1328&gt;=40,V1328&lt;75,W1328&lt;35),0.3,0)+IF(AND(V1328&gt;=40,V1328&lt;75,W1328&gt;=35,W1328&lt;75),0.23,0)+IF(AND(V1328&gt;=40,V1328&lt;75,W1328&gt;=75,W1328&lt;120),0.17,0)+IF(AND(V1328&gt;=40,V1328&lt;75,W1328&gt;=120),0.12,0)+IF(AND(V1328&gt;=75,V1328&lt;175,W1328&lt;35),0.3,0)+IF(AND(V1328&gt;=75,V1328&lt;=175,W1328&gt;=35,W1328&lt;65),0.23,0)+IF(AND(V1328&gt;=75,V1328&lt;=175,W1328&gt;=65,W1328&lt;110),0.17,0)+IF(AND(V1328&gt;=75,V1328&lt;=175,W1328&gt;=110),0.12,0)+IF(AND(V1328&gt;175,W1328&lt;25),0.3,0)+IF(AND(V1328&gt;175,W1328&gt;=25,W1328&lt;55),0.23,0)+IF(AND(V1328&gt;175,W1328&gt;=55,W1328&lt;95),0.17,0)+IF(AND(V1328&gt;175,W1328&gt;=95),0.12,0),
IF(AF1328="Fix15",0.15,
IF(AF1328="Fix18.75",0.1875,
IF(AF1328="Fix11.25",0.1125,
IF(AF1328="Fix10",0.1,
IF(AF1328="Fix9",0.09,
IF(AF1328="Fix19",0.19,
IF(AF1328="DoEV2017",IF(AND(W1328&lt;74),0.2,0)+IF(AND(W1328&gt;=74),0.17,0),
IF(AF1328="SF",IF(AND(V1328&lt;20,W1328&lt;89),0.3,0)+IF(AND(V1328&lt;20,W1328&gt;=89),0.25,0)+IF(AND(V1328&gt;=20,V1328&lt;40,W1328&lt;74),0.3,0)+IF(AND(V1328&gt;=20,V1328&lt;40,W1328&gt;=75),0.22,0)+IF(AND(V1328&gt;=40,V1328&lt;75,W1328&lt;75),0.26,0)+IF(AND(V1328&gt;=40,V1328&lt;75,W1328&gt;=75),0.22,0)+IF(V1328&gt;=75,0.22,0),
IF(AF1328="DoEVold",IF(AND(V1328&lt;40,W1328&lt;35),0.35,0)+IF(AND(V1328&lt;40,W1328&gt;=35,W1328&lt;75),0.25,0)+IF(AND(V1328&lt;40,W1328&gt;=75),0.17,0)+IF(AND(V1328&gt;=40,V1328&lt;75,W1328&lt;25),0.35,0)+IF(AND(V1328&gt;=40,V1328&lt;75,W1328&gt;=25,W1328&lt;65),0.25,0)+IF(AND(V1328&gt;=40,V1328&lt;75,W1328&gt;=65,W1328&lt;100),0.17,0)+IF(AND(V1328&gt;=40,V1328&lt;75,W1328&gt;=100),0.1,0)+IF(AND(V1328&gt;=75,W1328&lt;25),0.35,0)+IF(AND(V1328&gt;=75,W1328&gt;=25,W1328&lt;60),0.25,0)+IF(AND(V1328&gt;=75,W1328&gt;=60,W1328&lt;95),0.17,0)+IF(AND(V1328&gt;=75,W1328&gt;=95),0.1,0),
IF(AF1328="DoEVold15",IF(AND(V1328&lt;=40,W1328&lt;35),0.35,0)+IF(AND(V1328&lt;=40,W1328&gt;=35,W1328&lt;75),0.25,0)+IF(AND(V1328&lt;=40,W1328&gt;=75,W1328&lt;120),0.17,0)+IF(AND(V1328&lt;=40,W1328&gt;=120),0.15,0)+IF(AND(V1328&gt;40,V1328&lt;75,W1328&lt;25),0.35,0)+IF(AND(V1328&gt;=40,V1328&lt;75,W1328&gt;=25,W1328&lt;65),0.25,0)+IF(AND(V1328&gt;=40,V1328&lt;75,W1328&gt;=65,W1328&lt;100),0.17,0)+IF(AND(V1328&gt;=40,V1328&lt;75,W1328&gt;=100),0.1,0)+IF(AND(V1328&gt;=75,W1328&lt;25),0.35,0)+IF(AND(V1328&gt;=75,W1328&gt;=25,W1328&lt;60),0.25,0)+IF(AND(V1328&gt;=75,W1328&gt;=60,W1328&lt;95),0.17,0)+IF(AND(V1328&gt;=75,W1328&gt;=95),0.1,0),
IF(AF1328="DoEVba",IF(AND(V1328&lt;20,W1328&lt;105),0.2,0)+IF(AND(V1328&lt;20,W1328&gt;=105),0.15,0)+IF(AND(V1328&gt;=20,V1328&lt;40,W1328&lt;95),0.2,0)+IF(AND(V1328&gt;=20,V1328&lt;40,W1328&gt;=95,W1328&lt;150),0.15,0)+IF(AND(V1328&gt;=20,V1328&lt;40,W1328&gt;=150),0.12,0)+IF(AND(V1328&gt;=40,V1328&lt;75,W1328&lt;75),0.2,0)+IF(AND(V1328&gt;=40,V1328&lt;75,W1328&gt;=75,W1328&lt;120),0.15,0)+IF(AND(V1328&gt;=40,V1328&lt;75,W1328&gt;=120),0.12,0)+IF(AND(V1328&gt;=75,V1328&lt;175,W1328&lt;65),0.2,0)+IF(AND(V1328&gt;=75,V1328&lt;175,W1328&gt;=65,W1328&lt;110),0.15,0)+IF(AND(V1328&gt;=75,V1328&lt;175,W1328&gt;=110),0.12,0)+IF(AND(V1328&gt;=175,W1328&lt;55),0.2,0)+IF(AND(V1328&gt;=175,W1328&gt;=55,W1328&lt;95),0.15,0)+IF(AND(V1328&gt;=175,W1328&gt;=95),0.12,0),
IF(AF1328="DoEVku",IF(AND(V1328&lt;20,W1328&lt;55),0.23,0)+IF(AND(V1328&lt;20,W1328&gt;=55,W1328&lt;105),0.2,0)+IF(AND(V1328&lt;20,W1328&gt;=105),0.17,0)+IF(AND(V1328&gt;=20,V1328&lt;40,W1328&lt;45),0.23,0)+IF(AND(V1328&gt;=20,V1328&lt;40,W1328&gt;=45,W1328&lt;95),0.2,0)+IF(AND(V1328&gt;=20,V1328&lt;40,W1328&gt;=95,W1328&lt;=150),0.17,0)+IF(AND(V1328&gt;=20,V1328&lt;40,W1328&gt;=150),0.12,0)+IF(AND(V1328&gt;=40,V1328&lt;75,W1328&lt;35),0.23,0)+IF(AND(V1328&gt;=40,V1328&lt;75,W1328&gt;=35,W1328&lt;75),0.2,0)+IF(AND(V1328&gt;=40,V1328&lt;75,W1328&gt;=75,W1328&lt;120),0.17,0)+IF(AND(V1328&gt;=40,V1328&lt;75,W1328&gt;=120),0.12,0)+IF(AND(V1328&gt;=75,V1328&lt;175,W1328&lt;35),0.23,0)+IF(AND(V1328&gt;=75,V1328&lt;=175,W1328&gt;=35,W1328&lt;65),0.2,0)+IF(AND(V1328&gt;=75,V1328&lt;=175,W1328&gt;=65,W1328&lt;110),0.17,0)+IF(AND(V1328&gt;=75,V1328&lt;=175,W1328&gt;=110),0.12,0)+IF(AND(V1328&gt;175,W1328&lt;25),0.23,0)+IF(AND(V1328&gt;175,W1328&gt;=25,W1328&lt;55),0.2,0)+IF(AND(V1328&gt;175,W1328&gt;=55,W1328&lt;95),0.17,0)+IF(AND(V1328&gt;175,W1328&gt;=95),0.12,0),
IF(AF1328="DoEVs1",IF(AND(V1328&lt;20,W1328&lt;55),0.3,0)+IF(AND(V1328&lt;20,W1328&gt;=55,W1328&lt;105),0.23,0)+IF(AND(V1328&lt;20,W1328&gt;=105),0.17,0)+IF(AND(V1328&gt;=20,V1328&lt;40,W1328&lt;45),0.3,0)+IF(AND(V1328&gt;=20,V1328&lt;40,W1328&gt;=45,W1328&lt;95),0.23,0)+IF(AND(V1328&gt;=20,V1328&lt;40,W1328&gt;=95,W1328&lt;=150),0.17,0)+IF(AND(V1328&gt;=20,V1328&lt;40,W1328&gt;=150),0.12,0)+IF(AND(V1328&gt;=40,V1328&lt;75,W1328&lt;35),0.3,0)+IF(AND(V1328&gt;=40,V1328&lt;75,W1328&gt;=35,W1328&lt;75),0.23,0)+IF(AND(V1328&gt;=40,V1328&lt;75,W1328&gt;=75,W1328&lt;120),0.17,0)+IF(AND(V1328&gt;=40,V1328&lt;75,W1328&gt;=120),0.12,0)+IF(AND(V1328&gt;=75,V1328&lt;175,W1328&lt;35),0.3,0)+IF(AND(V1328&gt;=75,V1328&lt;=175,W1328&gt;=35,W1328&lt;65),0.23,0)+IF(AND(V1328&gt;=75,V1328&lt;=175,W1328&gt;=65,W1328&lt;110),0.17,0)+IF(AND(V1328&gt;=75,V1328&lt;=175,W1328&gt;=110),0.12,0)+IF(AND(V1328&gt;175,W1328&lt;25),0.3,0)+IF(AND(V1328&gt;175,W1328&gt;=25,W1328&lt;55),0.23,0)+IF(AND(V1328&gt;175,W1328&gt;=55,W1328&lt;95),0.17,0)+IF(AND(V1328&gt;175,W1328&gt;=95),0.12,0),
IF(AF1328="DoEVsu",IF(AND(V1328&lt;20,W1328&lt;55),0.3,0)+IF(AND(V1328&lt;20,W1328&gt;=55,W1328&lt;105),0.23,0)+IF(AND(V1328&lt;20,W1328&gt;=105),0.17,0)+IF(AND(V1328&gt;=20,V1328&lt;40,W1328&lt;45),0.3,0)+IF(AND(V1328&gt;=20,V1328&lt;40,W1328&gt;=45,W1328&lt;95),0.23,0)+IF(AND(V1328&gt;=20,V1328&lt;40,W1328&gt;=95,W1328&lt;=250),0.17,0)+IF(AND(V1328&gt;=20,V1328&lt;40,W1328&gt;=250),0.12,0)+IF(AND(V1328&gt;=40,V1328&lt;75,W1328&lt;35),0.3,0)+IF(AND(V1328&gt;=40,V1328&lt;75,W1328&gt;=35,W1328&lt;75),0.23,0)+IF(AND(V1328&gt;=40,V1328&lt;75,W1328&gt;=75,W1328&lt;120),0.17,0)+IF(AND(V1328&gt;=40,V1328&lt;75,W1328&gt;=120),0.12,0)+IF(AND(V1328&gt;=75,V1328&lt;175,W1328&lt;35),0.3,0)+IF(AND(V1328&gt;=75,V1328&lt;=175,W1328&gt;=35,W1328&lt;65),0.23,0)+IF(AND(V1328&gt;=75,V1328&lt;=175,W1328&gt;=65,W1328&lt;110),0.17,0)+IF(AND(V1328&gt;=75,V1328&lt;=175,W1328&gt;=110),0.12,0)+IF(AND(V1328&gt;175,W1328&lt;25),0.3,0)+IF(AND(V1328&gt;175,W1328&gt;=25,W1328&lt;55),0.23,0)+IF(AND(V1328&gt;175,W1328&gt;=55,W1328&lt;95),0.17,0)+IF(AND(V1328&gt;175,W1328&gt;=95),0.12,0),
IF(AF1328="DoEVni",IF(AND(V1328&lt;20,W1328&lt;55),0.3,0)+IF(AND(V1328&lt;20,W1328&gt;=55,W1328&lt;105),0.23,0)+IF(AND(V1328&lt;20,W1328&gt;=105),0.17,0)+IF(AND(V1328&gt;=20,V1328&lt;40,W1328&lt;45),0.3,0)+IF(AND(V1328&gt;=20,V1328&lt;40,W1328&gt;=45,W1328&lt;95),0.23,0)+IF(AND(V1328&gt;=20,V1328&lt;40,W1328&gt;=95,W1328&lt;=200),0.17,0)+IF(AND(V1328&gt;=20,V1328&lt;40,W1328&gt;=200),0.12,0)+IF(AND(V1328&gt;=40,V1328&lt;75,W1328&lt;35),0.3,0)+IF(AND(V1328&gt;=40,V1328&lt;75,W1328&gt;=35,W1328&lt;75),0.23,0)+IF(AND(V1328&gt;=40,V1328&lt;75,W1328&gt;=75,W1328&lt;120),0.17,0)+IF(AND(V1328&gt;=40,V1328&lt;75,W1328&gt;=120),0.12,0)+IF(AND(V1328&gt;=75,V1328&lt;175,W1328&lt;35),0.3,0)+IF(AND(V1328&gt;=75,V1328&lt;=175,W1328&gt;=35,W1328&lt;65),0.23,0)+IF(AND(V1328&gt;=75,V1328&lt;=175,W1328&gt;=65,W1328&lt;110),0.17,0)+IF(AND(V1328&gt;=75,V1328&lt;=175,W1328&gt;=110),0.12,0)+IF(AND(V1328&gt;175,W1328&lt;25),0.3,0)+IF(AND(V1328&gt;175,W1328&gt;=25,W1328&lt;55),0.23,0)+IF(AND(V1328&gt;175,W1328&gt;=55,W1328&lt;95),0.17,0)+IF(AND(V1328&gt;175,W1328&gt;=95),0.12,0),
IF(AF1328="DoEVLo",IF(AND(V1328&lt;20,W1328&lt;55),0.25,0)+IF(AND(V1328&lt;20,W1328&gt;=55,W1328&lt;105),0.2,0)+IF(AND(V1328&lt;20,W1328&gt;=105),0.15,0)+IF(AND(V1328&gt;=20,V1328&lt;40,W1328&lt;45),0.25,0)+IF(AND(V1328&gt;=20,V1328&lt;40,W1328&gt;=45,W1328&lt;95),0.2,0)+IF(AND(V1328&gt;=20,V1328&lt;40,W1328&gt;=95),0.15,0)+IF(AND(V1328&gt;=40,V1328&lt;75,W1328&lt;35),0.25,0)+IF(AND(V1328&gt;=40,V1328&lt;75,W1328&gt;=35,W1328&lt;75),0.2,0)+IF(AND(V1328&gt;=40,V1328&lt;75,W1328&gt;=75,W1328&lt;120),0.15,0)+IF(AND(V1328&gt;=40,V1328&lt;75,W1328&gt;=120),0.1,0)+IF(AND(V1328&gt;=75,V1328&lt;175,W1328&lt;35),0.25,0)+IF(AND(V1328&gt;=75,V1328&lt;=175,W1328&gt;=35,W1328&lt;65),0.2,0)+IF(AND(V1328&gt;=75,V1328&lt;=175,W1328&gt;=65,W1328&lt;110),0.15,0)+IF(AND(V1328&gt;=75,V1328&lt;=175,W1328&gt;=110),0.1,0)+IF(AND(V1328&gt;175,W1328&lt;25),0.25,0)+IF(AND(V1328&gt;175,W1328&gt;=25,W1328&lt;55),0.2,0)+IF(AND(V1328&gt;175,W1328&gt;=55,W1328&lt;95),0.15,0)+IF(AND(V1328&gt;175,W1328&gt;=95),0.1,0))))))))))))))))))</f>
        <v>0.1</v>
      </c>
      <c r="Y1328" s="30">
        <f>IF(AG1328="None",0,IF(AG1328="Fix5",0.05, IF(AG1328="Fix6.25",0.0625,IF(AG1328="Fix3.75",0.0375,IF(AG1328="Fix10",0.1,IF(AG1328="Fix3",0.03,0))))))</f>
        <v>0</v>
      </c>
      <c r="Z1328" s="35">
        <f>T1328-AA1328-AB1328</f>
        <v>2286.9</v>
      </c>
      <c r="AA1328" s="29">
        <f>IF(AD1328="EUR",((T1328-R1328)*X1328)*U1328+(R1328*X1328),(T1328*X1328))</f>
        <v>254.10000000000002</v>
      </c>
      <c r="AB1328" s="36">
        <f>IF(AD1328="EUR",((T1328-R1328)*Y1328)*U1328+(R1328*Y1328),(T1328*Y1328))</f>
        <v>0</v>
      </c>
      <c r="AC1328" s="37" t="b">
        <v>1</v>
      </c>
      <c r="AD1328" s="37" t="s">
        <v>38</v>
      </c>
      <c r="AE1328" s="37" t="s">
        <v>38</v>
      </c>
      <c r="AF1328" s="37" t="str">
        <f t="array" ref="AF1328">INDEX('Deal Info'!D:D, MATCH(A1328,'Deal Info'!A:A, 0))</f>
        <v>Fix10</v>
      </c>
      <c r="AG1328" s="38" t="str">
        <f t="array" ref="AG1328">INDEX('Deal Info'!G:G, MATCH(A1328,'Deal Info'!A:A, 0))</f>
        <v>None</v>
      </c>
    </row>
    <row r="1329" spans="1:33" ht="14.25" hidden="1" x14ac:dyDescent="0.2">
      <c r="A1329" s="18" t="str">
        <f t="array" ref="A1329">IF(G1329='Room Info'!$B$1, INDEX('Room Info'!$A$2:$A2446, MATCH(B1329,'Room Info'!$B$2:$B2446, 0)),IF(G1329='Room Info'!$C$1, INDEX('Room Info'!$A$2:$A2446, MATCH(B1329,'Room Info'!$C$2:$C2446, 0)),IF(G1329='Room Info'!$D$1, INDEX('Room Info'!$A$2:$A2446, MATCH(B1329,'Room Info'!$D$2:$D2446, 0)),IF(G1329='Room Info'!$E$1, INDEX('Room Info'!$A$2:$A2446, MATCH(B1329,'Room Info'!$E$2:$E2446, 0)),IF(G1329='Room Info'!$F$1, INDEX('Room Info'!$A$2:$A2446, MATCH(B1329,'Room Info'!$F$2:$F2446, 0)),IF(G1329='Room Info'!$H$1, INDEX('Room Info'!$A$2:$A2446, MATCH(B1329,'Room Info'!$H$2:$H2446, 0)),IF(G1329='Room Info'!$G$1, INDEX('Room Info'!$A$2:$A2446, MATCH(B1329,'Room Info'!$G$2:$G2446, 0)))))))))</f>
        <v>volkovsky</v>
      </c>
      <c r="B1329" s="45" t="s">
        <v>206</v>
      </c>
      <c r="C1329" s="77">
        <v>44672</v>
      </c>
      <c r="D1329" s="77">
        <v>44701</v>
      </c>
      <c r="E1329" s="47">
        <v>44682</v>
      </c>
      <c r="F1329" s="48" t="s">
        <v>34</v>
      </c>
      <c r="G1329" s="45" t="s">
        <v>35</v>
      </c>
      <c r="H1329" s="91" t="s">
        <v>148</v>
      </c>
      <c r="I1329" s="49" t="s">
        <v>44</v>
      </c>
      <c r="J1329" s="74">
        <v>250</v>
      </c>
      <c r="K1329" s="75">
        <v>563</v>
      </c>
      <c r="L1329" s="72">
        <v>-17000</v>
      </c>
      <c r="M1329" s="76">
        <v>4540</v>
      </c>
      <c r="N1329" s="28">
        <f>K1329*J1329</f>
        <v>140750</v>
      </c>
      <c r="O1329" s="45">
        <v>6333</v>
      </c>
      <c r="P1329" s="29">
        <v>11.24866785</v>
      </c>
      <c r="Q1329" s="55"/>
      <c r="R1329" s="31">
        <f>M1329+Q1329</f>
        <v>4540</v>
      </c>
      <c r="S1329" s="73">
        <v>-2180</v>
      </c>
      <c r="T1329" s="32">
        <f>R1329+S1329+IF(F1329="Without EV deal",L1329,0)</f>
        <v>2360</v>
      </c>
      <c r="U1329" s="57"/>
      <c r="V1329" s="58"/>
      <c r="W1329" s="58"/>
      <c r="X1329" s="30">
        <f>IF(AF1329="DoEV",IF(AND(V1329&lt;20,W1329&lt;55),0.3,0)+IF(AND(V1329&lt;20,W1329&gt;=55,W1329&lt;105),0.23,0)+IF(AND(V1329&lt;20,W1329&gt;=105),0.17,0)+IF(AND(V1329&gt;=20,V1329&lt;40,W1329&lt;45),0.3,0)+IF(AND(V1329&gt;=20,V1329&lt;40,W1329&gt;=45,W1329&lt;95),0.23,0)+IF(AND(V1329&gt;=20,V1329&lt;40,W1329&gt;=95),0.17,0)+IF(AND(V1329&gt;=40,V1329&lt;75,W1329&lt;35),0.3,0)+IF(AND(V1329&gt;=40,V1329&lt;75,W1329&gt;=35,W1329&lt;75),0.23,0)+IF(AND(V1329&gt;=40,V1329&lt;75,W1329&gt;=75,W1329&lt;120),0.17,0)+IF(AND(V1329&gt;=40,V1329&lt;75,W1329&gt;=120),0.12,0)+IF(AND(V1329&gt;=75,V1329&lt;175,W1329&lt;35),0.3,0)+IF(AND(V1329&gt;=75,V1329&lt;=175,W1329&gt;=35,W1329&lt;65),0.23,0)+IF(AND(V1329&gt;=75,V1329&lt;=175,W1329&gt;=65,W1329&lt;110),0.17,0)+IF(AND(V1329&gt;=75,V1329&lt;=175,W1329&gt;=110),0.12,0)+IF(AND(V1329&gt;175,W1329&lt;25),0.3,0)+IF(AND(V1329&gt;175,W1329&gt;=25,W1329&lt;55),0.23,0)+IF(AND(V1329&gt;175,W1329&gt;=55,W1329&lt;95),0.17,0)+IF(AND(V1329&gt;175,W1329&gt;=95),0.12,0),
IF(AF1329="Fix15",0.15,
IF(AF1329="Fix18.75",0.1875,
IF(AF1329="Fix11.25",0.1125,
IF(AF1329="Fix10",0.1,
IF(AF1329="Fix9",0.09,
IF(AF1329="Fix19",0.19,
IF(AF1329="DoEV2017",IF(AND(W1329&lt;74),0.2,0)+IF(AND(W1329&gt;=74),0.17,0),
IF(AF1329="SF",IF(AND(V1329&lt;20,W1329&lt;89),0.3,0)+IF(AND(V1329&lt;20,W1329&gt;=89),0.25,0)+IF(AND(V1329&gt;=20,V1329&lt;40,W1329&lt;74),0.3,0)+IF(AND(V1329&gt;=20,V1329&lt;40,W1329&gt;=75),0.22,0)+IF(AND(V1329&gt;=40,V1329&lt;75,W1329&lt;75),0.26,0)+IF(AND(V1329&gt;=40,V1329&lt;75,W1329&gt;=75),0.22,0)+IF(V1329&gt;=75,0.22,0),
IF(AF1329="DoEVold",IF(AND(V1329&lt;40,W1329&lt;35),0.35,0)+IF(AND(V1329&lt;40,W1329&gt;=35,W1329&lt;75),0.25,0)+IF(AND(V1329&lt;40,W1329&gt;=75),0.17,0)+IF(AND(V1329&gt;=40,V1329&lt;75,W1329&lt;25),0.35,0)+IF(AND(V1329&gt;=40,V1329&lt;75,W1329&gt;=25,W1329&lt;65),0.25,0)+IF(AND(V1329&gt;=40,V1329&lt;75,W1329&gt;=65,W1329&lt;100),0.17,0)+IF(AND(V1329&gt;=40,V1329&lt;75,W1329&gt;=100),0.1,0)+IF(AND(V1329&gt;=75,W1329&lt;25),0.35,0)+IF(AND(V1329&gt;=75,W1329&gt;=25,W1329&lt;60),0.25,0)+IF(AND(V1329&gt;=75,W1329&gt;=60,W1329&lt;95),0.17,0)+IF(AND(V1329&gt;=75,W1329&gt;=95),0.1,0),
IF(AF1329="DoEVold15",IF(AND(V1329&lt;=40,W1329&lt;35),0.35,0)+IF(AND(V1329&lt;=40,W1329&gt;=35,W1329&lt;75),0.25,0)+IF(AND(V1329&lt;=40,W1329&gt;=75,W1329&lt;120),0.17,0)+IF(AND(V1329&lt;=40,W1329&gt;=120),0.15,0)+IF(AND(V1329&gt;40,V1329&lt;75,W1329&lt;25),0.35,0)+IF(AND(V1329&gt;=40,V1329&lt;75,W1329&gt;=25,W1329&lt;65),0.25,0)+IF(AND(V1329&gt;=40,V1329&lt;75,W1329&gt;=65,W1329&lt;100),0.17,0)+IF(AND(V1329&gt;=40,V1329&lt;75,W1329&gt;=100),0.1,0)+IF(AND(V1329&gt;=75,W1329&lt;25),0.35,0)+IF(AND(V1329&gt;=75,W1329&gt;=25,W1329&lt;60),0.25,0)+IF(AND(V1329&gt;=75,W1329&gt;=60,W1329&lt;95),0.17,0)+IF(AND(V1329&gt;=75,W1329&gt;=95),0.1,0),
IF(AF1329="DoEVba",IF(AND(V1329&lt;20,W1329&lt;105),0.2,0)+IF(AND(V1329&lt;20,W1329&gt;=105),0.15,0)+IF(AND(V1329&gt;=20,V1329&lt;40,W1329&lt;95),0.2,0)+IF(AND(V1329&gt;=20,V1329&lt;40,W1329&gt;=95,W1329&lt;150),0.15,0)+IF(AND(V1329&gt;=20,V1329&lt;40,W1329&gt;=150),0.12,0)+IF(AND(V1329&gt;=40,V1329&lt;75,W1329&lt;75),0.2,0)+IF(AND(V1329&gt;=40,V1329&lt;75,W1329&gt;=75,W1329&lt;120),0.15,0)+IF(AND(V1329&gt;=40,V1329&lt;75,W1329&gt;=120),0.12,0)+IF(AND(V1329&gt;=75,V1329&lt;175,W1329&lt;65),0.2,0)+IF(AND(V1329&gt;=75,V1329&lt;175,W1329&gt;=65,W1329&lt;110),0.15,0)+IF(AND(V1329&gt;=75,V1329&lt;175,W1329&gt;=110),0.12,0)+IF(AND(V1329&gt;=175,W1329&lt;55),0.2,0)+IF(AND(V1329&gt;=175,W1329&gt;=55,W1329&lt;95),0.15,0)+IF(AND(V1329&gt;=175,W1329&gt;=95),0.12,0),
IF(AF1329="DoEVku",IF(AND(V1329&lt;20,W1329&lt;55),0.23,0)+IF(AND(V1329&lt;20,W1329&gt;=55,W1329&lt;105),0.2,0)+IF(AND(V1329&lt;20,W1329&gt;=105),0.17,0)+IF(AND(V1329&gt;=20,V1329&lt;40,W1329&lt;45),0.23,0)+IF(AND(V1329&gt;=20,V1329&lt;40,W1329&gt;=45,W1329&lt;95),0.2,0)+IF(AND(V1329&gt;=20,V1329&lt;40,W1329&gt;=95,W1329&lt;=150),0.17,0)+IF(AND(V1329&gt;=20,V1329&lt;40,W1329&gt;=150),0.12,0)+IF(AND(V1329&gt;=40,V1329&lt;75,W1329&lt;35),0.23,0)+IF(AND(V1329&gt;=40,V1329&lt;75,W1329&gt;=35,W1329&lt;75),0.2,0)+IF(AND(V1329&gt;=40,V1329&lt;75,W1329&gt;=75,W1329&lt;120),0.17,0)+IF(AND(V1329&gt;=40,V1329&lt;75,W1329&gt;=120),0.12,0)+IF(AND(V1329&gt;=75,V1329&lt;175,W1329&lt;35),0.23,0)+IF(AND(V1329&gt;=75,V1329&lt;=175,W1329&gt;=35,W1329&lt;65),0.2,0)+IF(AND(V1329&gt;=75,V1329&lt;=175,W1329&gt;=65,W1329&lt;110),0.17,0)+IF(AND(V1329&gt;=75,V1329&lt;=175,W1329&gt;=110),0.12,0)+IF(AND(V1329&gt;175,W1329&lt;25),0.23,0)+IF(AND(V1329&gt;175,W1329&gt;=25,W1329&lt;55),0.2,0)+IF(AND(V1329&gt;175,W1329&gt;=55,W1329&lt;95),0.17,0)+IF(AND(V1329&gt;175,W1329&gt;=95),0.12,0),
IF(AF1329="DoEVs1",IF(AND(V1329&lt;20,W1329&lt;55),0.3,0)+IF(AND(V1329&lt;20,W1329&gt;=55,W1329&lt;105),0.23,0)+IF(AND(V1329&lt;20,W1329&gt;=105),0.17,0)+IF(AND(V1329&gt;=20,V1329&lt;40,W1329&lt;45),0.3,0)+IF(AND(V1329&gt;=20,V1329&lt;40,W1329&gt;=45,W1329&lt;95),0.23,0)+IF(AND(V1329&gt;=20,V1329&lt;40,W1329&gt;=95,W1329&lt;=150),0.17,0)+IF(AND(V1329&gt;=20,V1329&lt;40,W1329&gt;=150),0.12,0)+IF(AND(V1329&gt;=40,V1329&lt;75,W1329&lt;35),0.3,0)+IF(AND(V1329&gt;=40,V1329&lt;75,W1329&gt;=35,W1329&lt;75),0.23,0)+IF(AND(V1329&gt;=40,V1329&lt;75,W1329&gt;=75,W1329&lt;120),0.17,0)+IF(AND(V1329&gt;=40,V1329&lt;75,W1329&gt;=120),0.12,0)+IF(AND(V1329&gt;=75,V1329&lt;175,W1329&lt;35),0.3,0)+IF(AND(V1329&gt;=75,V1329&lt;=175,W1329&gt;=35,W1329&lt;65),0.23,0)+IF(AND(V1329&gt;=75,V1329&lt;=175,W1329&gt;=65,W1329&lt;110),0.17,0)+IF(AND(V1329&gt;=75,V1329&lt;=175,W1329&gt;=110),0.12,0)+IF(AND(V1329&gt;175,W1329&lt;25),0.3,0)+IF(AND(V1329&gt;175,W1329&gt;=25,W1329&lt;55),0.23,0)+IF(AND(V1329&gt;175,W1329&gt;=55,W1329&lt;95),0.17,0)+IF(AND(V1329&gt;175,W1329&gt;=95),0.12,0),
IF(AF1329="DoEVsu",IF(AND(V1329&lt;20,W1329&lt;55),0.3,0)+IF(AND(V1329&lt;20,W1329&gt;=55,W1329&lt;105),0.23,0)+IF(AND(V1329&lt;20,W1329&gt;=105),0.17,0)+IF(AND(V1329&gt;=20,V1329&lt;40,W1329&lt;45),0.3,0)+IF(AND(V1329&gt;=20,V1329&lt;40,W1329&gt;=45,W1329&lt;95),0.23,0)+IF(AND(V1329&gt;=20,V1329&lt;40,W1329&gt;=95,W1329&lt;=250),0.17,0)+IF(AND(V1329&gt;=20,V1329&lt;40,W1329&gt;=250),0.12,0)+IF(AND(V1329&gt;=40,V1329&lt;75,W1329&lt;35),0.3,0)+IF(AND(V1329&gt;=40,V1329&lt;75,W1329&gt;=35,W1329&lt;75),0.23,0)+IF(AND(V1329&gt;=40,V1329&lt;75,W1329&gt;=75,W1329&lt;120),0.17,0)+IF(AND(V1329&gt;=40,V1329&lt;75,W1329&gt;=120),0.12,0)+IF(AND(V1329&gt;=75,V1329&lt;175,W1329&lt;35),0.3,0)+IF(AND(V1329&gt;=75,V1329&lt;=175,W1329&gt;=35,W1329&lt;65),0.23,0)+IF(AND(V1329&gt;=75,V1329&lt;=175,W1329&gt;=65,W1329&lt;110),0.17,0)+IF(AND(V1329&gt;=75,V1329&lt;=175,W1329&gt;=110),0.12,0)+IF(AND(V1329&gt;175,W1329&lt;25),0.3,0)+IF(AND(V1329&gt;175,W1329&gt;=25,W1329&lt;55),0.23,0)+IF(AND(V1329&gt;175,W1329&gt;=55,W1329&lt;95),0.17,0)+IF(AND(V1329&gt;175,W1329&gt;=95),0.12,0),
IF(AF1329="DoEVni",IF(AND(V1329&lt;20,W1329&lt;55),0.3,0)+IF(AND(V1329&lt;20,W1329&gt;=55,W1329&lt;105),0.23,0)+IF(AND(V1329&lt;20,W1329&gt;=105),0.17,0)+IF(AND(V1329&gt;=20,V1329&lt;40,W1329&lt;45),0.3,0)+IF(AND(V1329&gt;=20,V1329&lt;40,W1329&gt;=45,W1329&lt;95),0.23,0)+IF(AND(V1329&gt;=20,V1329&lt;40,W1329&gt;=95,W1329&lt;=200),0.17,0)+IF(AND(V1329&gt;=20,V1329&lt;40,W1329&gt;=200),0.12,0)+IF(AND(V1329&gt;=40,V1329&lt;75,W1329&lt;35),0.3,0)+IF(AND(V1329&gt;=40,V1329&lt;75,W1329&gt;=35,W1329&lt;75),0.23,0)+IF(AND(V1329&gt;=40,V1329&lt;75,W1329&gt;=75,W1329&lt;120),0.17,0)+IF(AND(V1329&gt;=40,V1329&lt;75,W1329&gt;=120),0.12,0)+IF(AND(V1329&gt;=75,V1329&lt;175,W1329&lt;35),0.3,0)+IF(AND(V1329&gt;=75,V1329&lt;=175,W1329&gt;=35,W1329&lt;65),0.23,0)+IF(AND(V1329&gt;=75,V1329&lt;=175,W1329&gt;=65,W1329&lt;110),0.17,0)+IF(AND(V1329&gt;=75,V1329&lt;=175,W1329&gt;=110),0.12,0)+IF(AND(V1329&gt;175,W1329&lt;25),0.3,0)+IF(AND(V1329&gt;175,W1329&gt;=25,W1329&lt;55),0.23,0)+IF(AND(V1329&gt;175,W1329&gt;=55,W1329&lt;95),0.17,0)+IF(AND(V1329&gt;175,W1329&gt;=95),0.12,0),
IF(AF1329="DoEVLo",IF(AND(V1329&lt;20,W1329&lt;55),0.25,0)+IF(AND(V1329&lt;20,W1329&gt;=55,W1329&lt;105),0.2,0)+IF(AND(V1329&lt;20,W1329&gt;=105),0.15,0)+IF(AND(V1329&gt;=20,V1329&lt;40,W1329&lt;45),0.25,0)+IF(AND(V1329&gt;=20,V1329&lt;40,W1329&gt;=45,W1329&lt;95),0.2,0)+IF(AND(V1329&gt;=20,V1329&lt;40,W1329&gt;=95),0.15,0)+IF(AND(V1329&gt;=40,V1329&lt;75,W1329&lt;35),0.25,0)+IF(AND(V1329&gt;=40,V1329&lt;75,W1329&gt;=35,W1329&lt;75),0.2,0)+IF(AND(V1329&gt;=40,V1329&lt;75,W1329&gt;=75,W1329&lt;120),0.15,0)+IF(AND(V1329&gt;=40,V1329&lt;75,W1329&gt;=120),0.1,0)+IF(AND(V1329&gt;=75,V1329&lt;175,W1329&lt;35),0.25,0)+IF(AND(V1329&gt;=75,V1329&lt;=175,W1329&gt;=35,W1329&lt;65),0.2,0)+IF(AND(V1329&gt;=75,V1329&lt;=175,W1329&gt;=65,W1329&lt;110),0.15,0)+IF(AND(V1329&gt;=75,V1329&lt;=175,W1329&gt;=110),0.1,0)+IF(AND(V1329&gt;175,W1329&lt;25),0.25,0)+IF(AND(V1329&gt;175,W1329&gt;=25,W1329&lt;55),0.2,0)+IF(AND(V1329&gt;175,W1329&gt;=55,W1329&lt;95),0.15,0)+IF(AND(V1329&gt;175,W1329&gt;=95),0.1,0))))))))))))))))))</f>
        <v>0.1</v>
      </c>
      <c r="Y1329" s="30">
        <f>IF(AG1329="None",0,IF(AG1329="Fix5",0.05, IF(AG1329="Fix6.25",0.0625,IF(AG1329="Fix3.75",0.0375,IF(AG1329="Fix10",0.1,IF(AG1329="Fix3",0.03,0))))))</f>
        <v>0</v>
      </c>
      <c r="Z1329" s="35">
        <f>T1329-AA1329-AB1329</f>
        <v>2124</v>
      </c>
      <c r="AA1329" s="29">
        <f>IF(AD1329="EUR",((T1329-R1329)*X1329)*U1329+(R1329*X1329),(T1329*X1329))</f>
        <v>236</v>
      </c>
      <c r="AB1329" s="36">
        <f>IF(AD1329="EUR",((T1329-R1329)*Y1329)*U1329+(R1329*Y1329),(T1329*Y1329))</f>
        <v>0</v>
      </c>
      <c r="AC1329" s="37" t="b">
        <v>1</v>
      </c>
      <c r="AD1329" s="37" t="s">
        <v>38</v>
      </c>
      <c r="AE1329" s="37" t="s">
        <v>38</v>
      </c>
      <c r="AF1329" s="37" t="str">
        <f t="array" ref="AF1329">INDEX('Deal Info'!D:D, MATCH(A1329,'Deal Info'!A:A, 0))</f>
        <v>Fix10</v>
      </c>
      <c r="AG1329" s="38" t="str">
        <f t="array" ref="AG1329">INDEX('Deal Info'!G:G, MATCH(A1329,'Deal Info'!A:A, 0))</f>
        <v>None</v>
      </c>
    </row>
    <row r="1330" spans="1:33" ht="14.25" hidden="1" x14ac:dyDescent="0.2">
      <c r="A1330" s="18" t="str">
        <f t="array" ref="A1330">IF(G1330='Room Info'!$B$1, INDEX('Room Info'!$A$2:$A2446, MATCH(B1330,'Room Info'!$B$2:$B2446, 0)),IF(G1330='Room Info'!$C$1, INDEX('Room Info'!$A$2:$A2446, MATCH(B1330,'Room Info'!$C$2:$C2446, 0)),IF(G1330='Room Info'!$D$1, INDEX('Room Info'!$A$2:$A2446, MATCH(B1330,'Room Info'!$D$2:$D2446, 0)),IF(G1330='Room Info'!$E$1, INDEX('Room Info'!$A$2:$A2446, MATCH(B1330,'Room Info'!$E$2:$E2446, 0)),IF(G1330='Room Info'!$F$1, INDEX('Room Info'!$A$2:$A2446, MATCH(B1330,'Room Info'!$F$2:$F2446, 0)),IF(G1330='Room Info'!$H$1, INDEX('Room Info'!$A$2:$A2446, MATCH(B1330,'Room Info'!$H$2:$H2446, 0)),IF(G1330='Room Info'!$G$1, INDEX('Room Info'!$A$2:$A2446, MATCH(B1330,'Room Info'!$G$2:$G2446, 0)))))))))</f>
        <v>volkovsky</v>
      </c>
      <c r="B1330" s="45" t="s">
        <v>206</v>
      </c>
      <c r="C1330" s="77">
        <v>44702</v>
      </c>
      <c r="D1330" s="77">
        <v>44732</v>
      </c>
      <c r="E1330" s="47">
        <v>44713</v>
      </c>
      <c r="F1330" s="48" t="s">
        <v>34</v>
      </c>
      <c r="G1330" s="45" t="s">
        <v>35</v>
      </c>
      <c r="H1330" s="91" t="s">
        <v>70</v>
      </c>
      <c r="I1330" s="49" t="s">
        <v>37</v>
      </c>
      <c r="J1330" s="74">
        <v>100</v>
      </c>
      <c r="K1330" s="75">
        <v>341</v>
      </c>
      <c r="L1330" s="72">
        <v>-3000</v>
      </c>
      <c r="M1330" s="76">
        <v>1231</v>
      </c>
      <c r="N1330" s="28">
        <f>K1330*J1330</f>
        <v>34100</v>
      </c>
      <c r="O1330" s="45">
        <v>-3815</v>
      </c>
      <c r="P1330" s="29">
        <v>-11.18768328</v>
      </c>
      <c r="Q1330" s="55"/>
      <c r="R1330" s="31">
        <f>M1330+Q1330</f>
        <v>1231</v>
      </c>
      <c r="S1330" s="73">
        <v>-2403</v>
      </c>
      <c r="T1330" s="32">
        <f>R1330+S1330+IF(F1330="Without EV deal",L1330,0)</f>
        <v>-1172</v>
      </c>
      <c r="U1330" s="57"/>
      <c r="V1330" s="58"/>
      <c r="W1330" s="58"/>
      <c r="X1330" s="30">
        <f>IF(AF1330="DoEV",IF(AND(V1330&lt;20,W1330&lt;55),0.3,0)+IF(AND(V1330&lt;20,W1330&gt;=55,W1330&lt;105),0.23,0)+IF(AND(V1330&lt;20,W1330&gt;=105),0.17,0)+IF(AND(V1330&gt;=20,V1330&lt;40,W1330&lt;45),0.3,0)+IF(AND(V1330&gt;=20,V1330&lt;40,W1330&gt;=45,W1330&lt;95),0.23,0)+IF(AND(V1330&gt;=20,V1330&lt;40,W1330&gt;=95),0.17,0)+IF(AND(V1330&gt;=40,V1330&lt;75,W1330&lt;35),0.3,0)+IF(AND(V1330&gt;=40,V1330&lt;75,W1330&gt;=35,W1330&lt;75),0.23,0)+IF(AND(V1330&gt;=40,V1330&lt;75,W1330&gt;=75,W1330&lt;120),0.17,0)+IF(AND(V1330&gt;=40,V1330&lt;75,W1330&gt;=120),0.12,0)+IF(AND(V1330&gt;=75,V1330&lt;175,W1330&lt;35),0.3,0)+IF(AND(V1330&gt;=75,V1330&lt;=175,W1330&gt;=35,W1330&lt;65),0.23,0)+IF(AND(V1330&gt;=75,V1330&lt;=175,W1330&gt;=65,W1330&lt;110),0.17,0)+IF(AND(V1330&gt;=75,V1330&lt;=175,W1330&gt;=110),0.12,0)+IF(AND(V1330&gt;175,W1330&lt;25),0.3,0)+IF(AND(V1330&gt;175,W1330&gt;=25,W1330&lt;55),0.23,0)+IF(AND(V1330&gt;175,W1330&gt;=55,W1330&lt;95),0.17,0)+IF(AND(V1330&gt;175,W1330&gt;=95),0.12,0),
IF(AF1330="Fix15",0.15,
IF(AF1330="Fix18.75",0.1875,
IF(AF1330="Fix11.25",0.1125,
IF(AF1330="Fix10",0.1,
IF(AF1330="Fix9",0.09,
IF(AF1330="Fix19",0.19,
IF(AF1330="DoEV2017",IF(AND(W1330&lt;74),0.2,0)+IF(AND(W1330&gt;=74),0.17,0),
IF(AF1330="SF",IF(AND(V1330&lt;20,W1330&lt;89),0.3,0)+IF(AND(V1330&lt;20,W1330&gt;=89),0.25,0)+IF(AND(V1330&gt;=20,V1330&lt;40,W1330&lt;74),0.3,0)+IF(AND(V1330&gt;=20,V1330&lt;40,W1330&gt;=75),0.22,0)+IF(AND(V1330&gt;=40,V1330&lt;75,W1330&lt;75),0.26,0)+IF(AND(V1330&gt;=40,V1330&lt;75,W1330&gt;=75),0.22,0)+IF(V1330&gt;=75,0.22,0),
IF(AF1330="DoEVold",IF(AND(V1330&lt;40,W1330&lt;35),0.35,0)+IF(AND(V1330&lt;40,W1330&gt;=35,W1330&lt;75),0.25,0)+IF(AND(V1330&lt;40,W1330&gt;=75),0.17,0)+IF(AND(V1330&gt;=40,V1330&lt;75,W1330&lt;25),0.35,0)+IF(AND(V1330&gt;=40,V1330&lt;75,W1330&gt;=25,W1330&lt;65),0.25,0)+IF(AND(V1330&gt;=40,V1330&lt;75,W1330&gt;=65,W1330&lt;100),0.17,0)+IF(AND(V1330&gt;=40,V1330&lt;75,W1330&gt;=100),0.1,0)+IF(AND(V1330&gt;=75,W1330&lt;25),0.35,0)+IF(AND(V1330&gt;=75,W1330&gt;=25,W1330&lt;60),0.25,0)+IF(AND(V1330&gt;=75,W1330&gt;=60,W1330&lt;95),0.17,0)+IF(AND(V1330&gt;=75,W1330&gt;=95),0.1,0),
IF(AF1330="DoEVold15",IF(AND(V1330&lt;=40,W1330&lt;35),0.35,0)+IF(AND(V1330&lt;=40,W1330&gt;=35,W1330&lt;75),0.25,0)+IF(AND(V1330&lt;=40,W1330&gt;=75,W1330&lt;120),0.17,0)+IF(AND(V1330&lt;=40,W1330&gt;=120),0.15,0)+IF(AND(V1330&gt;40,V1330&lt;75,W1330&lt;25),0.35,0)+IF(AND(V1330&gt;=40,V1330&lt;75,W1330&gt;=25,W1330&lt;65),0.25,0)+IF(AND(V1330&gt;=40,V1330&lt;75,W1330&gt;=65,W1330&lt;100),0.17,0)+IF(AND(V1330&gt;=40,V1330&lt;75,W1330&gt;=100),0.1,0)+IF(AND(V1330&gt;=75,W1330&lt;25),0.35,0)+IF(AND(V1330&gt;=75,W1330&gt;=25,W1330&lt;60),0.25,0)+IF(AND(V1330&gt;=75,W1330&gt;=60,W1330&lt;95),0.17,0)+IF(AND(V1330&gt;=75,W1330&gt;=95),0.1,0),
IF(AF1330="DoEVba",IF(AND(V1330&lt;20,W1330&lt;105),0.2,0)+IF(AND(V1330&lt;20,W1330&gt;=105),0.15,0)+IF(AND(V1330&gt;=20,V1330&lt;40,W1330&lt;95),0.2,0)+IF(AND(V1330&gt;=20,V1330&lt;40,W1330&gt;=95,W1330&lt;150),0.15,0)+IF(AND(V1330&gt;=20,V1330&lt;40,W1330&gt;=150),0.12,0)+IF(AND(V1330&gt;=40,V1330&lt;75,W1330&lt;75),0.2,0)+IF(AND(V1330&gt;=40,V1330&lt;75,W1330&gt;=75,W1330&lt;120),0.15,0)+IF(AND(V1330&gt;=40,V1330&lt;75,W1330&gt;=120),0.12,0)+IF(AND(V1330&gt;=75,V1330&lt;175,W1330&lt;65),0.2,0)+IF(AND(V1330&gt;=75,V1330&lt;175,W1330&gt;=65,W1330&lt;110),0.15,0)+IF(AND(V1330&gt;=75,V1330&lt;175,W1330&gt;=110),0.12,0)+IF(AND(V1330&gt;=175,W1330&lt;55),0.2,0)+IF(AND(V1330&gt;=175,W1330&gt;=55,W1330&lt;95),0.15,0)+IF(AND(V1330&gt;=175,W1330&gt;=95),0.12,0),
IF(AF1330="DoEVku",IF(AND(V1330&lt;20,W1330&lt;55),0.23,0)+IF(AND(V1330&lt;20,W1330&gt;=55,W1330&lt;105),0.2,0)+IF(AND(V1330&lt;20,W1330&gt;=105),0.17,0)+IF(AND(V1330&gt;=20,V1330&lt;40,W1330&lt;45),0.23,0)+IF(AND(V1330&gt;=20,V1330&lt;40,W1330&gt;=45,W1330&lt;95),0.2,0)+IF(AND(V1330&gt;=20,V1330&lt;40,W1330&gt;=95,W1330&lt;=150),0.17,0)+IF(AND(V1330&gt;=20,V1330&lt;40,W1330&gt;=150),0.12,0)+IF(AND(V1330&gt;=40,V1330&lt;75,W1330&lt;35),0.23,0)+IF(AND(V1330&gt;=40,V1330&lt;75,W1330&gt;=35,W1330&lt;75),0.2,0)+IF(AND(V1330&gt;=40,V1330&lt;75,W1330&gt;=75,W1330&lt;120),0.17,0)+IF(AND(V1330&gt;=40,V1330&lt;75,W1330&gt;=120),0.12,0)+IF(AND(V1330&gt;=75,V1330&lt;175,W1330&lt;35),0.23,0)+IF(AND(V1330&gt;=75,V1330&lt;=175,W1330&gt;=35,W1330&lt;65),0.2,0)+IF(AND(V1330&gt;=75,V1330&lt;=175,W1330&gt;=65,W1330&lt;110),0.17,0)+IF(AND(V1330&gt;=75,V1330&lt;=175,W1330&gt;=110),0.12,0)+IF(AND(V1330&gt;175,W1330&lt;25),0.23,0)+IF(AND(V1330&gt;175,W1330&gt;=25,W1330&lt;55),0.2,0)+IF(AND(V1330&gt;175,W1330&gt;=55,W1330&lt;95),0.17,0)+IF(AND(V1330&gt;175,W1330&gt;=95),0.12,0),
IF(AF1330="DoEVs1",IF(AND(V1330&lt;20,W1330&lt;55),0.3,0)+IF(AND(V1330&lt;20,W1330&gt;=55,W1330&lt;105),0.23,0)+IF(AND(V1330&lt;20,W1330&gt;=105),0.17,0)+IF(AND(V1330&gt;=20,V1330&lt;40,W1330&lt;45),0.3,0)+IF(AND(V1330&gt;=20,V1330&lt;40,W1330&gt;=45,W1330&lt;95),0.23,0)+IF(AND(V1330&gt;=20,V1330&lt;40,W1330&gt;=95,W1330&lt;=150),0.17,0)+IF(AND(V1330&gt;=20,V1330&lt;40,W1330&gt;=150),0.12,0)+IF(AND(V1330&gt;=40,V1330&lt;75,W1330&lt;35),0.3,0)+IF(AND(V1330&gt;=40,V1330&lt;75,W1330&gt;=35,W1330&lt;75),0.23,0)+IF(AND(V1330&gt;=40,V1330&lt;75,W1330&gt;=75,W1330&lt;120),0.17,0)+IF(AND(V1330&gt;=40,V1330&lt;75,W1330&gt;=120),0.12,0)+IF(AND(V1330&gt;=75,V1330&lt;175,W1330&lt;35),0.3,0)+IF(AND(V1330&gt;=75,V1330&lt;=175,W1330&gt;=35,W1330&lt;65),0.23,0)+IF(AND(V1330&gt;=75,V1330&lt;=175,W1330&gt;=65,W1330&lt;110),0.17,0)+IF(AND(V1330&gt;=75,V1330&lt;=175,W1330&gt;=110),0.12,0)+IF(AND(V1330&gt;175,W1330&lt;25),0.3,0)+IF(AND(V1330&gt;175,W1330&gt;=25,W1330&lt;55),0.23,0)+IF(AND(V1330&gt;175,W1330&gt;=55,W1330&lt;95),0.17,0)+IF(AND(V1330&gt;175,W1330&gt;=95),0.12,0),
IF(AF1330="DoEVsu",IF(AND(V1330&lt;20,W1330&lt;55),0.3,0)+IF(AND(V1330&lt;20,W1330&gt;=55,W1330&lt;105),0.23,0)+IF(AND(V1330&lt;20,W1330&gt;=105),0.17,0)+IF(AND(V1330&gt;=20,V1330&lt;40,W1330&lt;45),0.3,0)+IF(AND(V1330&gt;=20,V1330&lt;40,W1330&gt;=45,W1330&lt;95),0.23,0)+IF(AND(V1330&gt;=20,V1330&lt;40,W1330&gt;=95,W1330&lt;=250),0.17,0)+IF(AND(V1330&gt;=20,V1330&lt;40,W1330&gt;=250),0.12,0)+IF(AND(V1330&gt;=40,V1330&lt;75,W1330&lt;35),0.3,0)+IF(AND(V1330&gt;=40,V1330&lt;75,W1330&gt;=35,W1330&lt;75),0.23,0)+IF(AND(V1330&gt;=40,V1330&lt;75,W1330&gt;=75,W1330&lt;120),0.17,0)+IF(AND(V1330&gt;=40,V1330&lt;75,W1330&gt;=120),0.12,0)+IF(AND(V1330&gt;=75,V1330&lt;175,W1330&lt;35),0.3,0)+IF(AND(V1330&gt;=75,V1330&lt;=175,W1330&gt;=35,W1330&lt;65),0.23,0)+IF(AND(V1330&gt;=75,V1330&lt;=175,W1330&gt;=65,W1330&lt;110),0.17,0)+IF(AND(V1330&gt;=75,V1330&lt;=175,W1330&gt;=110),0.12,0)+IF(AND(V1330&gt;175,W1330&lt;25),0.3,0)+IF(AND(V1330&gt;175,W1330&gt;=25,W1330&lt;55),0.23,0)+IF(AND(V1330&gt;175,W1330&gt;=55,W1330&lt;95),0.17,0)+IF(AND(V1330&gt;175,W1330&gt;=95),0.12,0),
IF(AF1330="DoEVni",IF(AND(V1330&lt;20,W1330&lt;55),0.3,0)+IF(AND(V1330&lt;20,W1330&gt;=55,W1330&lt;105),0.23,0)+IF(AND(V1330&lt;20,W1330&gt;=105),0.17,0)+IF(AND(V1330&gt;=20,V1330&lt;40,W1330&lt;45),0.3,0)+IF(AND(V1330&gt;=20,V1330&lt;40,W1330&gt;=45,W1330&lt;95),0.23,0)+IF(AND(V1330&gt;=20,V1330&lt;40,W1330&gt;=95,W1330&lt;=200),0.17,0)+IF(AND(V1330&gt;=20,V1330&lt;40,W1330&gt;=200),0.12,0)+IF(AND(V1330&gt;=40,V1330&lt;75,W1330&lt;35),0.3,0)+IF(AND(V1330&gt;=40,V1330&lt;75,W1330&gt;=35,W1330&lt;75),0.23,0)+IF(AND(V1330&gt;=40,V1330&lt;75,W1330&gt;=75,W1330&lt;120),0.17,0)+IF(AND(V1330&gt;=40,V1330&lt;75,W1330&gt;=120),0.12,0)+IF(AND(V1330&gt;=75,V1330&lt;175,W1330&lt;35),0.3,0)+IF(AND(V1330&gt;=75,V1330&lt;=175,W1330&gt;=35,W1330&lt;65),0.23,0)+IF(AND(V1330&gt;=75,V1330&lt;=175,W1330&gt;=65,W1330&lt;110),0.17,0)+IF(AND(V1330&gt;=75,V1330&lt;=175,W1330&gt;=110),0.12,0)+IF(AND(V1330&gt;175,W1330&lt;25),0.3,0)+IF(AND(V1330&gt;175,W1330&gt;=25,W1330&lt;55),0.23,0)+IF(AND(V1330&gt;175,W1330&gt;=55,W1330&lt;95),0.17,0)+IF(AND(V1330&gt;175,W1330&gt;=95),0.12,0),
IF(AF1330="DoEVLo",IF(AND(V1330&lt;20,W1330&lt;55),0.25,0)+IF(AND(V1330&lt;20,W1330&gt;=55,W1330&lt;105),0.2,0)+IF(AND(V1330&lt;20,W1330&gt;=105),0.15,0)+IF(AND(V1330&gt;=20,V1330&lt;40,W1330&lt;45),0.25,0)+IF(AND(V1330&gt;=20,V1330&lt;40,W1330&gt;=45,W1330&lt;95),0.2,0)+IF(AND(V1330&gt;=20,V1330&lt;40,W1330&gt;=95),0.15,0)+IF(AND(V1330&gt;=40,V1330&lt;75,W1330&lt;35),0.25,0)+IF(AND(V1330&gt;=40,V1330&lt;75,W1330&gt;=35,W1330&lt;75),0.2,0)+IF(AND(V1330&gt;=40,V1330&lt;75,W1330&gt;=75,W1330&lt;120),0.15,0)+IF(AND(V1330&gt;=40,V1330&lt;75,W1330&gt;=120),0.1,0)+IF(AND(V1330&gt;=75,V1330&lt;175,W1330&lt;35),0.25,0)+IF(AND(V1330&gt;=75,V1330&lt;=175,W1330&gt;=35,W1330&lt;65),0.2,0)+IF(AND(V1330&gt;=75,V1330&lt;=175,W1330&gt;=65,W1330&lt;110),0.15,0)+IF(AND(V1330&gt;=75,V1330&lt;=175,W1330&gt;=110),0.1,0)+IF(AND(V1330&gt;175,W1330&lt;25),0.25,0)+IF(AND(V1330&gt;175,W1330&gt;=25,W1330&lt;55),0.2,0)+IF(AND(V1330&gt;175,W1330&gt;=55,W1330&lt;95),0.15,0)+IF(AND(V1330&gt;175,W1330&gt;=95),0.1,0))))))))))))))))))</f>
        <v>0.1</v>
      </c>
      <c r="Y1330" s="30">
        <f>IF(AG1330="None",0,IF(AG1330="Fix5",0.05, IF(AG1330="Fix6.25",0.0625,IF(AG1330="Fix3.75",0.0375,IF(AG1330="Fix10",0.1,IF(AG1330="Fix3",0.03,0))))))</f>
        <v>0</v>
      </c>
      <c r="Z1330" s="35">
        <f>T1330-AA1330-AB1330</f>
        <v>-1054.8</v>
      </c>
      <c r="AA1330" s="29">
        <f>IF(AD1330="EUR",((T1330-R1330)*X1330)*U1330+(R1330*X1330),(T1330*X1330))</f>
        <v>-117.2</v>
      </c>
      <c r="AB1330" s="36">
        <f>IF(AD1330="EUR",((T1330-R1330)*Y1330)*U1330+(R1330*Y1330),(T1330*Y1330))</f>
        <v>0</v>
      </c>
      <c r="AC1330" s="37" t="b">
        <v>1</v>
      </c>
      <c r="AD1330" s="37" t="s">
        <v>38</v>
      </c>
      <c r="AE1330" s="37" t="s">
        <v>38</v>
      </c>
      <c r="AF1330" s="37" t="str">
        <f t="array" ref="AF1330">INDEX('Deal Info'!D:D, MATCH(A1330,'Deal Info'!A:A, 0))</f>
        <v>Fix10</v>
      </c>
      <c r="AG1330" s="38" t="str">
        <f t="array" ref="AG1330">INDEX('Deal Info'!G:G, MATCH(A1330,'Deal Info'!A:A, 0))</f>
        <v>None</v>
      </c>
    </row>
    <row r="1331" spans="1:33" ht="14.25" hidden="1" x14ac:dyDescent="0.2">
      <c r="A1331" s="18" t="str">
        <f t="array" ref="A1331">IF(G1331='Room Info'!$B$1, INDEX('Room Info'!$A$2:$A2446, MATCH(B1331,'Room Info'!$B$2:$B2446, 0)),IF(G1331='Room Info'!$C$1, INDEX('Room Info'!$A$2:$A2446, MATCH(B1331,'Room Info'!$C$2:$C2446, 0)),IF(G1331='Room Info'!$D$1, INDEX('Room Info'!$A$2:$A2446, MATCH(B1331,'Room Info'!$D$2:$D2446, 0)),IF(G1331='Room Info'!$E$1, INDEX('Room Info'!$A$2:$A2446, MATCH(B1331,'Room Info'!$E$2:$E2446, 0)),IF(G1331='Room Info'!$F$1, INDEX('Room Info'!$A$2:$A2446, MATCH(B1331,'Room Info'!$F$2:$F2446, 0)),IF(G1331='Room Info'!$H$1, INDEX('Room Info'!$A$2:$A2446, MATCH(B1331,'Room Info'!$H$2:$H2446, 0)),IF(G1331='Room Info'!$G$1, INDEX('Room Info'!$A$2:$A2446, MATCH(B1331,'Room Info'!$G$2:$G2446, 0)))))))))</f>
        <v>volkovsky</v>
      </c>
      <c r="B1331" s="45" t="s">
        <v>206</v>
      </c>
      <c r="C1331" s="77">
        <v>44702</v>
      </c>
      <c r="D1331" s="77">
        <v>44732</v>
      </c>
      <c r="E1331" s="47">
        <v>44713</v>
      </c>
      <c r="F1331" s="48" t="s">
        <v>34</v>
      </c>
      <c r="G1331" s="45" t="s">
        <v>35</v>
      </c>
      <c r="H1331" s="91" t="s">
        <v>84</v>
      </c>
      <c r="I1331" s="49" t="s">
        <v>44</v>
      </c>
      <c r="J1331" s="74">
        <v>100</v>
      </c>
      <c r="K1331" s="75">
        <v>426</v>
      </c>
      <c r="L1331" s="72">
        <v>-1300</v>
      </c>
      <c r="M1331" s="76">
        <v>1538</v>
      </c>
      <c r="N1331" s="28">
        <f>K1331*J1331</f>
        <v>42600</v>
      </c>
      <c r="O1331" s="45">
        <v>3092</v>
      </c>
      <c r="P1331" s="29">
        <v>7.2582159620000004</v>
      </c>
      <c r="Q1331" s="55"/>
      <c r="R1331" s="31">
        <f>M1331+Q1331</f>
        <v>1538</v>
      </c>
      <c r="S1331" s="73">
        <v>-1142</v>
      </c>
      <c r="T1331" s="32">
        <f>R1331+S1331+IF(F1331="Without EV deal",L1331,0)</f>
        <v>396</v>
      </c>
      <c r="U1331" s="57"/>
      <c r="V1331" s="58"/>
      <c r="W1331" s="58"/>
      <c r="X1331" s="30">
        <f>IF(AF1331="DoEV",IF(AND(V1331&lt;20,W1331&lt;55),0.3,0)+IF(AND(V1331&lt;20,W1331&gt;=55,W1331&lt;105),0.23,0)+IF(AND(V1331&lt;20,W1331&gt;=105),0.17,0)+IF(AND(V1331&gt;=20,V1331&lt;40,W1331&lt;45),0.3,0)+IF(AND(V1331&gt;=20,V1331&lt;40,W1331&gt;=45,W1331&lt;95),0.23,0)+IF(AND(V1331&gt;=20,V1331&lt;40,W1331&gt;=95),0.17,0)+IF(AND(V1331&gt;=40,V1331&lt;75,W1331&lt;35),0.3,0)+IF(AND(V1331&gt;=40,V1331&lt;75,W1331&gt;=35,W1331&lt;75),0.23,0)+IF(AND(V1331&gt;=40,V1331&lt;75,W1331&gt;=75,W1331&lt;120),0.17,0)+IF(AND(V1331&gt;=40,V1331&lt;75,W1331&gt;=120),0.12,0)+IF(AND(V1331&gt;=75,V1331&lt;175,W1331&lt;35),0.3,0)+IF(AND(V1331&gt;=75,V1331&lt;=175,W1331&gt;=35,W1331&lt;65),0.23,0)+IF(AND(V1331&gt;=75,V1331&lt;=175,W1331&gt;=65,W1331&lt;110),0.17,0)+IF(AND(V1331&gt;=75,V1331&lt;=175,W1331&gt;=110),0.12,0)+IF(AND(V1331&gt;175,W1331&lt;25),0.3,0)+IF(AND(V1331&gt;175,W1331&gt;=25,W1331&lt;55),0.23,0)+IF(AND(V1331&gt;175,W1331&gt;=55,W1331&lt;95),0.17,0)+IF(AND(V1331&gt;175,W1331&gt;=95),0.12,0),
IF(AF1331="Fix15",0.15,
IF(AF1331="Fix18.75",0.1875,
IF(AF1331="Fix11.25",0.1125,
IF(AF1331="Fix10",0.1,
IF(AF1331="Fix9",0.09,
IF(AF1331="Fix19",0.19,
IF(AF1331="DoEV2017",IF(AND(W1331&lt;74),0.2,0)+IF(AND(W1331&gt;=74),0.17,0),
IF(AF1331="SF",IF(AND(V1331&lt;20,W1331&lt;89),0.3,0)+IF(AND(V1331&lt;20,W1331&gt;=89),0.25,0)+IF(AND(V1331&gt;=20,V1331&lt;40,W1331&lt;74),0.3,0)+IF(AND(V1331&gt;=20,V1331&lt;40,W1331&gt;=75),0.22,0)+IF(AND(V1331&gt;=40,V1331&lt;75,W1331&lt;75),0.26,0)+IF(AND(V1331&gt;=40,V1331&lt;75,W1331&gt;=75),0.22,0)+IF(V1331&gt;=75,0.22,0),
IF(AF1331="DoEVold",IF(AND(V1331&lt;40,W1331&lt;35),0.35,0)+IF(AND(V1331&lt;40,W1331&gt;=35,W1331&lt;75),0.25,0)+IF(AND(V1331&lt;40,W1331&gt;=75),0.17,0)+IF(AND(V1331&gt;=40,V1331&lt;75,W1331&lt;25),0.35,0)+IF(AND(V1331&gt;=40,V1331&lt;75,W1331&gt;=25,W1331&lt;65),0.25,0)+IF(AND(V1331&gt;=40,V1331&lt;75,W1331&gt;=65,W1331&lt;100),0.17,0)+IF(AND(V1331&gt;=40,V1331&lt;75,W1331&gt;=100),0.1,0)+IF(AND(V1331&gt;=75,W1331&lt;25),0.35,0)+IF(AND(V1331&gt;=75,W1331&gt;=25,W1331&lt;60),0.25,0)+IF(AND(V1331&gt;=75,W1331&gt;=60,W1331&lt;95),0.17,0)+IF(AND(V1331&gt;=75,W1331&gt;=95),0.1,0),
IF(AF1331="DoEVold15",IF(AND(V1331&lt;=40,W1331&lt;35),0.35,0)+IF(AND(V1331&lt;=40,W1331&gt;=35,W1331&lt;75),0.25,0)+IF(AND(V1331&lt;=40,W1331&gt;=75,W1331&lt;120),0.17,0)+IF(AND(V1331&lt;=40,W1331&gt;=120),0.15,0)+IF(AND(V1331&gt;40,V1331&lt;75,W1331&lt;25),0.35,0)+IF(AND(V1331&gt;=40,V1331&lt;75,W1331&gt;=25,W1331&lt;65),0.25,0)+IF(AND(V1331&gt;=40,V1331&lt;75,W1331&gt;=65,W1331&lt;100),0.17,0)+IF(AND(V1331&gt;=40,V1331&lt;75,W1331&gt;=100),0.1,0)+IF(AND(V1331&gt;=75,W1331&lt;25),0.35,0)+IF(AND(V1331&gt;=75,W1331&gt;=25,W1331&lt;60),0.25,0)+IF(AND(V1331&gt;=75,W1331&gt;=60,W1331&lt;95),0.17,0)+IF(AND(V1331&gt;=75,W1331&gt;=95),0.1,0),
IF(AF1331="DoEVba",IF(AND(V1331&lt;20,W1331&lt;105),0.2,0)+IF(AND(V1331&lt;20,W1331&gt;=105),0.15,0)+IF(AND(V1331&gt;=20,V1331&lt;40,W1331&lt;95),0.2,0)+IF(AND(V1331&gt;=20,V1331&lt;40,W1331&gt;=95,W1331&lt;150),0.15,0)+IF(AND(V1331&gt;=20,V1331&lt;40,W1331&gt;=150),0.12,0)+IF(AND(V1331&gt;=40,V1331&lt;75,W1331&lt;75),0.2,0)+IF(AND(V1331&gt;=40,V1331&lt;75,W1331&gt;=75,W1331&lt;120),0.15,0)+IF(AND(V1331&gt;=40,V1331&lt;75,W1331&gt;=120),0.12,0)+IF(AND(V1331&gt;=75,V1331&lt;175,W1331&lt;65),0.2,0)+IF(AND(V1331&gt;=75,V1331&lt;175,W1331&gt;=65,W1331&lt;110),0.15,0)+IF(AND(V1331&gt;=75,V1331&lt;175,W1331&gt;=110),0.12,0)+IF(AND(V1331&gt;=175,W1331&lt;55),0.2,0)+IF(AND(V1331&gt;=175,W1331&gt;=55,W1331&lt;95),0.15,0)+IF(AND(V1331&gt;=175,W1331&gt;=95),0.12,0),
IF(AF1331="DoEVku",IF(AND(V1331&lt;20,W1331&lt;55),0.23,0)+IF(AND(V1331&lt;20,W1331&gt;=55,W1331&lt;105),0.2,0)+IF(AND(V1331&lt;20,W1331&gt;=105),0.17,0)+IF(AND(V1331&gt;=20,V1331&lt;40,W1331&lt;45),0.23,0)+IF(AND(V1331&gt;=20,V1331&lt;40,W1331&gt;=45,W1331&lt;95),0.2,0)+IF(AND(V1331&gt;=20,V1331&lt;40,W1331&gt;=95,W1331&lt;=150),0.17,0)+IF(AND(V1331&gt;=20,V1331&lt;40,W1331&gt;=150),0.12,0)+IF(AND(V1331&gt;=40,V1331&lt;75,W1331&lt;35),0.23,0)+IF(AND(V1331&gt;=40,V1331&lt;75,W1331&gt;=35,W1331&lt;75),0.2,0)+IF(AND(V1331&gt;=40,V1331&lt;75,W1331&gt;=75,W1331&lt;120),0.17,0)+IF(AND(V1331&gt;=40,V1331&lt;75,W1331&gt;=120),0.12,0)+IF(AND(V1331&gt;=75,V1331&lt;175,W1331&lt;35),0.23,0)+IF(AND(V1331&gt;=75,V1331&lt;=175,W1331&gt;=35,W1331&lt;65),0.2,0)+IF(AND(V1331&gt;=75,V1331&lt;=175,W1331&gt;=65,W1331&lt;110),0.17,0)+IF(AND(V1331&gt;=75,V1331&lt;=175,W1331&gt;=110),0.12,0)+IF(AND(V1331&gt;175,W1331&lt;25),0.23,0)+IF(AND(V1331&gt;175,W1331&gt;=25,W1331&lt;55),0.2,0)+IF(AND(V1331&gt;175,W1331&gt;=55,W1331&lt;95),0.17,0)+IF(AND(V1331&gt;175,W1331&gt;=95),0.12,0),
IF(AF1331="DoEVs1",IF(AND(V1331&lt;20,W1331&lt;55),0.3,0)+IF(AND(V1331&lt;20,W1331&gt;=55,W1331&lt;105),0.23,0)+IF(AND(V1331&lt;20,W1331&gt;=105),0.17,0)+IF(AND(V1331&gt;=20,V1331&lt;40,W1331&lt;45),0.3,0)+IF(AND(V1331&gt;=20,V1331&lt;40,W1331&gt;=45,W1331&lt;95),0.23,0)+IF(AND(V1331&gt;=20,V1331&lt;40,W1331&gt;=95,W1331&lt;=150),0.17,0)+IF(AND(V1331&gt;=20,V1331&lt;40,W1331&gt;=150),0.12,0)+IF(AND(V1331&gt;=40,V1331&lt;75,W1331&lt;35),0.3,0)+IF(AND(V1331&gt;=40,V1331&lt;75,W1331&gt;=35,W1331&lt;75),0.23,0)+IF(AND(V1331&gt;=40,V1331&lt;75,W1331&gt;=75,W1331&lt;120),0.17,0)+IF(AND(V1331&gt;=40,V1331&lt;75,W1331&gt;=120),0.12,0)+IF(AND(V1331&gt;=75,V1331&lt;175,W1331&lt;35),0.3,0)+IF(AND(V1331&gt;=75,V1331&lt;=175,W1331&gt;=35,W1331&lt;65),0.23,0)+IF(AND(V1331&gt;=75,V1331&lt;=175,W1331&gt;=65,W1331&lt;110),0.17,0)+IF(AND(V1331&gt;=75,V1331&lt;=175,W1331&gt;=110),0.12,0)+IF(AND(V1331&gt;175,W1331&lt;25),0.3,0)+IF(AND(V1331&gt;175,W1331&gt;=25,W1331&lt;55),0.23,0)+IF(AND(V1331&gt;175,W1331&gt;=55,W1331&lt;95),0.17,0)+IF(AND(V1331&gt;175,W1331&gt;=95),0.12,0),
IF(AF1331="DoEVsu",IF(AND(V1331&lt;20,W1331&lt;55),0.3,0)+IF(AND(V1331&lt;20,W1331&gt;=55,W1331&lt;105),0.23,0)+IF(AND(V1331&lt;20,W1331&gt;=105),0.17,0)+IF(AND(V1331&gt;=20,V1331&lt;40,W1331&lt;45),0.3,0)+IF(AND(V1331&gt;=20,V1331&lt;40,W1331&gt;=45,W1331&lt;95),0.23,0)+IF(AND(V1331&gt;=20,V1331&lt;40,W1331&gt;=95,W1331&lt;=250),0.17,0)+IF(AND(V1331&gt;=20,V1331&lt;40,W1331&gt;=250),0.12,0)+IF(AND(V1331&gt;=40,V1331&lt;75,W1331&lt;35),0.3,0)+IF(AND(V1331&gt;=40,V1331&lt;75,W1331&gt;=35,W1331&lt;75),0.23,0)+IF(AND(V1331&gt;=40,V1331&lt;75,W1331&gt;=75,W1331&lt;120),0.17,0)+IF(AND(V1331&gt;=40,V1331&lt;75,W1331&gt;=120),0.12,0)+IF(AND(V1331&gt;=75,V1331&lt;175,W1331&lt;35),0.3,0)+IF(AND(V1331&gt;=75,V1331&lt;=175,W1331&gt;=35,W1331&lt;65),0.23,0)+IF(AND(V1331&gt;=75,V1331&lt;=175,W1331&gt;=65,W1331&lt;110),0.17,0)+IF(AND(V1331&gt;=75,V1331&lt;=175,W1331&gt;=110),0.12,0)+IF(AND(V1331&gt;175,W1331&lt;25),0.3,0)+IF(AND(V1331&gt;175,W1331&gt;=25,W1331&lt;55),0.23,0)+IF(AND(V1331&gt;175,W1331&gt;=55,W1331&lt;95),0.17,0)+IF(AND(V1331&gt;175,W1331&gt;=95),0.12,0),
IF(AF1331="DoEVni",IF(AND(V1331&lt;20,W1331&lt;55),0.3,0)+IF(AND(V1331&lt;20,W1331&gt;=55,W1331&lt;105),0.23,0)+IF(AND(V1331&lt;20,W1331&gt;=105),0.17,0)+IF(AND(V1331&gt;=20,V1331&lt;40,W1331&lt;45),0.3,0)+IF(AND(V1331&gt;=20,V1331&lt;40,W1331&gt;=45,W1331&lt;95),0.23,0)+IF(AND(V1331&gt;=20,V1331&lt;40,W1331&gt;=95,W1331&lt;=200),0.17,0)+IF(AND(V1331&gt;=20,V1331&lt;40,W1331&gt;=200),0.12,0)+IF(AND(V1331&gt;=40,V1331&lt;75,W1331&lt;35),0.3,0)+IF(AND(V1331&gt;=40,V1331&lt;75,W1331&gt;=35,W1331&lt;75),0.23,0)+IF(AND(V1331&gt;=40,V1331&lt;75,W1331&gt;=75,W1331&lt;120),0.17,0)+IF(AND(V1331&gt;=40,V1331&lt;75,W1331&gt;=120),0.12,0)+IF(AND(V1331&gt;=75,V1331&lt;175,W1331&lt;35),0.3,0)+IF(AND(V1331&gt;=75,V1331&lt;=175,W1331&gt;=35,W1331&lt;65),0.23,0)+IF(AND(V1331&gt;=75,V1331&lt;=175,W1331&gt;=65,W1331&lt;110),0.17,0)+IF(AND(V1331&gt;=75,V1331&lt;=175,W1331&gt;=110),0.12,0)+IF(AND(V1331&gt;175,W1331&lt;25),0.3,0)+IF(AND(V1331&gt;175,W1331&gt;=25,W1331&lt;55),0.23,0)+IF(AND(V1331&gt;175,W1331&gt;=55,W1331&lt;95),0.17,0)+IF(AND(V1331&gt;175,W1331&gt;=95),0.12,0),
IF(AF1331="DoEVLo",IF(AND(V1331&lt;20,W1331&lt;55),0.25,0)+IF(AND(V1331&lt;20,W1331&gt;=55,W1331&lt;105),0.2,0)+IF(AND(V1331&lt;20,W1331&gt;=105),0.15,0)+IF(AND(V1331&gt;=20,V1331&lt;40,W1331&lt;45),0.25,0)+IF(AND(V1331&gt;=20,V1331&lt;40,W1331&gt;=45,W1331&lt;95),0.2,0)+IF(AND(V1331&gt;=20,V1331&lt;40,W1331&gt;=95),0.15,0)+IF(AND(V1331&gt;=40,V1331&lt;75,W1331&lt;35),0.25,0)+IF(AND(V1331&gt;=40,V1331&lt;75,W1331&gt;=35,W1331&lt;75),0.2,0)+IF(AND(V1331&gt;=40,V1331&lt;75,W1331&gt;=75,W1331&lt;120),0.15,0)+IF(AND(V1331&gt;=40,V1331&lt;75,W1331&gt;=120),0.1,0)+IF(AND(V1331&gt;=75,V1331&lt;175,W1331&lt;35),0.25,0)+IF(AND(V1331&gt;=75,V1331&lt;=175,W1331&gt;=35,W1331&lt;65),0.2,0)+IF(AND(V1331&gt;=75,V1331&lt;=175,W1331&gt;=65,W1331&lt;110),0.15,0)+IF(AND(V1331&gt;=75,V1331&lt;=175,W1331&gt;=110),0.1,0)+IF(AND(V1331&gt;175,W1331&lt;25),0.25,0)+IF(AND(V1331&gt;175,W1331&gt;=25,W1331&lt;55),0.2,0)+IF(AND(V1331&gt;175,W1331&gt;=55,W1331&lt;95),0.15,0)+IF(AND(V1331&gt;175,W1331&gt;=95),0.1,0))))))))))))))))))</f>
        <v>0.1</v>
      </c>
      <c r="Y1331" s="30">
        <f>IF(AG1331="None",0,IF(AG1331="Fix5",0.05, IF(AG1331="Fix6.25",0.0625,IF(AG1331="Fix3.75",0.0375,IF(AG1331="Fix10",0.1,IF(AG1331="Fix3",0.03,0))))))</f>
        <v>0</v>
      </c>
      <c r="Z1331" s="35">
        <f>T1331-AA1331-AB1331</f>
        <v>356.4</v>
      </c>
      <c r="AA1331" s="29">
        <f>IF(AD1331="EUR",((T1331-R1331)*X1331)*U1331+(R1331*X1331),(T1331*X1331))</f>
        <v>39.6</v>
      </c>
      <c r="AB1331" s="36">
        <f>IF(AD1331="EUR",((T1331-R1331)*Y1331)*U1331+(R1331*Y1331),(T1331*Y1331))</f>
        <v>0</v>
      </c>
      <c r="AC1331" s="37" t="b">
        <v>1</v>
      </c>
      <c r="AD1331" s="37" t="s">
        <v>38</v>
      </c>
      <c r="AE1331" s="37" t="s">
        <v>38</v>
      </c>
      <c r="AF1331" s="37" t="str">
        <f t="array" ref="AF1331">INDEX('Deal Info'!D:D, MATCH(A1331,'Deal Info'!A:A, 0))</f>
        <v>Fix10</v>
      </c>
      <c r="AG1331" s="38" t="str">
        <f t="array" ref="AG1331">INDEX('Deal Info'!G:G, MATCH(A1331,'Deal Info'!A:A, 0))</f>
        <v>None</v>
      </c>
    </row>
    <row r="1332" spans="1:33" ht="14.25" hidden="1" x14ac:dyDescent="0.2">
      <c r="A1332" s="18" t="str">
        <f t="array" ref="A1332">IF(G1332='Room Info'!$B$1, INDEX('Room Info'!$A$2:$A2446, MATCH(B1332,'Room Info'!$B$2:$B2446, 0)),IF(G1332='Room Info'!$C$1, INDEX('Room Info'!$A$2:$A2446, MATCH(B1332,'Room Info'!$C$2:$C2446, 0)),IF(G1332='Room Info'!$D$1, INDEX('Room Info'!$A$2:$A2446, MATCH(B1332,'Room Info'!$D$2:$D2446, 0)),IF(G1332='Room Info'!$E$1, INDEX('Room Info'!$A$2:$A2446, MATCH(B1332,'Room Info'!$E$2:$E2446, 0)),IF(G1332='Room Info'!$F$1, INDEX('Room Info'!$A$2:$A2446, MATCH(B1332,'Room Info'!$F$2:$F2446, 0)),IF(G1332='Room Info'!$H$1, INDEX('Room Info'!$A$2:$A2446, MATCH(B1332,'Room Info'!$H$2:$H2446, 0)),IF(G1332='Room Info'!$G$1, INDEX('Room Info'!$A$2:$A2446, MATCH(B1332,'Room Info'!$G$2:$G2446, 0)))))))))</f>
        <v>volkovsky</v>
      </c>
      <c r="B1332" s="45" t="s">
        <v>206</v>
      </c>
      <c r="C1332" s="46">
        <v>44702</v>
      </c>
      <c r="D1332" s="46">
        <v>44732</v>
      </c>
      <c r="E1332" s="47">
        <v>44713</v>
      </c>
      <c r="F1332" s="45" t="s">
        <v>34</v>
      </c>
      <c r="G1332" s="54" t="s">
        <v>35</v>
      </c>
      <c r="H1332" s="49" t="s">
        <v>88</v>
      </c>
      <c r="I1332" s="49" t="s">
        <v>37</v>
      </c>
      <c r="J1332" s="50">
        <v>250</v>
      </c>
      <c r="K1332" s="51">
        <v>703</v>
      </c>
      <c r="L1332" s="52">
        <v>5000</v>
      </c>
      <c r="M1332" s="53">
        <v>6345</v>
      </c>
      <c r="N1332" s="28">
        <f>K1332*J1332</f>
        <v>175750</v>
      </c>
      <c r="O1332" s="54">
        <v>-2333</v>
      </c>
      <c r="P1332" s="29">
        <v>-3.3186344239999999</v>
      </c>
      <c r="Q1332" s="55"/>
      <c r="R1332" s="31">
        <f>M1332+Q1332</f>
        <v>6345</v>
      </c>
      <c r="S1332" s="56">
        <v>-9371</v>
      </c>
      <c r="T1332" s="32">
        <f>R1332+S1332+IF(F1332="Without EV deal",L1332,0)</f>
        <v>-3026</v>
      </c>
      <c r="U1332" s="57"/>
      <c r="V1332" s="58"/>
      <c r="W1332" s="58"/>
      <c r="X1332" s="30">
        <f>IF(AF1332="DoEV",IF(AND(V1332&lt;20,W1332&lt;55),0.3,0)+IF(AND(V1332&lt;20,W1332&gt;=55,W1332&lt;105),0.23,0)+IF(AND(V1332&lt;20,W1332&gt;=105),0.17,0)+IF(AND(V1332&gt;=20,V1332&lt;40,W1332&lt;45),0.3,0)+IF(AND(V1332&gt;=20,V1332&lt;40,W1332&gt;=45,W1332&lt;95),0.23,0)+IF(AND(V1332&gt;=20,V1332&lt;40,W1332&gt;=95),0.17,0)+IF(AND(V1332&gt;=40,V1332&lt;75,W1332&lt;35),0.3,0)+IF(AND(V1332&gt;=40,V1332&lt;75,W1332&gt;=35,W1332&lt;75),0.23,0)+IF(AND(V1332&gt;=40,V1332&lt;75,W1332&gt;=75,W1332&lt;120),0.17,0)+IF(AND(V1332&gt;=40,V1332&lt;75,W1332&gt;=120),0.12,0)+IF(AND(V1332&gt;=75,V1332&lt;175,W1332&lt;35),0.3,0)+IF(AND(V1332&gt;=75,V1332&lt;=175,W1332&gt;=35,W1332&lt;65),0.23,0)+IF(AND(V1332&gt;=75,V1332&lt;=175,W1332&gt;=65,W1332&lt;110),0.17,0)+IF(AND(V1332&gt;=75,V1332&lt;=175,W1332&gt;=110),0.12,0)+IF(AND(V1332&gt;175,W1332&lt;25),0.3,0)+IF(AND(V1332&gt;175,W1332&gt;=25,W1332&lt;55),0.23,0)+IF(AND(V1332&gt;175,W1332&gt;=55,W1332&lt;95),0.17,0)+IF(AND(V1332&gt;175,W1332&gt;=95),0.12,0),
IF(AF1332="Fix15",0.15,
IF(AF1332="Fix18.75",0.1875,
IF(AF1332="Fix11.25",0.1125,
IF(AF1332="Fix10",0.1,
IF(AF1332="Fix9",0.09,
IF(AF1332="Fix19",0.19,
IF(AF1332="DoEV2017",IF(AND(W1332&lt;74),0.2,0)+IF(AND(W1332&gt;=74),0.17,0),
IF(AF1332="SF",IF(AND(V1332&lt;20,W1332&lt;89),0.3,0)+IF(AND(V1332&lt;20,W1332&gt;=89),0.25,0)+IF(AND(V1332&gt;=20,V1332&lt;40,W1332&lt;74),0.3,0)+IF(AND(V1332&gt;=20,V1332&lt;40,W1332&gt;=75),0.22,0)+IF(AND(V1332&gt;=40,V1332&lt;75,W1332&lt;75),0.26,0)+IF(AND(V1332&gt;=40,V1332&lt;75,W1332&gt;=75),0.22,0)+IF(V1332&gt;=75,0.22,0),
IF(AF1332="DoEVold",IF(AND(V1332&lt;40,W1332&lt;35),0.35,0)+IF(AND(V1332&lt;40,W1332&gt;=35,W1332&lt;75),0.25,0)+IF(AND(V1332&lt;40,W1332&gt;=75),0.17,0)+IF(AND(V1332&gt;=40,V1332&lt;75,W1332&lt;25),0.35,0)+IF(AND(V1332&gt;=40,V1332&lt;75,W1332&gt;=25,W1332&lt;65),0.25,0)+IF(AND(V1332&gt;=40,V1332&lt;75,W1332&gt;=65,W1332&lt;100),0.17,0)+IF(AND(V1332&gt;=40,V1332&lt;75,W1332&gt;=100),0.1,0)+IF(AND(V1332&gt;=75,W1332&lt;25),0.35,0)+IF(AND(V1332&gt;=75,W1332&gt;=25,W1332&lt;60),0.25,0)+IF(AND(V1332&gt;=75,W1332&gt;=60,W1332&lt;95),0.17,0)+IF(AND(V1332&gt;=75,W1332&gt;=95),0.1,0),
IF(AF1332="DoEVold15",IF(AND(V1332&lt;=40,W1332&lt;35),0.35,0)+IF(AND(V1332&lt;=40,W1332&gt;=35,W1332&lt;75),0.25,0)+IF(AND(V1332&lt;=40,W1332&gt;=75,W1332&lt;120),0.17,0)+IF(AND(V1332&lt;=40,W1332&gt;=120),0.15,0)+IF(AND(V1332&gt;40,V1332&lt;75,W1332&lt;25),0.35,0)+IF(AND(V1332&gt;=40,V1332&lt;75,W1332&gt;=25,W1332&lt;65),0.25,0)+IF(AND(V1332&gt;=40,V1332&lt;75,W1332&gt;=65,W1332&lt;100),0.17,0)+IF(AND(V1332&gt;=40,V1332&lt;75,W1332&gt;=100),0.1,0)+IF(AND(V1332&gt;=75,W1332&lt;25),0.35,0)+IF(AND(V1332&gt;=75,W1332&gt;=25,W1332&lt;60),0.25,0)+IF(AND(V1332&gt;=75,W1332&gt;=60,W1332&lt;95),0.17,0)+IF(AND(V1332&gt;=75,W1332&gt;=95),0.1,0),
IF(AF1332="DoEVba",IF(AND(V1332&lt;20,W1332&lt;105),0.2,0)+IF(AND(V1332&lt;20,W1332&gt;=105),0.15,0)+IF(AND(V1332&gt;=20,V1332&lt;40,W1332&lt;95),0.2,0)+IF(AND(V1332&gt;=20,V1332&lt;40,W1332&gt;=95,W1332&lt;150),0.15,0)+IF(AND(V1332&gt;=20,V1332&lt;40,W1332&gt;=150),0.12,0)+IF(AND(V1332&gt;=40,V1332&lt;75,W1332&lt;75),0.2,0)+IF(AND(V1332&gt;=40,V1332&lt;75,W1332&gt;=75,W1332&lt;120),0.15,0)+IF(AND(V1332&gt;=40,V1332&lt;75,W1332&gt;=120),0.12,0)+IF(AND(V1332&gt;=75,V1332&lt;175,W1332&lt;65),0.2,0)+IF(AND(V1332&gt;=75,V1332&lt;175,W1332&gt;=65,W1332&lt;110),0.15,0)+IF(AND(V1332&gt;=75,V1332&lt;175,W1332&gt;=110),0.12,0)+IF(AND(V1332&gt;=175,W1332&lt;55),0.2,0)+IF(AND(V1332&gt;=175,W1332&gt;=55,W1332&lt;95),0.15,0)+IF(AND(V1332&gt;=175,W1332&gt;=95),0.12,0),
IF(AF1332="DoEVku",IF(AND(V1332&lt;20,W1332&lt;55),0.23,0)+IF(AND(V1332&lt;20,W1332&gt;=55,W1332&lt;105),0.2,0)+IF(AND(V1332&lt;20,W1332&gt;=105),0.17,0)+IF(AND(V1332&gt;=20,V1332&lt;40,W1332&lt;45),0.23,0)+IF(AND(V1332&gt;=20,V1332&lt;40,W1332&gt;=45,W1332&lt;95),0.2,0)+IF(AND(V1332&gt;=20,V1332&lt;40,W1332&gt;=95,W1332&lt;=150),0.17,0)+IF(AND(V1332&gt;=20,V1332&lt;40,W1332&gt;=150),0.12,0)+IF(AND(V1332&gt;=40,V1332&lt;75,W1332&lt;35),0.23,0)+IF(AND(V1332&gt;=40,V1332&lt;75,W1332&gt;=35,W1332&lt;75),0.2,0)+IF(AND(V1332&gt;=40,V1332&lt;75,W1332&gt;=75,W1332&lt;120),0.17,0)+IF(AND(V1332&gt;=40,V1332&lt;75,W1332&gt;=120),0.12,0)+IF(AND(V1332&gt;=75,V1332&lt;175,W1332&lt;35),0.23,0)+IF(AND(V1332&gt;=75,V1332&lt;=175,W1332&gt;=35,W1332&lt;65),0.2,0)+IF(AND(V1332&gt;=75,V1332&lt;=175,W1332&gt;=65,W1332&lt;110),0.17,0)+IF(AND(V1332&gt;=75,V1332&lt;=175,W1332&gt;=110),0.12,0)+IF(AND(V1332&gt;175,W1332&lt;25),0.23,0)+IF(AND(V1332&gt;175,W1332&gt;=25,W1332&lt;55),0.2,0)+IF(AND(V1332&gt;175,W1332&gt;=55,W1332&lt;95),0.17,0)+IF(AND(V1332&gt;175,W1332&gt;=95),0.12,0),
IF(AF1332="DoEVs1",IF(AND(V1332&lt;20,W1332&lt;55),0.3,0)+IF(AND(V1332&lt;20,W1332&gt;=55,W1332&lt;105),0.23,0)+IF(AND(V1332&lt;20,W1332&gt;=105),0.17,0)+IF(AND(V1332&gt;=20,V1332&lt;40,W1332&lt;45),0.3,0)+IF(AND(V1332&gt;=20,V1332&lt;40,W1332&gt;=45,W1332&lt;95),0.23,0)+IF(AND(V1332&gt;=20,V1332&lt;40,W1332&gt;=95,W1332&lt;=150),0.17,0)+IF(AND(V1332&gt;=20,V1332&lt;40,W1332&gt;=150),0.12,0)+IF(AND(V1332&gt;=40,V1332&lt;75,W1332&lt;35),0.3,0)+IF(AND(V1332&gt;=40,V1332&lt;75,W1332&gt;=35,W1332&lt;75),0.23,0)+IF(AND(V1332&gt;=40,V1332&lt;75,W1332&gt;=75,W1332&lt;120),0.17,0)+IF(AND(V1332&gt;=40,V1332&lt;75,W1332&gt;=120),0.12,0)+IF(AND(V1332&gt;=75,V1332&lt;175,W1332&lt;35),0.3,0)+IF(AND(V1332&gt;=75,V1332&lt;=175,W1332&gt;=35,W1332&lt;65),0.23,0)+IF(AND(V1332&gt;=75,V1332&lt;=175,W1332&gt;=65,W1332&lt;110),0.17,0)+IF(AND(V1332&gt;=75,V1332&lt;=175,W1332&gt;=110),0.12,0)+IF(AND(V1332&gt;175,W1332&lt;25),0.3,0)+IF(AND(V1332&gt;175,W1332&gt;=25,W1332&lt;55),0.23,0)+IF(AND(V1332&gt;175,W1332&gt;=55,W1332&lt;95),0.17,0)+IF(AND(V1332&gt;175,W1332&gt;=95),0.12,0),
IF(AF1332="DoEVsu",IF(AND(V1332&lt;20,W1332&lt;55),0.3,0)+IF(AND(V1332&lt;20,W1332&gt;=55,W1332&lt;105),0.23,0)+IF(AND(V1332&lt;20,W1332&gt;=105),0.17,0)+IF(AND(V1332&gt;=20,V1332&lt;40,W1332&lt;45),0.3,0)+IF(AND(V1332&gt;=20,V1332&lt;40,W1332&gt;=45,W1332&lt;95),0.23,0)+IF(AND(V1332&gt;=20,V1332&lt;40,W1332&gt;=95,W1332&lt;=250),0.17,0)+IF(AND(V1332&gt;=20,V1332&lt;40,W1332&gt;=250),0.12,0)+IF(AND(V1332&gt;=40,V1332&lt;75,W1332&lt;35),0.3,0)+IF(AND(V1332&gt;=40,V1332&lt;75,W1332&gt;=35,W1332&lt;75),0.23,0)+IF(AND(V1332&gt;=40,V1332&lt;75,W1332&gt;=75,W1332&lt;120),0.17,0)+IF(AND(V1332&gt;=40,V1332&lt;75,W1332&gt;=120),0.12,0)+IF(AND(V1332&gt;=75,V1332&lt;175,W1332&lt;35),0.3,0)+IF(AND(V1332&gt;=75,V1332&lt;=175,W1332&gt;=35,W1332&lt;65),0.23,0)+IF(AND(V1332&gt;=75,V1332&lt;=175,W1332&gt;=65,W1332&lt;110),0.17,0)+IF(AND(V1332&gt;=75,V1332&lt;=175,W1332&gt;=110),0.12,0)+IF(AND(V1332&gt;175,W1332&lt;25),0.3,0)+IF(AND(V1332&gt;175,W1332&gt;=25,W1332&lt;55),0.23,0)+IF(AND(V1332&gt;175,W1332&gt;=55,W1332&lt;95),0.17,0)+IF(AND(V1332&gt;175,W1332&gt;=95),0.12,0),
IF(AF1332="DoEVni",IF(AND(V1332&lt;20,W1332&lt;55),0.3,0)+IF(AND(V1332&lt;20,W1332&gt;=55,W1332&lt;105),0.23,0)+IF(AND(V1332&lt;20,W1332&gt;=105),0.17,0)+IF(AND(V1332&gt;=20,V1332&lt;40,W1332&lt;45),0.3,0)+IF(AND(V1332&gt;=20,V1332&lt;40,W1332&gt;=45,W1332&lt;95),0.23,0)+IF(AND(V1332&gt;=20,V1332&lt;40,W1332&gt;=95,W1332&lt;=200),0.17,0)+IF(AND(V1332&gt;=20,V1332&lt;40,W1332&gt;=200),0.12,0)+IF(AND(V1332&gt;=40,V1332&lt;75,W1332&lt;35),0.3,0)+IF(AND(V1332&gt;=40,V1332&lt;75,W1332&gt;=35,W1332&lt;75),0.23,0)+IF(AND(V1332&gt;=40,V1332&lt;75,W1332&gt;=75,W1332&lt;120),0.17,0)+IF(AND(V1332&gt;=40,V1332&lt;75,W1332&gt;=120),0.12,0)+IF(AND(V1332&gt;=75,V1332&lt;175,W1332&lt;35),0.3,0)+IF(AND(V1332&gt;=75,V1332&lt;=175,W1332&gt;=35,W1332&lt;65),0.23,0)+IF(AND(V1332&gt;=75,V1332&lt;=175,W1332&gt;=65,W1332&lt;110),0.17,0)+IF(AND(V1332&gt;=75,V1332&lt;=175,W1332&gt;=110),0.12,0)+IF(AND(V1332&gt;175,W1332&lt;25),0.3,0)+IF(AND(V1332&gt;175,W1332&gt;=25,W1332&lt;55),0.23,0)+IF(AND(V1332&gt;175,W1332&gt;=55,W1332&lt;95),0.17,0)+IF(AND(V1332&gt;175,W1332&gt;=95),0.12,0),
IF(AF1332="DoEVLo",IF(AND(V1332&lt;20,W1332&lt;55),0.25,0)+IF(AND(V1332&lt;20,W1332&gt;=55,W1332&lt;105),0.2,0)+IF(AND(V1332&lt;20,W1332&gt;=105),0.15,0)+IF(AND(V1332&gt;=20,V1332&lt;40,W1332&lt;45),0.25,0)+IF(AND(V1332&gt;=20,V1332&lt;40,W1332&gt;=45,W1332&lt;95),0.2,0)+IF(AND(V1332&gt;=20,V1332&lt;40,W1332&gt;=95),0.15,0)+IF(AND(V1332&gt;=40,V1332&lt;75,W1332&lt;35),0.25,0)+IF(AND(V1332&gt;=40,V1332&lt;75,W1332&gt;=35,W1332&lt;75),0.2,0)+IF(AND(V1332&gt;=40,V1332&lt;75,W1332&gt;=75,W1332&lt;120),0.15,0)+IF(AND(V1332&gt;=40,V1332&lt;75,W1332&gt;=120),0.1,0)+IF(AND(V1332&gt;=75,V1332&lt;175,W1332&lt;35),0.25,0)+IF(AND(V1332&gt;=75,V1332&lt;=175,W1332&gt;=35,W1332&lt;65),0.2,0)+IF(AND(V1332&gt;=75,V1332&lt;=175,W1332&gt;=65,W1332&lt;110),0.15,0)+IF(AND(V1332&gt;=75,V1332&lt;=175,W1332&gt;=110),0.1,0)+IF(AND(V1332&gt;175,W1332&lt;25),0.25,0)+IF(AND(V1332&gt;175,W1332&gt;=25,W1332&lt;55),0.2,0)+IF(AND(V1332&gt;175,W1332&gt;=55,W1332&lt;95),0.15,0)+IF(AND(V1332&gt;175,W1332&gt;=95),0.1,0))))))))))))))))))</f>
        <v>0.1</v>
      </c>
      <c r="Y1332" s="30">
        <f>IF(AG1332="None",0,IF(AG1332="Fix5",0.05, IF(AG1332="Fix6.25",0.0625,IF(AG1332="Fix3.75",0.0375,IF(AG1332="Fix10",0.1,IF(AG1332="Fix3",0.03,0))))))</f>
        <v>0</v>
      </c>
      <c r="Z1332" s="35">
        <f>T1332-AA1332-AB1332</f>
        <v>-2723.4</v>
      </c>
      <c r="AA1332" s="29">
        <f>IF(AD1332="EUR",((T1332-R1332)*X1332)*U1332+(R1332*X1332),(T1332*X1332))</f>
        <v>-302.60000000000002</v>
      </c>
      <c r="AB1332" s="36">
        <f>IF(AD1332="EUR",((T1332-R1332)*Y1332)*U1332+(R1332*Y1332),(T1332*Y1332))</f>
        <v>0</v>
      </c>
      <c r="AC1332" s="37" t="b">
        <v>1</v>
      </c>
      <c r="AD1332" s="37" t="s">
        <v>38</v>
      </c>
      <c r="AE1332" s="37" t="s">
        <v>38</v>
      </c>
      <c r="AF1332" s="37" t="str">
        <f t="array" ref="AF1332">INDEX('Deal Info'!D:D, MATCH(A1332,'Deal Info'!A:A, 0))</f>
        <v>Fix10</v>
      </c>
      <c r="AG1332" s="38" t="str">
        <f t="array" ref="AG1332">INDEX('Deal Info'!G:G, MATCH(A1332,'Deal Info'!A:A, 0))</f>
        <v>None</v>
      </c>
    </row>
    <row r="1333" spans="1:33" ht="14.25" hidden="1" x14ac:dyDescent="0.2">
      <c r="A1333" s="18" t="str">
        <f t="array" ref="A1333">IF(G1333='Room Info'!$B$1, INDEX('Room Info'!$A$2:$A2446, MATCH(B1333,'Room Info'!$B$2:$B2446, 0)),IF(G1333='Room Info'!$C$1, INDEX('Room Info'!$A$2:$A2446, MATCH(B1333,'Room Info'!$C$2:$C2446, 0)),IF(G1333='Room Info'!$D$1, INDEX('Room Info'!$A$2:$A2446, MATCH(B1333,'Room Info'!$D$2:$D2446, 0)),IF(G1333='Room Info'!$E$1, INDEX('Room Info'!$A$2:$A2446, MATCH(B1333,'Room Info'!$E$2:$E2446, 0)),IF(G1333='Room Info'!$F$1, INDEX('Room Info'!$A$2:$A2446, MATCH(B1333,'Room Info'!$F$2:$F2446, 0)),IF(G1333='Room Info'!$H$1, INDEX('Room Info'!$A$2:$A2446, MATCH(B1333,'Room Info'!$H$2:$H2446, 0)),IF(G1333='Room Info'!$G$1, INDEX('Room Info'!$A$2:$A2446, MATCH(B1333,'Room Info'!$G$2:$G2446, 0)))))))))</f>
        <v>volkovsky</v>
      </c>
      <c r="B1333" s="45" t="s">
        <v>206</v>
      </c>
      <c r="C1333" s="46">
        <v>44702</v>
      </c>
      <c r="D1333" s="46">
        <v>44732</v>
      </c>
      <c r="E1333" s="47">
        <v>44713</v>
      </c>
      <c r="F1333" s="45" t="s">
        <v>34</v>
      </c>
      <c r="G1333" s="54" t="s">
        <v>35</v>
      </c>
      <c r="H1333" s="49" t="s">
        <v>148</v>
      </c>
      <c r="I1333" s="49" t="s">
        <v>44</v>
      </c>
      <c r="J1333" s="50">
        <v>250</v>
      </c>
      <c r="K1333" s="51">
        <v>408</v>
      </c>
      <c r="L1333" s="52">
        <v>500</v>
      </c>
      <c r="M1333" s="53">
        <v>3682</v>
      </c>
      <c r="N1333" s="28">
        <f>K1333*J1333</f>
        <v>102000</v>
      </c>
      <c r="O1333" s="54">
        <v>217</v>
      </c>
      <c r="P1333" s="29">
        <v>0.53186274509999998</v>
      </c>
      <c r="Q1333" s="55"/>
      <c r="R1333" s="31">
        <f>M1333+Q1333</f>
        <v>3682</v>
      </c>
      <c r="S1333" s="56">
        <v>-4633</v>
      </c>
      <c r="T1333" s="32">
        <f>R1333+S1333+IF(F1333="Without EV deal",L1333,0)</f>
        <v>-951</v>
      </c>
      <c r="U1333" s="57"/>
      <c r="V1333" s="58"/>
      <c r="W1333" s="58"/>
      <c r="X1333" s="30">
        <f>IF(AF1333="DoEV",IF(AND(V1333&lt;20,W1333&lt;55),0.3,0)+IF(AND(V1333&lt;20,W1333&gt;=55,W1333&lt;105),0.23,0)+IF(AND(V1333&lt;20,W1333&gt;=105),0.17,0)+IF(AND(V1333&gt;=20,V1333&lt;40,W1333&lt;45),0.3,0)+IF(AND(V1333&gt;=20,V1333&lt;40,W1333&gt;=45,W1333&lt;95),0.23,0)+IF(AND(V1333&gt;=20,V1333&lt;40,W1333&gt;=95),0.17,0)+IF(AND(V1333&gt;=40,V1333&lt;75,W1333&lt;35),0.3,0)+IF(AND(V1333&gt;=40,V1333&lt;75,W1333&gt;=35,W1333&lt;75),0.23,0)+IF(AND(V1333&gt;=40,V1333&lt;75,W1333&gt;=75,W1333&lt;120),0.17,0)+IF(AND(V1333&gt;=40,V1333&lt;75,W1333&gt;=120),0.12,0)+IF(AND(V1333&gt;=75,V1333&lt;175,W1333&lt;35),0.3,0)+IF(AND(V1333&gt;=75,V1333&lt;=175,W1333&gt;=35,W1333&lt;65),0.23,0)+IF(AND(V1333&gt;=75,V1333&lt;=175,W1333&gt;=65,W1333&lt;110),0.17,0)+IF(AND(V1333&gt;=75,V1333&lt;=175,W1333&gt;=110),0.12,0)+IF(AND(V1333&gt;175,W1333&lt;25),0.3,0)+IF(AND(V1333&gt;175,W1333&gt;=25,W1333&lt;55),0.23,0)+IF(AND(V1333&gt;175,W1333&gt;=55,W1333&lt;95),0.17,0)+IF(AND(V1333&gt;175,W1333&gt;=95),0.12,0),
IF(AF1333="Fix15",0.15,
IF(AF1333="Fix18.75",0.1875,
IF(AF1333="Fix11.25",0.1125,
IF(AF1333="Fix10",0.1,
IF(AF1333="Fix9",0.09,
IF(AF1333="Fix19",0.19,
IF(AF1333="DoEV2017",IF(AND(W1333&lt;74),0.2,0)+IF(AND(W1333&gt;=74),0.17,0),
IF(AF1333="SF",IF(AND(V1333&lt;20,W1333&lt;89),0.3,0)+IF(AND(V1333&lt;20,W1333&gt;=89),0.25,0)+IF(AND(V1333&gt;=20,V1333&lt;40,W1333&lt;74),0.3,0)+IF(AND(V1333&gt;=20,V1333&lt;40,W1333&gt;=75),0.22,0)+IF(AND(V1333&gt;=40,V1333&lt;75,W1333&lt;75),0.26,0)+IF(AND(V1333&gt;=40,V1333&lt;75,W1333&gt;=75),0.22,0)+IF(V1333&gt;=75,0.22,0),
IF(AF1333="DoEVold",IF(AND(V1333&lt;40,W1333&lt;35),0.35,0)+IF(AND(V1333&lt;40,W1333&gt;=35,W1333&lt;75),0.25,0)+IF(AND(V1333&lt;40,W1333&gt;=75),0.17,0)+IF(AND(V1333&gt;=40,V1333&lt;75,W1333&lt;25),0.35,0)+IF(AND(V1333&gt;=40,V1333&lt;75,W1333&gt;=25,W1333&lt;65),0.25,0)+IF(AND(V1333&gt;=40,V1333&lt;75,W1333&gt;=65,W1333&lt;100),0.17,0)+IF(AND(V1333&gt;=40,V1333&lt;75,W1333&gt;=100),0.1,0)+IF(AND(V1333&gt;=75,W1333&lt;25),0.35,0)+IF(AND(V1333&gt;=75,W1333&gt;=25,W1333&lt;60),0.25,0)+IF(AND(V1333&gt;=75,W1333&gt;=60,W1333&lt;95),0.17,0)+IF(AND(V1333&gt;=75,W1333&gt;=95),0.1,0),
IF(AF1333="DoEVold15",IF(AND(V1333&lt;=40,W1333&lt;35),0.35,0)+IF(AND(V1333&lt;=40,W1333&gt;=35,W1333&lt;75),0.25,0)+IF(AND(V1333&lt;=40,W1333&gt;=75,W1333&lt;120),0.17,0)+IF(AND(V1333&lt;=40,W1333&gt;=120),0.15,0)+IF(AND(V1333&gt;40,V1333&lt;75,W1333&lt;25),0.35,0)+IF(AND(V1333&gt;=40,V1333&lt;75,W1333&gt;=25,W1333&lt;65),0.25,0)+IF(AND(V1333&gt;=40,V1333&lt;75,W1333&gt;=65,W1333&lt;100),0.17,0)+IF(AND(V1333&gt;=40,V1333&lt;75,W1333&gt;=100),0.1,0)+IF(AND(V1333&gt;=75,W1333&lt;25),0.35,0)+IF(AND(V1333&gt;=75,W1333&gt;=25,W1333&lt;60),0.25,0)+IF(AND(V1333&gt;=75,W1333&gt;=60,W1333&lt;95),0.17,0)+IF(AND(V1333&gt;=75,W1333&gt;=95),0.1,0),
IF(AF1333="DoEVba",IF(AND(V1333&lt;20,W1333&lt;105),0.2,0)+IF(AND(V1333&lt;20,W1333&gt;=105),0.15,0)+IF(AND(V1333&gt;=20,V1333&lt;40,W1333&lt;95),0.2,0)+IF(AND(V1333&gt;=20,V1333&lt;40,W1333&gt;=95,W1333&lt;150),0.15,0)+IF(AND(V1333&gt;=20,V1333&lt;40,W1333&gt;=150),0.12,0)+IF(AND(V1333&gt;=40,V1333&lt;75,W1333&lt;75),0.2,0)+IF(AND(V1333&gt;=40,V1333&lt;75,W1333&gt;=75,W1333&lt;120),0.15,0)+IF(AND(V1333&gt;=40,V1333&lt;75,W1333&gt;=120),0.12,0)+IF(AND(V1333&gt;=75,V1333&lt;175,W1333&lt;65),0.2,0)+IF(AND(V1333&gt;=75,V1333&lt;175,W1333&gt;=65,W1333&lt;110),0.15,0)+IF(AND(V1333&gt;=75,V1333&lt;175,W1333&gt;=110),0.12,0)+IF(AND(V1333&gt;=175,W1333&lt;55),0.2,0)+IF(AND(V1333&gt;=175,W1333&gt;=55,W1333&lt;95),0.15,0)+IF(AND(V1333&gt;=175,W1333&gt;=95),0.12,0),
IF(AF1333="DoEVku",IF(AND(V1333&lt;20,W1333&lt;55),0.23,0)+IF(AND(V1333&lt;20,W1333&gt;=55,W1333&lt;105),0.2,0)+IF(AND(V1333&lt;20,W1333&gt;=105),0.17,0)+IF(AND(V1333&gt;=20,V1333&lt;40,W1333&lt;45),0.23,0)+IF(AND(V1333&gt;=20,V1333&lt;40,W1333&gt;=45,W1333&lt;95),0.2,0)+IF(AND(V1333&gt;=20,V1333&lt;40,W1333&gt;=95,W1333&lt;=150),0.17,0)+IF(AND(V1333&gt;=20,V1333&lt;40,W1333&gt;=150),0.12,0)+IF(AND(V1333&gt;=40,V1333&lt;75,W1333&lt;35),0.23,0)+IF(AND(V1333&gt;=40,V1333&lt;75,W1333&gt;=35,W1333&lt;75),0.2,0)+IF(AND(V1333&gt;=40,V1333&lt;75,W1333&gt;=75,W1333&lt;120),0.17,0)+IF(AND(V1333&gt;=40,V1333&lt;75,W1333&gt;=120),0.12,0)+IF(AND(V1333&gt;=75,V1333&lt;175,W1333&lt;35),0.23,0)+IF(AND(V1333&gt;=75,V1333&lt;=175,W1333&gt;=35,W1333&lt;65),0.2,0)+IF(AND(V1333&gt;=75,V1333&lt;=175,W1333&gt;=65,W1333&lt;110),0.17,0)+IF(AND(V1333&gt;=75,V1333&lt;=175,W1333&gt;=110),0.12,0)+IF(AND(V1333&gt;175,W1333&lt;25),0.23,0)+IF(AND(V1333&gt;175,W1333&gt;=25,W1333&lt;55),0.2,0)+IF(AND(V1333&gt;175,W1333&gt;=55,W1333&lt;95),0.17,0)+IF(AND(V1333&gt;175,W1333&gt;=95),0.12,0),
IF(AF1333="DoEVs1",IF(AND(V1333&lt;20,W1333&lt;55),0.3,0)+IF(AND(V1333&lt;20,W1333&gt;=55,W1333&lt;105),0.23,0)+IF(AND(V1333&lt;20,W1333&gt;=105),0.17,0)+IF(AND(V1333&gt;=20,V1333&lt;40,W1333&lt;45),0.3,0)+IF(AND(V1333&gt;=20,V1333&lt;40,W1333&gt;=45,W1333&lt;95),0.23,0)+IF(AND(V1333&gt;=20,V1333&lt;40,W1333&gt;=95,W1333&lt;=150),0.17,0)+IF(AND(V1333&gt;=20,V1333&lt;40,W1333&gt;=150),0.12,0)+IF(AND(V1333&gt;=40,V1333&lt;75,W1333&lt;35),0.3,0)+IF(AND(V1333&gt;=40,V1333&lt;75,W1333&gt;=35,W1333&lt;75),0.23,0)+IF(AND(V1333&gt;=40,V1333&lt;75,W1333&gt;=75,W1333&lt;120),0.17,0)+IF(AND(V1333&gt;=40,V1333&lt;75,W1333&gt;=120),0.12,0)+IF(AND(V1333&gt;=75,V1333&lt;175,W1333&lt;35),0.3,0)+IF(AND(V1333&gt;=75,V1333&lt;=175,W1333&gt;=35,W1333&lt;65),0.23,0)+IF(AND(V1333&gt;=75,V1333&lt;=175,W1333&gt;=65,W1333&lt;110),0.17,0)+IF(AND(V1333&gt;=75,V1333&lt;=175,W1333&gt;=110),0.12,0)+IF(AND(V1333&gt;175,W1333&lt;25),0.3,0)+IF(AND(V1333&gt;175,W1333&gt;=25,W1333&lt;55),0.23,0)+IF(AND(V1333&gt;175,W1333&gt;=55,W1333&lt;95),0.17,0)+IF(AND(V1333&gt;175,W1333&gt;=95),0.12,0),
IF(AF1333="DoEVsu",IF(AND(V1333&lt;20,W1333&lt;55),0.3,0)+IF(AND(V1333&lt;20,W1333&gt;=55,W1333&lt;105),0.23,0)+IF(AND(V1333&lt;20,W1333&gt;=105),0.17,0)+IF(AND(V1333&gt;=20,V1333&lt;40,W1333&lt;45),0.3,0)+IF(AND(V1333&gt;=20,V1333&lt;40,W1333&gt;=45,W1333&lt;95),0.23,0)+IF(AND(V1333&gt;=20,V1333&lt;40,W1333&gt;=95,W1333&lt;=250),0.17,0)+IF(AND(V1333&gt;=20,V1333&lt;40,W1333&gt;=250),0.12,0)+IF(AND(V1333&gt;=40,V1333&lt;75,W1333&lt;35),0.3,0)+IF(AND(V1333&gt;=40,V1333&lt;75,W1333&gt;=35,W1333&lt;75),0.23,0)+IF(AND(V1333&gt;=40,V1333&lt;75,W1333&gt;=75,W1333&lt;120),0.17,0)+IF(AND(V1333&gt;=40,V1333&lt;75,W1333&gt;=120),0.12,0)+IF(AND(V1333&gt;=75,V1333&lt;175,W1333&lt;35),0.3,0)+IF(AND(V1333&gt;=75,V1333&lt;=175,W1333&gt;=35,W1333&lt;65),0.23,0)+IF(AND(V1333&gt;=75,V1333&lt;=175,W1333&gt;=65,W1333&lt;110),0.17,0)+IF(AND(V1333&gt;=75,V1333&lt;=175,W1333&gt;=110),0.12,0)+IF(AND(V1333&gt;175,W1333&lt;25),0.3,0)+IF(AND(V1333&gt;175,W1333&gt;=25,W1333&lt;55),0.23,0)+IF(AND(V1333&gt;175,W1333&gt;=55,W1333&lt;95),0.17,0)+IF(AND(V1333&gt;175,W1333&gt;=95),0.12,0),
IF(AF1333="DoEVni",IF(AND(V1333&lt;20,W1333&lt;55),0.3,0)+IF(AND(V1333&lt;20,W1333&gt;=55,W1333&lt;105),0.23,0)+IF(AND(V1333&lt;20,W1333&gt;=105),0.17,0)+IF(AND(V1333&gt;=20,V1333&lt;40,W1333&lt;45),0.3,0)+IF(AND(V1333&gt;=20,V1333&lt;40,W1333&gt;=45,W1333&lt;95),0.23,0)+IF(AND(V1333&gt;=20,V1333&lt;40,W1333&gt;=95,W1333&lt;=200),0.17,0)+IF(AND(V1333&gt;=20,V1333&lt;40,W1333&gt;=200),0.12,0)+IF(AND(V1333&gt;=40,V1333&lt;75,W1333&lt;35),0.3,0)+IF(AND(V1333&gt;=40,V1333&lt;75,W1333&gt;=35,W1333&lt;75),0.23,0)+IF(AND(V1333&gt;=40,V1333&lt;75,W1333&gt;=75,W1333&lt;120),0.17,0)+IF(AND(V1333&gt;=40,V1333&lt;75,W1333&gt;=120),0.12,0)+IF(AND(V1333&gt;=75,V1333&lt;175,W1333&lt;35),0.3,0)+IF(AND(V1333&gt;=75,V1333&lt;=175,W1333&gt;=35,W1333&lt;65),0.23,0)+IF(AND(V1333&gt;=75,V1333&lt;=175,W1333&gt;=65,W1333&lt;110),0.17,0)+IF(AND(V1333&gt;=75,V1333&lt;=175,W1333&gt;=110),0.12,0)+IF(AND(V1333&gt;175,W1333&lt;25),0.3,0)+IF(AND(V1333&gt;175,W1333&gt;=25,W1333&lt;55),0.23,0)+IF(AND(V1333&gt;175,W1333&gt;=55,W1333&lt;95),0.17,0)+IF(AND(V1333&gt;175,W1333&gt;=95),0.12,0),
IF(AF1333="DoEVLo",IF(AND(V1333&lt;20,W1333&lt;55),0.25,0)+IF(AND(V1333&lt;20,W1333&gt;=55,W1333&lt;105),0.2,0)+IF(AND(V1333&lt;20,W1333&gt;=105),0.15,0)+IF(AND(V1333&gt;=20,V1333&lt;40,W1333&lt;45),0.25,0)+IF(AND(V1333&gt;=20,V1333&lt;40,W1333&gt;=45,W1333&lt;95),0.2,0)+IF(AND(V1333&gt;=20,V1333&lt;40,W1333&gt;=95),0.15,0)+IF(AND(V1333&gt;=40,V1333&lt;75,W1333&lt;35),0.25,0)+IF(AND(V1333&gt;=40,V1333&lt;75,W1333&gt;=35,W1333&lt;75),0.2,0)+IF(AND(V1333&gt;=40,V1333&lt;75,W1333&gt;=75,W1333&lt;120),0.15,0)+IF(AND(V1333&gt;=40,V1333&lt;75,W1333&gt;=120),0.1,0)+IF(AND(V1333&gt;=75,V1333&lt;175,W1333&lt;35),0.25,0)+IF(AND(V1333&gt;=75,V1333&lt;=175,W1333&gt;=35,W1333&lt;65),0.2,0)+IF(AND(V1333&gt;=75,V1333&lt;=175,W1333&gt;=65,W1333&lt;110),0.15,0)+IF(AND(V1333&gt;=75,V1333&lt;=175,W1333&gt;=110),0.1,0)+IF(AND(V1333&gt;175,W1333&lt;25),0.25,0)+IF(AND(V1333&gt;175,W1333&gt;=25,W1333&lt;55),0.2,0)+IF(AND(V1333&gt;175,W1333&gt;=55,W1333&lt;95),0.15,0)+IF(AND(V1333&gt;175,W1333&gt;=95),0.1,0))))))))))))))))))</f>
        <v>0.1</v>
      </c>
      <c r="Y1333" s="30">
        <f>IF(AG1333="None",0,IF(AG1333="Fix5",0.05, IF(AG1333="Fix6.25",0.0625,IF(AG1333="Fix3.75",0.0375,IF(AG1333="Fix10",0.1,IF(AG1333="Fix3",0.03,0))))))</f>
        <v>0</v>
      </c>
      <c r="Z1333" s="35">
        <f>T1333-AA1333-AB1333</f>
        <v>-855.9</v>
      </c>
      <c r="AA1333" s="29">
        <f>IF(AD1333="EUR",((T1333-R1333)*X1333)*U1333+(R1333*X1333),(T1333*X1333))</f>
        <v>-95.100000000000009</v>
      </c>
      <c r="AB1333" s="36">
        <f>IF(AD1333="EUR",((T1333-R1333)*Y1333)*U1333+(R1333*Y1333),(T1333*Y1333))</f>
        <v>0</v>
      </c>
      <c r="AC1333" s="37" t="b">
        <v>1</v>
      </c>
      <c r="AD1333" s="37" t="s">
        <v>38</v>
      </c>
      <c r="AE1333" s="37" t="s">
        <v>38</v>
      </c>
      <c r="AF1333" s="37" t="str">
        <f t="array" ref="AF1333">INDEX('Deal Info'!D:D, MATCH(A1333,'Deal Info'!A:A, 0))</f>
        <v>Fix10</v>
      </c>
      <c r="AG1333" s="38" t="str">
        <f t="array" ref="AG1333">INDEX('Deal Info'!G:G, MATCH(A1333,'Deal Info'!A:A, 0))</f>
        <v>None</v>
      </c>
    </row>
    <row r="1334" spans="1:33" ht="14.25" hidden="1" x14ac:dyDescent="0.2">
      <c r="A1334" s="18" t="str">
        <f t="array" ref="A1334">IF(G1334='Room Info'!$B$1, INDEX('Room Info'!$A$2:$A2446, MATCH(B1334,'Room Info'!$B$2:$B2446, 0)),IF(G1334='Room Info'!$C$1, INDEX('Room Info'!$A$2:$A2446, MATCH(B1334,'Room Info'!$C$2:$C2446, 0)),IF(G1334='Room Info'!$D$1, INDEX('Room Info'!$A$2:$A2446, MATCH(B1334,'Room Info'!$D$2:$D2446, 0)),IF(G1334='Room Info'!$E$1, INDEX('Room Info'!$A$2:$A2446, MATCH(B1334,'Room Info'!$E$2:$E2446, 0)),IF(G1334='Room Info'!$F$1, INDEX('Room Info'!$A$2:$A2446, MATCH(B1334,'Room Info'!$F$2:$F2446, 0)),IF(G1334='Room Info'!$H$1, INDEX('Room Info'!$A$2:$A2446, MATCH(B1334,'Room Info'!$H$2:$H2446, 0)),IF(G1334='Room Info'!$G$1, INDEX('Room Info'!$A$2:$A2446, MATCH(B1334,'Room Info'!$G$2:$G2446, 0)))))))))</f>
        <v>volkovsky</v>
      </c>
      <c r="B1334" s="45" t="s">
        <v>206</v>
      </c>
      <c r="C1334" s="77">
        <v>44702</v>
      </c>
      <c r="D1334" s="77">
        <v>44732</v>
      </c>
      <c r="E1334" s="47">
        <v>44713</v>
      </c>
      <c r="F1334" s="48" t="s">
        <v>34</v>
      </c>
      <c r="G1334" s="45" t="s">
        <v>35</v>
      </c>
      <c r="H1334" s="91" t="s">
        <v>142</v>
      </c>
      <c r="I1334" s="49" t="s">
        <v>37</v>
      </c>
      <c r="J1334" s="74">
        <v>500</v>
      </c>
      <c r="K1334" s="75">
        <v>3</v>
      </c>
      <c r="L1334" s="72">
        <v>-1500</v>
      </c>
      <c r="M1334" s="76">
        <v>54</v>
      </c>
      <c r="N1334" s="28">
        <f>K1334*J1334</f>
        <v>1500</v>
      </c>
      <c r="O1334" s="45">
        <v>-441</v>
      </c>
      <c r="P1334" s="29">
        <v>-147</v>
      </c>
      <c r="Q1334" s="55"/>
      <c r="R1334" s="31">
        <f>M1334+Q1334</f>
        <v>54</v>
      </c>
      <c r="S1334" s="73">
        <v>-484</v>
      </c>
      <c r="T1334" s="32">
        <f>R1334+S1334+IF(F1334="Without EV deal",L1334,0)</f>
        <v>-430</v>
      </c>
      <c r="U1334" s="57"/>
      <c r="V1334" s="58"/>
      <c r="W1334" s="58"/>
      <c r="X1334" s="30">
        <f>IF(AF1334="DoEV",IF(AND(V1334&lt;20,W1334&lt;55),0.3,0)+IF(AND(V1334&lt;20,W1334&gt;=55,W1334&lt;105),0.23,0)+IF(AND(V1334&lt;20,W1334&gt;=105),0.17,0)+IF(AND(V1334&gt;=20,V1334&lt;40,W1334&lt;45),0.3,0)+IF(AND(V1334&gt;=20,V1334&lt;40,W1334&gt;=45,W1334&lt;95),0.23,0)+IF(AND(V1334&gt;=20,V1334&lt;40,W1334&gt;=95),0.17,0)+IF(AND(V1334&gt;=40,V1334&lt;75,W1334&lt;35),0.3,0)+IF(AND(V1334&gt;=40,V1334&lt;75,W1334&gt;=35,W1334&lt;75),0.23,0)+IF(AND(V1334&gt;=40,V1334&lt;75,W1334&gt;=75,W1334&lt;120),0.17,0)+IF(AND(V1334&gt;=40,V1334&lt;75,W1334&gt;=120),0.12,0)+IF(AND(V1334&gt;=75,V1334&lt;175,W1334&lt;35),0.3,0)+IF(AND(V1334&gt;=75,V1334&lt;=175,W1334&gt;=35,W1334&lt;65),0.23,0)+IF(AND(V1334&gt;=75,V1334&lt;=175,W1334&gt;=65,W1334&lt;110),0.17,0)+IF(AND(V1334&gt;=75,V1334&lt;=175,W1334&gt;=110),0.12,0)+IF(AND(V1334&gt;175,W1334&lt;25),0.3,0)+IF(AND(V1334&gt;175,W1334&gt;=25,W1334&lt;55),0.23,0)+IF(AND(V1334&gt;175,W1334&gt;=55,W1334&lt;95),0.17,0)+IF(AND(V1334&gt;175,W1334&gt;=95),0.12,0),
IF(AF1334="Fix15",0.15,
IF(AF1334="Fix18.75",0.1875,
IF(AF1334="Fix11.25",0.1125,
IF(AF1334="Fix10",0.1,
IF(AF1334="Fix9",0.09,
IF(AF1334="Fix19",0.19,
IF(AF1334="DoEV2017",IF(AND(W1334&lt;74),0.2,0)+IF(AND(W1334&gt;=74),0.17,0),
IF(AF1334="SF",IF(AND(V1334&lt;20,W1334&lt;89),0.3,0)+IF(AND(V1334&lt;20,W1334&gt;=89),0.25,0)+IF(AND(V1334&gt;=20,V1334&lt;40,W1334&lt;74),0.3,0)+IF(AND(V1334&gt;=20,V1334&lt;40,W1334&gt;=75),0.22,0)+IF(AND(V1334&gt;=40,V1334&lt;75,W1334&lt;75),0.26,0)+IF(AND(V1334&gt;=40,V1334&lt;75,W1334&gt;=75),0.22,0)+IF(V1334&gt;=75,0.22,0),
IF(AF1334="DoEVold",IF(AND(V1334&lt;40,W1334&lt;35),0.35,0)+IF(AND(V1334&lt;40,W1334&gt;=35,W1334&lt;75),0.25,0)+IF(AND(V1334&lt;40,W1334&gt;=75),0.17,0)+IF(AND(V1334&gt;=40,V1334&lt;75,W1334&lt;25),0.35,0)+IF(AND(V1334&gt;=40,V1334&lt;75,W1334&gt;=25,W1334&lt;65),0.25,0)+IF(AND(V1334&gt;=40,V1334&lt;75,W1334&gt;=65,W1334&lt;100),0.17,0)+IF(AND(V1334&gt;=40,V1334&lt;75,W1334&gt;=100),0.1,0)+IF(AND(V1334&gt;=75,W1334&lt;25),0.35,0)+IF(AND(V1334&gt;=75,W1334&gt;=25,W1334&lt;60),0.25,0)+IF(AND(V1334&gt;=75,W1334&gt;=60,W1334&lt;95),0.17,0)+IF(AND(V1334&gt;=75,W1334&gt;=95),0.1,0),
IF(AF1334="DoEVold15",IF(AND(V1334&lt;=40,W1334&lt;35),0.35,0)+IF(AND(V1334&lt;=40,W1334&gt;=35,W1334&lt;75),0.25,0)+IF(AND(V1334&lt;=40,W1334&gt;=75,W1334&lt;120),0.17,0)+IF(AND(V1334&lt;=40,W1334&gt;=120),0.15,0)+IF(AND(V1334&gt;40,V1334&lt;75,W1334&lt;25),0.35,0)+IF(AND(V1334&gt;=40,V1334&lt;75,W1334&gt;=25,W1334&lt;65),0.25,0)+IF(AND(V1334&gt;=40,V1334&lt;75,W1334&gt;=65,W1334&lt;100),0.17,0)+IF(AND(V1334&gt;=40,V1334&lt;75,W1334&gt;=100),0.1,0)+IF(AND(V1334&gt;=75,W1334&lt;25),0.35,0)+IF(AND(V1334&gt;=75,W1334&gt;=25,W1334&lt;60),0.25,0)+IF(AND(V1334&gt;=75,W1334&gt;=60,W1334&lt;95),0.17,0)+IF(AND(V1334&gt;=75,W1334&gt;=95),0.1,0),
IF(AF1334="DoEVba",IF(AND(V1334&lt;20,W1334&lt;105),0.2,0)+IF(AND(V1334&lt;20,W1334&gt;=105),0.15,0)+IF(AND(V1334&gt;=20,V1334&lt;40,W1334&lt;95),0.2,0)+IF(AND(V1334&gt;=20,V1334&lt;40,W1334&gt;=95,W1334&lt;150),0.15,0)+IF(AND(V1334&gt;=20,V1334&lt;40,W1334&gt;=150),0.12,0)+IF(AND(V1334&gt;=40,V1334&lt;75,W1334&lt;75),0.2,0)+IF(AND(V1334&gt;=40,V1334&lt;75,W1334&gt;=75,W1334&lt;120),0.15,0)+IF(AND(V1334&gt;=40,V1334&lt;75,W1334&gt;=120),0.12,0)+IF(AND(V1334&gt;=75,V1334&lt;175,W1334&lt;65),0.2,0)+IF(AND(V1334&gt;=75,V1334&lt;175,W1334&gt;=65,W1334&lt;110),0.15,0)+IF(AND(V1334&gt;=75,V1334&lt;175,W1334&gt;=110),0.12,0)+IF(AND(V1334&gt;=175,W1334&lt;55),0.2,0)+IF(AND(V1334&gt;=175,W1334&gt;=55,W1334&lt;95),0.15,0)+IF(AND(V1334&gt;=175,W1334&gt;=95),0.12,0),
IF(AF1334="DoEVku",IF(AND(V1334&lt;20,W1334&lt;55),0.23,0)+IF(AND(V1334&lt;20,W1334&gt;=55,W1334&lt;105),0.2,0)+IF(AND(V1334&lt;20,W1334&gt;=105),0.17,0)+IF(AND(V1334&gt;=20,V1334&lt;40,W1334&lt;45),0.23,0)+IF(AND(V1334&gt;=20,V1334&lt;40,W1334&gt;=45,W1334&lt;95),0.2,0)+IF(AND(V1334&gt;=20,V1334&lt;40,W1334&gt;=95,W1334&lt;=150),0.17,0)+IF(AND(V1334&gt;=20,V1334&lt;40,W1334&gt;=150),0.12,0)+IF(AND(V1334&gt;=40,V1334&lt;75,W1334&lt;35),0.23,0)+IF(AND(V1334&gt;=40,V1334&lt;75,W1334&gt;=35,W1334&lt;75),0.2,0)+IF(AND(V1334&gt;=40,V1334&lt;75,W1334&gt;=75,W1334&lt;120),0.17,0)+IF(AND(V1334&gt;=40,V1334&lt;75,W1334&gt;=120),0.12,0)+IF(AND(V1334&gt;=75,V1334&lt;175,W1334&lt;35),0.23,0)+IF(AND(V1334&gt;=75,V1334&lt;=175,W1334&gt;=35,W1334&lt;65),0.2,0)+IF(AND(V1334&gt;=75,V1334&lt;=175,W1334&gt;=65,W1334&lt;110),0.17,0)+IF(AND(V1334&gt;=75,V1334&lt;=175,W1334&gt;=110),0.12,0)+IF(AND(V1334&gt;175,W1334&lt;25),0.23,0)+IF(AND(V1334&gt;175,W1334&gt;=25,W1334&lt;55),0.2,0)+IF(AND(V1334&gt;175,W1334&gt;=55,W1334&lt;95),0.17,0)+IF(AND(V1334&gt;175,W1334&gt;=95),0.12,0),
IF(AF1334="DoEVs1",IF(AND(V1334&lt;20,W1334&lt;55),0.3,0)+IF(AND(V1334&lt;20,W1334&gt;=55,W1334&lt;105),0.23,0)+IF(AND(V1334&lt;20,W1334&gt;=105),0.17,0)+IF(AND(V1334&gt;=20,V1334&lt;40,W1334&lt;45),0.3,0)+IF(AND(V1334&gt;=20,V1334&lt;40,W1334&gt;=45,W1334&lt;95),0.23,0)+IF(AND(V1334&gt;=20,V1334&lt;40,W1334&gt;=95,W1334&lt;=150),0.17,0)+IF(AND(V1334&gt;=20,V1334&lt;40,W1334&gt;=150),0.12,0)+IF(AND(V1334&gt;=40,V1334&lt;75,W1334&lt;35),0.3,0)+IF(AND(V1334&gt;=40,V1334&lt;75,W1334&gt;=35,W1334&lt;75),0.23,0)+IF(AND(V1334&gt;=40,V1334&lt;75,W1334&gt;=75,W1334&lt;120),0.17,0)+IF(AND(V1334&gt;=40,V1334&lt;75,W1334&gt;=120),0.12,0)+IF(AND(V1334&gt;=75,V1334&lt;175,W1334&lt;35),0.3,0)+IF(AND(V1334&gt;=75,V1334&lt;=175,W1334&gt;=35,W1334&lt;65),0.23,0)+IF(AND(V1334&gt;=75,V1334&lt;=175,W1334&gt;=65,W1334&lt;110),0.17,0)+IF(AND(V1334&gt;=75,V1334&lt;=175,W1334&gt;=110),0.12,0)+IF(AND(V1334&gt;175,W1334&lt;25),0.3,0)+IF(AND(V1334&gt;175,W1334&gt;=25,W1334&lt;55),0.23,0)+IF(AND(V1334&gt;175,W1334&gt;=55,W1334&lt;95),0.17,0)+IF(AND(V1334&gt;175,W1334&gt;=95),0.12,0),
IF(AF1334="DoEVsu",IF(AND(V1334&lt;20,W1334&lt;55),0.3,0)+IF(AND(V1334&lt;20,W1334&gt;=55,W1334&lt;105),0.23,0)+IF(AND(V1334&lt;20,W1334&gt;=105),0.17,0)+IF(AND(V1334&gt;=20,V1334&lt;40,W1334&lt;45),0.3,0)+IF(AND(V1334&gt;=20,V1334&lt;40,W1334&gt;=45,W1334&lt;95),0.23,0)+IF(AND(V1334&gt;=20,V1334&lt;40,W1334&gt;=95,W1334&lt;=250),0.17,0)+IF(AND(V1334&gt;=20,V1334&lt;40,W1334&gt;=250),0.12,0)+IF(AND(V1334&gt;=40,V1334&lt;75,W1334&lt;35),0.3,0)+IF(AND(V1334&gt;=40,V1334&lt;75,W1334&gt;=35,W1334&lt;75),0.23,0)+IF(AND(V1334&gt;=40,V1334&lt;75,W1334&gt;=75,W1334&lt;120),0.17,0)+IF(AND(V1334&gt;=40,V1334&lt;75,W1334&gt;=120),0.12,0)+IF(AND(V1334&gt;=75,V1334&lt;175,W1334&lt;35),0.3,0)+IF(AND(V1334&gt;=75,V1334&lt;=175,W1334&gt;=35,W1334&lt;65),0.23,0)+IF(AND(V1334&gt;=75,V1334&lt;=175,W1334&gt;=65,W1334&lt;110),0.17,0)+IF(AND(V1334&gt;=75,V1334&lt;=175,W1334&gt;=110),0.12,0)+IF(AND(V1334&gt;175,W1334&lt;25),0.3,0)+IF(AND(V1334&gt;175,W1334&gt;=25,W1334&lt;55),0.23,0)+IF(AND(V1334&gt;175,W1334&gt;=55,W1334&lt;95),0.17,0)+IF(AND(V1334&gt;175,W1334&gt;=95),0.12,0),
IF(AF1334="DoEVni",IF(AND(V1334&lt;20,W1334&lt;55),0.3,0)+IF(AND(V1334&lt;20,W1334&gt;=55,W1334&lt;105),0.23,0)+IF(AND(V1334&lt;20,W1334&gt;=105),0.17,0)+IF(AND(V1334&gt;=20,V1334&lt;40,W1334&lt;45),0.3,0)+IF(AND(V1334&gt;=20,V1334&lt;40,W1334&gt;=45,W1334&lt;95),0.23,0)+IF(AND(V1334&gt;=20,V1334&lt;40,W1334&gt;=95,W1334&lt;=200),0.17,0)+IF(AND(V1334&gt;=20,V1334&lt;40,W1334&gt;=200),0.12,0)+IF(AND(V1334&gt;=40,V1334&lt;75,W1334&lt;35),0.3,0)+IF(AND(V1334&gt;=40,V1334&lt;75,W1334&gt;=35,W1334&lt;75),0.23,0)+IF(AND(V1334&gt;=40,V1334&lt;75,W1334&gt;=75,W1334&lt;120),0.17,0)+IF(AND(V1334&gt;=40,V1334&lt;75,W1334&gt;=120),0.12,0)+IF(AND(V1334&gt;=75,V1334&lt;175,W1334&lt;35),0.3,0)+IF(AND(V1334&gt;=75,V1334&lt;=175,W1334&gt;=35,W1334&lt;65),0.23,0)+IF(AND(V1334&gt;=75,V1334&lt;=175,W1334&gt;=65,W1334&lt;110),0.17,0)+IF(AND(V1334&gt;=75,V1334&lt;=175,W1334&gt;=110),0.12,0)+IF(AND(V1334&gt;175,W1334&lt;25),0.3,0)+IF(AND(V1334&gt;175,W1334&gt;=25,W1334&lt;55),0.23,0)+IF(AND(V1334&gt;175,W1334&gt;=55,W1334&lt;95),0.17,0)+IF(AND(V1334&gt;175,W1334&gt;=95),0.12,0),
IF(AF1334="DoEVLo",IF(AND(V1334&lt;20,W1334&lt;55),0.25,0)+IF(AND(V1334&lt;20,W1334&gt;=55,W1334&lt;105),0.2,0)+IF(AND(V1334&lt;20,W1334&gt;=105),0.15,0)+IF(AND(V1334&gt;=20,V1334&lt;40,W1334&lt;45),0.25,0)+IF(AND(V1334&gt;=20,V1334&lt;40,W1334&gt;=45,W1334&lt;95),0.2,0)+IF(AND(V1334&gt;=20,V1334&lt;40,W1334&gt;=95),0.15,0)+IF(AND(V1334&gt;=40,V1334&lt;75,W1334&lt;35),0.25,0)+IF(AND(V1334&gt;=40,V1334&lt;75,W1334&gt;=35,W1334&lt;75),0.2,0)+IF(AND(V1334&gt;=40,V1334&lt;75,W1334&gt;=75,W1334&lt;120),0.15,0)+IF(AND(V1334&gt;=40,V1334&lt;75,W1334&gt;=120),0.1,0)+IF(AND(V1334&gt;=75,V1334&lt;175,W1334&lt;35),0.25,0)+IF(AND(V1334&gt;=75,V1334&lt;=175,W1334&gt;=35,W1334&lt;65),0.2,0)+IF(AND(V1334&gt;=75,V1334&lt;=175,W1334&gt;=65,W1334&lt;110),0.15,0)+IF(AND(V1334&gt;=75,V1334&lt;=175,W1334&gt;=110),0.1,0)+IF(AND(V1334&gt;175,W1334&lt;25),0.25,0)+IF(AND(V1334&gt;175,W1334&gt;=25,W1334&lt;55),0.2,0)+IF(AND(V1334&gt;175,W1334&gt;=55,W1334&lt;95),0.15,0)+IF(AND(V1334&gt;175,W1334&gt;=95),0.1,0))))))))))))))))))</f>
        <v>0.1</v>
      </c>
      <c r="Y1334" s="30">
        <f>IF(AG1334="None",0,IF(AG1334="Fix5",0.05, IF(AG1334="Fix6.25",0.0625,IF(AG1334="Fix3.75",0.0375,IF(AG1334="Fix10",0.1,IF(AG1334="Fix3",0.03,0))))))</f>
        <v>0</v>
      </c>
      <c r="Z1334" s="35">
        <f>T1334-AA1334-AB1334</f>
        <v>-387</v>
      </c>
      <c r="AA1334" s="29">
        <f>IF(AD1334="EUR",((T1334-R1334)*X1334)*U1334+(R1334*X1334),(T1334*X1334))</f>
        <v>-43</v>
      </c>
      <c r="AB1334" s="36">
        <f>IF(AD1334="EUR",((T1334-R1334)*Y1334)*U1334+(R1334*Y1334),(T1334*Y1334))</f>
        <v>0</v>
      </c>
      <c r="AC1334" s="37" t="b">
        <v>1</v>
      </c>
      <c r="AD1334" s="37" t="s">
        <v>38</v>
      </c>
      <c r="AE1334" s="37" t="s">
        <v>38</v>
      </c>
      <c r="AF1334" s="37" t="str">
        <f t="array" ref="AF1334">INDEX('Deal Info'!D:D, MATCH(A1334,'Deal Info'!A:A, 0))</f>
        <v>Fix10</v>
      </c>
      <c r="AG1334" s="38" t="str">
        <f t="array" ref="AG1334">INDEX('Deal Info'!G:G, MATCH(A1334,'Deal Info'!A:A, 0))</f>
        <v>None</v>
      </c>
    </row>
    <row r="1335" spans="1:33" ht="14.25" hidden="1" x14ac:dyDescent="0.2">
      <c r="A1335" s="18" t="str">
        <f t="array" ref="A1335">IF(G1335='Room Info'!$B$1, INDEX('Room Info'!$A$2:$A2446, MATCH(B1335,'Room Info'!$B$2:$B2446, 0)),IF(G1335='Room Info'!$C$1, INDEX('Room Info'!$A$2:$A2446, MATCH(B1335,'Room Info'!$C$2:$C2446, 0)),IF(G1335='Room Info'!$D$1, INDEX('Room Info'!$A$2:$A2446, MATCH(B1335,'Room Info'!$D$2:$D2446, 0)),IF(G1335='Room Info'!$E$1, INDEX('Room Info'!$A$2:$A2446, MATCH(B1335,'Room Info'!$E$2:$E2446, 0)),IF(G1335='Room Info'!$F$1, INDEX('Room Info'!$A$2:$A2446, MATCH(B1335,'Room Info'!$F$2:$F2446, 0)),IF(G1335='Room Info'!$H$1, INDEX('Room Info'!$A$2:$A2446, MATCH(B1335,'Room Info'!$H$2:$H2446, 0)),IF(G1335='Room Info'!$G$1, INDEX('Room Info'!$A$2:$A2446, MATCH(B1335,'Room Info'!$G$2:$G2446, 0)))))))))</f>
        <v>volkovsky</v>
      </c>
      <c r="B1335" s="45" t="s">
        <v>206</v>
      </c>
      <c r="C1335" s="77">
        <v>44733</v>
      </c>
      <c r="D1335" s="77">
        <v>44762</v>
      </c>
      <c r="E1335" s="47">
        <v>44743</v>
      </c>
      <c r="F1335" s="48" t="s">
        <v>34</v>
      </c>
      <c r="G1335" s="45" t="s">
        <v>35</v>
      </c>
      <c r="H1335" s="91" t="s">
        <v>70</v>
      </c>
      <c r="I1335" s="49" t="s">
        <v>37</v>
      </c>
      <c r="J1335" s="74">
        <v>100</v>
      </c>
      <c r="K1335" s="75">
        <v>698</v>
      </c>
      <c r="L1335" s="72">
        <v>-2700</v>
      </c>
      <c r="M1335" s="76">
        <v>2741</v>
      </c>
      <c r="N1335" s="28">
        <f>K1335*J1335</f>
        <v>69800</v>
      </c>
      <c r="O1335" s="45">
        <v>2831</v>
      </c>
      <c r="P1335" s="29">
        <v>4.0558739260000003</v>
      </c>
      <c r="Q1335" s="55"/>
      <c r="R1335" s="31">
        <f>M1335+Q1335</f>
        <v>2741</v>
      </c>
      <c r="S1335" s="73">
        <v>-3332</v>
      </c>
      <c r="T1335" s="32">
        <f>R1335+S1335+IF(F1335="Without EV deal",L1335,0)</f>
        <v>-591</v>
      </c>
      <c r="U1335" s="57"/>
      <c r="V1335" s="58"/>
      <c r="W1335" s="58"/>
      <c r="X1335" s="30">
        <f>IF(AF1335="DoEV",IF(AND(V1335&lt;20,W1335&lt;55),0.3,0)+IF(AND(V1335&lt;20,W1335&gt;=55,W1335&lt;105),0.23,0)+IF(AND(V1335&lt;20,W1335&gt;=105),0.17,0)+IF(AND(V1335&gt;=20,V1335&lt;40,W1335&lt;45),0.3,0)+IF(AND(V1335&gt;=20,V1335&lt;40,W1335&gt;=45,W1335&lt;95),0.23,0)+IF(AND(V1335&gt;=20,V1335&lt;40,W1335&gt;=95),0.17,0)+IF(AND(V1335&gt;=40,V1335&lt;75,W1335&lt;35),0.3,0)+IF(AND(V1335&gt;=40,V1335&lt;75,W1335&gt;=35,W1335&lt;75),0.23,0)+IF(AND(V1335&gt;=40,V1335&lt;75,W1335&gt;=75,W1335&lt;120),0.17,0)+IF(AND(V1335&gt;=40,V1335&lt;75,W1335&gt;=120),0.12,0)+IF(AND(V1335&gt;=75,V1335&lt;175,W1335&lt;35),0.3,0)+IF(AND(V1335&gt;=75,V1335&lt;=175,W1335&gt;=35,W1335&lt;65),0.23,0)+IF(AND(V1335&gt;=75,V1335&lt;=175,W1335&gt;=65,W1335&lt;110),0.17,0)+IF(AND(V1335&gt;=75,V1335&lt;=175,W1335&gt;=110),0.12,0)+IF(AND(V1335&gt;175,W1335&lt;25),0.3,0)+IF(AND(V1335&gt;175,W1335&gt;=25,W1335&lt;55),0.23,0)+IF(AND(V1335&gt;175,W1335&gt;=55,W1335&lt;95),0.17,0)+IF(AND(V1335&gt;175,W1335&gt;=95),0.12,0),
IF(AF1335="Fix15",0.15,
IF(AF1335="Fix18.75",0.1875,
IF(AF1335="Fix11.25",0.1125,
IF(AF1335="Fix10",0.1,
IF(AF1335="Fix9",0.09,
IF(AF1335="Fix19",0.19,
IF(AF1335="DoEV2017",IF(AND(W1335&lt;74),0.2,0)+IF(AND(W1335&gt;=74),0.17,0),
IF(AF1335="SF",IF(AND(V1335&lt;20,W1335&lt;89),0.3,0)+IF(AND(V1335&lt;20,W1335&gt;=89),0.25,0)+IF(AND(V1335&gt;=20,V1335&lt;40,W1335&lt;74),0.3,0)+IF(AND(V1335&gt;=20,V1335&lt;40,W1335&gt;=75),0.22,0)+IF(AND(V1335&gt;=40,V1335&lt;75,W1335&lt;75),0.26,0)+IF(AND(V1335&gt;=40,V1335&lt;75,W1335&gt;=75),0.22,0)+IF(V1335&gt;=75,0.22,0),
IF(AF1335="DoEVold",IF(AND(V1335&lt;40,W1335&lt;35),0.35,0)+IF(AND(V1335&lt;40,W1335&gt;=35,W1335&lt;75),0.25,0)+IF(AND(V1335&lt;40,W1335&gt;=75),0.17,0)+IF(AND(V1335&gt;=40,V1335&lt;75,W1335&lt;25),0.35,0)+IF(AND(V1335&gt;=40,V1335&lt;75,W1335&gt;=25,W1335&lt;65),0.25,0)+IF(AND(V1335&gt;=40,V1335&lt;75,W1335&gt;=65,W1335&lt;100),0.17,0)+IF(AND(V1335&gt;=40,V1335&lt;75,W1335&gt;=100),0.1,0)+IF(AND(V1335&gt;=75,W1335&lt;25),0.35,0)+IF(AND(V1335&gt;=75,W1335&gt;=25,W1335&lt;60),0.25,0)+IF(AND(V1335&gt;=75,W1335&gt;=60,W1335&lt;95),0.17,0)+IF(AND(V1335&gt;=75,W1335&gt;=95),0.1,0),
IF(AF1335="DoEVold15",IF(AND(V1335&lt;=40,W1335&lt;35),0.35,0)+IF(AND(V1335&lt;=40,W1335&gt;=35,W1335&lt;75),0.25,0)+IF(AND(V1335&lt;=40,W1335&gt;=75,W1335&lt;120),0.17,0)+IF(AND(V1335&lt;=40,W1335&gt;=120),0.15,0)+IF(AND(V1335&gt;40,V1335&lt;75,W1335&lt;25),0.35,0)+IF(AND(V1335&gt;=40,V1335&lt;75,W1335&gt;=25,W1335&lt;65),0.25,0)+IF(AND(V1335&gt;=40,V1335&lt;75,W1335&gt;=65,W1335&lt;100),0.17,0)+IF(AND(V1335&gt;=40,V1335&lt;75,W1335&gt;=100),0.1,0)+IF(AND(V1335&gt;=75,W1335&lt;25),0.35,0)+IF(AND(V1335&gt;=75,W1335&gt;=25,W1335&lt;60),0.25,0)+IF(AND(V1335&gt;=75,W1335&gt;=60,W1335&lt;95),0.17,0)+IF(AND(V1335&gt;=75,W1335&gt;=95),0.1,0),
IF(AF1335="DoEVba",IF(AND(V1335&lt;20,W1335&lt;105),0.2,0)+IF(AND(V1335&lt;20,W1335&gt;=105),0.15,0)+IF(AND(V1335&gt;=20,V1335&lt;40,W1335&lt;95),0.2,0)+IF(AND(V1335&gt;=20,V1335&lt;40,W1335&gt;=95,W1335&lt;150),0.15,0)+IF(AND(V1335&gt;=20,V1335&lt;40,W1335&gt;=150),0.12,0)+IF(AND(V1335&gt;=40,V1335&lt;75,W1335&lt;75),0.2,0)+IF(AND(V1335&gt;=40,V1335&lt;75,W1335&gt;=75,W1335&lt;120),0.15,0)+IF(AND(V1335&gt;=40,V1335&lt;75,W1335&gt;=120),0.12,0)+IF(AND(V1335&gt;=75,V1335&lt;175,W1335&lt;65),0.2,0)+IF(AND(V1335&gt;=75,V1335&lt;175,W1335&gt;=65,W1335&lt;110),0.15,0)+IF(AND(V1335&gt;=75,V1335&lt;175,W1335&gt;=110),0.12,0)+IF(AND(V1335&gt;=175,W1335&lt;55),0.2,0)+IF(AND(V1335&gt;=175,W1335&gt;=55,W1335&lt;95),0.15,0)+IF(AND(V1335&gt;=175,W1335&gt;=95),0.12,0),
IF(AF1335="DoEVku",IF(AND(V1335&lt;20,W1335&lt;55),0.23,0)+IF(AND(V1335&lt;20,W1335&gt;=55,W1335&lt;105),0.2,0)+IF(AND(V1335&lt;20,W1335&gt;=105),0.17,0)+IF(AND(V1335&gt;=20,V1335&lt;40,W1335&lt;45),0.23,0)+IF(AND(V1335&gt;=20,V1335&lt;40,W1335&gt;=45,W1335&lt;95),0.2,0)+IF(AND(V1335&gt;=20,V1335&lt;40,W1335&gt;=95,W1335&lt;=150),0.17,0)+IF(AND(V1335&gt;=20,V1335&lt;40,W1335&gt;=150),0.12,0)+IF(AND(V1335&gt;=40,V1335&lt;75,W1335&lt;35),0.23,0)+IF(AND(V1335&gt;=40,V1335&lt;75,W1335&gt;=35,W1335&lt;75),0.2,0)+IF(AND(V1335&gt;=40,V1335&lt;75,W1335&gt;=75,W1335&lt;120),0.17,0)+IF(AND(V1335&gt;=40,V1335&lt;75,W1335&gt;=120),0.12,0)+IF(AND(V1335&gt;=75,V1335&lt;175,W1335&lt;35),0.23,0)+IF(AND(V1335&gt;=75,V1335&lt;=175,W1335&gt;=35,W1335&lt;65),0.2,0)+IF(AND(V1335&gt;=75,V1335&lt;=175,W1335&gt;=65,W1335&lt;110),0.17,0)+IF(AND(V1335&gt;=75,V1335&lt;=175,W1335&gt;=110),0.12,0)+IF(AND(V1335&gt;175,W1335&lt;25),0.23,0)+IF(AND(V1335&gt;175,W1335&gt;=25,W1335&lt;55),0.2,0)+IF(AND(V1335&gt;175,W1335&gt;=55,W1335&lt;95),0.17,0)+IF(AND(V1335&gt;175,W1335&gt;=95),0.12,0),
IF(AF1335="DoEVs1",IF(AND(V1335&lt;20,W1335&lt;55),0.3,0)+IF(AND(V1335&lt;20,W1335&gt;=55,W1335&lt;105),0.23,0)+IF(AND(V1335&lt;20,W1335&gt;=105),0.17,0)+IF(AND(V1335&gt;=20,V1335&lt;40,W1335&lt;45),0.3,0)+IF(AND(V1335&gt;=20,V1335&lt;40,W1335&gt;=45,W1335&lt;95),0.23,0)+IF(AND(V1335&gt;=20,V1335&lt;40,W1335&gt;=95,W1335&lt;=150),0.17,0)+IF(AND(V1335&gt;=20,V1335&lt;40,W1335&gt;=150),0.12,0)+IF(AND(V1335&gt;=40,V1335&lt;75,W1335&lt;35),0.3,0)+IF(AND(V1335&gt;=40,V1335&lt;75,W1335&gt;=35,W1335&lt;75),0.23,0)+IF(AND(V1335&gt;=40,V1335&lt;75,W1335&gt;=75,W1335&lt;120),0.17,0)+IF(AND(V1335&gt;=40,V1335&lt;75,W1335&gt;=120),0.12,0)+IF(AND(V1335&gt;=75,V1335&lt;175,W1335&lt;35),0.3,0)+IF(AND(V1335&gt;=75,V1335&lt;=175,W1335&gt;=35,W1335&lt;65),0.23,0)+IF(AND(V1335&gt;=75,V1335&lt;=175,W1335&gt;=65,W1335&lt;110),0.17,0)+IF(AND(V1335&gt;=75,V1335&lt;=175,W1335&gt;=110),0.12,0)+IF(AND(V1335&gt;175,W1335&lt;25),0.3,0)+IF(AND(V1335&gt;175,W1335&gt;=25,W1335&lt;55),0.23,0)+IF(AND(V1335&gt;175,W1335&gt;=55,W1335&lt;95),0.17,0)+IF(AND(V1335&gt;175,W1335&gt;=95),0.12,0),
IF(AF1335="DoEVsu",IF(AND(V1335&lt;20,W1335&lt;55),0.3,0)+IF(AND(V1335&lt;20,W1335&gt;=55,W1335&lt;105),0.23,0)+IF(AND(V1335&lt;20,W1335&gt;=105),0.17,0)+IF(AND(V1335&gt;=20,V1335&lt;40,W1335&lt;45),0.3,0)+IF(AND(V1335&gt;=20,V1335&lt;40,W1335&gt;=45,W1335&lt;95),0.23,0)+IF(AND(V1335&gt;=20,V1335&lt;40,W1335&gt;=95,W1335&lt;=250),0.17,0)+IF(AND(V1335&gt;=20,V1335&lt;40,W1335&gt;=250),0.12,0)+IF(AND(V1335&gt;=40,V1335&lt;75,W1335&lt;35),0.3,0)+IF(AND(V1335&gt;=40,V1335&lt;75,W1335&gt;=35,W1335&lt;75),0.23,0)+IF(AND(V1335&gt;=40,V1335&lt;75,W1335&gt;=75,W1335&lt;120),0.17,0)+IF(AND(V1335&gt;=40,V1335&lt;75,W1335&gt;=120),0.12,0)+IF(AND(V1335&gt;=75,V1335&lt;175,W1335&lt;35),0.3,0)+IF(AND(V1335&gt;=75,V1335&lt;=175,W1335&gt;=35,W1335&lt;65),0.23,0)+IF(AND(V1335&gt;=75,V1335&lt;=175,W1335&gt;=65,W1335&lt;110),0.17,0)+IF(AND(V1335&gt;=75,V1335&lt;=175,W1335&gt;=110),0.12,0)+IF(AND(V1335&gt;175,W1335&lt;25),0.3,0)+IF(AND(V1335&gt;175,W1335&gt;=25,W1335&lt;55),0.23,0)+IF(AND(V1335&gt;175,W1335&gt;=55,W1335&lt;95),0.17,0)+IF(AND(V1335&gt;175,W1335&gt;=95),0.12,0),
IF(AF1335="DoEVni",IF(AND(V1335&lt;20,W1335&lt;55),0.3,0)+IF(AND(V1335&lt;20,W1335&gt;=55,W1335&lt;105),0.23,0)+IF(AND(V1335&lt;20,W1335&gt;=105),0.17,0)+IF(AND(V1335&gt;=20,V1335&lt;40,W1335&lt;45),0.3,0)+IF(AND(V1335&gt;=20,V1335&lt;40,W1335&gt;=45,W1335&lt;95),0.23,0)+IF(AND(V1335&gt;=20,V1335&lt;40,W1335&gt;=95,W1335&lt;=200),0.17,0)+IF(AND(V1335&gt;=20,V1335&lt;40,W1335&gt;=200),0.12,0)+IF(AND(V1335&gt;=40,V1335&lt;75,W1335&lt;35),0.3,0)+IF(AND(V1335&gt;=40,V1335&lt;75,W1335&gt;=35,W1335&lt;75),0.23,0)+IF(AND(V1335&gt;=40,V1335&lt;75,W1335&gt;=75,W1335&lt;120),0.17,0)+IF(AND(V1335&gt;=40,V1335&lt;75,W1335&gt;=120),0.12,0)+IF(AND(V1335&gt;=75,V1335&lt;175,W1335&lt;35),0.3,0)+IF(AND(V1335&gt;=75,V1335&lt;=175,W1335&gt;=35,W1335&lt;65),0.23,0)+IF(AND(V1335&gt;=75,V1335&lt;=175,W1335&gt;=65,W1335&lt;110),0.17,0)+IF(AND(V1335&gt;=75,V1335&lt;=175,W1335&gt;=110),0.12,0)+IF(AND(V1335&gt;175,W1335&lt;25),0.3,0)+IF(AND(V1335&gt;175,W1335&gt;=25,W1335&lt;55),0.23,0)+IF(AND(V1335&gt;175,W1335&gt;=55,W1335&lt;95),0.17,0)+IF(AND(V1335&gt;175,W1335&gt;=95),0.12,0),
IF(AF1335="DoEVLo",IF(AND(V1335&lt;20,W1335&lt;55),0.25,0)+IF(AND(V1335&lt;20,W1335&gt;=55,W1335&lt;105),0.2,0)+IF(AND(V1335&lt;20,W1335&gt;=105),0.15,0)+IF(AND(V1335&gt;=20,V1335&lt;40,W1335&lt;45),0.25,0)+IF(AND(V1335&gt;=20,V1335&lt;40,W1335&gt;=45,W1335&lt;95),0.2,0)+IF(AND(V1335&gt;=20,V1335&lt;40,W1335&gt;=95),0.15,0)+IF(AND(V1335&gt;=40,V1335&lt;75,W1335&lt;35),0.25,0)+IF(AND(V1335&gt;=40,V1335&lt;75,W1335&gt;=35,W1335&lt;75),0.2,0)+IF(AND(V1335&gt;=40,V1335&lt;75,W1335&gt;=75,W1335&lt;120),0.15,0)+IF(AND(V1335&gt;=40,V1335&lt;75,W1335&gt;=120),0.1,0)+IF(AND(V1335&gt;=75,V1335&lt;175,W1335&lt;35),0.25,0)+IF(AND(V1335&gt;=75,V1335&lt;=175,W1335&gt;=35,W1335&lt;65),0.2,0)+IF(AND(V1335&gt;=75,V1335&lt;=175,W1335&gt;=65,W1335&lt;110),0.15,0)+IF(AND(V1335&gt;=75,V1335&lt;=175,W1335&gt;=110),0.1,0)+IF(AND(V1335&gt;175,W1335&lt;25),0.25,0)+IF(AND(V1335&gt;175,W1335&gt;=25,W1335&lt;55),0.2,0)+IF(AND(V1335&gt;175,W1335&gt;=55,W1335&lt;95),0.15,0)+IF(AND(V1335&gt;175,W1335&gt;=95),0.1,0))))))))))))))))))</f>
        <v>0.1</v>
      </c>
      <c r="Y1335" s="30">
        <f>IF(AG1335="None",0,IF(AG1335="Fix5",0.05, IF(AG1335="Fix6.25",0.0625,IF(AG1335="Fix3.75",0.0375,IF(AG1335="Fix10",0.1,IF(AG1335="Fix3",0.03,0))))))</f>
        <v>0</v>
      </c>
      <c r="Z1335" s="35">
        <f>T1335-AA1335-AB1335</f>
        <v>-531.9</v>
      </c>
      <c r="AA1335" s="29">
        <f>IF(AD1335="EUR",((T1335-R1335)*X1335)*U1335+(R1335*X1335),(T1335*X1335))</f>
        <v>-59.1</v>
      </c>
      <c r="AB1335" s="36">
        <f>IF(AD1335="EUR",((T1335-R1335)*Y1335)*U1335+(R1335*Y1335),(T1335*Y1335))</f>
        <v>0</v>
      </c>
      <c r="AC1335" s="37" t="b">
        <v>1</v>
      </c>
      <c r="AD1335" s="37" t="s">
        <v>38</v>
      </c>
      <c r="AE1335" s="37" t="s">
        <v>38</v>
      </c>
      <c r="AF1335" s="37" t="str">
        <f t="array" ref="AF1335">INDEX('Deal Info'!D:D, MATCH(A1335,'Deal Info'!A:A, 0))</f>
        <v>Fix10</v>
      </c>
      <c r="AG1335" s="38" t="str">
        <f t="array" ref="AG1335">INDEX('Deal Info'!G:G, MATCH(A1335,'Deal Info'!A:A, 0))</f>
        <v>None</v>
      </c>
    </row>
    <row r="1336" spans="1:33" ht="14.25" hidden="1" x14ac:dyDescent="0.2">
      <c r="A1336" s="18" t="str">
        <f t="array" ref="A1336">IF(G1336='Room Info'!$B$1, INDEX('Room Info'!$A$2:$A2446, MATCH(B1336,'Room Info'!$B$2:$B2446, 0)),IF(G1336='Room Info'!$C$1, INDEX('Room Info'!$A$2:$A2446, MATCH(B1336,'Room Info'!$C$2:$C2446, 0)),IF(G1336='Room Info'!$D$1, INDEX('Room Info'!$A$2:$A2446, MATCH(B1336,'Room Info'!$D$2:$D2446, 0)),IF(G1336='Room Info'!$E$1, INDEX('Room Info'!$A$2:$A2446, MATCH(B1336,'Room Info'!$E$2:$E2446, 0)),IF(G1336='Room Info'!$F$1, INDEX('Room Info'!$A$2:$A2446, MATCH(B1336,'Room Info'!$F$2:$F2446, 0)),IF(G1336='Room Info'!$H$1, INDEX('Room Info'!$A$2:$A2446, MATCH(B1336,'Room Info'!$H$2:$H2446, 0)),IF(G1336='Room Info'!$G$1, INDEX('Room Info'!$A$2:$A2446, MATCH(B1336,'Room Info'!$G$2:$G2446, 0)))))))))</f>
        <v>volkovsky</v>
      </c>
      <c r="B1336" s="45" t="s">
        <v>206</v>
      </c>
      <c r="C1336" s="77">
        <v>44733</v>
      </c>
      <c r="D1336" s="77">
        <v>44762</v>
      </c>
      <c r="E1336" s="47">
        <v>44743</v>
      </c>
      <c r="F1336" s="48" t="s">
        <v>34</v>
      </c>
      <c r="G1336" s="45" t="s">
        <v>35</v>
      </c>
      <c r="H1336" s="91" t="s">
        <v>84</v>
      </c>
      <c r="I1336" s="49" t="s">
        <v>44</v>
      </c>
      <c r="J1336" s="74">
        <v>100</v>
      </c>
      <c r="K1336" s="75">
        <v>428</v>
      </c>
      <c r="L1336" s="72">
        <v>-1600</v>
      </c>
      <c r="M1336" s="76">
        <v>1681</v>
      </c>
      <c r="N1336" s="28">
        <f>K1336*J1336</f>
        <v>42800</v>
      </c>
      <c r="O1336" s="45">
        <v>3164</v>
      </c>
      <c r="P1336" s="29">
        <v>7.3925233639999997</v>
      </c>
      <c r="Q1336" s="55"/>
      <c r="R1336" s="31">
        <f>M1336+Q1336</f>
        <v>1681</v>
      </c>
      <c r="S1336" s="73">
        <v>-1380</v>
      </c>
      <c r="T1336" s="32">
        <f>R1336+S1336+IF(F1336="Without EV deal",L1336,0)</f>
        <v>301</v>
      </c>
      <c r="U1336" s="57"/>
      <c r="V1336" s="58"/>
      <c r="W1336" s="58"/>
      <c r="X1336" s="30">
        <f>IF(AF1336="DoEV",IF(AND(V1336&lt;20,W1336&lt;55),0.3,0)+IF(AND(V1336&lt;20,W1336&gt;=55,W1336&lt;105),0.23,0)+IF(AND(V1336&lt;20,W1336&gt;=105),0.17,0)+IF(AND(V1336&gt;=20,V1336&lt;40,W1336&lt;45),0.3,0)+IF(AND(V1336&gt;=20,V1336&lt;40,W1336&gt;=45,W1336&lt;95),0.23,0)+IF(AND(V1336&gt;=20,V1336&lt;40,W1336&gt;=95),0.17,0)+IF(AND(V1336&gt;=40,V1336&lt;75,W1336&lt;35),0.3,0)+IF(AND(V1336&gt;=40,V1336&lt;75,W1336&gt;=35,W1336&lt;75),0.23,0)+IF(AND(V1336&gt;=40,V1336&lt;75,W1336&gt;=75,W1336&lt;120),0.17,0)+IF(AND(V1336&gt;=40,V1336&lt;75,W1336&gt;=120),0.12,0)+IF(AND(V1336&gt;=75,V1336&lt;175,W1336&lt;35),0.3,0)+IF(AND(V1336&gt;=75,V1336&lt;=175,W1336&gt;=35,W1336&lt;65),0.23,0)+IF(AND(V1336&gt;=75,V1336&lt;=175,W1336&gt;=65,W1336&lt;110),0.17,0)+IF(AND(V1336&gt;=75,V1336&lt;=175,W1336&gt;=110),0.12,0)+IF(AND(V1336&gt;175,W1336&lt;25),0.3,0)+IF(AND(V1336&gt;175,W1336&gt;=25,W1336&lt;55),0.23,0)+IF(AND(V1336&gt;175,W1336&gt;=55,W1336&lt;95),0.17,0)+IF(AND(V1336&gt;175,W1336&gt;=95),0.12,0),
IF(AF1336="Fix15",0.15,
IF(AF1336="Fix18.75",0.1875,
IF(AF1336="Fix11.25",0.1125,
IF(AF1336="Fix10",0.1,
IF(AF1336="Fix9",0.09,
IF(AF1336="Fix19",0.19,
IF(AF1336="DoEV2017",IF(AND(W1336&lt;74),0.2,0)+IF(AND(W1336&gt;=74),0.17,0),
IF(AF1336="SF",IF(AND(V1336&lt;20,W1336&lt;89),0.3,0)+IF(AND(V1336&lt;20,W1336&gt;=89),0.25,0)+IF(AND(V1336&gt;=20,V1336&lt;40,W1336&lt;74),0.3,0)+IF(AND(V1336&gt;=20,V1336&lt;40,W1336&gt;=75),0.22,0)+IF(AND(V1336&gt;=40,V1336&lt;75,W1336&lt;75),0.26,0)+IF(AND(V1336&gt;=40,V1336&lt;75,W1336&gt;=75),0.22,0)+IF(V1336&gt;=75,0.22,0),
IF(AF1336="DoEVold",IF(AND(V1336&lt;40,W1336&lt;35),0.35,0)+IF(AND(V1336&lt;40,W1336&gt;=35,W1336&lt;75),0.25,0)+IF(AND(V1336&lt;40,W1336&gt;=75),0.17,0)+IF(AND(V1336&gt;=40,V1336&lt;75,W1336&lt;25),0.35,0)+IF(AND(V1336&gt;=40,V1336&lt;75,W1336&gt;=25,W1336&lt;65),0.25,0)+IF(AND(V1336&gt;=40,V1336&lt;75,W1336&gt;=65,W1336&lt;100),0.17,0)+IF(AND(V1336&gt;=40,V1336&lt;75,W1336&gt;=100),0.1,0)+IF(AND(V1336&gt;=75,W1336&lt;25),0.35,0)+IF(AND(V1336&gt;=75,W1336&gt;=25,W1336&lt;60),0.25,0)+IF(AND(V1336&gt;=75,W1336&gt;=60,W1336&lt;95),0.17,0)+IF(AND(V1336&gt;=75,W1336&gt;=95),0.1,0),
IF(AF1336="DoEVold15",IF(AND(V1336&lt;=40,W1336&lt;35),0.35,0)+IF(AND(V1336&lt;=40,W1336&gt;=35,W1336&lt;75),0.25,0)+IF(AND(V1336&lt;=40,W1336&gt;=75,W1336&lt;120),0.17,0)+IF(AND(V1336&lt;=40,W1336&gt;=120),0.15,0)+IF(AND(V1336&gt;40,V1336&lt;75,W1336&lt;25),0.35,0)+IF(AND(V1336&gt;=40,V1336&lt;75,W1336&gt;=25,W1336&lt;65),0.25,0)+IF(AND(V1336&gt;=40,V1336&lt;75,W1336&gt;=65,W1336&lt;100),0.17,0)+IF(AND(V1336&gt;=40,V1336&lt;75,W1336&gt;=100),0.1,0)+IF(AND(V1336&gt;=75,W1336&lt;25),0.35,0)+IF(AND(V1336&gt;=75,W1336&gt;=25,W1336&lt;60),0.25,0)+IF(AND(V1336&gt;=75,W1336&gt;=60,W1336&lt;95),0.17,0)+IF(AND(V1336&gt;=75,W1336&gt;=95),0.1,0),
IF(AF1336="DoEVba",IF(AND(V1336&lt;20,W1336&lt;105),0.2,0)+IF(AND(V1336&lt;20,W1336&gt;=105),0.15,0)+IF(AND(V1336&gt;=20,V1336&lt;40,W1336&lt;95),0.2,0)+IF(AND(V1336&gt;=20,V1336&lt;40,W1336&gt;=95,W1336&lt;150),0.15,0)+IF(AND(V1336&gt;=20,V1336&lt;40,W1336&gt;=150),0.12,0)+IF(AND(V1336&gt;=40,V1336&lt;75,W1336&lt;75),0.2,0)+IF(AND(V1336&gt;=40,V1336&lt;75,W1336&gt;=75,W1336&lt;120),0.15,0)+IF(AND(V1336&gt;=40,V1336&lt;75,W1336&gt;=120),0.12,0)+IF(AND(V1336&gt;=75,V1336&lt;175,W1336&lt;65),0.2,0)+IF(AND(V1336&gt;=75,V1336&lt;175,W1336&gt;=65,W1336&lt;110),0.15,0)+IF(AND(V1336&gt;=75,V1336&lt;175,W1336&gt;=110),0.12,0)+IF(AND(V1336&gt;=175,W1336&lt;55),0.2,0)+IF(AND(V1336&gt;=175,W1336&gt;=55,W1336&lt;95),0.15,0)+IF(AND(V1336&gt;=175,W1336&gt;=95),0.12,0),
IF(AF1336="DoEVku",IF(AND(V1336&lt;20,W1336&lt;55),0.23,0)+IF(AND(V1336&lt;20,W1336&gt;=55,W1336&lt;105),0.2,0)+IF(AND(V1336&lt;20,W1336&gt;=105),0.17,0)+IF(AND(V1336&gt;=20,V1336&lt;40,W1336&lt;45),0.23,0)+IF(AND(V1336&gt;=20,V1336&lt;40,W1336&gt;=45,W1336&lt;95),0.2,0)+IF(AND(V1336&gt;=20,V1336&lt;40,W1336&gt;=95,W1336&lt;=150),0.17,0)+IF(AND(V1336&gt;=20,V1336&lt;40,W1336&gt;=150),0.12,0)+IF(AND(V1336&gt;=40,V1336&lt;75,W1336&lt;35),0.23,0)+IF(AND(V1336&gt;=40,V1336&lt;75,W1336&gt;=35,W1336&lt;75),0.2,0)+IF(AND(V1336&gt;=40,V1336&lt;75,W1336&gt;=75,W1336&lt;120),0.17,0)+IF(AND(V1336&gt;=40,V1336&lt;75,W1336&gt;=120),0.12,0)+IF(AND(V1336&gt;=75,V1336&lt;175,W1336&lt;35),0.23,0)+IF(AND(V1336&gt;=75,V1336&lt;=175,W1336&gt;=35,W1336&lt;65),0.2,0)+IF(AND(V1336&gt;=75,V1336&lt;=175,W1336&gt;=65,W1336&lt;110),0.17,0)+IF(AND(V1336&gt;=75,V1336&lt;=175,W1336&gt;=110),0.12,0)+IF(AND(V1336&gt;175,W1336&lt;25),0.23,0)+IF(AND(V1336&gt;175,W1336&gt;=25,W1336&lt;55),0.2,0)+IF(AND(V1336&gt;175,W1336&gt;=55,W1336&lt;95),0.17,0)+IF(AND(V1336&gt;175,W1336&gt;=95),0.12,0),
IF(AF1336="DoEVs1",IF(AND(V1336&lt;20,W1336&lt;55),0.3,0)+IF(AND(V1336&lt;20,W1336&gt;=55,W1336&lt;105),0.23,0)+IF(AND(V1336&lt;20,W1336&gt;=105),0.17,0)+IF(AND(V1336&gt;=20,V1336&lt;40,W1336&lt;45),0.3,0)+IF(AND(V1336&gt;=20,V1336&lt;40,W1336&gt;=45,W1336&lt;95),0.23,0)+IF(AND(V1336&gt;=20,V1336&lt;40,W1336&gt;=95,W1336&lt;=150),0.17,0)+IF(AND(V1336&gt;=20,V1336&lt;40,W1336&gt;=150),0.12,0)+IF(AND(V1336&gt;=40,V1336&lt;75,W1336&lt;35),0.3,0)+IF(AND(V1336&gt;=40,V1336&lt;75,W1336&gt;=35,W1336&lt;75),0.23,0)+IF(AND(V1336&gt;=40,V1336&lt;75,W1336&gt;=75,W1336&lt;120),0.17,0)+IF(AND(V1336&gt;=40,V1336&lt;75,W1336&gt;=120),0.12,0)+IF(AND(V1336&gt;=75,V1336&lt;175,W1336&lt;35),0.3,0)+IF(AND(V1336&gt;=75,V1336&lt;=175,W1336&gt;=35,W1336&lt;65),0.23,0)+IF(AND(V1336&gt;=75,V1336&lt;=175,W1336&gt;=65,W1336&lt;110),0.17,0)+IF(AND(V1336&gt;=75,V1336&lt;=175,W1336&gt;=110),0.12,0)+IF(AND(V1336&gt;175,W1336&lt;25),0.3,0)+IF(AND(V1336&gt;175,W1336&gt;=25,W1336&lt;55),0.23,0)+IF(AND(V1336&gt;175,W1336&gt;=55,W1336&lt;95),0.17,0)+IF(AND(V1336&gt;175,W1336&gt;=95),0.12,0),
IF(AF1336="DoEVsu",IF(AND(V1336&lt;20,W1336&lt;55),0.3,0)+IF(AND(V1336&lt;20,W1336&gt;=55,W1336&lt;105),0.23,0)+IF(AND(V1336&lt;20,W1336&gt;=105),0.17,0)+IF(AND(V1336&gt;=20,V1336&lt;40,W1336&lt;45),0.3,0)+IF(AND(V1336&gt;=20,V1336&lt;40,W1336&gt;=45,W1336&lt;95),0.23,0)+IF(AND(V1336&gt;=20,V1336&lt;40,W1336&gt;=95,W1336&lt;=250),0.17,0)+IF(AND(V1336&gt;=20,V1336&lt;40,W1336&gt;=250),0.12,0)+IF(AND(V1336&gt;=40,V1336&lt;75,W1336&lt;35),0.3,0)+IF(AND(V1336&gt;=40,V1336&lt;75,W1336&gt;=35,W1336&lt;75),0.23,0)+IF(AND(V1336&gt;=40,V1336&lt;75,W1336&gt;=75,W1336&lt;120),0.17,0)+IF(AND(V1336&gt;=40,V1336&lt;75,W1336&gt;=120),0.12,0)+IF(AND(V1336&gt;=75,V1336&lt;175,W1336&lt;35),0.3,0)+IF(AND(V1336&gt;=75,V1336&lt;=175,W1336&gt;=35,W1336&lt;65),0.23,0)+IF(AND(V1336&gt;=75,V1336&lt;=175,W1336&gt;=65,W1336&lt;110),0.17,0)+IF(AND(V1336&gt;=75,V1336&lt;=175,W1336&gt;=110),0.12,0)+IF(AND(V1336&gt;175,W1336&lt;25),0.3,0)+IF(AND(V1336&gt;175,W1336&gt;=25,W1336&lt;55),0.23,0)+IF(AND(V1336&gt;175,W1336&gt;=55,W1336&lt;95),0.17,0)+IF(AND(V1336&gt;175,W1336&gt;=95),0.12,0),
IF(AF1336="DoEVni",IF(AND(V1336&lt;20,W1336&lt;55),0.3,0)+IF(AND(V1336&lt;20,W1336&gt;=55,W1336&lt;105),0.23,0)+IF(AND(V1336&lt;20,W1336&gt;=105),0.17,0)+IF(AND(V1336&gt;=20,V1336&lt;40,W1336&lt;45),0.3,0)+IF(AND(V1336&gt;=20,V1336&lt;40,W1336&gt;=45,W1336&lt;95),0.23,0)+IF(AND(V1336&gt;=20,V1336&lt;40,W1336&gt;=95,W1336&lt;=200),0.17,0)+IF(AND(V1336&gt;=20,V1336&lt;40,W1336&gt;=200),0.12,0)+IF(AND(V1336&gt;=40,V1336&lt;75,W1336&lt;35),0.3,0)+IF(AND(V1336&gt;=40,V1336&lt;75,W1336&gt;=35,W1336&lt;75),0.23,0)+IF(AND(V1336&gt;=40,V1336&lt;75,W1336&gt;=75,W1336&lt;120),0.17,0)+IF(AND(V1336&gt;=40,V1336&lt;75,W1336&gt;=120),0.12,0)+IF(AND(V1336&gt;=75,V1336&lt;175,W1336&lt;35),0.3,0)+IF(AND(V1336&gt;=75,V1336&lt;=175,W1336&gt;=35,W1336&lt;65),0.23,0)+IF(AND(V1336&gt;=75,V1336&lt;=175,W1336&gt;=65,W1336&lt;110),0.17,0)+IF(AND(V1336&gt;=75,V1336&lt;=175,W1336&gt;=110),0.12,0)+IF(AND(V1336&gt;175,W1336&lt;25),0.3,0)+IF(AND(V1336&gt;175,W1336&gt;=25,W1336&lt;55),0.23,0)+IF(AND(V1336&gt;175,W1336&gt;=55,W1336&lt;95),0.17,0)+IF(AND(V1336&gt;175,W1336&gt;=95),0.12,0),
IF(AF1336="DoEVLo",IF(AND(V1336&lt;20,W1336&lt;55),0.25,0)+IF(AND(V1336&lt;20,W1336&gt;=55,W1336&lt;105),0.2,0)+IF(AND(V1336&lt;20,W1336&gt;=105),0.15,0)+IF(AND(V1336&gt;=20,V1336&lt;40,W1336&lt;45),0.25,0)+IF(AND(V1336&gt;=20,V1336&lt;40,W1336&gt;=45,W1336&lt;95),0.2,0)+IF(AND(V1336&gt;=20,V1336&lt;40,W1336&gt;=95),0.15,0)+IF(AND(V1336&gt;=40,V1336&lt;75,W1336&lt;35),0.25,0)+IF(AND(V1336&gt;=40,V1336&lt;75,W1336&gt;=35,W1336&lt;75),0.2,0)+IF(AND(V1336&gt;=40,V1336&lt;75,W1336&gt;=75,W1336&lt;120),0.15,0)+IF(AND(V1336&gt;=40,V1336&lt;75,W1336&gt;=120),0.1,0)+IF(AND(V1336&gt;=75,V1336&lt;175,W1336&lt;35),0.25,0)+IF(AND(V1336&gt;=75,V1336&lt;=175,W1336&gt;=35,W1336&lt;65),0.2,0)+IF(AND(V1336&gt;=75,V1336&lt;=175,W1336&gt;=65,W1336&lt;110),0.15,0)+IF(AND(V1336&gt;=75,V1336&lt;=175,W1336&gt;=110),0.1,0)+IF(AND(V1336&gt;175,W1336&lt;25),0.25,0)+IF(AND(V1336&gt;175,W1336&gt;=25,W1336&lt;55),0.2,0)+IF(AND(V1336&gt;175,W1336&gt;=55,W1336&lt;95),0.15,0)+IF(AND(V1336&gt;175,W1336&gt;=95),0.1,0))))))))))))))))))</f>
        <v>0.1</v>
      </c>
      <c r="Y1336" s="30">
        <f>IF(AG1336="None",0,IF(AG1336="Fix5",0.05, IF(AG1336="Fix6.25",0.0625,IF(AG1336="Fix3.75",0.0375,IF(AG1336="Fix10",0.1,IF(AG1336="Fix3",0.03,0))))))</f>
        <v>0</v>
      </c>
      <c r="Z1336" s="35">
        <f>T1336-AA1336-AB1336</f>
        <v>270.89999999999998</v>
      </c>
      <c r="AA1336" s="29">
        <f>IF(AD1336="EUR",((T1336-R1336)*X1336)*U1336+(R1336*X1336),(T1336*X1336))</f>
        <v>30.1</v>
      </c>
      <c r="AB1336" s="36">
        <f>IF(AD1336="EUR",((T1336-R1336)*Y1336)*U1336+(R1336*Y1336),(T1336*Y1336))</f>
        <v>0</v>
      </c>
      <c r="AC1336" s="37" t="b">
        <v>1</v>
      </c>
      <c r="AD1336" s="37" t="s">
        <v>38</v>
      </c>
      <c r="AE1336" s="37" t="s">
        <v>38</v>
      </c>
      <c r="AF1336" s="37" t="str">
        <f t="array" ref="AF1336">INDEX('Deal Info'!D:D, MATCH(A1336,'Deal Info'!A:A, 0))</f>
        <v>Fix10</v>
      </c>
      <c r="AG1336" s="38" t="str">
        <f t="array" ref="AG1336">INDEX('Deal Info'!G:G, MATCH(A1336,'Deal Info'!A:A, 0))</f>
        <v>None</v>
      </c>
    </row>
    <row r="1337" spans="1:33" ht="14.25" hidden="1" x14ac:dyDescent="0.2">
      <c r="A1337" s="18" t="str">
        <f t="array" ref="A1337">IF(G1337='Room Info'!$B$1, INDEX('Room Info'!$A$2:$A2446, MATCH(B1337,'Room Info'!$B$2:$B2446, 0)),IF(G1337='Room Info'!$C$1, INDEX('Room Info'!$A$2:$A2446, MATCH(B1337,'Room Info'!$C$2:$C2446, 0)),IF(G1337='Room Info'!$D$1, INDEX('Room Info'!$A$2:$A2446, MATCH(B1337,'Room Info'!$D$2:$D2446, 0)),IF(G1337='Room Info'!$E$1, INDEX('Room Info'!$A$2:$A2446, MATCH(B1337,'Room Info'!$E$2:$E2446, 0)),IF(G1337='Room Info'!$F$1, INDEX('Room Info'!$A$2:$A2446, MATCH(B1337,'Room Info'!$F$2:$F2446, 0)),IF(G1337='Room Info'!$H$1, INDEX('Room Info'!$A$2:$A2446, MATCH(B1337,'Room Info'!$H$2:$H2446, 0)),IF(G1337='Room Info'!$G$1, INDEX('Room Info'!$A$2:$A2446, MATCH(B1337,'Room Info'!$G$2:$G2446, 0)))))))))</f>
        <v>volkovsky</v>
      </c>
      <c r="B1337" s="45" t="s">
        <v>206</v>
      </c>
      <c r="C1337" s="77">
        <v>44733</v>
      </c>
      <c r="D1337" s="77">
        <v>44762</v>
      </c>
      <c r="E1337" s="47">
        <v>44743</v>
      </c>
      <c r="F1337" s="48" t="s">
        <v>34</v>
      </c>
      <c r="G1337" s="45" t="s">
        <v>35</v>
      </c>
      <c r="H1337" s="49" t="s">
        <v>88</v>
      </c>
      <c r="I1337" s="49" t="s">
        <v>37</v>
      </c>
      <c r="J1337" s="74">
        <v>250</v>
      </c>
      <c r="K1337" s="75">
        <v>686</v>
      </c>
      <c r="L1337" s="72">
        <v>-750</v>
      </c>
      <c r="M1337" s="76">
        <v>6735</v>
      </c>
      <c r="N1337" s="28">
        <f>K1337*J1337</f>
        <v>171500</v>
      </c>
      <c r="O1337" s="45">
        <v>1040</v>
      </c>
      <c r="P1337" s="29">
        <v>1.5160349849999999</v>
      </c>
      <c r="Q1337" s="55"/>
      <c r="R1337" s="31">
        <f>M1337+Q1337</f>
        <v>6735</v>
      </c>
      <c r="S1337" s="73">
        <v>-8590</v>
      </c>
      <c r="T1337" s="32">
        <f>R1337+S1337+IF(F1337="Without EV deal",L1337,0)</f>
        <v>-1855</v>
      </c>
      <c r="U1337" s="57"/>
      <c r="V1337" s="58"/>
      <c r="W1337" s="58"/>
      <c r="X1337" s="30">
        <f>IF(AF1337="DoEV",IF(AND(V1337&lt;20,W1337&lt;55),0.3,0)+IF(AND(V1337&lt;20,W1337&gt;=55,W1337&lt;105),0.23,0)+IF(AND(V1337&lt;20,W1337&gt;=105),0.17,0)+IF(AND(V1337&gt;=20,V1337&lt;40,W1337&lt;45),0.3,0)+IF(AND(V1337&gt;=20,V1337&lt;40,W1337&gt;=45,W1337&lt;95),0.23,0)+IF(AND(V1337&gt;=20,V1337&lt;40,W1337&gt;=95),0.17,0)+IF(AND(V1337&gt;=40,V1337&lt;75,W1337&lt;35),0.3,0)+IF(AND(V1337&gt;=40,V1337&lt;75,W1337&gt;=35,W1337&lt;75),0.23,0)+IF(AND(V1337&gt;=40,V1337&lt;75,W1337&gt;=75,W1337&lt;120),0.17,0)+IF(AND(V1337&gt;=40,V1337&lt;75,W1337&gt;=120),0.12,0)+IF(AND(V1337&gt;=75,V1337&lt;175,W1337&lt;35),0.3,0)+IF(AND(V1337&gt;=75,V1337&lt;=175,W1337&gt;=35,W1337&lt;65),0.23,0)+IF(AND(V1337&gt;=75,V1337&lt;=175,W1337&gt;=65,W1337&lt;110),0.17,0)+IF(AND(V1337&gt;=75,V1337&lt;=175,W1337&gt;=110),0.12,0)+IF(AND(V1337&gt;175,W1337&lt;25),0.3,0)+IF(AND(V1337&gt;175,W1337&gt;=25,W1337&lt;55),0.23,0)+IF(AND(V1337&gt;175,W1337&gt;=55,W1337&lt;95),0.17,0)+IF(AND(V1337&gt;175,W1337&gt;=95),0.12,0),
IF(AF1337="Fix15",0.15,
IF(AF1337="Fix18.75",0.1875,
IF(AF1337="Fix11.25",0.1125,
IF(AF1337="Fix10",0.1,
IF(AF1337="Fix9",0.09,
IF(AF1337="Fix19",0.19,
IF(AF1337="DoEV2017",IF(AND(W1337&lt;74),0.2,0)+IF(AND(W1337&gt;=74),0.17,0),
IF(AF1337="SF",IF(AND(V1337&lt;20,W1337&lt;89),0.3,0)+IF(AND(V1337&lt;20,W1337&gt;=89),0.25,0)+IF(AND(V1337&gt;=20,V1337&lt;40,W1337&lt;74),0.3,0)+IF(AND(V1337&gt;=20,V1337&lt;40,W1337&gt;=75),0.22,0)+IF(AND(V1337&gt;=40,V1337&lt;75,W1337&lt;75),0.26,0)+IF(AND(V1337&gt;=40,V1337&lt;75,W1337&gt;=75),0.22,0)+IF(V1337&gt;=75,0.22,0),
IF(AF1337="DoEVold",IF(AND(V1337&lt;40,W1337&lt;35),0.35,0)+IF(AND(V1337&lt;40,W1337&gt;=35,W1337&lt;75),0.25,0)+IF(AND(V1337&lt;40,W1337&gt;=75),0.17,0)+IF(AND(V1337&gt;=40,V1337&lt;75,W1337&lt;25),0.35,0)+IF(AND(V1337&gt;=40,V1337&lt;75,W1337&gt;=25,W1337&lt;65),0.25,0)+IF(AND(V1337&gt;=40,V1337&lt;75,W1337&gt;=65,W1337&lt;100),0.17,0)+IF(AND(V1337&gt;=40,V1337&lt;75,W1337&gt;=100),0.1,0)+IF(AND(V1337&gt;=75,W1337&lt;25),0.35,0)+IF(AND(V1337&gt;=75,W1337&gt;=25,W1337&lt;60),0.25,0)+IF(AND(V1337&gt;=75,W1337&gt;=60,W1337&lt;95),0.17,0)+IF(AND(V1337&gt;=75,W1337&gt;=95),0.1,0),
IF(AF1337="DoEVold15",IF(AND(V1337&lt;=40,W1337&lt;35),0.35,0)+IF(AND(V1337&lt;=40,W1337&gt;=35,W1337&lt;75),0.25,0)+IF(AND(V1337&lt;=40,W1337&gt;=75,W1337&lt;120),0.17,0)+IF(AND(V1337&lt;=40,W1337&gt;=120),0.15,0)+IF(AND(V1337&gt;40,V1337&lt;75,W1337&lt;25),0.35,0)+IF(AND(V1337&gt;=40,V1337&lt;75,W1337&gt;=25,W1337&lt;65),0.25,0)+IF(AND(V1337&gt;=40,V1337&lt;75,W1337&gt;=65,W1337&lt;100),0.17,0)+IF(AND(V1337&gt;=40,V1337&lt;75,W1337&gt;=100),0.1,0)+IF(AND(V1337&gt;=75,W1337&lt;25),0.35,0)+IF(AND(V1337&gt;=75,W1337&gt;=25,W1337&lt;60),0.25,0)+IF(AND(V1337&gt;=75,W1337&gt;=60,W1337&lt;95),0.17,0)+IF(AND(V1337&gt;=75,W1337&gt;=95),0.1,0),
IF(AF1337="DoEVba",IF(AND(V1337&lt;20,W1337&lt;105),0.2,0)+IF(AND(V1337&lt;20,W1337&gt;=105),0.15,0)+IF(AND(V1337&gt;=20,V1337&lt;40,W1337&lt;95),0.2,0)+IF(AND(V1337&gt;=20,V1337&lt;40,W1337&gt;=95,W1337&lt;150),0.15,0)+IF(AND(V1337&gt;=20,V1337&lt;40,W1337&gt;=150),0.12,0)+IF(AND(V1337&gt;=40,V1337&lt;75,W1337&lt;75),0.2,0)+IF(AND(V1337&gt;=40,V1337&lt;75,W1337&gt;=75,W1337&lt;120),0.15,0)+IF(AND(V1337&gt;=40,V1337&lt;75,W1337&gt;=120),0.12,0)+IF(AND(V1337&gt;=75,V1337&lt;175,W1337&lt;65),0.2,0)+IF(AND(V1337&gt;=75,V1337&lt;175,W1337&gt;=65,W1337&lt;110),0.15,0)+IF(AND(V1337&gt;=75,V1337&lt;175,W1337&gt;=110),0.12,0)+IF(AND(V1337&gt;=175,W1337&lt;55),0.2,0)+IF(AND(V1337&gt;=175,W1337&gt;=55,W1337&lt;95),0.15,0)+IF(AND(V1337&gt;=175,W1337&gt;=95),0.12,0),
IF(AF1337="DoEVku",IF(AND(V1337&lt;20,W1337&lt;55),0.23,0)+IF(AND(V1337&lt;20,W1337&gt;=55,W1337&lt;105),0.2,0)+IF(AND(V1337&lt;20,W1337&gt;=105),0.17,0)+IF(AND(V1337&gt;=20,V1337&lt;40,W1337&lt;45),0.23,0)+IF(AND(V1337&gt;=20,V1337&lt;40,W1337&gt;=45,W1337&lt;95),0.2,0)+IF(AND(V1337&gt;=20,V1337&lt;40,W1337&gt;=95,W1337&lt;=150),0.17,0)+IF(AND(V1337&gt;=20,V1337&lt;40,W1337&gt;=150),0.12,0)+IF(AND(V1337&gt;=40,V1337&lt;75,W1337&lt;35),0.23,0)+IF(AND(V1337&gt;=40,V1337&lt;75,W1337&gt;=35,W1337&lt;75),0.2,0)+IF(AND(V1337&gt;=40,V1337&lt;75,W1337&gt;=75,W1337&lt;120),0.17,0)+IF(AND(V1337&gt;=40,V1337&lt;75,W1337&gt;=120),0.12,0)+IF(AND(V1337&gt;=75,V1337&lt;175,W1337&lt;35),0.23,0)+IF(AND(V1337&gt;=75,V1337&lt;=175,W1337&gt;=35,W1337&lt;65),0.2,0)+IF(AND(V1337&gt;=75,V1337&lt;=175,W1337&gt;=65,W1337&lt;110),0.17,0)+IF(AND(V1337&gt;=75,V1337&lt;=175,W1337&gt;=110),0.12,0)+IF(AND(V1337&gt;175,W1337&lt;25),0.23,0)+IF(AND(V1337&gt;175,W1337&gt;=25,W1337&lt;55),0.2,0)+IF(AND(V1337&gt;175,W1337&gt;=55,W1337&lt;95),0.17,0)+IF(AND(V1337&gt;175,W1337&gt;=95),0.12,0),
IF(AF1337="DoEVs1",IF(AND(V1337&lt;20,W1337&lt;55),0.3,0)+IF(AND(V1337&lt;20,W1337&gt;=55,W1337&lt;105),0.23,0)+IF(AND(V1337&lt;20,W1337&gt;=105),0.17,0)+IF(AND(V1337&gt;=20,V1337&lt;40,W1337&lt;45),0.3,0)+IF(AND(V1337&gt;=20,V1337&lt;40,W1337&gt;=45,W1337&lt;95),0.23,0)+IF(AND(V1337&gt;=20,V1337&lt;40,W1337&gt;=95,W1337&lt;=150),0.17,0)+IF(AND(V1337&gt;=20,V1337&lt;40,W1337&gt;=150),0.12,0)+IF(AND(V1337&gt;=40,V1337&lt;75,W1337&lt;35),0.3,0)+IF(AND(V1337&gt;=40,V1337&lt;75,W1337&gt;=35,W1337&lt;75),0.23,0)+IF(AND(V1337&gt;=40,V1337&lt;75,W1337&gt;=75,W1337&lt;120),0.17,0)+IF(AND(V1337&gt;=40,V1337&lt;75,W1337&gt;=120),0.12,0)+IF(AND(V1337&gt;=75,V1337&lt;175,W1337&lt;35),0.3,0)+IF(AND(V1337&gt;=75,V1337&lt;=175,W1337&gt;=35,W1337&lt;65),0.23,0)+IF(AND(V1337&gt;=75,V1337&lt;=175,W1337&gt;=65,W1337&lt;110),0.17,0)+IF(AND(V1337&gt;=75,V1337&lt;=175,W1337&gt;=110),0.12,0)+IF(AND(V1337&gt;175,W1337&lt;25),0.3,0)+IF(AND(V1337&gt;175,W1337&gt;=25,W1337&lt;55),0.23,0)+IF(AND(V1337&gt;175,W1337&gt;=55,W1337&lt;95),0.17,0)+IF(AND(V1337&gt;175,W1337&gt;=95),0.12,0),
IF(AF1337="DoEVsu",IF(AND(V1337&lt;20,W1337&lt;55),0.3,0)+IF(AND(V1337&lt;20,W1337&gt;=55,W1337&lt;105),0.23,0)+IF(AND(V1337&lt;20,W1337&gt;=105),0.17,0)+IF(AND(V1337&gt;=20,V1337&lt;40,W1337&lt;45),0.3,0)+IF(AND(V1337&gt;=20,V1337&lt;40,W1337&gt;=45,W1337&lt;95),0.23,0)+IF(AND(V1337&gt;=20,V1337&lt;40,W1337&gt;=95,W1337&lt;=250),0.17,0)+IF(AND(V1337&gt;=20,V1337&lt;40,W1337&gt;=250),0.12,0)+IF(AND(V1337&gt;=40,V1337&lt;75,W1337&lt;35),0.3,0)+IF(AND(V1337&gt;=40,V1337&lt;75,W1337&gt;=35,W1337&lt;75),0.23,0)+IF(AND(V1337&gt;=40,V1337&lt;75,W1337&gt;=75,W1337&lt;120),0.17,0)+IF(AND(V1337&gt;=40,V1337&lt;75,W1337&gt;=120),0.12,0)+IF(AND(V1337&gt;=75,V1337&lt;175,W1337&lt;35),0.3,0)+IF(AND(V1337&gt;=75,V1337&lt;=175,W1337&gt;=35,W1337&lt;65),0.23,0)+IF(AND(V1337&gt;=75,V1337&lt;=175,W1337&gt;=65,W1337&lt;110),0.17,0)+IF(AND(V1337&gt;=75,V1337&lt;=175,W1337&gt;=110),0.12,0)+IF(AND(V1337&gt;175,W1337&lt;25),0.3,0)+IF(AND(V1337&gt;175,W1337&gt;=25,W1337&lt;55),0.23,0)+IF(AND(V1337&gt;175,W1337&gt;=55,W1337&lt;95),0.17,0)+IF(AND(V1337&gt;175,W1337&gt;=95),0.12,0),
IF(AF1337="DoEVni",IF(AND(V1337&lt;20,W1337&lt;55),0.3,0)+IF(AND(V1337&lt;20,W1337&gt;=55,W1337&lt;105),0.23,0)+IF(AND(V1337&lt;20,W1337&gt;=105),0.17,0)+IF(AND(V1337&gt;=20,V1337&lt;40,W1337&lt;45),0.3,0)+IF(AND(V1337&gt;=20,V1337&lt;40,W1337&gt;=45,W1337&lt;95),0.23,0)+IF(AND(V1337&gt;=20,V1337&lt;40,W1337&gt;=95,W1337&lt;=200),0.17,0)+IF(AND(V1337&gt;=20,V1337&lt;40,W1337&gt;=200),0.12,0)+IF(AND(V1337&gt;=40,V1337&lt;75,W1337&lt;35),0.3,0)+IF(AND(V1337&gt;=40,V1337&lt;75,W1337&gt;=35,W1337&lt;75),0.23,0)+IF(AND(V1337&gt;=40,V1337&lt;75,W1337&gt;=75,W1337&lt;120),0.17,0)+IF(AND(V1337&gt;=40,V1337&lt;75,W1337&gt;=120),0.12,0)+IF(AND(V1337&gt;=75,V1337&lt;175,W1337&lt;35),0.3,0)+IF(AND(V1337&gt;=75,V1337&lt;=175,W1337&gt;=35,W1337&lt;65),0.23,0)+IF(AND(V1337&gt;=75,V1337&lt;=175,W1337&gt;=65,W1337&lt;110),0.17,0)+IF(AND(V1337&gt;=75,V1337&lt;=175,W1337&gt;=110),0.12,0)+IF(AND(V1337&gt;175,W1337&lt;25),0.3,0)+IF(AND(V1337&gt;175,W1337&gt;=25,W1337&lt;55),0.23,0)+IF(AND(V1337&gt;175,W1337&gt;=55,W1337&lt;95),0.17,0)+IF(AND(V1337&gt;175,W1337&gt;=95),0.12,0),
IF(AF1337="DoEVLo",IF(AND(V1337&lt;20,W1337&lt;55),0.25,0)+IF(AND(V1337&lt;20,W1337&gt;=55,W1337&lt;105),0.2,0)+IF(AND(V1337&lt;20,W1337&gt;=105),0.15,0)+IF(AND(V1337&gt;=20,V1337&lt;40,W1337&lt;45),0.25,0)+IF(AND(V1337&gt;=20,V1337&lt;40,W1337&gt;=45,W1337&lt;95),0.2,0)+IF(AND(V1337&gt;=20,V1337&lt;40,W1337&gt;=95),0.15,0)+IF(AND(V1337&gt;=40,V1337&lt;75,W1337&lt;35),0.25,0)+IF(AND(V1337&gt;=40,V1337&lt;75,W1337&gt;=35,W1337&lt;75),0.2,0)+IF(AND(V1337&gt;=40,V1337&lt;75,W1337&gt;=75,W1337&lt;120),0.15,0)+IF(AND(V1337&gt;=40,V1337&lt;75,W1337&gt;=120),0.1,0)+IF(AND(V1337&gt;=75,V1337&lt;175,W1337&lt;35),0.25,0)+IF(AND(V1337&gt;=75,V1337&lt;=175,W1337&gt;=35,W1337&lt;65),0.2,0)+IF(AND(V1337&gt;=75,V1337&lt;=175,W1337&gt;=65,W1337&lt;110),0.15,0)+IF(AND(V1337&gt;=75,V1337&lt;=175,W1337&gt;=110),0.1,0)+IF(AND(V1337&gt;175,W1337&lt;25),0.25,0)+IF(AND(V1337&gt;175,W1337&gt;=25,W1337&lt;55),0.2,0)+IF(AND(V1337&gt;175,W1337&gt;=55,W1337&lt;95),0.15,0)+IF(AND(V1337&gt;175,W1337&gt;=95),0.1,0))))))))))))))))))</f>
        <v>0.1</v>
      </c>
      <c r="Y1337" s="30">
        <f>IF(AG1337="None",0,IF(AG1337="Fix5",0.05, IF(AG1337="Fix6.25",0.0625,IF(AG1337="Fix3.75",0.0375,IF(AG1337="Fix10",0.1,IF(AG1337="Fix3",0.03,0))))))</f>
        <v>0</v>
      </c>
      <c r="Z1337" s="35">
        <f>T1337-AA1337-AB1337</f>
        <v>-1669.5</v>
      </c>
      <c r="AA1337" s="29">
        <f>IF(AD1337="EUR",((T1337-R1337)*X1337)*U1337+(R1337*X1337),(T1337*X1337))</f>
        <v>-185.5</v>
      </c>
      <c r="AB1337" s="36">
        <f>IF(AD1337="EUR",((T1337-R1337)*Y1337)*U1337+(R1337*Y1337),(T1337*Y1337))</f>
        <v>0</v>
      </c>
      <c r="AC1337" s="37" t="b">
        <v>1</v>
      </c>
      <c r="AD1337" s="37" t="s">
        <v>38</v>
      </c>
      <c r="AE1337" s="37" t="s">
        <v>38</v>
      </c>
      <c r="AF1337" s="37" t="str">
        <f t="array" ref="AF1337">INDEX('Deal Info'!D:D, MATCH(A1337,'Deal Info'!A:A, 0))</f>
        <v>Fix10</v>
      </c>
      <c r="AG1337" s="38" t="str">
        <f t="array" ref="AG1337">INDEX('Deal Info'!G:G, MATCH(A1337,'Deal Info'!A:A, 0))</f>
        <v>None</v>
      </c>
    </row>
    <row r="1338" spans="1:33" ht="14.25" hidden="1" x14ac:dyDescent="0.2">
      <c r="A1338" s="18" t="str">
        <f t="array" ref="A1338">IF(G1338='Room Info'!$B$1, INDEX('Room Info'!$A$2:$A2446, MATCH(B1338,'Room Info'!$B$2:$B2446, 0)),IF(G1338='Room Info'!$C$1, INDEX('Room Info'!$A$2:$A2446, MATCH(B1338,'Room Info'!$C$2:$C2446, 0)),IF(G1338='Room Info'!$D$1, INDEX('Room Info'!$A$2:$A2446, MATCH(B1338,'Room Info'!$D$2:$D2446, 0)),IF(G1338='Room Info'!$E$1, INDEX('Room Info'!$A$2:$A2446, MATCH(B1338,'Room Info'!$E$2:$E2446, 0)),IF(G1338='Room Info'!$F$1, INDEX('Room Info'!$A$2:$A2446, MATCH(B1338,'Room Info'!$F$2:$F2446, 0)),IF(G1338='Room Info'!$H$1, INDEX('Room Info'!$A$2:$A2446, MATCH(B1338,'Room Info'!$H$2:$H2446, 0)),IF(G1338='Room Info'!$G$1, INDEX('Room Info'!$A$2:$A2446, MATCH(B1338,'Room Info'!$G$2:$G2446, 0)))))))))</f>
        <v>volkovsky</v>
      </c>
      <c r="B1338" s="45" t="s">
        <v>206</v>
      </c>
      <c r="C1338" s="46">
        <v>44733</v>
      </c>
      <c r="D1338" s="46">
        <v>44762</v>
      </c>
      <c r="E1338" s="47">
        <v>44743</v>
      </c>
      <c r="F1338" s="48" t="s">
        <v>34</v>
      </c>
      <c r="G1338" s="54" t="s">
        <v>35</v>
      </c>
      <c r="H1338" s="49" t="s">
        <v>148</v>
      </c>
      <c r="I1338" s="49" t="s">
        <v>44</v>
      </c>
      <c r="J1338" s="50">
        <v>250</v>
      </c>
      <c r="K1338" s="51">
        <v>305</v>
      </c>
      <c r="L1338" s="52">
        <v>-8000</v>
      </c>
      <c r="M1338" s="53">
        <v>2995</v>
      </c>
      <c r="N1338" s="28">
        <f>K1338*J1338</f>
        <v>76250</v>
      </c>
      <c r="O1338" s="54">
        <v>197</v>
      </c>
      <c r="P1338" s="29">
        <v>0.6459016393</v>
      </c>
      <c r="Q1338" s="55"/>
      <c r="R1338" s="31">
        <f>M1338+Q1338</f>
        <v>2995</v>
      </c>
      <c r="S1338" s="56">
        <v>-3882</v>
      </c>
      <c r="T1338" s="32">
        <f>R1338+S1338+IF(F1338="Without EV deal",L1338,0)</f>
        <v>-887</v>
      </c>
      <c r="U1338" s="57"/>
      <c r="V1338" s="58"/>
      <c r="W1338" s="58"/>
      <c r="X1338" s="30">
        <f>IF(AF1338="DoEV",IF(AND(V1338&lt;20,W1338&lt;55),0.3,0)+IF(AND(V1338&lt;20,W1338&gt;=55,W1338&lt;105),0.23,0)+IF(AND(V1338&lt;20,W1338&gt;=105),0.17,0)+IF(AND(V1338&gt;=20,V1338&lt;40,W1338&lt;45),0.3,0)+IF(AND(V1338&gt;=20,V1338&lt;40,W1338&gt;=45,W1338&lt;95),0.23,0)+IF(AND(V1338&gt;=20,V1338&lt;40,W1338&gt;=95),0.17,0)+IF(AND(V1338&gt;=40,V1338&lt;75,W1338&lt;35),0.3,0)+IF(AND(V1338&gt;=40,V1338&lt;75,W1338&gt;=35,W1338&lt;75),0.23,0)+IF(AND(V1338&gt;=40,V1338&lt;75,W1338&gt;=75,W1338&lt;120),0.17,0)+IF(AND(V1338&gt;=40,V1338&lt;75,W1338&gt;=120),0.12,0)+IF(AND(V1338&gt;=75,V1338&lt;175,W1338&lt;35),0.3,0)+IF(AND(V1338&gt;=75,V1338&lt;=175,W1338&gt;=35,W1338&lt;65),0.23,0)+IF(AND(V1338&gt;=75,V1338&lt;=175,W1338&gt;=65,W1338&lt;110),0.17,0)+IF(AND(V1338&gt;=75,V1338&lt;=175,W1338&gt;=110),0.12,0)+IF(AND(V1338&gt;175,W1338&lt;25),0.3,0)+IF(AND(V1338&gt;175,W1338&gt;=25,W1338&lt;55),0.23,0)+IF(AND(V1338&gt;175,W1338&gt;=55,W1338&lt;95),0.17,0)+IF(AND(V1338&gt;175,W1338&gt;=95),0.12,0),
IF(AF1338="Fix15",0.15,
IF(AF1338="Fix18.75",0.1875,
IF(AF1338="Fix11.25",0.1125,
IF(AF1338="Fix10",0.1,
IF(AF1338="Fix9",0.09,
IF(AF1338="Fix19",0.19,
IF(AF1338="DoEV2017",IF(AND(W1338&lt;74),0.2,0)+IF(AND(W1338&gt;=74),0.17,0),
IF(AF1338="SF",IF(AND(V1338&lt;20,W1338&lt;89),0.3,0)+IF(AND(V1338&lt;20,W1338&gt;=89),0.25,0)+IF(AND(V1338&gt;=20,V1338&lt;40,W1338&lt;74),0.3,0)+IF(AND(V1338&gt;=20,V1338&lt;40,W1338&gt;=75),0.22,0)+IF(AND(V1338&gt;=40,V1338&lt;75,W1338&lt;75),0.26,0)+IF(AND(V1338&gt;=40,V1338&lt;75,W1338&gt;=75),0.22,0)+IF(V1338&gt;=75,0.22,0),
IF(AF1338="DoEVold",IF(AND(V1338&lt;40,W1338&lt;35),0.35,0)+IF(AND(V1338&lt;40,W1338&gt;=35,W1338&lt;75),0.25,0)+IF(AND(V1338&lt;40,W1338&gt;=75),0.17,0)+IF(AND(V1338&gt;=40,V1338&lt;75,W1338&lt;25),0.35,0)+IF(AND(V1338&gt;=40,V1338&lt;75,W1338&gt;=25,W1338&lt;65),0.25,0)+IF(AND(V1338&gt;=40,V1338&lt;75,W1338&gt;=65,W1338&lt;100),0.17,0)+IF(AND(V1338&gt;=40,V1338&lt;75,W1338&gt;=100),0.1,0)+IF(AND(V1338&gt;=75,W1338&lt;25),0.35,0)+IF(AND(V1338&gt;=75,W1338&gt;=25,W1338&lt;60),0.25,0)+IF(AND(V1338&gt;=75,W1338&gt;=60,W1338&lt;95),0.17,0)+IF(AND(V1338&gt;=75,W1338&gt;=95),0.1,0),
IF(AF1338="DoEVold15",IF(AND(V1338&lt;=40,W1338&lt;35),0.35,0)+IF(AND(V1338&lt;=40,W1338&gt;=35,W1338&lt;75),0.25,0)+IF(AND(V1338&lt;=40,W1338&gt;=75,W1338&lt;120),0.17,0)+IF(AND(V1338&lt;=40,W1338&gt;=120),0.15,0)+IF(AND(V1338&gt;40,V1338&lt;75,W1338&lt;25),0.35,0)+IF(AND(V1338&gt;=40,V1338&lt;75,W1338&gt;=25,W1338&lt;65),0.25,0)+IF(AND(V1338&gt;=40,V1338&lt;75,W1338&gt;=65,W1338&lt;100),0.17,0)+IF(AND(V1338&gt;=40,V1338&lt;75,W1338&gt;=100),0.1,0)+IF(AND(V1338&gt;=75,W1338&lt;25),0.35,0)+IF(AND(V1338&gt;=75,W1338&gt;=25,W1338&lt;60),0.25,0)+IF(AND(V1338&gt;=75,W1338&gt;=60,W1338&lt;95),0.17,0)+IF(AND(V1338&gt;=75,W1338&gt;=95),0.1,0),
IF(AF1338="DoEVba",IF(AND(V1338&lt;20,W1338&lt;105),0.2,0)+IF(AND(V1338&lt;20,W1338&gt;=105),0.15,0)+IF(AND(V1338&gt;=20,V1338&lt;40,W1338&lt;95),0.2,0)+IF(AND(V1338&gt;=20,V1338&lt;40,W1338&gt;=95,W1338&lt;150),0.15,0)+IF(AND(V1338&gt;=20,V1338&lt;40,W1338&gt;=150),0.12,0)+IF(AND(V1338&gt;=40,V1338&lt;75,W1338&lt;75),0.2,0)+IF(AND(V1338&gt;=40,V1338&lt;75,W1338&gt;=75,W1338&lt;120),0.15,0)+IF(AND(V1338&gt;=40,V1338&lt;75,W1338&gt;=120),0.12,0)+IF(AND(V1338&gt;=75,V1338&lt;175,W1338&lt;65),0.2,0)+IF(AND(V1338&gt;=75,V1338&lt;175,W1338&gt;=65,W1338&lt;110),0.15,0)+IF(AND(V1338&gt;=75,V1338&lt;175,W1338&gt;=110),0.12,0)+IF(AND(V1338&gt;=175,W1338&lt;55),0.2,0)+IF(AND(V1338&gt;=175,W1338&gt;=55,W1338&lt;95),0.15,0)+IF(AND(V1338&gt;=175,W1338&gt;=95),0.12,0),
IF(AF1338="DoEVku",IF(AND(V1338&lt;20,W1338&lt;55),0.23,0)+IF(AND(V1338&lt;20,W1338&gt;=55,W1338&lt;105),0.2,0)+IF(AND(V1338&lt;20,W1338&gt;=105),0.17,0)+IF(AND(V1338&gt;=20,V1338&lt;40,W1338&lt;45),0.23,0)+IF(AND(V1338&gt;=20,V1338&lt;40,W1338&gt;=45,W1338&lt;95),0.2,0)+IF(AND(V1338&gt;=20,V1338&lt;40,W1338&gt;=95,W1338&lt;=150),0.17,0)+IF(AND(V1338&gt;=20,V1338&lt;40,W1338&gt;=150),0.12,0)+IF(AND(V1338&gt;=40,V1338&lt;75,W1338&lt;35),0.23,0)+IF(AND(V1338&gt;=40,V1338&lt;75,W1338&gt;=35,W1338&lt;75),0.2,0)+IF(AND(V1338&gt;=40,V1338&lt;75,W1338&gt;=75,W1338&lt;120),0.17,0)+IF(AND(V1338&gt;=40,V1338&lt;75,W1338&gt;=120),0.12,0)+IF(AND(V1338&gt;=75,V1338&lt;175,W1338&lt;35),0.23,0)+IF(AND(V1338&gt;=75,V1338&lt;=175,W1338&gt;=35,W1338&lt;65),0.2,0)+IF(AND(V1338&gt;=75,V1338&lt;=175,W1338&gt;=65,W1338&lt;110),0.17,0)+IF(AND(V1338&gt;=75,V1338&lt;=175,W1338&gt;=110),0.12,0)+IF(AND(V1338&gt;175,W1338&lt;25),0.23,0)+IF(AND(V1338&gt;175,W1338&gt;=25,W1338&lt;55),0.2,0)+IF(AND(V1338&gt;175,W1338&gt;=55,W1338&lt;95),0.17,0)+IF(AND(V1338&gt;175,W1338&gt;=95),0.12,0),
IF(AF1338="DoEVs1",IF(AND(V1338&lt;20,W1338&lt;55),0.3,0)+IF(AND(V1338&lt;20,W1338&gt;=55,W1338&lt;105),0.23,0)+IF(AND(V1338&lt;20,W1338&gt;=105),0.17,0)+IF(AND(V1338&gt;=20,V1338&lt;40,W1338&lt;45),0.3,0)+IF(AND(V1338&gt;=20,V1338&lt;40,W1338&gt;=45,W1338&lt;95),0.23,0)+IF(AND(V1338&gt;=20,V1338&lt;40,W1338&gt;=95,W1338&lt;=150),0.17,0)+IF(AND(V1338&gt;=20,V1338&lt;40,W1338&gt;=150),0.12,0)+IF(AND(V1338&gt;=40,V1338&lt;75,W1338&lt;35),0.3,0)+IF(AND(V1338&gt;=40,V1338&lt;75,W1338&gt;=35,W1338&lt;75),0.23,0)+IF(AND(V1338&gt;=40,V1338&lt;75,W1338&gt;=75,W1338&lt;120),0.17,0)+IF(AND(V1338&gt;=40,V1338&lt;75,W1338&gt;=120),0.12,0)+IF(AND(V1338&gt;=75,V1338&lt;175,W1338&lt;35),0.3,0)+IF(AND(V1338&gt;=75,V1338&lt;=175,W1338&gt;=35,W1338&lt;65),0.23,0)+IF(AND(V1338&gt;=75,V1338&lt;=175,W1338&gt;=65,W1338&lt;110),0.17,0)+IF(AND(V1338&gt;=75,V1338&lt;=175,W1338&gt;=110),0.12,0)+IF(AND(V1338&gt;175,W1338&lt;25),0.3,0)+IF(AND(V1338&gt;175,W1338&gt;=25,W1338&lt;55),0.23,0)+IF(AND(V1338&gt;175,W1338&gt;=55,W1338&lt;95),0.17,0)+IF(AND(V1338&gt;175,W1338&gt;=95),0.12,0),
IF(AF1338="DoEVsu",IF(AND(V1338&lt;20,W1338&lt;55),0.3,0)+IF(AND(V1338&lt;20,W1338&gt;=55,W1338&lt;105),0.23,0)+IF(AND(V1338&lt;20,W1338&gt;=105),0.17,0)+IF(AND(V1338&gt;=20,V1338&lt;40,W1338&lt;45),0.3,0)+IF(AND(V1338&gt;=20,V1338&lt;40,W1338&gt;=45,W1338&lt;95),0.23,0)+IF(AND(V1338&gt;=20,V1338&lt;40,W1338&gt;=95,W1338&lt;=250),0.17,0)+IF(AND(V1338&gt;=20,V1338&lt;40,W1338&gt;=250),0.12,0)+IF(AND(V1338&gt;=40,V1338&lt;75,W1338&lt;35),0.3,0)+IF(AND(V1338&gt;=40,V1338&lt;75,W1338&gt;=35,W1338&lt;75),0.23,0)+IF(AND(V1338&gt;=40,V1338&lt;75,W1338&gt;=75,W1338&lt;120),0.17,0)+IF(AND(V1338&gt;=40,V1338&lt;75,W1338&gt;=120),0.12,0)+IF(AND(V1338&gt;=75,V1338&lt;175,W1338&lt;35),0.3,0)+IF(AND(V1338&gt;=75,V1338&lt;=175,W1338&gt;=35,W1338&lt;65),0.23,0)+IF(AND(V1338&gt;=75,V1338&lt;=175,W1338&gt;=65,W1338&lt;110),0.17,0)+IF(AND(V1338&gt;=75,V1338&lt;=175,W1338&gt;=110),0.12,0)+IF(AND(V1338&gt;175,W1338&lt;25),0.3,0)+IF(AND(V1338&gt;175,W1338&gt;=25,W1338&lt;55),0.23,0)+IF(AND(V1338&gt;175,W1338&gt;=55,W1338&lt;95),0.17,0)+IF(AND(V1338&gt;175,W1338&gt;=95),0.12,0),
IF(AF1338="DoEVni",IF(AND(V1338&lt;20,W1338&lt;55),0.3,0)+IF(AND(V1338&lt;20,W1338&gt;=55,W1338&lt;105),0.23,0)+IF(AND(V1338&lt;20,W1338&gt;=105),0.17,0)+IF(AND(V1338&gt;=20,V1338&lt;40,W1338&lt;45),0.3,0)+IF(AND(V1338&gt;=20,V1338&lt;40,W1338&gt;=45,W1338&lt;95),0.23,0)+IF(AND(V1338&gt;=20,V1338&lt;40,W1338&gt;=95,W1338&lt;=200),0.17,0)+IF(AND(V1338&gt;=20,V1338&lt;40,W1338&gt;=200),0.12,0)+IF(AND(V1338&gt;=40,V1338&lt;75,W1338&lt;35),0.3,0)+IF(AND(V1338&gt;=40,V1338&lt;75,W1338&gt;=35,W1338&lt;75),0.23,0)+IF(AND(V1338&gt;=40,V1338&lt;75,W1338&gt;=75,W1338&lt;120),0.17,0)+IF(AND(V1338&gt;=40,V1338&lt;75,W1338&gt;=120),0.12,0)+IF(AND(V1338&gt;=75,V1338&lt;175,W1338&lt;35),0.3,0)+IF(AND(V1338&gt;=75,V1338&lt;=175,W1338&gt;=35,W1338&lt;65),0.23,0)+IF(AND(V1338&gt;=75,V1338&lt;=175,W1338&gt;=65,W1338&lt;110),0.17,0)+IF(AND(V1338&gt;=75,V1338&lt;=175,W1338&gt;=110),0.12,0)+IF(AND(V1338&gt;175,W1338&lt;25),0.3,0)+IF(AND(V1338&gt;175,W1338&gt;=25,W1338&lt;55),0.23,0)+IF(AND(V1338&gt;175,W1338&gt;=55,W1338&lt;95),0.17,0)+IF(AND(V1338&gt;175,W1338&gt;=95),0.12,0),
IF(AF1338="DoEVLo",IF(AND(V1338&lt;20,W1338&lt;55),0.25,0)+IF(AND(V1338&lt;20,W1338&gt;=55,W1338&lt;105),0.2,0)+IF(AND(V1338&lt;20,W1338&gt;=105),0.15,0)+IF(AND(V1338&gt;=20,V1338&lt;40,W1338&lt;45),0.25,0)+IF(AND(V1338&gt;=20,V1338&lt;40,W1338&gt;=45,W1338&lt;95),0.2,0)+IF(AND(V1338&gt;=20,V1338&lt;40,W1338&gt;=95),0.15,0)+IF(AND(V1338&gt;=40,V1338&lt;75,W1338&lt;35),0.25,0)+IF(AND(V1338&gt;=40,V1338&lt;75,W1338&gt;=35,W1338&lt;75),0.2,0)+IF(AND(V1338&gt;=40,V1338&lt;75,W1338&gt;=75,W1338&lt;120),0.15,0)+IF(AND(V1338&gt;=40,V1338&lt;75,W1338&gt;=120),0.1,0)+IF(AND(V1338&gt;=75,V1338&lt;175,W1338&lt;35),0.25,0)+IF(AND(V1338&gt;=75,V1338&lt;=175,W1338&gt;=35,W1338&lt;65),0.2,0)+IF(AND(V1338&gt;=75,V1338&lt;=175,W1338&gt;=65,W1338&lt;110),0.15,0)+IF(AND(V1338&gt;=75,V1338&lt;=175,W1338&gt;=110),0.1,0)+IF(AND(V1338&gt;175,W1338&lt;25),0.25,0)+IF(AND(V1338&gt;175,W1338&gt;=25,W1338&lt;55),0.2,0)+IF(AND(V1338&gt;175,W1338&gt;=55,W1338&lt;95),0.15,0)+IF(AND(V1338&gt;175,W1338&gt;=95),0.1,0))))))))))))))))))</f>
        <v>0.1</v>
      </c>
      <c r="Y1338" s="30">
        <f>IF(AG1338="None",0,IF(AG1338="Fix5",0.05, IF(AG1338="Fix6.25",0.0625,IF(AG1338="Fix3.75",0.0375,IF(AG1338="Fix10",0.1,IF(AG1338="Fix3",0.03,0))))))</f>
        <v>0</v>
      </c>
      <c r="Z1338" s="35">
        <f>T1338-AA1338-AB1338</f>
        <v>-798.3</v>
      </c>
      <c r="AA1338" s="29">
        <f>IF(AD1338="EUR",((T1338-R1338)*X1338)*U1338+(R1338*X1338),(T1338*X1338))</f>
        <v>-88.7</v>
      </c>
      <c r="AB1338" s="36">
        <f>IF(AD1338="EUR",((T1338-R1338)*Y1338)*U1338+(R1338*Y1338),(T1338*Y1338))</f>
        <v>0</v>
      </c>
      <c r="AC1338" s="37" t="b">
        <v>1</v>
      </c>
      <c r="AD1338" s="37" t="s">
        <v>38</v>
      </c>
      <c r="AE1338" s="37" t="s">
        <v>38</v>
      </c>
      <c r="AF1338" s="37" t="str">
        <f t="array" ref="AF1338">INDEX('Deal Info'!D:D, MATCH(A1338,'Deal Info'!A:A, 0))</f>
        <v>Fix10</v>
      </c>
      <c r="AG1338" s="38" t="str">
        <f t="array" ref="AG1338">INDEX('Deal Info'!G:G, MATCH(A1338,'Deal Info'!A:A, 0))</f>
        <v>None</v>
      </c>
    </row>
    <row r="1339" spans="1:33" ht="14.25" hidden="1" x14ac:dyDescent="0.2">
      <c r="A1339" s="18" t="str">
        <f t="array" ref="A1339">IF(G1339='Room Info'!$B$1, INDEX('Room Info'!$A$2:$A2446, MATCH(B1339,'Room Info'!$B$2:$B2446, 0)),IF(G1339='Room Info'!$C$1, INDEX('Room Info'!$A$2:$A2446, MATCH(B1339,'Room Info'!$C$2:$C2446, 0)),IF(G1339='Room Info'!$D$1, INDEX('Room Info'!$A$2:$A2446, MATCH(B1339,'Room Info'!$D$2:$D2446, 0)),IF(G1339='Room Info'!$E$1, INDEX('Room Info'!$A$2:$A2446, MATCH(B1339,'Room Info'!$E$2:$E2446, 0)),IF(G1339='Room Info'!$F$1, INDEX('Room Info'!$A$2:$A2446, MATCH(B1339,'Room Info'!$F$2:$F2446, 0)),IF(G1339='Room Info'!$H$1, INDEX('Room Info'!$A$2:$A2446, MATCH(B1339,'Room Info'!$H$2:$H2446, 0)),IF(G1339='Room Info'!$G$1, INDEX('Room Info'!$A$2:$A2446, MATCH(B1339,'Room Info'!$G$2:$G2446, 0)))))))))</f>
        <v>volkovsky</v>
      </c>
      <c r="B1339" s="45" t="s">
        <v>206</v>
      </c>
      <c r="C1339" s="46">
        <v>44733</v>
      </c>
      <c r="D1339" s="46">
        <v>44762</v>
      </c>
      <c r="E1339" s="47">
        <v>44743</v>
      </c>
      <c r="F1339" s="48" t="s">
        <v>34</v>
      </c>
      <c r="G1339" s="54" t="s">
        <v>35</v>
      </c>
      <c r="H1339" s="49" t="s">
        <v>142</v>
      </c>
      <c r="I1339" s="49" t="s">
        <v>37</v>
      </c>
      <c r="J1339" s="50">
        <v>500</v>
      </c>
      <c r="K1339" s="51">
        <v>5</v>
      </c>
      <c r="L1339" s="52">
        <v>2000</v>
      </c>
      <c r="M1339" s="53">
        <v>98</v>
      </c>
      <c r="N1339" s="28">
        <f>K1339*J1339</f>
        <v>2500</v>
      </c>
      <c r="O1339" s="54">
        <v>-1141</v>
      </c>
      <c r="P1339" s="29">
        <v>-228.2</v>
      </c>
      <c r="Q1339" s="55"/>
      <c r="R1339" s="31">
        <f>M1339+Q1339</f>
        <v>98</v>
      </c>
      <c r="S1339" s="56">
        <v>-1203</v>
      </c>
      <c r="T1339" s="32">
        <f>R1339+S1339+IF(F1339="Without EV deal",L1339,0)</f>
        <v>-1105</v>
      </c>
      <c r="U1339" s="57"/>
      <c r="V1339" s="58"/>
      <c r="W1339" s="58"/>
      <c r="X1339" s="30">
        <f>IF(AF1339="DoEV",IF(AND(V1339&lt;20,W1339&lt;55),0.3,0)+IF(AND(V1339&lt;20,W1339&gt;=55,W1339&lt;105),0.23,0)+IF(AND(V1339&lt;20,W1339&gt;=105),0.17,0)+IF(AND(V1339&gt;=20,V1339&lt;40,W1339&lt;45),0.3,0)+IF(AND(V1339&gt;=20,V1339&lt;40,W1339&gt;=45,W1339&lt;95),0.23,0)+IF(AND(V1339&gt;=20,V1339&lt;40,W1339&gt;=95),0.17,0)+IF(AND(V1339&gt;=40,V1339&lt;75,W1339&lt;35),0.3,0)+IF(AND(V1339&gt;=40,V1339&lt;75,W1339&gt;=35,W1339&lt;75),0.23,0)+IF(AND(V1339&gt;=40,V1339&lt;75,W1339&gt;=75,W1339&lt;120),0.17,0)+IF(AND(V1339&gt;=40,V1339&lt;75,W1339&gt;=120),0.12,0)+IF(AND(V1339&gt;=75,V1339&lt;175,W1339&lt;35),0.3,0)+IF(AND(V1339&gt;=75,V1339&lt;=175,W1339&gt;=35,W1339&lt;65),0.23,0)+IF(AND(V1339&gt;=75,V1339&lt;=175,W1339&gt;=65,W1339&lt;110),0.17,0)+IF(AND(V1339&gt;=75,V1339&lt;=175,W1339&gt;=110),0.12,0)+IF(AND(V1339&gt;175,W1339&lt;25),0.3,0)+IF(AND(V1339&gt;175,W1339&gt;=25,W1339&lt;55),0.23,0)+IF(AND(V1339&gt;175,W1339&gt;=55,W1339&lt;95),0.17,0)+IF(AND(V1339&gt;175,W1339&gt;=95),0.12,0),
IF(AF1339="Fix15",0.15,
IF(AF1339="Fix18.75",0.1875,
IF(AF1339="Fix11.25",0.1125,
IF(AF1339="Fix10",0.1,
IF(AF1339="Fix9",0.09,
IF(AF1339="Fix19",0.19,
IF(AF1339="DoEV2017",IF(AND(W1339&lt;74),0.2,0)+IF(AND(W1339&gt;=74),0.17,0),
IF(AF1339="SF",IF(AND(V1339&lt;20,W1339&lt;89),0.3,0)+IF(AND(V1339&lt;20,W1339&gt;=89),0.25,0)+IF(AND(V1339&gt;=20,V1339&lt;40,W1339&lt;74),0.3,0)+IF(AND(V1339&gt;=20,V1339&lt;40,W1339&gt;=75),0.22,0)+IF(AND(V1339&gt;=40,V1339&lt;75,W1339&lt;75),0.26,0)+IF(AND(V1339&gt;=40,V1339&lt;75,W1339&gt;=75),0.22,0)+IF(V1339&gt;=75,0.22,0),
IF(AF1339="DoEVold",IF(AND(V1339&lt;40,W1339&lt;35),0.35,0)+IF(AND(V1339&lt;40,W1339&gt;=35,W1339&lt;75),0.25,0)+IF(AND(V1339&lt;40,W1339&gt;=75),0.17,0)+IF(AND(V1339&gt;=40,V1339&lt;75,W1339&lt;25),0.35,0)+IF(AND(V1339&gt;=40,V1339&lt;75,W1339&gt;=25,W1339&lt;65),0.25,0)+IF(AND(V1339&gt;=40,V1339&lt;75,W1339&gt;=65,W1339&lt;100),0.17,0)+IF(AND(V1339&gt;=40,V1339&lt;75,W1339&gt;=100),0.1,0)+IF(AND(V1339&gt;=75,W1339&lt;25),0.35,0)+IF(AND(V1339&gt;=75,W1339&gt;=25,W1339&lt;60),0.25,0)+IF(AND(V1339&gt;=75,W1339&gt;=60,W1339&lt;95),0.17,0)+IF(AND(V1339&gt;=75,W1339&gt;=95),0.1,0),
IF(AF1339="DoEVold15",IF(AND(V1339&lt;=40,W1339&lt;35),0.35,0)+IF(AND(V1339&lt;=40,W1339&gt;=35,W1339&lt;75),0.25,0)+IF(AND(V1339&lt;=40,W1339&gt;=75,W1339&lt;120),0.17,0)+IF(AND(V1339&lt;=40,W1339&gt;=120),0.15,0)+IF(AND(V1339&gt;40,V1339&lt;75,W1339&lt;25),0.35,0)+IF(AND(V1339&gt;=40,V1339&lt;75,W1339&gt;=25,W1339&lt;65),0.25,0)+IF(AND(V1339&gt;=40,V1339&lt;75,W1339&gt;=65,W1339&lt;100),0.17,0)+IF(AND(V1339&gt;=40,V1339&lt;75,W1339&gt;=100),0.1,0)+IF(AND(V1339&gt;=75,W1339&lt;25),0.35,0)+IF(AND(V1339&gt;=75,W1339&gt;=25,W1339&lt;60),0.25,0)+IF(AND(V1339&gt;=75,W1339&gt;=60,W1339&lt;95),0.17,0)+IF(AND(V1339&gt;=75,W1339&gt;=95),0.1,0),
IF(AF1339="DoEVba",IF(AND(V1339&lt;20,W1339&lt;105),0.2,0)+IF(AND(V1339&lt;20,W1339&gt;=105),0.15,0)+IF(AND(V1339&gt;=20,V1339&lt;40,W1339&lt;95),0.2,0)+IF(AND(V1339&gt;=20,V1339&lt;40,W1339&gt;=95,W1339&lt;150),0.15,0)+IF(AND(V1339&gt;=20,V1339&lt;40,W1339&gt;=150),0.12,0)+IF(AND(V1339&gt;=40,V1339&lt;75,W1339&lt;75),0.2,0)+IF(AND(V1339&gt;=40,V1339&lt;75,W1339&gt;=75,W1339&lt;120),0.15,0)+IF(AND(V1339&gt;=40,V1339&lt;75,W1339&gt;=120),0.12,0)+IF(AND(V1339&gt;=75,V1339&lt;175,W1339&lt;65),0.2,0)+IF(AND(V1339&gt;=75,V1339&lt;175,W1339&gt;=65,W1339&lt;110),0.15,0)+IF(AND(V1339&gt;=75,V1339&lt;175,W1339&gt;=110),0.12,0)+IF(AND(V1339&gt;=175,W1339&lt;55),0.2,0)+IF(AND(V1339&gt;=175,W1339&gt;=55,W1339&lt;95),0.15,0)+IF(AND(V1339&gt;=175,W1339&gt;=95),0.12,0),
IF(AF1339="DoEVku",IF(AND(V1339&lt;20,W1339&lt;55),0.23,0)+IF(AND(V1339&lt;20,W1339&gt;=55,W1339&lt;105),0.2,0)+IF(AND(V1339&lt;20,W1339&gt;=105),0.17,0)+IF(AND(V1339&gt;=20,V1339&lt;40,W1339&lt;45),0.23,0)+IF(AND(V1339&gt;=20,V1339&lt;40,W1339&gt;=45,W1339&lt;95),0.2,0)+IF(AND(V1339&gt;=20,V1339&lt;40,W1339&gt;=95,W1339&lt;=150),0.17,0)+IF(AND(V1339&gt;=20,V1339&lt;40,W1339&gt;=150),0.12,0)+IF(AND(V1339&gt;=40,V1339&lt;75,W1339&lt;35),0.23,0)+IF(AND(V1339&gt;=40,V1339&lt;75,W1339&gt;=35,W1339&lt;75),0.2,0)+IF(AND(V1339&gt;=40,V1339&lt;75,W1339&gt;=75,W1339&lt;120),0.17,0)+IF(AND(V1339&gt;=40,V1339&lt;75,W1339&gt;=120),0.12,0)+IF(AND(V1339&gt;=75,V1339&lt;175,W1339&lt;35),0.23,0)+IF(AND(V1339&gt;=75,V1339&lt;=175,W1339&gt;=35,W1339&lt;65),0.2,0)+IF(AND(V1339&gt;=75,V1339&lt;=175,W1339&gt;=65,W1339&lt;110),0.17,0)+IF(AND(V1339&gt;=75,V1339&lt;=175,W1339&gt;=110),0.12,0)+IF(AND(V1339&gt;175,W1339&lt;25),0.23,0)+IF(AND(V1339&gt;175,W1339&gt;=25,W1339&lt;55),0.2,0)+IF(AND(V1339&gt;175,W1339&gt;=55,W1339&lt;95),0.17,0)+IF(AND(V1339&gt;175,W1339&gt;=95),0.12,0),
IF(AF1339="DoEVs1",IF(AND(V1339&lt;20,W1339&lt;55),0.3,0)+IF(AND(V1339&lt;20,W1339&gt;=55,W1339&lt;105),0.23,0)+IF(AND(V1339&lt;20,W1339&gt;=105),0.17,0)+IF(AND(V1339&gt;=20,V1339&lt;40,W1339&lt;45),0.3,0)+IF(AND(V1339&gt;=20,V1339&lt;40,W1339&gt;=45,W1339&lt;95),0.23,0)+IF(AND(V1339&gt;=20,V1339&lt;40,W1339&gt;=95,W1339&lt;=150),0.17,0)+IF(AND(V1339&gt;=20,V1339&lt;40,W1339&gt;=150),0.12,0)+IF(AND(V1339&gt;=40,V1339&lt;75,W1339&lt;35),0.3,0)+IF(AND(V1339&gt;=40,V1339&lt;75,W1339&gt;=35,W1339&lt;75),0.23,0)+IF(AND(V1339&gt;=40,V1339&lt;75,W1339&gt;=75,W1339&lt;120),0.17,0)+IF(AND(V1339&gt;=40,V1339&lt;75,W1339&gt;=120),0.12,0)+IF(AND(V1339&gt;=75,V1339&lt;175,W1339&lt;35),0.3,0)+IF(AND(V1339&gt;=75,V1339&lt;=175,W1339&gt;=35,W1339&lt;65),0.23,0)+IF(AND(V1339&gt;=75,V1339&lt;=175,W1339&gt;=65,W1339&lt;110),0.17,0)+IF(AND(V1339&gt;=75,V1339&lt;=175,W1339&gt;=110),0.12,0)+IF(AND(V1339&gt;175,W1339&lt;25),0.3,0)+IF(AND(V1339&gt;175,W1339&gt;=25,W1339&lt;55),0.23,0)+IF(AND(V1339&gt;175,W1339&gt;=55,W1339&lt;95),0.17,0)+IF(AND(V1339&gt;175,W1339&gt;=95),0.12,0),
IF(AF1339="DoEVsu",IF(AND(V1339&lt;20,W1339&lt;55),0.3,0)+IF(AND(V1339&lt;20,W1339&gt;=55,W1339&lt;105),0.23,0)+IF(AND(V1339&lt;20,W1339&gt;=105),0.17,0)+IF(AND(V1339&gt;=20,V1339&lt;40,W1339&lt;45),0.3,0)+IF(AND(V1339&gt;=20,V1339&lt;40,W1339&gt;=45,W1339&lt;95),0.23,0)+IF(AND(V1339&gt;=20,V1339&lt;40,W1339&gt;=95,W1339&lt;=250),0.17,0)+IF(AND(V1339&gt;=20,V1339&lt;40,W1339&gt;=250),0.12,0)+IF(AND(V1339&gt;=40,V1339&lt;75,W1339&lt;35),0.3,0)+IF(AND(V1339&gt;=40,V1339&lt;75,W1339&gt;=35,W1339&lt;75),0.23,0)+IF(AND(V1339&gt;=40,V1339&lt;75,W1339&gt;=75,W1339&lt;120),0.17,0)+IF(AND(V1339&gt;=40,V1339&lt;75,W1339&gt;=120),0.12,0)+IF(AND(V1339&gt;=75,V1339&lt;175,W1339&lt;35),0.3,0)+IF(AND(V1339&gt;=75,V1339&lt;=175,W1339&gt;=35,W1339&lt;65),0.23,0)+IF(AND(V1339&gt;=75,V1339&lt;=175,W1339&gt;=65,W1339&lt;110),0.17,0)+IF(AND(V1339&gt;=75,V1339&lt;=175,W1339&gt;=110),0.12,0)+IF(AND(V1339&gt;175,W1339&lt;25),0.3,0)+IF(AND(V1339&gt;175,W1339&gt;=25,W1339&lt;55),0.23,0)+IF(AND(V1339&gt;175,W1339&gt;=55,W1339&lt;95),0.17,0)+IF(AND(V1339&gt;175,W1339&gt;=95),0.12,0),
IF(AF1339="DoEVni",IF(AND(V1339&lt;20,W1339&lt;55),0.3,0)+IF(AND(V1339&lt;20,W1339&gt;=55,W1339&lt;105),0.23,0)+IF(AND(V1339&lt;20,W1339&gt;=105),0.17,0)+IF(AND(V1339&gt;=20,V1339&lt;40,W1339&lt;45),0.3,0)+IF(AND(V1339&gt;=20,V1339&lt;40,W1339&gt;=45,W1339&lt;95),0.23,0)+IF(AND(V1339&gt;=20,V1339&lt;40,W1339&gt;=95,W1339&lt;=200),0.17,0)+IF(AND(V1339&gt;=20,V1339&lt;40,W1339&gt;=200),0.12,0)+IF(AND(V1339&gt;=40,V1339&lt;75,W1339&lt;35),0.3,0)+IF(AND(V1339&gt;=40,V1339&lt;75,W1339&gt;=35,W1339&lt;75),0.23,0)+IF(AND(V1339&gt;=40,V1339&lt;75,W1339&gt;=75,W1339&lt;120),0.17,0)+IF(AND(V1339&gt;=40,V1339&lt;75,W1339&gt;=120),0.12,0)+IF(AND(V1339&gt;=75,V1339&lt;175,W1339&lt;35),0.3,0)+IF(AND(V1339&gt;=75,V1339&lt;=175,W1339&gt;=35,W1339&lt;65),0.23,0)+IF(AND(V1339&gt;=75,V1339&lt;=175,W1339&gt;=65,W1339&lt;110),0.17,0)+IF(AND(V1339&gt;=75,V1339&lt;=175,W1339&gt;=110),0.12,0)+IF(AND(V1339&gt;175,W1339&lt;25),0.3,0)+IF(AND(V1339&gt;175,W1339&gt;=25,W1339&lt;55),0.23,0)+IF(AND(V1339&gt;175,W1339&gt;=55,W1339&lt;95),0.17,0)+IF(AND(V1339&gt;175,W1339&gt;=95),0.12,0),
IF(AF1339="DoEVLo",IF(AND(V1339&lt;20,W1339&lt;55),0.25,0)+IF(AND(V1339&lt;20,W1339&gt;=55,W1339&lt;105),0.2,0)+IF(AND(V1339&lt;20,W1339&gt;=105),0.15,0)+IF(AND(V1339&gt;=20,V1339&lt;40,W1339&lt;45),0.25,0)+IF(AND(V1339&gt;=20,V1339&lt;40,W1339&gt;=45,W1339&lt;95),0.2,0)+IF(AND(V1339&gt;=20,V1339&lt;40,W1339&gt;=95),0.15,0)+IF(AND(V1339&gt;=40,V1339&lt;75,W1339&lt;35),0.25,0)+IF(AND(V1339&gt;=40,V1339&lt;75,W1339&gt;=35,W1339&lt;75),0.2,0)+IF(AND(V1339&gt;=40,V1339&lt;75,W1339&gt;=75,W1339&lt;120),0.15,0)+IF(AND(V1339&gt;=40,V1339&lt;75,W1339&gt;=120),0.1,0)+IF(AND(V1339&gt;=75,V1339&lt;175,W1339&lt;35),0.25,0)+IF(AND(V1339&gt;=75,V1339&lt;=175,W1339&gt;=35,W1339&lt;65),0.2,0)+IF(AND(V1339&gt;=75,V1339&lt;=175,W1339&gt;=65,W1339&lt;110),0.15,0)+IF(AND(V1339&gt;=75,V1339&lt;=175,W1339&gt;=110),0.1,0)+IF(AND(V1339&gt;175,W1339&lt;25),0.25,0)+IF(AND(V1339&gt;175,W1339&gt;=25,W1339&lt;55),0.2,0)+IF(AND(V1339&gt;175,W1339&gt;=55,W1339&lt;95),0.15,0)+IF(AND(V1339&gt;175,W1339&gt;=95),0.1,0))))))))))))))))))</f>
        <v>0.1</v>
      </c>
      <c r="Y1339" s="30">
        <f>IF(AG1339="None",0,IF(AG1339="Fix5",0.05, IF(AG1339="Fix6.25",0.0625,IF(AG1339="Fix3.75",0.0375,IF(AG1339="Fix10",0.1,IF(AG1339="Fix3",0.03,0))))))</f>
        <v>0</v>
      </c>
      <c r="Z1339" s="35">
        <f>T1339-AA1339-AB1339</f>
        <v>-994.5</v>
      </c>
      <c r="AA1339" s="29">
        <f>IF(AD1339="EUR",((T1339-R1339)*X1339)*U1339+(R1339*X1339),(T1339*X1339))</f>
        <v>-110.5</v>
      </c>
      <c r="AB1339" s="36">
        <f>IF(AD1339="EUR",((T1339-R1339)*Y1339)*U1339+(R1339*Y1339),(T1339*Y1339))</f>
        <v>0</v>
      </c>
      <c r="AC1339" s="37" t="b">
        <v>1</v>
      </c>
      <c r="AD1339" s="37" t="s">
        <v>38</v>
      </c>
      <c r="AE1339" s="37" t="s">
        <v>38</v>
      </c>
      <c r="AF1339" s="37" t="str">
        <f t="array" ref="AF1339">INDEX('Deal Info'!D:D, MATCH(A1339,'Deal Info'!A:A, 0))</f>
        <v>Fix10</v>
      </c>
      <c r="AG1339" s="38" t="str">
        <f t="array" ref="AG1339">INDEX('Deal Info'!G:G, MATCH(A1339,'Deal Info'!A:A, 0))</f>
        <v>None</v>
      </c>
    </row>
    <row r="1340" spans="1:33" ht="14.25" hidden="1" x14ac:dyDescent="0.2">
      <c r="A1340" s="18" t="str">
        <f t="array" ref="A1340">IF(G1340='Room Info'!$B$1, INDEX('Room Info'!$A$2:$A2446, MATCH(B1340,'Room Info'!$B$2:$B2446, 0)),IF(G1340='Room Info'!$C$1, INDEX('Room Info'!$A$2:$A2446, MATCH(B1340,'Room Info'!$C$2:$C2446, 0)),IF(G1340='Room Info'!$D$1, INDEX('Room Info'!$A$2:$A2446, MATCH(B1340,'Room Info'!$D$2:$D2446, 0)),IF(G1340='Room Info'!$E$1, INDEX('Room Info'!$A$2:$A2446, MATCH(B1340,'Room Info'!$E$2:$E2446, 0)),IF(G1340='Room Info'!$F$1, INDEX('Room Info'!$A$2:$A2446, MATCH(B1340,'Room Info'!$F$2:$F2446, 0)),IF(G1340='Room Info'!$H$1, INDEX('Room Info'!$A$2:$A2446, MATCH(B1340,'Room Info'!$H$2:$H2446, 0)),IF(G1340='Room Info'!$G$1, INDEX('Room Info'!$A$2:$A2446, MATCH(B1340,'Room Info'!$G$2:$G2446, 0)))))))))</f>
        <v>volkovsky</v>
      </c>
      <c r="B1340" s="45" t="s">
        <v>206</v>
      </c>
      <c r="C1340" s="46">
        <v>44763</v>
      </c>
      <c r="D1340" s="46">
        <v>44793</v>
      </c>
      <c r="E1340" s="47">
        <v>44774</v>
      </c>
      <c r="F1340" s="48" t="s">
        <v>34</v>
      </c>
      <c r="G1340" s="54" t="s">
        <v>35</v>
      </c>
      <c r="H1340" s="49" t="s">
        <v>39</v>
      </c>
      <c r="I1340" s="49" t="s">
        <v>37</v>
      </c>
      <c r="J1340" s="50">
        <v>5</v>
      </c>
      <c r="K1340" s="51">
        <v>1</v>
      </c>
      <c r="L1340" s="52">
        <v>-5</v>
      </c>
      <c r="M1340" s="62"/>
      <c r="N1340" s="28">
        <f>K1340*J1340</f>
        <v>5</v>
      </c>
      <c r="O1340" s="54">
        <v>-62</v>
      </c>
      <c r="P1340" s="29">
        <v>-62</v>
      </c>
      <c r="Q1340" s="55"/>
      <c r="R1340" s="31">
        <f>M1340+Q1340</f>
        <v>0</v>
      </c>
      <c r="S1340" s="56">
        <v>-1</v>
      </c>
      <c r="T1340" s="32">
        <f>R1340+S1340+IF(F1340="Without EV deal",L1340,0)</f>
        <v>-1</v>
      </c>
      <c r="U1340" s="57"/>
      <c r="V1340" s="58"/>
      <c r="W1340" s="58"/>
      <c r="X1340" s="30">
        <f>IF(AF1340="DoEV",IF(AND(V1340&lt;20,W1340&lt;55),0.3,0)+IF(AND(V1340&lt;20,W1340&gt;=55,W1340&lt;105),0.23,0)+IF(AND(V1340&lt;20,W1340&gt;=105),0.17,0)+IF(AND(V1340&gt;=20,V1340&lt;40,W1340&lt;45),0.3,0)+IF(AND(V1340&gt;=20,V1340&lt;40,W1340&gt;=45,W1340&lt;95),0.23,0)+IF(AND(V1340&gt;=20,V1340&lt;40,W1340&gt;=95),0.17,0)+IF(AND(V1340&gt;=40,V1340&lt;75,W1340&lt;35),0.3,0)+IF(AND(V1340&gt;=40,V1340&lt;75,W1340&gt;=35,W1340&lt;75),0.23,0)+IF(AND(V1340&gt;=40,V1340&lt;75,W1340&gt;=75,W1340&lt;120),0.17,0)+IF(AND(V1340&gt;=40,V1340&lt;75,W1340&gt;=120),0.12,0)+IF(AND(V1340&gt;=75,V1340&lt;175,W1340&lt;35),0.3,0)+IF(AND(V1340&gt;=75,V1340&lt;=175,W1340&gt;=35,W1340&lt;65),0.23,0)+IF(AND(V1340&gt;=75,V1340&lt;=175,W1340&gt;=65,W1340&lt;110),0.17,0)+IF(AND(V1340&gt;=75,V1340&lt;=175,W1340&gt;=110),0.12,0)+IF(AND(V1340&gt;175,W1340&lt;25),0.3,0)+IF(AND(V1340&gt;175,W1340&gt;=25,W1340&lt;55),0.23,0)+IF(AND(V1340&gt;175,W1340&gt;=55,W1340&lt;95),0.17,0)+IF(AND(V1340&gt;175,W1340&gt;=95),0.12,0),
IF(AF1340="Fix15",0.15,
IF(AF1340="Fix18.75",0.1875,
IF(AF1340="Fix11.25",0.1125,
IF(AF1340="Fix10",0.1,
IF(AF1340="Fix9",0.09,
IF(AF1340="Fix19",0.19,
IF(AF1340="DoEV2017",IF(AND(W1340&lt;74),0.2,0)+IF(AND(W1340&gt;=74),0.17,0),
IF(AF1340="SF",IF(AND(V1340&lt;20,W1340&lt;89),0.3,0)+IF(AND(V1340&lt;20,W1340&gt;=89),0.25,0)+IF(AND(V1340&gt;=20,V1340&lt;40,W1340&lt;74),0.3,0)+IF(AND(V1340&gt;=20,V1340&lt;40,W1340&gt;=75),0.22,0)+IF(AND(V1340&gt;=40,V1340&lt;75,W1340&lt;75),0.26,0)+IF(AND(V1340&gt;=40,V1340&lt;75,W1340&gt;=75),0.22,0)+IF(V1340&gt;=75,0.22,0),
IF(AF1340="DoEVold",IF(AND(V1340&lt;40,W1340&lt;35),0.35,0)+IF(AND(V1340&lt;40,W1340&gt;=35,W1340&lt;75),0.25,0)+IF(AND(V1340&lt;40,W1340&gt;=75),0.17,0)+IF(AND(V1340&gt;=40,V1340&lt;75,W1340&lt;25),0.35,0)+IF(AND(V1340&gt;=40,V1340&lt;75,W1340&gt;=25,W1340&lt;65),0.25,0)+IF(AND(V1340&gt;=40,V1340&lt;75,W1340&gt;=65,W1340&lt;100),0.17,0)+IF(AND(V1340&gt;=40,V1340&lt;75,W1340&gt;=100),0.1,0)+IF(AND(V1340&gt;=75,W1340&lt;25),0.35,0)+IF(AND(V1340&gt;=75,W1340&gt;=25,W1340&lt;60),0.25,0)+IF(AND(V1340&gt;=75,W1340&gt;=60,W1340&lt;95),0.17,0)+IF(AND(V1340&gt;=75,W1340&gt;=95),0.1,0),
IF(AF1340="DoEVold15",IF(AND(V1340&lt;=40,W1340&lt;35),0.35,0)+IF(AND(V1340&lt;=40,W1340&gt;=35,W1340&lt;75),0.25,0)+IF(AND(V1340&lt;=40,W1340&gt;=75,W1340&lt;120),0.17,0)+IF(AND(V1340&lt;=40,W1340&gt;=120),0.15,0)+IF(AND(V1340&gt;40,V1340&lt;75,W1340&lt;25),0.35,0)+IF(AND(V1340&gt;=40,V1340&lt;75,W1340&gt;=25,W1340&lt;65),0.25,0)+IF(AND(V1340&gt;=40,V1340&lt;75,W1340&gt;=65,W1340&lt;100),0.17,0)+IF(AND(V1340&gt;=40,V1340&lt;75,W1340&gt;=100),0.1,0)+IF(AND(V1340&gt;=75,W1340&lt;25),0.35,0)+IF(AND(V1340&gt;=75,W1340&gt;=25,W1340&lt;60),0.25,0)+IF(AND(V1340&gt;=75,W1340&gt;=60,W1340&lt;95),0.17,0)+IF(AND(V1340&gt;=75,W1340&gt;=95),0.1,0),
IF(AF1340="DoEVba",IF(AND(V1340&lt;20,W1340&lt;105),0.2,0)+IF(AND(V1340&lt;20,W1340&gt;=105),0.15,0)+IF(AND(V1340&gt;=20,V1340&lt;40,W1340&lt;95),0.2,0)+IF(AND(V1340&gt;=20,V1340&lt;40,W1340&gt;=95,W1340&lt;150),0.15,0)+IF(AND(V1340&gt;=20,V1340&lt;40,W1340&gt;=150),0.12,0)+IF(AND(V1340&gt;=40,V1340&lt;75,W1340&lt;75),0.2,0)+IF(AND(V1340&gt;=40,V1340&lt;75,W1340&gt;=75,W1340&lt;120),0.15,0)+IF(AND(V1340&gt;=40,V1340&lt;75,W1340&gt;=120),0.12,0)+IF(AND(V1340&gt;=75,V1340&lt;175,W1340&lt;65),0.2,0)+IF(AND(V1340&gt;=75,V1340&lt;175,W1340&gt;=65,W1340&lt;110),0.15,0)+IF(AND(V1340&gt;=75,V1340&lt;175,W1340&gt;=110),0.12,0)+IF(AND(V1340&gt;=175,W1340&lt;55),0.2,0)+IF(AND(V1340&gt;=175,W1340&gt;=55,W1340&lt;95),0.15,0)+IF(AND(V1340&gt;=175,W1340&gt;=95),0.12,0),
IF(AF1340="DoEVku",IF(AND(V1340&lt;20,W1340&lt;55),0.23,0)+IF(AND(V1340&lt;20,W1340&gt;=55,W1340&lt;105),0.2,0)+IF(AND(V1340&lt;20,W1340&gt;=105),0.17,0)+IF(AND(V1340&gt;=20,V1340&lt;40,W1340&lt;45),0.23,0)+IF(AND(V1340&gt;=20,V1340&lt;40,W1340&gt;=45,W1340&lt;95),0.2,0)+IF(AND(V1340&gt;=20,V1340&lt;40,W1340&gt;=95,W1340&lt;=150),0.17,0)+IF(AND(V1340&gt;=20,V1340&lt;40,W1340&gt;=150),0.12,0)+IF(AND(V1340&gt;=40,V1340&lt;75,W1340&lt;35),0.23,0)+IF(AND(V1340&gt;=40,V1340&lt;75,W1340&gt;=35,W1340&lt;75),0.2,0)+IF(AND(V1340&gt;=40,V1340&lt;75,W1340&gt;=75,W1340&lt;120),0.17,0)+IF(AND(V1340&gt;=40,V1340&lt;75,W1340&gt;=120),0.12,0)+IF(AND(V1340&gt;=75,V1340&lt;175,W1340&lt;35),0.23,0)+IF(AND(V1340&gt;=75,V1340&lt;=175,W1340&gt;=35,W1340&lt;65),0.2,0)+IF(AND(V1340&gt;=75,V1340&lt;=175,W1340&gt;=65,W1340&lt;110),0.17,0)+IF(AND(V1340&gt;=75,V1340&lt;=175,W1340&gt;=110),0.12,0)+IF(AND(V1340&gt;175,W1340&lt;25),0.23,0)+IF(AND(V1340&gt;175,W1340&gt;=25,W1340&lt;55),0.2,0)+IF(AND(V1340&gt;175,W1340&gt;=55,W1340&lt;95),0.17,0)+IF(AND(V1340&gt;175,W1340&gt;=95),0.12,0),
IF(AF1340="DoEVs1",IF(AND(V1340&lt;20,W1340&lt;55),0.3,0)+IF(AND(V1340&lt;20,W1340&gt;=55,W1340&lt;105),0.23,0)+IF(AND(V1340&lt;20,W1340&gt;=105),0.17,0)+IF(AND(V1340&gt;=20,V1340&lt;40,W1340&lt;45),0.3,0)+IF(AND(V1340&gt;=20,V1340&lt;40,W1340&gt;=45,W1340&lt;95),0.23,0)+IF(AND(V1340&gt;=20,V1340&lt;40,W1340&gt;=95,W1340&lt;=150),0.17,0)+IF(AND(V1340&gt;=20,V1340&lt;40,W1340&gt;=150),0.12,0)+IF(AND(V1340&gt;=40,V1340&lt;75,W1340&lt;35),0.3,0)+IF(AND(V1340&gt;=40,V1340&lt;75,W1340&gt;=35,W1340&lt;75),0.23,0)+IF(AND(V1340&gt;=40,V1340&lt;75,W1340&gt;=75,W1340&lt;120),0.17,0)+IF(AND(V1340&gt;=40,V1340&lt;75,W1340&gt;=120),0.12,0)+IF(AND(V1340&gt;=75,V1340&lt;175,W1340&lt;35),0.3,0)+IF(AND(V1340&gt;=75,V1340&lt;=175,W1340&gt;=35,W1340&lt;65),0.23,0)+IF(AND(V1340&gt;=75,V1340&lt;=175,W1340&gt;=65,W1340&lt;110),0.17,0)+IF(AND(V1340&gt;=75,V1340&lt;=175,W1340&gt;=110),0.12,0)+IF(AND(V1340&gt;175,W1340&lt;25),0.3,0)+IF(AND(V1340&gt;175,W1340&gt;=25,W1340&lt;55),0.23,0)+IF(AND(V1340&gt;175,W1340&gt;=55,W1340&lt;95),0.17,0)+IF(AND(V1340&gt;175,W1340&gt;=95),0.12,0),
IF(AF1340="DoEVsu",IF(AND(V1340&lt;20,W1340&lt;55),0.3,0)+IF(AND(V1340&lt;20,W1340&gt;=55,W1340&lt;105),0.23,0)+IF(AND(V1340&lt;20,W1340&gt;=105),0.17,0)+IF(AND(V1340&gt;=20,V1340&lt;40,W1340&lt;45),0.3,0)+IF(AND(V1340&gt;=20,V1340&lt;40,W1340&gt;=45,W1340&lt;95),0.23,0)+IF(AND(V1340&gt;=20,V1340&lt;40,W1340&gt;=95,W1340&lt;=250),0.17,0)+IF(AND(V1340&gt;=20,V1340&lt;40,W1340&gt;=250),0.12,0)+IF(AND(V1340&gt;=40,V1340&lt;75,W1340&lt;35),0.3,0)+IF(AND(V1340&gt;=40,V1340&lt;75,W1340&gt;=35,W1340&lt;75),0.23,0)+IF(AND(V1340&gt;=40,V1340&lt;75,W1340&gt;=75,W1340&lt;120),0.17,0)+IF(AND(V1340&gt;=40,V1340&lt;75,W1340&gt;=120),0.12,0)+IF(AND(V1340&gt;=75,V1340&lt;175,W1340&lt;35),0.3,0)+IF(AND(V1340&gt;=75,V1340&lt;=175,W1340&gt;=35,W1340&lt;65),0.23,0)+IF(AND(V1340&gt;=75,V1340&lt;=175,W1340&gt;=65,W1340&lt;110),0.17,0)+IF(AND(V1340&gt;=75,V1340&lt;=175,W1340&gt;=110),0.12,0)+IF(AND(V1340&gt;175,W1340&lt;25),0.3,0)+IF(AND(V1340&gt;175,W1340&gt;=25,W1340&lt;55),0.23,0)+IF(AND(V1340&gt;175,W1340&gt;=55,W1340&lt;95),0.17,0)+IF(AND(V1340&gt;175,W1340&gt;=95),0.12,0),
IF(AF1340="DoEVni",IF(AND(V1340&lt;20,W1340&lt;55),0.3,0)+IF(AND(V1340&lt;20,W1340&gt;=55,W1340&lt;105),0.23,0)+IF(AND(V1340&lt;20,W1340&gt;=105),0.17,0)+IF(AND(V1340&gt;=20,V1340&lt;40,W1340&lt;45),0.3,0)+IF(AND(V1340&gt;=20,V1340&lt;40,W1340&gt;=45,W1340&lt;95),0.23,0)+IF(AND(V1340&gt;=20,V1340&lt;40,W1340&gt;=95,W1340&lt;=200),0.17,0)+IF(AND(V1340&gt;=20,V1340&lt;40,W1340&gt;=200),0.12,0)+IF(AND(V1340&gt;=40,V1340&lt;75,W1340&lt;35),0.3,0)+IF(AND(V1340&gt;=40,V1340&lt;75,W1340&gt;=35,W1340&lt;75),0.23,0)+IF(AND(V1340&gt;=40,V1340&lt;75,W1340&gt;=75,W1340&lt;120),0.17,0)+IF(AND(V1340&gt;=40,V1340&lt;75,W1340&gt;=120),0.12,0)+IF(AND(V1340&gt;=75,V1340&lt;175,W1340&lt;35),0.3,0)+IF(AND(V1340&gt;=75,V1340&lt;=175,W1340&gt;=35,W1340&lt;65),0.23,0)+IF(AND(V1340&gt;=75,V1340&lt;=175,W1340&gt;=65,W1340&lt;110),0.17,0)+IF(AND(V1340&gt;=75,V1340&lt;=175,W1340&gt;=110),0.12,0)+IF(AND(V1340&gt;175,W1340&lt;25),0.3,0)+IF(AND(V1340&gt;175,W1340&gt;=25,W1340&lt;55),0.23,0)+IF(AND(V1340&gt;175,W1340&gt;=55,W1340&lt;95),0.17,0)+IF(AND(V1340&gt;175,W1340&gt;=95),0.12,0),
IF(AF1340="DoEVLo",IF(AND(V1340&lt;20,W1340&lt;55),0.25,0)+IF(AND(V1340&lt;20,W1340&gt;=55,W1340&lt;105),0.2,0)+IF(AND(V1340&lt;20,W1340&gt;=105),0.15,0)+IF(AND(V1340&gt;=20,V1340&lt;40,W1340&lt;45),0.25,0)+IF(AND(V1340&gt;=20,V1340&lt;40,W1340&gt;=45,W1340&lt;95),0.2,0)+IF(AND(V1340&gt;=20,V1340&lt;40,W1340&gt;=95),0.15,0)+IF(AND(V1340&gt;=40,V1340&lt;75,W1340&lt;35),0.25,0)+IF(AND(V1340&gt;=40,V1340&lt;75,W1340&gt;=35,W1340&lt;75),0.2,0)+IF(AND(V1340&gt;=40,V1340&lt;75,W1340&gt;=75,W1340&lt;120),0.15,0)+IF(AND(V1340&gt;=40,V1340&lt;75,W1340&gt;=120),0.1,0)+IF(AND(V1340&gt;=75,V1340&lt;175,W1340&lt;35),0.25,0)+IF(AND(V1340&gt;=75,V1340&lt;=175,W1340&gt;=35,W1340&lt;65),0.2,0)+IF(AND(V1340&gt;=75,V1340&lt;=175,W1340&gt;=65,W1340&lt;110),0.15,0)+IF(AND(V1340&gt;=75,V1340&lt;=175,W1340&gt;=110),0.1,0)+IF(AND(V1340&gt;175,W1340&lt;25),0.25,0)+IF(AND(V1340&gt;175,W1340&gt;=25,W1340&lt;55),0.2,0)+IF(AND(V1340&gt;175,W1340&gt;=55,W1340&lt;95),0.15,0)+IF(AND(V1340&gt;175,W1340&gt;=95),0.1,0))))))))))))))))))</f>
        <v>0.1</v>
      </c>
      <c r="Y1340" s="30">
        <f>IF(AG1340="None",0,IF(AG1340="Fix5",0.05, IF(AG1340="Fix6.25",0.0625,IF(AG1340="Fix3.75",0.0375,IF(AG1340="Fix10",0.1,IF(AG1340="Fix3",0.03,0))))))</f>
        <v>0</v>
      </c>
      <c r="Z1340" s="35">
        <f>T1340-AA1340-AB1340</f>
        <v>-0.9</v>
      </c>
      <c r="AA1340" s="29">
        <f>IF(AD1340="EUR",((T1340-R1340)*X1340)*U1340+(R1340*X1340),(T1340*X1340))</f>
        <v>-0.1</v>
      </c>
      <c r="AB1340" s="36">
        <f>IF(AD1340="EUR",((T1340-R1340)*Y1340)*U1340+(R1340*Y1340),(T1340*Y1340))</f>
        <v>0</v>
      </c>
      <c r="AC1340" s="37" t="b">
        <v>1</v>
      </c>
      <c r="AD1340" s="37" t="s">
        <v>38</v>
      </c>
      <c r="AE1340" s="37" t="s">
        <v>38</v>
      </c>
      <c r="AF1340" s="37" t="str">
        <f t="array" ref="AF1340">INDEX('Deal Info'!D:D, MATCH(A1340,'Deal Info'!A:A, 0))</f>
        <v>Fix10</v>
      </c>
      <c r="AG1340" s="38" t="str">
        <f t="array" ref="AG1340">INDEX('Deal Info'!G:G, MATCH(A1340,'Deal Info'!A:A, 0))</f>
        <v>None</v>
      </c>
    </row>
    <row r="1341" spans="1:33" ht="14.25" hidden="1" x14ac:dyDescent="0.2">
      <c r="A1341" s="18" t="str">
        <f t="array" ref="A1341">IF(G1341='Room Info'!$B$1, INDEX('Room Info'!$A$2:$A2446, MATCH(B1341,'Room Info'!$B$2:$B2446, 0)),IF(G1341='Room Info'!$C$1, INDEX('Room Info'!$A$2:$A2446, MATCH(B1341,'Room Info'!$C$2:$C2446, 0)),IF(G1341='Room Info'!$D$1, INDEX('Room Info'!$A$2:$A2446, MATCH(B1341,'Room Info'!$D$2:$D2446, 0)),IF(G1341='Room Info'!$E$1, INDEX('Room Info'!$A$2:$A2446, MATCH(B1341,'Room Info'!$E$2:$E2446, 0)),IF(G1341='Room Info'!$F$1, INDEX('Room Info'!$A$2:$A2446, MATCH(B1341,'Room Info'!$F$2:$F2446, 0)),IF(G1341='Room Info'!$H$1, INDEX('Room Info'!$A$2:$A2446, MATCH(B1341,'Room Info'!$H$2:$H2446, 0)),IF(G1341='Room Info'!$G$1, INDEX('Room Info'!$A$2:$A2446, MATCH(B1341,'Room Info'!$G$2:$G2446, 0)))))))))</f>
        <v>volkovsky</v>
      </c>
      <c r="B1341" s="45" t="s">
        <v>206</v>
      </c>
      <c r="C1341" s="46">
        <v>44763</v>
      </c>
      <c r="D1341" s="46">
        <v>44793</v>
      </c>
      <c r="E1341" s="47">
        <v>44774</v>
      </c>
      <c r="F1341" s="45" t="s">
        <v>34</v>
      </c>
      <c r="G1341" s="45" t="s">
        <v>35</v>
      </c>
      <c r="H1341" s="49" t="s">
        <v>70</v>
      </c>
      <c r="I1341" s="49" t="s">
        <v>37</v>
      </c>
      <c r="J1341" s="50">
        <v>100</v>
      </c>
      <c r="K1341" s="51">
        <v>871</v>
      </c>
      <c r="L1341" s="52">
        <v>-4900</v>
      </c>
      <c r="M1341" s="53">
        <v>3290</v>
      </c>
      <c r="N1341" s="28">
        <f>K1341*J1341</f>
        <v>87100</v>
      </c>
      <c r="O1341" s="54">
        <v>12674</v>
      </c>
      <c r="P1341" s="29">
        <v>14.5510907</v>
      </c>
      <c r="Q1341" s="55"/>
      <c r="R1341" s="31">
        <f>M1341+Q1341</f>
        <v>3290</v>
      </c>
      <c r="S1341" s="56">
        <v>-2256</v>
      </c>
      <c r="T1341" s="32">
        <f>R1341+S1341+IF(F1341="Without EV deal",L1341,0)</f>
        <v>1034</v>
      </c>
      <c r="U1341" s="57"/>
      <c r="V1341" s="58"/>
      <c r="W1341" s="58"/>
      <c r="X1341" s="30">
        <f>IF(AF1341="DoEV",IF(AND(V1341&lt;20,W1341&lt;55),0.3,0)+IF(AND(V1341&lt;20,W1341&gt;=55,W1341&lt;105),0.23,0)+IF(AND(V1341&lt;20,W1341&gt;=105),0.17,0)+IF(AND(V1341&gt;=20,V1341&lt;40,W1341&lt;45),0.3,0)+IF(AND(V1341&gt;=20,V1341&lt;40,W1341&gt;=45,W1341&lt;95),0.23,0)+IF(AND(V1341&gt;=20,V1341&lt;40,W1341&gt;=95),0.17,0)+IF(AND(V1341&gt;=40,V1341&lt;75,W1341&lt;35),0.3,0)+IF(AND(V1341&gt;=40,V1341&lt;75,W1341&gt;=35,W1341&lt;75),0.23,0)+IF(AND(V1341&gt;=40,V1341&lt;75,W1341&gt;=75,W1341&lt;120),0.17,0)+IF(AND(V1341&gt;=40,V1341&lt;75,W1341&gt;=120),0.12,0)+IF(AND(V1341&gt;=75,V1341&lt;175,W1341&lt;35),0.3,0)+IF(AND(V1341&gt;=75,V1341&lt;=175,W1341&gt;=35,W1341&lt;65),0.23,0)+IF(AND(V1341&gt;=75,V1341&lt;=175,W1341&gt;=65,W1341&lt;110),0.17,0)+IF(AND(V1341&gt;=75,V1341&lt;=175,W1341&gt;=110),0.12,0)+IF(AND(V1341&gt;175,W1341&lt;25),0.3,0)+IF(AND(V1341&gt;175,W1341&gt;=25,W1341&lt;55),0.23,0)+IF(AND(V1341&gt;175,W1341&gt;=55,W1341&lt;95),0.17,0)+IF(AND(V1341&gt;175,W1341&gt;=95),0.12,0),
IF(AF1341="Fix15",0.15,
IF(AF1341="Fix18.75",0.1875,
IF(AF1341="Fix11.25",0.1125,
IF(AF1341="Fix10",0.1,
IF(AF1341="Fix9",0.09,
IF(AF1341="Fix19",0.19,
IF(AF1341="DoEV2017",IF(AND(W1341&lt;74),0.2,0)+IF(AND(W1341&gt;=74),0.17,0),
IF(AF1341="SF",IF(AND(V1341&lt;20,W1341&lt;89),0.3,0)+IF(AND(V1341&lt;20,W1341&gt;=89),0.25,0)+IF(AND(V1341&gt;=20,V1341&lt;40,W1341&lt;74),0.3,0)+IF(AND(V1341&gt;=20,V1341&lt;40,W1341&gt;=75),0.22,0)+IF(AND(V1341&gt;=40,V1341&lt;75,W1341&lt;75),0.26,0)+IF(AND(V1341&gt;=40,V1341&lt;75,W1341&gt;=75),0.22,0)+IF(V1341&gt;=75,0.22,0),
IF(AF1341="DoEVold",IF(AND(V1341&lt;40,W1341&lt;35),0.35,0)+IF(AND(V1341&lt;40,W1341&gt;=35,W1341&lt;75),0.25,0)+IF(AND(V1341&lt;40,W1341&gt;=75),0.17,0)+IF(AND(V1341&gt;=40,V1341&lt;75,W1341&lt;25),0.35,0)+IF(AND(V1341&gt;=40,V1341&lt;75,W1341&gt;=25,W1341&lt;65),0.25,0)+IF(AND(V1341&gt;=40,V1341&lt;75,W1341&gt;=65,W1341&lt;100),0.17,0)+IF(AND(V1341&gt;=40,V1341&lt;75,W1341&gt;=100),0.1,0)+IF(AND(V1341&gt;=75,W1341&lt;25),0.35,0)+IF(AND(V1341&gt;=75,W1341&gt;=25,W1341&lt;60),0.25,0)+IF(AND(V1341&gt;=75,W1341&gt;=60,W1341&lt;95),0.17,0)+IF(AND(V1341&gt;=75,W1341&gt;=95),0.1,0),
IF(AF1341="DoEVold15",IF(AND(V1341&lt;=40,W1341&lt;35),0.35,0)+IF(AND(V1341&lt;=40,W1341&gt;=35,W1341&lt;75),0.25,0)+IF(AND(V1341&lt;=40,W1341&gt;=75,W1341&lt;120),0.17,0)+IF(AND(V1341&lt;=40,W1341&gt;=120),0.15,0)+IF(AND(V1341&gt;40,V1341&lt;75,W1341&lt;25),0.35,0)+IF(AND(V1341&gt;=40,V1341&lt;75,W1341&gt;=25,W1341&lt;65),0.25,0)+IF(AND(V1341&gt;=40,V1341&lt;75,W1341&gt;=65,W1341&lt;100),0.17,0)+IF(AND(V1341&gt;=40,V1341&lt;75,W1341&gt;=100),0.1,0)+IF(AND(V1341&gt;=75,W1341&lt;25),0.35,0)+IF(AND(V1341&gt;=75,W1341&gt;=25,W1341&lt;60),0.25,0)+IF(AND(V1341&gt;=75,W1341&gt;=60,W1341&lt;95),0.17,0)+IF(AND(V1341&gt;=75,W1341&gt;=95),0.1,0),
IF(AF1341="DoEVba",IF(AND(V1341&lt;20,W1341&lt;105),0.2,0)+IF(AND(V1341&lt;20,W1341&gt;=105),0.15,0)+IF(AND(V1341&gt;=20,V1341&lt;40,W1341&lt;95),0.2,0)+IF(AND(V1341&gt;=20,V1341&lt;40,W1341&gt;=95,W1341&lt;150),0.15,0)+IF(AND(V1341&gt;=20,V1341&lt;40,W1341&gt;=150),0.12,0)+IF(AND(V1341&gt;=40,V1341&lt;75,W1341&lt;75),0.2,0)+IF(AND(V1341&gt;=40,V1341&lt;75,W1341&gt;=75,W1341&lt;120),0.15,0)+IF(AND(V1341&gt;=40,V1341&lt;75,W1341&gt;=120),0.12,0)+IF(AND(V1341&gt;=75,V1341&lt;175,W1341&lt;65),0.2,0)+IF(AND(V1341&gt;=75,V1341&lt;175,W1341&gt;=65,W1341&lt;110),0.15,0)+IF(AND(V1341&gt;=75,V1341&lt;175,W1341&gt;=110),0.12,0)+IF(AND(V1341&gt;=175,W1341&lt;55),0.2,0)+IF(AND(V1341&gt;=175,W1341&gt;=55,W1341&lt;95),0.15,0)+IF(AND(V1341&gt;=175,W1341&gt;=95),0.12,0),
IF(AF1341="DoEVku",IF(AND(V1341&lt;20,W1341&lt;55),0.23,0)+IF(AND(V1341&lt;20,W1341&gt;=55,W1341&lt;105),0.2,0)+IF(AND(V1341&lt;20,W1341&gt;=105),0.17,0)+IF(AND(V1341&gt;=20,V1341&lt;40,W1341&lt;45),0.23,0)+IF(AND(V1341&gt;=20,V1341&lt;40,W1341&gt;=45,W1341&lt;95),0.2,0)+IF(AND(V1341&gt;=20,V1341&lt;40,W1341&gt;=95,W1341&lt;=150),0.17,0)+IF(AND(V1341&gt;=20,V1341&lt;40,W1341&gt;=150),0.12,0)+IF(AND(V1341&gt;=40,V1341&lt;75,W1341&lt;35),0.23,0)+IF(AND(V1341&gt;=40,V1341&lt;75,W1341&gt;=35,W1341&lt;75),0.2,0)+IF(AND(V1341&gt;=40,V1341&lt;75,W1341&gt;=75,W1341&lt;120),0.17,0)+IF(AND(V1341&gt;=40,V1341&lt;75,W1341&gt;=120),0.12,0)+IF(AND(V1341&gt;=75,V1341&lt;175,W1341&lt;35),0.23,0)+IF(AND(V1341&gt;=75,V1341&lt;=175,W1341&gt;=35,W1341&lt;65),0.2,0)+IF(AND(V1341&gt;=75,V1341&lt;=175,W1341&gt;=65,W1341&lt;110),0.17,0)+IF(AND(V1341&gt;=75,V1341&lt;=175,W1341&gt;=110),0.12,0)+IF(AND(V1341&gt;175,W1341&lt;25),0.23,0)+IF(AND(V1341&gt;175,W1341&gt;=25,W1341&lt;55),0.2,0)+IF(AND(V1341&gt;175,W1341&gt;=55,W1341&lt;95),0.17,0)+IF(AND(V1341&gt;175,W1341&gt;=95),0.12,0),
IF(AF1341="DoEVs1",IF(AND(V1341&lt;20,W1341&lt;55),0.3,0)+IF(AND(V1341&lt;20,W1341&gt;=55,W1341&lt;105),0.23,0)+IF(AND(V1341&lt;20,W1341&gt;=105),0.17,0)+IF(AND(V1341&gt;=20,V1341&lt;40,W1341&lt;45),0.3,0)+IF(AND(V1341&gt;=20,V1341&lt;40,W1341&gt;=45,W1341&lt;95),0.23,0)+IF(AND(V1341&gt;=20,V1341&lt;40,W1341&gt;=95,W1341&lt;=150),0.17,0)+IF(AND(V1341&gt;=20,V1341&lt;40,W1341&gt;=150),0.12,0)+IF(AND(V1341&gt;=40,V1341&lt;75,W1341&lt;35),0.3,0)+IF(AND(V1341&gt;=40,V1341&lt;75,W1341&gt;=35,W1341&lt;75),0.23,0)+IF(AND(V1341&gt;=40,V1341&lt;75,W1341&gt;=75,W1341&lt;120),0.17,0)+IF(AND(V1341&gt;=40,V1341&lt;75,W1341&gt;=120),0.12,0)+IF(AND(V1341&gt;=75,V1341&lt;175,W1341&lt;35),0.3,0)+IF(AND(V1341&gt;=75,V1341&lt;=175,W1341&gt;=35,W1341&lt;65),0.23,0)+IF(AND(V1341&gt;=75,V1341&lt;=175,W1341&gt;=65,W1341&lt;110),0.17,0)+IF(AND(V1341&gt;=75,V1341&lt;=175,W1341&gt;=110),0.12,0)+IF(AND(V1341&gt;175,W1341&lt;25),0.3,0)+IF(AND(V1341&gt;175,W1341&gt;=25,W1341&lt;55),0.23,0)+IF(AND(V1341&gt;175,W1341&gt;=55,W1341&lt;95),0.17,0)+IF(AND(V1341&gt;175,W1341&gt;=95),0.12,0),
IF(AF1341="DoEVsu",IF(AND(V1341&lt;20,W1341&lt;55),0.3,0)+IF(AND(V1341&lt;20,W1341&gt;=55,W1341&lt;105),0.23,0)+IF(AND(V1341&lt;20,W1341&gt;=105),0.17,0)+IF(AND(V1341&gt;=20,V1341&lt;40,W1341&lt;45),0.3,0)+IF(AND(V1341&gt;=20,V1341&lt;40,W1341&gt;=45,W1341&lt;95),0.23,0)+IF(AND(V1341&gt;=20,V1341&lt;40,W1341&gt;=95,W1341&lt;=250),0.17,0)+IF(AND(V1341&gt;=20,V1341&lt;40,W1341&gt;=250),0.12,0)+IF(AND(V1341&gt;=40,V1341&lt;75,W1341&lt;35),0.3,0)+IF(AND(V1341&gt;=40,V1341&lt;75,W1341&gt;=35,W1341&lt;75),0.23,0)+IF(AND(V1341&gt;=40,V1341&lt;75,W1341&gt;=75,W1341&lt;120),0.17,0)+IF(AND(V1341&gt;=40,V1341&lt;75,W1341&gt;=120),0.12,0)+IF(AND(V1341&gt;=75,V1341&lt;175,W1341&lt;35),0.3,0)+IF(AND(V1341&gt;=75,V1341&lt;=175,W1341&gt;=35,W1341&lt;65),0.23,0)+IF(AND(V1341&gt;=75,V1341&lt;=175,W1341&gt;=65,W1341&lt;110),0.17,0)+IF(AND(V1341&gt;=75,V1341&lt;=175,W1341&gt;=110),0.12,0)+IF(AND(V1341&gt;175,W1341&lt;25),0.3,0)+IF(AND(V1341&gt;175,W1341&gt;=25,W1341&lt;55),0.23,0)+IF(AND(V1341&gt;175,W1341&gt;=55,W1341&lt;95),0.17,0)+IF(AND(V1341&gt;175,W1341&gt;=95),0.12,0),
IF(AF1341="DoEVni",IF(AND(V1341&lt;20,W1341&lt;55),0.3,0)+IF(AND(V1341&lt;20,W1341&gt;=55,W1341&lt;105),0.23,0)+IF(AND(V1341&lt;20,W1341&gt;=105),0.17,0)+IF(AND(V1341&gt;=20,V1341&lt;40,W1341&lt;45),0.3,0)+IF(AND(V1341&gt;=20,V1341&lt;40,W1341&gt;=45,W1341&lt;95),0.23,0)+IF(AND(V1341&gt;=20,V1341&lt;40,W1341&gt;=95,W1341&lt;=200),0.17,0)+IF(AND(V1341&gt;=20,V1341&lt;40,W1341&gt;=200),0.12,0)+IF(AND(V1341&gt;=40,V1341&lt;75,W1341&lt;35),0.3,0)+IF(AND(V1341&gt;=40,V1341&lt;75,W1341&gt;=35,W1341&lt;75),0.23,0)+IF(AND(V1341&gt;=40,V1341&lt;75,W1341&gt;=75,W1341&lt;120),0.17,0)+IF(AND(V1341&gt;=40,V1341&lt;75,W1341&gt;=120),0.12,0)+IF(AND(V1341&gt;=75,V1341&lt;175,W1341&lt;35),0.3,0)+IF(AND(V1341&gt;=75,V1341&lt;=175,W1341&gt;=35,W1341&lt;65),0.23,0)+IF(AND(V1341&gt;=75,V1341&lt;=175,W1341&gt;=65,W1341&lt;110),0.17,0)+IF(AND(V1341&gt;=75,V1341&lt;=175,W1341&gt;=110),0.12,0)+IF(AND(V1341&gt;175,W1341&lt;25),0.3,0)+IF(AND(V1341&gt;175,W1341&gt;=25,W1341&lt;55),0.23,0)+IF(AND(V1341&gt;175,W1341&gt;=55,W1341&lt;95),0.17,0)+IF(AND(V1341&gt;175,W1341&gt;=95),0.12,0),
IF(AF1341="DoEVLo",IF(AND(V1341&lt;20,W1341&lt;55),0.25,0)+IF(AND(V1341&lt;20,W1341&gt;=55,W1341&lt;105),0.2,0)+IF(AND(V1341&lt;20,W1341&gt;=105),0.15,0)+IF(AND(V1341&gt;=20,V1341&lt;40,W1341&lt;45),0.25,0)+IF(AND(V1341&gt;=20,V1341&lt;40,W1341&gt;=45,W1341&lt;95),0.2,0)+IF(AND(V1341&gt;=20,V1341&lt;40,W1341&gt;=95),0.15,0)+IF(AND(V1341&gt;=40,V1341&lt;75,W1341&lt;35),0.25,0)+IF(AND(V1341&gt;=40,V1341&lt;75,W1341&gt;=35,W1341&lt;75),0.2,0)+IF(AND(V1341&gt;=40,V1341&lt;75,W1341&gt;=75,W1341&lt;120),0.15,0)+IF(AND(V1341&gt;=40,V1341&lt;75,W1341&gt;=120),0.1,0)+IF(AND(V1341&gt;=75,V1341&lt;175,W1341&lt;35),0.25,0)+IF(AND(V1341&gt;=75,V1341&lt;=175,W1341&gt;=35,W1341&lt;65),0.2,0)+IF(AND(V1341&gt;=75,V1341&lt;=175,W1341&gt;=65,W1341&lt;110),0.15,0)+IF(AND(V1341&gt;=75,V1341&lt;=175,W1341&gt;=110),0.1,0)+IF(AND(V1341&gt;175,W1341&lt;25),0.25,0)+IF(AND(V1341&gt;175,W1341&gt;=25,W1341&lt;55),0.2,0)+IF(AND(V1341&gt;175,W1341&gt;=55,W1341&lt;95),0.15,0)+IF(AND(V1341&gt;175,W1341&gt;=95),0.1,0))))))))))))))))))</f>
        <v>0.1</v>
      </c>
      <c r="Y1341" s="30">
        <f>IF(AG1341="None",0,IF(AG1341="Fix5",0.05, IF(AG1341="Fix6.25",0.0625,IF(AG1341="Fix3.75",0.0375,IF(AG1341="Fix10",0.1,IF(AG1341="Fix3",0.03,0))))))</f>
        <v>0</v>
      </c>
      <c r="Z1341" s="35">
        <f>T1341-AA1341-AB1341</f>
        <v>930.6</v>
      </c>
      <c r="AA1341" s="29">
        <f>IF(AD1341="EUR",((T1341-R1341)*X1341)*U1341+(R1341*X1341),(T1341*X1341))</f>
        <v>103.4</v>
      </c>
      <c r="AB1341" s="36">
        <f>IF(AD1341="EUR",((T1341-R1341)*Y1341)*U1341+(R1341*Y1341),(T1341*Y1341))</f>
        <v>0</v>
      </c>
      <c r="AC1341" s="37" t="b">
        <v>1</v>
      </c>
      <c r="AD1341" s="37" t="s">
        <v>38</v>
      </c>
      <c r="AE1341" s="37" t="s">
        <v>38</v>
      </c>
      <c r="AF1341" s="37" t="str">
        <f t="array" ref="AF1341">INDEX('Deal Info'!D:D, MATCH(A1341,'Deal Info'!A:A, 0))</f>
        <v>Fix10</v>
      </c>
      <c r="AG1341" s="38" t="str">
        <f t="array" ref="AG1341">INDEX('Deal Info'!G:G, MATCH(A1341,'Deal Info'!A:A, 0))</f>
        <v>None</v>
      </c>
    </row>
    <row r="1342" spans="1:33" ht="14.25" hidden="1" x14ac:dyDescent="0.2">
      <c r="A1342" s="18" t="str">
        <f t="array" ref="A1342">IF(G1342='Room Info'!$B$1, INDEX('Room Info'!$A$2:$A2446, MATCH(B1342,'Room Info'!$B$2:$B2446, 0)),IF(G1342='Room Info'!$C$1, INDEX('Room Info'!$A$2:$A2446, MATCH(B1342,'Room Info'!$C$2:$C2446, 0)),IF(G1342='Room Info'!$D$1, INDEX('Room Info'!$A$2:$A2446, MATCH(B1342,'Room Info'!$D$2:$D2446, 0)),IF(G1342='Room Info'!$E$1, INDEX('Room Info'!$A$2:$A2446, MATCH(B1342,'Room Info'!$E$2:$E2446, 0)),IF(G1342='Room Info'!$F$1, INDEX('Room Info'!$A$2:$A2446, MATCH(B1342,'Room Info'!$F$2:$F2446, 0)),IF(G1342='Room Info'!$H$1, INDEX('Room Info'!$A$2:$A2446, MATCH(B1342,'Room Info'!$H$2:$H2446, 0)),IF(G1342='Room Info'!$G$1, INDEX('Room Info'!$A$2:$A2446, MATCH(B1342,'Room Info'!$G$2:$G2446, 0)))))))))</f>
        <v>volkovsky</v>
      </c>
      <c r="B1342" s="45" t="s">
        <v>206</v>
      </c>
      <c r="C1342" s="46">
        <v>44763</v>
      </c>
      <c r="D1342" s="46">
        <v>44793</v>
      </c>
      <c r="E1342" s="47">
        <v>44774</v>
      </c>
      <c r="F1342" s="45" t="s">
        <v>34</v>
      </c>
      <c r="G1342" s="45" t="s">
        <v>35</v>
      </c>
      <c r="H1342" s="49" t="s">
        <v>84</v>
      </c>
      <c r="I1342" s="49" t="s">
        <v>44</v>
      </c>
      <c r="J1342" s="50">
        <v>100</v>
      </c>
      <c r="K1342" s="51">
        <v>681</v>
      </c>
      <c r="L1342" s="52">
        <v>-3200</v>
      </c>
      <c r="M1342" s="53">
        <v>2572</v>
      </c>
      <c r="N1342" s="28">
        <f>K1342*J1342</f>
        <v>68100</v>
      </c>
      <c r="O1342" s="54">
        <v>1732</v>
      </c>
      <c r="P1342" s="29">
        <v>2.5433186490000002</v>
      </c>
      <c r="Q1342" s="55"/>
      <c r="R1342" s="31">
        <f>M1342+Q1342</f>
        <v>2572</v>
      </c>
      <c r="S1342" s="56">
        <v>-3080</v>
      </c>
      <c r="T1342" s="32">
        <f>R1342+S1342+IF(F1342="Without EV deal",L1342,0)</f>
        <v>-508</v>
      </c>
      <c r="U1342" s="57"/>
      <c r="V1342" s="58"/>
      <c r="W1342" s="58"/>
      <c r="X1342" s="30">
        <f>IF(AF1342="DoEV",IF(AND(V1342&lt;20,W1342&lt;55),0.3,0)+IF(AND(V1342&lt;20,W1342&gt;=55,W1342&lt;105),0.23,0)+IF(AND(V1342&lt;20,W1342&gt;=105),0.17,0)+IF(AND(V1342&gt;=20,V1342&lt;40,W1342&lt;45),0.3,0)+IF(AND(V1342&gt;=20,V1342&lt;40,W1342&gt;=45,W1342&lt;95),0.23,0)+IF(AND(V1342&gt;=20,V1342&lt;40,W1342&gt;=95),0.17,0)+IF(AND(V1342&gt;=40,V1342&lt;75,W1342&lt;35),0.3,0)+IF(AND(V1342&gt;=40,V1342&lt;75,W1342&gt;=35,W1342&lt;75),0.23,0)+IF(AND(V1342&gt;=40,V1342&lt;75,W1342&gt;=75,W1342&lt;120),0.17,0)+IF(AND(V1342&gt;=40,V1342&lt;75,W1342&gt;=120),0.12,0)+IF(AND(V1342&gt;=75,V1342&lt;175,W1342&lt;35),0.3,0)+IF(AND(V1342&gt;=75,V1342&lt;=175,W1342&gt;=35,W1342&lt;65),0.23,0)+IF(AND(V1342&gt;=75,V1342&lt;=175,W1342&gt;=65,W1342&lt;110),0.17,0)+IF(AND(V1342&gt;=75,V1342&lt;=175,W1342&gt;=110),0.12,0)+IF(AND(V1342&gt;175,W1342&lt;25),0.3,0)+IF(AND(V1342&gt;175,W1342&gt;=25,W1342&lt;55),0.23,0)+IF(AND(V1342&gt;175,W1342&gt;=55,W1342&lt;95),0.17,0)+IF(AND(V1342&gt;175,W1342&gt;=95),0.12,0),
IF(AF1342="Fix15",0.15,
IF(AF1342="Fix18.75",0.1875,
IF(AF1342="Fix11.25",0.1125,
IF(AF1342="Fix10",0.1,
IF(AF1342="Fix9",0.09,
IF(AF1342="Fix19",0.19,
IF(AF1342="DoEV2017",IF(AND(W1342&lt;74),0.2,0)+IF(AND(W1342&gt;=74),0.17,0),
IF(AF1342="SF",IF(AND(V1342&lt;20,W1342&lt;89),0.3,0)+IF(AND(V1342&lt;20,W1342&gt;=89),0.25,0)+IF(AND(V1342&gt;=20,V1342&lt;40,W1342&lt;74),0.3,0)+IF(AND(V1342&gt;=20,V1342&lt;40,W1342&gt;=75),0.22,0)+IF(AND(V1342&gt;=40,V1342&lt;75,W1342&lt;75),0.26,0)+IF(AND(V1342&gt;=40,V1342&lt;75,W1342&gt;=75),0.22,0)+IF(V1342&gt;=75,0.22,0),
IF(AF1342="DoEVold",IF(AND(V1342&lt;40,W1342&lt;35),0.35,0)+IF(AND(V1342&lt;40,W1342&gt;=35,W1342&lt;75),0.25,0)+IF(AND(V1342&lt;40,W1342&gt;=75),0.17,0)+IF(AND(V1342&gt;=40,V1342&lt;75,W1342&lt;25),0.35,0)+IF(AND(V1342&gt;=40,V1342&lt;75,W1342&gt;=25,W1342&lt;65),0.25,0)+IF(AND(V1342&gt;=40,V1342&lt;75,W1342&gt;=65,W1342&lt;100),0.17,0)+IF(AND(V1342&gt;=40,V1342&lt;75,W1342&gt;=100),0.1,0)+IF(AND(V1342&gt;=75,W1342&lt;25),0.35,0)+IF(AND(V1342&gt;=75,W1342&gt;=25,W1342&lt;60),0.25,0)+IF(AND(V1342&gt;=75,W1342&gt;=60,W1342&lt;95),0.17,0)+IF(AND(V1342&gt;=75,W1342&gt;=95),0.1,0),
IF(AF1342="DoEVold15",IF(AND(V1342&lt;=40,W1342&lt;35),0.35,0)+IF(AND(V1342&lt;=40,W1342&gt;=35,W1342&lt;75),0.25,0)+IF(AND(V1342&lt;=40,W1342&gt;=75,W1342&lt;120),0.17,0)+IF(AND(V1342&lt;=40,W1342&gt;=120),0.15,0)+IF(AND(V1342&gt;40,V1342&lt;75,W1342&lt;25),0.35,0)+IF(AND(V1342&gt;=40,V1342&lt;75,W1342&gt;=25,W1342&lt;65),0.25,0)+IF(AND(V1342&gt;=40,V1342&lt;75,W1342&gt;=65,W1342&lt;100),0.17,0)+IF(AND(V1342&gt;=40,V1342&lt;75,W1342&gt;=100),0.1,0)+IF(AND(V1342&gt;=75,W1342&lt;25),0.35,0)+IF(AND(V1342&gt;=75,W1342&gt;=25,W1342&lt;60),0.25,0)+IF(AND(V1342&gt;=75,W1342&gt;=60,W1342&lt;95),0.17,0)+IF(AND(V1342&gt;=75,W1342&gt;=95),0.1,0),
IF(AF1342="DoEVba",IF(AND(V1342&lt;20,W1342&lt;105),0.2,0)+IF(AND(V1342&lt;20,W1342&gt;=105),0.15,0)+IF(AND(V1342&gt;=20,V1342&lt;40,W1342&lt;95),0.2,0)+IF(AND(V1342&gt;=20,V1342&lt;40,W1342&gt;=95,W1342&lt;150),0.15,0)+IF(AND(V1342&gt;=20,V1342&lt;40,W1342&gt;=150),0.12,0)+IF(AND(V1342&gt;=40,V1342&lt;75,W1342&lt;75),0.2,0)+IF(AND(V1342&gt;=40,V1342&lt;75,W1342&gt;=75,W1342&lt;120),0.15,0)+IF(AND(V1342&gt;=40,V1342&lt;75,W1342&gt;=120),0.12,0)+IF(AND(V1342&gt;=75,V1342&lt;175,W1342&lt;65),0.2,0)+IF(AND(V1342&gt;=75,V1342&lt;175,W1342&gt;=65,W1342&lt;110),0.15,0)+IF(AND(V1342&gt;=75,V1342&lt;175,W1342&gt;=110),0.12,0)+IF(AND(V1342&gt;=175,W1342&lt;55),0.2,0)+IF(AND(V1342&gt;=175,W1342&gt;=55,W1342&lt;95),0.15,0)+IF(AND(V1342&gt;=175,W1342&gt;=95),0.12,0),
IF(AF1342="DoEVku",IF(AND(V1342&lt;20,W1342&lt;55),0.23,0)+IF(AND(V1342&lt;20,W1342&gt;=55,W1342&lt;105),0.2,0)+IF(AND(V1342&lt;20,W1342&gt;=105),0.17,0)+IF(AND(V1342&gt;=20,V1342&lt;40,W1342&lt;45),0.23,0)+IF(AND(V1342&gt;=20,V1342&lt;40,W1342&gt;=45,W1342&lt;95),0.2,0)+IF(AND(V1342&gt;=20,V1342&lt;40,W1342&gt;=95,W1342&lt;=150),0.17,0)+IF(AND(V1342&gt;=20,V1342&lt;40,W1342&gt;=150),0.12,0)+IF(AND(V1342&gt;=40,V1342&lt;75,W1342&lt;35),0.23,0)+IF(AND(V1342&gt;=40,V1342&lt;75,W1342&gt;=35,W1342&lt;75),0.2,0)+IF(AND(V1342&gt;=40,V1342&lt;75,W1342&gt;=75,W1342&lt;120),0.17,0)+IF(AND(V1342&gt;=40,V1342&lt;75,W1342&gt;=120),0.12,0)+IF(AND(V1342&gt;=75,V1342&lt;175,W1342&lt;35),0.23,0)+IF(AND(V1342&gt;=75,V1342&lt;=175,W1342&gt;=35,W1342&lt;65),0.2,0)+IF(AND(V1342&gt;=75,V1342&lt;=175,W1342&gt;=65,W1342&lt;110),0.17,0)+IF(AND(V1342&gt;=75,V1342&lt;=175,W1342&gt;=110),0.12,0)+IF(AND(V1342&gt;175,W1342&lt;25),0.23,0)+IF(AND(V1342&gt;175,W1342&gt;=25,W1342&lt;55),0.2,0)+IF(AND(V1342&gt;175,W1342&gt;=55,W1342&lt;95),0.17,0)+IF(AND(V1342&gt;175,W1342&gt;=95),0.12,0),
IF(AF1342="DoEVs1",IF(AND(V1342&lt;20,W1342&lt;55),0.3,0)+IF(AND(V1342&lt;20,W1342&gt;=55,W1342&lt;105),0.23,0)+IF(AND(V1342&lt;20,W1342&gt;=105),0.17,0)+IF(AND(V1342&gt;=20,V1342&lt;40,W1342&lt;45),0.3,0)+IF(AND(V1342&gt;=20,V1342&lt;40,W1342&gt;=45,W1342&lt;95),0.23,0)+IF(AND(V1342&gt;=20,V1342&lt;40,W1342&gt;=95,W1342&lt;=150),0.17,0)+IF(AND(V1342&gt;=20,V1342&lt;40,W1342&gt;=150),0.12,0)+IF(AND(V1342&gt;=40,V1342&lt;75,W1342&lt;35),0.3,0)+IF(AND(V1342&gt;=40,V1342&lt;75,W1342&gt;=35,W1342&lt;75),0.23,0)+IF(AND(V1342&gt;=40,V1342&lt;75,W1342&gt;=75,W1342&lt;120),0.17,0)+IF(AND(V1342&gt;=40,V1342&lt;75,W1342&gt;=120),0.12,0)+IF(AND(V1342&gt;=75,V1342&lt;175,W1342&lt;35),0.3,0)+IF(AND(V1342&gt;=75,V1342&lt;=175,W1342&gt;=35,W1342&lt;65),0.23,0)+IF(AND(V1342&gt;=75,V1342&lt;=175,W1342&gt;=65,W1342&lt;110),0.17,0)+IF(AND(V1342&gt;=75,V1342&lt;=175,W1342&gt;=110),0.12,0)+IF(AND(V1342&gt;175,W1342&lt;25),0.3,0)+IF(AND(V1342&gt;175,W1342&gt;=25,W1342&lt;55),0.23,0)+IF(AND(V1342&gt;175,W1342&gt;=55,W1342&lt;95),0.17,0)+IF(AND(V1342&gt;175,W1342&gt;=95),0.12,0),
IF(AF1342="DoEVsu",IF(AND(V1342&lt;20,W1342&lt;55),0.3,0)+IF(AND(V1342&lt;20,W1342&gt;=55,W1342&lt;105),0.23,0)+IF(AND(V1342&lt;20,W1342&gt;=105),0.17,0)+IF(AND(V1342&gt;=20,V1342&lt;40,W1342&lt;45),0.3,0)+IF(AND(V1342&gt;=20,V1342&lt;40,W1342&gt;=45,W1342&lt;95),0.23,0)+IF(AND(V1342&gt;=20,V1342&lt;40,W1342&gt;=95,W1342&lt;=250),0.17,0)+IF(AND(V1342&gt;=20,V1342&lt;40,W1342&gt;=250),0.12,0)+IF(AND(V1342&gt;=40,V1342&lt;75,W1342&lt;35),0.3,0)+IF(AND(V1342&gt;=40,V1342&lt;75,W1342&gt;=35,W1342&lt;75),0.23,0)+IF(AND(V1342&gt;=40,V1342&lt;75,W1342&gt;=75,W1342&lt;120),0.17,0)+IF(AND(V1342&gt;=40,V1342&lt;75,W1342&gt;=120),0.12,0)+IF(AND(V1342&gt;=75,V1342&lt;175,W1342&lt;35),0.3,0)+IF(AND(V1342&gt;=75,V1342&lt;=175,W1342&gt;=35,W1342&lt;65),0.23,0)+IF(AND(V1342&gt;=75,V1342&lt;=175,W1342&gt;=65,W1342&lt;110),0.17,0)+IF(AND(V1342&gt;=75,V1342&lt;=175,W1342&gt;=110),0.12,0)+IF(AND(V1342&gt;175,W1342&lt;25),0.3,0)+IF(AND(V1342&gt;175,W1342&gt;=25,W1342&lt;55),0.23,0)+IF(AND(V1342&gt;175,W1342&gt;=55,W1342&lt;95),0.17,0)+IF(AND(V1342&gt;175,W1342&gt;=95),0.12,0),
IF(AF1342="DoEVni",IF(AND(V1342&lt;20,W1342&lt;55),0.3,0)+IF(AND(V1342&lt;20,W1342&gt;=55,W1342&lt;105),0.23,0)+IF(AND(V1342&lt;20,W1342&gt;=105),0.17,0)+IF(AND(V1342&gt;=20,V1342&lt;40,W1342&lt;45),0.3,0)+IF(AND(V1342&gt;=20,V1342&lt;40,W1342&gt;=45,W1342&lt;95),0.23,0)+IF(AND(V1342&gt;=20,V1342&lt;40,W1342&gt;=95,W1342&lt;=200),0.17,0)+IF(AND(V1342&gt;=20,V1342&lt;40,W1342&gt;=200),0.12,0)+IF(AND(V1342&gt;=40,V1342&lt;75,W1342&lt;35),0.3,0)+IF(AND(V1342&gt;=40,V1342&lt;75,W1342&gt;=35,W1342&lt;75),0.23,0)+IF(AND(V1342&gt;=40,V1342&lt;75,W1342&gt;=75,W1342&lt;120),0.17,0)+IF(AND(V1342&gt;=40,V1342&lt;75,W1342&gt;=120),0.12,0)+IF(AND(V1342&gt;=75,V1342&lt;175,W1342&lt;35),0.3,0)+IF(AND(V1342&gt;=75,V1342&lt;=175,W1342&gt;=35,W1342&lt;65),0.23,0)+IF(AND(V1342&gt;=75,V1342&lt;=175,W1342&gt;=65,W1342&lt;110),0.17,0)+IF(AND(V1342&gt;=75,V1342&lt;=175,W1342&gt;=110),0.12,0)+IF(AND(V1342&gt;175,W1342&lt;25),0.3,0)+IF(AND(V1342&gt;175,W1342&gt;=25,W1342&lt;55),0.23,0)+IF(AND(V1342&gt;175,W1342&gt;=55,W1342&lt;95),0.17,0)+IF(AND(V1342&gt;175,W1342&gt;=95),0.12,0),
IF(AF1342="DoEVLo",IF(AND(V1342&lt;20,W1342&lt;55),0.25,0)+IF(AND(V1342&lt;20,W1342&gt;=55,W1342&lt;105),0.2,0)+IF(AND(V1342&lt;20,W1342&gt;=105),0.15,0)+IF(AND(V1342&gt;=20,V1342&lt;40,W1342&lt;45),0.25,0)+IF(AND(V1342&gt;=20,V1342&lt;40,W1342&gt;=45,W1342&lt;95),0.2,0)+IF(AND(V1342&gt;=20,V1342&lt;40,W1342&gt;=95),0.15,0)+IF(AND(V1342&gt;=40,V1342&lt;75,W1342&lt;35),0.25,0)+IF(AND(V1342&gt;=40,V1342&lt;75,W1342&gt;=35,W1342&lt;75),0.2,0)+IF(AND(V1342&gt;=40,V1342&lt;75,W1342&gt;=75,W1342&lt;120),0.15,0)+IF(AND(V1342&gt;=40,V1342&lt;75,W1342&gt;=120),0.1,0)+IF(AND(V1342&gt;=75,V1342&lt;175,W1342&lt;35),0.25,0)+IF(AND(V1342&gt;=75,V1342&lt;=175,W1342&gt;=35,W1342&lt;65),0.2,0)+IF(AND(V1342&gt;=75,V1342&lt;=175,W1342&gt;=65,W1342&lt;110),0.15,0)+IF(AND(V1342&gt;=75,V1342&lt;=175,W1342&gt;=110),0.1,0)+IF(AND(V1342&gt;175,W1342&lt;25),0.25,0)+IF(AND(V1342&gt;175,W1342&gt;=25,W1342&lt;55),0.2,0)+IF(AND(V1342&gt;175,W1342&gt;=55,W1342&lt;95),0.15,0)+IF(AND(V1342&gt;175,W1342&gt;=95),0.1,0))))))))))))))))))</f>
        <v>0.1</v>
      </c>
      <c r="Y1342" s="30">
        <f>IF(AG1342="None",0,IF(AG1342="Fix5",0.05, IF(AG1342="Fix6.25",0.0625,IF(AG1342="Fix3.75",0.0375,IF(AG1342="Fix10",0.1,IF(AG1342="Fix3",0.03,0))))))</f>
        <v>0</v>
      </c>
      <c r="Z1342" s="35">
        <f>T1342-AA1342-AB1342</f>
        <v>-457.2</v>
      </c>
      <c r="AA1342" s="29">
        <f>IF(AD1342="EUR",((T1342-R1342)*X1342)*U1342+(R1342*X1342),(T1342*X1342))</f>
        <v>-50.800000000000004</v>
      </c>
      <c r="AB1342" s="36">
        <f>IF(AD1342="EUR",((T1342-R1342)*Y1342)*U1342+(R1342*Y1342),(T1342*Y1342))</f>
        <v>0</v>
      </c>
      <c r="AC1342" s="37" t="b">
        <v>1</v>
      </c>
      <c r="AD1342" s="37" t="s">
        <v>38</v>
      </c>
      <c r="AE1342" s="37" t="s">
        <v>38</v>
      </c>
      <c r="AF1342" s="37" t="str">
        <f t="array" ref="AF1342">INDEX('Deal Info'!D:D, MATCH(A1342,'Deal Info'!A:A, 0))</f>
        <v>Fix10</v>
      </c>
      <c r="AG1342" s="38" t="str">
        <f t="array" ref="AG1342">INDEX('Deal Info'!G:G, MATCH(A1342,'Deal Info'!A:A, 0))</f>
        <v>None</v>
      </c>
    </row>
    <row r="1343" spans="1:33" ht="14.25" hidden="1" x14ac:dyDescent="0.2">
      <c r="A1343" s="18" t="str">
        <f t="array" ref="A1343">IF(G1343='Room Info'!$B$1, INDEX('Room Info'!$A$2:$A2446, MATCH(B1343,'Room Info'!$B$2:$B2446, 0)),IF(G1343='Room Info'!$C$1, INDEX('Room Info'!$A$2:$A2446, MATCH(B1343,'Room Info'!$C$2:$C2446, 0)),IF(G1343='Room Info'!$D$1, INDEX('Room Info'!$A$2:$A2446, MATCH(B1343,'Room Info'!$D$2:$D2446, 0)),IF(G1343='Room Info'!$E$1, INDEX('Room Info'!$A$2:$A2446, MATCH(B1343,'Room Info'!$E$2:$E2446, 0)),IF(G1343='Room Info'!$F$1, INDEX('Room Info'!$A$2:$A2446, MATCH(B1343,'Room Info'!$F$2:$F2446, 0)),IF(G1343='Room Info'!$H$1, INDEX('Room Info'!$A$2:$A2446, MATCH(B1343,'Room Info'!$H$2:$H2446, 0)),IF(G1343='Room Info'!$G$1, INDEX('Room Info'!$A$2:$A2446, MATCH(B1343,'Room Info'!$G$2:$G2446, 0)))))))))</f>
        <v>volkovsky</v>
      </c>
      <c r="B1343" s="45" t="s">
        <v>206</v>
      </c>
      <c r="C1343" s="46">
        <v>44763</v>
      </c>
      <c r="D1343" s="46">
        <v>44793</v>
      </c>
      <c r="E1343" s="47">
        <v>44774</v>
      </c>
      <c r="F1343" s="45" t="s">
        <v>34</v>
      </c>
      <c r="G1343" s="45" t="s">
        <v>35</v>
      </c>
      <c r="H1343" s="49" t="s">
        <v>88</v>
      </c>
      <c r="I1343" s="49" t="s">
        <v>37</v>
      </c>
      <c r="J1343" s="50">
        <v>250</v>
      </c>
      <c r="K1343" s="51">
        <v>832</v>
      </c>
      <c r="L1343" s="52">
        <v>2750</v>
      </c>
      <c r="M1343" s="53">
        <v>7855</v>
      </c>
      <c r="N1343" s="28">
        <f>K1343*J1343</f>
        <v>208000</v>
      </c>
      <c r="O1343" s="54">
        <v>32704</v>
      </c>
      <c r="P1343" s="29">
        <v>39.30769231</v>
      </c>
      <c r="Q1343" s="55"/>
      <c r="R1343" s="31">
        <f>M1343+Q1343</f>
        <v>7855</v>
      </c>
      <c r="S1343" s="56">
        <v>4803</v>
      </c>
      <c r="T1343" s="32">
        <f>R1343+S1343+IF(F1343="Without EV deal",L1343,0)</f>
        <v>12658</v>
      </c>
      <c r="U1343" s="57"/>
      <c r="V1343" s="58"/>
      <c r="W1343" s="58"/>
      <c r="X1343" s="30">
        <f>IF(AF1343="DoEV",IF(AND(V1343&lt;20,W1343&lt;55),0.3,0)+IF(AND(V1343&lt;20,W1343&gt;=55,W1343&lt;105),0.23,0)+IF(AND(V1343&lt;20,W1343&gt;=105),0.17,0)+IF(AND(V1343&gt;=20,V1343&lt;40,W1343&lt;45),0.3,0)+IF(AND(V1343&gt;=20,V1343&lt;40,W1343&gt;=45,W1343&lt;95),0.23,0)+IF(AND(V1343&gt;=20,V1343&lt;40,W1343&gt;=95),0.17,0)+IF(AND(V1343&gt;=40,V1343&lt;75,W1343&lt;35),0.3,0)+IF(AND(V1343&gt;=40,V1343&lt;75,W1343&gt;=35,W1343&lt;75),0.23,0)+IF(AND(V1343&gt;=40,V1343&lt;75,W1343&gt;=75,W1343&lt;120),0.17,0)+IF(AND(V1343&gt;=40,V1343&lt;75,W1343&gt;=120),0.12,0)+IF(AND(V1343&gt;=75,V1343&lt;175,W1343&lt;35),0.3,0)+IF(AND(V1343&gt;=75,V1343&lt;=175,W1343&gt;=35,W1343&lt;65),0.23,0)+IF(AND(V1343&gt;=75,V1343&lt;=175,W1343&gt;=65,W1343&lt;110),0.17,0)+IF(AND(V1343&gt;=75,V1343&lt;=175,W1343&gt;=110),0.12,0)+IF(AND(V1343&gt;175,W1343&lt;25),0.3,0)+IF(AND(V1343&gt;175,W1343&gt;=25,W1343&lt;55),0.23,0)+IF(AND(V1343&gt;175,W1343&gt;=55,W1343&lt;95),0.17,0)+IF(AND(V1343&gt;175,W1343&gt;=95),0.12,0),
IF(AF1343="Fix15",0.15,
IF(AF1343="Fix18.75",0.1875,
IF(AF1343="Fix11.25",0.1125,
IF(AF1343="Fix10",0.1,
IF(AF1343="Fix9",0.09,
IF(AF1343="Fix19",0.19,
IF(AF1343="DoEV2017",IF(AND(W1343&lt;74),0.2,0)+IF(AND(W1343&gt;=74),0.17,0),
IF(AF1343="SF",IF(AND(V1343&lt;20,W1343&lt;89),0.3,0)+IF(AND(V1343&lt;20,W1343&gt;=89),0.25,0)+IF(AND(V1343&gt;=20,V1343&lt;40,W1343&lt;74),0.3,0)+IF(AND(V1343&gt;=20,V1343&lt;40,W1343&gt;=75),0.22,0)+IF(AND(V1343&gt;=40,V1343&lt;75,W1343&lt;75),0.26,0)+IF(AND(V1343&gt;=40,V1343&lt;75,W1343&gt;=75),0.22,0)+IF(V1343&gt;=75,0.22,0),
IF(AF1343="DoEVold",IF(AND(V1343&lt;40,W1343&lt;35),0.35,0)+IF(AND(V1343&lt;40,W1343&gt;=35,W1343&lt;75),0.25,0)+IF(AND(V1343&lt;40,W1343&gt;=75),0.17,0)+IF(AND(V1343&gt;=40,V1343&lt;75,W1343&lt;25),0.35,0)+IF(AND(V1343&gt;=40,V1343&lt;75,W1343&gt;=25,W1343&lt;65),0.25,0)+IF(AND(V1343&gt;=40,V1343&lt;75,W1343&gt;=65,W1343&lt;100),0.17,0)+IF(AND(V1343&gt;=40,V1343&lt;75,W1343&gt;=100),0.1,0)+IF(AND(V1343&gt;=75,W1343&lt;25),0.35,0)+IF(AND(V1343&gt;=75,W1343&gt;=25,W1343&lt;60),0.25,0)+IF(AND(V1343&gt;=75,W1343&gt;=60,W1343&lt;95),0.17,0)+IF(AND(V1343&gt;=75,W1343&gt;=95),0.1,0),
IF(AF1343="DoEVold15",IF(AND(V1343&lt;=40,W1343&lt;35),0.35,0)+IF(AND(V1343&lt;=40,W1343&gt;=35,W1343&lt;75),0.25,0)+IF(AND(V1343&lt;=40,W1343&gt;=75,W1343&lt;120),0.17,0)+IF(AND(V1343&lt;=40,W1343&gt;=120),0.15,0)+IF(AND(V1343&gt;40,V1343&lt;75,W1343&lt;25),0.35,0)+IF(AND(V1343&gt;=40,V1343&lt;75,W1343&gt;=25,W1343&lt;65),0.25,0)+IF(AND(V1343&gt;=40,V1343&lt;75,W1343&gt;=65,W1343&lt;100),0.17,0)+IF(AND(V1343&gt;=40,V1343&lt;75,W1343&gt;=100),0.1,0)+IF(AND(V1343&gt;=75,W1343&lt;25),0.35,0)+IF(AND(V1343&gt;=75,W1343&gt;=25,W1343&lt;60),0.25,0)+IF(AND(V1343&gt;=75,W1343&gt;=60,W1343&lt;95),0.17,0)+IF(AND(V1343&gt;=75,W1343&gt;=95),0.1,0),
IF(AF1343="DoEVba",IF(AND(V1343&lt;20,W1343&lt;105),0.2,0)+IF(AND(V1343&lt;20,W1343&gt;=105),0.15,0)+IF(AND(V1343&gt;=20,V1343&lt;40,W1343&lt;95),0.2,0)+IF(AND(V1343&gt;=20,V1343&lt;40,W1343&gt;=95,W1343&lt;150),0.15,0)+IF(AND(V1343&gt;=20,V1343&lt;40,W1343&gt;=150),0.12,0)+IF(AND(V1343&gt;=40,V1343&lt;75,W1343&lt;75),0.2,0)+IF(AND(V1343&gt;=40,V1343&lt;75,W1343&gt;=75,W1343&lt;120),0.15,0)+IF(AND(V1343&gt;=40,V1343&lt;75,W1343&gt;=120),0.12,0)+IF(AND(V1343&gt;=75,V1343&lt;175,W1343&lt;65),0.2,0)+IF(AND(V1343&gt;=75,V1343&lt;175,W1343&gt;=65,W1343&lt;110),0.15,0)+IF(AND(V1343&gt;=75,V1343&lt;175,W1343&gt;=110),0.12,0)+IF(AND(V1343&gt;=175,W1343&lt;55),0.2,0)+IF(AND(V1343&gt;=175,W1343&gt;=55,W1343&lt;95),0.15,0)+IF(AND(V1343&gt;=175,W1343&gt;=95),0.12,0),
IF(AF1343="DoEVku",IF(AND(V1343&lt;20,W1343&lt;55),0.23,0)+IF(AND(V1343&lt;20,W1343&gt;=55,W1343&lt;105),0.2,0)+IF(AND(V1343&lt;20,W1343&gt;=105),0.17,0)+IF(AND(V1343&gt;=20,V1343&lt;40,W1343&lt;45),0.23,0)+IF(AND(V1343&gt;=20,V1343&lt;40,W1343&gt;=45,W1343&lt;95),0.2,0)+IF(AND(V1343&gt;=20,V1343&lt;40,W1343&gt;=95,W1343&lt;=150),0.17,0)+IF(AND(V1343&gt;=20,V1343&lt;40,W1343&gt;=150),0.12,0)+IF(AND(V1343&gt;=40,V1343&lt;75,W1343&lt;35),0.23,0)+IF(AND(V1343&gt;=40,V1343&lt;75,W1343&gt;=35,W1343&lt;75),0.2,0)+IF(AND(V1343&gt;=40,V1343&lt;75,W1343&gt;=75,W1343&lt;120),0.17,0)+IF(AND(V1343&gt;=40,V1343&lt;75,W1343&gt;=120),0.12,0)+IF(AND(V1343&gt;=75,V1343&lt;175,W1343&lt;35),0.23,0)+IF(AND(V1343&gt;=75,V1343&lt;=175,W1343&gt;=35,W1343&lt;65),0.2,0)+IF(AND(V1343&gt;=75,V1343&lt;=175,W1343&gt;=65,W1343&lt;110),0.17,0)+IF(AND(V1343&gt;=75,V1343&lt;=175,W1343&gt;=110),0.12,0)+IF(AND(V1343&gt;175,W1343&lt;25),0.23,0)+IF(AND(V1343&gt;175,W1343&gt;=25,W1343&lt;55),0.2,0)+IF(AND(V1343&gt;175,W1343&gt;=55,W1343&lt;95),0.17,0)+IF(AND(V1343&gt;175,W1343&gt;=95),0.12,0),
IF(AF1343="DoEVs1",IF(AND(V1343&lt;20,W1343&lt;55),0.3,0)+IF(AND(V1343&lt;20,W1343&gt;=55,W1343&lt;105),0.23,0)+IF(AND(V1343&lt;20,W1343&gt;=105),0.17,0)+IF(AND(V1343&gt;=20,V1343&lt;40,W1343&lt;45),0.3,0)+IF(AND(V1343&gt;=20,V1343&lt;40,W1343&gt;=45,W1343&lt;95),0.23,0)+IF(AND(V1343&gt;=20,V1343&lt;40,W1343&gt;=95,W1343&lt;=150),0.17,0)+IF(AND(V1343&gt;=20,V1343&lt;40,W1343&gt;=150),0.12,0)+IF(AND(V1343&gt;=40,V1343&lt;75,W1343&lt;35),0.3,0)+IF(AND(V1343&gt;=40,V1343&lt;75,W1343&gt;=35,W1343&lt;75),0.23,0)+IF(AND(V1343&gt;=40,V1343&lt;75,W1343&gt;=75,W1343&lt;120),0.17,0)+IF(AND(V1343&gt;=40,V1343&lt;75,W1343&gt;=120),0.12,0)+IF(AND(V1343&gt;=75,V1343&lt;175,W1343&lt;35),0.3,0)+IF(AND(V1343&gt;=75,V1343&lt;=175,W1343&gt;=35,W1343&lt;65),0.23,0)+IF(AND(V1343&gt;=75,V1343&lt;=175,W1343&gt;=65,W1343&lt;110),0.17,0)+IF(AND(V1343&gt;=75,V1343&lt;=175,W1343&gt;=110),0.12,0)+IF(AND(V1343&gt;175,W1343&lt;25),0.3,0)+IF(AND(V1343&gt;175,W1343&gt;=25,W1343&lt;55),0.23,0)+IF(AND(V1343&gt;175,W1343&gt;=55,W1343&lt;95),0.17,0)+IF(AND(V1343&gt;175,W1343&gt;=95),0.12,0),
IF(AF1343="DoEVsu",IF(AND(V1343&lt;20,W1343&lt;55),0.3,0)+IF(AND(V1343&lt;20,W1343&gt;=55,W1343&lt;105),0.23,0)+IF(AND(V1343&lt;20,W1343&gt;=105),0.17,0)+IF(AND(V1343&gt;=20,V1343&lt;40,W1343&lt;45),0.3,0)+IF(AND(V1343&gt;=20,V1343&lt;40,W1343&gt;=45,W1343&lt;95),0.23,0)+IF(AND(V1343&gt;=20,V1343&lt;40,W1343&gt;=95,W1343&lt;=250),0.17,0)+IF(AND(V1343&gt;=20,V1343&lt;40,W1343&gt;=250),0.12,0)+IF(AND(V1343&gt;=40,V1343&lt;75,W1343&lt;35),0.3,0)+IF(AND(V1343&gt;=40,V1343&lt;75,W1343&gt;=35,W1343&lt;75),0.23,0)+IF(AND(V1343&gt;=40,V1343&lt;75,W1343&gt;=75,W1343&lt;120),0.17,0)+IF(AND(V1343&gt;=40,V1343&lt;75,W1343&gt;=120),0.12,0)+IF(AND(V1343&gt;=75,V1343&lt;175,W1343&lt;35),0.3,0)+IF(AND(V1343&gt;=75,V1343&lt;=175,W1343&gt;=35,W1343&lt;65),0.23,0)+IF(AND(V1343&gt;=75,V1343&lt;=175,W1343&gt;=65,W1343&lt;110),0.17,0)+IF(AND(V1343&gt;=75,V1343&lt;=175,W1343&gt;=110),0.12,0)+IF(AND(V1343&gt;175,W1343&lt;25),0.3,0)+IF(AND(V1343&gt;175,W1343&gt;=25,W1343&lt;55),0.23,0)+IF(AND(V1343&gt;175,W1343&gt;=55,W1343&lt;95),0.17,0)+IF(AND(V1343&gt;175,W1343&gt;=95),0.12,0),
IF(AF1343="DoEVni",IF(AND(V1343&lt;20,W1343&lt;55),0.3,0)+IF(AND(V1343&lt;20,W1343&gt;=55,W1343&lt;105),0.23,0)+IF(AND(V1343&lt;20,W1343&gt;=105),0.17,0)+IF(AND(V1343&gt;=20,V1343&lt;40,W1343&lt;45),0.3,0)+IF(AND(V1343&gt;=20,V1343&lt;40,W1343&gt;=45,W1343&lt;95),0.23,0)+IF(AND(V1343&gt;=20,V1343&lt;40,W1343&gt;=95,W1343&lt;=200),0.17,0)+IF(AND(V1343&gt;=20,V1343&lt;40,W1343&gt;=200),0.12,0)+IF(AND(V1343&gt;=40,V1343&lt;75,W1343&lt;35),0.3,0)+IF(AND(V1343&gt;=40,V1343&lt;75,W1343&gt;=35,W1343&lt;75),0.23,0)+IF(AND(V1343&gt;=40,V1343&lt;75,W1343&gt;=75,W1343&lt;120),0.17,0)+IF(AND(V1343&gt;=40,V1343&lt;75,W1343&gt;=120),0.12,0)+IF(AND(V1343&gt;=75,V1343&lt;175,W1343&lt;35),0.3,0)+IF(AND(V1343&gt;=75,V1343&lt;=175,W1343&gt;=35,W1343&lt;65),0.23,0)+IF(AND(V1343&gt;=75,V1343&lt;=175,W1343&gt;=65,W1343&lt;110),0.17,0)+IF(AND(V1343&gt;=75,V1343&lt;=175,W1343&gt;=110),0.12,0)+IF(AND(V1343&gt;175,W1343&lt;25),0.3,0)+IF(AND(V1343&gt;175,W1343&gt;=25,W1343&lt;55),0.23,0)+IF(AND(V1343&gt;175,W1343&gt;=55,W1343&lt;95),0.17,0)+IF(AND(V1343&gt;175,W1343&gt;=95),0.12,0),
IF(AF1343="DoEVLo",IF(AND(V1343&lt;20,W1343&lt;55),0.25,0)+IF(AND(V1343&lt;20,W1343&gt;=55,W1343&lt;105),0.2,0)+IF(AND(V1343&lt;20,W1343&gt;=105),0.15,0)+IF(AND(V1343&gt;=20,V1343&lt;40,W1343&lt;45),0.25,0)+IF(AND(V1343&gt;=20,V1343&lt;40,W1343&gt;=45,W1343&lt;95),0.2,0)+IF(AND(V1343&gt;=20,V1343&lt;40,W1343&gt;=95),0.15,0)+IF(AND(V1343&gt;=40,V1343&lt;75,W1343&lt;35),0.25,0)+IF(AND(V1343&gt;=40,V1343&lt;75,W1343&gt;=35,W1343&lt;75),0.2,0)+IF(AND(V1343&gt;=40,V1343&lt;75,W1343&gt;=75,W1343&lt;120),0.15,0)+IF(AND(V1343&gt;=40,V1343&lt;75,W1343&gt;=120),0.1,0)+IF(AND(V1343&gt;=75,V1343&lt;175,W1343&lt;35),0.25,0)+IF(AND(V1343&gt;=75,V1343&lt;=175,W1343&gt;=35,W1343&lt;65),0.2,0)+IF(AND(V1343&gt;=75,V1343&lt;=175,W1343&gt;=65,W1343&lt;110),0.15,0)+IF(AND(V1343&gt;=75,V1343&lt;=175,W1343&gt;=110),0.1,0)+IF(AND(V1343&gt;175,W1343&lt;25),0.25,0)+IF(AND(V1343&gt;175,W1343&gt;=25,W1343&lt;55),0.2,0)+IF(AND(V1343&gt;175,W1343&gt;=55,W1343&lt;95),0.15,0)+IF(AND(V1343&gt;175,W1343&gt;=95),0.1,0))))))))))))))))))</f>
        <v>0.1</v>
      </c>
      <c r="Y1343" s="30">
        <f>IF(AG1343="None",0,IF(AG1343="Fix5",0.05, IF(AG1343="Fix6.25",0.0625,IF(AG1343="Fix3.75",0.0375,IF(AG1343="Fix10",0.1,IF(AG1343="Fix3",0.03,0))))))</f>
        <v>0</v>
      </c>
      <c r="Z1343" s="35">
        <f>T1343-AA1343-AB1343</f>
        <v>11392.2</v>
      </c>
      <c r="AA1343" s="29">
        <f>IF(AD1343="EUR",((T1343-R1343)*X1343)*U1343+(R1343*X1343),(T1343*X1343))</f>
        <v>1265.8000000000002</v>
      </c>
      <c r="AB1343" s="36">
        <f>IF(AD1343="EUR",((T1343-R1343)*Y1343)*U1343+(R1343*Y1343),(T1343*Y1343))</f>
        <v>0</v>
      </c>
      <c r="AC1343" s="37" t="b">
        <v>1</v>
      </c>
      <c r="AD1343" s="37" t="s">
        <v>38</v>
      </c>
      <c r="AE1343" s="37" t="s">
        <v>38</v>
      </c>
      <c r="AF1343" s="37" t="str">
        <f t="array" ref="AF1343">INDEX('Deal Info'!D:D, MATCH(A1343,'Deal Info'!A:A, 0))</f>
        <v>Fix10</v>
      </c>
      <c r="AG1343" s="38" t="str">
        <f t="array" ref="AG1343">INDEX('Deal Info'!G:G, MATCH(A1343,'Deal Info'!A:A, 0))</f>
        <v>None</v>
      </c>
    </row>
    <row r="1344" spans="1:33" ht="14.25" hidden="1" x14ac:dyDescent="0.2">
      <c r="A1344" s="18" t="str">
        <f t="array" ref="A1344">IF(G1344='Room Info'!$B$1, INDEX('Room Info'!$A$2:$A2446, MATCH(B1344,'Room Info'!$B$2:$B2446, 0)),IF(G1344='Room Info'!$C$1, INDEX('Room Info'!$A$2:$A2446, MATCH(B1344,'Room Info'!$C$2:$C2446, 0)),IF(G1344='Room Info'!$D$1, INDEX('Room Info'!$A$2:$A2446, MATCH(B1344,'Room Info'!$D$2:$D2446, 0)),IF(G1344='Room Info'!$E$1, INDEX('Room Info'!$A$2:$A2446, MATCH(B1344,'Room Info'!$E$2:$E2446, 0)),IF(G1344='Room Info'!$F$1, INDEX('Room Info'!$A$2:$A2446, MATCH(B1344,'Room Info'!$F$2:$F2446, 0)),IF(G1344='Room Info'!$H$1, INDEX('Room Info'!$A$2:$A2446, MATCH(B1344,'Room Info'!$H$2:$H2446, 0)),IF(G1344='Room Info'!$G$1, INDEX('Room Info'!$A$2:$A2446, MATCH(B1344,'Room Info'!$G$2:$G2446, 0)))))))))</f>
        <v>volkovsky</v>
      </c>
      <c r="B1344" s="45" t="s">
        <v>206</v>
      </c>
      <c r="C1344" s="46">
        <v>44763</v>
      </c>
      <c r="D1344" s="46">
        <v>44793</v>
      </c>
      <c r="E1344" s="47">
        <v>44774</v>
      </c>
      <c r="F1344" s="45" t="s">
        <v>34</v>
      </c>
      <c r="G1344" s="45" t="s">
        <v>35</v>
      </c>
      <c r="H1344" s="49" t="s">
        <v>148</v>
      </c>
      <c r="I1344" s="49" t="s">
        <v>44</v>
      </c>
      <c r="J1344" s="50">
        <v>250</v>
      </c>
      <c r="K1344" s="51">
        <v>380</v>
      </c>
      <c r="L1344" s="52">
        <v>-8500</v>
      </c>
      <c r="M1344" s="53">
        <v>3588</v>
      </c>
      <c r="N1344" s="28">
        <f>K1344*J1344</f>
        <v>95000</v>
      </c>
      <c r="O1344" s="54">
        <v>-3148</v>
      </c>
      <c r="P1344" s="29">
        <v>-8.2842105260000007</v>
      </c>
      <c r="Q1344" s="55"/>
      <c r="R1344" s="31">
        <f>M1344+Q1344</f>
        <v>3588</v>
      </c>
      <c r="S1344" s="56">
        <v>-7288</v>
      </c>
      <c r="T1344" s="32">
        <f>R1344+S1344+IF(F1344="Without EV deal",L1344,0)</f>
        <v>-3700</v>
      </c>
      <c r="U1344" s="57"/>
      <c r="V1344" s="58"/>
      <c r="W1344" s="58"/>
      <c r="X1344" s="30">
        <f>IF(AF1344="DoEV",IF(AND(V1344&lt;20,W1344&lt;55),0.3,0)+IF(AND(V1344&lt;20,W1344&gt;=55,W1344&lt;105),0.23,0)+IF(AND(V1344&lt;20,W1344&gt;=105),0.17,0)+IF(AND(V1344&gt;=20,V1344&lt;40,W1344&lt;45),0.3,0)+IF(AND(V1344&gt;=20,V1344&lt;40,W1344&gt;=45,W1344&lt;95),0.23,0)+IF(AND(V1344&gt;=20,V1344&lt;40,W1344&gt;=95),0.17,0)+IF(AND(V1344&gt;=40,V1344&lt;75,W1344&lt;35),0.3,0)+IF(AND(V1344&gt;=40,V1344&lt;75,W1344&gt;=35,W1344&lt;75),0.23,0)+IF(AND(V1344&gt;=40,V1344&lt;75,W1344&gt;=75,W1344&lt;120),0.17,0)+IF(AND(V1344&gt;=40,V1344&lt;75,W1344&gt;=120),0.12,0)+IF(AND(V1344&gt;=75,V1344&lt;175,W1344&lt;35),0.3,0)+IF(AND(V1344&gt;=75,V1344&lt;=175,W1344&gt;=35,W1344&lt;65),0.23,0)+IF(AND(V1344&gt;=75,V1344&lt;=175,W1344&gt;=65,W1344&lt;110),0.17,0)+IF(AND(V1344&gt;=75,V1344&lt;=175,W1344&gt;=110),0.12,0)+IF(AND(V1344&gt;175,W1344&lt;25),0.3,0)+IF(AND(V1344&gt;175,W1344&gt;=25,W1344&lt;55),0.23,0)+IF(AND(V1344&gt;175,W1344&gt;=55,W1344&lt;95),0.17,0)+IF(AND(V1344&gt;175,W1344&gt;=95),0.12,0),
IF(AF1344="Fix15",0.15,
IF(AF1344="Fix18.75",0.1875,
IF(AF1344="Fix11.25",0.1125,
IF(AF1344="Fix10",0.1,
IF(AF1344="Fix9",0.09,
IF(AF1344="Fix19",0.19,
IF(AF1344="DoEV2017",IF(AND(W1344&lt;74),0.2,0)+IF(AND(W1344&gt;=74),0.17,0),
IF(AF1344="SF",IF(AND(V1344&lt;20,W1344&lt;89),0.3,0)+IF(AND(V1344&lt;20,W1344&gt;=89),0.25,0)+IF(AND(V1344&gt;=20,V1344&lt;40,W1344&lt;74),0.3,0)+IF(AND(V1344&gt;=20,V1344&lt;40,W1344&gt;=75),0.22,0)+IF(AND(V1344&gt;=40,V1344&lt;75,W1344&lt;75),0.26,0)+IF(AND(V1344&gt;=40,V1344&lt;75,W1344&gt;=75),0.22,0)+IF(V1344&gt;=75,0.22,0),
IF(AF1344="DoEVold",IF(AND(V1344&lt;40,W1344&lt;35),0.35,0)+IF(AND(V1344&lt;40,W1344&gt;=35,W1344&lt;75),0.25,0)+IF(AND(V1344&lt;40,W1344&gt;=75),0.17,0)+IF(AND(V1344&gt;=40,V1344&lt;75,W1344&lt;25),0.35,0)+IF(AND(V1344&gt;=40,V1344&lt;75,W1344&gt;=25,W1344&lt;65),0.25,0)+IF(AND(V1344&gt;=40,V1344&lt;75,W1344&gt;=65,W1344&lt;100),0.17,0)+IF(AND(V1344&gt;=40,V1344&lt;75,W1344&gt;=100),0.1,0)+IF(AND(V1344&gt;=75,W1344&lt;25),0.35,0)+IF(AND(V1344&gt;=75,W1344&gt;=25,W1344&lt;60),0.25,0)+IF(AND(V1344&gt;=75,W1344&gt;=60,W1344&lt;95),0.17,0)+IF(AND(V1344&gt;=75,W1344&gt;=95),0.1,0),
IF(AF1344="DoEVold15",IF(AND(V1344&lt;=40,W1344&lt;35),0.35,0)+IF(AND(V1344&lt;=40,W1344&gt;=35,W1344&lt;75),0.25,0)+IF(AND(V1344&lt;=40,W1344&gt;=75,W1344&lt;120),0.17,0)+IF(AND(V1344&lt;=40,W1344&gt;=120),0.15,0)+IF(AND(V1344&gt;40,V1344&lt;75,W1344&lt;25),0.35,0)+IF(AND(V1344&gt;=40,V1344&lt;75,W1344&gt;=25,W1344&lt;65),0.25,0)+IF(AND(V1344&gt;=40,V1344&lt;75,W1344&gt;=65,W1344&lt;100),0.17,0)+IF(AND(V1344&gt;=40,V1344&lt;75,W1344&gt;=100),0.1,0)+IF(AND(V1344&gt;=75,W1344&lt;25),0.35,0)+IF(AND(V1344&gt;=75,W1344&gt;=25,W1344&lt;60),0.25,0)+IF(AND(V1344&gt;=75,W1344&gt;=60,W1344&lt;95),0.17,0)+IF(AND(V1344&gt;=75,W1344&gt;=95),0.1,0),
IF(AF1344="DoEVba",IF(AND(V1344&lt;20,W1344&lt;105),0.2,0)+IF(AND(V1344&lt;20,W1344&gt;=105),0.15,0)+IF(AND(V1344&gt;=20,V1344&lt;40,W1344&lt;95),0.2,0)+IF(AND(V1344&gt;=20,V1344&lt;40,W1344&gt;=95,W1344&lt;150),0.15,0)+IF(AND(V1344&gt;=20,V1344&lt;40,W1344&gt;=150),0.12,0)+IF(AND(V1344&gt;=40,V1344&lt;75,W1344&lt;75),0.2,0)+IF(AND(V1344&gt;=40,V1344&lt;75,W1344&gt;=75,W1344&lt;120),0.15,0)+IF(AND(V1344&gt;=40,V1344&lt;75,W1344&gt;=120),0.12,0)+IF(AND(V1344&gt;=75,V1344&lt;175,W1344&lt;65),0.2,0)+IF(AND(V1344&gt;=75,V1344&lt;175,W1344&gt;=65,W1344&lt;110),0.15,0)+IF(AND(V1344&gt;=75,V1344&lt;175,W1344&gt;=110),0.12,0)+IF(AND(V1344&gt;=175,W1344&lt;55),0.2,0)+IF(AND(V1344&gt;=175,W1344&gt;=55,W1344&lt;95),0.15,0)+IF(AND(V1344&gt;=175,W1344&gt;=95),0.12,0),
IF(AF1344="DoEVku",IF(AND(V1344&lt;20,W1344&lt;55),0.23,0)+IF(AND(V1344&lt;20,W1344&gt;=55,W1344&lt;105),0.2,0)+IF(AND(V1344&lt;20,W1344&gt;=105),0.17,0)+IF(AND(V1344&gt;=20,V1344&lt;40,W1344&lt;45),0.23,0)+IF(AND(V1344&gt;=20,V1344&lt;40,W1344&gt;=45,W1344&lt;95),0.2,0)+IF(AND(V1344&gt;=20,V1344&lt;40,W1344&gt;=95,W1344&lt;=150),0.17,0)+IF(AND(V1344&gt;=20,V1344&lt;40,W1344&gt;=150),0.12,0)+IF(AND(V1344&gt;=40,V1344&lt;75,W1344&lt;35),0.23,0)+IF(AND(V1344&gt;=40,V1344&lt;75,W1344&gt;=35,W1344&lt;75),0.2,0)+IF(AND(V1344&gt;=40,V1344&lt;75,W1344&gt;=75,W1344&lt;120),0.17,0)+IF(AND(V1344&gt;=40,V1344&lt;75,W1344&gt;=120),0.12,0)+IF(AND(V1344&gt;=75,V1344&lt;175,W1344&lt;35),0.23,0)+IF(AND(V1344&gt;=75,V1344&lt;=175,W1344&gt;=35,W1344&lt;65),0.2,0)+IF(AND(V1344&gt;=75,V1344&lt;=175,W1344&gt;=65,W1344&lt;110),0.17,0)+IF(AND(V1344&gt;=75,V1344&lt;=175,W1344&gt;=110),0.12,0)+IF(AND(V1344&gt;175,W1344&lt;25),0.23,0)+IF(AND(V1344&gt;175,W1344&gt;=25,W1344&lt;55),0.2,0)+IF(AND(V1344&gt;175,W1344&gt;=55,W1344&lt;95),0.17,0)+IF(AND(V1344&gt;175,W1344&gt;=95),0.12,0),
IF(AF1344="DoEVs1",IF(AND(V1344&lt;20,W1344&lt;55),0.3,0)+IF(AND(V1344&lt;20,W1344&gt;=55,W1344&lt;105),0.23,0)+IF(AND(V1344&lt;20,W1344&gt;=105),0.17,0)+IF(AND(V1344&gt;=20,V1344&lt;40,W1344&lt;45),0.3,0)+IF(AND(V1344&gt;=20,V1344&lt;40,W1344&gt;=45,W1344&lt;95),0.23,0)+IF(AND(V1344&gt;=20,V1344&lt;40,W1344&gt;=95,W1344&lt;=150),0.17,0)+IF(AND(V1344&gt;=20,V1344&lt;40,W1344&gt;=150),0.12,0)+IF(AND(V1344&gt;=40,V1344&lt;75,W1344&lt;35),0.3,0)+IF(AND(V1344&gt;=40,V1344&lt;75,W1344&gt;=35,W1344&lt;75),0.23,0)+IF(AND(V1344&gt;=40,V1344&lt;75,W1344&gt;=75,W1344&lt;120),0.17,0)+IF(AND(V1344&gt;=40,V1344&lt;75,W1344&gt;=120),0.12,0)+IF(AND(V1344&gt;=75,V1344&lt;175,W1344&lt;35),0.3,0)+IF(AND(V1344&gt;=75,V1344&lt;=175,W1344&gt;=35,W1344&lt;65),0.23,0)+IF(AND(V1344&gt;=75,V1344&lt;=175,W1344&gt;=65,W1344&lt;110),0.17,0)+IF(AND(V1344&gt;=75,V1344&lt;=175,W1344&gt;=110),0.12,0)+IF(AND(V1344&gt;175,W1344&lt;25),0.3,0)+IF(AND(V1344&gt;175,W1344&gt;=25,W1344&lt;55),0.23,0)+IF(AND(V1344&gt;175,W1344&gt;=55,W1344&lt;95),0.17,0)+IF(AND(V1344&gt;175,W1344&gt;=95),0.12,0),
IF(AF1344="DoEVsu",IF(AND(V1344&lt;20,W1344&lt;55),0.3,0)+IF(AND(V1344&lt;20,W1344&gt;=55,W1344&lt;105),0.23,0)+IF(AND(V1344&lt;20,W1344&gt;=105),0.17,0)+IF(AND(V1344&gt;=20,V1344&lt;40,W1344&lt;45),0.3,0)+IF(AND(V1344&gt;=20,V1344&lt;40,W1344&gt;=45,W1344&lt;95),0.23,0)+IF(AND(V1344&gt;=20,V1344&lt;40,W1344&gt;=95,W1344&lt;=250),0.17,0)+IF(AND(V1344&gt;=20,V1344&lt;40,W1344&gt;=250),0.12,0)+IF(AND(V1344&gt;=40,V1344&lt;75,W1344&lt;35),0.3,0)+IF(AND(V1344&gt;=40,V1344&lt;75,W1344&gt;=35,W1344&lt;75),0.23,0)+IF(AND(V1344&gt;=40,V1344&lt;75,W1344&gt;=75,W1344&lt;120),0.17,0)+IF(AND(V1344&gt;=40,V1344&lt;75,W1344&gt;=120),0.12,0)+IF(AND(V1344&gt;=75,V1344&lt;175,W1344&lt;35),0.3,0)+IF(AND(V1344&gt;=75,V1344&lt;=175,W1344&gt;=35,W1344&lt;65),0.23,0)+IF(AND(V1344&gt;=75,V1344&lt;=175,W1344&gt;=65,W1344&lt;110),0.17,0)+IF(AND(V1344&gt;=75,V1344&lt;=175,W1344&gt;=110),0.12,0)+IF(AND(V1344&gt;175,W1344&lt;25),0.3,0)+IF(AND(V1344&gt;175,W1344&gt;=25,W1344&lt;55),0.23,0)+IF(AND(V1344&gt;175,W1344&gt;=55,W1344&lt;95),0.17,0)+IF(AND(V1344&gt;175,W1344&gt;=95),0.12,0),
IF(AF1344="DoEVni",IF(AND(V1344&lt;20,W1344&lt;55),0.3,0)+IF(AND(V1344&lt;20,W1344&gt;=55,W1344&lt;105),0.23,0)+IF(AND(V1344&lt;20,W1344&gt;=105),0.17,0)+IF(AND(V1344&gt;=20,V1344&lt;40,W1344&lt;45),0.3,0)+IF(AND(V1344&gt;=20,V1344&lt;40,W1344&gt;=45,W1344&lt;95),0.23,0)+IF(AND(V1344&gt;=20,V1344&lt;40,W1344&gt;=95,W1344&lt;=200),0.17,0)+IF(AND(V1344&gt;=20,V1344&lt;40,W1344&gt;=200),0.12,0)+IF(AND(V1344&gt;=40,V1344&lt;75,W1344&lt;35),0.3,0)+IF(AND(V1344&gt;=40,V1344&lt;75,W1344&gt;=35,W1344&lt;75),0.23,0)+IF(AND(V1344&gt;=40,V1344&lt;75,W1344&gt;=75,W1344&lt;120),0.17,0)+IF(AND(V1344&gt;=40,V1344&lt;75,W1344&gt;=120),0.12,0)+IF(AND(V1344&gt;=75,V1344&lt;175,W1344&lt;35),0.3,0)+IF(AND(V1344&gt;=75,V1344&lt;=175,W1344&gt;=35,W1344&lt;65),0.23,0)+IF(AND(V1344&gt;=75,V1344&lt;=175,W1344&gt;=65,W1344&lt;110),0.17,0)+IF(AND(V1344&gt;=75,V1344&lt;=175,W1344&gt;=110),0.12,0)+IF(AND(V1344&gt;175,W1344&lt;25),0.3,0)+IF(AND(V1344&gt;175,W1344&gt;=25,W1344&lt;55),0.23,0)+IF(AND(V1344&gt;175,W1344&gt;=55,W1344&lt;95),0.17,0)+IF(AND(V1344&gt;175,W1344&gt;=95),0.12,0),
IF(AF1344="DoEVLo",IF(AND(V1344&lt;20,W1344&lt;55),0.25,0)+IF(AND(V1344&lt;20,W1344&gt;=55,W1344&lt;105),0.2,0)+IF(AND(V1344&lt;20,W1344&gt;=105),0.15,0)+IF(AND(V1344&gt;=20,V1344&lt;40,W1344&lt;45),0.25,0)+IF(AND(V1344&gt;=20,V1344&lt;40,W1344&gt;=45,W1344&lt;95),0.2,0)+IF(AND(V1344&gt;=20,V1344&lt;40,W1344&gt;=95),0.15,0)+IF(AND(V1344&gt;=40,V1344&lt;75,W1344&lt;35),0.25,0)+IF(AND(V1344&gt;=40,V1344&lt;75,W1344&gt;=35,W1344&lt;75),0.2,0)+IF(AND(V1344&gt;=40,V1344&lt;75,W1344&gt;=75,W1344&lt;120),0.15,0)+IF(AND(V1344&gt;=40,V1344&lt;75,W1344&gt;=120),0.1,0)+IF(AND(V1344&gt;=75,V1344&lt;175,W1344&lt;35),0.25,0)+IF(AND(V1344&gt;=75,V1344&lt;=175,W1344&gt;=35,W1344&lt;65),0.2,0)+IF(AND(V1344&gt;=75,V1344&lt;=175,W1344&gt;=65,W1344&lt;110),0.15,0)+IF(AND(V1344&gt;=75,V1344&lt;=175,W1344&gt;=110),0.1,0)+IF(AND(V1344&gt;175,W1344&lt;25),0.25,0)+IF(AND(V1344&gt;175,W1344&gt;=25,W1344&lt;55),0.2,0)+IF(AND(V1344&gt;175,W1344&gt;=55,W1344&lt;95),0.15,0)+IF(AND(V1344&gt;175,W1344&gt;=95),0.1,0))))))))))))))))))</f>
        <v>0.1</v>
      </c>
      <c r="Y1344" s="30">
        <f>IF(AG1344="None",0,IF(AG1344="Fix5",0.05, IF(AG1344="Fix6.25",0.0625,IF(AG1344="Fix3.75",0.0375,IF(AG1344="Fix10",0.1,IF(AG1344="Fix3",0.03,0))))))</f>
        <v>0</v>
      </c>
      <c r="Z1344" s="35">
        <f>T1344-AA1344-AB1344</f>
        <v>-3330</v>
      </c>
      <c r="AA1344" s="29">
        <f>IF(AD1344="EUR",((T1344-R1344)*X1344)*U1344+(R1344*X1344),(T1344*X1344))</f>
        <v>-370</v>
      </c>
      <c r="AB1344" s="36">
        <f>IF(AD1344="EUR",((T1344-R1344)*Y1344)*U1344+(R1344*Y1344),(T1344*Y1344))</f>
        <v>0</v>
      </c>
      <c r="AC1344" s="37" t="b">
        <v>1</v>
      </c>
      <c r="AD1344" s="37" t="s">
        <v>38</v>
      </c>
      <c r="AE1344" s="37" t="s">
        <v>38</v>
      </c>
      <c r="AF1344" s="37" t="str">
        <f t="array" ref="AF1344">INDEX('Deal Info'!D:D, MATCH(A1344,'Deal Info'!A:A, 0))</f>
        <v>Fix10</v>
      </c>
      <c r="AG1344" s="38" t="str">
        <f t="array" ref="AG1344">INDEX('Deal Info'!G:G, MATCH(A1344,'Deal Info'!A:A, 0))</f>
        <v>None</v>
      </c>
    </row>
    <row r="1345" spans="1:33" ht="14.25" hidden="1" x14ac:dyDescent="0.2">
      <c r="A1345" s="18" t="str">
        <f t="array" ref="A1345">IF(G1345='Room Info'!$B$1, INDEX('Room Info'!$A$2:$A2446, MATCH(B1345,'Room Info'!$B$2:$B2446, 0)),IF(G1345='Room Info'!$C$1, INDEX('Room Info'!$A$2:$A2446, MATCH(B1345,'Room Info'!$C$2:$C2446, 0)),IF(G1345='Room Info'!$D$1, INDEX('Room Info'!$A$2:$A2446, MATCH(B1345,'Room Info'!$D$2:$D2446, 0)),IF(G1345='Room Info'!$E$1, INDEX('Room Info'!$A$2:$A2446, MATCH(B1345,'Room Info'!$E$2:$E2446, 0)),IF(G1345='Room Info'!$F$1, INDEX('Room Info'!$A$2:$A2446, MATCH(B1345,'Room Info'!$F$2:$F2446, 0)),IF(G1345='Room Info'!$H$1, INDEX('Room Info'!$A$2:$A2446, MATCH(B1345,'Room Info'!$H$2:$H2446, 0)),IF(G1345='Room Info'!$G$1, INDEX('Room Info'!$A$2:$A2446, MATCH(B1345,'Room Info'!$G$2:$G2446, 0)))))))))</f>
        <v>volkovsky</v>
      </c>
      <c r="B1345" s="45" t="s">
        <v>206</v>
      </c>
      <c r="C1345" s="77">
        <v>44794</v>
      </c>
      <c r="D1345" s="77">
        <v>44824</v>
      </c>
      <c r="E1345" s="47">
        <v>44805</v>
      </c>
      <c r="F1345" s="48" t="s">
        <v>34</v>
      </c>
      <c r="G1345" s="45" t="s">
        <v>35</v>
      </c>
      <c r="H1345" s="91" t="s">
        <v>70</v>
      </c>
      <c r="I1345" s="49" t="s">
        <v>37</v>
      </c>
      <c r="J1345" s="74">
        <v>100</v>
      </c>
      <c r="K1345" s="75">
        <v>579</v>
      </c>
      <c r="L1345" s="72">
        <v>-3700</v>
      </c>
      <c r="M1345" s="76">
        <v>2303</v>
      </c>
      <c r="N1345" s="28">
        <f>K1345*J1345</f>
        <v>57900</v>
      </c>
      <c r="O1345" s="45">
        <v>25285</v>
      </c>
      <c r="P1345" s="29">
        <v>43.670120900000001</v>
      </c>
      <c r="Q1345" s="55"/>
      <c r="R1345" s="31">
        <f>M1345+Q1345</f>
        <v>2303</v>
      </c>
      <c r="S1345" s="73">
        <v>1579</v>
      </c>
      <c r="T1345" s="32">
        <f>R1345+S1345+IF(F1345="Without EV deal",L1345,0)</f>
        <v>3882</v>
      </c>
      <c r="U1345" s="57"/>
      <c r="V1345" s="58"/>
      <c r="W1345" s="58"/>
      <c r="X1345" s="30">
        <f>IF(AF1345="DoEV",IF(AND(V1345&lt;20,W1345&lt;55),0.3,0)+IF(AND(V1345&lt;20,W1345&gt;=55,W1345&lt;105),0.23,0)+IF(AND(V1345&lt;20,W1345&gt;=105),0.17,0)+IF(AND(V1345&gt;=20,V1345&lt;40,W1345&lt;45),0.3,0)+IF(AND(V1345&gt;=20,V1345&lt;40,W1345&gt;=45,W1345&lt;95),0.23,0)+IF(AND(V1345&gt;=20,V1345&lt;40,W1345&gt;=95),0.17,0)+IF(AND(V1345&gt;=40,V1345&lt;75,W1345&lt;35),0.3,0)+IF(AND(V1345&gt;=40,V1345&lt;75,W1345&gt;=35,W1345&lt;75),0.23,0)+IF(AND(V1345&gt;=40,V1345&lt;75,W1345&gt;=75,W1345&lt;120),0.17,0)+IF(AND(V1345&gt;=40,V1345&lt;75,W1345&gt;=120),0.12,0)+IF(AND(V1345&gt;=75,V1345&lt;175,W1345&lt;35),0.3,0)+IF(AND(V1345&gt;=75,V1345&lt;=175,W1345&gt;=35,W1345&lt;65),0.23,0)+IF(AND(V1345&gt;=75,V1345&lt;=175,W1345&gt;=65,W1345&lt;110),0.17,0)+IF(AND(V1345&gt;=75,V1345&lt;=175,W1345&gt;=110),0.12,0)+IF(AND(V1345&gt;175,W1345&lt;25),0.3,0)+IF(AND(V1345&gt;175,W1345&gt;=25,W1345&lt;55),0.23,0)+IF(AND(V1345&gt;175,W1345&gt;=55,W1345&lt;95),0.17,0)+IF(AND(V1345&gt;175,W1345&gt;=95),0.12,0),
IF(AF1345="Fix15",0.15,
IF(AF1345="Fix18.75",0.1875,
IF(AF1345="Fix11.25",0.1125,
IF(AF1345="Fix10",0.1,
IF(AF1345="Fix9",0.09,
IF(AF1345="Fix19",0.19,
IF(AF1345="DoEV2017",IF(AND(W1345&lt;74),0.2,0)+IF(AND(W1345&gt;=74),0.17,0),
IF(AF1345="SF",IF(AND(V1345&lt;20,W1345&lt;89),0.3,0)+IF(AND(V1345&lt;20,W1345&gt;=89),0.25,0)+IF(AND(V1345&gt;=20,V1345&lt;40,W1345&lt;74),0.3,0)+IF(AND(V1345&gt;=20,V1345&lt;40,W1345&gt;=75),0.22,0)+IF(AND(V1345&gt;=40,V1345&lt;75,W1345&lt;75),0.26,0)+IF(AND(V1345&gt;=40,V1345&lt;75,W1345&gt;=75),0.22,0)+IF(V1345&gt;=75,0.22,0),
IF(AF1345="DoEVold",IF(AND(V1345&lt;40,W1345&lt;35),0.35,0)+IF(AND(V1345&lt;40,W1345&gt;=35,W1345&lt;75),0.25,0)+IF(AND(V1345&lt;40,W1345&gt;=75),0.17,0)+IF(AND(V1345&gt;=40,V1345&lt;75,W1345&lt;25),0.35,0)+IF(AND(V1345&gt;=40,V1345&lt;75,W1345&gt;=25,W1345&lt;65),0.25,0)+IF(AND(V1345&gt;=40,V1345&lt;75,W1345&gt;=65,W1345&lt;100),0.17,0)+IF(AND(V1345&gt;=40,V1345&lt;75,W1345&gt;=100),0.1,0)+IF(AND(V1345&gt;=75,W1345&lt;25),0.35,0)+IF(AND(V1345&gt;=75,W1345&gt;=25,W1345&lt;60),0.25,0)+IF(AND(V1345&gt;=75,W1345&gt;=60,W1345&lt;95),0.17,0)+IF(AND(V1345&gt;=75,W1345&gt;=95),0.1,0),
IF(AF1345="DoEVold15",IF(AND(V1345&lt;=40,W1345&lt;35),0.35,0)+IF(AND(V1345&lt;=40,W1345&gt;=35,W1345&lt;75),0.25,0)+IF(AND(V1345&lt;=40,W1345&gt;=75,W1345&lt;120),0.17,0)+IF(AND(V1345&lt;=40,W1345&gt;=120),0.15,0)+IF(AND(V1345&gt;40,V1345&lt;75,W1345&lt;25),0.35,0)+IF(AND(V1345&gt;=40,V1345&lt;75,W1345&gt;=25,W1345&lt;65),0.25,0)+IF(AND(V1345&gt;=40,V1345&lt;75,W1345&gt;=65,W1345&lt;100),0.17,0)+IF(AND(V1345&gt;=40,V1345&lt;75,W1345&gt;=100),0.1,0)+IF(AND(V1345&gt;=75,W1345&lt;25),0.35,0)+IF(AND(V1345&gt;=75,W1345&gt;=25,W1345&lt;60),0.25,0)+IF(AND(V1345&gt;=75,W1345&gt;=60,W1345&lt;95),0.17,0)+IF(AND(V1345&gt;=75,W1345&gt;=95),0.1,0),
IF(AF1345="DoEVba",IF(AND(V1345&lt;20,W1345&lt;105),0.2,0)+IF(AND(V1345&lt;20,W1345&gt;=105),0.15,0)+IF(AND(V1345&gt;=20,V1345&lt;40,W1345&lt;95),0.2,0)+IF(AND(V1345&gt;=20,V1345&lt;40,W1345&gt;=95,W1345&lt;150),0.15,0)+IF(AND(V1345&gt;=20,V1345&lt;40,W1345&gt;=150),0.12,0)+IF(AND(V1345&gt;=40,V1345&lt;75,W1345&lt;75),0.2,0)+IF(AND(V1345&gt;=40,V1345&lt;75,W1345&gt;=75,W1345&lt;120),0.15,0)+IF(AND(V1345&gt;=40,V1345&lt;75,W1345&gt;=120),0.12,0)+IF(AND(V1345&gt;=75,V1345&lt;175,W1345&lt;65),0.2,0)+IF(AND(V1345&gt;=75,V1345&lt;175,W1345&gt;=65,W1345&lt;110),0.15,0)+IF(AND(V1345&gt;=75,V1345&lt;175,W1345&gt;=110),0.12,0)+IF(AND(V1345&gt;=175,W1345&lt;55),0.2,0)+IF(AND(V1345&gt;=175,W1345&gt;=55,W1345&lt;95),0.15,0)+IF(AND(V1345&gt;=175,W1345&gt;=95),0.12,0),
IF(AF1345="DoEVku",IF(AND(V1345&lt;20,W1345&lt;55),0.23,0)+IF(AND(V1345&lt;20,W1345&gt;=55,W1345&lt;105),0.2,0)+IF(AND(V1345&lt;20,W1345&gt;=105),0.17,0)+IF(AND(V1345&gt;=20,V1345&lt;40,W1345&lt;45),0.23,0)+IF(AND(V1345&gt;=20,V1345&lt;40,W1345&gt;=45,W1345&lt;95),0.2,0)+IF(AND(V1345&gt;=20,V1345&lt;40,W1345&gt;=95,W1345&lt;=150),0.17,0)+IF(AND(V1345&gt;=20,V1345&lt;40,W1345&gt;=150),0.12,0)+IF(AND(V1345&gt;=40,V1345&lt;75,W1345&lt;35),0.23,0)+IF(AND(V1345&gt;=40,V1345&lt;75,W1345&gt;=35,W1345&lt;75),0.2,0)+IF(AND(V1345&gt;=40,V1345&lt;75,W1345&gt;=75,W1345&lt;120),0.17,0)+IF(AND(V1345&gt;=40,V1345&lt;75,W1345&gt;=120),0.12,0)+IF(AND(V1345&gt;=75,V1345&lt;175,W1345&lt;35),0.23,0)+IF(AND(V1345&gt;=75,V1345&lt;=175,W1345&gt;=35,W1345&lt;65),0.2,0)+IF(AND(V1345&gt;=75,V1345&lt;=175,W1345&gt;=65,W1345&lt;110),0.17,0)+IF(AND(V1345&gt;=75,V1345&lt;=175,W1345&gt;=110),0.12,0)+IF(AND(V1345&gt;175,W1345&lt;25),0.23,0)+IF(AND(V1345&gt;175,W1345&gt;=25,W1345&lt;55),0.2,0)+IF(AND(V1345&gt;175,W1345&gt;=55,W1345&lt;95),0.17,0)+IF(AND(V1345&gt;175,W1345&gt;=95),0.12,0),
IF(AF1345="DoEVs1",IF(AND(V1345&lt;20,W1345&lt;55),0.3,0)+IF(AND(V1345&lt;20,W1345&gt;=55,W1345&lt;105),0.23,0)+IF(AND(V1345&lt;20,W1345&gt;=105),0.17,0)+IF(AND(V1345&gt;=20,V1345&lt;40,W1345&lt;45),0.3,0)+IF(AND(V1345&gt;=20,V1345&lt;40,W1345&gt;=45,W1345&lt;95),0.23,0)+IF(AND(V1345&gt;=20,V1345&lt;40,W1345&gt;=95,W1345&lt;=150),0.17,0)+IF(AND(V1345&gt;=20,V1345&lt;40,W1345&gt;=150),0.12,0)+IF(AND(V1345&gt;=40,V1345&lt;75,W1345&lt;35),0.3,0)+IF(AND(V1345&gt;=40,V1345&lt;75,W1345&gt;=35,W1345&lt;75),0.23,0)+IF(AND(V1345&gt;=40,V1345&lt;75,W1345&gt;=75,W1345&lt;120),0.17,0)+IF(AND(V1345&gt;=40,V1345&lt;75,W1345&gt;=120),0.12,0)+IF(AND(V1345&gt;=75,V1345&lt;175,W1345&lt;35),0.3,0)+IF(AND(V1345&gt;=75,V1345&lt;=175,W1345&gt;=35,W1345&lt;65),0.23,0)+IF(AND(V1345&gt;=75,V1345&lt;=175,W1345&gt;=65,W1345&lt;110),0.17,0)+IF(AND(V1345&gt;=75,V1345&lt;=175,W1345&gt;=110),0.12,0)+IF(AND(V1345&gt;175,W1345&lt;25),0.3,0)+IF(AND(V1345&gt;175,W1345&gt;=25,W1345&lt;55),0.23,0)+IF(AND(V1345&gt;175,W1345&gt;=55,W1345&lt;95),0.17,0)+IF(AND(V1345&gt;175,W1345&gt;=95),0.12,0),
IF(AF1345="DoEVsu",IF(AND(V1345&lt;20,W1345&lt;55),0.3,0)+IF(AND(V1345&lt;20,W1345&gt;=55,W1345&lt;105),0.23,0)+IF(AND(V1345&lt;20,W1345&gt;=105),0.17,0)+IF(AND(V1345&gt;=20,V1345&lt;40,W1345&lt;45),0.3,0)+IF(AND(V1345&gt;=20,V1345&lt;40,W1345&gt;=45,W1345&lt;95),0.23,0)+IF(AND(V1345&gt;=20,V1345&lt;40,W1345&gt;=95,W1345&lt;=250),0.17,0)+IF(AND(V1345&gt;=20,V1345&lt;40,W1345&gt;=250),0.12,0)+IF(AND(V1345&gt;=40,V1345&lt;75,W1345&lt;35),0.3,0)+IF(AND(V1345&gt;=40,V1345&lt;75,W1345&gt;=35,W1345&lt;75),0.23,0)+IF(AND(V1345&gt;=40,V1345&lt;75,W1345&gt;=75,W1345&lt;120),0.17,0)+IF(AND(V1345&gt;=40,V1345&lt;75,W1345&gt;=120),0.12,0)+IF(AND(V1345&gt;=75,V1345&lt;175,W1345&lt;35),0.3,0)+IF(AND(V1345&gt;=75,V1345&lt;=175,W1345&gt;=35,W1345&lt;65),0.23,0)+IF(AND(V1345&gt;=75,V1345&lt;=175,W1345&gt;=65,W1345&lt;110),0.17,0)+IF(AND(V1345&gt;=75,V1345&lt;=175,W1345&gt;=110),0.12,0)+IF(AND(V1345&gt;175,W1345&lt;25),0.3,0)+IF(AND(V1345&gt;175,W1345&gt;=25,W1345&lt;55),0.23,0)+IF(AND(V1345&gt;175,W1345&gt;=55,W1345&lt;95),0.17,0)+IF(AND(V1345&gt;175,W1345&gt;=95),0.12,0),
IF(AF1345="DoEVni",IF(AND(V1345&lt;20,W1345&lt;55),0.3,0)+IF(AND(V1345&lt;20,W1345&gt;=55,W1345&lt;105),0.23,0)+IF(AND(V1345&lt;20,W1345&gt;=105),0.17,0)+IF(AND(V1345&gt;=20,V1345&lt;40,W1345&lt;45),0.3,0)+IF(AND(V1345&gt;=20,V1345&lt;40,W1345&gt;=45,W1345&lt;95),0.23,0)+IF(AND(V1345&gt;=20,V1345&lt;40,W1345&gt;=95,W1345&lt;=200),0.17,0)+IF(AND(V1345&gt;=20,V1345&lt;40,W1345&gt;=200),0.12,0)+IF(AND(V1345&gt;=40,V1345&lt;75,W1345&lt;35),0.3,0)+IF(AND(V1345&gt;=40,V1345&lt;75,W1345&gt;=35,W1345&lt;75),0.23,0)+IF(AND(V1345&gt;=40,V1345&lt;75,W1345&gt;=75,W1345&lt;120),0.17,0)+IF(AND(V1345&gt;=40,V1345&lt;75,W1345&gt;=120),0.12,0)+IF(AND(V1345&gt;=75,V1345&lt;175,W1345&lt;35),0.3,0)+IF(AND(V1345&gt;=75,V1345&lt;=175,W1345&gt;=35,W1345&lt;65),0.23,0)+IF(AND(V1345&gt;=75,V1345&lt;=175,W1345&gt;=65,W1345&lt;110),0.17,0)+IF(AND(V1345&gt;=75,V1345&lt;=175,W1345&gt;=110),0.12,0)+IF(AND(V1345&gt;175,W1345&lt;25),0.3,0)+IF(AND(V1345&gt;175,W1345&gt;=25,W1345&lt;55),0.23,0)+IF(AND(V1345&gt;175,W1345&gt;=55,W1345&lt;95),0.17,0)+IF(AND(V1345&gt;175,W1345&gt;=95),0.12,0),
IF(AF1345="DoEVLo",IF(AND(V1345&lt;20,W1345&lt;55),0.25,0)+IF(AND(V1345&lt;20,W1345&gt;=55,W1345&lt;105),0.2,0)+IF(AND(V1345&lt;20,W1345&gt;=105),0.15,0)+IF(AND(V1345&gt;=20,V1345&lt;40,W1345&lt;45),0.25,0)+IF(AND(V1345&gt;=20,V1345&lt;40,W1345&gt;=45,W1345&lt;95),0.2,0)+IF(AND(V1345&gt;=20,V1345&lt;40,W1345&gt;=95),0.15,0)+IF(AND(V1345&gt;=40,V1345&lt;75,W1345&lt;35),0.25,0)+IF(AND(V1345&gt;=40,V1345&lt;75,W1345&gt;=35,W1345&lt;75),0.2,0)+IF(AND(V1345&gt;=40,V1345&lt;75,W1345&gt;=75,W1345&lt;120),0.15,0)+IF(AND(V1345&gt;=40,V1345&lt;75,W1345&gt;=120),0.1,0)+IF(AND(V1345&gt;=75,V1345&lt;175,W1345&lt;35),0.25,0)+IF(AND(V1345&gt;=75,V1345&lt;=175,W1345&gt;=35,W1345&lt;65),0.2,0)+IF(AND(V1345&gt;=75,V1345&lt;=175,W1345&gt;=65,W1345&lt;110),0.15,0)+IF(AND(V1345&gt;=75,V1345&lt;=175,W1345&gt;=110),0.1,0)+IF(AND(V1345&gt;175,W1345&lt;25),0.25,0)+IF(AND(V1345&gt;175,W1345&gt;=25,W1345&lt;55),0.2,0)+IF(AND(V1345&gt;175,W1345&gt;=55,W1345&lt;95),0.15,0)+IF(AND(V1345&gt;175,W1345&gt;=95),0.1,0))))))))))))))))))</f>
        <v>0.1</v>
      </c>
      <c r="Y1345" s="30">
        <f>IF(AG1345="None",0,IF(AG1345="Fix5",0.05, IF(AG1345="Fix6.25",0.0625,IF(AG1345="Fix3.75",0.0375,IF(AG1345="Fix10",0.1,IF(AG1345="Fix3",0.03,0))))))</f>
        <v>0</v>
      </c>
      <c r="Z1345" s="35">
        <f>T1345-AA1345-AB1345</f>
        <v>3493.8</v>
      </c>
      <c r="AA1345" s="29">
        <f>IF(AD1345="EUR",((T1345-R1345)*X1345)*U1345+(R1345*X1345),(T1345*X1345))</f>
        <v>388.20000000000005</v>
      </c>
      <c r="AB1345" s="36">
        <f>IF(AD1345="EUR",((T1345-R1345)*Y1345)*U1345+(R1345*Y1345),(T1345*Y1345))</f>
        <v>0</v>
      </c>
      <c r="AC1345" s="37" t="b">
        <v>1</v>
      </c>
      <c r="AD1345" s="37" t="s">
        <v>38</v>
      </c>
      <c r="AE1345" s="37" t="s">
        <v>38</v>
      </c>
      <c r="AF1345" s="37" t="str">
        <f t="array" ref="AF1345">INDEX('Deal Info'!D:D, MATCH(A1345,'Deal Info'!A:A, 0))</f>
        <v>Fix10</v>
      </c>
      <c r="AG1345" s="38" t="str">
        <f t="array" ref="AG1345">INDEX('Deal Info'!G:G, MATCH(A1345,'Deal Info'!A:A, 0))</f>
        <v>None</v>
      </c>
    </row>
    <row r="1346" spans="1:33" ht="14.25" hidden="1" x14ac:dyDescent="0.2">
      <c r="A1346" s="18" t="str">
        <f t="array" ref="A1346">IF(G1346='Room Info'!$B$1, INDEX('Room Info'!$A$2:$A2446, MATCH(B1346,'Room Info'!$B$2:$B2446, 0)),IF(G1346='Room Info'!$C$1, INDEX('Room Info'!$A$2:$A2446, MATCH(B1346,'Room Info'!$C$2:$C2446, 0)),IF(G1346='Room Info'!$D$1, INDEX('Room Info'!$A$2:$A2446, MATCH(B1346,'Room Info'!$D$2:$D2446, 0)),IF(G1346='Room Info'!$E$1, INDEX('Room Info'!$A$2:$A2446, MATCH(B1346,'Room Info'!$E$2:$E2446, 0)),IF(G1346='Room Info'!$F$1, INDEX('Room Info'!$A$2:$A2446, MATCH(B1346,'Room Info'!$F$2:$F2446, 0)),IF(G1346='Room Info'!$H$1, INDEX('Room Info'!$A$2:$A2446, MATCH(B1346,'Room Info'!$H$2:$H2446, 0)),IF(G1346='Room Info'!$G$1, INDEX('Room Info'!$A$2:$A2446, MATCH(B1346,'Room Info'!$G$2:$G2446, 0)))))))))</f>
        <v>volkovsky</v>
      </c>
      <c r="B1346" s="45" t="s">
        <v>206</v>
      </c>
      <c r="C1346" s="77">
        <v>44794</v>
      </c>
      <c r="D1346" s="77">
        <v>44824</v>
      </c>
      <c r="E1346" s="47">
        <v>44805</v>
      </c>
      <c r="F1346" s="48" t="s">
        <v>34</v>
      </c>
      <c r="G1346" s="45" t="s">
        <v>35</v>
      </c>
      <c r="H1346" s="91" t="s">
        <v>84</v>
      </c>
      <c r="I1346" s="49" t="s">
        <v>44</v>
      </c>
      <c r="J1346" s="74">
        <v>100</v>
      </c>
      <c r="K1346" s="75">
        <v>287</v>
      </c>
      <c r="L1346" s="72">
        <v>-4300</v>
      </c>
      <c r="M1346" s="76">
        <v>1142</v>
      </c>
      <c r="N1346" s="28">
        <f>K1346*J1346</f>
        <v>28700</v>
      </c>
      <c r="O1346" s="45">
        <v>-6661</v>
      </c>
      <c r="P1346" s="29">
        <v>-23.209059230000001</v>
      </c>
      <c r="Q1346" s="55"/>
      <c r="R1346" s="31">
        <f>M1346+Q1346</f>
        <v>1142</v>
      </c>
      <c r="S1346" s="73">
        <v>-3647</v>
      </c>
      <c r="T1346" s="32">
        <f>R1346+S1346+IF(F1346="Without EV deal",L1346,0)</f>
        <v>-2505</v>
      </c>
      <c r="U1346" s="57"/>
      <c r="V1346" s="58"/>
      <c r="W1346" s="58"/>
      <c r="X1346" s="30">
        <f>IF(AF1346="DoEV",IF(AND(V1346&lt;20,W1346&lt;55),0.3,0)+IF(AND(V1346&lt;20,W1346&gt;=55,W1346&lt;105),0.23,0)+IF(AND(V1346&lt;20,W1346&gt;=105),0.17,0)+IF(AND(V1346&gt;=20,V1346&lt;40,W1346&lt;45),0.3,0)+IF(AND(V1346&gt;=20,V1346&lt;40,W1346&gt;=45,W1346&lt;95),0.23,0)+IF(AND(V1346&gt;=20,V1346&lt;40,W1346&gt;=95),0.17,0)+IF(AND(V1346&gt;=40,V1346&lt;75,W1346&lt;35),0.3,0)+IF(AND(V1346&gt;=40,V1346&lt;75,W1346&gt;=35,W1346&lt;75),0.23,0)+IF(AND(V1346&gt;=40,V1346&lt;75,W1346&gt;=75,W1346&lt;120),0.17,0)+IF(AND(V1346&gt;=40,V1346&lt;75,W1346&gt;=120),0.12,0)+IF(AND(V1346&gt;=75,V1346&lt;175,W1346&lt;35),0.3,0)+IF(AND(V1346&gt;=75,V1346&lt;=175,W1346&gt;=35,W1346&lt;65),0.23,0)+IF(AND(V1346&gt;=75,V1346&lt;=175,W1346&gt;=65,W1346&lt;110),0.17,0)+IF(AND(V1346&gt;=75,V1346&lt;=175,W1346&gt;=110),0.12,0)+IF(AND(V1346&gt;175,W1346&lt;25),0.3,0)+IF(AND(V1346&gt;175,W1346&gt;=25,W1346&lt;55),0.23,0)+IF(AND(V1346&gt;175,W1346&gt;=55,W1346&lt;95),0.17,0)+IF(AND(V1346&gt;175,W1346&gt;=95),0.12,0),
IF(AF1346="Fix15",0.15,
IF(AF1346="Fix18.75",0.1875,
IF(AF1346="Fix11.25",0.1125,
IF(AF1346="Fix10",0.1,
IF(AF1346="Fix9",0.09,
IF(AF1346="Fix19",0.19,
IF(AF1346="DoEV2017",IF(AND(W1346&lt;74),0.2,0)+IF(AND(W1346&gt;=74),0.17,0),
IF(AF1346="SF",IF(AND(V1346&lt;20,W1346&lt;89),0.3,0)+IF(AND(V1346&lt;20,W1346&gt;=89),0.25,0)+IF(AND(V1346&gt;=20,V1346&lt;40,W1346&lt;74),0.3,0)+IF(AND(V1346&gt;=20,V1346&lt;40,W1346&gt;=75),0.22,0)+IF(AND(V1346&gt;=40,V1346&lt;75,W1346&lt;75),0.26,0)+IF(AND(V1346&gt;=40,V1346&lt;75,W1346&gt;=75),0.22,0)+IF(V1346&gt;=75,0.22,0),
IF(AF1346="DoEVold",IF(AND(V1346&lt;40,W1346&lt;35),0.35,0)+IF(AND(V1346&lt;40,W1346&gt;=35,W1346&lt;75),0.25,0)+IF(AND(V1346&lt;40,W1346&gt;=75),0.17,0)+IF(AND(V1346&gt;=40,V1346&lt;75,W1346&lt;25),0.35,0)+IF(AND(V1346&gt;=40,V1346&lt;75,W1346&gt;=25,W1346&lt;65),0.25,0)+IF(AND(V1346&gt;=40,V1346&lt;75,W1346&gt;=65,W1346&lt;100),0.17,0)+IF(AND(V1346&gt;=40,V1346&lt;75,W1346&gt;=100),0.1,0)+IF(AND(V1346&gt;=75,W1346&lt;25),0.35,0)+IF(AND(V1346&gt;=75,W1346&gt;=25,W1346&lt;60),0.25,0)+IF(AND(V1346&gt;=75,W1346&gt;=60,W1346&lt;95),0.17,0)+IF(AND(V1346&gt;=75,W1346&gt;=95),0.1,0),
IF(AF1346="DoEVold15",IF(AND(V1346&lt;=40,W1346&lt;35),0.35,0)+IF(AND(V1346&lt;=40,W1346&gt;=35,W1346&lt;75),0.25,0)+IF(AND(V1346&lt;=40,W1346&gt;=75,W1346&lt;120),0.17,0)+IF(AND(V1346&lt;=40,W1346&gt;=120),0.15,0)+IF(AND(V1346&gt;40,V1346&lt;75,W1346&lt;25),0.35,0)+IF(AND(V1346&gt;=40,V1346&lt;75,W1346&gt;=25,W1346&lt;65),0.25,0)+IF(AND(V1346&gt;=40,V1346&lt;75,W1346&gt;=65,W1346&lt;100),0.17,0)+IF(AND(V1346&gt;=40,V1346&lt;75,W1346&gt;=100),0.1,0)+IF(AND(V1346&gt;=75,W1346&lt;25),0.35,0)+IF(AND(V1346&gt;=75,W1346&gt;=25,W1346&lt;60),0.25,0)+IF(AND(V1346&gt;=75,W1346&gt;=60,W1346&lt;95),0.17,0)+IF(AND(V1346&gt;=75,W1346&gt;=95),0.1,0),
IF(AF1346="DoEVba",IF(AND(V1346&lt;20,W1346&lt;105),0.2,0)+IF(AND(V1346&lt;20,W1346&gt;=105),0.15,0)+IF(AND(V1346&gt;=20,V1346&lt;40,W1346&lt;95),0.2,0)+IF(AND(V1346&gt;=20,V1346&lt;40,W1346&gt;=95,W1346&lt;150),0.15,0)+IF(AND(V1346&gt;=20,V1346&lt;40,W1346&gt;=150),0.12,0)+IF(AND(V1346&gt;=40,V1346&lt;75,W1346&lt;75),0.2,0)+IF(AND(V1346&gt;=40,V1346&lt;75,W1346&gt;=75,W1346&lt;120),0.15,0)+IF(AND(V1346&gt;=40,V1346&lt;75,W1346&gt;=120),0.12,0)+IF(AND(V1346&gt;=75,V1346&lt;175,W1346&lt;65),0.2,0)+IF(AND(V1346&gt;=75,V1346&lt;175,W1346&gt;=65,W1346&lt;110),0.15,0)+IF(AND(V1346&gt;=75,V1346&lt;175,W1346&gt;=110),0.12,0)+IF(AND(V1346&gt;=175,W1346&lt;55),0.2,0)+IF(AND(V1346&gt;=175,W1346&gt;=55,W1346&lt;95),0.15,0)+IF(AND(V1346&gt;=175,W1346&gt;=95),0.12,0),
IF(AF1346="DoEVku",IF(AND(V1346&lt;20,W1346&lt;55),0.23,0)+IF(AND(V1346&lt;20,W1346&gt;=55,W1346&lt;105),0.2,0)+IF(AND(V1346&lt;20,W1346&gt;=105),0.17,0)+IF(AND(V1346&gt;=20,V1346&lt;40,W1346&lt;45),0.23,0)+IF(AND(V1346&gt;=20,V1346&lt;40,W1346&gt;=45,W1346&lt;95),0.2,0)+IF(AND(V1346&gt;=20,V1346&lt;40,W1346&gt;=95,W1346&lt;=150),0.17,0)+IF(AND(V1346&gt;=20,V1346&lt;40,W1346&gt;=150),0.12,0)+IF(AND(V1346&gt;=40,V1346&lt;75,W1346&lt;35),0.23,0)+IF(AND(V1346&gt;=40,V1346&lt;75,W1346&gt;=35,W1346&lt;75),0.2,0)+IF(AND(V1346&gt;=40,V1346&lt;75,W1346&gt;=75,W1346&lt;120),0.17,0)+IF(AND(V1346&gt;=40,V1346&lt;75,W1346&gt;=120),0.12,0)+IF(AND(V1346&gt;=75,V1346&lt;175,W1346&lt;35),0.23,0)+IF(AND(V1346&gt;=75,V1346&lt;=175,W1346&gt;=35,W1346&lt;65),0.2,0)+IF(AND(V1346&gt;=75,V1346&lt;=175,W1346&gt;=65,W1346&lt;110),0.17,0)+IF(AND(V1346&gt;=75,V1346&lt;=175,W1346&gt;=110),0.12,0)+IF(AND(V1346&gt;175,W1346&lt;25),0.23,0)+IF(AND(V1346&gt;175,W1346&gt;=25,W1346&lt;55),0.2,0)+IF(AND(V1346&gt;175,W1346&gt;=55,W1346&lt;95),0.17,0)+IF(AND(V1346&gt;175,W1346&gt;=95),0.12,0),
IF(AF1346="DoEVs1",IF(AND(V1346&lt;20,W1346&lt;55),0.3,0)+IF(AND(V1346&lt;20,W1346&gt;=55,W1346&lt;105),0.23,0)+IF(AND(V1346&lt;20,W1346&gt;=105),0.17,0)+IF(AND(V1346&gt;=20,V1346&lt;40,W1346&lt;45),0.3,0)+IF(AND(V1346&gt;=20,V1346&lt;40,W1346&gt;=45,W1346&lt;95),0.23,0)+IF(AND(V1346&gt;=20,V1346&lt;40,W1346&gt;=95,W1346&lt;=150),0.17,0)+IF(AND(V1346&gt;=20,V1346&lt;40,W1346&gt;=150),0.12,0)+IF(AND(V1346&gt;=40,V1346&lt;75,W1346&lt;35),0.3,0)+IF(AND(V1346&gt;=40,V1346&lt;75,W1346&gt;=35,W1346&lt;75),0.23,0)+IF(AND(V1346&gt;=40,V1346&lt;75,W1346&gt;=75,W1346&lt;120),0.17,0)+IF(AND(V1346&gt;=40,V1346&lt;75,W1346&gt;=120),0.12,0)+IF(AND(V1346&gt;=75,V1346&lt;175,W1346&lt;35),0.3,0)+IF(AND(V1346&gt;=75,V1346&lt;=175,W1346&gt;=35,W1346&lt;65),0.23,0)+IF(AND(V1346&gt;=75,V1346&lt;=175,W1346&gt;=65,W1346&lt;110),0.17,0)+IF(AND(V1346&gt;=75,V1346&lt;=175,W1346&gt;=110),0.12,0)+IF(AND(V1346&gt;175,W1346&lt;25),0.3,0)+IF(AND(V1346&gt;175,W1346&gt;=25,W1346&lt;55),0.23,0)+IF(AND(V1346&gt;175,W1346&gt;=55,W1346&lt;95),0.17,0)+IF(AND(V1346&gt;175,W1346&gt;=95),0.12,0),
IF(AF1346="DoEVsu",IF(AND(V1346&lt;20,W1346&lt;55),0.3,0)+IF(AND(V1346&lt;20,W1346&gt;=55,W1346&lt;105),0.23,0)+IF(AND(V1346&lt;20,W1346&gt;=105),0.17,0)+IF(AND(V1346&gt;=20,V1346&lt;40,W1346&lt;45),0.3,0)+IF(AND(V1346&gt;=20,V1346&lt;40,W1346&gt;=45,W1346&lt;95),0.23,0)+IF(AND(V1346&gt;=20,V1346&lt;40,W1346&gt;=95,W1346&lt;=250),0.17,0)+IF(AND(V1346&gt;=20,V1346&lt;40,W1346&gt;=250),0.12,0)+IF(AND(V1346&gt;=40,V1346&lt;75,W1346&lt;35),0.3,0)+IF(AND(V1346&gt;=40,V1346&lt;75,W1346&gt;=35,W1346&lt;75),0.23,0)+IF(AND(V1346&gt;=40,V1346&lt;75,W1346&gt;=75,W1346&lt;120),0.17,0)+IF(AND(V1346&gt;=40,V1346&lt;75,W1346&gt;=120),0.12,0)+IF(AND(V1346&gt;=75,V1346&lt;175,W1346&lt;35),0.3,0)+IF(AND(V1346&gt;=75,V1346&lt;=175,W1346&gt;=35,W1346&lt;65),0.23,0)+IF(AND(V1346&gt;=75,V1346&lt;=175,W1346&gt;=65,W1346&lt;110),0.17,0)+IF(AND(V1346&gt;=75,V1346&lt;=175,W1346&gt;=110),0.12,0)+IF(AND(V1346&gt;175,W1346&lt;25),0.3,0)+IF(AND(V1346&gt;175,W1346&gt;=25,W1346&lt;55),0.23,0)+IF(AND(V1346&gt;175,W1346&gt;=55,W1346&lt;95),0.17,0)+IF(AND(V1346&gt;175,W1346&gt;=95),0.12,0),
IF(AF1346="DoEVni",IF(AND(V1346&lt;20,W1346&lt;55),0.3,0)+IF(AND(V1346&lt;20,W1346&gt;=55,W1346&lt;105),0.23,0)+IF(AND(V1346&lt;20,W1346&gt;=105),0.17,0)+IF(AND(V1346&gt;=20,V1346&lt;40,W1346&lt;45),0.3,0)+IF(AND(V1346&gt;=20,V1346&lt;40,W1346&gt;=45,W1346&lt;95),0.23,0)+IF(AND(V1346&gt;=20,V1346&lt;40,W1346&gt;=95,W1346&lt;=200),0.17,0)+IF(AND(V1346&gt;=20,V1346&lt;40,W1346&gt;=200),0.12,0)+IF(AND(V1346&gt;=40,V1346&lt;75,W1346&lt;35),0.3,0)+IF(AND(V1346&gt;=40,V1346&lt;75,W1346&gt;=35,W1346&lt;75),0.23,0)+IF(AND(V1346&gt;=40,V1346&lt;75,W1346&gt;=75,W1346&lt;120),0.17,0)+IF(AND(V1346&gt;=40,V1346&lt;75,W1346&gt;=120),0.12,0)+IF(AND(V1346&gt;=75,V1346&lt;175,W1346&lt;35),0.3,0)+IF(AND(V1346&gt;=75,V1346&lt;=175,W1346&gt;=35,W1346&lt;65),0.23,0)+IF(AND(V1346&gt;=75,V1346&lt;=175,W1346&gt;=65,W1346&lt;110),0.17,0)+IF(AND(V1346&gt;=75,V1346&lt;=175,W1346&gt;=110),0.12,0)+IF(AND(V1346&gt;175,W1346&lt;25),0.3,0)+IF(AND(V1346&gt;175,W1346&gt;=25,W1346&lt;55),0.23,0)+IF(AND(V1346&gt;175,W1346&gt;=55,W1346&lt;95),0.17,0)+IF(AND(V1346&gt;175,W1346&gt;=95),0.12,0),
IF(AF1346="DoEVLo",IF(AND(V1346&lt;20,W1346&lt;55),0.25,0)+IF(AND(V1346&lt;20,W1346&gt;=55,W1346&lt;105),0.2,0)+IF(AND(V1346&lt;20,W1346&gt;=105),0.15,0)+IF(AND(V1346&gt;=20,V1346&lt;40,W1346&lt;45),0.25,0)+IF(AND(V1346&gt;=20,V1346&lt;40,W1346&gt;=45,W1346&lt;95),0.2,0)+IF(AND(V1346&gt;=20,V1346&lt;40,W1346&gt;=95),0.15,0)+IF(AND(V1346&gt;=40,V1346&lt;75,W1346&lt;35),0.25,0)+IF(AND(V1346&gt;=40,V1346&lt;75,W1346&gt;=35,W1346&lt;75),0.2,0)+IF(AND(V1346&gt;=40,V1346&lt;75,W1346&gt;=75,W1346&lt;120),0.15,0)+IF(AND(V1346&gt;=40,V1346&lt;75,W1346&gt;=120),0.1,0)+IF(AND(V1346&gt;=75,V1346&lt;175,W1346&lt;35),0.25,0)+IF(AND(V1346&gt;=75,V1346&lt;=175,W1346&gt;=35,W1346&lt;65),0.2,0)+IF(AND(V1346&gt;=75,V1346&lt;=175,W1346&gt;=65,W1346&lt;110),0.15,0)+IF(AND(V1346&gt;=75,V1346&lt;=175,W1346&gt;=110),0.1,0)+IF(AND(V1346&gt;175,W1346&lt;25),0.25,0)+IF(AND(V1346&gt;175,W1346&gt;=25,W1346&lt;55),0.2,0)+IF(AND(V1346&gt;175,W1346&gt;=55,W1346&lt;95),0.15,0)+IF(AND(V1346&gt;175,W1346&gt;=95),0.1,0))))))))))))))))))</f>
        <v>0.1</v>
      </c>
      <c r="Y1346" s="30">
        <f>IF(AG1346="None",0,IF(AG1346="Fix5",0.05, IF(AG1346="Fix6.25",0.0625,IF(AG1346="Fix3.75",0.0375,IF(AG1346="Fix10",0.1,IF(AG1346="Fix3",0.03,0))))))</f>
        <v>0</v>
      </c>
      <c r="Z1346" s="35">
        <f>T1346-AA1346-AB1346</f>
        <v>-2254.5</v>
      </c>
      <c r="AA1346" s="29">
        <f>IF(AD1346="EUR",((T1346-R1346)*X1346)*U1346+(R1346*X1346),(T1346*X1346))</f>
        <v>-250.5</v>
      </c>
      <c r="AB1346" s="36">
        <f>IF(AD1346="EUR",((T1346-R1346)*Y1346)*U1346+(R1346*Y1346),(T1346*Y1346))</f>
        <v>0</v>
      </c>
      <c r="AC1346" s="37" t="b">
        <v>1</v>
      </c>
      <c r="AD1346" s="37" t="s">
        <v>38</v>
      </c>
      <c r="AE1346" s="37" t="s">
        <v>38</v>
      </c>
      <c r="AF1346" s="37" t="str">
        <f t="array" ref="AF1346">INDEX('Deal Info'!D:D, MATCH(A1346,'Deal Info'!A:A, 0))</f>
        <v>Fix10</v>
      </c>
      <c r="AG1346" s="38" t="str">
        <f t="array" ref="AG1346">INDEX('Deal Info'!G:G, MATCH(A1346,'Deal Info'!A:A, 0))</f>
        <v>None</v>
      </c>
    </row>
    <row r="1347" spans="1:33" ht="14.25" hidden="1" x14ac:dyDescent="0.2">
      <c r="A1347" s="18" t="str">
        <f t="array" ref="A1347">IF(G1347='Room Info'!$B$1, INDEX('Room Info'!$A$2:$A2446, MATCH(B1347,'Room Info'!$B$2:$B2446, 0)),IF(G1347='Room Info'!$C$1, INDEX('Room Info'!$A$2:$A2446, MATCH(B1347,'Room Info'!$C$2:$C2446, 0)),IF(G1347='Room Info'!$D$1, INDEX('Room Info'!$A$2:$A2446, MATCH(B1347,'Room Info'!$D$2:$D2446, 0)),IF(G1347='Room Info'!$E$1, INDEX('Room Info'!$A$2:$A2446, MATCH(B1347,'Room Info'!$E$2:$E2446, 0)),IF(G1347='Room Info'!$F$1, INDEX('Room Info'!$A$2:$A2446, MATCH(B1347,'Room Info'!$F$2:$F2446, 0)),IF(G1347='Room Info'!$H$1, INDEX('Room Info'!$A$2:$A2446, MATCH(B1347,'Room Info'!$H$2:$H2446, 0)),IF(G1347='Room Info'!$G$1, INDEX('Room Info'!$A$2:$A2446, MATCH(B1347,'Room Info'!$G$2:$G2446, 0)))))))))</f>
        <v>volkovsky</v>
      </c>
      <c r="B1347" s="45" t="s">
        <v>206</v>
      </c>
      <c r="C1347" s="77">
        <v>44794</v>
      </c>
      <c r="D1347" s="77">
        <v>44824</v>
      </c>
      <c r="E1347" s="47">
        <v>44805</v>
      </c>
      <c r="F1347" s="48" t="s">
        <v>34</v>
      </c>
      <c r="G1347" s="45" t="s">
        <v>35</v>
      </c>
      <c r="H1347" s="91" t="s">
        <v>88</v>
      </c>
      <c r="I1347" s="49" t="s">
        <v>37</v>
      </c>
      <c r="J1347" s="74">
        <v>250</v>
      </c>
      <c r="K1347" s="75">
        <v>667</v>
      </c>
      <c r="L1347" s="72">
        <v>-13000</v>
      </c>
      <c r="M1347" s="76">
        <v>6635</v>
      </c>
      <c r="N1347" s="28">
        <f>K1347*J1347</f>
        <v>166750</v>
      </c>
      <c r="O1347" s="45">
        <v>-11651</v>
      </c>
      <c r="P1347" s="29">
        <v>-17.46776612</v>
      </c>
      <c r="Q1347" s="55"/>
      <c r="R1347" s="31">
        <f>M1347+Q1347</f>
        <v>6635</v>
      </c>
      <c r="S1347" s="73">
        <v>-14174</v>
      </c>
      <c r="T1347" s="32">
        <f>R1347+S1347+IF(F1347="Without EV deal",L1347,0)</f>
        <v>-7539</v>
      </c>
      <c r="U1347" s="57"/>
      <c r="V1347" s="58"/>
      <c r="W1347" s="58"/>
      <c r="X1347" s="30">
        <f>IF(AF1347="DoEV",IF(AND(V1347&lt;20,W1347&lt;55),0.3,0)+IF(AND(V1347&lt;20,W1347&gt;=55,W1347&lt;105),0.23,0)+IF(AND(V1347&lt;20,W1347&gt;=105),0.17,0)+IF(AND(V1347&gt;=20,V1347&lt;40,W1347&lt;45),0.3,0)+IF(AND(V1347&gt;=20,V1347&lt;40,W1347&gt;=45,W1347&lt;95),0.23,0)+IF(AND(V1347&gt;=20,V1347&lt;40,W1347&gt;=95),0.17,0)+IF(AND(V1347&gt;=40,V1347&lt;75,W1347&lt;35),0.3,0)+IF(AND(V1347&gt;=40,V1347&lt;75,W1347&gt;=35,W1347&lt;75),0.23,0)+IF(AND(V1347&gt;=40,V1347&lt;75,W1347&gt;=75,W1347&lt;120),0.17,0)+IF(AND(V1347&gt;=40,V1347&lt;75,W1347&gt;=120),0.12,0)+IF(AND(V1347&gt;=75,V1347&lt;175,W1347&lt;35),0.3,0)+IF(AND(V1347&gt;=75,V1347&lt;=175,W1347&gt;=35,W1347&lt;65),0.23,0)+IF(AND(V1347&gt;=75,V1347&lt;=175,W1347&gt;=65,W1347&lt;110),0.17,0)+IF(AND(V1347&gt;=75,V1347&lt;=175,W1347&gt;=110),0.12,0)+IF(AND(V1347&gt;175,W1347&lt;25),0.3,0)+IF(AND(V1347&gt;175,W1347&gt;=25,W1347&lt;55),0.23,0)+IF(AND(V1347&gt;175,W1347&gt;=55,W1347&lt;95),0.17,0)+IF(AND(V1347&gt;175,W1347&gt;=95),0.12,0),
IF(AF1347="Fix15",0.15,
IF(AF1347="Fix18.75",0.1875,
IF(AF1347="Fix11.25",0.1125,
IF(AF1347="Fix10",0.1,
IF(AF1347="Fix9",0.09,
IF(AF1347="Fix19",0.19,
IF(AF1347="DoEV2017",IF(AND(W1347&lt;74),0.2,0)+IF(AND(W1347&gt;=74),0.17,0),
IF(AF1347="SF",IF(AND(V1347&lt;20,W1347&lt;89),0.3,0)+IF(AND(V1347&lt;20,W1347&gt;=89),0.25,0)+IF(AND(V1347&gt;=20,V1347&lt;40,W1347&lt;74),0.3,0)+IF(AND(V1347&gt;=20,V1347&lt;40,W1347&gt;=75),0.22,0)+IF(AND(V1347&gt;=40,V1347&lt;75,W1347&lt;75),0.26,0)+IF(AND(V1347&gt;=40,V1347&lt;75,W1347&gt;=75),0.22,0)+IF(V1347&gt;=75,0.22,0),
IF(AF1347="DoEVold",IF(AND(V1347&lt;40,W1347&lt;35),0.35,0)+IF(AND(V1347&lt;40,W1347&gt;=35,W1347&lt;75),0.25,0)+IF(AND(V1347&lt;40,W1347&gt;=75),0.17,0)+IF(AND(V1347&gt;=40,V1347&lt;75,W1347&lt;25),0.35,0)+IF(AND(V1347&gt;=40,V1347&lt;75,W1347&gt;=25,W1347&lt;65),0.25,0)+IF(AND(V1347&gt;=40,V1347&lt;75,W1347&gt;=65,W1347&lt;100),0.17,0)+IF(AND(V1347&gt;=40,V1347&lt;75,W1347&gt;=100),0.1,0)+IF(AND(V1347&gt;=75,W1347&lt;25),0.35,0)+IF(AND(V1347&gt;=75,W1347&gt;=25,W1347&lt;60),0.25,0)+IF(AND(V1347&gt;=75,W1347&gt;=60,W1347&lt;95),0.17,0)+IF(AND(V1347&gt;=75,W1347&gt;=95),0.1,0),
IF(AF1347="DoEVold15",IF(AND(V1347&lt;=40,W1347&lt;35),0.35,0)+IF(AND(V1347&lt;=40,W1347&gt;=35,W1347&lt;75),0.25,0)+IF(AND(V1347&lt;=40,W1347&gt;=75,W1347&lt;120),0.17,0)+IF(AND(V1347&lt;=40,W1347&gt;=120),0.15,0)+IF(AND(V1347&gt;40,V1347&lt;75,W1347&lt;25),0.35,0)+IF(AND(V1347&gt;=40,V1347&lt;75,W1347&gt;=25,W1347&lt;65),0.25,0)+IF(AND(V1347&gt;=40,V1347&lt;75,W1347&gt;=65,W1347&lt;100),0.17,0)+IF(AND(V1347&gt;=40,V1347&lt;75,W1347&gt;=100),0.1,0)+IF(AND(V1347&gt;=75,W1347&lt;25),0.35,0)+IF(AND(V1347&gt;=75,W1347&gt;=25,W1347&lt;60),0.25,0)+IF(AND(V1347&gt;=75,W1347&gt;=60,W1347&lt;95),0.17,0)+IF(AND(V1347&gt;=75,W1347&gt;=95),0.1,0),
IF(AF1347="DoEVba",IF(AND(V1347&lt;20,W1347&lt;105),0.2,0)+IF(AND(V1347&lt;20,W1347&gt;=105),0.15,0)+IF(AND(V1347&gt;=20,V1347&lt;40,W1347&lt;95),0.2,0)+IF(AND(V1347&gt;=20,V1347&lt;40,W1347&gt;=95,W1347&lt;150),0.15,0)+IF(AND(V1347&gt;=20,V1347&lt;40,W1347&gt;=150),0.12,0)+IF(AND(V1347&gt;=40,V1347&lt;75,W1347&lt;75),0.2,0)+IF(AND(V1347&gt;=40,V1347&lt;75,W1347&gt;=75,W1347&lt;120),0.15,0)+IF(AND(V1347&gt;=40,V1347&lt;75,W1347&gt;=120),0.12,0)+IF(AND(V1347&gt;=75,V1347&lt;175,W1347&lt;65),0.2,0)+IF(AND(V1347&gt;=75,V1347&lt;175,W1347&gt;=65,W1347&lt;110),0.15,0)+IF(AND(V1347&gt;=75,V1347&lt;175,W1347&gt;=110),0.12,0)+IF(AND(V1347&gt;=175,W1347&lt;55),0.2,0)+IF(AND(V1347&gt;=175,W1347&gt;=55,W1347&lt;95),0.15,0)+IF(AND(V1347&gt;=175,W1347&gt;=95),0.12,0),
IF(AF1347="DoEVku",IF(AND(V1347&lt;20,W1347&lt;55),0.23,0)+IF(AND(V1347&lt;20,W1347&gt;=55,W1347&lt;105),0.2,0)+IF(AND(V1347&lt;20,W1347&gt;=105),0.17,0)+IF(AND(V1347&gt;=20,V1347&lt;40,W1347&lt;45),0.23,0)+IF(AND(V1347&gt;=20,V1347&lt;40,W1347&gt;=45,W1347&lt;95),0.2,0)+IF(AND(V1347&gt;=20,V1347&lt;40,W1347&gt;=95,W1347&lt;=150),0.17,0)+IF(AND(V1347&gt;=20,V1347&lt;40,W1347&gt;=150),0.12,0)+IF(AND(V1347&gt;=40,V1347&lt;75,W1347&lt;35),0.23,0)+IF(AND(V1347&gt;=40,V1347&lt;75,W1347&gt;=35,W1347&lt;75),0.2,0)+IF(AND(V1347&gt;=40,V1347&lt;75,W1347&gt;=75,W1347&lt;120),0.17,0)+IF(AND(V1347&gt;=40,V1347&lt;75,W1347&gt;=120),0.12,0)+IF(AND(V1347&gt;=75,V1347&lt;175,W1347&lt;35),0.23,0)+IF(AND(V1347&gt;=75,V1347&lt;=175,W1347&gt;=35,W1347&lt;65),0.2,0)+IF(AND(V1347&gt;=75,V1347&lt;=175,W1347&gt;=65,W1347&lt;110),0.17,0)+IF(AND(V1347&gt;=75,V1347&lt;=175,W1347&gt;=110),0.12,0)+IF(AND(V1347&gt;175,W1347&lt;25),0.23,0)+IF(AND(V1347&gt;175,W1347&gt;=25,W1347&lt;55),0.2,0)+IF(AND(V1347&gt;175,W1347&gt;=55,W1347&lt;95),0.17,0)+IF(AND(V1347&gt;175,W1347&gt;=95),0.12,0),
IF(AF1347="DoEVs1",IF(AND(V1347&lt;20,W1347&lt;55),0.3,0)+IF(AND(V1347&lt;20,W1347&gt;=55,W1347&lt;105),0.23,0)+IF(AND(V1347&lt;20,W1347&gt;=105),0.17,0)+IF(AND(V1347&gt;=20,V1347&lt;40,W1347&lt;45),0.3,0)+IF(AND(V1347&gt;=20,V1347&lt;40,W1347&gt;=45,W1347&lt;95),0.23,0)+IF(AND(V1347&gt;=20,V1347&lt;40,W1347&gt;=95,W1347&lt;=150),0.17,0)+IF(AND(V1347&gt;=20,V1347&lt;40,W1347&gt;=150),0.12,0)+IF(AND(V1347&gt;=40,V1347&lt;75,W1347&lt;35),0.3,0)+IF(AND(V1347&gt;=40,V1347&lt;75,W1347&gt;=35,W1347&lt;75),0.23,0)+IF(AND(V1347&gt;=40,V1347&lt;75,W1347&gt;=75,W1347&lt;120),0.17,0)+IF(AND(V1347&gt;=40,V1347&lt;75,W1347&gt;=120),0.12,0)+IF(AND(V1347&gt;=75,V1347&lt;175,W1347&lt;35),0.3,0)+IF(AND(V1347&gt;=75,V1347&lt;=175,W1347&gt;=35,W1347&lt;65),0.23,0)+IF(AND(V1347&gt;=75,V1347&lt;=175,W1347&gt;=65,W1347&lt;110),0.17,0)+IF(AND(V1347&gt;=75,V1347&lt;=175,W1347&gt;=110),0.12,0)+IF(AND(V1347&gt;175,W1347&lt;25),0.3,0)+IF(AND(V1347&gt;175,W1347&gt;=25,W1347&lt;55),0.23,0)+IF(AND(V1347&gt;175,W1347&gt;=55,W1347&lt;95),0.17,0)+IF(AND(V1347&gt;175,W1347&gt;=95),0.12,0),
IF(AF1347="DoEVsu",IF(AND(V1347&lt;20,W1347&lt;55),0.3,0)+IF(AND(V1347&lt;20,W1347&gt;=55,W1347&lt;105),0.23,0)+IF(AND(V1347&lt;20,W1347&gt;=105),0.17,0)+IF(AND(V1347&gt;=20,V1347&lt;40,W1347&lt;45),0.3,0)+IF(AND(V1347&gt;=20,V1347&lt;40,W1347&gt;=45,W1347&lt;95),0.23,0)+IF(AND(V1347&gt;=20,V1347&lt;40,W1347&gt;=95,W1347&lt;=250),0.17,0)+IF(AND(V1347&gt;=20,V1347&lt;40,W1347&gt;=250),0.12,0)+IF(AND(V1347&gt;=40,V1347&lt;75,W1347&lt;35),0.3,0)+IF(AND(V1347&gt;=40,V1347&lt;75,W1347&gt;=35,W1347&lt;75),0.23,0)+IF(AND(V1347&gt;=40,V1347&lt;75,W1347&gt;=75,W1347&lt;120),0.17,0)+IF(AND(V1347&gt;=40,V1347&lt;75,W1347&gt;=120),0.12,0)+IF(AND(V1347&gt;=75,V1347&lt;175,W1347&lt;35),0.3,0)+IF(AND(V1347&gt;=75,V1347&lt;=175,W1347&gt;=35,W1347&lt;65),0.23,0)+IF(AND(V1347&gt;=75,V1347&lt;=175,W1347&gt;=65,W1347&lt;110),0.17,0)+IF(AND(V1347&gt;=75,V1347&lt;=175,W1347&gt;=110),0.12,0)+IF(AND(V1347&gt;175,W1347&lt;25),0.3,0)+IF(AND(V1347&gt;175,W1347&gt;=25,W1347&lt;55),0.23,0)+IF(AND(V1347&gt;175,W1347&gt;=55,W1347&lt;95),0.17,0)+IF(AND(V1347&gt;175,W1347&gt;=95),0.12,0),
IF(AF1347="DoEVni",IF(AND(V1347&lt;20,W1347&lt;55),0.3,0)+IF(AND(V1347&lt;20,W1347&gt;=55,W1347&lt;105),0.23,0)+IF(AND(V1347&lt;20,W1347&gt;=105),0.17,0)+IF(AND(V1347&gt;=20,V1347&lt;40,W1347&lt;45),0.3,0)+IF(AND(V1347&gt;=20,V1347&lt;40,W1347&gt;=45,W1347&lt;95),0.23,0)+IF(AND(V1347&gt;=20,V1347&lt;40,W1347&gt;=95,W1347&lt;=200),0.17,0)+IF(AND(V1347&gt;=20,V1347&lt;40,W1347&gt;=200),0.12,0)+IF(AND(V1347&gt;=40,V1347&lt;75,W1347&lt;35),0.3,0)+IF(AND(V1347&gt;=40,V1347&lt;75,W1347&gt;=35,W1347&lt;75),0.23,0)+IF(AND(V1347&gt;=40,V1347&lt;75,W1347&gt;=75,W1347&lt;120),0.17,0)+IF(AND(V1347&gt;=40,V1347&lt;75,W1347&gt;=120),0.12,0)+IF(AND(V1347&gt;=75,V1347&lt;175,W1347&lt;35),0.3,0)+IF(AND(V1347&gt;=75,V1347&lt;=175,W1347&gt;=35,W1347&lt;65),0.23,0)+IF(AND(V1347&gt;=75,V1347&lt;=175,W1347&gt;=65,W1347&lt;110),0.17,0)+IF(AND(V1347&gt;=75,V1347&lt;=175,W1347&gt;=110),0.12,0)+IF(AND(V1347&gt;175,W1347&lt;25),0.3,0)+IF(AND(V1347&gt;175,W1347&gt;=25,W1347&lt;55),0.23,0)+IF(AND(V1347&gt;175,W1347&gt;=55,W1347&lt;95),0.17,0)+IF(AND(V1347&gt;175,W1347&gt;=95),0.12,0),
IF(AF1347="DoEVLo",IF(AND(V1347&lt;20,W1347&lt;55),0.25,0)+IF(AND(V1347&lt;20,W1347&gt;=55,W1347&lt;105),0.2,0)+IF(AND(V1347&lt;20,W1347&gt;=105),0.15,0)+IF(AND(V1347&gt;=20,V1347&lt;40,W1347&lt;45),0.25,0)+IF(AND(V1347&gt;=20,V1347&lt;40,W1347&gt;=45,W1347&lt;95),0.2,0)+IF(AND(V1347&gt;=20,V1347&lt;40,W1347&gt;=95),0.15,0)+IF(AND(V1347&gt;=40,V1347&lt;75,W1347&lt;35),0.25,0)+IF(AND(V1347&gt;=40,V1347&lt;75,W1347&gt;=35,W1347&lt;75),0.2,0)+IF(AND(V1347&gt;=40,V1347&lt;75,W1347&gt;=75,W1347&lt;120),0.15,0)+IF(AND(V1347&gt;=40,V1347&lt;75,W1347&gt;=120),0.1,0)+IF(AND(V1347&gt;=75,V1347&lt;175,W1347&lt;35),0.25,0)+IF(AND(V1347&gt;=75,V1347&lt;=175,W1347&gt;=35,W1347&lt;65),0.2,0)+IF(AND(V1347&gt;=75,V1347&lt;=175,W1347&gt;=65,W1347&lt;110),0.15,0)+IF(AND(V1347&gt;=75,V1347&lt;=175,W1347&gt;=110),0.1,0)+IF(AND(V1347&gt;175,W1347&lt;25),0.25,0)+IF(AND(V1347&gt;175,W1347&gt;=25,W1347&lt;55),0.2,0)+IF(AND(V1347&gt;175,W1347&gt;=55,W1347&lt;95),0.15,0)+IF(AND(V1347&gt;175,W1347&gt;=95),0.1,0))))))))))))))))))</f>
        <v>0.1</v>
      </c>
      <c r="Y1347" s="30">
        <f>IF(AG1347="None",0,IF(AG1347="Fix5",0.05, IF(AG1347="Fix6.25",0.0625,IF(AG1347="Fix3.75",0.0375,IF(AG1347="Fix10",0.1,IF(AG1347="Fix3",0.03,0))))))</f>
        <v>0</v>
      </c>
      <c r="Z1347" s="35">
        <f>T1347-AA1347-AB1347</f>
        <v>-6785.1</v>
      </c>
      <c r="AA1347" s="29">
        <f>IF(AD1347="EUR",((T1347-R1347)*X1347)*U1347+(R1347*X1347),(T1347*X1347))</f>
        <v>-753.90000000000009</v>
      </c>
      <c r="AB1347" s="36">
        <f>IF(AD1347="EUR",((T1347-R1347)*Y1347)*U1347+(R1347*Y1347),(T1347*Y1347))</f>
        <v>0</v>
      </c>
      <c r="AC1347" s="37" t="b">
        <v>1</v>
      </c>
      <c r="AD1347" s="37" t="s">
        <v>38</v>
      </c>
      <c r="AE1347" s="37" t="s">
        <v>38</v>
      </c>
      <c r="AF1347" s="37" t="str">
        <f t="array" ref="AF1347">INDEX('Deal Info'!D:D, MATCH(A1347,'Deal Info'!A:A, 0))</f>
        <v>Fix10</v>
      </c>
      <c r="AG1347" s="38" t="str">
        <f t="array" ref="AG1347">INDEX('Deal Info'!G:G, MATCH(A1347,'Deal Info'!A:A, 0))</f>
        <v>None</v>
      </c>
    </row>
    <row r="1348" spans="1:33" ht="14.25" hidden="1" x14ac:dyDescent="0.2">
      <c r="A1348" s="18" t="str">
        <f t="array" ref="A1348">IF(G1348='Room Info'!$B$1, INDEX('Room Info'!$A$2:$A2446, MATCH(B1348,'Room Info'!$B$2:$B2446, 0)),IF(G1348='Room Info'!$C$1, INDEX('Room Info'!$A$2:$A2446, MATCH(B1348,'Room Info'!$C$2:$C2446, 0)),IF(G1348='Room Info'!$D$1, INDEX('Room Info'!$A$2:$A2446, MATCH(B1348,'Room Info'!$D$2:$D2446, 0)),IF(G1348='Room Info'!$E$1, INDEX('Room Info'!$A$2:$A2446, MATCH(B1348,'Room Info'!$E$2:$E2446, 0)),IF(G1348='Room Info'!$F$1, INDEX('Room Info'!$A$2:$A2446, MATCH(B1348,'Room Info'!$F$2:$F2446, 0)),IF(G1348='Room Info'!$H$1, INDEX('Room Info'!$A$2:$A2446, MATCH(B1348,'Room Info'!$H$2:$H2446, 0)),IF(G1348='Room Info'!$G$1, INDEX('Room Info'!$A$2:$A2446, MATCH(B1348,'Room Info'!$G$2:$G2446, 0)))))))))</f>
        <v>volkovsky</v>
      </c>
      <c r="B1348" s="45" t="s">
        <v>206</v>
      </c>
      <c r="C1348" s="77">
        <v>44794</v>
      </c>
      <c r="D1348" s="77">
        <v>44824</v>
      </c>
      <c r="E1348" s="47">
        <v>44805</v>
      </c>
      <c r="F1348" s="48" t="s">
        <v>34</v>
      </c>
      <c r="G1348" s="45" t="s">
        <v>35</v>
      </c>
      <c r="H1348" s="91" t="s">
        <v>148</v>
      </c>
      <c r="I1348" s="49" t="s">
        <v>44</v>
      </c>
      <c r="J1348" s="74">
        <v>250</v>
      </c>
      <c r="K1348" s="75">
        <v>203</v>
      </c>
      <c r="L1348" s="72">
        <v>4500</v>
      </c>
      <c r="M1348" s="76">
        <v>2019</v>
      </c>
      <c r="N1348" s="28">
        <f>K1348*J1348</f>
        <v>50750</v>
      </c>
      <c r="O1348" s="45">
        <v>5745</v>
      </c>
      <c r="P1348" s="29">
        <v>28.300492609999999</v>
      </c>
      <c r="Q1348" s="55"/>
      <c r="R1348" s="31">
        <f>M1348+Q1348</f>
        <v>2019</v>
      </c>
      <c r="S1348" s="73">
        <v>1850</v>
      </c>
      <c r="T1348" s="32">
        <f>R1348+S1348+IF(F1348="Without EV deal",L1348,0)</f>
        <v>3869</v>
      </c>
      <c r="U1348" s="57"/>
      <c r="V1348" s="58"/>
      <c r="W1348" s="58"/>
      <c r="X1348" s="30">
        <f>IF(AF1348="DoEV",IF(AND(V1348&lt;20,W1348&lt;55),0.3,0)+IF(AND(V1348&lt;20,W1348&gt;=55,W1348&lt;105),0.23,0)+IF(AND(V1348&lt;20,W1348&gt;=105),0.17,0)+IF(AND(V1348&gt;=20,V1348&lt;40,W1348&lt;45),0.3,0)+IF(AND(V1348&gt;=20,V1348&lt;40,W1348&gt;=45,W1348&lt;95),0.23,0)+IF(AND(V1348&gt;=20,V1348&lt;40,W1348&gt;=95),0.17,0)+IF(AND(V1348&gt;=40,V1348&lt;75,W1348&lt;35),0.3,0)+IF(AND(V1348&gt;=40,V1348&lt;75,W1348&gt;=35,W1348&lt;75),0.23,0)+IF(AND(V1348&gt;=40,V1348&lt;75,W1348&gt;=75,W1348&lt;120),0.17,0)+IF(AND(V1348&gt;=40,V1348&lt;75,W1348&gt;=120),0.12,0)+IF(AND(V1348&gt;=75,V1348&lt;175,W1348&lt;35),0.3,0)+IF(AND(V1348&gt;=75,V1348&lt;=175,W1348&gt;=35,W1348&lt;65),0.23,0)+IF(AND(V1348&gt;=75,V1348&lt;=175,W1348&gt;=65,W1348&lt;110),0.17,0)+IF(AND(V1348&gt;=75,V1348&lt;=175,W1348&gt;=110),0.12,0)+IF(AND(V1348&gt;175,W1348&lt;25),0.3,0)+IF(AND(V1348&gt;175,W1348&gt;=25,W1348&lt;55),0.23,0)+IF(AND(V1348&gt;175,W1348&gt;=55,W1348&lt;95),0.17,0)+IF(AND(V1348&gt;175,W1348&gt;=95),0.12,0),
IF(AF1348="Fix15",0.15,
IF(AF1348="Fix18.75",0.1875,
IF(AF1348="Fix11.25",0.1125,
IF(AF1348="Fix10",0.1,
IF(AF1348="Fix9",0.09,
IF(AF1348="Fix19",0.19,
IF(AF1348="DoEV2017",IF(AND(W1348&lt;74),0.2,0)+IF(AND(W1348&gt;=74),0.17,0),
IF(AF1348="SF",IF(AND(V1348&lt;20,W1348&lt;89),0.3,0)+IF(AND(V1348&lt;20,W1348&gt;=89),0.25,0)+IF(AND(V1348&gt;=20,V1348&lt;40,W1348&lt;74),0.3,0)+IF(AND(V1348&gt;=20,V1348&lt;40,W1348&gt;=75),0.22,0)+IF(AND(V1348&gt;=40,V1348&lt;75,W1348&lt;75),0.26,0)+IF(AND(V1348&gt;=40,V1348&lt;75,W1348&gt;=75),0.22,0)+IF(V1348&gt;=75,0.22,0),
IF(AF1348="DoEVold",IF(AND(V1348&lt;40,W1348&lt;35),0.35,0)+IF(AND(V1348&lt;40,W1348&gt;=35,W1348&lt;75),0.25,0)+IF(AND(V1348&lt;40,W1348&gt;=75),0.17,0)+IF(AND(V1348&gt;=40,V1348&lt;75,W1348&lt;25),0.35,0)+IF(AND(V1348&gt;=40,V1348&lt;75,W1348&gt;=25,W1348&lt;65),0.25,0)+IF(AND(V1348&gt;=40,V1348&lt;75,W1348&gt;=65,W1348&lt;100),0.17,0)+IF(AND(V1348&gt;=40,V1348&lt;75,W1348&gt;=100),0.1,0)+IF(AND(V1348&gt;=75,W1348&lt;25),0.35,0)+IF(AND(V1348&gt;=75,W1348&gt;=25,W1348&lt;60),0.25,0)+IF(AND(V1348&gt;=75,W1348&gt;=60,W1348&lt;95),0.17,0)+IF(AND(V1348&gt;=75,W1348&gt;=95),0.1,0),
IF(AF1348="DoEVold15",IF(AND(V1348&lt;=40,W1348&lt;35),0.35,0)+IF(AND(V1348&lt;=40,W1348&gt;=35,W1348&lt;75),0.25,0)+IF(AND(V1348&lt;=40,W1348&gt;=75,W1348&lt;120),0.17,0)+IF(AND(V1348&lt;=40,W1348&gt;=120),0.15,0)+IF(AND(V1348&gt;40,V1348&lt;75,W1348&lt;25),0.35,0)+IF(AND(V1348&gt;=40,V1348&lt;75,W1348&gt;=25,W1348&lt;65),0.25,0)+IF(AND(V1348&gt;=40,V1348&lt;75,W1348&gt;=65,W1348&lt;100),0.17,0)+IF(AND(V1348&gt;=40,V1348&lt;75,W1348&gt;=100),0.1,0)+IF(AND(V1348&gt;=75,W1348&lt;25),0.35,0)+IF(AND(V1348&gt;=75,W1348&gt;=25,W1348&lt;60),0.25,0)+IF(AND(V1348&gt;=75,W1348&gt;=60,W1348&lt;95),0.17,0)+IF(AND(V1348&gt;=75,W1348&gt;=95),0.1,0),
IF(AF1348="DoEVba",IF(AND(V1348&lt;20,W1348&lt;105),0.2,0)+IF(AND(V1348&lt;20,W1348&gt;=105),0.15,0)+IF(AND(V1348&gt;=20,V1348&lt;40,W1348&lt;95),0.2,0)+IF(AND(V1348&gt;=20,V1348&lt;40,W1348&gt;=95,W1348&lt;150),0.15,0)+IF(AND(V1348&gt;=20,V1348&lt;40,W1348&gt;=150),0.12,0)+IF(AND(V1348&gt;=40,V1348&lt;75,W1348&lt;75),0.2,0)+IF(AND(V1348&gt;=40,V1348&lt;75,W1348&gt;=75,W1348&lt;120),0.15,0)+IF(AND(V1348&gt;=40,V1348&lt;75,W1348&gt;=120),0.12,0)+IF(AND(V1348&gt;=75,V1348&lt;175,W1348&lt;65),0.2,0)+IF(AND(V1348&gt;=75,V1348&lt;175,W1348&gt;=65,W1348&lt;110),0.15,0)+IF(AND(V1348&gt;=75,V1348&lt;175,W1348&gt;=110),0.12,0)+IF(AND(V1348&gt;=175,W1348&lt;55),0.2,0)+IF(AND(V1348&gt;=175,W1348&gt;=55,W1348&lt;95),0.15,0)+IF(AND(V1348&gt;=175,W1348&gt;=95),0.12,0),
IF(AF1348="DoEVku",IF(AND(V1348&lt;20,W1348&lt;55),0.23,0)+IF(AND(V1348&lt;20,W1348&gt;=55,W1348&lt;105),0.2,0)+IF(AND(V1348&lt;20,W1348&gt;=105),0.17,0)+IF(AND(V1348&gt;=20,V1348&lt;40,W1348&lt;45),0.23,0)+IF(AND(V1348&gt;=20,V1348&lt;40,W1348&gt;=45,W1348&lt;95),0.2,0)+IF(AND(V1348&gt;=20,V1348&lt;40,W1348&gt;=95,W1348&lt;=150),0.17,0)+IF(AND(V1348&gt;=20,V1348&lt;40,W1348&gt;=150),0.12,0)+IF(AND(V1348&gt;=40,V1348&lt;75,W1348&lt;35),0.23,0)+IF(AND(V1348&gt;=40,V1348&lt;75,W1348&gt;=35,W1348&lt;75),0.2,0)+IF(AND(V1348&gt;=40,V1348&lt;75,W1348&gt;=75,W1348&lt;120),0.17,0)+IF(AND(V1348&gt;=40,V1348&lt;75,W1348&gt;=120),0.12,0)+IF(AND(V1348&gt;=75,V1348&lt;175,W1348&lt;35),0.23,0)+IF(AND(V1348&gt;=75,V1348&lt;=175,W1348&gt;=35,W1348&lt;65),0.2,0)+IF(AND(V1348&gt;=75,V1348&lt;=175,W1348&gt;=65,W1348&lt;110),0.17,0)+IF(AND(V1348&gt;=75,V1348&lt;=175,W1348&gt;=110),0.12,0)+IF(AND(V1348&gt;175,W1348&lt;25),0.23,0)+IF(AND(V1348&gt;175,W1348&gt;=25,W1348&lt;55),0.2,0)+IF(AND(V1348&gt;175,W1348&gt;=55,W1348&lt;95),0.17,0)+IF(AND(V1348&gt;175,W1348&gt;=95),0.12,0),
IF(AF1348="DoEVs1",IF(AND(V1348&lt;20,W1348&lt;55),0.3,0)+IF(AND(V1348&lt;20,W1348&gt;=55,W1348&lt;105),0.23,0)+IF(AND(V1348&lt;20,W1348&gt;=105),0.17,0)+IF(AND(V1348&gt;=20,V1348&lt;40,W1348&lt;45),0.3,0)+IF(AND(V1348&gt;=20,V1348&lt;40,W1348&gt;=45,W1348&lt;95),0.23,0)+IF(AND(V1348&gt;=20,V1348&lt;40,W1348&gt;=95,W1348&lt;=150),0.17,0)+IF(AND(V1348&gt;=20,V1348&lt;40,W1348&gt;=150),0.12,0)+IF(AND(V1348&gt;=40,V1348&lt;75,W1348&lt;35),0.3,0)+IF(AND(V1348&gt;=40,V1348&lt;75,W1348&gt;=35,W1348&lt;75),0.23,0)+IF(AND(V1348&gt;=40,V1348&lt;75,W1348&gt;=75,W1348&lt;120),0.17,0)+IF(AND(V1348&gt;=40,V1348&lt;75,W1348&gt;=120),0.12,0)+IF(AND(V1348&gt;=75,V1348&lt;175,W1348&lt;35),0.3,0)+IF(AND(V1348&gt;=75,V1348&lt;=175,W1348&gt;=35,W1348&lt;65),0.23,0)+IF(AND(V1348&gt;=75,V1348&lt;=175,W1348&gt;=65,W1348&lt;110),0.17,0)+IF(AND(V1348&gt;=75,V1348&lt;=175,W1348&gt;=110),0.12,0)+IF(AND(V1348&gt;175,W1348&lt;25),0.3,0)+IF(AND(V1348&gt;175,W1348&gt;=25,W1348&lt;55),0.23,0)+IF(AND(V1348&gt;175,W1348&gt;=55,W1348&lt;95),0.17,0)+IF(AND(V1348&gt;175,W1348&gt;=95),0.12,0),
IF(AF1348="DoEVsu",IF(AND(V1348&lt;20,W1348&lt;55),0.3,0)+IF(AND(V1348&lt;20,W1348&gt;=55,W1348&lt;105),0.23,0)+IF(AND(V1348&lt;20,W1348&gt;=105),0.17,0)+IF(AND(V1348&gt;=20,V1348&lt;40,W1348&lt;45),0.3,0)+IF(AND(V1348&gt;=20,V1348&lt;40,W1348&gt;=45,W1348&lt;95),0.23,0)+IF(AND(V1348&gt;=20,V1348&lt;40,W1348&gt;=95,W1348&lt;=250),0.17,0)+IF(AND(V1348&gt;=20,V1348&lt;40,W1348&gt;=250),0.12,0)+IF(AND(V1348&gt;=40,V1348&lt;75,W1348&lt;35),0.3,0)+IF(AND(V1348&gt;=40,V1348&lt;75,W1348&gt;=35,W1348&lt;75),0.23,0)+IF(AND(V1348&gt;=40,V1348&lt;75,W1348&gt;=75,W1348&lt;120),0.17,0)+IF(AND(V1348&gt;=40,V1348&lt;75,W1348&gt;=120),0.12,0)+IF(AND(V1348&gt;=75,V1348&lt;175,W1348&lt;35),0.3,0)+IF(AND(V1348&gt;=75,V1348&lt;=175,W1348&gt;=35,W1348&lt;65),0.23,0)+IF(AND(V1348&gt;=75,V1348&lt;=175,W1348&gt;=65,W1348&lt;110),0.17,0)+IF(AND(V1348&gt;=75,V1348&lt;=175,W1348&gt;=110),0.12,0)+IF(AND(V1348&gt;175,W1348&lt;25),0.3,0)+IF(AND(V1348&gt;175,W1348&gt;=25,W1348&lt;55),0.23,0)+IF(AND(V1348&gt;175,W1348&gt;=55,W1348&lt;95),0.17,0)+IF(AND(V1348&gt;175,W1348&gt;=95),0.12,0),
IF(AF1348="DoEVni",IF(AND(V1348&lt;20,W1348&lt;55),0.3,0)+IF(AND(V1348&lt;20,W1348&gt;=55,W1348&lt;105),0.23,0)+IF(AND(V1348&lt;20,W1348&gt;=105),0.17,0)+IF(AND(V1348&gt;=20,V1348&lt;40,W1348&lt;45),0.3,0)+IF(AND(V1348&gt;=20,V1348&lt;40,W1348&gt;=45,W1348&lt;95),0.23,0)+IF(AND(V1348&gt;=20,V1348&lt;40,W1348&gt;=95,W1348&lt;=200),0.17,0)+IF(AND(V1348&gt;=20,V1348&lt;40,W1348&gt;=200),0.12,0)+IF(AND(V1348&gt;=40,V1348&lt;75,W1348&lt;35),0.3,0)+IF(AND(V1348&gt;=40,V1348&lt;75,W1348&gt;=35,W1348&lt;75),0.23,0)+IF(AND(V1348&gt;=40,V1348&lt;75,W1348&gt;=75,W1348&lt;120),0.17,0)+IF(AND(V1348&gt;=40,V1348&lt;75,W1348&gt;=120),0.12,0)+IF(AND(V1348&gt;=75,V1348&lt;175,W1348&lt;35),0.3,0)+IF(AND(V1348&gt;=75,V1348&lt;=175,W1348&gt;=35,W1348&lt;65),0.23,0)+IF(AND(V1348&gt;=75,V1348&lt;=175,W1348&gt;=65,W1348&lt;110),0.17,0)+IF(AND(V1348&gt;=75,V1348&lt;=175,W1348&gt;=110),0.12,0)+IF(AND(V1348&gt;175,W1348&lt;25),0.3,0)+IF(AND(V1348&gt;175,W1348&gt;=25,W1348&lt;55),0.23,0)+IF(AND(V1348&gt;175,W1348&gt;=55,W1348&lt;95),0.17,0)+IF(AND(V1348&gt;175,W1348&gt;=95),0.12,0),
IF(AF1348="DoEVLo",IF(AND(V1348&lt;20,W1348&lt;55),0.25,0)+IF(AND(V1348&lt;20,W1348&gt;=55,W1348&lt;105),0.2,0)+IF(AND(V1348&lt;20,W1348&gt;=105),0.15,0)+IF(AND(V1348&gt;=20,V1348&lt;40,W1348&lt;45),0.25,0)+IF(AND(V1348&gt;=20,V1348&lt;40,W1348&gt;=45,W1348&lt;95),0.2,0)+IF(AND(V1348&gt;=20,V1348&lt;40,W1348&gt;=95),0.15,0)+IF(AND(V1348&gt;=40,V1348&lt;75,W1348&lt;35),0.25,0)+IF(AND(V1348&gt;=40,V1348&lt;75,W1348&gt;=35,W1348&lt;75),0.2,0)+IF(AND(V1348&gt;=40,V1348&lt;75,W1348&gt;=75,W1348&lt;120),0.15,0)+IF(AND(V1348&gt;=40,V1348&lt;75,W1348&gt;=120),0.1,0)+IF(AND(V1348&gt;=75,V1348&lt;175,W1348&lt;35),0.25,0)+IF(AND(V1348&gt;=75,V1348&lt;=175,W1348&gt;=35,W1348&lt;65),0.2,0)+IF(AND(V1348&gt;=75,V1348&lt;=175,W1348&gt;=65,W1348&lt;110),0.15,0)+IF(AND(V1348&gt;=75,V1348&lt;=175,W1348&gt;=110),0.1,0)+IF(AND(V1348&gt;175,W1348&lt;25),0.25,0)+IF(AND(V1348&gt;175,W1348&gt;=25,W1348&lt;55),0.2,0)+IF(AND(V1348&gt;175,W1348&gt;=55,W1348&lt;95),0.15,0)+IF(AND(V1348&gt;175,W1348&gt;=95),0.1,0))))))))))))))))))</f>
        <v>0.1</v>
      </c>
      <c r="Y1348" s="30">
        <f>IF(AG1348="None",0,IF(AG1348="Fix5",0.05, IF(AG1348="Fix6.25",0.0625,IF(AG1348="Fix3.75",0.0375,IF(AG1348="Fix10",0.1,IF(AG1348="Fix3",0.03,0))))))</f>
        <v>0</v>
      </c>
      <c r="Z1348" s="35">
        <f>T1348-AA1348-AB1348</f>
        <v>3482.1</v>
      </c>
      <c r="AA1348" s="29">
        <f>IF(AD1348="EUR",((T1348-R1348)*X1348)*U1348+(R1348*X1348),(T1348*X1348))</f>
        <v>386.90000000000003</v>
      </c>
      <c r="AB1348" s="36">
        <f>IF(AD1348="EUR",((T1348-R1348)*Y1348)*U1348+(R1348*Y1348),(T1348*Y1348))</f>
        <v>0</v>
      </c>
      <c r="AC1348" s="37" t="b">
        <v>1</v>
      </c>
      <c r="AD1348" s="37" t="s">
        <v>38</v>
      </c>
      <c r="AE1348" s="37" t="s">
        <v>38</v>
      </c>
      <c r="AF1348" s="37" t="str">
        <f t="array" ref="AF1348">INDEX('Deal Info'!D:D, MATCH(A1348,'Deal Info'!A:A, 0))</f>
        <v>Fix10</v>
      </c>
      <c r="AG1348" s="38" t="str">
        <f t="array" ref="AG1348">INDEX('Deal Info'!G:G, MATCH(A1348,'Deal Info'!A:A, 0))</f>
        <v>None</v>
      </c>
    </row>
    <row r="1349" spans="1:33" ht="14.25" hidden="1" x14ac:dyDescent="0.2">
      <c r="A1349" s="18" t="str">
        <f t="array" ref="A1349">IF(G1349='Room Info'!$B$1, INDEX('Room Info'!$A$2:$A2446, MATCH(B1349,'Room Info'!$B$2:$B2446, 0)),IF(G1349='Room Info'!$C$1, INDEX('Room Info'!$A$2:$A2446, MATCH(B1349,'Room Info'!$C$2:$C2446, 0)),IF(G1349='Room Info'!$D$1, INDEX('Room Info'!$A$2:$A2446, MATCH(B1349,'Room Info'!$D$2:$D2446, 0)),IF(G1349='Room Info'!$E$1, INDEX('Room Info'!$A$2:$A2446, MATCH(B1349,'Room Info'!$E$2:$E2446, 0)),IF(G1349='Room Info'!$F$1, INDEX('Room Info'!$A$2:$A2446, MATCH(B1349,'Room Info'!$F$2:$F2446, 0)),IF(G1349='Room Info'!$H$1, INDEX('Room Info'!$A$2:$A2446, MATCH(B1349,'Room Info'!$H$2:$H2446, 0)),IF(G1349='Room Info'!$G$1, INDEX('Room Info'!$A$2:$A2446, MATCH(B1349,'Room Info'!$G$2:$G2446, 0)))))))))</f>
        <v>volkovsky</v>
      </c>
      <c r="B1349" s="45" t="s">
        <v>206</v>
      </c>
      <c r="C1349" s="46">
        <v>44825</v>
      </c>
      <c r="D1349" s="46">
        <v>44854</v>
      </c>
      <c r="E1349" s="47">
        <v>44835</v>
      </c>
      <c r="F1349" s="45" t="s">
        <v>34</v>
      </c>
      <c r="G1349" s="54" t="s">
        <v>35</v>
      </c>
      <c r="H1349" s="49" t="s">
        <v>70</v>
      </c>
      <c r="I1349" s="49" t="s">
        <v>37</v>
      </c>
      <c r="J1349" s="50">
        <v>100</v>
      </c>
      <c r="K1349" s="51">
        <v>156</v>
      </c>
      <c r="L1349" s="52">
        <v>600</v>
      </c>
      <c r="M1349" s="53">
        <v>1762</v>
      </c>
      <c r="N1349" s="28">
        <f>K1349*J1349</f>
        <v>15600</v>
      </c>
      <c r="O1349" s="54">
        <v>4648</v>
      </c>
      <c r="P1349" s="29">
        <v>29.794871789999998</v>
      </c>
      <c r="Q1349" s="55"/>
      <c r="R1349" s="31">
        <f>M1349+Q1349</f>
        <v>1762</v>
      </c>
      <c r="S1349" s="56">
        <v>-69</v>
      </c>
      <c r="T1349" s="32">
        <f>R1349+S1349+IF(F1349="Without EV deal",L1349,0)</f>
        <v>1693</v>
      </c>
      <c r="U1349" s="57"/>
      <c r="V1349" s="58"/>
      <c r="W1349" s="58"/>
      <c r="X1349" s="30">
        <f>IF(AF1349="DoEV",IF(AND(V1349&lt;20,W1349&lt;55),0.3,0)+IF(AND(V1349&lt;20,W1349&gt;=55,W1349&lt;105),0.23,0)+IF(AND(V1349&lt;20,W1349&gt;=105),0.17,0)+IF(AND(V1349&gt;=20,V1349&lt;40,W1349&lt;45),0.3,0)+IF(AND(V1349&gt;=20,V1349&lt;40,W1349&gt;=45,W1349&lt;95),0.23,0)+IF(AND(V1349&gt;=20,V1349&lt;40,W1349&gt;=95),0.17,0)+IF(AND(V1349&gt;=40,V1349&lt;75,W1349&lt;35),0.3,0)+IF(AND(V1349&gt;=40,V1349&lt;75,W1349&gt;=35,W1349&lt;75),0.23,0)+IF(AND(V1349&gt;=40,V1349&lt;75,W1349&gt;=75,W1349&lt;120),0.17,0)+IF(AND(V1349&gt;=40,V1349&lt;75,W1349&gt;=120),0.12,0)+IF(AND(V1349&gt;=75,V1349&lt;175,W1349&lt;35),0.3,0)+IF(AND(V1349&gt;=75,V1349&lt;=175,W1349&gt;=35,W1349&lt;65),0.23,0)+IF(AND(V1349&gt;=75,V1349&lt;=175,W1349&gt;=65,W1349&lt;110),0.17,0)+IF(AND(V1349&gt;=75,V1349&lt;=175,W1349&gt;=110),0.12,0)+IF(AND(V1349&gt;175,W1349&lt;25),0.3,0)+IF(AND(V1349&gt;175,W1349&gt;=25,W1349&lt;55),0.23,0)+IF(AND(V1349&gt;175,W1349&gt;=55,W1349&lt;95),0.17,0)+IF(AND(V1349&gt;175,W1349&gt;=95),0.12,0),
IF(AF1349="Fix15",0.15,
IF(AF1349="Fix18.75",0.1875,
IF(AF1349="Fix11.25",0.1125,
IF(AF1349="Fix10",0.1,
IF(AF1349="Fix9",0.09,
IF(AF1349="Fix19",0.19,
IF(AF1349="DoEV2017",IF(AND(W1349&lt;74),0.2,0)+IF(AND(W1349&gt;=74),0.17,0),
IF(AF1349="SF",IF(AND(V1349&lt;20,W1349&lt;89),0.3,0)+IF(AND(V1349&lt;20,W1349&gt;=89),0.25,0)+IF(AND(V1349&gt;=20,V1349&lt;40,W1349&lt;74),0.3,0)+IF(AND(V1349&gt;=20,V1349&lt;40,W1349&gt;=75),0.22,0)+IF(AND(V1349&gt;=40,V1349&lt;75,W1349&lt;75),0.26,0)+IF(AND(V1349&gt;=40,V1349&lt;75,W1349&gt;=75),0.22,0)+IF(V1349&gt;=75,0.22,0),
IF(AF1349="DoEVold",IF(AND(V1349&lt;40,W1349&lt;35),0.35,0)+IF(AND(V1349&lt;40,W1349&gt;=35,W1349&lt;75),0.25,0)+IF(AND(V1349&lt;40,W1349&gt;=75),0.17,0)+IF(AND(V1349&gt;=40,V1349&lt;75,W1349&lt;25),0.35,0)+IF(AND(V1349&gt;=40,V1349&lt;75,W1349&gt;=25,W1349&lt;65),0.25,0)+IF(AND(V1349&gt;=40,V1349&lt;75,W1349&gt;=65,W1349&lt;100),0.17,0)+IF(AND(V1349&gt;=40,V1349&lt;75,W1349&gt;=100),0.1,0)+IF(AND(V1349&gt;=75,W1349&lt;25),0.35,0)+IF(AND(V1349&gt;=75,W1349&gt;=25,W1349&lt;60),0.25,0)+IF(AND(V1349&gt;=75,W1349&gt;=60,W1349&lt;95),0.17,0)+IF(AND(V1349&gt;=75,W1349&gt;=95),0.1,0),
IF(AF1349="DoEVold15",IF(AND(V1349&lt;=40,W1349&lt;35),0.35,0)+IF(AND(V1349&lt;=40,W1349&gt;=35,W1349&lt;75),0.25,0)+IF(AND(V1349&lt;=40,W1349&gt;=75,W1349&lt;120),0.17,0)+IF(AND(V1349&lt;=40,W1349&gt;=120),0.15,0)+IF(AND(V1349&gt;40,V1349&lt;75,W1349&lt;25),0.35,0)+IF(AND(V1349&gt;=40,V1349&lt;75,W1349&gt;=25,W1349&lt;65),0.25,0)+IF(AND(V1349&gt;=40,V1349&lt;75,W1349&gt;=65,W1349&lt;100),0.17,0)+IF(AND(V1349&gt;=40,V1349&lt;75,W1349&gt;=100),0.1,0)+IF(AND(V1349&gt;=75,W1349&lt;25),0.35,0)+IF(AND(V1349&gt;=75,W1349&gt;=25,W1349&lt;60),0.25,0)+IF(AND(V1349&gt;=75,W1349&gt;=60,W1349&lt;95),0.17,0)+IF(AND(V1349&gt;=75,W1349&gt;=95),0.1,0),
IF(AF1349="DoEVba",IF(AND(V1349&lt;20,W1349&lt;105),0.2,0)+IF(AND(V1349&lt;20,W1349&gt;=105),0.15,0)+IF(AND(V1349&gt;=20,V1349&lt;40,W1349&lt;95),0.2,0)+IF(AND(V1349&gt;=20,V1349&lt;40,W1349&gt;=95,W1349&lt;150),0.15,0)+IF(AND(V1349&gt;=20,V1349&lt;40,W1349&gt;=150),0.12,0)+IF(AND(V1349&gt;=40,V1349&lt;75,W1349&lt;75),0.2,0)+IF(AND(V1349&gt;=40,V1349&lt;75,W1349&gt;=75,W1349&lt;120),0.15,0)+IF(AND(V1349&gt;=40,V1349&lt;75,W1349&gt;=120),0.12,0)+IF(AND(V1349&gt;=75,V1349&lt;175,W1349&lt;65),0.2,0)+IF(AND(V1349&gt;=75,V1349&lt;175,W1349&gt;=65,W1349&lt;110),0.15,0)+IF(AND(V1349&gt;=75,V1349&lt;175,W1349&gt;=110),0.12,0)+IF(AND(V1349&gt;=175,W1349&lt;55),0.2,0)+IF(AND(V1349&gt;=175,W1349&gt;=55,W1349&lt;95),0.15,0)+IF(AND(V1349&gt;=175,W1349&gt;=95),0.12,0),
IF(AF1349="DoEVku",IF(AND(V1349&lt;20,W1349&lt;55),0.23,0)+IF(AND(V1349&lt;20,W1349&gt;=55,W1349&lt;105),0.2,0)+IF(AND(V1349&lt;20,W1349&gt;=105),0.17,0)+IF(AND(V1349&gt;=20,V1349&lt;40,W1349&lt;45),0.23,0)+IF(AND(V1349&gt;=20,V1349&lt;40,W1349&gt;=45,W1349&lt;95),0.2,0)+IF(AND(V1349&gt;=20,V1349&lt;40,W1349&gt;=95,W1349&lt;=150),0.17,0)+IF(AND(V1349&gt;=20,V1349&lt;40,W1349&gt;=150),0.12,0)+IF(AND(V1349&gt;=40,V1349&lt;75,W1349&lt;35),0.23,0)+IF(AND(V1349&gt;=40,V1349&lt;75,W1349&gt;=35,W1349&lt;75),0.2,0)+IF(AND(V1349&gt;=40,V1349&lt;75,W1349&gt;=75,W1349&lt;120),0.17,0)+IF(AND(V1349&gt;=40,V1349&lt;75,W1349&gt;=120),0.12,0)+IF(AND(V1349&gt;=75,V1349&lt;175,W1349&lt;35),0.23,0)+IF(AND(V1349&gt;=75,V1349&lt;=175,W1349&gt;=35,W1349&lt;65),0.2,0)+IF(AND(V1349&gt;=75,V1349&lt;=175,W1349&gt;=65,W1349&lt;110),0.17,0)+IF(AND(V1349&gt;=75,V1349&lt;=175,W1349&gt;=110),0.12,0)+IF(AND(V1349&gt;175,W1349&lt;25),0.23,0)+IF(AND(V1349&gt;175,W1349&gt;=25,W1349&lt;55),0.2,0)+IF(AND(V1349&gt;175,W1349&gt;=55,W1349&lt;95),0.17,0)+IF(AND(V1349&gt;175,W1349&gt;=95),0.12,0),
IF(AF1349="DoEVs1",IF(AND(V1349&lt;20,W1349&lt;55),0.3,0)+IF(AND(V1349&lt;20,W1349&gt;=55,W1349&lt;105),0.23,0)+IF(AND(V1349&lt;20,W1349&gt;=105),0.17,0)+IF(AND(V1349&gt;=20,V1349&lt;40,W1349&lt;45),0.3,0)+IF(AND(V1349&gt;=20,V1349&lt;40,W1349&gt;=45,W1349&lt;95),0.23,0)+IF(AND(V1349&gt;=20,V1349&lt;40,W1349&gt;=95,W1349&lt;=150),0.17,0)+IF(AND(V1349&gt;=20,V1349&lt;40,W1349&gt;=150),0.12,0)+IF(AND(V1349&gt;=40,V1349&lt;75,W1349&lt;35),0.3,0)+IF(AND(V1349&gt;=40,V1349&lt;75,W1349&gt;=35,W1349&lt;75),0.23,0)+IF(AND(V1349&gt;=40,V1349&lt;75,W1349&gt;=75,W1349&lt;120),0.17,0)+IF(AND(V1349&gt;=40,V1349&lt;75,W1349&gt;=120),0.12,0)+IF(AND(V1349&gt;=75,V1349&lt;175,W1349&lt;35),0.3,0)+IF(AND(V1349&gt;=75,V1349&lt;=175,W1349&gt;=35,W1349&lt;65),0.23,0)+IF(AND(V1349&gt;=75,V1349&lt;=175,W1349&gt;=65,W1349&lt;110),0.17,0)+IF(AND(V1349&gt;=75,V1349&lt;=175,W1349&gt;=110),0.12,0)+IF(AND(V1349&gt;175,W1349&lt;25),0.3,0)+IF(AND(V1349&gt;175,W1349&gt;=25,W1349&lt;55),0.23,0)+IF(AND(V1349&gt;175,W1349&gt;=55,W1349&lt;95),0.17,0)+IF(AND(V1349&gt;175,W1349&gt;=95),0.12,0),
IF(AF1349="DoEVsu",IF(AND(V1349&lt;20,W1349&lt;55),0.3,0)+IF(AND(V1349&lt;20,W1349&gt;=55,W1349&lt;105),0.23,0)+IF(AND(V1349&lt;20,W1349&gt;=105),0.17,0)+IF(AND(V1349&gt;=20,V1349&lt;40,W1349&lt;45),0.3,0)+IF(AND(V1349&gt;=20,V1349&lt;40,W1349&gt;=45,W1349&lt;95),0.23,0)+IF(AND(V1349&gt;=20,V1349&lt;40,W1349&gt;=95,W1349&lt;=250),0.17,0)+IF(AND(V1349&gt;=20,V1349&lt;40,W1349&gt;=250),0.12,0)+IF(AND(V1349&gt;=40,V1349&lt;75,W1349&lt;35),0.3,0)+IF(AND(V1349&gt;=40,V1349&lt;75,W1349&gt;=35,W1349&lt;75),0.23,0)+IF(AND(V1349&gt;=40,V1349&lt;75,W1349&gt;=75,W1349&lt;120),0.17,0)+IF(AND(V1349&gt;=40,V1349&lt;75,W1349&gt;=120),0.12,0)+IF(AND(V1349&gt;=75,V1349&lt;175,W1349&lt;35),0.3,0)+IF(AND(V1349&gt;=75,V1349&lt;=175,W1349&gt;=35,W1349&lt;65),0.23,0)+IF(AND(V1349&gt;=75,V1349&lt;=175,W1349&gt;=65,W1349&lt;110),0.17,0)+IF(AND(V1349&gt;=75,V1349&lt;=175,W1349&gt;=110),0.12,0)+IF(AND(V1349&gt;175,W1349&lt;25),0.3,0)+IF(AND(V1349&gt;175,W1349&gt;=25,W1349&lt;55),0.23,0)+IF(AND(V1349&gt;175,W1349&gt;=55,W1349&lt;95),0.17,0)+IF(AND(V1349&gt;175,W1349&gt;=95),0.12,0),
IF(AF1349="DoEVni",IF(AND(V1349&lt;20,W1349&lt;55),0.3,0)+IF(AND(V1349&lt;20,W1349&gt;=55,W1349&lt;105),0.23,0)+IF(AND(V1349&lt;20,W1349&gt;=105),0.17,0)+IF(AND(V1349&gt;=20,V1349&lt;40,W1349&lt;45),0.3,0)+IF(AND(V1349&gt;=20,V1349&lt;40,W1349&gt;=45,W1349&lt;95),0.23,0)+IF(AND(V1349&gt;=20,V1349&lt;40,W1349&gt;=95,W1349&lt;=200),0.17,0)+IF(AND(V1349&gt;=20,V1349&lt;40,W1349&gt;=200),0.12,0)+IF(AND(V1349&gt;=40,V1349&lt;75,W1349&lt;35),0.3,0)+IF(AND(V1349&gt;=40,V1349&lt;75,W1349&gt;=35,W1349&lt;75),0.23,0)+IF(AND(V1349&gt;=40,V1349&lt;75,W1349&gt;=75,W1349&lt;120),0.17,0)+IF(AND(V1349&gt;=40,V1349&lt;75,W1349&gt;=120),0.12,0)+IF(AND(V1349&gt;=75,V1349&lt;175,W1349&lt;35),0.3,0)+IF(AND(V1349&gt;=75,V1349&lt;=175,W1349&gt;=35,W1349&lt;65),0.23,0)+IF(AND(V1349&gt;=75,V1349&lt;=175,W1349&gt;=65,W1349&lt;110),0.17,0)+IF(AND(V1349&gt;=75,V1349&lt;=175,W1349&gt;=110),0.12,0)+IF(AND(V1349&gt;175,W1349&lt;25),0.3,0)+IF(AND(V1349&gt;175,W1349&gt;=25,W1349&lt;55),0.23,0)+IF(AND(V1349&gt;175,W1349&gt;=55,W1349&lt;95),0.17,0)+IF(AND(V1349&gt;175,W1349&gt;=95),0.12,0),
IF(AF1349="DoEVLo",IF(AND(V1349&lt;20,W1349&lt;55),0.25,0)+IF(AND(V1349&lt;20,W1349&gt;=55,W1349&lt;105),0.2,0)+IF(AND(V1349&lt;20,W1349&gt;=105),0.15,0)+IF(AND(V1349&gt;=20,V1349&lt;40,W1349&lt;45),0.25,0)+IF(AND(V1349&gt;=20,V1349&lt;40,W1349&gt;=45,W1349&lt;95),0.2,0)+IF(AND(V1349&gt;=20,V1349&lt;40,W1349&gt;=95),0.15,0)+IF(AND(V1349&gt;=40,V1349&lt;75,W1349&lt;35),0.25,0)+IF(AND(V1349&gt;=40,V1349&lt;75,W1349&gt;=35,W1349&lt;75),0.2,0)+IF(AND(V1349&gt;=40,V1349&lt;75,W1349&gt;=75,W1349&lt;120),0.15,0)+IF(AND(V1349&gt;=40,V1349&lt;75,W1349&gt;=120),0.1,0)+IF(AND(V1349&gt;=75,V1349&lt;175,W1349&lt;35),0.25,0)+IF(AND(V1349&gt;=75,V1349&lt;=175,W1349&gt;=35,W1349&lt;65),0.2,0)+IF(AND(V1349&gt;=75,V1349&lt;=175,W1349&gt;=65,W1349&lt;110),0.15,0)+IF(AND(V1349&gt;=75,V1349&lt;=175,W1349&gt;=110),0.1,0)+IF(AND(V1349&gt;175,W1349&lt;25),0.25,0)+IF(AND(V1349&gt;175,W1349&gt;=25,W1349&lt;55),0.2,0)+IF(AND(V1349&gt;175,W1349&gt;=55,W1349&lt;95),0.15,0)+IF(AND(V1349&gt;175,W1349&gt;=95),0.1,0))))))))))))))))))</f>
        <v>0.1</v>
      </c>
      <c r="Y1349" s="30">
        <f>IF(AG1349="None",0,IF(AG1349="Fix5",0.05, IF(AG1349="Fix6.25",0.0625,IF(AG1349="Fix3.75",0.0375,IF(AG1349="Fix10",0.1,IF(AG1349="Fix3",0.03,0))))))</f>
        <v>0</v>
      </c>
      <c r="Z1349" s="35">
        <f>T1349-AA1349-AB1349</f>
        <v>1523.7</v>
      </c>
      <c r="AA1349" s="29">
        <f>IF(AD1349="EUR",((T1349-R1349)*X1349)*U1349+(R1349*X1349),(T1349*X1349))</f>
        <v>169.3</v>
      </c>
      <c r="AB1349" s="36">
        <f>IF(AD1349="EUR",((T1349-R1349)*Y1349)*U1349+(R1349*Y1349),(T1349*Y1349))</f>
        <v>0</v>
      </c>
      <c r="AC1349" s="37" t="b">
        <v>1</v>
      </c>
      <c r="AD1349" s="37" t="s">
        <v>38</v>
      </c>
      <c r="AE1349" s="37" t="s">
        <v>38</v>
      </c>
      <c r="AF1349" s="37" t="str">
        <f t="array" ref="AF1349">INDEX('Deal Info'!D:D, MATCH(A1349,'Deal Info'!A:A, 0))</f>
        <v>Fix10</v>
      </c>
      <c r="AG1349" s="38" t="str">
        <f t="array" ref="AG1349">INDEX('Deal Info'!G:G, MATCH(A1349,'Deal Info'!A:A, 0))</f>
        <v>None</v>
      </c>
    </row>
    <row r="1350" spans="1:33" ht="14.25" hidden="1" x14ac:dyDescent="0.2">
      <c r="A1350" s="18" t="str">
        <f t="array" ref="A1350">IF(G1350='Room Info'!$B$1, INDEX('Room Info'!$A$2:$A2446, MATCH(B1350,'Room Info'!$B$2:$B2446, 0)),IF(G1350='Room Info'!$C$1, INDEX('Room Info'!$A$2:$A2446, MATCH(B1350,'Room Info'!$C$2:$C2446, 0)),IF(G1350='Room Info'!$D$1, INDEX('Room Info'!$A$2:$A2446, MATCH(B1350,'Room Info'!$D$2:$D2446, 0)),IF(G1350='Room Info'!$E$1, INDEX('Room Info'!$A$2:$A2446, MATCH(B1350,'Room Info'!$E$2:$E2446, 0)),IF(G1350='Room Info'!$F$1, INDEX('Room Info'!$A$2:$A2446, MATCH(B1350,'Room Info'!$F$2:$F2446, 0)),IF(G1350='Room Info'!$H$1, INDEX('Room Info'!$A$2:$A2446, MATCH(B1350,'Room Info'!$H$2:$H2446, 0)),IF(G1350='Room Info'!$G$1, INDEX('Room Info'!$A$2:$A2446, MATCH(B1350,'Room Info'!$G$2:$G2446, 0)))))))))</f>
        <v>volkovsky</v>
      </c>
      <c r="B1350" s="45" t="s">
        <v>206</v>
      </c>
      <c r="C1350" s="46">
        <v>44825</v>
      </c>
      <c r="D1350" s="46">
        <v>44854</v>
      </c>
      <c r="E1350" s="47">
        <v>44835</v>
      </c>
      <c r="F1350" s="45" t="s">
        <v>34</v>
      </c>
      <c r="G1350" s="54" t="s">
        <v>35</v>
      </c>
      <c r="H1350" s="49" t="s">
        <v>84</v>
      </c>
      <c r="I1350" s="49" t="s">
        <v>44</v>
      </c>
      <c r="J1350" s="50">
        <v>100</v>
      </c>
      <c r="K1350" s="51">
        <v>19</v>
      </c>
      <c r="L1350" s="52">
        <v>600</v>
      </c>
      <c r="M1350" s="53">
        <v>215</v>
      </c>
      <c r="N1350" s="28">
        <f>K1350*J1350</f>
        <v>1900</v>
      </c>
      <c r="O1350" s="54">
        <v>236</v>
      </c>
      <c r="P1350" s="29">
        <v>12.42105263</v>
      </c>
      <c r="Q1350" s="55"/>
      <c r="R1350" s="31">
        <f>M1350+Q1350</f>
        <v>215</v>
      </c>
      <c r="S1350" s="56">
        <v>-41</v>
      </c>
      <c r="T1350" s="32">
        <f>R1350+S1350+IF(F1350="Without EV deal",L1350,0)</f>
        <v>174</v>
      </c>
      <c r="U1350" s="57"/>
      <c r="V1350" s="58"/>
      <c r="W1350" s="58"/>
      <c r="X1350" s="30">
        <f>IF(AF1350="DoEV",IF(AND(V1350&lt;20,W1350&lt;55),0.3,0)+IF(AND(V1350&lt;20,W1350&gt;=55,W1350&lt;105),0.23,0)+IF(AND(V1350&lt;20,W1350&gt;=105),0.17,0)+IF(AND(V1350&gt;=20,V1350&lt;40,W1350&lt;45),0.3,0)+IF(AND(V1350&gt;=20,V1350&lt;40,W1350&gt;=45,W1350&lt;95),0.23,0)+IF(AND(V1350&gt;=20,V1350&lt;40,W1350&gt;=95),0.17,0)+IF(AND(V1350&gt;=40,V1350&lt;75,W1350&lt;35),0.3,0)+IF(AND(V1350&gt;=40,V1350&lt;75,W1350&gt;=35,W1350&lt;75),0.23,0)+IF(AND(V1350&gt;=40,V1350&lt;75,W1350&gt;=75,W1350&lt;120),0.17,0)+IF(AND(V1350&gt;=40,V1350&lt;75,W1350&gt;=120),0.12,0)+IF(AND(V1350&gt;=75,V1350&lt;175,W1350&lt;35),0.3,0)+IF(AND(V1350&gt;=75,V1350&lt;=175,W1350&gt;=35,W1350&lt;65),0.23,0)+IF(AND(V1350&gt;=75,V1350&lt;=175,W1350&gt;=65,W1350&lt;110),0.17,0)+IF(AND(V1350&gt;=75,V1350&lt;=175,W1350&gt;=110),0.12,0)+IF(AND(V1350&gt;175,W1350&lt;25),0.3,0)+IF(AND(V1350&gt;175,W1350&gt;=25,W1350&lt;55),0.23,0)+IF(AND(V1350&gt;175,W1350&gt;=55,W1350&lt;95),0.17,0)+IF(AND(V1350&gt;175,W1350&gt;=95),0.12,0),
IF(AF1350="Fix15",0.15,
IF(AF1350="Fix18.75",0.1875,
IF(AF1350="Fix11.25",0.1125,
IF(AF1350="Fix10",0.1,
IF(AF1350="Fix9",0.09,
IF(AF1350="Fix19",0.19,
IF(AF1350="DoEV2017",IF(AND(W1350&lt;74),0.2,0)+IF(AND(W1350&gt;=74),0.17,0),
IF(AF1350="SF",IF(AND(V1350&lt;20,W1350&lt;89),0.3,0)+IF(AND(V1350&lt;20,W1350&gt;=89),0.25,0)+IF(AND(V1350&gt;=20,V1350&lt;40,W1350&lt;74),0.3,0)+IF(AND(V1350&gt;=20,V1350&lt;40,W1350&gt;=75),0.22,0)+IF(AND(V1350&gt;=40,V1350&lt;75,W1350&lt;75),0.26,0)+IF(AND(V1350&gt;=40,V1350&lt;75,W1350&gt;=75),0.22,0)+IF(V1350&gt;=75,0.22,0),
IF(AF1350="DoEVold",IF(AND(V1350&lt;40,W1350&lt;35),0.35,0)+IF(AND(V1350&lt;40,W1350&gt;=35,W1350&lt;75),0.25,0)+IF(AND(V1350&lt;40,W1350&gt;=75),0.17,0)+IF(AND(V1350&gt;=40,V1350&lt;75,W1350&lt;25),0.35,0)+IF(AND(V1350&gt;=40,V1350&lt;75,W1350&gt;=25,W1350&lt;65),0.25,0)+IF(AND(V1350&gt;=40,V1350&lt;75,W1350&gt;=65,W1350&lt;100),0.17,0)+IF(AND(V1350&gt;=40,V1350&lt;75,W1350&gt;=100),0.1,0)+IF(AND(V1350&gt;=75,W1350&lt;25),0.35,0)+IF(AND(V1350&gt;=75,W1350&gt;=25,W1350&lt;60),0.25,0)+IF(AND(V1350&gt;=75,W1350&gt;=60,W1350&lt;95),0.17,0)+IF(AND(V1350&gt;=75,W1350&gt;=95),0.1,0),
IF(AF1350="DoEVold15",IF(AND(V1350&lt;=40,W1350&lt;35),0.35,0)+IF(AND(V1350&lt;=40,W1350&gt;=35,W1350&lt;75),0.25,0)+IF(AND(V1350&lt;=40,W1350&gt;=75,W1350&lt;120),0.17,0)+IF(AND(V1350&lt;=40,W1350&gt;=120),0.15,0)+IF(AND(V1350&gt;40,V1350&lt;75,W1350&lt;25),0.35,0)+IF(AND(V1350&gt;=40,V1350&lt;75,W1350&gt;=25,W1350&lt;65),0.25,0)+IF(AND(V1350&gt;=40,V1350&lt;75,W1350&gt;=65,W1350&lt;100),0.17,0)+IF(AND(V1350&gt;=40,V1350&lt;75,W1350&gt;=100),0.1,0)+IF(AND(V1350&gt;=75,W1350&lt;25),0.35,0)+IF(AND(V1350&gt;=75,W1350&gt;=25,W1350&lt;60),0.25,0)+IF(AND(V1350&gt;=75,W1350&gt;=60,W1350&lt;95),0.17,0)+IF(AND(V1350&gt;=75,W1350&gt;=95),0.1,0),
IF(AF1350="DoEVba",IF(AND(V1350&lt;20,W1350&lt;105),0.2,0)+IF(AND(V1350&lt;20,W1350&gt;=105),0.15,0)+IF(AND(V1350&gt;=20,V1350&lt;40,W1350&lt;95),0.2,0)+IF(AND(V1350&gt;=20,V1350&lt;40,W1350&gt;=95,W1350&lt;150),0.15,0)+IF(AND(V1350&gt;=20,V1350&lt;40,W1350&gt;=150),0.12,0)+IF(AND(V1350&gt;=40,V1350&lt;75,W1350&lt;75),0.2,0)+IF(AND(V1350&gt;=40,V1350&lt;75,W1350&gt;=75,W1350&lt;120),0.15,0)+IF(AND(V1350&gt;=40,V1350&lt;75,W1350&gt;=120),0.12,0)+IF(AND(V1350&gt;=75,V1350&lt;175,W1350&lt;65),0.2,0)+IF(AND(V1350&gt;=75,V1350&lt;175,W1350&gt;=65,W1350&lt;110),0.15,0)+IF(AND(V1350&gt;=75,V1350&lt;175,W1350&gt;=110),0.12,0)+IF(AND(V1350&gt;=175,W1350&lt;55),0.2,0)+IF(AND(V1350&gt;=175,W1350&gt;=55,W1350&lt;95),0.15,0)+IF(AND(V1350&gt;=175,W1350&gt;=95),0.12,0),
IF(AF1350="DoEVku",IF(AND(V1350&lt;20,W1350&lt;55),0.23,0)+IF(AND(V1350&lt;20,W1350&gt;=55,W1350&lt;105),0.2,0)+IF(AND(V1350&lt;20,W1350&gt;=105),0.17,0)+IF(AND(V1350&gt;=20,V1350&lt;40,W1350&lt;45),0.23,0)+IF(AND(V1350&gt;=20,V1350&lt;40,W1350&gt;=45,W1350&lt;95),0.2,0)+IF(AND(V1350&gt;=20,V1350&lt;40,W1350&gt;=95,W1350&lt;=150),0.17,0)+IF(AND(V1350&gt;=20,V1350&lt;40,W1350&gt;=150),0.12,0)+IF(AND(V1350&gt;=40,V1350&lt;75,W1350&lt;35),0.23,0)+IF(AND(V1350&gt;=40,V1350&lt;75,W1350&gt;=35,W1350&lt;75),0.2,0)+IF(AND(V1350&gt;=40,V1350&lt;75,W1350&gt;=75,W1350&lt;120),0.17,0)+IF(AND(V1350&gt;=40,V1350&lt;75,W1350&gt;=120),0.12,0)+IF(AND(V1350&gt;=75,V1350&lt;175,W1350&lt;35),0.23,0)+IF(AND(V1350&gt;=75,V1350&lt;=175,W1350&gt;=35,W1350&lt;65),0.2,0)+IF(AND(V1350&gt;=75,V1350&lt;=175,W1350&gt;=65,W1350&lt;110),0.17,0)+IF(AND(V1350&gt;=75,V1350&lt;=175,W1350&gt;=110),0.12,0)+IF(AND(V1350&gt;175,W1350&lt;25),0.23,0)+IF(AND(V1350&gt;175,W1350&gt;=25,W1350&lt;55),0.2,0)+IF(AND(V1350&gt;175,W1350&gt;=55,W1350&lt;95),0.17,0)+IF(AND(V1350&gt;175,W1350&gt;=95),0.12,0),
IF(AF1350="DoEVs1",IF(AND(V1350&lt;20,W1350&lt;55),0.3,0)+IF(AND(V1350&lt;20,W1350&gt;=55,W1350&lt;105),0.23,0)+IF(AND(V1350&lt;20,W1350&gt;=105),0.17,0)+IF(AND(V1350&gt;=20,V1350&lt;40,W1350&lt;45),0.3,0)+IF(AND(V1350&gt;=20,V1350&lt;40,W1350&gt;=45,W1350&lt;95),0.23,0)+IF(AND(V1350&gt;=20,V1350&lt;40,W1350&gt;=95,W1350&lt;=150),0.17,0)+IF(AND(V1350&gt;=20,V1350&lt;40,W1350&gt;=150),0.12,0)+IF(AND(V1350&gt;=40,V1350&lt;75,W1350&lt;35),0.3,0)+IF(AND(V1350&gt;=40,V1350&lt;75,W1350&gt;=35,W1350&lt;75),0.23,0)+IF(AND(V1350&gt;=40,V1350&lt;75,W1350&gt;=75,W1350&lt;120),0.17,0)+IF(AND(V1350&gt;=40,V1350&lt;75,W1350&gt;=120),0.12,0)+IF(AND(V1350&gt;=75,V1350&lt;175,W1350&lt;35),0.3,0)+IF(AND(V1350&gt;=75,V1350&lt;=175,W1350&gt;=35,W1350&lt;65),0.23,0)+IF(AND(V1350&gt;=75,V1350&lt;=175,W1350&gt;=65,W1350&lt;110),0.17,0)+IF(AND(V1350&gt;=75,V1350&lt;=175,W1350&gt;=110),0.12,0)+IF(AND(V1350&gt;175,W1350&lt;25),0.3,0)+IF(AND(V1350&gt;175,W1350&gt;=25,W1350&lt;55),0.23,0)+IF(AND(V1350&gt;175,W1350&gt;=55,W1350&lt;95),0.17,0)+IF(AND(V1350&gt;175,W1350&gt;=95),0.12,0),
IF(AF1350="DoEVsu",IF(AND(V1350&lt;20,W1350&lt;55),0.3,0)+IF(AND(V1350&lt;20,W1350&gt;=55,W1350&lt;105),0.23,0)+IF(AND(V1350&lt;20,W1350&gt;=105),0.17,0)+IF(AND(V1350&gt;=20,V1350&lt;40,W1350&lt;45),0.3,0)+IF(AND(V1350&gt;=20,V1350&lt;40,W1350&gt;=45,W1350&lt;95),0.23,0)+IF(AND(V1350&gt;=20,V1350&lt;40,W1350&gt;=95,W1350&lt;=250),0.17,0)+IF(AND(V1350&gt;=20,V1350&lt;40,W1350&gt;=250),0.12,0)+IF(AND(V1350&gt;=40,V1350&lt;75,W1350&lt;35),0.3,0)+IF(AND(V1350&gt;=40,V1350&lt;75,W1350&gt;=35,W1350&lt;75),0.23,0)+IF(AND(V1350&gt;=40,V1350&lt;75,W1350&gt;=75,W1350&lt;120),0.17,0)+IF(AND(V1350&gt;=40,V1350&lt;75,W1350&gt;=120),0.12,0)+IF(AND(V1350&gt;=75,V1350&lt;175,W1350&lt;35),0.3,0)+IF(AND(V1350&gt;=75,V1350&lt;=175,W1350&gt;=35,W1350&lt;65),0.23,0)+IF(AND(V1350&gt;=75,V1350&lt;=175,W1350&gt;=65,W1350&lt;110),0.17,0)+IF(AND(V1350&gt;=75,V1350&lt;=175,W1350&gt;=110),0.12,0)+IF(AND(V1350&gt;175,W1350&lt;25),0.3,0)+IF(AND(V1350&gt;175,W1350&gt;=25,W1350&lt;55),0.23,0)+IF(AND(V1350&gt;175,W1350&gt;=55,W1350&lt;95),0.17,0)+IF(AND(V1350&gt;175,W1350&gt;=95),0.12,0),
IF(AF1350="DoEVni",IF(AND(V1350&lt;20,W1350&lt;55),0.3,0)+IF(AND(V1350&lt;20,W1350&gt;=55,W1350&lt;105),0.23,0)+IF(AND(V1350&lt;20,W1350&gt;=105),0.17,0)+IF(AND(V1350&gt;=20,V1350&lt;40,W1350&lt;45),0.3,0)+IF(AND(V1350&gt;=20,V1350&lt;40,W1350&gt;=45,W1350&lt;95),0.23,0)+IF(AND(V1350&gt;=20,V1350&lt;40,W1350&gt;=95,W1350&lt;=200),0.17,0)+IF(AND(V1350&gt;=20,V1350&lt;40,W1350&gt;=200),0.12,0)+IF(AND(V1350&gt;=40,V1350&lt;75,W1350&lt;35),0.3,0)+IF(AND(V1350&gt;=40,V1350&lt;75,W1350&gt;=35,W1350&lt;75),0.23,0)+IF(AND(V1350&gt;=40,V1350&lt;75,W1350&gt;=75,W1350&lt;120),0.17,0)+IF(AND(V1350&gt;=40,V1350&lt;75,W1350&gt;=120),0.12,0)+IF(AND(V1350&gt;=75,V1350&lt;175,W1350&lt;35),0.3,0)+IF(AND(V1350&gt;=75,V1350&lt;=175,W1350&gt;=35,W1350&lt;65),0.23,0)+IF(AND(V1350&gt;=75,V1350&lt;=175,W1350&gt;=65,W1350&lt;110),0.17,0)+IF(AND(V1350&gt;=75,V1350&lt;=175,W1350&gt;=110),0.12,0)+IF(AND(V1350&gt;175,W1350&lt;25),0.3,0)+IF(AND(V1350&gt;175,W1350&gt;=25,W1350&lt;55),0.23,0)+IF(AND(V1350&gt;175,W1350&gt;=55,W1350&lt;95),0.17,0)+IF(AND(V1350&gt;175,W1350&gt;=95),0.12,0),
IF(AF1350="DoEVLo",IF(AND(V1350&lt;20,W1350&lt;55),0.25,0)+IF(AND(V1350&lt;20,W1350&gt;=55,W1350&lt;105),0.2,0)+IF(AND(V1350&lt;20,W1350&gt;=105),0.15,0)+IF(AND(V1350&gt;=20,V1350&lt;40,W1350&lt;45),0.25,0)+IF(AND(V1350&gt;=20,V1350&lt;40,W1350&gt;=45,W1350&lt;95),0.2,0)+IF(AND(V1350&gt;=20,V1350&lt;40,W1350&gt;=95),0.15,0)+IF(AND(V1350&gt;=40,V1350&lt;75,W1350&lt;35),0.25,0)+IF(AND(V1350&gt;=40,V1350&lt;75,W1350&gt;=35,W1350&lt;75),0.2,0)+IF(AND(V1350&gt;=40,V1350&lt;75,W1350&gt;=75,W1350&lt;120),0.15,0)+IF(AND(V1350&gt;=40,V1350&lt;75,W1350&gt;=120),0.1,0)+IF(AND(V1350&gt;=75,V1350&lt;175,W1350&lt;35),0.25,0)+IF(AND(V1350&gt;=75,V1350&lt;=175,W1350&gt;=35,W1350&lt;65),0.2,0)+IF(AND(V1350&gt;=75,V1350&lt;=175,W1350&gt;=65,W1350&lt;110),0.15,0)+IF(AND(V1350&gt;=75,V1350&lt;=175,W1350&gt;=110),0.1,0)+IF(AND(V1350&gt;175,W1350&lt;25),0.25,0)+IF(AND(V1350&gt;175,W1350&gt;=25,W1350&lt;55),0.2,0)+IF(AND(V1350&gt;175,W1350&gt;=55,W1350&lt;95),0.15,0)+IF(AND(V1350&gt;175,W1350&gt;=95),0.1,0))))))))))))))))))</f>
        <v>0.1</v>
      </c>
      <c r="Y1350" s="30">
        <f>IF(AG1350="None",0,IF(AG1350="Fix5",0.05, IF(AG1350="Fix6.25",0.0625,IF(AG1350="Fix3.75",0.0375,IF(AG1350="Fix10",0.1,IF(AG1350="Fix3",0.03,0))))))</f>
        <v>0</v>
      </c>
      <c r="Z1350" s="35">
        <f>T1350-AA1350-AB1350</f>
        <v>156.6</v>
      </c>
      <c r="AA1350" s="29">
        <f>IF(AD1350="EUR",((T1350-R1350)*X1350)*U1350+(R1350*X1350),(T1350*X1350))</f>
        <v>17.400000000000002</v>
      </c>
      <c r="AB1350" s="36">
        <f>IF(AD1350="EUR",((T1350-R1350)*Y1350)*U1350+(R1350*Y1350),(T1350*Y1350))</f>
        <v>0</v>
      </c>
      <c r="AC1350" s="37" t="b">
        <v>1</v>
      </c>
      <c r="AD1350" s="37" t="s">
        <v>38</v>
      </c>
      <c r="AE1350" s="37" t="s">
        <v>38</v>
      </c>
      <c r="AF1350" s="37" t="str">
        <f t="array" ref="AF1350">INDEX('Deal Info'!D:D, MATCH(A1350,'Deal Info'!A:A, 0))</f>
        <v>Fix10</v>
      </c>
      <c r="AG1350" s="38" t="str">
        <f t="array" ref="AG1350">INDEX('Deal Info'!G:G, MATCH(A1350,'Deal Info'!A:A, 0))</f>
        <v>None</v>
      </c>
    </row>
    <row r="1351" spans="1:33" ht="14.25" hidden="1" x14ac:dyDescent="0.2">
      <c r="A1351" s="18" t="str">
        <f t="array" ref="A1351">IF(G1351='Room Info'!$B$1, INDEX('Room Info'!$A$2:$A2446, MATCH(B1351,'Room Info'!$B$2:$B2446, 0)),IF(G1351='Room Info'!$C$1, INDEX('Room Info'!$A$2:$A2446, MATCH(B1351,'Room Info'!$C$2:$C2446, 0)),IF(G1351='Room Info'!$D$1, INDEX('Room Info'!$A$2:$A2446, MATCH(B1351,'Room Info'!$D$2:$D2446, 0)),IF(G1351='Room Info'!$E$1, INDEX('Room Info'!$A$2:$A2446, MATCH(B1351,'Room Info'!$E$2:$E2446, 0)),IF(G1351='Room Info'!$F$1, INDEX('Room Info'!$A$2:$A2446, MATCH(B1351,'Room Info'!$F$2:$F2446, 0)),IF(G1351='Room Info'!$H$1, INDEX('Room Info'!$A$2:$A2446, MATCH(B1351,'Room Info'!$H$2:$H2446, 0)),IF(G1351='Room Info'!$G$1, INDEX('Room Info'!$A$2:$A2446, MATCH(B1351,'Room Info'!$G$2:$G2446, 0)))))))))</f>
        <v>volkovsky</v>
      </c>
      <c r="B1351" s="45" t="s">
        <v>206</v>
      </c>
      <c r="C1351" s="77">
        <v>44825</v>
      </c>
      <c r="D1351" s="77">
        <v>44854</v>
      </c>
      <c r="E1351" s="47">
        <v>44835</v>
      </c>
      <c r="F1351" s="45" t="s">
        <v>34</v>
      </c>
      <c r="G1351" s="45" t="s">
        <v>35</v>
      </c>
      <c r="H1351" s="91" t="s">
        <v>88</v>
      </c>
      <c r="I1351" s="49" t="s">
        <v>37</v>
      </c>
      <c r="J1351" s="50">
        <v>250</v>
      </c>
      <c r="K1351" s="51">
        <v>190</v>
      </c>
      <c r="L1351" s="52">
        <v>-3250</v>
      </c>
      <c r="M1351" s="76">
        <v>5364</v>
      </c>
      <c r="N1351" s="28">
        <f>K1351*J1351</f>
        <v>47500</v>
      </c>
      <c r="O1351" s="54">
        <v>10762</v>
      </c>
      <c r="P1351" s="29">
        <v>56.642105260000001</v>
      </c>
      <c r="Q1351" s="55"/>
      <c r="R1351" s="31">
        <f>M1351+Q1351</f>
        <v>5364</v>
      </c>
      <c r="S1351" s="56">
        <v>2307</v>
      </c>
      <c r="T1351" s="32">
        <f>R1351+S1351+IF(F1351="Without EV deal",L1351,0)</f>
        <v>7671</v>
      </c>
      <c r="U1351" s="57"/>
      <c r="V1351" s="58"/>
      <c r="W1351" s="58"/>
      <c r="X1351" s="30">
        <f>IF(AF1351="DoEV",IF(AND(V1351&lt;20,W1351&lt;55),0.3,0)+IF(AND(V1351&lt;20,W1351&gt;=55,W1351&lt;105),0.23,0)+IF(AND(V1351&lt;20,W1351&gt;=105),0.17,0)+IF(AND(V1351&gt;=20,V1351&lt;40,W1351&lt;45),0.3,0)+IF(AND(V1351&gt;=20,V1351&lt;40,W1351&gt;=45,W1351&lt;95),0.23,0)+IF(AND(V1351&gt;=20,V1351&lt;40,W1351&gt;=95),0.17,0)+IF(AND(V1351&gt;=40,V1351&lt;75,W1351&lt;35),0.3,0)+IF(AND(V1351&gt;=40,V1351&lt;75,W1351&gt;=35,W1351&lt;75),0.23,0)+IF(AND(V1351&gt;=40,V1351&lt;75,W1351&gt;=75,W1351&lt;120),0.17,0)+IF(AND(V1351&gt;=40,V1351&lt;75,W1351&gt;=120),0.12,0)+IF(AND(V1351&gt;=75,V1351&lt;175,W1351&lt;35),0.3,0)+IF(AND(V1351&gt;=75,V1351&lt;=175,W1351&gt;=35,W1351&lt;65),0.23,0)+IF(AND(V1351&gt;=75,V1351&lt;=175,W1351&gt;=65,W1351&lt;110),0.17,0)+IF(AND(V1351&gt;=75,V1351&lt;=175,W1351&gt;=110),0.12,0)+IF(AND(V1351&gt;175,W1351&lt;25),0.3,0)+IF(AND(V1351&gt;175,W1351&gt;=25,W1351&lt;55),0.23,0)+IF(AND(V1351&gt;175,W1351&gt;=55,W1351&lt;95),0.17,0)+IF(AND(V1351&gt;175,W1351&gt;=95),0.12,0),
IF(AF1351="Fix15",0.15,
IF(AF1351="Fix18.75",0.1875,
IF(AF1351="Fix11.25",0.1125,
IF(AF1351="Fix10",0.1,
IF(AF1351="Fix9",0.09,
IF(AF1351="Fix19",0.19,
IF(AF1351="DoEV2017",IF(AND(W1351&lt;74),0.2,0)+IF(AND(W1351&gt;=74),0.17,0),
IF(AF1351="SF",IF(AND(V1351&lt;20,W1351&lt;89),0.3,0)+IF(AND(V1351&lt;20,W1351&gt;=89),0.25,0)+IF(AND(V1351&gt;=20,V1351&lt;40,W1351&lt;74),0.3,0)+IF(AND(V1351&gt;=20,V1351&lt;40,W1351&gt;=75),0.22,0)+IF(AND(V1351&gt;=40,V1351&lt;75,W1351&lt;75),0.26,0)+IF(AND(V1351&gt;=40,V1351&lt;75,W1351&gt;=75),0.22,0)+IF(V1351&gt;=75,0.22,0),
IF(AF1351="DoEVold",IF(AND(V1351&lt;40,W1351&lt;35),0.35,0)+IF(AND(V1351&lt;40,W1351&gt;=35,W1351&lt;75),0.25,0)+IF(AND(V1351&lt;40,W1351&gt;=75),0.17,0)+IF(AND(V1351&gt;=40,V1351&lt;75,W1351&lt;25),0.35,0)+IF(AND(V1351&gt;=40,V1351&lt;75,W1351&gt;=25,W1351&lt;65),0.25,0)+IF(AND(V1351&gt;=40,V1351&lt;75,W1351&gt;=65,W1351&lt;100),0.17,0)+IF(AND(V1351&gt;=40,V1351&lt;75,W1351&gt;=100),0.1,0)+IF(AND(V1351&gt;=75,W1351&lt;25),0.35,0)+IF(AND(V1351&gt;=75,W1351&gt;=25,W1351&lt;60),0.25,0)+IF(AND(V1351&gt;=75,W1351&gt;=60,W1351&lt;95),0.17,0)+IF(AND(V1351&gt;=75,W1351&gt;=95),0.1,0),
IF(AF1351="DoEVold15",IF(AND(V1351&lt;=40,W1351&lt;35),0.35,0)+IF(AND(V1351&lt;=40,W1351&gt;=35,W1351&lt;75),0.25,0)+IF(AND(V1351&lt;=40,W1351&gt;=75,W1351&lt;120),0.17,0)+IF(AND(V1351&lt;=40,W1351&gt;=120),0.15,0)+IF(AND(V1351&gt;40,V1351&lt;75,W1351&lt;25),0.35,0)+IF(AND(V1351&gt;=40,V1351&lt;75,W1351&gt;=25,W1351&lt;65),0.25,0)+IF(AND(V1351&gt;=40,V1351&lt;75,W1351&gt;=65,W1351&lt;100),0.17,0)+IF(AND(V1351&gt;=40,V1351&lt;75,W1351&gt;=100),0.1,0)+IF(AND(V1351&gt;=75,W1351&lt;25),0.35,0)+IF(AND(V1351&gt;=75,W1351&gt;=25,W1351&lt;60),0.25,0)+IF(AND(V1351&gt;=75,W1351&gt;=60,W1351&lt;95),0.17,0)+IF(AND(V1351&gt;=75,W1351&gt;=95),0.1,0),
IF(AF1351="DoEVba",IF(AND(V1351&lt;20,W1351&lt;105),0.2,0)+IF(AND(V1351&lt;20,W1351&gt;=105),0.15,0)+IF(AND(V1351&gt;=20,V1351&lt;40,W1351&lt;95),0.2,0)+IF(AND(V1351&gt;=20,V1351&lt;40,W1351&gt;=95,W1351&lt;150),0.15,0)+IF(AND(V1351&gt;=20,V1351&lt;40,W1351&gt;=150),0.12,0)+IF(AND(V1351&gt;=40,V1351&lt;75,W1351&lt;75),0.2,0)+IF(AND(V1351&gt;=40,V1351&lt;75,W1351&gt;=75,W1351&lt;120),0.15,0)+IF(AND(V1351&gt;=40,V1351&lt;75,W1351&gt;=120),0.12,0)+IF(AND(V1351&gt;=75,V1351&lt;175,W1351&lt;65),0.2,0)+IF(AND(V1351&gt;=75,V1351&lt;175,W1351&gt;=65,W1351&lt;110),0.15,0)+IF(AND(V1351&gt;=75,V1351&lt;175,W1351&gt;=110),0.12,0)+IF(AND(V1351&gt;=175,W1351&lt;55),0.2,0)+IF(AND(V1351&gt;=175,W1351&gt;=55,W1351&lt;95),0.15,0)+IF(AND(V1351&gt;=175,W1351&gt;=95),0.12,0),
IF(AF1351="DoEVku",IF(AND(V1351&lt;20,W1351&lt;55),0.23,0)+IF(AND(V1351&lt;20,W1351&gt;=55,W1351&lt;105),0.2,0)+IF(AND(V1351&lt;20,W1351&gt;=105),0.17,0)+IF(AND(V1351&gt;=20,V1351&lt;40,W1351&lt;45),0.23,0)+IF(AND(V1351&gt;=20,V1351&lt;40,W1351&gt;=45,W1351&lt;95),0.2,0)+IF(AND(V1351&gt;=20,V1351&lt;40,W1351&gt;=95,W1351&lt;=150),0.17,0)+IF(AND(V1351&gt;=20,V1351&lt;40,W1351&gt;=150),0.12,0)+IF(AND(V1351&gt;=40,V1351&lt;75,W1351&lt;35),0.23,0)+IF(AND(V1351&gt;=40,V1351&lt;75,W1351&gt;=35,W1351&lt;75),0.2,0)+IF(AND(V1351&gt;=40,V1351&lt;75,W1351&gt;=75,W1351&lt;120),0.17,0)+IF(AND(V1351&gt;=40,V1351&lt;75,W1351&gt;=120),0.12,0)+IF(AND(V1351&gt;=75,V1351&lt;175,W1351&lt;35),0.23,0)+IF(AND(V1351&gt;=75,V1351&lt;=175,W1351&gt;=35,W1351&lt;65),0.2,0)+IF(AND(V1351&gt;=75,V1351&lt;=175,W1351&gt;=65,W1351&lt;110),0.17,0)+IF(AND(V1351&gt;=75,V1351&lt;=175,W1351&gt;=110),0.12,0)+IF(AND(V1351&gt;175,W1351&lt;25),0.23,0)+IF(AND(V1351&gt;175,W1351&gt;=25,W1351&lt;55),0.2,0)+IF(AND(V1351&gt;175,W1351&gt;=55,W1351&lt;95),0.17,0)+IF(AND(V1351&gt;175,W1351&gt;=95),0.12,0),
IF(AF1351="DoEVs1",IF(AND(V1351&lt;20,W1351&lt;55),0.3,0)+IF(AND(V1351&lt;20,W1351&gt;=55,W1351&lt;105),0.23,0)+IF(AND(V1351&lt;20,W1351&gt;=105),0.17,0)+IF(AND(V1351&gt;=20,V1351&lt;40,W1351&lt;45),0.3,0)+IF(AND(V1351&gt;=20,V1351&lt;40,W1351&gt;=45,W1351&lt;95),0.23,0)+IF(AND(V1351&gt;=20,V1351&lt;40,W1351&gt;=95,W1351&lt;=150),0.17,0)+IF(AND(V1351&gt;=20,V1351&lt;40,W1351&gt;=150),0.12,0)+IF(AND(V1351&gt;=40,V1351&lt;75,W1351&lt;35),0.3,0)+IF(AND(V1351&gt;=40,V1351&lt;75,W1351&gt;=35,W1351&lt;75),0.23,0)+IF(AND(V1351&gt;=40,V1351&lt;75,W1351&gt;=75,W1351&lt;120),0.17,0)+IF(AND(V1351&gt;=40,V1351&lt;75,W1351&gt;=120),0.12,0)+IF(AND(V1351&gt;=75,V1351&lt;175,W1351&lt;35),0.3,0)+IF(AND(V1351&gt;=75,V1351&lt;=175,W1351&gt;=35,W1351&lt;65),0.23,0)+IF(AND(V1351&gt;=75,V1351&lt;=175,W1351&gt;=65,W1351&lt;110),0.17,0)+IF(AND(V1351&gt;=75,V1351&lt;=175,W1351&gt;=110),0.12,0)+IF(AND(V1351&gt;175,W1351&lt;25),0.3,0)+IF(AND(V1351&gt;175,W1351&gt;=25,W1351&lt;55),0.23,0)+IF(AND(V1351&gt;175,W1351&gt;=55,W1351&lt;95),0.17,0)+IF(AND(V1351&gt;175,W1351&gt;=95),0.12,0),
IF(AF1351="DoEVsu",IF(AND(V1351&lt;20,W1351&lt;55),0.3,0)+IF(AND(V1351&lt;20,W1351&gt;=55,W1351&lt;105),0.23,0)+IF(AND(V1351&lt;20,W1351&gt;=105),0.17,0)+IF(AND(V1351&gt;=20,V1351&lt;40,W1351&lt;45),0.3,0)+IF(AND(V1351&gt;=20,V1351&lt;40,W1351&gt;=45,W1351&lt;95),0.23,0)+IF(AND(V1351&gt;=20,V1351&lt;40,W1351&gt;=95,W1351&lt;=250),0.17,0)+IF(AND(V1351&gt;=20,V1351&lt;40,W1351&gt;=250),0.12,0)+IF(AND(V1351&gt;=40,V1351&lt;75,W1351&lt;35),0.3,0)+IF(AND(V1351&gt;=40,V1351&lt;75,W1351&gt;=35,W1351&lt;75),0.23,0)+IF(AND(V1351&gt;=40,V1351&lt;75,W1351&gt;=75,W1351&lt;120),0.17,0)+IF(AND(V1351&gt;=40,V1351&lt;75,W1351&gt;=120),0.12,0)+IF(AND(V1351&gt;=75,V1351&lt;175,W1351&lt;35),0.3,0)+IF(AND(V1351&gt;=75,V1351&lt;=175,W1351&gt;=35,W1351&lt;65),0.23,0)+IF(AND(V1351&gt;=75,V1351&lt;=175,W1351&gt;=65,W1351&lt;110),0.17,0)+IF(AND(V1351&gt;=75,V1351&lt;=175,W1351&gt;=110),0.12,0)+IF(AND(V1351&gt;175,W1351&lt;25),0.3,0)+IF(AND(V1351&gt;175,W1351&gt;=25,W1351&lt;55),0.23,0)+IF(AND(V1351&gt;175,W1351&gt;=55,W1351&lt;95),0.17,0)+IF(AND(V1351&gt;175,W1351&gt;=95),0.12,0),
IF(AF1351="DoEVni",IF(AND(V1351&lt;20,W1351&lt;55),0.3,0)+IF(AND(V1351&lt;20,W1351&gt;=55,W1351&lt;105),0.23,0)+IF(AND(V1351&lt;20,W1351&gt;=105),0.17,0)+IF(AND(V1351&gt;=20,V1351&lt;40,W1351&lt;45),0.3,0)+IF(AND(V1351&gt;=20,V1351&lt;40,W1351&gt;=45,W1351&lt;95),0.23,0)+IF(AND(V1351&gt;=20,V1351&lt;40,W1351&gt;=95,W1351&lt;=200),0.17,0)+IF(AND(V1351&gt;=20,V1351&lt;40,W1351&gt;=200),0.12,0)+IF(AND(V1351&gt;=40,V1351&lt;75,W1351&lt;35),0.3,0)+IF(AND(V1351&gt;=40,V1351&lt;75,W1351&gt;=35,W1351&lt;75),0.23,0)+IF(AND(V1351&gt;=40,V1351&lt;75,W1351&gt;=75,W1351&lt;120),0.17,0)+IF(AND(V1351&gt;=40,V1351&lt;75,W1351&gt;=120),0.12,0)+IF(AND(V1351&gt;=75,V1351&lt;175,W1351&lt;35),0.3,0)+IF(AND(V1351&gt;=75,V1351&lt;=175,W1351&gt;=35,W1351&lt;65),0.23,0)+IF(AND(V1351&gt;=75,V1351&lt;=175,W1351&gt;=65,W1351&lt;110),0.17,0)+IF(AND(V1351&gt;=75,V1351&lt;=175,W1351&gt;=110),0.12,0)+IF(AND(V1351&gt;175,W1351&lt;25),0.3,0)+IF(AND(V1351&gt;175,W1351&gt;=25,W1351&lt;55),0.23,0)+IF(AND(V1351&gt;175,W1351&gt;=55,W1351&lt;95),0.17,0)+IF(AND(V1351&gt;175,W1351&gt;=95),0.12,0),
IF(AF1351="DoEVLo",IF(AND(V1351&lt;20,W1351&lt;55),0.25,0)+IF(AND(V1351&lt;20,W1351&gt;=55,W1351&lt;105),0.2,0)+IF(AND(V1351&lt;20,W1351&gt;=105),0.15,0)+IF(AND(V1351&gt;=20,V1351&lt;40,W1351&lt;45),0.25,0)+IF(AND(V1351&gt;=20,V1351&lt;40,W1351&gt;=45,W1351&lt;95),0.2,0)+IF(AND(V1351&gt;=20,V1351&lt;40,W1351&gt;=95),0.15,0)+IF(AND(V1351&gt;=40,V1351&lt;75,W1351&lt;35),0.25,0)+IF(AND(V1351&gt;=40,V1351&lt;75,W1351&gt;=35,W1351&lt;75),0.2,0)+IF(AND(V1351&gt;=40,V1351&lt;75,W1351&gt;=75,W1351&lt;120),0.15,0)+IF(AND(V1351&gt;=40,V1351&lt;75,W1351&gt;=120),0.1,0)+IF(AND(V1351&gt;=75,V1351&lt;175,W1351&lt;35),0.25,0)+IF(AND(V1351&gt;=75,V1351&lt;=175,W1351&gt;=35,W1351&lt;65),0.2,0)+IF(AND(V1351&gt;=75,V1351&lt;=175,W1351&gt;=65,W1351&lt;110),0.15,0)+IF(AND(V1351&gt;=75,V1351&lt;=175,W1351&gt;=110),0.1,0)+IF(AND(V1351&gt;175,W1351&lt;25),0.25,0)+IF(AND(V1351&gt;175,W1351&gt;=25,W1351&lt;55),0.2,0)+IF(AND(V1351&gt;175,W1351&gt;=55,W1351&lt;95),0.15,0)+IF(AND(V1351&gt;175,W1351&gt;=95),0.1,0))))))))))))))))))</f>
        <v>0.1</v>
      </c>
      <c r="Y1351" s="30">
        <f>IF(AG1351="None",0,IF(AG1351="Fix5",0.05, IF(AG1351="Fix6.25",0.0625,IF(AG1351="Fix3.75",0.0375,IF(AG1351="Fix10",0.1,IF(AG1351="Fix3",0.03,0))))))</f>
        <v>0</v>
      </c>
      <c r="Z1351" s="35">
        <f>T1351-AA1351-AB1351</f>
        <v>6903.9</v>
      </c>
      <c r="AA1351" s="29">
        <f>IF(AD1351="EUR",((T1351-R1351)*X1351)*U1351+(R1351*X1351),(T1351*X1351))</f>
        <v>767.1</v>
      </c>
      <c r="AB1351" s="36">
        <f>IF(AD1351="EUR",((T1351-R1351)*Y1351)*U1351+(R1351*Y1351),(T1351*Y1351))</f>
        <v>0</v>
      </c>
      <c r="AC1351" s="37" t="b">
        <v>1</v>
      </c>
      <c r="AD1351" s="37" t="s">
        <v>38</v>
      </c>
      <c r="AE1351" s="37" t="s">
        <v>38</v>
      </c>
      <c r="AF1351" s="37" t="str">
        <f t="array" ref="AF1351">INDEX('Deal Info'!D:D, MATCH(A1351,'Deal Info'!A:A, 0))</f>
        <v>Fix10</v>
      </c>
      <c r="AG1351" s="38" t="str">
        <f t="array" ref="AG1351">INDEX('Deal Info'!G:G, MATCH(A1351,'Deal Info'!A:A, 0))</f>
        <v>None</v>
      </c>
    </row>
    <row r="1352" spans="1:33" ht="14.25" hidden="1" x14ac:dyDescent="0.2">
      <c r="A1352" s="18" t="str">
        <f t="array" ref="A1352">IF(G1352='Room Info'!$B$1, INDEX('Room Info'!$A$2:$A2446, MATCH(B1352,'Room Info'!$B$2:$B2446, 0)),IF(G1352='Room Info'!$C$1, INDEX('Room Info'!$A$2:$A2446, MATCH(B1352,'Room Info'!$C$2:$C2446, 0)),IF(G1352='Room Info'!$D$1, INDEX('Room Info'!$A$2:$A2446, MATCH(B1352,'Room Info'!$D$2:$D2446, 0)),IF(G1352='Room Info'!$E$1, INDEX('Room Info'!$A$2:$A2446, MATCH(B1352,'Room Info'!$E$2:$E2446, 0)),IF(G1352='Room Info'!$F$1, INDEX('Room Info'!$A$2:$A2446, MATCH(B1352,'Room Info'!$F$2:$F2446, 0)),IF(G1352='Room Info'!$H$1, INDEX('Room Info'!$A$2:$A2446, MATCH(B1352,'Room Info'!$H$2:$H2446, 0)),IF(G1352='Room Info'!$G$1, INDEX('Room Info'!$A$2:$A2446, MATCH(B1352,'Room Info'!$G$2:$G2446, 0)))))))))</f>
        <v>volkovsky</v>
      </c>
      <c r="B1352" s="45" t="s">
        <v>206</v>
      </c>
      <c r="C1352" s="77">
        <v>44825</v>
      </c>
      <c r="D1352" s="77">
        <v>44854</v>
      </c>
      <c r="E1352" s="47">
        <v>44835</v>
      </c>
      <c r="F1352" s="45" t="s">
        <v>34</v>
      </c>
      <c r="G1352" s="45" t="s">
        <v>35</v>
      </c>
      <c r="H1352" s="91" t="s">
        <v>148</v>
      </c>
      <c r="I1352" s="49" t="s">
        <v>44</v>
      </c>
      <c r="J1352" s="74">
        <v>250</v>
      </c>
      <c r="K1352" s="75">
        <v>57</v>
      </c>
      <c r="L1352" s="72">
        <v>-3750</v>
      </c>
      <c r="M1352" s="76">
        <v>1609</v>
      </c>
      <c r="N1352" s="28">
        <f>K1352*J1352</f>
        <v>14250</v>
      </c>
      <c r="O1352" s="45">
        <v>-1507</v>
      </c>
      <c r="P1352" s="29">
        <v>-26.438596489999998</v>
      </c>
      <c r="Q1352" s="55"/>
      <c r="R1352" s="31">
        <f>M1352+Q1352</f>
        <v>1609</v>
      </c>
      <c r="S1352" s="73">
        <v>-2004</v>
      </c>
      <c r="T1352" s="32">
        <f>R1352+S1352+IF(F1352="Without EV deal",L1352,0)</f>
        <v>-395</v>
      </c>
      <c r="U1352" s="57"/>
      <c r="V1352" s="58"/>
      <c r="W1352" s="58"/>
      <c r="X1352" s="30">
        <f>IF(AF1352="DoEV",IF(AND(V1352&lt;20,W1352&lt;55),0.3,0)+IF(AND(V1352&lt;20,W1352&gt;=55,W1352&lt;105),0.23,0)+IF(AND(V1352&lt;20,W1352&gt;=105),0.17,0)+IF(AND(V1352&gt;=20,V1352&lt;40,W1352&lt;45),0.3,0)+IF(AND(V1352&gt;=20,V1352&lt;40,W1352&gt;=45,W1352&lt;95),0.23,0)+IF(AND(V1352&gt;=20,V1352&lt;40,W1352&gt;=95),0.17,0)+IF(AND(V1352&gt;=40,V1352&lt;75,W1352&lt;35),0.3,0)+IF(AND(V1352&gt;=40,V1352&lt;75,W1352&gt;=35,W1352&lt;75),0.23,0)+IF(AND(V1352&gt;=40,V1352&lt;75,W1352&gt;=75,W1352&lt;120),0.17,0)+IF(AND(V1352&gt;=40,V1352&lt;75,W1352&gt;=120),0.12,0)+IF(AND(V1352&gt;=75,V1352&lt;175,W1352&lt;35),0.3,0)+IF(AND(V1352&gt;=75,V1352&lt;=175,W1352&gt;=35,W1352&lt;65),0.23,0)+IF(AND(V1352&gt;=75,V1352&lt;=175,W1352&gt;=65,W1352&lt;110),0.17,0)+IF(AND(V1352&gt;=75,V1352&lt;=175,W1352&gt;=110),0.12,0)+IF(AND(V1352&gt;175,W1352&lt;25),0.3,0)+IF(AND(V1352&gt;175,W1352&gt;=25,W1352&lt;55),0.23,0)+IF(AND(V1352&gt;175,W1352&gt;=55,W1352&lt;95),0.17,0)+IF(AND(V1352&gt;175,W1352&gt;=95),0.12,0),
IF(AF1352="Fix15",0.15,
IF(AF1352="Fix18.75",0.1875,
IF(AF1352="Fix11.25",0.1125,
IF(AF1352="Fix10",0.1,
IF(AF1352="Fix9",0.09,
IF(AF1352="Fix19",0.19,
IF(AF1352="DoEV2017",IF(AND(W1352&lt;74),0.2,0)+IF(AND(W1352&gt;=74),0.17,0),
IF(AF1352="SF",IF(AND(V1352&lt;20,W1352&lt;89),0.3,0)+IF(AND(V1352&lt;20,W1352&gt;=89),0.25,0)+IF(AND(V1352&gt;=20,V1352&lt;40,W1352&lt;74),0.3,0)+IF(AND(V1352&gt;=20,V1352&lt;40,W1352&gt;=75),0.22,0)+IF(AND(V1352&gt;=40,V1352&lt;75,W1352&lt;75),0.26,0)+IF(AND(V1352&gt;=40,V1352&lt;75,W1352&gt;=75),0.22,0)+IF(V1352&gt;=75,0.22,0),
IF(AF1352="DoEVold",IF(AND(V1352&lt;40,W1352&lt;35),0.35,0)+IF(AND(V1352&lt;40,W1352&gt;=35,W1352&lt;75),0.25,0)+IF(AND(V1352&lt;40,W1352&gt;=75),0.17,0)+IF(AND(V1352&gt;=40,V1352&lt;75,W1352&lt;25),0.35,0)+IF(AND(V1352&gt;=40,V1352&lt;75,W1352&gt;=25,W1352&lt;65),0.25,0)+IF(AND(V1352&gt;=40,V1352&lt;75,W1352&gt;=65,W1352&lt;100),0.17,0)+IF(AND(V1352&gt;=40,V1352&lt;75,W1352&gt;=100),0.1,0)+IF(AND(V1352&gt;=75,W1352&lt;25),0.35,0)+IF(AND(V1352&gt;=75,W1352&gt;=25,W1352&lt;60),0.25,0)+IF(AND(V1352&gt;=75,W1352&gt;=60,W1352&lt;95),0.17,0)+IF(AND(V1352&gt;=75,W1352&gt;=95),0.1,0),
IF(AF1352="DoEVold15",IF(AND(V1352&lt;=40,W1352&lt;35),0.35,0)+IF(AND(V1352&lt;=40,W1352&gt;=35,W1352&lt;75),0.25,0)+IF(AND(V1352&lt;=40,W1352&gt;=75,W1352&lt;120),0.17,0)+IF(AND(V1352&lt;=40,W1352&gt;=120),0.15,0)+IF(AND(V1352&gt;40,V1352&lt;75,W1352&lt;25),0.35,0)+IF(AND(V1352&gt;=40,V1352&lt;75,W1352&gt;=25,W1352&lt;65),0.25,0)+IF(AND(V1352&gt;=40,V1352&lt;75,W1352&gt;=65,W1352&lt;100),0.17,0)+IF(AND(V1352&gt;=40,V1352&lt;75,W1352&gt;=100),0.1,0)+IF(AND(V1352&gt;=75,W1352&lt;25),0.35,0)+IF(AND(V1352&gt;=75,W1352&gt;=25,W1352&lt;60),0.25,0)+IF(AND(V1352&gt;=75,W1352&gt;=60,W1352&lt;95),0.17,0)+IF(AND(V1352&gt;=75,W1352&gt;=95),0.1,0),
IF(AF1352="DoEVba",IF(AND(V1352&lt;20,W1352&lt;105),0.2,0)+IF(AND(V1352&lt;20,W1352&gt;=105),0.15,0)+IF(AND(V1352&gt;=20,V1352&lt;40,W1352&lt;95),0.2,0)+IF(AND(V1352&gt;=20,V1352&lt;40,W1352&gt;=95,W1352&lt;150),0.15,0)+IF(AND(V1352&gt;=20,V1352&lt;40,W1352&gt;=150),0.12,0)+IF(AND(V1352&gt;=40,V1352&lt;75,W1352&lt;75),0.2,0)+IF(AND(V1352&gt;=40,V1352&lt;75,W1352&gt;=75,W1352&lt;120),0.15,0)+IF(AND(V1352&gt;=40,V1352&lt;75,W1352&gt;=120),0.12,0)+IF(AND(V1352&gt;=75,V1352&lt;175,W1352&lt;65),0.2,0)+IF(AND(V1352&gt;=75,V1352&lt;175,W1352&gt;=65,W1352&lt;110),0.15,0)+IF(AND(V1352&gt;=75,V1352&lt;175,W1352&gt;=110),0.12,0)+IF(AND(V1352&gt;=175,W1352&lt;55),0.2,0)+IF(AND(V1352&gt;=175,W1352&gt;=55,W1352&lt;95),0.15,0)+IF(AND(V1352&gt;=175,W1352&gt;=95),0.12,0),
IF(AF1352="DoEVku",IF(AND(V1352&lt;20,W1352&lt;55),0.23,0)+IF(AND(V1352&lt;20,W1352&gt;=55,W1352&lt;105),0.2,0)+IF(AND(V1352&lt;20,W1352&gt;=105),0.17,0)+IF(AND(V1352&gt;=20,V1352&lt;40,W1352&lt;45),0.23,0)+IF(AND(V1352&gt;=20,V1352&lt;40,W1352&gt;=45,W1352&lt;95),0.2,0)+IF(AND(V1352&gt;=20,V1352&lt;40,W1352&gt;=95,W1352&lt;=150),0.17,0)+IF(AND(V1352&gt;=20,V1352&lt;40,W1352&gt;=150),0.12,0)+IF(AND(V1352&gt;=40,V1352&lt;75,W1352&lt;35),0.23,0)+IF(AND(V1352&gt;=40,V1352&lt;75,W1352&gt;=35,W1352&lt;75),0.2,0)+IF(AND(V1352&gt;=40,V1352&lt;75,W1352&gt;=75,W1352&lt;120),0.17,0)+IF(AND(V1352&gt;=40,V1352&lt;75,W1352&gt;=120),0.12,0)+IF(AND(V1352&gt;=75,V1352&lt;175,W1352&lt;35),0.23,0)+IF(AND(V1352&gt;=75,V1352&lt;=175,W1352&gt;=35,W1352&lt;65),0.2,0)+IF(AND(V1352&gt;=75,V1352&lt;=175,W1352&gt;=65,W1352&lt;110),0.17,0)+IF(AND(V1352&gt;=75,V1352&lt;=175,W1352&gt;=110),0.12,0)+IF(AND(V1352&gt;175,W1352&lt;25),0.23,0)+IF(AND(V1352&gt;175,W1352&gt;=25,W1352&lt;55),0.2,0)+IF(AND(V1352&gt;175,W1352&gt;=55,W1352&lt;95),0.17,0)+IF(AND(V1352&gt;175,W1352&gt;=95),0.12,0),
IF(AF1352="DoEVs1",IF(AND(V1352&lt;20,W1352&lt;55),0.3,0)+IF(AND(V1352&lt;20,W1352&gt;=55,W1352&lt;105),0.23,0)+IF(AND(V1352&lt;20,W1352&gt;=105),0.17,0)+IF(AND(V1352&gt;=20,V1352&lt;40,W1352&lt;45),0.3,0)+IF(AND(V1352&gt;=20,V1352&lt;40,W1352&gt;=45,W1352&lt;95),0.23,0)+IF(AND(V1352&gt;=20,V1352&lt;40,W1352&gt;=95,W1352&lt;=150),0.17,0)+IF(AND(V1352&gt;=20,V1352&lt;40,W1352&gt;=150),0.12,0)+IF(AND(V1352&gt;=40,V1352&lt;75,W1352&lt;35),0.3,0)+IF(AND(V1352&gt;=40,V1352&lt;75,W1352&gt;=35,W1352&lt;75),0.23,0)+IF(AND(V1352&gt;=40,V1352&lt;75,W1352&gt;=75,W1352&lt;120),0.17,0)+IF(AND(V1352&gt;=40,V1352&lt;75,W1352&gt;=120),0.12,0)+IF(AND(V1352&gt;=75,V1352&lt;175,W1352&lt;35),0.3,0)+IF(AND(V1352&gt;=75,V1352&lt;=175,W1352&gt;=35,W1352&lt;65),0.23,0)+IF(AND(V1352&gt;=75,V1352&lt;=175,W1352&gt;=65,W1352&lt;110),0.17,0)+IF(AND(V1352&gt;=75,V1352&lt;=175,W1352&gt;=110),0.12,0)+IF(AND(V1352&gt;175,W1352&lt;25),0.3,0)+IF(AND(V1352&gt;175,W1352&gt;=25,W1352&lt;55),0.23,0)+IF(AND(V1352&gt;175,W1352&gt;=55,W1352&lt;95),0.17,0)+IF(AND(V1352&gt;175,W1352&gt;=95),0.12,0),
IF(AF1352="DoEVsu",IF(AND(V1352&lt;20,W1352&lt;55),0.3,0)+IF(AND(V1352&lt;20,W1352&gt;=55,W1352&lt;105),0.23,0)+IF(AND(V1352&lt;20,W1352&gt;=105),0.17,0)+IF(AND(V1352&gt;=20,V1352&lt;40,W1352&lt;45),0.3,0)+IF(AND(V1352&gt;=20,V1352&lt;40,W1352&gt;=45,W1352&lt;95),0.23,0)+IF(AND(V1352&gt;=20,V1352&lt;40,W1352&gt;=95,W1352&lt;=250),0.17,0)+IF(AND(V1352&gt;=20,V1352&lt;40,W1352&gt;=250),0.12,0)+IF(AND(V1352&gt;=40,V1352&lt;75,W1352&lt;35),0.3,0)+IF(AND(V1352&gt;=40,V1352&lt;75,W1352&gt;=35,W1352&lt;75),0.23,0)+IF(AND(V1352&gt;=40,V1352&lt;75,W1352&gt;=75,W1352&lt;120),0.17,0)+IF(AND(V1352&gt;=40,V1352&lt;75,W1352&gt;=120),0.12,0)+IF(AND(V1352&gt;=75,V1352&lt;175,W1352&lt;35),0.3,0)+IF(AND(V1352&gt;=75,V1352&lt;=175,W1352&gt;=35,W1352&lt;65),0.23,0)+IF(AND(V1352&gt;=75,V1352&lt;=175,W1352&gt;=65,W1352&lt;110),0.17,0)+IF(AND(V1352&gt;=75,V1352&lt;=175,W1352&gt;=110),0.12,0)+IF(AND(V1352&gt;175,W1352&lt;25),0.3,0)+IF(AND(V1352&gt;175,W1352&gt;=25,W1352&lt;55),0.23,0)+IF(AND(V1352&gt;175,W1352&gt;=55,W1352&lt;95),0.17,0)+IF(AND(V1352&gt;175,W1352&gt;=95),0.12,0),
IF(AF1352="DoEVni",IF(AND(V1352&lt;20,W1352&lt;55),0.3,0)+IF(AND(V1352&lt;20,W1352&gt;=55,W1352&lt;105),0.23,0)+IF(AND(V1352&lt;20,W1352&gt;=105),0.17,0)+IF(AND(V1352&gt;=20,V1352&lt;40,W1352&lt;45),0.3,0)+IF(AND(V1352&gt;=20,V1352&lt;40,W1352&gt;=45,W1352&lt;95),0.23,0)+IF(AND(V1352&gt;=20,V1352&lt;40,W1352&gt;=95,W1352&lt;=200),0.17,0)+IF(AND(V1352&gt;=20,V1352&lt;40,W1352&gt;=200),0.12,0)+IF(AND(V1352&gt;=40,V1352&lt;75,W1352&lt;35),0.3,0)+IF(AND(V1352&gt;=40,V1352&lt;75,W1352&gt;=35,W1352&lt;75),0.23,0)+IF(AND(V1352&gt;=40,V1352&lt;75,W1352&gt;=75,W1352&lt;120),0.17,0)+IF(AND(V1352&gt;=40,V1352&lt;75,W1352&gt;=120),0.12,0)+IF(AND(V1352&gt;=75,V1352&lt;175,W1352&lt;35),0.3,0)+IF(AND(V1352&gt;=75,V1352&lt;=175,W1352&gt;=35,W1352&lt;65),0.23,0)+IF(AND(V1352&gt;=75,V1352&lt;=175,W1352&gt;=65,W1352&lt;110),0.17,0)+IF(AND(V1352&gt;=75,V1352&lt;=175,W1352&gt;=110),0.12,0)+IF(AND(V1352&gt;175,W1352&lt;25),0.3,0)+IF(AND(V1352&gt;175,W1352&gt;=25,W1352&lt;55),0.23,0)+IF(AND(V1352&gt;175,W1352&gt;=55,W1352&lt;95),0.17,0)+IF(AND(V1352&gt;175,W1352&gt;=95),0.12,0),
IF(AF1352="DoEVLo",IF(AND(V1352&lt;20,W1352&lt;55),0.25,0)+IF(AND(V1352&lt;20,W1352&gt;=55,W1352&lt;105),0.2,0)+IF(AND(V1352&lt;20,W1352&gt;=105),0.15,0)+IF(AND(V1352&gt;=20,V1352&lt;40,W1352&lt;45),0.25,0)+IF(AND(V1352&gt;=20,V1352&lt;40,W1352&gt;=45,W1352&lt;95),0.2,0)+IF(AND(V1352&gt;=20,V1352&lt;40,W1352&gt;=95),0.15,0)+IF(AND(V1352&gt;=40,V1352&lt;75,W1352&lt;35),0.25,0)+IF(AND(V1352&gt;=40,V1352&lt;75,W1352&gt;=35,W1352&lt;75),0.2,0)+IF(AND(V1352&gt;=40,V1352&lt;75,W1352&gt;=75,W1352&lt;120),0.15,0)+IF(AND(V1352&gt;=40,V1352&lt;75,W1352&gt;=120),0.1,0)+IF(AND(V1352&gt;=75,V1352&lt;175,W1352&lt;35),0.25,0)+IF(AND(V1352&gt;=75,V1352&lt;=175,W1352&gt;=35,W1352&lt;65),0.2,0)+IF(AND(V1352&gt;=75,V1352&lt;=175,W1352&gt;=65,W1352&lt;110),0.15,0)+IF(AND(V1352&gt;=75,V1352&lt;=175,W1352&gt;=110),0.1,0)+IF(AND(V1352&gt;175,W1352&lt;25),0.25,0)+IF(AND(V1352&gt;175,W1352&gt;=25,W1352&lt;55),0.2,0)+IF(AND(V1352&gt;175,W1352&gt;=55,W1352&lt;95),0.15,0)+IF(AND(V1352&gt;175,W1352&gt;=95),0.1,0))))))))))))))))))</f>
        <v>0.1</v>
      </c>
      <c r="Y1352" s="30">
        <f>IF(AG1352="None",0,IF(AG1352="Fix5",0.05, IF(AG1352="Fix6.25",0.0625,IF(AG1352="Fix3.75",0.0375,IF(AG1352="Fix10",0.1,IF(AG1352="Fix3",0.03,0))))))</f>
        <v>0</v>
      </c>
      <c r="Z1352" s="35">
        <f>T1352-AA1352-AB1352</f>
        <v>-355.5</v>
      </c>
      <c r="AA1352" s="29">
        <f>IF(AD1352="EUR",((T1352-R1352)*X1352)*U1352+(R1352*X1352),(T1352*X1352))</f>
        <v>-39.5</v>
      </c>
      <c r="AB1352" s="36">
        <f>IF(AD1352="EUR",((T1352-R1352)*Y1352)*U1352+(R1352*Y1352),(T1352*Y1352))</f>
        <v>0</v>
      </c>
      <c r="AC1352" s="37" t="b">
        <v>1</v>
      </c>
      <c r="AD1352" s="37" t="s">
        <v>38</v>
      </c>
      <c r="AE1352" s="37" t="s">
        <v>38</v>
      </c>
      <c r="AF1352" s="37" t="str">
        <f t="array" ref="AF1352">INDEX('Deal Info'!D:D, MATCH(A1352,'Deal Info'!A:A, 0))</f>
        <v>Fix10</v>
      </c>
      <c r="AG1352" s="38" t="str">
        <f t="array" ref="AG1352">INDEX('Deal Info'!G:G, MATCH(A1352,'Deal Info'!A:A, 0))</f>
        <v>None</v>
      </c>
    </row>
    <row r="1353" spans="1:33" ht="14.25" hidden="1" x14ac:dyDescent="0.2">
      <c r="A1353" s="18" t="str">
        <f t="array" ref="A1353">IF(G1353='Room Info'!$B$1, INDEX('Room Info'!$A$2:$A2446, MATCH(B1353,'Room Info'!$B$2:$B2446, 0)),IF(G1353='Room Info'!$C$1, INDEX('Room Info'!$A$2:$A2446, MATCH(B1353,'Room Info'!$C$2:$C2446, 0)),IF(G1353='Room Info'!$D$1, INDEX('Room Info'!$A$2:$A2446, MATCH(B1353,'Room Info'!$D$2:$D2446, 0)),IF(G1353='Room Info'!$E$1, INDEX('Room Info'!$A$2:$A2446, MATCH(B1353,'Room Info'!$E$2:$E2446, 0)),IF(G1353='Room Info'!$F$1, INDEX('Room Info'!$A$2:$A2446, MATCH(B1353,'Room Info'!$F$2:$F2446, 0)),IF(G1353='Room Info'!$H$1, INDEX('Room Info'!$A$2:$A2446, MATCH(B1353,'Room Info'!$H$2:$H2446, 0)),IF(G1353='Room Info'!$G$1, INDEX('Room Info'!$A$2:$A2446, MATCH(B1353,'Room Info'!$G$2:$G2446, 0)))))))))</f>
        <v>volkovsky</v>
      </c>
      <c r="B1353" s="45" t="s">
        <v>206</v>
      </c>
      <c r="C1353" s="77">
        <v>44855</v>
      </c>
      <c r="D1353" s="77">
        <v>44885</v>
      </c>
      <c r="E1353" s="47">
        <v>44866</v>
      </c>
      <c r="F1353" s="45" t="s">
        <v>34</v>
      </c>
      <c r="G1353" s="45" t="s">
        <v>35</v>
      </c>
      <c r="H1353" s="91" t="s">
        <v>72</v>
      </c>
      <c r="I1353" s="49" t="s">
        <v>37</v>
      </c>
      <c r="J1353" s="74">
        <v>50</v>
      </c>
      <c r="K1353" s="75">
        <v>91</v>
      </c>
      <c r="L1353" s="72">
        <v>800</v>
      </c>
      <c r="M1353" s="76">
        <v>67</v>
      </c>
      <c r="N1353" s="28">
        <f>K1353*J1353</f>
        <v>4550</v>
      </c>
      <c r="O1353" s="45">
        <v>7306</v>
      </c>
      <c r="P1353" s="29">
        <v>80.285714290000001</v>
      </c>
      <c r="Q1353" s="55"/>
      <c r="R1353" s="31">
        <f>M1353+Q1353</f>
        <v>67</v>
      </c>
      <c r="S1353" s="73">
        <v>379</v>
      </c>
      <c r="T1353" s="32">
        <f>R1353+S1353+IF(F1353="Without EV deal",L1353,0)</f>
        <v>446</v>
      </c>
      <c r="U1353" s="57"/>
      <c r="V1353" s="58"/>
      <c r="W1353" s="58"/>
      <c r="X1353" s="30">
        <f>IF(AF1353="DoEV",IF(AND(V1353&lt;20,W1353&lt;55),0.3,0)+IF(AND(V1353&lt;20,W1353&gt;=55,W1353&lt;105),0.23,0)+IF(AND(V1353&lt;20,W1353&gt;=105),0.17,0)+IF(AND(V1353&gt;=20,V1353&lt;40,W1353&lt;45),0.3,0)+IF(AND(V1353&gt;=20,V1353&lt;40,W1353&gt;=45,W1353&lt;95),0.23,0)+IF(AND(V1353&gt;=20,V1353&lt;40,W1353&gt;=95),0.17,0)+IF(AND(V1353&gt;=40,V1353&lt;75,W1353&lt;35),0.3,0)+IF(AND(V1353&gt;=40,V1353&lt;75,W1353&gt;=35,W1353&lt;75),0.23,0)+IF(AND(V1353&gt;=40,V1353&lt;75,W1353&gt;=75,W1353&lt;120),0.17,0)+IF(AND(V1353&gt;=40,V1353&lt;75,W1353&gt;=120),0.12,0)+IF(AND(V1353&gt;=75,V1353&lt;175,W1353&lt;35),0.3,0)+IF(AND(V1353&gt;=75,V1353&lt;=175,W1353&gt;=35,W1353&lt;65),0.23,0)+IF(AND(V1353&gt;=75,V1353&lt;=175,W1353&gt;=65,W1353&lt;110),0.17,0)+IF(AND(V1353&gt;=75,V1353&lt;=175,W1353&gt;=110),0.12,0)+IF(AND(V1353&gt;175,W1353&lt;25),0.3,0)+IF(AND(V1353&gt;175,W1353&gt;=25,W1353&lt;55),0.23,0)+IF(AND(V1353&gt;175,W1353&gt;=55,W1353&lt;95),0.17,0)+IF(AND(V1353&gt;175,W1353&gt;=95),0.12,0),
IF(AF1353="Fix15",0.15,
IF(AF1353="Fix18.75",0.1875,
IF(AF1353="Fix11.25",0.1125,
IF(AF1353="Fix10",0.1,
IF(AF1353="Fix9",0.09,
IF(AF1353="Fix19",0.19,
IF(AF1353="DoEV2017",IF(AND(W1353&lt;74),0.2,0)+IF(AND(W1353&gt;=74),0.17,0),
IF(AF1353="SF",IF(AND(V1353&lt;20,W1353&lt;89),0.3,0)+IF(AND(V1353&lt;20,W1353&gt;=89),0.25,0)+IF(AND(V1353&gt;=20,V1353&lt;40,W1353&lt;74),0.3,0)+IF(AND(V1353&gt;=20,V1353&lt;40,W1353&gt;=75),0.22,0)+IF(AND(V1353&gt;=40,V1353&lt;75,W1353&lt;75),0.26,0)+IF(AND(V1353&gt;=40,V1353&lt;75,W1353&gt;=75),0.22,0)+IF(V1353&gt;=75,0.22,0),
IF(AF1353="DoEVold",IF(AND(V1353&lt;40,W1353&lt;35),0.35,0)+IF(AND(V1353&lt;40,W1353&gt;=35,W1353&lt;75),0.25,0)+IF(AND(V1353&lt;40,W1353&gt;=75),0.17,0)+IF(AND(V1353&gt;=40,V1353&lt;75,W1353&lt;25),0.35,0)+IF(AND(V1353&gt;=40,V1353&lt;75,W1353&gt;=25,W1353&lt;65),0.25,0)+IF(AND(V1353&gt;=40,V1353&lt;75,W1353&gt;=65,W1353&lt;100),0.17,0)+IF(AND(V1353&gt;=40,V1353&lt;75,W1353&gt;=100),0.1,0)+IF(AND(V1353&gt;=75,W1353&lt;25),0.35,0)+IF(AND(V1353&gt;=75,W1353&gt;=25,W1353&lt;60),0.25,0)+IF(AND(V1353&gt;=75,W1353&gt;=60,W1353&lt;95),0.17,0)+IF(AND(V1353&gt;=75,W1353&gt;=95),0.1,0),
IF(AF1353="DoEVold15",IF(AND(V1353&lt;=40,W1353&lt;35),0.35,0)+IF(AND(V1353&lt;=40,W1353&gt;=35,W1353&lt;75),0.25,0)+IF(AND(V1353&lt;=40,W1353&gt;=75,W1353&lt;120),0.17,0)+IF(AND(V1353&lt;=40,W1353&gt;=120),0.15,0)+IF(AND(V1353&gt;40,V1353&lt;75,W1353&lt;25),0.35,0)+IF(AND(V1353&gt;=40,V1353&lt;75,W1353&gt;=25,W1353&lt;65),0.25,0)+IF(AND(V1353&gt;=40,V1353&lt;75,W1353&gt;=65,W1353&lt;100),0.17,0)+IF(AND(V1353&gt;=40,V1353&lt;75,W1353&gt;=100),0.1,0)+IF(AND(V1353&gt;=75,W1353&lt;25),0.35,0)+IF(AND(V1353&gt;=75,W1353&gt;=25,W1353&lt;60),0.25,0)+IF(AND(V1353&gt;=75,W1353&gt;=60,W1353&lt;95),0.17,0)+IF(AND(V1353&gt;=75,W1353&gt;=95),0.1,0),
IF(AF1353="DoEVba",IF(AND(V1353&lt;20,W1353&lt;105),0.2,0)+IF(AND(V1353&lt;20,W1353&gt;=105),0.15,0)+IF(AND(V1353&gt;=20,V1353&lt;40,W1353&lt;95),0.2,0)+IF(AND(V1353&gt;=20,V1353&lt;40,W1353&gt;=95,W1353&lt;150),0.15,0)+IF(AND(V1353&gt;=20,V1353&lt;40,W1353&gt;=150),0.12,0)+IF(AND(V1353&gt;=40,V1353&lt;75,W1353&lt;75),0.2,0)+IF(AND(V1353&gt;=40,V1353&lt;75,W1353&gt;=75,W1353&lt;120),0.15,0)+IF(AND(V1353&gt;=40,V1353&lt;75,W1353&gt;=120),0.12,0)+IF(AND(V1353&gt;=75,V1353&lt;175,W1353&lt;65),0.2,0)+IF(AND(V1353&gt;=75,V1353&lt;175,W1353&gt;=65,W1353&lt;110),0.15,0)+IF(AND(V1353&gt;=75,V1353&lt;175,W1353&gt;=110),0.12,0)+IF(AND(V1353&gt;=175,W1353&lt;55),0.2,0)+IF(AND(V1353&gt;=175,W1353&gt;=55,W1353&lt;95),0.15,0)+IF(AND(V1353&gt;=175,W1353&gt;=95),0.12,0),
IF(AF1353="DoEVku",IF(AND(V1353&lt;20,W1353&lt;55),0.23,0)+IF(AND(V1353&lt;20,W1353&gt;=55,W1353&lt;105),0.2,0)+IF(AND(V1353&lt;20,W1353&gt;=105),0.17,0)+IF(AND(V1353&gt;=20,V1353&lt;40,W1353&lt;45),0.23,0)+IF(AND(V1353&gt;=20,V1353&lt;40,W1353&gt;=45,W1353&lt;95),0.2,0)+IF(AND(V1353&gt;=20,V1353&lt;40,W1353&gt;=95,W1353&lt;=150),0.17,0)+IF(AND(V1353&gt;=20,V1353&lt;40,W1353&gt;=150),0.12,0)+IF(AND(V1353&gt;=40,V1353&lt;75,W1353&lt;35),0.23,0)+IF(AND(V1353&gt;=40,V1353&lt;75,W1353&gt;=35,W1353&lt;75),0.2,0)+IF(AND(V1353&gt;=40,V1353&lt;75,W1353&gt;=75,W1353&lt;120),0.17,0)+IF(AND(V1353&gt;=40,V1353&lt;75,W1353&gt;=120),0.12,0)+IF(AND(V1353&gt;=75,V1353&lt;175,W1353&lt;35),0.23,0)+IF(AND(V1353&gt;=75,V1353&lt;=175,W1353&gt;=35,W1353&lt;65),0.2,0)+IF(AND(V1353&gt;=75,V1353&lt;=175,W1353&gt;=65,W1353&lt;110),0.17,0)+IF(AND(V1353&gt;=75,V1353&lt;=175,W1353&gt;=110),0.12,0)+IF(AND(V1353&gt;175,W1353&lt;25),0.23,0)+IF(AND(V1353&gt;175,W1353&gt;=25,W1353&lt;55),0.2,0)+IF(AND(V1353&gt;175,W1353&gt;=55,W1353&lt;95),0.17,0)+IF(AND(V1353&gt;175,W1353&gt;=95),0.12,0),
IF(AF1353="DoEVs1",IF(AND(V1353&lt;20,W1353&lt;55),0.3,0)+IF(AND(V1353&lt;20,W1353&gt;=55,W1353&lt;105),0.23,0)+IF(AND(V1353&lt;20,W1353&gt;=105),0.17,0)+IF(AND(V1353&gt;=20,V1353&lt;40,W1353&lt;45),0.3,0)+IF(AND(V1353&gt;=20,V1353&lt;40,W1353&gt;=45,W1353&lt;95),0.23,0)+IF(AND(V1353&gt;=20,V1353&lt;40,W1353&gt;=95,W1353&lt;=150),0.17,0)+IF(AND(V1353&gt;=20,V1353&lt;40,W1353&gt;=150),0.12,0)+IF(AND(V1353&gt;=40,V1353&lt;75,W1353&lt;35),0.3,0)+IF(AND(V1353&gt;=40,V1353&lt;75,W1353&gt;=35,W1353&lt;75),0.23,0)+IF(AND(V1353&gt;=40,V1353&lt;75,W1353&gt;=75,W1353&lt;120),0.17,0)+IF(AND(V1353&gt;=40,V1353&lt;75,W1353&gt;=120),0.12,0)+IF(AND(V1353&gt;=75,V1353&lt;175,W1353&lt;35),0.3,0)+IF(AND(V1353&gt;=75,V1353&lt;=175,W1353&gt;=35,W1353&lt;65),0.23,0)+IF(AND(V1353&gt;=75,V1353&lt;=175,W1353&gt;=65,W1353&lt;110),0.17,0)+IF(AND(V1353&gt;=75,V1353&lt;=175,W1353&gt;=110),0.12,0)+IF(AND(V1353&gt;175,W1353&lt;25),0.3,0)+IF(AND(V1353&gt;175,W1353&gt;=25,W1353&lt;55),0.23,0)+IF(AND(V1353&gt;175,W1353&gt;=55,W1353&lt;95),0.17,0)+IF(AND(V1353&gt;175,W1353&gt;=95),0.12,0),
IF(AF1353="DoEVsu",IF(AND(V1353&lt;20,W1353&lt;55),0.3,0)+IF(AND(V1353&lt;20,W1353&gt;=55,W1353&lt;105),0.23,0)+IF(AND(V1353&lt;20,W1353&gt;=105),0.17,0)+IF(AND(V1353&gt;=20,V1353&lt;40,W1353&lt;45),0.3,0)+IF(AND(V1353&gt;=20,V1353&lt;40,W1353&gt;=45,W1353&lt;95),0.23,0)+IF(AND(V1353&gt;=20,V1353&lt;40,W1353&gt;=95,W1353&lt;=250),0.17,0)+IF(AND(V1353&gt;=20,V1353&lt;40,W1353&gt;=250),0.12,0)+IF(AND(V1353&gt;=40,V1353&lt;75,W1353&lt;35),0.3,0)+IF(AND(V1353&gt;=40,V1353&lt;75,W1353&gt;=35,W1353&lt;75),0.23,0)+IF(AND(V1353&gt;=40,V1353&lt;75,W1353&gt;=75,W1353&lt;120),0.17,0)+IF(AND(V1353&gt;=40,V1353&lt;75,W1353&gt;=120),0.12,0)+IF(AND(V1353&gt;=75,V1353&lt;175,W1353&lt;35),0.3,0)+IF(AND(V1353&gt;=75,V1353&lt;=175,W1353&gt;=35,W1353&lt;65),0.23,0)+IF(AND(V1353&gt;=75,V1353&lt;=175,W1353&gt;=65,W1353&lt;110),0.17,0)+IF(AND(V1353&gt;=75,V1353&lt;=175,W1353&gt;=110),0.12,0)+IF(AND(V1353&gt;175,W1353&lt;25),0.3,0)+IF(AND(V1353&gt;175,W1353&gt;=25,W1353&lt;55),0.23,0)+IF(AND(V1353&gt;175,W1353&gt;=55,W1353&lt;95),0.17,0)+IF(AND(V1353&gt;175,W1353&gt;=95),0.12,0),
IF(AF1353="DoEVni",IF(AND(V1353&lt;20,W1353&lt;55),0.3,0)+IF(AND(V1353&lt;20,W1353&gt;=55,W1353&lt;105),0.23,0)+IF(AND(V1353&lt;20,W1353&gt;=105),0.17,0)+IF(AND(V1353&gt;=20,V1353&lt;40,W1353&lt;45),0.3,0)+IF(AND(V1353&gt;=20,V1353&lt;40,W1353&gt;=45,W1353&lt;95),0.23,0)+IF(AND(V1353&gt;=20,V1353&lt;40,W1353&gt;=95,W1353&lt;=200),0.17,0)+IF(AND(V1353&gt;=20,V1353&lt;40,W1353&gt;=200),0.12,0)+IF(AND(V1353&gt;=40,V1353&lt;75,W1353&lt;35),0.3,0)+IF(AND(V1353&gt;=40,V1353&lt;75,W1353&gt;=35,W1353&lt;75),0.23,0)+IF(AND(V1353&gt;=40,V1353&lt;75,W1353&gt;=75,W1353&lt;120),0.17,0)+IF(AND(V1353&gt;=40,V1353&lt;75,W1353&gt;=120),0.12,0)+IF(AND(V1353&gt;=75,V1353&lt;175,W1353&lt;35),0.3,0)+IF(AND(V1353&gt;=75,V1353&lt;=175,W1353&gt;=35,W1353&lt;65),0.23,0)+IF(AND(V1353&gt;=75,V1353&lt;=175,W1353&gt;=65,W1353&lt;110),0.17,0)+IF(AND(V1353&gt;=75,V1353&lt;=175,W1353&gt;=110),0.12,0)+IF(AND(V1353&gt;175,W1353&lt;25),0.3,0)+IF(AND(V1353&gt;175,W1353&gt;=25,W1353&lt;55),0.23,0)+IF(AND(V1353&gt;175,W1353&gt;=55,W1353&lt;95),0.17,0)+IF(AND(V1353&gt;175,W1353&gt;=95),0.12,0),
IF(AF1353="DoEVLo",IF(AND(V1353&lt;20,W1353&lt;55),0.25,0)+IF(AND(V1353&lt;20,W1353&gt;=55,W1353&lt;105),0.2,0)+IF(AND(V1353&lt;20,W1353&gt;=105),0.15,0)+IF(AND(V1353&gt;=20,V1353&lt;40,W1353&lt;45),0.25,0)+IF(AND(V1353&gt;=20,V1353&lt;40,W1353&gt;=45,W1353&lt;95),0.2,0)+IF(AND(V1353&gt;=20,V1353&lt;40,W1353&gt;=95),0.15,0)+IF(AND(V1353&gt;=40,V1353&lt;75,W1353&lt;35),0.25,0)+IF(AND(V1353&gt;=40,V1353&lt;75,W1353&gt;=35,W1353&lt;75),0.2,0)+IF(AND(V1353&gt;=40,V1353&lt;75,W1353&gt;=75,W1353&lt;120),0.15,0)+IF(AND(V1353&gt;=40,V1353&lt;75,W1353&gt;=120),0.1,0)+IF(AND(V1353&gt;=75,V1353&lt;175,W1353&lt;35),0.25,0)+IF(AND(V1353&gt;=75,V1353&lt;=175,W1353&gt;=35,W1353&lt;65),0.2,0)+IF(AND(V1353&gt;=75,V1353&lt;=175,W1353&gt;=65,W1353&lt;110),0.15,0)+IF(AND(V1353&gt;=75,V1353&lt;=175,W1353&gt;=110),0.1,0)+IF(AND(V1353&gt;175,W1353&lt;25),0.25,0)+IF(AND(V1353&gt;175,W1353&gt;=25,W1353&lt;55),0.2,0)+IF(AND(V1353&gt;175,W1353&gt;=55,W1353&lt;95),0.15,0)+IF(AND(V1353&gt;175,W1353&gt;=95),0.1,0))))))))))))))))))</f>
        <v>0.1</v>
      </c>
      <c r="Y1353" s="30">
        <f>IF(AG1353="None",0,IF(AG1353="Fix5",0.05, IF(AG1353="Fix6.25",0.0625,IF(AG1353="Fix3.75",0.0375,IF(AG1353="Fix10",0.1,IF(AG1353="Fix3",0.03,0))))))</f>
        <v>0</v>
      </c>
      <c r="Z1353" s="35">
        <f>T1353-AA1353-AB1353</f>
        <v>401.4</v>
      </c>
      <c r="AA1353" s="29">
        <f>IF(AD1353="EUR",((T1353-R1353)*X1353)*U1353+(R1353*X1353),(T1353*X1353))</f>
        <v>44.6</v>
      </c>
      <c r="AB1353" s="36">
        <f>IF(AD1353="EUR",((T1353-R1353)*Y1353)*U1353+(R1353*Y1353),(T1353*Y1353))</f>
        <v>0</v>
      </c>
      <c r="AC1353" s="37" t="b">
        <v>1</v>
      </c>
      <c r="AD1353" s="37" t="s">
        <v>38</v>
      </c>
      <c r="AE1353" s="37" t="s">
        <v>38</v>
      </c>
      <c r="AF1353" s="37" t="str">
        <f t="array" ref="AF1353">INDEX('Deal Info'!D:D, MATCH(A1353,'Deal Info'!A:A, 0))</f>
        <v>Fix10</v>
      </c>
      <c r="AG1353" s="38" t="str">
        <f t="array" ref="AG1353">INDEX('Deal Info'!G:G, MATCH(A1353,'Deal Info'!A:A, 0))</f>
        <v>None</v>
      </c>
    </row>
    <row r="1354" spans="1:33" ht="14.25" hidden="1" x14ac:dyDescent="0.2">
      <c r="A1354" s="18" t="str">
        <f t="array" ref="A1354">IF(G1354='Room Info'!$B$1, INDEX('Room Info'!$A$2:$A2446, MATCH(B1354,'Room Info'!$B$2:$B2446, 0)),IF(G1354='Room Info'!$C$1, INDEX('Room Info'!$A$2:$A2446, MATCH(B1354,'Room Info'!$C$2:$C2446, 0)),IF(G1354='Room Info'!$D$1, INDEX('Room Info'!$A$2:$A2446, MATCH(B1354,'Room Info'!$D$2:$D2446, 0)),IF(G1354='Room Info'!$E$1, INDEX('Room Info'!$A$2:$A2446, MATCH(B1354,'Room Info'!$E$2:$E2446, 0)),IF(G1354='Room Info'!$F$1, INDEX('Room Info'!$A$2:$A2446, MATCH(B1354,'Room Info'!$F$2:$F2446, 0)),IF(G1354='Room Info'!$H$1, INDEX('Room Info'!$A$2:$A2446, MATCH(B1354,'Room Info'!$H$2:$H2446, 0)),IF(G1354='Room Info'!$G$1, INDEX('Room Info'!$A$2:$A2446, MATCH(B1354,'Room Info'!$G$2:$G2446, 0)))))))))</f>
        <v>volkovsky</v>
      </c>
      <c r="B1354" s="45" t="s">
        <v>206</v>
      </c>
      <c r="C1354" s="77">
        <v>44855</v>
      </c>
      <c r="D1354" s="77">
        <v>44885</v>
      </c>
      <c r="E1354" s="47">
        <v>44866</v>
      </c>
      <c r="F1354" s="45" t="s">
        <v>34</v>
      </c>
      <c r="G1354" s="45" t="s">
        <v>35</v>
      </c>
      <c r="H1354" s="91" t="s">
        <v>85</v>
      </c>
      <c r="I1354" s="49" t="s">
        <v>44</v>
      </c>
      <c r="J1354" s="74">
        <v>50</v>
      </c>
      <c r="K1354" s="75">
        <v>17</v>
      </c>
      <c r="L1354" s="72">
        <v>300</v>
      </c>
      <c r="M1354" s="76">
        <v>13</v>
      </c>
      <c r="N1354" s="28">
        <f>K1354*J1354</f>
        <v>850</v>
      </c>
      <c r="O1354" s="45">
        <v>358</v>
      </c>
      <c r="P1354" s="29">
        <v>21.058823530000002</v>
      </c>
      <c r="Q1354" s="55"/>
      <c r="R1354" s="31">
        <f>M1354+Q1354</f>
        <v>13</v>
      </c>
      <c r="S1354" s="73">
        <v>0</v>
      </c>
      <c r="T1354" s="32">
        <f>R1354+S1354+IF(F1354="Without EV deal",L1354,0)</f>
        <v>13</v>
      </c>
      <c r="U1354" s="57"/>
      <c r="V1354" s="58"/>
      <c r="W1354" s="58"/>
      <c r="X1354" s="30">
        <f>IF(AF1354="DoEV",IF(AND(V1354&lt;20,W1354&lt;55),0.3,0)+IF(AND(V1354&lt;20,W1354&gt;=55,W1354&lt;105),0.23,0)+IF(AND(V1354&lt;20,W1354&gt;=105),0.17,0)+IF(AND(V1354&gt;=20,V1354&lt;40,W1354&lt;45),0.3,0)+IF(AND(V1354&gt;=20,V1354&lt;40,W1354&gt;=45,W1354&lt;95),0.23,0)+IF(AND(V1354&gt;=20,V1354&lt;40,W1354&gt;=95),0.17,0)+IF(AND(V1354&gt;=40,V1354&lt;75,W1354&lt;35),0.3,0)+IF(AND(V1354&gt;=40,V1354&lt;75,W1354&gt;=35,W1354&lt;75),0.23,0)+IF(AND(V1354&gt;=40,V1354&lt;75,W1354&gt;=75,W1354&lt;120),0.17,0)+IF(AND(V1354&gt;=40,V1354&lt;75,W1354&gt;=120),0.12,0)+IF(AND(V1354&gt;=75,V1354&lt;175,W1354&lt;35),0.3,0)+IF(AND(V1354&gt;=75,V1354&lt;=175,W1354&gt;=35,W1354&lt;65),0.23,0)+IF(AND(V1354&gt;=75,V1354&lt;=175,W1354&gt;=65,W1354&lt;110),0.17,0)+IF(AND(V1354&gt;=75,V1354&lt;=175,W1354&gt;=110),0.12,0)+IF(AND(V1354&gt;175,W1354&lt;25),0.3,0)+IF(AND(V1354&gt;175,W1354&gt;=25,W1354&lt;55),0.23,0)+IF(AND(V1354&gt;175,W1354&gt;=55,W1354&lt;95),0.17,0)+IF(AND(V1354&gt;175,W1354&gt;=95),0.12,0),
IF(AF1354="Fix15",0.15,
IF(AF1354="Fix18.75",0.1875,
IF(AF1354="Fix11.25",0.1125,
IF(AF1354="Fix10",0.1,
IF(AF1354="Fix9",0.09,
IF(AF1354="Fix19",0.19,
IF(AF1354="DoEV2017",IF(AND(W1354&lt;74),0.2,0)+IF(AND(W1354&gt;=74),0.17,0),
IF(AF1354="SF",IF(AND(V1354&lt;20,W1354&lt;89),0.3,0)+IF(AND(V1354&lt;20,W1354&gt;=89),0.25,0)+IF(AND(V1354&gt;=20,V1354&lt;40,W1354&lt;74),0.3,0)+IF(AND(V1354&gt;=20,V1354&lt;40,W1354&gt;=75),0.22,0)+IF(AND(V1354&gt;=40,V1354&lt;75,W1354&lt;75),0.26,0)+IF(AND(V1354&gt;=40,V1354&lt;75,W1354&gt;=75),0.22,0)+IF(V1354&gt;=75,0.22,0),
IF(AF1354="DoEVold",IF(AND(V1354&lt;40,W1354&lt;35),0.35,0)+IF(AND(V1354&lt;40,W1354&gt;=35,W1354&lt;75),0.25,0)+IF(AND(V1354&lt;40,W1354&gt;=75),0.17,0)+IF(AND(V1354&gt;=40,V1354&lt;75,W1354&lt;25),0.35,0)+IF(AND(V1354&gt;=40,V1354&lt;75,W1354&gt;=25,W1354&lt;65),0.25,0)+IF(AND(V1354&gt;=40,V1354&lt;75,W1354&gt;=65,W1354&lt;100),0.17,0)+IF(AND(V1354&gt;=40,V1354&lt;75,W1354&gt;=100),0.1,0)+IF(AND(V1354&gt;=75,W1354&lt;25),0.35,0)+IF(AND(V1354&gt;=75,W1354&gt;=25,W1354&lt;60),0.25,0)+IF(AND(V1354&gt;=75,W1354&gt;=60,W1354&lt;95),0.17,0)+IF(AND(V1354&gt;=75,W1354&gt;=95),0.1,0),
IF(AF1354="DoEVold15",IF(AND(V1354&lt;=40,W1354&lt;35),0.35,0)+IF(AND(V1354&lt;=40,W1354&gt;=35,W1354&lt;75),0.25,0)+IF(AND(V1354&lt;=40,W1354&gt;=75,W1354&lt;120),0.17,0)+IF(AND(V1354&lt;=40,W1354&gt;=120),0.15,0)+IF(AND(V1354&gt;40,V1354&lt;75,W1354&lt;25),0.35,0)+IF(AND(V1354&gt;=40,V1354&lt;75,W1354&gt;=25,W1354&lt;65),0.25,0)+IF(AND(V1354&gt;=40,V1354&lt;75,W1354&gt;=65,W1354&lt;100),0.17,0)+IF(AND(V1354&gt;=40,V1354&lt;75,W1354&gt;=100),0.1,0)+IF(AND(V1354&gt;=75,W1354&lt;25),0.35,0)+IF(AND(V1354&gt;=75,W1354&gt;=25,W1354&lt;60),0.25,0)+IF(AND(V1354&gt;=75,W1354&gt;=60,W1354&lt;95),0.17,0)+IF(AND(V1354&gt;=75,W1354&gt;=95),0.1,0),
IF(AF1354="DoEVba",IF(AND(V1354&lt;20,W1354&lt;105),0.2,0)+IF(AND(V1354&lt;20,W1354&gt;=105),0.15,0)+IF(AND(V1354&gt;=20,V1354&lt;40,W1354&lt;95),0.2,0)+IF(AND(V1354&gt;=20,V1354&lt;40,W1354&gt;=95,W1354&lt;150),0.15,0)+IF(AND(V1354&gt;=20,V1354&lt;40,W1354&gt;=150),0.12,0)+IF(AND(V1354&gt;=40,V1354&lt;75,W1354&lt;75),0.2,0)+IF(AND(V1354&gt;=40,V1354&lt;75,W1354&gt;=75,W1354&lt;120),0.15,0)+IF(AND(V1354&gt;=40,V1354&lt;75,W1354&gt;=120),0.12,0)+IF(AND(V1354&gt;=75,V1354&lt;175,W1354&lt;65),0.2,0)+IF(AND(V1354&gt;=75,V1354&lt;175,W1354&gt;=65,W1354&lt;110),0.15,0)+IF(AND(V1354&gt;=75,V1354&lt;175,W1354&gt;=110),0.12,0)+IF(AND(V1354&gt;=175,W1354&lt;55),0.2,0)+IF(AND(V1354&gt;=175,W1354&gt;=55,W1354&lt;95),0.15,0)+IF(AND(V1354&gt;=175,W1354&gt;=95),0.12,0),
IF(AF1354="DoEVku",IF(AND(V1354&lt;20,W1354&lt;55),0.23,0)+IF(AND(V1354&lt;20,W1354&gt;=55,W1354&lt;105),0.2,0)+IF(AND(V1354&lt;20,W1354&gt;=105),0.17,0)+IF(AND(V1354&gt;=20,V1354&lt;40,W1354&lt;45),0.23,0)+IF(AND(V1354&gt;=20,V1354&lt;40,W1354&gt;=45,W1354&lt;95),0.2,0)+IF(AND(V1354&gt;=20,V1354&lt;40,W1354&gt;=95,W1354&lt;=150),0.17,0)+IF(AND(V1354&gt;=20,V1354&lt;40,W1354&gt;=150),0.12,0)+IF(AND(V1354&gt;=40,V1354&lt;75,W1354&lt;35),0.23,0)+IF(AND(V1354&gt;=40,V1354&lt;75,W1354&gt;=35,W1354&lt;75),0.2,0)+IF(AND(V1354&gt;=40,V1354&lt;75,W1354&gt;=75,W1354&lt;120),0.17,0)+IF(AND(V1354&gt;=40,V1354&lt;75,W1354&gt;=120),0.12,0)+IF(AND(V1354&gt;=75,V1354&lt;175,W1354&lt;35),0.23,0)+IF(AND(V1354&gt;=75,V1354&lt;=175,W1354&gt;=35,W1354&lt;65),0.2,0)+IF(AND(V1354&gt;=75,V1354&lt;=175,W1354&gt;=65,W1354&lt;110),0.17,0)+IF(AND(V1354&gt;=75,V1354&lt;=175,W1354&gt;=110),0.12,0)+IF(AND(V1354&gt;175,W1354&lt;25),0.23,0)+IF(AND(V1354&gt;175,W1354&gt;=25,W1354&lt;55),0.2,0)+IF(AND(V1354&gt;175,W1354&gt;=55,W1354&lt;95),0.17,0)+IF(AND(V1354&gt;175,W1354&gt;=95),0.12,0),
IF(AF1354="DoEVs1",IF(AND(V1354&lt;20,W1354&lt;55),0.3,0)+IF(AND(V1354&lt;20,W1354&gt;=55,W1354&lt;105),0.23,0)+IF(AND(V1354&lt;20,W1354&gt;=105),0.17,0)+IF(AND(V1354&gt;=20,V1354&lt;40,W1354&lt;45),0.3,0)+IF(AND(V1354&gt;=20,V1354&lt;40,W1354&gt;=45,W1354&lt;95),0.23,0)+IF(AND(V1354&gt;=20,V1354&lt;40,W1354&gt;=95,W1354&lt;=150),0.17,0)+IF(AND(V1354&gt;=20,V1354&lt;40,W1354&gt;=150),0.12,0)+IF(AND(V1354&gt;=40,V1354&lt;75,W1354&lt;35),0.3,0)+IF(AND(V1354&gt;=40,V1354&lt;75,W1354&gt;=35,W1354&lt;75),0.23,0)+IF(AND(V1354&gt;=40,V1354&lt;75,W1354&gt;=75,W1354&lt;120),0.17,0)+IF(AND(V1354&gt;=40,V1354&lt;75,W1354&gt;=120),0.12,0)+IF(AND(V1354&gt;=75,V1354&lt;175,W1354&lt;35),0.3,0)+IF(AND(V1354&gt;=75,V1354&lt;=175,W1354&gt;=35,W1354&lt;65),0.23,0)+IF(AND(V1354&gt;=75,V1354&lt;=175,W1354&gt;=65,W1354&lt;110),0.17,0)+IF(AND(V1354&gt;=75,V1354&lt;=175,W1354&gt;=110),0.12,0)+IF(AND(V1354&gt;175,W1354&lt;25),0.3,0)+IF(AND(V1354&gt;175,W1354&gt;=25,W1354&lt;55),0.23,0)+IF(AND(V1354&gt;175,W1354&gt;=55,W1354&lt;95),0.17,0)+IF(AND(V1354&gt;175,W1354&gt;=95),0.12,0),
IF(AF1354="DoEVsu",IF(AND(V1354&lt;20,W1354&lt;55),0.3,0)+IF(AND(V1354&lt;20,W1354&gt;=55,W1354&lt;105),0.23,0)+IF(AND(V1354&lt;20,W1354&gt;=105),0.17,0)+IF(AND(V1354&gt;=20,V1354&lt;40,W1354&lt;45),0.3,0)+IF(AND(V1354&gt;=20,V1354&lt;40,W1354&gt;=45,W1354&lt;95),0.23,0)+IF(AND(V1354&gt;=20,V1354&lt;40,W1354&gt;=95,W1354&lt;=250),0.17,0)+IF(AND(V1354&gt;=20,V1354&lt;40,W1354&gt;=250),0.12,0)+IF(AND(V1354&gt;=40,V1354&lt;75,W1354&lt;35),0.3,0)+IF(AND(V1354&gt;=40,V1354&lt;75,W1354&gt;=35,W1354&lt;75),0.23,0)+IF(AND(V1354&gt;=40,V1354&lt;75,W1354&gt;=75,W1354&lt;120),0.17,0)+IF(AND(V1354&gt;=40,V1354&lt;75,W1354&gt;=120),0.12,0)+IF(AND(V1354&gt;=75,V1354&lt;175,W1354&lt;35),0.3,0)+IF(AND(V1354&gt;=75,V1354&lt;=175,W1354&gt;=35,W1354&lt;65),0.23,0)+IF(AND(V1354&gt;=75,V1354&lt;=175,W1354&gt;=65,W1354&lt;110),0.17,0)+IF(AND(V1354&gt;=75,V1354&lt;=175,W1354&gt;=110),0.12,0)+IF(AND(V1354&gt;175,W1354&lt;25),0.3,0)+IF(AND(V1354&gt;175,W1354&gt;=25,W1354&lt;55),0.23,0)+IF(AND(V1354&gt;175,W1354&gt;=55,W1354&lt;95),0.17,0)+IF(AND(V1354&gt;175,W1354&gt;=95),0.12,0),
IF(AF1354="DoEVni",IF(AND(V1354&lt;20,W1354&lt;55),0.3,0)+IF(AND(V1354&lt;20,W1354&gt;=55,W1354&lt;105),0.23,0)+IF(AND(V1354&lt;20,W1354&gt;=105),0.17,0)+IF(AND(V1354&gt;=20,V1354&lt;40,W1354&lt;45),0.3,0)+IF(AND(V1354&gt;=20,V1354&lt;40,W1354&gt;=45,W1354&lt;95),0.23,0)+IF(AND(V1354&gt;=20,V1354&lt;40,W1354&gt;=95,W1354&lt;=200),0.17,0)+IF(AND(V1354&gt;=20,V1354&lt;40,W1354&gt;=200),0.12,0)+IF(AND(V1354&gt;=40,V1354&lt;75,W1354&lt;35),0.3,0)+IF(AND(V1354&gt;=40,V1354&lt;75,W1354&gt;=35,W1354&lt;75),0.23,0)+IF(AND(V1354&gt;=40,V1354&lt;75,W1354&gt;=75,W1354&lt;120),0.17,0)+IF(AND(V1354&gt;=40,V1354&lt;75,W1354&gt;=120),0.12,0)+IF(AND(V1354&gt;=75,V1354&lt;175,W1354&lt;35),0.3,0)+IF(AND(V1354&gt;=75,V1354&lt;=175,W1354&gt;=35,W1354&lt;65),0.23,0)+IF(AND(V1354&gt;=75,V1354&lt;=175,W1354&gt;=65,W1354&lt;110),0.17,0)+IF(AND(V1354&gt;=75,V1354&lt;=175,W1354&gt;=110),0.12,0)+IF(AND(V1354&gt;175,W1354&lt;25),0.3,0)+IF(AND(V1354&gt;175,W1354&gt;=25,W1354&lt;55),0.23,0)+IF(AND(V1354&gt;175,W1354&gt;=55,W1354&lt;95),0.17,0)+IF(AND(V1354&gt;175,W1354&gt;=95),0.12,0),
IF(AF1354="DoEVLo",IF(AND(V1354&lt;20,W1354&lt;55),0.25,0)+IF(AND(V1354&lt;20,W1354&gt;=55,W1354&lt;105),0.2,0)+IF(AND(V1354&lt;20,W1354&gt;=105),0.15,0)+IF(AND(V1354&gt;=20,V1354&lt;40,W1354&lt;45),0.25,0)+IF(AND(V1354&gt;=20,V1354&lt;40,W1354&gt;=45,W1354&lt;95),0.2,0)+IF(AND(V1354&gt;=20,V1354&lt;40,W1354&gt;=95),0.15,0)+IF(AND(V1354&gt;=40,V1354&lt;75,W1354&lt;35),0.25,0)+IF(AND(V1354&gt;=40,V1354&lt;75,W1354&gt;=35,W1354&lt;75),0.2,0)+IF(AND(V1354&gt;=40,V1354&lt;75,W1354&gt;=75,W1354&lt;120),0.15,0)+IF(AND(V1354&gt;=40,V1354&lt;75,W1354&gt;=120),0.1,0)+IF(AND(V1354&gt;=75,V1354&lt;175,W1354&lt;35),0.25,0)+IF(AND(V1354&gt;=75,V1354&lt;=175,W1354&gt;=35,W1354&lt;65),0.2,0)+IF(AND(V1354&gt;=75,V1354&lt;=175,W1354&gt;=65,W1354&lt;110),0.15,0)+IF(AND(V1354&gt;=75,V1354&lt;=175,W1354&gt;=110),0.1,0)+IF(AND(V1354&gt;175,W1354&lt;25),0.25,0)+IF(AND(V1354&gt;175,W1354&gt;=25,W1354&lt;55),0.2,0)+IF(AND(V1354&gt;175,W1354&gt;=55,W1354&lt;95),0.15,0)+IF(AND(V1354&gt;175,W1354&gt;=95),0.1,0))))))))))))))))))</f>
        <v>0.1</v>
      </c>
      <c r="Y1354" s="30">
        <f>IF(AG1354="None",0,IF(AG1354="Fix5",0.05, IF(AG1354="Fix6.25",0.0625,IF(AG1354="Fix3.75",0.0375,IF(AG1354="Fix10",0.1,IF(AG1354="Fix3",0.03,0))))))</f>
        <v>0</v>
      </c>
      <c r="Z1354" s="35">
        <f>T1354-AA1354-AB1354</f>
        <v>11.7</v>
      </c>
      <c r="AA1354" s="29">
        <f>IF(AD1354="EUR",((T1354-R1354)*X1354)*U1354+(R1354*X1354),(T1354*X1354))</f>
        <v>1.3</v>
      </c>
      <c r="AB1354" s="36">
        <f>IF(AD1354="EUR",((T1354-R1354)*Y1354)*U1354+(R1354*Y1354),(T1354*Y1354))</f>
        <v>0</v>
      </c>
      <c r="AC1354" s="37" t="b">
        <v>1</v>
      </c>
      <c r="AD1354" s="37" t="s">
        <v>38</v>
      </c>
      <c r="AE1354" s="37" t="s">
        <v>38</v>
      </c>
      <c r="AF1354" s="37" t="str">
        <f t="array" ref="AF1354">INDEX('Deal Info'!D:D, MATCH(A1354,'Deal Info'!A:A, 0))</f>
        <v>Fix10</v>
      </c>
      <c r="AG1354" s="38" t="str">
        <f t="array" ref="AG1354">INDEX('Deal Info'!G:G, MATCH(A1354,'Deal Info'!A:A, 0))</f>
        <v>None</v>
      </c>
    </row>
    <row r="1355" spans="1:33" ht="14.25" hidden="1" x14ac:dyDescent="0.2">
      <c r="A1355" s="18" t="str">
        <f t="array" ref="A1355">IF(G1355='Room Info'!$B$1, INDEX('Room Info'!$A$2:$A2446, MATCH(B1355,'Room Info'!$B$2:$B2446, 0)),IF(G1355='Room Info'!$C$1, INDEX('Room Info'!$A$2:$A2446, MATCH(B1355,'Room Info'!$C$2:$C2446, 0)),IF(G1355='Room Info'!$D$1, INDEX('Room Info'!$A$2:$A2446, MATCH(B1355,'Room Info'!$D$2:$D2446, 0)),IF(G1355='Room Info'!$E$1, INDEX('Room Info'!$A$2:$A2446, MATCH(B1355,'Room Info'!$E$2:$E2446, 0)),IF(G1355='Room Info'!$F$1, INDEX('Room Info'!$A$2:$A2446, MATCH(B1355,'Room Info'!$F$2:$F2446, 0)),IF(G1355='Room Info'!$H$1, INDEX('Room Info'!$A$2:$A2446, MATCH(B1355,'Room Info'!$H$2:$H2446, 0)),IF(G1355='Room Info'!$G$1, INDEX('Room Info'!$A$2:$A2446, MATCH(B1355,'Room Info'!$G$2:$G2446, 0)))))))))</f>
        <v>volkovsky</v>
      </c>
      <c r="B1355" s="45" t="s">
        <v>206</v>
      </c>
      <c r="C1355" s="77">
        <v>44855</v>
      </c>
      <c r="D1355" s="77">
        <v>44885</v>
      </c>
      <c r="E1355" s="47">
        <v>44866</v>
      </c>
      <c r="F1355" s="48" t="s">
        <v>34</v>
      </c>
      <c r="G1355" s="45" t="s">
        <v>35</v>
      </c>
      <c r="H1355" s="91" t="s">
        <v>70</v>
      </c>
      <c r="I1355" s="49" t="s">
        <v>37</v>
      </c>
      <c r="J1355" s="74">
        <v>100</v>
      </c>
      <c r="K1355" s="75">
        <v>947</v>
      </c>
      <c r="L1355" s="72">
        <v>-11100</v>
      </c>
      <c r="M1355" s="76">
        <v>1165</v>
      </c>
      <c r="N1355" s="28">
        <f>K1355*J1355</f>
        <v>94700</v>
      </c>
      <c r="O1355" s="45">
        <v>3651</v>
      </c>
      <c r="P1355" s="29">
        <v>3.8553326289999998</v>
      </c>
      <c r="Q1355" s="55"/>
      <c r="R1355" s="31">
        <f>M1355+Q1355</f>
        <v>1165</v>
      </c>
      <c r="S1355" s="73">
        <v>-4573</v>
      </c>
      <c r="T1355" s="32">
        <f>R1355+S1355+IF(F1355="Without EV deal",L1355,0)</f>
        <v>-3408</v>
      </c>
      <c r="U1355" s="57"/>
      <c r="V1355" s="58"/>
      <c r="W1355" s="58"/>
      <c r="X1355" s="30">
        <f>IF(AF1355="DoEV",IF(AND(V1355&lt;20,W1355&lt;55),0.3,0)+IF(AND(V1355&lt;20,W1355&gt;=55,W1355&lt;105),0.23,0)+IF(AND(V1355&lt;20,W1355&gt;=105),0.17,0)+IF(AND(V1355&gt;=20,V1355&lt;40,W1355&lt;45),0.3,0)+IF(AND(V1355&gt;=20,V1355&lt;40,W1355&gt;=45,W1355&lt;95),0.23,0)+IF(AND(V1355&gt;=20,V1355&lt;40,W1355&gt;=95),0.17,0)+IF(AND(V1355&gt;=40,V1355&lt;75,W1355&lt;35),0.3,0)+IF(AND(V1355&gt;=40,V1355&lt;75,W1355&gt;=35,W1355&lt;75),0.23,0)+IF(AND(V1355&gt;=40,V1355&lt;75,W1355&gt;=75,W1355&lt;120),0.17,0)+IF(AND(V1355&gt;=40,V1355&lt;75,W1355&gt;=120),0.12,0)+IF(AND(V1355&gt;=75,V1355&lt;175,W1355&lt;35),0.3,0)+IF(AND(V1355&gt;=75,V1355&lt;=175,W1355&gt;=35,W1355&lt;65),0.23,0)+IF(AND(V1355&gt;=75,V1355&lt;=175,W1355&gt;=65,W1355&lt;110),0.17,0)+IF(AND(V1355&gt;=75,V1355&lt;=175,W1355&gt;=110),0.12,0)+IF(AND(V1355&gt;175,W1355&lt;25),0.3,0)+IF(AND(V1355&gt;175,W1355&gt;=25,W1355&lt;55),0.23,0)+IF(AND(V1355&gt;175,W1355&gt;=55,W1355&lt;95),0.17,0)+IF(AND(V1355&gt;175,W1355&gt;=95),0.12,0),
IF(AF1355="Fix15",0.15,
IF(AF1355="Fix18.75",0.1875,
IF(AF1355="Fix11.25",0.1125,
IF(AF1355="Fix10",0.1,
IF(AF1355="Fix9",0.09,
IF(AF1355="Fix19",0.19,
IF(AF1355="DoEV2017",IF(AND(W1355&lt;74),0.2,0)+IF(AND(W1355&gt;=74),0.17,0),
IF(AF1355="SF",IF(AND(V1355&lt;20,W1355&lt;89),0.3,0)+IF(AND(V1355&lt;20,W1355&gt;=89),0.25,0)+IF(AND(V1355&gt;=20,V1355&lt;40,W1355&lt;74),0.3,0)+IF(AND(V1355&gt;=20,V1355&lt;40,W1355&gt;=75),0.22,0)+IF(AND(V1355&gt;=40,V1355&lt;75,W1355&lt;75),0.26,0)+IF(AND(V1355&gt;=40,V1355&lt;75,W1355&gt;=75),0.22,0)+IF(V1355&gt;=75,0.22,0),
IF(AF1355="DoEVold",IF(AND(V1355&lt;40,W1355&lt;35),0.35,0)+IF(AND(V1355&lt;40,W1355&gt;=35,W1355&lt;75),0.25,0)+IF(AND(V1355&lt;40,W1355&gt;=75),0.17,0)+IF(AND(V1355&gt;=40,V1355&lt;75,W1355&lt;25),0.35,0)+IF(AND(V1355&gt;=40,V1355&lt;75,W1355&gt;=25,W1355&lt;65),0.25,0)+IF(AND(V1355&gt;=40,V1355&lt;75,W1355&gt;=65,W1355&lt;100),0.17,0)+IF(AND(V1355&gt;=40,V1355&lt;75,W1355&gt;=100),0.1,0)+IF(AND(V1355&gt;=75,W1355&lt;25),0.35,0)+IF(AND(V1355&gt;=75,W1355&gt;=25,W1355&lt;60),0.25,0)+IF(AND(V1355&gt;=75,W1355&gt;=60,W1355&lt;95),0.17,0)+IF(AND(V1355&gt;=75,W1355&gt;=95),0.1,0),
IF(AF1355="DoEVold15",IF(AND(V1355&lt;=40,W1355&lt;35),0.35,0)+IF(AND(V1355&lt;=40,W1355&gt;=35,W1355&lt;75),0.25,0)+IF(AND(V1355&lt;=40,W1355&gt;=75,W1355&lt;120),0.17,0)+IF(AND(V1355&lt;=40,W1355&gt;=120),0.15,0)+IF(AND(V1355&gt;40,V1355&lt;75,W1355&lt;25),0.35,0)+IF(AND(V1355&gt;=40,V1355&lt;75,W1355&gt;=25,W1355&lt;65),0.25,0)+IF(AND(V1355&gt;=40,V1355&lt;75,W1355&gt;=65,W1355&lt;100),0.17,0)+IF(AND(V1355&gt;=40,V1355&lt;75,W1355&gt;=100),0.1,0)+IF(AND(V1355&gt;=75,W1355&lt;25),0.35,0)+IF(AND(V1355&gt;=75,W1355&gt;=25,W1355&lt;60),0.25,0)+IF(AND(V1355&gt;=75,W1355&gt;=60,W1355&lt;95),0.17,0)+IF(AND(V1355&gt;=75,W1355&gt;=95),0.1,0),
IF(AF1355="DoEVba",IF(AND(V1355&lt;20,W1355&lt;105),0.2,0)+IF(AND(V1355&lt;20,W1355&gt;=105),0.15,0)+IF(AND(V1355&gt;=20,V1355&lt;40,W1355&lt;95),0.2,0)+IF(AND(V1355&gt;=20,V1355&lt;40,W1355&gt;=95,W1355&lt;150),0.15,0)+IF(AND(V1355&gt;=20,V1355&lt;40,W1355&gt;=150),0.12,0)+IF(AND(V1355&gt;=40,V1355&lt;75,W1355&lt;75),0.2,0)+IF(AND(V1355&gt;=40,V1355&lt;75,W1355&gt;=75,W1355&lt;120),0.15,0)+IF(AND(V1355&gt;=40,V1355&lt;75,W1355&gt;=120),0.12,0)+IF(AND(V1355&gt;=75,V1355&lt;175,W1355&lt;65),0.2,0)+IF(AND(V1355&gt;=75,V1355&lt;175,W1355&gt;=65,W1355&lt;110),0.15,0)+IF(AND(V1355&gt;=75,V1355&lt;175,W1355&gt;=110),0.12,0)+IF(AND(V1355&gt;=175,W1355&lt;55),0.2,0)+IF(AND(V1355&gt;=175,W1355&gt;=55,W1355&lt;95),0.15,0)+IF(AND(V1355&gt;=175,W1355&gt;=95),0.12,0),
IF(AF1355="DoEVku",IF(AND(V1355&lt;20,W1355&lt;55),0.23,0)+IF(AND(V1355&lt;20,W1355&gt;=55,W1355&lt;105),0.2,0)+IF(AND(V1355&lt;20,W1355&gt;=105),0.17,0)+IF(AND(V1355&gt;=20,V1355&lt;40,W1355&lt;45),0.23,0)+IF(AND(V1355&gt;=20,V1355&lt;40,W1355&gt;=45,W1355&lt;95),0.2,0)+IF(AND(V1355&gt;=20,V1355&lt;40,W1355&gt;=95,W1355&lt;=150),0.17,0)+IF(AND(V1355&gt;=20,V1355&lt;40,W1355&gt;=150),0.12,0)+IF(AND(V1355&gt;=40,V1355&lt;75,W1355&lt;35),0.23,0)+IF(AND(V1355&gt;=40,V1355&lt;75,W1355&gt;=35,W1355&lt;75),0.2,0)+IF(AND(V1355&gt;=40,V1355&lt;75,W1355&gt;=75,W1355&lt;120),0.17,0)+IF(AND(V1355&gt;=40,V1355&lt;75,W1355&gt;=120),0.12,0)+IF(AND(V1355&gt;=75,V1355&lt;175,W1355&lt;35),0.23,0)+IF(AND(V1355&gt;=75,V1355&lt;=175,W1355&gt;=35,W1355&lt;65),0.2,0)+IF(AND(V1355&gt;=75,V1355&lt;=175,W1355&gt;=65,W1355&lt;110),0.17,0)+IF(AND(V1355&gt;=75,V1355&lt;=175,W1355&gt;=110),0.12,0)+IF(AND(V1355&gt;175,W1355&lt;25),0.23,0)+IF(AND(V1355&gt;175,W1355&gt;=25,W1355&lt;55),0.2,0)+IF(AND(V1355&gt;175,W1355&gt;=55,W1355&lt;95),0.17,0)+IF(AND(V1355&gt;175,W1355&gt;=95),0.12,0),
IF(AF1355="DoEVs1",IF(AND(V1355&lt;20,W1355&lt;55),0.3,0)+IF(AND(V1355&lt;20,W1355&gt;=55,W1355&lt;105),0.23,0)+IF(AND(V1355&lt;20,W1355&gt;=105),0.17,0)+IF(AND(V1355&gt;=20,V1355&lt;40,W1355&lt;45),0.3,0)+IF(AND(V1355&gt;=20,V1355&lt;40,W1355&gt;=45,W1355&lt;95),0.23,0)+IF(AND(V1355&gt;=20,V1355&lt;40,W1355&gt;=95,W1355&lt;=150),0.17,0)+IF(AND(V1355&gt;=20,V1355&lt;40,W1355&gt;=150),0.12,0)+IF(AND(V1355&gt;=40,V1355&lt;75,W1355&lt;35),0.3,0)+IF(AND(V1355&gt;=40,V1355&lt;75,W1355&gt;=35,W1355&lt;75),0.23,0)+IF(AND(V1355&gt;=40,V1355&lt;75,W1355&gt;=75,W1355&lt;120),0.17,0)+IF(AND(V1355&gt;=40,V1355&lt;75,W1355&gt;=120),0.12,0)+IF(AND(V1355&gt;=75,V1355&lt;175,W1355&lt;35),0.3,0)+IF(AND(V1355&gt;=75,V1355&lt;=175,W1355&gt;=35,W1355&lt;65),0.23,0)+IF(AND(V1355&gt;=75,V1355&lt;=175,W1355&gt;=65,W1355&lt;110),0.17,0)+IF(AND(V1355&gt;=75,V1355&lt;=175,W1355&gt;=110),0.12,0)+IF(AND(V1355&gt;175,W1355&lt;25),0.3,0)+IF(AND(V1355&gt;175,W1355&gt;=25,W1355&lt;55),0.23,0)+IF(AND(V1355&gt;175,W1355&gt;=55,W1355&lt;95),0.17,0)+IF(AND(V1355&gt;175,W1355&gt;=95),0.12,0),
IF(AF1355="DoEVsu",IF(AND(V1355&lt;20,W1355&lt;55),0.3,0)+IF(AND(V1355&lt;20,W1355&gt;=55,W1355&lt;105),0.23,0)+IF(AND(V1355&lt;20,W1355&gt;=105),0.17,0)+IF(AND(V1355&gt;=20,V1355&lt;40,W1355&lt;45),0.3,0)+IF(AND(V1355&gt;=20,V1355&lt;40,W1355&gt;=45,W1355&lt;95),0.23,0)+IF(AND(V1355&gt;=20,V1355&lt;40,W1355&gt;=95,W1355&lt;=250),0.17,0)+IF(AND(V1355&gt;=20,V1355&lt;40,W1355&gt;=250),0.12,0)+IF(AND(V1355&gt;=40,V1355&lt;75,W1355&lt;35),0.3,0)+IF(AND(V1355&gt;=40,V1355&lt;75,W1355&gt;=35,W1355&lt;75),0.23,0)+IF(AND(V1355&gt;=40,V1355&lt;75,W1355&gt;=75,W1355&lt;120),0.17,0)+IF(AND(V1355&gt;=40,V1355&lt;75,W1355&gt;=120),0.12,0)+IF(AND(V1355&gt;=75,V1355&lt;175,W1355&lt;35),0.3,0)+IF(AND(V1355&gt;=75,V1355&lt;=175,W1355&gt;=35,W1355&lt;65),0.23,0)+IF(AND(V1355&gt;=75,V1355&lt;=175,W1355&gt;=65,W1355&lt;110),0.17,0)+IF(AND(V1355&gt;=75,V1355&lt;=175,W1355&gt;=110),0.12,0)+IF(AND(V1355&gt;175,W1355&lt;25),0.3,0)+IF(AND(V1355&gt;175,W1355&gt;=25,W1355&lt;55),0.23,0)+IF(AND(V1355&gt;175,W1355&gt;=55,W1355&lt;95),0.17,0)+IF(AND(V1355&gt;175,W1355&gt;=95),0.12,0),
IF(AF1355="DoEVni",IF(AND(V1355&lt;20,W1355&lt;55),0.3,0)+IF(AND(V1355&lt;20,W1355&gt;=55,W1355&lt;105),0.23,0)+IF(AND(V1355&lt;20,W1355&gt;=105),0.17,0)+IF(AND(V1355&gt;=20,V1355&lt;40,W1355&lt;45),0.3,0)+IF(AND(V1355&gt;=20,V1355&lt;40,W1355&gt;=45,W1355&lt;95),0.23,0)+IF(AND(V1355&gt;=20,V1355&lt;40,W1355&gt;=95,W1355&lt;=200),0.17,0)+IF(AND(V1355&gt;=20,V1355&lt;40,W1355&gt;=200),0.12,0)+IF(AND(V1355&gt;=40,V1355&lt;75,W1355&lt;35),0.3,0)+IF(AND(V1355&gt;=40,V1355&lt;75,W1355&gt;=35,W1355&lt;75),0.23,0)+IF(AND(V1355&gt;=40,V1355&lt;75,W1355&gt;=75,W1355&lt;120),0.17,0)+IF(AND(V1355&gt;=40,V1355&lt;75,W1355&gt;=120),0.12,0)+IF(AND(V1355&gt;=75,V1355&lt;175,W1355&lt;35),0.3,0)+IF(AND(V1355&gt;=75,V1355&lt;=175,W1355&gt;=35,W1355&lt;65),0.23,0)+IF(AND(V1355&gt;=75,V1355&lt;=175,W1355&gt;=65,W1355&lt;110),0.17,0)+IF(AND(V1355&gt;=75,V1355&lt;=175,W1355&gt;=110),0.12,0)+IF(AND(V1355&gt;175,W1355&lt;25),0.3,0)+IF(AND(V1355&gt;175,W1355&gt;=25,W1355&lt;55),0.23,0)+IF(AND(V1355&gt;175,W1355&gt;=55,W1355&lt;95),0.17,0)+IF(AND(V1355&gt;175,W1355&gt;=95),0.12,0),
IF(AF1355="DoEVLo",IF(AND(V1355&lt;20,W1355&lt;55),0.25,0)+IF(AND(V1355&lt;20,W1355&gt;=55,W1355&lt;105),0.2,0)+IF(AND(V1355&lt;20,W1355&gt;=105),0.15,0)+IF(AND(V1355&gt;=20,V1355&lt;40,W1355&lt;45),0.25,0)+IF(AND(V1355&gt;=20,V1355&lt;40,W1355&gt;=45,W1355&lt;95),0.2,0)+IF(AND(V1355&gt;=20,V1355&lt;40,W1355&gt;=95),0.15,0)+IF(AND(V1355&gt;=40,V1355&lt;75,W1355&lt;35),0.25,0)+IF(AND(V1355&gt;=40,V1355&lt;75,W1355&gt;=35,W1355&lt;75),0.2,0)+IF(AND(V1355&gt;=40,V1355&lt;75,W1355&gt;=75,W1355&lt;120),0.15,0)+IF(AND(V1355&gt;=40,V1355&lt;75,W1355&gt;=120),0.1,0)+IF(AND(V1355&gt;=75,V1355&lt;175,W1355&lt;35),0.25,0)+IF(AND(V1355&gt;=75,V1355&lt;=175,W1355&gt;=35,W1355&lt;65),0.2,0)+IF(AND(V1355&gt;=75,V1355&lt;=175,W1355&gt;=65,W1355&lt;110),0.15,0)+IF(AND(V1355&gt;=75,V1355&lt;=175,W1355&gt;=110),0.1,0)+IF(AND(V1355&gt;175,W1355&lt;25),0.25,0)+IF(AND(V1355&gt;175,W1355&gt;=25,W1355&lt;55),0.2,0)+IF(AND(V1355&gt;175,W1355&gt;=55,W1355&lt;95),0.15,0)+IF(AND(V1355&gt;175,W1355&gt;=95),0.1,0))))))))))))))))))</f>
        <v>0.1</v>
      </c>
      <c r="Y1355" s="30">
        <f>IF(AG1355="None",0,IF(AG1355="Fix5",0.05, IF(AG1355="Fix6.25",0.0625,IF(AG1355="Fix3.75",0.0375,IF(AG1355="Fix10",0.1,IF(AG1355="Fix3",0.03,0))))))</f>
        <v>0</v>
      </c>
      <c r="Z1355" s="35">
        <f>T1355-AA1355-AB1355</f>
        <v>-3067.2</v>
      </c>
      <c r="AA1355" s="29">
        <f>IF(AD1355="EUR",((T1355-R1355)*X1355)*U1355+(R1355*X1355),(T1355*X1355))</f>
        <v>-340.8</v>
      </c>
      <c r="AB1355" s="36">
        <f>IF(AD1355="EUR",((T1355-R1355)*Y1355)*U1355+(R1355*Y1355),(T1355*Y1355))</f>
        <v>0</v>
      </c>
      <c r="AC1355" s="37" t="b">
        <v>1</v>
      </c>
      <c r="AD1355" s="37" t="s">
        <v>38</v>
      </c>
      <c r="AE1355" s="37" t="s">
        <v>38</v>
      </c>
      <c r="AF1355" s="37" t="str">
        <f t="array" ref="AF1355">INDEX('Deal Info'!D:D, MATCH(A1355,'Deal Info'!A:A, 0))</f>
        <v>Fix10</v>
      </c>
      <c r="AG1355" s="38" t="str">
        <f t="array" ref="AG1355">INDEX('Deal Info'!G:G, MATCH(A1355,'Deal Info'!A:A, 0))</f>
        <v>None</v>
      </c>
    </row>
    <row r="1356" spans="1:33" ht="14.25" hidden="1" x14ac:dyDescent="0.2">
      <c r="A1356" s="18" t="str">
        <f t="array" ref="A1356">IF(G1356='Room Info'!$B$1, INDEX('Room Info'!$A$2:$A2446, MATCH(B1356,'Room Info'!$B$2:$B2446, 0)),IF(G1356='Room Info'!$C$1, INDEX('Room Info'!$A$2:$A2446, MATCH(B1356,'Room Info'!$C$2:$C2446, 0)),IF(G1356='Room Info'!$D$1, INDEX('Room Info'!$A$2:$A2446, MATCH(B1356,'Room Info'!$D$2:$D2446, 0)),IF(G1356='Room Info'!$E$1, INDEX('Room Info'!$A$2:$A2446, MATCH(B1356,'Room Info'!$E$2:$E2446, 0)),IF(G1356='Room Info'!$F$1, INDEX('Room Info'!$A$2:$A2446, MATCH(B1356,'Room Info'!$F$2:$F2446, 0)),IF(G1356='Room Info'!$H$1, INDEX('Room Info'!$A$2:$A2446, MATCH(B1356,'Room Info'!$H$2:$H2446, 0)),IF(G1356='Room Info'!$G$1, INDEX('Room Info'!$A$2:$A2446, MATCH(B1356,'Room Info'!$G$2:$G2446, 0)))))))))</f>
        <v>volkovsky</v>
      </c>
      <c r="B1356" s="45" t="s">
        <v>206</v>
      </c>
      <c r="C1356" s="77">
        <v>44855</v>
      </c>
      <c r="D1356" s="77">
        <v>44885</v>
      </c>
      <c r="E1356" s="47">
        <v>44866</v>
      </c>
      <c r="F1356" s="48" t="s">
        <v>34</v>
      </c>
      <c r="G1356" s="45" t="s">
        <v>35</v>
      </c>
      <c r="H1356" s="91" t="s">
        <v>84</v>
      </c>
      <c r="I1356" s="49" t="s">
        <v>44</v>
      </c>
      <c r="J1356" s="74">
        <v>100</v>
      </c>
      <c r="K1356" s="75">
        <v>20</v>
      </c>
      <c r="L1356" s="72">
        <v>400</v>
      </c>
      <c r="M1356" s="76">
        <v>25</v>
      </c>
      <c r="N1356" s="28">
        <f>K1356*J1356</f>
        <v>2000</v>
      </c>
      <c r="O1356" s="45">
        <v>-437</v>
      </c>
      <c r="P1356" s="29">
        <v>-21.85</v>
      </c>
      <c r="Q1356" s="55"/>
      <c r="R1356" s="31">
        <f>M1356+Q1356</f>
        <v>25</v>
      </c>
      <c r="S1356" s="73">
        <v>-248</v>
      </c>
      <c r="T1356" s="32">
        <f>R1356+S1356+IF(F1356="Without EV deal",L1356,0)</f>
        <v>-223</v>
      </c>
      <c r="U1356" s="57"/>
      <c r="V1356" s="58"/>
      <c r="W1356" s="58"/>
      <c r="X1356" s="30">
        <f>IF(AF1356="DoEV",IF(AND(V1356&lt;20,W1356&lt;55),0.3,0)+IF(AND(V1356&lt;20,W1356&gt;=55,W1356&lt;105),0.23,0)+IF(AND(V1356&lt;20,W1356&gt;=105),0.17,0)+IF(AND(V1356&gt;=20,V1356&lt;40,W1356&lt;45),0.3,0)+IF(AND(V1356&gt;=20,V1356&lt;40,W1356&gt;=45,W1356&lt;95),0.23,0)+IF(AND(V1356&gt;=20,V1356&lt;40,W1356&gt;=95),0.17,0)+IF(AND(V1356&gt;=40,V1356&lt;75,W1356&lt;35),0.3,0)+IF(AND(V1356&gt;=40,V1356&lt;75,W1356&gt;=35,W1356&lt;75),0.23,0)+IF(AND(V1356&gt;=40,V1356&lt;75,W1356&gt;=75,W1356&lt;120),0.17,0)+IF(AND(V1356&gt;=40,V1356&lt;75,W1356&gt;=120),0.12,0)+IF(AND(V1356&gt;=75,V1356&lt;175,W1356&lt;35),0.3,0)+IF(AND(V1356&gt;=75,V1356&lt;=175,W1356&gt;=35,W1356&lt;65),0.23,0)+IF(AND(V1356&gt;=75,V1356&lt;=175,W1356&gt;=65,W1356&lt;110),0.17,0)+IF(AND(V1356&gt;=75,V1356&lt;=175,W1356&gt;=110),0.12,0)+IF(AND(V1356&gt;175,W1356&lt;25),0.3,0)+IF(AND(V1356&gt;175,W1356&gt;=25,W1356&lt;55),0.23,0)+IF(AND(V1356&gt;175,W1356&gt;=55,W1356&lt;95),0.17,0)+IF(AND(V1356&gt;175,W1356&gt;=95),0.12,0),
IF(AF1356="Fix15",0.15,
IF(AF1356="Fix18.75",0.1875,
IF(AF1356="Fix11.25",0.1125,
IF(AF1356="Fix10",0.1,
IF(AF1356="Fix9",0.09,
IF(AF1356="Fix19",0.19,
IF(AF1356="DoEV2017",IF(AND(W1356&lt;74),0.2,0)+IF(AND(W1356&gt;=74),0.17,0),
IF(AF1356="SF",IF(AND(V1356&lt;20,W1356&lt;89),0.3,0)+IF(AND(V1356&lt;20,W1356&gt;=89),0.25,0)+IF(AND(V1356&gt;=20,V1356&lt;40,W1356&lt;74),0.3,0)+IF(AND(V1356&gt;=20,V1356&lt;40,W1356&gt;=75),0.22,0)+IF(AND(V1356&gt;=40,V1356&lt;75,W1356&lt;75),0.26,0)+IF(AND(V1356&gt;=40,V1356&lt;75,W1356&gt;=75),0.22,0)+IF(V1356&gt;=75,0.22,0),
IF(AF1356="DoEVold",IF(AND(V1356&lt;40,W1356&lt;35),0.35,0)+IF(AND(V1356&lt;40,W1356&gt;=35,W1356&lt;75),0.25,0)+IF(AND(V1356&lt;40,W1356&gt;=75),0.17,0)+IF(AND(V1356&gt;=40,V1356&lt;75,W1356&lt;25),0.35,0)+IF(AND(V1356&gt;=40,V1356&lt;75,W1356&gt;=25,W1356&lt;65),0.25,0)+IF(AND(V1356&gt;=40,V1356&lt;75,W1356&gt;=65,W1356&lt;100),0.17,0)+IF(AND(V1356&gt;=40,V1356&lt;75,W1356&gt;=100),0.1,0)+IF(AND(V1356&gt;=75,W1356&lt;25),0.35,0)+IF(AND(V1356&gt;=75,W1356&gt;=25,W1356&lt;60),0.25,0)+IF(AND(V1356&gt;=75,W1356&gt;=60,W1356&lt;95),0.17,0)+IF(AND(V1356&gt;=75,W1356&gt;=95),0.1,0),
IF(AF1356="DoEVold15",IF(AND(V1356&lt;=40,W1356&lt;35),0.35,0)+IF(AND(V1356&lt;=40,W1356&gt;=35,W1356&lt;75),0.25,0)+IF(AND(V1356&lt;=40,W1356&gt;=75,W1356&lt;120),0.17,0)+IF(AND(V1356&lt;=40,W1356&gt;=120),0.15,0)+IF(AND(V1356&gt;40,V1356&lt;75,W1356&lt;25),0.35,0)+IF(AND(V1356&gt;=40,V1356&lt;75,W1356&gt;=25,W1356&lt;65),0.25,0)+IF(AND(V1356&gt;=40,V1356&lt;75,W1356&gt;=65,W1356&lt;100),0.17,0)+IF(AND(V1356&gt;=40,V1356&lt;75,W1356&gt;=100),0.1,0)+IF(AND(V1356&gt;=75,W1356&lt;25),0.35,0)+IF(AND(V1356&gt;=75,W1356&gt;=25,W1356&lt;60),0.25,0)+IF(AND(V1356&gt;=75,W1356&gt;=60,W1356&lt;95),0.17,0)+IF(AND(V1356&gt;=75,W1356&gt;=95),0.1,0),
IF(AF1356="DoEVba",IF(AND(V1356&lt;20,W1356&lt;105),0.2,0)+IF(AND(V1356&lt;20,W1356&gt;=105),0.15,0)+IF(AND(V1356&gt;=20,V1356&lt;40,W1356&lt;95),0.2,0)+IF(AND(V1356&gt;=20,V1356&lt;40,W1356&gt;=95,W1356&lt;150),0.15,0)+IF(AND(V1356&gt;=20,V1356&lt;40,W1356&gt;=150),0.12,0)+IF(AND(V1356&gt;=40,V1356&lt;75,W1356&lt;75),0.2,0)+IF(AND(V1356&gt;=40,V1356&lt;75,W1356&gt;=75,W1356&lt;120),0.15,0)+IF(AND(V1356&gt;=40,V1356&lt;75,W1356&gt;=120),0.12,0)+IF(AND(V1356&gt;=75,V1356&lt;175,W1356&lt;65),0.2,0)+IF(AND(V1356&gt;=75,V1356&lt;175,W1356&gt;=65,W1356&lt;110),0.15,0)+IF(AND(V1356&gt;=75,V1356&lt;175,W1356&gt;=110),0.12,0)+IF(AND(V1356&gt;=175,W1356&lt;55),0.2,0)+IF(AND(V1356&gt;=175,W1356&gt;=55,W1356&lt;95),0.15,0)+IF(AND(V1356&gt;=175,W1356&gt;=95),0.12,0),
IF(AF1356="DoEVku",IF(AND(V1356&lt;20,W1356&lt;55),0.23,0)+IF(AND(V1356&lt;20,W1356&gt;=55,W1356&lt;105),0.2,0)+IF(AND(V1356&lt;20,W1356&gt;=105),0.17,0)+IF(AND(V1356&gt;=20,V1356&lt;40,W1356&lt;45),0.23,0)+IF(AND(V1356&gt;=20,V1356&lt;40,W1356&gt;=45,W1356&lt;95),0.2,0)+IF(AND(V1356&gt;=20,V1356&lt;40,W1356&gt;=95,W1356&lt;=150),0.17,0)+IF(AND(V1356&gt;=20,V1356&lt;40,W1356&gt;=150),0.12,0)+IF(AND(V1356&gt;=40,V1356&lt;75,W1356&lt;35),0.23,0)+IF(AND(V1356&gt;=40,V1356&lt;75,W1356&gt;=35,W1356&lt;75),0.2,0)+IF(AND(V1356&gt;=40,V1356&lt;75,W1356&gt;=75,W1356&lt;120),0.17,0)+IF(AND(V1356&gt;=40,V1356&lt;75,W1356&gt;=120),0.12,0)+IF(AND(V1356&gt;=75,V1356&lt;175,W1356&lt;35),0.23,0)+IF(AND(V1356&gt;=75,V1356&lt;=175,W1356&gt;=35,W1356&lt;65),0.2,0)+IF(AND(V1356&gt;=75,V1356&lt;=175,W1356&gt;=65,W1356&lt;110),0.17,0)+IF(AND(V1356&gt;=75,V1356&lt;=175,W1356&gt;=110),0.12,0)+IF(AND(V1356&gt;175,W1356&lt;25),0.23,0)+IF(AND(V1356&gt;175,W1356&gt;=25,W1356&lt;55),0.2,0)+IF(AND(V1356&gt;175,W1356&gt;=55,W1356&lt;95),0.17,0)+IF(AND(V1356&gt;175,W1356&gt;=95),0.12,0),
IF(AF1356="DoEVs1",IF(AND(V1356&lt;20,W1356&lt;55),0.3,0)+IF(AND(V1356&lt;20,W1356&gt;=55,W1356&lt;105),0.23,0)+IF(AND(V1356&lt;20,W1356&gt;=105),0.17,0)+IF(AND(V1356&gt;=20,V1356&lt;40,W1356&lt;45),0.3,0)+IF(AND(V1356&gt;=20,V1356&lt;40,W1356&gt;=45,W1356&lt;95),0.23,0)+IF(AND(V1356&gt;=20,V1356&lt;40,W1356&gt;=95,W1356&lt;=150),0.17,0)+IF(AND(V1356&gt;=20,V1356&lt;40,W1356&gt;=150),0.12,0)+IF(AND(V1356&gt;=40,V1356&lt;75,W1356&lt;35),0.3,0)+IF(AND(V1356&gt;=40,V1356&lt;75,W1356&gt;=35,W1356&lt;75),0.23,0)+IF(AND(V1356&gt;=40,V1356&lt;75,W1356&gt;=75,W1356&lt;120),0.17,0)+IF(AND(V1356&gt;=40,V1356&lt;75,W1356&gt;=120),0.12,0)+IF(AND(V1356&gt;=75,V1356&lt;175,W1356&lt;35),0.3,0)+IF(AND(V1356&gt;=75,V1356&lt;=175,W1356&gt;=35,W1356&lt;65),0.23,0)+IF(AND(V1356&gt;=75,V1356&lt;=175,W1356&gt;=65,W1356&lt;110),0.17,0)+IF(AND(V1356&gt;=75,V1356&lt;=175,W1356&gt;=110),0.12,0)+IF(AND(V1356&gt;175,W1356&lt;25),0.3,0)+IF(AND(V1356&gt;175,W1356&gt;=25,W1356&lt;55),0.23,0)+IF(AND(V1356&gt;175,W1356&gt;=55,W1356&lt;95),0.17,0)+IF(AND(V1356&gt;175,W1356&gt;=95),0.12,0),
IF(AF1356="DoEVsu",IF(AND(V1356&lt;20,W1356&lt;55),0.3,0)+IF(AND(V1356&lt;20,W1356&gt;=55,W1356&lt;105),0.23,0)+IF(AND(V1356&lt;20,W1356&gt;=105),0.17,0)+IF(AND(V1356&gt;=20,V1356&lt;40,W1356&lt;45),0.3,0)+IF(AND(V1356&gt;=20,V1356&lt;40,W1356&gt;=45,W1356&lt;95),0.23,0)+IF(AND(V1356&gt;=20,V1356&lt;40,W1356&gt;=95,W1356&lt;=250),0.17,0)+IF(AND(V1356&gt;=20,V1356&lt;40,W1356&gt;=250),0.12,0)+IF(AND(V1356&gt;=40,V1356&lt;75,W1356&lt;35),0.3,0)+IF(AND(V1356&gt;=40,V1356&lt;75,W1356&gt;=35,W1356&lt;75),0.23,0)+IF(AND(V1356&gt;=40,V1356&lt;75,W1356&gt;=75,W1356&lt;120),0.17,0)+IF(AND(V1356&gt;=40,V1356&lt;75,W1356&gt;=120),0.12,0)+IF(AND(V1356&gt;=75,V1356&lt;175,W1356&lt;35),0.3,0)+IF(AND(V1356&gt;=75,V1356&lt;=175,W1356&gt;=35,W1356&lt;65),0.23,0)+IF(AND(V1356&gt;=75,V1356&lt;=175,W1356&gt;=65,W1356&lt;110),0.17,0)+IF(AND(V1356&gt;=75,V1356&lt;=175,W1356&gt;=110),0.12,0)+IF(AND(V1356&gt;175,W1356&lt;25),0.3,0)+IF(AND(V1356&gt;175,W1356&gt;=25,W1356&lt;55),0.23,0)+IF(AND(V1356&gt;175,W1356&gt;=55,W1356&lt;95),0.17,0)+IF(AND(V1356&gt;175,W1356&gt;=95),0.12,0),
IF(AF1356="DoEVni",IF(AND(V1356&lt;20,W1356&lt;55),0.3,0)+IF(AND(V1356&lt;20,W1356&gt;=55,W1356&lt;105),0.23,0)+IF(AND(V1356&lt;20,W1356&gt;=105),0.17,0)+IF(AND(V1356&gt;=20,V1356&lt;40,W1356&lt;45),0.3,0)+IF(AND(V1356&gt;=20,V1356&lt;40,W1356&gt;=45,W1356&lt;95),0.23,0)+IF(AND(V1356&gt;=20,V1356&lt;40,W1356&gt;=95,W1356&lt;=200),0.17,0)+IF(AND(V1356&gt;=20,V1356&lt;40,W1356&gt;=200),0.12,0)+IF(AND(V1356&gt;=40,V1356&lt;75,W1356&lt;35),0.3,0)+IF(AND(V1356&gt;=40,V1356&lt;75,W1356&gt;=35,W1356&lt;75),0.23,0)+IF(AND(V1356&gt;=40,V1356&lt;75,W1356&gt;=75,W1356&lt;120),0.17,0)+IF(AND(V1356&gt;=40,V1356&lt;75,W1356&gt;=120),0.12,0)+IF(AND(V1356&gt;=75,V1356&lt;175,W1356&lt;35),0.3,0)+IF(AND(V1356&gt;=75,V1356&lt;=175,W1356&gt;=35,W1356&lt;65),0.23,0)+IF(AND(V1356&gt;=75,V1356&lt;=175,W1356&gt;=65,W1356&lt;110),0.17,0)+IF(AND(V1356&gt;=75,V1356&lt;=175,W1356&gt;=110),0.12,0)+IF(AND(V1356&gt;175,W1356&lt;25),0.3,0)+IF(AND(V1356&gt;175,W1356&gt;=25,W1356&lt;55),0.23,0)+IF(AND(V1356&gt;175,W1356&gt;=55,W1356&lt;95),0.17,0)+IF(AND(V1356&gt;175,W1356&gt;=95),0.12,0),
IF(AF1356="DoEVLo",IF(AND(V1356&lt;20,W1356&lt;55),0.25,0)+IF(AND(V1356&lt;20,W1356&gt;=55,W1356&lt;105),0.2,0)+IF(AND(V1356&lt;20,W1356&gt;=105),0.15,0)+IF(AND(V1356&gt;=20,V1356&lt;40,W1356&lt;45),0.25,0)+IF(AND(V1356&gt;=20,V1356&lt;40,W1356&gt;=45,W1356&lt;95),0.2,0)+IF(AND(V1356&gt;=20,V1356&lt;40,W1356&gt;=95),0.15,0)+IF(AND(V1356&gt;=40,V1356&lt;75,W1356&lt;35),0.25,0)+IF(AND(V1356&gt;=40,V1356&lt;75,W1356&gt;=35,W1356&lt;75),0.2,0)+IF(AND(V1356&gt;=40,V1356&lt;75,W1356&gt;=75,W1356&lt;120),0.15,0)+IF(AND(V1356&gt;=40,V1356&lt;75,W1356&gt;=120),0.1,0)+IF(AND(V1356&gt;=75,V1356&lt;175,W1356&lt;35),0.25,0)+IF(AND(V1356&gt;=75,V1356&lt;=175,W1356&gt;=35,W1356&lt;65),0.2,0)+IF(AND(V1356&gt;=75,V1356&lt;=175,W1356&gt;=65,W1356&lt;110),0.15,0)+IF(AND(V1356&gt;=75,V1356&lt;=175,W1356&gt;=110),0.1,0)+IF(AND(V1356&gt;175,W1356&lt;25),0.25,0)+IF(AND(V1356&gt;175,W1356&gt;=25,W1356&lt;55),0.2,0)+IF(AND(V1356&gt;175,W1356&gt;=55,W1356&lt;95),0.15,0)+IF(AND(V1356&gt;175,W1356&gt;=95),0.1,0))))))))))))))))))</f>
        <v>0.1</v>
      </c>
      <c r="Y1356" s="30">
        <f>IF(AG1356="None",0,IF(AG1356="Fix5",0.05, IF(AG1356="Fix6.25",0.0625,IF(AG1356="Fix3.75",0.0375,IF(AG1356="Fix10",0.1,IF(AG1356="Fix3",0.03,0))))))</f>
        <v>0</v>
      </c>
      <c r="Z1356" s="35">
        <f>T1356-AA1356-AB1356</f>
        <v>-200.7</v>
      </c>
      <c r="AA1356" s="29">
        <f>IF(AD1356="EUR",((T1356-R1356)*X1356)*U1356+(R1356*X1356),(T1356*X1356))</f>
        <v>-22.3</v>
      </c>
      <c r="AB1356" s="36">
        <f>IF(AD1356="EUR",((T1356-R1356)*Y1356)*U1356+(R1356*Y1356),(T1356*Y1356))</f>
        <v>0</v>
      </c>
      <c r="AC1356" s="37" t="b">
        <v>1</v>
      </c>
      <c r="AD1356" s="37" t="s">
        <v>38</v>
      </c>
      <c r="AE1356" s="37" t="s">
        <v>38</v>
      </c>
      <c r="AF1356" s="37" t="str">
        <f t="array" ref="AF1356">INDEX('Deal Info'!D:D, MATCH(A1356,'Deal Info'!A:A, 0))</f>
        <v>Fix10</v>
      </c>
      <c r="AG1356" s="38" t="str">
        <f t="array" ref="AG1356">INDEX('Deal Info'!G:G, MATCH(A1356,'Deal Info'!A:A, 0))</f>
        <v>None</v>
      </c>
    </row>
    <row r="1357" spans="1:33" ht="14.25" hidden="1" x14ac:dyDescent="0.2">
      <c r="A1357" s="18" t="str">
        <f t="array" ref="A1357">IF(G1357='Room Info'!$B$1, INDEX('Room Info'!$A$2:$A2446, MATCH(B1357,'Room Info'!$B$2:$B2446, 0)),IF(G1357='Room Info'!$C$1, INDEX('Room Info'!$A$2:$A2446, MATCH(B1357,'Room Info'!$C$2:$C2446, 0)),IF(G1357='Room Info'!$D$1, INDEX('Room Info'!$A$2:$A2446, MATCH(B1357,'Room Info'!$D$2:$D2446, 0)),IF(G1357='Room Info'!$E$1, INDEX('Room Info'!$A$2:$A2446, MATCH(B1357,'Room Info'!$E$2:$E2446, 0)),IF(G1357='Room Info'!$F$1, INDEX('Room Info'!$A$2:$A2446, MATCH(B1357,'Room Info'!$F$2:$F2446, 0)),IF(G1357='Room Info'!$H$1, INDEX('Room Info'!$A$2:$A2446, MATCH(B1357,'Room Info'!$H$2:$H2446, 0)),IF(G1357='Room Info'!$G$1, INDEX('Room Info'!$A$2:$A2446, MATCH(B1357,'Room Info'!$G$2:$G2446, 0)))))))))</f>
        <v>volkovsky</v>
      </c>
      <c r="B1357" s="45" t="s">
        <v>206</v>
      </c>
      <c r="C1357" s="77">
        <v>44855</v>
      </c>
      <c r="D1357" s="77">
        <v>44885</v>
      </c>
      <c r="E1357" s="47">
        <v>44866</v>
      </c>
      <c r="F1357" s="48" t="s">
        <v>34</v>
      </c>
      <c r="G1357" s="45" t="s">
        <v>35</v>
      </c>
      <c r="H1357" s="49" t="s">
        <v>88</v>
      </c>
      <c r="I1357" s="49" t="s">
        <v>37</v>
      </c>
      <c r="J1357" s="74">
        <v>250</v>
      </c>
      <c r="K1357" s="75">
        <v>462</v>
      </c>
      <c r="L1357" s="72">
        <v>-14250</v>
      </c>
      <c r="M1357" s="76">
        <v>1420</v>
      </c>
      <c r="N1357" s="28">
        <f>K1357*J1357</f>
        <v>115500</v>
      </c>
      <c r="O1357" s="45">
        <v>-1756</v>
      </c>
      <c r="P1357" s="29">
        <v>-3.800865801</v>
      </c>
      <c r="Q1357" s="55"/>
      <c r="R1357" s="31">
        <f>M1357+Q1357</f>
        <v>1420</v>
      </c>
      <c r="S1357" s="73">
        <v>-6960</v>
      </c>
      <c r="T1357" s="32">
        <f>R1357+S1357+IF(F1357="Without EV deal",L1357,0)</f>
        <v>-5540</v>
      </c>
      <c r="U1357" s="57"/>
      <c r="V1357" s="58"/>
      <c r="W1357" s="58"/>
      <c r="X1357" s="30">
        <f>IF(AF1357="DoEV",IF(AND(V1357&lt;20,W1357&lt;55),0.3,0)+IF(AND(V1357&lt;20,W1357&gt;=55,W1357&lt;105),0.23,0)+IF(AND(V1357&lt;20,W1357&gt;=105),0.17,0)+IF(AND(V1357&gt;=20,V1357&lt;40,W1357&lt;45),0.3,0)+IF(AND(V1357&gt;=20,V1357&lt;40,W1357&gt;=45,W1357&lt;95),0.23,0)+IF(AND(V1357&gt;=20,V1357&lt;40,W1357&gt;=95),0.17,0)+IF(AND(V1357&gt;=40,V1357&lt;75,W1357&lt;35),0.3,0)+IF(AND(V1357&gt;=40,V1357&lt;75,W1357&gt;=35,W1357&lt;75),0.23,0)+IF(AND(V1357&gt;=40,V1357&lt;75,W1357&gt;=75,W1357&lt;120),0.17,0)+IF(AND(V1357&gt;=40,V1357&lt;75,W1357&gt;=120),0.12,0)+IF(AND(V1357&gt;=75,V1357&lt;175,W1357&lt;35),0.3,0)+IF(AND(V1357&gt;=75,V1357&lt;=175,W1357&gt;=35,W1357&lt;65),0.23,0)+IF(AND(V1357&gt;=75,V1357&lt;=175,W1357&gt;=65,W1357&lt;110),0.17,0)+IF(AND(V1357&gt;=75,V1357&lt;=175,W1357&gt;=110),0.12,0)+IF(AND(V1357&gt;175,W1357&lt;25),0.3,0)+IF(AND(V1357&gt;175,W1357&gt;=25,W1357&lt;55),0.23,0)+IF(AND(V1357&gt;175,W1357&gt;=55,W1357&lt;95),0.17,0)+IF(AND(V1357&gt;175,W1357&gt;=95),0.12,0),
IF(AF1357="Fix15",0.15,
IF(AF1357="Fix18.75",0.1875,
IF(AF1357="Fix11.25",0.1125,
IF(AF1357="Fix10",0.1,
IF(AF1357="Fix9",0.09,
IF(AF1357="Fix19",0.19,
IF(AF1357="DoEV2017",IF(AND(W1357&lt;74),0.2,0)+IF(AND(W1357&gt;=74),0.17,0),
IF(AF1357="SF",IF(AND(V1357&lt;20,W1357&lt;89),0.3,0)+IF(AND(V1357&lt;20,W1357&gt;=89),0.25,0)+IF(AND(V1357&gt;=20,V1357&lt;40,W1357&lt;74),0.3,0)+IF(AND(V1357&gt;=20,V1357&lt;40,W1357&gt;=75),0.22,0)+IF(AND(V1357&gt;=40,V1357&lt;75,W1357&lt;75),0.26,0)+IF(AND(V1357&gt;=40,V1357&lt;75,W1357&gt;=75),0.22,0)+IF(V1357&gt;=75,0.22,0),
IF(AF1357="DoEVold",IF(AND(V1357&lt;40,W1357&lt;35),0.35,0)+IF(AND(V1357&lt;40,W1357&gt;=35,W1357&lt;75),0.25,0)+IF(AND(V1357&lt;40,W1357&gt;=75),0.17,0)+IF(AND(V1357&gt;=40,V1357&lt;75,W1357&lt;25),0.35,0)+IF(AND(V1357&gt;=40,V1357&lt;75,W1357&gt;=25,W1357&lt;65),0.25,0)+IF(AND(V1357&gt;=40,V1357&lt;75,W1357&gt;=65,W1357&lt;100),0.17,0)+IF(AND(V1357&gt;=40,V1357&lt;75,W1357&gt;=100),0.1,0)+IF(AND(V1357&gt;=75,W1357&lt;25),0.35,0)+IF(AND(V1357&gt;=75,W1357&gt;=25,W1357&lt;60),0.25,0)+IF(AND(V1357&gt;=75,W1357&gt;=60,W1357&lt;95),0.17,0)+IF(AND(V1357&gt;=75,W1357&gt;=95),0.1,0),
IF(AF1357="DoEVold15",IF(AND(V1357&lt;=40,W1357&lt;35),0.35,0)+IF(AND(V1357&lt;=40,W1357&gt;=35,W1357&lt;75),0.25,0)+IF(AND(V1357&lt;=40,W1357&gt;=75,W1357&lt;120),0.17,0)+IF(AND(V1357&lt;=40,W1357&gt;=120),0.15,0)+IF(AND(V1357&gt;40,V1357&lt;75,W1357&lt;25),0.35,0)+IF(AND(V1357&gt;=40,V1357&lt;75,W1357&gt;=25,W1357&lt;65),0.25,0)+IF(AND(V1357&gt;=40,V1357&lt;75,W1357&gt;=65,W1357&lt;100),0.17,0)+IF(AND(V1357&gt;=40,V1357&lt;75,W1357&gt;=100),0.1,0)+IF(AND(V1357&gt;=75,W1357&lt;25),0.35,0)+IF(AND(V1357&gt;=75,W1357&gt;=25,W1357&lt;60),0.25,0)+IF(AND(V1357&gt;=75,W1357&gt;=60,W1357&lt;95),0.17,0)+IF(AND(V1357&gt;=75,W1357&gt;=95),0.1,0),
IF(AF1357="DoEVba",IF(AND(V1357&lt;20,W1357&lt;105),0.2,0)+IF(AND(V1357&lt;20,W1357&gt;=105),0.15,0)+IF(AND(V1357&gt;=20,V1357&lt;40,W1357&lt;95),0.2,0)+IF(AND(V1357&gt;=20,V1357&lt;40,W1357&gt;=95,W1357&lt;150),0.15,0)+IF(AND(V1357&gt;=20,V1357&lt;40,W1357&gt;=150),0.12,0)+IF(AND(V1357&gt;=40,V1357&lt;75,W1357&lt;75),0.2,0)+IF(AND(V1357&gt;=40,V1357&lt;75,W1357&gt;=75,W1357&lt;120),0.15,0)+IF(AND(V1357&gt;=40,V1357&lt;75,W1357&gt;=120),0.12,0)+IF(AND(V1357&gt;=75,V1357&lt;175,W1357&lt;65),0.2,0)+IF(AND(V1357&gt;=75,V1357&lt;175,W1357&gt;=65,W1357&lt;110),0.15,0)+IF(AND(V1357&gt;=75,V1357&lt;175,W1357&gt;=110),0.12,0)+IF(AND(V1357&gt;=175,W1357&lt;55),0.2,0)+IF(AND(V1357&gt;=175,W1357&gt;=55,W1357&lt;95),0.15,0)+IF(AND(V1357&gt;=175,W1357&gt;=95),0.12,0),
IF(AF1357="DoEVku",IF(AND(V1357&lt;20,W1357&lt;55),0.23,0)+IF(AND(V1357&lt;20,W1357&gt;=55,W1357&lt;105),0.2,0)+IF(AND(V1357&lt;20,W1357&gt;=105),0.17,0)+IF(AND(V1357&gt;=20,V1357&lt;40,W1357&lt;45),0.23,0)+IF(AND(V1357&gt;=20,V1357&lt;40,W1357&gt;=45,W1357&lt;95),0.2,0)+IF(AND(V1357&gt;=20,V1357&lt;40,W1357&gt;=95,W1357&lt;=150),0.17,0)+IF(AND(V1357&gt;=20,V1357&lt;40,W1357&gt;=150),0.12,0)+IF(AND(V1357&gt;=40,V1357&lt;75,W1357&lt;35),0.23,0)+IF(AND(V1357&gt;=40,V1357&lt;75,W1357&gt;=35,W1357&lt;75),0.2,0)+IF(AND(V1357&gt;=40,V1357&lt;75,W1357&gt;=75,W1357&lt;120),0.17,0)+IF(AND(V1357&gt;=40,V1357&lt;75,W1357&gt;=120),0.12,0)+IF(AND(V1357&gt;=75,V1357&lt;175,W1357&lt;35),0.23,0)+IF(AND(V1357&gt;=75,V1357&lt;=175,W1357&gt;=35,W1357&lt;65),0.2,0)+IF(AND(V1357&gt;=75,V1357&lt;=175,W1357&gt;=65,W1357&lt;110),0.17,0)+IF(AND(V1357&gt;=75,V1357&lt;=175,W1357&gt;=110),0.12,0)+IF(AND(V1357&gt;175,W1357&lt;25),0.23,0)+IF(AND(V1357&gt;175,W1357&gt;=25,W1357&lt;55),0.2,0)+IF(AND(V1357&gt;175,W1357&gt;=55,W1357&lt;95),0.17,0)+IF(AND(V1357&gt;175,W1357&gt;=95),0.12,0),
IF(AF1357="DoEVs1",IF(AND(V1357&lt;20,W1357&lt;55),0.3,0)+IF(AND(V1357&lt;20,W1357&gt;=55,W1357&lt;105),0.23,0)+IF(AND(V1357&lt;20,W1357&gt;=105),0.17,0)+IF(AND(V1357&gt;=20,V1357&lt;40,W1357&lt;45),0.3,0)+IF(AND(V1357&gt;=20,V1357&lt;40,W1357&gt;=45,W1357&lt;95),0.23,0)+IF(AND(V1357&gt;=20,V1357&lt;40,W1357&gt;=95,W1357&lt;=150),0.17,0)+IF(AND(V1357&gt;=20,V1357&lt;40,W1357&gt;=150),0.12,0)+IF(AND(V1357&gt;=40,V1357&lt;75,W1357&lt;35),0.3,0)+IF(AND(V1357&gt;=40,V1357&lt;75,W1357&gt;=35,W1357&lt;75),0.23,0)+IF(AND(V1357&gt;=40,V1357&lt;75,W1357&gt;=75,W1357&lt;120),0.17,0)+IF(AND(V1357&gt;=40,V1357&lt;75,W1357&gt;=120),0.12,0)+IF(AND(V1357&gt;=75,V1357&lt;175,W1357&lt;35),0.3,0)+IF(AND(V1357&gt;=75,V1357&lt;=175,W1357&gt;=35,W1357&lt;65),0.23,0)+IF(AND(V1357&gt;=75,V1357&lt;=175,W1357&gt;=65,W1357&lt;110),0.17,0)+IF(AND(V1357&gt;=75,V1357&lt;=175,W1357&gt;=110),0.12,0)+IF(AND(V1357&gt;175,W1357&lt;25),0.3,0)+IF(AND(V1357&gt;175,W1357&gt;=25,W1357&lt;55),0.23,0)+IF(AND(V1357&gt;175,W1357&gt;=55,W1357&lt;95),0.17,0)+IF(AND(V1357&gt;175,W1357&gt;=95),0.12,0),
IF(AF1357="DoEVsu",IF(AND(V1357&lt;20,W1357&lt;55),0.3,0)+IF(AND(V1357&lt;20,W1357&gt;=55,W1357&lt;105),0.23,0)+IF(AND(V1357&lt;20,W1357&gt;=105),0.17,0)+IF(AND(V1357&gt;=20,V1357&lt;40,W1357&lt;45),0.3,0)+IF(AND(V1357&gt;=20,V1357&lt;40,W1357&gt;=45,W1357&lt;95),0.23,0)+IF(AND(V1357&gt;=20,V1357&lt;40,W1357&gt;=95,W1357&lt;=250),0.17,0)+IF(AND(V1357&gt;=20,V1357&lt;40,W1357&gt;=250),0.12,0)+IF(AND(V1357&gt;=40,V1357&lt;75,W1357&lt;35),0.3,0)+IF(AND(V1357&gt;=40,V1357&lt;75,W1357&gt;=35,W1357&lt;75),0.23,0)+IF(AND(V1357&gt;=40,V1357&lt;75,W1357&gt;=75,W1357&lt;120),0.17,0)+IF(AND(V1357&gt;=40,V1357&lt;75,W1357&gt;=120),0.12,0)+IF(AND(V1357&gt;=75,V1357&lt;175,W1357&lt;35),0.3,0)+IF(AND(V1357&gt;=75,V1357&lt;=175,W1357&gt;=35,W1357&lt;65),0.23,0)+IF(AND(V1357&gt;=75,V1357&lt;=175,W1357&gt;=65,W1357&lt;110),0.17,0)+IF(AND(V1357&gt;=75,V1357&lt;=175,W1357&gt;=110),0.12,0)+IF(AND(V1357&gt;175,W1357&lt;25),0.3,0)+IF(AND(V1357&gt;175,W1357&gt;=25,W1357&lt;55),0.23,0)+IF(AND(V1357&gt;175,W1357&gt;=55,W1357&lt;95),0.17,0)+IF(AND(V1357&gt;175,W1357&gt;=95),0.12,0),
IF(AF1357="DoEVni",IF(AND(V1357&lt;20,W1357&lt;55),0.3,0)+IF(AND(V1357&lt;20,W1357&gt;=55,W1357&lt;105),0.23,0)+IF(AND(V1357&lt;20,W1357&gt;=105),0.17,0)+IF(AND(V1357&gt;=20,V1357&lt;40,W1357&lt;45),0.3,0)+IF(AND(V1357&gt;=20,V1357&lt;40,W1357&gt;=45,W1357&lt;95),0.23,0)+IF(AND(V1357&gt;=20,V1357&lt;40,W1357&gt;=95,W1357&lt;=200),0.17,0)+IF(AND(V1357&gt;=20,V1357&lt;40,W1357&gt;=200),0.12,0)+IF(AND(V1357&gt;=40,V1357&lt;75,W1357&lt;35),0.3,0)+IF(AND(V1357&gt;=40,V1357&lt;75,W1357&gt;=35,W1357&lt;75),0.23,0)+IF(AND(V1357&gt;=40,V1357&lt;75,W1357&gt;=75,W1357&lt;120),0.17,0)+IF(AND(V1357&gt;=40,V1357&lt;75,W1357&gt;=120),0.12,0)+IF(AND(V1357&gt;=75,V1357&lt;175,W1357&lt;35),0.3,0)+IF(AND(V1357&gt;=75,V1357&lt;=175,W1357&gt;=35,W1357&lt;65),0.23,0)+IF(AND(V1357&gt;=75,V1357&lt;=175,W1357&gt;=65,W1357&lt;110),0.17,0)+IF(AND(V1357&gt;=75,V1357&lt;=175,W1357&gt;=110),0.12,0)+IF(AND(V1357&gt;175,W1357&lt;25),0.3,0)+IF(AND(V1357&gt;175,W1357&gt;=25,W1357&lt;55),0.23,0)+IF(AND(V1357&gt;175,W1357&gt;=55,W1357&lt;95),0.17,0)+IF(AND(V1357&gt;175,W1357&gt;=95),0.12,0),
IF(AF1357="DoEVLo",IF(AND(V1357&lt;20,W1357&lt;55),0.25,0)+IF(AND(V1357&lt;20,W1357&gt;=55,W1357&lt;105),0.2,0)+IF(AND(V1357&lt;20,W1357&gt;=105),0.15,0)+IF(AND(V1357&gt;=20,V1357&lt;40,W1357&lt;45),0.25,0)+IF(AND(V1357&gt;=20,V1357&lt;40,W1357&gt;=45,W1357&lt;95),0.2,0)+IF(AND(V1357&gt;=20,V1357&lt;40,W1357&gt;=95),0.15,0)+IF(AND(V1357&gt;=40,V1357&lt;75,W1357&lt;35),0.25,0)+IF(AND(V1357&gt;=40,V1357&lt;75,W1357&gt;=35,W1357&lt;75),0.2,0)+IF(AND(V1357&gt;=40,V1357&lt;75,W1357&gt;=75,W1357&lt;120),0.15,0)+IF(AND(V1357&gt;=40,V1357&lt;75,W1357&gt;=120),0.1,0)+IF(AND(V1357&gt;=75,V1357&lt;175,W1357&lt;35),0.25,0)+IF(AND(V1357&gt;=75,V1357&lt;=175,W1357&gt;=35,W1357&lt;65),0.2,0)+IF(AND(V1357&gt;=75,V1357&lt;=175,W1357&gt;=65,W1357&lt;110),0.15,0)+IF(AND(V1357&gt;=75,V1357&lt;=175,W1357&gt;=110),0.1,0)+IF(AND(V1357&gt;175,W1357&lt;25),0.25,0)+IF(AND(V1357&gt;175,W1357&gt;=25,W1357&lt;55),0.2,0)+IF(AND(V1357&gt;175,W1357&gt;=55,W1357&lt;95),0.15,0)+IF(AND(V1357&gt;175,W1357&gt;=95),0.1,0))))))))))))))))))</f>
        <v>0.1</v>
      </c>
      <c r="Y1357" s="30">
        <f>IF(AG1357="None",0,IF(AG1357="Fix5",0.05, IF(AG1357="Fix6.25",0.0625,IF(AG1357="Fix3.75",0.0375,IF(AG1357="Fix10",0.1,IF(AG1357="Fix3",0.03,0))))))</f>
        <v>0</v>
      </c>
      <c r="Z1357" s="35">
        <f>T1357-AA1357-AB1357</f>
        <v>-4986</v>
      </c>
      <c r="AA1357" s="29">
        <f>IF(AD1357="EUR",((T1357-R1357)*X1357)*U1357+(R1357*X1357),(T1357*X1357))</f>
        <v>-554</v>
      </c>
      <c r="AB1357" s="36">
        <f>IF(AD1357="EUR",((T1357-R1357)*Y1357)*U1357+(R1357*Y1357),(T1357*Y1357))</f>
        <v>0</v>
      </c>
      <c r="AC1357" s="37" t="b">
        <v>1</v>
      </c>
      <c r="AD1357" s="37" t="s">
        <v>38</v>
      </c>
      <c r="AE1357" s="37" t="s">
        <v>38</v>
      </c>
      <c r="AF1357" s="37" t="str">
        <f t="array" ref="AF1357">INDEX('Deal Info'!D:D, MATCH(A1357,'Deal Info'!A:A, 0))</f>
        <v>Fix10</v>
      </c>
      <c r="AG1357" s="38" t="str">
        <f t="array" ref="AG1357">INDEX('Deal Info'!G:G, MATCH(A1357,'Deal Info'!A:A, 0))</f>
        <v>None</v>
      </c>
    </row>
    <row r="1358" spans="1:33" ht="14.25" hidden="1" x14ac:dyDescent="0.2">
      <c r="A1358" s="18" t="str">
        <f t="array" ref="A1358">IF(G1358='Room Info'!$B$1, INDEX('Room Info'!$A$2:$A2446, MATCH(B1358,'Room Info'!$B$2:$B2446, 0)),IF(G1358='Room Info'!$C$1, INDEX('Room Info'!$A$2:$A2446, MATCH(B1358,'Room Info'!$C$2:$C2446, 0)),IF(G1358='Room Info'!$D$1, INDEX('Room Info'!$A$2:$A2446, MATCH(B1358,'Room Info'!$D$2:$D2446, 0)),IF(G1358='Room Info'!$E$1, INDEX('Room Info'!$A$2:$A2446, MATCH(B1358,'Room Info'!$E$2:$E2446, 0)),IF(G1358='Room Info'!$F$1, INDEX('Room Info'!$A$2:$A2446, MATCH(B1358,'Room Info'!$F$2:$F2446, 0)),IF(G1358='Room Info'!$H$1, INDEX('Room Info'!$A$2:$A2446, MATCH(B1358,'Room Info'!$H$2:$H2446, 0)),IF(G1358='Room Info'!$G$1, INDEX('Room Info'!$A$2:$A2446, MATCH(B1358,'Room Info'!$G$2:$G2446, 0)))))))))</f>
        <v>volkovsky</v>
      </c>
      <c r="B1358" s="45" t="s">
        <v>206</v>
      </c>
      <c r="C1358" s="77">
        <v>44855</v>
      </c>
      <c r="D1358" s="77">
        <v>44885</v>
      </c>
      <c r="E1358" s="47">
        <v>44866</v>
      </c>
      <c r="F1358" s="48" t="s">
        <v>34</v>
      </c>
      <c r="G1358" s="45" t="s">
        <v>35</v>
      </c>
      <c r="H1358" s="49" t="s">
        <v>148</v>
      </c>
      <c r="I1358" s="49" t="s">
        <v>44</v>
      </c>
      <c r="J1358" s="74">
        <v>250</v>
      </c>
      <c r="K1358" s="75">
        <v>166</v>
      </c>
      <c r="L1358" s="72">
        <v>-1500</v>
      </c>
      <c r="M1358" s="76">
        <v>510</v>
      </c>
      <c r="N1358" s="28">
        <f>K1358*J1358</f>
        <v>41500</v>
      </c>
      <c r="O1358" s="45">
        <v>105</v>
      </c>
      <c r="P1358" s="29">
        <v>0.63253012050000001</v>
      </c>
      <c r="Q1358" s="55"/>
      <c r="R1358" s="31">
        <f>M1358+Q1358</f>
        <v>510</v>
      </c>
      <c r="S1358" s="73">
        <v>-2122</v>
      </c>
      <c r="T1358" s="32">
        <f>R1358+S1358+IF(F1358="Without EV deal",L1358,0)</f>
        <v>-1612</v>
      </c>
      <c r="U1358" s="57"/>
      <c r="V1358" s="58"/>
      <c r="W1358" s="58"/>
      <c r="X1358" s="30">
        <f>IF(AF1358="DoEV",IF(AND(V1358&lt;20,W1358&lt;55),0.3,0)+IF(AND(V1358&lt;20,W1358&gt;=55,W1358&lt;105),0.23,0)+IF(AND(V1358&lt;20,W1358&gt;=105),0.17,0)+IF(AND(V1358&gt;=20,V1358&lt;40,W1358&lt;45),0.3,0)+IF(AND(V1358&gt;=20,V1358&lt;40,W1358&gt;=45,W1358&lt;95),0.23,0)+IF(AND(V1358&gt;=20,V1358&lt;40,W1358&gt;=95),0.17,0)+IF(AND(V1358&gt;=40,V1358&lt;75,W1358&lt;35),0.3,0)+IF(AND(V1358&gt;=40,V1358&lt;75,W1358&gt;=35,W1358&lt;75),0.23,0)+IF(AND(V1358&gt;=40,V1358&lt;75,W1358&gt;=75,W1358&lt;120),0.17,0)+IF(AND(V1358&gt;=40,V1358&lt;75,W1358&gt;=120),0.12,0)+IF(AND(V1358&gt;=75,V1358&lt;175,W1358&lt;35),0.3,0)+IF(AND(V1358&gt;=75,V1358&lt;=175,W1358&gt;=35,W1358&lt;65),0.23,0)+IF(AND(V1358&gt;=75,V1358&lt;=175,W1358&gt;=65,W1358&lt;110),0.17,0)+IF(AND(V1358&gt;=75,V1358&lt;=175,W1358&gt;=110),0.12,0)+IF(AND(V1358&gt;175,W1358&lt;25),0.3,0)+IF(AND(V1358&gt;175,W1358&gt;=25,W1358&lt;55),0.23,0)+IF(AND(V1358&gt;175,W1358&gt;=55,W1358&lt;95),0.17,0)+IF(AND(V1358&gt;175,W1358&gt;=95),0.12,0),
IF(AF1358="Fix15",0.15,
IF(AF1358="Fix18.75",0.1875,
IF(AF1358="Fix11.25",0.1125,
IF(AF1358="Fix10",0.1,
IF(AF1358="Fix9",0.09,
IF(AF1358="Fix19",0.19,
IF(AF1358="DoEV2017",IF(AND(W1358&lt;74),0.2,0)+IF(AND(W1358&gt;=74),0.17,0),
IF(AF1358="SF",IF(AND(V1358&lt;20,W1358&lt;89),0.3,0)+IF(AND(V1358&lt;20,W1358&gt;=89),0.25,0)+IF(AND(V1358&gt;=20,V1358&lt;40,W1358&lt;74),0.3,0)+IF(AND(V1358&gt;=20,V1358&lt;40,W1358&gt;=75),0.22,0)+IF(AND(V1358&gt;=40,V1358&lt;75,W1358&lt;75),0.26,0)+IF(AND(V1358&gt;=40,V1358&lt;75,W1358&gt;=75),0.22,0)+IF(V1358&gt;=75,0.22,0),
IF(AF1358="DoEVold",IF(AND(V1358&lt;40,W1358&lt;35),0.35,0)+IF(AND(V1358&lt;40,W1358&gt;=35,W1358&lt;75),0.25,0)+IF(AND(V1358&lt;40,W1358&gt;=75),0.17,0)+IF(AND(V1358&gt;=40,V1358&lt;75,W1358&lt;25),0.35,0)+IF(AND(V1358&gt;=40,V1358&lt;75,W1358&gt;=25,W1358&lt;65),0.25,0)+IF(AND(V1358&gt;=40,V1358&lt;75,W1358&gt;=65,W1358&lt;100),0.17,0)+IF(AND(V1358&gt;=40,V1358&lt;75,W1358&gt;=100),0.1,0)+IF(AND(V1358&gt;=75,W1358&lt;25),0.35,0)+IF(AND(V1358&gt;=75,W1358&gt;=25,W1358&lt;60),0.25,0)+IF(AND(V1358&gt;=75,W1358&gt;=60,W1358&lt;95),0.17,0)+IF(AND(V1358&gt;=75,W1358&gt;=95),0.1,0),
IF(AF1358="DoEVold15",IF(AND(V1358&lt;=40,W1358&lt;35),0.35,0)+IF(AND(V1358&lt;=40,W1358&gt;=35,W1358&lt;75),0.25,0)+IF(AND(V1358&lt;=40,W1358&gt;=75,W1358&lt;120),0.17,0)+IF(AND(V1358&lt;=40,W1358&gt;=120),0.15,0)+IF(AND(V1358&gt;40,V1358&lt;75,W1358&lt;25),0.35,0)+IF(AND(V1358&gt;=40,V1358&lt;75,W1358&gt;=25,W1358&lt;65),0.25,0)+IF(AND(V1358&gt;=40,V1358&lt;75,W1358&gt;=65,W1358&lt;100),0.17,0)+IF(AND(V1358&gt;=40,V1358&lt;75,W1358&gt;=100),0.1,0)+IF(AND(V1358&gt;=75,W1358&lt;25),0.35,0)+IF(AND(V1358&gt;=75,W1358&gt;=25,W1358&lt;60),0.25,0)+IF(AND(V1358&gt;=75,W1358&gt;=60,W1358&lt;95),0.17,0)+IF(AND(V1358&gt;=75,W1358&gt;=95),0.1,0),
IF(AF1358="DoEVba",IF(AND(V1358&lt;20,W1358&lt;105),0.2,0)+IF(AND(V1358&lt;20,W1358&gt;=105),0.15,0)+IF(AND(V1358&gt;=20,V1358&lt;40,W1358&lt;95),0.2,0)+IF(AND(V1358&gt;=20,V1358&lt;40,W1358&gt;=95,W1358&lt;150),0.15,0)+IF(AND(V1358&gt;=20,V1358&lt;40,W1358&gt;=150),0.12,0)+IF(AND(V1358&gt;=40,V1358&lt;75,W1358&lt;75),0.2,0)+IF(AND(V1358&gt;=40,V1358&lt;75,W1358&gt;=75,W1358&lt;120),0.15,0)+IF(AND(V1358&gt;=40,V1358&lt;75,W1358&gt;=120),0.12,0)+IF(AND(V1358&gt;=75,V1358&lt;175,W1358&lt;65),0.2,0)+IF(AND(V1358&gt;=75,V1358&lt;175,W1358&gt;=65,W1358&lt;110),0.15,0)+IF(AND(V1358&gt;=75,V1358&lt;175,W1358&gt;=110),0.12,0)+IF(AND(V1358&gt;=175,W1358&lt;55),0.2,0)+IF(AND(V1358&gt;=175,W1358&gt;=55,W1358&lt;95),0.15,0)+IF(AND(V1358&gt;=175,W1358&gt;=95),0.12,0),
IF(AF1358="DoEVku",IF(AND(V1358&lt;20,W1358&lt;55),0.23,0)+IF(AND(V1358&lt;20,W1358&gt;=55,W1358&lt;105),0.2,0)+IF(AND(V1358&lt;20,W1358&gt;=105),0.17,0)+IF(AND(V1358&gt;=20,V1358&lt;40,W1358&lt;45),0.23,0)+IF(AND(V1358&gt;=20,V1358&lt;40,W1358&gt;=45,W1358&lt;95),0.2,0)+IF(AND(V1358&gt;=20,V1358&lt;40,W1358&gt;=95,W1358&lt;=150),0.17,0)+IF(AND(V1358&gt;=20,V1358&lt;40,W1358&gt;=150),0.12,0)+IF(AND(V1358&gt;=40,V1358&lt;75,W1358&lt;35),0.23,0)+IF(AND(V1358&gt;=40,V1358&lt;75,W1358&gt;=35,W1358&lt;75),0.2,0)+IF(AND(V1358&gt;=40,V1358&lt;75,W1358&gt;=75,W1358&lt;120),0.17,0)+IF(AND(V1358&gt;=40,V1358&lt;75,W1358&gt;=120),0.12,0)+IF(AND(V1358&gt;=75,V1358&lt;175,W1358&lt;35),0.23,0)+IF(AND(V1358&gt;=75,V1358&lt;=175,W1358&gt;=35,W1358&lt;65),0.2,0)+IF(AND(V1358&gt;=75,V1358&lt;=175,W1358&gt;=65,W1358&lt;110),0.17,0)+IF(AND(V1358&gt;=75,V1358&lt;=175,W1358&gt;=110),0.12,0)+IF(AND(V1358&gt;175,W1358&lt;25),0.23,0)+IF(AND(V1358&gt;175,W1358&gt;=25,W1358&lt;55),0.2,0)+IF(AND(V1358&gt;175,W1358&gt;=55,W1358&lt;95),0.17,0)+IF(AND(V1358&gt;175,W1358&gt;=95),0.12,0),
IF(AF1358="DoEVs1",IF(AND(V1358&lt;20,W1358&lt;55),0.3,0)+IF(AND(V1358&lt;20,W1358&gt;=55,W1358&lt;105),0.23,0)+IF(AND(V1358&lt;20,W1358&gt;=105),0.17,0)+IF(AND(V1358&gt;=20,V1358&lt;40,W1358&lt;45),0.3,0)+IF(AND(V1358&gt;=20,V1358&lt;40,W1358&gt;=45,W1358&lt;95),0.23,0)+IF(AND(V1358&gt;=20,V1358&lt;40,W1358&gt;=95,W1358&lt;=150),0.17,0)+IF(AND(V1358&gt;=20,V1358&lt;40,W1358&gt;=150),0.12,0)+IF(AND(V1358&gt;=40,V1358&lt;75,W1358&lt;35),0.3,0)+IF(AND(V1358&gt;=40,V1358&lt;75,W1358&gt;=35,W1358&lt;75),0.23,0)+IF(AND(V1358&gt;=40,V1358&lt;75,W1358&gt;=75,W1358&lt;120),0.17,0)+IF(AND(V1358&gt;=40,V1358&lt;75,W1358&gt;=120),0.12,0)+IF(AND(V1358&gt;=75,V1358&lt;175,W1358&lt;35),0.3,0)+IF(AND(V1358&gt;=75,V1358&lt;=175,W1358&gt;=35,W1358&lt;65),0.23,0)+IF(AND(V1358&gt;=75,V1358&lt;=175,W1358&gt;=65,W1358&lt;110),0.17,0)+IF(AND(V1358&gt;=75,V1358&lt;=175,W1358&gt;=110),0.12,0)+IF(AND(V1358&gt;175,W1358&lt;25),0.3,0)+IF(AND(V1358&gt;175,W1358&gt;=25,W1358&lt;55),0.23,0)+IF(AND(V1358&gt;175,W1358&gt;=55,W1358&lt;95),0.17,0)+IF(AND(V1358&gt;175,W1358&gt;=95),0.12,0),
IF(AF1358="DoEVsu",IF(AND(V1358&lt;20,W1358&lt;55),0.3,0)+IF(AND(V1358&lt;20,W1358&gt;=55,W1358&lt;105),0.23,0)+IF(AND(V1358&lt;20,W1358&gt;=105),0.17,0)+IF(AND(V1358&gt;=20,V1358&lt;40,W1358&lt;45),0.3,0)+IF(AND(V1358&gt;=20,V1358&lt;40,W1358&gt;=45,W1358&lt;95),0.23,0)+IF(AND(V1358&gt;=20,V1358&lt;40,W1358&gt;=95,W1358&lt;=250),0.17,0)+IF(AND(V1358&gt;=20,V1358&lt;40,W1358&gt;=250),0.12,0)+IF(AND(V1358&gt;=40,V1358&lt;75,W1358&lt;35),0.3,0)+IF(AND(V1358&gt;=40,V1358&lt;75,W1358&gt;=35,W1358&lt;75),0.23,0)+IF(AND(V1358&gt;=40,V1358&lt;75,W1358&gt;=75,W1358&lt;120),0.17,0)+IF(AND(V1358&gt;=40,V1358&lt;75,W1358&gt;=120),0.12,0)+IF(AND(V1358&gt;=75,V1358&lt;175,W1358&lt;35),0.3,0)+IF(AND(V1358&gt;=75,V1358&lt;=175,W1358&gt;=35,W1358&lt;65),0.23,0)+IF(AND(V1358&gt;=75,V1358&lt;=175,W1358&gt;=65,W1358&lt;110),0.17,0)+IF(AND(V1358&gt;=75,V1358&lt;=175,W1358&gt;=110),0.12,0)+IF(AND(V1358&gt;175,W1358&lt;25),0.3,0)+IF(AND(V1358&gt;175,W1358&gt;=25,W1358&lt;55),0.23,0)+IF(AND(V1358&gt;175,W1358&gt;=55,W1358&lt;95),0.17,0)+IF(AND(V1358&gt;175,W1358&gt;=95),0.12,0),
IF(AF1358="DoEVni",IF(AND(V1358&lt;20,W1358&lt;55),0.3,0)+IF(AND(V1358&lt;20,W1358&gt;=55,W1358&lt;105),0.23,0)+IF(AND(V1358&lt;20,W1358&gt;=105),0.17,0)+IF(AND(V1358&gt;=20,V1358&lt;40,W1358&lt;45),0.3,0)+IF(AND(V1358&gt;=20,V1358&lt;40,W1358&gt;=45,W1358&lt;95),0.23,0)+IF(AND(V1358&gt;=20,V1358&lt;40,W1358&gt;=95,W1358&lt;=200),0.17,0)+IF(AND(V1358&gt;=20,V1358&lt;40,W1358&gt;=200),0.12,0)+IF(AND(V1358&gt;=40,V1358&lt;75,W1358&lt;35),0.3,0)+IF(AND(V1358&gt;=40,V1358&lt;75,W1358&gt;=35,W1358&lt;75),0.23,0)+IF(AND(V1358&gt;=40,V1358&lt;75,W1358&gt;=75,W1358&lt;120),0.17,0)+IF(AND(V1358&gt;=40,V1358&lt;75,W1358&gt;=120),0.12,0)+IF(AND(V1358&gt;=75,V1358&lt;175,W1358&lt;35),0.3,0)+IF(AND(V1358&gt;=75,V1358&lt;=175,W1358&gt;=35,W1358&lt;65),0.23,0)+IF(AND(V1358&gt;=75,V1358&lt;=175,W1358&gt;=65,W1358&lt;110),0.17,0)+IF(AND(V1358&gt;=75,V1358&lt;=175,W1358&gt;=110),0.12,0)+IF(AND(V1358&gt;175,W1358&lt;25),0.3,0)+IF(AND(V1358&gt;175,W1358&gt;=25,W1358&lt;55),0.23,0)+IF(AND(V1358&gt;175,W1358&gt;=55,W1358&lt;95),0.17,0)+IF(AND(V1358&gt;175,W1358&gt;=95),0.12,0),
IF(AF1358="DoEVLo",IF(AND(V1358&lt;20,W1358&lt;55),0.25,0)+IF(AND(V1358&lt;20,W1358&gt;=55,W1358&lt;105),0.2,0)+IF(AND(V1358&lt;20,W1358&gt;=105),0.15,0)+IF(AND(V1358&gt;=20,V1358&lt;40,W1358&lt;45),0.25,0)+IF(AND(V1358&gt;=20,V1358&lt;40,W1358&gt;=45,W1358&lt;95),0.2,0)+IF(AND(V1358&gt;=20,V1358&lt;40,W1358&gt;=95),0.15,0)+IF(AND(V1358&gt;=40,V1358&lt;75,W1358&lt;35),0.25,0)+IF(AND(V1358&gt;=40,V1358&lt;75,W1358&gt;=35,W1358&lt;75),0.2,0)+IF(AND(V1358&gt;=40,V1358&lt;75,W1358&gt;=75,W1358&lt;120),0.15,0)+IF(AND(V1358&gt;=40,V1358&lt;75,W1358&gt;=120),0.1,0)+IF(AND(V1358&gt;=75,V1358&lt;175,W1358&lt;35),0.25,0)+IF(AND(V1358&gt;=75,V1358&lt;=175,W1358&gt;=35,W1358&lt;65),0.2,0)+IF(AND(V1358&gt;=75,V1358&lt;=175,W1358&gt;=65,W1358&lt;110),0.15,0)+IF(AND(V1358&gt;=75,V1358&lt;=175,W1358&gt;=110),0.1,0)+IF(AND(V1358&gt;175,W1358&lt;25),0.25,0)+IF(AND(V1358&gt;175,W1358&gt;=25,W1358&lt;55),0.2,0)+IF(AND(V1358&gt;175,W1358&gt;=55,W1358&lt;95),0.15,0)+IF(AND(V1358&gt;175,W1358&gt;=95),0.1,0))))))))))))))))))</f>
        <v>0.1</v>
      </c>
      <c r="Y1358" s="30">
        <f>IF(AG1358="None",0,IF(AG1358="Fix5",0.05, IF(AG1358="Fix6.25",0.0625,IF(AG1358="Fix3.75",0.0375,IF(AG1358="Fix10",0.1,IF(AG1358="Fix3",0.03,0))))))</f>
        <v>0</v>
      </c>
      <c r="Z1358" s="35">
        <f>T1358-AA1358-AB1358</f>
        <v>-1450.8</v>
      </c>
      <c r="AA1358" s="29">
        <f>IF(AD1358="EUR",((T1358-R1358)*X1358)*U1358+(R1358*X1358),(T1358*X1358))</f>
        <v>-161.20000000000002</v>
      </c>
      <c r="AB1358" s="36">
        <f>IF(AD1358="EUR",((T1358-R1358)*Y1358)*U1358+(R1358*Y1358),(T1358*Y1358))</f>
        <v>0</v>
      </c>
      <c r="AC1358" s="37" t="b">
        <v>1</v>
      </c>
      <c r="AD1358" s="37" t="s">
        <v>38</v>
      </c>
      <c r="AE1358" s="37" t="s">
        <v>38</v>
      </c>
      <c r="AF1358" s="37" t="str">
        <f t="array" ref="AF1358">INDEX('Deal Info'!D:D, MATCH(A1358,'Deal Info'!A:A, 0))</f>
        <v>Fix10</v>
      </c>
      <c r="AG1358" s="38" t="str">
        <f t="array" ref="AG1358">INDEX('Deal Info'!G:G, MATCH(A1358,'Deal Info'!A:A, 0))</f>
        <v>None</v>
      </c>
    </row>
    <row r="1359" spans="1:33" ht="14.25" hidden="1" x14ac:dyDescent="0.2">
      <c r="A1359" s="18" t="str">
        <f t="array" ref="A1359">IF(G1359='Room Info'!$B$1, INDEX('Room Info'!$A$2:$A2446, MATCH(B1359,'Room Info'!$B$2:$B2446, 0)),IF(G1359='Room Info'!$C$1, INDEX('Room Info'!$A$2:$A2446, MATCH(B1359,'Room Info'!$C$2:$C2446, 0)),IF(G1359='Room Info'!$D$1, INDEX('Room Info'!$A$2:$A2446, MATCH(B1359,'Room Info'!$D$2:$D2446, 0)),IF(G1359='Room Info'!$E$1, INDEX('Room Info'!$A$2:$A2446, MATCH(B1359,'Room Info'!$E$2:$E2446, 0)),IF(G1359='Room Info'!$F$1, INDEX('Room Info'!$A$2:$A2446, MATCH(B1359,'Room Info'!$F$2:$F2446, 0)),IF(G1359='Room Info'!$H$1, INDEX('Room Info'!$A$2:$A2446, MATCH(B1359,'Room Info'!$H$2:$H2446, 0)),IF(G1359='Room Info'!$G$1, INDEX('Room Info'!$A$2:$A2446, MATCH(B1359,'Room Info'!$G$2:$G2446, 0)))))))))</f>
        <v>volkovsky</v>
      </c>
      <c r="B1359" s="45" t="s">
        <v>206</v>
      </c>
      <c r="C1359" s="77">
        <v>44886</v>
      </c>
      <c r="D1359" s="77">
        <v>44915</v>
      </c>
      <c r="E1359" s="47">
        <v>44896</v>
      </c>
      <c r="F1359" s="48" t="s">
        <v>34</v>
      </c>
      <c r="G1359" s="45" t="s">
        <v>35</v>
      </c>
      <c r="H1359" s="91" t="s">
        <v>72</v>
      </c>
      <c r="I1359" s="49" t="s">
        <v>37</v>
      </c>
      <c r="J1359" s="74">
        <v>50</v>
      </c>
      <c r="K1359" s="75">
        <v>1</v>
      </c>
      <c r="L1359" s="72">
        <v>50</v>
      </c>
      <c r="M1359" s="76">
        <v>3</v>
      </c>
      <c r="N1359" s="28">
        <f>K1359*J1359</f>
        <v>50</v>
      </c>
      <c r="O1359" s="45">
        <v>335</v>
      </c>
      <c r="P1359" s="29">
        <v>335</v>
      </c>
      <c r="Q1359" s="55"/>
      <c r="R1359" s="31">
        <f>M1359+Q1359</f>
        <v>3</v>
      </c>
      <c r="S1359" s="73">
        <v>27</v>
      </c>
      <c r="T1359" s="32">
        <f>R1359+S1359+IF(F1359="Without EV deal",L1359,0)</f>
        <v>30</v>
      </c>
      <c r="U1359" s="57"/>
      <c r="V1359" s="58"/>
      <c r="W1359" s="58"/>
      <c r="X1359" s="30">
        <f>IF(AF1359="DoEV",IF(AND(V1359&lt;20,W1359&lt;55),0.3,0)+IF(AND(V1359&lt;20,W1359&gt;=55,W1359&lt;105),0.23,0)+IF(AND(V1359&lt;20,W1359&gt;=105),0.17,0)+IF(AND(V1359&gt;=20,V1359&lt;40,W1359&lt;45),0.3,0)+IF(AND(V1359&gt;=20,V1359&lt;40,W1359&gt;=45,W1359&lt;95),0.23,0)+IF(AND(V1359&gt;=20,V1359&lt;40,W1359&gt;=95),0.17,0)+IF(AND(V1359&gt;=40,V1359&lt;75,W1359&lt;35),0.3,0)+IF(AND(V1359&gt;=40,V1359&lt;75,W1359&gt;=35,W1359&lt;75),0.23,0)+IF(AND(V1359&gt;=40,V1359&lt;75,W1359&gt;=75,W1359&lt;120),0.17,0)+IF(AND(V1359&gt;=40,V1359&lt;75,W1359&gt;=120),0.12,0)+IF(AND(V1359&gt;=75,V1359&lt;175,W1359&lt;35),0.3,0)+IF(AND(V1359&gt;=75,V1359&lt;=175,W1359&gt;=35,W1359&lt;65),0.23,0)+IF(AND(V1359&gt;=75,V1359&lt;=175,W1359&gt;=65,W1359&lt;110),0.17,0)+IF(AND(V1359&gt;=75,V1359&lt;=175,W1359&gt;=110),0.12,0)+IF(AND(V1359&gt;175,W1359&lt;25),0.3,0)+IF(AND(V1359&gt;175,W1359&gt;=25,W1359&lt;55),0.23,0)+IF(AND(V1359&gt;175,W1359&gt;=55,W1359&lt;95),0.17,0)+IF(AND(V1359&gt;175,W1359&gt;=95),0.12,0),
IF(AF1359="Fix15",0.15,
IF(AF1359="Fix18.75",0.1875,
IF(AF1359="Fix11.25",0.1125,
IF(AF1359="Fix10",0.1,
IF(AF1359="Fix9",0.09,
IF(AF1359="Fix19",0.19,
IF(AF1359="DoEV2017",IF(AND(W1359&lt;74),0.2,0)+IF(AND(W1359&gt;=74),0.17,0),
IF(AF1359="SF",IF(AND(V1359&lt;20,W1359&lt;89),0.3,0)+IF(AND(V1359&lt;20,W1359&gt;=89),0.25,0)+IF(AND(V1359&gt;=20,V1359&lt;40,W1359&lt;74),0.3,0)+IF(AND(V1359&gt;=20,V1359&lt;40,W1359&gt;=75),0.22,0)+IF(AND(V1359&gt;=40,V1359&lt;75,W1359&lt;75),0.26,0)+IF(AND(V1359&gt;=40,V1359&lt;75,W1359&gt;=75),0.22,0)+IF(V1359&gt;=75,0.22,0),
IF(AF1359="DoEVold",IF(AND(V1359&lt;40,W1359&lt;35),0.35,0)+IF(AND(V1359&lt;40,W1359&gt;=35,W1359&lt;75),0.25,0)+IF(AND(V1359&lt;40,W1359&gt;=75),0.17,0)+IF(AND(V1359&gt;=40,V1359&lt;75,W1359&lt;25),0.35,0)+IF(AND(V1359&gt;=40,V1359&lt;75,W1359&gt;=25,W1359&lt;65),0.25,0)+IF(AND(V1359&gt;=40,V1359&lt;75,W1359&gt;=65,W1359&lt;100),0.17,0)+IF(AND(V1359&gt;=40,V1359&lt;75,W1359&gt;=100),0.1,0)+IF(AND(V1359&gt;=75,W1359&lt;25),0.35,0)+IF(AND(V1359&gt;=75,W1359&gt;=25,W1359&lt;60),0.25,0)+IF(AND(V1359&gt;=75,W1359&gt;=60,W1359&lt;95),0.17,0)+IF(AND(V1359&gt;=75,W1359&gt;=95),0.1,0),
IF(AF1359="DoEVold15",IF(AND(V1359&lt;=40,W1359&lt;35),0.35,0)+IF(AND(V1359&lt;=40,W1359&gt;=35,W1359&lt;75),0.25,0)+IF(AND(V1359&lt;=40,W1359&gt;=75,W1359&lt;120),0.17,0)+IF(AND(V1359&lt;=40,W1359&gt;=120),0.15,0)+IF(AND(V1359&gt;40,V1359&lt;75,W1359&lt;25),0.35,0)+IF(AND(V1359&gt;=40,V1359&lt;75,W1359&gt;=25,W1359&lt;65),0.25,0)+IF(AND(V1359&gt;=40,V1359&lt;75,W1359&gt;=65,W1359&lt;100),0.17,0)+IF(AND(V1359&gt;=40,V1359&lt;75,W1359&gt;=100),0.1,0)+IF(AND(V1359&gt;=75,W1359&lt;25),0.35,0)+IF(AND(V1359&gt;=75,W1359&gt;=25,W1359&lt;60),0.25,0)+IF(AND(V1359&gt;=75,W1359&gt;=60,W1359&lt;95),0.17,0)+IF(AND(V1359&gt;=75,W1359&gt;=95),0.1,0),
IF(AF1359="DoEVba",IF(AND(V1359&lt;20,W1359&lt;105),0.2,0)+IF(AND(V1359&lt;20,W1359&gt;=105),0.15,0)+IF(AND(V1359&gt;=20,V1359&lt;40,W1359&lt;95),0.2,0)+IF(AND(V1359&gt;=20,V1359&lt;40,W1359&gt;=95,W1359&lt;150),0.15,0)+IF(AND(V1359&gt;=20,V1359&lt;40,W1359&gt;=150),0.12,0)+IF(AND(V1359&gt;=40,V1359&lt;75,W1359&lt;75),0.2,0)+IF(AND(V1359&gt;=40,V1359&lt;75,W1359&gt;=75,W1359&lt;120),0.15,0)+IF(AND(V1359&gt;=40,V1359&lt;75,W1359&gt;=120),0.12,0)+IF(AND(V1359&gt;=75,V1359&lt;175,W1359&lt;65),0.2,0)+IF(AND(V1359&gt;=75,V1359&lt;175,W1359&gt;=65,W1359&lt;110),0.15,0)+IF(AND(V1359&gt;=75,V1359&lt;175,W1359&gt;=110),0.12,0)+IF(AND(V1359&gt;=175,W1359&lt;55),0.2,0)+IF(AND(V1359&gt;=175,W1359&gt;=55,W1359&lt;95),0.15,0)+IF(AND(V1359&gt;=175,W1359&gt;=95),0.12,0),
IF(AF1359="DoEVku",IF(AND(V1359&lt;20,W1359&lt;55),0.23,0)+IF(AND(V1359&lt;20,W1359&gt;=55,W1359&lt;105),0.2,0)+IF(AND(V1359&lt;20,W1359&gt;=105),0.17,0)+IF(AND(V1359&gt;=20,V1359&lt;40,W1359&lt;45),0.23,0)+IF(AND(V1359&gt;=20,V1359&lt;40,W1359&gt;=45,W1359&lt;95),0.2,0)+IF(AND(V1359&gt;=20,V1359&lt;40,W1359&gt;=95,W1359&lt;=150),0.17,0)+IF(AND(V1359&gt;=20,V1359&lt;40,W1359&gt;=150),0.12,0)+IF(AND(V1359&gt;=40,V1359&lt;75,W1359&lt;35),0.23,0)+IF(AND(V1359&gt;=40,V1359&lt;75,W1359&gt;=35,W1359&lt;75),0.2,0)+IF(AND(V1359&gt;=40,V1359&lt;75,W1359&gt;=75,W1359&lt;120),0.17,0)+IF(AND(V1359&gt;=40,V1359&lt;75,W1359&gt;=120),0.12,0)+IF(AND(V1359&gt;=75,V1359&lt;175,W1359&lt;35),0.23,0)+IF(AND(V1359&gt;=75,V1359&lt;=175,W1359&gt;=35,W1359&lt;65),0.2,0)+IF(AND(V1359&gt;=75,V1359&lt;=175,W1359&gt;=65,W1359&lt;110),0.17,0)+IF(AND(V1359&gt;=75,V1359&lt;=175,W1359&gt;=110),0.12,0)+IF(AND(V1359&gt;175,W1359&lt;25),0.23,0)+IF(AND(V1359&gt;175,W1359&gt;=25,W1359&lt;55),0.2,0)+IF(AND(V1359&gt;175,W1359&gt;=55,W1359&lt;95),0.17,0)+IF(AND(V1359&gt;175,W1359&gt;=95),0.12,0),
IF(AF1359="DoEVs1",IF(AND(V1359&lt;20,W1359&lt;55),0.3,0)+IF(AND(V1359&lt;20,W1359&gt;=55,W1359&lt;105),0.23,0)+IF(AND(V1359&lt;20,W1359&gt;=105),0.17,0)+IF(AND(V1359&gt;=20,V1359&lt;40,W1359&lt;45),0.3,0)+IF(AND(V1359&gt;=20,V1359&lt;40,W1359&gt;=45,W1359&lt;95),0.23,0)+IF(AND(V1359&gt;=20,V1359&lt;40,W1359&gt;=95,W1359&lt;=150),0.17,0)+IF(AND(V1359&gt;=20,V1359&lt;40,W1359&gt;=150),0.12,0)+IF(AND(V1359&gt;=40,V1359&lt;75,W1359&lt;35),0.3,0)+IF(AND(V1359&gt;=40,V1359&lt;75,W1359&gt;=35,W1359&lt;75),0.23,0)+IF(AND(V1359&gt;=40,V1359&lt;75,W1359&gt;=75,W1359&lt;120),0.17,0)+IF(AND(V1359&gt;=40,V1359&lt;75,W1359&gt;=120),0.12,0)+IF(AND(V1359&gt;=75,V1359&lt;175,W1359&lt;35),0.3,0)+IF(AND(V1359&gt;=75,V1359&lt;=175,W1359&gt;=35,W1359&lt;65),0.23,0)+IF(AND(V1359&gt;=75,V1359&lt;=175,W1359&gt;=65,W1359&lt;110),0.17,0)+IF(AND(V1359&gt;=75,V1359&lt;=175,W1359&gt;=110),0.12,0)+IF(AND(V1359&gt;175,W1359&lt;25),0.3,0)+IF(AND(V1359&gt;175,W1359&gt;=25,W1359&lt;55),0.23,0)+IF(AND(V1359&gt;175,W1359&gt;=55,W1359&lt;95),0.17,0)+IF(AND(V1359&gt;175,W1359&gt;=95),0.12,0),
IF(AF1359="DoEVsu",IF(AND(V1359&lt;20,W1359&lt;55),0.3,0)+IF(AND(V1359&lt;20,W1359&gt;=55,W1359&lt;105),0.23,0)+IF(AND(V1359&lt;20,W1359&gt;=105),0.17,0)+IF(AND(V1359&gt;=20,V1359&lt;40,W1359&lt;45),0.3,0)+IF(AND(V1359&gt;=20,V1359&lt;40,W1359&gt;=45,W1359&lt;95),0.23,0)+IF(AND(V1359&gt;=20,V1359&lt;40,W1359&gt;=95,W1359&lt;=250),0.17,0)+IF(AND(V1359&gt;=20,V1359&lt;40,W1359&gt;=250),0.12,0)+IF(AND(V1359&gt;=40,V1359&lt;75,W1359&lt;35),0.3,0)+IF(AND(V1359&gt;=40,V1359&lt;75,W1359&gt;=35,W1359&lt;75),0.23,0)+IF(AND(V1359&gt;=40,V1359&lt;75,W1359&gt;=75,W1359&lt;120),0.17,0)+IF(AND(V1359&gt;=40,V1359&lt;75,W1359&gt;=120),0.12,0)+IF(AND(V1359&gt;=75,V1359&lt;175,W1359&lt;35),0.3,0)+IF(AND(V1359&gt;=75,V1359&lt;=175,W1359&gt;=35,W1359&lt;65),0.23,0)+IF(AND(V1359&gt;=75,V1359&lt;=175,W1359&gt;=65,W1359&lt;110),0.17,0)+IF(AND(V1359&gt;=75,V1359&lt;=175,W1359&gt;=110),0.12,0)+IF(AND(V1359&gt;175,W1359&lt;25),0.3,0)+IF(AND(V1359&gt;175,W1359&gt;=25,W1359&lt;55),0.23,0)+IF(AND(V1359&gt;175,W1359&gt;=55,W1359&lt;95),0.17,0)+IF(AND(V1359&gt;175,W1359&gt;=95),0.12,0),
IF(AF1359="DoEVni",IF(AND(V1359&lt;20,W1359&lt;55),0.3,0)+IF(AND(V1359&lt;20,W1359&gt;=55,W1359&lt;105),0.23,0)+IF(AND(V1359&lt;20,W1359&gt;=105),0.17,0)+IF(AND(V1359&gt;=20,V1359&lt;40,W1359&lt;45),0.3,0)+IF(AND(V1359&gt;=20,V1359&lt;40,W1359&gt;=45,W1359&lt;95),0.23,0)+IF(AND(V1359&gt;=20,V1359&lt;40,W1359&gt;=95,W1359&lt;=200),0.17,0)+IF(AND(V1359&gt;=20,V1359&lt;40,W1359&gt;=200),0.12,0)+IF(AND(V1359&gt;=40,V1359&lt;75,W1359&lt;35),0.3,0)+IF(AND(V1359&gt;=40,V1359&lt;75,W1359&gt;=35,W1359&lt;75),0.23,0)+IF(AND(V1359&gt;=40,V1359&lt;75,W1359&gt;=75,W1359&lt;120),0.17,0)+IF(AND(V1359&gt;=40,V1359&lt;75,W1359&gt;=120),0.12,0)+IF(AND(V1359&gt;=75,V1359&lt;175,W1359&lt;35),0.3,0)+IF(AND(V1359&gt;=75,V1359&lt;=175,W1359&gt;=35,W1359&lt;65),0.23,0)+IF(AND(V1359&gt;=75,V1359&lt;=175,W1359&gt;=65,W1359&lt;110),0.17,0)+IF(AND(V1359&gt;=75,V1359&lt;=175,W1359&gt;=110),0.12,0)+IF(AND(V1359&gt;175,W1359&lt;25),0.3,0)+IF(AND(V1359&gt;175,W1359&gt;=25,W1359&lt;55),0.23,0)+IF(AND(V1359&gt;175,W1359&gt;=55,W1359&lt;95),0.17,0)+IF(AND(V1359&gt;175,W1359&gt;=95),0.12,0),
IF(AF1359="DoEVLo",IF(AND(V1359&lt;20,W1359&lt;55),0.25,0)+IF(AND(V1359&lt;20,W1359&gt;=55,W1359&lt;105),0.2,0)+IF(AND(V1359&lt;20,W1359&gt;=105),0.15,0)+IF(AND(V1359&gt;=20,V1359&lt;40,W1359&lt;45),0.25,0)+IF(AND(V1359&gt;=20,V1359&lt;40,W1359&gt;=45,W1359&lt;95),0.2,0)+IF(AND(V1359&gt;=20,V1359&lt;40,W1359&gt;=95),0.15,0)+IF(AND(V1359&gt;=40,V1359&lt;75,W1359&lt;35),0.25,0)+IF(AND(V1359&gt;=40,V1359&lt;75,W1359&gt;=35,W1359&lt;75),0.2,0)+IF(AND(V1359&gt;=40,V1359&lt;75,W1359&gt;=75,W1359&lt;120),0.15,0)+IF(AND(V1359&gt;=40,V1359&lt;75,W1359&gt;=120),0.1,0)+IF(AND(V1359&gt;=75,V1359&lt;175,W1359&lt;35),0.25,0)+IF(AND(V1359&gt;=75,V1359&lt;=175,W1359&gt;=35,W1359&lt;65),0.2,0)+IF(AND(V1359&gt;=75,V1359&lt;=175,W1359&gt;=65,W1359&lt;110),0.15,0)+IF(AND(V1359&gt;=75,V1359&lt;=175,W1359&gt;=110),0.1,0)+IF(AND(V1359&gt;175,W1359&lt;25),0.25,0)+IF(AND(V1359&gt;175,W1359&gt;=25,W1359&lt;55),0.2,0)+IF(AND(V1359&gt;175,W1359&gt;=55,W1359&lt;95),0.15,0)+IF(AND(V1359&gt;175,W1359&gt;=95),0.1,0))))))))))))))))))</f>
        <v>0.1</v>
      </c>
      <c r="Y1359" s="30">
        <f>IF(AG1359="None",0,IF(AG1359="Fix5",0.05, IF(AG1359="Fix6.25",0.0625,IF(AG1359="Fix3.75",0.0375,IF(AG1359="Fix10",0.1,IF(AG1359="Fix3",0.03,0))))))</f>
        <v>0</v>
      </c>
      <c r="Z1359" s="35">
        <f>T1359-AA1359-AB1359</f>
        <v>27</v>
      </c>
      <c r="AA1359" s="29">
        <f>IF(AD1359="EUR",((T1359-R1359)*X1359)*U1359+(R1359*X1359),(T1359*X1359))</f>
        <v>3</v>
      </c>
      <c r="AB1359" s="36">
        <f>IF(AD1359="EUR",((T1359-R1359)*Y1359)*U1359+(R1359*Y1359),(T1359*Y1359))</f>
        <v>0</v>
      </c>
      <c r="AC1359" s="37" t="b">
        <v>1</v>
      </c>
      <c r="AD1359" s="37" t="s">
        <v>38</v>
      </c>
      <c r="AE1359" s="37" t="s">
        <v>38</v>
      </c>
      <c r="AF1359" s="37" t="str">
        <f t="array" ref="AF1359">INDEX('Deal Info'!D:D, MATCH(A1359,'Deal Info'!A:A, 0))</f>
        <v>Fix10</v>
      </c>
      <c r="AG1359" s="38" t="str">
        <f t="array" ref="AG1359">INDEX('Deal Info'!G:G, MATCH(A1359,'Deal Info'!A:A, 0))</f>
        <v>None</v>
      </c>
    </row>
    <row r="1360" spans="1:33" ht="14.25" hidden="1" x14ac:dyDescent="0.2">
      <c r="A1360" s="18" t="str">
        <f t="array" ref="A1360">IF(G1360='Room Info'!$B$1, INDEX('Room Info'!$A$2:$A2446, MATCH(B1360,'Room Info'!$B$2:$B2446, 0)),IF(G1360='Room Info'!$C$1, INDEX('Room Info'!$A$2:$A2446, MATCH(B1360,'Room Info'!$C$2:$C2446, 0)),IF(G1360='Room Info'!$D$1, INDEX('Room Info'!$A$2:$A2446, MATCH(B1360,'Room Info'!$D$2:$D2446, 0)),IF(G1360='Room Info'!$E$1, INDEX('Room Info'!$A$2:$A2446, MATCH(B1360,'Room Info'!$E$2:$E2446, 0)),IF(G1360='Room Info'!$F$1, INDEX('Room Info'!$A$2:$A2446, MATCH(B1360,'Room Info'!$F$2:$F2446, 0)),IF(G1360='Room Info'!$H$1, INDEX('Room Info'!$A$2:$A2446, MATCH(B1360,'Room Info'!$H$2:$H2446, 0)),IF(G1360='Room Info'!$G$1, INDEX('Room Info'!$A$2:$A2446, MATCH(B1360,'Room Info'!$G$2:$G2446, 0)))))))))</f>
        <v>volkovsky</v>
      </c>
      <c r="B1360" s="45" t="s">
        <v>206</v>
      </c>
      <c r="C1360" s="77">
        <v>44886</v>
      </c>
      <c r="D1360" s="77">
        <v>44915</v>
      </c>
      <c r="E1360" s="47">
        <v>44896</v>
      </c>
      <c r="F1360" s="48" t="s">
        <v>34</v>
      </c>
      <c r="G1360" s="54" t="s">
        <v>35</v>
      </c>
      <c r="H1360" s="49" t="s">
        <v>70</v>
      </c>
      <c r="I1360" s="49" t="s">
        <v>37</v>
      </c>
      <c r="J1360" s="50">
        <v>100</v>
      </c>
      <c r="K1360" s="51">
        <v>2289</v>
      </c>
      <c r="L1360" s="52">
        <v>-10300</v>
      </c>
      <c r="M1360" s="53">
        <v>10201</v>
      </c>
      <c r="N1360" s="28">
        <f>K1360*J1360</f>
        <v>228900</v>
      </c>
      <c r="O1360" s="54">
        <v>44440</v>
      </c>
      <c r="P1360" s="29">
        <v>19.414591519999998</v>
      </c>
      <c r="Q1360" s="55"/>
      <c r="R1360" s="31">
        <f>M1360+Q1360</f>
        <v>10201</v>
      </c>
      <c r="S1360" s="56">
        <v>-4044</v>
      </c>
      <c r="T1360" s="32">
        <f>R1360+S1360+IF(F1360="Without EV deal",L1360,0)</f>
        <v>6157</v>
      </c>
      <c r="U1360" s="57"/>
      <c r="V1360" s="58"/>
      <c r="W1360" s="58"/>
      <c r="X1360" s="30">
        <f>IF(AF1360="DoEV",IF(AND(V1360&lt;20,W1360&lt;55),0.3,0)+IF(AND(V1360&lt;20,W1360&gt;=55,W1360&lt;105),0.23,0)+IF(AND(V1360&lt;20,W1360&gt;=105),0.17,0)+IF(AND(V1360&gt;=20,V1360&lt;40,W1360&lt;45),0.3,0)+IF(AND(V1360&gt;=20,V1360&lt;40,W1360&gt;=45,W1360&lt;95),0.23,0)+IF(AND(V1360&gt;=20,V1360&lt;40,W1360&gt;=95),0.17,0)+IF(AND(V1360&gt;=40,V1360&lt;75,W1360&lt;35),0.3,0)+IF(AND(V1360&gt;=40,V1360&lt;75,W1360&gt;=35,W1360&lt;75),0.23,0)+IF(AND(V1360&gt;=40,V1360&lt;75,W1360&gt;=75,W1360&lt;120),0.17,0)+IF(AND(V1360&gt;=40,V1360&lt;75,W1360&gt;=120),0.12,0)+IF(AND(V1360&gt;=75,V1360&lt;175,W1360&lt;35),0.3,0)+IF(AND(V1360&gt;=75,V1360&lt;=175,W1360&gt;=35,W1360&lt;65),0.23,0)+IF(AND(V1360&gt;=75,V1360&lt;=175,W1360&gt;=65,W1360&lt;110),0.17,0)+IF(AND(V1360&gt;=75,V1360&lt;=175,W1360&gt;=110),0.12,0)+IF(AND(V1360&gt;175,W1360&lt;25),0.3,0)+IF(AND(V1360&gt;175,W1360&gt;=25,W1360&lt;55),0.23,0)+IF(AND(V1360&gt;175,W1360&gt;=55,W1360&lt;95),0.17,0)+IF(AND(V1360&gt;175,W1360&gt;=95),0.12,0),
IF(AF1360="Fix15",0.15,
IF(AF1360="Fix18.75",0.1875,
IF(AF1360="Fix11.25",0.1125,
IF(AF1360="Fix10",0.1,
IF(AF1360="Fix9",0.09,
IF(AF1360="Fix19",0.19,
IF(AF1360="DoEV2017",IF(AND(W1360&lt;74),0.2,0)+IF(AND(W1360&gt;=74),0.17,0),
IF(AF1360="SF",IF(AND(V1360&lt;20,W1360&lt;89),0.3,0)+IF(AND(V1360&lt;20,W1360&gt;=89),0.25,0)+IF(AND(V1360&gt;=20,V1360&lt;40,W1360&lt;74),0.3,0)+IF(AND(V1360&gt;=20,V1360&lt;40,W1360&gt;=75),0.22,0)+IF(AND(V1360&gt;=40,V1360&lt;75,W1360&lt;75),0.26,0)+IF(AND(V1360&gt;=40,V1360&lt;75,W1360&gt;=75),0.22,0)+IF(V1360&gt;=75,0.22,0),
IF(AF1360="DoEVold",IF(AND(V1360&lt;40,W1360&lt;35),0.35,0)+IF(AND(V1360&lt;40,W1360&gt;=35,W1360&lt;75),0.25,0)+IF(AND(V1360&lt;40,W1360&gt;=75),0.17,0)+IF(AND(V1360&gt;=40,V1360&lt;75,W1360&lt;25),0.35,0)+IF(AND(V1360&gt;=40,V1360&lt;75,W1360&gt;=25,W1360&lt;65),0.25,0)+IF(AND(V1360&gt;=40,V1360&lt;75,W1360&gt;=65,W1360&lt;100),0.17,0)+IF(AND(V1360&gt;=40,V1360&lt;75,W1360&gt;=100),0.1,0)+IF(AND(V1360&gt;=75,W1360&lt;25),0.35,0)+IF(AND(V1360&gt;=75,W1360&gt;=25,W1360&lt;60),0.25,0)+IF(AND(V1360&gt;=75,W1360&gt;=60,W1360&lt;95),0.17,0)+IF(AND(V1360&gt;=75,W1360&gt;=95),0.1,0),
IF(AF1360="DoEVold15",IF(AND(V1360&lt;=40,W1360&lt;35),0.35,0)+IF(AND(V1360&lt;=40,W1360&gt;=35,W1360&lt;75),0.25,0)+IF(AND(V1360&lt;=40,W1360&gt;=75,W1360&lt;120),0.17,0)+IF(AND(V1360&lt;=40,W1360&gt;=120),0.15,0)+IF(AND(V1360&gt;40,V1360&lt;75,W1360&lt;25),0.35,0)+IF(AND(V1360&gt;=40,V1360&lt;75,W1360&gt;=25,W1360&lt;65),0.25,0)+IF(AND(V1360&gt;=40,V1360&lt;75,W1360&gt;=65,W1360&lt;100),0.17,0)+IF(AND(V1360&gt;=40,V1360&lt;75,W1360&gt;=100),0.1,0)+IF(AND(V1360&gt;=75,W1360&lt;25),0.35,0)+IF(AND(V1360&gt;=75,W1360&gt;=25,W1360&lt;60),0.25,0)+IF(AND(V1360&gt;=75,W1360&gt;=60,W1360&lt;95),0.17,0)+IF(AND(V1360&gt;=75,W1360&gt;=95),0.1,0),
IF(AF1360="DoEVba",IF(AND(V1360&lt;20,W1360&lt;105),0.2,0)+IF(AND(V1360&lt;20,W1360&gt;=105),0.15,0)+IF(AND(V1360&gt;=20,V1360&lt;40,W1360&lt;95),0.2,0)+IF(AND(V1360&gt;=20,V1360&lt;40,W1360&gt;=95,W1360&lt;150),0.15,0)+IF(AND(V1360&gt;=20,V1360&lt;40,W1360&gt;=150),0.12,0)+IF(AND(V1360&gt;=40,V1360&lt;75,W1360&lt;75),0.2,0)+IF(AND(V1360&gt;=40,V1360&lt;75,W1360&gt;=75,W1360&lt;120),0.15,0)+IF(AND(V1360&gt;=40,V1360&lt;75,W1360&gt;=120),0.12,0)+IF(AND(V1360&gt;=75,V1360&lt;175,W1360&lt;65),0.2,0)+IF(AND(V1360&gt;=75,V1360&lt;175,W1360&gt;=65,W1360&lt;110),0.15,0)+IF(AND(V1360&gt;=75,V1360&lt;175,W1360&gt;=110),0.12,0)+IF(AND(V1360&gt;=175,W1360&lt;55),0.2,0)+IF(AND(V1360&gt;=175,W1360&gt;=55,W1360&lt;95),0.15,0)+IF(AND(V1360&gt;=175,W1360&gt;=95),0.12,0),
IF(AF1360="DoEVku",IF(AND(V1360&lt;20,W1360&lt;55),0.23,0)+IF(AND(V1360&lt;20,W1360&gt;=55,W1360&lt;105),0.2,0)+IF(AND(V1360&lt;20,W1360&gt;=105),0.17,0)+IF(AND(V1360&gt;=20,V1360&lt;40,W1360&lt;45),0.23,0)+IF(AND(V1360&gt;=20,V1360&lt;40,W1360&gt;=45,W1360&lt;95),0.2,0)+IF(AND(V1360&gt;=20,V1360&lt;40,W1360&gt;=95,W1360&lt;=150),0.17,0)+IF(AND(V1360&gt;=20,V1360&lt;40,W1360&gt;=150),0.12,0)+IF(AND(V1360&gt;=40,V1360&lt;75,W1360&lt;35),0.23,0)+IF(AND(V1360&gt;=40,V1360&lt;75,W1360&gt;=35,W1360&lt;75),0.2,0)+IF(AND(V1360&gt;=40,V1360&lt;75,W1360&gt;=75,W1360&lt;120),0.17,0)+IF(AND(V1360&gt;=40,V1360&lt;75,W1360&gt;=120),0.12,0)+IF(AND(V1360&gt;=75,V1360&lt;175,W1360&lt;35),0.23,0)+IF(AND(V1360&gt;=75,V1360&lt;=175,W1360&gt;=35,W1360&lt;65),0.2,0)+IF(AND(V1360&gt;=75,V1360&lt;=175,W1360&gt;=65,W1360&lt;110),0.17,0)+IF(AND(V1360&gt;=75,V1360&lt;=175,W1360&gt;=110),0.12,0)+IF(AND(V1360&gt;175,W1360&lt;25),0.23,0)+IF(AND(V1360&gt;175,W1360&gt;=25,W1360&lt;55),0.2,0)+IF(AND(V1360&gt;175,W1360&gt;=55,W1360&lt;95),0.17,0)+IF(AND(V1360&gt;175,W1360&gt;=95),0.12,0),
IF(AF1360="DoEVs1",IF(AND(V1360&lt;20,W1360&lt;55),0.3,0)+IF(AND(V1360&lt;20,W1360&gt;=55,W1360&lt;105),0.23,0)+IF(AND(V1360&lt;20,W1360&gt;=105),0.17,0)+IF(AND(V1360&gt;=20,V1360&lt;40,W1360&lt;45),0.3,0)+IF(AND(V1360&gt;=20,V1360&lt;40,W1360&gt;=45,W1360&lt;95),0.23,0)+IF(AND(V1360&gt;=20,V1360&lt;40,W1360&gt;=95,W1360&lt;=150),0.17,0)+IF(AND(V1360&gt;=20,V1360&lt;40,W1360&gt;=150),0.12,0)+IF(AND(V1360&gt;=40,V1360&lt;75,W1360&lt;35),0.3,0)+IF(AND(V1360&gt;=40,V1360&lt;75,W1360&gt;=35,W1360&lt;75),0.23,0)+IF(AND(V1360&gt;=40,V1360&lt;75,W1360&gt;=75,W1360&lt;120),0.17,0)+IF(AND(V1360&gt;=40,V1360&lt;75,W1360&gt;=120),0.12,0)+IF(AND(V1360&gt;=75,V1360&lt;175,W1360&lt;35),0.3,0)+IF(AND(V1360&gt;=75,V1360&lt;=175,W1360&gt;=35,W1360&lt;65),0.23,0)+IF(AND(V1360&gt;=75,V1360&lt;=175,W1360&gt;=65,W1360&lt;110),0.17,0)+IF(AND(V1360&gt;=75,V1360&lt;=175,W1360&gt;=110),0.12,0)+IF(AND(V1360&gt;175,W1360&lt;25),0.3,0)+IF(AND(V1360&gt;175,W1360&gt;=25,W1360&lt;55),0.23,0)+IF(AND(V1360&gt;175,W1360&gt;=55,W1360&lt;95),0.17,0)+IF(AND(V1360&gt;175,W1360&gt;=95),0.12,0),
IF(AF1360="DoEVsu",IF(AND(V1360&lt;20,W1360&lt;55),0.3,0)+IF(AND(V1360&lt;20,W1360&gt;=55,W1360&lt;105),0.23,0)+IF(AND(V1360&lt;20,W1360&gt;=105),0.17,0)+IF(AND(V1360&gt;=20,V1360&lt;40,W1360&lt;45),0.3,0)+IF(AND(V1360&gt;=20,V1360&lt;40,W1360&gt;=45,W1360&lt;95),0.23,0)+IF(AND(V1360&gt;=20,V1360&lt;40,W1360&gt;=95,W1360&lt;=250),0.17,0)+IF(AND(V1360&gt;=20,V1360&lt;40,W1360&gt;=250),0.12,0)+IF(AND(V1360&gt;=40,V1360&lt;75,W1360&lt;35),0.3,0)+IF(AND(V1360&gt;=40,V1360&lt;75,W1360&gt;=35,W1360&lt;75),0.23,0)+IF(AND(V1360&gt;=40,V1360&lt;75,W1360&gt;=75,W1360&lt;120),0.17,0)+IF(AND(V1360&gt;=40,V1360&lt;75,W1360&gt;=120),0.12,0)+IF(AND(V1360&gt;=75,V1360&lt;175,W1360&lt;35),0.3,0)+IF(AND(V1360&gt;=75,V1360&lt;=175,W1360&gt;=35,W1360&lt;65),0.23,0)+IF(AND(V1360&gt;=75,V1360&lt;=175,W1360&gt;=65,W1360&lt;110),0.17,0)+IF(AND(V1360&gt;=75,V1360&lt;=175,W1360&gt;=110),0.12,0)+IF(AND(V1360&gt;175,W1360&lt;25),0.3,0)+IF(AND(V1360&gt;175,W1360&gt;=25,W1360&lt;55),0.23,0)+IF(AND(V1360&gt;175,W1360&gt;=55,W1360&lt;95),0.17,0)+IF(AND(V1360&gt;175,W1360&gt;=95),0.12,0),
IF(AF1360="DoEVni",IF(AND(V1360&lt;20,W1360&lt;55),0.3,0)+IF(AND(V1360&lt;20,W1360&gt;=55,W1360&lt;105),0.23,0)+IF(AND(V1360&lt;20,W1360&gt;=105),0.17,0)+IF(AND(V1360&gt;=20,V1360&lt;40,W1360&lt;45),0.3,0)+IF(AND(V1360&gt;=20,V1360&lt;40,W1360&gt;=45,W1360&lt;95),0.23,0)+IF(AND(V1360&gt;=20,V1360&lt;40,W1360&gt;=95,W1360&lt;=200),0.17,0)+IF(AND(V1360&gt;=20,V1360&lt;40,W1360&gt;=200),0.12,0)+IF(AND(V1360&gt;=40,V1360&lt;75,W1360&lt;35),0.3,0)+IF(AND(V1360&gt;=40,V1360&lt;75,W1360&gt;=35,W1360&lt;75),0.23,0)+IF(AND(V1360&gt;=40,V1360&lt;75,W1360&gt;=75,W1360&lt;120),0.17,0)+IF(AND(V1360&gt;=40,V1360&lt;75,W1360&gt;=120),0.12,0)+IF(AND(V1360&gt;=75,V1360&lt;175,W1360&lt;35),0.3,0)+IF(AND(V1360&gt;=75,V1360&lt;=175,W1360&gt;=35,W1360&lt;65),0.23,0)+IF(AND(V1360&gt;=75,V1360&lt;=175,W1360&gt;=65,W1360&lt;110),0.17,0)+IF(AND(V1360&gt;=75,V1360&lt;=175,W1360&gt;=110),0.12,0)+IF(AND(V1360&gt;175,W1360&lt;25),0.3,0)+IF(AND(V1360&gt;175,W1360&gt;=25,W1360&lt;55),0.23,0)+IF(AND(V1360&gt;175,W1360&gt;=55,W1360&lt;95),0.17,0)+IF(AND(V1360&gt;175,W1360&gt;=95),0.12,0),
IF(AF1360="DoEVLo",IF(AND(V1360&lt;20,W1360&lt;55),0.25,0)+IF(AND(V1360&lt;20,W1360&gt;=55,W1360&lt;105),0.2,0)+IF(AND(V1360&lt;20,W1360&gt;=105),0.15,0)+IF(AND(V1360&gt;=20,V1360&lt;40,W1360&lt;45),0.25,0)+IF(AND(V1360&gt;=20,V1360&lt;40,W1360&gt;=45,W1360&lt;95),0.2,0)+IF(AND(V1360&gt;=20,V1360&lt;40,W1360&gt;=95),0.15,0)+IF(AND(V1360&gt;=40,V1360&lt;75,W1360&lt;35),0.25,0)+IF(AND(V1360&gt;=40,V1360&lt;75,W1360&gt;=35,W1360&lt;75),0.2,0)+IF(AND(V1360&gt;=40,V1360&lt;75,W1360&gt;=75,W1360&lt;120),0.15,0)+IF(AND(V1360&gt;=40,V1360&lt;75,W1360&gt;=120),0.1,0)+IF(AND(V1360&gt;=75,V1360&lt;175,W1360&lt;35),0.25,0)+IF(AND(V1360&gt;=75,V1360&lt;=175,W1360&gt;=35,W1360&lt;65),0.2,0)+IF(AND(V1360&gt;=75,V1360&lt;=175,W1360&gt;=65,W1360&lt;110),0.15,0)+IF(AND(V1360&gt;=75,V1360&lt;=175,W1360&gt;=110),0.1,0)+IF(AND(V1360&gt;175,W1360&lt;25),0.25,0)+IF(AND(V1360&gt;175,W1360&gt;=25,W1360&lt;55),0.2,0)+IF(AND(V1360&gt;175,W1360&gt;=55,W1360&lt;95),0.15,0)+IF(AND(V1360&gt;175,W1360&gt;=95),0.1,0))))))))))))))))))</f>
        <v>0.1</v>
      </c>
      <c r="Y1360" s="30">
        <f>IF(AG1360="None",0,IF(AG1360="Fix5",0.05, IF(AG1360="Fix6.25",0.0625,IF(AG1360="Fix3.75",0.0375,IF(AG1360="Fix10",0.1,IF(AG1360="Fix3",0.03,0))))))</f>
        <v>0</v>
      </c>
      <c r="Z1360" s="35">
        <f>T1360-AA1360-AB1360</f>
        <v>5541.3</v>
      </c>
      <c r="AA1360" s="29">
        <f>IF(AD1360="EUR",((T1360-R1360)*X1360)*U1360+(R1360*X1360),(T1360*X1360))</f>
        <v>615.70000000000005</v>
      </c>
      <c r="AB1360" s="36">
        <f>IF(AD1360="EUR",((T1360-R1360)*Y1360)*U1360+(R1360*Y1360),(T1360*Y1360))</f>
        <v>0</v>
      </c>
      <c r="AC1360" s="37" t="b">
        <v>1</v>
      </c>
      <c r="AD1360" s="37" t="s">
        <v>38</v>
      </c>
      <c r="AE1360" s="37" t="s">
        <v>38</v>
      </c>
      <c r="AF1360" s="37" t="str">
        <f t="array" ref="AF1360">INDEX('Deal Info'!D:D, MATCH(A1360,'Deal Info'!A:A, 0))</f>
        <v>Fix10</v>
      </c>
      <c r="AG1360" s="38" t="str">
        <f t="array" ref="AG1360">INDEX('Deal Info'!G:G, MATCH(A1360,'Deal Info'!A:A, 0))</f>
        <v>None</v>
      </c>
    </row>
    <row r="1361" spans="1:33" ht="14.25" hidden="1" x14ac:dyDescent="0.2">
      <c r="A1361" s="18" t="str">
        <f t="array" ref="A1361">IF(G1361='Room Info'!$B$1, INDEX('Room Info'!$A$2:$A2446, MATCH(B1361,'Room Info'!$B$2:$B2446, 0)),IF(G1361='Room Info'!$C$1, INDEX('Room Info'!$A$2:$A2446, MATCH(B1361,'Room Info'!$C$2:$C2446, 0)),IF(G1361='Room Info'!$D$1, INDEX('Room Info'!$A$2:$A2446, MATCH(B1361,'Room Info'!$D$2:$D2446, 0)),IF(G1361='Room Info'!$E$1, INDEX('Room Info'!$A$2:$A2446, MATCH(B1361,'Room Info'!$E$2:$E2446, 0)),IF(G1361='Room Info'!$F$1, INDEX('Room Info'!$A$2:$A2446, MATCH(B1361,'Room Info'!$F$2:$F2446, 0)),IF(G1361='Room Info'!$H$1, INDEX('Room Info'!$A$2:$A2446, MATCH(B1361,'Room Info'!$H$2:$H2446, 0)),IF(G1361='Room Info'!$G$1, INDEX('Room Info'!$A$2:$A2446, MATCH(B1361,'Room Info'!$G$2:$G2446, 0)))))))))</f>
        <v>volkovsky</v>
      </c>
      <c r="B1361" s="45" t="s">
        <v>206</v>
      </c>
      <c r="C1361" s="46">
        <v>44886</v>
      </c>
      <c r="D1361" s="46">
        <v>44915</v>
      </c>
      <c r="E1361" s="47">
        <v>44896</v>
      </c>
      <c r="F1361" s="48" t="s">
        <v>34</v>
      </c>
      <c r="G1361" s="45" t="s">
        <v>35</v>
      </c>
      <c r="H1361" s="49" t="s">
        <v>84</v>
      </c>
      <c r="I1361" s="49" t="s">
        <v>44</v>
      </c>
      <c r="J1361" s="50">
        <v>100</v>
      </c>
      <c r="K1361" s="51">
        <v>33</v>
      </c>
      <c r="L1361" s="52">
        <v>-400</v>
      </c>
      <c r="M1361" s="53">
        <v>147</v>
      </c>
      <c r="N1361" s="28">
        <f>K1361*J1361</f>
        <v>3300</v>
      </c>
      <c r="O1361" s="54">
        <v>-2098</v>
      </c>
      <c r="P1361" s="29">
        <v>-63.575757580000001</v>
      </c>
      <c r="Q1361" s="55"/>
      <c r="R1361" s="31">
        <f>M1361+Q1361</f>
        <v>147</v>
      </c>
      <c r="S1361" s="56">
        <v>-835</v>
      </c>
      <c r="T1361" s="32">
        <f>R1361+S1361+IF(F1361="Without EV deal",L1361,0)</f>
        <v>-688</v>
      </c>
      <c r="U1361" s="57"/>
      <c r="V1361" s="58"/>
      <c r="W1361" s="58"/>
      <c r="X1361" s="30">
        <f>IF(AF1361="DoEV",IF(AND(V1361&lt;20,W1361&lt;55),0.3,0)+IF(AND(V1361&lt;20,W1361&gt;=55,W1361&lt;105),0.23,0)+IF(AND(V1361&lt;20,W1361&gt;=105),0.17,0)+IF(AND(V1361&gt;=20,V1361&lt;40,W1361&lt;45),0.3,0)+IF(AND(V1361&gt;=20,V1361&lt;40,W1361&gt;=45,W1361&lt;95),0.23,0)+IF(AND(V1361&gt;=20,V1361&lt;40,W1361&gt;=95),0.17,0)+IF(AND(V1361&gt;=40,V1361&lt;75,W1361&lt;35),0.3,0)+IF(AND(V1361&gt;=40,V1361&lt;75,W1361&gt;=35,W1361&lt;75),0.23,0)+IF(AND(V1361&gt;=40,V1361&lt;75,W1361&gt;=75,W1361&lt;120),0.17,0)+IF(AND(V1361&gt;=40,V1361&lt;75,W1361&gt;=120),0.12,0)+IF(AND(V1361&gt;=75,V1361&lt;175,W1361&lt;35),0.3,0)+IF(AND(V1361&gt;=75,V1361&lt;=175,W1361&gt;=35,W1361&lt;65),0.23,0)+IF(AND(V1361&gt;=75,V1361&lt;=175,W1361&gt;=65,W1361&lt;110),0.17,0)+IF(AND(V1361&gt;=75,V1361&lt;=175,W1361&gt;=110),0.12,0)+IF(AND(V1361&gt;175,W1361&lt;25),0.3,0)+IF(AND(V1361&gt;175,W1361&gt;=25,W1361&lt;55),0.23,0)+IF(AND(V1361&gt;175,W1361&gt;=55,W1361&lt;95),0.17,0)+IF(AND(V1361&gt;175,W1361&gt;=95),0.12,0),
IF(AF1361="Fix15",0.15,
IF(AF1361="Fix18.75",0.1875,
IF(AF1361="Fix11.25",0.1125,
IF(AF1361="Fix10",0.1,
IF(AF1361="Fix9",0.09,
IF(AF1361="Fix19",0.19,
IF(AF1361="DoEV2017",IF(AND(W1361&lt;74),0.2,0)+IF(AND(W1361&gt;=74),0.17,0),
IF(AF1361="SF",IF(AND(V1361&lt;20,W1361&lt;89),0.3,0)+IF(AND(V1361&lt;20,W1361&gt;=89),0.25,0)+IF(AND(V1361&gt;=20,V1361&lt;40,W1361&lt;74),0.3,0)+IF(AND(V1361&gt;=20,V1361&lt;40,W1361&gt;=75),0.22,0)+IF(AND(V1361&gt;=40,V1361&lt;75,W1361&lt;75),0.26,0)+IF(AND(V1361&gt;=40,V1361&lt;75,W1361&gt;=75),0.22,0)+IF(V1361&gt;=75,0.22,0),
IF(AF1361="DoEVold",IF(AND(V1361&lt;40,W1361&lt;35),0.35,0)+IF(AND(V1361&lt;40,W1361&gt;=35,W1361&lt;75),0.25,0)+IF(AND(V1361&lt;40,W1361&gt;=75),0.17,0)+IF(AND(V1361&gt;=40,V1361&lt;75,W1361&lt;25),0.35,0)+IF(AND(V1361&gt;=40,V1361&lt;75,W1361&gt;=25,W1361&lt;65),0.25,0)+IF(AND(V1361&gt;=40,V1361&lt;75,W1361&gt;=65,W1361&lt;100),0.17,0)+IF(AND(V1361&gt;=40,V1361&lt;75,W1361&gt;=100),0.1,0)+IF(AND(V1361&gt;=75,W1361&lt;25),0.35,0)+IF(AND(V1361&gt;=75,W1361&gt;=25,W1361&lt;60),0.25,0)+IF(AND(V1361&gt;=75,W1361&gt;=60,W1361&lt;95),0.17,0)+IF(AND(V1361&gt;=75,W1361&gt;=95),0.1,0),
IF(AF1361="DoEVold15",IF(AND(V1361&lt;=40,W1361&lt;35),0.35,0)+IF(AND(V1361&lt;=40,W1361&gt;=35,W1361&lt;75),0.25,0)+IF(AND(V1361&lt;=40,W1361&gt;=75,W1361&lt;120),0.17,0)+IF(AND(V1361&lt;=40,W1361&gt;=120),0.15,0)+IF(AND(V1361&gt;40,V1361&lt;75,W1361&lt;25),0.35,0)+IF(AND(V1361&gt;=40,V1361&lt;75,W1361&gt;=25,W1361&lt;65),0.25,0)+IF(AND(V1361&gt;=40,V1361&lt;75,W1361&gt;=65,W1361&lt;100),0.17,0)+IF(AND(V1361&gt;=40,V1361&lt;75,W1361&gt;=100),0.1,0)+IF(AND(V1361&gt;=75,W1361&lt;25),0.35,0)+IF(AND(V1361&gt;=75,W1361&gt;=25,W1361&lt;60),0.25,0)+IF(AND(V1361&gt;=75,W1361&gt;=60,W1361&lt;95),0.17,0)+IF(AND(V1361&gt;=75,W1361&gt;=95),0.1,0),
IF(AF1361="DoEVba",IF(AND(V1361&lt;20,W1361&lt;105),0.2,0)+IF(AND(V1361&lt;20,W1361&gt;=105),0.15,0)+IF(AND(V1361&gt;=20,V1361&lt;40,W1361&lt;95),0.2,0)+IF(AND(V1361&gt;=20,V1361&lt;40,W1361&gt;=95,W1361&lt;150),0.15,0)+IF(AND(V1361&gt;=20,V1361&lt;40,W1361&gt;=150),0.12,0)+IF(AND(V1361&gt;=40,V1361&lt;75,W1361&lt;75),0.2,0)+IF(AND(V1361&gt;=40,V1361&lt;75,W1361&gt;=75,W1361&lt;120),0.15,0)+IF(AND(V1361&gt;=40,V1361&lt;75,W1361&gt;=120),0.12,0)+IF(AND(V1361&gt;=75,V1361&lt;175,W1361&lt;65),0.2,0)+IF(AND(V1361&gt;=75,V1361&lt;175,W1361&gt;=65,W1361&lt;110),0.15,0)+IF(AND(V1361&gt;=75,V1361&lt;175,W1361&gt;=110),0.12,0)+IF(AND(V1361&gt;=175,W1361&lt;55),0.2,0)+IF(AND(V1361&gt;=175,W1361&gt;=55,W1361&lt;95),0.15,0)+IF(AND(V1361&gt;=175,W1361&gt;=95),0.12,0),
IF(AF1361="DoEVku",IF(AND(V1361&lt;20,W1361&lt;55),0.23,0)+IF(AND(V1361&lt;20,W1361&gt;=55,W1361&lt;105),0.2,0)+IF(AND(V1361&lt;20,W1361&gt;=105),0.17,0)+IF(AND(V1361&gt;=20,V1361&lt;40,W1361&lt;45),0.23,0)+IF(AND(V1361&gt;=20,V1361&lt;40,W1361&gt;=45,W1361&lt;95),0.2,0)+IF(AND(V1361&gt;=20,V1361&lt;40,W1361&gt;=95,W1361&lt;=150),0.17,0)+IF(AND(V1361&gt;=20,V1361&lt;40,W1361&gt;=150),0.12,0)+IF(AND(V1361&gt;=40,V1361&lt;75,W1361&lt;35),0.23,0)+IF(AND(V1361&gt;=40,V1361&lt;75,W1361&gt;=35,W1361&lt;75),0.2,0)+IF(AND(V1361&gt;=40,V1361&lt;75,W1361&gt;=75,W1361&lt;120),0.17,0)+IF(AND(V1361&gt;=40,V1361&lt;75,W1361&gt;=120),0.12,0)+IF(AND(V1361&gt;=75,V1361&lt;175,W1361&lt;35),0.23,0)+IF(AND(V1361&gt;=75,V1361&lt;=175,W1361&gt;=35,W1361&lt;65),0.2,0)+IF(AND(V1361&gt;=75,V1361&lt;=175,W1361&gt;=65,W1361&lt;110),0.17,0)+IF(AND(V1361&gt;=75,V1361&lt;=175,W1361&gt;=110),0.12,0)+IF(AND(V1361&gt;175,W1361&lt;25),0.23,0)+IF(AND(V1361&gt;175,W1361&gt;=25,W1361&lt;55),0.2,0)+IF(AND(V1361&gt;175,W1361&gt;=55,W1361&lt;95),0.17,0)+IF(AND(V1361&gt;175,W1361&gt;=95),0.12,0),
IF(AF1361="DoEVs1",IF(AND(V1361&lt;20,W1361&lt;55),0.3,0)+IF(AND(V1361&lt;20,W1361&gt;=55,W1361&lt;105),0.23,0)+IF(AND(V1361&lt;20,W1361&gt;=105),0.17,0)+IF(AND(V1361&gt;=20,V1361&lt;40,W1361&lt;45),0.3,0)+IF(AND(V1361&gt;=20,V1361&lt;40,W1361&gt;=45,W1361&lt;95),0.23,0)+IF(AND(V1361&gt;=20,V1361&lt;40,W1361&gt;=95,W1361&lt;=150),0.17,0)+IF(AND(V1361&gt;=20,V1361&lt;40,W1361&gt;=150),0.12,0)+IF(AND(V1361&gt;=40,V1361&lt;75,W1361&lt;35),0.3,0)+IF(AND(V1361&gt;=40,V1361&lt;75,W1361&gt;=35,W1361&lt;75),0.23,0)+IF(AND(V1361&gt;=40,V1361&lt;75,W1361&gt;=75,W1361&lt;120),0.17,0)+IF(AND(V1361&gt;=40,V1361&lt;75,W1361&gt;=120),0.12,0)+IF(AND(V1361&gt;=75,V1361&lt;175,W1361&lt;35),0.3,0)+IF(AND(V1361&gt;=75,V1361&lt;=175,W1361&gt;=35,W1361&lt;65),0.23,0)+IF(AND(V1361&gt;=75,V1361&lt;=175,W1361&gt;=65,W1361&lt;110),0.17,0)+IF(AND(V1361&gt;=75,V1361&lt;=175,W1361&gt;=110),0.12,0)+IF(AND(V1361&gt;175,W1361&lt;25),0.3,0)+IF(AND(V1361&gt;175,W1361&gt;=25,W1361&lt;55),0.23,0)+IF(AND(V1361&gt;175,W1361&gt;=55,W1361&lt;95),0.17,0)+IF(AND(V1361&gt;175,W1361&gt;=95),0.12,0),
IF(AF1361="DoEVsu",IF(AND(V1361&lt;20,W1361&lt;55),0.3,0)+IF(AND(V1361&lt;20,W1361&gt;=55,W1361&lt;105),0.23,0)+IF(AND(V1361&lt;20,W1361&gt;=105),0.17,0)+IF(AND(V1361&gt;=20,V1361&lt;40,W1361&lt;45),0.3,0)+IF(AND(V1361&gt;=20,V1361&lt;40,W1361&gt;=45,W1361&lt;95),0.23,0)+IF(AND(V1361&gt;=20,V1361&lt;40,W1361&gt;=95,W1361&lt;=250),0.17,0)+IF(AND(V1361&gt;=20,V1361&lt;40,W1361&gt;=250),0.12,0)+IF(AND(V1361&gt;=40,V1361&lt;75,W1361&lt;35),0.3,0)+IF(AND(V1361&gt;=40,V1361&lt;75,W1361&gt;=35,W1361&lt;75),0.23,0)+IF(AND(V1361&gt;=40,V1361&lt;75,W1361&gt;=75,W1361&lt;120),0.17,0)+IF(AND(V1361&gt;=40,V1361&lt;75,W1361&gt;=120),0.12,0)+IF(AND(V1361&gt;=75,V1361&lt;175,W1361&lt;35),0.3,0)+IF(AND(V1361&gt;=75,V1361&lt;=175,W1361&gt;=35,W1361&lt;65),0.23,0)+IF(AND(V1361&gt;=75,V1361&lt;=175,W1361&gt;=65,W1361&lt;110),0.17,0)+IF(AND(V1361&gt;=75,V1361&lt;=175,W1361&gt;=110),0.12,0)+IF(AND(V1361&gt;175,W1361&lt;25),0.3,0)+IF(AND(V1361&gt;175,W1361&gt;=25,W1361&lt;55),0.23,0)+IF(AND(V1361&gt;175,W1361&gt;=55,W1361&lt;95),0.17,0)+IF(AND(V1361&gt;175,W1361&gt;=95),0.12,0),
IF(AF1361="DoEVni",IF(AND(V1361&lt;20,W1361&lt;55),0.3,0)+IF(AND(V1361&lt;20,W1361&gt;=55,W1361&lt;105),0.23,0)+IF(AND(V1361&lt;20,W1361&gt;=105),0.17,0)+IF(AND(V1361&gt;=20,V1361&lt;40,W1361&lt;45),0.3,0)+IF(AND(V1361&gt;=20,V1361&lt;40,W1361&gt;=45,W1361&lt;95),0.23,0)+IF(AND(V1361&gt;=20,V1361&lt;40,W1361&gt;=95,W1361&lt;=200),0.17,0)+IF(AND(V1361&gt;=20,V1361&lt;40,W1361&gt;=200),0.12,0)+IF(AND(V1361&gt;=40,V1361&lt;75,W1361&lt;35),0.3,0)+IF(AND(V1361&gt;=40,V1361&lt;75,W1361&gt;=35,W1361&lt;75),0.23,0)+IF(AND(V1361&gt;=40,V1361&lt;75,W1361&gt;=75,W1361&lt;120),0.17,0)+IF(AND(V1361&gt;=40,V1361&lt;75,W1361&gt;=120),0.12,0)+IF(AND(V1361&gt;=75,V1361&lt;175,W1361&lt;35),0.3,0)+IF(AND(V1361&gt;=75,V1361&lt;=175,W1361&gt;=35,W1361&lt;65),0.23,0)+IF(AND(V1361&gt;=75,V1361&lt;=175,W1361&gt;=65,W1361&lt;110),0.17,0)+IF(AND(V1361&gt;=75,V1361&lt;=175,W1361&gt;=110),0.12,0)+IF(AND(V1361&gt;175,W1361&lt;25),0.3,0)+IF(AND(V1361&gt;175,W1361&gt;=25,W1361&lt;55),0.23,0)+IF(AND(V1361&gt;175,W1361&gt;=55,W1361&lt;95),0.17,0)+IF(AND(V1361&gt;175,W1361&gt;=95),0.12,0),
IF(AF1361="DoEVLo",IF(AND(V1361&lt;20,W1361&lt;55),0.25,0)+IF(AND(V1361&lt;20,W1361&gt;=55,W1361&lt;105),0.2,0)+IF(AND(V1361&lt;20,W1361&gt;=105),0.15,0)+IF(AND(V1361&gt;=20,V1361&lt;40,W1361&lt;45),0.25,0)+IF(AND(V1361&gt;=20,V1361&lt;40,W1361&gt;=45,W1361&lt;95),0.2,0)+IF(AND(V1361&gt;=20,V1361&lt;40,W1361&gt;=95),0.15,0)+IF(AND(V1361&gt;=40,V1361&lt;75,W1361&lt;35),0.25,0)+IF(AND(V1361&gt;=40,V1361&lt;75,W1361&gt;=35,W1361&lt;75),0.2,0)+IF(AND(V1361&gt;=40,V1361&lt;75,W1361&gt;=75,W1361&lt;120),0.15,0)+IF(AND(V1361&gt;=40,V1361&lt;75,W1361&gt;=120),0.1,0)+IF(AND(V1361&gt;=75,V1361&lt;175,W1361&lt;35),0.25,0)+IF(AND(V1361&gt;=75,V1361&lt;=175,W1361&gt;=35,W1361&lt;65),0.2,0)+IF(AND(V1361&gt;=75,V1361&lt;=175,W1361&gt;=65,W1361&lt;110),0.15,0)+IF(AND(V1361&gt;=75,V1361&lt;=175,W1361&gt;=110),0.1,0)+IF(AND(V1361&gt;175,W1361&lt;25),0.25,0)+IF(AND(V1361&gt;175,W1361&gt;=25,W1361&lt;55),0.2,0)+IF(AND(V1361&gt;175,W1361&gt;=55,W1361&lt;95),0.15,0)+IF(AND(V1361&gt;175,W1361&gt;=95),0.1,0))))))))))))))))))</f>
        <v>0.1</v>
      </c>
      <c r="Y1361" s="30">
        <f>IF(AG1361="None",0,IF(AG1361="Fix5",0.05, IF(AG1361="Fix6.25",0.0625,IF(AG1361="Fix3.75",0.0375,IF(AG1361="Fix10",0.1,IF(AG1361="Fix3",0.03,0))))))</f>
        <v>0</v>
      </c>
      <c r="Z1361" s="35">
        <f>T1361-AA1361-AB1361</f>
        <v>-619.20000000000005</v>
      </c>
      <c r="AA1361" s="29">
        <f>IF(AD1361="EUR",((T1361-R1361)*X1361)*U1361+(R1361*X1361),(T1361*X1361))</f>
        <v>-68.8</v>
      </c>
      <c r="AB1361" s="36">
        <f>IF(AD1361="EUR",((T1361-R1361)*Y1361)*U1361+(R1361*Y1361),(T1361*Y1361))</f>
        <v>0</v>
      </c>
      <c r="AC1361" s="37" t="b">
        <v>1</v>
      </c>
      <c r="AD1361" s="37" t="s">
        <v>38</v>
      </c>
      <c r="AE1361" s="37" t="s">
        <v>38</v>
      </c>
      <c r="AF1361" s="37" t="str">
        <f t="array" ref="AF1361">INDEX('Deal Info'!D:D, MATCH(A1361,'Deal Info'!A:A, 0))</f>
        <v>Fix10</v>
      </c>
      <c r="AG1361" s="38" t="str">
        <f t="array" ref="AG1361">INDEX('Deal Info'!G:G, MATCH(A1361,'Deal Info'!A:A, 0))</f>
        <v>None</v>
      </c>
    </row>
    <row r="1362" spans="1:33" ht="14.25" hidden="1" x14ac:dyDescent="0.2">
      <c r="A1362" s="18" t="str">
        <f t="array" ref="A1362">IF(G1362='Room Info'!$B$1, INDEX('Room Info'!$A$2:$A2446, MATCH(B1362,'Room Info'!$B$2:$B2446, 0)),IF(G1362='Room Info'!$C$1, INDEX('Room Info'!$A$2:$A2446, MATCH(B1362,'Room Info'!$C$2:$C2446, 0)),IF(G1362='Room Info'!$D$1, INDEX('Room Info'!$A$2:$A2446, MATCH(B1362,'Room Info'!$D$2:$D2446, 0)),IF(G1362='Room Info'!$E$1, INDEX('Room Info'!$A$2:$A2446, MATCH(B1362,'Room Info'!$E$2:$E2446, 0)),IF(G1362='Room Info'!$F$1, INDEX('Room Info'!$A$2:$A2446, MATCH(B1362,'Room Info'!$F$2:$F2446, 0)),IF(G1362='Room Info'!$H$1, INDEX('Room Info'!$A$2:$A2446, MATCH(B1362,'Room Info'!$H$2:$H2446, 0)),IF(G1362='Room Info'!$G$1, INDEX('Room Info'!$A$2:$A2446, MATCH(B1362,'Room Info'!$G$2:$G2446, 0)))))))))</f>
        <v>volkovsky</v>
      </c>
      <c r="B1362" s="45" t="s">
        <v>206</v>
      </c>
      <c r="C1362" s="46">
        <v>44886</v>
      </c>
      <c r="D1362" s="46">
        <v>44915</v>
      </c>
      <c r="E1362" s="47">
        <v>44896</v>
      </c>
      <c r="F1362" s="48" t="s">
        <v>34</v>
      </c>
      <c r="G1362" s="45" t="s">
        <v>35</v>
      </c>
      <c r="H1362" s="49" t="s">
        <v>88</v>
      </c>
      <c r="I1362" s="49" t="s">
        <v>37</v>
      </c>
      <c r="J1362" s="50">
        <v>250</v>
      </c>
      <c r="K1362" s="51">
        <v>615</v>
      </c>
      <c r="L1362" s="52">
        <v>750</v>
      </c>
      <c r="M1362" s="53">
        <v>6852</v>
      </c>
      <c r="N1362" s="28">
        <f>K1362*J1362</f>
        <v>153750</v>
      </c>
      <c r="O1362" s="54">
        <v>205</v>
      </c>
      <c r="P1362" s="29">
        <v>0.33333333329999998</v>
      </c>
      <c r="Q1362" s="55"/>
      <c r="R1362" s="31">
        <f>M1362+Q1362</f>
        <v>6852</v>
      </c>
      <c r="S1362" s="56">
        <v>-7846</v>
      </c>
      <c r="T1362" s="32">
        <f>R1362+S1362+IF(F1362="Without EV deal",L1362,0)</f>
        <v>-994</v>
      </c>
      <c r="U1362" s="57"/>
      <c r="V1362" s="58"/>
      <c r="W1362" s="58"/>
      <c r="X1362" s="30">
        <f>IF(AF1362="DoEV",IF(AND(V1362&lt;20,W1362&lt;55),0.3,0)+IF(AND(V1362&lt;20,W1362&gt;=55,W1362&lt;105),0.23,0)+IF(AND(V1362&lt;20,W1362&gt;=105),0.17,0)+IF(AND(V1362&gt;=20,V1362&lt;40,W1362&lt;45),0.3,0)+IF(AND(V1362&gt;=20,V1362&lt;40,W1362&gt;=45,W1362&lt;95),0.23,0)+IF(AND(V1362&gt;=20,V1362&lt;40,W1362&gt;=95),0.17,0)+IF(AND(V1362&gt;=40,V1362&lt;75,W1362&lt;35),0.3,0)+IF(AND(V1362&gt;=40,V1362&lt;75,W1362&gt;=35,W1362&lt;75),0.23,0)+IF(AND(V1362&gt;=40,V1362&lt;75,W1362&gt;=75,W1362&lt;120),0.17,0)+IF(AND(V1362&gt;=40,V1362&lt;75,W1362&gt;=120),0.12,0)+IF(AND(V1362&gt;=75,V1362&lt;175,W1362&lt;35),0.3,0)+IF(AND(V1362&gt;=75,V1362&lt;=175,W1362&gt;=35,W1362&lt;65),0.23,0)+IF(AND(V1362&gt;=75,V1362&lt;=175,W1362&gt;=65,W1362&lt;110),0.17,0)+IF(AND(V1362&gt;=75,V1362&lt;=175,W1362&gt;=110),0.12,0)+IF(AND(V1362&gt;175,W1362&lt;25),0.3,0)+IF(AND(V1362&gt;175,W1362&gt;=25,W1362&lt;55),0.23,0)+IF(AND(V1362&gt;175,W1362&gt;=55,W1362&lt;95),0.17,0)+IF(AND(V1362&gt;175,W1362&gt;=95),0.12,0),
IF(AF1362="Fix15",0.15,
IF(AF1362="Fix18.75",0.1875,
IF(AF1362="Fix11.25",0.1125,
IF(AF1362="Fix10",0.1,
IF(AF1362="Fix9",0.09,
IF(AF1362="Fix19",0.19,
IF(AF1362="DoEV2017",IF(AND(W1362&lt;74),0.2,0)+IF(AND(W1362&gt;=74),0.17,0),
IF(AF1362="SF",IF(AND(V1362&lt;20,W1362&lt;89),0.3,0)+IF(AND(V1362&lt;20,W1362&gt;=89),0.25,0)+IF(AND(V1362&gt;=20,V1362&lt;40,W1362&lt;74),0.3,0)+IF(AND(V1362&gt;=20,V1362&lt;40,W1362&gt;=75),0.22,0)+IF(AND(V1362&gt;=40,V1362&lt;75,W1362&lt;75),0.26,0)+IF(AND(V1362&gt;=40,V1362&lt;75,W1362&gt;=75),0.22,0)+IF(V1362&gt;=75,0.22,0),
IF(AF1362="DoEVold",IF(AND(V1362&lt;40,W1362&lt;35),0.35,0)+IF(AND(V1362&lt;40,W1362&gt;=35,W1362&lt;75),0.25,0)+IF(AND(V1362&lt;40,W1362&gt;=75),0.17,0)+IF(AND(V1362&gt;=40,V1362&lt;75,W1362&lt;25),0.35,0)+IF(AND(V1362&gt;=40,V1362&lt;75,W1362&gt;=25,W1362&lt;65),0.25,0)+IF(AND(V1362&gt;=40,V1362&lt;75,W1362&gt;=65,W1362&lt;100),0.17,0)+IF(AND(V1362&gt;=40,V1362&lt;75,W1362&gt;=100),0.1,0)+IF(AND(V1362&gt;=75,W1362&lt;25),0.35,0)+IF(AND(V1362&gt;=75,W1362&gt;=25,W1362&lt;60),0.25,0)+IF(AND(V1362&gt;=75,W1362&gt;=60,W1362&lt;95),0.17,0)+IF(AND(V1362&gt;=75,W1362&gt;=95),0.1,0),
IF(AF1362="DoEVold15",IF(AND(V1362&lt;=40,W1362&lt;35),0.35,0)+IF(AND(V1362&lt;=40,W1362&gt;=35,W1362&lt;75),0.25,0)+IF(AND(V1362&lt;=40,W1362&gt;=75,W1362&lt;120),0.17,0)+IF(AND(V1362&lt;=40,W1362&gt;=120),0.15,0)+IF(AND(V1362&gt;40,V1362&lt;75,W1362&lt;25),0.35,0)+IF(AND(V1362&gt;=40,V1362&lt;75,W1362&gt;=25,W1362&lt;65),0.25,0)+IF(AND(V1362&gt;=40,V1362&lt;75,W1362&gt;=65,W1362&lt;100),0.17,0)+IF(AND(V1362&gt;=40,V1362&lt;75,W1362&gt;=100),0.1,0)+IF(AND(V1362&gt;=75,W1362&lt;25),0.35,0)+IF(AND(V1362&gt;=75,W1362&gt;=25,W1362&lt;60),0.25,0)+IF(AND(V1362&gt;=75,W1362&gt;=60,W1362&lt;95),0.17,0)+IF(AND(V1362&gt;=75,W1362&gt;=95),0.1,0),
IF(AF1362="DoEVba",IF(AND(V1362&lt;20,W1362&lt;105),0.2,0)+IF(AND(V1362&lt;20,W1362&gt;=105),0.15,0)+IF(AND(V1362&gt;=20,V1362&lt;40,W1362&lt;95),0.2,0)+IF(AND(V1362&gt;=20,V1362&lt;40,W1362&gt;=95,W1362&lt;150),0.15,0)+IF(AND(V1362&gt;=20,V1362&lt;40,W1362&gt;=150),0.12,0)+IF(AND(V1362&gt;=40,V1362&lt;75,W1362&lt;75),0.2,0)+IF(AND(V1362&gt;=40,V1362&lt;75,W1362&gt;=75,W1362&lt;120),0.15,0)+IF(AND(V1362&gt;=40,V1362&lt;75,W1362&gt;=120),0.12,0)+IF(AND(V1362&gt;=75,V1362&lt;175,W1362&lt;65),0.2,0)+IF(AND(V1362&gt;=75,V1362&lt;175,W1362&gt;=65,W1362&lt;110),0.15,0)+IF(AND(V1362&gt;=75,V1362&lt;175,W1362&gt;=110),0.12,0)+IF(AND(V1362&gt;=175,W1362&lt;55),0.2,0)+IF(AND(V1362&gt;=175,W1362&gt;=55,W1362&lt;95),0.15,0)+IF(AND(V1362&gt;=175,W1362&gt;=95),0.12,0),
IF(AF1362="DoEVku",IF(AND(V1362&lt;20,W1362&lt;55),0.23,0)+IF(AND(V1362&lt;20,W1362&gt;=55,W1362&lt;105),0.2,0)+IF(AND(V1362&lt;20,W1362&gt;=105),0.17,0)+IF(AND(V1362&gt;=20,V1362&lt;40,W1362&lt;45),0.23,0)+IF(AND(V1362&gt;=20,V1362&lt;40,W1362&gt;=45,W1362&lt;95),0.2,0)+IF(AND(V1362&gt;=20,V1362&lt;40,W1362&gt;=95,W1362&lt;=150),0.17,0)+IF(AND(V1362&gt;=20,V1362&lt;40,W1362&gt;=150),0.12,0)+IF(AND(V1362&gt;=40,V1362&lt;75,W1362&lt;35),0.23,0)+IF(AND(V1362&gt;=40,V1362&lt;75,W1362&gt;=35,W1362&lt;75),0.2,0)+IF(AND(V1362&gt;=40,V1362&lt;75,W1362&gt;=75,W1362&lt;120),0.17,0)+IF(AND(V1362&gt;=40,V1362&lt;75,W1362&gt;=120),0.12,0)+IF(AND(V1362&gt;=75,V1362&lt;175,W1362&lt;35),0.23,0)+IF(AND(V1362&gt;=75,V1362&lt;=175,W1362&gt;=35,W1362&lt;65),0.2,0)+IF(AND(V1362&gt;=75,V1362&lt;=175,W1362&gt;=65,W1362&lt;110),0.17,0)+IF(AND(V1362&gt;=75,V1362&lt;=175,W1362&gt;=110),0.12,0)+IF(AND(V1362&gt;175,W1362&lt;25),0.23,0)+IF(AND(V1362&gt;175,W1362&gt;=25,W1362&lt;55),0.2,0)+IF(AND(V1362&gt;175,W1362&gt;=55,W1362&lt;95),0.17,0)+IF(AND(V1362&gt;175,W1362&gt;=95),0.12,0),
IF(AF1362="DoEVs1",IF(AND(V1362&lt;20,W1362&lt;55),0.3,0)+IF(AND(V1362&lt;20,W1362&gt;=55,W1362&lt;105),0.23,0)+IF(AND(V1362&lt;20,W1362&gt;=105),0.17,0)+IF(AND(V1362&gt;=20,V1362&lt;40,W1362&lt;45),0.3,0)+IF(AND(V1362&gt;=20,V1362&lt;40,W1362&gt;=45,W1362&lt;95),0.23,0)+IF(AND(V1362&gt;=20,V1362&lt;40,W1362&gt;=95,W1362&lt;=150),0.17,0)+IF(AND(V1362&gt;=20,V1362&lt;40,W1362&gt;=150),0.12,0)+IF(AND(V1362&gt;=40,V1362&lt;75,W1362&lt;35),0.3,0)+IF(AND(V1362&gt;=40,V1362&lt;75,W1362&gt;=35,W1362&lt;75),0.23,0)+IF(AND(V1362&gt;=40,V1362&lt;75,W1362&gt;=75,W1362&lt;120),0.17,0)+IF(AND(V1362&gt;=40,V1362&lt;75,W1362&gt;=120),0.12,0)+IF(AND(V1362&gt;=75,V1362&lt;175,W1362&lt;35),0.3,0)+IF(AND(V1362&gt;=75,V1362&lt;=175,W1362&gt;=35,W1362&lt;65),0.23,0)+IF(AND(V1362&gt;=75,V1362&lt;=175,W1362&gt;=65,W1362&lt;110),0.17,0)+IF(AND(V1362&gt;=75,V1362&lt;=175,W1362&gt;=110),0.12,0)+IF(AND(V1362&gt;175,W1362&lt;25),0.3,0)+IF(AND(V1362&gt;175,W1362&gt;=25,W1362&lt;55),0.23,0)+IF(AND(V1362&gt;175,W1362&gt;=55,W1362&lt;95),0.17,0)+IF(AND(V1362&gt;175,W1362&gt;=95),0.12,0),
IF(AF1362="DoEVsu",IF(AND(V1362&lt;20,W1362&lt;55),0.3,0)+IF(AND(V1362&lt;20,W1362&gt;=55,W1362&lt;105),0.23,0)+IF(AND(V1362&lt;20,W1362&gt;=105),0.17,0)+IF(AND(V1362&gt;=20,V1362&lt;40,W1362&lt;45),0.3,0)+IF(AND(V1362&gt;=20,V1362&lt;40,W1362&gt;=45,W1362&lt;95),0.23,0)+IF(AND(V1362&gt;=20,V1362&lt;40,W1362&gt;=95,W1362&lt;=250),0.17,0)+IF(AND(V1362&gt;=20,V1362&lt;40,W1362&gt;=250),0.12,0)+IF(AND(V1362&gt;=40,V1362&lt;75,W1362&lt;35),0.3,0)+IF(AND(V1362&gt;=40,V1362&lt;75,W1362&gt;=35,W1362&lt;75),0.23,0)+IF(AND(V1362&gt;=40,V1362&lt;75,W1362&gt;=75,W1362&lt;120),0.17,0)+IF(AND(V1362&gt;=40,V1362&lt;75,W1362&gt;=120),0.12,0)+IF(AND(V1362&gt;=75,V1362&lt;175,W1362&lt;35),0.3,0)+IF(AND(V1362&gt;=75,V1362&lt;=175,W1362&gt;=35,W1362&lt;65),0.23,0)+IF(AND(V1362&gt;=75,V1362&lt;=175,W1362&gt;=65,W1362&lt;110),0.17,0)+IF(AND(V1362&gt;=75,V1362&lt;=175,W1362&gt;=110),0.12,0)+IF(AND(V1362&gt;175,W1362&lt;25),0.3,0)+IF(AND(V1362&gt;175,W1362&gt;=25,W1362&lt;55),0.23,0)+IF(AND(V1362&gt;175,W1362&gt;=55,W1362&lt;95),0.17,0)+IF(AND(V1362&gt;175,W1362&gt;=95),0.12,0),
IF(AF1362="DoEVni",IF(AND(V1362&lt;20,W1362&lt;55),0.3,0)+IF(AND(V1362&lt;20,W1362&gt;=55,W1362&lt;105),0.23,0)+IF(AND(V1362&lt;20,W1362&gt;=105),0.17,0)+IF(AND(V1362&gt;=20,V1362&lt;40,W1362&lt;45),0.3,0)+IF(AND(V1362&gt;=20,V1362&lt;40,W1362&gt;=45,W1362&lt;95),0.23,0)+IF(AND(V1362&gt;=20,V1362&lt;40,W1362&gt;=95,W1362&lt;=200),0.17,0)+IF(AND(V1362&gt;=20,V1362&lt;40,W1362&gt;=200),0.12,0)+IF(AND(V1362&gt;=40,V1362&lt;75,W1362&lt;35),0.3,0)+IF(AND(V1362&gt;=40,V1362&lt;75,W1362&gt;=35,W1362&lt;75),0.23,0)+IF(AND(V1362&gt;=40,V1362&lt;75,W1362&gt;=75,W1362&lt;120),0.17,0)+IF(AND(V1362&gt;=40,V1362&lt;75,W1362&gt;=120),0.12,0)+IF(AND(V1362&gt;=75,V1362&lt;175,W1362&lt;35),0.3,0)+IF(AND(V1362&gt;=75,V1362&lt;=175,W1362&gt;=35,W1362&lt;65),0.23,0)+IF(AND(V1362&gt;=75,V1362&lt;=175,W1362&gt;=65,W1362&lt;110),0.17,0)+IF(AND(V1362&gt;=75,V1362&lt;=175,W1362&gt;=110),0.12,0)+IF(AND(V1362&gt;175,W1362&lt;25),0.3,0)+IF(AND(V1362&gt;175,W1362&gt;=25,W1362&lt;55),0.23,0)+IF(AND(V1362&gt;175,W1362&gt;=55,W1362&lt;95),0.17,0)+IF(AND(V1362&gt;175,W1362&gt;=95),0.12,0),
IF(AF1362="DoEVLo",IF(AND(V1362&lt;20,W1362&lt;55),0.25,0)+IF(AND(V1362&lt;20,W1362&gt;=55,W1362&lt;105),0.2,0)+IF(AND(V1362&lt;20,W1362&gt;=105),0.15,0)+IF(AND(V1362&gt;=20,V1362&lt;40,W1362&lt;45),0.25,0)+IF(AND(V1362&gt;=20,V1362&lt;40,W1362&gt;=45,W1362&lt;95),0.2,0)+IF(AND(V1362&gt;=20,V1362&lt;40,W1362&gt;=95),0.15,0)+IF(AND(V1362&gt;=40,V1362&lt;75,W1362&lt;35),0.25,0)+IF(AND(V1362&gt;=40,V1362&lt;75,W1362&gt;=35,W1362&lt;75),0.2,0)+IF(AND(V1362&gt;=40,V1362&lt;75,W1362&gt;=75,W1362&lt;120),0.15,0)+IF(AND(V1362&gt;=40,V1362&lt;75,W1362&gt;=120),0.1,0)+IF(AND(V1362&gt;=75,V1362&lt;175,W1362&lt;35),0.25,0)+IF(AND(V1362&gt;=75,V1362&lt;=175,W1362&gt;=35,W1362&lt;65),0.2,0)+IF(AND(V1362&gt;=75,V1362&lt;=175,W1362&gt;=65,W1362&lt;110),0.15,0)+IF(AND(V1362&gt;=75,V1362&lt;=175,W1362&gt;=110),0.1,0)+IF(AND(V1362&gt;175,W1362&lt;25),0.25,0)+IF(AND(V1362&gt;175,W1362&gt;=25,W1362&lt;55),0.2,0)+IF(AND(V1362&gt;175,W1362&gt;=55,W1362&lt;95),0.15,0)+IF(AND(V1362&gt;175,W1362&gt;=95),0.1,0))))))))))))))))))</f>
        <v>0.1</v>
      </c>
      <c r="Y1362" s="30">
        <f>IF(AG1362="None",0,IF(AG1362="Fix5",0.05, IF(AG1362="Fix6.25",0.0625,IF(AG1362="Fix3.75",0.0375,IF(AG1362="Fix10",0.1,IF(AG1362="Fix3",0.03,0))))))</f>
        <v>0</v>
      </c>
      <c r="Z1362" s="35">
        <f>T1362-AA1362-AB1362</f>
        <v>-894.6</v>
      </c>
      <c r="AA1362" s="29">
        <f>IF(AD1362="EUR",((T1362-R1362)*X1362)*U1362+(R1362*X1362),(T1362*X1362))</f>
        <v>-99.4</v>
      </c>
      <c r="AB1362" s="36">
        <f>IF(AD1362="EUR",((T1362-R1362)*Y1362)*U1362+(R1362*Y1362),(T1362*Y1362))</f>
        <v>0</v>
      </c>
      <c r="AC1362" s="37" t="b">
        <v>1</v>
      </c>
      <c r="AD1362" s="37" t="s">
        <v>38</v>
      </c>
      <c r="AE1362" s="37" t="s">
        <v>38</v>
      </c>
      <c r="AF1362" s="37" t="str">
        <f t="array" ref="AF1362">INDEX('Deal Info'!D:D, MATCH(A1362,'Deal Info'!A:A, 0))</f>
        <v>Fix10</v>
      </c>
      <c r="AG1362" s="38" t="str">
        <f t="array" ref="AG1362">INDEX('Deal Info'!G:G, MATCH(A1362,'Deal Info'!A:A, 0))</f>
        <v>None</v>
      </c>
    </row>
    <row r="1363" spans="1:33" ht="14.25" hidden="1" x14ac:dyDescent="0.2">
      <c r="A1363" s="18" t="str">
        <f t="array" ref="A1363">IF(G1363='Room Info'!$B$1, INDEX('Room Info'!$A$2:$A2446, MATCH(B1363,'Room Info'!$B$2:$B2446, 0)),IF(G1363='Room Info'!$C$1, INDEX('Room Info'!$A$2:$A2446, MATCH(B1363,'Room Info'!$C$2:$C2446, 0)),IF(G1363='Room Info'!$D$1, INDEX('Room Info'!$A$2:$A2446, MATCH(B1363,'Room Info'!$D$2:$D2446, 0)),IF(G1363='Room Info'!$E$1, INDEX('Room Info'!$A$2:$A2446, MATCH(B1363,'Room Info'!$E$2:$E2446, 0)),IF(G1363='Room Info'!$F$1, INDEX('Room Info'!$A$2:$A2446, MATCH(B1363,'Room Info'!$F$2:$F2446, 0)),IF(G1363='Room Info'!$H$1, INDEX('Room Info'!$A$2:$A2446, MATCH(B1363,'Room Info'!$H$2:$H2446, 0)),IF(G1363='Room Info'!$G$1, INDEX('Room Info'!$A$2:$A2446, MATCH(B1363,'Room Info'!$G$2:$G2446, 0)))))))))</f>
        <v>volkovsky</v>
      </c>
      <c r="B1363" s="45" t="s">
        <v>206</v>
      </c>
      <c r="C1363" s="46">
        <v>44886</v>
      </c>
      <c r="D1363" s="46">
        <v>44915</v>
      </c>
      <c r="E1363" s="47">
        <v>44896</v>
      </c>
      <c r="F1363" s="48" t="s">
        <v>34</v>
      </c>
      <c r="G1363" s="45" t="s">
        <v>35</v>
      </c>
      <c r="H1363" s="49" t="s">
        <v>148</v>
      </c>
      <c r="I1363" s="49" t="s">
        <v>44</v>
      </c>
      <c r="J1363" s="50">
        <v>250</v>
      </c>
      <c r="K1363" s="51">
        <v>51</v>
      </c>
      <c r="L1363" s="52">
        <v>1500</v>
      </c>
      <c r="M1363" s="53">
        <v>568</v>
      </c>
      <c r="N1363" s="28">
        <f>K1363*J1363</f>
        <v>12750</v>
      </c>
      <c r="O1363" s="54">
        <v>409</v>
      </c>
      <c r="P1363" s="29">
        <v>8.0196078429999993</v>
      </c>
      <c r="Q1363" s="55"/>
      <c r="R1363" s="31">
        <f>M1363+Q1363</f>
        <v>568</v>
      </c>
      <c r="S1363" s="56">
        <v>-338</v>
      </c>
      <c r="T1363" s="32">
        <f>R1363+S1363+IF(F1363="Without EV deal",L1363,0)</f>
        <v>230</v>
      </c>
      <c r="U1363" s="57"/>
      <c r="V1363" s="58"/>
      <c r="W1363" s="58"/>
      <c r="X1363" s="30">
        <f>IF(AF1363="DoEV",IF(AND(V1363&lt;20,W1363&lt;55),0.3,0)+IF(AND(V1363&lt;20,W1363&gt;=55,W1363&lt;105),0.23,0)+IF(AND(V1363&lt;20,W1363&gt;=105),0.17,0)+IF(AND(V1363&gt;=20,V1363&lt;40,W1363&lt;45),0.3,0)+IF(AND(V1363&gt;=20,V1363&lt;40,W1363&gt;=45,W1363&lt;95),0.23,0)+IF(AND(V1363&gt;=20,V1363&lt;40,W1363&gt;=95),0.17,0)+IF(AND(V1363&gt;=40,V1363&lt;75,W1363&lt;35),0.3,0)+IF(AND(V1363&gt;=40,V1363&lt;75,W1363&gt;=35,W1363&lt;75),0.23,0)+IF(AND(V1363&gt;=40,V1363&lt;75,W1363&gt;=75,W1363&lt;120),0.17,0)+IF(AND(V1363&gt;=40,V1363&lt;75,W1363&gt;=120),0.12,0)+IF(AND(V1363&gt;=75,V1363&lt;175,W1363&lt;35),0.3,0)+IF(AND(V1363&gt;=75,V1363&lt;=175,W1363&gt;=35,W1363&lt;65),0.23,0)+IF(AND(V1363&gt;=75,V1363&lt;=175,W1363&gt;=65,W1363&lt;110),0.17,0)+IF(AND(V1363&gt;=75,V1363&lt;=175,W1363&gt;=110),0.12,0)+IF(AND(V1363&gt;175,W1363&lt;25),0.3,0)+IF(AND(V1363&gt;175,W1363&gt;=25,W1363&lt;55),0.23,0)+IF(AND(V1363&gt;175,W1363&gt;=55,W1363&lt;95),0.17,0)+IF(AND(V1363&gt;175,W1363&gt;=95),0.12,0),
IF(AF1363="Fix15",0.15,
IF(AF1363="Fix18.75",0.1875,
IF(AF1363="Fix11.25",0.1125,
IF(AF1363="Fix10",0.1,
IF(AF1363="Fix9",0.09,
IF(AF1363="Fix19",0.19,
IF(AF1363="DoEV2017",IF(AND(W1363&lt;74),0.2,0)+IF(AND(W1363&gt;=74),0.17,0),
IF(AF1363="SF",IF(AND(V1363&lt;20,W1363&lt;89),0.3,0)+IF(AND(V1363&lt;20,W1363&gt;=89),0.25,0)+IF(AND(V1363&gt;=20,V1363&lt;40,W1363&lt;74),0.3,0)+IF(AND(V1363&gt;=20,V1363&lt;40,W1363&gt;=75),0.22,0)+IF(AND(V1363&gt;=40,V1363&lt;75,W1363&lt;75),0.26,0)+IF(AND(V1363&gt;=40,V1363&lt;75,W1363&gt;=75),0.22,0)+IF(V1363&gt;=75,0.22,0),
IF(AF1363="DoEVold",IF(AND(V1363&lt;40,W1363&lt;35),0.35,0)+IF(AND(V1363&lt;40,W1363&gt;=35,W1363&lt;75),0.25,0)+IF(AND(V1363&lt;40,W1363&gt;=75),0.17,0)+IF(AND(V1363&gt;=40,V1363&lt;75,W1363&lt;25),0.35,0)+IF(AND(V1363&gt;=40,V1363&lt;75,W1363&gt;=25,W1363&lt;65),0.25,0)+IF(AND(V1363&gt;=40,V1363&lt;75,W1363&gt;=65,W1363&lt;100),0.17,0)+IF(AND(V1363&gt;=40,V1363&lt;75,W1363&gt;=100),0.1,0)+IF(AND(V1363&gt;=75,W1363&lt;25),0.35,0)+IF(AND(V1363&gt;=75,W1363&gt;=25,W1363&lt;60),0.25,0)+IF(AND(V1363&gt;=75,W1363&gt;=60,W1363&lt;95),0.17,0)+IF(AND(V1363&gt;=75,W1363&gt;=95),0.1,0),
IF(AF1363="DoEVold15",IF(AND(V1363&lt;=40,W1363&lt;35),0.35,0)+IF(AND(V1363&lt;=40,W1363&gt;=35,W1363&lt;75),0.25,0)+IF(AND(V1363&lt;=40,W1363&gt;=75,W1363&lt;120),0.17,0)+IF(AND(V1363&lt;=40,W1363&gt;=120),0.15,0)+IF(AND(V1363&gt;40,V1363&lt;75,W1363&lt;25),0.35,0)+IF(AND(V1363&gt;=40,V1363&lt;75,W1363&gt;=25,W1363&lt;65),0.25,0)+IF(AND(V1363&gt;=40,V1363&lt;75,W1363&gt;=65,W1363&lt;100),0.17,0)+IF(AND(V1363&gt;=40,V1363&lt;75,W1363&gt;=100),0.1,0)+IF(AND(V1363&gt;=75,W1363&lt;25),0.35,0)+IF(AND(V1363&gt;=75,W1363&gt;=25,W1363&lt;60),0.25,0)+IF(AND(V1363&gt;=75,W1363&gt;=60,W1363&lt;95),0.17,0)+IF(AND(V1363&gt;=75,W1363&gt;=95),0.1,0),
IF(AF1363="DoEVba",IF(AND(V1363&lt;20,W1363&lt;105),0.2,0)+IF(AND(V1363&lt;20,W1363&gt;=105),0.15,0)+IF(AND(V1363&gt;=20,V1363&lt;40,W1363&lt;95),0.2,0)+IF(AND(V1363&gt;=20,V1363&lt;40,W1363&gt;=95,W1363&lt;150),0.15,0)+IF(AND(V1363&gt;=20,V1363&lt;40,W1363&gt;=150),0.12,0)+IF(AND(V1363&gt;=40,V1363&lt;75,W1363&lt;75),0.2,0)+IF(AND(V1363&gt;=40,V1363&lt;75,W1363&gt;=75,W1363&lt;120),0.15,0)+IF(AND(V1363&gt;=40,V1363&lt;75,W1363&gt;=120),0.12,0)+IF(AND(V1363&gt;=75,V1363&lt;175,W1363&lt;65),0.2,0)+IF(AND(V1363&gt;=75,V1363&lt;175,W1363&gt;=65,W1363&lt;110),0.15,0)+IF(AND(V1363&gt;=75,V1363&lt;175,W1363&gt;=110),0.12,0)+IF(AND(V1363&gt;=175,W1363&lt;55),0.2,0)+IF(AND(V1363&gt;=175,W1363&gt;=55,W1363&lt;95),0.15,0)+IF(AND(V1363&gt;=175,W1363&gt;=95),0.12,0),
IF(AF1363="DoEVku",IF(AND(V1363&lt;20,W1363&lt;55),0.23,0)+IF(AND(V1363&lt;20,W1363&gt;=55,W1363&lt;105),0.2,0)+IF(AND(V1363&lt;20,W1363&gt;=105),0.17,0)+IF(AND(V1363&gt;=20,V1363&lt;40,W1363&lt;45),0.23,0)+IF(AND(V1363&gt;=20,V1363&lt;40,W1363&gt;=45,W1363&lt;95),0.2,0)+IF(AND(V1363&gt;=20,V1363&lt;40,W1363&gt;=95,W1363&lt;=150),0.17,0)+IF(AND(V1363&gt;=20,V1363&lt;40,W1363&gt;=150),0.12,0)+IF(AND(V1363&gt;=40,V1363&lt;75,W1363&lt;35),0.23,0)+IF(AND(V1363&gt;=40,V1363&lt;75,W1363&gt;=35,W1363&lt;75),0.2,0)+IF(AND(V1363&gt;=40,V1363&lt;75,W1363&gt;=75,W1363&lt;120),0.17,0)+IF(AND(V1363&gt;=40,V1363&lt;75,W1363&gt;=120),0.12,0)+IF(AND(V1363&gt;=75,V1363&lt;175,W1363&lt;35),0.23,0)+IF(AND(V1363&gt;=75,V1363&lt;=175,W1363&gt;=35,W1363&lt;65),0.2,0)+IF(AND(V1363&gt;=75,V1363&lt;=175,W1363&gt;=65,W1363&lt;110),0.17,0)+IF(AND(V1363&gt;=75,V1363&lt;=175,W1363&gt;=110),0.12,0)+IF(AND(V1363&gt;175,W1363&lt;25),0.23,0)+IF(AND(V1363&gt;175,W1363&gt;=25,W1363&lt;55),0.2,0)+IF(AND(V1363&gt;175,W1363&gt;=55,W1363&lt;95),0.17,0)+IF(AND(V1363&gt;175,W1363&gt;=95),0.12,0),
IF(AF1363="DoEVs1",IF(AND(V1363&lt;20,W1363&lt;55),0.3,0)+IF(AND(V1363&lt;20,W1363&gt;=55,W1363&lt;105),0.23,0)+IF(AND(V1363&lt;20,W1363&gt;=105),0.17,0)+IF(AND(V1363&gt;=20,V1363&lt;40,W1363&lt;45),0.3,0)+IF(AND(V1363&gt;=20,V1363&lt;40,W1363&gt;=45,W1363&lt;95),0.23,0)+IF(AND(V1363&gt;=20,V1363&lt;40,W1363&gt;=95,W1363&lt;=150),0.17,0)+IF(AND(V1363&gt;=20,V1363&lt;40,W1363&gt;=150),0.12,0)+IF(AND(V1363&gt;=40,V1363&lt;75,W1363&lt;35),0.3,0)+IF(AND(V1363&gt;=40,V1363&lt;75,W1363&gt;=35,W1363&lt;75),0.23,0)+IF(AND(V1363&gt;=40,V1363&lt;75,W1363&gt;=75,W1363&lt;120),0.17,0)+IF(AND(V1363&gt;=40,V1363&lt;75,W1363&gt;=120),0.12,0)+IF(AND(V1363&gt;=75,V1363&lt;175,W1363&lt;35),0.3,0)+IF(AND(V1363&gt;=75,V1363&lt;=175,W1363&gt;=35,W1363&lt;65),0.23,0)+IF(AND(V1363&gt;=75,V1363&lt;=175,W1363&gt;=65,W1363&lt;110),0.17,0)+IF(AND(V1363&gt;=75,V1363&lt;=175,W1363&gt;=110),0.12,0)+IF(AND(V1363&gt;175,W1363&lt;25),0.3,0)+IF(AND(V1363&gt;175,W1363&gt;=25,W1363&lt;55),0.23,0)+IF(AND(V1363&gt;175,W1363&gt;=55,W1363&lt;95),0.17,0)+IF(AND(V1363&gt;175,W1363&gt;=95),0.12,0),
IF(AF1363="DoEVsu",IF(AND(V1363&lt;20,W1363&lt;55),0.3,0)+IF(AND(V1363&lt;20,W1363&gt;=55,W1363&lt;105),0.23,0)+IF(AND(V1363&lt;20,W1363&gt;=105),0.17,0)+IF(AND(V1363&gt;=20,V1363&lt;40,W1363&lt;45),0.3,0)+IF(AND(V1363&gt;=20,V1363&lt;40,W1363&gt;=45,W1363&lt;95),0.23,0)+IF(AND(V1363&gt;=20,V1363&lt;40,W1363&gt;=95,W1363&lt;=250),0.17,0)+IF(AND(V1363&gt;=20,V1363&lt;40,W1363&gt;=250),0.12,0)+IF(AND(V1363&gt;=40,V1363&lt;75,W1363&lt;35),0.3,0)+IF(AND(V1363&gt;=40,V1363&lt;75,W1363&gt;=35,W1363&lt;75),0.23,0)+IF(AND(V1363&gt;=40,V1363&lt;75,W1363&gt;=75,W1363&lt;120),0.17,0)+IF(AND(V1363&gt;=40,V1363&lt;75,W1363&gt;=120),0.12,0)+IF(AND(V1363&gt;=75,V1363&lt;175,W1363&lt;35),0.3,0)+IF(AND(V1363&gt;=75,V1363&lt;=175,W1363&gt;=35,W1363&lt;65),0.23,0)+IF(AND(V1363&gt;=75,V1363&lt;=175,W1363&gt;=65,W1363&lt;110),0.17,0)+IF(AND(V1363&gt;=75,V1363&lt;=175,W1363&gt;=110),0.12,0)+IF(AND(V1363&gt;175,W1363&lt;25),0.3,0)+IF(AND(V1363&gt;175,W1363&gt;=25,W1363&lt;55),0.23,0)+IF(AND(V1363&gt;175,W1363&gt;=55,W1363&lt;95),0.17,0)+IF(AND(V1363&gt;175,W1363&gt;=95),0.12,0),
IF(AF1363="DoEVni",IF(AND(V1363&lt;20,W1363&lt;55),0.3,0)+IF(AND(V1363&lt;20,W1363&gt;=55,W1363&lt;105),0.23,0)+IF(AND(V1363&lt;20,W1363&gt;=105),0.17,0)+IF(AND(V1363&gt;=20,V1363&lt;40,W1363&lt;45),0.3,0)+IF(AND(V1363&gt;=20,V1363&lt;40,W1363&gt;=45,W1363&lt;95),0.23,0)+IF(AND(V1363&gt;=20,V1363&lt;40,W1363&gt;=95,W1363&lt;=200),0.17,0)+IF(AND(V1363&gt;=20,V1363&lt;40,W1363&gt;=200),0.12,0)+IF(AND(V1363&gt;=40,V1363&lt;75,W1363&lt;35),0.3,0)+IF(AND(V1363&gt;=40,V1363&lt;75,W1363&gt;=35,W1363&lt;75),0.23,0)+IF(AND(V1363&gt;=40,V1363&lt;75,W1363&gt;=75,W1363&lt;120),0.17,0)+IF(AND(V1363&gt;=40,V1363&lt;75,W1363&gt;=120),0.12,0)+IF(AND(V1363&gt;=75,V1363&lt;175,W1363&lt;35),0.3,0)+IF(AND(V1363&gt;=75,V1363&lt;=175,W1363&gt;=35,W1363&lt;65),0.23,0)+IF(AND(V1363&gt;=75,V1363&lt;=175,W1363&gt;=65,W1363&lt;110),0.17,0)+IF(AND(V1363&gt;=75,V1363&lt;=175,W1363&gt;=110),0.12,0)+IF(AND(V1363&gt;175,W1363&lt;25),0.3,0)+IF(AND(V1363&gt;175,W1363&gt;=25,W1363&lt;55),0.23,0)+IF(AND(V1363&gt;175,W1363&gt;=55,W1363&lt;95),0.17,0)+IF(AND(V1363&gt;175,W1363&gt;=95),0.12,0),
IF(AF1363="DoEVLo",IF(AND(V1363&lt;20,W1363&lt;55),0.25,0)+IF(AND(V1363&lt;20,W1363&gt;=55,W1363&lt;105),0.2,0)+IF(AND(V1363&lt;20,W1363&gt;=105),0.15,0)+IF(AND(V1363&gt;=20,V1363&lt;40,W1363&lt;45),0.25,0)+IF(AND(V1363&gt;=20,V1363&lt;40,W1363&gt;=45,W1363&lt;95),0.2,0)+IF(AND(V1363&gt;=20,V1363&lt;40,W1363&gt;=95),0.15,0)+IF(AND(V1363&gt;=40,V1363&lt;75,W1363&lt;35),0.25,0)+IF(AND(V1363&gt;=40,V1363&lt;75,W1363&gt;=35,W1363&lt;75),0.2,0)+IF(AND(V1363&gt;=40,V1363&lt;75,W1363&gt;=75,W1363&lt;120),0.15,0)+IF(AND(V1363&gt;=40,V1363&lt;75,W1363&gt;=120),0.1,0)+IF(AND(V1363&gt;=75,V1363&lt;175,W1363&lt;35),0.25,0)+IF(AND(V1363&gt;=75,V1363&lt;=175,W1363&gt;=35,W1363&lt;65),0.2,0)+IF(AND(V1363&gt;=75,V1363&lt;=175,W1363&gt;=65,W1363&lt;110),0.15,0)+IF(AND(V1363&gt;=75,V1363&lt;=175,W1363&gt;=110),0.1,0)+IF(AND(V1363&gt;175,W1363&lt;25),0.25,0)+IF(AND(V1363&gt;175,W1363&gt;=25,W1363&lt;55),0.2,0)+IF(AND(V1363&gt;175,W1363&gt;=55,W1363&lt;95),0.15,0)+IF(AND(V1363&gt;175,W1363&gt;=95),0.1,0))))))))))))))))))</f>
        <v>0.1</v>
      </c>
      <c r="Y1363" s="30">
        <f>IF(AG1363="None",0,IF(AG1363="Fix5",0.05, IF(AG1363="Fix6.25",0.0625,IF(AG1363="Fix3.75",0.0375,IF(AG1363="Fix10",0.1,IF(AG1363="Fix3",0.03,0))))))</f>
        <v>0</v>
      </c>
      <c r="Z1363" s="35">
        <f>T1363-AA1363-AB1363</f>
        <v>207</v>
      </c>
      <c r="AA1363" s="29">
        <f>IF(AD1363="EUR",((T1363-R1363)*X1363)*U1363+(R1363*X1363),(T1363*X1363))</f>
        <v>23</v>
      </c>
      <c r="AB1363" s="36">
        <f>IF(AD1363="EUR",((T1363-R1363)*Y1363)*U1363+(R1363*Y1363),(T1363*Y1363))</f>
        <v>0</v>
      </c>
      <c r="AC1363" s="37" t="b">
        <v>1</v>
      </c>
      <c r="AD1363" s="37" t="s">
        <v>38</v>
      </c>
      <c r="AE1363" s="37" t="s">
        <v>38</v>
      </c>
      <c r="AF1363" s="37" t="str">
        <f t="array" ref="AF1363">INDEX('Deal Info'!D:D, MATCH(A1363,'Deal Info'!A:A, 0))</f>
        <v>Fix10</v>
      </c>
      <c r="AG1363" s="38" t="str">
        <f t="array" ref="AG1363">INDEX('Deal Info'!G:G, MATCH(A1363,'Deal Info'!A:A, 0))</f>
        <v>None</v>
      </c>
    </row>
    <row r="1364" spans="1:33" ht="14.25" hidden="1" x14ac:dyDescent="0.2">
      <c r="A1364" s="18" t="str">
        <f t="array" ref="A1364">IF(G1364='Room Info'!$B$1, INDEX('Room Info'!$A$2:$A2446, MATCH(B1364,'Room Info'!$B$2:$B2446, 0)),IF(G1364='Room Info'!$C$1, INDEX('Room Info'!$A$2:$A2446, MATCH(B1364,'Room Info'!$C$2:$C2446, 0)),IF(G1364='Room Info'!$D$1, INDEX('Room Info'!$A$2:$A2446, MATCH(B1364,'Room Info'!$D$2:$D2446, 0)),IF(G1364='Room Info'!$E$1, INDEX('Room Info'!$A$2:$A2446, MATCH(B1364,'Room Info'!$E$2:$E2446, 0)),IF(G1364='Room Info'!$F$1, INDEX('Room Info'!$A$2:$A2446, MATCH(B1364,'Room Info'!$F$2:$F2446, 0)),IF(G1364='Room Info'!$H$1, INDEX('Room Info'!$A$2:$A2446, MATCH(B1364,'Room Info'!$H$2:$H2446, 0)),IF(G1364='Room Info'!$G$1, INDEX('Room Info'!$A$2:$A2446, MATCH(B1364,'Room Info'!$G$2:$G2446, 0)))))))))</f>
        <v>volkovsky</v>
      </c>
      <c r="B1364" s="45" t="s">
        <v>206</v>
      </c>
      <c r="C1364" s="46">
        <v>44916</v>
      </c>
      <c r="D1364" s="46">
        <v>44946</v>
      </c>
      <c r="E1364" s="47">
        <v>44927</v>
      </c>
      <c r="F1364" s="48" t="s">
        <v>34</v>
      </c>
      <c r="G1364" s="45" t="s">
        <v>35</v>
      </c>
      <c r="H1364" s="49" t="s">
        <v>70</v>
      </c>
      <c r="I1364" s="49" t="s">
        <v>37</v>
      </c>
      <c r="J1364" s="50">
        <v>100</v>
      </c>
      <c r="K1364" s="51">
        <v>1844</v>
      </c>
      <c r="L1364" s="52">
        <v>9500</v>
      </c>
      <c r="M1364" s="53">
        <v>7331</v>
      </c>
      <c r="N1364" s="28">
        <f>K1364*J1364</f>
        <v>184400</v>
      </c>
      <c r="O1364" s="54">
        <v>50315</v>
      </c>
      <c r="P1364" s="29">
        <v>27.285791759999999</v>
      </c>
      <c r="Q1364" s="55"/>
      <c r="R1364" s="31">
        <f>M1364+Q1364</f>
        <v>7331</v>
      </c>
      <c r="S1364" s="56">
        <v>-172</v>
      </c>
      <c r="T1364" s="32">
        <f>R1364+S1364+IF(F1364="Without EV deal",L1364,0)</f>
        <v>7159</v>
      </c>
      <c r="U1364" s="57"/>
      <c r="V1364" s="58"/>
      <c r="W1364" s="58"/>
      <c r="X1364" s="30">
        <f>IF(AF1364="DoEV",IF(AND(V1364&lt;20,W1364&lt;55),0.3,0)+IF(AND(V1364&lt;20,W1364&gt;=55,W1364&lt;105),0.23,0)+IF(AND(V1364&lt;20,W1364&gt;=105),0.17,0)+IF(AND(V1364&gt;=20,V1364&lt;40,W1364&lt;45),0.3,0)+IF(AND(V1364&gt;=20,V1364&lt;40,W1364&gt;=45,W1364&lt;95),0.23,0)+IF(AND(V1364&gt;=20,V1364&lt;40,W1364&gt;=95),0.17,0)+IF(AND(V1364&gt;=40,V1364&lt;75,W1364&lt;35),0.3,0)+IF(AND(V1364&gt;=40,V1364&lt;75,W1364&gt;=35,W1364&lt;75),0.23,0)+IF(AND(V1364&gt;=40,V1364&lt;75,W1364&gt;=75,W1364&lt;120),0.17,0)+IF(AND(V1364&gt;=40,V1364&lt;75,W1364&gt;=120),0.12,0)+IF(AND(V1364&gt;=75,V1364&lt;175,W1364&lt;35),0.3,0)+IF(AND(V1364&gt;=75,V1364&lt;=175,W1364&gt;=35,W1364&lt;65),0.23,0)+IF(AND(V1364&gt;=75,V1364&lt;=175,W1364&gt;=65,W1364&lt;110),0.17,0)+IF(AND(V1364&gt;=75,V1364&lt;=175,W1364&gt;=110),0.12,0)+IF(AND(V1364&gt;175,W1364&lt;25),0.3,0)+IF(AND(V1364&gt;175,W1364&gt;=25,W1364&lt;55),0.23,0)+IF(AND(V1364&gt;175,W1364&gt;=55,W1364&lt;95),0.17,0)+IF(AND(V1364&gt;175,W1364&gt;=95),0.12,0),
IF(AF1364="Fix15",0.15,
IF(AF1364="Fix18.75",0.1875,
IF(AF1364="Fix11.25",0.1125,
IF(AF1364="Fix10",0.1,
IF(AF1364="Fix9",0.09,
IF(AF1364="Fix19",0.19,
IF(AF1364="DoEV2017",IF(AND(W1364&lt;74),0.2,0)+IF(AND(W1364&gt;=74),0.17,0),
IF(AF1364="SF",IF(AND(V1364&lt;20,W1364&lt;89),0.3,0)+IF(AND(V1364&lt;20,W1364&gt;=89),0.25,0)+IF(AND(V1364&gt;=20,V1364&lt;40,W1364&lt;74),0.3,0)+IF(AND(V1364&gt;=20,V1364&lt;40,W1364&gt;=75),0.22,0)+IF(AND(V1364&gt;=40,V1364&lt;75,W1364&lt;75),0.26,0)+IF(AND(V1364&gt;=40,V1364&lt;75,W1364&gt;=75),0.22,0)+IF(V1364&gt;=75,0.22,0),
IF(AF1364="DoEVold",IF(AND(V1364&lt;40,W1364&lt;35),0.35,0)+IF(AND(V1364&lt;40,W1364&gt;=35,W1364&lt;75),0.25,0)+IF(AND(V1364&lt;40,W1364&gt;=75),0.17,0)+IF(AND(V1364&gt;=40,V1364&lt;75,W1364&lt;25),0.35,0)+IF(AND(V1364&gt;=40,V1364&lt;75,W1364&gt;=25,W1364&lt;65),0.25,0)+IF(AND(V1364&gt;=40,V1364&lt;75,W1364&gt;=65,W1364&lt;100),0.17,0)+IF(AND(V1364&gt;=40,V1364&lt;75,W1364&gt;=100),0.1,0)+IF(AND(V1364&gt;=75,W1364&lt;25),0.35,0)+IF(AND(V1364&gt;=75,W1364&gt;=25,W1364&lt;60),0.25,0)+IF(AND(V1364&gt;=75,W1364&gt;=60,W1364&lt;95),0.17,0)+IF(AND(V1364&gt;=75,W1364&gt;=95),0.1,0),
IF(AF1364="DoEVold15",IF(AND(V1364&lt;=40,W1364&lt;35),0.35,0)+IF(AND(V1364&lt;=40,W1364&gt;=35,W1364&lt;75),0.25,0)+IF(AND(V1364&lt;=40,W1364&gt;=75,W1364&lt;120),0.17,0)+IF(AND(V1364&lt;=40,W1364&gt;=120),0.15,0)+IF(AND(V1364&gt;40,V1364&lt;75,W1364&lt;25),0.35,0)+IF(AND(V1364&gt;=40,V1364&lt;75,W1364&gt;=25,W1364&lt;65),0.25,0)+IF(AND(V1364&gt;=40,V1364&lt;75,W1364&gt;=65,W1364&lt;100),0.17,0)+IF(AND(V1364&gt;=40,V1364&lt;75,W1364&gt;=100),0.1,0)+IF(AND(V1364&gt;=75,W1364&lt;25),0.35,0)+IF(AND(V1364&gt;=75,W1364&gt;=25,W1364&lt;60),0.25,0)+IF(AND(V1364&gt;=75,W1364&gt;=60,W1364&lt;95),0.17,0)+IF(AND(V1364&gt;=75,W1364&gt;=95),0.1,0),
IF(AF1364="DoEVba",IF(AND(V1364&lt;20,W1364&lt;105),0.2,0)+IF(AND(V1364&lt;20,W1364&gt;=105),0.15,0)+IF(AND(V1364&gt;=20,V1364&lt;40,W1364&lt;95),0.2,0)+IF(AND(V1364&gt;=20,V1364&lt;40,W1364&gt;=95,W1364&lt;150),0.15,0)+IF(AND(V1364&gt;=20,V1364&lt;40,W1364&gt;=150),0.12,0)+IF(AND(V1364&gt;=40,V1364&lt;75,W1364&lt;75),0.2,0)+IF(AND(V1364&gt;=40,V1364&lt;75,W1364&gt;=75,W1364&lt;120),0.15,0)+IF(AND(V1364&gt;=40,V1364&lt;75,W1364&gt;=120),0.12,0)+IF(AND(V1364&gt;=75,V1364&lt;175,W1364&lt;65),0.2,0)+IF(AND(V1364&gt;=75,V1364&lt;175,W1364&gt;=65,W1364&lt;110),0.15,0)+IF(AND(V1364&gt;=75,V1364&lt;175,W1364&gt;=110),0.12,0)+IF(AND(V1364&gt;=175,W1364&lt;55),0.2,0)+IF(AND(V1364&gt;=175,W1364&gt;=55,W1364&lt;95),0.15,0)+IF(AND(V1364&gt;=175,W1364&gt;=95),0.12,0),
IF(AF1364="DoEVku",IF(AND(V1364&lt;20,W1364&lt;55),0.23,0)+IF(AND(V1364&lt;20,W1364&gt;=55,W1364&lt;105),0.2,0)+IF(AND(V1364&lt;20,W1364&gt;=105),0.17,0)+IF(AND(V1364&gt;=20,V1364&lt;40,W1364&lt;45),0.23,0)+IF(AND(V1364&gt;=20,V1364&lt;40,W1364&gt;=45,W1364&lt;95),0.2,0)+IF(AND(V1364&gt;=20,V1364&lt;40,W1364&gt;=95,W1364&lt;=150),0.17,0)+IF(AND(V1364&gt;=20,V1364&lt;40,W1364&gt;=150),0.12,0)+IF(AND(V1364&gt;=40,V1364&lt;75,W1364&lt;35),0.23,0)+IF(AND(V1364&gt;=40,V1364&lt;75,W1364&gt;=35,W1364&lt;75),0.2,0)+IF(AND(V1364&gt;=40,V1364&lt;75,W1364&gt;=75,W1364&lt;120),0.17,0)+IF(AND(V1364&gt;=40,V1364&lt;75,W1364&gt;=120),0.12,0)+IF(AND(V1364&gt;=75,V1364&lt;175,W1364&lt;35),0.23,0)+IF(AND(V1364&gt;=75,V1364&lt;=175,W1364&gt;=35,W1364&lt;65),0.2,0)+IF(AND(V1364&gt;=75,V1364&lt;=175,W1364&gt;=65,W1364&lt;110),0.17,0)+IF(AND(V1364&gt;=75,V1364&lt;=175,W1364&gt;=110),0.12,0)+IF(AND(V1364&gt;175,W1364&lt;25),0.23,0)+IF(AND(V1364&gt;175,W1364&gt;=25,W1364&lt;55),0.2,0)+IF(AND(V1364&gt;175,W1364&gt;=55,W1364&lt;95),0.17,0)+IF(AND(V1364&gt;175,W1364&gt;=95),0.12,0),
IF(AF1364="DoEVs1",IF(AND(V1364&lt;20,W1364&lt;55),0.3,0)+IF(AND(V1364&lt;20,W1364&gt;=55,W1364&lt;105),0.23,0)+IF(AND(V1364&lt;20,W1364&gt;=105),0.17,0)+IF(AND(V1364&gt;=20,V1364&lt;40,W1364&lt;45),0.3,0)+IF(AND(V1364&gt;=20,V1364&lt;40,W1364&gt;=45,W1364&lt;95),0.23,0)+IF(AND(V1364&gt;=20,V1364&lt;40,W1364&gt;=95,W1364&lt;=150),0.17,0)+IF(AND(V1364&gt;=20,V1364&lt;40,W1364&gt;=150),0.12,0)+IF(AND(V1364&gt;=40,V1364&lt;75,W1364&lt;35),0.3,0)+IF(AND(V1364&gt;=40,V1364&lt;75,W1364&gt;=35,W1364&lt;75),0.23,0)+IF(AND(V1364&gt;=40,V1364&lt;75,W1364&gt;=75,W1364&lt;120),0.17,0)+IF(AND(V1364&gt;=40,V1364&lt;75,W1364&gt;=120),0.12,0)+IF(AND(V1364&gt;=75,V1364&lt;175,W1364&lt;35),0.3,0)+IF(AND(V1364&gt;=75,V1364&lt;=175,W1364&gt;=35,W1364&lt;65),0.23,0)+IF(AND(V1364&gt;=75,V1364&lt;=175,W1364&gt;=65,W1364&lt;110),0.17,0)+IF(AND(V1364&gt;=75,V1364&lt;=175,W1364&gt;=110),0.12,0)+IF(AND(V1364&gt;175,W1364&lt;25),0.3,0)+IF(AND(V1364&gt;175,W1364&gt;=25,W1364&lt;55),0.23,0)+IF(AND(V1364&gt;175,W1364&gt;=55,W1364&lt;95),0.17,0)+IF(AND(V1364&gt;175,W1364&gt;=95),0.12,0),
IF(AF1364="DoEVsu",IF(AND(V1364&lt;20,W1364&lt;55),0.3,0)+IF(AND(V1364&lt;20,W1364&gt;=55,W1364&lt;105),0.23,0)+IF(AND(V1364&lt;20,W1364&gt;=105),0.17,0)+IF(AND(V1364&gt;=20,V1364&lt;40,W1364&lt;45),0.3,0)+IF(AND(V1364&gt;=20,V1364&lt;40,W1364&gt;=45,W1364&lt;95),0.23,0)+IF(AND(V1364&gt;=20,V1364&lt;40,W1364&gt;=95,W1364&lt;=250),0.17,0)+IF(AND(V1364&gt;=20,V1364&lt;40,W1364&gt;=250),0.12,0)+IF(AND(V1364&gt;=40,V1364&lt;75,W1364&lt;35),0.3,0)+IF(AND(V1364&gt;=40,V1364&lt;75,W1364&gt;=35,W1364&lt;75),0.23,0)+IF(AND(V1364&gt;=40,V1364&lt;75,W1364&gt;=75,W1364&lt;120),0.17,0)+IF(AND(V1364&gt;=40,V1364&lt;75,W1364&gt;=120),0.12,0)+IF(AND(V1364&gt;=75,V1364&lt;175,W1364&lt;35),0.3,0)+IF(AND(V1364&gt;=75,V1364&lt;=175,W1364&gt;=35,W1364&lt;65),0.23,0)+IF(AND(V1364&gt;=75,V1364&lt;=175,W1364&gt;=65,W1364&lt;110),0.17,0)+IF(AND(V1364&gt;=75,V1364&lt;=175,W1364&gt;=110),0.12,0)+IF(AND(V1364&gt;175,W1364&lt;25),0.3,0)+IF(AND(V1364&gt;175,W1364&gt;=25,W1364&lt;55),0.23,0)+IF(AND(V1364&gt;175,W1364&gt;=55,W1364&lt;95),0.17,0)+IF(AND(V1364&gt;175,W1364&gt;=95),0.12,0),
IF(AF1364="DoEVni",IF(AND(V1364&lt;20,W1364&lt;55),0.3,0)+IF(AND(V1364&lt;20,W1364&gt;=55,W1364&lt;105),0.23,0)+IF(AND(V1364&lt;20,W1364&gt;=105),0.17,0)+IF(AND(V1364&gt;=20,V1364&lt;40,W1364&lt;45),0.3,0)+IF(AND(V1364&gt;=20,V1364&lt;40,W1364&gt;=45,W1364&lt;95),0.23,0)+IF(AND(V1364&gt;=20,V1364&lt;40,W1364&gt;=95,W1364&lt;=200),0.17,0)+IF(AND(V1364&gt;=20,V1364&lt;40,W1364&gt;=200),0.12,0)+IF(AND(V1364&gt;=40,V1364&lt;75,W1364&lt;35),0.3,0)+IF(AND(V1364&gt;=40,V1364&lt;75,W1364&gt;=35,W1364&lt;75),0.23,0)+IF(AND(V1364&gt;=40,V1364&lt;75,W1364&gt;=75,W1364&lt;120),0.17,0)+IF(AND(V1364&gt;=40,V1364&lt;75,W1364&gt;=120),0.12,0)+IF(AND(V1364&gt;=75,V1364&lt;175,W1364&lt;35),0.3,0)+IF(AND(V1364&gt;=75,V1364&lt;=175,W1364&gt;=35,W1364&lt;65),0.23,0)+IF(AND(V1364&gt;=75,V1364&lt;=175,W1364&gt;=65,W1364&lt;110),0.17,0)+IF(AND(V1364&gt;=75,V1364&lt;=175,W1364&gt;=110),0.12,0)+IF(AND(V1364&gt;175,W1364&lt;25),0.3,0)+IF(AND(V1364&gt;175,W1364&gt;=25,W1364&lt;55),0.23,0)+IF(AND(V1364&gt;175,W1364&gt;=55,W1364&lt;95),0.17,0)+IF(AND(V1364&gt;175,W1364&gt;=95),0.12,0),
IF(AF1364="DoEVLo",IF(AND(V1364&lt;20,W1364&lt;55),0.25,0)+IF(AND(V1364&lt;20,W1364&gt;=55,W1364&lt;105),0.2,0)+IF(AND(V1364&lt;20,W1364&gt;=105),0.15,0)+IF(AND(V1364&gt;=20,V1364&lt;40,W1364&lt;45),0.25,0)+IF(AND(V1364&gt;=20,V1364&lt;40,W1364&gt;=45,W1364&lt;95),0.2,0)+IF(AND(V1364&gt;=20,V1364&lt;40,W1364&gt;=95),0.15,0)+IF(AND(V1364&gt;=40,V1364&lt;75,W1364&lt;35),0.25,0)+IF(AND(V1364&gt;=40,V1364&lt;75,W1364&gt;=35,W1364&lt;75),0.2,0)+IF(AND(V1364&gt;=40,V1364&lt;75,W1364&gt;=75,W1364&lt;120),0.15,0)+IF(AND(V1364&gt;=40,V1364&lt;75,W1364&gt;=120),0.1,0)+IF(AND(V1364&gt;=75,V1364&lt;175,W1364&lt;35),0.25,0)+IF(AND(V1364&gt;=75,V1364&lt;=175,W1364&gt;=35,W1364&lt;65),0.2,0)+IF(AND(V1364&gt;=75,V1364&lt;=175,W1364&gt;=65,W1364&lt;110),0.15,0)+IF(AND(V1364&gt;=75,V1364&lt;=175,W1364&gt;=110),0.1,0)+IF(AND(V1364&gt;175,W1364&lt;25),0.25,0)+IF(AND(V1364&gt;175,W1364&gt;=25,W1364&lt;55),0.2,0)+IF(AND(V1364&gt;175,W1364&gt;=55,W1364&lt;95),0.15,0)+IF(AND(V1364&gt;175,W1364&gt;=95),0.1,0))))))))))))))))))</f>
        <v>0.1</v>
      </c>
      <c r="Y1364" s="30">
        <f>IF(AG1364="None",0,IF(AG1364="Fix5",0.05, IF(AG1364="Fix6.25",0.0625,IF(AG1364="Fix3.75",0.0375,IF(AG1364="Fix10",0.1,IF(AG1364="Fix3",0.03,0))))))</f>
        <v>0</v>
      </c>
      <c r="Z1364" s="35">
        <f>T1364-AA1364-AB1364</f>
        <v>6443.1</v>
      </c>
      <c r="AA1364" s="29">
        <f>IF(AD1364="EUR",((T1364-R1364)*X1364)*U1364+(R1364*X1364),(T1364*X1364))</f>
        <v>715.90000000000009</v>
      </c>
      <c r="AB1364" s="36">
        <f>IF(AD1364="EUR",((T1364-R1364)*Y1364)*U1364+(R1364*Y1364),(T1364*Y1364))</f>
        <v>0</v>
      </c>
      <c r="AC1364" s="37" t="b">
        <v>1</v>
      </c>
      <c r="AD1364" s="37" t="s">
        <v>38</v>
      </c>
      <c r="AE1364" s="37" t="s">
        <v>38</v>
      </c>
      <c r="AF1364" s="37" t="str">
        <f t="array" ref="AF1364">INDEX('Deal Info'!D:D, MATCH(A1364,'Deal Info'!A:A, 0))</f>
        <v>Fix10</v>
      </c>
      <c r="AG1364" s="38" t="str">
        <f t="array" ref="AG1364">INDEX('Deal Info'!G:G, MATCH(A1364,'Deal Info'!A:A, 0))</f>
        <v>None</v>
      </c>
    </row>
    <row r="1365" spans="1:33" ht="14.25" hidden="1" x14ac:dyDescent="0.2">
      <c r="A1365" s="18" t="str">
        <f t="array" ref="A1365">IF(G1365='Room Info'!$B$1, INDEX('Room Info'!$A$2:$A2446, MATCH(B1365,'Room Info'!$B$2:$B2446, 0)),IF(G1365='Room Info'!$C$1, INDEX('Room Info'!$A$2:$A2446, MATCH(B1365,'Room Info'!$C$2:$C2446, 0)),IF(G1365='Room Info'!$D$1, INDEX('Room Info'!$A$2:$A2446, MATCH(B1365,'Room Info'!$D$2:$D2446, 0)),IF(G1365='Room Info'!$E$1, INDEX('Room Info'!$A$2:$A2446, MATCH(B1365,'Room Info'!$E$2:$E2446, 0)),IF(G1365='Room Info'!$F$1, INDEX('Room Info'!$A$2:$A2446, MATCH(B1365,'Room Info'!$F$2:$F2446, 0)),IF(G1365='Room Info'!$H$1, INDEX('Room Info'!$A$2:$A2446, MATCH(B1365,'Room Info'!$H$2:$H2446, 0)),IF(G1365='Room Info'!$G$1, INDEX('Room Info'!$A$2:$A2446, MATCH(B1365,'Room Info'!$G$2:$G2446, 0)))))))))</f>
        <v>volkovsky</v>
      </c>
      <c r="B1365" s="45" t="s">
        <v>206</v>
      </c>
      <c r="C1365" s="46">
        <v>44916</v>
      </c>
      <c r="D1365" s="46">
        <v>44946</v>
      </c>
      <c r="E1365" s="47">
        <v>44927</v>
      </c>
      <c r="F1365" s="48" t="s">
        <v>34</v>
      </c>
      <c r="G1365" s="45" t="s">
        <v>35</v>
      </c>
      <c r="H1365" s="49" t="s">
        <v>84</v>
      </c>
      <c r="I1365" s="49" t="s">
        <v>44</v>
      </c>
      <c r="J1365" s="50">
        <v>100</v>
      </c>
      <c r="K1365" s="51">
        <v>101</v>
      </c>
      <c r="L1365" s="52">
        <v>-1800</v>
      </c>
      <c r="M1365" s="53">
        <v>402</v>
      </c>
      <c r="N1365" s="28">
        <f>K1365*J1365</f>
        <v>10100</v>
      </c>
      <c r="O1365" s="54">
        <v>-188</v>
      </c>
      <c r="P1365" s="29">
        <v>-1.8613861389999999</v>
      </c>
      <c r="Q1365" s="55"/>
      <c r="R1365" s="31">
        <f>M1365+Q1365</f>
        <v>402</v>
      </c>
      <c r="S1365" s="56">
        <v>-585</v>
      </c>
      <c r="T1365" s="32">
        <f>R1365+S1365+IF(F1365="Without EV deal",L1365,0)</f>
        <v>-183</v>
      </c>
      <c r="U1365" s="57"/>
      <c r="V1365" s="58"/>
      <c r="W1365" s="58"/>
      <c r="X1365" s="30">
        <f>IF(AF1365="DoEV",IF(AND(V1365&lt;20,W1365&lt;55),0.3,0)+IF(AND(V1365&lt;20,W1365&gt;=55,W1365&lt;105),0.23,0)+IF(AND(V1365&lt;20,W1365&gt;=105),0.17,0)+IF(AND(V1365&gt;=20,V1365&lt;40,W1365&lt;45),0.3,0)+IF(AND(V1365&gt;=20,V1365&lt;40,W1365&gt;=45,W1365&lt;95),0.23,0)+IF(AND(V1365&gt;=20,V1365&lt;40,W1365&gt;=95),0.17,0)+IF(AND(V1365&gt;=40,V1365&lt;75,W1365&lt;35),0.3,0)+IF(AND(V1365&gt;=40,V1365&lt;75,W1365&gt;=35,W1365&lt;75),0.23,0)+IF(AND(V1365&gt;=40,V1365&lt;75,W1365&gt;=75,W1365&lt;120),0.17,0)+IF(AND(V1365&gt;=40,V1365&lt;75,W1365&gt;=120),0.12,0)+IF(AND(V1365&gt;=75,V1365&lt;175,W1365&lt;35),0.3,0)+IF(AND(V1365&gt;=75,V1365&lt;=175,W1365&gt;=35,W1365&lt;65),0.23,0)+IF(AND(V1365&gt;=75,V1365&lt;=175,W1365&gt;=65,W1365&lt;110),0.17,0)+IF(AND(V1365&gt;=75,V1365&lt;=175,W1365&gt;=110),0.12,0)+IF(AND(V1365&gt;175,W1365&lt;25),0.3,0)+IF(AND(V1365&gt;175,W1365&gt;=25,W1365&lt;55),0.23,0)+IF(AND(V1365&gt;175,W1365&gt;=55,W1365&lt;95),0.17,0)+IF(AND(V1365&gt;175,W1365&gt;=95),0.12,0),
IF(AF1365="Fix15",0.15,
IF(AF1365="Fix18.75",0.1875,
IF(AF1365="Fix11.25",0.1125,
IF(AF1365="Fix10",0.1,
IF(AF1365="Fix9",0.09,
IF(AF1365="Fix19",0.19,
IF(AF1365="DoEV2017",IF(AND(W1365&lt;74),0.2,0)+IF(AND(W1365&gt;=74),0.17,0),
IF(AF1365="SF",IF(AND(V1365&lt;20,W1365&lt;89),0.3,0)+IF(AND(V1365&lt;20,W1365&gt;=89),0.25,0)+IF(AND(V1365&gt;=20,V1365&lt;40,W1365&lt;74),0.3,0)+IF(AND(V1365&gt;=20,V1365&lt;40,W1365&gt;=75),0.22,0)+IF(AND(V1365&gt;=40,V1365&lt;75,W1365&lt;75),0.26,0)+IF(AND(V1365&gt;=40,V1365&lt;75,W1365&gt;=75),0.22,0)+IF(V1365&gt;=75,0.22,0),
IF(AF1365="DoEVold",IF(AND(V1365&lt;40,W1365&lt;35),0.35,0)+IF(AND(V1365&lt;40,W1365&gt;=35,W1365&lt;75),0.25,0)+IF(AND(V1365&lt;40,W1365&gt;=75),0.17,0)+IF(AND(V1365&gt;=40,V1365&lt;75,W1365&lt;25),0.35,0)+IF(AND(V1365&gt;=40,V1365&lt;75,W1365&gt;=25,W1365&lt;65),0.25,0)+IF(AND(V1365&gt;=40,V1365&lt;75,W1365&gt;=65,W1365&lt;100),0.17,0)+IF(AND(V1365&gt;=40,V1365&lt;75,W1365&gt;=100),0.1,0)+IF(AND(V1365&gt;=75,W1365&lt;25),0.35,0)+IF(AND(V1365&gt;=75,W1365&gt;=25,W1365&lt;60),0.25,0)+IF(AND(V1365&gt;=75,W1365&gt;=60,W1365&lt;95),0.17,0)+IF(AND(V1365&gt;=75,W1365&gt;=95),0.1,0),
IF(AF1365="DoEVold15",IF(AND(V1365&lt;=40,W1365&lt;35),0.35,0)+IF(AND(V1365&lt;=40,W1365&gt;=35,W1365&lt;75),0.25,0)+IF(AND(V1365&lt;=40,W1365&gt;=75,W1365&lt;120),0.17,0)+IF(AND(V1365&lt;=40,W1365&gt;=120),0.15,0)+IF(AND(V1365&gt;40,V1365&lt;75,W1365&lt;25),0.35,0)+IF(AND(V1365&gt;=40,V1365&lt;75,W1365&gt;=25,W1365&lt;65),0.25,0)+IF(AND(V1365&gt;=40,V1365&lt;75,W1365&gt;=65,W1365&lt;100),0.17,0)+IF(AND(V1365&gt;=40,V1365&lt;75,W1365&gt;=100),0.1,0)+IF(AND(V1365&gt;=75,W1365&lt;25),0.35,0)+IF(AND(V1365&gt;=75,W1365&gt;=25,W1365&lt;60),0.25,0)+IF(AND(V1365&gt;=75,W1365&gt;=60,W1365&lt;95),0.17,0)+IF(AND(V1365&gt;=75,W1365&gt;=95),0.1,0),
IF(AF1365="DoEVba",IF(AND(V1365&lt;20,W1365&lt;105),0.2,0)+IF(AND(V1365&lt;20,W1365&gt;=105),0.15,0)+IF(AND(V1365&gt;=20,V1365&lt;40,W1365&lt;95),0.2,0)+IF(AND(V1365&gt;=20,V1365&lt;40,W1365&gt;=95,W1365&lt;150),0.15,0)+IF(AND(V1365&gt;=20,V1365&lt;40,W1365&gt;=150),0.12,0)+IF(AND(V1365&gt;=40,V1365&lt;75,W1365&lt;75),0.2,0)+IF(AND(V1365&gt;=40,V1365&lt;75,W1365&gt;=75,W1365&lt;120),0.15,0)+IF(AND(V1365&gt;=40,V1365&lt;75,W1365&gt;=120),0.12,0)+IF(AND(V1365&gt;=75,V1365&lt;175,W1365&lt;65),0.2,0)+IF(AND(V1365&gt;=75,V1365&lt;175,W1365&gt;=65,W1365&lt;110),0.15,0)+IF(AND(V1365&gt;=75,V1365&lt;175,W1365&gt;=110),0.12,0)+IF(AND(V1365&gt;=175,W1365&lt;55),0.2,0)+IF(AND(V1365&gt;=175,W1365&gt;=55,W1365&lt;95),0.15,0)+IF(AND(V1365&gt;=175,W1365&gt;=95),0.12,0),
IF(AF1365="DoEVku",IF(AND(V1365&lt;20,W1365&lt;55),0.23,0)+IF(AND(V1365&lt;20,W1365&gt;=55,W1365&lt;105),0.2,0)+IF(AND(V1365&lt;20,W1365&gt;=105),0.17,0)+IF(AND(V1365&gt;=20,V1365&lt;40,W1365&lt;45),0.23,0)+IF(AND(V1365&gt;=20,V1365&lt;40,W1365&gt;=45,W1365&lt;95),0.2,0)+IF(AND(V1365&gt;=20,V1365&lt;40,W1365&gt;=95,W1365&lt;=150),0.17,0)+IF(AND(V1365&gt;=20,V1365&lt;40,W1365&gt;=150),0.12,0)+IF(AND(V1365&gt;=40,V1365&lt;75,W1365&lt;35),0.23,0)+IF(AND(V1365&gt;=40,V1365&lt;75,W1365&gt;=35,W1365&lt;75),0.2,0)+IF(AND(V1365&gt;=40,V1365&lt;75,W1365&gt;=75,W1365&lt;120),0.17,0)+IF(AND(V1365&gt;=40,V1365&lt;75,W1365&gt;=120),0.12,0)+IF(AND(V1365&gt;=75,V1365&lt;175,W1365&lt;35),0.23,0)+IF(AND(V1365&gt;=75,V1365&lt;=175,W1365&gt;=35,W1365&lt;65),0.2,0)+IF(AND(V1365&gt;=75,V1365&lt;=175,W1365&gt;=65,W1365&lt;110),0.17,0)+IF(AND(V1365&gt;=75,V1365&lt;=175,W1365&gt;=110),0.12,0)+IF(AND(V1365&gt;175,W1365&lt;25),0.23,0)+IF(AND(V1365&gt;175,W1365&gt;=25,W1365&lt;55),0.2,0)+IF(AND(V1365&gt;175,W1365&gt;=55,W1365&lt;95),0.17,0)+IF(AND(V1365&gt;175,W1365&gt;=95),0.12,0),
IF(AF1365="DoEVs1",IF(AND(V1365&lt;20,W1365&lt;55),0.3,0)+IF(AND(V1365&lt;20,W1365&gt;=55,W1365&lt;105),0.23,0)+IF(AND(V1365&lt;20,W1365&gt;=105),0.17,0)+IF(AND(V1365&gt;=20,V1365&lt;40,W1365&lt;45),0.3,0)+IF(AND(V1365&gt;=20,V1365&lt;40,W1365&gt;=45,W1365&lt;95),0.23,0)+IF(AND(V1365&gt;=20,V1365&lt;40,W1365&gt;=95,W1365&lt;=150),0.17,0)+IF(AND(V1365&gt;=20,V1365&lt;40,W1365&gt;=150),0.12,0)+IF(AND(V1365&gt;=40,V1365&lt;75,W1365&lt;35),0.3,0)+IF(AND(V1365&gt;=40,V1365&lt;75,W1365&gt;=35,W1365&lt;75),0.23,0)+IF(AND(V1365&gt;=40,V1365&lt;75,W1365&gt;=75,W1365&lt;120),0.17,0)+IF(AND(V1365&gt;=40,V1365&lt;75,W1365&gt;=120),0.12,0)+IF(AND(V1365&gt;=75,V1365&lt;175,W1365&lt;35),0.3,0)+IF(AND(V1365&gt;=75,V1365&lt;=175,W1365&gt;=35,W1365&lt;65),0.23,0)+IF(AND(V1365&gt;=75,V1365&lt;=175,W1365&gt;=65,W1365&lt;110),0.17,0)+IF(AND(V1365&gt;=75,V1365&lt;=175,W1365&gt;=110),0.12,0)+IF(AND(V1365&gt;175,W1365&lt;25),0.3,0)+IF(AND(V1365&gt;175,W1365&gt;=25,W1365&lt;55),0.23,0)+IF(AND(V1365&gt;175,W1365&gt;=55,W1365&lt;95),0.17,0)+IF(AND(V1365&gt;175,W1365&gt;=95),0.12,0),
IF(AF1365="DoEVsu",IF(AND(V1365&lt;20,W1365&lt;55),0.3,0)+IF(AND(V1365&lt;20,W1365&gt;=55,W1365&lt;105),0.23,0)+IF(AND(V1365&lt;20,W1365&gt;=105),0.17,0)+IF(AND(V1365&gt;=20,V1365&lt;40,W1365&lt;45),0.3,0)+IF(AND(V1365&gt;=20,V1365&lt;40,W1365&gt;=45,W1365&lt;95),0.23,0)+IF(AND(V1365&gt;=20,V1365&lt;40,W1365&gt;=95,W1365&lt;=250),0.17,0)+IF(AND(V1365&gt;=20,V1365&lt;40,W1365&gt;=250),0.12,0)+IF(AND(V1365&gt;=40,V1365&lt;75,W1365&lt;35),0.3,0)+IF(AND(V1365&gt;=40,V1365&lt;75,W1365&gt;=35,W1365&lt;75),0.23,0)+IF(AND(V1365&gt;=40,V1365&lt;75,W1365&gt;=75,W1365&lt;120),0.17,0)+IF(AND(V1365&gt;=40,V1365&lt;75,W1365&gt;=120),0.12,0)+IF(AND(V1365&gt;=75,V1365&lt;175,W1365&lt;35),0.3,0)+IF(AND(V1365&gt;=75,V1365&lt;=175,W1365&gt;=35,W1365&lt;65),0.23,0)+IF(AND(V1365&gt;=75,V1365&lt;=175,W1365&gt;=65,W1365&lt;110),0.17,0)+IF(AND(V1365&gt;=75,V1365&lt;=175,W1365&gt;=110),0.12,0)+IF(AND(V1365&gt;175,W1365&lt;25),0.3,0)+IF(AND(V1365&gt;175,W1365&gt;=25,W1365&lt;55),0.23,0)+IF(AND(V1365&gt;175,W1365&gt;=55,W1365&lt;95),0.17,0)+IF(AND(V1365&gt;175,W1365&gt;=95),0.12,0),
IF(AF1365="DoEVni",IF(AND(V1365&lt;20,W1365&lt;55),0.3,0)+IF(AND(V1365&lt;20,W1365&gt;=55,W1365&lt;105),0.23,0)+IF(AND(V1365&lt;20,W1365&gt;=105),0.17,0)+IF(AND(V1365&gt;=20,V1365&lt;40,W1365&lt;45),0.3,0)+IF(AND(V1365&gt;=20,V1365&lt;40,W1365&gt;=45,W1365&lt;95),0.23,0)+IF(AND(V1365&gt;=20,V1365&lt;40,W1365&gt;=95,W1365&lt;=200),0.17,0)+IF(AND(V1365&gt;=20,V1365&lt;40,W1365&gt;=200),0.12,0)+IF(AND(V1365&gt;=40,V1365&lt;75,W1365&lt;35),0.3,0)+IF(AND(V1365&gt;=40,V1365&lt;75,W1365&gt;=35,W1365&lt;75),0.23,0)+IF(AND(V1365&gt;=40,V1365&lt;75,W1365&gt;=75,W1365&lt;120),0.17,0)+IF(AND(V1365&gt;=40,V1365&lt;75,W1365&gt;=120),0.12,0)+IF(AND(V1365&gt;=75,V1365&lt;175,W1365&lt;35),0.3,0)+IF(AND(V1365&gt;=75,V1365&lt;=175,W1365&gt;=35,W1365&lt;65),0.23,0)+IF(AND(V1365&gt;=75,V1365&lt;=175,W1365&gt;=65,W1365&lt;110),0.17,0)+IF(AND(V1365&gt;=75,V1365&lt;=175,W1365&gt;=110),0.12,0)+IF(AND(V1365&gt;175,W1365&lt;25),0.3,0)+IF(AND(V1365&gt;175,W1365&gt;=25,W1365&lt;55),0.23,0)+IF(AND(V1365&gt;175,W1365&gt;=55,W1365&lt;95),0.17,0)+IF(AND(V1365&gt;175,W1365&gt;=95),0.12,0),
IF(AF1365="DoEVLo",IF(AND(V1365&lt;20,W1365&lt;55),0.25,0)+IF(AND(V1365&lt;20,W1365&gt;=55,W1365&lt;105),0.2,0)+IF(AND(V1365&lt;20,W1365&gt;=105),0.15,0)+IF(AND(V1365&gt;=20,V1365&lt;40,W1365&lt;45),0.25,0)+IF(AND(V1365&gt;=20,V1365&lt;40,W1365&gt;=45,W1365&lt;95),0.2,0)+IF(AND(V1365&gt;=20,V1365&lt;40,W1365&gt;=95),0.15,0)+IF(AND(V1365&gt;=40,V1365&lt;75,W1365&lt;35),0.25,0)+IF(AND(V1365&gt;=40,V1365&lt;75,W1365&gt;=35,W1365&lt;75),0.2,0)+IF(AND(V1365&gt;=40,V1365&lt;75,W1365&gt;=75,W1365&lt;120),0.15,0)+IF(AND(V1365&gt;=40,V1365&lt;75,W1365&gt;=120),0.1,0)+IF(AND(V1365&gt;=75,V1365&lt;175,W1365&lt;35),0.25,0)+IF(AND(V1365&gt;=75,V1365&lt;=175,W1365&gt;=35,W1365&lt;65),0.2,0)+IF(AND(V1365&gt;=75,V1365&lt;=175,W1365&gt;=65,W1365&lt;110),0.15,0)+IF(AND(V1365&gt;=75,V1365&lt;=175,W1365&gt;=110),0.1,0)+IF(AND(V1365&gt;175,W1365&lt;25),0.25,0)+IF(AND(V1365&gt;175,W1365&gt;=25,W1365&lt;55),0.2,0)+IF(AND(V1365&gt;175,W1365&gt;=55,W1365&lt;95),0.15,0)+IF(AND(V1365&gt;175,W1365&gt;=95),0.1,0))))))))))))))))))</f>
        <v>0.1</v>
      </c>
      <c r="Y1365" s="30">
        <f>IF(AG1365="None",0,IF(AG1365="Fix5",0.05, IF(AG1365="Fix6.25",0.0625,IF(AG1365="Fix3.75",0.0375,IF(AG1365="Fix10",0.1,IF(AG1365="Fix3",0.03,0))))))</f>
        <v>0</v>
      </c>
      <c r="Z1365" s="35">
        <f>T1365-AA1365-AB1365</f>
        <v>-164.7</v>
      </c>
      <c r="AA1365" s="29">
        <f>IF(AD1365="EUR",((T1365-R1365)*X1365)*U1365+(R1365*X1365),(T1365*X1365))</f>
        <v>-18.3</v>
      </c>
      <c r="AB1365" s="36">
        <f>IF(AD1365="EUR",((T1365-R1365)*Y1365)*U1365+(R1365*Y1365),(T1365*Y1365))</f>
        <v>0</v>
      </c>
      <c r="AC1365" s="37" t="b">
        <v>1</v>
      </c>
      <c r="AD1365" s="37" t="s">
        <v>38</v>
      </c>
      <c r="AE1365" s="37" t="s">
        <v>38</v>
      </c>
      <c r="AF1365" s="37" t="str">
        <f t="array" ref="AF1365">INDEX('Deal Info'!D:D, MATCH(A1365,'Deal Info'!A:A, 0))</f>
        <v>Fix10</v>
      </c>
      <c r="AG1365" s="38" t="str">
        <f t="array" ref="AG1365">INDEX('Deal Info'!G:G, MATCH(A1365,'Deal Info'!A:A, 0))</f>
        <v>None</v>
      </c>
    </row>
    <row r="1366" spans="1:33" ht="14.25" hidden="1" x14ac:dyDescent="0.2">
      <c r="A1366" s="18" t="str">
        <f t="array" ref="A1366">IF(G1366='Room Info'!$B$1, INDEX('Room Info'!$A$2:$A2446, MATCH(B1366,'Room Info'!$B$2:$B2446, 0)),IF(G1366='Room Info'!$C$1, INDEX('Room Info'!$A$2:$A2446, MATCH(B1366,'Room Info'!$C$2:$C2446, 0)),IF(G1366='Room Info'!$D$1, INDEX('Room Info'!$A$2:$A2446, MATCH(B1366,'Room Info'!$D$2:$D2446, 0)),IF(G1366='Room Info'!$E$1, INDEX('Room Info'!$A$2:$A2446, MATCH(B1366,'Room Info'!$E$2:$E2446, 0)),IF(G1366='Room Info'!$F$1, INDEX('Room Info'!$A$2:$A2446, MATCH(B1366,'Room Info'!$F$2:$F2446, 0)),IF(G1366='Room Info'!$H$1, INDEX('Room Info'!$A$2:$A2446, MATCH(B1366,'Room Info'!$H$2:$H2446, 0)),IF(G1366='Room Info'!$G$1, INDEX('Room Info'!$A$2:$A2446, MATCH(B1366,'Room Info'!$G$2:$G2446, 0)))))))))</f>
        <v>volkovsky</v>
      </c>
      <c r="B1366" s="45" t="s">
        <v>206</v>
      </c>
      <c r="C1366" s="46">
        <v>44916</v>
      </c>
      <c r="D1366" s="46">
        <v>44946</v>
      </c>
      <c r="E1366" s="47">
        <v>44927</v>
      </c>
      <c r="F1366" s="48" t="s">
        <v>34</v>
      </c>
      <c r="G1366" s="45" t="s">
        <v>35</v>
      </c>
      <c r="H1366" s="49" t="s">
        <v>88</v>
      </c>
      <c r="I1366" s="49" t="s">
        <v>37</v>
      </c>
      <c r="J1366" s="50">
        <v>250</v>
      </c>
      <c r="K1366" s="51">
        <v>584</v>
      </c>
      <c r="L1366" s="52">
        <v>21000</v>
      </c>
      <c r="M1366" s="53">
        <v>5804</v>
      </c>
      <c r="N1366" s="28">
        <f>K1366*J1366</f>
        <v>146000</v>
      </c>
      <c r="O1366" s="54">
        <v>22707</v>
      </c>
      <c r="P1366" s="29">
        <v>38.881849320000001</v>
      </c>
      <c r="Q1366" s="55"/>
      <c r="R1366" s="31">
        <f>M1366+Q1366</f>
        <v>5804</v>
      </c>
      <c r="S1366" s="56">
        <v>3415</v>
      </c>
      <c r="T1366" s="32">
        <f>R1366+S1366+IF(F1366="Without EV deal",L1366,0)</f>
        <v>9219</v>
      </c>
      <c r="U1366" s="57"/>
      <c r="V1366" s="58"/>
      <c r="W1366" s="58"/>
      <c r="X1366" s="30">
        <f>IF(AF1366="DoEV",IF(AND(V1366&lt;20,W1366&lt;55),0.3,0)+IF(AND(V1366&lt;20,W1366&gt;=55,W1366&lt;105),0.23,0)+IF(AND(V1366&lt;20,W1366&gt;=105),0.17,0)+IF(AND(V1366&gt;=20,V1366&lt;40,W1366&lt;45),0.3,0)+IF(AND(V1366&gt;=20,V1366&lt;40,W1366&gt;=45,W1366&lt;95),0.23,0)+IF(AND(V1366&gt;=20,V1366&lt;40,W1366&gt;=95),0.17,0)+IF(AND(V1366&gt;=40,V1366&lt;75,W1366&lt;35),0.3,0)+IF(AND(V1366&gt;=40,V1366&lt;75,W1366&gt;=35,W1366&lt;75),0.23,0)+IF(AND(V1366&gt;=40,V1366&lt;75,W1366&gt;=75,W1366&lt;120),0.17,0)+IF(AND(V1366&gt;=40,V1366&lt;75,W1366&gt;=120),0.12,0)+IF(AND(V1366&gt;=75,V1366&lt;175,W1366&lt;35),0.3,0)+IF(AND(V1366&gt;=75,V1366&lt;=175,W1366&gt;=35,W1366&lt;65),0.23,0)+IF(AND(V1366&gt;=75,V1366&lt;=175,W1366&gt;=65,W1366&lt;110),0.17,0)+IF(AND(V1366&gt;=75,V1366&lt;=175,W1366&gt;=110),0.12,0)+IF(AND(V1366&gt;175,W1366&lt;25),0.3,0)+IF(AND(V1366&gt;175,W1366&gt;=25,W1366&lt;55),0.23,0)+IF(AND(V1366&gt;175,W1366&gt;=55,W1366&lt;95),0.17,0)+IF(AND(V1366&gt;175,W1366&gt;=95),0.12,0),
IF(AF1366="Fix15",0.15,
IF(AF1366="Fix18.75",0.1875,
IF(AF1366="Fix11.25",0.1125,
IF(AF1366="Fix10",0.1,
IF(AF1366="Fix9",0.09,
IF(AF1366="Fix19",0.19,
IF(AF1366="DoEV2017",IF(AND(W1366&lt;74),0.2,0)+IF(AND(W1366&gt;=74),0.17,0),
IF(AF1366="SF",IF(AND(V1366&lt;20,W1366&lt;89),0.3,0)+IF(AND(V1366&lt;20,W1366&gt;=89),0.25,0)+IF(AND(V1366&gt;=20,V1366&lt;40,W1366&lt;74),0.3,0)+IF(AND(V1366&gt;=20,V1366&lt;40,W1366&gt;=75),0.22,0)+IF(AND(V1366&gt;=40,V1366&lt;75,W1366&lt;75),0.26,0)+IF(AND(V1366&gt;=40,V1366&lt;75,W1366&gt;=75),0.22,0)+IF(V1366&gt;=75,0.22,0),
IF(AF1366="DoEVold",IF(AND(V1366&lt;40,W1366&lt;35),0.35,0)+IF(AND(V1366&lt;40,W1366&gt;=35,W1366&lt;75),0.25,0)+IF(AND(V1366&lt;40,W1366&gt;=75),0.17,0)+IF(AND(V1366&gt;=40,V1366&lt;75,W1366&lt;25),0.35,0)+IF(AND(V1366&gt;=40,V1366&lt;75,W1366&gt;=25,W1366&lt;65),0.25,0)+IF(AND(V1366&gt;=40,V1366&lt;75,W1366&gt;=65,W1366&lt;100),0.17,0)+IF(AND(V1366&gt;=40,V1366&lt;75,W1366&gt;=100),0.1,0)+IF(AND(V1366&gt;=75,W1366&lt;25),0.35,0)+IF(AND(V1366&gt;=75,W1366&gt;=25,W1366&lt;60),0.25,0)+IF(AND(V1366&gt;=75,W1366&gt;=60,W1366&lt;95),0.17,0)+IF(AND(V1366&gt;=75,W1366&gt;=95),0.1,0),
IF(AF1366="DoEVold15",IF(AND(V1366&lt;=40,W1366&lt;35),0.35,0)+IF(AND(V1366&lt;=40,W1366&gt;=35,W1366&lt;75),0.25,0)+IF(AND(V1366&lt;=40,W1366&gt;=75,W1366&lt;120),0.17,0)+IF(AND(V1366&lt;=40,W1366&gt;=120),0.15,0)+IF(AND(V1366&gt;40,V1366&lt;75,W1366&lt;25),0.35,0)+IF(AND(V1366&gt;=40,V1366&lt;75,W1366&gt;=25,W1366&lt;65),0.25,0)+IF(AND(V1366&gt;=40,V1366&lt;75,W1366&gt;=65,W1366&lt;100),0.17,0)+IF(AND(V1366&gt;=40,V1366&lt;75,W1366&gt;=100),0.1,0)+IF(AND(V1366&gt;=75,W1366&lt;25),0.35,0)+IF(AND(V1366&gt;=75,W1366&gt;=25,W1366&lt;60),0.25,0)+IF(AND(V1366&gt;=75,W1366&gt;=60,W1366&lt;95),0.17,0)+IF(AND(V1366&gt;=75,W1366&gt;=95),0.1,0),
IF(AF1366="DoEVba",IF(AND(V1366&lt;20,W1366&lt;105),0.2,0)+IF(AND(V1366&lt;20,W1366&gt;=105),0.15,0)+IF(AND(V1366&gt;=20,V1366&lt;40,W1366&lt;95),0.2,0)+IF(AND(V1366&gt;=20,V1366&lt;40,W1366&gt;=95,W1366&lt;150),0.15,0)+IF(AND(V1366&gt;=20,V1366&lt;40,W1366&gt;=150),0.12,0)+IF(AND(V1366&gt;=40,V1366&lt;75,W1366&lt;75),0.2,0)+IF(AND(V1366&gt;=40,V1366&lt;75,W1366&gt;=75,W1366&lt;120),0.15,0)+IF(AND(V1366&gt;=40,V1366&lt;75,W1366&gt;=120),0.12,0)+IF(AND(V1366&gt;=75,V1366&lt;175,W1366&lt;65),0.2,0)+IF(AND(V1366&gt;=75,V1366&lt;175,W1366&gt;=65,W1366&lt;110),0.15,0)+IF(AND(V1366&gt;=75,V1366&lt;175,W1366&gt;=110),0.12,0)+IF(AND(V1366&gt;=175,W1366&lt;55),0.2,0)+IF(AND(V1366&gt;=175,W1366&gt;=55,W1366&lt;95),0.15,0)+IF(AND(V1366&gt;=175,W1366&gt;=95),0.12,0),
IF(AF1366="DoEVku",IF(AND(V1366&lt;20,W1366&lt;55),0.23,0)+IF(AND(V1366&lt;20,W1366&gt;=55,W1366&lt;105),0.2,0)+IF(AND(V1366&lt;20,W1366&gt;=105),0.17,0)+IF(AND(V1366&gt;=20,V1366&lt;40,W1366&lt;45),0.23,0)+IF(AND(V1366&gt;=20,V1366&lt;40,W1366&gt;=45,W1366&lt;95),0.2,0)+IF(AND(V1366&gt;=20,V1366&lt;40,W1366&gt;=95,W1366&lt;=150),0.17,0)+IF(AND(V1366&gt;=20,V1366&lt;40,W1366&gt;=150),0.12,0)+IF(AND(V1366&gt;=40,V1366&lt;75,W1366&lt;35),0.23,0)+IF(AND(V1366&gt;=40,V1366&lt;75,W1366&gt;=35,W1366&lt;75),0.2,0)+IF(AND(V1366&gt;=40,V1366&lt;75,W1366&gt;=75,W1366&lt;120),0.17,0)+IF(AND(V1366&gt;=40,V1366&lt;75,W1366&gt;=120),0.12,0)+IF(AND(V1366&gt;=75,V1366&lt;175,W1366&lt;35),0.23,0)+IF(AND(V1366&gt;=75,V1366&lt;=175,W1366&gt;=35,W1366&lt;65),0.2,0)+IF(AND(V1366&gt;=75,V1366&lt;=175,W1366&gt;=65,W1366&lt;110),0.17,0)+IF(AND(V1366&gt;=75,V1366&lt;=175,W1366&gt;=110),0.12,0)+IF(AND(V1366&gt;175,W1366&lt;25),0.23,0)+IF(AND(V1366&gt;175,W1366&gt;=25,W1366&lt;55),0.2,0)+IF(AND(V1366&gt;175,W1366&gt;=55,W1366&lt;95),0.17,0)+IF(AND(V1366&gt;175,W1366&gt;=95),0.12,0),
IF(AF1366="DoEVs1",IF(AND(V1366&lt;20,W1366&lt;55),0.3,0)+IF(AND(V1366&lt;20,W1366&gt;=55,W1366&lt;105),0.23,0)+IF(AND(V1366&lt;20,W1366&gt;=105),0.17,0)+IF(AND(V1366&gt;=20,V1366&lt;40,W1366&lt;45),0.3,0)+IF(AND(V1366&gt;=20,V1366&lt;40,W1366&gt;=45,W1366&lt;95),0.23,0)+IF(AND(V1366&gt;=20,V1366&lt;40,W1366&gt;=95,W1366&lt;=150),0.17,0)+IF(AND(V1366&gt;=20,V1366&lt;40,W1366&gt;=150),0.12,0)+IF(AND(V1366&gt;=40,V1366&lt;75,W1366&lt;35),0.3,0)+IF(AND(V1366&gt;=40,V1366&lt;75,W1366&gt;=35,W1366&lt;75),0.23,0)+IF(AND(V1366&gt;=40,V1366&lt;75,W1366&gt;=75,W1366&lt;120),0.17,0)+IF(AND(V1366&gt;=40,V1366&lt;75,W1366&gt;=120),0.12,0)+IF(AND(V1366&gt;=75,V1366&lt;175,W1366&lt;35),0.3,0)+IF(AND(V1366&gt;=75,V1366&lt;=175,W1366&gt;=35,W1366&lt;65),0.23,0)+IF(AND(V1366&gt;=75,V1366&lt;=175,W1366&gt;=65,W1366&lt;110),0.17,0)+IF(AND(V1366&gt;=75,V1366&lt;=175,W1366&gt;=110),0.12,0)+IF(AND(V1366&gt;175,W1366&lt;25),0.3,0)+IF(AND(V1366&gt;175,W1366&gt;=25,W1366&lt;55),0.23,0)+IF(AND(V1366&gt;175,W1366&gt;=55,W1366&lt;95),0.17,0)+IF(AND(V1366&gt;175,W1366&gt;=95),0.12,0),
IF(AF1366="DoEVsu",IF(AND(V1366&lt;20,W1366&lt;55),0.3,0)+IF(AND(V1366&lt;20,W1366&gt;=55,W1366&lt;105),0.23,0)+IF(AND(V1366&lt;20,W1366&gt;=105),0.17,0)+IF(AND(V1366&gt;=20,V1366&lt;40,W1366&lt;45),0.3,0)+IF(AND(V1366&gt;=20,V1366&lt;40,W1366&gt;=45,W1366&lt;95),0.23,0)+IF(AND(V1366&gt;=20,V1366&lt;40,W1366&gt;=95,W1366&lt;=250),0.17,0)+IF(AND(V1366&gt;=20,V1366&lt;40,W1366&gt;=250),0.12,0)+IF(AND(V1366&gt;=40,V1366&lt;75,W1366&lt;35),0.3,0)+IF(AND(V1366&gt;=40,V1366&lt;75,W1366&gt;=35,W1366&lt;75),0.23,0)+IF(AND(V1366&gt;=40,V1366&lt;75,W1366&gt;=75,W1366&lt;120),0.17,0)+IF(AND(V1366&gt;=40,V1366&lt;75,W1366&gt;=120),0.12,0)+IF(AND(V1366&gt;=75,V1366&lt;175,W1366&lt;35),0.3,0)+IF(AND(V1366&gt;=75,V1366&lt;=175,W1366&gt;=35,W1366&lt;65),0.23,0)+IF(AND(V1366&gt;=75,V1366&lt;=175,W1366&gt;=65,W1366&lt;110),0.17,0)+IF(AND(V1366&gt;=75,V1366&lt;=175,W1366&gt;=110),0.12,0)+IF(AND(V1366&gt;175,W1366&lt;25),0.3,0)+IF(AND(V1366&gt;175,W1366&gt;=25,W1366&lt;55),0.23,0)+IF(AND(V1366&gt;175,W1366&gt;=55,W1366&lt;95),0.17,0)+IF(AND(V1366&gt;175,W1366&gt;=95),0.12,0),
IF(AF1366="DoEVni",IF(AND(V1366&lt;20,W1366&lt;55),0.3,0)+IF(AND(V1366&lt;20,W1366&gt;=55,W1366&lt;105),0.23,0)+IF(AND(V1366&lt;20,W1366&gt;=105),0.17,0)+IF(AND(V1366&gt;=20,V1366&lt;40,W1366&lt;45),0.3,0)+IF(AND(V1366&gt;=20,V1366&lt;40,W1366&gt;=45,W1366&lt;95),0.23,0)+IF(AND(V1366&gt;=20,V1366&lt;40,W1366&gt;=95,W1366&lt;=200),0.17,0)+IF(AND(V1366&gt;=20,V1366&lt;40,W1366&gt;=200),0.12,0)+IF(AND(V1366&gt;=40,V1366&lt;75,W1366&lt;35),0.3,0)+IF(AND(V1366&gt;=40,V1366&lt;75,W1366&gt;=35,W1366&lt;75),0.23,0)+IF(AND(V1366&gt;=40,V1366&lt;75,W1366&gt;=75,W1366&lt;120),0.17,0)+IF(AND(V1366&gt;=40,V1366&lt;75,W1366&gt;=120),0.12,0)+IF(AND(V1366&gt;=75,V1366&lt;175,W1366&lt;35),0.3,0)+IF(AND(V1366&gt;=75,V1366&lt;=175,W1366&gt;=35,W1366&lt;65),0.23,0)+IF(AND(V1366&gt;=75,V1366&lt;=175,W1366&gt;=65,W1366&lt;110),0.17,0)+IF(AND(V1366&gt;=75,V1366&lt;=175,W1366&gt;=110),0.12,0)+IF(AND(V1366&gt;175,W1366&lt;25),0.3,0)+IF(AND(V1366&gt;175,W1366&gt;=25,W1366&lt;55),0.23,0)+IF(AND(V1366&gt;175,W1366&gt;=55,W1366&lt;95),0.17,0)+IF(AND(V1366&gt;175,W1366&gt;=95),0.12,0),
IF(AF1366="DoEVLo",IF(AND(V1366&lt;20,W1366&lt;55),0.25,0)+IF(AND(V1366&lt;20,W1366&gt;=55,W1366&lt;105),0.2,0)+IF(AND(V1366&lt;20,W1366&gt;=105),0.15,0)+IF(AND(V1366&gt;=20,V1366&lt;40,W1366&lt;45),0.25,0)+IF(AND(V1366&gt;=20,V1366&lt;40,W1366&gt;=45,W1366&lt;95),0.2,0)+IF(AND(V1366&gt;=20,V1366&lt;40,W1366&gt;=95),0.15,0)+IF(AND(V1366&gt;=40,V1366&lt;75,W1366&lt;35),0.25,0)+IF(AND(V1366&gt;=40,V1366&lt;75,W1366&gt;=35,W1366&lt;75),0.2,0)+IF(AND(V1366&gt;=40,V1366&lt;75,W1366&gt;=75,W1366&lt;120),0.15,0)+IF(AND(V1366&gt;=40,V1366&lt;75,W1366&gt;=120),0.1,0)+IF(AND(V1366&gt;=75,V1366&lt;175,W1366&lt;35),0.25,0)+IF(AND(V1366&gt;=75,V1366&lt;=175,W1366&gt;=35,W1366&lt;65),0.2,0)+IF(AND(V1366&gt;=75,V1366&lt;=175,W1366&gt;=65,W1366&lt;110),0.15,0)+IF(AND(V1366&gt;=75,V1366&lt;=175,W1366&gt;=110),0.1,0)+IF(AND(V1366&gt;175,W1366&lt;25),0.25,0)+IF(AND(V1366&gt;175,W1366&gt;=25,W1366&lt;55),0.2,0)+IF(AND(V1366&gt;175,W1366&gt;=55,W1366&lt;95),0.15,0)+IF(AND(V1366&gt;175,W1366&gt;=95),0.1,0))))))))))))))))))</f>
        <v>0.1</v>
      </c>
      <c r="Y1366" s="30">
        <f>IF(AG1366="None",0,IF(AG1366="Fix5",0.05, IF(AG1366="Fix6.25",0.0625,IF(AG1366="Fix3.75",0.0375,IF(AG1366="Fix10",0.1,IF(AG1366="Fix3",0.03,0))))))</f>
        <v>0</v>
      </c>
      <c r="Z1366" s="35">
        <f>T1366-AA1366-AB1366</f>
        <v>8297.1</v>
      </c>
      <c r="AA1366" s="29">
        <f>IF(AD1366="EUR",((T1366-R1366)*X1366)*U1366+(R1366*X1366),(T1366*X1366))</f>
        <v>921.90000000000009</v>
      </c>
      <c r="AB1366" s="36">
        <f>IF(AD1366="EUR",((T1366-R1366)*Y1366)*U1366+(R1366*Y1366),(T1366*Y1366))</f>
        <v>0</v>
      </c>
      <c r="AC1366" s="37" t="b">
        <v>1</v>
      </c>
      <c r="AD1366" s="37" t="s">
        <v>38</v>
      </c>
      <c r="AE1366" s="37" t="s">
        <v>38</v>
      </c>
      <c r="AF1366" s="37" t="str">
        <f t="array" ref="AF1366">INDEX('Deal Info'!D:D, MATCH(A1366,'Deal Info'!A:A, 0))</f>
        <v>Fix10</v>
      </c>
      <c r="AG1366" s="38" t="str">
        <f t="array" ref="AG1366">INDEX('Deal Info'!G:G, MATCH(A1366,'Deal Info'!A:A, 0))</f>
        <v>None</v>
      </c>
    </row>
    <row r="1367" spans="1:33" ht="14.25" hidden="1" x14ac:dyDescent="0.2">
      <c r="A1367" s="18" t="str">
        <f t="array" ref="A1367">IF(G1367='Room Info'!$B$1, INDEX('Room Info'!$A$2:$A2446, MATCH(B1367,'Room Info'!$B$2:$B2446, 0)),IF(G1367='Room Info'!$C$1, INDEX('Room Info'!$A$2:$A2446, MATCH(B1367,'Room Info'!$C$2:$C2446, 0)),IF(G1367='Room Info'!$D$1, INDEX('Room Info'!$A$2:$A2446, MATCH(B1367,'Room Info'!$D$2:$D2446, 0)),IF(G1367='Room Info'!$E$1, INDEX('Room Info'!$A$2:$A2446, MATCH(B1367,'Room Info'!$E$2:$E2446, 0)),IF(G1367='Room Info'!$F$1, INDEX('Room Info'!$A$2:$A2446, MATCH(B1367,'Room Info'!$F$2:$F2446, 0)),IF(G1367='Room Info'!$H$1, INDEX('Room Info'!$A$2:$A2446, MATCH(B1367,'Room Info'!$H$2:$H2446, 0)),IF(G1367='Room Info'!$G$1, INDEX('Room Info'!$A$2:$A2446, MATCH(B1367,'Room Info'!$G$2:$G2446, 0)))))))))</f>
        <v>volkovsky</v>
      </c>
      <c r="B1367" s="45" t="s">
        <v>206</v>
      </c>
      <c r="C1367" s="46">
        <v>44916</v>
      </c>
      <c r="D1367" s="46">
        <v>44946</v>
      </c>
      <c r="E1367" s="47">
        <v>44927</v>
      </c>
      <c r="F1367" s="48" t="s">
        <v>34</v>
      </c>
      <c r="G1367" s="45" t="s">
        <v>35</v>
      </c>
      <c r="H1367" s="49" t="s">
        <v>148</v>
      </c>
      <c r="I1367" s="49" t="s">
        <v>44</v>
      </c>
      <c r="J1367" s="50">
        <v>250</v>
      </c>
      <c r="K1367" s="51">
        <v>97</v>
      </c>
      <c r="L1367" s="52">
        <v>-4250</v>
      </c>
      <c r="M1367" s="53">
        <v>964</v>
      </c>
      <c r="N1367" s="28">
        <f>K1367*J1367</f>
        <v>24250</v>
      </c>
      <c r="O1367" s="54">
        <v>815</v>
      </c>
      <c r="P1367" s="29">
        <v>8.4020618559999996</v>
      </c>
      <c r="Q1367" s="55"/>
      <c r="R1367" s="31">
        <f>M1367+Q1367</f>
        <v>964</v>
      </c>
      <c r="S1367" s="56">
        <v>-566</v>
      </c>
      <c r="T1367" s="32">
        <f>R1367+S1367+IF(F1367="Without EV deal",L1367,0)</f>
        <v>398</v>
      </c>
      <c r="U1367" s="57"/>
      <c r="V1367" s="58"/>
      <c r="W1367" s="58"/>
      <c r="X1367" s="30">
        <f>IF(AF1367="DoEV",IF(AND(V1367&lt;20,W1367&lt;55),0.3,0)+IF(AND(V1367&lt;20,W1367&gt;=55,W1367&lt;105),0.23,0)+IF(AND(V1367&lt;20,W1367&gt;=105),0.17,0)+IF(AND(V1367&gt;=20,V1367&lt;40,W1367&lt;45),0.3,0)+IF(AND(V1367&gt;=20,V1367&lt;40,W1367&gt;=45,W1367&lt;95),0.23,0)+IF(AND(V1367&gt;=20,V1367&lt;40,W1367&gt;=95),0.17,0)+IF(AND(V1367&gt;=40,V1367&lt;75,W1367&lt;35),0.3,0)+IF(AND(V1367&gt;=40,V1367&lt;75,W1367&gt;=35,W1367&lt;75),0.23,0)+IF(AND(V1367&gt;=40,V1367&lt;75,W1367&gt;=75,W1367&lt;120),0.17,0)+IF(AND(V1367&gt;=40,V1367&lt;75,W1367&gt;=120),0.12,0)+IF(AND(V1367&gt;=75,V1367&lt;175,W1367&lt;35),0.3,0)+IF(AND(V1367&gt;=75,V1367&lt;=175,W1367&gt;=35,W1367&lt;65),0.23,0)+IF(AND(V1367&gt;=75,V1367&lt;=175,W1367&gt;=65,W1367&lt;110),0.17,0)+IF(AND(V1367&gt;=75,V1367&lt;=175,W1367&gt;=110),0.12,0)+IF(AND(V1367&gt;175,W1367&lt;25),0.3,0)+IF(AND(V1367&gt;175,W1367&gt;=25,W1367&lt;55),0.23,0)+IF(AND(V1367&gt;175,W1367&gt;=55,W1367&lt;95),0.17,0)+IF(AND(V1367&gt;175,W1367&gt;=95),0.12,0),
IF(AF1367="Fix15",0.15,
IF(AF1367="Fix18.75",0.1875,
IF(AF1367="Fix11.25",0.1125,
IF(AF1367="Fix10",0.1,
IF(AF1367="Fix9",0.09,
IF(AF1367="Fix19",0.19,
IF(AF1367="DoEV2017",IF(AND(W1367&lt;74),0.2,0)+IF(AND(W1367&gt;=74),0.17,0),
IF(AF1367="SF",IF(AND(V1367&lt;20,W1367&lt;89),0.3,0)+IF(AND(V1367&lt;20,W1367&gt;=89),0.25,0)+IF(AND(V1367&gt;=20,V1367&lt;40,W1367&lt;74),0.3,0)+IF(AND(V1367&gt;=20,V1367&lt;40,W1367&gt;=75),0.22,0)+IF(AND(V1367&gt;=40,V1367&lt;75,W1367&lt;75),0.26,0)+IF(AND(V1367&gt;=40,V1367&lt;75,W1367&gt;=75),0.22,0)+IF(V1367&gt;=75,0.22,0),
IF(AF1367="DoEVold",IF(AND(V1367&lt;40,W1367&lt;35),0.35,0)+IF(AND(V1367&lt;40,W1367&gt;=35,W1367&lt;75),0.25,0)+IF(AND(V1367&lt;40,W1367&gt;=75),0.17,0)+IF(AND(V1367&gt;=40,V1367&lt;75,W1367&lt;25),0.35,0)+IF(AND(V1367&gt;=40,V1367&lt;75,W1367&gt;=25,W1367&lt;65),0.25,0)+IF(AND(V1367&gt;=40,V1367&lt;75,W1367&gt;=65,W1367&lt;100),0.17,0)+IF(AND(V1367&gt;=40,V1367&lt;75,W1367&gt;=100),0.1,0)+IF(AND(V1367&gt;=75,W1367&lt;25),0.35,0)+IF(AND(V1367&gt;=75,W1367&gt;=25,W1367&lt;60),0.25,0)+IF(AND(V1367&gt;=75,W1367&gt;=60,W1367&lt;95),0.17,0)+IF(AND(V1367&gt;=75,W1367&gt;=95),0.1,0),
IF(AF1367="DoEVold15",IF(AND(V1367&lt;=40,W1367&lt;35),0.35,0)+IF(AND(V1367&lt;=40,W1367&gt;=35,W1367&lt;75),0.25,0)+IF(AND(V1367&lt;=40,W1367&gt;=75,W1367&lt;120),0.17,0)+IF(AND(V1367&lt;=40,W1367&gt;=120),0.15,0)+IF(AND(V1367&gt;40,V1367&lt;75,W1367&lt;25),0.35,0)+IF(AND(V1367&gt;=40,V1367&lt;75,W1367&gt;=25,W1367&lt;65),0.25,0)+IF(AND(V1367&gt;=40,V1367&lt;75,W1367&gt;=65,W1367&lt;100),0.17,0)+IF(AND(V1367&gt;=40,V1367&lt;75,W1367&gt;=100),0.1,0)+IF(AND(V1367&gt;=75,W1367&lt;25),0.35,0)+IF(AND(V1367&gt;=75,W1367&gt;=25,W1367&lt;60),0.25,0)+IF(AND(V1367&gt;=75,W1367&gt;=60,W1367&lt;95),0.17,0)+IF(AND(V1367&gt;=75,W1367&gt;=95),0.1,0),
IF(AF1367="DoEVba",IF(AND(V1367&lt;20,W1367&lt;105),0.2,0)+IF(AND(V1367&lt;20,W1367&gt;=105),0.15,0)+IF(AND(V1367&gt;=20,V1367&lt;40,W1367&lt;95),0.2,0)+IF(AND(V1367&gt;=20,V1367&lt;40,W1367&gt;=95,W1367&lt;150),0.15,0)+IF(AND(V1367&gt;=20,V1367&lt;40,W1367&gt;=150),0.12,0)+IF(AND(V1367&gt;=40,V1367&lt;75,W1367&lt;75),0.2,0)+IF(AND(V1367&gt;=40,V1367&lt;75,W1367&gt;=75,W1367&lt;120),0.15,0)+IF(AND(V1367&gt;=40,V1367&lt;75,W1367&gt;=120),0.12,0)+IF(AND(V1367&gt;=75,V1367&lt;175,W1367&lt;65),0.2,0)+IF(AND(V1367&gt;=75,V1367&lt;175,W1367&gt;=65,W1367&lt;110),0.15,0)+IF(AND(V1367&gt;=75,V1367&lt;175,W1367&gt;=110),0.12,0)+IF(AND(V1367&gt;=175,W1367&lt;55),0.2,0)+IF(AND(V1367&gt;=175,W1367&gt;=55,W1367&lt;95),0.15,0)+IF(AND(V1367&gt;=175,W1367&gt;=95),0.12,0),
IF(AF1367="DoEVku",IF(AND(V1367&lt;20,W1367&lt;55),0.23,0)+IF(AND(V1367&lt;20,W1367&gt;=55,W1367&lt;105),0.2,0)+IF(AND(V1367&lt;20,W1367&gt;=105),0.17,0)+IF(AND(V1367&gt;=20,V1367&lt;40,W1367&lt;45),0.23,0)+IF(AND(V1367&gt;=20,V1367&lt;40,W1367&gt;=45,W1367&lt;95),0.2,0)+IF(AND(V1367&gt;=20,V1367&lt;40,W1367&gt;=95,W1367&lt;=150),0.17,0)+IF(AND(V1367&gt;=20,V1367&lt;40,W1367&gt;=150),0.12,0)+IF(AND(V1367&gt;=40,V1367&lt;75,W1367&lt;35),0.23,0)+IF(AND(V1367&gt;=40,V1367&lt;75,W1367&gt;=35,W1367&lt;75),0.2,0)+IF(AND(V1367&gt;=40,V1367&lt;75,W1367&gt;=75,W1367&lt;120),0.17,0)+IF(AND(V1367&gt;=40,V1367&lt;75,W1367&gt;=120),0.12,0)+IF(AND(V1367&gt;=75,V1367&lt;175,W1367&lt;35),0.23,0)+IF(AND(V1367&gt;=75,V1367&lt;=175,W1367&gt;=35,W1367&lt;65),0.2,0)+IF(AND(V1367&gt;=75,V1367&lt;=175,W1367&gt;=65,W1367&lt;110),0.17,0)+IF(AND(V1367&gt;=75,V1367&lt;=175,W1367&gt;=110),0.12,0)+IF(AND(V1367&gt;175,W1367&lt;25),0.23,0)+IF(AND(V1367&gt;175,W1367&gt;=25,W1367&lt;55),0.2,0)+IF(AND(V1367&gt;175,W1367&gt;=55,W1367&lt;95),0.17,0)+IF(AND(V1367&gt;175,W1367&gt;=95),0.12,0),
IF(AF1367="DoEVs1",IF(AND(V1367&lt;20,W1367&lt;55),0.3,0)+IF(AND(V1367&lt;20,W1367&gt;=55,W1367&lt;105),0.23,0)+IF(AND(V1367&lt;20,W1367&gt;=105),0.17,0)+IF(AND(V1367&gt;=20,V1367&lt;40,W1367&lt;45),0.3,0)+IF(AND(V1367&gt;=20,V1367&lt;40,W1367&gt;=45,W1367&lt;95),0.23,0)+IF(AND(V1367&gt;=20,V1367&lt;40,W1367&gt;=95,W1367&lt;=150),0.17,0)+IF(AND(V1367&gt;=20,V1367&lt;40,W1367&gt;=150),0.12,0)+IF(AND(V1367&gt;=40,V1367&lt;75,W1367&lt;35),0.3,0)+IF(AND(V1367&gt;=40,V1367&lt;75,W1367&gt;=35,W1367&lt;75),0.23,0)+IF(AND(V1367&gt;=40,V1367&lt;75,W1367&gt;=75,W1367&lt;120),0.17,0)+IF(AND(V1367&gt;=40,V1367&lt;75,W1367&gt;=120),0.12,0)+IF(AND(V1367&gt;=75,V1367&lt;175,W1367&lt;35),0.3,0)+IF(AND(V1367&gt;=75,V1367&lt;=175,W1367&gt;=35,W1367&lt;65),0.23,0)+IF(AND(V1367&gt;=75,V1367&lt;=175,W1367&gt;=65,W1367&lt;110),0.17,0)+IF(AND(V1367&gt;=75,V1367&lt;=175,W1367&gt;=110),0.12,0)+IF(AND(V1367&gt;175,W1367&lt;25),0.3,0)+IF(AND(V1367&gt;175,W1367&gt;=25,W1367&lt;55),0.23,0)+IF(AND(V1367&gt;175,W1367&gt;=55,W1367&lt;95),0.17,0)+IF(AND(V1367&gt;175,W1367&gt;=95),0.12,0),
IF(AF1367="DoEVsu",IF(AND(V1367&lt;20,W1367&lt;55),0.3,0)+IF(AND(V1367&lt;20,W1367&gt;=55,W1367&lt;105),0.23,0)+IF(AND(V1367&lt;20,W1367&gt;=105),0.17,0)+IF(AND(V1367&gt;=20,V1367&lt;40,W1367&lt;45),0.3,0)+IF(AND(V1367&gt;=20,V1367&lt;40,W1367&gt;=45,W1367&lt;95),0.23,0)+IF(AND(V1367&gt;=20,V1367&lt;40,W1367&gt;=95,W1367&lt;=250),0.17,0)+IF(AND(V1367&gt;=20,V1367&lt;40,W1367&gt;=250),0.12,0)+IF(AND(V1367&gt;=40,V1367&lt;75,W1367&lt;35),0.3,0)+IF(AND(V1367&gt;=40,V1367&lt;75,W1367&gt;=35,W1367&lt;75),0.23,0)+IF(AND(V1367&gt;=40,V1367&lt;75,W1367&gt;=75,W1367&lt;120),0.17,0)+IF(AND(V1367&gt;=40,V1367&lt;75,W1367&gt;=120),0.12,0)+IF(AND(V1367&gt;=75,V1367&lt;175,W1367&lt;35),0.3,0)+IF(AND(V1367&gt;=75,V1367&lt;=175,W1367&gt;=35,W1367&lt;65),0.23,0)+IF(AND(V1367&gt;=75,V1367&lt;=175,W1367&gt;=65,W1367&lt;110),0.17,0)+IF(AND(V1367&gt;=75,V1367&lt;=175,W1367&gt;=110),0.12,0)+IF(AND(V1367&gt;175,W1367&lt;25),0.3,0)+IF(AND(V1367&gt;175,W1367&gt;=25,W1367&lt;55),0.23,0)+IF(AND(V1367&gt;175,W1367&gt;=55,W1367&lt;95),0.17,0)+IF(AND(V1367&gt;175,W1367&gt;=95),0.12,0),
IF(AF1367="DoEVni",IF(AND(V1367&lt;20,W1367&lt;55),0.3,0)+IF(AND(V1367&lt;20,W1367&gt;=55,W1367&lt;105),0.23,0)+IF(AND(V1367&lt;20,W1367&gt;=105),0.17,0)+IF(AND(V1367&gt;=20,V1367&lt;40,W1367&lt;45),0.3,0)+IF(AND(V1367&gt;=20,V1367&lt;40,W1367&gt;=45,W1367&lt;95),0.23,0)+IF(AND(V1367&gt;=20,V1367&lt;40,W1367&gt;=95,W1367&lt;=200),0.17,0)+IF(AND(V1367&gt;=20,V1367&lt;40,W1367&gt;=200),0.12,0)+IF(AND(V1367&gt;=40,V1367&lt;75,W1367&lt;35),0.3,0)+IF(AND(V1367&gt;=40,V1367&lt;75,W1367&gt;=35,W1367&lt;75),0.23,0)+IF(AND(V1367&gt;=40,V1367&lt;75,W1367&gt;=75,W1367&lt;120),0.17,0)+IF(AND(V1367&gt;=40,V1367&lt;75,W1367&gt;=120),0.12,0)+IF(AND(V1367&gt;=75,V1367&lt;175,W1367&lt;35),0.3,0)+IF(AND(V1367&gt;=75,V1367&lt;=175,W1367&gt;=35,W1367&lt;65),0.23,0)+IF(AND(V1367&gt;=75,V1367&lt;=175,W1367&gt;=65,W1367&lt;110),0.17,0)+IF(AND(V1367&gt;=75,V1367&lt;=175,W1367&gt;=110),0.12,0)+IF(AND(V1367&gt;175,W1367&lt;25),0.3,0)+IF(AND(V1367&gt;175,W1367&gt;=25,W1367&lt;55),0.23,0)+IF(AND(V1367&gt;175,W1367&gt;=55,W1367&lt;95),0.17,0)+IF(AND(V1367&gt;175,W1367&gt;=95),0.12,0),
IF(AF1367="DoEVLo",IF(AND(V1367&lt;20,W1367&lt;55),0.25,0)+IF(AND(V1367&lt;20,W1367&gt;=55,W1367&lt;105),0.2,0)+IF(AND(V1367&lt;20,W1367&gt;=105),0.15,0)+IF(AND(V1367&gt;=20,V1367&lt;40,W1367&lt;45),0.25,0)+IF(AND(V1367&gt;=20,V1367&lt;40,W1367&gt;=45,W1367&lt;95),0.2,0)+IF(AND(V1367&gt;=20,V1367&lt;40,W1367&gt;=95),0.15,0)+IF(AND(V1367&gt;=40,V1367&lt;75,W1367&lt;35),0.25,0)+IF(AND(V1367&gt;=40,V1367&lt;75,W1367&gt;=35,W1367&lt;75),0.2,0)+IF(AND(V1367&gt;=40,V1367&lt;75,W1367&gt;=75,W1367&lt;120),0.15,0)+IF(AND(V1367&gt;=40,V1367&lt;75,W1367&gt;=120),0.1,0)+IF(AND(V1367&gt;=75,V1367&lt;175,W1367&lt;35),0.25,0)+IF(AND(V1367&gt;=75,V1367&lt;=175,W1367&gt;=35,W1367&lt;65),0.2,0)+IF(AND(V1367&gt;=75,V1367&lt;=175,W1367&gt;=65,W1367&lt;110),0.15,0)+IF(AND(V1367&gt;=75,V1367&lt;=175,W1367&gt;=110),0.1,0)+IF(AND(V1367&gt;175,W1367&lt;25),0.25,0)+IF(AND(V1367&gt;175,W1367&gt;=25,W1367&lt;55),0.2,0)+IF(AND(V1367&gt;175,W1367&gt;=55,W1367&lt;95),0.15,0)+IF(AND(V1367&gt;175,W1367&gt;=95),0.1,0))))))))))))))))))</f>
        <v>0.1</v>
      </c>
      <c r="Y1367" s="30">
        <f>IF(AG1367="None",0,IF(AG1367="Fix5",0.05, IF(AG1367="Fix6.25",0.0625,IF(AG1367="Fix3.75",0.0375,IF(AG1367="Fix10",0.1,IF(AG1367="Fix3",0.03,0))))))</f>
        <v>0</v>
      </c>
      <c r="Z1367" s="35">
        <f>T1367-AA1367-AB1367</f>
        <v>358.2</v>
      </c>
      <c r="AA1367" s="29">
        <f>IF(AD1367="EUR",((T1367-R1367)*X1367)*U1367+(R1367*X1367),(T1367*X1367))</f>
        <v>39.800000000000004</v>
      </c>
      <c r="AB1367" s="36">
        <f>IF(AD1367="EUR",((T1367-R1367)*Y1367)*U1367+(R1367*Y1367),(T1367*Y1367))</f>
        <v>0</v>
      </c>
      <c r="AC1367" s="37" t="b">
        <v>1</v>
      </c>
      <c r="AD1367" s="37" t="s">
        <v>38</v>
      </c>
      <c r="AE1367" s="37" t="s">
        <v>38</v>
      </c>
      <c r="AF1367" s="37" t="str">
        <f t="array" ref="AF1367">INDEX('Deal Info'!D:D, MATCH(A1367,'Deal Info'!A:A, 0))</f>
        <v>Fix10</v>
      </c>
      <c r="AG1367" s="38" t="str">
        <f t="array" ref="AG1367">INDEX('Deal Info'!G:G, MATCH(A1367,'Deal Info'!A:A, 0))</f>
        <v>None</v>
      </c>
    </row>
    <row r="1368" spans="1:33" ht="14.25" hidden="1" x14ac:dyDescent="0.2">
      <c r="A1368" s="18" t="str">
        <f t="array" ref="A1368">IF(G1368='Room Info'!$B$1, INDEX('Room Info'!$A$2:$A2446, MATCH(B1368,'Room Info'!$B$2:$B2446, 0)),IF(G1368='Room Info'!$C$1, INDEX('Room Info'!$A$2:$A2446, MATCH(B1368,'Room Info'!$C$2:$C2446, 0)),IF(G1368='Room Info'!$D$1, INDEX('Room Info'!$A$2:$A2446, MATCH(B1368,'Room Info'!$D$2:$D2446, 0)),IF(G1368='Room Info'!$E$1, INDEX('Room Info'!$A$2:$A2446, MATCH(B1368,'Room Info'!$E$2:$E2446, 0)),IF(G1368='Room Info'!$F$1, INDEX('Room Info'!$A$2:$A2446, MATCH(B1368,'Room Info'!$F$2:$F2446, 0)),IF(G1368='Room Info'!$H$1, INDEX('Room Info'!$A$2:$A2446, MATCH(B1368,'Room Info'!$H$2:$H2446, 0)),IF(G1368='Room Info'!$G$1, INDEX('Room Info'!$A$2:$A2446, MATCH(B1368,'Room Info'!$G$2:$G2446, 0)))))))))</f>
        <v>guilexperi</v>
      </c>
      <c r="B1368" s="45" t="s">
        <v>208</v>
      </c>
      <c r="C1368" s="46">
        <v>44835</v>
      </c>
      <c r="D1368" s="46">
        <v>44865</v>
      </c>
      <c r="E1368" s="47">
        <v>44835</v>
      </c>
      <c r="F1368" s="48" t="s">
        <v>49</v>
      </c>
      <c r="G1368" s="45" t="s">
        <v>35</v>
      </c>
      <c r="H1368" s="49" t="s">
        <v>209</v>
      </c>
      <c r="I1368" s="49" t="s">
        <v>174</v>
      </c>
      <c r="J1368" s="50">
        <v>1000</v>
      </c>
      <c r="K1368" s="51">
        <v>3</v>
      </c>
      <c r="L1368" s="52">
        <v>-1022</v>
      </c>
      <c r="M1368" s="53">
        <v>24</v>
      </c>
      <c r="N1368" s="28">
        <f>K1368*J1368</f>
        <v>3000</v>
      </c>
      <c r="O1368" s="54">
        <v>-333</v>
      </c>
      <c r="P1368" s="29">
        <v>-111</v>
      </c>
      <c r="Q1368" s="55"/>
      <c r="R1368" s="31">
        <f>M1368+Q1368</f>
        <v>24</v>
      </c>
      <c r="S1368" s="56">
        <v>-704</v>
      </c>
      <c r="T1368" s="32">
        <f>R1368+S1368+IF(F1368="Without EV deal",L1368,0)</f>
        <v>-680</v>
      </c>
      <c r="U1368" s="57"/>
      <c r="V1368" s="58"/>
      <c r="W1368" s="58"/>
      <c r="X1368" s="30" t="b">
        <f>IF(AF1368="DoEV",IF(AND(V1368&lt;20,W1368&lt;55),0.3,0)+IF(AND(V1368&lt;20,W1368&gt;=55,W1368&lt;105),0.23,0)+IF(AND(V1368&lt;20,W1368&gt;=105),0.17,0)+IF(AND(V1368&gt;=20,V1368&lt;40,W1368&lt;45),0.3,0)+IF(AND(V1368&gt;=20,V1368&lt;40,W1368&gt;=45,W1368&lt;95),0.23,0)+IF(AND(V1368&gt;=20,V1368&lt;40,W1368&gt;=95),0.17,0)+IF(AND(V1368&gt;=40,V1368&lt;75,W1368&lt;35),0.3,0)+IF(AND(V1368&gt;=40,V1368&lt;75,W1368&gt;=35,W1368&lt;75),0.23,0)+IF(AND(V1368&gt;=40,V1368&lt;75,W1368&gt;=75,W1368&lt;120),0.17,0)+IF(AND(V1368&gt;=40,V1368&lt;75,W1368&gt;=120),0.12,0)+IF(AND(V1368&gt;=75,V1368&lt;175,W1368&lt;35),0.3,0)+IF(AND(V1368&gt;=75,V1368&lt;=175,W1368&gt;=35,W1368&lt;65),0.23,0)+IF(AND(V1368&gt;=75,V1368&lt;=175,W1368&gt;=65,W1368&lt;110),0.17,0)+IF(AND(V1368&gt;=75,V1368&lt;=175,W1368&gt;=110),0.12,0)+IF(AND(V1368&gt;175,W1368&lt;25),0.3,0)+IF(AND(V1368&gt;175,W1368&gt;=25,W1368&lt;55),0.23,0)+IF(AND(V1368&gt;175,W1368&gt;=55,W1368&lt;95),0.17,0)+IF(AND(V1368&gt;175,W1368&gt;=95),0.12,0),
IF(AF1368="Fix15",0.15,
IF(AF1368="Fix18.75",0.1875,
IF(AF1368="Fix11.25",0.1125,
IF(AF1368="Fix10",0.1,
IF(AF1368="Fix9",0.09,
IF(AF1368="Fix19",0.19,
IF(AF1368="DoEV2017",IF(AND(W1368&lt;74),0.2,0)+IF(AND(W1368&gt;=74),0.17,0),
IF(AF1368="SF",IF(AND(V1368&lt;20,W1368&lt;89),0.3,0)+IF(AND(V1368&lt;20,W1368&gt;=89),0.25,0)+IF(AND(V1368&gt;=20,V1368&lt;40,W1368&lt;74),0.3,0)+IF(AND(V1368&gt;=20,V1368&lt;40,W1368&gt;=75),0.22,0)+IF(AND(V1368&gt;=40,V1368&lt;75,W1368&lt;75),0.26,0)+IF(AND(V1368&gt;=40,V1368&lt;75,W1368&gt;=75),0.22,0)+IF(V1368&gt;=75,0.22,0),
IF(AF1368="DoEVold",IF(AND(V1368&lt;40,W1368&lt;35),0.35,0)+IF(AND(V1368&lt;40,W1368&gt;=35,W1368&lt;75),0.25,0)+IF(AND(V1368&lt;40,W1368&gt;=75),0.17,0)+IF(AND(V1368&gt;=40,V1368&lt;75,W1368&lt;25),0.35,0)+IF(AND(V1368&gt;=40,V1368&lt;75,W1368&gt;=25,W1368&lt;65),0.25,0)+IF(AND(V1368&gt;=40,V1368&lt;75,W1368&gt;=65,W1368&lt;100),0.17,0)+IF(AND(V1368&gt;=40,V1368&lt;75,W1368&gt;=100),0.1,0)+IF(AND(V1368&gt;=75,W1368&lt;25),0.35,0)+IF(AND(V1368&gt;=75,W1368&gt;=25,W1368&lt;60),0.25,0)+IF(AND(V1368&gt;=75,W1368&gt;=60,W1368&lt;95),0.17,0)+IF(AND(V1368&gt;=75,W1368&gt;=95),0.1,0),
IF(AF1368="DoEVold15",IF(AND(V1368&lt;=40,W1368&lt;35),0.35,0)+IF(AND(V1368&lt;=40,W1368&gt;=35,W1368&lt;75),0.25,0)+IF(AND(V1368&lt;=40,W1368&gt;=75,W1368&lt;120),0.17,0)+IF(AND(V1368&lt;=40,W1368&gt;=120),0.15,0)+IF(AND(V1368&gt;40,V1368&lt;75,W1368&lt;25),0.35,0)+IF(AND(V1368&gt;=40,V1368&lt;75,W1368&gt;=25,W1368&lt;65),0.25,0)+IF(AND(V1368&gt;=40,V1368&lt;75,W1368&gt;=65,W1368&lt;100),0.17,0)+IF(AND(V1368&gt;=40,V1368&lt;75,W1368&gt;=100),0.1,0)+IF(AND(V1368&gt;=75,W1368&lt;25),0.35,0)+IF(AND(V1368&gt;=75,W1368&gt;=25,W1368&lt;60),0.25,0)+IF(AND(V1368&gt;=75,W1368&gt;=60,W1368&lt;95),0.17,0)+IF(AND(V1368&gt;=75,W1368&gt;=95),0.1,0),
IF(AF1368="DoEVba",IF(AND(V1368&lt;20,W1368&lt;105),0.2,0)+IF(AND(V1368&lt;20,W1368&gt;=105),0.15,0)+IF(AND(V1368&gt;=20,V1368&lt;40,W1368&lt;95),0.2,0)+IF(AND(V1368&gt;=20,V1368&lt;40,W1368&gt;=95,W1368&lt;150),0.15,0)+IF(AND(V1368&gt;=20,V1368&lt;40,W1368&gt;=150),0.12,0)+IF(AND(V1368&gt;=40,V1368&lt;75,W1368&lt;75),0.2,0)+IF(AND(V1368&gt;=40,V1368&lt;75,W1368&gt;=75,W1368&lt;120),0.15,0)+IF(AND(V1368&gt;=40,V1368&lt;75,W1368&gt;=120),0.12,0)+IF(AND(V1368&gt;=75,V1368&lt;175,W1368&lt;65),0.2,0)+IF(AND(V1368&gt;=75,V1368&lt;175,W1368&gt;=65,W1368&lt;110),0.15,0)+IF(AND(V1368&gt;=75,V1368&lt;175,W1368&gt;=110),0.12,0)+IF(AND(V1368&gt;=175,W1368&lt;55),0.2,0)+IF(AND(V1368&gt;=175,W1368&gt;=55,W1368&lt;95),0.15,0)+IF(AND(V1368&gt;=175,W1368&gt;=95),0.12,0),
IF(AF1368="DoEVku",IF(AND(V1368&lt;20,W1368&lt;55),0.23,0)+IF(AND(V1368&lt;20,W1368&gt;=55,W1368&lt;105),0.2,0)+IF(AND(V1368&lt;20,W1368&gt;=105),0.17,0)+IF(AND(V1368&gt;=20,V1368&lt;40,W1368&lt;45),0.23,0)+IF(AND(V1368&gt;=20,V1368&lt;40,W1368&gt;=45,W1368&lt;95),0.2,0)+IF(AND(V1368&gt;=20,V1368&lt;40,W1368&gt;=95,W1368&lt;=150),0.17,0)+IF(AND(V1368&gt;=20,V1368&lt;40,W1368&gt;=150),0.12,0)+IF(AND(V1368&gt;=40,V1368&lt;75,W1368&lt;35),0.23,0)+IF(AND(V1368&gt;=40,V1368&lt;75,W1368&gt;=35,W1368&lt;75),0.2,0)+IF(AND(V1368&gt;=40,V1368&lt;75,W1368&gt;=75,W1368&lt;120),0.17,0)+IF(AND(V1368&gt;=40,V1368&lt;75,W1368&gt;=120),0.12,0)+IF(AND(V1368&gt;=75,V1368&lt;175,W1368&lt;35),0.23,0)+IF(AND(V1368&gt;=75,V1368&lt;=175,W1368&gt;=35,W1368&lt;65),0.2,0)+IF(AND(V1368&gt;=75,V1368&lt;=175,W1368&gt;=65,W1368&lt;110),0.17,0)+IF(AND(V1368&gt;=75,V1368&lt;=175,W1368&gt;=110),0.12,0)+IF(AND(V1368&gt;175,W1368&lt;25),0.23,0)+IF(AND(V1368&gt;175,W1368&gt;=25,W1368&lt;55),0.2,0)+IF(AND(V1368&gt;175,W1368&gt;=55,W1368&lt;95),0.17,0)+IF(AND(V1368&gt;175,W1368&gt;=95),0.12,0),
IF(AF1368="DoEVs1",IF(AND(V1368&lt;20,W1368&lt;55),0.3,0)+IF(AND(V1368&lt;20,W1368&gt;=55,W1368&lt;105),0.23,0)+IF(AND(V1368&lt;20,W1368&gt;=105),0.17,0)+IF(AND(V1368&gt;=20,V1368&lt;40,W1368&lt;45),0.3,0)+IF(AND(V1368&gt;=20,V1368&lt;40,W1368&gt;=45,W1368&lt;95),0.23,0)+IF(AND(V1368&gt;=20,V1368&lt;40,W1368&gt;=95,W1368&lt;=150),0.17,0)+IF(AND(V1368&gt;=20,V1368&lt;40,W1368&gt;=150),0.12,0)+IF(AND(V1368&gt;=40,V1368&lt;75,W1368&lt;35),0.3,0)+IF(AND(V1368&gt;=40,V1368&lt;75,W1368&gt;=35,W1368&lt;75),0.23,0)+IF(AND(V1368&gt;=40,V1368&lt;75,W1368&gt;=75,W1368&lt;120),0.17,0)+IF(AND(V1368&gt;=40,V1368&lt;75,W1368&gt;=120),0.12,0)+IF(AND(V1368&gt;=75,V1368&lt;175,W1368&lt;35),0.3,0)+IF(AND(V1368&gt;=75,V1368&lt;=175,W1368&gt;=35,W1368&lt;65),0.23,0)+IF(AND(V1368&gt;=75,V1368&lt;=175,W1368&gt;=65,W1368&lt;110),0.17,0)+IF(AND(V1368&gt;=75,V1368&lt;=175,W1368&gt;=110),0.12,0)+IF(AND(V1368&gt;175,W1368&lt;25),0.3,0)+IF(AND(V1368&gt;175,W1368&gt;=25,W1368&lt;55),0.23,0)+IF(AND(V1368&gt;175,W1368&gt;=55,W1368&lt;95),0.17,0)+IF(AND(V1368&gt;175,W1368&gt;=95),0.12,0),
IF(AF1368="DoEVsu",IF(AND(V1368&lt;20,W1368&lt;55),0.3,0)+IF(AND(V1368&lt;20,W1368&gt;=55,W1368&lt;105),0.23,0)+IF(AND(V1368&lt;20,W1368&gt;=105),0.17,0)+IF(AND(V1368&gt;=20,V1368&lt;40,W1368&lt;45),0.3,0)+IF(AND(V1368&gt;=20,V1368&lt;40,W1368&gt;=45,W1368&lt;95),0.23,0)+IF(AND(V1368&gt;=20,V1368&lt;40,W1368&gt;=95,W1368&lt;=250),0.17,0)+IF(AND(V1368&gt;=20,V1368&lt;40,W1368&gt;=250),0.12,0)+IF(AND(V1368&gt;=40,V1368&lt;75,W1368&lt;35),0.3,0)+IF(AND(V1368&gt;=40,V1368&lt;75,W1368&gt;=35,W1368&lt;75),0.23,0)+IF(AND(V1368&gt;=40,V1368&lt;75,W1368&gt;=75,W1368&lt;120),0.17,0)+IF(AND(V1368&gt;=40,V1368&lt;75,W1368&gt;=120),0.12,0)+IF(AND(V1368&gt;=75,V1368&lt;175,W1368&lt;35),0.3,0)+IF(AND(V1368&gt;=75,V1368&lt;=175,W1368&gt;=35,W1368&lt;65),0.23,0)+IF(AND(V1368&gt;=75,V1368&lt;=175,W1368&gt;=65,W1368&lt;110),0.17,0)+IF(AND(V1368&gt;=75,V1368&lt;=175,W1368&gt;=110),0.12,0)+IF(AND(V1368&gt;175,W1368&lt;25),0.3,0)+IF(AND(V1368&gt;175,W1368&gt;=25,W1368&lt;55),0.23,0)+IF(AND(V1368&gt;175,W1368&gt;=55,W1368&lt;95),0.17,0)+IF(AND(V1368&gt;175,W1368&gt;=95),0.12,0),
IF(AF1368="DoEVni",IF(AND(V1368&lt;20,W1368&lt;55),0.3,0)+IF(AND(V1368&lt;20,W1368&gt;=55,W1368&lt;105),0.23,0)+IF(AND(V1368&lt;20,W1368&gt;=105),0.17,0)+IF(AND(V1368&gt;=20,V1368&lt;40,W1368&lt;45),0.3,0)+IF(AND(V1368&gt;=20,V1368&lt;40,W1368&gt;=45,W1368&lt;95),0.23,0)+IF(AND(V1368&gt;=20,V1368&lt;40,W1368&gt;=95,W1368&lt;=200),0.17,0)+IF(AND(V1368&gt;=20,V1368&lt;40,W1368&gt;=200),0.12,0)+IF(AND(V1368&gt;=40,V1368&lt;75,W1368&lt;35),0.3,0)+IF(AND(V1368&gt;=40,V1368&lt;75,W1368&gt;=35,W1368&lt;75),0.23,0)+IF(AND(V1368&gt;=40,V1368&lt;75,W1368&gt;=75,W1368&lt;120),0.17,0)+IF(AND(V1368&gt;=40,V1368&lt;75,W1368&gt;=120),0.12,0)+IF(AND(V1368&gt;=75,V1368&lt;175,W1368&lt;35),0.3,0)+IF(AND(V1368&gt;=75,V1368&lt;=175,W1368&gt;=35,W1368&lt;65),0.23,0)+IF(AND(V1368&gt;=75,V1368&lt;=175,W1368&gt;=65,W1368&lt;110),0.17,0)+IF(AND(V1368&gt;=75,V1368&lt;=175,W1368&gt;=110),0.12,0)+IF(AND(V1368&gt;175,W1368&lt;25),0.3,0)+IF(AND(V1368&gt;175,W1368&gt;=25,W1368&lt;55),0.23,0)+IF(AND(V1368&gt;175,W1368&gt;=55,W1368&lt;95),0.17,0)+IF(AND(V1368&gt;175,W1368&gt;=95),0.12,0),
IF(AF1368="DoEVLo",IF(AND(V1368&lt;20,W1368&lt;55),0.25,0)+IF(AND(V1368&lt;20,W1368&gt;=55,W1368&lt;105),0.2,0)+IF(AND(V1368&lt;20,W1368&gt;=105),0.15,0)+IF(AND(V1368&gt;=20,V1368&lt;40,W1368&lt;45),0.25,0)+IF(AND(V1368&gt;=20,V1368&lt;40,W1368&gt;=45,W1368&lt;95),0.2,0)+IF(AND(V1368&gt;=20,V1368&lt;40,W1368&gt;=95),0.15,0)+IF(AND(V1368&gt;=40,V1368&lt;75,W1368&lt;35),0.25,0)+IF(AND(V1368&gt;=40,V1368&lt;75,W1368&gt;=35,W1368&lt;75),0.2,0)+IF(AND(V1368&gt;=40,V1368&lt;75,W1368&gt;=75,W1368&lt;120),0.15,0)+IF(AND(V1368&gt;=40,V1368&lt;75,W1368&gt;=120),0.1,0)+IF(AND(V1368&gt;=75,V1368&lt;175,W1368&lt;35),0.25,0)+IF(AND(V1368&gt;=75,V1368&lt;=175,W1368&gt;=35,W1368&lt;65),0.2,0)+IF(AND(V1368&gt;=75,V1368&lt;=175,W1368&gt;=65,W1368&lt;110),0.15,0)+IF(AND(V1368&gt;=75,V1368&lt;=175,W1368&gt;=110),0.1,0)+IF(AND(V1368&gt;175,W1368&lt;25),0.25,0)+IF(AND(V1368&gt;175,W1368&gt;=25,W1368&lt;55),0.2,0)+IF(AND(V1368&gt;175,W1368&gt;=55,W1368&lt;95),0.15,0)+IF(AND(V1368&gt;175,W1368&gt;=95),0.1,0))))))))))))))))))</f>
        <v>0</v>
      </c>
      <c r="Y1368" s="78">
        <v>0.22</v>
      </c>
      <c r="Z1368" s="35">
        <f>T1368-AA1368-AB1368</f>
        <v>-530.4</v>
      </c>
      <c r="AA1368" s="29">
        <f>IF(AD1368="EUR",((T1368-R1368)*X1368)*U1368+(R1368*X1368),(T1368*X1368))</f>
        <v>0</v>
      </c>
      <c r="AB1368" s="36">
        <f>IF(AD1368="EUR",((T1368-R1368)*Y1368)*U1368+(R1368*Y1368),(T1368*Y1368))</f>
        <v>-149.6</v>
      </c>
      <c r="AC1368" s="61" t="b">
        <v>1</v>
      </c>
      <c r="AD1368" s="37" t="s">
        <v>38</v>
      </c>
      <c r="AE1368" s="37" t="s">
        <v>38</v>
      </c>
      <c r="AF1368" s="37" t="str">
        <f t="array" ref="AF1368">INDEX('Deal Info'!D:D, MATCH(A1368,'Deal Info'!A:A, 0))</f>
        <v>None</v>
      </c>
      <c r="AG1368" s="38" t="str">
        <f t="array" ref="AG1368">INDEX('Deal Info'!G:G, MATCH(A1368,'Deal Info'!A:A, 0))</f>
        <v>guilexperi</v>
      </c>
    </row>
    <row r="1369" spans="1:33" ht="14.25" hidden="1" x14ac:dyDescent="0.2">
      <c r="A1369" s="18" t="str">
        <f t="array" ref="A1369">IF(G1369='Room Info'!$B$1, INDEX('Room Info'!$A$2:$A2446, MATCH(B1369,'Room Info'!$B$2:$B2446, 0)),IF(G1369='Room Info'!$C$1, INDEX('Room Info'!$A$2:$A2446, MATCH(B1369,'Room Info'!$C$2:$C2446, 0)),IF(G1369='Room Info'!$D$1, INDEX('Room Info'!$A$2:$A2446, MATCH(B1369,'Room Info'!$D$2:$D2446, 0)),IF(G1369='Room Info'!$E$1, INDEX('Room Info'!$A$2:$A2446, MATCH(B1369,'Room Info'!$E$2:$E2446, 0)),IF(G1369='Room Info'!$F$1, INDEX('Room Info'!$A$2:$A2446, MATCH(B1369,'Room Info'!$F$2:$F2446, 0)),IF(G1369='Room Info'!$H$1, INDEX('Room Info'!$A$2:$A2446, MATCH(B1369,'Room Info'!$H$2:$H2446, 0)),IF(G1369='Room Info'!$G$1, INDEX('Room Info'!$A$2:$A2446, MATCH(B1369,'Room Info'!$G$2:$G2446, 0)))))))))</f>
        <v>guilexperi</v>
      </c>
      <c r="B1369" s="45" t="s">
        <v>208</v>
      </c>
      <c r="C1369" s="46">
        <v>44835</v>
      </c>
      <c r="D1369" s="46">
        <v>44865</v>
      </c>
      <c r="E1369" s="47">
        <v>44835</v>
      </c>
      <c r="F1369" s="48" t="s">
        <v>49</v>
      </c>
      <c r="G1369" s="45" t="s">
        <v>35</v>
      </c>
      <c r="H1369" s="49" t="s">
        <v>210</v>
      </c>
      <c r="I1369" s="49" t="s">
        <v>174</v>
      </c>
      <c r="J1369" s="50">
        <v>500</v>
      </c>
      <c r="K1369" s="51">
        <v>21</v>
      </c>
      <c r="L1369" s="52">
        <v>-633</v>
      </c>
      <c r="M1369" s="53">
        <v>100</v>
      </c>
      <c r="N1369" s="28">
        <f>K1369*J1369</f>
        <v>10500</v>
      </c>
      <c r="O1369" s="54">
        <v>-1244</v>
      </c>
      <c r="P1369" s="29">
        <v>-59.23809524</v>
      </c>
      <c r="Q1369" s="55"/>
      <c r="R1369" s="31">
        <f>M1369+Q1369</f>
        <v>100</v>
      </c>
      <c r="S1369" s="117">
        <v>-1416</v>
      </c>
      <c r="T1369" s="32">
        <f>R1369+S1369+IF(F1369="Without EV deal",L1369,0)</f>
        <v>-1316</v>
      </c>
      <c r="U1369" s="57"/>
      <c r="V1369" s="58"/>
      <c r="W1369" s="58"/>
      <c r="X1369" s="30" t="b">
        <f>IF(AF1369="DoEV",IF(AND(V1369&lt;20,W1369&lt;55),0.3,0)+IF(AND(V1369&lt;20,W1369&gt;=55,W1369&lt;105),0.23,0)+IF(AND(V1369&lt;20,W1369&gt;=105),0.17,0)+IF(AND(V1369&gt;=20,V1369&lt;40,W1369&lt;45),0.3,0)+IF(AND(V1369&gt;=20,V1369&lt;40,W1369&gt;=45,W1369&lt;95),0.23,0)+IF(AND(V1369&gt;=20,V1369&lt;40,W1369&gt;=95),0.17,0)+IF(AND(V1369&gt;=40,V1369&lt;75,W1369&lt;35),0.3,0)+IF(AND(V1369&gt;=40,V1369&lt;75,W1369&gt;=35,W1369&lt;75),0.23,0)+IF(AND(V1369&gt;=40,V1369&lt;75,W1369&gt;=75,W1369&lt;120),0.17,0)+IF(AND(V1369&gt;=40,V1369&lt;75,W1369&gt;=120),0.12,0)+IF(AND(V1369&gt;=75,V1369&lt;175,W1369&lt;35),0.3,0)+IF(AND(V1369&gt;=75,V1369&lt;=175,W1369&gt;=35,W1369&lt;65),0.23,0)+IF(AND(V1369&gt;=75,V1369&lt;=175,W1369&gt;=65,W1369&lt;110),0.17,0)+IF(AND(V1369&gt;=75,V1369&lt;=175,W1369&gt;=110),0.12,0)+IF(AND(V1369&gt;175,W1369&lt;25),0.3,0)+IF(AND(V1369&gt;175,W1369&gt;=25,W1369&lt;55),0.23,0)+IF(AND(V1369&gt;175,W1369&gt;=55,W1369&lt;95),0.17,0)+IF(AND(V1369&gt;175,W1369&gt;=95),0.12,0),
IF(AF1369="Fix15",0.15,
IF(AF1369="Fix18.75",0.1875,
IF(AF1369="Fix11.25",0.1125,
IF(AF1369="Fix10",0.1,
IF(AF1369="Fix9",0.09,
IF(AF1369="Fix19",0.19,
IF(AF1369="DoEV2017",IF(AND(W1369&lt;74),0.2,0)+IF(AND(W1369&gt;=74),0.17,0),
IF(AF1369="SF",IF(AND(V1369&lt;20,W1369&lt;89),0.3,0)+IF(AND(V1369&lt;20,W1369&gt;=89),0.25,0)+IF(AND(V1369&gt;=20,V1369&lt;40,W1369&lt;74),0.3,0)+IF(AND(V1369&gt;=20,V1369&lt;40,W1369&gt;=75),0.22,0)+IF(AND(V1369&gt;=40,V1369&lt;75,W1369&lt;75),0.26,0)+IF(AND(V1369&gt;=40,V1369&lt;75,W1369&gt;=75),0.22,0)+IF(V1369&gt;=75,0.22,0),
IF(AF1369="DoEVold",IF(AND(V1369&lt;40,W1369&lt;35),0.35,0)+IF(AND(V1369&lt;40,W1369&gt;=35,W1369&lt;75),0.25,0)+IF(AND(V1369&lt;40,W1369&gt;=75),0.17,0)+IF(AND(V1369&gt;=40,V1369&lt;75,W1369&lt;25),0.35,0)+IF(AND(V1369&gt;=40,V1369&lt;75,W1369&gt;=25,W1369&lt;65),0.25,0)+IF(AND(V1369&gt;=40,V1369&lt;75,W1369&gt;=65,W1369&lt;100),0.17,0)+IF(AND(V1369&gt;=40,V1369&lt;75,W1369&gt;=100),0.1,0)+IF(AND(V1369&gt;=75,W1369&lt;25),0.35,0)+IF(AND(V1369&gt;=75,W1369&gt;=25,W1369&lt;60),0.25,0)+IF(AND(V1369&gt;=75,W1369&gt;=60,W1369&lt;95),0.17,0)+IF(AND(V1369&gt;=75,W1369&gt;=95),0.1,0),
IF(AF1369="DoEVold15",IF(AND(V1369&lt;=40,W1369&lt;35),0.35,0)+IF(AND(V1369&lt;=40,W1369&gt;=35,W1369&lt;75),0.25,0)+IF(AND(V1369&lt;=40,W1369&gt;=75,W1369&lt;120),0.17,0)+IF(AND(V1369&lt;=40,W1369&gt;=120),0.15,0)+IF(AND(V1369&gt;40,V1369&lt;75,W1369&lt;25),0.35,0)+IF(AND(V1369&gt;=40,V1369&lt;75,W1369&gt;=25,W1369&lt;65),0.25,0)+IF(AND(V1369&gt;=40,V1369&lt;75,W1369&gt;=65,W1369&lt;100),0.17,0)+IF(AND(V1369&gt;=40,V1369&lt;75,W1369&gt;=100),0.1,0)+IF(AND(V1369&gt;=75,W1369&lt;25),0.35,0)+IF(AND(V1369&gt;=75,W1369&gt;=25,W1369&lt;60),0.25,0)+IF(AND(V1369&gt;=75,W1369&gt;=60,W1369&lt;95),0.17,0)+IF(AND(V1369&gt;=75,W1369&gt;=95),0.1,0),
IF(AF1369="DoEVba",IF(AND(V1369&lt;20,W1369&lt;105),0.2,0)+IF(AND(V1369&lt;20,W1369&gt;=105),0.15,0)+IF(AND(V1369&gt;=20,V1369&lt;40,W1369&lt;95),0.2,0)+IF(AND(V1369&gt;=20,V1369&lt;40,W1369&gt;=95,W1369&lt;150),0.15,0)+IF(AND(V1369&gt;=20,V1369&lt;40,W1369&gt;=150),0.12,0)+IF(AND(V1369&gt;=40,V1369&lt;75,W1369&lt;75),0.2,0)+IF(AND(V1369&gt;=40,V1369&lt;75,W1369&gt;=75,W1369&lt;120),0.15,0)+IF(AND(V1369&gt;=40,V1369&lt;75,W1369&gt;=120),0.12,0)+IF(AND(V1369&gt;=75,V1369&lt;175,W1369&lt;65),0.2,0)+IF(AND(V1369&gt;=75,V1369&lt;175,W1369&gt;=65,W1369&lt;110),0.15,0)+IF(AND(V1369&gt;=75,V1369&lt;175,W1369&gt;=110),0.12,0)+IF(AND(V1369&gt;=175,W1369&lt;55),0.2,0)+IF(AND(V1369&gt;=175,W1369&gt;=55,W1369&lt;95),0.15,0)+IF(AND(V1369&gt;=175,W1369&gt;=95),0.12,0),
IF(AF1369="DoEVku",IF(AND(V1369&lt;20,W1369&lt;55),0.23,0)+IF(AND(V1369&lt;20,W1369&gt;=55,W1369&lt;105),0.2,0)+IF(AND(V1369&lt;20,W1369&gt;=105),0.17,0)+IF(AND(V1369&gt;=20,V1369&lt;40,W1369&lt;45),0.23,0)+IF(AND(V1369&gt;=20,V1369&lt;40,W1369&gt;=45,W1369&lt;95),0.2,0)+IF(AND(V1369&gt;=20,V1369&lt;40,W1369&gt;=95,W1369&lt;=150),0.17,0)+IF(AND(V1369&gt;=20,V1369&lt;40,W1369&gt;=150),0.12,0)+IF(AND(V1369&gt;=40,V1369&lt;75,W1369&lt;35),0.23,0)+IF(AND(V1369&gt;=40,V1369&lt;75,W1369&gt;=35,W1369&lt;75),0.2,0)+IF(AND(V1369&gt;=40,V1369&lt;75,W1369&gt;=75,W1369&lt;120),0.17,0)+IF(AND(V1369&gt;=40,V1369&lt;75,W1369&gt;=120),0.12,0)+IF(AND(V1369&gt;=75,V1369&lt;175,W1369&lt;35),0.23,0)+IF(AND(V1369&gt;=75,V1369&lt;=175,W1369&gt;=35,W1369&lt;65),0.2,0)+IF(AND(V1369&gt;=75,V1369&lt;=175,W1369&gt;=65,W1369&lt;110),0.17,0)+IF(AND(V1369&gt;=75,V1369&lt;=175,W1369&gt;=110),0.12,0)+IF(AND(V1369&gt;175,W1369&lt;25),0.23,0)+IF(AND(V1369&gt;175,W1369&gt;=25,W1369&lt;55),0.2,0)+IF(AND(V1369&gt;175,W1369&gt;=55,W1369&lt;95),0.17,0)+IF(AND(V1369&gt;175,W1369&gt;=95),0.12,0),
IF(AF1369="DoEVs1",IF(AND(V1369&lt;20,W1369&lt;55),0.3,0)+IF(AND(V1369&lt;20,W1369&gt;=55,W1369&lt;105),0.23,0)+IF(AND(V1369&lt;20,W1369&gt;=105),0.17,0)+IF(AND(V1369&gt;=20,V1369&lt;40,W1369&lt;45),0.3,0)+IF(AND(V1369&gt;=20,V1369&lt;40,W1369&gt;=45,W1369&lt;95),0.23,0)+IF(AND(V1369&gt;=20,V1369&lt;40,W1369&gt;=95,W1369&lt;=150),0.17,0)+IF(AND(V1369&gt;=20,V1369&lt;40,W1369&gt;=150),0.12,0)+IF(AND(V1369&gt;=40,V1369&lt;75,W1369&lt;35),0.3,0)+IF(AND(V1369&gt;=40,V1369&lt;75,W1369&gt;=35,W1369&lt;75),0.23,0)+IF(AND(V1369&gt;=40,V1369&lt;75,W1369&gt;=75,W1369&lt;120),0.17,0)+IF(AND(V1369&gt;=40,V1369&lt;75,W1369&gt;=120),0.12,0)+IF(AND(V1369&gt;=75,V1369&lt;175,W1369&lt;35),0.3,0)+IF(AND(V1369&gt;=75,V1369&lt;=175,W1369&gt;=35,W1369&lt;65),0.23,0)+IF(AND(V1369&gt;=75,V1369&lt;=175,W1369&gt;=65,W1369&lt;110),0.17,0)+IF(AND(V1369&gt;=75,V1369&lt;=175,W1369&gt;=110),0.12,0)+IF(AND(V1369&gt;175,W1369&lt;25),0.3,0)+IF(AND(V1369&gt;175,W1369&gt;=25,W1369&lt;55),0.23,0)+IF(AND(V1369&gt;175,W1369&gt;=55,W1369&lt;95),0.17,0)+IF(AND(V1369&gt;175,W1369&gt;=95),0.12,0),
IF(AF1369="DoEVsu",IF(AND(V1369&lt;20,W1369&lt;55),0.3,0)+IF(AND(V1369&lt;20,W1369&gt;=55,W1369&lt;105),0.23,0)+IF(AND(V1369&lt;20,W1369&gt;=105),0.17,0)+IF(AND(V1369&gt;=20,V1369&lt;40,W1369&lt;45),0.3,0)+IF(AND(V1369&gt;=20,V1369&lt;40,W1369&gt;=45,W1369&lt;95),0.23,0)+IF(AND(V1369&gt;=20,V1369&lt;40,W1369&gt;=95,W1369&lt;=250),0.17,0)+IF(AND(V1369&gt;=20,V1369&lt;40,W1369&gt;=250),0.12,0)+IF(AND(V1369&gt;=40,V1369&lt;75,W1369&lt;35),0.3,0)+IF(AND(V1369&gt;=40,V1369&lt;75,W1369&gt;=35,W1369&lt;75),0.23,0)+IF(AND(V1369&gt;=40,V1369&lt;75,W1369&gt;=75,W1369&lt;120),0.17,0)+IF(AND(V1369&gt;=40,V1369&lt;75,W1369&gt;=120),0.12,0)+IF(AND(V1369&gt;=75,V1369&lt;175,W1369&lt;35),0.3,0)+IF(AND(V1369&gt;=75,V1369&lt;=175,W1369&gt;=35,W1369&lt;65),0.23,0)+IF(AND(V1369&gt;=75,V1369&lt;=175,W1369&gt;=65,W1369&lt;110),0.17,0)+IF(AND(V1369&gt;=75,V1369&lt;=175,W1369&gt;=110),0.12,0)+IF(AND(V1369&gt;175,W1369&lt;25),0.3,0)+IF(AND(V1369&gt;175,W1369&gt;=25,W1369&lt;55),0.23,0)+IF(AND(V1369&gt;175,W1369&gt;=55,W1369&lt;95),0.17,0)+IF(AND(V1369&gt;175,W1369&gt;=95),0.12,0),
IF(AF1369="DoEVni",IF(AND(V1369&lt;20,W1369&lt;55),0.3,0)+IF(AND(V1369&lt;20,W1369&gt;=55,W1369&lt;105),0.23,0)+IF(AND(V1369&lt;20,W1369&gt;=105),0.17,0)+IF(AND(V1369&gt;=20,V1369&lt;40,W1369&lt;45),0.3,0)+IF(AND(V1369&gt;=20,V1369&lt;40,W1369&gt;=45,W1369&lt;95),0.23,0)+IF(AND(V1369&gt;=20,V1369&lt;40,W1369&gt;=95,W1369&lt;=200),0.17,0)+IF(AND(V1369&gt;=20,V1369&lt;40,W1369&gt;=200),0.12,0)+IF(AND(V1369&gt;=40,V1369&lt;75,W1369&lt;35),0.3,0)+IF(AND(V1369&gt;=40,V1369&lt;75,W1369&gt;=35,W1369&lt;75),0.23,0)+IF(AND(V1369&gt;=40,V1369&lt;75,W1369&gt;=75,W1369&lt;120),0.17,0)+IF(AND(V1369&gt;=40,V1369&lt;75,W1369&gt;=120),0.12,0)+IF(AND(V1369&gt;=75,V1369&lt;175,W1369&lt;35),0.3,0)+IF(AND(V1369&gt;=75,V1369&lt;=175,W1369&gt;=35,W1369&lt;65),0.23,0)+IF(AND(V1369&gt;=75,V1369&lt;=175,W1369&gt;=65,W1369&lt;110),0.17,0)+IF(AND(V1369&gt;=75,V1369&lt;=175,W1369&gt;=110),0.12,0)+IF(AND(V1369&gt;175,W1369&lt;25),0.3,0)+IF(AND(V1369&gt;175,W1369&gt;=25,W1369&lt;55),0.23,0)+IF(AND(V1369&gt;175,W1369&gt;=55,W1369&lt;95),0.17,0)+IF(AND(V1369&gt;175,W1369&gt;=95),0.12,0),
IF(AF1369="DoEVLo",IF(AND(V1369&lt;20,W1369&lt;55),0.25,0)+IF(AND(V1369&lt;20,W1369&gt;=55,W1369&lt;105),0.2,0)+IF(AND(V1369&lt;20,W1369&gt;=105),0.15,0)+IF(AND(V1369&gt;=20,V1369&lt;40,W1369&lt;45),0.25,0)+IF(AND(V1369&gt;=20,V1369&lt;40,W1369&gt;=45,W1369&lt;95),0.2,0)+IF(AND(V1369&gt;=20,V1369&lt;40,W1369&gt;=95),0.15,0)+IF(AND(V1369&gt;=40,V1369&lt;75,W1369&lt;35),0.25,0)+IF(AND(V1369&gt;=40,V1369&lt;75,W1369&gt;=35,W1369&lt;75),0.2,0)+IF(AND(V1369&gt;=40,V1369&lt;75,W1369&gt;=75,W1369&lt;120),0.15,0)+IF(AND(V1369&gt;=40,V1369&lt;75,W1369&gt;=120),0.1,0)+IF(AND(V1369&gt;=75,V1369&lt;175,W1369&lt;35),0.25,0)+IF(AND(V1369&gt;=75,V1369&lt;=175,W1369&gt;=35,W1369&lt;65),0.2,0)+IF(AND(V1369&gt;=75,V1369&lt;=175,W1369&gt;=65,W1369&lt;110),0.15,0)+IF(AND(V1369&gt;=75,V1369&lt;=175,W1369&gt;=110),0.1,0)+IF(AND(V1369&gt;175,W1369&lt;25),0.25,0)+IF(AND(V1369&gt;175,W1369&gt;=25,W1369&lt;55),0.2,0)+IF(AND(V1369&gt;175,W1369&gt;=55,W1369&lt;95),0.15,0)+IF(AND(V1369&gt;175,W1369&gt;=95),0.1,0))))))))))))))))))</f>
        <v>0</v>
      </c>
      <c r="Y1369" s="78">
        <v>0.22</v>
      </c>
      <c r="Z1369" s="35">
        <f>T1369-AA1369-AB1369</f>
        <v>-1026.48</v>
      </c>
      <c r="AA1369" s="29">
        <f>IF(AD1369="EUR",((T1369-R1369)*X1369)*U1369+(R1369*X1369),(T1369*X1369))</f>
        <v>0</v>
      </c>
      <c r="AB1369" s="36">
        <f>IF(AD1369="EUR",((T1369-R1369)*Y1369)*U1369+(R1369*Y1369),(T1369*Y1369))</f>
        <v>-289.52</v>
      </c>
      <c r="AC1369" s="61" t="b">
        <v>1</v>
      </c>
      <c r="AD1369" s="37" t="s">
        <v>38</v>
      </c>
      <c r="AE1369" s="37" t="s">
        <v>38</v>
      </c>
      <c r="AF1369" s="37" t="str">
        <f t="array" ref="AF1369">INDEX('Deal Info'!D:D, MATCH(A1369,'Deal Info'!A:A, 0))</f>
        <v>None</v>
      </c>
      <c r="AG1369" s="38" t="str">
        <f t="array" ref="AG1369">INDEX('Deal Info'!G:G, MATCH(A1369,'Deal Info'!A:A, 0))</f>
        <v>guilexperi</v>
      </c>
    </row>
    <row r="1370" spans="1:33" ht="14.25" hidden="1" x14ac:dyDescent="0.2">
      <c r="A1370" s="18" t="str">
        <f t="array" ref="A1370">IF(G1370='Room Info'!$B$1, INDEX('Room Info'!$A$2:$A2446, MATCH(B1370,'Room Info'!$B$2:$B2446, 0)),IF(G1370='Room Info'!$C$1, INDEX('Room Info'!$A$2:$A2446, MATCH(B1370,'Room Info'!$C$2:$C2446, 0)),IF(G1370='Room Info'!$D$1, INDEX('Room Info'!$A$2:$A2446, MATCH(B1370,'Room Info'!$D$2:$D2446, 0)),IF(G1370='Room Info'!$E$1, INDEX('Room Info'!$A$2:$A2446, MATCH(B1370,'Room Info'!$E$2:$E2446, 0)),IF(G1370='Room Info'!$F$1, INDEX('Room Info'!$A$2:$A2446, MATCH(B1370,'Room Info'!$F$2:$F2446, 0)),IF(G1370='Room Info'!$H$1, INDEX('Room Info'!$A$2:$A2446, MATCH(B1370,'Room Info'!$H$2:$H2446, 0)),IF(G1370='Room Info'!$G$1, INDEX('Room Info'!$A$2:$A2446, MATCH(B1370,'Room Info'!$G$2:$G2446, 0)))))))))</f>
        <v>guilexperi</v>
      </c>
      <c r="B1370" s="45" t="s">
        <v>208</v>
      </c>
      <c r="C1370" s="46">
        <v>44835</v>
      </c>
      <c r="D1370" s="46">
        <v>44865</v>
      </c>
      <c r="E1370" s="47">
        <v>44835</v>
      </c>
      <c r="F1370" s="48" t="s">
        <v>49</v>
      </c>
      <c r="G1370" s="45" t="s">
        <v>35</v>
      </c>
      <c r="H1370" s="49" t="s">
        <v>84</v>
      </c>
      <c r="I1370" s="49" t="s">
        <v>44</v>
      </c>
      <c r="J1370" s="50">
        <v>100</v>
      </c>
      <c r="K1370" s="51">
        <v>83</v>
      </c>
      <c r="L1370" s="52">
        <v>-1200</v>
      </c>
      <c r="M1370" s="53">
        <v>296</v>
      </c>
      <c r="N1370" s="28">
        <f>K1370*J1370</f>
        <v>8300</v>
      </c>
      <c r="O1370" s="54">
        <v>2067</v>
      </c>
      <c r="P1370" s="29">
        <v>24.90361446</v>
      </c>
      <c r="Q1370" s="55"/>
      <c r="R1370" s="31">
        <f>M1370+Q1370</f>
        <v>296</v>
      </c>
      <c r="S1370" s="56">
        <v>152</v>
      </c>
      <c r="T1370" s="32">
        <f>R1370+S1370+IF(F1370="Without EV deal",L1370,0)</f>
        <v>448</v>
      </c>
      <c r="U1370" s="57"/>
      <c r="V1370" s="58"/>
      <c r="W1370" s="58"/>
      <c r="X1370" s="30" t="b">
        <f>IF(AF1370="DoEV",IF(AND(V1370&lt;20,W1370&lt;55),0.3,0)+IF(AND(V1370&lt;20,W1370&gt;=55,W1370&lt;105),0.23,0)+IF(AND(V1370&lt;20,W1370&gt;=105),0.17,0)+IF(AND(V1370&gt;=20,V1370&lt;40,W1370&lt;45),0.3,0)+IF(AND(V1370&gt;=20,V1370&lt;40,W1370&gt;=45,W1370&lt;95),0.23,0)+IF(AND(V1370&gt;=20,V1370&lt;40,W1370&gt;=95),0.17,0)+IF(AND(V1370&gt;=40,V1370&lt;75,W1370&lt;35),0.3,0)+IF(AND(V1370&gt;=40,V1370&lt;75,W1370&gt;=35,W1370&lt;75),0.23,0)+IF(AND(V1370&gt;=40,V1370&lt;75,W1370&gt;=75,W1370&lt;120),0.17,0)+IF(AND(V1370&gt;=40,V1370&lt;75,W1370&gt;=120),0.12,0)+IF(AND(V1370&gt;=75,V1370&lt;175,W1370&lt;35),0.3,0)+IF(AND(V1370&gt;=75,V1370&lt;=175,W1370&gt;=35,W1370&lt;65),0.23,0)+IF(AND(V1370&gt;=75,V1370&lt;=175,W1370&gt;=65,W1370&lt;110),0.17,0)+IF(AND(V1370&gt;=75,V1370&lt;=175,W1370&gt;=110),0.12,0)+IF(AND(V1370&gt;175,W1370&lt;25),0.3,0)+IF(AND(V1370&gt;175,W1370&gt;=25,W1370&lt;55),0.23,0)+IF(AND(V1370&gt;175,W1370&gt;=55,W1370&lt;95),0.17,0)+IF(AND(V1370&gt;175,W1370&gt;=95),0.12,0),
IF(AF1370="Fix15",0.15,
IF(AF1370="Fix18.75",0.1875,
IF(AF1370="Fix11.25",0.1125,
IF(AF1370="Fix10",0.1,
IF(AF1370="Fix9",0.09,
IF(AF1370="Fix19",0.19,
IF(AF1370="DoEV2017",IF(AND(W1370&lt;74),0.2,0)+IF(AND(W1370&gt;=74),0.17,0),
IF(AF1370="SF",IF(AND(V1370&lt;20,W1370&lt;89),0.3,0)+IF(AND(V1370&lt;20,W1370&gt;=89),0.25,0)+IF(AND(V1370&gt;=20,V1370&lt;40,W1370&lt;74),0.3,0)+IF(AND(V1370&gt;=20,V1370&lt;40,W1370&gt;=75),0.22,0)+IF(AND(V1370&gt;=40,V1370&lt;75,W1370&lt;75),0.26,0)+IF(AND(V1370&gt;=40,V1370&lt;75,W1370&gt;=75),0.22,0)+IF(V1370&gt;=75,0.22,0),
IF(AF1370="DoEVold",IF(AND(V1370&lt;40,W1370&lt;35),0.35,0)+IF(AND(V1370&lt;40,W1370&gt;=35,W1370&lt;75),0.25,0)+IF(AND(V1370&lt;40,W1370&gt;=75),0.17,0)+IF(AND(V1370&gt;=40,V1370&lt;75,W1370&lt;25),0.35,0)+IF(AND(V1370&gt;=40,V1370&lt;75,W1370&gt;=25,W1370&lt;65),0.25,0)+IF(AND(V1370&gt;=40,V1370&lt;75,W1370&gt;=65,W1370&lt;100),0.17,0)+IF(AND(V1370&gt;=40,V1370&lt;75,W1370&gt;=100),0.1,0)+IF(AND(V1370&gt;=75,W1370&lt;25),0.35,0)+IF(AND(V1370&gt;=75,W1370&gt;=25,W1370&lt;60),0.25,0)+IF(AND(V1370&gt;=75,W1370&gt;=60,W1370&lt;95),0.17,0)+IF(AND(V1370&gt;=75,W1370&gt;=95),0.1,0),
IF(AF1370="DoEVold15",IF(AND(V1370&lt;=40,W1370&lt;35),0.35,0)+IF(AND(V1370&lt;=40,W1370&gt;=35,W1370&lt;75),0.25,0)+IF(AND(V1370&lt;=40,W1370&gt;=75,W1370&lt;120),0.17,0)+IF(AND(V1370&lt;=40,W1370&gt;=120),0.15,0)+IF(AND(V1370&gt;40,V1370&lt;75,W1370&lt;25),0.35,0)+IF(AND(V1370&gt;=40,V1370&lt;75,W1370&gt;=25,W1370&lt;65),0.25,0)+IF(AND(V1370&gt;=40,V1370&lt;75,W1370&gt;=65,W1370&lt;100),0.17,0)+IF(AND(V1370&gt;=40,V1370&lt;75,W1370&gt;=100),0.1,0)+IF(AND(V1370&gt;=75,W1370&lt;25),0.35,0)+IF(AND(V1370&gt;=75,W1370&gt;=25,W1370&lt;60),0.25,0)+IF(AND(V1370&gt;=75,W1370&gt;=60,W1370&lt;95),0.17,0)+IF(AND(V1370&gt;=75,W1370&gt;=95),0.1,0),
IF(AF1370="DoEVba",IF(AND(V1370&lt;20,W1370&lt;105),0.2,0)+IF(AND(V1370&lt;20,W1370&gt;=105),0.15,0)+IF(AND(V1370&gt;=20,V1370&lt;40,W1370&lt;95),0.2,0)+IF(AND(V1370&gt;=20,V1370&lt;40,W1370&gt;=95,W1370&lt;150),0.15,0)+IF(AND(V1370&gt;=20,V1370&lt;40,W1370&gt;=150),0.12,0)+IF(AND(V1370&gt;=40,V1370&lt;75,W1370&lt;75),0.2,0)+IF(AND(V1370&gt;=40,V1370&lt;75,W1370&gt;=75,W1370&lt;120),0.15,0)+IF(AND(V1370&gt;=40,V1370&lt;75,W1370&gt;=120),0.12,0)+IF(AND(V1370&gt;=75,V1370&lt;175,W1370&lt;65),0.2,0)+IF(AND(V1370&gt;=75,V1370&lt;175,W1370&gt;=65,W1370&lt;110),0.15,0)+IF(AND(V1370&gt;=75,V1370&lt;175,W1370&gt;=110),0.12,0)+IF(AND(V1370&gt;=175,W1370&lt;55),0.2,0)+IF(AND(V1370&gt;=175,W1370&gt;=55,W1370&lt;95),0.15,0)+IF(AND(V1370&gt;=175,W1370&gt;=95),0.12,0),
IF(AF1370="DoEVku",IF(AND(V1370&lt;20,W1370&lt;55),0.23,0)+IF(AND(V1370&lt;20,W1370&gt;=55,W1370&lt;105),0.2,0)+IF(AND(V1370&lt;20,W1370&gt;=105),0.17,0)+IF(AND(V1370&gt;=20,V1370&lt;40,W1370&lt;45),0.23,0)+IF(AND(V1370&gt;=20,V1370&lt;40,W1370&gt;=45,W1370&lt;95),0.2,0)+IF(AND(V1370&gt;=20,V1370&lt;40,W1370&gt;=95,W1370&lt;=150),0.17,0)+IF(AND(V1370&gt;=20,V1370&lt;40,W1370&gt;=150),0.12,0)+IF(AND(V1370&gt;=40,V1370&lt;75,W1370&lt;35),0.23,0)+IF(AND(V1370&gt;=40,V1370&lt;75,W1370&gt;=35,W1370&lt;75),0.2,0)+IF(AND(V1370&gt;=40,V1370&lt;75,W1370&gt;=75,W1370&lt;120),0.17,0)+IF(AND(V1370&gt;=40,V1370&lt;75,W1370&gt;=120),0.12,0)+IF(AND(V1370&gt;=75,V1370&lt;175,W1370&lt;35),0.23,0)+IF(AND(V1370&gt;=75,V1370&lt;=175,W1370&gt;=35,W1370&lt;65),0.2,0)+IF(AND(V1370&gt;=75,V1370&lt;=175,W1370&gt;=65,W1370&lt;110),0.17,0)+IF(AND(V1370&gt;=75,V1370&lt;=175,W1370&gt;=110),0.12,0)+IF(AND(V1370&gt;175,W1370&lt;25),0.23,0)+IF(AND(V1370&gt;175,W1370&gt;=25,W1370&lt;55),0.2,0)+IF(AND(V1370&gt;175,W1370&gt;=55,W1370&lt;95),0.17,0)+IF(AND(V1370&gt;175,W1370&gt;=95),0.12,0),
IF(AF1370="DoEVs1",IF(AND(V1370&lt;20,W1370&lt;55),0.3,0)+IF(AND(V1370&lt;20,W1370&gt;=55,W1370&lt;105),0.23,0)+IF(AND(V1370&lt;20,W1370&gt;=105),0.17,0)+IF(AND(V1370&gt;=20,V1370&lt;40,W1370&lt;45),0.3,0)+IF(AND(V1370&gt;=20,V1370&lt;40,W1370&gt;=45,W1370&lt;95),0.23,0)+IF(AND(V1370&gt;=20,V1370&lt;40,W1370&gt;=95,W1370&lt;=150),0.17,0)+IF(AND(V1370&gt;=20,V1370&lt;40,W1370&gt;=150),0.12,0)+IF(AND(V1370&gt;=40,V1370&lt;75,W1370&lt;35),0.3,0)+IF(AND(V1370&gt;=40,V1370&lt;75,W1370&gt;=35,W1370&lt;75),0.23,0)+IF(AND(V1370&gt;=40,V1370&lt;75,W1370&gt;=75,W1370&lt;120),0.17,0)+IF(AND(V1370&gt;=40,V1370&lt;75,W1370&gt;=120),0.12,0)+IF(AND(V1370&gt;=75,V1370&lt;175,W1370&lt;35),0.3,0)+IF(AND(V1370&gt;=75,V1370&lt;=175,W1370&gt;=35,W1370&lt;65),0.23,0)+IF(AND(V1370&gt;=75,V1370&lt;=175,W1370&gt;=65,W1370&lt;110),0.17,0)+IF(AND(V1370&gt;=75,V1370&lt;=175,W1370&gt;=110),0.12,0)+IF(AND(V1370&gt;175,W1370&lt;25),0.3,0)+IF(AND(V1370&gt;175,W1370&gt;=25,W1370&lt;55),0.23,0)+IF(AND(V1370&gt;175,W1370&gt;=55,W1370&lt;95),0.17,0)+IF(AND(V1370&gt;175,W1370&gt;=95),0.12,0),
IF(AF1370="DoEVsu",IF(AND(V1370&lt;20,W1370&lt;55),0.3,0)+IF(AND(V1370&lt;20,W1370&gt;=55,W1370&lt;105),0.23,0)+IF(AND(V1370&lt;20,W1370&gt;=105),0.17,0)+IF(AND(V1370&gt;=20,V1370&lt;40,W1370&lt;45),0.3,0)+IF(AND(V1370&gt;=20,V1370&lt;40,W1370&gt;=45,W1370&lt;95),0.23,0)+IF(AND(V1370&gt;=20,V1370&lt;40,W1370&gt;=95,W1370&lt;=250),0.17,0)+IF(AND(V1370&gt;=20,V1370&lt;40,W1370&gt;=250),0.12,0)+IF(AND(V1370&gt;=40,V1370&lt;75,W1370&lt;35),0.3,0)+IF(AND(V1370&gt;=40,V1370&lt;75,W1370&gt;=35,W1370&lt;75),0.23,0)+IF(AND(V1370&gt;=40,V1370&lt;75,W1370&gt;=75,W1370&lt;120),0.17,0)+IF(AND(V1370&gt;=40,V1370&lt;75,W1370&gt;=120),0.12,0)+IF(AND(V1370&gt;=75,V1370&lt;175,W1370&lt;35),0.3,0)+IF(AND(V1370&gt;=75,V1370&lt;=175,W1370&gt;=35,W1370&lt;65),0.23,0)+IF(AND(V1370&gt;=75,V1370&lt;=175,W1370&gt;=65,W1370&lt;110),0.17,0)+IF(AND(V1370&gt;=75,V1370&lt;=175,W1370&gt;=110),0.12,0)+IF(AND(V1370&gt;175,W1370&lt;25),0.3,0)+IF(AND(V1370&gt;175,W1370&gt;=25,W1370&lt;55),0.23,0)+IF(AND(V1370&gt;175,W1370&gt;=55,W1370&lt;95),0.17,0)+IF(AND(V1370&gt;175,W1370&gt;=95),0.12,0),
IF(AF1370="DoEVni",IF(AND(V1370&lt;20,W1370&lt;55),0.3,0)+IF(AND(V1370&lt;20,W1370&gt;=55,W1370&lt;105),0.23,0)+IF(AND(V1370&lt;20,W1370&gt;=105),0.17,0)+IF(AND(V1370&gt;=20,V1370&lt;40,W1370&lt;45),0.3,0)+IF(AND(V1370&gt;=20,V1370&lt;40,W1370&gt;=45,W1370&lt;95),0.23,0)+IF(AND(V1370&gt;=20,V1370&lt;40,W1370&gt;=95,W1370&lt;=200),0.17,0)+IF(AND(V1370&gt;=20,V1370&lt;40,W1370&gt;=200),0.12,0)+IF(AND(V1370&gt;=40,V1370&lt;75,W1370&lt;35),0.3,0)+IF(AND(V1370&gt;=40,V1370&lt;75,W1370&gt;=35,W1370&lt;75),0.23,0)+IF(AND(V1370&gt;=40,V1370&lt;75,W1370&gt;=75,W1370&lt;120),0.17,0)+IF(AND(V1370&gt;=40,V1370&lt;75,W1370&gt;=120),0.12,0)+IF(AND(V1370&gt;=75,V1370&lt;175,W1370&lt;35),0.3,0)+IF(AND(V1370&gt;=75,V1370&lt;=175,W1370&gt;=35,W1370&lt;65),0.23,0)+IF(AND(V1370&gt;=75,V1370&lt;=175,W1370&gt;=65,W1370&lt;110),0.17,0)+IF(AND(V1370&gt;=75,V1370&lt;=175,W1370&gt;=110),0.12,0)+IF(AND(V1370&gt;175,W1370&lt;25),0.3,0)+IF(AND(V1370&gt;175,W1370&gt;=25,W1370&lt;55),0.23,0)+IF(AND(V1370&gt;175,W1370&gt;=55,W1370&lt;95),0.17,0)+IF(AND(V1370&gt;175,W1370&gt;=95),0.12,0),
IF(AF1370="DoEVLo",IF(AND(V1370&lt;20,W1370&lt;55),0.25,0)+IF(AND(V1370&lt;20,W1370&gt;=55,W1370&lt;105),0.2,0)+IF(AND(V1370&lt;20,W1370&gt;=105),0.15,0)+IF(AND(V1370&gt;=20,V1370&lt;40,W1370&lt;45),0.25,0)+IF(AND(V1370&gt;=20,V1370&lt;40,W1370&gt;=45,W1370&lt;95),0.2,0)+IF(AND(V1370&gt;=20,V1370&lt;40,W1370&gt;=95),0.15,0)+IF(AND(V1370&gt;=40,V1370&lt;75,W1370&lt;35),0.25,0)+IF(AND(V1370&gt;=40,V1370&lt;75,W1370&gt;=35,W1370&lt;75),0.2,0)+IF(AND(V1370&gt;=40,V1370&lt;75,W1370&gt;=75,W1370&lt;120),0.15,0)+IF(AND(V1370&gt;=40,V1370&lt;75,W1370&gt;=120),0.1,0)+IF(AND(V1370&gt;=75,V1370&lt;175,W1370&lt;35),0.25,0)+IF(AND(V1370&gt;=75,V1370&lt;=175,W1370&gt;=35,W1370&lt;65),0.2,0)+IF(AND(V1370&gt;=75,V1370&lt;=175,W1370&gt;=65,W1370&lt;110),0.15,0)+IF(AND(V1370&gt;=75,V1370&lt;=175,W1370&gt;=110),0.1,0)+IF(AND(V1370&gt;175,W1370&lt;25),0.25,0)+IF(AND(V1370&gt;175,W1370&gt;=25,W1370&lt;55),0.2,0)+IF(AND(V1370&gt;175,W1370&gt;=55,W1370&lt;95),0.15,0)+IF(AND(V1370&gt;175,W1370&gt;=95),0.1,0))))))))))))))))))</f>
        <v>0</v>
      </c>
      <c r="Y1370" s="78">
        <v>0.22</v>
      </c>
      <c r="Z1370" s="35">
        <f>T1370-AA1370-AB1370</f>
        <v>349.44</v>
      </c>
      <c r="AA1370" s="29">
        <f>IF(AD1370="EUR",((T1370-R1370)*X1370)*U1370+(R1370*X1370),(T1370*X1370))</f>
        <v>0</v>
      </c>
      <c r="AB1370" s="36">
        <f>IF(AD1370="EUR",((T1370-R1370)*Y1370)*U1370+(R1370*Y1370),(T1370*Y1370))</f>
        <v>98.56</v>
      </c>
      <c r="AC1370" s="61" t="b">
        <v>1</v>
      </c>
      <c r="AD1370" s="37" t="s">
        <v>38</v>
      </c>
      <c r="AE1370" s="37" t="s">
        <v>38</v>
      </c>
      <c r="AF1370" s="37" t="str">
        <f t="array" ref="AF1370">INDEX('Deal Info'!D:D, MATCH(A1370,'Deal Info'!A:A, 0))</f>
        <v>None</v>
      </c>
      <c r="AG1370" s="38" t="str">
        <f t="array" ref="AG1370">INDEX('Deal Info'!G:G, MATCH(A1370,'Deal Info'!A:A, 0))</f>
        <v>guilexperi</v>
      </c>
    </row>
    <row r="1371" spans="1:33" ht="14.25" hidden="1" x14ac:dyDescent="0.2">
      <c r="A1371" s="18" t="str">
        <f t="array" ref="A1371">IF(G1371='Room Info'!$B$1, INDEX('Room Info'!$A$2:$A2446, MATCH(B1371,'Room Info'!$B$2:$B2446, 0)),IF(G1371='Room Info'!$C$1, INDEX('Room Info'!$A$2:$A2446, MATCH(B1371,'Room Info'!$C$2:$C2446, 0)),IF(G1371='Room Info'!$D$1, INDEX('Room Info'!$A$2:$A2446, MATCH(B1371,'Room Info'!$D$2:$D2446, 0)),IF(G1371='Room Info'!$E$1, INDEX('Room Info'!$A$2:$A2446, MATCH(B1371,'Room Info'!$E$2:$E2446, 0)),IF(G1371='Room Info'!$F$1, INDEX('Room Info'!$A$2:$A2446, MATCH(B1371,'Room Info'!$F$2:$F2446, 0)),IF(G1371='Room Info'!$H$1, INDEX('Room Info'!$A$2:$A2446, MATCH(B1371,'Room Info'!$H$2:$H2446, 0)),IF(G1371='Room Info'!$G$1, INDEX('Room Info'!$A$2:$A2446, MATCH(B1371,'Room Info'!$G$2:$G2446, 0)))))))))</f>
        <v>guilexperi</v>
      </c>
      <c r="B1371" s="45" t="s">
        <v>208</v>
      </c>
      <c r="C1371" s="46">
        <v>44835</v>
      </c>
      <c r="D1371" s="46">
        <v>44865</v>
      </c>
      <c r="E1371" s="47">
        <v>44835</v>
      </c>
      <c r="F1371" s="48" t="s">
        <v>49</v>
      </c>
      <c r="G1371" s="45" t="s">
        <v>35</v>
      </c>
      <c r="H1371" s="49" t="s">
        <v>211</v>
      </c>
      <c r="I1371" s="49" t="s">
        <v>174</v>
      </c>
      <c r="J1371" s="50">
        <v>200</v>
      </c>
      <c r="K1371" s="51">
        <v>98</v>
      </c>
      <c r="L1371" s="52">
        <v>-1901</v>
      </c>
      <c r="M1371" s="53">
        <v>234</v>
      </c>
      <c r="N1371" s="28">
        <f>K1371*J1371</f>
        <v>19600</v>
      </c>
      <c r="O1371" s="54">
        <v>-929</v>
      </c>
      <c r="P1371" s="29">
        <v>-9.4795918369999992</v>
      </c>
      <c r="Q1371" s="55"/>
      <c r="R1371" s="31">
        <f>M1371+Q1371</f>
        <v>234</v>
      </c>
      <c r="S1371" s="56">
        <v>-793</v>
      </c>
      <c r="T1371" s="32">
        <f>R1371+S1371+IF(F1371="Without EV deal",L1371,0)</f>
        <v>-559</v>
      </c>
      <c r="U1371" s="57"/>
      <c r="V1371" s="58"/>
      <c r="W1371" s="58"/>
      <c r="X1371" s="30" t="b">
        <f>IF(AF1371="DoEV",IF(AND(V1371&lt;20,W1371&lt;55),0.3,0)+IF(AND(V1371&lt;20,W1371&gt;=55,W1371&lt;105),0.23,0)+IF(AND(V1371&lt;20,W1371&gt;=105),0.17,0)+IF(AND(V1371&gt;=20,V1371&lt;40,W1371&lt;45),0.3,0)+IF(AND(V1371&gt;=20,V1371&lt;40,W1371&gt;=45,W1371&lt;95),0.23,0)+IF(AND(V1371&gt;=20,V1371&lt;40,W1371&gt;=95),0.17,0)+IF(AND(V1371&gt;=40,V1371&lt;75,W1371&lt;35),0.3,0)+IF(AND(V1371&gt;=40,V1371&lt;75,W1371&gt;=35,W1371&lt;75),0.23,0)+IF(AND(V1371&gt;=40,V1371&lt;75,W1371&gt;=75,W1371&lt;120),0.17,0)+IF(AND(V1371&gt;=40,V1371&lt;75,W1371&gt;=120),0.12,0)+IF(AND(V1371&gt;=75,V1371&lt;175,W1371&lt;35),0.3,0)+IF(AND(V1371&gt;=75,V1371&lt;=175,W1371&gt;=35,W1371&lt;65),0.23,0)+IF(AND(V1371&gt;=75,V1371&lt;=175,W1371&gt;=65,W1371&lt;110),0.17,0)+IF(AND(V1371&gt;=75,V1371&lt;=175,W1371&gt;=110),0.12,0)+IF(AND(V1371&gt;175,W1371&lt;25),0.3,0)+IF(AND(V1371&gt;175,W1371&gt;=25,W1371&lt;55),0.23,0)+IF(AND(V1371&gt;175,W1371&gt;=55,W1371&lt;95),0.17,0)+IF(AND(V1371&gt;175,W1371&gt;=95),0.12,0),
IF(AF1371="Fix15",0.15,
IF(AF1371="Fix18.75",0.1875,
IF(AF1371="Fix11.25",0.1125,
IF(AF1371="Fix10",0.1,
IF(AF1371="Fix9",0.09,
IF(AF1371="Fix19",0.19,
IF(AF1371="DoEV2017",IF(AND(W1371&lt;74),0.2,0)+IF(AND(W1371&gt;=74),0.17,0),
IF(AF1371="SF",IF(AND(V1371&lt;20,W1371&lt;89),0.3,0)+IF(AND(V1371&lt;20,W1371&gt;=89),0.25,0)+IF(AND(V1371&gt;=20,V1371&lt;40,W1371&lt;74),0.3,0)+IF(AND(V1371&gt;=20,V1371&lt;40,W1371&gt;=75),0.22,0)+IF(AND(V1371&gt;=40,V1371&lt;75,W1371&lt;75),0.26,0)+IF(AND(V1371&gt;=40,V1371&lt;75,W1371&gt;=75),0.22,0)+IF(V1371&gt;=75,0.22,0),
IF(AF1371="DoEVold",IF(AND(V1371&lt;40,W1371&lt;35),0.35,0)+IF(AND(V1371&lt;40,W1371&gt;=35,W1371&lt;75),0.25,0)+IF(AND(V1371&lt;40,W1371&gt;=75),0.17,0)+IF(AND(V1371&gt;=40,V1371&lt;75,W1371&lt;25),0.35,0)+IF(AND(V1371&gt;=40,V1371&lt;75,W1371&gt;=25,W1371&lt;65),0.25,0)+IF(AND(V1371&gt;=40,V1371&lt;75,W1371&gt;=65,W1371&lt;100),0.17,0)+IF(AND(V1371&gt;=40,V1371&lt;75,W1371&gt;=100),0.1,0)+IF(AND(V1371&gt;=75,W1371&lt;25),0.35,0)+IF(AND(V1371&gt;=75,W1371&gt;=25,W1371&lt;60),0.25,0)+IF(AND(V1371&gt;=75,W1371&gt;=60,W1371&lt;95),0.17,0)+IF(AND(V1371&gt;=75,W1371&gt;=95),0.1,0),
IF(AF1371="DoEVold15",IF(AND(V1371&lt;=40,W1371&lt;35),0.35,0)+IF(AND(V1371&lt;=40,W1371&gt;=35,W1371&lt;75),0.25,0)+IF(AND(V1371&lt;=40,W1371&gt;=75,W1371&lt;120),0.17,0)+IF(AND(V1371&lt;=40,W1371&gt;=120),0.15,0)+IF(AND(V1371&gt;40,V1371&lt;75,W1371&lt;25),0.35,0)+IF(AND(V1371&gt;=40,V1371&lt;75,W1371&gt;=25,W1371&lt;65),0.25,0)+IF(AND(V1371&gt;=40,V1371&lt;75,W1371&gt;=65,W1371&lt;100),0.17,0)+IF(AND(V1371&gt;=40,V1371&lt;75,W1371&gt;=100),0.1,0)+IF(AND(V1371&gt;=75,W1371&lt;25),0.35,0)+IF(AND(V1371&gt;=75,W1371&gt;=25,W1371&lt;60),0.25,0)+IF(AND(V1371&gt;=75,W1371&gt;=60,W1371&lt;95),0.17,0)+IF(AND(V1371&gt;=75,W1371&gt;=95),0.1,0),
IF(AF1371="DoEVba",IF(AND(V1371&lt;20,W1371&lt;105),0.2,0)+IF(AND(V1371&lt;20,W1371&gt;=105),0.15,0)+IF(AND(V1371&gt;=20,V1371&lt;40,W1371&lt;95),0.2,0)+IF(AND(V1371&gt;=20,V1371&lt;40,W1371&gt;=95,W1371&lt;150),0.15,0)+IF(AND(V1371&gt;=20,V1371&lt;40,W1371&gt;=150),0.12,0)+IF(AND(V1371&gt;=40,V1371&lt;75,W1371&lt;75),0.2,0)+IF(AND(V1371&gt;=40,V1371&lt;75,W1371&gt;=75,W1371&lt;120),0.15,0)+IF(AND(V1371&gt;=40,V1371&lt;75,W1371&gt;=120),0.12,0)+IF(AND(V1371&gt;=75,V1371&lt;175,W1371&lt;65),0.2,0)+IF(AND(V1371&gt;=75,V1371&lt;175,W1371&gt;=65,W1371&lt;110),0.15,0)+IF(AND(V1371&gt;=75,V1371&lt;175,W1371&gt;=110),0.12,0)+IF(AND(V1371&gt;=175,W1371&lt;55),0.2,0)+IF(AND(V1371&gt;=175,W1371&gt;=55,W1371&lt;95),0.15,0)+IF(AND(V1371&gt;=175,W1371&gt;=95),0.12,0),
IF(AF1371="DoEVku",IF(AND(V1371&lt;20,W1371&lt;55),0.23,0)+IF(AND(V1371&lt;20,W1371&gt;=55,W1371&lt;105),0.2,0)+IF(AND(V1371&lt;20,W1371&gt;=105),0.17,0)+IF(AND(V1371&gt;=20,V1371&lt;40,W1371&lt;45),0.23,0)+IF(AND(V1371&gt;=20,V1371&lt;40,W1371&gt;=45,W1371&lt;95),0.2,0)+IF(AND(V1371&gt;=20,V1371&lt;40,W1371&gt;=95,W1371&lt;=150),0.17,0)+IF(AND(V1371&gt;=20,V1371&lt;40,W1371&gt;=150),0.12,0)+IF(AND(V1371&gt;=40,V1371&lt;75,W1371&lt;35),0.23,0)+IF(AND(V1371&gt;=40,V1371&lt;75,W1371&gt;=35,W1371&lt;75),0.2,0)+IF(AND(V1371&gt;=40,V1371&lt;75,W1371&gt;=75,W1371&lt;120),0.17,0)+IF(AND(V1371&gt;=40,V1371&lt;75,W1371&gt;=120),0.12,0)+IF(AND(V1371&gt;=75,V1371&lt;175,W1371&lt;35),0.23,0)+IF(AND(V1371&gt;=75,V1371&lt;=175,W1371&gt;=35,W1371&lt;65),0.2,0)+IF(AND(V1371&gt;=75,V1371&lt;=175,W1371&gt;=65,W1371&lt;110),0.17,0)+IF(AND(V1371&gt;=75,V1371&lt;=175,W1371&gt;=110),0.12,0)+IF(AND(V1371&gt;175,W1371&lt;25),0.23,0)+IF(AND(V1371&gt;175,W1371&gt;=25,W1371&lt;55),0.2,0)+IF(AND(V1371&gt;175,W1371&gt;=55,W1371&lt;95),0.17,0)+IF(AND(V1371&gt;175,W1371&gt;=95),0.12,0),
IF(AF1371="DoEVs1",IF(AND(V1371&lt;20,W1371&lt;55),0.3,0)+IF(AND(V1371&lt;20,W1371&gt;=55,W1371&lt;105),0.23,0)+IF(AND(V1371&lt;20,W1371&gt;=105),0.17,0)+IF(AND(V1371&gt;=20,V1371&lt;40,W1371&lt;45),0.3,0)+IF(AND(V1371&gt;=20,V1371&lt;40,W1371&gt;=45,W1371&lt;95),0.23,0)+IF(AND(V1371&gt;=20,V1371&lt;40,W1371&gt;=95,W1371&lt;=150),0.17,0)+IF(AND(V1371&gt;=20,V1371&lt;40,W1371&gt;=150),0.12,0)+IF(AND(V1371&gt;=40,V1371&lt;75,W1371&lt;35),0.3,0)+IF(AND(V1371&gt;=40,V1371&lt;75,W1371&gt;=35,W1371&lt;75),0.23,0)+IF(AND(V1371&gt;=40,V1371&lt;75,W1371&gt;=75,W1371&lt;120),0.17,0)+IF(AND(V1371&gt;=40,V1371&lt;75,W1371&gt;=120),0.12,0)+IF(AND(V1371&gt;=75,V1371&lt;175,W1371&lt;35),0.3,0)+IF(AND(V1371&gt;=75,V1371&lt;=175,W1371&gt;=35,W1371&lt;65),0.23,0)+IF(AND(V1371&gt;=75,V1371&lt;=175,W1371&gt;=65,W1371&lt;110),0.17,0)+IF(AND(V1371&gt;=75,V1371&lt;=175,W1371&gt;=110),0.12,0)+IF(AND(V1371&gt;175,W1371&lt;25),0.3,0)+IF(AND(V1371&gt;175,W1371&gt;=25,W1371&lt;55),0.23,0)+IF(AND(V1371&gt;175,W1371&gt;=55,W1371&lt;95),0.17,0)+IF(AND(V1371&gt;175,W1371&gt;=95),0.12,0),
IF(AF1371="DoEVsu",IF(AND(V1371&lt;20,W1371&lt;55),0.3,0)+IF(AND(V1371&lt;20,W1371&gt;=55,W1371&lt;105),0.23,0)+IF(AND(V1371&lt;20,W1371&gt;=105),0.17,0)+IF(AND(V1371&gt;=20,V1371&lt;40,W1371&lt;45),0.3,0)+IF(AND(V1371&gt;=20,V1371&lt;40,W1371&gt;=45,W1371&lt;95),0.23,0)+IF(AND(V1371&gt;=20,V1371&lt;40,W1371&gt;=95,W1371&lt;=250),0.17,0)+IF(AND(V1371&gt;=20,V1371&lt;40,W1371&gt;=250),0.12,0)+IF(AND(V1371&gt;=40,V1371&lt;75,W1371&lt;35),0.3,0)+IF(AND(V1371&gt;=40,V1371&lt;75,W1371&gt;=35,W1371&lt;75),0.23,0)+IF(AND(V1371&gt;=40,V1371&lt;75,W1371&gt;=75,W1371&lt;120),0.17,0)+IF(AND(V1371&gt;=40,V1371&lt;75,W1371&gt;=120),0.12,0)+IF(AND(V1371&gt;=75,V1371&lt;175,W1371&lt;35),0.3,0)+IF(AND(V1371&gt;=75,V1371&lt;=175,W1371&gt;=35,W1371&lt;65),0.23,0)+IF(AND(V1371&gt;=75,V1371&lt;=175,W1371&gt;=65,W1371&lt;110),0.17,0)+IF(AND(V1371&gt;=75,V1371&lt;=175,W1371&gt;=110),0.12,0)+IF(AND(V1371&gt;175,W1371&lt;25),0.3,0)+IF(AND(V1371&gt;175,W1371&gt;=25,W1371&lt;55),0.23,0)+IF(AND(V1371&gt;175,W1371&gt;=55,W1371&lt;95),0.17,0)+IF(AND(V1371&gt;175,W1371&gt;=95),0.12,0),
IF(AF1371="DoEVni",IF(AND(V1371&lt;20,W1371&lt;55),0.3,0)+IF(AND(V1371&lt;20,W1371&gt;=55,W1371&lt;105),0.23,0)+IF(AND(V1371&lt;20,W1371&gt;=105),0.17,0)+IF(AND(V1371&gt;=20,V1371&lt;40,W1371&lt;45),0.3,0)+IF(AND(V1371&gt;=20,V1371&lt;40,W1371&gt;=45,W1371&lt;95),0.23,0)+IF(AND(V1371&gt;=20,V1371&lt;40,W1371&gt;=95,W1371&lt;=200),0.17,0)+IF(AND(V1371&gt;=20,V1371&lt;40,W1371&gt;=200),0.12,0)+IF(AND(V1371&gt;=40,V1371&lt;75,W1371&lt;35),0.3,0)+IF(AND(V1371&gt;=40,V1371&lt;75,W1371&gt;=35,W1371&lt;75),0.23,0)+IF(AND(V1371&gt;=40,V1371&lt;75,W1371&gt;=75,W1371&lt;120),0.17,0)+IF(AND(V1371&gt;=40,V1371&lt;75,W1371&gt;=120),0.12,0)+IF(AND(V1371&gt;=75,V1371&lt;175,W1371&lt;35),0.3,0)+IF(AND(V1371&gt;=75,V1371&lt;=175,W1371&gt;=35,W1371&lt;65),0.23,0)+IF(AND(V1371&gt;=75,V1371&lt;=175,W1371&gt;=65,W1371&lt;110),0.17,0)+IF(AND(V1371&gt;=75,V1371&lt;=175,W1371&gt;=110),0.12,0)+IF(AND(V1371&gt;175,W1371&lt;25),0.3,0)+IF(AND(V1371&gt;175,W1371&gt;=25,W1371&lt;55),0.23,0)+IF(AND(V1371&gt;175,W1371&gt;=55,W1371&lt;95),0.17,0)+IF(AND(V1371&gt;175,W1371&gt;=95),0.12,0),
IF(AF1371="DoEVLo",IF(AND(V1371&lt;20,W1371&lt;55),0.25,0)+IF(AND(V1371&lt;20,W1371&gt;=55,W1371&lt;105),0.2,0)+IF(AND(V1371&lt;20,W1371&gt;=105),0.15,0)+IF(AND(V1371&gt;=20,V1371&lt;40,W1371&lt;45),0.25,0)+IF(AND(V1371&gt;=20,V1371&lt;40,W1371&gt;=45,W1371&lt;95),0.2,0)+IF(AND(V1371&gt;=20,V1371&lt;40,W1371&gt;=95),0.15,0)+IF(AND(V1371&gt;=40,V1371&lt;75,W1371&lt;35),0.25,0)+IF(AND(V1371&gt;=40,V1371&lt;75,W1371&gt;=35,W1371&lt;75),0.2,0)+IF(AND(V1371&gt;=40,V1371&lt;75,W1371&gt;=75,W1371&lt;120),0.15,0)+IF(AND(V1371&gt;=40,V1371&lt;75,W1371&gt;=120),0.1,0)+IF(AND(V1371&gt;=75,V1371&lt;175,W1371&lt;35),0.25,0)+IF(AND(V1371&gt;=75,V1371&lt;=175,W1371&gt;=35,W1371&lt;65),0.2,0)+IF(AND(V1371&gt;=75,V1371&lt;=175,W1371&gt;=65,W1371&lt;110),0.15,0)+IF(AND(V1371&gt;=75,V1371&lt;=175,W1371&gt;=110),0.1,0)+IF(AND(V1371&gt;175,W1371&lt;25),0.25,0)+IF(AND(V1371&gt;175,W1371&gt;=25,W1371&lt;55),0.2,0)+IF(AND(V1371&gt;175,W1371&gt;=55,W1371&lt;95),0.15,0)+IF(AND(V1371&gt;175,W1371&gt;=95),0.1,0))))))))))))))))))</f>
        <v>0</v>
      </c>
      <c r="Y1371" s="78">
        <v>0.22</v>
      </c>
      <c r="Z1371" s="35">
        <f>T1371-AA1371-AB1371</f>
        <v>-436.02</v>
      </c>
      <c r="AA1371" s="29">
        <f>IF(AD1371="EUR",((T1371-R1371)*X1371)*U1371+(R1371*X1371),(T1371*X1371))</f>
        <v>0</v>
      </c>
      <c r="AB1371" s="36">
        <f>IF(AD1371="EUR",((T1371-R1371)*Y1371)*U1371+(R1371*Y1371),(T1371*Y1371))</f>
        <v>-122.98</v>
      </c>
      <c r="AC1371" s="61" t="b">
        <v>1</v>
      </c>
      <c r="AD1371" s="37" t="s">
        <v>38</v>
      </c>
      <c r="AE1371" s="37" t="s">
        <v>38</v>
      </c>
      <c r="AF1371" s="37" t="str">
        <f t="array" ref="AF1371">INDEX('Deal Info'!D:D, MATCH(A1371,'Deal Info'!A:A, 0))</f>
        <v>None</v>
      </c>
      <c r="AG1371" s="38" t="str">
        <f t="array" ref="AG1371">INDEX('Deal Info'!G:G, MATCH(A1371,'Deal Info'!A:A, 0))</f>
        <v>guilexperi</v>
      </c>
    </row>
    <row r="1372" spans="1:33" ht="14.25" hidden="1" x14ac:dyDescent="0.2">
      <c r="A1372" s="18" t="str">
        <f t="array" ref="A1372">IF(G1372='Room Info'!$B$1, INDEX('Room Info'!$A$2:$A2446, MATCH(B1372,'Room Info'!$B$2:$B2446, 0)),IF(G1372='Room Info'!$C$1, INDEX('Room Info'!$A$2:$A2446, MATCH(B1372,'Room Info'!$C$2:$C2446, 0)),IF(G1372='Room Info'!$D$1, INDEX('Room Info'!$A$2:$A2446, MATCH(B1372,'Room Info'!$D$2:$D2446, 0)),IF(G1372='Room Info'!$E$1, INDEX('Room Info'!$A$2:$A2446, MATCH(B1372,'Room Info'!$E$2:$E2446, 0)),IF(G1372='Room Info'!$F$1, INDEX('Room Info'!$A$2:$A2446, MATCH(B1372,'Room Info'!$F$2:$F2446, 0)),IF(G1372='Room Info'!$H$1, INDEX('Room Info'!$A$2:$A2446, MATCH(B1372,'Room Info'!$H$2:$H2446, 0)),IF(G1372='Room Info'!$G$1, INDEX('Room Info'!$A$2:$A2446, MATCH(B1372,'Room Info'!$G$2:$G2446, 0)))))))))</f>
        <v>guilexperi</v>
      </c>
      <c r="B1372" s="45" t="s">
        <v>208</v>
      </c>
      <c r="C1372" s="46">
        <v>44835</v>
      </c>
      <c r="D1372" s="46">
        <v>44865</v>
      </c>
      <c r="E1372" s="47">
        <v>44835</v>
      </c>
      <c r="F1372" s="48" t="s">
        <v>49</v>
      </c>
      <c r="G1372" s="45" t="s">
        <v>35</v>
      </c>
      <c r="H1372" s="49" t="s">
        <v>148</v>
      </c>
      <c r="I1372" s="49" t="s">
        <v>44</v>
      </c>
      <c r="J1372" s="50">
        <v>250</v>
      </c>
      <c r="K1372" s="51">
        <v>180</v>
      </c>
      <c r="L1372" s="52">
        <v>-7000</v>
      </c>
      <c r="M1372" s="53">
        <v>1607</v>
      </c>
      <c r="N1372" s="28">
        <f>K1372*J1372</f>
        <v>45000</v>
      </c>
      <c r="O1372" s="54">
        <v>-2229</v>
      </c>
      <c r="P1372" s="29">
        <v>-12.383333329999999</v>
      </c>
      <c r="Q1372" s="55"/>
      <c r="R1372" s="31">
        <f>M1372+Q1372</f>
        <v>1607</v>
      </c>
      <c r="S1372" s="117">
        <v>-4286</v>
      </c>
      <c r="T1372" s="32">
        <f>R1372+S1372+IF(F1372="Without EV deal",L1372,0)</f>
        <v>-2679</v>
      </c>
      <c r="U1372" s="57"/>
      <c r="V1372" s="58"/>
      <c r="W1372" s="58"/>
      <c r="X1372" s="30" t="b">
        <f>IF(AF1372="DoEV",IF(AND(V1372&lt;20,W1372&lt;55),0.3,0)+IF(AND(V1372&lt;20,W1372&gt;=55,W1372&lt;105),0.23,0)+IF(AND(V1372&lt;20,W1372&gt;=105),0.17,0)+IF(AND(V1372&gt;=20,V1372&lt;40,W1372&lt;45),0.3,0)+IF(AND(V1372&gt;=20,V1372&lt;40,W1372&gt;=45,W1372&lt;95),0.23,0)+IF(AND(V1372&gt;=20,V1372&lt;40,W1372&gt;=95),0.17,0)+IF(AND(V1372&gt;=40,V1372&lt;75,W1372&lt;35),0.3,0)+IF(AND(V1372&gt;=40,V1372&lt;75,W1372&gt;=35,W1372&lt;75),0.23,0)+IF(AND(V1372&gt;=40,V1372&lt;75,W1372&gt;=75,W1372&lt;120),0.17,0)+IF(AND(V1372&gt;=40,V1372&lt;75,W1372&gt;=120),0.12,0)+IF(AND(V1372&gt;=75,V1372&lt;175,W1372&lt;35),0.3,0)+IF(AND(V1372&gt;=75,V1372&lt;=175,W1372&gt;=35,W1372&lt;65),0.23,0)+IF(AND(V1372&gt;=75,V1372&lt;=175,W1372&gt;=65,W1372&lt;110),0.17,0)+IF(AND(V1372&gt;=75,V1372&lt;=175,W1372&gt;=110),0.12,0)+IF(AND(V1372&gt;175,W1372&lt;25),0.3,0)+IF(AND(V1372&gt;175,W1372&gt;=25,W1372&lt;55),0.23,0)+IF(AND(V1372&gt;175,W1372&gt;=55,W1372&lt;95),0.17,0)+IF(AND(V1372&gt;175,W1372&gt;=95),0.12,0),
IF(AF1372="Fix15",0.15,
IF(AF1372="Fix18.75",0.1875,
IF(AF1372="Fix11.25",0.1125,
IF(AF1372="Fix10",0.1,
IF(AF1372="Fix9",0.09,
IF(AF1372="Fix19",0.19,
IF(AF1372="DoEV2017",IF(AND(W1372&lt;74),0.2,0)+IF(AND(W1372&gt;=74),0.17,0),
IF(AF1372="SF",IF(AND(V1372&lt;20,W1372&lt;89),0.3,0)+IF(AND(V1372&lt;20,W1372&gt;=89),0.25,0)+IF(AND(V1372&gt;=20,V1372&lt;40,W1372&lt;74),0.3,0)+IF(AND(V1372&gt;=20,V1372&lt;40,W1372&gt;=75),0.22,0)+IF(AND(V1372&gt;=40,V1372&lt;75,W1372&lt;75),0.26,0)+IF(AND(V1372&gt;=40,V1372&lt;75,W1372&gt;=75),0.22,0)+IF(V1372&gt;=75,0.22,0),
IF(AF1372="DoEVold",IF(AND(V1372&lt;40,W1372&lt;35),0.35,0)+IF(AND(V1372&lt;40,W1372&gt;=35,W1372&lt;75),0.25,0)+IF(AND(V1372&lt;40,W1372&gt;=75),0.17,0)+IF(AND(V1372&gt;=40,V1372&lt;75,W1372&lt;25),0.35,0)+IF(AND(V1372&gt;=40,V1372&lt;75,W1372&gt;=25,W1372&lt;65),0.25,0)+IF(AND(V1372&gt;=40,V1372&lt;75,W1372&gt;=65,W1372&lt;100),0.17,0)+IF(AND(V1372&gt;=40,V1372&lt;75,W1372&gt;=100),0.1,0)+IF(AND(V1372&gt;=75,W1372&lt;25),0.35,0)+IF(AND(V1372&gt;=75,W1372&gt;=25,W1372&lt;60),0.25,0)+IF(AND(V1372&gt;=75,W1372&gt;=60,W1372&lt;95),0.17,0)+IF(AND(V1372&gt;=75,W1372&gt;=95),0.1,0),
IF(AF1372="DoEVold15",IF(AND(V1372&lt;=40,W1372&lt;35),0.35,0)+IF(AND(V1372&lt;=40,W1372&gt;=35,W1372&lt;75),0.25,0)+IF(AND(V1372&lt;=40,W1372&gt;=75,W1372&lt;120),0.17,0)+IF(AND(V1372&lt;=40,W1372&gt;=120),0.15,0)+IF(AND(V1372&gt;40,V1372&lt;75,W1372&lt;25),0.35,0)+IF(AND(V1372&gt;=40,V1372&lt;75,W1372&gt;=25,W1372&lt;65),0.25,0)+IF(AND(V1372&gt;=40,V1372&lt;75,W1372&gt;=65,W1372&lt;100),0.17,0)+IF(AND(V1372&gt;=40,V1372&lt;75,W1372&gt;=100),0.1,0)+IF(AND(V1372&gt;=75,W1372&lt;25),0.35,0)+IF(AND(V1372&gt;=75,W1372&gt;=25,W1372&lt;60),0.25,0)+IF(AND(V1372&gt;=75,W1372&gt;=60,W1372&lt;95),0.17,0)+IF(AND(V1372&gt;=75,W1372&gt;=95),0.1,0),
IF(AF1372="DoEVba",IF(AND(V1372&lt;20,W1372&lt;105),0.2,0)+IF(AND(V1372&lt;20,W1372&gt;=105),0.15,0)+IF(AND(V1372&gt;=20,V1372&lt;40,W1372&lt;95),0.2,0)+IF(AND(V1372&gt;=20,V1372&lt;40,W1372&gt;=95,W1372&lt;150),0.15,0)+IF(AND(V1372&gt;=20,V1372&lt;40,W1372&gt;=150),0.12,0)+IF(AND(V1372&gt;=40,V1372&lt;75,W1372&lt;75),0.2,0)+IF(AND(V1372&gt;=40,V1372&lt;75,W1372&gt;=75,W1372&lt;120),0.15,0)+IF(AND(V1372&gt;=40,V1372&lt;75,W1372&gt;=120),0.12,0)+IF(AND(V1372&gt;=75,V1372&lt;175,W1372&lt;65),0.2,0)+IF(AND(V1372&gt;=75,V1372&lt;175,W1372&gt;=65,W1372&lt;110),0.15,0)+IF(AND(V1372&gt;=75,V1372&lt;175,W1372&gt;=110),0.12,0)+IF(AND(V1372&gt;=175,W1372&lt;55),0.2,0)+IF(AND(V1372&gt;=175,W1372&gt;=55,W1372&lt;95),0.15,0)+IF(AND(V1372&gt;=175,W1372&gt;=95),0.12,0),
IF(AF1372="DoEVku",IF(AND(V1372&lt;20,W1372&lt;55),0.23,0)+IF(AND(V1372&lt;20,W1372&gt;=55,W1372&lt;105),0.2,0)+IF(AND(V1372&lt;20,W1372&gt;=105),0.17,0)+IF(AND(V1372&gt;=20,V1372&lt;40,W1372&lt;45),0.23,0)+IF(AND(V1372&gt;=20,V1372&lt;40,W1372&gt;=45,W1372&lt;95),0.2,0)+IF(AND(V1372&gt;=20,V1372&lt;40,W1372&gt;=95,W1372&lt;=150),0.17,0)+IF(AND(V1372&gt;=20,V1372&lt;40,W1372&gt;=150),0.12,0)+IF(AND(V1372&gt;=40,V1372&lt;75,W1372&lt;35),0.23,0)+IF(AND(V1372&gt;=40,V1372&lt;75,W1372&gt;=35,W1372&lt;75),0.2,0)+IF(AND(V1372&gt;=40,V1372&lt;75,W1372&gt;=75,W1372&lt;120),0.17,0)+IF(AND(V1372&gt;=40,V1372&lt;75,W1372&gt;=120),0.12,0)+IF(AND(V1372&gt;=75,V1372&lt;175,W1372&lt;35),0.23,0)+IF(AND(V1372&gt;=75,V1372&lt;=175,W1372&gt;=35,W1372&lt;65),0.2,0)+IF(AND(V1372&gt;=75,V1372&lt;=175,W1372&gt;=65,W1372&lt;110),0.17,0)+IF(AND(V1372&gt;=75,V1372&lt;=175,W1372&gt;=110),0.12,0)+IF(AND(V1372&gt;175,W1372&lt;25),0.23,0)+IF(AND(V1372&gt;175,W1372&gt;=25,W1372&lt;55),0.2,0)+IF(AND(V1372&gt;175,W1372&gt;=55,W1372&lt;95),0.17,0)+IF(AND(V1372&gt;175,W1372&gt;=95),0.12,0),
IF(AF1372="DoEVs1",IF(AND(V1372&lt;20,W1372&lt;55),0.3,0)+IF(AND(V1372&lt;20,W1372&gt;=55,W1372&lt;105),0.23,0)+IF(AND(V1372&lt;20,W1372&gt;=105),0.17,0)+IF(AND(V1372&gt;=20,V1372&lt;40,W1372&lt;45),0.3,0)+IF(AND(V1372&gt;=20,V1372&lt;40,W1372&gt;=45,W1372&lt;95),0.23,0)+IF(AND(V1372&gt;=20,V1372&lt;40,W1372&gt;=95,W1372&lt;=150),0.17,0)+IF(AND(V1372&gt;=20,V1372&lt;40,W1372&gt;=150),0.12,0)+IF(AND(V1372&gt;=40,V1372&lt;75,W1372&lt;35),0.3,0)+IF(AND(V1372&gt;=40,V1372&lt;75,W1372&gt;=35,W1372&lt;75),0.23,0)+IF(AND(V1372&gt;=40,V1372&lt;75,W1372&gt;=75,W1372&lt;120),0.17,0)+IF(AND(V1372&gt;=40,V1372&lt;75,W1372&gt;=120),0.12,0)+IF(AND(V1372&gt;=75,V1372&lt;175,W1372&lt;35),0.3,0)+IF(AND(V1372&gt;=75,V1372&lt;=175,W1372&gt;=35,W1372&lt;65),0.23,0)+IF(AND(V1372&gt;=75,V1372&lt;=175,W1372&gt;=65,W1372&lt;110),0.17,0)+IF(AND(V1372&gt;=75,V1372&lt;=175,W1372&gt;=110),0.12,0)+IF(AND(V1372&gt;175,W1372&lt;25),0.3,0)+IF(AND(V1372&gt;175,W1372&gt;=25,W1372&lt;55),0.23,0)+IF(AND(V1372&gt;175,W1372&gt;=55,W1372&lt;95),0.17,0)+IF(AND(V1372&gt;175,W1372&gt;=95),0.12,0),
IF(AF1372="DoEVsu",IF(AND(V1372&lt;20,W1372&lt;55),0.3,0)+IF(AND(V1372&lt;20,W1372&gt;=55,W1372&lt;105),0.23,0)+IF(AND(V1372&lt;20,W1372&gt;=105),0.17,0)+IF(AND(V1372&gt;=20,V1372&lt;40,W1372&lt;45),0.3,0)+IF(AND(V1372&gt;=20,V1372&lt;40,W1372&gt;=45,W1372&lt;95),0.23,0)+IF(AND(V1372&gt;=20,V1372&lt;40,W1372&gt;=95,W1372&lt;=250),0.17,0)+IF(AND(V1372&gt;=20,V1372&lt;40,W1372&gt;=250),0.12,0)+IF(AND(V1372&gt;=40,V1372&lt;75,W1372&lt;35),0.3,0)+IF(AND(V1372&gt;=40,V1372&lt;75,W1372&gt;=35,W1372&lt;75),0.23,0)+IF(AND(V1372&gt;=40,V1372&lt;75,W1372&gt;=75,W1372&lt;120),0.17,0)+IF(AND(V1372&gt;=40,V1372&lt;75,W1372&gt;=120),0.12,0)+IF(AND(V1372&gt;=75,V1372&lt;175,W1372&lt;35),0.3,0)+IF(AND(V1372&gt;=75,V1372&lt;=175,W1372&gt;=35,W1372&lt;65),0.23,0)+IF(AND(V1372&gt;=75,V1372&lt;=175,W1372&gt;=65,W1372&lt;110),0.17,0)+IF(AND(V1372&gt;=75,V1372&lt;=175,W1372&gt;=110),0.12,0)+IF(AND(V1372&gt;175,W1372&lt;25),0.3,0)+IF(AND(V1372&gt;175,W1372&gt;=25,W1372&lt;55),0.23,0)+IF(AND(V1372&gt;175,W1372&gt;=55,W1372&lt;95),0.17,0)+IF(AND(V1372&gt;175,W1372&gt;=95),0.12,0),
IF(AF1372="DoEVni",IF(AND(V1372&lt;20,W1372&lt;55),0.3,0)+IF(AND(V1372&lt;20,W1372&gt;=55,W1372&lt;105),0.23,0)+IF(AND(V1372&lt;20,W1372&gt;=105),0.17,0)+IF(AND(V1372&gt;=20,V1372&lt;40,W1372&lt;45),0.3,0)+IF(AND(V1372&gt;=20,V1372&lt;40,W1372&gt;=45,W1372&lt;95),0.23,0)+IF(AND(V1372&gt;=20,V1372&lt;40,W1372&gt;=95,W1372&lt;=200),0.17,0)+IF(AND(V1372&gt;=20,V1372&lt;40,W1372&gt;=200),0.12,0)+IF(AND(V1372&gt;=40,V1372&lt;75,W1372&lt;35),0.3,0)+IF(AND(V1372&gt;=40,V1372&lt;75,W1372&gt;=35,W1372&lt;75),0.23,0)+IF(AND(V1372&gt;=40,V1372&lt;75,W1372&gt;=75,W1372&lt;120),0.17,0)+IF(AND(V1372&gt;=40,V1372&lt;75,W1372&gt;=120),0.12,0)+IF(AND(V1372&gt;=75,V1372&lt;175,W1372&lt;35),0.3,0)+IF(AND(V1372&gt;=75,V1372&lt;=175,W1372&gt;=35,W1372&lt;65),0.23,0)+IF(AND(V1372&gt;=75,V1372&lt;=175,W1372&gt;=65,W1372&lt;110),0.17,0)+IF(AND(V1372&gt;=75,V1372&lt;=175,W1372&gt;=110),0.12,0)+IF(AND(V1372&gt;175,W1372&lt;25),0.3,0)+IF(AND(V1372&gt;175,W1372&gt;=25,W1372&lt;55),0.23,0)+IF(AND(V1372&gt;175,W1372&gt;=55,W1372&lt;95),0.17,0)+IF(AND(V1372&gt;175,W1372&gt;=95),0.12,0),
IF(AF1372="DoEVLo",IF(AND(V1372&lt;20,W1372&lt;55),0.25,0)+IF(AND(V1372&lt;20,W1372&gt;=55,W1372&lt;105),0.2,0)+IF(AND(V1372&lt;20,W1372&gt;=105),0.15,0)+IF(AND(V1372&gt;=20,V1372&lt;40,W1372&lt;45),0.25,0)+IF(AND(V1372&gt;=20,V1372&lt;40,W1372&gt;=45,W1372&lt;95),0.2,0)+IF(AND(V1372&gt;=20,V1372&lt;40,W1372&gt;=95),0.15,0)+IF(AND(V1372&gt;=40,V1372&lt;75,W1372&lt;35),0.25,0)+IF(AND(V1372&gt;=40,V1372&lt;75,W1372&gt;=35,W1372&lt;75),0.2,0)+IF(AND(V1372&gt;=40,V1372&lt;75,W1372&gt;=75,W1372&lt;120),0.15,0)+IF(AND(V1372&gt;=40,V1372&lt;75,W1372&gt;=120),0.1,0)+IF(AND(V1372&gt;=75,V1372&lt;175,W1372&lt;35),0.25,0)+IF(AND(V1372&gt;=75,V1372&lt;=175,W1372&gt;=35,W1372&lt;65),0.2,0)+IF(AND(V1372&gt;=75,V1372&lt;=175,W1372&gt;=65,W1372&lt;110),0.15,0)+IF(AND(V1372&gt;=75,V1372&lt;=175,W1372&gt;=110),0.1,0)+IF(AND(V1372&gt;175,W1372&lt;25),0.25,0)+IF(AND(V1372&gt;175,W1372&gt;=25,W1372&lt;55),0.2,0)+IF(AND(V1372&gt;175,W1372&gt;=55,W1372&lt;95),0.15,0)+IF(AND(V1372&gt;175,W1372&gt;=95),0.1,0))))))))))))))))))</f>
        <v>0</v>
      </c>
      <c r="Y1372" s="78">
        <v>0.22</v>
      </c>
      <c r="Z1372" s="35">
        <f>T1372-AA1372-AB1372</f>
        <v>-2089.62</v>
      </c>
      <c r="AA1372" s="29">
        <f>IF(AD1372="EUR",((T1372-R1372)*X1372)*U1372+(R1372*X1372),(T1372*X1372))</f>
        <v>0</v>
      </c>
      <c r="AB1372" s="36">
        <f>IF(AD1372="EUR",((T1372-R1372)*Y1372)*U1372+(R1372*Y1372),(T1372*Y1372))</f>
        <v>-589.38</v>
      </c>
      <c r="AC1372" s="61" t="b">
        <v>1</v>
      </c>
      <c r="AD1372" s="37" t="s">
        <v>38</v>
      </c>
      <c r="AE1372" s="37" t="s">
        <v>38</v>
      </c>
      <c r="AF1372" s="37" t="str">
        <f t="array" ref="AF1372">INDEX('Deal Info'!D:D, MATCH(A1372,'Deal Info'!A:A, 0))</f>
        <v>None</v>
      </c>
      <c r="AG1372" s="38" t="str">
        <f t="array" ref="AG1372">INDEX('Deal Info'!G:G, MATCH(A1372,'Deal Info'!A:A, 0))</f>
        <v>guilexperi</v>
      </c>
    </row>
    <row r="1373" spans="1:33" ht="14.25" hidden="1" x14ac:dyDescent="0.2">
      <c r="A1373" s="18" t="str">
        <f t="array" ref="A1373">IF(G1373='Room Info'!$B$1, INDEX('Room Info'!$A$2:$A2446, MATCH(B1373,'Room Info'!$B$2:$B2446, 0)),IF(G1373='Room Info'!$C$1, INDEX('Room Info'!$A$2:$A2446, MATCH(B1373,'Room Info'!$C$2:$C2446, 0)),IF(G1373='Room Info'!$D$1, INDEX('Room Info'!$A$2:$A2446, MATCH(B1373,'Room Info'!$D$2:$D2446, 0)),IF(G1373='Room Info'!$E$1, INDEX('Room Info'!$A$2:$A2446, MATCH(B1373,'Room Info'!$E$2:$E2446, 0)),IF(G1373='Room Info'!$F$1, INDEX('Room Info'!$A$2:$A2446, MATCH(B1373,'Room Info'!$F$2:$F2446, 0)),IF(G1373='Room Info'!$H$1, INDEX('Room Info'!$A$2:$A2446, MATCH(B1373,'Room Info'!$H$2:$H2446, 0)),IF(G1373='Room Info'!$G$1, INDEX('Room Info'!$A$2:$A2446, MATCH(B1373,'Room Info'!$G$2:$G2446, 0)))))))))</f>
        <v>guilexperi</v>
      </c>
      <c r="B1373" s="45" t="s">
        <v>208</v>
      </c>
      <c r="C1373" s="46">
        <v>44835</v>
      </c>
      <c r="D1373" s="46">
        <v>44865</v>
      </c>
      <c r="E1373" s="47">
        <v>44835</v>
      </c>
      <c r="F1373" s="48" t="s">
        <v>49</v>
      </c>
      <c r="G1373" s="45" t="s">
        <v>35</v>
      </c>
      <c r="H1373" s="49" t="s">
        <v>212</v>
      </c>
      <c r="I1373" s="49" t="s">
        <v>174</v>
      </c>
      <c r="J1373" s="50">
        <v>300</v>
      </c>
      <c r="K1373" s="51">
        <v>455</v>
      </c>
      <c r="L1373" s="52">
        <v>-12977</v>
      </c>
      <c r="M1373" s="53">
        <v>1460</v>
      </c>
      <c r="N1373" s="28">
        <f>K1373*J1373</f>
        <v>136500</v>
      </c>
      <c r="O1373" s="54">
        <v>4958</v>
      </c>
      <c r="P1373" s="29">
        <v>10.8967033</v>
      </c>
      <c r="Q1373" s="55"/>
      <c r="R1373" s="31">
        <f>M1373+Q1373</f>
        <v>1460</v>
      </c>
      <c r="S1373" s="56">
        <v>155</v>
      </c>
      <c r="T1373" s="32">
        <f>R1373+S1373+IF(F1373="Without EV deal",L1373,0)</f>
        <v>1615</v>
      </c>
      <c r="U1373" s="57"/>
      <c r="V1373" s="58"/>
      <c r="W1373" s="58"/>
      <c r="X1373" s="30" t="b">
        <f>IF(AF1373="DoEV",IF(AND(V1373&lt;20,W1373&lt;55),0.3,0)+IF(AND(V1373&lt;20,W1373&gt;=55,W1373&lt;105),0.23,0)+IF(AND(V1373&lt;20,W1373&gt;=105),0.17,0)+IF(AND(V1373&gt;=20,V1373&lt;40,W1373&lt;45),0.3,0)+IF(AND(V1373&gt;=20,V1373&lt;40,W1373&gt;=45,W1373&lt;95),0.23,0)+IF(AND(V1373&gt;=20,V1373&lt;40,W1373&gt;=95),0.17,0)+IF(AND(V1373&gt;=40,V1373&lt;75,W1373&lt;35),0.3,0)+IF(AND(V1373&gt;=40,V1373&lt;75,W1373&gt;=35,W1373&lt;75),0.23,0)+IF(AND(V1373&gt;=40,V1373&lt;75,W1373&gt;=75,W1373&lt;120),0.17,0)+IF(AND(V1373&gt;=40,V1373&lt;75,W1373&gt;=120),0.12,0)+IF(AND(V1373&gt;=75,V1373&lt;175,W1373&lt;35),0.3,0)+IF(AND(V1373&gt;=75,V1373&lt;=175,W1373&gt;=35,W1373&lt;65),0.23,0)+IF(AND(V1373&gt;=75,V1373&lt;=175,W1373&gt;=65,W1373&lt;110),0.17,0)+IF(AND(V1373&gt;=75,V1373&lt;=175,W1373&gt;=110),0.12,0)+IF(AND(V1373&gt;175,W1373&lt;25),0.3,0)+IF(AND(V1373&gt;175,W1373&gt;=25,W1373&lt;55),0.23,0)+IF(AND(V1373&gt;175,W1373&gt;=55,W1373&lt;95),0.17,0)+IF(AND(V1373&gt;175,W1373&gt;=95),0.12,0),
IF(AF1373="Fix15",0.15,
IF(AF1373="Fix18.75",0.1875,
IF(AF1373="Fix11.25",0.1125,
IF(AF1373="Fix10",0.1,
IF(AF1373="Fix9",0.09,
IF(AF1373="Fix19",0.19,
IF(AF1373="DoEV2017",IF(AND(W1373&lt;74),0.2,0)+IF(AND(W1373&gt;=74),0.17,0),
IF(AF1373="SF",IF(AND(V1373&lt;20,W1373&lt;89),0.3,0)+IF(AND(V1373&lt;20,W1373&gt;=89),0.25,0)+IF(AND(V1373&gt;=20,V1373&lt;40,W1373&lt;74),0.3,0)+IF(AND(V1373&gt;=20,V1373&lt;40,W1373&gt;=75),0.22,0)+IF(AND(V1373&gt;=40,V1373&lt;75,W1373&lt;75),0.26,0)+IF(AND(V1373&gt;=40,V1373&lt;75,W1373&gt;=75),0.22,0)+IF(V1373&gt;=75,0.22,0),
IF(AF1373="DoEVold",IF(AND(V1373&lt;40,W1373&lt;35),0.35,0)+IF(AND(V1373&lt;40,W1373&gt;=35,W1373&lt;75),0.25,0)+IF(AND(V1373&lt;40,W1373&gt;=75),0.17,0)+IF(AND(V1373&gt;=40,V1373&lt;75,W1373&lt;25),0.35,0)+IF(AND(V1373&gt;=40,V1373&lt;75,W1373&gt;=25,W1373&lt;65),0.25,0)+IF(AND(V1373&gt;=40,V1373&lt;75,W1373&gt;=65,W1373&lt;100),0.17,0)+IF(AND(V1373&gt;=40,V1373&lt;75,W1373&gt;=100),0.1,0)+IF(AND(V1373&gt;=75,W1373&lt;25),0.35,0)+IF(AND(V1373&gt;=75,W1373&gt;=25,W1373&lt;60),0.25,0)+IF(AND(V1373&gt;=75,W1373&gt;=60,W1373&lt;95),0.17,0)+IF(AND(V1373&gt;=75,W1373&gt;=95),0.1,0),
IF(AF1373="DoEVold15",IF(AND(V1373&lt;=40,W1373&lt;35),0.35,0)+IF(AND(V1373&lt;=40,W1373&gt;=35,W1373&lt;75),0.25,0)+IF(AND(V1373&lt;=40,W1373&gt;=75,W1373&lt;120),0.17,0)+IF(AND(V1373&lt;=40,W1373&gt;=120),0.15,0)+IF(AND(V1373&gt;40,V1373&lt;75,W1373&lt;25),0.35,0)+IF(AND(V1373&gt;=40,V1373&lt;75,W1373&gt;=25,W1373&lt;65),0.25,0)+IF(AND(V1373&gt;=40,V1373&lt;75,W1373&gt;=65,W1373&lt;100),0.17,0)+IF(AND(V1373&gt;=40,V1373&lt;75,W1373&gt;=100),0.1,0)+IF(AND(V1373&gt;=75,W1373&lt;25),0.35,0)+IF(AND(V1373&gt;=75,W1373&gt;=25,W1373&lt;60),0.25,0)+IF(AND(V1373&gt;=75,W1373&gt;=60,W1373&lt;95),0.17,0)+IF(AND(V1373&gt;=75,W1373&gt;=95),0.1,0),
IF(AF1373="DoEVba",IF(AND(V1373&lt;20,W1373&lt;105),0.2,0)+IF(AND(V1373&lt;20,W1373&gt;=105),0.15,0)+IF(AND(V1373&gt;=20,V1373&lt;40,W1373&lt;95),0.2,0)+IF(AND(V1373&gt;=20,V1373&lt;40,W1373&gt;=95,W1373&lt;150),0.15,0)+IF(AND(V1373&gt;=20,V1373&lt;40,W1373&gt;=150),0.12,0)+IF(AND(V1373&gt;=40,V1373&lt;75,W1373&lt;75),0.2,0)+IF(AND(V1373&gt;=40,V1373&lt;75,W1373&gt;=75,W1373&lt;120),0.15,0)+IF(AND(V1373&gt;=40,V1373&lt;75,W1373&gt;=120),0.12,0)+IF(AND(V1373&gt;=75,V1373&lt;175,W1373&lt;65),0.2,0)+IF(AND(V1373&gt;=75,V1373&lt;175,W1373&gt;=65,W1373&lt;110),0.15,0)+IF(AND(V1373&gt;=75,V1373&lt;175,W1373&gt;=110),0.12,0)+IF(AND(V1373&gt;=175,W1373&lt;55),0.2,0)+IF(AND(V1373&gt;=175,W1373&gt;=55,W1373&lt;95),0.15,0)+IF(AND(V1373&gt;=175,W1373&gt;=95),0.12,0),
IF(AF1373="DoEVku",IF(AND(V1373&lt;20,W1373&lt;55),0.23,0)+IF(AND(V1373&lt;20,W1373&gt;=55,W1373&lt;105),0.2,0)+IF(AND(V1373&lt;20,W1373&gt;=105),0.17,0)+IF(AND(V1373&gt;=20,V1373&lt;40,W1373&lt;45),0.23,0)+IF(AND(V1373&gt;=20,V1373&lt;40,W1373&gt;=45,W1373&lt;95),0.2,0)+IF(AND(V1373&gt;=20,V1373&lt;40,W1373&gt;=95,W1373&lt;=150),0.17,0)+IF(AND(V1373&gt;=20,V1373&lt;40,W1373&gt;=150),0.12,0)+IF(AND(V1373&gt;=40,V1373&lt;75,W1373&lt;35),0.23,0)+IF(AND(V1373&gt;=40,V1373&lt;75,W1373&gt;=35,W1373&lt;75),0.2,0)+IF(AND(V1373&gt;=40,V1373&lt;75,W1373&gt;=75,W1373&lt;120),0.17,0)+IF(AND(V1373&gt;=40,V1373&lt;75,W1373&gt;=120),0.12,0)+IF(AND(V1373&gt;=75,V1373&lt;175,W1373&lt;35),0.23,0)+IF(AND(V1373&gt;=75,V1373&lt;=175,W1373&gt;=35,W1373&lt;65),0.2,0)+IF(AND(V1373&gt;=75,V1373&lt;=175,W1373&gt;=65,W1373&lt;110),0.17,0)+IF(AND(V1373&gt;=75,V1373&lt;=175,W1373&gt;=110),0.12,0)+IF(AND(V1373&gt;175,W1373&lt;25),0.23,0)+IF(AND(V1373&gt;175,W1373&gt;=25,W1373&lt;55),0.2,0)+IF(AND(V1373&gt;175,W1373&gt;=55,W1373&lt;95),0.17,0)+IF(AND(V1373&gt;175,W1373&gt;=95),0.12,0),
IF(AF1373="DoEVs1",IF(AND(V1373&lt;20,W1373&lt;55),0.3,0)+IF(AND(V1373&lt;20,W1373&gt;=55,W1373&lt;105),0.23,0)+IF(AND(V1373&lt;20,W1373&gt;=105),0.17,0)+IF(AND(V1373&gt;=20,V1373&lt;40,W1373&lt;45),0.3,0)+IF(AND(V1373&gt;=20,V1373&lt;40,W1373&gt;=45,W1373&lt;95),0.23,0)+IF(AND(V1373&gt;=20,V1373&lt;40,W1373&gt;=95,W1373&lt;=150),0.17,0)+IF(AND(V1373&gt;=20,V1373&lt;40,W1373&gt;=150),0.12,0)+IF(AND(V1373&gt;=40,V1373&lt;75,W1373&lt;35),0.3,0)+IF(AND(V1373&gt;=40,V1373&lt;75,W1373&gt;=35,W1373&lt;75),0.23,0)+IF(AND(V1373&gt;=40,V1373&lt;75,W1373&gt;=75,W1373&lt;120),0.17,0)+IF(AND(V1373&gt;=40,V1373&lt;75,W1373&gt;=120),0.12,0)+IF(AND(V1373&gt;=75,V1373&lt;175,W1373&lt;35),0.3,0)+IF(AND(V1373&gt;=75,V1373&lt;=175,W1373&gt;=35,W1373&lt;65),0.23,0)+IF(AND(V1373&gt;=75,V1373&lt;=175,W1373&gt;=65,W1373&lt;110),0.17,0)+IF(AND(V1373&gt;=75,V1373&lt;=175,W1373&gt;=110),0.12,0)+IF(AND(V1373&gt;175,W1373&lt;25),0.3,0)+IF(AND(V1373&gt;175,W1373&gt;=25,W1373&lt;55),0.23,0)+IF(AND(V1373&gt;175,W1373&gt;=55,W1373&lt;95),0.17,0)+IF(AND(V1373&gt;175,W1373&gt;=95),0.12,0),
IF(AF1373="DoEVsu",IF(AND(V1373&lt;20,W1373&lt;55),0.3,0)+IF(AND(V1373&lt;20,W1373&gt;=55,W1373&lt;105),0.23,0)+IF(AND(V1373&lt;20,W1373&gt;=105),0.17,0)+IF(AND(V1373&gt;=20,V1373&lt;40,W1373&lt;45),0.3,0)+IF(AND(V1373&gt;=20,V1373&lt;40,W1373&gt;=45,W1373&lt;95),0.23,0)+IF(AND(V1373&gt;=20,V1373&lt;40,W1373&gt;=95,W1373&lt;=250),0.17,0)+IF(AND(V1373&gt;=20,V1373&lt;40,W1373&gt;=250),0.12,0)+IF(AND(V1373&gt;=40,V1373&lt;75,W1373&lt;35),0.3,0)+IF(AND(V1373&gt;=40,V1373&lt;75,W1373&gt;=35,W1373&lt;75),0.23,0)+IF(AND(V1373&gt;=40,V1373&lt;75,W1373&gt;=75,W1373&lt;120),0.17,0)+IF(AND(V1373&gt;=40,V1373&lt;75,W1373&gt;=120),0.12,0)+IF(AND(V1373&gt;=75,V1373&lt;175,W1373&lt;35),0.3,0)+IF(AND(V1373&gt;=75,V1373&lt;=175,W1373&gt;=35,W1373&lt;65),0.23,0)+IF(AND(V1373&gt;=75,V1373&lt;=175,W1373&gt;=65,W1373&lt;110),0.17,0)+IF(AND(V1373&gt;=75,V1373&lt;=175,W1373&gt;=110),0.12,0)+IF(AND(V1373&gt;175,W1373&lt;25),0.3,0)+IF(AND(V1373&gt;175,W1373&gt;=25,W1373&lt;55),0.23,0)+IF(AND(V1373&gt;175,W1373&gt;=55,W1373&lt;95),0.17,0)+IF(AND(V1373&gt;175,W1373&gt;=95),0.12,0),
IF(AF1373="DoEVni",IF(AND(V1373&lt;20,W1373&lt;55),0.3,0)+IF(AND(V1373&lt;20,W1373&gt;=55,W1373&lt;105),0.23,0)+IF(AND(V1373&lt;20,W1373&gt;=105),0.17,0)+IF(AND(V1373&gt;=20,V1373&lt;40,W1373&lt;45),0.3,0)+IF(AND(V1373&gt;=20,V1373&lt;40,W1373&gt;=45,W1373&lt;95),0.23,0)+IF(AND(V1373&gt;=20,V1373&lt;40,W1373&gt;=95,W1373&lt;=200),0.17,0)+IF(AND(V1373&gt;=20,V1373&lt;40,W1373&gt;=200),0.12,0)+IF(AND(V1373&gt;=40,V1373&lt;75,W1373&lt;35),0.3,0)+IF(AND(V1373&gt;=40,V1373&lt;75,W1373&gt;=35,W1373&lt;75),0.23,0)+IF(AND(V1373&gt;=40,V1373&lt;75,W1373&gt;=75,W1373&lt;120),0.17,0)+IF(AND(V1373&gt;=40,V1373&lt;75,W1373&gt;=120),0.12,0)+IF(AND(V1373&gt;=75,V1373&lt;175,W1373&lt;35),0.3,0)+IF(AND(V1373&gt;=75,V1373&lt;=175,W1373&gt;=35,W1373&lt;65),0.23,0)+IF(AND(V1373&gt;=75,V1373&lt;=175,W1373&gt;=65,W1373&lt;110),0.17,0)+IF(AND(V1373&gt;=75,V1373&lt;=175,W1373&gt;=110),0.12,0)+IF(AND(V1373&gt;175,W1373&lt;25),0.3,0)+IF(AND(V1373&gt;175,W1373&gt;=25,W1373&lt;55),0.23,0)+IF(AND(V1373&gt;175,W1373&gt;=55,W1373&lt;95),0.17,0)+IF(AND(V1373&gt;175,W1373&gt;=95),0.12,0),
IF(AF1373="DoEVLo",IF(AND(V1373&lt;20,W1373&lt;55),0.25,0)+IF(AND(V1373&lt;20,W1373&gt;=55,W1373&lt;105),0.2,0)+IF(AND(V1373&lt;20,W1373&gt;=105),0.15,0)+IF(AND(V1373&gt;=20,V1373&lt;40,W1373&lt;45),0.25,0)+IF(AND(V1373&gt;=20,V1373&lt;40,W1373&gt;=45,W1373&lt;95),0.2,0)+IF(AND(V1373&gt;=20,V1373&lt;40,W1373&gt;=95),0.15,0)+IF(AND(V1373&gt;=40,V1373&lt;75,W1373&lt;35),0.25,0)+IF(AND(V1373&gt;=40,V1373&lt;75,W1373&gt;=35,W1373&lt;75),0.2,0)+IF(AND(V1373&gt;=40,V1373&lt;75,W1373&gt;=75,W1373&lt;120),0.15,0)+IF(AND(V1373&gt;=40,V1373&lt;75,W1373&gt;=120),0.1,0)+IF(AND(V1373&gt;=75,V1373&lt;175,W1373&lt;35),0.25,0)+IF(AND(V1373&gt;=75,V1373&lt;=175,W1373&gt;=35,W1373&lt;65),0.2,0)+IF(AND(V1373&gt;=75,V1373&lt;=175,W1373&gt;=65,W1373&lt;110),0.15,0)+IF(AND(V1373&gt;=75,V1373&lt;=175,W1373&gt;=110),0.1,0)+IF(AND(V1373&gt;175,W1373&lt;25),0.25,0)+IF(AND(V1373&gt;175,W1373&gt;=25,W1373&lt;55),0.2,0)+IF(AND(V1373&gt;175,W1373&gt;=55,W1373&lt;95),0.15,0)+IF(AND(V1373&gt;175,W1373&gt;=95),0.1,0))))))))))))))))))</f>
        <v>0</v>
      </c>
      <c r="Y1373" s="78">
        <v>0.22</v>
      </c>
      <c r="Z1373" s="35">
        <f>T1373-AA1373-AB1373</f>
        <v>1259.7</v>
      </c>
      <c r="AA1373" s="29">
        <f>IF(AD1373="EUR",((T1373-R1373)*X1373)*U1373+(R1373*X1373),(T1373*X1373))</f>
        <v>0</v>
      </c>
      <c r="AB1373" s="36">
        <f>IF(AD1373="EUR",((T1373-R1373)*Y1373)*U1373+(R1373*Y1373),(T1373*Y1373))</f>
        <v>355.3</v>
      </c>
      <c r="AC1373" s="61" t="b">
        <v>1</v>
      </c>
      <c r="AD1373" s="37" t="s">
        <v>38</v>
      </c>
      <c r="AE1373" s="37" t="s">
        <v>38</v>
      </c>
      <c r="AF1373" s="37" t="str">
        <f t="array" ref="AF1373">INDEX('Deal Info'!D:D, MATCH(A1373,'Deal Info'!A:A, 0))</f>
        <v>None</v>
      </c>
      <c r="AG1373" s="38" t="str">
        <f t="array" ref="AG1373">INDEX('Deal Info'!G:G, MATCH(A1373,'Deal Info'!A:A, 0))</f>
        <v>guilexperi</v>
      </c>
    </row>
    <row r="1374" spans="1:33" ht="14.25" hidden="1" x14ac:dyDescent="0.2">
      <c r="A1374" s="18" t="str">
        <f t="array" ref="A1374">IF(G1374='Room Info'!$B$1, INDEX('Room Info'!$A$2:$A2446, MATCH(B1374,'Room Info'!$B$2:$B2446, 0)),IF(G1374='Room Info'!$C$1, INDEX('Room Info'!$A$2:$A2446, MATCH(B1374,'Room Info'!$C$2:$C2446, 0)),IF(G1374='Room Info'!$D$1, INDEX('Room Info'!$A$2:$A2446, MATCH(B1374,'Room Info'!$D$2:$D2446, 0)),IF(G1374='Room Info'!$E$1, INDEX('Room Info'!$A$2:$A2446, MATCH(B1374,'Room Info'!$E$2:$E2446, 0)),IF(G1374='Room Info'!$F$1, INDEX('Room Info'!$A$2:$A2446, MATCH(B1374,'Room Info'!$F$2:$F2446, 0)),IF(G1374='Room Info'!$H$1, INDEX('Room Info'!$A$2:$A2446, MATCH(B1374,'Room Info'!$H$2:$H2446, 0)),IF(G1374='Room Info'!$G$1, INDEX('Room Info'!$A$2:$A2446, MATCH(B1374,'Room Info'!$G$2:$G2446, 0)))))))))</f>
        <v>guilexperi</v>
      </c>
      <c r="B1374" s="45" t="s">
        <v>208</v>
      </c>
      <c r="C1374" s="46">
        <v>44835</v>
      </c>
      <c r="D1374" s="46">
        <v>44865</v>
      </c>
      <c r="E1374" s="47">
        <v>44835</v>
      </c>
      <c r="F1374" s="48" t="s">
        <v>49</v>
      </c>
      <c r="G1374" s="45" t="s">
        <v>35</v>
      </c>
      <c r="H1374" s="49" t="s">
        <v>142</v>
      </c>
      <c r="I1374" s="49" t="s">
        <v>37</v>
      </c>
      <c r="J1374" s="50">
        <v>500</v>
      </c>
      <c r="K1374" s="51">
        <v>538</v>
      </c>
      <c r="L1374" s="52">
        <v>-6000</v>
      </c>
      <c r="M1374" s="53">
        <v>9609</v>
      </c>
      <c r="N1374" s="28">
        <f>K1374*J1374</f>
        <v>269000</v>
      </c>
      <c r="O1374" s="54">
        <v>3751</v>
      </c>
      <c r="P1374" s="29">
        <v>6.9721189590000003</v>
      </c>
      <c r="Q1374" s="55"/>
      <c r="R1374" s="31">
        <f>M1374+Q1374</f>
        <v>9609</v>
      </c>
      <c r="S1374" s="117">
        <v>-11157</v>
      </c>
      <c r="T1374" s="32">
        <f>R1374+S1374+IF(F1374="Without EV deal",L1374,0)</f>
        <v>-1548</v>
      </c>
      <c r="U1374" s="57"/>
      <c r="V1374" s="58"/>
      <c r="W1374" s="58"/>
      <c r="X1374" s="30" t="b">
        <f>IF(AF1374="DoEV",IF(AND(V1374&lt;20,W1374&lt;55),0.3,0)+IF(AND(V1374&lt;20,W1374&gt;=55,W1374&lt;105),0.23,0)+IF(AND(V1374&lt;20,W1374&gt;=105),0.17,0)+IF(AND(V1374&gt;=20,V1374&lt;40,W1374&lt;45),0.3,0)+IF(AND(V1374&gt;=20,V1374&lt;40,W1374&gt;=45,W1374&lt;95),0.23,0)+IF(AND(V1374&gt;=20,V1374&lt;40,W1374&gt;=95),0.17,0)+IF(AND(V1374&gt;=40,V1374&lt;75,W1374&lt;35),0.3,0)+IF(AND(V1374&gt;=40,V1374&lt;75,W1374&gt;=35,W1374&lt;75),0.23,0)+IF(AND(V1374&gt;=40,V1374&lt;75,W1374&gt;=75,W1374&lt;120),0.17,0)+IF(AND(V1374&gt;=40,V1374&lt;75,W1374&gt;=120),0.12,0)+IF(AND(V1374&gt;=75,V1374&lt;175,W1374&lt;35),0.3,0)+IF(AND(V1374&gt;=75,V1374&lt;=175,W1374&gt;=35,W1374&lt;65),0.23,0)+IF(AND(V1374&gt;=75,V1374&lt;=175,W1374&gt;=65,W1374&lt;110),0.17,0)+IF(AND(V1374&gt;=75,V1374&lt;=175,W1374&gt;=110),0.12,0)+IF(AND(V1374&gt;175,W1374&lt;25),0.3,0)+IF(AND(V1374&gt;175,W1374&gt;=25,W1374&lt;55),0.23,0)+IF(AND(V1374&gt;175,W1374&gt;=55,W1374&lt;95),0.17,0)+IF(AND(V1374&gt;175,W1374&gt;=95),0.12,0),
IF(AF1374="Fix15",0.15,
IF(AF1374="Fix18.75",0.1875,
IF(AF1374="Fix11.25",0.1125,
IF(AF1374="Fix10",0.1,
IF(AF1374="Fix9",0.09,
IF(AF1374="Fix19",0.19,
IF(AF1374="DoEV2017",IF(AND(W1374&lt;74),0.2,0)+IF(AND(W1374&gt;=74),0.17,0),
IF(AF1374="SF",IF(AND(V1374&lt;20,W1374&lt;89),0.3,0)+IF(AND(V1374&lt;20,W1374&gt;=89),0.25,0)+IF(AND(V1374&gt;=20,V1374&lt;40,W1374&lt;74),0.3,0)+IF(AND(V1374&gt;=20,V1374&lt;40,W1374&gt;=75),0.22,0)+IF(AND(V1374&gt;=40,V1374&lt;75,W1374&lt;75),0.26,0)+IF(AND(V1374&gt;=40,V1374&lt;75,W1374&gt;=75),0.22,0)+IF(V1374&gt;=75,0.22,0),
IF(AF1374="DoEVold",IF(AND(V1374&lt;40,W1374&lt;35),0.35,0)+IF(AND(V1374&lt;40,W1374&gt;=35,W1374&lt;75),0.25,0)+IF(AND(V1374&lt;40,W1374&gt;=75),0.17,0)+IF(AND(V1374&gt;=40,V1374&lt;75,W1374&lt;25),0.35,0)+IF(AND(V1374&gt;=40,V1374&lt;75,W1374&gt;=25,W1374&lt;65),0.25,0)+IF(AND(V1374&gt;=40,V1374&lt;75,W1374&gt;=65,W1374&lt;100),0.17,0)+IF(AND(V1374&gt;=40,V1374&lt;75,W1374&gt;=100),0.1,0)+IF(AND(V1374&gt;=75,W1374&lt;25),0.35,0)+IF(AND(V1374&gt;=75,W1374&gt;=25,W1374&lt;60),0.25,0)+IF(AND(V1374&gt;=75,W1374&gt;=60,W1374&lt;95),0.17,0)+IF(AND(V1374&gt;=75,W1374&gt;=95),0.1,0),
IF(AF1374="DoEVold15",IF(AND(V1374&lt;=40,W1374&lt;35),0.35,0)+IF(AND(V1374&lt;=40,W1374&gt;=35,W1374&lt;75),0.25,0)+IF(AND(V1374&lt;=40,W1374&gt;=75,W1374&lt;120),0.17,0)+IF(AND(V1374&lt;=40,W1374&gt;=120),0.15,0)+IF(AND(V1374&gt;40,V1374&lt;75,W1374&lt;25),0.35,0)+IF(AND(V1374&gt;=40,V1374&lt;75,W1374&gt;=25,W1374&lt;65),0.25,0)+IF(AND(V1374&gt;=40,V1374&lt;75,W1374&gt;=65,W1374&lt;100),0.17,0)+IF(AND(V1374&gt;=40,V1374&lt;75,W1374&gt;=100),0.1,0)+IF(AND(V1374&gt;=75,W1374&lt;25),0.35,0)+IF(AND(V1374&gt;=75,W1374&gt;=25,W1374&lt;60),0.25,0)+IF(AND(V1374&gt;=75,W1374&gt;=60,W1374&lt;95),0.17,0)+IF(AND(V1374&gt;=75,W1374&gt;=95),0.1,0),
IF(AF1374="DoEVba",IF(AND(V1374&lt;20,W1374&lt;105),0.2,0)+IF(AND(V1374&lt;20,W1374&gt;=105),0.15,0)+IF(AND(V1374&gt;=20,V1374&lt;40,W1374&lt;95),0.2,0)+IF(AND(V1374&gt;=20,V1374&lt;40,W1374&gt;=95,W1374&lt;150),0.15,0)+IF(AND(V1374&gt;=20,V1374&lt;40,W1374&gt;=150),0.12,0)+IF(AND(V1374&gt;=40,V1374&lt;75,W1374&lt;75),0.2,0)+IF(AND(V1374&gt;=40,V1374&lt;75,W1374&gt;=75,W1374&lt;120),0.15,0)+IF(AND(V1374&gt;=40,V1374&lt;75,W1374&gt;=120),0.12,0)+IF(AND(V1374&gt;=75,V1374&lt;175,W1374&lt;65),0.2,0)+IF(AND(V1374&gt;=75,V1374&lt;175,W1374&gt;=65,W1374&lt;110),0.15,0)+IF(AND(V1374&gt;=75,V1374&lt;175,W1374&gt;=110),0.12,0)+IF(AND(V1374&gt;=175,W1374&lt;55),0.2,0)+IF(AND(V1374&gt;=175,W1374&gt;=55,W1374&lt;95),0.15,0)+IF(AND(V1374&gt;=175,W1374&gt;=95),0.12,0),
IF(AF1374="DoEVku",IF(AND(V1374&lt;20,W1374&lt;55),0.23,0)+IF(AND(V1374&lt;20,W1374&gt;=55,W1374&lt;105),0.2,0)+IF(AND(V1374&lt;20,W1374&gt;=105),0.17,0)+IF(AND(V1374&gt;=20,V1374&lt;40,W1374&lt;45),0.23,0)+IF(AND(V1374&gt;=20,V1374&lt;40,W1374&gt;=45,W1374&lt;95),0.2,0)+IF(AND(V1374&gt;=20,V1374&lt;40,W1374&gt;=95,W1374&lt;=150),0.17,0)+IF(AND(V1374&gt;=20,V1374&lt;40,W1374&gt;=150),0.12,0)+IF(AND(V1374&gt;=40,V1374&lt;75,W1374&lt;35),0.23,0)+IF(AND(V1374&gt;=40,V1374&lt;75,W1374&gt;=35,W1374&lt;75),0.2,0)+IF(AND(V1374&gt;=40,V1374&lt;75,W1374&gt;=75,W1374&lt;120),0.17,0)+IF(AND(V1374&gt;=40,V1374&lt;75,W1374&gt;=120),0.12,0)+IF(AND(V1374&gt;=75,V1374&lt;175,W1374&lt;35),0.23,0)+IF(AND(V1374&gt;=75,V1374&lt;=175,W1374&gt;=35,W1374&lt;65),0.2,0)+IF(AND(V1374&gt;=75,V1374&lt;=175,W1374&gt;=65,W1374&lt;110),0.17,0)+IF(AND(V1374&gt;=75,V1374&lt;=175,W1374&gt;=110),0.12,0)+IF(AND(V1374&gt;175,W1374&lt;25),0.23,0)+IF(AND(V1374&gt;175,W1374&gt;=25,W1374&lt;55),0.2,0)+IF(AND(V1374&gt;175,W1374&gt;=55,W1374&lt;95),0.17,0)+IF(AND(V1374&gt;175,W1374&gt;=95),0.12,0),
IF(AF1374="DoEVs1",IF(AND(V1374&lt;20,W1374&lt;55),0.3,0)+IF(AND(V1374&lt;20,W1374&gt;=55,W1374&lt;105),0.23,0)+IF(AND(V1374&lt;20,W1374&gt;=105),0.17,0)+IF(AND(V1374&gt;=20,V1374&lt;40,W1374&lt;45),0.3,0)+IF(AND(V1374&gt;=20,V1374&lt;40,W1374&gt;=45,W1374&lt;95),0.23,0)+IF(AND(V1374&gt;=20,V1374&lt;40,W1374&gt;=95,W1374&lt;=150),0.17,0)+IF(AND(V1374&gt;=20,V1374&lt;40,W1374&gt;=150),0.12,0)+IF(AND(V1374&gt;=40,V1374&lt;75,W1374&lt;35),0.3,0)+IF(AND(V1374&gt;=40,V1374&lt;75,W1374&gt;=35,W1374&lt;75),0.23,0)+IF(AND(V1374&gt;=40,V1374&lt;75,W1374&gt;=75,W1374&lt;120),0.17,0)+IF(AND(V1374&gt;=40,V1374&lt;75,W1374&gt;=120),0.12,0)+IF(AND(V1374&gt;=75,V1374&lt;175,W1374&lt;35),0.3,0)+IF(AND(V1374&gt;=75,V1374&lt;=175,W1374&gt;=35,W1374&lt;65),0.23,0)+IF(AND(V1374&gt;=75,V1374&lt;=175,W1374&gt;=65,W1374&lt;110),0.17,0)+IF(AND(V1374&gt;=75,V1374&lt;=175,W1374&gt;=110),0.12,0)+IF(AND(V1374&gt;175,W1374&lt;25),0.3,0)+IF(AND(V1374&gt;175,W1374&gt;=25,W1374&lt;55),0.23,0)+IF(AND(V1374&gt;175,W1374&gt;=55,W1374&lt;95),0.17,0)+IF(AND(V1374&gt;175,W1374&gt;=95),0.12,0),
IF(AF1374="DoEVsu",IF(AND(V1374&lt;20,W1374&lt;55),0.3,0)+IF(AND(V1374&lt;20,W1374&gt;=55,W1374&lt;105),0.23,0)+IF(AND(V1374&lt;20,W1374&gt;=105),0.17,0)+IF(AND(V1374&gt;=20,V1374&lt;40,W1374&lt;45),0.3,0)+IF(AND(V1374&gt;=20,V1374&lt;40,W1374&gt;=45,W1374&lt;95),0.23,0)+IF(AND(V1374&gt;=20,V1374&lt;40,W1374&gt;=95,W1374&lt;=250),0.17,0)+IF(AND(V1374&gt;=20,V1374&lt;40,W1374&gt;=250),0.12,0)+IF(AND(V1374&gt;=40,V1374&lt;75,W1374&lt;35),0.3,0)+IF(AND(V1374&gt;=40,V1374&lt;75,W1374&gt;=35,W1374&lt;75),0.23,0)+IF(AND(V1374&gt;=40,V1374&lt;75,W1374&gt;=75,W1374&lt;120),0.17,0)+IF(AND(V1374&gt;=40,V1374&lt;75,W1374&gt;=120),0.12,0)+IF(AND(V1374&gt;=75,V1374&lt;175,W1374&lt;35),0.3,0)+IF(AND(V1374&gt;=75,V1374&lt;=175,W1374&gt;=35,W1374&lt;65),0.23,0)+IF(AND(V1374&gt;=75,V1374&lt;=175,W1374&gt;=65,W1374&lt;110),0.17,0)+IF(AND(V1374&gt;=75,V1374&lt;=175,W1374&gt;=110),0.12,0)+IF(AND(V1374&gt;175,W1374&lt;25),0.3,0)+IF(AND(V1374&gt;175,W1374&gt;=25,W1374&lt;55),0.23,0)+IF(AND(V1374&gt;175,W1374&gt;=55,W1374&lt;95),0.17,0)+IF(AND(V1374&gt;175,W1374&gt;=95),0.12,0),
IF(AF1374="DoEVni",IF(AND(V1374&lt;20,W1374&lt;55),0.3,0)+IF(AND(V1374&lt;20,W1374&gt;=55,W1374&lt;105),0.23,0)+IF(AND(V1374&lt;20,W1374&gt;=105),0.17,0)+IF(AND(V1374&gt;=20,V1374&lt;40,W1374&lt;45),0.3,0)+IF(AND(V1374&gt;=20,V1374&lt;40,W1374&gt;=45,W1374&lt;95),0.23,0)+IF(AND(V1374&gt;=20,V1374&lt;40,W1374&gt;=95,W1374&lt;=200),0.17,0)+IF(AND(V1374&gt;=20,V1374&lt;40,W1374&gt;=200),0.12,0)+IF(AND(V1374&gt;=40,V1374&lt;75,W1374&lt;35),0.3,0)+IF(AND(V1374&gt;=40,V1374&lt;75,W1374&gt;=35,W1374&lt;75),0.23,0)+IF(AND(V1374&gt;=40,V1374&lt;75,W1374&gt;=75,W1374&lt;120),0.17,0)+IF(AND(V1374&gt;=40,V1374&lt;75,W1374&gt;=120),0.12,0)+IF(AND(V1374&gt;=75,V1374&lt;175,W1374&lt;35),0.3,0)+IF(AND(V1374&gt;=75,V1374&lt;=175,W1374&gt;=35,W1374&lt;65),0.23,0)+IF(AND(V1374&gt;=75,V1374&lt;=175,W1374&gt;=65,W1374&lt;110),0.17,0)+IF(AND(V1374&gt;=75,V1374&lt;=175,W1374&gt;=110),0.12,0)+IF(AND(V1374&gt;175,W1374&lt;25),0.3,0)+IF(AND(V1374&gt;175,W1374&gt;=25,W1374&lt;55),0.23,0)+IF(AND(V1374&gt;175,W1374&gt;=55,W1374&lt;95),0.17,0)+IF(AND(V1374&gt;175,W1374&gt;=95),0.12,0),
IF(AF1374="DoEVLo",IF(AND(V1374&lt;20,W1374&lt;55),0.25,0)+IF(AND(V1374&lt;20,W1374&gt;=55,W1374&lt;105),0.2,0)+IF(AND(V1374&lt;20,W1374&gt;=105),0.15,0)+IF(AND(V1374&gt;=20,V1374&lt;40,W1374&lt;45),0.25,0)+IF(AND(V1374&gt;=20,V1374&lt;40,W1374&gt;=45,W1374&lt;95),0.2,0)+IF(AND(V1374&gt;=20,V1374&lt;40,W1374&gt;=95),0.15,0)+IF(AND(V1374&gt;=40,V1374&lt;75,W1374&lt;35),0.25,0)+IF(AND(V1374&gt;=40,V1374&lt;75,W1374&gt;=35,W1374&lt;75),0.2,0)+IF(AND(V1374&gt;=40,V1374&lt;75,W1374&gt;=75,W1374&lt;120),0.15,0)+IF(AND(V1374&gt;=40,V1374&lt;75,W1374&gt;=120),0.1,0)+IF(AND(V1374&gt;=75,V1374&lt;175,W1374&lt;35),0.25,0)+IF(AND(V1374&gt;=75,V1374&lt;=175,W1374&gt;=35,W1374&lt;65),0.2,0)+IF(AND(V1374&gt;=75,V1374&lt;=175,W1374&gt;=65,W1374&lt;110),0.15,0)+IF(AND(V1374&gt;=75,V1374&lt;=175,W1374&gt;=110),0.1,0)+IF(AND(V1374&gt;175,W1374&lt;25),0.25,0)+IF(AND(V1374&gt;175,W1374&gt;=25,W1374&lt;55),0.2,0)+IF(AND(V1374&gt;175,W1374&gt;=55,W1374&lt;95),0.15,0)+IF(AND(V1374&gt;175,W1374&gt;=95),0.1,0))))))))))))))))))</f>
        <v>0</v>
      </c>
      <c r="Y1374" s="78">
        <v>0.22</v>
      </c>
      <c r="Z1374" s="35">
        <f>T1374-AA1374-AB1374</f>
        <v>-1207.44</v>
      </c>
      <c r="AA1374" s="29">
        <f>IF(AD1374="EUR",((T1374-R1374)*X1374)*U1374+(R1374*X1374),(T1374*X1374))</f>
        <v>0</v>
      </c>
      <c r="AB1374" s="36">
        <f>IF(AD1374="EUR",((T1374-R1374)*Y1374)*U1374+(R1374*Y1374),(T1374*Y1374))</f>
        <v>-340.56</v>
      </c>
      <c r="AC1374" s="61" t="b">
        <v>1</v>
      </c>
      <c r="AD1374" s="37" t="s">
        <v>38</v>
      </c>
      <c r="AE1374" s="37" t="s">
        <v>38</v>
      </c>
      <c r="AF1374" s="37" t="str">
        <f t="array" ref="AF1374">INDEX('Deal Info'!D:D, MATCH(A1374,'Deal Info'!A:A, 0))</f>
        <v>None</v>
      </c>
      <c r="AG1374" s="38" t="str">
        <f t="array" ref="AG1374">INDEX('Deal Info'!G:G, MATCH(A1374,'Deal Info'!A:A, 0))</f>
        <v>guilexperi</v>
      </c>
    </row>
    <row r="1375" spans="1:33" ht="14.25" hidden="1" x14ac:dyDescent="0.2">
      <c r="A1375" s="18" t="str">
        <f t="array" ref="A1375">IF(G1375='Room Info'!$B$1, INDEX('Room Info'!$A$2:$A2446, MATCH(B1375,'Room Info'!$B$2:$B2446, 0)),IF(G1375='Room Info'!$C$1, INDEX('Room Info'!$A$2:$A2446, MATCH(B1375,'Room Info'!$C$2:$C2446, 0)),IF(G1375='Room Info'!$D$1, INDEX('Room Info'!$A$2:$A2446, MATCH(B1375,'Room Info'!$D$2:$D2446, 0)),IF(G1375='Room Info'!$E$1, INDEX('Room Info'!$A$2:$A2446, MATCH(B1375,'Room Info'!$E$2:$E2446, 0)),IF(G1375='Room Info'!$F$1, INDEX('Room Info'!$A$2:$A2446, MATCH(B1375,'Room Info'!$F$2:$F2446, 0)),IF(G1375='Room Info'!$H$1, INDEX('Room Info'!$A$2:$A2446, MATCH(B1375,'Room Info'!$H$2:$H2446, 0)),IF(G1375='Room Info'!$G$1, INDEX('Room Info'!$A$2:$A2446, MATCH(B1375,'Room Info'!$G$2:$G2446, 0)))))))))</f>
        <v>guilexperi</v>
      </c>
      <c r="B1375" s="45" t="s">
        <v>208</v>
      </c>
      <c r="C1375" s="46">
        <v>44835</v>
      </c>
      <c r="D1375" s="46">
        <v>44865</v>
      </c>
      <c r="E1375" s="47">
        <v>44835</v>
      </c>
      <c r="F1375" s="48" t="s">
        <v>49</v>
      </c>
      <c r="G1375" s="45" t="s">
        <v>35</v>
      </c>
      <c r="H1375" s="49" t="s">
        <v>88</v>
      </c>
      <c r="I1375" s="49" t="s">
        <v>37</v>
      </c>
      <c r="J1375" s="50">
        <v>250</v>
      </c>
      <c r="K1375" s="51">
        <v>1682</v>
      </c>
      <c r="L1375" s="52">
        <v>-22000</v>
      </c>
      <c r="M1375" s="53">
        <v>15020</v>
      </c>
      <c r="N1375" s="28">
        <f>K1375*J1375</f>
        <v>420500</v>
      </c>
      <c r="O1375" s="54">
        <v>14467</v>
      </c>
      <c r="P1375" s="29">
        <v>8.6010701550000004</v>
      </c>
      <c r="Q1375" s="55"/>
      <c r="R1375" s="31">
        <f>M1375+Q1375</f>
        <v>15020</v>
      </c>
      <c r="S1375" s="117">
        <v>-17062</v>
      </c>
      <c r="T1375" s="32">
        <f>R1375+S1375+IF(F1375="Without EV deal",L1375,0)</f>
        <v>-2042</v>
      </c>
      <c r="U1375" s="57"/>
      <c r="V1375" s="58"/>
      <c r="W1375" s="58"/>
      <c r="X1375" s="30" t="b">
        <f>IF(AF1375="DoEV",IF(AND(V1375&lt;20,W1375&lt;55),0.3,0)+IF(AND(V1375&lt;20,W1375&gt;=55,W1375&lt;105),0.23,0)+IF(AND(V1375&lt;20,W1375&gt;=105),0.17,0)+IF(AND(V1375&gt;=20,V1375&lt;40,W1375&lt;45),0.3,0)+IF(AND(V1375&gt;=20,V1375&lt;40,W1375&gt;=45,W1375&lt;95),0.23,0)+IF(AND(V1375&gt;=20,V1375&lt;40,W1375&gt;=95),0.17,0)+IF(AND(V1375&gt;=40,V1375&lt;75,W1375&lt;35),0.3,0)+IF(AND(V1375&gt;=40,V1375&lt;75,W1375&gt;=35,W1375&lt;75),0.23,0)+IF(AND(V1375&gt;=40,V1375&lt;75,W1375&gt;=75,W1375&lt;120),0.17,0)+IF(AND(V1375&gt;=40,V1375&lt;75,W1375&gt;=120),0.12,0)+IF(AND(V1375&gt;=75,V1375&lt;175,W1375&lt;35),0.3,0)+IF(AND(V1375&gt;=75,V1375&lt;=175,W1375&gt;=35,W1375&lt;65),0.23,0)+IF(AND(V1375&gt;=75,V1375&lt;=175,W1375&gt;=65,W1375&lt;110),0.17,0)+IF(AND(V1375&gt;=75,V1375&lt;=175,W1375&gt;=110),0.12,0)+IF(AND(V1375&gt;175,W1375&lt;25),0.3,0)+IF(AND(V1375&gt;175,W1375&gt;=25,W1375&lt;55),0.23,0)+IF(AND(V1375&gt;175,W1375&gt;=55,W1375&lt;95),0.17,0)+IF(AND(V1375&gt;175,W1375&gt;=95),0.12,0),
IF(AF1375="Fix15",0.15,
IF(AF1375="Fix18.75",0.1875,
IF(AF1375="Fix11.25",0.1125,
IF(AF1375="Fix10",0.1,
IF(AF1375="Fix9",0.09,
IF(AF1375="Fix19",0.19,
IF(AF1375="DoEV2017",IF(AND(W1375&lt;74),0.2,0)+IF(AND(W1375&gt;=74),0.17,0),
IF(AF1375="SF",IF(AND(V1375&lt;20,W1375&lt;89),0.3,0)+IF(AND(V1375&lt;20,W1375&gt;=89),0.25,0)+IF(AND(V1375&gt;=20,V1375&lt;40,W1375&lt;74),0.3,0)+IF(AND(V1375&gt;=20,V1375&lt;40,W1375&gt;=75),0.22,0)+IF(AND(V1375&gt;=40,V1375&lt;75,W1375&lt;75),0.26,0)+IF(AND(V1375&gt;=40,V1375&lt;75,W1375&gt;=75),0.22,0)+IF(V1375&gt;=75,0.22,0),
IF(AF1375="DoEVold",IF(AND(V1375&lt;40,W1375&lt;35),0.35,0)+IF(AND(V1375&lt;40,W1375&gt;=35,W1375&lt;75),0.25,0)+IF(AND(V1375&lt;40,W1375&gt;=75),0.17,0)+IF(AND(V1375&gt;=40,V1375&lt;75,W1375&lt;25),0.35,0)+IF(AND(V1375&gt;=40,V1375&lt;75,W1375&gt;=25,W1375&lt;65),0.25,0)+IF(AND(V1375&gt;=40,V1375&lt;75,W1375&gt;=65,W1375&lt;100),0.17,0)+IF(AND(V1375&gt;=40,V1375&lt;75,W1375&gt;=100),0.1,0)+IF(AND(V1375&gt;=75,W1375&lt;25),0.35,0)+IF(AND(V1375&gt;=75,W1375&gt;=25,W1375&lt;60),0.25,0)+IF(AND(V1375&gt;=75,W1375&gt;=60,W1375&lt;95),0.17,0)+IF(AND(V1375&gt;=75,W1375&gt;=95),0.1,0),
IF(AF1375="DoEVold15",IF(AND(V1375&lt;=40,W1375&lt;35),0.35,0)+IF(AND(V1375&lt;=40,W1375&gt;=35,W1375&lt;75),0.25,0)+IF(AND(V1375&lt;=40,W1375&gt;=75,W1375&lt;120),0.17,0)+IF(AND(V1375&lt;=40,W1375&gt;=120),0.15,0)+IF(AND(V1375&gt;40,V1375&lt;75,W1375&lt;25),0.35,0)+IF(AND(V1375&gt;=40,V1375&lt;75,W1375&gt;=25,W1375&lt;65),0.25,0)+IF(AND(V1375&gt;=40,V1375&lt;75,W1375&gt;=65,W1375&lt;100),0.17,0)+IF(AND(V1375&gt;=40,V1375&lt;75,W1375&gt;=100),0.1,0)+IF(AND(V1375&gt;=75,W1375&lt;25),0.35,0)+IF(AND(V1375&gt;=75,W1375&gt;=25,W1375&lt;60),0.25,0)+IF(AND(V1375&gt;=75,W1375&gt;=60,W1375&lt;95),0.17,0)+IF(AND(V1375&gt;=75,W1375&gt;=95),0.1,0),
IF(AF1375="DoEVba",IF(AND(V1375&lt;20,W1375&lt;105),0.2,0)+IF(AND(V1375&lt;20,W1375&gt;=105),0.15,0)+IF(AND(V1375&gt;=20,V1375&lt;40,W1375&lt;95),0.2,0)+IF(AND(V1375&gt;=20,V1375&lt;40,W1375&gt;=95,W1375&lt;150),0.15,0)+IF(AND(V1375&gt;=20,V1375&lt;40,W1375&gt;=150),0.12,0)+IF(AND(V1375&gt;=40,V1375&lt;75,W1375&lt;75),0.2,0)+IF(AND(V1375&gt;=40,V1375&lt;75,W1375&gt;=75,W1375&lt;120),0.15,0)+IF(AND(V1375&gt;=40,V1375&lt;75,W1375&gt;=120),0.12,0)+IF(AND(V1375&gt;=75,V1375&lt;175,W1375&lt;65),0.2,0)+IF(AND(V1375&gt;=75,V1375&lt;175,W1375&gt;=65,W1375&lt;110),0.15,0)+IF(AND(V1375&gt;=75,V1375&lt;175,W1375&gt;=110),0.12,0)+IF(AND(V1375&gt;=175,W1375&lt;55),0.2,0)+IF(AND(V1375&gt;=175,W1375&gt;=55,W1375&lt;95),0.15,0)+IF(AND(V1375&gt;=175,W1375&gt;=95),0.12,0),
IF(AF1375="DoEVku",IF(AND(V1375&lt;20,W1375&lt;55),0.23,0)+IF(AND(V1375&lt;20,W1375&gt;=55,W1375&lt;105),0.2,0)+IF(AND(V1375&lt;20,W1375&gt;=105),0.17,0)+IF(AND(V1375&gt;=20,V1375&lt;40,W1375&lt;45),0.23,0)+IF(AND(V1375&gt;=20,V1375&lt;40,W1375&gt;=45,W1375&lt;95),0.2,0)+IF(AND(V1375&gt;=20,V1375&lt;40,W1375&gt;=95,W1375&lt;=150),0.17,0)+IF(AND(V1375&gt;=20,V1375&lt;40,W1375&gt;=150),0.12,0)+IF(AND(V1375&gt;=40,V1375&lt;75,W1375&lt;35),0.23,0)+IF(AND(V1375&gt;=40,V1375&lt;75,W1375&gt;=35,W1375&lt;75),0.2,0)+IF(AND(V1375&gt;=40,V1375&lt;75,W1375&gt;=75,W1375&lt;120),0.17,0)+IF(AND(V1375&gt;=40,V1375&lt;75,W1375&gt;=120),0.12,0)+IF(AND(V1375&gt;=75,V1375&lt;175,W1375&lt;35),0.23,0)+IF(AND(V1375&gt;=75,V1375&lt;=175,W1375&gt;=35,W1375&lt;65),0.2,0)+IF(AND(V1375&gt;=75,V1375&lt;=175,W1375&gt;=65,W1375&lt;110),0.17,0)+IF(AND(V1375&gt;=75,V1375&lt;=175,W1375&gt;=110),0.12,0)+IF(AND(V1375&gt;175,W1375&lt;25),0.23,0)+IF(AND(V1375&gt;175,W1375&gt;=25,W1375&lt;55),0.2,0)+IF(AND(V1375&gt;175,W1375&gt;=55,W1375&lt;95),0.17,0)+IF(AND(V1375&gt;175,W1375&gt;=95),0.12,0),
IF(AF1375="DoEVs1",IF(AND(V1375&lt;20,W1375&lt;55),0.3,0)+IF(AND(V1375&lt;20,W1375&gt;=55,W1375&lt;105),0.23,0)+IF(AND(V1375&lt;20,W1375&gt;=105),0.17,0)+IF(AND(V1375&gt;=20,V1375&lt;40,W1375&lt;45),0.3,0)+IF(AND(V1375&gt;=20,V1375&lt;40,W1375&gt;=45,W1375&lt;95),0.23,0)+IF(AND(V1375&gt;=20,V1375&lt;40,W1375&gt;=95,W1375&lt;=150),0.17,0)+IF(AND(V1375&gt;=20,V1375&lt;40,W1375&gt;=150),0.12,0)+IF(AND(V1375&gt;=40,V1375&lt;75,W1375&lt;35),0.3,0)+IF(AND(V1375&gt;=40,V1375&lt;75,W1375&gt;=35,W1375&lt;75),0.23,0)+IF(AND(V1375&gt;=40,V1375&lt;75,W1375&gt;=75,W1375&lt;120),0.17,0)+IF(AND(V1375&gt;=40,V1375&lt;75,W1375&gt;=120),0.12,0)+IF(AND(V1375&gt;=75,V1375&lt;175,W1375&lt;35),0.3,0)+IF(AND(V1375&gt;=75,V1375&lt;=175,W1375&gt;=35,W1375&lt;65),0.23,0)+IF(AND(V1375&gt;=75,V1375&lt;=175,W1375&gt;=65,W1375&lt;110),0.17,0)+IF(AND(V1375&gt;=75,V1375&lt;=175,W1375&gt;=110),0.12,0)+IF(AND(V1375&gt;175,W1375&lt;25),0.3,0)+IF(AND(V1375&gt;175,W1375&gt;=25,W1375&lt;55),0.23,0)+IF(AND(V1375&gt;175,W1375&gt;=55,W1375&lt;95),0.17,0)+IF(AND(V1375&gt;175,W1375&gt;=95),0.12,0),
IF(AF1375="DoEVsu",IF(AND(V1375&lt;20,W1375&lt;55),0.3,0)+IF(AND(V1375&lt;20,W1375&gt;=55,W1375&lt;105),0.23,0)+IF(AND(V1375&lt;20,W1375&gt;=105),0.17,0)+IF(AND(V1375&gt;=20,V1375&lt;40,W1375&lt;45),0.3,0)+IF(AND(V1375&gt;=20,V1375&lt;40,W1375&gt;=45,W1375&lt;95),0.23,0)+IF(AND(V1375&gt;=20,V1375&lt;40,W1375&gt;=95,W1375&lt;=250),0.17,0)+IF(AND(V1375&gt;=20,V1375&lt;40,W1375&gt;=250),0.12,0)+IF(AND(V1375&gt;=40,V1375&lt;75,W1375&lt;35),0.3,0)+IF(AND(V1375&gt;=40,V1375&lt;75,W1375&gt;=35,W1375&lt;75),0.23,0)+IF(AND(V1375&gt;=40,V1375&lt;75,W1375&gt;=75,W1375&lt;120),0.17,0)+IF(AND(V1375&gt;=40,V1375&lt;75,W1375&gt;=120),0.12,0)+IF(AND(V1375&gt;=75,V1375&lt;175,W1375&lt;35),0.3,0)+IF(AND(V1375&gt;=75,V1375&lt;=175,W1375&gt;=35,W1375&lt;65),0.23,0)+IF(AND(V1375&gt;=75,V1375&lt;=175,W1375&gt;=65,W1375&lt;110),0.17,0)+IF(AND(V1375&gt;=75,V1375&lt;=175,W1375&gt;=110),0.12,0)+IF(AND(V1375&gt;175,W1375&lt;25),0.3,0)+IF(AND(V1375&gt;175,W1375&gt;=25,W1375&lt;55),0.23,0)+IF(AND(V1375&gt;175,W1375&gt;=55,W1375&lt;95),0.17,0)+IF(AND(V1375&gt;175,W1375&gt;=95),0.12,0),
IF(AF1375="DoEVni",IF(AND(V1375&lt;20,W1375&lt;55),0.3,0)+IF(AND(V1375&lt;20,W1375&gt;=55,W1375&lt;105),0.23,0)+IF(AND(V1375&lt;20,W1375&gt;=105),0.17,0)+IF(AND(V1375&gt;=20,V1375&lt;40,W1375&lt;45),0.3,0)+IF(AND(V1375&gt;=20,V1375&lt;40,W1375&gt;=45,W1375&lt;95),0.23,0)+IF(AND(V1375&gt;=20,V1375&lt;40,W1375&gt;=95,W1375&lt;=200),0.17,0)+IF(AND(V1375&gt;=20,V1375&lt;40,W1375&gt;=200),0.12,0)+IF(AND(V1375&gt;=40,V1375&lt;75,W1375&lt;35),0.3,0)+IF(AND(V1375&gt;=40,V1375&lt;75,W1375&gt;=35,W1375&lt;75),0.23,0)+IF(AND(V1375&gt;=40,V1375&lt;75,W1375&gt;=75,W1375&lt;120),0.17,0)+IF(AND(V1375&gt;=40,V1375&lt;75,W1375&gt;=120),0.12,0)+IF(AND(V1375&gt;=75,V1375&lt;175,W1375&lt;35),0.3,0)+IF(AND(V1375&gt;=75,V1375&lt;=175,W1375&gt;=35,W1375&lt;65),0.23,0)+IF(AND(V1375&gt;=75,V1375&lt;=175,W1375&gt;=65,W1375&lt;110),0.17,0)+IF(AND(V1375&gt;=75,V1375&lt;=175,W1375&gt;=110),0.12,0)+IF(AND(V1375&gt;175,W1375&lt;25),0.3,0)+IF(AND(V1375&gt;175,W1375&gt;=25,W1375&lt;55),0.23,0)+IF(AND(V1375&gt;175,W1375&gt;=55,W1375&lt;95),0.17,0)+IF(AND(V1375&gt;175,W1375&gt;=95),0.12,0),
IF(AF1375="DoEVLo",IF(AND(V1375&lt;20,W1375&lt;55),0.25,0)+IF(AND(V1375&lt;20,W1375&gt;=55,W1375&lt;105),0.2,0)+IF(AND(V1375&lt;20,W1375&gt;=105),0.15,0)+IF(AND(V1375&gt;=20,V1375&lt;40,W1375&lt;45),0.25,0)+IF(AND(V1375&gt;=20,V1375&lt;40,W1375&gt;=45,W1375&lt;95),0.2,0)+IF(AND(V1375&gt;=20,V1375&lt;40,W1375&gt;=95),0.15,0)+IF(AND(V1375&gt;=40,V1375&lt;75,W1375&lt;35),0.25,0)+IF(AND(V1375&gt;=40,V1375&lt;75,W1375&gt;=35,W1375&lt;75),0.2,0)+IF(AND(V1375&gt;=40,V1375&lt;75,W1375&gt;=75,W1375&lt;120),0.15,0)+IF(AND(V1375&gt;=40,V1375&lt;75,W1375&gt;=120),0.1,0)+IF(AND(V1375&gt;=75,V1375&lt;175,W1375&lt;35),0.25,0)+IF(AND(V1375&gt;=75,V1375&lt;=175,W1375&gt;=35,W1375&lt;65),0.2,0)+IF(AND(V1375&gt;=75,V1375&lt;=175,W1375&gt;=65,W1375&lt;110),0.15,0)+IF(AND(V1375&gt;=75,V1375&lt;=175,W1375&gt;=110),0.1,0)+IF(AND(V1375&gt;175,W1375&lt;25),0.25,0)+IF(AND(V1375&gt;175,W1375&gt;=25,W1375&lt;55),0.2,0)+IF(AND(V1375&gt;175,W1375&gt;=55,W1375&lt;95),0.15,0)+IF(AND(V1375&gt;175,W1375&gt;=95),0.1,0))))))))))))))))))</f>
        <v>0</v>
      </c>
      <c r="Y1375" s="78">
        <v>0.22</v>
      </c>
      <c r="Z1375" s="35">
        <f>T1375-AA1375-AB1375</f>
        <v>-1592.76</v>
      </c>
      <c r="AA1375" s="29">
        <f>IF(AD1375="EUR",((T1375-R1375)*X1375)*U1375+(R1375*X1375),(T1375*X1375))</f>
        <v>0</v>
      </c>
      <c r="AB1375" s="36">
        <f>IF(AD1375="EUR",((T1375-R1375)*Y1375)*U1375+(R1375*Y1375),(T1375*Y1375))</f>
        <v>-449.24</v>
      </c>
      <c r="AC1375" s="61" t="b">
        <v>1</v>
      </c>
      <c r="AD1375" s="37" t="s">
        <v>38</v>
      </c>
      <c r="AE1375" s="37" t="s">
        <v>38</v>
      </c>
      <c r="AF1375" s="37" t="str">
        <f t="array" ref="AF1375">INDEX('Deal Info'!D:D, MATCH(A1375,'Deal Info'!A:A, 0))</f>
        <v>None</v>
      </c>
      <c r="AG1375" s="38" t="str">
        <f t="array" ref="AG1375">INDEX('Deal Info'!G:G, MATCH(A1375,'Deal Info'!A:A, 0))</f>
        <v>guilexperi</v>
      </c>
    </row>
    <row r="1376" spans="1:33" ht="14.25" hidden="1" x14ac:dyDescent="0.2">
      <c r="A1376" s="18" t="str">
        <f t="array" ref="A1376">IF(G1376='Room Info'!$B$1, INDEX('Room Info'!$A$2:$A2446, MATCH(B1376,'Room Info'!$B$2:$B2446, 0)),IF(G1376='Room Info'!$C$1, INDEX('Room Info'!$A$2:$A2446, MATCH(B1376,'Room Info'!$C$2:$C2446, 0)),IF(G1376='Room Info'!$D$1, INDEX('Room Info'!$A$2:$A2446, MATCH(B1376,'Room Info'!$D$2:$D2446, 0)),IF(G1376='Room Info'!$E$1, INDEX('Room Info'!$A$2:$A2446, MATCH(B1376,'Room Info'!$E$2:$E2446, 0)),IF(G1376='Room Info'!$F$1, INDEX('Room Info'!$A$2:$A2446, MATCH(B1376,'Room Info'!$F$2:$F2446, 0)),IF(G1376='Room Info'!$H$1, INDEX('Room Info'!$A$2:$A2446, MATCH(B1376,'Room Info'!$H$2:$H2446, 0)),IF(G1376='Room Info'!$G$1, INDEX('Room Info'!$A$2:$A2446, MATCH(B1376,'Room Info'!$G$2:$G2446, 0)))))))))</f>
        <v>guilexperi</v>
      </c>
      <c r="B1376" s="45" t="s">
        <v>208</v>
      </c>
      <c r="C1376" s="46">
        <v>44866</v>
      </c>
      <c r="D1376" s="46">
        <v>44895</v>
      </c>
      <c r="E1376" s="47">
        <v>44866</v>
      </c>
      <c r="F1376" s="48" t="s">
        <v>49</v>
      </c>
      <c r="G1376" s="45" t="s">
        <v>35</v>
      </c>
      <c r="H1376" s="49" t="s">
        <v>209</v>
      </c>
      <c r="I1376" s="49" t="s">
        <v>174</v>
      </c>
      <c r="J1376" s="50">
        <v>1000</v>
      </c>
      <c r="K1376" s="51">
        <v>7</v>
      </c>
      <c r="L1376" s="52">
        <v>911</v>
      </c>
      <c r="M1376" s="53">
        <v>4</v>
      </c>
      <c r="N1376" s="28">
        <f>K1376*J1376</f>
        <v>7000</v>
      </c>
      <c r="O1376" s="54">
        <v>-23</v>
      </c>
      <c r="P1376" s="29">
        <v>-3.2857142860000002</v>
      </c>
      <c r="Q1376" s="55"/>
      <c r="R1376" s="31">
        <f>M1376+Q1376</f>
        <v>4</v>
      </c>
      <c r="S1376" s="56">
        <v>-145</v>
      </c>
      <c r="T1376" s="32">
        <f>R1376+S1376+IF(F1376="Without EV deal",L1376,0)</f>
        <v>-141</v>
      </c>
      <c r="U1376" s="57"/>
      <c r="V1376" s="58"/>
      <c r="W1376" s="58"/>
      <c r="X1376" s="30" t="b">
        <f>IF(AF1376="DoEV",IF(AND(V1376&lt;20,W1376&lt;55),0.3,0)+IF(AND(V1376&lt;20,W1376&gt;=55,W1376&lt;105),0.23,0)+IF(AND(V1376&lt;20,W1376&gt;=105),0.17,0)+IF(AND(V1376&gt;=20,V1376&lt;40,W1376&lt;45),0.3,0)+IF(AND(V1376&gt;=20,V1376&lt;40,W1376&gt;=45,W1376&lt;95),0.23,0)+IF(AND(V1376&gt;=20,V1376&lt;40,W1376&gt;=95),0.17,0)+IF(AND(V1376&gt;=40,V1376&lt;75,W1376&lt;35),0.3,0)+IF(AND(V1376&gt;=40,V1376&lt;75,W1376&gt;=35,W1376&lt;75),0.23,0)+IF(AND(V1376&gt;=40,V1376&lt;75,W1376&gt;=75,W1376&lt;120),0.17,0)+IF(AND(V1376&gt;=40,V1376&lt;75,W1376&gt;=120),0.12,0)+IF(AND(V1376&gt;=75,V1376&lt;175,W1376&lt;35),0.3,0)+IF(AND(V1376&gt;=75,V1376&lt;=175,W1376&gt;=35,W1376&lt;65),0.23,0)+IF(AND(V1376&gt;=75,V1376&lt;=175,W1376&gt;=65,W1376&lt;110),0.17,0)+IF(AND(V1376&gt;=75,V1376&lt;=175,W1376&gt;=110),0.12,0)+IF(AND(V1376&gt;175,W1376&lt;25),0.3,0)+IF(AND(V1376&gt;175,W1376&gt;=25,W1376&lt;55),0.23,0)+IF(AND(V1376&gt;175,W1376&gt;=55,W1376&lt;95),0.17,0)+IF(AND(V1376&gt;175,W1376&gt;=95),0.12,0),
IF(AF1376="Fix15",0.15,
IF(AF1376="Fix18.75",0.1875,
IF(AF1376="Fix11.25",0.1125,
IF(AF1376="Fix10",0.1,
IF(AF1376="Fix9",0.09,
IF(AF1376="Fix19",0.19,
IF(AF1376="DoEV2017",IF(AND(W1376&lt;74),0.2,0)+IF(AND(W1376&gt;=74),0.17,0),
IF(AF1376="SF",IF(AND(V1376&lt;20,W1376&lt;89),0.3,0)+IF(AND(V1376&lt;20,W1376&gt;=89),0.25,0)+IF(AND(V1376&gt;=20,V1376&lt;40,W1376&lt;74),0.3,0)+IF(AND(V1376&gt;=20,V1376&lt;40,W1376&gt;=75),0.22,0)+IF(AND(V1376&gt;=40,V1376&lt;75,W1376&lt;75),0.26,0)+IF(AND(V1376&gt;=40,V1376&lt;75,W1376&gt;=75),0.22,0)+IF(V1376&gt;=75,0.22,0),
IF(AF1376="DoEVold",IF(AND(V1376&lt;40,W1376&lt;35),0.35,0)+IF(AND(V1376&lt;40,W1376&gt;=35,W1376&lt;75),0.25,0)+IF(AND(V1376&lt;40,W1376&gt;=75),0.17,0)+IF(AND(V1376&gt;=40,V1376&lt;75,W1376&lt;25),0.35,0)+IF(AND(V1376&gt;=40,V1376&lt;75,W1376&gt;=25,W1376&lt;65),0.25,0)+IF(AND(V1376&gt;=40,V1376&lt;75,W1376&gt;=65,W1376&lt;100),0.17,0)+IF(AND(V1376&gt;=40,V1376&lt;75,W1376&gt;=100),0.1,0)+IF(AND(V1376&gt;=75,W1376&lt;25),0.35,0)+IF(AND(V1376&gt;=75,W1376&gt;=25,W1376&lt;60),0.25,0)+IF(AND(V1376&gt;=75,W1376&gt;=60,W1376&lt;95),0.17,0)+IF(AND(V1376&gt;=75,W1376&gt;=95),0.1,0),
IF(AF1376="DoEVold15",IF(AND(V1376&lt;=40,W1376&lt;35),0.35,0)+IF(AND(V1376&lt;=40,W1376&gt;=35,W1376&lt;75),0.25,0)+IF(AND(V1376&lt;=40,W1376&gt;=75,W1376&lt;120),0.17,0)+IF(AND(V1376&lt;=40,W1376&gt;=120),0.15,0)+IF(AND(V1376&gt;40,V1376&lt;75,W1376&lt;25),0.35,0)+IF(AND(V1376&gt;=40,V1376&lt;75,W1376&gt;=25,W1376&lt;65),0.25,0)+IF(AND(V1376&gt;=40,V1376&lt;75,W1376&gt;=65,W1376&lt;100),0.17,0)+IF(AND(V1376&gt;=40,V1376&lt;75,W1376&gt;=100),0.1,0)+IF(AND(V1376&gt;=75,W1376&lt;25),0.35,0)+IF(AND(V1376&gt;=75,W1376&gt;=25,W1376&lt;60),0.25,0)+IF(AND(V1376&gt;=75,W1376&gt;=60,W1376&lt;95),0.17,0)+IF(AND(V1376&gt;=75,W1376&gt;=95),0.1,0),
IF(AF1376="DoEVba",IF(AND(V1376&lt;20,W1376&lt;105),0.2,0)+IF(AND(V1376&lt;20,W1376&gt;=105),0.15,0)+IF(AND(V1376&gt;=20,V1376&lt;40,W1376&lt;95),0.2,0)+IF(AND(V1376&gt;=20,V1376&lt;40,W1376&gt;=95,W1376&lt;150),0.15,0)+IF(AND(V1376&gt;=20,V1376&lt;40,W1376&gt;=150),0.12,0)+IF(AND(V1376&gt;=40,V1376&lt;75,W1376&lt;75),0.2,0)+IF(AND(V1376&gt;=40,V1376&lt;75,W1376&gt;=75,W1376&lt;120),0.15,0)+IF(AND(V1376&gt;=40,V1376&lt;75,W1376&gt;=120),0.12,0)+IF(AND(V1376&gt;=75,V1376&lt;175,W1376&lt;65),0.2,0)+IF(AND(V1376&gt;=75,V1376&lt;175,W1376&gt;=65,W1376&lt;110),0.15,0)+IF(AND(V1376&gt;=75,V1376&lt;175,W1376&gt;=110),0.12,0)+IF(AND(V1376&gt;=175,W1376&lt;55),0.2,0)+IF(AND(V1376&gt;=175,W1376&gt;=55,W1376&lt;95),0.15,0)+IF(AND(V1376&gt;=175,W1376&gt;=95),0.12,0),
IF(AF1376="DoEVku",IF(AND(V1376&lt;20,W1376&lt;55),0.23,0)+IF(AND(V1376&lt;20,W1376&gt;=55,W1376&lt;105),0.2,0)+IF(AND(V1376&lt;20,W1376&gt;=105),0.17,0)+IF(AND(V1376&gt;=20,V1376&lt;40,W1376&lt;45),0.23,0)+IF(AND(V1376&gt;=20,V1376&lt;40,W1376&gt;=45,W1376&lt;95),0.2,0)+IF(AND(V1376&gt;=20,V1376&lt;40,W1376&gt;=95,W1376&lt;=150),0.17,0)+IF(AND(V1376&gt;=20,V1376&lt;40,W1376&gt;=150),0.12,0)+IF(AND(V1376&gt;=40,V1376&lt;75,W1376&lt;35),0.23,0)+IF(AND(V1376&gt;=40,V1376&lt;75,W1376&gt;=35,W1376&lt;75),0.2,0)+IF(AND(V1376&gt;=40,V1376&lt;75,W1376&gt;=75,W1376&lt;120),0.17,0)+IF(AND(V1376&gt;=40,V1376&lt;75,W1376&gt;=120),0.12,0)+IF(AND(V1376&gt;=75,V1376&lt;175,W1376&lt;35),0.23,0)+IF(AND(V1376&gt;=75,V1376&lt;=175,W1376&gt;=35,W1376&lt;65),0.2,0)+IF(AND(V1376&gt;=75,V1376&lt;=175,W1376&gt;=65,W1376&lt;110),0.17,0)+IF(AND(V1376&gt;=75,V1376&lt;=175,W1376&gt;=110),0.12,0)+IF(AND(V1376&gt;175,W1376&lt;25),0.23,0)+IF(AND(V1376&gt;175,W1376&gt;=25,W1376&lt;55),0.2,0)+IF(AND(V1376&gt;175,W1376&gt;=55,W1376&lt;95),0.17,0)+IF(AND(V1376&gt;175,W1376&gt;=95),0.12,0),
IF(AF1376="DoEVs1",IF(AND(V1376&lt;20,W1376&lt;55),0.3,0)+IF(AND(V1376&lt;20,W1376&gt;=55,W1376&lt;105),0.23,0)+IF(AND(V1376&lt;20,W1376&gt;=105),0.17,0)+IF(AND(V1376&gt;=20,V1376&lt;40,W1376&lt;45),0.3,0)+IF(AND(V1376&gt;=20,V1376&lt;40,W1376&gt;=45,W1376&lt;95),0.23,0)+IF(AND(V1376&gt;=20,V1376&lt;40,W1376&gt;=95,W1376&lt;=150),0.17,0)+IF(AND(V1376&gt;=20,V1376&lt;40,W1376&gt;=150),0.12,0)+IF(AND(V1376&gt;=40,V1376&lt;75,W1376&lt;35),0.3,0)+IF(AND(V1376&gt;=40,V1376&lt;75,W1376&gt;=35,W1376&lt;75),0.23,0)+IF(AND(V1376&gt;=40,V1376&lt;75,W1376&gt;=75,W1376&lt;120),0.17,0)+IF(AND(V1376&gt;=40,V1376&lt;75,W1376&gt;=120),0.12,0)+IF(AND(V1376&gt;=75,V1376&lt;175,W1376&lt;35),0.3,0)+IF(AND(V1376&gt;=75,V1376&lt;=175,W1376&gt;=35,W1376&lt;65),0.23,0)+IF(AND(V1376&gt;=75,V1376&lt;=175,W1376&gt;=65,W1376&lt;110),0.17,0)+IF(AND(V1376&gt;=75,V1376&lt;=175,W1376&gt;=110),0.12,0)+IF(AND(V1376&gt;175,W1376&lt;25),0.3,0)+IF(AND(V1376&gt;175,W1376&gt;=25,W1376&lt;55),0.23,0)+IF(AND(V1376&gt;175,W1376&gt;=55,W1376&lt;95),0.17,0)+IF(AND(V1376&gt;175,W1376&gt;=95),0.12,0),
IF(AF1376="DoEVsu",IF(AND(V1376&lt;20,W1376&lt;55),0.3,0)+IF(AND(V1376&lt;20,W1376&gt;=55,W1376&lt;105),0.23,0)+IF(AND(V1376&lt;20,W1376&gt;=105),0.17,0)+IF(AND(V1376&gt;=20,V1376&lt;40,W1376&lt;45),0.3,0)+IF(AND(V1376&gt;=20,V1376&lt;40,W1376&gt;=45,W1376&lt;95),0.23,0)+IF(AND(V1376&gt;=20,V1376&lt;40,W1376&gt;=95,W1376&lt;=250),0.17,0)+IF(AND(V1376&gt;=20,V1376&lt;40,W1376&gt;=250),0.12,0)+IF(AND(V1376&gt;=40,V1376&lt;75,W1376&lt;35),0.3,0)+IF(AND(V1376&gt;=40,V1376&lt;75,W1376&gt;=35,W1376&lt;75),0.23,0)+IF(AND(V1376&gt;=40,V1376&lt;75,W1376&gt;=75,W1376&lt;120),0.17,0)+IF(AND(V1376&gt;=40,V1376&lt;75,W1376&gt;=120),0.12,0)+IF(AND(V1376&gt;=75,V1376&lt;175,W1376&lt;35),0.3,0)+IF(AND(V1376&gt;=75,V1376&lt;=175,W1376&gt;=35,W1376&lt;65),0.23,0)+IF(AND(V1376&gt;=75,V1376&lt;=175,W1376&gt;=65,W1376&lt;110),0.17,0)+IF(AND(V1376&gt;=75,V1376&lt;=175,W1376&gt;=110),0.12,0)+IF(AND(V1376&gt;175,W1376&lt;25),0.3,0)+IF(AND(V1376&gt;175,W1376&gt;=25,W1376&lt;55),0.23,0)+IF(AND(V1376&gt;175,W1376&gt;=55,W1376&lt;95),0.17,0)+IF(AND(V1376&gt;175,W1376&gt;=95),0.12,0),
IF(AF1376="DoEVni",IF(AND(V1376&lt;20,W1376&lt;55),0.3,0)+IF(AND(V1376&lt;20,W1376&gt;=55,W1376&lt;105),0.23,0)+IF(AND(V1376&lt;20,W1376&gt;=105),0.17,0)+IF(AND(V1376&gt;=20,V1376&lt;40,W1376&lt;45),0.3,0)+IF(AND(V1376&gt;=20,V1376&lt;40,W1376&gt;=45,W1376&lt;95),0.23,0)+IF(AND(V1376&gt;=20,V1376&lt;40,W1376&gt;=95,W1376&lt;=200),0.17,0)+IF(AND(V1376&gt;=20,V1376&lt;40,W1376&gt;=200),0.12,0)+IF(AND(V1376&gt;=40,V1376&lt;75,W1376&lt;35),0.3,0)+IF(AND(V1376&gt;=40,V1376&lt;75,W1376&gt;=35,W1376&lt;75),0.23,0)+IF(AND(V1376&gt;=40,V1376&lt;75,W1376&gt;=75,W1376&lt;120),0.17,0)+IF(AND(V1376&gt;=40,V1376&lt;75,W1376&gt;=120),0.12,0)+IF(AND(V1376&gt;=75,V1376&lt;175,W1376&lt;35),0.3,0)+IF(AND(V1376&gt;=75,V1376&lt;=175,W1376&gt;=35,W1376&lt;65),0.23,0)+IF(AND(V1376&gt;=75,V1376&lt;=175,W1376&gt;=65,W1376&lt;110),0.17,0)+IF(AND(V1376&gt;=75,V1376&lt;=175,W1376&gt;=110),0.12,0)+IF(AND(V1376&gt;175,W1376&lt;25),0.3,0)+IF(AND(V1376&gt;175,W1376&gt;=25,W1376&lt;55),0.23,0)+IF(AND(V1376&gt;175,W1376&gt;=55,W1376&lt;95),0.17,0)+IF(AND(V1376&gt;175,W1376&gt;=95),0.12,0),
IF(AF1376="DoEVLo",IF(AND(V1376&lt;20,W1376&lt;55),0.25,0)+IF(AND(V1376&lt;20,W1376&gt;=55,W1376&lt;105),0.2,0)+IF(AND(V1376&lt;20,W1376&gt;=105),0.15,0)+IF(AND(V1376&gt;=20,V1376&lt;40,W1376&lt;45),0.25,0)+IF(AND(V1376&gt;=20,V1376&lt;40,W1376&gt;=45,W1376&lt;95),0.2,0)+IF(AND(V1376&gt;=20,V1376&lt;40,W1376&gt;=95),0.15,0)+IF(AND(V1376&gt;=40,V1376&lt;75,W1376&lt;35),0.25,0)+IF(AND(V1376&gt;=40,V1376&lt;75,W1376&gt;=35,W1376&lt;75),0.2,0)+IF(AND(V1376&gt;=40,V1376&lt;75,W1376&gt;=75,W1376&lt;120),0.15,0)+IF(AND(V1376&gt;=40,V1376&lt;75,W1376&gt;=120),0.1,0)+IF(AND(V1376&gt;=75,V1376&lt;175,W1376&lt;35),0.25,0)+IF(AND(V1376&gt;=75,V1376&lt;=175,W1376&gt;=35,W1376&lt;65),0.2,0)+IF(AND(V1376&gt;=75,V1376&lt;=175,W1376&gt;=65,W1376&lt;110),0.15,0)+IF(AND(V1376&gt;=75,V1376&lt;=175,W1376&gt;=110),0.1,0)+IF(AND(V1376&gt;175,W1376&lt;25),0.25,0)+IF(AND(V1376&gt;175,W1376&gt;=25,W1376&lt;55),0.2,0)+IF(AND(V1376&gt;175,W1376&gt;=55,W1376&lt;95),0.15,0)+IF(AND(V1376&gt;175,W1376&gt;=95),0.1,0))))))))))))))))))</f>
        <v>0</v>
      </c>
      <c r="Y1376" s="78">
        <v>0.22</v>
      </c>
      <c r="Z1376" s="35">
        <f>T1376-AA1376-AB1376</f>
        <v>-109.98</v>
      </c>
      <c r="AA1376" s="29">
        <f>IF(AD1376="EUR",((T1376-R1376)*X1376)*U1376+(R1376*X1376),(T1376*X1376))</f>
        <v>0</v>
      </c>
      <c r="AB1376" s="36">
        <f>IF(AD1376="EUR",((T1376-R1376)*Y1376)*U1376+(R1376*Y1376),(T1376*Y1376))</f>
        <v>-31.02</v>
      </c>
      <c r="AC1376" s="61" t="b">
        <v>1</v>
      </c>
      <c r="AD1376" s="37" t="s">
        <v>38</v>
      </c>
      <c r="AE1376" s="37" t="s">
        <v>38</v>
      </c>
      <c r="AF1376" s="37" t="str">
        <f t="array" ref="AF1376">INDEX('Deal Info'!D:D, MATCH(A1376,'Deal Info'!A:A, 0))</f>
        <v>None</v>
      </c>
      <c r="AG1376" s="38" t="str">
        <f t="array" ref="AG1376">INDEX('Deal Info'!G:G, MATCH(A1376,'Deal Info'!A:A, 0))</f>
        <v>guilexperi</v>
      </c>
    </row>
    <row r="1377" spans="1:33" ht="14.25" hidden="1" x14ac:dyDescent="0.2">
      <c r="A1377" s="18" t="str">
        <f t="array" ref="A1377">IF(G1377='Room Info'!$B$1, INDEX('Room Info'!$A$2:$A2446, MATCH(B1377,'Room Info'!$B$2:$B2446, 0)),IF(G1377='Room Info'!$C$1, INDEX('Room Info'!$A$2:$A2446, MATCH(B1377,'Room Info'!$C$2:$C2446, 0)),IF(G1377='Room Info'!$D$1, INDEX('Room Info'!$A$2:$A2446, MATCH(B1377,'Room Info'!$D$2:$D2446, 0)),IF(G1377='Room Info'!$E$1, INDEX('Room Info'!$A$2:$A2446, MATCH(B1377,'Room Info'!$E$2:$E2446, 0)),IF(G1377='Room Info'!$F$1, INDEX('Room Info'!$A$2:$A2446, MATCH(B1377,'Room Info'!$F$2:$F2446, 0)),IF(G1377='Room Info'!$H$1, INDEX('Room Info'!$A$2:$A2446, MATCH(B1377,'Room Info'!$H$2:$H2446, 0)),IF(G1377='Room Info'!$G$1, INDEX('Room Info'!$A$2:$A2446, MATCH(B1377,'Room Info'!$G$2:$G2446, 0)))))))))</f>
        <v>guilexperi</v>
      </c>
      <c r="B1377" s="45" t="s">
        <v>208</v>
      </c>
      <c r="C1377" s="46">
        <v>44866</v>
      </c>
      <c r="D1377" s="46">
        <v>44895</v>
      </c>
      <c r="E1377" s="47">
        <v>44866</v>
      </c>
      <c r="F1377" s="48" t="s">
        <v>49</v>
      </c>
      <c r="G1377" s="45" t="s">
        <v>35</v>
      </c>
      <c r="H1377" s="49" t="s">
        <v>210</v>
      </c>
      <c r="I1377" s="49" t="s">
        <v>174</v>
      </c>
      <c r="J1377" s="50">
        <v>500</v>
      </c>
      <c r="K1377" s="51">
        <v>21</v>
      </c>
      <c r="L1377" s="52">
        <v>2327</v>
      </c>
      <c r="M1377" s="53">
        <v>8</v>
      </c>
      <c r="N1377" s="28">
        <f>K1377*J1377</f>
        <v>10500</v>
      </c>
      <c r="O1377" s="54">
        <v>1619</v>
      </c>
      <c r="P1377" s="29">
        <v>77.095238100000003</v>
      </c>
      <c r="Q1377" s="55"/>
      <c r="R1377" s="31">
        <f>M1377+Q1377</f>
        <v>8</v>
      </c>
      <c r="S1377" s="117">
        <v>1420</v>
      </c>
      <c r="T1377" s="32">
        <f>R1377+S1377+IF(F1377="Without EV deal",L1377,0)</f>
        <v>1428</v>
      </c>
      <c r="U1377" s="57"/>
      <c r="V1377" s="58"/>
      <c r="W1377" s="58"/>
      <c r="X1377" s="30" t="b">
        <f>IF(AF1377="DoEV",IF(AND(V1377&lt;20,W1377&lt;55),0.3,0)+IF(AND(V1377&lt;20,W1377&gt;=55,W1377&lt;105),0.23,0)+IF(AND(V1377&lt;20,W1377&gt;=105),0.17,0)+IF(AND(V1377&gt;=20,V1377&lt;40,W1377&lt;45),0.3,0)+IF(AND(V1377&gt;=20,V1377&lt;40,W1377&gt;=45,W1377&lt;95),0.23,0)+IF(AND(V1377&gt;=20,V1377&lt;40,W1377&gt;=95),0.17,0)+IF(AND(V1377&gt;=40,V1377&lt;75,W1377&lt;35),0.3,0)+IF(AND(V1377&gt;=40,V1377&lt;75,W1377&gt;=35,W1377&lt;75),0.23,0)+IF(AND(V1377&gt;=40,V1377&lt;75,W1377&gt;=75,W1377&lt;120),0.17,0)+IF(AND(V1377&gt;=40,V1377&lt;75,W1377&gt;=120),0.12,0)+IF(AND(V1377&gt;=75,V1377&lt;175,W1377&lt;35),0.3,0)+IF(AND(V1377&gt;=75,V1377&lt;=175,W1377&gt;=35,W1377&lt;65),0.23,0)+IF(AND(V1377&gt;=75,V1377&lt;=175,W1377&gt;=65,W1377&lt;110),0.17,0)+IF(AND(V1377&gt;=75,V1377&lt;=175,W1377&gt;=110),0.12,0)+IF(AND(V1377&gt;175,W1377&lt;25),0.3,0)+IF(AND(V1377&gt;175,W1377&gt;=25,W1377&lt;55),0.23,0)+IF(AND(V1377&gt;175,W1377&gt;=55,W1377&lt;95),0.17,0)+IF(AND(V1377&gt;175,W1377&gt;=95),0.12,0),
IF(AF1377="Fix15",0.15,
IF(AF1377="Fix18.75",0.1875,
IF(AF1377="Fix11.25",0.1125,
IF(AF1377="Fix10",0.1,
IF(AF1377="Fix9",0.09,
IF(AF1377="Fix19",0.19,
IF(AF1377="DoEV2017",IF(AND(W1377&lt;74),0.2,0)+IF(AND(W1377&gt;=74),0.17,0),
IF(AF1377="SF",IF(AND(V1377&lt;20,W1377&lt;89),0.3,0)+IF(AND(V1377&lt;20,W1377&gt;=89),0.25,0)+IF(AND(V1377&gt;=20,V1377&lt;40,W1377&lt;74),0.3,0)+IF(AND(V1377&gt;=20,V1377&lt;40,W1377&gt;=75),0.22,0)+IF(AND(V1377&gt;=40,V1377&lt;75,W1377&lt;75),0.26,0)+IF(AND(V1377&gt;=40,V1377&lt;75,W1377&gt;=75),0.22,0)+IF(V1377&gt;=75,0.22,0),
IF(AF1377="DoEVold",IF(AND(V1377&lt;40,W1377&lt;35),0.35,0)+IF(AND(V1377&lt;40,W1377&gt;=35,W1377&lt;75),0.25,0)+IF(AND(V1377&lt;40,W1377&gt;=75),0.17,0)+IF(AND(V1377&gt;=40,V1377&lt;75,W1377&lt;25),0.35,0)+IF(AND(V1377&gt;=40,V1377&lt;75,W1377&gt;=25,W1377&lt;65),0.25,0)+IF(AND(V1377&gt;=40,V1377&lt;75,W1377&gt;=65,W1377&lt;100),0.17,0)+IF(AND(V1377&gt;=40,V1377&lt;75,W1377&gt;=100),0.1,0)+IF(AND(V1377&gt;=75,W1377&lt;25),0.35,0)+IF(AND(V1377&gt;=75,W1377&gt;=25,W1377&lt;60),0.25,0)+IF(AND(V1377&gt;=75,W1377&gt;=60,W1377&lt;95),0.17,0)+IF(AND(V1377&gt;=75,W1377&gt;=95),0.1,0),
IF(AF1377="DoEVold15",IF(AND(V1377&lt;=40,W1377&lt;35),0.35,0)+IF(AND(V1377&lt;=40,W1377&gt;=35,W1377&lt;75),0.25,0)+IF(AND(V1377&lt;=40,W1377&gt;=75,W1377&lt;120),0.17,0)+IF(AND(V1377&lt;=40,W1377&gt;=120),0.15,0)+IF(AND(V1377&gt;40,V1377&lt;75,W1377&lt;25),0.35,0)+IF(AND(V1377&gt;=40,V1377&lt;75,W1377&gt;=25,W1377&lt;65),0.25,0)+IF(AND(V1377&gt;=40,V1377&lt;75,W1377&gt;=65,W1377&lt;100),0.17,0)+IF(AND(V1377&gt;=40,V1377&lt;75,W1377&gt;=100),0.1,0)+IF(AND(V1377&gt;=75,W1377&lt;25),0.35,0)+IF(AND(V1377&gt;=75,W1377&gt;=25,W1377&lt;60),0.25,0)+IF(AND(V1377&gt;=75,W1377&gt;=60,W1377&lt;95),0.17,0)+IF(AND(V1377&gt;=75,W1377&gt;=95),0.1,0),
IF(AF1377="DoEVba",IF(AND(V1377&lt;20,W1377&lt;105),0.2,0)+IF(AND(V1377&lt;20,W1377&gt;=105),0.15,0)+IF(AND(V1377&gt;=20,V1377&lt;40,W1377&lt;95),0.2,0)+IF(AND(V1377&gt;=20,V1377&lt;40,W1377&gt;=95,W1377&lt;150),0.15,0)+IF(AND(V1377&gt;=20,V1377&lt;40,W1377&gt;=150),0.12,0)+IF(AND(V1377&gt;=40,V1377&lt;75,W1377&lt;75),0.2,0)+IF(AND(V1377&gt;=40,V1377&lt;75,W1377&gt;=75,W1377&lt;120),0.15,0)+IF(AND(V1377&gt;=40,V1377&lt;75,W1377&gt;=120),0.12,0)+IF(AND(V1377&gt;=75,V1377&lt;175,W1377&lt;65),0.2,0)+IF(AND(V1377&gt;=75,V1377&lt;175,W1377&gt;=65,W1377&lt;110),0.15,0)+IF(AND(V1377&gt;=75,V1377&lt;175,W1377&gt;=110),0.12,0)+IF(AND(V1377&gt;=175,W1377&lt;55),0.2,0)+IF(AND(V1377&gt;=175,W1377&gt;=55,W1377&lt;95),0.15,0)+IF(AND(V1377&gt;=175,W1377&gt;=95),0.12,0),
IF(AF1377="DoEVku",IF(AND(V1377&lt;20,W1377&lt;55),0.23,0)+IF(AND(V1377&lt;20,W1377&gt;=55,W1377&lt;105),0.2,0)+IF(AND(V1377&lt;20,W1377&gt;=105),0.17,0)+IF(AND(V1377&gt;=20,V1377&lt;40,W1377&lt;45),0.23,0)+IF(AND(V1377&gt;=20,V1377&lt;40,W1377&gt;=45,W1377&lt;95),0.2,0)+IF(AND(V1377&gt;=20,V1377&lt;40,W1377&gt;=95,W1377&lt;=150),0.17,0)+IF(AND(V1377&gt;=20,V1377&lt;40,W1377&gt;=150),0.12,0)+IF(AND(V1377&gt;=40,V1377&lt;75,W1377&lt;35),0.23,0)+IF(AND(V1377&gt;=40,V1377&lt;75,W1377&gt;=35,W1377&lt;75),0.2,0)+IF(AND(V1377&gt;=40,V1377&lt;75,W1377&gt;=75,W1377&lt;120),0.17,0)+IF(AND(V1377&gt;=40,V1377&lt;75,W1377&gt;=120),0.12,0)+IF(AND(V1377&gt;=75,V1377&lt;175,W1377&lt;35),0.23,0)+IF(AND(V1377&gt;=75,V1377&lt;=175,W1377&gt;=35,W1377&lt;65),0.2,0)+IF(AND(V1377&gt;=75,V1377&lt;=175,W1377&gt;=65,W1377&lt;110),0.17,0)+IF(AND(V1377&gt;=75,V1377&lt;=175,W1377&gt;=110),0.12,0)+IF(AND(V1377&gt;175,W1377&lt;25),0.23,0)+IF(AND(V1377&gt;175,W1377&gt;=25,W1377&lt;55),0.2,0)+IF(AND(V1377&gt;175,W1377&gt;=55,W1377&lt;95),0.17,0)+IF(AND(V1377&gt;175,W1377&gt;=95),0.12,0),
IF(AF1377="DoEVs1",IF(AND(V1377&lt;20,W1377&lt;55),0.3,0)+IF(AND(V1377&lt;20,W1377&gt;=55,W1377&lt;105),0.23,0)+IF(AND(V1377&lt;20,W1377&gt;=105),0.17,0)+IF(AND(V1377&gt;=20,V1377&lt;40,W1377&lt;45),0.3,0)+IF(AND(V1377&gt;=20,V1377&lt;40,W1377&gt;=45,W1377&lt;95),0.23,0)+IF(AND(V1377&gt;=20,V1377&lt;40,W1377&gt;=95,W1377&lt;=150),0.17,0)+IF(AND(V1377&gt;=20,V1377&lt;40,W1377&gt;=150),0.12,0)+IF(AND(V1377&gt;=40,V1377&lt;75,W1377&lt;35),0.3,0)+IF(AND(V1377&gt;=40,V1377&lt;75,W1377&gt;=35,W1377&lt;75),0.23,0)+IF(AND(V1377&gt;=40,V1377&lt;75,W1377&gt;=75,W1377&lt;120),0.17,0)+IF(AND(V1377&gt;=40,V1377&lt;75,W1377&gt;=120),0.12,0)+IF(AND(V1377&gt;=75,V1377&lt;175,W1377&lt;35),0.3,0)+IF(AND(V1377&gt;=75,V1377&lt;=175,W1377&gt;=35,W1377&lt;65),0.23,0)+IF(AND(V1377&gt;=75,V1377&lt;=175,W1377&gt;=65,W1377&lt;110),0.17,0)+IF(AND(V1377&gt;=75,V1377&lt;=175,W1377&gt;=110),0.12,0)+IF(AND(V1377&gt;175,W1377&lt;25),0.3,0)+IF(AND(V1377&gt;175,W1377&gt;=25,W1377&lt;55),0.23,0)+IF(AND(V1377&gt;175,W1377&gt;=55,W1377&lt;95),0.17,0)+IF(AND(V1377&gt;175,W1377&gt;=95),0.12,0),
IF(AF1377="DoEVsu",IF(AND(V1377&lt;20,W1377&lt;55),0.3,0)+IF(AND(V1377&lt;20,W1377&gt;=55,W1377&lt;105),0.23,0)+IF(AND(V1377&lt;20,W1377&gt;=105),0.17,0)+IF(AND(V1377&gt;=20,V1377&lt;40,W1377&lt;45),0.3,0)+IF(AND(V1377&gt;=20,V1377&lt;40,W1377&gt;=45,W1377&lt;95),0.23,0)+IF(AND(V1377&gt;=20,V1377&lt;40,W1377&gt;=95,W1377&lt;=250),0.17,0)+IF(AND(V1377&gt;=20,V1377&lt;40,W1377&gt;=250),0.12,0)+IF(AND(V1377&gt;=40,V1377&lt;75,W1377&lt;35),0.3,0)+IF(AND(V1377&gt;=40,V1377&lt;75,W1377&gt;=35,W1377&lt;75),0.23,0)+IF(AND(V1377&gt;=40,V1377&lt;75,W1377&gt;=75,W1377&lt;120),0.17,0)+IF(AND(V1377&gt;=40,V1377&lt;75,W1377&gt;=120),0.12,0)+IF(AND(V1377&gt;=75,V1377&lt;175,W1377&lt;35),0.3,0)+IF(AND(V1377&gt;=75,V1377&lt;=175,W1377&gt;=35,W1377&lt;65),0.23,0)+IF(AND(V1377&gt;=75,V1377&lt;=175,W1377&gt;=65,W1377&lt;110),0.17,0)+IF(AND(V1377&gt;=75,V1377&lt;=175,W1377&gt;=110),0.12,0)+IF(AND(V1377&gt;175,W1377&lt;25),0.3,0)+IF(AND(V1377&gt;175,W1377&gt;=25,W1377&lt;55),0.23,0)+IF(AND(V1377&gt;175,W1377&gt;=55,W1377&lt;95),0.17,0)+IF(AND(V1377&gt;175,W1377&gt;=95),0.12,0),
IF(AF1377="DoEVni",IF(AND(V1377&lt;20,W1377&lt;55),0.3,0)+IF(AND(V1377&lt;20,W1377&gt;=55,W1377&lt;105),0.23,0)+IF(AND(V1377&lt;20,W1377&gt;=105),0.17,0)+IF(AND(V1377&gt;=20,V1377&lt;40,W1377&lt;45),0.3,0)+IF(AND(V1377&gt;=20,V1377&lt;40,W1377&gt;=45,W1377&lt;95),0.23,0)+IF(AND(V1377&gt;=20,V1377&lt;40,W1377&gt;=95,W1377&lt;=200),0.17,0)+IF(AND(V1377&gt;=20,V1377&lt;40,W1377&gt;=200),0.12,0)+IF(AND(V1377&gt;=40,V1377&lt;75,W1377&lt;35),0.3,0)+IF(AND(V1377&gt;=40,V1377&lt;75,W1377&gt;=35,W1377&lt;75),0.23,0)+IF(AND(V1377&gt;=40,V1377&lt;75,W1377&gt;=75,W1377&lt;120),0.17,0)+IF(AND(V1377&gt;=40,V1377&lt;75,W1377&gt;=120),0.12,0)+IF(AND(V1377&gt;=75,V1377&lt;175,W1377&lt;35),0.3,0)+IF(AND(V1377&gt;=75,V1377&lt;=175,W1377&gt;=35,W1377&lt;65),0.23,0)+IF(AND(V1377&gt;=75,V1377&lt;=175,W1377&gt;=65,W1377&lt;110),0.17,0)+IF(AND(V1377&gt;=75,V1377&lt;=175,W1377&gt;=110),0.12,0)+IF(AND(V1377&gt;175,W1377&lt;25),0.3,0)+IF(AND(V1377&gt;175,W1377&gt;=25,W1377&lt;55),0.23,0)+IF(AND(V1377&gt;175,W1377&gt;=55,W1377&lt;95),0.17,0)+IF(AND(V1377&gt;175,W1377&gt;=95),0.12,0),
IF(AF1377="DoEVLo",IF(AND(V1377&lt;20,W1377&lt;55),0.25,0)+IF(AND(V1377&lt;20,W1377&gt;=55,W1377&lt;105),0.2,0)+IF(AND(V1377&lt;20,W1377&gt;=105),0.15,0)+IF(AND(V1377&gt;=20,V1377&lt;40,W1377&lt;45),0.25,0)+IF(AND(V1377&gt;=20,V1377&lt;40,W1377&gt;=45,W1377&lt;95),0.2,0)+IF(AND(V1377&gt;=20,V1377&lt;40,W1377&gt;=95),0.15,0)+IF(AND(V1377&gt;=40,V1377&lt;75,W1377&lt;35),0.25,0)+IF(AND(V1377&gt;=40,V1377&lt;75,W1377&gt;=35,W1377&lt;75),0.2,0)+IF(AND(V1377&gt;=40,V1377&lt;75,W1377&gt;=75,W1377&lt;120),0.15,0)+IF(AND(V1377&gt;=40,V1377&lt;75,W1377&gt;=120),0.1,0)+IF(AND(V1377&gt;=75,V1377&lt;175,W1377&lt;35),0.25,0)+IF(AND(V1377&gt;=75,V1377&lt;=175,W1377&gt;=35,W1377&lt;65),0.2,0)+IF(AND(V1377&gt;=75,V1377&lt;=175,W1377&gt;=65,W1377&lt;110),0.15,0)+IF(AND(V1377&gt;=75,V1377&lt;=175,W1377&gt;=110),0.1,0)+IF(AND(V1377&gt;175,W1377&lt;25),0.25,0)+IF(AND(V1377&gt;175,W1377&gt;=25,W1377&lt;55),0.2,0)+IF(AND(V1377&gt;175,W1377&gt;=55,W1377&lt;95),0.15,0)+IF(AND(V1377&gt;175,W1377&gt;=95),0.1,0))))))))))))))))))</f>
        <v>0</v>
      </c>
      <c r="Y1377" s="78">
        <v>0.22</v>
      </c>
      <c r="Z1377" s="35">
        <f>T1377-AA1377-AB1377</f>
        <v>1113.8399999999999</v>
      </c>
      <c r="AA1377" s="29">
        <f>IF(AD1377="EUR",((T1377-R1377)*X1377)*U1377+(R1377*X1377),(T1377*X1377))</f>
        <v>0</v>
      </c>
      <c r="AB1377" s="36">
        <f>IF(AD1377="EUR",((T1377-R1377)*Y1377)*U1377+(R1377*Y1377),(T1377*Y1377))</f>
        <v>314.16000000000003</v>
      </c>
      <c r="AC1377" s="61" t="b">
        <v>1</v>
      </c>
      <c r="AD1377" s="37" t="s">
        <v>38</v>
      </c>
      <c r="AE1377" s="37" t="s">
        <v>38</v>
      </c>
      <c r="AF1377" s="37" t="str">
        <f t="array" ref="AF1377">INDEX('Deal Info'!D:D, MATCH(A1377,'Deal Info'!A:A, 0))</f>
        <v>None</v>
      </c>
      <c r="AG1377" s="38" t="str">
        <f t="array" ref="AG1377">INDEX('Deal Info'!G:G, MATCH(A1377,'Deal Info'!A:A, 0))</f>
        <v>guilexperi</v>
      </c>
    </row>
    <row r="1378" spans="1:33" ht="14.25" hidden="1" x14ac:dyDescent="0.2">
      <c r="A1378" s="18" t="str">
        <f t="array" ref="A1378">IF(G1378='Room Info'!$B$1, INDEX('Room Info'!$A$2:$A2446, MATCH(B1378,'Room Info'!$B$2:$B2446, 0)),IF(G1378='Room Info'!$C$1, INDEX('Room Info'!$A$2:$A2446, MATCH(B1378,'Room Info'!$C$2:$C2446, 0)),IF(G1378='Room Info'!$D$1, INDEX('Room Info'!$A$2:$A2446, MATCH(B1378,'Room Info'!$D$2:$D2446, 0)),IF(G1378='Room Info'!$E$1, INDEX('Room Info'!$A$2:$A2446, MATCH(B1378,'Room Info'!$E$2:$E2446, 0)),IF(G1378='Room Info'!$F$1, INDEX('Room Info'!$A$2:$A2446, MATCH(B1378,'Room Info'!$F$2:$F2446, 0)),IF(G1378='Room Info'!$H$1, INDEX('Room Info'!$A$2:$A2446, MATCH(B1378,'Room Info'!$H$2:$H2446, 0)),IF(G1378='Room Info'!$G$1, INDEX('Room Info'!$A$2:$A2446, MATCH(B1378,'Room Info'!$G$2:$G2446, 0)))))))))</f>
        <v>guilexperi</v>
      </c>
      <c r="B1378" s="45" t="s">
        <v>208</v>
      </c>
      <c r="C1378" s="46">
        <v>44866</v>
      </c>
      <c r="D1378" s="46">
        <v>44895</v>
      </c>
      <c r="E1378" s="47">
        <v>44866</v>
      </c>
      <c r="F1378" s="48" t="s">
        <v>49</v>
      </c>
      <c r="G1378" s="45" t="s">
        <v>35</v>
      </c>
      <c r="H1378" s="49" t="s">
        <v>211</v>
      </c>
      <c r="I1378" s="49" t="s">
        <v>174</v>
      </c>
      <c r="J1378" s="50">
        <v>200</v>
      </c>
      <c r="K1378" s="51">
        <v>175</v>
      </c>
      <c r="L1378" s="52">
        <v>-1468</v>
      </c>
      <c r="M1378" s="53">
        <v>33</v>
      </c>
      <c r="N1378" s="28">
        <f>K1378*J1378</f>
        <v>35000</v>
      </c>
      <c r="O1378" s="54">
        <v>-3494</v>
      </c>
      <c r="P1378" s="29">
        <v>-19.965714290000001</v>
      </c>
      <c r="Q1378" s="55"/>
      <c r="R1378" s="31">
        <f>M1378+Q1378</f>
        <v>33</v>
      </c>
      <c r="S1378" s="117">
        <v>-1963</v>
      </c>
      <c r="T1378" s="32">
        <f>R1378+S1378+IF(F1378="Without EV deal",L1378,0)</f>
        <v>-1930</v>
      </c>
      <c r="U1378" s="57"/>
      <c r="V1378" s="58"/>
      <c r="W1378" s="58"/>
      <c r="X1378" s="30" t="b">
        <f>IF(AF1378="DoEV",IF(AND(V1378&lt;20,W1378&lt;55),0.3,0)+IF(AND(V1378&lt;20,W1378&gt;=55,W1378&lt;105),0.23,0)+IF(AND(V1378&lt;20,W1378&gt;=105),0.17,0)+IF(AND(V1378&gt;=20,V1378&lt;40,W1378&lt;45),0.3,0)+IF(AND(V1378&gt;=20,V1378&lt;40,W1378&gt;=45,W1378&lt;95),0.23,0)+IF(AND(V1378&gt;=20,V1378&lt;40,W1378&gt;=95),0.17,0)+IF(AND(V1378&gt;=40,V1378&lt;75,W1378&lt;35),0.3,0)+IF(AND(V1378&gt;=40,V1378&lt;75,W1378&gt;=35,W1378&lt;75),0.23,0)+IF(AND(V1378&gt;=40,V1378&lt;75,W1378&gt;=75,W1378&lt;120),0.17,0)+IF(AND(V1378&gt;=40,V1378&lt;75,W1378&gt;=120),0.12,0)+IF(AND(V1378&gt;=75,V1378&lt;175,W1378&lt;35),0.3,0)+IF(AND(V1378&gt;=75,V1378&lt;=175,W1378&gt;=35,W1378&lt;65),0.23,0)+IF(AND(V1378&gt;=75,V1378&lt;=175,W1378&gt;=65,W1378&lt;110),0.17,0)+IF(AND(V1378&gt;=75,V1378&lt;=175,W1378&gt;=110),0.12,0)+IF(AND(V1378&gt;175,W1378&lt;25),0.3,0)+IF(AND(V1378&gt;175,W1378&gt;=25,W1378&lt;55),0.23,0)+IF(AND(V1378&gt;175,W1378&gt;=55,W1378&lt;95),0.17,0)+IF(AND(V1378&gt;175,W1378&gt;=95),0.12,0),
IF(AF1378="Fix15",0.15,
IF(AF1378="Fix18.75",0.1875,
IF(AF1378="Fix11.25",0.1125,
IF(AF1378="Fix10",0.1,
IF(AF1378="Fix9",0.09,
IF(AF1378="Fix19",0.19,
IF(AF1378="DoEV2017",IF(AND(W1378&lt;74),0.2,0)+IF(AND(W1378&gt;=74),0.17,0),
IF(AF1378="SF",IF(AND(V1378&lt;20,W1378&lt;89),0.3,0)+IF(AND(V1378&lt;20,W1378&gt;=89),0.25,0)+IF(AND(V1378&gt;=20,V1378&lt;40,W1378&lt;74),0.3,0)+IF(AND(V1378&gt;=20,V1378&lt;40,W1378&gt;=75),0.22,0)+IF(AND(V1378&gt;=40,V1378&lt;75,W1378&lt;75),0.26,0)+IF(AND(V1378&gt;=40,V1378&lt;75,W1378&gt;=75),0.22,0)+IF(V1378&gt;=75,0.22,0),
IF(AF1378="DoEVold",IF(AND(V1378&lt;40,W1378&lt;35),0.35,0)+IF(AND(V1378&lt;40,W1378&gt;=35,W1378&lt;75),0.25,0)+IF(AND(V1378&lt;40,W1378&gt;=75),0.17,0)+IF(AND(V1378&gt;=40,V1378&lt;75,W1378&lt;25),0.35,0)+IF(AND(V1378&gt;=40,V1378&lt;75,W1378&gt;=25,W1378&lt;65),0.25,0)+IF(AND(V1378&gt;=40,V1378&lt;75,W1378&gt;=65,W1378&lt;100),0.17,0)+IF(AND(V1378&gt;=40,V1378&lt;75,W1378&gt;=100),0.1,0)+IF(AND(V1378&gt;=75,W1378&lt;25),0.35,0)+IF(AND(V1378&gt;=75,W1378&gt;=25,W1378&lt;60),0.25,0)+IF(AND(V1378&gt;=75,W1378&gt;=60,W1378&lt;95),0.17,0)+IF(AND(V1378&gt;=75,W1378&gt;=95),0.1,0),
IF(AF1378="DoEVold15",IF(AND(V1378&lt;=40,W1378&lt;35),0.35,0)+IF(AND(V1378&lt;=40,W1378&gt;=35,W1378&lt;75),0.25,0)+IF(AND(V1378&lt;=40,W1378&gt;=75,W1378&lt;120),0.17,0)+IF(AND(V1378&lt;=40,W1378&gt;=120),0.15,0)+IF(AND(V1378&gt;40,V1378&lt;75,W1378&lt;25),0.35,0)+IF(AND(V1378&gt;=40,V1378&lt;75,W1378&gt;=25,W1378&lt;65),0.25,0)+IF(AND(V1378&gt;=40,V1378&lt;75,W1378&gt;=65,W1378&lt;100),0.17,0)+IF(AND(V1378&gt;=40,V1378&lt;75,W1378&gt;=100),0.1,0)+IF(AND(V1378&gt;=75,W1378&lt;25),0.35,0)+IF(AND(V1378&gt;=75,W1378&gt;=25,W1378&lt;60),0.25,0)+IF(AND(V1378&gt;=75,W1378&gt;=60,W1378&lt;95),0.17,0)+IF(AND(V1378&gt;=75,W1378&gt;=95),0.1,0),
IF(AF1378="DoEVba",IF(AND(V1378&lt;20,W1378&lt;105),0.2,0)+IF(AND(V1378&lt;20,W1378&gt;=105),0.15,0)+IF(AND(V1378&gt;=20,V1378&lt;40,W1378&lt;95),0.2,0)+IF(AND(V1378&gt;=20,V1378&lt;40,W1378&gt;=95,W1378&lt;150),0.15,0)+IF(AND(V1378&gt;=20,V1378&lt;40,W1378&gt;=150),0.12,0)+IF(AND(V1378&gt;=40,V1378&lt;75,W1378&lt;75),0.2,0)+IF(AND(V1378&gt;=40,V1378&lt;75,W1378&gt;=75,W1378&lt;120),0.15,0)+IF(AND(V1378&gt;=40,V1378&lt;75,W1378&gt;=120),0.12,0)+IF(AND(V1378&gt;=75,V1378&lt;175,W1378&lt;65),0.2,0)+IF(AND(V1378&gt;=75,V1378&lt;175,W1378&gt;=65,W1378&lt;110),0.15,0)+IF(AND(V1378&gt;=75,V1378&lt;175,W1378&gt;=110),0.12,0)+IF(AND(V1378&gt;=175,W1378&lt;55),0.2,0)+IF(AND(V1378&gt;=175,W1378&gt;=55,W1378&lt;95),0.15,0)+IF(AND(V1378&gt;=175,W1378&gt;=95),0.12,0),
IF(AF1378="DoEVku",IF(AND(V1378&lt;20,W1378&lt;55),0.23,0)+IF(AND(V1378&lt;20,W1378&gt;=55,W1378&lt;105),0.2,0)+IF(AND(V1378&lt;20,W1378&gt;=105),0.17,0)+IF(AND(V1378&gt;=20,V1378&lt;40,W1378&lt;45),0.23,0)+IF(AND(V1378&gt;=20,V1378&lt;40,W1378&gt;=45,W1378&lt;95),0.2,0)+IF(AND(V1378&gt;=20,V1378&lt;40,W1378&gt;=95,W1378&lt;=150),0.17,0)+IF(AND(V1378&gt;=20,V1378&lt;40,W1378&gt;=150),0.12,0)+IF(AND(V1378&gt;=40,V1378&lt;75,W1378&lt;35),0.23,0)+IF(AND(V1378&gt;=40,V1378&lt;75,W1378&gt;=35,W1378&lt;75),0.2,0)+IF(AND(V1378&gt;=40,V1378&lt;75,W1378&gt;=75,W1378&lt;120),0.17,0)+IF(AND(V1378&gt;=40,V1378&lt;75,W1378&gt;=120),0.12,0)+IF(AND(V1378&gt;=75,V1378&lt;175,W1378&lt;35),0.23,0)+IF(AND(V1378&gt;=75,V1378&lt;=175,W1378&gt;=35,W1378&lt;65),0.2,0)+IF(AND(V1378&gt;=75,V1378&lt;=175,W1378&gt;=65,W1378&lt;110),0.17,0)+IF(AND(V1378&gt;=75,V1378&lt;=175,W1378&gt;=110),0.12,0)+IF(AND(V1378&gt;175,W1378&lt;25),0.23,0)+IF(AND(V1378&gt;175,W1378&gt;=25,W1378&lt;55),0.2,0)+IF(AND(V1378&gt;175,W1378&gt;=55,W1378&lt;95),0.17,0)+IF(AND(V1378&gt;175,W1378&gt;=95),0.12,0),
IF(AF1378="DoEVs1",IF(AND(V1378&lt;20,W1378&lt;55),0.3,0)+IF(AND(V1378&lt;20,W1378&gt;=55,W1378&lt;105),0.23,0)+IF(AND(V1378&lt;20,W1378&gt;=105),0.17,0)+IF(AND(V1378&gt;=20,V1378&lt;40,W1378&lt;45),0.3,0)+IF(AND(V1378&gt;=20,V1378&lt;40,W1378&gt;=45,W1378&lt;95),0.23,0)+IF(AND(V1378&gt;=20,V1378&lt;40,W1378&gt;=95,W1378&lt;=150),0.17,0)+IF(AND(V1378&gt;=20,V1378&lt;40,W1378&gt;=150),0.12,0)+IF(AND(V1378&gt;=40,V1378&lt;75,W1378&lt;35),0.3,0)+IF(AND(V1378&gt;=40,V1378&lt;75,W1378&gt;=35,W1378&lt;75),0.23,0)+IF(AND(V1378&gt;=40,V1378&lt;75,W1378&gt;=75,W1378&lt;120),0.17,0)+IF(AND(V1378&gt;=40,V1378&lt;75,W1378&gt;=120),0.12,0)+IF(AND(V1378&gt;=75,V1378&lt;175,W1378&lt;35),0.3,0)+IF(AND(V1378&gt;=75,V1378&lt;=175,W1378&gt;=35,W1378&lt;65),0.23,0)+IF(AND(V1378&gt;=75,V1378&lt;=175,W1378&gt;=65,W1378&lt;110),0.17,0)+IF(AND(V1378&gt;=75,V1378&lt;=175,W1378&gt;=110),0.12,0)+IF(AND(V1378&gt;175,W1378&lt;25),0.3,0)+IF(AND(V1378&gt;175,W1378&gt;=25,W1378&lt;55),0.23,0)+IF(AND(V1378&gt;175,W1378&gt;=55,W1378&lt;95),0.17,0)+IF(AND(V1378&gt;175,W1378&gt;=95),0.12,0),
IF(AF1378="DoEVsu",IF(AND(V1378&lt;20,W1378&lt;55),0.3,0)+IF(AND(V1378&lt;20,W1378&gt;=55,W1378&lt;105),0.23,0)+IF(AND(V1378&lt;20,W1378&gt;=105),0.17,0)+IF(AND(V1378&gt;=20,V1378&lt;40,W1378&lt;45),0.3,0)+IF(AND(V1378&gt;=20,V1378&lt;40,W1378&gt;=45,W1378&lt;95),0.23,0)+IF(AND(V1378&gt;=20,V1378&lt;40,W1378&gt;=95,W1378&lt;=250),0.17,0)+IF(AND(V1378&gt;=20,V1378&lt;40,W1378&gt;=250),0.12,0)+IF(AND(V1378&gt;=40,V1378&lt;75,W1378&lt;35),0.3,0)+IF(AND(V1378&gt;=40,V1378&lt;75,W1378&gt;=35,W1378&lt;75),0.23,0)+IF(AND(V1378&gt;=40,V1378&lt;75,W1378&gt;=75,W1378&lt;120),0.17,0)+IF(AND(V1378&gt;=40,V1378&lt;75,W1378&gt;=120),0.12,0)+IF(AND(V1378&gt;=75,V1378&lt;175,W1378&lt;35),0.3,0)+IF(AND(V1378&gt;=75,V1378&lt;=175,W1378&gt;=35,W1378&lt;65),0.23,0)+IF(AND(V1378&gt;=75,V1378&lt;=175,W1378&gt;=65,W1378&lt;110),0.17,0)+IF(AND(V1378&gt;=75,V1378&lt;=175,W1378&gt;=110),0.12,0)+IF(AND(V1378&gt;175,W1378&lt;25),0.3,0)+IF(AND(V1378&gt;175,W1378&gt;=25,W1378&lt;55),0.23,0)+IF(AND(V1378&gt;175,W1378&gt;=55,W1378&lt;95),0.17,0)+IF(AND(V1378&gt;175,W1378&gt;=95),0.12,0),
IF(AF1378="DoEVni",IF(AND(V1378&lt;20,W1378&lt;55),0.3,0)+IF(AND(V1378&lt;20,W1378&gt;=55,W1378&lt;105),0.23,0)+IF(AND(V1378&lt;20,W1378&gt;=105),0.17,0)+IF(AND(V1378&gt;=20,V1378&lt;40,W1378&lt;45),0.3,0)+IF(AND(V1378&gt;=20,V1378&lt;40,W1378&gt;=45,W1378&lt;95),0.23,0)+IF(AND(V1378&gt;=20,V1378&lt;40,W1378&gt;=95,W1378&lt;=200),0.17,0)+IF(AND(V1378&gt;=20,V1378&lt;40,W1378&gt;=200),0.12,0)+IF(AND(V1378&gt;=40,V1378&lt;75,W1378&lt;35),0.3,0)+IF(AND(V1378&gt;=40,V1378&lt;75,W1378&gt;=35,W1378&lt;75),0.23,0)+IF(AND(V1378&gt;=40,V1378&lt;75,W1378&gt;=75,W1378&lt;120),0.17,0)+IF(AND(V1378&gt;=40,V1378&lt;75,W1378&gt;=120),0.12,0)+IF(AND(V1378&gt;=75,V1378&lt;175,W1378&lt;35),0.3,0)+IF(AND(V1378&gt;=75,V1378&lt;=175,W1378&gt;=35,W1378&lt;65),0.23,0)+IF(AND(V1378&gt;=75,V1378&lt;=175,W1378&gt;=65,W1378&lt;110),0.17,0)+IF(AND(V1378&gt;=75,V1378&lt;=175,W1378&gt;=110),0.12,0)+IF(AND(V1378&gt;175,W1378&lt;25),0.3,0)+IF(AND(V1378&gt;175,W1378&gt;=25,W1378&lt;55),0.23,0)+IF(AND(V1378&gt;175,W1378&gt;=55,W1378&lt;95),0.17,0)+IF(AND(V1378&gt;175,W1378&gt;=95),0.12,0),
IF(AF1378="DoEVLo",IF(AND(V1378&lt;20,W1378&lt;55),0.25,0)+IF(AND(V1378&lt;20,W1378&gt;=55,W1378&lt;105),0.2,0)+IF(AND(V1378&lt;20,W1378&gt;=105),0.15,0)+IF(AND(V1378&gt;=20,V1378&lt;40,W1378&lt;45),0.25,0)+IF(AND(V1378&gt;=20,V1378&lt;40,W1378&gt;=45,W1378&lt;95),0.2,0)+IF(AND(V1378&gt;=20,V1378&lt;40,W1378&gt;=95),0.15,0)+IF(AND(V1378&gt;=40,V1378&lt;75,W1378&lt;35),0.25,0)+IF(AND(V1378&gt;=40,V1378&lt;75,W1378&gt;=35,W1378&lt;75),0.2,0)+IF(AND(V1378&gt;=40,V1378&lt;75,W1378&gt;=75,W1378&lt;120),0.15,0)+IF(AND(V1378&gt;=40,V1378&lt;75,W1378&gt;=120),0.1,0)+IF(AND(V1378&gt;=75,V1378&lt;175,W1378&lt;35),0.25,0)+IF(AND(V1378&gt;=75,V1378&lt;=175,W1378&gt;=35,W1378&lt;65),0.2,0)+IF(AND(V1378&gt;=75,V1378&lt;=175,W1378&gt;=65,W1378&lt;110),0.15,0)+IF(AND(V1378&gt;=75,V1378&lt;=175,W1378&gt;=110),0.1,0)+IF(AND(V1378&gt;175,W1378&lt;25),0.25,0)+IF(AND(V1378&gt;175,W1378&gt;=25,W1378&lt;55),0.2,0)+IF(AND(V1378&gt;175,W1378&gt;=55,W1378&lt;95),0.15,0)+IF(AND(V1378&gt;175,W1378&gt;=95),0.1,0))))))))))))))))))</f>
        <v>0</v>
      </c>
      <c r="Y1378" s="78">
        <v>0.22</v>
      </c>
      <c r="Z1378" s="35">
        <f>T1378-AA1378-AB1378</f>
        <v>-1505.4</v>
      </c>
      <c r="AA1378" s="29">
        <f>IF(AD1378="EUR",((T1378-R1378)*X1378)*U1378+(R1378*X1378),(T1378*X1378))</f>
        <v>0</v>
      </c>
      <c r="AB1378" s="36">
        <f>IF(AD1378="EUR",((T1378-R1378)*Y1378)*U1378+(R1378*Y1378),(T1378*Y1378))</f>
        <v>-424.6</v>
      </c>
      <c r="AC1378" s="61" t="b">
        <v>1</v>
      </c>
      <c r="AD1378" s="37" t="s">
        <v>38</v>
      </c>
      <c r="AE1378" s="37" t="s">
        <v>38</v>
      </c>
      <c r="AF1378" s="37" t="str">
        <f t="array" ref="AF1378">INDEX('Deal Info'!D:D, MATCH(A1378,'Deal Info'!A:A, 0))</f>
        <v>None</v>
      </c>
      <c r="AG1378" s="38" t="str">
        <f t="array" ref="AG1378">INDEX('Deal Info'!G:G, MATCH(A1378,'Deal Info'!A:A, 0))</f>
        <v>guilexperi</v>
      </c>
    </row>
    <row r="1379" spans="1:33" ht="14.25" hidden="1" x14ac:dyDescent="0.2">
      <c r="A1379" s="18" t="str">
        <f t="array" ref="A1379">IF(G1379='Room Info'!$B$1, INDEX('Room Info'!$A$2:$A2446, MATCH(B1379,'Room Info'!$B$2:$B2446, 0)),IF(G1379='Room Info'!$C$1, INDEX('Room Info'!$A$2:$A2446, MATCH(B1379,'Room Info'!$C$2:$C2446, 0)),IF(G1379='Room Info'!$D$1, INDEX('Room Info'!$A$2:$A2446, MATCH(B1379,'Room Info'!$D$2:$D2446, 0)),IF(G1379='Room Info'!$E$1, INDEX('Room Info'!$A$2:$A2446, MATCH(B1379,'Room Info'!$E$2:$E2446, 0)),IF(G1379='Room Info'!$F$1, INDEX('Room Info'!$A$2:$A2446, MATCH(B1379,'Room Info'!$F$2:$F2446, 0)),IF(G1379='Room Info'!$H$1, INDEX('Room Info'!$A$2:$A2446, MATCH(B1379,'Room Info'!$H$2:$H2446, 0)),IF(G1379='Room Info'!$G$1, INDEX('Room Info'!$A$2:$A2446, MATCH(B1379,'Room Info'!$G$2:$G2446, 0)))))))))</f>
        <v>guilexperi</v>
      </c>
      <c r="B1379" s="45" t="s">
        <v>208</v>
      </c>
      <c r="C1379" s="46">
        <v>44866</v>
      </c>
      <c r="D1379" s="46">
        <v>44895</v>
      </c>
      <c r="E1379" s="47">
        <v>44866</v>
      </c>
      <c r="F1379" s="48" t="s">
        <v>49</v>
      </c>
      <c r="G1379" s="45" t="s">
        <v>35</v>
      </c>
      <c r="H1379" s="49" t="s">
        <v>212</v>
      </c>
      <c r="I1379" s="49" t="s">
        <v>174</v>
      </c>
      <c r="J1379" s="50">
        <v>300</v>
      </c>
      <c r="K1379" s="51">
        <v>176</v>
      </c>
      <c r="L1379" s="52">
        <v>-427</v>
      </c>
      <c r="M1379" s="53">
        <v>45</v>
      </c>
      <c r="N1379" s="28">
        <f>K1379*J1379</f>
        <v>52800</v>
      </c>
      <c r="O1379" s="54">
        <v>704</v>
      </c>
      <c r="P1379" s="29">
        <v>4</v>
      </c>
      <c r="Q1379" s="55"/>
      <c r="R1379" s="31">
        <f>M1379+Q1379</f>
        <v>45</v>
      </c>
      <c r="S1379" s="56">
        <v>-472</v>
      </c>
      <c r="T1379" s="32">
        <f>R1379+S1379+IF(F1379="Without EV deal",L1379,0)</f>
        <v>-427</v>
      </c>
      <c r="U1379" s="57"/>
      <c r="V1379" s="58"/>
      <c r="W1379" s="58"/>
      <c r="X1379" s="30" t="b">
        <f>IF(AF1379="DoEV",IF(AND(V1379&lt;20,W1379&lt;55),0.3,0)+IF(AND(V1379&lt;20,W1379&gt;=55,W1379&lt;105),0.23,0)+IF(AND(V1379&lt;20,W1379&gt;=105),0.17,0)+IF(AND(V1379&gt;=20,V1379&lt;40,W1379&lt;45),0.3,0)+IF(AND(V1379&gt;=20,V1379&lt;40,W1379&gt;=45,W1379&lt;95),0.23,0)+IF(AND(V1379&gt;=20,V1379&lt;40,W1379&gt;=95),0.17,0)+IF(AND(V1379&gt;=40,V1379&lt;75,W1379&lt;35),0.3,0)+IF(AND(V1379&gt;=40,V1379&lt;75,W1379&gt;=35,W1379&lt;75),0.23,0)+IF(AND(V1379&gt;=40,V1379&lt;75,W1379&gt;=75,W1379&lt;120),0.17,0)+IF(AND(V1379&gt;=40,V1379&lt;75,W1379&gt;=120),0.12,0)+IF(AND(V1379&gt;=75,V1379&lt;175,W1379&lt;35),0.3,0)+IF(AND(V1379&gt;=75,V1379&lt;=175,W1379&gt;=35,W1379&lt;65),0.23,0)+IF(AND(V1379&gt;=75,V1379&lt;=175,W1379&gt;=65,W1379&lt;110),0.17,0)+IF(AND(V1379&gt;=75,V1379&lt;=175,W1379&gt;=110),0.12,0)+IF(AND(V1379&gt;175,W1379&lt;25),0.3,0)+IF(AND(V1379&gt;175,W1379&gt;=25,W1379&lt;55),0.23,0)+IF(AND(V1379&gt;175,W1379&gt;=55,W1379&lt;95),0.17,0)+IF(AND(V1379&gt;175,W1379&gt;=95),0.12,0),
IF(AF1379="Fix15",0.15,
IF(AF1379="Fix18.75",0.1875,
IF(AF1379="Fix11.25",0.1125,
IF(AF1379="Fix10",0.1,
IF(AF1379="Fix9",0.09,
IF(AF1379="Fix19",0.19,
IF(AF1379="DoEV2017",IF(AND(W1379&lt;74),0.2,0)+IF(AND(W1379&gt;=74),0.17,0),
IF(AF1379="SF",IF(AND(V1379&lt;20,W1379&lt;89),0.3,0)+IF(AND(V1379&lt;20,W1379&gt;=89),0.25,0)+IF(AND(V1379&gt;=20,V1379&lt;40,W1379&lt;74),0.3,0)+IF(AND(V1379&gt;=20,V1379&lt;40,W1379&gt;=75),0.22,0)+IF(AND(V1379&gt;=40,V1379&lt;75,W1379&lt;75),0.26,0)+IF(AND(V1379&gt;=40,V1379&lt;75,W1379&gt;=75),0.22,0)+IF(V1379&gt;=75,0.22,0),
IF(AF1379="DoEVold",IF(AND(V1379&lt;40,W1379&lt;35),0.35,0)+IF(AND(V1379&lt;40,W1379&gt;=35,W1379&lt;75),0.25,0)+IF(AND(V1379&lt;40,W1379&gt;=75),0.17,0)+IF(AND(V1379&gt;=40,V1379&lt;75,W1379&lt;25),0.35,0)+IF(AND(V1379&gt;=40,V1379&lt;75,W1379&gt;=25,W1379&lt;65),0.25,0)+IF(AND(V1379&gt;=40,V1379&lt;75,W1379&gt;=65,W1379&lt;100),0.17,0)+IF(AND(V1379&gt;=40,V1379&lt;75,W1379&gt;=100),0.1,0)+IF(AND(V1379&gt;=75,W1379&lt;25),0.35,0)+IF(AND(V1379&gt;=75,W1379&gt;=25,W1379&lt;60),0.25,0)+IF(AND(V1379&gt;=75,W1379&gt;=60,W1379&lt;95),0.17,0)+IF(AND(V1379&gt;=75,W1379&gt;=95),0.1,0),
IF(AF1379="DoEVold15",IF(AND(V1379&lt;=40,W1379&lt;35),0.35,0)+IF(AND(V1379&lt;=40,W1379&gt;=35,W1379&lt;75),0.25,0)+IF(AND(V1379&lt;=40,W1379&gt;=75,W1379&lt;120),0.17,0)+IF(AND(V1379&lt;=40,W1379&gt;=120),0.15,0)+IF(AND(V1379&gt;40,V1379&lt;75,W1379&lt;25),0.35,0)+IF(AND(V1379&gt;=40,V1379&lt;75,W1379&gt;=25,W1379&lt;65),0.25,0)+IF(AND(V1379&gt;=40,V1379&lt;75,W1379&gt;=65,W1379&lt;100),0.17,0)+IF(AND(V1379&gt;=40,V1379&lt;75,W1379&gt;=100),0.1,0)+IF(AND(V1379&gt;=75,W1379&lt;25),0.35,0)+IF(AND(V1379&gt;=75,W1379&gt;=25,W1379&lt;60),0.25,0)+IF(AND(V1379&gt;=75,W1379&gt;=60,W1379&lt;95),0.17,0)+IF(AND(V1379&gt;=75,W1379&gt;=95),0.1,0),
IF(AF1379="DoEVba",IF(AND(V1379&lt;20,W1379&lt;105),0.2,0)+IF(AND(V1379&lt;20,W1379&gt;=105),0.15,0)+IF(AND(V1379&gt;=20,V1379&lt;40,W1379&lt;95),0.2,0)+IF(AND(V1379&gt;=20,V1379&lt;40,W1379&gt;=95,W1379&lt;150),0.15,0)+IF(AND(V1379&gt;=20,V1379&lt;40,W1379&gt;=150),0.12,0)+IF(AND(V1379&gt;=40,V1379&lt;75,W1379&lt;75),0.2,0)+IF(AND(V1379&gt;=40,V1379&lt;75,W1379&gt;=75,W1379&lt;120),0.15,0)+IF(AND(V1379&gt;=40,V1379&lt;75,W1379&gt;=120),0.12,0)+IF(AND(V1379&gt;=75,V1379&lt;175,W1379&lt;65),0.2,0)+IF(AND(V1379&gt;=75,V1379&lt;175,W1379&gt;=65,W1379&lt;110),0.15,0)+IF(AND(V1379&gt;=75,V1379&lt;175,W1379&gt;=110),0.12,0)+IF(AND(V1379&gt;=175,W1379&lt;55),0.2,0)+IF(AND(V1379&gt;=175,W1379&gt;=55,W1379&lt;95),0.15,0)+IF(AND(V1379&gt;=175,W1379&gt;=95),0.12,0),
IF(AF1379="DoEVku",IF(AND(V1379&lt;20,W1379&lt;55),0.23,0)+IF(AND(V1379&lt;20,W1379&gt;=55,W1379&lt;105),0.2,0)+IF(AND(V1379&lt;20,W1379&gt;=105),0.17,0)+IF(AND(V1379&gt;=20,V1379&lt;40,W1379&lt;45),0.23,0)+IF(AND(V1379&gt;=20,V1379&lt;40,W1379&gt;=45,W1379&lt;95),0.2,0)+IF(AND(V1379&gt;=20,V1379&lt;40,W1379&gt;=95,W1379&lt;=150),0.17,0)+IF(AND(V1379&gt;=20,V1379&lt;40,W1379&gt;=150),0.12,0)+IF(AND(V1379&gt;=40,V1379&lt;75,W1379&lt;35),0.23,0)+IF(AND(V1379&gt;=40,V1379&lt;75,W1379&gt;=35,W1379&lt;75),0.2,0)+IF(AND(V1379&gt;=40,V1379&lt;75,W1379&gt;=75,W1379&lt;120),0.17,0)+IF(AND(V1379&gt;=40,V1379&lt;75,W1379&gt;=120),0.12,0)+IF(AND(V1379&gt;=75,V1379&lt;175,W1379&lt;35),0.23,0)+IF(AND(V1379&gt;=75,V1379&lt;=175,W1379&gt;=35,W1379&lt;65),0.2,0)+IF(AND(V1379&gt;=75,V1379&lt;=175,W1379&gt;=65,W1379&lt;110),0.17,0)+IF(AND(V1379&gt;=75,V1379&lt;=175,W1379&gt;=110),0.12,0)+IF(AND(V1379&gt;175,W1379&lt;25),0.23,0)+IF(AND(V1379&gt;175,W1379&gt;=25,W1379&lt;55),0.2,0)+IF(AND(V1379&gt;175,W1379&gt;=55,W1379&lt;95),0.17,0)+IF(AND(V1379&gt;175,W1379&gt;=95),0.12,0),
IF(AF1379="DoEVs1",IF(AND(V1379&lt;20,W1379&lt;55),0.3,0)+IF(AND(V1379&lt;20,W1379&gt;=55,W1379&lt;105),0.23,0)+IF(AND(V1379&lt;20,W1379&gt;=105),0.17,0)+IF(AND(V1379&gt;=20,V1379&lt;40,W1379&lt;45),0.3,0)+IF(AND(V1379&gt;=20,V1379&lt;40,W1379&gt;=45,W1379&lt;95),0.23,0)+IF(AND(V1379&gt;=20,V1379&lt;40,W1379&gt;=95,W1379&lt;=150),0.17,0)+IF(AND(V1379&gt;=20,V1379&lt;40,W1379&gt;=150),0.12,0)+IF(AND(V1379&gt;=40,V1379&lt;75,W1379&lt;35),0.3,0)+IF(AND(V1379&gt;=40,V1379&lt;75,W1379&gt;=35,W1379&lt;75),0.23,0)+IF(AND(V1379&gt;=40,V1379&lt;75,W1379&gt;=75,W1379&lt;120),0.17,0)+IF(AND(V1379&gt;=40,V1379&lt;75,W1379&gt;=120),0.12,0)+IF(AND(V1379&gt;=75,V1379&lt;175,W1379&lt;35),0.3,0)+IF(AND(V1379&gt;=75,V1379&lt;=175,W1379&gt;=35,W1379&lt;65),0.23,0)+IF(AND(V1379&gt;=75,V1379&lt;=175,W1379&gt;=65,W1379&lt;110),0.17,0)+IF(AND(V1379&gt;=75,V1379&lt;=175,W1379&gt;=110),0.12,0)+IF(AND(V1379&gt;175,W1379&lt;25),0.3,0)+IF(AND(V1379&gt;175,W1379&gt;=25,W1379&lt;55),0.23,0)+IF(AND(V1379&gt;175,W1379&gt;=55,W1379&lt;95),0.17,0)+IF(AND(V1379&gt;175,W1379&gt;=95),0.12,0),
IF(AF1379="DoEVsu",IF(AND(V1379&lt;20,W1379&lt;55),0.3,0)+IF(AND(V1379&lt;20,W1379&gt;=55,W1379&lt;105),0.23,0)+IF(AND(V1379&lt;20,W1379&gt;=105),0.17,0)+IF(AND(V1379&gt;=20,V1379&lt;40,W1379&lt;45),0.3,0)+IF(AND(V1379&gt;=20,V1379&lt;40,W1379&gt;=45,W1379&lt;95),0.23,0)+IF(AND(V1379&gt;=20,V1379&lt;40,W1379&gt;=95,W1379&lt;=250),0.17,0)+IF(AND(V1379&gt;=20,V1379&lt;40,W1379&gt;=250),0.12,0)+IF(AND(V1379&gt;=40,V1379&lt;75,W1379&lt;35),0.3,0)+IF(AND(V1379&gt;=40,V1379&lt;75,W1379&gt;=35,W1379&lt;75),0.23,0)+IF(AND(V1379&gt;=40,V1379&lt;75,W1379&gt;=75,W1379&lt;120),0.17,0)+IF(AND(V1379&gt;=40,V1379&lt;75,W1379&gt;=120),0.12,0)+IF(AND(V1379&gt;=75,V1379&lt;175,W1379&lt;35),0.3,0)+IF(AND(V1379&gt;=75,V1379&lt;=175,W1379&gt;=35,W1379&lt;65),0.23,0)+IF(AND(V1379&gt;=75,V1379&lt;=175,W1379&gt;=65,W1379&lt;110),0.17,0)+IF(AND(V1379&gt;=75,V1379&lt;=175,W1379&gt;=110),0.12,0)+IF(AND(V1379&gt;175,W1379&lt;25),0.3,0)+IF(AND(V1379&gt;175,W1379&gt;=25,W1379&lt;55),0.23,0)+IF(AND(V1379&gt;175,W1379&gt;=55,W1379&lt;95),0.17,0)+IF(AND(V1379&gt;175,W1379&gt;=95),0.12,0),
IF(AF1379="DoEVni",IF(AND(V1379&lt;20,W1379&lt;55),0.3,0)+IF(AND(V1379&lt;20,W1379&gt;=55,W1379&lt;105),0.23,0)+IF(AND(V1379&lt;20,W1379&gt;=105),0.17,0)+IF(AND(V1379&gt;=20,V1379&lt;40,W1379&lt;45),0.3,0)+IF(AND(V1379&gt;=20,V1379&lt;40,W1379&gt;=45,W1379&lt;95),0.23,0)+IF(AND(V1379&gt;=20,V1379&lt;40,W1379&gt;=95,W1379&lt;=200),0.17,0)+IF(AND(V1379&gt;=20,V1379&lt;40,W1379&gt;=200),0.12,0)+IF(AND(V1379&gt;=40,V1379&lt;75,W1379&lt;35),0.3,0)+IF(AND(V1379&gt;=40,V1379&lt;75,W1379&gt;=35,W1379&lt;75),0.23,0)+IF(AND(V1379&gt;=40,V1379&lt;75,W1379&gt;=75,W1379&lt;120),0.17,0)+IF(AND(V1379&gt;=40,V1379&lt;75,W1379&gt;=120),0.12,0)+IF(AND(V1379&gt;=75,V1379&lt;175,W1379&lt;35),0.3,0)+IF(AND(V1379&gt;=75,V1379&lt;=175,W1379&gt;=35,W1379&lt;65),0.23,0)+IF(AND(V1379&gt;=75,V1379&lt;=175,W1379&gt;=65,W1379&lt;110),0.17,0)+IF(AND(V1379&gt;=75,V1379&lt;=175,W1379&gt;=110),0.12,0)+IF(AND(V1379&gt;175,W1379&lt;25),0.3,0)+IF(AND(V1379&gt;175,W1379&gt;=25,W1379&lt;55),0.23,0)+IF(AND(V1379&gt;175,W1379&gt;=55,W1379&lt;95),0.17,0)+IF(AND(V1379&gt;175,W1379&gt;=95),0.12,0),
IF(AF1379="DoEVLo",IF(AND(V1379&lt;20,W1379&lt;55),0.25,0)+IF(AND(V1379&lt;20,W1379&gt;=55,W1379&lt;105),0.2,0)+IF(AND(V1379&lt;20,W1379&gt;=105),0.15,0)+IF(AND(V1379&gt;=20,V1379&lt;40,W1379&lt;45),0.25,0)+IF(AND(V1379&gt;=20,V1379&lt;40,W1379&gt;=45,W1379&lt;95),0.2,0)+IF(AND(V1379&gt;=20,V1379&lt;40,W1379&gt;=95),0.15,0)+IF(AND(V1379&gt;=40,V1379&lt;75,W1379&lt;35),0.25,0)+IF(AND(V1379&gt;=40,V1379&lt;75,W1379&gt;=35,W1379&lt;75),0.2,0)+IF(AND(V1379&gt;=40,V1379&lt;75,W1379&gt;=75,W1379&lt;120),0.15,0)+IF(AND(V1379&gt;=40,V1379&lt;75,W1379&gt;=120),0.1,0)+IF(AND(V1379&gt;=75,V1379&lt;175,W1379&lt;35),0.25,0)+IF(AND(V1379&gt;=75,V1379&lt;=175,W1379&gt;=35,W1379&lt;65),0.2,0)+IF(AND(V1379&gt;=75,V1379&lt;=175,W1379&gt;=65,W1379&lt;110),0.15,0)+IF(AND(V1379&gt;=75,V1379&lt;=175,W1379&gt;=110),0.1,0)+IF(AND(V1379&gt;175,W1379&lt;25),0.25,0)+IF(AND(V1379&gt;175,W1379&gt;=25,W1379&lt;55),0.2,0)+IF(AND(V1379&gt;175,W1379&gt;=55,W1379&lt;95),0.15,0)+IF(AND(V1379&gt;175,W1379&gt;=95),0.1,0))))))))))))))))))</f>
        <v>0</v>
      </c>
      <c r="Y1379" s="78">
        <v>0.22</v>
      </c>
      <c r="Z1379" s="35">
        <f>T1379-AA1379-AB1379</f>
        <v>-333.06</v>
      </c>
      <c r="AA1379" s="29">
        <f>IF(AD1379="EUR",((T1379-R1379)*X1379)*U1379+(R1379*X1379),(T1379*X1379))</f>
        <v>0</v>
      </c>
      <c r="AB1379" s="36">
        <f>IF(AD1379="EUR",((T1379-R1379)*Y1379)*U1379+(R1379*Y1379),(T1379*Y1379))</f>
        <v>-93.94</v>
      </c>
      <c r="AC1379" s="61" t="b">
        <v>1</v>
      </c>
      <c r="AD1379" s="37" t="s">
        <v>38</v>
      </c>
      <c r="AE1379" s="37" t="s">
        <v>38</v>
      </c>
      <c r="AF1379" s="37" t="str">
        <f t="array" ref="AF1379">INDEX('Deal Info'!D:D, MATCH(A1379,'Deal Info'!A:A, 0))</f>
        <v>None</v>
      </c>
      <c r="AG1379" s="38" t="str">
        <f t="array" ref="AG1379">INDEX('Deal Info'!G:G, MATCH(A1379,'Deal Info'!A:A, 0))</f>
        <v>guilexperi</v>
      </c>
    </row>
    <row r="1380" spans="1:33" ht="14.25" hidden="1" x14ac:dyDescent="0.2">
      <c r="A1380" s="18" t="str">
        <f t="array" ref="A1380">IF(G1380='Room Info'!$B$1, INDEX('Room Info'!$A$2:$A2446, MATCH(B1380,'Room Info'!$B$2:$B2446, 0)),IF(G1380='Room Info'!$C$1, INDEX('Room Info'!$A$2:$A2446, MATCH(B1380,'Room Info'!$C$2:$C2446, 0)),IF(G1380='Room Info'!$D$1, INDEX('Room Info'!$A$2:$A2446, MATCH(B1380,'Room Info'!$D$2:$D2446, 0)),IF(G1380='Room Info'!$E$1, INDEX('Room Info'!$A$2:$A2446, MATCH(B1380,'Room Info'!$E$2:$E2446, 0)),IF(G1380='Room Info'!$F$1, INDEX('Room Info'!$A$2:$A2446, MATCH(B1380,'Room Info'!$F$2:$F2446, 0)),IF(G1380='Room Info'!$H$1, INDEX('Room Info'!$A$2:$A2446, MATCH(B1380,'Room Info'!$H$2:$H2446, 0)),IF(G1380='Room Info'!$G$1, INDEX('Room Info'!$A$2:$A2446, MATCH(B1380,'Room Info'!$G$2:$G2446, 0)))))))))</f>
        <v>guilexperi</v>
      </c>
      <c r="B1380" s="45" t="s">
        <v>208</v>
      </c>
      <c r="C1380" s="46">
        <v>44896</v>
      </c>
      <c r="D1380" s="46">
        <v>44915</v>
      </c>
      <c r="E1380" s="47">
        <v>44896</v>
      </c>
      <c r="F1380" s="48" t="s">
        <v>49</v>
      </c>
      <c r="G1380" s="45" t="s">
        <v>35</v>
      </c>
      <c r="H1380" s="49" t="s">
        <v>84</v>
      </c>
      <c r="I1380" s="49" t="s">
        <v>44</v>
      </c>
      <c r="J1380" s="50">
        <v>100</v>
      </c>
      <c r="K1380" s="51">
        <v>3</v>
      </c>
      <c r="L1380" s="52">
        <v>-300</v>
      </c>
      <c r="M1380" s="53">
        <v>5</v>
      </c>
      <c r="N1380" s="28">
        <f>K1380*J1380</f>
        <v>300</v>
      </c>
      <c r="O1380" s="54">
        <v>-358</v>
      </c>
      <c r="P1380" s="29">
        <v>-119.33333330000001</v>
      </c>
      <c r="Q1380" s="55"/>
      <c r="R1380" s="31">
        <f>M1380+Q1380</f>
        <v>5</v>
      </c>
      <c r="S1380" s="56">
        <v>-128</v>
      </c>
      <c r="T1380" s="32">
        <f>R1380+S1380+IF(F1380="Without EV deal",L1380,0)</f>
        <v>-123</v>
      </c>
      <c r="U1380" s="57"/>
      <c r="V1380" s="58"/>
      <c r="W1380" s="58"/>
      <c r="X1380" s="30" t="b">
        <f>IF(AF1380="DoEV",IF(AND(V1380&lt;20,W1380&lt;55),0.3,0)+IF(AND(V1380&lt;20,W1380&gt;=55,W1380&lt;105),0.23,0)+IF(AND(V1380&lt;20,W1380&gt;=105),0.17,0)+IF(AND(V1380&gt;=20,V1380&lt;40,W1380&lt;45),0.3,0)+IF(AND(V1380&gt;=20,V1380&lt;40,W1380&gt;=45,W1380&lt;95),0.23,0)+IF(AND(V1380&gt;=20,V1380&lt;40,W1380&gt;=95),0.17,0)+IF(AND(V1380&gt;=40,V1380&lt;75,W1380&lt;35),0.3,0)+IF(AND(V1380&gt;=40,V1380&lt;75,W1380&gt;=35,W1380&lt;75),0.23,0)+IF(AND(V1380&gt;=40,V1380&lt;75,W1380&gt;=75,W1380&lt;120),0.17,0)+IF(AND(V1380&gt;=40,V1380&lt;75,W1380&gt;=120),0.12,0)+IF(AND(V1380&gt;=75,V1380&lt;175,W1380&lt;35),0.3,0)+IF(AND(V1380&gt;=75,V1380&lt;=175,W1380&gt;=35,W1380&lt;65),0.23,0)+IF(AND(V1380&gt;=75,V1380&lt;=175,W1380&gt;=65,W1380&lt;110),0.17,0)+IF(AND(V1380&gt;=75,V1380&lt;=175,W1380&gt;=110),0.12,0)+IF(AND(V1380&gt;175,W1380&lt;25),0.3,0)+IF(AND(V1380&gt;175,W1380&gt;=25,W1380&lt;55),0.23,0)+IF(AND(V1380&gt;175,W1380&gt;=55,W1380&lt;95),0.17,0)+IF(AND(V1380&gt;175,W1380&gt;=95),0.12,0),
IF(AF1380="Fix15",0.15,
IF(AF1380="Fix18.75",0.1875,
IF(AF1380="Fix11.25",0.1125,
IF(AF1380="Fix10",0.1,
IF(AF1380="Fix9",0.09,
IF(AF1380="Fix19",0.19,
IF(AF1380="DoEV2017",IF(AND(W1380&lt;74),0.2,0)+IF(AND(W1380&gt;=74),0.17,0),
IF(AF1380="SF",IF(AND(V1380&lt;20,W1380&lt;89),0.3,0)+IF(AND(V1380&lt;20,W1380&gt;=89),0.25,0)+IF(AND(V1380&gt;=20,V1380&lt;40,W1380&lt;74),0.3,0)+IF(AND(V1380&gt;=20,V1380&lt;40,W1380&gt;=75),0.22,0)+IF(AND(V1380&gt;=40,V1380&lt;75,W1380&lt;75),0.26,0)+IF(AND(V1380&gt;=40,V1380&lt;75,W1380&gt;=75),0.22,0)+IF(V1380&gt;=75,0.22,0),
IF(AF1380="DoEVold",IF(AND(V1380&lt;40,W1380&lt;35),0.35,0)+IF(AND(V1380&lt;40,W1380&gt;=35,W1380&lt;75),0.25,0)+IF(AND(V1380&lt;40,W1380&gt;=75),0.17,0)+IF(AND(V1380&gt;=40,V1380&lt;75,W1380&lt;25),0.35,0)+IF(AND(V1380&gt;=40,V1380&lt;75,W1380&gt;=25,W1380&lt;65),0.25,0)+IF(AND(V1380&gt;=40,V1380&lt;75,W1380&gt;=65,W1380&lt;100),0.17,0)+IF(AND(V1380&gt;=40,V1380&lt;75,W1380&gt;=100),0.1,0)+IF(AND(V1380&gt;=75,W1380&lt;25),0.35,0)+IF(AND(V1380&gt;=75,W1380&gt;=25,W1380&lt;60),0.25,0)+IF(AND(V1380&gt;=75,W1380&gt;=60,W1380&lt;95),0.17,0)+IF(AND(V1380&gt;=75,W1380&gt;=95),0.1,0),
IF(AF1380="DoEVold15",IF(AND(V1380&lt;=40,W1380&lt;35),0.35,0)+IF(AND(V1380&lt;=40,W1380&gt;=35,W1380&lt;75),0.25,0)+IF(AND(V1380&lt;=40,W1380&gt;=75,W1380&lt;120),0.17,0)+IF(AND(V1380&lt;=40,W1380&gt;=120),0.15,0)+IF(AND(V1380&gt;40,V1380&lt;75,W1380&lt;25),0.35,0)+IF(AND(V1380&gt;=40,V1380&lt;75,W1380&gt;=25,W1380&lt;65),0.25,0)+IF(AND(V1380&gt;=40,V1380&lt;75,W1380&gt;=65,W1380&lt;100),0.17,0)+IF(AND(V1380&gt;=40,V1380&lt;75,W1380&gt;=100),0.1,0)+IF(AND(V1380&gt;=75,W1380&lt;25),0.35,0)+IF(AND(V1380&gt;=75,W1380&gt;=25,W1380&lt;60),0.25,0)+IF(AND(V1380&gt;=75,W1380&gt;=60,W1380&lt;95),0.17,0)+IF(AND(V1380&gt;=75,W1380&gt;=95),0.1,0),
IF(AF1380="DoEVba",IF(AND(V1380&lt;20,W1380&lt;105),0.2,0)+IF(AND(V1380&lt;20,W1380&gt;=105),0.15,0)+IF(AND(V1380&gt;=20,V1380&lt;40,W1380&lt;95),0.2,0)+IF(AND(V1380&gt;=20,V1380&lt;40,W1380&gt;=95,W1380&lt;150),0.15,0)+IF(AND(V1380&gt;=20,V1380&lt;40,W1380&gt;=150),0.12,0)+IF(AND(V1380&gt;=40,V1380&lt;75,W1380&lt;75),0.2,0)+IF(AND(V1380&gt;=40,V1380&lt;75,W1380&gt;=75,W1380&lt;120),0.15,0)+IF(AND(V1380&gt;=40,V1380&lt;75,W1380&gt;=120),0.12,0)+IF(AND(V1380&gt;=75,V1380&lt;175,W1380&lt;65),0.2,0)+IF(AND(V1380&gt;=75,V1380&lt;175,W1380&gt;=65,W1380&lt;110),0.15,0)+IF(AND(V1380&gt;=75,V1380&lt;175,W1380&gt;=110),0.12,0)+IF(AND(V1380&gt;=175,W1380&lt;55),0.2,0)+IF(AND(V1380&gt;=175,W1380&gt;=55,W1380&lt;95),0.15,0)+IF(AND(V1380&gt;=175,W1380&gt;=95),0.12,0),
IF(AF1380="DoEVku",IF(AND(V1380&lt;20,W1380&lt;55),0.23,0)+IF(AND(V1380&lt;20,W1380&gt;=55,W1380&lt;105),0.2,0)+IF(AND(V1380&lt;20,W1380&gt;=105),0.17,0)+IF(AND(V1380&gt;=20,V1380&lt;40,W1380&lt;45),0.23,0)+IF(AND(V1380&gt;=20,V1380&lt;40,W1380&gt;=45,W1380&lt;95),0.2,0)+IF(AND(V1380&gt;=20,V1380&lt;40,W1380&gt;=95,W1380&lt;=150),0.17,0)+IF(AND(V1380&gt;=20,V1380&lt;40,W1380&gt;=150),0.12,0)+IF(AND(V1380&gt;=40,V1380&lt;75,W1380&lt;35),0.23,0)+IF(AND(V1380&gt;=40,V1380&lt;75,W1380&gt;=35,W1380&lt;75),0.2,0)+IF(AND(V1380&gt;=40,V1380&lt;75,W1380&gt;=75,W1380&lt;120),0.17,0)+IF(AND(V1380&gt;=40,V1380&lt;75,W1380&gt;=120),0.12,0)+IF(AND(V1380&gt;=75,V1380&lt;175,W1380&lt;35),0.23,0)+IF(AND(V1380&gt;=75,V1380&lt;=175,W1380&gt;=35,W1380&lt;65),0.2,0)+IF(AND(V1380&gt;=75,V1380&lt;=175,W1380&gt;=65,W1380&lt;110),0.17,0)+IF(AND(V1380&gt;=75,V1380&lt;=175,W1380&gt;=110),0.12,0)+IF(AND(V1380&gt;175,W1380&lt;25),0.23,0)+IF(AND(V1380&gt;175,W1380&gt;=25,W1380&lt;55),0.2,0)+IF(AND(V1380&gt;175,W1380&gt;=55,W1380&lt;95),0.17,0)+IF(AND(V1380&gt;175,W1380&gt;=95),0.12,0),
IF(AF1380="DoEVs1",IF(AND(V1380&lt;20,W1380&lt;55),0.3,0)+IF(AND(V1380&lt;20,W1380&gt;=55,W1380&lt;105),0.23,0)+IF(AND(V1380&lt;20,W1380&gt;=105),0.17,0)+IF(AND(V1380&gt;=20,V1380&lt;40,W1380&lt;45),0.3,0)+IF(AND(V1380&gt;=20,V1380&lt;40,W1380&gt;=45,W1380&lt;95),0.23,0)+IF(AND(V1380&gt;=20,V1380&lt;40,W1380&gt;=95,W1380&lt;=150),0.17,0)+IF(AND(V1380&gt;=20,V1380&lt;40,W1380&gt;=150),0.12,0)+IF(AND(V1380&gt;=40,V1380&lt;75,W1380&lt;35),0.3,0)+IF(AND(V1380&gt;=40,V1380&lt;75,W1380&gt;=35,W1380&lt;75),0.23,0)+IF(AND(V1380&gt;=40,V1380&lt;75,W1380&gt;=75,W1380&lt;120),0.17,0)+IF(AND(V1380&gt;=40,V1380&lt;75,W1380&gt;=120),0.12,0)+IF(AND(V1380&gt;=75,V1380&lt;175,W1380&lt;35),0.3,0)+IF(AND(V1380&gt;=75,V1380&lt;=175,W1380&gt;=35,W1380&lt;65),0.23,0)+IF(AND(V1380&gt;=75,V1380&lt;=175,W1380&gt;=65,W1380&lt;110),0.17,0)+IF(AND(V1380&gt;=75,V1380&lt;=175,W1380&gt;=110),0.12,0)+IF(AND(V1380&gt;175,W1380&lt;25),0.3,0)+IF(AND(V1380&gt;175,W1380&gt;=25,W1380&lt;55),0.23,0)+IF(AND(V1380&gt;175,W1380&gt;=55,W1380&lt;95),0.17,0)+IF(AND(V1380&gt;175,W1380&gt;=95),0.12,0),
IF(AF1380="DoEVsu",IF(AND(V1380&lt;20,W1380&lt;55),0.3,0)+IF(AND(V1380&lt;20,W1380&gt;=55,W1380&lt;105),0.23,0)+IF(AND(V1380&lt;20,W1380&gt;=105),0.17,0)+IF(AND(V1380&gt;=20,V1380&lt;40,W1380&lt;45),0.3,0)+IF(AND(V1380&gt;=20,V1380&lt;40,W1380&gt;=45,W1380&lt;95),0.23,0)+IF(AND(V1380&gt;=20,V1380&lt;40,W1380&gt;=95,W1380&lt;=250),0.17,0)+IF(AND(V1380&gt;=20,V1380&lt;40,W1380&gt;=250),0.12,0)+IF(AND(V1380&gt;=40,V1380&lt;75,W1380&lt;35),0.3,0)+IF(AND(V1380&gt;=40,V1380&lt;75,W1380&gt;=35,W1380&lt;75),0.23,0)+IF(AND(V1380&gt;=40,V1380&lt;75,W1380&gt;=75,W1380&lt;120),0.17,0)+IF(AND(V1380&gt;=40,V1380&lt;75,W1380&gt;=120),0.12,0)+IF(AND(V1380&gt;=75,V1380&lt;175,W1380&lt;35),0.3,0)+IF(AND(V1380&gt;=75,V1380&lt;=175,W1380&gt;=35,W1380&lt;65),0.23,0)+IF(AND(V1380&gt;=75,V1380&lt;=175,W1380&gt;=65,W1380&lt;110),0.17,0)+IF(AND(V1380&gt;=75,V1380&lt;=175,W1380&gt;=110),0.12,0)+IF(AND(V1380&gt;175,W1380&lt;25),0.3,0)+IF(AND(V1380&gt;175,W1380&gt;=25,W1380&lt;55),0.23,0)+IF(AND(V1380&gt;175,W1380&gt;=55,W1380&lt;95),0.17,0)+IF(AND(V1380&gt;175,W1380&gt;=95),0.12,0),
IF(AF1380="DoEVni",IF(AND(V1380&lt;20,W1380&lt;55),0.3,0)+IF(AND(V1380&lt;20,W1380&gt;=55,W1380&lt;105),0.23,0)+IF(AND(V1380&lt;20,W1380&gt;=105),0.17,0)+IF(AND(V1380&gt;=20,V1380&lt;40,W1380&lt;45),0.3,0)+IF(AND(V1380&gt;=20,V1380&lt;40,W1380&gt;=45,W1380&lt;95),0.23,0)+IF(AND(V1380&gt;=20,V1380&lt;40,W1380&gt;=95,W1380&lt;=200),0.17,0)+IF(AND(V1380&gt;=20,V1380&lt;40,W1380&gt;=200),0.12,0)+IF(AND(V1380&gt;=40,V1380&lt;75,W1380&lt;35),0.3,0)+IF(AND(V1380&gt;=40,V1380&lt;75,W1380&gt;=35,W1380&lt;75),0.23,0)+IF(AND(V1380&gt;=40,V1380&lt;75,W1380&gt;=75,W1380&lt;120),0.17,0)+IF(AND(V1380&gt;=40,V1380&lt;75,W1380&gt;=120),0.12,0)+IF(AND(V1380&gt;=75,V1380&lt;175,W1380&lt;35),0.3,0)+IF(AND(V1380&gt;=75,V1380&lt;=175,W1380&gt;=35,W1380&lt;65),0.23,0)+IF(AND(V1380&gt;=75,V1380&lt;=175,W1380&gt;=65,W1380&lt;110),0.17,0)+IF(AND(V1380&gt;=75,V1380&lt;=175,W1380&gt;=110),0.12,0)+IF(AND(V1380&gt;175,W1380&lt;25),0.3,0)+IF(AND(V1380&gt;175,W1380&gt;=25,W1380&lt;55),0.23,0)+IF(AND(V1380&gt;175,W1380&gt;=55,W1380&lt;95),0.17,0)+IF(AND(V1380&gt;175,W1380&gt;=95),0.12,0),
IF(AF1380="DoEVLo",IF(AND(V1380&lt;20,W1380&lt;55),0.25,0)+IF(AND(V1380&lt;20,W1380&gt;=55,W1380&lt;105),0.2,0)+IF(AND(V1380&lt;20,W1380&gt;=105),0.15,0)+IF(AND(V1380&gt;=20,V1380&lt;40,W1380&lt;45),0.25,0)+IF(AND(V1380&gt;=20,V1380&lt;40,W1380&gt;=45,W1380&lt;95),0.2,0)+IF(AND(V1380&gt;=20,V1380&lt;40,W1380&gt;=95),0.15,0)+IF(AND(V1380&gt;=40,V1380&lt;75,W1380&lt;35),0.25,0)+IF(AND(V1380&gt;=40,V1380&lt;75,W1380&gt;=35,W1380&lt;75),0.2,0)+IF(AND(V1380&gt;=40,V1380&lt;75,W1380&gt;=75,W1380&lt;120),0.15,0)+IF(AND(V1380&gt;=40,V1380&lt;75,W1380&gt;=120),0.1,0)+IF(AND(V1380&gt;=75,V1380&lt;175,W1380&lt;35),0.25,0)+IF(AND(V1380&gt;=75,V1380&lt;=175,W1380&gt;=35,W1380&lt;65),0.2,0)+IF(AND(V1380&gt;=75,V1380&lt;=175,W1380&gt;=65,W1380&lt;110),0.15,0)+IF(AND(V1380&gt;=75,V1380&lt;=175,W1380&gt;=110),0.1,0)+IF(AND(V1380&gt;175,W1380&lt;25),0.25,0)+IF(AND(V1380&gt;175,W1380&gt;=25,W1380&lt;55),0.2,0)+IF(AND(V1380&gt;175,W1380&gt;=55,W1380&lt;95),0.15,0)+IF(AND(V1380&gt;175,W1380&gt;=95),0.1,0))))))))))))))))))</f>
        <v>0</v>
      </c>
      <c r="Y1380" s="78">
        <v>0.22</v>
      </c>
      <c r="Z1380" s="35">
        <f>T1380-AA1380-AB1380</f>
        <v>-95.94</v>
      </c>
      <c r="AA1380" s="29">
        <f>IF(AD1380="EUR",((T1380-R1380)*X1380)*U1380+(R1380*X1380),(T1380*X1380))</f>
        <v>0</v>
      </c>
      <c r="AB1380" s="36">
        <f>IF(AD1380="EUR",((T1380-R1380)*Y1380)*U1380+(R1380*Y1380),(T1380*Y1380))</f>
        <v>-27.06</v>
      </c>
      <c r="AC1380" s="61" t="b">
        <v>1</v>
      </c>
      <c r="AD1380" s="37" t="s">
        <v>38</v>
      </c>
      <c r="AE1380" s="37" t="s">
        <v>38</v>
      </c>
      <c r="AF1380" s="37" t="str">
        <f t="array" ref="AF1380">INDEX('Deal Info'!D:D, MATCH(A1380,'Deal Info'!A:A, 0))</f>
        <v>None</v>
      </c>
      <c r="AG1380" s="38" t="str">
        <f t="array" ref="AG1380">INDEX('Deal Info'!G:G, MATCH(A1380,'Deal Info'!A:A, 0))</f>
        <v>guilexperi</v>
      </c>
    </row>
    <row r="1381" spans="1:33" ht="14.25" hidden="1" x14ac:dyDescent="0.2">
      <c r="A1381" s="18" t="str">
        <f t="array" ref="A1381">IF(G1381='Room Info'!$B$1, INDEX('Room Info'!$A$2:$A2446, MATCH(B1381,'Room Info'!$B$2:$B2446, 0)),IF(G1381='Room Info'!$C$1, INDEX('Room Info'!$A$2:$A2446, MATCH(B1381,'Room Info'!$C$2:$C2446, 0)),IF(G1381='Room Info'!$D$1, INDEX('Room Info'!$A$2:$A2446, MATCH(B1381,'Room Info'!$D$2:$D2446, 0)),IF(G1381='Room Info'!$E$1, INDEX('Room Info'!$A$2:$A2446, MATCH(B1381,'Room Info'!$E$2:$E2446, 0)),IF(G1381='Room Info'!$F$1, INDEX('Room Info'!$A$2:$A2446, MATCH(B1381,'Room Info'!$F$2:$F2446, 0)),IF(G1381='Room Info'!$H$1, INDEX('Room Info'!$A$2:$A2446, MATCH(B1381,'Room Info'!$H$2:$H2446, 0)),IF(G1381='Room Info'!$G$1, INDEX('Room Info'!$A$2:$A2446, MATCH(B1381,'Room Info'!$G$2:$G2446, 0)))))))))</f>
        <v>guilexperi</v>
      </c>
      <c r="B1381" s="45" t="s">
        <v>208</v>
      </c>
      <c r="C1381" s="46">
        <v>44896</v>
      </c>
      <c r="D1381" s="46">
        <v>44915</v>
      </c>
      <c r="E1381" s="47">
        <v>44896</v>
      </c>
      <c r="F1381" s="48" t="s">
        <v>49</v>
      </c>
      <c r="G1381" s="45" t="s">
        <v>35</v>
      </c>
      <c r="H1381" s="49" t="s">
        <v>213</v>
      </c>
      <c r="I1381" s="49" t="s">
        <v>174</v>
      </c>
      <c r="J1381" s="50">
        <v>100</v>
      </c>
      <c r="K1381" s="51">
        <v>3</v>
      </c>
      <c r="L1381" s="52">
        <v>-104</v>
      </c>
      <c r="M1381" s="53">
        <v>2</v>
      </c>
      <c r="N1381" s="28">
        <f>K1381*J1381</f>
        <v>300</v>
      </c>
      <c r="O1381" s="54">
        <v>348</v>
      </c>
      <c r="P1381" s="29">
        <v>116</v>
      </c>
      <c r="Q1381" s="55"/>
      <c r="R1381" s="31">
        <f>M1381+Q1381</f>
        <v>2</v>
      </c>
      <c r="S1381" s="56">
        <v>62</v>
      </c>
      <c r="T1381" s="32">
        <f>R1381+S1381+IF(F1381="Without EV deal",L1381,0)</f>
        <v>64</v>
      </c>
      <c r="U1381" s="57"/>
      <c r="V1381" s="58"/>
      <c r="W1381" s="58"/>
      <c r="X1381" s="30" t="b">
        <f>IF(AF1381="DoEV",IF(AND(V1381&lt;20,W1381&lt;55),0.3,0)+IF(AND(V1381&lt;20,W1381&gt;=55,W1381&lt;105),0.23,0)+IF(AND(V1381&lt;20,W1381&gt;=105),0.17,0)+IF(AND(V1381&gt;=20,V1381&lt;40,W1381&lt;45),0.3,0)+IF(AND(V1381&gt;=20,V1381&lt;40,W1381&gt;=45,W1381&lt;95),0.23,0)+IF(AND(V1381&gt;=20,V1381&lt;40,W1381&gt;=95),0.17,0)+IF(AND(V1381&gt;=40,V1381&lt;75,W1381&lt;35),0.3,0)+IF(AND(V1381&gt;=40,V1381&lt;75,W1381&gt;=35,W1381&lt;75),0.23,0)+IF(AND(V1381&gt;=40,V1381&lt;75,W1381&gt;=75,W1381&lt;120),0.17,0)+IF(AND(V1381&gt;=40,V1381&lt;75,W1381&gt;=120),0.12,0)+IF(AND(V1381&gt;=75,V1381&lt;175,W1381&lt;35),0.3,0)+IF(AND(V1381&gt;=75,V1381&lt;=175,W1381&gt;=35,W1381&lt;65),0.23,0)+IF(AND(V1381&gt;=75,V1381&lt;=175,W1381&gt;=65,W1381&lt;110),0.17,0)+IF(AND(V1381&gt;=75,V1381&lt;=175,W1381&gt;=110),0.12,0)+IF(AND(V1381&gt;175,W1381&lt;25),0.3,0)+IF(AND(V1381&gt;175,W1381&gt;=25,W1381&lt;55),0.23,0)+IF(AND(V1381&gt;175,W1381&gt;=55,W1381&lt;95),0.17,0)+IF(AND(V1381&gt;175,W1381&gt;=95),0.12,0),
IF(AF1381="Fix15",0.15,
IF(AF1381="Fix18.75",0.1875,
IF(AF1381="Fix11.25",0.1125,
IF(AF1381="Fix10",0.1,
IF(AF1381="Fix9",0.09,
IF(AF1381="Fix19",0.19,
IF(AF1381="DoEV2017",IF(AND(W1381&lt;74),0.2,0)+IF(AND(W1381&gt;=74),0.17,0),
IF(AF1381="SF",IF(AND(V1381&lt;20,W1381&lt;89),0.3,0)+IF(AND(V1381&lt;20,W1381&gt;=89),0.25,0)+IF(AND(V1381&gt;=20,V1381&lt;40,W1381&lt;74),0.3,0)+IF(AND(V1381&gt;=20,V1381&lt;40,W1381&gt;=75),0.22,0)+IF(AND(V1381&gt;=40,V1381&lt;75,W1381&lt;75),0.26,0)+IF(AND(V1381&gt;=40,V1381&lt;75,W1381&gt;=75),0.22,0)+IF(V1381&gt;=75,0.22,0),
IF(AF1381="DoEVold",IF(AND(V1381&lt;40,W1381&lt;35),0.35,0)+IF(AND(V1381&lt;40,W1381&gt;=35,W1381&lt;75),0.25,0)+IF(AND(V1381&lt;40,W1381&gt;=75),0.17,0)+IF(AND(V1381&gt;=40,V1381&lt;75,W1381&lt;25),0.35,0)+IF(AND(V1381&gt;=40,V1381&lt;75,W1381&gt;=25,W1381&lt;65),0.25,0)+IF(AND(V1381&gt;=40,V1381&lt;75,W1381&gt;=65,W1381&lt;100),0.17,0)+IF(AND(V1381&gt;=40,V1381&lt;75,W1381&gt;=100),0.1,0)+IF(AND(V1381&gt;=75,W1381&lt;25),0.35,0)+IF(AND(V1381&gt;=75,W1381&gt;=25,W1381&lt;60),0.25,0)+IF(AND(V1381&gt;=75,W1381&gt;=60,W1381&lt;95),0.17,0)+IF(AND(V1381&gt;=75,W1381&gt;=95),0.1,0),
IF(AF1381="DoEVold15",IF(AND(V1381&lt;=40,W1381&lt;35),0.35,0)+IF(AND(V1381&lt;=40,W1381&gt;=35,W1381&lt;75),0.25,0)+IF(AND(V1381&lt;=40,W1381&gt;=75,W1381&lt;120),0.17,0)+IF(AND(V1381&lt;=40,W1381&gt;=120),0.15,0)+IF(AND(V1381&gt;40,V1381&lt;75,W1381&lt;25),0.35,0)+IF(AND(V1381&gt;=40,V1381&lt;75,W1381&gt;=25,W1381&lt;65),0.25,0)+IF(AND(V1381&gt;=40,V1381&lt;75,W1381&gt;=65,W1381&lt;100),0.17,0)+IF(AND(V1381&gt;=40,V1381&lt;75,W1381&gt;=100),0.1,0)+IF(AND(V1381&gt;=75,W1381&lt;25),0.35,0)+IF(AND(V1381&gt;=75,W1381&gt;=25,W1381&lt;60),0.25,0)+IF(AND(V1381&gt;=75,W1381&gt;=60,W1381&lt;95),0.17,0)+IF(AND(V1381&gt;=75,W1381&gt;=95),0.1,0),
IF(AF1381="DoEVba",IF(AND(V1381&lt;20,W1381&lt;105),0.2,0)+IF(AND(V1381&lt;20,W1381&gt;=105),0.15,0)+IF(AND(V1381&gt;=20,V1381&lt;40,W1381&lt;95),0.2,0)+IF(AND(V1381&gt;=20,V1381&lt;40,W1381&gt;=95,W1381&lt;150),0.15,0)+IF(AND(V1381&gt;=20,V1381&lt;40,W1381&gt;=150),0.12,0)+IF(AND(V1381&gt;=40,V1381&lt;75,W1381&lt;75),0.2,0)+IF(AND(V1381&gt;=40,V1381&lt;75,W1381&gt;=75,W1381&lt;120),0.15,0)+IF(AND(V1381&gt;=40,V1381&lt;75,W1381&gt;=120),0.12,0)+IF(AND(V1381&gt;=75,V1381&lt;175,W1381&lt;65),0.2,0)+IF(AND(V1381&gt;=75,V1381&lt;175,W1381&gt;=65,W1381&lt;110),0.15,0)+IF(AND(V1381&gt;=75,V1381&lt;175,W1381&gt;=110),0.12,0)+IF(AND(V1381&gt;=175,W1381&lt;55),0.2,0)+IF(AND(V1381&gt;=175,W1381&gt;=55,W1381&lt;95),0.15,0)+IF(AND(V1381&gt;=175,W1381&gt;=95),0.12,0),
IF(AF1381="DoEVku",IF(AND(V1381&lt;20,W1381&lt;55),0.23,0)+IF(AND(V1381&lt;20,W1381&gt;=55,W1381&lt;105),0.2,0)+IF(AND(V1381&lt;20,W1381&gt;=105),0.17,0)+IF(AND(V1381&gt;=20,V1381&lt;40,W1381&lt;45),0.23,0)+IF(AND(V1381&gt;=20,V1381&lt;40,W1381&gt;=45,W1381&lt;95),0.2,0)+IF(AND(V1381&gt;=20,V1381&lt;40,W1381&gt;=95,W1381&lt;=150),0.17,0)+IF(AND(V1381&gt;=20,V1381&lt;40,W1381&gt;=150),0.12,0)+IF(AND(V1381&gt;=40,V1381&lt;75,W1381&lt;35),0.23,0)+IF(AND(V1381&gt;=40,V1381&lt;75,W1381&gt;=35,W1381&lt;75),0.2,0)+IF(AND(V1381&gt;=40,V1381&lt;75,W1381&gt;=75,W1381&lt;120),0.17,0)+IF(AND(V1381&gt;=40,V1381&lt;75,W1381&gt;=120),0.12,0)+IF(AND(V1381&gt;=75,V1381&lt;175,W1381&lt;35),0.23,0)+IF(AND(V1381&gt;=75,V1381&lt;=175,W1381&gt;=35,W1381&lt;65),0.2,0)+IF(AND(V1381&gt;=75,V1381&lt;=175,W1381&gt;=65,W1381&lt;110),0.17,0)+IF(AND(V1381&gt;=75,V1381&lt;=175,W1381&gt;=110),0.12,0)+IF(AND(V1381&gt;175,W1381&lt;25),0.23,0)+IF(AND(V1381&gt;175,W1381&gt;=25,W1381&lt;55),0.2,0)+IF(AND(V1381&gt;175,W1381&gt;=55,W1381&lt;95),0.17,0)+IF(AND(V1381&gt;175,W1381&gt;=95),0.12,0),
IF(AF1381="DoEVs1",IF(AND(V1381&lt;20,W1381&lt;55),0.3,0)+IF(AND(V1381&lt;20,W1381&gt;=55,W1381&lt;105),0.23,0)+IF(AND(V1381&lt;20,W1381&gt;=105),0.17,0)+IF(AND(V1381&gt;=20,V1381&lt;40,W1381&lt;45),0.3,0)+IF(AND(V1381&gt;=20,V1381&lt;40,W1381&gt;=45,W1381&lt;95),0.23,0)+IF(AND(V1381&gt;=20,V1381&lt;40,W1381&gt;=95,W1381&lt;=150),0.17,0)+IF(AND(V1381&gt;=20,V1381&lt;40,W1381&gt;=150),0.12,0)+IF(AND(V1381&gt;=40,V1381&lt;75,W1381&lt;35),0.3,0)+IF(AND(V1381&gt;=40,V1381&lt;75,W1381&gt;=35,W1381&lt;75),0.23,0)+IF(AND(V1381&gt;=40,V1381&lt;75,W1381&gt;=75,W1381&lt;120),0.17,0)+IF(AND(V1381&gt;=40,V1381&lt;75,W1381&gt;=120),0.12,0)+IF(AND(V1381&gt;=75,V1381&lt;175,W1381&lt;35),0.3,0)+IF(AND(V1381&gt;=75,V1381&lt;=175,W1381&gt;=35,W1381&lt;65),0.23,0)+IF(AND(V1381&gt;=75,V1381&lt;=175,W1381&gt;=65,W1381&lt;110),0.17,0)+IF(AND(V1381&gt;=75,V1381&lt;=175,W1381&gt;=110),0.12,0)+IF(AND(V1381&gt;175,W1381&lt;25),0.3,0)+IF(AND(V1381&gt;175,W1381&gt;=25,W1381&lt;55),0.23,0)+IF(AND(V1381&gt;175,W1381&gt;=55,W1381&lt;95),0.17,0)+IF(AND(V1381&gt;175,W1381&gt;=95),0.12,0),
IF(AF1381="DoEVsu",IF(AND(V1381&lt;20,W1381&lt;55),0.3,0)+IF(AND(V1381&lt;20,W1381&gt;=55,W1381&lt;105),0.23,0)+IF(AND(V1381&lt;20,W1381&gt;=105),0.17,0)+IF(AND(V1381&gt;=20,V1381&lt;40,W1381&lt;45),0.3,0)+IF(AND(V1381&gt;=20,V1381&lt;40,W1381&gt;=45,W1381&lt;95),0.23,0)+IF(AND(V1381&gt;=20,V1381&lt;40,W1381&gt;=95,W1381&lt;=250),0.17,0)+IF(AND(V1381&gt;=20,V1381&lt;40,W1381&gt;=250),0.12,0)+IF(AND(V1381&gt;=40,V1381&lt;75,W1381&lt;35),0.3,0)+IF(AND(V1381&gt;=40,V1381&lt;75,W1381&gt;=35,W1381&lt;75),0.23,0)+IF(AND(V1381&gt;=40,V1381&lt;75,W1381&gt;=75,W1381&lt;120),0.17,0)+IF(AND(V1381&gt;=40,V1381&lt;75,W1381&gt;=120),0.12,0)+IF(AND(V1381&gt;=75,V1381&lt;175,W1381&lt;35),0.3,0)+IF(AND(V1381&gt;=75,V1381&lt;=175,W1381&gt;=35,W1381&lt;65),0.23,0)+IF(AND(V1381&gt;=75,V1381&lt;=175,W1381&gt;=65,W1381&lt;110),0.17,0)+IF(AND(V1381&gt;=75,V1381&lt;=175,W1381&gt;=110),0.12,0)+IF(AND(V1381&gt;175,W1381&lt;25),0.3,0)+IF(AND(V1381&gt;175,W1381&gt;=25,W1381&lt;55),0.23,0)+IF(AND(V1381&gt;175,W1381&gt;=55,W1381&lt;95),0.17,0)+IF(AND(V1381&gt;175,W1381&gt;=95),0.12,0),
IF(AF1381="DoEVni",IF(AND(V1381&lt;20,W1381&lt;55),0.3,0)+IF(AND(V1381&lt;20,W1381&gt;=55,W1381&lt;105),0.23,0)+IF(AND(V1381&lt;20,W1381&gt;=105),0.17,0)+IF(AND(V1381&gt;=20,V1381&lt;40,W1381&lt;45),0.3,0)+IF(AND(V1381&gt;=20,V1381&lt;40,W1381&gt;=45,W1381&lt;95),0.23,0)+IF(AND(V1381&gt;=20,V1381&lt;40,W1381&gt;=95,W1381&lt;=200),0.17,0)+IF(AND(V1381&gt;=20,V1381&lt;40,W1381&gt;=200),0.12,0)+IF(AND(V1381&gt;=40,V1381&lt;75,W1381&lt;35),0.3,0)+IF(AND(V1381&gt;=40,V1381&lt;75,W1381&gt;=35,W1381&lt;75),0.23,0)+IF(AND(V1381&gt;=40,V1381&lt;75,W1381&gt;=75,W1381&lt;120),0.17,0)+IF(AND(V1381&gt;=40,V1381&lt;75,W1381&gt;=120),0.12,0)+IF(AND(V1381&gt;=75,V1381&lt;175,W1381&lt;35),0.3,0)+IF(AND(V1381&gt;=75,V1381&lt;=175,W1381&gt;=35,W1381&lt;65),0.23,0)+IF(AND(V1381&gt;=75,V1381&lt;=175,W1381&gt;=65,W1381&lt;110),0.17,0)+IF(AND(V1381&gt;=75,V1381&lt;=175,W1381&gt;=110),0.12,0)+IF(AND(V1381&gt;175,W1381&lt;25),0.3,0)+IF(AND(V1381&gt;175,W1381&gt;=25,W1381&lt;55),0.23,0)+IF(AND(V1381&gt;175,W1381&gt;=55,W1381&lt;95),0.17,0)+IF(AND(V1381&gt;175,W1381&gt;=95),0.12,0),
IF(AF1381="DoEVLo",IF(AND(V1381&lt;20,W1381&lt;55),0.25,0)+IF(AND(V1381&lt;20,W1381&gt;=55,W1381&lt;105),0.2,0)+IF(AND(V1381&lt;20,W1381&gt;=105),0.15,0)+IF(AND(V1381&gt;=20,V1381&lt;40,W1381&lt;45),0.25,0)+IF(AND(V1381&gt;=20,V1381&lt;40,W1381&gt;=45,W1381&lt;95),0.2,0)+IF(AND(V1381&gt;=20,V1381&lt;40,W1381&gt;=95),0.15,0)+IF(AND(V1381&gt;=40,V1381&lt;75,W1381&lt;35),0.25,0)+IF(AND(V1381&gt;=40,V1381&lt;75,W1381&gt;=35,W1381&lt;75),0.2,0)+IF(AND(V1381&gt;=40,V1381&lt;75,W1381&gt;=75,W1381&lt;120),0.15,0)+IF(AND(V1381&gt;=40,V1381&lt;75,W1381&gt;=120),0.1,0)+IF(AND(V1381&gt;=75,V1381&lt;175,W1381&lt;35),0.25,0)+IF(AND(V1381&gt;=75,V1381&lt;=175,W1381&gt;=35,W1381&lt;65),0.2,0)+IF(AND(V1381&gt;=75,V1381&lt;=175,W1381&gt;=65,W1381&lt;110),0.15,0)+IF(AND(V1381&gt;=75,V1381&lt;=175,W1381&gt;=110),0.1,0)+IF(AND(V1381&gt;175,W1381&lt;25),0.25,0)+IF(AND(V1381&gt;175,W1381&gt;=25,W1381&lt;55),0.2,0)+IF(AND(V1381&gt;175,W1381&gt;=55,W1381&lt;95),0.15,0)+IF(AND(V1381&gt;175,W1381&gt;=95),0.1,0))))))))))))))))))</f>
        <v>0</v>
      </c>
      <c r="Y1381" s="78">
        <v>0.22</v>
      </c>
      <c r="Z1381" s="35">
        <f>T1381-AA1381-AB1381</f>
        <v>49.92</v>
      </c>
      <c r="AA1381" s="29">
        <f>IF(AD1381="EUR",((T1381-R1381)*X1381)*U1381+(R1381*X1381),(T1381*X1381))</f>
        <v>0</v>
      </c>
      <c r="AB1381" s="36">
        <f>IF(AD1381="EUR",((T1381-R1381)*Y1381)*U1381+(R1381*Y1381),(T1381*Y1381))</f>
        <v>14.08</v>
      </c>
      <c r="AC1381" s="61" t="b">
        <v>1</v>
      </c>
      <c r="AD1381" s="37" t="s">
        <v>38</v>
      </c>
      <c r="AE1381" s="37" t="s">
        <v>38</v>
      </c>
      <c r="AF1381" s="37" t="str">
        <f t="array" ref="AF1381">INDEX('Deal Info'!D:D, MATCH(A1381,'Deal Info'!A:A, 0))</f>
        <v>None</v>
      </c>
      <c r="AG1381" s="38" t="str">
        <f t="array" ref="AG1381">INDEX('Deal Info'!G:G, MATCH(A1381,'Deal Info'!A:A, 0))</f>
        <v>guilexperi</v>
      </c>
    </row>
    <row r="1382" spans="1:33" ht="14.25" hidden="1" x14ac:dyDescent="0.2">
      <c r="A1382" s="18" t="str">
        <f t="array" ref="A1382">IF(G1382='Room Info'!$B$1, INDEX('Room Info'!$A$2:$A2446, MATCH(B1382,'Room Info'!$B$2:$B2446, 0)),IF(G1382='Room Info'!$C$1, INDEX('Room Info'!$A$2:$A2446, MATCH(B1382,'Room Info'!$C$2:$C2446, 0)),IF(G1382='Room Info'!$D$1, INDEX('Room Info'!$A$2:$A2446, MATCH(B1382,'Room Info'!$D$2:$D2446, 0)),IF(G1382='Room Info'!$E$1, INDEX('Room Info'!$A$2:$A2446, MATCH(B1382,'Room Info'!$E$2:$E2446, 0)),IF(G1382='Room Info'!$F$1, INDEX('Room Info'!$A$2:$A2446, MATCH(B1382,'Room Info'!$F$2:$F2446, 0)),IF(G1382='Room Info'!$H$1, INDEX('Room Info'!$A$2:$A2446, MATCH(B1382,'Room Info'!$H$2:$H2446, 0)),IF(G1382='Room Info'!$G$1, INDEX('Room Info'!$A$2:$A2446, MATCH(B1382,'Room Info'!$G$2:$G2446, 0)))))))))</f>
        <v>guilexperi</v>
      </c>
      <c r="B1382" s="45" t="s">
        <v>208</v>
      </c>
      <c r="C1382" s="46">
        <v>44896</v>
      </c>
      <c r="D1382" s="46">
        <v>44915</v>
      </c>
      <c r="E1382" s="47">
        <v>44896</v>
      </c>
      <c r="F1382" s="48" t="s">
        <v>49</v>
      </c>
      <c r="G1382" s="45" t="s">
        <v>35</v>
      </c>
      <c r="H1382" s="49" t="s">
        <v>211</v>
      </c>
      <c r="I1382" s="49" t="s">
        <v>174</v>
      </c>
      <c r="J1382" s="50">
        <v>200</v>
      </c>
      <c r="K1382" s="51">
        <v>359</v>
      </c>
      <c r="L1382" s="52">
        <v>-4149</v>
      </c>
      <c r="M1382" s="53">
        <v>377</v>
      </c>
      <c r="N1382" s="28">
        <f>K1382*J1382</f>
        <v>71800</v>
      </c>
      <c r="O1382" s="54">
        <v>-1659</v>
      </c>
      <c r="P1382" s="29">
        <v>-4.6211699160000004</v>
      </c>
      <c r="Q1382" s="55"/>
      <c r="R1382" s="31">
        <f>M1382+Q1382</f>
        <v>377</v>
      </c>
      <c r="S1382" s="117">
        <v>-1914</v>
      </c>
      <c r="T1382" s="32">
        <f>R1382+S1382+IF(F1382="Without EV deal",L1382,0)</f>
        <v>-1537</v>
      </c>
      <c r="U1382" s="57"/>
      <c r="V1382" s="58"/>
      <c r="W1382" s="58"/>
      <c r="X1382" s="30" t="b">
        <f>IF(AF1382="DoEV",IF(AND(V1382&lt;20,W1382&lt;55),0.3,0)+IF(AND(V1382&lt;20,W1382&gt;=55,W1382&lt;105),0.23,0)+IF(AND(V1382&lt;20,W1382&gt;=105),0.17,0)+IF(AND(V1382&gt;=20,V1382&lt;40,W1382&lt;45),0.3,0)+IF(AND(V1382&gt;=20,V1382&lt;40,W1382&gt;=45,W1382&lt;95),0.23,0)+IF(AND(V1382&gt;=20,V1382&lt;40,W1382&gt;=95),0.17,0)+IF(AND(V1382&gt;=40,V1382&lt;75,W1382&lt;35),0.3,0)+IF(AND(V1382&gt;=40,V1382&lt;75,W1382&gt;=35,W1382&lt;75),0.23,0)+IF(AND(V1382&gt;=40,V1382&lt;75,W1382&gt;=75,W1382&lt;120),0.17,0)+IF(AND(V1382&gt;=40,V1382&lt;75,W1382&gt;=120),0.12,0)+IF(AND(V1382&gt;=75,V1382&lt;175,W1382&lt;35),0.3,0)+IF(AND(V1382&gt;=75,V1382&lt;=175,W1382&gt;=35,W1382&lt;65),0.23,0)+IF(AND(V1382&gt;=75,V1382&lt;=175,W1382&gt;=65,W1382&lt;110),0.17,0)+IF(AND(V1382&gt;=75,V1382&lt;=175,W1382&gt;=110),0.12,0)+IF(AND(V1382&gt;175,W1382&lt;25),0.3,0)+IF(AND(V1382&gt;175,W1382&gt;=25,W1382&lt;55),0.23,0)+IF(AND(V1382&gt;175,W1382&gt;=55,W1382&lt;95),0.17,0)+IF(AND(V1382&gt;175,W1382&gt;=95),0.12,0),
IF(AF1382="Fix15",0.15,
IF(AF1382="Fix18.75",0.1875,
IF(AF1382="Fix11.25",0.1125,
IF(AF1382="Fix10",0.1,
IF(AF1382="Fix9",0.09,
IF(AF1382="Fix19",0.19,
IF(AF1382="DoEV2017",IF(AND(W1382&lt;74),0.2,0)+IF(AND(W1382&gt;=74),0.17,0),
IF(AF1382="SF",IF(AND(V1382&lt;20,W1382&lt;89),0.3,0)+IF(AND(V1382&lt;20,W1382&gt;=89),0.25,0)+IF(AND(V1382&gt;=20,V1382&lt;40,W1382&lt;74),0.3,0)+IF(AND(V1382&gt;=20,V1382&lt;40,W1382&gt;=75),0.22,0)+IF(AND(V1382&gt;=40,V1382&lt;75,W1382&lt;75),0.26,0)+IF(AND(V1382&gt;=40,V1382&lt;75,W1382&gt;=75),0.22,0)+IF(V1382&gt;=75,0.22,0),
IF(AF1382="DoEVold",IF(AND(V1382&lt;40,W1382&lt;35),0.35,0)+IF(AND(V1382&lt;40,W1382&gt;=35,W1382&lt;75),0.25,0)+IF(AND(V1382&lt;40,W1382&gt;=75),0.17,0)+IF(AND(V1382&gt;=40,V1382&lt;75,W1382&lt;25),0.35,0)+IF(AND(V1382&gt;=40,V1382&lt;75,W1382&gt;=25,W1382&lt;65),0.25,0)+IF(AND(V1382&gt;=40,V1382&lt;75,W1382&gt;=65,W1382&lt;100),0.17,0)+IF(AND(V1382&gt;=40,V1382&lt;75,W1382&gt;=100),0.1,0)+IF(AND(V1382&gt;=75,W1382&lt;25),0.35,0)+IF(AND(V1382&gt;=75,W1382&gt;=25,W1382&lt;60),0.25,0)+IF(AND(V1382&gt;=75,W1382&gt;=60,W1382&lt;95),0.17,0)+IF(AND(V1382&gt;=75,W1382&gt;=95),0.1,0),
IF(AF1382="DoEVold15",IF(AND(V1382&lt;=40,W1382&lt;35),0.35,0)+IF(AND(V1382&lt;=40,W1382&gt;=35,W1382&lt;75),0.25,0)+IF(AND(V1382&lt;=40,W1382&gt;=75,W1382&lt;120),0.17,0)+IF(AND(V1382&lt;=40,W1382&gt;=120),0.15,0)+IF(AND(V1382&gt;40,V1382&lt;75,W1382&lt;25),0.35,0)+IF(AND(V1382&gt;=40,V1382&lt;75,W1382&gt;=25,W1382&lt;65),0.25,0)+IF(AND(V1382&gt;=40,V1382&lt;75,W1382&gt;=65,W1382&lt;100),0.17,0)+IF(AND(V1382&gt;=40,V1382&lt;75,W1382&gt;=100),0.1,0)+IF(AND(V1382&gt;=75,W1382&lt;25),0.35,0)+IF(AND(V1382&gt;=75,W1382&gt;=25,W1382&lt;60),0.25,0)+IF(AND(V1382&gt;=75,W1382&gt;=60,W1382&lt;95),0.17,0)+IF(AND(V1382&gt;=75,W1382&gt;=95),0.1,0),
IF(AF1382="DoEVba",IF(AND(V1382&lt;20,W1382&lt;105),0.2,0)+IF(AND(V1382&lt;20,W1382&gt;=105),0.15,0)+IF(AND(V1382&gt;=20,V1382&lt;40,W1382&lt;95),0.2,0)+IF(AND(V1382&gt;=20,V1382&lt;40,W1382&gt;=95,W1382&lt;150),0.15,0)+IF(AND(V1382&gt;=20,V1382&lt;40,W1382&gt;=150),0.12,0)+IF(AND(V1382&gt;=40,V1382&lt;75,W1382&lt;75),0.2,0)+IF(AND(V1382&gt;=40,V1382&lt;75,W1382&gt;=75,W1382&lt;120),0.15,0)+IF(AND(V1382&gt;=40,V1382&lt;75,W1382&gt;=120),0.12,0)+IF(AND(V1382&gt;=75,V1382&lt;175,W1382&lt;65),0.2,0)+IF(AND(V1382&gt;=75,V1382&lt;175,W1382&gt;=65,W1382&lt;110),0.15,0)+IF(AND(V1382&gt;=75,V1382&lt;175,W1382&gt;=110),0.12,0)+IF(AND(V1382&gt;=175,W1382&lt;55),0.2,0)+IF(AND(V1382&gt;=175,W1382&gt;=55,W1382&lt;95),0.15,0)+IF(AND(V1382&gt;=175,W1382&gt;=95),0.12,0),
IF(AF1382="DoEVku",IF(AND(V1382&lt;20,W1382&lt;55),0.23,0)+IF(AND(V1382&lt;20,W1382&gt;=55,W1382&lt;105),0.2,0)+IF(AND(V1382&lt;20,W1382&gt;=105),0.17,0)+IF(AND(V1382&gt;=20,V1382&lt;40,W1382&lt;45),0.23,0)+IF(AND(V1382&gt;=20,V1382&lt;40,W1382&gt;=45,W1382&lt;95),0.2,0)+IF(AND(V1382&gt;=20,V1382&lt;40,W1382&gt;=95,W1382&lt;=150),0.17,0)+IF(AND(V1382&gt;=20,V1382&lt;40,W1382&gt;=150),0.12,0)+IF(AND(V1382&gt;=40,V1382&lt;75,W1382&lt;35),0.23,0)+IF(AND(V1382&gt;=40,V1382&lt;75,W1382&gt;=35,W1382&lt;75),0.2,0)+IF(AND(V1382&gt;=40,V1382&lt;75,W1382&gt;=75,W1382&lt;120),0.17,0)+IF(AND(V1382&gt;=40,V1382&lt;75,W1382&gt;=120),0.12,0)+IF(AND(V1382&gt;=75,V1382&lt;175,W1382&lt;35),0.23,0)+IF(AND(V1382&gt;=75,V1382&lt;=175,W1382&gt;=35,W1382&lt;65),0.2,0)+IF(AND(V1382&gt;=75,V1382&lt;=175,W1382&gt;=65,W1382&lt;110),0.17,0)+IF(AND(V1382&gt;=75,V1382&lt;=175,W1382&gt;=110),0.12,0)+IF(AND(V1382&gt;175,W1382&lt;25),0.23,0)+IF(AND(V1382&gt;175,W1382&gt;=25,W1382&lt;55),0.2,0)+IF(AND(V1382&gt;175,W1382&gt;=55,W1382&lt;95),0.17,0)+IF(AND(V1382&gt;175,W1382&gt;=95),0.12,0),
IF(AF1382="DoEVs1",IF(AND(V1382&lt;20,W1382&lt;55),0.3,0)+IF(AND(V1382&lt;20,W1382&gt;=55,W1382&lt;105),0.23,0)+IF(AND(V1382&lt;20,W1382&gt;=105),0.17,0)+IF(AND(V1382&gt;=20,V1382&lt;40,W1382&lt;45),0.3,0)+IF(AND(V1382&gt;=20,V1382&lt;40,W1382&gt;=45,W1382&lt;95),0.23,0)+IF(AND(V1382&gt;=20,V1382&lt;40,W1382&gt;=95,W1382&lt;=150),0.17,0)+IF(AND(V1382&gt;=20,V1382&lt;40,W1382&gt;=150),0.12,0)+IF(AND(V1382&gt;=40,V1382&lt;75,W1382&lt;35),0.3,0)+IF(AND(V1382&gt;=40,V1382&lt;75,W1382&gt;=35,W1382&lt;75),0.23,0)+IF(AND(V1382&gt;=40,V1382&lt;75,W1382&gt;=75,W1382&lt;120),0.17,0)+IF(AND(V1382&gt;=40,V1382&lt;75,W1382&gt;=120),0.12,0)+IF(AND(V1382&gt;=75,V1382&lt;175,W1382&lt;35),0.3,0)+IF(AND(V1382&gt;=75,V1382&lt;=175,W1382&gt;=35,W1382&lt;65),0.23,0)+IF(AND(V1382&gt;=75,V1382&lt;=175,W1382&gt;=65,W1382&lt;110),0.17,0)+IF(AND(V1382&gt;=75,V1382&lt;=175,W1382&gt;=110),0.12,0)+IF(AND(V1382&gt;175,W1382&lt;25),0.3,0)+IF(AND(V1382&gt;175,W1382&gt;=25,W1382&lt;55),0.23,0)+IF(AND(V1382&gt;175,W1382&gt;=55,W1382&lt;95),0.17,0)+IF(AND(V1382&gt;175,W1382&gt;=95),0.12,0),
IF(AF1382="DoEVsu",IF(AND(V1382&lt;20,W1382&lt;55),0.3,0)+IF(AND(V1382&lt;20,W1382&gt;=55,W1382&lt;105),0.23,0)+IF(AND(V1382&lt;20,W1382&gt;=105),0.17,0)+IF(AND(V1382&gt;=20,V1382&lt;40,W1382&lt;45),0.3,0)+IF(AND(V1382&gt;=20,V1382&lt;40,W1382&gt;=45,W1382&lt;95),0.23,0)+IF(AND(V1382&gt;=20,V1382&lt;40,W1382&gt;=95,W1382&lt;=250),0.17,0)+IF(AND(V1382&gt;=20,V1382&lt;40,W1382&gt;=250),0.12,0)+IF(AND(V1382&gt;=40,V1382&lt;75,W1382&lt;35),0.3,0)+IF(AND(V1382&gt;=40,V1382&lt;75,W1382&gt;=35,W1382&lt;75),0.23,0)+IF(AND(V1382&gt;=40,V1382&lt;75,W1382&gt;=75,W1382&lt;120),0.17,0)+IF(AND(V1382&gt;=40,V1382&lt;75,W1382&gt;=120),0.12,0)+IF(AND(V1382&gt;=75,V1382&lt;175,W1382&lt;35),0.3,0)+IF(AND(V1382&gt;=75,V1382&lt;=175,W1382&gt;=35,W1382&lt;65),0.23,0)+IF(AND(V1382&gt;=75,V1382&lt;=175,W1382&gt;=65,W1382&lt;110),0.17,0)+IF(AND(V1382&gt;=75,V1382&lt;=175,W1382&gt;=110),0.12,0)+IF(AND(V1382&gt;175,W1382&lt;25),0.3,0)+IF(AND(V1382&gt;175,W1382&gt;=25,W1382&lt;55),0.23,0)+IF(AND(V1382&gt;175,W1382&gt;=55,W1382&lt;95),0.17,0)+IF(AND(V1382&gt;175,W1382&gt;=95),0.12,0),
IF(AF1382="DoEVni",IF(AND(V1382&lt;20,W1382&lt;55),0.3,0)+IF(AND(V1382&lt;20,W1382&gt;=55,W1382&lt;105),0.23,0)+IF(AND(V1382&lt;20,W1382&gt;=105),0.17,0)+IF(AND(V1382&gt;=20,V1382&lt;40,W1382&lt;45),0.3,0)+IF(AND(V1382&gt;=20,V1382&lt;40,W1382&gt;=45,W1382&lt;95),0.23,0)+IF(AND(V1382&gt;=20,V1382&lt;40,W1382&gt;=95,W1382&lt;=200),0.17,0)+IF(AND(V1382&gt;=20,V1382&lt;40,W1382&gt;=200),0.12,0)+IF(AND(V1382&gt;=40,V1382&lt;75,W1382&lt;35),0.3,0)+IF(AND(V1382&gt;=40,V1382&lt;75,W1382&gt;=35,W1382&lt;75),0.23,0)+IF(AND(V1382&gt;=40,V1382&lt;75,W1382&gt;=75,W1382&lt;120),0.17,0)+IF(AND(V1382&gt;=40,V1382&lt;75,W1382&gt;=120),0.12,0)+IF(AND(V1382&gt;=75,V1382&lt;175,W1382&lt;35),0.3,0)+IF(AND(V1382&gt;=75,V1382&lt;=175,W1382&gt;=35,W1382&lt;65),0.23,0)+IF(AND(V1382&gt;=75,V1382&lt;=175,W1382&gt;=65,W1382&lt;110),0.17,0)+IF(AND(V1382&gt;=75,V1382&lt;=175,W1382&gt;=110),0.12,0)+IF(AND(V1382&gt;175,W1382&lt;25),0.3,0)+IF(AND(V1382&gt;175,W1382&gt;=25,W1382&lt;55),0.23,0)+IF(AND(V1382&gt;175,W1382&gt;=55,W1382&lt;95),0.17,0)+IF(AND(V1382&gt;175,W1382&gt;=95),0.12,0),
IF(AF1382="DoEVLo",IF(AND(V1382&lt;20,W1382&lt;55),0.25,0)+IF(AND(V1382&lt;20,W1382&gt;=55,W1382&lt;105),0.2,0)+IF(AND(V1382&lt;20,W1382&gt;=105),0.15,0)+IF(AND(V1382&gt;=20,V1382&lt;40,W1382&lt;45),0.25,0)+IF(AND(V1382&gt;=20,V1382&lt;40,W1382&gt;=45,W1382&lt;95),0.2,0)+IF(AND(V1382&gt;=20,V1382&lt;40,W1382&gt;=95),0.15,0)+IF(AND(V1382&gt;=40,V1382&lt;75,W1382&lt;35),0.25,0)+IF(AND(V1382&gt;=40,V1382&lt;75,W1382&gt;=35,W1382&lt;75),0.2,0)+IF(AND(V1382&gt;=40,V1382&lt;75,W1382&gt;=75,W1382&lt;120),0.15,0)+IF(AND(V1382&gt;=40,V1382&lt;75,W1382&gt;=120),0.1,0)+IF(AND(V1382&gt;=75,V1382&lt;175,W1382&lt;35),0.25,0)+IF(AND(V1382&gt;=75,V1382&lt;=175,W1382&gt;=35,W1382&lt;65),0.2,0)+IF(AND(V1382&gt;=75,V1382&lt;=175,W1382&gt;=65,W1382&lt;110),0.15,0)+IF(AND(V1382&gt;=75,V1382&lt;=175,W1382&gt;=110),0.1,0)+IF(AND(V1382&gt;175,W1382&lt;25),0.25,0)+IF(AND(V1382&gt;175,W1382&gt;=25,W1382&lt;55),0.2,0)+IF(AND(V1382&gt;175,W1382&gt;=55,W1382&lt;95),0.15,0)+IF(AND(V1382&gt;175,W1382&gt;=95),0.1,0))))))))))))))))))</f>
        <v>0</v>
      </c>
      <c r="Y1382" s="78">
        <v>0.22</v>
      </c>
      <c r="Z1382" s="35">
        <f>T1382-AA1382-AB1382</f>
        <v>-1198.8600000000001</v>
      </c>
      <c r="AA1382" s="29">
        <f>IF(AD1382="EUR",((T1382-R1382)*X1382)*U1382+(R1382*X1382),(T1382*X1382))</f>
        <v>0</v>
      </c>
      <c r="AB1382" s="36">
        <f>IF(AD1382="EUR",((T1382-R1382)*Y1382)*U1382+(R1382*Y1382),(T1382*Y1382))</f>
        <v>-338.14</v>
      </c>
      <c r="AC1382" s="61" t="b">
        <v>1</v>
      </c>
      <c r="AD1382" s="37" t="s">
        <v>38</v>
      </c>
      <c r="AE1382" s="37" t="s">
        <v>38</v>
      </c>
      <c r="AF1382" s="37" t="str">
        <f t="array" ref="AF1382">INDEX('Deal Info'!D:D, MATCH(A1382,'Deal Info'!A:A, 0))</f>
        <v>None</v>
      </c>
      <c r="AG1382" s="38" t="str">
        <f t="array" ref="AG1382">INDEX('Deal Info'!G:G, MATCH(A1382,'Deal Info'!A:A, 0))</f>
        <v>guilexperi</v>
      </c>
    </row>
    <row r="1383" spans="1:33" ht="14.25" hidden="1" x14ac:dyDescent="0.2">
      <c r="A1383" s="18" t="str">
        <f t="array" ref="A1383">IF(G1383='Room Info'!$B$1, INDEX('Room Info'!$A$2:$A2446, MATCH(B1383,'Room Info'!$B$2:$B2446, 0)),IF(G1383='Room Info'!$C$1, INDEX('Room Info'!$A$2:$A2446, MATCH(B1383,'Room Info'!$C$2:$C2446, 0)),IF(G1383='Room Info'!$D$1, INDEX('Room Info'!$A$2:$A2446, MATCH(B1383,'Room Info'!$D$2:$D2446, 0)),IF(G1383='Room Info'!$E$1, INDEX('Room Info'!$A$2:$A2446, MATCH(B1383,'Room Info'!$E$2:$E2446, 0)),IF(G1383='Room Info'!$F$1, INDEX('Room Info'!$A$2:$A2446, MATCH(B1383,'Room Info'!$F$2:$F2446, 0)),IF(G1383='Room Info'!$H$1, INDEX('Room Info'!$A$2:$A2446, MATCH(B1383,'Room Info'!$H$2:$H2446, 0)),IF(G1383='Room Info'!$G$1, INDEX('Room Info'!$A$2:$A2446, MATCH(B1383,'Room Info'!$G$2:$G2446, 0)))))))))</f>
        <v>guilexperi</v>
      </c>
      <c r="B1383" s="45" t="s">
        <v>208</v>
      </c>
      <c r="C1383" s="46">
        <v>44896</v>
      </c>
      <c r="D1383" s="46">
        <v>44915</v>
      </c>
      <c r="E1383" s="47">
        <v>44896</v>
      </c>
      <c r="F1383" s="48" t="s">
        <v>49</v>
      </c>
      <c r="G1383" s="45" t="s">
        <v>35</v>
      </c>
      <c r="H1383" s="49" t="s">
        <v>88</v>
      </c>
      <c r="I1383" s="49" t="s">
        <v>37</v>
      </c>
      <c r="J1383" s="50">
        <v>250</v>
      </c>
      <c r="K1383" s="51">
        <v>1150</v>
      </c>
      <c r="L1383" s="52">
        <v>12000</v>
      </c>
      <c r="M1383" s="53">
        <v>4522</v>
      </c>
      <c r="N1383" s="28">
        <f>K1383*J1383</f>
        <v>287500</v>
      </c>
      <c r="O1383" s="54">
        <v>34802</v>
      </c>
      <c r="P1383" s="29">
        <v>30.262608700000001</v>
      </c>
      <c r="Q1383" s="55"/>
      <c r="R1383" s="31">
        <f>M1383+Q1383</f>
        <v>4522</v>
      </c>
      <c r="S1383" s="117">
        <v>1251</v>
      </c>
      <c r="T1383" s="32">
        <f>R1383+S1383+IF(F1383="Without EV deal",L1383,0)</f>
        <v>5773</v>
      </c>
      <c r="U1383" s="57"/>
      <c r="V1383" s="58"/>
      <c r="W1383" s="58"/>
      <c r="X1383" s="30" t="b">
        <f>IF(AF1383="DoEV",IF(AND(V1383&lt;20,W1383&lt;55),0.3,0)+IF(AND(V1383&lt;20,W1383&gt;=55,W1383&lt;105),0.23,0)+IF(AND(V1383&lt;20,W1383&gt;=105),0.17,0)+IF(AND(V1383&gt;=20,V1383&lt;40,W1383&lt;45),0.3,0)+IF(AND(V1383&gt;=20,V1383&lt;40,W1383&gt;=45,W1383&lt;95),0.23,0)+IF(AND(V1383&gt;=20,V1383&lt;40,W1383&gt;=95),0.17,0)+IF(AND(V1383&gt;=40,V1383&lt;75,W1383&lt;35),0.3,0)+IF(AND(V1383&gt;=40,V1383&lt;75,W1383&gt;=35,W1383&lt;75),0.23,0)+IF(AND(V1383&gt;=40,V1383&lt;75,W1383&gt;=75,W1383&lt;120),0.17,0)+IF(AND(V1383&gt;=40,V1383&lt;75,W1383&gt;=120),0.12,0)+IF(AND(V1383&gt;=75,V1383&lt;175,W1383&lt;35),0.3,0)+IF(AND(V1383&gt;=75,V1383&lt;=175,W1383&gt;=35,W1383&lt;65),0.23,0)+IF(AND(V1383&gt;=75,V1383&lt;=175,W1383&gt;=65,W1383&lt;110),0.17,0)+IF(AND(V1383&gt;=75,V1383&lt;=175,W1383&gt;=110),0.12,0)+IF(AND(V1383&gt;175,W1383&lt;25),0.3,0)+IF(AND(V1383&gt;175,W1383&gt;=25,W1383&lt;55),0.23,0)+IF(AND(V1383&gt;175,W1383&gt;=55,W1383&lt;95),0.17,0)+IF(AND(V1383&gt;175,W1383&gt;=95),0.12,0),
IF(AF1383="Fix15",0.15,
IF(AF1383="Fix18.75",0.1875,
IF(AF1383="Fix11.25",0.1125,
IF(AF1383="Fix10",0.1,
IF(AF1383="Fix9",0.09,
IF(AF1383="Fix19",0.19,
IF(AF1383="DoEV2017",IF(AND(W1383&lt;74),0.2,0)+IF(AND(W1383&gt;=74),0.17,0),
IF(AF1383="SF",IF(AND(V1383&lt;20,W1383&lt;89),0.3,0)+IF(AND(V1383&lt;20,W1383&gt;=89),0.25,0)+IF(AND(V1383&gt;=20,V1383&lt;40,W1383&lt;74),0.3,0)+IF(AND(V1383&gt;=20,V1383&lt;40,W1383&gt;=75),0.22,0)+IF(AND(V1383&gt;=40,V1383&lt;75,W1383&lt;75),0.26,0)+IF(AND(V1383&gt;=40,V1383&lt;75,W1383&gt;=75),0.22,0)+IF(V1383&gt;=75,0.22,0),
IF(AF1383="DoEVold",IF(AND(V1383&lt;40,W1383&lt;35),0.35,0)+IF(AND(V1383&lt;40,W1383&gt;=35,W1383&lt;75),0.25,0)+IF(AND(V1383&lt;40,W1383&gt;=75),0.17,0)+IF(AND(V1383&gt;=40,V1383&lt;75,W1383&lt;25),0.35,0)+IF(AND(V1383&gt;=40,V1383&lt;75,W1383&gt;=25,W1383&lt;65),0.25,0)+IF(AND(V1383&gt;=40,V1383&lt;75,W1383&gt;=65,W1383&lt;100),0.17,0)+IF(AND(V1383&gt;=40,V1383&lt;75,W1383&gt;=100),0.1,0)+IF(AND(V1383&gt;=75,W1383&lt;25),0.35,0)+IF(AND(V1383&gt;=75,W1383&gt;=25,W1383&lt;60),0.25,0)+IF(AND(V1383&gt;=75,W1383&gt;=60,W1383&lt;95),0.17,0)+IF(AND(V1383&gt;=75,W1383&gt;=95),0.1,0),
IF(AF1383="DoEVold15",IF(AND(V1383&lt;=40,W1383&lt;35),0.35,0)+IF(AND(V1383&lt;=40,W1383&gt;=35,W1383&lt;75),0.25,0)+IF(AND(V1383&lt;=40,W1383&gt;=75,W1383&lt;120),0.17,0)+IF(AND(V1383&lt;=40,W1383&gt;=120),0.15,0)+IF(AND(V1383&gt;40,V1383&lt;75,W1383&lt;25),0.35,0)+IF(AND(V1383&gt;=40,V1383&lt;75,W1383&gt;=25,W1383&lt;65),0.25,0)+IF(AND(V1383&gt;=40,V1383&lt;75,W1383&gt;=65,W1383&lt;100),0.17,0)+IF(AND(V1383&gt;=40,V1383&lt;75,W1383&gt;=100),0.1,0)+IF(AND(V1383&gt;=75,W1383&lt;25),0.35,0)+IF(AND(V1383&gt;=75,W1383&gt;=25,W1383&lt;60),0.25,0)+IF(AND(V1383&gt;=75,W1383&gt;=60,W1383&lt;95),0.17,0)+IF(AND(V1383&gt;=75,W1383&gt;=95),0.1,0),
IF(AF1383="DoEVba",IF(AND(V1383&lt;20,W1383&lt;105),0.2,0)+IF(AND(V1383&lt;20,W1383&gt;=105),0.15,0)+IF(AND(V1383&gt;=20,V1383&lt;40,W1383&lt;95),0.2,0)+IF(AND(V1383&gt;=20,V1383&lt;40,W1383&gt;=95,W1383&lt;150),0.15,0)+IF(AND(V1383&gt;=20,V1383&lt;40,W1383&gt;=150),0.12,0)+IF(AND(V1383&gt;=40,V1383&lt;75,W1383&lt;75),0.2,0)+IF(AND(V1383&gt;=40,V1383&lt;75,W1383&gt;=75,W1383&lt;120),0.15,0)+IF(AND(V1383&gt;=40,V1383&lt;75,W1383&gt;=120),0.12,0)+IF(AND(V1383&gt;=75,V1383&lt;175,W1383&lt;65),0.2,0)+IF(AND(V1383&gt;=75,V1383&lt;175,W1383&gt;=65,W1383&lt;110),0.15,0)+IF(AND(V1383&gt;=75,V1383&lt;175,W1383&gt;=110),0.12,0)+IF(AND(V1383&gt;=175,W1383&lt;55),0.2,0)+IF(AND(V1383&gt;=175,W1383&gt;=55,W1383&lt;95),0.15,0)+IF(AND(V1383&gt;=175,W1383&gt;=95),0.12,0),
IF(AF1383="DoEVku",IF(AND(V1383&lt;20,W1383&lt;55),0.23,0)+IF(AND(V1383&lt;20,W1383&gt;=55,W1383&lt;105),0.2,0)+IF(AND(V1383&lt;20,W1383&gt;=105),0.17,0)+IF(AND(V1383&gt;=20,V1383&lt;40,W1383&lt;45),0.23,0)+IF(AND(V1383&gt;=20,V1383&lt;40,W1383&gt;=45,W1383&lt;95),0.2,0)+IF(AND(V1383&gt;=20,V1383&lt;40,W1383&gt;=95,W1383&lt;=150),0.17,0)+IF(AND(V1383&gt;=20,V1383&lt;40,W1383&gt;=150),0.12,0)+IF(AND(V1383&gt;=40,V1383&lt;75,W1383&lt;35),0.23,0)+IF(AND(V1383&gt;=40,V1383&lt;75,W1383&gt;=35,W1383&lt;75),0.2,0)+IF(AND(V1383&gt;=40,V1383&lt;75,W1383&gt;=75,W1383&lt;120),0.17,0)+IF(AND(V1383&gt;=40,V1383&lt;75,W1383&gt;=120),0.12,0)+IF(AND(V1383&gt;=75,V1383&lt;175,W1383&lt;35),0.23,0)+IF(AND(V1383&gt;=75,V1383&lt;=175,W1383&gt;=35,W1383&lt;65),0.2,0)+IF(AND(V1383&gt;=75,V1383&lt;=175,W1383&gt;=65,W1383&lt;110),0.17,0)+IF(AND(V1383&gt;=75,V1383&lt;=175,W1383&gt;=110),0.12,0)+IF(AND(V1383&gt;175,W1383&lt;25),0.23,0)+IF(AND(V1383&gt;175,W1383&gt;=25,W1383&lt;55),0.2,0)+IF(AND(V1383&gt;175,W1383&gt;=55,W1383&lt;95),0.17,0)+IF(AND(V1383&gt;175,W1383&gt;=95),0.12,0),
IF(AF1383="DoEVs1",IF(AND(V1383&lt;20,W1383&lt;55),0.3,0)+IF(AND(V1383&lt;20,W1383&gt;=55,W1383&lt;105),0.23,0)+IF(AND(V1383&lt;20,W1383&gt;=105),0.17,0)+IF(AND(V1383&gt;=20,V1383&lt;40,W1383&lt;45),0.3,0)+IF(AND(V1383&gt;=20,V1383&lt;40,W1383&gt;=45,W1383&lt;95),0.23,0)+IF(AND(V1383&gt;=20,V1383&lt;40,W1383&gt;=95,W1383&lt;=150),0.17,0)+IF(AND(V1383&gt;=20,V1383&lt;40,W1383&gt;=150),0.12,0)+IF(AND(V1383&gt;=40,V1383&lt;75,W1383&lt;35),0.3,0)+IF(AND(V1383&gt;=40,V1383&lt;75,W1383&gt;=35,W1383&lt;75),0.23,0)+IF(AND(V1383&gt;=40,V1383&lt;75,W1383&gt;=75,W1383&lt;120),0.17,0)+IF(AND(V1383&gt;=40,V1383&lt;75,W1383&gt;=120),0.12,0)+IF(AND(V1383&gt;=75,V1383&lt;175,W1383&lt;35),0.3,0)+IF(AND(V1383&gt;=75,V1383&lt;=175,W1383&gt;=35,W1383&lt;65),0.23,0)+IF(AND(V1383&gt;=75,V1383&lt;=175,W1383&gt;=65,W1383&lt;110),0.17,0)+IF(AND(V1383&gt;=75,V1383&lt;=175,W1383&gt;=110),0.12,0)+IF(AND(V1383&gt;175,W1383&lt;25),0.3,0)+IF(AND(V1383&gt;175,W1383&gt;=25,W1383&lt;55),0.23,0)+IF(AND(V1383&gt;175,W1383&gt;=55,W1383&lt;95),0.17,0)+IF(AND(V1383&gt;175,W1383&gt;=95),0.12,0),
IF(AF1383="DoEVsu",IF(AND(V1383&lt;20,W1383&lt;55),0.3,0)+IF(AND(V1383&lt;20,W1383&gt;=55,W1383&lt;105),0.23,0)+IF(AND(V1383&lt;20,W1383&gt;=105),0.17,0)+IF(AND(V1383&gt;=20,V1383&lt;40,W1383&lt;45),0.3,0)+IF(AND(V1383&gt;=20,V1383&lt;40,W1383&gt;=45,W1383&lt;95),0.23,0)+IF(AND(V1383&gt;=20,V1383&lt;40,W1383&gt;=95,W1383&lt;=250),0.17,0)+IF(AND(V1383&gt;=20,V1383&lt;40,W1383&gt;=250),0.12,0)+IF(AND(V1383&gt;=40,V1383&lt;75,W1383&lt;35),0.3,0)+IF(AND(V1383&gt;=40,V1383&lt;75,W1383&gt;=35,W1383&lt;75),0.23,0)+IF(AND(V1383&gt;=40,V1383&lt;75,W1383&gt;=75,W1383&lt;120),0.17,0)+IF(AND(V1383&gt;=40,V1383&lt;75,W1383&gt;=120),0.12,0)+IF(AND(V1383&gt;=75,V1383&lt;175,W1383&lt;35),0.3,0)+IF(AND(V1383&gt;=75,V1383&lt;=175,W1383&gt;=35,W1383&lt;65),0.23,0)+IF(AND(V1383&gt;=75,V1383&lt;=175,W1383&gt;=65,W1383&lt;110),0.17,0)+IF(AND(V1383&gt;=75,V1383&lt;=175,W1383&gt;=110),0.12,0)+IF(AND(V1383&gt;175,W1383&lt;25),0.3,0)+IF(AND(V1383&gt;175,W1383&gt;=25,W1383&lt;55),0.23,0)+IF(AND(V1383&gt;175,W1383&gt;=55,W1383&lt;95),0.17,0)+IF(AND(V1383&gt;175,W1383&gt;=95),0.12,0),
IF(AF1383="DoEVni",IF(AND(V1383&lt;20,W1383&lt;55),0.3,0)+IF(AND(V1383&lt;20,W1383&gt;=55,W1383&lt;105),0.23,0)+IF(AND(V1383&lt;20,W1383&gt;=105),0.17,0)+IF(AND(V1383&gt;=20,V1383&lt;40,W1383&lt;45),0.3,0)+IF(AND(V1383&gt;=20,V1383&lt;40,W1383&gt;=45,W1383&lt;95),0.23,0)+IF(AND(V1383&gt;=20,V1383&lt;40,W1383&gt;=95,W1383&lt;=200),0.17,0)+IF(AND(V1383&gt;=20,V1383&lt;40,W1383&gt;=200),0.12,0)+IF(AND(V1383&gt;=40,V1383&lt;75,W1383&lt;35),0.3,0)+IF(AND(V1383&gt;=40,V1383&lt;75,W1383&gt;=35,W1383&lt;75),0.23,0)+IF(AND(V1383&gt;=40,V1383&lt;75,W1383&gt;=75,W1383&lt;120),0.17,0)+IF(AND(V1383&gt;=40,V1383&lt;75,W1383&gt;=120),0.12,0)+IF(AND(V1383&gt;=75,V1383&lt;175,W1383&lt;35),0.3,0)+IF(AND(V1383&gt;=75,V1383&lt;=175,W1383&gt;=35,W1383&lt;65),0.23,0)+IF(AND(V1383&gt;=75,V1383&lt;=175,W1383&gt;=65,W1383&lt;110),0.17,0)+IF(AND(V1383&gt;=75,V1383&lt;=175,W1383&gt;=110),0.12,0)+IF(AND(V1383&gt;175,W1383&lt;25),0.3,0)+IF(AND(V1383&gt;175,W1383&gt;=25,W1383&lt;55),0.23,0)+IF(AND(V1383&gt;175,W1383&gt;=55,W1383&lt;95),0.17,0)+IF(AND(V1383&gt;175,W1383&gt;=95),0.12,0),
IF(AF1383="DoEVLo",IF(AND(V1383&lt;20,W1383&lt;55),0.25,0)+IF(AND(V1383&lt;20,W1383&gt;=55,W1383&lt;105),0.2,0)+IF(AND(V1383&lt;20,W1383&gt;=105),0.15,0)+IF(AND(V1383&gt;=20,V1383&lt;40,W1383&lt;45),0.25,0)+IF(AND(V1383&gt;=20,V1383&lt;40,W1383&gt;=45,W1383&lt;95),0.2,0)+IF(AND(V1383&gt;=20,V1383&lt;40,W1383&gt;=95),0.15,0)+IF(AND(V1383&gt;=40,V1383&lt;75,W1383&lt;35),0.25,0)+IF(AND(V1383&gt;=40,V1383&lt;75,W1383&gt;=35,W1383&lt;75),0.2,0)+IF(AND(V1383&gt;=40,V1383&lt;75,W1383&gt;=75,W1383&lt;120),0.15,0)+IF(AND(V1383&gt;=40,V1383&lt;75,W1383&gt;=120),0.1,0)+IF(AND(V1383&gt;=75,V1383&lt;175,W1383&lt;35),0.25,0)+IF(AND(V1383&gt;=75,V1383&lt;=175,W1383&gt;=35,W1383&lt;65),0.2,0)+IF(AND(V1383&gt;=75,V1383&lt;=175,W1383&gt;=65,W1383&lt;110),0.15,0)+IF(AND(V1383&gt;=75,V1383&lt;=175,W1383&gt;=110),0.1,0)+IF(AND(V1383&gt;175,W1383&lt;25),0.25,0)+IF(AND(V1383&gt;175,W1383&gt;=25,W1383&lt;55),0.2,0)+IF(AND(V1383&gt;175,W1383&gt;=55,W1383&lt;95),0.15,0)+IF(AND(V1383&gt;175,W1383&gt;=95),0.1,0))))))))))))))))))</f>
        <v>0</v>
      </c>
      <c r="Y1383" s="78">
        <v>0.22</v>
      </c>
      <c r="Z1383" s="35">
        <f>T1383-AA1383-AB1383</f>
        <v>4502.9400000000005</v>
      </c>
      <c r="AA1383" s="29">
        <f>IF(AD1383="EUR",((T1383-R1383)*X1383)*U1383+(R1383*X1383),(T1383*X1383))</f>
        <v>0</v>
      </c>
      <c r="AB1383" s="36">
        <f>IF(AD1383="EUR",((T1383-R1383)*Y1383)*U1383+(R1383*Y1383),(T1383*Y1383))</f>
        <v>1270.06</v>
      </c>
      <c r="AC1383" s="61" t="b">
        <v>1</v>
      </c>
      <c r="AD1383" s="37" t="s">
        <v>38</v>
      </c>
      <c r="AE1383" s="37" t="s">
        <v>38</v>
      </c>
      <c r="AF1383" s="37" t="str">
        <f t="array" ref="AF1383">INDEX('Deal Info'!D:D, MATCH(A1383,'Deal Info'!A:A, 0))</f>
        <v>None</v>
      </c>
      <c r="AG1383" s="38" t="str">
        <f t="array" ref="AG1383">INDEX('Deal Info'!G:G, MATCH(A1383,'Deal Info'!A:A, 0))</f>
        <v>guilexperi</v>
      </c>
    </row>
    <row r="1384" spans="1:33" ht="14.25" hidden="1" x14ac:dyDescent="0.2">
      <c r="A1384" s="18" t="str">
        <f t="array" ref="A1384">IF(G1384='Room Info'!$B$1, INDEX('Room Info'!$A$2:$A2446, MATCH(B1384,'Room Info'!$B$2:$B2446, 0)),IF(G1384='Room Info'!$C$1, INDEX('Room Info'!$A$2:$A2446, MATCH(B1384,'Room Info'!$C$2:$C2446, 0)),IF(G1384='Room Info'!$D$1, INDEX('Room Info'!$A$2:$A2446, MATCH(B1384,'Room Info'!$D$2:$D2446, 0)),IF(G1384='Room Info'!$E$1, INDEX('Room Info'!$A$2:$A2446, MATCH(B1384,'Room Info'!$E$2:$E2446, 0)),IF(G1384='Room Info'!$F$1, INDEX('Room Info'!$A$2:$A2446, MATCH(B1384,'Room Info'!$F$2:$F2446, 0)),IF(G1384='Room Info'!$H$1, INDEX('Room Info'!$A$2:$A2446, MATCH(B1384,'Room Info'!$H$2:$H2446, 0)),IF(G1384='Room Info'!$G$1, INDEX('Room Info'!$A$2:$A2446, MATCH(B1384,'Room Info'!$G$2:$G2446, 0)))))))))</f>
        <v>guilexperi</v>
      </c>
      <c r="B1384" s="45" t="s">
        <v>208</v>
      </c>
      <c r="C1384" s="46">
        <v>44896</v>
      </c>
      <c r="D1384" s="46">
        <v>44915</v>
      </c>
      <c r="E1384" s="47">
        <v>44896</v>
      </c>
      <c r="F1384" s="48" t="s">
        <v>49</v>
      </c>
      <c r="G1384" s="45" t="s">
        <v>35</v>
      </c>
      <c r="H1384" s="49" t="s">
        <v>212</v>
      </c>
      <c r="I1384" s="49" t="s">
        <v>174</v>
      </c>
      <c r="J1384" s="50">
        <v>300</v>
      </c>
      <c r="K1384" s="51">
        <v>179</v>
      </c>
      <c r="L1384" s="52">
        <v>6584</v>
      </c>
      <c r="M1384" s="53">
        <v>253</v>
      </c>
      <c r="N1384" s="28">
        <f>K1384*J1384</f>
        <v>53700</v>
      </c>
      <c r="O1384" s="54">
        <v>4997</v>
      </c>
      <c r="P1384" s="29">
        <v>27.91620112</v>
      </c>
      <c r="Q1384" s="55"/>
      <c r="R1384" s="31">
        <f>M1384+Q1384</f>
        <v>253</v>
      </c>
      <c r="S1384" s="117">
        <v>2103</v>
      </c>
      <c r="T1384" s="32">
        <f>R1384+S1384+IF(F1384="Without EV deal",L1384,0)</f>
        <v>2356</v>
      </c>
      <c r="U1384" s="57"/>
      <c r="V1384" s="58"/>
      <c r="W1384" s="58"/>
      <c r="X1384" s="30" t="b">
        <f>IF(AF1384="DoEV",IF(AND(V1384&lt;20,W1384&lt;55),0.3,0)+IF(AND(V1384&lt;20,W1384&gt;=55,W1384&lt;105),0.23,0)+IF(AND(V1384&lt;20,W1384&gt;=105),0.17,0)+IF(AND(V1384&gt;=20,V1384&lt;40,W1384&lt;45),0.3,0)+IF(AND(V1384&gt;=20,V1384&lt;40,W1384&gt;=45,W1384&lt;95),0.23,0)+IF(AND(V1384&gt;=20,V1384&lt;40,W1384&gt;=95),0.17,0)+IF(AND(V1384&gt;=40,V1384&lt;75,W1384&lt;35),0.3,0)+IF(AND(V1384&gt;=40,V1384&lt;75,W1384&gt;=35,W1384&lt;75),0.23,0)+IF(AND(V1384&gt;=40,V1384&lt;75,W1384&gt;=75,W1384&lt;120),0.17,0)+IF(AND(V1384&gt;=40,V1384&lt;75,W1384&gt;=120),0.12,0)+IF(AND(V1384&gt;=75,V1384&lt;175,W1384&lt;35),0.3,0)+IF(AND(V1384&gt;=75,V1384&lt;=175,W1384&gt;=35,W1384&lt;65),0.23,0)+IF(AND(V1384&gt;=75,V1384&lt;=175,W1384&gt;=65,W1384&lt;110),0.17,0)+IF(AND(V1384&gt;=75,V1384&lt;=175,W1384&gt;=110),0.12,0)+IF(AND(V1384&gt;175,W1384&lt;25),0.3,0)+IF(AND(V1384&gt;175,W1384&gt;=25,W1384&lt;55),0.23,0)+IF(AND(V1384&gt;175,W1384&gt;=55,W1384&lt;95),0.17,0)+IF(AND(V1384&gt;175,W1384&gt;=95),0.12,0),
IF(AF1384="Fix15",0.15,
IF(AF1384="Fix18.75",0.1875,
IF(AF1384="Fix11.25",0.1125,
IF(AF1384="Fix10",0.1,
IF(AF1384="Fix9",0.09,
IF(AF1384="Fix19",0.19,
IF(AF1384="DoEV2017",IF(AND(W1384&lt;74),0.2,0)+IF(AND(W1384&gt;=74),0.17,0),
IF(AF1384="SF",IF(AND(V1384&lt;20,W1384&lt;89),0.3,0)+IF(AND(V1384&lt;20,W1384&gt;=89),0.25,0)+IF(AND(V1384&gt;=20,V1384&lt;40,W1384&lt;74),0.3,0)+IF(AND(V1384&gt;=20,V1384&lt;40,W1384&gt;=75),0.22,0)+IF(AND(V1384&gt;=40,V1384&lt;75,W1384&lt;75),0.26,0)+IF(AND(V1384&gt;=40,V1384&lt;75,W1384&gt;=75),0.22,0)+IF(V1384&gt;=75,0.22,0),
IF(AF1384="DoEVold",IF(AND(V1384&lt;40,W1384&lt;35),0.35,0)+IF(AND(V1384&lt;40,W1384&gt;=35,W1384&lt;75),0.25,0)+IF(AND(V1384&lt;40,W1384&gt;=75),0.17,0)+IF(AND(V1384&gt;=40,V1384&lt;75,W1384&lt;25),0.35,0)+IF(AND(V1384&gt;=40,V1384&lt;75,W1384&gt;=25,W1384&lt;65),0.25,0)+IF(AND(V1384&gt;=40,V1384&lt;75,W1384&gt;=65,W1384&lt;100),0.17,0)+IF(AND(V1384&gt;=40,V1384&lt;75,W1384&gt;=100),0.1,0)+IF(AND(V1384&gt;=75,W1384&lt;25),0.35,0)+IF(AND(V1384&gt;=75,W1384&gt;=25,W1384&lt;60),0.25,0)+IF(AND(V1384&gt;=75,W1384&gt;=60,W1384&lt;95),0.17,0)+IF(AND(V1384&gt;=75,W1384&gt;=95),0.1,0),
IF(AF1384="DoEVold15",IF(AND(V1384&lt;=40,W1384&lt;35),0.35,0)+IF(AND(V1384&lt;=40,W1384&gt;=35,W1384&lt;75),0.25,0)+IF(AND(V1384&lt;=40,W1384&gt;=75,W1384&lt;120),0.17,0)+IF(AND(V1384&lt;=40,W1384&gt;=120),0.15,0)+IF(AND(V1384&gt;40,V1384&lt;75,W1384&lt;25),0.35,0)+IF(AND(V1384&gt;=40,V1384&lt;75,W1384&gt;=25,W1384&lt;65),0.25,0)+IF(AND(V1384&gt;=40,V1384&lt;75,W1384&gt;=65,W1384&lt;100),0.17,0)+IF(AND(V1384&gt;=40,V1384&lt;75,W1384&gt;=100),0.1,0)+IF(AND(V1384&gt;=75,W1384&lt;25),0.35,0)+IF(AND(V1384&gt;=75,W1384&gt;=25,W1384&lt;60),0.25,0)+IF(AND(V1384&gt;=75,W1384&gt;=60,W1384&lt;95),0.17,0)+IF(AND(V1384&gt;=75,W1384&gt;=95),0.1,0),
IF(AF1384="DoEVba",IF(AND(V1384&lt;20,W1384&lt;105),0.2,0)+IF(AND(V1384&lt;20,W1384&gt;=105),0.15,0)+IF(AND(V1384&gt;=20,V1384&lt;40,W1384&lt;95),0.2,0)+IF(AND(V1384&gt;=20,V1384&lt;40,W1384&gt;=95,W1384&lt;150),0.15,0)+IF(AND(V1384&gt;=20,V1384&lt;40,W1384&gt;=150),0.12,0)+IF(AND(V1384&gt;=40,V1384&lt;75,W1384&lt;75),0.2,0)+IF(AND(V1384&gt;=40,V1384&lt;75,W1384&gt;=75,W1384&lt;120),0.15,0)+IF(AND(V1384&gt;=40,V1384&lt;75,W1384&gt;=120),0.12,0)+IF(AND(V1384&gt;=75,V1384&lt;175,W1384&lt;65),0.2,0)+IF(AND(V1384&gt;=75,V1384&lt;175,W1384&gt;=65,W1384&lt;110),0.15,0)+IF(AND(V1384&gt;=75,V1384&lt;175,W1384&gt;=110),0.12,0)+IF(AND(V1384&gt;=175,W1384&lt;55),0.2,0)+IF(AND(V1384&gt;=175,W1384&gt;=55,W1384&lt;95),0.15,0)+IF(AND(V1384&gt;=175,W1384&gt;=95),0.12,0),
IF(AF1384="DoEVku",IF(AND(V1384&lt;20,W1384&lt;55),0.23,0)+IF(AND(V1384&lt;20,W1384&gt;=55,W1384&lt;105),0.2,0)+IF(AND(V1384&lt;20,W1384&gt;=105),0.17,0)+IF(AND(V1384&gt;=20,V1384&lt;40,W1384&lt;45),0.23,0)+IF(AND(V1384&gt;=20,V1384&lt;40,W1384&gt;=45,W1384&lt;95),0.2,0)+IF(AND(V1384&gt;=20,V1384&lt;40,W1384&gt;=95,W1384&lt;=150),0.17,0)+IF(AND(V1384&gt;=20,V1384&lt;40,W1384&gt;=150),0.12,0)+IF(AND(V1384&gt;=40,V1384&lt;75,W1384&lt;35),0.23,0)+IF(AND(V1384&gt;=40,V1384&lt;75,W1384&gt;=35,W1384&lt;75),0.2,0)+IF(AND(V1384&gt;=40,V1384&lt;75,W1384&gt;=75,W1384&lt;120),0.17,0)+IF(AND(V1384&gt;=40,V1384&lt;75,W1384&gt;=120),0.12,0)+IF(AND(V1384&gt;=75,V1384&lt;175,W1384&lt;35),0.23,0)+IF(AND(V1384&gt;=75,V1384&lt;=175,W1384&gt;=35,W1384&lt;65),0.2,0)+IF(AND(V1384&gt;=75,V1384&lt;=175,W1384&gt;=65,W1384&lt;110),0.17,0)+IF(AND(V1384&gt;=75,V1384&lt;=175,W1384&gt;=110),0.12,0)+IF(AND(V1384&gt;175,W1384&lt;25),0.23,0)+IF(AND(V1384&gt;175,W1384&gt;=25,W1384&lt;55),0.2,0)+IF(AND(V1384&gt;175,W1384&gt;=55,W1384&lt;95),0.17,0)+IF(AND(V1384&gt;175,W1384&gt;=95),0.12,0),
IF(AF1384="DoEVs1",IF(AND(V1384&lt;20,W1384&lt;55),0.3,0)+IF(AND(V1384&lt;20,W1384&gt;=55,W1384&lt;105),0.23,0)+IF(AND(V1384&lt;20,W1384&gt;=105),0.17,0)+IF(AND(V1384&gt;=20,V1384&lt;40,W1384&lt;45),0.3,0)+IF(AND(V1384&gt;=20,V1384&lt;40,W1384&gt;=45,W1384&lt;95),0.23,0)+IF(AND(V1384&gt;=20,V1384&lt;40,W1384&gt;=95,W1384&lt;=150),0.17,0)+IF(AND(V1384&gt;=20,V1384&lt;40,W1384&gt;=150),0.12,0)+IF(AND(V1384&gt;=40,V1384&lt;75,W1384&lt;35),0.3,0)+IF(AND(V1384&gt;=40,V1384&lt;75,W1384&gt;=35,W1384&lt;75),0.23,0)+IF(AND(V1384&gt;=40,V1384&lt;75,W1384&gt;=75,W1384&lt;120),0.17,0)+IF(AND(V1384&gt;=40,V1384&lt;75,W1384&gt;=120),0.12,0)+IF(AND(V1384&gt;=75,V1384&lt;175,W1384&lt;35),0.3,0)+IF(AND(V1384&gt;=75,V1384&lt;=175,W1384&gt;=35,W1384&lt;65),0.23,0)+IF(AND(V1384&gt;=75,V1384&lt;=175,W1384&gt;=65,W1384&lt;110),0.17,0)+IF(AND(V1384&gt;=75,V1384&lt;=175,W1384&gt;=110),0.12,0)+IF(AND(V1384&gt;175,W1384&lt;25),0.3,0)+IF(AND(V1384&gt;175,W1384&gt;=25,W1384&lt;55),0.23,0)+IF(AND(V1384&gt;175,W1384&gt;=55,W1384&lt;95),0.17,0)+IF(AND(V1384&gt;175,W1384&gt;=95),0.12,0),
IF(AF1384="DoEVsu",IF(AND(V1384&lt;20,W1384&lt;55),0.3,0)+IF(AND(V1384&lt;20,W1384&gt;=55,W1384&lt;105),0.23,0)+IF(AND(V1384&lt;20,W1384&gt;=105),0.17,0)+IF(AND(V1384&gt;=20,V1384&lt;40,W1384&lt;45),0.3,0)+IF(AND(V1384&gt;=20,V1384&lt;40,W1384&gt;=45,W1384&lt;95),0.23,0)+IF(AND(V1384&gt;=20,V1384&lt;40,W1384&gt;=95,W1384&lt;=250),0.17,0)+IF(AND(V1384&gt;=20,V1384&lt;40,W1384&gt;=250),0.12,0)+IF(AND(V1384&gt;=40,V1384&lt;75,W1384&lt;35),0.3,0)+IF(AND(V1384&gt;=40,V1384&lt;75,W1384&gt;=35,W1384&lt;75),0.23,0)+IF(AND(V1384&gt;=40,V1384&lt;75,W1384&gt;=75,W1384&lt;120),0.17,0)+IF(AND(V1384&gt;=40,V1384&lt;75,W1384&gt;=120),0.12,0)+IF(AND(V1384&gt;=75,V1384&lt;175,W1384&lt;35),0.3,0)+IF(AND(V1384&gt;=75,V1384&lt;=175,W1384&gt;=35,W1384&lt;65),0.23,0)+IF(AND(V1384&gt;=75,V1384&lt;=175,W1384&gt;=65,W1384&lt;110),0.17,0)+IF(AND(V1384&gt;=75,V1384&lt;=175,W1384&gt;=110),0.12,0)+IF(AND(V1384&gt;175,W1384&lt;25),0.3,0)+IF(AND(V1384&gt;175,W1384&gt;=25,W1384&lt;55),0.23,0)+IF(AND(V1384&gt;175,W1384&gt;=55,W1384&lt;95),0.17,0)+IF(AND(V1384&gt;175,W1384&gt;=95),0.12,0),
IF(AF1384="DoEVni",IF(AND(V1384&lt;20,W1384&lt;55),0.3,0)+IF(AND(V1384&lt;20,W1384&gt;=55,W1384&lt;105),0.23,0)+IF(AND(V1384&lt;20,W1384&gt;=105),0.17,0)+IF(AND(V1384&gt;=20,V1384&lt;40,W1384&lt;45),0.3,0)+IF(AND(V1384&gt;=20,V1384&lt;40,W1384&gt;=45,W1384&lt;95),0.23,0)+IF(AND(V1384&gt;=20,V1384&lt;40,W1384&gt;=95,W1384&lt;=200),0.17,0)+IF(AND(V1384&gt;=20,V1384&lt;40,W1384&gt;=200),0.12,0)+IF(AND(V1384&gt;=40,V1384&lt;75,W1384&lt;35),0.3,0)+IF(AND(V1384&gt;=40,V1384&lt;75,W1384&gt;=35,W1384&lt;75),0.23,0)+IF(AND(V1384&gt;=40,V1384&lt;75,W1384&gt;=75,W1384&lt;120),0.17,0)+IF(AND(V1384&gt;=40,V1384&lt;75,W1384&gt;=120),0.12,0)+IF(AND(V1384&gt;=75,V1384&lt;175,W1384&lt;35),0.3,0)+IF(AND(V1384&gt;=75,V1384&lt;=175,W1384&gt;=35,W1384&lt;65),0.23,0)+IF(AND(V1384&gt;=75,V1384&lt;=175,W1384&gt;=65,W1384&lt;110),0.17,0)+IF(AND(V1384&gt;=75,V1384&lt;=175,W1384&gt;=110),0.12,0)+IF(AND(V1384&gt;175,W1384&lt;25),0.3,0)+IF(AND(V1384&gt;175,W1384&gt;=25,W1384&lt;55),0.23,0)+IF(AND(V1384&gt;175,W1384&gt;=55,W1384&lt;95),0.17,0)+IF(AND(V1384&gt;175,W1384&gt;=95),0.12,0),
IF(AF1384="DoEVLo",IF(AND(V1384&lt;20,W1384&lt;55),0.25,0)+IF(AND(V1384&lt;20,W1384&gt;=55,W1384&lt;105),0.2,0)+IF(AND(V1384&lt;20,W1384&gt;=105),0.15,0)+IF(AND(V1384&gt;=20,V1384&lt;40,W1384&lt;45),0.25,0)+IF(AND(V1384&gt;=20,V1384&lt;40,W1384&gt;=45,W1384&lt;95),0.2,0)+IF(AND(V1384&gt;=20,V1384&lt;40,W1384&gt;=95),0.15,0)+IF(AND(V1384&gt;=40,V1384&lt;75,W1384&lt;35),0.25,0)+IF(AND(V1384&gt;=40,V1384&lt;75,W1384&gt;=35,W1384&lt;75),0.2,0)+IF(AND(V1384&gt;=40,V1384&lt;75,W1384&gt;=75,W1384&lt;120),0.15,0)+IF(AND(V1384&gt;=40,V1384&lt;75,W1384&gt;=120),0.1,0)+IF(AND(V1384&gt;=75,V1384&lt;175,W1384&lt;35),0.25,0)+IF(AND(V1384&gt;=75,V1384&lt;=175,W1384&gt;=35,W1384&lt;65),0.2,0)+IF(AND(V1384&gt;=75,V1384&lt;=175,W1384&gt;=65,W1384&lt;110),0.15,0)+IF(AND(V1384&gt;=75,V1384&lt;=175,W1384&gt;=110),0.1,0)+IF(AND(V1384&gt;175,W1384&lt;25),0.25,0)+IF(AND(V1384&gt;175,W1384&gt;=25,W1384&lt;55),0.2,0)+IF(AND(V1384&gt;175,W1384&gt;=55,W1384&lt;95),0.15,0)+IF(AND(V1384&gt;175,W1384&gt;=95),0.1,0))))))))))))))))))</f>
        <v>0</v>
      </c>
      <c r="Y1384" s="78">
        <v>0.22</v>
      </c>
      <c r="Z1384" s="35">
        <f>T1384-AA1384-AB1384</f>
        <v>1837.6799999999998</v>
      </c>
      <c r="AA1384" s="29">
        <f>IF(AD1384="EUR",((T1384-R1384)*X1384)*U1384+(R1384*X1384),(T1384*X1384))</f>
        <v>0</v>
      </c>
      <c r="AB1384" s="36">
        <f>IF(AD1384="EUR",((T1384-R1384)*Y1384)*U1384+(R1384*Y1384),(T1384*Y1384))</f>
        <v>518.32000000000005</v>
      </c>
      <c r="AC1384" s="61" t="b">
        <v>1</v>
      </c>
      <c r="AD1384" s="37" t="s">
        <v>38</v>
      </c>
      <c r="AE1384" s="37" t="s">
        <v>38</v>
      </c>
      <c r="AF1384" s="37" t="str">
        <f t="array" ref="AF1384">INDEX('Deal Info'!D:D, MATCH(A1384,'Deal Info'!A:A, 0))</f>
        <v>None</v>
      </c>
      <c r="AG1384" s="38" t="str">
        <f t="array" ref="AG1384">INDEX('Deal Info'!G:G, MATCH(A1384,'Deal Info'!A:A, 0))</f>
        <v>guilexperi</v>
      </c>
    </row>
    <row r="1385" spans="1:33" ht="14.25" hidden="1" x14ac:dyDescent="0.2">
      <c r="A1385" s="18" t="str">
        <f t="array" ref="A1385">IF(G1385='Room Info'!$B$1, INDEX('Room Info'!$A$2:$A2446, MATCH(B1385,'Room Info'!$B$2:$B2446, 0)),IF(G1385='Room Info'!$C$1, INDEX('Room Info'!$A$2:$A2446, MATCH(B1385,'Room Info'!$C$2:$C2446, 0)),IF(G1385='Room Info'!$D$1, INDEX('Room Info'!$A$2:$A2446, MATCH(B1385,'Room Info'!$D$2:$D2446, 0)),IF(G1385='Room Info'!$E$1, INDEX('Room Info'!$A$2:$A2446, MATCH(B1385,'Room Info'!$E$2:$E2446, 0)),IF(G1385='Room Info'!$F$1, INDEX('Room Info'!$A$2:$A2446, MATCH(B1385,'Room Info'!$F$2:$F2446, 0)),IF(G1385='Room Info'!$H$1, INDEX('Room Info'!$A$2:$A2446, MATCH(B1385,'Room Info'!$H$2:$H2446, 0)),IF(G1385='Room Info'!$G$1, INDEX('Room Info'!$A$2:$A2446, MATCH(B1385,'Room Info'!$G$2:$G2446, 0)))))))))</f>
        <v>guilexperi</v>
      </c>
      <c r="B1385" s="45" t="s">
        <v>208</v>
      </c>
      <c r="C1385" s="46">
        <v>44896</v>
      </c>
      <c r="D1385" s="46">
        <v>44915</v>
      </c>
      <c r="E1385" s="47">
        <v>44896</v>
      </c>
      <c r="F1385" s="48" t="s">
        <v>49</v>
      </c>
      <c r="G1385" s="45" t="s">
        <v>35</v>
      </c>
      <c r="H1385" s="49" t="s">
        <v>142</v>
      </c>
      <c r="I1385" s="49" t="s">
        <v>37</v>
      </c>
      <c r="J1385" s="50">
        <v>500</v>
      </c>
      <c r="K1385" s="51">
        <v>719</v>
      </c>
      <c r="L1385" s="52">
        <v>-14500</v>
      </c>
      <c r="M1385" s="53">
        <v>5654</v>
      </c>
      <c r="N1385" s="28">
        <f>K1385*J1385</f>
        <v>359500</v>
      </c>
      <c r="O1385" s="54">
        <v>-1647</v>
      </c>
      <c r="P1385" s="29">
        <v>-2.290681502</v>
      </c>
      <c r="Q1385" s="55"/>
      <c r="R1385" s="31">
        <f>M1385+Q1385</f>
        <v>5654</v>
      </c>
      <c r="S1385" s="117">
        <v>-20140</v>
      </c>
      <c r="T1385" s="32">
        <f>R1385+S1385+IF(F1385="Without EV deal",L1385,0)</f>
        <v>-14486</v>
      </c>
      <c r="U1385" s="57"/>
      <c r="V1385" s="58"/>
      <c r="W1385" s="58"/>
      <c r="X1385" s="30" t="b">
        <f>IF(AF1385="DoEV",IF(AND(V1385&lt;20,W1385&lt;55),0.3,0)+IF(AND(V1385&lt;20,W1385&gt;=55,W1385&lt;105),0.23,0)+IF(AND(V1385&lt;20,W1385&gt;=105),0.17,0)+IF(AND(V1385&gt;=20,V1385&lt;40,W1385&lt;45),0.3,0)+IF(AND(V1385&gt;=20,V1385&lt;40,W1385&gt;=45,W1385&lt;95),0.23,0)+IF(AND(V1385&gt;=20,V1385&lt;40,W1385&gt;=95),0.17,0)+IF(AND(V1385&gt;=40,V1385&lt;75,W1385&lt;35),0.3,0)+IF(AND(V1385&gt;=40,V1385&lt;75,W1385&gt;=35,W1385&lt;75),0.23,0)+IF(AND(V1385&gt;=40,V1385&lt;75,W1385&gt;=75,W1385&lt;120),0.17,0)+IF(AND(V1385&gt;=40,V1385&lt;75,W1385&gt;=120),0.12,0)+IF(AND(V1385&gt;=75,V1385&lt;175,W1385&lt;35),0.3,0)+IF(AND(V1385&gt;=75,V1385&lt;=175,W1385&gt;=35,W1385&lt;65),0.23,0)+IF(AND(V1385&gt;=75,V1385&lt;=175,W1385&gt;=65,W1385&lt;110),0.17,0)+IF(AND(V1385&gt;=75,V1385&lt;=175,W1385&gt;=110),0.12,0)+IF(AND(V1385&gt;175,W1385&lt;25),0.3,0)+IF(AND(V1385&gt;175,W1385&gt;=25,W1385&lt;55),0.23,0)+IF(AND(V1385&gt;175,W1385&gt;=55,W1385&lt;95),0.17,0)+IF(AND(V1385&gt;175,W1385&gt;=95),0.12,0),
IF(AF1385="Fix15",0.15,
IF(AF1385="Fix18.75",0.1875,
IF(AF1385="Fix11.25",0.1125,
IF(AF1385="Fix10",0.1,
IF(AF1385="Fix9",0.09,
IF(AF1385="Fix19",0.19,
IF(AF1385="DoEV2017",IF(AND(W1385&lt;74),0.2,0)+IF(AND(W1385&gt;=74),0.17,0),
IF(AF1385="SF",IF(AND(V1385&lt;20,W1385&lt;89),0.3,0)+IF(AND(V1385&lt;20,W1385&gt;=89),0.25,0)+IF(AND(V1385&gt;=20,V1385&lt;40,W1385&lt;74),0.3,0)+IF(AND(V1385&gt;=20,V1385&lt;40,W1385&gt;=75),0.22,0)+IF(AND(V1385&gt;=40,V1385&lt;75,W1385&lt;75),0.26,0)+IF(AND(V1385&gt;=40,V1385&lt;75,W1385&gt;=75),0.22,0)+IF(V1385&gt;=75,0.22,0),
IF(AF1385="DoEVold",IF(AND(V1385&lt;40,W1385&lt;35),0.35,0)+IF(AND(V1385&lt;40,W1385&gt;=35,W1385&lt;75),0.25,0)+IF(AND(V1385&lt;40,W1385&gt;=75),0.17,0)+IF(AND(V1385&gt;=40,V1385&lt;75,W1385&lt;25),0.35,0)+IF(AND(V1385&gt;=40,V1385&lt;75,W1385&gt;=25,W1385&lt;65),0.25,0)+IF(AND(V1385&gt;=40,V1385&lt;75,W1385&gt;=65,W1385&lt;100),0.17,0)+IF(AND(V1385&gt;=40,V1385&lt;75,W1385&gt;=100),0.1,0)+IF(AND(V1385&gt;=75,W1385&lt;25),0.35,0)+IF(AND(V1385&gt;=75,W1385&gt;=25,W1385&lt;60),0.25,0)+IF(AND(V1385&gt;=75,W1385&gt;=60,W1385&lt;95),0.17,0)+IF(AND(V1385&gt;=75,W1385&gt;=95),0.1,0),
IF(AF1385="DoEVold15",IF(AND(V1385&lt;=40,W1385&lt;35),0.35,0)+IF(AND(V1385&lt;=40,W1385&gt;=35,W1385&lt;75),0.25,0)+IF(AND(V1385&lt;=40,W1385&gt;=75,W1385&lt;120),0.17,0)+IF(AND(V1385&lt;=40,W1385&gt;=120),0.15,0)+IF(AND(V1385&gt;40,V1385&lt;75,W1385&lt;25),0.35,0)+IF(AND(V1385&gt;=40,V1385&lt;75,W1385&gt;=25,W1385&lt;65),0.25,0)+IF(AND(V1385&gt;=40,V1385&lt;75,W1385&gt;=65,W1385&lt;100),0.17,0)+IF(AND(V1385&gt;=40,V1385&lt;75,W1385&gt;=100),0.1,0)+IF(AND(V1385&gt;=75,W1385&lt;25),0.35,0)+IF(AND(V1385&gt;=75,W1385&gt;=25,W1385&lt;60),0.25,0)+IF(AND(V1385&gt;=75,W1385&gt;=60,W1385&lt;95),0.17,0)+IF(AND(V1385&gt;=75,W1385&gt;=95),0.1,0),
IF(AF1385="DoEVba",IF(AND(V1385&lt;20,W1385&lt;105),0.2,0)+IF(AND(V1385&lt;20,W1385&gt;=105),0.15,0)+IF(AND(V1385&gt;=20,V1385&lt;40,W1385&lt;95),0.2,0)+IF(AND(V1385&gt;=20,V1385&lt;40,W1385&gt;=95,W1385&lt;150),0.15,0)+IF(AND(V1385&gt;=20,V1385&lt;40,W1385&gt;=150),0.12,0)+IF(AND(V1385&gt;=40,V1385&lt;75,W1385&lt;75),0.2,0)+IF(AND(V1385&gt;=40,V1385&lt;75,W1385&gt;=75,W1385&lt;120),0.15,0)+IF(AND(V1385&gt;=40,V1385&lt;75,W1385&gt;=120),0.12,0)+IF(AND(V1385&gt;=75,V1385&lt;175,W1385&lt;65),0.2,0)+IF(AND(V1385&gt;=75,V1385&lt;175,W1385&gt;=65,W1385&lt;110),0.15,0)+IF(AND(V1385&gt;=75,V1385&lt;175,W1385&gt;=110),0.12,0)+IF(AND(V1385&gt;=175,W1385&lt;55),0.2,0)+IF(AND(V1385&gt;=175,W1385&gt;=55,W1385&lt;95),0.15,0)+IF(AND(V1385&gt;=175,W1385&gt;=95),0.12,0),
IF(AF1385="DoEVku",IF(AND(V1385&lt;20,W1385&lt;55),0.23,0)+IF(AND(V1385&lt;20,W1385&gt;=55,W1385&lt;105),0.2,0)+IF(AND(V1385&lt;20,W1385&gt;=105),0.17,0)+IF(AND(V1385&gt;=20,V1385&lt;40,W1385&lt;45),0.23,0)+IF(AND(V1385&gt;=20,V1385&lt;40,W1385&gt;=45,W1385&lt;95),0.2,0)+IF(AND(V1385&gt;=20,V1385&lt;40,W1385&gt;=95,W1385&lt;=150),0.17,0)+IF(AND(V1385&gt;=20,V1385&lt;40,W1385&gt;=150),0.12,0)+IF(AND(V1385&gt;=40,V1385&lt;75,W1385&lt;35),0.23,0)+IF(AND(V1385&gt;=40,V1385&lt;75,W1385&gt;=35,W1385&lt;75),0.2,0)+IF(AND(V1385&gt;=40,V1385&lt;75,W1385&gt;=75,W1385&lt;120),0.17,0)+IF(AND(V1385&gt;=40,V1385&lt;75,W1385&gt;=120),0.12,0)+IF(AND(V1385&gt;=75,V1385&lt;175,W1385&lt;35),0.23,0)+IF(AND(V1385&gt;=75,V1385&lt;=175,W1385&gt;=35,W1385&lt;65),0.2,0)+IF(AND(V1385&gt;=75,V1385&lt;=175,W1385&gt;=65,W1385&lt;110),0.17,0)+IF(AND(V1385&gt;=75,V1385&lt;=175,W1385&gt;=110),0.12,0)+IF(AND(V1385&gt;175,W1385&lt;25),0.23,0)+IF(AND(V1385&gt;175,W1385&gt;=25,W1385&lt;55),0.2,0)+IF(AND(V1385&gt;175,W1385&gt;=55,W1385&lt;95),0.17,0)+IF(AND(V1385&gt;175,W1385&gt;=95),0.12,0),
IF(AF1385="DoEVs1",IF(AND(V1385&lt;20,W1385&lt;55),0.3,0)+IF(AND(V1385&lt;20,W1385&gt;=55,W1385&lt;105),0.23,0)+IF(AND(V1385&lt;20,W1385&gt;=105),0.17,0)+IF(AND(V1385&gt;=20,V1385&lt;40,W1385&lt;45),0.3,0)+IF(AND(V1385&gt;=20,V1385&lt;40,W1385&gt;=45,W1385&lt;95),0.23,0)+IF(AND(V1385&gt;=20,V1385&lt;40,W1385&gt;=95,W1385&lt;=150),0.17,0)+IF(AND(V1385&gt;=20,V1385&lt;40,W1385&gt;=150),0.12,0)+IF(AND(V1385&gt;=40,V1385&lt;75,W1385&lt;35),0.3,0)+IF(AND(V1385&gt;=40,V1385&lt;75,W1385&gt;=35,W1385&lt;75),0.23,0)+IF(AND(V1385&gt;=40,V1385&lt;75,W1385&gt;=75,W1385&lt;120),0.17,0)+IF(AND(V1385&gt;=40,V1385&lt;75,W1385&gt;=120),0.12,0)+IF(AND(V1385&gt;=75,V1385&lt;175,W1385&lt;35),0.3,0)+IF(AND(V1385&gt;=75,V1385&lt;=175,W1385&gt;=35,W1385&lt;65),0.23,0)+IF(AND(V1385&gt;=75,V1385&lt;=175,W1385&gt;=65,W1385&lt;110),0.17,0)+IF(AND(V1385&gt;=75,V1385&lt;=175,W1385&gt;=110),0.12,0)+IF(AND(V1385&gt;175,W1385&lt;25),0.3,0)+IF(AND(V1385&gt;175,W1385&gt;=25,W1385&lt;55),0.23,0)+IF(AND(V1385&gt;175,W1385&gt;=55,W1385&lt;95),0.17,0)+IF(AND(V1385&gt;175,W1385&gt;=95),0.12,0),
IF(AF1385="DoEVsu",IF(AND(V1385&lt;20,W1385&lt;55),0.3,0)+IF(AND(V1385&lt;20,W1385&gt;=55,W1385&lt;105),0.23,0)+IF(AND(V1385&lt;20,W1385&gt;=105),0.17,0)+IF(AND(V1385&gt;=20,V1385&lt;40,W1385&lt;45),0.3,0)+IF(AND(V1385&gt;=20,V1385&lt;40,W1385&gt;=45,W1385&lt;95),0.23,0)+IF(AND(V1385&gt;=20,V1385&lt;40,W1385&gt;=95,W1385&lt;=250),0.17,0)+IF(AND(V1385&gt;=20,V1385&lt;40,W1385&gt;=250),0.12,0)+IF(AND(V1385&gt;=40,V1385&lt;75,W1385&lt;35),0.3,0)+IF(AND(V1385&gt;=40,V1385&lt;75,W1385&gt;=35,W1385&lt;75),0.23,0)+IF(AND(V1385&gt;=40,V1385&lt;75,W1385&gt;=75,W1385&lt;120),0.17,0)+IF(AND(V1385&gt;=40,V1385&lt;75,W1385&gt;=120),0.12,0)+IF(AND(V1385&gt;=75,V1385&lt;175,W1385&lt;35),0.3,0)+IF(AND(V1385&gt;=75,V1385&lt;=175,W1385&gt;=35,W1385&lt;65),0.23,0)+IF(AND(V1385&gt;=75,V1385&lt;=175,W1385&gt;=65,W1385&lt;110),0.17,0)+IF(AND(V1385&gt;=75,V1385&lt;=175,W1385&gt;=110),0.12,0)+IF(AND(V1385&gt;175,W1385&lt;25),0.3,0)+IF(AND(V1385&gt;175,W1385&gt;=25,W1385&lt;55),0.23,0)+IF(AND(V1385&gt;175,W1385&gt;=55,W1385&lt;95),0.17,0)+IF(AND(V1385&gt;175,W1385&gt;=95),0.12,0),
IF(AF1385="DoEVni",IF(AND(V1385&lt;20,W1385&lt;55),0.3,0)+IF(AND(V1385&lt;20,W1385&gt;=55,W1385&lt;105),0.23,0)+IF(AND(V1385&lt;20,W1385&gt;=105),0.17,0)+IF(AND(V1385&gt;=20,V1385&lt;40,W1385&lt;45),0.3,0)+IF(AND(V1385&gt;=20,V1385&lt;40,W1385&gt;=45,W1385&lt;95),0.23,0)+IF(AND(V1385&gt;=20,V1385&lt;40,W1385&gt;=95,W1385&lt;=200),0.17,0)+IF(AND(V1385&gt;=20,V1385&lt;40,W1385&gt;=200),0.12,0)+IF(AND(V1385&gt;=40,V1385&lt;75,W1385&lt;35),0.3,0)+IF(AND(V1385&gt;=40,V1385&lt;75,W1385&gt;=35,W1385&lt;75),0.23,0)+IF(AND(V1385&gt;=40,V1385&lt;75,W1385&gt;=75,W1385&lt;120),0.17,0)+IF(AND(V1385&gt;=40,V1385&lt;75,W1385&gt;=120),0.12,0)+IF(AND(V1385&gt;=75,V1385&lt;175,W1385&lt;35),0.3,0)+IF(AND(V1385&gt;=75,V1385&lt;=175,W1385&gt;=35,W1385&lt;65),0.23,0)+IF(AND(V1385&gt;=75,V1385&lt;=175,W1385&gt;=65,W1385&lt;110),0.17,0)+IF(AND(V1385&gt;=75,V1385&lt;=175,W1385&gt;=110),0.12,0)+IF(AND(V1385&gt;175,W1385&lt;25),0.3,0)+IF(AND(V1385&gt;175,W1385&gt;=25,W1385&lt;55),0.23,0)+IF(AND(V1385&gt;175,W1385&gt;=55,W1385&lt;95),0.17,0)+IF(AND(V1385&gt;175,W1385&gt;=95),0.12,0),
IF(AF1385="DoEVLo",IF(AND(V1385&lt;20,W1385&lt;55),0.25,0)+IF(AND(V1385&lt;20,W1385&gt;=55,W1385&lt;105),0.2,0)+IF(AND(V1385&lt;20,W1385&gt;=105),0.15,0)+IF(AND(V1385&gt;=20,V1385&lt;40,W1385&lt;45),0.25,0)+IF(AND(V1385&gt;=20,V1385&lt;40,W1385&gt;=45,W1385&lt;95),0.2,0)+IF(AND(V1385&gt;=20,V1385&lt;40,W1385&gt;=95),0.15,0)+IF(AND(V1385&gt;=40,V1385&lt;75,W1385&lt;35),0.25,0)+IF(AND(V1385&gt;=40,V1385&lt;75,W1385&gt;=35,W1385&lt;75),0.2,0)+IF(AND(V1385&gt;=40,V1385&lt;75,W1385&gt;=75,W1385&lt;120),0.15,0)+IF(AND(V1385&gt;=40,V1385&lt;75,W1385&gt;=120),0.1,0)+IF(AND(V1385&gt;=75,V1385&lt;175,W1385&lt;35),0.25,0)+IF(AND(V1385&gt;=75,V1385&lt;=175,W1385&gt;=35,W1385&lt;65),0.2,0)+IF(AND(V1385&gt;=75,V1385&lt;=175,W1385&gt;=65,W1385&lt;110),0.15,0)+IF(AND(V1385&gt;=75,V1385&lt;=175,W1385&gt;=110),0.1,0)+IF(AND(V1385&gt;175,W1385&lt;25),0.25,0)+IF(AND(V1385&gt;175,W1385&gt;=25,W1385&lt;55),0.2,0)+IF(AND(V1385&gt;175,W1385&gt;=55,W1385&lt;95),0.15,0)+IF(AND(V1385&gt;175,W1385&gt;=95),0.1,0))))))))))))))))))</f>
        <v>0</v>
      </c>
      <c r="Y1385" s="78">
        <v>0.22</v>
      </c>
      <c r="Z1385" s="35">
        <f>T1385-AA1385-AB1385</f>
        <v>-11299.08</v>
      </c>
      <c r="AA1385" s="29">
        <f>IF(AD1385="EUR",((T1385-R1385)*X1385)*U1385+(R1385*X1385),(T1385*X1385))</f>
        <v>0</v>
      </c>
      <c r="AB1385" s="36">
        <f>IF(AD1385="EUR",((T1385-R1385)*Y1385)*U1385+(R1385*Y1385),(T1385*Y1385))</f>
        <v>-3186.92</v>
      </c>
      <c r="AC1385" s="61" t="b">
        <v>1</v>
      </c>
      <c r="AD1385" s="37" t="s">
        <v>38</v>
      </c>
      <c r="AE1385" s="37" t="s">
        <v>38</v>
      </c>
      <c r="AF1385" s="37" t="str">
        <f t="array" ref="AF1385">INDEX('Deal Info'!D:D, MATCH(A1385,'Deal Info'!A:A, 0))</f>
        <v>None</v>
      </c>
      <c r="AG1385" s="38" t="str">
        <f t="array" ref="AG1385">INDEX('Deal Info'!G:G, MATCH(A1385,'Deal Info'!A:A, 0))</f>
        <v>guilexperi</v>
      </c>
    </row>
    <row r="1386" spans="1:33" ht="14.25" hidden="1" x14ac:dyDescent="0.2">
      <c r="A1386" s="18" t="str">
        <f t="array" ref="A1386">IF(G1386='Room Info'!$B$1, INDEX('Room Info'!$A$2:$A2446, MATCH(B1386,'Room Info'!$B$2:$B2446, 0)),IF(G1386='Room Info'!$C$1, INDEX('Room Info'!$A$2:$A2446, MATCH(B1386,'Room Info'!$C$2:$C2446, 0)),IF(G1386='Room Info'!$D$1, INDEX('Room Info'!$A$2:$A2446, MATCH(B1386,'Room Info'!$D$2:$D2446, 0)),IF(G1386='Room Info'!$E$1, INDEX('Room Info'!$A$2:$A2446, MATCH(B1386,'Room Info'!$E$2:$E2446, 0)),IF(G1386='Room Info'!$F$1, INDEX('Room Info'!$A$2:$A2446, MATCH(B1386,'Room Info'!$F$2:$F2446, 0)),IF(G1386='Room Info'!$H$1, INDEX('Room Info'!$A$2:$A2446, MATCH(B1386,'Room Info'!$H$2:$H2446, 0)),IF(G1386='Room Info'!$G$1, INDEX('Room Info'!$A$2:$A2446, MATCH(B1386,'Room Info'!$G$2:$G2446, 0)))))))))</f>
        <v>guilexperi</v>
      </c>
      <c r="B1386" s="45" t="s">
        <v>208</v>
      </c>
      <c r="C1386" s="46">
        <v>44896</v>
      </c>
      <c r="D1386" s="46">
        <v>44915</v>
      </c>
      <c r="E1386" s="47">
        <v>44896</v>
      </c>
      <c r="F1386" s="48" t="s">
        <v>49</v>
      </c>
      <c r="G1386" s="45" t="s">
        <v>35</v>
      </c>
      <c r="H1386" s="49" t="s">
        <v>210</v>
      </c>
      <c r="I1386" s="49" t="s">
        <v>174</v>
      </c>
      <c r="J1386" s="50">
        <v>500</v>
      </c>
      <c r="K1386" s="51">
        <v>15</v>
      </c>
      <c r="L1386" s="52">
        <v>393</v>
      </c>
      <c r="M1386" s="53">
        <v>31</v>
      </c>
      <c r="N1386" s="28">
        <f>K1386*J1386</f>
        <v>7500</v>
      </c>
      <c r="O1386" s="54">
        <v>461</v>
      </c>
      <c r="P1386" s="29">
        <v>30.733333330000001</v>
      </c>
      <c r="Q1386" s="55"/>
      <c r="R1386" s="31">
        <f>M1386+Q1386</f>
        <v>31</v>
      </c>
      <c r="S1386" s="56">
        <v>348</v>
      </c>
      <c r="T1386" s="32">
        <f>R1386+S1386+IF(F1386="Without EV deal",L1386,0)</f>
        <v>379</v>
      </c>
      <c r="U1386" s="57"/>
      <c r="V1386" s="58"/>
      <c r="W1386" s="58"/>
      <c r="X1386" s="30" t="b">
        <f>IF(AF1386="DoEV",IF(AND(V1386&lt;20,W1386&lt;55),0.3,0)+IF(AND(V1386&lt;20,W1386&gt;=55,W1386&lt;105),0.23,0)+IF(AND(V1386&lt;20,W1386&gt;=105),0.17,0)+IF(AND(V1386&gt;=20,V1386&lt;40,W1386&lt;45),0.3,0)+IF(AND(V1386&gt;=20,V1386&lt;40,W1386&gt;=45,W1386&lt;95),0.23,0)+IF(AND(V1386&gt;=20,V1386&lt;40,W1386&gt;=95),0.17,0)+IF(AND(V1386&gt;=40,V1386&lt;75,W1386&lt;35),0.3,0)+IF(AND(V1386&gt;=40,V1386&lt;75,W1386&gt;=35,W1386&lt;75),0.23,0)+IF(AND(V1386&gt;=40,V1386&lt;75,W1386&gt;=75,W1386&lt;120),0.17,0)+IF(AND(V1386&gt;=40,V1386&lt;75,W1386&gt;=120),0.12,0)+IF(AND(V1386&gt;=75,V1386&lt;175,W1386&lt;35),0.3,0)+IF(AND(V1386&gt;=75,V1386&lt;=175,W1386&gt;=35,W1386&lt;65),0.23,0)+IF(AND(V1386&gt;=75,V1386&lt;=175,W1386&gt;=65,W1386&lt;110),0.17,0)+IF(AND(V1386&gt;=75,V1386&lt;=175,W1386&gt;=110),0.12,0)+IF(AND(V1386&gt;175,W1386&lt;25),0.3,0)+IF(AND(V1386&gt;175,W1386&gt;=25,W1386&lt;55),0.23,0)+IF(AND(V1386&gt;175,W1386&gt;=55,W1386&lt;95),0.17,0)+IF(AND(V1386&gt;175,W1386&gt;=95),0.12,0),
IF(AF1386="Fix15",0.15,
IF(AF1386="Fix18.75",0.1875,
IF(AF1386="Fix11.25",0.1125,
IF(AF1386="Fix10",0.1,
IF(AF1386="Fix9",0.09,
IF(AF1386="Fix19",0.19,
IF(AF1386="DoEV2017",IF(AND(W1386&lt;74),0.2,0)+IF(AND(W1386&gt;=74),0.17,0),
IF(AF1386="SF",IF(AND(V1386&lt;20,W1386&lt;89),0.3,0)+IF(AND(V1386&lt;20,W1386&gt;=89),0.25,0)+IF(AND(V1386&gt;=20,V1386&lt;40,W1386&lt;74),0.3,0)+IF(AND(V1386&gt;=20,V1386&lt;40,W1386&gt;=75),0.22,0)+IF(AND(V1386&gt;=40,V1386&lt;75,W1386&lt;75),0.26,0)+IF(AND(V1386&gt;=40,V1386&lt;75,W1386&gt;=75),0.22,0)+IF(V1386&gt;=75,0.22,0),
IF(AF1386="DoEVold",IF(AND(V1386&lt;40,W1386&lt;35),0.35,0)+IF(AND(V1386&lt;40,W1386&gt;=35,W1386&lt;75),0.25,0)+IF(AND(V1386&lt;40,W1386&gt;=75),0.17,0)+IF(AND(V1386&gt;=40,V1386&lt;75,W1386&lt;25),0.35,0)+IF(AND(V1386&gt;=40,V1386&lt;75,W1386&gt;=25,W1386&lt;65),0.25,0)+IF(AND(V1386&gt;=40,V1386&lt;75,W1386&gt;=65,W1386&lt;100),0.17,0)+IF(AND(V1386&gt;=40,V1386&lt;75,W1386&gt;=100),0.1,0)+IF(AND(V1386&gt;=75,W1386&lt;25),0.35,0)+IF(AND(V1386&gt;=75,W1386&gt;=25,W1386&lt;60),0.25,0)+IF(AND(V1386&gt;=75,W1386&gt;=60,W1386&lt;95),0.17,0)+IF(AND(V1386&gt;=75,W1386&gt;=95),0.1,0),
IF(AF1386="DoEVold15",IF(AND(V1386&lt;=40,W1386&lt;35),0.35,0)+IF(AND(V1386&lt;=40,W1386&gt;=35,W1386&lt;75),0.25,0)+IF(AND(V1386&lt;=40,W1386&gt;=75,W1386&lt;120),0.17,0)+IF(AND(V1386&lt;=40,W1386&gt;=120),0.15,0)+IF(AND(V1386&gt;40,V1386&lt;75,W1386&lt;25),0.35,0)+IF(AND(V1386&gt;=40,V1386&lt;75,W1386&gt;=25,W1386&lt;65),0.25,0)+IF(AND(V1386&gt;=40,V1386&lt;75,W1386&gt;=65,W1386&lt;100),0.17,0)+IF(AND(V1386&gt;=40,V1386&lt;75,W1386&gt;=100),0.1,0)+IF(AND(V1386&gt;=75,W1386&lt;25),0.35,0)+IF(AND(V1386&gt;=75,W1386&gt;=25,W1386&lt;60),0.25,0)+IF(AND(V1386&gt;=75,W1386&gt;=60,W1386&lt;95),0.17,0)+IF(AND(V1386&gt;=75,W1386&gt;=95),0.1,0),
IF(AF1386="DoEVba",IF(AND(V1386&lt;20,W1386&lt;105),0.2,0)+IF(AND(V1386&lt;20,W1386&gt;=105),0.15,0)+IF(AND(V1386&gt;=20,V1386&lt;40,W1386&lt;95),0.2,0)+IF(AND(V1386&gt;=20,V1386&lt;40,W1386&gt;=95,W1386&lt;150),0.15,0)+IF(AND(V1386&gt;=20,V1386&lt;40,W1386&gt;=150),0.12,0)+IF(AND(V1386&gt;=40,V1386&lt;75,W1386&lt;75),0.2,0)+IF(AND(V1386&gt;=40,V1386&lt;75,W1386&gt;=75,W1386&lt;120),0.15,0)+IF(AND(V1386&gt;=40,V1386&lt;75,W1386&gt;=120),0.12,0)+IF(AND(V1386&gt;=75,V1386&lt;175,W1386&lt;65),0.2,0)+IF(AND(V1386&gt;=75,V1386&lt;175,W1386&gt;=65,W1386&lt;110),0.15,0)+IF(AND(V1386&gt;=75,V1386&lt;175,W1386&gt;=110),0.12,0)+IF(AND(V1386&gt;=175,W1386&lt;55),0.2,0)+IF(AND(V1386&gt;=175,W1386&gt;=55,W1386&lt;95),0.15,0)+IF(AND(V1386&gt;=175,W1386&gt;=95),0.12,0),
IF(AF1386="DoEVku",IF(AND(V1386&lt;20,W1386&lt;55),0.23,0)+IF(AND(V1386&lt;20,W1386&gt;=55,W1386&lt;105),0.2,0)+IF(AND(V1386&lt;20,W1386&gt;=105),0.17,0)+IF(AND(V1386&gt;=20,V1386&lt;40,W1386&lt;45),0.23,0)+IF(AND(V1386&gt;=20,V1386&lt;40,W1386&gt;=45,W1386&lt;95),0.2,0)+IF(AND(V1386&gt;=20,V1386&lt;40,W1386&gt;=95,W1386&lt;=150),0.17,0)+IF(AND(V1386&gt;=20,V1386&lt;40,W1386&gt;=150),0.12,0)+IF(AND(V1386&gt;=40,V1386&lt;75,W1386&lt;35),0.23,0)+IF(AND(V1386&gt;=40,V1386&lt;75,W1386&gt;=35,W1386&lt;75),0.2,0)+IF(AND(V1386&gt;=40,V1386&lt;75,W1386&gt;=75,W1386&lt;120),0.17,0)+IF(AND(V1386&gt;=40,V1386&lt;75,W1386&gt;=120),0.12,0)+IF(AND(V1386&gt;=75,V1386&lt;175,W1386&lt;35),0.23,0)+IF(AND(V1386&gt;=75,V1386&lt;=175,W1386&gt;=35,W1386&lt;65),0.2,0)+IF(AND(V1386&gt;=75,V1386&lt;=175,W1386&gt;=65,W1386&lt;110),0.17,0)+IF(AND(V1386&gt;=75,V1386&lt;=175,W1386&gt;=110),0.12,0)+IF(AND(V1386&gt;175,W1386&lt;25),0.23,0)+IF(AND(V1386&gt;175,W1386&gt;=25,W1386&lt;55),0.2,0)+IF(AND(V1386&gt;175,W1386&gt;=55,W1386&lt;95),0.17,0)+IF(AND(V1386&gt;175,W1386&gt;=95),0.12,0),
IF(AF1386="DoEVs1",IF(AND(V1386&lt;20,W1386&lt;55),0.3,0)+IF(AND(V1386&lt;20,W1386&gt;=55,W1386&lt;105),0.23,0)+IF(AND(V1386&lt;20,W1386&gt;=105),0.17,0)+IF(AND(V1386&gt;=20,V1386&lt;40,W1386&lt;45),0.3,0)+IF(AND(V1386&gt;=20,V1386&lt;40,W1386&gt;=45,W1386&lt;95),0.23,0)+IF(AND(V1386&gt;=20,V1386&lt;40,W1386&gt;=95,W1386&lt;=150),0.17,0)+IF(AND(V1386&gt;=20,V1386&lt;40,W1386&gt;=150),0.12,0)+IF(AND(V1386&gt;=40,V1386&lt;75,W1386&lt;35),0.3,0)+IF(AND(V1386&gt;=40,V1386&lt;75,W1386&gt;=35,W1386&lt;75),0.23,0)+IF(AND(V1386&gt;=40,V1386&lt;75,W1386&gt;=75,W1386&lt;120),0.17,0)+IF(AND(V1386&gt;=40,V1386&lt;75,W1386&gt;=120),0.12,0)+IF(AND(V1386&gt;=75,V1386&lt;175,W1386&lt;35),0.3,0)+IF(AND(V1386&gt;=75,V1386&lt;=175,W1386&gt;=35,W1386&lt;65),0.23,0)+IF(AND(V1386&gt;=75,V1386&lt;=175,W1386&gt;=65,W1386&lt;110),0.17,0)+IF(AND(V1386&gt;=75,V1386&lt;=175,W1386&gt;=110),0.12,0)+IF(AND(V1386&gt;175,W1386&lt;25),0.3,0)+IF(AND(V1386&gt;175,W1386&gt;=25,W1386&lt;55),0.23,0)+IF(AND(V1386&gt;175,W1386&gt;=55,W1386&lt;95),0.17,0)+IF(AND(V1386&gt;175,W1386&gt;=95),0.12,0),
IF(AF1386="DoEVsu",IF(AND(V1386&lt;20,W1386&lt;55),0.3,0)+IF(AND(V1386&lt;20,W1386&gt;=55,W1386&lt;105),0.23,0)+IF(AND(V1386&lt;20,W1386&gt;=105),0.17,0)+IF(AND(V1386&gt;=20,V1386&lt;40,W1386&lt;45),0.3,0)+IF(AND(V1386&gt;=20,V1386&lt;40,W1386&gt;=45,W1386&lt;95),0.23,0)+IF(AND(V1386&gt;=20,V1386&lt;40,W1386&gt;=95,W1386&lt;=250),0.17,0)+IF(AND(V1386&gt;=20,V1386&lt;40,W1386&gt;=250),0.12,0)+IF(AND(V1386&gt;=40,V1386&lt;75,W1386&lt;35),0.3,0)+IF(AND(V1386&gt;=40,V1386&lt;75,W1386&gt;=35,W1386&lt;75),0.23,0)+IF(AND(V1386&gt;=40,V1386&lt;75,W1386&gt;=75,W1386&lt;120),0.17,0)+IF(AND(V1386&gt;=40,V1386&lt;75,W1386&gt;=120),0.12,0)+IF(AND(V1386&gt;=75,V1386&lt;175,W1386&lt;35),0.3,0)+IF(AND(V1386&gt;=75,V1386&lt;=175,W1386&gt;=35,W1386&lt;65),0.23,0)+IF(AND(V1386&gt;=75,V1386&lt;=175,W1386&gt;=65,W1386&lt;110),0.17,0)+IF(AND(V1386&gt;=75,V1386&lt;=175,W1386&gt;=110),0.12,0)+IF(AND(V1386&gt;175,W1386&lt;25),0.3,0)+IF(AND(V1386&gt;175,W1386&gt;=25,W1386&lt;55),0.23,0)+IF(AND(V1386&gt;175,W1386&gt;=55,W1386&lt;95),0.17,0)+IF(AND(V1386&gt;175,W1386&gt;=95),0.12,0),
IF(AF1386="DoEVni",IF(AND(V1386&lt;20,W1386&lt;55),0.3,0)+IF(AND(V1386&lt;20,W1386&gt;=55,W1386&lt;105),0.23,0)+IF(AND(V1386&lt;20,W1386&gt;=105),0.17,0)+IF(AND(V1386&gt;=20,V1386&lt;40,W1386&lt;45),0.3,0)+IF(AND(V1386&gt;=20,V1386&lt;40,W1386&gt;=45,W1386&lt;95),0.23,0)+IF(AND(V1386&gt;=20,V1386&lt;40,W1386&gt;=95,W1386&lt;=200),0.17,0)+IF(AND(V1386&gt;=20,V1386&lt;40,W1386&gt;=200),0.12,0)+IF(AND(V1386&gt;=40,V1386&lt;75,W1386&lt;35),0.3,0)+IF(AND(V1386&gt;=40,V1386&lt;75,W1386&gt;=35,W1386&lt;75),0.23,0)+IF(AND(V1386&gt;=40,V1386&lt;75,W1386&gt;=75,W1386&lt;120),0.17,0)+IF(AND(V1386&gt;=40,V1386&lt;75,W1386&gt;=120),0.12,0)+IF(AND(V1386&gt;=75,V1386&lt;175,W1386&lt;35),0.3,0)+IF(AND(V1386&gt;=75,V1386&lt;=175,W1386&gt;=35,W1386&lt;65),0.23,0)+IF(AND(V1386&gt;=75,V1386&lt;=175,W1386&gt;=65,W1386&lt;110),0.17,0)+IF(AND(V1386&gt;=75,V1386&lt;=175,W1386&gt;=110),0.12,0)+IF(AND(V1386&gt;175,W1386&lt;25),0.3,0)+IF(AND(V1386&gt;175,W1386&gt;=25,W1386&lt;55),0.23,0)+IF(AND(V1386&gt;175,W1386&gt;=55,W1386&lt;95),0.17,0)+IF(AND(V1386&gt;175,W1386&gt;=95),0.12,0),
IF(AF1386="DoEVLo",IF(AND(V1386&lt;20,W1386&lt;55),0.25,0)+IF(AND(V1386&lt;20,W1386&gt;=55,W1386&lt;105),0.2,0)+IF(AND(V1386&lt;20,W1386&gt;=105),0.15,0)+IF(AND(V1386&gt;=20,V1386&lt;40,W1386&lt;45),0.25,0)+IF(AND(V1386&gt;=20,V1386&lt;40,W1386&gt;=45,W1386&lt;95),0.2,0)+IF(AND(V1386&gt;=20,V1386&lt;40,W1386&gt;=95),0.15,0)+IF(AND(V1386&gt;=40,V1386&lt;75,W1386&lt;35),0.25,0)+IF(AND(V1386&gt;=40,V1386&lt;75,W1386&gt;=35,W1386&lt;75),0.2,0)+IF(AND(V1386&gt;=40,V1386&lt;75,W1386&gt;=75,W1386&lt;120),0.15,0)+IF(AND(V1386&gt;=40,V1386&lt;75,W1386&gt;=120),0.1,0)+IF(AND(V1386&gt;=75,V1386&lt;175,W1386&lt;35),0.25,0)+IF(AND(V1386&gt;=75,V1386&lt;=175,W1386&gt;=35,W1386&lt;65),0.2,0)+IF(AND(V1386&gt;=75,V1386&lt;=175,W1386&gt;=65,W1386&lt;110),0.15,0)+IF(AND(V1386&gt;=75,V1386&lt;=175,W1386&gt;=110),0.1,0)+IF(AND(V1386&gt;175,W1386&lt;25),0.25,0)+IF(AND(V1386&gt;175,W1386&gt;=25,W1386&lt;55),0.2,0)+IF(AND(V1386&gt;175,W1386&gt;=55,W1386&lt;95),0.15,0)+IF(AND(V1386&gt;175,W1386&gt;=95),0.1,0))))))))))))))))))</f>
        <v>0</v>
      </c>
      <c r="Y1386" s="78">
        <v>0.22</v>
      </c>
      <c r="Z1386" s="35">
        <f>T1386-AA1386-AB1386</f>
        <v>295.62</v>
      </c>
      <c r="AA1386" s="29">
        <f>IF(AD1386="EUR",((T1386-R1386)*X1386)*U1386+(R1386*X1386),(T1386*X1386))</f>
        <v>0</v>
      </c>
      <c r="AB1386" s="36">
        <f>IF(AD1386="EUR",((T1386-R1386)*Y1386)*U1386+(R1386*Y1386),(T1386*Y1386))</f>
        <v>83.38</v>
      </c>
      <c r="AC1386" s="61" t="b">
        <v>1</v>
      </c>
      <c r="AD1386" s="37" t="s">
        <v>38</v>
      </c>
      <c r="AE1386" s="37" t="s">
        <v>38</v>
      </c>
      <c r="AF1386" s="37" t="str">
        <f t="array" ref="AF1386">INDEX('Deal Info'!D:D, MATCH(A1386,'Deal Info'!A:A, 0))</f>
        <v>None</v>
      </c>
      <c r="AG1386" s="38" t="str">
        <f t="array" ref="AG1386">INDEX('Deal Info'!G:G, MATCH(A1386,'Deal Info'!A:A, 0))</f>
        <v>guilexperi</v>
      </c>
    </row>
    <row r="1387" spans="1:33" ht="14.25" hidden="1" x14ac:dyDescent="0.2">
      <c r="A1387" s="18" t="str">
        <f t="array" ref="A1387">IF(G1387='Room Info'!$B$1, INDEX('Room Info'!$A$2:$A2446, MATCH(B1387,'Room Info'!$B$2:$B2446, 0)),IF(G1387='Room Info'!$C$1, INDEX('Room Info'!$A$2:$A2446, MATCH(B1387,'Room Info'!$C$2:$C2446, 0)),IF(G1387='Room Info'!$D$1, INDEX('Room Info'!$A$2:$A2446, MATCH(B1387,'Room Info'!$D$2:$D2446, 0)),IF(G1387='Room Info'!$E$1, INDEX('Room Info'!$A$2:$A2446, MATCH(B1387,'Room Info'!$E$2:$E2446, 0)),IF(G1387='Room Info'!$F$1, INDEX('Room Info'!$A$2:$A2446, MATCH(B1387,'Room Info'!$F$2:$F2446, 0)),IF(G1387='Room Info'!$H$1, INDEX('Room Info'!$A$2:$A2446, MATCH(B1387,'Room Info'!$H$2:$H2446, 0)),IF(G1387='Room Info'!$G$1, INDEX('Room Info'!$A$2:$A2446, MATCH(B1387,'Room Info'!$G$2:$G2446, 0)))))))))</f>
        <v>guilexperi</v>
      </c>
      <c r="B1387" s="45" t="s">
        <v>208</v>
      </c>
      <c r="C1387" s="46">
        <v>44896</v>
      </c>
      <c r="D1387" s="46">
        <v>44915</v>
      </c>
      <c r="E1387" s="47">
        <v>44896</v>
      </c>
      <c r="F1387" s="48" t="s">
        <v>49</v>
      </c>
      <c r="G1387" s="45" t="s">
        <v>35</v>
      </c>
      <c r="H1387" s="49" t="s">
        <v>209</v>
      </c>
      <c r="I1387" s="49" t="s">
        <v>174</v>
      </c>
      <c r="J1387" s="50">
        <v>1000</v>
      </c>
      <c r="K1387" s="51">
        <v>1</v>
      </c>
      <c r="L1387" s="52">
        <v>978</v>
      </c>
      <c r="M1387" s="53">
        <v>4</v>
      </c>
      <c r="N1387" s="28">
        <f>K1387*J1387</f>
        <v>1000</v>
      </c>
      <c r="O1387" s="54">
        <v>291</v>
      </c>
      <c r="P1387" s="29">
        <v>291</v>
      </c>
      <c r="Q1387" s="55"/>
      <c r="R1387" s="31">
        <f>M1387+Q1387</f>
        <v>4</v>
      </c>
      <c r="S1387" s="56">
        <v>564</v>
      </c>
      <c r="T1387" s="32">
        <f>R1387+S1387+IF(F1387="Without EV deal",L1387,0)</f>
        <v>568</v>
      </c>
      <c r="U1387" s="57"/>
      <c r="V1387" s="58"/>
      <c r="W1387" s="58"/>
      <c r="X1387" s="30" t="b">
        <f>IF(AF1387="DoEV",IF(AND(V1387&lt;20,W1387&lt;55),0.3,0)+IF(AND(V1387&lt;20,W1387&gt;=55,W1387&lt;105),0.23,0)+IF(AND(V1387&lt;20,W1387&gt;=105),0.17,0)+IF(AND(V1387&gt;=20,V1387&lt;40,W1387&lt;45),0.3,0)+IF(AND(V1387&gt;=20,V1387&lt;40,W1387&gt;=45,W1387&lt;95),0.23,0)+IF(AND(V1387&gt;=20,V1387&lt;40,W1387&gt;=95),0.17,0)+IF(AND(V1387&gt;=40,V1387&lt;75,W1387&lt;35),0.3,0)+IF(AND(V1387&gt;=40,V1387&lt;75,W1387&gt;=35,W1387&lt;75),0.23,0)+IF(AND(V1387&gt;=40,V1387&lt;75,W1387&gt;=75,W1387&lt;120),0.17,0)+IF(AND(V1387&gt;=40,V1387&lt;75,W1387&gt;=120),0.12,0)+IF(AND(V1387&gt;=75,V1387&lt;175,W1387&lt;35),0.3,0)+IF(AND(V1387&gt;=75,V1387&lt;=175,W1387&gt;=35,W1387&lt;65),0.23,0)+IF(AND(V1387&gt;=75,V1387&lt;=175,W1387&gt;=65,W1387&lt;110),0.17,0)+IF(AND(V1387&gt;=75,V1387&lt;=175,W1387&gt;=110),0.12,0)+IF(AND(V1387&gt;175,W1387&lt;25),0.3,0)+IF(AND(V1387&gt;175,W1387&gt;=25,W1387&lt;55),0.23,0)+IF(AND(V1387&gt;175,W1387&gt;=55,W1387&lt;95),0.17,0)+IF(AND(V1387&gt;175,W1387&gt;=95),0.12,0),
IF(AF1387="Fix15",0.15,
IF(AF1387="Fix18.75",0.1875,
IF(AF1387="Fix11.25",0.1125,
IF(AF1387="Fix10",0.1,
IF(AF1387="Fix9",0.09,
IF(AF1387="Fix19",0.19,
IF(AF1387="DoEV2017",IF(AND(W1387&lt;74),0.2,0)+IF(AND(W1387&gt;=74),0.17,0),
IF(AF1387="SF",IF(AND(V1387&lt;20,W1387&lt;89),0.3,0)+IF(AND(V1387&lt;20,W1387&gt;=89),0.25,0)+IF(AND(V1387&gt;=20,V1387&lt;40,W1387&lt;74),0.3,0)+IF(AND(V1387&gt;=20,V1387&lt;40,W1387&gt;=75),0.22,0)+IF(AND(V1387&gt;=40,V1387&lt;75,W1387&lt;75),0.26,0)+IF(AND(V1387&gt;=40,V1387&lt;75,W1387&gt;=75),0.22,0)+IF(V1387&gt;=75,0.22,0),
IF(AF1387="DoEVold",IF(AND(V1387&lt;40,W1387&lt;35),0.35,0)+IF(AND(V1387&lt;40,W1387&gt;=35,W1387&lt;75),0.25,0)+IF(AND(V1387&lt;40,W1387&gt;=75),0.17,0)+IF(AND(V1387&gt;=40,V1387&lt;75,W1387&lt;25),0.35,0)+IF(AND(V1387&gt;=40,V1387&lt;75,W1387&gt;=25,W1387&lt;65),0.25,0)+IF(AND(V1387&gt;=40,V1387&lt;75,W1387&gt;=65,W1387&lt;100),0.17,0)+IF(AND(V1387&gt;=40,V1387&lt;75,W1387&gt;=100),0.1,0)+IF(AND(V1387&gt;=75,W1387&lt;25),0.35,0)+IF(AND(V1387&gt;=75,W1387&gt;=25,W1387&lt;60),0.25,0)+IF(AND(V1387&gt;=75,W1387&gt;=60,W1387&lt;95),0.17,0)+IF(AND(V1387&gt;=75,W1387&gt;=95),0.1,0),
IF(AF1387="DoEVold15",IF(AND(V1387&lt;=40,W1387&lt;35),0.35,0)+IF(AND(V1387&lt;=40,W1387&gt;=35,W1387&lt;75),0.25,0)+IF(AND(V1387&lt;=40,W1387&gt;=75,W1387&lt;120),0.17,0)+IF(AND(V1387&lt;=40,W1387&gt;=120),0.15,0)+IF(AND(V1387&gt;40,V1387&lt;75,W1387&lt;25),0.35,0)+IF(AND(V1387&gt;=40,V1387&lt;75,W1387&gt;=25,W1387&lt;65),0.25,0)+IF(AND(V1387&gt;=40,V1387&lt;75,W1387&gt;=65,W1387&lt;100),0.17,0)+IF(AND(V1387&gt;=40,V1387&lt;75,W1387&gt;=100),0.1,0)+IF(AND(V1387&gt;=75,W1387&lt;25),0.35,0)+IF(AND(V1387&gt;=75,W1387&gt;=25,W1387&lt;60),0.25,0)+IF(AND(V1387&gt;=75,W1387&gt;=60,W1387&lt;95),0.17,0)+IF(AND(V1387&gt;=75,W1387&gt;=95),0.1,0),
IF(AF1387="DoEVba",IF(AND(V1387&lt;20,W1387&lt;105),0.2,0)+IF(AND(V1387&lt;20,W1387&gt;=105),0.15,0)+IF(AND(V1387&gt;=20,V1387&lt;40,W1387&lt;95),0.2,0)+IF(AND(V1387&gt;=20,V1387&lt;40,W1387&gt;=95,W1387&lt;150),0.15,0)+IF(AND(V1387&gt;=20,V1387&lt;40,W1387&gt;=150),0.12,0)+IF(AND(V1387&gt;=40,V1387&lt;75,W1387&lt;75),0.2,0)+IF(AND(V1387&gt;=40,V1387&lt;75,W1387&gt;=75,W1387&lt;120),0.15,0)+IF(AND(V1387&gt;=40,V1387&lt;75,W1387&gt;=120),0.12,0)+IF(AND(V1387&gt;=75,V1387&lt;175,W1387&lt;65),0.2,0)+IF(AND(V1387&gt;=75,V1387&lt;175,W1387&gt;=65,W1387&lt;110),0.15,0)+IF(AND(V1387&gt;=75,V1387&lt;175,W1387&gt;=110),0.12,0)+IF(AND(V1387&gt;=175,W1387&lt;55),0.2,0)+IF(AND(V1387&gt;=175,W1387&gt;=55,W1387&lt;95),0.15,0)+IF(AND(V1387&gt;=175,W1387&gt;=95),0.12,0),
IF(AF1387="DoEVku",IF(AND(V1387&lt;20,W1387&lt;55),0.23,0)+IF(AND(V1387&lt;20,W1387&gt;=55,W1387&lt;105),0.2,0)+IF(AND(V1387&lt;20,W1387&gt;=105),0.17,0)+IF(AND(V1387&gt;=20,V1387&lt;40,W1387&lt;45),0.23,0)+IF(AND(V1387&gt;=20,V1387&lt;40,W1387&gt;=45,W1387&lt;95),0.2,0)+IF(AND(V1387&gt;=20,V1387&lt;40,W1387&gt;=95,W1387&lt;=150),0.17,0)+IF(AND(V1387&gt;=20,V1387&lt;40,W1387&gt;=150),0.12,0)+IF(AND(V1387&gt;=40,V1387&lt;75,W1387&lt;35),0.23,0)+IF(AND(V1387&gt;=40,V1387&lt;75,W1387&gt;=35,W1387&lt;75),0.2,0)+IF(AND(V1387&gt;=40,V1387&lt;75,W1387&gt;=75,W1387&lt;120),0.17,0)+IF(AND(V1387&gt;=40,V1387&lt;75,W1387&gt;=120),0.12,0)+IF(AND(V1387&gt;=75,V1387&lt;175,W1387&lt;35),0.23,0)+IF(AND(V1387&gt;=75,V1387&lt;=175,W1387&gt;=35,W1387&lt;65),0.2,0)+IF(AND(V1387&gt;=75,V1387&lt;=175,W1387&gt;=65,W1387&lt;110),0.17,0)+IF(AND(V1387&gt;=75,V1387&lt;=175,W1387&gt;=110),0.12,0)+IF(AND(V1387&gt;175,W1387&lt;25),0.23,0)+IF(AND(V1387&gt;175,W1387&gt;=25,W1387&lt;55),0.2,0)+IF(AND(V1387&gt;175,W1387&gt;=55,W1387&lt;95),0.17,0)+IF(AND(V1387&gt;175,W1387&gt;=95),0.12,0),
IF(AF1387="DoEVs1",IF(AND(V1387&lt;20,W1387&lt;55),0.3,0)+IF(AND(V1387&lt;20,W1387&gt;=55,W1387&lt;105),0.23,0)+IF(AND(V1387&lt;20,W1387&gt;=105),0.17,0)+IF(AND(V1387&gt;=20,V1387&lt;40,W1387&lt;45),0.3,0)+IF(AND(V1387&gt;=20,V1387&lt;40,W1387&gt;=45,W1387&lt;95),0.23,0)+IF(AND(V1387&gt;=20,V1387&lt;40,W1387&gt;=95,W1387&lt;=150),0.17,0)+IF(AND(V1387&gt;=20,V1387&lt;40,W1387&gt;=150),0.12,0)+IF(AND(V1387&gt;=40,V1387&lt;75,W1387&lt;35),0.3,0)+IF(AND(V1387&gt;=40,V1387&lt;75,W1387&gt;=35,W1387&lt;75),0.23,0)+IF(AND(V1387&gt;=40,V1387&lt;75,W1387&gt;=75,W1387&lt;120),0.17,0)+IF(AND(V1387&gt;=40,V1387&lt;75,W1387&gt;=120),0.12,0)+IF(AND(V1387&gt;=75,V1387&lt;175,W1387&lt;35),0.3,0)+IF(AND(V1387&gt;=75,V1387&lt;=175,W1387&gt;=35,W1387&lt;65),0.23,0)+IF(AND(V1387&gt;=75,V1387&lt;=175,W1387&gt;=65,W1387&lt;110),0.17,0)+IF(AND(V1387&gt;=75,V1387&lt;=175,W1387&gt;=110),0.12,0)+IF(AND(V1387&gt;175,W1387&lt;25),0.3,0)+IF(AND(V1387&gt;175,W1387&gt;=25,W1387&lt;55),0.23,0)+IF(AND(V1387&gt;175,W1387&gt;=55,W1387&lt;95),0.17,0)+IF(AND(V1387&gt;175,W1387&gt;=95),0.12,0),
IF(AF1387="DoEVsu",IF(AND(V1387&lt;20,W1387&lt;55),0.3,0)+IF(AND(V1387&lt;20,W1387&gt;=55,W1387&lt;105),0.23,0)+IF(AND(V1387&lt;20,W1387&gt;=105),0.17,0)+IF(AND(V1387&gt;=20,V1387&lt;40,W1387&lt;45),0.3,0)+IF(AND(V1387&gt;=20,V1387&lt;40,W1387&gt;=45,W1387&lt;95),0.23,0)+IF(AND(V1387&gt;=20,V1387&lt;40,W1387&gt;=95,W1387&lt;=250),0.17,0)+IF(AND(V1387&gt;=20,V1387&lt;40,W1387&gt;=250),0.12,0)+IF(AND(V1387&gt;=40,V1387&lt;75,W1387&lt;35),0.3,0)+IF(AND(V1387&gt;=40,V1387&lt;75,W1387&gt;=35,W1387&lt;75),0.23,0)+IF(AND(V1387&gt;=40,V1387&lt;75,W1387&gt;=75,W1387&lt;120),0.17,0)+IF(AND(V1387&gt;=40,V1387&lt;75,W1387&gt;=120),0.12,0)+IF(AND(V1387&gt;=75,V1387&lt;175,W1387&lt;35),0.3,0)+IF(AND(V1387&gt;=75,V1387&lt;=175,W1387&gt;=35,W1387&lt;65),0.23,0)+IF(AND(V1387&gt;=75,V1387&lt;=175,W1387&gt;=65,W1387&lt;110),0.17,0)+IF(AND(V1387&gt;=75,V1387&lt;=175,W1387&gt;=110),0.12,0)+IF(AND(V1387&gt;175,W1387&lt;25),0.3,0)+IF(AND(V1387&gt;175,W1387&gt;=25,W1387&lt;55),0.23,0)+IF(AND(V1387&gt;175,W1387&gt;=55,W1387&lt;95),0.17,0)+IF(AND(V1387&gt;175,W1387&gt;=95),0.12,0),
IF(AF1387="DoEVni",IF(AND(V1387&lt;20,W1387&lt;55),0.3,0)+IF(AND(V1387&lt;20,W1387&gt;=55,W1387&lt;105),0.23,0)+IF(AND(V1387&lt;20,W1387&gt;=105),0.17,0)+IF(AND(V1387&gt;=20,V1387&lt;40,W1387&lt;45),0.3,0)+IF(AND(V1387&gt;=20,V1387&lt;40,W1387&gt;=45,W1387&lt;95),0.23,0)+IF(AND(V1387&gt;=20,V1387&lt;40,W1387&gt;=95,W1387&lt;=200),0.17,0)+IF(AND(V1387&gt;=20,V1387&lt;40,W1387&gt;=200),0.12,0)+IF(AND(V1387&gt;=40,V1387&lt;75,W1387&lt;35),0.3,0)+IF(AND(V1387&gt;=40,V1387&lt;75,W1387&gt;=35,W1387&lt;75),0.23,0)+IF(AND(V1387&gt;=40,V1387&lt;75,W1387&gt;=75,W1387&lt;120),0.17,0)+IF(AND(V1387&gt;=40,V1387&lt;75,W1387&gt;=120),0.12,0)+IF(AND(V1387&gt;=75,V1387&lt;175,W1387&lt;35),0.3,0)+IF(AND(V1387&gt;=75,V1387&lt;=175,W1387&gt;=35,W1387&lt;65),0.23,0)+IF(AND(V1387&gt;=75,V1387&lt;=175,W1387&gt;=65,W1387&lt;110),0.17,0)+IF(AND(V1387&gt;=75,V1387&lt;=175,W1387&gt;=110),0.12,0)+IF(AND(V1387&gt;175,W1387&lt;25),0.3,0)+IF(AND(V1387&gt;175,W1387&gt;=25,W1387&lt;55),0.23,0)+IF(AND(V1387&gt;175,W1387&gt;=55,W1387&lt;95),0.17,0)+IF(AND(V1387&gt;175,W1387&gt;=95),0.12,0),
IF(AF1387="DoEVLo",IF(AND(V1387&lt;20,W1387&lt;55),0.25,0)+IF(AND(V1387&lt;20,W1387&gt;=55,W1387&lt;105),0.2,0)+IF(AND(V1387&lt;20,W1387&gt;=105),0.15,0)+IF(AND(V1387&gt;=20,V1387&lt;40,W1387&lt;45),0.25,0)+IF(AND(V1387&gt;=20,V1387&lt;40,W1387&gt;=45,W1387&lt;95),0.2,0)+IF(AND(V1387&gt;=20,V1387&lt;40,W1387&gt;=95),0.15,0)+IF(AND(V1387&gt;=40,V1387&lt;75,W1387&lt;35),0.25,0)+IF(AND(V1387&gt;=40,V1387&lt;75,W1387&gt;=35,W1387&lt;75),0.2,0)+IF(AND(V1387&gt;=40,V1387&lt;75,W1387&gt;=75,W1387&lt;120),0.15,0)+IF(AND(V1387&gt;=40,V1387&lt;75,W1387&gt;=120),0.1,0)+IF(AND(V1387&gt;=75,V1387&lt;175,W1387&lt;35),0.25,0)+IF(AND(V1387&gt;=75,V1387&lt;=175,W1387&gt;=35,W1387&lt;65),0.2,0)+IF(AND(V1387&gt;=75,V1387&lt;=175,W1387&gt;=65,W1387&lt;110),0.15,0)+IF(AND(V1387&gt;=75,V1387&lt;=175,W1387&gt;=110),0.1,0)+IF(AND(V1387&gt;175,W1387&lt;25),0.25,0)+IF(AND(V1387&gt;175,W1387&gt;=25,W1387&lt;55),0.2,0)+IF(AND(V1387&gt;175,W1387&gt;=55,W1387&lt;95),0.15,0)+IF(AND(V1387&gt;175,W1387&gt;=95),0.1,0))))))))))))))))))</f>
        <v>0</v>
      </c>
      <c r="Y1387" s="78">
        <v>0.22</v>
      </c>
      <c r="Z1387" s="35">
        <f>T1387-AA1387-AB1387</f>
        <v>443.04</v>
      </c>
      <c r="AA1387" s="29">
        <f>IF(AD1387="EUR",((T1387-R1387)*X1387)*U1387+(R1387*X1387),(T1387*X1387))</f>
        <v>0</v>
      </c>
      <c r="AB1387" s="36">
        <f>IF(AD1387="EUR",((T1387-R1387)*Y1387)*U1387+(R1387*Y1387),(T1387*Y1387))</f>
        <v>124.96</v>
      </c>
      <c r="AC1387" s="61" t="b">
        <v>1</v>
      </c>
      <c r="AD1387" s="37" t="s">
        <v>38</v>
      </c>
      <c r="AE1387" s="37" t="s">
        <v>38</v>
      </c>
      <c r="AF1387" s="37" t="str">
        <f t="array" ref="AF1387">INDEX('Deal Info'!D:D, MATCH(A1387,'Deal Info'!A:A, 0))</f>
        <v>None</v>
      </c>
      <c r="AG1387" s="38" t="str">
        <f t="array" ref="AG1387">INDEX('Deal Info'!G:G, MATCH(A1387,'Deal Info'!A:A, 0))</f>
        <v>guilexperi</v>
      </c>
    </row>
    <row r="1388" spans="1:33" ht="14.25" hidden="1" x14ac:dyDescent="0.2">
      <c r="A1388" s="18" t="str">
        <f t="array" ref="A1388">IF(G1388='Room Info'!$B$1, INDEX('Room Info'!$A$2:$A2446, MATCH(B1388,'Room Info'!$B$2:$B2446, 0)),IF(G1388='Room Info'!$C$1, INDEX('Room Info'!$A$2:$A2446, MATCH(B1388,'Room Info'!$C$2:$C2446, 0)),IF(G1388='Room Info'!$D$1, INDEX('Room Info'!$A$2:$A2446, MATCH(B1388,'Room Info'!$D$2:$D2446, 0)),IF(G1388='Room Info'!$E$1, INDEX('Room Info'!$A$2:$A2446, MATCH(B1388,'Room Info'!$E$2:$E2446, 0)),IF(G1388='Room Info'!$F$1, INDEX('Room Info'!$A$2:$A2446, MATCH(B1388,'Room Info'!$F$2:$F2446, 0)),IF(G1388='Room Info'!$H$1, INDEX('Room Info'!$A$2:$A2446, MATCH(B1388,'Room Info'!$H$2:$H2446, 0)),IF(G1388='Room Info'!$G$1, INDEX('Room Info'!$A$2:$A2446, MATCH(B1388,'Room Info'!$G$2:$G2446, 0)))))))))</f>
        <v>guilexperi</v>
      </c>
      <c r="B1388" s="45" t="s">
        <v>208</v>
      </c>
      <c r="C1388" s="46">
        <v>44916</v>
      </c>
      <c r="D1388" s="46">
        <v>44921</v>
      </c>
      <c r="E1388" s="47">
        <v>44896</v>
      </c>
      <c r="F1388" s="48" t="s">
        <v>49</v>
      </c>
      <c r="G1388" s="45" t="s">
        <v>35</v>
      </c>
      <c r="H1388" s="49" t="s">
        <v>84</v>
      </c>
      <c r="I1388" s="49" t="s">
        <v>44</v>
      </c>
      <c r="J1388" s="50">
        <v>100</v>
      </c>
      <c r="K1388" s="51">
        <v>15</v>
      </c>
      <c r="L1388" s="52">
        <v>-200</v>
      </c>
      <c r="M1388" s="53">
        <v>258</v>
      </c>
      <c r="N1388" s="28">
        <f>K1388*J1388</f>
        <v>1500</v>
      </c>
      <c r="O1388" s="54">
        <v>733</v>
      </c>
      <c r="P1388" s="29">
        <v>48.866666670000001</v>
      </c>
      <c r="Q1388" s="55"/>
      <c r="R1388" s="31">
        <f>M1388+Q1388</f>
        <v>258</v>
      </c>
      <c r="S1388" s="56">
        <v>148</v>
      </c>
      <c r="T1388" s="32">
        <f>R1388+S1388+IF(F1388="Without EV deal",L1388,0)</f>
        <v>406</v>
      </c>
      <c r="U1388" s="57"/>
      <c r="V1388" s="58"/>
      <c r="W1388" s="58"/>
      <c r="X1388" s="30" t="b">
        <f>IF(AF1388="DoEV",IF(AND(V1388&lt;20,W1388&lt;55),0.3,0)+IF(AND(V1388&lt;20,W1388&gt;=55,W1388&lt;105),0.23,0)+IF(AND(V1388&lt;20,W1388&gt;=105),0.17,0)+IF(AND(V1388&gt;=20,V1388&lt;40,W1388&lt;45),0.3,0)+IF(AND(V1388&gt;=20,V1388&lt;40,W1388&gt;=45,W1388&lt;95),0.23,0)+IF(AND(V1388&gt;=20,V1388&lt;40,W1388&gt;=95),0.17,0)+IF(AND(V1388&gt;=40,V1388&lt;75,W1388&lt;35),0.3,0)+IF(AND(V1388&gt;=40,V1388&lt;75,W1388&gt;=35,W1388&lt;75),0.23,0)+IF(AND(V1388&gt;=40,V1388&lt;75,W1388&gt;=75,W1388&lt;120),0.17,0)+IF(AND(V1388&gt;=40,V1388&lt;75,W1388&gt;=120),0.12,0)+IF(AND(V1388&gt;=75,V1388&lt;175,W1388&lt;35),0.3,0)+IF(AND(V1388&gt;=75,V1388&lt;=175,W1388&gt;=35,W1388&lt;65),0.23,0)+IF(AND(V1388&gt;=75,V1388&lt;=175,W1388&gt;=65,W1388&lt;110),0.17,0)+IF(AND(V1388&gt;=75,V1388&lt;=175,W1388&gt;=110),0.12,0)+IF(AND(V1388&gt;175,W1388&lt;25),0.3,0)+IF(AND(V1388&gt;175,W1388&gt;=25,W1388&lt;55),0.23,0)+IF(AND(V1388&gt;175,W1388&gt;=55,W1388&lt;95),0.17,0)+IF(AND(V1388&gt;175,W1388&gt;=95),0.12,0),
IF(AF1388="Fix15",0.15,
IF(AF1388="Fix18.75",0.1875,
IF(AF1388="Fix11.25",0.1125,
IF(AF1388="Fix10",0.1,
IF(AF1388="Fix9",0.09,
IF(AF1388="Fix19",0.19,
IF(AF1388="DoEV2017",IF(AND(W1388&lt;74),0.2,0)+IF(AND(W1388&gt;=74),0.17,0),
IF(AF1388="SF",IF(AND(V1388&lt;20,W1388&lt;89),0.3,0)+IF(AND(V1388&lt;20,W1388&gt;=89),0.25,0)+IF(AND(V1388&gt;=20,V1388&lt;40,W1388&lt;74),0.3,0)+IF(AND(V1388&gt;=20,V1388&lt;40,W1388&gt;=75),0.22,0)+IF(AND(V1388&gt;=40,V1388&lt;75,W1388&lt;75),0.26,0)+IF(AND(V1388&gt;=40,V1388&lt;75,W1388&gt;=75),0.22,0)+IF(V1388&gt;=75,0.22,0),
IF(AF1388="DoEVold",IF(AND(V1388&lt;40,W1388&lt;35),0.35,0)+IF(AND(V1388&lt;40,W1388&gt;=35,W1388&lt;75),0.25,0)+IF(AND(V1388&lt;40,W1388&gt;=75),0.17,0)+IF(AND(V1388&gt;=40,V1388&lt;75,W1388&lt;25),0.35,0)+IF(AND(V1388&gt;=40,V1388&lt;75,W1388&gt;=25,W1388&lt;65),0.25,0)+IF(AND(V1388&gt;=40,V1388&lt;75,W1388&gt;=65,W1388&lt;100),0.17,0)+IF(AND(V1388&gt;=40,V1388&lt;75,W1388&gt;=100),0.1,0)+IF(AND(V1388&gt;=75,W1388&lt;25),0.35,0)+IF(AND(V1388&gt;=75,W1388&gt;=25,W1388&lt;60),0.25,0)+IF(AND(V1388&gt;=75,W1388&gt;=60,W1388&lt;95),0.17,0)+IF(AND(V1388&gt;=75,W1388&gt;=95),0.1,0),
IF(AF1388="DoEVold15",IF(AND(V1388&lt;=40,W1388&lt;35),0.35,0)+IF(AND(V1388&lt;=40,W1388&gt;=35,W1388&lt;75),0.25,0)+IF(AND(V1388&lt;=40,W1388&gt;=75,W1388&lt;120),0.17,0)+IF(AND(V1388&lt;=40,W1388&gt;=120),0.15,0)+IF(AND(V1388&gt;40,V1388&lt;75,W1388&lt;25),0.35,0)+IF(AND(V1388&gt;=40,V1388&lt;75,W1388&gt;=25,W1388&lt;65),0.25,0)+IF(AND(V1388&gt;=40,V1388&lt;75,W1388&gt;=65,W1388&lt;100),0.17,0)+IF(AND(V1388&gt;=40,V1388&lt;75,W1388&gt;=100),0.1,0)+IF(AND(V1388&gt;=75,W1388&lt;25),0.35,0)+IF(AND(V1388&gt;=75,W1388&gt;=25,W1388&lt;60),0.25,0)+IF(AND(V1388&gt;=75,W1388&gt;=60,W1388&lt;95),0.17,0)+IF(AND(V1388&gt;=75,W1388&gt;=95),0.1,0),
IF(AF1388="DoEVba",IF(AND(V1388&lt;20,W1388&lt;105),0.2,0)+IF(AND(V1388&lt;20,W1388&gt;=105),0.15,0)+IF(AND(V1388&gt;=20,V1388&lt;40,W1388&lt;95),0.2,0)+IF(AND(V1388&gt;=20,V1388&lt;40,W1388&gt;=95,W1388&lt;150),0.15,0)+IF(AND(V1388&gt;=20,V1388&lt;40,W1388&gt;=150),0.12,0)+IF(AND(V1388&gt;=40,V1388&lt;75,W1388&lt;75),0.2,0)+IF(AND(V1388&gt;=40,V1388&lt;75,W1388&gt;=75,W1388&lt;120),0.15,0)+IF(AND(V1388&gt;=40,V1388&lt;75,W1388&gt;=120),0.12,0)+IF(AND(V1388&gt;=75,V1388&lt;175,W1388&lt;65),0.2,0)+IF(AND(V1388&gt;=75,V1388&lt;175,W1388&gt;=65,W1388&lt;110),0.15,0)+IF(AND(V1388&gt;=75,V1388&lt;175,W1388&gt;=110),0.12,0)+IF(AND(V1388&gt;=175,W1388&lt;55),0.2,0)+IF(AND(V1388&gt;=175,W1388&gt;=55,W1388&lt;95),0.15,0)+IF(AND(V1388&gt;=175,W1388&gt;=95),0.12,0),
IF(AF1388="DoEVku",IF(AND(V1388&lt;20,W1388&lt;55),0.23,0)+IF(AND(V1388&lt;20,W1388&gt;=55,W1388&lt;105),0.2,0)+IF(AND(V1388&lt;20,W1388&gt;=105),0.17,0)+IF(AND(V1388&gt;=20,V1388&lt;40,W1388&lt;45),0.23,0)+IF(AND(V1388&gt;=20,V1388&lt;40,W1388&gt;=45,W1388&lt;95),0.2,0)+IF(AND(V1388&gt;=20,V1388&lt;40,W1388&gt;=95,W1388&lt;=150),0.17,0)+IF(AND(V1388&gt;=20,V1388&lt;40,W1388&gt;=150),0.12,0)+IF(AND(V1388&gt;=40,V1388&lt;75,W1388&lt;35),0.23,0)+IF(AND(V1388&gt;=40,V1388&lt;75,W1388&gt;=35,W1388&lt;75),0.2,0)+IF(AND(V1388&gt;=40,V1388&lt;75,W1388&gt;=75,W1388&lt;120),0.17,0)+IF(AND(V1388&gt;=40,V1388&lt;75,W1388&gt;=120),0.12,0)+IF(AND(V1388&gt;=75,V1388&lt;175,W1388&lt;35),0.23,0)+IF(AND(V1388&gt;=75,V1388&lt;=175,W1388&gt;=35,W1388&lt;65),0.2,0)+IF(AND(V1388&gt;=75,V1388&lt;=175,W1388&gt;=65,W1388&lt;110),0.17,0)+IF(AND(V1388&gt;=75,V1388&lt;=175,W1388&gt;=110),0.12,0)+IF(AND(V1388&gt;175,W1388&lt;25),0.23,0)+IF(AND(V1388&gt;175,W1388&gt;=25,W1388&lt;55),0.2,0)+IF(AND(V1388&gt;175,W1388&gt;=55,W1388&lt;95),0.17,0)+IF(AND(V1388&gt;175,W1388&gt;=95),0.12,0),
IF(AF1388="DoEVs1",IF(AND(V1388&lt;20,W1388&lt;55),0.3,0)+IF(AND(V1388&lt;20,W1388&gt;=55,W1388&lt;105),0.23,0)+IF(AND(V1388&lt;20,W1388&gt;=105),0.17,0)+IF(AND(V1388&gt;=20,V1388&lt;40,W1388&lt;45),0.3,0)+IF(AND(V1388&gt;=20,V1388&lt;40,W1388&gt;=45,W1388&lt;95),0.23,0)+IF(AND(V1388&gt;=20,V1388&lt;40,W1388&gt;=95,W1388&lt;=150),0.17,0)+IF(AND(V1388&gt;=20,V1388&lt;40,W1388&gt;=150),0.12,0)+IF(AND(V1388&gt;=40,V1388&lt;75,W1388&lt;35),0.3,0)+IF(AND(V1388&gt;=40,V1388&lt;75,W1388&gt;=35,W1388&lt;75),0.23,0)+IF(AND(V1388&gt;=40,V1388&lt;75,W1388&gt;=75,W1388&lt;120),0.17,0)+IF(AND(V1388&gt;=40,V1388&lt;75,W1388&gt;=120),0.12,0)+IF(AND(V1388&gt;=75,V1388&lt;175,W1388&lt;35),0.3,0)+IF(AND(V1388&gt;=75,V1388&lt;=175,W1388&gt;=35,W1388&lt;65),0.23,0)+IF(AND(V1388&gt;=75,V1388&lt;=175,W1388&gt;=65,W1388&lt;110),0.17,0)+IF(AND(V1388&gt;=75,V1388&lt;=175,W1388&gt;=110),0.12,0)+IF(AND(V1388&gt;175,W1388&lt;25),0.3,0)+IF(AND(V1388&gt;175,W1388&gt;=25,W1388&lt;55),0.23,0)+IF(AND(V1388&gt;175,W1388&gt;=55,W1388&lt;95),0.17,0)+IF(AND(V1388&gt;175,W1388&gt;=95),0.12,0),
IF(AF1388="DoEVsu",IF(AND(V1388&lt;20,W1388&lt;55),0.3,0)+IF(AND(V1388&lt;20,W1388&gt;=55,W1388&lt;105),0.23,0)+IF(AND(V1388&lt;20,W1388&gt;=105),0.17,0)+IF(AND(V1388&gt;=20,V1388&lt;40,W1388&lt;45),0.3,0)+IF(AND(V1388&gt;=20,V1388&lt;40,W1388&gt;=45,W1388&lt;95),0.23,0)+IF(AND(V1388&gt;=20,V1388&lt;40,W1388&gt;=95,W1388&lt;=250),0.17,0)+IF(AND(V1388&gt;=20,V1388&lt;40,W1388&gt;=250),0.12,0)+IF(AND(V1388&gt;=40,V1388&lt;75,W1388&lt;35),0.3,0)+IF(AND(V1388&gt;=40,V1388&lt;75,W1388&gt;=35,W1388&lt;75),0.23,0)+IF(AND(V1388&gt;=40,V1388&lt;75,W1388&gt;=75,W1388&lt;120),0.17,0)+IF(AND(V1388&gt;=40,V1388&lt;75,W1388&gt;=120),0.12,0)+IF(AND(V1388&gt;=75,V1388&lt;175,W1388&lt;35),0.3,0)+IF(AND(V1388&gt;=75,V1388&lt;=175,W1388&gt;=35,W1388&lt;65),0.23,0)+IF(AND(V1388&gt;=75,V1388&lt;=175,W1388&gt;=65,W1388&lt;110),0.17,0)+IF(AND(V1388&gt;=75,V1388&lt;=175,W1388&gt;=110),0.12,0)+IF(AND(V1388&gt;175,W1388&lt;25),0.3,0)+IF(AND(V1388&gt;175,W1388&gt;=25,W1388&lt;55),0.23,0)+IF(AND(V1388&gt;175,W1388&gt;=55,W1388&lt;95),0.17,0)+IF(AND(V1388&gt;175,W1388&gt;=95),0.12,0),
IF(AF1388="DoEVni",IF(AND(V1388&lt;20,W1388&lt;55),0.3,0)+IF(AND(V1388&lt;20,W1388&gt;=55,W1388&lt;105),0.23,0)+IF(AND(V1388&lt;20,W1388&gt;=105),0.17,0)+IF(AND(V1388&gt;=20,V1388&lt;40,W1388&lt;45),0.3,0)+IF(AND(V1388&gt;=20,V1388&lt;40,W1388&gt;=45,W1388&lt;95),0.23,0)+IF(AND(V1388&gt;=20,V1388&lt;40,W1388&gt;=95,W1388&lt;=200),0.17,0)+IF(AND(V1388&gt;=20,V1388&lt;40,W1388&gt;=200),0.12,0)+IF(AND(V1388&gt;=40,V1388&lt;75,W1388&lt;35),0.3,0)+IF(AND(V1388&gt;=40,V1388&lt;75,W1388&gt;=35,W1388&lt;75),0.23,0)+IF(AND(V1388&gt;=40,V1388&lt;75,W1388&gt;=75,W1388&lt;120),0.17,0)+IF(AND(V1388&gt;=40,V1388&lt;75,W1388&gt;=120),0.12,0)+IF(AND(V1388&gt;=75,V1388&lt;175,W1388&lt;35),0.3,0)+IF(AND(V1388&gt;=75,V1388&lt;=175,W1388&gt;=35,W1388&lt;65),0.23,0)+IF(AND(V1388&gt;=75,V1388&lt;=175,W1388&gt;=65,W1388&lt;110),0.17,0)+IF(AND(V1388&gt;=75,V1388&lt;=175,W1388&gt;=110),0.12,0)+IF(AND(V1388&gt;175,W1388&lt;25),0.3,0)+IF(AND(V1388&gt;175,W1388&gt;=25,W1388&lt;55),0.23,0)+IF(AND(V1388&gt;175,W1388&gt;=55,W1388&lt;95),0.17,0)+IF(AND(V1388&gt;175,W1388&gt;=95),0.12,0),
IF(AF1388="DoEVLo",IF(AND(V1388&lt;20,W1388&lt;55),0.25,0)+IF(AND(V1388&lt;20,W1388&gt;=55,W1388&lt;105),0.2,0)+IF(AND(V1388&lt;20,W1388&gt;=105),0.15,0)+IF(AND(V1388&gt;=20,V1388&lt;40,W1388&lt;45),0.25,0)+IF(AND(V1388&gt;=20,V1388&lt;40,W1388&gt;=45,W1388&lt;95),0.2,0)+IF(AND(V1388&gt;=20,V1388&lt;40,W1388&gt;=95),0.15,0)+IF(AND(V1388&gt;=40,V1388&lt;75,W1388&lt;35),0.25,0)+IF(AND(V1388&gt;=40,V1388&lt;75,W1388&gt;=35,W1388&lt;75),0.2,0)+IF(AND(V1388&gt;=40,V1388&lt;75,W1388&gt;=75,W1388&lt;120),0.15,0)+IF(AND(V1388&gt;=40,V1388&lt;75,W1388&gt;=120),0.1,0)+IF(AND(V1388&gt;=75,V1388&lt;175,W1388&lt;35),0.25,0)+IF(AND(V1388&gt;=75,V1388&lt;=175,W1388&gt;=35,W1388&lt;65),0.2,0)+IF(AND(V1388&gt;=75,V1388&lt;=175,W1388&gt;=65,W1388&lt;110),0.15,0)+IF(AND(V1388&gt;=75,V1388&lt;=175,W1388&gt;=110),0.1,0)+IF(AND(V1388&gt;175,W1388&lt;25),0.25,0)+IF(AND(V1388&gt;175,W1388&gt;=25,W1388&lt;55),0.2,0)+IF(AND(V1388&gt;175,W1388&gt;=55,W1388&lt;95),0.15,0)+IF(AND(V1388&gt;175,W1388&gt;=95),0.1,0))))))))))))))))))</f>
        <v>0</v>
      </c>
      <c r="Y1388" s="78">
        <v>0.22</v>
      </c>
      <c r="Z1388" s="35">
        <f>T1388-AA1388-AB1388</f>
        <v>316.68</v>
      </c>
      <c r="AA1388" s="29">
        <f>IF(AD1388="EUR",((T1388-R1388)*X1388)*U1388+(R1388*X1388),(T1388*X1388))</f>
        <v>0</v>
      </c>
      <c r="AB1388" s="36">
        <f>IF(AD1388="EUR",((T1388-R1388)*Y1388)*U1388+(R1388*Y1388),(T1388*Y1388))</f>
        <v>89.320000000000007</v>
      </c>
      <c r="AC1388" s="61" t="b">
        <v>1</v>
      </c>
      <c r="AD1388" s="37" t="s">
        <v>38</v>
      </c>
      <c r="AE1388" s="37" t="s">
        <v>38</v>
      </c>
      <c r="AF1388" s="37" t="str">
        <f t="array" ref="AF1388">INDEX('Deal Info'!D:D, MATCH(A1388,'Deal Info'!A:A, 0))</f>
        <v>None</v>
      </c>
      <c r="AG1388" s="38" t="str">
        <f t="array" ref="AG1388">INDEX('Deal Info'!G:G, MATCH(A1388,'Deal Info'!A:A, 0))</f>
        <v>guilexperi</v>
      </c>
    </row>
    <row r="1389" spans="1:33" ht="14.25" hidden="1" x14ac:dyDescent="0.2">
      <c r="A1389" s="18" t="str">
        <f t="array" ref="A1389">IF(G1389='Room Info'!$B$1, INDEX('Room Info'!$A$2:$A2446, MATCH(B1389,'Room Info'!$B$2:$B2446, 0)),IF(G1389='Room Info'!$C$1, INDEX('Room Info'!$A$2:$A2446, MATCH(B1389,'Room Info'!$C$2:$C2446, 0)),IF(G1389='Room Info'!$D$1, INDEX('Room Info'!$A$2:$A2446, MATCH(B1389,'Room Info'!$D$2:$D2446, 0)),IF(G1389='Room Info'!$E$1, INDEX('Room Info'!$A$2:$A2446, MATCH(B1389,'Room Info'!$E$2:$E2446, 0)),IF(G1389='Room Info'!$F$1, INDEX('Room Info'!$A$2:$A2446, MATCH(B1389,'Room Info'!$F$2:$F2446, 0)),IF(G1389='Room Info'!$H$1, INDEX('Room Info'!$A$2:$A2446, MATCH(B1389,'Room Info'!$H$2:$H2446, 0)),IF(G1389='Room Info'!$G$1, INDEX('Room Info'!$A$2:$A2446, MATCH(B1389,'Room Info'!$G$2:$G2446, 0)))))))))</f>
        <v>guilexperi</v>
      </c>
      <c r="B1389" s="45" t="s">
        <v>208</v>
      </c>
      <c r="C1389" s="46">
        <v>44916</v>
      </c>
      <c r="D1389" s="46">
        <v>44921</v>
      </c>
      <c r="E1389" s="47">
        <v>44896</v>
      </c>
      <c r="F1389" s="48" t="s">
        <v>49</v>
      </c>
      <c r="G1389" s="45" t="s">
        <v>35</v>
      </c>
      <c r="H1389" s="49" t="s">
        <v>213</v>
      </c>
      <c r="I1389" s="49" t="s">
        <v>174</v>
      </c>
      <c r="J1389" s="50">
        <v>100</v>
      </c>
      <c r="K1389" s="51">
        <v>5</v>
      </c>
      <c r="L1389" s="52">
        <v>285</v>
      </c>
      <c r="M1389" s="53">
        <v>32</v>
      </c>
      <c r="N1389" s="28">
        <f>K1389*J1389</f>
        <v>500</v>
      </c>
      <c r="O1389" s="54">
        <v>-121</v>
      </c>
      <c r="P1389" s="29">
        <v>-24.2</v>
      </c>
      <c r="Q1389" s="55"/>
      <c r="R1389" s="31">
        <f>M1389+Q1389</f>
        <v>32</v>
      </c>
      <c r="S1389" s="56">
        <v>-33</v>
      </c>
      <c r="T1389" s="32">
        <f>R1389+S1389+IF(F1389="Without EV deal",L1389,0)</f>
        <v>-1</v>
      </c>
      <c r="U1389" s="57"/>
      <c r="V1389" s="58"/>
      <c r="W1389" s="58"/>
      <c r="X1389" s="30" t="b">
        <f>IF(AF1389="DoEV",IF(AND(V1389&lt;20,W1389&lt;55),0.3,0)+IF(AND(V1389&lt;20,W1389&gt;=55,W1389&lt;105),0.23,0)+IF(AND(V1389&lt;20,W1389&gt;=105),0.17,0)+IF(AND(V1389&gt;=20,V1389&lt;40,W1389&lt;45),0.3,0)+IF(AND(V1389&gt;=20,V1389&lt;40,W1389&gt;=45,W1389&lt;95),0.23,0)+IF(AND(V1389&gt;=20,V1389&lt;40,W1389&gt;=95),0.17,0)+IF(AND(V1389&gt;=40,V1389&lt;75,W1389&lt;35),0.3,0)+IF(AND(V1389&gt;=40,V1389&lt;75,W1389&gt;=35,W1389&lt;75),0.23,0)+IF(AND(V1389&gt;=40,V1389&lt;75,W1389&gt;=75,W1389&lt;120),0.17,0)+IF(AND(V1389&gt;=40,V1389&lt;75,W1389&gt;=120),0.12,0)+IF(AND(V1389&gt;=75,V1389&lt;175,W1389&lt;35),0.3,0)+IF(AND(V1389&gt;=75,V1389&lt;=175,W1389&gt;=35,W1389&lt;65),0.23,0)+IF(AND(V1389&gt;=75,V1389&lt;=175,W1389&gt;=65,W1389&lt;110),0.17,0)+IF(AND(V1389&gt;=75,V1389&lt;=175,W1389&gt;=110),0.12,0)+IF(AND(V1389&gt;175,W1389&lt;25),0.3,0)+IF(AND(V1389&gt;175,W1389&gt;=25,W1389&lt;55),0.23,0)+IF(AND(V1389&gt;175,W1389&gt;=55,W1389&lt;95),0.17,0)+IF(AND(V1389&gt;175,W1389&gt;=95),0.12,0),
IF(AF1389="Fix15",0.15,
IF(AF1389="Fix18.75",0.1875,
IF(AF1389="Fix11.25",0.1125,
IF(AF1389="Fix10",0.1,
IF(AF1389="Fix9",0.09,
IF(AF1389="Fix19",0.19,
IF(AF1389="DoEV2017",IF(AND(W1389&lt;74),0.2,0)+IF(AND(W1389&gt;=74),0.17,0),
IF(AF1389="SF",IF(AND(V1389&lt;20,W1389&lt;89),0.3,0)+IF(AND(V1389&lt;20,W1389&gt;=89),0.25,0)+IF(AND(V1389&gt;=20,V1389&lt;40,W1389&lt;74),0.3,0)+IF(AND(V1389&gt;=20,V1389&lt;40,W1389&gt;=75),0.22,0)+IF(AND(V1389&gt;=40,V1389&lt;75,W1389&lt;75),0.26,0)+IF(AND(V1389&gt;=40,V1389&lt;75,W1389&gt;=75),0.22,0)+IF(V1389&gt;=75,0.22,0),
IF(AF1389="DoEVold",IF(AND(V1389&lt;40,W1389&lt;35),0.35,0)+IF(AND(V1389&lt;40,W1389&gt;=35,W1389&lt;75),0.25,0)+IF(AND(V1389&lt;40,W1389&gt;=75),0.17,0)+IF(AND(V1389&gt;=40,V1389&lt;75,W1389&lt;25),0.35,0)+IF(AND(V1389&gt;=40,V1389&lt;75,W1389&gt;=25,W1389&lt;65),0.25,0)+IF(AND(V1389&gt;=40,V1389&lt;75,W1389&gt;=65,W1389&lt;100),0.17,0)+IF(AND(V1389&gt;=40,V1389&lt;75,W1389&gt;=100),0.1,0)+IF(AND(V1389&gt;=75,W1389&lt;25),0.35,0)+IF(AND(V1389&gt;=75,W1389&gt;=25,W1389&lt;60),0.25,0)+IF(AND(V1389&gt;=75,W1389&gt;=60,W1389&lt;95),0.17,0)+IF(AND(V1389&gt;=75,W1389&gt;=95),0.1,0),
IF(AF1389="DoEVold15",IF(AND(V1389&lt;=40,W1389&lt;35),0.35,0)+IF(AND(V1389&lt;=40,W1389&gt;=35,W1389&lt;75),0.25,0)+IF(AND(V1389&lt;=40,W1389&gt;=75,W1389&lt;120),0.17,0)+IF(AND(V1389&lt;=40,W1389&gt;=120),0.15,0)+IF(AND(V1389&gt;40,V1389&lt;75,W1389&lt;25),0.35,0)+IF(AND(V1389&gt;=40,V1389&lt;75,W1389&gt;=25,W1389&lt;65),0.25,0)+IF(AND(V1389&gt;=40,V1389&lt;75,W1389&gt;=65,W1389&lt;100),0.17,0)+IF(AND(V1389&gt;=40,V1389&lt;75,W1389&gt;=100),0.1,0)+IF(AND(V1389&gt;=75,W1389&lt;25),0.35,0)+IF(AND(V1389&gt;=75,W1389&gt;=25,W1389&lt;60),0.25,0)+IF(AND(V1389&gt;=75,W1389&gt;=60,W1389&lt;95),0.17,0)+IF(AND(V1389&gt;=75,W1389&gt;=95),0.1,0),
IF(AF1389="DoEVba",IF(AND(V1389&lt;20,W1389&lt;105),0.2,0)+IF(AND(V1389&lt;20,W1389&gt;=105),0.15,0)+IF(AND(V1389&gt;=20,V1389&lt;40,W1389&lt;95),0.2,0)+IF(AND(V1389&gt;=20,V1389&lt;40,W1389&gt;=95,W1389&lt;150),0.15,0)+IF(AND(V1389&gt;=20,V1389&lt;40,W1389&gt;=150),0.12,0)+IF(AND(V1389&gt;=40,V1389&lt;75,W1389&lt;75),0.2,0)+IF(AND(V1389&gt;=40,V1389&lt;75,W1389&gt;=75,W1389&lt;120),0.15,0)+IF(AND(V1389&gt;=40,V1389&lt;75,W1389&gt;=120),0.12,0)+IF(AND(V1389&gt;=75,V1389&lt;175,W1389&lt;65),0.2,0)+IF(AND(V1389&gt;=75,V1389&lt;175,W1389&gt;=65,W1389&lt;110),0.15,0)+IF(AND(V1389&gt;=75,V1389&lt;175,W1389&gt;=110),0.12,0)+IF(AND(V1389&gt;=175,W1389&lt;55),0.2,0)+IF(AND(V1389&gt;=175,W1389&gt;=55,W1389&lt;95),0.15,0)+IF(AND(V1389&gt;=175,W1389&gt;=95),0.12,0),
IF(AF1389="DoEVku",IF(AND(V1389&lt;20,W1389&lt;55),0.23,0)+IF(AND(V1389&lt;20,W1389&gt;=55,W1389&lt;105),0.2,0)+IF(AND(V1389&lt;20,W1389&gt;=105),0.17,0)+IF(AND(V1389&gt;=20,V1389&lt;40,W1389&lt;45),0.23,0)+IF(AND(V1389&gt;=20,V1389&lt;40,W1389&gt;=45,W1389&lt;95),0.2,0)+IF(AND(V1389&gt;=20,V1389&lt;40,W1389&gt;=95,W1389&lt;=150),0.17,0)+IF(AND(V1389&gt;=20,V1389&lt;40,W1389&gt;=150),0.12,0)+IF(AND(V1389&gt;=40,V1389&lt;75,W1389&lt;35),0.23,0)+IF(AND(V1389&gt;=40,V1389&lt;75,W1389&gt;=35,W1389&lt;75),0.2,0)+IF(AND(V1389&gt;=40,V1389&lt;75,W1389&gt;=75,W1389&lt;120),0.17,0)+IF(AND(V1389&gt;=40,V1389&lt;75,W1389&gt;=120),0.12,0)+IF(AND(V1389&gt;=75,V1389&lt;175,W1389&lt;35),0.23,0)+IF(AND(V1389&gt;=75,V1389&lt;=175,W1389&gt;=35,W1389&lt;65),0.2,0)+IF(AND(V1389&gt;=75,V1389&lt;=175,W1389&gt;=65,W1389&lt;110),0.17,0)+IF(AND(V1389&gt;=75,V1389&lt;=175,W1389&gt;=110),0.12,0)+IF(AND(V1389&gt;175,W1389&lt;25),0.23,0)+IF(AND(V1389&gt;175,W1389&gt;=25,W1389&lt;55),0.2,0)+IF(AND(V1389&gt;175,W1389&gt;=55,W1389&lt;95),0.17,0)+IF(AND(V1389&gt;175,W1389&gt;=95),0.12,0),
IF(AF1389="DoEVs1",IF(AND(V1389&lt;20,W1389&lt;55),0.3,0)+IF(AND(V1389&lt;20,W1389&gt;=55,W1389&lt;105),0.23,0)+IF(AND(V1389&lt;20,W1389&gt;=105),0.17,0)+IF(AND(V1389&gt;=20,V1389&lt;40,W1389&lt;45),0.3,0)+IF(AND(V1389&gt;=20,V1389&lt;40,W1389&gt;=45,W1389&lt;95),0.23,0)+IF(AND(V1389&gt;=20,V1389&lt;40,W1389&gt;=95,W1389&lt;=150),0.17,0)+IF(AND(V1389&gt;=20,V1389&lt;40,W1389&gt;=150),0.12,0)+IF(AND(V1389&gt;=40,V1389&lt;75,W1389&lt;35),0.3,0)+IF(AND(V1389&gt;=40,V1389&lt;75,W1389&gt;=35,W1389&lt;75),0.23,0)+IF(AND(V1389&gt;=40,V1389&lt;75,W1389&gt;=75,W1389&lt;120),0.17,0)+IF(AND(V1389&gt;=40,V1389&lt;75,W1389&gt;=120),0.12,0)+IF(AND(V1389&gt;=75,V1389&lt;175,W1389&lt;35),0.3,0)+IF(AND(V1389&gt;=75,V1389&lt;=175,W1389&gt;=35,W1389&lt;65),0.23,0)+IF(AND(V1389&gt;=75,V1389&lt;=175,W1389&gt;=65,W1389&lt;110),0.17,0)+IF(AND(V1389&gt;=75,V1389&lt;=175,W1389&gt;=110),0.12,0)+IF(AND(V1389&gt;175,W1389&lt;25),0.3,0)+IF(AND(V1389&gt;175,W1389&gt;=25,W1389&lt;55),0.23,0)+IF(AND(V1389&gt;175,W1389&gt;=55,W1389&lt;95),0.17,0)+IF(AND(V1389&gt;175,W1389&gt;=95),0.12,0),
IF(AF1389="DoEVsu",IF(AND(V1389&lt;20,W1389&lt;55),0.3,0)+IF(AND(V1389&lt;20,W1389&gt;=55,W1389&lt;105),0.23,0)+IF(AND(V1389&lt;20,W1389&gt;=105),0.17,0)+IF(AND(V1389&gt;=20,V1389&lt;40,W1389&lt;45),0.3,0)+IF(AND(V1389&gt;=20,V1389&lt;40,W1389&gt;=45,W1389&lt;95),0.23,0)+IF(AND(V1389&gt;=20,V1389&lt;40,W1389&gt;=95,W1389&lt;=250),0.17,0)+IF(AND(V1389&gt;=20,V1389&lt;40,W1389&gt;=250),0.12,0)+IF(AND(V1389&gt;=40,V1389&lt;75,W1389&lt;35),0.3,0)+IF(AND(V1389&gt;=40,V1389&lt;75,W1389&gt;=35,W1389&lt;75),0.23,0)+IF(AND(V1389&gt;=40,V1389&lt;75,W1389&gt;=75,W1389&lt;120),0.17,0)+IF(AND(V1389&gt;=40,V1389&lt;75,W1389&gt;=120),0.12,0)+IF(AND(V1389&gt;=75,V1389&lt;175,W1389&lt;35),0.3,0)+IF(AND(V1389&gt;=75,V1389&lt;=175,W1389&gt;=35,W1389&lt;65),0.23,0)+IF(AND(V1389&gt;=75,V1389&lt;=175,W1389&gt;=65,W1389&lt;110),0.17,0)+IF(AND(V1389&gt;=75,V1389&lt;=175,W1389&gt;=110),0.12,0)+IF(AND(V1389&gt;175,W1389&lt;25),0.3,0)+IF(AND(V1389&gt;175,W1389&gt;=25,W1389&lt;55),0.23,0)+IF(AND(V1389&gt;175,W1389&gt;=55,W1389&lt;95),0.17,0)+IF(AND(V1389&gt;175,W1389&gt;=95),0.12,0),
IF(AF1389="DoEVni",IF(AND(V1389&lt;20,W1389&lt;55),0.3,0)+IF(AND(V1389&lt;20,W1389&gt;=55,W1389&lt;105),0.23,0)+IF(AND(V1389&lt;20,W1389&gt;=105),0.17,0)+IF(AND(V1389&gt;=20,V1389&lt;40,W1389&lt;45),0.3,0)+IF(AND(V1389&gt;=20,V1389&lt;40,W1389&gt;=45,W1389&lt;95),0.23,0)+IF(AND(V1389&gt;=20,V1389&lt;40,W1389&gt;=95,W1389&lt;=200),0.17,0)+IF(AND(V1389&gt;=20,V1389&lt;40,W1389&gt;=200),0.12,0)+IF(AND(V1389&gt;=40,V1389&lt;75,W1389&lt;35),0.3,0)+IF(AND(V1389&gt;=40,V1389&lt;75,W1389&gt;=35,W1389&lt;75),0.23,0)+IF(AND(V1389&gt;=40,V1389&lt;75,W1389&gt;=75,W1389&lt;120),0.17,0)+IF(AND(V1389&gt;=40,V1389&lt;75,W1389&gt;=120),0.12,0)+IF(AND(V1389&gt;=75,V1389&lt;175,W1389&lt;35),0.3,0)+IF(AND(V1389&gt;=75,V1389&lt;=175,W1389&gt;=35,W1389&lt;65),0.23,0)+IF(AND(V1389&gt;=75,V1389&lt;=175,W1389&gt;=65,W1389&lt;110),0.17,0)+IF(AND(V1389&gt;=75,V1389&lt;=175,W1389&gt;=110),0.12,0)+IF(AND(V1389&gt;175,W1389&lt;25),0.3,0)+IF(AND(V1389&gt;175,W1389&gt;=25,W1389&lt;55),0.23,0)+IF(AND(V1389&gt;175,W1389&gt;=55,W1389&lt;95),0.17,0)+IF(AND(V1389&gt;175,W1389&gt;=95),0.12,0),
IF(AF1389="DoEVLo",IF(AND(V1389&lt;20,W1389&lt;55),0.25,0)+IF(AND(V1389&lt;20,W1389&gt;=55,W1389&lt;105),0.2,0)+IF(AND(V1389&lt;20,W1389&gt;=105),0.15,0)+IF(AND(V1389&gt;=20,V1389&lt;40,W1389&lt;45),0.25,0)+IF(AND(V1389&gt;=20,V1389&lt;40,W1389&gt;=45,W1389&lt;95),0.2,0)+IF(AND(V1389&gt;=20,V1389&lt;40,W1389&gt;=95),0.15,0)+IF(AND(V1389&gt;=40,V1389&lt;75,W1389&lt;35),0.25,0)+IF(AND(V1389&gt;=40,V1389&lt;75,W1389&gt;=35,W1389&lt;75),0.2,0)+IF(AND(V1389&gt;=40,V1389&lt;75,W1389&gt;=75,W1389&lt;120),0.15,0)+IF(AND(V1389&gt;=40,V1389&lt;75,W1389&gt;=120),0.1,0)+IF(AND(V1389&gt;=75,V1389&lt;175,W1389&lt;35),0.25,0)+IF(AND(V1389&gt;=75,V1389&lt;=175,W1389&gt;=35,W1389&lt;65),0.2,0)+IF(AND(V1389&gt;=75,V1389&lt;=175,W1389&gt;=65,W1389&lt;110),0.15,0)+IF(AND(V1389&gt;=75,V1389&lt;=175,W1389&gt;=110),0.1,0)+IF(AND(V1389&gt;175,W1389&lt;25),0.25,0)+IF(AND(V1389&gt;175,W1389&gt;=25,W1389&lt;55),0.2,0)+IF(AND(V1389&gt;175,W1389&gt;=55,W1389&lt;95),0.15,0)+IF(AND(V1389&gt;175,W1389&gt;=95),0.1,0))))))))))))))))))</f>
        <v>0</v>
      </c>
      <c r="Y1389" s="78">
        <v>0.22</v>
      </c>
      <c r="Z1389" s="35">
        <f>T1389-AA1389-AB1389</f>
        <v>-0.78</v>
      </c>
      <c r="AA1389" s="29">
        <f>IF(AD1389="EUR",((T1389-R1389)*X1389)*U1389+(R1389*X1389),(T1389*X1389))</f>
        <v>0</v>
      </c>
      <c r="AB1389" s="36">
        <f>IF(AD1389="EUR",((T1389-R1389)*Y1389)*U1389+(R1389*Y1389),(T1389*Y1389))</f>
        <v>-0.22</v>
      </c>
      <c r="AC1389" s="61" t="b">
        <v>1</v>
      </c>
      <c r="AD1389" s="37" t="s">
        <v>38</v>
      </c>
      <c r="AE1389" s="37" t="s">
        <v>38</v>
      </c>
      <c r="AF1389" s="37" t="str">
        <f t="array" ref="AF1389">INDEX('Deal Info'!D:D, MATCH(A1389,'Deal Info'!A:A, 0))</f>
        <v>None</v>
      </c>
      <c r="AG1389" s="38" t="str">
        <f t="array" ref="AG1389">INDEX('Deal Info'!G:G, MATCH(A1389,'Deal Info'!A:A, 0))</f>
        <v>guilexperi</v>
      </c>
    </row>
    <row r="1390" spans="1:33" ht="14.25" hidden="1" x14ac:dyDescent="0.2">
      <c r="A1390" s="18" t="str">
        <f t="array" ref="A1390">IF(G1390='Room Info'!$B$1, INDEX('Room Info'!$A$2:$A2446, MATCH(B1390,'Room Info'!$B$2:$B2446, 0)),IF(G1390='Room Info'!$C$1, INDEX('Room Info'!$A$2:$A2446, MATCH(B1390,'Room Info'!$C$2:$C2446, 0)),IF(G1390='Room Info'!$D$1, INDEX('Room Info'!$A$2:$A2446, MATCH(B1390,'Room Info'!$D$2:$D2446, 0)),IF(G1390='Room Info'!$E$1, INDEX('Room Info'!$A$2:$A2446, MATCH(B1390,'Room Info'!$E$2:$E2446, 0)),IF(G1390='Room Info'!$F$1, INDEX('Room Info'!$A$2:$A2446, MATCH(B1390,'Room Info'!$F$2:$F2446, 0)),IF(G1390='Room Info'!$H$1, INDEX('Room Info'!$A$2:$A2446, MATCH(B1390,'Room Info'!$H$2:$H2446, 0)),IF(G1390='Room Info'!$G$1, INDEX('Room Info'!$A$2:$A2446, MATCH(B1390,'Room Info'!$G$2:$G2446, 0)))))))))</f>
        <v>guilexperi</v>
      </c>
      <c r="B1390" s="45" t="s">
        <v>208</v>
      </c>
      <c r="C1390" s="46">
        <v>44916</v>
      </c>
      <c r="D1390" s="46">
        <v>44921</v>
      </c>
      <c r="E1390" s="47">
        <v>44896</v>
      </c>
      <c r="F1390" s="48" t="s">
        <v>49</v>
      </c>
      <c r="G1390" s="45" t="s">
        <v>35</v>
      </c>
      <c r="H1390" s="49" t="s">
        <v>209</v>
      </c>
      <c r="I1390" s="49" t="s">
        <v>174</v>
      </c>
      <c r="J1390" s="50">
        <v>1000</v>
      </c>
      <c r="K1390" s="51">
        <v>3</v>
      </c>
      <c r="L1390" s="52">
        <v>-1022</v>
      </c>
      <c r="M1390" s="53">
        <v>115</v>
      </c>
      <c r="N1390" s="28">
        <f>K1390*J1390</f>
        <v>3000</v>
      </c>
      <c r="O1390" s="54">
        <v>-347</v>
      </c>
      <c r="P1390" s="29">
        <v>-115.66666669999999</v>
      </c>
      <c r="Q1390" s="55"/>
      <c r="R1390" s="31">
        <f>M1390+Q1390</f>
        <v>115</v>
      </c>
      <c r="S1390" s="56">
        <v>-720</v>
      </c>
      <c r="T1390" s="32">
        <f>R1390+S1390+IF(F1390="Without EV deal",L1390,0)</f>
        <v>-605</v>
      </c>
      <c r="U1390" s="57"/>
      <c r="V1390" s="58"/>
      <c r="W1390" s="58"/>
      <c r="X1390" s="30" t="b">
        <f>IF(AF1390="DoEV",IF(AND(V1390&lt;20,W1390&lt;55),0.3,0)+IF(AND(V1390&lt;20,W1390&gt;=55,W1390&lt;105),0.23,0)+IF(AND(V1390&lt;20,W1390&gt;=105),0.17,0)+IF(AND(V1390&gt;=20,V1390&lt;40,W1390&lt;45),0.3,0)+IF(AND(V1390&gt;=20,V1390&lt;40,W1390&gt;=45,W1390&lt;95),0.23,0)+IF(AND(V1390&gt;=20,V1390&lt;40,W1390&gt;=95),0.17,0)+IF(AND(V1390&gt;=40,V1390&lt;75,W1390&lt;35),0.3,0)+IF(AND(V1390&gt;=40,V1390&lt;75,W1390&gt;=35,W1390&lt;75),0.23,0)+IF(AND(V1390&gt;=40,V1390&lt;75,W1390&gt;=75,W1390&lt;120),0.17,0)+IF(AND(V1390&gt;=40,V1390&lt;75,W1390&gt;=120),0.12,0)+IF(AND(V1390&gt;=75,V1390&lt;175,W1390&lt;35),0.3,0)+IF(AND(V1390&gt;=75,V1390&lt;=175,W1390&gt;=35,W1390&lt;65),0.23,0)+IF(AND(V1390&gt;=75,V1390&lt;=175,W1390&gt;=65,W1390&lt;110),0.17,0)+IF(AND(V1390&gt;=75,V1390&lt;=175,W1390&gt;=110),0.12,0)+IF(AND(V1390&gt;175,W1390&lt;25),0.3,0)+IF(AND(V1390&gt;175,W1390&gt;=25,W1390&lt;55),0.23,0)+IF(AND(V1390&gt;175,W1390&gt;=55,W1390&lt;95),0.17,0)+IF(AND(V1390&gt;175,W1390&gt;=95),0.12,0),
IF(AF1390="Fix15",0.15,
IF(AF1390="Fix18.75",0.1875,
IF(AF1390="Fix11.25",0.1125,
IF(AF1390="Fix10",0.1,
IF(AF1390="Fix9",0.09,
IF(AF1390="Fix19",0.19,
IF(AF1390="DoEV2017",IF(AND(W1390&lt;74),0.2,0)+IF(AND(W1390&gt;=74),0.17,0),
IF(AF1390="SF",IF(AND(V1390&lt;20,W1390&lt;89),0.3,0)+IF(AND(V1390&lt;20,W1390&gt;=89),0.25,0)+IF(AND(V1390&gt;=20,V1390&lt;40,W1390&lt;74),0.3,0)+IF(AND(V1390&gt;=20,V1390&lt;40,W1390&gt;=75),0.22,0)+IF(AND(V1390&gt;=40,V1390&lt;75,W1390&lt;75),0.26,0)+IF(AND(V1390&gt;=40,V1390&lt;75,W1390&gt;=75),0.22,0)+IF(V1390&gt;=75,0.22,0),
IF(AF1390="DoEVold",IF(AND(V1390&lt;40,W1390&lt;35),0.35,0)+IF(AND(V1390&lt;40,W1390&gt;=35,W1390&lt;75),0.25,0)+IF(AND(V1390&lt;40,W1390&gt;=75),0.17,0)+IF(AND(V1390&gt;=40,V1390&lt;75,W1390&lt;25),0.35,0)+IF(AND(V1390&gt;=40,V1390&lt;75,W1390&gt;=25,W1390&lt;65),0.25,0)+IF(AND(V1390&gt;=40,V1390&lt;75,W1390&gt;=65,W1390&lt;100),0.17,0)+IF(AND(V1390&gt;=40,V1390&lt;75,W1390&gt;=100),0.1,0)+IF(AND(V1390&gt;=75,W1390&lt;25),0.35,0)+IF(AND(V1390&gt;=75,W1390&gt;=25,W1390&lt;60),0.25,0)+IF(AND(V1390&gt;=75,W1390&gt;=60,W1390&lt;95),0.17,0)+IF(AND(V1390&gt;=75,W1390&gt;=95),0.1,0),
IF(AF1390="DoEVold15",IF(AND(V1390&lt;=40,W1390&lt;35),0.35,0)+IF(AND(V1390&lt;=40,W1390&gt;=35,W1390&lt;75),0.25,0)+IF(AND(V1390&lt;=40,W1390&gt;=75,W1390&lt;120),0.17,0)+IF(AND(V1390&lt;=40,W1390&gt;=120),0.15,0)+IF(AND(V1390&gt;40,V1390&lt;75,W1390&lt;25),0.35,0)+IF(AND(V1390&gt;=40,V1390&lt;75,W1390&gt;=25,W1390&lt;65),0.25,0)+IF(AND(V1390&gt;=40,V1390&lt;75,W1390&gt;=65,W1390&lt;100),0.17,0)+IF(AND(V1390&gt;=40,V1390&lt;75,W1390&gt;=100),0.1,0)+IF(AND(V1390&gt;=75,W1390&lt;25),0.35,0)+IF(AND(V1390&gt;=75,W1390&gt;=25,W1390&lt;60),0.25,0)+IF(AND(V1390&gt;=75,W1390&gt;=60,W1390&lt;95),0.17,0)+IF(AND(V1390&gt;=75,W1390&gt;=95),0.1,0),
IF(AF1390="DoEVba",IF(AND(V1390&lt;20,W1390&lt;105),0.2,0)+IF(AND(V1390&lt;20,W1390&gt;=105),0.15,0)+IF(AND(V1390&gt;=20,V1390&lt;40,W1390&lt;95),0.2,0)+IF(AND(V1390&gt;=20,V1390&lt;40,W1390&gt;=95,W1390&lt;150),0.15,0)+IF(AND(V1390&gt;=20,V1390&lt;40,W1390&gt;=150),0.12,0)+IF(AND(V1390&gt;=40,V1390&lt;75,W1390&lt;75),0.2,0)+IF(AND(V1390&gt;=40,V1390&lt;75,W1390&gt;=75,W1390&lt;120),0.15,0)+IF(AND(V1390&gt;=40,V1390&lt;75,W1390&gt;=120),0.12,0)+IF(AND(V1390&gt;=75,V1390&lt;175,W1390&lt;65),0.2,0)+IF(AND(V1390&gt;=75,V1390&lt;175,W1390&gt;=65,W1390&lt;110),0.15,0)+IF(AND(V1390&gt;=75,V1390&lt;175,W1390&gt;=110),0.12,0)+IF(AND(V1390&gt;=175,W1390&lt;55),0.2,0)+IF(AND(V1390&gt;=175,W1390&gt;=55,W1390&lt;95),0.15,0)+IF(AND(V1390&gt;=175,W1390&gt;=95),0.12,0),
IF(AF1390="DoEVku",IF(AND(V1390&lt;20,W1390&lt;55),0.23,0)+IF(AND(V1390&lt;20,W1390&gt;=55,W1390&lt;105),0.2,0)+IF(AND(V1390&lt;20,W1390&gt;=105),0.17,0)+IF(AND(V1390&gt;=20,V1390&lt;40,W1390&lt;45),0.23,0)+IF(AND(V1390&gt;=20,V1390&lt;40,W1390&gt;=45,W1390&lt;95),0.2,0)+IF(AND(V1390&gt;=20,V1390&lt;40,W1390&gt;=95,W1390&lt;=150),0.17,0)+IF(AND(V1390&gt;=20,V1390&lt;40,W1390&gt;=150),0.12,0)+IF(AND(V1390&gt;=40,V1390&lt;75,W1390&lt;35),0.23,0)+IF(AND(V1390&gt;=40,V1390&lt;75,W1390&gt;=35,W1390&lt;75),0.2,0)+IF(AND(V1390&gt;=40,V1390&lt;75,W1390&gt;=75,W1390&lt;120),0.17,0)+IF(AND(V1390&gt;=40,V1390&lt;75,W1390&gt;=120),0.12,0)+IF(AND(V1390&gt;=75,V1390&lt;175,W1390&lt;35),0.23,0)+IF(AND(V1390&gt;=75,V1390&lt;=175,W1390&gt;=35,W1390&lt;65),0.2,0)+IF(AND(V1390&gt;=75,V1390&lt;=175,W1390&gt;=65,W1390&lt;110),0.17,0)+IF(AND(V1390&gt;=75,V1390&lt;=175,W1390&gt;=110),0.12,0)+IF(AND(V1390&gt;175,W1390&lt;25),0.23,0)+IF(AND(V1390&gt;175,W1390&gt;=25,W1390&lt;55),0.2,0)+IF(AND(V1390&gt;175,W1390&gt;=55,W1390&lt;95),0.17,0)+IF(AND(V1390&gt;175,W1390&gt;=95),0.12,0),
IF(AF1390="DoEVs1",IF(AND(V1390&lt;20,W1390&lt;55),0.3,0)+IF(AND(V1390&lt;20,W1390&gt;=55,W1390&lt;105),0.23,0)+IF(AND(V1390&lt;20,W1390&gt;=105),0.17,0)+IF(AND(V1390&gt;=20,V1390&lt;40,W1390&lt;45),0.3,0)+IF(AND(V1390&gt;=20,V1390&lt;40,W1390&gt;=45,W1390&lt;95),0.23,0)+IF(AND(V1390&gt;=20,V1390&lt;40,W1390&gt;=95,W1390&lt;=150),0.17,0)+IF(AND(V1390&gt;=20,V1390&lt;40,W1390&gt;=150),0.12,0)+IF(AND(V1390&gt;=40,V1390&lt;75,W1390&lt;35),0.3,0)+IF(AND(V1390&gt;=40,V1390&lt;75,W1390&gt;=35,W1390&lt;75),0.23,0)+IF(AND(V1390&gt;=40,V1390&lt;75,W1390&gt;=75,W1390&lt;120),0.17,0)+IF(AND(V1390&gt;=40,V1390&lt;75,W1390&gt;=120),0.12,0)+IF(AND(V1390&gt;=75,V1390&lt;175,W1390&lt;35),0.3,0)+IF(AND(V1390&gt;=75,V1390&lt;=175,W1390&gt;=35,W1390&lt;65),0.23,0)+IF(AND(V1390&gt;=75,V1390&lt;=175,W1390&gt;=65,W1390&lt;110),0.17,0)+IF(AND(V1390&gt;=75,V1390&lt;=175,W1390&gt;=110),0.12,0)+IF(AND(V1390&gt;175,W1390&lt;25),0.3,0)+IF(AND(V1390&gt;175,W1390&gt;=25,W1390&lt;55),0.23,0)+IF(AND(V1390&gt;175,W1390&gt;=55,W1390&lt;95),0.17,0)+IF(AND(V1390&gt;175,W1390&gt;=95),0.12,0),
IF(AF1390="DoEVsu",IF(AND(V1390&lt;20,W1390&lt;55),0.3,0)+IF(AND(V1390&lt;20,W1390&gt;=55,W1390&lt;105),0.23,0)+IF(AND(V1390&lt;20,W1390&gt;=105),0.17,0)+IF(AND(V1390&gt;=20,V1390&lt;40,W1390&lt;45),0.3,0)+IF(AND(V1390&gt;=20,V1390&lt;40,W1390&gt;=45,W1390&lt;95),0.23,0)+IF(AND(V1390&gt;=20,V1390&lt;40,W1390&gt;=95,W1390&lt;=250),0.17,0)+IF(AND(V1390&gt;=20,V1390&lt;40,W1390&gt;=250),0.12,0)+IF(AND(V1390&gt;=40,V1390&lt;75,W1390&lt;35),0.3,0)+IF(AND(V1390&gt;=40,V1390&lt;75,W1390&gt;=35,W1390&lt;75),0.23,0)+IF(AND(V1390&gt;=40,V1390&lt;75,W1390&gt;=75,W1390&lt;120),0.17,0)+IF(AND(V1390&gt;=40,V1390&lt;75,W1390&gt;=120),0.12,0)+IF(AND(V1390&gt;=75,V1390&lt;175,W1390&lt;35),0.3,0)+IF(AND(V1390&gt;=75,V1390&lt;=175,W1390&gt;=35,W1390&lt;65),0.23,0)+IF(AND(V1390&gt;=75,V1390&lt;=175,W1390&gt;=65,W1390&lt;110),0.17,0)+IF(AND(V1390&gt;=75,V1390&lt;=175,W1390&gt;=110),0.12,0)+IF(AND(V1390&gt;175,W1390&lt;25),0.3,0)+IF(AND(V1390&gt;175,W1390&gt;=25,W1390&lt;55),0.23,0)+IF(AND(V1390&gt;175,W1390&gt;=55,W1390&lt;95),0.17,0)+IF(AND(V1390&gt;175,W1390&gt;=95),0.12,0),
IF(AF1390="DoEVni",IF(AND(V1390&lt;20,W1390&lt;55),0.3,0)+IF(AND(V1390&lt;20,W1390&gt;=55,W1390&lt;105),0.23,0)+IF(AND(V1390&lt;20,W1390&gt;=105),0.17,0)+IF(AND(V1390&gt;=20,V1390&lt;40,W1390&lt;45),0.3,0)+IF(AND(V1390&gt;=20,V1390&lt;40,W1390&gt;=45,W1390&lt;95),0.23,0)+IF(AND(V1390&gt;=20,V1390&lt;40,W1390&gt;=95,W1390&lt;=200),0.17,0)+IF(AND(V1390&gt;=20,V1390&lt;40,W1390&gt;=200),0.12,0)+IF(AND(V1390&gt;=40,V1390&lt;75,W1390&lt;35),0.3,0)+IF(AND(V1390&gt;=40,V1390&lt;75,W1390&gt;=35,W1390&lt;75),0.23,0)+IF(AND(V1390&gt;=40,V1390&lt;75,W1390&gt;=75,W1390&lt;120),0.17,0)+IF(AND(V1390&gt;=40,V1390&lt;75,W1390&gt;=120),0.12,0)+IF(AND(V1390&gt;=75,V1390&lt;175,W1390&lt;35),0.3,0)+IF(AND(V1390&gt;=75,V1390&lt;=175,W1390&gt;=35,W1390&lt;65),0.23,0)+IF(AND(V1390&gt;=75,V1390&lt;=175,W1390&gt;=65,W1390&lt;110),0.17,0)+IF(AND(V1390&gt;=75,V1390&lt;=175,W1390&gt;=110),0.12,0)+IF(AND(V1390&gt;175,W1390&lt;25),0.3,0)+IF(AND(V1390&gt;175,W1390&gt;=25,W1390&lt;55),0.23,0)+IF(AND(V1390&gt;175,W1390&gt;=55,W1390&lt;95),0.17,0)+IF(AND(V1390&gt;175,W1390&gt;=95),0.12,0),
IF(AF1390="DoEVLo",IF(AND(V1390&lt;20,W1390&lt;55),0.25,0)+IF(AND(V1390&lt;20,W1390&gt;=55,W1390&lt;105),0.2,0)+IF(AND(V1390&lt;20,W1390&gt;=105),0.15,0)+IF(AND(V1390&gt;=20,V1390&lt;40,W1390&lt;45),0.25,0)+IF(AND(V1390&gt;=20,V1390&lt;40,W1390&gt;=45,W1390&lt;95),0.2,0)+IF(AND(V1390&gt;=20,V1390&lt;40,W1390&gt;=95),0.15,0)+IF(AND(V1390&gt;=40,V1390&lt;75,W1390&lt;35),0.25,0)+IF(AND(V1390&gt;=40,V1390&lt;75,W1390&gt;=35,W1390&lt;75),0.2,0)+IF(AND(V1390&gt;=40,V1390&lt;75,W1390&gt;=75,W1390&lt;120),0.15,0)+IF(AND(V1390&gt;=40,V1390&lt;75,W1390&gt;=120),0.1,0)+IF(AND(V1390&gt;=75,V1390&lt;175,W1390&lt;35),0.25,0)+IF(AND(V1390&gt;=75,V1390&lt;=175,W1390&gt;=35,W1390&lt;65),0.2,0)+IF(AND(V1390&gt;=75,V1390&lt;=175,W1390&gt;=65,W1390&lt;110),0.15,0)+IF(AND(V1390&gt;=75,V1390&lt;=175,W1390&gt;=110),0.1,0)+IF(AND(V1390&gt;175,W1390&lt;25),0.25,0)+IF(AND(V1390&gt;175,W1390&gt;=25,W1390&lt;55),0.2,0)+IF(AND(V1390&gt;175,W1390&gt;=55,W1390&lt;95),0.15,0)+IF(AND(V1390&gt;175,W1390&gt;=95),0.1,0))))))))))))))))))</f>
        <v>0</v>
      </c>
      <c r="Y1390" s="78">
        <v>0.22</v>
      </c>
      <c r="Z1390" s="35">
        <f>T1390-AA1390-AB1390</f>
        <v>-471.9</v>
      </c>
      <c r="AA1390" s="29">
        <f>IF(AD1390="EUR",((T1390-R1390)*X1390)*U1390+(R1390*X1390),(T1390*X1390))</f>
        <v>0</v>
      </c>
      <c r="AB1390" s="36">
        <f>IF(AD1390="EUR",((T1390-R1390)*Y1390)*U1390+(R1390*Y1390),(T1390*Y1390))</f>
        <v>-133.1</v>
      </c>
      <c r="AC1390" s="61" t="b">
        <v>1</v>
      </c>
      <c r="AD1390" s="37" t="s">
        <v>38</v>
      </c>
      <c r="AE1390" s="37" t="s">
        <v>38</v>
      </c>
      <c r="AF1390" s="37" t="str">
        <f t="array" ref="AF1390">INDEX('Deal Info'!D:D, MATCH(A1390,'Deal Info'!A:A, 0))</f>
        <v>None</v>
      </c>
      <c r="AG1390" s="38" t="str">
        <f t="array" ref="AG1390">INDEX('Deal Info'!G:G, MATCH(A1390,'Deal Info'!A:A, 0))</f>
        <v>guilexperi</v>
      </c>
    </row>
    <row r="1391" spans="1:33" ht="14.25" hidden="1" x14ac:dyDescent="0.2">
      <c r="A1391" s="18" t="str">
        <f t="array" ref="A1391">IF(G1391='Room Info'!$B$1, INDEX('Room Info'!$A$2:$A2446, MATCH(B1391,'Room Info'!$B$2:$B2446, 0)),IF(G1391='Room Info'!$C$1, INDEX('Room Info'!$A$2:$A2446, MATCH(B1391,'Room Info'!$C$2:$C2446, 0)),IF(G1391='Room Info'!$D$1, INDEX('Room Info'!$A$2:$A2446, MATCH(B1391,'Room Info'!$D$2:$D2446, 0)),IF(G1391='Room Info'!$E$1, INDEX('Room Info'!$A$2:$A2446, MATCH(B1391,'Room Info'!$E$2:$E2446, 0)),IF(G1391='Room Info'!$F$1, INDEX('Room Info'!$A$2:$A2446, MATCH(B1391,'Room Info'!$F$2:$F2446, 0)),IF(G1391='Room Info'!$H$1, INDEX('Room Info'!$A$2:$A2446, MATCH(B1391,'Room Info'!$H$2:$H2446, 0)),IF(G1391='Room Info'!$G$1, INDEX('Room Info'!$A$2:$A2446, MATCH(B1391,'Room Info'!$G$2:$G2446, 0)))))))))</f>
        <v>guilexperi</v>
      </c>
      <c r="B1391" s="45" t="s">
        <v>208</v>
      </c>
      <c r="C1391" s="46">
        <v>44916</v>
      </c>
      <c r="D1391" s="46">
        <v>44921</v>
      </c>
      <c r="E1391" s="47">
        <v>44896</v>
      </c>
      <c r="F1391" s="48" t="s">
        <v>49</v>
      </c>
      <c r="G1391" s="45" t="s">
        <v>35</v>
      </c>
      <c r="H1391" s="49" t="s">
        <v>211</v>
      </c>
      <c r="I1391" s="49" t="s">
        <v>174</v>
      </c>
      <c r="J1391" s="50">
        <v>200</v>
      </c>
      <c r="K1391" s="51">
        <v>31</v>
      </c>
      <c r="L1391" s="52">
        <v>-1087</v>
      </c>
      <c r="M1391" s="53">
        <v>355</v>
      </c>
      <c r="N1391" s="28">
        <f>K1391*J1391</f>
        <v>6200</v>
      </c>
      <c r="O1391" s="54">
        <v>96</v>
      </c>
      <c r="P1391" s="29">
        <v>3.096774194</v>
      </c>
      <c r="Q1391" s="55"/>
      <c r="R1391" s="31">
        <f>M1391+Q1391</f>
        <v>355</v>
      </c>
      <c r="S1391" s="56">
        <v>-66</v>
      </c>
      <c r="T1391" s="32">
        <f>R1391+S1391+IF(F1391="Without EV deal",L1391,0)</f>
        <v>289</v>
      </c>
      <c r="U1391" s="57"/>
      <c r="V1391" s="58"/>
      <c r="W1391" s="58"/>
      <c r="X1391" s="30" t="b">
        <f>IF(AF1391="DoEV",IF(AND(V1391&lt;20,W1391&lt;55),0.3,0)+IF(AND(V1391&lt;20,W1391&gt;=55,W1391&lt;105),0.23,0)+IF(AND(V1391&lt;20,W1391&gt;=105),0.17,0)+IF(AND(V1391&gt;=20,V1391&lt;40,W1391&lt;45),0.3,0)+IF(AND(V1391&gt;=20,V1391&lt;40,W1391&gt;=45,W1391&lt;95),0.23,0)+IF(AND(V1391&gt;=20,V1391&lt;40,W1391&gt;=95),0.17,0)+IF(AND(V1391&gt;=40,V1391&lt;75,W1391&lt;35),0.3,0)+IF(AND(V1391&gt;=40,V1391&lt;75,W1391&gt;=35,W1391&lt;75),0.23,0)+IF(AND(V1391&gt;=40,V1391&lt;75,W1391&gt;=75,W1391&lt;120),0.17,0)+IF(AND(V1391&gt;=40,V1391&lt;75,W1391&gt;=120),0.12,0)+IF(AND(V1391&gt;=75,V1391&lt;175,W1391&lt;35),0.3,0)+IF(AND(V1391&gt;=75,V1391&lt;=175,W1391&gt;=35,W1391&lt;65),0.23,0)+IF(AND(V1391&gt;=75,V1391&lt;=175,W1391&gt;=65,W1391&lt;110),0.17,0)+IF(AND(V1391&gt;=75,V1391&lt;=175,W1391&gt;=110),0.12,0)+IF(AND(V1391&gt;175,W1391&lt;25),0.3,0)+IF(AND(V1391&gt;175,W1391&gt;=25,W1391&lt;55),0.23,0)+IF(AND(V1391&gt;175,W1391&gt;=55,W1391&lt;95),0.17,0)+IF(AND(V1391&gt;175,W1391&gt;=95),0.12,0),
IF(AF1391="Fix15",0.15,
IF(AF1391="Fix18.75",0.1875,
IF(AF1391="Fix11.25",0.1125,
IF(AF1391="Fix10",0.1,
IF(AF1391="Fix9",0.09,
IF(AF1391="Fix19",0.19,
IF(AF1391="DoEV2017",IF(AND(W1391&lt;74),0.2,0)+IF(AND(W1391&gt;=74),0.17,0),
IF(AF1391="SF",IF(AND(V1391&lt;20,W1391&lt;89),0.3,0)+IF(AND(V1391&lt;20,W1391&gt;=89),0.25,0)+IF(AND(V1391&gt;=20,V1391&lt;40,W1391&lt;74),0.3,0)+IF(AND(V1391&gt;=20,V1391&lt;40,W1391&gt;=75),0.22,0)+IF(AND(V1391&gt;=40,V1391&lt;75,W1391&lt;75),0.26,0)+IF(AND(V1391&gt;=40,V1391&lt;75,W1391&gt;=75),0.22,0)+IF(V1391&gt;=75,0.22,0),
IF(AF1391="DoEVold",IF(AND(V1391&lt;40,W1391&lt;35),0.35,0)+IF(AND(V1391&lt;40,W1391&gt;=35,W1391&lt;75),0.25,0)+IF(AND(V1391&lt;40,W1391&gt;=75),0.17,0)+IF(AND(V1391&gt;=40,V1391&lt;75,W1391&lt;25),0.35,0)+IF(AND(V1391&gt;=40,V1391&lt;75,W1391&gt;=25,W1391&lt;65),0.25,0)+IF(AND(V1391&gt;=40,V1391&lt;75,W1391&gt;=65,W1391&lt;100),0.17,0)+IF(AND(V1391&gt;=40,V1391&lt;75,W1391&gt;=100),0.1,0)+IF(AND(V1391&gt;=75,W1391&lt;25),0.35,0)+IF(AND(V1391&gt;=75,W1391&gt;=25,W1391&lt;60),0.25,0)+IF(AND(V1391&gt;=75,W1391&gt;=60,W1391&lt;95),0.17,0)+IF(AND(V1391&gt;=75,W1391&gt;=95),0.1,0),
IF(AF1391="DoEVold15",IF(AND(V1391&lt;=40,W1391&lt;35),0.35,0)+IF(AND(V1391&lt;=40,W1391&gt;=35,W1391&lt;75),0.25,0)+IF(AND(V1391&lt;=40,W1391&gt;=75,W1391&lt;120),0.17,0)+IF(AND(V1391&lt;=40,W1391&gt;=120),0.15,0)+IF(AND(V1391&gt;40,V1391&lt;75,W1391&lt;25),0.35,0)+IF(AND(V1391&gt;=40,V1391&lt;75,W1391&gt;=25,W1391&lt;65),0.25,0)+IF(AND(V1391&gt;=40,V1391&lt;75,W1391&gt;=65,W1391&lt;100),0.17,0)+IF(AND(V1391&gt;=40,V1391&lt;75,W1391&gt;=100),0.1,0)+IF(AND(V1391&gt;=75,W1391&lt;25),0.35,0)+IF(AND(V1391&gt;=75,W1391&gt;=25,W1391&lt;60),0.25,0)+IF(AND(V1391&gt;=75,W1391&gt;=60,W1391&lt;95),0.17,0)+IF(AND(V1391&gt;=75,W1391&gt;=95),0.1,0),
IF(AF1391="DoEVba",IF(AND(V1391&lt;20,W1391&lt;105),0.2,0)+IF(AND(V1391&lt;20,W1391&gt;=105),0.15,0)+IF(AND(V1391&gt;=20,V1391&lt;40,W1391&lt;95),0.2,0)+IF(AND(V1391&gt;=20,V1391&lt;40,W1391&gt;=95,W1391&lt;150),0.15,0)+IF(AND(V1391&gt;=20,V1391&lt;40,W1391&gt;=150),0.12,0)+IF(AND(V1391&gt;=40,V1391&lt;75,W1391&lt;75),0.2,0)+IF(AND(V1391&gt;=40,V1391&lt;75,W1391&gt;=75,W1391&lt;120),0.15,0)+IF(AND(V1391&gt;=40,V1391&lt;75,W1391&gt;=120),0.12,0)+IF(AND(V1391&gt;=75,V1391&lt;175,W1391&lt;65),0.2,0)+IF(AND(V1391&gt;=75,V1391&lt;175,W1391&gt;=65,W1391&lt;110),0.15,0)+IF(AND(V1391&gt;=75,V1391&lt;175,W1391&gt;=110),0.12,0)+IF(AND(V1391&gt;=175,W1391&lt;55),0.2,0)+IF(AND(V1391&gt;=175,W1391&gt;=55,W1391&lt;95),0.15,0)+IF(AND(V1391&gt;=175,W1391&gt;=95),0.12,0),
IF(AF1391="DoEVku",IF(AND(V1391&lt;20,W1391&lt;55),0.23,0)+IF(AND(V1391&lt;20,W1391&gt;=55,W1391&lt;105),0.2,0)+IF(AND(V1391&lt;20,W1391&gt;=105),0.17,0)+IF(AND(V1391&gt;=20,V1391&lt;40,W1391&lt;45),0.23,0)+IF(AND(V1391&gt;=20,V1391&lt;40,W1391&gt;=45,W1391&lt;95),0.2,0)+IF(AND(V1391&gt;=20,V1391&lt;40,W1391&gt;=95,W1391&lt;=150),0.17,0)+IF(AND(V1391&gt;=20,V1391&lt;40,W1391&gt;=150),0.12,0)+IF(AND(V1391&gt;=40,V1391&lt;75,W1391&lt;35),0.23,0)+IF(AND(V1391&gt;=40,V1391&lt;75,W1391&gt;=35,W1391&lt;75),0.2,0)+IF(AND(V1391&gt;=40,V1391&lt;75,W1391&gt;=75,W1391&lt;120),0.17,0)+IF(AND(V1391&gt;=40,V1391&lt;75,W1391&gt;=120),0.12,0)+IF(AND(V1391&gt;=75,V1391&lt;175,W1391&lt;35),0.23,0)+IF(AND(V1391&gt;=75,V1391&lt;=175,W1391&gt;=35,W1391&lt;65),0.2,0)+IF(AND(V1391&gt;=75,V1391&lt;=175,W1391&gt;=65,W1391&lt;110),0.17,0)+IF(AND(V1391&gt;=75,V1391&lt;=175,W1391&gt;=110),0.12,0)+IF(AND(V1391&gt;175,W1391&lt;25),0.23,0)+IF(AND(V1391&gt;175,W1391&gt;=25,W1391&lt;55),0.2,0)+IF(AND(V1391&gt;175,W1391&gt;=55,W1391&lt;95),0.17,0)+IF(AND(V1391&gt;175,W1391&gt;=95),0.12,0),
IF(AF1391="DoEVs1",IF(AND(V1391&lt;20,W1391&lt;55),0.3,0)+IF(AND(V1391&lt;20,W1391&gt;=55,W1391&lt;105),0.23,0)+IF(AND(V1391&lt;20,W1391&gt;=105),0.17,0)+IF(AND(V1391&gt;=20,V1391&lt;40,W1391&lt;45),0.3,0)+IF(AND(V1391&gt;=20,V1391&lt;40,W1391&gt;=45,W1391&lt;95),0.23,0)+IF(AND(V1391&gt;=20,V1391&lt;40,W1391&gt;=95,W1391&lt;=150),0.17,0)+IF(AND(V1391&gt;=20,V1391&lt;40,W1391&gt;=150),0.12,0)+IF(AND(V1391&gt;=40,V1391&lt;75,W1391&lt;35),0.3,0)+IF(AND(V1391&gt;=40,V1391&lt;75,W1391&gt;=35,W1391&lt;75),0.23,0)+IF(AND(V1391&gt;=40,V1391&lt;75,W1391&gt;=75,W1391&lt;120),0.17,0)+IF(AND(V1391&gt;=40,V1391&lt;75,W1391&gt;=120),0.12,0)+IF(AND(V1391&gt;=75,V1391&lt;175,W1391&lt;35),0.3,0)+IF(AND(V1391&gt;=75,V1391&lt;=175,W1391&gt;=35,W1391&lt;65),0.23,0)+IF(AND(V1391&gt;=75,V1391&lt;=175,W1391&gt;=65,W1391&lt;110),0.17,0)+IF(AND(V1391&gt;=75,V1391&lt;=175,W1391&gt;=110),0.12,0)+IF(AND(V1391&gt;175,W1391&lt;25),0.3,0)+IF(AND(V1391&gt;175,W1391&gt;=25,W1391&lt;55),0.23,0)+IF(AND(V1391&gt;175,W1391&gt;=55,W1391&lt;95),0.17,0)+IF(AND(V1391&gt;175,W1391&gt;=95),0.12,0),
IF(AF1391="DoEVsu",IF(AND(V1391&lt;20,W1391&lt;55),0.3,0)+IF(AND(V1391&lt;20,W1391&gt;=55,W1391&lt;105),0.23,0)+IF(AND(V1391&lt;20,W1391&gt;=105),0.17,0)+IF(AND(V1391&gt;=20,V1391&lt;40,W1391&lt;45),0.3,0)+IF(AND(V1391&gt;=20,V1391&lt;40,W1391&gt;=45,W1391&lt;95),0.23,0)+IF(AND(V1391&gt;=20,V1391&lt;40,W1391&gt;=95,W1391&lt;=250),0.17,0)+IF(AND(V1391&gt;=20,V1391&lt;40,W1391&gt;=250),0.12,0)+IF(AND(V1391&gt;=40,V1391&lt;75,W1391&lt;35),0.3,0)+IF(AND(V1391&gt;=40,V1391&lt;75,W1391&gt;=35,W1391&lt;75),0.23,0)+IF(AND(V1391&gt;=40,V1391&lt;75,W1391&gt;=75,W1391&lt;120),0.17,0)+IF(AND(V1391&gt;=40,V1391&lt;75,W1391&gt;=120),0.12,0)+IF(AND(V1391&gt;=75,V1391&lt;175,W1391&lt;35),0.3,0)+IF(AND(V1391&gt;=75,V1391&lt;=175,W1391&gt;=35,W1391&lt;65),0.23,0)+IF(AND(V1391&gt;=75,V1391&lt;=175,W1391&gt;=65,W1391&lt;110),0.17,0)+IF(AND(V1391&gt;=75,V1391&lt;=175,W1391&gt;=110),0.12,0)+IF(AND(V1391&gt;175,W1391&lt;25),0.3,0)+IF(AND(V1391&gt;175,W1391&gt;=25,W1391&lt;55),0.23,0)+IF(AND(V1391&gt;175,W1391&gt;=55,W1391&lt;95),0.17,0)+IF(AND(V1391&gt;175,W1391&gt;=95),0.12,0),
IF(AF1391="DoEVni",IF(AND(V1391&lt;20,W1391&lt;55),0.3,0)+IF(AND(V1391&lt;20,W1391&gt;=55,W1391&lt;105),0.23,0)+IF(AND(V1391&lt;20,W1391&gt;=105),0.17,0)+IF(AND(V1391&gt;=20,V1391&lt;40,W1391&lt;45),0.3,0)+IF(AND(V1391&gt;=20,V1391&lt;40,W1391&gt;=45,W1391&lt;95),0.23,0)+IF(AND(V1391&gt;=20,V1391&lt;40,W1391&gt;=95,W1391&lt;=200),0.17,0)+IF(AND(V1391&gt;=20,V1391&lt;40,W1391&gt;=200),0.12,0)+IF(AND(V1391&gt;=40,V1391&lt;75,W1391&lt;35),0.3,0)+IF(AND(V1391&gt;=40,V1391&lt;75,W1391&gt;=35,W1391&lt;75),0.23,0)+IF(AND(V1391&gt;=40,V1391&lt;75,W1391&gt;=75,W1391&lt;120),0.17,0)+IF(AND(V1391&gt;=40,V1391&lt;75,W1391&gt;=120),0.12,0)+IF(AND(V1391&gt;=75,V1391&lt;175,W1391&lt;35),0.3,0)+IF(AND(V1391&gt;=75,V1391&lt;=175,W1391&gt;=35,W1391&lt;65),0.23,0)+IF(AND(V1391&gt;=75,V1391&lt;=175,W1391&gt;=65,W1391&lt;110),0.17,0)+IF(AND(V1391&gt;=75,V1391&lt;=175,W1391&gt;=110),0.12,0)+IF(AND(V1391&gt;175,W1391&lt;25),0.3,0)+IF(AND(V1391&gt;175,W1391&gt;=25,W1391&lt;55),0.23,0)+IF(AND(V1391&gt;175,W1391&gt;=55,W1391&lt;95),0.17,0)+IF(AND(V1391&gt;175,W1391&gt;=95),0.12,0),
IF(AF1391="DoEVLo",IF(AND(V1391&lt;20,W1391&lt;55),0.25,0)+IF(AND(V1391&lt;20,W1391&gt;=55,W1391&lt;105),0.2,0)+IF(AND(V1391&lt;20,W1391&gt;=105),0.15,0)+IF(AND(V1391&gt;=20,V1391&lt;40,W1391&lt;45),0.25,0)+IF(AND(V1391&gt;=20,V1391&lt;40,W1391&gt;=45,W1391&lt;95),0.2,0)+IF(AND(V1391&gt;=20,V1391&lt;40,W1391&gt;=95),0.15,0)+IF(AND(V1391&gt;=40,V1391&lt;75,W1391&lt;35),0.25,0)+IF(AND(V1391&gt;=40,V1391&lt;75,W1391&gt;=35,W1391&lt;75),0.2,0)+IF(AND(V1391&gt;=40,V1391&lt;75,W1391&gt;=75,W1391&lt;120),0.15,0)+IF(AND(V1391&gt;=40,V1391&lt;75,W1391&gt;=120),0.1,0)+IF(AND(V1391&gt;=75,V1391&lt;175,W1391&lt;35),0.25,0)+IF(AND(V1391&gt;=75,V1391&lt;=175,W1391&gt;=35,W1391&lt;65),0.2,0)+IF(AND(V1391&gt;=75,V1391&lt;=175,W1391&gt;=65,W1391&lt;110),0.15,0)+IF(AND(V1391&gt;=75,V1391&lt;=175,W1391&gt;=110),0.1,0)+IF(AND(V1391&gt;175,W1391&lt;25),0.25,0)+IF(AND(V1391&gt;175,W1391&gt;=25,W1391&lt;55),0.2,0)+IF(AND(V1391&gt;175,W1391&gt;=55,W1391&lt;95),0.15,0)+IF(AND(V1391&gt;175,W1391&gt;=95),0.1,0))))))))))))))))))</f>
        <v>0</v>
      </c>
      <c r="Y1391" s="78">
        <v>0.22</v>
      </c>
      <c r="Z1391" s="35">
        <f>T1391-AA1391-AB1391</f>
        <v>225.42000000000002</v>
      </c>
      <c r="AA1391" s="29">
        <f>IF(AD1391="EUR",((T1391-R1391)*X1391)*U1391+(R1391*X1391),(T1391*X1391))</f>
        <v>0</v>
      </c>
      <c r="AB1391" s="36">
        <f>IF(AD1391="EUR",((T1391-R1391)*Y1391)*U1391+(R1391*Y1391),(T1391*Y1391))</f>
        <v>63.58</v>
      </c>
      <c r="AC1391" s="61" t="b">
        <v>1</v>
      </c>
      <c r="AD1391" s="37" t="s">
        <v>38</v>
      </c>
      <c r="AE1391" s="37" t="s">
        <v>38</v>
      </c>
      <c r="AF1391" s="37" t="str">
        <f t="array" ref="AF1391">INDEX('Deal Info'!D:D, MATCH(A1391,'Deal Info'!A:A, 0))</f>
        <v>None</v>
      </c>
      <c r="AG1391" s="38" t="str">
        <f t="array" ref="AG1391">INDEX('Deal Info'!G:G, MATCH(A1391,'Deal Info'!A:A, 0))</f>
        <v>guilexperi</v>
      </c>
    </row>
    <row r="1392" spans="1:33" ht="14.25" hidden="1" x14ac:dyDescent="0.2">
      <c r="A1392" s="18" t="str">
        <f t="array" ref="A1392">IF(G1392='Room Info'!$B$1, INDEX('Room Info'!$A$2:$A2446, MATCH(B1392,'Room Info'!$B$2:$B2446, 0)),IF(G1392='Room Info'!$C$1, INDEX('Room Info'!$A$2:$A2446, MATCH(B1392,'Room Info'!$C$2:$C2446, 0)),IF(G1392='Room Info'!$D$1, INDEX('Room Info'!$A$2:$A2446, MATCH(B1392,'Room Info'!$D$2:$D2446, 0)),IF(G1392='Room Info'!$E$1, INDEX('Room Info'!$A$2:$A2446, MATCH(B1392,'Room Info'!$E$2:$E2446, 0)),IF(G1392='Room Info'!$F$1, INDEX('Room Info'!$A$2:$A2446, MATCH(B1392,'Room Info'!$F$2:$F2446, 0)),IF(G1392='Room Info'!$H$1, INDEX('Room Info'!$A$2:$A2446, MATCH(B1392,'Room Info'!$H$2:$H2446, 0)),IF(G1392='Room Info'!$G$1, INDEX('Room Info'!$A$2:$A2446, MATCH(B1392,'Room Info'!$G$2:$G2446, 0)))))))))</f>
        <v>guilexperi</v>
      </c>
      <c r="B1392" s="45" t="s">
        <v>208</v>
      </c>
      <c r="C1392" s="46">
        <v>44916</v>
      </c>
      <c r="D1392" s="46">
        <v>44921</v>
      </c>
      <c r="E1392" s="47">
        <v>44896</v>
      </c>
      <c r="F1392" s="48" t="s">
        <v>49</v>
      </c>
      <c r="G1392" s="45" t="s">
        <v>35</v>
      </c>
      <c r="H1392" s="49" t="s">
        <v>88</v>
      </c>
      <c r="I1392" s="49" t="s">
        <v>37</v>
      </c>
      <c r="J1392" s="50">
        <v>250</v>
      </c>
      <c r="K1392" s="51">
        <v>261</v>
      </c>
      <c r="L1392" s="52">
        <v>-5000</v>
      </c>
      <c r="M1392" s="53">
        <v>11204</v>
      </c>
      <c r="N1392" s="28">
        <f>K1392*J1392</f>
        <v>65250</v>
      </c>
      <c r="O1392" s="54">
        <v>5778</v>
      </c>
      <c r="P1392" s="29">
        <v>22.137931030000001</v>
      </c>
      <c r="Q1392" s="55"/>
      <c r="R1392" s="31">
        <f>M1392+Q1392</f>
        <v>11204</v>
      </c>
      <c r="S1392" s="56">
        <v>-653</v>
      </c>
      <c r="T1392" s="32">
        <f>R1392+S1392+IF(F1392="Without EV deal",L1392,0)</f>
        <v>10551</v>
      </c>
      <c r="U1392" s="57"/>
      <c r="V1392" s="58"/>
      <c r="W1392" s="58"/>
      <c r="X1392" s="30" t="b">
        <f>IF(AF1392="DoEV",IF(AND(V1392&lt;20,W1392&lt;55),0.3,0)+IF(AND(V1392&lt;20,W1392&gt;=55,W1392&lt;105),0.23,0)+IF(AND(V1392&lt;20,W1392&gt;=105),0.17,0)+IF(AND(V1392&gt;=20,V1392&lt;40,W1392&lt;45),0.3,0)+IF(AND(V1392&gt;=20,V1392&lt;40,W1392&gt;=45,W1392&lt;95),0.23,0)+IF(AND(V1392&gt;=20,V1392&lt;40,W1392&gt;=95),0.17,0)+IF(AND(V1392&gt;=40,V1392&lt;75,W1392&lt;35),0.3,0)+IF(AND(V1392&gt;=40,V1392&lt;75,W1392&gt;=35,W1392&lt;75),0.23,0)+IF(AND(V1392&gt;=40,V1392&lt;75,W1392&gt;=75,W1392&lt;120),0.17,0)+IF(AND(V1392&gt;=40,V1392&lt;75,W1392&gt;=120),0.12,0)+IF(AND(V1392&gt;=75,V1392&lt;175,W1392&lt;35),0.3,0)+IF(AND(V1392&gt;=75,V1392&lt;=175,W1392&gt;=35,W1392&lt;65),0.23,0)+IF(AND(V1392&gt;=75,V1392&lt;=175,W1392&gt;=65,W1392&lt;110),0.17,0)+IF(AND(V1392&gt;=75,V1392&lt;=175,W1392&gt;=110),0.12,0)+IF(AND(V1392&gt;175,W1392&lt;25),0.3,0)+IF(AND(V1392&gt;175,W1392&gt;=25,W1392&lt;55),0.23,0)+IF(AND(V1392&gt;175,W1392&gt;=55,W1392&lt;95),0.17,0)+IF(AND(V1392&gt;175,W1392&gt;=95),0.12,0),
IF(AF1392="Fix15",0.15,
IF(AF1392="Fix18.75",0.1875,
IF(AF1392="Fix11.25",0.1125,
IF(AF1392="Fix10",0.1,
IF(AF1392="Fix9",0.09,
IF(AF1392="Fix19",0.19,
IF(AF1392="DoEV2017",IF(AND(W1392&lt;74),0.2,0)+IF(AND(W1392&gt;=74),0.17,0),
IF(AF1392="SF",IF(AND(V1392&lt;20,W1392&lt;89),0.3,0)+IF(AND(V1392&lt;20,W1392&gt;=89),0.25,0)+IF(AND(V1392&gt;=20,V1392&lt;40,W1392&lt;74),0.3,0)+IF(AND(V1392&gt;=20,V1392&lt;40,W1392&gt;=75),0.22,0)+IF(AND(V1392&gt;=40,V1392&lt;75,W1392&lt;75),0.26,0)+IF(AND(V1392&gt;=40,V1392&lt;75,W1392&gt;=75),0.22,0)+IF(V1392&gt;=75,0.22,0),
IF(AF1392="DoEVold",IF(AND(V1392&lt;40,W1392&lt;35),0.35,0)+IF(AND(V1392&lt;40,W1392&gt;=35,W1392&lt;75),0.25,0)+IF(AND(V1392&lt;40,W1392&gt;=75),0.17,0)+IF(AND(V1392&gt;=40,V1392&lt;75,W1392&lt;25),0.35,0)+IF(AND(V1392&gt;=40,V1392&lt;75,W1392&gt;=25,W1392&lt;65),0.25,0)+IF(AND(V1392&gt;=40,V1392&lt;75,W1392&gt;=65,W1392&lt;100),0.17,0)+IF(AND(V1392&gt;=40,V1392&lt;75,W1392&gt;=100),0.1,0)+IF(AND(V1392&gt;=75,W1392&lt;25),0.35,0)+IF(AND(V1392&gt;=75,W1392&gt;=25,W1392&lt;60),0.25,0)+IF(AND(V1392&gt;=75,W1392&gt;=60,W1392&lt;95),0.17,0)+IF(AND(V1392&gt;=75,W1392&gt;=95),0.1,0),
IF(AF1392="DoEVold15",IF(AND(V1392&lt;=40,W1392&lt;35),0.35,0)+IF(AND(V1392&lt;=40,W1392&gt;=35,W1392&lt;75),0.25,0)+IF(AND(V1392&lt;=40,W1392&gt;=75,W1392&lt;120),0.17,0)+IF(AND(V1392&lt;=40,W1392&gt;=120),0.15,0)+IF(AND(V1392&gt;40,V1392&lt;75,W1392&lt;25),0.35,0)+IF(AND(V1392&gt;=40,V1392&lt;75,W1392&gt;=25,W1392&lt;65),0.25,0)+IF(AND(V1392&gt;=40,V1392&lt;75,W1392&gt;=65,W1392&lt;100),0.17,0)+IF(AND(V1392&gt;=40,V1392&lt;75,W1392&gt;=100),0.1,0)+IF(AND(V1392&gt;=75,W1392&lt;25),0.35,0)+IF(AND(V1392&gt;=75,W1392&gt;=25,W1392&lt;60),0.25,0)+IF(AND(V1392&gt;=75,W1392&gt;=60,W1392&lt;95),0.17,0)+IF(AND(V1392&gt;=75,W1392&gt;=95),0.1,0),
IF(AF1392="DoEVba",IF(AND(V1392&lt;20,W1392&lt;105),0.2,0)+IF(AND(V1392&lt;20,W1392&gt;=105),0.15,0)+IF(AND(V1392&gt;=20,V1392&lt;40,W1392&lt;95),0.2,0)+IF(AND(V1392&gt;=20,V1392&lt;40,W1392&gt;=95,W1392&lt;150),0.15,0)+IF(AND(V1392&gt;=20,V1392&lt;40,W1392&gt;=150),0.12,0)+IF(AND(V1392&gt;=40,V1392&lt;75,W1392&lt;75),0.2,0)+IF(AND(V1392&gt;=40,V1392&lt;75,W1392&gt;=75,W1392&lt;120),0.15,0)+IF(AND(V1392&gt;=40,V1392&lt;75,W1392&gt;=120),0.12,0)+IF(AND(V1392&gt;=75,V1392&lt;175,W1392&lt;65),0.2,0)+IF(AND(V1392&gt;=75,V1392&lt;175,W1392&gt;=65,W1392&lt;110),0.15,0)+IF(AND(V1392&gt;=75,V1392&lt;175,W1392&gt;=110),0.12,0)+IF(AND(V1392&gt;=175,W1392&lt;55),0.2,0)+IF(AND(V1392&gt;=175,W1392&gt;=55,W1392&lt;95),0.15,0)+IF(AND(V1392&gt;=175,W1392&gt;=95),0.12,0),
IF(AF1392="DoEVku",IF(AND(V1392&lt;20,W1392&lt;55),0.23,0)+IF(AND(V1392&lt;20,W1392&gt;=55,W1392&lt;105),0.2,0)+IF(AND(V1392&lt;20,W1392&gt;=105),0.17,0)+IF(AND(V1392&gt;=20,V1392&lt;40,W1392&lt;45),0.23,0)+IF(AND(V1392&gt;=20,V1392&lt;40,W1392&gt;=45,W1392&lt;95),0.2,0)+IF(AND(V1392&gt;=20,V1392&lt;40,W1392&gt;=95,W1392&lt;=150),0.17,0)+IF(AND(V1392&gt;=20,V1392&lt;40,W1392&gt;=150),0.12,0)+IF(AND(V1392&gt;=40,V1392&lt;75,W1392&lt;35),0.23,0)+IF(AND(V1392&gt;=40,V1392&lt;75,W1392&gt;=35,W1392&lt;75),0.2,0)+IF(AND(V1392&gt;=40,V1392&lt;75,W1392&gt;=75,W1392&lt;120),0.17,0)+IF(AND(V1392&gt;=40,V1392&lt;75,W1392&gt;=120),0.12,0)+IF(AND(V1392&gt;=75,V1392&lt;175,W1392&lt;35),0.23,0)+IF(AND(V1392&gt;=75,V1392&lt;=175,W1392&gt;=35,W1392&lt;65),0.2,0)+IF(AND(V1392&gt;=75,V1392&lt;=175,W1392&gt;=65,W1392&lt;110),0.17,0)+IF(AND(V1392&gt;=75,V1392&lt;=175,W1392&gt;=110),0.12,0)+IF(AND(V1392&gt;175,W1392&lt;25),0.23,0)+IF(AND(V1392&gt;175,W1392&gt;=25,W1392&lt;55),0.2,0)+IF(AND(V1392&gt;175,W1392&gt;=55,W1392&lt;95),0.17,0)+IF(AND(V1392&gt;175,W1392&gt;=95),0.12,0),
IF(AF1392="DoEVs1",IF(AND(V1392&lt;20,W1392&lt;55),0.3,0)+IF(AND(V1392&lt;20,W1392&gt;=55,W1392&lt;105),0.23,0)+IF(AND(V1392&lt;20,W1392&gt;=105),0.17,0)+IF(AND(V1392&gt;=20,V1392&lt;40,W1392&lt;45),0.3,0)+IF(AND(V1392&gt;=20,V1392&lt;40,W1392&gt;=45,W1392&lt;95),0.23,0)+IF(AND(V1392&gt;=20,V1392&lt;40,W1392&gt;=95,W1392&lt;=150),0.17,0)+IF(AND(V1392&gt;=20,V1392&lt;40,W1392&gt;=150),0.12,0)+IF(AND(V1392&gt;=40,V1392&lt;75,W1392&lt;35),0.3,0)+IF(AND(V1392&gt;=40,V1392&lt;75,W1392&gt;=35,W1392&lt;75),0.23,0)+IF(AND(V1392&gt;=40,V1392&lt;75,W1392&gt;=75,W1392&lt;120),0.17,0)+IF(AND(V1392&gt;=40,V1392&lt;75,W1392&gt;=120),0.12,0)+IF(AND(V1392&gt;=75,V1392&lt;175,W1392&lt;35),0.3,0)+IF(AND(V1392&gt;=75,V1392&lt;=175,W1392&gt;=35,W1392&lt;65),0.23,0)+IF(AND(V1392&gt;=75,V1392&lt;=175,W1392&gt;=65,W1392&lt;110),0.17,0)+IF(AND(V1392&gt;=75,V1392&lt;=175,W1392&gt;=110),0.12,0)+IF(AND(V1392&gt;175,W1392&lt;25),0.3,0)+IF(AND(V1392&gt;175,W1392&gt;=25,W1392&lt;55),0.23,0)+IF(AND(V1392&gt;175,W1392&gt;=55,W1392&lt;95),0.17,0)+IF(AND(V1392&gt;175,W1392&gt;=95),0.12,0),
IF(AF1392="DoEVsu",IF(AND(V1392&lt;20,W1392&lt;55),0.3,0)+IF(AND(V1392&lt;20,W1392&gt;=55,W1392&lt;105),0.23,0)+IF(AND(V1392&lt;20,W1392&gt;=105),0.17,0)+IF(AND(V1392&gt;=20,V1392&lt;40,W1392&lt;45),0.3,0)+IF(AND(V1392&gt;=20,V1392&lt;40,W1392&gt;=45,W1392&lt;95),0.23,0)+IF(AND(V1392&gt;=20,V1392&lt;40,W1392&gt;=95,W1392&lt;=250),0.17,0)+IF(AND(V1392&gt;=20,V1392&lt;40,W1392&gt;=250),0.12,0)+IF(AND(V1392&gt;=40,V1392&lt;75,W1392&lt;35),0.3,0)+IF(AND(V1392&gt;=40,V1392&lt;75,W1392&gt;=35,W1392&lt;75),0.23,0)+IF(AND(V1392&gt;=40,V1392&lt;75,W1392&gt;=75,W1392&lt;120),0.17,0)+IF(AND(V1392&gt;=40,V1392&lt;75,W1392&gt;=120),0.12,0)+IF(AND(V1392&gt;=75,V1392&lt;175,W1392&lt;35),0.3,0)+IF(AND(V1392&gt;=75,V1392&lt;=175,W1392&gt;=35,W1392&lt;65),0.23,0)+IF(AND(V1392&gt;=75,V1392&lt;=175,W1392&gt;=65,W1392&lt;110),0.17,0)+IF(AND(V1392&gt;=75,V1392&lt;=175,W1392&gt;=110),0.12,0)+IF(AND(V1392&gt;175,W1392&lt;25),0.3,0)+IF(AND(V1392&gt;175,W1392&gt;=25,W1392&lt;55),0.23,0)+IF(AND(V1392&gt;175,W1392&gt;=55,W1392&lt;95),0.17,0)+IF(AND(V1392&gt;175,W1392&gt;=95),0.12,0),
IF(AF1392="DoEVni",IF(AND(V1392&lt;20,W1392&lt;55),0.3,0)+IF(AND(V1392&lt;20,W1392&gt;=55,W1392&lt;105),0.23,0)+IF(AND(V1392&lt;20,W1392&gt;=105),0.17,0)+IF(AND(V1392&gt;=20,V1392&lt;40,W1392&lt;45),0.3,0)+IF(AND(V1392&gt;=20,V1392&lt;40,W1392&gt;=45,W1392&lt;95),0.23,0)+IF(AND(V1392&gt;=20,V1392&lt;40,W1392&gt;=95,W1392&lt;=200),0.17,0)+IF(AND(V1392&gt;=20,V1392&lt;40,W1392&gt;=200),0.12,0)+IF(AND(V1392&gt;=40,V1392&lt;75,W1392&lt;35),0.3,0)+IF(AND(V1392&gt;=40,V1392&lt;75,W1392&gt;=35,W1392&lt;75),0.23,0)+IF(AND(V1392&gt;=40,V1392&lt;75,W1392&gt;=75,W1392&lt;120),0.17,0)+IF(AND(V1392&gt;=40,V1392&lt;75,W1392&gt;=120),0.12,0)+IF(AND(V1392&gt;=75,V1392&lt;175,W1392&lt;35),0.3,0)+IF(AND(V1392&gt;=75,V1392&lt;=175,W1392&gt;=35,W1392&lt;65),0.23,0)+IF(AND(V1392&gt;=75,V1392&lt;=175,W1392&gt;=65,W1392&lt;110),0.17,0)+IF(AND(V1392&gt;=75,V1392&lt;=175,W1392&gt;=110),0.12,0)+IF(AND(V1392&gt;175,W1392&lt;25),0.3,0)+IF(AND(V1392&gt;175,W1392&gt;=25,W1392&lt;55),0.23,0)+IF(AND(V1392&gt;175,W1392&gt;=55,W1392&lt;95),0.17,0)+IF(AND(V1392&gt;175,W1392&gt;=95),0.12,0),
IF(AF1392="DoEVLo",IF(AND(V1392&lt;20,W1392&lt;55),0.25,0)+IF(AND(V1392&lt;20,W1392&gt;=55,W1392&lt;105),0.2,0)+IF(AND(V1392&lt;20,W1392&gt;=105),0.15,0)+IF(AND(V1392&gt;=20,V1392&lt;40,W1392&lt;45),0.25,0)+IF(AND(V1392&gt;=20,V1392&lt;40,W1392&gt;=45,W1392&lt;95),0.2,0)+IF(AND(V1392&gt;=20,V1392&lt;40,W1392&gt;=95),0.15,0)+IF(AND(V1392&gt;=40,V1392&lt;75,W1392&lt;35),0.25,0)+IF(AND(V1392&gt;=40,V1392&lt;75,W1392&gt;=35,W1392&lt;75),0.2,0)+IF(AND(V1392&gt;=40,V1392&lt;75,W1392&gt;=75,W1392&lt;120),0.15,0)+IF(AND(V1392&gt;=40,V1392&lt;75,W1392&gt;=120),0.1,0)+IF(AND(V1392&gt;=75,V1392&lt;175,W1392&lt;35),0.25,0)+IF(AND(V1392&gt;=75,V1392&lt;=175,W1392&gt;=35,W1392&lt;65),0.2,0)+IF(AND(V1392&gt;=75,V1392&lt;=175,W1392&gt;=65,W1392&lt;110),0.15,0)+IF(AND(V1392&gt;=75,V1392&lt;=175,W1392&gt;=110),0.1,0)+IF(AND(V1392&gt;175,W1392&lt;25),0.25,0)+IF(AND(V1392&gt;175,W1392&gt;=25,W1392&lt;55),0.2,0)+IF(AND(V1392&gt;175,W1392&gt;=55,W1392&lt;95),0.15,0)+IF(AND(V1392&gt;175,W1392&gt;=95),0.1,0))))))))))))))))))</f>
        <v>0</v>
      </c>
      <c r="Y1392" s="78">
        <v>0.22</v>
      </c>
      <c r="Z1392" s="35">
        <f>T1392-AA1392-AB1392</f>
        <v>8229.7800000000007</v>
      </c>
      <c r="AA1392" s="29">
        <f>IF(AD1392="EUR",((T1392-R1392)*X1392)*U1392+(R1392*X1392),(T1392*X1392))</f>
        <v>0</v>
      </c>
      <c r="AB1392" s="36">
        <f>IF(AD1392="EUR",((T1392-R1392)*Y1392)*U1392+(R1392*Y1392),(T1392*Y1392))</f>
        <v>2321.2199999999998</v>
      </c>
      <c r="AC1392" s="61" t="b">
        <v>1</v>
      </c>
      <c r="AD1392" s="37" t="s">
        <v>38</v>
      </c>
      <c r="AE1392" s="37" t="s">
        <v>38</v>
      </c>
      <c r="AF1392" s="37" t="str">
        <f t="array" ref="AF1392">INDEX('Deal Info'!D:D, MATCH(A1392,'Deal Info'!A:A, 0))</f>
        <v>None</v>
      </c>
      <c r="AG1392" s="38" t="str">
        <f t="array" ref="AG1392">INDEX('Deal Info'!G:G, MATCH(A1392,'Deal Info'!A:A, 0))</f>
        <v>guilexperi</v>
      </c>
    </row>
    <row r="1393" spans="1:33" ht="14.25" hidden="1" x14ac:dyDescent="0.2">
      <c r="A1393" s="18" t="str">
        <f t="array" ref="A1393">IF(G1393='Room Info'!$B$1, INDEX('Room Info'!$A$2:$A2446, MATCH(B1393,'Room Info'!$B$2:$B2446, 0)),IF(G1393='Room Info'!$C$1, INDEX('Room Info'!$A$2:$A2446, MATCH(B1393,'Room Info'!$C$2:$C2446, 0)),IF(G1393='Room Info'!$D$1, INDEX('Room Info'!$A$2:$A2446, MATCH(B1393,'Room Info'!$D$2:$D2446, 0)),IF(G1393='Room Info'!$E$1, INDEX('Room Info'!$A$2:$A2446, MATCH(B1393,'Room Info'!$E$2:$E2446, 0)),IF(G1393='Room Info'!$F$1, INDEX('Room Info'!$A$2:$A2446, MATCH(B1393,'Room Info'!$F$2:$F2446, 0)),IF(G1393='Room Info'!$H$1, INDEX('Room Info'!$A$2:$A2446, MATCH(B1393,'Room Info'!$H$2:$H2446, 0)),IF(G1393='Room Info'!$G$1, INDEX('Room Info'!$A$2:$A2446, MATCH(B1393,'Room Info'!$G$2:$G2446, 0)))))))))</f>
        <v>guilexperi</v>
      </c>
      <c r="B1393" s="45" t="s">
        <v>208</v>
      </c>
      <c r="C1393" s="46">
        <v>44916</v>
      </c>
      <c r="D1393" s="46">
        <v>44921</v>
      </c>
      <c r="E1393" s="47">
        <v>44896</v>
      </c>
      <c r="F1393" s="48" t="s">
        <v>49</v>
      </c>
      <c r="G1393" s="45" t="s">
        <v>35</v>
      </c>
      <c r="H1393" s="49" t="s">
        <v>148</v>
      </c>
      <c r="I1393" s="49" t="s">
        <v>44</v>
      </c>
      <c r="J1393" s="50">
        <v>250</v>
      </c>
      <c r="K1393" s="51">
        <v>2</v>
      </c>
      <c r="L1393" s="52">
        <v>-500</v>
      </c>
      <c r="M1393" s="53">
        <v>86</v>
      </c>
      <c r="N1393" s="28">
        <f>K1393*J1393</f>
        <v>500</v>
      </c>
      <c r="O1393" s="54">
        <v>110</v>
      </c>
      <c r="P1393" s="29">
        <v>55</v>
      </c>
      <c r="Q1393" s="55"/>
      <c r="R1393" s="31">
        <f>M1393+Q1393</f>
        <v>86</v>
      </c>
      <c r="S1393" s="56">
        <v>60</v>
      </c>
      <c r="T1393" s="32">
        <f>R1393+S1393+IF(F1393="Without EV deal",L1393,0)</f>
        <v>146</v>
      </c>
      <c r="U1393" s="57"/>
      <c r="V1393" s="58"/>
      <c r="W1393" s="58"/>
      <c r="X1393" s="30" t="b">
        <f>IF(AF1393="DoEV",IF(AND(V1393&lt;20,W1393&lt;55),0.3,0)+IF(AND(V1393&lt;20,W1393&gt;=55,W1393&lt;105),0.23,0)+IF(AND(V1393&lt;20,W1393&gt;=105),0.17,0)+IF(AND(V1393&gt;=20,V1393&lt;40,W1393&lt;45),0.3,0)+IF(AND(V1393&gt;=20,V1393&lt;40,W1393&gt;=45,W1393&lt;95),0.23,0)+IF(AND(V1393&gt;=20,V1393&lt;40,W1393&gt;=95),0.17,0)+IF(AND(V1393&gt;=40,V1393&lt;75,W1393&lt;35),0.3,0)+IF(AND(V1393&gt;=40,V1393&lt;75,W1393&gt;=35,W1393&lt;75),0.23,0)+IF(AND(V1393&gt;=40,V1393&lt;75,W1393&gt;=75,W1393&lt;120),0.17,0)+IF(AND(V1393&gt;=40,V1393&lt;75,W1393&gt;=120),0.12,0)+IF(AND(V1393&gt;=75,V1393&lt;175,W1393&lt;35),0.3,0)+IF(AND(V1393&gt;=75,V1393&lt;=175,W1393&gt;=35,W1393&lt;65),0.23,0)+IF(AND(V1393&gt;=75,V1393&lt;=175,W1393&gt;=65,W1393&lt;110),0.17,0)+IF(AND(V1393&gt;=75,V1393&lt;=175,W1393&gt;=110),0.12,0)+IF(AND(V1393&gt;175,W1393&lt;25),0.3,0)+IF(AND(V1393&gt;175,W1393&gt;=25,W1393&lt;55),0.23,0)+IF(AND(V1393&gt;175,W1393&gt;=55,W1393&lt;95),0.17,0)+IF(AND(V1393&gt;175,W1393&gt;=95),0.12,0),
IF(AF1393="Fix15",0.15,
IF(AF1393="Fix18.75",0.1875,
IF(AF1393="Fix11.25",0.1125,
IF(AF1393="Fix10",0.1,
IF(AF1393="Fix9",0.09,
IF(AF1393="Fix19",0.19,
IF(AF1393="DoEV2017",IF(AND(W1393&lt;74),0.2,0)+IF(AND(W1393&gt;=74),0.17,0),
IF(AF1393="SF",IF(AND(V1393&lt;20,W1393&lt;89),0.3,0)+IF(AND(V1393&lt;20,W1393&gt;=89),0.25,0)+IF(AND(V1393&gt;=20,V1393&lt;40,W1393&lt;74),0.3,0)+IF(AND(V1393&gt;=20,V1393&lt;40,W1393&gt;=75),0.22,0)+IF(AND(V1393&gt;=40,V1393&lt;75,W1393&lt;75),0.26,0)+IF(AND(V1393&gt;=40,V1393&lt;75,W1393&gt;=75),0.22,0)+IF(V1393&gt;=75,0.22,0),
IF(AF1393="DoEVold",IF(AND(V1393&lt;40,W1393&lt;35),0.35,0)+IF(AND(V1393&lt;40,W1393&gt;=35,W1393&lt;75),0.25,0)+IF(AND(V1393&lt;40,W1393&gt;=75),0.17,0)+IF(AND(V1393&gt;=40,V1393&lt;75,W1393&lt;25),0.35,0)+IF(AND(V1393&gt;=40,V1393&lt;75,W1393&gt;=25,W1393&lt;65),0.25,0)+IF(AND(V1393&gt;=40,V1393&lt;75,W1393&gt;=65,W1393&lt;100),0.17,0)+IF(AND(V1393&gt;=40,V1393&lt;75,W1393&gt;=100),0.1,0)+IF(AND(V1393&gt;=75,W1393&lt;25),0.35,0)+IF(AND(V1393&gt;=75,W1393&gt;=25,W1393&lt;60),0.25,0)+IF(AND(V1393&gt;=75,W1393&gt;=60,W1393&lt;95),0.17,0)+IF(AND(V1393&gt;=75,W1393&gt;=95),0.1,0),
IF(AF1393="DoEVold15",IF(AND(V1393&lt;=40,W1393&lt;35),0.35,0)+IF(AND(V1393&lt;=40,W1393&gt;=35,W1393&lt;75),0.25,0)+IF(AND(V1393&lt;=40,W1393&gt;=75,W1393&lt;120),0.17,0)+IF(AND(V1393&lt;=40,W1393&gt;=120),0.15,0)+IF(AND(V1393&gt;40,V1393&lt;75,W1393&lt;25),0.35,0)+IF(AND(V1393&gt;=40,V1393&lt;75,W1393&gt;=25,W1393&lt;65),0.25,0)+IF(AND(V1393&gt;=40,V1393&lt;75,W1393&gt;=65,W1393&lt;100),0.17,0)+IF(AND(V1393&gt;=40,V1393&lt;75,W1393&gt;=100),0.1,0)+IF(AND(V1393&gt;=75,W1393&lt;25),0.35,0)+IF(AND(V1393&gt;=75,W1393&gt;=25,W1393&lt;60),0.25,0)+IF(AND(V1393&gt;=75,W1393&gt;=60,W1393&lt;95),0.17,0)+IF(AND(V1393&gt;=75,W1393&gt;=95),0.1,0),
IF(AF1393="DoEVba",IF(AND(V1393&lt;20,W1393&lt;105),0.2,0)+IF(AND(V1393&lt;20,W1393&gt;=105),0.15,0)+IF(AND(V1393&gt;=20,V1393&lt;40,W1393&lt;95),0.2,0)+IF(AND(V1393&gt;=20,V1393&lt;40,W1393&gt;=95,W1393&lt;150),0.15,0)+IF(AND(V1393&gt;=20,V1393&lt;40,W1393&gt;=150),0.12,0)+IF(AND(V1393&gt;=40,V1393&lt;75,W1393&lt;75),0.2,0)+IF(AND(V1393&gt;=40,V1393&lt;75,W1393&gt;=75,W1393&lt;120),0.15,0)+IF(AND(V1393&gt;=40,V1393&lt;75,W1393&gt;=120),0.12,0)+IF(AND(V1393&gt;=75,V1393&lt;175,W1393&lt;65),0.2,0)+IF(AND(V1393&gt;=75,V1393&lt;175,W1393&gt;=65,W1393&lt;110),0.15,0)+IF(AND(V1393&gt;=75,V1393&lt;175,W1393&gt;=110),0.12,0)+IF(AND(V1393&gt;=175,W1393&lt;55),0.2,0)+IF(AND(V1393&gt;=175,W1393&gt;=55,W1393&lt;95),0.15,0)+IF(AND(V1393&gt;=175,W1393&gt;=95),0.12,0),
IF(AF1393="DoEVku",IF(AND(V1393&lt;20,W1393&lt;55),0.23,0)+IF(AND(V1393&lt;20,W1393&gt;=55,W1393&lt;105),0.2,0)+IF(AND(V1393&lt;20,W1393&gt;=105),0.17,0)+IF(AND(V1393&gt;=20,V1393&lt;40,W1393&lt;45),0.23,0)+IF(AND(V1393&gt;=20,V1393&lt;40,W1393&gt;=45,W1393&lt;95),0.2,0)+IF(AND(V1393&gt;=20,V1393&lt;40,W1393&gt;=95,W1393&lt;=150),0.17,0)+IF(AND(V1393&gt;=20,V1393&lt;40,W1393&gt;=150),0.12,0)+IF(AND(V1393&gt;=40,V1393&lt;75,W1393&lt;35),0.23,0)+IF(AND(V1393&gt;=40,V1393&lt;75,W1393&gt;=35,W1393&lt;75),0.2,0)+IF(AND(V1393&gt;=40,V1393&lt;75,W1393&gt;=75,W1393&lt;120),0.17,0)+IF(AND(V1393&gt;=40,V1393&lt;75,W1393&gt;=120),0.12,0)+IF(AND(V1393&gt;=75,V1393&lt;175,W1393&lt;35),0.23,0)+IF(AND(V1393&gt;=75,V1393&lt;=175,W1393&gt;=35,W1393&lt;65),0.2,0)+IF(AND(V1393&gt;=75,V1393&lt;=175,W1393&gt;=65,W1393&lt;110),0.17,0)+IF(AND(V1393&gt;=75,V1393&lt;=175,W1393&gt;=110),0.12,0)+IF(AND(V1393&gt;175,W1393&lt;25),0.23,0)+IF(AND(V1393&gt;175,W1393&gt;=25,W1393&lt;55),0.2,0)+IF(AND(V1393&gt;175,W1393&gt;=55,W1393&lt;95),0.17,0)+IF(AND(V1393&gt;175,W1393&gt;=95),0.12,0),
IF(AF1393="DoEVs1",IF(AND(V1393&lt;20,W1393&lt;55),0.3,0)+IF(AND(V1393&lt;20,W1393&gt;=55,W1393&lt;105),0.23,0)+IF(AND(V1393&lt;20,W1393&gt;=105),0.17,0)+IF(AND(V1393&gt;=20,V1393&lt;40,W1393&lt;45),0.3,0)+IF(AND(V1393&gt;=20,V1393&lt;40,W1393&gt;=45,W1393&lt;95),0.23,0)+IF(AND(V1393&gt;=20,V1393&lt;40,W1393&gt;=95,W1393&lt;=150),0.17,0)+IF(AND(V1393&gt;=20,V1393&lt;40,W1393&gt;=150),0.12,0)+IF(AND(V1393&gt;=40,V1393&lt;75,W1393&lt;35),0.3,0)+IF(AND(V1393&gt;=40,V1393&lt;75,W1393&gt;=35,W1393&lt;75),0.23,0)+IF(AND(V1393&gt;=40,V1393&lt;75,W1393&gt;=75,W1393&lt;120),0.17,0)+IF(AND(V1393&gt;=40,V1393&lt;75,W1393&gt;=120),0.12,0)+IF(AND(V1393&gt;=75,V1393&lt;175,W1393&lt;35),0.3,0)+IF(AND(V1393&gt;=75,V1393&lt;=175,W1393&gt;=35,W1393&lt;65),0.23,0)+IF(AND(V1393&gt;=75,V1393&lt;=175,W1393&gt;=65,W1393&lt;110),0.17,0)+IF(AND(V1393&gt;=75,V1393&lt;=175,W1393&gt;=110),0.12,0)+IF(AND(V1393&gt;175,W1393&lt;25),0.3,0)+IF(AND(V1393&gt;175,W1393&gt;=25,W1393&lt;55),0.23,0)+IF(AND(V1393&gt;175,W1393&gt;=55,W1393&lt;95),0.17,0)+IF(AND(V1393&gt;175,W1393&gt;=95),0.12,0),
IF(AF1393="DoEVsu",IF(AND(V1393&lt;20,W1393&lt;55),0.3,0)+IF(AND(V1393&lt;20,W1393&gt;=55,W1393&lt;105),0.23,0)+IF(AND(V1393&lt;20,W1393&gt;=105),0.17,0)+IF(AND(V1393&gt;=20,V1393&lt;40,W1393&lt;45),0.3,0)+IF(AND(V1393&gt;=20,V1393&lt;40,W1393&gt;=45,W1393&lt;95),0.23,0)+IF(AND(V1393&gt;=20,V1393&lt;40,W1393&gt;=95,W1393&lt;=250),0.17,0)+IF(AND(V1393&gt;=20,V1393&lt;40,W1393&gt;=250),0.12,0)+IF(AND(V1393&gt;=40,V1393&lt;75,W1393&lt;35),0.3,0)+IF(AND(V1393&gt;=40,V1393&lt;75,W1393&gt;=35,W1393&lt;75),0.23,0)+IF(AND(V1393&gt;=40,V1393&lt;75,W1393&gt;=75,W1393&lt;120),0.17,0)+IF(AND(V1393&gt;=40,V1393&lt;75,W1393&gt;=120),0.12,0)+IF(AND(V1393&gt;=75,V1393&lt;175,W1393&lt;35),0.3,0)+IF(AND(V1393&gt;=75,V1393&lt;=175,W1393&gt;=35,W1393&lt;65),0.23,0)+IF(AND(V1393&gt;=75,V1393&lt;=175,W1393&gt;=65,W1393&lt;110),0.17,0)+IF(AND(V1393&gt;=75,V1393&lt;=175,W1393&gt;=110),0.12,0)+IF(AND(V1393&gt;175,W1393&lt;25),0.3,0)+IF(AND(V1393&gt;175,W1393&gt;=25,W1393&lt;55),0.23,0)+IF(AND(V1393&gt;175,W1393&gt;=55,W1393&lt;95),0.17,0)+IF(AND(V1393&gt;175,W1393&gt;=95),0.12,0),
IF(AF1393="DoEVni",IF(AND(V1393&lt;20,W1393&lt;55),0.3,0)+IF(AND(V1393&lt;20,W1393&gt;=55,W1393&lt;105),0.23,0)+IF(AND(V1393&lt;20,W1393&gt;=105),0.17,0)+IF(AND(V1393&gt;=20,V1393&lt;40,W1393&lt;45),0.3,0)+IF(AND(V1393&gt;=20,V1393&lt;40,W1393&gt;=45,W1393&lt;95),0.23,0)+IF(AND(V1393&gt;=20,V1393&lt;40,W1393&gt;=95,W1393&lt;=200),0.17,0)+IF(AND(V1393&gt;=20,V1393&lt;40,W1393&gt;=200),0.12,0)+IF(AND(V1393&gt;=40,V1393&lt;75,W1393&lt;35),0.3,0)+IF(AND(V1393&gt;=40,V1393&lt;75,W1393&gt;=35,W1393&lt;75),0.23,0)+IF(AND(V1393&gt;=40,V1393&lt;75,W1393&gt;=75,W1393&lt;120),0.17,0)+IF(AND(V1393&gt;=40,V1393&lt;75,W1393&gt;=120),0.12,0)+IF(AND(V1393&gt;=75,V1393&lt;175,W1393&lt;35),0.3,0)+IF(AND(V1393&gt;=75,V1393&lt;=175,W1393&gt;=35,W1393&lt;65),0.23,0)+IF(AND(V1393&gt;=75,V1393&lt;=175,W1393&gt;=65,W1393&lt;110),0.17,0)+IF(AND(V1393&gt;=75,V1393&lt;=175,W1393&gt;=110),0.12,0)+IF(AND(V1393&gt;175,W1393&lt;25),0.3,0)+IF(AND(V1393&gt;175,W1393&gt;=25,W1393&lt;55),0.23,0)+IF(AND(V1393&gt;175,W1393&gt;=55,W1393&lt;95),0.17,0)+IF(AND(V1393&gt;175,W1393&gt;=95),0.12,0),
IF(AF1393="DoEVLo",IF(AND(V1393&lt;20,W1393&lt;55),0.25,0)+IF(AND(V1393&lt;20,W1393&gt;=55,W1393&lt;105),0.2,0)+IF(AND(V1393&lt;20,W1393&gt;=105),0.15,0)+IF(AND(V1393&gt;=20,V1393&lt;40,W1393&lt;45),0.25,0)+IF(AND(V1393&gt;=20,V1393&lt;40,W1393&gt;=45,W1393&lt;95),0.2,0)+IF(AND(V1393&gt;=20,V1393&lt;40,W1393&gt;=95),0.15,0)+IF(AND(V1393&gt;=40,V1393&lt;75,W1393&lt;35),0.25,0)+IF(AND(V1393&gt;=40,V1393&lt;75,W1393&gt;=35,W1393&lt;75),0.2,0)+IF(AND(V1393&gt;=40,V1393&lt;75,W1393&gt;=75,W1393&lt;120),0.15,0)+IF(AND(V1393&gt;=40,V1393&lt;75,W1393&gt;=120),0.1,0)+IF(AND(V1393&gt;=75,V1393&lt;175,W1393&lt;35),0.25,0)+IF(AND(V1393&gt;=75,V1393&lt;=175,W1393&gt;=35,W1393&lt;65),0.2,0)+IF(AND(V1393&gt;=75,V1393&lt;=175,W1393&gt;=65,W1393&lt;110),0.15,0)+IF(AND(V1393&gt;=75,V1393&lt;=175,W1393&gt;=110),0.1,0)+IF(AND(V1393&gt;175,W1393&lt;25),0.25,0)+IF(AND(V1393&gt;175,W1393&gt;=25,W1393&lt;55),0.2,0)+IF(AND(V1393&gt;175,W1393&gt;=55,W1393&lt;95),0.15,0)+IF(AND(V1393&gt;175,W1393&gt;=95),0.1,0))))))))))))))))))</f>
        <v>0</v>
      </c>
      <c r="Y1393" s="78">
        <v>0.22</v>
      </c>
      <c r="Z1393" s="35">
        <f>T1393-AA1393-AB1393</f>
        <v>113.88</v>
      </c>
      <c r="AA1393" s="29">
        <f>IF(AD1393="EUR",((T1393-R1393)*X1393)*U1393+(R1393*X1393),(T1393*X1393))</f>
        <v>0</v>
      </c>
      <c r="AB1393" s="36">
        <f>IF(AD1393="EUR",((T1393-R1393)*Y1393)*U1393+(R1393*Y1393),(T1393*Y1393))</f>
        <v>32.119999999999997</v>
      </c>
      <c r="AC1393" s="61" t="b">
        <v>1</v>
      </c>
      <c r="AD1393" s="37" t="s">
        <v>38</v>
      </c>
      <c r="AE1393" s="37" t="s">
        <v>38</v>
      </c>
      <c r="AF1393" s="37" t="str">
        <f t="array" ref="AF1393">INDEX('Deal Info'!D:D, MATCH(A1393,'Deal Info'!A:A, 0))</f>
        <v>None</v>
      </c>
      <c r="AG1393" s="38" t="str">
        <f t="array" ref="AG1393">INDEX('Deal Info'!G:G, MATCH(A1393,'Deal Info'!A:A, 0))</f>
        <v>guilexperi</v>
      </c>
    </row>
    <row r="1394" spans="1:33" ht="14.25" hidden="1" x14ac:dyDescent="0.2">
      <c r="A1394" s="18" t="str">
        <f t="array" ref="A1394">IF(G1394='Room Info'!$B$1, INDEX('Room Info'!$A$2:$A2446, MATCH(B1394,'Room Info'!$B$2:$B2446, 0)),IF(G1394='Room Info'!$C$1, INDEX('Room Info'!$A$2:$A2446, MATCH(B1394,'Room Info'!$C$2:$C2446, 0)),IF(G1394='Room Info'!$D$1, INDEX('Room Info'!$A$2:$A2446, MATCH(B1394,'Room Info'!$D$2:$D2446, 0)),IF(G1394='Room Info'!$E$1, INDEX('Room Info'!$A$2:$A2446, MATCH(B1394,'Room Info'!$E$2:$E2446, 0)),IF(G1394='Room Info'!$F$1, INDEX('Room Info'!$A$2:$A2446, MATCH(B1394,'Room Info'!$F$2:$F2446, 0)),IF(G1394='Room Info'!$H$1, INDEX('Room Info'!$A$2:$A2446, MATCH(B1394,'Room Info'!$H$2:$H2446, 0)),IF(G1394='Room Info'!$G$1, INDEX('Room Info'!$A$2:$A2446, MATCH(B1394,'Room Info'!$G$2:$G2446, 0)))))))))</f>
        <v>guilexperi</v>
      </c>
      <c r="B1394" s="45" t="s">
        <v>208</v>
      </c>
      <c r="C1394" s="46">
        <v>44916</v>
      </c>
      <c r="D1394" s="46">
        <v>44921</v>
      </c>
      <c r="E1394" s="47">
        <v>44896</v>
      </c>
      <c r="F1394" s="48" t="s">
        <v>49</v>
      </c>
      <c r="G1394" s="45" t="s">
        <v>35</v>
      </c>
      <c r="H1394" s="49" t="s">
        <v>212</v>
      </c>
      <c r="I1394" s="49" t="s">
        <v>174</v>
      </c>
      <c r="J1394" s="50">
        <v>300</v>
      </c>
      <c r="K1394" s="51">
        <v>30</v>
      </c>
      <c r="L1394" s="52">
        <v>2229</v>
      </c>
      <c r="M1394" s="53">
        <v>463</v>
      </c>
      <c r="N1394" s="28">
        <f>K1394*J1394</f>
        <v>9000</v>
      </c>
      <c r="O1394" s="54">
        <v>608</v>
      </c>
      <c r="P1394" s="29">
        <v>20.266666669999999</v>
      </c>
      <c r="Q1394" s="55"/>
      <c r="R1394" s="31">
        <f>M1394+Q1394</f>
        <v>463</v>
      </c>
      <c r="S1394" s="56">
        <v>225</v>
      </c>
      <c r="T1394" s="32">
        <f>R1394+S1394+IF(F1394="Without EV deal",L1394,0)</f>
        <v>688</v>
      </c>
      <c r="U1394" s="57"/>
      <c r="V1394" s="58"/>
      <c r="W1394" s="58"/>
      <c r="X1394" s="30" t="b">
        <f>IF(AF1394="DoEV",IF(AND(V1394&lt;20,W1394&lt;55),0.3,0)+IF(AND(V1394&lt;20,W1394&gt;=55,W1394&lt;105),0.23,0)+IF(AND(V1394&lt;20,W1394&gt;=105),0.17,0)+IF(AND(V1394&gt;=20,V1394&lt;40,W1394&lt;45),0.3,0)+IF(AND(V1394&gt;=20,V1394&lt;40,W1394&gt;=45,W1394&lt;95),0.23,0)+IF(AND(V1394&gt;=20,V1394&lt;40,W1394&gt;=95),0.17,0)+IF(AND(V1394&gt;=40,V1394&lt;75,W1394&lt;35),0.3,0)+IF(AND(V1394&gt;=40,V1394&lt;75,W1394&gt;=35,W1394&lt;75),0.23,0)+IF(AND(V1394&gt;=40,V1394&lt;75,W1394&gt;=75,W1394&lt;120),0.17,0)+IF(AND(V1394&gt;=40,V1394&lt;75,W1394&gt;=120),0.12,0)+IF(AND(V1394&gt;=75,V1394&lt;175,W1394&lt;35),0.3,0)+IF(AND(V1394&gt;=75,V1394&lt;=175,W1394&gt;=35,W1394&lt;65),0.23,0)+IF(AND(V1394&gt;=75,V1394&lt;=175,W1394&gt;=65,W1394&lt;110),0.17,0)+IF(AND(V1394&gt;=75,V1394&lt;=175,W1394&gt;=110),0.12,0)+IF(AND(V1394&gt;175,W1394&lt;25),0.3,0)+IF(AND(V1394&gt;175,W1394&gt;=25,W1394&lt;55),0.23,0)+IF(AND(V1394&gt;175,W1394&gt;=55,W1394&lt;95),0.17,0)+IF(AND(V1394&gt;175,W1394&gt;=95),0.12,0),
IF(AF1394="Fix15",0.15,
IF(AF1394="Fix18.75",0.1875,
IF(AF1394="Fix11.25",0.1125,
IF(AF1394="Fix10",0.1,
IF(AF1394="Fix9",0.09,
IF(AF1394="Fix19",0.19,
IF(AF1394="DoEV2017",IF(AND(W1394&lt;74),0.2,0)+IF(AND(W1394&gt;=74),0.17,0),
IF(AF1394="SF",IF(AND(V1394&lt;20,W1394&lt;89),0.3,0)+IF(AND(V1394&lt;20,W1394&gt;=89),0.25,0)+IF(AND(V1394&gt;=20,V1394&lt;40,W1394&lt;74),0.3,0)+IF(AND(V1394&gt;=20,V1394&lt;40,W1394&gt;=75),0.22,0)+IF(AND(V1394&gt;=40,V1394&lt;75,W1394&lt;75),0.26,0)+IF(AND(V1394&gt;=40,V1394&lt;75,W1394&gt;=75),0.22,0)+IF(V1394&gt;=75,0.22,0),
IF(AF1394="DoEVold",IF(AND(V1394&lt;40,W1394&lt;35),0.35,0)+IF(AND(V1394&lt;40,W1394&gt;=35,W1394&lt;75),0.25,0)+IF(AND(V1394&lt;40,W1394&gt;=75),0.17,0)+IF(AND(V1394&gt;=40,V1394&lt;75,W1394&lt;25),0.35,0)+IF(AND(V1394&gt;=40,V1394&lt;75,W1394&gt;=25,W1394&lt;65),0.25,0)+IF(AND(V1394&gt;=40,V1394&lt;75,W1394&gt;=65,W1394&lt;100),0.17,0)+IF(AND(V1394&gt;=40,V1394&lt;75,W1394&gt;=100),0.1,0)+IF(AND(V1394&gt;=75,W1394&lt;25),0.35,0)+IF(AND(V1394&gt;=75,W1394&gt;=25,W1394&lt;60),0.25,0)+IF(AND(V1394&gt;=75,W1394&gt;=60,W1394&lt;95),0.17,0)+IF(AND(V1394&gt;=75,W1394&gt;=95),0.1,0),
IF(AF1394="DoEVold15",IF(AND(V1394&lt;=40,W1394&lt;35),0.35,0)+IF(AND(V1394&lt;=40,W1394&gt;=35,W1394&lt;75),0.25,0)+IF(AND(V1394&lt;=40,W1394&gt;=75,W1394&lt;120),0.17,0)+IF(AND(V1394&lt;=40,W1394&gt;=120),0.15,0)+IF(AND(V1394&gt;40,V1394&lt;75,W1394&lt;25),0.35,0)+IF(AND(V1394&gt;=40,V1394&lt;75,W1394&gt;=25,W1394&lt;65),0.25,0)+IF(AND(V1394&gt;=40,V1394&lt;75,W1394&gt;=65,W1394&lt;100),0.17,0)+IF(AND(V1394&gt;=40,V1394&lt;75,W1394&gt;=100),0.1,0)+IF(AND(V1394&gt;=75,W1394&lt;25),0.35,0)+IF(AND(V1394&gt;=75,W1394&gt;=25,W1394&lt;60),0.25,0)+IF(AND(V1394&gt;=75,W1394&gt;=60,W1394&lt;95),0.17,0)+IF(AND(V1394&gt;=75,W1394&gt;=95),0.1,0),
IF(AF1394="DoEVba",IF(AND(V1394&lt;20,W1394&lt;105),0.2,0)+IF(AND(V1394&lt;20,W1394&gt;=105),0.15,0)+IF(AND(V1394&gt;=20,V1394&lt;40,W1394&lt;95),0.2,0)+IF(AND(V1394&gt;=20,V1394&lt;40,W1394&gt;=95,W1394&lt;150),0.15,0)+IF(AND(V1394&gt;=20,V1394&lt;40,W1394&gt;=150),0.12,0)+IF(AND(V1394&gt;=40,V1394&lt;75,W1394&lt;75),0.2,0)+IF(AND(V1394&gt;=40,V1394&lt;75,W1394&gt;=75,W1394&lt;120),0.15,0)+IF(AND(V1394&gt;=40,V1394&lt;75,W1394&gt;=120),0.12,0)+IF(AND(V1394&gt;=75,V1394&lt;175,W1394&lt;65),0.2,0)+IF(AND(V1394&gt;=75,V1394&lt;175,W1394&gt;=65,W1394&lt;110),0.15,0)+IF(AND(V1394&gt;=75,V1394&lt;175,W1394&gt;=110),0.12,0)+IF(AND(V1394&gt;=175,W1394&lt;55),0.2,0)+IF(AND(V1394&gt;=175,W1394&gt;=55,W1394&lt;95),0.15,0)+IF(AND(V1394&gt;=175,W1394&gt;=95),0.12,0),
IF(AF1394="DoEVku",IF(AND(V1394&lt;20,W1394&lt;55),0.23,0)+IF(AND(V1394&lt;20,W1394&gt;=55,W1394&lt;105),0.2,0)+IF(AND(V1394&lt;20,W1394&gt;=105),0.17,0)+IF(AND(V1394&gt;=20,V1394&lt;40,W1394&lt;45),0.23,0)+IF(AND(V1394&gt;=20,V1394&lt;40,W1394&gt;=45,W1394&lt;95),0.2,0)+IF(AND(V1394&gt;=20,V1394&lt;40,W1394&gt;=95,W1394&lt;=150),0.17,0)+IF(AND(V1394&gt;=20,V1394&lt;40,W1394&gt;=150),0.12,0)+IF(AND(V1394&gt;=40,V1394&lt;75,W1394&lt;35),0.23,0)+IF(AND(V1394&gt;=40,V1394&lt;75,W1394&gt;=35,W1394&lt;75),0.2,0)+IF(AND(V1394&gt;=40,V1394&lt;75,W1394&gt;=75,W1394&lt;120),0.17,0)+IF(AND(V1394&gt;=40,V1394&lt;75,W1394&gt;=120),0.12,0)+IF(AND(V1394&gt;=75,V1394&lt;175,W1394&lt;35),0.23,0)+IF(AND(V1394&gt;=75,V1394&lt;=175,W1394&gt;=35,W1394&lt;65),0.2,0)+IF(AND(V1394&gt;=75,V1394&lt;=175,W1394&gt;=65,W1394&lt;110),0.17,0)+IF(AND(V1394&gt;=75,V1394&lt;=175,W1394&gt;=110),0.12,0)+IF(AND(V1394&gt;175,W1394&lt;25),0.23,0)+IF(AND(V1394&gt;175,W1394&gt;=25,W1394&lt;55),0.2,0)+IF(AND(V1394&gt;175,W1394&gt;=55,W1394&lt;95),0.17,0)+IF(AND(V1394&gt;175,W1394&gt;=95),0.12,0),
IF(AF1394="DoEVs1",IF(AND(V1394&lt;20,W1394&lt;55),0.3,0)+IF(AND(V1394&lt;20,W1394&gt;=55,W1394&lt;105),0.23,0)+IF(AND(V1394&lt;20,W1394&gt;=105),0.17,0)+IF(AND(V1394&gt;=20,V1394&lt;40,W1394&lt;45),0.3,0)+IF(AND(V1394&gt;=20,V1394&lt;40,W1394&gt;=45,W1394&lt;95),0.23,0)+IF(AND(V1394&gt;=20,V1394&lt;40,W1394&gt;=95,W1394&lt;=150),0.17,0)+IF(AND(V1394&gt;=20,V1394&lt;40,W1394&gt;=150),0.12,0)+IF(AND(V1394&gt;=40,V1394&lt;75,W1394&lt;35),0.3,0)+IF(AND(V1394&gt;=40,V1394&lt;75,W1394&gt;=35,W1394&lt;75),0.23,0)+IF(AND(V1394&gt;=40,V1394&lt;75,W1394&gt;=75,W1394&lt;120),0.17,0)+IF(AND(V1394&gt;=40,V1394&lt;75,W1394&gt;=120),0.12,0)+IF(AND(V1394&gt;=75,V1394&lt;175,W1394&lt;35),0.3,0)+IF(AND(V1394&gt;=75,V1394&lt;=175,W1394&gt;=35,W1394&lt;65),0.23,0)+IF(AND(V1394&gt;=75,V1394&lt;=175,W1394&gt;=65,W1394&lt;110),0.17,0)+IF(AND(V1394&gt;=75,V1394&lt;=175,W1394&gt;=110),0.12,0)+IF(AND(V1394&gt;175,W1394&lt;25),0.3,0)+IF(AND(V1394&gt;175,W1394&gt;=25,W1394&lt;55),0.23,0)+IF(AND(V1394&gt;175,W1394&gt;=55,W1394&lt;95),0.17,0)+IF(AND(V1394&gt;175,W1394&gt;=95),0.12,0),
IF(AF1394="DoEVsu",IF(AND(V1394&lt;20,W1394&lt;55),0.3,0)+IF(AND(V1394&lt;20,W1394&gt;=55,W1394&lt;105),0.23,0)+IF(AND(V1394&lt;20,W1394&gt;=105),0.17,0)+IF(AND(V1394&gt;=20,V1394&lt;40,W1394&lt;45),0.3,0)+IF(AND(V1394&gt;=20,V1394&lt;40,W1394&gt;=45,W1394&lt;95),0.23,0)+IF(AND(V1394&gt;=20,V1394&lt;40,W1394&gt;=95,W1394&lt;=250),0.17,0)+IF(AND(V1394&gt;=20,V1394&lt;40,W1394&gt;=250),0.12,0)+IF(AND(V1394&gt;=40,V1394&lt;75,W1394&lt;35),0.3,0)+IF(AND(V1394&gt;=40,V1394&lt;75,W1394&gt;=35,W1394&lt;75),0.23,0)+IF(AND(V1394&gt;=40,V1394&lt;75,W1394&gt;=75,W1394&lt;120),0.17,0)+IF(AND(V1394&gt;=40,V1394&lt;75,W1394&gt;=120),0.12,0)+IF(AND(V1394&gt;=75,V1394&lt;175,W1394&lt;35),0.3,0)+IF(AND(V1394&gt;=75,V1394&lt;=175,W1394&gt;=35,W1394&lt;65),0.23,0)+IF(AND(V1394&gt;=75,V1394&lt;=175,W1394&gt;=65,W1394&lt;110),0.17,0)+IF(AND(V1394&gt;=75,V1394&lt;=175,W1394&gt;=110),0.12,0)+IF(AND(V1394&gt;175,W1394&lt;25),0.3,0)+IF(AND(V1394&gt;175,W1394&gt;=25,W1394&lt;55),0.23,0)+IF(AND(V1394&gt;175,W1394&gt;=55,W1394&lt;95),0.17,0)+IF(AND(V1394&gt;175,W1394&gt;=95),0.12,0),
IF(AF1394="DoEVni",IF(AND(V1394&lt;20,W1394&lt;55),0.3,0)+IF(AND(V1394&lt;20,W1394&gt;=55,W1394&lt;105),0.23,0)+IF(AND(V1394&lt;20,W1394&gt;=105),0.17,0)+IF(AND(V1394&gt;=20,V1394&lt;40,W1394&lt;45),0.3,0)+IF(AND(V1394&gt;=20,V1394&lt;40,W1394&gt;=45,W1394&lt;95),0.23,0)+IF(AND(V1394&gt;=20,V1394&lt;40,W1394&gt;=95,W1394&lt;=200),0.17,0)+IF(AND(V1394&gt;=20,V1394&lt;40,W1394&gt;=200),0.12,0)+IF(AND(V1394&gt;=40,V1394&lt;75,W1394&lt;35),0.3,0)+IF(AND(V1394&gt;=40,V1394&lt;75,W1394&gt;=35,W1394&lt;75),0.23,0)+IF(AND(V1394&gt;=40,V1394&lt;75,W1394&gt;=75,W1394&lt;120),0.17,0)+IF(AND(V1394&gt;=40,V1394&lt;75,W1394&gt;=120),0.12,0)+IF(AND(V1394&gt;=75,V1394&lt;175,W1394&lt;35),0.3,0)+IF(AND(V1394&gt;=75,V1394&lt;=175,W1394&gt;=35,W1394&lt;65),0.23,0)+IF(AND(V1394&gt;=75,V1394&lt;=175,W1394&gt;=65,W1394&lt;110),0.17,0)+IF(AND(V1394&gt;=75,V1394&lt;=175,W1394&gt;=110),0.12,0)+IF(AND(V1394&gt;175,W1394&lt;25),0.3,0)+IF(AND(V1394&gt;175,W1394&gt;=25,W1394&lt;55),0.23,0)+IF(AND(V1394&gt;175,W1394&gt;=55,W1394&lt;95),0.17,0)+IF(AND(V1394&gt;175,W1394&gt;=95),0.12,0),
IF(AF1394="DoEVLo",IF(AND(V1394&lt;20,W1394&lt;55),0.25,0)+IF(AND(V1394&lt;20,W1394&gt;=55,W1394&lt;105),0.2,0)+IF(AND(V1394&lt;20,W1394&gt;=105),0.15,0)+IF(AND(V1394&gt;=20,V1394&lt;40,W1394&lt;45),0.25,0)+IF(AND(V1394&gt;=20,V1394&lt;40,W1394&gt;=45,W1394&lt;95),0.2,0)+IF(AND(V1394&gt;=20,V1394&lt;40,W1394&gt;=95),0.15,0)+IF(AND(V1394&gt;=40,V1394&lt;75,W1394&lt;35),0.25,0)+IF(AND(V1394&gt;=40,V1394&lt;75,W1394&gt;=35,W1394&lt;75),0.2,0)+IF(AND(V1394&gt;=40,V1394&lt;75,W1394&gt;=75,W1394&lt;120),0.15,0)+IF(AND(V1394&gt;=40,V1394&lt;75,W1394&gt;=120),0.1,0)+IF(AND(V1394&gt;=75,V1394&lt;175,W1394&lt;35),0.25,0)+IF(AND(V1394&gt;=75,V1394&lt;=175,W1394&gt;=35,W1394&lt;65),0.2,0)+IF(AND(V1394&gt;=75,V1394&lt;=175,W1394&gt;=65,W1394&lt;110),0.15,0)+IF(AND(V1394&gt;=75,V1394&lt;=175,W1394&gt;=110),0.1,0)+IF(AND(V1394&gt;175,W1394&lt;25),0.25,0)+IF(AND(V1394&gt;175,W1394&gt;=25,W1394&lt;55),0.2,0)+IF(AND(V1394&gt;175,W1394&gt;=55,W1394&lt;95),0.15,0)+IF(AND(V1394&gt;175,W1394&gt;=95),0.1,0))))))))))))))))))</f>
        <v>0</v>
      </c>
      <c r="Y1394" s="78">
        <v>0.22</v>
      </c>
      <c r="Z1394" s="35">
        <f>T1394-AA1394-AB1394</f>
        <v>536.64</v>
      </c>
      <c r="AA1394" s="29">
        <f>IF(AD1394="EUR",((T1394-R1394)*X1394)*U1394+(R1394*X1394),(T1394*X1394))</f>
        <v>0</v>
      </c>
      <c r="AB1394" s="36">
        <f>IF(AD1394="EUR",((T1394-R1394)*Y1394)*U1394+(R1394*Y1394),(T1394*Y1394))</f>
        <v>151.36000000000001</v>
      </c>
      <c r="AC1394" s="61" t="b">
        <v>1</v>
      </c>
      <c r="AD1394" s="37" t="s">
        <v>38</v>
      </c>
      <c r="AE1394" s="37" t="s">
        <v>38</v>
      </c>
      <c r="AF1394" s="37" t="str">
        <f t="array" ref="AF1394">INDEX('Deal Info'!D:D, MATCH(A1394,'Deal Info'!A:A, 0))</f>
        <v>None</v>
      </c>
      <c r="AG1394" s="38" t="str">
        <f t="array" ref="AG1394">INDEX('Deal Info'!G:G, MATCH(A1394,'Deal Info'!A:A, 0))</f>
        <v>guilexperi</v>
      </c>
    </row>
    <row r="1395" spans="1:33" ht="14.25" hidden="1" x14ac:dyDescent="0.2">
      <c r="A1395" s="18" t="str">
        <f t="array" ref="A1395">IF(G1395='Room Info'!$B$1, INDEX('Room Info'!$A$2:$A2446, MATCH(B1395,'Room Info'!$B$2:$B2446, 0)),IF(G1395='Room Info'!$C$1, INDEX('Room Info'!$A$2:$A2446, MATCH(B1395,'Room Info'!$C$2:$C2446, 0)),IF(G1395='Room Info'!$D$1, INDEX('Room Info'!$A$2:$A2446, MATCH(B1395,'Room Info'!$D$2:$D2446, 0)),IF(G1395='Room Info'!$E$1, INDEX('Room Info'!$A$2:$A2446, MATCH(B1395,'Room Info'!$E$2:$E2446, 0)),IF(G1395='Room Info'!$F$1, INDEX('Room Info'!$A$2:$A2446, MATCH(B1395,'Room Info'!$F$2:$F2446, 0)),IF(G1395='Room Info'!$H$1, INDEX('Room Info'!$A$2:$A2446, MATCH(B1395,'Room Info'!$H$2:$H2446, 0)),IF(G1395='Room Info'!$G$1, INDEX('Room Info'!$A$2:$A2446, MATCH(B1395,'Room Info'!$G$2:$G2446, 0)))))))))</f>
        <v>guilexperi</v>
      </c>
      <c r="B1395" s="45" t="s">
        <v>208</v>
      </c>
      <c r="C1395" s="46">
        <v>44916</v>
      </c>
      <c r="D1395" s="46">
        <v>44921</v>
      </c>
      <c r="E1395" s="47">
        <v>44896</v>
      </c>
      <c r="F1395" s="48" t="s">
        <v>49</v>
      </c>
      <c r="G1395" s="45" t="s">
        <v>35</v>
      </c>
      <c r="H1395" s="49" t="s">
        <v>39</v>
      </c>
      <c r="I1395" s="49" t="s">
        <v>37</v>
      </c>
      <c r="J1395" s="50">
        <v>5</v>
      </c>
      <c r="K1395" s="51">
        <v>2</v>
      </c>
      <c r="L1395" s="52">
        <v>20</v>
      </c>
      <c r="M1395" s="53">
        <v>3</v>
      </c>
      <c r="N1395" s="28">
        <f>K1395*J1395</f>
        <v>10</v>
      </c>
      <c r="O1395" s="54">
        <v>256</v>
      </c>
      <c r="P1395" s="29">
        <v>128</v>
      </c>
      <c r="Q1395" s="55"/>
      <c r="R1395" s="31">
        <f>M1395+Q1395</f>
        <v>3</v>
      </c>
      <c r="S1395" s="56">
        <v>1</v>
      </c>
      <c r="T1395" s="32">
        <f>R1395+S1395+IF(F1395="Without EV deal",L1395,0)</f>
        <v>4</v>
      </c>
      <c r="U1395" s="57"/>
      <c r="V1395" s="58"/>
      <c r="W1395" s="58"/>
      <c r="X1395" s="30" t="b">
        <f>IF(AF1395="DoEV",IF(AND(V1395&lt;20,W1395&lt;55),0.3,0)+IF(AND(V1395&lt;20,W1395&gt;=55,W1395&lt;105),0.23,0)+IF(AND(V1395&lt;20,W1395&gt;=105),0.17,0)+IF(AND(V1395&gt;=20,V1395&lt;40,W1395&lt;45),0.3,0)+IF(AND(V1395&gt;=20,V1395&lt;40,W1395&gt;=45,W1395&lt;95),0.23,0)+IF(AND(V1395&gt;=20,V1395&lt;40,W1395&gt;=95),0.17,0)+IF(AND(V1395&gt;=40,V1395&lt;75,W1395&lt;35),0.3,0)+IF(AND(V1395&gt;=40,V1395&lt;75,W1395&gt;=35,W1395&lt;75),0.23,0)+IF(AND(V1395&gt;=40,V1395&lt;75,W1395&gt;=75,W1395&lt;120),0.17,0)+IF(AND(V1395&gt;=40,V1395&lt;75,W1395&gt;=120),0.12,0)+IF(AND(V1395&gt;=75,V1395&lt;175,W1395&lt;35),0.3,0)+IF(AND(V1395&gt;=75,V1395&lt;=175,W1395&gt;=35,W1395&lt;65),0.23,0)+IF(AND(V1395&gt;=75,V1395&lt;=175,W1395&gt;=65,W1395&lt;110),0.17,0)+IF(AND(V1395&gt;=75,V1395&lt;=175,W1395&gt;=110),0.12,0)+IF(AND(V1395&gt;175,W1395&lt;25),0.3,0)+IF(AND(V1395&gt;175,W1395&gt;=25,W1395&lt;55),0.23,0)+IF(AND(V1395&gt;175,W1395&gt;=55,W1395&lt;95),0.17,0)+IF(AND(V1395&gt;175,W1395&gt;=95),0.12,0),
IF(AF1395="Fix15",0.15,
IF(AF1395="Fix18.75",0.1875,
IF(AF1395="Fix11.25",0.1125,
IF(AF1395="Fix10",0.1,
IF(AF1395="Fix9",0.09,
IF(AF1395="Fix19",0.19,
IF(AF1395="DoEV2017",IF(AND(W1395&lt;74),0.2,0)+IF(AND(W1395&gt;=74),0.17,0),
IF(AF1395="SF",IF(AND(V1395&lt;20,W1395&lt;89),0.3,0)+IF(AND(V1395&lt;20,W1395&gt;=89),0.25,0)+IF(AND(V1395&gt;=20,V1395&lt;40,W1395&lt;74),0.3,0)+IF(AND(V1395&gt;=20,V1395&lt;40,W1395&gt;=75),0.22,0)+IF(AND(V1395&gt;=40,V1395&lt;75,W1395&lt;75),0.26,0)+IF(AND(V1395&gt;=40,V1395&lt;75,W1395&gt;=75),0.22,0)+IF(V1395&gt;=75,0.22,0),
IF(AF1395="DoEVold",IF(AND(V1395&lt;40,W1395&lt;35),0.35,0)+IF(AND(V1395&lt;40,W1395&gt;=35,W1395&lt;75),0.25,0)+IF(AND(V1395&lt;40,W1395&gt;=75),0.17,0)+IF(AND(V1395&gt;=40,V1395&lt;75,W1395&lt;25),0.35,0)+IF(AND(V1395&gt;=40,V1395&lt;75,W1395&gt;=25,W1395&lt;65),0.25,0)+IF(AND(V1395&gt;=40,V1395&lt;75,W1395&gt;=65,W1395&lt;100),0.17,0)+IF(AND(V1395&gt;=40,V1395&lt;75,W1395&gt;=100),0.1,0)+IF(AND(V1395&gt;=75,W1395&lt;25),0.35,0)+IF(AND(V1395&gt;=75,W1395&gt;=25,W1395&lt;60),0.25,0)+IF(AND(V1395&gt;=75,W1395&gt;=60,W1395&lt;95),0.17,0)+IF(AND(V1395&gt;=75,W1395&gt;=95),0.1,0),
IF(AF1395="DoEVold15",IF(AND(V1395&lt;=40,W1395&lt;35),0.35,0)+IF(AND(V1395&lt;=40,W1395&gt;=35,W1395&lt;75),0.25,0)+IF(AND(V1395&lt;=40,W1395&gt;=75,W1395&lt;120),0.17,0)+IF(AND(V1395&lt;=40,W1395&gt;=120),0.15,0)+IF(AND(V1395&gt;40,V1395&lt;75,W1395&lt;25),0.35,0)+IF(AND(V1395&gt;=40,V1395&lt;75,W1395&gt;=25,W1395&lt;65),0.25,0)+IF(AND(V1395&gt;=40,V1395&lt;75,W1395&gt;=65,W1395&lt;100),0.17,0)+IF(AND(V1395&gt;=40,V1395&lt;75,W1395&gt;=100),0.1,0)+IF(AND(V1395&gt;=75,W1395&lt;25),0.35,0)+IF(AND(V1395&gt;=75,W1395&gt;=25,W1395&lt;60),0.25,0)+IF(AND(V1395&gt;=75,W1395&gt;=60,W1395&lt;95),0.17,0)+IF(AND(V1395&gt;=75,W1395&gt;=95),0.1,0),
IF(AF1395="DoEVba",IF(AND(V1395&lt;20,W1395&lt;105),0.2,0)+IF(AND(V1395&lt;20,W1395&gt;=105),0.15,0)+IF(AND(V1395&gt;=20,V1395&lt;40,W1395&lt;95),0.2,0)+IF(AND(V1395&gt;=20,V1395&lt;40,W1395&gt;=95,W1395&lt;150),0.15,0)+IF(AND(V1395&gt;=20,V1395&lt;40,W1395&gt;=150),0.12,0)+IF(AND(V1395&gt;=40,V1395&lt;75,W1395&lt;75),0.2,0)+IF(AND(V1395&gt;=40,V1395&lt;75,W1395&gt;=75,W1395&lt;120),0.15,0)+IF(AND(V1395&gt;=40,V1395&lt;75,W1395&gt;=120),0.12,0)+IF(AND(V1395&gt;=75,V1395&lt;175,W1395&lt;65),0.2,0)+IF(AND(V1395&gt;=75,V1395&lt;175,W1395&gt;=65,W1395&lt;110),0.15,0)+IF(AND(V1395&gt;=75,V1395&lt;175,W1395&gt;=110),0.12,0)+IF(AND(V1395&gt;=175,W1395&lt;55),0.2,0)+IF(AND(V1395&gt;=175,W1395&gt;=55,W1395&lt;95),0.15,0)+IF(AND(V1395&gt;=175,W1395&gt;=95),0.12,0),
IF(AF1395="DoEVku",IF(AND(V1395&lt;20,W1395&lt;55),0.23,0)+IF(AND(V1395&lt;20,W1395&gt;=55,W1395&lt;105),0.2,0)+IF(AND(V1395&lt;20,W1395&gt;=105),0.17,0)+IF(AND(V1395&gt;=20,V1395&lt;40,W1395&lt;45),0.23,0)+IF(AND(V1395&gt;=20,V1395&lt;40,W1395&gt;=45,W1395&lt;95),0.2,0)+IF(AND(V1395&gt;=20,V1395&lt;40,W1395&gt;=95,W1395&lt;=150),0.17,0)+IF(AND(V1395&gt;=20,V1395&lt;40,W1395&gt;=150),0.12,0)+IF(AND(V1395&gt;=40,V1395&lt;75,W1395&lt;35),0.23,0)+IF(AND(V1395&gt;=40,V1395&lt;75,W1395&gt;=35,W1395&lt;75),0.2,0)+IF(AND(V1395&gt;=40,V1395&lt;75,W1395&gt;=75,W1395&lt;120),0.17,0)+IF(AND(V1395&gt;=40,V1395&lt;75,W1395&gt;=120),0.12,0)+IF(AND(V1395&gt;=75,V1395&lt;175,W1395&lt;35),0.23,0)+IF(AND(V1395&gt;=75,V1395&lt;=175,W1395&gt;=35,W1395&lt;65),0.2,0)+IF(AND(V1395&gt;=75,V1395&lt;=175,W1395&gt;=65,W1395&lt;110),0.17,0)+IF(AND(V1395&gt;=75,V1395&lt;=175,W1395&gt;=110),0.12,0)+IF(AND(V1395&gt;175,W1395&lt;25),0.23,0)+IF(AND(V1395&gt;175,W1395&gt;=25,W1395&lt;55),0.2,0)+IF(AND(V1395&gt;175,W1395&gt;=55,W1395&lt;95),0.17,0)+IF(AND(V1395&gt;175,W1395&gt;=95),0.12,0),
IF(AF1395="DoEVs1",IF(AND(V1395&lt;20,W1395&lt;55),0.3,0)+IF(AND(V1395&lt;20,W1395&gt;=55,W1395&lt;105),0.23,0)+IF(AND(V1395&lt;20,W1395&gt;=105),0.17,0)+IF(AND(V1395&gt;=20,V1395&lt;40,W1395&lt;45),0.3,0)+IF(AND(V1395&gt;=20,V1395&lt;40,W1395&gt;=45,W1395&lt;95),0.23,0)+IF(AND(V1395&gt;=20,V1395&lt;40,W1395&gt;=95,W1395&lt;=150),0.17,0)+IF(AND(V1395&gt;=20,V1395&lt;40,W1395&gt;=150),0.12,0)+IF(AND(V1395&gt;=40,V1395&lt;75,W1395&lt;35),0.3,0)+IF(AND(V1395&gt;=40,V1395&lt;75,W1395&gt;=35,W1395&lt;75),0.23,0)+IF(AND(V1395&gt;=40,V1395&lt;75,W1395&gt;=75,W1395&lt;120),0.17,0)+IF(AND(V1395&gt;=40,V1395&lt;75,W1395&gt;=120),0.12,0)+IF(AND(V1395&gt;=75,V1395&lt;175,W1395&lt;35),0.3,0)+IF(AND(V1395&gt;=75,V1395&lt;=175,W1395&gt;=35,W1395&lt;65),0.23,0)+IF(AND(V1395&gt;=75,V1395&lt;=175,W1395&gt;=65,W1395&lt;110),0.17,0)+IF(AND(V1395&gt;=75,V1395&lt;=175,W1395&gt;=110),0.12,0)+IF(AND(V1395&gt;175,W1395&lt;25),0.3,0)+IF(AND(V1395&gt;175,W1395&gt;=25,W1395&lt;55),0.23,0)+IF(AND(V1395&gt;175,W1395&gt;=55,W1395&lt;95),0.17,0)+IF(AND(V1395&gt;175,W1395&gt;=95),0.12,0),
IF(AF1395="DoEVsu",IF(AND(V1395&lt;20,W1395&lt;55),0.3,0)+IF(AND(V1395&lt;20,W1395&gt;=55,W1395&lt;105),0.23,0)+IF(AND(V1395&lt;20,W1395&gt;=105),0.17,0)+IF(AND(V1395&gt;=20,V1395&lt;40,W1395&lt;45),0.3,0)+IF(AND(V1395&gt;=20,V1395&lt;40,W1395&gt;=45,W1395&lt;95),0.23,0)+IF(AND(V1395&gt;=20,V1395&lt;40,W1395&gt;=95,W1395&lt;=250),0.17,0)+IF(AND(V1395&gt;=20,V1395&lt;40,W1395&gt;=250),0.12,0)+IF(AND(V1395&gt;=40,V1395&lt;75,W1395&lt;35),0.3,0)+IF(AND(V1395&gt;=40,V1395&lt;75,W1395&gt;=35,W1395&lt;75),0.23,0)+IF(AND(V1395&gt;=40,V1395&lt;75,W1395&gt;=75,W1395&lt;120),0.17,0)+IF(AND(V1395&gt;=40,V1395&lt;75,W1395&gt;=120),0.12,0)+IF(AND(V1395&gt;=75,V1395&lt;175,W1395&lt;35),0.3,0)+IF(AND(V1395&gt;=75,V1395&lt;=175,W1395&gt;=35,W1395&lt;65),0.23,0)+IF(AND(V1395&gt;=75,V1395&lt;=175,W1395&gt;=65,W1395&lt;110),0.17,0)+IF(AND(V1395&gt;=75,V1395&lt;=175,W1395&gt;=110),0.12,0)+IF(AND(V1395&gt;175,W1395&lt;25),0.3,0)+IF(AND(V1395&gt;175,W1395&gt;=25,W1395&lt;55),0.23,0)+IF(AND(V1395&gt;175,W1395&gt;=55,W1395&lt;95),0.17,0)+IF(AND(V1395&gt;175,W1395&gt;=95),0.12,0),
IF(AF1395="DoEVni",IF(AND(V1395&lt;20,W1395&lt;55),0.3,0)+IF(AND(V1395&lt;20,W1395&gt;=55,W1395&lt;105),0.23,0)+IF(AND(V1395&lt;20,W1395&gt;=105),0.17,0)+IF(AND(V1395&gt;=20,V1395&lt;40,W1395&lt;45),0.3,0)+IF(AND(V1395&gt;=20,V1395&lt;40,W1395&gt;=45,W1395&lt;95),0.23,0)+IF(AND(V1395&gt;=20,V1395&lt;40,W1395&gt;=95,W1395&lt;=200),0.17,0)+IF(AND(V1395&gt;=20,V1395&lt;40,W1395&gt;=200),0.12,0)+IF(AND(V1395&gt;=40,V1395&lt;75,W1395&lt;35),0.3,0)+IF(AND(V1395&gt;=40,V1395&lt;75,W1395&gt;=35,W1395&lt;75),0.23,0)+IF(AND(V1395&gt;=40,V1395&lt;75,W1395&gt;=75,W1395&lt;120),0.17,0)+IF(AND(V1395&gt;=40,V1395&lt;75,W1395&gt;=120),0.12,0)+IF(AND(V1395&gt;=75,V1395&lt;175,W1395&lt;35),0.3,0)+IF(AND(V1395&gt;=75,V1395&lt;=175,W1395&gt;=35,W1395&lt;65),0.23,0)+IF(AND(V1395&gt;=75,V1395&lt;=175,W1395&gt;=65,W1395&lt;110),0.17,0)+IF(AND(V1395&gt;=75,V1395&lt;=175,W1395&gt;=110),0.12,0)+IF(AND(V1395&gt;175,W1395&lt;25),0.3,0)+IF(AND(V1395&gt;175,W1395&gt;=25,W1395&lt;55),0.23,0)+IF(AND(V1395&gt;175,W1395&gt;=55,W1395&lt;95),0.17,0)+IF(AND(V1395&gt;175,W1395&gt;=95),0.12,0),
IF(AF1395="DoEVLo",IF(AND(V1395&lt;20,W1395&lt;55),0.25,0)+IF(AND(V1395&lt;20,W1395&gt;=55,W1395&lt;105),0.2,0)+IF(AND(V1395&lt;20,W1395&gt;=105),0.15,0)+IF(AND(V1395&gt;=20,V1395&lt;40,W1395&lt;45),0.25,0)+IF(AND(V1395&gt;=20,V1395&lt;40,W1395&gt;=45,W1395&lt;95),0.2,0)+IF(AND(V1395&gt;=20,V1395&lt;40,W1395&gt;=95),0.15,0)+IF(AND(V1395&gt;=40,V1395&lt;75,W1395&lt;35),0.25,0)+IF(AND(V1395&gt;=40,V1395&lt;75,W1395&gt;=35,W1395&lt;75),0.2,0)+IF(AND(V1395&gt;=40,V1395&lt;75,W1395&gt;=75,W1395&lt;120),0.15,0)+IF(AND(V1395&gt;=40,V1395&lt;75,W1395&gt;=120),0.1,0)+IF(AND(V1395&gt;=75,V1395&lt;175,W1395&lt;35),0.25,0)+IF(AND(V1395&gt;=75,V1395&lt;=175,W1395&gt;=35,W1395&lt;65),0.2,0)+IF(AND(V1395&gt;=75,V1395&lt;=175,W1395&gt;=65,W1395&lt;110),0.15,0)+IF(AND(V1395&gt;=75,V1395&lt;=175,W1395&gt;=110),0.1,0)+IF(AND(V1395&gt;175,W1395&lt;25),0.25,0)+IF(AND(V1395&gt;175,W1395&gt;=25,W1395&lt;55),0.2,0)+IF(AND(V1395&gt;175,W1395&gt;=55,W1395&lt;95),0.15,0)+IF(AND(V1395&gt;175,W1395&gt;=95),0.1,0))))))))))))))))))</f>
        <v>0</v>
      </c>
      <c r="Y1395" s="78">
        <v>0.22</v>
      </c>
      <c r="Z1395" s="35">
        <f>T1395-AA1395-AB1395</f>
        <v>3.12</v>
      </c>
      <c r="AA1395" s="29">
        <f>IF(AD1395="EUR",((T1395-R1395)*X1395)*U1395+(R1395*X1395),(T1395*X1395))</f>
        <v>0</v>
      </c>
      <c r="AB1395" s="36">
        <f>IF(AD1395="EUR",((T1395-R1395)*Y1395)*U1395+(R1395*Y1395),(T1395*Y1395))</f>
        <v>0.88</v>
      </c>
      <c r="AC1395" s="61" t="b">
        <v>1</v>
      </c>
      <c r="AD1395" s="37" t="s">
        <v>38</v>
      </c>
      <c r="AE1395" s="37" t="s">
        <v>38</v>
      </c>
      <c r="AF1395" s="37" t="str">
        <f t="array" ref="AF1395">INDEX('Deal Info'!D:D, MATCH(A1395,'Deal Info'!A:A, 0))</f>
        <v>None</v>
      </c>
      <c r="AG1395" s="38" t="str">
        <f t="array" ref="AG1395">INDEX('Deal Info'!G:G, MATCH(A1395,'Deal Info'!A:A, 0))</f>
        <v>guilexperi</v>
      </c>
    </row>
    <row r="1396" spans="1:33" ht="14.25" hidden="1" x14ac:dyDescent="0.2">
      <c r="A1396" s="18" t="str">
        <f t="array" ref="A1396">IF(G1396='Room Info'!$B$1, INDEX('Room Info'!$A$2:$A2446, MATCH(B1396,'Room Info'!$B$2:$B2446, 0)),IF(G1396='Room Info'!$C$1, INDEX('Room Info'!$A$2:$A2446, MATCH(B1396,'Room Info'!$C$2:$C2446, 0)),IF(G1396='Room Info'!$D$1, INDEX('Room Info'!$A$2:$A2446, MATCH(B1396,'Room Info'!$D$2:$D2446, 0)),IF(G1396='Room Info'!$E$1, INDEX('Room Info'!$A$2:$A2446, MATCH(B1396,'Room Info'!$E$2:$E2446, 0)),IF(G1396='Room Info'!$F$1, INDEX('Room Info'!$A$2:$A2446, MATCH(B1396,'Room Info'!$F$2:$F2446, 0)),IF(G1396='Room Info'!$H$1, INDEX('Room Info'!$A$2:$A2446, MATCH(B1396,'Room Info'!$H$2:$H2446, 0)),IF(G1396='Room Info'!$G$1, INDEX('Room Info'!$A$2:$A2446, MATCH(B1396,'Room Info'!$G$2:$G2446, 0)))))))))</f>
        <v>guilexperi</v>
      </c>
      <c r="B1396" s="45" t="s">
        <v>208</v>
      </c>
      <c r="C1396" s="46">
        <v>44916</v>
      </c>
      <c r="D1396" s="46">
        <v>44921</v>
      </c>
      <c r="E1396" s="47">
        <v>44896</v>
      </c>
      <c r="F1396" s="48" t="s">
        <v>49</v>
      </c>
      <c r="G1396" s="45" t="s">
        <v>35</v>
      </c>
      <c r="H1396" s="49" t="s">
        <v>142</v>
      </c>
      <c r="I1396" s="49" t="s">
        <v>37</v>
      </c>
      <c r="J1396" s="50">
        <v>500</v>
      </c>
      <c r="K1396" s="51">
        <v>88</v>
      </c>
      <c r="L1396" s="52">
        <v>3500</v>
      </c>
      <c r="M1396" s="53">
        <v>7555</v>
      </c>
      <c r="N1396" s="28">
        <f>K1396*J1396</f>
        <v>44000</v>
      </c>
      <c r="O1396" s="54">
        <v>5239</v>
      </c>
      <c r="P1396" s="29">
        <v>59.534090910000003</v>
      </c>
      <c r="Q1396" s="55"/>
      <c r="R1396" s="31">
        <f>M1396+Q1396</f>
        <v>7555</v>
      </c>
      <c r="S1396" s="117">
        <v>2691</v>
      </c>
      <c r="T1396" s="32">
        <f>R1396+S1396+IF(F1396="Without EV deal",L1396,0)</f>
        <v>10246</v>
      </c>
      <c r="U1396" s="57"/>
      <c r="V1396" s="58"/>
      <c r="W1396" s="58"/>
      <c r="X1396" s="30" t="b">
        <f>IF(AF1396="DoEV",IF(AND(V1396&lt;20,W1396&lt;55),0.3,0)+IF(AND(V1396&lt;20,W1396&gt;=55,W1396&lt;105),0.23,0)+IF(AND(V1396&lt;20,W1396&gt;=105),0.17,0)+IF(AND(V1396&gt;=20,V1396&lt;40,W1396&lt;45),0.3,0)+IF(AND(V1396&gt;=20,V1396&lt;40,W1396&gt;=45,W1396&lt;95),0.23,0)+IF(AND(V1396&gt;=20,V1396&lt;40,W1396&gt;=95),0.17,0)+IF(AND(V1396&gt;=40,V1396&lt;75,W1396&lt;35),0.3,0)+IF(AND(V1396&gt;=40,V1396&lt;75,W1396&gt;=35,W1396&lt;75),0.23,0)+IF(AND(V1396&gt;=40,V1396&lt;75,W1396&gt;=75,W1396&lt;120),0.17,0)+IF(AND(V1396&gt;=40,V1396&lt;75,W1396&gt;=120),0.12,0)+IF(AND(V1396&gt;=75,V1396&lt;175,W1396&lt;35),0.3,0)+IF(AND(V1396&gt;=75,V1396&lt;=175,W1396&gt;=35,W1396&lt;65),0.23,0)+IF(AND(V1396&gt;=75,V1396&lt;=175,W1396&gt;=65,W1396&lt;110),0.17,0)+IF(AND(V1396&gt;=75,V1396&lt;=175,W1396&gt;=110),0.12,0)+IF(AND(V1396&gt;175,W1396&lt;25),0.3,0)+IF(AND(V1396&gt;175,W1396&gt;=25,W1396&lt;55),0.23,0)+IF(AND(V1396&gt;175,W1396&gt;=55,W1396&lt;95),0.17,0)+IF(AND(V1396&gt;175,W1396&gt;=95),0.12,0),
IF(AF1396="Fix15",0.15,
IF(AF1396="Fix18.75",0.1875,
IF(AF1396="Fix11.25",0.1125,
IF(AF1396="Fix10",0.1,
IF(AF1396="Fix9",0.09,
IF(AF1396="Fix19",0.19,
IF(AF1396="DoEV2017",IF(AND(W1396&lt;74),0.2,0)+IF(AND(W1396&gt;=74),0.17,0),
IF(AF1396="SF",IF(AND(V1396&lt;20,W1396&lt;89),0.3,0)+IF(AND(V1396&lt;20,W1396&gt;=89),0.25,0)+IF(AND(V1396&gt;=20,V1396&lt;40,W1396&lt;74),0.3,0)+IF(AND(V1396&gt;=20,V1396&lt;40,W1396&gt;=75),0.22,0)+IF(AND(V1396&gt;=40,V1396&lt;75,W1396&lt;75),0.26,0)+IF(AND(V1396&gt;=40,V1396&lt;75,W1396&gt;=75),0.22,0)+IF(V1396&gt;=75,0.22,0),
IF(AF1396="DoEVold",IF(AND(V1396&lt;40,W1396&lt;35),0.35,0)+IF(AND(V1396&lt;40,W1396&gt;=35,W1396&lt;75),0.25,0)+IF(AND(V1396&lt;40,W1396&gt;=75),0.17,0)+IF(AND(V1396&gt;=40,V1396&lt;75,W1396&lt;25),0.35,0)+IF(AND(V1396&gt;=40,V1396&lt;75,W1396&gt;=25,W1396&lt;65),0.25,0)+IF(AND(V1396&gt;=40,V1396&lt;75,W1396&gt;=65,W1396&lt;100),0.17,0)+IF(AND(V1396&gt;=40,V1396&lt;75,W1396&gt;=100),0.1,0)+IF(AND(V1396&gt;=75,W1396&lt;25),0.35,0)+IF(AND(V1396&gt;=75,W1396&gt;=25,W1396&lt;60),0.25,0)+IF(AND(V1396&gt;=75,W1396&gt;=60,W1396&lt;95),0.17,0)+IF(AND(V1396&gt;=75,W1396&gt;=95),0.1,0),
IF(AF1396="DoEVold15",IF(AND(V1396&lt;=40,W1396&lt;35),0.35,0)+IF(AND(V1396&lt;=40,W1396&gt;=35,W1396&lt;75),0.25,0)+IF(AND(V1396&lt;=40,W1396&gt;=75,W1396&lt;120),0.17,0)+IF(AND(V1396&lt;=40,W1396&gt;=120),0.15,0)+IF(AND(V1396&gt;40,V1396&lt;75,W1396&lt;25),0.35,0)+IF(AND(V1396&gt;=40,V1396&lt;75,W1396&gt;=25,W1396&lt;65),0.25,0)+IF(AND(V1396&gt;=40,V1396&lt;75,W1396&gt;=65,W1396&lt;100),0.17,0)+IF(AND(V1396&gt;=40,V1396&lt;75,W1396&gt;=100),0.1,0)+IF(AND(V1396&gt;=75,W1396&lt;25),0.35,0)+IF(AND(V1396&gt;=75,W1396&gt;=25,W1396&lt;60),0.25,0)+IF(AND(V1396&gt;=75,W1396&gt;=60,W1396&lt;95),0.17,0)+IF(AND(V1396&gt;=75,W1396&gt;=95),0.1,0),
IF(AF1396="DoEVba",IF(AND(V1396&lt;20,W1396&lt;105),0.2,0)+IF(AND(V1396&lt;20,W1396&gt;=105),0.15,0)+IF(AND(V1396&gt;=20,V1396&lt;40,W1396&lt;95),0.2,0)+IF(AND(V1396&gt;=20,V1396&lt;40,W1396&gt;=95,W1396&lt;150),0.15,0)+IF(AND(V1396&gt;=20,V1396&lt;40,W1396&gt;=150),0.12,0)+IF(AND(V1396&gt;=40,V1396&lt;75,W1396&lt;75),0.2,0)+IF(AND(V1396&gt;=40,V1396&lt;75,W1396&gt;=75,W1396&lt;120),0.15,0)+IF(AND(V1396&gt;=40,V1396&lt;75,W1396&gt;=120),0.12,0)+IF(AND(V1396&gt;=75,V1396&lt;175,W1396&lt;65),0.2,0)+IF(AND(V1396&gt;=75,V1396&lt;175,W1396&gt;=65,W1396&lt;110),0.15,0)+IF(AND(V1396&gt;=75,V1396&lt;175,W1396&gt;=110),0.12,0)+IF(AND(V1396&gt;=175,W1396&lt;55),0.2,0)+IF(AND(V1396&gt;=175,W1396&gt;=55,W1396&lt;95),0.15,0)+IF(AND(V1396&gt;=175,W1396&gt;=95),0.12,0),
IF(AF1396="DoEVku",IF(AND(V1396&lt;20,W1396&lt;55),0.23,0)+IF(AND(V1396&lt;20,W1396&gt;=55,W1396&lt;105),0.2,0)+IF(AND(V1396&lt;20,W1396&gt;=105),0.17,0)+IF(AND(V1396&gt;=20,V1396&lt;40,W1396&lt;45),0.23,0)+IF(AND(V1396&gt;=20,V1396&lt;40,W1396&gt;=45,W1396&lt;95),0.2,0)+IF(AND(V1396&gt;=20,V1396&lt;40,W1396&gt;=95,W1396&lt;=150),0.17,0)+IF(AND(V1396&gt;=20,V1396&lt;40,W1396&gt;=150),0.12,0)+IF(AND(V1396&gt;=40,V1396&lt;75,W1396&lt;35),0.23,0)+IF(AND(V1396&gt;=40,V1396&lt;75,W1396&gt;=35,W1396&lt;75),0.2,0)+IF(AND(V1396&gt;=40,V1396&lt;75,W1396&gt;=75,W1396&lt;120),0.17,0)+IF(AND(V1396&gt;=40,V1396&lt;75,W1396&gt;=120),0.12,0)+IF(AND(V1396&gt;=75,V1396&lt;175,W1396&lt;35),0.23,0)+IF(AND(V1396&gt;=75,V1396&lt;=175,W1396&gt;=35,W1396&lt;65),0.2,0)+IF(AND(V1396&gt;=75,V1396&lt;=175,W1396&gt;=65,W1396&lt;110),0.17,0)+IF(AND(V1396&gt;=75,V1396&lt;=175,W1396&gt;=110),0.12,0)+IF(AND(V1396&gt;175,W1396&lt;25),0.23,0)+IF(AND(V1396&gt;175,W1396&gt;=25,W1396&lt;55),0.2,0)+IF(AND(V1396&gt;175,W1396&gt;=55,W1396&lt;95),0.17,0)+IF(AND(V1396&gt;175,W1396&gt;=95),0.12,0),
IF(AF1396="DoEVs1",IF(AND(V1396&lt;20,W1396&lt;55),0.3,0)+IF(AND(V1396&lt;20,W1396&gt;=55,W1396&lt;105),0.23,0)+IF(AND(V1396&lt;20,W1396&gt;=105),0.17,0)+IF(AND(V1396&gt;=20,V1396&lt;40,W1396&lt;45),0.3,0)+IF(AND(V1396&gt;=20,V1396&lt;40,W1396&gt;=45,W1396&lt;95),0.23,0)+IF(AND(V1396&gt;=20,V1396&lt;40,W1396&gt;=95,W1396&lt;=150),0.17,0)+IF(AND(V1396&gt;=20,V1396&lt;40,W1396&gt;=150),0.12,0)+IF(AND(V1396&gt;=40,V1396&lt;75,W1396&lt;35),0.3,0)+IF(AND(V1396&gt;=40,V1396&lt;75,W1396&gt;=35,W1396&lt;75),0.23,0)+IF(AND(V1396&gt;=40,V1396&lt;75,W1396&gt;=75,W1396&lt;120),0.17,0)+IF(AND(V1396&gt;=40,V1396&lt;75,W1396&gt;=120),0.12,0)+IF(AND(V1396&gt;=75,V1396&lt;175,W1396&lt;35),0.3,0)+IF(AND(V1396&gt;=75,V1396&lt;=175,W1396&gt;=35,W1396&lt;65),0.23,0)+IF(AND(V1396&gt;=75,V1396&lt;=175,W1396&gt;=65,W1396&lt;110),0.17,0)+IF(AND(V1396&gt;=75,V1396&lt;=175,W1396&gt;=110),0.12,0)+IF(AND(V1396&gt;175,W1396&lt;25),0.3,0)+IF(AND(V1396&gt;175,W1396&gt;=25,W1396&lt;55),0.23,0)+IF(AND(V1396&gt;175,W1396&gt;=55,W1396&lt;95),0.17,0)+IF(AND(V1396&gt;175,W1396&gt;=95),0.12,0),
IF(AF1396="DoEVsu",IF(AND(V1396&lt;20,W1396&lt;55),0.3,0)+IF(AND(V1396&lt;20,W1396&gt;=55,W1396&lt;105),0.23,0)+IF(AND(V1396&lt;20,W1396&gt;=105),0.17,0)+IF(AND(V1396&gt;=20,V1396&lt;40,W1396&lt;45),0.3,0)+IF(AND(V1396&gt;=20,V1396&lt;40,W1396&gt;=45,W1396&lt;95),0.23,0)+IF(AND(V1396&gt;=20,V1396&lt;40,W1396&gt;=95,W1396&lt;=250),0.17,0)+IF(AND(V1396&gt;=20,V1396&lt;40,W1396&gt;=250),0.12,0)+IF(AND(V1396&gt;=40,V1396&lt;75,W1396&lt;35),0.3,0)+IF(AND(V1396&gt;=40,V1396&lt;75,W1396&gt;=35,W1396&lt;75),0.23,0)+IF(AND(V1396&gt;=40,V1396&lt;75,W1396&gt;=75,W1396&lt;120),0.17,0)+IF(AND(V1396&gt;=40,V1396&lt;75,W1396&gt;=120),0.12,0)+IF(AND(V1396&gt;=75,V1396&lt;175,W1396&lt;35),0.3,0)+IF(AND(V1396&gt;=75,V1396&lt;=175,W1396&gt;=35,W1396&lt;65),0.23,0)+IF(AND(V1396&gt;=75,V1396&lt;=175,W1396&gt;=65,W1396&lt;110),0.17,0)+IF(AND(V1396&gt;=75,V1396&lt;=175,W1396&gt;=110),0.12,0)+IF(AND(V1396&gt;175,W1396&lt;25),0.3,0)+IF(AND(V1396&gt;175,W1396&gt;=25,W1396&lt;55),0.23,0)+IF(AND(V1396&gt;175,W1396&gt;=55,W1396&lt;95),0.17,0)+IF(AND(V1396&gt;175,W1396&gt;=95),0.12,0),
IF(AF1396="DoEVni",IF(AND(V1396&lt;20,W1396&lt;55),0.3,0)+IF(AND(V1396&lt;20,W1396&gt;=55,W1396&lt;105),0.23,0)+IF(AND(V1396&lt;20,W1396&gt;=105),0.17,0)+IF(AND(V1396&gt;=20,V1396&lt;40,W1396&lt;45),0.3,0)+IF(AND(V1396&gt;=20,V1396&lt;40,W1396&gt;=45,W1396&lt;95),0.23,0)+IF(AND(V1396&gt;=20,V1396&lt;40,W1396&gt;=95,W1396&lt;=200),0.17,0)+IF(AND(V1396&gt;=20,V1396&lt;40,W1396&gt;=200),0.12,0)+IF(AND(V1396&gt;=40,V1396&lt;75,W1396&lt;35),0.3,0)+IF(AND(V1396&gt;=40,V1396&lt;75,W1396&gt;=35,W1396&lt;75),0.23,0)+IF(AND(V1396&gt;=40,V1396&lt;75,W1396&gt;=75,W1396&lt;120),0.17,0)+IF(AND(V1396&gt;=40,V1396&lt;75,W1396&gt;=120),0.12,0)+IF(AND(V1396&gt;=75,V1396&lt;175,W1396&lt;35),0.3,0)+IF(AND(V1396&gt;=75,V1396&lt;=175,W1396&gt;=35,W1396&lt;65),0.23,0)+IF(AND(V1396&gt;=75,V1396&lt;=175,W1396&gt;=65,W1396&lt;110),0.17,0)+IF(AND(V1396&gt;=75,V1396&lt;=175,W1396&gt;=110),0.12,0)+IF(AND(V1396&gt;175,W1396&lt;25),0.3,0)+IF(AND(V1396&gt;175,W1396&gt;=25,W1396&lt;55),0.23,0)+IF(AND(V1396&gt;175,W1396&gt;=55,W1396&lt;95),0.17,0)+IF(AND(V1396&gt;175,W1396&gt;=95),0.12,0),
IF(AF1396="DoEVLo",IF(AND(V1396&lt;20,W1396&lt;55),0.25,0)+IF(AND(V1396&lt;20,W1396&gt;=55,W1396&lt;105),0.2,0)+IF(AND(V1396&lt;20,W1396&gt;=105),0.15,0)+IF(AND(V1396&gt;=20,V1396&lt;40,W1396&lt;45),0.25,0)+IF(AND(V1396&gt;=20,V1396&lt;40,W1396&gt;=45,W1396&lt;95),0.2,0)+IF(AND(V1396&gt;=20,V1396&lt;40,W1396&gt;=95),0.15,0)+IF(AND(V1396&gt;=40,V1396&lt;75,W1396&lt;35),0.25,0)+IF(AND(V1396&gt;=40,V1396&lt;75,W1396&gt;=35,W1396&lt;75),0.2,0)+IF(AND(V1396&gt;=40,V1396&lt;75,W1396&gt;=75,W1396&lt;120),0.15,0)+IF(AND(V1396&gt;=40,V1396&lt;75,W1396&gt;=120),0.1,0)+IF(AND(V1396&gt;=75,V1396&lt;175,W1396&lt;35),0.25,0)+IF(AND(V1396&gt;=75,V1396&lt;=175,W1396&gt;=35,W1396&lt;65),0.2,0)+IF(AND(V1396&gt;=75,V1396&lt;=175,W1396&gt;=65,W1396&lt;110),0.15,0)+IF(AND(V1396&gt;=75,V1396&lt;=175,W1396&gt;=110),0.1,0)+IF(AND(V1396&gt;175,W1396&lt;25),0.25,0)+IF(AND(V1396&gt;175,W1396&gt;=25,W1396&lt;55),0.2,0)+IF(AND(V1396&gt;175,W1396&gt;=55,W1396&lt;95),0.15,0)+IF(AND(V1396&gt;175,W1396&gt;=95),0.1,0))))))))))))))))))</f>
        <v>0</v>
      </c>
      <c r="Y1396" s="78">
        <v>0.22</v>
      </c>
      <c r="Z1396" s="35">
        <f>T1396-AA1396-AB1396</f>
        <v>7991.88</v>
      </c>
      <c r="AA1396" s="29">
        <f>IF(AD1396="EUR",((T1396-R1396)*X1396)*U1396+(R1396*X1396),(T1396*X1396))</f>
        <v>0</v>
      </c>
      <c r="AB1396" s="36">
        <f>IF(AD1396="EUR",((T1396-R1396)*Y1396)*U1396+(R1396*Y1396),(T1396*Y1396))</f>
        <v>2254.12</v>
      </c>
      <c r="AC1396" s="61" t="b">
        <v>1</v>
      </c>
      <c r="AD1396" s="37" t="s">
        <v>38</v>
      </c>
      <c r="AE1396" s="37" t="s">
        <v>38</v>
      </c>
      <c r="AF1396" s="37" t="str">
        <f t="array" ref="AF1396">INDEX('Deal Info'!D:D, MATCH(A1396,'Deal Info'!A:A, 0))</f>
        <v>None</v>
      </c>
      <c r="AG1396" s="38" t="str">
        <f t="array" ref="AG1396">INDEX('Deal Info'!G:G, MATCH(A1396,'Deal Info'!A:A, 0))</f>
        <v>guilexperi</v>
      </c>
    </row>
    <row r="1397" spans="1:33" ht="14.25" hidden="1" x14ac:dyDescent="0.2">
      <c r="A1397" s="18" t="str">
        <f t="array" ref="A1397">IF(G1397='Room Info'!$B$1, INDEX('Room Info'!$A$2:$A2446, MATCH(B1397,'Room Info'!$B$2:$B2446, 0)),IF(G1397='Room Info'!$C$1, INDEX('Room Info'!$A$2:$A2446, MATCH(B1397,'Room Info'!$C$2:$C2446, 0)),IF(G1397='Room Info'!$D$1, INDEX('Room Info'!$A$2:$A2446, MATCH(B1397,'Room Info'!$D$2:$D2446, 0)),IF(G1397='Room Info'!$E$1, INDEX('Room Info'!$A$2:$A2446, MATCH(B1397,'Room Info'!$E$2:$E2446, 0)),IF(G1397='Room Info'!$F$1, INDEX('Room Info'!$A$2:$A2446, MATCH(B1397,'Room Info'!$F$2:$F2446, 0)),IF(G1397='Room Info'!$H$1, INDEX('Room Info'!$A$2:$A2446, MATCH(B1397,'Room Info'!$H$2:$H2446, 0)),IF(G1397='Room Info'!$G$1, INDEX('Room Info'!$A$2:$A2446, MATCH(B1397,'Room Info'!$G$2:$G2446, 0)))))))))</f>
        <v>guilexperi</v>
      </c>
      <c r="B1397" s="45" t="s">
        <v>208</v>
      </c>
      <c r="C1397" s="46">
        <v>44916</v>
      </c>
      <c r="D1397" s="46">
        <v>44921</v>
      </c>
      <c r="E1397" s="47">
        <v>44896</v>
      </c>
      <c r="F1397" s="48" t="s">
        <v>49</v>
      </c>
      <c r="G1397" s="45" t="s">
        <v>35</v>
      </c>
      <c r="H1397" s="49" t="s">
        <v>210</v>
      </c>
      <c r="I1397" s="49" t="s">
        <v>174</v>
      </c>
      <c r="J1397" s="50">
        <v>500</v>
      </c>
      <c r="K1397" s="51">
        <v>10</v>
      </c>
      <c r="L1397" s="52">
        <v>-3027</v>
      </c>
      <c r="M1397" s="53">
        <v>229</v>
      </c>
      <c r="N1397" s="28">
        <f>K1397*J1397</f>
        <v>5000</v>
      </c>
      <c r="O1397" s="54">
        <v>-1823</v>
      </c>
      <c r="P1397" s="29">
        <v>-182.3</v>
      </c>
      <c r="Q1397" s="55"/>
      <c r="R1397" s="31">
        <f>M1397+Q1397</f>
        <v>229</v>
      </c>
      <c r="S1397" s="117">
        <v>-1865</v>
      </c>
      <c r="T1397" s="32">
        <f>R1397+S1397+IF(F1397="Without EV deal",L1397,0)</f>
        <v>-1636</v>
      </c>
      <c r="U1397" s="57"/>
      <c r="V1397" s="58"/>
      <c r="W1397" s="58"/>
      <c r="X1397" s="30" t="b">
        <f>IF(AF1397="DoEV",IF(AND(V1397&lt;20,W1397&lt;55),0.3,0)+IF(AND(V1397&lt;20,W1397&gt;=55,W1397&lt;105),0.23,0)+IF(AND(V1397&lt;20,W1397&gt;=105),0.17,0)+IF(AND(V1397&gt;=20,V1397&lt;40,W1397&lt;45),0.3,0)+IF(AND(V1397&gt;=20,V1397&lt;40,W1397&gt;=45,W1397&lt;95),0.23,0)+IF(AND(V1397&gt;=20,V1397&lt;40,W1397&gt;=95),0.17,0)+IF(AND(V1397&gt;=40,V1397&lt;75,W1397&lt;35),0.3,0)+IF(AND(V1397&gt;=40,V1397&lt;75,W1397&gt;=35,W1397&lt;75),0.23,0)+IF(AND(V1397&gt;=40,V1397&lt;75,W1397&gt;=75,W1397&lt;120),0.17,0)+IF(AND(V1397&gt;=40,V1397&lt;75,W1397&gt;=120),0.12,0)+IF(AND(V1397&gt;=75,V1397&lt;175,W1397&lt;35),0.3,0)+IF(AND(V1397&gt;=75,V1397&lt;=175,W1397&gt;=35,W1397&lt;65),0.23,0)+IF(AND(V1397&gt;=75,V1397&lt;=175,W1397&gt;=65,W1397&lt;110),0.17,0)+IF(AND(V1397&gt;=75,V1397&lt;=175,W1397&gt;=110),0.12,0)+IF(AND(V1397&gt;175,W1397&lt;25),0.3,0)+IF(AND(V1397&gt;175,W1397&gt;=25,W1397&lt;55),0.23,0)+IF(AND(V1397&gt;175,W1397&gt;=55,W1397&lt;95),0.17,0)+IF(AND(V1397&gt;175,W1397&gt;=95),0.12,0),
IF(AF1397="Fix15",0.15,
IF(AF1397="Fix18.75",0.1875,
IF(AF1397="Fix11.25",0.1125,
IF(AF1397="Fix10",0.1,
IF(AF1397="Fix9",0.09,
IF(AF1397="Fix19",0.19,
IF(AF1397="DoEV2017",IF(AND(W1397&lt;74),0.2,0)+IF(AND(W1397&gt;=74),0.17,0),
IF(AF1397="SF",IF(AND(V1397&lt;20,W1397&lt;89),0.3,0)+IF(AND(V1397&lt;20,W1397&gt;=89),0.25,0)+IF(AND(V1397&gt;=20,V1397&lt;40,W1397&lt;74),0.3,0)+IF(AND(V1397&gt;=20,V1397&lt;40,W1397&gt;=75),0.22,0)+IF(AND(V1397&gt;=40,V1397&lt;75,W1397&lt;75),0.26,0)+IF(AND(V1397&gt;=40,V1397&lt;75,W1397&gt;=75),0.22,0)+IF(V1397&gt;=75,0.22,0),
IF(AF1397="DoEVold",IF(AND(V1397&lt;40,W1397&lt;35),0.35,0)+IF(AND(V1397&lt;40,W1397&gt;=35,W1397&lt;75),0.25,0)+IF(AND(V1397&lt;40,W1397&gt;=75),0.17,0)+IF(AND(V1397&gt;=40,V1397&lt;75,W1397&lt;25),0.35,0)+IF(AND(V1397&gt;=40,V1397&lt;75,W1397&gt;=25,W1397&lt;65),0.25,0)+IF(AND(V1397&gt;=40,V1397&lt;75,W1397&gt;=65,W1397&lt;100),0.17,0)+IF(AND(V1397&gt;=40,V1397&lt;75,W1397&gt;=100),0.1,0)+IF(AND(V1397&gt;=75,W1397&lt;25),0.35,0)+IF(AND(V1397&gt;=75,W1397&gt;=25,W1397&lt;60),0.25,0)+IF(AND(V1397&gt;=75,W1397&gt;=60,W1397&lt;95),0.17,0)+IF(AND(V1397&gt;=75,W1397&gt;=95),0.1,0),
IF(AF1397="DoEVold15",IF(AND(V1397&lt;=40,W1397&lt;35),0.35,0)+IF(AND(V1397&lt;=40,W1397&gt;=35,W1397&lt;75),0.25,0)+IF(AND(V1397&lt;=40,W1397&gt;=75,W1397&lt;120),0.17,0)+IF(AND(V1397&lt;=40,W1397&gt;=120),0.15,0)+IF(AND(V1397&gt;40,V1397&lt;75,W1397&lt;25),0.35,0)+IF(AND(V1397&gt;=40,V1397&lt;75,W1397&gt;=25,W1397&lt;65),0.25,0)+IF(AND(V1397&gt;=40,V1397&lt;75,W1397&gt;=65,W1397&lt;100),0.17,0)+IF(AND(V1397&gt;=40,V1397&lt;75,W1397&gt;=100),0.1,0)+IF(AND(V1397&gt;=75,W1397&lt;25),0.35,0)+IF(AND(V1397&gt;=75,W1397&gt;=25,W1397&lt;60),0.25,0)+IF(AND(V1397&gt;=75,W1397&gt;=60,W1397&lt;95),0.17,0)+IF(AND(V1397&gt;=75,W1397&gt;=95),0.1,0),
IF(AF1397="DoEVba",IF(AND(V1397&lt;20,W1397&lt;105),0.2,0)+IF(AND(V1397&lt;20,W1397&gt;=105),0.15,0)+IF(AND(V1397&gt;=20,V1397&lt;40,W1397&lt;95),0.2,0)+IF(AND(V1397&gt;=20,V1397&lt;40,W1397&gt;=95,W1397&lt;150),0.15,0)+IF(AND(V1397&gt;=20,V1397&lt;40,W1397&gt;=150),0.12,0)+IF(AND(V1397&gt;=40,V1397&lt;75,W1397&lt;75),0.2,0)+IF(AND(V1397&gt;=40,V1397&lt;75,W1397&gt;=75,W1397&lt;120),0.15,0)+IF(AND(V1397&gt;=40,V1397&lt;75,W1397&gt;=120),0.12,0)+IF(AND(V1397&gt;=75,V1397&lt;175,W1397&lt;65),0.2,0)+IF(AND(V1397&gt;=75,V1397&lt;175,W1397&gt;=65,W1397&lt;110),0.15,0)+IF(AND(V1397&gt;=75,V1397&lt;175,W1397&gt;=110),0.12,0)+IF(AND(V1397&gt;=175,W1397&lt;55),0.2,0)+IF(AND(V1397&gt;=175,W1397&gt;=55,W1397&lt;95),0.15,0)+IF(AND(V1397&gt;=175,W1397&gt;=95),0.12,0),
IF(AF1397="DoEVku",IF(AND(V1397&lt;20,W1397&lt;55),0.23,0)+IF(AND(V1397&lt;20,W1397&gt;=55,W1397&lt;105),0.2,0)+IF(AND(V1397&lt;20,W1397&gt;=105),0.17,0)+IF(AND(V1397&gt;=20,V1397&lt;40,W1397&lt;45),0.23,0)+IF(AND(V1397&gt;=20,V1397&lt;40,W1397&gt;=45,W1397&lt;95),0.2,0)+IF(AND(V1397&gt;=20,V1397&lt;40,W1397&gt;=95,W1397&lt;=150),0.17,0)+IF(AND(V1397&gt;=20,V1397&lt;40,W1397&gt;=150),0.12,0)+IF(AND(V1397&gt;=40,V1397&lt;75,W1397&lt;35),0.23,0)+IF(AND(V1397&gt;=40,V1397&lt;75,W1397&gt;=35,W1397&lt;75),0.2,0)+IF(AND(V1397&gt;=40,V1397&lt;75,W1397&gt;=75,W1397&lt;120),0.17,0)+IF(AND(V1397&gt;=40,V1397&lt;75,W1397&gt;=120),0.12,0)+IF(AND(V1397&gt;=75,V1397&lt;175,W1397&lt;35),0.23,0)+IF(AND(V1397&gt;=75,V1397&lt;=175,W1397&gt;=35,W1397&lt;65),0.2,0)+IF(AND(V1397&gt;=75,V1397&lt;=175,W1397&gt;=65,W1397&lt;110),0.17,0)+IF(AND(V1397&gt;=75,V1397&lt;=175,W1397&gt;=110),0.12,0)+IF(AND(V1397&gt;175,W1397&lt;25),0.23,0)+IF(AND(V1397&gt;175,W1397&gt;=25,W1397&lt;55),0.2,0)+IF(AND(V1397&gt;175,W1397&gt;=55,W1397&lt;95),0.17,0)+IF(AND(V1397&gt;175,W1397&gt;=95),0.12,0),
IF(AF1397="DoEVs1",IF(AND(V1397&lt;20,W1397&lt;55),0.3,0)+IF(AND(V1397&lt;20,W1397&gt;=55,W1397&lt;105),0.23,0)+IF(AND(V1397&lt;20,W1397&gt;=105),0.17,0)+IF(AND(V1397&gt;=20,V1397&lt;40,W1397&lt;45),0.3,0)+IF(AND(V1397&gt;=20,V1397&lt;40,W1397&gt;=45,W1397&lt;95),0.23,0)+IF(AND(V1397&gt;=20,V1397&lt;40,W1397&gt;=95,W1397&lt;=150),0.17,0)+IF(AND(V1397&gt;=20,V1397&lt;40,W1397&gt;=150),0.12,0)+IF(AND(V1397&gt;=40,V1397&lt;75,W1397&lt;35),0.3,0)+IF(AND(V1397&gt;=40,V1397&lt;75,W1397&gt;=35,W1397&lt;75),0.23,0)+IF(AND(V1397&gt;=40,V1397&lt;75,W1397&gt;=75,W1397&lt;120),0.17,0)+IF(AND(V1397&gt;=40,V1397&lt;75,W1397&gt;=120),0.12,0)+IF(AND(V1397&gt;=75,V1397&lt;175,W1397&lt;35),0.3,0)+IF(AND(V1397&gt;=75,V1397&lt;=175,W1397&gt;=35,W1397&lt;65),0.23,0)+IF(AND(V1397&gt;=75,V1397&lt;=175,W1397&gt;=65,W1397&lt;110),0.17,0)+IF(AND(V1397&gt;=75,V1397&lt;=175,W1397&gt;=110),0.12,0)+IF(AND(V1397&gt;175,W1397&lt;25),0.3,0)+IF(AND(V1397&gt;175,W1397&gt;=25,W1397&lt;55),0.23,0)+IF(AND(V1397&gt;175,W1397&gt;=55,W1397&lt;95),0.17,0)+IF(AND(V1397&gt;175,W1397&gt;=95),0.12,0),
IF(AF1397="DoEVsu",IF(AND(V1397&lt;20,W1397&lt;55),0.3,0)+IF(AND(V1397&lt;20,W1397&gt;=55,W1397&lt;105),0.23,0)+IF(AND(V1397&lt;20,W1397&gt;=105),0.17,0)+IF(AND(V1397&gt;=20,V1397&lt;40,W1397&lt;45),0.3,0)+IF(AND(V1397&gt;=20,V1397&lt;40,W1397&gt;=45,W1397&lt;95),0.23,0)+IF(AND(V1397&gt;=20,V1397&lt;40,W1397&gt;=95,W1397&lt;=250),0.17,0)+IF(AND(V1397&gt;=20,V1397&lt;40,W1397&gt;=250),0.12,0)+IF(AND(V1397&gt;=40,V1397&lt;75,W1397&lt;35),0.3,0)+IF(AND(V1397&gt;=40,V1397&lt;75,W1397&gt;=35,W1397&lt;75),0.23,0)+IF(AND(V1397&gt;=40,V1397&lt;75,W1397&gt;=75,W1397&lt;120),0.17,0)+IF(AND(V1397&gt;=40,V1397&lt;75,W1397&gt;=120),0.12,0)+IF(AND(V1397&gt;=75,V1397&lt;175,W1397&lt;35),0.3,0)+IF(AND(V1397&gt;=75,V1397&lt;=175,W1397&gt;=35,W1397&lt;65),0.23,0)+IF(AND(V1397&gt;=75,V1397&lt;=175,W1397&gt;=65,W1397&lt;110),0.17,0)+IF(AND(V1397&gt;=75,V1397&lt;=175,W1397&gt;=110),0.12,0)+IF(AND(V1397&gt;175,W1397&lt;25),0.3,0)+IF(AND(V1397&gt;175,W1397&gt;=25,W1397&lt;55),0.23,0)+IF(AND(V1397&gt;175,W1397&gt;=55,W1397&lt;95),0.17,0)+IF(AND(V1397&gt;175,W1397&gt;=95),0.12,0),
IF(AF1397="DoEVni",IF(AND(V1397&lt;20,W1397&lt;55),0.3,0)+IF(AND(V1397&lt;20,W1397&gt;=55,W1397&lt;105),0.23,0)+IF(AND(V1397&lt;20,W1397&gt;=105),0.17,0)+IF(AND(V1397&gt;=20,V1397&lt;40,W1397&lt;45),0.3,0)+IF(AND(V1397&gt;=20,V1397&lt;40,W1397&gt;=45,W1397&lt;95),0.23,0)+IF(AND(V1397&gt;=20,V1397&lt;40,W1397&gt;=95,W1397&lt;=200),0.17,0)+IF(AND(V1397&gt;=20,V1397&lt;40,W1397&gt;=200),0.12,0)+IF(AND(V1397&gt;=40,V1397&lt;75,W1397&lt;35),0.3,0)+IF(AND(V1397&gt;=40,V1397&lt;75,W1397&gt;=35,W1397&lt;75),0.23,0)+IF(AND(V1397&gt;=40,V1397&lt;75,W1397&gt;=75,W1397&lt;120),0.17,0)+IF(AND(V1397&gt;=40,V1397&lt;75,W1397&gt;=120),0.12,0)+IF(AND(V1397&gt;=75,V1397&lt;175,W1397&lt;35),0.3,0)+IF(AND(V1397&gt;=75,V1397&lt;=175,W1397&gt;=35,W1397&lt;65),0.23,0)+IF(AND(V1397&gt;=75,V1397&lt;=175,W1397&gt;=65,W1397&lt;110),0.17,0)+IF(AND(V1397&gt;=75,V1397&lt;=175,W1397&gt;=110),0.12,0)+IF(AND(V1397&gt;175,W1397&lt;25),0.3,0)+IF(AND(V1397&gt;175,W1397&gt;=25,W1397&lt;55),0.23,0)+IF(AND(V1397&gt;175,W1397&gt;=55,W1397&lt;95),0.17,0)+IF(AND(V1397&gt;175,W1397&gt;=95),0.12,0),
IF(AF1397="DoEVLo",IF(AND(V1397&lt;20,W1397&lt;55),0.25,0)+IF(AND(V1397&lt;20,W1397&gt;=55,W1397&lt;105),0.2,0)+IF(AND(V1397&lt;20,W1397&gt;=105),0.15,0)+IF(AND(V1397&gt;=20,V1397&lt;40,W1397&lt;45),0.25,0)+IF(AND(V1397&gt;=20,V1397&lt;40,W1397&gt;=45,W1397&lt;95),0.2,0)+IF(AND(V1397&gt;=20,V1397&lt;40,W1397&gt;=95),0.15,0)+IF(AND(V1397&gt;=40,V1397&lt;75,W1397&lt;35),0.25,0)+IF(AND(V1397&gt;=40,V1397&lt;75,W1397&gt;=35,W1397&lt;75),0.2,0)+IF(AND(V1397&gt;=40,V1397&lt;75,W1397&gt;=75,W1397&lt;120),0.15,0)+IF(AND(V1397&gt;=40,V1397&lt;75,W1397&gt;=120),0.1,0)+IF(AND(V1397&gt;=75,V1397&lt;175,W1397&lt;35),0.25,0)+IF(AND(V1397&gt;=75,V1397&lt;=175,W1397&gt;=35,W1397&lt;65),0.2,0)+IF(AND(V1397&gt;=75,V1397&lt;=175,W1397&gt;=65,W1397&lt;110),0.15,0)+IF(AND(V1397&gt;=75,V1397&lt;=175,W1397&gt;=110),0.1,0)+IF(AND(V1397&gt;175,W1397&lt;25),0.25,0)+IF(AND(V1397&gt;175,W1397&gt;=25,W1397&lt;55),0.2,0)+IF(AND(V1397&gt;175,W1397&gt;=55,W1397&lt;95),0.15,0)+IF(AND(V1397&gt;175,W1397&gt;=95),0.1,0))))))))))))))))))</f>
        <v>0</v>
      </c>
      <c r="Y1397" s="78">
        <v>0.22</v>
      </c>
      <c r="Z1397" s="35">
        <f>T1397-AA1397-AB1397</f>
        <v>-1276.08</v>
      </c>
      <c r="AA1397" s="29">
        <f>IF(AD1397="EUR",((T1397-R1397)*X1397)*U1397+(R1397*X1397),(T1397*X1397))</f>
        <v>0</v>
      </c>
      <c r="AB1397" s="36">
        <f>IF(AD1397="EUR",((T1397-R1397)*Y1397)*U1397+(R1397*Y1397),(T1397*Y1397))</f>
        <v>-359.92</v>
      </c>
      <c r="AC1397" s="61" t="b">
        <v>1</v>
      </c>
      <c r="AD1397" s="37" t="s">
        <v>38</v>
      </c>
      <c r="AE1397" s="37" t="s">
        <v>38</v>
      </c>
      <c r="AF1397" s="37" t="str">
        <f t="array" ref="AF1397">INDEX('Deal Info'!D:D, MATCH(A1397,'Deal Info'!A:A, 0))</f>
        <v>None</v>
      </c>
      <c r="AG1397" s="38" t="str">
        <f t="array" ref="AG1397">INDEX('Deal Info'!G:G, MATCH(A1397,'Deal Info'!A:A, 0))</f>
        <v>guilexperi</v>
      </c>
    </row>
    <row r="1398" spans="1:33" ht="14.25" hidden="1" x14ac:dyDescent="0.2">
      <c r="A1398" s="18" t="str">
        <f t="array" ref="A1398">IF(G1398='Room Info'!$B$1, INDEX('Room Info'!$A$2:$A2446, MATCH(B1398,'Room Info'!$B$2:$B2446, 0)),IF(G1398='Room Info'!$C$1, INDEX('Room Info'!$A$2:$A2446, MATCH(B1398,'Room Info'!$C$2:$C2446, 0)),IF(G1398='Room Info'!$D$1, INDEX('Room Info'!$A$2:$A2446, MATCH(B1398,'Room Info'!$D$2:$D2446, 0)),IF(G1398='Room Info'!$E$1, INDEX('Room Info'!$A$2:$A2446, MATCH(B1398,'Room Info'!$E$2:$E2446, 0)),IF(G1398='Room Info'!$F$1, INDEX('Room Info'!$A$2:$A2446, MATCH(B1398,'Room Info'!$F$2:$F2446, 0)),IF(G1398='Room Info'!$H$1, INDEX('Room Info'!$A$2:$A2446, MATCH(B1398,'Room Info'!$H$2:$H2446, 0)),IF(G1398='Room Info'!$G$1, INDEX('Room Info'!$A$2:$A2446, MATCH(B1398,'Room Info'!$G$2:$G2446, 0)))))))))</f>
        <v>guilexperi</v>
      </c>
      <c r="B1398" s="45" t="s">
        <v>208</v>
      </c>
      <c r="C1398" s="46">
        <v>44922</v>
      </c>
      <c r="D1398" s="46">
        <v>44957</v>
      </c>
      <c r="E1398" s="47">
        <v>44927</v>
      </c>
      <c r="F1398" s="48" t="s">
        <v>49</v>
      </c>
      <c r="G1398" s="45" t="s">
        <v>35</v>
      </c>
      <c r="H1398" s="49" t="s">
        <v>209</v>
      </c>
      <c r="I1398" s="49" t="s">
        <v>174</v>
      </c>
      <c r="J1398" s="50">
        <v>1000</v>
      </c>
      <c r="K1398" s="51">
        <v>12</v>
      </c>
      <c r="L1398" s="52">
        <v>-134</v>
      </c>
      <c r="M1398" s="53">
        <v>73</v>
      </c>
      <c r="N1398" s="28">
        <f>K1398*J1398</f>
        <v>12000</v>
      </c>
      <c r="O1398" s="54">
        <v>-358</v>
      </c>
      <c r="P1398" s="29">
        <v>-29.833333329999999</v>
      </c>
      <c r="Q1398" s="55"/>
      <c r="R1398" s="31">
        <f>M1398+Q1398</f>
        <v>73</v>
      </c>
      <c r="S1398" s="56">
        <v>-828</v>
      </c>
      <c r="T1398" s="32">
        <f>R1398+S1398+IF(F1398="Without EV deal",L1398,0)</f>
        <v>-755</v>
      </c>
      <c r="U1398" s="57"/>
      <c r="V1398" s="58"/>
      <c r="W1398" s="58"/>
      <c r="X1398" s="30" t="b">
        <f>IF(AF1398="DoEV",IF(AND(V1398&lt;20,W1398&lt;55),0.3,0)+IF(AND(V1398&lt;20,W1398&gt;=55,W1398&lt;105),0.23,0)+IF(AND(V1398&lt;20,W1398&gt;=105),0.17,0)+IF(AND(V1398&gt;=20,V1398&lt;40,W1398&lt;45),0.3,0)+IF(AND(V1398&gt;=20,V1398&lt;40,W1398&gt;=45,W1398&lt;95),0.23,0)+IF(AND(V1398&gt;=20,V1398&lt;40,W1398&gt;=95),0.17,0)+IF(AND(V1398&gt;=40,V1398&lt;75,W1398&lt;35),0.3,0)+IF(AND(V1398&gt;=40,V1398&lt;75,W1398&gt;=35,W1398&lt;75),0.23,0)+IF(AND(V1398&gt;=40,V1398&lt;75,W1398&gt;=75,W1398&lt;120),0.17,0)+IF(AND(V1398&gt;=40,V1398&lt;75,W1398&gt;=120),0.12,0)+IF(AND(V1398&gt;=75,V1398&lt;175,W1398&lt;35),0.3,0)+IF(AND(V1398&gt;=75,V1398&lt;=175,W1398&gt;=35,W1398&lt;65),0.23,0)+IF(AND(V1398&gt;=75,V1398&lt;=175,W1398&gt;=65,W1398&lt;110),0.17,0)+IF(AND(V1398&gt;=75,V1398&lt;=175,W1398&gt;=110),0.12,0)+IF(AND(V1398&gt;175,W1398&lt;25),0.3,0)+IF(AND(V1398&gt;175,W1398&gt;=25,W1398&lt;55),0.23,0)+IF(AND(V1398&gt;175,W1398&gt;=55,W1398&lt;95),0.17,0)+IF(AND(V1398&gt;175,W1398&gt;=95),0.12,0),
IF(AF1398="Fix15",0.15,
IF(AF1398="Fix18.75",0.1875,
IF(AF1398="Fix11.25",0.1125,
IF(AF1398="Fix10",0.1,
IF(AF1398="Fix9",0.09,
IF(AF1398="Fix19",0.19,
IF(AF1398="DoEV2017",IF(AND(W1398&lt;74),0.2,0)+IF(AND(W1398&gt;=74),0.17,0),
IF(AF1398="SF",IF(AND(V1398&lt;20,W1398&lt;89),0.3,0)+IF(AND(V1398&lt;20,W1398&gt;=89),0.25,0)+IF(AND(V1398&gt;=20,V1398&lt;40,W1398&lt;74),0.3,0)+IF(AND(V1398&gt;=20,V1398&lt;40,W1398&gt;=75),0.22,0)+IF(AND(V1398&gt;=40,V1398&lt;75,W1398&lt;75),0.26,0)+IF(AND(V1398&gt;=40,V1398&lt;75,W1398&gt;=75),0.22,0)+IF(V1398&gt;=75,0.22,0),
IF(AF1398="DoEVold",IF(AND(V1398&lt;40,W1398&lt;35),0.35,0)+IF(AND(V1398&lt;40,W1398&gt;=35,W1398&lt;75),0.25,0)+IF(AND(V1398&lt;40,W1398&gt;=75),0.17,0)+IF(AND(V1398&gt;=40,V1398&lt;75,W1398&lt;25),0.35,0)+IF(AND(V1398&gt;=40,V1398&lt;75,W1398&gt;=25,W1398&lt;65),0.25,0)+IF(AND(V1398&gt;=40,V1398&lt;75,W1398&gt;=65,W1398&lt;100),0.17,0)+IF(AND(V1398&gt;=40,V1398&lt;75,W1398&gt;=100),0.1,0)+IF(AND(V1398&gt;=75,W1398&lt;25),0.35,0)+IF(AND(V1398&gt;=75,W1398&gt;=25,W1398&lt;60),0.25,0)+IF(AND(V1398&gt;=75,W1398&gt;=60,W1398&lt;95),0.17,0)+IF(AND(V1398&gt;=75,W1398&gt;=95),0.1,0),
IF(AF1398="DoEVold15",IF(AND(V1398&lt;=40,W1398&lt;35),0.35,0)+IF(AND(V1398&lt;=40,W1398&gt;=35,W1398&lt;75),0.25,0)+IF(AND(V1398&lt;=40,W1398&gt;=75,W1398&lt;120),0.17,0)+IF(AND(V1398&lt;=40,W1398&gt;=120),0.15,0)+IF(AND(V1398&gt;40,V1398&lt;75,W1398&lt;25),0.35,0)+IF(AND(V1398&gt;=40,V1398&lt;75,W1398&gt;=25,W1398&lt;65),0.25,0)+IF(AND(V1398&gt;=40,V1398&lt;75,W1398&gt;=65,W1398&lt;100),0.17,0)+IF(AND(V1398&gt;=40,V1398&lt;75,W1398&gt;=100),0.1,0)+IF(AND(V1398&gt;=75,W1398&lt;25),0.35,0)+IF(AND(V1398&gt;=75,W1398&gt;=25,W1398&lt;60),0.25,0)+IF(AND(V1398&gt;=75,W1398&gt;=60,W1398&lt;95),0.17,0)+IF(AND(V1398&gt;=75,W1398&gt;=95),0.1,0),
IF(AF1398="DoEVba",IF(AND(V1398&lt;20,W1398&lt;105),0.2,0)+IF(AND(V1398&lt;20,W1398&gt;=105),0.15,0)+IF(AND(V1398&gt;=20,V1398&lt;40,W1398&lt;95),0.2,0)+IF(AND(V1398&gt;=20,V1398&lt;40,W1398&gt;=95,W1398&lt;150),0.15,0)+IF(AND(V1398&gt;=20,V1398&lt;40,W1398&gt;=150),0.12,0)+IF(AND(V1398&gt;=40,V1398&lt;75,W1398&lt;75),0.2,0)+IF(AND(V1398&gt;=40,V1398&lt;75,W1398&gt;=75,W1398&lt;120),0.15,0)+IF(AND(V1398&gt;=40,V1398&lt;75,W1398&gt;=120),0.12,0)+IF(AND(V1398&gt;=75,V1398&lt;175,W1398&lt;65),0.2,0)+IF(AND(V1398&gt;=75,V1398&lt;175,W1398&gt;=65,W1398&lt;110),0.15,0)+IF(AND(V1398&gt;=75,V1398&lt;175,W1398&gt;=110),0.12,0)+IF(AND(V1398&gt;=175,W1398&lt;55),0.2,0)+IF(AND(V1398&gt;=175,W1398&gt;=55,W1398&lt;95),0.15,0)+IF(AND(V1398&gt;=175,W1398&gt;=95),0.12,0),
IF(AF1398="DoEVku",IF(AND(V1398&lt;20,W1398&lt;55),0.23,0)+IF(AND(V1398&lt;20,W1398&gt;=55,W1398&lt;105),0.2,0)+IF(AND(V1398&lt;20,W1398&gt;=105),0.17,0)+IF(AND(V1398&gt;=20,V1398&lt;40,W1398&lt;45),0.23,0)+IF(AND(V1398&gt;=20,V1398&lt;40,W1398&gt;=45,W1398&lt;95),0.2,0)+IF(AND(V1398&gt;=20,V1398&lt;40,W1398&gt;=95,W1398&lt;=150),0.17,0)+IF(AND(V1398&gt;=20,V1398&lt;40,W1398&gt;=150),0.12,0)+IF(AND(V1398&gt;=40,V1398&lt;75,W1398&lt;35),0.23,0)+IF(AND(V1398&gt;=40,V1398&lt;75,W1398&gt;=35,W1398&lt;75),0.2,0)+IF(AND(V1398&gt;=40,V1398&lt;75,W1398&gt;=75,W1398&lt;120),0.17,0)+IF(AND(V1398&gt;=40,V1398&lt;75,W1398&gt;=120),0.12,0)+IF(AND(V1398&gt;=75,V1398&lt;175,W1398&lt;35),0.23,0)+IF(AND(V1398&gt;=75,V1398&lt;=175,W1398&gt;=35,W1398&lt;65),0.2,0)+IF(AND(V1398&gt;=75,V1398&lt;=175,W1398&gt;=65,W1398&lt;110),0.17,0)+IF(AND(V1398&gt;=75,V1398&lt;=175,W1398&gt;=110),0.12,0)+IF(AND(V1398&gt;175,W1398&lt;25),0.23,0)+IF(AND(V1398&gt;175,W1398&gt;=25,W1398&lt;55),0.2,0)+IF(AND(V1398&gt;175,W1398&gt;=55,W1398&lt;95),0.17,0)+IF(AND(V1398&gt;175,W1398&gt;=95),0.12,0),
IF(AF1398="DoEVs1",IF(AND(V1398&lt;20,W1398&lt;55),0.3,0)+IF(AND(V1398&lt;20,W1398&gt;=55,W1398&lt;105),0.23,0)+IF(AND(V1398&lt;20,W1398&gt;=105),0.17,0)+IF(AND(V1398&gt;=20,V1398&lt;40,W1398&lt;45),0.3,0)+IF(AND(V1398&gt;=20,V1398&lt;40,W1398&gt;=45,W1398&lt;95),0.23,0)+IF(AND(V1398&gt;=20,V1398&lt;40,W1398&gt;=95,W1398&lt;=150),0.17,0)+IF(AND(V1398&gt;=20,V1398&lt;40,W1398&gt;=150),0.12,0)+IF(AND(V1398&gt;=40,V1398&lt;75,W1398&lt;35),0.3,0)+IF(AND(V1398&gt;=40,V1398&lt;75,W1398&gt;=35,W1398&lt;75),0.23,0)+IF(AND(V1398&gt;=40,V1398&lt;75,W1398&gt;=75,W1398&lt;120),0.17,0)+IF(AND(V1398&gt;=40,V1398&lt;75,W1398&gt;=120),0.12,0)+IF(AND(V1398&gt;=75,V1398&lt;175,W1398&lt;35),0.3,0)+IF(AND(V1398&gt;=75,V1398&lt;=175,W1398&gt;=35,W1398&lt;65),0.23,0)+IF(AND(V1398&gt;=75,V1398&lt;=175,W1398&gt;=65,W1398&lt;110),0.17,0)+IF(AND(V1398&gt;=75,V1398&lt;=175,W1398&gt;=110),0.12,0)+IF(AND(V1398&gt;175,W1398&lt;25),0.3,0)+IF(AND(V1398&gt;175,W1398&gt;=25,W1398&lt;55),0.23,0)+IF(AND(V1398&gt;175,W1398&gt;=55,W1398&lt;95),0.17,0)+IF(AND(V1398&gt;175,W1398&gt;=95),0.12,0),
IF(AF1398="DoEVsu",IF(AND(V1398&lt;20,W1398&lt;55),0.3,0)+IF(AND(V1398&lt;20,W1398&gt;=55,W1398&lt;105),0.23,0)+IF(AND(V1398&lt;20,W1398&gt;=105),0.17,0)+IF(AND(V1398&gt;=20,V1398&lt;40,W1398&lt;45),0.3,0)+IF(AND(V1398&gt;=20,V1398&lt;40,W1398&gt;=45,W1398&lt;95),0.23,0)+IF(AND(V1398&gt;=20,V1398&lt;40,W1398&gt;=95,W1398&lt;=250),0.17,0)+IF(AND(V1398&gt;=20,V1398&lt;40,W1398&gt;=250),0.12,0)+IF(AND(V1398&gt;=40,V1398&lt;75,W1398&lt;35),0.3,0)+IF(AND(V1398&gt;=40,V1398&lt;75,W1398&gt;=35,W1398&lt;75),0.23,0)+IF(AND(V1398&gt;=40,V1398&lt;75,W1398&gt;=75,W1398&lt;120),0.17,0)+IF(AND(V1398&gt;=40,V1398&lt;75,W1398&gt;=120),0.12,0)+IF(AND(V1398&gt;=75,V1398&lt;175,W1398&lt;35),0.3,0)+IF(AND(V1398&gt;=75,V1398&lt;=175,W1398&gt;=35,W1398&lt;65),0.23,0)+IF(AND(V1398&gt;=75,V1398&lt;=175,W1398&gt;=65,W1398&lt;110),0.17,0)+IF(AND(V1398&gt;=75,V1398&lt;=175,W1398&gt;=110),0.12,0)+IF(AND(V1398&gt;175,W1398&lt;25),0.3,0)+IF(AND(V1398&gt;175,W1398&gt;=25,W1398&lt;55),0.23,0)+IF(AND(V1398&gt;175,W1398&gt;=55,W1398&lt;95),0.17,0)+IF(AND(V1398&gt;175,W1398&gt;=95),0.12,0),
IF(AF1398="DoEVni",IF(AND(V1398&lt;20,W1398&lt;55),0.3,0)+IF(AND(V1398&lt;20,W1398&gt;=55,W1398&lt;105),0.23,0)+IF(AND(V1398&lt;20,W1398&gt;=105),0.17,0)+IF(AND(V1398&gt;=20,V1398&lt;40,W1398&lt;45),0.3,0)+IF(AND(V1398&gt;=20,V1398&lt;40,W1398&gt;=45,W1398&lt;95),0.23,0)+IF(AND(V1398&gt;=20,V1398&lt;40,W1398&gt;=95,W1398&lt;=200),0.17,0)+IF(AND(V1398&gt;=20,V1398&lt;40,W1398&gt;=200),0.12,0)+IF(AND(V1398&gt;=40,V1398&lt;75,W1398&lt;35),0.3,0)+IF(AND(V1398&gt;=40,V1398&lt;75,W1398&gt;=35,W1398&lt;75),0.23,0)+IF(AND(V1398&gt;=40,V1398&lt;75,W1398&gt;=75,W1398&lt;120),0.17,0)+IF(AND(V1398&gt;=40,V1398&lt;75,W1398&gt;=120),0.12,0)+IF(AND(V1398&gt;=75,V1398&lt;175,W1398&lt;35),0.3,0)+IF(AND(V1398&gt;=75,V1398&lt;=175,W1398&gt;=35,W1398&lt;65),0.23,0)+IF(AND(V1398&gt;=75,V1398&lt;=175,W1398&gt;=65,W1398&lt;110),0.17,0)+IF(AND(V1398&gt;=75,V1398&lt;=175,W1398&gt;=110),0.12,0)+IF(AND(V1398&gt;175,W1398&lt;25),0.3,0)+IF(AND(V1398&gt;175,W1398&gt;=25,W1398&lt;55),0.23,0)+IF(AND(V1398&gt;175,W1398&gt;=55,W1398&lt;95),0.17,0)+IF(AND(V1398&gt;175,W1398&gt;=95),0.12,0),
IF(AF1398="DoEVLo",IF(AND(V1398&lt;20,W1398&lt;55),0.25,0)+IF(AND(V1398&lt;20,W1398&gt;=55,W1398&lt;105),0.2,0)+IF(AND(V1398&lt;20,W1398&gt;=105),0.15,0)+IF(AND(V1398&gt;=20,V1398&lt;40,W1398&lt;45),0.25,0)+IF(AND(V1398&gt;=20,V1398&lt;40,W1398&gt;=45,W1398&lt;95),0.2,0)+IF(AND(V1398&gt;=20,V1398&lt;40,W1398&gt;=95),0.15,0)+IF(AND(V1398&gt;=40,V1398&lt;75,W1398&lt;35),0.25,0)+IF(AND(V1398&gt;=40,V1398&lt;75,W1398&gt;=35,W1398&lt;75),0.2,0)+IF(AND(V1398&gt;=40,V1398&lt;75,W1398&gt;=75,W1398&lt;120),0.15,0)+IF(AND(V1398&gt;=40,V1398&lt;75,W1398&gt;=120),0.1,0)+IF(AND(V1398&gt;=75,V1398&lt;175,W1398&lt;35),0.25,0)+IF(AND(V1398&gt;=75,V1398&lt;=175,W1398&gt;=35,W1398&lt;65),0.2,0)+IF(AND(V1398&gt;=75,V1398&lt;=175,W1398&gt;=65,W1398&lt;110),0.15,0)+IF(AND(V1398&gt;=75,V1398&lt;=175,W1398&gt;=110),0.1,0)+IF(AND(V1398&gt;175,W1398&lt;25),0.25,0)+IF(AND(V1398&gt;175,W1398&gt;=25,W1398&lt;55),0.2,0)+IF(AND(V1398&gt;175,W1398&gt;=55,W1398&lt;95),0.15,0)+IF(AND(V1398&gt;175,W1398&gt;=95),0.1,0))))))))))))))))))</f>
        <v>0</v>
      </c>
      <c r="Y1398" s="78">
        <v>0.15</v>
      </c>
      <c r="Z1398" s="35">
        <f>T1398-AA1398-AB1398</f>
        <v>-641.75</v>
      </c>
      <c r="AA1398" s="29">
        <f>IF(AD1398="EUR",((T1398-R1398)*X1398)*U1398+(R1398*X1398),(T1398*X1398))</f>
        <v>0</v>
      </c>
      <c r="AB1398" s="36">
        <f>IF(AD1398="EUR",((T1398-R1398)*Y1398)*U1398+(R1398*Y1398),(T1398*Y1398))</f>
        <v>-113.25</v>
      </c>
      <c r="AC1398" s="61" t="b">
        <v>1</v>
      </c>
      <c r="AD1398" s="37" t="s">
        <v>38</v>
      </c>
      <c r="AE1398" s="37" t="s">
        <v>38</v>
      </c>
      <c r="AF1398" s="37" t="str">
        <f t="array" ref="AF1398">INDEX('Deal Info'!D:D, MATCH(A1398,'Deal Info'!A:A, 0))</f>
        <v>None</v>
      </c>
      <c r="AG1398" s="38" t="str">
        <f t="array" ref="AG1398">INDEX('Deal Info'!G:G, MATCH(A1398,'Deal Info'!A:A, 0))</f>
        <v>guilexperi</v>
      </c>
    </row>
    <row r="1399" spans="1:33" ht="14.25" hidden="1" x14ac:dyDescent="0.2">
      <c r="A1399" s="18" t="str">
        <f t="array" ref="A1399">IF(G1399='Room Info'!$B$1, INDEX('Room Info'!$A$2:$A2446, MATCH(B1399,'Room Info'!$B$2:$B2446, 0)),IF(G1399='Room Info'!$C$1, INDEX('Room Info'!$A$2:$A2446, MATCH(B1399,'Room Info'!$C$2:$C2446, 0)),IF(G1399='Room Info'!$D$1, INDEX('Room Info'!$A$2:$A2446, MATCH(B1399,'Room Info'!$D$2:$D2446, 0)),IF(G1399='Room Info'!$E$1, INDEX('Room Info'!$A$2:$A2446, MATCH(B1399,'Room Info'!$E$2:$E2446, 0)),IF(G1399='Room Info'!$F$1, INDEX('Room Info'!$A$2:$A2446, MATCH(B1399,'Room Info'!$F$2:$F2446, 0)),IF(G1399='Room Info'!$H$1, INDEX('Room Info'!$A$2:$A2446, MATCH(B1399,'Room Info'!$H$2:$H2446, 0)),IF(G1399='Room Info'!$G$1, INDEX('Room Info'!$A$2:$A2446, MATCH(B1399,'Room Info'!$G$2:$G2446, 0)))))))))</f>
        <v>guilexperi</v>
      </c>
      <c r="B1399" s="45" t="s">
        <v>208</v>
      </c>
      <c r="C1399" s="46">
        <v>44922</v>
      </c>
      <c r="D1399" s="46">
        <v>44957</v>
      </c>
      <c r="E1399" s="47">
        <v>44927</v>
      </c>
      <c r="F1399" s="48" t="s">
        <v>49</v>
      </c>
      <c r="G1399" s="45" t="s">
        <v>35</v>
      </c>
      <c r="H1399" s="49" t="s">
        <v>213</v>
      </c>
      <c r="I1399" s="49" t="s">
        <v>174</v>
      </c>
      <c r="J1399" s="50">
        <v>100</v>
      </c>
      <c r="K1399" s="51">
        <v>12</v>
      </c>
      <c r="L1399" s="52">
        <v>566</v>
      </c>
      <c r="M1399" s="53">
        <v>10</v>
      </c>
      <c r="N1399" s="28">
        <f>K1399*J1399</f>
        <v>1200</v>
      </c>
      <c r="O1399" s="54">
        <v>1308</v>
      </c>
      <c r="P1399" s="29">
        <v>109</v>
      </c>
      <c r="Q1399" s="55"/>
      <c r="R1399" s="31">
        <f>M1399+Q1399</f>
        <v>10</v>
      </c>
      <c r="S1399" s="56">
        <v>235</v>
      </c>
      <c r="T1399" s="32">
        <f>R1399+S1399+IF(F1399="Without EV deal",L1399,0)</f>
        <v>245</v>
      </c>
      <c r="U1399" s="57"/>
      <c r="V1399" s="58"/>
      <c r="W1399" s="58"/>
      <c r="X1399" s="30" t="b">
        <f>IF(AF1399="DoEV",IF(AND(V1399&lt;20,W1399&lt;55),0.3,0)+IF(AND(V1399&lt;20,W1399&gt;=55,W1399&lt;105),0.23,0)+IF(AND(V1399&lt;20,W1399&gt;=105),0.17,0)+IF(AND(V1399&gt;=20,V1399&lt;40,W1399&lt;45),0.3,0)+IF(AND(V1399&gt;=20,V1399&lt;40,W1399&gt;=45,W1399&lt;95),0.23,0)+IF(AND(V1399&gt;=20,V1399&lt;40,W1399&gt;=95),0.17,0)+IF(AND(V1399&gt;=40,V1399&lt;75,W1399&lt;35),0.3,0)+IF(AND(V1399&gt;=40,V1399&lt;75,W1399&gt;=35,W1399&lt;75),0.23,0)+IF(AND(V1399&gt;=40,V1399&lt;75,W1399&gt;=75,W1399&lt;120),0.17,0)+IF(AND(V1399&gt;=40,V1399&lt;75,W1399&gt;=120),0.12,0)+IF(AND(V1399&gt;=75,V1399&lt;175,W1399&lt;35),0.3,0)+IF(AND(V1399&gt;=75,V1399&lt;=175,W1399&gt;=35,W1399&lt;65),0.23,0)+IF(AND(V1399&gt;=75,V1399&lt;=175,W1399&gt;=65,W1399&lt;110),0.17,0)+IF(AND(V1399&gt;=75,V1399&lt;=175,W1399&gt;=110),0.12,0)+IF(AND(V1399&gt;175,W1399&lt;25),0.3,0)+IF(AND(V1399&gt;175,W1399&gt;=25,W1399&lt;55),0.23,0)+IF(AND(V1399&gt;175,W1399&gt;=55,W1399&lt;95),0.17,0)+IF(AND(V1399&gt;175,W1399&gt;=95),0.12,0),
IF(AF1399="Fix15",0.15,
IF(AF1399="Fix18.75",0.1875,
IF(AF1399="Fix11.25",0.1125,
IF(AF1399="Fix10",0.1,
IF(AF1399="Fix9",0.09,
IF(AF1399="Fix19",0.19,
IF(AF1399="DoEV2017",IF(AND(W1399&lt;74),0.2,0)+IF(AND(W1399&gt;=74),0.17,0),
IF(AF1399="SF",IF(AND(V1399&lt;20,W1399&lt;89),0.3,0)+IF(AND(V1399&lt;20,W1399&gt;=89),0.25,0)+IF(AND(V1399&gt;=20,V1399&lt;40,W1399&lt;74),0.3,0)+IF(AND(V1399&gt;=20,V1399&lt;40,W1399&gt;=75),0.22,0)+IF(AND(V1399&gt;=40,V1399&lt;75,W1399&lt;75),0.26,0)+IF(AND(V1399&gt;=40,V1399&lt;75,W1399&gt;=75),0.22,0)+IF(V1399&gt;=75,0.22,0),
IF(AF1399="DoEVold",IF(AND(V1399&lt;40,W1399&lt;35),0.35,0)+IF(AND(V1399&lt;40,W1399&gt;=35,W1399&lt;75),0.25,0)+IF(AND(V1399&lt;40,W1399&gt;=75),0.17,0)+IF(AND(V1399&gt;=40,V1399&lt;75,W1399&lt;25),0.35,0)+IF(AND(V1399&gt;=40,V1399&lt;75,W1399&gt;=25,W1399&lt;65),0.25,0)+IF(AND(V1399&gt;=40,V1399&lt;75,W1399&gt;=65,W1399&lt;100),0.17,0)+IF(AND(V1399&gt;=40,V1399&lt;75,W1399&gt;=100),0.1,0)+IF(AND(V1399&gt;=75,W1399&lt;25),0.35,0)+IF(AND(V1399&gt;=75,W1399&gt;=25,W1399&lt;60),0.25,0)+IF(AND(V1399&gt;=75,W1399&gt;=60,W1399&lt;95),0.17,0)+IF(AND(V1399&gt;=75,W1399&gt;=95),0.1,0),
IF(AF1399="DoEVold15",IF(AND(V1399&lt;=40,W1399&lt;35),0.35,0)+IF(AND(V1399&lt;=40,W1399&gt;=35,W1399&lt;75),0.25,0)+IF(AND(V1399&lt;=40,W1399&gt;=75,W1399&lt;120),0.17,0)+IF(AND(V1399&lt;=40,W1399&gt;=120),0.15,0)+IF(AND(V1399&gt;40,V1399&lt;75,W1399&lt;25),0.35,0)+IF(AND(V1399&gt;=40,V1399&lt;75,W1399&gt;=25,W1399&lt;65),0.25,0)+IF(AND(V1399&gt;=40,V1399&lt;75,W1399&gt;=65,W1399&lt;100),0.17,0)+IF(AND(V1399&gt;=40,V1399&lt;75,W1399&gt;=100),0.1,0)+IF(AND(V1399&gt;=75,W1399&lt;25),0.35,0)+IF(AND(V1399&gt;=75,W1399&gt;=25,W1399&lt;60),0.25,0)+IF(AND(V1399&gt;=75,W1399&gt;=60,W1399&lt;95),0.17,0)+IF(AND(V1399&gt;=75,W1399&gt;=95),0.1,0),
IF(AF1399="DoEVba",IF(AND(V1399&lt;20,W1399&lt;105),0.2,0)+IF(AND(V1399&lt;20,W1399&gt;=105),0.15,0)+IF(AND(V1399&gt;=20,V1399&lt;40,W1399&lt;95),0.2,0)+IF(AND(V1399&gt;=20,V1399&lt;40,W1399&gt;=95,W1399&lt;150),0.15,0)+IF(AND(V1399&gt;=20,V1399&lt;40,W1399&gt;=150),0.12,0)+IF(AND(V1399&gt;=40,V1399&lt;75,W1399&lt;75),0.2,0)+IF(AND(V1399&gt;=40,V1399&lt;75,W1399&gt;=75,W1399&lt;120),0.15,0)+IF(AND(V1399&gt;=40,V1399&lt;75,W1399&gt;=120),0.12,0)+IF(AND(V1399&gt;=75,V1399&lt;175,W1399&lt;65),0.2,0)+IF(AND(V1399&gt;=75,V1399&lt;175,W1399&gt;=65,W1399&lt;110),0.15,0)+IF(AND(V1399&gt;=75,V1399&lt;175,W1399&gt;=110),0.12,0)+IF(AND(V1399&gt;=175,W1399&lt;55),0.2,0)+IF(AND(V1399&gt;=175,W1399&gt;=55,W1399&lt;95),0.15,0)+IF(AND(V1399&gt;=175,W1399&gt;=95),0.12,0),
IF(AF1399="DoEVku",IF(AND(V1399&lt;20,W1399&lt;55),0.23,0)+IF(AND(V1399&lt;20,W1399&gt;=55,W1399&lt;105),0.2,0)+IF(AND(V1399&lt;20,W1399&gt;=105),0.17,0)+IF(AND(V1399&gt;=20,V1399&lt;40,W1399&lt;45),0.23,0)+IF(AND(V1399&gt;=20,V1399&lt;40,W1399&gt;=45,W1399&lt;95),0.2,0)+IF(AND(V1399&gt;=20,V1399&lt;40,W1399&gt;=95,W1399&lt;=150),0.17,0)+IF(AND(V1399&gt;=20,V1399&lt;40,W1399&gt;=150),0.12,0)+IF(AND(V1399&gt;=40,V1399&lt;75,W1399&lt;35),0.23,0)+IF(AND(V1399&gt;=40,V1399&lt;75,W1399&gt;=35,W1399&lt;75),0.2,0)+IF(AND(V1399&gt;=40,V1399&lt;75,W1399&gt;=75,W1399&lt;120),0.17,0)+IF(AND(V1399&gt;=40,V1399&lt;75,W1399&gt;=120),0.12,0)+IF(AND(V1399&gt;=75,V1399&lt;175,W1399&lt;35),0.23,0)+IF(AND(V1399&gt;=75,V1399&lt;=175,W1399&gt;=35,W1399&lt;65),0.2,0)+IF(AND(V1399&gt;=75,V1399&lt;=175,W1399&gt;=65,W1399&lt;110),0.17,0)+IF(AND(V1399&gt;=75,V1399&lt;=175,W1399&gt;=110),0.12,0)+IF(AND(V1399&gt;175,W1399&lt;25),0.23,0)+IF(AND(V1399&gt;175,W1399&gt;=25,W1399&lt;55),0.2,0)+IF(AND(V1399&gt;175,W1399&gt;=55,W1399&lt;95),0.17,0)+IF(AND(V1399&gt;175,W1399&gt;=95),0.12,0),
IF(AF1399="DoEVs1",IF(AND(V1399&lt;20,W1399&lt;55),0.3,0)+IF(AND(V1399&lt;20,W1399&gt;=55,W1399&lt;105),0.23,0)+IF(AND(V1399&lt;20,W1399&gt;=105),0.17,0)+IF(AND(V1399&gt;=20,V1399&lt;40,W1399&lt;45),0.3,0)+IF(AND(V1399&gt;=20,V1399&lt;40,W1399&gt;=45,W1399&lt;95),0.23,0)+IF(AND(V1399&gt;=20,V1399&lt;40,W1399&gt;=95,W1399&lt;=150),0.17,0)+IF(AND(V1399&gt;=20,V1399&lt;40,W1399&gt;=150),0.12,0)+IF(AND(V1399&gt;=40,V1399&lt;75,W1399&lt;35),0.3,0)+IF(AND(V1399&gt;=40,V1399&lt;75,W1399&gt;=35,W1399&lt;75),0.23,0)+IF(AND(V1399&gt;=40,V1399&lt;75,W1399&gt;=75,W1399&lt;120),0.17,0)+IF(AND(V1399&gt;=40,V1399&lt;75,W1399&gt;=120),0.12,0)+IF(AND(V1399&gt;=75,V1399&lt;175,W1399&lt;35),0.3,0)+IF(AND(V1399&gt;=75,V1399&lt;=175,W1399&gt;=35,W1399&lt;65),0.23,0)+IF(AND(V1399&gt;=75,V1399&lt;=175,W1399&gt;=65,W1399&lt;110),0.17,0)+IF(AND(V1399&gt;=75,V1399&lt;=175,W1399&gt;=110),0.12,0)+IF(AND(V1399&gt;175,W1399&lt;25),0.3,0)+IF(AND(V1399&gt;175,W1399&gt;=25,W1399&lt;55),0.23,0)+IF(AND(V1399&gt;175,W1399&gt;=55,W1399&lt;95),0.17,0)+IF(AND(V1399&gt;175,W1399&gt;=95),0.12,0),
IF(AF1399="DoEVsu",IF(AND(V1399&lt;20,W1399&lt;55),0.3,0)+IF(AND(V1399&lt;20,W1399&gt;=55,W1399&lt;105),0.23,0)+IF(AND(V1399&lt;20,W1399&gt;=105),0.17,0)+IF(AND(V1399&gt;=20,V1399&lt;40,W1399&lt;45),0.3,0)+IF(AND(V1399&gt;=20,V1399&lt;40,W1399&gt;=45,W1399&lt;95),0.23,0)+IF(AND(V1399&gt;=20,V1399&lt;40,W1399&gt;=95,W1399&lt;=250),0.17,0)+IF(AND(V1399&gt;=20,V1399&lt;40,W1399&gt;=250),0.12,0)+IF(AND(V1399&gt;=40,V1399&lt;75,W1399&lt;35),0.3,0)+IF(AND(V1399&gt;=40,V1399&lt;75,W1399&gt;=35,W1399&lt;75),0.23,0)+IF(AND(V1399&gt;=40,V1399&lt;75,W1399&gt;=75,W1399&lt;120),0.17,0)+IF(AND(V1399&gt;=40,V1399&lt;75,W1399&gt;=120),0.12,0)+IF(AND(V1399&gt;=75,V1399&lt;175,W1399&lt;35),0.3,0)+IF(AND(V1399&gt;=75,V1399&lt;=175,W1399&gt;=35,W1399&lt;65),0.23,0)+IF(AND(V1399&gt;=75,V1399&lt;=175,W1399&gt;=65,W1399&lt;110),0.17,0)+IF(AND(V1399&gt;=75,V1399&lt;=175,W1399&gt;=110),0.12,0)+IF(AND(V1399&gt;175,W1399&lt;25),0.3,0)+IF(AND(V1399&gt;175,W1399&gt;=25,W1399&lt;55),0.23,0)+IF(AND(V1399&gt;175,W1399&gt;=55,W1399&lt;95),0.17,0)+IF(AND(V1399&gt;175,W1399&gt;=95),0.12,0),
IF(AF1399="DoEVni",IF(AND(V1399&lt;20,W1399&lt;55),0.3,0)+IF(AND(V1399&lt;20,W1399&gt;=55,W1399&lt;105),0.23,0)+IF(AND(V1399&lt;20,W1399&gt;=105),0.17,0)+IF(AND(V1399&gt;=20,V1399&lt;40,W1399&lt;45),0.3,0)+IF(AND(V1399&gt;=20,V1399&lt;40,W1399&gt;=45,W1399&lt;95),0.23,0)+IF(AND(V1399&gt;=20,V1399&lt;40,W1399&gt;=95,W1399&lt;=200),0.17,0)+IF(AND(V1399&gt;=20,V1399&lt;40,W1399&gt;=200),0.12,0)+IF(AND(V1399&gt;=40,V1399&lt;75,W1399&lt;35),0.3,0)+IF(AND(V1399&gt;=40,V1399&lt;75,W1399&gt;=35,W1399&lt;75),0.23,0)+IF(AND(V1399&gt;=40,V1399&lt;75,W1399&gt;=75,W1399&lt;120),0.17,0)+IF(AND(V1399&gt;=40,V1399&lt;75,W1399&gt;=120),0.12,0)+IF(AND(V1399&gt;=75,V1399&lt;175,W1399&lt;35),0.3,0)+IF(AND(V1399&gt;=75,V1399&lt;=175,W1399&gt;=35,W1399&lt;65),0.23,0)+IF(AND(V1399&gt;=75,V1399&lt;=175,W1399&gt;=65,W1399&lt;110),0.17,0)+IF(AND(V1399&gt;=75,V1399&lt;=175,W1399&gt;=110),0.12,0)+IF(AND(V1399&gt;175,W1399&lt;25),0.3,0)+IF(AND(V1399&gt;175,W1399&gt;=25,W1399&lt;55),0.23,0)+IF(AND(V1399&gt;175,W1399&gt;=55,W1399&lt;95),0.17,0)+IF(AND(V1399&gt;175,W1399&gt;=95),0.12,0),
IF(AF1399="DoEVLo",IF(AND(V1399&lt;20,W1399&lt;55),0.25,0)+IF(AND(V1399&lt;20,W1399&gt;=55,W1399&lt;105),0.2,0)+IF(AND(V1399&lt;20,W1399&gt;=105),0.15,0)+IF(AND(V1399&gt;=20,V1399&lt;40,W1399&lt;45),0.25,0)+IF(AND(V1399&gt;=20,V1399&lt;40,W1399&gt;=45,W1399&lt;95),0.2,0)+IF(AND(V1399&gt;=20,V1399&lt;40,W1399&gt;=95),0.15,0)+IF(AND(V1399&gt;=40,V1399&lt;75,W1399&lt;35),0.25,0)+IF(AND(V1399&gt;=40,V1399&lt;75,W1399&gt;=35,W1399&lt;75),0.2,0)+IF(AND(V1399&gt;=40,V1399&lt;75,W1399&gt;=75,W1399&lt;120),0.15,0)+IF(AND(V1399&gt;=40,V1399&lt;75,W1399&gt;=120),0.1,0)+IF(AND(V1399&gt;=75,V1399&lt;175,W1399&lt;35),0.25,0)+IF(AND(V1399&gt;=75,V1399&lt;=175,W1399&gt;=35,W1399&lt;65),0.2,0)+IF(AND(V1399&gt;=75,V1399&lt;=175,W1399&gt;=65,W1399&lt;110),0.15,0)+IF(AND(V1399&gt;=75,V1399&lt;=175,W1399&gt;=110),0.1,0)+IF(AND(V1399&gt;175,W1399&lt;25),0.25,0)+IF(AND(V1399&gt;175,W1399&gt;=25,W1399&lt;55),0.2,0)+IF(AND(V1399&gt;175,W1399&gt;=55,W1399&lt;95),0.15,0)+IF(AND(V1399&gt;175,W1399&gt;=95),0.1,0))))))))))))))))))</f>
        <v>0</v>
      </c>
      <c r="Y1399" s="78">
        <v>0.15</v>
      </c>
      <c r="Z1399" s="35">
        <f>T1399-AA1399-AB1399</f>
        <v>208.25</v>
      </c>
      <c r="AA1399" s="29">
        <f>IF(AD1399="EUR",((T1399-R1399)*X1399)*U1399+(R1399*X1399),(T1399*X1399))</f>
        <v>0</v>
      </c>
      <c r="AB1399" s="36">
        <f>IF(AD1399="EUR",((T1399-R1399)*Y1399)*U1399+(R1399*Y1399),(T1399*Y1399))</f>
        <v>36.75</v>
      </c>
      <c r="AC1399" s="61" t="b">
        <v>1</v>
      </c>
      <c r="AD1399" s="37" t="s">
        <v>38</v>
      </c>
      <c r="AE1399" s="37" t="s">
        <v>38</v>
      </c>
      <c r="AF1399" s="37" t="str">
        <f t="array" ref="AF1399">INDEX('Deal Info'!D:D, MATCH(A1399,'Deal Info'!A:A, 0))</f>
        <v>None</v>
      </c>
      <c r="AG1399" s="38" t="str">
        <f t="array" ref="AG1399">INDEX('Deal Info'!G:G, MATCH(A1399,'Deal Info'!A:A, 0))</f>
        <v>guilexperi</v>
      </c>
    </row>
    <row r="1400" spans="1:33" ht="14.25" hidden="1" x14ac:dyDescent="0.2">
      <c r="A1400" s="18" t="str">
        <f t="array" ref="A1400">IF(G1400='Room Info'!$B$1, INDEX('Room Info'!$A$2:$A2446, MATCH(B1400,'Room Info'!$B$2:$B2446, 0)),IF(G1400='Room Info'!$C$1, INDEX('Room Info'!$A$2:$A2446, MATCH(B1400,'Room Info'!$C$2:$C2446, 0)),IF(G1400='Room Info'!$D$1, INDEX('Room Info'!$A$2:$A2446, MATCH(B1400,'Room Info'!$D$2:$D2446, 0)),IF(G1400='Room Info'!$E$1, INDEX('Room Info'!$A$2:$A2446, MATCH(B1400,'Room Info'!$E$2:$E2446, 0)),IF(G1400='Room Info'!$F$1, INDEX('Room Info'!$A$2:$A2446, MATCH(B1400,'Room Info'!$F$2:$F2446, 0)),IF(G1400='Room Info'!$H$1, INDEX('Room Info'!$A$2:$A2446, MATCH(B1400,'Room Info'!$H$2:$H2446, 0)),IF(G1400='Room Info'!$G$1, INDEX('Room Info'!$A$2:$A2446, MATCH(B1400,'Room Info'!$G$2:$G2446, 0)))))))))</f>
        <v>guilexperi</v>
      </c>
      <c r="B1400" s="45" t="s">
        <v>208</v>
      </c>
      <c r="C1400" s="46">
        <v>44922</v>
      </c>
      <c r="D1400" s="46">
        <v>44957</v>
      </c>
      <c r="E1400" s="47">
        <v>44927</v>
      </c>
      <c r="F1400" s="48" t="s">
        <v>49</v>
      </c>
      <c r="G1400" s="45" t="s">
        <v>35</v>
      </c>
      <c r="H1400" s="49" t="s">
        <v>84</v>
      </c>
      <c r="I1400" s="49" t="s">
        <v>44</v>
      </c>
      <c r="J1400" s="50">
        <v>100</v>
      </c>
      <c r="K1400" s="51">
        <v>21</v>
      </c>
      <c r="L1400" s="52">
        <v>-300</v>
      </c>
      <c r="M1400" s="53">
        <v>22</v>
      </c>
      <c r="N1400" s="28">
        <f>K1400*J1400</f>
        <v>2100</v>
      </c>
      <c r="O1400" s="54">
        <v>614</v>
      </c>
      <c r="P1400" s="29">
        <v>29.23809524</v>
      </c>
      <c r="Q1400" s="55"/>
      <c r="R1400" s="31">
        <f>M1400+Q1400</f>
        <v>22</v>
      </c>
      <c r="S1400" s="56">
        <v>76</v>
      </c>
      <c r="T1400" s="32">
        <f>R1400+S1400+IF(F1400="Without EV deal",L1400,0)</f>
        <v>98</v>
      </c>
      <c r="U1400" s="57"/>
      <c r="V1400" s="58"/>
      <c r="W1400" s="58"/>
      <c r="X1400" s="30" t="b">
        <f>IF(AF1400="DoEV",IF(AND(V1400&lt;20,W1400&lt;55),0.3,0)+IF(AND(V1400&lt;20,W1400&gt;=55,W1400&lt;105),0.23,0)+IF(AND(V1400&lt;20,W1400&gt;=105),0.17,0)+IF(AND(V1400&gt;=20,V1400&lt;40,W1400&lt;45),0.3,0)+IF(AND(V1400&gt;=20,V1400&lt;40,W1400&gt;=45,W1400&lt;95),0.23,0)+IF(AND(V1400&gt;=20,V1400&lt;40,W1400&gt;=95),0.17,0)+IF(AND(V1400&gt;=40,V1400&lt;75,W1400&lt;35),0.3,0)+IF(AND(V1400&gt;=40,V1400&lt;75,W1400&gt;=35,W1400&lt;75),0.23,0)+IF(AND(V1400&gt;=40,V1400&lt;75,W1400&gt;=75,W1400&lt;120),0.17,0)+IF(AND(V1400&gt;=40,V1400&lt;75,W1400&gt;=120),0.12,0)+IF(AND(V1400&gt;=75,V1400&lt;175,W1400&lt;35),0.3,0)+IF(AND(V1400&gt;=75,V1400&lt;=175,W1400&gt;=35,W1400&lt;65),0.23,0)+IF(AND(V1400&gt;=75,V1400&lt;=175,W1400&gt;=65,W1400&lt;110),0.17,0)+IF(AND(V1400&gt;=75,V1400&lt;=175,W1400&gt;=110),0.12,0)+IF(AND(V1400&gt;175,W1400&lt;25),0.3,0)+IF(AND(V1400&gt;175,W1400&gt;=25,W1400&lt;55),0.23,0)+IF(AND(V1400&gt;175,W1400&gt;=55,W1400&lt;95),0.17,0)+IF(AND(V1400&gt;175,W1400&gt;=95),0.12,0),
IF(AF1400="Fix15",0.15,
IF(AF1400="Fix18.75",0.1875,
IF(AF1400="Fix11.25",0.1125,
IF(AF1400="Fix10",0.1,
IF(AF1400="Fix9",0.09,
IF(AF1400="Fix19",0.19,
IF(AF1400="DoEV2017",IF(AND(W1400&lt;74),0.2,0)+IF(AND(W1400&gt;=74),0.17,0),
IF(AF1400="SF",IF(AND(V1400&lt;20,W1400&lt;89),0.3,0)+IF(AND(V1400&lt;20,W1400&gt;=89),0.25,0)+IF(AND(V1400&gt;=20,V1400&lt;40,W1400&lt;74),0.3,0)+IF(AND(V1400&gt;=20,V1400&lt;40,W1400&gt;=75),0.22,0)+IF(AND(V1400&gt;=40,V1400&lt;75,W1400&lt;75),0.26,0)+IF(AND(V1400&gt;=40,V1400&lt;75,W1400&gt;=75),0.22,0)+IF(V1400&gt;=75,0.22,0),
IF(AF1400="DoEVold",IF(AND(V1400&lt;40,W1400&lt;35),0.35,0)+IF(AND(V1400&lt;40,W1400&gt;=35,W1400&lt;75),0.25,0)+IF(AND(V1400&lt;40,W1400&gt;=75),0.17,0)+IF(AND(V1400&gt;=40,V1400&lt;75,W1400&lt;25),0.35,0)+IF(AND(V1400&gt;=40,V1400&lt;75,W1400&gt;=25,W1400&lt;65),0.25,0)+IF(AND(V1400&gt;=40,V1400&lt;75,W1400&gt;=65,W1400&lt;100),0.17,0)+IF(AND(V1400&gt;=40,V1400&lt;75,W1400&gt;=100),0.1,0)+IF(AND(V1400&gt;=75,W1400&lt;25),0.35,0)+IF(AND(V1400&gt;=75,W1400&gt;=25,W1400&lt;60),0.25,0)+IF(AND(V1400&gt;=75,W1400&gt;=60,W1400&lt;95),0.17,0)+IF(AND(V1400&gt;=75,W1400&gt;=95),0.1,0),
IF(AF1400="DoEVold15",IF(AND(V1400&lt;=40,W1400&lt;35),0.35,0)+IF(AND(V1400&lt;=40,W1400&gt;=35,W1400&lt;75),0.25,0)+IF(AND(V1400&lt;=40,W1400&gt;=75,W1400&lt;120),0.17,0)+IF(AND(V1400&lt;=40,W1400&gt;=120),0.15,0)+IF(AND(V1400&gt;40,V1400&lt;75,W1400&lt;25),0.35,0)+IF(AND(V1400&gt;=40,V1400&lt;75,W1400&gt;=25,W1400&lt;65),0.25,0)+IF(AND(V1400&gt;=40,V1400&lt;75,W1400&gt;=65,W1400&lt;100),0.17,0)+IF(AND(V1400&gt;=40,V1400&lt;75,W1400&gt;=100),0.1,0)+IF(AND(V1400&gt;=75,W1400&lt;25),0.35,0)+IF(AND(V1400&gt;=75,W1400&gt;=25,W1400&lt;60),0.25,0)+IF(AND(V1400&gt;=75,W1400&gt;=60,W1400&lt;95),0.17,0)+IF(AND(V1400&gt;=75,W1400&gt;=95),0.1,0),
IF(AF1400="DoEVba",IF(AND(V1400&lt;20,W1400&lt;105),0.2,0)+IF(AND(V1400&lt;20,W1400&gt;=105),0.15,0)+IF(AND(V1400&gt;=20,V1400&lt;40,W1400&lt;95),0.2,0)+IF(AND(V1400&gt;=20,V1400&lt;40,W1400&gt;=95,W1400&lt;150),0.15,0)+IF(AND(V1400&gt;=20,V1400&lt;40,W1400&gt;=150),0.12,0)+IF(AND(V1400&gt;=40,V1400&lt;75,W1400&lt;75),0.2,0)+IF(AND(V1400&gt;=40,V1400&lt;75,W1400&gt;=75,W1400&lt;120),0.15,0)+IF(AND(V1400&gt;=40,V1400&lt;75,W1400&gt;=120),0.12,0)+IF(AND(V1400&gt;=75,V1400&lt;175,W1400&lt;65),0.2,0)+IF(AND(V1400&gt;=75,V1400&lt;175,W1400&gt;=65,W1400&lt;110),0.15,0)+IF(AND(V1400&gt;=75,V1400&lt;175,W1400&gt;=110),0.12,0)+IF(AND(V1400&gt;=175,W1400&lt;55),0.2,0)+IF(AND(V1400&gt;=175,W1400&gt;=55,W1400&lt;95),0.15,0)+IF(AND(V1400&gt;=175,W1400&gt;=95),0.12,0),
IF(AF1400="DoEVku",IF(AND(V1400&lt;20,W1400&lt;55),0.23,0)+IF(AND(V1400&lt;20,W1400&gt;=55,W1400&lt;105),0.2,0)+IF(AND(V1400&lt;20,W1400&gt;=105),0.17,0)+IF(AND(V1400&gt;=20,V1400&lt;40,W1400&lt;45),0.23,0)+IF(AND(V1400&gt;=20,V1400&lt;40,W1400&gt;=45,W1400&lt;95),0.2,0)+IF(AND(V1400&gt;=20,V1400&lt;40,W1400&gt;=95,W1400&lt;=150),0.17,0)+IF(AND(V1400&gt;=20,V1400&lt;40,W1400&gt;=150),0.12,0)+IF(AND(V1400&gt;=40,V1400&lt;75,W1400&lt;35),0.23,0)+IF(AND(V1400&gt;=40,V1400&lt;75,W1400&gt;=35,W1400&lt;75),0.2,0)+IF(AND(V1400&gt;=40,V1400&lt;75,W1400&gt;=75,W1400&lt;120),0.17,0)+IF(AND(V1400&gt;=40,V1400&lt;75,W1400&gt;=120),0.12,0)+IF(AND(V1400&gt;=75,V1400&lt;175,W1400&lt;35),0.23,0)+IF(AND(V1400&gt;=75,V1400&lt;=175,W1400&gt;=35,W1400&lt;65),0.2,0)+IF(AND(V1400&gt;=75,V1400&lt;=175,W1400&gt;=65,W1400&lt;110),0.17,0)+IF(AND(V1400&gt;=75,V1400&lt;=175,W1400&gt;=110),0.12,0)+IF(AND(V1400&gt;175,W1400&lt;25),0.23,0)+IF(AND(V1400&gt;175,W1400&gt;=25,W1400&lt;55),0.2,0)+IF(AND(V1400&gt;175,W1400&gt;=55,W1400&lt;95),0.17,0)+IF(AND(V1400&gt;175,W1400&gt;=95),0.12,0),
IF(AF1400="DoEVs1",IF(AND(V1400&lt;20,W1400&lt;55),0.3,0)+IF(AND(V1400&lt;20,W1400&gt;=55,W1400&lt;105),0.23,0)+IF(AND(V1400&lt;20,W1400&gt;=105),0.17,0)+IF(AND(V1400&gt;=20,V1400&lt;40,W1400&lt;45),0.3,0)+IF(AND(V1400&gt;=20,V1400&lt;40,W1400&gt;=45,W1400&lt;95),0.23,0)+IF(AND(V1400&gt;=20,V1400&lt;40,W1400&gt;=95,W1400&lt;=150),0.17,0)+IF(AND(V1400&gt;=20,V1400&lt;40,W1400&gt;=150),0.12,0)+IF(AND(V1400&gt;=40,V1400&lt;75,W1400&lt;35),0.3,0)+IF(AND(V1400&gt;=40,V1400&lt;75,W1400&gt;=35,W1400&lt;75),0.23,0)+IF(AND(V1400&gt;=40,V1400&lt;75,W1400&gt;=75,W1400&lt;120),0.17,0)+IF(AND(V1400&gt;=40,V1400&lt;75,W1400&gt;=120),0.12,0)+IF(AND(V1400&gt;=75,V1400&lt;175,W1400&lt;35),0.3,0)+IF(AND(V1400&gt;=75,V1400&lt;=175,W1400&gt;=35,W1400&lt;65),0.23,0)+IF(AND(V1400&gt;=75,V1400&lt;=175,W1400&gt;=65,W1400&lt;110),0.17,0)+IF(AND(V1400&gt;=75,V1400&lt;=175,W1400&gt;=110),0.12,0)+IF(AND(V1400&gt;175,W1400&lt;25),0.3,0)+IF(AND(V1400&gt;175,W1400&gt;=25,W1400&lt;55),0.23,0)+IF(AND(V1400&gt;175,W1400&gt;=55,W1400&lt;95),0.17,0)+IF(AND(V1400&gt;175,W1400&gt;=95),0.12,0),
IF(AF1400="DoEVsu",IF(AND(V1400&lt;20,W1400&lt;55),0.3,0)+IF(AND(V1400&lt;20,W1400&gt;=55,W1400&lt;105),0.23,0)+IF(AND(V1400&lt;20,W1400&gt;=105),0.17,0)+IF(AND(V1400&gt;=20,V1400&lt;40,W1400&lt;45),0.3,0)+IF(AND(V1400&gt;=20,V1400&lt;40,W1400&gt;=45,W1400&lt;95),0.23,0)+IF(AND(V1400&gt;=20,V1400&lt;40,W1400&gt;=95,W1400&lt;=250),0.17,0)+IF(AND(V1400&gt;=20,V1400&lt;40,W1400&gt;=250),0.12,0)+IF(AND(V1400&gt;=40,V1400&lt;75,W1400&lt;35),0.3,0)+IF(AND(V1400&gt;=40,V1400&lt;75,W1400&gt;=35,W1400&lt;75),0.23,0)+IF(AND(V1400&gt;=40,V1400&lt;75,W1400&gt;=75,W1400&lt;120),0.17,0)+IF(AND(V1400&gt;=40,V1400&lt;75,W1400&gt;=120),0.12,0)+IF(AND(V1400&gt;=75,V1400&lt;175,W1400&lt;35),0.3,0)+IF(AND(V1400&gt;=75,V1400&lt;=175,W1400&gt;=35,W1400&lt;65),0.23,0)+IF(AND(V1400&gt;=75,V1400&lt;=175,W1400&gt;=65,W1400&lt;110),0.17,0)+IF(AND(V1400&gt;=75,V1400&lt;=175,W1400&gt;=110),0.12,0)+IF(AND(V1400&gt;175,W1400&lt;25),0.3,0)+IF(AND(V1400&gt;175,W1400&gt;=25,W1400&lt;55),0.23,0)+IF(AND(V1400&gt;175,W1400&gt;=55,W1400&lt;95),0.17,0)+IF(AND(V1400&gt;175,W1400&gt;=95),0.12,0),
IF(AF1400="DoEVni",IF(AND(V1400&lt;20,W1400&lt;55),0.3,0)+IF(AND(V1400&lt;20,W1400&gt;=55,W1400&lt;105),0.23,0)+IF(AND(V1400&lt;20,W1400&gt;=105),0.17,0)+IF(AND(V1400&gt;=20,V1400&lt;40,W1400&lt;45),0.3,0)+IF(AND(V1400&gt;=20,V1400&lt;40,W1400&gt;=45,W1400&lt;95),0.23,0)+IF(AND(V1400&gt;=20,V1400&lt;40,W1400&gt;=95,W1400&lt;=200),0.17,0)+IF(AND(V1400&gt;=20,V1400&lt;40,W1400&gt;=200),0.12,0)+IF(AND(V1400&gt;=40,V1400&lt;75,W1400&lt;35),0.3,0)+IF(AND(V1400&gt;=40,V1400&lt;75,W1400&gt;=35,W1400&lt;75),0.23,0)+IF(AND(V1400&gt;=40,V1400&lt;75,W1400&gt;=75,W1400&lt;120),0.17,0)+IF(AND(V1400&gt;=40,V1400&lt;75,W1400&gt;=120),0.12,0)+IF(AND(V1400&gt;=75,V1400&lt;175,W1400&lt;35),0.3,0)+IF(AND(V1400&gt;=75,V1400&lt;=175,W1400&gt;=35,W1400&lt;65),0.23,0)+IF(AND(V1400&gt;=75,V1400&lt;=175,W1400&gt;=65,W1400&lt;110),0.17,0)+IF(AND(V1400&gt;=75,V1400&lt;=175,W1400&gt;=110),0.12,0)+IF(AND(V1400&gt;175,W1400&lt;25),0.3,0)+IF(AND(V1400&gt;175,W1400&gt;=25,W1400&lt;55),0.23,0)+IF(AND(V1400&gt;175,W1400&gt;=55,W1400&lt;95),0.17,0)+IF(AND(V1400&gt;175,W1400&gt;=95),0.12,0),
IF(AF1400="DoEVLo",IF(AND(V1400&lt;20,W1400&lt;55),0.25,0)+IF(AND(V1400&lt;20,W1400&gt;=55,W1400&lt;105),0.2,0)+IF(AND(V1400&lt;20,W1400&gt;=105),0.15,0)+IF(AND(V1400&gt;=20,V1400&lt;40,W1400&lt;45),0.25,0)+IF(AND(V1400&gt;=20,V1400&lt;40,W1400&gt;=45,W1400&lt;95),0.2,0)+IF(AND(V1400&gt;=20,V1400&lt;40,W1400&gt;=95),0.15,0)+IF(AND(V1400&gt;=40,V1400&lt;75,W1400&lt;35),0.25,0)+IF(AND(V1400&gt;=40,V1400&lt;75,W1400&gt;=35,W1400&lt;75),0.2,0)+IF(AND(V1400&gt;=40,V1400&lt;75,W1400&gt;=75,W1400&lt;120),0.15,0)+IF(AND(V1400&gt;=40,V1400&lt;75,W1400&gt;=120),0.1,0)+IF(AND(V1400&gt;=75,V1400&lt;175,W1400&lt;35),0.25,0)+IF(AND(V1400&gt;=75,V1400&lt;=175,W1400&gt;=35,W1400&lt;65),0.2,0)+IF(AND(V1400&gt;=75,V1400&lt;=175,W1400&gt;=65,W1400&lt;110),0.15,0)+IF(AND(V1400&gt;=75,V1400&lt;=175,W1400&gt;=110),0.1,0)+IF(AND(V1400&gt;175,W1400&lt;25),0.25,0)+IF(AND(V1400&gt;175,W1400&gt;=25,W1400&lt;55),0.2,0)+IF(AND(V1400&gt;175,W1400&gt;=55,W1400&lt;95),0.15,0)+IF(AND(V1400&gt;175,W1400&gt;=95),0.1,0))))))))))))))))))</f>
        <v>0</v>
      </c>
      <c r="Y1400" s="78">
        <v>0.15</v>
      </c>
      <c r="Z1400" s="35">
        <f>T1400-AA1400-AB1400</f>
        <v>83.3</v>
      </c>
      <c r="AA1400" s="29">
        <f>IF(AD1400="EUR",((T1400-R1400)*X1400)*U1400+(R1400*X1400),(T1400*X1400))</f>
        <v>0</v>
      </c>
      <c r="AB1400" s="36">
        <f>IF(AD1400="EUR",((T1400-R1400)*Y1400)*U1400+(R1400*Y1400),(T1400*Y1400))</f>
        <v>14.7</v>
      </c>
      <c r="AC1400" s="61" t="b">
        <v>1</v>
      </c>
      <c r="AD1400" s="37" t="s">
        <v>38</v>
      </c>
      <c r="AE1400" s="37" t="s">
        <v>38</v>
      </c>
      <c r="AF1400" s="37" t="str">
        <f t="array" ref="AF1400">INDEX('Deal Info'!D:D, MATCH(A1400,'Deal Info'!A:A, 0))</f>
        <v>None</v>
      </c>
      <c r="AG1400" s="38" t="str">
        <f t="array" ref="AG1400">INDEX('Deal Info'!G:G, MATCH(A1400,'Deal Info'!A:A, 0))</f>
        <v>guilexperi</v>
      </c>
    </row>
    <row r="1401" spans="1:33" ht="14.25" hidden="1" x14ac:dyDescent="0.2">
      <c r="A1401" s="18" t="str">
        <f t="array" ref="A1401">IF(G1401='Room Info'!$B$1, INDEX('Room Info'!$A$2:$A2446, MATCH(B1401,'Room Info'!$B$2:$B2446, 0)),IF(G1401='Room Info'!$C$1, INDEX('Room Info'!$A$2:$A2446, MATCH(B1401,'Room Info'!$C$2:$C2446, 0)),IF(G1401='Room Info'!$D$1, INDEX('Room Info'!$A$2:$A2446, MATCH(B1401,'Room Info'!$D$2:$D2446, 0)),IF(G1401='Room Info'!$E$1, INDEX('Room Info'!$A$2:$A2446, MATCH(B1401,'Room Info'!$E$2:$E2446, 0)),IF(G1401='Room Info'!$F$1, INDEX('Room Info'!$A$2:$A2446, MATCH(B1401,'Room Info'!$F$2:$F2446, 0)),IF(G1401='Room Info'!$H$1, INDEX('Room Info'!$A$2:$A2446, MATCH(B1401,'Room Info'!$H$2:$H2446, 0)),IF(G1401='Room Info'!$G$1, INDEX('Room Info'!$A$2:$A2446, MATCH(B1401,'Room Info'!$G$2:$G2446, 0)))))))))</f>
        <v>guilexperi</v>
      </c>
      <c r="B1401" s="45" t="s">
        <v>208</v>
      </c>
      <c r="C1401" s="46">
        <v>44922</v>
      </c>
      <c r="D1401" s="46">
        <v>44957</v>
      </c>
      <c r="E1401" s="47">
        <v>44927</v>
      </c>
      <c r="F1401" s="48" t="s">
        <v>49</v>
      </c>
      <c r="G1401" s="45" t="s">
        <v>35</v>
      </c>
      <c r="H1401" s="49" t="s">
        <v>210</v>
      </c>
      <c r="I1401" s="49" t="s">
        <v>174</v>
      </c>
      <c r="J1401" s="50">
        <v>500</v>
      </c>
      <c r="K1401" s="51">
        <v>25</v>
      </c>
      <c r="L1401" s="52">
        <v>-2633</v>
      </c>
      <c r="M1401" s="53">
        <v>73</v>
      </c>
      <c r="N1401" s="28">
        <f>K1401*J1401</f>
        <v>12500</v>
      </c>
      <c r="O1401" s="54">
        <v>-1607</v>
      </c>
      <c r="P1401" s="29">
        <v>-64.28</v>
      </c>
      <c r="Q1401" s="55"/>
      <c r="R1401" s="31">
        <f>M1401+Q1401</f>
        <v>73</v>
      </c>
      <c r="S1401" s="117">
        <v>-1740</v>
      </c>
      <c r="T1401" s="32">
        <f>R1401+S1401+IF(F1401="Without EV deal",L1401,0)</f>
        <v>-1667</v>
      </c>
      <c r="U1401" s="57"/>
      <c r="V1401" s="58"/>
      <c r="W1401" s="58"/>
      <c r="X1401" s="30" t="b">
        <f>IF(AF1401="DoEV",IF(AND(V1401&lt;20,W1401&lt;55),0.3,0)+IF(AND(V1401&lt;20,W1401&gt;=55,W1401&lt;105),0.23,0)+IF(AND(V1401&lt;20,W1401&gt;=105),0.17,0)+IF(AND(V1401&gt;=20,V1401&lt;40,W1401&lt;45),0.3,0)+IF(AND(V1401&gt;=20,V1401&lt;40,W1401&gt;=45,W1401&lt;95),0.23,0)+IF(AND(V1401&gt;=20,V1401&lt;40,W1401&gt;=95),0.17,0)+IF(AND(V1401&gt;=40,V1401&lt;75,W1401&lt;35),0.3,0)+IF(AND(V1401&gt;=40,V1401&lt;75,W1401&gt;=35,W1401&lt;75),0.23,0)+IF(AND(V1401&gt;=40,V1401&lt;75,W1401&gt;=75,W1401&lt;120),0.17,0)+IF(AND(V1401&gt;=40,V1401&lt;75,W1401&gt;=120),0.12,0)+IF(AND(V1401&gt;=75,V1401&lt;175,W1401&lt;35),0.3,0)+IF(AND(V1401&gt;=75,V1401&lt;=175,W1401&gt;=35,W1401&lt;65),0.23,0)+IF(AND(V1401&gt;=75,V1401&lt;=175,W1401&gt;=65,W1401&lt;110),0.17,0)+IF(AND(V1401&gt;=75,V1401&lt;=175,W1401&gt;=110),0.12,0)+IF(AND(V1401&gt;175,W1401&lt;25),0.3,0)+IF(AND(V1401&gt;175,W1401&gt;=25,W1401&lt;55),0.23,0)+IF(AND(V1401&gt;175,W1401&gt;=55,W1401&lt;95),0.17,0)+IF(AND(V1401&gt;175,W1401&gt;=95),0.12,0),
IF(AF1401="Fix15",0.15,
IF(AF1401="Fix18.75",0.1875,
IF(AF1401="Fix11.25",0.1125,
IF(AF1401="Fix10",0.1,
IF(AF1401="Fix9",0.09,
IF(AF1401="Fix19",0.19,
IF(AF1401="DoEV2017",IF(AND(W1401&lt;74),0.2,0)+IF(AND(W1401&gt;=74),0.17,0),
IF(AF1401="SF",IF(AND(V1401&lt;20,W1401&lt;89),0.3,0)+IF(AND(V1401&lt;20,W1401&gt;=89),0.25,0)+IF(AND(V1401&gt;=20,V1401&lt;40,W1401&lt;74),0.3,0)+IF(AND(V1401&gt;=20,V1401&lt;40,W1401&gt;=75),0.22,0)+IF(AND(V1401&gt;=40,V1401&lt;75,W1401&lt;75),0.26,0)+IF(AND(V1401&gt;=40,V1401&lt;75,W1401&gt;=75),0.22,0)+IF(V1401&gt;=75,0.22,0),
IF(AF1401="DoEVold",IF(AND(V1401&lt;40,W1401&lt;35),0.35,0)+IF(AND(V1401&lt;40,W1401&gt;=35,W1401&lt;75),0.25,0)+IF(AND(V1401&lt;40,W1401&gt;=75),0.17,0)+IF(AND(V1401&gt;=40,V1401&lt;75,W1401&lt;25),0.35,0)+IF(AND(V1401&gt;=40,V1401&lt;75,W1401&gt;=25,W1401&lt;65),0.25,0)+IF(AND(V1401&gt;=40,V1401&lt;75,W1401&gt;=65,W1401&lt;100),0.17,0)+IF(AND(V1401&gt;=40,V1401&lt;75,W1401&gt;=100),0.1,0)+IF(AND(V1401&gt;=75,W1401&lt;25),0.35,0)+IF(AND(V1401&gt;=75,W1401&gt;=25,W1401&lt;60),0.25,0)+IF(AND(V1401&gt;=75,W1401&gt;=60,W1401&lt;95),0.17,0)+IF(AND(V1401&gt;=75,W1401&gt;=95),0.1,0),
IF(AF1401="DoEVold15",IF(AND(V1401&lt;=40,W1401&lt;35),0.35,0)+IF(AND(V1401&lt;=40,W1401&gt;=35,W1401&lt;75),0.25,0)+IF(AND(V1401&lt;=40,W1401&gt;=75,W1401&lt;120),0.17,0)+IF(AND(V1401&lt;=40,W1401&gt;=120),0.15,0)+IF(AND(V1401&gt;40,V1401&lt;75,W1401&lt;25),0.35,0)+IF(AND(V1401&gt;=40,V1401&lt;75,W1401&gt;=25,W1401&lt;65),0.25,0)+IF(AND(V1401&gt;=40,V1401&lt;75,W1401&gt;=65,W1401&lt;100),0.17,0)+IF(AND(V1401&gt;=40,V1401&lt;75,W1401&gt;=100),0.1,0)+IF(AND(V1401&gt;=75,W1401&lt;25),0.35,0)+IF(AND(V1401&gt;=75,W1401&gt;=25,W1401&lt;60),0.25,0)+IF(AND(V1401&gt;=75,W1401&gt;=60,W1401&lt;95),0.17,0)+IF(AND(V1401&gt;=75,W1401&gt;=95),0.1,0),
IF(AF1401="DoEVba",IF(AND(V1401&lt;20,W1401&lt;105),0.2,0)+IF(AND(V1401&lt;20,W1401&gt;=105),0.15,0)+IF(AND(V1401&gt;=20,V1401&lt;40,W1401&lt;95),0.2,0)+IF(AND(V1401&gt;=20,V1401&lt;40,W1401&gt;=95,W1401&lt;150),0.15,0)+IF(AND(V1401&gt;=20,V1401&lt;40,W1401&gt;=150),0.12,0)+IF(AND(V1401&gt;=40,V1401&lt;75,W1401&lt;75),0.2,0)+IF(AND(V1401&gt;=40,V1401&lt;75,W1401&gt;=75,W1401&lt;120),0.15,0)+IF(AND(V1401&gt;=40,V1401&lt;75,W1401&gt;=120),0.12,0)+IF(AND(V1401&gt;=75,V1401&lt;175,W1401&lt;65),0.2,0)+IF(AND(V1401&gt;=75,V1401&lt;175,W1401&gt;=65,W1401&lt;110),0.15,0)+IF(AND(V1401&gt;=75,V1401&lt;175,W1401&gt;=110),0.12,0)+IF(AND(V1401&gt;=175,W1401&lt;55),0.2,0)+IF(AND(V1401&gt;=175,W1401&gt;=55,W1401&lt;95),0.15,0)+IF(AND(V1401&gt;=175,W1401&gt;=95),0.12,0),
IF(AF1401="DoEVku",IF(AND(V1401&lt;20,W1401&lt;55),0.23,0)+IF(AND(V1401&lt;20,W1401&gt;=55,W1401&lt;105),0.2,0)+IF(AND(V1401&lt;20,W1401&gt;=105),0.17,0)+IF(AND(V1401&gt;=20,V1401&lt;40,W1401&lt;45),0.23,0)+IF(AND(V1401&gt;=20,V1401&lt;40,W1401&gt;=45,W1401&lt;95),0.2,0)+IF(AND(V1401&gt;=20,V1401&lt;40,W1401&gt;=95,W1401&lt;=150),0.17,0)+IF(AND(V1401&gt;=20,V1401&lt;40,W1401&gt;=150),0.12,0)+IF(AND(V1401&gt;=40,V1401&lt;75,W1401&lt;35),0.23,0)+IF(AND(V1401&gt;=40,V1401&lt;75,W1401&gt;=35,W1401&lt;75),0.2,0)+IF(AND(V1401&gt;=40,V1401&lt;75,W1401&gt;=75,W1401&lt;120),0.17,0)+IF(AND(V1401&gt;=40,V1401&lt;75,W1401&gt;=120),0.12,0)+IF(AND(V1401&gt;=75,V1401&lt;175,W1401&lt;35),0.23,0)+IF(AND(V1401&gt;=75,V1401&lt;=175,W1401&gt;=35,W1401&lt;65),0.2,0)+IF(AND(V1401&gt;=75,V1401&lt;=175,W1401&gt;=65,W1401&lt;110),0.17,0)+IF(AND(V1401&gt;=75,V1401&lt;=175,W1401&gt;=110),0.12,0)+IF(AND(V1401&gt;175,W1401&lt;25),0.23,0)+IF(AND(V1401&gt;175,W1401&gt;=25,W1401&lt;55),0.2,0)+IF(AND(V1401&gt;175,W1401&gt;=55,W1401&lt;95),0.17,0)+IF(AND(V1401&gt;175,W1401&gt;=95),0.12,0),
IF(AF1401="DoEVs1",IF(AND(V1401&lt;20,W1401&lt;55),0.3,0)+IF(AND(V1401&lt;20,W1401&gt;=55,W1401&lt;105),0.23,0)+IF(AND(V1401&lt;20,W1401&gt;=105),0.17,0)+IF(AND(V1401&gt;=20,V1401&lt;40,W1401&lt;45),0.3,0)+IF(AND(V1401&gt;=20,V1401&lt;40,W1401&gt;=45,W1401&lt;95),0.23,0)+IF(AND(V1401&gt;=20,V1401&lt;40,W1401&gt;=95,W1401&lt;=150),0.17,0)+IF(AND(V1401&gt;=20,V1401&lt;40,W1401&gt;=150),0.12,0)+IF(AND(V1401&gt;=40,V1401&lt;75,W1401&lt;35),0.3,0)+IF(AND(V1401&gt;=40,V1401&lt;75,W1401&gt;=35,W1401&lt;75),0.23,0)+IF(AND(V1401&gt;=40,V1401&lt;75,W1401&gt;=75,W1401&lt;120),0.17,0)+IF(AND(V1401&gt;=40,V1401&lt;75,W1401&gt;=120),0.12,0)+IF(AND(V1401&gt;=75,V1401&lt;175,W1401&lt;35),0.3,0)+IF(AND(V1401&gt;=75,V1401&lt;=175,W1401&gt;=35,W1401&lt;65),0.23,0)+IF(AND(V1401&gt;=75,V1401&lt;=175,W1401&gt;=65,W1401&lt;110),0.17,0)+IF(AND(V1401&gt;=75,V1401&lt;=175,W1401&gt;=110),0.12,0)+IF(AND(V1401&gt;175,W1401&lt;25),0.3,0)+IF(AND(V1401&gt;175,W1401&gt;=25,W1401&lt;55),0.23,0)+IF(AND(V1401&gt;175,W1401&gt;=55,W1401&lt;95),0.17,0)+IF(AND(V1401&gt;175,W1401&gt;=95),0.12,0),
IF(AF1401="DoEVsu",IF(AND(V1401&lt;20,W1401&lt;55),0.3,0)+IF(AND(V1401&lt;20,W1401&gt;=55,W1401&lt;105),0.23,0)+IF(AND(V1401&lt;20,W1401&gt;=105),0.17,0)+IF(AND(V1401&gt;=20,V1401&lt;40,W1401&lt;45),0.3,0)+IF(AND(V1401&gt;=20,V1401&lt;40,W1401&gt;=45,W1401&lt;95),0.23,0)+IF(AND(V1401&gt;=20,V1401&lt;40,W1401&gt;=95,W1401&lt;=250),0.17,0)+IF(AND(V1401&gt;=20,V1401&lt;40,W1401&gt;=250),0.12,0)+IF(AND(V1401&gt;=40,V1401&lt;75,W1401&lt;35),0.3,0)+IF(AND(V1401&gt;=40,V1401&lt;75,W1401&gt;=35,W1401&lt;75),0.23,0)+IF(AND(V1401&gt;=40,V1401&lt;75,W1401&gt;=75,W1401&lt;120),0.17,0)+IF(AND(V1401&gt;=40,V1401&lt;75,W1401&gt;=120),0.12,0)+IF(AND(V1401&gt;=75,V1401&lt;175,W1401&lt;35),0.3,0)+IF(AND(V1401&gt;=75,V1401&lt;=175,W1401&gt;=35,W1401&lt;65),0.23,0)+IF(AND(V1401&gt;=75,V1401&lt;=175,W1401&gt;=65,W1401&lt;110),0.17,0)+IF(AND(V1401&gt;=75,V1401&lt;=175,W1401&gt;=110),0.12,0)+IF(AND(V1401&gt;175,W1401&lt;25),0.3,0)+IF(AND(V1401&gt;175,W1401&gt;=25,W1401&lt;55),0.23,0)+IF(AND(V1401&gt;175,W1401&gt;=55,W1401&lt;95),0.17,0)+IF(AND(V1401&gt;175,W1401&gt;=95),0.12,0),
IF(AF1401="DoEVni",IF(AND(V1401&lt;20,W1401&lt;55),0.3,0)+IF(AND(V1401&lt;20,W1401&gt;=55,W1401&lt;105),0.23,0)+IF(AND(V1401&lt;20,W1401&gt;=105),0.17,0)+IF(AND(V1401&gt;=20,V1401&lt;40,W1401&lt;45),0.3,0)+IF(AND(V1401&gt;=20,V1401&lt;40,W1401&gt;=45,W1401&lt;95),0.23,0)+IF(AND(V1401&gt;=20,V1401&lt;40,W1401&gt;=95,W1401&lt;=200),0.17,0)+IF(AND(V1401&gt;=20,V1401&lt;40,W1401&gt;=200),0.12,0)+IF(AND(V1401&gt;=40,V1401&lt;75,W1401&lt;35),0.3,0)+IF(AND(V1401&gt;=40,V1401&lt;75,W1401&gt;=35,W1401&lt;75),0.23,0)+IF(AND(V1401&gt;=40,V1401&lt;75,W1401&gt;=75,W1401&lt;120),0.17,0)+IF(AND(V1401&gt;=40,V1401&lt;75,W1401&gt;=120),0.12,0)+IF(AND(V1401&gt;=75,V1401&lt;175,W1401&lt;35),0.3,0)+IF(AND(V1401&gt;=75,V1401&lt;=175,W1401&gt;=35,W1401&lt;65),0.23,0)+IF(AND(V1401&gt;=75,V1401&lt;=175,W1401&gt;=65,W1401&lt;110),0.17,0)+IF(AND(V1401&gt;=75,V1401&lt;=175,W1401&gt;=110),0.12,0)+IF(AND(V1401&gt;175,W1401&lt;25),0.3,0)+IF(AND(V1401&gt;175,W1401&gt;=25,W1401&lt;55),0.23,0)+IF(AND(V1401&gt;175,W1401&gt;=55,W1401&lt;95),0.17,0)+IF(AND(V1401&gt;175,W1401&gt;=95),0.12,0),
IF(AF1401="DoEVLo",IF(AND(V1401&lt;20,W1401&lt;55),0.25,0)+IF(AND(V1401&lt;20,W1401&gt;=55,W1401&lt;105),0.2,0)+IF(AND(V1401&lt;20,W1401&gt;=105),0.15,0)+IF(AND(V1401&gt;=20,V1401&lt;40,W1401&lt;45),0.25,0)+IF(AND(V1401&gt;=20,V1401&lt;40,W1401&gt;=45,W1401&lt;95),0.2,0)+IF(AND(V1401&gt;=20,V1401&lt;40,W1401&gt;=95),0.15,0)+IF(AND(V1401&gt;=40,V1401&lt;75,W1401&lt;35),0.25,0)+IF(AND(V1401&gt;=40,V1401&lt;75,W1401&gt;=35,W1401&lt;75),0.2,0)+IF(AND(V1401&gt;=40,V1401&lt;75,W1401&gt;=75,W1401&lt;120),0.15,0)+IF(AND(V1401&gt;=40,V1401&lt;75,W1401&gt;=120),0.1,0)+IF(AND(V1401&gt;=75,V1401&lt;175,W1401&lt;35),0.25,0)+IF(AND(V1401&gt;=75,V1401&lt;=175,W1401&gt;=35,W1401&lt;65),0.2,0)+IF(AND(V1401&gt;=75,V1401&lt;=175,W1401&gt;=65,W1401&lt;110),0.15,0)+IF(AND(V1401&gt;=75,V1401&lt;=175,W1401&gt;=110),0.1,0)+IF(AND(V1401&gt;175,W1401&lt;25),0.25,0)+IF(AND(V1401&gt;175,W1401&gt;=25,W1401&lt;55),0.2,0)+IF(AND(V1401&gt;175,W1401&gt;=55,W1401&lt;95),0.15,0)+IF(AND(V1401&gt;175,W1401&gt;=95),0.1,0))))))))))))))))))</f>
        <v>0</v>
      </c>
      <c r="Y1401" s="78">
        <v>0.15</v>
      </c>
      <c r="Z1401" s="35">
        <f>T1401-AA1401-AB1401</f>
        <v>-1416.95</v>
      </c>
      <c r="AA1401" s="29">
        <f>IF(AD1401="EUR",((T1401-R1401)*X1401)*U1401+(R1401*X1401),(T1401*X1401))</f>
        <v>0</v>
      </c>
      <c r="AB1401" s="36">
        <f>IF(AD1401="EUR",((T1401-R1401)*Y1401)*U1401+(R1401*Y1401),(T1401*Y1401))</f>
        <v>-250.04999999999998</v>
      </c>
      <c r="AC1401" s="61" t="b">
        <v>1</v>
      </c>
      <c r="AD1401" s="37" t="s">
        <v>38</v>
      </c>
      <c r="AE1401" s="37" t="s">
        <v>38</v>
      </c>
      <c r="AF1401" s="37" t="str">
        <f t="array" ref="AF1401">INDEX('Deal Info'!D:D, MATCH(A1401,'Deal Info'!A:A, 0))</f>
        <v>None</v>
      </c>
      <c r="AG1401" s="38" t="str">
        <f t="array" ref="AG1401">INDEX('Deal Info'!G:G, MATCH(A1401,'Deal Info'!A:A, 0))</f>
        <v>guilexperi</v>
      </c>
    </row>
    <row r="1402" spans="1:33" ht="14.25" hidden="1" x14ac:dyDescent="0.2">
      <c r="A1402" s="18" t="str">
        <f t="array" ref="A1402">IF(G1402='Room Info'!$B$1, INDEX('Room Info'!$A$2:$A2446, MATCH(B1402,'Room Info'!$B$2:$B2446, 0)),IF(G1402='Room Info'!$C$1, INDEX('Room Info'!$A$2:$A2446, MATCH(B1402,'Room Info'!$C$2:$C2446, 0)),IF(G1402='Room Info'!$D$1, INDEX('Room Info'!$A$2:$A2446, MATCH(B1402,'Room Info'!$D$2:$D2446, 0)),IF(G1402='Room Info'!$E$1, INDEX('Room Info'!$A$2:$A2446, MATCH(B1402,'Room Info'!$E$2:$E2446, 0)),IF(G1402='Room Info'!$F$1, INDEX('Room Info'!$A$2:$A2446, MATCH(B1402,'Room Info'!$F$2:$F2446, 0)),IF(G1402='Room Info'!$H$1, INDEX('Room Info'!$A$2:$A2446, MATCH(B1402,'Room Info'!$H$2:$H2446, 0)),IF(G1402='Room Info'!$G$1, INDEX('Room Info'!$A$2:$A2446, MATCH(B1402,'Room Info'!$G$2:$G2446, 0)))))))))</f>
        <v>guilexperi</v>
      </c>
      <c r="B1402" s="45" t="s">
        <v>208</v>
      </c>
      <c r="C1402" s="46">
        <v>44922</v>
      </c>
      <c r="D1402" s="46">
        <v>44957</v>
      </c>
      <c r="E1402" s="47">
        <v>44927</v>
      </c>
      <c r="F1402" s="48" t="s">
        <v>49</v>
      </c>
      <c r="G1402" s="45" t="s">
        <v>35</v>
      </c>
      <c r="H1402" s="49" t="s">
        <v>148</v>
      </c>
      <c r="I1402" s="49" t="s">
        <v>44</v>
      </c>
      <c r="J1402" s="50">
        <v>250</v>
      </c>
      <c r="K1402" s="51">
        <v>171</v>
      </c>
      <c r="L1402" s="52">
        <v>2500</v>
      </c>
      <c r="M1402" s="53">
        <v>1538</v>
      </c>
      <c r="N1402" s="28">
        <f>K1402*J1402</f>
        <v>42750</v>
      </c>
      <c r="O1402" s="54">
        <v>-1354</v>
      </c>
      <c r="P1402" s="29">
        <v>-7.9181286550000003</v>
      </c>
      <c r="Q1402" s="55"/>
      <c r="R1402" s="31">
        <f>M1402+Q1402</f>
        <v>1538</v>
      </c>
      <c r="S1402" s="117">
        <v>-3311</v>
      </c>
      <c r="T1402" s="32">
        <f>R1402+S1402+IF(F1402="Without EV deal",L1402,0)</f>
        <v>-1773</v>
      </c>
      <c r="U1402" s="57"/>
      <c r="V1402" s="58"/>
      <c r="W1402" s="58"/>
      <c r="X1402" s="30" t="b">
        <f>IF(AF1402="DoEV",IF(AND(V1402&lt;20,W1402&lt;55),0.3,0)+IF(AND(V1402&lt;20,W1402&gt;=55,W1402&lt;105),0.23,0)+IF(AND(V1402&lt;20,W1402&gt;=105),0.17,0)+IF(AND(V1402&gt;=20,V1402&lt;40,W1402&lt;45),0.3,0)+IF(AND(V1402&gt;=20,V1402&lt;40,W1402&gt;=45,W1402&lt;95),0.23,0)+IF(AND(V1402&gt;=20,V1402&lt;40,W1402&gt;=95),0.17,0)+IF(AND(V1402&gt;=40,V1402&lt;75,W1402&lt;35),0.3,0)+IF(AND(V1402&gt;=40,V1402&lt;75,W1402&gt;=35,W1402&lt;75),0.23,0)+IF(AND(V1402&gt;=40,V1402&lt;75,W1402&gt;=75,W1402&lt;120),0.17,0)+IF(AND(V1402&gt;=40,V1402&lt;75,W1402&gt;=120),0.12,0)+IF(AND(V1402&gt;=75,V1402&lt;175,W1402&lt;35),0.3,0)+IF(AND(V1402&gt;=75,V1402&lt;=175,W1402&gt;=35,W1402&lt;65),0.23,0)+IF(AND(V1402&gt;=75,V1402&lt;=175,W1402&gt;=65,W1402&lt;110),0.17,0)+IF(AND(V1402&gt;=75,V1402&lt;=175,W1402&gt;=110),0.12,0)+IF(AND(V1402&gt;175,W1402&lt;25),0.3,0)+IF(AND(V1402&gt;175,W1402&gt;=25,W1402&lt;55),0.23,0)+IF(AND(V1402&gt;175,W1402&gt;=55,W1402&lt;95),0.17,0)+IF(AND(V1402&gt;175,W1402&gt;=95),0.12,0),
IF(AF1402="Fix15",0.15,
IF(AF1402="Fix18.75",0.1875,
IF(AF1402="Fix11.25",0.1125,
IF(AF1402="Fix10",0.1,
IF(AF1402="Fix9",0.09,
IF(AF1402="Fix19",0.19,
IF(AF1402="DoEV2017",IF(AND(W1402&lt;74),0.2,0)+IF(AND(W1402&gt;=74),0.17,0),
IF(AF1402="SF",IF(AND(V1402&lt;20,W1402&lt;89),0.3,0)+IF(AND(V1402&lt;20,W1402&gt;=89),0.25,0)+IF(AND(V1402&gt;=20,V1402&lt;40,W1402&lt;74),0.3,0)+IF(AND(V1402&gt;=20,V1402&lt;40,W1402&gt;=75),0.22,0)+IF(AND(V1402&gt;=40,V1402&lt;75,W1402&lt;75),0.26,0)+IF(AND(V1402&gt;=40,V1402&lt;75,W1402&gt;=75),0.22,0)+IF(V1402&gt;=75,0.22,0),
IF(AF1402="DoEVold",IF(AND(V1402&lt;40,W1402&lt;35),0.35,0)+IF(AND(V1402&lt;40,W1402&gt;=35,W1402&lt;75),0.25,0)+IF(AND(V1402&lt;40,W1402&gt;=75),0.17,0)+IF(AND(V1402&gt;=40,V1402&lt;75,W1402&lt;25),0.35,0)+IF(AND(V1402&gt;=40,V1402&lt;75,W1402&gt;=25,W1402&lt;65),0.25,0)+IF(AND(V1402&gt;=40,V1402&lt;75,W1402&gt;=65,W1402&lt;100),0.17,0)+IF(AND(V1402&gt;=40,V1402&lt;75,W1402&gt;=100),0.1,0)+IF(AND(V1402&gt;=75,W1402&lt;25),0.35,0)+IF(AND(V1402&gt;=75,W1402&gt;=25,W1402&lt;60),0.25,0)+IF(AND(V1402&gt;=75,W1402&gt;=60,W1402&lt;95),0.17,0)+IF(AND(V1402&gt;=75,W1402&gt;=95),0.1,0),
IF(AF1402="DoEVold15",IF(AND(V1402&lt;=40,W1402&lt;35),0.35,0)+IF(AND(V1402&lt;=40,W1402&gt;=35,W1402&lt;75),0.25,0)+IF(AND(V1402&lt;=40,W1402&gt;=75,W1402&lt;120),0.17,0)+IF(AND(V1402&lt;=40,W1402&gt;=120),0.15,0)+IF(AND(V1402&gt;40,V1402&lt;75,W1402&lt;25),0.35,0)+IF(AND(V1402&gt;=40,V1402&lt;75,W1402&gt;=25,W1402&lt;65),0.25,0)+IF(AND(V1402&gt;=40,V1402&lt;75,W1402&gt;=65,W1402&lt;100),0.17,0)+IF(AND(V1402&gt;=40,V1402&lt;75,W1402&gt;=100),0.1,0)+IF(AND(V1402&gt;=75,W1402&lt;25),0.35,0)+IF(AND(V1402&gt;=75,W1402&gt;=25,W1402&lt;60),0.25,0)+IF(AND(V1402&gt;=75,W1402&gt;=60,W1402&lt;95),0.17,0)+IF(AND(V1402&gt;=75,W1402&gt;=95),0.1,0),
IF(AF1402="DoEVba",IF(AND(V1402&lt;20,W1402&lt;105),0.2,0)+IF(AND(V1402&lt;20,W1402&gt;=105),0.15,0)+IF(AND(V1402&gt;=20,V1402&lt;40,W1402&lt;95),0.2,0)+IF(AND(V1402&gt;=20,V1402&lt;40,W1402&gt;=95,W1402&lt;150),0.15,0)+IF(AND(V1402&gt;=20,V1402&lt;40,W1402&gt;=150),0.12,0)+IF(AND(V1402&gt;=40,V1402&lt;75,W1402&lt;75),0.2,0)+IF(AND(V1402&gt;=40,V1402&lt;75,W1402&gt;=75,W1402&lt;120),0.15,0)+IF(AND(V1402&gt;=40,V1402&lt;75,W1402&gt;=120),0.12,0)+IF(AND(V1402&gt;=75,V1402&lt;175,W1402&lt;65),0.2,0)+IF(AND(V1402&gt;=75,V1402&lt;175,W1402&gt;=65,W1402&lt;110),0.15,0)+IF(AND(V1402&gt;=75,V1402&lt;175,W1402&gt;=110),0.12,0)+IF(AND(V1402&gt;=175,W1402&lt;55),0.2,0)+IF(AND(V1402&gt;=175,W1402&gt;=55,W1402&lt;95),0.15,0)+IF(AND(V1402&gt;=175,W1402&gt;=95),0.12,0),
IF(AF1402="DoEVku",IF(AND(V1402&lt;20,W1402&lt;55),0.23,0)+IF(AND(V1402&lt;20,W1402&gt;=55,W1402&lt;105),0.2,0)+IF(AND(V1402&lt;20,W1402&gt;=105),0.17,0)+IF(AND(V1402&gt;=20,V1402&lt;40,W1402&lt;45),0.23,0)+IF(AND(V1402&gt;=20,V1402&lt;40,W1402&gt;=45,W1402&lt;95),0.2,0)+IF(AND(V1402&gt;=20,V1402&lt;40,W1402&gt;=95,W1402&lt;=150),0.17,0)+IF(AND(V1402&gt;=20,V1402&lt;40,W1402&gt;=150),0.12,0)+IF(AND(V1402&gt;=40,V1402&lt;75,W1402&lt;35),0.23,0)+IF(AND(V1402&gt;=40,V1402&lt;75,W1402&gt;=35,W1402&lt;75),0.2,0)+IF(AND(V1402&gt;=40,V1402&lt;75,W1402&gt;=75,W1402&lt;120),0.17,0)+IF(AND(V1402&gt;=40,V1402&lt;75,W1402&gt;=120),0.12,0)+IF(AND(V1402&gt;=75,V1402&lt;175,W1402&lt;35),0.23,0)+IF(AND(V1402&gt;=75,V1402&lt;=175,W1402&gt;=35,W1402&lt;65),0.2,0)+IF(AND(V1402&gt;=75,V1402&lt;=175,W1402&gt;=65,W1402&lt;110),0.17,0)+IF(AND(V1402&gt;=75,V1402&lt;=175,W1402&gt;=110),0.12,0)+IF(AND(V1402&gt;175,W1402&lt;25),0.23,0)+IF(AND(V1402&gt;175,W1402&gt;=25,W1402&lt;55),0.2,0)+IF(AND(V1402&gt;175,W1402&gt;=55,W1402&lt;95),0.17,0)+IF(AND(V1402&gt;175,W1402&gt;=95),0.12,0),
IF(AF1402="DoEVs1",IF(AND(V1402&lt;20,W1402&lt;55),0.3,0)+IF(AND(V1402&lt;20,W1402&gt;=55,W1402&lt;105),0.23,0)+IF(AND(V1402&lt;20,W1402&gt;=105),0.17,0)+IF(AND(V1402&gt;=20,V1402&lt;40,W1402&lt;45),0.3,0)+IF(AND(V1402&gt;=20,V1402&lt;40,W1402&gt;=45,W1402&lt;95),0.23,0)+IF(AND(V1402&gt;=20,V1402&lt;40,W1402&gt;=95,W1402&lt;=150),0.17,0)+IF(AND(V1402&gt;=20,V1402&lt;40,W1402&gt;=150),0.12,0)+IF(AND(V1402&gt;=40,V1402&lt;75,W1402&lt;35),0.3,0)+IF(AND(V1402&gt;=40,V1402&lt;75,W1402&gt;=35,W1402&lt;75),0.23,0)+IF(AND(V1402&gt;=40,V1402&lt;75,W1402&gt;=75,W1402&lt;120),0.17,0)+IF(AND(V1402&gt;=40,V1402&lt;75,W1402&gt;=120),0.12,0)+IF(AND(V1402&gt;=75,V1402&lt;175,W1402&lt;35),0.3,0)+IF(AND(V1402&gt;=75,V1402&lt;=175,W1402&gt;=35,W1402&lt;65),0.23,0)+IF(AND(V1402&gt;=75,V1402&lt;=175,W1402&gt;=65,W1402&lt;110),0.17,0)+IF(AND(V1402&gt;=75,V1402&lt;=175,W1402&gt;=110),0.12,0)+IF(AND(V1402&gt;175,W1402&lt;25),0.3,0)+IF(AND(V1402&gt;175,W1402&gt;=25,W1402&lt;55),0.23,0)+IF(AND(V1402&gt;175,W1402&gt;=55,W1402&lt;95),0.17,0)+IF(AND(V1402&gt;175,W1402&gt;=95),0.12,0),
IF(AF1402="DoEVsu",IF(AND(V1402&lt;20,W1402&lt;55),0.3,0)+IF(AND(V1402&lt;20,W1402&gt;=55,W1402&lt;105),0.23,0)+IF(AND(V1402&lt;20,W1402&gt;=105),0.17,0)+IF(AND(V1402&gt;=20,V1402&lt;40,W1402&lt;45),0.3,0)+IF(AND(V1402&gt;=20,V1402&lt;40,W1402&gt;=45,W1402&lt;95),0.23,0)+IF(AND(V1402&gt;=20,V1402&lt;40,W1402&gt;=95,W1402&lt;=250),0.17,0)+IF(AND(V1402&gt;=20,V1402&lt;40,W1402&gt;=250),0.12,0)+IF(AND(V1402&gt;=40,V1402&lt;75,W1402&lt;35),0.3,0)+IF(AND(V1402&gt;=40,V1402&lt;75,W1402&gt;=35,W1402&lt;75),0.23,0)+IF(AND(V1402&gt;=40,V1402&lt;75,W1402&gt;=75,W1402&lt;120),0.17,0)+IF(AND(V1402&gt;=40,V1402&lt;75,W1402&gt;=120),0.12,0)+IF(AND(V1402&gt;=75,V1402&lt;175,W1402&lt;35),0.3,0)+IF(AND(V1402&gt;=75,V1402&lt;=175,W1402&gt;=35,W1402&lt;65),0.23,0)+IF(AND(V1402&gt;=75,V1402&lt;=175,W1402&gt;=65,W1402&lt;110),0.17,0)+IF(AND(V1402&gt;=75,V1402&lt;=175,W1402&gt;=110),0.12,0)+IF(AND(V1402&gt;175,W1402&lt;25),0.3,0)+IF(AND(V1402&gt;175,W1402&gt;=25,W1402&lt;55),0.23,0)+IF(AND(V1402&gt;175,W1402&gt;=55,W1402&lt;95),0.17,0)+IF(AND(V1402&gt;175,W1402&gt;=95),0.12,0),
IF(AF1402="DoEVni",IF(AND(V1402&lt;20,W1402&lt;55),0.3,0)+IF(AND(V1402&lt;20,W1402&gt;=55,W1402&lt;105),0.23,0)+IF(AND(V1402&lt;20,W1402&gt;=105),0.17,0)+IF(AND(V1402&gt;=20,V1402&lt;40,W1402&lt;45),0.3,0)+IF(AND(V1402&gt;=20,V1402&lt;40,W1402&gt;=45,W1402&lt;95),0.23,0)+IF(AND(V1402&gt;=20,V1402&lt;40,W1402&gt;=95,W1402&lt;=200),0.17,0)+IF(AND(V1402&gt;=20,V1402&lt;40,W1402&gt;=200),0.12,0)+IF(AND(V1402&gt;=40,V1402&lt;75,W1402&lt;35),0.3,0)+IF(AND(V1402&gt;=40,V1402&lt;75,W1402&gt;=35,W1402&lt;75),0.23,0)+IF(AND(V1402&gt;=40,V1402&lt;75,W1402&gt;=75,W1402&lt;120),0.17,0)+IF(AND(V1402&gt;=40,V1402&lt;75,W1402&gt;=120),0.12,0)+IF(AND(V1402&gt;=75,V1402&lt;175,W1402&lt;35),0.3,0)+IF(AND(V1402&gt;=75,V1402&lt;=175,W1402&gt;=35,W1402&lt;65),0.23,0)+IF(AND(V1402&gt;=75,V1402&lt;=175,W1402&gt;=65,W1402&lt;110),0.17,0)+IF(AND(V1402&gt;=75,V1402&lt;=175,W1402&gt;=110),0.12,0)+IF(AND(V1402&gt;175,W1402&lt;25),0.3,0)+IF(AND(V1402&gt;175,W1402&gt;=25,W1402&lt;55),0.23,0)+IF(AND(V1402&gt;175,W1402&gt;=55,W1402&lt;95),0.17,0)+IF(AND(V1402&gt;175,W1402&gt;=95),0.12,0),
IF(AF1402="DoEVLo",IF(AND(V1402&lt;20,W1402&lt;55),0.25,0)+IF(AND(V1402&lt;20,W1402&gt;=55,W1402&lt;105),0.2,0)+IF(AND(V1402&lt;20,W1402&gt;=105),0.15,0)+IF(AND(V1402&gt;=20,V1402&lt;40,W1402&lt;45),0.25,0)+IF(AND(V1402&gt;=20,V1402&lt;40,W1402&gt;=45,W1402&lt;95),0.2,0)+IF(AND(V1402&gt;=20,V1402&lt;40,W1402&gt;=95),0.15,0)+IF(AND(V1402&gt;=40,V1402&lt;75,W1402&lt;35),0.25,0)+IF(AND(V1402&gt;=40,V1402&lt;75,W1402&gt;=35,W1402&lt;75),0.2,0)+IF(AND(V1402&gt;=40,V1402&lt;75,W1402&gt;=75,W1402&lt;120),0.15,0)+IF(AND(V1402&gt;=40,V1402&lt;75,W1402&gt;=120),0.1,0)+IF(AND(V1402&gt;=75,V1402&lt;175,W1402&lt;35),0.25,0)+IF(AND(V1402&gt;=75,V1402&lt;=175,W1402&gt;=35,W1402&lt;65),0.2,0)+IF(AND(V1402&gt;=75,V1402&lt;=175,W1402&gt;=65,W1402&lt;110),0.15,0)+IF(AND(V1402&gt;=75,V1402&lt;=175,W1402&gt;=110),0.1,0)+IF(AND(V1402&gt;175,W1402&lt;25),0.25,0)+IF(AND(V1402&gt;175,W1402&gt;=25,W1402&lt;55),0.2,0)+IF(AND(V1402&gt;175,W1402&gt;=55,W1402&lt;95),0.15,0)+IF(AND(V1402&gt;175,W1402&gt;=95),0.1,0))))))))))))))))))</f>
        <v>0</v>
      </c>
      <c r="Y1402" s="78">
        <v>0.15</v>
      </c>
      <c r="Z1402" s="35">
        <f>T1402-AA1402-AB1402</f>
        <v>-1507.05</v>
      </c>
      <c r="AA1402" s="29">
        <f>IF(AD1402="EUR",((T1402-R1402)*X1402)*U1402+(R1402*X1402),(T1402*X1402))</f>
        <v>0</v>
      </c>
      <c r="AB1402" s="36">
        <f>IF(AD1402="EUR",((T1402-R1402)*Y1402)*U1402+(R1402*Y1402),(T1402*Y1402))</f>
        <v>-265.95</v>
      </c>
      <c r="AC1402" s="61" t="b">
        <v>1</v>
      </c>
      <c r="AD1402" s="37" t="s">
        <v>38</v>
      </c>
      <c r="AE1402" s="37" t="s">
        <v>38</v>
      </c>
      <c r="AF1402" s="37" t="str">
        <f t="array" ref="AF1402">INDEX('Deal Info'!D:D, MATCH(A1402,'Deal Info'!A:A, 0))</f>
        <v>None</v>
      </c>
      <c r="AG1402" s="38" t="str">
        <f t="array" ref="AG1402">INDEX('Deal Info'!G:G, MATCH(A1402,'Deal Info'!A:A, 0))</f>
        <v>guilexperi</v>
      </c>
    </row>
    <row r="1403" spans="1:33" ht="14.25" hidden="1" x14ac:dyDescent="0.2">
      <c r="A1403" s="18" t="str">
        <f t="array" ref="A1403">IF(G1403='Room Info'!$B$1, INDEX('Room Info'!$A$2:$A2446, MATCH(B1403,'Room Info'!$B$2:$B2446, 0)),IF(G1403='Room Info'!$C$1, INDEX('Room Info'!$A$2:$A2446, MATCH(B1403,'Room Info'!$C$2:$C2446, 0)),IF(G1403='Room Info'!$D$1, INDEX('Room Info'!$A$2:$A2446, MATCH(B1403,'Room Info'!$D$2:$D2446, 0)),IF(G1403='Room Info'!$E$1, INDEX('Room Info'!$A$2:$A2446, MATCH(B1403,'Room Info'!$E$2:$E2446, 0)),IF(G1403='Room Info'!$F$1, INDEX('Room Info'!$A$2:$A2446, MATCH(B1403,'Room Info'!$F$2:$F2446, 0)),IF(G1403='Room Info'!$H$1, INDEX('Room Info'!$A$2:$A2446, MATCH(B1403,'Room Info'!$H$2:$H2446, 0)),IF(G1403='Room Info'!$G$1, INDEX('Room Info'!$A$2:$A2446, MATCH(B1403,'Room Info'!$G$2:$G2446, 0)))))))))</f>
        <v>guilexperi</v>
      </c>
      <c r="B1403" s="45" t="s">
        <v>208</v>
      </c>
      <c r="C1403" s="46">
        <v>44922</v>
      </c>
      <c r="D1403" s="46">
        <v>44957</v>
      </c>
      <c r="E1403" s="47">
        <v>44927</v>
      </c>
      <c r="F1403" s="48" t="s">
        <v>49</v>
      </c>
      <c r="G1403" s="45" t="s">
        <v>35</v>
      </c>
      <c r="H1403" s="49" t="s">
        <v>142</v>
      </c>
      <c r="I1403" s="49" t="s">
        <v>37</v>
      </c>
      <c r="J1403" s="50">
        <v>500</v>
      </c>
      <c r="K1403" s="51">
        <v>495</v>
      </c>
      <c r="L1403" s="52">
        <v>-13000</v>
      </c>
      <c r="M1403" s="53">
        <v>7409</v>
      </c>
      <c r="N1403" s="28">
        <f>K1403*J1403</f>
        <v>247500</v>
      </c>
      <c r="O1403" s="54">
        <v>9312</v>
      </c>
      <c r="P1403" s="29">
        <v>18.812121210000001</v>
      </c>
      <c r="Q1403" s="55"/>
      <c r="R1403" s="31">
        <f>M1403+Q1403</f>
        <v>7409</v>
      </c>
      <c r="S1403" s="117">
        <v>-4079</v>
      </c>
      <c r="T1403" s="32">
        <f>R1403+S1403+IF(F1403="Without EV deal",L1403,0)</f>
        <v>3330</v>
      </c>
      <c r="U1403" s="57"/>
      <c r="V1403" s="58"/>
      <c r="W1403" s="58"/>
      <c r="X1403" s="30" t="b">
        <f>IF(AF1403="DoEV",IF(AND(V1403&lt;20,W1403&lt;55),0.3,0)+IF(AND(V1403&lt;20,W1403&gt;=55,W1403&lt;105),0.23,0)+IF(AND(V1403&lt;20,W1403&gt;=105),0.17,0)+IF(AND(V1403&gt;=20,V1403&lt;40,W1403&lt;45),0.3,0)+IF(AND(V1403&gt;=20,V1403&lt;40,W1403&gt;=45,W1403&lt;95),0.23,0)+IF(AND(V1403&gt;=20,V1403&lt;40,W1403&gt;=95),0.17,0)+IF(AND(V1403&gt;=40,V1403&lt;75,W1403&lt;35),0.3,0)+IF(AND(V1403&gt;=40,V1403&lt;75,W1403&gt;=35,W1403&lt;75),0.23,0)+IF(AND(V1403&gt;=40,V1403&lt;75,W1403&gt;=75,W1403&lt;120),0.17,0)+IF(AND(V1403&gt;=40,V1403&lt;75,W1403&gt;=120),0.12,0)+IF(AND(V1403&gt;=75,V1403&lt;175,W1403&lt;35),0.3,0)+IF(AND(V1403&gt;=75,V1403&lt;=175,W1403&gt;=35,W1403&lt;65),0.23,0)+IF(AND(V1403&gt;=75,V1403&lt;=175,W1403&gt;=65,W1403&lt;110),0.17,0)+IF(AND(V1403&gt;=75,V1403&lt;=175,W1403&gt;=110),0.12,0)+IF(AND(V1403&gt;175,W1403&lt;25),0.3,0)+IF(AND(V1403&gt;175,W1403&gt;=25,W1403&lt;55),0.23,0)+IF(AND(V1403&gt;175,W1403&gt;=55,W1403&lt;95),0.17,0)+IF(AND(V1403&gt;175,W1403&gt;=95),0.12,0),
IF(AF1403="Fix15",0.15,
IF(AF1403="Fix18.75",0.1875,
IF(AF1403="Fix11.25",0.1125,
IF(AF1403="Fix10",0.1,
IF(AF1403="Fix9",0.09,
IF(AF1403="Fix19",0.19,
IF(AF1403="DoEV2017",IF(AND(W1403&lt;74),0.2,0)+IF(AND(W1403&gt;=74),0.17,0),
IF(AF1403="SF",IF(AND(V1403&lt;20,W1403&lt;89),0.3,0)+IF(AND(V1403&lt;20,W1403&gt;=89),0.25,0)+IF(AND(V1403&gt;=20,V1403&lt;40,W1403&lt;74),0.3,0)+IF(AND(V1403&gt;=20,V1403&lt;40,W1403&gt;=75),0.22,0)+IF(AND(V1403&gt;=40,V1403&lt;75,W1403&lt;75),0.26,0)+IF(AND(V1403&gt;=40,V1403&lt;75,W1403&gt;=75),0.22,0)+IF(V1403&gt;=75,0.22,0),
IF(AF1403="DoEVold",IF(AND(V1403&lt;40,W1403&lt;35),0.35,0)+IF(AND(V1403&lt;40,W1403&gt;=35,W1403&lt;75),0.25,0)+IF(AND(V1403&lt;40,W1403&gt;=75),0.17,0)+IF(AND(V1403&gt;=40,V1403&lt;75,W1403&lt;25),0.35,0)+IF(AND(V1403&gt;=40,V1403&lt;75,W1403&gt;=25,W1403&lt;65),0.25,0)+IF(AND(V1403&gt;=40,V1403&lt;75,W1403&gt;=65,W1403&lt;100),0.17,0)+IF(AND(V1403&gt;=40,V1403&lt;75,W1403&gt;=100),0.1,0)+IF(AND(V1403&gt;=75,W1403&lt;25),0.35,0)+IF(AND(V1403&gt;=75,W1403&gt;=25,W1403&lt;60),0.25,0)+IF(AND(V1403&gt;=75,W1403&gt;=60,W1403&lt;95),0.17,0)+IF(AND(V1403&gt;=75,W1403&gt;=95),0.1,0),
IF(AF1403="DoEVold15",IF(AND(V1403&lt;=40,W1403&lt;35),0.35,0)+IF(AND(V1403&lt;=40,W1403&gt;=35,W1403&lt;75),0.25,0)+IF(AND(V1403&lt;=40,W1403&gt;=75,W1403&lt;120),0.17,0)+IF(AND(V1403&lt;=40,W1403&gt;=120),0.15,0)+IF(AND(V1403&gt;40,V1403&lt;75,W1403&lt;25),0.35,0)+IF(AND(V1403&gt;=40,V1403&lt;75,W1403&gt;=25,W1403&lt;65),0.25,0)+IF(AND(V1403&gt;=40,V1403&lt;75,W1403&gt;=65,W1403&lt;100),0.17,0)+IF(AND(V1403&gt;=40,V1403&lt;75,W1403&gt;=100),0.1,0)+IF(AND(V1403&gt;=75,W1403&lt;25),0.35,0)+IF(AND(V1403&gt;=75,W1403&gt;=25,W1403&lt;60),0.25,0)+IF(AND(V1403&gt;=75,W1403&gt;=60,W1403&lt;95),0.17,0)+IF(AND(V1403&gt;=75,W1403&gt;=95),0.1,0),
IF(AF1403="DoEVba",IF(AND(V1403&lt;20,W1403&lt;105),0.2,0)+IF(AND(V1403&lt;20,W1403&gt;=105),0.15,0)+IF(AND(V1403&gt;=20,V1403&lt;40,W1403&lt;95),0.2,0)+IF(AND(V1403&gt;=20,V1403&lt;40,W1403&gt;=95,W1403&lt;150),0.15,0)+IF(AND(V1403&gt;=20,V1403&lt;40,W1403&gt;=150),0.12,0)+IF(AND(V1403&gt;=40,V1403&lt;75,W1403&lt;75),0.2,0)+IF(AND(V1403&gt;=40,V1403&lt;75,W1403&gt;=75,W1403&lt;120),0.15,0)+IF(AND(V1403&gt;=40,V1403&lt;75,W1403&gt;=120),0.12,0)+IF(AND(V1403&gt;=75,V1403&lt;175,W1403&lt;65),0.2,0)+IF(AND(V1403&gt;=75,V1403&lt;175,W1403&gt;=65,W1403&lt;110),0.15,0)+IF(AND(V1403&gt;=75,V1403&lt;175,W1403&gt;=110),0.12,0)+IF(AND(V1403&gt;=175,W1403&lt;55),0.2,0)+IF(AND(V1403&gt;=175,W1403&gt;=55,W1403&lt;95),0.15,0)+IF(AND(V1403&gt;=175,W1403&gt;=95),0.12,0),
IF(AF1403="DoEVku",IF(AND(V1403&lt;20,W1403&lt;55),0.23,0)+IF(AND(V1403&lt;20,W1403&gt;=55,W1403&lt;105),0.2,0)+IF(AND(V1403&lt;20,W1403&gt;=105),0.17,0)+IF(AND(V1403&gt;=20,V1403&lt;40,W1403&lt;45),0.23,0)+IF(AND(V1403&gt;=20,V1403&lt;40,W1403&gt;=45,W1403&lt;95),0.2,0)+IF(AND(V1403&gt;=20,V1403&lt;40,W1403&gt;=95,W1403&lt;=150),0.17,0)+IF(AND(V1403&gt;=20,V1403&lt;40,W1403&gt;=150),0.12,0)+IF(AND(V1403&gt;=40,V1403&lt;75,W1403&lt;35),0.23,0)+IF(AND(V1403&gt;=40,V1403&lt;75,W1403&gt;=35,W1403&lt;75),0.2,0)+IF(AND(V1403&gt;=40,V1403&lt;75,W1403&gt;=75,W1403&lt;120),0.17,0)+IF(AND(V1403&gt;=40,V1403&lt;75,W1403&gt;=120),0.12,0)+IF(AND(V1403&gt;=75,V1403&lt;175,W1403&lt;35),0.23,0)+IF(AND(V1403&gt;=75,V1403&lt;=175,W1403&gt;=35,W1403&lt;65),0.2,0)+IF(AND(V1403&gt;=75,V1403&lt;=175,W1403&gt;=65,W1403&lt;110),0.17,0)+IF(AND(V1403&gt;=75,V1403&lt;=175,W1403&gt;=110),0.12,0)+IF(AND(V1403&gt;175,W1403&lt;25),0.23,0)+IF(AND(V1403&gt;175,W1403&gt;=25,W1403&lt;55),0.2,0)+IF(AND(V1403&gt;175,W1403&gt;=55,W1403&lt;95),0.17,0)+IF(AND(V1403&gt;175,W1403&gt;=95),0.12,0),
IF(AF1403="DoEVs1",IF(AND(V1403&lt;20,W1403&lt;55),0.3,0)+IF(AND(V1403&lt;20,W1403&gt;=55,W1403&lt;105),0.23,0)+IF(AND(V1403&lt;20,W1403&gt;=105),0.17,0)+IF(AND(V1403&gt;=20,V1403&lt;40,W1403&lt;45),0.3,0)+IF(AND(V1403&gt;=20,V1403&lt;40,W1403&gt;=45,W1403&lt;95),0.23,0)+IF(AND(V1403&gt;=20,V1403&lt;40,W1403&gt;=95,W1403&lt;=150),0.17,0)+IF(AND(V1403&gt;=20,V1403&lt;40,W1403&gt;=150),0.12,0)+IF(AND(V1403&gt;=40,V1403&lt;75,W1403&lt;35),0.3,0)+IF(AND(V1403&gt;=40,V1403&lt;75,W1403&gt;=35,W1403&lt;75),0.23,0)+IF(AND(V1403&gt;=40,V1403&lt;75,W1403&gt;=75,W1403&lt;120),0.17,0)+IF(AND(V1403&gt;=40,V1403&lt;75,W1403&gt;=120),0.12,0)+IF(AND(V1403&gt;=75,V1403&lt;175,W1403&lt;35),0.3,0)+IF(AND(V1403&gt;=75,V1403&lt;=175,W1403&gt;=35,W1403&lt;65),0.23,0)+IF(AND(V1403&gt;=75,V1403&lt;=175,W1403&gt;=65,W1403&lt;110),0.17,0)+IF(AND(V1403&gt;=75,V1403&lt;=175,W1403&gt;=110),0.12,0)+IF(AND(V1403&gt;175,W1403&lt;25),0.3,0)+IF(AND(V1403&gt;175,W1403&gt;=25,W1403&lt;55),0.23,0)+IF(AND(V1403&gt;175,W1403&gt;=55,W1403&lt;95),0.17,0)+IF(AND(V1403&gt;175,W1403&gt;=95),0.12,0),
IF(AF1403="DoEVsu",IF(AND(V1403&lt;20,W1403&lt;55),0.3,0)+IF(AND(V1403&lt;20,W1403&gt;=55,W1403&lt;105),0.23,0)+IF(AND(V1403&lt;20,W1403&gt;=105),0.17,0)+IF(AND(V1403&gt;=20,V1403&lt;40,W1403&lt;45),0.3,0)+IF(AND(V1403&gt;=20,V1403&lt;40,W1403&gt;=45,W1403&lt;95),0.23,0)+IF(AND(V1403&gt;=20,V1403&lt;40,W1403&gt;=95,W1403&lt;=250),0.17,0)+IF(AND(V1403&gt;=20,V1403&lt;40,W1403&gt;=250),0.12,0)+IF(AND(V1403&gt;=40,V1403&lt;75,W1403&lt;35),0.3,0)+IF(AND(V1403&gt;=40,V1403&lt;75,W1403&gt;=35,W1403&lt;75),0.23,0)+IF(AND(V1403&gt;=40,V1403&lt;75,W1403&gt;=75,W1403&lt;120),0.17,0)+IF(AND(V1403&gt;=40,V1403&lt;75,W1403&gt;=120),0.12,0)+IF(AND(V1403&gt;=75,V1403&lt;175,W1403&lt;35),0.3,0)+IF(AND(V1403&gt;=75,V1403&lt;=175,W1403&gt;=35,W1403&lt;65),0.23,0)+IF(AND(V1403&gt;=75,V1403&lt;=175,W1403&gt;=65,W1403&lt;110),0.17,0)+IF(AND(V1403&gt;=75,V1403&lt;=175,W1403&gt;=110),0.12,0)+IF(AND(V1403&gt;175,W1403&lt;25),0.3,0)+IF(AND(V1403&gt;175,W1403&gt;=25,W1403&lt;55),0.23,0)+IF(AND(V1403&gt;175,W1403&gt;=55,W1403&lt;95),0.17,0)+IF(AND(V1403&gt;175,W1403&gt;=95),0.12,0),
IF(AF1403="DoEVni",IF(AND(V1403&lt;20,W1403&lt;55),0.3,0)+IF(AND(V1403&lt;20,W1403&gt;=55,W1403&lt;105),0.23,0)+IF(AND(V1403&lt;20,W1403&gt;=105),0.17,0)+IF(AND(V1403&gt;=20,V1403&lt;40,W1403&lt;45),0.3,0)+IF(AND(V1403&gt;=20,V1403&lt;40,W1403&gt;=45,W1403&lt;95),0.23,0)+IF(AND(V1403&gt;=20,V1403&lt;40,W1403&gt;=95,W1403&lt;=200),0.17,0)+IF(AND(V1403&gt;=20,V1403&lt;40,W1403&gt;=200),0.12,0)+IF(AND(V1403&gt;=40,V1403&lt;75,W1403&lt;35),0.3,0)+IF(AND(V1403&gt;=40,V1403&lt;75,W1403&gt;=35,W1403&lt;75),0.23,0)+IF(AND(V1403&gt;=40,V1403&lt;75,W1403&gt;=75,W1403&lt;120),0.17,0)+IF(AND(V1403&gt;=40,V1403&lt;75,W1403&gt;=120),0.12,0)+IF(AND(V1403&gt;=75,V1403&lt;175,W1403&lt;35),0.3,0)+IF(AND(V1403&gt;=75,V1403&lt;=175,W1403&gt;=35,W1403&lt;65),0.23,0)+IF(AND(V1403&gt;=75,V1403&lt;=175,W1403&gt;=65,W1403&lt;110),0.17,0)+IF(AND(V1403&gt;=75,V1403&lt;=175,W1403&gt;=110),0.12,0)+IF(AND(V1403&gt;175,W1403&lt;25),0.3,0)+IF(AND(V1403&gt;175,W1403&gt;=25,W1403&lt;55),0.23,0)+IF(AND(V1403&gt;175,W1403&gt;=55,W1403&lt;95),0.17,0)+IF(AND(V1403&gt;175,W1403&gt;=95),0.12,0),
IF(AF1403="DoEVLo",IF(AND(V1403&lt;20,W1403&lt;55),0.25,0)+IF(AND(V1403&lt;20,W1403&gt;=55,W1403&lt;105),0.2,0)+IF(AND(V1403&lt;20,W1403&gt;=105),0.15,0)+IF(AND(V1403&gt;=20,V1403&lt;40,W1403&lt;45),0.25,0)+IF(AND(V1403&gt;=20,V1403&lt;40,W1403&gt;=45,W1403&lt;95),0.2,0)+IF(AND(V1403&gt;=20,V1403&lt;40,W1403&gt;=95),0.15,0)+IF(AND(V1403&gt;=40,V1403&lt;75,W1403&lt;35),0.25,0)+IF(AND(V1403&gt;=40,V1403&lt;75,W1403&gt;=35,W1403&lt;75),0.2,0)+IF(AND(V1403&gt;=40,V1403&lt;75,W1403&gt;=75,W1403&lt;120),0.15,0)+IF(AND(V1403&gt;=40,V1403&lt;75,W1403&gt;=120),0.1,0)+IF(AND(V1403&gt;=75,V1403&lt;175,W1403&lt;35),0.25,0)+IF(AND(V1403&gt;=75,V1403&lt;=175,W1403&gt;=35,W1403&lt;65),0.2,0)+IF(AND(V1403&gt;=75,V1403&lt;=175,W1403&gt;=65,W1403&lt;110),0.15,0)+IF(AND(V1403&gt;=75,V1403&lt;=175,W1403&gt;=110),0.1,0)+IF(AND(V1403&gt;175,W1403&lt;25),0.25,0)+IF(AND(V1403&gt;175,W1403&gt;=25,W1403&lt;55),0.2,0)+IF(AND(V1403&gt;175,W1403&gt;=55,W1403&lt;95),0.15,0)+IF(AND(V1403&gt;175,W1403&gt;=95),0.1,0))))))))))))))))))</f>
        <v>0</v>
      </c>
      <c r="Y1403" s="78">
        <v>0.15</v>
      </c>
      <c r="Z1403" s="35">
        <f>T1403-AA1403-AB1403</f>
        <v>2830.5</v>
      </c>
      <c r="AA1403" s="29">
        <f>IF(AD1403="EUR",((T1403-R1403)*X1403)*U1403+(R1403*X1403),(T1403*X1403))</f>
        <v>0</v>
      </c>
      <c r="AB1403" s="36">
        <f>IF(AD1403="EUR",((T1403-R1403)*Y1403)*U1403+(R1403*Y1403),(T1403*Y1403))</f>
        <v>499.5</v>
      </c>
      <c r="AC1403" s="61" t="b">
        <v>1</v>
      </c>
      <c r="AD1403" s="37" t="s">
        <v>38</v>
      </c>
      <c r="AE1403" s="37" t="s">
        <v>38</v>
      </c>
      <c r="AF1403" s="37" t="str">
        <f t="array" ref="AF1403">INDEX('Deal Info'!D:D, MATCH(A1403,'Deal Info'!A:A, 0))</f>
        <v>None</v>
      </c>
      <c r="AG1403" s="38" t="str">
        <f t="array" ref="AG1403">INDEX('Deal Info'!G:G, MATCH(A1403,'Deal Info'!A:A, 0))</f>
        <v>guilexperi</v>
      </c>
    </row>
    <row r="1404" spans="1:33" ht="14.25" hidden="1" x14ac:dyDescent="0.2">
      <c r="A1404" s="18" t="str">
        <f t="array" ref="A1404">IF(G1404='Room Info'!$B$1, INDEX('Room Info'!$A$2:$A2446, MATCH(B1404,'Room Info'!$B$2:$B2446, 0)),IF(G1404='Room Info'!$C$1, INDEX('Room Info'!$A$2:$A2446, MATCH(B1404,'Room Info'!$C$2:$C2446, 0)),IF(G1404='Room Info'!$D$1, INDEX('Room Info'!$A$2:$A2446, MATCH(B1404,'Room Info'!$D$2:$D2446, 0)),IF(G1404='Room Info'!$E$1, INDEX('Room Info'!$A$2:$A2446, MATCH(B1404,'Room Info'!$E$2:$E2446, 0)),IF(G1404='Room Info'!$F$1, INDEX('Room Info'!$A$2:$A2446, MATCH(B1404,'Room Info'!$F$2:$F2446, 0)),IF(G1404='Room Info'!$H$1, INDEX('Room Info'!$A$2:$A2446, MATCH(B1404,'Room Info'!$H$2:$H2446, 0)),IF(G1404='Room Info'!$G$1, INDEX('Room Info'!$A$2:$A2446, MATCH(B1404,'Room Info'!$G$2:$G2446, 0)))))))))</f>
        <v>guilexperi</v>
      </c>
      <c r="B1404" s="45" t="s">
        <v>208</v>
      </c>
      <c r="C1404" s="46">
        <v>44922</v>
      </c>
      <c r="D1404" s="46">
        <v>44957</v>
      </c>
      <c r="E1404" s="47">
        <v>44927</v>
      </c>
      <c r="F1404" s="48" t="s">
        <v>49</v>
      </c>
      <c r="G1404" s="45" t="s">
        <v>35</v>
      </c>
      <c r="H1404" s="49" t="s">
        <v>211</v>
      </c>
      <c r="I1404" s="49" t="s">
        <v>174</v>
      </c>
      <c r="J1404" s="50">
        <v>200</v>
      </c>
      <c r="K1404" s="51">
        <v>821</v>
      </c>
      <c r="L1404" s="52">
        <v>208</v>
      </c>
      <c r="M1404" s="53">
        <v>1921</v>
      </c>
      <c r="N1404" s="28">
        <f>K1404*J1404</f>
        <v>164200</v>
      </c>
      <c r="O1404" s="54">
        <v>3251</v>
      </c>
      <c r="P1404" s="29">
        <v>3.9598051160000001</v>
      </c>
      <c r="Q1404" s="55"/>
      <c r="R1404" s="31">
        <f>M1404+Q1404</f>
        <v>1921</v>
      </c>
      <c r="S1404" s="117">
        <v>-1325</v>
      </c>
      <c r="T1404" s="32">
        <f>R1404+S1404+IF(F1404="Without EV deal",L1404,0)</f>
        <v>596</v>
      </c>
      <c r="U1404" s="57"/>
      <c r="V1404" s="58"/>
      <c r="W1404" s="58"/>
      <c r="X1404" s="30" t="b">
        <f>IF(AF1404="DoEV",IF(AND(V1404&lt;20,W1404&lt;55),0.3,0)+IF(AND(V1404&lt;20,W1404&gt;=55,W1404&lt;105),0.23,0)+IF(AND(V1404&lt;20,W1404&gt;=105),0.17,0)+IF(AND(V1404&gt;=20,V1404&lt;40,W1404&lt;45),0.3,0)+IF(AND(V1404&gt;=20,V1404&lt;40,W1404&gt;=45,W1404&lt;95),0.23,0)+IF(AND(V1404&gt;=20,V1404&lt;40,W1404&gt;=95),0.17,0)+IF(AND(V1404&gt;=40,V1404&lt;75,W1404&lt;35),0.3,0)+IF(AND(V1404&gt;=40,V1404&lt;75,W1404&gt;=35,W1404&lt;75),0.23,0)+IF(AND(V1404&gt;=40,V1404&lt;75,W1404&gt;=75,W1404&lt;120),0.17,0)+IF(AND(V1404&gt;=40,V1404&lt;75,W1404&gt;=120),0.12,0)+IF(AND(V1404&gt;=75,V1404&lt;175,W1404&lt;35),0.3,0)+IF(AND(V1404&gt;=75,V1404&lt;=175,W1404&gt;=35,W1404&lt;65),0.23,0)+IF(AND(V1404&gt;=75,V1404&lt;=175,W1404&gt;=65,W1404&lt;110),0.17,0)+IF(AND(V1404&gt;=75,V1404&lt;=175,W1404&gt;=110),0.12,0)+IF(AND(V1404&gt;175,W1404&lt;25),0.3,0)+IF(AND(V1404&gt;175,W1404&gt;=25,W1404&lt;55),0.23,0)+IF(AND(V1404&gt;175,W1404&gt;=55,W1404&lt;95),0.17,0)+IF(AND(V1404&gt;175,W1404&gt;=95),0.12,0),
IF(AF1404="Fix15",0.15,
IF(AF1404="Fix18.75",0.1875,
IF(AF1404="Fix11.25",0.1125,
IF(AF1404="Fix10",0.1,
IF(AF1404="Fix9",0.09,
IF(AF1404="Fix19",0.19,
IF(AF1404="DoEV2017",IF(AND(W1404&lt;74),0.2,0)+IF(AND(W1404&gt;=74),0.17,0),
IF(AF1404="SF",IF(AND(V1404&lt;20,W1404&lt;89),0.3,0)+IF(AND(V1404&lt;20,W1404&gt;=89),0.25,0)+IF(AND(V1404&gt;=20,V1404&lt;40,W1404&lt;74),0.3,0)+IF(AND(V1404&gt;=20,V1404&lt;40,W1404&gt;=75),0.22,0)+IF(AND(V1404&gt;=40,V1404&lt;75,W1404&lt;75),0.26,0)+IF(AND(V1404&gt;=40,V1404&lt;75,W1404&gt;=75),0.22,0)+IF(V1404&gt;=75,0.22,0),
IF(AF1404="DoEVold",IF(AND(V1404&lt;40,W1404&lt;35),0.35,0)+IF(AND(V1404&lt;40,W1404&gt;=35,W1404&lt;75),0.25,0)+IF(AND(V1404&lt;40,W1404&gt;=75),0.17,0)+IF(AND(V1404&gt;=40,V1404&lt;75,W1404&lt;25),0.35,0)+IF(AND(V1404&gt;=40,V1404&lt;75,W1404&gt;=25,W1404&lt;65),0.25,0)+IF(AND(V1404&gt;=40,V1404&lt;75,W1404&gt;=65,W1404&lt;100),0.17,0)+IF(AND(V1404&gt;=40,V1404&lt;75,W1404&gt;=100),0.1,0)+IF(AND(V1404&gt;=75,W1404&lt;25),0.35,0)+IF(AND(V1404&gt;=75,W1404&gt;=25,W1404&lt;60),0.25,0)+IF(AND(V1404&gt;=75,W1404&gt;=60,W1404&lt;95),0.17,0)+IF(AND(V1404&gt;=75,W1404&gt;=95),0.1,0),
IF(AF1404="DoEVold15",IF(AND(V1404&lt;=40,W1404&lt;35),0.35,0)+IF(AND(V1404&lt;=40,W1404&gt;=35,W1404&lt;75),0.25,0)+IF(AND(V1404&lt;=40,W1404&gt;=75,W1404&lt;120),0.17,0)+IF(AND(V1404&lt;=40,W1404&gt;=120),0.15,0)+IF(AND(V1404&gt;40,V1404&lt;75,W1404&lt;25),0.35,0)+IF(AND(V1404&gt;=40,V1404&lt;75,W1404&gt;=25,W1404&lt;65),0.25,0)+IF(AND(V1404&gt;=40,V1404&lt;75,W1404&gt;=65,W1404&lt;100),0.17,0)+IF(AND(V1404&gt;=40,V1404&lt;75,W1404&gt;=100),0.1,0)+IF(AND(V1404&gt;=75,W1404&lt;25),0.35,0)+IF(AND(V1404&gt;=75,W1404&gt;=25,W1404&lt;60),0.25,0)+IF(AND(V1404&gt;=75,W1404&gt;=60,W1404&lt;95),0.17,0)+IF(AND(V1404&gt;=75,W1404&gt;=95),0.1,0),
IF(AF1404="DoEVba",IF(AND(V1404&lt;20,W1404&lt;105),0.2,0)+IF(AND(V1404&lt;20,W1404&gt;=105),0.15,0)+IF(AND(V1404&gt;=20,V1404&lt;40,W1404&lt;95),0.2,0)+IF(AND(V1404&gt;=20,V1404&lt;40,W1404&gt;=95,W1404&lt;150),0.15,0)+IF(AND(V1404&gt;=20,V1404&lt;40,W1404&gt;=150),0.12,0)+IF(AND(V1404&gt;=40,V1404&lt;75,W1404&lt;75),0.2,0)+IF(AND(V1404&gt;=40,V1404&lt;75,W1404&gt;=75,W1404&lt;120),0.15,0)+IF(AND(V1404&gt;=40,V1404&lt;75,W1404&gt;=120),0.12,0)+IF(AND(V1404&gt;=75,V1404&lt;175,W1404&lt;65),0.2,0)+IF(AND(V1404&gt;=75,V1404&lt;175,W1404&gt;=65,W1404&lt;110),0.15,0)+IF(AND(V1404&gt;=75,V1404&lt;175,W1404&gt;=110),0.12,0)+IF(AND(V1404&gt;=175,W1404&lt;55),0.2,0)+IF(AND(V1404&gt;=175,W1404&gt;=55,W1404&lt;95),0.15,0)+IF(AND(V1404&gt;=175,W1404&gt;=95),0.12,0),
IF(AF1404="DoEVku",IF(AND(V1404&lt;20,W1404&lt;55),0.23,0)+IF(AND(V1404&lt;20,W1404&gt;=55,W1404&lt;105),0.2,0)+IF(AND(V1404&lt;20,W1404&gt;=105),0.17,0)+IF(AND(V1404&gt;=20,V1404&lt;40,W1404&lt;45),0.23,0)+IF(AND(V1404&gt;=20,V1404&lt;40,W1404&gt;=45,W1404&lt;95),0.2,0)+IF(AND(V1404&gt;=20,V1404&lt;40,W1404&gt;=95,W1404&lt;=150),0.17,0)+IF(AND(V1404&gt;=20,V1404&lt;40,W1404&gt;=150),0.12,0)+IF(AND(V1404&gt;=40,V1404&lt;75,W1404&lt;35),0.23,0)+IF(AND(V1404&gt;=40,V1404&lt;75,W1404&gt;=35,W1404&lt;75),0.2,0)+IF(AND(V1404&gt;=40,V1404&lt;75,W1404&gt;=75,W1404&lt;120),0.17,0)+IF(AND(V1404&gt;=40,V1404&lt;75,W1404&gt;=120),0.12,0)+IF(AND(V1404&gt;=75,V1404&lt;175,W1404&lt;35),0.23,0)+IF(AND(V1404&gt;=75,V1404&lt;=175,W1404&gt;=35,W1404&lt;65),0.2,0)+IF(AND(V1404&gt;=75,V1404&lt;=175,W1404&gt;=65,W1404&lt;110),0.17,0)+IF(AND(V1404&gt;=75,V1404&lt;=175,W1404&gt;=110),0.12,0)+IF(AND(V1404&gt;175,W1404&lt;25),0.23,0)+IF(AND(V1404&gt;175,W1404&gt;=25,W1404&lt;55),0.2,0)+IF(AND(V1404&gt;175,W1404&gt;=55,W1404&lt;95),0.17,0)+IF(AND(V1404&gt;175,W1404&gt;=95),0.12,0),
IF(AF1404="DoEVs1",IF(AND(V1404&lt;20,W1404&lt;55),0.3,0)+IF(AND(V1404&lt;20,W1404&gt;=55,W1404&lt;105),0.23,0)+IF(AND(V1404&lt;20,W1404&gt;=105),0.17,0)+IF(AND(V1404&gt;=20,V1404&lt;40,W1404&lt;45),0.3,0)+IF(AND(V1404&gt;=20,V1404&lt;40,W1404&gt;=45,W1404&lt;95),0.23,0)+IF(AND(V1404&gt;=20,V1404&lt;40,W1404&gt;=95,W1404&lt;=150),0.17,0)+IF(AND(V1404&gt;=20,V1404&lt;40,W1404&gt;=150),0.12,0)+IF(AND(V1404&gt;=40,V1404&lt;75,W1404&lt;35),0.3,0)+IF(AND(V1404&gt;=40,V1404&lt;75,W1404&gt;=35,W1404&lt;75),0.23,0)+IF(AND(V1404&gt;=40,V1404&lt;75,W1404&gt;=75,W1404&lt;120),0.17,0)+IF(AND(V1404&gt;=40,V1404&lt;75,W1404&gt;=120),0.12,0)+IF(AND(V1404&gt;=75,V1404&lt;175,W1404&lt;35),0.3,0)+IF(AND(V1404&gt;=75,V1404&lt;=175,W1404&gt;=35,W1404&lt;65),0.23,0)+IF(AND(V1404&gt;=75,V1404&lt;=175,W1404&gt;=65,W1404&lt;110),0.17,0)+IF(AND(V1404&gt;=75,V1404&lt;=175,W1404&gt;=110),0.12,0)+IF(AND(V1404&gt;175,W1404&lt;25),0.3,0)+IF(AND(V1404&gt;175,W1404&gt;=25,W1404&lt;55),0.23,0)+IF(AND(V1404&gt;175,W1404&gt;=55,W1404&lt;95),0.17,0)+IF(AND(V1404&gt;175,W1404&gt;=95),0.12,0),
IF(AF1404="DoEVsu",IF(AND(V1404&lt;20,W1404&lt;55),0.3,0)+IF(AND(V1404&lt;20,W1404&gt;=55,W1404&lt;105),0.23,0)+IF(AND(V1404&lt;20,W1404&gt;=105),0.17,0)+IF(AND(V1404&gt;=20,V1404&lt;40,W1404&lt;45),0.3,0)+IF(AND(V1404&gt;=20,V1404&lt;40,W1404&gt;=45,W1404&lt;95),0.23,0)+IF(AND(V1404&gt;=20,V1404&lt;40,W1404&gt;=95,W1404&lt;=250),0.17,0)+IF(AND(V1404&gt;=20,V1404&lt;40,W1404&gt;=250),0.12,0)+IF(AND(V1404&gt;=40,V1404&lt;75,W1404&lt;35),0.3,0)+IF(AND(V1404&gt;=40,V1404&lt;75,W1404&gt;=35,W1404&lt;75),0.23,0)+IF(AND(V1404&gt;=40,V1404&lt;75,W1404&gt;=75,W1404&lt;120),0.17,0)+IF(AND(V1404&gt;=40,V1404&lt;75,W1404&gt;=120),0.12,0)+IF(AND(V1404&gt;=75,V1404&lt;175,W1404&lt;35),0.3,0)+IF(AND(V1404&gt;=75,V1404&lt;=175,W1404&gt;=35,W1404&lt;65),0.23,0)+IF(AND(V1404&gt;=75,V1404&lt;=175,W1404&gt;=65,W1404&lt;110),0.17,0)+IF(AND(V1404&gt;=75,V1404&lt;=175,W1404&gt;=110),0.12,0)+IF(AND(V1404&gt;175,W1404&lt;25),0.3,0)+IF(AND(V1404&gt;175,W1404&gt;=25,W1404&lt;55),0.23,0)+IF(AND(V1404&gt;175,W1404&gt;=55,W1404&lt;95),0.17,0)+IF(AND(V1404&gt;175,W1404&gt;=95),0.12,0),
IF(AF1404="DoEVni",IF(AND(V1404&lt;20,W1404&lt;55),0.3,0)+IF(AND(V1404&lt;20,W1404&gt;=55,W1404&lt;105),0.23,0)+IF(AND(V1404&lt;20,W1404&gt;=105),0.17,0)+IF(AND(V1404&gt;=20,V1404&lt;40,W1404&lt;45),0.3,0)+IF(AND(V1404&gt;=20,V1404&lt;40,W1404&gt;=45,W1404&lt;95),0.23,0)+IF(AND(V1404&gt;=20,V1404&lt;40,W1404&gt;=95,W1404&lt;=200),0.17,0)+IF(AND(V1404&gt;=20,V1404&lt;40,W1404&gt;=200),0.12,0)+IF(AND(V1404&gt;=40,V1404&lt;75,W1404&lt;35),0.3,0)+IF(AND(V1404&gt;=40,V1404&lt;75,W1404&gt;=35,W1404&lt;75),0.23,0)+IF(AND(V1404&gt;=40,V1404&lt;75,W1404&gt;=75,W1404&lt;120),0.17,0)+IF(AND(V1404&gt;=40,V1404&lt;75,W1404&gt;=120),0.12,0)+IF(AND(V1404&gt;=75,V1404&lt;175,W1404&lt;35),0.3,0)+IF(AND(V1404&gt;=75,V1404&lt;=175,W1404&gt;=35,W1404&lt;65),0.23,0)+IF(AND(V1404&gt;=75,V1404&lt;=175,W1404&gt;=65,W1404&lt;110),0.17,0)+IF(AND(V1404&gt;=75,V1404&lt;=175,W1404&gt;=110),0.12,0)+IF(AND(V1404&gt;175,W1404&lt;25),0.3,0)+IF(AND(V1404&gt;175,W1404&gt;=25,W1404&lt;55),0.23,0)+IF(AND(V1404&gt;175,W1404&gt;=55,W1404&lt;95),0.17,0)+IF(AND(V1404&gt;175,W1404&gt;=95),0.12,0),
IF(AF1404="DoEVLo",IF(AND(V1404&lt;20,W1404&lt;55),0.25,0)+IF(AND(V1404&lt;20,W1404&gt;=55,W1404&lt;105),0.2,0)+IF(AND(V1404&lt;20,W1404&gt;=105),0.15,0)+IF(AND(V1404&gt;=20,V1404&lt;40,W1404&lt;45),0.25,0)+IF(AND(V1404&gt;=20,V1404&lt;40,W1404&gt;=45,W1404&lt;95),0.2,0)+IF(AND(V1404&gt;=20,V1404&lt;40,W1404&gt;=95),0.15,0)+IF(AND(V1404&gt;=40,V1404&lt;75,W1404&lt;35),0.25,0)+IF(AND(V1404&gt;=40,V1404&lt;75,W1404&gt;=35,W1404&lt;75),0.2,0)+IF(AND(V1404&gt;=40,V1404&lt;75,W1404&gt;=75,W1404&lt;120),0.15,0)+IF(AND(V1404&gt;=40,V1404&lt;75,W1404&gt;=120),0.1,0)+IF(AND(V1404&gt;=75,V1404&lt;175,W1404&lt;35),0.25,0)+IF(AND(V1404&gt;=75,V1404&lt;=175,W1404&gt;=35,W1404&lt;65),0.2,0)+IF(AND(V1404&gt;=75,V1404&lt;=175,W1404&gt;=65,W1404&lt;110),0.15,0)+IF(AND(V1404&gt;=75,V1404&lt;=175,W1404&gt;=110),0.1,0)+IF(AND(V1404&gt;175,W1404&lt;25),0.25,0)+IF(AND(V1404&gt;175,W1404&gt;=25,W1404&lt;55),0.2,0)+IF(AND(V1404&gt;175,W1404&gt;=55,W1404&lt;95),0.15,0)+IF(AND(V1404&gt;175,W1404&gt;=95),0.1,0))))))))))))))))))</f>
        <v>0</v>
      </c>
      <c r="Y1404" s="78">
        <v>0.15</v>
      </c>
      <c r="Z1404" s="35">
        <f>T1404-AA1404-AB1404</f>
        <v>506.6</v>
      </c>
      <c r="AA1404" s="29">
        <f>IF(AD1404="EUR",((T1404-R1404)*X1404)*U1404+(R1404*X1404),(T1404*X1404))</f>
        <v>0</v>
      </c>
      <c r="AB1404" s="36">
        <f>IF(AD1404="EUR",((T1404-R1404)*Y1404)*U1404+(R1404*Y1404),(T1404*Y1404))</f>
        <v>89.399999999999991</v>
      </c>
      <c r="AC1404" s="61" t="b">
        <v>1</v>
      </c>
      <c r="AD1404" s="37" t="s">
        <v>38</v>
      </c>
      <c r="AE1404" s="37" t="s">
        <v>38</v>
      </c>
      <c r="AF1404" s="37" t="str">
        <f t="array" ref="AF1404">INDEX('Deal Info'!D:D, MATCH(A1404,'Deal Info'!A:A, 0))</f>
        <v>None</v>
      </c>
      <c r="AG1404" s="38" t="str">
        <f t="array" ref="AG1404">INDEX('Deal Info'!G:G, MATCH(A1404,'Deal Info'!A:A, 0))</f>
        <v>guilexperi</v>
      </c>
    </row>
    <row r="1405" spans="1:33" ht="14.25" hidden="1" x14ac:dyDescent="0.2">
      <c r="A1405" s="18" t="str">
        <f t="array" ref="A1405">IF(G1405='Room Info'!$B$1, INDEX('Room Info'!$A$2:$A2446, MATCH(B1405,'Room Info'!$B$2:$B2446, 0)),IF(G1405='Room Info'!$C$1, INDEX('Room Info'!$A$2:$A2446, MATCH(B1405,'Room Info'!$C$2:$C2446, 0)),IF(G1405='Room Info'!$D$1, INDEX('Room Info'!$A$2:$A2446, MATCH(B1405,'Room Info'!$D$2:$D2446, 0)),IF(G1405='Room Info'!$E$1, INDEX('Room Info'!$A$2:$A2446, MATCH(B1405,'Room Info'!$E$2:$E2446, 0)),IF(G1405='Room Info'!$F$1, INDEX('Room Info'!$A$2:$A2446, MATCH(B1405,'Room Info'!$F$2:$F2446, 0)),IF(G1405='Room Info'!$H$1, INDEX('Room Info'!$A$2:$A2446, MATCH(B1405,'Room Info'!$H$2:$H2446, 0)),IF(G1405='Room Info'!$G$1, INDEX('Room Info'!$A$2:$A2446, MATCH(B1405,'Room Info'!$G$2:$G2446, 0)))))))))</f>
        <v>guilexperi</v>
      </c>
      <c r="B1405" s="45" t="s">
        <v>208</v>
      </c>
      <c r="C1405" s="46">
        <v>44922</v>
      </c>
      <c r="D1405" s="46">
        <v>44957</v>
      </c>
      <c r="E1405" s="47">
        <v>44927</v>
      </c>
      <c r="F1405" s="48" t="s">
        <v>49</v>
      </c>
      <c r="G1405" s="45" t="s">
        <v>35</v>
      </c>
      <c r="H1405" s="49" t="s">
        <v>88</v>
      </c>
      <c r="I1405" s="49" t="s">
        <v>37</v>
      </c>
      <c r="J1405" s="50">
        <v>250</v>
      </c>
      <c r="K1405" s="51">
        <v>1480</v>
      </c>
      <c r="L1405" s="52">
        <v>-19750</v>
      </c>
      <c r="M1405" s="53">
        <v>11095</v>
      </c>
      <c r="N1405" s="28">
        <f>K1405*J1405</f>
        <v>370000</v>
      </c>
      <c r="O1405" s="54">
        <v>5962</v>
      </c>
      <c r="P1405" s="29">
        <v>4.0283783780000002</v>
      </c>
      <c r="Q1405" s="55"/>
      <c r="R1405" s="31">
        <f>M1405+Q1405</f>
        <v>11095</v>
      </c>
      <c r="S1405" s="117">
        <v>-16684</v>
      </c>
      <c r="T1405" s="32">
        <f>R1405+S1405+IF(F1405="Without EV deal",L1405,0)</f>
        <v>-5589</v>
      </c>
      <c r="U1405" s="57"/>
      <c r="V1405" s="58"/>
      <c r="W1405" s="58"/>
      <c r="X1405" s="30" t="b">
        <f>IF(AF1405="DoEV",IF(AND(V1405&lt;20,W1405&lt;55),0.3,0)+IF(AND(V1405&lt;20,W1405&gt;=55,W1405&lt;105),0.23,0)+IF(AND(V1405&lt;20,W1405&gt;=105),0.17,0)+IF(AND(V1405&gt;=20,V1405&lt;40,W1405&lt;45),0.3,0)+IF(AND(V1405&gt;=20,V1405&lt;40,W1405&gt;=45,W1405&lt;95),0.23,0)+IF(AND(V1405&gt;=20,V1405&lt;40,W1405&gt;=95),0.17,0)+IF(AND(V1405&gt;=40,V1405&lt;75,W1405&lt;35),0.3,0)+IF(AND(V1405&gt;=40,V1405&lt;75,W1405&gt;=35,W1405&lt;75),0.23,0)+IF(AND(V1405&gt;=40,V1405&lt;75,W1405&gt;=75,W1405&lt;120),0.17,0)+IF(AND(V1405&gt;=40,V1405&lt;75,W1405&gt;=120),0.12,0)+IF(AND(V1405&gt;=75,V1405&lt;175,W1405&lt;35),0.3,0)+IF(AND(V1405&gt;=75,V1405&lt;=175,W1405&gt;=35,W1405&lt;65),0.23,0)+IF(AND(V1405&gt;=75,V1405&lt;=175,W1405&gt;=65,W1405&lt;110),0.17,0)+IF(AND(V1405&gt;=75,V1405&lt;=175,W1405&gt;=110),0.12,0)+IF(AND(V1405&gt;175,W1405&lt;25),0.3,0)+IF(AND(V1405&gt;175,W1405&gt;=25,W1405&lt;55),0.23,0)+IF(AND(V1405&gt;175,W1405&gt;=55,W1405&lt;95),0.17,0)+IF(AND(V1405&gt;175,W1405&gt;=95),0.12,0),
IF(AF1405="Fix15",0.15,
IF(AF1405="Fix18.75",0.1875,
IF(AF1405="Fix11.25",0.1125,
IF(AF1405="Fix10",0.1,
IF(AF1405="Fix9",0.09,
IF(AF1405="Fix19",0.19,
IF(AF1405="DoEV2017",IF(AND(W1405&lt;74),0.2,0)+IF(AND(W1405&gt;=74),0.17,0),
IF(AF1405="SF",IF(AND(V1405&lt;20,W1405&lt;89),0.3,0)+IF(AND(V1405&lt;20,W1405&gt;=89),0.25,0)+IF(AND(V1405&gt;=20,V1405&lt;40,W1405&lt;74),0.3,0)+IF(AND(V1405&gt;=20,V1405&lt;40,W1405&gt;=75),0.22,0)+IF(AND(V1405&gt;=40,V1405&lt;75,W1405&lt;75),0.26,0)+IF(AND(V1405&gt;=40,V1405&lt;75,W1405&gt;=75),0.22,0)+IF(V1405&gt;=75,0.22,0),
IF(AF1405="DoEVold",IF(AND(V1405&lt;40,W1405&lt;35),0.35,0)+IF(AND(V1405&lt;40,W1405&gt;=35,W1405&lt;75),0.25,0)+IF(AND(V1405&lt;40,W1405&gt;=75),0.17,0)+IF(AND(V1405&gt;=40,V1405&lt;75,W1405&lt;25),0.35,0)+IF(AND(V1405&gt;=40,V1405&lt;75,W1405&gt;=25,W1405&lt;65),0.25,0)+IF(AND(V1405&gt;=40,V1405&lt;75,W1405&gt;=65,W1405&lt;100),0.17,0)+IF(AND(V1405&gt;=40,V1405&lt;75,W1405&gt;=100),0.1,0)+IF(AND(V1405&gt;=75,W1405&lt;25),0.35,0)+IF(AND(V1405&gt;=75,W1405&gt;=25,W1405&lt;60),0.25,0)+IF(AND(V1405&gt;=75,W1405&gt;=60,W1405&lt;95),0.17,0)+IF(AND(V1405&gt;=75,W1405&gt;=95),0.1,0),
IF(AF1405="DoEVold15",IF(AND(V1405&lt;=40,W1405&lt;35),0.35,0)+IF(AND(V1405&lt;=40,W1405&gt;=35,W1405&lt;75),0.25,0)+IF(AND(V1405&lt;=40,W1405&gt;=75,W1405&lt;120),0.17,0)+IF(AND(V1405&lt;=40,W1405&gt;=120),0.15,0)+IF(AND(V1405&gt;40,V1405&lt;75,W1405&lt;25),0.35,0)+IF(AND(V1405&gt;=40,V1405&lt;75,W1405&gt;=25,W1405&lt;65),0.25,0)+IF(AND(V1405&gt;=40,V1405&lt;75,W1405&gt;=65,W1405&lt;100),0.17,0)+IF(AND(V1405&gt;=40,V1405&lt;75,W1405&gt;=100),0.1,0)+IF(AND(V1405&gt;=75,W1405&lt;25),0.35,0)+IF(AND(V1405&gt;=75,W1405&gt;=25,W1405&lt;60),0.25,0)+IF(AND(V1405&gt;=75,W1405&gt;=60,W1405&lt;95),0.17,0)+IF(AND(V1405&gt;=75,W1405&gt;=95),0.1,0),
IF(AF1405="DoEVba",IF(AND(V1405&lt;20,W1405&lt;105),0.2,0)+IF(AND(V1405&lt;20,W1405&gt;=105),0.15,0)+IF(AND(V1405&gt;=20,V1405&lt;40,W1405&lt;95),0.2,0)+IF(AND(V1405&gt;=20,V1405&lt;40,W1405&gt;=95,W1405&lt;150),0.15,0)+IF(AND(V1405&gt;=20,V1405&lt;40,W1405&gt;=150),0.12,0)+IF(AND(V1405&gt;=40,V1405&lt;75,W1405&lt;75),0.2,0)+IF(AND(V1405&gt;=40,V1405&lt;75,W1405&gt;=75,W1405&lt;120),0.15,0)+IF(AND(V1405&gt;=40,V1405&lt;75,W1405&gt;=120),0.12,0)+IF(AND(V1405&gt;=75,V1405&lt;175,W1405&lt;65),0.2,0)+IF(AND(V1405&gt;=75,V1405&lt;175,W1405&gt;=65,W1405&lt;110),0.15,0)+IF(AND(V1405&gt;=75,V1405&lt;175,W1405&gt;=110),0.12,0)+IF(AND(V1405&gt;=175,W1405&lt;55),0.2,0)+IF(AND(V1405&gt;=175,W1405&gt;=55,W1405&lt;95),0.15,0)+IF(AND(V1405&gt;=175,W1405&gt;=95),0.12,0),
IF(AF1405="DoEVku",IF(AND(V1405&lt;20,W1405&lt;55),0.23,0)+IF(AND(V1405&lt;20,W1405&gt;=55,W1405&lt;105),0.2,0)+IF(AND(V1405&lt;20,W1405&gt;=105),0.17,0)+IF(AND(V1405&gt;=20,V1405&lt;40,W1405&lt;45),0.23,0)+IF(AND(V1405&gt;=20,V1405&lt;40,W1405&gt;=45,W1405&lt;95),0.2,0)+IF(AND(V1405&gt;=20,V1405&lt;40,W1405&gt;=95,W1405&lt;=150),0.17,0)+IF(AND(V1405&gt;=20,V1405&lt;40,W1405&gt;=150),0.12,0)+IF(AND(V1405&gt;=40,V1405&lt;75,W1405&lt;35),0.23,0)+IF(AND(V1405&gt;=40,V1405&lt;75,W1405&gt;=35,W1405&lt;75),0.2,0)+IF(AND(V1405&gt;=40,V1405&lt;75,W1405&gt;=75,W1405&lt;120),0.17,0)+IF(AND(V1405&gt;=40,V1405&lt;75,W1405&gt;=120),0.12,0)+IF(AND(V1405&gt;=75,V1405&lt;175,W1405&lt;35),0.23,0)+IF(AND(V1405&gt;=75,V1405&lt;=175,W1405&gt;=35,W1405&lt;65),0.2,0)+IF(AND(V1405&gt;=75,V1405&lt;=175,W1405&gt;=65,W1405&lt;110),0.17,0)+IF(AND(V1405&gt;=75,V1405&lt;=175,W1405&gt;=110),0.12,0)+IF(AND(V1405&gt;175,W1405&lt;25),0.23,0)+IF(AND(V1405&gt;175,W1405&gt;=25,W1405&lt;55),0.2,0)+IF(AND(V1405&gt;175,W1405&gt;=55,W1405&lt;95),0.17,0)+IF(AND(V1405&gt;175,W1405&gt;=95),0.12,0),
IF(AF1405="DoEVs1",IF(AND(V1405&lt;20,W1405&lt;55),0.3,0)+IF(AND(V1405&lt;20,W1405&gt;=55,W1405&lt;105),0.23,0)+IF(AND(V1405&lt;20,W1405&gt;=105),0.17,0)+IF(AND(V1405&gt;=20,V1405&lt;40,W1405&lt;45),0.3,0)+IF(AND(V1405&gt;=20,V1405&lt;40,W1405&gt;=45,W1405&lt;95),0.23,0)+IF(AND(V1405&gt;=20,V1405&lt;40,W1405&gt;=95,W1405&lt;=150),0.17,0)+IF(AND(V1405&gt;=20,V1405&lt;40,W1405&gt;=150),0.12,0)+IF(AND(V1405&gt;=40,V1405&lt;75,W1405&lt;35),0.3,0)+IF(AND(V1405&gt;=40,V1405&lt;75,W1405&gt;=35,W1405&lt;75),0.23,0)+IF(AND(V1405&gt;=40,V1405&lt;75,W1405&gt;=75,W1405&lt;120),0.17,0)+IF(AND(V1405&gt;=40,V1405&lt;75,W1405&gt;=120),0.12,0)+IF(AND(V1405&gt;=75,V1405&lt;175,W1405&lt;35),0.3,0)+IF(AND(V1405&gt;=75,V1405&lt;=175,W1405&gt;=35,W1405&lt;65),0.23,0)+IF(AND(V1405&gt;=75,V1405&lt;=175,W1405&gt;=65,W1405&lt;110),0.17,0)+IF(AND(V1405&gt;=75,V1405&lt;=175,W1405&gt;=110),0.12,0)+IF(AND(V1405&gt;175,W1405&lt;25),0.3,0)+IF(AND(V1405&gt;175,W1405&gt;=25,W1405&lt;55),0.23,0)+IF(AND(V1405&gt;175,W1405&gt;=55,W1405&lt;95),0.17,0)+IF(AND(V1405&gt;175,W1405&gt;=95),0.12,0),
IF(AF1405="DoEVsu",IF(AND(V1405&lt;20,W1405&lt;55),0.3,0)+IF(AND(V1405&lt;20,W1405&gt;=55,W1405&lt;105),0.23,0)+IF(AND(V1405&lt;20,W1405&gt;=105),0.17,0)+IF(AND(V1405&gt;=20,V1405&lt;40,W1405&lt;45),0.3,0)+IF(AND(V1405&gt;=20,V1405&lt;40,W1405&gt;=45,W1405&lt;95),0.23,0)+IF(AND(V1405&gt;=20,V1405&lt;40,W1405&gt;=95,W1405&lt;=250),0.17,0)+IF(AND(V1405&gt;=20,V1405&lt;40,W1405&gt;=250),0.12,0)+IF(AND(V1405&gt;=40,V1405&lt;75,W1405&lt;35),0.3,0)+IF(AND(V1405&gt;=40,V1405&lt;75,W1405&gt;=35,W1405&lt;75),0.23,0)+IF(AND(V1405&gt;=40,V1405&lt;75,W1405&gt;=75,W1405&lt;120),0.17,0)+IF(AND(V1405&gt;=40,V1405&lt;75,W1405&gt;=120),0.12,0)+IF(AND(V1405&gt;=75,V1405&lt;175,W1405&lt;35),0.3,0)+IF(AND(V1405&gt;=75,V1405&lt;=175,W1405&gt;=35,W1405&lt;65),0.23,0)+IF(AND(V1405&gt;=75,V1405&lt;=175,W1405&gt;=65,W1405&lt;110),0.17,0)+IF(AND(V1405&gt;=75,V1405&lt;=175,W1405&gt;=110),0.12,0)+IF(AND(V1405&gt;175,W1405&lt;25),0.3,0)+IF(AND(V1405&gt;175,W1405&gt;=25,W1405&lt;55),0.23,0)+IF(AND(V1405&gt;175,W1405&gt;=55,W1405&lt;95),0.17,0)+IF(AND(V1405&gt;175,W1405&gt;=95),0.12,0),
IF(AF1405="DoEVni",IF(AND(V1405&lt;20,W1405&lt;55),0.3,0)+IF(AND(V1405&lt;20,W1405&gt;=55,W1405&lt;105),0.23,0)+IF(AND(V1405&lt;20,W1405&gt;=105),0.17,0)+IF(AND(V1405&gt;=20,V1405&lt;40,W1405&lt;45),0.3,0)+IF(AND(V1405&gt;=20,V1405&lt;40,W1405&gt;=45,W1405&lt;95),0.23,0)+IF(AND(V1405&gt;=20,V1405&lt;40,W1405&gt;=95,W1405&lt;=200),0.17,0)+IF(AND(V1405&gt;=20,V1405&lt;40,W1405&gt;=200),0.12,0)+IF(AND(V1405&gt;=40,V1405&lt;75,W1405&lt;35),0.3,0)+IF(AND(V1405&gt;=40,V1405&lt;75,W1405&gt;=35,W1405&lt;75),0.23,0)+IF(AND(V1405&gt;=40,V1405&lt;75,W1405&gt;=75,W1405&lt;120),0.17,0)+IF(AND(V1405&gt;=40,V1405&lt;75,W1405&gt;=120),0.12,0)+IF(AND(V1405&gt;=75,V1405&lt;175,W1405&lt;35),0.3,0)+IF(AND(V1405&gt;=75,V1405&lt;=175,W1405&gt;=35,W1405&lt;65),0.23,0)+IF(AND(V1405&gt;=75,V1405&lt;=175,W1405&gt;=65,W1405&lt;110),0.17,0)+IF(AND(V1405&gt;=75,V1405&lt;=175,W1405&gt;=110),0.12,0)+IF(AND(V1405&gt;175,W1405&lt;25),0.3,0)+IF(AND(V1405&gt;175,W1405&gt;=25,W1405&lt;55),0.23,0)+IF(AND(V1405&gt;175,W1405&gt;=55,W1405&lt;95),0.17,0)+IF(AND(V1405&gt;175,W1405&gt;=95),0.12,0),
IF(AF1405="DoEVLo",IF(AND(V1405&lt;20,W1405&lt;55),0.25,0)+IF(AND(V1405&lt;20,W1405&gt;=55,W1405&lt;105),0.2,0)+IF(AND(V1405&lt;20,W1405&gt;=105),0.15,0)+IF(AND(V1405&gt;=20,V1405&lt;40,W1405&lt;45),0.25,0)+IF(AND(V1405&gt;=20,V1405&lt;40,W1405&gt;=45,W1405&lt;95),0.2,0)+IF(AND(V1405&gt;=20,V1405&lt;40,W1405&gt;=95),0.15,0)+IF(AND(V1405&gt;=40,V1405&lt;75,W1405&lt;35),0.25,0)+IF(AND(V1405&gt;=40,V1405&lt;75,W1405&gt;=35,W1405&lt;75),0.2,0)+IF(AND(V1405&gt;=40,V1405&lt;75,W1405&gt;=75,W1405&lt;120),0.15,0)+IF(AND(V1405&gt;=40,V1405&lt;75,W1405&gt;=120),0.1,0)+IF(AND(V1405&gt;=75,V1405&lt;175,W1405&lt;35),0.25,0)+IF(AND(V1405&gt;=75,V1405&lt;=175,W1405&gt;=35,W1405&lt;65),0.2,0)+IF(AND(V1405&gt;=75,V1405&lt;=175,W1405&gt;=65,W1405&lt;110),0.15,0)+IF(AND(V1405&gt;=75,V1405&lt;=175,W1405&gt;=110),0.1,0)+IF(AND(V1405&gt;175,W1405&lt;25),0.25,0)+IF(AND(V1405&gt;175,W1405&gt;=25,W1405&lt;55),0.2,0)+IF(AND(V1405&gt;175,W1405&gt;=55,W1405&lt;95),0.15,0)+IF(AND(V1405&gt;175,W1405&gt;=95),0.1,0))))))))))))))))))</f>
        <v>0</v>
      </c>
      <c r="Y1405" s="78">
        <v>0.15</v>
      </c>
      <c r="Z1405" s="35">
        <f>T1405-AA1405-AB1405</f>
        <v>-4750.6499999999996</v>
      </c>
      <c r="AA1405" s="29">
        <f>IF(AD1405="EUR",((T1405-R1405)*X1405)*U1405+(R1405*X1405),(T1405*X1405))</f>
        <v>0</v>
      </c>
      <c r="AB1405" s="36">
        <f>IF(AD1405="EUR",((T1405-R1405)*Y1405)*U1405+(R1405*Y1405),(T1405*Y1405))</f>
        <v>-838.35</v>
      </c>
      <c r="AC1405" s="61" t="b">
        <v>1</v>
      </c>
      <c r="AD1405" s="37" t="s">
        <v>38</v>
      </c>
      <c r="AE1405" s="37" t="s">
        <v>38</v>
      </c>
      <c r="AF1405" s="37" t="str">
        <f t="array" ref="AF1405">INDEX('Deal Info'!D:D, MATCH(A1405,'Deal Info'!A:A, 0))</f>
        <v>None</v>
      </c>
      <c r="AG1405" s="38" t="str">
        <f t="array" ref="AG1405">INDEX('Deal Info'!G:G, MATCH(A1405,'Deal Info'!A:A, 0))</f>
        <v>guilexperi</v>
      </c>
    </row>
    <row r="1406" spans="1:33" ht="14.25" hidden="1" x14ac:dyDescent="0.2">
      <c r="A1406" s="18" t="str">
        <f t="array" ref="A1406">IF(G1406='Room Info'!$B$1, INDEX('Room Info'!$A$2:$A2446, MATCH(B1406,'Room Info'!$B$2:$B2446, 0)),IF(G1406='Room Info'!$C$1, INDEX('Room Info'!$A$2:$A2446, MATCH(B1406,'Room Info'!$C$2:$C2446, 0)),IF(G1406='Room Info'!$D$1, INDEX('Room Info'!$A$2:$A2446, MATCH(B1406,'Room Info'!$D$2:$D2446, 0)),IF(G1406='Room Info'!$E$1, INDEX('Room Info'!$A$2:$A2446, MATCH(B1406,'Room Info'!$E$2:$E2446, 0)),IF(G1406='Room Info'!$F$1, INDEX('Room Info'!$A$2:$A2446, MATCH(B1406,'Room Info'!$F$2:$F2446, 0)),IF(G1406='Room Info'!$H$1, INDEX('Room Info'!$A$2:$A2446, MATCH(B1406,'Room Info'!$H$2:$H2446, 0)),IF(G1406='Room Info'!$G$1, INDEX('Room Info'!$A$2:$A2446, MATCH(B1406,'Room Info'!$G$2:$G2446, 0)))))))))</f>
        <v>guilexperi</v>
      </c>
      <c r="B1406" s="45" t="s">
        <v>208</v>
      </c>
      <c r="C1406" s="46">
        <v>44922</v>
      </c>
      <c r="D1406" s="46">
        <v>44957</v>
      </c>
      <c r="E1406" s="47">
        <v>44927</v>
      </c>
      <c r="F1406" s="48" t="s">
        <v>49</v>
      </c>
      <c r="G1406" s="45" t="s">
        <v>35</v>
      </c>
      <c r="H1406" s="49" t="s">
        <v>212</v>
      </c>
      <c r="I1406" s="49" t="s">
        <v>174</v>
      </c>
      <c r="J1406" s="50">
        <v>300</v>
      </c>
      <c r="K1406" s="51">
        <v>2403</v>
      </c>
      <c r="L1406" s="52">
        <v>3100</v>
      </c>
      <c r="M1406" s="53">
        <v>7759</v>
      </c>
      <c r="N1406" s="28">
        <f>K1406*J1406</f>
        <v>720900</v>
      </c>
      <c r="O1406" s="54">
        <v>26154</v>
      </c>
      <c r="P1406" s="29">
        <v>10.883895130000001</v>
      </c>
      <c r="Q1406" s="55"/>
      <c r="R1406" s="31">
        <f>M1406+Q1406</f>
        <v>7759</v>
      </c>
      <c r="S1406" s="117">
        <v>5348</v>
      </c>
      <c r="T1406" s="32">
        <f>R1406+S1406+IF(F1406="Without EV deal",L1406,0)</f>
        <v>13107</v>
      </c>
      <c r="U1406" s="57"/>
      <c r="V1406" s="58"/>
      <c r="W1406" s="58"/>
      <c r="X1406" s="30" t="b">
        <f>IF(AF1406="DoEV",IF(AND(V1406&lt;20,W1406&lt;55),0.3,0)+IF(AND(V1406&lt;20,W1406&gt;=55,W1406&lt;105),0.23,0)+IF(AND(V1406&lt;20,W1406&gt;=105),0.17,0)+IF(AND(V1406&gt;=20,V1406&lt;40,W1406&lt;45),0.3,0)+IF(AND(V1406&gt;=20,V1406&lt;40,W1406&gt;=45,W1406&lt;95),0.23,0)+IF(AND(V1406&gt;=20,V1406&lt;40,W1406&gt;=95),0.17,0)+IF(AND(V1406&gt;=40,V1406&lt;75,W1406&lt;35),0.3,0)+IF(AND(V1406&gt;=40,V1406&lt;75,W1406&gt;=35,W1406&lt;75),0.23,0)+IF(AND(V1406&gt;=40,V1406&lt;75,W1406&gt;=75,W1406&lt;120),0.17,0)+IF(AND(V1406&gt;=40,V1406&lt;75,W1406&gt;=120),0.12,0)+IF(AND(V1406&gt;=75,V1406&lt;175,W1406&lt;35),0.3,0)+IF(AND(V1406&gt;=75,V1406&lt;=175,W1406&gt;=35,W1406&lt;65),0.23,0)+IF(AND(V1406&gt;=75,V1406&lt;=175,W1406&gt;=65,W1406&lt;110),0.17,0)+IF(AND(V1406&gt;=75,V1406&lt;=175,W1406&gt;=110),0.12,0)+IF(AND(V1406&gt;175,W1406&lt;25),0.3,0)+IF(AND(V1406&gt;175,W1406&gt;=25,W1406&lt;55),0.23,0)+IF(AND(V1406&gt;175,W1406&gt;=55,W1406&lt;95),0.17,0)+IF(AND(V1406&gt;175,W1406&gt;=95),0.12,0),
IF(AF1406="Fix15",0.15,
IF(AF1406="Fix18.75",0.1875,
IF(AF1406="Fix11.25",0.1125,
IF(AF1406="Fix10",0.1,
IF(AF1406="Fix9",0.09,
IF(AF1406="Fix19",0.19,
IF(AF1406="DoEV2017",IF(AND(W1406&lt;74),0.2,0)+IF(AND(W1406&gt;=74),0.17,0),
IF(AF1406="SF",IF(AND(V1406&lt;20,W1406&lt;89),0.3,0)+IF(AND(V1406&lt;20,W1406&gt;=89),0.25,0)+IF(AND(V1406&gt;=20,V1406&lt;40,W1406&lt;74),0.3,0)+IF(AND(V1406&gt;=20,V1406&lt;40,W1406&gt;=75),0.22,0)+IF(AND(V1406&gt;=40,V1406&lt;75,W1406&lt;75),0.26,0)+IF(AND(V1406&gt;=40,V1406&lt;75,W1406&gt;=75),0.22,0)+IF(V1406&gt;=75,0.22,0),
IF(AF1406="DoEVold",IF(AND(V1406&lt;40,W1406&lt;35),0.35,0)+IF(AND(V1406&lt;40,W1406&gt;=35,W1406&lt;75),0.25,0)+IF(AND(V1406&lt;40,W1406&gt;=75),0.17,0)+IF(AND(V1406&gt;=40,V1406&lt;75,W1406&lt;25),0.35,0)+IF(AND(V1406&gt;=40,V1406&lt;75,W1406&gt;=25,W1406&lt;65),0.25,0)+IF(AND(V1406&gt;=40,V1406&lt;75,W1406&gt;=65,W1406&lt;100),0.17,0)+IF(AND(V1406&gt;=40,V1406&lt;75,W1406&gt;=100),0.1,0)+IF(AND(V1406&gt;=75,W1406&lt;25),0.35,0)+IF(AND(V1406&gt;=75,W1406&gt;=25,W1406&lt;60),0.25,0)+IF(AND(V1406&gt;=75,W1406&gt;=60,W1406&lt;95),0.17,0)+IF(AND(V1406&gt;=75,W1406&gt;=95),0.1,0),
IF(AF1406="DoEVold15",IF(AND(V1406&lt;=40,W1406&lt;35),0.35,0)+IF(AND(V1406&lt;=40,W1406&gt;=35,W1406&lt;75),0.25,0)+IF(AND(V1406&lt;=40,W1406&gt;=75,W1406&lt;120),0.17,0)+IF(AND(V1406&lt;=40,W1406&gt;=120),0.15,0)+IF(AND(V1406&gt;40,V1406&lt;75,W1406&lt;25),0.35,0)+IF(AND(V1406&gt;=40,V1406&lt;75,W1406&gt;=25,W1406&lt;65),0.25,0)+IF(AND(V1406&gt;=40,V1406&lt;75,W1406&gt;=65,W1406&lt;100),0.17,0)+IF(AND(V1406&gt;=40,V1406&lt;75,W1406&gt;=100),0.1,0)+IF(AND(V1406&gt;=75,W1406&lt;25),0.35,0)+IF(AND(V1406&gt;=75,W1406&gt;=25,W1406&lt;60),0.25,0)+IF(AND(V1406&gt;=75,W1406&gt;=60,W1406&lt;95),0.17,0)+IF(AND(V1406&gt;=75,W1406&gt;=95),0.1,0),
IF(AF1406="DoEVba",IF(AND(V1406&lt;20,W1406&lt;105),0.2,0)+IF(AND(V1406&lt;20,W1406&gt;=105),0.15,0)+IF(AND(V1406&gt;=20,V1406&lt;40,W1406&lt;95),0.2,0)+IF(AND(V1406&gt;=20,V1406&lt;40,W1406&gt;=95,W1406&lt;150),0.15,0)+IF(AND(V1406&gt;=20,V1406&lt;40,W1406&gt;=150),0.12,0)+IF(AND(V1406&gt;=40,V1406&lt;75,W1406&lt;75),0.2,0)+IF(AND(V1406&gt;=40,V1406&lt;75,W1406&gt;=75,W1406&lt;120),0.15,0)+IF(AND(V1406&gt;=40,V1406&lt;75,W1406&gt;=120),0.12,0)+IF(AND(V1406&gt;=75,V1406&lt;175,W1406&lt;65),0.2,0)+IF(AND(V1406&gt;=75,V1406&lt;175,W1406&gt;=65,W1406&lt;110),0.15,0)+IF(AND(V1406&gt;=75,V1406&lt;175,W1406&gt;=110),0.12,0)+IF(AND(V1406&gt;=175,W1406&lt;55),0.2,0)+IF(AND(V1406&gt;=175,W1406&gt;=55,W1406&lt;95),0.15,0)+IF(AND(V1406&gt;=175,W1406&gt;=95),0.12,0),
IF(AF1406="DoEVku",IF(AND(V1406&lt;20,W1406&lt;55),0.23,0)+IF(AND(V1406&lt;20,W1406&gt;=55,W1406&lt;105),0.2,0)+IF(AND(V1406&lt;20,W1406&gt;=105),0.17,0)+IF(AND(V1406&gt;=20,V1406&lt;40,W1406&lt;45),0.23,0)+IF(AND(V1406&gt;=20,V1406&lt;40,W1406&gt;=45,W1406&lt;95),0.2,0)+IF(AND(V1406&gt;=20,V1406&lt;40,W1406&gt;=95,W1406&lt;=150),0.17,0)+IF(AND(V1406&gt;=20,V1406&lt;40,W1406&gt;=150),0.12,0)+IF(AND(V1406&gt;=40,V1406&lt;75,W1406&lt;35),0.23,0)+IF(AND(V1406&gt;=40,V1406&lt;75,W1406&gt;=35,W1406&lt;75),0.2,0)+IF(AND(V1406&gt;=40,V1406&lt;75,W1406&gt;=75,W1406&lt;120),0.17,0)+IF(AND(V1406&gt;=40,V1406&lt;75,W1406&gt;=120),0.12,0)+IF(AND(V1406&gt;=75,V1406&lt;175,W1406&lt;35),0.23,0)+IF(AND(V1406&gt;=75,V1406&lt;=175,W1406&gt;=35,W1406&lt;65),0.2,0)+IF(AND(V1406&gt;=75,V1406&lt;=175,W1406&gt;=65,W1406&lt;110),0.17,0)+IF(AND(V1406&gt;=75,V1406&lt;=175,W1406&gt;=110),0.12,0)+IF(AND(V1406&gt;175,W1406&lt;25),0.23,0)+IF(AND(V1406&gt;175,W1406&gt;=25,W1406&lt;55),0.2,0)+IF(AND(V1406&gt;175,W1406&gt;=55,W1406&lt;95),0.17,0)+IF(AND(V1406&gt;175,W1406&gt;=95),0.12,0),
IF(AF1406="DoEVs1",IF(AND(V1406&lt;20,W1406&lt;55),0.3,0)+IF(AND(V1406&lt;20,W1406&gt;=55,W1406&lt;105),0.23,0)+IF(AND(V1406&lt;20,W1406&gt;=105),0.17,0)+IF(AND(V1406&gt;=20,V1406&lt;40,W1406&lt;45),0.3,0)+IF(AND(V1406&gt;=20,V1406&lt;40,W1406&gt;=45,W1406&lt;95),0.23,0)+IF(AND(V1406&gt;=20,V1406&lt;40,W1406&gt;=95,W1406&lt;=150),0.17,0)+IF(AND(V1406&gt;=20,V1406&lt;40,W1406&gt;=150),0.12,0)+IF(AND(V1406&gt;=40,V1406&lt;75,W1406&lt;35),0.3,0)+IF(AND(V1406&gt;=40,V1406&lt;75,W1406&gt;=35,W1406&lt;75),0.23,0)+IF(AND(V1406&gt;=40,V1406&lt;75,W1406&gt;=75,W1406&lt;120),0.17,0)+IF(AND(V1406&gt;=40,V1406&lt;75,W1406&gt;=120),0.12,0)+IF(AND(V1406&gt;=75,V1406&lt;175,W1406&lt;35),0.3,0)+IF(AND(V1406&gt;=75,V1406&lt;=175,W1406&gt;=35,W1406&lt;65),0.23,0)+IF(AND(V1406&gt;=75,V1406&lt;=175,W1406&gt;=65,W1406&lt;110),0.17,0)+IF(AND(V1406&gt;=75,V1406&lt;=175,W1406&gt;=110),0.12,0)+IF(AND(V1406&gt;175,W1406&lt;25),0.3,0)+IF(AND(V1406&gt;175,W1406&gt;=25,W1406&lt;55),0.23,0)+IF(AND(V1406&gt;175,W1406&gt;=55,W1406&lt;95),0.17,0)+IF(AND(V1406&gt;175,W1406&gt;=95),0.12,0),
IF(AF1406="DoEVsu",IF(AND(V1406&lt;20,W1406&lt;55),0.3,0)+IF(AND(V1406&lt;20,W1406&gt;=55,W1406&lt;105),0.23,0)+IF(AND(V1406&lt;20,W1406&gt;=105),0.17,0)+IF(AND(V1406&gt;=20,V1406&lt;40,W1406&lt;45),0.3,0)+IF(AND(V1406&gt;=20,V1406&lt;40,W1406&gt;=45,W1406&lt;95),0.23,0)+IF(AND(V1406&gt;=20,V1406&lt;40,W1406&gt;=95,W1406&lt;=250),0.17,0)+IF(AND(V1406&gt;=20,V1406&lt;40,W1406&gt;=250),0.12,0)+IF(AND(V1406&gt;=40,V1406&lt;75,W1406&lt;35),0.3,0)+IF(AND(V1406&gt;=40,V1406&lt;75,W1406&gt;=35,W1406&lt;75),0.23,0)+IF(AND(V1406&gt;=40,V1406&lt;75,W1406&gt;=75,W1406&lt;120),0.17,0)+IF(AND(V1406&gt;=40,V1406&lt;75,W1406&gt;=120),0.12,0)+IF(AND(V1406&gt;=75,V1406&lt;175,W1406&lt;35),0.3,0)+IF(AND(V1406&gt;=75,V1406&lt;=175,W1406&gt;=35,W1406&lt;65),0.23,0)+IF(AND(V1406&gt;=75,V1406&lt;=175,W1406&gt;=65,W1406&lt;110),0.17,0)+IF(AND(V1406&gt;=75,V1406&lt;=175,W1406&gt;=110),0.12,0)+IF(AND(V1406&gt;175,W1406&lt;25),0.3,0)+IF(AND(V1406&gt;175,W1406&gt;=25,W1406&lt;55),0.23,0)+IF(AND(V1406&gt;175,W1406&gt;=55,W1406&lt;95),0.17,0)+IF(AND(V1406&gt;175,W1406&gt;=95),0.12,0),
IF(AF1406="DoEVni",IF(AND(V1406&lt;20,W1406&lt;55),0.3,0)+IF(AND(V1406&lt;20,W1406&gt;=55,W1406&lt;105),0.23,0)+IF(AND(V1406&lt;20,W1406&gt;=105),0.17,0)+IF(AND(V1406&gt;=20,V1406&lt;40,W1406&lt;45),0.3,0)+IF(AND(V1406&gt;=20,V1406&lt;40,W1406&gt;=45,W1406&lt;95),0.23,0)+IF(AND(V1406&gt;=20,V1406&lt;40,W1406&gt;=95,W1406&lt;=200),0.17,0)+IF(AND(V1406&gt;=20,V1406&lt;40,W1406&gt;=200),0.12,0)+IF(AND(V1406&gt;=40,V1406&lt;75,W1406&lt;35),0.3,0)+IF(AND(V1406&gt;=40,V1406&lt;75,W1406&gt;=35,W1406&lt;75),0.23,0)+IF(AND(V1406&gt;=40,V1406&lt;75,W1406&gt;=75,W1406&lt;120),0.17,0)+IF(AND(V1406&gt;=40,V1406&lt;75,W1406&gt;=120),0.12,0)+IF(AND(V1406&gt;=75,V1406&lt;175,W1406&lt;35),0.3,0)+IF(AND(V1406&gt;=75,V1406&lt;=175,W1406&gt;=35,W1406&lt;65),0.23,0)+IF(AND(V1406&gt;=75,V1406&lt;=175,W1406&gt;=65,W1406&lt;110),0.17,0)+IF(AND(V1406&gt;=75,V1406&lt;=175,W1406&gt;=110),0.12,0)+IF(AND(V1406&gt;175,W1406&lt;25),0.3,0)+IF(AND(V1406&gt;175,W1406&gt;=25,W1406&lt;55),0.23,0)+IF(AND(V1406&gt;175,W1406&gt;=55,W1406&lt;95),0.17,0)+IF(AND(V1406&gt;175,W1406&gt;=95),0.12,0),
IF(AF1406="DoEVLo",IF(AND(V1406&lt;20,W1406&lt;55),0.25,0)+IF(AND(V1406&lt;20,W1406&gt;=55,W1406&lt;105),0.2,0)+IF(AND(V1406&lt;20,W1406&gt;=105),0.15,0)+IF(AND(V1406&gt;=20,V1406&lt;40,W1406&lt;45),0.25,0)+IF(AND(V1406&gt;=20,V1406&lt;40,W1406&gt;=45,W1406&lt;95),0.2,0)+IF(AND(V1406&gt;=20,V1406&lt;40,W1406&gt;=95),0.15,0)+IF(AND(V1406&gt;=40,V1406&lt;75,W1406&lt;35),0.25,0)+IF(AND(V1406&gt;=40,V1406&lt;75,W1406&gt;=35,W1406&lt;75),0.2,0)+IF(AND(V1406&gt;=40,V1406&lt;75,W1406&gt;=75,W1406&lt;120),0.15,0)+IF(AND(V1406&gt;=40,V1406&lt;75,W1406&gt;=120),0.1,0)+IF(AND(V1406&gt;=75,V1406&lt;175,W1406&lt;35),0.25,0)+IF(AND(V1406&gt;=75,V1406&lt;=175,W1406&gt;=35,W1406&lt;65),0.2,0)+IF(AND(V1406&gt;=75,V1406&lt;=175,W1406&gt;=65,W1406&lt;110),0.15,0)+IF(AND(V1406&gt;=75,V1406&lt;=175,W1406&gt;=110),0.1,0)+IF(AND(V1406&gt;175,W1406&lt;25),0.25,0)+IF(AND(V1406&gt;175,W1406&gt;=25,W1406&lt;55),0.2,0)+IF(AND(V1406&gt;175,W1406&gt;=55,W1406&lt;95),0.15,0)+IF(AND(V1406&gt;175,W1406&gt;=95),0.1,0))))))))))))))))))</f>
        <v>0</v>
      </c>
      <c r="Y1406" s="78">
        <v>0.15</v>
      </c>
      <c r="Z1406" s="35">
        <f>T1406-AA1406-AB1406</f>
        <v>11140.95</v>
      </c>
      <c r="AA1406" s="29">
        <f>IF(AD1406="EUR",((T1406-R1406)*X1406)*U1406+(R1406*X1406),(T1406*X1406))</f>
        <v>0</v>
      </c>
      <c r="AB1406" s="36">
        <f>IF(AD1406="EUR",((T1406-R1406)*Y1406)*U1406+(R1406*Y1406),(T1406*Y1406))</f>
        <v>1966.05</v>
      </c>
      <c r="AC1406" s="61" t="b">
        <v>1</v>
      </c>
      <c r="AD1406" s="37" t="s">
        <v>38</v>
      </c>
      <c r="AE1406" s="37" t="s">
        <v>38</v>
      </c>
      <c r="AF1406" s="37" t="str">
        <f t="array" ref="AF1406">INDEX('Deal Info'!D:D, MATCH(A1406,'Deal Info'!A:A, 0))</f>
        <v>None</v>
      </c>
      <c r="AG1406" s="38" t="str">
        <f t="array" ref="AG1406">INDEX('Deal Info'!G:G, MATCH(A1406,'Deal Info'!A:A, 0))</f>
        <v>guilexperi</v>
      </c>
    </row>
    <row r="1407" spans="1:33" ht="14.25" hidden="1" x14ac:dyDescent="0.2">
      <c r="A1407" s="18" t="str">
        <f t="array" ref="A1407">IF(G1407='Room Info'!$B$1, INDEX('Room Info'!$A$2:$A2446, MATCH(B1407,'Room Info'!$B$2:$B2446, 0)),IF(G1407='Room Info'!$C$1, INDEX('Room Info'!$A$2:$A2446, MATCH(B1407,'Room Info'!$C$2:$C2446, 0)),IF(G1407='Room Info'!$D$1, INDEX('Room Info'!$A$2:$A2446, MATCH(B1407,'Room Info'!$D$2:$D2446, 0)),IF(G1407='Room Info'!$E$1, INDEX('Room Info'!$A$2:$A2446, MATCH(B1407,'Room Info'!$E$2:$E2446, 0)),IF(G1407='Room Info'!$F$1, INDEX('Room Info'!$A$2:$A2446, MATCH(B1407,'Room Info'!$F$2:$F2446, 0)),IF(G1407='Room Info'!$H$1, INDEX('Room Info'!$A$2:$A2446, MATCH(B1407,'Room Info'!$H$2:$H2446, 0)),IF(G1407='Room Info'!$G$1, INDEX('Room Info'!$A$2:$A2446, MATCH(B1407,'Room Info'!$G$2:$G2446, 0)))))))))</f>
        <v>Lo4io</v>
      </c>
      <c r="B1407" s="18" t="s">
        <v>102</v>
      </c>
      <c r="C1407" s="19">
        <v>44947</v>
      </c>
      <c r="D1407" s="20">
        <v>44977</v>
      </c>
      <c r="E1407" s="21">
        <v>44958</v>
      </c>
      <c r="F1407" s="40" t="s">
        <v>34</v>
      </c>
      <c r="G1407" s="18" t="s">
        <v>35</v>
      </c>
      <c r="H1407" s="23" t="s">
        <v>72</v>
      </c>
      <c r="I1407" s="23" t="s">
        <v>37</v>
      </c>
      <c r="J1407" s="39">
        <v>50</v>
      </c>
      <c r="K1407" s="88">
        <v>105</v>
      </c>
      <c r="L1407" s="89">
        <v>-800</v>
      </c>
      <c r="M1407" s="42">
        <v>450</v>
      </c>
      <c r="N1407" s="28">
        <f>K1407*J1407</f>
        <v>5250</v>
      </c>
      <c r="O1407" s="85">
        <v>4775</v>
      </c>
      <c r="P1407" s="29">
        <v>45.47619048</v>
      </c>
      <c r="Q1407" s="30"/>
      <c r="R1407" s="31">
        <f>M1407+Q1407</f>
        <v>450</v>
      </c>
      <c r="S1407" s="119">
        <v>-2451</v>
      </c>
      <c r="T1407" s="32">
        <f>IF(AND(AD1407="EUR", F1407="Without EV deal"), R1407 + L1407,
IF(AND(AD1407="USD", F1407="Without EV deal"), R1407 + L1407,
IF(AND(AD1407="EUR", F1407="Steel Phoenix"), R1407 + S1407/U1407,
R1407 + S1407)))</f>
        <v>-2001</v>
      </c>
      <c r="U1407" s="33">
        <v>1.0669999999999999</v>
      </c>
      <c r="V1407" s="69">
        <v>37.325261419922953</v>
      </c>
      <c r="W1407" s="64">
        <v>65</v>
      </c>
      <c r="X1407" s="30">
        <f>IF(AF1407="DoEV",IF(AND(V1407&lt;20,W1407&lt;55),0.3,0)+IF(AND(V1407&lt;20,W1407&gt;=55,W1407&lt;105),0.23,0)+IF(AND(V1407&lt;20,W1407&gt;=105),0.17,0)+IF(AND(V1407&gt;=20,V1407&lt;40,W1407&lt;45),0.3,0)+IF(AND(V1407&gt;=20,V1407&lt;40,W1407&gt;=45,W1407&lt;95),0.23,0)+IF(AND(V1407&gt;=20,V1407&lt;40,W1407&gt;=95),0.17,0)+IF(AND(V1407&gt;=40,V1407&lt;75,W1407&lt;35),0.3,0)+IF(AND(V1407&gt;=40,V1407&lt;75,W1407&gt;=35,W1407&lt;75),0.23,0)+IF(AND(V1407&gt;=40,V1407&lt;75,W1407&gt;=75,W1407&lt;120),0.17,0)+IF(AND(V1407&gt;=40,V1407&lt;75,W1407&gt;=120),0.12,0)+IF(AND(V1407&gt;=75,V1407&lt;175,W1407&lt;35),0.3,0)+IF(AND(V1407&gt;=75,V1407&lt;=175,W1407&gt;=35,W1407&lt;65),0.23,0)+IF(AND(V1407&gt;=75,V1407&lt;=175,W1407&gt;=65,W1407&lt;110),0.17,0)+IF(AND(V1407&gt;=75,V1407&lt;=175,W1407&gt;=110),0.12,0)+IF(AND(V1407&gt;175,W1407&lt;25),0.3,0)+IF(AND(V1407&gt;175,W1407&gt;=25,W1407&lt;55),0.23,0)+IF(AND(V1407&gt;175,W1407&gt;=55,W1407&lt;95),0.17,0)+IF(AND(V1407&gt;175,W1407&gt;=95),0.12,0),
IF(AF1407="Fix15",0.15,
IF(AF1407="Fix5",0.05,
IF(AF1407="Fix18.75",0.1875,
IF(AF1407="Fix11.25",0.1125,
IF(AF1407="Fix10",0.1,
IF(AF1407="Fix9",0.09,
IF(AF1407="Fix12",0.12,
IF(AF1407="Fix19",0.19,
IF(AF1407="DoEV2017",IF(AND(W1407&lt;74),0.2,0)+IF(AND(W1407&gt;=74),0.17,0),
IF(AF1407="SF",IF(AND(V1407&lt;20,W1407&lt;89),0.3,0)+IF(AND(V1407&lt;20,W1407&gt;=89),0.25,0)+IF(AND(V1407&gt;=20,V1407&lt;40,W1407&lt;74),0.3,0)+IF(AND(V1407&gt;=20,V1407&lt;40,W1407&gt;=75),0.22,0)+IF(AND(V1407&gt;=40,V1407&lt;75,W1407&lt;75),0.26,0)+IF(AND(V1407&gt;=40,V1407&lt;75,W1407&gt;=75),0.22,0)+IF(V1407&gt;=75,0.22,0),
IF(AF1407="DoEVold",IF(AND(V1407&lt;40,W1407&lt;35),0.35,0)+IF(AND(V1407&lt;40,W1407&gt;=35,W1407&lt;75),0.25,0)+IF(AND(V1407&lt;40,W1407&gt;=75),0.17,0)+IF(AND(V1407&gt;=40,V1407&lt;75,W1407&lt;25),0.35,0)+IF(AND(V1407&gt;=40,V1407&lt;75,W1407&gt;=25,W1407&lt;65),0.25,0)+IF(AND(V1407&gt;=40,V1407&lt;75,W1407&gt;=65,W1407&lt;100),0.17,0)+IF(AND(V1407&gt;=40,V1407&lt;75,W1407&gt;=100),0.1,0)+IF(AND(V1407&gt;=75,W1407&lt;25),0.35,0)+IF(AND(V1407&gt;=75,W1407&gt;=25,W1407&lt;60),0.25,0)+IF(AND(V1407&gt;=75,W1407&gt;=60,W1407&lt;95),0.17,0)+IF(AND(V1407&gt;=75,W1407&gt;=95),0.1,0),
IF(AF1407="DoEVold15",IF(AND(V1407&lt;=40,W1407&lt;35),0.35,0)+IF(AND(V1407&lt;=40,W1407&gt;=35,W1407&lt;75),0.25,0)+IF(AND(V1407&lt;=40,W1407&gt;=75,W1407&lt;120),0.17,0)+IF(AND(V1407&lt;=40,W1407&gt;=120),0.15,0)+IF(AND(V1407&gt;40,V1407&lt;75,W1407&lt;25),0.35,0)+IF(AND(V1407&gt;=40,V1407&lt;75,W1407&gt;=25,W1407&lt;65),0.25,0)+IF(AND(V1407&gt;=40,V1407&lt;75,W1407&gt;=65,W1407&lt;100),0.17,0)+IF(AND(V1407&gt;=40,V1407&lt;75,W1407&gt;=100),0.1,0)+IF(AND(V1407&gt;=75,W1407&lt;25),0.35,0)+IF(AND(V1407&gt;=75,W1407&gt;=25,W1407&lt;60),0.25,0)+IF(AND(V1407&gt;=75,W1407&gt;=60,W1407&lt;95),0.17,0)+IF(AND(V1407&gt;=75,W1407&gt;=95),0.1,0),
IF(AF1407="DoEVba",IF(AND(V1407&lt;20,W1407&lt;105),0.2,0)+IF(AND(V1407&lt;20,W1407&gt;=105),0.15,0)+IF(AND(V1407&gt;=20,V1407&lt;40,W1407&lt;95),0.2,0)+IF(AND(V1407&gt;=20,V1407&lt;40,W1407&gt;=95,W1407&lt;150),0.15,0)+IF(AND(V1407&gt;=20,V1407&lt;40,W1407&gt;=150),0.12,0)+IF(AND(V1407&gt;=40,V1407&lt;75,W1407&lt;75),0.2,0)+IF(AND(V1407&gt;=40,V1407&lt;75,W1407&gt;=75,W1407&lt;120),0.15,0)+IF(AND(V1407&gt;=40,V1407&lt;75,W1407&gt;=120),0.12,0)+IF(AND(V1407&gt;=75,V1407&lt;175,W1407&lt;65),0.2,0)+IF(AND(V1407&gt;=75,V1407&lt;175,W1407&gt;=65,W1407&lt;110),0.15,0)+IF(AND(V1407&gt;=75,V1407&lt;175,W1407&gt;=110),0.12,0)+IF(AND(V1407&gt;=175,W1407&lt;55),0.2,0)+IF(AND(V1407&gt;=175,W1407&gt;=55,W1407&lt;95),0.15,0)+IF(AND(V1407&gt;=175,W1407&gt;=95),0.12,0),
IF(AF1407="DoEVku",IF(AND(V1407&lt;20,W1407&lt;55),0.23,0)+IF(AND(V1407&lt;20,W1407&gt;=55,W1407&lt;105),0.2,0)+IF(AND(V1407&lt;20,W1407&gt;=105),0.17,0)+IF(AND(V1407&gt;=20,V1407&lt;40,W1407&lt;45),0.23,0)+IF(AND(V1407&gt;=20,V1407&lt;40,W1407&gt;=45,W1407&lt;95),0.2,0)+IF(AND(V1407&gt;=20,V1407&lt;40,W1407&gt;=95,W1407&lt;=150),0.17,0)+IF(AND(V1407&gt;=20,V1407&lt;40,W1407&gt;=150),0.12,0)+IF(AND(V1407&gt;=40,V1407&lt;75,W1407&lt;35),0.23,0)+IF(AND(V1407&gt;=40,V1407&lt;75,W1407&gt;=35,W1407&lt;75),0.2,0)+IF(AND(V1407&gt;=40,V1407&lt;75,W1407&gt;=75,W1407&lt;120),0.17,0)+IF(AND(V1407&gt;=40,V1407&lt;75,W1407&gt;=120),0.12,0)+IF(AND(V1407&gt;=75,V1407&lt;175,W1407&lt;35),0.23,0)+IF(AND(V1407&gt;=75,V1407&lt;=175,W1407&gt;=35,W1407&lt;65),0.2,0)+IF(AND(V1407&gt;=75,V1407&lt;=175,W1407&gt;=65,W1407&lt;110),0.17,0)+IF(AND(V1407&gt;=75,V1407&lt;=175,W1407&gt;=110),0.12,0)+IF(AND(V1407&gt;175,W1407&lt;25),0.23,0)+IF(AND(V1407&gt;175,W1407&gt;=25,W1407&lt;55),0.2,0)+IF(AND(V1407&gt;175,W1407&gt;=55,W1407&lt;95),0.17,0)+IF(AND(V1407&gt;175,W1407&gt;=95),0.12,0),
IF(AF1407="DoEVs1",IF(AND(V1407&lt;20,W1407&lt;55),0.3,0)+IF(AND(V1407&lt;20,W1407&gt;=55,W1407&lt;105),0.23,0)+IF(AND(V1407&lt;20,W1407&gt;=105),0.17,0)+IF(AND(V1407&gt;=20,V1407&lt;40,W1407&lt;45),0.3,0)+IF(AND(V1407&gt;=20,V1407&lt;40,W1407&gt;=45,W1407&lt;95),0.23,0)+IF(AND(V1407&gt;=20,V1407&lt;40,W1407&gt;=95,W1407&lt;=150),0.17,0)+IF(AND(V1407&gt;=20,V1407&lt;40,W1407&gt;=150),0.12,0)+IF(AND(V1407&gt;=40,V1407&lt;75,W1407&lt;35),0.3,0)+IF(AND(V1407&gt;=40,V1407&lt;75,W1407&gt;=35,W1407&lt;75),0.23,0)+IF(AND(V1407&gt;=40,V1407&lt;75,W1407&gt;=75,W1407&lt;120),0.17,0)+IF(AND(V1407&gt;=40,V1407&lt;75,W1407&gt;=120),0.12,0)+IF(AND(V1407&gt;=75,V1407&lt;175,W1407&lt;35),0.3,0)+IF(AND(V1407&gt;=75,V1407&lt;=175,W1407&gt;=35,W1407&lt;65),0.23,0)+IF(AND(V1407&gt;=75,V1407&lt;=175,W1407&gt;=65,W1407&lt;110),0.17,0)+IF(AND(V1407&gt;=75,V1407&lt;=175,W1407&gt;=110),0.12,0)+IF(AND(V1407&gt;175,W1407&lt;25),0.3,0)+IF(AND(V1407&gt;175,W1407&gt;=25,W1407&lt;55),0.23,0)+IF(AND(V1407&gt;175,W1407&gt;=55,W1407&lt;95),0.17,0)+IF(AND(V1407&gt;175,W1407&gt;=95),0.12,0),
IF(AF1407="DoEVsu",IF(AND(V1407&lt;20,W1407&lt;55),0.3,0)+IF(AND(V1407&lt;20,W1407&gt;=55,W1407&lt;105),0.23,0)+IF(AND(V1407&lt;20,W1407&gt;=105),0.17,0)+IF(AND(V1407&gt;=20,V1407&lt;40,W1407&lt;45),0.3,0)+IF(AND(V1407&gt;=20,V1407&lt;40,W1407&gt;=45,W1407&lt;95),0.23,0)+IF(AND(V1407&gt;=20,V1407&lt;40,W1407&gt;=95,W1407&lt;=250),0.17,0)+IF(AND(V1407&gt;=20,V1407&lt;40,W1407&gt;=250),0.12,0)+IF(AND(V1407&gt;=40,V1407&lt;75,W1407&lt;35),0.3,0)+IF(AND(V1407&gt;=40,V1407&lt;75,W1407&gt;=35,W1407&lt;75),0.23,0)+IF(AND(V1407&gt;=40,V1407&lt;75,W1407&gt;=75,W1407&lt;120),0.17,0)+IF(AND(V1407&gt;=40,V1407&lt;75,W1407&gt;=120),0.12,0)+IF(AND(V1407&gt;=75,V1407&lt;175,W1407&lt;35),0.3,0)+IF(AND(V1407&gt;=75,V1407&lt;=175,W1407&gt;=35,W1407&lt;65),0.23,0)+IF(AND(V1407&gt;=75,V1407&lt;=175,W1407&gt;=65,W1407&lt;110),0.17,0)+IF(AND(V1407&gt;=75,V1407&lt;=175,W1407&gt;=110),0.12,0)+IF(AND(V1407&gt;175,W1407&lt;25),0.3,0)+IF(AND(V1407&gt;175,W1407&gt;=25,W1407&lt;55),0.23,0)+IF(AND(V1407&gt;175,W1407&gt;=55,W1407&lt;95),0.17,0)+IF(AND(V1407&gt;175,W1407&gt;=95),0.12,0),
IF(AF1407="DoEVni",IF(AND(V1407&lt;20,W1407&lt;55),0.3,0)+IF(AND(V1407&lt;20,W1407&gt;=55,W1407&lt;105),0.23,0)+IF(AND(V1407&lt;20,W1407&gt;=105),0.17,0)+IF(AND(V1407&gt;=20,V1407&lt;40,W1407&lt;45),0.3,0)+IF(AND(V1407&gt;=20,V1407&lt;40,W1407&gt;=45,W1407&lt;95),0.23,0)+IF(AND(V1407&gt;=20,V1407&lt;40,W1407&gt;=95,W1407&lt;=200),0.17,0)+IF(AND(V1407&gt;=20,V1407&lt;40,W1407&gt;=200),0.12,0)+IF(AND(V1407&gt;=40,V1407&lt;75,W1407&lt;35),0.3,0)+IF(AND(V1407&gt;=40,V1407&lt;75,W1407&gt;=35,W1407&lt;75),0.23,0)+IF(AND(V1407&gt;=40,V1407&lt;75,W1407&gt;=75,W1407&lt;120),0.17,0)+IF(AND(V1407&gt;=40,V1407&lt;75,W1407&gt;=120),0.12,0)+IF(AND(V1407&gt;=75,V1407&lt;175,W1407&lt;35),0.3,0)+IF(AND(V1407&gt;=75,V1407&lt;=175,W1407&gt;=35,W1407&lt;65),0.23,0)+IF(AND(V1407&gt;=75,V1407&lt;=175,W1407&gt;=65,W1407&lt;110),0.17,0)+IF(AND(V1407&gt;=75,V1407&lt;=175,W1407&gt;=110),0.12,0)+IF(AND(V1407&gt;175,W1407&lt;25),0.3,0)+IF(AND(V1407&gt;175,W1407&gt;=25,W1407&lt;55),0.23,0)+IF(AND(V1407&gt;175,W1407&gt;=55,W1407&lt;95),0.17,0)+IF(AND(V1407&gt;175,W1407&gt;=95),0.12,0),
IF(AF1407="DoEVLo",IF(AND(V1407&lt;20,W1407&lt;55),0.25,0)+IF(AND(V1407&lt;20,W1407&gt;=55,W1407&lt;105),0.2,0)+IF(AND(V1407&lt;20,W1407&gt;=105),0.15,0)+IF(AND(V1407&gt;=20,V1407&lt;40,W1407&lt;45),0.25,0)+IF(AND(V1407&gt;=20,V1407&lt;40,W1407&gt;=45,W1407&lt;95),0.2,0)+IF(AND(V1407&gt;=20,V1407&lt;40,W1407&gt;=95),0.15,0)+IF(AND(V1407&gt;=40,V1407&lt;75,W1407&lt;35),0.25,0)+IF(AND(V1407&gt;=40,V1407&lt;75,W1407&gt;=35,W1407&lt;75),0.2,0)+IF(AND(V1407&gt;=40,V1407&lt;75,W1407&gt;=75,W1407&lt;120),0.15,0)+IF(AND(V1407&gt;=40,V1407&lt;75,W1407&gt;=120),0.1,0)+IF(AND(V1407&gt;=75,V1407&lt;175,W1407&lt;35),0.25,0)+IF(AND(V1407&gt;=75,V1407&lt;=175,W1407&gt;=35,W1407&lt;65),0.2,0)+IF(AND(V1407&gt;=75,V1407&lt;=175,W1407&gt;=65,W1407&lt;110),0.15,0)+IF(AND(V1407&gt;=75,V1407&lt;=175,W1407&gt;=110),0.1,0)+IF(AND(V1407&gt;175,W1407&lt;25),0.25,0)+IF(AND(V1407&gt;175,W1407&gt;=25,W1407&lt;55),0.2,0)+IF(AND(V1407&gt;175,W1407&gt;=55,W1407&lt;95),0.15,0)+IF(AND(V1407&gt;175,W1407&gt;=95),0.1,0))))))))))))))))))))</f>
        <v>0.2</v>
      </c>
      <c r="Y1407" s="30">
        <f>IF(AG1407="None",0,IF(AG1407="Fix5",0.05, IF(AG1407="Fix6.25",0.0625,IF(AG1407="Fix3.75",0.0375, IF(AG1407="Fix11",0.11, IF(AG1407="Fix10",0.1,IF(AG1407="Fix3",0.03,0)))))))</f>
        <v>0</v>
      </c>
      <c r="Z1407" s="35">
        <f>IF(AND(AD1407="EUR", AE1407 = "USD"), T1407*U1407-AA1407-AB1407, T1407-AA1407-AB1407)</f>
        <v>-1600.8</v>
      </c>
      <c r="AA1407" s="29">
        <f>IF(AND(AD1407="EUR", F1407="Without EV deal", AE1407="USD"), (T1407*X1407)*U1407,
IF(AND(AD1407="EUR", F1407="Without EV deal", AE1407="EUR"), (T1407*X1407),
IF(AND(AD1407="EUR",AE1407="USD"), (T1407*X1407)*U1407,
T1407*X1407)))</f>
        <v>-400.20000000000005</v>
      </c>
      <c r="AB1407" s="36">
        <f>IF(AND(AD1407="EUR", F1407="Without EV deal", AE1407="USD"), (T1407*Y1407)*U1407,
IF(AND(AD1407="EUR", F1407="Without EV deal", AE1407="EUR"), (T1407*Y1407),
IF(AND(AD1407="EUR",AE1407="USD"), (T1407*Y1407)*U1407,
T1407*Y1407)))</f>
        <v>0</v>
      </c>
      <c r="AC1407" s="61" t="b">
        <v>1</v>
      </c>
      <c r="AD1407" s="82" t="str">
        <f>IF(OR(H1407="€0.25 Flash",
H1407="€0.25(nitro) new",
H1407="€1",
H1407="€2",
H1407="€2 (bf 01.08)",
H1407="€5",
H1407="€5 (1M)",
H1407="€5 (bf 01.08)",
H1407="€5 (bf 05.05)",
H1407="€5 Nitro",
H1407="€5(wx) new",
H1407="€10",
H1407="€10 (1M)",
H1407="€10 (bf 01.08)",
H1407="€10 (bf 05.05)",
H1407="€10 (MP)",
H1407="€10 (old)",
H1407="€10 Nitro (bf 05.05)",
H1407="€10 Nitro (old)",
H1407="€10(wx) new",
H1407="€20",
H1407="€25",
H1407="€25 (bf 01.08)",
H1407="€25 (bf 05.05)",
H1407="€25 (MP)",
H1407="€25 (old)",
H1407="€25 Nitro",
H1407="€25 Nitro (bf 01.08)",
H1407="€25 Nitro (bf 05.05)",
H1407="€25(nitro) new",
H1407="€25(wx) new",
H1407="€50",
H1407="€50 (bf 01.08)",
H1407="€50 (bf 05.05)",
H1407="€50 (old)",
H1407="€50 Nitro",
H1407="€50 Nitro (bf 01.08)",
H1407="€50 Nitro (bf 05.05)",
H1407="€50(wx) new",
H1407="€100",
H1407="€100 (old)",
H1407="€100 Nitro",
H1407="€100 Nitro (old)",
H1407="€200",
H1407="€250",
H1407="€250 Nitro",
H1407="€500",
H1407="€500 Nitro"),"EUR", "USD")</f>
        <v>USD</v>
      </c>
      <c r="AE1407" s="82" t="s">
        <v>38</v>
      </c>
      <c r="AF1407" s="83" t="str">
        <f t="array" ref="AF1407">INDEX('Deal Info'!D:D, MATCH(A1407,'Deal Info'!A:A, 0))</f>
        <v>DoEVLo</v>
      </c>
      <c r="AG1407" s="84" t="str">
        <f t="array" ref="AG1407">INDEX('Deal Info'!G:G, MATCH(A1407,'Deal Info'!A:A, 0))</f>
        <v>None</v>
      </c>
    </row>
    <row r="1408" spans="1:33" ht="14.25" hidden="1" x14ac:dyDescent="0.2">
      <c r="A1408" s="18" t="str">
        <f t="array" ref="A1408">IF(G1408='Room Info'!$B$1, INDEX('Room Info'!$A$2:$A2446, MATCH(B1408,'Room Info'!$B$2:$B2446, 0)),IF(G1408='Room Info'!$C$1, INDEX('Room Info'!$A$2:$A2446, MATCH(B1408,'Room Info'!$C$2:$C2446, 0)),IF(G1408='Room Info'!$D$1, INDEX('Room Info'!$A$2:$A2446, MATCH(B1408,'Room Info'!$D$2:$D2446, 0)),IF(G1408='Room Info'!$E$1, INDEX('Room Info'!$A$2:$A2446, MATCH(B1408,'Room Info'!$E$2:$E2446, 0)),IF(G1408='Room Info'!$F$1, INDEX('Room Info'!$A$2:$A2446, MATCH(B1408,'Room Info'!$F$2:$F2446, 0)),IF(G1408='Room Info'!$H$1, INDEX('Room Info'!$A$2:$A2446, MATCH(B1408,'Room Info'!$H$2:$H2446, 0)),IF(G1408='Room Info'!$G$1, INDEX('Room Info'!$A$2:$A2446, MATCH(B1408,'Room Info'!$G$2:$G2446, 0)))))))))</f>
        <v>Lo4io</v>
      </c>
      <c r="B1408" s="18" t="s">
        <v>102</v>
      </c>
      <c r="C1408" s="19">
        <v>44947</v>
      </c>
      <c r="D1408" s="20">
        <v>44977</v>
      </c>
      <c r="E1408" s="21">
        <v>44958</v>
      </c>
      <c r="F1408" s="22" t="s">
        <v>34</v>
      </c>
      <c r="G1408" s="18" t="s">
        <v>35</v>
      </c>
      <c r="H1408" s="23" t="s">
        <v>85</v>
      </c>
      <c r="I1408" s="23" t="s">
        <v>44</v>
      </c>
      <c r="J1408" s="39">
        <v>50</v>
      </c>
      <c r="K1408" s="88">
        <v>125</v>
      </c>
      <c r="L1408" s="89">
        <v>-500</v>
      </c>
      <c r="M1408" s="27"/>
      <c r="N1408" s="28">
        <f>K1408*J1408</f>
        <v>6250</v>
      </c>
      <c r="O1408" s="85">
        <v>773</v>
      </c>
      <c r="P1408" s="29">
        <v>6.1840000000000002</v>
      </c>
      <c r="Q1408" s="30"/>
      <c r="R1408" s="31">
        <f>M1408+Q1408</f>
        <v>0</v>
      </c>
      <c r="S1408" s="28"/>
      <c r="T1408" s="32">
        <f>IF(AND(AD1408="EUR", F1408="Without EV deal"), R1408 + L1408,
IF(AND(AD1408="USD", F1408="Without EV deal"), R1408 + L1408,
IF(AND(AD1408="EUR", F1408="Steel Phoenix"), R1408 + S1408/U1408,
R1408 + S1408)))</f>
        <v>0</v>
      </c>
      <c r="U1408" s="33">
        <v>1.0669999999999999</v>
      </c>
      <c r="V1408" s="69">
        <v>37.325261419922953</v>
      </c>
      <c r="W1408" s="64">
        <v>65</v>
      </c>
      <c r="X1408" s="30">
        <f>IF(AF1408="DoEV",IF(AND(V1408&lt;20,W1408&lt;55),0.3,0)+IF(AND(V1408&lt;20,W1408&gt;=55,W1408&lt;105),0.23,0)+IF(AND(V1408&lt;20,W1408&gt;=105),0.17,0)+IF(AND(V1408&gt;=20,V1408&lt;40,W1408&lt;45),0.3,0)+IF(AND(V1408&gt;=20,V1408&lt;40,W1408&gt;=45,W1408&lt;95),0.23,0)+IF(AND(V1408&gt;=20,V1408&lt;40,W1408&gt;=95),0.17,0)+IF(AND(V1408&gt;=40,V1408&lt;75,W1408&lt;35),0.3,0)+IF(AND(V1408&gt;=40,V1408&lt;75,W1408&gt;=35,W1408&lt;75),0.23,0)+IF(AND(V1408&gt;=40,V1408&lt;75,W1408&gt;=75,W1408&lt;120),0.17,0)+IF(AND(V1408&gt;=40,V1408&lt;75,W1408&gt;=120),0.12,0)+IF(AND(V1408&gt;=75,V1408&lt;175,W1408&lt;35),0.3,0)+IF(AND(V1408&gt;=75,V1408&lt;=175,W1408&gt;=35,W1408&lt;65),0.23,0)+IF(AND(V1408&gt;=75,V1408&lt;=175,W1408&gt;=65,W1408&lt;110),0.17,0)+IF(AND(V1408&gt;=75,V1408&lt;=175,W1408&gt;=110),0.12,0)+IF(AND(V1408&gt;175,W1408&lt;25),0.3,0)+IF(AND(V1408&gt;175,W1408&gt;=25,W1408&lt;55),0.23,0)+IF(AND(V1408&gt;175,W1408&gt;=55,W1408&lt;95),0.17,0)+IF(AND(V1408&gt;175,W1408&gt;=95),0.12,0),
IF(AF1408="Fix15",0.15,
IF(AF1408="Fix5",0.05,
IF(AF1408="Fix18.75",0.1875,
IF(AF1408="Fix11.25",0.1125,
IF(AF1408="Fix10",0.1,
IF(AF1408="Fix9",0.09,
IF(AF1408="Fix12",0.12,
IF(AF1408="Fix19",0.19,
IF(AF1408="DoEV2017",IF(AND(W1408&lt;74),0.2,0)+IF(AND(W1408&gt;=74),0.17,0),
IF(AF1408="SF",IF(AND(V1408&lt;20,W1408&lt;89),0.3,0)+IF(AND(V1408&lt;20,W1408&gt;=89),0.25,0)+IF(AND(V1408&gt;=20,V1408&lt;40,W1408&lt;74),0.3,0)+IF(AND(V1408&gt;=20,V1408&lt;40,W1408&gt;=75),0.22,0)+IF(AND(V1408&gt;=40,V1408&lt;75,W1408&lt;75),0.26,0)+IF(AND(V1408&gt;=40,V1408&lt;75,W1408&gt;=75),0.22,0)+IF(V1408&gt;=75,0.22,0),
IF(AF1408="DoEVold",IF(AND(V1408&lt;40,W1408&lt;35),0.35,0)+IF(AND(V1408&lt;40,W1408&gt;=35,W1408&lt;75),0.25,0)+IF(AND(V1408&lt;40,W1408&gt;=75),0.17,0)+IF(AND(V1408&gt;=40,V1408&lt;75,W1408&lt;25),0.35,0)+IF(AND(V1408&gt;=40,V1408&lt;75,W1408&gt;=25,W1408&lt;65),0.25,0)+IF(AND(V1408&gt;=40,V1408&lt;75,W1408&gt;=65,W1408&lt;100),0.17,0)+IF(AND(V1408&gt;=40,V1408&lt;75,W1408&gt;=100),0.1,0)+IF(AND(V1408&gt;=75,W1408&lt;25),0.35,0)+IF(AND(V1408&gt;=75,W1408&gt;=25,W1408&lt;60),0.25,0)+IF(AND(V1408&gt;=75,W1408&gt;=60,W1408&lt;95),0.17,0)+IF(AND(V1408&gt;=75,W1408&gt;=95),0.1,0),
IF(AF1408="DoEVold15",IF(AND(V1408&lt;=40,W1408&lt;35),0.35,0)+IF(AND(V1408&lt;=40,W1408&gt;=35,W1408&lt;75),0.25,0)+IF(AND(V1408&lt;=40,W1408&gt;=75,W1408&lt;120),0.17,0)+IF(AND(V1408&lt;=40,W1408&gt;=120),0.15,0)+IF(AND(V1408&gt;40,V1408&lt;75,W1408&lt;25),0.35,0)+IF(AND(V1408&gt;=40,V1408&lt;75,W1408&gt;=25,W1408&lt;65),0.25,0)+IF(AND(V1408&gt;=40,V1408&lt;75,W1408&gt;=65,W1408&lt;100),0.17,0)+IF(AND(V1408&gt;=40,V1408&lt;75,W1408&gt;=100),0.1,0)+IF(AND(V1408&gt;=75,W1408&lt;25),0.35,0)+IF(AND(V1408&gt;=75,W1408&gt;=25,W1408&lt;60),0.25,0)+IF(AND(V1408&gt;=75,W1408&gt;=60,W1408&lt;95),0.17,0)+IF(AND(V1408&gt;=75,W1408&gt;=95),0.1,0),
IF(AF1408="DoEVba",IF(AND(V1408&lt;20,W1408&lt;105),0.2,0)+IF(AND(V1408&lt;20,W1408&gt;=105),0.15,0)+IF(AND(V1408&gt;=20,V1408&lt;40,W1408&lt;95),0.2,0)+IF(AND(V1408&gt;=20,V1408&lt;40,W1408&gt;=95,W1408&lt;150),0.15,0)+IF(AND(V1408&gt;=20,V1408&lt;40,W1408&gt;=150),0.12,0)+IF(AND(V1408&gt;=40,V1408&lt;75,W1408&lt;75),0.2,0)+IF(AND(V1408&gt;=40,V1408&lt;75,W1408&gt;=75,W1408&lt;120),0.15,0)+IF(AND(V1408&gt;=40,V1408&lt;75,W1408&gt;=120),0.12,0)+IF(AND(V1408&gt;=75,V1408&lt;175,W1408&lt;65),0.2,0)+IF(AND(V1408&gt;=75,V1408&lt;175,W1408&gt;=65,W1408&lt;110),0.15,0)+IF(AND(V1408&gt;=75,V1408&lt;175,W1408&gt;=110),0.12,0)+IF(AND(V1408&gt;=175,W1408&lt;55),0.2,0)+IF(AND(V1408&gt;=175,W1408&gt;=55,W1408&lt;95),0.15,0)+IF(AND(V1408&gt;=175,W1408&gt;=95),0.12,0),
IF(AF1408="DoEVku",IF(AND(V1408&lt;20,W1408&lt;55),0.23,0)+IF(AND(V1408&lt;20,W1408&gt;=55,W1408&lt;105),0.2,0)+IF(AND(V1408&lt;20,W1408&gt;=105),0.17,0)+IF(AND(V1408&gt;=20,V1408&lt;40,W1408&lt;45),0.23,0)+IF(AND(V1408&gt;=20,V1408&lt;40,W1408&gt;=45,W1408&lt;95),0.2,0)+IF(AND(V1408&gt;=20,V1408&lt;40,W1408&gt;=95,W1408&lt;=150),0.17,0)+IF(AND(V1408&gt;=20,V1408&lt;40,W1408&gt;=150),0.12,0)+IF(AND(V1408&gt;=40,V1408&lt;75,W1408&lt;35),0.23,0)+IF(AND(V1408&gt;=40,V1408&lt;75,W1408&gt;=35,W1408&lt;75),0.2,0)+IF(AND(V1408&gt;=40,V1408&lt;75,W1408&gt;=75,W1408&lt;120),0.17,0)+IF(AND(V1408&gt;=40,V1408&lt;75,W1408&gt;=120),0.12,0)+IF(AND(V1408&gt;=75,V1408&lt;175,W1408&lt;35),0.23,0)+IF(AND(V1408&gt;=75,V1408&lt;=175,W1408&gt;=35,W1408&lt;65),0.2,0)+IF(AND(V1408&gt;=75,V1408&lt;=175,W1408&gt;=65,W1408&lt;110),0.17,0)+IF(AND(V1408&gt;=75,V1408&lt;=175,W1408&gt;=110),0.12,0)+IF(AND(V1408&gt;175,W1408&lt;25),0.23,0)+IF(AND(V1408&gt;175,W1408&gt;=25,W1408&lt;55),0.2,0)+IF(AND(V1408&gt;175,W1408&gt;=55,W1408&lt;95),0.17,0)+IF(AND(V1408&gt;175,W1408&gt;=95),0.12,0),
IF(AF1408="DoEVs1",IF(AND(V1408&lt;20,W1408&lt;55),0.3,0)+IF(AND(V1408&lt;20,W1408&gt;=55,W1408&lt;105),0.23,0)+IF(AND(V1408&lt;20,W1408&gt;=105),0.17,0)+IF(AND(V1408&gt;=20,V1408&lt;40,W1408&lt;45),0.3,0)+IF(AND(V1408&gt;=20,V1408&lt;40,W1408&gt;=45,W1408&lt;95),0.23,0)+IF(AND(V1408&gt;=20,V1408&lt;40,W1408&gt;=95,W1408&lt;=150),0.17,0)+IF(AND(V1408&gt;=20,V1408&lt;40,W1408&gt;=150),0.12,0)+IF(AND(V1408&gt;=40,V1408&lt;75,W1408&lt;35),0.3,0)+IF(AND(V1408&gt;=40,V1408&lt;75,W1408&gt;=35,W1408&lt;75),0.23,0)+IF(AND(V1408&gt;=40,V1408&lt;75,W1408&gt;=75,W1408&lt;120),0.17,0)+IF(AND(V1408&gt;=40,V1408&lt;75,W1408&gt;=120),0.12,0)+IF(AND(V1408&gt;=75,V1408&lt;175,W1408&lt;35),0.3,0)+IF(AND(V1408&gt;=75,V1408&lt;=175,W1408&gt;=35,W1408&lt;65),0.23,0)+IF(AND(V1408&gt;=75,V1408&lt;=175,W1408&gt;=65,W1408&lt;110),0.17,0)+IF(AND(V1408&gt;=75,V1408&lt;=175,W1408&gt;=110),0.12,0)+IF(AND(V1408&gt;175,W1408&lt;25),0.3,0)+IF(AND(V1408&gt;175,W1408&gt;=25,W1408&lt;55),0.23,0)+IF(AND(V1408&gt;175,W1408&gt;=55,W1408&lt;95),0.17,0)+IF(AND(V1408&gt;175,W1408&gt;=95),0.12,0),
IF(AF1408="DoEVsu",IF(AND(V1408&lt;20,W1408&lt;55),0.3,0)+IF(AND(V1408&lt;20,W1408&gt;=55,W1408&lt;105),0.23,0)+IF(AND(V1408&lt;20,W1408&gt;=105),0.17,0)+IF(AND(V1408&gt;=20,V1408&lt;40,W1408&lt;45),0.3,0)+IF(AND(V1408&gt;=20,V1408&lt;40,W1408&gt;=45,W1408&lt;95),0.23,0)+IF(AND(V1408&gt;=20,V1408&lt;40,W1408&gt;=95,W1408&lt;=250),0.17,0)+IF(AND(V1408&gt;=20,V1408&lt;40,W1408&gt;=250),0.12,0)+IF(AND(V1408&gt;=40,V1408&lt;75,W1408&lt;35),0.3,0)+IF(AND(V1408&gt;=40,V1408&lt;75,W1408&gt;=35,W1408&lt;75),0.23,0)+IF(AND(V1408&gt;=40,V1408&lt;75,W1408&gt;=75,W1408&lt;120),0.17,0)+IF(AND(V1408&gt;=40,V1408&lt;75,W1408&gt;=120),0.12,0)+IF(AND(V1408&gt;=75,V1408&lt;175,W1408&lt;35),0.3,0)+IF(AND(V1408&gt;=75,V1408&lt;=175,W1408&gt;=35,W1408&lt;65),0.23,0)+IF(AND(V1408&gt;=75,V1408&lt;=175,W1408&gt;=65,W1408&lt;110),0.17,0)+IF(AND(V1408&gt;=75,V1408&lt;=175,W1408&gt;=110),0.12,0)+IF(AND(V1408&gt;175,W1408&lt;25),0.3,0)+IF(AND(V1408&gt;175,W1408&gt;=25,W1408&lt;55),0.23,0)+IF(AND(V1408&gt;175,W1408&gt;=55,W1408&lt;95),0.17,0)+IF(AND(V1408&gt;175,W1408&gt;=95),0.12,0),
IF(AF1408="DoEVni",IF(AND(V1408&lt;20,W1408&lt;55),0.3,0)+IF(AND(V1408&lt;20,W1408&gt;=55,W1408&lt;105),0.23,0)+IF(AND(V1408&lt;20,W1408&gt;=105),0.17,0)+IF(AND(V1408&gt;=20,V1408&lt;40,W1408&lt;45),0.3,0)+IF(AND(V1408&gt;=20,V1408&lt;40,W1408&gt;=45,W1408&lt;95),0.23,0)+IF(AND(V1408&gt;=20,V1408&lt;40,W1408&gt;=95,W1408&lt;=200),0.17,0)+IF(AND(V1408&gt;=20,V1408&lt;40,W1408&gt;=200),0.12,0)+IF(AND(V1408&gt;=40,V1408&lt;75,W1408&lt;35),0.3,0)+IF(AND(V1408&gt;=40,V1408&lt;75,W1408&gt;=35,W1408&lt;75),0.23,0)+IF(AND(V1408&gt;=40,V1408&lt;75,W1408&gt;=75,W1408&lt;120),0.17,0)+IF(AND(V1408&gt;=40,V1408&lt;75,W1408&gt;=120),0.12,0)+IF(AND(V1408&gt;=75,V1408&lt;175,W1408&lt;35),0.3,0)+IF(AND(V1408&gt;=75,V1408&lt;=175,W1408&gt;=35,W1408&lt;65),0.23,0)+IF(AND(V1408&gt;=75,V1408&lt;=175,W1408&gt;=65,W1408&lt;110),0.17,0)+IF(AND(V1408&gt;=75,V1408&lt;=175,W1408&gt;=110),0.12,0)+IF(AND(V1408&gt;175,W1408&lt;25),0.3,0)+IF(AND(V1408&gt;175,W1408&gt;=25,W1408&lt;55),0.23,0)+IF(AND(V1408&gt;175,W1408&gt;=55,W1408&lt;95),0.17,0)+IF(AND(V1408&gt;175,W1408&gt;=95),0.12,0),
IF(AF1408="DoEVLo",IF(AND(V1408&lt;20,W1408&lt;55),0.25,0)+IF(AND(V1408&lt;20,W1408&gt;=55,W1408&lt;105),0.2,0)+IF(AND(V1408&lt;20,W1408&gt;=105),0.15,0)+IF(AND(V1408&gt;=20,V1408&lt;40,W1408&lt;45),0.25,0)+IF(AND(V1408&gt;=20,V1408&lt;40,W1408&gt;=45,W1408&lt;95),0.2,0)+IF(AND(V1408&gt;=20,V1408&lt;40,W1408&gt;=95),0.15,0)+IF(AND(V1408&gt;=40,V1408&lt;75,W1408&lt;35),0.25,0)+IF(AND(V1408&gt;=40,V1408&lt;75,W1408&gt;=35,W1408&lt;75),0.2,0)+IF(AND(V1408&gt;=40,V1408&lt;75,W1408&gt;=75,W1408&lt;120),0.15,0)+IF(AND(V1408&gt;=40,V1408&lt;75,W1408&gt;=120),0.1,0)+IF(AND(V1408&gt;=75,V1408&lt;175,W1408&lt;35),0.25,0)+IF(AND(V1408&gt;=75,V1408&lt;=175,W1408&gt;=35,W1408&lt;65),0.2,0)+IF(AND(V1408&gt;=75,V1408&lt;=175,W1408&gt;=65,W1408&lt;110),0.15,0)+IF(AND(V1408&gt;=75,V1408&lt;=175,W1408&gt;=110),0.1,0)+IF(AND(V1408&gt;175,W1408&lt;25),0.25,0)+IF(AND(V1408&gt;175,W1408&gt;=25,W1408&lt;55),0.2,0)+IF(AND(V1408&gt;175,W1408&gt;=55,W1408&lt;95),0.15,0)+IF(AND(V1408&gt;175,W1408&gt;=95),0.1,0))))))))))))))))))))</f>
        <v>0.2</v>
      </c>
      <c r="Y1408" s="30">
        <f>IF(AG1408="None",0,IF(AG1408="Fix5",0.05, IF(AG1408="Fix6.25",0.0625,IF(AG1408="Fix3.75",0.0375, IF(AG1408="Fix11",0.11, IF(AG1408="Fix10",0.1,IF(AG1408="Fix3",0.03,0)))))))</f>
        <v>0</v>
      </c>
      <c r="Z1408" s="35">
        <f>IF(AND(AD1408="EUR", AE1408 = "USD"), T1408*U1408-AA1408-AB1408, T1408-AA1408-AB1408)</f>
        <v>0</v>
      </c>
      <c r="AA1408" s="29">
        <f>IF(AND(AD1408="EUR", F1408="Without EV deal", AE1408="USD"), (T1408*X1408)*U1408,
IF(AND(AD1408="EUR", F1408="Without EV deal", AE1408="EUR"), (T1408*X1408),
IF(AND(AD1408="EUR",AE1408="USD"), (T1408*X1408)*U1408,
T1408*X1408)))</f>
        <v>0</v>
      </c>
      <c r="AB1408" s="36">
        <f>IF(AND(AD1408="EUR", F1408="Without EV deal", AE1408="USD"), (T1408*Y1408)*U1408,
IF(AND(AD1408="EUR", F1408="Without EV deal", AE1408="EUR"), (T1408*Y1408),
IF(AND(AD1408="EUR",AE1408="USD"), (T1408*Y1408)*U1408,
T1408*Y1408)))</f>
        <v>0</v>
      </c>
      <c r="AC1408" s="61" t="b">
        <v>1</v>
      </c>
      <c r="AD1408" s="82" t="str">
        <f>IF(OR(H1408="€0.25 Flash",
H1408="€0.25(nitro) new",
H1408="€1",
H1408="€2",
H1408="€2 (bf 01.08)",
H1408="€5",
H1408="€5 (1M)",
H1408="€5 (bf 01.08)",
H1408="€5 (bf 05.05)",
H1408="€5 Nitro",
H1408="€5(wx) new",
H1408="€10",
H1408="€10 (1M)",
H1408="€10 (bf 01.08)",
H1408="€10 (bf 05.05)",
H1408="€10 (MP)",
H1408="€10 (old)",
H1408="€10 Nitro (bf 05.05)",
H1408="€10 Nitro (old)",
H1408="€10(wx) new",
H1408="€20",
H1408="€25",
H1408="€25 (bf 01.08)",
H1408="€25 (bf 05.05)",
H1408="€25 (MP)",
H1408="€25 (old)",
H1408="€25 Nitro",
H1408="€25 Nitro (bf 01.08)",
H1408="€25 Nitro (bf 05.05)",
H1408="€25(nitro) new",
H1408="€25(wx) new",
H1408="€50",
H1408="€50 (bf 01.08)",
H1408="€50 (bf 05.05)",
H1408="€50 (old)",
H1408="€50 Nitro",
H1408="€50 Nitro (bf 01.08)",
H1408="€50 Nitro (bf 05.05)",
H1408="€50(wx) new",
H1408="€100",
H1408="€100 (old)",
H1408="€100 Nitro",
H1408="€100 Nitro (old)",
H1408="€200",
H1408="€250",
H1408="€250 Nitro",
H1408="€500",
H1408="€500 Nitro"),"EUR", "USD")</f>
        <v>USD</v>
      </c>
      <c r="AE1408" s="83" t="s">
        <v>38</v>
      </c>
      <c r="AF1408" s="83" t="str">
        <f t="array" ref="AF1408">INDEX('Deal Info'!D:D, MATCH(A1408,'Deal Info'!A:A, 0))</f>
        <v>DoEVLo</v>
      </c>
      <c r="AG1408" s="84" t="str">
        <f t="array" ref="AG1408">INDEX('Deal Info'!G:G, MATCH(A1408,'Deal Info'!A:A, 0))</f>
        <v>None</v>
      </c>
    </row>
    <row r="1409" spans="1:33" ht="14.25" hidden="1" x14ac:dyDescent="0.2">
      <c r="A1409" s="18" t="str">
        <f t="array" ref="A1409">IF(G1409='Room Info'!$B$1, INDEX('Room Info'!$A$2:$A2446, MATCH(B1409,'Room Info'!$B$2:$B2446, 0)),IF(G1409='Room Info'!$C$1, INDEX('Room Info'!$A$2:$A2446, MATCH(B1409,'Room Info'!$C$2:$C2446, 0)),IF(G1409='Room Info'!$D$1, INDEX('Room Info'!$A$2:$A2446, MATCH(B1409,'Room Info'!$D$2:$D2446, 0)),IF(G1409='Room Info'!$E$1, INDEX('Room Info'!$A$2:$A2446, MATCH(B1409,'Room Info'!$E$2:$E2446, 0)),IF(G1409='Room Info'!$F$1, INDEX('Room Info'!$A$2:$A2446, MATCH(B1409,'Room Info'!$F$2:$F2446, 0)),IF(G1409='Room Info'!$H$1, INDEX('Room Info'!$A$2:$A2446, MATCH(B1409,'Room Info'!$H$2:$H2446, 0)),IF(G1409='Room Info'!$G$1, INDEX('Room Info'!$A$2:$A2446, MATCH(B1409,'Room Info'!$G$2:$G2446, 0)))))))))</f>
        <v>Ekx444</v>
      </c>
      <c r="B1409" s="18" t="s">
        <v>169</v>
      </c>
      <c r="C1409" s="19">
        <v>44947</v>
      </c>
      <c r="D1409" s="20">
        <v>44977</v>
      </c>
      <c r="E1409" s="21">
        <v>44958</v>
      </c>
      <c r="F1409" s="40" t="s">
        <v>34</v>
      </c>
      <c r="G1409" s="18" t="s">
        <v>35</v>
      </c>
      <c r="H1409" s="23" t="s">
        <v>46</v>
      </c>
      <c r="I1409" s="23" t="s">
        <v>37</v>
      </c>
      <c r="J1409" s="39">
        <v>25</v>
      </c>
      <c r="K1409" s="88">
        <v>5492</v>
      </c>
      <c r="L1409" s="89">
        <v>2925</v>
      </c>
      <c r="M1409" s="42">
        <v>4125</v>
      </c>
      <c r="N1409" s="28">
        <f>K1409*J1409</f>
        <v>137300</v>
      </c>
      <c r="O1409" s="85">
        <v>192527</v>
      </c>
      <c r="P1409" s="29">
        <v>35.055899490000002</v>
      </c>
      <c r="Q1409" s="30"/>
      <c r="R1409" s="31">
        <f>M1409+Q1409</f>
        <v>4125</v>
      </c>
      <c r="S1409" s="119">
        <v>287</v>
      </c>
      <c r="T1409" s="32">
        <f>IF(AND(AD1409="EUR", F1409="Without EV deal"), R1409 + L1409,
IF(AND(AD1409="USD", F1409="Without EV deal"), R1409 + L1409,
IF(AND(AD1409="EUR", F1409="Steel Phoenix"), R1409 + S1409/U1409,
R1409 + S1409)))</f>
        <v>4412</v>
      </c>
      <c r="U1409" s="33">
        <v>1.0669999999999999</v>
      </c>
      <c r="V1409" s="34">
        <v>25</v>
      </c>
      <c r="W1409" s="34">
        <v>176.48</v>
      </c>
      <c r="X1409" s="30">
        <f>IF(AF1409="DoEV",IF(AND(V1409&lt;20,W1409&lt;55),0.3,0)+IF(AND(V1409&lt;20,W1409&gt;=55,W1409&lt;105),0.23,0)+IF(AND(V1409&lt;20,W1409&gt;=105),0.17,0)+IF(AND(V1409&gt;=20,V1409&lt;40,W1409&lt;45),0.3,0)+IF(AND(V1409&gt;=20,V1409&lt;40,W1409&gt;=45,W1409&lt;95),0.23,0)+IF(AND(V1409&gt;=20,V1409&lt;40,W1409&gt;=95),0.17,0)+IF(AND(V1409&gt;=40,V1409&lt;75,W1409&lt;35),0.3,0)+IF(AND(V1409&gt;=40,V1409&lt;75,W1409&gt;=35,W1409&lt;75),0.23,0)+IF(AND(V1409&gt;=40,V1409&lt;75,W1409&gt;=75,W1409&lt;120),0.17,0)+IF(AND(V1409&gt;=40,V1409&lt;75,W1409&gt;=120),0.12,0)+IF(AND(V1409&gt;=75,V1409&lt;175,W1409&lt;35),0.3,0)+IF(AND(V1409&gt;=75,V1409&lt;=175,W1409&gt;=35,W1409&lt;65),0.23,0)+IF(AND(V1409&gt;=75,V1409&lt;=175,W1409&gt;=65,W1409&lt;110),0.17,0)+IF(AND(V1409&gt;=75,V1409&lt;=175,W1409&gt;=110),0.12,0)+IF(AND(V1409&gt;175,W1409&lt;25),0.3,0)+IF(AND(V1409&gt;175,W1409&gt;=25,W1409&lt;55),0.23,0)+IF(AND(V1409&gt;175,W1409&gt;=55,W1409&lt;95),0.17,0)+IF(AND(V1409&gt;175,W1409&gt;=95),0.12,0),
IF(AF1409="Fix15",0.15,
IF(AF1409="Fix5",0.05,
IF(AF1409="Fix18.75",0.1875,
IF(AF1409="Fix11.25",0.1125,
IF(AF1409="Fix10",0.1,
IF(AF1409="Fix9",0.09,
IF(AF1409="Fix12",0.12,
IF(AF1409="Fix19",0.19,
IF(AF1409="DoEV2017",IF(AND(W1409&lt;74),0.2,0)+IF(AND(W1409&gt;=74),0.17,0),
IF(AF1409="SF",IF(AND(V1409&lt;20,W1409&lt;89),0.3,0)+IF(AND(V1409&lt;20,W1409&gt;=89),0.25,0)+IF(AND(V1409&gt;=20,V1409&lt;40,W1409&lt;74),0.3,0)+IF(AND(V1409&gt;=20,V1409&lt;40,W1409&gt;=75),0.22,0)+IF(AND(V1409&gt;=40,V1409&lt;75,W1409&lt;75),0.26,0)+IF(AND(V1409&gt;=40,V1409&lt;75,W1409&gt;=75),0.22,0)+IF(V1409&gt;=75,0.22,0),
IF(AF1409="DoEVold",IF(AND(V1409&lt;40,W1409&lt;35),0.35,0)+IF(AND(V1409&lt;40,W1409&gt;=35,W1409&lt;75),0.25,0)+IF(AND(V1409&lt;40,W1409&gt;=75),0.17,0)+IF(AND(V1409&gt;=40,V1409&lt;75,W1409&lt;25),0.35,0)+IF(AND(V1409&gt;=40,V1409&lt;75,W1409&gt;=25,W1409&lt;65),0.25,0)+IF(AND(V1409&gt;=40,V1409&lt;75,W1409&gt;=65,W1409&lt;100),0.17,0)+IF(AND(V1409&gt;=40,V1409&lt;75,W1409&gt;=100),0.1,0)+IF(AND(V1409&gt;=75,W1409&lt;25),0.35,0)+IF(AND(V1409&gt;=75,W1409&gt;=25,W1409&lt;60),0.25,0)+IF(AND(V1409&gt;=75,W1409&gt;=60,W1409&lt;95),0.17,0)+IF(AND(V1409&gt;=75,W1409&gt;=95),0.1,0),
IF(AF1409="DoEVold15",IF(AND(V1409&lt;=40,W1409&lt;35),0.35,0)+IF(AND(V1409&lt;=40,W1409&gt;=35,W1409&lt;75),0.25,0)+IF(AND(V1409&lt;=40,W1409&gt;=75,W1409&lt;120),0.17,0)+IF(AND(V1409&lt;=40,W1409&gt;=120),0.15,0)+IF(AND(V1409&gt;40,V1409&lt;75,W1409&lt;25),0.35,0)+IF(AND(V1409&gt;=40,V1409&lt;75,W1409&gt;=25,W1409&lt;65),0.25,0)+IF(AND(V1409&gt;=40,V1409&lt;75,W1409&gt;=65,W1409&lt;100),0.17,0)+IF(AND(V1409&gt;=40,V1409&lt;75,W1409&gt;=100),0.1,0)+IF(AND(V1409&gt;=75,W1409&lt;25),0.35,0)+IF(AND(V1409&gt;=75,W1409&gt;=25,W1409&lt;60),0.25,0)+IF(AND(V1409&gt;=75,W1409&gt;=60,W1409&lt;95),0.17,0)+IF(AND(V1409&gt;=75,W1409&gt;=95),0.1,0),
IF(AF1409="DoEVba",IF(AND(V1409&lt;20,W1409&lt;105),0.2,0)+IF(AND(V1409&lt;20,W1409&gt;=105),0.15,0)+IF(AND(V1409&gt;=20,V1409&lt;40,W1409&lt;95),0.2,0)+IF(AND(V1409&gt;=20,V1409&lt;40,W1409&gt;=95,W1409&lt;150),0.15,0)+IF(AND(V1409&gt;=20,V1409&lt;40,W1409&gt;=150),0.12,0)+IF(AND(V1409&gt;=40,V1409&lt;75,W1409&lt;75),0.2,0)+IF(AND(V1409&gt;=40,V1409&lt;75,W1409&gt;=75,W1409&lt;120),0.15,0)+IF(AND(V1409&gt;=40,V1409&lt;75,W1409&gt;=120),0.12,0)+IF(AND(V1409&gt;=75,V1409&lt;175,W1409&lt;65),0.2,0)+IF(AND(V1409&gt;=75,V1409&lt;175,W1409&gt;=65,W1409&lt;110),0.15,0)+IF(AND(V1409&gt;=75,V1409&lt;175,W1409&gt;=110),0.12,0)+IF(AND(V1409&gt;=175,W1409&lt;55),0.2,0)+IF(AND(V1409&gt;=175,W1409&gt;=55,W1409&lt;95),0.15,0)+IF(AND(V1409&gt;=175,W1409&gt;=95),0.12,0),
IF(AF1409="DoEVku",IF(AND(V1409&lt;20,W1409&lt;55),0.23,0)+IF(AND(V1409&lt;20,W1409&gt;=55,W1409&lt;105),0.2,0)+IF(AND(V1409&lt;20,W1409&gt;=105),0.17,0)+IF(AND(V1409&gt;=20,V1409&lt;40,W1409&lt;45),0.23,0)+IF(AND(V1409&gt;=20,V1409&lt;40,W1409&gt;=45,W1409&lt;95),0.2,0)+IF(AND(V1409&gt;=20,V1409&lt;40,W1409&gt;=95,W1409&lt;=150),0.17,0)+IF(AND(V1409&gt;=20,V1409&lt;40,W1409&gt;=150),0.12,0)+IF(AND(V1409&gt;=40,V1409&lt;75,W1409&lt;35),0.23,0)+IF(AND(V1409&gt;=40,V1409&lt;75,W1409&gt;=35,W1409&lt;75),0.2,0)+IF(AND(V1409&gt;=40,V1409&lt;75,W1409&gt;=75,W1409&lt;120),0.17,0)+IF(AND(V1409&gt;=40,V1409&lt;75,W1409&gt;=120),0.12,0)+IF(AND(V1409&gt;=75,V1409&lt;175,W1409&lt;35),0.23,0)+IF(AND(V1409&gt;=75,V1409&lt;=175,W1409&gt;=35,W1409&lt;65),0.2,0)+IF(AND(V1409&gt;=75,V1409&lt;=175,W1409&gt;=65,W1409&lt;110),0.17,0)+IF(AND(V1409&gt;=75,V1409&lt;=175,W1409&gt;=110),0.12,0)+IF(AND(V1409&gt;175,W1409&lt;25),0.23,0)+IF(AND(V1409&gt;175,W1409&gt;=25,W1409&lt;55),0.2,0)+IF(AND(V1409&gt;175,W1409&gt;=55,W1409&lt;95),0.17,0)+IF(AND(V1409&gt;175,W1409&gt;=95),0.12,0),
IF(AF1409="DoEVs1",IF(AND(V1409&lt;20,W1409&lt;55),0.3,0)+IF(AND(V1409&lt;20,W1409&gt;=55,W1409&lt;105),0.23,0)+IF(AND(V1409&lt;20,W1409&gt;=105),0.17,0)+IF(AND(V1409&gt;=20,V1409&lt;40,W1409&lt;45),0.3,0)+IF(AND(V1409&gt;=20,V1409&lt;40,W1409&gt;=45,W1409&lt;95),0.23,0)+IF(AND(V1409&gt;=20,V1409&lt;40,W1409&gt;=95,W1409&lt;=150),0.17,0)+IF(AND(V1409&gt;=20,V1409&lt;40,W1409&gt;=150),0.12,0)+IF(AND(V1409&gt;=40,V1409&lt;75,W1409&lt;35),0.3,0)+IF(AND(V1409&gt;=40,V1409&lt;75,W1409&gt;=35,W1409&lt;75),0.23,0)+IF(AND(V1409&gt;=40,V1409&lt;75,W1409&gt;=75,W1409&lt;120),0.17,0)+IF(AND(V1409&gt;=40,V1409&lt;75,W1409&gt;=120),0.12,0)+IF(AND(V1409&gt;=75,V1409&lt;175,W1409&lt;35),0.3,0)+IF(AND(V1409&gt;=75,V1409&lt;=175,W1409&gt;=35,W1409&lt;65),0.23,0)+IF(AND(V1409&gt;=75,V1409&lt;=175,W1409&gt;=65,W1409&lt;110),0.17,0)+IF(AND(V1409&gt;=75,V1409&lt;=175,W1409&gt;=110),0.12,0)+IF(AND(V1409&gt;175,W1409&lt;25),0.3,0)+IF(AND(V1409&gt;175,W1409&gt;=25,W1409&lt;55),0.23,0)+IF(AND(V1409&gt;175,W1409&gt;=55,W1409&lt;95),0.17,0)+IF(AND(V1409&gt;175,W1409&gt;=95),0.12,0),
IF(AF1409="DoEVsu",IF(AND(V1409&lt;20,W1409&lt;55),0.3,0)+IF(AND(V1409&lt;20,W1409&gt;=55,W1409&lt;105),0.23,0)+IF(AND(V1409&lt;20,W1409&gt;=105),0.17,0)+IF(AND(V1409&gt;=20,V1409&lt;40,W1409&lt;45),0.3,0)+IF(AND(V1409&gt;=20,V1409&lt;40,W1409&gt;=45,W1409&lt;95),0.23,0)+IF(AND(V1409&gt;=20,V1409&lt;40,W1409&gt;=95,W1409&lt;=250),0.17,0)+IF(AND(V1409&gt;=20,V1409&lt;40,W1409&gt;=250),0.12,0)+IF(AND(V1409&gt;=40,V1409&lt;75,W1409&lt;35),0.3,0)+IF(AND(V1409&gt;=40,V1409&lt;75,W1409&gt;=35,W1409&lt;75),0.23,0)+IF(AND(V1409&gt;=40,V1409&lt;75,W1409&gt;=75,W1409&lt;120),0.17,0)+IF(AND(V1409&gt;=40,V1409&lt;75,W1409&gt;=120),0.12,0)+IF(AND(V1409&gt;=75,V1409&lt;175,W1409&lt;35),0.3,0)+IF(AND(V1409&gt;=75,V1409&lt;=175,W1409&gt;=35,W1409&lt;65),0.23,0)+IF(AND(V1409&gt;=75,V1409&lt;=175,W1409&gt;=65,W1409&lt;110),0.17,0)+IF(AND(V1409&gt;=75,V1409&lt;=175,W1409&gt;=110),0.12,0)+IF(AND(V1409&gt;175,W1409&lt;25),0.3,0)+IF(AND(V1409&gt;175,W1409&gt;=25,W1409&lt;55),0.23,0)+IF(AND(V1409&gt;175,W1409&gt;=55,W1409&lt;95),0.17,0)+IF(AND(V1409&gt;175,W1409&gt;=95),0.12,0),
IF(AF1409="DoEVni",IF(AND(V1409&lt;20,W1409&lt;55),0.3,0)+IF(AND(V1409&lt;20,W1409&gt;=55,W1409&lt;105),0.23,0)+IF(AND(V1409&lt;20,W1409&gt;=105),0.17,0)+IF(AND(V1409&gt;=20,V1409&lt;40,W1409&lt;45),0.3,0)+IF(AND(V1409&gt;=20,V1409&lt;40,W1409&gt;=45,W1409&lt;95),0.23,0)+IF(AND(V1409&gt;=20,V1409&lt;40,W1409&gt;=95,W1409&lt;=200),0.17,0)+IF(AND(V1409&gt;=20,V1409&lt;40,W1409&gt;=200),0.12,0)+IF(AND(V1409&gt;=40,V1409&lt;75,W1409&lt;35),0.3,0)+IF(AND(V1409&gt;=40,V1409&lt;75,W1409&gt;=35,W1409&lt;75),0.23,0)+IF(AND(V1409&gt;=40,V1409&lt;75,W1409&gt;=75,W1409&lt;120),0.17,0)+IF(AND(V1409&gt;=40,V1409&lt;75,W1409&gt;=120),0.12,0)+IF(AND(V1409&gt;=75,V1409&lt;175,W1409&lt;35),0.3,0)+IF(AND(V1409&gt;=75,V1409&lt;=175,W1409&gt;=35,W1409&lt;65),0.23,0)+IF(AND(V1409&gt;=75,V1409&lt;=175,W1409&gt;=65,W1409&lt;110),0.17,0)+IF(AND(V1409&gt;=75,V1409&lt;=175,W1409&gt;=110),0.12,0)+IF(AND(V1409&gt;175,W1409&lt;25),0.3,0)+IF(AND(V1409&gt;175,W1409&gt;=25,W1409&lt;55),0.23,0)+IF(AND(V1409&gt;175,W1409&gt;=55,W1409&lt;95),0.17,0)+IF(AND(V1409&gt;175,W1409&gt;=95),0.12,0),
IF(AF1409="DoEVLo",IF(AND(V1409&lt;20,W1409&lt;55),0.25,0)+IF(AND(V1409&lt;20,W1409&gt;=55,W1409&lt;105),0.2,0)+IF(AND(V1409&lt;20,W1409&gt;=105),0.15,0)+IF(AND(V1409&gt;=20,V1409&lt;40,W1409&lt;45),0.25,0)+IF(AND(V1409&gt;=20,V1409&lt;40,W1409&gt;=45,W1409&lt;95),0.2,0)+IF(AND(V1409&gt;=20,V1409&lt;40,W1409&gt;=95),0.15,0)+IF(AND(V1409&gt;=40,V1409&lt;75,W1409&lt;35),0.25,0)+IF(AND(V1409&gt;=40,V1409&lt;75,W1409&gt;=35,W1409&lt;75),0.2,0)+IF(AND(V1409&gt;=40,V1409&lt;75,W1409&gt;=75,W1409&lt;120),0.15,0)+IF(AND(V1409&gt;=40,V1409&lt;75,W1409&gt;=120),0.1,0)+IF(AND(V1409&gt;=75,V1409&lt;175,W1409&lt;35),0.25,0)+IF(AND(V1409&gt;=75,V1409&lt;=175,W1409&gt;=35,W1409&lt;65),0.2,0)+IF(AND(V1409&gt;=75,V1409&lt;=175,W1409&gt;=65,W1409&lt;110),0.15,0)+IF(AND(V1409&gt;=75,V1409&lt;=175,W1409&gt;=110),0.1,0)+IF(AND(V1409&gt;175,W1409&lt;25),0.25,0)+IF(AND(V1409&gt;175,W1409&gt;=25,W1409&lt;55),0.2,0)+IF(AND(V1409&gt;175,W1409&gt;=55,W1409&lt;95),0.15,0)+IF(AND(V1409&gt;175,W1409&gt;=95),0.1,0))))))))))))))))))))</f>
        <v>0.17</v>
      </c>
      <c r="Y1409" s="30">
        <f>IF(AG1409="None",0,IF(AG1409="Fix5",0.05, IF(AG1409="Fix6.25",0.0625,IF(AG1409="Fix3.75",0.0375, IF(AG1409="Fix11",0.11, IF(AG1409="Fix10",0.1,IF(AG1409="Fix3",0.03,0)))))))</f>
        <v>0</v>
      </c>
      <c r="Z1409" s="35">
        <f>IF(AND(AD1409="EUR", AE1409 = "USD"), T1409*U1409-AA1409-AB1409, T1409-AA1409-AB1409)</f>
        <v>3661.96</v>
      </c>
      <c r="AA1409" s="29">
        <f>IF(AND(AD1409="EUR", F1409="Without EV deal", AE1409="USD"), (T1409*X1409)*U1409,
IF(AND(AD1409="EUR", F1409="Without EV deal", AE1409="EUR"), (T1409*X1409),
IF(AND(AD1409="EUR",AE1409="USD"), (T1409*X1409)*U1409,
T1409*X1409)))</f>
        <v>750.04000000000008</v>
      </c>
      <c r="AB1409" s="36">
        <f>IF(AND(AD1409="EUR", F1409="Without EV deal", AE1409="USD"), (T1409*Y1409)*U1409,
IF(AND(AD1409="EUR", F1409="Without EV deal", AE1409="EUR"), (T1409*Y1409),
IF(AND(AD1409="EUR",AE1409="USD"), (T1409*Y1409)*U1409,
T1409*Y1409)))</f>
        <v>0</v>
      </c>
      <c r="AC1409" s="37" t="b">
        <v>1</v>
      </c>
      <c r="AD1409" s="82" t="str">
        <f>IF(OR(H1409="€0.25 Flash",
H1409="€0.25(nitro) new",
H1409="€1",
H1409="€2",
H1409="€2 (bf 01.08)",
H1409="€5",
H1409="€5 (1M)",
H1409="€5 (bf 01.08)",
H1409="€5 (bf 05.05)",
H1409="€5 Nitro",
H1409="€5(wx) new",
H1409="€10",
H1409="€10 (1M)",
H1409="€10 (bf 01.08)",
H1409="€10 (bf 05.05)",
H1409="€10 (MP)",
H1409="€10 (old)",
H1409="€10 Nitro (bf 05.05)",
H1409="€10 Nitro (old)",
H1409="€10(wx) new",
H1409="€20",
H1409="€25",
H1409="€25 (bf 01.08)",
H1409="€25 (bf 05.05)",
H1409="€25 (MP)",
H1409="€25 (old)",
H1409="€25 Nitro",
H1409="€25 Nitro (bf 01.08)",
H1409="€25 Nitro (bf 05.05)",
H1409="€25(nitro) new",
H1409="€25(wx) new",
H1409="€50",
H1409="€50 (bf 01.08)",
H1409="€50 (bf 05.05)",
H1409="€50 (old)",
H1409="€50 Nitro",
H1409="€50 Nitro (bf 01.08)",
H1409="€50 Nitro (bf 05.05)",
H1409="€50(wx) new",
H1409="€100",
H1409="€100 (old)",
H1409="€100 Nitro",
H1409="€100 Nitro (old)",
H1409="€200",
H1409="€250",
H1409="€250 Nitro",
H1409="€500",
H1409="€500 Nitro"),"EUR", "USD")</f>
        <v>USD</v>
      </c>
      <c r="AE1409" s="83" t="s">
        <v>38</v>
      </c>
      <c r="AF1409" s="83" t="str">
        <f t="array" ref="AF1409">INDEX('Deal Info'!D:D, MATCH(A1409,'Deal Info'!A:A, 0))</f>
        <v>DoEV</v>
      </c>
      <c r="AG1409" s="84" t="str">
        <f t="array" ref="AG1409">INDEX('Deal Info'!G:G, MATCH(A1409,'Deal Info'!A:A, 0))</f>
        <v>None</v>
      </c>
    </row>
    <row r="1410" spans="1:33" ht="14.25" hidden="1" x14ac:dyDescent="0.2">
      <c r="A1410" s="18" t="str">
        <f t="array" ref="A1410">IF(G1410='Room Info'!$B$1, INDEX('Room Info'!$A$2:$A2446, MATCH(B1410,'Room Info'!$B$2:$B2446, 0)),IF(G1410='Room Info'!$C$1, INDEX('Room Info'!$A$2:$A2446, MATCH(B1410,'Room Info'!$C$2:$C2446, 0)),IF(G1410='Room Info'!$D$1, INDEX('Room Info'!$A$2:$A2446, MATCH(B1410,'Room Info'!$D$2:$D2446, 0)),IF(G1410='Room Info'!$E$1, INDEX('Room Info'!$A$2:$A2446, MATCH(B1410,'Room Info'!$E$2:$E2446, 0)),IF(G1410='Room Info'!$F$1, INDEX('Room Info'!$A$2:$A2446, MATCH(B1410,'Room Info'!$F$2:$F2446, 0)),IF(G1410='Room Info'!$H$1, INDEX('Room Info'!$A$2:$A2446, MATCH(B1410,'Room Info'!$H$2:$H2446, 0)),IF(G1410='Room Info'!$G$1, INDEX('Room Info'!$A$2:$A2446, MATCH(B1410,'Room Info'!$G$2:$G2446, 0)))))))))</f>
        <v>CrippledMind</v>
      </c>
      <c r="B1410" s="85" t="s">
        <v>125</v>
      </c>
      <c r="C1410" s="19">
        <v>44947</v>
      </c>
      <c r="D1410" s="20">
        <v>44977</v>
      </c>
      <c r="E1410" s="21">
        <v>44958</v>
      </c>
      <c r="F1410" s="40" t="s">
        <v>34</v>
      </c>
      <c r="G1410" s="18" t="s">
        <v>35</v>
      </c>
      <c r="H1410" s="23" t="s">
        <v>39</v>
      </c>
      <c r="I1410" s="23" t="s">
        <v>37</v>
      </c>
      <c r="J1410" s="39">
        <v>5</v>
      </c>
      <c r="K1410" s="88">
        <v>272</v>
      </c>
      <c r="L1410" s="89">
        <v>-45</v>
      </c>
      <c r="M1410" s="42">
        <v>160</v>
      </c>
      <c r="N1410" s="28">
        <f>K1410*J1410</f>
        <v>1360</v>
      </c>
      <c r="O1410" s="85">
        <v>8025</v>
      </c>
      <c r="P1410" s="29">
        <v>29.503676469999998</v>
      </c>
      <c r="Q1410" s="30"/>
      <c r="R1410" s="31">
        <f>M1410+Q1410</f>
        <v>160</v>
      </c>
      <c r="S1410" s="28"/>
      <c r="T1410" s="32">
        <f>IF(AND(AD1410="EUR", F1410="Without EV deal"), R1410 + L1410,
IF(AND(AD1410="USD", F1410="Without EV deal"), R1410 + L1410,
IF(AND(AD1410="EUR", F1410="Steel Phoenix"), R1410 + S1410/U1410,
R1410 + S1410)))</f>
        <v>160</v>
      </c>
      <c r="U1410" s="33">
        <v>1.0669999999999999</v>
      </c>
      <c r="V1410" s="34">
        <v>8.2586427656850194</v>
      </c>
      <c r="W1410" s="34">
        <v>19.373643410852711</v>
      </c>
      <c r="X1410" s="30">
        <f>IF(AF1410="DoEV",IF(AND(V1410&lt;20,W1410&lt;55),0.3,0)+IF(AND(V1410&lt;20,W1410&gt;=55,W1410&lt;105),0.23,0)+IF(AND(V1410&lt;20,W1410&gt;=105),0.17,0)+IF(AND(V1410&gt;=20,V1410&lt;40,W1410&lt;45),0.3,0)+IF(AND(V1410&gt;=20,V1410&lt;40,W1410&gt;=45,W1410&lt;95),0.23,0)+IF(AND(V1410&gt;=20,V1410&lt;40,W1410&gt;=95),0.17,0)+IF(AND(V1410&gt;=40,V1410&lt;75,W1410&lt;35),0.3,0)+IF(AND(V1410&gt;=40,V1410&lt;75,W1410&gt;=35,W1410&lt;75),0.23,0)+IF(AND(V1410&gt;=40,V1410&lt;75,W1410&gt;=75,W1410&lt;120),0.17,0)+IF(AND(V1410&gt;=40,V1410&lt;75,W1410&gt;=120),0.12,0)+IF(AND(V1410&gt;=75,V1410&lt;175,W1410&lt;35),0.3,0)+IF(AND(V1410&gt;=75,V1410&lt;=175,W1410&gt;=35,W1410&lt;65),0.23,0)+IF(AND(V1410&gt;=75,V1410&lt;=175,W1410&gt;=65,W1410&lt;110),0.17,0)+IF(AND(V1410&gt;=75,V1410&lt;=175,W1410&gt;=110),0.12,0)+IF(AND(V1410&gt;175,W1410&lt;25),0.3,0)+IF(AND(V1410&gt;175,W1410&gt;=25,W1410&lt;55),0.23,0)+IF(AND(V1410&gt;175,W1410&gt;=55,W1410&lt;95),0.17,0)+IF(AND(V1410&gt;175,W1410&gt;=95),0.12,0),
IF(AF1410="Fix15",0.15,
IF(AF1410="Fix5",0.05,
IF(AF1410="Fix18.75",0.1875,
IF(AF1410="Fix11.25",0.1125,
IF(AF1410="Fix10",0.1,
IF(AF1410="Fix9",0.09,
IF(AF1410="Fix12",0.12,
IF(AF1410="Fix19",0.19,
IF(AF1410="DoEV2017",IF(AND(W1410&lt;74),0.2,0)+IF(AND(W1410&gt;=74),0.17,0),
IF(AF1410="SF",IF(AND(V1410&lt;20,W1410&lt;89),0.3,0)+IF(AND(V1410&lt;20,W1410&gt;=89),0.25,0)+IF(AND(V1410&gt;=20,V1410&lt;40,W1410&lt;74),0.3,0)+IF(AND(V1410&gt;=20,V1410&lt;40,W1410&gt;=75),0.22,0)+IF(AND(V1410&gt;=40,V1410&lt;75,W1410&lt;75),0.26,0)+IF(AND(V1410&gt;=40,V1410&lt;75,W1410&gt;=75),0.22,0)+IF(V1410&gt;=75,0.22,0),
IF(AF1410="DoEVold",IF(AND(V1410&lt;40,W1410&lt;35),0.35,0)+IF(AND(V1410&lt;40,W1410&gt;=35,W1410&lt;75),0.25,0)+IF(AND(V1410&lt;40,W1410&gt;=75),0.17,0)+IF(AND(V1410&gt;=40,V1410&lt;75,W1410&lt;25),0.35,0)+IF(AND(V1410&gt;=40,V1410&lt;75,W1410&gt;=25,W1410&lt;65),0.25,0)+IF(AND(V1410&gt;=40,V1410&lt;75,W1410&gt;=65,W1410&lt;100),0.17,0)+IF(AND(V1410&gt;=40,V1410&lt;75,W1410&gt;=100),0.1,0)+IF(AND(V1410&gt;=75,W1410&lt;25),0.35,0)+IF(AND(V1410&gt;=75,W1410&gt;=25,W1410&lt;60),0.25,0)+IF(AND(V1410&gt;=75,W1410&gt;=60,W1410&lt;95),0.17,0)+IF(AND(V1410&gt;=75,W1410&gt;=95),0.1,0),
IF(AF1410="DoEVold15",IF(AND(V1410&lt;=40,W1410&lt;35),0.35,0)+IF(AND(V1410&lt;=40,W1410&gt;=35,W1410&lt;75),0.25,0)+IF(AND(V1410&lt;=40,W1410&gt;=75,W1410&lt;120),0.17,0)+IF(AND(V1410&lt;=40,W1410&gt;=120),0.15,0)+IF(AND(V1410&gt;40,V1410&lt;75,W1410&lt;25),0.35,0)+IF(AND(V1410&gt;=40,V1410&lt;75,W1410&gt;=25,W1410&lt;65),0.25,0)+IF(AND(V1410&gt;=40,V1410&lt;75,W1410&gt;=65,W1410&lt;100),0.17,0)+IF(AND(V1410&gt;=40,V1410&lt;75,W1410&gt;=100),0.1,0)+IF(AND(V1410&gt;=75,W1410&lt;25),0.35,0)+IF(AND(V1410&gt;=75,W1410&gt;=25,W1410&lt;60),0.25,0)+IF(AND(V1410&gt;=75,W1410&gt;=60,W1410&lt;95),0.17,0)+IF(AND(V1410&gt;=75,W1410&gt;=95),0.1,0),
IF(AF1410="DoEVba",IF(AND(V1410&lt;20,W1410&lt;105),0.2,0)+IF(AND(V1410&lt;20,W1410&gt;=105),0.15,0)+IF(AND(V1410&gt;=20,V1410&lt;40,W1410&lt;95),0.2,0)+IF(AND(V1410&gt;=20,V1410&lt;40,W1410&gt;=95,W1410&lt;150),0.15,0)+IF(AND(V1410&gt;=20,V1410&lt;40,W1410&gt;=150),0.12,0)+IF(AND(V1410&gt;=40,V1410&lt;75,W1410&lt;75),0.2,0)+IF(AND(V1410&gt;=40,V1410&lt;75,W1410&gt;=75,W1410&lt;120),0.15,0)+IF(AND(V1410&gt;=40,V1410&lt;75,W1410&gt;=120),0.12,0)+IF(AND(V1410&gt;=75,V1410&lt;175,W1410&lt;65),0.2,0)+IF(AND(V1410&gt;=75,V1410&lt;175,W1410&gt;=65,W1410&lt;110),0.15,0)+IF(AND(V1410&gt;=75,V1410&lt;175,W1410&gt;=110),0.12,0)+IF(AND(V1410&gt;=175,W1410&lt;55),0.2,0)+IF(AND(V1410&gt;=175,W1410&gt;=55,W1410&lt;95),0.15,0)+IF(AND(V1410&gt;=175,W1410&gt;=95),0.12,0),
IF(AF1410="DoEVku",IF(AND(V1410&lt;20,W1410&lt;55),0.23,0)+IF(AND(V1410&lt;20,W1410&gt;=55,W1410&lt;105),0.2,0)+IF(AND(V1410&lt;20,W1410&gt;=105),0.17,0)+IF(AND(V1410&gt;=20,V1410&lt;40,W1410&lt;45),0.23,0)+IF(AND(V1410&gt;=20,V1410&lt;40,W1410&gt;=45,W1410&lt;95),0.2,0)+IF(AND(V1410&gt;=20,V1410&lt;40,W1410&gt;=95,W1410&lt;=150),0.17,0)+IF(AND(V1410&gt;=20,V1410&lt;40,W1410&gt;=150),0.12,0)+IF(AND(V1410&gt;=40,V1410&lt;75,W1410&lt;35),0.23,0)+IF(AND(V1410&gt;=40,V1410&lt;75,W1410&gt;=35,W1410&lt;75),0.2,0)+IF(AND(V1410&gt;=40,V1410&lt;75,W1410&gt;=75,W1410&lt;120),0.17,0)+IF(AND(V1410&gt;=40,V1410&lt;75,W1410&gt;=120),0.12,0)+IF(AND(V1410&gt;=75,V1410&lt;175,W1410&lt;35),0.23,0)+IF(AND(V1410&gt;=75,V1410&lt;=175,W1410&gt;=35,W1410&lt;65),0.2,0)+IF(AND(V1410&gt;=75,V1410&lt;=175,W1410&gt;=65,W1410&lt;110),0.17,0)+IF(AND(V1410&gt;=75,V1410&lt;=175,W1410&gt;=110),0.12,0)+IF(AND(V1410&gt;175,W1410&lt;25),0.23,0)+IF(AND(V1410&gt;175,W1410&gt;=25,W1410&lt;55),0.2,0)+IF(AND(V1410&gt;175,W1410&gt;=55,W1410&lt;95),0.17,0)+IF(AND(V1410&gt;175,W1410&gt;=95),0.12,0),
IF(AF1410="DoEVs1",IF(AND(V1410&lt;20,W1410&lt;55),0.3,0)+IF(AND(V1410&lt;20,W1410&gt;=55,W1410&lt;105),0.23,0)+IF(AND(V1410&lt;20,W1410&gt;=105),0.17,0)+IF(AND(V1410&gt;=20,V1410&lt;40,W1410&lt;45),0.3,0)+IF(AND(V1410&gt;=20,V1410&lt;40,W1410&gt;=45,W1410&lt;95),0.23,0)+IF(AND(V1410&gt;=20,V1410&lt;40,W1410&gt;=95,W1410&lt;=150),0.17,0)+IF(AND(V1410&gt;=20,V1410&lt;40,W1410&gt;=150),0.12,0)+IF(AND(V1410&gt;=40,V1410&lt;75,W1410&lt;35),0.3,0)+IF(AND(V1410&gt;=40,V1410&lt;75,W1410&gt;=35,W1410&lt;75),0.23,0)+IF(AND(V1410&gt;=40,V1410&lt;75,W1410&gt;=75,W1410&lt;120),0.17,0)+IF(AND(V1410&gt;=40,V1410&lt;75,W1410&gt;=120),0.12,0)+IF(AND(V1410&gt;=75,V1410&lt;175,W1410&lt;35),0.3,0)+IF(AND(V1410&gt;=75,V1410&lt;=175,W1410&gt;=35,W1410&lt;65),0.23,0)+IF(AND(V1410&gt;=75,V1410&lt;=175,W1410&gt;=65,W1410&lt;110),0.17,0)+IF(AND(V1410&gt;=75,V1410&lt;=175,W1410&gt;=110),0.12,0)+IF(AND(V1410&gt;175,W1410&lt;25),0.3,0)+IF(AND(V1410&gt;175,W1410&gt;=25,W1410&lt;55),0.23,0)+IF(AND(V1410&gt;175,W1410&gt;=55,W1410&lt;95),0.17,0)+IF(AND(V1410&gt;175,W1410&gt;=95),0.12,0),
IF(AF1410="DoEVsu",IF(AND(V1410&lt;20,W1410&lt;55),0.3,0)+IF(AND(V1410&lt;20,W1410&gt;=55,W1410&lt;105),0.23,0)+IF(AND(V1410&lt;20,W1410&gt;=105),0.17,0)+IF(AND(V1410&gt;=20,V1410&lt;40,W1410&lt;45),0.3,0)+IF(AND(V1410&gt;=20,V1410&lt;40,W1410&gt;=45,W1410&lt;95),0.23,0)+IF(AND(V1410&gt;=20,V1410&lt;40,W1410&gt;=95,W1410&lt;=250),0.17,0)+IF(AND(V1410&gt;=20,V1410&lt;40,W1410&gt;=250),0.12,0)+IF(AND(V1410&gt;=40,V1410&lt;75,W1410&lt;35),0.3,0)+IF(AND(V1410&gt;=40,V1410&lt;75,W1410&gt;=35,W1410&lt;75),0.23,0)+IF(AND(V1410&gt;=40,V1410&lt;75,W1410&gt;=75,W1410&lt;120),0.17,0)+IF(AND(V1410&gt;=40,V1410&lt;75,W1410&gt;=120),0.12,0)+IF(AND(V1410&gt;=75,V1410&lt;175,W1410&lt;35),0.3,0)+IF(AND(V1410&gt;=75,V1410&lt;=175,W1410&gt;=35,W1410&lt;65),0.23,0)+IF(AND(V1410&gt;=75,V1410&lt;=175,W1410&gt;=65,W1410&lt;110),0.17,0)+IF(AND(V1410&gt;=75,V1410&lt;=175,W1410&gt;=110),0.12,0)+IF(AND(V1410&gt;175,W1410&lt;25),0.3,0)+IF(AND(V1410&gt;175,W1410&gt;=25,W1410&lt;55),0.23,0)+IF(AND(V1410&gt;175,W1410&gt;=55,W1410&lt;95),0.17,0)+IF(AND(V1410&gt;175,W1410&gt;=95),0.12,0),
IF(AF1410="DoEVni",IF(AND(V1410&lt;20,W1410&lt;55),0.3,0)+IF(AND(V1410&lt;20,W1410&gt;=55,W1410&lt;105),0.23,0)+IF(AND(V1410&lt;20,W1410&gt;=105),0.17,0)+IF(AND(V1410&gt;=20,V1410&lt;40,W1410&lt;45),0.3,0)+IF(AND(V1410&gt;=20,V1410&lt;40,W1410&gt;=45,W1410&lt;95),0.23,0)+IF(AND(V1410&gt;=20,V1410&lt;40,W1410&gt;=95,W1410&lt;=200),0.17,0)+IF(AND(V1410&gt;=20,V1410&lt;40,W1410&gt;=200),0.12,0)+IF(AND(V1410&gt;=40,V1410&lt;75,W1410&lt;35),0.3,0)+IF(AND(V1410&gt;=40,V1410&lt;75,W1410&gt;=35,W1410&lt;75),0.23,0)+IF(AND(V1410&gt;=40,V1410&lt;75,W1410&gt;=75,W1410&lt;120),0.17,0)+IF(AND(V1410&gt;=40,V1410&lt;75,W1410&gt;=120),0.12,0)+IF(AND(V1410&gt;=75,V1410&lt;175,W1410&lt;35),0.3,0)+IF(AND(V1410&gt;=75,V1410&lt;=175,W1410&gt;=35,W1410&lt;65),0.23,0)+IF(AND(V1410&gt;=75,V1410&lt;=175,W1410&gt;=65,W1410&lt;110),0.17,0)+IF(AND(V1410&gt;=75,V1410&lt;=175,W1410&gt;=110),0.12,0)+IF(AND(V1410&gt;175,W1410&lt;25),0.3,0)+IF(AND(V1410&gt;175,W1410&gt;=25,W1410&lt;55),0.23,0)+IF(AND(V1410&gt;175,W1410&gt;=55,W1410&lt;95),0.17,0)+IF(AND(V1410&gt;175,W1410&gt;=95),0.12,0),
IF(AF1410="DoEVLo",IF(AND(V1410&lt;20,W1410&lt;55),0.25,0)+IF(AND(V1410&lt;20,W1410&gt;=55,W1410&lt;105),0.2,0)+IF(AND(V1410&lt;20,W1410&gt;=105),0.15,0)+IF(AND(V1410&gt;=20,V1410&lt;40,W1410&lt;45),0.25,0)+IF(AND(V1410&gt;=20,V1410&lt;40,W1410&gt;=45,W1410&lt;95),0.2,0)+IF(AND(V1410&gt;=20,V1410&lt;40,W1410&gt;=95),0.15,0)+IF(AND(V1410&gt;=40,V1410&lt;75,W1410&lt;35),0.25,0)+IF(AND(V1410&gt;=40,V1410&lt;75,W1410&gt;=35,W1410&lt;75),0.2,0)+IF(AND(V1410&gt;=40,V1410&lt;75,W1410&gt;=75,W1410&lt;120),0.15,0)+IF(AND(V1410&gt;=40,V1410&lt;75,W1410&gt;=120),0.1,0)+IF(AND(V1410&gt;=75,V1410&lt;175,W1410&lt;35),0.25,0)+IF(AND(V1410&gt;=75,V1410&lt;=175,W1410&gt;=35,W1410&lt;65),0.2,0)+IF(AND(V1410&gt;=75,V1410&lt;=175,W1410&gt;=65,W1410&lt;110),0.15,0)+IF(AND(V1410&gt;=75,V1410&lt;=175,W1410&gt;=110),0.1,0)+IF(AND(V1410&gt;175,W1410&lt;25),0.25,0)+IF(AND(V1410&gt;175,W1410&gt;=25,W1410&lt;55),0.2,0)+IF(AND(V1410&gt;175,W1410&gt;=55,W1410&lt;95),0.15,0)+IF(AND(V1410&gt;175,W1410&gt;=95),0.1,0))))))))))))))))))))</f>
        <v>0.3</v>
      </c>
      <c r="Y1410" s="30">
        <f>IF(AG1410="None",0,IF(AG1410="Fix5",0.05, IF(AG1410="Fix6.25",0.0625,IF(AG1410="Fix3.75",0.0375, IF(AG1410="Fix11",0.11, IF(AG1410="Fix10",0.1,IF(AG1410="Fix3",0.03,0)))))))</f>
        <v>0</v>
      </c>
      <c r="Z1410" s="35">
        <f>IF(AND(AD1410="EUR", AE1410 = "USD"), T1410*U1410-AA1410-AB1410, T1410-AA1410-AB1410)</f>
        <v>112</v>
      </c>
      <c r="AA1410" s="29">
        <f>IF(AND(AD1410="EUR", F1410="Without EV deal", AE1410="USD"), (T1410*X1410)*U1410,
IF(AND(AD1410="EUR", F1410="Without EV deal", AE1410="EUR"), (T1410*X1410),
IF(AND(AD1410="EUR",AE1410="USD"), (T1410*X1410)*U1410,
T1410*X1410)))</f>
        <v>48</v>
      </c>
      <c r="AB1410" s="36">
        <f>IF(AND(AD1410="EUR", F1410="Without EV deal", AE1410="USD"), (T1410*Y1410)*U1410,
IF(AND(AD1410="EUR", F1410="Without EV deal", AE1410="EUR"), (T1410*Y1410),
IF(AND(AD1410="EUR",AE1410="USD"), (T1410*Y1410)*U1410,
T1410*Y1410)))</f>
        <v>0</v>
      </c>
      <c r="AC1410" s="37" t="b">
        <v>1</v>
      </c>
      <c r="AD1410" s="82" t="str">
        <f>IF(OR(H1410="€0.25 Flash",
H1410="€0.25(nitro) new",
H1410="€1",
H1410="€2",
H1410="€2 (bf 01.08)",
H1410="€5",
H1410="€5 (1M)",
H1410="€5 (bf 01.08)",
H1410="€5 (bf 05.05)",
H1410="€5 Nitro",
H1410="€5(wx) new",
H1410="€10",
H1410="€10 (1M)",
H1410="€10 (bf 01.08)",
H1410="€10 (bf 05.05)",
H1410="€10 (MP)",
H1410="€10 (old)",
H1410="€10 Nitro (bf 05.05)",
H1410="€10 Nitro (old)",
H1410="€10(wx) new",
H1410="€20",
H1410="€25",
H1410="€25 (bf 01.08)",
H1410="€25 (bf 05.05)",
H1410="€25 (MP)",
H1410="€25 (old)",
H1410="€25 Nitro",
H1410="€25 Nitro (bf 01.08)",
H1410="€25 Nitro (bf 05.05)",
H1410="€25(nitro) new",
H1410="€25(wx) new",
H1410="€50",
H1410="€50 (bf 01.08)",
H1410="€50 (bf 05.05)",
H1410="€50 (old)",
H1410="€50 Nitro",
H1410="€50 Nitro (bf 01.08)",
H1410="€50 Nitro (bf 05.05)",
H1410="€50(wx) new",
H1410="€100",
H1410="€100 (old)",
H1410="€100 Nitro",
H1410="€100 Nitro (old)",
H1410="€200",
H1410="€250",
H1410="€250 Nitro",
H1410="€500",
H1410="€500 Nitro"),"EUR", "USD")</f>
        <v>USD</v>
      </c>
      <c r="AE1410" s="83" t="s">
        <v>38</v>
      </c>
      <c r="AF1410" s="83" t="str">
        <f t="array" ref="AF1410">INDEX('Deal Info'!D:D, MATCH(A1410,'Deal Info'!A:A, 0))</f>
        <v>DoEV</v>
      </c>
      <c r="AG1410" s="84" t="str">
        <f t="array" ref="AG1410">INDEX('Deal Info'!G:G, MATCH(A1410,'Deal Info'!A:A, 0))</f>
        <v>None</v>
      </c>
    </row>
    <row r="1411" spans="1:33" ht="14.25" hidden="1" x14ac:dyDescent="0.2">
      <c r="A1411" s="18" t="str">
        <f t="array" ref="A1411">IF(G1411='Room Info'!$B$1, INDEX('Room Info'!$A$2:$A2446, MATCH(B1411,'Room Info'!$B$2:$B2446, 0)),IF(G1411='Room Info'!$C$1, INDEX('Room Info'!$A$2:$A2446, MATCH(B1411,'Room Info'!$C$2:$C2446, 0)),IF(G1411='Room Info'!$D$1, INDEX('Room Info'!$A$2:$A2446, MATCH(B1411,'Room Info'!$D$2:$D2446, 0)),IF(G1411='Room Info'!$E$1, INDEX('Room Info'!$A$2:$A2446, MATCH(B1411,'Room Info'!$E$2:$E2446, 0)),IF(G1411='Room Info'!$F$1, INDEX('Room Info'!$A$2:$A2446, MATCH(B1411,'Room Info'!$F$2:$F2446, 0)),IF(G1411='Room Info'!$H$1, INDEX('Room Info'!$A$2:$A2446, MATCH(B1411,'Room Info'!$H$2:$H2446, 0)),IF(G1411='Room Info'!$G$1, INDEX('Room Info'!$A$2:$A2446, MATCH(B1411,'Room Info'!$G$2:$G2446, 0)))))))))</f>
        <v>CrippledMind</v>
      </c>
      <c r="B1411" s="18" t="s">
        <v>125</v>
      </c>
      <c r="C1411" s="19">
        <v>44947</v>
      </c>
      <c r="D1411" s="20">
        <v>44977</v>
      </c>
      <c r="E1411" s="21">
        <v>44958</v>
      </c>
      <c r="F1411" s="40" t="s">
        <v>34</v>
      </c>
      <c r="G1411" s="18" t="s">
        <v>35</v>
      </c>
      <c r="H1411" s="23" t="s">
        <v>40</v>
      </c>
      <c r="I1411" s="23" t="s">
        <v>37</v>
      </c>
      <c r="J1411" s="39">
        <v>10</v>
      </c>
      <c r="K1411" s="88">
        <v>509</v>
      </c>
      <c r="L1411" s="89">
        <v>-570</v>
      </c>
      <c r="M1411" s="27"/>
      <c r="N1411" s="28">
        <f>K1411*J1411</f>
        <v>5090</v>
      </c>
      <c r="O1411" s="85">
        <v>4115</v>
      </c>
      <c r="P1411" s="29">
        <v>8.0844793710000005</v>
      </c>
      <c r="Q1411" s="30"/>
      <c r="R1411" s="31">
        <f>M1411+Q1411</f>
        <v>0</v>
      </c>
      <c r="S1411" s="28"/>
      <c r="T1411" s="32">
        <f>IF(AND(AD1411="EUR", F1411="Without EV deal"), R1411 + L1411,
IF(AND(AD1411="USD", F1411="Without EV deal"), R1411 + L1411,
IF(AND(AD1411="EUR", F1411="Steel Phoenix"), R1411 + S1411/U1411,
R1411 + S1411)))</f>
        <v>0</v>
      </c>
      <c r="U1411" s="33">
        <v>1.0669999999999999</v>
      </c>
      <c r="V1411" s="34">
        <v>8.2586427656850194</v>
      </c>
      <c r="W1411" s="34">
        <v>19.373643410852711</v>
      </c>
      <c r="X1411" s="30">
        <f>IF(AF1411="DoEV",IF(AND(V1411&lt;20,W1411&lt;55),0.3,0)+IF(AND(V1411&lt;20,W1411&gt;=55,W1411&lt;105),0.23,0)+IF(AND(V1411&lt;20,W1411&gt;=105),0.17,0)+IF(AND(V1411&gt;=20,V1411&lt;40,W1411&lt;45),0.3,0)+IF(AND(V1411&gt;=20,V1411&lt;40,W1411&gt;=45,W1411&lt;95),0.23,0)+IF(AND(V1411&gt;=20,V1411&lt;40,W1411&gt;=95),0.17,0)+IF(AND(V1411&gt;=40,V1411&lt;75,W1411&lt;35),0.3,0)+IF(AND(V1411&gt;=40,V1411&lt;75,W1411&gt;=35,W1411&lt;75),0.23,0)+IF(AND(V1411&gt;=40,V1411&lt;75,W1411&gt;=75,W1411&lt;120),0.17,0)+IF(AND(V1411&gt;=40,V1411&lt;75,W1411&gt;=120),0.12,0)+IF(AND(V1411&gt;=75,V1411&lt;175,W1411&lt;35),0.3,0)+IF(AND(V1411&gt;=75,V1411&lt;=175,W1411&gt;=35,W1411&lt;65),0.23,0)+IF(AND(V1411&gt;=75,V1411&lt;=175,W1411&gt;=65,W1411&lt;110),0.17,0)+IF(AND(V1411&gt;=75,V1411&lt;=175,W1411&gt;=110),0.12,0)+IF(AND(V1411&gt;175,W1411&lt;25),0.3,0)+IF(AND(V1411&gt;175,W1411&gt;=25,W1411&lt;55),0.23,0)+IF(AND(V1411&gt;175,W1411&gt;=55,W1411&lt;95),0.17,0)+IF(AND(V1411&gt;175,W1411&gt;=95),0.12,0),
IF(AF1411="Fix15",0.15,
IF(AF1411="Fix5",0.05,
IF(AF1411="Fix18.75",0.1875,
IF(AF1411="Fix11.25",0.1125,
IF(AF1411="Fix10",0.1,
IF(AF1411="Fix9",0.09,
IF(AF1411="Fix12",0.12,
IF(AF1411="Fix19",0.19,
IF(AF1411="DoEV2017",IF(AND(W1411&lt;74),0.2,0)+IF(AND(W1411&gt;=74),0.17,0),
IF(AF1411="SF",IF(AND(V1411&lt;20,W1411&lt;89),0.3,0)+IF(AND(V1411&lt;20,W1411&gt;=89),0.25,0)+IF(AND(V1411&gt;=20,V1411&lt;40,W1411&lt;74),0.3,0)+IF(AND(V1411&gt;=20,V1411&lt;40,W1411&gt;=75),0.22,0)+IF(AND(V1411&gt;=40,V1411&lt;75,W1411&lt;75),0.26,0)+IF(AND(V1411&gt;=40,V1411&lt;75,W1411&gt;=75),0.22,0)+IF(V1411&gt;=75,0.22,0),
IF(AF1411="DoEVold",IF(AND(V1411&lt;40,W1411&lt;35),0.35,0)+IF(AND(V1411&lt;40,W1411&gt;=35,W1411&lt;75),0.25,0)+IF(AND(V1411&lt;40,W1411&gt;=75),0.17,0)+IF(AND(V1411&gt;=40,V1411&lt;75,W1411&lt;25),0.35,0)+IF(AND(V1411&gt;=40,V1411&lt;75,W1411&gt;=25,W1411&lt;65),0.25,0)+IF(AND(V1411&gt;=40,V1411&lt;75,W1411&gt;=65,W1411&lt;100),0.17,0)+IF(AND(V1411&gt;=40,V1411&lt;75,W1411&gt;=100),0.1,0)+IF(AND(V1411&gt;=75,W1411&lt;25),0.35,0)+IF(AND(V1411&gt;=75,W1411&gt;=25,W1411&lt;60),0.25,0)+IF(AND(V1411&gt;=75,W1411&gt;=60,W1411&lt;95),0.17,0)+IF(AND(V1411&gt;=75,W1411&gt;=95),0.1,0),
IF(AF1411="DoEVold15",IF(AND(V1411&lt;=40,W1411&lt;35),0.35,0)+IF(AND(V1411&lt;=40,W1411&gt;=35,W1411&lt;75),0.25,0)+IF(AND(V1411&lt;=40,W1411&gt;=75,W1411&lt;120),0.17,0)+IF(AND(V1411&lt;=40,W1411&gt;=120),0.15,0)+IF(AND(V1411&gt;40,V1411&lt;75,W1411&lt;25),0.35,0)+IF(AND(V1411&gt;=40,V1411&lt;75,W1411&gt;=25,W1411&lt;65),0.25,0)+IF(AND(V1411&gt;=40,V1411&lt;75,W1411&gt;=65,W1411&lt;100),0.17,0)+IF(AND(V1411&gt;=40,V1411&lt;75,W1411&gt;=100),0.1,0)+IF(AND(V1411&gt;=75,W1411&lt;25),0.35,0)+IF(AND(V1411&gt;=75,W1411&gt;=25,W1411&lt;60),0.25,0)+IF(AND(V1411&gt;=75,W1411&gt;=60,W1411&lt;95),0.17,0)+IF(AND(V1411&gt;=75,W1411&gt;=95),0.1,0),
IF(AF1411="DoEVba",IF(AND(V1411&lt;20,W1411&lt;105),0.2,0)+IF(AND(V1411&lt;20,W1411&gt;=105),0.15,0)+IF(AND(V1411&gt;=20,V1411&lt;40,W1411&lt;95),0.2,0)+IF(AND(V1411&gt;=20,V1411&lt;40,W1411&gt;=95,W1411&lt;150),0.15,0)+IF(AND(V1411&gt;=20,V1411&lt;40,W1411&gt;=150),0.12,0)+IF(AND(V1411&gt;=40,V1411&lt;75,W1411&lt;75),0.2,0)+IF(AND(V1411&gt;=40,V1411&lt;75,W1411&gt;=75,W1411&lt;120),0.15,0)+IF(AND(V1411&gt;=40,V1411&lt;75,W1411&gt;=120),0.12,0)+IF(AND(V1411&gt;=75,V1411&lt;175,W1411&lt;65),0.2,0)+IF(AND(V1411&gt;=75,V1411&lt;175,W1411&gt;=65,W1411&lt;110),0.15,0)+IF(AND(V1411&gt;=75,V1411&lt;175,W1411&gt;=110),0.12,0)+IF(AND(V1411&gt;=175,W1411&lt;55),0.2,0)+IF(AND(V1411&gt;=175,W1411&gt;=55,W1411&lt;95),0.15,0)+IF(AND(V1411&gt;=175,W1411&gt;=95),0.12,0),
IF(AF1411="DoEVku",IF(AND(V1411&lt;20,W1411&lt;55),0.23,0)+IF(AND(V1411&lt;20,W1411&gt;=55,W1411&lt;105),0.2,0)+IF(AND(V1411&lt;20,W1411&gt;=105),0.17,0)+IF(AND(V1411&gt;=20,V1411&lt;40,W1411&lt;45),0.23,0)+IF(AND(V1411&gt;=20,V1411&lt;40,W1411&gt;=45,W1411&lt;95),0.2,0)+IF(AND(V1411&gt;=20,V1411&lt;40,W1411&gt;=95,W1411&lt;=150),0.17,0)+IF(AND(V1411&gt;=20,V1411&lt;40,W1411&gt;=150),0.12,0)+IF(AND(V1411&gt;=40,V1411&lt;75,W1411&lt;35),0.23,0)+IF(AND(V1411&gt;=40,V1411&lt;75,W1411&gt;=35,W1411&lt;75),0.2,0)+IF(AND(V1411&gt;=40,V1411&lt;75,W1411&gt;=75,W1411&lt;120),0.17,0)+IF(AND(V1411&gt;=40,V1411&lt;75,W1411&gt;=120),0.12,0)+IF(AND(V1411&gt;=75,V1411&lt;175,W1411&lt;35),0.23,0)+IF(AND(V1411&gt;=75,V1411&lt;=175,W1411&gt;=35,W1411&lt;65),0.2,0)+IF(AND(V1411&gt;=75,V1411&lt;=175,W1411&gt;=65,W1411&lt;110),0.17,0)+IF(AND(V1411&gt;=75,V1411&lt;=175,W1411&gt;=110),0.12,0)+IF(AND(V1411&gt;175,W1411&lt;25),0.23,0)+IF(AND(V1411&gt;175,W1411&gt;=25,W1411&lt;55),0.2,0)+IF(AND(V1411&gt;175,W1411&gt;=55,W1411&lt;95),0.17,0)+IF(AND(V1411&gt;175,W1411&gt;=95),0.12,0),
IF(AF1411="DoEVs1",IF(AND(V1411&lt;20,W1411&lt;55),0.3,0)+IF(AND(V1411&lt;20,W1411&gt;=55,W1411&lt;105),0.23,0)+IF(AND(V1411&lt;20,W1411&gt;=105),0.17,0)+IF(AND(V1411&gt;=20,V1411&lt;40,W1411&lt;45),0.3,0)+IF(AND(V1411&gt;=20,V1411&lt;40,W1411&gt;=45,W1411&lt;95),0.23,0)+IF(AND(V1411&gt;=20,V1411&lt;40,W1411&gt;=95,W1411&lt;=150),0.17,0)+IF(AND(V1411&gt;=20,V1411&lt;40,W1411&gt;=150),0.12,0)+IF(AND(V1411&gt;=40,V1411&lt;75,W1411&lt;35),0.3,0)+IF(AND(V1411&gt;=40,V1411&lt;75,W1411&gt;=35,W1411&lt;75),0.23,0)+IF(AND(V1411&gt;=40,V1411&lt;75,W1411&gt;=75,W1411&lt;120),0.17,0)+IF(AND(V1411&gt;=40,V1411&lt;75,W1411&gt;=120),0.12,0)+IF(AND(V1411&gt;=75,V1411&lt;175,W1411&lt;35),0.3,0)+IF(AND(V1411&gt;=75,V1411&lt;=175,W1411&gt;=35,W1411&lt;65),0.23,0)+IF(AND(V1411&gt;=75,V1411&lt;=175,W1411&gt;=65,W1411&lt;110),0.17,0)+IF(AND(V1411&gt;=75,V1411&lt;=175,W1411&gt;=110),0.12,0)+IF(AND(V1411&gt;175,W1411&lt;25),0.3,0)+IF(AND(V1411&gt;175,W1411&gt;=25,W1411&lt;55),0.23,0)+IF(AND(V1411&gt;175,W1411&gt;=55,W1411&lt;95),0.17,0)+IF(AND(V1411&gt;175,W1411&gt;=95),0.12,0),
IF(AF1411="DoEVsu",IF(AND(V1411&lt;20,W1411&lt;55),0.3,0)+IF(AND(V1411&lt;20,W1411&gt;=55,W1411&lt;105),0.23,0)+IF(AND(V1411&lt;20,W1411&gt;=105),0.17,0)+IF(AND(V1411&gt;=20,V1411&lt;40,W1411&lt;45),0.3,0)+IF(AND(V1411&gt;=20,V1411&lt;40,W1411&gt;=45,W1411&lt;95),0.23,0)+IF(AND(V1411&gt;=20,V1411&lt;40,W1411&gt;=95,W1411&lt;=250),0.17,0)+IF(AND(V1411&gt;=20,V1411&lt;40,W1411&gt;=250),0.12,0)+IF(AND(V1411&gt;=40,V1411&lt;75,W1411&lt;35),0.3,0)+IF(AND(V1411&gt;=40,V1411&lt;75,W1411&gt;=35,W1411&lt;75),0.23,0)+IF(AND(V1411&gt;=40,V1411&lt;75,W1411&gt;=75,W1411&lt;120),0.17,0)+IF(AND(V1411&gt;=40,V1411&lt;75,W1411&gt;=120),0.12,0)+IF(AND(V1411&gt;=75,V1411&lt;175,W1411&lt;35),0.3,0)+IF(AND(V1411&gt;=75,V1411&lt;=175,W1411&gt;=35,W1411&lt;65),0.23,0)+IF(AND(V1411&gt;=75,V1411&lt;=175,W1411&gt;=65,W1411&lt;110),0.17,0)+IF(AND(V1411&gt;=75,V1411&lt;=175,W1411&gt;=110),0.12,0)+IF(AND(V1411&gt;175,W1411&lt;25),0.3,0)+IF(AND(V1411&gt;175,W1411&gt;=25,W1411&lt;55),0.23,0)+IF(AND(V1411&gt;175,W1411&gt;=55,W1411&lt;95),0.17,0)+IF(AND(V1411&gt;175,W1411&gt;=95),0.12,0),
IF(AF1411="DoEVni",IF(AND(V1411&lt;20,W1411&lt;55),0.3,0)+IF(AND(V1411&lt;20,W1411&gt;=55,W1411&lt;105),0.23,0)+IF(AND(V1411&lt;20,W1411&gt;=105),0.17,0)+IF(AND(V1411&gt;=20,V1411&lt;40,W1411&lt;45),0.3,0)+IF(AND(V1411&gt;=20,V1411&lt;40,W1411&gt;=45,W1411&lt;95),0.23,0)+IF(AND(V1411&gt;=20,V1411&lt;40,W1411&gt;=95,W1411&lt;=200),0.17,0)+IF(AND(V1411&gt;=20,V1411&lt;40,W1411&gt;=200),0.12,0)+IF(AND(V1411&gt;=40,V1411&lt;75,W1411&lt;35),0.3,0)+IF(AND(V1411&gt;=40,V1411&lt;75,W1411&gt;=35,W1411&lt;75),0.23,0)+IF(AND(V1411&gt;=40,V1411&lt;75,W1411&gt;=75,W1411&lt;120),0.17,0)+IF(AND(V1411&gt;=40,V1411&lt;75,W1411&gt;=120),0.12,0)+IF(AND(V1411&gt;=75,V1411&lt;175,W1411&lt;35),0.3,0)+IF(AND(V1411&gt;=75,V1411&lt;=175,W1411&gt;=35,W1411&lt;65),0.23,0)+IF(AND(V1411&gt;=75,V1411&lt;=175,W1411&gt;=65,W1411&lt;110),0.17,0)+IF(AND(V1411&gt;=75,V1411&lt;=175,W1411&gt;=110),0.12,0)+IF(AND(V1411&gt;175,W1411&lt;25),0.3,0)+IF(AND(V1411&gt;175,W1411&gt;=25,W1411&lt;55),0.23,0)+IF(AND(V1411&gt;175,W1411&gt;=55,W1411&lt;95),0.17,0)+IF(AND(V1411&gt;175,W1411&gt;=95),0.12,0),
IF(AF1411="DoEVLo",IF(AND(V1411&lt;20,W1411&lt;55),0.25,0)+IF(AND(V1411&lt;20,W1411&gt;=55,W1411&lt;105),0.2,0)+IF(AND(V1411&lt;20,W1411&gt;=105),0.15,0)+IF(AND(V1411&gt;=20,V1411&lt;40,W1411&lt;45),0.25,0)+IF(AND(V1411&gt;=20,V1411&lt;40,W1411&gt;=45,W1411&lt;95),0.2,0)+IF(AND(V1411&gt;=20,V1411&lt;40,W1411&gt;=95),0.15,0)+IF(AND(V1411&gt;=40,V1411&lt;75,W1411&lt;35),0.25,0)+IF(AND(V1411&gt;=40,V1411&lt;75,W1411&gt;=35,W1411&lt;75),0.2,0)+IF(AND(V1411&gt;=40,V1411&lt;75,W1411&gt;=75,W1411&lt;120),0.15,0)+IF(AND(V1411&gt;=40,V1411&lt;75,W1411&gt;=120),0.1,0)+IF(AND(V1411&gt;=75,V1411&lt;175,W1411&lt;35),0.25,0)+IF(AND(V1411&gt;=75,V1411&lt;=175,W1411&gt;=35,W1411&lt;65),0.2,0)+IF(AND(V1411&gt;=75,V1411&lt;=175,W1411&gt;=65,W1411&lt;110),0.15,0)+IF(AND(V1411&gt;=75,V1411&lt;=175,W1411&gt;=110),0.1,0)+IF(AND(V1411&gt;175,W1411&lt;25),0.25,0)+IF(AND(V1411&gt;175,W1411&gt;=25,W1411&lt;55),0.2,0)+IF(AND(V1411&gt;175,W1411&gt;=55,W1411&lt;95),0.15,0)+IF(AND(V1411&gt;175,W1411&gt;=95),0.1,0))))))))))))))))))))</f>
        <v>0.3</v>
      </c>
      <c r="Y1411" s="30">
        <f>IF(AG1411="None",0,IF(AG1411="Fix5",0.05, IF(AG1411="Fix6.25",0.0625,IF(AG1411="Fix3.75",0.0375, IF(AG1411="Fix11",0.11, IF(AG1411="Fix10",0.1,IF(AG1411="Fix3",0.03,0)))))))</f>
        <v>0</v>
      </c>
      <c r="Z1411" s="35">
        <f>IF(AND(AD1411="EUR", AE1411 = "USD"), T1411*U1411-AA1411-AB1411, T1411-AA1411-AB1411)</f>
        <v>0</v>
      </c>
      <c r="AA1411" s="29">
        <f>IF(AND(AD1411="EUR", F1411="Without EV deal", AE1411="USD"), (T1411*X1411)*U1411,
IF(AND(AD1411="EUR", F1411="Without EV deal", AE1411="EUR"), (T1411*X1411),
IF(AND(AD1411="EUR",AE1411="USD"), (T1411*X1411)*U1411,
T1411*X1411)))</f>
        <v>0</v>
      </c>
      <c r="AB1411" s="36">
        <f>IF(AND(AD1411="EUR", F1411="Without EV deal", AE1411="USD"), (T1411*Y1411)*U1411,
IF(AND(AD1411="EUR", F1411="Without EV deal", AE1411="EUR"), (T1411*Y1411),
IF(AND(AD1411="EUR",AE1411="USD"), (T1411*Y1411)*U1411,
T1411*Y1411)))</f>
        <v>0</v>
      </c>
      <c r="AC1411" s="37" t="b">
        <v>1</v>
      </c>
      <c r="AD1411" s="82" t="str">
        <f>IF(OR(H1411="€0.25 Flash",
H1411="€0.25(nitro) new",
H1411="€1",
H1411="€2",
H1411="€2 (bf 01.08)",
H1411="€5",
H1411="€5 (1M)",
H1411="€5 (bf 01.08)",
H1411="€5 (bf 05.05)",
H1411="€5 Nitro",
H1411="€5(wx) new",
H1411="€10",
H1411="€10 (1M)",
H1411="€10 (bf 01.08)",
H1411="€10 (bf 05.05)",
H1411="€10 (MP)",
H1411="€10 (old)",
H1411="€10 Nitro (bf 05.05)",
H1411="€10 Nitro (old)",
H1411="€10(wx) new",
H1411="€20",
H1411="€25",
H1411="€25 (bf 01.08)",
H1411="€25 (bf 05.05)",
H1411="€25 (MP)",
H1411="€25 (old)",
H1411="€25 Nitro",
H1411="€25 Nitro (bf 01.08)",
H1411="€25 Nitro (bf 05.05)",
H1411="€25(nitro) new",
H1411="€25(wx) new",
H1411="€50",
H1411="€50 (bf 01.08)",
H1411="€50 (bf 05.05)",
H1411="€50 (old)",
H1411="€50 Nitro",
H1411="€50 Nitro (bf 01.08)",
H1411="€50 Nitro (bf 05.05)",
H1411="€50(wx) new",
H1411="€100",
H1411="€100 (old)",
H1411="€100 Nitro",
H1411="€100 Nitro (old)",
H1411="€200",
H1411="€250",
H1411="€250 Nitro",
H1411="€500",
H1411="€500 Nitro"),"EUR", "USD")</f>
        <v>USD</v>
      </c>
      <c r="AE1411" s="83" t="s">
        <v>38</v>
      </c>
      <c r="AF1411" s="83" t="str">
        <f t="array" ref="AF1411">INDEX('Deal Info'!D:D, MATCH(A1411,'Deal Info'!A:A, 0))</f>
        <v>DoEV</v>
      </c>
      <c r="AG1411" s="84" t="str">
        <f t="array" ref="AG1411">INDEX('Deal Info'!G:G, MATCH(A1411,'Deal Info'!A:A, 0))</f>
        <v>None</v>
      </c>
    </row>
    <row r="1412" spans="1:33" ht="14.25" hidden="1" x14ac:dyDescent="0.2">
      <c r="A1412" s="18" t="str">
        <f t="array" ref="A1412">IF(G1412='Room Info'!$B$1, INDEX('Room Info'!$A$2:$A2446, MATCH(B1412,'Room Info'!$B$2:$B2446, 0)),IF(G1412='Room Info'!$C$1, INDEX('Room Info'!$A$2:$A2446, MATCH(B1412,'Room Info'!$C$2:$C2446, 0)),IF(G1412='Room Info'!$D$1, INDEX('Room Info'!$A$2:$A2446, MATCH(B1412,'Room Info'!$D$2:$D2446, 0)),IF(G1412='Room Info'!$E$1, INDEX('Room Info'!$A$2:$A2446, MATCH(B1412,'Room Info'!$E$2:$E2446, 0)),IF(G1412='Room Info'!$F$1, INDEX('Room Info'!$A$2:$A2446, MATCH(B1412,'Room Info'!$F$2:$F2446, 0)),IF(G1412='Room Info'!$H$1, INDEX('Room Info'!$A$2:$A2446, MATCH(B1412,'Room Info'!$H$2:$H2446, 0)),IF(G1412='Room Info'!$G$1, INDEX('Room Info'!$A$2:$A2446, MATCH(B1412,'Room Info'!$G$2:$G2446, 0)))))))))</f>
        <v>KuCoH</v>
      </c>
      <c r="B1412" s="18" t="s">
        <v>178</v>
      </c>
      <c r="C1412" s="19">
        <v>44947</v>
      </c>
      <c r="D1412" s="20">
        <v>44977</v>
      </c>
      <c r="E1412" s="21">
        <v>44958</v>
      </c>
      <c r="F1412" s="22" t="s">
        <v>34</v>
      </c>
      <c r="G1412" s="18" t="s">
        <v>35</v>
      </c>
      <c r="H1412" s="23" t="s">
        <v>46</v>
      </c>
      <c r="I1412" s="23" t="s">
        <v>37</v>
      </c>
      <c r="J1412" s="39">
        <v>25</v>
      </c>
      <c r="K1412" s="88">
        <v>1974</v>
      </c>
      <c r="L1412" s="89">
        <v>-125</v>
      </c>
      <c r="M1412" s="42">
        <v>1970</v>
      </c>
      <c r="N1412" s="28">
        <f>K1412*J1412</f>
        <v>49350</v>
      </c>
      <c r="O1412" s="85">
        <v>52800</v>
      </c>
      <c r="P1412" s="29">
        <v>26.747720359999999</v>
      </c>
      <c r="Q1412" s="30"/>
      <c r="R1412" s="31">
        <f>M1412+Q1412</f>
        <v>1970</v>
      </c>
      <c r="S1412" s="119">
        <v>-841</v>
      </c>
      <c r="T1412" s="32">
        <f>IF(AND(AD1412="EUR", F1412="Without EV deal"), R1412 + L1412,
IF(AND(AD1412="USD", F1412="Without EV deal"), R1412 + L1412,
IF(AND(AD1412="EUR", F1412="Steel Phoenix"), R1412 + S1412/U1412,
R1412 + S1412)))</f>
        <v>1129</v>
      </c>
      <c r="U1412" s="33">
        <v>1.0669999999999999</v>
      </c>
      <c r="V1412" s="34">
        <v>25</v>
      </c>
      <c r="W1412" s="34">
        <v>45.16</v>
      </c>
      <c r="X1412" s="30">
        <f>IF(AF1412="DoEV",IF(AND(V1412&lt;20,W1412&lt;55),0.3,0)+IF(AND(V1412&lt;20,W1412&gt;=55,W1412&lt;105),0.23,0)+IF(AND(V1412&lt;20,W1412&gt;=105),0.17,0)+IF(AND(V1412&gt;=20,V1412&lt;40,W1412&lt;45),0.3,0)+IF(AND(V1412&gt;=20,V1412&lt;40,W1412&gt;=45,W1412&lt;95),0.23,0)+IF(AND(V1412&gt;=20,V1412&lt;40,W1412&gt;=95),0.17,0)+IF(AND(V1412&gt;=40,V1412&lt;75,W1412&lt;35),0.3,0)+IF(AND(V1412&gt;=40,V1412&lt;75,W1412&gt;=35,W1412&lt;75),0.23,0)+IF(AND(V1412&gt;=40,V1412&lt;75,W1412&gt;=75,W1412&lt;120),0.17,0)+IF(AND(V1412&gt;=40,V1412&lt;75,W1412&gt;=120),0.12,0)+IF(AND(V1412&gt;=75,V1412&lt;175,W1412&lt;35),0.3,0)+IF(AND(V1412&gt;=75,V1412&lt;=175,W1412&gt;=35,W1412&lt;65),0.23,0)+IF(AND(V1412&gt;=75,V1412&lt;=175,W1412&gt;=65,W1412&lt;110),0.17,0)+IF(AND(V1412&gt;=75,V1412&lt;=175,W1412&gt;=110),0.12,0)+IF(AND(V1412&gt;175,W1412&lt;25),0.3,0)+IF(AND(V1412&gt;175,W1412&gt;=25,W1412&lt;55),0.23,0)+IF(AND(V1412&gt;175,W1412&gt;=55,W1412&lt;95),0.17,0)+IF(AND(V1412&gt;175,W1412&gt;=95),0.12,0),
IF(AF1412="Fix15",0.15,
IF(AF1412="Fix5",0.05,
IF(AF1412="Fix18.75",0.1875,
IF(AF1412="Fix11.25",0.1125,
IF(AF1412="Fix10",0.1,
IF(AF1412="Fix9",0.09,
IF(AF1412="Fix12",0.12,
IF(AF1412="Fix19",0.19,
IF(AF1412="DoEV2017",IF(AND(W1412&lt;74),0.2,0)+IF(AND(W1412&gt;=74),0.17,0),
IF(AF1412="SF",IF(AND(V1412&lt;20,W1412&lt;89),0.3,0)+IF(AND(V1412&lt;20,W1412&gt;=89),0.25,0)+IF(AND(V1412&gt;=20,V1412&lt;40,W1412&lt;74),0.3,0)+IF(AND(V1412&gt;=20,V1412&lt;40,W1412&gt;=75),0.22,0)+IF(AND(V1412&gt;=40,V1412&lt;75,W1412&lt;75),0.26,0)+IF(AND(V1412&gt;=40,V1412&lt;75,W1412&gt;=75),0.22,0)+IF(V1412&gt;=75,0.22,0),
IF(AF1412="DoEVold",IF(AND(V1412&lt;40,W1412&lt;35),0.35,0)+IF(AND(V1412&lt;40,W1412&gt;=35,W1412&lt;75),0.25,0)+IF(AND(V1412&lt;40,W1412&gt;=75),0.17,0)+IF(AND(V1412&gt;=40,V1412&lt;75,W1412&lt;25),0.35,0)+IF(AND(V1412&gt;=40,V1412&lt;75,W1412&gt;=25,W1412&lt;65),0.25,0)+IF(AND(V1412&gt;=40,V1412&lt;75,W1412&gt;=65,W1412&lt;100),0.17,0)+IF(AND(V1412&gt;=40,V1412&lt;75,W1412&gt;=100),0.1,0)+IF(AND(V1412&gt;=75,W1412&lt;25),0.35,0)+IF(AND(V1412&gt;=75,W1412&gt;=25,W1412&lt;60),0.25,0)+IF(AND(V1412&gt;=75,W1412&gt;=60,W1412&lt;95),0.17,0)+IF(AND(V1412&gt;=75,W1412&gt;=95),0.1,0),
IF(AF1412="DoEVold15",IF(AND(V1412&lt;=40,W1412&lt;35),0.35,0)+IF(AND(V1412&lt;=40,W1412&gt;=35,W1412&lt;75),0.25,0)+IF(AND(V1412&lt;=40,W1412&gt;=75,W1412&lt;120),0.17,0)+IF(AND(V1412&lt;=40,W1412&gt;=120),0.15,0)+IF(AND(V1412&gt;40,V1412&lt;75,W1412&lt;25),0.35,0)+IF(AND(V1412&gt;=40,V1412&lt;75,W1412&gt;=25,W1412&lt;65),0.25,0)+IF(AND(V1412&gt;=40,V1412&lt;75,W1412&gt;=65,W1412&lt;100),0.17,0)+IF(AND(V1412&gt;=40,V1412&lt;75,W1412&gt;=100),0.1,0)+IF(AND(V1412&gt;=75,W1412&lt;25),0.35,0)+IF(AND(V1412&gt;=75,W1412&gt;=25,W1412&lt;60),0.25,0)+IF(AND(V1412&gt;=75,W1412&gt;=60,W1412&lt;95),0.17,0)+IF(AND(V1412&gt;=75,W1412&gt;=95),0.1,0),
IF(AF1412="DoEVba",IF(AND(V1412&lt;20,W1412&lt;105),0.2,0)+IF(AND(V1412&lt;20,W1412&gt;=105),0.15,0)+IF(AND(V1412&gt;=20,V1412&lt;40,W1412&lt;95),0.2,0)+IF(AND(V1412&gt;=20,V1412&lt;40,W1412&gt;=95,W1412&lt;150),0.15,0)+IF(AND(V1412&gt;=20,V1412&lt;40,W1412&gt;=150),0.12,0)+IF(AND(V1412&gt;=40,V1412&lt;75,W1412&lt;75),0.2,0)+IF(AND(V1412&gt;=40,V1412&lt;75,W1412&gt;=75,W1412&lt;120),0.15,0)+IF(AND(V1412&gt;=40,V1412&lt;75,W1412&gt;=120),0.12,0)+IF(AND(V1412&gt;=75,V1412&lt;175,W1412&lt;65),0.2,0)+IF(AND(V1412&gt;=75,V1412&lt;175,W1412&gt;=65,W1412&lt;110),0.15,0)+IF(AND(V1412&gt;=75,V1412&lt;175,W1412&gt;=110),0.12,0)+IF(AND(V1412&gt;=175,W1412&lt;55),0.2,0)+IF(AND(V1412&gt;=175,W1412&gt;=55,W1412&lt;95),0.15,0)+IF(AND(V1412&gt;=175,W1412&gt;=95),0.12,0),
IF(AF1412="DoEVku",IF(AND(V1412&lt;20,W1412&lt;55),0.23,0)+IF(AND(V1412&lt;20,W1412&gt;=55,W1412&lt;105),0.2,0)+IF(AND(V1412&lt;20,W1412&gt;=105),0.17,0)+IF(AND(V1412&gt;=20,V1412&lt;40,W1412&lt;45),0.23,0)+IF(AND(V1412&gt;=20,V1412&lt;40,W1412&gt;=45,W1412&lt;95),0.2,0)+IF(AND(V1412&gt;=20,V1412&lt;40,W1412&gt;=95,W1412&lt;=150),0.17,0)+IF(AND(V1412&gt;=20,V1412&lt;40,W1412&gt;=150),0.12,0)+IF(AND(V1412&gt;=40,V1412&lt;75,W1412&lt;35),0.23,0)+IF(AND(V1412&gt;=40,V1412&lt;75,W1412&gt;=35,W1412&lt;75),0.2,0)+IF(AND(V1412&gt;=40,V1412&lt;75,W1412&gt;=75,W1412&lt;120),0.17,0)+IF(AND(V1412&gt;=40,V1412&lt;75,W1412&gt;=120),0.12,0)+IF(AND(V1412&gt;=75,V1412&lt;175,W1412&lt;35),0.23,0)+IF(AND(V1412&gt;=75,V1412&lt;=175,W1412&gt;=35,W1412&lt;65),0.2,0)+IF(AND(V1412&gt;=75,V1412&lt;=175,W1412&gt;=65,W1412&lt;110),0.17,0)+IF(AND(V1412&gt;=75,V1412&lt;=175,W1412&gt;=110),0.12,0)+IF(AND(V1412&gt;175,W1412&lt;25),0.23,0)+IF(AND(V1412&gt;175,W1412&gt;=25,W1412&lt;55),0.2,0)+IF(AND(V1412&gt;175,W1412&gt;=55,W1412&lt;95),0.17,0)+IF(AND(V1412&gt;175,W1412&gt;=95),0.12,0),
IF(AF1412="DoEVs1",IF(AND(V1412&lt;20,W1412&lt;55),0.3,0)+IF(AND(V1412&lt;20,W1412&gt;=55,W1412&lt;105),0.23,0)+IF(AND(V1412&lt;20,W1412&gt;=105),0.17,0)+IF(AND(V1412&gt;=20,V1412&lt;40,W1412&lt;45),0.3,0)+IF(AND(V1412&gt;=20,V1412&lt;40,W1412&gt;=45,W1412&lt;95),0.23,0)+IF(AND(V1412&gt;=20,V1412&lt;40,W1412&gt;=95,W1412&lt;=150),0.17,0)+IF(AND(V1412&gt;=20,V1412&lt;40,W1412&gt;=150),0.12,0)+IF(AND(V1412&gt;=40,V1412&lt;75,W1412&lt;35),0.3,0)+IF(AND(V1412&gt;=40,V1412&lt;75,W1412&gt;=35,W1412&lt;75),0.23,0)+IF(AND(V1412&gt;=40,V1412&lt;75,W1412&gt;=75,W1412&lt;120),0.17,0)+IF(AND(V1412&gt;=40,V1412&lt;75,W1412&gt;=120),0.12,0)+IF(AND(V1412&gt;=75,V1412&lt;175,W1412&lt;35),0.3,0)+IF(AND(V1412&gt;=75,V1412&lt;=175,W1412&gt;=35,W1412&lt;65),0.23,0)+IF(AND(V1412&gt;=75,V1412&lt;=175,W1412&gt;=65,W1412&lt;110),0.17,0)+IF(AND(V1412&gt;=75,V1412&lt;=175,W1412&gt;=110),0.12,0)+IF(AND(V1412&gt;175,W1412&lt;25),0.3,0)+IF(AND(V1412&gt;175,W1412&gt;=25,W1412&lt;55),0.23,0)+IF(AND(V1412&gt;175,W1412&gt;=55,W1412&lt;95),0.17,0)+IF(AND(V1412&gt;175,W1412&gt;=95),0.12,0),
IF(AF1412="DoEVsu",IF(AND(V1412&lt;20,W1412&lt;55),0.3,0)+IF(AND(V1412&lt;20,W1412&gt;=55,W1412&lt;105),0.23,0)+IF(AND(V1412&lt;20,W1412&gt;=105),0.17,0)+IF(AND(V1412&gt;=20,V1412&lt;40,W1412&lt;45),0.3,0)+IF(AND(V1412&gt;=20,V1412&lt;40,W1412&gt;=45,W1412&lt;95),0.23,0)+IF(AND(V1412&gt;=20,V1412&lt;40,W1412&gt;=95,W1412&lt;=250),0.17,0)+IF(AND(V1412&gt;=20,V1412&lt;40,W1412&gt;=250),0.12,0)+IF(AND(V1412&gt;=40,V1412&lt;75,W1412&lt;35),0.3,0)+IF(AND(V1412&gt;=40,V1412&lt;75,W1412&gt;=35,W1412&lt;75),0.23,0)+IF(AND(V1412&gt;=40,V1412&lt;75,W1412&gt;=75,W1412&lt;120),0.17,0)+IF(AND(V1412&gt;=40,V1412&lt;75,W1412&gt;=120),0.12,0)+IF(AND(V1412&gt;=75,V1412&lt;175,W1412&lt;35),0.3,0)+IF(AND(V1412&gt;=75,V1412&lt;=175,W1412&gt;=35,W1412&lt;65),0.23,0)+IF(AND(V1412&gt;=75,V1412&lt;=175,W1412&gt;=65,W1412&lt;110),0.17,0)+IF(AND(V1412&gt;=75,V1412&lt;=175,W1412&gt;=110),0.12,0)+IF(AND(V1412&gt;175,W1412&lt;25),0.3,0)+IF(AND(V1412&gt;175,W1412&gt;=25,W1412&lt;55),0.23,0)+IF(AND(V1412&gt;175,W1412&gt;=55,W1412&lt;95),0.17,0)+IF(AND(V1412&gt;175,W1412&gt;=95),0.12,0),
IF(AF1412="DoEVni",IF(AND(V1412&lt;20,W1412&lt;55),0.3,0)+IF(AND(V1412&lt;20,W1412&gt;=55,W1412&lt;105),0.23,0)+IF(AND(V1412&lt;20,W1412&gt;=105),0.17,0)+IF(AND(V1412&gt;=20,V1412&lt;40,W1412&lt;45),0.3,0)+IF(AND(V1412&gt;=20,V1412&lt;40,W1412&gt;=45,W1412&lt;95),0.23,0)+IF(AND(V1412&gt;=20,V1412&lt;40,W1412&gt;=95,W1412&lt;=200),0.17,0)+IF(AND(V1412&gt;=20,V1412&lt;40,W1412&gt;=200),0.12,0)+IF(AND(V1412&gt;=40,V1412&lt;75,W1412&lt;35),0.3,0)+IF(AND(V1412&gt;=40,V1412&lt;75,W1412&gt;=35,W1412&lt;75),0.23,0)+IF(AND(V1412&gt;=40,V1412&lt;75,W1412&gt;=75,W1412&lt;120),0.17,0)+IF(AND(V1412&gt;=40,V1412&lt;75,W1412&gt;=120),0.12,0)+IF(AND(V1412&gt;=75,V1412&lt;175,W1412&lt;35),0.3,0)+IF(AND(V1412&gt;=75,V1412&lt;=175,W1412&gt;=35,W1412&lt;65),0.23,0)+IF(AND(V1412&gt;=75,V1412&lt;=175,W1412&gt;=65,W1412&lt;110),0.17,0)+IF(AND(V1412&gt;=75,V1412&lt;=175,W1412&gt;=110),0.12,0)+IF(AND(V1412&gt;175,W1412&lt;25),0.3,0)+IF(AND(V1412&gt;175,W1412&gt;=25,W1412&lt;55),0.23,0)+IF(AND(V1412&gt;175,W1412&gt;=55,W1412&lt;95),0.17,0)+IF(AND(V1412&gt;175,W1412&gt;=95),0.12,0),
IF(AF1412="DoEVLo",IF(AND(V1412&lt;20,W1412&lt;55),0.25,0)+IF(AND(V1412&lt;20,W1412&gt;=55,W1412&lt;105),0.2,0)+IF(AND(V1412&lt;20,W1412&gt;=105),0.15,0)+IF(AND(V1412&gt;=20,V1412&lt;40,W1412&lt;45),0.25,0)+IF(AND(V1412&gt;=20,V1412&lt;40,W1412&gt;=45,W1412&lt;95),0.2,0)+IF(AND(V1412&gt;=20,V1412&lt;40,W1412&gt;=95),0.15,0)+IF(AND(V1412&gt;=40,V1412&lt;75,W1412&lt;35),0.25,0)+IF(AND(V1412&gt;=40,V1412&lt;75,W1412&gt;=35,W1412&lt;75),0.2,0)+IF(AND(V1412&gt;=40,V1412&lt;75,W1412&gt;=75,W1412&lt;120),0.15,0)+IF(AND(V1412&gt;=40,V1412&lt;75,W1412&gt;=120),0.1,0)+IF(AND(V1412&gt;=75,V1412&lt;175,W1412&lt;35),0.25,0)+IF(AND(V1412&gt;=75,V1412&lt;=175,W1412&gt;=35,W1412&lt;65),0.2,0)+IF(AND(V1412&gt;=75,V1412&lt;=175,W1412&gt;=65,W1412&lt;110),0.15,0)+IF(AND(V1412&gt;=75,V1412&lt;=175,W1412&gt;=110),0.1,0)+IF(AND(V1412&gt;175,W1412&lt;25),0.25,0)+IF(AND(V1412&gt;175,W1412&gt;=25,W1412&lt;55),0.2,0)+IF(AND(V1412&gt;175,W1412&gt;=55,W1412&lt;95),0.15,0)+IF(AND(V1412&gt;175,W1412&gt;=95),0.1,0))))))))))))))))))))</f>
        <v>0.2</v>
      </c>
      <c r="Y1412" s="30">
        <f>IF(AG1412="None",0,IF(AG1412="Fix5",0.05, IF(AG1412="Fix6.25",0.0625,IF(AG1412="Fix3.75",0.0375, IF(AG1412="Fix11",0.11, IF(AG1412="Fix10",0.1,IF(AG1412="Fix3",0.03,0)))))))</f>
        <v>0.1</v>
      </c>
      <c r="Z1412" s="35">
        <f>IF(AND(AD1412="EUR", AE1412 = "USD"), T1412*U1412-AA1412-AB1412, T1412-AA1412-AB1412)</f>
        <v>790.30000000000007</v>
      </c>
      <c r="AA1412" s="29">
        <f>IF(AND(AD1412="EUR", F1412="Without EV deal", AE1412="USD"), (T1412*X1412)*U1412,
IF(AND(AD1412="EUR", F1412="Without EV deal", AE1412="EUR"), (T1412*X1412),
IF(AND(AD1412="EUR",AE1412="USD"), (T1412*X1412)*U1412,
T1412*X1412)))</f>
        <v>225.8</v>
      </c>
      <c r="AB1412" s="36">
        <f>IF(AND(AD1412="EUR", F1412="Without EV deal", AE1412="USD"), (T1412*Y1412)*U1412,
IF(AND(AD1412="EUR", F1412="Without EV deal", AE1412="EUR"), (T1412*Y1412),
IF(AND(AD1412="EUR",AE1412="USD"), (T1412*Y1412)*U1412,
T1412*Y1412)))</f>
        <v>112.9</v>
      </c>
      <c r="AC1412" s="37" t="b">
        <v>1</v>
      </c>
      <c r="AD1412" s="82" t="str">
        <f>IF(OR(H1412="€0.25 Flash",
H1412="€0.25(nitro) new",
H1412="€1",
H1412="€2",
H1412="€2 (bf 01.08)",
H1412="€5",
H1412="€5 (1M)",
H1412="€5 (bf 01.08)",
H1412="€5 (bf 05.05)",
H1412="€5 Nitro",
H1412="€5(wx) new",
H1412="€10",
H1412="€10 (1M)",
H1412="€10 (bf 01.08)",
H1412="€10 (bf 05.05)",
H1412="€10 (MP)",
H1412="€10 (old)",
H1412="€10 Nitro (bf 05.05)",
H1412="€10 Nitro (old)",
H1412="€10(wx) new",
H1412="€20",
H1412="€25",
H1412="€25 (bf 01.08)",
H1412="€25 (bf 05.05)",
H1412="€25 (MP)",
H1412="€25 (old)",
H1412="€25 Nitro",
H1412="€25 Nitro (bf 01.08)",
H1412="€25 Nitro (bf 05.05)",
H1412="€25(nitro) new",
H1412="€25(wx) new",
H1412="€50",
H1412="€50 (bf 01.08)",
H1412="€50 (bf 05.05)",
H1412="€50 (old)",
H1412="€50 Nitro",
H1412="€50 Nitro (bf 01.08)",
H1412="€50 Nitro (bf 05.05)",
H1412="€50(wx) new",
H1412="€100",
H1412="€100 (old)",
H1412="€100 Nitro",
H1412="€100 Nitro (old)",
H1412="€200",
H1412="€250",
H1412="€250 Nitro",
H1412="€500",
H1412="€500 Nitro"),"EUR", "USD")</f>
        <v>USD</v>
      </c>
      <c r="AE1412" s="83" t="s">
        <v>38</v>
      </c>
      <c r="AF1412" s="83" t="str">
        <f t="array" ref="AF1412">INDEX('Deal Info'!D:D, MATCH(A1412,'Deal Info'!A:A, 0))</f>
        <v>DoEVku</v>
      </c>
      <c r="AG1412" s="84" t="str">
        <f t="array" ref="AG1412">INDEX('Deal Info'!G:G, MATCH(A1412,'Deal Info'!A:A, 0))</f>
        <v>Fix10</v>
      </c>
    </row>
    <row r="1413" spans="1:33" ht="14.25" hidden="1" x14ac:dyDescent="0.2">
      <c r="A1413" s="18" t="str">
        <f t="array" ref="A1413">IF(G1413='Room Info'!$B$1, INDEX('Room Info'!$A$2:$A2446, MATCH(B1413,'Room Info'!$B$2:$B2446, 0)),IF(G1413='Room Info'!$C$1, INDEX('Room Info'!$A$2:$A2446, MATCH(B1413,'Room Info'!$C$2:$C2446, 0)),IF(G1413='Room Info'!$D$1, INDEX('Room Info'!$A$2:$A2446, MATCH(B1413,'Room Info'!$D$2:$D2446, 0)),IF(G1413='Room Info'!$E$1, INDEX('Room Info'!$A$2:$A2446, MATCH(B1413,'Room Info'!$E$2:$E2446, 0)),IF(G1413='Room Info'!$F$1, INDEX('Room Info'!$A$2:$A2446, MATCH(B1413,'Room Info'!$F$2:$F2446, 0)),IF(G1413='Room Info'!$H$1, INDEX('Room Info'!$A$2:$A2446, MATCH(B1413,'Room Info'!$H$2:$H2446, 0)),IF(G1413='Room Info'!$G$1, INDEX('Room Info'!$A$2:$A2446, MATCH(B1413,'Room Info'!$G$2:$G2446, 0)))))))))</f>
        <v>KuCoH</v>
      </c>
      <c r="B1413" s="18" t="s">
        <v>178</v>
      </c>
      <c r="C1413" s="19">
        <v>44947</v>
      </c>
      <c r="D1413" s="20">
        <v>44977</v>
      </c>
      <c r="E1413" s="21">
        <v>44958</v>
      </c>
      <c r="F1413" s="22" t="s">
        <v>34</v>
      </c>
      <c r="G1413" s="18" t="s">
        <v>35</v>
      </c>
      <c r="H1413" s="23" t="s">
        <v>87</v>
      </c>
      <c r="I1413" s="23" t="s">
        <v>44</v>
      </c>
      <c r="J1413" s="39">
        <v>25</v>
      </c>
      <c r="K1413" s="88">
        <v>52</v>
      </c>
      <c r="L1413" s="89">
        <v>-175</v>
      </c>
      <c r="M1413" s="27"/>
      <c r="N1413" s="28">
        <f>K1413*J1413</f>
        <v>1300</v>
      </c>
      <c r="O1413" s="85">
        <v>-1317</v>
      </c>
      <c r="P1413" s="29">
        <v>-25.32692308</v>
      </c>
      <c r="Q1413" s="30"/>
      <c r="R1413" s="31">
        <f>M1413+Q1413</f>
        <v>0</v>
      </c>
      <c r="S1413" s="28"/>
      <c r="T1413" s="32">
        <f>IF(AND(AD1413="EUR", F1413="Without EV deal"), R1413 + L1413,
IF(AND(AD1413="USD", F1413="Without EV deal"), R1413 + L1413,
IF(AND(AD1413="EUR", F1413="Steel Phoenix"), R1413 + S1413/U1413,
R1413 + S1413)))</f>
        <v>0</v>
      </c>
      <c r="U1413" s="33">
        <v>1.0669999999999999</v>
      </c>
      <c r="V1413" s="34">
        <v>25</v>
      </c>
      <c r="W1413" s="34">
        <v>45.16</v>
      </c>
      <c r="X1413" s="30">
        <f>IF(AF1413="DoEV",IF(AND(V1413&lt;20,W1413&lt;55),0.3,0)+IF(AND(V1413&lt;20,W1413&gt;=55,W1413&lt;105),0.23,0)+IF(AND(V1413&lt;20,W1413&gt;=105),0.17,0)+IF(AND(V1413&gt;=20,V1413&lt;40,W1413&lt;45),0.3,0)+IF(AND(V1413&gt;=20,V1413&lt;40,W1413&gt;=45,W1413&lt;95),0.23,0)+IF(AND(V1413&gt;=20,V1413&lt;40,W1413&gt;=95),0.17,0)+IF(AND(V1413&gt;=40,V1413&lt;75,W1413&lt;35),0.3,0)+IF(AND(V1413&gt;=40,V1413&lt;75,W1413&gt;=35,W1413&lt;75),0.23,0)+IF(AND(V1413&gt;=40,V1413&lt;75,W1413&gt;=75,W1413&lt;120),0.17,0)+IF(AND(V1413&gt;=40,V1413&lt;75,W1413&gt;=120),0.12,0)+IF(AND(V1413&gt;=75,V1413&lt;175,W1413&lt;35),0.3,0)+IF(AND(V1413&gt;=75,V1413&lt;=175,W1413&gt;=35,W1413&lt;65),0.23,0)+IF(AND(V1413&gt;=75,V1413&lt;=175,W1413&gt;=65,W1413&lt;110),0.17,0)+IF(AND(V1413&gt;=75,V1413&lt;=175,W1413&gt;=110),0.12,0)+IF(AND(V1413&gt;175,W1413&lt;25),0.3,0)+IF(AND(V1413&gt;175,W1413&gt;=25,W1413&lt;55),0.23,0)+IF(AND(V1413&gt;175,W1413&gt;=55,W1413&lt;95),0.17,0)+IF(AND(V1413&gt;175,W1413&gt;=95),0.12,0),
IF(AF1413="Fix15",0.15,
IF(AF1413="Fix5",0.05,
IF(AF1413="Fix18.75",0.1875,
IF(AF1413="Fix11.25",0.1125,
IF(AF1413="Fix10",0.1,
IF(AF1413="Fix9",0.09,
IF(AF1413="Fix12",0.12,
IF(AF1413="Fix19",0.19,
IF(AF1413="DoEV2017",IF(AND(W1413&lt;74),0.2,0)+IF(AND(W1413&gt;=74),0.17,0),
IF(AF1413="SF",IF(AND(V1413&lt;20,W1413&lt;89),0.3,0)+IF(AND(V1413&lt;20,W1413&gt;=89),0.25,0)+IF(AND(V1413&gt;=20,V1413&lt;40,W1413&lt;74),0.3,0)+IF(AND(V1413&gt;=20,V1413&lt;40,W1413&gt;=75),0.22,0)+IF(AND(V1413&gt;=40,V1413&lt;75,W1413&lt;75),0.26,0)+IF(AND(V1413&gt;=40,V1413&lt;75,W1413&gt;=75),0.22,0)+IF(V1413&gt;=75,0.22,0),
IF(AF1413="DoEVold",IF(AND(V1413&lt;40,W1413&lt;35),0.35,0)+IF(AND(V1413&lt;40,W1413&gt;=35,W1413&lt;75),0.25,0)+IF(AND(V1413&lt;40,W1413&gt;=75),0.17,0)+IF(AND(V1413&gt;=40,V1413&lt;75,W1413&lt;25),0.35,0)+IF(AND(V1413&gt;=40,V1413&lt;75,W1413&gt;=25,W1413&lt;65),0.25,0)+IF(AND(V1413&gt;=40,V1413&lt;75,W1413&gt;=65,W1413&lt;100),0.17,0)+IF(AND(V1413&gt;=40,V1413&lt;75,W1413&gt;=100),0.1,0)+IF(AND(V1413&gt;=75,W1413&lt;25),0.35,0)+IF(AND(V1413&gt;=75,W1413&gt;=25,W1413&lt;60),0.25,0)+IF(AND(V1413&gt;=75,W1413&gt;=60,W1413&lt;95),0.17,0)+IF(AND(V1413&gt;=75,W1413&gt;=95),0.1,0),
IF(AF1413="DoEVold15",IF(AND(V1413&lt;=40,W1413&lt;35),0.35,0)+IF(AND(V1413&lt;=40,W1413&gt;=35,W1413&lt;75),0.25,0)+IF(AND(V1413&lt;=40,W1413&gt;=75,W1413&lt;120),0.17,0)+IF(AND(V1413&lt;=40,W1413&gt;=120),0.15,0)+IF(AND(V1413&gt;40,V1413&lt;75,W1413&lt;25),0.35,0)+IF(AND(V1413&gt;=40,V1413&lt;75,W1413&gt;=25,W1413&lt;65),0.25,0)+IF(AND(V1413&gt;=40,V1413&lt;75,W1413&gt;=65,W1413&lt;100),0.17,0)+IF(AND(V1413&gt;=40,V1413&lt;75,W1413&gt;=100),0.1,0)+IF(AND(V1413&gt;=75,W1413&lt;25),0.35,0)+IF(AND(V1413&gt;=75,W1413&gt;=25,W1413&lt;60),0.25,0)+IF(AND(V1413&gt;=75,W1413&gt;=60,W1413&lt;95),0.17,0)+IF(AND(V1413&gt;=75,W1413&gt;=95),0.1,0),
IF(AF1413="DoEVba",IF(AND(V1413&lt;20,W1413&lt;105),0.2,0)+IF(AND(V1413&lt;20,W1413&gt;=105),0.15,0)+IF(AND(V1413&gt;=20,V1413&lt;40,W1413&lt;95),0.2,0)+IF(AND(V1413&gt;=20,V1413&lt;40,W1413&gt;=95,W1413&lt;150),0.15,0)+IF(AND(V1413&gt;=20,V1413&lt;40,W1413&gt;=150),0.12,0)+IF(AND(V1413&gt;=40,V1413&lt;75,W1413&lt;75),0.2,0)+IF(AND(V1413&gt;=40,V1413&lt;75,W1413&gt;=75,W1413&lt;120),0.15,0)+IF(AND(V1413&gt;=40,V1413&lt;75,W1413&gt;=120),0.12,0)+IF(AND(V1413&gt;=75,V1413&lt;175,W1413&lt;65),0.2,0)+IF(AND(V1413&gt;=75,V1413&lt;175,W1413&gt;=65,W1413&lt;110),0.15,0)+IF(AND(V1413&gt;=75,V1413&lt;175,W1413&gt;=110),0.12,0)+IF(AND(V1413&gt;=175,W1413&lt;55),0.2,0)+IF(AND(V1413&gt;=175,W1413&gt;=55,W1413&lt;95),0.15,0)+IF(AND(V1413&gt;=175,W1413&gt;=95),0.12,0),
IF(AF1413="DoEVku",IF(AND(V1413&lt;20,W1413&lt;55),0.23,0)+IF(AND(V1413&lt;20,W1413&gt;=55,W1413&lt;105),0.2,0)+IF(AND(V1413&lt;20,W1413&gt;=105),0.17,0)+IF(AND(V1413&gt;=20,V1413&lt;40,W1413&lt;45),0.23,0)+IF(AND(V1413&gt;=20,V1413&lt;40,W1413&gt;=45,W1413&lt;95),0.2,0)+IF(AND(V1413&gt;=20,V1413&lt;40,W1413&gt;=95,W1413&lt;=150),0.17,0)+IF(AND(V1413&gt;=20,V1413&lt;40,W1413&gt;=150),0.12,0)+IF(AND(V1413&gt;=40,V1413&lt;75,W1413&lt;35),0.23,0)+IF(AND(V1413&gt;=40,V1413&lt;75,W1413&gt;=35,W1413&lt;75),0.2,0)+IF(AND(V1413&gt;=40,V1413&lt;75,W1413&gt;=75,W1413&lt;120),0.17,0)+IF(AND(V1413&gt;=40,V1413&lt;75,W1413&gt;=120),0.12,0)+IF(AND(V1413&gt;=75,V1413&lt;175,W1413&lt;35),0.23,0)+IF(AND(V1413&gt;=75,V1413&lt;=175,W1413&gt;=35,W1413&lt;65),0.2,0)+IF(AND(V1413&gt;=75,V1413&lt;=175,W1413&gt;=65,W1413&lt;110),0.17,0)+IF(AND(V1413&gt;=75,V1413&lt;=175,W1413&gt;=110),0.12,0)+IF(AND(V1413&gt;175,W1413&lt;25),0.23,0)+IF(AND(V1413&gt;175,W1413&gt;=25,W1413&lt;55),0.2,0)+IF(AND(V1413&gt;175,W1413&gt;=55,W1413&lt;95),0.17,0)+IF(AND(V1413&gt;175,W1413&gt;=95),0.12,0),
IF(AF1413="DoEVs1",IF(AND(V1413&lt;20,W1413&lt;55),0.3,0)+IF(AND(V1413&lt;20,W1413&gt;=55,W1413&lt;105),0.23,0)+IF(AND(V1413&lt;20,W1413&gt;=105),0.17,0)+IF(AND(V1413&gt;=20,V1413&lt;40,W1413&lt;45),0.3,0)+IF(AND(V1413&gt;=20,V1413&lt;40,W1413&gt;=45,W1413&lt;95),0.23,0)+IF(AND(V1413&gt;=20,V1413&lt;40,W1413&gt;=95,W1413&lt;=150),0.17,0)+IF(AND(V1413&gt;=20,V1413&lt;40,W1413&gt;=150),0.12,0)+IF(AND(V1413&gt;=40,V1413&lt;75,W1413&lt;35),0.3,0)+IF(AND(V1413&gt;=40,V1413&lt;75,W1413&gt;=35,W1413&lt;75),0.23,0)+IF(AND(V1413&gt;=40,V1413&lt;75,W1413&gt;=75,W1413&lt;120),0.17,0)+IF(AND(V1413&gt;=40,V1413&lt;75,W1413&gt;=120),0.12,0)+IF(AND(V1413&gt;=75,V1413&lt;175,W1413&lt;35),0.3,0)+IF(AND(V1413&gt;=75,V1413&lt;=175,W1413&gt;=35,W1413&lt;65),0.23,0)+IF(AND(V1413&gt;=75,V1413&lt;=175,W1413&gt;=65,W1413&lt;110),0.17,0)+IF(AND(V1413&gt;=75,V1413&lt;=175,W1413&gt;=110),0.12,0)+IF(AND(V1413&gt;175,W1413&lt;25),0.3,0)+IF(AND(V1413&gt;175,W1413&gt;=25,W1413&lt;55),0.23,0)+IF(AND(V1413&gt;175,W1413&gt;=55,W1413&lt;95),0.17,0)+IF(AND(V1413&gt;175,W1413&gt;=95),0.12,0),
IF(AF1413="DoEVsu",IF(AND(V1413&lt;20,W1413&lt;55),0.3,0)+IF(AND(V1413&lt;20,W1413&gt;=55,W1413&lt;105),0.23,0)+IF(AND(V1413&lt;20,W1413&gt;=105),0.17,0)+IF(AND(V1413&gt;=20,V1413&lt;40,W1413&lt;45),0.3,0)+IF(AND(V1413&gt;=20,V1413&lt;40,W1413&gt;=45,W1413&lt;95),0.23,0)+IF(AND(V1413&gt;=20,V1413&lt;40,W1413&gt;=95,W1413&lt;=250),0.17,0)+IF(AND(V1413&gt;=20,V1413&lt;40,W1413&gt;=250),0.12,0)+IF(AND(V1413&gt;=40,V1413&lt;75,W1413&lt;35),0.3,0)+IF(AND(V1413&gt;=40,V1413&lt;75,W1413&gt;=35,W1413&lt;75),0.23,0)+IF(AND(V1413&gt;=40,V1413&lt;75,W1413&gt;=75,W1413&lt;120),0.17,0)+IF(AND(V1413&gt;=40,V1413&lt;75,W1413&gt;=120),0.12,0)+IF(AND(V1413&gt;=75,V1413&lt;175,W1413&lt;35),0.3,0)+IF(AND(V1413&gt;=75,V1413&lt;=175,W1413&gt;=35,W1413&lt;65),0.23,0)+IF(AND(V1413&gt;=75,V1413&lt;=175,W1413&gt;=65,W1413&lt;110),0.17,0)+IF(AND(V1413&gt;=75,V1413&lt;=175,W1413&gt;=110),0.12,0)+IF(AND(V1413&gt;175,W1413&lt;25),0.3,0)+IF(AND(V1413&gt;175,W1413&gt;=25,W1413&lt;55),0.23,0)+IF(AND(V1413&gt;175,W1413&gt;=55,W1413&lt;95),0.17,0)+IF(AND(V1413&gt;175,W1413&gt;=95),0.12,0),
IF(AF1413="DoEVni",IF(AND(V1413&lt;20,W1413&lt;55),0.3,0)+IF(AND(V1413&lt;20,W1413&gt;=55,W1413&lt;105),0.23,0)+IF(AND(V1413&lt;20,W1413&gt;=105),0.17,0)+IF(AND(V1413&gt;=20,V1413&lt;40,W1413&lt;45),0.3,0)+IF(AND(V1413&gt;=20,V1413&lt;40,W1413&gt;=45,W1413&lt;95),0.23,0)+IF(AND(V1413&gt;=20,V1413&lt;40,W1413&gt;=95,W1413&lt;=200),0.17,0)+IF(AND(V1413&gt;=20,V1413&lt;40,W1413&gt;=200),0.12,0)+IF(AND(V1413&gt;=40,V1413&lt;75,W1413&lt;35),0.3,0)+IF(AND(V1413&gt;=40,V1413&lt;75,W1413&gt;=35,W1413&lt;75),0.23,0)+IF(AND(V1413&gt;=40,V1413&lt;75,W1413&gt;=75,W1413&lt;120),0.17,0)+IF(AND(V1413&gt;=40,V1413&lt;75,W1413&gt;=120),0.12,0)+IF(AND(V1413&gt;=75,V1413&lt;175,W1413&lt;35),0.3,0)+IF(AND(V1413&gt;=75,V1413&lt;=175,W1413&gt;=35,W1413&lt;65),0.23,0)+IF(AND(V1413&gt;=75,V1413&lt;=175,W1413&gt;=65,W1413&lt;110),0.17,0)+IF(AND(V1413&gt;=75,V1413&lt;=175,W1413&gt;=110),0.12,0)+IF(AND(V1413&gt;175,W1413&lt;25),0.3,0)+IF(AND(V1413&gt;175,W1413&gt;=25,W1413&lt;55),0.23,0)+IF(AND(V1413&gt;175,W1413&gt;=55,W1413&lt;95),0.17,0)+IF(AND(V1413&gt;175,W1413&gt;=95),0.12,0),
IF(AF1413="DoEVLo",IF(AND(V1413&lt;20,W1413&lt;55),0.25,0)+IF(AND(V1413&lt;20,W1413&gt;=55,W1413&lt;105),0.2,0)+IF(AND(V1413&lt;20,W1413&gt;=105),0.15,0)+IF(AND(V1413&gt;=20,V1413&lt;40,W1413&lt;45),0.25,0)+IF(AND(V1413&gt;=20,V1413&lt;40,W1413&gt;=45,W1413&lt;95),0.2,0)+IF(AND(V1413&gt;=20,V1413&lt;40,W1413&gt;=95),0.15,0)+IF(AND(V1413&gt;=40,V1413&lt;75,W1413&lt;35),0.25,0)+IF(AND(V1413&gt;=40,V1413&lt;75,W1413&gt;=35,W1413&lt;75),0.2,0)+IF(AND(V1413&gt;=40,V1413&lt;75,W1413&gt;=75,W1413&lt;120),0.15,0)+IF(AND(V1413&gt;=40,V1413&lt;75,W1413&gt;=120),0.1,0)+IF(AND(V1413&gt;=75,V1413&lt;175,W1413&lt;35),0.25,0)+IF(AND(V1413&gt;=75,V1413&lt;=175,W1413&gt;=35,W1413&lt;65),0.2,0)+IF(AND(V1413&gt;=75,V1413&lt;=175,W1413&gt;=65,W1413&lt;110),0.15,0)+IF(AND(V1413&gt;=75,V1413&lt;=175,W1413&gt;=110),0.1,0)+IF(AND(V1413&gt;175,W1413&lt;25),0.25,0)+IF(AND(V1413&gt;175,W1413&gt;=25,W1413&lt;55),0.2,0)+IF(AND(V1413&gt;175,W1413&gt;=55,W1413&lt;95),0.15,0)+IF(AND(V1413&gt;175,W1413&gt;=95),0.1,0))))))))))))))))))))</f>
        <v>0.2</v>
      </c>
      <c r="Y1413" s="30">
        <f>IF(AG1413="None",0,IF(AG1413="Fix5",0.05, IF(AG1413="Fix6.25",0.0625,IF(AG1413="Fix3.75",0.0375, IF(AG1413="Fix11",0.11, IF(AG1413="Fix10",0.1,IF(AG1413="Fix3",0.03,0)))))))</f>
        <v>0.1</v>
      </c>
      <c r="Z1413" s="35">
        <f>IF(AND(AD1413="EUR", AE1413 = "USD"), T1413*U1413-AA1413-AB1413, T1413-AA1413-AB1413)</f>
        <v>0</v>
      </c>
      <c r="AA1413" s="29">
        <f>IF(AND(AD1413="EUR", F1413="Without EV deal", AE1413="USD"), (T1413*X1413)*U1413,
IF(AND(AD1413="EUR", F1413="Without EV deal", AE1413="EUR"), (T1413*X1413),
IF(AND(AD1413="EUR",AE1413="USD"), (T1413*X1413)*U1413,
T1413*X1413)))</f>
        <v>0</v>
      </c>
      <c r="AB1413" s="36">
        <f>IF(AND(AD1413="EUR", F1413="Without EV deal", AE1413="USD"), (T1413*Y1413)*U1413,
IF(AND(AD1413="EUR", F1413="Without EV deal", AE1413="EUR"), (T1413*Y1413),
IF(AND(AD1413="EUR",AE1413="USD"), (T1413*Y1413)*U1413,
T1413*Y1413)))</f>
        <v>0</v>
      </c>
      <c r="AC1413" s="37" t="b">
        <v>1</v>
      </c>
      <c r="AD1413" s="82" t="str">
        <f>IF(OR(H1413="€0.25 Flash",
H1413="€0.25(nitro) new",
H1413="€1",
H1413="€2",
H1413="€2 (bf 01.08)",
H1413="€5",
H1413="€5 (1M)",
H1413="€5 (bf 01.08)",
H1413="€5 (bf 05.05)",
H1413="€5 Nitro",
H1413="€5(wx) new",
H1413="€10",
H1413="€10 (1M)",
H1413="€10 (bf 01.08)",
H1413="€10 (bf 05.05)",
H1413="€10 (MP)",
H1413="€10 (old)",
H1413="€10 Nitro (bf 05.05)",
H1413="€10 Nitro (old)",
H1413="€10(wx) new",
H1413="€20",
H1413="€25",
H1413="€25 (bf 01.08)",
H1413="€25 (bf 05.05)",
H1413="€25 (MP)",
H1413="€25 (old)",
H1413="€25 Nitro",
H1413="€25 Nitro (bf 01.08)",
H1413="€25 Nitro (bf 05.05)",
H1413="€25(nitro) new",
H1413="€25(wx) new",
H1413="€50",
H1413="€50 (bf 01.08)",
H1413="€50 (bf 05.05)",
H1413="€50 (old)",
H1413="€50 Nitro",
H1413="€50 Nitro (bf 01.08)",
H1413="€50 Nitro (bf 05.05)",
H1413="€50(wx) new",
H1413="€100",
H1413="€100 (old)",
H1413="€100 Nitro",
H1413="€100 Nitro (old)",
H1413="€200",
H1413="€250",
H1413="€250 Nitro",
H1413="€500",
H1413="€500 Nitro"),"EUR", "USD")</f>
        <v>USD</v>
      </c>
      <c r="AE1413" s="83" t="s">
        <v>38</v>
      </c>
      <c r="AF1413" s="83" t="str">
        <f t="array" ref="AF1413">INDEX('Deal Info'!D:D, MATCH(A1413,'Deal Info'!A:A, 0))</f>
        <v>DoEVku</v>
      </c>
      <c r="AG1413" s="84" t="str">
        <f t="array" ref="AG1413">INDEX('Deal Info'!G:G, MATCH(A1413,'Deal Info'!A:A, 0))</f>
        <v>Fix10</v>
      </c>
    </row>
    <row r="1414" spans="1:33" ht="14.25" hidden="1" x14ac:dyDescent="0.2">
      <c r="A1414" s="18" t="str">
        <f t="array" ref="A1414">IF(G1414='Room Info'!$B$1, INDEX('Room Info'!$A$2:$A2446, MATCH(B1414,'Room Info'!$B$2:$B2446, 0)),IF(G1414='Room Info'!$C$1, INDEX('Room Info'!$A$2:$A2446, MATCH(B1414,'Room Info'!$C$2:$C2446, 0)),IF(G1414='Room Info'!$D$1, INDEX('Room Info'!$A$2:$A2446, MATCH(B1414,'Room Info'!$D$2:$D2446, 0)),IF(G1414='Room Info'!$E$1, INDEX('Room Info'!$A$2:$A2446, MATCH(B1414,'Room Info'!$E$2:$E2446, 0)),IF(G1414='Room Info'!$F$1, INDEX('Room Info'!$A$2:$A2446, MATCH(B1414,'Room Info'!$F$2:$F2446, 0)),IF(G1414='Room Info'!$H$1, INDEX('Room Info'!$A$2:$A2446, MATCH(B1414,'Room Info'!$H$2:$H2446, 0)),IF(G1414='Room Info'!$G$1, INDEX('Room Info'!$A$2:$A2446, MATCH(B1414,'Room Info'!$G$2:$G2446, 0)))))))))</f>
        <v>fig6</v>
      </c>
      <c r="B1414" s="85" t="s">
        <v>172</v>
      </c>
      <c r="C1414" s="19">
        <v>44947</v>
      </c>
      <c r="D1414" s="20">
        <v>44977</v>
      </c>
      <c r="E1414" s="21">
        <v>44958</v>
      </c>
      <c r="F1414" s="22" t="s">
        <v>34</v>
      </c>
      <c r="G1414" s="18" t="s">
        <v>35</v>
      </c>
      <c r="H1414" s="23" t="s">
        <v>72</v>
      </c>
      <c r="I1414" s="23" t="s">
        <v>37</v>
      </c>
      <c r="J1414" s="39">
        <v>50</v>
      </c>
      <c r="K1414" s="88">
        <v>125</v>
      </c>
      <c r="L1414" s="89">
        <v>-250</v>
      </c>
      <c r="M1414" s="42">
        <v>33800</v>
      </c>
      <c r="N1414" s="28">
        <f>K1414*J1414</f>
        <v>6250</v>
      </c>
      <c r="O1414" s="85">
        <v>6826</v>
      </c>
      <c r="P1414" s="29">
        <v>54.607999999999997</v>
      </c>
      <c r="Q1414" s="30"/>
      <c r="R1414" s="31">
        <f>M1414+Q1414</f>
        <v>33800</v>
      </c>
      <c r="S1414" s="119">
        <v>1072</v>
      </c>
      <c r="T1414" s="32">
        <f>IF(AND(AD1414="EUR", F1414="Without EV deal"), R1414 + L1414,
IF(AND(AD1414="USD", F1414="Without EV deal"), R1414 + L1414,
IF(AND(AD1414="EUR", F1414="Steel Phoenix"), R1414 + S1414/U1414,
R1414 + S1414)))</f>
        <v>34872</v>
      </c>
      <c r="U1414" s="33">
        <v>1.0669999999999999</v>
      </c>
      <c r="V1414" s="34"/>
      <c r="W1414" s="34"/>
      <c r="X1414" s="30">
        <f>IF(AF1414="DoEV",IF(AND(V1414&lt;20,W1414&lt;55),0.3,0)+IF(AND(V1414&lt;20,W1414&gt;=55,W1414&lt;105),0.23,0)+IF(AND(V1414&lt;20,W1414&gt;=105),0.17,0)+IF(AND(V1414&gt;=20,V1414&lt;40,W1414&lt;45),0.3,0)+IF(AND(V1414&gt;=20,V1414&lt;40,W1414&gt;=45,W1414&lt;95),0.23,0)+IF(AND(V1414&gt;=20,V1414&lt;40,W1414&gt;=95),0.17,0)+IF(AND(V1414&gt;=40,V1414&lt;75,W1414&lt;35),0.3,0)+IF(AND(V1414&gt;=40,V1414&lt;75,W1414&gt;=35,W1414&lt;75),0.23,0)+IF(AND(V1414&gt;=40,V1414&lt;75,W1414&gt;=75,W1414&lt;120),0.17,0)+IF(AND(V1414&gt;=40,V1414&lt;75,W1414&gt;=120),0.12,0)+IF(AND(V1414&gt;=75,V1414&lt;175,W1414&lt;35),0.3,0)+IF(AND(V1414&gt;=75,V1414&lt;=175,W1414&gt;=35,W1414&lt;65),0.23,0)+IF(AND(V1414&gt;=75,V1414&lt;=175,W1414&gt;=65,W1414&lt;110),0.17,0)+IF(AND(V1414&gt;=75,V1414&lt;=175,W1414&gt;=110),0.12,0)+IF(AND(V1414&gt;175,W1414&lt;25),0.3,0)+IF(AND(V1414&gt;175,W1414&gt;=25,W1414&lt;55),0.23,0)+IF(AND(V1414&gt;175,W1414&gt;=55,W1414&lt;95),0.17,0)+IF(AND(V1414&gt;175,W1414&gt;=95),0.12,0),
IF(AF1414="Fix15",0.15,
IF(AF1414="Fix5",0.05,
IF(AF1414="Fix18.75",0.1875,
IF(AF1414="Fix11.25",0.1125,
IF(AF1414="Fix10",0.1,
IF(AF1414="Fix9",0.09,
IF(AF1414="Fix12",0.12,
IF(AF1414="Fix19",0.19,
IF(AF1414="DoEV2017",IF(AND(W1414&lt;74),0.2,0)+IF(AND(W1414&gt;=74),0.17,0),
IF(AF1414="SF",IF(AND(V1414&lt;20,W1414&lt;89),0.3,0)+IF(AND(V1414&lt;20,W1414&gt;=89),0.25,0)+IF(AND(V1414&gt;=20,V1414&lt;40,W1414&lt;74),0.3,0)+IF(AND(V1414&gt;=20,V1414&lt;40,W1414&gt;=75),0.22,0)+IF(AND(V1414&gt;=40,V1414&lt;75,W1414&lt;75),0.26,0)+IF(AND(V1414&gt;=40,V1414&lt;75,W1414&gt;=75),0.22,0)+IF(V1414&gt;=75,0.22,0),
IF(AF1414="DoEVold",IF(AND(V1414&lt;40,W1414&lt;35),0.35,0)+IF(AND(V1414&lt;40,W1414&gt;=35,W1414&lt;75),0.25,0)+IF(AND(V1414&lt;40,W1414&gt;=75),0.17,0)+IF(AND(V1414&gt;=40,V1414&lt;75,W1414&lt;25),0.35,0)+IF(AND(V1414&gt;=40,V1414&lt;75,W1414&gt;=25,W1414&lt;65),0.25,0)+IF(AND(V1414&gt;=40,V1414&lt;75,W1414&gt;=65,W1414&lt;100),0.17,0)+IF(AND(V1414&gt;=40,V1414&lt;75,W1414&gt;=100),0.1,0)+IF(AND(V1414&gt;=75,W1414&lt;25),0.35,0)+IF(AND(V1414&gt;=75,W1414&gt;=25,W1414&lt;60),0.25,0)+IF(AND(V1414&gt;=75,W1414&gt;=60,W1414&lt;95),0.17,0)+IF(AND(V1414&gt;=75,W1414&gt;=95),0.1,0),
IF(AF1414="DoEVold15",IF(AND(V1414&lt;=40,W1414&lt;35),0.35,0)+IF(AND(V1414&lt;=40,W1414&gt;=35,W1414&lt;75),0.25,0)+IF(AND(V1414&lt;=40,W1414&gt;=75,W1414&lt;120),0.17,0)+IF(AND(V1414&lt;=40,W1414&gt;=120),0.15,0)+IF(AND(V1414&gt;40,V1414&lt;75,W1414&lt;25),0.35,0)+IF(AND(V1414&gt;=40,V1414&lt;75,W1414&gt;=25,W1414&lt;65),0.25,0)+IF(AND(V1414&gt;=40,V1414&lt;75,W1414&gt;=65,W1414&lt;100),0.17,0)+IF(AND(V1414&gt;=40,V1414&lt;75,W1414&gt;=100),0.1,0)+IF(AND(V1414&gt;=75,W1414&lt;25),0.35,0)+IF(AND(V1414&gt;=75,W1414&gt;=25,W1414&lt;60),0.25,0)+IF(AND(V1414&gt;=75,W1414&gt;=60,W1414&lt;95),0.17,0)+IF(AND(V1414&gt;=75,W1414&gt;=95),0.1,0),
IF(AF1414="DoEVba",IF(AND(V1414&lt;20,W1414&lt;105),0.2,0)+IF(AND(V1414&lt;20,W1414&gt;=105),0.15,0)+IF(AND(V1414&gt;=20,V1414&lt;40,W1414&lt;95),0.2,0)+IF(AND(V1414&gt;=20,V1414&lt;40,W1414&gt;=95,W1414&lt;150),0.15,0)+IF(AND(V1414&gt;=20,V1414&lt;40,W1414&gt;=150),0.12,0)+IF(AND(V1414&gt;=40,V1414&lt;75,W1414&lt;75),0.2,0)+IF(AND(V1414&gt;=40,V1414&lt;75,W1414&gt;=75,W1414&lt;120),0.15,0)+IF(AND(V1414&gt;=40,V1414&lt;75,W1414&gt;=120),0.12,0)+IF(AND(V1414&gt;=75,V1414&lt;175,W1414&lt;65),0.2,0)+IF(AND(V1414&gt;=75,V1414&lt;175,W1414&gt;=65,W1414&lt;110),0.15,0)+IF(AND(V1414&gt;=75,V1414&lt;175,W1414&gt;=110),0.12,0)+IF(AND(V1414&gt;=175,W1414&lt;55),0.2,0)+IF(AND(V1414&gt;=175,W1414&gt;=55,W1414&lt;95),0.15,0)+IF(AND(V1414&gt;=175,W1414&gt;=95),0.12,0),
IF(AF1414="DoEVku",IF(AND(V1414&lt;20,W1414&lt;55),0.23,0)+IF(AND(V1414&lt;20,W1414&gt;=55,W1414&lt;105),0.2,0)+IF(AND(V1414&lt;20,W1414&gt;=105),0.17,0)+IF(AND(V1414&gt;=20,V1414&lt;40,W1414&lt;45),0.23,0)+IF(AND(V1414&gt;=20,V1414&lt;40,W1414&gt;=45,W1414&lt;95),0.2,0)+IF(AND(V1414&gt;=20,V1414&lt;40,W1414&gt;=95,W1414&lt;=150),0.17,0)+IF(AND(V1414&gt;=20,V1414&lt;40,W1414&gt;=150),0.12,0)+IF(AND(V1414&gt;=40,V1414&lt;75,W1414&lt;35),0.23,0)+IF(AND(V1414&gt;=40,V1414&lt;75,W1414&gt;=35,W1414&lt;75),0.2,0)+IF(AND(V1414&gt;=40,V1414&lt;75,W1414&gt;=75,W1414&lt;120),0.17,0)+IF(AND(V1414&gt;=40,V1414&lt;75,W1414&gt;=120),0.12,0)+IF(AND(V1414&gt;=75,V1414&lt;175,W1414&lt;35),0.23,0)+IF(AND(V1414&gt;=75,V1414&lt;=175,W1414&gt;=35,W1414&lt;65),0.2,0)+IF(AND(V1414&gt;=75,V1414&lt;=175,W1414&gt;=65,W1414&lt;110),0.17,0)+IF(AND(V1414&gt;=75,V1414&lt;=175,W1414&gt;=110),0.12,0)+IF(AND(V1414&gt;175,W1414&lt;25),0.23,0)+IF(AND(V1414&gt;175,W1414&gt;=25,W1414&lt;55),0.2,0)+IF(AND(V1414&gt;175,W1414&gt;=55,W1414&lt;95),0.17,0)+IF(AND(V1414&gt;175,W1414&gt;=95),0.12,0),
IF(AF1414="DoEVs1",IF(AND(V1414&lt;20,W1414&lt;55),0.3,0)+IF(AND(V1414&lt;20,W1414&gt;=55,W1414&lt;105),0.23,0)+IF(AND(V1414&lt;20,W1414&gt;=105),0.17,0)+IF(AND(V1414&gt;=20,V1414&lt;40,W1414&lt;45),0.3,0)+IF(AND(V1414&gt;=20,V1414&lt;40,W1414&gt;=45,W1414&lt;95),0.23,0)+IF(AND(V1414&gt;=20,V1414&lt;40,W1414&gt;=95,W1414&lt;=150),0.17,0)+IF(AND(V1414&gt;=20,V1414&lt;40,W1414&gt;=150),0.12,0)+IF(AND(V1414&gt;=40,V1414&lt;75,W1414&lt;35),0.3,0)+IF(AND(V1414&gt;=40,V1414&lt;75,W1414&gt;=35,W1414&lt;75),0.23,0)+IF(AND(V1414&gt;=40,V1414&lt;75,W1414&gt;=75,W1414&lt;120),0.17,0)+IF(AND(V1414&gt;=40,V1414&lt;75,W1414&gt;=120),0.12,0)+IF(AND(V1414&gt;=75,V1414&lt;175,W1414&lt;35),0.3,0)+IF(AND(V1414&gt;=75,V1414&lt;=175,W1414&gt;=35,W1414&lt;65),0.23,0)+IF(AND(V1414&gt;=75,V1414&lt;=175,W1414&gt;=65,W1414&lt;110),0.17,0)+IF(AND(V1414&gt;=75,V1414&lt;=175,W1414&gt;=110),0.12,0)+IF(AND(V1414&gt;175,W1414&lt;25),0.3,0)+IF(AND(V1414&gt;175,W1414&gt;=25,W1414&lt;55),0.23,0)+IF(AND(V1414&gt;175,W1414&gt;=55,W1414&lt;95),0.17,0)+IF(AND(V1414&gt;175,W1414&gt;=95),0.12,0),
IF(AF1414="DoEVsu",IF(AND(V1414&lt;20,W1414&lt;55),0.3,0)+IF(AND(V1414&lt;20,W1414&gt;=55,W1414&lt;105),0.23,0)+IF(AND(V1414&lt;20,W1414&gt;=105),0.17,0)+IF(AND(V1414&gt;=20,V1414&lt;40,W1414&lt;45),0.3,0)+IF(AND(V1414&gt;=20,V1414&lt;40,W1414&gt;=45,W1414&lt;95),0.23,0)+IF(AND(V1414&gt;=20,V1414&lt;40,W1414&gt;=95,W1414&lt;=250),0.17,0)+IF(AND(V1414&gt;=20,V1414&lt;40,W1414&gt;=250),0.12,0)+IF(AND(V1414&gt;=40,V1414&lt;75,W1414&lt;35),0.3,0)+IF(AND(V1414&gt;=40,V1414&lt;75,W1414&gt;=35,W1414&lt;75),0.23,0)+IF(AND(V1414&gt;=40,V1414&lt;75,W1414&gt;=75,W1414&lt;120),0.17,0)+IF(AND(V1414&gt;=40,V1414&lt;75,W1414&gt;=120),0.12,0)+IF(AND(V1414&gt;=75,V1414&lt;175,W1414&lt;35),0.3,0)+IF(AND(V1414&gt;=75,V1414&lt;=175,W1414&gt;=35,W1414&lt;65),0.23,0)+IF(AND(V1414&gt;=75,V1414&lt;=175,W1414&gt;=65,W1414&lt;110),0.17,0)+IF(AND(V1414&gt;=75,V1414&lt;=175,W1414&gt;=110),0.12,0)+IF(AND(V1414&gt;175,W1414&lt;25),0.3,0)+IF(AND(V1414&gt;175,W1414&gt;=25,W1414&lt;55),0.23,0)+IF(AND(V1414&gt;175,W1414&gt;=55,W1414&lt;95),0.17,0)+IF(AND(V1414&gt;175,W1414&gt;=95),0.12,0),
IF(AF1414="DoEVni",IF(AND(V1414&lt;20,W1414&lt;55),0.3,0)+IF(AND(V1414&lt;20,W1414&gt;=55,W1414&lt;105),0.23,0)+IF(AND(V1414&lt;20,W1414&gt;=105),0.17,0)+IF(AND(V1414&gt;=20,V1414&lt;40,W1414&lt;45),0.3,0)+IF(AND(V1414&gt;=20,V1414&lt;40,W1414&gt;=45,W1414&lt;95),0.23,0)+IF(AND(V1414&gt;=20,V1414&lt;40,W1414&gt;=95,W1414&lt;=200),0.17,0)+IF(AND(V1414&gt;=20,V1414&lt;40,W1414&gt;=200),0.12,0)+IF(AND(V1414&gt;=40,V1414&lt;75,W1414&lt;35),0.3,0)+IF(AND(V1414&gt;=40,V1414&lt;75,W1414&gt;=35,W1414&lt;75),0.23,0)+IF(AND(V1414&gt;=40,V1414&lt;75,W1414&gt;=75,W1414&lt;120),0.17,0)+IF(AND(V1414&gt;=40,V1414&lt;75,W1414&gt;=120),0.12,0)+IF(AND(V1414&gt;=75,V1414&lt;175,W1414&lt;35),0.3,0)+IF(AND(V1414&gt;=75,V1414&lt;=175,W1414&gt;=35,W1414&lt;65),0.23,0)+IF(AND(V1414&gt;=75,V1414&lt;=175,W1414&gt;=65,W1414&lt;110),0.17,0)+IF(AND(V1414&gt;=75,V1414&lt;=175,W1414&gt;=110),0.12,0)+IF(AND(V1414&gt;175,W1414&lt;25),0.3,0)+IF(AND(V1414&gt;175,W1414&gt;=25,W1414&lt;55),0.23,0)+IF(AND(V1414&gt;175,W1414&gt;=55,W1414&lt;95),0.17,0)+IF(AND(V1414&gt;175,W1414&gt;=95),0.12,0),
IF(AF1414="DoEVLo",IF(AND(V1414&lt;20,W1414&lt;55),0.25,0)+IF(AND(V1414&lt;20,W1414&gt;=55,W1414&lt;105),0.2,0)+IF(AND(V1414&lt;20,W1414&gt;=105),0.15,0)+IF(AND(V1414&gt;=20,V1414&lt;40,W1414&lt;45),0.25,0)+IF(AND(V1414&gt;=20,V1414&lt;40,W1414&gt;=45,W1414&lt;95),0.2,0)+IF(AND(V1414&gt;=20,V1414&lt;40,W1414&gt;=95),0.15,0)+IF(AND(V1414&gt;=40,V1414&lt;75,W1414&lt;35),0.25,0)+IF(AND(V1414&gt;=40,V1414&lt;75,W1414&gt;=35,W1414&lt;75),0.2,0)+IF(AND(V1414&gt;=40,V1414&lt;75,W1414&gt;=75,W1414&lt;120),0.15,0)+IF(AND(V1414&gt;=40,V1414&lt;75,W1414&gt;=120),0.1,0)+IF(AND(V1414&gt;=75,V1414&lt;175,W1414&lt;35),0.25,0)+IF(AND(V1414&gt;=75,V1414&lt;=175,W1414&gt;=35,W1414&lt;65),0.2,0)+IF(AND(V1414&gt;=75,V1414&lt;=175,W1414&gt;=65,W1414&lt;110),0.15,0)+IF(AND(V1414&gt;=75,V1414&lt;=175,W1414&gt;=110),0.1,0)+IF(AND(V1414&gt;175,W1414&lt;25),0.25,0)+IF(AND(V1414&gt;175,W1414&gt;=25,W1414&lt;55),0.2,0)+IF(AND(V1414&gt;175,W1414&gt;=55,W1414&lt;95),0.15,0)+IF(AND(V1414&gt;175,W1414&gt;=95),0.1,0))))))))))))))))))))</f>
        <v>0.1125</v>
      </c>
      <c r="Y1414" s="30">
        <f>IF(AG1414="None",0,IF(AG1414="Fix5",0.05, IF(AG1414="Fix6.25",0.0625,IF(AG1414="Fix3.75",0.0375, IF(AG1414="Fix11",0.11, IF(AG1414="Fix10",0.1,IF(AG1414="Fix3",0.03,0)))))))</f>
        <v>3.7499999999999999E-2</v>
      </c>
      <c r="Z1414" s="35">
        <f>IF(AND(AD1414="EUR", AE1414 = "USD"), T1414*U1414-AA1414-AB1414, T1414-AA1414-AB1414)</f>
        <v>29641.200000000001</v>
      </c>
      <c r="AA1414" s="29">
        <f>IF(AND(AD1414="EUR", F1414="Without EV deal", AE1414="USD"), (T1414*X1414)*U1414,
IF(AND(AD1414="EUR", F1414="Without EV deal", AE1414="EUR"), (T1414*X1414),
IF(AND(AD1414="EUR",AE1414="USD"), (T1414*X1414)*U1414,
T1414*X1414)))</f>
        <v>3923.1</v>
      </c>
      <c r="AB1414" s="36">
        <f>IF(AND(AD1414="EUR", F1414="Without EV deal", AE1414="USD"), (T1414*Y1414)*U1414,
IF(AND(AD1414="EUR", F1414="Without EV deal", AE1414="EUR"), (T1414*Y1414),
IF(AND(AD1414="EUR",AE1414="USD"), (T1414*Y1414)*U1414,
T1414*Y1414)))</f>
        <v>1307.7</v>
      </c>
      <c r="AC1414" s="37" t="b">
        <v>1</v>
      </c>
      <c r="AD1414" s="82" t="str">
        <f>IF(OR(H1414="€0.25 Flash",
H1414="€0.25(nitro) new",
H1414="€1",
H1414="€2",
H1414="€2 (bf 01.08)",
H1414="€5",
H1414="€5 (1M)",
H1414="€5 (bf 01.08)",
H1414="€5 (bf 05.05)",
H1414="€5 Nitro",
H1414="€5(wx) new",
H1414="€10",
H1414="€10 (1M)",
H1414="€10 (bf 01.08)",
H1414="€10 (bf 05.05)",
H1414="€10 (MP)",
H1414="€10 (old)",
H1414="€10 Nitro (bf 05.05)",
H1414="€10 Nitro (old)",
H1414="€10(wx) new",
H1414="€20",
H1414="€25",
H1414="€25 (bf 01.08)",
H1414="€25 (bf 05.05)",
H1414="€25 (MP)",
H1414="€25 (old)",
H1414="€25 Nitro",
H1414="€25 Nitro (bf 01.08)",
H1414="€25 Nitro (bf 05.05)",
H1414="€25(nitro) new",
H1414="€25(wx) new",
H1414="€50",
H1414="€50 (bf 01.08)",
H1414="€50 (bf 05.05)",
H1414="€50 (old)",
H1414="€50 Nitro",
H1414="€50 Nitro (bf 01.08)",
H1414="€50 Nitro (bf 05.05)",
H1414="€50(wx) new",
H1414="€100",
H1414="€100 (old)",
H1414="€100 Nitro",
H1414="€100 Nitro (old)",
H1414="€200",
H1414="€250",
H1414="€250 Nitro",
H1414="€500",
H1414="€500 Nitro"),"EUR", "USD")</f>
        <v>USD</v>
      </c>
      <c r="AE1414" s="83" t="s">
        <v>38</v>
      </c>
      <c r="AF1414" s="83" t="str">
        <f t="array" ref="AF1414">INDEX('Deal Info'!D:D, MATCH(A1414,'Deal Info'!A:A, 0))</f>
        <v>Fix11.25</v>
      </c>
      <c r="AG1414" s="83" t="str">
        <f t="array" ref="AG1414">INDEX('Deal Info'!G:G, MATCH(A1414,'Deal Info'!A:A, 0))</f>
        <v>Fix3.75</v>
      </c>
    </row>
    <row r="1415" spans="1:33" ht="14.25" hidden="1" x14ac:dyDescent="0.2">
      <c r="A1415" s="18" t="str">
        <f t="array" ref="A1415">IF(G1415='Room Info'!$B$1, INDEX('Room Info'!$A$2:$A2446, MATCH(B1415,'Room Info'!$B$2:$B2446, 0)),IF(G1415='Room Info'!$C$1, INDEX('Room Info'!$A$2:$A2446, MATCH(B1415,'Room Info'!$C$2:$C2446, 0)),IF(G1415='Room Info'!$D$1, INDEX('Room Info'!$A$2:$A2446, MATCH(B1415,'Room Info'!$D$2:$D2446, 0)),IF(G1415='Room Info'!$E$1, INDEX('Room Info'!$A$2:$A2446, MATCH(B1415,'Room Info'!$E$2:$E2446, 0)),IF(G1415='Room Info'!$F$1, INDEX('Room Info'!$A$2:$A2446, MATCH(B1415,'Room Info'!$F$2:$F2446, 0)),IF(G1415='Room Info'!$H$1, INDEX('Room Info'!$A$2:$A2446, MATCH(B1415,'Room Info'!$H$2:$H2446, 0)),IF(G1415='Room Info'!$G$1, INDEX('Room Info'!$A$2:$A2446, MATCH(B1415,'Room Info'!$G$2:$G2446, 0)))))))))</f>
        <v>fig6</v>
      </c>
      <c r="B1415" s="18" t="s">
        <v>172</v>
      </c>
      <c r="C1415" s="19">
        <v>44947</v>
      </c>
      <c r="D1415" s="20">
        <v>44977</v>
      </c>
      <c r="E1415" s="21">
        <v>44958</v>
      </c>
      <c r="F1415" s="40" t="s">
        <v>34</v>
      </c>
      <c r="G1415" s="18" t="s">
        <v>35</v>
      </c>
      <c r="H1415" s="23" t="s">
        <v>70</v>
      </c>
      <c r="I1415" s="23" t="s">
        <v>37</v>
      </c>
      <c r="J1415" s="39">
        <v>100</v>
      </c>
      <c r="K1415" s="88">
        <v>2613</v>
      </c>
      <c r="L1415" s="89">
        <v>4100</v>
      </c>
      <c r="M1415" s="27"/>
      <c r="N1415" s="28">
        <f>K1415*J1415</f>
        <v>261300</v>
      </c>
      <c r="O1415" s="85">
        <v>107990</v>
      </c>
      <c r="P1415" s="29">
        <v>41.327975510000002</v>
      </c>
      <c r="Q1415" s="30"/>
      <c r="R1415" s="31">
        <f>M1415+Q1415</f>
        <v>0</v>
      </c>
      <c r="S1415" s="28"/>
      <c r="T1415" s="32">
        <f>IF(AND(AD1415="EUR", F1415="Without EV deal"), R1415 + L1415,
IF(AND(AD1415="USD", F1415="Without EV deal"), R1415 + L1415,
IF(AND(AD1415="EUR", F1415="Steel Phoenix"), R1415 + S1415/U1415,
R1415 + S1415)))</f>
        <v>0</v>
      </c>
      <c r="U1415" s="33">
        <v>1.0669999999999999</v>
      </c>
      <c r="V1415" s="34"/>
      <c r="W1415" s="34"/>
      <c r="X1415" s="30">
        <f>IF(AF1415="DoEV",IF(AND(V1415&lt;20,W1415&lt;55),0.3,0)+IF(AND(V1415&lt;20,W1415&gt;=55,W1415&lt;105),0.23,0)+IF(AND(V1415&lt;20,W1415&gt;=105),0.17,0)+IF(AND(V1415&gt;=20,V1415&lt;40,W1415&lt;45),0.3,0)+IF(AND(V1415&gt;=20,V1415&lt;40,W1415&gt;=45,W1415&lt;95),0.23,0)+IF(AND(V1415&gt;=20,V1415&lt;40,W1415&gt;=95),0.17,0)+IF(AND(V1415&gt;=40,V1415&lt;75,W1415&lt;35),0.3,0)+IF(AND(V1415&gt;=40,V1415&lt;75,W1415&gt;=35,W1415&lt;75),0.23,0)+IF(AND(V1415&gt;=40,V1415&lt;75,W1415&gt;=75,W1415&lt;120),0.17,0)+IF(AND(V1415&gt;=40,V1415&lt;75,W1415&gt;=120),0.12,0)+IF(AND(V1415&gt;=75,V1415&lt;175,W1415&lt;35),0.3,0)+IF(AND(V1415&gt;=75,V1415&lt;=175,W1415&gt;=35,W1415&lt;65),0.23,0)+IF(AND(V1415&gt;=75,V1415&lt;=175,W1415&gt;=65,W1415&lt;110),0.17,0)+IF(AND(V1415&gt;=75,V1415&lt;=175,W1415&gt;=110),0.12,0)+IF(AND(V1415&gt;175,W1415&lt;25),0.3,0)+IF(AND(V1415&gt;175,W1415&gt;=25,W1415&lt;55),0.23,0)+IF(AND(V1415&gt;175,W1415&gt;=55,W1415&lt;95),0.17,0)+IF(AND(V1415&gt;175,W1415&gt;=95),0.12,0),
IF(AF1415="Fix15",0.15,
IF(AF1415="Fix5",0.05,
IF(AF1415="Fix18.75",0.1875,
IF(AF1415="Fix11.25",0.1125,
IF(AF1415="Fix10",0.1,
IF(AF1415="Fix9",0.09,
IF(AF1415="Fix12",0.12,
IF(AF1415="Fix19",0.19,
IF(AF1415="DoEV2017",IF(AND(W1415&lt;74),0.2,0)+IF(AND(W1415&gt;=74),0.17,0),
IF(AF1415="SF",IF(AND(V1415&lt;20,W1415&lt;89),0.3,0)+IF(AND(V1415&lt;20,W1415&gt;=89),0.25,0)+IF(AND(V1415&gt;=20,V1415&lt;40,W1415&lt;74),0.3,0)+IF(AND(V1415&gt;=20,V1415&lt;40,W1415&gt;=75),0.22,0)+IF(AND(V1415&gt;=40,V1415&lt;75,W1415&lt;75),0.26,0)+IF(AND(V1415&gt;=40,V1415&lt;75,W1415&gt;=75),0.22,0)+IF(V1415&gt;=75,0.22,0),
IF(AF1415="DoEVold",IF(AND(V1415&lt;40,W1415&lt;35),0.35,0)+IF(AND(V1415&lt;40,W1415&gt;=35,W1415&lt;75),0.25,0)+IF(AND(V1415&lt;40,W1415&gt;=75),0.17,0)+IF(AND(V1415&gt;=40,V1415&lt;75,W1415&lt;25),0.35,0)+IF(AND(V1415&gt;=40,V1415&lt;75,W1415&gt;=25,W1415&lt;65),0.25,0)+IF(AND(V1415&gt;=40,V1415&lt;75,W1415&gt;=65,W1415&lt;100),0.17,0)+IF(AND(V1415&gt;=40,V1415&lt;75,W1415&gt;=100),0.1,0)+IF(AND(V1415&gt;=75,W1415&lt;25),0.35,0)+IF(AND(V1415&gt;=75,W1415&gt;=25,W1415&lt;60),0.25,0)+IF(AND(V1415&gt;=75,W1415&gt;=60,W1415&lt;95),0.17,0)+IF(AND(V1415&gt;=75,W1415&gt;=95),0.1,0),
IF(AF1415="DoEVold15",IF(AND(V1415&lt;=40,W1415&lt;35),0.35,0)+IF(AND(V1415&lt;=40,W1415&gt;=35,W1415&lt;75),0.25,0)+IF(AND(V1415&lt;=40,W1415&gt;=75,W1415&lt;120),0.17,0)+IF(AND(V1415&lt;=40,W1415&gt;=120),0.15,0)+IF(AND(V1415&gt;40,V1415&lt;75,W1415&lt;25),0.35,0)+IF(AND(V1415&gt;=40,V1415&lt;75,W1415&gt;=25,W1415&lt;65),0.25,0)+IF(AND(V1415&gt;=40,V1415&lt;75,W1415&gt;=65,W1415&lt;100),0.17,0)+IF(AND(V1415&gt;=40,V1415&lt;75,W1415&gt;=100),0.1,0)+IF(AND(V1415&gt;=75,W1415&lt;25),0.35,0)+IF(AND(V1415&gt;=75,W1415&gt;=25,W1415&lt;60),0.25,0)+IF(AND(V1415&gt;=75,W1415&gt;=60,W1415&lt;95),0.17,0)+IF(AND(V1415&gt;=75,W1415&gt;=95),0.1,0),
IF(AF1415="DoEVba",IF(AND(V1415&lt;20,W1415&lt;105),0.2,0)+IF(AND(V1415&lt;20,W1415&gt;=105),0.15,0)+IF(AND(V1415&gt;=20,V1415&lt;40,W1415&lt;95),0.2,0)+IF(AND(V1415&gt;=20,V1415&lt;40,W1415&gt;=95,W1415&lt;150),0.15,0)+IF(AND(V1415&gt;=20,V1415&lt;40,W1415&gt;=150),0.12,0)+IF(AND(V1415&gt;=40,V1415&lt;75,W1415&lt;75),0.2,0)+IF(AND(V1415&gt;=40,V1415&lt;75,W1415&gt;=75,W1415&lt;120),0.15,0)+IF(AND(V1415&gt;=40,V1415&lt;75,W1415&gt;=120),0.12,0)+IF(AND(V1415&gt;=75,V1415&lt;175,W1415&lt;65),0.2,0)+IF(AND(V1415&gt;=75,V1415&lt;175,W1415&gt;=65,W1415&lt;110),0.15,0)+IF(AND(V1415&gt;=75,V1415&lt;175,W1415&gt;=110),0.12,0)+IF(AND(V1415&gt;=175,W1415&lt;55),0.2,0)+IF(AND(V1415&gt;=175,W1415&gt;=55,W1415&lt;95),0.15,0)+IF(AND(V1415&gt;=175,W1415&gt;=95),0.12,0),
IF(AF1415="DoEVku",IF(AND(V1415&lt;20,W1415&lt;55),0.23,0)+IF(AND(V1415&lt;20,W1415&gt;=55,W1415&lt;105),0.2,0)+IF(AND(V1415&lt;20,W1415&gt;=105),0.17,0)+IF(AND(V1415&gt;=20,V1415&lt;40,W1415&lt;45),0.23,0)+IF(AND(V1415&gt;=20,V1415&lt;40,W1415&gt;=45,W1415&lt;95),0.2,0)+IF(AND(V1415&gt;=20,V1415&lt;40,W1415&gt;=95,W1415&lt;=150),0.17,0)+IF(AND(V1415&gt;=20,V1415&lt;40,W1415&gt;=150),0.12,0)+IF(AND(V1415&gt;=40,V1415&lt;75,W1415&lt;35),0.23,0)+IF(AND(V1415&gt;=40,V1415&lt;75,W1415&gt;=35,W1415&lt;75),0.2,0)+IF(AND(V1415&gt;=40,V1415&lt;75,W1415&gt;=75,W1415&lt;120),0.17,0)+IF(AND(V1415&gt;=40,V1415&lt;75,W1415&gt;=120),0.12,0)+IF(AND(V1415&gt;=75,V1415&lt;175,W1415&lt;35),0.23,0)+IF(AND(V1415&gt;=75,V1415&lt;=175,W1415&gt;=35,W1415&lt;65),0.2,0)+IF(AND(V1415&gt;=75,V1415&lt;=175,W1415&gt;=65,W1415&lt;110),0.17,0)+IF(AND(V1415&gt;=75,V1415&lt;=175,W1415&gt;=110),0.12,0)+IF(AND(V1415&gt;175,W1415&lt;25),0.23,0)+IF(AND(V1415&gt;175,W1415&gt;=25,W1415&lt;55),0.2,0)+IF(AND(V1415&gt;175,W1415&gt;=55,W1415&lt;95),0.17,0)+IF(AND(V1415&gt;175,W1415&gt;=95),0.12,0),
IF(AF1415="DoEVs1",IF(AND(V1415&lt;20,W1415&lt;55),0.3,0)+IF(AND(V1415&lt;20,W1415&gt;=55,W1415&lt;105),0.23,0)+IF(AND(V1415&lt;20,W1415&gt;=105),0.17,0)+IF(AND(V1415&gt;=20,V1415&lt;40,W1415&lt;45),0.3,0)+IF(AND(V1415&gt;=20,V1415&lt;40,W1415&gt;=45,W1415&lt;95),0.23,0)+IF(AND(V1415&gt;=20,V1415&lt;40,W1415&gt;=95,W1415&lt;=150),0.17,0)+IF(AND(V1415&gt;=20,V1415&lt;40,W1415&gt;=150),0.12,0)+IF(AND(V1415&gt;=40,V1415&lt;75,W1415&lt;35),0.3,0)+IF(AND(V1415&gt;=40,V1415&lt;75,W1415&gt;=35,W1415&lt;75),0.23,0)+IF(AND(V1415&gt;=40,V1415&lt;75,W1415&gt;=75,W1415&lt;120),0.17,0)+IF(AND(V1415&gt;=40,V1415&lt;75,W1415&gt;=120),0.12,0)+IF(AND(V1415&gt;=75,V1415&lt;175,W1415&lt;35),0.3,0)+IF(AND(V1415&gt;=75,V1415&lt;=175,W1415&gt;=35,W1415&lt;65),0.23,0)+IF(AND(V1415&gt;=75,V1415&lt;=175,W1415&gt;=65,W1415&lt;110),0.17,0)+IF(AND(V1415&gt;=75,V1415&lt;=175,W1415&gt;=110),0.12,0)+IF(AND(V1415&gt;175,W1415&lt;25),0.3,0)+IF(AND(V1415&gt;175,W1415&gt;=25,W1415&lt;55),0.23,0)+IF(AND(V1415&gt;175,W1415&gt;=55,W1415&lt;95),0.17,0)+IF(AND(V1415&gt;175,W1415&gt;=95),0.12,0),
IF(AF1415="DoEVsu",IF(AND(V1415&lt;20,W1415&lt;55),0.3,0)+IF(AND(V1415&lt;20,W1415&gt;=55,W1415&lt;105),0.23,0)+IF(AND(V1415&lt;20,W1415&gt;=105),0.17,0)+IF(AND(V1415&gt;=20,V1415&lt;40,W1415&lt;45),0.3,0)+IF(AND(V1415&gt;=20,V1415&lt;40,W1415&gt;=45,W1415&lt;95),0.23,0)+IF(AND(V1415&gt;=20,V1415&lt;40,W1415&gt;=95,W1415&lt;=250),0.17,0)+IF(AND(V1415&gt;=20,V1415&lt;40,W1415&gt;=250),0.12,0)+IF(AND(V1415&gt;=40,V1415&lt;75,W1415&lt;35),0.3,0)+IF(AND(V1415&gt;=40,V1415&lt;75,W1415&gt;=35,W1415&lt;75),0.23,0)+IF(AND(V1415&gt;=40,V1415&lt;75,W1415&gt;=75,W1415&lt;120),0.17,0)+IF(AND(V1415&gt;=40,V1415&lt;75,W1415&gt;=120),0.12,0)+IF(AND(V1415&gt;=75,V1415&lt;175,W1415&lt;35),0.3,0)+IF(AND(V1415&gt;=75,V1415&lt;=175,W1415&gt;=35,W1415&lt;65),0.23,0)+IF(AND(V1415&gt;=75,V1415&lt;=175,W1415&gt;=65,W1415&lt;110),0.17,0)+IF(AND(V1415&gt;=75,V1415&lt;=175,W1415&gt;=110),0.12,0)+IF(AND(V1415&gt;175,W1415&lt;25),0.3,0)+IF(AND(V1415&gt;175,W1415&gt;=25,W1415&lt;55),0.23,0)+IF(AND(V1415&gt;175,W1415&gt;=55,W1415&lt;95),0.17,0)+IF(AND(V1415&gt;175,W1415&gt;=95),0.12,0),
IF(AF1415="DoEVni",IF(AND(V1415&lt;20,W1415&lt;55),0.3,0)+IF(AND(V1415&lt;20,W1415&gt;=55,W1415&lt;105),0.23,0)+IF(AND(V1415&lt;20,W1415&gt;=105),0.17,0)+IF(AND(V1415&gt;=20,V1415&lt;40,W1415&lt;45),0.3,0)+IF(AND(V1415&gt;=20,V1415&lt;40,W1415&gt;=45,W1415&lt;95),0.23,0)+IF(AND(V1415&gt;=20,V1415&lt;40,W1415&gt;=95,W1415&lt;=200),0.17,0)+IF(AND(V1415&gt;=20,V1415&lt;40,W1415&gt;=200),0.12,0)+IF(AND(V1415&gt;=40,V1415&lt;75,W1415&lt;35),0.3,0)+IF(AND(V1415&gt;=40,V1415&lt;75,W1415&gt;=35,W1415&lt;75),0.23,0)+IF(AND(V1415&gt;=40,V1415&lt;75,W1415&gt;=75,W1415&lt;120),0.17,0)+IF(AND(V1415&gt;=40,V1415&lt;75,W1415&gt;=120),0.12,0)+IF(AND(V1415&gt;=75,V1415&lt;175,W1415&lt;35),0.3,0)+IF(AND(V1415&gt;=75,V1415&lt;=175,W1415&gt;=35,W1415&lt;65),0.23,0)+IF(AND(V1415&gt;=75,V1415&lt;=175,W1415&gt;=65,W1415&lt;110),0.17,0)+IF(AND(V1415&gt;=75,V1415&lt;=175,W1415&gt;=110),0.12,0)+IF(AND(V1415&gt;175,W1415&lt;25),0.3,0)+IF(AND(V1415&gt;175,W1415&gt;=25,W1415&lt;55),0.23,0)+IF(AND(V1415&gt;175,W1415&gt;=55,W1415&lt;95),0.17,0)+IF(AND(V1415&gt;175,W1415&gt;=95),0.12,0),
IF(AF1415="DoEVLo",IF(AND(V1415&lt;20,W1415&lt;55),0.25,0)+IF(AND(V1415&lt;20,W1415&gt;=55,W1415&lt;105),0.2,0)+IF(AND(V1415&lt;20,W1415&gt;=105),0.15,0)+IF(AND(V1415&gt;=20,V1415&lt;40,W1415&lt;45),0.25,0)+IF(AND(V1415&gt;=20,V1415&lt;40,W1415&gt;=45,W1415&lt;95),0.2,0)+IF(AND(V1415&gt;=20,V1415&lt;40,W1415&gt;=95),0.15,0)+IF(AND(V1415&gt;=40,V1415&lt;75,W1415&lt;35),0.25,0)+IF(AND(V1415&gt;=40,V1415&lt;75,W1415&gt;=35,W1415&lt;75),0.2,0)+IF(AND(V1415&gt;=40,V1415&lt;75,W1415&gt;=75,W1415&lt;120),0.15,0)+IF(AND(V1415&gt;=40,V1415&lt;75,W1415&gt;=120),0.1,0)+IF(AND(V1415&gt;=75,V1415&lt;175,W1415&lt;35),0.25,0)+IF(AND(V1415&gt;=75,V1415&lt;=175,W1415&gt;=35,W1415&lt;65),0.2,0)+IF(AND(V1415&gt;=75,V1415&lt;=175,W1415&gt;=65,W1415&lt;110),0.15,0)+IF(AND(V1415&gt;=75,V1415&lt;=175,W1415&gt;=110),0.1,0)+IF(AND(V1415&gt;175,W1415&lt;25),0.25,0)+IF(AND(V1415&gt;175,W1415&gt;=25,W1415&lt;55),0.2,0)+IF(AND(V1415&gt;175,W1415&gt;=55,W1415&lt;95),0.15,0)+IF(AND(V1415&gt;175,W1415&gt;=95),0.1,0))))))))))))))))))))</f>
        <v>0.1125</v>
      </c>
      <c r="Y1415" s="30">
        <f>IF(AG1415="None",0,IF(AG1415="Fix5",0.05, IF(AG1415="Fix6.25",0.0625,IF(AG1415="Fix3.75",0.0375, IF(AG1415="Fix11",0.11, IF(AG1415="Fix10",0.1,IF(AG1415="Fix3",0.03,0)))))))</f>
        <v>3.7499999999999999E-2</v>
      </c>
      <c r="Z1415" s="35">
        <f>IF(AND(AD1415="EUR", AE1415 = "USD"), T1415*U1415-AA1415-AB1415, T1415-AA1415-AB1415)</f>
        <v>0</v>
      </c>
      <c r="AA1415" s="29">
        <f>IF(AND(AD1415="EUR", F1415="Without EV deal", AE1415="USD"), (T1415*X1415)*U1415,
IF(AND(AD1415="EUR", F1415="Without EV deal", AE1415="EUR"), (T1415*X1415),
IF(AND(AD1415="EUR",AE1415="USD"), (T1415*X1415)*U1415,
T1415*X1415)))</f>
        <v>0</v>
      </c>
      <c r="AB1415" s="36">
        <f>IF(AND(AD1415="EUR", F1415="Without EV deal", AE1415="USD"), (T1415*Y1415)*U1415,
IF(AND(AD1415="EUR", F1415="Without EV deal", AE1415="EUR"), (T1415*Y1415),
IF(AND(AD1415="EUR",AE1415="USD"), (T1415*Y1415)*U1415,
T1415*Y1415)))</f>
        <v>0</v>
      </c>
      <c r="AC1415" s="37" t="b">
        <v>1</v>
      </c>
      <c r="AD1415" s="82" t="str">
        <f>IF(OR(H1415="€0.25 Flash",
H1415="€0.25(nitro) new",
H1415="€1",
H1415="€2",
H1415="€2 (bf 01.08)",
H1415="€5",
H1415="€5 (1M)",
H1415="€5 (bf 01.08)",
H1415="€5 (bf 05.05)",
H1415="€5 Nitro",
H1415="€5(wx) new",
H1415="€10",
H1415="€10 (1M)",
H1415="€10 (bf 01.08)",
H1415="€10 (bf 05.05)",
H1415="€10 (MP)",
H1415="€10 (old)",
H1415="€10 Nitro (bf 05.05)",
H1415="€10 Nitro (old)",
H1415="€10(wx) new",
H1415="€20",
H1415="€25",
H1415="€25 (bf 01.08)",
H1415="€25 (bf 05.05)",
H1415="€25 (MP)",
H1415="€25 (old)",
H1415="€25 Nitro",
H1415="€25 Nitro (bf 01.08)",
H1415="€25 Nitro (bf 05.05)",
H1415="€25(nitro) new",
H1415="€25(wx) new",
H1415="€50",
H1415="€50 (bf 01.08)",
H1415="€50 (bf 05.05)",
H1415="€50 (old)",
H1415="€50 Nitro",
H1415="€50 Nitro (bf 01.08)",
H1415="€50 Nitro (bf 05.05)",
H1415="€50(wx) new",
H1415="€100",
H1415="€100 (old)",
H1415="€100 Nitro",
H1415="€100 Nitro (old)",
H1415="€200",
H1415="€250",
H1415="€250 Nitro",
H1415="€500",
H1415="€500 Nitro"),"EUR", "USD")</f>
        <v>USD</v>
      </c>
      <c r="AE1415" s="83" t="s">
        <v>38</v>
      </c>
      <c r="AF1415" s="83" t="str">
        <f t="array" ref="AF1415">INDEX('Deal Info'!D:D, MATCH(A1415,'Deal Info'!A:A, 0))</f>
        <v>Fix11.25</v>
      </c>
      <c r="AG1415" s="83" t="str">
        <f t="array" ref="AG1415">INDEX('Deal Info'!G:G, MATCH(A1415,'Deal Info'!A:A, 0))</f>
        <v>Fix3.75</v>
      </c>
    </row>
    <row r="1416" spans="1:33" ht="14.25" hidden="1" x14ac:dyDescent="0.2">
      <c r="A1416" s="18" t="str">
        <f t="array" ref="A1416">IF(G1416='Room Info'!$B$1, INDEX('Room Info'!$A$2:$A2446, MATCH(B1416,'Room Info'!$B$2:$B2446, 0)),IF(G1416='Room Info'!$C$1, INDEX('Room Info'!$A$2:$A2446, MATCH(B1416,'Room Info'!$C$2:$C2446, 0)),IF(G1416='Room Info'!$D$1, INDEX('Room Info'!$A$2:$A2446, MATCH(B1416,'Room Info'!$D$2:$D2446, 0)),IF(G1416='Room Info'!$E$1, INDEX('Room Info'!$A$2:$A2446, MATCH(B1416,'Room Info'!$E$2:$E2446, 0)),IF(G1416='Room Info'!$F$1, INDEX('Room Info'!$A$2:$A2446, MATCH(B1416,'Room Info'!$F$2:$F2446, 0)),IF(G1416='Room Info'!$H$1, INDEX('Room Info'!$A$2:$A2446, MATCH(B1416,'Room Info'!$H$2:$H2446, 0)),IF(G1416='Room Info'!$G$1, INDEX('Room Info'!$A$2:$A2446, MATCH(B1416,'Room Info'!$G$2:$G2446, 0)))))))))</f>
        <v>fig6</v>
      </c>
      <c r="B1416" s="18" t="s">
        <v>172</v>
      </c>
      <c r="C1416" s="19">
        <v>44947</v>
      </c>
      <c r="D1416" s="20">
        <v>44977</v>
      </c>
      <c r="E1416" s="21">
        <v>44958</v>
      </c>
      <c r="F1416" s="22" t="s">
        <v>41</v>
      </c>
      <c r="G1416" s="18" t="s">
        <v>35</v>
      </c>
      <c r="H1416" s="23" t="s">
        <v>213</v>
      </c>
      <c r="I1416" s="23" t="s">
        <v>174</v>
      </c>
      <c r="J1416" s="39">
        <v>100</v>
      </c>
      <c r="K1416" s="88">
        <v>757</v>
      </c>
      <c r="L1416" s="89">
        <v>2796</v>
      </c>
      <c r="M1416" s="27"/>
      <c r="N1416" s="28">
        <f>K1416*J1416</f>
        <v>75700</v>
      </c>
      <c r="O1416" s="18"/>
      <c r="P1416" s="29">
        <v>0</v>
      </c>
      <c r="Q1416" s="30"/>
      <c r="R1416" s="31">
        <f>M1416+Q1416</f>
        <v>0</v>
      </c>
      <c r="S1416" s="28"/>
      <c r="T1416" s="32">
        <f>IF(AND(AD1416="EUR", F1416="Without EV deal"), R1416 + L1416,
IF(AND(AD1416="USD", F1416="Without EV deal"), R1416 + L1416,
IF(AND(AD1416="EUR", F1416="Steel Phoenix"), R1416 + S1416/U1416,
R1416 + S1416)))</f>
        <v>2796</v>
      </c>
      <c r="U1416" s="33">
        <v>1.0669999999999999</v>
      </c>
      <c r="V1416" s="34"/>
      <c r="W1416" s="34"/>
      <c r="X1416" s="30">
        <f>IF(AF1416="DoEV",IF(AND(V1416&lt;20,W1416&lt;55),0.3,0)+IF(AND(V1416&lt;20,W1416&gt;=55,W1416&lt;105),0.23,0)+IF(AND(V1416&lt;20,W1416&gt;=105),0.17,0)+IF(AND(V1416&gt;=20,V1416&lt;40,W1416&lt;45),0.3,0)+IF(AND(V1416&gt;=20,V1416&lt;40,W1416&gt;=45,W1416&lt;95),0.23,0)+IF(AND(V1416&gt;=20,V1416&lt;40,W1416&gt;=95),0.17,0)+IF(AND(V1416&gt;=40,V1416&lt;75,W1416&lt;35),0.3,0)+IF(AND(V1416&gt;=40,V1416&lt;75,W1416&gt;=35,W1416&lt;75),0.23,0)+IF(AND(V1416&gt;=40,V1416&lt;75,W1416&gt;=75,W1416&lt;120),0.17,0)+IF(AND(V1416&gt;=40,V1416&lt;75,W1416&gt;=120),0.12,0)+IF(AND(V1416&gt;=75,V1416&lt;175,W1416&lt;35),0.3,0)+IF(AND(V1416&gt;=75,V1416&lt;=175,W1416&gt;=35,W1416&lt;65),0.23,0)+IF(AND(V1416&gt;=75,V1416&lt;=175,W1416&gt;=65,W1416&lt;110),0.17,0)+IF(AND(V1416&gt;=75,V1416&lt;=175,W1416&gt;=110),0.12,0)+IF(AND(V1416&gt;175,W1416&lt;25),0.3,0)+IF(AND(V1416&gt;175,W1416&gt;=25,W1416&lt;55),0.23,0)+IF(AND(V1416&gt;175,W1416&gt;=55,W1416&lt;95),0.17,0)+IF(AND(V1416&gt;175,W1416&gt;=95),0.12,0),
IF(AF1416="Fix15",0.15,
IF(AF1416="Fix5",0.05,
IF(AF1416="Fix18.75",0.1875,
IF(AF1416="Fix11.25",0.1125,
IF(AF1416="Fix10",0.1,
IF(AF1416="Fix9",0.09,
IF(AF1416="Fix12",0.12,
IF(AF1416="Fix19",0.19,
IF(AF1416="DoEV2017",IF(AND(W1416&lt;74),0.2,0)+IF(AND(W1416&gt;=74),0.17,0),
IF(AF1416="SF",IF(AND(V1416&lt;20,W1416&lt;89),0.3,0)+IF(AND(V1416&lt;20,W1416&gt;=89),0.25,0)+IF(AND(V1416&gt;=20,V1416&lt;40,W1416&lt;74),0.3,0)+IF(AND(V1416&gt;=20,V1416&lt;40,W1416&gt;=75),0.22,0)+IF(AND(V1416&gt;=40,V1416&lt;75,W1416&lt;75),0.26,0)+IF(AND(V1416&gt;=40,V1416&lt;75,W1416&gt;=75),0.22,0)+IF(V1416&gt;=75,0.22,0),
IF(AF1416="DoEVold",IF(AND(V1416&lt;40,W1416&lt;35),0.35,0)+IF(AND(V1416&lt;40,W1416&gt;=35,W1416&lt;75),0.25,0)+IF(AND(V1416&lt;40,W1416&gt;=75),0.17,0)+IF(AND(V1416&gt;=40,V1416&lt;75,W1416&lt;25),0.35,0)+IF(AND(V1416&gt;=40,V1416&lt;75,W1416&gt;=25,W1416&lt;65),0.25,0)+IF(AND(V1416&gt;=40,V1416&lt;75,W1416&gt;=65,W1416&lt;100),0.17,0)+IF(AND(V1416&gt;=40,V1416&lt;75,W1416&gt;=100),0.1,0)+IF(AND(V1416&gt;=75,W1416&lt;25),0.35,0)+IF(AND(V1416&gt;=75,W1416&gt;=25,W1416&lt;60),0.25,0)+IF(AND(V1416&gt;=75,W1416&gt;=60,W1416&lt;95),0.17,0)+IF(AND(V1416&gt;=75,W1416&gt;=95),0.1,0),
IF(AF1416="DoEVold15",IF(AND(V1416&lt;=40,W1416&lt;35),0.35,0)+IF(AND(V1416&lt;=40,W1416&gt;=35,W1416&lt;75),0.25,0)+IF(AND(V1416&lt;=40,W1416&gt;=75,W1416&lt;120),0.17,0)+IF(AND(V1416&lt;=40,W1416&gt;=120),0.15,0)+IF(AND(V1416&gt;40,V1416&lt;75,W1416&lt;25),0.35,0)+IF(AND(V1416&gt;=40,V1416&lt;75,W1416&gt;=25,W1416&lt;65),0.25,0)+IF(AND(V1416&gt;=40,V1416&lt;75,W1416&gt;=65,W1416&lt;100),0.17,0)+IF(AND(V1416&gt;=40,V1416&lt;75,W1416&gt;=100),0.1,0)+IF(AND(V1416&gt;=75,W1416&lt;25),0.35,0)+IF(AND(V1416&gt;=75,W1416&gt;=25,W1416&lt;60),0.25,0)+IF(AND(V1416&gt;=75,W1416&gt;=60,W1416&lt;95),0.17,0)+IF(AND(V1416&gt;=75,W1416&gt;=95),0.1,0),
IF(AF1416="DoEVba",IF(AND(V1416&lt;20,W1416&lt;105),0.2,0)+IF(AND(V1416&lt;20,W1416&gt;=105),0.15,0)+IF(AND(V1416&gt;=20,V1416&lt;40,W1416&lt;95),0.2,0)+IF(AND(V1416&gt;=20,V1416&lt;40,W1416&gt;=95,W1416&lt;150),0.15,0)+IF(AND(V1416&gt;=20,V1416&lt;40,W1416&gt;=150),0.12,0)+IF(AND(V1416&gt;=40,V1416&lt;75,W1416&lt;75),0.2,0)+IF(AND(V1416&gt;=40,V1416&lt;75,W1416&gt;=75,W1416&lt;120),0.15,0)+IF(AND(V1416&gt;=40,V1416&lt;75,W1416&gt;=120),0.12,0)+IF(AND(V1416&gt;=75,V1416&lt;175,W1416&lt;65),0.2,0)+IF(AND(V1416&gt;=75,V1416&lt;175,W1416&gt;=65,W1416&lt;110),0.15,0)+IF(AND(V1416&gt;=75,V1416&lt;175,W1416&gt;=110),0.12,0)+IF(AND(V1416&gt;=175,W1416&lt;55),0.2,0)+IF(AND(V1416&gt;=175,W1416&gt;=55,W1416&lt;95),0.15,0)+IF(AND(V1416&gt;=175,W1416&gt;=95),0.12,0),
IF(AF1416="DoEVku",IF(AND(V1416&lt;20,W1416&lt;55),0.23,0)+IF(AND(V1416&lt;20,W1416&gt;=55,W1416&lt;105),0.2,0)+IF(AND(V1416&lt;20,W1416&gt;=105),0.17,0)+IF(AND(V1416&gt;=20,V1416&lt;40,W1416&lt;45),0.23,0)+IF(AND(V1416&gt;=20,V1416&lt;40,W1416&gt;=45,W1416&lt;95),0.2,0)+IF(AND(V1416&gt;=20,V1416&lt;40,W1416&gt;=95,W1416&lt;=150),0.17,0)+IF(AND(V1416&gt;=20,V1416&lt;40,W1416&gt;=150),0.12,0)+IF(AND(V1416&gt;=40,V1416&lt;75,W1416&lt;35),0.23,0)+IF(AND(V1416&gt;=40,V1416&lt;75,W1416&gt;=35,W1416&lt;75),0.2,0)+IF(AND(V1416&gt;=40,V1416&lt;75,W1416&gt;=75,W1416&lt;120),0.17,0)+IF(AND(V1416&gt;=40,V1416&lt;75,W1416&gt;=120),0.12,0)+IF(AND(V1416&gt;=75,V1416&lt;175,W1416&lt;35),0.23,0)+IF(AND(V1416&gt;=75,V1416&lt;=175,W1416&gt;=35,W1416&lt;65),0.2,0)+IF(AND(V1416&gt;=75,V1416&lt;=175,W1416&gt;=65,W1416&lt;110),0.17,0)+IF(AND(V1416&gt;=75,V1416&lt;=175,W1416&gt;=110),0.12,0)+IF(AND(V1416&gt;175,W1416&lt;25),0.23,0)+IF(AND(V1416&gt;175,W1416&gt;=25,W1416&lt;55),0.2,0)+IF(AND(V1416&gt;175,W1416&gt;=55,W1416&lt;95),0.17,0)+IF(AND(V1416&gt;175,W1416&gt;=95),0.12,0),
IF(AF1416="DoEVs1",IF(AND(V1416&lt;20,W1416&lt;55),0.3,0)+IF(AND(V1416&lt;20,W1416&gt;=55,W1416&lt;105),0.23,0)+IF(AND(V1416&lt;20,W1416&gt;=105),0.17,0)+IF(AND(V1416&gt;=20,V1416&lt;40,W1416&lt;45),0.3,0)+IF(AND(V1416&gt;=20,V1416&lt;40,W1416&gt;=45,W1416&lt;95),0.23,0)+IF(AND(V1416&gt;=20,V1416&lt;40,W1416&gt;=95,W1416&lt;=150),0.17,0)+IF(AND(V1416&gt;=20,V1416&lt;40,W1416&gt;=150),0.12,0)+IF(AND(V1416&gt;=40,V1416&lt;75,W1416&lt;35),0.3,0)+IF(AND(V1416&gt;=40,V1416&lt;75,W1416&gt;=35,W1416&lt;75),0.23,0)+IF(AND(V1416&gt;=40,V1416&lt;75,W1416&gt;=75,W1416&lt;120),0.17,0)+IF(AND(V1416&gt;=40,V1416&lt;75,W1416&gt;=120),0.12,0)+IF(AND(V1416&gt;=75,V1416&lt;175,W1416&lt;35),0.3,0)+IF(AND(V1416&gt;=75,V1416&lt;=175,W1416&gt;=35,W1416&lt;65),0.23,0)+IF(AND(V1416&gt;=75,V1416&lt;=175,W1416&gt;=65,W1416&lt;110),0.17,0)+IF(AND(V1416&gt;=75,V1416&lt;=175,W1416&gt;=110),0.12,0)+IF(AND(V1416&gt;175,W1416&lt;25),0.3,0)+IF(AND(V1416&gt;175,W1416&gt;=25,W1416&lt;55),0.23,0)+IF(AND(V1416&gt;175,W1416&gt;=55,W1416&lt;95),0.17,0)+IF(AND(V1416&gt;175,W1416&gt;=95),0.12,0),
IF(AF1416="DoEVsu",IF(AND(V1416&lt;20,W1416&lt;55),0.3,0)+IF(AND(V1416&lt;20,W1416&gt;=55,W1416&lt;105),0.23,0)+IF(AND(V1416&lt;20,W1416&gt;=105),0.17,0)+IF(AND(V1416&gt;=20,V1416&lt;40,W1416&lt;45),0.3,0)+IF(AND(V1416&gt;=20,V1416&lt;40,W1416&gt;=45,W1416&lt;95),0.23,0)+IF(AND(V1416&gt;=20,V1416&lt;40,W1416&gt;=95,W1416&lt;=250),0.17,0)+IF(AND(V1416&gt;=20,V1416&lt;40,W1416&gt;=250),0.12,0)+IF(AND(V1416&gt;=40,V1416&lt;75,W1416&lt;35),0.3,0)+IF(AND(V1416&gt;=40,V1416&lt;75,W1416&gt;=35,W1416&lt;75),0.23,0)+IF(AND(V1416&gt;=40,V1416&lt;75,W1416&gt;=75,W1416&lt;120),0.17,0)+IF(AND(V1416&gt;=40,V1416&lt;75,W1416&gt;=120),0.12,0)+IF(AND(V1416&gt;=75,V1416&lt;175,W1416&lt;35),0.3,0)+IF(AND(V1416&gt;=75,V1416&lt;=175,W1416&gt;=35,W1416&lt;65),0.23,0)+IF(AND(V1416&gt;=75,V1416&lt;=175,W1416&gt;=65,W1416&lt;110),0.17,0)+IF(AND(V1416&gt;=75,V1416&lt;=175,W1416&gt;=110),0.12,0)+IF(AND(V1416&gt;175,W1416&lt;25),0.3,0)+IF(AND(V1416&gt;175,W1416&gt;=25,W1416&lt;55),0.23,0)+IF(AND(V1416&gt;175,W1416&gt;=55,W1416&lt;95),0.17,0)+IF(AND(V1416&gt;175,W1416&gt;=95),0.12,0),
IF(AF1416="DoEVni",IF(AND(V1416&lt;20,W1416&lt;55),0.3,0)+IF(AND(V1416&lt;20,W1416&gt;=55,W1416&lt;105),0.23,0)+IF(AND(V1416&lt;20,W1416&gt;=105),0.17,0)+IF(AND(V1416&gt;=20,V1416&lt;40,W1416&lt;45),0.3,0)+IF(AND(V1416&gt;=20,V1416&lt;40,W1416&gt;=45,W1416&lt;95),0.23,0)+IF(AND(V1416&gt;=20,V1416&lt;40,W1416&gt;=95,W1416&lt;=200),0.17,0)+IF(AND(V1416&gt;=20,V1416&lt;40,W1416&gt;=200),0.12,0)+IF(AND(V1416&gt;=40,V1416&lt;75,W1416&lt;35),0.3,0)+IF(AND(V1416&gt;=40,V1416&lt;75,W1416&gt;=35,W1416&lt;75),0.23,0)+IF(AND(V1416&gt;=40,V1416&lt;75,W1416&gt;=75,W1416&lt;120),0.17,0)+IF(AND(V1416&gt;=40,V1416&lt;75,W1416&gt;=120),0.12,0)+IF(AND(V1416&gt;=75,V1416&lt;175,W1416&lt;35),0.3,0)+IF(AND(V1416&gt;=75,V1416&lt;=175,W1416&gt;=35,W1416&lt;65),0.23,0)+IF(AND(V1416&gt;=75,V1416&lt;=175,W1416&gt;=65,W1416&lt;110),0.17,0)+IF(AND(V1416&gt;=75,V1416&lt;=175,W1416&gt;=110),0.12,0)+IF(AND(V1416&gt;175,W1416&lt;25),0.3,0)+IF(AND(V1416&gt;175,W1416&gt;=25,W1416&lt;55),0.23,0)+IF(AND(V1416&gt;175,W1416&gt;=55,W1416&lt;95),0.17,0)+IF(AND(V1416&gt;175,W1416&gt;=95),0.12,0),
IF(AF1416="DoEVLo",IF(AND(V1416&lt;20,W1416&lt;55),0.25,0)+IF(AND(V1416&lt;20,W1416&gt;=55,W1416&lt;105),0.2,0)+IF(AND(V1416&lt;20,W1416&gt;=105),0.15,0)+IF(AND(V1416&gt;=20,V1416&lt;40,W1416&lt;45),0.25,0)+IF(AND(V1416&gt;=20,V1416&lt;40,W1416&gt;=45,W1416&lt;95),0.2,0)+IF(AND(V1416&gt;=20,V1416&lt;40,W1416&gt;=95),0.15,0)+IF(AND(V1416&gt;=40,V1416&lt;75,W1416&lt;35),0.25,0)+IF(AND(V1416&gt;=40,V1416&lt;75,W1416&gt;=35,W1416&lt;75),0.2,0)+IF(AND(V1416&gt;=40,V1416&lt;75,W1416&gt;=75,W1416&lt;120),0.15,0)+IF(AND(V1416&gt;=40,V1416&lt;75,W1416&gt;=120),0.1,0)+IF(AND(V1416&gt;=75,V1416&lt;175,W1416&lt;35),0.25,0)+IF(AND(V1416&gt;=75,V1416&lt;=175,W1416&gt;=35,W1416&lt;65),0.2,0)+IF(AND(V1416&gt;=75,V1416&lt;=175,W1416&gt;=65,W1416&lt;110),0.15,0)+IF(AND(V1416&gt;=75,V1416&lt;=175,W1416&gt;=110),0.1,0)+IF(AND(V1416&gt;175,W1416&lt;25),0.25,0)+IF(AND(V1416&gt;175,W1416&gt;=25,W1416&lt;55),0.2,0)+IF(AND(V1416&gt;175,W1416&gt;=55,W1416&lt;95),0.15,0)+IF(AND(V1416&gt;175,W1416&gt;=95),0.1,0))))))))))))))))))))</f>
        <v>0.1125</v>
      </c>
      <c r="Y1416" s="30">
        <f>IF(AG1416="None",0,IF(AG1416="Fix5",0.05, IF(AG1416="Fix6.25",0.0625,IF(AG1416="Fix3.75",0.0375, IF(AG1416="Fix11",0.11, IF(AG1416="Fix10",0.1,IF(AG1416="Fix3",0.03,0)))))))</f>
        <v>3.7499999999999999E-2</v>
      </c>
      <c r="Z1416" s="35">
        <f>IF(AND(AD1416="EUR", AE1416 = "USD"), T1416*U1416-AA1416-AB1416, T1416-AA1416-AB1416)</f>
        <v>2376.6</v>
      </c>
      <c r="AA1416" s="29">
        <f>IF(AND(AD1416="EUR", F1416="Without EV deal", AE1416="USD"), (T1416*X1416)*U1416,
IF(AND(AD1416="EUR", F1416="Without EV deal", AE1416="EUR"), (T1416*X1416),
IF(AND(AD1416="EUR",AE1416="USD"), (T1416*X1416)*U1416,
T1416*X1416)))</f>
        <v>314.55</v>
      </c>
      <c r="AB1416" s="36">
        <f>IF(AND(AD1416="EUR", F1416="Without EV deal", AE1416="USD"), (T1416*Y1416)*U1416,
IF(AND(AD1416="EUR", F1416="Without EV deal", AE1416="EUR"), (T1416*Y1416),
IF(AND(AD1416="EUR",AE1416="USD"), (T1416*Y1416)*U1416,
T1416*Y1416)))</f>
        <v>104.85</v>
      </c>
      <c r="AC1416" s="37" t="b">
        <v>1</v>
      </c>
      <c r="AD1416" s="82" t="str">
        <f>IF(OR(H1416="€0.25 Flash",
H1416="€0.25(nitro) new",
H1416="€1",
H1416="€2",
H1416="€2 (bf 01.08)",
H1416="€5",
H1416="€5 (1M)",
H1416="€5 (bf 01.08)",
H1416="€5 (bf 05.05)",
H1416="€5 Nitro",
H1416="€5(wx) new",
H1416="€10",
H1416="€10 (1M)",
H1416="€10 (bf 01.08)",
H1416="€10 (bf 05.05)",
H1416="€10 (MP)",
H1416="€10 (old)",
H1416="€10 Nitro (bf 05.05)",
H1416="€10 Nitro (old)",
H1416="€10(wx) new",
H1416="€20",
H1416="€25",
H1416="€25 (bf 01.08)",
H1416="€25 (bf 05.05)",
H1416="€25 (MP)",
H1416="€25 (old)",
H1416="€25 Nitro",
H1416="€25 Nitro (bf 01.08)",
H1416="€25 Nitro (bf 05.05)",
H1416="€25(nitro) new",
H1416="€25(wx) new",
H1416="€50",
H1416="€50 (bf 01.08)",
H1416="€50 (bf 05.05)",
H1416="€50 (old)",
H1416="€50 Nitro",
H1416="€50 Nitro (bf 01.08)",
H1416="€50 Nitro (bf 05.05)",
H1416="€50(wx) new",
H1416="€100",
H1416="€100 (old)",
H1416="€100 Nitro",
H1416="€100 Nitro (old)",
H1416="€200",
H1416="€250",
H1416="€250 Nitro",
H1416="€500",
H1416="€500 Nitro"),"EUR", "USD")</f>
        <v>USD</v>
      </c>
      <c r="AE1416" s="83" t="s">
        <v>38</v>
      </c>
      <c r="AF1416" s="83" t="str">
        <f t="array" ref="AF1416">INDEX('Deal Info'!D:D, MATCH(A1416,'Deal Info'!A:A, 0))</f>
        <v>Fix11.25</v>
      </c>
      <c r="AG1416" s="83" t="str">
        <f t="array" ref="AG1416">INDEX('Deal Info'!G:G, MATCH(A1416,'Deal Info'!A:A, 0))</f>
        <v>Fix3.75</v>
      </c>
    </row>
    <row r="1417" spans="1:33" ht="14.25" hidden="1" x14ac:dyDescent="0.2">
      <c r="A1417" s="18" t="str">
        <f t="array" ref="A1417">IF(G1417='Room Info'!$B$1, INDEX('Room Info'!$A$2:$A2446, MATCH(B1417,'Room Info'!$B$2:$B2446, 0)),IF(G1417='Room Info'!$C$1, INDEX('Room Info'!$A$2:$A2446, MATCH(B1417,'Room Info'!$C$2:$C2446, 0)),IF(G1417='Room Info'!$D$1, INDEX('Room Info'!$A$2:$A2446, MATCH(B1417,'Room Info'!$D$2:$D2446, 0)),IF(G1417='Room Info'!$E$1, INDEX('Room Info'!$A$2:$A2446, MATCH(B1417,'Room Info'!$E$2:$E2446, 0)),IF(G1417='Room Info'!$F$1, INDEX('Room Info'!$A$2:$A2446, MATCH(B1417,'Room Info'!$F$2:$F2446, 0)),IF(G1417='Room Info'!$H$1, INDEX('Room Info'!$A$2:$A2446, MATCH(B1417,'Room Info'!$H$2:$H2446, 0)),IF(G1417='Room Info'!$G$1, INDEX('Room Info'!$A$2:$A2446, MATCH(B1417,'Room Info'!$G$2:$G2446, 0)))))))))</f>
        <v>fig6</v>
      </c>
      <c r="B1417" s="18" t="s">
        <v>172</v>
      </c>
      <c r="C1417" s="19">
        <v>44947</v>
      </c>
      <c r="D1417" s="20">
        <v>44977</v>
      </c>
      <c r="E1417" s="21">
        <v>44958</v>
      </c>
      <c r="F1417" s="22" t="s">
        <v>34</v>
      </c>
      <c r="G1417" s="18" t="s">
        <v>35</v>
      </c>
      <c r="H1417" s="23" t="s">
        <v>84</v>
      </c>
      <c r="I1417" s="23" t="s">
        <v>44</v>
      </c>
      <c r="J1417" s="39">
        <v>100</v>
      </c>
      <c r="K1417" s="88">
        <v>661</v>
      </c>
      <c r="L1417" s="89">
        <v>5400</v>
      </c>
      <c r="M1417" s="27"/>
      <c r="N1417" s="28">
        <f>K1417*J1417</f>
        <v>66100</v>
      </c>
      <c r="O1417" s="85">
        <v>9506</v>
      </c>
      <c r="P1417" s="29">
        <v>14.38124054</v>
      </c>
      <c r="Q1417" s="30"/>
      <c r="R1417" s="31">
        <f>M1417+Q1417</f>
        <v>0</v>
      </c>
      <c r="S1417" s="28"/>
      <c r="T1417" s="32">
        <f>IF(AND(AD1417="EUR", F1417="Without EV deal"), R1417 + L1417,
IF(AND(AD1417="USD", F1417="Without EV deal"), R1417 + L1417,
IF(AND(AD1417="EUR", F1417="Steel Phoenix"), R1417 + S1417/U1417,
R1417 + S1417)))</f>
        <v>0</v>
      </c>
      <c r="U1417" s="33">
        <v>1.0669999999999999</v>
      </c>
      <c r="V1417" s="34"/>
      <c r="W1417" s="34"/>
      <c r="X1417" s="30">
        <f>IF(AF1417="DoEV",IF(AND(V1417&lt;20,W1417&lt;55),0.3,0)+IF(AND(V1417&lt;20,W1417&gt;=55,W1417&lt;105),0.23,0)+IF(AND(V1417&lt;20,W1417&gt;=105),0.17,0)+IF(AND(V1417&gt;=20,V1417&lt;40,W1417&lt;45),0.3,0)+IF(AND(V1417&gt;=20,V1417&lt;40,W1417&gt;=45,W1417&lt;95),0.23,0)+IF(AND(V1417&gt;=20,V1417&lt;40,W1417&gt;=95),0.17,0)+IF(AND(V1417&gt;=40,V1417&lt;75,W1417&lt;35),0.3,0)+IF(AND(V1417&gt;=40,V1417&lt;75,W1417&gt;=35,W1417&lt;75),0.23,0)+IF(AND(V1417&gt;=40,V1417&lt;75,W1417&gt;=75,W1417&lt;120),0.17,0)+IF(AND(V1417&gt;=40,V1417&lt;75,W1417&gt;=120),0.12,0)+IF(AND(V1417&gt;=75,V1417&lt;175,W1417&lt;35),0.3,0)+IF(AND(V1417&gt;=75,V1417&lt;=175,W1417&gt;=35,W1417&lt;65),0.23,0)+IF(AND(V1417&gt;=75,V1417&lt;=175,W1417&gt;=65,W1417&lt;110),0.17,0)+IF(AND(V1417&gt;=75,V1417&lt;=175,W1417&gt;=110),0.12,0)+IF(AND(V1417&gt;175,W1417&lt;25),0.3,0)+IF(AND(V1417&gt;175,W1417&gt;=25,W1417&lt;55),0.23,0)+IF(AND(V1417&gt;175,W1417&gt;=55,W1417&lt;95),0.17,0)+IF(AND(V1417&gt;175,W1417&gt;=95),0.12,0),
IF(AF1417="Fix15",0.15,
IF(AF1417="Fix5",0.05,
IF(AF1417="Fix18.75",0.1875,
IF(AF1417="Fix11.25",0.1125,
IF(AF1417="Fix10",0.1,
IF(AF1417="Fix9",0.09,
IF(AF1417="Fix12",0.12,
IF(AF1417="Fix19",0.19,
IF(AF1417="DoEV2017",IF(AND(W1417&lt;74),0.2,0)+IF(AND(W1417&gt;=74),0.17,0),
IF(AF1417="SF",IF(AND(V1417&lt;20,W1417&lt;89),0.3,0)+IF(AND(V1417&lt;20,W1417&gt;=89),0.25,0)+IF(AND(V1417&gt;=20,V1417&lt;40,W1417&lt;74),0.3,0)+IF(AND(V1417&gt;=20,V1417&lt;40,W1417&gt;=75),0.22,0)+IF(AND(V1417&gt;=40,V1417&lt;75,W1417&lt;75),0.26,0)+IF(AND(V1417&gt;=40,V1417&lt;75,W1417&gt;=75),0.22,0)+IF(V1417&gt;=75,0.22,0),
IF(AF1417="DoEVold",IF(AND(V1417&lt;40,W1417&lt;35),0.35,0)+IF(AND(V1417&lt;40,W1417&gt;=35,W1417&lt;75),0.25,0)+IF(AND(V1417&lt;40,W1417&gt;=75),0.17,0)+IF(AND(V1417&gt;=40,V1417&lt;75,W1417&lt;25),0.35,0)+IF(AND(V1417&gt;=40,V1417&lt;75,W1417&gt;=25,W1417&lt;65),0.25,0)+IF(AND(V1417&gt;=40,V1417&lt;75,W1417&gt;=65,W1417&lt;100),0.17,0)+IF(AND(V1417&gt;=40,V1417&lt;75,W1417&gt;=100),0.1,0)+IF(AND(V1417&gt;=75,W1417&lt;25),0.35,0)+IF(AND(V1417&gt;=75,W1417&gt;=25,W1417&lt;60),0.25,0)+IF(AND(V1417&gt;=75,W1417&gt;=60,W1417&lt;95),0.17,0)+IF(AND(V1417&gt;=75,W1417&gt;=95),0.1,0),
IF(AF1417="DoEVold15",IF(AND(V1417&lt;=40,W1417&lt;35),0.35,0)+IF(AND(V1417&lt;=40,W1417&gt;=35,W1417&lt;75),0.25,0)+IF(AND(V1417&lt;=40,W1417&gt;=75,W1417&lt;120),0.17,0)+IF(AND(V1417&lt;=40,W1417&gt;=120),0.15,0)+IF(AND(V1417&gt;40,V1417&lt;75,W1417&lt;25),0.35,0)+IF(AND(V1417&gt;=40,V1417&lt;75,W1417&gt;=25,W1417&lt;65),0.25,0)+IF(AND(V1417&gt;=40,V1417&lt;75,W1417&gt;=65,W1417&lt;100),0.17,0)+IF(AND(V1417&gt;=40,V1417&lt;75,W1417&gt;=100),0.1,0)+IF(AND(V1417&gt;=75,W1417&lt;25),0.35,0)+IF(AND(V1417&gt;=75,W1417&gt;=25,W1417&lt;60),0.25,0)+IF(AND(V1417&gt;=75,W1417&gt;=60,W1417&lt;95),0.17,0)+IF(AND(V1417&gt;=75,W1417&gt;=95),0.1,0),
IF(AF1417="DoEVba",IF(AND(V1417&lt;20,W1417&lt;105),0.2,0)+IF(AND(V1417&lt;20,W1417&gt;=105),0.15,0)+IF(AND(V1417&gt;=20,V1417&lt;40,W1417&lt;95),0.2,0)+IF(AND(V1417&gt;=20,V1417&lt;40,W1417&gt;=95,W1417&lt;150),0.15,0)+IF(AND(V1417&gt;=20,V1417&lt;40,W1417&gt;=150),0.12,0)+IF(AND(V1417&gt;=40,V1417&lt;75,W1417&lt;75),0.2,0)+IF(AND(V1417&gt;=40,V1417&lt;75,W1417&gt;=75,W1417&lt;120),0.15,0)+IF(AND(V1417&gt;=40,V1417&lt;75,W1417&gt;=120),0.12,0)+IF(AND(V1417&gt;=75,V1417&lt;175,W1417&lt;65),0.2,0)+IF(AND(V1417&gt;=75,V1417&lt;175,W1417&gt;=65,W1417&lt;110),0.15,0)+IF(AND(V1417&gt;=75,V1417&lt;175,W1417&gt;=110),0.12,0)+IF(AND(V1417&gt;=175,W1417&lt;55),0.2,0)+IF(AND(V1417&gt;=175,W1417&gt;=55,W1417&lt;95),0.15,0)+IF(AND(V1417&gt;=175,W1417&gt;=95),0.12,0),
IF(AF1417="DoEVku",IF(AND(V1417&lt;20,W1417&lt;55),0.23,0)+IF(AND(V1417&lt;20,W1417&gt;=55,W1417&lt;105),0.2,0)+IF(AND(V1417&lt;20,W1417&gt;=105),0.17,0)+IF(AND(V1417&gt;=20,V1417&lt;40,W1417&lt;45),0.23,0)+IF(AND(V1417&gt;=20,V1417&lt;40,W1417&gt;=45,W1417&lt;95),0.2,0)+IF(AND(V1417&gt;=20,V1417&lt;40,W1417&gt;=95,W1417&lt;=150),0.17,0)+IF(AND(V1417&gt;=20,V1417&lt;40,W1417&gt;=150),0.12,0)+IF(AND(V1417&gt;=40,V1417&lt;75,W1417&lt;35),0.23,0)+IF(AND(V1417&gt;=40,V1417&lt;75,W1417&gt;=35,W1417&lt;75),0.2,0)+IF(AND(V1417&gt;=40,V1417&lt;75,W1417&gt;=75,W1417&lt;120),0.17,0)+IF(AND(V1417&gt;=40,V1417&lt;75,W1417&gt;=120),0.12,0)+IF(AND(V1417&gt;=75,V1417&lt;175,W1417&lt;35),0.23,0)+IF(AND(V1417&gt;=75,V1417&lt;=175,W1417&gt;=35,W1417&lt;65),0.2,0)+IF(AND(V1417&gt;=75,V1417&lt;=175,W1417&gt;=65,W1417&lt;110),0.17,0)+IF(AND(V1417&gt;=75,V1417&lt;=175,W1417&gt;=110),0.12,0)+IF(AND(V1417&gt;175,W1417&lt;25),0.23,0)+IF(AND(V1417&gt;175,W1417&gt;=25,W1417&lt;55),0.2,0)+IF(AND(V1417&gt;175,W1417&gt;=55,W1417&lt;95),0.17,0)+IF(AND(V1417&gt;175,W1417&gt;=95),0.12,0),
IF(AF1417="DoEVs1",IF(AND(V1417&lt;20,W1417&lt;55),0.3,0)+IF(AND(V1417&lt;20,W1417&gt;=55,W1417&lt;105),0.23,0)+IF(AND(V1417&lt;20,W1417&gt;=105),0.17,0)+IF(AND(V1417&gt;=20,V1417&lt;40,W1417&lt;45),0.3,0)+IF(AND(V1417&gt;=20,V1417&lt;40,W1417&gt;=45,W1417&lt;95),0.23,0)+IF(AND(V1417&gt;=20,V1417&lt;40,W1417&gt;=95,W1417&lt;=150),0.17,0)+IF(AND(V1417&gt;=20,V1417&lt;40,W1417&gt;=150),0.12,0)+IF(AND(V1417&gt;=40,V1417&lt;75,W1417&lt;35),0.3,0)+IF(AND(V1417&gt;=40,V1417&lt;75,W1417&gt;=35,W1417&lt;75),0.23,0)+IF(AND(V1417&gt;=40,V1417&lt;75,W1417&gt;=75,W1417&lt;120),0.17,0)+IF(AND(V1417&gt;=40,V1417&lt;75,W1417&gt;=120),0.12,0)+IF(AND(V1417&gt;=75,V1417&lt;175,W1417&lt;35),0.3,0)+IF(AND(V1417&gt;=75,V1417&lt;=175,W1417&gt;=35,W1417&lt;65),0.23,0)+IF(AND(V1417&gt;=75,V1417&lt;=175,W1417&gt;=65,W1417&lt;110),0.17,0)+IF(AND(V1417&gt;=75,V1417&lt;=175,W1417&gt;=110),0.12,0)+IF(AND(V1417&gt;175,W1417&lt;25),0.3,0)+IF(AND(V1417&gt;175,W1417&gt;=25,W1417&lt;55),0.23,0)+IF(AND(V1417&gt;175,W1417&gt;=55,W1417&lt;95),0.17,0)+IF(AND(V1417&gt;175,W1417&gt;=95),0.12,0),
IF(AF1417="DoEVsu",IF(AND(V1417&lt;20,W1417&lt;55),0.3,0)+IF(AND(V1417&lt;20,W1417&gt;=55,W1417&lt;105),0.23,0)+IF(AND(V1417&lt;20,W1417&gt;=105),0.17,0)+IF(AND(V1417&gt;=20,V1417&lt;40,W1417&lt;45),0.3,0)+IF(AND(V1417&gt;=20,V1417&lt;40,W1417&gt;=45,W1417&lt;95),0.23,0)+IF(AND(V1417&gt;=20,V1417&lt;40,W1417&gt;=95,W1417&lt;=250),0.17,0)+IF(AND(V1417&gt;=20,V1417&lt;40,W1417&gt;=250),0.12,0)+IF(AND(V1417&gt;=40,V1417&lt;75,W1417&lt;35),0.3,0)+IF(AND(V1417&gt;=40,V1417&lt;75,W1417&gt;=35,W1417&lt;75),0.23,0)+IF(AND(V1417&gt;=40,V1417&lt;75,W1417&gt;=75,W1417&lt;120),0.17,0)+IF(AND(V1417&gt;=40,V1417&lt;75,W1417&gt;=120),0.12,0)+IF(AND(V1417&gt;=75,V1417&lt;175,W1417&lt;35),0.3,0)+IF(AND(V1417&gt;=75,V1417&lt;=175,W1417&gt;=35,W1417&lt;65),0.23,0)+IF(AND(V1417&gt;=75,V1417&lt;=175,W1417&gt;=65,W1417&lt;110),0.17,0)+IF(AND(V1417&gt;=75,V1417&lt;=175,W1417&gt;=110),0.12,0)+IF(AND(V1417&gt;175,W1417&lt;25),0.3,0)+IF(AND(V1417&gt;175,W1417&gt;=25,W1417&lt;55),0.23,0)+IF(AND(V1417&gt;175,W1417&gt;=55,W1417&lt;95),0.17,0)+IF(AND(V1417&gt;175,W1417&gt;=95),0.12,0),
IF(AF1417="DoEVni",IF(AND(V1417&lt;20,W1417&lt;55),0.3,0)+IF(AND(V1417&lt;20,W1417&gt;=55,W1417&lt;105),0.23,0)+IF(AND(V1417&lt;20,W1417&gt;=105),0.17,0)+IF(AND(V1417&gt;=20,V1417&lt;40,W1417&lt;45),0.3,0)+IF(AND(V1417&gt;=20,V1417&lt;40,W1417&gt;=45,W1417&lt;95),0.23,0)+IF(AND(V1417&gt;=20,V1417&lt;40,W1417&gt;=95,W1417&lt;=200),0.17,0)+IF(AND(V1417&gt;=20,V1417&lt;40,W1417&gt;=200),0.12,0)+IF(AND(V1417&gt;=40,V1417&lt;75,W1417&lt;35),0.3,0)+IF(AND(V1417&gt;=40,V1417&lt;75,W1417&gt;=35,W1417&lt;75),0.23,0)+IF(AND(V1417&gt;=40,V1417&lt;75,W1417&gt;=75,W1417&lt;120),0.17,0)+IF(AND(V1417&gt;=40,V1417&lt;75,W1417&gt;=120),0.12,0)+IF(AND(V1417&gt;=75,V1417&lt;175,W1417&lt;35),0.3,0)+IF(AND(V1417&gt;=75,V1417&lt;=175,W1417&gt;=35,W1417&lt;65),0.23,0)+IF(AND(V1417&gt;=75,V1417&lt;=175,W1417&gt;=65,W1417&lt;110),0.17,0)+IF(AND(V1417&gt;=75,V1417&lt;=175,W1417&gt;=110),0.12,0)+IF(AND(V1417&gt;175,W1417&lt;25),0.3,0)+IF(AND(V1417&gt;175,W1417&gt;=25,W1417&lt;55),0.23,0)+IF(AND(V1417&gt;175,W1417&gt;=55,W1417&lt;95),0.17,0)+IF(AND(V1417&gt;175,W1417&gt;=95),0.12,0),
IF(AF1417="DoEVLo",IF(AND(V1417&lt;20,W1417&lt;55),0.25,0)+IF(AND(V1417&lt;20,W1417&gt;=55,W1417&lt;105),0.2,0)+IF(AND(V1417&lt;20,W1417&gt;=105),0.15,0)+IF(AND(V1417&gt;=20,V1417&lt;40,W1417&lt;45),0.25,0)+IF(AND(V1417&gt;=20,V1417&lt;40,W1417&gt;=45,W1417&lt;95),0.2,0)+IF(AND(V1417&gt;=20,V1417&lt;40,W1417&gt;=95),0.15,0)+IF(AND(V1417&gt;=40,V1417&lt;75,W1417&lt;35),0.25,0)+IF(AND(V1417&gt;=40,V1417&lt;75,W1417&gt;=35,W1417&lt;75),0.2,0)+IF(AND(V1417&gt;=40,V1417&lt;75,W1417&gt;=75,W1417&lt;120),0.15,0)+IF(AND(V1417&gt;=40,V1417&lt;75,W1417&gt;=120),0.1,0)+IF(AND(V1417&gt;=75,V1417&lt;175,W1417&lt;35),0.25,0)+IF(AND(V1417&gt;=75,V1417&lt;=175,W1417&gt;=35,W1417&lt;65),0.2,0)+IF(AND(V1417&gt;=75,V1417&lt;=175,W1417&gt;=65,W1417&lt;110),0.15,0)+IF(AND(V1417&gt;=75,V1417&lt;=175,W1417&gt;=110),0.1,0)+IF(AND(V1417&gt;175,W1417&lt;25),0.25,0)+IF(AND(V1417&gt;175,W1417&gt;=25,W1417&lt;55),0.2,0)+IF(AND(V1417&gt;175,W1417&gt;=55,W1417&lt;95),0.15,0)+IF(AND(V1417&gt;175,W1417&gt;=95),0.1,0))))))))))))))))))))</f>
        <v>0.1125</v>
      </c>
      <c r="Y1417" s="30">
        <f>IF(AG1417="None",0,IF(AG1417="Fix5",0.05, IF(AG1417="Fix6.25",0.0625,IF(AG1417="Fix3.75",0.0375, IF(AG1417="Fix11",0.11, IF(AG1417="Fix10",0.1,IF(AG1417="Fix3",0.03,0)))))))</f>
        <v>3.7499999999999999E-2</v>
      </c>
      <c r="Z1417" s="35">
        <f>IF(AND(AD1417="EUR", AE1417 = "USD"), T1417*U1417-AA1417-AB1417, T1417-AA1417-AB1417)</f>
        <v>0</v>
      </c>
      <c r="AA1417" s="29">
        <f>IF(AND(AD1417="EUR", F1417="Without EV deal", AE1417="USD"), (T1417*X1417)*U1417,
IF(AND(AD1417="EUR", F1417="Without EV deal", AE1417="EUR"), (T1417*X1417),
IF(AND(AD1417="EUR",AE1417="USD"), (T1417*X1417)*U1417,
T1417*X1417)))</f>
        <v>0</v>
      </c>
      <c r="AB1417" s="36">
        <f>IF(AND(AD1417="EUR", F1417="Without EV deal", AE1417="USD"), (T1417*Y1417)*U1417,
IF(AND(AD1417="EUR", F1417="Without EV deal", AE1417="EUR"), (T1417*Y1417),
IF(AND(AD1417="EUR",AE1417="USD"), (T1417*Y1417)*U1417,
T1417*Y1417)))</f>
        <v>0</v>
      </c>
      <c r="AC1417" s="37" t="b">
        <v>1</v>
      </c>
      <c r="AD1417" s="82" t="str">
        <f>IF(OR(H1417="€0.25 Flash",
H1417="€0.25(nitro) new",
H1417="€1",
H1417="€2",
H1417="€2 (bf 01.08)",
H1417="€5",
H1417="€5 (1M)",
H1417="€5 (bf 01.08)",
H1417="€5 (bf 05.05)",
H1417="€5 Nitro",
H1417="€5(wx) new",
H1417="€10",
H1417="€10 (1M)",
H1417="€10 (bf 01.08)",
H1417="€10 (bf 05.05)",
H1417="€10 (MP)",
H1417="€10 (old)",
H1417="€10 Nitro (bf 05.05)",
H1417="€10 Nitro (old)",
H1417="€10(wx) new",
H1417="€20",
H1417="€25",
H1417="€25 (bf 01.08)",
H1417="€25 (bf 05.05)",
H1417="€25 (MP)",
H1417="€25 (old)",
H1417="€25 Nitro",
H1417="€25 Nitro (bf 01.08)",
H1417="€25 Nitro (bf 05.05)",
H1417="€25(nitro) new",
H1417="€25(wx) new",
H1417="€50",
H1417="€50 (bf 01.08)",
H1417="€50 (bf 05.05)",
H1417="€50 (old)",
H1417="€50 Nitro",
H1417="€50 Nitro (bf 01.08)",
H1417="€50 Nitro (bf 05.05)",
H1417="€50(wx) new",
H1417="€100",
H1417="€100 (old)",
H1417="€100 Nitro",
H1417="€100 Nitro (old)",
H1417="€200",
H1417="€250",
H1417="€250 Nitro",
H1417="€500",
H1417="€500 Nitro"),"EUR", "USD")</f>
        <v>USD</v>
      </c>
      <c r="AE1417" s="83" t="s">
        <v>38</v>
      </c>
      <c r="AF1417" s="83" t="str">
        <f t="array" ref="AF1417">INDEX('Deal Info'!D:D, MATCH(A1417,'Deal Info'!A:A, 0))</f>
        <v>Fix11.25</v>
      </c>
      <c r="AG1417" s="83" t="str">
        <f t="array" ref="AG1417">INDEX('Deal Info'!G:G, MATCH(A1417,'Deal Info'!A:A, 0))</f>
        <v>Fix3.75</v>
      </c>
    </row>
    <row r="1418" spans="1:33" ht="14.25" hidden="1" x14ac:dyDescent="0.2">
      <c r="A1418" s="18" t="str">
        <f t="array" ref="A1418">IF(G1418='Room Info'!$B$1, INDEX('Room Info'!$A$2:$A2446, MATCH(B1418,'Room Info'!$B$2:$B2446, 0)),IF(G1418='Room Info'!$C$1, INDEX('Room Info'!$A$2:$A2446, MATCH(B1418,'Room Info'!$C$2:$C2446, 0)),IF(G1418='Room Info'!$D$1, INDEX('Room Info'!$A$2:$A2446, MATCH(B1418,'Room Info'!$D$2:$D2446, 0)),IF(G1418='Room Info'!$E$1, INDEX('Room Info'!$A$2:$A2446, MATCH(B1418,'Room Info'!$E$2:$E2446, 0)),IF(G1418='Room Info'!$F$1, INDEX('Room Info'!$A$2:$A2446, MATCH(B1418,'Room Info'!$F$2:$F2446, 0)),IF(G1418='Room Info'!$H$1, INDEX('Room Info'!$A$2:$A2446, MATCH(B1418,'Room Info'!$H$2:$H2446, 0)),IF(G1418='Room Info'!$G$1, INDEX('Room Info'!$A$2:$A2446, MATCH(B1418,'Room Info'!$G$2:$G2446, 0)))))))))</f>
        <v>fig6</v>
      </c>
      <c r="B1418" s="18" t="s">
        <v>172</v>
      </c>
      <c r="C1418" s="19">
        <v>44947</v>
      </c>
      <c r="D1418" s="20">
        <v>44977</v>
      </c>
      <c r="E1418" s="21">
        <v>44958</v>
      </c>
      <c r="F1418" s="22" t="s">
        <v>41</v>
      </c>
      <c r="G1418" s="18" t="s">
        <v>35</v>
      </c>
      <c r="H1418" s="23" t="s">
        <v>211</v>
      </c>
      <c r="I1418" s="23" t="s">
        <v>174</v>
      </c>
      <c r="J1418" s="39">
        <v>200</v>
      </c>
      <c r="K1418" s="88">
        <v>44</v>
      </c>
      <c r="L1418" s="89">
        <v>246</v>
      </c>
      <c r="M1418" s="27"/>
      <c r="N1418" s="28">
        <f>K1418*J1418</f>
        <v>8800</v>
      </c>
      <c r="O1418" s="18"/>
      <c r="P1418" s="29">
        <v>0</v>
      </c>
      <c r="Q1418" s="30"/>
      <c r="R1418" s="31">
        <f>M1418+Q1418</f>
        <v>0</v>
      </c>
      <c r="S1418" s="28"/>
      <c r="T1418" s="32">
        <f>IF(AND(AD1418="EUR", F1418="Without EV deal"), R1418 + L1418,
IF(AND(AD1418="USD", F1418="Without EV deal"), R1418 + L1418,
IF(AND(AD1418="EUR", F1418="Steel Phoenix"), R1418 + S1418/U1418,
R1418 + S1418)))</f>
        <v>246</v>
      </c>
      <c r="U1418" s="33">
        <v>1.0669999999999999</v>
      </c>
      <c r="V1418" s="34"/>
      <c r="W1418" s="34"/>
      <c r="X1418" s="30">
        <f>IF(AF1418="DoEV",IF(AND(V1418&lt;20,W1418&lt;55),0.3,0)+IF(AND(V1418&lt;20,W1418&gt;=55,W1418&lt;105),0.23,0)+IF(AND(V1418&lt;20,W1418&gt;=105),0.17,0)+IF(AND(V1418&gt;=20,V1418&lt;40,W1418&lt;45),0.3,0)+IF(AND(V1418&gt;=20,V1418&lt;40,W1418&gt;=45,W1418&lt;95),0.23,0)+IF(AND(V1418&gt;=20,V1418&lt;40,W1418&gt;=95),0.17,0)+IF(AND(V1418&gt;=40,V1418&lt;75,W1418&lt;35),0.3,0)+IF(AND(V1418&gt;=40,V1418&lt;75,W1418&gt;=35,W1418&lt;75),0.23,0)+IF(AND(V1418&gt;=40,V1418&lt;75,W1418&gt;=75,W1418&lt;120),0.17,0)+IF(AND(V1418&gt;=40,V1418&lt;75,W1418&gt;=120),0.12,0)+IF(AND(V1418&gt;=75,V1418&lt;175,W1418&lt;35),0.3,0)+IF(AND(V1418&gt;=75,V1418&lt;=175,W1418&gt;=35,W1418&lt;65),0.23,0)+IF(AND(V1418&gt;=75,V1418&lt;=175,W1418&gt;=65,W1418&lt;110),0.17,0)+IF(AND(V1418&gt;=75,V1418&lt;=175,W1418&gt;=110),0.12,0)+IF(AND(V1418&gt;175,W1418&lt;25),0.3,0)+IF(AND(V1418&gt;175,W1418&gt;=25,W1418&lt;55),0.23,0)+IF(AND(V1418&gt;175,W1418&gt;=55,W1418&lt;95),0.17,0)+IF(AND(V1418&gt;175,W1418&gt;=95),0.12,0),
IF(AF1418="Fix15",0.15,
IF(AF1418="Fix5",0.05,
IF(AF1418="Fix18.75",0.1875,
IF(AF1418="Fix11.25",0.1125,
IF(AF1418="Fix10",0.1,
IF(AF1418="Fix9",0.09,
IF(AF1418="Fix12",0.12,
IF(AF1418="Fix19",0.19,
IF(AF1418="DoEV2017",IF(AND(W1418&lt;74),0.2,0)+IF(AND(W1418&gt;=74),0.17,0),
IF(AF1418="SF",IF(AND(V1418&lt;20,W1418&lt;89),0.3,0)+IF(AND(V1418&lt;20,W1418&gt;=89),0.25,0)+IF(AND(V1418&gt;=20,V1418&lt;40,W1418&lt;74),0.3,0)+IF(AND(V1418&gt;=20,V1418&lt;40,W1418&gt;=75),0.22,0)+IF(AND(V1418&gt;=40,V1418&lt;75,W1418&lt;75),0.26,0)+IF(AND(V1418&gt;=40,V1418&lt;75,W1418&gt;=75),0.22,0)+IF(V1418&gt;=75,0.22,0),
IF(AF1418="DoEVold",IF(AND(V1418&lt;40,W1418&lt;35),0.35,0)+IF(AND(V1418&lt;40,W1418&gt;=35,W1418&lt;75),0.25,0)+IF(AND(V1418&lt;40,W1418&gt;=75),0.17,0)+IF(AND(V1418&gt;=40,V1418&lt;75,W1418&lt;25),0.35,0)+IF(AND(V1418&gt;=40,V1418&lt;75,W1418&gt;=25,W1418&lt;65),0.25,0)+IF(AND(V1418&gt;=40,V1418&lt;75,W1418&gt;=65,W1418&lt;100),0.17,0)+IF(AND(V1418&gt;=40,V1418&lt;75,W1418&gt;=100),0.1,0)+IF(AND(V1418&gt;=75,W1418&lt;25),0.35,0)+IF(AND(V1418&gt;=75,W1418&gt;=25,W1418&lt;60),0.25,0)+IF(AND(V1418&gt;=75,W1418&gt;=60,W1418&lt;95),0.17,0)+IF(AND(V1418&gt;=75,W1418&gt;=95),0.1,0),
IF(AF1418="DoEVold15",IF(AND(V1418&lt;=40,W1418&lt;35),0.35,0)+IF(AND(V1418&lt;=40,W1418&gt;=35,W1418&lt;75),0.25,0)+IF(AND(V1418&lt;=40,W1418&gt;=75,W1418&lt;120),0.17,0)+IF(AND(V1418&lt;=40,W1418&gt;=120),0.15,0)+IF(AND(V1418&gt;40,V1418&lt;75,W1418&lt;25),0.35,0)+IF(AND(V1418&gt;=40,V1418&lt;75,W1418&gt;=25,W1418&lt;65),0.25,0)+IF(AND(V1418&gt;=40,V1418&lt;75,W1418&gt;=65,W1418&lt;100),0.17,0)+IF(AND(V1418&gt;=40,V1418&lt;75,W1418&gt;=100),0.1,0)+IF(AND(V1418&gt;=75,W1418&lt;25),0.35,0)+IF(AND(V1418&gt;=75,W1418&gt;=25,W1418&lt;60),0.25,0)+IF(AND(V1418&gt;=75,W1418&gt;=60,W1418&lt;95),0.17,0)+IF(AND(V1418&gt;=75,W1418&gt;=95),0.1,0),
IF(AF1418="DoEVba",IF(AND(V1418&lt;20,W1418&lt;105),0.2,0)+IF(AND(V1418&lt;20,W1418&gt;=105),0.15,0)+IF(AND(V1418&gt;=20,V1418&lt;40,W1418&lt;95),0.2,0)+IF(AND(V1418&gt;=20,V1418&lt;40,W1418&gt;=95,W1418&lt;150),0.15,0)+IF(AND(V1418&gt;=20,V1418&lt;40,W1418&gt;=150),0.12,0)+IF(AND(V1418&gt;=40,V1418&lt;75,W1418&lt;75),0.2,0)+IF(AND(V1418&gt;=40,V1418&lt;75,W1418&gt;=75,W1418&lt;120),0.15,0)+IF(AND(V1418&gt;=40,V1418&lt;75,W1418&gt;=120),0.12,0)+IF(AND(V1418&gt;=75,V1418&lt;175,W1418&lt;65),0.2,0)+IF(AND(V1418&gt;=75,V1418&lt;175,W1418&gt;=65,W1418&lt;110),0.15,0)+IF(AND(V1418&gt;=75,V1418&lt;175,W1418&gt;=110),0.12,0)+IF(AND(V1418&gt;=175,W1418&lt;55),0.2,0)+IF(AND(V1418&gt;=175,W1418&gt;=55,W1418&lt;95),0.15,0)+IF(AND(V1418&gt;=175,W1418&gt;=95),0.12,0),
IF(AF1418="DoEVku",IF(AND(V1418&lt;20,W1418&lt;55),0.23,0)+IF(AND(V1418&lt;20,W1418&gt;=55,W1418&lt;105),0.2,0)+IF(AND(V1418&lt;20,W1418&gt;=105),0.17,0)+IF(AND(V1418&gt;=20,V1418&lt;40,W1418&lt;45),0.23,0)+IF(AND(V1418&gt;=20,V1418&lt;40,W1418&gt;=45,W1418&lt;95),0.2,0)+IF(AND(V1418&gt;=20,V1418&lt;40,W1418&gt;=95,W1418&lt;=150),0.17,0)+IF(AND(V1418&gt;=20,V1418&lt;40,W1418&gt;=150),0.12,0)+IF(AND(V1418&gt;=40,V1418&lt;75,W1418&lt;35),0.23,0)+IF(AND(V1418&gt;=40,V1418&lt;75,W1418&gt;=35,W1418&lt;75),0.2,0)+IF(AND(V1418&gt;=40,V1418&lt;75,W1418&gt;=75,W1418&lt;120),0.17,0)+IF(AND(V1418&gt;=40,V1418&lt;75,W1418&gt;=120),0.12,0)+IF(AND(V1418&gt;=75,V1418&lt;175,W1418&lt;35),0.23,0)+IF(AND(V1418&gt;=75,V1418&lt;=175,W1418&gt;=35,W1418&lt;65),0.2,0)+IF(AND(V1418&gt;=75,V1418&lt;=175,W1418&gt;=65,W1418&lt;110),0.17,0)+IF(AND(V1418&gt;=75,V1418&lt;=175,W1418&gt;=110),0.12,0)+IF(AND(V1418&gt;175,W1418&lt;25),0.23,0)+IF(AND(V1418&gt;175,W1418&gt;=25,W1418&lt;55),0.2,0)+IF(AND(V1418&gt;175,W1418&gt;=55,W1418&lt;95),0.17,0)+IF(AND(V1418&gt;175,W1418&gt;=95),0.12,0),
IF(AF1418="DoEVs1",IF(AND(V1418&lt;20,W1418&lt;55),0.3,0)+IF(AND(V1418&lt;20,W1418&gt;=55,W1418&lt;105),0.23,0)+IF(AND(V1418&lt;20,W1418&gt;=105),0.17,0)+IF(AND(V1418&gt;=20,V1418&lt;40,W1418&lt;45),0.3,0)+IF(AND(V1418&gt;=20,V1418&lt;40,W1418&gt;=45,W1418&lt;95),0.23,0)+IF(AND(V1418&gt;=20,V1418&lt;40,W1418&gt;=95,W1418&lt;=150),0.17,0)+IF(AND(V1418&gt;=20,V1418&lt;40,W1418&gt;=150),0.12,0)+IF(AND(V1418&gt;=40,V1418&lt;75,W1418&lt;35),0.3,0)+IF(AND(V1418&gt;=40,V1418&lt;75,W1418&gt;=35,W1418&lt;75),0.23,0)+IF(AND(V1418&gt;=40,V1418&lt;75,W1418&gt;=75,W1418&lt;120),0.17,0)+IF(AND(V1418&gt;=40,V1418&lt;75,W1418&gt;=120),0.12,0)+IF(AND(V1418&gt;=75,V1418&lt;175,W1418&lt;35),0.3,0)+IF(AND(V1418&gt;=75,V1418&lt;=175,W1418&gt;=35,W1418&lt;65),0.23,0)+IF(AND(V1418&gt;=75,V1418&lt;=175,W1418&gt;=65,W1418&lt;110),0.17,0)+IF(AND(V1418&gt;=75,V1418&lt;=175,W1418&gt;=110),0.12,0)+IF(AND(V1418&gt;175,W1418&lt;25),0.3,0)+IF(AND(V1418&gt;175,W1418&gt;=25,W1418&lt;55),0.23,0)+IF(AND(V1418&gt;175,W1418&gt;=55,W1418&lt;95),0.17,0)+IF(AND(V1418&gt;175,W1418&gt;=95),0.12,0),
IF(AF1418="DoEVsu",IF(AND(V1418&lt;20,W1418&lt;55),0.3,0)+IF(AND(V1418&lt;20,W1418&gt;=55,W1418&lt;105),0.23,0)+IF(AND(V1418&lt;20,W1418&gt;=105),0.17,0)+IF(AND(V1418&gt;=20,V1418&lt;40,W1418&lt;45),0.3,0)+IF(AND(V1418&gt;=20,V1418&lt;40,W1418&gt;=45,W1418&lt;95),0.23,0)+IF(AND(V1418&gt;=20,V1418&lt;40,W1418&gt;=95,W1418&lt;=250),0.17,0)+IF(AND(V1418&gt;=20,V1418&lt;40,W1418&gt;=250),0.12,0)+IF(AND(V1418&gt;=40,V1418&lt;75,W1418&lt;35),0.3,0)+IF(AND(V1418&gt;=40,V1418&lt;75,W1418&gt;=35,W1418&lt;75),0.23,0)+IF(AND(V1418&gt;=40,V1418&lt;75,W1418&gt;=75,W1418&lt;120),0.17,0)+IF(AND(V1418&gt;=40,V1418&lt;75,W1418&gt;=120),0.12,0)+IF(AND(V1418&gt;=75,V1418&lt;175,W1418&lt;35),0.3,0)+IF(AND(V1418&gt;=75,V1418&lt;=175,W1418&gt;=35,W1418&lt;65),0.23,0)+IF(AND(V1418&gt;=75,V1418&lt;=175,W1418&gt;=65,W1418&lt;110),0.17,0)+IF(AND(V1418&gt;=75,V1418&lt;=175,W1418&gt;=110),0.12,0)+IF(AND(V1418&gt;175,W1418&lt;25),0.3,0)+IF(AND(V1418&gt;175,W1418&gt;=25,W1418&lt;55),0.23,0)+IF(AND(V1418&gt;175,W1418&gt;=55,W1418&lt;95),0.17,0)+IF(AND(V1418&gt;175,W1418&gt;=95),0.12,0),
IF(AF1418="DoEVni",IF(AND(V1418&lt;20,W1418&lt;55),0.3,0)+IF(AND(V1418&lt;20,W1418&gt;=55,W1418&lt;105),0.23,0)+IF(AND(V1418&lt;20,W1418&gt;=105),0.17,0)+IF(AND(V1418&gt;=20,V1418&lt;40,W1418&lt;45),0.3,0)+IF(AND(V1418&gt;=20,V1418&lt;40,W1418&gt;=45,W1418&lt;95),0.23,0)+IF(AND(V1418&gt;=20,V1418&lt;40,W1418&gt;=95,W1418&lt;=200),0.17,0)+IF(AND(V1418&gt;=20,V1418&lt;40,W1418&gt;=200),0.12,0)+IF(AND(V1418&gt;=40,V1418&lt;75,W1418&lt;35),0.3,0)+IF(AND(V1418&gt;=40,V1418&lt;75,W1418&gt;=35,W1418&lt;75),0.23,0)+IF(AND(V1418&gt;=40,V1418&lt;75,W1418&gt;=75,W1418&lt;120),0.17,0)+IF(AND(V1418&gt;=40,V1418&lt;75,W1418&gt;=120),0.12,0)+IF(AND(V1418&gt;=75,V1418&lt;175,W1418&lt;35),0.3,0)+IF(AND(V1418&gt;=75,V1418&lt;=175,W1418&gt;=35,W1418&lt;65),0.23,0)+IF(AND(V1418&gt;=75,V1418&lt;=175,W1418&gt;=65,W1418&lt;110),0.17,0)+IF(AND(V1418&gt;=75,V1418&lt;=175,W1418&gt;=110),0.12,0)+IF(AND(V1418&gt;175,W1418&lt;25),0.3,0)+IF(AND(V1418&gt;175,W1418&gt;=25,W1418&lt;55),0.23,0)+IF(AND(V1418&gt;175,W1418&gt;=55,W1418&lt;95),0.17,0)+IF(AND(V1418&gt;175,W1418&gt;=95),0.12,0),
IF(AF1418="DoEVLo",IF(AND(V1418&lt;20,W1418&lt;55),0.25,0)+IF(AND(V1418&lt;20,W1418&gt;=55,W1418&lt;105),0.2,0)+IF(AND(V1418&lt;20,W1418&gt;=105),0.15,0)+IF(AND(V1418&gt;=20,V1418&lt;40,W1418&lt;45),0.25,0)+IF(AND(V1418&gt;=20,V1418&lt;40,W1418&gt;=45,W1418&lt;95),0.2,0)+IF(AND(V1418&gt;=20,V1418&lt;40,W1418&gt;=95),0.15,0)+IF(AND(V1418&gt;=40,V1418&lt;75,W1418&lt;35),0.25,0)+IF(AND(V1418&gt;=40,V1418&lt;75,W1418&gt;=35,W1418&lt;75),0.2,0)+IF(AND(V1418&gt;=40,V1418&lt;75,W1418&gt;=75,W1418&lt;120),0.15,0)+IF(AND(V1418&gt;=40,V1418&lt;75,W1418&gt;=120),0.1,0)+IF(AND(V1418&gt;=75,V1418&lt;175,W1418&lt;35),0.25,0)+IF(AND(V1418&gt;=75,V1418&lt;=175,W1418&gt;=35,W1418&lt;65),0.2,0)+IF(AND(V1418&gt;=75,V1418&lt;=175,W1418&gt;=65,W1418&lt;110),0.15,0)+IF(AND(V1418&gt;=75,V1418&lt;=175,W1418&gt;=110),0.1,0)+IF(AND(V1418&gt;175,W1418&lt;25),0.25,0)+IF(AND(V1418&gt;175,W1418&gt;=25,W1418&lt;55),0.2,0)+IF(AND(V1418&gt;175,W1418&gt;=55,W1418&lt;95),0.15,0)+IF(AND(V1418&gt;175,W1418&gt;=95),0.1,0))))))))))))))))))))</f>
        <v>0.1125</v>
      </c>
      <c r="Y1418" s="30">
        <f>IF(AG1418="None",0,IF(AG1418="Fix5",0.05, IF(AG1418="Fix6.25",0.0625,IF(AG1418="Fix3.75",0.0375, IF(AG1418="Fix11",0.11, IF(AG1418="Fix10",0.1,IF(AG1418="Fix3",0.03,0)))))))</f>
        <v>3.7499999999999999E-2</v>
      </c>
      <c r="Z1418" s="35">
        <f>IF(AND(AD1418="EUR", AE1418 = "USD"), T1418*U1418-AA1418-AB1418, T1418-AA1418-AB1418)</f>
        <v>209.1</v>
      </c>
      <c r="AA1418" s="29">
        <f>IF(AND(AD1418="EUR", F1418="Without EV deal", AE1418="USD"), (T1418*X1418)*U1418,
IF(AND(AD1418="EUR", F1418="Without EV deal", AE1418="EUR"), (T1418*X1418),
IF(AND(AD1418="EUR",AE1418="USD"), (T1418*X1418)*U1418,
T1418*X1418)))</f>
        <v>27.675000000000001</v>
      </c>
      <c r="AB1418" s="36">
        <f>IF(AND(AD1418="EUR", F1418="Without EV deal", AE1418="USD"), (T1418*Y1418)*U1418,
IF(AND(AD1418="EUR", F1418="Without EV deal", AE1418="EUR"), (T1418*Y1418),
IF(AND(AD1418="EUR",AE1418="USD"), (T1418*Y1418)*U1418,
T1418*Y1418)))</f>
        <v>9.2249999999999996</v>
      </c>
      <c r="AC1418" s="37" t="b">
        <v>1</v>
      </c>
      <c r="AD1418" s="82" t="str">
        <f>IF(OR(H1418="€0.25 Flash",
H1418="€0.25(nitro) new",
H1418="€1",
H1418="€2",
H1418="€2 (bf 01.08)",
H1418="€5",
H1418="€5 (1M)",
H1418="€5 (bf 01.08)",
H1418="€5 (bf 05.05)",
H1418="€5 Nitro",
H1418="€5(wx) new",
H1418="€10",
H1418="€10 (1M)",
H1418="€10 (bf 01.08)",
H1418="€10 (bf 05.05)",
H1418="€10 (MP)",
H1418="€10 (old)",
H1418="€10 Nitro (bf 05.05)",
H1418="€10 Nitro (old)",
H1418="€10(wx) new",
H1418="€20",
H1418="€25",
H1418="€25 (bf 01.08)",
H1418="€25 (bf 05.05)",
H1418="€25 (MP)",
H1418="€25 (old)",
H1418="€25 Nitro",
H1418="€25 Nitro (bf 01.08)",
H1418="€25 Nitro (bf 05.05)",
H1418="€25(nitro) new",
H1418="€25(wx) new",
H1418="€50",
H1418="€50 (bf 01.08)",
H1418="€50 (bf 05.05)",
H1418="€50 (old)",
H1418="€50 Nitro",
H1418="€50 Nitro (bf 01.08)",
H1418="€50 Nitro (bf 05.05)",
H1418="€50(wx) new",
H1418="€100",
H1418="€100 (old)",
H1418="€100 Nitro",
H1418="€100 Nitro (old)",
H1418="€200",
H1418="€250",
H1418="€250 Nitro",
H1418="€500",
H1418="€500 Nitro"),"EUR", "USD")</f>
        <v>USD</v>
      </c>
      <c r="AE1418" s="83" t="s">
        <v>38</v>
      </c>
      <c r="AF1418" s="83" t="str">
        <f t="array" ref="AF1418">INDEX('Deal Info'!D:D, MATCH(A1418,'Deal Info'!A:A, 0))</f>
        <v>Fix11.25</v>
      </c>
      <c r="AG1418" s="83" t="str">
        <f t="array" ref="AG1418">INDEX('Deal Info'!G:G, MATCH(A1418,'Deal Info'!A:A, 0))</f>
        <v>Fix3.75</v>
      </c>
    </row>
    <row r="1419" spans="1:33" ht="14.25" hidden="1" x14ac:dyDescent="0.2">
      <c r="A1419" s="18" t="str">
        <f t="array" ref="A1419">IF(G1419='Room Info'!$B$1, INDEX('Room Info'!$A$2:$A2446, MATCH(B1419,'Room Info'!$B$2:$B2446, 0)),IF(G1419='Room Info'!$C$1, INDEX('Room Info'!$A$2:$A2446, MATCH(B1419,'Room Info'!$C$2:$C2446, 0)),IF(G1419='Room Info'!$D$1, INDEX('Room Info'!$A$2:$A2446, MATCH(B1419,'Room Info'!$D$2:$D2446, 0)),IF(G1419='Room Info'!$E$1, INDEX('Room Info'!$A$2:$A2446, MATCH(B1419,'Room Info'!$E$2:$E2446, 0)),IF(G1419='Room Info'!$F$1, INDEX('Room Info'!$A$2:$A2446, MATCH(B1419,'Room Info'!$F$2:$F2446, 0)),IF(G1419='Room Info'!$H$1, INDEX('Room Info'!$A$2:$A2446, MATCH(B1419,'Room Info'!$H$2:$H2446, 0)),IF(G1419='Room Info'!$G$1, INDEX('Room Info'!$A$2:$A2446, MATCH(B1419,'Room Info'!$G$2:$G2446, 0)))))))))</f>
        <v>fig6</v>
      </c>
      <c r="B1419" s="18" t="s">
        <v>172</v>
      </c>
      <c r="C1419" s="19">
        <v>44947</v>
      </c>
      <c r="D1419" s="20">
        <v>44977</v>
      </c>
      <c r="E1419" s="21">
        <v>44958</v>
      </c>
      <c r="F1419" s="40" t="s">
        <v>34</v>
      </c>
      <c r="G1419" s="18" t="s">
        <v>35</v>
      </c>
      <c r="H1419" s="23" t="s">
        <v>88</v>
      </c>
      <c r="I1419" s="23" t="s">
        <v>37</v>
      </c>
      <c r="J1419" s="39">
        <v>250</v>
      </c>
      <c r="K1419" s="88">
        <v>2248</v>
      </c>
      <c r="L1419" s="89">
        <v>3750</v>
      </c>
      <c r="M1419" s="27"/>
      <c r="N1419" s="28">
        <f>K1419*J1419</f>
        <v>562000</v>
      </c>
      <c r="O1419" s="85">
        <v>62940</v>
      </c>
      <c r="P1419" s="29">
        <v>27.99822064</v>
      </c>
      <c r="Q1419" s="30"/>
      <c r="R1419" s="31">
        <f>M1419+Q1419</f>
        <v>0</v>
      </c>
      <c r="S1419" s="28"/>
      <c r="T1419" s="32">
        <f>IF(AND(AD1419="EUR", F1419="Without EV deal"), R1419 + L1419,
IF(AND(AD1419="USD", F1419="Without EV deal"), R1419 + L1419,
IF(AND(AD1419="EUR", F1419="Steel Phoenix"), R1419 + S1419/U1419,
R1419 + S1419)))</f>
        <v>0</v>
      </c>
      <c r="U1419" s="33">
        <v>1.0669999999999999</v>
      </c>
      <c r="V1419" s="34"/>
      <c r="W1419" s="34"/>
      <c r="X1419" s="30">
        <f>IF(AF1419="DoEV",IF(AND(V1419&lt;20,W1419&lt;55),0.3,0)+IF(AND(V1419&lt;20,W1419&gt;=55,W1419&lt;105),0.23,0)+IF(AND(V1419&lt;20,W1419&gt;=105),0.17,0)+IF(AND(V1419&gt;=20,V1419&lt;40,W1419&lt;45),0.3,0)+IF(AND(V1419&gt;=20,V1419&lt;40,W1419&gt;=45,W1419&lt;95),0.23,0)+IF(AND(V1419&gt;=20,V1419&lt;40,W1419&gt;=95),0.17,0)+IF(AND(V1419&gt;=40,V1419&lt;75,W1419&lt;35),0.3,0)+IF(AND(V1419&gt;=40,V1419&lt;75,W1419&gt;=35,W1419&lt;75),0.23,0)+IF(AND(V1419&gt;=40,V1419&lt;75,W1419&gt;=75,W1419&lt;120),0.17,0)+IF(AND(V1419&gt;=40,V1419&lt;75,W1419&gt;=120),0.12,0)+IF(AND(V1419&gt;=75,V1419&lt;175,W1419&lt;35),0.3,0)+IF(AND(V1419&gt;=75,V1419&lt;=175,W1419&gt;=35,W1419&lt;65),0.23,0)+IF(AND(V1419&gt;=75,V1419&lt;=175,W1419&gt;=65,W1419&lt;110),0.17,0)+IF(AND(V1419&gt;=75,V1419&lt;=175,W1419&gt;=110),0.12,0)+IF(AND(V1419&gt;175,W1419&lt;25),0.3,0)+IF(AND(V1419&gt;175,W1419&gt;=25,W1419&lt;55),0.23,0)+IF(AND(V1419&gt;175,W1419&gt;=55,W1419&lt;95),0.17,0)+IF(AND(V1419&gt;175,W1419&gt;=95),0.12,0),
IF(AF1419="Fix15",0.15,
IF(AF1419="Fix5",0.05,
IF(AF1419="Fix18.75",0.1875,
IF(AF1419="Fix11.25",0.1125,
IF(AF1419="Fix10",0.1,
IF(AF1419="Fix9",0.09,
IF(AF1419="Fix12",0.12,
IF(AF1419="Fix19",0.19,
IF(AF1419="DoEV2017",IF(AND(W1419&lt;74),0.2,0)+IF(AND(W1419&gt;=74),0.17,0),
IF(AF1419="SF",IF(AND(V1419&lt;20,W1419&lt;89),0.3,0)+IF(AND(V1419&lt;20,W1419&gt;=89),0.25,0)+IF(AND(V1419&gt;=20,V1419&lt;40,W1419&lt;74),0.3,0)+IF(AND(V1419&gt;=20,V1419&lt;40,W1419&gt;=75),0.22,0)+IF(AND(V1419&gt;=40,V1419&lt;75,W1419&lt;75),0.26,0)+IF(AND(V1419&gt;=40,V1419&lt;75,W1419&gt;=75),0.22,0)+IF(V1419&gt;=75,0.22,0),
IF(AF1419="DoEVold",IF(AND(V1419&lt;40,W1419&lt;35),0.35,0)+IF(AND(V1419&lt;40,W1419&gt;=35,W1419&lt;75),0.25,0)+IF(AND(V1419&lt;40,W1419&gt;=75),0.17,0)+IF(AND(V1419&gt;=40,V1419&lt;75,W1419&lt;25),0.35,0)+IF(AND(V1419&gt;=40,V1419&lt;75,W1419&gt;=25,W1419&lt;65),0.25,0)+IF(AND(V1419&gt;=40,V1419&lt;75,W1419&gt;=65,W1419&lt;100),0.17,0)+IF(AND(V1419&gt;=40,V1419&lt;75,W1419&gt;=100),0.1,0)+IF(AND(V1419&gt;=75,W1419&lt;25),0.35,0)+IF(AND(V1419&gt;=75,W1419&gt;=25,W1419&lt;60),0.25,0)+IF(AND(V1419&gt;=75,W1419&gt;=60,W1419&lt;95),0.17,0)+IF(AND(V1419&gt;=75,W1419&gt;=95),0.1,0),
IF(AF1419="DoEVold15",IF(AND(V1419&lt;=40,W1419&lt;35),0.35,0)+IF(AND(V1419&lt;=40,W1419&gt;=35,W1419&lt;75),0.25,0)+IF(AND(V1419&lt;=40,W1419&gt;=75,W1419&lt;120),0.17,0)+IF(AND(V1419&lt;=40,W1419&gt;=120),0.15,0)+IF(AND(V1419&gt;40,V1419&lt;75,W1419&lt;25),0.35,0)+IF(AND(V1419&gt;=40,V1419&lt;75,W1419&gt;=25,W1419&lt;65),0.25,0)+IF(AND(V1419&gt;=40,V1419&lt;75,W1419&gt;=65,W1419&lt;100),0.17,0)+IF(AND(V1419&gt;=40,V1419&lt;75,W1419&gt;=100),0.1,0)+IF(AND(V1419&gt;=75,W1419&lt;25),0.35,0)+IF(AND(V1419&gt;=75,W1419&gt;=25,W1419&lt;60),0.25,0)+IF(AND(V1419&gt;=75,W1419&gt;=60,W1419&lt;95),0.17,0)+IF(AND(V1419&gt;=75,W1419&gt;=95),0.1,0),
IF(AF1419="DoEVba",IF(AND(V1419&lt;20,W1419&lt;105),0.2,0)+IF(AND(V1419&lt;20,W1419&gt;=105),0.15,0)+IF(AND(V1419&gt;=20,V1419&lt;40,W1419&lt;95),0.2,0)+IF(AND(V1419&gt;=20,V1419&lt;40,W1419&gt;=95,W1419&lt;150),0.15,0)+IF(AND(V1419&gt;=20,V1419&lt;40,W1419&gt;=150),0.12,0)+IF(AND(V1419&gt;=40,V1419&lt;75,W1419&lt;75),0.2,0)+IF(AND(V1419&gt;=40,V1419&lt;75,W1419&gt;=75,W1419&lt;120),0.15,0)+IF(AND(V1419&gt;=40,V1419&lt;75,W1419&gt;=120),0.12,0)+IF(AND(V1419&gt;=75,V1419&lt;175,W1419&lt;65),0.2,0)+IF(AND(V1419&gt;=75,V1419&lt;175,W1419&gt;=65,W1419&lt;110),0.15,0)+IF(AND(V1419&gt;=75,V1419&lt;175,W1419&gt;=110),0.12,0)+IF(AND(V1419&gt;=175,W1419&lt;55),0.2,0)+IF(AND(V1419&gt;=175,W1419&gt;=55,W1419&lt;95),0.15,0)+IF(AND(V1419&gt;=175,W1419&gt;=95),0.12,0),
IF(AF1419="DoEVku",IF(AND(V1419&lt;20,W1419&lt;55),0.23,0)+IF(AND(V1419&lt;20,W1419&gt;=55,W1419&lt;105),0.2,0)+IF(AND(V1419&lt;20,W1419&gt;=105),0.17,0)+IF(AND(V1419&gt;=20,V1419&lt;40,W1419&lt;45),0.23,0)+IF(AND(V1419&gt;=20,V1419&lt;40,W1419&gt;=45,W1419&lt;95),0.2,0)+IF(AND(V1419&gt;=20,V1419&lt;40,W1419&gt;=95,W1419&lt;=150),0.17,0)+IF(AND(V1419&gt;=20,V1419&lt;40,W1419&gt;=150),0.12,0)+IF(AND(V1419&gt;=40,V1419&lt;75,W1419&lt;35),0.23,0)+IF(AND(V1419&gt;=40,V1419&lt;75,W1419&gt;=35,W1419&lt;75),0.2,0)+IF(AND(V1419&gt;=40,V1419&lt;75,W1419&gt;=75,W1419&lt;120),0.17,0)+IF(AND(V1419&gt;=40,V1419&lt;75,W1419&gt;=120),0.12,0)+IF(AND(V1419&gt;=75,V1419&lt;175,W1419&lt;35),0.23,0)+IF(AND(V1419&gt;=75,V1419&lt;=175,W1419&gt;=35,W1419&lt;65),0.2,0)+IF(AND(V1419&gt;=75,V1419&lt;=175,W1419&gt;=65,W1419&lt;110),0.17,0)+IF(AND(V1419&gt;=75,V1419&lt;=175,W1419&gt;=110),0.12,0)+IF(AND(V1419&gt;175,W1419&lt;25),0.23,0)+IF(AND(V1419&gt;175,W1419&gt;=25,W1419&lt;55),0.2,0)+IF(AND(V1419&gt;175,W1419&gt;=55,W1419&lt;95),0.17,0)+IF(AND(V1419&gt;175,W1419&gt;=95),0.12,0),
IF(AF1419="DoEVs1",IF(AND(V1419&lt;20,W1419&lt;55),0.3,0)+IF(AND(V1419&lt;20,W1419&gt;=55,W1419&lt;105),0.23,0)+IF(AND(V1419&lt;20,W1419&gt;=105),0.17,0)+IF(AND(V1419&gt;=20,V1419&lt;40,W1419&lt;45),0.3,0)+IF(AND(V1419&gt;=20,V1419&lt;40,W1419&gt;=45,W1419&lt;95),0.23,0)+IF(AND(V1419&gt;=20,V1419&lt;40,W1419&gt;=95,W1419&lt;=150),0.17,0)+IF(AND(V1419&gt;=20,V1419&lt;40,W1419&gt;=150),0.12,0)+IF(AND(V1419&gt;=40,V1419&lt;75,W1419&lt;35),0.3,0)+IF(AND(V1419&gt;=40,V1419&lt;75,W1419&gt;=35,W1419&lt;75),0.23,0)+IF(AND(V1419&gt;=40,V1419&lt;75,W1419&gt;=75,W1419&lt;120),0.17,0)+IF(AND(V1419&gt;=40,V1419&lt;75,W1419&gt;=120),0.12,0)+IF(AND(V1419&gt;=75,V1419&lt;175,W1419&lt;35),0.3,0)+IF(AND(V1419&gt;=75,V1419&lt;=175,W1419&gt;=35,W1419&lt;65),0.23,0)+IF(AND(V1419&gt;=75,V1419&lt;=175,W1419&gt;=65,W1419&lt;110),0.17,0)+IF(AND(V1419&gt;=75,V1419&lt;=175,W1419&gt;=110),0.12,0)+IF(AND(V1419&gt;175,W1419&lt;25),0.3,0)+IF(AND(V1419&gt;175,W1419&gt;=25,W1419&lt;55),0.23,0)+IF(AND(V1419&gt;175,W1419&gt;=55,W1419&lt;95),0.17,0)+IF(AND(V1419&gt;175,W1419&gt;=95),0.12,0),
IF(AF1419="DoEVsu",IF(AND(V1419&lt;20,W1419&lt;55),0.3,0)+IF(AND(V1419&lt;20,W1419&gt;=55,W1419&lt;105),0.23,0)+IF(AND(V1419&lt;20,W1419&gt;=105),0.17,0)+IF(AND(V1419&gt;=20,V1419&lt;40,W1419&lt;45),0.3,0)+IF(AND(V1419&gt;=20,V1419&lt;40,W1419&gt;=45,W1419&lt;95),0.23,0)+IF(AND(V1419&gt;=20,V1419&lt;40,W1419&gt;=95,W1419&lt;=250),0.17,0)+IF(AND(V1419&gt;=20,V1419&lt;40,W1419&gt;=250),0.12,0)+IF(AND(V1419&gt;=40,V1419&lt;75,W1419&lt;35),0.3,0)+IF(AND(V1419&gt;=40,V1419&lt;75,W1419&gt;=35,W1419&lt;75),0.23,0)+IF(AND(V1419&gt;=40,V1419&lt;75,W1419&gt;=75,W1419&lt;120),0.17,0)+IF(AND(V1419&gt;=40,V1419&lt;75,W1419&gt;=120),0.12,0)+IF(AND(V1419&gt;=75,V1419&lt;175,W1419&lt;35),0.3,0)+IF(AND(V1419&gt;=75,V1419&lt;=175,W1419&gt;=35,W1419&lt;65),0.23,0)+IF(AND(V1419&gt;=75,V1419&lt;=175,W1419&gt;=65,W1419&lt;110),0.17,0)+IF(AND(V1419&gt;=75,V1419&lt;=175,W1419&gt;=110),0.12,0)+IF(AND(V1419&gt;175,W1419&lt;25),0.3,0)+IF(AND(V1419&gt;175,W1419&gt;=25,W1419&lt;55),0.23,0)+IF(AND(V1419&gt;175,W1419&gt;=55,W1419&lt;95),0.17,0)+IF(AND(V1419&gt;175,W1419&gt;=95),0.12,0),
IF(AF1419="DoEVni",IF(AND(V1419&lt;20,W1419&lt;55),0.3,0)+IF(AND(V1419&lt;20,W1419&gt;=55,W1419&lt;105),0.23,0)+IF(AND(V1419&lt;20,W1419&gt;=105),0.17,0)+IF(AND(V1419&gt;=20,V1419&lt;40,W1419&lt;45),0.3,0)+IF(AND(V1419&gt;=20,V1419&lt;40,W1419&gt;=45,W1419&lt;95),0.23,0)+IF(AND(V1419&gt;=20,V1419&lt;40,W1419&gt;=95,W1419&lt;=200),0.17,0)+IF(AND(V1419&gt;=20,V1419&lt;40,W1419&gt;=200),0.12,0)+IF(AND(V1419&gt;=40,V1419&lt;75,W1419&lt;35),0.3,0)+IF(AND(V1419&gt;=40,V1419&lt;75,W1419&gt;=35,W1419&lt;75),0.23,0)+IF(AND(V1419&gt;=40,V1419&lt;75,W1419&gt;=75,W1419&lt;120),0.17,0)+IF(AND(V1419&gt;=40,V1419&lt;75,W1419&gt;=120),0.12,0)+IF(AND(V1419&gt;=75,V1419&lt;175,W1419&lt;35),0.3,0)+IF(AND(V1419&gt;=75,V1419&lt;=175,W1419&gt;=35,W1419&lt;65),0.23,0)+IF(AND(V1419&gt;=75,V1419&lt;=175,W1419&gt;=65,W1419&lt;110),0.17,0)+IF(AND(V1419&gt;=75,V1419&lt;=175,W1419&gt;=110),0.12,0)+IF(AND(V1419&gt;175,W1419&lt;25),0.3,0)+IF(AND(V1419&gt;175,W1419&gt;=25,W1419&lt;55),0.23,0)+IF(AND(V1419&gt;175,W1419&gt;=55,W1419&lt;95),0.17,0)+IF(AND(V1419&gt;175,W1419&gt;=95),0.12,0),
IF(AF1419="DoEVLo",IF(AND(V1419&lt;20,W1419&lt;55),0.25,0)+IF(AND(V1419&lt;20,W1419&gt;=55,W1419&lt;105),0.2,0)+IF(AND(V1419&lt;20,W1419&gt;=105),0.15,0)+IF(AND(V1419&gt;=20,V1419&lt;40,W1419&lt;45),0.25,0)+IF(AND(V1419&gt;=20,V1419&lt;40,W1419&gt;=45,W1419&lt;95),0.2,0)+IF(AND(V1419&gt;=20,V1419&lt;40,W1419&gt;=95),0.15,0)+IF(AND(V1419&gt;=40,V1419&lt;75,W1419&lt;35),0.25,0)+IF(AND(V1419&gt;=40,V1419&lt;75,W1419&gt;=35,W1419&lt;75),0.2,0)+IF(AND(V1419&gt;=40,V1419&lt;75,W1419&gt;=75,W1419&lt;120),0.15,0)+IF(AND(V1419&gt;=40,V1419&lt;75,W1419&gt;=120),0.1,0)+IF(AND(V1419&gt;=75,V1419&lt;175,W1419&lt;35),0.25,0)+IF(AND(V1419&gt;=75,V1419&lt;=175,W1419&gt;=35,W1419&lt;65),0.2,0)+IF(AND(V1419&gt;=75,V1419&lt;=175,W1419&gt;=65,W1419&lt;110),0.15,0)+IF(AND(V1419&gt;=75,V1419&lt;=175,W1419&gt;=110),0.1,0)+IF(AND(V1419&gt;175,W1419&lt;25),0.25,0)+IF(AND(V1419&gt;175,W1419&gt;=25,W1419&lt;55),0.2,0)+IF(AND(V1419&gt;175,W1419&gt;=55,W1419&lt;95),0.15,0)+IF(AND(V1419&gt;175,W1419&gt;=95),0.1,0))))))))))))))))))))</f>
        <v>0.1125</v>
      </c>
      <c r="Y1419" s="30">
        <f>IF(AG1419="None",0,IF(AG1419="Fix5",0.05, IF(AG1419="Fix6.25",0.0625,IF(AG1419="Fix3.75",0.0375, IF(AG1419="Fix11",0.11, IF(AG1419="Fix10",0.1,IF(AG1419="Fix3",0.03,0)))))))</f>
        <v>3.7499999999999999E-2</v>
      </c>
      <c r="Z1419" s="35">
        <f>IF(AND(AD1419="EUR", AE1419 = "USD"), T1419*U1419-AA1419-AB1419, T1419-AA1419-AB1419)</f>
        <v>0</v>
      </c>
      <c r="AA1419" s="29">
        <f>IF(AND(AD1419="EUR", F1419="Without EV deal", AE1419="USD"), (T1419*X1419)*U1419,
IF(AND(AD1419="EUR", F1419="Without EV deal", AE1419="EUR"), (T1419*X1419),
IF(AND(AD1419="EUR",AE1419="USD"), (T1419*X1419)*U1419,
T1419*X1419)))</f>
        <v>0</v>
      </c>
      <c r="AB1419" s="36">
        <f>IF(AND(AD1419="EUR", F1419="Without EV deal", AE1419="USD"), (T1419*Y1419)*U1419,
IF(AND(AD1419="EUR", F1419="Without EV deal", AE1419="EUR"), (T1419*Y1419),
IF(AND(AD1419="EUR",AE1419="USD"), (T1419*Y1419)*U1419,
T1419*Y1419)))</f>
        <v>0</v>
      </c>
      <c r="AC1419" s="37" t="b">
        <v>1</v>
      </c>
      <c r="AD1419" s="82" t="str">
        <f>IF(OR(H1419="€0.25 Flash",
H1419="€0.25(nitro) new",
H1419="€1",
H1419="€2",
H1419="€2 (bf 01.08)",
H1419="€5",
H1419="€5 (1M)",
H1419="€5 (bf 01.08)",
H1419="€5 (bf 05.05)",
H1419="€5 Nitro",
H1419="€5(wx) new",
H1419="€10",
H1419="€10 (1M)",
H1419="€10 (bf 01.08)",
H1419="€10 (bf 05.05)",
H1419="€10 (MP)",
H1419="€10 (old)",
H1419="€10 Nitro (bf 05.05)",
H1419="€10 Nitro (old)",
H1419="€10(wx) new",
H1419="€20",
H1419="€25",
H1419="€25 (bf 01.08)",
H1419="€25 (bf 05.05)",
H1419="€25 (MP)",
H1419="€25 (old)",
H1419="€25 Nitro",
H1419="€25 Nitro (bf 01.08)",
H1419="€25 Nitro (bf 05.05)",
H1419="€25(nitro) new",
H1419="€25(wx) new",
H1419="€50",
H1419="€50 (bf 01.08)",
H1419="€50 (bf 05.05)",
H1419="€50 (old)",
H1419="€50 Nitro",
H1419="€50 Nitro (bf 01.08)",
H1419="€50 Nitro (bf 05.05)",
H1419="€50(wx) new",
H1419="€100",
H1419="€100 (old)",
H1419="€100 Nitro",
H1419="€100 Nitro (old)",
H1419="€200",
H1419="€250",
H1419="€250 Nitro",
H1419="€500",
H1419="€500 Nitro"),"EUR", "USD")</f>
        <v>USD</v>
      </c>
      <c r="AE1419" s="83" t="s">
        <v>38</v>
      </c>
      <c r="AF1419" s="83" t="str">
        <f t="array" ref="AF1419">INDEX('Deal Info'!D:D, MATCH(A1419,'Deal Info'!A:A, 0))</f>
        <v>Fix11.25</v>
      </c>
      <c r="AG1419" s="83" t="str">
        <f t="array" ref="AG1419">INDEX('Deal Info'!G:G, MATCH(A1419,'Deal Info'!A:A, 0))</f>
        <v>Fix3.75</v>
      </c>
    </row>
    <row r="1420" spans="1:33" ht="14.25" hidden="1" x14ac:dyDescent="0.2">
      <c r="A1420" s="18" t="str">
        <f t="array" ref="A1420">IF(G1420='Room Info'!$B$1, INDEX('Room Info'!$A$2:$A2446, MATCH(B1420,'Room Info'!$B$2:$B2446, 0)),IF(G1420='Room Info'!$C$1, INDEX('Room Info'!$A$2:$A2446, MATCH(B1420,'Room Info'!$C$2:$C2446, 0)),IF(G1420='Room Info'!$D$1, INDEX('Room Info'!$A$2:$A2446, MATCH(B1420,'Room Info'!$D$2:$D2446, 0)),IF(G1420='Room Info'!$E$1, INDEX('Room Info'!$A$2:$A2446, MATCH(B1420,'Room Info'!$E$2:$E2446, 0)),IF(G1420='Room Info'!$F$1, INDEX('Room Info'!$A$2:$A2446, MATCH(B1420,'Room Info'!$F$2:$F2446, 0)),IF(G1420='Room Info'!$H$1, INDEX('Room Info'!$A$2:$A2446, MATCH(B1420,'Room Info'!$H$2:$H2446, 0)),IF(G1420='Room Info'!$G$1, INDEX('Room Info'!$A$2:$A2446, MATCH(B1420,'Room Info'!$G$2:$G2446, 0)))))))))</f>
        <v>fig6</v>
      </c>
      <c r="B1420" s="18" t="s">
        <v>172</v>
      </c>
      <c r="C1420" s="19">
        <v>44947</v>
      </c>
      <c r="D1420" s="20">
        <v>44977</v>
      </c>
      <c r="E1420" s="21">
        <v>44958</v>
      </c>
      <c r="F1420" s="40" t="s">
        <v>34</v>
      </c>
      <c r="G1420" s="18" t="s">
        <v>35</v>
      </c>
      <c r="H1420" s="23" t="s">
        <v>148</v>
      </c>
      <c r="I1420" s="23" t="s">
        <v>44</v>
      </c>
      <c r="J1420" s="39">
        <v>250</v>
      </c>
      <c r="K1420" s="88">
        <v>1165</v>
      </c>
      <c r="L1420" s="89">
        <v>4250</v>
      </c>
      <c r="M1420" s="27"/>
      <c r="N1420" s="28">
        <f>K1420*J1420</f>
        <v>291250</v>
      </c>
      <c r="O1420" s="85">
        <v>14751</v>
      </c>
      <c r="P1420" s="29">
        <v>12.66180258</v>
      </c>
      <c r="Q1420" s="30"/>
      <c r="R1420" s="31">
        <f>M1420+Q1420</f>
        <v>0</v>
      </c>
      <c r="S1420" s="28"/>
      <c r="T1420" s="32">
        <f>IF(AND(AD1420="EUR", F1420="Without EV deal"), R1420 + L1420,
IF(AND(AD1420="USD", F1420="Without EV deal"), R1420 + L1420,
IF(AND(AD1420="EUR", F1420="Steel Phoenix"), R1420 + S1420/U1420,
R1420 + S1420)))</f>
        <v>0</v>
      </c>
      <c r="U1420" s="33">
        <v>1.0669999999999999</v>
      </c>
      <c r="V1420" s="34"/>
      <c r="W1420" s="34"/>
      <c r="X1420" s="30">
        <f>IF(AF1420="DoEV",IF(AND(V1420&lt;20,W1420&lt;55),0.3,0)+IF(AND(V1420&lt;20,W1420&gt;=55,W1420&lt;105),0.23,0)+IF(AND(V1420&lt;20,W1420&gt;=105),0.17,0)+IF(AND(V1420&gt;=20,V1420&lt;40,W1420&lt;45),0.3,0)+IF(AND(V1420&gt;=20,V1420&lt;40,W1420&gt;=45,W1420&lt;95),0.23,0)+IF(AND(V1420&gt;=20,V1420&lt;40,W1420&gt;=95),0.17,0)+IF(AND(V1420&gt;=40,V1420&lt;75,W1420&lt;35),0.3,0)+IF(AND(V1420&gt;=40,V1420&lt;75,W1420&gt;=35,W1420&lt;75),0.23,0)+IF(AND(V1420&gt;=40,V1420&lt;75,W1420&gt;=75,W1420&lt;120),0.17,0)+IF(AND(V1420&gt;=40,V1420&lt;75,W1420&gt;=120),0.12,0)+IF(AND(V1420&gt;=75,V1420&lt;175,W1420&lt;35),0.3,0)+IF(AND(V1420&gt;=75,V1420&lt;=175,W1420&gt;=35,W1420&lt;65),0.23,0)+IF(AND(V1420&gt;=75,V1420&lt;=175,W1420&gt;=65,W1420&lt;110),0.17,0)+IF(AND(V1420&gt;=75,V1420&lt;=175,W1420&gt;=110),0.12,0)+IF(AND(V1420&gt;175,W1420&lt;25),0.3,0)+IF(AND(V1420&gt;175,W1420&gt;=25,W1420&lt;55),0.23,0)+IF(AND(V1420&gt;175,W1420&gt;=55,W1420&lt;95),0.17,0)+IF(AND(V1420&gt;175,W1420&gt;=95),0.12,0),
IF(AF1420="Fix15",0.15,
IF(AF1420="Fix5",0.05,
IF(AF1420="Fix18.75",0.1875,
IF(AF1420="Fix11.25",0.1125,
IF(AF1420="Fix10",0.1,
IF(AF1420="Fix9",0.09,
IF(AF1420="Fix12",0.12,
IF(AF1420="Fix19",0.19,
IF(AF1420="DoEV2017",IF(AND(W1420&lt;74),0.2,0)+IF(AND(W1420&gt;=74),0.17,0),
IF(AF1420="SF",IF(AND(V1420&lt;20,W1420&lt;89),0.3,0)+IF(AND(V1420&lt;20,W1420&gt;=89),0.25,0)+IF(AND(V1420&gt;=20,V1420&lt;40,W1420&lt;74),0.3,0)+IF(AND(V1420&gt;=20,V1420&lt;40,W1420&gt;=75),0.22,0)+IF(AND(V1420&gt;=40,V1420&lt;75,W1420&lt;75),0.26,0)+IF(AND(V1420&gt;=40,V1420&lt;75,W1420&gt;=75),0.22,0)+IF(V1420&gt;=75,0.22,0),
IF(AF1420="DoEVold",IF(AND(V1420&lt;40,W1420&lt;35),0.35,0)+IF(AND(V1420&lt;40,W1420&gt;=35,W1420&lt;75),0.25,0)+IF(AND(V1420&lt;40,W1420&gt;=75),0.17,0)+IF(AND(V1420&gt;=40,V1420&lt;75,W1420&lt;25),0.35,0)+IF(AND(V1420&gt;=40,V1420&lt;75,W1420&gt;=25,W1420&lt;65),0.25,0)+IF(AND(V1420&gt;=40,V1420&lt;75,W1420&gt;=65,W1420&lt;100),0.17,0)+IF(AND(V1420&gt;=40,V1420&lt;75,W1420&gt;=100),0.1,0)+IF(AND(V1420&gt;=75,W1420&lt;25),0.35,0)+IF(AND(V1420&gt;=75,W1420&gt;=25,W1420&lt;60),0.25,0)+IF(AND(V1420&gt;=75,W1420&gt;=60,W1420&lt;95),0.17,0)+IF(AND(V1420&gt;=75,W1420&gt;=95),0.1,0),
IF(AF1420="DoEVold15",IF(AND(V1420&lt;=40,W1420&lt;35),0.35,0)+IF(AND(V1420&lt;=40,W1420&gt;=35,W1420&lt;75),0.25,0)+IF(AND(V1420&lt;=40,W1420&gt;=75,W1420&lt;120),0.17,0)+IF(AND(V1420&lt;=40,W1420&gt;=120),0.15,0)+IF(AND(V1420&gt;40,V1420&lt;75,W1420&lt;25),0.35,0)+IF(AND(V1420&gt;=40,V1420&lt;75,W1420&gt;=25,W1420&lt;65),0.25,0)+IF(AND(V1420&gt;=40,V1420&lt;75,W1420&gt;=65,W1420&lt;100),0.17,0)+IF(AND(V1420&gt;=40,V1420&lt;75,W1420&gt;=100),0.1,0)+IF(AND(V1420&gt;=75,W1420&lt;25),0.35,0)+IF(AND(V1420&gt;=75,W1420&gt;=25,W1420&lt;60),0.25,0)+IF(AND(V1420&gt;=75,W1420&gt;=60,W1420&lt;95),0.17,0)+IF(AND(V1420&gt;=75,W1420&gt;=95),0.1,0),
IF(AF1420="DoEVba",IF(AND(V1420&lt;20,W1420&lt;105),0.2,0)+IF(AND(V1420&lt;20,W1420&gt;=105),0.15,0)+IF(AND(V1420&gt;=20,V1420&lt;40,W1420&lt;95),0.2,0)+IF(AND(V1420&gt;=20,V1420&lt;40,W1420&gt;=95,W1420&lt;150),0.15,0)+IF(AND(V1420&gt;=20,V1420&lt;40,W1420&gt;=150),0.12,0)+IF(AND(V1420&gt;=40,V1420&lt;75,W1420&lt;75),0.2,0)+IF(AND(V1420&gt;=40,V1420&lt;75,W1420&gt;=75,W1420&lt;120),0.15,0)+IF(AND(V1420&gt;=40,V1420&lt;75,W1420&gt;=120),0.12,0)+IF(AND(V1420&gt;=75,V1420&lt;175,W1420&lt;65),0.2,0)+IF(AND(V1420&gt;=75,V1420&lt;175,W1420&gt;=65,W1420&lt;110),0.15,0)+IF(AND(V1420&gt;=75,V1420&lt;175,W1420&gt;=110),0.12,0)+IF(AND(V1420&gt;=175,W1420&lt;55),0.2,0)+IF(AND(V1420&gt;=175,W1420&gt;=55,W1420&lt;95),0.15,0)+IF(AND(V1420&gt;=175,W1420&gt;=95),0.12,0),
IF(AF1420="DoEVku",IF(AND(V1420&lt;20,W1420&lt;55),0.23,0)+IF(AND(V1420&lt;20,W1420&gt;=55,W1420&lt;105),0.2,0)+IF(AND(V1420&lt;20,W1420&gt;=105),0.17,0)+IF(AND(V1420&gt;=20,V1420&lt;40,W1420&lt;45),0.23,0)+IF(AND(V1420&gt;=20,V1420&lt;40,W1420&gt;=45,W1420&lt;95),0.2,0)+IF(AND(V1420&gt;=20,V1420&lt;40,W1420&gt;=95,W1420&lt;=150),0.17,0)+IF(AND(V1420&gt;=20,V1420&lt;40,W1420&gt;=150),0.12,0)+IF(AND(V1420&gt;=40,V1420&lt;75,W1420&lt;35),0.23,0)+IF(AND(V1420&gt;=40,V1420&lt;75,W1420&gt;=35,W1420&lt;75),0.2,0)+IF(AND(V1420&gt;=40,V1420&lt;75,W1420&gt;=75,W1420&lt;120),0.17,0)+IF(AND(V1420&gt;=40,V1420&lt;75,W1420&gt;=120),0.12,0)+IF(AND(V1420&gt;=75,V1420&lt;175,W1420&lt;35),0.23,0)+IF(AND(V1420&gt;=75,V1420&lt;=175,W1420&gt;=35,W1420&lt;65),0.2,0)+IF(AND(V1420&gt;=75,V1420&lt;=175,W1420&gt;=65,W1420&lt;110),0.17,0)+IF(AND(V1420&gt;=75,V1420&lt;=175,W1420&gt;=110),0.12,0)+IF(AND(V1420&gt;175,W1420&lt;25),0.23,0)+IF(AND(V1420&gt;175,W1420&gt;=25,W1420&lt;55),0.2,0)+IF(AND(V1420&gt;175,W1420&gt;=55,W1420&lt;95),0.17,0)+IF(AND(V1420&gt;175,W1420&gt;=95),0.12,0),
IF(AF1420="DoEVs1",IF(AND(V1420&lt;20,W1420&lt;55),0.3,0)+IF(AND(V1420&lt;20,W1420&gt;=55,W1420&lt;105),0.23,0)+IF(AND(V1420&lt;20,W1420&gt;=105),0.17,0)+IF(AND(V1420&gt;=20,V1420&lt;40,W1420&lt;45),0.3,0)+IF(AND(V1420&gt;=20,V1420&lt;40,W1420&gt;=45,W1420&lt;95),0.23,0)+IF(AND(V1420&gt;=20,V1420&lt;40,W1420&gt;=95,W1420&lt;=150),0.17,0)+IF(AND(V1420&gt;=20,V1420&lt;40,W1420&gt;=150),0.12,0)+IF(AND(V1420&gt;=40,V1420&lt;75,W1420&lt;35),0.3,0)+IF(AND(V1420&gt;=40,V1420&lt;75,W1420&gt;=35,W1420&lt;75),0.23,0)+IF(AND(V1420&gt;=40,V1420&lt;75,W1420&gt;=75,W1420&lt;120),0.17,0)+IF(AND(V1420&gt;=40,V1420&lt;75,W1420&gt;=120),0.12,0)+IF(AND(V1420&gt;=75,V1420&lt;175,W1420&lt;35),0.3,0)+IF(AND(V1420&gt;=75,V1420&lt;=175,W1420&gt;=35,W1420&lt;65),0.23,0)+IF(AND(V1420&gt;=75,V1420&lt;=175,W1420&gt;=65,W1420&lt;110),0.17,0)+IF(AND(V1420&gt;=75,V1420&lt;=175,W1420&gt;=110),0.12,0)+IF(AND(V1420&gt;175,W1420&lt;25),0.3,0)+IF(AND(V1420&gt;175,W1420&gt;=25,W1420&lt;55),0.23,0)+IF(AND(V1420&gt;175,W1420&gt;=55,W1420&lt;95),0.17,0)+IF(AND(V1420&gt;175,W1420&gt;=95),0.12,0),
IF(AF1420="DoEVsu",IF(AND(V1420&lt;20,W1420&lt;55),0.3,0)+IF(AND(V1420&lt;20,W1420&gt;=55,W1420&lt;105),0.23,0)+IF(AND(V1420&lt;20,W1420&gt;=105),0.17,0)+IF(AND(V1420&gt;=20,V1420&lt;40,W1420&lt;45),0.3,0)+IF(AND(V1420&gt;=20,V1420&lt;40,W1420&gt;=45,W1420&lt;95),0.23,0)+IF(AND(V1420&gt;=20,V1420&lt;40,W1420&gt;=95,W1420&lt;=250),0.17,0)+IF(AND(V1420&gt;=20,V1420&lt;40,W1420&gt;=250),0.12,0)+IF(AND(V1420&gt;=40,V1420&lt;75,W1420&lt;35),0.3,0)+IF(AND(V1420&gt;=40,V1420&lt;75,W1420&gt;=35,W1420&lt;75),0.23,0)+IF(AND(V1420&gt;=40,V1420&lt;75,W1420&gt;=75,W1420&lt;120),0.17,0)+IF(AND(V1420&gt;=40,V1420&lt;75,W1420&gt;=120),0.12,0)+IF(AND(V1420&gt;=75,V1420&lt;175,W1420&lt;35),0.3,0)+IF(AND(V1420&gt;=75,V1420&lt;=175,W1420&gt;=35,W1420&lt;65),0.23,0)+IF(AND(V1420&gt;=75,V1420&lt;=175,W1420&gt;=65,W1420&lt;110),0.17,0)+IF(AND(V1420&gt;=75,V1420&lt;=175,W1420&gt;=110),0.12,0)+IF(AND(V1420&gt;175,W1420&lt;25),0.3,0)+IF(AND(V1420&gt;175,W1420&gt;=25,W1420&lt;55),0.23,0)+IF(AND(V1420&gt;175,W1420&gt;=55,W1420&lt;95),0.17,0)+IF(AND(V1420&gt;175,W1420&gt;=95),0.12,0),
IF(AF1420="DoEVni",IF(AND(V1420&lt;20,W1420&lt;55),0.3,0)+IF(AND(V1420&lt;20,W1420&gt;=55,W1420&lt;105),0.23,0)+IF(AND(V1420&lt;20,W1420&gt;=105),0.17,0)+IF(AND(V1420&gt;=20,V1420&lt;40,W1420&lt;45),0.3,0)+IF(AND(V1420&gt;=20,V1420&lt;40,W1420&gt;=45,W1420&lt;95),0.23,0)+IF(AND(V1420&gt;=20,V1420&lt;40,W1420&gt;=95,W1420&lt;=200),0.17,0)+IF(AND(V1420&gt;=20,V1420&lt;40,W1420&gt;=200),0.12,0)+IF(AND(V1420&gt;=40,V1420&lt;75,W1420&lt;35),0.3,0)+IF(AND(V1420&gt;=40,V1420&lt;75,W1420&gt;=35,W1420&lt;75),0.23,0)+IF(AND(V1420&gt;=40,V1420&lt;75,W1420&gt;=75,W1420&lt;120),0.17,0)+IF(AND(V1420&gt;=40,V1420&lt;75,W1420&gt;=120),0.12,0)+IF(AND(V1420&gt;=75,V1420&lt;175,W1420&lt;35),0.3,0)+IF(AND(V1420&gt;=75,V1420&lt;=175,W1420&gt;=35,W1420&lt;65),0.23,0)+IF(AND(V1420&gt;=75,V1420&lt;=175,W1420&gt;=65,W1420&lt;110),0.17,0)+IF(AND(V1420&gt;=75,V1420&lt;=175,W1420&gt;=110),0.12,0)+IF(AND(V1420&gt;175,W1420&lt;25),0.3,0)+IF(AND(V1420&gt;175,W1420&gt;=25,W1420&lt;55),0.23,0)+IF(AND(V1420&gt;175,W1420&gt;=55,W1420&lt;95),0.17,0)+IF(AND(V1420&gt;175,W1420&gt;=95),0.12,0),
IF(AF1420="DoEVLo",IF(AND(V1420&lt;20,W1420&lt;55),0.25,0)+IF(AND(V1420&lt;20,W1420&gt;=55,W1420&lt;105),0.2,0)+IF(AND(V1420&lt;20,W1420&gt;=105),0.15,0)+IF(AND(V1420&gt;=20,V1420&lt;40,W1420&lt;45),0.25,0)+IF(AND(V1420&gt;=20,V1420&lt;40,W1420&gt;=45,W1420&lt;95),0.2,0)+IF(AND(V1420&gt;=20,V1420&lt;40,W1420&gt;=95),0.15,0)+IF(AND(V1420&gt;=40,V1420&lt;75,W1420&lt;35),0.25,0)+IF(AND(V1420&gt;=40,V1420&lt;75,W1420&gt;=35,W1420&lt;75),0.2,0)+IF(AND(V1420&gt;=40,V1420&lt;75,W1420&gt;=75,W1420&lt;120),0.15,0)+IF(AND(V1420&gt;=40,V1420&lt;75,W1420&gt;=120),0.1,0)+IF(AND(V1420&gt;=75,V1420&lt;175,W1420&lt;35),0.25,0)+IF(AND(V1420&gt;=75,V1420&lt;=175,W1420&gt;=35,W1420&lt;65),0.2,0)+IF(AND(V1420&gt;=75,V1420&lt;=175,W1420&gt;=65,W1420&lt;110),0.15,0)+IF(AND(V1420&gt;=75,V1420&lt;=175,W1420&gt;=110),0.1,0)+IF(AND(V1420&gt;175,W1420&lt;25),0.25,0)+IF(AND(V1420&gt;175,W1420&gt;=25,W1420&lt;55),0.2,0)+IF(AND(V1420&gt;175,W1420&gt;=55,W1420&lt;95),0.15,0)+IF(AND(V1420&gt;175,W1420&gt;=95),0.1,0))))))))))))))))))))</f>
        <v>0.1125</v>
      </c>
      <c r="Y1420" s="30">
        <f>IF(AG1420="None",0,IF(AG1420="Fix5",0.05, IF(AG1420="Fix6.25",0.0625,IF(AG1420="Fix3.75",0.0375, IF(AG1420="Fix11",0.11, IF(AG1420="Fix10",0.1,IF(AG1420="Fix3",0.03,0)))))))</f>
        <v>3.7499999999999999E-2</v>
      </c>
      <c r="Z1420" s="35">
        <f>IF(AND(AD1420="EUR", AE1420 = "USD"), T1420*U1420-AA1420-AB1420, T1420-AA1420-AB1420)</f>
        <v>0</v>
      </c>
      <c r="AA1420" s="29">
        <f>IF(AND(AD1420="EUR", F1420="Without EV deal", AE1420="USD"), (T1420*X1420)*U1420,
IF(AND(AD1420="EUR", F1420="Without EV deal", AE1420="EUR"), (T1420*X1420),
IF(AND(AD1420="EUR",AE1420="USD"), (T1420*X1420)*U1420,
T1420*X1420)))</f>
        <v>0</v>
      </c>
      <c r="AB1420" s="36">
        <f>IF(AND(AD1420="EUR", F1420="Without EV deal", AE1420="USD"), (T1420*Y1420)*U1420,
IF(AND(AD1420="EUR", F1420="Without EV deal", AE1420="EUR"), (T1420*Y1420),
IF(AND(AD1420="EUR",AE1420="USD"), (T1420*Y1420)*U1420,
T1420*Y1420)))</f>
        <v>0</v>
      </c>
      <c r="AC1420" s="37" t="b">
        <v>1</v>
      </c>
      <c r="AD1420" s="82" t="str">
        <f>IF(OR(H1420="€0.25 Flash",
H1420="€0.25(nitro) new",
H1420="€1",
H1420="€2",
H1420="€2 (bf 01.08)",
H1420="€5",
H1420="€5 (1M)",
H1420="€5 (bf 01.08)",
H1420="€5 (bf 05.05)",
H1420="€5 Nitro",
H1420="€5(wx) new",
H1420="€10",
H1420="€10 (1M)",
H1420="€10 (bf 01.08)",
H1420="€10 (bf 05.05)",
H1420="€10 (MP)",
H1420="€10 (old)",
H1420="€10 Nitro (bf 05.05)",
H1420="€10 Nitro (old)",
H1420="€10(wx) new",
H1420="€20",
H1420="€25",
H1420="€25 (bf 01.08)",
H1420="€25 (bf 05.05)",
H1420="€25 (MP)",
H1420="€25 (old)",
H1420="€25 Nitro",
H1420="€25 Nitro (bf 01.08)",
H1420="€25 Nitro (bf 05.05)",
H1420="€25(nitro) new",
H1420="€25(wx) new",
H1420="€50",
H1420="€50 (bf 01.08)",
H1420="€50 (bf 05.05)",
H1420="€50 (old)",
H1420="€50 Nitro",
H1420="€50 Nitro (bf 01.08)",
H1420="€50 Nitro (bf 05.05)",
H1420="€50(wx) new",
H1420="€100",
H1420="€100 (old)",
H1420="€100 Nitro",
H1420="€100 Nitro (old)",
H1420="€200",
H1420="€250",
H1420="€250 Nitro",
H1420="€500",
H1420="€500 Nitro"),"EUR", "USD")</f>
        <v>USD</v>
      </c>
      <c r="AE1420" s="83" t="s">
        <v>38</v>
      </c>
      <c r="AF1420" s="83" t="str">
        <f t="array" ref="AF1420">INDEX('Deal Info'!D:D, MATCH(A1420,'Deal Info'!A:A, 0))</f>
        <v>Fix11.25</v>
      </c>
      <c r="AG1420" s="83" t="str">
        <f t="array" ref="AG1420">INDEX('Deal Info'!G:G, MATCH(A1420,'Deal Info'!A:A, 0))</f>
        <v>Fix3.75</v>
      </c>
    </row>
    <row r="1421" spans="1:33" ht="14.25" hidden="1" x14ac:dyDescent="0.2">
      <c r="A1421" s="18" t="str">
        <f t="array" ref="A1421">IF(G1421='Room Info'!$B$1, INDEX('Room Info'!$A$2:$A2446, MATCH(B1421,'Room Info'!$B$2:$B2446, 0)),IF(G1421='Room Info'!$C$1, INDEX('Room Info'!$A$2:$A2446, MATCH(B1421,'Room Info'!$C$2:$C2446, 0)),IF(G1421='Room Info'!$D$1, INDEX('Room Info'!$A$2:$A2446, MATCH(B1421,'Room Info'!$D$2:$D2446, 0)),IF(G1421='Room Info'!$E$1, INDEX('Room Info'!$A$2:$A2446, MATCH(B1421,'Room Info'!$E$2:$E2446, 0)),IF(G1421='Room Info'!$F$1, INDEX('Room Info'!$A$2:$A2446, MATCH(B1421,'Room Info'!$F$2:$F2446, 0)),IF(G1421='Room Info'!$H$1, INDEX('Room Info'!$A$2:$A2446, MATCH(B1421,'Room Info'!$H$2:$H2446, 0)),IF(G1421='Room Info'!$G$1, INDEX('Room Info'!$A$2:$A2446, MATCH(B1421,'Room Info'!$G$2:$G2446, 0)))))))))</f>
        <v>fig6</v>
      </c>
      <c r="B1421" s="18" t="s">
        <v>172</v>
      </c>
      <c r="C1421" s="19">
        <v>44947</v>
      </c>
      <c r="D1421" s="20">
        <v>44977</v>
      </c>
      <c r="E1421" s="21">
        <v>44958</v>
      </c>
      <c r="F1421" s="22" t="s">
        <v>41</v>
      </c>
      <c r="G1421" s="18" t="s">
        <v>35</v>
      </c>
      <c r="H1421" s="23" t="s">
        <v>212</v>
      </c>
      <c r="I1421" s="23" t="s">
        <v>174</v>
      </c>
      <c r="J1421" s="39">
        <v>300</v>
      </c>
      <c r="K1421" s="88">
        <v>2</v>
      </c>
      <c r="L1421" s="89">
        <v>-600</v>
      </c>
      <c r="M1421" s="27"/>
      <c r="N1421" s="28">
        <f>K1421*J1421</f>
        <v>600</v>
      </c>
      <c r="O1421" s="18"/>
      <c r="P1421" s="29">
        <v>0</v>
      </c>
      <c r="Q1421" s="30"/>
      <c r="R1421" s="31">
        <f>M1421+Q1421</f>
        <v>0</v>
      </c>
      <c r="S1421" s="28"/>
      <c r="T1421" s="32">
        <f>IF(AND(AD1421="EUR", F1421="Without EV deal"), R1421 + L1421,
IF(AND(AD1421="USD", F1421="Without EV deal"), R1421 + L1421,
IF(AND(AD1421="EUR", F1421="Steel Phoenix"), R1421 + S1421/U1421,
R1421 + S1421)))</f>
        <v>-600</v>
      </c>
      <c r="U1421" s="33">
        <v>1.0669999999999999</v>
      </c>
      <c r="V1421" s="34"/>
      <c r="W1421" s="34"/>
      <c r="X1421" s="30">
        <f>IF(AF1421="DoEV",IF(AND(V1421&lt;20,W1421&lt;55),0.3,0)+IF(AND(V1421&lt;20,W1421&gt;=55,W1421&lt;105),0.23,0)+IF(AND(V1421&lt;20,W1421&gt;=105),0.17,0)+IF(AND(V1421&gt;=20,V1421&lt;40,W1421&lt;45),0.3,0)+IF(AND(V1421&gt;=20,V1421&lt;40,W1421&gt;=45,W1421&lt;95),0.23,0)+IF(AND(V1421&gt;=20,V1421&lt;40,W1421&gt;=95),0.17,0)+IF(AND(V1421&gt;=40,V1421&lt;75,W1421&lt;35),0.3,0)+IF(AND(V1421&gt;=40,V1421&lt;75,W1421&gt;=35,W1421&lt;75),0.23,0)+IF(AND(V1421&gt;=40,V1421&lt;75,W1421&gt;=75,W1421&lt;120),0.17,0)+IF(AND(V1421&gt;=40,V1421&lt;75,W1421&gt;=120),0.12,0)+IF(AND(V1421&gt;=75,V1421&lt;175,W1421&lt;35),0.3,0)+IF(AND(V1421&gt;=75,V1421&lt;=175,W1421&gt;=35,W1421&lt;65),0.23,0)+IF(AND(V1421&gt;=75,V1421&lt;=175,W1421&gt;=65,W1421&lt;110),0.17,0)+IF(AND(V1421&gt;=75,V1421&lt;=175,W1421&gt;=110),0.12,0)+IF(AND(V1421&gt;175,W1421&lt;25),0.3,0)+IF(AND(V1421&gt;175,W1421&gt;=25,W1421&lt;55),0.23,0)+IF(AND(V1421&gt;175,W1421&gt;=55,W1421&lt;95),0.17,0)+IF(AND(V1421&gt;175,W1421&gt;=95),0.12,0),
IF(AF1421="Fix15",0.15,
IF(AF1421="Fix5",0.05,
IF(AF1421="Fix18.75",0.1875,
IF(AF1421="Fix11.25",0.1125,
IF(AF1421="Fix10",0.1,
IF(AF1421="Fix9",0.09,
IF(AF1421="Fix12",0.12,
IF(AF1421="Fix19",0.19,
IF(AF1421="DoEV2017",IF(AND(W1421&lt;74),0.2,0)+IF(AND(W1421&gt;=74),0.17,0),
IF(AF1421="SF",IF(AND(V1421&lt;20,W1421&lt;89),0.3,0)+IF(AND(V1421&lt;20,W1421&gt;=89),0.25,0)+IF(AND(V1421&gt;=20,V1421&lt;40,W1421&lt;74),0.3,0)+IF(AND(V1421&gt;=20,V1421&lt;40,W1421&gt;=75),0.22,0)+IF(AND(V1421&gt;=40,V1421&lt;75,W1421&lt;75),0.26,0)+IF(AND(V1421&gt;=40,V1421&lt;75,W1421&gt;=75),0.22,0)+IF(V1421&gt;=75,0.22,0),
IF(AF1421="DoEVold",IF(AND(V1421&lt;40,W1421&lt;35),0.35,0)+IF(AND(V1421&lt;40,W1421&gt;=35,W1421&lt;75),0.25,0)+IF(AND(V1421&lt;40,W1421&gt;=75),0.17,0)+IF(AND(V1421&gt;=40,V1421&lt;75,W1421&lt;25),0.35,0)+IF(AND(V1421&gt;=40,V1421&lt;75,W1421&gt;=25,W1421&lt;65),0.25,0)+IF(AND(V1421&gt;=40,V1421&lt;75,W1421&gt;=65,W1421&lt;100),0.17,0)+IF(AND(V1421&gt;=40,V1421&lt;75,W1421&gt;=100),0.1,0)+IF(AND(V1421&gt;=75,W1421&lt;25),0.35,0)+IF(AND(V1421&gt;=75,W1421&gt;=25,W1421&lt;60),0.25,0)+IF(AND(V1421&gt;=75,W1421&gt;=60,W1421&lt;95),0.17,0)+IF(AND(V1421&gt;=75,W1421&gt;=95),0.1,0),
IF(AF1421="DoEVold15",IF(AND(V1421&lt;=40,W1421&lt;35),0.35,0)+IF(AND(V1421&lt;=40,W1421&gt;=35,W1421&lt;75),0.25,0)+IF(AND(V1421&lt;=40,W1421&gt;=75,W1421&lt;120),0.17,0)+IF(AND(V1421&lt;=40,W1421&gt;=120),0.15,0)+IF(AND(V1421&gt;40,V1421&lt;75,W1421&lt;25),0.35,0)+IF(AND(V1421&gt;=40,V1421&lt;75,W1421&gt;=25,W1421&lt;65),0.25,0)+IF(AND(V1421&gt;=40,V1421&lt;75,W1421&gt;=65,W1421&lt;100),0.17,0)+IF(AND(V1421&gt;=40,V1421&lt;75,W1421&gt;=100),0.1,0)+IF(AND(V1421&gt;=75,W1421&lt;25),0.35,0)+IF(AND(V1421&gt;=75,W1421&gt;=25,W1421&lt;60),0.25,0)+IF(AND(V1421&gt;=75,W1421&gt;=60,W1421&lt;95),0.17,0)+IF(AND(V1421&gt;=75,W1421&gt;=95),0.1,0),
IF(AF1421="DoEVba",IF(AND(V1421&lt;20,W1421&lt;105),0.2,0)+IF(AND(V1421&lt;20,W1421&gt;=105),0.15,0)+IF(AND(V1421&gt;=20,V1421&lt;40,W1421&lt;95),0.2,0)+IF(AND(V1421&gt;=20,V1421&lt;40,W1421&gt;=95,W1421&lt;150),0.15,0)+IF(AND(V1421&gt;=20,V1421&lt;40,W1421&gt;=150),0.12,0)+IF(AND(V1421&gt;=40,V1421&lt;75,W1421&lt;75),0.2,0)+IF(AND(V1421&gt;=40,V1421&lt;75,W1421&gt;=75,W1421&lt;120),0.15,0)+IF(AND(V1421&gt;=40,V1421&lt;75,W1421&gt;=120),0.12,0)+IF(AND(V1421&gt;=75,V1421&lt;175,W1421&lt;65),0.2,0)+IF(AND(V1421&gt;=75,V1421&lt;175,W1421&gt;=65,W1421&lt;110),0.15,0)+IF(AND(V1421&gt;=75,V1421&lt;175,W1421&gt;=110),0.12,0)+IF(AND(V1421&gt;=175,W1421&lt;55),0.2,0)+IF(AND(V1421&gt;=175,W1421&gt;=55,W1421&lt;95),0.15,0)+IF(AND(V1421&gt;=175,W1421&gt;=95),0.12,0),
IF(AF1421="DoEVku",IF(AND(V1421&lt;20,W1421&lt;55),0.23,0)+IF(AND(V1421&lt;20,W1421&gt;=55,W1421&lt;105),0.2,0)+IF(AND(V1421&lt;20,W1421&gt;=105),0.17,0)+IF(AND(V1421&gt;=20,V1421&lt;40,W1421&lt;45),0.23,0)+IF(AND(V1421&gt;=20,V1421&lt;40,W1421&gt;=45,W1421&lt;95),0.2,0)+IF(AND(V1421&gt;=20,V1421&lt;40,W1421&gt;=95,W1421&lt;=150),0.17,0)+IF(AND(V1421&gt;=20,V1421&lt;40,W1421&gt;=150),0.12,0)+IF(AND(V1421&gt;=40,V1421&lt;75,W1421&lt;35),0.23,0)+IF(AND(V1421&gt;=40,V1421&lt;75,W1421&gt;=35,W1421&lt;75),0.2,0)+IF(AND(V1421&gt;=40,V1421&lt;75,W1421&gt;=75,W1421&lt;120),0.17,0)+IF(AND(V1421&gt;=40,V1421&lt;75,W1421&gt;=120),0.12,0)+IF(AND(V1421&gt;=75,V1421&lt;175,W1421&lt;35),0.23,0)+IF(AND(V1421&gt;=75,V1421&lt;=175,W1421&gt;=35,W1421&lt;65),0.2,0)+IF(AND(V1421&gt;=75,V1421&lt;=175,W1421&gt;=65,W1421&lt;110),0.17,0)+IF(AND(V1421&gt;=75,V1421&lt;=175,W1421&gt;=110),0.12,0)+IF(AND(V1421&gt;175,W1421&lt;25),0.23,0)+IF(AND(V1421&gt;175,W1421&gt;=25,W1421&lt;55),0.2,0)+IF(AND(V1421&gt;175,W1421&gt;=55,W1421&lt;95),0.17,0)+IF(AND(V1421&gt;175,W1421&gt;=95),0.12,0),
IF(AF1421="DoEVs1",IF(AND(V1421&lt;20,W1421&lt;55),0.3,0)+IF(AND(V1421&lt;20,W1421&gt;=55,W1421&lt;105),0.23,0)+IF(AND(V1421&lt;20,W1421&gt;=105),0.17,0)+IF(AND(V1421&gt;=20,V1421&lt;40,W1421&lt;45),0.3,0)+IF(AND(V1421&gt;=20,V1421&lt;40,W1421&gt;=45,W1421&lt;95),0.23,0)+IF(AND(V1421&gt;=20,V1421&lt;40,W1421&gt;=95,W1421&lt;=150),0.17,0)+IF(AND(V1421&gt;=20,V1421&lt;40,W1421&gt;=150),0.12,0)+IF(AND(V1421&gt;=40,V1421&lt;75,W1421&lt;35),0.3,0)+IF(AND(V1421&gt;=40,V1421&lt;75,W1421&gt;=35,W1421&lt;75),0.23,0)+IF(AND(V1421&gt;=40,V1421&lt;75,W1421&gt;=75,W1421&lt;120),0.17,0)+IF(AND(V1421&gt;=40,V1421&lt;75,W1421&gt;=120),0.12,0)+IF(AND(V1421&gt;=75,V1421&lt;175,W1421&lt;35),0.3,0)+IF(AND(V1421&gt;=75,V1421&lt;=175,W1421&gt;=35,W1421&lt;65),0.23,0)+IF(AND(V1421&gt;=75,V1421&lt;=175,W1421&gt;=65,W1421&lt;110),0.17,0)+IF(AND(V1421&gt;=75,V1421&lt;=175,W1421&gt;=110),0.12,0)+IF(AND(V1421&gt;175,W1421&lt;25),0.3,0)+IF(AND(V1421&gt;175,W1421&gt;=25,W1421&lt;55),0.23,0)+IF(AND(V1421&gt;175,W1421&gt;=55,W1421&lt;95),0.17,0)+IF(AND(V1421&gt;175,W1421&gt;=95),0.12,0),
IF(AF1421="DoEVsu",IF(AND(V1421&lt;20,W1421&lt;55),0.3,0)+IF(AND(V1421&lt;20,W1421&gt;=55,W1421&lt;105),0.23,0)+IF(AND(V1421&lt;20,W1421&gt;=105),0.17,0)+IF(AND(V1421&gt;=20,V1421&lt;40,W1421&lt;45),0.3,0)+IF(AND(V1421&gt;=20,V1421&lt;40,W1421&gt;=45,W1421&lt;95),0.23,0)+IF(AND(V1421&gt;=20,V1421&lt;40,W1421&gt;=95,W1421&lt;=250),0.17,0)+IF(AND(V1421&gt;=20,V1421&lt;40,W1421&gt;=250),0.12,0)+IF(AND(V1421&gt;=40,V1421&lt;75,W1421&lt;35),0.3,0)+IF(AND(V1421&gt;=40,V1421&lt;75,W1421&gt;=35,W1421&lt;75),0.23,0)+IF(AND(V1421&gt;=40,V1421&lt;75,W1421&gt;=75,W1421&lt;120),0.17,0)+IF(AND(V1421&gt;=40,V1421&lt;75,W1421&gt;=120),0.12,0)+IF(AND(V1421&gt;=75,V1421&lt;175,W1421&lt;35),0.3,0)+IF(AND(V1421&gt;=75,V1421&lt;=175,W1421&gt;=35,W1421&lt;65),0.23,0)+IF(AND(V1421&gt;=75,V1421&lt;=175,W1421&gt;=65,W1421&lt;110),0.17,0)+IF(AND(V1421&gt;=75,V1421&lt;=175,W1421&gt;=110),0.12,0)+IF(AND(V1421&gt;175,W1421&lt;25),0.3,0)+IF(AND(V1421&gt;175,W1421&gt;=25,W1421&lt;55),0.23,0)+IF(AND(V1421&gt;175,W1421&gt;=55,W1421&lt;95),0.17,0)+IF(AND(V1421&gt;175,W1421&gt;=95),0.12,0),
IF(AF1421="DoEVni",IF(AND(V1421&lt;20,W1421&lt;55),0.3,0)+IF(AND(V1421&lt;20,W1421&gt;=55,W1421&lt;105),0.23,0)+IF(AND(V1421&lt;20,W1421&gt;=105),0.17,0)+IF(AND(V1421&gt;=20,V1421&lt;40,W1421&lt;45),0.3,0)+IF(AND(V1421&gt;=20,V1421&lt;40,W1421&gt;=45,W1421&lt;95),0.23,0)+IF(AND(V1421&gt;=20,V1421&lt;40,W1421&gt;=95,W1421&lt;=200),0.17,0)+IF(AND(V1421&gt;=20,V1421&lt;40,W1421&gt;=200),0.12,0)+IF(AND(V1421&gt;=40,V1421&lt;75,W1421&lt;35),0.3,0)+IF(AND(V1421&gt;=40,V1421&lt;75,W1421&gt;=35,W1421&lt;75),0.23,0)+IF(AND(V1421&gt;=40,V1421&lt;75,W1421&gt;=75,W1421&lt;120),0.17,0)+IF(AND(V1421&gt;=40,V1421&lt;75,W1421&gt;=120),0.12,0)+IF(AND(V1421&gt;=75,V1421&lt;175,W1421&lt;35),0.3,0)+IF(AND(V1421&gt;=75,V1421&lt;=175,W1421&gt;=35,W1421&lt;65),0.23,0)+IF(AND(V1421&gt;=75,V1421&lt;=175,W1421&gt;=65,W1421&lt;110),0.17,0)+IF(AND(V1421&gt;=75,V1421&lt;=175,W1421&gt;=110),0.12,0)+IF(AND(V1421&gt;175,W1421&lt;25),0.3,0)+IF(AND(V1421&gt;175,W1421&gt;=25,W1421&lt;55),0.23,0)+IF(AND(V1421&gt;175,W1421&gt;=55,W1421&lt;95),0.17,0)+IF(AND(V1421&gt;175,W1421&gt;=95),0.12,0),
IF(AF1421="DoEVLo",IF(AND(V1421&lt;20,W1421&lt;55),0.25,0)+IF(AND(V1421&lt;20,W1421&gt;=55,W1421&lt;105),0.2,0)+IF(AND(V1421&lt;20,W1421&gt;=105),0.15,0)+IF(AND(V1421&gt;=20,V1421&lt;40,W1421&lt;45),0.25,0)+IF(AND(V1421&gt;=20,V1421&lt;40,W1421&gt;=45,W1421&lt;95),0.2,0)+IF(AND(V1421&gt;=20,V1421&lt;40,W1421&gt;=95),0.15,0)+IF(AND(V1421&gt;=40,V1421&lt;75,W1421&lt;35),0.25,0)+IF(AND(V1421&gt;=40,V1421&lt;75,W1421&gt;=35,W1421&lt;75),0.2,0)+IF(AND(V1421&gt;=40,V1421&lt;75,W1421&gt;=75,W1421&lt;120),0.15,0)+IF(AND(V1421&gt;=40,V1421&lt;75,W1421&gt;=120),0.1,0)+IF(AND(V1421&gt;=75,V1421&lt;175,W1421&lt;35),0.25,0)+IF(AND(V1421&gt;=75,V1421&lt;=175,W1421&gt;=35,W1421&lt;65),0.2,0)+IF(AND(V1421&gt;=75,V1421&lt;=175,W1421&gt;=65,W1421&lt;110),0.15,0)+IF(AND(V1421&gt;=75,V1421&lt;=175,W1421&gt;=110),0.1,0)+IF(AND(V1421&gt;175,W1421&lt;25),0.25,0)+IF(AND(V1421&gt;175,W1421&gt;=25,W1421&lt;55),0.2,0)+IF(AND(V1421&gt;175,W1421&gt;=55,W1421&lt;95),0.15,0)+IF(AND(V1421&gt;175,W1421&gt;=95),0.1,0))))))))))))))))))))</f>
        <v>0.1125</v>
      </c>
      <c r="Y1421" s="30">
        <f>IF(AG1421="None",0,IF(AG1421="Fix5",0.05, IF(AG1421="Fix6.25",0.0625,IF(AG1421="Fix3.75",0.0375, IF(AG1421="Fix11",0.11, IF(AG1421="Fix10",0.1,IF(AG1421="Fix3",0.03,0)))))))</f>
        <v>3.7499999999999999E-2</v>
      </c>
      <c r="Z1421" s="35">
        <f>IF(AND(AD1421="EUR", AE1421 = "USD"), T1421*U1421-AA1421-AB1421, T1421-AA1421-AB1421)</f>
        <v>-510</v>
      </c>
      <c r="AA1421" s="29">
        <f>IF(AND(AD1421="EUR", F1421="Without EV deal", AE1421="USD"), (T1421*X1421)*U1421,
IF(AND(AD1421="EUR", F1421="Without EV deal", AE1421="EUR"), (T1421*X1421),
IF(AND(AD1421="EUR",AE1421="USD"), (T1421*X1421)*U1421,
T1421*X1421)))</f>
        <v>-67.5</v>
      </c>
      <c r="AB1421" s="36">
        <f>IF(AND(AD1421="EUR", F1421="Without EV deal", AE1421="USD"), (T1421*Y1421)*U1421,
IF(AND(AD1421="EUR", F1421="Without EV deal", AE1421="EUR"), (T1421*Y1421),
IF(AND(AD1421="EUR",AE1421="USD"), (T1421*Y1421)*U1421,
T1421*Y1421)))</f>
        <v>-22.5</v>
      </c>
      <c r="AC1421" s="37" t="b">
        <v>1</v>
      </c>
      <c r="AD1421" s="82" t="str">
        <f>IF(OR(H1421="€0.25 Flash",
H1421="€0.25(nitro) new",
H1421="€1",
H1421="€2",
H1421="€2 (bf 01.08)",
H1421="€5",
H1421="€5 (1M)",
H1421="€5 (bf 01.08)",
H1421="€5 (bf 05.05)",
H1421="€5 Nitro",
H1421="€5(wx) new",
H1421="€10",
H1421="€10 (1M)",
H1421="€10 (bf 01.08)",
H1421="€10 (bf 05.05)",
H1421="€10 (MP)",
H1421="€10 (old)",
H1421="€10 Nitro (bf 05.05)",
H1421="€10 Nitro (old)",
H1421="€10(wx) new",
H1421="€20",
H1421="€25",
H1421="€25 (bf 01.08)",
H1421="€25 (bf 05.05)",
H1421="€25 (MP)",
H1421="€25 (old)",
H1421="€25 Nitro",
H1421="€25 Nitro (bf 01.08)",
H1421="€25 Nitro (bf 05.05)",
H1421="€25(nitro) new",
H1421="€25(wx) new",
H1421="€50",
H1421="€50 (bf 01.08)",
H1421="€50 (bf 05.05)",
H1421="€50 (old)",
H1421="€50 Nitro",
H1421="€50 Nitro (bf 01.08)",
H1421="€50 Nitro (bf 05.05)",
H1421="€50(wx) new",
H1421="€100",
H1421="€100 (old)",
H1421="€100 Nitro",
H1421="€100 Nitro (old)",
H1421="€200",
H1421="€250",
H1421="€250 Nitro",
H1421="€500",
H1421="€500 Nitro"),"EUR", "USD")</f>
        <v>USD</v>
      </c>
      <c r="AE1421" s="83" t="s">
        <v>38</v>
      </c>
      <c r="AF1421" s="83" t="str">
        <f t="array" ref="AF1421">INDEX('Deal Info'!D:D, MATCH(A1421,'Deal Info'!A:A, 0))</f>
        <v>Fix11.25</v>
      </c>
      <c r="AG1421" s="83" t="str">
        <f t="array" ref="AG1421">INDEX('Deal Info'!G:G, MATCH(A1421,'Deal Info'!A:A, 0))</f>
        <v>Fix3.75</v>
      </c>
    </row>
    <row r="1422" spans="1:33" ht="14.25" hidden="1" x14ac:dyDescent="0.2">
      <c r="A1422" s="18" t="str">
        <f t="array" ref="A1422">IF(G1422='Room Info'!$B$1, INDEX('Room Info'!$A$2:$A2446, MATCH(B1422,'Room Info'!$B$2:$B2446, 0)),IF(G1422='Room Info'!$C$1, INDEX('Room Info'!$A$2:$A2446, MATCH(B1422,'Room Info'!$C$2:$C2446, 0)),IF(G1422='Room Info'!$D$1, INDEX('Room Info'!$A$2:$A2446, MATCH(B1422,'Room Info'!$D$2:$D2446, 0)),IF(G1422='Room Info'!$E$1, INDEX('Room Info'!$A$2:$A2446, MATCH(B1422,'Room Info'!$E$2:$E2446, 0)),IF(G1422='Room Info'!$F$1, INDEX('Room Info'!$A$2:$A2446, MATCH(B1422,'Room Info'!$F$2:$F2446, 0)),IF(G1422='Room Info'!$H$1, INDEX('Room Info'!$A$2:$A2446, MATCH(B1422,'Room Info'!$H$2:$H2446, 0)),IF(G1422='Room Info'!$G$1, INDEX('Room Info'!$A$2:$A2446, MATCH(B1422,'Room Info'!$G$2:$G2446, 0)))))))))</f>
        <v>Fedorovi4</v>
      </c>
      <c r="B1422" s="85" t="s">
        <v>96</v>
      </c>
      <c r="C1422" s="19">
        <v>44947</v>
      </c>
      <c r="D1422" s="20">
        <v>44977</v>
      </c>
      <c r="E1422" s="21">
        <v>44958</v>
      </c>
      <c r="F1422" s="40" t="s">
        <v>34</v>
      </c>
      <c r="G1422" s="18" t="s">
        <v>35</v>
      </c>
      <c r="H1422" s="23" t="s">
        <v>42</v>
      </c>
      <c r="I1422" s="23" t="s">
        <v>37</v>
      </c>
      <c r="J1422" s="39">
        <v>1</v>
      </c>
      <c r="K1422" s="88">
        <v>9</v>
      </c>
      <c r="L1422" s="89">
        <v>4</v>
      </c>
      <c r="M1422" s="42">
        <v>110</v>
      </c>
      <c r="N1422" s="28">
        <f>K1422*J1422</f>
        <v>9</v>
      </c>
      <c r="O1422" s="18"/>
      <c r="P1422" s="29">
        <v>0</v>
      </c>
      <c r="Q1422" s="30"/>
      <c r="R1422" s="31">
        <f>M1422+Q1422</f>
        <v>110</v>
      </c>
      <c r="S1422" s="119">
        <v>-579</v>
      </c>
      <c r="T1422" s="32">
        <f>IF(AND(AD1422="EUR", F1422="Without EV deal"), R1422 + L1422,
IF(AND(AD1422="USD", F1422="Without EV deal"), R1422 + L1422,
IF(AND(AD1422="EUR", F1422="Steel Phoenix"), R1422 + S1422/U1422,
R1422 + S1422)))</f>
        <v>-469</v>
      </c>
      <c r="U1422" s="33">
        <v>1.0669999999999999</v>
      </c>
      <c r="V1422" s="34">
        <v>46.78102189781022</v>
      </c>
      <c r="W1422" s="34">
        <v>-10.025432984865033</v>
      </c>
      <c r="X1422" s="30">
        <f>IF(AF1422="DoEV",IF(AND(V1422&lt;20,W1422&lt;55),0.3,0)+IF(AND(V1422&lt;20,W1422&gt;=55,W1422&lt;105),0.23,0)+IF(AND(V1422&lt;20,W1422&gt;=105),0.17,0)+IF(AND(V1422&gt;=20,V1422&lt;40,W1422&lt;45),0.3,0)+IF(AND(V1422&gt;=20,V1422&lt;40,W1422&gt;=45,W1422&lt;95),0.23,0)+IF(AND(V1422&gt;=20,V1422&lt;40,W1422&gt;=95),0.17,0)+IF(AND(V1422&gt;=40,V1422&lt;75,W1422&lt;35),0.3,0)+IF(AND(V1422&gt;=40,V1422&lt;75,W1422&gt;=35,W1422&lt;75),0.23,0)+IF(AND(V1422&gt;=40,V1422&lt;75,W1422&gt;=75,W1422&lt;120),0.17,0)+IF(AND(V1422&gt;=40,V1422&lt;75,W1422&gt;=120),0.12,0)+IF(AND(V1422&gt;=75,V1422&lt;175,W1422&lt;35),0.3,0)+IF(AND(V1422&gt;=75,V1422&lt;=175,W1422&gt;=35,W1422&lt;65),0.23,0)+IF(AND(V1422&gt;=75,V1422&lt;=175,W1422&gt;=65,W1422&lt;110),0.17,0)+IF(AND(V1422&gt;=75,V1422&lt;=175,W1422&gt;=110),0.12,0)+IF(AND(V1422&gt;175,W1422&lt;25),0.3,0)+IF(AND(V1422&gt;175,W1422&gt;=25,W1422&lt;55),0.23,0)+IF(AND(V1422&gt;175,W1422&gt;=55,W1422&lt;95),0.17,0)+IF(AND(V1422&gt;175,W1422&gt;=95),0.12,0),
IF(AF1422="Fix15",0.15,
IF(AF1422="Fix5",0.05,
IF(AF1422="Fix18.75",0.1875,
IF(AF1422="Fix11.25",0.1125,
IF(AF1422="Fix10",0.1,
IF(AF1422="Fix9",0.09,
IF(AF1422="Fix12",0.12,
IF(AF1422="Fix19",0.19,
IF(AF1422="DoEV2017",IF(AND(W1422&lt;74),0.2,0)+IF(AND(W1422&gt;=74),0.17,0),
IF(AF1422="SF",IF(AND(V1422&lt;20,W1422&lt;89),0.3,0)+IF(AND(V1422&lt;20,W1422&gt;=89),0.25,0)+IF(AND(V1422&gt;=20,V1422&lt;40,W1422&lt;74),0.3,0)+IF(AND(V1422&gt;=20,V1422&lt;40,W1422&gt;=75),0.22,0)+IF(AND(V1422&gt;=40,V1422&lt;75,W1422&lt;75),0.26,0)+IF(AND(V1422&gt;=40,V1422&lt;75,W1422&gt;=75),0.22,0)+IF(V1422&gt;=75,0.22,0),
IF(AF1422="DoEVold",IF(AND(V1422&lt;40,W1422&lt;35),0.35,0)+IF(AND(V1422&lt;40,W1422&gt;=35,W1422&lt;75),0.25,0)+IF(AND(V1422&lt;40,W1422&gt;=75),0.17,0)+IF(AND(V1422&gt;=40,V1422&lt;75,W1422&lt;25),0.35,0)+IF(AND(V1422&gt;=40,V1422&lt;75,W1422&gt;=25,W1422&lt;65),0.25,0)+IF(AND(V1422&gt;=40,V1422&lt;75,W1422&gt;=65,W1422&lt;100),0.17,0)+IF(AND(V1422&gt;=40,V1422&lt;75,W1422&gt;=100),0.1,0)+IF(AND(V1422&gt;=75,W1422&lt;25),0.35,0)+IF(AND(V1422&gt;=75,W1422&gt;=25,W1422&lt;60),0.25,0)+IF(AND(V1422&gt;=75,W1422&gt;=60,W1422&lt;95),0.17,0)+IF(AND(V1422&gt;=75,W1422&gt;=95),0.1,0),
IF(AF1422="DoEVold15",IF(AND(V1422&lt;=40,W1422&lt;35),0.35,0)+IF(AND(V1422&lt;=40,W1422&gt;=35,W1422&lt;75),0.25,0)+IF(AND(V1422&lt;=40,W1422&gt;=75,W1422&lt;120),0.17,0)+IF(AND(V1422&lt;=40,W1422&gt;=120),0.15,0)+IF(AND(V1422&gt;40,V1422&lt;75,W1422&lt;25),0.35,0)+IF(AND(V1422&gt;=40,V1422&lt;75,W1422&gt;=25,W1422&lt;65),0.25,0)+IF(AND(V1422&gt;=40,V1422&lt;75,W1422&gt;=65,W1422&lt;100),0.17,0)+IF(AND(V1422&gt;=40,V1422&lt;75,W1422&gt;=100),0.1,0)+IF(AND(V1422&gt;=75,W1422&lt;25),0.35,0)+IF(AND(V1422&gt;=75,W1422&gt;=25,W1422&lt;60),0.25,0)+IF(AND(V1422&gt;=75,W1422&gt;=60,W1422&lt;95),0.17,0)+IF(AND(V1422&gt;=75,W1422&gt;=95),0.1,0),
IF(AF1422="DoEVba",IF(AND(V1422&lt;20,W1422&lt;105),0.2,0)+IF(AND(V1422&lt;20,W1422&gt;=105),0.15,0)+IF(AND(V1422&gt;=20,V1422&lt;40,W1422&lt;95),0.2,0)+IF(AND(V1422&gt;=20,V1422&lt;40,W1422&gt;=95,W1422&lt;150),0.15,0)+IF(AND(V1422&gt;=20,V1422&lt;40,W1422&gt;=150),0.12,0)+IF(AND(V1422&gt;=40,V1422&lt;75,W1422&lt;75),0.2,0)+IF(AND(V1422&gt;=40,V1422&lt;75,W1422&gt;=75,W1422&lt;120),0.15,0)+IF(AND(V1422&gt;=40,V1422&lt;75,W1422&gt;=120),0.12,0)+IF(AND(V1422&gt;=75,V1422&lt;175,W1422&lt;65),0.2,0)+IF(AND(V1422&gt;=75,V1422&lt;175,W1422&gt;=65,W1422&lt;110),0.15,0)+IF(AND(V1422&gt;=75,V1422&lt;175,W1422&gt;=110),0.12,0)+IF(AND(V1422&gt;=175,W1422&lt;55),0.2,0)+IF(AND(V1422&gt;=175,W1422&gt;=55,W1422&lt;95),0.15,0)+IF(AND(V1422&gt;=175,W1422&gt;=95),0.12,0),
IF(AF1422="DoEVku",IF(AND(V1422&lt;20,W1422&lt;55),0.23,0)+IF(AND(V1422&lt;20,W1422&gt;=55,W1422&lt;105),0.2,0)+IF(AND(V1422&lt;20,W1422&gt;=105),0.17,0)+IF(AND(V1422&gt;=20,V1422&lt;40,W1422&lt;45),0.23,0)+IF(AND(V1422&gt;=20,V1422&lt;40,W1422&gt;=45,W1422&lt;95),0.2,0)+IF(AND(V1422&gt;=20,V1422&lt;40,W1422&gt;=95,W1422&lt;=150),0.17,0)+IF(AND(V1422&gt;=20,V1422&lt;40,W1422&gt;=150),0.12,0)+IF(AND(V1422&gt;=40,V1422&lt;75,W1422&lt;35),0.23,0)+IF(AND(V1422&gt;=40,V1422&lt;75,W1422&gt;=35,W1422&lt;75),0.2,0)+IF(AND(V1422&gt;=40,V1422&lt;75,W1422&gt;=75,W1422&lt;120),0.17,0)+IF(AND(V1422&gt;=40,V1422&lt;75,W1422&gt;=120),0.12,0)+IF(AND(V1422&gt;=75,V1422&lt;175,W1422&lt;35),0.23,0)+IF(AND(V1422&gt;=75,V1422&lt;=175,W1422&gt;=35,W1422&lt;65),0.2,0)+IF(AND(V1422&gt;=75,V1422&lt;=175,W1422&gt;=65,W1422&lt;110),0.17,0)+IF(AND(V1422&gt;=75,V1422&lt;=175,W1422&gt;=110),0.12,0)+IF(AND(V1422&gt;175,W1422&lt;25),0.23,0)+IF(AND(V1422&gt;175,W1422&gt;=25,W1422&lt;55),0.2,0)+IF(AND(V1422&gt;175,W1422&gt;=55,W1422&lt;95),0.17,0)+IF(AND(V1422&gt;175,W1422&gt;=95),0.12,0),
IF(AF1422="DoEVs1",IF(AND(V1422&lt;20,W1422&lt;55),0.3,0)+IF(AND(V1422&lt;20,W1422&gt;=55,W1422&lt;105),0.23,0)+IF(AND(V1422&lt;20,W1422&gt;=105),0.17,0)+IF(AND(V1422&gt;=20,V1422&lt;40,W1422&lt;45),0.3,0)+IF(AND(V1422&gt;=20,V1422&lt;40,W1422&gt;=45,W1422&lt;95),0.23,0)+IF(AND(V1422&gt;=20,V1422&lt;40,W1422&gt;=95,W1422&lt;=150),0.17,0)+IF(AND(V1422&gt;=20,V1422&lt;40,W1422&gt;=150),0.12,0)+IF(AND(V1422&gt;=40,V1422&lt;75,W1422&lt;35),0.3,0)+IF(AND(V1422&gt;=40,V1422&lt;75,W1422&gt;=35,W1422&lt;75),0.23,0)+IF(AND(V1422&gt;=40,V1422&lt;75,W1422&gt;=75,W1422&lt;120),0.17,0)+IF(AND(V1422&gt;=40,V1422&lt;75,W1422&gt;=120),0.12,0)+IF(AND(V1422&gt;=75,V1422&lt;175,W1422&lt;35),0.3,0)+IF(AND(V1422&gt;=75,V1422&lt;=175,W1422&gt;=35,W1422&lt;65),0.23,0)+IF(AND(V1422&gt;=75,V1422&lt;=175,W1422&gt;=65,W1422&lt;110),0.17,0)+IF(AND(V1422&gt;=75,V1422&lt;=175,W1422&gt;=110),0.12,0)+IF(AND(V1422&gt;175,W1422&lt;25),0.3,0)+IF(AND(V1422&gt;175,W1422&gt;=25,W1422&lt;55),0.23,0)+IF(AND(V1422&gt;175,W1422&gt;=55,W1422&lt;95),0.17,0)+IF(AND(V1422&gt;175,W1422&gt;=95),0.12,0),
IF(AF1422="DoEVsu",IF(AND(V1422&lt;20,W1422&lt;55),0.3,0)+IF(AND(V1422&lt;20,W1422&gt;=55,W1422&lt;105),0.23,0)+IF(AND(V1422&lt;20,W1422&gt;=105),0.17,0)+IF(AND(V1422&gt;=20,V1422&lt;40,W1422&lt;45),0.3,0)+IF(AND(V1422&gt;=20,V1422&lt;40,W1422&gt;=45,W1422&lt;95),0.23,0)+IF(AND(V1422&gt;=20,V1422&lt;40,W1422&gt;=95,W1422&lt;=250),0.17,0)+IF(AND(V1422&gt;=20,V1422&lt;40,W1422&gt;=250),0.12,0)+IF(AND(V1422&gt;=40,V1422&lt;75,W1422&lt;35),0.3,0)+IF(AND(V1422&gt;=40,V1422&lt;75,W1422&gt;=35,W1422&lt;75),0.23,0)+IF(AND(V1422&gt;=40,V1422&lt;75,W1422&gt;=75,W1422&lt;120),0.17,0)+IF(AND(V1422&gt;=40,V1422&lt;75,W1422&gt;=120),0.12,0)+IF(AND(V1422&gt;=75,V1422&lt;175,W1422&lt;35),0.3,0)+IF(AND(V1422&gt;=75,V1422&lt;=175,W1422&gt;=35,W1422&lt;65),0.23,0)+IF(AND(V1422&gt;=75,V1422&lt;=175,W1422&gt;=65,W1422&lt;110),0.17,0)+IF(AND(V1422&gt;=75,V1422&lt;=175,W1422&gt;=110),0.12,0)+IF(AND(V1422&gt;175,W1422&lt;25),0.3,0)+IF(AND(V1422&gt;175,W1422&gt;=25,W1422&lt;55),0.23,0)+IF(AND(V1422&gt;175,W1422&gt;=55,W1422&lt;95),0.17,0)+IF(AND(V1422&gt;175,W1422&gt;=95),0.12,0),
IF(AF1422="DoEVni",IF(AND(V1422&lt;20,W1422&lt;55),0.3,0)+IF(AND(V1422&lt;20,W1422&gt;=55,W1422&lt;105),0.23,0)+IF(AND(V1422&lt;20,W1422&gt;=105),0.17,0)+IF(AND(V1422&gt;=20,V1422&lt;40,W1422&lt;45),0.3,0)+IF(AND(V1422&gt;=20,V1422&lt;40,W1422&gt;=45,W1422&lt;95),0.23,0)+IF(AND(V1422&gt;=20,V1422&lt;40,W1422&gt;=95,W1422&lt;=200),0.17,0)+IF(AND(V1422&gt;=20,V1422&lt;40,W1422&gt;=200),0.12,0)+IF(AND(V1422&gt;=40,V1422&lt;75,W1422&lt;35),0.3,0)+IF(AND(V1422&gt;=40,V1422&lt;75,W1422&gt;=35,W1422&lt;75),0.23,0)+IF(AND(V1422&gt;=40,V1422&lt;75,W1422&gt;=75,W1422&lt;120),0.17,0)+IF(AND(V1422&gt;=40,V1422&lt;75,W1422&gt;=120),0.12,0)+IF(AND(V1422&gt;=75,V1422&lt;175,W1422&lt;35),0.3,0)+IF(AND(V1422&gt;=75,V1422&lt;=175,W1422&gt;=35,W1422&lt;65),0.23,0)+IF(AND(V1422&gt;=75,V1422&lt;=175,W1422&gt;=65,W1422&lt;110),0.17,0)+IF(AND(V1422&gt;=75,V1422&lt;=175,W1422&gt;=110),0.12,0)+IF(AND(V1422&gt;175,W1422&lt;25),0.3,0)+IF(AND(V1422&gt;175,W1422&gt;=25,W1422&lt;55),0.23,0)+IF(AND(V1422&gt;175,W1422&gt;=55,W1422&lt;95),0.17,0)+IF(AND(V1422&gt;175,W1422&gt;=95),0.12,0),
IF(AF1422="DoEVLo",IF(AND(V1422&lt;20,W1422&lt;55),0.25,0)+IF(AND(V1422&lt;20,W1422&gt;=55,W1422&lt;105),0.2,0)+IF(AND(V1422&lt;20,W1422&gt;=105),0.15,0)+IF(AND(V1422&gt;=20,V1422&lt;40,W1422&lt;45),0.25,0)+IF(AND(V1422&gt;=20,V1422&lt;40,W1422&gt;=45,W1422&lt;95),0.2,0)+IF(AND(V1422&gt;=20,V1422&lt;40,W1422&gt;=95),0.15,0)+IF(AND(V1422&gt;=40,V1422&lt;75,W1422&lt;35),0.25,0)+IF(AND(V1422&gt;=40,V1422&lt;75,W1422&gt;=35,W1422&lt;75),0.2,0)+IF(AND(V1422&gt;=40,V1422&lt;75,W1422&gt;=75,W1422&lt;120),0.15,0)+IF(AND(V1422&gt;=40,V1422&lt;75,W1422&gt;=120),0.1,0)+IF(AND(V1422&gt;=75,V1422&lt;175,W1422&lt;35),0.25,0)+IF(AND(V1422&gt;=75,V1422&lt;=175,W1422&gt;=35,W1422&lt;65),0.2,0)+IF(AND(V1422&gt;=75,V1422&lt;=175,W1422&gt;=65,W1422&lt;110),0.15,0)+IF(AND(V1422&gt;=75,V1422&lt;=175,W1422&gt;=110),0.1,0)+IF(AND(V1422&gt;175,W1422&lt;25),0.25,0)+IF(AND(V1422&gt;175,W1422&gt;=25,W1422&lt;55),0.2,0)+IF(AND(V1422&gt;175,W1422&gt;=55,W1422&lt;95),0.15,0)+IF(AND(V1422&gt;175,W1422&gt;=95),0.1,0))))))))))))))))))))</f>
        <v>0.26</v>
      </c>
      <c r="Y1422" s="30">
        <f>IF(AG1422="None",0,IF(AG1422="Fix5",0.05, IF(AG1422="Fix6.25",0.0625,IF(AG1422="Fix3.75",0.0375, IF(AG1422="Fix11",0.11, IF(AG1422="Fix10",0.1,IF(AG1422="Fix3",0.03,0)))))))</f>
        <v>0</v>
      </c>
      <c r="Z1422" s="35">
        <f>IF(AND(AD1422="EUR", AE1422 = "USD"), T1422*U1422-AA1422-AB1422, T1422-AA1422-AB1422)</f>
        <v>-347.06</v>
      </c>
      <c r="AA1422" s="29">
        <f>IF(AND(AD1422="EUR", F1422="Without EV deal", AE1422="USD"), (T1422*X1422)*U1422,
IF(AND(AD1422="EUR", F1422="Without EV deal", AE1422="EUR"), (T1422*X1422),
IF(AND(AD1422="EUR",AE1422="USD"), (T1422*X1422)*U1422,
T1422*X1422)))</f>
        <v>-121.94</v>
      </c>
      <c r="AB1422" s="36">
        <f>IF(AND(AD1422="EUR", F1422="Without EV deal", AE1422="USD"), (T1422*Y1422)*U1422,
IF(AND(AD1422="EUR", F1422="Without EV deal", AE1422="EUR"), (T1422*Y1422),
IF(AND(AD1422="EUR",AE1422="USD"), (T1422*Y1422)*U1422,
T1422*Y1422)))</f>
        <v>0</v>
      </c>
      <c r="AC1422" s="37" t="b">
        <v>0</v>
      </c>
      <c r="AD1422" s="82" t="str">
        <f>IF(OR(H1422="€0.25 Flash",
H1422="€0.25(nitro) new",
H1422="€1",
H1422="€2",
H1422="€2 (bf 01.08)",
H1422="€5",
H1422="€5 (1M)",
H1422="€5 (bf 01.08)",
H1422="€5 (bf 05.05)",
H1422="€5 Nitro",
H1422="€5(wx) new",
H1422="€10",
H1422="€10 (1M)",
H1422="€10 (bf 01.08)",
H1422="€10 (bf 05.05)",
H1422="€10 (MP)",
H1422="€10 (old)",
H1422="€10 Nitro (bf 05.05)",
H1422="€10 Nitro (old)",
H1422="€10(wx) new",
H1422="€20",
H1422="€25",
H1422="€25 (bf 01.08)",
H1422="€25 (bf 05.05)",
H1422="€25 (MP)",
H1422="€25 (old)",
H1422="€25 Nitro",
H1422="€25 Nitro (bf 01.08)",
H1422="€25 Nitro (bf 05.05)",
H1422="€25(nitro) new",
H1422="€25(wx) new",
H1422="€50",
H1422="€50 (bf 01.08)",
H1422="€50 (bf 05.05)",
H1422="€50 (old)",
H1422="€50 Nitro",
H1422="€50 Nitro (bf 01.08)",
H1422="€50 Nitro (bf 05.05)",
H1422="€50(wx) new",
H1422="€100",
H1422="€100 (old)",
H1422="€100 Nitro",
H1422="€100 Nitro (old)",
H1422="€200",
H1422="€250",
H1422="€250 Nitro",
H1422="€500",
H1422="€500 Nitro"),"EUR", "USD")</f>
        <v>USD</v>
      </c>
      <c r="AE1422" s="83" t="s">
        <v>38</v>
      </c>
      <c r="AF1422" s="83" t="str">
        <f t="array" ref="AF1422">INDEX('Deal Info'!D:D, MATCH(A1422,'Deal Info'!A:A, 0))</f>
        <v>SF</v>
      </c>
      <c r="AG1422" s="84" t="str">
        <f t="array" ref="AG1422">INDEX('Deal Info'!G:G, MATCH(A1422,'Deal Info'!A:A, 0))</f>
        <v>None</v>
      </c>
    </row>
    <row r="1423" spans="1:33" ht="14.25" hidden="1" x14ac:dyDescent="0.2">
      <c r="A1423" s="18" t="str">
        <f t="array" ref="A1423">IF(G1423='Room Info'!$B$1, INDEX('Room Info'!$A$2:$A2446, MATCH(B1423,'Room Info'!$B$2:$B2446, 0)),IF(G1423='Room Info'!$C$1, INDEX('Room Info'!$A$2:$A2446, MATCH(B1423,'Room Info'!$C$2:$C2446, 0)),IF(G1423='Room Info'!$D$1, INDEX('Room Info'!$A$2:$A2446, MATCH(B1423,'Room Info'!$D$2:$D2446, 0)),IF(G1423='Room Info'!$E$1, INDEX('Room Info'!$A$2:$A2446, MATCH(B1423,'Room Info'!$E$2:$E2446, 0)),IF(G1423='Room Info'!$F$1, INDEX('Room Info'!$A$2:$A2446, MATCH(B1423,'Room Info'!$F$2:$F2446, 0)),IF(G1423='Room Info'!$H$1, INDEX('Room Info'!$A$2:$A2446, MATCH(B1423,'Room Info'!$H$2:$H2446, 0)),IF(G1423='Room Info'!$G$1, INDEX('Room Info'!$A$2:$A2446, MATCH(B1423,'Room Info'!$G$2:$G2446, 0)))))))))</f>
        <v>Fedorovi4</v>
      </c>
      <c r="B1423" s="85" t="s">
        <v>96</v>
      </c>
      <c r="C1423" s="86">
        <v>44947</v>
      </c>
      <c r="D1423" s="87">
        <v>44977</v>
      </c>
      <c r="E1423" s="21">
        <v>44958</v>
      </c>
      <c r="F1423" s="40" t="s">
        <v>34</v>
      </c>
      <c r="G1423" s="18" t="s">
        <v>35</v>
      </c>
      <c r="H1423" s="23" t="s">
        <v>72</v>
      </c>
      <c r="I1423" s="23" t="s">
        <v>37</v>
      </c>
      <c r="J1423" s="39">
        <v>50</v>
      </c>
      <c r="K1423" s="88">
        <v>128</v>
      </c>
      <c r="L1423" s="89">
        <v>1450</v>
      </c>
      <c r="M1423" s="27"/>
      <c r="N1423" s="28">
        <f>K1423*J1423</f>
        <v>6400</v>
      </c>
      <c r="O1423" s="85">
        <v>-1898</v>
      </c>
      <c r="P1423" s="29">
        <v>-14.828125</v>
      </c>
      <c r="Q1423" s="30"/>
      <c r="R1423" s="31">
        <f>M1423+Q1423</f>
        <v>0</v>
      </c>
      <c r="S1423" s="28"/>
      <c r="T1423" s="32">
        <f>IF(AND(AD1423="EUR", F1423="Without EV deal"), R1423 + L1423,
IF(AND(AD1423="USD", F1423="Without EV deal"), R1423 + L1423,
IF(AND(AD1423="EUR", F1423="Steel Phoenix"), R1423 + S1423/U1423,
R1423 + S1423)))</f>
        <v>0</v>
      </c>
      <c r="U1423" s="33">
        <v>1.0669999999999999</v>
      </c>
      <c r="V1423" s="34">
        <v>46.78102189781022</v>
      </c>
      <c r="W1423" s="34">
        <v>-10.025432984865033</v>
      </c>
      <c r="X1423" s="30">
        <f>IF(AF1423="DoEV",IF(AND(V1423&lt;20,W1423&lt;55),0.3,0)+IF(AND(V1423&lt;20,W1423&gt;=55,W1423&lt;105),0.23,0)+IF(AND(V1423&lt;20,W1423&gt;=105),0.17,0)+IF(AND(V1423&gt;=20,V1423&lt;40,W1423&lt;45),0.3,0)+IF(AND(V1423&gt;=20,V1423&lt;40,W1423&gt;=45,W1423&lt;95),0.23,0)+IF(AND(V1423&gt;=20,V1423&lt;40,W1423&gt;=95),0.17,0)+IF(AND(V1423&gt;=40,V1423&lt;75,W1423&lt;35),0.3,0)+IF(AND(V1423&gt;=40,V1423&lt;75,W1423&gt;=35,W1423&lt;75),0.23,0)+IF(AND(V1423&gt;=40,V1423&lt;75,W1423&gt;=75,W1423&lt;120),0.17,0)+IF(AND(V1423&gt;=40,V1423&lt;75,W1423&gt;=120),0.12,0)+IF(AND(V1423&gt;=75,V1423&lt;175,W1423&lt;35),0.3,0)+IF(AND(V1423&gt;=75,V1423&lt;=175,W1423&gt;=35,W1423&lt;65),0.23,0)+IF(AND(V1423&gt;=75,V1423&lt;=175,W1423&gt;=65,W1423&lt;110),0.17,0)+IF(AND(V1423&gt;=75,V1423&lt;=175,W1423&gt;=110),0.12,0)+IF(AND(V1423&gt;175,W1423&lt;25),0.3,0)+IF(AND(V1423&gt;175,W1423&gt;=25,W1423&lt;55),0.23,0)+IF(AND(V1423&gt;175,W1423&gt;=55,W1423&lt;95),0.17,0)+IF(AND(V1423&gt;175,W1423&gt;=95),0.12,0),
IF(AF1423="Fix15",0.15,
IF(AF1423="Fix5",0.05,
IF(AF1423="Fix18.75",0.1875,
IF(AF1423="Fix11.25",0.1125,
IF(AF1423="Fix10",0.1,
IF(AF1423="Fix9",0.09,
IF(AF1423="Fix12",0.12,
IF(AF1423="Fix19",0.19,
IF(AF1423="DoEV2017",IF(AND(W1423&lt;74),0.2,0)+IF(AND(W1423&gt;=74),0.17,0),
IF(AF1423="SF",IF(AND(V1423&lt;20,W1423&lt;89),0.3,0)+IF(AND(V1423&lt;20,W1423&gt;=89),0.25,0)+IF(AND(V1423&gt;=20,V1423&lt;40,W1423&lt;74),0.3,0)+IF(AND(V1423&gt;=20,V1423&lt;40,W1423&gt;=75),0.22,0)+IF(AND(V1423&gt;=40,V1423&lt;75,W1423&lt;75),0.26,0)+IF(AND(V1423&gt;=40,V1423&lt;75,W1423&gt;=75),0.22,0)+IF(V1423&gt;=75,0.22,0),
IF(AF1423="DoEVold",IF(AND(V1423&lt;40,W1423&lt;35),0.35,0)+IF(AND(V1423&lt;40,W1423&gt;=35,W1423&lt;75),0.25,0)+IF(AND(V1423&lt;40,W1423&gt;=75),0.17,0)+IF(AND(V1423&gt;=40,V1423&lt;75,W1423&lt;25),0.35,0)+IF(AND(V1423&gt;=40,V1423&lt;75,W1423&gt;=25,W1423&lt;65),0.25,0)+IF(AND(V1423&gt;=40,V1423&lt;75,W1423&gt;=65,W1423&lt;100),0.17,0)+IF(AND(V1423&gt;=40,V1423&lt;75,W1423&gt;=100),0.1,0)+IF(AND(V1423&gt;=75,W1423&lt;25),0.35,0)+IF(AND(V1423&gt;=75,W1423&gt;=25,W1423&lt;60),0.25,0)+IF(AND(V1423&gt;=75,W1423&gt;=60,W1423&lt;95),0.17,0)+IF(AND(V1423&gt;=75,W1423&gt;=95),0.1,0),
IF(AF1423="DoEVold15",IF(AND(V1423&lt;=40,W1423&lt;35),0.35,0)+IF(AND(V1423&lt;=40,W1423&gt;=35,W1423&lt;75),0.25,0)+IF(AND(V1423&lt;=40,W1423&gt;=75,W1423&lt;120),0.17,0)+IF(AND(V1423&lt;=40,W1423&gt;=120),0.15,0)+IF(AND(V1423&gt;40,V1423&lt;75,W1423&lt;25),0.35,0)+IF(AND(V1423&gt;=40,V1423&lt;75,W1423&gt;=25,W1423&lt;65),0.25,0)+IF(AND(V1423&gt;=40,V1423&lt;75,W1423&gt;=65,W1423&lt;100),0.17,0)+IF(AND(V1423&gt;=40,V1423&lt;75,W1423&gt;=100),0.1,0)+IF(AND(V1423&gt;=75,W1423&lt;25),0.35,0)+IF(AND(V1423&gt;=75,W1423&gt;=25,W1423&lt;60),0.25,0)+IF(AND(V1423&gt;=75,W1423&gt;=60,W1423&lt;95),0.17,0)+IF(AND(V1423&gt;=75,W1423&gt;=95),0.1,0),
IF(AF1423="DoEVba",IF(AND(V1423&lt;20,W1423&lt;105),0.2,0)+IF(AND(V1423&lt;20,W1423&gt;=105),0.15,0)+IF(AND(V1423&gt;=20,V1423&lt;40,W1423&lt;95),0.2,0)+IF(AND(V1423&gt;=20,V1423&lt;40,W1423&gt;=95,W1423&lt;150),0.15,0)+IF(AND(V1423&gt;=20,V1423&lt;40,W1423&gt;=150),0.12,0)+IF(AND(V1423&gt;=40,V1423&lt;75,W1423&lt;75),0.2,0)+IF(AND(V1423&gt;=40,V1423&lt;75,W1423&gt;=75,W1423&lt;120),0.15,0)+IF(AND(V1423&gt;=40,V1423&lt;75,W1423&gt;=120),0.12,0)+IF(AND(V1423&gt;=75,V1423&lt;175,W1423&lt;65),0.2,0)+IF(AND(V1423&gt;=75,V1423&lt;175,W1423&gt;=65,W1423&lt;110),0.15,0)+IF(AND(V1423&gt;=75,V1423&lt;175,W1423&gt;=110),0.12,0)+IF(AND(V1423&gt;=175,W1423&lt;55),0.2,0)+IF(AND(V1423&gt;=175,W1423&gt;=55,W1423&lt;95),0.15,0)+IF(AND(V1423&gt;=175,W1423&gt;=95),0.12,0),
IF(AF1423="DoEVku",IF(AND(V1423&lt;20,W1423&lt;55),0.23,0)+IF(AND(V1423&lt;20,W1423&gt;=55,W1423&lt;105),0.2,0)+IF(AND(V1423&lt;20,W1423&gt;=105),0.17,0)+IF(AND(V1423&gt;=20,V1423&lt;40,W1423&lt;45),0.23,0)+IF(AND(V1423&gt;=20,V1423&lt;40,W1423&gt;=45,W1423&lt;95),0.2,0)+IF(AND(V1423&gt;=20,V1423&lt;40,W1423&gt;=95,W1423&lt;=150),0.17,0)+IF(AND(V1423&gt;=20,V1423&lt;40,W1423&gt;=150),0.12,0)+IF(AND(V1423&gt;=40,V1423&lt;75,W1423&lt;35),0.23,0)+IF(AND(V1423&gt;=40,V1423&lt;75,W1423&gt;=35,W1423&lt;75),0.2,0)+IF(AND(V1423&gt;=40,V1423&lt;75,W1423&gt;=75,W1423&lt;120),0.17,0)+IF(AND(V1423&gt;=40,V1423&lt;75,W1423&gt;=120),0.12,0)+IF(AND(V1423&gt;=75,V1423&lt;175,W1423&lt;35),0.23,0)+IF(AND(V1423&gt;=75,V1423&lt;=175,W1423&gt;=35,W1423&lt;65),0.2,0)+IF(AND(V1423&gt;=75,V1423&lt;=175,W1423&gt;=65,W1423&lt;110),0.17,0)+IF(AND(V1423&gt;=75,V1423&lt;=175,W1423&gt;=110),0.12,0)+IF(AND(V1423&gt;175,W1423&lt;25),0.23,0)+IF(AND(V1423&gt;175,W1423&gt;=25,W1423&lt;55),0.2,0)+IF(AND(V1423&gt;175,W1423&gt;=55,W1423&lt;95),0.17,0)+IF(AND(V1423&gt;175,W1423&gt;=95),0.12,0),
IF(AF1423="DoEVs1",IF(AND(V1423&lt;20,W1423&lt;55),0.3,0)+IF(AND(V1423&lt;20,W1423&gt;=55,W1423&lt;105),0.23,0)+IF(AND(V1423&lt;20,W1423&gt;=105),0.17,0)+IF(AND(V1423&gt;=20,V1423&lt;40,W1423&lt;45),0.3,0)+IF(AND(V1423&gt;=20,V1423&lt;40,W1423&gt;=45,W1423&lt;95),0.23,0)+IF(AND(V1423&gt;=20,V1423&lt;40,W1423&gt;=95,W1423&lt;=150),0.17,0)+IF(AND(V1423&gt;=20,V1423&lt;40,W1423&gt;=150),0.12,0)+IF(AND(V1423&gt;=40,V1423&lt;75,W1423&lt;35),0.3,0)+IF(AND(V1423&gt;=40,V1423&lt;75,W1423&gt;=35,W1423&lt;75),0.23,0)+IF(AND(V1423&gt;=40,V1423&lt;75,W1423&gt;=75,W1423&lt;120),0.17,0)+IF(AND(V1423&gt;=40,V1423&lt;75,W1423&gt;=120),0.12,0)+IF(AND(V1423&gt;=75,V1423&lt;175,W1423&lt;35),0.3,0)+IF(AND(V1423&gt;=75,V1423&lt;=175,W1423&gt;=35,W1423&lt;65),0.23,0)+IF(AND(V1423&gt;=75,V1423&lt;=175,W1423&gt;=65,W1423&lt;110),0.17,0)+IF(AND(V1423&gt;=75,V1423&lt;=175,W1423&gt;=110),0.12,0)+IF(AND(V1423&gt;175,W1423&lt;25),0.3,0)+IF(AND(V1423&gt;175,W1423&gt;=25,W1423&lt;55),0.23,0)+IF(AND(V1423&gt;175,W1423&gt;=55,W1423&lt;95),0.17,0)+IF(AND(V1423&gt;175,W1423&gt;=95),0.12,0),
IF(AF1423="DoEVsu",IF(AND(V1423&lt;20,W1423&lt;55),0.3,0)+IF(AND(V1423&lt;20,W1423&gt;=55,W1423&lt;105),0.23,0)+IF(AND(V1423&lt;20,W1423&gt;=105),0.17,0)+IF(AND(V1423&gt;=20,V1423&lt;40,W1423&lt;45),0.3,0)+IF(AND(V1423&gt;=20,V1423&lt;40,W1423&gt;=45,W1423&lt;95),0.23,0)+IF(AND(V1423&gt;=20,V1423&lt;40,W1423&gt;=95,W1423&lt;=250),0.17,0)+IF(AND(V1423&gt;=20,V1423&lt;40,W1423&gt;=250),0.12,0)+IF(AND(V1423&gt;=40,V1423&lt;75,W1423&lt;35),0.3,0)+IF(AND(V1423&gt;=40,V1423&lt;75,W1423&gt;=35,W1423&lt;75),0.23,0)+IF(AND(V1423&gt;=40,V1423&lt;75,W1423&gt;=75,W1423&lt;120),0.17,0)+IF(AND(V1423&gt;=40,V1423&lt;75,W1423&gt;=120),0.12,0)+IF(AND(V1423&gt;=75,V1423&lt;175,W1423&lt;35),0.3,0)+IF(AND(V1423&gt;=75,V1423&lt;=175,W1423&gt;=35,W1423&lt;65),0.23,0)+IF(AND(V1423&gt;=75,V1423&lt;=175,W1423&gt;=65,W1423&lt;110),0.17,0)+IF(AND(V1423&gt;=75,V1423&lt;=175,W1423&gt;=110),0.12,0)+IF(AND(V1423&gt;175,W1423&lt;25),0.3,0)+IF(AND(V1423&gt;175,W1423&gt;=25,W1423&lt;55),0.23,0)+IF(AND(V1423&gt;175,W1423&gt;=55,W1423&lt;95),0.17,0)+IF(AND(V1423&gt;175,W1423&gt;=95),0.12,0),
IF(AF1423="DoEVni",IF(AND(V1423&lt;20,W1423&lt;55),0.3,0)+IF(AND(V1423&lt;20,W1423&gt;=55,W1423&lt;105),0.23,0)+IF(AND(V1423&lt;20,W1423&gt;=105),0.17,0)+IF(AND(V1423&gt;=20,V1423&lt;40,W1423&lt;45),0.3,0)+IF(AND(V1423&gt;=20,V1423&lt;40,W1423&gt;=45,W1423&lt;95),0.23,0)+IF(AND(V1423&gt;=20,V1423&lt;40,W1423&gt;=95,W1423&lt;=200),0.17,0)+IF(AND(V1423&gt;=20,V1423&lt;40,W1423&gt;=200),0.12,0)+IF(AND(V1423&gt;=40,V1423&lt;75,W1423&lt;35),0.3,0)+IF(AND(V1423&gt;=40,V1423&lt;75,W1423&gt;=35,W1423&lt;75),0.23,0)+IF(AND(V1423&gt;=40,V1423&lt;75,W1423&gt;=75,W1423&lt;120),0.17,0)+IF(AND(V1423&gt;=40,V1423&lt;75,W1423&gt;=120),0.12,0)+IF(AND(V1423&gt;=75,V1423&lt;175,W1423&lt;35),0.3,0)+IF(AND(V1423&gt;=75,V1423&lt;=175,W1423&gt;=35,W1423&lt;65),0.23,0)+IF(AND(V1423&gt;=75,V1423&lt;=175,W1423&gt;=65,W1423&lt;110),0.17,0)+IF(AND(V1423&gt;=75,V1423&lt;=175,W1423&gt;=110),0.12,0)+IF(AND(V1423&gt;175,W1423&lt;25),0.3,0)+IF(AND(V1423&gt;175,W1423&gt;=25,W1423&lt;55),0.23,0)+IF(AND(V1423&gt;175,W1423&gt;=55,W1423&lt;95),0.17,0)+IF(AND(V1423&gt;175,W1423&gt;=95),0.12,0),
IF(AF1423="DoEVLo",IF(AND(V1423&lt;20,W1423&lt;55),0.25,0)+IF(AND(V1423&lt;20,W1423&gt;=55,W1423&lt;105),0.2,0)+IF(AND(V1423&lt;20,W1423&gt;=105),0.15,0)+IF(AND(V1423&gt;=20,V1423&lt;40,W1423&lt;45),0.25,0)+IF(AND(V1423&gt;=20,V1423&lt;40,W1423&gt;=45,W1423&lt;95),0.2,0)+IF(AND(V1423&gt;=20,V1423&lt;40,W1423&gt;=95),0.15,0)+IF(AND(V1423&gt;=40,V1423&lt;75,W1423&lt;35),0.25,0)+IF(AND(V1423&gt;=40,V1423&lt;75,W1423&gt;=35,W1423&lt;75),0.2,0)+IF(AND(V1423&gt;=40,V1423&lt;75,W1423&gt;=75,W1423&lt;120),0.15,0)+IF(AND(V1423&gt;=40,V1423&lt;75,W1423&gt;=120),0.1,0)+IF(AND(V1423&gt;=75,V1423&lt;175,W1423&lt;35),0.25,0)+IF(AND(V1423&gt;=75,V1423&lt;=175,W1423&gt;=35,W1423&lt;65),0.2,0)+IF(AND(V1423&gt;=75,V1423&lt;=175,W1423&gt;=65,W1423&lt;110),0.15,0)+IF(AND(V1423&gt;=75,V1423&lt;=175,W1423&gt;=110),0.1,0)+IF(AND(V1423&gt;175,W1423&lt;25),0.25,0)+IF(AND(V1423&gt;175,W1423&gt;=25,W1423&lt;55),0.2,0)+IF(AND(V1423&gt;175,W1423&gt;=55,W1423&lt;95),0.15,0)+IF(AND(V1423&gt;175,W1423&gt;=95),0.1,0))))))))))))))))))))</f>
        <v>0.26</v>
      </c>
      <c r="Y1423" s="30">
        <f>IF(AG1423="None",0,IF(AG1423="Fix5",0.05, IF(AG1423="Fix6.25",0.0625,IF(AG1423="Fix3.75",0.0375, IF(AG1423="Fix11",0.11, IF(AG1423="Fix10",0.1,IF(AG1423="Fix3",0.03,0)))))))</f>
        <v>0</v>
      </c>
      <c r="Z1423" s="35">
        <f>IF(AND(AD1423="EUR", AE1423 = "USD"), T1423*U1423-AA1423-AB1423, T1423-AA1423-AB1423)</f>
        <v>0</v>
      </c>
      <c r="AA1423" s="29">
        <f>IF(AND(AD1423="EUR", F1423="Without EV deal", AE1423="USD"), (T1423*X1423)*U1423,
IF(AND(AD1423="EUR", F1423="Without EV deal", AE1423="EUR"), (T1423*X1423),
IF(AND(AD1423="EUR",AE1423="USD"), (T1423*X1423)*U1423,
T1423*X1423)))</f>
        <v>0</v>
      </c>
      <c r="AB1423" s="36">
        <f>IF(AND(AD1423="EUR", F1423="Without EV deal", AE1423="USD"), (T1423*Y1423)*U1423,
IF(AND(AD1423="EUR", F1423="Without EV deal", AE1423="EUR"), (T1423*Y1423),
IF(AND(AD1423="EUR",AE1423="USD"), (T1423*Y1423)*U1423,
T1423*Y1423)))</f>
        <v>0</v>
      </c>
      <c r="AC1423" s="37" t="b">
        <v>0</v>
      </c>
      <c r="AD1423" s="82" t="str">
        <f>IF(OR(H1423="€0.25 Flash",
H1423="€0.25(nitro) new",
H1423="€1",
H1423="€2",
H1423="€2 (bf 01.08)",
H1423="€5",
H1423="€5 (1M)",
H1423="€5 (bf 01.08)",
H1423="€5 (bf 05.05)",
H1423="€5 Nitro",
H1423="€5(wx) new",
H1423="€10",
H1423="€10 (1M)",
H1423="€10 (bf 01.08)",
H1423="€10 (bf 05.05)",
H1423="€10 (MP)",
H1423="€10 (old)",
H1423="€10 Nitro (bf 05.05)",
H1423="€10 Nitro (old)",
H1423="€10(wx) new",
H1423="€20",
H1423="€25",
H1423="€25 (bf 01.08)",
H1423="€25 (bf 05.05)",
H1423="€25 (MP)",
H1423="€25 (old)",
H1423="€25 Nitro",
H1423="€25 Nitro (bf 01.08)",
H1423="€25 Nitro (bf 05.05)",
H1423="€25(nitro) new",
H1423="€25(wx) new",
H1423="€50",
H1423="€50 (bf 01.08)",
H1423="€50 (bf 05.05)",
H1423="€50 (old)",
H1423="€50 Nitro",
H1423="€50 Nitro (bf 01.08)",
H1423="€50 Nitro (bf 05.05)",
H1423="€50(wx) new",
H1423="€100",
H1423="€100 (old)",
H1423="€100 Nitro",
H1423="€100 Nitro (old)",
H1423="€200",
H1423="€250",
H1423="€250 Nitro",
H1423="€500",
H1423="€500 Nitro"),"EUR", "USD")</f>
        <v>USD</v>
      </c>
      <c r="AE1423" s="83" t="s">
        <v>38</v>
      </c>
      <c r="AF1423" s="83" t="str">
        <f t="array" ref="AF1423">INDEX('Deal Info'!D:D, MATCH(A1423,'Deal Info'!A:A, 0))</f>
        <v>SF</v>
      </c>
      <c r="AG1423" s="84" t="str">
        <f t="array" ref="AG1423">INDEX('Deal Info'!G:G, MATCH(A1423,'Deal Info'!A:A, 0))</f>
        <v>None</v>
      </c>
    </row>
    <row r="1424" spans="1:33" ht="14.25" hidden="1" x14ac:dyDescent="0.2">
      <c r="A1424" s="18" t="str">
        <f t="array" ref="A1424">IF(G1424='Room Info'!$B$1, INDEX('Room Info'!$A$2:$A2446, MATCH(B1424,'Room Info'!$B$2:$B2446, 0)),IF(G1424='Room Info'!$C$1, INDEX('Room Info'!$A$2:$A2446, MATCH(B1424,'Room Info'!$C$2:$C2446, 0)),IF(G1424='Room Info'!$D$1, INDEX('Room Info'!$A$2:$A2446, MATCH(B1424,'Room Info'!$D$2:$D2446, 0)),IF(G1424='Room Info'!$E$1, INDEX('Room Info'!$A$2:$A2446, MATCH(B1424,'Room Info'!$E$2:$E2446, 0)),IF(G1424='Room Info'!$F$1, INDEX('Room Info'!$A$2:$A2446, MATCH(B1424,'Room Info'!$F$2:$F2446, 0)),IF(G1424='Room Info'!$H$1, INDEX('Room Info'!$A$2:$A2446, MATCH(B1424,'Room Info'!$H$2:$H2446, 0)),IF(G1424='Room Info'!$G$1, INDEX('Room Info'!$A$2:$A2446, MATCH(B1424,'Room Info'!$G$2:$G2446, 0)))))))))</f>
        <v>AlexanderDSL</v>
      </c>
      <c r="B1424" s="85" t="s">
        <v>82</v>
      </c>
      <c r="C1424" s="86">
        <v>44947</v>
      </c>
      <c r="D1424" s="87">
        <v>44977</v>
      </c>
      <c r="E1424" s="21">
        <v>44958</v>
      </c>
      <c r="F1424" s="22" t="s">
        <v>34</v>
      </c>
      <c r="G1424" s="18" t="s">
        <v>35</v>
      </c>
      <c r="H1424" s="23" t="s">
        <v>70</v>
      </c>
      <c r="I1424" s="23" t="s">
        <v>37</v>
      </c>
      <c r="J1424" s="39">
        <v>100</v>
      </c>
      <c r="K1424" s="88">
        <v>3206</v>
      </c>
      <c r="L1424" s="89">
        <v>-10000</v>
      </c>
      <c r="M1424" s="42">
        <v>12950</v>
      </c>
      <c r="N1424" s="28">
        <f>K1424*J1424</f>
        <v>320600</v>
      </c>
      <c r="O1424" s="85">
        <v>29082</v>
      </c>
      <c r="P1424" s="29">
        <v>9.0711166559999992</v>
      </c>
      <c r="Q1424" s="30"/>
      <c r="R1424" s="31">
        <f>M1424+Q1424</f>
        <v>12950</v>
      </c>
      <c r="S1424" s="119">
        <v>-14069</v>
      </c>
      <c r="T1424" s="32">
        <f>IF(AND(AD1424="EUR", F1424="Without EV deal"), R1424 + L1424,
IF(AND(AD1424="USD", F1424="Without EV deal"), R1424 + L1424,
IF(AND(AD1424="EUR", F1424="Steel Phoenix"), R1424 + S1424/U1424,
R1424 + S1424)))</f>
        <v>-1119</v>
      </c>
      <c r="U1424" s="33">
        <v>1.0669999999999999</v>
      </c>
      <c r="V1424" s="34"/>
      <c r="W1424" s="34"/>
      <c r="X1424" s="30">
        <f>IF(AF1424="DoEV",IF(AND(V1424&lt;20,W1424&lt;55),0.3,0)+IF(AND(V1424&lt;20,W1424&gt;=55,W1424&lt;105),0.23,0)+IF(AND(V1424&lt;20,W1424&gt;=105),0.17,0)+IF(AND(V1424&gt;=20,V1424&lt;40,W1424&lt;45),0.3,0)+IF(AND(V1424&gt;=20,V1424&lt;40,W1424&gt;=45,W1424&lt;95),0.23,0)+IF(AND(V1424&gt;=20,V1424&lt;40,W1424&gt;=95),0.17,0)+IF(AND(V1424&gt;=40,V1424&lt;75,W1424&lt;35),0.3,0)+IF(AND(V1424&gt;=40,V1424&lt;75,W1424&gt;=35,W1424&lt;75),0.23,0)+IF(AND(V1424&gt;=40,V1424&lt;75,W1424&gt;=75,W1424&lt;120),0.17,0)+IF(AND(V1424&gt;=40,V1424&lt;75,W1424&gt;=120),0.12,0)+IF(AND(V1424&gt;=75,V1424&lt;175,W1424&lt;35),0.3,0)+IF(AND(V1424&gt;=75,V1424&lt;=175,W1424&gt;=35,W1424&lt;65),0.23,0)+IF(AND(V1424&gt;=75,V1424&lt;=175,W1424&gt;=65,W1424&lt;110),0.17,0)+IF(AND(V1424&gt;=75,V1424&lt;=175,W1424&gt;=110),0.12,0)+IF(AND(V1424&gt;175,W1424&lt;25),0.3,0)+IF(AND(V1424&gt;175,W1424&gt;=25,W1424&lt;55),0.23,0)+IF(AND(V1424&gt;175,W1424&gt;=55,W1424&lt;95),0.17,0)+IF(AND(V1424&gt;175,W1424&gt;=95),0.12,0),
IF(AF1424="Fix15",0.15,
IF(AF1424="Fix5",0.05,
IF(AF1424="Fix18.75",0.1875,
IF(AF1424="Fix11.25",0.1125,
IF(AF1424="Fix10",0.1,
IF(AF1424="Fix9",0.09,
IF(AF1424="Fix12",0.12,
IF(AF1424="Fix19",0.19,
IF(AF1424="DoEV2017",IF(AND(W1424&lt;74),0.2,0)+IF(AND(W1424&gt;=74),0.17,0),
IF(AF1424="SF",IF(AND(V1424&lt;20,W1424&lt;89),0.3,0)+IF(AND(V1424&lt;20,W1424&gt;=89),0.25,0)+IF(AND(V1424&gt;=20,V1424&lt;40,W1424&lt;74),0.3,0)+IF(AND(V1424&gt;=20,V1424&lt;40,W1424&gt;=75),0.22,0)+IF(AND(V1424&gt;=40,V1424&lt;75,W1424&lt;75),0.26,0)+IF(AND(V1424&gt;=40,V1424&lt;75,W1424&gt;=75),0.22,0)+IF(V1424&gt;=75,0.22,0),
IF(AF1424="DoEVold",IF(AND(V1424&lt;40,W1424&lt;35),0.35,0)+IF(AND(V1424&lt;40,W1424&gt;=35,W1424&lt;75),0.25,0)+IF(AND(V1424&lt;40,W1424&gt;=75),0.17,0)+IF(AND(V1424&gt;=40,V1424&lt;75,W1424&lt;25),0.35,0)+IF(AND(V1424&gt;=40,V1424&lt;75,W1424&gt;=25,W1424&lt;65),0.25,0)+IF(AND(V1424&gt;=40,V1424&lt;75,W1424&gt;=65,W1424&lt;100),0.17,0)+IF(AND(V1424&gt;=40,V1424&lt;75,W1424&gt;=100),0.1,0)+IF(AND(V1424&gt;=75,W1424&lt;25),0.35,0)+IF(AND(V1424&gt;=75,W1424&gt;=25,W1424&lt;60),0.25,0)+IF(AND(V1424&gt;=75,W1424&gt;=60,W1424&lt;95),0.17,0)+IF(AND(V1424&gt;=75,W1424&gt;=95),0.1,0),
IF(AF1424="DoEVold15",IF(AND(V1424&lt;=40,W1424&lt;35),0.35,0)+IF(AND(V1424&lt;=40,W1424&gt;=35,W1424&lt;75),0.25,0)+IF(AND(V1424&lt;=40,W1424&gt;=75,W1424&lt;120),0.17,0)+IF(AND(V1424&lt;=40,W1424&gt;=120),0.15,0)+IF(AND(V1424&gt;40,V1424&lt;75,W1424&lt;25),0.35,0)+IF(AND(V1424&gt;=40,V1424&lt;75,W1424&gt;=25,W1424&lt;65),0.25,0)+IF(AND(V1424&gt;=40,V1424&lt;75,W1424&gt;=65,W1424&lt;100),0.17,0)+IF(AND(V1424&gt;=40,V1424&lt;75,W1424&gt;=100),0.1,0)+IF(AND(V1424&gt;=75,W1424&lt;25),0.35,0)+IF(AND(V1424&gt;=75,W1424&gt;=25,W1424&lt;60),0.25,0)+IF(AND(V1424&gt;=75,W1424&gt;=60,W1424&lt;95),0.17,0)+IF(AND(V1424&gt;=75,W1424&gt;=95),0.1,0),
IF(AF1424="DoEVba",IF(AND(V1424&lt;20,W1424&lt;105),0.2,0)+IF(AND(V1424&lt;20,W1424&gt;=105),0.15,0)+IF(AND(V1424&gt;=20,V1424&lt;40,W1424&lt;95),0.2,0)+IF(AND(V1424&gt;=20,V1424&lt;40,W1424&gt;=95,W1424&lt;150),0.15,0)+IF(AND(V1424&gt;=20,V1424&lt;40,W1424&gt;=150),0.12,0)+IF(AND(V1424&gt;=40,V1424&lt;75,W1424&lt;75),0.2,0)+IF(AND(V1424&gt;=40,V1424&lt;75,W1424&gt;=75,W1424&lt;120),0.15,0)+IF(AND(V1424&gt;=40,V1424&lt;75,W1424&gt;=120),0.12,0)+IF(AND(V1424&gt;=75,V1424&lt;175,W1424&lt;65),0.2,0)+IF(AND(V1424&gt;=75,V1424&lt;175,W1424&gt;=65,W1424&lt;110),0.15,0)+IF(AND(V1424&gt;=75,V1424&lt;175,W1424&gt;=110),0.12,0)+IF(AND(V1424&gt;=175,W1424&lt;55),0.2,0)+IF(AND(V1424&gt;=175,W1424&gt;=55,W1424&lt;95),0.15,0)+IF(AND(V1424&gt;=175,W1424&gt;=95),0.12,0),
IF(AF1424="DoEVku",IF(AND(V1424&lt;20,W1424&lt;55),0.23,0)+IF(AND(V1424&lt;20,W1424&gt;=55,W1424&lt;105),0.2,0)+IF(AND(V1424&lt;20,W1424&gt;=105),0.17,0)+IF(AND(V1424&gt;=20,V1424&lt;40,W1424&lt;45),0.23,0)+IF(AND(V1424&gt;=20,V1424&lt;40,W1424&gt;=45,W1424&lt;95),0.2,0)+IF(AND(V1424&gt;=20,V1424&lt;40,W1424&gt;=95,W1424&lt;=150),0.17,0)+IF(AND(V1424&gt;=20,V1424&lt;40,W1424&gt;=150),0.12,0)+IF(AND(V1424&gt;=40,V1424&lt;75,W1424&lt;35),0.23,0)+IF(AND(V1424&gt;=40,V1424&lt;75,W1424&gt;=35,W1424&lt;75),0.2,0)+IF(AND(V1424&gt;=40,V1424&lt;75,W1424&gt;=75,W1424&lt;120),0.17,0)+IF(AND(V1424&gt;=40,V1424&lt;75,W1424&gt;=120),0.12,0)+IF(AND(V1424&gt;=75,V1424&lt;175,W1424&lt;35),0.23,0)+IF(AND(V1424&gt;=75,V1424&lt;=175,W1424&gt;=35,W1424&lt;65),0.2,0)+IF(AND(V1424&gt;=75,V1424&lt;=175,W1424&gt;=65,W1424&lt;110),0.17,0)+IF(AND(V1424&gt;=75,V1424&lt;=175,W1424&gt;=110),0.12,0)+IF(AND(V1424&gt;175,W1424&lt;25),0.23,0)+IF(AND(V1424&gt;175,W1424&gt;=25,W1424&lt;55),0.2,0)+IF(AND(V1424&gt;175,W1424&gt;=55,W1424&lt;95),0.17,0)+IF(AND(V1424&gt;175,W1424&gt;=95),0.12,0),
IF(AF1424="DoEVs1",IF(AND(V1424&lt;20,W1424&lt;55),0.3,0)+IF(AND(V1424&lt;20,W1424&gt;=55,W1424&lt;105),0.23,0)+IF(AND(V1424&lt;20,W1424&gt;=105),0.17,0)+IF(AND(V1424&gt;=20,V1424&lt;40,W1424&lt;45),0.3,0)+IF(AND(V1424&gt;=20,V1424&lt;40,W1424&gt;=45,W1424&lt;95),0.23,0)+IF(AND(V1424&gt;=20,V1424&lt;40,W1424&gt;=95,W1424&lt;=150),0.17,0)+IF(AND(V1424&gt;=20,V1424&lt;40,W1424&gt;=150),0.12,0)+IF(AND(V1424&gt;=40,V1424&lt;75,W1424&lt;35),0.3,0)+IF(AND(V1424&gt;=40,V1424&lt;75,W1424&gt;=35,W1424&lt;75),0.23,0)+IF(AND(V1424&gt;=40,V1424&lt;75,W1424&gt;=75,W1424&lt;120),0.17,0)+IF(AND(V1424&gt;=40,V1424&lt;75,W1424&gt;=120),0.12,0)+IF(AND(V1424&gt;=75,V1424&lt;175,W1424&lt;35),0.3,0)+IF(AND(V1424&gt;=75,V1424&lt;=175,W1424&gt;=35,W1424&lt;65),0.23,0)+IF(AND(V1424&gt;=75,V1424&lt;=175,W1424&gt;=65,W1424&lt;110),0.17,0)+IF(AND(V1424&gt;=75,V1424&lt;=175,W1424&gt;=110),0.12,0)+IF(AND(V1424&gt;175,W1424&lt;25),0.3,0)+IF(AND(V1424&gt;175,W1424&gt;=25,W1424&lt;55),0.23,0)+IF(AND(V1424&gt;175,W1424&gt;=55,W1424&lt;95),0.17,0)+IF(AND(V1424&gt;175,W1424&gt;=95),0.12,0),
IF(AF1424="DoEVsu",IF(AND(V1424&lt;20,W1424&lt;55),0.3,0)+IF(AND(V1424&lt;20,W1424&gt;=55,W1424&lt;105),0.23,0)+IF(AND(V1424&lt;20,W1424&gt;=105),0.17,0)+IF(AND(V1424&gt;=20,V1424&lt;40,W1424&lt;45),0.3,0)+IF(AND(V1424&gt;=20,V1424&lt;40,W1424&gt;=45,W1424&lt;95),0.23,0)+IF(AND(V1424&gt;=20,V1424&lt;40,W1424&gt;=95,W1424&lt;=250),0.17,0)+IF(AND(V1424&gt;=20,V1424&lt;40,W1424&gt;=250),0.12,0)+IF(AND(V1424&gt;=40,V1424&lt;75,W1424&lt;35),0.3,0)+IF(AND(V1424&gt;=40,V1424&lt;75,W1424&gt;=35,W1424&lt;75),0.23,0)+IF(AND(V1424&gt;=40,V1424&lt;75,W1424&gt;=75,W1424&lt;120),0.17,0)+IF(AND(V1424&gt;=40,V1424&lt;75,W1424&gt;=120),0.12,0)+IF(AND(V1424&gt;=75,V1424&lt;175,W1424&lt;35),0.3,0)+IF(AND(V1424&gt;=75,V1424&lt;=175,W1424&gt;=35,W1424&lt;65),0.23,0)+IF(AND(V1424&gt;=75,V1424&lt;=175,W1424&gt;=65,W1424&lt;110),0.17,0)+IF(AND(V1424&gt;=75,V1424&lt;=175,W1424&gt;=110),0.12,0)+IF(AND(V1424&gt;175,W1424&lt;25),0.3,0)+IF(AND(V1424&gt;175,W1424&gt;=25,W1424&lt;55),0.23,0)+IF(AND(V1424&gt;175,W1424&gt;=55,W1424&lt;95),0.17,0)+IF(AND(V1424&gt;175,W1424&gt;=95),0.12,0),
IF(AF1424="DoEVni",IF(AND(V1424&lt;20,W1424&lt;55),0.3,0)+IF(AND(V1424&lt;20,W1424&gt;=55,W1424&lt;105),0.23,0)+IF(AND(V1424&lt;20,W1424&gt;=105),0.17,0)+IF(AND(V1424&gt;=20,V1424&lt;40,W1424&lt;45),0.3,0)+IF(AND(V1424&gt;=20,V1424&lt;40,W1424&gt;=45,W1424&lt;95),0.23,0)+IF(AND(V1424&gt;=20,V1424&lt;40,W1424&gt;=95,W1424&lt;=200),0.17,0)+IF(AND(V1424&gt;=20,V1424&lt;40,W1424&gt;=200),0.12,0)+IF(AND(V1424&gt;=40,V1424&lt;75,W1424&lt;35),0.3,0)+IF(AND(V1424&gt;=40,V1424&lt;75,W1424&gt;=35,W1424&lt;75),0.23,0)+IF(AND(V1424&gt;=40,V1424&lt;75,W1424&gt;=75,W1424&lt;120),0.17,0)+IF(AND(V1424&gt;=40,V1424&lt;75,W1424&gt;=120),0.12,0)+IF(AND(V1424&gt;=75,V1424&lt;175,W1424&lt;35),0.3,0)+IF(AND(V1424&gt;=75,V1424&lt;=175,W1424&gt;=35,W1424&lt;65),0.23,0)+IF(AND(V1424&gt;=75,V1424&lt;=175,W1424&gt;=65,W1424&lt;110),0.17,0)+IF(AND(V1424&gt;=75,V1424&lt;=175,W1424&gt;=110),0.12,0)+IF(AND(V1424&gt;175,W1424&lt;25),0.3,0)+IF(AND(V1424&gt;175,W1424&gt;=25,W1424&lt;55),0.23,0)+IF(AND(V1424&gt;175,W1424&gt;=55,W1424&lt;95),0.17,0)+IF(AND(V1424&gt;175,W1424&gt;=95),0.12,0),
IF(AF1424="DoEVLo",IF(AND(V1424&lt;20,W1424&lt;55),0.25,0)+IF(AND(V1424&lt;20,W1424&gt;=55,W1424&lt;105),0.2,0)+IF(AND(V1424&lt;20,W1424&gt;=105),0.15,0)+IF(AND(V1424&gt;=20,V1424&lt;40,W1424&lt;45),0.25,0)+IF(AND(V1424&gt;=20,V1424&lt;40,W1424&gt;=45,W1424&lt;95),0.2,0)+IF(AND(V1424&gt;=20,V1424&lt;40,W1424&gt;=95),0.15,0)+IF(AND(V1424&gt;=40,V1424&lt;75,W1424&lt;35),0.25,0)+IF(AND(V1424&gt;=40,V1424&lt;75,W1424&gt;=35,W1424&lt;75),0.2,0)+IF(AND(V1424&gt;=40,V1424&lt;75,W1424&gt;=75,W1424&lt;120),0.15,0)+IF(AND(V1424&gt;=40,V1424&lt;75,W1424&gt;=120),0.1,0)+IF(AND(V1424&gt;=75,V1424&lt;175,W1424&lt;35),0.25,0)+IF(AND(V1424&gt;=75,V1424&lt;=175,W1424&gt;=35,W1424&lt;65),0.2,0)+IF(AND(V1424&gt;=75,V1424&lt;=175,W1424&gt;=65,W1424&lt;110),0.15,0)+IF(AND(V1424&gt;=75,V1424&lt;=175,W1424&gt;=110),0.1,0)+IF(AND(V1424&gt;175,W1424&lt;25),0.25,0)+IF(AND(V1424&gt;175,W1424&gt;=25,W1424&lt;55),0.2,0)+IF(AND(V1424&gt;175,W1424&gt;=55,W1424&lt;95),0.15,0)+IF(AND(V1424&gt;175,W1424&gt;=95),0.1,0))))))))))))))))))))</f>
        <v>0.15</v>
      </c>
      <c r="Y1424" s="30">
        <f>IF(AG1424="None",0,IF(AG1424="Fix5",0.05, IF(AG1424="Fix6.25",0.0625,IF(AG1424="Fix3.75",0.0375, IF(AG1424="Fix11",0.11, IF(AG1424="Fix10",0.1,IF(AG1424="Fix3",0.03,0)))))))</f>
        <v>0.05</v>
      </c>
      <c r="Z1424" s="35">
        <f>IF(AND(AD1424="EUR", AE1424 = "USD"), T1424*U1424-AA1424-AB1424, T1424-AA1424-AB1424)</f>
        <v>-895.19999999999993</v>
      </c>
      <c r="AA1424" s="29">
        <f>IF(AND(AD1424="EUR", F1424="Without EV deal", AE1424="USD"), (T1424*X1424)*U1424,
IF(AND(AD1424="EUR", F1424="Without EV deal", AE1424="EUR"), (T1424*X1424),
IF(AND(AD1424="EUR",AE1424="USD"), (T1424*X1424)*U1424,
T1424*X1424)))</f>
        <v>-167.85</v>
      </c>
      <c r="AB1424" s="36">
        <f>IF(AND(AD1424="EUR", F1424="Without EV deal", AE1424="USD"), (T1424*Y1424)*U1424,
IF(AND(AD1424="EUR", F1424="Without EV deal", AE1424="EUR"), (T1424*Y1424),
IF(AND(AD1424="EUR",AE1424="USD"), (T1424*Y1424)*U1424,
T1424*Y1424)))</f>
        <v>-55.95</v>
      </c>
      <c r="AC1424" s="61" t="b">
        <v>1</v>
      </c>
      <c r="AD1424" s="82" t="str">
        <f>IF(OR(H1424="€0.25 Flash",
H1424="€0.25(nitro) new",
H1424="€1",
H1424="€2",
H1424="€2 (bf 01.08)",
H1424="€5",
H1424="€5 (1M)",
H1424="€5 (bf 01.08)",
H1424="€5 (bf 05.05)",
H1424="€5 Nitro",
H1424="€5(wx) new",
H1424="€10",
H1424="€10 (1M)",
H1424="€10 (bf 01.08)",
H1424="€10 (bf 05.05)",
H1424="€10 (MP)",
H1424="€10 (old)",
H1424="€10 Nitro (bf 05.05)",
H1424="€10 Nitro (old)",
H1424="€10(wx) new",
H1424="€20",
H1424="€25",
H1424="€25 (bf 01.08)",
H1424="€25 (bf 05.05)",
H1424="€25 (MP)",
H1424="€25 (old)",
H1424="€25 Nitro",
H1424="€25 Nitro (bf 01.08)",
H1424="€25 Nitro (bf 05.05)",
H1424="€25(nitro) new",
H1424="€25(wx) new",
H1424="€50",
H1424="€50 (bf 01.08)",
H1424="€50 (bf 05.05)",
H1424="€50 (old)",
H1424="€50 Nitro",
H1424="€50 Nitro (bf 01.08)",
H1424="€50 Nitro (bf 05.05)",
H1424="€50(wx) new",
H1424="€100",
H1424="€100 (old)",
H1424="€100 Nitro",
H1424="€100 Nitro (old)",
H1424="€200",
H1424="€250",
H1424="€250 Nitro",
H1424="€500",
H1424="€500 Nitro"),"EUR", "USD")</f>
        <v>USD</v>
      </c>
      <c r="AE1424" s="83" t="s">
        <v>38</v>
      </c>
      <c r="AF1424" s="83" t="str">
        <f t="array" ref="AF1424">INDEX('Deal Info'!D:D, MATCH(A1424,'Deal Info'!A:A, 0))</f>
        <v>Fix15</v>
      </c>
      <c r="AG1424" s="84" t="str">
        <f t="array" ref="AG1424">INDEX('Deal Info'!G:G, MATCH(A1424,'Deal Info'!A:A, 0))</f>
        <v>Fix5</v>
      </c>
    </row>
    <row r="1425" spans="1:33" ht="14.25" hidden="1" x14ac:dyDescent="0.2">
      <c r="A1425" s="18" t="str">
        <f t="array" ref="A1425">IF(G1425='Room Info'!$B$1, INDEX('Room Info'!$A$2:$A2446, MATCH(B1425,'Room Info'!$B$2:$B2446, 0)),IF(G1425='Room Info'!$C$1, INDEX('Room Info'!$A$2:$A2446, MATCH(B1425,'Room Info'!$C$2:$C2446, 0)),IF(G1425='Room Info'!$D$1, INDEX('Room Info'!$A$2:$A2446, MATCH(B1425,'Room Info'!$D$2:$D2446, 0)),IF(G1425='Room Info'!$E$1, INDEX('Room Info'!$A$2:$A2446, MATCH(B1425,'Room Info'!$E$2:$E2446, 0)),IF(G1425='Room Info'!$F$1, INDEX('Room Info'!$A$2:$A2446, MATCH(B1425,'Room Info'!$F$2:$F2446, 0)),IF(G1425='Room Info'!$H$1, INDEX('Room Info'!$A$2:$A2446, MATCH(B1425,'Room Info'!$H$2:$H2446, 0)),IF(G1425='Room Info'!$G$1, INDEX('Room Info'!$A$2:$A2446, MATCH(B1425,'Room Info'!$G$2:$G2446, 0)))))))))</f>
        <v>AlexanderDSL</v>
      </c>
      <c r="B1425" s="85" t="s">
        <v>82</v>
      </c>
      <c r="C1425" s="86">
        <v>44947</v>
      </c>
      <c r="D1425" s="87">
        <v>44977</v>
      </c>
      <c r="E1425" s="21">
        <v>44958</v>
      </c>
      <c r="F1425" s="22" t="s">
        <v>34</v>
      </c>
      <c r="G1425" s="18" t="s">
        <v>35</v>
      </c>
      <c r="H1425" s="23" t="s">
        <v>84</v>
      </c>
      <c r="I1425" s="23" t="s">
        <v>44</v>
      </c>
      <c r="J1425" s="39">
        <v>100</v>
      </c>
      <c r="K1425" s="88">
        <v>194</v>
      </c>
      <c r="L1425" s="89">
        <v>-1600</v>
      </c>
      <c r="M1425" s="27"/>
      <c r="N1425" s="28">
        <f>K1425*J1425</f>
        <v>19400</v>
      </c>
      <c r="O1425" s="85">
        <v>-4892</v>
      </c>
      <c r="P1425" s="29">
        <v>-25.21649485</v>
      </c>
      <c r="Q1425" s="30"/>
      <c r="R1425" s="31">
        <f>M1425+Q1425</f>
        <v>0</v>
      </c>
      <c r="S1425" s="28"/>
      <c r="T1425" s="32">
        <f>IF(AND(AD1425="EUR", F1425="Without EV deal"), R1425 + L1425,
IF(AND(AD1425="USD", F1425="Without EV deal"), R1425 + L1425,
IF(AND(AD1425="EUR", F1425="Steel Phoenix"), R1425 + S1425/U1425,
R1425 + S1425)))</f>
        <v>0</v>
      </c>
      <c r="U1425" s="33">
        <v>1.0669999999999999</v>
      </c>
      <c r="V1425" s="34"/>
      <c r="W1425" s="34"/>
      <c r="X1425" s="30">
        <f>IF(AF1425="DoEV",IF(AND(V1425&lt;20,W1425&lt;55),0.3,0)+IF(AND(V1425&lt;20,W1425&gt;=55,W1425&lt;105),0.23,0)+IF(AND(V1425&lt;20,W1425&gt;=105),0.17,0)+IF(AND(V1425&gt;=20,V1425&lt;40,W1425&lt;45),0.3,0)+IF(AND(V1425&gt;=20,V1425&lt;40,W1425&gt;=45,W1425&lt;95),0.23,0)+IF(AND(V1425&gt;=20,V1425&lt;40,W1425&gt;=95),0.17,0)+IF(AND(V1425&gt;=40,V1425&lt;75,W1425&lt;35),0.3,0)+IF(AND(V1425&gt;=40,V1425&lt;75,W1425&gt;=35,W1425&lt;75),0.23,0)+IF(AND(V1425&gt;=40,V1425&lt;75,W1425&gt;=75,W1425&lt;120),0.17,0)+IF(AND(V1425&gt;=40,V1425&lt;75,W1425&gt;=120),0.12,0)+IF(AND(V1425&gt;=75,V1425&lt;175,W1425&lt;35),0.3,0)+IF(AND(V1425&gt;=75,V1425&lt;=175,W1425&gt;=35,W1425&lt;65),0.23,0)+IF(AND(V1425&gt;=75,V1425&lt;=175,W1425&gt;=65,W1425&lt;110),0.17,0)+IF(AND(V1425&gt;=75,V1425&lt;=175,W1425&gt;=110),0.12,0)+IF(AND(V1425&gt;175,W1425&lt;25),0.3,0)+IF(AND(V1425&gt;175,W1425&gt;=25,W1425&lt;55),0.23,0)+IF(AND(V1425&gt;175,W1425&gt;=55,W1425&lt;95),0.17,0)+IF(AND(V1425&gt;175,W1425&gt;=95),0.12,0),
IF(AF1425="Fix15",0.15,
IF(AF1425="Fix5",0.05,
IF(AF1425="Fix18.75",0.1875,
IF(AF1425="Fix11.25",0.1125,
IF(AF1425="Fix10",0.1,
IF(AF1425="Fix9",0.09,
IF(AF1425="Fix12",0.12,
IF(AF1425="Fix19",0.19,
IF(AF1425="DoEV2017",IF(AND(W1425&lt;74),0.2,0)+IF(AND(W1425&gt;=74),0.17,0),
IF(AF1425="SF",IF(AND(V1425&lt;20,W1425&lt;89),0.3,0)+IF(AND(V1425&lt;20,W1425&gt;=89),0.25,0)+IF(AND(V1425&gt;=20,V1425&lt;40,W1425&lt;74),0.3,0)+IF(AND(V1425&gt;=20,V1425&lt;40,W1425&gt;=75),0.22,0)+IF(AND(V1425&gt;=40,V1425&lt;75,W1425&lt;75),0.26,0)+IF(AND(V1425&gt;=40,V1425&lt;75,W1425&gt;=75),0.22,0)+IF(V1425&gt;=75,0.22,0),
IF(AF1425="DoEVold",IF(AND(V1425&lt;40,W1425&lt;35),0.35,0)+IF(AND(V1425&lt;40,W1425&gt;=35,W1425&lt;75),0.25,0)+IF(AND(V1425&lt;40,W1425&gt;=75),0.17,0)+IF(AND(V1425&gt;=40,V1425&lt;75,W1425&lt;25),0.35,0)+IF(AND(V1425&gt;=40,V1425&lt;75,W1425&gt;=25,W1425&lt;65),0.25,0)+IF(AND(V1425&gt;=40,V1425&lt;75,W1425&gt;=65,W1425&lt;100),0.17,0)+IF(AND(V1425&gt;=40,V1425&lt;75,W1425&gt;=100),0.1,0)+IF(AND(V1425&gt;=75,W1425&lt;25),0.35,0)+IF(AND(V1425&gt;=75,W1425&gt;=25,W1425&lt;60),0.25,0)+IF(AND(V1425&gt;=75,W1425&gt;=60,W1425&lt;95),0.17,0)+IF(AND(V1425&gt;=75,W1425&gt;=95),0.1,0),
IF(AF1425="DoEVold15",IF(AND(V1425&lt;=40,W1425&lt;35),0.35,0)+IF(AND(V1425&lt;=40,W1425&gt;=35,W1425&lt;75),0.25,0)+IF(AND(V1425&lt;=40,W1425&gt;=75,W1425&lt;120),0.17,0)+IF(AND(V1425&lt;=40,W1425&gt;=120),0.15,0)+IF(AND(V1425&gt;40,V1425&lt;75,W1425&lt;25),0.35,0)+IF(AND(V1425&gt;=40,V1425&lt;75,W1425&gt;=25,W1425&lt;65),0.25,0)+IF(AND(V1425&gt;=40,V1425&lt;75,W1425&gt;=65,W1425&lt;100),0.17,0)+IF(AND(V1425&gt;=40,V1425&lt;75,W1425&gt;=100),0.1,0)+IF(AND(V1425&gt;=75,W1425&lt;25),0.35,0)+IF(AND(V1425&gt;=75,W1425&gt;=25,W1425&lt;60),0.25,0)+IF(AND(V1425&gt;=75,W1425&gt;=60,W1425&lt;95),0.17,0)+IF(AND(V1425&gt;=75,W1425&gt;=95),0.1,0),
IF(AF1425="DoEVba",IF(AND(V1425&lt;20,W1425&lt;105),0.2,0)+IF(AND(V1425&lt;20,W1425&gt;=105),0.15,0)+IF(AND(V1425&gt;=20,V1425&lt;40,W1425&lt;95),0.2,0)+IF(AND(V1425&gt;=20,V1425&lt;40,W1425&gt;=95,W1425&lt;150),0.15,0)+IF(AND(V1425&gt;=20,V1425&lt;40,W1425&gt;=150),0.12,0)+IF(AND(V1425&gt;=40,V1425&lt;75,W1425&lt;75),0.2,0)+IF(AND(V1425&gt;=40,V1425&lt;75,W1425&gt;=75,W1425&lt;120),0.15,0)+IF(AND(V1425&gt;=40,V1425&lt;75,W1425&gt;=120),0.12,0)+IF(AND(V1425&gt;=75,V1425&lt;175,W1425&lt;65),0.2,0)+IF(AND(V1425&gt;=75,V1425&lt;175,W1425&gt;=65,W1425&lt;110),0.15,0)+IF(AND(V1425&gt;=75,V1425&lt;175,W1425&gt;=110),0.12,0)+IF(AND(V1425&gt;=175,W1425&lt;55),0.2,0)+IF(AND(V1425&gt;=175,W1425&gt;=55,W1425&lt;95),0.15,0)+IF(AND(V1425&gt;=175,W1425&gt;=95),0.12,0),
IF(AF1425="DoEVku",IF(AND(V1425&lt;20,W1425&lt;55),0.23,0)+IF(AND(V1425&lt;20,W1425&gt;=55,W1425&lt;105),0.2,0)+IF(AND(V1425&lt;20,W1425&gt;=105),0.17,0)+IF(AND(V1425&gt;=20,V1425&lt;40,W1425&lt;45),0.23,0)+IF(AND(V1425&gt;=20,V1425&lt;40,W1425&gt;=45,W1425&lt;95),0.2,0)+IF(AND(V1425&gt;=20,V1425&lt;40,W1425&gt;=95,W1425&lt;=150),0.17,0)+IF(AND(V1425&gt;=20,V1425&lt;40,W1425&gt;=150),0.12,0)+IF(AND(V1425&gt;=40,V1425&lt;75,W1425&lt;35),0.23,0)+IF(AND(V1425&gt;=40,V1425&lt;75,W1425&gt;=35,W1425&lt;75),0.2,0)+IF(AND(V1425&gt;=40,V1425&lt;75,W1425&gt;=75,W1425&lt;120),0.17,0)+IF(AND(V1425&gt;=40,V1425&lt;75,W1425&gt;=120),0.12,0)+IF(AND(V1425&gt;=75,V1425&lt;175,W1425&lt;35),0.23,0)+IF(AND(V1425&gt;=75,V1425&lt;=175,W1425&gt;=35,W1425&lt;65),0.2,0)+IF(AND(V1425&gt;=75,V1425&lt;=175,W1425&gt;=65,W1425&lt;110),0.17,0)+IF(AND(V1425&gt;=75,V1425&lt;=175,W1425&gt;=110),0.12,0)+IF(AND(V1425&gt;175,W1425&lt;25),0.23,0)+IF(AND(V1425&gt;175,W1425&gt;=25,W1425&lt;55),0.2,0)+IF(AND(V1425&gt;175,W1425&gt;=55,W1425&lt;95),0.17,0)+IF(AND(V1425&gt;175,W1425&gt;=95),0.12,0),
IF(AF1425="DoEVs1",IF(AND(V1425&lt;20,W1425&lt;55),0.3,0)+IF(AND(V1425&lt;20,W1425&gt;=55,W1425&lt;105),0.23,0)+IF(AND(V1425&lt;20,W1425&gt;=105),0.17,0)+IF(AND(V1425&gt;=20,V1425&lt;40,W1425&lt;45),0.3,0)+IF(AND(V1425&gt;=20,V1425&lt;40,W1425&gt;=45,W1425&lt;95),0.23,0)+IF(AND(V1425&gt;=20,V1425&lt;40,W1425&gt;=95,W1425&lt;=150),0.17,0)+IF(AND(V1425&gt;=20,V1425&lt;40,W1425&gt;=150),0.12,0)+IF(AND(V1425&gt;=40,V1425&lt;75,W1425&lt;35),0.3,0)+IF(AND(V1425&gt;=40,V1425&lt;75,W1425&gt;=35,W1425&lt;75),0.23,0)+IF(AND(V1425&gt;=40,V1425&lt;75,W1425&gt;=75,W1425&lt;120),0.17,0)+IF(AND(V1425&gt;=40,V1425&lt;75,W1425&gt;=120),0.12,0)+IF(AND(V1425&gt;=75,V1425&lt;175,W1425&lt;35),0.3,0)+IF(AND(V1425&gt;=75,V1425&lt;=175,W1425&gt;=35,W1425&lt;65),0.23,0)+IF(AND(V1425&gt;=75,V1425&lt;=175,W1425&gt;=65,W1425&lt;110),0.17,0)+IF(AND(V1425&gt;=75,V1425&lt;=175,W1425&gt;=110),0.12,0)+IF(AND(V1425&gt;175,W1425&lt;25),0.3,0)+IF(AND(V1425&gt;175,W1425&gt;=25,W1425&lt;55),0.23,0)+IF(AND(V1425&gt;175,W1425&gt;=55,W1425&lt;95),0.17,0)+IF(AND(V1425&gt;175,W1425&gt;=95),0.12,0),
IF(AF1425="DoEVsu",IF(AND(V1425&lt;20,W1425&lt;55),0.3,0)+IF(AND(V1425&lt;20,W1425&gt;=55,W1425&lt;105),0.23,0)+IF(AND(V1425&lt;20,W1425&gt;=105),0.17,0)+IF(AND(V1425&gt;=20,V1425&lt;40,W1425&lt;45),0.3,0)+IF(AND(V1425&gt;=20,V1425&lt;40,W1425&gt;=45,W1425&lt;95),0.23,0)+IF(AND(V1425&gt;=20,V1425&lt;40,W1425&gt;=95,W1425&lt;=250),0.17,0)+IF(AND(V1425&gt;=20,V1425&lt;40,W1425&gt;=250),0.12,0)+IF(AND(V1425&gt;=40,V1425&lt;75,W1425&lt;35),0.3,0)+IF(AND(V1425&gt;=40,V1425&lt;75,W1425&gt;=35,W1425&lt;75),0.23,0)+IF(AND(V1425&gt;=40,V1425&lt;75,W1425&gt;=75,W1425&lt;120),0.17,0)+IF(AND(V1425&gt;=40,V1425&lt;75,W1425&gt;=120),0.12,0)+IF(AND(V1425&gt;=75,V1425&lt;175,W1425&lt;35),0.3,0)+IF(AND(V1425&gt;=75,V1425&lt;=175,W1425&gt;=35,W1425&lt;65),0.23,0)+IF(AND(V1425&gt;=75,V1425&lt;=175,W1425&gt;=65,W1425&lt;110),0.17,0)+IF(AND(V1425&gt;=75,V1425&lt;=175,W1425&gt;=110),0.12,0)+IF(AND(V1425&gt;175,W1425&lt;25),0.3,0)+IF(AND(V1425&gt;175,W1425&gt;=25,W1425&lt;55),0.23,0)+IF(AND(V1425&gt;175,W1425&gt;=55,W1425&lt;95),0.17,0)+IF(AND(V1425&gt;175,W1425&gt;=95),0.12,0),
IF(AF1425="DoEVni",IF(AND(V1425&lt;20,W1425&lt;55),0.3,0)+IF(AND(V1425&lt;20,W1425&gt;=55,W1425&lt;105),0.23,0)+IF(AND(V1425&lt;20,W1425&gt;=105),0.17,0)+IF(AND(V1425&gt;=20,V1425&lt;40,W1425&lt;45),0.3,0)+IF(AND(V1425&gt;=20,V1425&lt;40,W1425&gt;=45,W1425&lt;95),0.23,0)+IF(AND(V1425&gt;=20,V1425&lt;40,W1425&gt;=95,W1425&lt;=200),0.17,0)+IF(AND(V1425&gt;=20,V1425&lt;40,W1425&gt;=200),0.12,0)+IF(AND(V1425&gt;=40,V1425&lt;75,W1425&lt;35),0.3,0)+IF(AND(V1425&gt;=40,V1425&lt;75,W1425&gt;=35,W1425&lt;75),0.23,0)+IF(AND(V1425&gt;=40,V1425&lt;75,W1425&gt;=75,W1425&lt;120),0.17,0)+IF(AND(V1425&gt;=40,V1425&lt;75,W1425&gt;=120),0.12,0)+IF(AND(V1425&gt;=75,V1425&lt;175,W1425&lt;35),0.3,0)+IF(AND(V1425&gt;=75,V1425&lt;=175,W1425&gt;=35,W1425&lt;65),0.23,0)+IF(AND(V1425&gt;=75,V1425&lt;=175,W1425&gt;=65,W1425&lt;110),0.17,0)+IF(AND(V1425&gt;=75,V1425&lt;=175,W1425&gt;=110),0.12,0)+IF(AND(V1425&gt;175,W1425&lt;25),0.3,0)+IF(AND(V1425&gt;175,W1425&gt;=25,W1425&lt;55),0.23,0)+IF(AND(V1425&gt;175,W1425&gt;=55,W1425&lt;95),0.17,0)+IF(AND(V1425&gt;175,W1425&gt;=95),0.12,0),
IF(AF1425="DoEVLo",IF(AND(V1425&lt;20,W1425&lt;55),0.25,0)+IF(AND(V1425&lt;20,W1425&gt;=55,W1425&lt;105),0.2,0)+IF(AND(V1425&lt;20,W1425&gt;=105),0.15,0)+IF(AND(V1425&gt;=20,V1425&lt;40,W1425&lt;45),0.25,0)+IF(AND(V1425&gt;=20,V1425&lt;40,W1425&gt;=45,W1425&lt;95),0.2,0)+IF(AND(V1425&gt;=20,V1425&lt;40,W1425&gt;=95),0.15,0)+IF(AND(V1425&gt;=40,V1425&lt;75,W1425&lt;35),0.25,0)+IF(AND(V1425&gt;=40,V1425&lt;75,W1425&gt;=35,W1425&lt;75),0.2,0)+IF(AND(V1425&gt;=40,V1425&lt;75,W1425&gt;=75,W1425&lt;120),0.15,0)+IF(AND(V1425&gt;=40,V1425&lt;75,W1425&gt;=120),0.1,0)+IF(AND(V1425&gt;=75,V1425&lt;175,W1425&lt;35),0.25,0)+IF(AND(V1425&gt;=75,V1425&lt;=175,W1425&gt;=35,W1425&lt;65),0.2,0)+IF(AND(V1425&gt;=75,V1425&lt;=175,W1425&gt;=65,W1425&lt;110),0.15,0)+IF(AND(V1425&gt;=75,V1425&lt;=175,W1425&gt;=110),0.1,0)+IF(AND(V1425&gt;175,W1425&lt;25),0.25,0)+IF(AND(V1425&gt;175,W1425&gt;=25,W1425&lt;55),0.2,0)+IF(AND(V1425&gt;175,W1425&gt;=55,W1425&lt;95),0.15,0)+IF(AND(V1425&gt;175,W1425&gt;=95),0.1,0))))))))))))))))))))</f>
        <v>0.15</v>
      </c>
      <c r="Y1425" s="30">
        <f>IF(AG1425="None",0,IF(AG1425="Fix5",0.05, IF(AG1425="Fix6.25",0.0625,IF(AG1425="Fix3.75",0.0375, IF(AG1425="Fix11",0.11, IF(AG1425="Fix10",0.1,IF(AG1425="Fix3",0.03,0)))))))</f>
        <v>0.05</v>
      </c>
      <c r="Z1425" s="35">
        <f>IF(AND(AD1425="EUR", AE1425 = "USD"), T1425*U1425-AA1425-AB1425, T1425-AA1425-AB1425)</f>
        <v>0</v>
      </c>
      <c r="AA1425" s="29">
        <f>IF(AND(AD1425="EUR", F1425="Without EV deal", AE1425="USD"), (T1425*X1425)*U1425,
IF(AND(AD1425="EUR", F1425="Without EV deal", AE1425="EUR"), (T1425*X1425),
IF(AND(AD1425="EUR",AE1425="USD"), (T1425*X1425)*U1425,
T1425*X1425)))</f>
        <v>0</v>
      </c>
      <c r="AB1425" s="36">
        <f>IF(AND(AD1425="EUR", F1425="Without EV deal", AE1425="USD"), (T1425*Y1425)*U1425,
IF(AND(AD1425="EUR", F1425="Without EV deal", AE1425="EUR"), (T1425*Y1425),
IF(AND(AD1425="EUR",AE1425="USD"), (T1425*Y1425)*U1425,
T1425*Y1425)))</f>
        <v>0</v>
      </c>
      <c r="AC1425" s="61" t="b">
        <v>1</v>
      </c>
      <c r="AD1425" s="82" t="str">
        <f>IF(OR(H1425="€0.25 Flash",
H1425="€0.25(nitro) new",
H1425="€1",
H1425="€2",
H1425="€2 (bf 01.08)",
H1425="€5",
H1425="€5 (1M)",
H1425="€5 (bf 01.08)",
H1425="€5 (bf 05.05)",
H1425="€5 Nitro",
H1425="€5(wx) new",
H1425="€10",
H1425="€10 (1M)",
H1425="€10 (bf 01.08)",
H1425="€10 (bf 05.05)",
H1425="€10 (MP)",
H1425="€10 (old)",
H1425="€10 Nitro (bf 05.05)",
H1425="€10 Nitro (old)",
H1425="€10(wx) new",
H1425="€20",
H1425="€25",
H1425="€25 (bf 01.08)",
H1425="€25 (bf 05.05)",
H1425="€25 (MP)",
H1425="€25 (old)",
H1425="€25 Nitro",
H1425="€25 Nitro (bf 01.08)",
H1425="€25 Nitro (bf 05.05)",
H1425="€25(nitro) new",
H1425="€25(wx) new",
H1425="€50",
H1425="€50 (bf 01.08)",
H1425="€50 (bf 05.05)",
H1425="€50 (old)",
H1425="€50 Nitro",
H1425="€50 Nitro (bf 01.08)",
H1425="€50 Nitro (bf 05.05)",
H1425="€50(wx) new",
H1425="€100",
H1425="€100 (old)",
H1425="€100 Nitro",
H1425="€100 Nitro (old)",
H1425="€200",
H1425="€250",
H1425="€250 Nitro",
H1425="€500",
H1425="€500 Nitro"),"EUR", "USD")</f>
        <v>USD</v>
      </c>
      <c r="AE1425" s="83" t="s">
        <v>38</v>
      </c>
      <c r="AF1425" s="83" t="str">
        <f t="array" ref="AF1425">INDEX('Deal Info'!D:D, MATCH(A1425,'Deal Info'!A:A, 0))</f>
        <v>Fix15</v>
      </c>
      <c r="AG1425" s="84" t="str">
        <f t="array" ref="AG1425">INDEX('Deal Info'!G:G, MATCH(A1425,'Deal Info'!A:A, 0))</f>
        <v>Fix5</v>
      </c>
    </row>
    <row r="1426" spans="1:33" ht="14.25" hidden="1" x14ac:dyDescent="0.2">
      <c r="A1426" s="18" t="str">
        <f t="array" ref="A1426">IF(G1426='Room Info'!$B$1, INDEX('Room Info'!$A$2:$A2446, MATCH(B1426,'Room Info'!$B$2:$B2446, 0)),IF(G1426='Room Info'!$C$1, INDEX('Room Info'!$A$2:$A2446, MATCH(B1426,'Room Info'!$C$2:$C2446, 0)),IF(G1426='Room Info'!$D$1, INDEX('Room Info'!$A$2:$A2446, MATCH(B1426,'Room Info'!$D$2:$D2446, 0)),IF(G1426='Room Info'!$E$1, INDEX('Room Info'!$A$2:$A2446, MATCH(B1426,'Room Info'!$E$2:$E2446, 0)),IF(G1426='Room Info'!$F$1, INDEX('Room Info'!$A$2:$A2446, MATCH(B1426,'Room Info'!$F$2:$F2446, 0)),IF(G1426='Room Info'!$H$1, INDEX('Room Info'!$A$2:$A2446, MATCH(B1426,'Room Info'!$H$2:$H2446, 0)),IF(G1426='Room Info'!$G$1, INDEX('Room Info'!$A$2:$A2446, MATCH(B1426,'Room Info'!$G$2:$G2446, 0)))))))))</f>
        <v>barabashOva</v>
      </c>
      <c r="B1426" s="85" t="s">
        <v>214</v>
      </c>
      <c r="C1426" s="86">
        <v>44947</v>
      </c>
      <c r="D1426" s="87">
        <v>44977</v>
      </c>
      <c r="E1426" s="21">
        <v>44958</v>
      </c>
      <c r="F1426" s="22" t="s">
        <v>34</v>
      </c>
      <c r="G1426" s="18" t="s">
        <v>35</v>
      </c>
      <c r="H1426" s="23" t="s">
        <v>40</v>
      </c>
      <c r="I1426" s="23" t="s">
        <v>37</v>
      </c>
      <c r="J1426" s="39">
        <v>10</v>
      </c>
      <c r="K1426" s="88">
        <v>4048</v>
      </c>
      <c r="L1426" s="89">
        <v>830</v>
      </c>
      <c r="M1426" s="42">
        <v>2010</v>
      </c>
      <c r="N1426" s="28">
        <f>K1426*J1426</f>
        <v>40480</v>
      </c>
      <c r="O1426" s="85">
        <v>167515</v>
      </c>
      <c r="P1426" s="29">
        <v>41.382164029999998</v>
      </c>
      <c r="Q1426" s="30"/>
      <c r="R1426" s="31">
        <f>M1426+Q1426</f>
        <v>2010</v>
      </c>
      <c r="S1426" s="119">
        <v>121</v>
      </c>
      <c r="T1426" s="32">
        <f>IF(AND(AD1426="EUR", F1426="Without EV deal"), R1426 + L1426,
IF(AND(AD1426="USD", F1426="Without EV deal"), R1426 + L1426,
IF(AND(AD1426="EUR", F1426="Steel Phoenix"), R1426 + S1426/U1426,
R1426 + S1426)))</f>
        <v>2131</v>
      </c>
      <c r="U1426" s="33">
        <v>1.0669999999999999</v>
      </c>
      <c r="V1426" s="34">
        <v>10</v>
      </c>
      <c r="W1426" s="34">
        <v>213</v>
      </c>
      <c r="X1426" s="30">
        <f>IF(AF1426="DoEV",IF(AND(V1426&lt;20,W1426&lt;55),0.3,0)+IF(AND(V1426&lt;20,W1426&gt;=55,W1426&lt;105),0.23,0)+IF(AND(V1426&lt;20,W1426&gt;=105),0.17,0)+IF(AND(V1426&gt;=20,V1426&lt;40,W1426&lt;45),0.3,0)+IF(AND(V1426&gt;=20,V1426&lt;40,W1426&gt;=45,W1426&lt;95),0.23,0)+IF(AND(V1426&gt;=20,V1426&lt;40,W1426&gt;=95),0.17,0)+IF(AND(V1426&gt;=40,V1426&lt;75,W1426&lt;35),0.3,0)+IF(AND(V1426&gt;=40,V1426&lt;75,W1426&gt;=35,W1426&lt;75),0.23,0)+IF(AND(V1426&gt;=40,V1426&lt;75,W1426&gt;=75,W1426&lt;120),0.17,0)+IF(AND(V1426&gt;=40,V1426&lt;75,W1426&gt;=120),0.12,0)+IF(AND(V1426&gt;=75,V1426&lt;175,W1426&lt;35),0.3,0)+IF(AND(V1426&gt;=75,V1426&lt;=175,W1426&gt;=35,W1426&lt;65),0.23,0)+IF(AND(V1426&gt;=75,V1426&lt;=175,W1426&gt;=65,W1426&lt;110),0.17,0)+IF(AND(V1426&gt;=75,V1426&lt;=175,W1426&gt;=110),0.12,0)+IF(AND(V1426&gt;175,W1426&lt;25),0.3,0)+IF(AND(V1426&gt;175,W1426&gt;=25,W1426&lt;55),0.23,0)+IF(AND(V1426&gt;175,W1426&gt;=55,W1426&lt;95),0.17,0)+IF(AND(V1426&gt;175,W1426&gt;=95),0.12,0),
IF(AF1426="Fix15",0.15,
IF(AF1426="Fix5",0.05,
IF(AF1426="Fix18.75",0.1875,
IF(AF1426="Fix11.25",0.1125,
IF(AF1426="Fix10",0.1,
IF(AF1426="Fix9",0.09,
IF(AF1426="Fix12",0.12,
IF(AF1426="Fix19",0.19,
IF(AF1426="DoEV2017",IF(AND(W1426&lt;74),0.2,0)+IF(AND(W1426&gt;=74),0.17,0),
IF(AF1426="SF",IF(AND(V1426&lt;20,W1426&lt;89),0.3,0)+IF(AND(V1426&lt;20,W1426&gt;=89),0.25,0)+IF(AND(V1426&gt;=20,V1426&lt;40,W1426&lt;74),0.3,0)+IF(AND(V1426&gt;=20,V1426&lt;40,W1426&gt;=75),0.22,0)+IF(AND(V1426&gt;=40,V1426&lt;75,W1426&lt;75),0.26,0)+IF(AND(V1426&gt;=40,V1426&lt;75,W1426&gt;=75),0.22,0)+IF(V1426&gt;=75,0.22,0),
IF(AF1426="DoEVold",IF(AND(V1426&lt;40,W1426&lt;35),0.35,0)+IF(AND(V1426&lt;40,W1426&gt;=35,W1426&lt;75),0.25,0)+IF(AND(V1426&lt;40,W1426&gt;=75),0.17,0)+IF(AND(V1426&gt;=40,V1426&lt;75,W1426&lt;25),0.35,0)+IF(AND(V1426&gt;=40,V1426&lt;75,W1426&gt;=25,W1426&lt;65),0.25,0)+IF(AND(V1426&gt;=40,V1426&lt;75,W1426&gt;=65,W1426&lt;100),0.17,0)+IF(AND(V1426&gt;=40,V1426&lt;75,W1426&gt;=100),0.1,0)+IF(AND(V1426&gt;=75,W1426&lt;25),0.35,0)+IF(AND(V1426&gt;=75,W1426&gt;=25,W1426&lt;60),0.25,0)+IF(AND(V1426&gt;=75,W1426&gt;=60,W1426&lt;95),0.17,0)+IF(AND(V1426&gt;=75,W1426&gt;=95),0.1,0),
IF(AF1426="DoEVold15",IF(AND(V1426&lt;=40,W1426&lt;35),0.35,0)+IF(AND(V1426&lt;=40,W1426&gt;=35,W1426&lt;75),0.25,0)+IF(AND(V1426&lt;=40,W1426&gt;=75,W1426&lt;120),0.17,0)+IF(AND(V1426&lt;=40,W1426&gt;=120),0.15,0)+IF(AND(V1426&gt;40,V1426&lt;75,W1426&lt;25),0.35,0)+IF(AND(V1426&gt;=40,V1426&lt;75,W1426&gt;=25,W1426&lt;65),0.25,0)+IF(AND(V1426&gt;=40,V1426&lt;75,W1426&gt;=65,W1426&lt;100),0.17,0)+IF(AND(V1426&gt;=40,V1426&lt;75,W1426&gt;=100),0.1,0)+IF(AND(V1426&gt;=75,W1426&lt;25),0.35,0)+IF(AND(V1426&gt;=75,W1426&gt;=25,W1426&lt;60),0.25,0)+IF(AND(V1426&gt;=75,W1426&gt;=60,W1426&lt;95),0.17,0)+IF(AND(V1426&gt;=75,W1426&gt;=95),0.1,0),
IF(AF1426="DoEVba",IF(AND(V1426&lt;20,W1426&lt;105),0.2,0)+IF(AND(V1426&lt;20,W1426&gt;=105),0.15,0)+IF(AND(V1426&gt;=20,V1426&lt;40,W1426&lt;95),0.2,0)+IF(AND(V1426&gt;=20,V1426&lt;40,W1426&gt;=95,W1426&lt;150),0.15,0)+IF(AND(V1426&gt;=20,V1426&lt;40,W1426&gt;=150),0.12,0)+IF(AND(V1426&gt;=40,V1426&lt;75,W1426&lt;75),0.2,0)+IF(AND(V1426&gt;=40,V1426&lt;75,W1426&gt;=75,W1426&lt;120),0.15,0)+IF(AND(V1426&gt;=40,V1426&lt;75,W1426&gt;=120),0.12,0)+IF(AND(V1426&gt;=75,V1426&lt;175,W1426&lt;65),0.2,0)+IF(AND(V1426&gt;=75,V1426&lt;175,W1426&gt;=65,W1426&lt;110),0.15,0)+IF(AND(V1426&gt;=75,V1426&lt;175,W1426&gt;=110),0.12,0)+IF(AND(V1426&gt;=175,W1426&lt;55),0.2,0)+IF(AND(V1426&gt;=175,W1426&gt;=55,W1426&lt;95),0.15,0)+IF(AND(V1426&gt;=175,W1426&gt;=95),0.12,0),
IF(AF1426="DoEVku",IF(AND(V1426&lt;20,W1426&lt;55),0.23,0)+IF(AND(V1426&lt;20,W1426&gt;=55,W1426&lt;105),0.2,0)+IF(AND(V1426&lt;20,W1426&gt;=105),0.17,0)+IF(AND(V1426&gt;=20,V1426&lt;40,W1426&lt;45),0.23,0)+IF(AND(V1426&gt;=20,V1426&lt;40,W1426&gt;=45,W1426&lt;95),0.2,0)+IF(AND(V1426&gt;=20,V1426&lt;40,W1426&gt;=95,W1426&lt;=150),0.17,0)+IF(AND(V1426&gt;=20,V1426&lt;40,W1426&gt;=150),0.12,0)+IF(AND(V1426&gt;=40,V1426&lt;75,W1426&lt;35),0.23,0)+IF(AND(V1426&gt;=40,V1426&lt;75,W1426&gt;=35,W1426&lt;75),0.2,0)+IF(AND(V1426&gt;=40,V1426&lt;75,W1426&gt;=75,W1426&lt;120),0.17,0)+IF(AND(V1426&gt;=40,V1426&lt;75,W1426&gt;=120),0.12,0)+IF(AND(V1426&gt;=75,V1426&lt;175,W1426&lt;35),0.23,0)+IF(AND(V1426&gt;=75,V1426&lt;=175,W1426&gt;=35,W1426&lt;65),0.2,0)+IF(AND(V1426&gt;=75,V1426&lt;=175,W1426&gt;=65,W1426&lt;110),0.17,0)+IF(AND(V1426&gt;=75,V1426&lt;=175,W1426&gt;=110),0.12,0)+IF(AND(V1426&gt;175,W1426&lt;25),0.23,0)+IF(AND(V1426&gt;175,W1426&gt;=25,W1426&lt;55),0.2,0)+IF(AND(V1426&gt;175,W1426&gt;=55,W1426&lt;95),0.17,0)+IF(AND(V1426&gt;175,W1426&gt;=95),0.12,0),
IF(AF1426="DoEVs1",IF(AND(V1426&lt;20,W1426&lt;55),0.3,0)+IF(AND(V1426&lt;20,W1426&gt;=55,W1426&lt;105),0.23,0)+IF(AND(V1426&lt;20,W1426&gt;=105),0.17,0)+IF(AND(V1426&gt;=20,V1426&lt;40,W1426&lt;45),0.3,0)+IF(AND(V1426&gt;=20,V1426&lt;40,W1426&gt;=45,W1426&lt;95),0.23,0)+IF(AND(V1426&gt;=20,V1426&lt;40,W1426&gt;=95,W1426&lt;=150),0.17,0)+IF(AND(V1426&gt;=20,V1426&lt;40,W1426&gt;=150),0.12,0)+IF(AND(V1426&gt;=40,V1426&lt;75,W1426&lt;35),0.3,0)+IF(AND(V1426&gt;=40,V1426&lt;75,W1426&gt;=35,W1426&lt;75),0.23,0)+IF(AND(V1426&gt;=40,V1426&lt;75,W1426&gt;=75,W1426&lt;120),0.17,0)+IF(AND(V1426&gt;=40,V1426&lt;75,W1426&gt;=120),0.12,0)+IF(AND(V1426&gt;=75,V1426&lt;175,W1426&lt;35),0.3,0)+IF(AND(V1426&gt;=75,V1426&lt;=175,W1426&gt;=35,W1426&lt;65),0.23,0)+IF(AND(V1426&gt;=75,V1426&lt;=175,W1426&gt;=65,W1426&lt;110),0.17,0)+IF(AND(V1426&gt;=75,V1426&lt;=175,W1426&gt;=110),0.12,0)+IF(AND(V1426&gt;175,W1426&lt;25),0.3,0)+IF(AND(V1426&gt;175,W1426&gt;=25,W1426&lt;55),0.23,0)+IF(AND(V1426&gt;175,W1426&gt;=55,W1426&lt;95),0.17,0)+IF(AND(V1426&gt;175,W1426&gt;=95),0.12,0),
IF(AF1426="DoEVsu",IF(AND(V1426&lt;20,W1426&lt;55),0.3,0)+IF(AND(V1426&lt;20,W1426&gt;=55,W1426&lt;105),0.23,0)+IF(AND(V1426&lt;20,W1426&gt;=105),0.17,0)+IF(AND(V1426&gt;=20,V1426&lt;40,W1426&lt;45),0.3,0)+IF(AND(V1426&gt;=20,V1426&lt;40,W1426&gt;=45,W1426&lt;95),0.23,0)+IF(AND(V1426&gt;=20,V1426&lt;40,W1426&gt;=95,W1426&lt;=250),0.17,0)+IF(AND(V1426&gt;=20,V1426&lt;40,W1426&gt;=250),0.12,0)+IF(AND(V1426&gt;=40,V1426&lt;75,W1426&lt;35),0.3,0)+IF(AND(V1426&gt;=40,V1426&lt;75,W1426&gt;=35,W1426&lt;75),0.23,0)+IF(AND(V1426&gt;=40,V1426&lt;75,W1426&gt;=75,W1426&lt;120),0.17,0)+IF(AND(V1426&gt;=40,V1426&lt;75,W1426&gt;=120),0.12,0)+IF(AND(V1426&gt;=75,V1426&lt;175,W1426&lt;35),0.3,0)+IF(AND(V1426&gt;=75,V1426&lt;=175,W1426&gt;=35,W1426&lt;65),0.23,0)+IF(AND(V1426&gt;=75,V1426&lt;=175,W1426&gt;=65,W1426&lt;110),0.17,0)+IF(AND(V1426&gt;=75,V1426&lt;=175,W1426&gt;=110),0.12,0)+IF(AND(V1426&gt;175,W1426&lt;25),0.3,0)+IF(AND(V1426&gt;175,W1426&gt;=25,W1426&lt;55),0.23,0)+IF(AND(V1426&gt;175,W1426&gt;=55,W1426&lt;95),0.17,0)+IF(AND(V1426&gt;175,W1426&gt;=95),0.12,0),
IF(AF1426="DoEVni",IF(AND(V1426&lt;20,W1426&lt;55),0.3,0)+IF(AND(V1426&lt;20,W1426&gt;=55,W1426&lt;105),0.23,0)+IF(AND(V1426&lt;20,W1426&gt;=105),0.17,0)+IF(AND(V1426&gt;=20,V1426&lt;40,W1426&lt;45),0.3,0)+IF(AND(V1426&gt;=20,V1426&lt;40,W1426&gt;=45,W1426&lt;95),0.23,0)+IF(AND(V1426&gt;=20,V1426&lt;40,W1426&gt;=95,W1426&lt;=200),0.17,0)+IF(AND(V1426&gt;=20,V1426&lt;40,W1426&gt;=200),0.12,0)+IF(AND(V1426&gt;=40,V1426&lt;75,W1426&lt;35),0.3,0)+IF(AND(V1426&gt;=40,V1426&lt;75,W1426&gt;=35,W1426&lt;75),0.23,0)+IF(AND(V1426&gt;=40,V1426&lt;75,W1426&gt;=75,W1426&lt;120),0.17,0)+IF(AND(V1426&gt;=40,V1426&lt;75,W1426&gt;=120),0.12,0)+IF(AND(V1426&gt;=75,V1426&lt;175,W1426&lt;35),0.3,0)+IF(AND(V1426&gt;=75,V1426&lt;=175,W1426&gt;=35,W1426&lt;65),0.23,0)+IF(AND(V1426&gt;=75,V1426&lt;=175,W1426&gt;=65,W1426&lt;110),0.17,0)+IF(AND(V1426&gt;=75,V1426&lt;=175,W1426&gt;=110),0.12,0)+IF(AND(V1426&gt;175,W1426&lt;25),0.3,0)+IF(AND(V1426&gt;175,W1426&gt;=25,W1426&lt;55),0.23,0)+IF(AND(V1426&gt;175,W1426&gt;=55,W1426&lt;95),0.17,0)+IF(AND(V1426&gt;175,W1426&gt;=95),0.12,0),
IF(AF1426="DoEVLo",IF(AND(V1426&lt;20,W1426&lt;55),0.25,0)+IF(AND(V1426&lt;20,W1426&gt;=55,W1426&lt;105),0.2,0)+IF(AND(V1426&lt;20,W1426&gt;=105),0.15,0)+IF(AND(V1426&gt;=20,V1426&lt;40,W1426&lt;45),0.25,0)+IF(AND(V1426&gt;=20,V1426&lt;40,W1426&gt;=45,W1426&lt;95),0.2,0)+IF(AND(V1426&gt;=20,V1426&lt;40,W1426&gt;=95),0.15,0)+IF(AND(V1426&gt;=40,V1426&lt;75,W1426&lt;35),0.25,0)+IF(AND(V1426&gt;=40,V1426&lt;75,W1426&gt;=35,W1426&lt;75),0.2,0)+IF(AND(V1426&gt;=40,V1426&lt;75,W1426&gt;=75,W1426&lt;120),0.15,0)+IF(AND(V1426&gt;=40,V1426&lt;75,W1426&gt;=120),0.1,0)+IF(AND(V1426&gt;=75,V1426&lt;175,W1426&lt;35),0.25,0)+IF(AND(V1426&gt;=75,V1426&lt;=175,W1426&gt;=35,W1426&lt;65),0.2,0)+IF(AND(V1426&gt;=75,V1426&lt;=175,W1426&gt;=65,W1426&lt;110),0.15,0)+IF(AND(V1426&gt;=75,V1426&lt;=175,W1426&gt;=110),0.1,0)+IF(AND(V1426&gt;175,W1426&lt;25),0.25,0)+IF(AND(V1426&gt;175,W1426&gt;=25,W1426&lt;55),0.2,0)+IF(AND(V1426&gt;175,W1426&gt;=55,W1426&lt;95),0.15,0)+IF(AND(V1426&gt;175,W1426&gt;=95),0.1,0))))))))))))))))))))</f>
        <v>0.15</v>
      </c>
      <c r="Y1426" s="30">
        <f>IF(AG1426="None",0,IF(AG1426="Fix5",0.05, IF(AG1426="Fix6.25",0.0625,IF(AG1426="Fix3.75",0.0375, IF(AG1426="Fix11",0.11, IF(AG1426="Fix10",0.1,IF(AG1426="Fix3",0.03,0)))))))</f>
        <v>0</v>
      </c>
      <c r="Z1426" s="35">
        <f>IF(AND(AD1426="EUR", AE1426 = "USD"), T1426*U1426-AA1426-AB1426, T1426-AA1426-AB1426)</f>
        <v>1811.35</v>
      </c>
      <c r="AA1426" s="29">
        <f>IF(AND(AD1426="EUR", F1426="Without EV deal", AE1426="USD"), (T1426*X1426)*U1426,
IF(AND(AD1426="EUR", F1426="Without EV deal", AE1426="EUR"), (T1426*X1426),
IF(AND(AD1426="EUR",AE1426="USD"), (T1426*X1426)*U1426,
T1426*X1426)))</f>
        <v>319.64999999999998</v>
      </c>
      <c r="AB1426" s="36">
        <f>IF(AND(AD1426="EUR", F1426="Without EV deal", AE1426="USD"), (T1426*Y1426)*U1426,
IF(AND(AD1426="EUR", F1426="Without EV deal", AE1426="EUR"), (T1426*Y1426),
IF(AND(AD1426="EUR",AE1426="USD"), (T1426*Y1426)*U1426,
T1426*Y1426)))</f>
        <v>0</v>
      </c>
      <c r="AC1426" s="37" t="b">
        <v>1</v>
      </c>
      <c r="AD1426" s="82" t="str">
        <f>IF(OR(H1426="€0.25 Flash",
H1426="€0.25(nitro) new",
H1426="€1",
H1426="€2",
H1426="€2 (bf 01.08)",
H1426="€5",
H1426="€5 (1M)",
H1426="€5 (bf 01.08)",
H1426="€5 (bf 05.05)",
H1426="€5 Nitro",
H1426="€5(wx) new",
H1426="€10",
H1426="€10 (1M)",
H1426="€10 (bf 01.08)",
H1426="€10 (bf 05.05)",
H1426="€10 (MP)",
H1426="€10 (old)",
H1426="€10 Nitro (bf 05.05)",
H1426="€10 Nitro (old)",
H1426="€10(wx) new",
H1426="€20",
H1426="€25",
H1426="€25 (bf 01.08)",
H1426="€25 (bf 05.05)",
H1426="€25 (MP)",
H1426="€25 (old)",
H1426="€25 Nitro",
H1426="€25 Nitro (bf 01.08)",
H1426="€25 Nitro (bf 05.05)",
H1426="€25(nitro) new",
H1426="€25(wx) new",
H1426="€50",
H1426="€50 (bf 01.08)",
H1426="€50 (bf 05.05)",
H1426="€50 (old)",
H1426="€50 Nitro",
H1426="€50 Nitro (bf 01.08)",
H1426="€50 Nitro (bf 05.05)",
H1426="€50(wx) new",
H1426="€100",
H1426="€100 (old)",
H1426="€100 Nitro",
H1426="€100 Nitro (old)",
H1426="€200",
H1426="€250",
H1426="€250 Nitro",
H1426="€500",
H1426="€500 Nitro"),"EUR", "USD")</f>
        <v>USD</v>
      </c>
      <c r="AE1426" s="83" t="s">
        <v>38</v>
      </c>
      <c r="AF1426" s="83" t="str">
        <f t="array" ref="AF1426">INDEX('Deal Info'!D:D, MATCH(A1426,'Deal Info'!A:A, 0))</f>
        <v>DoEVba</v>
      </c>
      <c r="AG1426" s="84" t="str">
        <f t="array" ref="AG1426">INDEX('Deal Info'!G:G, MATCH(A1426,'Deal Info'!A:A, 0))</f>
        <v>None</v>
      </c>
    </row>
    <row r="1427" spans="1:33" ht="14.25" hidden="1" x14ac:dyDescent="0.2">
      <c r="A1427" s="18" t="str">
        <f t="array" ref="A1427">IF(G1427='Room Info'!$B$1, INDEX('Room Info'!$A$2:$A2446, MATCH(B1427,'Room Info'!$B$2:$B2446, 0)),IF(G1427='Room Info'!$C$1, INDEX('Room Info'!$A$2:$A2446, MATCH(B1427,'Room Info'!$C$2:$C2446, 0)),IF(G1427='Room Info'!$D$1, INDEX('Room Info'!$A$2:$A2446, MATCH(B1427,'Room Info'!$D$2:$D2446, 0)),IF(G1427='Room Info'!$E$1, INDEX('Room Info'!$A$2:$A2446, MATCH(B1427,'Room Info'!$E$2:$E2446, 0)),IF(G1427='Room Info'!$F$1, INDEX('Room Info'!$A$2:$A2446, MATCH(B1427,'Room Info'!$F$2:$F2446, 0)),IF(G1427='Room Info'!$H$1, INDEX('Room Info'!$A$2:$A2446, MATCH(B1427,'Room Info'!$H$2:$H2446, 0)),IF(G1427='Room Info'!$G$1, INDEX('Room Info'!$A$2:$A2446, MATCH(B1427,'Room Info'!$G$2:$G2446, 0)))))))))</f>
        <v>Farodit</v>
      </c>
      <c r="B1427" s="85" t="s">
        <v>215</v>
      </c>
      <c r="C1427" s="86">
        <v>44947</v>
      </c>
      <c r="D1427" s="87">
        <v>44977</v>
      </c>
      <c r="E1427" s="21">
        <v>44958</v>
      </c>
      <c r="F1427" s="22" t="s">
        <v>34</v>
      </c>
      <c r="G1427" s="18" t="s">
        <v>35</v>
      </c>
      <c r="H1427" s="23" t="s">
        <v>40</v>
      </c>
      <c r="I1427" s="23" t="s">
        <v>37</v>
      </c>
      <c r="J1427" s="39">
        <v>10</v>
      </c>
      <c r="K1427" s="88">
        <v>98</v>
      </c>
      <c r="L1427" s="89">
        <v>20</v>
      </c>
      <c r="M1427" s="42">
        <v>20</v>
      </c>
      <c r="N1427" s="28">
        <f>K1427*J1427</f>
        <v>980</v>
      </c>
      <c r="O1427" s="85">
        <v>1668</v>
      </c>
      <c r="P1427" s="29">
        <v>17.020408159999999</v>
      </c>
      <c r="Q1427" s="30"/>
      <c r="R1427" s="31">
        <f>M1427+Q1427</f>
        <v>20</v>
      </c>
      <c r="S1427" s="119">
        <v>2357</v>
      </c>
      <c r="T1427" s="32">
        <f>IF(AND(AD1427="EUR", F1427="Without EV deal"), R1427 + L1427,
IF(AND(AD1427="USD", F1427="Without EV deal"), R1427 + L1427,
IF(AND(AD1427="EUR", F1427="Steel Phoenix"), R1427 + S1427/U1427,
R1427 + S1427)))</f>
        <v>2377</v>
      </c>
      <c r="U1427" s="33">
        <v>1.0669999999999999</v>
      </c>
      <c r="V1427" s="34">
        <v>22.489612188365651</v>
      </c>
      <c r="W1427" s="34">
        <v>105.69324095458045</v>
      </c>
      <c r="X1427" s="30">
        <f>IF(AF1427="DoEV",IF(AND(V1427&lt;20,W1427&lt;55),0.3,0)+IF(AND(V1427&lt;20,W1427&gt;=55,W1427&lt;105),0.23,0)+IF(AND(V1427&lt;20,W1427&gt;=105),0.17,0)+IF(AND(V1427&gt;=20,V1427&lt;40,W1427&lt;45),0.3,0)+IF(AND(V1427&gt;=20,V1427&lt;40,W1427&gt;=45,W1427&lt;95),0.23,0)+IF(AND(V1427&gt;=20,V1427&lt;40,W1427&gt;=95),0.17,0)+IF(AND(V1427&gt;=40,V1427&lt;75,W1427&lt;35),0.3,0)+IF(AND(V1427&gt;=40,V1427&lt;75,W1427&gt;=35,W1427&lt;75),0.23,0)+IF(AND(V1427&gt;=40,V1427&lt;75,W1427&gt;=75,W1427&lt;120),0.17,0)+IF(AND(V1427&gt;=40,V1427&lt;75,W1427&gt;=120),0.12,0)+IF(AND(V1427&gt;=75,V1427&lt;175,W1427&lt;35),0.3,0)+IF(AND(V1427&gt;=75,V1427&lt;=175,W1427&gt;=35,W1427&lt;65),0.23,0)+IF(AND(V1427&gt;=75,V1427&lt;=175,W1427&gt;=65,W1427&lt;110),0.17,0)+IF(AND(V1427&gt;=75,V1427&lt;=175,W1427&gt;=110),0.12,0)+IF(AND(V1427&gt;175,W1427&lt;25),0.3,0)+IF(AND(V1427&gt;175,W1427&gt;=25,W1427&lt;55),0.23,0)+IF(AND(V1427&gt;175,W1427&gt;=55,W1427&lt;95),0.17,0)+IF(AND(V1427&gt;175,W1427&gt;=95),0.12,0),
IF(AF1427="Fix15",0.15,
IF(AF1427="Fix5",0.05,
IF(AF1427="Fix18.75",0.1875,
IF(AF1427="Fix11.25",0.1125,
IF(AF1427="Fix10",0.1,
IF(AF1427="Fix9",0.09,
IF(AF1427="Fix12",0.12,
IF(AF1427="Fix19",0.19,
IF(AF1427="DoEV2017",IF(AND(W1427&lt;74),0.2,0)+IF(AND(W1427&gt;=74),0.17,0),
IF(AF1427="SF",IF(AND(V1427&lt;20,W1427&lt;89),0.3,0)+IF(AND(V1427&lt;20,W1427&gt;=89),0.25,0)+IF(AND(V1427&gt;=20,V1427&lt;40,W1427&lt;74),0.3,0)+IF(AND(V1427&gt;=20,V1427&lt;40,W1427&gt;=75),0.22,0)+IF(AND(V1427&gt;=40,V1427&lt;75,W1427&lt;75),0.26,0)+IF(AND(V1427&gt;=40,V1427&lt;75,W1427&gt;=75),0.22,0)+IF(V1427&gt;=75,0.22,0),
IF(AF1427="DoEVold",IF(AND(V1427&lt;40,W1427&lt;35),0.35,0)+IF(AND(V1427&lt;40,W1427&gt;=35,W1427&lt;75),0.25,0)+IF(AND(V1427&lt;40,W1427&gt;=75),0.17,0)+IF(AND(V1427&gt;=40,V1427&lt;75,W1427&lt;25),0.35,0)+IF(AND(V1427&gt;=40,V1427&lt;75,W1427&gt;=25,W1427&lt;65),0.25,0)+IF(AND(V1427&gt;=40,V1427&lt;75,W1427&gt;=65,W1427&lt;100),0.17,0)+IF(AND(V1427&gt;=40,V1427&lt;75,W1427&gt;=100),0.1,0)+IF(AND(V1427&gt;=75,W1427&lt;25),0.35,0)+IF(AND(V1427&gt;=75,W1427&gt;=25,W1427&lt;60),0.25,0)+IF(AND(V1427&gt;=75,W1427&gt;=60,W1427&lt;95),0.17,0)+IF(AND(V1427&gt;=75,W1427&gt;=95),0.1,0),
IF(AF1427="DoEVold15",IF(AND(V1427&lt;=40,W1427&lt;35),0.35,0)+IF(AND(V1427&lt;=40,W1427&gt;=35,W1427&lt;75),0.25,0)+IF(AND(V1427&lt;=40,W1427&gt;=75,W1427&lt;120),0.17,0)+IF(AND(V1427&lt;=40,W1427&gt;=120),0.15,0)+IF(AND(V1427&gt;40,V1427&lt;75,W1427&lt;25),0.35,0)+IF(AND(V1427&gt;=40,V1427&lt;75,W1427&gt;=25,W1427&lt;65),0.25,0)+IF(AND(V1427&gt;=40,V1427&lt;75,W1427&gt;=65,W1427&lt;100),0.17,0)+IF(AND(V1427&gt;=40,V1427&lt;75,W1427&gt;=100),0.1,0)+IF(AND(V1427&gt;=75,W1427&lt;25),0.35,0)+IF(AND(V1427&gt;=75,W1427&gt;=25,W1427&lt;60),0.25,0)+IF(AND(V1427&gt;=75,W1427&gt;=60,W1427&lt;95),0.17,0)+IF(AND(V1427&gt;=75,W1427&gt;=95),0.1,0),
IF(AF1427="DoEVba",IF(AND(V1427&lt;20,W1427&lt;105),0.2,0)+IF(AND(V1427&lt;20,W1427&gt;=105),0.15,0)+IF(AND(V1427&gt;=20,V1427&lt;40,W1427&lt;95),0.2,0)+IF(AND(V1427&gt;=20,V1427&lt;40,W1427&gt;=95,W1427&lt;150),0.15,0)+IF(AND(V1427&gt;=20,V1427&lt;40,W1427&gt;=150),0.12,0)+IF(AND(V1427&gt;=40,V1427&lt;75,W1427&lt;75),0.2,0)+IF(AND(V1427&gt;=40,V1427&lt;75,W1427&gt;=75,W1427&lt;120),0.15,0)+IF(AND(V1427&gt;=40,V1427&lt;75,W1427&gt;=120),0.12,0)+IF(AND(V1427&gt;=75,V1427&lt;175,W1427&lt;65),0.2,0)+IF(AND(V1427&gt;=75,V1427&lt;175,W1427&gt;=65,W1427&lt;110),0.15,0)+IF(AND(V1427&gt;=75,V1427&lt;175,W1427&gt;=110),0.12,0)+IF(AND(V1427&gt;=175,W1427&lt;55),0.2,0)+IF(AND(V1427&gt;=175,W1427&gt;=55,W1427&lt;95),0.15,0)+IF(AND(V1427&gt;=175,W1427&gt;=95),0.12,0),
IF(AF1427="DoEVku",IF(AND(V1427&lt;20,W1427&lt;55),0.23,0)+IF(AND(V1427&lt;20,W1427&gt;=55,W1427&lt;105),0.2,0)+IF(AND(V1427&lt;20,W1427&gt;=105),0.17,0)+IF(AND(V1427&gt;=20,V1427&lt;40,W1427&lt;45),0.23,0)+IF(AND(V1427&gt;=20,V1427&lt;40,W1427&gt;=45,W1427&lt;95),0.2,0)+IF(AND(V1427&gt;=20,V1427&lt;40,W1427&gt;=95,W1427&lt;=150),0.17,0)+IF(AND(V1427&gt;=20,V1427&lt;40,W1427&gt;=150),0.12,0)+IF(AND(V1427&gt;=40,V1427&lt;75,W1427&lt;35),0.23,0)+IF(AND(V1427&gt;=40,V1427&lt;75,W1427&gt;=35,W1427&lt;75),0.2,0)+IF(AND(V1427&gt;=40,V1427&lt;75,W1427&gt;=75,W1427&lt;120),0.17,0)+IF(AND(V1427&gt;=40,V1427&lt;75,W1427&gt;=120),0.12,0)+IF(AND(V1427&gt;=75,V1427&lt;175,W1427&lt;35),0.23,0)+IF(AND(V1427&gt;=75,V1427&lt;=175,W1427&gt;=35,W1427&lt;65),0.2,0)+IF(AND(V1427&gt;=75,V1427&lt;=175,W1427&gt;=65,W1427&lt;110),0.17,0)+IF(AND(V1427&gt;=75,V1427&lt;=175,W1427&gt;=110),0.12,0)+IF(AND(V1427&gt;175,W1427&lt;25),0.23,0)+IF(AND(V1427&gt;175,W1427&gt;=25,W1427&lt;55),0.2,0)+IF(AND(V1427&gt;175,W1427&gt;=55,W1427&lt;95),0.17,0)+IF(AND(V1427&gt;175,W1427&gt;=95),0.12,0),
IF(AF1427="DoEVs1",IF(AND(V1427&lt;20,W1427&lt;55),0.3,0)+IF(AND(V1427&lt;20,W1427&gt;=55,W1427&lt;105),0.23,0)+IF(AND(V1427&lt;20,W1427&gt;=105),0.17,0)+IF(AND(V1427&gt;=20,V1427&lt;40,W1427&lt;45),0.3,0)+IF(AND(V1427&gt;=20,V1427&lt;40,W1427&gt;=45,W1427&lt;95),0.23,0)+IF(AND(V1427&gt;=20,V1427&lt;40,W1427&gt;=95,W1427&lt;=150),0.17,0)+IF(AND(V1427&gt;=20,V1427&lt;40,W1427&gt;=150),0.12,0)+IF(AND(V1427&gt;=40,V1427&lt;75,W1427&lt;35),0.3,0)+IF(AND(V1427&gt;=40,V1427&lt;75,W1427&gt;=35,W1427&lt;75),0.23,0)+IF(AND(V1427&gt;=40,V1427&lt;75,W1427&gt;=75,W1427&lt;120),0.17,0)+IF(AND(V1427&gt;=40,V1427&lt;75,W1427&gt;=120),0.12,0)+IF(AND(V1427&gt;=75,V1427&lt;175,W1427&lt;35),0.3,0)+IF(AND(V1427&gt;=75,V1427&lt;=175,W1427&gt;=35,W1427&lt;65),0.23,0)+IF(AND(V1427&gt;=75,V1427&lt;=175,W1427&gt;=65,W1427&lt;110),0.17,0)+IF(AND(V1427&gt;=75,V1427&lt;=175,W1427&gt;=110),0.12,0)+IF(AND(V1427&gt;175,W1427&lt;25),0.3,0)+IF(AND(V1427&gt;175,W1427&gt;=25,W1427&lt;55),0.23,0)+IF(AND(V1427&gt;175,W1427&gt;=55,W1427&lt;95),0.17,0)+IF(AND(V1427&gt;175,W1427&gt;=95),0.12,0),
IF(AF1427="DoEVsu",IF(AND(V1427&lt;20,W1427&lt;55),0.3,0)+IF(AND(V1427&lt;20,W1427&gt;=55,W1427&lt;105),0.23,0)+IF(AND(V1427&lt;20,W1427&gt;=105),0.17,0)+IF(AND(V1427&gt;=20,V1427&lt;40,W1427&lt;45),0.3,0)+IF(AND(V1427&gt;=20,V1427&lt;40,W1427&gt;=45,W1427&lt;95),0.23,0)+IF(AND(V1427&gt;=20,V1427&lt;40,W1427&gt;=95,W1427&lt;=250),0.17,0)+IF(AND(V1427&gt;=20,V1427&lt;40,W1427&gt;=250),0.12,0)+IF(AND(V1427&gt;=40,V1427&lt;75,W1427&lt;35),0.3,0)+IF(AND(V1427&gt;=40,V1427&lt;75,W1427&gt;=35,W1427&lt;75),0.23,0)+IF(AND(V1427&gt;=40,V1427&lt;75,W1427&gt;=75,W1427&lt;120),0.17,0)+IF(AND(V1427&gt;=40,V1427&lt;75,W1427&gt;=120),0.12,0)+IF(AND(V1427&gt;=75,V1427&lt;175,W1427&lt;35),0.3,0)+IF(AND(V1427&gt;=75,V1427&lt;=175,W1427&gt;=35,W1427&lt;65),0.23,0)+IF(AND(V1427&gt;=75,V1427&lt;=175,W1427&gt;=65,W1427&lt;110),0.17,0)+IF(AND(V1427&gt;=75,V1427&lt;=175,W1427&gt;=110),0.12,0)+IF(AND(V1427&gt;175,W1427&lt;25),0.3,0)+IF(AND(V1427&gt;175,W1427&gt;=25,W1427&lt;55),0.23,0)+IF(AND(V1427&gt;175,W1427&gt;=55,W1427&lt;95),0.17,0)+IF(AND(V1427&gt;175,W1427&gt;=95),0.12,0),
IF(AF1427="DoEVni",IF(AND(V1427&lt;20,W1427&lt;55),0.3,0)+IF(AND(V1427&lt;20,W1427&gt;=55,W1427&lt;105),0.23,0)+IF(AND(V1427&lt;20,W1427&gt;=105),0.17,0)+IF(AND(V1427&gt;=20,V1427&lt;40,W1427&lt;45),0.3,0)+IF(AND(V1427&gt;=20,V1427&lt;40,W1427&gt;=45,W1427&lt;95),0.23,0)+IF(AND(V1427&gt;=20,V1427&lt;40,W1427&gt;=95,W1427&lt;=200),0.17,0)+IF(AND(V1427&gt;=20,V1427&lt;40,W1427&gt;=200),0.12,0)+IF(AND(V1427&gt;=40,V1427&lt;75,W1427&lt;35),0.3,0)+IF(AND(V1427&gt;=40,V1427&lt;75,W1427&gt;=35,W1427&lt;75),0.23,0)+IF(AND(V1427&gt;=40,V1427&lt;75,W1427&gt;=75,W1427&lt;120),0.17,0)+IF(AND(V1427&gt;=40,V1427&lt;75,W1427&gt;=120),0.12,0)+IF(AND(V1427&gt;=75,V1427&lt;175,W1427&lt;35),0.3,0)+IF(AND(V1427&gt;=75,V1427&lt;=175,W1427&gt;=35,W1427&lt;65),0.23,0)+IF(AND(V1427&gt;=75,V1427&lt;=175,W1427&gt;=65,W1427&lt;110),0.17,0)+IF(AND(V1427&gt;=75,V1427&lt;=175,W1427&gt;=110),0.12,0)+IF(AND(V1427&gt;175,W1427&lt;25),0.3,0)+IF(AND(V1427&gt;175,W1427&gt;=25,W1427&lt;55),0.23,0)+IF(AND(V1427&gt;175,W1427&gt;=55,W1427&lt;95),0.17,0)+IF(AND(V1427&gt;175,W1427&gt;=95),0.12,0),
IF(AF1427="DoEVLo",IF(AND(V1427&lt;20,W1427&lt;55),0.25,0)+IF(AND(V1427&lt;20,W1427&gt;=55,W1427&lt;105),0.2,0)+IF(AND(V1427&lt;20,W1427&gt;=105),0.15,0)+IF(AND(V1427&gt;=20,V1427&lt;40,W1427&lt;45),0.25,0)+IF(AND(V1427&gt;=20,V1427&lt;40,W1427&gt;=45,W1427&lt;95),0.2,0)+IF(AND(V1427&gt;=20,V1427&lt;40,W1427&gt;=95),0.15,0)+IF(AND(V1427&gt;=40,V1427&lt;75,W1427&lt;35),0.25,0)+IF(AND(V1427&gt;=40,V1427&lt;75,W1427&gt;=35,W1427&lt;75),0.2,0)+IF(AND(V1427&gt;=40,V1427&lt;75,W1427&gt;=75,W1427&lt;120),0.15,0)+IF(AND(V1427&gt;=40,V1427&lt;75,W1427&gt;=120),0.1,0)+IF(AND(V1427&gt;=75,V1427&lt;175,W1427&lt;35),0.25,0)+IF(AND(V1427&gt;=75,V1427&lt;=175,W1427&gt;=35,W1427&lt;65),0.2,0)+IF(AND(V1427&gt;=75,V1427&lt;=175,W1427&gt;=65,W1427&lt;110),0.15,0)+IF(AND(V1427&gt;=75,V1427&lt;=175,W1427&gt;=110),0.1,0)+IF(AND(V1427&gt;175,W1427&lt;25),0.25,0)+IF(AND(V1427&gt;175,W1427&gt;=25,W1427&lt;55),0.2,0)+IF(AND(V1427&gt;175,W1427&gt;=55,W1427&lt;95),0.15,0)+IF(AND(V1427&gt;175,W1427&gt;=95),0.1,0))))))))))))))))))))</f>
        <v>0.17</v>
      </c>
      <c r="Y1427" s="30">
        <f>IF(AG1427="None",0,IF(AG1427="Fix5",0.05, IF(AG1427="Fix6.25",0.0625,IF(AG1427="Fix3.75",0.0375, IF(AG1427="Fix11",0.11, IF(AG1427="Fix10",0.1,IF(AG1427="Fix3",0.03,0)))))))</f>
        <v>0</v>
      </c>
      <c r="Z1427" s="35">
        <f>IF(AND(AD1427="EUR", AE1427 = "USD"), T1427*U1427-AA1427-AB1427, T1427-AA1427-AB1427)</f>
        <v>1972.9099999999999</v>
      </c>
      <c r="AA1427" s="29">
        <f>IF(AND(AD1427="EUR", F1427="Without EV deal", AE1427="USD"), (T1427*X1427)*U1427,
IF(AND(AD1427="EUR", F1427="Without EV deal", AE1427="EUR"), (T1427*X1427),
IF(AND(AD1427="EUR",AE1427="USD"), (T1427*X1427)*U1427,
T1427*X1427)))</f>
        <v>404.09000000000003</v>
      </c>
      <c r="AB1427" s="36">
        <f>IF(AND(AD1427="EUR", F1427="Without EV deal", AE1427="USD"), (T1427*Y1427)*U1427,
IF(AND(AD1427="EUR", F1427="Without EV deal", AE1427="EUR"), (T1427*Y1427),
IF(AND(AD1427="EUR",AE1427="USD"), (T1427*Y1427)*U1427,
T1427*Y1427)))</f>
        <v>0</v>
      </c>
      <c r="AC1427" s="37" t="b">
        <v>1</v>
      </c>
      <c r="AD1427" s="82" t="str">
        <f>IF(OR(H1427="€0.25 Flash",
H1427="€0.25(nitro) new",
H1427="€1",
H1427="€2",
H1427="€2 (bf 01.08)",
H1427="€5",
H1427="€5 (1M)",
H1427="€5 (bf 01.08)",
H1427="€5 (bf 05.05)",
H1427="€5 Nitro",
H1427="€5(wx) new",
H1427="€10",
H1427="€10 (1M)",
H1427="€10 (bf 01.08)",
H1427="€10 (bf 05.05)",
H1427="€10 (MP)",
H1427="€10 (old)",
H1427="€10 Nitro (bf 05.05)",
H1427="€10 Nitro (old)",
H1427="€10(wx) new",
H1427="€20",
H1427="€25",
H1427="€25 (bf 01.08)",
H1427="€25 (bf 05.05)",
H1427="€25 (MP)",
H1427="€25 (old)",
H1427="€25 Nitro",
H1427="€25 Nitro (bf 01.08)",
H1427="€25 Nitro (bf 05.05)",
H1427="€25(nitro) new",
H1427="€25(wx) new",
H1427="€50",
H1427="€50 (bf 01.08)",
H1427="€50 (bf 05.05)",
H1427="€50 (old)",
H1427="€50 Nitro",
H1427="€50 Nitro (bf 01.08)",
H1427="€50 Nitro (bf 05.05)",
H1427="€50(wx) new",
H1427="€100",
H1427="€100 (old)",
H1427="€100 Nitro",
H1427="€100 Nitro (old)",
H1427="€200",
H1427="€250",
H1427="€250 Nitro",
H1427="€500",
H1427="€500 Nitro"),"EUR", "USD")</f>
        <v>USD</v>
      </c>
      <c r="AE1427" s="83" t="s">
        <v>38</v>
      </c>
      <c r="AF1427" s="83" t="str">
        <f t="array" ref="AF1427">INDEX('Deal Info'!D:D, MATCH(A1427,'Deal Info'!A:A, 0))</f>
        <v>DoEV</v>
      </c>
      <c r="AG1427" s="84" t="str">
        <f t="array" ref="AG1427">INDEX('Deal Info'!G:G, MATCH(A1427,'Deal Info'!A:A, 0))</f>
        <v>None</v>
      </c>
    </row>
    <row r="1428" spans="1:33" ht="28.5" hidden="1" x14ac:dyDescent="0.2">
      <c r="A1428" s="18" t="str">
        <f t="array" ref="A1428">IF(G1428='Room Info'!$B$1, INDEX('Room Info'!$A$2:$A2446, MATCH(B1428,'Room Info'!$B$2:$B2446, 0)),IF(G1428='Room Info'!$C$1, INDEX('Room Info'!$A$2:$A2446, MATCH(B1428,'Room Info'!$C$2:$C2446, 0)),IF(G1428='Room Info'!$D$1, INDEX('Room Info'!$A$2:$A2446, MATCH(B1428,'Room Info'!$D$2:$D2446, 0)),IF(G1428='Room Info'!$E$1, INDEX('Room Info'!$A$2:$A2446, MATCH(B1428,'Room Info'!$E$2:$E2446, 0)),IF(G1428='Room Info'!$F$1, INDEX('Room Info'!$A$2:$A2446, MATCH(B1428,'Room Info'!$F$2:$F2446, 0)),IF(G1428='Room Info'!$H$1, INDEX('Room Info'!$A$2:$A2446, MATCH(B1428,'Room Info'!$H$2:$H2446, 0)),IF(G1428='Room Info'!$G$1, INDEX('Room Info'!$A$2:$A2446, MATCH(B1428,'Room Info'!$G$2:$G2446, 0)))))))))</f>
        <v>Farodit</v>
      </c>
      <c r="B1428" s="85" t="s">
        <v>171</v>
      </c>
      <c r="C1428" s="86">
        <v>44947</v>
      </c>
      <c r="D1428" s="87">
        <v>44977</v>
      </c>
      <c r="E1428" s="21">
        <v>44958</v>
      </c>
      <c r="F1428" s="22" t="s">
        <v>34</v>
      </c>
      <c r="G1428" s="18" t="s">
        <v>165</v>
      </c>
      <c r="H1428" s="120" t="s">
        <v>216</v>
      </c>
      <c r="I1428" s="23" t="s">
        <v>37</v>
      </c>
      <c r="J1428" s="39">
        <v>5</v>
      </c>
      <c r="K1428" s="88">
        <v>1</v>
      </c>
      <c r="L1428" s="89">
        <v>-5</v>
      </c>
      <c r="M1428" s="27"/>
      <c r="N1428" s="28">
        <f>K1428*J1428</f>
        <v>5</v>
      </c>
      <c r="O1428" s="18"/>
      <c r="P1428" s="29">
        <v>0</v>
      </c>
      <c r="Q1428" s="30"/>
      <c r="R1428" s="31">
        <f>M1428+Q1428</f>
        <v>0</v>
      </c>
      <c r="S1428" s="28"/>
      <c r="T1428" s="32">
        <f>IF(AND(AD1428="EUR", F1428="Without EV deal"), R1428 + L1428,
IF(AND(AD1428="USD", F1428="Without EV deal"), R1428 + L1428,
IF(AND(AD1428="EUR", F1428="Steel Phoenix"), R1428 + S1428/U1428,
R1428 + S1428)))</f>
        <v>0</v>
      </c>
      <c r="U1428" s="33">
        <v>1.0669999999999999</v>
      </c>
      <c r="V1428" s="34">
        <v>22.489612188365651</v>
      </c>
      <c r="W1428" s="34">
        <v>105.69324095458045</v>
      </c>
      <c r="X1428" s="30">
        <f>IF(AF1428="DoEV",IF(AND(V1428&lt;20,W1428&lt;55),0.3,0)+IF(AND(V1428&lt;20,W1428&gt;=55,W1428&lt;105),0.23,0)+IF(AND(V1428&lt;20,W1428&gt;=105),0.17,0)+IF(AND(V1428&gt;=20,V1428&lt;40,W1428&lt;45),0.3,0)+IF(AND(V1428&gt;=20,V1428&lt;40,W1428&gt;=45,W1428&lt;95),0.23,0)+IF(AND(V1428&gt;=20,V1428&lt;40,W1428&gt;=95),0.17,0)+IF(AND(V1428&gt;=40,V1428&lt;75,W1428&lt;35),0.3,0)+IF(AND(V1428&gt;=40,V1428&lt;75,W1428&gt;=35,W1428&lt;75),0.23,0)+IF(AND(V1428&gt;=40,V1428&lt;75,W1428&gt;=75,W1428&lt;120),0.17,0)+IF(AND(V1428&gt;=40,V1428&lt;75,W1428&gt;=120),0.12,0)+IF(AND(V1428&gt;=75,V1428&lt;175,W1428&lt;35),0.3,0)+IF(AND(V1428&gt;=75,V1428&lt;=175,W1428&gt;=35,W1428&lt;65),0.23,0)+IF(AND(V1428&gt;=75,V1428&lt;=175,W1428&gt;=65,W1428&lt;110),0.17,0)+IF(AND(V1428&gt;=75,V1428&lt;=175,W1428&gt;=110),0.12,0)+IF(AND(V1428&gt;175,W1428&lt;25),0.3,0)+IF(AND(V1428&gt;175,W1428&gt;=25,W1428&lt;55),0.23,0)+IF(AND(V1428&gt;175,W1428&gt;=55,W1428&lt;95),0.17,0)+IF(AND(V1428&gt;175,W1428&gt;=95),0.12,0),
IF(AF1428="Fix15",0.15,
IF(AF1428="Fix5",0.05,
IF(AF1428="Fix18.75",0.1875,
IF(AF1428="Fix11.25",0.1125,
IF(AF1428="Fix10",0.1,
IF(AF1428="Fix9",0.09,
IF(AF1428="Fix12",0.12,
IF(AF1428="Fix19",0.19,
IF(AF1428="DoEV2017",IF(AND(W1428&lt;74),0.2,0)+IF(AND(W1428&gt;=74),0.17,0),
IF(AF1428="SF",IF(AND(V1428&lt;20,W1428&lt;89),0.3,0)+IF(AND(V1428&lt;20,W1428&gt;=89),0.25,0)+IF(AND(V1428&gt;=20,V1428&lt;40,W1428&lt;74),0.3,0)+IF(AND(V1428&gt;=20,V1428&lt;40,W1428&gt;=75),0.22,0)+IF(AND(V1428&gt;=40,V1428&lt;75,W1428&lt;75),0.26,0)+IF(AND(V1428&gt;=40,V1428&lt;75,W1428&gt;=75),0.22,0)+IF(V1428&gt;=75,0.22,0),
IF(AF1428="DoEVold",IF(AND(V1428&lt;40,W1428&lt;35),0.35,0)+IF(AND(V1428&lt;40,W1428&gt;=35,W1428&lt;75),0.25,0)+IF(AND(V1428&lt;40,W1428&gt;=75),0.17,0)+IF(AND(V1428&gt;=40,V1428&lt;75,W1428&lt;25),0.35,0)+IF(AND(V1428&gt;=40,V1428&lt;75,W1428&gt;=25,W1428&lt;65),0.25,0)+IF(AND(V1428&gt;=40,V1428&lt;75,W1428&gt;=65,W1428&lt;100),0.17,0)+IF(AND(V1428&gt;=40,V1428&lt;75,W1428&gt;=100),0.1,0)+IF(AND(V1428&gt;=75,W1428&lt;25),0.35,0)+IF(AND(V1428&gt;=75,W1428&gt;=25,W1428&lt;60),0.25,0)+IF(AND(V1428&gt;=75,W1428&gt;=60,W1428&lt;95),0.17,0)+IF(AND(V1428&gt;=75,W1428&gt;=95),0.1,0),
IF(AF1428="DoEVold15",IF(AND(V1428&lt;=40,W1428&lt;35),0.35,0)+IF(AND(V1428&lt;=40,W1428&gt;=35,W1428&lt;75),0.25,0)+IF(AND(V1428&lt;=40,W1428&gt;=75,W1428&lt;120),0.17,0)+IF(AND(V1428&lt;=40,W1428&gt;=120),0.15,0)+IF(AND(V1428&gt;40,V1428&lt;75,W1428&lt;25),0.35,0)+IF(AND(V1428&gt;=40,V1428&lt;75,W1428&gt;=25,W1428&lt;65),0.25,0)+IF(AND(V1428&gt;=40,V1428&lt;75,W1428&gt;=65,W1428&lt;100),0.17,0)+IF(AND(V1428&gt;=40,V1428&lt;75,W1428&gt;=100),0.1,0)+IF(AND(V1428&gt;=75,W1428&lt;25),0.35,0)+IF(AND(V1428&gt;=75,W1428&gt;=25,W1428&lt;60),0.25,0)+IF(AND(V1428&gt;=75,W1428&gt;=60,W1428&lt;95),0.17,0)+IF(AND(V1428&gt;=75,W1428&gt;=95),0.1,0),
IF(AF1428="DoEVba",IF(AND(V1428&lt;20,W1428&lt;105),0.2,0)+IF(AND(V1428&lt;20,W1428&gt;=105),0.15,0)+IF(AND(V1428&gt;=20,V1428&lt;40,W1428&lt;95),0.2,0)+IF(AND(V1428&gt;=20,V1428&lt;40,W1428&gt;=95,W1428&lt;150),0.15,0)+IF(AND(V1428&gt;=20,V1428&lt;40,W1428&gt;=150),0.12,0)+IF(AND(V1428&gt;=40,V1428&lt;75,W1428&lt;75),0.2,0)+IF(AND(V1428&gt;=40,V1428&lt;75,W1428&gt;=75,W1428&lt;120),0.15,0)+IF(AND(V1428&gt;=40,V1428&lt;75,W1428&gt;=120),0.12,0)+IF(AND(V1428&gt;=75,V1428&lt;175,W1428&lt;65),0.2,0)+IF(AND(V1428&gt;=75,V1428&lt;175,W1428&gt;=65,W1428&lt;110),0.15,0)+IF(AND(V1428&gt;=75,V1428&lt;175,W1428&gt;=110),0.12,0)+IF(AND(V1428&gt;=175,W1428&lt;55),0.2,0)+IF(AND(V1428&gt;=175,W1428&gt;=55,W1428&lt;95),0.15,0)+IF(AND(V1428&gt;=175,W1428&gt;=95),0.12,0),
IF(AF1428="DoEVku",IF(AND(V1428&lt;20,W1428&lt;55),0.23,0)+IF(AND(V1428&lt;20,W1428&gt;=55,W1428&lt;105),0.2,0)+IF(AND(V1428&lt;20,W1428&gt;=105),0.17,0)+IF(AND(V1428&gt;=20,V1428&lt;40,W1428&lt;45),0.23,0)+IF(AND(V1428&gt;=20,V1428&lt;40,W1428&gt;=45,W1428&lt;95),0.2,0)+IF(AND(V1428&gt;=20,V1428&lt;40,W1428&gt;=95,W1428&lt;=150),0.17,0)+IF(AND(V1428&gt;=20,V1428&lt;40,W1428&gt;=150),0.12,0)+IF(AND(V1428&gt;=40,V1428&lt;75,W1428&lt;35),0.23,0)+IF(AND(V1428&gt;=40,V1428&lt;75,W1428&gt;=35,W1428&lt;75),0.2,0)+IF(AND(V1428&gt;=40,V1428&lt;75,W1428&gt;=75,W1428&lt;120),0.17,0)+IF(AND(V1428&gt;=40,V1428&lt;75,W1428&gt;=120),0.12,0)+IF(AND(V1428&gt;=75,V1428&lt;175,W1428&lt;35),0.23,0)+IF(AND(V1428&gt;=75,V1428&lt;=175,W1428&gt;=35,W1428&lt;65),0.2,0)+IF(AND(V1428&gt;=75,V1428&lt;=175,W1428&gt;=65,W1428&lt;110),0.17,0)+IF(AND(V1428&gt;=75,V1428&lt;=175,W1428&gt;=110),0.12,0)+IF(AND(V1428&gt;175,W1428&lt;25),0.23,0)+IF(AND(V1428&gt;175,W1428&gt;=25,W1428&lt;55),0.2,0)+IF(AND(V1428&gt;175,W1428&gt;=55,W1428&lt;95),0.17,0)+IF(AND(V1428&gt;175,W1428&gt;=95),0.12,0),
IF(AF1428="DoEVs1",IF(AND(V1428&lt;20,W1428&lt;55),0.3,0)+IF(AND(V1428&lt;20,W1428&gt;=55,W1428&lt;105),0.23,0)+IF(AND(V1428&lt;20,W1428&gt;=105),0.17,0)+IF(AND(V1428&gt;=20,V1428&lt;40,W1428&lt;45),0.3,0)+IF(AND(V1428&gt;=20,V1428&lt;40,W1428&gt;=45,W1428&lt;95),0.23,0)+IF(AND(V1428&gt;=20,V1428&lt;40,W1428&gt;=95,W1428&lt;=150),0.17,0)+IF(AND(V1428&gt;=20,V1428&lt;40,W1428&gt;=150),0.12,0)+IF(AND(V1428&gt;=40,V1428&lt;75,W1428&lt;35),0.3,0)+IF(AND(V1428&gt;=40,V1428&lt;75,W1428&gt;=35,W1428&lt;75),0.23,0)+IF(AND(V1428&gt;=40,V1428&lt;75,W1428&gt;=75,W1428&lt;120),0.17,0)+IF(AND(V1428&gt;=40,V1428&lt;75,W1428&gt;=120),0.12,0)+IF(AND(V1428&gt;=75,V1428&lt;175,W1428&lt;35),0.3,0)+IF(AND(V1428&gt;=75,V1428&lt;=175,W1428&gt;=35,W1428&lt;65),0.23,0)+IF(AND(V1428&gt;=75,V1428&lt;=175,W1428&gt;=65,W1428&lt;110),0.17,0)+IF(AND(V1428&gt;=75,V1428&lt;=175,W1428&gt;=110),0.12,0)+IF(AND(V1428&gt;175,W1428&lt;25),0.3,0)+IF(AND(V1428&gt;175,W1428&gt;=25,W1428&lt;55),0.23,0)+IF(AND(V1428&gt;175,W1428&gt;=55,W1428&lt;95),0.17,0)+IF(AND(V1428&gt;175,W1428&gt;=95),0.12,0),
IF(AF1428="DoEVsu",IF(AND(V1428&lt;20,W1428&lt;55),0.3,0)+IF(AND(V1428&lt;20,W1428&gt;=55,W1428&lt;105),0.23,0)+IF(AND(V1428&lt;20,W1428&gt;=105),0.17,0)+IF(AND(V1428&gt;=20,V1428&lt;40,W1428&lt;45),0.3,0)+IF(AND(V1428&gt;=20,V1428&lt;40,W1428&gt;=45,W1428&lt;95),0.23,0)+IF(AND(V1428&gt;=20,V1428&lt;40,W1428&gt;=95,W1428&lt;=250),0.17,0)+IF(AND(V1428&gt;=20,V1428&lt;40,W1428&gt;=250),0.12,0)+IF(AND(V1428&gt;=40,V1428&lt;75,W1428&lt;35),0.3,0)+IF(AND(V1428&gt;=40,V1428&lt;75,W1428&gt;=35,W1428&lt;75),0.23,0)+IF(AND(V1428&gt;=40,V1428&lt;75,W1428&gt;=75,W1428&lt;120),0.17,0)+IF(AND(V1428&gt;=40,V1428&lt;75,W1428&gt;=120),0.12,0)+IF(AND(V1428&gt;=75,V1428&lt;175,W1428&lt;35),0.3,0)+IF(AND(V1428&gt;=75,V1428&lt;=175,W1428&gt;=35,W1428&lt;65),0.23,0)+IF(AND(V1428&gt;=75,V1428&lt;=175,W1428&gt;=65,W1428&lt;110),0.17,0)+IF(AND(V1428&gt;=75,V1428&lt;=175,W1428&gt;=110),0.12,0)+IF(AND(V1428&gt;175,W1428&lt;25),0.3,0)+IF(AND(V1428&gt;175,W1428&gt;=25,W1428&lt;55),0.23,0)+IF(AND(V1428&gt;175,W1428&gt;=55,W1428&lt;95),0.17,0)+IF(AND(V1428&gt;175,W1428&gt;=95),0.12,0),
IF(AF1428="DoEVni",IF(AND(V1428&lt;20,W1428&lt;55),0.3,0)+IF(AND(V1428&lt;20,W1428&gt;=55,W1428&lt;105),0.23,0)+IF(AND(V1428&lt;20,W1428&gt;=105),0.17,0)+IF(AND(V1428&gt;=20,V1428&lt;40,W1428&lt;45),0.3,0)+IF(AND(V1428&gt;=20,V1428&lt;40,W1428&gt;=45,W1428&lt;95),0.23,0)+IF(AND(V1428&gt;=20,V1428&lt;40,W1428&gt;=95,W1428&lt;=200),0.17,0)+IF(AND(V1428&gt;=20,V1428&lt;40,W1428&gt;=200),0.12,0)+IF(AND(V1428&gt;=40,V1428&lt;75,W1428&lt;35),0.3,0)+IF(AND(V1428&gt;=40,V1428&lt;75,W1428&gt;=35,W1428&lt;75),0.23,0)+IF(AND(V1428&gt;=40,V1428&lt;75,W1428&gt;=75,W1428&lt;120),0.17,0)+IF(AND(V1428&gt;=40,V1428&lt;75,W1428&gt;=120),0.12,0)+IF(AND(V1428&gt;=75,V1428&lt;175,W1428&lt;35),0.3,0)+IF(AND(V1428&gt;=75,V1428&lt;=175,W1428&gt;=35,W1428&lt;65),0.23,0)+IF(AND(V1428&gt;=75,V1428&lt;=175,W1428&gt;=65,W1428&lt;110),0.17,0)+IF(AND(V1428&gt;=75,V1428&lt;=175,W1428&gt;=110),0.12,0)+IF(AND(V1428&gt;175,W1428&lt;25),0.3,0)+IF(AND(V1428&gt;175,W1428&gt;=25,W1428&lt;55),0.23,0)+IF(AND(V1428&gt;175,W1428&gt;=55,W1428&lt;95),0.17,0)+IF(AND(V1428&gt;175,W1428&gt;=95),0.12,0),
IF(AF1428="DoEVLo",IF(AND(V1428&lt;20,W1428&lt;55),0.25,0)+IF(AND(V1428&lt;20,W1428&gt;=55,W1428&lt;105),0.2,0)+IF(AND(V1428&lt;20,W1428&gt;=105),0.15,0)+IF(AND(V1428&gt;=20,V1428&lt;40,W1428&lt;45),0.25,0)+IF(AND(V1428&gt;=20,V1428&lt;40,W1428&gt;=45,W1428&lt;95),0.2,0)+IF(AND(V1428&gt;=20,V1428&lt;40,W1428&gt;=95),0.15,0)+IF(AND(V1428&gt;=40,V1428&lt;75,W1428&lt;35),0.25,0)+IF(AND(V1428&gt;=40,V1428&lt;75,W1428&gt;=35,W1428&lt;75),0.2,0)+IF(AND(V1428&gt;=40,V1428&lt;75,W1428&gt;=75,W1428&lt;120),0.15,0)+IF(AND(V1428&gt;=40,V1428&lt;75,W1428&gt;=120),0.1,0)+IF(AND(V1428&gt;=75,V1428&lt;175,W1428&lt;35),0.25,0)+IF(AND(V1428&gt;=75,V1428&lt;=175,W1428&gt;=35,W1428&lt;65),0.2,0)+IF(AND(V1428&gt;=75,V1428&lt;=175,W1428&gt;=65,W1428&lt;110),0.15,0)+IF(AND(V1428&gt;=75,V1428&lt;=175,W1428&gt;=110),0.1,0)+IF(AND(V1428&gt;175,W1428&lt;25),0.25,0)+IF(AND(V1428&gt;175,W1428&gt;=25,W1428&lt;55),0.2,0)+IF(AND(V1428&gt;175,W1428&gt;=55,W1428&lt;95),0.15,0)+IF(AND(V1428&gt;175,W1428&gt;=95),0.1,0))))))))))))))))))))</f>
        <v>0.17</v>
      </c>
      <c r="Y1428" s="30">
        <f>IF(AG1428="None",0,IF(AG1428="Fix5",0.05, IF(AG1428="Fix6.25",0.0625,IF(AG1428="Fix3.75",0.0375, IF(AG1428="Fix11",0.11, IF(AG1428="Fix10",0.1,IF(AG1428="Fix3",0.03,0)))))))</f>
        <v>0</v>
      </c>
      <c r="Z1428" s="35">
        <f>IF(AND(AD1428="EUR", AE1428 = "USD"), T1428*U1428-AA1428-AB1428, T1428-AA1428-AB1428)</f>
        <v>0</v>
      </c>
      <c r="AA1428" s="29">
        <f>IF(AND(AD1428="EUR", F1428="Without EV deal", AE1428="USD"), (T1428*X1428)*U1428,
IF(AND(AD1428="EUR", F1428="Without EV deal", AE1428="EUR"), (T1428*X1428),
IF(AND(AD1428="EUR",AE1428="USD"), (T1428*X1428)*U1428,
T1428*X1428)))</f>
        <v>0</v>
      </c>
      <c r="AB1428" s="36">
        <f>IF(AND(AD1428="EUR", F1428="Without EV deal", AE1428="USD"), (T1428*Y1428)*U1428,
IF(AND(AD1428="EUR", F1428="Without EV deal", AE1428="EUR"), (T1428*Y1428),
IF(AND(AD1428="EUR",AE1428="USD"), (T1428*Y1428)*U1428,
T1428*Y1428)))</f>
        <v>0</v>
      </c>
      <c r="AC1428" s="37" t="b">
        <v>1</v>
      </c>
      <c r="AD1428" s="82" t="str">
        <f>IF(OR(H1428="€0.25 Flash",
H1428="€0.25(nitro) new",
H1428="€1",
H1428="€2",
H1428="€2 (bf 01.08)",
H1428="€5",
H1428="€5 (1M)",
H1428="€5 (bf 01.08)",
H1428="€5 (bf 05.05)",
H1428="€5 Nitro",
H1428="€5(wx) new",
H1428="€10",
H1428="€10 (1M)",
H1428="€10 (bf 01.08)",
H1428="€10 (bf 05.05)",
H1428="€10 (MP)",
H1428="€10 (old)",
H1428="€10 Nitro (bf 05.05)",
H1428="€10 Nitro (old)",
H1428="€10(wx) new",
H1428="€20",
H1428="€25",
H1428="€25 (bf 01.08)",
H1428="€25 (bf 05.05)",
H1428="€25 (MP)",
H1428="€25 (old)",
H1428="€25 Nitro",
H1428="€25 Nitro (bf 01.08)",
H1428="€25 Nitro (bf 05.05)",
H1428="€25(nitro) new",
H1428="€25(wx) new",
H1428="€50",
H1428="€50 (bf 01.08)",
H1428="€50 (bf 05.05)",
H1428="€50 (old)",
H1428="€50 Nitro",
H1428="€50 Nitro (bf 01.08)",
H1428="€50 Nitro (bf 05.05)",
H1428="€50(wx) new",
H1428="€100",
H1428="€100 (old)",
H1428="€100 Nitro",
H1428="€100 Nitro (old)",
H1428="€200",
H1428="€250",
H1428="€250 Nitro",
H1428="€500",
H1428="€500 Nitro"),"EUR", "USD")</f>
        <v>EUR</v>
      </c>
      <c r="AE1428" s="83" t="s">
        <v>38</v>
      </c>
      <c r="AF1428" s="83" t="str">
        <f t="array" ref="AF1428">INDEX('Deal Info'!D:D, MATCH(A1428,'Deal Info'!A:A, 0))</f>
        <v>DoEV</v>
      </c>
      <c r="AG1428" s="84" t="str">
        <f t="array" ref="AG1428">INDEX('Deal Info'!G:G, MATCH(A1428,'Deal Info'!A:A, 0))</f>
        <v>None</v>
      </c>
    </row>
    <row r="1429" spans="1:33" ht="28.5" hidden="1" x14ac:dyDescent="0.2">
      <c r="A1429" s="18" t="str">
        <f t="array" ref="A1429">IF(G1429='Room Info'!$B$1, INDEX('Room Info'!$A$2:$A2446, MATCH(B1429,'Room Info'!$B$2:$B2446, 0)),IF(G1429='Room Info'!$C$1, INDEX('Room Info'!$A$2:$A2446, MATCH(B1429,'Room Info'!$C$2:$C2446, 0)),IF(G1429='Room Info'!$D$1, INDEX('Room Info'!$A$2:$A2446, MATCH(B1429,'Room Info'!$D$2:$D2446, 0)),IF(G1429='Room Info'!$E$1, INDEX('Room Info'!$A$2:$A2446, MATCH(B1429,'Room Info'!$E$2:$E2446, 0)),IF(G1429='Room Info'!$F$1, INDEX('Room Info'!$A$2:$A2446, MATCH(B1429,'Room Info'!$F$2:$F2446, 0)),IF(G1429='Room Info'!$H$1, INDEX('Room Info'!$A$2:$A2446, MATCH(B1429,'Room Info'!$H$2:$H2446, 0)),IF(G1429='Room Info'!$G$1, INDEX('Room Info'!$A$2:$A2446, MATCH(B1429,'Room Info'!$G$2:$G2446, 0)))))))))</f>
        <v>Farodit</v>
      </c>
      <c r="B1429" s="85" t="s">
        <v>171</v>
      </c>
      <c r="C1429" s="86">
        <v>44947</v>
      </c>
      <c r="D1429" s="87">
        <v>44977</v>
      </c>
      <c r="E1429" s="21">
        <v>44958</v>
      </c>
      <c r="F1429" s="22" t="s">
        <v>34</v>
      </c>
      <c r="G1429" s="18" t="s">
        <v>165</v>
      </c>
      <c r="H1429" s="120" t="s">
        <v>166</v>
      </c>
      <c r="I1429" s="23" t="s">
        <v>37</v>
      </c>
      <c r="J1429" s="39">
        <v>10</v>
      </c>
      <c r="K1429" s="88">
        <v>384</v>
      </c>
      <c r="L1429" s="89">
        <v>30</v>
      </c>
      <c r="M1429" s="27"/>
      <c r="N1429" s="28">
        <f>K1429*J1429</f>
        <v>3840</v>
      </c>
      <c r="O1429" s="85">
        <v>32074</v>
      </c>
      <c r="P1429" s="29">
        <v>83.526041669999998</v>
      </c>
      <c r="Q1429" s="30"/>
      <c r="R1429" s="31">
        <f>M1429+Q1429</f>
        <v>0</v>
      </c>
      <c r="S1429" s="28"/>
      <c r="T1429" s="32">
        <f>IF(AND(AD1429="EUR", F1429="Without EV deal"), R1429 + L1429,
IF(AND(AD1429="USD", F1429="Without EV deal"), R1429 + L1429,
IF(AND(AD1429="EUR", F1429="Steel Phoenix"), R1429 + S1429/U1429,
R1429 + S1429)))</f>
        <v>0</v>
      </c>
      <c r="U1429" s="33">
        <v>1.0669999999999999</v>
      </c>
      <c r="V1429" s="34">
        <v>22.489612188365651</v>
      </c>
      <c r="W1429" s="34">
        <v>105.69324095458045</v>
      </c>
      <c r="X1429" s="30">
        <f>IF(AF1429="DoEV",IF(AND(V1429&lt;20,W1429&lt;55),0.3,0)+IF(AND(V1429&lt;20,W1429&gt;=55,W1429&lt;105),0.23,0)+IF(AND(V1429&lt;20,W1429&gt;=105),0.17,0)+IF(AND(V1429&gt;=20,V1429&lt;40,W1429&lt;45),0.3,0)+IF(AND(V1429&gt;=20,V1429&lt;40,W1429&gt;=45,W1429&lt;95),0.23,0)+IF(AND(V1429&gt;=20,V1429&lt;40,W1429&gt;=95),0.17,0)+IF(AND(V1429&gt;=40,V1429&lt;75,W1429&lt;35),0.3,0)+IF(AND(V1429&gt;=40,V1429&lt;75,W1429&gt;=35,W1429&lt;75),0.23,0)+IF(AND(V1429&gt;=40,V1429&lt;75,W1429&gt;=75,W1429&lt;120),0.17,0)+IF(AND(V1429&gt;=40,V1429&lt;75,W1429&gt;=120),0.12,0)+IF(AND(V1429&gt;=75,V1429&lt;175,W1429&lt;35),0.3,0)+IF(AND(V1429&gt;=75,V1429&lt;=175,W1429&gt;=35,W1429&lt;65),0.23,0)+IF(AND(V1429&gt;=75,V1429&lt;=175,W1429&gt;=65,W1429&lt;110),0.17,0)+IF(AND(V1429&gt;=75,V1429&lt;=175,W1429&gt;=110),0.12,0)+IF(AND(V1429&gt;175,W1429&lt;25),0.3,0)+IF(AND(V1429&gt;175,W1429&gt;=25,W1429&lt;55),0.23,0)+IF(AND(V1429&gt;175,W1429&gt;=55,W1429&lt;95),0.17,0)+IF(AND(V1429&gt;175,W1429&gt;=95),0.12,0),
IF(AF1429="Fix15",0.15,
IF(AF1429="Fix5",0.05,
IF(AF1429="Fix18.75",0.1875,
IF(AF1429="Fix11.25",0.1125,
IF(AF1429="Fix10",0.1,
IF(AF1429="Fix9",0.09,
IF(AF1429="Fix12",0.12,
IF(AF1429="Fix19",0.19,
IF(AF1429="DoEV2017",IF(AND(W1429&lt;74),0.2,0)+IF(AND(W1429&gt;=74),0.17,0),
IF(AF1429="SF",IF(AND(V1429&lt;20,W1429&lt;89),0.3,0)+IF(AND(V1429&lt;20,W1429&gt;=89),0.25,0)+IF(AND(V1429&gt;=20,V1429&lt;40,W1429&lt;74),0.3,0)+IF(AND(V1429&gt;=20,V1429&lt;40,W1429&gt;=75),0.22,0)+IF(AND(V1429&gt;=40,V1429&lt;75,W1429&lt;75),0.26,0)+IF(AND(V1429&gt;=40,V1429&lt;75,W1429&gt;=75),0.22,0)+IF(V1429&gt;=75,0.22,0),
IF(AF1429="DoEVold",IF(AND(V1429&lt;40,W1429&lt;35),0.35,0)+IF(AND(V1429&lt;40,W1429&gt;=35,W1429&lt;75),0.25,0)+IF(AND(V1429&lt;40,W1429&gt;=75),0.17,0)+IF(AND(V1429&gt;=40,V1429&lt;75,W1429&lt;25),0.35,0)+IF(AND(V1429&gt;=40,V1429&lt;75,W1429&gt;=25,W1429&lt;65),0.25,0)+IF(AND(V1429&gt;=40,V1429&lt;75,W1429&gt;=65,W1429&lt;100),0.17,0)+IF(AND(V1429&gt;=40,V1429&lt;75,W1429&gt;=100),0.1,0)+IF(AND(V1429&gt;=75,W1429&lt;25),0.35,0)+IF(AND(V1429&gt;=75,W1429&gt;=25,W1429&lt;60),0.25,0)+IF(AND(V1429&gt;=75,W1429&gt;=60,W1429&lt;95),0.17,0)+IF(AND(V1429&gt;=75,W1429&gt;=95),0.1,0),
IF(AF1429="DoEVold15",IF(AND(V1429&lt;=40,W1429&lt;35),0.35,0)+IF(AND(V1429&lt;=40,W1429&gt;=35,W1429&lt;75),0.25,0)+IF(AND(V1429&lt;=40,W1429&gt;=75,W1429&lt;120),0.17,0)+IF(AND(V1429&lt;=40,W1429&gt;=120),0.15,0)+IF(AND(V1429&gt;40,V1429&lt;75,W1429&lt;25),0.35,0)+IF(AND(V1429&gt;=40,V1429&lt;75,W1429&gt;=25,W1429&lt;65),0.25,0)+IF(AND(V1429&gt;=40,V1429&lt;75,W1429&gt;=65,W1429&lt;100),0.17,0)+IF(AND(V1429&gt;=40,V1429&lt;75,W1429&gt;=100),0.1,0)+IF(AND(V1429&gt;=75,W1429&lt;25),0.35,0)+IF(AND(V1429&gt;=75,W1429&gt;=25,W1429&lt;60),0.25,0)+IF(AND(V1429&gt;=75,W1429&gt;=60,W1429&lt;95),0.17,0)+IF(AND(V1429&gt;=75,W1429&gt;=95),0.1,0),
IF(AF1429="DoEVba",IF(AND(V1429&lt;20,W1429&lt;105),0.2,0)+IF(AND(V1429&lt;20,W1429&gt;=105),0.15,0)+IF(AND(V1429&gt;=20,V1429&lt;40,W1429&lt;95),0.2,0)+IF(AND(V1429&gt;=20,V1429&lt;40,W1429&gt;=95,W1429&lt;150),0.15,0)+IF(AND(V1429&gt;=20,V1429&lt;40,W1429&gt;=150),0.12,0)+IF(AND(V1429&gt;=40,V1429&lt;75,W1429&lt;75),0.2,0)+IF(AND(V1429&gt;=40,V1429&lt;75,W1429&gt;=75,W1429&lt;120),0.15,0)+IF(AND(V1429&gt;=40,V1429&lt;75,W1429&gt;=120),0.12,0)+IF(AND(V1429&gt;=75,V1429&lt;175,W1429&lt;65),0.2,0)+IF(AND(V1429&gt;=75,V1429&lt;175,W1429&gt;=65,W1429&lt;110),0.15,0)+IF(AND(V1429&gt;=75,V1429&lt;175,W1429&gt;=110),0.12,0)+IF(AND(V1429&gt;=175,W1429&lt;55),0.2,0)+IF(AND(V1429&gt;=175,W1429&gt;=55,W1429&lt;95),0.15,0)+IF(AND(V1429&gt;=175,W1429&gt;=95),0.12,0),
IF(AF1429="DoEVku",IF(AND(V1429&lt;20,W1429&lt;55),0.23,0)+IF(AND(V1429&lt;20,W1429&gt;=55,W1429&lt;105),0.2,0)+IF(AND(V1429&lt;20,W1429&gt;=105),0.17,0)+IF(AND(V1429&gt;=20,V1429&lt;40,W1429&lt;45),0.23,0)+IF(AND(V1429&gt;=20,V1429&lt;40,W1429&gt;=45,W1429&lt;95),0.2,0)+IF(AND(V1429&gt;=20,V1429&lt;40,W1429&gt;=95,W1429&lt;=150),0.17,0)+IF(AND(V1429&gt;=20,V1429&lt;40,W1429&gt;=150),0.12,0)+IF(AND(V1429&gt;=40,V1429&lt;75,W1429&lt;35),0.23,0)+IF(AND(V1429&gt;=40,V1429&lt;75,W1429&gt;=35,W1429&lt;75),0.2,0)+IF(AND(V1429&gt;=40,V1429&lt;75,W1429&gt;=75,W1429&lt;120),0.17,0)+IF(AND(V1429&gt;=40,V1429&lt;75,W1429&gt;=120),0.12,0)+IF(AND(V1429&gt;=75,V1429&lt;175,W1429&lt;35),0.23,0)+IF(AND(V1429&gt;=75,V1429&lt;=175,W1429&gt;=35,W1429&lt;65),0.2,0)+IF(AND(V1429&gt;=75,V1429&lt;=175,W1429&gt;=65,W1429&lt;110),0.17,0)+IF(AND(V1429&gt;=75,V1429&lt;=175,W1429&gt;=110),0.12,0)+IF(AND(V1429&gt;175,W1429&lt;25),0.23,0)+IF(AND(V1429&gt;175,W1429&gt;=25,W1429&lt;55),0.2,0)+IF(AND(V1429&gt;175,W1429&gt;=55,W1429&lt;95),0.17,0)+IF(AND(V1429&gt;175,W1429&gt;=95),0.12,0),
IF(AF1429="DoEVs1",IF(AND(V1429&lt;20,W1429&lt;55),0.3,0)+IF(AND(V1429&lt;20,W1429&gt;=55,W1429&lt;105),0.23,0)+IF(AND(V1429&lt;20,W1429&gt;=105),0.17,0)+IF(AND(V1429&gt;=20,V1429&lt;40,W1429&lt;45),0.3,0)+IF(AND(V1429&gt;=20,V1429&lt;40,W1429&gt;=45,W1429&lt;95),0.23,0)+IF(AND(V1429&gt;=20,V1429&lt;40,W1429&gt;=95,W1429&lt;=150),0.17,0)+IF(AND(V1429&gt;=20,V1429&lt;40,W1429&gt;=150),0.12,0)+IF(AND(V1429&gt;=40,V1429&lt;75,W1429&lt;35),0.3,0)+IF(AND(V1429&gt;=40,V1429&lt;75,W1429&gt;=35,W1429&lt;75),0.23,0)+IF(AND(V1429&gt;=40,V1429&lt;75,W1429&gt;=75,W1429&lt;120),0.17,0)+IF(AND(V1429&gt;=40,V1429&lt;75,W1429&gt;=120),0.12,0)+IF(AND(V1429&gt;=75,V1429&lt;175,W1429&lt;35),0.3,0)+IF(AND(V1429&gt;=75,V1429&lt;=175,W1429&gt;=35,W1429&lt;65),0.23,0)+IF(AND(V1429&gt;=75,V1429&lt;=175,W1429&gt;=65,W1429&lt;110),0.17,0)+IF(AND(V1429&gt;=75,V1429&lt;=175,W1429&gt;=110),0.12,0)+IF(AND(V1429&gt;175,W1429&lt;25),0.3,0)+IF(AND(V1429&gt;175,W1429&gt;=25,W1429&lt;55),0.23,0)+IF(AND(V1429&gt;175,W1429&gt;=55,W1429&lt;95),0.17,0)+IF(AND(V1429&gt;175,W1429&gt;=95),0.12,0),
IF(AF1429="DoEVsu",IF(AND(V1429&lt;20,W1429&lt;55),0.3,0)+IF(AND(V1429&lt;20,W1429&gt;=55,W1429&lt;105),0.23,0)+IF(AND(V1429&lt;20,W1429&gt;=105),0.17,0)+IF(AND(V1429&gt;=20,V1429&lt;40,W1429&lt;45),0.3,0)+IF(AND(V1429&gt;=20,V1429&lt;40,W1429&gt;=45,W1429&lt;95),0.23,0)+IF(AND(V1429&gt;=20,V1429&lt;40,W1429&gt;=95,W1429&lt;=250),0.17,0)+IF(AND(V1429&gt;=20,V1429&lt;40,W1429&gt;=250),0.12,0)+IF(AND(V1429&gt;=40,V1429&lt;75,W1429&lt;35),0.3,0)+IF(AND(V1429&gt;=40,V1429&lt;75,W1429&gt;=35,W1429&lt;75),0.23,0)+IF(AND(V1429&gt;=40,V1429&lt;75,W1429&gt;=75,W1429&lt;120),0.17,0)+IF(AND(V1429&gt;=40,V1429&lt;75,W1429&gt;=120),0.12,0)+IF(AND(V1429&gt;=75,V1429&lt;175,W1429&lt;35),0.3,0)+IF(AND(V1429&gt;=75,V1429&lt;=175,W1429&gt;=35,W1429&lt;65),0.23,0)+IF(AND(V1429&gt;=75,V1429&lt;=175,W1429&gt;=65,W1429&lt;110),0.17,0)+IF(AND(V1429&gt;=75,V1429&lt;=175,W1429&gt;=110),0.12,0)+IF(AND(V1429&gt;175,W1429&lt;25),0.3,0)+IF(AND(V1429&gt;175,W1429&gt;=25,W1429&lt;55),0.23,0)+IF(AND(V1429&gt;175,W1429&gt;=55,W1429&lt;95),0.17,0)+IF(AND(V1429&gt;175,W1429&gt;=95),0.12,0),
IF(AF1429="DoEVni",IF(AND(V1429&lt;20,W1429&lt;55),0.3,0)+IF(AND(V1429&lt;20,W1429&gt;=55,W1429&lt;105),0.23,0)+IF(AND(V1429&lt;20,W1429&gt;=105),0.17,0)+IF(AND(V1429&gt;=20,V1429&lt;40,W1429&lt;45),0.3,0)+IF(AND(V1429&gt;=20,V1429&lt;40,W1429&gt;=45,W1429&lt;95),0.23,0)+IF(AND(V1429&gt;=20,V1429&lt;40,W1429&gt;=95,W1429&lt;=200),0.17,0)+IF(AND(V1429&gt;=20,V1429&lt;40,W1429&gt;=200),0.12,0)+IF(AND(V1429&gt;=40,V1429&lt;75,W1429&lt;35),0.3,0)+IF(AND(V1429&gt;=40,V1429&lt;75,W1429&gt;=35,W1429&lt;75),0.23,0)+IF(AND(V1429&gt;=40,V1429&lt;75,W1429&gt;=75,W1429&lt;120),0.17,0)+IF(AND(V1429&gt;=40,V1429&lt;75,W1429&gt;=120),0.12,0)+IF(AND(V1429&gt;=75,V1429&lt;175,W1429&lt;35),0.3,0)+IF(AND(V1429&gt;=75,V1429&lt;=175,W1429&gt;=35,W1429&lt;65),0.23,0)+IF(AND(V1429&gt;=75,V1429&lt;=175,W1429&gt;=65,W1429&lt;110),0.17,0)+IF(AND(V1429&gt;=75,V1429&lt;=175,W1429&gt;=110),0.12,0)+IF(AND(V1429&gt;175,W1429&lt;25),0.3,0)+IF(AND(V1429&gt;175,W1429&gt;=25,W1429&lt;55),0.23,0)+IF(AND(V1429&gt;175,W1429&gt;=55,W1429&lt;95),0.17,0)+IF(AND(V1429&gt;175,W1429&gt;=95),0.12,0),
IF(AF1429="DoEVLo",IF(AND(V1429&lt;20,W1429&lt;55),0.25,0)+IF(AND(V1429&lt;20,W1429&gt;=55,W1429&lt;105),0.2,0)+IF(AND(V1429&lt;20,W1429&gt;=105),0.15,0)+IF(AND(V1429&gt;=20,V1429&lt;40,W1429&lt;45),0.25,0)+IF(AND(V1429&gt;=20,V1429&lt;40,W1429&gt;=45,W1429&lt;95),0.2,0)+IF(AND(V1429&gt;=20,V1429&lt;40,W1429&gt;=95),0.15,0)+IF(AND(V1429&gt;=40,V1429&lt;75,W1429&lt;35),0.25,0)+IF(AND(V1429&gt;=40,V1429&lt;75,W1429&gt;=35,W1429&lt;75),0.2,0)+IF(AND(V1429&gt;=40,V1429&lt;75,W1429&gt;=75,W1429&lt;120),0.15,0)+IF(AND(V1429&gt;=40,V1429&lt;75,W1429&gt;=120),0.1,0)+IF(AND(V1429&gt;=75,V1429&lt;175,W1429&lt;35),0.25,0)+IF(AND(V1429&gt;=75,V1429&lt;=175,W1429&gt;=35,W1429&lt;65),0.2,0)+IF(AND(V1429&gt;=75,V1429&lt;=175,W1429&gt;=65,W1429&lt;110),0.15,0)+IF(AND(V1429&gt;=75,V1429&lt;=175,W1429&gt;=110),0.1,0)+IF(AND(V1429&gt;175,W1429&lt;25),0.25,0)+IF(AND(V1429&gt;175,W1429&gt;=25,W1429&lt;55),0.2,0)+IF(AND(V1429&gt;175,W1429&gt;=55,W1429&lt;95),0.15,0)+IF(AND(V1429&gt;175,W1429&gt;=95),0.1,0))))))))))))))))))))</f>
        <v>0.17</v>
      </c>
      <c r="Y1429" s="30">
        <f>IF(AG1429="None",0,IF(AG1429="Fix5",0.05, IF(AG1429="Fix6.25",0.0625,IF(AG1429="Fix3.75",0.0375, IF(AG1429="Fix11",0.11, IF(AG1429="Fix10",0.1,IF(AG1429="Fix3",0.03,0)))))))</f>
        <v>0</v>
      </c>
      <c r="Z1429" s="35">
        <f>IF(AND(AD1429="EUR", AE1429 = "USD"), T1429*U1429-AA1429-AB1429, T1429-AA1429-AB1429)</f>
        <v>0</v>
      </c>
      <c r="AA1429" s="29">
        <f>IF(AND(AD1429="EUR", F1429="Without EV deal", AE1429="USD"), (T1429*X1429)*U1429,
IF(AND(AD1429="EUR", F1429="Without EV deal", AE1429="EUR"), (T1429*X1429),
IF(AND(AD1429="EUR",AE1429="USD"), (T1429*X1429)*U1429,
T1429*X1429)))</f>
        <v>0</v>
      </c>
      <c r="AB1429" s="36">
        <f>IF(AND(AD1429="EUR", F1429="Without EV deal", AE1429="USD"), (T1429*Y1429)*U1429,
IF(AND(AD1429="EUR", F1429="Without EV deal", AE1429="EUR"), (T1429*Y1429),
IF(AND(AD1429="EUR",AE1429="USD"), (T1429*Y1429)*U1429,
T1429*Y1429)))</f>
        <v>0</v>
      </c>
      <c r="AC1429" s="37" t="b">
        <v>1</v>
      </c>
      <c r="AD1429" s="82" t="str">
        <f>IF(OR(H1429="€0.25 Flash",
H1429="€0.25(nitro) new",
H1429="€1",
H1429="€2",
H1429="€2 (bf 01.08)",
H1429="€5",
H1429="€5 (1M)",
H1429="€5 (bf 01.08)",
H1429="€5 (bf 05.05)",
H1429="€5 Nitro",
H1429="€5(wx) new",
H1429="€10",
H1429="€10 (1M)",
H1429="€10 (bf 01.08)",
H1429="€10 (bf 05.05)",
H1429="€10 (MP)",
H1429="€10 (old)",
H1429="€10 Nitro (bf 05.05)",
H1429="€10 Nitro (old)",
H1429="€10(wx) new",
H1429="€20",
H1429="€25",
H1429="€25 (bf 01.08)",
H1429="€25 (bf 05.05)",
H1429="€25 (MP)",
H1429="€25 (old)",
H1429="€25 Nitro",
H1429="€25 Nitro (bf 01.08)",
H1429="€25 Nitro (bf 05.05)",
H1429="€25(nitro) new",
H1429="€25(wx) new",
H1429="€50",
H1429="€50 (bf 01.08)",
H1429="€50 (bf 05.05)",
H1429="€50 (old)",
H1429="€50 Nitro",
H1429="€50 Nitro (bf 01.08)",
H1429="€50 Nitro (bf 05.05)",
H1429="€50(wx) new",
H1429="€100",
H1429="€100 (old)",
H1429="€100 Nitro",
H1429="€100 Nitro (old)",
H1429="€200",
H1429="€250",
H1429="€250 Nitro",
H1429="€500",
H1429="€500 Nitro"),"EUR", "USD")</f>
        <v>EUR</v>
      </c>
      <c r="AE1429" s="83" t="s">
        <v>38</v>
      </c>
      <c r="AF1429" s="83" t="str">
        <f t="array" ref="AF1429">INDEX('Deal Info'!D:D, MATCH(A1429,'Deal Info'!A:A, 0))</f>
        <v>DoEV</v>
      </c>
      <c r="AG1429" s="84" t="str">
        <f t="array" ref="AG1429">INDEX('Deal Info'!G:G, MATCH(A1429,'Deal Info'!A:A, 0))</f>
        <v>None</v>
      </c>
    </row>
    <row r="1430" spans="1:33" ht="28.5" hidden="1" x14ac:dyDescent="0.2">
      <c r="A1430" s="18" t="str">
        <f t="array" ref="A1430">IF(G1430='Room Info'!$B$1, INDEX('Room Info'!$A$2:$A2446, MATCH(B1430,'Room Info'!$B$2:$B2446, 0)),IF(G1430='Room Info'!$C$1, INDEX('Room Info'!$A$2:$A2446, MATCH(B1430,'Room Info'!$C$2:$C2446, 0)),IF(G1430='Room Info'!$D$1, INDEX('Room Info'!$A$2:$A2446, MATCH(B1430,'Room Info'!$D$2:$D2446, 0)),IF(G1430='Room Info'!$E$1, INDEX('Room Info'!$A$2:$A2446, MATCH(B1430,'Room Info'!$E$2:$E2446, 0)),IF(G1430='Room Info'!$F$1, INDEX('Room Info'!$A$2:$A2446, MATCH(B1430,'Room Info'!$F$2:$F2446, 0)),IF(G1430='Room Info'!$H$1, INDEX('Room Info'!$A$2:$A2446, MATCH(B1430,'Room Info'!$H$2:$H2446, 0)),IF(G1430='Room Info'!$G$1, INDEX('Room Info'!$A$2:$A2446, MATCH(B1430,'Room Info'!$G$2:$G2446, 0)))))))))</f>
        <v>Farodit</v>
      </c>
      <c r="B1430" s="85" t="s">
        <v>171</v>
      </c>
      <c r="C1430" s="86">
        <v>44947</v>
      </c>
      <c r="D1430" s="87">
        <v>44977</v>
      </c>
      <c r="E1430" s="21">
        <v>44958</v>
      </c>
      <c r="F1430" s="22" t="s">
        <v>34</v>
      </c>
      <c r="G1430" s="18" t="s">
        <v>165</v>
      </c>
      <c r="H1430" s="120" t="s">
        <v>167</v>
      </c>
      <c r="I1430" s="23" t="s">
        <v>37</v>
      </c>
      <c r="J1430" s="39">
        <v>25</v>
      </c>
      <c r="K1430" s="88">
        <v>2405</v>
      </c>
      <c r="L1430" s="89">
        <v>-325</v>
      </c>
      <c r="M1430" s="27"/>
      <c r="N1430" s="28">
        <f>K1430*J1430</f>
        <v>60125</v>
      </c>
      <c r="O1430" s="85">
        <v>138222</v>
      </c>
      <c r="P1430" s="29">
        <v>57.472765070000001</v>
      </c>
      <c r="Q1430" s="30"/>
      <c r="R1430" s="31">
        <f>M1430+Q1430</f>
        <v>0</v>
      </c>
      <c r="S1430" s="28"/>
      <c r="T1430" s="32">
        <f>IF(AND(AD1430="EUR", F1430="Without EV deal"), R1430 + L1430,
IF(AND(AD1430="USD", F1430="Without EV deal"), R1430 + L1430,
IF(AND(AD1430="EUR", F1430="Steel Phoenix"), R1430 + S1430/U1430,
R1430 + S1430)))</f>
        <v>0</v>
      </c>
      <c r="U1430" s="33">
        <v>1.0669999999999999</v>
      </c>
      <c r="V1430" s="34">
        <v>22.489612188365651</v>
      </c>
      <c r="W1430" s="34">
        <v>105.69324095458045</v>
      </c>
      <c r="X1430" s="30">
        <f>IF(AF1430="DoEV",IF(AND(V1430&lt;20,W1430&lt;55),0.3,0)+IF(AND(V1430&lt;20,W1430&gt;=55,W1430&lt;105),0.23,0)+IF(AND(V1430&lt;20,W1430&gt;=105),0.17,0)+IF(AND(V1430&gt;=20,V1430&lt;40,W1430&lt;45),0.3,0)+IF(AND(V1430&gt;=20,V1430&lt;40,W1430&gt;=45,W1430&lt;95),0.23,0)+IF(AND(V1430&gt;=20,V1430&lt;40,W1430&gt;=95),0.17,0)+IF(AND(V1430&gt;=40,V1430&lt;75,W1430&lt;35),0.3,0)+IF(AND(V1430&gt;=40,V1430&lt;75,W1430&gt;=35,W1430&lt;75),0.23,0)+IF(AND(V1430&gt;=40,V1430&lt;75,W1430&gt;=75,W1430&lt;120),0.17,0)+IF(AND(V1430&gt;=40,V1430&lt;75,W1430&gt;=120),0.12,0)+IF(AND(V1430&gt;=75,V1430&lt;175,W1430&lt;35),0.3,0)+IF(AND(V1430&gt;=75,V1430&lt;=175,W1430&gt;=35,W1430&lt;65),0.23,0)+IF(AND(V1430&gt;=75,V1430&lt;=175,W1430&gt;=65,W1430&lt;110),0.17,0)+IF(AND(V1430&gt;=75,V1430&lt;=175,W1430&gt;=110),0.12,0)+IF(AND(V1430&gt;175,W1430&lt;25),0.3,0)+IF(AND(V1430&gt;175,W1430&gt;=25,W1430&lt;55),0.23,0)+IF(AND(V1430&gt;175,W1430&gt;=55,W1430&lt;95),0.17,0)+IF(AND(V1430&gt;175,W1430&gt;=95),0.12,0),
IF(AF1430="Fix15",0.15,
IF(AF1430="Fix5",0.05,
IF(AF1430="Fix18.75",0.1875,
IF(AF1430="Fix11.25",0.1125,
IF(AF1430="Fix10",0.1,
IF(AF1430="Fix9",0.09,
IF(AF1430="Fix12",0.12,
IF(AF1430="Fix19",0.19,
IF(AF1430="DoEV2017",IF(AND(W1430&lt;74),0.2,0)+IF(AND(W1430&gt;=74),0.17,0),
IF(AF1430="SF",IF(AND(V1430&lt;20,W1430&lt;89),0.3,0)+IF(AND(V1430&lt;20,W1430&gt;=89),0.25,0)+IF(AND(V1430&gt;=20,V1430&lt;40,W1430&lt;74),0.3,0)+IF(AND(V1430&gt;=20,V1430&lt;40,W1430&gt;=75),0.22,0)+IF(AND(V1430&gt;=40,V1430&lt;75,W1430&lt;75),0.26,0)+IF(AND(V1430&gt;=40,V1430&lt;75,W1430&gt;=75),0.22,0)+IF(V1430&gt;=75,0.22,0),
IF(AF1430="DoEVold",IF(AND(V1430&lt;40,W1430&lt;35),0.35,0)+IF(AND(V1430&lt;40,W1430&gt;=35,W1430&lt;75),0.25,0)+IF(AND(V1430&lt;40,W1430&gt;=75),0.17,0)+IF(AND(V1430&gt;=40,V1430&lt;75,W1430&lt;25),0.35,0)+IF(AND(V1430&gt;=40,V1430&lt;75,W1430&gt;=25,W1430&lt;65),0.25,0)+IF(AND(V1430&gt;=40,V1430&lt;75,W1430&gt;=65,W1430&lt;100),0.17,0)+IF(AND(V1430&gt;=40,V1430&lt;75,W1430&gt;=100),0.1,0)+IF(AND(V1430&gt;=75,W1430&lt;25),0.35,0)+IF(AND(V1430&gt;=75,W1430&gt;=25,W1430&lt;60),0.25,0)+IF(AND(V1430&gt;=75,W1430&gt;=60,W1430&lt;95),0.17,0)+IF(AND(V1430&gt;=75,W1430&gt;=95),0.1,0),
IF(AF1430="DoEVold15",IF(AND(V1430&lt;=40,W1430&lt;35),0.35,0)+IF(AND(V1430&lt;=40,W1430&gt;=35,W1430&lt;75),0.25,0)+IF(AND(V1430&lt;=40,W1430&gt;=75,W1430&lt;120),0.17,0)+IF(AND(V1430&lt;=40,W1430&gt;=120),0.15,0)+IF(AND(V1430&gt;40,V1430&lt;75,W1430&lt;25),0.35,0)+IF(AND(V1430&gt;=40,V1430&lt;75,W1430&gt;=25,W1430&lt;65),0.25,0)+IF(AND(V1430&gt;=40,V1430&lt;75,W1430&gt;=65,W1430&lt;100),0.17,0)+IF(AND(V1430&gt;=40,V1430&lt;75,W1430&gt;=100),0.1,0)+IF(AND(V1430&gt;=75,W1430&lt;25),0.35,0)+IF(AND(V1430&gt;=75,W1430&gt;=25,W1430&lt;60),0.25,0)+IF(AND(V1430&gt;=75,W1430&gt;=60,W1430&lt;95),0.17,0)+IF(AND(V1430&gt;=75,W1430&gt;=95),0.1,0),
IF(AF1430="DoEVba",IF(AND(V1430&lt;20,W1430&lt;105),0.2,0)+IF(AND(V1430&lt;20,W1430&gt;=105),0.15,0)+IF(AND(V1430&gt;=20,V1430&lt;40,W1430&lt;95),0.2,0)+IF(AND(V1430&gt;=20,V1430&lt;40,W1430&gt;=95,W1430&lt;150),0.15,0)+IF(AND(V1430&gt;=20,V1430&lt;40,W1430&gt;=150),0.12,0)+IF(AND(V1430&gt;=40,V1430&lt;75,W1430&lt;75),0.2,0)+IF(AND(V1430&gt;=40,V1430&lt;75,W1430&gt;=75,W1430&lt;120),0.15,0)+IF(AND(V1430&gt;=40,V1430&lt;75,W1430&gt;=120),0.12,0)+IF(AND(V1430&gt;=75,V1430&lt;175,W1430&lt;65),0.2,0)+IF(AND(V1430&gt;=75,V1430&lt;175,W1430&gt;=65,W1430&lt;110),0.15,0)+IF(AND(V1430&gt;=75,V1430&lt;175,W1430&gt;=110),0.12,0)+IF(AND(V1430&gt;=175,W1430&lt;55),0.2,0)+IF(AND(V1430&gt;=175,W1430&gt;=55,W1430&lt;95),0.15,0)+IF(AND(V1430&gt;=175,W1430&gt;=95),0.12,0),
IF(AF1430="DoEVku",IF(AND(V1430&lt;20,W1430&lt;55),0.23,0)+IF(AND(V1430&lt;20,W1430&gt;=55,W1430&lt;105),0.2,0)+IF(AND(V1430&lt;20,W1430&gt;=105),0.17,0)+IF(AND(V1430&gt;=20,V1430&lt;40,W1430&lt;45),0.23,0)+IF(AND(V1430&gt;=20,V1430&lt;40,W1430&gt;=45,W1430&lt;95),0.2,0)+IF(AND(V1430&gt;=20,V1430&lt;40,W1430&gt;=95,W1430&lt;=150),0.17,0)+IF(AND(V1430&gt;=20,V1430&lt;40,W1430&gt;=150),0.12,0)+IF(AND(V1430&gt;=40,V1430&lt;75,W1430&lt;35),0.23,0)+IF(AND(V1430&gt;=40,V1430&lt;75,W1430&gt;=35,W1430&lt;75),0.2,0)+IF(AND(V1430&gt;=40,V1430&lt;75,W1430&gt;=75,W1430&lt;120),0.17,0)+IF(AND(V1430&gt;=40,V1430&lt;75,W1430&gt;=120),0.12,0)+IF(AND(V1430&gt;=75,V1430&lt;175,W1430&lt;35),0.23,0)+IF(AND(V1430&gt;=75,V1430&lt;=175,W1430&gt;=35,W1430&lt;65),0.2,0)+IF(AND(V1430&gt;=75,V1430&lt;=175,W1430&gt;=65,W1430&lt;110),0.17,0)+IF(AND(V1430&gt;=75,V1430&lt;=175,W1430&gt;=110),0.12,0)+IF(AND(V1430&gt;175,W1430&lt;25),0.23,0)+IF(AND(V1430&gt;175,W1430&gt;=25,W1430&lt;55),0.2,0)+IF(AND(V1430&gt;175,W1430&gt;=55,W1430&lt;95),0.17,0)+IF(AND(V1430&gt;175,W1430&gt;=95),0.12,0),
IF(AF1430="DoEVs1",IF(AND(V1430&lt;20,W1430&lt;55),0.3,0)+IF(AND(V1430&lt;20,W1430&gt;=55,W1430&lt;105),0.23,0)+IF(AND(V1430&lt;20,W1430&gt;=105),0.17,0)+IF(AND(V1430&gt;=20,V1430&lt;40,W1430&lt;45),0.3,0)+IF(AND(V1430&gt;=20,V1430&lt;40,W1430&gt;=45,W1430&lt;95),0.23,0)+IF(AND(V1430&gt;=20,V1430&lt;40,W1430&gt;=95,W1430&lt;=150),0.17,0)+IF(AND(V1430&gt;=20,V1430&lt;40,W1430&gt;=150),0.12,0)+IF(AND(V1430&gt;=40,V1430&lt;75,W1430&lt;35),0.3,0)+IF(AND(V1430&gt;=40,V1430&lt;75,W1430&gt;=35,W1430&lt;75),0.23,0)+IF(AND(V1430&gt;=40,V1430&lt;75,W1430&gt;=75,W1430&lt;120),0.17,0)+IF(AND(V1430&gt;=40,V1430&lt;75,W1430&gt;=120),0.12,0)+IF(AND(V1430&gt;=75,V1430&lt;175,W1430&lt;35),0.3,0)+IF(AND(V1430&gt;=75,V1430&lt;=175,W1430&gt;=35,W1430&lt;65),0.23,0)+IF(AND(V1430&gt;=75,V1430&lt;=175,W1430&gt;=65,W1430&lt;110),0.17,0)+IF(AND(V1430&gt;=75,V1430&lt;=175,W1430&gt;=110),0.12,0)+IF(AND(V1430&gt;175,W1430&lt;25),0.3,0)+IF(AND(V1430&gt;175,W1430&gt;=25,W1430&lt;55),0.23,0)+IF(AND(V1430&gt;175,W1430&gt;=55,W1430&lt;95),0.17,0)+IF(AND(V1430&gt;175,W1430&gt;=95),0.12,0),
IF(AF1430="DoEVsu",IF(AND(V1430&lt;20,W1430&lt;55),0.3,0)+IF(AND(V1430&lt;20,W1430&gt;=55,W1430&lt;105),0.23,0)+IF(AND(V1430&lt;20,W1430&gt;=105),0.17,0)+IF(AND(V1430&gt;=20,V1430&lt;40,W1430&lt;45),0.3,0)+IF(AND(V1430&gt;=20,V1430&lt;40,W1430&gt;=45,W1430&lt;95),0.23,0)+IF(AND(V1430&gt;=20,V1430&lt;40,W1430&gt;=95,W1430&lt;=250),0.17,0)+IF(AND(V1430&gt;=20,V1430&lt;40,W1430&gt;=250),0.12,0)+IF(AND(V1430&gt;=40,V1430&lt;75,W1430&lt;35),0.3,0)+IF(AND(V1430&gt;=40,V1430&lt;75,W1430&gt;=35,W1430&lt;75),0.23,0)+IF(AND(V1430&gt;=40,V1430&lt;75,W1430&gt;=75,W1430&lt;120),0.17,0)+IF(AND(V1430&gt;=40,V1430&lt;75,W1430&gt;=120),0.12,0)+IF(AND(V1430&gt;=75,V1430&lt;175,W1430&lt;35),0.3,0)+IF(AND(V1430&gt;=75,V1430&lt;=175,W1430&gt;=35,W1430&lt;65),0.23,0)+IF(AND(V1430&gt;=75,V1430&lt;=175,W1430&gt;=65,W1430&lt;110),0.17,0)+IF(AND(V1430&gt;=75,V1430&lt;=175,W1430&gt;=110),0.12,0)+IF(AND(V1430&gt;175,W1430&lt;25),0.3,0)+IF(AND(V1430&gt;175,W1430&gt;=25,W1430&lt;55),0.23,0)+IF(AND(V1430&gt;175,W1430&gt;=55,W1430&lt;95),0.17,0)+IF(AND(V1430&gt;175,W1430&gt;=95),0.12,0),
IF(AF1430="DoEVni",IF(AND(V1430&lt;20,W1430&lt;55),0.3,0)+IF(AND(V1430&lt;20,W1430&gt;=55,W1430&lt;105),0.23,0)+IF(AND(V1430&lt;20,W1430&gt;=105),0.17,0)+IF(AND(V1430&gt;=20,V1430&lt;40,W1430&lt;45),0.3,0)+IF(AND(V1430&gt;=20,V1430&lt;40,W1430&gt;=45,W1430&lt;95),0.23,0)+IF(AND(V1430&gt;=20,V1430&lt;40,W1430&gt;=95,W1430&lt;=200),0.17,0)+IF(AND(V1430&gt;=20,V1430&lt;40,W1430&gt;=200),0.12,0)+IF(AND(V1430&gt;=40,V1430&lt;75,W1430&lt;35),0.3,0)+IF(AND(V1430&gt;=40,V1430&lt;75,W1430&gt;=35,W1430&lt;75),0.23,0)+IF(AND(V1430&gt;=40,V1430&lt;75,W1430&gt;=75,W1430&lt;120),0.17,0)+IF(AND(V1430&gt;=40,V1430&lt;75,W1430&gt;=120),0.12,0)+IF(AND(V1430&gt;=75,V1430&lt;175,W1430&lt;35),0.3,0)+IF(AND(V1430&gt;=75,V1430&lt;=175,W1430&gt;=35,W1430&lt;65),0.23,0)+IF(AND(V1430&gt;=75,V1430&lt;=175,W1430&gt;=65,W1430&lt;110),0.17,0)+IF(AND(V1430&gt;=75,V1430&lt;=175,W1430&gt;=110),0.12,0)+IF(AND(V1430&gt;175,W1430&lt;25),0.3,0)+IF(AND(V1430&gt;175,W1430&gt;=25,W1430&lt;55),0.23,0)+IF(AND(V1430&gt;175,W1430&gt;=55,W1430&lt;95),0.17,0)+IF(AND(V1430&gt;175,W1430&gt;=95),0.12,0),
IF(AF1430="DoEVLo",IF(AND(V1430&lt;20,W1430&lt;55),0.25,0)+IF(AND(V1430&lt;20,W1430&gt;=55,W1430&lt;105),0.2,0)+IF(AND(V1430&lt;20,W1430&gt;=105),0.15,0)+IF(AND(V1430&gt;=20,V1430&lt;40,W1430&lt;45),0.25,0)+IF(AND(V1430&gt;=20,V1430&lt;40,W1430&gt;=45,W1430&lt;95),0.2,0)+IF(AND(V1430&gt;=20,V1430&lt;40,W1430&gt;=95),0.15,0)+IF(AND(V1430&gt;=40,V1430&lt;75,W1430&lt;35),0.25,0)+IF(AND(V1430&gt;=40,V1430&lt;75,W1430&gt;=35,W1430&lt;75),0.2,0)+IF(AND(V1430&gt;=40,V1430&lt;75,W1430&gt;=75,W1430&lt;120),0.15,0)+IF(AND(V1430&gt;=40,V1430&lt;75,W1430&gt;=120),0.1,0)+IF(AND(V1430&gt;=75,V1430&lt;175,W1430&lt;35),0.25,0)+IF(AND(V1430&gt;=75,V1430&lt;=175,W1430&gt;=35,W1430&lt;65),0.2,0)+IF(AND(V1430&gt;=75,V1430&lt;=175,W1430&gt;=65,W1430&lt;110),0.15,0)+IF(AND(V1430&gt;=75,V1430&lt;=175,W1430&gt;=110),0.1,0)+IF(AND(V1430&gt;175,W1430&lt;25),0.25,0)+IF(AND(V1430&gt;175,W1430&gt;=25,W1430&lt;55),0.2,0)+IF(AND(V1430&gt;175,W1430&gt;=55,W1430&lt;95),0.15,0)+IF(AND(V1430&gt;175,W1430&gt;=95),0.1,0))))))))))))))))))))</f>
        <v>0.17</v>
      </c>
      <c r="Y1430" s="30">
        <f>IF(AG1430="None",0,IF(AG1430="Fix5",0.05, IF(AG1430="Fix6.25",0.0625,IF(AG1430="Fix3.75",0.0375, IF(AG1430="Fix11",0.11, IF(AG1430="Fix10",0.1,IF(AG1430="Fix3",0.03,0)))))))</f>
        <v>0</v>
      </c>
      <c r="Z1430" s="35">
        <f>IF(AND(AD1430="EUR", AE1430 = "USD"), T1430*U1430-AA1430-AB1430, T1430-AA1430-AB1430)</f>
        <v>0</v>
      </c>
      <c r="AA1430" s="29">
        <f>IF(AND(AD1430="EUR", F1430="Without EV deal", AE1430="USD"), (T1430*X1430)*U1430,
IF(AND(AD1430="EUR", F1430="Without EV deal", AE1430="EUR"), (T1430*X1430),
IF(AND(AD1430="EUR",AE1430="USD"), (T1430*X1430)*U1430,
T1430*X1430)))</f>
        <v>0</v>
      </c>
      <c r="AB1430" s="36">
        <f>IF(AND(AD1430="EUR", F1430="Without EV deal", AE1430="USD"), (T1430*Y1430)*U1430,
IF(AND(AD1430="EUR", F1430="Without EV deal", AE1430="EUR"), (T1430*Y1430),
IF(AND(AD1430="EUR",AE1430="USD"), (T1430*Y1430)*U1430,
T1430*Y1430)))</f>
        <v>0</v>
      </c>
      <c r="AC1430" s="37" t="b">
        <v>1</v>
      </c>
      <c r="AD1430" s="82" t="str">
        <f>IF(OR(H1430="€0.25 Flash",
H1430="€0.25(nitro) new",
H1430="€1",
H1430="€2",
H1430="€2 (bf 01.08)",
H1430="€5",
H1430="€5 (1M)",
H1430="€5 (bf 01.08)",
H1430="€5 (bf 05.05)",
H1430="€5 Nitro",
H1430="€5(wx) new",
H1430="€10",
H1430="€10 (1M)",
H1430="€10 (bf 01.08)",
H1430="€10 (bf 05.05)",
H1430="€10 (MP)",
H1430="€10 (old)",
H1430="€10 Nitro (bf 05.05)",
H1430="€10 Nitro (old)",
H1430="€10(wx) new",
H1430="€20",
H1430="€25",
H1430="€25 (bf 01.08)",
H1430="€25 (bf 05.05)",
H1430="€25 (MP)",
H1430="€25 (old)",
H1430="€25 Nitro",
H1430="€25 Nitro (bf 01.08)",
H1430="€25 Nitro (bf 05.05)",
H1430="€25(nitro) new",
H1430="€25(wx) new",
H1430="€50",
H1430="€50 (bf 01.08)",
H1430="€50 (bf 05.05)",
H1430="€50 (old)",
H1430="€50 Nitro",
H1430="€50 Nitro (bf 01.08)",
H1430="€50 Nitro (bf 05.05)",
H1430="€50(wx) new",
H1430="€100",
H1430="€100 (old)",
H1430="€100 Nitro",
H1430="€100 Nitro (old)",
H1430="€200",
H1430="€250",
H1430="€250 Nitro",
H1430="€500",
H1430="€500 Nitro"),"EUR", "USD")</f>
        <v>EUR</v>
      </c>
      <c r="AE1430" s="83" t="s">
        <v>38</v>
      </c>
      <c r="AF1430" s="83" t="str">
        <f t="array" ref="AF1430">INDEX('Deal Info'!D:D, MATCH(A1430,'Deal Info'!A:A, 0))</f>
        <v>DoEV</v>
      </c>
      <c r="AG1430" s="84" t="str">
        <f t="array" ref="AG1430">INDEX('Deal Info'!G:G, MATCH(A1430,'Deal Info'!A:A, 0))</f>
        <v>None</v>
      </c>
    </row>
    <row r="1431" spans="1:33" ht="14.25" hidden="1" x14ac:dyDescent="0.2">
      <c r="A1431" s="18" t="str">
        <f t="array" ref="A1431">IF(G1431='Room Info'!$B$1, INDEX('Room Info'!$A$2:$A2446, MATCH(B1431,'Room Info'!$B$2:$B2446, 0)),IF(G1431='Room Info'!$C$1, INDEX('Room Info'!$A$2:$A2446, MATCH(B1431,'Room Info'!$C$2:$C2446, 0)),IF(G1431='Room Info'!$D$1, INDEX('Room Info'!$A$2:$A2446, MATCH(B1431,'Room Info'!$D$2:$D2446, 0)),IF(G1431='Room Info'!$E$1, INDEX('Room Info'!$A$2:$A2446, MATCH(B1431,'Room Info'!$E$2:$E2446, 0)),IF(G1431='Room Info'!$F$1, INDEX('Room Info'!$A$2:$A2446, MATCH(B1431,'Room Info'!$F$2:$F2446, 0)),IF(G1431='Room Info'!$H$1, INDEX('Room Info'!$A$2:$A2446, MATCH(B1431,'Room Info'!$H$2:$H2446, 0)),IF(G1431='Room Info'!$G$1, INDEX('Room Info'!$A$2:$A2446, MATCH(B1431,'Room Info'!$G$2:$G2446, 0)))))))))</f>
        <v>007x2</v>
      </c>
      <c r="B1431" s="85" t="s">
        <v>33</v>
      </c>
      <c r="C1431" s="86">
        <v>44947</v>
      </c>
      <c r="D1431" s="87">
        <v>44977</v>
      </c>
      <c r="E1431" s="21">
        <v>44958</v>
      </c>
      <c r="F1431" s="22" t="s">
        <v>41</v>
      </c>
      <c r="G1431" s="18" t="s">
        <v>35</v>
      </c>
      <c r="H1431" s="23" t="s">
        <v>42</v>
      </c>
      <c r="I1431" s="23" t="s">
        <v>37</v>
      </c>
      <c r="J1431" s="39">
        <v>1</v>
      </c>
      <c r="K1431" s="88">
        <v>1</v>
      </c>
      <c r="L1431" s="89">
        <v>-1</v>
      </c>
      <c r="M1431" s="42">
        <v>780</v>
      </c>
      <c r="N1431" s="28">
        <f>K1431*J1431</f>
        <v>1</v>
      </c>
      <c r="O1431" s="18"/>
      <c r="P1431" s="29">
        <v>0</v>
      </c>
      <c r="Q1431" s="30"/>
      <c r="R1431" s="31">
        <f>M1431+Q1431</f>
        <v>780</v>
      </c>
      <c r="S1431" s="119"/>
      <c r="T1431" s="32">
        <f>IF(AND(AD1431="EUR", F1431="Without EV deal"), R1431 + L1431,
IF(AND(AD1431="USD", F1431="Without EV deal"), R1431 + L1431,
IF(AND(AD1431="EUR", F1431="Steel Phoenix"), R1431 + S1431/U1431,
R1431 + S1431)))</f>
        <v>779</v>
      </c>
      <c r="U1431" s="33">
        <v>1.0669999999999999</v>
      </c>
      <c r="V1431" s="34">
        <v>9.9960595446584932</v>
      </c>
      <c r="W1431" s="34">
        <v>61.724322193508833</v>
      </c>
      <c r="X1431" s="30">
        <f>IF(AF1431="DoEV",IF(AND(V1431&lt;20,W1431&lt;55),0.3,0)+IF(AND(V1431&lt;20,W1431&gt;=55,W1431&lt;105),0.23,0)+IF(AND(V1431&lt;20,W1431&gt;=105),0.17,0)+IF(AND(V1431&gt;=20,V1431&lt;40,W1431&lt;45),0.3,0)+IF(AND(V1431&gt;=20,V1431&lt;40,W1431&gt;=45,W1431&lt;95),0.23,0)+IF(AND(V1431&gt;=20,V1431&lt;40,W1431&gt;=95),0.17,0)+IF(AND(V1431&gt;=40,V1431&lt;75,W1431&lt;35),0.3,0)+IF(AND(V1431&gt;=40,V1431&lt;75,W1431&gt;=35,W1431&lt;75),0.23,0)+IF(AND(V1431&gt;=40,V1431&lt;75,W1431&gt;=75,W1431&lt;120),0.17,0)+IF(AND(V1431&gt;=40,V1431&lt;75,W1431&gt;=120),0.12,0)+IF(AND(V1431&gt;=75,V1431&lt;175,W1431&lt;35),0.3,0)+IF(AND(V1431&gt;=75,V1431&lt;=175,W1431&gt;=35,W1431&lt;65),0.23,0)+IF(AND(V1431&gt;=75,V1431&lt;=175,W1431&gt;=65,W1431&lt;110),0.17,0)+IF(AND(V1431&gt;=75,V1431&lt;=175,W1431&gt;=110),0.12,0)+IF(AND(V1431&gt;175,W1431&lt;25),0.3,0)+IF(AND(V1431&gt;175,W1431&gt;=25,W1431&lt;55),0.23,0)+IF(AND(V1431&gt;175,W1431&gt;=55,W1431&lt;95),0.17,0)+IF(AND(V1431&gt;175,W1431&gt;=95),0.12,0),
IF(AF1431="Fix15",0.15,
IF(AF1431="Fix5",0.05,
IF(AF1431="Fix18.75",0.1875,
IF(AF1431="Fix11.25",0.1125,
IF(AF1431="Fix10",0.1,
IF(AF1431="Fix9",0.09,
IF(AF1431="Fix12",0.12,
IF(AF1431="Fix19",0.19,
IF(AF1431="DoEV2017",IF(AND(W1431&lt;74),0.2,0)+IF(AND(W1431&gt;=74),0.17,0),
IF(AF1431="SF",IF(AND(V1431&lt;20,W1431&lt;89),0.3,0)+IF(AND(V1431&lt;20,W1431&gt;=89),0.25,0)+IF(AND(V1431&gt;=20,V1431&lt;40,W1431&lt;74),0.3,0)+IF(AND(V1431&gt;=20,V1431&lt;40,W1431&gt;=75),0.22,0)+IF(AND(V1431&gt;=40,V1431&lt;75,W1431&lt;75),0.26,0)+IF(AND(V1431&gt;=40,V1431&lt;75,W1431&gt;=75),0.22,0)+IF(V1431&gt;=75,0.22,0),
IF(AF1431="DoEVold",IF(AND(V1431&lt;40,W1431&lt;35),0.35,0)+IF(AND(V1431&lt;40,W1431&gt;=35,W1431&lt;75),0.25,0)+IF(AND(V1431&lt;40,W1431&gt;=75),0.17,0)+IF(AND(V1431&gt;=40,V1431&lt;75,W1431&lt;25),0.35,0)+IF(AND(V1431&gt;=40,V1431&lt;75,W1431&gt;=25,W1431&lt;65),0.25,0)+IF(AND(V1431&gt;=40,V1431&lt;75,W1431&gt;=65,W1431&lt;100),0.17,0)+IF(AND(V1431&gt;=40,V1431&lt;75,W1431&gt;=100),0.1,0)+IF(AND(V1431&gt;=75,W1431&lt;25),0.35,0)+IF(AND(V1431&gt;=75,W1431&gt;=25,W1431&lt;60),0.25,0)+IF(AND(V1431&gt;=75,W1431&gt;=60,W1431&lt;95),0.17,0)+IF(AND(V1431&gt;=75,W1431&gt;=95),0.1,0),
IF(AF1431="DoEVold15",IF(AND(V1431&lt;=40,W1431&lt;35),0.35,0)+IF(AND(V1431&lt;=40,W1431&gt;=35,W1431&lt;75),0.25,0)+IF(AND(V1431&lt;=40,W1431&gt;=75,W1431&lt;120),0.17,0)+IF(AND(V1431&lt;=40,W1431&gt;=120),0.15,0)+IF(AND(V1431&gt;40,V1431&lt;75,W1431&lt;25),0.35,0)+IF(AND(V1431&gt;=40,V1431&lt;75,W1431&gt;=25,W1431&lt;65),0.25,0)+IF(AND(V1431&gt;=40,V1431&lt;75,W1431&gt;=65,W1431&lt;100),0.17,0)+IF(AND(V1431&gt;=40,V1431&lt;75,W1431&gt;=100),0.1,0)+IF(AND(V1431&gt;=75,W1431&lt;25),0.35,0)+IF(AND(V1431&gt;=75,W1431&gt;=25,W1431&lt;60),0.25,0)+IF(AND(V1431&gt;=75,W1431&gt;=60,W1431&lt;95),0.17,0)+IF(AND(V1431&gt;=75,W1431&gt;=95),0.1,0),
IF(AF1431="DoEVba",IF(AND(V1431&lt;20,W1431&lt;105),0.2,0)+IF(AND(V1431&lt;20,W1431&gt;=105),0.15,0)+IF(AND(V1431&gt;=20,V1431&lt;40,W1431&lt;95),0.2,0)+IF(AND(V1431&gt;=20,V1431&lt;40,W1431&gt;=95,W1431&lt;150),0.15,0)+IF(AND(V1431&gt;=20,V1431&lt;40,W1431&gt;=150),0.12,0)+IF(AND(V1431&gt;=40,V1431&lt;75,W1431&lt;75),0.2,0)+IF(AND(V1431&gt;=40,V1431&lt;75,W1431&gt;=75,W1431&lt;120),0.15,0)+IF(AND(V1431&gt;=40,V1431&lt;75,W1431&gt;=120),0.12,0)+IF(AND(V1431&gt;=75,V1431&lt;175,W1431&lt;65),0.2,0)+IF(AND(V1431&gt;=75,V1431&lt;175,W1431&gt;=65,W1431&lt;110),0.15,0)+IF(AND(V1431&gt;=75,V1431&lt;175,W1431&gt;=110),0.12,0)+IF(AND(V1431&gt;=175,W1431&lt;55),0.2,0)+IF(AND(V1431&gt;=175,W1431&gt;=55,W1431&lt;95),0.15,0)+IF(AND(V1431&gt;=175,W1431&gt;=95),0.12,0),
IF(AF1431="DoEVku",IF(AND(V1431&lt;20,W1431&lt;55),0.23,0)+IF(AND(V1431&lt;20,W1431&gt;=55,W1431&lt;105),0.2,0)+IF(AND(V1431&lt;20,W1431&gt;=105),0.17,0)+IF(AND(V1431&gt;=20,V1431&lt;40,W1431&lt;45),0.23,0)+IF(AND(V1431&gt;=20,V1431&lt;40,W1431&gt;=45,W1431&lt;95),0.2,0)+IF(AND(V1431&gt;=20,V1431&lt;40,W1431&gt;=95,W1431&lt;=150),0.17,0)+IF(AND(V1431&gt;=20,V1431&lt;40,W1431&gt;=150),0.12,0)+IF(AND(V1431&gt;=40,V1431&lt;75,W1431&lt;35),0.23,0)+IF(AND(V1431&gt;=40,V1431&lt;75,W1431&gt;=35,W1431&lt;75),0.2,0)+IF(AND(V1431&gt;=40,V1431&lt;75,W1431&gt;=75,W1431&lt;120),0.17,0)+IF(AND(V1431&gt;=40,V1431&lt;75,W1431&gt;=120),0.12,0)+IF(AND(V1431&gt;=75,V1431&lt;175,W1431&lt;35),0.23,0)+IF(AND(V1431&gt;=75,V1431&lt;=175,W1431&gt;=35,W1431&lt;65),0.2,0)+IF(AND(V1431&gt;=75,V1431&lt;=175,W1431&gt;=65,W1431&lt;110),0.17,0)+IF(AND(V1431&gt;=75,V1431&lt;=175,W1431&gt;=110),0.12,0)+IF(AND(V1431&gt;175,W1431&lt;25),0.23,0)+IF(AND(V1431&gt;175,W1431&gt;=25,W1431&lt;55),0.2,0)+IF(AND(V1431&gt;175,W1431&gt;=55,W1431&lt;95),0.17,0)+IF(AND(V1431&gt;175,W1431&gt;=95),0.12,0),
IF(AF1431="DoEVs1",IF(AND(V1431&lt;20,W1431&lt;55),0.3,0)+IF(AND(V1431&lt;20,W1431&gt;=55,W1431&lt;105),0.23,0)+IF(AND(V1431&lt;20,W1431&gt;=105),0.17,0)+IF(AND(V1431&gt;=20,V1431&lt;40,W1431&lt;45),0.3,0)+IF(AND(V1431&gt;=20,V1431&lt;40,W1431&gt;=45,W1431&lt;95),0.23,0)+IF(AND(V1431&gt;=20,V1431&lt;40,W1431&gt;=95,W1431&lt;=150),0.17,0)+IF(AND(V1431&gt;=20,V1431&lt;40,W1431&gt;=150),0.12,0)+IF(AND(V1431&gt;=40,V1431&lt;75,W1431&lt;35),0.3,0)+IF(AND(V1431&gt;=40,V1431&lt;75,W1431&gt;=35,W1431&lt;75),0.23,0)+IF(AND(V1431&gt;=40,V1431&lt;75,W1431&gt;=75,W1431&lt;120),0.17,0)+IF(AND(V1431&gt;=40,V1431&lt;75,W1431&gt;=120),0.12,0)+IF(AND(V1431&gt;=75,V1431&lt;175,W1431&lt;35),0.3,0)+IF(AND(V1431&gt;=75,V1431&lt;=175,W1431&gt;=35,W1431&lt;65),0.23,0)+IF(AND(V1431&gt;=75,V1431&lt;=175,W1431&gt;=65,W1431&lt;110),0.17,0)+IF(AND(V1431&gt;=75,V1431&lt;=175,W1431&gt;=110),0.12,0)+IF(AND(V1431&gt;175,W1431&lt;25),0.3,0)+IF(AND(V1431&gt;175,W1431&gt;=25,W1431&lt;55),0.23,0)+IF(AND(V1431&gt;175,W1431&gt;=55,W1431&lt;95),0.17,0)+IF(AND(V1431&gt;175,W1431&gt;=95),0.12,0),
IF(AF1431="DoEVsu",IF(AND(V1431&lt;20,W1431&lt;55),0.3,0)+IF(AND(V1431&lt;20,W1431&gt;=55,W1431&lt;105),0.23,0)+IF(AND(V1431&lt;20,W1431&gt;=105),0.17,0)+IF(AND(V1431&gt;=20,V1431&lt;40,W1431&lt;45),0.3,0)+IF(AND(V1431&gt;=20,V1431&lt;40,W1431&gt;=45,W1431&lt;95),0.23,0)+IF(AND(V1431&gt;=20,V1431&lt;40,W1431&gt;=95,W1431&lt;=250),0.17,0)+IF(AND(V1431&gt;=20,V1431&lt;40,W1431&gt;=250),0.12,0)+IF(AND(V1431&gt;=40,V1431&lt;75,W1431&lt;35),0.3,0)+IF(AND(V1431&gt;=40,V1431&lt;75,W1431&gt;=35,W1431&lt;75),0.23,0)+IF(AND(V1431&gt;=40,V1431&lt;75,W1431&gt;=75,W1431&lt;120),0.17,0)+IF(AND(V1431&gt;=40,V1431&lt;75,W1431&gt;=120),0.12,0)+IF(AND(V1431&gt;=75,V1431&lt;175,W1431&lt;35),0.3,0)+IF(AND(V1431&gt;=75,V1431&lt;=175,W1431&gt;=35,W1431&lt;65),0.23,0)+IF(AND(V1431&gt;=75,V1431&lt;=175,W1431&gt;=65,W1431&lt;110),0.17,0)+IF(AND(V1431&gt;=75,V1431&lt;=175,W1431&gt;=110),0.12,0)+IF(AND(V1431&gt;175,W1431&lt;25),0.3,0)+IF(AND(V1431&gt;175,W1431&gt;=25,W1431&lt;55),0.23,0)+IF(AND(V1431&gt;175,W1431&gt;=55,W1431&lt;95),0.17,0)+IF(AND(V1431&gt;175,W1431&gt;=95),0.12,0),
IF(AF1431="DoEVni",IF(AND(V1431&lt;20,W1431&lt;55),0.3,0)+IF(AND(V1431&lt;20,W1431&gt;=55,W1431&lt;105),0.23,0)+IF(AND(V1431&lt;20,W1431&gt;=105),0.17,0)+IF(AND(V1431&gt;=20,V1431&lt;40,W1431&lt;45),0.3,0)+IF(AND(V1431&gt;=20,V1431&lt;40,W1431&gt;=45,W1431&lt;95),0.23,0)+IF(AND(V1431&gt;=20,V1431&lt;40,W1431&gt;=95,W1431&lt;=200),0.17,0)+IF(AND(V1431&gt;=20,V1431&lt;40,W1431&gt;=200),0.12,0)+IF(AND(V1431&gt;=40,V1431&lt;75,W1431&lt;35),0.3,0)+IF(AND(V1431&gt;=40,V1431&lt;75,W1431&gt;=35,W1431&lt;75),0.23,0)+IF(AND(V1431&gt;=40,V1431&lt;75,W1431&gt;=75,W1431&lt;120),0.17,0)+IF(AND(V1431&gt;=40,V1431&lt;75,W1431&gt;=120),0.12,0)+IF(AND(V1431&gt;=75,V1431&lt;175,W1431&lt;35),0.3,0)+IF(AND(V1431&gt;=75,V1431&lt;=175,W1431&gt;=35,W1431&lt;65),0.23,0)+IF(AND(V1431&gt;=75,V1431&lt;=175,W1431&gt;=65,W1431&lt;110),0.17,0)+IF(AND(V1431&gt;=75,V1431&lt;=175,W1431&gt;=110),0.12,0)+IF(AND(V1431&gt;175,W1431&lt;25),0.3,0)+IF(AND(V1431&gt;175,W1431&gt;=25,W1431&lt;55),0.23,0)+IF(AND(V1431&gt;175,W1431&gt;=55,W1431&lt;95),0.17,0)+IF(AND(V1431&gt;175,W1431&gt;=95),0.12,0),
IF(AF1431="DoEVLo",IF(AND(V1431&lt;20,W1431&lt;55),0.25,0)+IF(AND(V1431&lt;20,W1431&gt;=55,W1431&lt;105),0.2,0)+IF(AND(V1431&lt;20,W1431&gt;=105),0.15,0)+IF(AND(V1431&gt;=20,V1431&lt;40,W1431&lt;45),0.25,0)+IF(AND(V1431&gt;=20,V1431&lt;40,W1431&gt;=45,W1431&lt;95),0.2,0)+IF(AND(V1431&gt;=20,V1431&lt;40,W1431&gt;=95),0.15,0)+IF(AND(V1431&gt;=40,V1431&lt;75,W1431&lt;35),0.25,0)+IF(AND(V1431&gt;=40,V1431&lt;75,W1431&gt;=35,W1431&lt;75),0.2,0)+IF(AND(V1431&gt;=40,V1431&lt;75,W1431&gt;=75,W1431&lt;120),0.15,0)+IF(AND(V1431&gt;=40,V1431&lt;75,W1431&gt;=120),0.1,0)+IF(AND(V1431&gt;=75,V1431&lt;175,W1431&lt;35),0.25,0)+IF(AND(V1431&gt;=75,V1431&lt;=175,W1431&gt;=35,W1431&lt;65),0.2,0)+IF(AND(V1431&gt;=75,V1431&lt;=175,W1431&gt;=65,W1431&lt;110),0.15,0)+IF(AND(V1431&gt;=75,V1431&lt;=175,W1431&gt;=110),0.1,0)+IF(AND(V1431&gt;175,W1431&lt;25),0.25,0)+IF(AND(V1431&gt;175,W1431&gt;=25,W1431&lt;55),0.2,0)+IF(AND(V1431&gt;175,W1431&gt;=55,W1431&lt;95),0.15,0)+IF(AND(V1431&gt;175,W1431&gt;=95),0.1,0))))))))))))))))))))</f>
        <v>0.23</v>
      </c>
      <c r="Y1431" s="30">
        <f>IF(AG1431="None",0,IF(AG1431="Fix5",0.05, IF(AG1431="Fix6.25",0.0625,IF(AG1431="Fix3.75",0.0375, IF(AG1431="Fix11",0.11, IF(AG1431="Fix10",0.1,IF(AG1431="Fix3",0.03,0)))))))</f>
        <v>0</v>
      </c>
      <c r="Z1431" s="35">
        <f>IF(AND(AD1431="EUR", AE1431 = "USD"), T1431*U1431-AA1431-AB1431, T1431-AA1431-AB1431)</f>
        <v>599.82999999999993</v>
      </c>
      <c r="AA1431" s="29">
        <f>IF(AND(AD1431="EUR", F1431="Without EV deal", AE1431="USD"), (T1431*X1431)*U1431,
IF(AND(AD1431="EUR", F1431="Without EV deal", AE1431="EUR"), (T1431*X1431),
IF(AND(AD1431="EUR",AE1431="USD"), (T1431*X1431)*U1431,
T1431*X1431)))</f>
        <v>179.17000000000002</v>
      </c>
      <c r="AB1431" s="36">
        <f>IF(AND(AD1431="EUR", F1431="Without EV deal", AE1431="USD"), (T1431*Y1431)*U1431,
IF(AND(AD1431="EUR", F1431="Without EV deal", AE1431="EUR"), (T1431*Y1431),
IF(AND(AD1431="EUR",AE1431="USD"), (T1431*Y1431)*U1431,
T1431*Y1431)))</f>
        <v>0</v>
      </c>
      <c r="AC1431" s="37" t="b">
        <v>1</v>
      </c>
      <c r="AD1431" s="82" t="str">
        <f>IF(OR(H1431="€0.25 Flash",
H1431="€0.25(nitro) new",
H1431="€1",
H1431="€2",
H1431="€2 (bf 01.08)",
H1431="€5",
H1431="€5 (1M)",
H1431="€5 (bf 01.08)",
H1431="€5 (bf 05.05)",
H1431="€5 Nitro",
H1431="€5(wx) new",
H1431="€10",
H1431="€10 (1M)",
H1431="€10 (bf 01.08)",
H1431="€10 (bf 05.05)",
H1431="€10 (MP)",
H1431="€10 (old)",
H1431="€10 Nitro (bf 05.05)",
H1431="€10 Nitro (old)",
H1431="€10(wx) new",
H1431="€20",
H1431="€25",
H1431="€25 (bf 01.08)",
H1431="€25 (bf 05.05)",
H1431="€25 (MP)",
H1431="€25 (old)",
H1431="€25 Nitro",
H1431="€25 Nitro (bf 01.08)",
H1431="€25 Nitro (bf 05.05)",
H1431="€25(nitro) new",
H1431="€25(wx) new",
H1431="€50",
H1431="€50 (bf 01.08)",
H1431="€50 (bf 05.05)",
H1431="€50 (old)",
H1431="€50 Nitro",
H1431="€50 Nitro (bf 01.08)",
H1431="€50 Nitro (bf 05.05)",
H1431="€50(wx) new",
H1431="€100",
H1431="€100 (old)",
H1431="€100 Nitro",
H1431="€100 Nitro (old)",
H1431="€200",
H1431="€250",
H1431="€250 Nitro",
H1431="€500",
H1431="€500 Nitro"),"EUR", "USD")</f>
        <v>USD</v>
      </c>
      <c r="AE1431" s="83" t="s">
        <v>38</v>
      </c>
      <c r="AF1431" s="83" t="str">
        <f t="array" ref="AF1431">INDEX('Deal Info'!D:D, MATCH(A1431,'Deal Info'!A:A, 0))</f>
        <v>DoEV</v>
      </c>
      <c r="AG1431" s="84" t="str">
        <f t="array" ref="AG1431">INDEX('Deal Info'!G:G, MATCH(A1431,'Deal Info'!A:A, 0))</f>
        <v>None</v>
      </c>
    </row>
    <row r="1432" spans="1:33" ht="14.25" hidden="1" x14ac:dyDescent="0.2">
      <c r="A1432" s="18" t="str">
        <f t="array" ref="A1432">IF(G1432='Room Info'!$B$1, INDEX('Room Info'!$A$2:$A2446, MATCH(B1432,'Room Info'!$B$2:$B2446, 0)),IF(G1432='Room Info'!$C$1, INDEX('Room Info'!$A$2:$A2446, MATCH(B1432,'Room Info'!$C$2:$C2446, 0)),IF(G1432='Room Info'!$D$1, INDEX('Room Info'!$A$2:$A2446, MATCH(B1432,'Room Info'!$D$2:$D2446, 0)),IF(G1432='Room Info'!$E$1, INDEX('Room Info'!$A$2:$A2446, MATCH(B1432,'Room Info'!$E$2:$E2446, 0)),IF(G1432='Room Info'!$F$1, INDEX('Room Info'!$A$2:$A2446, MATCH(B1432,'Room Info'!$F$2:$F2446, 0)),IF(G1432='Room Info'!$H$1, INDEX('Room Info'!$A$2:$A2446, MATCH(B1432,'Room Info'!$H$2:$H2446, 0)),IF(G1432='Room Info'!$G$1, INDEX('Room Info'!$A$2:$A2446, MATCH(B1432,'Room Info'!$G$2:$G2446, 0)))))))))</f>
        <v>007x2</v>
      </c>
      <c r="B1432" s="85" t="s">
        <v>33</v>
      </c>
      <c r="C1432" s="86">
        <v>44947</v>
      </c>
      <c r="D1432" s="87">
        <v>44977</v>
      </c>
      <c r="E1432" s="21">
        <v>44958</v>
      </c>
      <c r="F1432" s="22" t="s">
        <v>34</v>
      </c>
      <c r="G1432" s="18" t="s">
        <v>35</v>
      </c>
      <c r="H1432" s="23" t="s">
        <v>40</v>
      </c>
      <c r="I1432" s="23" t="s">
        <v>37</v>
      </c>
      <c r="J1432" s="39">
        <v>10</v>
      </c>
      <c r="K1432" s="88">
        <v>2283</v>
      </c>
      <c r="L1432" s="89">
        <v>-640</v>
      </c>
      <c r="M1432" s="27"/>
      <c r="N1432" s="28">
        <f>K1432*J1432</f>
        <v>22830</v>
      </c>
      <c r="O1432" s="85">
        <v>80816</v>
      </c>
      <c r="P1432" s="29">
        <v>35.399036359999997</v>
      </c>
      <c r="Q1432" s="30"/>
      <c r="R1432" s="31">
        <f>M1432+Q1432</f>
        <v>0</v>
      </c>
      <c r="S1432" s="28">
        <v>-161</v>
      </c>
      <c r="T1432" s="32">
        <f>IF(AND(AD1432="EUR", F1432="Without EV deal"), R1432 + L1432,
IF(AND(AD1432="USD", F1432="Without EV deal"), R1432 + L1432,
IF(AND(AD1432="EUR", F1432="Steel Phoenix"), R1432 + S1432/U1432,
R1432 + S1432)))</f>
        <v>-161</v>
      </c>
      <c r="U1432" s="33">
        <v>1.0669999999999999</v>
      </c>
      <c r="V1432" s="34">
        <v>9.9960595446584932</v>
      </c>
      <c r="W1432" s="34">
        <v>61.724322193508833</v>
      </c>
      <c r="X1432" s="30">
        <f>IF(AF1432="DoEV",IF(AND(V1432&lt;20,W1432&lt;55),0.3,0)+IF(AND(V1432&lt;20,W1432&gt;=55,W1432&lt;105),0.23,0)+IF(AND(V1432&lt;20,W1432&gt;=105),0.17,0)+IF(AND(V1432&gt;=20,V1432&lt;40,W1432&lt;45),0.3,0)+IF(AND(V1432&gt;=20,V1432&lt;40,W1432&gt;=45,W1432&lt;95),0.23,0)+IF(AND(V1432&gt;=20,V1432&lt;40,W1432&gt;=95),0.17,0)+IF(AND(V1432&gt;=40,V1432&lt;75,W1432&lt;35),0.3,0)+IF(AND(V1432&gt;=40,V1432&lt;75,W1432&gt;=35,W1432&lt;75),0.23,0)+IF(AND(V1432&gt;=40,V1432&lt;75,W1432&gt;=75,W1432&lt;120),0.17,0)+IF(AND(V1432&gt;=40,V1432&lt;75,W1432&gt;=120),0.12,0)+IF(AND(V1432&gt;=75,V1432&lt;175,W1432&lt;35),0.3,0)+IF(AND(V1432&gt;=75,V1432&lt;=175,W1432&gt;=35,W1432&lt;65),0.23,0)+IF(AND(V1432&gt;=75,V1432&lt;=175,W1432&gt;=65,W1432&lt;110),0.17,0)+IF(AND(V1432&gt;=75,V1432&lt;=175,W1432&gt;=110),0.12,0)+IF(AND(V1432&gt;175,W1432&lt;25),0.3,0)+IF(AND(V1432&gt;175,W1432&gt;=25,W1432&lt;55),0.23,0)+IF(AND(V1432&gt;175,W1432&gt;=55,W1432&lt;95),0.17,0)+IF(AND(V1432&gt;175,W1432&gt;=95),0.12,0),
IF(AF1432="Fix15",0.15,
IF(AF1432="Fix5",0.05,
IF(AF1432="Fix18.75",0.1875,
IF(AF1432="Fix11.25",0.1125,
IF(AF1432="Fix10",0.1,
IF(AF1432="Fix9",0.09,
IF(AF1432="Fix12",0.12,
IF(AF1432="Fix19",0.19,
IF(AF1432="DoEV2017",IF(AND(W1432&lt;74),0.2,0)+IF(AND(W1432&gt;=74),0.17,0),
IF(AF1432="SF",IF(AND(V1432&lt;20,W1432&lt;89),0.3,0)+IF(AND(V1432&lt;20,W1432&gt;=89),0.25,0)+IF(AND(V1432&gt;=20,V1432&lt;40,W1432&lt;74),0.3,0)+IF(AND(V1432&gt;=20,V1432&lt;40,W1432&gt;=75),0.22,0)+IF(AND(V1432&gt;=40,V1432&lt;75,W1432&lt;75),0.26,0)+IF(AND(V1432&gt;=40,V1432&lt;75,W1432&gt;=75),0.22,0)+IF(V1432&gt;=75,0.22,0),
IF(AF1432="DoEVold",IF(AND(V1432&lt;40,W1432&lt;35),0.35,0)+IF(AND(V1432&lt;40,W1432&gt;=35,W1432&lt;75),0.25,0)+IF(AND(V1432&lt;40,W1432&gt;=75),0.17,0)+IF(AND(V1432&gt;=40,V1432&lt;75,W1432&lt;25),0.35,0)+IF(AND(V1432&gt;=40,V1432&lt;75,W1432&gt;=25,W1432&lt;65),0.25,0)+IF(AND(V1432&gt;=40,V1432&lt;75,W1432&gt;=65,W1432&lt;100),0.17,0)+IF(AND(V1432&gt;=40,V1432&lt;75,W1432&gt;=100),0.1,0)+IF(AND(V1432&gt;=75,W1432&lt;25),0.35,0)+IF(AND(V1432&gt;=75,W1432&gt;=25,W1432&lt;60),0.25,0)+IF(AND(V1432&gt;=75,W1432&gt;=60,W1432&lt;95),0.17,0)+IF(AND(V1432&gt;=75,W1432&gt;=95),0.1,0),
IF(AF1432="DoEVold15",IF(AND(V1432&lt;=40,W1432&lt;35),0.35,0)+IF(AND(V1432&lt;=40,W1432&gt;=35,W1432&lt;75),0.25,0)+IF(AND(V1432&lt;=40,W1432&gt;=75,W1432&lt;120),0.17,0)+IF(AND(V1432&lt;=40,W1432&gt;=120),0.15,0)+IF(AND(V1432&gt;40,V1432&lt;75,W1432&lt;25),0.35,0)+IF(AND(V1432&gt;=40,V1432&lt;75,W1432&gt;=25,W1432&lt;65),0.25,0)+IF(AND(V1432&gt;=40,V1432&lt;75,W1432&gt;=65,W1432&lt;100),0.17,0)+IF(AND(V1432&gt;=40,V1432&lt;75,W1432&gt;=100),0.1,0)+IF(AND(V1432&gt;=75,W1432&lt;25),0.35,0)+IF(AND(V1432&gt;=75,W1432&gt;=25,W1432&lt;60),0.25,0)+IF(AND(V1432&gt;=75,W1432&gt;=60,W1432&lt;95),0.17,0)+IF(AND(V1432&gt;=75,W1432&gt;=95),0.1,0),
IF(AF1432="DoEVba",IF(AND(V1432&lt;20,W1432&lt;105),0.2,0)+IF(AND(V1432&lt;20,W1432&gt;=105),0.15,0)+IF(AND(V1432&gt;=20,V1432&lt;40,W1432&lt;95),0.2,0)+IF(AND(V1432&gt;=20,V1432&lt;40,W1432&gt;=95,W1432&lt;150),0.15,0)+IF(AND(V1432&gt;=20,V1432&lt;40,W1432&gt;=150),0.12,0)+IF(AND(V1432&gt;=40,V1432&lt;75,W1432&lt;75),0.2,0)+IF(AND(V1432&gt;=40,V1432&lt;75,W1432&gt;=75,W1432&lt;120),0.15,0)+IF(AND(V1432&gt;=40,V1432&lt;75,W1432&gt;=120),0.12,0)+IF(AND(V1432&gt;=75,V1432&lt;175,W1432&lt;65),0.2,0)+IF(AND(V1432&gt;=75,V1432&lt;175,W1432&gt;=65,W1432&lt;110),0.15,0)+IF(AND(V1432&gt;=75,V1432&lt;175,W1432&gt;=110),0.12,0)+IF(AND(V1432&gt;=175,W1432&lt;55),0.2,0)+IF(AND(V1432&gt;=175,W1432&gt;=55,W1432&lt;95),0.15,0)+IF(AND(V1432&gt;=175,W1432&gt;=95),0.12,0),
IF(AF1432="DoEVku",IF(AND(V1432&lt;20,W1432&lt;55),0.23,0)+IF(AND(V1432&lt;20,W1432&gt;=55,W1432&lt;105),0.2,0)+IF(AND(V1432&lt;20,W1432&gt;=105),0.17,0)+IF(AND(V1432&gt;=20,V1432&lt;40,W1432&lt;45),0.23,0)+IF(AND(V1432&gt;=20,V1432&lt;40,W1432&gt;=45,W1432&lt;95),0.2,0)+IF(AND(V1432&gt;=20,V1432&lt;40,W1432&gt;=95,W1432&lt;=150),0.17,0)+IF(AND(V1432&gt;=20,V1432&lt;40,W1432&gt;=150),0.12,0)+IF(AND(V1432&gt;=40,V1432&lt;75,W1432&lt;35),0.23,0)+IF(AND(V1432&gt;=40,V1432&lt;75,W1432&gt;=35,W1432&lt;75),0.2,0)+IF(AND(V1432&gt;=40,V1432&lt;75,W1432&gt;=75,W1432&lt;120),0.17,0)+IF(AND(V1432&gt;=40,V1432&lt;75,W1432&gt;=120),0.12,0)+IF(AND(V1432&gt;=75,V1432&lt;175,W1432&lt;35),0.23,0)+IF(AND(V1432&gt;=75,V1432&lt;=175,W1432&gt;=35,W1432&lt;65),0.2,0)+IF(AND(V1432&gt;=75,V1432&lt;=175,W1432&gt;=65,W1432&lt;110),0.17,0)+IF(AND(V1432&gt;=75,V1432&lt;=175,W1432&gt;=110),0.12,0)+IF(AND(V1432&gt;175,W1432&lt;25),0.23,0)+IF(AND(V1432&gt;175,W1432&gt;=25,W1432&lt;55),0.2,0)+IF(AND(V1432&gt;175,W1432&gt;=55,W1432&lt;95),0.17,0)+IF(AND(V1432&gt;175,W1432&gt;=95),0.12,0),
IF(AF1432="DoEVs1",IF(AND(V1432&lt;20,W1432&lt;55),0.3,0)+IF(AND(V1432&lt;20,W1432&gt;=55,W1432&lt;105),0.23,0)+IF(AND(V1432&lt;20,W1432&gt;=105),0.17,0)+IF(AND(V1432&gt;=20,V1432&lt;40,W1432&lt;45),0.3,0)+IF(AND(V1432&gt;=20,V1432&lt;40,W1432&gt;=45,W1432&lt;95),0.23,0)+IF(AND(V1432&gt;=20,V1432&lt;40,W1432&gt;=95,W1432&lt;=150),0.17,0)+IF(AND(V1432&gt;=20,V1432&lt;40,W1432&gt;=150),0.12,0)+IF(AND(V1432&gt;=40,V1432&lt;75,W1432&lt;35),0.3,0)+IF(AND(V1432&gt;=40,V1432&lt;75,W1432&gt;=35,W1432&lt;75),0.23,0)+IF(AND(V1432&gt;=40,V1432&lt;75,W1432&gt;=75,W1432&lt;120),0.17,0)+IF(AND(V1432&gt;=40,V1432&lt;75,W1432&gt;=120),0.12,0)+IF(AND(V1432&gt;=75,V1432&lt;175,W1432&lt;35),0.3,0)+IF(AND(V1432&gt;=75,V1432&lt;=175,W1432&gt;=35,W1432&lt;65),0.23,0)+IF(AND(V1432&gt;=75,V1432&lt;=175,W1432&gt;=65,W1432&lt;110),0.17,0)+IF(AND(V1432&gt;=75,V1432&lt;=175,W1432&gt;=110),0.12,0)+IF(AND(V1432&gt;175,W1432&lt;25),0.3,0)+IF(AND(V1432&gt;175,W1432&gt;=25,W1432&lt;55),0.23,0)+IF(AND(V1432&gt;175,W1432&gt;=55,W1432&lt;95),0.17,0)+IF(AND(V1432&gt;175,W1432&gt;=95),0.12,0),
IF(AF1432="DoEVsu",IF(AND(V1432&lt;20,W1432&lt;55),0.3,0)+IF(AND(V1432&lt;20,W1432&gt;=55,W1432&lt;105),0.23,0)+IF(AND(V1432&lt;20,W1432&gt;=105),0.17,0)+IF(AND(V1432&gt;=20,V1432&lt;40,W1432&lt;45),0.3,0)+IF(AND(V1432&gt;=20,V1432&lt;40,W1432&gt;=45,W1432&lt;95),0.23,0)+IF(AND(V1432&gt;=20,V1432&lt;40,W1432&gt;=95,W1432&lt;=250),0.17,0)+IF(AND(V1432&gt;=20,V1432&lt;40,W1432&gt;=250),0.12,0)+IF(AND(V1432&gt;=40,V1432&lt;75,W1432&lt;35),0.3,0)+IF(AND(V1432&gt;=40,V1432&lt;75,W1432&gt;=35,W1432&lt;75),0.23,0)+IF(AND(V1432&gt;=40,V1432&lt;75,W1432&gt;=75,W1432&lt;120),0.17,0)+IF(AND(V1432&gt;=40,V1432&lt;75,W1432&gt;=120),0.12,0)+IF(AND(V1432&gt;=75,V1432&lt;175,W1432&lt;35),0.3,0)+IF(AND(V1432&gt;=75,V1432&lt;=175,W1432&gt;=35,W1432&lt;65),0.23,0)+IF(AND(V1432&gt;=75,V1432&lt;=175,W1432&gt;=65,W1432&lt;110),0.17,0)+IF(AND(V1432&gt;=75,V1432&lt;=175,W1432&gt;=110),0.12,0)+IF(AND(V1432&gt;175,W1432&lt;25),0.3,0)+IF(AND(V1432&gt;175,W1432&gt;=25,W1432&lt;55),0.23,0)+IF(AND(V1432&gt;175,W1432&gt;=55,W1432&lt;95),0.17,0)+IF(AND(V1432&gt;175,W1432&gt;=95),0.12,0),
IF(AF1432="DoEVni",IF(AND(V1432&lt;20,W1432&lt;55),0.3,0)+IF(AND(V1432&lt;20,W1432&gt;=55,W1432&lt;105),0.23,0)+IF(AND(V1432&lt;20,W1432&gt;=105),0.17,0)+IF(AND(V1432&gt;=20,V1432&lt;40,W1432&lt;45),0.3,0)+IF(AND(V1432&gt;=20,V1432&lt;40,W1432&gt;=45,W1432&lt;95),0.23,0)+IF(AND(V1432&gt;=20,V1432&lt;40,W1432&gt;=95,W1432&lt;=200),0.17,0)+IF(AND(V1432&gt;=20,V1432&lt;40,W1432&gt;=200),0.12,0)+IF(AND(V1432&gt;=40,V1432&lt;75,W1432&lt;35),0.3,0)+IF(AND(V1432&gt;=40,V1432&lt;75,W1432&gt;=35,W1432&lt;75),0.23,0)+IF(AND(V1432&gt;=40,V1432&lt;75,W1432&gt;=75,W1432&lt;120),0.17,0)+IF(AND(V1432&gt;=40,V1432&lt;75,W1432&gt;=120),0.12,0)+IF(AND(V1432&gt;=75,V1432&lt;175,W1432&lt;35),0.3,0)+IF(AND(V1432&gt;=75,V1432&lt;=175,W1432&gt;=35,W1432&lt;65),0.23,0)+IF(AND(V1432&gt;=75,V1432&lt;=175,W1432&gt;=65,W1432&lt;110),0.17,0)+IF(AND(V1432&gt;=75,V1432&lt;=175,W1432&gt;=110),0.12,0)+IF(AND(V1432&gt;175,W1432&lt;25),0.3,0)+IF(AND(V1432&gt;175,W1432&gt;=25,W1432&lt;55),0.23,0)+IF(AND(V1432&gt;175,W1432&gt;=55,W1432&lt;95),0.17,0)+IF(AND(V1432&gt;175,W1432&gt;=95),0.12,0),
IF(AF1432="DoEVLo",IF(AND(V1432&lt;20,W1432&lt;55),0.25,0)+IF(AND(V1432&lt;20,W1432&gt;=55,W1432&lt;105),0.2,0)+IF(AND(V1432&lt;20,W1432&gt;=105),0.15,0)+IF(AND(V1432&gt;=20,V1432&lt;40,W1432&lt;45),0.25,0)+IF(AND(V1432&gt;=20,V1432&lt;40,W1432&gt;=45,W1432&lt;95),0.2,0)+IF(AND(V1432&gt;=20,V1432&lt;40,W1432&gt;=95),0.15,0)+IF(AND(V1432&gt;=40,V1432&lt;75,W1432&lt;35),0.25,0)+IF(AND(V1432&gt;=40,V1432&lt;75,W1432&gt;=35,W1432&lt;75),0.2,0)+IF(AND(V1432&gt;=40,V1432&lt;75,W1432&gt;=75,W1432&lt;120),0.15,0)+IF(AND(V1432&gt;=40,V1432&lt;75,W1432&gt;=120),0.1,0)+IF(AND(V1432&gt;=75,V1432&lt;175,W1432&lt;35),0.25,0)+IF(AND(V1432&gt;=75,V1432&lt;=175,W1432&gt;=35,W1432&lt;65),0.2,0)+IF(AND(V1432&gt;=75,V1432&lt;=175,W1432&gt;=65,W1432&lt;110),0.15,0)+IF(AND(V1432&gt;=75,V1432&lt;=175,W1432&gt;=110),0.1,0)+IF(AND(V1432&gt;175,W1432&lt;25),0.25,0)+IF(AND(V1432&gt;175,W1432&gt;=25,W1432&lt;55),0.2,0)+IF(AND(V1432&gt;175,W1432&gt;=55,W1432&lt;95),0.15,0)+IF(AND(V1432&gt;175,W1432&gt;=95),0.1,0))))))))))))))))))))</f>
        <v>0.23</v>
      </c>
      <c r="Y1432" s="30">
        <f>IF(AG1432="None",0,IF(AG1432="Fix5",0.05, IF(AG1432="Fix6.25",0.0625,IF(AG1432="Fix3.75",0.0375, IF(AG1432="Fix11",0.11, IF(AG1432="Fix10",0.1,IF(AG1432="Fix3",0.03,0)))))))</f>
        <v>0</v>
      </c>
      <c r="Z1432" s="35">
        <f>IF(AND(AD1432="EUR", AE1432 = "USD"), T1432*U1432-AA1432-AB1432, T1432-AA1432-AB1432)</f>
        <v>-123.97</v>
      </c>
      <c r="AA1432" s="29">
        <f>IF(AND(AD1432="EUR", F1432="Without EV deal", AE1432="USD"), (T1432*X1432)*U1432,
IF(AND(AD1432="EUR", F1432="Without EV deal", AE1432="EUR"), (T1432*X1432),
IF(AND(AD1432="EUR",AE1432="USD"), (T1432*X1432)*U1432,
T1432*X1432)))</f>
        <v>-37.03</v>
      </c>
      <c r="AB1432" s="36">
        <f>IF(AND(AD1432="EUR", F1432="Without EV deal", AE1432="USD"), (T1432*Y1432)*U1432,
IF(AND(AD1432="EUR", F1432="Without EV deal", AE1432="EUR"), (T1432*Y1432),
IF(AND(AD1432="EUR",AE1432="USD"), (T1432*Y1432)*U1432,
T1432*Y1432)))</f>
        <v>0</v>
      </c>
      <c r="AC1432" s="37" t="b">
        <v>1</v>
      </c>
      <c r="AD1432" s="82" t="str">
        <f>IF(OR(H1432="€0.25 Flash",
H1432="€0.25(nitro) new",
H1432="€1",
H1432="€2",
H1432="€2 (bf 01.08)",
H1432="€5",
H1432="€5 (1M)",
H1432="€5 (bf 01.08)",
H1432="€5 (bf 05.05)",
H1432="€5 Nitro",
H1432="€5(wx) new",
H1432="€10",
H1432="€10 (1M)",
H1432="€10 (bf 01.08)",
H1432="€10 (bf 05.05)",
H1432="€10 (MP)",
H1432="€10 (old)",
H1432="€10 Nitro (bf 05.05)",
H1432="€10 Nitro (old)",
H1432="€10(wx) new",
H1432="€20",
H1432="€25",
H1432="€25 (bf 01.08)",
H1432="€25 (bf 05.05)",
H1432="€25 (MP)",
H1432="€25 (old)",
H1432="€25 Nitro",
H1432="€25 Nitro (bf 01.08)",
H1432="€25 Nitro (bf 05.05)",
H1432="€25(nitro) new",
H1432="€25(wx) new",
H1432="€50",
H1432="€50 (bf 01.08)",
H1432="€50 (bf 05.05)",
H1432="€50 (old)",
H1432="€50 Nitro",
H1432="€50 Nitro (bf 01.08)",
H1432="€50 Nitro (bf 05.05)",
H1432="€50(wx) new",
H1432="€100",
H1432="€100 (old)",
H1432="€100 Nitro",
H1432="€100 Nitro (old)",
H1432="€200",
H1432="€250",
H1432="€250 Nitro",
H1432="€500",
H1432="€500 Nitro"),"EUR", "USD")</f>
        <v>USD</v>
      </c>
      <c r="AE1432" s="83" t="s">
        <v>38</v>
      </c>
      <c r="AF1432" s="83" t="str">
        <f t="array" ref="AF1432">INDEX('Deal Info'!D:D, MATCH(A1432,'Deal Info'!A:A, 0))</f>
        <v>DoEV</v>
      </c>
      <c r="AG1432" s="84" t="str">
        <f t="array" ref="AG1432">INDEX('Deal Info'!G:G, MATCH(A1432,'Deal Info'!A:A, 0))</f>
        <v>None</v>
      </c>
    </row>
    <row r="1433" spans="1:33" ht="14.25" hidden="1" x14ac:dyDescent="0.2">
      <c r="A1433" s="18" t="str">
        <f t="array" ref="A1433">IF(G1433='Room Info'!$B$1, INDEX('Room Info'!$A$2:$A2446, MATCH(B1433,'Room Info'!$B$2:$B2446, 0)),IF(G1433='Room Info'!$C$1, INDEX('Room Info'!$A$2:$A2446, MATCH(B1433,'Room Info'!$C$2:$C2446, 0)),IF(G1433='Room Info'!$D$1, INDEX('Room Info'!$A$2:$A2446, MATCH(B1433,'Room Info'!$D$2:$D2446, 0)),IF(G1433='Room Info'!$E$1, INDEX('Room Info'!$A$2:$A2446, MATCH(B1433,'Room Info'!$E$2:$E2446, 0)),IF(G1433='Room Info'!$F$1, INDEX('Room Info'!$A$2:$A2446, MATCH(B1433,'Room Info'!$F$2:$F2446, 0)),IF(G1433='Room Info'!$H$1, INDEX('Room Info'!$A$2:$A2446, MATCH(B1433,'Room Info'!$H$2:$H2446, 0)),IF(G1433='Room Info'!$G$1, INDEX('Room Info'!$A$2:$A2446, MATCH(B1433,'Room Info'!$G$2:$G2446, 0)))))))))</f>
        <v>Kiss4money99</v>
      </c>
      <c r="B1433" s="85" t="s">
        <v>120</v>
      </c>
      <c r="C1433" s="86">
        <v>44947</v>
      </c>
      <c r="D1433" s="87">
        <v>44977</v>
      </c>
      <c r="E1433" s="21">
        <v>44958</v>
      </c>
      <c r="F1433" s="22" t="s">
        <v>34</v>
      </c>
      <c r="G1433" s="18" t="s">
        <v>35</v>
      </c>
      <c r="H1433" s="23" t="s">
        <v>39</v>
      </c>
      <c r="I1433" s="23" t="s">
        <v>37</v>
      </c>
      <c r="J1433" s="39">
        <v>5</v>
      </c>
      <c r="K1433" s="88">
        <v>10</v>
      </c>
      <c r="L1433" s="89">
        <v>-20</v>
      </c>
      <c r="M1433" s="42">
        <v>1685</v>
      </c>
      <c r="N1433" s="28">
        <f>K1433*J1433</f>
        <v>50</v>
      </c>
      <c r="O1433" s="85">
        <v>1452</v>
      </c>
      <c r="P1433" s="29">
        <v>145.19999999999999</v>
      </c>
      <c r="Q1433" s="30"/>
      <c r="R1433" s="31">
        <f>M1433+Q1433</f>
        <v>1685</v>
      </c>
      <c r="S1433" s="119">
        <v>558</v>
      </c>
      <c r="T1433" s="32">
        <f>IF(AND(AD1433="EUR", F1433="Without EV deal"), R1433 + L1433,
IF(AND(AD1433="USD", F1433="Without EV deal"), R1433 + L1433,
IF(AND(AD1433="EUR", F1433="Steel Phoenix"), R1433 + S1433/U1433,
R1433 + S1433)))</f>
        <v>2243</v>
      </c>
      <c r="U1433" s="33">
        <v>1.0669999999999999</v>
      </c>
      <c r="V1433" s="34">
        <v>9.9872286079182633</v>
      </c>
      <c r="W1433" s="34">
        <v>224.58682864450128</v>
      </c>
      <c r="X1433" s="30">
        <f>IF(AF1433="DoEV",IF(AND(V1433&lt;20,W1433&lt;55),0.3,0)+IF(AND(V1433&lt;20,W1433&gt;=55,W1433&lt;105),0.23,0)+IF(AND(V1433&lt;20,W1433&gt;=105),0.17,0)+IF(AND(V1433&gt;=20,V1433&lt;40,W1433&lt;45),0.3,0)+IF(AND(V1433&gt;=20,V1433&lt;40,W1433&gt;=45,W1433&lt;95),0.23,0)+IF(AND(V1433&gt;=20,V1433&lt;40,W1433&gt;=95),0.17,0)+IF(AND(V1433&gt;=40,V1433&lt;75,W1433&lt;35),0.3,0)+IF(AND(V1433&gt;=40,V1433&lt;75,W1433&gt;=35,W1433&lt;75),0.23,0)+IF(AND(V1433&gt;=40,V1433&lt;75,W1433&gt;=75,W1433&lt;120),0.17,0)+IF(AND(V1433&gt;=40,V1433&lt;75,W1433&gt;=120),0.12,0)+IF(AND(V1433&gt;=75,V1433&lt;175,W1433&lt;35),0.3,0)+IF(AND(V1433&gt;=75,V1433&lt;=175,W1433&gt;=35,W1433&lt;65),0.23,0)+IF(AND(V1433&gt;=75,V1433&lt;=175,W1433&gt;=65,W1433&lt;110),0.17,0)+IF(AND(V1433&gt;=75,V1433&lt;=175,W1433&gt;=110),0.12,0)+IF(AND(V1433&gt;175,W1433&lt;25),0.3,0)+IF(AND(V1433&gt;175,W1433&gt;=25,W1433&lt;55),0.23,0)+IF(AND(V1433&gt;175,W1433&gt;=55,W1433&lt;95),0.17,0)+IF(AND(V1433&gt;175,W1433&gt;=95),0.12,0),
IF(AF1433="Fix15",0.15,
IF(AF1433="Fix5",0.05,
IF(AF1433="Fix18.75",0.1875,
IF(AF1433="Fix11.25",0.1125,
IF(AF1433="Fix10",0.1,
IF(AF1433="Fix9",0.09,
IF(AF1433="Fix12",0.12,
IF(AF1433="Fix19",0.19,
IF(AF1433="DoEV2017",IF(AND(W1433&lt;74),0.2,0)+IF(AND(W1433&gt;=74),0.17,0),
IF(AF1433="SF",IF(AND(V1433&lt;20,W1433&lt;89),0.3,0)+IF(AND(V1433&lt;20,W1433&gt;=89),0.25,0)+IF(AND(V1433&gt;=20,V1433&lt;40,W1433&lt;74),0.3,0)+IF(AND(V1433&gt;=20,V1433&lt;40,W1433&gt;=75),0.22,0)+IF(AND(V1433&gt;=40,V1433&lt;75,W1433&lt;75),0.26,0)+IF(AND(V1433&gt;=40,V1433&lt;75,W1433&gt;=75),0.22,0)+IF(V1433&gt;=75,0.22,0),
IF(AF1433="DoEVold",IF(AND(V1433&lt;40,W1433&lt;35),0.35,0)+IF(AND(V1433&lt;40,W1433&gt;=35,W1433&lt;75),0.25,0)+IF(AND(V1433&lt;40,W1433&gt;=75),0.17,0)+IF(AND(V1433&gt;=40,V1433&lt;75,W1433&lt;25),0.35,0)+IF(AND(V1433&gt;=40,V1433&lt;75,W1433&gt;=25,W1433&lt;65),0.25,0)+IF(AND(V1433&gt;=40,V1433&lt;75,W1433&gt;=65,W1433&lt;100),0.17,0)+IF(AND(V1433&gt;=40,V1433&lt;75,W1433&gt;=100),0.1,0)+IF(AND(V1433&gt;=75,W1433&lt;25),0.35,0)+IF(AND(V1433&gt;=75,W1433&gt;=25,W1433&lt;60),0.25,0)+IF(AND(V1433&gt;=75,W1433&gt;=60,W1433&lt;95),0.17,0)+IF(AND(V1433&gt;=75,W1433&gt;=95),0.1,0),
IF(AF1433="DoEVold15",IF(AND(V1433&lt;=40,W1433&lt;35),0.35,0)+IF(AND(V1433&lt;=40,W1433&gt;=35,W1433&lt;75),0.25,0)+IF(AND(V1433&lt;=40,W1433&gt;=75,W1433&lt;120),0.17,0)+IF(AND(V1433&lt;=40,W1433&gt;=120),0.15,0)+IF(AND(V1433&gt;40,V1433&lt;75,W1433&lt;25),0.35,0)+IF(AND(V1433&gt;=40,V1433&lt;75,W1433&gt;=25,W1433&lt;65),0.25,0)+IF(AND(V1433&gt;=40,V1433&lt;75,W1433&gt;=65,W1433&lt;100),0.17,0)+IF(AND(V1433&gt;=40,V1433&lt;75,W1433&gt;=100),0.1,0)+IF(AND(V1433&gt;=75,W1433&lt;25),0.35,0)+IF(AND(V1433&gt;=75,W1433&gt;=25,W1433&lt;60),0.25,0)+IF(AND(V1433&gt;=75,W1433&gt;=60,W1433&lt;95),0.17,0)+IF(AND(V1433&gt;=75,W1433&gt;=95),0.1,0),
IF(AF1433="DoEVba",IF(AND(V1433&lt;20,W1433&lt;105),0.2,0)+IF(AND(V1433&lt;20,W1433&gt;=105),0.15,0)+IF(AND(V1433&gt;=20,V1433&lt;40,W1433&lt;95),0.2,0)+IF(AND(V1433&gt;=20,V1433&lt;40,W1433&gt;=95,W1433&lt;150),0.15,0)+IF(AND(V1433&gt;=20,V1433&lt;40,W1433&gt;=150),0.12,0)+IF(AND(V1433&gt;=40,V1433&lt;75,W1433&lt;75),0.2,0)+IF(AND(V1433&gt;=40,V1433&lt;75,W1433&gt;=75,W1433&lt;120),0.15,0)+IF(AND(V1433&gt;=40,V1433&lt;75,W1433&gt;=120),0.12,0)+IF(AND(V1433&gt;=75,V1433&lt;175,W1433&lt;65),0.2,0)+IF(AND(V1433&gt;=75,V1433&lt;175,W1433&gt;=65,W1433&lt;110),0.15,0)+IF(AND(V1433&gt;=75,V1433&lt;175,W1433&gt;=110),0.12,0)+IF(AND(V1433&gt;=175,W1433&lt;55),0.2,0)+IF(AND(V1433&gt;=175,W1433&gt;=55,W1433&lt;95),0.15,0)+IF(AND(V1433&gt;=175,W1433&gt;=95),0.12,0),
IF(AF1433="DoEVku",IF(AND(V1433&lt;20,W1433&lt;55),0.23,0)+IF(AND(V1433&lt;20,W1433&gt;=55,W1433&lt;105),0.2,0)+IF(AND(V1433&lt;20,W1433&gt;=105),0.17,0)+IF(AND(V1433&gt;=20,V1433&lt;40,W1433&lt;45),0.23,0)+IF(AND(V1433&gt;=20,V1433&lt;40,W1433&gt;=45,W1433&lt;95),0.2,0)+IF(AND(V1433&gt;=20,V1433&lt;40,W1433&gt;=95,W1433&lt;=150),0.17,0)+IF(AND(V1433&gt;=20,V1433&lt;40,W1433&gt;=150),0.12,0)+IF(AND(V1433&gt;=40,V1433&lt;75,W1433&lt;35),0.23,0)+IF(AND(V1433&gt;=40,V1433&lt;75,W1433&gt;=35,W1433&lt;75),0.2,0)+IF(AND(V1433&gt;=40,V1433&lt;75,W1433&gt;=75,W1433&lt;120),0.17,0)+IF(AND(V1433&gt;=40,V1433&lt;75,W1433&gt;=120),0.12,0)+IF(AND(V1433&gt;=75,V1433&lt;175,W1433&lt;35),0.23,0)+IF(AND(V1433&gt;=75,V1433&lt;=175,W1433&gt;=35,W1433&lt;65),0.2,0)+IF(AND(V1433&gt;=75,V1433&lt;=175,W1433&gt;=65,W1433&lt;110),0.17,0)+IF(AND(V1433&gt;=75,V1433&lt;=175,W1433&gt;=110),0.12,0)+IF(AND(V1433&gt;175,W1433&lt;25),0.23,0)+IF(AND(V1433&gt;175,W1433&gt;=25,W1433&lt;55),0.2,0)+IF(AND(V1433&gt;175,W1433&gt;=55,W1433&lt;95),0.17,0)+IF(AND(V1433&gt;175,W1433&gt;=95),0.12,0),
IF(AF1433="DoEVs1",IF(AND(V1433&lt;20,W1433&lt;55),0.3,0)+IF(AND(V1433&lt;20,W1433&gt;=55,W1433&lt;105),0.23,0)+IF(AND(V1433&lt;20,W1433&gt;=105),0.17,0)+IF(AND(V1433&gt;=20,V1433&lt;40,W1433&lt;45),0.3,0)+IF(AND(V1433&gt;=20,V1433&lt;40,W1433&gt;=45,W1433&lt;95),0.23,0)+IF(AND(V1433&gt;=20,V1433&lt;40,W1433&gt;=95,W1433&lt;=150),0.17,0)+IF(AND(V1433&gt;=20,V1433&lt;40,W1433&gt;=150),0.12,0)+IF(AND(V1433&gt;=40,V1433&lt;75,W1433&lt;35),0.3,0)+IF(AND(V1433&gt;=40,V1433&lt;75,W1433&gt;=35,W1433&lt;75),0.23,0)+IF(AND(V1433&gt;=40,V1433&lt;75,W1433&gt;=75,W1433&lt;120),0.17,0)+IF(AND(V1433&gt;=40,V1433&lt;75,W1433&gt;=120),0.12,0)+IF(AND(V1433&gt;=75,V1433&lt;175,W1433&lt;35),0.3,0)+IF(AND(V1433&gt;=75,V1433&lt;=175,W1433&gt;=35,W1433&lt;65),0.23,0)+IF(AND(V1433&gt;=75,V1433&lt;=175,W1433&gt;=65,W1433&lt;110),0.17,0)+IF(AND(V1433&gt;=75,V1433&lt;=175,W1433&gt;=110),0.12,0)+IF(AND(V1433&gt;175,W1433&lt;25),0.3,0)+IF(AND(V1433&gt;175,W1433&gt;=25,W1433&lt;55),0.23,0)+IF(AND(V1433&gt;175,W1433&gt;=55,W1433&lt;95),0.17,0)+IF(AND(V1433&gt;175,W1433&gt;=95),0.12,0),
IF(AF1433="DoEVsu",IF(AND(V1433&lt;20,W1433&lt;55),0.3,0)+IF(AND(V1433&lt;20,W1433&gt;=55,W1433&lt;105),0.23,0)+IF(AND(V1433&lt;20,W1433&gt;=105),0.17,0)+IF(AND(V1433&gt;=20,V1433&lt;40,W1433&lt;45),0.3,0)+IF(AND(V1433&gt;=20,V1433&lt;40,W1433&gt;=45,W1433&lt;95),0.23,0)+IF(AND(V1433&gt;=20,V1433&lt;40,W1433&gt;=95,W1433&lt;=250),0.17,0)+IF(AND(V1433&gt;=20,V1433&lt;40,W1433&gt;=250),0.12,0)+IF(AND(V1433&gt;=40,V1433&lt;75,W1433&lt;35),0.3,0)+IF(AND(V1433&gt;=40,V1433&lt;75,W1433&gt;=35,W1433&lt;75),0.23,0)+IF(AND(V1433&gt;=40,V1433&lt;75,W1433&gt;=75,W1433&lt;120),0.17,0)+IF(AND(V1433&gt;=40,V1433&lt;75,W1433&gt;=120),0.12,0)+IF(AND(V1433&gt;=75,V1433&lt;175,W1433&lt;35),0.3,0)+IF(AND(V1433&gt;=75,V1433&lt;=175,W1433&gt;=35,W1433&lt;65),0.23,0)+IF(AND(V1433&gt;=75,V1433&lt;=175,W1433&gt;=65,W1433&lt;110),0.17,0)+IF(AND(V1433&gt;=75,V1433&lt;=175,W1433&gt;=110),0.12,0)+IF(AND(V1433&gt;175,W1433&lt;25),0.3,0)+IF(AND(V1433&gt;175,W1433&gt;=25,W1433&lt;55),0.23,0)+IF(AND(V1433&gt;175,W1433&gt;=55,W1433&lt;95),0.17,0)+IF(AND(V1433&gt;175,W1433&gt;=95),0.12,0),
IF(AF1433="DoEVni",IF(AND(V1433&lt;20,W1433&lt;55),0.3,0)+IF(AND(V1433&lt;20,W1433&gt;=55,W1433&lt;105),0.23,0)+IF(AND(V1433&lt;20,W1433&gt;=105),0.17,0)+IF(AND(V1433&gt;=20,V1433&lt;40,W1433&lt;45),0.3,0)+IF(AND(V1433&gt;=20,V1433&lt;40,W1433&gt;=45,W1433&lt;95),0.23,0)+IF(AND(V1433&gt;=20,V1433&lt;40,W1433&gt;=95,W1433&lt;=200),0.17,0)+IF(AND(V1433&gt;=20,V1433&lt;40,W1433&gt;=200),0.12,0)+IF(AND(V1433&gt;=40,V1433&lt;75,W1433&lt;35),0.3,0)+IF(AND(V1433&gt;=40,V1433&lt;75,W1433&gt;=35,W1433&lt;75),0.23,0)+IF(AND(V1433&gt;=40,V1433&lt;75,W1433&gt;=75,W1433&lt;120),0.17,0)+IF(AND(V1433&gt;=40,V1433&lt;75,W1433&gt;=120),0.12,0)+IF(AND(V1433&gt;=75,V1433&lt;175,W1433&lt;35),0.3,0)+IF(AND(V1433&gt;=75,V1433&lt;=175,W1433&gt;=35,W1433&lt;65),0.23,0)+IF(AND(V1433&gt;=75,V1433&lt;=175,W1433&gt;=65,W1433&lt;110),0.17,0)+IF(AND(V1433&gt;=75,V1433&lt;=175,W1433&gt;=110),0.12,0)+IF(AND(V1433&gt;175,W1433&lt;25),0.3,0)+IF(AND(V1433&gt;175,W1433&gt;=25,W1433&lt;55),0.23,0)+IF(AND(V1433&gt;175,W1433&gt;=55,W1433&lt;95),0.17,0)+IF(AND(V1433&gt;175,W1433&gt;=95),0.12,0),
IF(AF1433="DoEVLo",IF(AND(V1433&lt;20,W1433&lt;55),0.25,0)+IF(AND(V1433&lt;20,W1433&gt;=55,W1433&lt;105),0.2,0)+IF(AND(V1433&lt;20,W1433&gt;=105),0.15,0)+IF(AND(V1433&gt;=20,V1433&lt;40,W1433&lt;45),0.25,0)+IF(AND(V1433&gt;=20,V1433&lt;40,W1433&gt;=45,W1433&lt;95),0.2,0)+IF(AND(V1433&gt;=20,V1433&lt;40,W1433&gt;=95),0.15,0)+IF(AND(V1433&gt;=40,V1433&lt;75,W1433&lt;35),0.25,0)+IF(AND(V1433&gt;=40,V1433&lt;75,W1433&gt;=35,W1433&lt;75),0.2,0)+IF(AND(V1433&gt;=40,V1433&lt;75,W1433&gt;=75,W1433&lt;120),0.15,0)+IF(AND(V1433&gt;=40,V1433&lt;75,W1433&gt;=120),0.1,0)+IF(AND(V1433&gt;=75,V1433&lt;175,W1433&lt;35),0.25,0)+IF(AND(V1433&gt;=75,V1433&lt;=175,W1433&gt;=35,W1433&lt;65),0.2,0)+IF(AND(V1433&gt;=75,V1433&lt;=175,W1433&gt;=65,W1433&lt;110),0.15,0)+IF(AND(V1433&gt;=75,V1433&lt;=175,W1433&gt;=110),0.1,0)+IF(AND(V1433&gt;175,W1433&lt;25),0.25,0)+IF(AND(V1433&gt;175,W1433&gt;=25,W1433&lt;55),0.2,0)+IF(AND(V1433&gt;175,W1433&gt;=55,W1433&lt;95),0.15,0)+IF(AND(V1433&gt;175,W1433&gt;=95),0.1,0))))))))))))))))))))</f>
        <v>0.25</v>
      </c>
      <c r="Y1433" s="30">
        <f>IF(AG1433="None",0,IF(AG1433="Fix5",0.05, IF(AG1433="Fix6.25",0.0625,IF(AG1433="Fix3.75",0.0375, IF(AG1433="Fix11",0.11, IF(AG1433="Fix10",0.1,IF(AG1433="Fix3",0.03,0)))))))</f>
        <v>0</v>
      </c>
      <c r="Z1433" s="35">
        <f>IF(AND(AD1433="EUR", AE1433 = "USD"), T1433*U1433-AA1433-AB1433, T1433-AA1433-AB1433)</f>
        <v>1682.25</v>
      </c>
      <c r="AA1433" s="29">
        <f>IF(AND(AD1433="EUR", F1433="Without EV deal", AE1433="USD"), (T1433*X1433)*U1433,
IF(AND(AD1433="EUR", F1433="Without EV deal", AE1433="EUR"), (T1433*X1433),
IF(AND(AD1433="EUR",AE1433="USD"), (T1433*X1433)*U1433,
T1433*X1433)))</f>
        <v>560.75</v>
      </c>
      <c r="AB1433" s="36">
        <f>IF(AND(AD1433="EUR", F1433="Without EV deal", AE1433="USD"), (T1433*Y1433)*U1433,
IF(AND(AD1433="EUR", F1433="Without EV deal", AE1433="EUR"), (T1433*Y1433),
IF(AND(AD1433="EUR",AE1433="USD"), (T1433*Y1433)*U1433,
T1433*Y1433)))</f>
        <v>0</v>
      </c>
      <c r="AC1433" s="37" t="b">
        <v>1</v>
      </c>
      <c r="AD1433" s="82" t="str">
        <f>IF(OR(H1433="€0.25 Flash",
H1433="€0.25(nitro) new",
H1433="€1",
H1433="€2",
H1433="€2 (bf 01.08)",
H1433="€5",
H1433="€5 (1M)",
H1433="€5 (bf 01.08)",
H1433="€5 (bf 05.05)",
H1433="€5 Nitro",
H1433="€5(wx) new",
H1433="€10",
H1433="€10 (1M)",
H1433="€10 (bf 01.08)",
H1433="€10 (bf 05.05)",
H1433="€10 (MP)",
H1433="€10 (old)",
H1433="€10 Nitro (bf 05.05)",
H1433="€10 Nitro (old)",
H1433="€10(wx) new",
H1433="€20",
H1433="€25",
H1433="€25 (bf 01.08)",
H1433="€25 (bf 05.05)",
H1433="€25 (MP)",
H1433="€25 (old)",
H1433="€25 Nitro",
H1433="€25 Nitro (bf 01.08)",
H1433="€25 Nitro (bf 05.05)",
H1433="€25(nitro) new",
H1433="€25(wx) new",
H1433="€50",
H1433="€50 (bf 01.08)",
H1433="€50 (bf 05.05)",
H1433="€50 (old)",
H1433="€50 Nitro",
H1433="€50 Nitro (bf 01.08)",
H1433="€50 Nitro (bf 05.05)",
H1433="€50(wx) new",
H1433="€100",
H1433="€100 (old)",
H1433="€100 Nitro",
H1433="€100 Nitro (old)",
H1433="€200",
H1433="€250",
H1433="€250 Nitro",
H1433="€500",
H1433="€500 Nitro"),"EUR", "USD")</f>
        <v>USD</v>
      </c>
      <c r="AE1433" s="83" t="s">
        <v>38</v>
      </c>
      <c r="AF1433" s="83" t="str">
        <f t="array" ref="AF1433">INDEX('Deal Info'!D:D, MATCH(A1433,'Deal Info'!A:A, 0))</f>
        <v>SF</v>
      </c>
      <c r="AG1433" s="84" t="str">
        <f t="array" ref="AG1433">INDEX('Deal Info'!G:G, MATCH(A1433,'Deal Info'!A:A, 0))</f>
        <v>None</v>
      </c>
    </row>
    <row r="1434" spans="1:33" ht="14.25" hidden="1" x14ac:dyDescent="0.2">
      <c r="A1434" s="18" t="str">
        <f t="array" ref="A1434">IF(G1434='Room Info'!$B$1, INDEX('Room Info'!$A$2:$A2446, MATCH(B1434,'Room Info'!$B$2:$B2446, 0)),IF(G1434='Room Info'!$C$1, INDEX('Room Info'!$A$2:$A2446, MATCH(B1434,'Room Info'!$C$2:$C2446, 0)),IF(G1434='Room Info'!$D$1, INDEX('Room Info'!$A$2:$A2446, MATCH(B1434,'Room Info'!$D$2:$D2446, 0)),IF(G1434='Room Info'!$E$1, INDEX('Room Info'!$A$2:$A2446, MATCH(B1434,'Room Info'!$E$2:$E2446, 0)),IF(G1434='Room Info'!$F$1, INDEX('Room Info'!$A$2:$A2446, MATCH(B1434,'Room Info'!$F$2:$F2446, 0)),IF(G1434='Room Info'!$H$1, INDEX('Room Info'!$A$2:$A2446, MATCH(B1434,'Room Info'!$H$2:$H2446, 0)),IF(G1434='Room Info'!$G$1, INDEX('Room Info'!$A$2:$A2446, MATCH(B1434,'Room Info'!$G$2:$G2446, 0)))))))))</f>
        <v>Kiss4money99</v>
      </c>
      <c r="B1434" s="85" t="s">
        <v>120</v>
      </c>
      <c r="C1434" s="86">
        <v>44947</v>
      </c>
      <c r="D1434" s="87">
        <v>44977</v>
      </c>
      <c r="E1434" s="21">
        <v>44958</v>
      </c>
      <c r="F1434" s="22" t="s">
        <v>34</v>
      </c>
      <c r="G1434" s="18" t="s">
        <v>35</v>
      </c>
      <c r="H1434" s="23" t="s">
        <v>40</v>
      </c>
      <c r="I1434" s="23" t="s">
        <v>37</v>
      </c>
      <c r="J1434" s="39">
        <v>10</v>
      </c>
      <c r="K1434" s="88">
        <v>3905</v>
      </c>
      <c r="L1434" s="89">
        <v>680</v>
      </c>
      <c r="M1434" s="27"/>
      <c r="N1434" s="28">
        <f>K1434*J1434</f>
        <v>39050</v>
      </c>
      <c r="O1434" s="85">
        <v>185188</v>
      </c>
      <c r="P1434" s="29">
        <v>47.42330346</v>
      </c>
      <c r="Q1434" s="30"/>
      <c r="R1434" s="31">
        <f>M1434+Q1434</f>
        <v>0</v>
      </c>
      <c r="S1434" s="28"/>
      <c r="T1434" s="32">
        <f>IF(AND(AD1434="EUR", F1434="Without EV deal"), R1434 + L1434,
IF(AND(AD1434="USD", F1434="Without EV deal"), R1434 + L1434,
IF(AND(AD1434="EUR", F1434="Steel Phoenix"), R1434 + S1434/U1434,
R1434 + S1434)))</f>
        <v>0</v>
      </c>
      <c r="U1434" s="33">
        <v>1.0669999999999999</v>
      </c>
      <c r="V1434" s="34">
        <v>9.9872286079182633</v>
      </c>
      <c r="W1434" s="34">
        <v>224.58682864450128</v>
      </c>
      <c r="X1434" s="30">
        <f>IF(AF1434="DoEV",IF(AND(V1434&lt;20,W1434&lt;55),0.3,0)+IF(AND(V1434&lt;20,W1434&gt;=55,W1434&lt;105),0.23,0)+IF(AND(V1434&lt;20,W1434&gt;=105),0.17,0)+IF(AND(V1434&gt;=20,V1434&lt;40,W1434&lt;45),0.3,0)+IF(AND(V1434&gt;=20,V1434&lt;40,W1434&gt;=45,W1434&lt;95),0.23,0)+IF(AND(V1434&gt;=20,V1434&lt;40,W1434&gt;=95),0.17,0)+IF(AND(V1434&gt;=40,V1434&lt;75,W1434&lt;35),0.3,0)+IF(AND(V1434&gt;=40,V1434&lt;75,W1434&gt;=35,W1434&lt;75),0.23,0)+IF(AND(V1434&gt;=40,V1434&lt;75,W1434&gt;=75,W1434&lt;120),0.17,0)+IF(AND(V1434&gt;=40,V1434&lt;75,W1434&gt;=120),0.12,0)+IF(AND(V1434&gt;=75,V1434&lt;175,W1434&lt;35),0.3,0)+IF(AND(V1434&gt;=75,V1434&lt;=175,W1434&gt;=35,W1434&lt;65),0.23,0)+IF(AND(V1434&gt;=75,V1434&lt;=175,W1434&gt;=65,W1434&lt;110),0.17,0)+IF(AND(V1434&gt;=75,V1434&lt;=175,W1434&gt;=110),0.12,0)+IF(AND(V1434&gt;175,W1434&lt;25),0.3,0)+IF(AND(V1434&gt;175,W1434&gt;=25,W1434&lt;55),0.23,0)+IF(AND(V1434&gt;175,W1434&gt;=55,W1434&lt;95),0.17,0)+IF(AND(V1434&gt;175,W1434&gt;=95),0.12,0),
IF(AF1434="Fix15",0.15,
IF(AF1434="Fix5",0.05,
IF(AF1434="Fix18.75",0.1875,
IF(AF1434="Fix11.25",0.1125,
IF(AF1434="Fix10",0.1,
IF(AF1434="Fix9",0.09,
IF(AF1434="Fix12",0.12,
IF(AF1434="Fix19",0.19,
IF(AF1434="DoEV2017",IF(AND(W1434&lt;74),0.2,0)+IF(AND(W1434&gt;=74),0.17,0),
IF(AF1434="SF",IF(AND(V1434&lt;20,W1434&lt;89),0.3,0)+IF(AND(V1434&lt;20,W1434&gt;=89),0.25,0)+IF(AND(V1434&gt;=20,V1434&lt;40,W1434&lt;74),0.3,0)+IF(AND(V1434&gt;=20,V1434&lt;40,W1434&gt;=75),0.22,0)+IF(AND(V1434&gt;=40,V1434&lt;75,W1434&lt;75),0.26,0)+IF(AND(V1434&gt;=40,V1434&lt;75,W1434&gt;=75),0.22,0)+IF(V1434&gt;=75,0.22,0),
IF(AF1434="DoEVold",IF(AND(V1434&lt;40,W1434&lt;35),0.35,0)+IF(AND(V1434&lt;40,W1434&gt;=35,W1434&lt;75),0.25,0)+IF(AND(V1434&lt;40,W1434&gt;=75),0.17,0)+IF(AND(V1434&gt;=40,V1434&lt;75,W1434&lt;25),0.35,0)+IF(AND(V1434&gt;=40,V1434&lt;75,W1434&gt;=25,W1434&lt;65),0.25,0)+IF(AND(V1434&gt;=40,V1434&lt;75,W1434&gt;=65,W1434&lt;100),0.17,0)+IF(AND(V1434&gt;=40,V1434&lt;75,W1434&gt;=100),0.1,0)+IF(AND(V1434&gt;=75,W1434&lt;25),0.35,0)+IF(AND(V1434&gt;=75,W1434&gt;=25,W1434&lt;60),0.25,0)+IF(AND(V1434&gt;=75,W1434&gt;=60,W1434&lt;95),0.17,0)+IF(AND(V1434&gt;=75,W1434&gt;=95),0.1,0),
IF(AF1434="DoEVold15",IF(AND(V1434&lt;=40,W1434&lt;35),0.35,0)+IF(AND(V1434&lt;=40,W1434&gt;=35,W1434&lt;75),0.25,0)+IF(AND(V1434&lt;=40,W1434&gt;=75,W1434&lt;120),0.17,0)+IF(AND(V1434&lt;=40,W1434&gt;=120),0.15,0)+IF(AND(V1434&gt;40,V1434&lt;75,W1434&lt;25),0.35,0)+IF(AND(V1434&gt;=40,V1434&lt;75,W1434&gt;=25,W1434&lt;65),0.25,0)+IF(AND(V1434&gt;=40,V1434&lt;75,W1434&gt;=65,W1434&lt;100),0.17,0)+IF(AND(V1434&gt;=40,V1434&lt;75,W1434&gt;=100),0.1,0)+IF(AND(V1434&gt;=75,W1434&lt;25),0.35,0)+IF(AND(V1434&gt;=75,W1434&gt;=25,W1434&lt;60),0.25,0)+IF(AND(V1434&gt;=75,W1434&gt;=60,W1434&lt;95),0.17,0)+IF(AND(V1434&gt;=75,W1434&gt;=95),0.1,0),
IF(AF1434="DoEVba",IF(AND(V1434&lt;20,W1434&lt;105),0.2,0)+IF(AND(V1434&lt;20,W1434&gt;=105),0.15,0)+IF(AND(V1434&gt;=20,V1434&lt;40,W1434&lt;95),0.2,0)+IF(AND(V1434&gt;=20,V1434&lt;40,W1434&gt;=95,W1434&lt;150),0.15,0)+IF(AND(V1434&gt;=20,V1434&lt;40,W1434&gt;=150),0.12,0)+IF(AND(V1434&gt;=40,V1434&lt;75,W1434&lt;75),0.2,0)+IF(AND(V1434&gt;=40,V1434&lt;75,W1434&gt;=75,W1434&lt;120),0.15,0)+IF(AND(V1434&gt;=40,V1434&lt;75,W1434&gt;=120),0.12,0)+IF(AND(V1434&gt;=75,V1434&lt;175,W1434&lt;65),0.2,0)+IF(AND(V1434&gt;=75,V1434&lt;175,W1434&gt;=65,W1434&lt;110),0.15,0)+IF(AND(V1434&gt;=75,V1434&lt;175,W1434&gt;=110),0.12,0)+IF(AND(V1434&gt;=175,W1434&lt;55),0.2,0)+IF(AND(V1434&gt;=175,W1434&gt;=55,W1434&lt;95),0.15,0)+IF(AND(V1434&gt;=175,W1434&gt;=95),0.12,0),
IF(AF1434="DoEVku",IF(AND(V1434&lt;20,W1434&lt;55),0.23,0)+IF(AND(V1434&lt;20,W1434&gt;=55,W1434&lt;105),0.2,0)+IF(AND(V1434&lt;20,W1434&gt;=105),0.17,0)+IF(AND(V1434&gt;=20,V1434&lt;40,W1434&lt;45),0.23,0)+IF(AND(V1434&gt;=20,V1434&lt;40,W1434&gt;=45,W1434&lt;95),0.2,0)+IF(AND(V1434&gt;=20,V1434&lt;40,W1434&gt;=95,W1434&lt;=150),0.17,0)+IF(AND(V1434&gt;=20,V1434&lt;40,W1434&gt;=150),0.12,0)+IF(AND(V1434&gt;=40,V1434&lt;75,W1434&lt;35),0.23,0)+IF(AND(V1434&gt;=40,V1434&lt;75,W1434&gt;=35,W1434&lt;75),0.2,0)+IF(AND(V1434&gt;=40,V1434&lt;75,W1434&gt;=75,W1434&lt;120),0.17,0)+IF(AND(V1434&gt;=40,V1434&lt;75,W1434&gt;=120),0.12,0)+IF(AND(V1434&gt;=75,V1434&lt;175,W1434&lt;35),0.23,0)+IF(AND(V1434&gt;=75,V1434&lt;=175,W1434&gt;=35,W1434&lt;65),0.2,0)+IF(AND(V1434&gt;=75,V1434&lt;=175,W1434&gt;=65,W1434&lt;110),0.17,0)+IF(AND(V1434&gt;=75,V1434&lt;=175,W1434&gt;=110),0.12,0)+IF(AND(V1434&gt;175,W1434&lt;25),0.23,0)+IF(AND(V1434&gt;175,W1434&gt;=25,W1434&lt;55),0.2,0)+IF(AND(V1434&gt;175,W1434&gt;=55,W1434&lt;95),0.17,0)+IF(AND(V1434&gt;175,W1434&gt;=95),0.12,0),
IF(AF1434="DoEVs1",IF(AND(V1434&lt;20,W1434&lt;55),0.3,0)+IF(AND(V1434&lt;20,W1434&gt;=55,W1434&lt;105),0.23,0)+IF(AND(V1434&lt;20,W1434&gt;=105),0.17,0)+IF(AND(V1434&gt;=20,V1434&lt;40,W1434&lt;45),0.3,0)+IF(AND(V1434&gt;=20,V1434&lt;40,W1434&gt;=45,W1434&lt;95),0.23,0)+IF(AND(V1434&gt;=20,V1434&lt;40,W1434&gt;=95,W1434&lt;=150),0.17,0)+IF(AND(V1434&gt;=20,V1434&lt;40,W1434&gt;=150),0.12,0)+IF(AND(V1434&gt;=40,V1434&lt;75,W1434&lt;35),0.3,0)+IF(AND(V1434&gt;=40,V1434&lt;75,W1434&gt;=35,W1434&lt;75),0.23,0)+IF(AND(V1434&gt;=40,V1434&lt;75,W1434&gt;=75,W1434&lt;120),0.17,0)+IF(AND(V1434&gt;=40,V1434&lt;75,W1434&gt;=120),0.12,0)+IF(AND(V1434&gt;=75,V1434&lt;175,W1434&lt;35),0.3,0)+IF(AND(V1434&gt;=75,V1434&lt;=175,W1434&gt;=35,W1434&lt;65),0.23,0)+IF(AND(V1434&gt;=75,V1434&lt;=175,W1434&gt;=65,W1434&lt;110),0.17,0)+IF(AND(V1434&gt;=75,V1434&lt;=175,W1434&gt;=110),0.12,0)+IF(AND(V1434&gt;175,W1434&lt;25),0.3,0)+IF(AND(V1434&gt;175,W1434&gt;=25,W1434&lt;55),0.23,0)+IF(AND(V1434&gt;175,W1434&gt;=55,W1434&lt;95),0.17,0)+IF(AND(V1434&gt;175,W1434&gt;=95),0.12,0),
IF(AF1434="DoEVsu",IF(AND(V1434&lt;20,W1434&lt;55),0.3,0)+IF(AND(V1434&lt;20,W1434&gt;=55,W1434&lt;105),0.23,0)+IF(AND(V1434&lt;20,W1434&gt;=105),0.17,0)+IF(AND(V1434&gt;=20,V1434&lt;40,W1434&lt;45),0.3,0)+IF(AND(V1434&gt;=20,V1434&lt;40,W1434&gt;=45,W1434&lt;95),0.23,0)+IF(AND(V1434&gt;=20,V1434&lt;40,W1434&gt;=95,W1434&lt;=250),0.17,0)+IF(AND(V1434&gt;=20,V1434&lt;40,W1434&gt;=250),0.12,0)+IF(AND(V1434&gt;=40,V1434&lt;75,W1434&lt;35),0.3,0)+IF(AND(V1434&gt;=40,V1434&lt;75,W1434&gt;=35,W1434&lt;75),0.23,0)+IF(AND(V1434&gt;=40,V1434&lt;75,W1434&gt;=75,W1434&lt;120),0.17,0)+IF(AND(V1434&gt;=40,V1434&lt;75,W1434&gt;=120),0.12,0)+IF(AND(V1434&gt;=75,V1434&lt;175,W1434&lt;35),0.3,0)+IF(AND(V1434&gt;=75,V1434&lt;=175,W1434&gt;=35,W1434&lt;65),0.23,0)+IF(AND(V1434&gt;=75,V1434&lt;=175,W1434&gt;=65,W1434&lt;110),0.17,0)+IF(AND(V1434&gt;=75,V1434&lt;=175,W1434&gt;=110),0.12,0)+IF(AND(V1434&gt;175,W1434&lt;25),0.3,0)+IF(AND(V1434&gt;175,W1434&gt;=25,W1434&lt;55),0.23,0)+IF(AND(V1434&gt;175,W1434&gt;=55,W1434&lt;95),0.17,0)+IF(AND(V1434&gt;175,W1434&gt;=95),0.12,0),
IF(AF1434="DoEVni",IF(AND(V1434&lt;20,W1434&lt;55),0.3,0)+IF(AND(V1434&lt;20,W1434&gt;=55,W1434&lt;105),0.23,0)+IF(AND(V1434&lt;20,W1434&gt;=105),0.17,0)+IF(AND(V1434&gt;=20,V1434&lt;40,W1434&lt;45),0.3,0)+IF(AND(V1434&gt;=20,V1434&lt;40,W1434&gt;=45,W1434&lt;95),0.23,0)+IF(AND(V1434&gt;=20,V1434&lt;40,W1434&gt;=95,W1434&lt;=200),0.17,0)+IF(AND(V1434&gt;=20,V1434&lt;40,W1434&gt;=200),0.12,0)+IF(AND(V1434&gt;=40,V1434&lt;75,W1434&lt;35),0.3,0)+IF(AND(V1434&gt;=40,V1434&lt;75,W1434&gt;=35,W1434&lt;75),0.23,0)+IF(AND(V1434&gt;=40,V1434&lt;75,W1434&gt;=75,W1434&lt;120),0.17,0)+IF(AND(V1434&gt;=40,V1434&lt;75,W1434&gt;=120),0.12,0)+IF(AND(V1434&gt;=75,V1434&lt;175,W1434&lt;35),0.3,0)+IF(AND(V1434&gt;=75,V1434&lt;=175,W1434&gt;=35,W1434&lt;65),0.23,0)+IF(AND(V1434&gt;=75,V1434&lt;=175,W1434&gt;=65,W1434&lt;110),0.17,0)+IF(AND(V1434&gt;=75,V1434&lt;=175,W1434&gt;=110),0.12,0)+IF(AND(V1434&gt;175,W1434&lt;25),0.3,0)+IF(AND(V1434&gt;175,W1434&gt;=25,W1434&lt;55),0.23,0)+IF(AND(V1434&gt;175,W1434&gt;=55,W1434&lt;95),0.17,0)+IF(AND(V1434&gt;175,W1434&gt;=95),0.12,0),
IF(AF1434="DoEVLo",IF(AND(V1434&lt;20,W1434&lt;55),0.25,0)+IF(AND(V1434&lt;20,W1434&gt;=55,W1434&lt;105),0.2,0)+IF(AND(V1434&lt;20,W1434&gt;=105),0.15,0)+IF(AND(V1434&gt;=20,V1434&lt;40,W1434&lt;45),0.25,0)+IF(AND(V1434&gt;=20,V1434&lt;40,W1434&gt;=45,W1434&lt;95),0.2,0)+IF(AND(V1434&gt;=20,V1434&lt;40,W1434&gt;=95),0.15,0)+IF(AND(V1434&gt;=40,V1434&lt;75,W1434&lt;35),0.25,0)+IF(AND(V1434&gt;=40,V1434&lt;75,W1434&gt;=35,W1434&lt;75),0.2,0)+IF(AND(V1434&gt;=40,V1434&lt;75,W1434&gt;=75,W1434&lt;120),0.15,0)+IF(AND(V1434&gt;=40,V1434&lt;75,W1434&gt;=120),0.1,0)+IF(AND(V1434&gt;=75,V1434&lt;175,W1434&lt;35),0.25,0)+IF(AND(V1434&gt;=75,V1434&lt;=175,W1434&gt;=35,W1434&lt;65),0.2,0)+IF(AND(V1434&gt;=75,V1434&lt;=175,W1434&gt;=65,W1434&lt;110),0.15,0)+IF(AND(V1434&gt;=75,V1434&lt;=175,W1434&gt;=110),0.1,0)+IF(AND(V1434&gt;175,W1434&lt;25),0.25,0)+IF(AND(V1434&gt;175,W1434&gt;=25,W1434&lt;55),0.2,0)+IF(AND(V1434&gt;175,W1434&gt;=55,W1434&lt;95),0.15,0)+IF(AND(V1434&gt;175,W1434&gt;=95),0.1,0))))))))))))))))))))</f>
        <v>0.25</v>
      </c>
      <c r="Y1434" s="30">
        <f>IF(AG1434="None",0,IF(AG1434="Fix5",0.05, IF(AG1434="Fix6.25",0.0625,IF(AG1434="Fix3.75",0.0375, IF(AG1434="Fix11",0.11, IF(AG1434="Fix10",0.1,IF(AG1434="Fix3",0.03,0)))))))</f>
        <v>0</v>
      </c>
      <c r="Z1434" s="35">
        <f>IF(AND(AD1434="EUR", AE1434 = "USD"), T1434*U1434-AA1434-AB1434, T1434-AA1434-AB1434)</f>
        <v>0</v>
      </c>
      <c r="AA1434" s="29">
        <f>IF(AND(AD1434="EUR", F1434="Without EV deal", AE1434="USD"), (T1434*X1434)*U1434,
IF(AND(AD1434="EUR", F1434="Without EV deal", AE1434="EUR"), (T1434*X1434),
IF(AND(AD1434="EUR",AE1434="USD"), (T1434*X1434)*U1434,
T1434*X1434)))</f>
        <v>0</v>
      </c>
      <c r="AB1434" s="36">
        <f>IF(AND(AD1434="EUR", F1434="Without EV deal", AE1434="USD"), (T1434*Y1434)*U1434,
IF(AND(AD1434="EUR", F1434="Without EV deal", AE1434="EUR"), (T1434*Y1434),
IF(AND(AD1434="EUR",AE1434="USD"), (T1434*Y1434)*U1434,
T1434*Y1434)))</f>
        <v>0</v>
      </c>
      <c r="AC1434" s="37" t="b">
        <v>1</v>
      </c>
      <c r="AD1434" s="82" t="str">
        <f>IF(OR(H1434="€0.25 Flash",
H1434="€0.25(nitro) new",
H1434="€1",
H1434="€2",
H1434="€2 (bf 01.08)",
H1434="€5",
H1434="€5 (1M)",
H1434="€5 (bf 01.08)",
H1434="€5 (bf 05.05)",
H1434="€5 Nitro",
H1434="€5(wx) new",
H1434="€10",
H1434="€10 (1M)",
H1434="€10 (bf 01.08)",
H1434="€10 (bf 05.05)",
H1434="€10 (MP)",
H1434="€10 (old)",
H1434="€10 Nitro (bf 05.05)",
H1434="€10 Nitro (old)",
H1434="€10(wx) new",
H1434="€20",
H1434="€25",
H1434="€25 (bf 01.08)",
H1434="€25 (bf 05.05)",
H1434="€25 (MP)",
H1434="€25 (old)",
H1434="€25 Nitro",
H1434="€25 Nitro (bf 01.08)",
H1434="€25 Nitro (bf 05.05)",
H1434="€25(nitro) new",
H1434="€25(wx) new",
H1434="€50",
H1434="€50 (bf 01.08)",
H1434="€50 (bf 05.05)",
H1434="€50 (old)",
H1434="€50 Nitro",
H1434="€50 Nitro (bf 01.08)",
H1434="€50 Nitro (bf 05.05)",
H1434="€50(wx) new",
H1434="€100",
H1434="€100 (old)",
H1434="€100 Nitro",
H1434="€100 Nitro (old)",
H1434="€200",
H1434="€250",
H1434="€250 Nitro",
H1434="€500",
H1434="€500 Nitro"),"EUR", "USD")</f>
        <v>USD</v>
      </c>
      <c r="AE1434" s="83" t="s">
        <v>38</v>
      </c>
      <c r="AF1434" s="83" t="str">
        <f t="array" ref="AF1434">INDEX('Deal Info'!D:D, MATCH(A1434,'Deal Info'!A:A, 0))</f>
        <v>SF</v>
      </c>
      <c r="AG1434" s="84" t="str">
        <f t="array" ref="AG1434">INDEX('Deal Info'!G:G, MATCH(A1434,'Deal Info'!A:A, 0))</f>
        <v>None</v>
      </c>
    </row>
    <row r="1435" spans="1:33" ht="14.25" hidden="1" x14ac:dyDescent="0.2">
      <c r="A1435" s="18" t="str">
        <f t="array" ref="A1435">IF(G1435='Room Info'!$B$1, INDEX('Room Info'!$A$2:$A2446, MATCH(B1435,'Room Info'!$B$2:$B2446, 0)),IF(G1435='Room Info'!$C$1, INDEX('Room Info'!$A$2:$A2446, MATCH(B1435,'Room Info'!$C$2:$C2446, 0)),IF(G1435='Room Info'!$D$1, INDEX('Room Info'!$A$2:$A2446, MATCH(B1435,'Room Info'!$D$2:$D2446, 0)),IF(G1435='Room Info'!$E$1, INDEX('Room Info'!$A$2:$A2446, MATCH(B1435,'Room Info'!$E$2:$E2446, 0)),IF(G1435='Room Info'!$F$1, INDEX('Room Info'!$A$2:$A2446, MATCH(B1435,'Room Info'!$F$2:$F2446, 0)),IF(G1435='Room Info'!$H$1, INDEX('Room Info'!$A$2:$A2446, MATCH(B1435,'Room Info'!$H$2:$H2446, 0)),IF(G1435='Room Info'!$G$1, INDEX('Room Info'!$A$2:$A2446, MATCH(B1435,'Room Info'!$G$2:$G2446, 0)))))))))</f>
        <v>Mexanuk_AV</v>
      </c>
      <c r="B1435" s="85" t="s">
        <v>113</v>
      </c>
      <c r="C1435" s="86">
        <v>44947</v>
      </c>
      <c r="D1435" s="87">
        <v>44977</v>
      </c>
      <c r="E1435" s="21">
        <v>44958</v>
      </c>
      <c r="F1435" s="22" t="s">
        <v>34</v>
      </c>
      <c r="G1435" s="18" t="s">
        <v>35</v>
      </c>
      <c r="H1435" s="23" t="s">
        <v>115</v>
      </c>
      <c r="I1435" s="23" t="s">
        <v>44</v>
      </c>
      <c r="J1435" s="39">
        <v>10</v>
      </c>
      <c r="K1435" s="88">
        <v>3340</v>
      </c>
      <c r="L1435" s="89">
        <v>-2280</v>
      </c>
      <c r="M1435" s="121">
        <v>2505</v>
      </c>
      <c r="N1435" s="28">
        <f>K1435*J1435</f>
        <v>33400</v>
      </c>
      <c r="O1435" s="85">
        <v>38123</v>
      </c>
      <c r="P1435" s="29">
        <v>11.41407186</v>
      </c>
      <c r="Q1435" s="30"/>
      <c r="R1435" s="31">
        <f>M1435+Q1435</f>
        <v>2505</v>
      </c>
      <c r="S1435" s="119">
        <v>-1224</v>
      </c>
      <c r="T1435" s="32">
        <f>IF(AND(AD1435="EUR", F1435="Without EV deal"), R1435 + L1435,
IF(AND(AD1435="USD", F1435="Without EV deal"), R1435 + L1435,
IF(AND(AD1435="EUR", F1435="Steel Phoenix"), R1435 + S1435/U1435,
R1435 + S1435)))</f>
        <v>1281</v>
      </c>
      <c r="U1435" s="33">
        <v>1.0669999999999999</v>
      </c>
      <c r="V1435" s="34">
        <v>10</v>
      </c>
      <c r="W1435" s="34">
        <v>129.1</v>
      </c>
      <c r="X1435" s="30">
        <f>IF(AF1435="DoEV",IF(AND(V1435&lt;20,W1435&lt;55),0.3,0)+IF(AND(V1435&lt;20,W1435&gt;=55,W1435&lt;105),0.23,0)+IF(AND(V1435&lt;20,W1435&gt;=105),0.17,0)+IF(AND(V1435&gt;=20,V1435&lt;40,W1435&lt;45),0.3,0)+IF(AND(V1435&gt;=20,V1435&lt;40,W1435&gt;=45,W1435&lt;95),0.23,0)+IF(AND(V1435&gt;=20,V1435&lt;40,W1435&gt;=95),0.17,0)+IF(AND(V1435&gt;=40,V1435&lt;75,W1435&lt;35),0.3,0)+IF(AND(V1435&gt;=40,V1435&lt;75,W1435&gt;=35,W1435&lt;75),0.23,0)+IF(AND(V1435&gt;=40,V1435&lt;75,W1435&gt;=75,W1435&lt;120),0.17,0)+IF(AND(V1435&gt;=40,V1435&lt;75,W1435&gt;=120),0.12,0)+IF(AND(V1435&gt;=75,V1435&lt;175,W1435&lt;35),0.3,0)+IF(AND(V1435&gt;=75,V1435&lt;=175,W1435&gt;=35,W1435&lt;65),0.23,0)+IF(AND(V1435&gt;=75,V1435&lt;=175,W1435&gt;=65,W1435&lt;110),0.17,0)+IF(AND(V1435&gt;=75,V1435&lt;=175,W1435&gt;=110),0.12,0)+IF(AND(V1435&gt;175,W1435&lt;25),0.3,0)+IF(AND(V1435&gt;175,W1435&gt;=25,W1435&lt;55),0.23,0)+IF(AND(V1435&gt;175,W1435&gt;=55,W1435&lt;95),0.17,0)+IF(AND(V1435&gt;175,W1435&gt;=95),0.12,0),
IF(AF1435="Fix15",0.15,
IF(AF1435="Fix5",0.05,
IF(AF1435="Fix18.75",0.1875,
IF(AF1435="Fix11.25",0.1125,
IF(AF1435="Fix10",0.1,
IF(AF1435="Fix9",0.09,
IF(AF1435="Fix12",0.12,
IF(AF1435="Fix19",0.19,
IF(AF1435="DoEV2017",IF(AND(W1435&lt;74),0.2,0)+IF(AND(W1435&gt;=74),0.17,0),
IF(AF1435="SF",IF(AND(V1435&lt;20,W1435&lt;89),0.3,0)+IF(AND(V1435&lt;20,W1435&gt;=89),0.25,0)+IF(AND(V1435&gt;=20,V1435&lt;40,W1435&lt;74),0.3,0)+IF(AND(V1435&gt;=20,V1435&lt;40,W1435&gt;=75),0.22,0)+IF(AND(V1435&gt;=40,V1435&lt;75,W1435&lt;75),0.26,0)+IF(AND(V1435&gt;=40,V1435&lt;75,W1435&gt;=75),0.22,0)+IF(V1435&gt;=75,0.22,0),
IF(AF1435="DoEVold",IF(AND(V1435&lt;40,W1435&lt;35),0.35,0)+IF(AND(V1435&lt;40,W1435&gt;=35,W1435&lt;75),0.25,0)+IF(AND(V1435&lt;40,W1435&gt;=75),0.17,0)+IF(AND(V1435&gt;=40,V1435&lt;75,W1435&lt;25),0.35,0)+IF(AND(V1435&gt;=40,V1435&lt;75,W1435&gt;=25,W1435&lt;65),0.25,0)+IF(AND(V1435&gt;=40,V1435&lt;75,W1435&gt;=65,W1435&lt;100),0.17,0)+IF(AND(V1435&gt;=40,V1435&lt;75,W1435&gt;=100),0.1,0)+IF(AND(V1435&gt;=75,W1435&lt;25),0.35,0)+IF(AND(V1435&gt;=75,W1435&gt;=25,W1435&lt;60),0.25,0)+IF(AND(V1435&gt;=75,W1435&gt;=60,W1435&lt;95),0.17,0)+IF(AND(V1435&gt;=75,W1435&gt;=95),0.1,0),
IF(AF1435="DoEVold15",IF(AND(V1435&lt;=40,W1435&lt;35),0.35,0)+IF(AND(V1435&lt;=40,W1435&gt;=35,W1435&lt;75),0.25,0)+IF(AND(V1435&lt;=40,W1435&gt;=75,W1435&lt;120),0.17,0)+IF(AND(V1435&lt;=40,W1435&gt;=120),0.15,0)+IF(AND(V1435&gt;40,V1435&lt;75,W1435&lt;25),0.35,0)+IF(AND(V1435&gt;=40,V1435&lt;75,W1435&gt;=25,W1435&lt;65),0.25,0)+IF(AND(V1435&gt;=40,V1435&lt;75,W1435&gt;=65,W1435&lt;100),0.17,0)+IF(AND(V1435&gt;=40,V1435&lt;75,W1435&gt;=100),0.1,0)+IF(AND(V1435&gt;=75,W1435&lt;25),0.35,0)+IF(AND(V1435&gt;=75,W1435&gt;=25,W1435&lt;60),0.25,0)+IF(AND(V1435&gt;=75,W1435&gt;=60,W1435&lt;95),0.17,0)+IF(AND(V1435&gt;=75,W1435&gt;=95),0.1,0),
IF(AF1435="DoEVba",IF(AND(V1435&lt;20,W1435&lt;105),0.2,0)+IF(AND(V1435&lt;20,W1435&gt;=105),0.15,0)+IF(AND(V1435&gt;=20,V1435&lt;40,W1435&lt;95),0.2,0)+IF(AND(V1435&gt;=20,V1435&lt;40,W1435&gt;=95,W1435&lt;150),0.15,0)+IF(AND(V1435&gt;=20,V1435&lt;40,W1435&gt;=150),0.12,0)+IF(AND(V1435&gt;=40,V1435&lt;75,W1435&lt;75),0.2,0)+IF(AND(V1435&gt;=40,V1435&lt;75,W1435&gt;=75,W1435&lt;120),0.15,0)+IF(AND(V1435&gt;=40,V1435&lt;75,W1435&gt;=120),0.12,0)+IF(AND(V1435&gt;=75,V1435&lt;175,W1435&lt;65),0.2,0)+IF(AND(V1435&gt;=75,V1435&lt;175,W1435&gt;=65,W1435&lt;110),0.15,0)+IF(AND(V1435&gt;=75,V1435&lt;175,W1435&gt;=110),0.12,0)+IF(AND(V1435&gt;=175,W1435&lt;55),0.2,0)+IF(AND(V1435&gt;=175,W1435&gt;=55,W1435&lt;95),0.15,0)+IF(AND(V1435&gt;=175,W1435&gt;=95),0.12,0),
IF(AF1435="DoEVku",IF(AND(V1435&lt;20,W1435&lt;55),0.23,0)+IF(AND(V1435&lt;20,W1435&gt;=55,W1435&lt;105),0.2,0)+IF(AND(V1435&lt;20,W1435&gt;=105),0.17,0)+IF(AND(V1435&gt;=20,V1435&lt;40,W1435&lt;45),0.23,0)+IF(AND(V1435&gt;=20,V1435&lt;40,W1435&gt;=45,W1435&lt;95),0.2,0)+IF(AND(V1435&gt;=20,V1435&lt;40,W1435&gt;=95,W1435&lt;=150),0.17,0)+IF(AND(V1435&gt;=20,V1435&lt;40,W1435&gt;=150),0.12,0)+IF(AND(V1435&gt;=40,V1435&lt;75,W1435&lt;35),0.23,0)+IF(AND(V1435&gt;=40,V1435&lt;75,W1435&gt;=35,W1435&lt;75),0.2,0)+IF(AND(V1435&gt;=40,V1435&lt;75,W1435&gt;=75,W1435&lt;120),0.17,0)+IF(AND(V1435&gt;=40,V1435&lt;75,W1435&gt;=120),0.12,0)+IF(AND(V1435&gt;=75,V1435&lt;175,W1435&lt;35),0.23,0)+IF(AND(V1435&gt;=75,V1435&lt;=175,W1435&gt;=35,W1435&lt;65),0.2,0)+IF(AND(V1435&gt;=75,V1435&lt;=175,W1435&gt;=65,W1435&lt;110),0.17,0)+IF(AND(V1435&gt;=75,V1435&lt;=175,W1435&gt;=110),0.12,0)+IF(AND(V1435&gt;175,W1435&lt;25),0.23,0)+IF(AND(V1435&gt;175,W1435&gt;=25,W1435&lt;55),0.2,0)+IF(AND(V1435&gt;175,W1435&gt;=55,W1435&lt;95),0.17,0)+IF(AND(V1435&gt;175,W1435&gt;=95),0.12,0),
IF(AF1435="DoEVs1",IF(AND(V1435&lt;20,W1435&lt;55),0.3,0)+IF(AND(V1435&lt;20,W1435&gt;=55,W1435&lt;105),0.23,0)+IF(AND(V1435&lt;20,W1435&gt;=105),0.17,0)+IF(AND(V1435&gt;=20,V1435&lt;40,W1435&lt;45),0.3,0)+IF(AND(V1435&gt;=20,V1435&lt;40,W1435&gt;=45,W1435&lt;95),0.23,0)+IF(AND(V1435&gt;=20,V1435&lt;40,W1435&gt;=95,W1435&lt;=150),0.17,0)+IF(AND(V1435&gt;=20,V1435&lt;40,W1435&gt;=150),0.12,0)+IF(AND(V1435&gt;=40,V1435&lt;75,W1435&lt;35),0.3,0)+IF(AND(V1435&gt;=40,V1435&lt;75,W1435&gt;=35,W1435&lt;75),0.23,0)+IF(AND(V1435&gt;=40,V1435&lt;75,W1435&gt;=75,W1435&lt;120),0.17,0)+IF(AND(V1435&gt;=40,V1435&lt;75,W1435&gt;=120),0.12,0)+IF(AND(V1435&gt;=75,V1435&lt;175,W1435&lt;35),0.3,0)+IF(AND(V1435&gt;=75,V1435&lt;=175,W1435&gt;=35,W1435&lt;65),0.23,0)+IF(AND(V1435&gt;=75,V1435&lt;=175,W1435&gt;=65,W1435&lt;110),0.17,0)+IF(AND(V1435&gt;=75,V1435&lt;=175,W1435&gt;=110),0.12,0)+IF(AND(V1435&gt;175,W1435&lt;25),0.3,0)+IF(AND(V1435&gt;175,W1435&gt;=25,W1435&lt;55),0.23,0)+IF(AND(V1435&gt;175,W1435&gt;=55,W1435&lt;95),0.17,0)+IF(AND(V1435&gt;175,W1435&gt;=95),0.12,0),
IF(AF1435="DoEVsu",IF(AND(V1435&lt;20,W1435&lt;55),0.3,0)+IF(AND(V1435&lt;20,W1435&gt;=55,W1435&lt;105),0.23,0)+IF(AND(V1435&lt;20,W1435&gt;=105),0.17,0)+IF(AND(V1435&gt;=20,V1435&lt;40,W1435&lt;45),0.3,0)+IF(AND(V1435&gt;=20,V1435&lt;40,W1435&gt;=45,W1435&lt;95),0.23,0)+IF(AND(V1435&gt;=20,V1435&lt;40,W1435&gt;=95,W1435&lt;=250),0.17,0)+IF(AND(V1435&gt;=20,V1435&lt;40,W1435&gt;=250),0.12,0)+IF(AND(V1435&gt;=40,V1435&lt;75,W1435&lt;35),0.3,0)+IF(AND(V1435&gt;=40,V1435&lt;75,W1435&gt;=35,W1435&lt;75),0.23,0)+IF(AND(V1435&gt;=40,V1435&lt;75,W1435&gt;=75,W1435&lt;120),0.17,0)+IF(AND(V1435&gt;=40,V1435&lt;75,W1435&gt;=120),0.12,0)+IF(AND(V1435&gt;=75,V1435&lt;175,W1435&lt;35),0.3,0)+IF(AND(V1435&gt;=75,V1435&lt;=175,W1435&gt;=35,W1435&lt;65),0.23,0)+IF(AND(V1435&gt;=75,V1435&lt;=175,W1435&gt;=65,W1435&lt;110),0.17,0)+IF(AND(V1435&gt;=75,V1435&lt;=175,W1435&gt;=110),0.12,0)+IF(AND(V1435&gt;175,W1435&lt;25),0.3,0)+IF(AND(V1435&gt;175,W1435&gt;=25,W1435&lt;55),0.23,0)+IF(AND(V1435&gt;175,W1435&gt;=55,W1435&lt;95),0.17,0)+IF(AND(V1435&gt;175,W1435&gt;=95),0.12,0),
IF(AF1435="DoEVni",IF(AND(V1435&lt;20,W1435&lt;55),0.3,0)+IF(AND(V1435&lt;20,W1435&gt;=55,W1435&lt;105),0.23,0)+IF(AND(V1435&lt;20,W1435&gt;=105),0.17,0)+IF(AND(V1435&gt;=20,V1435&lt;40,W1435&lt;45),0.3,0)+IF(AND(V1435&gt;=20,V1435&lt;40,W1435&gt;=45,W1435&lt;95),0.23,0)+IF(AND(V1435&gt;=20,V1435&lt;40,W1435&gt;=95,W1435&lt;=200),0.17,0)+IF(AND(V1435&gt;=20,V1435&lt;40,W1435&gt;=200),0.12,0)+IF(AND(V1435&gt;=40,V1435&lt;75,W1435&lt;35),0.3,0)+IF(AND(V1435&gt;=40,V1435&lt;75,W1435&gt;=35,W1435&lt;75),0.23,0)+IF(AND(V1435&gt;=40,V1435&lt;75,W1435&gt;=75,W1435&lt;120),0.17,0)+IF(AND(V1435&gt;=40,V1435&lt;75,W1435&gt;=120),0.12,0)+IF(AND(V1435&gt;=75,V1435&lt;175,W1435&lt;35),0.3,0)+IF(AND(V1435&gt;=75,V1435&lt;=175,W1435&gt;=35,W1435&lt;65),0.23,0)+IF(AND(V1435&gt;=75,V1435&lt;=175,W1435&gt;=65,W1435&lt;110),0.17,0)+IF(AND(V1435&gt;=75,V1435&lt;=175,W1435&gt;=110),0.12,0)+IF(AND(V1435&gt;175,W1435&lt;25),0.3,0)+IF(AND(V1435&gt;175,W1435&gt;=25,W1435&lt;55),0.23,0)+IF(AND(V1435&gt;175,W1435&gt;=55,W1435&lt;95),0.17,0)+IF(AND(V1435&gt;175,W1435&gt;=95),0.12,0),
IF(AF1435="DoEVLo",IF(AND(V1435&lt;20,W1435&lt;55),0.25,0)+IF(AND(V1435&lt;20,W1435&gt;=55,W1435&lt;105),0.2,0)+IF(AND(V1435&lt;20,W1435&gt;=105),0.15,0)+IF(AND(V1435&gt;=20,V1435&lt;40,W1435&lt;45),0.25,0)+IF(AND(V1435&gt;=20,V1435&lt;40,W1435&gt;=45,W1435&lt;95),0.2,0)+IF(AND(V1435&gt;=20,V1435&lt;40,W1435&gt;=95),0.15,0)+IF(AND(V1435&gt;=40,V1435&lt;75,W1435&lt;35),0.25,0)+IF(AND(V1435&gt;=40,V1435&lt;75,W1435&gt;=35,W1435&lt;75),0.2,0)+IF(AND(V1435&gt;=40,V1435&lt;75,W1435&gt;=75,W1435&lt;120),0.15,0)+IF(AND(V1435&gt;=40,V1435&lt;75,W1435&gt;=120),0.1,0)+IF(AND(V1435&gt;=75,V1435&lt;175,W1435&lt;35),0.25,0)+IF(AND(V1435&gt;=75,V1435&lt;=175,W1435&gt;=35,W1435&lt;65),0.2,0)+IF(AND(V1435&gt;=75,V1435&lt;=175,W1435&gt;=65,W1435&lt;110),0.15,0)+IF(AND(V1435&gt;=75,V1435&lt;=175,W1435&gt;=110),0.1,0)+IF(AND(V1435&gt;175,W1435&lt;25),0.25,0)+IF(AND(V1435&gt;175,W1435&gt;=25,W1435&lt;55),0.2,0)+IF(AND(V1435&gt;175,W1435&gt;=55,W1435&lt;95),0.15,0)+IF(AND(V1435&gt;175,W1435&gt;=95),0.1,0))))))))))))))))))))</f>
        <v>0.25</v>
      </c>
      <c r="Y1435" s="30">
        <f>IF(AG1435="None",0,IF(AG1435="Fix5",0.05, IF(AG1435="Fix6.25",0.0625,IF(AG1435="Fix3.75",0.0375, IF(AG1435="Fix11",0.11, IF(AG1435="Fix10",0.1,IF(AG1435="Fix3",0.03,0)))))))</f>
        <v>0</v>
      </c>
      <c r="Z1435" s="35">
        <f>IF(AND(AD1435="EUR", AE1435 = "USD"), T1435*U1435-AA1435-AB1435, T1435-AA1435-AB1435)</f>
        <v>960.75</v>
      </c>
      <c r="AA1435" s="29">
        <f>IF(AND(AD1435="EUR", F1435="Without EV deal", AE1435="USD"), (T1435*X1435)*U1435,
IF(AND(AD1435="EUR", F1435="Without EV deal", AE1435="EUR"), (T1435*X1435),
IF(AND(AD1435="EUR",AE1435="USD"), (T1435*X1435)*U1435,
T1435*X1435)))</f>
        <v>320.25</v>
      </c>
      <c r="AB1435" s="36">
        <f>IF(AND(AD1435="EUR", F1435="Without EV deal", AE1435="USD"), (T1435*Y1435)*U1435,
IF(AND(AD1435="EUR", F1435="Without EV deal", AE1435="EUR"), (T1435*Y1435),
IF(AND(AD1435="EUR",AE1435="USD"), (T1435*Y1435)*U1435,
T1435*Y1435)))</f>
        <v>0</v>
      </c>
      <c r="AC1435" s="37" t="b">
        <v>0</v>
      </c>
      <c r="AD1435" s="82" t="str">
        <f>IF(OR(H1435="€0.25 Flash",
H1435="€0.25(nitro) new",
H1435="€1",
H1435="€2",
H1435="€2 (bf 01.08)",
H1435="€5",
H1435="€5 (1M)",
H1435="€5 (bf 01.08)",
H1435="€5 (bf 05.05)",
H1435="€5 Nitro",
H1435="€5(wx) new",
H1435="€10",
H1435="€10 (1M)",
H1435="€10 (bf 01.08)",
H1435="€10 (bf 05.05)",
H1435="€10 (MP)",
H1435="€10 (old)",
H1435="€10 Nitro (bf 05.05)",
H1435="€10 Nitro (old)",
H1435="€10(wx) new",
H1435="€20",
H1435="€25",
H1435="€25 (bf 01.08)",
H1435="€25 (bf 05.05)",
H1435="€25 (MP)",
H1435="€25 (old)",
H1435="€25 Nitro",
H1435="€25 Nitro (bf 01.08)",
H1435="€25 Nitro (bf 05.05)",
H1435="€25(nitro) new",
H1435="€25(wx) new",
H1435="€50",
H1435="€50 (bf 01.08)",
H1435="€50 (bf 05.05)",
H1435="€50 (old)",
H1435="€50 Nitro",
H1435="€50 Nitro (bf 01.08)",
H1435="€50 Nitro (bf 05.05)",
H1435="€50(wx) new",
H1435="€100",
H1435="€100 (old)",
H1435="€100 Nitro",
H1435="€100 Nitro (old)",
H1435="€200",
H1435="€250",
H1435="€250 Nitro",
H1435="€500",
H1435="€500 Nitro"),"EUR", "USD")</f>
        <v>USD</v>
      </c>
      <c r="AE1435" s="83" t="s">
        <v>38</v>
      </c>
      <c r="AF1435" s="83" t="str">
        <f t="array" ref="AF1435">INDEX('Deal Info'!D:D, MATCH(A1435,'Deal Info'!A:A, 0))</f>
        <v>SF</v>
      </c>
      <c r="AG1435" s="84" t="str">
        <f t="array" ref="AG1435">INDEX('Deal Info'!G:G, MATCH(A1435,'Deal Info'!A:A, 0))</f>
        <v>None</v>
      </c>
    </row>
    <row r="1436" spans="1:33" ht="14.25" hidden="1" x14ac:dyDescent="0.2">
      <c r="A1436" s="18" t="str">
        <f t="array" ref="A1436">IF(G1436='Room Info'!$B$1, INDEX('Room Info'!$A$2:$A2446, MATCH(B1436,'Room Info'!$B$2:$B2446, 0)),IF(G1436='Room Info'!$C$1, INDEX('Room Info'!$A$2:$A2446, MATCH(B1436,'Room Info'!$C$2:$C2446, 0)),IF(G1436='Room Info'!$D$1, INDEX('Room Info'!$A$2:$A2446, MATCH(B1436,'Room Info'!$D$2:$D2446, 0)),IF(G1436='Room Info'!$E$1, INDEX('Room Info'!$A$2:$A2446, MATCH(B1436,'Room Info'!$E$2:$E2446, 0)),IF(G1436='Room Info'!$F$1, INDEX('Room Info'!$A$2:$A2446, MATCH(B1436,'Room Info'!$F$2:$F2446, 0)),IF(G1436='Room Info'!$H$1, INDEX('Room Info'!$A$2:$A2446, MATCH(B1436,'Room Info'!$H$2:$H2446, 0)),IF(G1436='Room Info'!$G$1, INDEX('Room Info'!$A$2:$A2446, MATCH(B1436,'Room Info'!$G$2:$G2446, 0)))))))))</f>
        <v>Mexanuk_AV</v>
      </c>
      <c r="B1436" s="85" t="s">
        <v>113</v>
      </c>
      <c r="C1436" s="86">
        <v>44947</v>
      </c>
      <c r="D1436" s="87">
        <v>44977</v>
      </c>
      <c r="E1436" s="21">
        <v>44958</v>
      </c>
      <c r="F1436" s="22" t="s">
        <v>41</v>
      </c>
      <c r="G1436" s="18" t="s">
        <v>35</v>
      </c>
      <c r="H1436" s="23" t="s">
        <v>115</v>
      </c>
      <c r="I1436" s="23" t="s">
        <v>44</v>
      </c>
      <c r="J1436" s="39">
        <v>10</v>
      </c>
      <c r="K1436" s="88">
        <v>49</v>
      </c>
      <c r="L1436" s="89">
        <v>10</v>
      </c>
      <c r="M1436" s="42"/>
      <c r="N1436" s="28">
        <f>K1436*J1436</f>
        <v>490</v>
      </c>
      <c r="O1436" s="18"/>
      <c r="P1436" s="29">
        <v>0</v>
      </c>
      <c r="Q1436" s="30"/>
      <c r="R1436" s="31">
        <f>M1436+Q1436</f>
        <v>0</v>
      </c>
      <c r="S1436" s="28"/>
      <c r="T1436" s="32">
        <f>IF(AND(AD1436="EUR", F1436="Without EV deal"), R1436 + L1436,
IF(AND(AD1436="USD", F1436="Without EV deal"), R1436 + L1436,
IF(AND(AD1436="EUR", F1436="Steel Phoenix"), R1436 + S1436/U1436,
R1436 + S1436)))</f>
        <v>10</v>
      </c>
      <c r="U1436" s="33">
        <v>1.0669999999999999</v>
      </c>
      <c r="V1436" s="34">
        <v>10</v>
      </c>
      <c r="W1436" s="34">
        <v>129.1</v>
      </c>
      <c r="X1436" s="30">
        <f>IF(AF1436="DoEV",IF(AND(V1436&lt;20,W1436&lt;55),0.3,0)+IF(AND(V1436&lt;20,W1436&gt;=55,W1436&lt;105),0.23,0)+IF(AND(V1436&lt;20,W1436&gt;=105),0.17,0)+IF(AND(V1436&gt;=20,V1436&lt;40,W1436&lt;45),0.3,0)+IF(AND(V1436&gt;=20,V1436&lt;40,W1436&gt;=45,W1436&lt;95),0.23,0)+IF(AND(V1436&gt;=20,V1436&lt;40,W1436&gt;=95),0.17,0)+IF(AND(V1436&gt;=40,V1436&lt;75,W1436&lt;35),0.3,0)+IF(AND(V1436&gt;=40,V1436&lt;75,W1436&gt;=35,W1436&lt;75),0.23,0)+IF(AND(V1436&gt;=40,V1436&lt;75,W1436&gt;=75,W1436&lt;120),0.17,0)+IF(AND(V1436&gt;=40,V1436&lt;75,W1436&gt;=120),0.12,0)+IF(AND(V1436&gt;=75,V1436&lt;175,W1436&lt;35),0.3,0)+IF(AND(V1436&gt;=75,V1436&lt;=175,W1436&gt;=35,W1436&lt;65),0.23,0)+IF(AND(V1436&gt;=75,V1436&lt;=175,W1436&gt;=65,W1436&lt;110),0.17,0)+IF(AND(V1436&gt;=75,V1436&lt;=175,W1436&gt;=110),0.12,0)+IF(AND(V1436&gt;175,W1436&lt;25),0.3,0)+IF(AND(V1436&gt;175,W1436&gt;=25,W1436&lt;55),0.23,0)+IF(AND(V1436&gt;175,W1436&gt;=55,W1436&lt;95),0.17,0)+IF(AND(V1436&gt;175,W1436&gt;=95),0.12,0),
IF(AF1436="Fix15",0.15,
IF(AF1436="Fix5",0.05,
IF(AF1436="Fix18.75",0.1875,
IF(AF1436="Fix11.25",0.1125,
IF(AF1436="Fix10",0.1,
IF(AF1436="Fix9",0.09,
IF(AF1436="Fix12",0.12,
IF(AF1436="Fix19",0.19,
IF(AF1436="DoEV2017",IF(AND(W1436&lt;74),0.2,0)+IF(AND(W1436&gt;=74),0.17,0),
IF(AF1436="SF",IF(AND(V1436&lt;20,W1436&lt;89),0.3,0)+IF(AND(V1436&lt;20,W1436&gt;=89),0.25,0)+IF(AND(V1436&gt;=20,V1436&lt;40,W1436&lt;74),0.3,0)+IF(AND(V1436&gt;=20,V1436&lt;40,W1436&gt;=75),0.22,0)+IF(AND(V1436&gt;=40,V1436&lt;75,W1436&lt;75),0.26,0)+IF(AND(V1436&gt;=40,V1436&lt;75,W1436&gt;=75),0.22,0)+IF(V1436&gt;=75,0.22,0),
IF(AF1436="DoEVold",IF(AND(V1436&lt;40,W1436&lt;35),0.35,0)+IF(AND(V1436&lt;40,W1436&gt;=35,W1436&lt;75),0.25,0)+IF(AND(V1436&lt;40,W1436&gt;=75),0.17,0)+IF(AND(V1436&gt;=40,V1436&lt;75,W1436&lt;25),0.35,0)+IF(AND(V1436&gt;=40,V1436&lt;75,W1436&gt;=25,W1436&lt;65),0.25,0)+IF(AND(V1436&gt;=40,V1436&lt;75,W1436&gt;=65,W1436&lt;100),0.17,0)+IF(AND(V1436&gt;=40,V1436&lt;75,W1436&gt;=100),0.1,0)+IF(AND(V1436&gt;=75,W1436&lt;25),0.35,0)+IF(AND(V1436&gt;=75,W1436&gt;=25,W1436&lt;60),0.25,0)+IF(AND(V1436&gt;=75,W1436&gt;=60,W1436&lt;95),0.17,0)+IF(AND(V1436&gt;=75,W1436&gt;=95),0.1,0),
IF(AF1436="DoEVold15",IF(AND(V1436&lt;=40,W1436&lt;35),0.35,0)+IF(AND(V1436&lt;=40,W1436&gt;=35,W1436&lt;75),0.25,0)+IF(AND(V1436&lt;=40,W1436&gt;=75,W1436&lt;120),0.17,0)+IF(AND(V1436&lt;=40,W1436&gt;=120),0.15,0)+IF(AND(V1436&gt;40,V1436&lt;75,W1436&lt;25),0.35,0)+IF(AND(V1436&gt;=40,V1436&lt;75,W1436&gt;=25,W1436&lt;65),0.25,0)+IF(AND(V1436&gt;=40,V1436&lt;75,W1436&gt;=65,W1436&lt;100),0.17,0)+IF(AND(V1436&gt;=40,V1436&lt;75,W1436&gt;=100),0.1,0)+IF(AND(V1436&gt;=75,W1436&lt;25),0.35,0)+IF(AND(V1436&gt;=75,W1436&gt;=25,W1436&lt;60),0.25,0)+IF(AND(V1436&gt;=75,W1436&gt;=60,W1436&lt;95),0.17,0)+IF(AND(V1436&gt;=75,W1436&gt;=95),0.1,0),
IF(AF1436="DoEVba",IF(AND(V1436&lt;20,W1436&lt;105),0.2,0)+IF(AND(V1436&lt;20,W1436&gt;=105),0.15,0)+IF(AND(V1436&gt;=20,V1436&lt;40,W1436&lt;95),0.2,0)+IF(AND(V1436&gt;=20,V1436&lt;40,W1436&gt;=95,W1436&lt;150),0.15,0)+IF(AND(V1436&gt;=20,V1436&lt;40,W1436&gt;=150),0.12,0)+IF(AND(V1436&gt;=40,V1436&lt;75,W1436&lt;75),0.2,0)+IF(AND(V1436&gt;=40,V1436&lt;75,W1436&gt;=75,W1436&lt;120),0.15,0)+IF(AND(V1436&gt;=40,V1436&lt;75,W1436&gt;=120),0.12,0)+IF(AND(V1436&gt;=75,V1436&lt;175,W1436&lt;65),0.2,0)+IF(AND(V1436&gt;=75,V1436&lt;175,W1436&gt;=65,W1436&lt;110),0.15,0)+IF(AND(V1436&gt;=75,V1436&lt;175,W1436&gt;=110),0.12,0)+IF(AND(V1436&gt;=175,W1436&lt;55),0.2,0)+IF(AND(V1436&gt;=175,W1436&gt;=55,W1436&lt;95),0.15,0)+IF(AND(V1436&gt;=175,W1436&gt;=95),0.12,0),
IF(AF1436="DoEVku",IF(AND(V1436&lt;20,W1436&lt;55),0.23,0)+IF(AND(V1436&lt;20,W1436&gt;=55,W1436&lt;105),0.2,0)+IF(AND(V1436&lt;20,W1436&gt;=105),0.17,0)+IF(AND(V1436&gt;=20,V1436&lt;40,W1436&lt;45),0.23,0)+IF(AND(V1436&gt;=20,V1436&lt;40,W1436&gt;=45,W1436&lt;95),0.2,0)+IF(AND(V1436&gt;=20,V1436&lt;40,W1436&gt;=95,W1436&lt;=150),0.17,0)+IF(AND(V1436&gt;=20,V1436&lt;40,W1436&gt;=150),0.12,0)+IF(AND(V1436&gt;=40,V1436&lt;75,W1436&lt;35),0.23,0)+IF(AND(V1436&gt;=40,V1436&lt;75,W1436&gt;=35,W1436&lt;75),0.2,0)+IF(AND(V1436&gt;=40,V1436&lt;75,W1436&gt;=75,W1436&lt;120),0.17,0)+IF(AND(V1436&gt;=40,V1436&lt;75,W1436&gt;=120),0.12,0)+IF(AND(V1436&gt;=75,V1436&lt;175,W1436&lt;35),0.23,0)+IF(AND(V1436&gt;=75,V1436&lt;=175,W1436&gt;=35,W1436&lt;65),0.2,0)+IF(AND(V1436&gt;=75,V1436&lt;=175,W1436&gt;=65,W1436&lt;110),0.17,0)+IF(AND(V1436&gt;=75,V1436&lt;=175,W1436&gt;=110),0.12,0)+IF(AND(V1436&gt;175,W1436&lt;25),0.23,0)+IF(AND(V1436&gt;175,W1436&gt;=25,W1436&lt;55),0.2,0)+IF(AND(V1436&gt;175,W1436&gt;=55,W1436&lt;95),0.17,0)+IF(AND(V1436&gt;175,W1436&gt;=95),0.12,0),
IF(AF1436="DoEVs1",IF(AND(V1436&lt;20,W1436&lt;55),0.3,0)+IF(AND(V1436&lt;20,W1436&gt;=55,W1436&lt;105),0.23,0)+IF(AND(V1436&lt;20,W1436&gt;=105),0.17,0)+IF(AND(V1436&gt;=20,V1436&lt;40,W1436&lt;45),0.3,0)+IF(AND(V1436&gt;=20,V1436&lt;40,W1436&gt;=45,W1436&lt;95),0.23,0)+IF(AND(V1436&gt;=20,V1436&lt;40,W1436&gt;=95,W1436&lt;=150),0.17,0)+IF(AND(V1436&gt;=20,V1436&lt;40,W1436&gt;=150),0.12,0)+IF(AND(V1436&gt;=40,V1436&lt;75,W1436&lt;35),0.3,0)+IF(AND(V1436&gt;=40,V1436&lt;75,W1436&gt;=35,W1436&lt;75),0.23,0)+IF(AND(V1436&gt;=40,V1436&lt;75,W1436&gt;=75,W1436&lt;120),0.17,0)+IF(AND(V1436&gt;=40,V1436&lt;75,W1436&gt;=120),0.12,0)+IF(AND(V1436&gt;=75,V1436&lt;175,W1436&lt;35),0.3,0)+IF(AND(V1436&gt;=75,V1436&lt;=175,W1436&gt;=35,W1436&lt;65),0.23,0)+IF(AND(V1436&gt;=75,V1436&lt;=175,W1436&gt;=65,W1436&lt;110),0.17,0)+IF(AND(V1436&gt;=75,V1436&lt;=175,W1436&gt;=110),0.12,0)+IF(AND(V1436&gt;175,W1436&lt;25),0.3,0)+IF(AND(V1436&gt;175,W1436&gt;=25,W1436&lt;55),0.23,0)+IF(AND(V1436&gt;175,W1436&gt;=55,W1436&lt;95),0.17,0)+IF(AND(V1436&gt;175,W1436&gt;=95),0.12,0),
IF(AF1436="DoEVsu",IF(AND(V1436&lt;20,W1436&lt;55),0.3,0)+IF(AND(V1436&lt;20,W1436&gt;=55,W1436&lt;105),0.23,0)+IF(AND(V1436&lt;20,W1436&gt;=105),0.17,0)+IF(AND(V1436&gt;=20,V1436&lt;40,W1436&lt;45),0.3,0)+IF(AND(V1436&gt;=20,V1436&lt;40,W1436&gt;=45,W1436&lt;95),0.23,0)+IF(AND(V1436&gt;=20,V1436&lt;40,W1436&gt;=95,W1436&lt;=250),0.17,0)+IF(AND(V1436&gt;=20,V1436&lt;40,W1436&gt;=250),0.12,0)+IF(AND(V1436&gt;=40,V1436&lt;75,W1436&lt;35),0.3,0)+IF(AND(V1436&gt;=40,V1436&lt;75,W1436&gt;=35,W1436&lt;75),0.23,0)+IF(AND(V1436&gt;=40,V1436&lt;75,W1436&gt;=75,W1436&lt;120),0.17,0)+IF(AND(V1436&gt;=40,V1436&lt;75,W1436&gt;=120),0.12,0)+IF(AND(V1436&gt;=75,V1436&lt;175,W1436&lt;35),0.3,0)+IF(AND(V1436&gt;=75,V1436&lt;=175,W1436&gt;=35,W1436&lt;65),0.23,0)+IF(AND(V1436&gt;=75,V1436&lt;=175,W1436&gt;=65,W1436&lt;110),0.17,0)+IF(AND(V1436&gt;=75,V1436&lt;=175,W1436&gt;=110),0.12,0)+IF(AND(V1436&gt;175,W1436&lt;25),0.3,0)+IF(AND(V1436&gt;175,W1436&gt;=25,W1436&lt;55),0.23,0)+IF(AND(V1436&gt;175,W1436&gt;=55,W1436&lt;95),0.17,0)+IF(AND(V1436&gt;175,W1436&gt;=95),0.12,0),
IF(AF1436="DoEVni",IF(AND(V1436&lt;20,W1436&lt;55),0.3,0)+IF(AND(V1436&lt;20,W1436&gt;=55,W1436&lt;105),0.23,0)+IF(AND(V1436&lt;20,W1436&gt;=105),0.17,0)+IF(AND(V1436&gt;=20,V1436&lt;40,W1436&lt;45),0.3,0)+IF(AND(V1436&gt;=20,V1436&lt;40,W1436&gt;=45,W1436&lt;95),0.23,0)+IF(AND(V1436&gt;=20,V1436&lt;40,W1436&gt;=95,W1436&lt;=200),0.17,0)+IF(AND(V1436&gt;=20,V1436&lt;40,W1436&gt;=200),0.12,0)+IF(AND(V1436&gt;=40,V1436&lt;75,W1436&lt;35),0.3,0)+IF(AND(V1436&gt;=40,V1436&lt;75,W1436&gt;=35,W1436&lt;75),0.23,0)+IF(AND(V1436&gt;=40,V1436&lt;75,W1436&gt;=75,W1436&lt;120),0.17,0)+IF(AND(V1436&gt;=40,V1436&lt;75,W1436&gt;=120),0.12,0)+IF(AND(V1436&gt;=75,V1436&lt;175,W1436&lt;35),0.3,0)+IF(AND(V1436&gt;=75,V1436&lt;=175,W1436&gt;=35,W1436&lt;65),0.23,0)+IF(AND(V1436&gt;=75,V1436&lt;=175,W1436&gt;=65,W1436&lt;110),0.17,0)+IF(AND(V1436&gt;=75,V1436&lt;=175,W1436&gt;=110),0.12,0)+IF(AND(V1436&gt;175,W1436&lt;25),0.3,0)+IF(AND(V1436&gt;175,W1436&gt;=25,W1436&lt;55),0.23,0)+IF(AND(V1436&gt;175,W1436&gt;=55,W1436&lt;95),0.17,0)+IF(AND(V1436&gt;175,W1436&gt;=95),0.12,0),
IF(AF1436="DoEVLo",IF(AND(V1436&lt;20,W1436&lt;55),0.25,0)+IF(AND(V1436&lt;20,W1436&gt;=55,W1436&lt;105),0.2,0)+IF(AND(V1436&lt;20,W1436&gt;=105),0.15,0)+IF(AND(V1436&gt;=20,V1436&lt;40,W1436&lt;45),0.25,0)+IF(AND(V1436&gt;=20,V1436&lt;40,W1436&gt;=45,W1436&lt;95),0.2,0)+IF(AND(V1436&gt;=20,V1436&lt;40,W1436&gt;=95),0.15,0)+IF(AND(V1436&gt;=40,V1436&lt;75,W1436&lt;35),0.25,0)+IF(AND(V1436&gt;=40,V1436&lt;75,W1436&gt;=35,W1436&lt;75),0.2,0)+IF(AND(V1436&gt;=40,V1436&lt;75,W1436&gt;=75,W1436&lt;120),0.15,0)+IF(AND(V1436&gt;=40,V1436&lt;75,W1436&gt;=120),0.1,0)+IF(AND(V1436&gt;=75,V1436&lt;175,W1436&lt;35),0.25,0)+IF(AND(V1436&gt;=75,V1436&lt;=175,W1436&gt;=35,W1436&lt;65),0.2,0)+IF(AND(V1436&gt;=75,V1436&lt;=175,W1436&gt;=65,W1436&lt;110),0.15,0)+IF(AND(V1436&gt;=75,V1436&lt;=175,W1436&gt;=110),0.1,0)+IF(AND(V1436&gt;175,W1436&lt;25),0.25,0)+IF(AND(V1436&gt;175,W1436&gt;=25,W1436&lt;55),0.2,0)+IF(AND(V1436&gt;175,W1436&gt;=55,W1436&lt;95),0.15,0)+IF(AND(V1436&gt;175,W1436&gt;=95),0.1,0))))))))))))))))))))</f>
        <v>0.25</v>
      </c>
      <c r="Y1436" s="30">
        <f>IF(AG1436="None",0,IF(AG1436="Fix5",0.05, IF(AG1436="Fix6.25",0.0625,IF(AG1436="Fix3.75",0.0375, IF(AG1436="Fix11",0.11, IF(AG1436="Fix10",0.1,IF(AG1436="Fix3",0.03,0)))))))</f>
        <v>0</v>
      </c>
      <c r="Z1436" s="35">
        <f>IF(AND(AD1436="EUR", AE1436 = "USD"), T1436*U1436-AA1436-AB1436, T1436-AA1436-AB1436)</f>
        <v>7.5</v>
      </c>
      <c r="AA1436" s="29">
        <f>IF(AND(AD1436="EUR", F1436="Without EV deal", AE1436="USD"), (T1436*X1436)*U1436,
IF(AND(AD1436="EUR", F1436="Without EV deal", AE1436="EUR"), (T1436*X1436),
IF(AND(AD1436="EUR",AE1436="USD"), (T1436*X1436)*U1436,
T1436*X1436)))</f>
        <v>2.5</v>
      </c>
      <c r="AB1436" s="36">
        <f>IF(AND(AD1436="EUR", F1436="Without EV deal", AE1436="USD"), (T1436*Y1436)*U1436,
IF(AND(AD1436="EUR", F1436="Without EV deal", AE1436="EUR"), (T1436*Y1436),
IF(AND(AD1436="EUR",AE1436="USD"), (T1436*Y1436)*U1436,
T1436*Y1436)))</f>
        <v>0</v>
      </c>
      <c r="AC1436" s="37" t="b">
        <v>0</v>
      </c>
      <c r="AD1436" s="82" t="str">
        <f>IF(OR(H1436="€0.25 Flash",
H1436="€0.25(nitro) new",
H1436="€1",
H1436="€2",
H1436="€2 (bf 01.08)",
H1436="€5",
H1436="€5 (1M)",
H1436="€5 (bf 01.08)",
H1436="€5 (bf 05.05)",
H1436="€5 Nitro",
H1436="€5(wx) new",
H1436="€10",
H1436="€10 (1M)",
H1436="€10 (bf 01.08)",
H1436="€10 (bf 05.05)",
H1436="€10 (MP)",
H1436="€10 (old)",
H1436="€10 Nitro (bf 05.05)",
H1436="€10 Nitro (old)",
H1436="€10(wx) new",
H1436="€20",
H1436="€25",
H1436="€25 (bf 01.08)",
H1436="€25 (bf 05.05)",
H1436="€25 (MP)",
H1436="€25 (old)",
H1436="€25 Nitro",
H1436="€25 Nitro (bf 01.08)",
H1436="€25 Nitro (bf 05.05)",
H1436="€25(nitro) new",
H1436="€25(wx) new",
H1436="€50",
H1436="€50 (bf 01.08)",
H1436="€50 (bf 05.05)",
H1436="€50 (old)",
H1436="€50 Nitro",
H1436="€50 Nitro (bf 01.08)",
H1436="€50 Nitro (bf 05.05)",
H1436="€50(wx) new",
H1436="€100",
H1436="€100 (old)",
H1436="€100 Nitro",
H1436="€100 Nitro (old)",
H1436="€200",
H1436="€250",
H1436="€250 Nitro",
H1436="€500",
H1436="€500 Nitro"),"EUR", "USD")</f>
        <v>USD</v>
      </c>
      <c r="AE1436" s="83" t="s">
        <v>38</v>
      </c>
      <c r="AF1436" s="83" t="str">
        <f t="array" ref="AF1436">INDEX('Deal Info'!D:D, MATCH(A1436,'Deal Info'!A:A, 0))</f>
        <v>SF</v>
      </c>
      <c r="AG1436" s="84" t="str">
        <f t="array" ref="AG1436">INDEX('Deal Info'!G:G, MATCH(A1436,'Deal Info'!A:A, 0))</f>
        <v>None</v>
      </c>
    </row>
    <row r="1437" spans="1:33" ht="14.25" hidden="1" x14ac:dyDescent="0.2">
      <c r="A1437" s="18" t="str">
        <f t="array" ref="A1437">IF(G1437='Room Info'!$B$1, INDEX('Room Info'!$A$2:$A2446, MATCH(B1437,'Room Info'!$B$2:$B2446, 0)),IF(G1437='Room Info'!$C$1, INDEX('Room Info'!$A$2:$A2446, MATCH(B1437,'Room Info'!$C$2:$C2446, 0)),IF(G1437='Room Info'!$D$1, INDEX('Room Info'!$A$2:$A2446, MATCH(B1437,'Room Info'!$D$2:$D2446, 0)),IF(G1437='Room Info'!$E$1, INDEX('Room Info'!$A$2:$A2446, MATCH(B1437,'Room Info'!$E$2:$E2446, 0)),IF(G1437='Room Info'!$F$1, INDEX('Room Info'!$A$2:$A2446, MATCH(B1437,'Room Info'!$F$2:$F2446, 0)),IF(G1437='Room Info'!$H$1, INDEX('Room Info'!$A$2:$A2446, MATCH(B1437,'Room Info'!$H$2:$H2446, 0)),IF(G1437='Room Info'!$G$1, INDEX('Room Info'!$A$2:$A2446, MATCH(B1437,'Room Info'!$G$2:$G2446, 0)))))))))</f>
        <v>ekomlev98</v>
      </c>
      <c r="B1437" s="85" t="s">
        <v>163</v>
      </c>
      <c r="C1437" s="86">
        <v>44947</v>
      </c>
      <c r="D1437" s="87">
        <v>44977</v>
      </c>
      <c r="E1437" s="21">
        <v>44958</v>
      </c>
      <c r="F1437" s="22" t="s">
        <v>34</v>
      </c>
      <c r="G1437" s="18" t="s">
        <v>35</v>
      </c>
      <c r="H1437" s="23" t="s">
        <v>46</v>
      </c>
      <c r="I1437" s="23" t="s">
        <v>37</v>
      </c>
      <c r="J1437" s="39">
        <v>25</v>
      </c>
      <c r="K1437" s="88">
        <v>3241</v>
      </c>
      <c r="L1437" s="89">
        <v>5150</v>
      </c>
      <c r="M1437" s="42">
        <v>2475</v>
      </c>
      <c r="N1437" s="28">
        <f>K1437*J1437</f>
        <v>81025</v>
      </c>
      <c r="O1437" s="85">
        <v>103046</v>
      </c>
      <c r="P1437" s="29">
        <v>31.79450787</v>
      </c>
      <c r="Q1437" s="30"/>
      <c r="R1437" s="31">
        <f>M1437+Q1437</f>
        <v>2475</v>
      </c>
      <c r="S1437" s="119">
        <v>-433</v>
      </c>
      <c r="T1437" s="32">
        <f>IF(AND(AD1437="EUR", F1437="Without EV deal"), R1437 + L1437,
IF(AND(AD1437="USD", F1437="Without EV deal"), R1437 + L1437,
IF(AND(AD1437="EUR", F1437="Steel Phoenix"), R1437 + S1437/U1437,
R1437 + S1437)))</f>
        <v>2042</v>
      </c>
      <c r="U1437" s="33">
        <v>1.0669999999999999</v>
      </c>
      <c r="V1437" s="34">
        <v>25</v>
      </c>
      <c r="W1437" s="34">
        <v>81.680000000000007</v>
      </c>
      <c r="X1437" s="30">
        <f>IF(AF1437="DoEV",IF(AND(V1437&lt;20,W1437&lt;55),0.3,0)+IF(AND(V1437&lt;20,W1437&gt;=55,W1437&lt;105),0.23,0)+IF(AND(V1437&lt;20,W1437&gt;=105),0.17,0)+IF(AND(V1437&gt;=20,V1437&lt;40,W1437&lt;45),0.3,0)+IF(AND(V1437&gt;=20,V1437&lt;40,W1437&gt;=45,W1437&lt;95),0.23,0)+IF(AND(V1437&gt;=20,V1437&lt;40,W1437&gt;=95),0.17,0)+IF(AND(V1437&gt;=40,V1437&lt;75,W1437&lt;35),0.3,0)+IF(AND(V1437&gt;=40,V1437&lt;75,W1437&gt;=35,W1437&lt;75),0.23,0)+IF(AND(V1437&gt;=40,V1437&lt;75,W1437&gt;=75,W1437&lt;120),0.17,0)+IF(AND(V1437&gt;=40,V1437&lt;75,W1437&gt;=120),0.12,0)+IF(AND(V1437&gt;=75,V1437&lt;175,W1437&lt;35),0.3,0)+IF(AND(V1437&gt;=75,V1437&lt;=175,W1437&gt;=35,W1437&lt;65),0.23,0)+IF(AND(V1437&gt;=75,V1437&lt;=175,W1437&gt;=65,W1437&lt;110),0.17,0)+IF(AND(V1437&gt;=75,V1437&lt;=175,W1437&gt;=110),0.12,0)+IF(AND(V1437&gt;175,W1437&lt;25),0.3,0)+IF(AND(V1437&gt;175,W1437&gt;=25,W1437&lt;55),0.23,0)+IF(AND(V1437&gt;175,W1437&gt;=55,W1437&lt;95),0.17,0)+IF(AND(V1437&gt;175,W1437&gt;=95),0.12,0),
IF(AF1437="Fix15",0.15,
IF(AF1437="Fix5",0.05,
IF(AF1437="Fix18.75",0.1875,
IF(AF1437="Fix11.25",0.1125,
IF(AF1437="Fix10",0.1,
IF(AF1437="Fix9",0.09,
IF(AF1437="Fix12",0.12,
IF(AF1437="Fix19",0.19,
IF(AF1437="DoEV2017",IF(AND(W1437&lt;74),0.2,0)+IF(AND(W1437&gt;=74),0.17,0),
IF(AF1437="SF",IF(AND(V1437&lt;20,W1437&lt;89),0.3,0)+IF(AND(V1437&lt;20,W1437&gt;=89),0.25,0)+IF(AND(V1437&gt;=20,V1437&lt;40,W1437&lt;74),0.3,0)+IF(AND(V1437&gt;=20,V1437&lt;40,W1437&gt;=75),0.22,0)+IF(AND(V1437&gt;=40,V1437&lt;75,W1437&lt;75),0.26,0)+IF(AND(V1437&gt;=40,V1437&lt;75,W1437&gt;=75),0.22,0)+IF(V1437&gt;=75,0.22,0),
IF(AF1437="DoEVold",IF(AND(V1437&lt;40,W1437&lt;35),0.35,0)+IF(AND(V1437&lt;40,W1437&gt;=35,W1437&lt;75),0.25,0)+IF(AND(V1437&lt;40,W1437&gt;=75),0.17,0)+IF(AND(V1437&gt;=40,V1437&lt;75,W1437&lt;25),0.35,0)+IF(AND(V1437&gt;=40,V1437&lt;75,W1437&gt;=25,W1437&lt;65),0.25,0)+IF(AND(V1437&gt;=40,V1437&lt;75,W1437&gt;=65,W1437&lt;100),0.17,0)+IF(AND(V1437&gt;=40,V1437&lt;75,W1437&gt;=100),0.1,0)+IF(AND(V1437&gt;=75,W1437&lt;25),0.35,0)+IF(AND(V1437&gt;=75,W1437&gt;=25,W1437&lt;60),0.25,0)+IF(AND(V1437&gt;=75,W1437&gt;=60,W1437&lt;95),0.17,0)+IF(AND(V1437&gt;=75,W1437&gt;=95),0.1,0),
IF(AF1437="DoEVold15",IF(AND(V1437&lt;=40,W1437&lt;35),0.35,0)+IF(AND(V1437&lt;=40,W1437&gt;=35,W1437&lt;75),0.25,0)+IF(AND(V1437&lt;=40,W1437&gt;=75,W1437&lt;120),0.17,0)+IF(AND(V1437&lt;=40,W1437&gt;=120),0.15,0)+IF(AND(V1437&gt;40,V1437&lt;75,W1437&lt;25),0.35,0)+IF(AND(V1437&gt;=40,V1437&lt;75,W1437&gt;=25,W1437&lt;65),0.25,0)+IF(AND(V1437&gt;=40,V1437&lt;75,W1437&gt;=65,W1437&lt;100),0.17,0)+IF(AND(V1437&gt;=40,V1437&lt;75,W1437&gt;=100),0.1,0)+IF(AND(V1437&gt;=75,W1437&lt;25),0.35,0)+IF(AND(V1437&gt;=75,W1437&gt;=25,W1437&lt;60),0.25,0)+IF(AND(V1437&gt;=75,W1437&gt;=60,W1437&lt;95),0.17,0)+IF(AND(V1437&gt;=75,W1437&gt;=95),0.1,0),
IF(AF1437="DoEVba",IF(AND(V1437&lt;20,W1437&lt;105),0.2,0)+IF(AND(V1437&lt;20,W1437&gt;=105),0.15,0)+IF(AND(V1437&gt;=20,V1437&lt;40,W1437&lt;95),0.2,0)+IF(AND(V1437&gt;=20,V1437&lt;40,W1437&gt;=95,W1437&lt;150),0.15,0)+IF(AND(V1437&gt;=20,V1437&lt;40,W1437&gt;=150),0.12,0)+IF(AND(V1437&gt;=40,V1437&lt;75,W1437&lt;75),0.2,0)+IF(AND(V1437&gt;=40,V1437&lt;75,W1437&gt;=75,W1437&lt;120),0.15,0)+IF(AND(V1437&gt;=40,V1437&lt;75,W1437&gt;=120),0.12,0)+IF(AND(V1437&gt;=75,V1437&lt;175,W1437&lt;65),0.2,0)+IF(AND(V1437&gt;=75,V1437&lt;175,W1437&gt;=65,W1437&lt;110),0.15,0)+IF(AND(V1437&gt;=75,V1437&lt;175,W1437&gt;=110),0.12,0)+IF(AND(V1437&gt;=175,W1437&lt;55),0.2,0)+IF(AND(V1437&gt;=175,W1437&gt;=55,W1437&lt;95),0.15,0)+IF(AND(V1437&gt;=175,W1437&gt;=95),0.12,0),
IF(AF1437="DoEVku",IF(AND(V1437&lt;20,W1437&lt;55),0.23,0)+IF(AND(V1437&lt;20,W1437&gt;=55,W1437&lt;105),0.2,0)+IF(AND(V1437&lt;20,W1437&gt;=105),0.17,0)+IF(AND(V1437&gt;=20,V1437&lt;40,W1437&lt;45),0.23,0)+IF(AND(V1437&gt;=20,V1437&lt;40,W1437&gt;=45,W1437&lt;95),0.2,0)+IF(AND(V1437&gt;=20,V1437&lt;40,W1437&gt;=95,W1437&lt;=150),0.17,0)+IF(AND(V1437&gt;=20,V1437&lt;40,W1437&gt;=150),0.12,0)+IF(AND(V1437&gt;=40,V1437&lt;75,W1437&lt;35),0.23,0)+IF(AND(V1437&gt;=40,V1437&lt;75,W1437&gt;=35,W1437&lt;75),0.2,0)+IF(AND(V1437&gt;=40,V1437&lt;75,W1437&gt;=75,W1437&lt;120),0.17,0)+IF(AND(V1437&gt;=40,V1437&lt;75,W1437&gt;=120),0.12,0)+IF(AND(V1437&gt;=75,V1437&lt;175,W1437&lt;35),0.23,0)+IF(AND(V1437&gt;=75,V1437&lt;=175,W1437&gt;=35,W1437&lt;65),0.2,0)+IF(AND(V1437&gt;=75,V1437&lt;=175,W1437&gt;=65,W1437&lt;110),0.17,0)+IF(AND(V1437&gt;=75,V1437&lt;=175,W1437&gt;=110),0.12,0)+IF(AND(V1437&gt;175,W1437&lt;25),0.23,0)+IF(AND(V1437&gt;175,W1437&gt;=25,W1437&lt;55),0.2,0)+IF(AND(V1437&gt;175,W1437&gt;=55,W1437&lt;95),0.17,0)+IF(AND(V1437&gt;175,W1437&gt;=95),0.12,0),
IF(AF1437="DoEVs1",IF(AND(V1437&lt;20,W1437&lt;55),0.3,0)+IF(AND(V1437&lt;20,W1437&gt;=55,W1437&lt;105),0.23,0)+IF(AND(V1437&lt;20,W1437&gt;=105),0.17,0)+IF(AND(V1437&gt;=20,V1437&lt;40,W1437&lt;45),0.3,0)+IF(AND(V1437&gt;=20,V1437&lt;40,W1437&gt;=45,W1437&lt;95),0.23,0)+IF(AND(V1437&gt;=20,V1437&lt;40,W1437&gt;=95,W1437&lt;=150),0.17,0)+IF(AND(V1437&gt;=20,V1437&lt;40,W1437&gt;=150),0.12,0)+IF(AND(V1437&gt;=40,V1437&lt;75,W1437&lt;35),0.3,0)+IF(AND(V1437&gt;=40,V1437&lt;75,W1437&gt;=35,W1437&lt;75),0.23,0)+IF(AND(V1437&gt;=40,V1437&lt;75,W1437&gt;=75,W1437&lt;120),0.17,0)+IF(AND(V1437&gt;=40,V1437&lt;75,W1437&gt;=120),0.12,0)+IF(AND(V1437&gt;=75,V1437&lt;175,W1437&lt;35),0.3,0)+IF(AND(V1437&gt;=75,V1437&lt;=175,W1437&gt;=35,W1437&lt;65),0.23,0)+IF(AND(V1437&gt;=75,V1437&lt;=175,W1437&gt;=65,W1437&lt;110),0.17,0)+IF(AND(V1437&gt;=75,V1437&lt;=175,W1437&gt;=110),0.12,0)+IF(AND(V1437&gt;175,W1437&lt;25),0.3,0)+IF(AND(V1437&gt;175,W1437&gt;=25,W1437&lt;55),0.23,0)+IF(AND(V1437&gt;175,W1437&gt;=55,W1437&lt;95),0.17,0)+IF(AND(V1437&gt;175,W1437&gt;=95),0.12,0),
IF(AF1437="DoEVsu",IF(AND(V1437&lt;20,W1437&lt;55),0.3,0)+IF(AND(V1437&lt;20,W1437&gt;=55,W1437&lt;105),0.23,0)+IF(AND(V1437&lt;20,W1437&gt;=105),0.17,0)+IF(AND(V1437&gt;=20,V1437&lt;40,W1437&lt;45),0.3,0)+IF(AND(V1437&gt;=20,V1437&lt;40,W1437&gt;=45,W1437&lt;95),0.23,0)+IF(AND(V1437&gt;=20,V1437&lt;40,W1437&gt;=95,W1437&lt;=250),0.17,0)+IF(AND(V1437&gt;=20,V1437&lt;40,W1437&gt;=250),0.12,0)+IF(AND(V1437&gt;=40,V1437&lt;75,W1437&lt;35),0.3,0)+IF(AND(V1437&gt;=40,V1437&lt;75,W1437&gt;=35,W1437&lt;75),0.23,0)+IF(AND(V1437&gt;=40,V1437&lt;75,W1437&gt;=75,W1437&lt;120),0.17,0)+IF(AND(V1437&gt;=40,V1437&lt;75,W1437&gt;=120),0.12,0)+IF(AND(V1437&gt;=75,V1437&lt;175,W1437&lt;35),0.3,0)+IF(AND(V1437&gt;=75,V1437&lt;=175,W1437&gt;=35,W1437&lt;65),0.23,0)+IF(AND(V1437&gt;=75,V1437&lt;=175,W1437&gt;=65,W1437&lt;110),0.17,0)+IF(AND(V1437&gt;=75,V1437&lt;=175,W1437&gt;=110),0.12,0)+IF(AND(V1437&gt;175,W1437&lt;25),0.3,0)+IF(AND(V1437&gt;175,W1437&gt;=25,W1437&lt;55),0.23,0)+IF(AND(V1437&gt;175,W1437&gt;=55,W1437&lt;95),0.17,0)+IF(AND(V1437&gt;175,W1437&gt;=95),0.12,0),
IF(AF1437="DoEVni",IF(AND(V1437&lt;20,W1437&lt;55),0.3,0)+IF(AND(V1437&lt;20,W1437&gt;=55,W1437&lt;105),0.23,0)+IF(AND(V1437&lt;20,W1437&gt;=105),0.17,0)+IF(AND(V1437&gt;=20,V1437&lt;40,W1437&lt;45),0.3,0)+IF(AND(V1437&gt;=20,V1437&lt;40,W1437&gt;=45,W1437&lt;95),0.23,0)+IF(AND(V1437&gt;=20,V1437&lt;40,W1437&gt;=95,W1437&lt;=200),0.17,0)+IF(AND(V1437&gt;=20,V1437&lt;40,W1437&gt;=200),0.12,0)+IF(AND(V1437&gt;=40,V1437&lt;75,W1437&lt;35),0.3,0)+IF(AND(V1437&gt;=40,V1437&lt;75,W1437&gt;=35,W1437&lt;75),0.23,0)+IF(AND(V1437&gt;=40,V1437&lt;75,W1437&gt;=75,W1437&lt;120),0.17,0)+IF(AND(V1437&gt;=40,V1437&lt;75,W1437&gt;=120),0.12,0)+IF(AND(V1437&gt;=75,V1437&lt;175,W1437&lt;35),0.3,0)+IF(AND(V1437&gt;=75,V1437&lt;=175,W1437&gt;=35,W1437&lt;65),0.23,0)+IF(AND(V1437&gt;=75,V1437&lt;=175,W1437&gt;=65,W1437&lt;110),0.17,0)+IF(AND(V1437&gt;=75,V1437&lt;=175,W1437&gt;=110),0.12,0)+IF(AND(V1437&gt;175,W1437&lt;25),0.3,0)+IF(AND(V1437&gt;175,W1437&gt;=25,W1437&lt;55),0.23,0)+IF(AND(V1437&gt;175,W1437&gt;=55,W1437&lt;95),0.17,0)+IF(AND(V1437&gt;175,W1437&gt;=95),0.12,0),
IF(AF1437="DoEVLo",IF(AND(V1437&lt;20,W1437&lt;55),0.25,0)+IF(AND(V1437&lt;20,W1437&gt;=55,W1437&lt;105),0.2,0)+IF(AND(V1437&lt;20,W1437&gt;=105),0.15,0)+IF(AND(V1437&gt;=20,V1437&lt;40,W1437&lt;45),0.25,0)+IF(AND(V1437&gt;=20,V1437&lt;40,W1437&gt;=45,W1437&lt;95),0.2,0)+IF(AND(V1437&gt;=20,V1437&lt;40,W1437&gt;=95),0.15,0)+IF(AND(V1437&gt;=40,V1437&lt;75,W1437&lt;35),0.25,0)+IF(AND(V1437&gt;=40,V1437&lt;75,W1437&gt;=35,W1437&lt;75),0.2,0)+IF(AND(V1437&gt;=40,V1437&lt;75,W1437&gt;=75,W1437&lt;120),0.15,0)+IF(AND(V1437&gt;=40,V1437&lt;75,W1437&gt;=120),0.1,0)+IF(AND(V1437&gt;=75,V1437&lt;175,W1437&lt;35),0.25,0)+IF(AND(V1437&gt;=75,V1437&lt;=175,W1437&gt;=35,W1437&lt;65),0.2,0)+IF(AND(V1437&gt;=75,V1437&lt;=175,W1437&gt;=65,W1437&lt;110),0.15,0)+IF(AND(V1437&gt;=75,V1437&lt;=175,W1437&gt;=110),0.1,0)+IF(AND(V1437&gt;175,W1437&lt;25),0.25,0)+IF(AND(V1437&gt;175,W1437&gt;=25,W1437&lt;55),0.2,0)+IF(AND(V1437&gt;175,W1437&gt;=55,W1437&lt;95),0.15,0)+IF(AND(V1437&gt;175,W1437&gt;=95),0.1,0))))))))))))))))))))</f>
        <v>0.22</v>
      </c>
      <c r="Y1437" s="30">
        <f>IF(AG1437="None",0,IF(AG1437="Fix5",0.05, IF(AG1437="Fix6.25",0.0625,IF(AG1437="Fix3.75",0.0375, IF(AG1437="Fix11",0.11, IF(AG1437="Fix10",0.1,IF(AG1437="Fix3",0.03,0)))))))</f>
        <v>0</v>
      </c>
      <c r="Z1437" s="35">
        <f>IF(AND(AD1437="EUR", AE1437 = "USD"), T1437*U1437-AA1437-AB1437, T1437-AA1437-AB1437)</f>
        <v>1592.76</v>
      </c>
      <c r="AA1437" s="29">
        <f>IF(AND(AD1437="EUR", F1437="Without EV deal", AE1437="USD"), (T1437*X1437)*U1437,
IF(AND(AD1437="EUR", F1437="Without EV deal", AE1437="EUR"), (T1437*X1437),
IF(AND(AD1437="EUR",AE1437="USD"), (T1437*X1437)*U1437,
T1437*X1437)))</f>
        <v>449.24</v>
      </c>
      <c r="AB1437" s="36">
        <f>IF(AND(AD1437="EUR", F1437="Without EV deal", AE1437="USD"), (T1437*Y1437)*U1437,
IF(AND(AD1437="EUR", F1437="Without EV deal", AE1437="EUR"), (T1437*Y1437),
IF(AND(AD1437="EUR",AE1437="USD"), (T1437*Y1437)*U1437,
T1437*Y1437)))</f>
        <v>0</v>
      </c>
      <c r="AC1437" s="37" t="b">
        <v>1</v>
      </c>
      <c r="AD1437" s="82" t="str">
        <f>IF(OR(H1437="€0.25 Flash",
H1437="€0.25(nitro) new",
H1437="€1",
H1437="€2",
H1437="€2 (bf 01.08)",
H1437="€5",
H1437="€5 (1M)",
H1437="€5 (bf 01.08)",
H1437="€5 (bf 05.05)",
H1437="€5 Nitro",
H1437="€5(wx) new",
H1437="€10",
H1437="€10 (1M)",
H1437="€10 (bf 01.08)",
H1437="€10 (bf 05.05)",
H1437="€10 (MP)",
H1437="€10 (old)",
H1437="€10 Nitro (bf 05.05)",
H1437="€10 Nitro (old)",
H1437="€10(wx) new",
H1437="€20",
H1437="€25",
H1437="€25 (bf 01.08)",
H1437="€25 (bf 05.05)",
H1437="€25 (MP)",
H1437="€25 (old)",
H1437="€25 Nitro",
H1437="€25 Nitro (bf 01.08)",
H1437="€25 Nitro (bf 05.05)",
H1437="€25(nitro) new",
H1437="€25(wx) new",
H1437="€50",
H1437="€50 (bf 01.08)",
H1437="€50 (bf 05.05)",
H1437="€50 (old)",
H1437="€50 Nitro",
H1437="€50 Nitro (bf 01.08)",
H1437="€50 Nitro (bf 05.05)",
H1437="€50(wx) new",
H1437="€100",
H1437="€100 (old)",
H1437="€100 Nitro",
H1437="€100 Nitro (old)",
H1437="€200",
H1437="€250",
H1437="€250 Nitro",
H1437="€500",
H1437="€500 Nitro"),"EUR", "USD")</f>
        <v>USD</v>
      </c>
      <c r="AE1437" s="83" t="s">
        <v>38</v>
      </c>
      <c r="AF1437" s="83" t="str">
        <f t="array" ref="AF1437">INDEX('Deal Info'!D:D, MATCH(A1437,'Deal Info'!A:A, 0))</f>
        <v>SF</v>
      </c>
      <c r="AG1437" s="84" t="str">
        <f t="array" ref="AG1437">INDEX('Deal Info'!G:G, MATCH(A1437,'Deal Info'!A:A, 0))</f>
        <v>None</v>
      </c>
    </row>
    <row r="1438" spans="1:33" ht="14.25" hidden="1" x14ac:dyDescent="0.2">
      <c r="A1438" s="18" t="str">
        <f t="array" ref="A1438">IF(G1438='Room Info'!$B$1, INDEX('Room Info'!$A$2:$A2446, MATCH(B1438,'Room Info'!$B$2:$B2446, 0)),IF(G1438='Room Info'!$C$1, INDEX('Room Info'!$A$2:$A2446, MATCH(B1438,'Room Info'!$C$2:$C2446, 0)),IF(G1438='Room Info'!$D$1, INDEX('Room Info'!$A$2:$A2446, MATCH(B1438,'Room Info'!$D$2:$D2446, 0)),IF(G1438='Room Info'!$E$1, INDEX('Room Info'!$A$2:$A2446, MATCH(B1438,'Room Info'!$E$2:$E2446, 0)),IF(G1438='Room Info'!$F$1, INDEX('Room Info'!$A$2:$A2446, MATCH(B1438,'Room Info'!$F$2:$F2446, 0)),IF(G1438='Room Info'!$H$1, INDEX('Room Info'!$A$2:$A2446, MATCH(B1438,'Room Info'!$H$2:$H2446, 0)),IF(G1438='Room Info'!$G$1, INDEX('Room Info'!$A$2:$A2446, MATCH(B1438,'Room Info'!$G$2:$G2446, 0)))))))))</f>
        <v>SDEBA1</v>
      </c>
      <c r="B1438" s="85" t="s">
        <v>114</v>
      </c>
      <c r="C1438" s="86">
        <v>44947</v>
      </c>
      <c r="D1438" s="87">
        <v>44977</v>
      </c>
      <c r="E1438" s="21">
        <v>44958</v>
      </c>
      <c r="F1438" s="22" t="s">
        <v>34</v>
      </c>
      <c r="G1438" s="18" t="s">
        <v>35</v>
      </c>
      <c r="H1438" s="23" t="s">
        <v>217</v>
      </c>
      <c r="I1438" s="23" t="s">
        <v>44</v>
      </c>
      <c r="J1438" s="39">
        <v>5</v>
      </c>
      <c r="K1438" s="88">
        <v>2232</v>
      </c>
      <c r="L1438" s="89">
        <v>-185</v>
      </c>
      <c r="M1438" s="42">
        <v>2070</v>
      </c>
      <c r="N1438" s="28">
        <f>K1438*J1438</f>
        <v>11160</v>
      </c>
      <c r="O1438" s="85">
        <v>36964</v>
      </c>
      <c r="P1438" s="29">
        <v>16.5609319</v>
      </c>
      <c r="Q1438" s="30"/>
      <c r="R1438" s="31">
        <f>M1438+Q1438</f>
        <v>2070</v>
      </c>
      <c r="S1438" s="119">
        <v>-1708</v>
      </c>
      <c r="T1438" s="32">
        <f>IF(AND(AD1438="EUR", F1438="Without EV deal"), R1438 + L1438,
IF(AND(AD1438="USD", F1438="Without EV deal"), R1438 + L1438,
IF(AND(AD1438="EUR", F1438="Steel Phoenix"), R1438 + S1438/U1438,
R1438 + S1438)))</f>
        <v>362</v>
      </c>
      <c r="U1438" s="33">
        <v>1.0669999999999999</v>
      </c>
      <c r="V1438" s="34">
        <v>8.8680780440414502</v>
      </c>
      <c r="W1438" s="58">
        <v>75</v>
      </c>
      <c r="X1438" s="30">
        <f>IF(AF1438="DoEV",IF(AND(V1438&lt;20,W1438&lt;55),0.3,0)+IF(AND(V1438&lt;20,W1438&gt;=55,W1438&lt;105),0.23,0)+IF(AND(V1438&lt;20,W1438&gt;=105),0.17,0)+IF(AND(V1438&gt;=20,V1438&lt;40,W1438&lt;45),0.3,0)+IF(AND(V1438&gt;=20,V1438&lt;40,W1438&gt;=45,W1438&lt;95),0.23,0)+IF(AND(V1438&gt;=20,V1438&lt;40,W1438&gt;=95),0.17,0)+IF(AND(V1438&gt;=40,V1438&lt;75,W1438&lt;35),0.3,0)+IF(AND(V1438&gt;=40,V1438&lt;75,W1438&gt;=35,W1438&lt;75),0.23,0)+IF(AND(V1438&gt;=40,V1438&lt;75,W1438&gt;=75,W1438&lt;120),0.17,0)+IF(AND(V1438&gt;=40,V1438&lt;75,W1438&gt;=120),0.12,0)+IF(AND(V1438&gt;=75,V1438&lt;175,W1438&lt;35),0.3,0)+IF(AND(V1438&gt;=75,V1438&lt;=175,W1438&gt;=35,W1438&lt;65),0.23,0)+IF(AND(V1438&gt;=75,V1438&lt;=175,W1438&gt;=65,W1438&lt;110),0.17,0)+IF(AND(V1438&gt;=75,V1438&lt;=175,W1438&gt;=110),0.12,0)+IF(AND(V1438&gt;175,W1438&lt;25),0.3,0)+IF(AND(V1438&gt;175,W1438&gt;=25,W1438&lt;55),0.23,0)+IF(AND(V1438&gt;175,W1438&gt;=55,W1438&lt;95),0.17,0)+IF(AND(V1438&gt;175,W1438&gt;=95),0.12,0),
IF(AF1438="Fix15",0.15,
IF(AF1438="Fix5",0.05,
IF(AF1438="Fix18.75",0.1875,
IF(AF1438="Fix11.25",0.1125,
IF(AF1438="Fix10",0.1,
IF(AF1438="Fix9",0.09,
IF(AF1438="Fix12",0.12,
IF(AF1438="Fix19",0.19,
IF(AF1438="DoEV2017",IF(AND(W1438&lt;74),0.2,0)+IF(AND(W1438&gt;=74),0.17,0),
IF(AF1438="SF",IF(AND(V1438&lt;20,W1438&lt;89),0.3,0)+IF(AND(V1438&lt;20,W1438&gt;=89),0.25,0)+IF(AND(V1438&gt;=20,V1438&lt;40,W1438&lt;74),0.3,0)+IF(AND(V1438&gt;=20,V1438&lt;40,W1438&gt;=75),0.22,0)+IF(AND(V1438&gt;=40,V1438&lt;75,W1438&lt;75),0.26,0)+IF(AND(V1438&gt;=40,V1438&lt;75,W1438&gt;=75),0.22,0)+IF(V1438&gt;=75,0.22,0),
IF(AF1438="DoEVold",IF(AND(V1438&lt;40,W1438&lt;35),0.35,0)+IF(AND(V1438&lt;40,W1438&gt;=35,W1438&lt;75),0.25,0)+IF(AND(V1438&lt;40,W1438&gt;=75),0.17,0)+IF(AND(V1438&gt;=40,V1438&lt;75,W1438&lt;25),0.35,0)+IF(AND(V1438&gt;=40,V1438&lt;75,W1438&gt;=25,W1438&lt;65),0.25,0)+IF(AND(V1438&gt;=40,V1438&lt;75,W1438&gt;=65,W1438&lt;100),0.17,0)+IF(AND(V1438&gt;=40,V1438&lt;75,W1438&gt;=100),0.1,0)+IF(AND(V1438&gt;=75,W1438&lt;25),0.35,0)+IF(AND(V1438&gt;=75,W1438&gt;=25,W1438&lt;60),0.25,0)+IF(AND(V1438&gt;=75,W1438&gt;=60,W1438&lt;95),0.17,0)+IF(AND(V1438&gt;=75,W1438&gt;=95),0.1,0),
IF(AF1438="DoEVold15",IF(AND(V1438&lt;=40,W1438&lt;35),0.35,0)+IF(AND(V1438&lt;=40,W1438&gt;=35,W1438&lt;75),0.25,0)+IF(AND(V1438&lt;=40,W1438&gt;=75,W1438&lt;120),0.17,0)+IF(AND(V1438&lt;=40,W1438&gt;=120),0.15,0)+IF(AND(V1438&gt;40,V1438&lt;75,W1438&lt;25),0.35,0)+IF(AND(V1438&gt;=40,V1438&lt;75,W1438&gt;=25,W1438&lt;65),0.25,0)+IF(AND(V1438&gt;=40,V1438&lt;75,W1438&gt;=65,W1438&lt;100),0.17,0)+IF(AND(V1438&gt;=40,V1438&lt;75,W1438&gt;=100),0.1,0)+IF(AND(V1438&gt;=75,W1438&lt;25),0.35,0)+IF(AND(V1438&gt;=75,W1438&gt;=25,W1438&lt;60),0.25,0)+IF(AND(V1438&gt;=75,W1438&gt;=60,W1438&lt;95),0.17,0)+IF(AND(V1438&gt;=75,W1438&gt;=95),0.1,0),
IF(AF1438="DoEVba",IF(AND(V1438&lt;20,W1438&lt;105),0.2,0)+IF(AND(V1438&lt;20,W1438&gt;=105),0.15,0)+IF(AND(V1438&gt;=20,V1438&lt;40,W1438&lt;95),0.2,0)+IF(AND(V1438&gt;=20,V1438&lt;40,W1438&gt;=95,W1438&lt;150),0.15,0)+IF(AND(V1438&gt;=20,V1438&lt;40,W1438&gt;=150),0.12,0)+IF(AND(V1438&gt;=40,V1438&lt;75,W1438&lt;75),0.2,0)+IF(AND(V1438&gt;=40,V1438&lt;75,W1438&gt;=75,W1438&lt;120),0.15,0)+IF(AND(V1438&gt;=40,V1438&lt;75,W1438&gt;=120),0.12,0)+IF(AND(V1438&gt;=75,V1438&lt;175,W1438&lt;65),0.2,0)+IF(AND(V1438&gt;=75,V1438&lt;175,W1438&gt;=65,W1438&lt;110),0.15,0)+IF(AND(V1438&gt;=75,V1438&lt;175,W1438&gt;=110),0.12,0)+IF(AND(V1438&gt;=175,W1438&lt;55),0.2,0)+IF(AND(V1438&gt;=175,W1438&gt;=55,W1438&lt;95),0.15,0)+IF(AND(V1438&gt;=175,W1438&gt;=95),0.12,0),
IF(AF1438="DoEVku",IF(AND(V1438&lt;20,W1438&lt;55),0.23,0)+IF(AND(V1438&lt;20,W1438&gt;=55,W1438&lt;105),0.2,0)+IF(AND(V1438&lt;20,W1438&gt;=105),0.17,0)+IF(AND(V1438&gt;=20,V1438&lt;40,W1438&lt;45),0.23,0)+IF(AND(V1438&gt;=20,V1438&lt;40,W1438&gt;=45,W1438&lt;95),0.2,0)+IF(AND(V1438&gt;=20,V1438&lt;40,W1438&gt;=95,W1438&lt;=150),0.17,0)+IF(AND(V1438&gt;=20,V1438&lt;40,W1438&gt;=150),0.12,0)+IF(AND(V1438&gt;=40,V1438&lt;75,W1438&lt;35),0.23,0)+IF(AND(V1438&gt;=40,V1438&lt;75,W1438&gt;=35,W1438&lt;75),0.2,0)+IF(AND(V1438&gt;=40,V1438&lt;75,W1438&gt;=75,W1438&lt;120),0.17,0)+IF(AND(V1438&gt;=40,V1438&lt;75,W1438&gt;=120),0.12,0)+IF(AND(V1438&gt;=75,V1438&lt;175,W1438&lt;35),0.23,0)+IF(AND(V1438&gt;=75,V1438&lt;=175,W1438&gt;=35,W1438&lt;65),0.2,0)+IF(AND(V1438&gt;=75,V1438&lt;=175,W1438&gt;=65,W1438&lt;110),0.17,0)+IF(AND(V1438&gt;=75,V1438&lt;=175,W1438&gt;=110),0.12,0)+IF(AND(V1438&gt;175,W1438&lt;25),0.23,0)+IF(AND(V1438&gt;175,W1438&gt;=25,W1438&lt;55),0.2,0)+IF(AND(V1438&gt;175,W1438&gt;=55,W1438&lt;95),0.17,0)+IF(AND(V1438&gt;175,W1438&gt;=95),0.12,0),
IF(AF1438="DoEVs1",IF(AND(V1438&lt;20,W1438&lt;55),0.3,0)+IF(AND(V1438&lt;20,W1438&gt;=55,W1438&lt;105),0.23,0)+IF(AND(V1438&lt;20,W1438&gt;=105),0.17,0)+IF(AND(V1438&gt;=20,V1438&lt;40,W1438&lt;45),0.3,0)+IF(AND(V1438&gt;=20,V1438&lt;40,W1438&gt;=45,W1438&lt;95),0.23,0)+IF(AND(V1438&gt;=20,V1438&lt;40,W1438&gt;=95,W1438&lt;=150),0.17,0)+IF(AND(V1438&gt;=20,V1438&lt;40,W1438&gt;=150),0.12,0)+IF(AND(V1438&gt;=40,V1438&lt;75,W1438&lt;35),0.3,0)+IF(AND(V1438&gt;=40,V1438&lt;75,W1438&gt;=35,W1438&lt;75),0.23,0)+IF(AND(V1438&gt;=40,V1438&lt;75,W1438&gt;=75,W1438&lt;120),0.17,0)+IF(AND(V1438&gt;=40,V1438&lt;75,W1438&gt;=120),0.12,0)+IF(AND(V1438&gt;=75,V1438&lt;175,W1438&lt;35),0.3,0)+IF(AND(V1438&gt;=75,V1438&lt;=175,W1438&gt;=35,W1438&lt;65),0.23,0)+IF(AND(V1438&gt;=75,V1438&lt;=175,W1438&gt;=65,W1438&lt;110),0.17,0)+IF(AND(V1438&gt;=75,V1438&lt;=175,W1438&gt;=110),0.12,0)+IF(AND(V1438&gt;175,W1438&lt;25),0.3,0)+IF(AND(V1438&gt;175,W1438&gt;=25,W1438&lt;55),0.23,0)+IF(AND(V1438&gt;175,W1438&gt;=55,W1438&lt;95),0.17,0)+IF(AND(V1438&gt;175,W1438&gt;=95),0.12,0),
IF(AF1438="DoEVsu",IF(AND(V1438&lt;20,W1438&lt;55),0.3,0)+IF(AND(V1438&lt;20,W1438&gt;=55,W1438&lt;105),0.23,0)+IF(AND(V1438&lt;20,W1438&gt;=105),0.17,0)+IF(AND(V1438&gt;=20,V1438&lt;40,W1438&lt;45),0.3,0)+IF(AND(V1438&gt;=20,V1438&lt;40,W1438&gt;=45,W1438&lt;95),0.23,0)+IF(AND(V1438&gt;=20,V1438&lt;40,W1438&gt;=95,W1438&lt;=250),0.17,0)+IF(AND(V1438&gt;=20,V1438&lt;40,W1438&gt;=250),0.12,0)+IF(AND(V1438&gt;=40,V1438&lt;75,W1438&lt;35),0.3,0)+IF(AND(V1438&gt;=40,V1438&lt;75,W1438&gt;=35,W1438&lt;75),0.23,0)+IF(AND(V1438&gt;=40,V1438&lt;75,W1438&gt;=75,W1438&lt;120),0.17,0)+IF(AND(V1438&gt;=40,V1438&lt;75,W1438&gt;=120),0.12,0)+IF(AND(V1438&gt;=75,V1438&lt;175,W1438&lt;35),0.3,0)+IF(AND(V1438&gt;=75,V1438&lt;=175,W1438&gt;=35,W1438&lt;65),0.23,0)+IF(AND(V1438&gt;=75,V1438&lt;=175,W1438&gt;=65,W1438&lt;110),0.17,0)+IF(AND(V1438&gt;=75,V1438&lt;=175,W1438&gt;=110),0.12,0)+IF(AND(V1438&gt;175,W1438&lt;25),0.3,0)+IF(AND(V1438&gt;175,W1438&gt;=25,W1438&lt;55),0.23,0)+IF(AND(V1438&gt;175,W1438&gt;=55,W1438&lt;95),0.17,0)+IF(AND(V1438&gt;175,W1438&gt;=95),0.12,0),
IF(AF1438="DoEVni",IF(AND(V1438&lt;20,W1438&lt;55),0.3,0)+IF(AND(V1438&lt;20,W1438&gt;=55,W1438&lt;105),0.23,0)+IF(AND(V1438&lt;20,W1438&gt;=105),0.17,0)+IF(AND(V1438&gt;=20,V1438&lt;40,W1438&lt;45),0.3,0)+IF(AND(V1438&gt;=20,V1438&lt;40,W1438&gt;=45,W1438&lt;95),0.23,0)+IF(AND(V1438&gt;=20,V1438&lt;40,W1438&gt;=95,W1438&lt;=200),0.17,0)+IF(AND(V1438&gt;=20,V1438&lt;40,W1438&gt;=200),0.12,0)+IF(AND(V1438&gt;=40,V1438&lt;75,W1438&lt;35),0.3,0)+IF(AND(V1438&gt;=40,V1438&lt;75,W1438&gt;=35,W1438&lt;75),0.23,0)+IF(AND(V1438&gt;=40,V1438&lt;75,W1438&gt;=75,W1438&lt;120),0.17,0)+IF(AND(V1438&gt;=40,V1438&lt;75,W1438&gt;=120),0.12,0)+IF(AND(V1438&gt;=75,V1438&lt;175,W1438&lt;35),0.3,0)+IF(AND(V1438&gt;=75,V1438&lt;=175,W1438&gt;=35,W1438&lt;65),0.23,0)+IF(AND(V1438&gt;=75,V1438&lt;=175,W1438&gt;=65,W1438&lt;110),0.17,0)+IF(AND(V1438&gt;=75,V1438&lt;=175,W1438&gt;=110),0.12,0)+IF(AND(V1438&gt;175,W1438&lt;25),0.3,0)+IF(AND(V1438&gt;175,W1438&gt;=25,W1438&lt;55),0.23,0)+IF(AND(V1438&gt;175,W1438&gt;=55,W1438&lt;95),0.17,0)+IF(AND(V1438&gt;175,W1438&gt;=95),0.12,0),
IF(AF1438="DoEVLo",IF(AND(V1438&lt;20,W1438&lt;55),0.25,0)+IF(AND(V1438&lt;20,W1438&gt;=55,W1438&lt;105),0.2,0)+IF(AND(V1438&lt;20,W1438&gt;=105),0.15,0)+IF(AND(V1438&gt;=20,V1438&lt;40,W1438&lt;45),0.25,0)+IF(AND(V1438&gt;=20,V1438&lt;40,W1438&gt;=45,W1438&lt;95),0.2,0)+IF(AND(V1438&gt;=20,V1438&lt;40,W1438&gt;=95),0.15,0)+IF(AND(V1438&gt;=40,V1438&lt;75,W1438&lt;35),0.25,0)+IF(AND(V1438&gt;=40,V1438&lt;75,W1438&gt;=35,W1438&lt;75),0.2,0)+IF(AND(V1438&gt;=40,V1438&lt;75,W1438&gt;=75,W1438&lt;120),0.15,0)+IF(AND(V1438&gt;=40,V1438&lt;75,W1438&gt;=120),0.1,0)+IF(AND(V1438&gt;=75,V1438&lt;175,W1438&lt;35),0.25,0)+IF(AND(V1438&gt;=75,V1438&lt;=175,W1438&gt;=35,W1438&lt;65),0.2,0)+IF(AND(V1438&gt;=75,V1438&lt;=175,W1438&gt;=65,W1438&lt;110),0.15,0)+IF(AND(V1438&gt;=75,V1438&lt;=175,W1438&gt;=110),0.1,0)+IF(AND(V1438&gt;175,W1438&lt;25),0.25,0)+IF(AND(V1438&gt;175,W1438&gt;=25,W1438&lt;55),0.2,0)+IF(AND(V1438&gt;175,W1438&gt;=55,W1438&lt;95),0.15,0)+IF(AND(V1438&gt;175,W1438&gt;=95),0.1,0))))))))))))))))))))</f>
        <v>0.23</v>
      </c>
      <c r="Y1438" s="30">
        <f>IF(AG1438="None",0,IF(AG1438="Fix5",0.05, IF(AG1438="Fix6.25",0.0625,IF(AG1438="Fix3.75",0.0375, IF(AG1438="Fix11",0.11, IF(AG1438="Fix10",0.1,IF(AG1438="Fix3",0.03,0)))))))</f>
        <v>0</v>
      </c>
      <c r="Z1438" s="35">
        <f>IF(AND(AD1438="EUR", AE1438 = "USD"), T1438*U1438-AA1438-AB1438, T1438-AA1438-AB1438)</f>
        <v>278.74</v>
      </c>
      <c r="AA1438" s="29">
        <f>IF(AND(AD1438="EUR", F1438="Without EV deal", AE1438="USD"), (T1438*X1438)*U1438,
IF(AND(AD1438="EUR", F1438="Without EV deal", AE1438="EUR"), (T1438*X1438),
IF(AND(AD1438="EUR",AE1438="USD"), (T1438*X1438)*U1438,
T1438*X1438)))</f>
        <v>83.26</v>
      </c>
      <c r="AB1438" s="36">
        <f>IF(AND(AD1438="EUR", F1438="Without EV deal", AE1438="USD"), (T1438*Y1438)*U1438,
IF(AND(AD1438="EUR", F1438="Without EV deal", AE1438="EUR"), (T1438*Y1438),
IF(AND(AD1438="EUR",AE1438="USD"), (T1438*Y1438)*U1438,
T1438*Y1438)))</f>
        <v>0</v>
      </c>
      <c r="AC1438" s="61" t="b">
        <v>1</v>
      </c>
      <c r="AD1438" s="82" t="str">
        <f>IF(OR(H1438="€0.25 Flash",
H1438="€0.25(nitro) new",
H1438="€1",
H1438="€2",
H1438="€2 (bf 01.08)",
H1438="€5",
H1438="€5 (1M)",
H1438="€5 (bf 01.08)",
H1438="€5 (bf 05.05)",
H1438="€5 Nitro",
H1438="€5(wx) new",
H1438="€10",
H1438="€10 (1M)",
H1438="€10 (bf 01.08)",
H1438="€10 (bf 05.05)",
H1438="€10 (MP)",
H1438="€10 (old)",
H1438="€10 Nitro (bf 05.05)",
H1438="€10 Nitro (old)",
H1438="€10(wx) new",
H1438="€20",
H1438="€25",
H1438="€25 (bf 01.08)",
H1438="€25 (bf 05.05)",
H1438="€25 (MP)",
H1438="€25 (old)",
H1438="€25 Nitro",
H1438="€25 Nitro (bf 01.08)",
H1438="€25 Nitro (bf 05.05)",
H1438="€25(nitro) new",
H1438="€25(wx) new",
H1438="€50",
H1438="€50 (bf 01.08)",
H1438="€50 (bf 05.05)",
H1438="€50 (old)",
H1438="€50 Nitro",
H1438="€50 Nitro (bf 01.08)",
H1438="€50 Nitro (bf 05.05)",
H1438="€50(wx) new",
H1438="€100",
H1438="€100 (old)",
H1438="€100 Nitro",
H1438="€100 Nitro (old)",
H1438="€200",
H1438="€250",
H1438="€250 Nitro",
H1438="€500",
H1438="€500 Nitro"),"EUR", "USD")</f>
        <v>USD</v>
      </c>
      <c r="AE1438" s="83" t="s">
        <v>38</v>
      </c>
      <c r="AF1438" s="83" t="str">
        <f t="array" ref="AF1438">INDEX('Deal Info'!D:D, MATCH(A1438,'Deal Info'!A:A, 0))</f>
        <v>DoEV</v>
      </c>
      <c r="AG1438" s="84" t="str">
        <f t="array" ref="AG1438">INDEX('Deal Info'!G:G, MATCH(A1438,'Deal Info'!A:A, 0))</f>
        <v>None</v>
      </c>
    </row>
    <row r="1439" spans="1:33" ht="14.25" hidden="1" x14ac:dyDescent="0.2">
      <c r="A1439" s="18" t="str">
        <f t="array" ref="A1439">IF(G1439='Room Info'!$B$1, INDEX('Room Info'!$A$2:$A2446, MATCH(B1439,'Room Info'!$B$2:$B2446, 0)),IF(G1439='Room Info'!$C$1, INDEX('Room Info'!$A$2:$A2446, MATCH(B1439,'Room Info'!$C$2:$C2446, 0)),IF(G1439='Room Info'!$D$1, INDEX('Room Info'!$A$2:$A2446, MATCH(B1439,'Room Info'!$D$2:$D2446, 0)),IF(G1439='Room Info'!$E$1, INDEX('Room Info'!$A$2:$A2446, MATCH(B1439,'Room Info'!$E$2:$E2446, 0)),IF(G1439='Room Info'!$F$1, INDEX('Room Info'!$A$2:$A2446, MATCH(B1439,'Room Info'!$F$2:$F2446, 0)),IF(G1439='Room Info'!$H$1, INDEX('Room Info'!$A$2:$A2446, MATCH(B1439,'Room Info'!$H$2:$H2446, 0)),IF(G1439='Room Info'!$G$1, INDEX('Room Info'!$A$2:$A2446, MATCH(B1439,'Room Info'!$G$2:$G2446, 0)))))))))</f>
        <v>SDEBA1</v>
      </c>
      <c r="B1439" s="85" t="s">
        <v>114</v>
      </c>
      <c r="C1439" s="86">
        <v>44947</v>
      </c>
      <c r="D1439" s="87">
        <v>44977</v>
      </c>
      <c r="E1439" s="21">
        <v>44958</v>
      </c>
      <c r="F1439" s="22" t="s">
        <v>34</v>
      </c>
      <c r="G1439" s="18" t="s">
        <v>35</v>
      </c>
      <c r="H1439" s="23" t="s">
        <v>40</v>
      </c>
      <c r="I1439" s="23" t="s">
        <v>37</v>
      </c>
      <c r="J1439" s="39">
        <v>10</v>
      </c>
      <c r="K1439" s="88">
        <v>661</v>
      </c>
      <c r="L1439" s="89">
        <v>-250</v>
      </c>
      <c r="M1439" s="27"/>
      <c r="N1439" s="28">
        <f>K1439*J1439</f>
        <v>6610</v>
      </c>
      <c r="O1439" s="85">
        <v>35386</v>
      </c>
      <c r="P1439" s="29">
        <v>53.534039329999999</v>
      </c>
      <c r="Q1439" s="30"/>
      <c r="R1439" s="31">
        <f>M1439+Q1439</f>
        <v>0</v>
      </c>
      <c r="S1439" s="28"/>
      <c r="T1439" s="32">
        <f>IF(AND(AD1439="EUR", F1439="Without EV deal"), R1439 + L1439,
IF(AND(AD1439="USD", F1439="Without EV deal"), R1439 + L1439,
IF(AND(AD1439="EUR", F1439="Steel Phoenix"), R1439 + S1439/U1439,
R1439 + S1439)))</f>
        <v>0</v>
      </c>
      <c r="U1439" s="33">
        <v>1.0669999999999999</v>
      </c>
      <c r="V1439" s="34">
        <v>8.8680780440414502</v>
      </c>
      <c r="W1439" s="58">
        <v>75</v>
      </c>
      <c r="X1439" s="30">
        <f>IF(AF1439="DoEV",IF(AND(V1439&lt;20,W1439&lt;55),0.3,0)+IF(AND(V1439&lt;20,W1439&gt;=55,W1439&lt;105),0.23,0)+IF(AND(V1439&lt;20,W1439&gt;=105),0.17,0)+IF(AND(V1439&gt;=20,V1439&lt;40,W1439&lt;45),0.3,0)+IF(AND(V1439&gt;=20,V1439&lt;40,W1439&gt;=45,W1439&lt;95),0.23,0)+IF(AND(V1439&gt;=20,V1439&lt;40,W1439&gt;=95),0.17,0)+IF(AND(V1439&gt;=40,V1439&lt;75,W1439&lt;35),0.3,0)+IF(AND(V1439&gt;=40,V1439&lt;75,W1439&gt;=35,W1439&lt;75),0.23,0)+IF(AND(V1439&gt;=40,V1439&lt;75,W1439&gt;=75,W1439&lt;120),0.17,0)+IF(AND(V1439&gt;=40,V1439&lt;75,W1439&gt;=120),0.12,0)+IF(AND(V1439&gt;=75,V1439&lt;175,W1439&lt;35),0.3,0)+IF(AND(V1439&gt;=75,V1439&lt;=175,W1439&gt;=35,W1439&lt;65),0.23,0)+IF(AND(V1439&gt;=75,V1439&lt;=175,W1439&gt;=65,W1439&lt;110),0.17,0)+IF(AND(V1439&gt;=75,V1439&lt;=175,W1439&gt;=110),0.12,0)+IF(AND(V1439&gt;175,W1439&lt;25),0.3,0)+IF(AND(V1439&gt;175,W1439&gt;=25,W1439&lt;55),0.23,0)+IF(AND(V1439&gt;175,W1439&gt;=55,W1439&lt;95),0.17,0)+IF(AND(V1439&gt;175,W1439&gt;=95),0.12,0),
IF(AF1439="Fix15",0.15,
IF(AF1439="Fix5",0.05,
IF(AF1439="Fix18.75",0.1875,
IF(AF1439="Fix11.25",0.1125,
IF(AF1439="Fix10",0.1,
IF(AF1439="Fix9",0.09,
IF(AF1439="Fix12",0.12,
IF(AF1439="Fix19",0.19,
IF(AF1439="DoEV2017",IF(AND(W1439&lt;74),0.2,0)+IF(AND(W1439&gt;=74),0.17,0),
IF(AF1439="SF",IF(AND(V1439&lt;20,W1439&lt;89),0.3,0)+IF(AND(V1439&lt;20,W1439&gt;=89),0.25,0)+IF(AND(V1439&gt;=20,V1439&lt;40,W1439&lt;74),0.3,0)+IF(AND(V1439&gt;=20,V1439&lt;40,W1439&gt;=75),0.22,0)+IF(AND(V1439&gt;=40,V1439&lt;75,W1439&lt;75),0.26,0)+IF(AND(V1439&gt;=40,V1439&lt;75,W1439&gt;=75),0.22,0)+IF(V1439&gt;=75,0.22,0),
IF(AF1439="DoEVold",IF(AND(V1439&lt;40,W1439&lt;35),0.35,0)+IF(AND(V1439&lt;40,W1439&gt;=35,W1439&lt;75),0.25,0)+IF(AND(V1439&lt;40,W1439&gt;=75),0.17,0)+IF(AND(V1439&gt;=40,V1439&lt;75,W1439&lt;25),0.35,0)+IF(AND(V1439&gt;=40,V1439&lt;75,W1439&gt;=25,W1439&lt;65),0.25,0)+IF(AND(V1439&gt;=40,V1439&lt;75,W1439&gt;=65,W1439&lt;100),0.17,0)+IF(AND(V1439&gt;=40,V1439&lt;75,W1439&gt;=100),0.1,0)+IF(AND(V1439&gt;=75,W1439&lt;25),0.35,0)+IF(AND(V1439&gt;=75,W1439&gt;=25,W1439&lt;60),0.25,0)+IF(AND(V1439&gt;=75,W1439&gt;=60,W1439&lt;95),0.17,0)+IF(AND(V1439&gt;=75,W1439&gt;=95),0.1,0),
IF(AF1439="DoEVold15",IF(AND(V1439&lt;=40,W1439&lt;35),0.35,0)+IF(AND(V1439&lt;=40,W1439&gt;=35,W1439&lt;75),0.25,0)+IF(AND(V1439&lt;=40,W1439&gt;=75,W1439&lt;120),0.17,0)+IF(AND(V1439&lt;=40,W1439&gt;=120),0.15,0)+IF(AND(V1439&gt;40,V1439&lt;75,W1439&lt;25),0.35,0)+IF(AND(V1439&gt;=40,V1439&lt;75,W1439&gt;=25,W1439&lt;65),0.25,0)+IF(AND(V1439&gt;=40,V1439&lt;75,W1439&gt;=65,W1439&lt;100),0.17,0)+IF(AND(V1439&gt;=40,V1439&lt;75,W1439&gt;=100),0.1,0)+IF(AND(V1439&gt;=75,W1439&lt;25),0.35,0)+IF(AND(V1439&gt;=75,W1439&gt;=25,W1439&lt;60),0.25,0)+IF(AND(V1439&gt;=75,W1439&gt;=60,W1439&lt;95),0.17,0)+IF(AND(V1439&gt;=75,W1439&gt;=95),0.1,0),
IF(AF1439="DoEVba",IF(AND(V1439&lt;20,W1439&lt;105),0.2,0)+IF(AND(V1439&lt;20,W1439&gt;=105),0.15,0)+IF(AND(V1439&gt;=20,V1439&lt;40,W1439&lt;95),0.2,0)+IF(AND(V1439&gt;=20,V1439&lt;40,W1439&gt;=95,W1439&lt;150),0.15,0)+IF(AND(V1439&gt;=20,V1439&lt;40,W1439&gt;=150),0.12,0)+IF(AND(V1439&gt;=40,V1439&lt;75,W1439&lt;75),0.2,0)+IF(AND(V1439&gt;=40,V1439&lt;75,W1439&gt;=75,W1439&lt;120),0.15,0)+IF(AND(V1439&gt;=40,V1439&lt;75,W1439&gt;=120),0.12,0)+IF(AND(V1439&gt;=75,V1439&lt;175,W1439&lt;65),0.2,0)+IF(AND(V1439&gt;=75,V1439&lt;175,W1439&gt;=65,W1439&lt;110),0.15,0)+IF(AND(V1439&gt;=75,V1439&lt;175,W1439&gt;=110),0.12,0)+IF(AND(V1439&gt;=175,W1439&lt;55),0.2,0)+IF(AND(V1439&gt;=175,W1439&gt;=55,W1439&lt;95),0.15,0)+IF(AND(V1439&gt;=175,W1439&gt;=95),0.12,0),
IF(AF1439="DoEVku",IF(AND(V1439&lt;20,W1439&lt;55),0.23,0)+IF(AND(V1439&lt;20,W1439&gt;=55,W1439&lt;105),0.2,0)+IF(AND(V1439&lt;20,W1439&gt;=105),0.17,0)+IF(AND(V1439&gt;=20,V1439&lt;40,W1439&lt;45),0.23,0)+IF(AND(V1439&gt;=20,V1439&lt;40,W1439&gt;=45,W1439&lt;95),0.2,0)+IF(AND(V1439&gt;=20,V1439&lt;40,W1439&gt;=95,W1439&lt;=150),0.17,0)+IF(AND(V1439&gt;=20,V1439&lt;40,W1439&gt;=150),0.12,0)+IF(AND(V1439&gt;=40,V1439&lt;75,W1439&lt;35),0.23,0)+IF(AND(V1439&gt;=40,V1439&lt;75,W1439&gt;=35,W1439&lt;75),0.2,0)+IF(AND(V1439&gt;=40,V1439&lt;75,W1439&gt;=75,W1439&lt;120),0.17,0)+IF(AND(V1439&gt;=40,V1439&lt;75,W1439&gt;=120),0.12,0)+IF(AND(V1439&gt;=75,V1439&lt;175,W1439&lt;35),0.23,0)+IF(AND(V1439&gt;=75,V1439&lt;=175,W1439&gt;=35,W1439&lt;65),0.2,0)+IF(AND(V1439&gt;=75,V1439&lt;=175,W1439&gt;=65,W1439&lt;110),0.17,0)+IF(AND(V1439&gt;=75,V1439&lt;=175,W1439&gt;=110),0.12,0)+IF(AND(V1439&gt;175,W1439&lt;25),0.23,0)+IF(AND(V1439&gt;175,W1439&gt;=25,W1439&lt;55),0.2,0)+IF(AND(V1439&gt;175,W1439&gt;=55,W1439&lt;95),0.17,0)+IF(AND(V1439&gt;175,W1439&gt;=95),0.12,0),
IF(AF1439="DoEVs1",IF(AND(V1439&lt;20,W1439&lt;55),0.3,0)+IF(AND(V1439&lt;20,W1439&gt;=55,W1439&lt;105),0.23,0)+IF(AND(V1439&lt;20,W1439&gt;=105),0.17,0)+IF(AND(V1439&gt;=20,V1439&lt;40,W1439&lt;45),0.3,0)+IF(AND(V1439&gt;=20,V1439&lt;40,W1439&gt;=45,W1439&lt;95),0.23,0)+IF(AND(V1439&gt;=20,V1439&lt;40,W1439&gt;=95,W1439&lt;=150),0.17,0)+IF(AND(V1439&gt;=20,V1439&lt;40,W1439&gt;=150),0.12,0)+IF(AND(V1439&gt;=40,V1439&lt;75,W1439&lt;35),0.3,0)+IF(AND(V1439&gt;=40,V1439&lt;75,W1439&gt;=35,W1439&lt;75),0.23,0)+IF(AND(V1439&gt;=40,V1439&lt;75,W1439&gt;=75,W1439&lt;120),0.17,0)+IF(AND(V1439&gt;=40,V1439&lt;75,W1439&gt;=120),0.12,0)+IF(AND(V1439&gt;=75,V1439&lt;175,W1439&lt;35),0.3,0)+IF(AND(V1439&gt;=75,V1439&lt;=175,W1439&gt;=35,W1439&lt;65),0.23,0)+IF(AND(V1439&gt;=75,V1439&lt;=175,W1439&gt;=65,W1439&lt;110),0.17,0)+IF(AND(V1439&gt;=75,V1439&lt;=175,W1439&gt;=110),0.12,0)+IF(AND(V1439&gt;175,W1439&lt;25),0.3,0)+IF(AND(V1439&gt;175,W1439&gt;=25,W1439&lt;55),0.23,0)+IF(AND(V1439&gt;175,W1439&gt;=55,W1439&lt;95),0.17,0)+IF(AND(V1439&gt;175,W1439&gt;=95),0.12,0),
IF(AF1439="DoEVsu",IF(AND(V1439&lt;20,W1439&lt;55),0.3,0)+IF(AND(V1439&lt;20,W1439&gt;=55,W1439&lt;105),0.23,0)+IF(AND(V1439&lt;20,W1439&gt;=105),0.17,0)+IF(AND(V1439&gt;=20,V1439&lt;40,W1439&lt;45),0.3,0)+IF(AND(V1439&gt;=20,V1439&lt;40,W1439&gt;=45,W1439&lt;95),0.23,0)+IF(AND(V1439&gt;=20,V1439&lt;40,W1439&gt;=95,W1439&lt;=250),0.17,0)+IF(AND(V1439&gt;=20,V1439&lt;40,W1439&gt;=250),0.12,0)+IF(AND(V1439&gt;=40,V1439&lt;75,W1439&lt;35),0.3,0)+IF(AND(V1439&gt;=40,V1439&lt;75,W1439&gt;=35,W1439&lt;75),0.23,0)+IF(AND(V1439&gt;=40,V1439&lt;75,W1439&gt;=75,W1439&lt;120),0.17,0)+IF(AND(V1439&gt;=40,V1439&lt;75,W1439&gt;=120),0.12,0)+IF(AND(V1439&gt;=75,V1439&lt;175,W1439&lt;35),0.3,0)+IF(AND(V1439&gt;=75,V1439&lt;=175,W1439&gt;=35,W1439&lt;65),0.23,0)+IF(AND(V1439&gt;=75,V1439&lt;=175,W1439&gt;=65,W1439&lt;110),0.17,0)+IF(AND(V1439&gt;=75,V1439&lt;=175,W1439&gt;=110),0.12,0)+IF(AND(V1439&gt;175,W1439&lt;25),0.3,0)+IF(AND(V1439&gt;175,W1439&gt;=25,W1439&lt;55),0.23,0)+IF(AND(V1439&gt;175,W1439&gt;=55,W1439&lt;95),0.17,0)+IF(AND(V1439&gt;175,W1439&gt;=95),0.12,0),
IF(AF1439="DoEVni",IF(AND(V1439&lt;20,W1439&lt;55),0.3,0)+IF(AND(V1439&lt;20,W1439&gt;=55,W1439&lt;105),0.23,0)+IF(AND(V1439&lt;20,W1439&gt;=105),0.17,0)+IF(AND(V1439&gt;=20,V1439&lt;40,W1439&lt;45),0.3,0)+IF(AND(V1439&gt;=20,V1439&lt;40,W1439&gt;=45,W1439&lt;95),0.23,0)+IF(AND(V1439&gt;=20,V1439&lt;40,W1439&gt;=95,W1439&lt;=200),0.17,0)+IF(AND(V1439&gt;=20,V1439&lt;40,W1439&gt;=200),0.12,0)+IF(AND(V1439&gt;=40,V1439&lt;75,W1439&lt;35),0.3,0)+IF(AND(V1439&gt;=40,V1439&lt;75,W1439&gt;=35,W1439&lt;75),0.23,0)+IF(AND(V1439&gt;=40,V1439&lt;75,W1439&gt;=75,W1439&lt;120),0.17,0)+IF(AND(V1439&gt;=40,V1439&lt;75,W1439&gt;=120),0.12,0)+IF(AND(V1439&gt;=75,V1439&lt;175,W1439&lt;35),0.3,0)+IF(AND(V1439&gt;=75,V1439&lt;=175,W1439&gt;=35,W1439&lt;65),0.23,0)+IF(AND(V1439&gt;=75,V1439&lt;=175,W1439&gt;=65,W1439&lt;110),0.17,0)+IF(AND(V1439&gt;=75,V1439&lt;=175,W1439&gt;=110),0.12,0)+IF(AND(V1439&gt;175,W1439&lt;25),0.3,0)+IF(AND(V1439&gt;175,W1439&gt;=25,W1439&lt;55),0.23,0)+IF(AND(V1439&gt;175,W1439&gt;=55,W1439&lt;95),0.17,0)+IF(AND(V1439&gt;175,W1439&gt;=95),0.12,0),
IF(AF1439="DoEVLo",IF(AND(V1439&lt;20,W1439&lt;55),0.25,0)+IF(AND(V1439&lt;20,W1439&gt;=55,W1439&lt;105),0.2,0)+IF(AND(V1439&lt;20,W1439&gt;=105),0.15,0)+IF(AND(V1439&gt;=20,V1439&lt;40,W1439&lt;45),0.25,0)+IF(AND(V1439&gt;=20,V1439&lt;40,W1439&gt;=45,W1439&lt;95),0.2,0)+IF(AND(V1439&gt;=20,V1439&lt;40,W1439&gt;=95),0.15,0)+IF(AND(V1439&gt;=40,V1439&lt;75,W1439&lt;35),0.25,0)+IF(AND(V1439&gt;=40,V1439&lt;75,W1439&gt;=35,W1439&lt;75),0.2,0)+IF(AND(V1439&gt;=40,V1439&lt;75,W1439&gt;=75,W1439&lt;120),0.15,0)+IF(AND(V1439&gt;=40,V1439&lt;75,W1439&gt;=120),0.1,0)+IF(AND(V1439&gt;=75,V1439&lt;175,W1439&lt;35),0.25,0)+IF(AND(V1439&gt;=75,V1439&lt;=175,W1439&gt;=35,W1439&lt;65),0.2,0)+IF(AND(V1439&gt;=75,V1439&lt;=175,W1439&gt;=65,W1439&lt;110),0.15,0)+IF(AND(V1439&gt;=75,V1439&lt;=175,W1439&gt;=110),0.1,0)+IF(AND(V1439&gt;175,W1439&lt;25),0.25,0)+IF(AND(V1439&gt;175,W1439&gt;=25,W1439&lt;55),0.2,0)+IF(AND(V1439&gt;175,W1439&gt;=55,W1439&lt;95),0.15,0)+IF(AND(V1439&gt;175,W1439&gt;=95),0.1,0))))))))))))))))))))</f>
        <v>0.23</v>
      </c>
      <c r="Y1439" s="30">
        <f>IF(AG1439="None",0,IF(AG1439="Fix5",0.05, IF(AG1439="Fix6.25",0.0625,IF(AG1439="Fix3.75",0.0375, IF(AG1439="Fix11",0.11, IF(AG1439="Fix10",0.1,IF(AG1439="Fix3",0.03,0)))))))</f>
        <v>0</v>
      </c>
      <c r="Z1439" s="35">
        <f>IF(AND(AD1439="EUR", AE1439 = "USD"), T1439*U1439-AA1439-AB1439, T1439-AA1439-AB1439)</f>
        <v>0</v>
      </c>
      <c r="AA1439" s="29">
        <f>IF(AND(AD1439="EUR", F1439="Without EV deal", AE1439="USD"), (T1439*X1439)*U1439,
IF(AND(AD1439="EUR", F1439="Without EV deal", AE1439="EUR"), (T1439*X1439),
IF(AND(AD1439="EUR",AE1439="USD"), (T1439*X1439)*U1439,
T1439*X1439)))</f>
        <v>0</v>
      </c>
      <c r="AB1439" s="36">
        <f>IF(AND(AD1439="EUR", F1439="Without EV deal", AE1439="USD"), (T1439*Y1439)*U1439,
IF(AND(AD1439="EUR", F1439="Without EV deal", AE1439="EUR"), (T1439*Y1439),
IF(AND(AD1439="EUR",AE1439="USD"), (T1439*Y1439)*U1439,
T1439*Y1439)))</f>
        <v>0</v>
      </c>
      <c r="AC1439" s="61" t="b">
        <v>1</v>
      </c>
      <c r="AD1439" s="82" t="str">
        <f>IF(OR(H1439="€0.25 Flash",
H1439="€0.25(nitro) new",
H1439="€1",
H1439="€2",
H1439="€2 (bf 01.08)",
H1439="€5",
H1439="€5 (1M)",
H1439="€5 (bf 01.08)",
H1439="€5 (bf 05.05)",
H1439="€5 Nitro",
H1439="€5(wx) new",
H1439="€10",
H1439="€10 (1M)",
H1439="€10 (bf 01.08)",
H1439="€10 (bf 05.05)",
H1439="€10 (MP)",
H1439="€10 (old)",
H1439="€10 Nitro (bf 05.05)",
H1439="€10 Nitro (old)",
H1439="€10(wx) new",
H1439="€20",
H1439="€25",
H1439="€25 (bf 01.08)",
H1439="€25 (bf 05.05)",
H1439="€25 (MP)",
H1439="€25 (old)",
H1439="€25 Nitro",
H1439="€25 Nitro (bf 01.08)",
H1439="€25 Nitro (bf 05.05)",
H1439="€25(nitro) new",
H1439="€25(wx) new",
H1439="€50",
H1439="€50 (bf 01.08)",
H1439="€50 (bf 05.05)",
H1439="€50 (old)",
H1439="€50 Nitro",
H1439="€50 Nitro (bf 01.08)",
H1439="€50 Nitro (bf 05.05)",
H1439="€50(wx) new",
H1439="€100",
H1439="€100 (old)",
H1439="€100 Nitro",
H1439="€100 Nitro (old)",
H1439="€200",
H1439="€250",
H1439="€250 Nitro",
H1439="€500",
H1439="€500 Nitro"),"EUR", "USD")</f>
        <v>USD</v>
      </c>
      <c r="AE1439" s="83" t="s">
        <v>38</v>
      </c>
      <c r="AF1439" s="83" t="str">
        <f t="array" ref="AF1439">INDEX('Deal Info'!D:D, MATCH(A1439,'Deal Info'!A:A, 0))</f>
        <v>DoEV</v>
      </c>
      <c r="AG1439" s="84" t="str">
        <f t="array" ref="AG1439">INDEX('Deal Info'!G:G, MATCH(A1439,'Deal Info'!A:A, 0))</f>
        <v>None</v>
      </c>
    </row>
    <row r="1440" spans="1:33" ht="14.25" hidden="1" x14ac:dyDescent="0.2">
      <c r="A1440" s="18" t="str">
        <f t="array" ref="A1440">IF(G1440='Room Info'!$B$1, INDEX('Room Info'!$A$2:$A2446, MATCH(B1440,'Room Info'!$B$2:$B2446, 0)),IF(G1440='Room Info'!$C$1, INDEX('Room Info'!$A$2:$A2446, MATCH(B1440,'Room Info'!$C$2:$C2446, 0)),IF(G1440='Room Info'!$D$1, INDEX('Room Info'!$A$2:$A2446, MATCH(B1440,'Room Info'!$D$2:$D2446, 0)),IF(G1440='Room Info'!$E$1, INDEX('Room Info'!$A$2:$A2446, MATCH(B1440,'Room Info'!$E$2:$E2446, 0)),IF(G1440='Room Info'!$F$1, INDEX('Room Info'!$A$2:$A2446, MATCH(B1440,'Room Info'!$F$2:$F2446, 0)),IF(G1440='Room Info'!$H$1, INDEX('Room Info'!$A$2:$A2446, MATCH(B1440,'Room Info'!$H$2:$H2446, 0)),IF(G1440='Room Info'!$G$1, INDEX('Room Info'!$A$2:$A2446, MATCH(B1440,'Room Info'!$G$2:$G2446, 0)))))))))</f>
        <v>SDEBA1</v>
      </c>
      <c r="B1440" s="85" t="s">
        <v>114</v>
      </c>
      <c r="C1440" s="86">
        <v>44947</v>
      </c>
      <c r="D1440" s="87">
        <v>44977</v>
      </c>
      <c r="E1440" s="21">
        <v>44958</v>
      </c>
      <c r="F1440" s="22" t="s">
        <v>34</v>
      </c>
      <c r="G1440" s="18" t="s">
        <v>35</v>
      </c>
      <c r="H1440" s="23" t="s">
        <v>115</v>
      </c>
      <c r="I1440" s="23" t="s">
        <v>44</v>
      </c>
      <c r="J1440" s="39">
        <v>10</v>
      </c>
      <c r="K1440" s="88">
        <v>3692</v>
      </c>
      <c r="L1440" s="89">
        <v>-1570</v>
      </c>
      <c r="M1440" s="27"/>
      <c r="N1440" s="28">
        <f>K1440*J1440</f>
        <v>36920</v>
      </c>
      <c r="O1440" s="85">
        <v>40242</v>
      </c>
      <c r="P1440" s="29">
        <v>10.899783319999999</v>
      </c>
      <c r="Q1440" s="30"/>
      <c r="R1440" s="31">
        <f>M1440+Q1440</f>
        <v>0</v>
      </c>
      <c r="S1440" s="28"/>
      <c r="T1440" s="32">
        <f>IF(AND(AD1440="EUR", F1440="Without EV deal"), R1440 + L1440,
IF(AND(AD1440="USD", F1440="Without EV deal"), R1440 + L1440,
IF(AND(AD1440="EUR", F1440="Steel Phoenix"), R1440 + S1440/U1440,
R1440 + S1440)))</f>
        <v>0</v>
      </c>
      <c r="U1440" s="33">
        <v>1.0669999999999999</v>
      </c>
      <c r="V1440" s="34">
        <v>8.8680780440414502</v>
      </c>
      <c r="W1440" s="58">
        <v>75</v>
      </c>
      <c r="X1440" s="30">
        <f>IF(AF1440="DoEV",IF(AND(V1440&lt;20,W1440&lt;55),0.3,0)+IF(AND(V1440&lt;20,W1440&gt;=55,W1440&lt;105),0.23,0)+IF(AND(V1440&lt;20,W1440&gt;=105),0.17,0)+IF(AND(V1440&gt;=20,V1440&lt;40,W1440&lt;45),0.3,0)+IF(AND(V1440&gt;=20,V1440&lt;40,W1440&gt;=45,W1440&lt;95),0.23,0)+IF(AND(V1440&gt;=20,V1440&lt;40,W1440&gt;=95),0.17,0)+IF(AND(V1440&gt;=40,V1440&lt;75,W1440&lt;35),0.3,0)+IF(AND(V1440&gt;=40,V1440&lt;75,W1440&gt;=35,W1440&lt;75),0.23,0)+IF(AND(V1440&gt;=40,V1440&lt;75,W1440&gt;=75,W1440&lt;120),0.17,0)+IF(AND(V1440&gt;=40,V1440&lt;75,W1440&gt;=120),0.12,0)+IF(AND(V1440&gt;=75,V1440&lt;175,W1440&lt;35),0.3,0)+IF(AND(V1440&gt;=75,V1440&lt;=175,W1440&gt;=35,W1440&lt;65),0.23,0)+IF(AND(V1440&gt;=75,V1440&lt;=175,W1440&gt;=65,W1440&lt;110),0.17,0)+IF(AND(V1440&gt;=75,V1440&lt;=175,W1440&gt;=110),0.12,0)+IF(AND(V1440&gt;175,W1440&lt;25),0.3,0)+IF(AND(V1440&gt;175,W1440&gt;=25,W1440&lt;55),0.23,0)+IF(AND(V1440&gt;175,W1440&gt;=55,W1440&lt;95),0.17,0)+IF(AND(V1440&gt;175,W1440&gt;=95),0.12,0),
IF(AF1440="Fix15",0.15,
IF(AF1440="Fix5",0.05,
IF(AF1440="Fix18.75",0.1875,
IF(AF1440="Fix11.25",0.1125,
IF(AF1440="Fix10",0.1,
IF(AF1440="Fix9",0.09,
IF(AF1440="Fix12",0.12,
IF(AF1440="Fix19",0.19,
IF(AF1440="DoEV2017",IF(AND(W1440&lt;74),0.2,0)+IF(AND(W1440&gt;=74),0.17,0),
IF(AF1440="SF",IF(AND(V1440&lt;20,W1440&lt;89),0.3,0)+IF(AND(V1440&lt;20,W1440&gt;=89),0.25,0)+IF(AND(V1440&gt;=20,V1440&lt;40,W1440&lt;74),0.3,0)+IF(AND(V1440&gt;=20,V1440&lt;40,W1440&gt;=75),0.22,0)+IF(AND(V1440&gt;=40,V1440&lt;75,W1440&lt;75),0.26,0)+IF(AND(V1440&gt;=40,V1440&lt;75,W1440&gt;=75),0.22,0)+IF(V1440&gt;=75,0.22,0),
IF(AF1440="DoEVold",IF(AND(V1440&lt;40,W1440&lt;35),0.35,0)+IF(AND(V1440&lt;40,W1440&gt;=35,W1440&lt;75),0.25,0)+IF(AND(V1440&lt;40,W1440&gt;=75),0.17,0)+IF(AND(V1440&gt;=40,V1440&lt;75,W1440&lt;25),0.35,0)+IF(AND(V1440&gt;=40,V1440&lt;75,W1440&gt;=25,W1440&lt;65),0.25,0)+IF(AND(V1440&gt;=40,V1440&lt;75,W1440&gt;=65,W1440&lt;100),0.17,0)+IF(AND(V1440&gt;=40,V1440&lt;75,W1440&gt;=100),0.1,0)+IF(AND(V1440&gt;=75,W1440&lt;25),0.35,0)+IF(AND(V1440&gt;=75,W1440&gt;=25,W1440&lt;60),0.25,0)+IF(AND(V1440&gt;=75,W1440&gt;=60,W1440&lt;95),0.17,0)+IF(AND(V1440&gt;=75,W1440&gt;=95),0.1,0),
IF(AF1440="DoEVold15",IF(AND(V1440&lt;=40,W1440&lt;35),0.35,0)+IF(AND(V1440&lt;=40,W1440&gt;=35,W1440&lt;75),0.25,0)+IF(AND(V1440&lt;=40,W1440&gt;=75,W1440&lt;120),0.17,0)+IF(AND(V1440&lt;=40,W1440&gt;=120),0.15,0)+IF(AND(V1440&gt;40,V1440&lt;75,W1440&lt;25),0.35,0)+IF(AND(V1440&gt;=40,V1440&lt;75,W1440&gt;=25,W1440&lt;65),0.25,0)+IF(AND(V1440&gt;=40,V1440&lt;75,W1440&gt;=65,W1440&lt;100),0.17,0)+IF(AND(V1440&gt;=40,V1440&lt;75,W1440&gt;=100),0.1,0)+IF(AND(V1440&gt;=75,W1440&lt;25),0.35,0)+IF(AND(V1440&gt;=75,W1440&gt;=25,W1440&lt;60),0.25,0)+IF(AND(V1440&gt;=75,W1440&gt;=60,W1440&lt;95),0.17,0)+IF(AND(V1440&gt;=75,W1440&gt;=95),0.1,0),
IF(AF1440="DoEVba",IF(AND(V1440&lt;20,W1440&lt;105),0.2,0)+IF(AND(V1440&lt;20,W1440&gt;=105),0.15,0)+IF(AND(V1440&gt;=20,V1440&lt;40,W1440&lt;95),0.2,0)+IF(AND(V1440&gt;=20,V1440&lt;40,W1440&gt;=95,W1440&lt;150),0.15,0)+IF(AND(V1440&gt;=20,V1440&lt;40,W1440&gt;=150),0.12,0)+IF(AND(V1440&gt;=40,V1440&lt;75,W1440&lt;75),0.2,0)+IF(AND(V1440&gt;=40,V1440&lt;75,W1440&gt;=75,W1440&lt;120),0.15,0)+IF(AND(V1440&gt;=40,V1440&lt;75,W1440&gt;=120),0.12,0)+IF(AND(V1440&gt;=75,V1440&lt;175,W1440&lt;65),0.2,0)+IF(AND(V1440&gt;=75,V1440&lt;175,W1440&gt;=65,W1440&lt;110),0.15,0)+IF(AND(V1440&gt;=75,V1440&lt;175,W1440&gt;=110),0.12,0)+IF(AND(V1440&gt;=175,W1440&lt;55),0.2,0)+IF(AND(V1440&gt;=175,W1440&gt;=55,W1440&lt;95),0.15,0)+IF(AND(V1440&gt;=175,W1440&gt;=95),0.12,0),
IF(AF1440="DoEVku",IF(AND(V1440&lt;20,W1440&lt;55),0.23,0)+IF(AND(V1440&lt;20,W1440&gt;=55,W1440&lt;105),0.2,0)+IF(AND(V1440&lt;20,W1440&gt;=105),0.17,0)+IF(AND(V1440&gt;=20,V1440&lt;40,W1440&lt;45),0.23,0)+IF(AND(V1440&gt;=20,V1440&lt;40,W1440&gt;=45,W1440&lt;95),0.2,0)+IF(AND(V1440&gt;=20,V1440&lt;40,W1440&gt;=95,W1440&lt;=150),0.17,0)+IF(AND(V1440&gt;=20,V1440&lt;40,W1440&gt;=150),0.12,0)+IF(AND(V1440&gt;=40,V1440&lt;75,W1440&lt;35),0.23,0)+IF(AND(V1440&gt;=40,V1440&lt;75,W1440&gt;=35,W1440&lt;75),0.2,0)+IF(AND(V1440&gt;=40,V1440&lt;75,W1440&gt;=75,W1440&lt;120),0.17,0)+IF(AND(V1440&gt;=40,V1440&lt;75,W1440&gt;=120),0.12,0)+IF(AND(V1440&gt;=75,V1440&lt;175,W1440&lt;35),0.23,0)+IF(AND(V1440&gt;=75,V1440&lt;=175,W1440&gt;=35,W1440&lt;65),0.2,0)+IF(AND(V1440&gt;=75,V1440&lt;=175,W1440&gt;=65,W1440&lt;110),0.17,0)+IF(AND(V1440&gt;=75,V1440&lt;=175,W1440&gt;=110),0.12,0)+IF(AND(V1440&gt;175,W1440&lt;25),0.23,0)+IF(AND(V1440&gt;175,W1440&gt;=25,W1440&lt;55),0.2,0)+IF(AND(V1440&gt;175,W1440&gt;=55,W1440&lt;95),0.17,0)+IF(AND(V1440&gt;175,W1440&gt;=95),0.12,0),
IF(AF1440="DoEVs1",IF(AND(V1440&lt;20,W1440&lt;55),0.3,0)+IF(AND(V1440&lt;20,W1440&gt;=55,W1440&lt;105),0.23,0)+IF(AND(V1440&lt;20,W1440&gt;=105),0.17,0)+IF(AND(V1440&gt;=20,V1440&lt;40,W1440&lt;45),0.3,0)+IF(AND(V1440&gt;=20,V1440&lt;40,W1440&gt;=45,W1440&lt;95),0.23,0)+IF(AND(V1440&gt;=20,V1440&lt;40,W1440&gt;=95,W1440&lt;=150),0.17,0)+IF(AND(V1440&gt;=20,V1440&lt;40,W1440&gt;=150),0.12,0)+IF(AND(V1440&gt;=40,V1440&lt;75,W1440&lt;35),0.3,0)+IF(AND(V1440&gt;=40,V1440&lt;75,W1440&gt;=35,W1440&lt;75),0.23,0)+IF(AND(V1440&gt;=40,V1440&lt;75,W1440&gt;=75,W1440&lt;120),0.17,0)+IF(AND(V1440&gt;=40,V1440&lt;75,W1440&gt;=120),0.12,0)+IF(AND(V1440&gt;=75,V1440&lt;175,W1440&lt;35),0.3,0)+IF(AND(V1440&gt;=75,V1440&lt;=175,W1440&gt;=35,W1440&lt;65),0.23,0)+IF(AND(V1440&gt;=75,V1440&lt;=175,W1440&gt;=65,W1440&lt;110),0.17,0)+IF(AND(V1440&gt;=75,V1440&lt;=175,W1440&gt;=110),0.12,0)+IF(AND(V1440&gt;175,W1440&lt;25),0.3,0)+IF(AND(V1440&gt;175,W1440&gt;=25,W1440&lt;55),0.23,0)+IF(AND(V1440&gt;175,W1440&gt;=55,W1440&lt;95),0.17,0)+IF(AND(V1440&gt;175,W1440&gt;=95),0.12,0),
IF(AF1440="DoEVsu",IF(AND(V1440&lt;20,W1440&lt;55),0.3,0)+IF(AND(V1440&lt;20,W1440&gt;=55,W1440&lt;105),0.23,0)+IF(AND(V1440&lt;20,W1440&gt;=105),0.17,0)+IF(AND(V1440&gt;=20,V1440&lt;40,W1440&lt;45),0.3,0)+IF(AND(V1440&gt;=20,V1440&lt;40,W1440&gt;=45,W1440&lt;95),0.23,0)+IF(AND(V1440&gt;=20,V1440&lt;40,W1440&gt;=95,W1440&lt;=250),0.17,0)+IF(AND(V1440&gt;=20,V1440&lt;40,W1440&gt;=250),0.12,0)+IF(AND(V1440&gt;=40,V1440&lt;75,W1440&lt;35),0.3,0)+IF(AND(V1440&gt;=40,V1440&lt;75,W1440&gt;=35,W1440&lt;75),0.23,0)+IF(AND(V1440&gt;=40,V1440&lt;75,W1440&gt;=75,W1440&lt;120),0.17,0)+IF(AND(V1440&gt;=40,V1440&lt;75,W1440&gt;=120),0.12,0)+IF(AND(V1440&gt;=75,V1440&lt;175,W1440&lt;35),0.3,0)+IF(AND(V1440&gt;=75,V1440&lt;=175,W1440&gt;=35,W1440&lt;65),0.23,0)+IF(AND(V1440&gt;=75,V1440&lt;=175,W1440&gt;=65,W1440&lt;110),0.17,0)+IF(AND(V1440&gt;=75,V1440&lt;=175,W1440&gt;=110),0.12,0)+IF(AND(V1440&gt;175,W1440&lt;25),0.3,0)+IF(AND(V1440&gt;175,W1440&gt;=25,W1440&lt;55),0.23,0)+IF(AND(V1440&gt;175,W1440&gt;=55,W1440&lt;95),0.17,0)+IF(AND(V1440&gt;175,W1440&gt;=95),0.12,0),
IF(AF1440="DoEVni",IF(AND(V1440&lt;20,W1440&lt;55),0.3,0)+IF(AND(V1440&lt;20,W1440&gt;=55,W1440&lt;105),0.23,0)+IF(AND(V1440&lt;20,W1440&gt;=105),0.17,0)+IF(AND(V1440&gt;=20,V1440&lt;40,W1440&lt;45),0.3,0)+IF(AND(V1440&gt;=20,V1440&lt;40,W1440&gt;=45,W1440&lt;95),0.23,0)+IF(AND(V1440&gt;=20,V1440&lt;40,W1440&gt;=95,W1440&lt;=200),0.17,0)+IF(AND(V1440&gt;=20,V1440&lt;40,W1440&gt;=200),0.12,0)+IF(AND(V1440&gt;=40,V1440&lt;75,W1440&lt;35),0.3,0)+IF(AND(V1440&gt;=40,V1440&lt;75,W1440&gt;=35,W1440&lt;75),0.23,0)+IF(AND(V1440&gt;=40,V1440&lt;75,W1440&gt;=75,W1440&lt;120),0.17,0)+IF(AND(V1440&gt;=40,V1440&lt;75,W1440&gt;=120),0.12,0)+IF(AND(V1440&gt;=75,V1440&lt;175,W1440&lt;35),0.3,0)+IF(AND(V1440&gt;=75,V1440&lt;=175,W1440&gt;=35,W1440&lt;65),0.23,0)+IF(AND(V1440&gt;=75,V1440&lt;=175,W1440&gt;=65,W1440&lt;110),0.17,0)+IF(AND(V1440&gt;=75,V1440&lt;=175,W1440&gt;=110),0.12,0)+IF(AND(V1440&gt;175,W1440&lt;25),0.3,0)+IF(AND(V1440&gt;175,W1440&gt;=25,W1440&lt;55),0.23,0)+IF(AND(V1440&gt;175,W1440&gt;=55,W1440&lt;95),0.17,0)+IF(AND(V1440&gt;175,W1440&gt;=95),0.12,0),
IF(AF1440="DoEVLo",IF(AND(V1440&lt;20,W1440&lt;55),0.25,0)+IF(AND(V1440&lt;20,W1440&gt;=55,W1440&lt;105),0.2,0)+IF(AND(V1440&lt;20,W1440&gt;=105),0.15,0)+IF(AND(V1440&gt;=20,V1440&lt;40,W1440&lt;45),0.25,0)+IF(AND(V1440&gt;=20,V1440&lt;40,W1440&gt;=45,W1440&lt;95),0.2,0)+IF(AND(V1440&gt;=20,V1440&lt;40,W1440&gt;=95),0.15,0)+IF(AND(V1440&gt;=40,V1440&lt;75,W1440&lt;35),0.25,0)+IF(AND(V1440&gt;=40,V1440&lt;75,W1440&gt;=35,W1440&lt;75),0.2,0)+IF(AND(V1440&gt;=40,V1440&lt;75,W1440&gt;=75,W1440&lt;120),0.15,0)+IF(AND(V1440&gt;=40,V1440&lt;75,W1440&gt;=120),0.1,0)+IF(AND(V1440&gt;=75,V1440&lt;175,W1440&lt;35),0.25,0)+IF(AND(V1440&gt;=75,V1440&lt;=175,W1440&gt;=35,W1440&lt;65),0.2,0)+IF(AND(V1440&gt;=75,V1440&lt;=175,W1440&gt;=65,W1440&lt;110),0.15,0)+IF(AND(V1440&gt;=75,V1440&lt;=175,W1440&gt;=110),0.1,0)+IF(AND(V1440&gt;175,W1440&lt;25),0.25,0)+IF(AND(V1440&gt;175,W1440&gt;=25,W1440&lt;55),0.2,0)+IF(AND(V1440&gt;175,W1440&gt;=55,W1440&lt;95),0.15,0)+IF(AND(V1440&gt;175,W1440&gt;=95),0.1,0))))))))))))))))))))</f>
        <v>0.23</v>
      </c>
      <c r="Y1440" s="30">
        <f>IF(AG1440="None",0,IF(AG1440="Fix5",0.05, IF(AG1440="Fix6.25",0.0625,IF(AG1440="Fix3.75",0.0375, IF(AG1440="Fix11",0.11, IF(AG1440="Fix10",0.1,IF(AG1440="Fix3",0.03,0)))))))</f>
        <v>0</v>
      </c>
      <c r="Z1440" s="35">
        <f>IF(AND(AD1440="EUR", AE1440 = "USD"), T1440*U1440-AA1440-AB1440, T1440-AA1440-AB1440)</f>
        <v>0</v>
      </c>
      <c r="AA1440" s="29">
        <f>IF(AND(AD1440="EUR", F1440="Without EV deal", AE1440="USD"), (T1440*X1440)*U1440,
IF(AND(AD1440="EUR", F1440="Without EV deal", AE1440="EUR"), (T1440*X1440),
IF(AND(AD1440="EUR",AE1440="USD"), (T1440*X1440)*U1440,
T1440*X1440)))</f>
        <v>0</v>
      </c>
      <c r="AB1440" s="36">
        <f>IF(AND(AD1440="EUR", F1440="Without EV deal", AE1440="USD"), (T1440*Y1440)*U1440,
IF(AND(AD1440="EUR", F1440="Without EV deal", AE1440="EUR"), (T1440*Y1440),
IF(AND(AD1440="EUR",AE1440="USD"), (T1440*Y1440)*U1440,
T1440*Y1440)))</f>
        <v>0</v>
      </c>
      <c r="AC1440" s="61" t="b">
        <v>1</v>
      </c>
      <c r="AD1440" s="82" t="str">
        <f>IF(OR(H1440="€0.25 Flash",
H1440="€0.25(nitro) new",
H1440="€1",
H1440="€2",
H1440="€2 (bf 01.08)",
H1440="€5",
H1440="€5 (1M)",
H1440="€5 (bf 01.08)",
H1440="€5 (bf 05.05)",
H1440="€5 Nitro",
H1440="€5(wx) new",
H1440="€10",
H1440="€10 (1M)",
H1440="€10 (bf 01.08)",
H1440="€10 (bf 05.05)",
H1440="€10 (MP)",
H1440="€10 (old)",
H1440="€10 Nitro (bf 05.05)",
H1440="€10 Nitro (old)",
H1440="€10(wx) new",
H1440="€20",
H1440="€25",
H1440="€25 (bf 01.08)",
H1440="€25 (bf 05.05)",
H1440="€25 (MP)",
H1440="€25 (old)",
H1440="€25 Nitro",
H1440="€25 Nitro (bf 01.08)",
H1440="€25 Nitro (bf 05.05)",
H1440="€25(nitro) new",
H1440="€25(wx) new",
H1440="€50",
H1440="€50 (bf 01.08)",
H1440="€50 (bf 05.05)",
H1440="€50 (old)",
H1440="€50 Nitro",
H1440="€50 Nitro (bf 01.08)",
H1440="€50 Nitro (bf 05.05)",
H1440="€50(wx) new",
H1440="€100",
H1440="€100 (old)",
H1440="€100 Nitro",
H1440="€100 Nitro (old)",
H1440="€200",
H1440="€250",
H1440="€250 Nitro",
H1440="€500",
H1440="€500 Nitro"),"EUR", "USD")</f>
        <v>USD</v>
      </c>
      <c r="AE1440" s="83" t="s">
        <v>38</v>
      </c>
      <c r="AF1440" s="83" t="str">
        <f t="array" ref="AF1440">INDEX('Deal Info'!D:D, MATCH(A1440,'Deal Info'!A:A, 0))</f>
        <v>DoEV</v>
      </c>
      <c r="AG1440" s="84" t="str">
        <f t="array" ref="AG1440">INDEX('Deal Info'!G:G, MATCH(A1440,'Deal Info'!A:A, 0))</f>
        <v>None</v>
      </c>
    </row>
    <row r="1441" spans="1:33" ht="14.25" hidden="1" x14ac:dyDescent="0.2">
      <c r="A1441" s="18" t="str">
        <f t="array" ref="A1441">IF(G1441='Room Info'!$B$1, INDEX('Room Info'!$A$2:$A2446, MATCH(B1441,'Room Info'!$B$2:$B2446, 0)),IF(G1441='Room Info'!$C$1, INDEX('Room Info'!$A$2:$A2446, MATCH(B1441,'Room Info'!$C$2:$C2446, 0)),IF(G1441='Room Info'!$D$1, INDEX('Room Info'!$A$2:$A2446, MATCH(B1441,'Room Info'!$D$2:$D2446, 0)),IF(G1441='Room Info'!$E$1, INDEX('Room Info'!$A$2:$A2446, MATCH(B1441,'Room Info'!$E$2:$E2446, 0)),IF(G1441='Room Info'!$F$1, INDEX('Room Info'!$A$2:$A2446, MATCH(B1441,'Room Info'!$F$2:$F2446, 0)),IF(G1441='Room Info'!$H$1, INDEX('Room Info'!$A$2:$A2446, MATCH(B1441,'Room Info'!$H$2:$H2446, 0)),IF(G1441='Room Info'!$G$1, INDEX('Room Info'!$A$2:$A2446, MATCH(B1441,'Room Info'!$G$2:$G2446, 0)))))))))</f>
        <v>BodyaComUa</v>
      </c>
      <c r="B1441" s="85" t="s">
        <v>156</v>
      </c>
      <c r="C1441" s="86">
        <v>44947</v>
      </c>
      <c r="D1441" s="87">
        <v>44977</v>
      </c>
      <c r="E1441" s="21">
        <v>44958</v>
      </c>
      <c r="F1441" s="22" t="s">
        <v>34</v>
      </c>
      <c r="G1441" s="18" t="s">
        <v>35</v>
      </c>
      <c r="H1441" s="23" t="s">
        <v>36</v>
      </c>
      <c r="I1441" s="23" t="s">
        <v>37</v>
      </c>
      <c r="J1441" s="39">
        <v>2</v>
      </c>
      <c r="K1441" s="88">
        <v>112</v>
      </c>
      <c r="L1441" s="89">
        <v>14</v>
      </c>
      <c r="M1441" s="42">
        <v>1145</v>
      </c>
      <c r="N1441" s="28">
        <f>K1441*J1441</f>
        <v>224</v>
      </c>
      <c r="O1441" s="18"/>
      <c r="P1441" s="29">
        <v>0</v>
      </c>
      <c r="Q1441" s="30"/>
      <c r="R1441" s="31">
        <f>M1441+Q1441</f>
        <v>1145</v>
      </c>
      <c r="S1441" s="119">
        <v>637</v>
      </c>
      <c r="T1441" s="32">
        <f>IF(AND(AD1441="EUR", F1441="Without EV deal"), R1441 + L1441,
IF(AND(AD1441="USD", F1441="Without EV deal"), R1441 + L1441,
IF(AND(AD1441="EUR", F1441="Steel Phoenix"), R1441 + S1441/U1441,
R1441 + S1441)))</f>
        <v>1782</v>
      </c>
      <c r="U1441" s="33">
        <v>1.0669999999999999</v>
      </c>
      <c r="V1441" s="34">
        <v>7.74</v>
      </c>
      <c r="W1441" s="34">
        <v>230.23255813953489</v>
      </c>
      <c r="X1441" s="30">
        <f>IF(AF1441="DoEV",IF(AND(V1441&lt;20,W1441&lt;55),0.3,0)+IF(AND(V1441&lt;20,W1441&gt;=55,W1441&lt;105),0.23,0)+IF(AND(V1441&lt;20,W1441&gt;=105),0.17,0)+IF(AND(V1441&gt;=20,V1441&lt;40,W1441&lt;45),0.3,0)+IF(AND(V1441&gt;=20,V1441&lt;40,W1441&gt;=45,W1441&lt;95),0.23,0)+IF(AND(V1441&gt;=20,V1441&lt;40,W1441&gt;=95),0.17,0)+IF(AND(V1441&gt;=40,V1441&lt;75,W1441&lt;35),0.3,0)+IF(AND(V1441&gt;=40,V1441&lt;75,W1441&gt;=35,W1441&lt;75),0.23,0)+IF(AND(V1441&gt;=40,V1441&lt;75,W1441&gt;=75,W1441&lt;120),0.17,0)+IF(AND(V1441&gt;=40,V1441&lt;75,W1441&gt;=120),0.12,0)+IF(AND(V1441&gt;=75,V1441&lt;175,W1441&lt;35),0.3,0)+IF(AND(V1441&gt;=75,V1441&lt;=175,W1441&gt;=35,W1441&lt;65),0.23,0)+IF(AND(V1441&gt;=75,V1441&lt;=175,W1441&gt;=65,W1441&lt;110),0.17,0)+IF(AND(V1441&gt;=75,V1441&lt;=175,W1441&gt;=110),0.12,0)+IF(AND(V1441&gt;175,W1441&lt;25),0.3,0)+IF(AND(V1441&gt;175,W1441&gt;=25,W1441&lt;55),0.23,0)+IF(AND(V1441&gt;175,W1441&gt;=55,W1441&lt;95),0.17,0)+IF(AND(V1441&gt;175,W1441&gt;=95),0.12,0),
IF(AF1441="Fix15",0.15,
IF(AF1441="Fix5",0.05,
IF(AF1441="Fix18.75",0.1875,
IF(AF1441="Fix11.25",0.1125,
IF(AF1441="Fix10",0.1,
IF(AF1441="Fix9",0.09,
IF(AF1441="Fix12",0.12,
IF(AF1441="Fix19",0.19,
IF(AF1441="DoEV2017",IF(AND(W1441&lt;74),0.2,0)+IF(AND(W1441&gt;=74),0.17,0),
IF(AF1441="SF",IF(AND(V1441&lt;20,W1441&lt;89),0.3,0)+IF(AND(V1441&lt;20,W1441&gt;=89),0.25,0)+IF(AND(V1441&gt;=20,V1441&lt;40,W1441&lt;74),0.3,0)+IF(AND(V1441&gt;=20,V1441&lt;40,W1441&gt;=75),0.22,0)+IF(AND(V1441&gt;=40,V1441&lt;75,W1441&lt;75),0.26,0)+IF(AND(V1441&gt;=40,V1441&lt;75,W1441&gt;=75),0.22,0)+IF(V1441&gt;=75,0.22,0),
IF(AF1441="DoEVold",IF(AND(V1441&lt;40,W1441&lt;35),0.35,0)+IF(AND(V1441&lt;40,W1441&gt;=35,W1441&lt;75),0.25,0)+IF(AND(V1441&lt;40,W1441&gt;=75),0.17,0)+IF(AND(V1441&gt;=40,V1441&lt;75,W1441&lt;25),0.35,0)+IF(AND(V1441&gt;=40,V1441&lt;75,W1441&gt;=25,W1441&lt;65),0.25,0)+IF(AND(V1441&gt;=40,V1441&lt;75,W1441&gt;=65,W1441&lt;100),0.17,0)+IF(AND(V1441&gt;=40,V1441&lt;75,W1441&gt;=100),0.1,0)+IF(AND(V1441&gt;=75,W1441&lt;25),0.35,0)+IF(AND(V1441&gt;=75,W1441&gt;=25,W1441&lt;60),0.25,0)+IF(AND(V1441&gt;=75,W1441&gt;=60,W1441&lt;95),0.17,0)+IF(AND(V1441&gt;=75,W1441&gt;=95),0.1,0),
IF(AF1441="DoEVold15",IF(AND(V1441&lt;=40,W1441&lt;35),0.35,0)+IF(AND(V1441&lt;=40,W1441&gt;=35,W1441&lt;75),0.25,0)+IF(AND(V1441&lt;=40,W1441&gt;=75,W1441&lt;120),0.17,0)+IF(AND(V1441&lt;=40,W1441&gt;=120),0.15,0)+IF(AND(V1441&gt;40,V1441&lt;75,W1441&lt;25),0.35,0)+IF(AND(V1441&gt;=40,V1441&lt;75,W1441&gt;=25,W1441&lt;65),0.25,0)+IF(AND(V1441&gt;=40,V1441&lt;75,W1441&gt;=65,W1441&lt;100),0.17,0)+IF(AND(V1441&gt;=40,V1441&lt;75,W1441&gt;=100),0.1,0)+IF(AND(V1441&gt;=75,W1441&lt;25),0.35,0)+IF(AND(V1441&gt;=75,W1441&gt;=25,W1441&lt;60),0.25,0)+IF(AND(V1441&gt;=75,W1441&gt;=60,W1441&lt;95),0.17,0)+IF(AND(V1441&gt;=75,W1441&gt;=95),0.1,0),
IF(AF1441="DoEVba",IF(AND(V1441&lt;20,W1441&lt;105),0.2,0)+IF(AND(V1441&lt;20,W1441&gt;=105),0.15,0)+IF(AND(V1441&gt;=20,V1441&lt;40,W1441&lt;95),0.2,0)+IF(AND(V1441&gt;=20,V1441&lt;40,W1441&gt;=95,W1441&lt;150),0.15,0)+IF(AND(V1441&gt;=20,V1441&lt;40,W1441&gt;=150),0.12,0)+IF(AND(V1441&gt;=40,V1441&lt;75,W1441&lt;75),0.2,0)+IF(AND(V1441&gt;=40,V1441&lt;75,W1441&gt;=75,W1441&lt;120),0.15,0)+IF(AND(V1441&gt;=40,V1441&lt;75,W1441&gt;=120),0.12,0)+IF(AND(V1441&gt;=75,V1441&lt;175,W1441&lt;65),0.2,0)+IF(AND(V1441&gt;=75,V1441&lt;175,W1441&gt;=65,W1441&lt;110),0.15,0)+IF(AND(V1441&gt;=75,V1441&lt;175,W1441&gt;=110),0.12,0)+IF(AND(V1441&gt;=175,W1441&lt;55),0.2,0)+IF(AND(V1441&gt;=175,W1441&gt;=55,W1441&lt;95),0.15,0)+IF(AND(V1441&gt;=175,W1441&gt;=95),0.12,0),
IF(AF1441="DoEVku",IF(AND(V1441&lt;20,W1441&lt;55),0.23,0)+IF(AND(V1441&lt;20,W1441&gt;=55,W1441&lt;105),0.2,0)+IF(AND(V1441&lt;20,W1441&gt;=105),0.17,0)+IF(AND(V1441&gt;=20,V1441&lt;40,W1441&lt;45),0.23,0)+IF(AND(V1441&gt;=20,V1441&lt;40,W1441&gt;=45,W1441&lt;95),0.2,0)+IF(AND(V1441&gt;=20,V1441&lt;40,W1441&gt;=95,W1441&lt;=150),0.17,0)+IF(AND(V1441&gt;=20,V1441&lt;40,W1441&gt;=150),0.12,0)+IF(AND(V1441&gt;=40,V1441&lt;75,W1441&lt;35),0.23,0)+IF(AND(V1441&gt;=40,V1441&lt;75,W1441&gt;=35,W1441&lt;75),0.2,0)+IF(AND(V1441&gt;=40,V1441&lt;75,W1441&gt;=75,W1441&lt;120),0.17,0)+IF(AND(V1441&gt;=40,V1441&lt;75,W1441&gt;=120),0.12,0)+IF(AND(V1441&gt;=75,V1441&lt;175,W1441&lt;35),0.23,0)+IF(AND(V1441&gt;=75,V1441&lt;=175,W1441&gt;=35,W1441&lt;65),0.2,0)+IF(AND(V1441&gt;=75,V1441&lt;=175,W1441&gt;=65,W1441&lt;110),0.17,0)+IF(AND(V1441&gt;=75,V1441&lt;=175,W1441&gt;=110),0.12,0)+IF(AND(V1441&gt;175,W1441&lt;25),0.23,0)+IF(AND(V1441&gt;175,W1441&gt;=25,W1441&lt;55),0.2,0)+IF(AND(V1441&gt;175,W1441&gt;=55,W1441&lt;95),0.17,0)+IF(AND(V1441&gt;175,W1441&gt;=95),0.12,0),
IF(AF1441="DoEVs1",IF(AND(V1441&lt;20,W1441&lt;55),0.3,0)+IF(AND(V1441&lt;20,W1441&gt;=55,W1441&lt;105),0.23,0)+IF(AND(V1441&lt;20,W1441&gt;=105),0.17,0)+IF(AND(V1441&gt;=20,V1441&lt;40,W1441&lt;45),0.3,0)+IF(AND(V1441&gt;=20,V1441&lt;40,W1441&gt;=45,W1441&lt;95),0.23,0)+IF(AND(V1441&gt;=20,V1441&lt;40,W1441&gt;=95,W1441&lt;=150),0.17,0)+IF(AND(V1441&gt;=20,V1441&lt;40,W1441&gt;=150),0.12,0)+IF(AND(V1441&gt;=40,V1441&lt;75,W1441&lt;35),0.3,0)+IF(AND(V1441&gt;=40,V1441&lt;75,W1441&gt;=35,W1441&lt;75),0.23,0)+IF(AND(V1441&gt;=40,V1441&lt;75,W1441&gt;=75,W1441&lt;120),0.17,0)+IF(AND(V1441&gt;=40,V1441&lt;75,W1441&gt;=120),0.12,0)+IF(AND(V1441&gt;=75,V1441&lt;175,W1441&lt;35),0.3,0)+IF(AND(V1441&gt;=75,V1441&lt;=175,W1441&gt;=35,W1441&lt;65),0.23,0)+IF(AND(V1441&gt;=75,V1441&lt;=175,W1441&gt;=65,W1441&lt;110),0.17,0)+IF(AND(V1441&gt;=75,V1441&lt;=175,W1441&gt;=110),0.12,0)+IF(AND(V1441&gt;175,W1441&lt;25),0.3,0)+IF(AND(V1441&gt;175,W1441&gt;=25,W1441&lt;55),0.23,0)+IF(AND(V1441&gt;175,W1441&gt;=55,W1441&lt;95),0.17,0)+IF(AND(V1441&gt;175,W1441&gt;=95),0.12,0),
IF(AF1441="DoEVsu",IF(AND(V1441&lt;20,W1441&lt;55),0.3,0)+IF(AND(V1441&lt;20,W1441&gt;=55,W1441&lt;105),0.23,0)+IF(AND(V1441&lt;20,W1441&gt;=105),0.17,0)+IF(AND(V1441&gt;=20,V1441&lt;40,W1441&lt;45),0.3,0)+IF(AND(V1441&gt;=20,V1441&lt;40,W1441&gt;=45,W1441&lt;95),0.23,0)+IF(AND(V1441&gt;=20,V1441&lt;40,W1441&gt;=95,W1441&lt;=250),0.17,0)+IF(AND(V1441&gt;=20,V1441&lt;40,W1441&gt;=250),0.12,0)+IF(AND(V1441&gt;=40,V1441&lt;75,W1441&lt;35),0.3,0)+IF(AND(V1441&gt;=40,V1441&lt;75,W1441&gt;=35,W1441&lt;75),0.23,0)+IF(AND(V1441&gt;=40,V1441&lt;75,W1441&gt;=75,W1441&lt;120),0.17,0)+IF(AND(V1441&gt;=40,V1441&lt;75,W1441&gt;=120),0.12,0)+IF(AND(V1441&gt;=75,V1441&lt;175,W1441&lt;35),0.3,0)+IF(AND(V1441&gt;=75,V1441&lt;=175,W1441&gt;=35,W1441&lt;65),0.23,0)+IF(AND(V1441&gt;=75,V1441&lt;=175,W1441&gt;=65,W1441&lt;110),0.17,0)+IF(AND(V1441&gt;=75,V1441&lt;=175,W1441&gt;=110),0.12,0)+IF(AND(V1441&gt;175,W1441&lt;25),0.3,0)+IF(AND(V1441&gt;175,W1441&gt;=25,W1441&lt;55),0.23,0)+IF(AND(V1441&gt;175,W1441&gt;=55,W1441&lt;95),0.17,0)+IF(AND(V1441&gt;175,W1441&gt;=95),0.12,0),
IF(AF1441="DoEVni",IF(AND(V1441&lt;20,W1441&lt;55),0.3,0)+IF(AND(V1441&lt;20,W1441&gt;=55,W1441&lt;105),0.23,0)+IF(AND(V1441&lt;20,W1441&gt;=105),0.17,0)+IF(AND(V1441&gt;=20,V1441&lt;40,W1441&lt;45),0.3,0)+IF(AND(V1441&gt;=20,V1441&lt;40,W1441&gt;=45,W1441&lt;95),0.23,0)+IF(AND(V1441&gt;=20,V1441&lt;40,W1441&gt;=95,W1441&lt;=200),0.17,0)+IF(AND(V1441&gt;=20,V1441&lt;40,W1441&gt;=200),0.12,0)+IF(AND(V1441&gt;=40,V1441&lt;75,W1441&lt;35),0.3,0)+IF(AND(V1441&gt;=40,V1441&lt;75,W1441&gt;=35,W1441&lt;75),0.23,0)+IF(AND(V1441&gt;=40,V1441&lt;75,W1441&gt;=75,W1441&lt;120),0.17,0)+IF(AND(V1441&gt;=40,V1441&lt;75,W1441&gt;=120),0.12,0)+IF(AND(V1441&gt;=75,V1441&lt;175,W1441&lt;35),0.3,0)+IF(AND(V1441&gt;=75,V1441&lt;=175,W1441&gt;=35,W1441&lt;65),0.23,0)+IF(AND(V1441&gt;=75,V1441&lt;=175,W1441&gt;=65,W1441&lt;110),0.17,0)+IF(AND(V1441&gt;=75,V1441&lt;=175,W1441&gt;=110),0.12,0)+IF(AND(V1441&gt;175,W1441&lt;25),0.3,0)+IF(AND(V1441&gt;175,W1441&gt;=25,W1441&lt;55),0.23,0)+IF(AND(V1441&gt;175,W1441&gt;=55,W1441&lt;95),0.17,0)+IF(AND(V1441&gt;175,W1441&gt;=95),0.12,0),
IF(AF1441="DoEVLo",IF(AND(V1441&lt;20,W1441&lt;55),0.25,0)+IF(AND(V1441&lt;20,W1441&gt;=55,W1441&lt;105),0.2,0)+IF(AND(V1441&lt;20,W1441&gt;=105),0.15,0)+IF(AND(V1441&gt;=20,V1441&lt;40,W1441&lt;45),0.25,0)+IF(AND(V1441&gt;=20,V1441&lt;40,W1441&gt;=45,W1441&lt;95),0.2,0)+IF(AND(V1441&gt;=20,V1441&lt;40,W1441&gt;=95),0.15,0)+IF(AND(V1441&gt;=40,V1441&lt;75,W1441&lt;35),0.25,0)+IF(AND(V1441&gt;=40,V1441&lt;75,W1441&gt;=35,W1441&lt;75),0.2,0)+IF(AND(V1441&gt;=40,V1441&lt;75,W1441&gt;=75,W1441&lt;120),0.15,0)+IF(AND(V1441&gt;=40,V1441&lt;75,W1441&gt;=120),0.1,0)+IF(AND(V1441&gt;=75,V1441&lt;175,W1441&lt;35),0.25,0)+IF(AND(V1441&gt;=75,V1441&lt;=175,W1441&gt;=35,W1441&lt;65),0.2,0)+IF(AND(V1441&gt;=75,V1441&lt;=175,W1441&gt;=65,W1441&lt;110),0.15,0)+IF(AND(V1441&gt;=75,V1441&lt;=175,W1441&gt;=110),0.1,0)+IF(AND(V1441&gt;175,W1441&lt;25),0.25,0)+IF(AND(V1441&gt;175,W1441&gt;=25,W1441&lt;55),0.2,0)+IF(AND(V1441&gt;175,W1441&gt;=55,W1441&lt;95),0.15,0)+IF(AND(V1441&gt;175,W1441&gt;=95),0.1,0))))))))))))))))))))</f>
        <v>0.17</v>
      </c>
      <c r="Y1441" s="30">
        <f>IF(AG1441="None",0,IF(AG1441="Fix5",0.05, IF(AG1441="Fix6.25",0.0625,IF(AG1441="Fix3.75",0.0375, IF(AG1441="Fix11",0.11, IF(AG1441="Fix10",0.1,IF(AG1441="Fix3",0.03,0)))))))</f>
        <v>0</v>
      </c>
      <c r="Z1441" s="35">
        <f>IF(AND(AD1441="EUR", AE1441 = "USD"), T1441*U1441-AA1441-AB1441, T1441-AA1441-AB1441)</f>
        <v>1479.06</v>
      </c>
      <c r="AA1441" s="29">
        <f>IF(AND(AD1441="EUR", F1441="Without EV deal", AE1441="USD"), (T1441*X1441)*U1441,
IF(AND(AD1441="EUR", F1441="Without EV deal", AE1441="EUR"), (T1441*X1441),
IF(AND(AD1441="EUR",AE1441="USD"), (T1441*X1441)*U1441,
T1441*X1441)))</f>
        <v>302.94</v>
      </c>
      <c r="AB1441" s="36">
        <f>IF(AND(AD1441="EUR", F1441="Without EV deal", AE1441="USD"), (T1441*Y1441)*U1441,
IF(AND(AD1441="EUR", F1441="Without EV deal", AE1441="EUR"), (T1441*Y1441),
IF(AND(AD1441="EUR",AE1441="USD"), (T1441*Y1441)*U1441,
T1441*Y1441)))</f>
        <v>0</v>
      </c>
      <c r="AC1441" s="37" t="b">
        <v>1</v>
      </c>
      <c r="AD1441" s="82" t="str">
        <f>IF(OR(H1441="€0.25 Flash",
H1441="€0.25(nitro) new",
H1441="€1",
H1441="€2",
H1441="€2 (bf 01.08)",
H1441="€5",
H1441="€5 (1M)",
H1441="€5 (bf 01.08)",
H1441="€5 (bf 05.05)",
H1441="€5 Nitro",
H1441="€5(wx) new",
H1441="€10",
H1441="€10 (1M)",
H1441="€10 (bf 01.08)",
H1441="€10 (bf 05.05)",
H1441="€10 (MP)",
H1441="€10 (old)",
H1441="€10 Nitro (bf 05.05)",
H1441="€10 Nitro (old)",
H1441="€10(wx) new",
H1441="€20",
H1441="€25",
H1441="€25 (bf 01.08)",
H1441="€25 (bf 05.05)",
H1441="€25 (MP)",
H1441="€25 (old)",
H1441="€25 Nitro",
H1441="€25 Nitro (bf 01.08)",
H1441="€25 Nitro (bf 05.05)",
H1441="€25(nitro) new",
H1441="€25(wx) new",
H1441="€50",
H1441="€50 (bf 01.08)",
H1441="€50 (bf 05.05)",
H1441="€50 (old)",
H1441="€50 Nitro",
H1441="€50 Nitro (bf 01.08)",
H1441="€50 Nitro (bf 05.05)",
H1441="€50(wx) new",
H1441="€100",
H1441="€100 (old)",
H1441="€100 Nitro",
H1441="€100 Nitro (old)",
H1441="€200",
H1441="€250",
H1441="€250 Nitro",
H1441="€500",
H1441="€500 Nitro"),"EUR", "USD")</f>
        <v>USD</v>
      </c>
      <c r="AE1441" s="83" t="s">
        <v>38</v>
      </c>
      <c r="AF1441" s="83" t="str">
        <f t="array" ref="AF1441">INDEX('Deal Info'!D:D, MATCH(A1441,'Deal Info'!A:A, 0))</f>
        <v>DoEV</v>
      </c>
      <c r="AG1441" s="84" t="str">
        <f t="array" ref="AG1441">INDEX('Deal Info'!G:G, MATCH(A1441,'Deal Info'!A:A, 0))</f>
        <v>None</v>
      </c>
    </row>
    <row r="1442" spans="1:33" ht="14.25" hidden="1" x14ac:dyDescent="0.2">
      <c r="A1442" s="18" t="str">
        <f t="array" ref="A1442">IF(G1442='Room Info'!$B$1, INDEX('Room Info'!$A$2:$A2446, MATCH(B1442,'Room Info'!$B$2:$B2446, 0)),IF(G1442='Room Info'!$C$1, INDEX('Room Info'!$A$2:$A2446, MATCH(B1442,'Room Info'!$C$2:$C2446, 0)),IF(G1442='Room Info'!$D$1, INDEX('Room Info'!$A$2:$A2446, MATCH(B1442,'Room Info'!$D$2:$D2446, 0)),IF(G1442='Room Info'!$E$1, INDEX('Room Info'!$A$2:$A2446, MATCH(B1442,'Room Info'!$E$2:$E2446, 0)),IF(G1442='Room Info'!$F$1, INDEX('Room Info'!$A$2:$A2446, MATCH(B1442,'Room Info'!$F$2:$F2446, 0)),IF(G1442='Room Info'!$H$1, INDEX('Room Info'!$A$2:$A2446, MATCH(B1442,'Room Info'!$H$2:$H2446, 0)),IF(G1442='Room Info'!$G$1, INDEX('Room Info'!$A$2:$A2446, MATCH(B1442,'Room Info'!$G$2:$G2446, 0)))))))))</f>
        <v>BodyaComUa</v>
      </c>
      <c r="B1442" s="85" t="s">
        <v>156</v>
      </c>
      <c r="C1442" s="86">
        <v>44947</v>
      </c>
      <c r="D1442" s="87">
        <v>44977</v>
      </c>
      <c r="E1442" s="21">
        <v>44958</v>
      </c>
      <c r="F1442" s="22" t="s">
        <v>34</v>
      </c>
      <c r="G1442" s="18" t="s">
        <v>35</v>
      </c>
      <c r="H1442" s="23" t="s">
        <v>86</v>
      </c>
      <c r="I1442" s="23" t="s">
        <v>37</v>
      </c>
      <c r="J1442" s="39">
        <v>5</v>
      </c>
      <c r="K1442" s="88">
        <v>1000</v>
      </c>
      <c r="L1442" s="89">
        <v>25</v>
      </c>
      <c r="M1442" s="27"/>
      <c r="N1442" s="28">
        <f>K1442*J1442</f>
        <v>5000</v>
      </c>
      <c r="O1442" s="85">
        <v>71734</v>
      </c>
      <c r="P1442" s="29">
        <v>71.733999999999995</v>
      </c>
      <c r="Q1442" s="30"/>
      <c r="R1442" s="31">
        <f>M1442+Q1442</f>
        <v>0</v>
      </c>
      <c r="S1442" s="28"/>
      <c r="T1442" s="32">
        <f>IF(AND(AD1442="EUR", F1442="Without EV deal"), R1442 + L1442,
IF(AND(AD1442="USD", F1442="Without EV deal"), R1442 + L1442,
IF(AND(AD1442="EUR", F1442="Steel Phoenix"), R1442 + S1442/U1442,
R1442 + S1442)))</f>
        <v>0</v>
      </c>
      <c r="U1442" s="33">
        <v>1.0669999999999999</v>
      </c>
      <c r="V1442" s="34">
        <v>7.74</v>
      </c>
      <c r="W1442" s="34">
        <v>230.23255813953489</v>
      </c>
      <c r="X1442" s="30">
        <f>IF(AF1442="DoEV",IF(AND(V1442&lt;20,W1442&lt;55),0.3,0)+IF(AND(V1442&lt;20,W1442&gt;=55,W1442&lt;105),0.23,0)+IF(AND(V1442&lt;20,W1442&gt;=105),0.17,0)+IF(AND(V1442&gt;=20,V1442&lt;40,W1442&lt;45),0.3,0)+IF(AND(V1442&gt;=20,V1442&lt;40,W1442&gt;=45,W1442&lt;95),0.23,0)+IF(AND(V1442&gt;=20,V1442&lt;40,W1442&gt;=95),0.17,0)+IF(AND(V1442&gt;=40,V1442&lt;75,W1442&lt;35),0.3,0)+IF(AND(V1442&gt;=40,V1442&lt;75,W1442&gt;=35,W1442&lt;75),0.23,0)+IF(AND(V1442&gt;=40,V1442&lt;75,W1442&gt;=75,W1442&lt;120),0.17,0)+IF(AND(V1442&gt;=40,V1442&lt;75,W1442&gt;=120),0.12,0)+IF(AND(V1442&gt;=75,V1442&lt;175,W1442&lt;35),0.3,0)+IF(AND(V1442&gt;=75,V1442&lt;=175,W1442&gt;=35,W1442&lt;65),0.23,0)+IF(AND(V1442&gt;=75,V1442&lt;=175,W1442&gt;=65,W1442&lt;110),0.17,0)+IF(AND(V1442&gt;=75,V1442&lt;=175,W1442&gt;=110),0.12,0)+IF(AND(V1442&gt;175,W1442&lt;25),0.3,0)+IF(AND(V1442&gt;175,W1442&gt;=25,W1442&lt;55),0.23,0)+IF(AND(V1442&gt;175,W1442&gt;=55,W1442&lt;95),0.17,0)+IF(AND(V1442&gt;175,W1442&gt;=95),0.12,0),
IF(AF1442="Fix15",0.15,
IF(AF1442="Fix5",0.05,
IF(AF1442="Fix18.75",0.1875,
IF(AF1442="Fix11.25",0.1125,
IF(AF1442="Fix10",0.1,
IF(AF1442="Fix9",0.09,
IF(AF1442="Fix12",0.12,
IF(AF1442="Fix19",0.19,
IF(AF1442="DoEV2017",IF(AND(W1442&lt;74),0.2,0)+IF(AND(W1442&gt;=74),0.17,0),
IF(AF1442="SF",IF(AND(V1442&lt;20,W1442&lt;89),0.3,0)+IF(AND(V1442&lt;20,W1442&gt;=89),0.25,0)+IF(AND(V1442&gt;=20,V1442&lt;40,W1442&lt;74),0.3,0)+IF(AND(V1442&gt;=20,V1442&lt;40,W1442&gt;=75),0.22,0)+IF(AND(V1442&gt;=40,V1442&lt;75,W1442&lt;75),0.26,0)+IF(AND(V1442&gt;=40,V1442&lt;75,W1442&gt;=75),0.22,0)+IF(V1442&gt;=75,0.22,0),
IF(AF1442="DoEVold",IF(AND(V1442&lt;40,W1442&lt;35),0.35,0)+IF(AND(V1442&lt;40,W1442&gt;=35,W1442&lt;75),0.25,0)+IF(AND(V1442&lt;40,W1442&gt;=75),0.17,0)+IF(AND(V1442&gt;=40,V1442&lt;75,W1442&lt;25),0.35,0)+IF(AND(V1442&gt;=40,V1442&lt;75,W1442&gt;=25,W1442&lt;65),0.25,0)+IF(AND(V1442&gt;=40,V1442&lt;75,W1442&gt;=65,W1442&lt;100),0.17,0)+IF(AND(V1442&gt;=40,V1442&lt;75,W1442&gt;=100),0.1,0)+IF(AND(V1442&gt;=75,W1442&lt;25),0.35,0)+IF(AND(V1442&gt;=75,W1442&gt;=25,W1442&lt;60),0.25,0)+IF(AND(V1442&gt;=75,W1442&gt;=60,W1442&lt;95),0.17,0)+IF(AND(V1442&gt;=75,W1442&gt;=95),0.1,0),
IF(AF1442="DoEVold15",IF(AND(V1442&lt;=40,W1442&lt;35),0.35,0)+IF(AND(V1442&lt;=40,W1442&gt;=35,W1442&lt;75),0.25,0)+IF(AND(V1442&lt;=40,W1442&gt;=75,W1442&lt;120),0.17,0)+IF(AND(V1442&lt;=40,W1442&gt;=120),0.15,0)+IF(AND(V1442&gt;40,V1442&lt;75,W1442&lt;25),0.35,0)+IF(AND(V1442&gt;=40,V1442&lt;75,W1442&gt;=25,W1442&lt;65),0.25,0)+IF(AND(V1442&gt;=40,V1442&lt;75,W1442&gt;=65,W1442&lt;100),0.17,0)+IF(AND(V1442&gt;=40,V1442&lt;75,W1442&gt;=100),0.1,0)+IF(AND(V1442&gt;=75,W1442&lt;25),0.35,0)+IF(AND(V1442&gt;=75,W1442&gt;=25,W1442&lt;60),0.25,0)+IF(AND(V1442&gt;=75,W1442&gt;=60,W1442&lt;95),0.17,0)+IF(AND(V1442&gt;=75,W1442&gt;=95),0.1,0),
IF(AF1442="DoEVba",IF(AND(V1442&lt;20,W1442&lt;105),0.2,0)+IF(AND(V1442&lt;20,W1442&gt;=105),0.15,0)+IF(AND(V1442&gt;=20,V1442&lt;40,W1442&lt;95),0.2,0)+IF(AND(V1442&gt;=20,V1442&lt;40,W1442&gt;=95,W1442&lt;150),0.15,0)+IF(AND(V1442&gt;=20,V1442&lt;40,W1442&gt;=150),0.12,0)+IF(AND(V1442&gt;=40,V1442&lt;75,W1442&lt;75),0.2,0)+IF(AND(V1442&gt;=40,V1442&lt;75,W1442&gt;=75,W1442&lt;120),0.15,0)+IF(AND(V1442&gt;=40,V1442&lt;75,W1442&gt;=120),0.12,0)+IF(AND(V1442&gt;=75,V1442&lt;175,W1442&lt;65),0.2,0)+IF(AND(V1442&gt;=75,V1442&lt;175,W1442&gt;=65,W1442&lt;110),0.15,0)+IF(AND(V1442&gt;=75,V1442&lt;175,W1442&gt;=110),0.12,0)+IF(AND(V1442&gt;=175,W1442&lt;55),0.2,0)+IF(AND(V1442&gt;=175,W1442&gt;=55,W1442&lt;95),0.15,0)+IF(AND(V1442&gt;=175,W1442&gt;=95),0.12,0),
IF(AF1442="DoEVku",IF(AND(V1442&lt;20,W1442&lt;55),0.23,0)+IF(AND(V1442&lt;20,W1442&gt;=55,W1442&lt;105),0.2,0)+IF(AND(V1442&lt;20,W1442&gt;=105),0.17,0)+IF(AND(V1442&gt;=20,V1442&lt;40,W1442&lt;45),0.23,0)+IF(AND(V1442&gt;=20,V1442&lt;40,W1442&gt;=45,W1442&lt;95),0.2,0)+IF(AND(V1442&gt;=20,V1442&lt;40,W1442&gt;=95,W1442&lt;=150),0.17,0)+IF(AND(V1442&gt;=20,V1442&lt;40,W1442&gt;=150),0.12,0)+IF(AND(V1442&gt;=40,V1442&lt;75,W1442&lt;35),0.23,0)+IF(AND(V1442&gt;=40,V1442&lt;75,W1442&gt;=35,W1442&lt;75),0.2,0)+IF(AND(V1442&gt;=40,V1442&lt;75,W1442&gt;=75,W1442&lt;120),0.17,0)+IF(AND(V1442&gt;=40,V1442&lt;75,W1442&gt;=120),0.12,0)+IF(AND(V1442&gt;=75,V1442&lt;175,W1442&lt;35),0.23,0)+IF(AND(V1442&gt;=75,V1442&lt;=175,W1442&gt;=35,W1442&lt;65),0.2,0)+IF(AND(V1442&gt;=75,V1442&lt;=175,W1442&gt;=65,W1442&lt;110),0.17,0)+IF(AND(V1442&gt;=75,V1442&lt;=175,W1442&gt;=110),0.12,0)+IF(AND(V1442&gt;175,W1442&lt;25),0.23,0)+IF(AND(V1442&gt;175,W1442&gt;=25,W1442&lt;55),0.2,0)+IF(AND(V1442&gt;175,W1442&gt;=55,W1442&lt;95),0.17,0)+IF(AND(V1442&gt;175,W1442&gt;=95),0.12,0),
IF(AF1442="DoEVs1",IF(AND(V1442&lt;20,W1442&lt;55),0.3,0)+IF(AND(V1442&lt;20,W1442&gt;=55,W1442&lt;105),0.23,0)+IF(AND(V1442&lt;20,W1442&gt;=105),0.17,0)+IF(AND(V1442&gt;=20,V1442&lt;40,W1442&lt;45),0.3,0)+IF(AND(V1442&gt;=20,V1442&lt;40,W1442&gt;=45,W1442&lt;95),0.23,0)+IF(AND(V1442&gt;=20,V1442&lt;40,W1442&gt;=95,W1442&lt;=150),0.17,0)+IF(AND(V1442&gt;=20,V1442&lt;40,W1442&gt;=150),0.12,0)+IF(AND(V1442&gt;=40,V1442&lt;75,W1442&lt;35),0.3,0)+IF(AND(V1442&gt;=40,V1442&lt;75,W1442&gt;=35,W1442&lt;75),0.23,0)+IF(AND(V1442&gt;=40,V1442&lt;75,W1442&gt;=75,W1442&lt;120),0.17,0)+IF(AND(V1442&gt;=40,V1442&lt;75,W1442&gt;=120),0.12,0)+IF(AND(V1442&gt;=75,V1442&lt;175,W1442&lt;35),0.3,0)+IF(AND(V1442&gt;=75,V1442&lt;=175,W1442&gt;=35,W1442&lt;65),0.23,0)+IF(AND(V1442&gt;=75,V1442&lt;=175,W1442&gt;=65,W1442&lt;110),0.17,0)+IF(AND(V1442&gt;=75,V1442&lt;=175,W1442&gt;=110),0.12,0)+IF(AND(V1442&gt;175,W1442&lt;25),0.3,0)+IF(AND(V1442&gt;175,W1442&gt;=25,W1442&lt;55),0.23,0)+IF(AND(V1442&gt;175,W1442&gt;=55,W1442&lt;95),0.17,0)+IF(AND(V1442&gt;175,W1442&gt;=95),0.12,0),
IF(AF1442="DoEVsu",IF(AND(V1442&lt;20,W1442&lt;55),0.3,0)+IF(AND(V1442&lt;20,W1442&gt;=55,W1442&lt;105),0.23,0)+IF(AND(V1442&lt;20,W1442&gt;=105),0.17,0)+IF(AND(V1442&gt;=20,V1442&lt;40,W1442&lt;45),0.3,0)+IF(AND(V1442&gt;=20,V1442&lt;40,W1442&gt;=45,W1442&lt;95),0.23,0)+IF(AND(V1442&gt;=20,V1442&lt;40,W1442&gt;=95,W1442&lt;=250),0.17,0)+IF(AND(V1442&gt;=20,V1442&lt;40,W1442&gt;=250),0.12,0)+IF(AND(V1442&gt;=40,V1442&lt;75,W1442&lt;35),0.3,0)+IF(AND(V1442&gt;=40,V1442&lt;75,W1442&gt;=35,W1442&lt;75),0.23,0)+IF(AND(V1442&gt;=40,V1442&lt;75,W1442&gt;=75,W1442&lt;120),0.17,0)+IF(AND(V1442&gt;=40,V1442&lt;75,W1442&gt;=120),0.12,0)+IF(AND(V1442&gt;=75,V1442&lt;175,W1442&lt;35),0.3,0)+IF(AND(V1442&gt;=75,V1442&lt;=175,W1442&gt;=35,W1442&lt;65),0.23,0)+IF(AND(V1442&gt;=75,V1442&lt;=175,W1442&gt;=65,W1442&lt;110),0.17,0)+IF(AND(V1442&gt;=75,V1442&lt;=175,W1442&gt;=110),0.12,0)+IF(AND(V1442&gt;175,W1442&lt;25),0.3,0)+IF(AND(V1442&gt;175,W1442&gt;=25,W1442&lt;55),0.23,0)+IF(AND(V1442&gt;175,W1442&gt;=55,W1442&lt;95),0.17,0)+IF(AND(V1442&gt;175,W1442&gt;=95),0.12,0),
IF(AF1442="DoEVni",IF(AND(V1442&lt;20,W1442&lt;55),0.3,0)+IF(AND(V1442&lt;20,W1442&gt;=55,W1442&lt;105),0.23,0)+IF(AND(V1442&lt;20,W1442&gt;=105),0.17,0)+IF(AND(V1442&gt;=20,V1442&lt;40,W1442&lt;45),0.3,0)+IF(AND(V1442&gt;=20,V1442&lt;40,W1442&gt;=45,W1442&lt;95),0.23,0)+IF(AND(V1442&gt;=20,V1442&lt;40,W1442&gt;=95,W1442&lt;=200),0.17,0)+IF(AND(V1442&gt;=20,V1442&lt;40,W1442&gt;=200),0.12,0)+IF(AND(V1442&gt;=40,V1442&lt;75,W1442&lt;35),0.3,0)+IF(AND(V1442&gt;=40,V1442&lt;75,W1442&gt;=35,W1442&lt;75),0.23,0)+IF(AND(V1442&gt;=40,V1442&lt;75,W1442&gt;=75,W1442&lt;120),0.17,0)+IF(AND(V1442&gt;=40,V1442&lt;75,W1442&gt;=120),0.12,0)+IF(AND(V1442&gt;=75,V1442&lt;175,W1442&lt;35),0.3,0)+IF(AND(V1442&gt;=75,V1442&lt;=175,W1442&gt;=35,W1442&lt;65),0.23,0)+IF(AND(V1442&gt;=75,V1442&lt;=175,W1442&gt;=65,W1442&lt;110),0.17,0)+IF(AND(V1442&gt;=75,V1442&lt;=175,W1442&gt;=110),0.12,0)+IF(AND(V1442&gt;175,W1442&lt;25),0.3,0)+IF(AND(V1442&gt;175,W1442&gt;=25,W1442&lt;55),0.23,0)+IF(AND(V1442&gt;175,W1442&gt;=55,W1442&lt;95),0.17,0)+IF(AND(V1442&gt;175,W1442&gt;=95),0.12,0),
IF(AF1442="DoEVLo",IF(AND(V1442&lt;20,W1442&lt;55),0.25,0)+IF(AND(V1442&lt;20,W1442&gt;=55,W1442&lt;105),0.2,0)+IF(AND(V1442&lt;20,W1442&gt;=105),0.15,0)+IF(AND(V1442&gt;=20,V1442&lt;40,W1442&lt;45),0.25,0)+IF(AND(V1442&gt;=20,V1442&lt;40,W1442&gt;=45,W1442&lt;95),0.2,0)+IF(AND(V1442&gt;=20,V1442&lt;40,W1442&gt;=95),0.15,0)+IF(AND(V1442&gt;=40,V1442&lt;75,W1442&lt;35),0.25,0)+IF(AND(V1442&gt;=40,V1442&lt;75,W1442&gt;=35,W1442&lt;75),0.2,0)+IF(AND(V1442&gt;=40,V1442&lt;75,W1442&gt;=75,W1442&lt;120),0.15,0)+IF(AND(V1442&gt;=40,V1442&lt;75,W1442&gt;=120),0.1,0)+IF(AND(V1442&gt;=75,V1442&lt;175,W1442&lt;35),0.25,0)+IF(AND(V1442&gt;=75,V1442&lt;=175,W1442&gt;=35,W1442&lt;65),0.2,0)+IF(AND(V1442&gt;=75,V1442&lt;=175,W1442&gt;=65,W1442&lt;110),0.15,0)+IF(AND(V1442&gt;=75,V1442&lt;=175,W1442&gt;=110),0.1,0)+IF(AND(V1442&gt;175,W1442&lt;25),0.25,0)+IF(AND(V1442&gt;175,W1442&gt;=25,W1442&lt;55),0.2,0)+IF(AND(V1442&gt;175,W1442&gt;=55,W1442&lt;95),0.15,0)+IF(AND(V1442&gt;175,W1442&gt;=95),0.1,0))))))))))))))))))))</f>
        <v>0.17</v>
      </c>
      <c r="Y1442" s="30">
        <f>IF(AG1442="None",0,IF(AG1442="Fix5",0.05, IF(AG1442="Fix6.25",0.0625,IF(AG1442="Fix3.75",0.0375, IF(AG1442="Fix11",0.11, IF(AG1442="Fix10",0.1,IF(AG1442="Fix3",0.03,0)))))))</f>
        <v>0</v>
      </c>
      <c r="Z1442" s="35">
        <f>IF(AND(AD1442="EUR", AE1442 = "USD"), T1442*U1442-AA1442-AB1442, T1442-AA1442-AB1442)</f>
        <v>0</v>
      </c>
      <c r="AA1442" s="29">
        <f>IF(AND(AD1442="EUR", F1442="Without EV deal", AE1442="USD"), (T1442*X1442)*U1442,
IF(AND(AD1442="EUR", F1442="Without EV deal", AE1442="EUR"), (T1442*X1442),
IF(AND(AD1442="EUR",AE1442="USD"), (T1442*X1442)*U1442,
T1442*X1442)))</f>
        <v>0</v>
      </c>
      <c r="AB1442" s="36">
        <f>IF(AND(AD1442="EUR", F1442="Without EV deal", AE1442="USD"), (T1442*Y1442)*U1442,
IF(AND(AD1442="EUR", F1442="Without EV deal", AE1442="EUR"), (T1442*Y1442),
IF(AND(AD1442="EUR",AE1442="USD"), (T1442*Y1442)*U1442,
T1442*Y1442)))</f>
        <v>0</v>
      </c>
      <c r="AC1442" s="37" t="b">
        <v>1</v>
      </c>
      <c r="AD1442" s="82" t="str">
        <f>IF(OR(H1442="€0.25 Flash",
H1442="€0.25(nitro) new",
H1442="€1",
H1442="€2",
H1442="€2 (bf 01.08)",
H1442="€5",
H1442="€5 (1M)",
H1442="€5 (bf 01.08)",
H1442="€5 (bf 05.05)",
H1442="€5 Nitro",
H1442="€5(wx) new",
H1442="€10",
H1442="€10 (1M)",
H1442="€10 (bf 01.08)",
H1442="€10 (bf 05.05)",
H1442="€10 (MP)",
H1442="€10 (old)",
H1442="€10 Nitro (bf 05.05)",
H1442="€10 Nitro (old)",
H1442="€10(wx) new",
H1442="€20",
H1442="€25",
H1442="€25 (bf 01.08)",
H1442="€25 (bf 05.05)",
H1442="€25 (MP)",
H1442="€25 (old)",
H1442="€25 Nitro",
H1442="€25 Nitro (bf 01.08)",
H1442="€25 Nitro (bf 05.05)",
H1442="€25(nitro) new",
H1442="€25(wx) new",
H1442="€50",
H1442="€50 (bf 01.08)",
H1442="€50 (bf 05.05)",
H1442="€50 (old)",
H1442="€50 Nitro",
H1442="€50 Nitro (bf 01.08)",
H1442="€50 Nitro (bf 05.05)",
H1442="€50(wx) new",
H1442="€100",
H1442="€100 (old)",
H1442="€100 Nitro",
H1442="€100 Nitro (old)",
H1442="€200",
H1442="€250",
H1442="€250 Nitro",
H1442="€500",
H1442="€500 Nitro"),"EUR", "USD")</f>
        <v>USD</v>
      </c>
      <c r="AE1442" s="83" t="s">
        <v>38</v>
      </c>
      <c r="AF1442" s="83" t="str">
        <f t="array" ref="AF1442">INDEX('Deal Info'!D:D, MATCH(A1442,'Deal Info'!A:A, 0))</f>
        <v>DoEV</v>
      </c>
      <c r="AG1442" s="84" t="str">
        <f t="array" ref="AG1442">INDEX('Deal Info'!G:G, MATCH(A1442,'Deal Info'!A:A, 0))</f>
        <v>None</v>
      </c>
    </row>
    <row r="1443" spans="1:33" ht="14.25" hidden="1" x14ac:dyDescent="0.2">
      <c r="A1443" s="18" t="str">
        <f t="array" ref="A1443">IF(G1443='Room Info'!$B$1, INDEX('Room Info'!$A$2:$A2446, MATCH(B1443,'Room Info'!$B$2:$B2446, 0)),IF(G1443='Room Info'!$C$1, INDEX('Room Info'!$A$2:$A2446, MATCH(B1443,'Room Info'!$C$2:$C2446, 0)),IF(G1443='Room Info'!$D$1, INDEX('Room Info'!$A$2:$A2446, MATCH(B1443,'Room Info'!$D$2:$D2446, 0)),IF(G1443='Room Info'!$E$1, INDEX('Room Info'!$A$2:$A2446, MATCH(B1443,'Room Info'!$E$2:$E2446, 0)),IF(G1443='Room Info'!$F$1, INDEX('Room Info'!$A$2:$A2446, MATCH(B1443,'Room Info'!$F$2:$F2446, 0)),IF(G1443='Room Info'!$H$1, INDEX('Room Info'!$A$2:$A2446, MATCH(B1443,'Room Info'!$H$2:$H2446, 0)),IF(G1443='Room Info'!$G$1, INDEX('Room Info'!$A$2:$A2446, MATCH(B1443,'Room Info'!$G$2:$G2446, 0)))))))))</f>
        <v>BodyaComUa</v>
      </c>
      <c r="B1443" s="85" t="s">
        <v>156</v>
      </c>
      <c r="C1443" s="86">
        <v>44947</v>
      </c>
      <c r="D1443" s="87">
        <v>44977</v>
      </c>
      <c r="E1443" s="21">
        <v>44958</v>
      </c>
      <c r="F1443" s="22" t="s">
        <v>34</v>
      </c>
      <c r="G1443" s="18" t="s">
        <v>35</v>
      </c>
      <c r="H1443" s="23" t="s">
        <v>40</v>
      </c>
      <c r="I1443" s="23" t="s">
        <v>37</v>
      </c>
      <c r="J1443" s="39">
        <v>10</v>
      </c>
      <c r="K1443" s="88">
        <v>1500</v>
      </c>
      <c r="L1443" s="89">
        <v>150</v>
      </c>
      <c r="M1443" s="27"/>
      <c r="N1443" s="28">
        <f>K1443*J1443</f>
        <v>15000</v>
      </c>
      <c r="O1443" s="85">
        <v>84315</v>
      </c>
      <c r="P1443" s="29">
        <v>56.21</v>
      </c>
      <c r="Q1443" s="30"/>
      <c r="R1443" s="31">
        <f>M1443+Q1443</f>
        <v>0</v>
      </c>
      <c r="S1443" s="28"/>
      <c r="T1443" s="32">
        <f>IF(AND(AD1443="EUR", F1443="Without EV deal"), R1443 + L1443,
IF(AND(AD1443="USD", F1443="Without EV deal"), R1443 + L1443,
IF(AND(AD1443="EUR", F1443="Steel Phoenix"), R1443 + S1443/U1443,
R1443 + S1443)))</f>
        <v>0</v>
      </c>
      <c r="U1443" s="33">
        <v>1.0669999999999999</v>
      </c>
      <c r="V1443" s="34">
        <v>7.74</v>
      </c>
      <c r="W1443" s="34">
        <v>230.23255813953489</v>
      </c>
      <c r="X1443" s="30">
        <f>IF(AF1443="DoEV",IF(AND(V1443&lt;20,W1443&lt;55),0.3,0)+IF(AND(V1443&lt;20,W1443&gt;=55,W1443&lt;105),0.23,0)+IF(AND(V1443&lt;20,W1443&gt;=105),0.17,0)+IF(AND(V1443&gt;=20,V1443&lt;40,W1443&lt;45),0.3,0)+IF(AND(V1443&gt;=20,V1443&lt;40,W1443&gt;=45,W1443&lt;95),0.23,0)+IF(AND(V1443&gt;=20,V1443&lt;40,W1443&gt;=95),0.17,0)+IF(AND(V1443&gt;=40,V1443&lt;75,W1443&lt;35),0.3,0)+IF(AND(V1443&gt;=40,V1443&lt;75,W1443&gt;=35,W1443&lt;75),0.23,0)+IF(AND(V1443&gt;=40,V1443&lt;75,W1443&gt;=75,W1443&lt;120),0.17,0)+IF(AND(V1443&gt;=40,V1443&lt;75,W1443&gt;=120),0.12,0)+IF(AND(V1443&gt;=75,V1443&lt;175,W1443&lt;35),0.3,0)+IF(AND(V1443&gt;=75,V1443&lt;=175,W1443&gt;=35,W1443&lt;65),0.23,0)+IF(AND(V1443&gt;=75,V1443&lt;=175,W1443&gt;=65,W1443&lt;110),0.17,0)+IF(AND(V1443&gt;=75,V1443&lt;=175,W1443&gt;=110),0.12,0)+IF(AND(V1443&gt;175,W1443&lt;25),0.3,0)+IF(AND(V1443&gt;175,W1443&gt;=25,W1443&lt;55),0.23,0)+IF(AND(V1443&gt;175,W1443&gt;=55,W1443&lt;95),0.17,0)+IF(AND(V1443&gt;175,W1443&gt;=95),0.12,0),
IF(AF1443="Fix15",0.15,
IF(AF1443="Fix5",0.05,
IF(AF1443="Fix18.75",0.1875,
IF(AF1443="Fix11.25",0.1125,
IF(AF1443="Fix10",0.1,
IF(AF1443="Fix9",0.09,
IF(AF1443="Fix12",0.12,
IF(AF1443="Fix19",0.19,
IF(AF1443="DoEV2017",IF(AND(W1443&lt;74),0.2,0)+IF(AND(W1443&gt;=74),0.17,0),
IF(AF1443="SF",IF(AND(V1443&lt;20,W1443&lt;89),0.3,0)+IF(AND(V1443&lt;20,W1443&gt;=89),0.25,0)+IF(AND(V1443&gt;=20,V1443&lt;40,W1443&lt;74),0.3,0)+IF(AND(V1443&gt;=20,V1443&lt;40,W1443&gt;=75),0.22,0)+IF(AND(V1443&gt;=40,V1443&lt;75,W1443&lt;75),0.26,0)+IF(AND(V1443&gt;=40,V1443&lt;75,W1443&gt;=75),0.22,0)+IF(V1443&gt;=75,0.22,0),
IF(AF1443="DoEVold",IF(AND(V1443&lt;40,W1443&lt;35),0.35,0)+IF(AND(V1443&lt;40,W1443&gt;=35,W1443&lt;75),0.25,0)+IF(AND(V1443&lt;40,W1443&gt;=75),0.17,0)+IF(AND(V1443&gt;=40,V1443&lt;75,W1443&lt;25),0.35,0)+IF(AND(V1443&gt;=40,V1443&lt;75,W1443&gt;=25,W1443&lt;65),0.25,0)+IF(AND(V1443&gt;=40,V1443&lt;75,W1443&gt;=65,W1443&lt;100),0.17,0)+IF(AND(V1443&gt;=40,V1443&lt;75,W1443&gt;=100),0.1,0)+IF(AND(V1443&gt;=75,W1443&lt;25),0.35,0)+IF(AND(V1443&gt;=75,W1443&gt;=25,W1443&lt;60),0.25,0)+IF(AND(V1443&gt;=75,W1443&gt;=60,W1443&lt;95),0.17,0)+IF(AND(V1443&gt;=75,W1443&gt;=95),0.1,0),
IF(AF1443="DoEVold15",IF(AND(V1443&lt;=40,W1443&lt;35),0.35,0)+IF(AND(V1443&lt;=40,W1443&gt;=35,W1443&lt;75),0.25,0)+IF(AND(V1443&lt;=40,W1443&gt;=75,W1443&lt;120),0.17,0)+IF(AND(V1443&lt;=40,W1443&gt;=120),0.15,0)+IF(AND(V1443&gt;40,V1443&lt;75,W1443&lt;25),0.35,0)+IF(AND(V1443&gt;=40,V1443&lt;75,W1443&gt;=25,W1443&lt;65),0.25,0)+IF(AND(V1443&gt;=40,V1443&lt;75,W1443&gt;=65,W1443&lt;100),0.17,0)+IF(AND(V1443&gt;=40,V1443&lt;75,W1443&gt;=100),0.1,0)+IF(AND(V1443&gt;=75,W1443&lt;25),0.35,0)+IF(AND(V1443&gt;=75,W1443&gt;=25,W1443&lt;60),0.25,0)+IF(AND(V1443&gt;=75,W1443&gt;=60,W1443&lt;95),0.17,0)+IF(AND(V1443&gt;=75,W1443&gt;=95),0.1,0),
IF(AF1443="DoEVba",IF(AND(V1443&lt;20,W1443&lt;105),0.2,0)+IF(AND(V1443&lt;20,W1443&gt;=105),0.15,0)+IF(AND(V1443&gt;=20,V1443&lt;40,W1443&lt;95),0.2,0)+IF(AND(V1443&gt;=20,V1443&lt;40,W1443&gt;=95,W1443&lt;150),0.15,0)+IF(AND(V1443&gt;=20,V1443&lt;40,W1443&gt;=150),0.12,0)+IF(AND(V1443&gt;=40,V1443&lt;75,W1443&lt;75),0.2,0)+IF(AND(V1443&gt;=40,V1443&lt;75,W1443&gt;=75,W1443&lt;120),0.15,0)+IF(AND(V1443&gt;=40,V1443&lt;75,W1443&gt;=120),0.12,0)+IF(AND(V1443&gt;=75,V1443&lt;175,W1443&lt;65),0.2,0)+IF(AND(V1443&gt;=75,V1443&lt;175,W1443&gt;=65,W1443&lt;110),0.15,0)+IF(AND(V1443&gt;=75,V1443&lt;175,W1443&gt;=110),0.12,0)+IF(AND(V1443&gt;=175,W1443&lt;55),0.2,0)+IF(AND(V1443&gt;=175,W1443&gt;=55,W1443&lt;95),0.15,0)+IF(AND(V1443&gt;=175,W1443&gt;=95),0.12,0),
IF(AF1443="DoEVku",IF(AND(V1443&lt;20,W1443&lt;55),0.23,0)+IF(AND(V1443&lt;20,W1443&gt;=55,W1443&lt;105),0.2,0)+IF(AND(V1443&lt;20,W1443&gt;=105),0.17,0)+IF(AND(V1443&gt;=20,V1443&lt;40,W1443&lt;45),0.23,0)+IF(AND(V1443&gt;=20,V1443&lt;40,W1443&gt;=45,W1443&lt;95),0.2,0)+IF(AND(V1443&gt;=20,V1443&lt;40,W1443&gt;=95,W1443&lt;=150),0.17,0)+IF(AND(V1443&gt;=20,V1443&lt;40,W1443&gt;=150),0.12,0)+IF(AND(V1443&gt;=40,V1443&lt;75,W1443&lt;35),0.23,0)+IF(AND(V1443&gt;=40,V1443&lt;75,W1443&gt;=35,W1443&lt;75),0.2,0)+IF(AND(V1443&gt;=40,V1443&lt;75,W1443&gt;=75,W1443&lt;120),0.17,0)+IF(AND(V1443&gt;=40,V1443&lt;75,W1443&gt;=120),0.12,0)+IF(AND(V1443&gt;=75,V1443&lt;175,W1443&lt;35),0.23,0)+IF(AND(V1443&gt;=75,V1443&lt;=175,W1443&gt;=35,W1443&lt;65),0.2,0)+IF(AND(V1443&gt;=75,V1443&lt;=175,W1443&gt;=65,W1443&lt;110),0.17,0)+IF(AND(V1443&gt;=75,V1443&lt;=175,W1443&gt;=110),0.12,0)+IF(AND(V1443&gt;175,W1443&lt;25),0.23,0)+IF(AND(V1443&gt;175,W1443&gt;=25,W1443&lt;55),0.2,0)+IF(AND(V1443&gt;175,W1443&gt;=55,W1443&lt;95),0.17,0)+IF(AND(V1443&gt;175,W1443&gt;=95),0.12,0),
IF(AF1443="DoEVs1",IF(AND(V1443&lt;20,W1443&lt;55),0.3,0)+IF(AND(V1443&lt;20,W1443&gt;=55,W1443&lt;105),0.23,0)+IF(AND(V1443&lt;20,W1443&gt;=105),0.17,0)+IF(AND(V1443&gt;=20,V1443&lt;40,W1443&lt;45),0.3,0)+IF(AND(V1443&gt;=20,V1443&lt;40,W1443&gt;=45,W1443&lt;95),0.23,0)+IF(AND(V1443&gt;=20,V1443&lt;40,W1443&gt;=95,W1443&lt;=150),0.17,0)+IF(AND(V1443&gt;=20,V1443&lt;40,W1443&gt;=150),0.12,0)+IF(AND(V1443&gt;=40,V1443&lt;75,W1443&lt;35),0.3,0)+IF(AND(V1443&gt;=40,V1443&lt;75,W1443&gt;=35,W1443&lt;75),0.23,0)+IF(AND(V1443&gt;=40,V1443&lt;75,W1443&gt;=75,W1443&lt;120),0.17,0)+IF(AND(V1443&gt;=40,V1443&lt;75,W1443&gt;=120),0.12,0)+IF(AND(V1443&gt;=75,V1443&lt;175,W1443&lt;35),0.3,0)+IF(AND(V1443&gt;=75,V1443&lt;=175,W1443&gt;=35,W1443&lt;65),0.23,0)+IF(AND(V1443&gt;=75,V1443&lt;=175,W1443&gt;=65,W1443&lt;110),0.17,0)+IF(AND(V1443&gt;=75,V1443&lt;=175,W1443&gt;=110),0.12,0)+IF(AND(V1443&gt;175,W1443&lt;25),0.3,0)+IF(AND(V1443&gt;175,W1443&gt;=25,W1443&lt;55),0.23,0)+IF(AND(V1443&gt;175,W1443&gt;=55,W1443&lt;95),0.17,0)+IF(AND(V1443&gt;175,W1443&gt;=95),0.12,0),
IF(AF1443="DoEVsu",IF(AND(V1443&lt;20,W1443&lt;55),0.3,0)+IF(AND(V1443&lt;20,W1443&gt;=55,W1443&lt;105),0.23,0)+IF(AND(V1443&lt;20,W1443&gt;=105),0.17,0)+IF(AND(V1443&gt;=20,V1443&lt;40,W1443&lt;45),0.3,0)+IF(AND(V1443&gt;=20,V1443&lt;40,W1443&gt;=45,W1443&lt;95),0.23,0)+IF(AND(V1443&gt;=20,V1443&lt;40,W1443&gt;=95,W1443&lt;=250),0.17,0)+IF(AND(V1443&gt;=20,V1443&lt;40,W1443&gt;=250),0.12,0)+IF(AND(V1443&gt;=40,V1443&lt;75,W1443&lt;35),0.3,0)+IF(AND(V1443&gt;=40,V1443&lt;75,W1443&gt;=35,W1443&lt;75),0.23,0)+IF(AND(V1443&gt;=40,V1443&lt;75,W1443&gt;=75,W1443&lt;120),0.17,0)+IF(AND(V1443&gt;=40,V1443&lt;75,W1443&gt;=120),0.12,0)+IF(AND(V1443&gt;=75,V1443&lt;175,W1443&lt;35),0.3,0)+IF(AND(V1443&gt;=75,V1443&lt;=175,W1443&gt;=35,W1443&lt;65),0.23,0)+IF(AND(V1443&gt;=75,V1443&lt;=175,W1443&gt;=65,W1443&lt;110),0.17,0)+IF(AND(V1443&gt;=75,V1443&lt;=175,W1443&gt;=110),0.12,0)+IF(AND(V1443&gt;175,W1443&lt;25),0.3,0)+IF(AND(V1443&gt;175,W1443&gt;=25,W1443&lt;55),0.23,0)+IF(AND(V1443&gt;175,W1443&gt;=55,W1443&lt;95),0.17,0)+IF(AND(V1443&gt;175,W1443&gt;=95),0.12,0),
IF(AF1443="DoEVni",IF(AND(V1443&lt;20,W1443&lt;55),0.3,0)+IF(AND(V1443&lt;20,W1443&gt;=55,W1443&lt;105),0.23,0)+IF(AND(V1443&lt;20,W1443&gt;=105),0.17,0)+IF(AND(V1443&gt;=20,V1443&lt;40,W1443&lt;45),0.3,0)+IF(AND(V1443&gt;=20,V1443&lt;40,W1443&gt;=45,W1443&lt;95),0.23,0)+IF(AND(V1443&gt;=20,V1443&lt;40,W1443&gt;=95,W1443&lt;=200),0.17,0)+IF(AND(V1443&gt;=20,V1443&lt;40,W1443&gt;=200),0.12,0)+IF(AND(V1443&gt;=40,V1443&lt;75,W1443&lt;35),0.3,0)+IF(AND(V1443&gt;=40,V1443&lt;75,W1443&gt;=35,W1443&lt;75),0.23,0)+IF(AND(V1443&gt;=40,V1443&lt;75,W1443&gt;=75,W1443&lt;120),0.17,0)+IF(AND(V1443&gt;=40,V1443&lt;75,W1443&gt;=120),0.12,0)+IF(AND(V1443&gt;=75,V1443&lt;175,W1443&lt;35),0.3,0)+IF(AND(V1443&gt;=75,V1443&lt;=175,W1443&gt;=35,W1443&lt;65),0.23,0)+IF(AND(V1443&gt;=75,V1443&lt;=175,W1443&gt;=65,W1443&lt;110),0.17,0)+IF(AND(V1443&gt;=75,V1443&lt;=175,W1443&gt;=110),0.12,0)+IF(AND(V1443&gt;175,W1443&lt;25),0.3,0)+IF(AND(V1443&gt;175,W1443&gt;=25,W1443&lt;55),0.23,0)+IF(AND(V1443&gt;175,W1443&gt;=55,W1443&lt;95),0.17,0)+IF(AND(V1443&gt;175,W1443&gt;=95),0.12,0),
IF(AF1443="DoEVLo",IF(AND(V1443&lt;20,W1443&lt;55),0.25,0)+IF(AND(V1443&lt;20,W1443&gt;=55,W1443&lt;105),0.2,0)+IF(AND(V1443&lt;20,W1443&gt;=105),0.15,0)+IF(AND(V1443&gt;=20,V1443&lt;40,W1443&lt;45),0.25,0)+IF(AND(V1443&gt;=20,V1443&lt;40,W1443&gt;=45,W1443&lt;95),0.2,0)+IF(AND(V1443&gt;=20,V1443&lt;40,W1443&gt;=95),0.15,0)+IF(AND(V1443&gt;=40,V1443&lt;75,W1443&lt;35),0.25,0)+IF(AND(V1443&gt;=40,V1443&lt;75,W1443&gt;=35,W1443&lt;75),0.2,0)+IF(AND(V1443&gt;=40,V1443&lt;75,W1443&gt;=75,W1443&lt;120),0.15,0)+IF(AND(V1443&gt;=40,V1443&lt;75,W1443&gt;=120),0.1,0)+IF(AND(V1443&gt;=75,V1443&lt;175,W1443&lt;35),0.25,0)+IF(AND(V1443&gt;=75,V1443&lt;=175,W1443&gt;=35,W1443&lt;65),0.2,0)+IF(AND(V1443&gt;=75,V1443&lt;=175,W1443&gt;=65,W1443&lt;110),0.15,0)+IF(AND(V1443&gt;=75,V1443&lt;=175,W1443&gt;=110),0.1,0)+IF(AND(V1443&gt;175,W1443&lt;25),0.25,0)+IF(AND(V1443&gt;175,W1443&gt;=25,W1443&lt;55),0.2,0)+IF(AND(V1443&gt;175,W1443&gt;=55,W1443&lt;95),0.15,0)+IF(AND(V1443&gt;175,W1443&gt;=95),0.1,0))))))))))))))))))))</f>
        <v>0.17</v>
      </c>
      <c r="Y1443" s="30">
        <f>IF(AG1443="None",0,IF(AG1443="Fix5",0.05, IF(AG1443="Fix6.25",0.0625,IF(AG1443="Fix3.75",0.0375, IF(AG1443="Fix11",0.11, IF(AG1443="Fix10",0.1,IF(AG1443="Fix3",0.03,0)))))))</f>
        <v>0</v>
      </c>
      <c r="Z1443" s="35">
        <f>IF(AND(AD1443="EUR", AE1443 = "USD"), T1443*U1443-AA1443-AB1443, T1443-AA1443-AB1443)</f>
        <v>0</v>
      </c>
      <c r="AA1443" s="29">
        <f>IF(AND(AD1443="EUR", F1443="Without EV deal", AE1443="USD"), (T1443*X1443)*U1443,
IF(AND(AD1443="EUR", F1443="Without EV deal", AE1443="EUR"), (T1443*X1443),
IF(AND(AD1443="EUR",AE1443="USD"), (T1443*X1443)*U1443,
T1443*X1443)))</f>
        <v>0</v>
      </c>
      <c r="AB1443" s="36">
        <f>IF(AND(AD1443="EUR", F1443="Without EV deal", AE1443="USD"), (T1443*Y1443)*U1443,
IF(AND(AD1443="EUR", F1443="Without EV deal", AE1443="EUR"), (T1443*Y1443),
IF(AND(AD1443="EUR",AE1443="USD"), (T1443*Y1443)*U1443,
T1443*Y1443)))</f>
        <v>0</v>
      </c>
      <c r="AC1443" s="37" t="b">
        <v>1</v>
      </c>
      <c r="AD1443" s="82" t="str">
        <f>IF(OR(H1443="€0.25 Flash",
H1443="€0.25(nitro) new",
H1443="€1",
H1443="€2",
H1443="€2 (bf 01.08)",
H1443="€5",
H1443="€5 (1M)",
H1443="€5 (bf 01.08)",
H1443="€5 (bf 05.05)",
H1443="€5 Nitro",
H1443="€5(wx) new",
H1443="€10",
H1443="€10 (1M)",
H1443="€10 (bf 01.08)",
H1443="€10 (bf 05.05)",
H1443="€10 (MP)",
H1443="€10 (old)",
H1443="€10 Nitro (bf 05.05)",
H1443="€10 Nitro (old)",
H1443="€10(wx) new",
H1443="€20",
H1443="€25",
H1443="€25 (bf 01.08)",
H1443="€25 (bf 05.05)",
H1443="€25 (MP)",
H1443="€25 (old)",
H1443="€25 Nitro",
H1443="€25 Nitro (bf 01.08)",
H1443="€25 Nitro (bf 05.05)",
H1443="€25(nitro) new",
H1443="€25(wx) new",
H1443="€50",
H1443="€50 (bf 01.08)",
H1443="€50 (bf 05.05)",
H1443="€50 (old)",
H1443="€50 Nitro",
H1443="€50 Nitro (bf 01.08)",
H1443="€50 Nitro (bf 05.05)",
H1443="€50(wx) new",
H1443="€100",
H1443="€100 (old)",
H1443="€100 Nitro",
H1443="€100 Nitro (old)",
H1443="€200",
H1443="€250",
H1443="€250 Nitro",
H1443="€500",
H1443="€500 Nitro"),"EUR", "USD")</f>
        <v>USD</v>
      </c>
      <c r="AE1443" s="83" t="s">
        <v>38</v>
      </c>
      <c r="AF1443" s="83" t="str">
        <f t="array" ref="AF1443">INDEX('Deal Info'!D:D, MATCH(A1443,'Deal Info'!A:A, 0))</f>
        <v>DoEV</v>
      </c>
      <c r="AG1443" s="84" t="str">
        <f t="array" ref="AG1443">INDEX('Deal Info'!G:G, MATCH(A1443,'Deal Info'!A:A, 0))</f>
        <v>None</v>
      </c>
    </row>
    <row r="1444" spans="1:33" ht="14.25" hidden="1" x14ac:dyDescent="0.2">
      <c r="A1444" s="18" t="str">
        <f t="array" ref="A1444">IF(G1444='Room Info'!$B$1, INDEX('Room Info'!$A$2:$A2446, MATCH(B1444,'Room Info'!$B$2:$B2446, 0)),IF(G1444='Room Info'!$C$1, INDEX('Room Info'!$A$2:$A2446, MATCH(B1444,'Room Info'!$C$2:$C2446, 0)),IF(G1444='Room Info'!$D$1, INDEX('Room Info'!$A$2:$A2446, MATCH(B1444,'Room Info'!$D$2:$D2446, 0)),IF(G1444='Room Info'!$E$1, INDEX('Room Info'!$A$2:$A2446, MATCH(B1444,'Room Info'!$E$2:$E2446, 0)),IF(G1444='Room Info'!$F$1, INDEX('Room Info'!$A$2:$A2446, MATCH(B1444,'Room Info'!$F$2:$F2446, 0)),IF(G1444='Room Info'!$H$1, INDEX('Room Info'!$A$2:$A2446, MATCH(B1444,'Room Info'!$H$2:$H2446, 0)),IF(G1444='Room Info'!$G$1, INDEX('Room Info'!$A$2:$A2446, MATCH(B1444,'Room Info'!$G$2:$G2446, 0)))))))))</f>
        <v>bbaltqq</v>
      </c>
      <c r="B1444" s="85" t="s">
        <v>89</v>
      </c>
      <c r="C1444" s="86">
        <v>44947</v>
      </c>
      <c r="D1444" s="87">
        <v>44977</v>
      </c>
      <c r="E1444" s="21">
        <v>44958</v>
      </c>
      <c r="F1444" s="22" t="s">
        <v>34</v>
      </c>
      <c r="G1444" s="18" t="s">
        <v>35</v>
      </c>
      <c r="H1444" s="23" t="s">
        <v>39</v>
      </c>
      <c r="I1444" s="23" t="s">
        <v>37</v>
      </c>
      <c r="J1444" s="39">
        <v>5</v>
      </c>
      <c r="K1444" s="88">
        <v>2</v>
      </c>
      <c r="L1444" s="89">
        <v>-10</v>
      </c>
      <c r="M1444" s="42">
        <v>8155</v>
      </c>
      <c r="N1444" s="28">
        <f>K1444*J1444</f>
        <v>10</v>
      </c>
      <c r="O1444" s="18"/>
      <c r="P1444" s="29">
        <v>0</v>
      </c>
      <c r="Q1444" s="30"/>
      <c r="R1444" s="31">
        <f>M1444+Q1444</f>
        <v>8155</v>
      </c>
      <c r="S1444" s="119">
        <v>-6220</v>
      </c>
      <c r="T1444" s="32">
        <f>IF(AND(AD1444="EUR", F1444="Without EV deal"), R1444 + L1444,
IF(AND(AD1444="USD", F1444="Without EV deal"), R1444 + L1444,
IF(AND(AD1444="EUR", F1444="Steel Phoenix"), R1444 + S1444/U1444,
R1444 + S1444)))</f>
        <v>1935</v>
      </c>
      <c r="U1444" s="33">
        <v>1.0669999999999999</v>
      </c>
      <c r="V1444" s="34">
        <v>49.968936953520476</v>
      </c>
      <c r="W1444" s="34">
        <v>38.724057744111619</v>
      </c>
      <c r="X1444" s="30">
        <f>IF(AF1444="DoEV",IF(AND(V1444&lt;20,W1444&lt;55),0.3,0)+IF(AND(V1444&lt;20,W1444&gt;=55,W1444&lt;105),0.23,0)+IF(AND(V1444&lt;20,W1444&gt;=105),0.17,0)+IF(AND(V1444&gt;=20,V1444&lt;40,W1444&lt;45),0.3,0)+IF(AND(V1444&gt;=20,V1444&lt;40,W1444&gt;=45,W1444&lt;95),0.23,0)+IF(AND(V1444&gt;=20,V1444&lt;40,W1444&gt;=95),0.17,0)+IF(AND(V1444&gt;=40,V1444&lt;75,W1444&lt;35),0.3,0)+IF(AND(V1444&gt;=40,V1444&lt;75,W1444&gt;=35,W1444&lt;75),0.23,0)+IF(AND(V1444&gt;=40,V1444&lt;75,W1444&gt;=75,W1444&lt;120),0.17,0)+IF(AND(V1444&gt;=40,V1444&lt;75,W1444&gt;=120),0.12,0)+IF(AND(V1444&gt;=75,V1444&lt;175,W1444&lt;35),0.3,0)+IF(AND(V1444&gt;=75,V1444&lt;=175,W1444&gt;=35,W1444&lt;65),0.23,0)+IF(AND(V1444&gt;=75,V1444&lt;=175,W1444&gt;=65,W1444&lt;110),0.17,0)+IF(AND(V1444&gt;=75,V1444&lt;=175,W1444&gt;=110),0.12,0)+IF(AND(V1444&gt;175,W1444&lt;25),0.3,0)+IF(AND(V1444&gt;175,W1444&gt;=25,W1444&lt;55),0.23,0)+IF(AND(V1444&gt;175,W1444&gt;=55,W1444&lt;95),0.17,0)+IF(AND(V1444&gt;175,W1444&gt;=95),0.12,0),
IF(AF1444="Fix15",0.15,
IF(AF1444="Fix5",0.05,
IF(AF1444="Fix18.75",0.1875,
IF(AF1444="Fix11.25",0.1125,
IF(AF1444="Fix10",0.1,
IF(AF1444="Fix9",0.09,
IF(AF1444="Fix12",0.12,
IF(AF1444="Fix19",0.19,
IF(AF1444="DoEV2017",IF(AND(W1444&lt;74),0.2,0)+IF(AND(W1444&gt;=74),0.17,0),
IF(AF1444="SF",IF(AND(V1444&lt;20,W1444&lt;89),0.3,0)+IF(AND(V1444&lt;20,W1444&gt;=89),0.25,0)+IF(AND(V1444&gt;=20,V1444&lt;40,W1444&lt;74),0.3,0)+IF(AND(V1444&gt;=20,V1444&lt;40,W1444&gt;=75),0.22,0)+IF(AND(V1444&gt;=40,V1444&lt;75,W1444&lt;75),0.26,0)+IF(AND(V1444&gt;=40,V1444&lt;75,W1444&gt;=75),0.22,0)+IF(V1444&gt;=75,0.22,0),
IF(AF1444="DoEVold",IF(AND(V1444&lt;40,W1444&lt;35),0.35,0)+IF(AND(V1444&lt;40,W1444&gt;=35,W1444&lt;75),0.25,0)+IF(AND(V1444&lt;40,W1444&gt;=75),0.17,0)+IF(AND(V1444&gt;=40,V1444&lt;75,W1444&lt;25),0.35,0)+IF(AND(V1444&gt;=40,V1444&lt;75,W1444&gt;=25,W1444&lt;65),0.25,0)+IF(AND(V1444&gt;=40,V1444&lt;75,W1444&gt;=65,W1444&lt;100),0.17,0)+IF(AND(V1444&gt;=40,V1444&lt;75,W1444&gt;=100),0.1,0)+IF(AND(V1444&gt;=75,W1444&lt;25),0.35,0)+IF(AND(V1444&gt;=75,W1444&gt;=25,W1444&lt;60),0.25,0)+IF(AND(V1444&gt;=75,W1444&gt;=60,W1444&lt;95),0.17,0)+IF(AND(V1444&gt;=75,W1444&gt;=95),0.1,0),
IF(AF1444="DoEVold15",IF(AND(V1444&lt;=40,W1444&lt;35),0.35,0)+IF(AND(V1444&lt;=40,W1444&gt;=35,W1444&lt;75),0.25,0)+IF(AND(V1444&lt;=40,W1444&gt;=75,W1444&lt;120),0.17,0)+IF(AND(V1444&lt;=40,W1444&gt;=120),0.15,0)+IF(AND(V1444&gt;40,V1444&lt;75,W1444&lt;25),0.35,0)+IF(AND(V1444&gt;=40,V1444&lt;75,W1444&gt;=25,W1444&lt;65),0.25,0)+IF(AND(V1444&gt;=40,V1444&lt;75,W1444&gt;=65,W1444&lt;100),0.17,0)+IF(AND(V1444&gt;=40,V1444&lt;75,W1444&gt;=100),0.1,0)+IF(AND(V1444&gt;=75,W1444&lt;25),0.35,0)+IF(AND(V1444&gt;=75,W1444&gt;=25,W1444&lt;60),0.25,0)+IF(AND(V1444&gt;=75,W1444&gt;=60,W1444&lt;95),0.17,0)+IF(AND(V1444&gt;=75,W1444&gt;=95),0.1,0),
IF(AF1444="DoEVba",IF(AND(V1444&lt;20,W1444&lt;105),0.2,0)+IF(AND(V1444&lt;20,W1444&gt;=105),0.15,0)+IF(AND(V1444&gt;=20,V1444&lt;40,W1444&lt;95),0.2,0)+IF(AND(V1444&gt;=20,V1444&lt;40,W1444&gt;=95,W1444&lt;150),0.15,0)+IF(AND(V1444&gt;=20,V1444&lt;40,W1444&gt;=150),0.12,0)+IF(AND(V1444&gt;=40,V1444&lt;75,W1444&lt;75),0.2,0)+IF(AND(V1444&gt;=40,V1444&lt;75,W1444&gt;=75,W1444&lt;120),0.15,0)+IF(AND(V1444&gt;=40,V1444&lt;75,W1444&gt;=120),0.12,0)+IF(AND(V1444&gt;=75,V1444&lt;175,W1444&lt;65),0.2,0)+IF(AND(V1444&gt;=75,V1444&lt;175,W1444&gt;=65,W1444&lt;110),0.15,0)+IF(AND(V1444&gt;=75,V1444&lt;175,W1444&gt;=110),0.12,0)+IF(AND(V1444&gt;=175,W1444&lt;55),0.2,0)+IF(AND(V1444&gt;=175,W1444&gt;=55,W1444&lt;95),0.15,0)+IF(AND(V1444&gt;=175,W1444&gt;=95),0.12,0),
IF(AF1444="DoEVku",IF(AND(V1444&lt;20,W1444&lt;55),0.23,0)+IF(AND(V1444&lt;20,W1444&gt;=55,W1444&lt;105),0.2,0)+IF(AND(V1444&lt;20,W1444&gt;=105),0.17,0)+IF(AND(V1444&gt;=20,V1444&lt;40,W1444&lt;45),0.23,0)+IF(AND(V1444&gt;=20,V1444&lt;40,W1444&gt;=45,W1444&lt;95),0.2,0)+IF(AND(V1444&gt;=20,V1444&lt;40,W1444&gt;=95,W1444&lt;=150),0.17,0)+IF(AND(V1444&gt;=20,V1444&lt;40,W1444&gt;=150),0.12,0)+IF(AND(V1444&gt;=40,V1444&lt;75,W1444&lt;35),0.23,0)+IF(AND(V1444&gt;=40,V1444&lt;75,W1444&gt;=35,W1444&lt;75),0.2,0)+IF(AND(V1444&gt;=40,V1444&lt;75,W1444&gt;=75,W1444&lt;120),0.17,0)+IF(AND(V1444&gt;=40,V1444&lt;75,W1444&gt;=120),0.12,0)+IF(AND(V1444&gt;=75,V1444&lt;175,W1444&lt;35),0.23,0)+IF(AND(V1444&gt;=75,V1444&lt;=175,W1444&gt;=35,W1444&lt;65),0.2,0)+IF(AND(V1444&gt;=75,V1444&lt;=175,W1444&gt;=65,W1444&lt;110),0.17,0)+IF(AND(V1444&gt;=75,V1444&lt;=175,W1444&gt;=110),0.12,0)+IF(AND(V1444&gt;175,W1444&lt;25),0.23,0)+IF(AND(V1444&gt;175,W1444&gt;=25,W1444&lt;55),0.2,0)+IF(AND(V1444&gt;175,W1444&gt;=55,W1444&lt;95),0.17,0)+IF(AND(V1444&gt;175,W1444&gt;=95),0.12,0),
IF(AF1444="DoEVs1",IF(AND(V1444&lt;20,W1444&lt;55),0.3,0)+IF(AND(V1444&lt;20,W1444&gt;=55,W1444&lt;105),0.23,0)+IF(AND(V1444&lt;20,W1444&gt;=105),0.17,0)+IF(AND(V1444&gt;=20,V1444&lt;40,W1444&lt;45),0.3,0)+IF(AND(V1444&gt;=20,V1444&lt;40,W1444&gt;=45,W1444&lt;95),0.23,0)+IF(AND(V1444&gt;=20,V1444&lt;40,W1444&gt;=95,W1444&lt;=150),0.17,0)+IF(AND(V1444&gt;=20,V1444&lt;40,W1444&gt;=150),0.12,0)+IF(AND(V1444&gt;=40,V1444&lt;75,W1444&lt;35),0.3,0)+IF(AND(V1444&gt;=40,V1444&lt;75,W1444&gt;=35,W1444&lt;75),0.23,0)+IF(AND(V1444&gt;=40,V1444&lt;75,W1444&gt;=75,W1444&lt;120),0.17,0)+IF(AND(V1444&gt;=40,V1444&lt;75,W1444&gt;=120),0.12,0)+IF(AND(V1444&gt;=75,V1444&lt;175,W1444&lt;35),0.3,0)+IF(AND(V1444&gt;=75,V1444&lt;=175,W1444&gt;=35,W1444&lt;65),0.23,0)+IF(AND(V1444&gt;=75,V1444&lt;=175,W1444&gt;=65,W1444&lt;110),0.17,0)+IF(AND(V1444&gt;=75,V1444&lt;=175,W1444&gt;=110),0.12,0)+IF(AND(V1444&gt;175,W1444&lt;25),0.3,0)+IF(AND(V1444&gt;175,W1444&gt;=25,W1444&lt;55),0.23,0)+IF(AND(V1444&gt;175,W1444&gt;=55,W1444&lt;95),0.17,0)+IF(AND(V1444&gt;175,W1444&gt;=95),0.12,0),
IF(AF1444="DoEVsu",IF(AND(V1444&lt;20,W1444&lt;55),0.3,0)+IF(AND(V1444&lt;20,W1444&gt;=55,W1444&lt;105),0.23,0)+IF(AND(V1444&lt;20,W1444&gt;=105),0.17,0)+IF(AND(V1444&gt;=20,V1444&lt;40,W1444&lt;45),0.3,0)+IF(AND(V1444&gt;=20,V1444&lt;40,W1444&gt;=45,W1444&lt;95),0.23,0)+IF(AND(V1444&gt;=20,V1444&lt;40,W1444&gt;=95,W1444&lt;=250),0.17,0)+IF(AND(V1444&gt;=20,V1444&lt;40,W1444&gt;=250),0.12,0)+IF(AND(V1444&gt;=40,V1444&lt;75,W1444&lt;35),0.3,0)+IF(AND(V1444&gt;=40,V1444&lt;75,W1444&gt;=35,W1444&lt;75),0.23,0)+IF(AND(V1444&gt;=40,V1444&lt;75,W1444&gt;=75,W1444&lt;120),0.17,0)+IF(AND(V1444&gt;=40,V1444&lt;75,W1444&gt;=120),0.12,0)+IF(AND(V1444&gt;=75,V1444&lt;175,W1444&lt;35),0.3,0)+IF(AND(V1444&gt;=75,V1444&lt;=175,W1444&gt;=35,W1444&lt;65),0.23,0)+IF(AND(V1444&gt;=75,V1444&lt;=175,W1444&gt;=65,W1444&lt;110),0.17,0)+IF(AND(V1444&gt;=75,V1444&lt;=175,W1444&gt;=110),0.12,0)+IF(AND(V1444&gt;175,W1444&lt;25),0.3,0)+IF(AND(V1444&gt;175,W1444&gt;=25,W1444&lt;55),0.23,0)+IF(AND(V1444&gt;175,W1444&gt;=55,W1444&lt;95),0.17,0)+IF(AND(V1444&gt;175,W1444&gt;=95),0.12,0),
IF(AF1444="DoEVni",IF(AND(V1444&lt;20,W1444&lt;55),0.3,0)+IF(AND(V1444&lt;20,W1444&gt;=55,W1444&lt;105),0.23,0)+IF(AND(V1444&lt;20,W1444&gt;=105),0.17,0)+IF(AND(V1444&gt;=20,V1444&lt;40,W1444&lt;45),0.3,0)+IF(AND(V1444&gt;=20,V1444&lt;40,W1444&gt;=45,W1444&lt;95),0.23,0)+IF(AND(V1444&gt;=20,V1444&lt;40,W1444&gt;=95,W1444&lt;=200),0.17,0)+IF(AND(V1444&gt;=20,V1444&lt;40,W1444&gt;=200),0.12,0)+IF(AND(V1444&gt;=40,V1444&lt;75,W1444&lt;35),0.3,0)+IF(AND(V1444&gt;=40,V1444&lt;75,W1444&gt;=35,W1444&lt;75),0.23,0)+IF(AND(V1444&gt;=40,V1444&lt;75,W1444&gt;=75,W1444&lt;120),0.17,0)+IF(AND(V1444&gt;=40,V1444&lt;75,W1444&gt;=120),0.12,0)+IF(AND(V1444&gt;=75,V1444&lt;175,W1444&lt;35),0.3,0)+IF(AND(V1444&gt;=75,V1444&lt;=175,W1444&gt;=35,W1444&lt;65),0.23,0)+IF(AND(V1444&gt;=75,V1444&lt;=175,W1444&gt;=65,W1444&lt;110),0.17,0)+IF(AND(V1444&gt;=75,V1444&lt;=175,W1444&gt;=110),0.12,0)+IF(AND(V1444&gt;175,W1444&lt;25),0.3,0)+IF(AND(V1444&gt;175,W1444&gt;=25,W1444&lt;55),0.23,0)+IF(AND(V1444&gt;175,W1444&gt;=55,W1444&lt;95),0.17,0)+IF(AND(V1444&gt;175,W1444&gt;=95),0.12,0),
IF(AF1444="DoEVLo",IF(AND(V1444&lt;20,W1444&lt;55),0.25,0)+IF(AND(V1444&lt;20,W1444&gt;=55,W1444&lt;105),0.2,0)+IF(AND(V1444&lt;20,W1444&gt;=105),0.15,0)+IF(AND(V1444&gt;=20,V1444&lt;40,W1444&lt;45),0.25,0)+IF(AND(V1444&gt;=20,V1444&lt;40,W1444&gt;=45,W1444&lt;95),0.2,0)+IF(AND(V1444&gt;=20,V1444&lt;40,W1444&gt;=95),0.15,0)+IF(AND(V1444&gt;=40,V1444&lt;75,W1444&lt;35),0.25,0)+IF(AND(V1444&gt;=40,V1444&lt;75,W1444&gt;=35,W1444&lt;75),0.2,0)+IF(AND(V1444&gt;=40,V1444&lt;75,W1444&gt;=75,W1444&lt;120),0.15,0)+IF(AND(V1444&gt;=40,V1444&lt;75,W1444&gt;=120),0.1,0)+IF(AND(V1444&gt;=75,V1444&lt;175,W1444&lt;35),0.25,0)+IF(AND(V1444&gt;=75,V1444&lt;=175,W1444&gt;=35,W1444&lt;65),0.2,0)+IF(AND(V1444&gt;=75,V1444&lt;=175,W1444&gt;=65,W1444&lt;110),0.15,0)+IF(AND(V1444&gt;=75,V1444&lt;=175,W1444&gt;=110),0.1,0)+IF(AND(V1444&gt;175,W1444&lt;25),0.25,0)+IF(AND(V1444&gt;175,W1444&gt;=25,W1444&lt;55),0.2,0)+IF(AND(V1444&gt;175,W1444&gt;=55,W1444&lt;95),0.15,0)+IF(AND(V1444&gt;175,W1444&gt;=95),0.1,0))))))))))))))))))))</f>
        <v>0.26</v>
      </c>
      <c r="Y1444" s="30">
        <f>IF(AG1444="None",0,IF(AG1444="Fix5",0.05, IF(AG1444="Fix6.25",0.0625,IF(AG1444="Fix3.75",0.0375, IF(AG1444="Fix11",0.11, IF(AG1444="Fix10",0.1,IF(AG1444="Fix3",0.03,0)))))))</f>
        <v>0</v>
      </c>
      <c r="Z1444" s="35">
        <f>IF(AND(AD1444="EUR", AE1444 = "USD"), T1444*U1444-AA1444-AB1444, T1444-AA1444-AB1444)</f>
        <v>1431.9</v>
      </c>
      <c r="AA1444" s="29">
        <f>IF(AND(AD1444="EUR", F1444="Without EV deal", AE1444="USD"), (T1444*X1444)*U1444,
IF(AND(AD1444="EUR", F1444="Without EV deal", AE1444="EUR"), (T1444*X1444),
IF(AND(AD1444="EUR",AE1444="USD"), (T1444*X1444)*U1444,
T1444*X1444)))</f>
        <v>503.1</v>
      </c>
      <c r="AB1444" s="36">
        <f>IF(AND(AD1444="EUR", F1444="Without EV deal", AE1444="USD"), (T1444*Y1444)*U1444,
IF(AND(AD1444="EUR", F1444="Without EV deal", AE1444="EUR"), (T1444*Y1444),
IF(AND(AD1444="EUR",AE1444="USD"), (T1444*Y1444)*U1444,
T1444*Y1444)))</f>
        <v>0</v>
      </c>
      <c r="AC1444" s="37" t="b">
        <v>0</v>
      </c>
      <c r="AD1444" s="82" t="str">
        <f>IF(OR(H1444="€0.25 Flash",
H1444="€0.25(nitro) new",
H1444="€1",
H1444="€2",
H1444="€2 (bf 01.08)",
H1444="€5",
H1444="€5 (1M)",
H1444="€5 (bf 01.08)",
H1444="€5 (bf 05.05)",
H1444="€5 Nitro",
H1444="€5(wx) new",
H1444="€10",
H1444="€10 (1M)",
H1444="€10 (bf 01.08)",
H1444="€10 (bf 05.05)",
H1444="€10 (MP)",
H1444="€10 (old)",
H1444="€10 Nitro (bf 05.05)",
H1444="€10 Nitro (old)",
H1444="€10(wx) new",
H1444="€20",
H1444="€25",
H1444="€25 (bf 01.08)",
H1444="€25 (bf 05.05)",
H1444="€25 (MP)",
H1444="€25 (old)",
H1444="€25 Nitro",
H1444="€25 Nitro (bf 01.08)",
H1444="€25 Nitro (bf 05.05)",
H1444="€25(nitro) new",
H1444="€25(wx) new",
H1444="€50",
H1444="€50 (bf 01.08)",
H1444="€50 (bf 05.05)",
H1444="€50 (old)",
H1444="€50 Nitro",
H1444="€50 Nitro (bf 01.08)",
H1444="€50 Nitro (bf 05.05)",
H1444="€50(wx) new",
H1444="€100",
H1444="€100 (old)",
H1444="€100 Nitro",
H1444="€100 Nitro (old)",
H1444="€200",
H1444="€250",
H1444="€250 Nitro",
H1444="€500",
H1444="€500 Nitro"),"EUR", "USD")</f>
        <v>USD</v>
      </c>
      <c r="AE1444" s="83" t="s">
        <v>38</v>
      </c>
      <c r="AF1444" s="83" t="str">
        <f t="array" ref="AF1444">INDEX('Deal Info'!D:D, MATCH(A1444,'Deal Info'!A:A, 0))</f>
        <v>SF</v>
      </c>
      <c r="AG1444" s="84" t="str">
        <f t="array" ref="AG1444">INDEX('Deal Info'!G:G, MATCH(A1444,'Deal Info'!A:A, 0))</f>
        <v>None</v>
      </c>
    </row>
    <row r="1445" spans="1:33" ht="14.25" hidden="1" x14ac:dyDescent="0.2">
      <c r="A1445" s="18" t="str">
        <f t="array" ref="A1445">IF(G1445='Room Info'!$B$1, INDEX('Room Info'!$A$2:$A2446, MATCH(B1445,'Room Info'!$B$2:$B2446, 0)),IF(G1445='Room Info'!$C$1, INDEX('Room Info'!$A$2:$A2446, MATCH(B1445,'Room Info'!$C$2:$C2446, 0)),IF(G1445='Room Info'!$D$1, INDEX('Room Info'!$A$2:$A2446, MATCH(B1445,'Room Info'!$D$2:$D2446, 0)),IF(G1445='Room Info'!$E$1, INDEX('Room Info'!$A$2:$A2446, MATCH(B1445,'Room Info'!$E$2:$E2446, 0)),IF(G1445='Room Info'!$F$1, INDEX('Room Info'!$A$2:$A2446, MATCH(B1445,'Room Info'!$F$2:$F2446, 0)),IF(G1445='Room Info'!$H$1, INDEX('Room Info'!$A$2:$A2446, MATCH(B1445,'Room Info'!$H$2:$H2446, 0)),IF(G1445='Room Info'!$G$1, INDEX('Room Info'!$A$2:$A2446, MATCH(B1445,'Room Info'!$G$2:$G2446, 0)))))))))</f>
        <v>bbaltqq</v>
      </c>
      <c r="B1445" s="85" t="s">
        <v>89</v>
      </c>
      <c r="C1445" s="86">
        <v>44947</v>
      </c>
      <c r="D1445" s="87">
        <v>44977</v>
      </c>
      <c r="E1445" s="21">
        <v>44958</v>
      </c>
      <c r="F1445" s="22" t="s">
        <v>34</v>
      </c>
      <c r="G1445" s="18" t="s">
        <v>35</v>
      </c>
      <c r="H1445" s="23" t="s">
        <v>217</v>
      </c>
      <c r="I1445" s="23" t="s">
        <v>44</v>
      </c>
      <c r="J1445" s="39">
        <v>5</v>
      </c>
      <c r="K1445" s="88">
        <v>1</v>
      </c>
      <c r="L1445" s="89">
        <v>-5</v>
      </c>
      <c r="M1445" s="27"/>
      <c r="N1445" s="28">
        <f>K1445*J1445</f>
        <v>5</v>
      </c>
      <c r="O1445" s="18"/>
      <c r="P1445" s="29">
        <v>0</v>
      </c>
      <c r="Q1445" s="30"/>
      <c r="R1445" s="31">
        <f>M1445+Q1445</f>
        <v>0</v>
      </c>
      <c r="S1445" s="28"/>
      <c r="T1445" s="32">
        <f>IF(AND(AD1445="EUR", F1445="Without EV deal"), R1445 + L1445,
IF(AND(AD1445="USD", F1445="Without EV deal"), R1445 + L1445,
IF(AND(AD1445="EUR", F1445="Steel Phoenix"), R1445 + S1445/U1445,
R1445 + S1445)))</f>
        <v>0</v>
      </c>
      <c r="U1445" s="33">
        <v>1.0669999999999999</v>
      </c>
      <c r="V1445" s="34">
        <v>49.968936953520476</v>
      </c>
      <c r="W1445" s="34">
        <v>38.724057744111619</v>
      </c>
      <c r="X1445" s="30">
        <f>IF(AF1445="DoEV",IF(AND(V1445&lt;20,W1445&lt;55),0.3,0)+IF(AND(V1445&lt;20,W1445&gt;=55,W1445&lt;105),0.23,0)+IF(AND(V1445&lt;20,W1445&gt;=105),0.17,0)+IF(AND(V1445&gt;=20,V1445&lt;40,W1445&lt;45),0.3,0)+IF(AND(V1445&gt;=20,V1445&lt;40,W1445&gt;=45,W1445&lt;95),0.23,0)+IF(AND(V1445&gt;=20,V1445&lt;40,W1445&gt;=95),0.17,0)+IF(AND(V1445&gt;=40,V1445&lt;75,W1445&lt;35),0.3,0)+IF(AND(V1445&gt;=40,V1445&lt;75,W1445&gt;=35,W1445&lt;75),0.23,0)+IF(AND(V1445&gt;=40,V1445&lt;75,W1445&gt;=75,W1445&lt;120),0.17,0)+IF(AND(V1445&gt;=40,V1445&lt;75,W1445&gt;=120),0.12,0)+IF(AND(V1445&gt;=75,V1445&lt;175,W1445&lt;35),0.3,0)+IF(AND(V1445&gt;=75,V1445&lt;=175,W1445&gt;=35,W1445&lt;65),0.23,0)+IF(AND(V1445&gt;=75,V1445&lt;=175,W1445&gt;=65,W1445&lt;110),0.17,0)+IF(AND(V1445&gt;=75,V1445&lt;=175,W1445&gt;=110),0.12,0)+IF(AND(V1445&gt;175,W1445&lt;25),0.3,0)+IF(AND(V1445&gt;175,W1445&gt;=25,W1445&lt;55),0.23,0)+IF(AND(V1445&gt;175,W1445&gt;=55,W1445&lt;95),0.17,0)+IF(AND(V1445&gt;175,W1445&gt;=95),0.12,0),
IF(AF1445="Fix15",0.15,
IF(AF1445="Fix5",0.05,
IF(AF1445="Fix18.75",0.1875,
IF(AF1445="Fix11.25",0.1125,
IF(AF1445="Fix10",0.1,
IF(AF1445="Fix9",0.09,
IF(AF1445="Fix12",0.12,
IF(AF1445="Fix19",0.19,
IF(AF1445="DoEV2017",IF(AND(W1445&lt;74),0.2,0)+IF(AND(W1445&gt;=74),0.17,0),
IF(AF1445="SF",IF(AND(V1445&lt;20,W1445&lt;89),0.3,0)+IF(AND(V1445&lt;20,W1445&gt;=89),0.25,0)+IF(AND(V1445&gt;=20,V1445&lt;40,W1445&lt;74),0.3,0)+IF(AND(V1445&gt;=20,V1445&lt;40,W1445&gt;=75),0.22,0)+IF(AND(V1445&gt;=40,V1445&lt;75,W1445&lt;75),0.26,0)+IF(AND(V1445&gt;=40,V1445&lt;75,W1445&gt;=75),0.22,0)+IF(V1445&gt;=75,0.22,0),
IF(AF1445="DoEVold",IF(AND(V1445&lt;40,W1445&lt;35),0.35,0)+IF(AND(V1445&lt;40,W1445&gt;=35,W1445&lt;75),0.25,0)+IF(AND(V1445&lt;40,W1445&gt;=75),0.17,0)+IF(AND(V1445&gt;=40,V1445&lt;75,W1445&lt;25),0.35,0)+IF(AND(V1445&gt;=40,V1445&lt;75,W1445&gt;=25,W1445&lt;65),0.25,0)+IF(AND(V1445&gt;=40,V1445&lt;75,W1445&gt;=65,W1445&lt;100),0.17,0)+IF(AND(V1445&gt;=40,V1445&lt;75,W1445&gt;=100),0.1,0)+IF(AND(V1445&gt;=75,W1445&lt;25),0.35,0)+IF(AND(V1445&gt;=75,W1445&gt;=25,W1445&lt;60),0.25,0)+IF(AND(V1445&gt;=75,W1445&gt;=60,W1445&lt;95),0.17,0)+IF(AND(V1445&gt;=75,W1445&gt;=95),0.1,0),
IF(AF1445="DoEVold15",IF(AND(V1445&lt;=40,W1445&lt;35),0.35,0)+IF(AND(V1445&lt;=40,W1445&gt;=35,W1445&lt;75),0.25,0)+IF(AND(V1445&lt;=40,W1445&gt;=75,W1445&lt;120),0.17,0)+IF(AND(V1445&lt;=40,W1445&gt;=120),0.15,0)+IF(AND(V1445&gt;40,V1445&lt;75,W1445&lt;25),0.35,0)+IF(AND(V1445&gt;=40,V1445&lt;75,W1445&gt;=25,W1445&lt;65),0.25,0)+IF(AND(V1445&gt;=40,V1445&lt;75,W1445&gt;=65,W1445&lt;100),0.17,0)+IF(AND(V1445&gt;=40,V1445&lt;75,W1445&gt;=100),0.1,0)+IF(AND(V1445&gt;=75,W1445&lt;25),0.35,0)+IF(AND(V1445&gt;=75,W1445&gt;=25,W1445&lt;60),0.25,0)+IF(AND(V1445&gt;=75,W1445&gt;=60,W1445&lt;95),0.17,0)+IF(AND(V1445&gt;=75,W1445&gt;=95),0.1,0),
IF(AF1445="DoEVba",IF(AND(V1445&lt;20,W1445&lt;105),0.2,0)+IF(AND(V1445&lt;20,W1445&gt;=105),0.15,0)+IF(AND(V1445&gt;=20,V1445&lt;40,W1445&lt;95),0.2,0)+IF(AND(V1445&gt;=20,V1445&lt;40,W1445&gt;=95,W1445&lt;150),0.15,0)+IF(AND(V1445&gt;=20,V1445&lt;40,W1445&gt;=150),0.12,0)+IF(AND(V1445&gt;=40,V1445&lt;75,W1445&lt;75),0.2,0)+IF(AND(V1445&gt;=40,V1445&lt;75,W1445&gt;=75,W1445&lt;120),0.15,0)+IF(AND(V1445&gt;=40,V1445&lt;75,W1445&gt;=120),0.12,0)+IF(AND(V1445&gt;=75,V1445&lt;175,W1445&lt;65),0.2,0)+IF(AND(V1445&gt;=75,V1445&lt;175,W1445&gt;=65,W1445&lt;110),0.15,0)+IF(AND(V1445&gt;=75,V1445&lt;175,W1445&gt;=110),0.12,0)+IF(AND(V1445&gt;=175,W1445&lt;55),0.2,0)+IF(AND(V1445&gt;=175,W1445&gt;=55,W1445&lt;95),0.15,0)+IF(AND(V1445&gt;=175,W1445&gt;=95),0.12,0),
IF(AF1445="DoEVku",IF(AND(V1445&lt;20,W1445&lt;55),0.23,0)+IF(AND(V1445&lt;20,W1445&gt;=55,W1445&lt;105),0.2,0)+IF(AND(V1445&lt;20,W1445&gt;=105),0.17,0)+IF(AND(V1445&gt;=20,V1445&lt;40,W1445&lt;45),0.23,0)+IF(AND(V1445&gt;=20,V1445&lt;40,W1445&gt;=45,W1445&lt;95),0.2,0)+IF(AND(V1445&gt;=20,V1445&lt;40,W1445&gt;=95,W1445&lt;=150),0.17,0)+IF(AND(V1445&gt;=20,V1445&lt;40,W1445&gt;=150),0.12,0)+IF(AND(V1445&gt;=40,V1445&lt;75,W1445&lt;35),0.23,0)+IF(AND(V1445&gt;=40,V1445&lt;75,W1445&gt;=35,W1445&lt;75),0.2,0)+IF(AND(V1445&gt;=40,V1445&lt;75,W1445&gt;=75,W1445&lt;120),0.17,0)+IF(AND(V1445&gt;=40,V1445&lt;75,W1445&gt;=120),0.12,0)+IF(AND(V1445&gt;=75,V1445&lt;175,W1445&lt;35),0.23,0)+IF(AND(V1445&gt;=75,V1445&lt;=175,W1445&gt;=35,W1445&lt;65),0.2,0)+IF(AND(V1445&gt;=75,V1445&lt;=175,W1445&gt;=65,W1445&lt;110),0.17,0)+IF(AND(V1445&gt;=75,V1445&lt;=175,W1445&gt;=110),0.12,0)+IF(AND(V1445&gt;175,W1445&lt;25),0.23,0)+IF(AND(V1445&gt;175,W1445&gt;=25,W1445&lt;55),0.2,0)+IF(AND(V1445&gt;175,W1445&gt;=55,W1445&lt;95),0.17,0)+IF(AND(V1445&gt;175,W1445&gt;=95),0.12,0),
IF(AF1445="DoEVs1",IF(AND(V1445&lt;20,W1445&lt;55),0.3,0)+IF(AND(V1445&lt;20,W1445&gt;=55,W1445&lt;105),0.23,0)+IF(AND(V1445&lt;20,W1445&gt;=105),0.17,0)+IF(AND(V1445&gt;=20,V1445&lt;40,W1445&lt;45),0.3,0)+IF(AND(V1445&gt;=20,V1445&lt;40,W1445&gt;=45,W1445&lt;95),0.23,0)+IF(AND(V1445&gt;=20,V1445&lt;40,W1445&gt;=95,W1445&lt;=150),0.17,0)+IF(AND(V1445&gt;=20,V1445&lt;40,W1445&gt;=150),0.12,0)+IF(AND(V1445&gt;=40,V1445&lt;75,W1445&lt;35),0.3,0)+IF(AND(V1445&gt;=40,V1445&lt;75,W1445&gt;=35,W1445&lt;75),0.23,0)+IF(AND(V1445&gt;=40,V1445&lt;75,W1445&gt;=75,W1445&lt;120),0.17,0)+IF(AND(V1445&gt;=40,V1445&lt;75,W1445&gt;=120),0.12,0)+IF(AND(V1445&gt;=75,V1445&lt;175,W1445&lt;35),0.3,0)+IF(AND(V1445&gt;=75,V1445&lt;=175,W1445&gt;=35,W1445&lt;65),0.23,0)+IF(AND(V1445&gt;=75,V1445&lt;=175,W1445&gt;=65,W1445&lt;110),0.17,0)+IF(AND(V1445&gt;=75,V1445&lt;=175,W1445&gt;=110),0.12,0)+IF(AND(V1445&gt;175,W1445&lt;25),0.3,0)+IF(AND(V1445&gt;175,W1445&gt;=25,W1445&lt;55),0.23,0)+IF(AND(V1445&gt;175,W1445&gt;=55,W1445&lt;95),0.17,0)+IF(AND(V1445&gt;175,W1445&gt;=95),0.12,0),
IF(AF1445="DoEVsu",IF(AND(V1445&lt;20,W1445&lt;55),0.3,0)+IF(AND(V1445&lt;20,W1445&gt;=55,W1445&lt;105),0.23,0)+IF(AND(V1445&lt;20,W1445&gt;=105),0.17,0)+IF(AND(V1445&gt;=20,V1445&lt;40,W1445&lt;45),0.3,0)+IF(AND(V1445&gt;=20,V1445&lt;40,W1445&gt;=45,W1445&lt;95),0.23,0)+IF(AND(V1445&gt;=20,V1445&lt;40,W1445&gt;=95,W1445&lt;=250),0.17,0)+IF(AND(V1445&gt;=20,V1445&lt;40,W1445&gt;=250),0.12,0)+IF(AND(V1445&gt;=40,V1445&lt;75,W1445&lt;35),0.3,0)+IF(AND(V1445&gt;=40,V1445&lt;75,W1445&gt;=35,W1445&lt;75),0.23,0)+IF(AND(V1445&gt;=40,V1445&lt;75,W1445&gt;=75,W1445&lt;120),0.17,0)+IF(AND(V1445&gt;=40,V1445&lt;75,W1445&gt;=120),0.12,0)+IF(AND(V1445&gt;=75,V1445&lt;175,W1445&lt;35),0.3,0)+IF(AND(V1445&gt;=75,V1445&lt;=175,W1445&gt;=35,W1445&lt;65),0.23,0)+IF(AND(V1445&gt;=75,V1445&lt;=175,W1445&gt;=65,W1445&lt;110),0.17,0)+IF(AND(V1445&gt;=75,V1445&lt;=175,W1445&gt;=110),0.12,0)+IF(AND(V1445&gt;175,W1445&lt;25),0.3,0)+IF(AND(V1445&gt;175,W1445&gt;=25,W1445&lt;55),0.23,0)+IF(AND(V1445&gt;175,W1445&gt;=55,W1445&lt;95),0.17,0)+IF(AND(V1445&gt;175,W1445&gt;=95),0.12,0),
IF(AF1445="DoEVni",IF(AND(V1445&lt;20,W1445&lt;55),0.3,0)+IF(AND(V1445&lt;20,W1445&gt;=55,W1445&lt;105),0.23,0)+IF(AND(V1445&lt;20,W1445&gt;=105),0.17,0)+IF(AND(V1445&gt;=20,V1445&lt;40,W1445&lt;45),0.3,0)+IF(AND(V1445&gt;=20,V1445&lt;40,W1445&gt;=45,W1445&lt;95),0.23,0)+IF(AND(V1445&gt;=20,V1445&lt;40,W1445&gt;=95,W1445&lt;=200),0.17,0)+IF(AND(V1445&gt;=20,V1445&lt;40,W1445&gt;=200),0.12,0)+IF(AND(V1445&gt;=40,V1445&lt;75,W1445&lt;35),0.3,0)+IF(AND(V1445&gt;=40,V1445&lt;75,W1445&gt;=35,W1445&lt;75),0.23,0)+IF(AND(V1445&gt;=40,V1445&lt;75,W1445&gt;=75,W1445&lt;120),0.17,0)+IF(AND(V1445&gt;=40,V1445&lt;75,W1445&gt;=120),0.12,0)+IF(AND(V1445&gt;=75,V1445&lt;175,W1445&lt;35),0.3,0)+IF(AND(V1445&gt;=75,V1445&lt;=175,W1445&gt;=35,W1445&lt;65),0.23,0)+IF(AND(V1445&gt;=75,V1445&lt;=175,W1445&gt;=65,W1445&lt;110),0.17,0)+IF(AND(V1445&gt;=75,V1445&lt;=175,W1445&gt;=110),0.12,0)+IF(AND(V1445&gt;175,W1445&lt;25),0.3,0)+IF(AND(V1445&gt;175,W1445&gt;=25,W1445&lt;55),0.23,0)+IF(AND(V1445&gt;175,W1445&gt;=55,W1445&lt;95),0.17,0)+IF(AND(V1445&gt;175,W1445&gt;=95),0.12,0),
IF(AF1445="DoEVLo",IF(AND(V1445&lt;20,W1445&lt;55),0.25,0)+IF(AND(V1445&lt;20,W1445&gt;=55,W1445&lt;105),0.2,0)+IF(AND(V1445&lt;20,W1445&gt;=105),0.15,0)+IF(AND(V1445&gt;=20,V1445&lt;40,W1445&lt;45),0.25,0)+IF(AND(V1445&gt;=20,V1445&lt;40,W1445&gt;=45,W1445&lt;95),0.2,0)+IF(AND(V1445&gt;=20,V1445&lt;40,W1445&gt;=95),0.15,0)+IF(AND(V1445&gt;=40,V1445&lt;75,W1445&lt;35),0.25,0)+IF(AND(V1445&gt;=40,V1445&lt;75,W1445&gt;=35,W1445&lt;75),0.2,0)+IF(AND(V1445&gt;=40,V1445&lt;75,W1445&gt;=75,W1445&lt;120),0.15,0)+IF(AND(V1445&gt;=40,V1445&lt;75,W1445&gt;=120),0.1,0)+IF(AND(V1445&gt;=75,V1445&lt;175,W1445&lt;35),0.25,0)+IF(AND(V1445&gt;=75,V1445&lt;=175,W1445&gt;=35,W1445&lt;65),0.2,0)+IF(AND(V1445&gt;=75,V1445&lt;=175,W1445&gt;=65,W1445&lt;110),0.15,0)+IF(AND(V1445&gt;=75,V1445&lt;=175,W1445&gt;=110),0.1,0)+IF(AND(V1445&gt;175,W1445&lt;25),0.25,0)+IF(AND(V1445&gt;175,W1445&gt;=25,W1445&lt;55),0.2,0)+IF(AND(V1445&gt;175,W1445&gt;=55,W1445&lt;95),0.15,0)+IF(AND(V1445&gt;175,W1445&gt;=95),0.1,0))))))))))))))))))))</f>
        <v>0.26</v>
      </c>
      <c r="Y1445" s="30">
        <f>IF(AG1445="None",0,IF(AG1445="Fix5",0.05, IF(AG1445="Fix6.25",0.0625,IF(AG1445="Fix3.75",0.0375, IF(AG1445="Fix11",0.11, IF(AG1445="Fix10",0.1,IF(AG1445="Fix3",0.03,0)))))))</f>
        <v>0</v>
      </c>
      <c r="Z1445" s="35">
        <f>IF(AND(AD1445="EUR", AE1445 = "USD"), T1445*U1445-AA1445-AB1445, T1445-AA1445-AB1445)</f>
        <v>0</v>
      </c>
      <c r="AA1445" s="29">
        <f>IF(AND(AD1445="EUR", F1445="Without EV deal", AE1445="USD"), (T1445*X1445)*U1445,
IF(AND(AD1445="EUR", F1445="Without EV deal", AE1445="EUR"), (T1445*X1445),
IF(AND(AD1445="EUR",AE1445="USD"), (T1445*X1445)*U1445,
T1445*X1445)))</f>
        <v>0</v>
      </c>
      <c r="AB1445" s="36">
        <f>IF(AND(AD1445="EUR", F1445="Without EV deal", AE1445="USD"), (T1445*Y1445)*U1445,
IF(AND(AD1445="EUR", F1445="Without EV deal", AE1445="EUR"), (T1445*Y1445),
IF(AND(AD1445="EUR",AE1445="USD"), (T1445*Y1445)*U1445,
T1445*Y1445)))</f>
        <v>0</v>
      </c>
      <c r="AC1445" s="37" t="b">
        <v>0</v>
      </c>
      <c r="AD1445" s="82" t="str">
        <f>IF(OR(H1445="€0.25 Flash",
H1445="€0.25(nitro) new",
H1445="€1",
H1445="€2",
H1445="€2 (bf 01.08)",
H1445="€5",
H1445="€5 (1M)",
H1445="€5 (bf 01.08)",
H1445="€5 (bf 05.05)",
H1445="€5 Nitro",
H1445="€5(wx) new",
H1445="€10",
H1445="€10 (1M)",
H1445="€10 (bf 01.08)",
H1445="€10 (bf 05.05)",
H1445="€10 (MP)",
H1445="€10 (old)",
H1445="€10 Nitro (bf 05.05)",
H1445="€10 Nitro (old)",
H1445="€10(wx) new",
H1445="€20",
H1445="€25",
H1445="€25 (bf 01.08)",
H1445="€25 (bf 05.05)",
H1445="€25 (MP)",
H1445="€25 (old)",
H1445="€25 Nitro",
H1445="€25 Nitro (bf 01.08)",
H1445="€25 Nitro (bf 05.05)",
H1445="€25(nitro) new",
H1445="€25(wx) new",
H1445="€50",
H1445="€50 (bf 01.08)",
H1445="€50 (bf 05.05)",
H1445="€50 (old)",
H1445="€50 Nitro",
H1445="€50 Nitro (bf 01.08)",
H1445="€50 Nitro (bf 05.05)",
H1445="€50(wx) new",
H1445="€100",
H1445="€100 (old)",
H1445="€100 Nitro",
H1445="€100 Nitro (old)",
H1445="€200",
H1445="€250",
H1445="€250 Nitro",
H1445="€500",
H1445="€500 Nitro"),"EUR", "USD")</f>
        <v>USD</v>
      </c>
      <c r="AE1445" s="83" t="s">
        <v>38</v>
      </c>
      <c r="AF1445" s="83" t="str">
        <f t="array" ref="AF1445">INDEX('Deal Info'!D:D, MATCH(A1445,'Deal Info'!A:A, 0))</f>
        <v>SF</v>
      </c>
      <c r="AG1445" s="84" t="str">
        <f t="array" ref="AG1445">INDEX('Deal Info'!G:G, MATCH(A1445,'Deal Info'!A:A, 0))</f>
        <v>None</v>
      </c>
    </row>
    <row r="1446" spans="1:33" ht="14.25" hidden="1" x14ac:dyDescent="0.2">
      <c r="A1446" s="18" t="str">
        <f t="array" ref="A1446">IF(G1446='Room Info'!$B$1, INDEX('Room Info'!$A$2:$A2446, MATCH(B1446,'Room Info'!$B$2:$B2446, 0)),IF(G1446='Room Info'!$C$1, INDEX('Room Info'!$A$2:$A2446, MATCH(B1446,'Room Info'!$C$2:$C2446, 0)),IF(G1446='Room Info'!$D$1, INDEX('Room Info'!$A$2:$A2446, MATCH(B1446,'Room Info'!$D$2:$D2446, 0)),IF(G1446='Room Info'!$E$1, INDEX('Room Info'!$A$2:$A2446, MATCH(B1446,'Room Info'!$E$2:$E2446, 0)),IF(G1446='Room Info'!$F$1, INDEX('Room Info'!$A$2:$A2446, MATCH(B1446,'Room Info'!$F$2:$F2446, 0)),IF(G1446='Room Info'!$H$1, INDEX('Room Info'!$A$2:$A2446, MATCH(B1446,'Room Info'!$H$2:$H2446, 0)),IF(G1446='Room Info'!$G$1, INDEX('Room Info'!$A$2:$A2446, MATCH(B1446,'Room Info'!$G$2:$G2446, 0)))))))))</f>
        <v>bbaltqq</v>
      </c>
      <c r="B1446" s="85" t="s">
        <v>89</v>
      </c>
      <c r="C1446" s="86">
        <v>44947</v>
      </c>
      <c r="D1446" s="87">
        <v>44977</v>
      </c>
      <c r="E1446" s="21">
        <v>44958</v>
      </c>
      <c r="F1446" s="22" t="s">
        <v>34</v>
      </c>
      <c r="G1446" s="18" t="s">
        <v>35</v>
      </c>
      <c r="H1446" s="23" t="s">
        <v>72</v>
      </c>
      <c r="I1446" s="23" t="s">
        <v>37</v>
      </c>
      <c r="J1446" s="39">
        <v>50</v>
      </c>
      <c r="K1446" s="88">
        <v>4343</v>
      </c>
      <c r="L1446" s="89">
        <v>-9500</v>
      </c>
      <c r="M1446" s="27"/>
      <c r="N1446" s="28">
        <f>K1446*J1446</f>
        <v>217150</v>
      </c>
      <c r="O1446" s="85">
        <v>80267</v>
      </c>
      <c r="P1446" s="29">
        <v>18.481924939999999</v>
      </c>
      <c r="Q1446" s="30"/>
      <c r="R1446" s="31">
        <f>M1446+Q1446</f>
        <v>0</v>
      </c>
      <c r="S1446" s="28"/>
      <c r="T1446" s="32">
        <f>IF(AND(AD1446="EUR", F1446="Without EV deal"), R1446 + L1446,
IF(AND(AD1446="USD", F1446="Without EV deal"), R1446 + L1446,
IF(AND(AD1446="EUR", F1446="Steel Phoenix"), R1446 + S1446/U1446,
R1446 + S1446)))</f>
        <v>0</v>
      </c>
      <c r="U1446" s="33">
        <v>1.0669999999999999</v>
      </c>
      <c r="V1446" s="34">
        <v>49.968936953520476</v>
      </c>
      <c r="W1446" s="34">
        <v>38.724057744111619</v>
      </c>
      <c r="X1446" s="30">
        <f>IF(AF1446="DoEV",IF(AND(V1446&lt;20,W1446&lt;55),0.3,0)+IF(AND(V1446&lt;20,W1446&gt;=55,W1446&lt;105),0.23,0)+IF(AND(V1446&lt;20,W1446&gt;=105),0.17,0)+IF(AND(V1446&gt;=20,V1446&lt;40,W1446&lt;45),0.3,0)+IF(AND(V1446&gt;=20,V1446&lt;40,W1446&gt;=45,W1446&lt;95),0.23,0)+IF(AND(V1446&gt;=20,V1446&lt;40,W1446&gt;=95),0.17,0)+IF(AND(V1446&gt;=40,V1446&lt;75,W1446&lt;35),0.3,0)+IF(AND(V1446&gt;=40,V1446&lt;75,W1446&gt;=35,W1446&lt;75),0.23,0)+IF(AND(V1446&gt;=40,V1446&lt;75,W1446&gt;=75,W1446&lt;120),0.17,0)+IF(AND(V1446&gt;=40,V1446&lt;75,W1446&gt;=120),0.12,0)+IF(AND(V1446&gt;=75,V1446&lt;175,W1446&lt;35),0.3,0)+IF(AND(V1446&gt;=75,V1446&lt;=175,W1446&gt;=35,W1446&lt;65),0.23,0)+IF(AND(V1446&gt;=75,V1446&lt;=175,W1446&gt;=65,W1446&lt;110),0.17,0)+IF(AND(V1446&gt;=75,V1446&lt;=175,W1446&gt;=110),0.12,0)+IF(AND(V1446&gt;175,W1446&lt;25),0.3,0)+IF(AND(V1446&gt;175,W1446&gt;=25,W1446&lt;55),0.23,0)+IF(AND(V1446&gt;175,W1446&gt;=55,W1446&lt;95),0.17,0)+IF(AND(V1446&gt;175,W1446&gt;=95),0.12,0),
IF(AF1446="Fix15",0.15,
IF(AF1446="Fix5",0.05,
IF(AF1446="Fix18.75",0.1875,
IF(AF1446="Fix11.25",0.1125,
IF(AF1446="Fix10",0.1,
IF(AF1446="Fix9",0.09,
IF(AF1446="Fix12",0.12,
IF(AF1446="Fix19",0.19,
IF(AF1446="DoEV2017",IF(AND(W1446&lt;74),0.2,0)+IF(AND(W1446&gt;=74),0.17,0),
IF(AF1446="SF",IF(AND(V1446&lt;20,W1446&lt;89),0.3,0)+IF(AND(V1446&lt;20,W1446&gt;=89),0.25,0)+IF(AND(V1446&gt;=20,V1446&lt;40,W1446&lt;74),0.3,0)+IF(AND(V1446&gt;=20,V1446&lt;40,W1446&gt;=75),0.22,0)+IF(AND(V1446&gt;=40,V1446&lt;75,W1446&lt;75),0.26,0)+IF(AND(V1446&gt;=40,V1446&lt;75,W1446&gt;=75),0.22,0)+IF(V1446&gt;=75,0.22,0),
IF(AF1446="DoEVold",IF(AND(V1446&lt;40,W1446&lt;35),0.35,0)+IF(AND(V1446&lt;40,W1446&gt;=35,W1446&lt;75),0.25,0)+IF(AND(V1446&lt;40,W1446&gt;=75),0.17,0)+IF(AND(V1446&gt;=40,V1446&lt;75,W1446&lt;25),0.35,0)+IF(AND(V1446&gt;=40,V1446&lt;75,W1446&gt;=25,W1446&lt;65),0.25,0)+IF(AND(V1446&gt;=40,V1446&lt;75,W1446&gt;=65,W1446&lt;100),0.17,0)+IF(AND(V1446&gt;=40,V1446&lt;75,W1446&gt;=100),0.1,0)+IF(AND(V1446&gt;=75,W1446&lt;25),0.35,0)+IF(AND(V1446&gt;=75,W1446&gt;=25,W1446&lt;60),0.25,0)+IF(AND(V1446&gt;=75,W1446&gt;=60,W1446&lt;95),0.17,0)+IF(AND(V1446&gt;=75,W1446&gt;=95),0.1,0),
IF(AF1446="DoEVold15",IF(AND(V1446&lt;=40,W1446&lt;35),0.35,0)+IF(AND(V1446&lt;=40,W1446&gt;=35,W1446&lt;75),0.25,0)+IF(AND(V1446&lt;=40,W1446&gt;=75,W1446&lt;120),0.17,0)+IF(AND(V1446&lt;=40,W1446&gt;=120),0.15,0)+IF(AND(V1446&gt;40,V1446&lt;75,W1446&lt;25),0.35,0)+IF(AND(V1446&gt;=40,V1446&lt;75,W1446&gt;=25,W1446&lt;65),0.25,0)+IF(AND(V1446&gt;=40,V1446&lt;75,W1446&gt;=65,W1446&lt;100),0.17,0)+IF(AND(V1446&gt;=40,V1446&lt;75,W1446&gt;=100),0.1,0)+IF(AND(V1446&gt;=75,W1446&lt;25),0.35,0)+IF(AND(V1446&gt;=75,W1446&gt;=25,W1446&lt;60),0.25,0)+IF(AND(V1446&gt;=75,W1446&gt;=60,W1446&lt;95),0.17,0)+IF(AND(V1446&gt;=75,W1446&gt;=95),0.1,0),
IF(AF1446="DoEVba",IF(AND(V1446&lt;20,W1446&lt;105),0.2,0)+IF(AND(V1446&lt;20,W1446&gt;=105),0.15,0)+IF(AND(V1446&gt;=20,V1446&lt;40,W1446&lt;95),0.2,0)+IF(AND(V1446&gt;=20,V1446&lt;40,W1446&gt;=95,W1446&lt;150),0.15,0)+IF(AND(V1446&gt;=20,V1446&lt;40,W1446&gt;=150),0.12,0)+IF(AND(V1446&gt;=40,V1446&lt;75,W1446&lt;75),0.2,0)+IF(AND(V1446&gt;=40,V1446&lt;75,W1446&gt;=75,W1446&lt;120),0.15,0)+IF(AND(V1446&gt;=40,V1446&lt;75,W1446&gt;=120),0.12,0)+IF(AND(V1446&gt;=75,V1446&lt;175,W1446&lt;65),0.2,0)+IF(AND(V1446&gt;=75,V1446&lt;175,W1446&gt;=65,W1446&lt;110),0.15,0)+IF(AND(V1446&gt;=75,V1446&lt;175,W1446&gt;=110),0.12,0)+IF(AND(V1446&gt;=175,W1446&lt;55),0.2,0)+IF(AND(V1446&gt;=175,W1446&gt;=55,W1446&lt;95),0.15,0)+IF(AND(V1446&gt;=175,W1446&gt;=95),0.12,0),
IF(AF1446="DoEVku",IF(AND(V1446&lt;20,W1446&lt;55),0.23,0)+IF(AND(V1446&lt;20,W1446&gt;=55,W1446&lt;105),0.2,0)+IF(AND(V1446&lt;20,W1446&gt;=105),0.17,0)+IF(AND(V1446&gt;=20,V1446&lt;40,W1446&lt;45),0.23,0)+IF(AND(V1446&gt;=20,V1446&lt;40,W1446&gt;=45,W1446&lt;95),0.2,0)+IF(AND(V1446&gt;=20,V1446&lt;40,W1446&gt;=95,W1446&lt;=150),0.17,0)+IF(AND(V1446&gt;=20,V1446&lt;40,W1446&gt;=150),0.12,0)+IF(AND(V1446&gt;=40,V1446&lt;75,W1446&lt;35),0.23,0)+IF(AND(V1446&gt;=40,V1446&lt;75,W1446&gt;=35,W1446&lt;75),0.2,0)+IF(AND(V1446&gt;=40,V1446&lt;75,W1446&gt;=75,W1446&lt;120),0.17,0)+IF(AND(V1446&gt;=40,V1446&lt;75,W1446&gt;=120),0.12,0)+IF(AND(V1446&gt;=75,V1446&lt;175,W1446&lt;35),0.23,0)+IF(AND(V1446&gt;=75,V1446&lt;=175,W1446&gt;=35,W1446&lt;65),0.2,0)+IF(AND(V1446&gt;=75,V1446&lt;=175,W1446&gt;=65,W1446&lt;110),0.17,0)+IF(AND(V1446&gt;=75,V1446&lt;=175,W1446&gt;=110),0.12,0)+IF(AND(V1446&gt;175,W1446&lt;25),0.23,0)+IF(AND(V1446&gt;175,W1446&gt;=25,W1446&lt;55),0.2,0)+IF(AND(V1446&gt;175,W1446&gt;=55,W1446&lt;95),0.17,0)+IF(AND(V1446&gt;175,W1446&gt;=95),0.12,0),
IF(AF1446="DoEVs1",IF(AND(V1446&lt;20,W1446&lt;55),0.3,0)+IF(AND(V1446&lt;20,W1446&gt;=55,W1446&lt;105),0.23,0)+IF(AND(V1446&lt;20,W1446&gt;=105),0.17,0)+IF(AND(V1446&gt;=20,V1446&lt;40,W1446&lt;45),0.3,0)+IF(AND(V1446&gt;=20,V1446&lt;40,W1446&gt;=45,W1446&lt;95),0.23,0)+IF(AND(V1446&gt;=20,V1446&lt;40,W1446&gt;=95,W1446&lt;=150),0.17,0)+IF(AND(V1446&gt;=20,V1446&lt;40,W1446&gt;=150),0.12,0)+IF(AND(V1446&gt;=40,V1446&lt;75,W1446&lt;35),0.3,0)+IF(AND(V1446&gt;=40,V1446&lt;75,W1446&gt;=35,W1446&lt;75),0.23,0)+IF(AND(V1446&gt;=40,V1446&lt;75,W1446&gt;=75,W1446&lt;120),0.17,0)+IF(AND(V1446&gt;=40,V1446&lt;75,W1446&gt;=120),0.12,0)+IF(AND(V1446&gt;=75,V1446&lt;175,W1446&lt;35),0.3,0)+IF(AND(V1446&gt;=75,V1446&lt;=175,W1446&gt;=35,W1446&lt;65),0.23,0)+IF(AND(V1446&gt;=75,V1446&lt;=175,W1446&gt;=65,W1446&lt;110),0.17,0)+IF(AND(V1446&gt;=75,V1446&lt;=175,W1446&gt;=110),0.12,0)+IF(AND(V1446&gt;175,W1446&lt;25),0.3,0)+IF(AND(V1446&gt;175,W1446&gt;=25,W1446&lt;55),0.23,0)+IF(AND(V1446&gt;175,W1446&gt;=55,W1446&lt;95),0.17,0)+IF(AND(V1446&gt;175,W1446&gt;=95),0.12,0),
IF(AF1446="DoEVsu",IF(AND(V1446&lt;20,W1446&lt;55),0.3,0)+IF(AND(V1446&lt;20,W1446&gt;=55,W1446&lt;105),0.23,0)+IF(AND(V1446&lt;20,W1446&gt;=105),0.17,0)+IF(AND(V1446&gt;=20,V1446&lt;40,W1446&lt;45),0.3,0)+IF(AND(V1446&gt;=20,V1446&lt;40,W1446&gt;=45,W1446&lt;95),0.23,0)+IF(AND(V1446&gt;=20,V1446&lt;40,W1446&gt;=95,W1446&lt;=250),0.17,0)+IF(AND(V1446&gt;=20,V1446&lt;40,W1446&gt;=250),0.12,0)+IF(AND(V1446&gt;=40,V1446&lt;75,W1446&lt;35),0.3,0)+IF(AND(V1446&gt;=40,V1446&lt;75,W1446&gt;=35,W1446&lt;75),0.23,0)+IF(AND(V1446&gt;=40,V1446&lt;75,W1446&gt;=75,W1446&lt;120),0.17,0)+IF(AND(V1446&gt;=40,V1446&lt;75,W1446&gt;=120),0.12,0)+IF(AND(V1446&gt;=75,V1446&lt;175,W1446&lt;35),0.3,0)+IF(AND(V1446&gt;=75,V1446&lt;=175,W1446&gt;=35,W1446&lt;65),0.23,0)+IF(AND(V1446&gt;=75,V1446&lt;=175,W1446&gt;=65,W1446&lt;110),0.17,0)+IF(AND(V1446&gt;=75,V1446&lt;=175,W1446&gt;=110),0.12,0)+IF(AND(V1446&gt;175,W1446&lt;25),0.3,0)+IF(AND(V1446&gt;175,W1446&gt;=25,W1446&lt;55),0.23,0)+IF(AND(V1446&gt;175,W1446&gt;=55,W1446&lt;95),0.17,0)+IF(AND(V1446&gt;175,W1446&gt;=95),0.12,0),
IF(AF1446="DoEVni",IF(AND(V1446&lt;20,W1446&lt;55),0.3,0)+IF(AND(V1446&lt;20,W1446&gt;=55,W1446&lt;105),0.23,0)+IF(AND(V1446&lt;20,W1446&gt;=105),0.17,0)+IF(AND(V1446&gt;=20,V1446&lt;40,W1446&lt;45),0.3,0)+IF(AND(V1446&gt;=20,V1446&lt;40,W1446&gt;=45,W1446&lt;95),0.23,0)+IF(AND(V1446&gt;=20,V1446&lt;40,W1446&gt;=95,W1446&lt;=200),0.17,0)+IF(AND(V1446&gt;=20,V1446&lt;40,W1446&gt;=200),0.12,0)+IF(AND(V1446&gt;=40,V1446&lt;75,W1446&lt;35),0.3,0)+IF(AND(V1446&gt;=40,V1446&lt;75,W1446&gt;=35,W1446&lt;75),0.23,0)+IF(AND(V1446&gt;=40,V1446&lt;75,W1446&gt;=75,W1446&lt;120),0.17,0)+IF(AND(V1446&gt;=40,V1446&lt;75,W1446&gt;=120),0.12,0)+IF(AND(V1446&gt;=75,V1446&lt;175,W1446&lt;35),0.3,0)+IF(AND(V1446&gt;=75,V1446&lt;=175,W1446&gt;=35,W1446&lt;65),0.23,0)+IF(AND(V1446&gt;=75,V1446&lt;=175,W1446&gt;=65,W1446&lt;110),0.17,0)+IF(AND(V1446&gt;=75,V1446&lt;=175,W1446&gt;=110),0.12,0)+IF(AND(V1446&gt;175,W1446&lt;25),0.3,0)+IF(AND(V1446&gt;175,W1446&gt;=25,W1446&lt;55),0.23,0)+IF(AND(V1446&gt;175,W1446&gt;=55,W1446&lt;95),0.17,0)+IF(AND(V1446&gt;175,W1446&gt;=95),0.12,0),
IF(AF1446="DoEVLo",IF(AND(V1446&lt;20,W1446&lt;55),0.25,0)+IF(AND(V1446&lt;20,W1446&gt;=55,W1446&lt;105),0.2,0)+IF(AND(V1446&lt;20,W1446&gt;=105),0.15,0)+IF(AND(V1446&gt;=20,V1446&lt;40,W1446&lt;45),0.25,0)+IF(AND(V1446&gt;=20,V1446&lt;40,W1446&gt;=45,W1446&lt;95),0.2,0)+IF(AND(V1446&gt;=20,V1446&lt;40,W1446&gt;=95),0.15,0)+IF(AND(V1446&gt;=40,V1446&lt;75,W1446&lt;35),0.25,0)+IF(AND(V1446&gt;=40,V1446&lt;75,W1446&gt;=35,W1446&lt;75),0.2,0)+IF(AND(V1446&gt;=40,V1446&lt;75,W1446&gt;=75,W1446&lt;120),0.15,0)+IF(AND(V1446&gt;=40,V1446&lt;75,W1446&gt;=120),0.1,0)+IF(AND(V1446&gt;=75,V1446&lt;175,W1446&lt;35),0.25,0)+IF(AND(V1446&gt;=75,V1446&lt;=175,W1446&gt;=35,W1446&lt;65),0.2,0)+IF(AND(V1446&gt;=75,V1446&lt;=175,W1446&gt;=65,W1446&lt;110),0.15,0)+IF(AND(V1446&gt;=75,V1446&lt;=175,W1446&gt;=110),0.1,0)+IF(AND(V1446&gt;175,W1446&lt;25),0.25,0)+IF(AND(V1446&gt;175,W1446&gt;=25,W1446&lt;55),0.2,0)+IF(AND(V1446&gt;175,W1446&gt;=55,W1446&lt;95),0.15,0)+IF(AND(V1446&gt;175,W1446&gt;=95),0.1,0))))))))))))))))))))</f>
        <v>0.26</v>
      </c>
      <c r="Y1446" s="30">
        <f>IF(AG1446="None",0,IF(AG1446="Fix5",0.05, IF(AG1446="Fix6.25",0.0625,IF(AG1446="Fix3.75",0.0375, IF(AG1446="Fix11",0.11, IF(AG1446="Fix10",0.1,IF(AG1446="Fix3",0.03,0)))))))</f>
        <v>0</v>
      </c>
      <c r="Z1446" s="35">
        <f>IF(AND(AD1446="EUR", AE1446 = "USD"), T1446*U1446-AA1446-AB1446, T1446-AA1446-AB1446)</f>
        <v>0</v>
      </c>
      <c r="AA1446" s="29">
        <f>IF(AND(AD1446="EUR", F1446="Without EV deal", AE1446="USD"), (T1446*X1446)*U1446,
IF(AND(AD1446="EUR", F1446="Without EV deal", AE1446="EUR"), (T1446*X1446),
IF(AND(AD1446="EUR",AE1446="USD"), (T1446*X1446)*U1446,
T1446*X1446)))</f>
        <v>0</v>
      </c>
      <c r="AB1446" s="36">
        <f>IF(AND(AD1446="EUR", F1446="Without EV deal", AE1446="USD"), (T1446*Y1446)*U1446,
IF(AND(AD1446="EUR", F1446="Without EV deal", AE1446="EUR"), (T1446*Y1446),
IF(AND(AD1446="EUR",AE1446="USD"), (T1446*Y1446)*U1446,
T1446*Y1446)))</f>
        <v>0</v>
      </c>
      <c r="AC1446" s="37" t="b">
        <v>0</v>
      </c>
      <c r="AD1446" s="82" t="str">
        <f>IF(OR(H1446="€0.25 Flash",
H1446="€0.25(nitro) new",
H1446="€1",
H1446="€2",
H1446="€2 (bf 01.08)",
H1446="€5",
H1446="€5 (1M)",
H1446="€5 (bf 01.08)",
H1446="€5 (bf 05.05)",
H1446="€5 Nitro",
H1446="€5(wx) new",
H1446="€10",
H1446="€10 (1M)",
H1446="€10 (bf 01.08)",
H1446="€10 (bf 05.05)",
H1446="€10 (MP)",
H1446="€10 (old)",
H1446="€10 Nitro (bf 05.05)",
H1446="€10 Nitro (old)",
H1446="€10(wx) new",
H1446="€20",
H1446="€25",
H1446="€25 (bf 01.08)",
H1446="€25 (bf 05.05)",
H1446="€25 (MP)",
H1446="€25 (old)",
H1446="€25 Nitro",
H1446="€25 Nitro (bf 01.08)",
H1446="€25 Nitro (bf 05.05)",
H1446="€25(nitro) new",
H1446="€25(wx) new",
H1446="€50",
H1446="€50 (bf 01.08)",
H1446="€50 (bf 05.05)",
H1446="€50 (old)",
H1446="€50 Nitro",
H1446="€50 Nitro (bf 01.08)",
H1446="€50 Nitro (bf 05.05)",
H1446="€50(wx) new",
H1446="€100",
H1446="€100 (old)",
H1446="€100 Nitro",
H1446="€100 Nitro (old)",
H1446="€200",
H1446="€250",
H1446="€250 Nitro",
H1446="€500",
H1446="€500 Nitro"),"EUR", "USD")</f>
        <v>USD</v>
      </c>
      <c r="AE1446" s="83" t="s">
        <v>38</v>
      </c>
      <c r="AF1446" s="83" t="str">
        <f t="array" ref="AF1446">INDEX('Deal Info'!D:D, MATCH(A1446,'Deal Info'!A:A, 0))</f>
        <v>SF</v>
      </c>
      <c r="AG1446" s="84" t="str">
        <f t="array" ref="AG1446">INDEX('Deal Info'!G:G, MATCH(A1446,'Deal Info'!A:A, 0))</f>
        <v>None</v>
      </c>
    </row>
    <row r="1447" spans="1:33" ht="14.25" hidden="1" x14ac:dyDescent="0.2">
      <c r="A1447" s="18" t="str">
        <f t="array" ref="A1447">IF(G1447='Room Info'!$B$1, INDEX('Room Info'!$A$2:$A2446, MATCH(B1447,'Room Info'!$B$2:$B2446, 0)),IF(G1447='Room Info'!$C$1, INDEX('Room Info'!$A$2:$A2446, MATCH(B1447,'Room Info'!$C$2:$C2446, 0)),IF(G1447='Room Info'!$D$1, INDEX('Room Info'!$A$2:$A2446, MATCH(B1447,'Room Info'!$D$2:$D2446, 0)),IF(G1447='Room Info'!$E$1, INDEX('Room Info'!$A$2:$A2446, MATCH(B1447,'Room Info'!$E$2:$E2446, 0)),IF(G1447='Room Info'!$F$1, INDEX('Room Info'!$A$2:$A2446, MATCH(B1447,'Room Info'!$F$2:$F2446, 0)),IF(G1447='Room Info'!$H$1, INDEX('Room Info'!$A$2:$A2446, MATCH(B1447,'Room Info'!$H$2:$H2446, 0)),IF(G1447='Room Info'!$G$1, INDEX('Room Info'!$A$2:$A2446, MATCH(B1447,'Room Info'!$G$2:$G2446, 0)))))))))</f>
        <v>volkovsky</v>
      </c>
      <c r="B1447" s="85" t="s">
        <v>206</v>
      </c>
      <c r="C1447" s="86">
        <v>44947</v>
      </c>
      <c r="D1447" s="87">
        <v>44977</v>
      </c>
      <c r="E1447" s="21">
        <v>44958</v>
      </c>
      <c r="F1447" s="22" t="s">
        <v>34</v>
      </c>
      <c r="G1447" s="18" t="s">
        <v>35</v>
      </c>
      <c r="H1447" s="23" t="s">
        <v>70</v>
      </c>
      <c r="I1447" s="23" t="s">
        <v>37</v>
      </c>
      <c r="J1447" s="39">
        <v>100</v>
      </c>
      <c r="K1447" s="88">
        <v>1585</v>
      </c>
      <c r="L1447" s="89">
        <v>-800</v>
      </c>
      <c r="M1447" s="42">
        <v>15400</v>
      </c>
      <c r="N1447" s="28">
        <f>K1447*J1447</f>
        <v>158500</v>
      </c>
      <c r="O1447" s="85">
        <v>81334</v>
      </c>
      <c r="P1447" s="29">
        <v>51.314826500000002</v>
      </c>
      <c r="Q1447" s="30"/>
      <c r="R1447" s="31">
        <f>M1447+Q1447</f>
        <v>15400</v>
      </c>
      <c r="S1447" s="119">
        <v>-4568</v>
      </c>
      <c r="T1447" s="32">
        <f>IF(AND(AD1447="EUR", F1447="Without EV deal"), R1447 + L1447,
IF(AND(AD1447="USD", F1447="Without EV deal"), R1447 + L1447,
IF(AND(AD1447="EUR", F1447="Steel Phoenix"), R1447 + S1447/U1447,
R1447 + S1447)))</f>
        <v>10832</v>
      </c>
      <c r="U1447" s="33">
        <v>1.0669999999999999</v>
      </c>
      <c r="V1447" s="64">
        <v>147.53062030000001</v>
      </c>
      <c r="W1447" s="64">
        <v>73.42204606</v>
      </c>
      <c r="X1447" s="30">
        <f>IF(AF1447="DoEV",IF(AND(V1447&lt;20,W1447&lt;55),0.3,0)+IF(AND(V1447&lt;20,W1447&gt;=55,W1447&lt;105),0.23,0)+IF(AND(V1447&lt;20,W1447&gt;=105),0.17,0)+IF(AND(V1447&gt;=20,V1447&lt;40,W1447&lt;45),0.3,0)+IF(AND(V1447&gt;=20,V1447&lt;40,W1447&gt;=45,W1447&lt;95),0.23,0)+IF(AND(V1447&gt;=20,V1447&lt;40,W1447&gt;=95),0.17,0)+IF(AND(V1447&gt;=40,V1447&lt;75,W1447&lt;35),0.3,0)+IF(AND(V1447&gt;=40,V1447&lt;75,W1447&gt;=35,W1447&lt;75),0.23,0)+IF(AND(V1447&gt;=40,V1447&lt;75,W1447&gt;=75,W1447&lt;120),0.17,0)+IF(AND(V1447&gt;=40,V1447&lt;75,W1447&gt;=120),0.12,0)+IF(AND(V1447&gt;=75,V1447&lt;175,W1447&lt;35),0.3,0)+IF(AND(V1447&gt;=75,V1447&lt;=175,W1447&gt;=35,W1447&lt;65),0.23,0)+IF(AND(V1447&gt;=75,V1447&lt;=175,W1447&gt;=65,W1447&lt;110),0.17,0)+IF(AND(V1447&gt;=75,V1447&lt;=175,W1447&gt;=110),0.12,0)+IF(AND(V1447&gt;175,W1447&lt;25),0.3,0)+IF(AND(V1447&gt;175,W1447&gt;=25,W1447&lt;55),0.23,0)+IF(AND(V1447&gt;175,W1447&gt;=55,W1447&lt;95),0.17,0)+IF(AND(V1447&gt;175,W1447&gt;=95),0.12,0),
IF(AF1447="Fix15",0.15,
IF(AF1447="Fix5",0.05,
IF(AF1447="Fix18.75",0.1875,
IF(AF1447="Fix11.25",0.1125,
IF(AF1447="Fix10",0.1,
IF(AF1447="Fix9",0.09,
IF(AF1447="Fix12",0.12,
IF(AF1447="Fix19",0.19,
IF(AF1447="DoEV2017",IF(AND(W1447&lt;74),0.2,0)+IF(AND(W1447&gt;=74),0.17,0),
IF(AF1447="SF",IF(AND(V1447&lt;20,W1447&lt;89),0.3,0)+IF(AND(V1447&lt;20,W1447&gt;=89),0.25,0)+IF(AND(V1447&gt;=20,V1447&lt;40,W1447&lt;74),0.3,0)+IF(AND(V1447&gt;=20,V1447&lt;40,W1447&gt;=75),0.22,0)+IF(AND(V1447&gt;=40,V1447&lt;75,W1447&lt;75),0.26,0)+IF(AND(V1447&gt;=40,V1447&lt;75,W1447&gt;=75),0.22,0)+IF(V1447&gt;=75,0.22,0),
IF(AF1447="DoEVold",IF(AND(V1447&lt;40,W1447&lt;35),0.35,0)+IF(AND(V1447&lt;40,W1447&gt;=35,W1447&lt;75),0.25,0)+IF(AND(V1447&lt;40,W1447&gt;=75),0.17,0)+IF(AND(V1447&gt;=40,V1447&lt;75,W1447&lt;25),0.35,0)+IF(AND(V1447&gt;=40,V1447&lt;75,W1447&gt;=25,W1447&lt;65),0.25,0)+IF(AND(V1447&gt;=40,V1447&lt;75,W1447&gt;=65,W1447&lt;100),0.17,0)+IF(AND(V1447&gt;=40,V1447&lt;75,W1447&gt;=100),0.1,0)+IF(AND(V1447&gt;=75,W1447&lt;25),0.35,0)+IF(AND(V1447&gt;=75,W1447&gt;=25,W1447&lt;60),0.25,0)+IF(AND(V1447&gt;=75,W1447&gt;=60,W1447&lt;95),0.17,0)+IF(AND(V1447&gt;=75,W1447&gt;=95),0.1,0),
IF(AF1447="DoEVold15",IF(AND(V1447&lt;=40,W1447&lt;35),0.35,0)+IF(AND(V1447&lt;=40,W1447&gt;=35,W1447&lt;75),0.25,0)+IF(AND(V1447&lt;=40,W1447&gt;=75,W1447&lt;120),0.17,0)+IF(AND(V1447&lt;=40,W1447&gt;=120),0.15,0)+IF(AND(V1447&gt;40,V1447&lt;75,W1447&lt;25),0.35,0)+IF(AND(V1447&gt;=40,V1447&lt;75,W1447&gt;=25,W1447&lt;65),0.25,0)+IF(AND(V1447&gt;=40,V1447&lt;75,W1447&gt;=65,W1447&lt;100),0.17,0)+IF(AND(V1447&gt;=40,V1447&lt;75,W1447&gt;=100),0.1,0)+IF(AND(V1447&gt;=75,W1447&lt;25),0.35,0)+IF(AND(V1447&gt;=75,W1447&gt;=25,W1447&lt;60),0.25,0)+IF(AND(V1447&gt;=75,W1447&gt;=60,W1447&lt;95),0.17,0)+IF(AND(V1447&gt;=75,W1447&gt;=95),0.1,0),
IF(AF1447="DoEVba",IF(AND(V1447&lt;20,W1447&lt;105),0.2,0)+IF(AND(V1447&lt;20,W1447&gt;=105),0.15,0)+IF(AND(V1447&gt;=20,V1447&lt;40,W1447&lt;95),0.2,0)+IF(AND(V1447&gt;=20,V1447&lt;40,W1447&gt;=95,W1447&lt;150),0.15,0)+IF(AND(V1447&gt;=20,V1447&lt;40,W1447&gt;=150),0.12,0)+IF(AND(V1447&gt;=40,V1447&lt;75,W1447&lt;75),0.2,0)+IF(AND(V1447&gt;=40,V1447&lt;75,W1447&gt;=75,W1447&lt;120),0.15,0)+IF(AND(V1447&gt;=40,V1447&lt;75,W1447&gt;=120),0.12,0)+IF(AND(V1447&gt;=75,V1447&lt;175,W1447&lt;65),0.2,0)+IF(AND(V1447&gt;=75,V1447&lt;175,W1447&gt;=65,W1447&lt;110),0.15,0)+IF(AND(V1447&gt;=75,V1447&lt;175,W1447&gt;=110),0.12,0)+IF(AND(V1447&gt;=175,W1447&lt;55),0.2,0)+IF(AND(V1447&gt;=175,W1447&gt;=55,W1447&lt;95),0.15,0)+IF(AND(V1447&gt;=175,W1447&gt;=95),0.12,0),
IF(AF1447="DoEVku",IF(AND(V1447&lt;20,W1447&lt;55),0.23,0)+IF(AND(V1447&lt;20,W1447&gt;=55,W1447&lt;105),0.2,0)+IF(AND(V1447&lt;20,W1447&gt;=105),0.17,0)+IF(AND(V1447&gt;=20,V1447&lt;40,W1447&lt;45),0.23,0)+IF(AND(V1447&gt;=20,V1447&lt;40,W1447&gt;=45,W1447&lt;95),0.2,0)+IF(AND(V1447&gt;=20,V1447&lt;40,W1447&gt;=95,W1447&lt;=150),0.17,0)+IF(AND(V1447&gt;=20,V1447&lt;40,W1447&gt;=150),0.12,0)+IF(AND(V1447&gt;=40,V1447&lt;75,W1447&lt;35),0.23,0)+IF(AND(V1447&gt;=40,V1447&lt;75,W1447&gt;=35,W1447&lt;75),0.2,0)+IF(AND(V1447&gt;=40,V1447&lt;75,W1447&gt;=75,W1447&lt;120),0.17,0)+IF(AND(V1447&gt;=40,V1447&lt;75,W1447&gt;=120),0.12,0)+IF(AND(V1447&gt;=75,V1447&lt;175,W1447&lt;35),0.23,0)+IF(AND(V1447&gt;=75,V1447&lt;=175,W1447&gt;=35,W1447&lt;65),0.2,0)+IF(AND(V1447&gt;=75,V1447&lt;=175,W1447&gt;=65,W1447&lt;110),0.17,0)+IF(AND(V1447&gt;=75,V1447&lt;=175,W1447&gt;=110),0.12,0)+IF(AND(V1447&gt;175,W1447&lt;25),0.23,0)+IF(AND(V1447&gt;175,W1447&gt;=25,W1447&lt;55),0.2,0)+IF(AND(V1447&gt;175,W1447&gt;=55,W1447&lt;95),0.17,0)+IF(AND(V1447&gt;175,W1447&gt;=95),0.12,0),
IF(AF1447="DoEVs1",IF(AND(V1447&lt;20,W1447&lt;55),0.3,0)+IF(AND(V1447&lt;20,W1447&gt;=55,W1447&lt;105),0.23,0)+IF(AND(V1447&lt;20,W1447&gt;=105),0.17,0)+IF(AND(V1447&gt;=20,V1447&lt;40,W1447&lt;45),0.3,0)+IF(AND(V1447&gt;=20,V1447&lt;40,W1447&gt;=45,W1447&lt;95),0.23,0)+IF(AND(V1447&gt;=20,V1447&lt;40,W1447&gt;=95,W1447&lt;=150),0.17,0)+IF(AND(V1447&gt;=20,V1447&lt;40,W1447&gt;=150),0.12,0)+IF(AND(V1447&gt;=40,V1447&lt;75,W1447&lt;35),0.3,0)+IF(AND(V1447&gt;=40,V1447&lt;75,W1447&gt;=35,W1447&lt;75),0.23,0)+IF(AND(V1447&gt;=40,V1447&lt;75,W1447&gt;=75,W1447&lt;120),0.17,0)+IF(AND(V1447&gt;=40,V1447&lt;75,W1447&gt;=120),0.12,0)+IF(AND(V1447&gt;=75,V1447&lt;175,W1447&lt;35),0.3,0)+IF(AND(V1447&gt;=75,V1447&lt;=175,W1447&gt;=35,W1447&lt;65),0.23,0)+IF(AND(V1447&gt;=75,V1447&lt;=175,W1447&gt;=65,W1447&lt;110),0.17,0)+IF(AND(V1447&gt;=75,V1447&lt;=175,W1447&gt;=110),0.12,0)+IF(AND(V1447&gt;175,W1447&lt;25),0.3,0)+IF(AND(V1447&gt;175,W1447&gt;=25,W1447&lt;55),0.23,0)+IF(AND(V1447&gt;175,W1447&gt;=55,W1447&lt;95),0.17,0)+IF(AND(V1447&gt;175,W1447&gt;=95),0.12,0),
IF(AF1447="DoEVsu",IF(AND(V1447&lt;20,W1447&lt;55),0.3,0)+IF(AND(V1447&lt;20,W1447&gt;=55,W1447&lt;105),0.23,0)+IF(AND(V1447&lt;20,W1447&gt;=105),0.17,0)+IF(AND(V1447&gt;=20,V1447&lt;40,W1447&lt;45),0.3,0)+IF(AND(V1447&gt;=20,V1447&lt;40,W1447&gt;=45,W1447&lt;95),0.23,0)+IF(AND(V1447&gt;=20,V1447&lt;40,W1447&gt;=95,W1447&lt;=250),0.17,0)+IF(AND(V1447&gt;=20,V1447&lt;40,W1447&gt;=250),0.12,0)+IF(AND(V1447&gt;=40,V1447&lt;75,W1447&lt;35),0.3,0)+IF(AND(V1447&gt;=40,V1447&lt;75,W1447&gt;=35,W1447&lt;75),0.23,0)+IF(AND(V1447&gt;=40,V1447&lt;75,W1447&gt;=75,W1447&lt;120),0.17,0)+IF(AND(V1447&gt;=40,V1447&lt;75,W1447&gt;=120),0.12,0)+IF(AND(V1447&gt;=75,V1447&lt;175,W1447&lt;35),0.3,0)+IF(AND(V1447&gt;=75,V1447&lt;=175,W1447&gt;=35,W1447&lt;65),0.23,0)+IF(AND(V1447&gt;=75,V1447&lt;=175,W1447&gt;=65,W1447&lt;110),0.17,0)+IF(AND(V1447&gt;=75,V1447&lt;=175,W1447&gt;=110),0.12,0)+IF(AND(V1447&gt;175,W1447&lt;25),0.3,0)+IF(AND(V1447&gt;175,W1447&gt;=25,W1447&lt;55),0.23,0)+IF(AND(V1447&gt;175,W1447&gt;=55,W1447&lt;95),0.17,0)+IF(AND(V1447&gt;175,W1447&gt;=95),0.12,0),
IF(AF1447="DoEVni",IF(AND(V1447&lt;20,W1447&lt;55),0.3,0)+IF(AND(V1447&lt;20,W1447&gt;=55,W1447&lt;105),0.23,0)+IF(AND(V1447&lt;20,W1447&gt;=105),0.17,0)+IF(AND(V1447&gt;=20,V1447&lt;40,W1447&lt;45),0.3,0)+IF(AND(V1447&gt;=20,V1447&lt;40,W1447&gt;=45,W1447&lt;95),0.23,0)+IF(AND(V1447&gt;=20,V1447&lt;40,W1447&gt;=95,W1447&lt;=200),0.17,0)+IF(AND(V1447&gt;=20,V1447&lt;40,W1447&gt;=200),0.12,0)+IF(AND(V1447&gt;=40,V1447&lt;75,W1447&lt;35),0.3,0)+IF(AND(V1447&gt;=40,V1447&lt;75,W1447&gt;=35,W1447&lt;75),0.23,0)+IF(AND(V1447&gt;=40,V1447&lt;75,W1447&gt;=75,W1447&lt;120),0.17,0)+IF(AND(V1447&gt;=40,V1447&lt;75,W1447&gt;=120),0.12,0)+IF(AND(V1447&gt;=75,V1447&lt;175,W1447&lt;35),0.3,0)+IF(AND(V1447&gt;=75,V1447&lt;=175,W1447&gt;=35,W1447&lt;65),0.23,0)+IF(AND(V1447&gt;=75,V1447&lt;=175,W1447&gt;=65,W1447&lt;110),0.17,0)+IF(AND(V1447&gt;=75,V1447&lt;=175,W1447&gt;=110),0.12,0)+IF(AND(V1447&gt;175,W1447&lt;25),0.3,0)+IF(AND(V1447&gt;175,W1447&gt;=25,W1447&lt;55),0.23,0)+IF(AND(V1447&gt;175,W1447&gt;=55,W1447&lt;95),0.17,0)+IF(AND(V1447&gt;175,W1447&gt;=95),0.12,0),
IF(AF1447="DoEVLo",IF(AND(V1447&lt;20,W1447&lt;55),0.25,0)+IF(AND(V1447&lt;20,W1447&gt;=55,W1447&lt;105),0.2,0)+IF(AND(V1447&lt;20,W1447&gt;=105),0.15,0)+IF(AND(V1447&gt;=20,V1447&lt;40,W1447&lt;45),0.25,0)+IF(AND(V1447&gt;=20,V1447&lt;40,W1447&gt;=45,W1447&lt;95),0.2,0)+IF(AND(V1447&gt;=20,V1447&lt;40,W1447&gt;=95),0.15,0)+IF(AND(V1447&gt;=40,V1447&lt;75,W1447&lt;35),0.25,0)+IF(AND(V1447&gt;=40,V1447&lt;75,W1447&gt;=35,W1447&lt;75),0.2,0)+IF(AND(V1447&gt;=40,V1447&lt;75,W1447&gt;=75,W1447&lt;120),0.15,0)+IF(AND(V1447&gt;=40,V1447&lt;75,W1447&gt;=120),0.1,0)+IF(AND(V1447&gt;=75,V1447&lt;175,W1447&lt;35),0.25,0)+IF(AND(V1447&gt;=75,V1447&lt;=175,W1447&gt;=35,W1447&lt;65),0.2,0)+IF(AND(V1447&gt;=75,V1447&lt;=175,W1447&gt;=65,W1447&lt;110),0.15,0)+IF(AND(V1447&gt;=75,V1447&lt;=175,W1447&gt;=110),0.1,0)+IF(AND(V1447&gt;175,W1447&lt;25),0.25,0)+IF(AND(V1447&gt;175,W1447&gt;=25,W1447&lt;55),0.2,0)+IF(AND(V1447&gt;175,W1447&gt;=55,W1447&lt;95),0.15,0)+IF(AND(V1447&gt;175,W1447&gt;=95),0.1,0))))))))))))))))))))</f>
        <v>0.1</v>
      </c>
      <c r="Y1447" s="30">
        <f>IF(AG1447="None",0,IF(AG1447="Fix5",0.05, IF(AG1447="Fix6.25",0.0625,IF(AG1447="Fix3.75",0.0375, IF(AG1447="Fix11",0.11, IF(AG1447="Fix10",0.1,IF(AG1447="Fix3",0.03,0)))))))</f>
        <v>0</v>
      </c>
      <c r="Z1447" s="35">
        <f>IF(AND(AD1447="EUR", AE1447 = "USD"), T1447*U1447-AA1447-AB1447, T1447-AA1447-AB1447)</f>
        <v>9748.7999999999993</v>
      </c>
      <c r="AA1447" s="29">
        <f>IF(AND(AD1447="EUR", F1447="Without EV deal", AE1447="USD"), (T1447*X1447)*U1447,
IF(AND(AD1447="EUR", F1447="Without EV deal", AE1447="EUR"), (T1447*X1447),
IF(AND(AD1447="EUR",AE1447="USD"), (T1447*X1447)*U1447,
T1447*X1447)))</f>
        <v>1083.2</v>
      </c>
      <c r="AB1447" s="36">
        <f>IF(AND(AD1447="EUR", F1447="Without EV deal", AE1447="USD"), (T1447*Y1447)*U1447,
IF(AND(AD1447="EUR", F1447="Without EV deal", AE1447="EUR"), (T1447*Y1447),
IF(AND(AD1447="EUR",AE1447="USD"), (T1447*Y1447)*U1447,
T1447*Y1447)))</f>
        <v>0</v>
      </c>
      <c r="AC1447" s="37" t="b">
        <v>1</v>
      </c>
      <c r="AD1447" s="82" t="str">
        <f>IF(OR(H1447="€0.25 Flash",
H1447="€0.25(nitro) new",
H1447="€1",
H1447="€2",
H1447="€2 (bf 01.08)",
H1447="€5",
H1447="€5 (1M)",
H1447="€5 (bf 01.08)",
H1447="€5 (bf 05.05)",
H1447="€5 Nitro",
H1447="€5(wx) new",
H1447="€10",
H1447="€10 (1M)",
H1447="€10 (bf 01.08)",
H1447="€10 (bf 05.05)",
H1447="€10 (MP)",
H1447="€10 (old)",
H1447="€10 Nitro (bf 05.05)",
H1447="€10 Nitro (old)",
H1447="€10(wx) new",
H1447="€20",
H1447="€25",
H1447="€25 (bf 01.08)",
H1447="€25 (bf 05.05)",
H1447="€25 (MP)",
H1447="€25 (old)",
H1447="€25 Nitro",
H1447="€25 Nitro (bf 01.08)",
H1447="€25 Nitro (bf 05.05)",
H1447="€25(nitro) new",
H1447="€25(wx) new",
H1447="€50",
H1447="€50 (bf 01.08)",
H1447="€50 (bf 05.05)",
H1447="€50 (old)",
H1447="€50 Nitro",
H1447="€50 Nitro (bf 01.08)",
H1447="€50 Nitro (bf 05.05)",
H1447="€50(wx) new",
H1447="€100",
H1447="€100 (old)",
H1447="€100 Nitro",
H1447="€100 Nitro (old)",
H1447="€200",
H1447="€250",
H1447="€250 Nitro",
H1447="€500",
H1447="€500 Nitro"),"EUR", "USD")</f>
        <v>USD</v>
      </c>
      <c r="AE1447" s="83" t="s">
        <v>38</v>
      </c>
      <c r="AF1447" s="83" t="str">
        <f t="array" ref="AF1447">INDEX('Deal Info'!D:D, MATCH(A1447,'Deal Info'!A:A, 0))</f>
        <v>Fix10</v>
      </c>
      <c r="AG1447" s="84" t="str">
        <f t="array" ref="AG1447">INDEX('Deal Info'!G:G, MATCH(A1447,'Deal Info'!A:A, 0))</f>
        <v>None</v>
      </c>
    </row>
    <row r="1448" spans="1:33" ht="14.25" hidden="1" x14ac:dyDescent="0.2">
      <c r="A1448" s="18" t="str">
        <f t="array" ref="A1448">IF(G1448='Room Info'!$B$1, INDEX('Room Info'!$A$2:$A2446, MATCH(B1448,'Room Info'!$B$2:$B2446, 0)),IF(G1448='Room Info'!$C$1, INDEX('Room Info'!$A$2:$A2446, MATCH(B1448,'Room Info'!$C$2:$C2446, 0)),IF(G1448='Room Info'!$D$1, INDEX('Room Info'!$A$2:$A2446, MATCH(B1448,'Room Info'!$D$2:$D2446, 0)),IF(G1448='Room Info'!$E$1, INDEX('Room Info'!$A$2:$A2446, MATCH(B1448,'Room Info'!$E$2:$E2446, 0)),IF(G1448='Room Info'!$F$1, INDEX('Room Info'!$A$2:$A2446, MATCH(B1448,'Room Info'!$F$2:$F2446, 0)),IF(G1448='Room Info'!$H$1, INDEX('Room Info'!$A$2:$A2446, MATCH(B1448,'Room Info'!$H$2:$H2446, 0)),IF(G1448='Room Info'!$G$1, INDEX('Room Info'!$A$2:$A2446, MATCH(B1448,'Room Info'!$G$2:$G2446, 0)))))))))</f>
        <v>volkovsky</v>
      </c>
      <c r="B1448" s="85" t="s">
        <v>206</v>
      </c>
      <c r="C1448" s="86">
        <v>44947</v>
      </c>
      <c r="D1448" s="87">
        <v>44977</v>
      </c>
      <c r="E1448" s="21">
        <v>44958</v>
      </c>
      <c r="F1448" s="22" t="s">
        <v>34</v>
      </c>
      <c r="G1448" s="18" t="s">
        <v>35</v>
      </c>
      <c r="H1448" s="23" t="s">
        <v>84</v>
      </c>
      <c r="I1448" s="23" t="s">
        <v>44</v>
      </c>
      <c r="J1448" s="39">
        <v>100</v>
      </c>
      <c r="K1448" s="88">
        <v>144</v>
      </c>
      <c r="L1448" s="89">
        <v>-800</v>
      </c>
      <c r="M1448" s="27"/>
      <c r="N1448" s="28">
        <f>K1448*J1448</f>
        <v>14400</v>
      </c>
      <c r="O1448" s="85">
        <v>678</v>
      </c>
      <c r="P1448" s="29">
        <v>4.7083333329999997</v>
      </c>
      <c r="Q1448" s="30"/>
      <c r="R1448" s="31">
        <f>M1448+Q1448</f>
        <v>0</v>
      </c>
      <c r="S1448" s="28"/>
      <c r="T1448" s="32">
        <f>IF(AND(AD1448="EUR", F1448="Without EV deal"), R1448 + L1448,
IF(AND(AD1448="USD", F1448="Without EV deal"), R1448 + L1448,
IF(AND(AD1448="EUR", F1448="Steel Phoenix"), R1448 + S1448/U1448,
R1448 + S1448)))</f>
        <v>0</v>
      </c>
      <c r="U1448" s="33">
        <v>1.0669999999999999</v>
      </c>
      <c r="V1448" s="64">
        <v>147.53062030000001</v>
      </c>
      <c r="W1448" s="64">
        <v>73.42204606</v>
      </c>
      <c r="X1448" s="30">
        <f>IF(AF1448="DoEV",IF(AND(V1448&lt;20,W1448&lt;55),0.3,0)+IF(AND(V1448&lt;20,W1448&gt;=55,W1448&lt;105),0.23,0)+IF(AND(V1448&lt;20,W1448&gt;=105),0.17,0)+IF(AND(V1448&gt;=20,V1448&lt;40,W1448&lt;45),0.3,0)+IF(AND(V1448&gt;=20,V1448&lt;40,W1448&gt;=45,W1448&lt;95),0.23,0)+IF(AND(V1448&gt;=20,V1448&lt;40,W1448&gt;=95),0.17,0)+IF(AND(V1448&gt;=40,V1448&lt;75,W1448&lt;35),0.3,0)+IF(AND(V1448&gt;=40,V1448&lt;75,W1448&gt;=35,W1448&lt;75),0.23,0)+IF(AND(V1448&gt;=40,V1448&lt;75,W1448&gt;=75,W1448&lt;120),0.17,0)+IF(AND(V1448&gt;=40,V1448&lt;75,W1448&gt;=120),0.12,0)+IF(AND(V1448&gt;=75,V1448&lt;175,W1448&lt;35),0.3,0)+IF(AND(V1448&gt;=75,V1448&lt;=175,W1448&gt;=35,W1448&lt;65),0.23,0)+IF(AND(V1448&gt;=75,V1448&lt;=175,W1448&gt;=65,W1448&lt;110),0.17,0)+IF(AND(V1448&gt;=75,V1448&lt;=175,W1448&gt;=110),0.12,0)+IF(AND(V1448&gt;175,W1448&lt;25),0.3,0)+IF(AND(V1448&gt;175,W1448&gt;=25,W1448&lt;55),0.23,0)+IF(AND(V1448&gt;175,W1448&gt;=55,W1448&lt;95),0.17,0)+IF(AND(V1448&gt;175,W1448&gt;=95),0.12,0),
IF(AF1448="Fix15",0.15,
IF(AF1448="Fix5",0.05,
IF(AF1448="Fix18.75",0.1875,
IF(AF1448="Fix11.25",0.1125,
IF(AF1448="Fix10",0.1,
IF(AF1448="Fix9",0.09,
IF(AF1448="Fix12",0.12,
IF(AF1448="Fix19",0.19,
IF(AF1448="DoEV2017",IF(AND(W1448&lt;74),0.2,0)+IF(AND(W1448&gt;=74),0.17,0),
IF(AF1448="SF",IF(AND(V1448&lt;20,W1448&lt;89),0.3,0)+IF(AND(V1448&lt;20,W1448&gt;=89),0.25,0)+IF(AND(V1448&gt;=20,V1448&lt;40,W1448&lt;74),0.3,0)+IF(AND(V1448&gt;=20,V1448&lt;40,W1448&gt;=75),0.22,0)+IF(AND(V1448&gt;=40,V1448&lt;75,W1448&lt;75),0.26,0)+IF(AND(V1448&gt;=40,V1448&lt;75,W1448&gt;=75),0.22,0)+IF(V1448&gt;=75,0.22,0),
IF(AF1448="DoEVold",IF(AND(V1448&lt;40,W1448&lt;35),0.35,0)+IF(AND(V1448&lt;40,W1448&gt;=35,W1448&lt;75),0.25,0)+IF(AND(V1448&lt;40,W1448&gt;=75),0.17,0)+IF(AND(V1448&gt;=40,V1448&lt;75,W1448&lt;25),0.35,0)+IF(AND(V1448&gt;=40,V1448&lt;75,W1448&gt;=25,W1448&lt;65),0.25,0)+IF(AND(V1448&gt;=40,V1448&lt;75,W1448&gt;=65,W1448&lt;100),0.17,0)+IF(AND(V1448&gt;=40,V1448&lt;75,W1448&gt;=100),0.1,0)+IF(AND(V1448&gt;=75,W1448&lt;25),0.35,0)+IF(AND(V1448&gt;=75,W1448&gt;=25,W1448&lt;60),0.25,0)+IF(AND(V1448&gt;=75,W1448&gt;=60,W1448&lt;95),0.17,0)+IF(AND(V1448&gt;=75,W1448&gt;=95),0.1,0),
IF(AF1448="DoEVold15",IF(AND(V1448&lt;=40,W1448&lt;35),0.35,0)+IF(AND(V1448&lt;=40,W1448&gt;=35,W1448&lt;75),0.25,0)+IF(AND(V1448&lt;=40,W1448&gt;=75,W1448&lt;120),0.17,0)+IF(AND(V1448&lt;=40,W1448&gt;=120),0.15,0)+IF(AND(V1448&gt;40,V1448&lt;75,W1448&lt;25),0.35,0)+IF(AND(V1448&gt;=40,V1448&lt;75,W1448&gt;=25,W1448&lt;65),0.25,0)+IF(AND(V1448&gt;=40,V1448&lt;75,W1448&gt;=65,W1448&lt;100),0.17,0)+IF(AND(V1448&gt;=40,V1448&lt;75,W1448&gt;=100),0.1,0)+IF(AND(V1448&gt;=75,W1448&lt;25),0.35,0)+IF(AND(V1448&gt;=75,W1448&gt;=25,W1448&lt;60),0.25,0)+IF(AND(V1448&gt;=75,W1448&gt;=60,W1448&lt;95),0.17,0)+IF(AND(V1448&gt;=75,W1448&gt;=95),0.1,0),
IF(AF1448="DoEVba",IF(AND(V1448&lt;20,W1448&lt;105),0.2,0)+IF(AND(V1448&lt;20,W1448&gt;=105),0.15,0)+IF(AND(V1448&gt;=20,V1448&lt;40,W1448&lt;95),0.2,0)+IF(AND(V1448&gt;=20,V1448&lt;40,W1448&gt;=95,W1448&lt;150),0.15,0)+IF(AND(V1448&gt;=20,V1448&lt;40,W1448&gt;=150),0.12,0)+IF(AND(V1448&gt;=40,V1448&lt;75,W1448&lt;75),0.2,0)+IF(AND(V1448&gt;=40,V1448&lt;75,W1448&gt;=75,W1448&lt;120),0.15,0)+IF(AND(V1448&gt;=40,V1448&lt;75,W1448&gt;=120),0.12,0)+IF(AND(V1448&gt;=75,V1448&lt;175,W1448&lt;65),0.2,0)+IF(AND(V1448&gt;=75,V1448&lt;175,W1448&gt;=65,W1448&lt;110),0.15,0)+IF(AND(V1448&gt;=75,V1448&lt;175,W1448&gt;=110),0.12,0)+IF(AND(V1448&gt;=175,W1448&lt;55),0.2,0)+IF(AND(V1448&gt;=175,W1448&gt;=55,W1448&lt;95),0.15,0)+IF(AND(V1448&gt;=175,W1448&gt;=95),0.12,0),
IF(AF1448="DoEVku",IF(AND(V1448&lt;20,W1448&lt;55),0.23,0)+IF(AND(V1448&lt;20,W1448&gt;=55,W1448&lt;105),0.2,0)+IF(AND(V1448&lt;20,W1448&gt;=105),0.17,0)+IF(AND(V1448&gt;=20,V1448&lt;40,W1448&lt;45),0.23,0)+IF(AND(V1448&gt;=20,V1448&lt;40,W1448&gt;=45,W1448&lt;95),0.2,0)+IF(AND(V1448&gt;=20,V1448&lt;40,W1448&gt;=95,W1448&lt;=150),0.17,0)+IF(AND(V1448&gt;=20,V1448&lt;40,W1448&gt;=150),0.12,0)+IF(AND(V1448&gt;=40,V1448&lt;75,W1448&lt;35),0.23,0)+IF(AND(V1448&gt;=40,V1448&lt;75,W1448&gt;=35,W1448&lt;75),0.2,0)+IF(AND(V1448&gt;=40,V1448&lt;75,W1448&gt;=75,W1448&lt;120),0.17,0)+IF(AND(V1448&gt;=40,V1448&lt;75,W1448&gt;=120),0.12,0)+IF(AND(V1448&gt;=75,V1448&lt;175,W1448&lt;35),0.23,0)+IF(AND(V1448&gt;=75,V1448&lt;=175,W1448&gt;=35,W1448&lt;65),0.2,0)+IF(AND(V1448&gt;=75,V1448&lt;=175,W1448&gt;=65,W1448&lt;110),0.17,0)+IF(AND(V1448&gt;=75,V1448&lt;=175,W1448&gt;=110),0.12,0)+IF(AND(V1448&gt;175,W1448&lt;25),0.23,0)+IF(AND(V1448&gt;175,W1448&gt;=25,W1448&lt;55),0.2,0)+IF(AND(V1448&gt;175,W1448&gt;=55,W1448&lt;95),0.17,0)+IF(AND(V1448&gt;175,W1448&gt;=95),0.12,0),
IF(AF1448="DoEVs1",IF(AND(V1448&lt;20,W1448&lt;55),0.3,0)+IF(AND(V1448&lt;20,W1448&gt;=55,W1448&lt;105),0.23,0)+IF(AND(V1448&lt;20,W1448&gt;=105),0.17,0)+IF(AND(V1448&gt;=20,V1448&lt;40,W1448&lt;45),0.3,0)+IF(AND(V1448&gt;=20,V1448&lt;40,W1448&gt;=45,W1448&lt;95),0.23,0)+IF(AND(V1448&gt;=20,V1448&lt;40,W1448&gt;=95,W1448&lt;=150),0.17,0)+IF(AND(V1448&gt;=20,V1448&lt;40,W1448&gt;=150),0.12,0)+IF(AND(V1448&gt;=40,V1448&lt;75,W1448&lt;35),0.3,0)+IF(AND(V1448&gt;=40,V1448&lt;75,W1448&gt;=35,W1448&lt;75),0.23,0)+IF(AND(V1448&gt;=40,V1448&lt;75,W1448&gt;=75,W1448&lt;120),0.17,0)+IF(AND(V1448&gt;=40,V1448&lt;75,W1448&gt;=120),0.12,0)+IF(AND(V1448&gt;=75,V1448&lt;175,W1448&lt;35),0.3,0)+IF(AND(V1448&gt;=75,V1448&lt;=175,W1448&gt;=35,W1448&lt;65),0.23,0)+IF(AND(V1448&gt;=75,V1448&lt;=175,W1448&gt;=65,W1448&lt;110),0.17,0)+IF(AND(V1448&gt;=75,V1448&lt;=175,W1448&gt;=110),0.12,0)+IF(AND(V1448&gt;175,W1448&lt;25),0.3,0)+IF(AND(V1448&gt;175,W1448&gt;=25,W1448&lt;55),0.23,0)+IF(AND(V1448&gt;175,W1448&gt;=55,W1448&lt;95),0.17,0)+IF(AND(V1448&gt;175,W1448&gt;=95),0.12,0),
IF(AF1448="DoEVsu",IF(AND(V1448&lt;20,W1448&lt;55),0.3,0)+IF(AND(V1448&lt;20,W1448&gt;=55,W1448&lt;105),0.23,0)+IF(AND(V1448&lt;20,W1448&gt;=105),0.17,0)+IF(AND(V1448&gt;=20,V1448&lt;40,W1448&lt;45),0.3,0)+IF(AND(V1448&gt;=20,V1448&lt;40,W1448&gt;=45,W1448&lt;95),0.23,0)+IF(AND(V1448&gt;=20,V1448&lt;40,W1448&gt;=95,W1448&lt;=250),0.17,0)+IF(AND(V1448&gt;=20,V1448&lt;40,W1448&gt;=250),0.12,0)+IF(AND(V1448&gt;=40,V1448&lt;75,W1448&lt;35),0.3,0)+IF(AND(V1448&gt;=40,V1448&lt;75,W1448&gt;=35,W1448&lt;75),0.23,0)+IF(AND(V1448&gt;=40,V1448&lt;75,W1448&gt;=75,W1448&lt;120),0.17,0)+IF(AND(V1448&gt;=40,V1448&lt;75,W1448&gt;=120),0.12,0)+IF(AND(V1448&gt;=75,V1448&lt;175,W1448&lt;35),0.3,0)+IF(AND(V1448&gt;=75,V1448&lt;=175,W1448&gt;=35,W1448&lt;65),0.23,0)+IF(AND(V1448&gt;=75,V1448&lt;=175,W1448&gt;=65,W1448&lt;110),0.17,0)+IF(AND(V1448&gt;=75,V1448&lt;=175,W1448&gt;=110),0.12,0)+IF(AND(V1448&gt;175,W1448&lt;25),0.3,0)+IF(AND(V1448&gt;175,W1448&gt;=25,W1448&lt;55),0.23,0)+IF(AND(V1448&gt;175,W1448&gt;=55,W1448&lt;95),0.17,0)+IF(AND(V1448&gt;175,W1448&gt;=95),0.12,0),
IF(AF1448="DoEVni",IF(AND(V1448&lt;20,W1448&lt;55),0.3,0)+IF(AND(V1448&lt;20,W1448&gt;=55,W1448&lt;105),0.23,0)+IF(AND(V1448&lt;20,W1448&gt;=105),0.17,0)+IF(AND(V1448&gt;=20,V1448&lt;40,W1448&lt;45),0.3,0)+IF(AND(V1448&gt;=20,V1448&lt;40,W1448&gt;=45,W1448&lt;95),0.23,0)+IF(AND(V1448&gt;=20,V1448&lt;40,W1448&gt;=95,W1448&lt;=200),0.17,0)+IF(AND(V1448&gt;=20,V1448&lt;40,W1448&gt;=200),0.12,0)+IF(AND(V1448&gt;=40,V1448&lt;75,W1448&lt;35),0.3,0)+IF(AND(V1448&gt;=40,V1448&lt;75,W1448&gt;=35,W1448&lt;75),0.23,0)+IF(AND(V1448&gt;=40,V1448&lt;75,W1448&gt;=75,W1448&lt;120),0.17,0)+IF(AND(V1448&gt;=40,V1448&lt;75,W1448&gt;=120),0.12,0)+IF(AND(V1448&gt;=75,V1448&lt;175,W1448&lt;35),0.3,0)+IF(AND(V1448&gt;=75,V1448&lt;=175,W1448&gt;=35,W1448&lt;65),0.23,0)+IF(AND(V1448&gt;=75,V1448&lt;=175,W1448&gt;=65,W1448&lt;110),0.17,0)+IF(AND(V1448&gt;=75,V1448&lt;=175,W1448&gt;=110),0.12,0)+IF(AND(V1448&gt;175,W1448&lt;25),0.3,0)+IF(AND(V1448&gt;175,W1448&gt;=25,W1448&lt;55),0.23,0)+IF(AND(V1448&gt;175,W1448&gt;=55,W1448&lt;95),0.17,0)+IF(AND(V1448&gt;175,W1448&gt;=95),0.12,0),
IF(AF1448="DoEVLo",IF(AND(V1448&lt;20,W1448&lt;55),0.25,0)+IF(AND(V1448&lt;20,W1448&gt;=55,W1448&lt;105),0.2,0)+IF(AND(V1448&lt;20,W1448&gt;=105),0.15,0)+IF(AND(V1448&gt;=20,V1448&lt;40,W1448&lt;45),0.25,0)+IF(AND(V1448&gt;=20,V1448&lt;40,W1448&gt;=45,W1448&lt;95),0.2,0)+IF(AND(V1448&gt;=20,V1448&lt;40,W1448&gt;=95),0.15,0)+IF(AND(V1448&gt;=40,V1448&lt;75,W1448&lt;35),0.25,0)+IF(AND(V1448&gt;=40,V1448&lt;75,W1448&gt;=35,W1448&lt;75),0.2,0)+IF(AND(V1448&gt;=40,V1448&lt;75,W1448&gt;=75,W1448&lt;120),0.15,0)+IF(AND(V1448&gt;=40,V1448&lt;75,W1448&gt;=120),0.1,0)+IF(AND(V1448&gt;=75,V1448&lt;175,W1448&lt;35),0.25,0)+IF(AND(V1448&gt;=75,V1448&lt;=175,W1448&gt;=35,W1448&lt;65),0.2,0)+IF(AND(V1448&gt;=75,V1448&lt;=175,W1448&gt;=65,W1448&lt;110),0.15,0)+IF(AND(V1448&gt;=75,V1448&lt;=175,W1448&gt;=110),0.1,0)+IF(AND(V1448&gt;175,W1448&lt;25),0.25,0)+IF(AND(V1448&gt;175,W1448&gt;=25,W1448&lt;55),0.2,0)+IF(AND(V1448&gt;175,W1448&gt;=55,W1448&lt;95),0.15,0)+IF(AND(V1448&gt;175,W1448&gt;=95),0.1,0))))))))))))))))))))</f>
        <v>0.1</v>
      </c>
      <c r="Y1448" s="30">
        <f>IF(AG1448="None",0,IF(AG1448="Fix5",0.05, IF(AG1448="Fix6.25",0.0625,IF(AG1448="Fix3.75",0.0375, IF(AG1448="Fix11",0.11, IF(AG1448="Fix10",0.1,IF(AG1448="Fix3",0.03,0)))))))</f>
        <v>0</v>
      </c>
      <c r="Z1448" s="35">
        <f>IF(AND(AD1448="EUR", AE1448 = "USD"), T1448*U1448-AA1448-AB1448, T1448-AA1448-AB1448)</f>
        <v>0</v>
      </c>
      <c r="AA1448" s="29">
        <f>IF(AND(AD1448="EUR", F1448="Without EV deal", AE1448="USD"), (T1448*X1448)*U1448,
IF(AND(AD1448="EUR", F1448="Without EV deal", AE1448="EUR"), (T1448*X1448),
IF(AND(AD1448="EUR",AE1448="USD"), (T1448*X1448)*U1448,
T1448*X1448)))</f>
        <v>0</v>
      </c>
      <c r="AB1448" s="36">
        <f>IF(AND(AD1448="EUR", F1448="Without EV deal", AE1448="USD"), (T1448*Y1448)*U1448,
IF(AND(AD1448="EUR", F1448="Without EV deal", AE1448="EUR"), (T1448*Y1448),
IF(AND(AD1448="EUR",AE1448="USD"), (T1448*Y1448)*U1448,
T1448*Y1448)))</f>
        <v>0</v>
      </c>
      <c r="AC1448" s="37" t="b">
        <v>1</v>
      </c>
      <c r="AD1448" s="82" t="str">
        <f>IF(OR(H1448="€0.25 Flash",
H1448="€0.25(nitro) new",
H1448="€1",
H1448="€2",
H1448="€2 (bf 01.08)",
H1448="€5",
H1448="€5 (1M)",
H1448="€5 (bf 01.08)",
H1448="€5 (bf 05.05)",
H1448="€5 Nitro",
H1448="€5(wx) new",
H1448="€10",
H1448="€10 (1M)",
H1448="€10 (bf 01.08)",
H1448="€10 (bf 05.05)",
H1448="€10 (MP)",
H1448="€10 (old)",
H1448="€10 Nitro (bf 05.05)",
H1448="€10 Nitro (old)",
H1448="€10(wx) new",
H1448="€20",
H1448="€25",
H1448="€25 (bf 01.08)",
H1448="€25 (bf 05.05)",
H1448="€25 (MP)",
H1448="€25 (old)",
H1448="€25 Nitro",
H1448="€25 Nitro (bf 01.08)",
H1448="€25 Nitro (bf 05.05)",
H1448="€25(nitro) new",
H1448="€25(wx) new",
H1448="€50",
H1448="€50 (bf 01.08)",
H1448="€50 (bf 05.05)",
H1448="€50 (old)",
H1448="€50 Nitro",
H1448="€50 Nitro (bf 01.08)",
H1448="€50 Nitro (bf 05.05)",
H1448="€50(wx) new",
H1448="€100",
H1448="€100 (old)",
H1448="€100 Nitro",
H1448="€100 Nitro (old)",
H1448="€200",
H1448="€250",
H1448="€250 Nitro",
H1448="€500",
H1448="€500 Nitro"),"EUR", "USD")</f>
        <v>USD</v>
      </c>
      <c r="AE1448" s="83" t="s">
        <v>38</v>
      </c>
      <c r="AF1448" s="83" t="str">
        <f t="array" ref="AF1448">INDEX('Deal Info'!D:D, MATCH(A1448,'Deal Info'!A:A, 0))</f>
        <v>Fix10</v>
      </c>
      <c r="AG1448" s="84" t="str">
        <f t="array" ref="AG1448">INDEX('Deal Info'!G:G, MATCH(A1448,'Deal Info'!A:A, 0))</f>
        <v>None</v>
      </c>
    </row>
    <row r="1449" spans="1:33" ht="14.25" hidden="1" x14ac:dyDescent="0.2">
      <c r="A1449" s="18" t="str">
        <f t="array" ref="A1449">IF(G1449='Room Info'!$B$1, INDEX('Room Info'!$A$2:$A2446, MATCH(B1449,'Room Info'!$B$2:$B2446, 0)),IF(G1449='Room Info'!$C$1, INDEX('Room Info'!$A$2:$A2446, MATCH(B1449,'Room Info'!$C$2:$C2446, 0)),IF(G1449='Room Info'!$D$1, INDEX('Room Info'!$A$2:$A2446, MATCH(B1449,'Room Info'!$D$2:$D2446, 0)),IF(G1449='Room Info'!$E$1, INDEX('Room Info'!$A$2:$A2446, MATCH(B1449,'Room Info'!$E$2:$E2446, 0)),IF(G1449='Room Info'!$F$1, INDEX('Room Info'!$A$2:$A2446, MATCH(B1449,'Room Info'!$F$2:$F2446, 0)),IF(G1449='Room Info'!$H$1, INDEX('Room Info'!$A$2:$A2446, MATCH(B1449,'Room Info'!$H$2:$H2446, 0)),IF(G1449='Room Info'!$G$1, INDEX('Room Info'!$A$2:$A2446, MATCH(B1449,'Room Info'!$G$2:$G2446, 0)))))))))</f>
        <v>volkovsky</v>
      </c>
      <c r="B1449" s="85" t="s">
        <v>206</v>
      </c>
      <c r="C1449" s="86">
        <v>44947</v>
      </c>
      <c r="D1449" s="87">
        <v>44977</v>
      </c>
      <c r="E1449" s="21">
        <v>44958</v>
      </c>
      <c r="F1449" s="22" t="s">
        <v>34</v>
      </c>
      <c r="G1449" s="18" t="s">
        <v>35</v>
      </c>
      <c r="H1449" s="23" t="s">
        <v>88</v>
      </c>
      <c r="I1449" s="23" t="s">
        <v>37</v>
      </c>
      <c r="J1449" s="39">
        <v>250</v>
      </c>
      <c r="K1449" s="88">
        <v>584</v>
      </c>
      <c r="L1449" s="89">
        <v>6500</v>
      </c>
      <c r="M1449" s="27"/>
      <c r="N1449" s="28">
        <f>K1449*J1449</f>
        <v>146000</v>
      </c>
      <c r="O1449" s="85">
        <v>-2365</v>
      </c>
      <c r="P1449" s="29">
        <v>-4.0496575339999996</v>
      </c>
      <c r="Q1449" s="30"/>
      <c r="R1449" s="31">
        <f>M1449+Q1449</f>
        <v>0</v>
      </c>
      <c r="S1449" s="28"/>
      <c r="T1449" s="32">
        <f>IF(AND(AD1449="EUR", F1449="Without EV deal"), R1449 + L1449,
IF(AND(AD1449="USD", F1449="Without EV deal"), R1449 + L1449,
IF(AND(AD1449="EUR", F1449="Steel Phoenix"), R1449 + S1449/U1449,
R1449 + S1449)))</f>
        <v>0</v>
      </c>
      <c r="U1449" s="33">
        <v>1.0669999999999999</v>
      </c>
      <c r="V1449" s="64">
        <v>147.53062030000001</v>
      </c>
      <c r="W1449" s="64">
        <v>73.42204606</v>
      </c>
      <c r="X1449" s="30">
        <f>IF(AF1449="DoEV",IF(AND(V1449&lt;20,W1449&lt;55),0.3,0)+IF(AND(V1449&lt;20,W1449&gt;=55,W1449&lt;105),0.23,0)+IF(AND(V1449&lt;20,W1449&gt;=105),0.17,0)+IF(AND(V1449&gt;=20,V1449&lt;40,W1449&lt;45),0.3,0)+IF(AND(V1449&gt;=20,V1449&lt;40,W1449&gt;=45,W1449&lt;95),0.23,0)+IF(AND(V1449&gt;=20,V1449&lt;40,W1449&gt;=95),0.17,0)+IF(AND(V1449&gt;=40,V1449&lt;75,W1449&lt;35),0.3,0)+IF(AND(V1449&gt;=40,V1449&lt;75,W1449&gt;=35,W1449&lt;75),0.23,0)+IF(AND(V1449&gt;=40,V1449&lt;75,W1449&gt;=75,W1449&lt;120),0.17,0)+IF(AND(V1449&gt;=40,V1449&lt;75,W1449&gt;=120),0.12,0)+IF(AND(V1449&gt;=75,V1449&lt;175,W1449&lt;35),0.3,0)+IF(AND(V1449&gt;=75,V1449&lt;=175,W1449&gt;=35,W1449&lt;65),0.23,0)+IF(AND(V1449&gt;=75,V1449&lt;=175,W1449&gt;=65,W1449&lt;110),0.17,0)+IF(AND(V1449&gt;=75,V1449&lt;=175,W1449&gt;=110),0.12,0)+IF(AND(V1449&gt;175,W1449&lt;25),0.3,0)+IF(AND(V1449&gt;175,W1449&gt;=25,W1449&lt;55),0.23,0)+IF(AND(V1449&gt;175,W1449&gt;=55,W1449&lt;95),0.17,0)+IF(AND(V1449&gt;175,W1449&gt;=95),0.12,0),
IF(AF1449="Fix15",0.15,
IF(AF1449="Fix5",0.05,
IF(AF1449="Fix18.75",0.1875,
IF(AF1449="Fix11.25",0.1125,
IF(AF1449="Fix10",0.1,
IF(AF1449="Fix9",0.09,
IF(AF1449="Fix12",0.12,
IF(AF1449="Fix19",0.19,
IF(AF1449="DoEV2017",IF(AND(W1449&lt;74),0.2,0)+IF(AND(W1449&gt;=74),0.17,0),
IF(AF1449="SF",IF(AND(V1449&lt;20,W1449&lt;89),0.3,0)+IF(AND(V1449&lt;20,W1449&gt;=89),0.25,0)+IF(AND(V1449&gt;=20,V1449&lt;40,W1449&lt;74),0.3,0)+IF(AND(V1449&gt;=20,V1449&lt;40,W1449&gt;=75),0.22,0)+IF(AND(V1449&gt;=40,V1449&lt;75,W1449&lt;75),0.26,0)+IF(AND(V1449&gt;=40,V1449&lt;75,W1449&gt;=75),0.22,0)+IF(V1449&gt;=75,0.22,0),
IF(AF1449="DoEVold",IF(AND(V1449&lt;40,W1449&lt;35),0.35,0)+IF(AND(V1449&lt;40,W1449&gt;=35,W1449&lt;75),0.25,0)+IF(AND(V1449&lt;40,W1449&gt;=75),0.17,0)+IF(AND(V1449&gt;=40,V1449&lt;75,W1449&lt;25),0.35,0)+IF(AND(V1449&gt;=40,V1449&lt;75,W1449&gt;=25,W1449&lt;65),0.25,0)+IF(AND(V1449&gt;=40,V1449&lt;75,W1449&gt;=65,W1449&lt;100),0.17,0)+IF(AND(V1449&gt;=40,V1449&lt;75,W1449&gt;=100),0.1,0)+IF(AND(V1449&gt;=75,W1449&lt;25),0.35,0)+IF(AND(V1449&gt;=75,W1449&gt;=25,W1449&lt;60),0.25,0)+IF(AND(V1449&gt;=75,W1449&gt;=60,W1449&lt;95),0.17,0)+IF(AND(V1449&gt;=75,W1449&gt;=95),0.1,0),
IF(AF1449="DoEVold15",IF(AND(V1449&lt;=40,W1449&lt;35),0.35,0)+IF(AND(V1449&lt;=40,W1449&gt;=35,W1449&lt;75),0.25,0)+IF(AND(V1449&lt;=40,W1449&gt;=75,W1449&lt;120),0.17,0)+IF(AND(V1449&lt;=40,W1449&gt;=120),0.15,0)+IF(AND(V1449&gt;40,V1449&lt;75,W1449&lt;25),0.35,0)+IF(AND(V1449&gt;=40,V1449&lt;75,W1449&gt;=25,W1449&lt;65),0.25,0)+IF(AND(V1449&gt;=40,V1449&lt;75,W1449&gt;=65,W1449&lt;100),0.17,0)+IF(AND(V1449&gt;=40,V1449&lt;75,W1449&gt;=100),0.1,0)+IF(AND(V1449&gt;=75,W1449&lt;25),0.35,0)+IF(AND(V1449&gt;=75,W1449&gt;=25,W1449&lt;60),0.25,0)+IF(AND(V1449&gt;=75,W1449&gt;=60,W1449&lt;95),0.17,0)+IF(AND(V1449&gt;=75,W1449&gt;=95),0.1,0),
IF(AF1449="DoEVba",IF(AND(V1449&lt;20,W1449&lt;105),0.2,0)+IF(AND(V1449&lt;20,W1449&gt;=105),0.15,0)+IF(AND(V1449&gt;=20,V1449&lt;40,W1449&lt;95),0.2,0)+IF(AND(V1449&gt;=20,V1449&lt;40,W1449&gt;=95,W1449&lt;150),0.15,0)+IF(AND(V1449&gt;=20,V1449&lt;40,W1449&gt;=150),0.12,0)+IF(AND(V1449&gt;=40,V1449&lt;75,W1449&lt;75),0.2,0)+IF(AND(V1449&gt;=40,V1449&lt;75,W1449&gt;=75,W1449&lt;120),0.15,0)+IF(AND(V1449&gt;=40,V1449&lt;75,W1449&gt;=120),0.12,0)+IF(AND(V1449&gt;=75,V1449&lt;175,W1449&lt;65),0.2,0)+IF(AND(V1449&gt;=75,V1449&lt;175,W1449&gt;=65,W1449&lt;110),0.15,0)+IF(AND(V1449&gt;=75,V1449&lt;175,W1449&gt;=110),0.12,0)+IF(AND(V1449&gt;=175,W1449&lt;55),0.2,0)+IF(AND(V1449&gt;=175,W1449&gt;=55,W1449&lt;95),0.15,0)+IF(AND(V1449&gt;=175,W1449&gt;=95),0.12,0),
IF(AF1449="DoEVku",IF(AND(V1449&lt;20,W1449&lt;55),0.23,0)+IF(AND(V1449&lt;20,W1449&gt;=55,W1449&lt;105),0.2,0)+IF(AND(V1449&lt;20,W1449&gt;=105),0.17,0)+IF(AND(V1449&gt;=20,V1449&lt;40,W1449&lt;45),0.23,0)+IF(AND(V1449&gt;=20,V1449&lt;40,W1449&gt;=45,W1449&lt;95),0.2,0)+IF(AND(V1449&gt;=20,V1449&lt;40,W1449&gt;=95,W1449&lt;=150),0.17,0)+IF(AND(V1449&gt;=20,V1449&lt;40,W1449&gt;=150),0.12,0)+IF(AND(V1449&gt;=40,V1449&lt;75,W1449&lt;35),0.23,0)+IF(AND(V1449&gt;=40,V1449&lt;75,W1449&gt;=35,W1449&lt;75),0.2,0)+IF(AND(V1449&gt;=40,V1449&lt;75,W1449&gt;=75,W1449&lt;120),0.17,0)+IF(AND(V1449&gt;=40,V1449&lt;75,W1449&gt;=120),0.12,0)+IF(AND(V1449&gt;=75,V1449&lt;175,W1449&lt;35),0.23,0)+IF(AND(V1449&gt;=75,V1449&lt;=175,W1449&gt;=35,W1449&lt;65),0.2,0)+IF(AND(V1449&gt;=75,V1449&lt;=175,W1449&gt;=65,W1449&lt;110),0.17,0)+IF(AND(V1449&gt;=75,V1449&lt;=175,W1449&gt;=110),0.12,0)+IF(AND(V1449&gt;175,W1449&lt;25),0.23,0)+IF(AND(V1449&gt;175,W1449&gt;=25,W1449&lt;55),0.2,0)+IF(AND(V1449&gt;175,W1449&gt;=55,W1449&lt;95),0.17,0)+IF(AND(V1449&gt;175,W1449&gt;=95),0.12,0),
IF(AF1449="DoEVs1",IF(AND(V1449&lt;20,W1449&lt;55),0.3,0)+IF(AND(V1449&lt;20,W1449&gt;=55,W1449&lt;105),0.23,0)+IF(AND(V1449&lt;20,W1449&gt;=105),0.17,0)+IF(AND(V1449&gt;=20,V1449&lt;40,W1449&lt;45),0.3,0)+IF(AND(V1449&gt;=20,V1449&lt;40,W1449&gt;=45,W1449&lt;95),0.23,0)+IF(AND(V1449&gt;=20,V1449&lt;40,W1449&gt;=95,W1449&lt;=150),0.17,0)+IF(AND(V1449&gt;=20,V1449&lt;40,W1449&gt;=150),0.12,0)+IF(AND(V1449&gt;=40,V1449&lt;75,W1449&lt;35),0.3,0)+IF(AND(V1449&gt;=40,V1449&lt;75,W1449&gt;=35,W1449&lt;75),0.23,0)+IF(AND(V1449&gt;=40,V1449&lt;75,W1449&gt;=75,W1449&lt;120),0.17,0)+IF(AND(V1449&gt;=40,V1449&lt;75,W1449&gt;=120),0.12,0)+IF(AND(V1449&gt;=75,V1449&lt;175,W1449&lt;35),0.3,0)+IF(AND(V1449&gt;=75,V1449&lt;=175,W1449&gt;=35,W1449&lt;65),0.23,0)+IF(AND(V1449&gt;=75,V1449&lt;=175,W1449&gt;=65,W1449&lt;110),0.17,0)+IF(AND(V1449&gt;=75,V1449&lt;=175,W1449&gt;=110),0.12,0)+IF(AND(V1449&gt;175,W1449&lt;25),0.3,0)+IF(AND(V1449&gt;175,W1449&gt;=25,W1449&lt;55),0.23,0)+IF(AND(V1449&gt;175,W1449&gt;=55,W1449&lt;95),0.17,0)+IF(AND(V1449&gt;175,W1449&gt;=95),0.12,0),
IF(AF1449="DoEVsu",IF(AND(V1449&lt;20,W1449&lt;55),0.3,0)+IF(AND(V1449&lt;20,W1449&gt;=55,W1449&lt;105),0.23,0)+IF(AND(V1449&lt;20,W1449&gt;=105),0.17,0)+IF(AND(V1449&gt;=20,V1449&lt;40,W1449&lt;45),0.3,0)+IF(AND(V1449&gt;=20,V1449&lt;40,W1449&gt;=45,W1449&lt;95),0.23,0)+IF(AND(V1449&gt;=20,V1449&lt;40,W1449&gt;=95,W1449&lt;=250),0.17,0)+IF(AND(V1449&gt;=20,V1449&lt;40,W1449&gt;=250),0.12,0)+IF(AND(V1449&gt;=40,V1449&lt;75,W1449&lt;35),0.3,0)+IF(AND(V1449&gt;=40,V1449&lt;75,W1449&gt;=35,W1449&lt;75),0.23,0)+IF(AND(V1449&gt;=40,V1449&lt;75,W1449&gt;=75,W1449&lt;120),0.17,0)+IF(AND(V1449&gt;=40,V1449&lt;75,W1449&gt;=120),0.12,0)+IF(AND(V1449&gt;=75,V1449&lt;175,W1449&lt;35),0.3,0)+IF(AND(V1449&gt;=75,V1449&lt;=175,W1449&gt;=35,W1449&lt;65),0.23,0)+IF(AND(V1449&gt;=75,V1449&lt;=175,W1449&gt;=65,W1449&lt;110),0.17,0)+IF(AND(V1449&gt;=75,V1449&lt;=175,W1449&gt;=110),0.12,0)+IF(AND(V1449&gt;175,W1449&lt;25),0.3,0)+IF(AND(V1449&gt;175,W1449&gt;=25,W1449&lt;55),0.23,0)+IF(AND(V1449&gt;175,W1449&gt;=55,W1449&lt;95),0.17,0)+IF(AND(V1449&gt;175,W1449&gt;=95),0.12,0),
IF(AF1449="DoEVni",IF(AND(V1449&lt;20,W1449&lt;55),0.3,0)+IF(AND(V1449&lt;20,W1449&gt;=55,W1449&lt;105),0.23,0)+IF(AND(V1449&lt;20,W1449&gt;=105),0.17,0)+IF(AND(V1449&gt;=20,V1449&lt;40,W1449&lt;45),0.3,0)+IF(AND(V1449&gt;=20,V1449&lt;40,W1449&gt;=45,W1449&lt;95),0.23,0)+IF(AND(V1449&gt;=20,V1449&lt;40,W1449&gt;=95,W1449&lt;=200),0.17,0)+IF(AND(V1449&gt;=20,V1449&lt;40,W1449&gt;=200),0.12,0)+IF(AND(V1449&gt;=40,V1449&lt;75,W1449&lt;35),0.3,0)+IF(AND(V1449&gt;=40,V1449&lt;75,W1449&gt;=35,W1449&lt;75),0.23,0)+IF(AND(V1449&gt;=40,V1449&lt;75,W1449&gt;=75,W1449&lt;120),0.17,0)+IF(AND(V1449&gt;=40,V1449&lt;75,W1449&gt;=120),0.12,0)+IF(AND(V1449&gt;=75,V1449&lt;175,W1449&lt;35),0.3,0)+IF(AND(V1449&gt;=75,V1449&lt;=175,W1449&gt;=35,W1449&lt;65),0.23,0)+IF(AND(V1449&gt;=75,V1449&lt;=175,W1449&gt;=65,W1449&lt;110),0.17,0)+IF(AND(V1449&gt;=75,V1449&lt;=175,W1449&gt;=110),0.12,0)+IF(AND(V1449&gt;175,W1449&lt;25),0.3,0)+IF(AND(V1449&gt;175,W1449&gt;=25,W1449&lt;55),0.23,0)+IF(AND(V1449&gt;175,W1449&gt;=55,W1449&lt;95),0.17,0)+IF(AND(V1449&gt;175,W1449&gt;=95),0.12,0),
IF(AF1449="DoEVLo",IF(AND(V1449&lt;20,W1449&lt;55),0.25,0)+IF(AND(V1449&lt;20,W1449&gt;=55,W1449&lt;105),0.2,0)+IF(AND(V1449&lt;20,W1449&gt;=105),0.15,0)+IF(AND(V1449&gt;=20,V1449&lt;40,W1449&lt;45),0.25,0)+IF(AND(V1449&gt;=20,V1449&lt;40,W1449&gt;=45,W1449&lt;95),0.2,0)+IF(AND(V1449&gt;=20,V1449&lt;40,W1449&gt;=95),0.15,0)+IF(AND(V1449&gt;=40,V1449&lt;75,W1449&lt;35),0.25,0)+IF(AND(V1449&gt;=40,V1449&lt;75,W1449&gt;=35,W1449&lt;75),0.2,0)+IF(AND(V1449&gt;=40,V1449&lt;75,W1449&gt;=75,W1449&lt;120),0.15,0)+IF(AND(V1449&gt;=40,V1449&lt;75,W1449&gt;=120),0.1,0)+IF(AND(V1449&gt;=75,V1449&lt;175,W1449&lt;35),0.25,0)+IF(AND(V1449&gt;=75,V1449&lt;=175,W1449&gt;=35,W1449&lt;65),0.2,0)+IF(AND(V1449&gt;=75,V1449&lt;=175,W1449&gt;=65,W1449&lt;110),0.15,0)+IF(AND(V1449&gt;=75,V1449&lt;=175,W1449&gt;=110),0.1,0)+IF(AND(V1449&gt;175,W1449&lt;25),0.25,0)+IF(AND(V1449&gt;175,W1449&gt;=25,W1449&lt;55),0.2,0)+IF(AND(V1449&gt;175,W1449&gt;=55,W1449&lt;95),0.15,0)+IF(AND(V1449&gt;175,W1449&gt;=95),0.1,0))))))))))))))))))))</f>
        <v>0.1</v>
      </c>
      <c r="Y1449" s="30">
        <f>IF(AG1449="None",0,IF(AG1449="Fix5",0.05, IF(AG1449="Fix6.25",0.0625,IF(AG1449="Fix3.75",0.0375, IF(AG1449="Fix11",0.11, IF(AG1449="Fix10",0.1,IF(AG1449="Fix3",0.03,0)))))))</f>
        <v>0</v>
      </c>
      <c r="Z1449" s="35">
        <f>IF(AND(AD1449="EUR", AE1449 = "USD"), T1449*U1449-AA1449-AB1449, T1449-AA1449-AB1449)</f>
        <v>0</v>
      </c>
      <c r="AA1449" s="29">
        <f>IF(AND(AD1449="EUR", F1449="Without EV deal", AE1449="USD"), (T1449*X1449)*U1449,
IF(AND(AD1449="EUR", F1449="Without EV deal", AE1449="EUR"), (T1449*X1449),
IF(AND(AD1449="EUR",AE1449="USD"), (T1449*X1449)*U1449,
T1449*X1449)))</f>
        <v>0</v>
      </c>
      <c r="AB1449" s="36">
        <f>IF(AND(AD1449="EUR", F1449="Without EV deal", AE1449="USD"), (T1449*Y1449)*U1449,
IF(AND(AD1449="EUR", F1449="Without EV deal", AE1449="EUR"), (T1449*Y1449),
IF(AND(AD1449="EUR",AE1449="USD"), (T1449*Y1449)*U1449,
T1449*Y1449)))</f>
        <v>0</v>
      </c>
      <c r="AC1449" s="37" t="b">
        <v>1</v>
      </c>
      <c r="AD1449" s="82" t="str">
        <f>IF(OR(H1449="€0.25 Flash",
H1449="€0.25(nitro) new",
H1449="€1",
H1449="€2",
H1449="€2 (bf 01.08)",
H1449="€5",
H1449="€5 (1M)",
H1449="€5 (bf 01.08)",
H1449="€5 (bf 05.05)",
H1449="€5 Nitro",
H1449="€5(wx) new",
H1449="€10",
H1449="€10 (1M)",
H1449="€10 (bf 01.08)",
H1449="€10 (bf 05.05)",
H1449="€10 (MP)",
H1449="€10 (old)",
H1449="€10 Nitro (bf 05.05)",
H1449="€10 Nitro (old)",
H1449="€10(wx) new",
H1449="€20",
H1449="€25",
H1449="€25 (bf 01.08)",
H1449="€25 (bf 05.05)",
H1449="€25 (MP)",
H1449="€25 (old)",
H1449="€25 Nitro",
H1449="€25 Nitro (bf 01.08)",
H1449="€25 Nitro (bf 05.05)",
H1449="€25(nitro) new",
H1449="€25(wx) new",
H1449="€50",
H1449="€50 (bf 01.08)",
H1449="€50 (bf 05.05)",
H1449="€50 (old)",
H1449="€50 Nitro",
H1449="€50 Nitro (bf 01.08)",
H1449="€50 Nitro (bf 05.05)",
H1449="€50(wx) new",
H1449="€100",
H1449="€100 (old)",
H1449="€100 Nitro",
H1449="€100 Nitro (old)",
H1449="€200",
H1449="€250",
H1449="€250 Nitro",
H1449="€500",
H1449="€500 Nitro"),"EUR", "USD")</f>
        <v>USD</v>
      </c>
      <c r="AE1449" s="83" t="s">
        <v>38</v>
      </c>
      <c r="AF1449" s="83" t="str">
        <f t="array" ref="AF1449">INDEX('Deal Info'!D:D, MATCH(A1449,'Deal Info'!A:A, 0))</f>
        <v>Fix10</v>
      </c>
      <c r="AG1449" s="84" t="str">
        <f t="array" ref="AG1449">INDEX('Deal Info'!G:G, MATCH(A1449,'Deal Info'!A:A, 0))</f>
        <v>None</v>
      </c>
    </row>
    <row r="1450" spans="1:33" ht="14.25" hidden="1" x14ac:dyDescent="0.2">
      <c r="A1450" s="18" t="str">
        <f t="array" ref="A1450">IF(G1450='Room Info'!$B$1, INDEX('Room Info'!$A$2:$A2446, MATCH(B1450,'Room Info'!$B$2:$B2446, 0)),IF(G1450='Room Info'!$C$1, INDEX('Room Info'!$A$2:$A2446, MATCH(B1450,'Room Info'!$C$2:$C2446, 0)),IF(G1450='Room Info'!$D$1, INDEX('Room Info'!$A$2:$A2446, MATCH(B1450,'Room Info'!$D$2:$D2446, 0)),IF(G1450='Room Info'!$E$1, INDEX('Room Info'!$A$2:$A2446, MATCH(B1450,'Room Info'!$E$2:$E2446, 0)),IF(G1450='Room Info'!$F$1, INDEX('Room Info'!$A$2:$A2446, MATCH(B1450,'Room Info'!$F$2:$F2446, 0)),IF(G1450='Room Info'!$H$1, INDEX('Room Info'!$A$2:$A2446, MATCH(B1450,'Room Info'!$H$2:$H2446, 0)),IF(G1450='Room Info'!$G$1, INDEX('Room Info'!$A$2:$A2446, MATCH(B1450,'Room Info'!$G$2:$G2446, 0)))))))))</f>
        <v>volkovsky</v>
      </c>
      <c r="B1450" s="85" t="s">
        <v>206</v>
      </c>
      <c r="C1450" s="86">
        <v>44947</v>
      </c>
      <c r="D1450" s="87">
        <v>44977</v>
      </c>
      <c r="E1450" s="21">
        <v>44958</v>
      </c>
      <c r="F1450" s="22" t="s">
        <v>34</v>
      </c>
      <c r="G1450" s="18" t="s">
        <v>35</v>
      </c>
      <c r="H1450" s="23" t="s">
        <v>148</v>
      </c>
      <c r="I1450" s="23" t="s">
        <v>44</v>
      </c>
      <c r="J1450" s="39">
        <v>250</v>
      </c>
      <c r="K1450" s="88">
        <v>218</v>
      </c>
      <c r="L1450" s="89">
        <v>32250</v>
      </c>
      <c r="M1450" s="27"/>
      <c r="N1450" s="28">
        <f>K1450*J1450</f>
        <v>54500</v>
      </c>
      <c r="O1450" s="85">
        <v>465</v>
      </c>
      <c r="P1450" s="29">
        <v>2.133027523</v>
      </c>
      <c r="Q1450" s="30"/>
      <c r="R1450" s="31">
        <f>M1450+Q1450</f>
        <v>0</v>
      </c>
      <c r="S1450" s="28"/>
      <c r="T1450" s="32">
        <f>IF(AND(AD1450="EUR", F1450="Without EV deal"), R1450 + L1450,
IF(AND(AD1450="USD", F1450="Without EV deal"), R1450 + L1450,
IF(AND(AD1450="EUR", F1450="Steel Phoenix"), R1450 + S1450/U1450,
R1450 + S1450)))</f>
        <v>0</v>
      </c>
      <c r="U1450" s="33">
        <v>1.0669999999999999</v>
      </c>
      <c r="V1450" s="64">
        <v>147.53062030000001</v>
      </c>
      <c r="W1450" s="64">
        <v>73.42204606</v>
      </c>
      <c r="X1450" s="30">
        <f>IF(AF1450="DoEV",IF(AND(V1450&lt;20,W1450&lt;55),0.3,0)+IF(AND(V1450&lt;20,W1450&gt;=55,W1450&lt;105),0.23,0)+IF(AND(V1450&lt;20,W1450&gt;=105),0.17,0)+IF(AND(V1450&gt;=20,V1450&lt;40,W1450&lt;45),0.3,0)+IF(AND(V1450&gt;=20,V1450&lt;40,W1450&gt;=45,W1450&lt;95),0.23,0)+IF(AND(V1450&gt;=20,V1450&lt;40,W1450&gt;=95),0.17,0)+IF(AND(V1450&gt;=40,V1450&lt;75,W1450&lt;35),0.3,0)+IF(AND(V1450&gt;=40,V1450&lt;75,W1450&gt;=35,W1450&lt;75),0.23,0)+IF(AND(V1450&gt;=40,V1450&lt;75,W1450&gt;=75,W1450&lt;120),0.17,0)+IF(AND(V1450&gt;=40,V1450&lt;75,W1450&gt;=120),0.12,0)+IF(AND(V1450&gt;=75,V1450&lt;175,W1450&lt;35),0.3,0)+IF(AND(V1450&gt;=75,V1450&lt;=175,W1450&gt;=35,W1450&lt;65),0.23,0)+IF(AND(V1450&gt;=75,V1450&lt;=175,W1450&gt;=65,W1450&lt;110),0.17,0)+IF(AND(V1450&gt;=75,V1450&lt;=175,W1450&gt;=110),0.12,0)+IF(AND(V1450&gt;175,W1450&lt;25),0.3,0)+IF(AND(V1450&gt;175,W1450&gt;=25,W1450&lt;55),0.23,0)+IF(AND(V1450&gt;175,W1450&gt;=55,W1450&lt;95),0.17,0)+IF(AND(V1450&gt;175,W1450&gt;=95),0.12,0),
IF(AF1450="Fix15",0.15,
IF(AF1450="Fix5",0.05,
IF(AF1450="Fix18.75",0.1875,
IF(AF1450="Fix11.25",0.1125,
IF(AF1450="Fix10",0.1,
IF(AF1450="Fix9",0.09,
IF(AF1450="Fix12",0.12,
IF(AF1450="Fix19",0.19,
IF(AF1450="DoEV2017",IF(AND(W1450&lt;74),0.2,0)+IF(AND(W1450&gt;=74),0.17,0),
IF(AF1450="SF",IF(AND(V1450&lt;20,W1450&lt;89),0.3,0)+IF(AND(V1450&lt;20,W1450&gt;=89),0.25,0)+IF(AND(V1450&gt;=20,V1450&lt;40,W1450&lt;74),0.3,0)+IF(AND(V1450&gt;=20,V1450&lt;40,W1450&gt;=75),0.22,0)+IF(AND(V1450&gt;=40,V1450&lt;75,W1450&lt;75),0.26,0)+IF(AND(V1450&gt;=40,V1450&lt;75,W1450&gt;=75),0.22,0)+IF(V1450&gt;=75,0.22,0),
IF(AF1450="DoEVold",IF(AND(V1450&lt;40,W1450&lt;35),0.35,0)+IF(AND(V1450&lt;40,W1450&gt;=35,W1450&lt;75),0.25,0)+IF(AND(V1450&lt;40,W1450&gt;=75),0.17,0)+IF(AND(V1450&gt;=40,V1450&lt;75,W1450&lt;25),0.35,0)+IF(AND(V1450&gt;=40,V1450&lt;75,W1450&gt;=25,W1450&lt;65),0.25,0)+IF(AND(V1450&gt;=40,V1450&lt;75,W1450&gt;=65,W1450&lt;100),0.17,0)+IF(AND(V1450&gt;=40,V1450&lt;75,W1450&gt;=100),0.1,0)+IF(AND(V1450&gt;=75,W1450&lt;25),0.35,0)+IF(AND(V1450&gt;=75,W1450&gt;=25,W1450&lt;60),0.25,0)+IF(AND(V1450&gt;=75,W1450&gt;=60,W1450&lt;95),0.17,0)+IF(AND(V1450&gt;=75,W1450&gt;=95),0.1,0),
IF(AF1450="DoEVold15",IF(AND(V1450&lt;=40,W1450&lt;35),0.35,0)+IF(AND(V1450&lt;=40,W1450&gt;=35,W1450&lt;75),0.25,0)+IF(AND(V1450&lt;=40,W1450&gt;=75,W1450&lt;120),0.17,0)+IF(AND(V1450&lt;=40,W1450&gt;=120),0.15,0)+IF(AND(V1450&gt;40,V1450&lt;75,W1450&lt;25),0.35,0)+IF(AND(V1450&gt;=40,V1450&lt;75,W1450&gt;=25,W1450&lt;65),0.25,0)+IF(AND(V1450&gt;=40,V1450&lt;75,W1450&gt;=65,W1450&lt;100),0.17,0)+IF(AND(V1450&gt;=40,V1450&lt;75,W1450&gt;=100),0.1,0)+IF(AND(V1450&gt;=75,W1450&lt;25),0.35,0)+IF(AND(V1450&gt;=75,W1450&gt;=25,W1450&lt;60),0.25,0)+IF(AND(V1450&gt;=75,W1450&gt;=60,W1450&lt;95),0.17,0)+IF(AND(V1450&gt;=75,W1450&gt;=95),0.1,0),
IF(AF1450="DoEVba",IF(AND(V1450&lt;20,W1450&lt;105),0.2,0)+IF(AND(V1450&lt;20,W1450&gt;=105),0.15,0)+IF(AND(V1450&gt;=20,V1450&lt;40,W1450&lt;95),0.2,0)+IF(AND(V1450&gt;=20,V1450&lt;40,W1450&gt;=95,W1450&lt;150),0.15,0)+IF(AND(V1450&gt;=20,V1450&lt;40,W1450&gt;=150),0.12,0)+IF(AND(V1450&gt;=40,V1450&lt;75,W1450&lt;75),0.2,0)+IF(AND(V1450&gt;=40,V1450&lt;75,W1450&gt;=75,W1450&lt;120),0.15,0)+IF(AND(V1450&gt;=40,V1450&lt;75,W1450&gt;=120),0.12,0)+IF(AND(V1450&gt;=75,V1450&lt;175,W1450&lt;65),0.2,0)+IF(AND(V1450&gt;=75,V1450&lt;175,W1450&gt;=65,W1450&lt;110),0.15,0)+IF(AND(V1450&gt;=75,V1450&lt;175,W1450&gt;=110),0.12,0)+IF(AND(V1450&gt;=175,W1450&lt;55),0.2,0)+IF(AND(V1450&gt;=175,W1450&gt;=55,W1450&lt;95),0.15,0)+IF(AND(V1450&gt;=175,W1450&gt;=95),0.12,0),
IF(AF1450="DoEVku",IF(AND(V1450&lt;20,W1450&lt;55),0.23,0)+IF(AND(V1450&lt;20,W1450&gt;=55,W1450&lt;105),0.2,0)+IF(AND(V1450&lt;20,W1450&gt;=105),0.17,0)+IF(AND(V1450&gt;=20,V1450&lt;40,W1450&lt;45),0.23,0)+IF(AND(V1450&gt;=20,V1450&lt;40,W1450&gt;=45,W1450&lt;95),0.2,0)+IF(AND(V1450&gt;=20,V1450&lt;40,W1450&gt;=95,W1450&lt;=150),0.17,0)+IF(AND(V1450&gt;=20,V1450&lt;40,W1450&gt;=150),0.12,0)+IF(AND(V1450&gt;=40,V1450&lt;75,W1450&lt;35),0.23,0)+IF(AND(V1450&gt;=40,V1450&lt;75,W1450&gt;=35,W1450&lt;75),0.2,0)+IF(AND(V1450&gt;=40,V1450&lt;75,W1450&gt;=75,W1450&lt;120),0.17,0)+IF(AND(V1450&gt;=40,V1450&lt;75,W1450&gt;=120),0.12,0)+IF(AND(V1450&gt;=75,V1450&lt;175,W1450&lt;35),0.23,0)+IF(AND(V1450&gt;=75,V1450&lt;=175,W1450&gt;=35,W1450&lt;65),0.2,0)+IF(AND(V1450&gt;=75,V1450&lt;=175,W1450&gt;=65,W1450&lt;110),0.17,0)+IF(AND(V1450&gt;=75,V1450&lt;=175,W1450&gt;=110),0.12,0)+IF(AND(V1450&gt;175,W1450&lt;25),0.23,0)+IF(AND(V1450&gt;175,W1450&gt;=25,W1450&lt;55),0.2,0)+IF(AND(V1450&gt;175,W1450&gt;=55,W1450&lt;95),0.17,0)+IF(AND(V1450&gt;175,W1450&gt;=95),0.12,0),
IF(AF1450="DoEVs1",IF(AND(V1450&lt;20,W1450&lt;55),0.3,0)+IF(AND(V1450&lt;20,W1450&gt;=55,W1450&lt;105),0.23,0)+IF(AND(V1450&lt;20,W1450&gt;=105),0.17,0)+IF(AND(V1450&gt;=20,V1450&lt;40,W1450&lt;45),0.3,0)+IF(AND(V1450&gt;=20,V1450&lt;40,W1450&gt;=45,W1450&lt;95),0.23,0)+IF(AND(V1450&gt;=20,V1450&lt;40,W1450&gt;=95,W1450&lt;=150),0.17,0)+IF(AND(V1450&gt;=20,V1450&lt;40,W1450&gt;=150),0.12,0)+IF(AND(V1450&gt;=40,V1450&lt;75,W1450&lt;35),0.3,0)+IF(AND(V1450&gt;=40,V1450&lt;75,W1450&gt;=35,W1450&lt;75),0.23,0)+IF(AND(V1450&gt;=40,V1450&lt;75,W1450&gt;=75,W1450&lt;120),0.17,0)+IF(AND(V1450&gt;=40,V1450&lt;75,W1450&gt;=120),0.12,0)+IF(AND(V1450&gt;=75,V1450&lt;175,W1450&lt;35),0.3,0)+IF(AND(V1450&gt;=75,V1450&lt;=175,W1450&gt;=35,W1450&lt;65),0.23,0)+IF(AND(V1450&gt;=75,V1450&lt;=175,W1450&gt;=65,W1450&lt;110),0.17,0)+IF(AND(V1450&gt;=75,V1450&lt;=175,W1450&gt;=110),0.12,0)+IF(AND(V1450&gt;175,W1450&lt;25),0.3,0)+IF(AND(V1450&gt;175,W1450&gt;=25,W1450&lt;55),0.23,0)+IF(AND(V1450&gt;175,W1450&gt;=55,W1450&lt;95),0.17,0)+IF(AND(V1450&gt;175,W1450&gt;=95),0.12,0),
IF(AF1450="DoEVsu",IF(AND(V1450&lt;20,W1450&lt;55),0.3,0)+IF(AND(V1450&lt;20,W1450&gt;=55,W1450&lt;105),0.23,0)+IF(AND(V1450&lt;20,W1450&gt;=105),0.17,0)+IF(AND(V1450&gt;=20,V1450&lt;40,W1450&lt;45),0.3,0)+IF(AND(V1450&gt;=20,V1450&lt;40,W1450&gt;=45,W1450&lt;95),0.23,0)+IF(AND(V1450&gt;=20,V1450&lt;40,W1450&gt;=95,W1450&lt;=250),0.17,0)+IF(AND(V1450&gt;=20,V1450&lt;40,W1450&gt;=250),0.12,0)+IF(AND(V1450&gt;=40,V1450&lt;75,W1450&lt;35),0.3,0)+IF(AND(V1450&gt;=40,V1450&lt;75,W1450&gt;=35,W1450&lt;75),0.23,0)+IF(AND(V1450&gt;=40,V1450&lt;75,W1450&gt;=75,W1450&lt;120),0.17,0)+IF(AND(V1450&gt;=40,V1450&lt;75,W1450&gt;=120),0.12,0)+IF(AND(V1450&gt;=75,V1450&lt;175,W1450&lt;35),0.3,0)+IF(AND(V1450&gt;=75,V1450&lt;=175,W1450&gt;=35,W1450&lt;65),0.23,0)+IF(AND(V1450&gt;=75,V1450&lt;=175,W1450&gt;=65,W1450&lt;110),0.17,0)+IF(AND(V1450&gt;=75,V1450&lt;=175,W1450&gt;=110),0.12,0)+IF(AND(V1450&gt;175,W1450&lt;25),0.3,0)+IF(AND(V1450&gt;175,W1450&gt;=25,W1450&lt;55),0.23,0)+IF(AND(V1450&gt;175,W1450&gt;=55,W1450&lt;95),0.17,0)+IF(AND(V1450&gt;175,W1450&gt;=95),0.12,0),
IF(AF1450="DoEVni",IF(AND(V1450&lt;20,W1450&lt;55),0.3,0)+IF(AND(V1450&lt;20,W1450&gt;=55,W1450&lt;105),0.23,0)+IF(AND(V1450&lt;20,W1450&gt;=105),0.17,0)+IF(AND(V1450&gt;=20,V1450&lt;40,W1450&lt;45),0.3,0)+IF(AND(V1450&gt;=20,V1450&lt;40,W1450&gt;=45,W1450&lt;95),0.23,0)+IF(AND(V1450&gt;=20,V1450&lt;40,W1450&gt;=95,W1450&lt;=200),0.17,0)+IF(AND(V1450&gt;=20,V1450&lt;40,W1450&gt;=200),0.12,0)+IF(AND(V1450&gt;=40,V1450&lt;75,W1450&lt;35),0.3,0)+IF(AND(V1450&gt;=40,V1450&lt;75,W1450&gt;=35,W1450&lt;75),0.23,0)+IF(AND(V1450&gt;=40,V1450&lt;75,W1450&gt;=75,W1450&lt;120),0.17,0)+IF(AND(V1450&gt;=40,V1450&lt;75,W1450&gt;=120),0.12,0)+IF(AND(V1450&gt;=75,V1450&lt;175,W1450&lt;35),0.3,0)+IF(AND(V1450&gt;=75,V1450&lt;=175,W1450&gt;=35,W1450&lt;65),0.23,0)+IF(AND(V1450&gt;=75,V1450&lt;=175,W1450&gt;=65,W1450&lt;110),0.17,0)+IF(AND(V1450&gt;=75,V1450&lt;=175,W1450&gt;=110),0.12,0)+IF(AND(V1450&gt;175,W1450&lt;25),0.3,0)+IF(AND(V1450&gt;175,W1450&gt;=25,W1450&lt;55),0.23,0)+IF(AND(V1450&gt;175,W1450&gt;=55,W1450&lt;95),0.17,0)+IF(AND(V1450&gt;175,W1450&gt;=95),0.12,0),
IF(AF1450="DoEVLo",IF(AND(V1450&lt;20,W1450&lt;55),0.25,0)+IF(AND(V1450&lt;20,W1450&gt;=55,W1450&lt;105),0.2,0)+IF(AND(V1450&lt;20,W1450&gt;=105),0.15,0)+IF(AND(V1450&gt;=20,V1450&lt;40,W1450&lt;45),0.25,0)+IF(AND(V1450&gt;=20,V1450&lt;40,W1450&gt;=45,W1450&lt;95),0.2,0)+IF(AND(V1450&gt;=20,V1450&lt;40,W1450&gt;=95),0.15,0)+IF(AND(V1450&gt;=40,V1450&lt;75,W1450&lt;35),0.25,0)+IF(AND(V1450&gt;=40,V1450&lt;75,W1450&gt;=35,W1450&lt;75),0.2,0)+IF(AND(V1450&gt;=40,V1450&lt;75,W1450&gt;=75,W1450&lt;120),0.15,0)+IF(AND(V1450&gt;=40,V1450&lt;75,W1450&gt;=120),0.1,0)+IF(AND(V1450&gt;=75,V1450&lt;175,W1450&lt;35),0.25,0)+IF(AND(V1450&gt;=75,V1450&lt;=175,W1450&gt;=35,W1450&lt;65),0.2,0)+IF(AND(V1450&gt;=75,V1450&lt;=175,W1450&gt;=65,W1450&lt;110),0.15,0)+IF(AND(V1450&gt;=75,V1450&lt;=175,W1450&gt;=110),0.1,0)+IF(AND(V1450&gt;175,W1450&lt;25),0.25,0)+IF(AND(V1450&gt;175,W1450&gt;=25,W1450&lt;55),0.2,0)+IF(AND(V1450&gt;175,W1450&gt;=55,W1450&lt;95),0.15,0)+IF(AND(V1450&gt;175,W1450&gt;=95),0.1,0))))))))))))))))))))</f>
        <v>0.1</v>
      </c>
      <c r="Y1450" s="30">
        <f>IF(AG1450="None",0,IF(AG1450="Fix5",0.05, IF(AG1450="Fix6.25",0.0625,IF(AG1450="Fix3.75",0.0375, IF(AG1450="Fix11",0.11, IF(AG1450="Fix10",0.1,IF(AG1450="Fix3",0.03,0)))))))</f>
        <v>0</v>
      </c>
      <c r="Z1450" s="35">
        <f>IF(AND(AD1450="EUR", AE1450 = "USD"), T1450*U1450-AA1450-AB1450, T1450-AA1450-AB1450)</f>
        <v>0</v>
      </c>
      <c r="AA1450" s="29">
        <f>IF(AND(AD1450="EUR", F1450="Without EV deal", AE1450="USD"), (T1450*X1450)*U1450,
IF(AND(AD1450="EUR", F1450="Without EV deal", AE1450="EUR"), (T1450*X1450),
IF(AND(AD1450="EUR",AE1450="USD"), (T1450*X1450)*U1450,
T1450*X1450)))</f>
        <v>0</v>
      </c>
      <c r="AB1450" s="36">
        <f>IF(AND(AD1450="EUR", F1450="Without EV deal", AE1450="USD"), (T1450*Y1450)*U1450,
IF(AND(AD1450="EUR", F1450="Without EV deal", AE1450="EUR"), (T1450*Y1450),
IF(AND(AD1450="EUR",AE1450="USD"), (T1450*Y1450)*U1450,
T1450*Y1450)))</f>
        <v>0</v>
      </c>
      <c r="AC1450" s="37" t="b">
        <v>1</v>
      </c>
      <c r="AD1450" s="82" t="str">
        <f>IF(OR(H1450="€0.25 Flash",
H1450="€0.25(nitro) new",
H1450="€1",
H1450="€2",
H1450="€2 (bf 01.08)",
H1450="€5",
H1450="€5 (1M)",
H1450="€5 (bf 01.08)",
H1450="€5 (bf 05.05)",
H1450="€5 Nitro",
H1450="€5(wx) new",
H1450="€10",
H1450="€10 (1M)",
H1450="€10 (bf 01.08)",
H1450="€10 (bf 05.05)",
H1450="€10 (MP)",
H1450="€10 (old)",
H1450="€10 Nitro (bf 05.05)",
H1450="€10 Nitro (old)",
H1450="€10(wx) new",
H1450="€20",
H1450="€25",
H1450="€25 (bf 01.08)",
H1450="€25 (bf 05.05)",
H1450="€25 (MP)",
H1450="€25 (old)",
H1450="€25 Nitro",
H1450="€25 Nitro (bf 01.08)",
H1450="€25 Nitro (bf 05.05)",
H1450="€25(nitro) new",
H1450="€25(wx) new",
H1450="€50",
H1450="€50 (bf 01.08)",
H1450="€50 (bf 05.05)",
H1450="€50 (old)",
H1450="€50 Nitro",
H1450="€50 Nitro (bf 01.08)",
H1450="€50 Nitro (bf 05.05)",
H1450="€50(wx) new",
H1450="€100",
H1450="€100 (old)",
H1450="€100 Nitro",
H1450="€100 Nitro (old)",
H1450="€200",
H1450="€250",
H1450="€250 Nitro",
H1450="€500",
H1450="€500 Nitro"),"EUR", "USD")</f>
        <v>USD</v>
      </c>
      <c r="AE1450" s="83" t="s">
        <v>38</v>
      </c>
      <c r="AF1450" s="83" t="str">
        <f t="array" ref="AF1450">INDEX('Deal Info'!D:D, MATCH(A1450,'Deal Info'!A:A, 0))</f>
        <v>Fix10</v>
      </c>
      <c r="AG1450" s="84" t="str">
        <f t="array" ref="AG1450">INDEX('Deal Info'!G:G, MATCH(A1450,'Deal Info'!A:A, 0))</f>
        <v>None</v>
      </c>
    </row>
    <row r="1451" spans="1:33" ht="14.25" hidden="1" x14ac:dyDescent="0.2">
      <c r="A1451" s="18" t="str">
        <f t="array" ref="A1451">IF(G1451='Room Info'!$B$1, INDEX('Room Info'!$A$2:$A2446, MATCH(B1451,'Room Info'!$B$2:$B2446, 0)),IF(G1451='Room Info'!$C$1, INDEX('Room Info'!$A$2:$A2446, MATCH(B1451,'Room Info'!$C$2:$C2446, 0)),IF(G1451='Room Info'!$D$1, INDEX('Room Info'!$A$2:$A2446, MATCH(B1451,'Room Info'!$D$2:$D2446, 0)),IF(G1451='Room Info'!$E$1, INDEX('Room Info'!$A$2:$A2446, MATCH(B1451,'Room Info'!$E$2:$E2446, 0)),IF(G1451='Room Info'!$F$1, INDEX('Room Info'!$A$2:$A2446, MATCH(B1451,'Room Info'!$F$2:$F2446, 0)),IF(G1451='Room Info'!$H$1, INDEX('Room Info'!$A$2:$A2446, MATCH(B1451,'Room Info'!$H$2:$H2446, 0)),IF(G1451='Room Info'!$G$1, INDEX('Room Info'!$A$2:$A2446, MATCH(B1451,'Room Info'!$G$2:$G2446, 0)))))))))</f>
        <v>QQcheliQ</v>
      </c>
      <c r="B1451" s="85" t="s">
        <v>195</v>
      </c>
      <c r="C1451" s="86">
        <v>44947</v>
      </c>
      <c r="D1451" s="87">
        <v>44977</v>
      </c>
      <c r="E1451" s="21">
        <v>44958</v>
      </c>
      <c r="F1451" s="22" t="s">
        <v>34</v>
      </c>
      <c r="G1451" s="18" t="s">
        <v>35</v>
      </c>
      <c r="H1451" s="23" t="s">
        <v>217</v>
      </c>
      <c r="I1451" s="23" t="s">
        <v>44</v>
      </c>
      <c r="J1451" s="39">
        <v>5</v>
      </c>
      <c r="K1451" s="88">
        <v>1</v>
      </c>
      <c r="L1451" s="89">
        <v>5</v>
      </c>
      <c r="M1451" s="42">
        <v>3005</v>
      </c>
      <c r="N1451" s="28">
        <f>K1451*J1451</f>
        <v>5</v>
      </c>
      <c r="O1451" s="18"/>
      <c r="P1451" s="29">
        <v>0</v>
      </c>
      <c r="Q1451" s="30"/>
      <c r="R1451" s="31">
        <f>M1451+Q1451</f>
        <v>3005</v>
      </c>
      <c r="S1451" s="119">
        <v>-2719</v>
      </c>
      <c r="T1451" s="32">
        <f>IF(AND(AD1451="EUR", F1451="Without EV deal"), R1451 + L1451,
IF(AND(AD1451="USD", F1451="Without EV deal"), R1451 + L1451,
IF(AND(AD1451="EUR", F1451="Steel Phoenix"), R1451 + S1451/U1451,
R1451 + S1451)))</f>
        <v>286</v>
      </c>
      <c r="U1451" s="33">
        <v>1.0669999999999999</v>
      </c>
      <c r="V1451" s="34">
        <v>29.401073936389921</v>
      </c>
      <c r="W1451" s="34">
        <v>9.727535824669852</v>
      </c>
      <c r="X1451" s="30">
        <f>IF(AF1451="DoEV",IF(AND(V1451&lt;20,W1451&lt;55),0.3,0)+IF(AND(V1451&lt;20,W1451&gt;=55,W1451&lt;105),0.23,0)+IF(AND(V1451&lt;20,W1451&gt;=105),0.17,0)+IF(AND(V1451&gt;=20,V1451&lt;40,W1451&lt;45),0.3,0)+IF(AND(V1451&gt;=20,V1451&lt;40,W1451&gt;=45,W1451&lt;95),0.23,0)+IF(AND(V1451&gt;=20,V1451&lt;40,W1451&gt;=95),0.17,0)+IF(AND(V1451&gt;=40,V1451&lt;75,W1451&lt;35),0.3,0)+IF(AND(V1451&gt;=40,V1451&lt;75,W1451&gt;=35,W1451&lt;75),0.23,0)+IF(AND(V1451&gt;=40,V1451&lt;75,W1451&gt;=75,W1451&lt;120),0.17,0)+IF(AND(V1451&gt;=40,V1451&lt;75,W1451&gt;=120),0.12,0)+IF(AND(V1451&gt;=75,V1451&lt;175,W1451&lt;35),0.3,0)+IF(AND(V1451&gt;=75,V1451&lt;=175,W1451&gt;=35,W1451&lt;65),0.23,0)+IF(AND(V1451&gt;=75,V1451&lt;=175,W1451&gt;=65,W1451&lt;110),0.17,0)+IF(AND(V1451&gt;=75,V1451&lt;=175,W1451&gt;=110),0.12,0)+IF(AND(V1451&gt;175,W1451&lt;25),0.3,0)+IF(AND(V1451&gt;175,W1451&gt;=25,W1451&lt;55),0.23,0)+IF(AND(V1451&gt;175,W1451&gt;=55,W1451&lt;95),0.17,0)+IF(AND(V1451&gt;175,W1451&gt;=95),0.12,0),
IF(AF1451="Fix15",0.15,
IF(AF1451="Fix5",0.05,
IF(AF1451="Fix18.75",0.1875,
IF(AF1451="Fix11.25",0.1125,
IF(AF1451="Fix10",0.1,
IF(AF1451="Fix9",0.09,
IF(AF1451="Fix12",0.12,
IF(AF1451="Fix19",0.19,
IF(AF1451="DoEV2017",IF(AND(W1451&lt;74),0.2,0)+IF(AND(W1451&gt;=74),0.17,0),
IF(AF1451="SF",IF(AND(V1451&lt;20,W1451&lt;89),0.3,0)+IF(AND(V1451&lt;20,W1451&gt;=89),0.25,0)+IF(AND(V1451&gt;=20,V1451&lt;40,W1451&lt;74),0.3,0)+IF(AND(V1451&gt;=20,V1451&lt;40,W1451&gt;=75),0.22,0)+IF(AND(V1451&gt;=40,V1451&lt;75,W1451&lt;75),0.26,0)+IF(AND(V1451&gt;=40,V1451&lt;75,W1451&gt;=75),0.22,0)+IF(V1451&gt;=75,0.22,0),
IF(AF1451="DoEVold",IF(AND(V1451&lt;40,W1451&lt;35),0.35,0)+IF(AND(V1451&lt;40,W1451&gt;=35,W1451&lt;75),0.25,0)+IF(AND(V1451&lt;40,W1451&gt;=75),0.17,0)+IF(AND(V1451&gt;=40,V1451&lt;75,W1451&lt;25),0.35,0)+IF(AND(V1451&gt;=40,V1451&lt;75,W1451&gt;=25,W1451&lt;65),0.25,0)+IF(AND(V1451&gt;=40,V1451&lt;75,W1451&gt;=65,W1451&lt;100),0.17,0)+IF(AND(V1451&gt;=40,V1451&lt;75,W1451&gt;=100),0.1,0)+IF(AND(V1451&gt;=75,W1451&lt;25),0.35,0)+IF(AND(V1451&gt;=75,W1451&gt;=25,W1451&lt;60),0.25,0)+IF(AND(V1451&gt;=75,W1451&gt;=60,W1451&lt;95),0.17,0)+IF(AND(V1451&gt;=75,W1451&gt;=95),0.1,0),
IF(AF1451="DoEVold15",IF(AND(V1451&lt;=40,W1451&lt;35),0.35,0)+IF(AND(V1451&lt;=40,W1451&gt;=35,W1451&lt;75),0.25,0)+IF(AND(V1451&lt;=40,W1451&gt;=75,W1451&lt;120),0.17,0)+IF(AND(V1451&lt;=40,W1451&gt;=120),0.15,0)+IF(AND(V1451&gt;40,V1451&lt;75,W1451&lt;25),0.35,0)+IF(AND(V1451&gt;=40,V1451&lt;75,W1451&gt;=25,W1451&lt;65),0.25,0)+IF(AND(V1451&gt;=40,V1451&lt;75,W1451&gt;=65,W1451&lt;100),0.17,0)+IF(AND(V1451&gt;=40,V1451&lt;75,W1451&gt;=100),0.1,0)+IF(AND(V1451&gt;=75,W1451&lt;25),0.35,0)+IF(AND(V1451&gt;=75,W1451&gt;=25,W1451&lt;60),0.25,0)+IF(AND(V1451&gt;=75,W1451&gt;=60,W1451&lt;95),0.17,0)+IF(AND(V1451&gt;=75,W1451&gt;=95),0.1,0),
IF(AF1451="DoEVba",IF(AND(V1451&lt;20,W1451&lt;105),0.2,0)+IF(AND(V1451&lt;20,W1451&gt;=105),0.15,0)+IF(AND(V1451&gt;=20,V1451&lt;40,W1451&lt;95),0.2,0)+IF(AND(V1451&gt;=20,V1451&lt;40,W1451&gt;=95,W1451&lt;150),0.15,0)+IF(AND(V1451&gt;=20,V1451&lt;40,W1451&gt;=150),0.12,0)+IF(AND(V1451&gt;=40,V1451&lt;75,W1451&lt;75),0.2,0)+IF(AND(V1451&gt;=40,V1451&lt;75,W1451&gt;=75,W1451&lt;120),0.15,0)+IF(AND(V1451&gt;=40,V1451&lt;75,W1451&gt;=120),0.12,0)+IF(AND(V1451&gt;=75,V1451&lt;175,W1451&lt;65),0.2,0)+IF(AND(V1451&gt;=75,V1451&lt;175,W1451&gt;=65,W1451&lt;110),0.15,0)+IF(AND(V1451&gt;=75,V1451&lt;175,W1451&gt;=110),0.12,0)+IF(AND(V1451&gt;=175,W1451&lt;55),0.2,0)+IF(AND(V1451&gt;=175,W1451&gt;=55,W1451&lt;95),0.15,0)+IF(AND(V1451&gt;=175,W1451&gt;=95),0.12,0),
IF(AF1451="DoEVku",IF(AND(V1451&lt;20,W1451&lt;55),0.23,0)+IF(AND(V1451&lt;20,W1451&gt;=55,W1451&lt;105),0.2,0)+IF(AND(V1451&lt;20,W1451&gt;=105),0.17,0)+IF(AND(V1451&gt;=20,V1451&lt;40,W1451&lt;45),0.23,0)+IF(AND(V1451&gt;=20,V1451&lt;40,W1451&gt;=45,W1451&lt;95),0.2,0)+IF(AND(V1451&gt;=20,V1451&lt;40,W1451&gt;=95,W1451&lt;=150),0.17,0)+IF(AND(V1451&gt;=20,V1451&lt;40,W1451&gt;=150),0.12,0)+IF(AND(V1451&gt;=40,V1451&lt;75,W1451&lt;35),0.23,0)+IF(AND(V1451&gt;=40,V1451&lt;75,W1451&gt;=35,W1451&lt;75),0.2,0)+IF(AND(V1451&gt;=40,V1451&lt;75,W1451&gt;=75,W1451&lt;120),0.17,0)+IF(AND(V1451&gt;=40,V1451&lt;75,W1451&gt;=120),0.12,0)+IF(AND(V1451&gt;=75,V1451&lt;175,W1451&lt;35),0.23,0)+IF(AND(V1451&gt;=75,V1451&lt;=175,W1451&gt;=35,W1451&lt;65),0.2,0)+IF(AND(V1451&gt;=75,V1451&lt;=175,W1451&gt;=65,W1451&lt;110),0.17,0)+IF(AND(V1451&gt;=75,V1451&lt;=175,W1451&gt;=110),0.12,0)+IF(AND(V1451&gt;175,W1451&lt;25),0.23,0)+IF(AND(V1451&gt;175,W1451&gt;=25,W1451&lt;55),0.2,0)+IF(AND(V1451&gt;175,W1451&gt;=55,W1451&lt;95),0.17,0)+IF(AND(V1451&gt;175,W1451&gt;=95),0.12,0),
IF(AF1451="DoEVs1",IF(AND(V1451&lt;20,W1451&lt;55),0.3,0)+IF(AND(V1451&lt;20,W1451&gt;=55,W1451&lt;105),0.23,0)+IF(AND(V1451&lt;20,W1451&gt;=105),0.17,0)+IF(AND(V1451&gt;=20,V1451&lt;40,W1451&lt;45),0.3,0)+IF(AND(V1451&gt;=20,V1451&lt;40,W1451&gt;=45,W1451&lt;95),0.23,0)+IF(AND(V1451&gt;=20,V1451&lt;40,W1451&gt;=95,W1451&lt;=150),0.17,0)+IF(AND(V1451&gt;=20,V1451&lt;40,W1451&gt;=150),0.12,0)+IF(AND(V1451&gt;=40,V1451&lt;75,W1451&lt;35),0.3,0)+IF(AND(V1451&gt;=40,V1451&lt;75,W1451&gt;=35,W1451&lt;75),0.23,0)+IF(AND(V1451&gt;=40,V1451&lt;75,W1451&gt;=75,W1451&lt;120),0.17,0)+IF(AND(V1451&gt;=40,V1451&lt;75,W1451&gt;=120),0.12,0)+IF(AND(V1451&gt;=75,V1451&lt;175,W1451&lt;35),0.3,0)+IF(AND(V1451&gt;=75,V1451&lt;=175,W1451&gt;=35,W1451&lt;65),0.23,0)+IF(AND(V1451&gt;=75,V1451&lt;=175,W1451&gt;=65,W1451&lt;110),0.17,0)+IF(AND(V1451&gt;=75,V1451&lt;=175,W1451&gt;=110),0.12,0)+IF(AND(V1451&gt;175,W1451&lt;25),0.3,0)+IF(AND(V1451&gt;175,W1451&gt;=25,W1451&lt;55),0.23,0)+IF(AND(V1451&gt;175,W1451&gt;=55,W1451&lt;95),0.17,0)+IF(AND(V1451&gt;175,W1451&gt;=95),0.12,0),
IF(AF1451="DoEVsu",IF(AND(V1451&lt;20,W1451&lt;55),0.3,0)+IF(AND(V1451&lt;20,W1451&gt;=55,W1451&lt;105),0.23,0)+IF(AND(V1451&lt;20,W1451&gt;=105),0.17,0)+IF(AND(V1451&gt;=20,V1451&lt;40,W1451&lt;45),0.3,0)+IF(AND(V1451&gt;=20,V1451&lt;40,W1451&gt;=45,W1451&lt;95),0.23,0)+IF(AND(V1451&gt;=20,V1451&lt;40,W1451&gt;=95,W1451&lt;=250),0.17,0)+IF(AND(V1451&gt;=20,V1451&lt;40,W1451&gt;=250),0.12,0)+IF(AND(V1451&gt;=40,V1451&lt;75,W1451&lt;35),0.3,0)+IF(AND(V1451&gt;=40,V1451&lt;75,W1451&gt;=35,W1451&lt;75),0.23,0)+IF(AND(V1451&gt;=40,V1451&lt;75,W1451&gt;=75,W1451&lt;120),0.17,0)+IF(AND(V1451&gt;=40,V1451&lt;75,W1451&gt;=120),0.12,0)+IF(AND(V1451&gt;=75,V1451&lt;175,W1451&lt;35),0.3,0)+IF(AND(V1451&gt;=75,V1451&lt;=175,W1451&gt;=35,W1451&lt;65),0.23,0)+IF(AND(V1451&gt;=75,V1451&lt;=175,W1451&gt;=65,W1451&lt;110),0.17,0)+IF(AND(V1451&gt;=75,V1451&lt;=175,W1451&gt;=110),0.12,0)+IF(AND(V1451&gt;175,W1451&lt;25),0.3,0)+IF(AND(V1451&gt;175,W1451&gt;=25,W1451&lt;55),0.23,0)+IF(AND(V1451&gt;175,W1451&gt;=55,W1451&lt;95),0.17,0)+IF(AND(V1451&gt;175,W1451&gt;=95),0.12,0),
IF(AF1451="DoEVni",IF(AND(V1451&lt;20,W1451&lt;55),0.3,0)+IF(AND(V1451&lt;20,W1451&gt;=55,W1451&lt;105),0.23,0)+IF(AND(V1451&lt;20,W1451&gt;=105),0.17,0)+IF(AND(V1451&gt;=20,V1451&lt;40,W1451&lt;45),0.3,0)+IF(AND(V1451&gt;=20,V1451&lt;40,W1451&gt;=45,W1451&lt;95),0.23,0)+IF(AND(V1451&gt;=20,V1451&lt;40,W1451&gt;=95,W1451&lt;=200),0.17,0)+IF(AND(V1451&gt;=20,V1451&lt;40,W1451&gt;=200),0.12,0)+IF(AND(V1451&gt;=40,V1451&lt;75,W1451&lt;35),0.3,0)+IF(AND(V1451&gt;=40,V1451&lt;75,W1451&gt;=35,W1451&lt;75),0.23,0)+IF(AND(V1451&gt;=40,V1451&lt;75,W1451&gt;=75,W1451&lt;120),0.17,0)+IF(AND(V1451&gt;=40,V1451&lt;75,W1451&gt;=120),0.12,0)+IF(AND(V1451&gt;=75,V1451&lt;175,W1451&lt;35),0.3,0)+IF(AND(V1451&gt;=75,V1451&lt;=175,W1451&gt;=35,W1451&lt;65),0.23,0)+IF(AND(V1451&gt;=75,V1451&lt;=175,W1451&gt;=65,W1451&lt;110),0.17,0)+IF(AND(V1451&gt;=75,V1451&lt;=175,W1451&gt;=110),0.12,0)+IF(AND(V1451&gt;175,W1451&lt;25),0.3,0)+IF(AND(V1451&gt;175,W1451&gt;=25,W1451&lt;55),0.23,0)+IF(AND(V1451&gt;175,W1451&gt;=55,W1451&lt;95),0.17,0)+IF(AND(V1451&gt;175,W1451&gt;=95),0.12,0),
IF(AF1451="DoEVLo",IF(AND(V1451&lt;20,W1451&lt;55),0.25,0)+IF(AND(V1451&lt;20,W1451&gt;=55,W1451&lt;105),0.2,0)+IF(AND(V1451&lt;20,W1451&gt;=105),0.15,0)+IF(AND(V1451&gt;=20,V1451&lt;40,W1451&lt;45),0.25,0)+IF(AND(V1451&gt;=20,V1451&lt;40,W1451&gt;=45,W1451&lt;95),0.2,0)+IF(AND(V1451&gt;=20,V1451&lt;40,W1451&gt;=95),0.15,0)+IF(AND(V1451&gt;=40,V1451&lt;75,W1451&lt;35),0.25,0)+IF(AND(V1451&gt;=40,V1451&lt;75,W1451&gt;=35,W1451&lt;75),0.2,0)+IF(AND(V1451&gt;=40,V1451&lt;75,W1451&gt;=75,W1451&lt;120),0.15,0)+IF(AND(V1451&gt;=40,V1451&lt;75,W1451&gt;=120),0.1,0)+IF(AND(V1451&gt;=75,V1451&lt;175,W1451&lt;35),0.25,0)+IF(AND(V1451&gt;=75,V1451&lt;=175,W1451&gt;=35,W1451&lt;65),0.2,0)+IF(AND(V1451&gt;=75,V1451&lt;=175,W1451&gt;=65,W1451&lt;110),0.15,0)+IF(AND(V1451&gt;=75,V1451&lt;=175,W1451&gt;=110),0.1,0)+IF(AND(V1451&gt;175,W1451&lt;25),0.25,0)+IF(AND(V1451&gt;175,W1451&gt;=25,W1451&lt;55),0.2,0)+IF(AND(V1451&gt;175,W1451&gt;=55,W1451&lt;95),0.15,0)+IF(AND(V1451&gt;175,W1451&gt;=95),0.1,0))))))))))))))))))))</f>
        <v>0.3</v>
      </c>
      <c r="Y1451" s="30">
        <f>IF(AG1451="None",0,IF(AG1451="Fix5",0.05, IF(AG1451="Fix6.25",0.0625,IF(AG1451="Fix3.75",0.0375, IF(AG1451="Fix11",0.11, IF(AG1451="Fix10",0.1,IF(AG1451="Fix3",0.03,0)))))))</f>
        <v>0</v>
      </c>
      <c r="Z1451" s="35">
        <f>IF(AND(AD1451="EUR", AE1451 = "USD"), T1451*U1451-AA1451-AB1451, T1451-AA1451-AB1451)</f>
        <v>200.2</v>
      </c>
      <c r="AA1451" s="29">
        <f>IF(AND(AD1451="EUR", F1451="Without EV deal", AE1451="USD"), (T1451*X1451)*U1451,
IF(AND(AD1451="EUR", F1451="Without EV deal", AE1451="EUR"), (T1451*X1451),
IF(AND(AD1451="EUR",AE1451="USD"), (T1451*X1451)*U1451,
T1451*X1451)))</f>
        <v>85.8</v>
      </c>
      <c r="AB1451" s="36">
        <f>IF(AND(AD1451="EUR", F1451="Without EV deal", AE1451="USD"), (T1451*Y1451)*U1451,
IF(AND(AD1451="EUR", F1451="Without EV deal", AE1451="EUR"), (T1451*Y1451),
IF(AND(AD1451="EUR",AE1451="USD"), (T1451*Y1451)*U1451,
T1451*Y1451)))</f>
        <v>0</v>
      </c>
      <c r="AC1451" s="37" t="b">
        <v>1</v>
      </c>
      <c r="AD1451" s="82" t="str">
        <f>IF(OR(H1451="€0.25 Flash",
H1451="€0.25(nitro) new",
H1451="€1",
H1451="€2",
H1451="€2 (bf 01.08)",
H1451="€5",
H1451="€5 (1M)",
H1451="€5 (bf 01.08)",
H1451="€5 (bf 05.05)",
H1451="€5 Nitro",
H1451="€5(wx) new",
H1451="€10",
H1451="€10 (1M)",
H1451="€10 (bf 01.08)",
H1451="€10 (bf 05.05)",
H1451="€10 (MP)",
H1451="€10 (old)",
H1451="€10 Nitro (bf 05.05)",
H1451="€10 Nitro (old)",
H1451="€10(wx) new",
H1451="€20",
H1451="€25",
H1451="€25 (bf 01.08)",
H1451="€25 (bf 05.05)",
H1451="€25 (MP)",
H1451="€25 (old)",
H1451="€25 Nitro",
H1451="€25 Nitro (bf 01.08)",
H1451="€25 Nitro (bf 05.05)",
H1451="€25(nitro) new",
H1451="€25(wx) new",
H1451="€50",
H1451="€50 (bf 01.08)",
H1451="€50 (bf 05.05)",
H1451="€50 (old)",
H1451="€50 Nitro",
H1451="€50 Nitro (bf 01.08)",
H1451="€50 Nitro (bf 05.05)",
H1451="€50(wx) new",
H1451="€100",
H1451="€100 (old)",
H1451="€100 Nitro",
H1451="€100 Nitro (old)",
H1451="€200",
H1451="€250",
H1451="€250 Nitro",
H1451="€500",
H1451="€500 Nitro"),"EUR", "USD")</f>
        <v>USD</v>
      </c>
      <c r="AE1451" s="83" t="s">
        <v>38</v>
      </c>
      <c r="AF1451" s="83" t="str">
        <f t="array" ref="AF1451">INDEX('Deal Info'!D:D, MATCH(A1451,'Deal Info'!A:A, 0))</f>
        <v>DoEV</v>
      </c>
      <c r="AG1451" s="84" t="str">
        <f t="array" ref="AG1451">INDEX('Deal Info'!G:G, MATCH(A1451,'Deal Info'!A:A, 0))</f>
        <v>None</v>
      </c>
    </row>
    <row r="1452" spans="1:33" ht="14.25" hidden="1" x14ac:dyDescent="0.2">
      <c r="A1452" s="18" t="str">
        <f t="array" ref="A1452">IF(G1452='Room Info'!$B$1, INDEX('Room Info'!$A$2:$A2446, MATCH(B1452,'Room Info'!$B$2:$B2446, 0)),IF(G1452='Room Info'!$C$1, INDEX('Room Info'!$A$2:$A2446, MATCH(B1452,'Room Info'!$C$2:$C2446, 0)),IF(G1452='Room Info'!$D$1, INDEX('Room Info'!$A$2:$A2446, MATCH(B1452,'Room Info'!$D$2:$D2446, 0)),IF(G1452='Room Info'!$E$1, INDEX('Room Info'!$A$2:$A2446, MATCH(B1452,'Room Info'!$E$2:$E2446, 0)),IF(G1452='Room Info'!$F$1, INDEX('Room Info'!$A$2:$A2446, MATCH(B1452,'Room Info'!$F$2:$F2446, 0)),IF(G1452='Room Info'!$H$1, INDEX('Room Info'!$A$2:$A2446, MATCH(B1452,'Room Info'!$H$2:$H2446, 0)),IF(G1452='Room Info'!$G$1, INDEX('Room Info'!$A$2:$A2446, MATCH(B1452,'Room Info'!$G$2:$G2446, 0)))))))))</f>
        <v>QQcheliQ</v>
      </c>
      <c r="B1452" s="85" t="s">
        <v>195</v>
      </c>
      <c r="C1452" s="86">
        <v>44947</v>
      </c>
      <c r="D1452" s="87">
        <v>44977</v>
      </c>
      <c r="E1452" s="21">
        <v>44958</v>
      </c>
      <c r="F1452" s="22" t="s">
        <v>34</v>
      </c>
      <c r="G1452" s="18" t="s">
        <v>35</v>
      </c>
      <c r="H1452" s="23" t="s">
        <v>46</v>
      </c>
      <c r="I1452" s="23" t="s">
        <v>37</v>
      </c>
      <c r="J1452" s="39">
        <v>25</v>
      </c>
      <c r="K1452" s="88">
        <v>1993</v>
      </c>
      <c r="L1452" s="89">
        <v>-1375</v>
      </c>
      <c r="M1452" s="27"/>
      <c r="N1452" s="28">
        <f>K1452*J1452</f>
        <v>49825</v>
      </c>
      <c r="O1452" s="85">
        <v>23304</v>
      </c>
      <c r="P1452" s="29">
        <v>11.692925239999999</v>
      </c>
      <c r="Q1452" s="30"/>
      <c r="R1452" s="31">
        <f>M1452+Q1452</f>
        <v>0</v>
      </c>
      <c r="S1452" s="28"/>
      <c r="T1452" s="32">
        <f>IF(AND(AD1452="EUR", F1452="Without EV deal"), R1452 + L1452,
IF(AND(AD1452="USD", F1452="Without EV deal"), R1452 + L1452,
IF(AND(AD1452="EUR", F1452="Steel Phoenix"), R1452 + S1452/U1452,
R1452 + S1452)))</f>
        <v>0</v>
      </c>
      <c r="U1452" s="33">
        <v>1.0669999999999999</v>
      </c>
      <c r="V1452" s="34">
        <v>29.401073936389921</v>
      </c>
      <c r="W1452" s="34">
        <v>9.727535824669852</v>
      </c>
      <c r="X1452" s="30">
        <f>IF(AF1452="DoEV",IF(AND(V1452&lt;20,W1452&lt;55),0.3,0)+IF(AND(V1452&lt;20,W1452&gt;=55,W1452&lt;105),0.23,0)+IF(AND(V1452&lt;20,W1452&gt;=105),0.17,0)+IF(AND(V1452&gt;=20,V1452&lt;40,W1452&lt;45),0.3,0)+IF(AND(V1452&gt;=20,V1452&lt;40,W1452&gt;=45,W1452&lt;95),0.23,0)+IF(AND(V1452&gt;=20,V1452&lt;40,W1452&gt;=95),0.17,0)+IF(AND(V1452&gt;=40,V1452&lt;75,W1452&lt;35),0.3,0)+IF(AND(V1452&gt;=40,V1452&lt;75,W1452&gt;=35,W1452&lt;75),0.23,0)+IF(AND(V1452&gt;=40,V1452&lt;75,W1452&gt;=75,W1452&lt;120),0.17,0)+IF(AND(V1452&gt;=40,V1452&lt;75,W1452&gt;=120),0.12,0)+IF(AND(V1452&gt;=75,V1452&lt;175,W1452&lt;35),0.3,0)+IF(AND(V1452&gt;=75,V1452&lt;=175,W1452&gt;=35,W1452&lt;65),0.23,0)+IF(AND(V1452&gt;=75,V1452&lt;=175,W1452&gt;=65,W1452&lt;110),0.17,0)+IF(AND(V1452&gt;=75,V1452&lt;=175,W1452&gt;=110),0.12,0)+IF(AND(V1452&gt;175,W1452&lt;25),0.3,0)+IF(AND(V1452&gt;175,W1452&gt;=25,W1452&lt;55),0.23,0)+IF(AND(V1452&gt;175,W1452&gt;=55,W1452&lt;95),0.17,0)+IF(AND(V1452&gt;175,W1452&gt;=95),0.12,0),
IF(AF1452="Fix15",0.15,
IF(AF1452="Fix5",0.05,
IF(AF1452="Fix18.75",0.1875,
IF(AF1452="Fix11.25",0.1125,
IF(AF1452="Fix10",0.1,
IF(AF1452="Fix9",0.09,
IF(AF1452="Fix12",0.12,
IF(AF1452="Fix19",0.19,
IF(AF1452="DoEV2017",IF(AND(W1452&lt;74),0.2,0)+IF(AND(W1452&gt;=74),0.17,0),
IF(AF1452="SF",IF(AND(V1452&lt;20,W1452&lt;89),0.3,0)+IF(AND(V1452&lt;20,W1452&gt;=89),0.25,0)+IF(AND(V1452&gt;=20,V1452&lt;40,W1452&lt;74),0.3,0)+IF(AND(V1452&gt;=20,V1452&lt;40,W1452&gt;=75),0.22,0)+IF(AND(V1452&gt;=40,V1452&lt;75,W1452&lt;75),0.26,0)+IF(AND(V1452&gt;=40,V1452&lt;75,W1452&gt;=75),0.22,0)+IF(V1452&gt;=75,0.22,0),
IF(AF1452="DoEVold",IF(AND(V1452&lt;40,W1452&lt;35),0.35,0)+IF(AND(V1452&lt;40,W1452&gt;=35,W1452&lt;75),0.25,0)+IF(AND(V1452&lt;40,W1452&gt;=75),0.17,0)+IF(AND(V1452&gt;=40,V1452&lt;75,W1452&lt;25),0.35,0)+IF(AND(V1452&gt;=40,V1452&lt;75,W1452&gt;=25,W1452&lt;65),0.25,0)+IF(AND(V1452&gt;=40,V1452&lt;75,W1452&gt;=65,W1452&lt;100),0.17,0)+IF(AND(V1452&gt;=40,V1452&lt;75,W1452&gt;=100),0.1,0)+IF(AND(V1452&gt;=75,W1452&lt;25),0.35,0)+IF(AND(V1452&gt;=75,W1452&gt;=25,W1452&lt;60),0.25,0)+IF(AND(V1452&gt;=75,W1452&gt;=60,W1452&lt;95),0.17,0)+IF(AND(V1452&gt;=75,W1452&gt;=95),0.1,0),
IF(AF1452="DoEVold15",IF(AND(V1452&lt;=40,W1452&lt;35),0.35,0)+IF(AND(V1452&lt;=40,W1452&gt;=35,W1452&lt;75),0.25,0)+IF(AND(V1452&lt;=40,W1452&gt;=75,W1452&lt;120),0.17,0)+IF(AND(V1452&lt;=40,W1452&gt;=120),0.15,0)+IF(AND(V1452&gt;40,V1452&lt;75,W1452&lt;25),0.35,0)+IF(AND(V1452&gt;=40,V1452&lt;75,W1452&gt;=25,W1452&lt;65),0.25,0)+IF(AND(V1452&gt;=40,V1452&lt;75,W1452&gt;=65,W1452&lt;100),0.17,0)+IF(AND(V1452&gt;=40,V1452&lt;75,W1452&gt;=100),0.1,0)+IF(AND(V1452&gt;=75,W1452&lt;25),0.35,0)+IF(AND(V1452&gt;=75,W1452&gt;=25,W1452&lt;60),0.25,0)+IF(AND(V1452&gt;=75,W1452&gt;=60,W1452&lt;95),0.17,0)+IF(AND(V1452&gt;=75,W1452&gt;=95),0.1,0),
IF(AF1452="DoEVba",IF(AND(V1452&lt;20,W1452&lt;105),0.2,0)+IF(AND(V1452&lt;20,W1452&gt;=105),0.15,0)+IF(AND(V1452&gt;=20,V1452&lt;40,W1452&lt;95),0.2,0)+IF(AND(V1452&gt;=20,V1452&lt;40,W1452&gt;=95,W1452&lt;150),0.15,0)+IF(AND(V1452&gt;=20,V1452&lt;40,W1452&gt;=150),0.12,0)+IF(AND(V1452&gt;=40,V1452&lt;75,W1452&lt;75),0.2,0)+IF(AND(V1452&gt;=40,V1452&lt;75,W1452&gt;=75,W1452&lt;120),0.15,0)+IF(AND(V1452&gt;=40,V1452&lt;75,W1452&gt;=120),0.12,0)+IF(AND(V1452&gt;=75,V1452&lt;175,W1452&lt;65),0.2,0)+IF(AND(V1452&gt;=75,V1452&lt;175,W1452&gt;=65,W1452&lt;110),0.15,0)+IF(AND(V1452&gt;=75,V1452&lt;175,W1452&gt;=110),0.12,0)+IF(AND(V1452&gt;=175,W1452&lt;55),0.2,0)+IF(AND(V1452&gt;=175,W1452&gt;=55,W1452&lt;95),0.15,0)+IF(AND(V1452&gt;=175,W1452&gt;=95),0.12,0),
IF(AF1452="DoEVku",IF(AND(V1452&lt;20,W1452&lt;55),0.23,0)+IF(AND(V1452&lt;20,W1452&gt;=55,W1452&lt;105),0.2,0)+IF(AND(V1452&lt;20,W1452&gt;=105),0.17,0)+IF(AND(V1452&gt;=20,V1452&lt;40,W1452&lt;45),0.23,0)+IF(AND(V1452&gt;=20,V1452&lt;40,W1452&gt;=45,W1452&lt;95),0.2,0)+IF(AND(V1452&gt;=20,V1452&lt;40,W1452&gt;=95,W1452&lt;=150),0.17,0)+IF(AND(V1452&gt;=20,V1452&lt;40,W1452&gt;=150),0.12,0)+IF(AND(V1452&gt;=40,V1452&lt;75,W1452&lt;35),0.23,0)+IF(AND(V1452&gt;=40,V1452&lt;75,W1452&gt;=35,W1452&lt;75),0.2,0)+IF(AND(V1452&gt;=40,V1452&lt;75,W1452&gt;=75,W1452&lt;120),0.17,0)+IF(AND(V1452&gt;=40,V1452&lt;75,W1452&gt;=120),0.12,0)+IF(AND(V1452&gt;=75,V1452&lt;175,W1452&lt;35),0.23,0)+IF(AND(V1452&gt;=75,V1452&lt;=175,W1452&gt;=35,W1452&lt;65),0.2,0)+IF(AND(V1452&gt;=75,V1452&lt;=175,W1452&gt;=65,W1452&lt;110),0.17,0)+IF(AND(V1452&gt;=75,V1452&lt;=175,W1452&gt;=110),0.12,0)+IF(AND(V1452&gt;175,W1452&lt;25),0.23,0)+IF(AND(V1452&gt;175,W1452&gt;=25,W1452&lt;55),0.2,0)+IF(AND(V1452&gt;175,W1452&gt;=55,W1452&lt;95),0.17,0)+IF(AND(V1452&gt;175,W1452&gt;=95),0.12,0),
IF(AF1452="DoEVs1",IF(AND(V1452&lt;20,W1452&lt;55),0.3,0)+IF(AND(V1452&lt;20,W1452&gt;=55,W1452&lt;105),0.23,0)+IF(AND(V1452&lt;20,W1452&gt;=105),0.17,0)+IF(AND(V1452&gt;=20,V1452&lt;40,W1452&lt;45),0.3,0)+IF(AND(V1452&gt;=20,V1452&lt;40,W1452&gt;=45,W1452&lt;95),0.23,0)+IF(AND(V1452&gt;=20,V1452&lt;40,W1452&gt;=95,W1452&lt;=150),0.17,0)+IF(AND(V1452&gt;=20,V1452&lt;40,W1452&gt;=150),0.12,0)+IF(AND(V1452&gt;=40,V1452&lt;75,W1452&lt;35),0.3,0)+IF(AND(V1452&gt;=40,V1452&lt;75,W1452&gt;=35,W1452&lt;75),0.23,0)+IF(AND(V1452&gt;=40,V1452&lt;75,W1452&gt;=75,W1452&lt;120),0.17,0)+IF(AND(V1452&gt;=40,V1452&lt;75,W1452&gt;=120),0.12,0)+IF(AND(V1452&gt;=75,V1452&lt;175,W1452&lt;35),0.3,0)+IF(AND(V1452&gt;=75,V1452&lt;=175,W1452&gt;=35,W1452&lt;65),0.23,0)+IF(AND(V1452&gt;=75,V1452&lt;=175,W1452&gt;=65,W1452&lt;110),0.17,0)+IF(AND(V1452&gt;=75,V1452&lt;=175,W1452&gt;=110),0.12,0)+IF(AND(V1452&gt;175,W1452&lt;25),0.3,0)+IF(AND(V1452&gt;175,W1452&gt;=25,W1452&lt;55),0.23,0)+IF(AND(V1452&gt;175,W1452&gt;=55,W1452&lt;95),0.17,0)+IF(AND(V1452&gt;175,W1452&gt;=95),0.12,0),
IF(AF1452="DoEVsu",IF(AND(V1452&lt;20,W1452&lt;55),0.3,0)+IF(AND(V1452&lt;20,W1452&gt;=55,W1452&lt;105),0.23,0)+IF(AND(V1452&lt;20,W1452&gt;=105),0.17,0)+IF(AND(V1452&gt;=20,V1452&lt;40,W1452&lt;45),0.3,0)+IF(AND(V1452&gt;=20,V1452&lt;40,W1452&gt;=45,W1452&lt;95),0.23,0)+IF(AND(V1452&gt;=20,V1452&lt;40,W1452&gt;=95,W1452&lt;=250),0.17,0)+IF(AND(V1452&gt;=20,V1452&lt;40,W1452&gt;=250),0.12,0)+IF(AND(V1452&gt;=40,V1452&lt;75,W1452&lt;35),0.3,0)+IF(AND(V1452&gt;=40,V1452&lt;75,W1452&gt;=35,W1452&lt;75),0.23,0)+IF(AND(V1452&gt;=40,V1452&lt;75,W1452&gt;=75,W1452&lt;120),0.17,0)+IF(AND(V1452&gt;=40,V1452&lt;75,W1452&gt;=120),0.12,0)+IF(AND(V1452&gt;=75,V1452&lt;175,W1452&lt;35),0.3,0)+IF(AND(V1452&gt;=75,V1452&lt;=175,W1452&gt;=35,W1452&lt;65),0.23,0)+IF(AND(V1452&gt;=75,V1452&lt;=175,W1452&gt;=65,W1452&lt;110),0.17,0)+IF(AND(V1452&gt;=75,V1452&lt;=175,W1452&gt;=110),0.12,0)+IF(AND(V1452&gt;175,W1452&lt;25),0.3,0)+IF(AND(V1452&gt;175,W1452&gt;=25,W1452&lt;55),0.23,0)+IF(AND(V1452&gt;175,W1452&gt;=55,W1452&lt;95),0.17,0)+IF(AND(V1452&gt;175,W1452&gt;=95),0.12,0),
IF(AF1452="DoEVni",IF(AND(V1452&lt;20,W1452&lt;55),0.3,0)+IF(AND(V1452&lt;20,W1452&gt;=55,W1452&lt;105),0.23,0)+IF(AND(V1452&lt;20,W1452&gt;=105),0.17,0)+IF(AND(V1452&gt;=20,V1452&lt;40,W1452&lt;45),0.3,0)+IF(AND(V1452&gt;=20,V1452&lt;40,W1452&gt;=45,W1452&lt;95),0.23,0)+IF(AND(V1452&gt;=20,V1452&lt;40,W1452&gt;=95,W1452&lt;=200),0.17,0)+IF(AND(V1452&gt;=20,V1452&lt;40,W1452&gt;=200),0.12,0)+IF(AND(V1452&gt;=40,V1452&lt;75,W1452&lt;35),0.3,0)+IF(AND(V1452&gt;=40,V1452&lt;75,W1452&gt;=35,W1452&lt;75),0.23,0)+IF(AND(V1452&gt;=40,V1452&lt;75,W1452&gt;=75,W1452&lt;120),0.17,0)+IF(AND(V1452&gt;=40,V1452&lt;75,W1452&gt;=120),0.12,0)+IF(AND(V1452&gt;=75,V1452&lt;175,W1452&lt;35),0.3,0)+IF(AND(V1452&gt;=75,V1452&lt;=175,W1452&gt;=35,W1452&lt;65),0.23,0)+IF(AND(V1452&gt;=75,V1452&lt;=175,W1452&gt;=65,W1452&lt;110),0.17,0)+IF(AND(V1452&gt;=75,V1452&lt;=175,W1452&gt;=110),0.12,0)+IF(AND(V1452&gt;175,W1452&lt;25),0.3,0)+IF(AND(V1452&gt;175,W1452&gt;=25,W1452&lt;55),0.23,0)+IF(AND(V1452&gt;175,W1452&gt;=55,W1452&lt;95),0.17,0)+IF(AND(V1452&gt;175,W1452&gt;=95),0.12,0),
IF(AF1452="DoEVLo",IF(AND(V1452&lt;20,W1452&lt;55),0.25,0)+IF(AND(V1452&lt;20,W1452&gt;=55,W1452&lt;105),0.2,0)+IF(AND(V1452&lt;20,W1452&gt;=105),0.15,0)+IF(AND(V1452&gt;=20,V1452&lt;40,W1452&lt;45),0.25,0)+IF(AND(V1452&gt;=20,V1452&lt;40,W1452&gt;=45,W1452&lt;95),0.2,0)+IF(AND(V1452&gt;=20,V1452&lt;40,W1452&gt;=95),0.15,0)+IF(AND(V1452&gt;=40,V1452&lt;75,W1452&lt;35),0.25,0)+IF(AND(V1452&gt;=40,V1452&lt;75,W1452&gt;=35,W1452&lt;75),0.2,0)+IF(AND(V1452&gt;=40,V1452&lt;75,W1452&gt;=75,W1452&lt;120),0.15,0)+IF(AND(V1452&gt;=40,V1452&lt;75,W1452&gt;=120),0.1,0)+IF(AND(V1452&gt;=75,V1452&lt;175,W1452&lt;35),0.25,0)+IF(AND(V1452&gt;=75,V1452&lt;=175,W1452&gt;=35,W1452&lt;65),0.2,0)+IF(AND(V1452&gt;=75,V1452&lt;=175,W1452&gt;=65,W1452&lt;110),0.15,0)+IF(AND(V1452&gt;=75,V1452&lt;=175,W1452&gt;=110),0.1,0)+IF(AND(V1452&gt;175,W1452&lt;25),0.25,0)+IF(AND(V1452&gt;175,W1452&gt;=25,W1452&lt;55),0.2,0)+IF(AND(V1452&gt;175,W1452&gt;=55,W1452&lt;95),0.15,0)+IF(AND(V1452&gt;175,W1452&gt;=95),0.1,0))))))))))))))))))))</f>
        <v>0.3</v>
      </c>
      <c r="Y1452" s="30">
        <f>IF(AG1452="None",0,IF(AG1452="Fix5",0.05, IF(AG1452="Fix6.25",0.0625,IF(AG1452="Fix3.75",0.0375, IF(AG1452="Fix11",0.11, IF(AG1452="Fix10",0.1,IF(AG1452="Fix3",0.03,0)))))))</f>
        <v>0</v>
      </c>
      <c r="Z1452" s="35">
        <f>IF(AND(AD1452="EUR", AE1452 = "USD"), T1452*U1452-AA1452-AB1452, T1452-AA1452-AB1452)</f>
        <v>0</v>
      </c>
      <c r="AA1452" s="29">
        <f>IF(AND(AD1452="EUR", F1452="Without EV deal", AE1452="USD"), (T1452*X1452)*U1452,
IF(AND(AD1452="EUR", F1452="Without EV deal", AE1452="EUR"), (T1452*X1452),
IF(AND(AD1452="EUR",AE1452="USD"), (T1452*X1452)*U1452,
T1452*X1452)))</f>
        <v>0</v>
      </c>
      <c r="AB1452" s="36">
        <f>IF(AND(AD1452="EUR", F1452="Without EV deal", AE1452="USD"), (T1452*Y1452)*U1452,
IF(AND(AD1452="EUR", F1452="Without EV deal", AE1452="EUR"), (T1452*Y1452),
IF(AND(AD1452="EUR",AE1452="USD"), (T1452*Y1452)*U1452,
T1452*Y1452)))</f>
        <v>0</v>
      </c>
      <c r="AC1452" s="37" t="b">
        <v>1</v>
      </c>
      <c r="AD1452" s="82" t="str">
        <f>IF(OR(H1452="€0.25 Flash",
H1452="€0.25(nitro) new",
H1452="€1",
H1452="€2",
H1452="€2 (bf 01.08)",
H1452="€5",
H1452="€5 (1M)",
H1452="€5 (bf 01.08)",
H1452="€5 (bf 05.05)",
H1452="€5 Nitro",
H1452="€5(wx) new",
H1452="€10",
H1452="€10 (1M)",
H1452="€10 (bf 01.08)",
H1452="€10 (bf 05.05)",
H1452="€10 (MP)",
H1452="€10 (old)",
H1452="€10 Nitro (bf 05.05)",
H1452="€10 Nitro (old)",
H1452="€10(wx) new",
H1452="€20",
H1452="€25",
H1452="€25 (bf 01.08)",
H1452="€25 (bf 05.05)",
H1452="€25 (MP)",
H1452="€25 (old)",
H1452="€25 Nitro",
H1452="€25 Nitro (bf 01.08)",
H1452="€25 Nitro (bf 05.05)",
H1452="€25(nitro) new",
H1452="€25(wx) new",
H1452="€50",
H1452="€50 (bf 01.08)",
H1452="€50 (bf 05.05)",
H1452="€50 (old)",
H1452="€50 Nitro",
H1452="€50 Nitro (bf 01.08)",
H1452="€50 Nitro (bf 05.05)",
H1452="€50(wx) new",
H1452="€100",
H1452="€100 (old)",
H1452="€100 Nitro",
H1452="€100 Nitro (old)",
H1452="€200",
H1452="€250",
H1452="€250 Nitro",
H1452="€500",
H1452="€500 Nitro"),"EUR", "USD")</f>
        <v>USD</v>
      </c>
      <c r="AE1452" s="83" t="s">
        <v>38</v>
      </c>
      <c r="AF1452" s="83" t="str">
        <f t="array" ref="AF1452">INDEX('Deal Info'!D:D, MATCH(A1452,'Deal Info'!A:A, 0))</f>
        <v>DoEV</v>
      </c>
      <c r="AG1452" s="84" t="str">
        <f t="array" ref="AG1452">INDEX('Deal Info'!G:G, MATCH(A1452,'Deal Info'!A:A, 0))</f>
        <v>None</v>
      </c>
    </row>
    <row r="1453" spans="1:33" ht="14.25" hidden="1" x14ac:dyDescent="0.2">
      <c r="A1453" s="18" t="str">
        <f t="array" ref="A1453">IF(G1453='Room Info'!$B$1, INDEX('Room Info'!$A$2:$A2446, MATCH(B1453,'Room Info'!$B$2:$B2446, 0)),IF(G1453='Room Info'!$C$1, INDEX('Room Info'!$A$2:$A2446, MATCH(B1453,'Room Info'!$C$2:$C2446, 0)),IF(G1453='Room Info'!$D$1, INDEX('Room Info'!$A$2:$A2446, MATCH(B1453,'Room Info'!$D$2:$D2446, 0)),IF(G1453='Room Info'!$E$1, INDEX('Room Info'!$A$2:$A2446, MATCH(B1453,'Room Info'!$E$2:$E2446, 0)),IF(G1453='Room Info'!$F$1, INDEX('Room Info'!$A$2:$A2446, MATCH(B1453,'Room Info'!$F$2:$F2446, 0)),IF(G1453='Room Info'!$H$1, INDEX('Room Info'!$A$2:$A2446, MATCH(B1453,'Room Info'!$H$2:$H2446, 0)),IF(G1453='Room Info'!$G$1, INDEX('Room Info'!$A$2:$A2446, MATCH(B1453,'Room Info'!$G$2:$G2446, 0)))))))))</f>
        <v>QQcheliQ</v>
      </c>
      <c r="B1453" s="85" t="s">
        <v>195</v>
      </c>
      <c r="C1453" s="86">
        <v>44947</v>
      </c>
      <c r="D1453" s="87">
        <v>44977</v>
      </c>
      <c r="E1453" s="21">
        <v>44958</v>
      </c>
      <c r="F1453" s="22" t="s">
        <v>34</v>
      </c>
      <c r="G1453" s="18" t="s">
        <v>35</v>
      </c>
      <c r="H1453" s="23" t="s">
        <v>72</v>
      </c>
      <c r="I1453" s="23" t="s">
        <v>37</v>
      </c>
      <c r="J1453" s="39">
        <v>50</v>
      </c>
      <c r="K1453" s="88">
        <v>427</v>
      </c>
      <c r="L1453" s="89">
        <v>1150</v>
      </c>
      <c r="M1453" s="27"/>
      <c r="N1453" s="28">
        <f>K1453*J1453</f>
        <v>21350</v>
      </c>
      <c r="O1453" s="85">
        <v>7317</v>
      </c>
      <c r="P1453" s="29">
        <v>17.135831379999999</v>
      </c>
      <c r="Q1453" s="30"/>
      <c r="R1453" s="31">
        <f>M1453+Q1453</f>
        <v>0</v>
      </c>
      <c r="S1453" s="28"/>
      <c r="T1453" s="32">
        <f>IF(AND(AD1453="EUR", F1453="Without EV deal"), R1453 + L1453,
IF(AND(AD1453="USD", F1453="Without EV deal"), R1453 + L1453,
IF(AND(AD1453="EUR", F1453="Steel Phoenix"), R1453 + S1453/U1453,
R1453 + S1453)))</f>
        <v>0</v>
      </c>
      <c r="U1453" s="33">
        <v>1.0669999999999999</v>
      </c>
      <c r="V1453" s="34">
        <v>29.401073936389921</v>
      </c>
      <c r="W1453" s="34">
        <v>9.727535824669852</v>
      </c>
      <c r="X1453" s="30">
        <f>IF(AF1453="DoEV",IF(AND(V1453&lt;20,W1453&lt;55),0.3,0)+IF(AND(V1453&lt;20,W1453&gt;=55,W1453&lt;105),0.23,0)+IF(AND(V1453&lt;20,W1453&gt;=105),0.17,0)+IF(AND(V1453&gt;=20,V1453&lt;40,W1453&lt;45),0.3,0)+IF(AND(V1453&gt;=20,V1453&lt;40,W1453&gt;=45,W1453&lt;95),0.23,0)+IF(AND(V1453&gt;=20,V1453&lt;40,W1453&gt;=95),0.17,0)+IF(AND(V1453&gt;=40,V1453&lt;75,W1453&lt;35),0.3,0)+IF(AND(V1453&gt;=40,V1453&lt;75,W1453&gt;=35,W1453&lt;75),0.23,0)+IF(AND(V1453&gt;=40,V1453&lt;75,W1453&gt;=75,W1453&lt;120),0.17,0)+IF(AND(V1453&gt;=40,V1453&lt;75,W1453&gt;=120),0.12,0)+IF(AND(V1453&gt;=75,V1453&lt;175,W1453&lt;35),0.3,0)+IF(AND(V1453&gt;=75,V1453&lt;=175,W1453&gt;=35,W1453&lt;65),0.23,0)+IF(AND(V1453&gt;=75,V1453&lt;=175,W1453&gt;=65,W1453&lt;110),0.17,0)+IF(AND(V1453&gt;=75,V1453&lt;=175,W1453&gt;=110),0.12,0)+IF(AND(V1453&gt;175,W1453&lt;25),0.3,0)+IF(AND(V1453&gt;175,W1453&gt;=25,W1453&lt;55),0.23,0)+IF(AND(V1453&gt;175,W1453&gt;=55,W1453&lt;95),0.17,0)+IF(AND(V1453&gt;175,W1453&gt;=95),0.12,0),
IF(AF1453="Fix15",0.15,
IF(AF1453="Fix5",0.05,
IF(AF1453="Fix18.75",0.1875,
IF(AF1453="Fix11.25",0.1125,
IF(AF1453="Fix10",0.1,
IF(AF1453="Fix9",0.09,
IF(AF1453="Fix12",0.12,
IF(AF1453="Fix19",0.19,
IF(AF1453="DoEV2017",IF(AND(W1453&lt;74),0.2,0)+IF(AND(W1453&gt;=74),0.17,0),
IF(AF1453="SF",IF(AND(V1453&lt;20,W1453&lt;89),0.3,0)+IF(AND(V1453&lt;20,W1453&gt;=89),0.25,0)+IF(AND(V1453&gt;=20,V1453&lt;40,W1453&lt;74),0.3,0)+IF(AND(V1453&gt;=20,V1453&lt;40,W1453&gt;=75),0.22,0)+IF(AND(V1453&gt;=40,V1453&lt;75,W1453&lt;75),0.26,0)+IF(AND(V1453&gt;=40,V1453&lt;75,W1453&gt;=75),0.22,0)+IF(V1453&gt;=75,0.22,0),
IF(AF1453="DoEVold",IF(AND(V1453&lt;40,W1453&lt;35),0.35,0)+IF(AND(V1453&lt;40,W1453&gt;=35,W1453&lt;75),0.25,0)+IF(AND(V1453&lt;40,W1453&gt;=75),0.17,0)+IF(AND(V1453&gt;=40,V1453&lt;75,W1453&lt;25),0.35,0)+IF(AND(V1453&gt;=40,V1453&lt;75,W1453&gt;=25,W1453&lt;65),0.25,0)+IF(AND(V1453&gt;=40,V1453&lt;75,W1453&gt;=65,W1453&lt;100),0.17,0)+IF(AND(V1453&gt;=40,V1453&lt;75,W1453&gt;=100),0.1,0)+IF(AND(V1453&gt;=75,W1453&lt;25),0.35,0)+IF(AND(V1453&gt;=75,W1453&gt;=25,W1453&lt;60),0.25,0)+IF(AND(V1453&gt;=75,W1453&gt;=60,W1453&lt;95),0.17,0)+IF(AND(V1453&gt;=75,W1453&gt;=95),0.1,0),
IF(AF1453="DoEVold15",IF(AND(V1453&lt;=40,W1453&lt;35),0.35,0)+IF(AND(V1453&lt;=40,W1453&gt;=35,W1453&lt;75),0.25,0)+IF(AND(V1453&lt;=40,W1453&gt;=75,W1453&lt;120),0.17,0)+IF(AND(V1453&lt;=40,W1453&gt;=120),0.15,0)+IF(AND(V1453&gt;40,V1453&lt;75,W1453&lt;25),0.35,0)+IF(AND(V1453&gt;=40,V1453&lt;75,W1453&gt;=25,W1453&lt;65),0.25,0)+IF(AND(V1453&gt;=40,V1453&lt;75,W1453&gt;=65,W1453&lt;100),0.17,0)+IF(AND(V1453&gt;=40,V1453&lt;75,W1453&gt;=100),0.1,0)+IF(AND(V1453&gt;=75,W1453&lt;25),0.35,0)+IF(AND(V1453&gt;=75,W1453&gt;=25,W1453&lt;60),0.25,0)+IF(AND(V1453&gt;=75,W1453&gt;=60,W1453&lt;95),0.17,0)+IF(AND(V1453&gt;=75,W1453&gt;=95),0.1,0),
IF(AF1453="DoEVba",IF(AND(V1453&lt;20,W1453&lt;105),0.2,0)+IF(AND(V1453&lt;20,W1453&gt;=105),0.15,0)+IF(AND(V1453&gt;=20,V1453&lt;40,W1453&lt;95),0.2,0)+IF(AND(V1453&gt;=20,V1453&lt;40,W1453&gt;=95,W1453&lt;150),0.15,0)+IF(AND(V1453&gt;=20,V1453&lt;40,W1453&gt;=150),0.12,0)+IF(AND(V1453&gt;=40,V1453&lt;75,W1453&lt;75),0.2,0)+IF(AND(V1453&gt;=40,V1453&lt;75,W1453&gt;=75,W1453&lt;120),0.15,0)+IF(AND(V1453&gt;=40,V1453&lt;75,W1453&gt;=120),0.12,0)+IF(AND(V1453&gt;=75,V1453&lt;175,W1453&lt;65),0.2,0)+IF(AND(V1453&gt;=75,V1453&lt;175,W1453&gt;=65,W1453&lt;110),0.15,0)+IF(AND(V1453&gt;=75,V1453&lt;175,W1453&gt;=110),0.12,0)+IF(AND(V1453&gt;=175,W1453&lt;55),0.2,0)+IF(AND(V1453&gt;=175,W1453&gt;=55,W1453&lt;95),0.15,0)+IF(AND(V1453&gt;=175,W1453&gt;=95),0.12,0),
IF(AF1453="DoEVku",IF(AND(V1453&lt;20,W1453&lt;55),0.23,0)+IF(AND(V1453&lt;20,W1453&gt;=55,W1453&lt;105),0.2,0)+IF(AND(V1453&lt;20,W1453&gt;=105),0.17,0)+IF(AND(V1453&gt;=20,V1453&lt;40,W1453&lt;45),0.23,0)+IF(AND(V1453&gt;=20,V1453&lt;40,W1453&gt;=45,W1453&lt;95),0.2,0)+IF(AND(V1453&gt;=20,V1453&lt;40,W1453&gt;=95,W1453&lt;=150),0.17,0)+IF(AND(V1453&gt;=20,V1453&lt;40,W1453&gt;=150),0.12,0)+IF(AND(V1453&gt;=40,V1453&lt;75,W1453&lt;35),0.23,0)+IF(AND(V1453&gt;=40,V1453&lt;75,W1453&gt;=35,W1453&lt;75),0.2,0)+IF(AND(V1453&gt;=40,V1453&lt;75,W1453&gt;=75,W1453&lt;120),0.17,0)+IF(AND(V1453&gt;=40,V1453&lt;75,W1453&gt;=120),0.12,0)+IF(AND(V1453&gt;=75,V1453&lt;175,W1453&lt;35),0.23,0)+IF(AND(V1453&gt;=75,V1453&lt;=175,W1453&gt;=35,W1453&lt;65),0.2,0)+IF(AND(V1453&gt;=75,V1453&lt;=175,W1453&gt;=65,W1453&lt;110),0.17,0)+IF(AND(V1453&gt;=75,V1453&lt;=175,W1453&gt;=110),0.12,0)+IF(AND(V1453&gt;175,W1453&lt;25),0.23,0)+IF(AND(V1453&gt;175,W1453&gt;=25,W1453&lt;55),0.2,0)+IF(AND(V1453&gt;175,W1453&gt;=55,W1453&lt;95),0.17,0)+IF(AND(V1453&gt;175,W1453&gt;=95),0.12,0),
IF(AF1453="DoEVs1",IF(AND(V1453&lt;20,W1453&lt;55),0.3,0)+IF(AND(V1453&lt;20,W1453&gt;=55,W1453&lt;105),0.23,0)+IF(AND(V1453&lt;20,W1453&gt;=105),0.17,0)+IF(AND(V1453&gt;=20,V1453&lt;40,W1453&lt;45),0.3,0)+IF(AND(V1453&gt;=20,V1453&lt;40,W1453&gt;=45,W1453&lt;95),0.23,0)+IF(AND(V1453&gt;=20,V1453&lt;40,W1453&gt;=95,W1453&lt;=150),0.17,0)+IF(AND(V1453&gt;=20,V1453&lt;40,W1453&gt;=150),0.12,0)+IF(AND(V1453&gt;=40,V1453&lt;75,W1453&lt;35),0.3,0)+IF(AND(V1453&gt;=40,V1453&lt;75,W1453&gt;=35,W1453&lt;75),0.23,0)+IF(AND(V1453&gt;=40,V1453&lt;75,W1453&gt;=75,W1453&lt;120),0.17,0)+IF(AND(V1453&gt;=40,V1453&lt;75,W1453&gt;=120),0.12,0)+IF(AND(V1453&gt;=75,V1453&lt;175,W1453&lt;35),0.3,0)+IF(AND(V1453&gt;=75,V1453&lt;=175,W1453&gt;=35,W1453&lt;65),0.23,0)+IF(AND(V1453&gt;=75,V1453&lt;=175,W1453&gt;=65,W1453&lt;110),0.17,0)+IF(AND(V1453&gt;=75,V1453&lt;=175,W1453&gt;=110),0.12,0)+IF(AND(V1453&gt;175,W1453&lt;25),0.3,0)+IF(AND(V1453&gt;175,W1453&gt;=25,W1453&lt;55),0.23,0)+IF(AND(V1453&gt;175,W1453&gt;=55,W1453&lt;95),0.17,0)+IF(AND(V1453&gt;175,W1453&gt;=95),0.12,0),
IF(AF1453="DoEVsu",IF(AND(V1453&lt;20,W1453&lt;55),0.3,0)+IF(AND(V1453&lt;20,W1453&gt;=55,W1453&lt;105),0.23,0)+IF(AND(V1453&lt;20,W1453&gt;=105),0.17,0)+IF(AND(V1453&gt;=20,V1453&lt;40,W1453&lt;45),0.3,0)+IF(AND(V1453&gt;=20,V1453&lt;40,W1453&gt;=45,W1453&lt;95),0.23,0)+IF(AND(V1453&gt;=20,V1453&lt;40,W1453&gt;=95,W1453&lt;=250),0.17,0)+IF(AND(V1453&gt;=20,V1453&lt;40,W1453&gt;=250),0.12,0)+IF(AND(V1453&gt;=40,V1453&lt;75,W1453&lt;35),0.3,0)+IF(AND(V1453&gt;=40,V1453&lt;75,W1453&gt;=35,W1453&lt;75),0.23,0)+IF(AND(V1453&gt;=40,V1453&lt;75,W1453&gt;=75,W1453&lt;120),0.17,0)+IF(AND(V1453&gt;=40,V1453&lt;75,W1453&gt;=120),0.12,0)+IF(AND(V1453&gt;=75,V1453&lt;175,W1453&lt;35),0.3,0)+IF(AND(V1453&gt;=75,V1453&lt;=175,W1453&gt;=35,W1453&lt;65),0.23,0)+IF(AND(V1453&gt;=75,V1453&lt;=175,W1453&gt;=65,W1453&lt;110),0.17,0)+IF(AND(V1453&gt;=75,V1453&lt;=175,W1453&gt;=110),0.12,0)+IF(AND(V1453&gt;175,W1453&lt;25),0.3,0)+IF(AND(V1453&gt;175,W1453&gt;=25,W1453&lt;55),0.23,0)+IF(AND(V1453&gt;175,W1453&gt;=55,W1453&lt;95),0.17,0)+IF(AND(V1453&gt;175,W1453&gt;=95),0.12,0),
IF(AF1453="DoEVni",IF(AND(V1453&lt;20,W1453&lt;55),0.3,0)+IF(AND(V1453&lt;20,W1453&gt;=55,W1453&lt;105),0.23,0)+IF(AND(V1453&lt;20,W1453&gt;=105),0.17,0)+IF(AND(V1453&gt;=20,V1453&lt;40,W1453&lt;45),0.3,0)+IF(AND(V1453&gt;=20,V1453&lt;40,W1453&gt;=45,W1453&lt;95),0.23,0)+IF(AND(V1453&gt;=20,V1453&lt;40,W1453&gt;=95,W1453&lt;=200),0.17,0)+IF(AND(V1453&gt;=20,V1453&lt;40,W1453&gt;=200),0.12,0)+IF(AND(V1453&gt;=40,V1453&lt;75,W1453&lt;35),0.3,0)+IF(AND(V1453&gt;=40,V1453&lt;75,W1453&gt;=35,W1453&lt;75),0.23,0)+IF(AND(V1453&gt;=40,V1453&lt;75,W1453&gt;=75,W1453&lt;120),0.17,0)+IF(AND(V1453&gt;=40,V1453&lt;75,W1453&gt;=120),0.12,0)+IF(AND(V1453&gt;=75,V1453&lt;175,W1453&lt;35),0.3,0)+IF(AND(V1453&gt;=75,V1453&lt;=175,W1453&gt;=35,W1453&lt;65),0.23,0)+IF(AND(V1453&gt;=75,V1453&lt;=175,W1453&gt;=65,W1453&lt;110),0.17,0)+IF(AND(V1453&gt;=75,V1453&lt;=175,W1453&gt;=110),0.12,0)+IF(AND(V1453&gt;175,W1453&lt;25),0.3,0)+IF(AND(V1453&gt;175,W1453&gt;=25,W1453&lt;55),0.23,0)+IF(AND(V1453&gt;175,W1453&gt;=55,W1453&lt;95),0.17,0)+IF(AND(V1453&gt;175,W1453&gt;=95),0.12,0),
IF(AF1453="DoEVLo",IF(AND(V1453&lt;20,W1453&lt;55),0.25,0)+IF(AND(V1453&lt;20,W1453&gt;=55,W1453&lt;105),0.2,0)+IF(AND(V1453&lt;20,W1453&gt;=105),0.15,0)+IF(AND(V1453&gt;=20,V1453&lt;40,W1453&lt;45),0.25,0)+IF(AND(V1453&gt;=20,V1453&lt;40,W1453&gt;=45,W1453&lt;95),0.2,0)+IF(AND(V1453&gt;=20,V1453&lt;40,W1453&gt;=95),0.15,0)+IF(AND(V1453&gt;=40,V1453&lt;75,W1453&lt;35),0.25,0)+IF(AND(V1453&gt;=40,V1453&lt;75,W1453&gt;=35,W1453&lt;75),0.2,0)+IF(AND(V1453&gt;=40,V1453&lt;75,W1453&gt;=75,W1453&lt;120),0.15,0)+IF(AND(V1453&gt;=40,V1453&lt;75,W1453&gt;=120),0.1,0)+IF(AND(V1453&gt;=75,V1453&lt;175,W1453&lt;35),0.25,0)+IF(AND(V1453&gt;=75,V1453&lt;=175,W1453&gt;=35,W1453&lt;65),0.2,0)+IF(AND(V1453&gt;=75,V1453&lt;=175,W1453&gt;=65,W1453&lt;110),0.15,0)+IF(AND(V1453&gt;=75,V1453&lt;=175,W1453&gt;=110),0.1,0)+IF(AND(V1453&gt;175,W1453&lt;25),0.25,0)+IF(AND(V1453&gt;175,W1453&gt;=25,W1453&lt;55),0.2,0)+IF(AND(V1453&gt;175,W1453&gt;=55,W1453&lt;95),0.15,0)+IF(AND(V1453&gt;175,W1453&gt;=95),0.1,0))))))))))))))))))))</f>
        <v>0.3</v>
      </c>
      <c r="Y1453" s="30">
        <f>IF(AG1453="None",0,IF(AG1453="Fix5",0.05, IF(AG1453="Fix6.25",0.0625,IF(AG1453="Fix3.75",0.0375, IF(AG1453="Fix11",0.11, IF(AG1453="Fix10",0.1,IF(AG1453="Fix3",0.03,0)))))))</f>
        <v>0</v>
      </c>
      <c r="Z1453" s="35">
        <f>IF(AND(AD1453="EUR", AE1453 = "USD"), T1453*U1453-AA1453-AB1453, T1453-AA1453-AB1453)</f>
        <v>0</v>
      </c>
      <c r="AA1453" s="29">
        <f>IF(AND(AD1453="EUR", F1453="Without EV deal", AE1453="USD"), (T1453*X1453)*U1453,
IF(AND(AD1453="EUR", F1453="Without EV deal", AE1453="EUR"), (T1453*X1453),
IF(AND(AD1453="EUR",AE1453="USD"), (T1453*X1453)*U1453,
T1453*X1453)))</f>
        <v>0</v>
      </c>
      <c r="AB1453" s="36">
        <f>IF(AND(AD1453="EUR", F1453="Without EV deal", AE1453="USD"), (T1453*Y1453)*U1453,
IF(AND(AD1453="EUR", F1453="Without EV deal", AE1453="EUR"), (T1453*Y1453),
IF(AND(AD1453="EUR",AE1453="USD"), (T1453*Y1453)*U1453,
T1453*Y1453)))</f>
        <v>0</v>
      </c>
      <c r="AC1453" s="37" t="b">
        <v>1</v>
      </c>
      <c r="AD1453" s="82" t="str">
        <f>IF(OR(H1453="€0.25 Flash",
H1453="€0.25(nitro) new",
H1453="€1",
H1453="€2",
H1453="€2 (bf 01.08)",
H1453="€5",
H1453="€5 (1M)",
H1453="€5 (bf 01.08)",
H1453="€5 (bf 05.05)",
H1453="€5 Nitro",
H1453="€5(wx) new",
H1453="€10",
H1453="€10 (1M)",
H1453="€10 (bf 01.08)",
H1453="€10 (bf 05.05)",
H1453="€10 (MP)",
H1453="€10 (old)",
H1453="€10 Nitro (bf 05.05)",
H1453="€10 Nitro (old)",
H1453="€10(wx) new",
H1453="€20",
H1453="€25",
H1453="€25 (bf 01.08)",
H1453="€25 (bf 05.05)",
H1453="€25 (MP)",
H1453="€25 (old)",
H1453="€25 Nitro",
H1453="€25 Nitro (bf 01.08)",
H1453="€25 Nitro (bf 05.05)",
H1453="€25(nitro) new",
H1453="€25(wx) new",
H1453="€50",
H1453="€50 (bf 01.08)",
H1453="€50 (bf 05.05)",
H1453="€50 (old)",
H1453="€50 Nitro",
H1453="€50 Nitro (bf 01.08)",
H1453="€50 Nitro (bf 05.05)",
H1453="€50(wx) new",
H1453="€100",
H1453="€100 (old)",
H1453="€100 Nitro",
H1453="€100 Nitro (old)",
H1453="€200",
H1453="€250",
H1453="€250 Nitro",
H1453="€500",
H1453="€500 Nitro"),"EUR", "USD")</f>
        <v>USD</v>
      </c>
      <c r="AE1453" s="83" t="s">
        <v>38</v>
      </c>
      <c r="AF1453" s="83" t="str">
        <f t="array" ref="AF1453">INDEX('Deal Info'!D:D, MATCH(A1453,'Deal Info'!A:A, 0))</f>
        <v>DoEV</v>
      </c>
      <c r="AG1453" s="84" t="str">
        <f t="array" ref="AG1453">INDEX('Deal Info'!G:G, MATCH(A1453,'Deal Info'!A:A, 0))</f>
        <v>None</v>
      </c>
    </row>
    <row r="1454" spans="1:33" ht="14.25" hidden="1" x14ac:dyDescent="0.2">
      <c r="A1454" s="18" t="str">
        <f t="array" ref="A1454">IF(G1454='Room Info'!$B$1, INDEX('Room Info'!$A$2:$A2446, MATCH(B1454,'Room Info'!$B$2:$B2446, 0)),IF(G1454='Room Info'!$C$1, INDEX('Room Info'!$A$2:$A2446, MATCH(B1454,'Room Info'!$C$2:$C2446, 0)),IF(G1454='Room Info'!$D$1, INDEX('Room Info'!$A$2:$A2446, MATCH(B1454,'Room Info'!$D$2:$D2446, 0)),IF(G1454='Room Info'!$E$1, INDEX('Room Info'!$A$2:$A2446, MATCH(B1454,'Room Info'!$E$2:$E2446, 0)),IF(G1454='Room Info'!$F$1, INDEX('Room Info'!$A$2:$A2446, MATCH(B1454,'Room Info'!$F$2:$F2446, 0)),IF(G1454='Room Info'!$H$1, INDEX('Room Info'!$A$2:$A2446, MATCH(B1454,'Room Info'!$H$2:$H2446, 0)),IF(G1454='Room Info'!$G$1, INDEX('Room Info'!$A$2:$A2446, MATCH(B1454,'Room Info'!$G$2:$G2446, 0)))))))))</f>
        <v>overplayKK</v>
      </c>
      <c r="B1454" s="18" t="s">
        <v>193</v>
      </c>
      <c r="C1454" s="86">
        <v>44947</v>
      </c>
      <c r="D1454" s="87">
        <v>44977</v>
      </c>
      <c r="E1454" s="21">
        <v>44958</v>
      </c>
      <c r="F1454" s="22" t="s">
        <v>34</v>
      </c>
      <c r="G1454" s="85" t="s">
        <v>80</v>
      </c>
      <c r="H1454" s="23" t="s">
        <v>40</v>
      </c>
      <c r="I1454" s="23" t="s">
        <v>81</v>
      </c>
      <c r="J1454" s="39">
        <v>10</v>
      </c>
      <c r="K1454" s="88">
        <v>10805</v>
      </c>
      <c r="L1454" s="89">
        <v>-1230</v>
      </c>
      <c r="M1454" s="102">
        <f>4558.86+855</f>
        <v>5413.86</v>
      </c>
      <c r="N1454" s="28">
        <f>K1454*J1454</f>
        <v>108050</v>
      </c>
      <c r="O1454" s="85">
        <v>160413</v>
      </c>
      <c r="P1454" s="29">
        <v>14.84618232</v>
      </c>
      <c r="Q1454" s="30"/>
      <c r="R1454" s="31">
        <f>M1454+Q1454</f>
        <v>5413.86</v>
      </c>
      <c r="S1454" s="119">
        <v>-3192</v>
      </c>
      <c r="T1454" s="32">
        <f>IF(AND(AD1454="EUR", F1454="Without EV deal"), R1454 + L1454,
IF(AND(AD1454="USD", F1454="Without EV deal"), R1454 + L1454,
IF(AND(AD1454="EUR", F1454="Steel Phoenix"), R1454 + S1454/U1454,
R1454 + S1454)))</f>
        <v>2221.8599999999997</v>
      </c>
      <c r="U1454" s="33">
        <v>1.0669999999999999</v>
      </c>
      <c r="V1454" s="34">
        <v>10</v>
      </c>
      <c r="W1454" s="34">
        <v>222.18599999999998</v>
      </c>
      <c r="X1454" s="30">
        <f>IF(AF1454="DoEV",IF(AND(V1454&lt;20,W1454&lt;55),0.3,0)+IF(AND(V1454&lt;20,W1454&gt;=55,W1454&lt;105),0.23,0)+IF(AND(V1454&lt;20,W1454&gt;=105),0.17,0)+IF(AND(V1454&gt;=20,V1454&lt;40,W1454&lt;45),0.3,0)+IF(AND(V1454&gt;=20,V1454&lt;40,W1454&gt;=45,W1454&lt;95),0.23,0)+IF(AND(V1454&gt;=20,V1454&lt;40,W1454&gt;=95),0.17,0)+IF(AND(V1454&gt;=40,V1454&lt;75,W1454&lt;35),0.3,0)+IF(AND(V1454&gt;=40,V1454&lt;75,W1454&gt;=35,W1454&lt;75),0.23,0)+IF(AND(V1454&gt;=40,V1454&lt;75,W1454&gt;=75,W1454&lt;120),0.17,0)+IF(AND(V1454&gt;=40,V1454&lt;75,W1454&gt;=120),0.12,0)+IF(AND(V1454&gt;=75,V1454&lt;175,W1454&lt;35),0.3,0)+IF(AND(V1454&gt;=75,V1454&lt;=175,W1454&gt;=35,W1454&lt;65),0.23,0)+IF(AND(V1454&gt;=75,V1454&lt;=175,W1454&gt;=65,W1454&lt;110),0.17,0)+IF(AND(V1454&gt;=75,V1454&lt;=175,W1454&gt;=110),0.12,0)+IF(AND(V1454&gt;175,W1454&lt;25),0.3,0)+IF(AND(V1454&gt;175,W1454&gt;=25,W1454&lt;55),0.23,0)+IF(AND(V1454&gt;175,W1454&gt;=55,W1454&lt;95),0.17,0)+IF(AND(V1454&gt;175,W1454&gt;=95),0.12,0),
IF(AF1454="Fix15",0.15,
IF(AF1454="Fix5",0.05,
IF(AF1454="Fix18.75",0.1875,
IF(AF1454="Fix11.25",0.1125,
IF(AF1454="Fix10",0.1,
IF(AF1454="Fix9",0.09,
IF(AF1454="Fix12",0.12,
IF(AF1454="Fix19",0.19,
IF(AF1454="DoEV2017",IF(AND(W1454&lt;74),0.2,0)+IF(AND(W1454&gt;=74),0.17,0),
IF(AF1454="SF",IF(AND(V1454&lt;20,W1454&lt;89),0.3,0)+IF(AND(V1454&lt;20,W1454&gt;=89),0.25,0)+IF(AND(V1454&gt;=20,V1454&lt;40,W1454&lt;74),0.3,0)+IF(AND(V1454&gt;=20,V1454&lt;40,W1454&gt;=75),0.22,0)+IF(AND(V1454&gt;=40,V1454&lt;75,W1454&lt;75),0.26,0)+IF(AND(V1454&gt;=40,V1454&lt;75,W1454&gt;=75),0.22,0)+IF(V1454&gt;=75,0.22,0),
IF(AF1454="DoEVold",IF(AND(V1454&lt;40,W1454&lt;35),0.35,0)+IF(AND(V1454&lt;40,W1454&gt;=35,W1454&lt;75),0.25,0)+IF(AND(V1454&lt;40,W1454&gt;=75),0.17,0)+IF(AND(V1454&gt;=40,V1454&lt;75,W1454&lt;25),0.35,0)+IF(AND(V1454&gt;=40,V1454&lt;75,W1454&gt;=25,W1454&lt;65),0.25,0)+IF(AND(V1454&gt;=40,V1454&lt;75,W1454&gt;=65,W1454&lt;100),0.17,0)+IF(AND(V1454&gt;=40,V1454&lt;75,W1454&gt;=100),0.1,0)+IF(AND(V1454&gt;=75,W1454&lt;25),0.35,0)+IF(AND(V1454&gt;=75,W1454&gt;=25,W1454&lt;60),0.25,0)+IF(AND(V1454&gt;=75,W1454&gt;=60,W1454&lt;95),0.17,0)+IF(AND(V1454&gt;=75,W1454&gt;=95),0.1,0),
IF(AF1454="DoEVold15",IF(AND(V1454&lt;=40,W1454&lt;35),0.35,0)+IF(AND(V1454&lt;=40,W1454&gt;=35,W1454&lt;75),0.25,0)+IF(AND(V1454&lt;=40,W1454&gt;=75,W1454&lt;120),0.17,0)+IF(AND(V1454&lt;=40,W1454&gt;=120),0.15,0)+IF(AND(V1454&gt;40,V1454&lt;75,W1454&lt;25),0.35,0)+IF(AND(V1454&gt;=40,V1454&lt;75,W1454&gt;=25,W1454&lt;65),0.25,0)+IF(AND(V1454&gt;=40,V1454&lt;75,W1454&gt;=65,W1454&lt;100),0.17,0)+IF(AND(V1454&gt;=40,V1454&lt;75,W1454&gt;=100),0.1,0)+IF(AND(V1454&gt;=75,W1454&lt;25),0.35,0)+IF(AND(V1454&gt;=75,W1454&gt;=25,W1454&lt;60),0.25,0)+IF(AND(V1454&gt;=75,W1454&gt;=60,W1454&lt;95),0.17,0)+IF(AND(V1454&gt;=75,W1454&gt;=95),0.1,0),
IF(AF1454="DoEVba",IF(AND(V1454&lt;20,W1454&lt;105),0.2,0)+IF(AND(V1454&lt;20,W1454&gt;=105),0.15,0)+IF(AND(V1454&gt;=20,V1454&lt;40,W1454&lt;95),0.2,0)+IF(AND(V1454&gt;=20,V1454&lt;40,W1454&gt;=95,W1454&lt;150),0.15,0)+IF(AND(V1454&gt;=20,V1454&lt;40,W1454&gt;=150),0.12,0)+IF(AND(V1454&gt;=40,V1454&lt;75,W1454&lt;75),0.2,0)+IF(AND(V1454&gt;=40,V1454&lt;75,W1454&gt;=75,W1454&lt;120),0.15,0)+IF(AND(V1454&gt;=40,V1454&lt;75,W1454&gt;=120),0.12,0)+IF(AND(V1454&gt;=75,V1454&lt;175,W1454&lt;65),0.2,0)+IF(AND(V1454&gt;=75,V1454&lt;175,W1454&gt;=65,W1454&lt;110),0.15,0)+IF(AND(V1454&gt;=75,V1454&lt;175,W1454&gt;=110),0.12,0)+IF(AND(V1454&gt;=175,W1454&lt;55),0.2,0)+IF(AND(V1454&gt;=175,W1454&gt;=55,W1454&lt;95),0.15,0)+IF(AND(V1454&gt;=175,W1454&gt;=95),0.12,0),
IF(AF1454="DoEVku",IF(AND(V1454&lt;20,W1454&lt;55),0.23,0)+IF(AND(V1454&lt;20,W1454&gt;=55,W1454&lt;105),0.2,0)+IF(AND(V1454&lt;20,W1454&gt;=105),0.17,0)+IF(AND(V1454&gt;=20,V1454&lt;40,W1454&lt;45),0.23,0)+IF(AND(V1454&gt;=20,V1454&lt;40,W1454&gt;=45,W1454&lt;95),0.2,0)+IF(AND(V1454&gt;=20,V1454&lt;40,W1454&gt;=95,W1454&lt;=150),0.17,0)+IF(AND(V1454&gt;=20,V1454&lt;40,W1454&gt;=150),0.12,0)+IF(AND(V1454&gt;=40,V1454&lt;75,W1454&lt;35),0.23,0)+IF(AND(V1454&gt;=40,V1454&lt;75,W1454&gt;=35,W1454&lt;75),0.2,0)+IF(AND(V1454&gt;=40,V1454&lt;75,W1454&gt;=75,W1454&lt;120),0.17,0)+IF(AND(V1454&gt;=40,V1454&lt;75,W1454&gt;=120),0.12,0)+IF(AND(V1454&gt;=75,V1454&lt;175,W1454&lt;35),0.23,0)+IF(AND(V1454&gt;=75,V1454&lt;=175,W1454&gt;=35,W1454&lt;65),0.2,0)+IF(AND(V1454&gt;=75,V1454&lt;=175,W1454&gt;=65,W1454&lt;110),0.17,0)+IF(AND(V1454&gt;=75,V1454&lt;=175,W1454&gt;=110),0.12,0)+IF(AND(V1454&gt;175,W1454&lt;25),0.23,0)+IF(AND(V1454&gt;175,W1454&gt;=25,W1454&lt;55),0.2,0)+IF(AND(V1454&gt;175,W1454&gt;=55,W1454&lt;95),0.17,0)+IF(AND(V1454&gt;175,W1454&gt;=95),0.12,0),
IF(AF1454="DoEVs1",IF(AND(V1454&lt;20,W1454&lt;55),0.3,0)+IF(AND(V1454&lt;20,W1454&gt;=55,W1454&lt;105),0.23,0)+IF(AND(V1454&lt;20,W1454&gt;=105),0.17,0)+IF(AND(V1454&gt;=20,V1454&lt;40,W1454&lt;45),0.3,0)+IF(AND(V1454&gt;=20,V1454&lt;40,W1454&gt;=45,W1454&lt;95),0.23,0)+IF(AND(V1454&gt;=20,V1454&lt;40,W1454&gt;=95,W1454&lt;=150),0.17,0)+IF(AND(V1454&gt;=20,V1454&lt;40,W1454&gt;=150),0.12,0)+IF(AND(V1454&gt;=40,V1454&lt;75,W1454&lt;35),0.3,0)+IF(AND(V1454&gt;=40,V1454&lt;75,W1454&gt;=35,W1454&lt;75),0.23,0)+IF(AND(V1454&gt;=40,V1454&lt;75,W1454&gt;=75,W1454&lt;120),0.17,0)+IF(AND(V1454&gt;=40,V1454&lt;75,W1454&gt;=120),0.12,0)+IF(AND(V1454&gt;=75,V1454&lt;175,W1454&lt;35),0.3,0)+IF(AND(V1454&gt;=75,V1454&lt;=175,W1454&gt;=35,W1454&lt;65),0.23,0)+IF(AND(V1454&gt;=75,V1454&lt;=175,W1454&gt;=65,W1454&lt;110),0.17,0)+IF(AND(V1454&gt;=75,V1454&lt;=175,W1454&gt;=110),0.12,0)+IF(AND(V1454&gt;175,W1454&lt;25),0.3,0)+IF(AND(V1454&gt;175,W1454&gt;=25,W1454&lt;55),0.23,0)+IF(AND(V1454&gt;175,W1454&gt;=55,W1454&lt;95),0.17,0)+IF(AND(V1454&gt;175,W1454&gt;=95),0.12,0),
IF(AF1454="DoEVsu",IF(AND(V1454&lt;20,W1454&lt;55),0.3,0)+IF(AND(V1454&lt;20,W1454&gt;=55,W1454&lt;105),0.23,0)+IF(AND(V1454&lt;20,W1454&gt;=105),0.17,0)+IF(AND(V1454&gt;=20,V1454&lt;40,W1454&lt;45),0.3,0)+IF(AND(V1454&gt;=20,V1454&lt;40,W1454&gt;=45,W1454&lt;95),0.23,0)+IF(AND(V1454&gt;=20,V1454&lt;40,W1454&gt;=95,W1454&lt;=250),0.17,0)+IF(AND(V1454&gt;=20,V1454&lt;40,W1454&gt;=250),0.12,0)+IF(AND(V1454&gt;=40,V1454&lt;75,W1454&lt;35),0.3,0)+IF(AND(V1454&gt;=40,V1454&lt;75,W1454&gt;=35,W1454&lt;75),0.23,0)+IF(AND(V1454&gt;=40,V1454&lt;75,W1454&gt;=75,W1454&lt;120),0.17,0)+IF(AND(V1454&gt;=40,V1454&lt;75,W1454&gt;=120),0.12,0)+IF(AND(V1454&gt;=75,V1454&lt;175,W1454&lt;35),0.3,0)+IF(AND(V1454&gt;=75,V1454&lt;=175,W1454&gt;=35,W1454&lt;65),0.23,0)+IF(AND(V1454&gt;=75,V1454&lt;=175,W1454&gt;=65,W1454&lt;110),0.17,0)+IF(AND(V1454&gt;=75,V1454&lt;=175,W1454&gt;=110),0.12,0)+IF(AND(V1454&gt;175,W1454&lt;25),0.3,0)+IF(AND(V1454&gt;175,W1454&gt;=25,W1454&lt;55),0.23,0)+IF(AND(V1454&gt;175,W1454&gt;=55,W1454&lt;95),0.17,0)+IF(AND(V1454&gt;175,W1454&gt;=95),0.12,0),
IF(AF1454="DoEVni",IF(AND(V1454&lt;20,W1454&lt;55),0.3,0)+IF(AND(V1454&lt;20,W1454&gt;=55,W1454&lt;105),0.23,0)+IF(AND(V1454&lt;20,W1454&gt;=105),0.17,0)+IF(AND(V1454&gt;=20,V1454&lt;40,W1454&lt;45),0.3,0)+IF(AND(V1454&gt;=20,V1454&lt;40,W1454&gt;=45,W1454&lt;95),0.23,0)+IF(AND(V1454&gt;=20,V1454&lt;40,W1454&gt;=95,W1454&lt;=200),0.17,0)+IF(AND(V1454&gt;=20,V1454&lt;40,W1454&gt;=200),0.12,0)+IF(AND(V1454&gt;=40,V1454&lt;75,W1454&lt;35),0.3,0)+IF(AND(V1454&gt;=40,V1454&lt;75,W1454&gt;=35,W1454&lt;75),0.23,0)+IF(AND(V1454&gt;=40,V1454&lt;75,W1454&gt;=75,W1454&lt;120),0.17,0)+IF(AND(V1454&gt;=40,V1454&lt;75,W1454&gt;=120),0.12,0)+IF(AND(V1454&gt;=75,V1454&lt;175,W1454&lt;35),0.3,0)+IF(AND(V1454&gt;=75,V1454&lt;=175,W1454&gt;=35,W1454&lt;65),0.23,0)+IF(AND(V1454&gt;=75,V1454&lt;=175,W1454&gt;=65,W1454&lt;110),0.17,0)+IF(AND(V1454&gt;=75,V1454&lt;=175,W1454&gt;=110),0.12,0)+IF(AND(V1454&gt;175,W1454&lt;25),0.3,0)+IF(AND(V1454&gt;175,W1454&gt;=25,W1454&lt;55),0.23,0)+IF(AND(V1454&gt;175,W1454&gt;=55,W1454&lt;95),0.17,0)+IF(AND(V1454&gt;175,W1454&gt;=95),0.12,0),
IF(AF1454="DoEVLo",IF(AND(V1454&lt;20,W1454&lt;55),0.25,0)+IF(AND(V1454&lt;20,W1454&gt;=55,W1454&lt;105),0.2,0)+IF(AND(V1454&lt;20,W1454&gt;=105),0.15,0)+IF(AND(V1454&gt;=20,V1454&lt;40,W1454&lt;45),0.25,0)+IF(AND(V1454&gt;=20,V1454&lt;40,W1454&gt;=45,W1454&lt;95),0.2,0)+IF(AND(V1454&gt;=20,V1454&lt;40,W1454&gt;=95),0.15,0)+IF(AND(V1454&gt;=40,V1454&lt;75,W1454&lt;35),0.25,0)+IF(AND(V1454&gt;=40,V1454&lt;75,W1454&gt;=35,W1454&lt;75),0.2,0)+IF(AND(V1454&gt;=40,V1454&lt;75,W1454&gt;=75,W1454&lt;120),0.15,0)+IF(AND(V1454&gt;=40,V1454&lt;75,W1454&gt;=120),0.1,0)+IF(AND(V1454&gt;=75,V1454&lt;175,W1454&lt;35),0.25,0)+IF(AND(V1454&gt;=75,V1454&lt;=175,W1454&gt;=35,W1454&lt;65),0.2,0)+IF(AND(V1454&gt;=75,V1454&lt;=175,W1454&gt;=65,W1454&lt;110),0.15,0)+IF(AND(V1454&gt;=75,V1454&lt;=175,W1454&gt;=110),0.1,0)+IF(AND(V1454&gt;175,W1454&lt;25),0.25,0)+IF(AND(V1454&gt;175,W1454&gt;=25,W1454&lt;55),0.2,0)+IF(AND(V1454&gt;175,W1454&gt;=55,W1454&lt;95),0.15,0)+IF(AND(V1454&gt;175,W1454&gt;=95),0.1,0))))))))))))))))))))</f>
        <v>0.25</v>
      </c>
      <c r="Y1454" s="30">
        <f>IF(AG1454="None",0,IF(AG1454="Fix5",0.05, IF(AG1454="Fix6.25",0.0625,IF(AG1454="Fix3.75",0.0375, IF(AG1454="Fix11",0.11, IF(AG1454="Fix10",0.1,IF(AG1454="Fix3",0.03,0)))))))</f>
        <v>0</v>
      </c>
      <c r="Z1454" s="35">
        <f>IF(AND(AD1454="EUR", AE1454 = "USD"), T1454*U1454-AA1454-AB1454, T1454-AA1454-AB1454)</f>
        <v>1666.3949999999998</v>
      </c>
      <c r="AA1454" s="29">
        <f>IF(AND(AD1454="EUR", F1454="Without EV deal", AE1454="USD"), (T1454*X1454)*U1454,
IF(AND(AD1454="EUR", F1454="Without EV deal", AE1454="EUR"), (T1454*X1454),
IF(AND(AD1454="EUR",AE1454="USD"), (T1454*X1454)*U1454,
T1454*X1454)))</f>
        <v>555.46499999999992</v>
      </c>
      <c r="AB1454" s="36">
        <f>IF(AND(AD1454="EUR", F1454="Without EV deal", AE1454="USD"), (T1454*Y1454)*U1454,
IF(AND(AD1454="EUR", F1454="Without EV deal", AE1454="EUR"), (T1454*Y1454),
IF(AND(AD1454="EUR",AE1454="USD"), (T1454*Y1454)*U1454,
T1454*Y1454)))</f>
        <v>0</v>
      </c>
      <c r="AC1454" s="37" t="b">
        <v>1</v>
      </c>
      <c r="AD1454" s="82" t="str">
        <f>IF(OR(H1454="€0.25 Flash",
H1454="€0.25(nitro) new",
H1454="€1",
H1454="€2",
H1454="€2 (bf 01.08)",
H1454="€5",
H1454="€5 (1M)",
H1454="€5 (bf 01.08)",
H1454="€5 (bf 05.05)",
H1454="€5 Nitro",
H1454="€5(wx) new",
H1454="€10",
H1454="€10 (1M)",
H1454="€10 (bf 01.08)",
H1454="€10 (bf 05.05)",
H1454="€10 (MP)",
H1454="€10 (old)",
H1454="€10 Nitro (bf 05.05)",
H1454="€10 Nitro (old)",
H1454="€10(wx) new",
H1454="€20",
H1454="€25",
H1454="€25 (bf 01.08)",
H1454="€25 (bf 05.05)",
H1454="€25 (MP)",
H1454="€25 (old)",
H1454="€25 Nitro",
H1454="€25 Nitro (bf 01.08)",
H1454="€25 Nitro (bf 05.05)",
H1454="€25(nitro) new",
H1454="€25(wx) new",
H1454="€50",
H1454="€50 (bf 01.08)",
H1454="€50 (bf 05.05)",
H1454="€50 (old)",
H1454="€50 Nitro",
H1454="€50 Nitro (bf 01.08)",
H1454="€50 Nitro (bf 05.05)",
H1454="€50(wx) new",
H1454="€100",
H1454="€100 (old)",
H1454="€100 Nitro",
H1454="€100 Nitro (old)",
H1454="€200",
H1454="€250",
H1454="€250 Nitro",
H1454="€500",
H1454="€500 Nitro"),"EUR", "USD")</f>
        <v>USD</v>
      </c>
      <c r="AE1454" s="83" t="s">
        <v>38</v>
      </c>
      <c r="AF1454" s="83" t="str">
        <f t="array" ref="AF1454">INDEX('Deal Info'!D:D, MATCH(A1454,'Deal Info'!A:A, 0))</f>
        <v>SF</v>
      </c>
      <c r="AG1454" s="84" t="str">
        <f t="array" ref="AG1454">INDEX('Deal Info'!G:G, MATCH(A1454,'Deal Info'!A:A, 0))</f>
        <v>None</v>
      </c>
    </row>
    <row r="1455" spans="1:33" ht="14.25" hidden="1" x14ac:dyDescent="0.2">
      <c r="A1455" s="18" t="str">
        <f t="array" ref="A1455">IF(G1455='Room Info'!$B$1, INDEX('Room Info'!$A$2:$A2446, MATCH(B1455,'Room Info'!$B$2:$B2446, 0)),IF(G1455='Room Info'!$C$1, INDEX('Room Info'!$A$2:$A2446, MATCH(B1455,'Room Info'!$C$2:$C2446, 0)),IF(G1455='Room Info'!$D$1, INDEX('Room Info'!$A$2:$A2446, MATCH(B1455,'Room Info'!$D$2:$D2446, 0)),IF(G1455='Room Info'!$E$1, INDEX('Room Info'!$A$2:$A2446, MATCH(B1455,'Room Info'!$E$2:$E2446, 0)),IF(G1455='Room Info'!$F$1, INDEX('Room Info'!$A$2:$A2446, MATCH(B1455,'Room Info'!$F$2:$F2446, 0)),IF(G1455='Room Info'!$H$1, INDEX('Room Info'!$A$2:$A2446, MATCH(B1455,'Room Info'!$H$2:$H2446, 0)),IF(G1455='Room Info'!$G$1, INDEX('Room Info'!$A$2:$A2446, MATCH(B1455,'Room Info'!$G$2:$G2446, 0)))))))))</f>
        <v>Mandr1990</v>
      </c>
      <c r="B1455" s="85" t="s">
        <v>187</v>
      </c>
      <c r="C1455" s="86">
        <v>44947</v>
      </c>
      <c r="D1455" s="87">
        <v>44977</v>
      </c>
      <c r="E1455" s="21">
        <v>44958</v>
      </c>
      <c r="F1455" s="22" t="s">
        <v>34</v>
      </c>
      <c r="G1455" s="85" t="s">
        <v>80</v>
      </c>
      <c r="H1455" s="23" t="s">
        <v>70</v>
      </c>
      <c r="I1455" s="23" t="s">
        <v>81</v>
      </c>
      <c r="J1455" s="39">
        <v>100</v>
      </c>
      <c r="K1455" s="88">
        <v>1197</v>
      </c>
      <c r="L1455" s="89">
        <v>-12300</v>
      </c>
      <c r="M1455" s="102">
        <f>14061.41+250</f>
        <v>14311.41</v>
      </c>
      <c r="N1455" s="28">
        <f>K1455*J1455</f>
        <v>119700</v>
      </c>
      <c r="O1455" s="85">
        <v>9921</v>
      </c>
      <c r="P1455" s="29">
        <v>8.2882205510000002</v>
      </c>
      <c r="Q1455" s="30"/>
      <c r="R1455" s="31">
        <f>M1455+Q1455</f>
        <v>14311.41</v>
      </c>
      <c r="S1455" s="119">
        <v>-8141</v>
      </c>
      <c r="T1455" s="32">
        <f>IF(AND(AD1455="EUR", F1455="Without EV deal"), R1455 + L1455,
IF(AND(AD1455="USD", F1455="Without EV deal"), R1455 + L1455,
IF(AND(AD1455="EUR", F1455="Steel Phoenix"), R1455 + S1455/U1455,
R1455 + S1455)))</f>
        <v>6170.41</v>
      </c>
      <c r="U1455" s="33">
        <v>1.0669999999999999</v>
      </c>
      <c r="V1455" s="34"/>
      <c r="W1455" s="34"/>
      <c r="X1455" s="30">
        <f>IF(AF1455="DoEV",IF(AND(V1455&lt;20,W1455&lt;55),0.3,0)+IF(AND(V1455&lt;20,W1455&gt;=55,W1455&lt;105),0.23,0)+IF(AND(V1455&lt;20,W1455&gt;=105),0.17,0)+IF(AND(V1455&gt;=20,V1455&lt;40,W1455&lt;45),0.3,0)+IF(AND(V1455&gt;=20,V1455&lt;40,W1455&gt;=45,W1455&lt;95),0.23,0)+IF(AND(V1455&gt;=20,V1455&lt;40,W1455&gt;=95),0.17,0)+IF(AND(V1455&gt;=40,V1455&lt;75,W1455&lt;35),0.3,0)+IF(AND(V1455&gt;=40,V1455&lt;75,W1455&gt;=35,W1455&lt;75),0.23,0)+IF(AND(V1455&gt;=40,V1455&lt;75,W1455&gt;=75,W1455&lt;120),0.17,0)+IF(AND(V1455&gt;=40,V1455&lt;75,W1455&gt;=120),0.12,0)+IF(AND(V1455&gt;=75,V1455&lt;175,W1455&lt;35),0.3,0)+IF(AND(V1455&gt;=75,V1455&lt;=175,W1455&gt;=35,W1455&lt;65),0.23,0)+IF(AND(V1455&gt;=75,V1455&lt;=175,W1455&gt;=65,W1455&lt;110),0.17,0)+IF(AND(V1455&gt;=75,V1455&lt;=175,W1455&gt;=110),0.12,0)+IF(AND(V1455&gt;175,W1455&lt;25),0.3,0)+IF(AND(V1455&gt;175,W1455&gt;=25,W1455&lt;55),0.23,0)+IF(AND(V1455&gt;175,W1455&gt;=55,W1455&lt;95),0.17,0)+IF(AND(V1455&gt;175,W1455&gt;=95),0.12,0),
IF(AF1455="Fix15",0.15,
IF(AF1455="Fix5",0.05,
IF(AF1455="Fix18.75",0.1875,
IF(AF1455="Fix11.25",0.1125,
IF(AF1455="Fix10",0.1,
IF(AF1455="Fix9",0.09,
IF(AF1455="Fix12",0.12,
IF(AF1455="Fix19",0.19,
IF(AF1455="DoEV2017",IF(AND(W1455&lt;74),0.2,0)+IF(AND(W1455&gt;=74),0.17,0),
IF(AF1455="SF",IF(AND(V1455&lt;20,W1455&lt;89),0.3,0)+IF(AND(V1455&lt;20,W1455&gt;=89),0.25,0)+IF(AND(V1455&gt;=20,V1455&lt;40,W1455&lt;74),0.3,0)+IF(AND(V1455&gt;=20,V1455&lt;40,W1455&gt;=75),0.22,0)+IF(AND(V1455&gt;=40,V1455&lt;75,W1455&lt;75),0.26,0)+IF(AND(V1455&gt;=40,V1455&lt;75,W1455&gt;=75),0.22,0)+IF(V1455&gt;=75,0.22,0),
IF(AF1455="DoEVold",IF(AND(V1455&lt;40,W1455&lt;35),0.35,0)+IF(AND(V1455&lt;40,W1455&gt;=35,W1455&lt;75),0.25,0)+IF(AND(V1455&lt;40,W1455&gt;=75),0.17,0)+IF(AND(V1455&gt;=40,V1455&lt;75,W1455&lt;25),0.35,0)+IF(AND(V1455&gt;=40,V1455&lt;75,W1455&gt;=25,W1455&lt;65),0.25,0)+IF(AND(V1455&gt;=40,V1455&lt;75,W1455&gt;=65,W1455&lt;100),0.17,0)+IF(AND(V1455&gt;=40,V1455&lt;75,W1455&gt;=100),0.1,0)+IF(AND(V1455&gt;=75,W1455&lt;25),0.35,0)+IF(AND(V1455&gt;=75,W1455&gt;=25,W1455&lt;60),0.25,0)+IF(AND(V1455&gt;=75,W1455&gt;=60,W1455&lt;95),0.17,0)+IF(AND(V1455&gt;=75,W1455&gt;=95),0.1,0),
IF(AF1455="DoEVold15",IF(AND(V1455&lt;=40,W1455&lt;35),0.35,0)+IF(AND(V1455&lt;=40,W1455&gt;=35,W1455&lt;75),0.25,0)+IF(AND(V1455&lt;=40,W1455&gt;=75,W1455&lt;120),0.17,0)+IF(AND(V1455&lt;=40,W1455&gt;=120),0.15,0)+IF(AND(V1455&gt;40,V1455&lt;75,W1455&lt;25),0.35,0)+IF(AND(V1455&gt;=40,V1455&lt;75,W1455&gt;=25,W1455&lt;65),0.25,0)+IF(AND(V1455&gt;=40,V1455&lt;75,W1455&gt;=65,W1455&lt;100),0.17,0)+IF(AND(V1455&gt;=40,V1455&lt;75,W1455&gt;=100),0.1,0)+IF(AND(V1455&gt;=75,W1455&lt;25),0.35,0)+IF(AND(V1455&gt;=75,W1455&gt;=25,W1455&lt;60),0.25,0)+IF(AND(V1455&gt;=75,W1455&gt;=60,W1455&lt;95),0.17,0)+IF(AND(V1455&gt;=75,W1455&gt;=95),0.1,0),
IF(AF1455="DoEVba",IF(AND(V1455&lt;20,W1455&lt;105),0.2,0)+IF(AND(V1455&lt;20,W1455&gt;=105),0.15,0)+IF(AND(V1455&gt;=20,V1455&lt;40,W1455&lt;95),0.2,0)+IF(AND(V1455&gt;=20,V1455&lt;40,W1455&gt;=95,W1455&lt;150),0.15,0)+IF(AND(V1455&gt;=20,V1455&lt;40,W1455&gt;=150),0.12,0)+IF(AND(V1455&gt;=40,V1455&lt;75,W1455&lt;75),0.2,0)+IF(AND(V1455&gt;=40,V1455&lt;75,W1455&gt;=75,W1455&lt;120),0.15,0)+IF(AND(V1455&gt;=40,V1455&lt;75,W1455&gt;=120),0.12,0)+IF(AND(V1455&gt;=75,V1455&lt;175,W1455&lt;65),0.2,0)+IF(AND(V1455&gt;=75,V1455&lt;175,W1455&gt;=65,W1455&lt;110),0.15,0)+IF(AND(V1455&gt;=75,V1455&lt;175,W1455&gt;=110),0.12,0)+IF(AND(V1455&gt;=175,W1455&lt;55),0.2,0)+IF(AND(V1455&gt;=175,W1455&gt;=55,W1455&lt;95),0.15,0)+IF(AND(V1455&gt;=175,W1455&gt;=95),0.12,0),
IF(AF1455="DoEVku",IF(AND(V1455&lt;20,W1455&lt;55),0.23,0)+IF(AND(V1455&lt;20,W1455&gt;=55,W1455&lt;105),0.2,0)+IF(AND(V1455&lt;20,W1455&gt;=105),0.17,0)+IF(AND(V1455&gt;=20,V1455&lt;40,W1455&lt;45),0.23,0)+IF(AND(V1455&gt;=20,V1455&lt;40,W1455&gt;=45,W1455&lt;95),0.2,0)+IF(AND(V1455&gt;=20,V1455&lt;40,W1455&gt;=95,W1455&lt;=150),0.17,0)+IF(AND(V1455&gt;=20,V1455&lt;40,W1455&gt;=150),0.12,0)+IF(AND(V1455&gt;=40,V1455&lt;75,W1455&lt;35),0.23,0)+IF(AND(V1455&gt;=40,V1455&lt;75,W1455&gt;=35,W1455&lt;75),0.2,0)+IF(AND(V1455&gt;=40,V1455&lt;75,W1455&gt;=75,W1455&lt;120),0.17,0)+IF(AND(V1455&gt;=40,V1455&lt;75,W1455&gt;=120),0.12,0)+IF(AND(V1455&gt;=75,V1455&lt;175,W1455&lt;35),0.23,0)+IF(AND(V1455&gt;=75,V1455&lt;=175,W1455&gt;=35,W1455&lt;65),0.2,0)+IF(AND(V1455&gt;=75,V1455&lt;=175,W1455&gt;=65,W1455&lt;110),0.17,0)+IF(AND(V1455&gt;=75,V1455&lt;=175,W1455&gt;=110),0.12,0)+IF(AND(V1455&gt;175,W1455&lt;25),0.23,0)+IF(AND(V1455&gt;175,W1455&gt;=25,W1455&lt;55),0.2,0)+IF(AND(V1455&gt;175,W1455&gt;=55,W1455&lt;95),0.17,0)+IF(AND(V1455&gt;175,W1455&gt;=95),0.12,0),
IF(AF1455="DoEVs1",IF(AND(V1455&lt;20,W1455&lt;55),0.3,0)+IF(AND(V1455&lt;20,W1455&gt;=55,W1455&lt;105),0.23,0)+IF(AND(V1455&lt;20,W1455&gt;=105),0.17,0)+IF(AND(V1455&gt;=20,V1455&lt;40,W1455&lt;45),0.3,0)+IF(AND(V1455&gt;=20,V1455&lt;40,W1455&gt;=45,W1455&lt;95),0.23,0)+IF(AND(V1455&gt;=20,V1455&lt;40,W1455&gt;=95,W1455&lt;=150),0.17,0)+IF(AND(V1455&gt;=20,V1455&lt;40,W1455&gt;=150),0.12,0)+IF(AND(V1455&gt;=40,V1455&lt;75,W1455&lt;35),0.3,0)+IF(AND(V1455&gt;=40,V1455&lt;75,W1455&gt;=35,W1455&lt;75),0.23,0)+IF(AND(V1455&gt;=40,V1455&lt;75,W1455&gt;=75,W1455&lt;120),0.17,0)+IF(AND(V1455&gt;=40,V1455&lt;75,W1455&gt;=120),0.12,0)+IF(AND(V1455&gt;=75,V1455&lt;175,W1455&lt;35),0.3,0)+IF(AND(V1455&gt;=75,V1455&lt;=175,W1455&gt;=35,W1455&lt;65),0.23,0)+IF(AND(V1455&gt;=75,V1455&lt;=175,W1455&gt;=65,W1455&lt;110),0.17,0)+IF(AND(V1455&gt;=75,V1455&lt;=175,W1455&gt;=110),0.12,0)+IF(AND(V1455&gt;175,W1455&lt;25),0.3,0)+IF(AND(V1455&gt;175,W1455&gt;=25,W1455&lt;55),0.23,0)+IF(AND(V1455&gt;175,W1455&gt;=55,W1455&lt;95),0.17,0)+IF(AND(V1455&gt;175,W1455&gt;=95),0.12,0),
IF(AF1455="DoEVsu",IF(AND(V1455&lt;20,W1455&lt;55),0.3,0)+IF(AND(V1455&lt;20,W1455&gt;=55,W1455&lt;105),0.23,0)+IF(AND(V1455&lt;20,W1455&gt;=105),0.17,0)+IF(AND(V1455&gt;=20,V1455&lt;40,W1455&lt;45),0.3,0)+IF(AND(V1455&gt;=20,V1455&lt;40,W1455&gt;=45,W1455&lt;95),0.23,0)+IF(AND(V1455&gt;=20,V1455&lt;40,W1455&gt;=95,W1455&lt;=250),0.17,0)+IF(AND(V1455&gt;=20,V1455&lt;40,W1455&gt;=250),0.12,0)+IF(AND(V1455&gt;=40,V1455&lt;75,W1455&lt;35),0.3,0)+IF(AND(V1455&gt;=40,V1455&lt;75,W1455&gt;=35,W1455&lt;75),0.23,0)+IF(AND(V1455&gt;=40,V1455&lt;75,W1455&gt;=75,W1455&lt;120),0.17,0)+IF(AND(V1455&gt;=40,V1455&lt;75,W1455&gt;=120),0.12,0)+IF(AND(V1455&gt;=75,V1455&lt;175,W1455&lt;35),0.3,0)+IF(AND(V1455&gt;=75,V1455&lt;=175,W1455&gt;=35,W1455&lt;65),0.23,0)+IF(AND(V1455&gt;=75,V1455&lt;=175,W1455&gt;=65,W1455&lt;110),0.17,0)+IF(AND(V1455&gt;=75,V1455&lt;=175,W1455&gt;=110),0.12,0)+IF(AND(V1455&gt;175,W1455&lt;25),0.3,0)+IF(AND(V1455&gt;175,W1455&gt;=25,W1455&lt;55),0.23,0)+IF(AND(V1455&gt;175,W1455&gt;=55,W1455&lt;95),0.17,0)+IF(AND(V1455&gt;175,W1455&gt;=95),0.12,0),
IF(AF1455="DoEVni",IF(AND(V1455&lt;20,W1455&lt;55),0.3,0)+IF(AND(V1455&lt;20,W1455&gt;=55,W1455&lt;105),0.23,0)+IF(AND(V1455&lt;20,W1455&gt;=105),0.17,0)+IF(AND(V1455&gt;=20,V1455&lt;40,W1455&lt;45),0.3,0)+IF(AND(V1455&gt;=20,V1455&lt;40,W1455&gt;=45,W1455&lt;95),0.23,0)+IF(AND(V1455&gt;=20,V1455&lt;40,W1455&gt;=95,W1455&lt;=200),0.17,0)+IF(AND(V1455&gt;=20,V1455&lt;40,W1455&gt;=200),0.12,0)+IF(AND(V1455&gt;=40,V1455&lt;75,W1455&lt;35),0.3,0)+IF(AND(V1455&gt;=40,V1455&lt;75,W1455&gt;=35,W1455&lt;75),0.23,0)+IF(AND(V1455&gt;=40,V1455&lt;75,W1455&gt;=75,W1455&lt;120),0.17,0)+IF(AND(V1455&gt;=40,V1455&lt;75,W1455&gt;=120),0.12,0)+IF(AND(V1455&gt;=75,V1455&lt;175,W1455&lt;35),0.3,0)+IF(AND(V1455&gt;=75,V1455&lt;=175,W1455&gt;=35,W1455&lt;65),0.23,0)+IF(AND(V1455&gt;=75,V1455&lt;=175,W1455&gt;=65,W1455&lt;110),0.17,0)+IF(AND(V1455&gt;=75,V1455&lt;=175,W1455&gt;=110),0.12,0)+IF(AND(V1455&gt;175,W1455&lt;25),0.3,0)+IF(AND(V1455&gt;175,W1455&gt;=25,W1455&lt;55),0.23,0)+IF(AND(V1455&gt;175,W1455&gt;=55,W1455&lt;95),0.17,0)+IF(AND(V1455&gt;175,W1455&gt;=95),0.12,0),
IF(AF1455="DoEVLo",IF(AND(V1455&lt;20,W1455&lt;55),0.25,0)+IF(AND(V1455&lt;20,W1455&gt;=55,W1455&lt;105),0.2,0)+IF(AND(V1455&lt;20,W1455&gt;=105),0.15,0)+IF(AND(V1455&gt;=20,V1455&lt;40,W1455&lt;45),0.25,0)+IF(AND(V1455&gt;=20,V1455&lt;40,W1455&gt;=45,W1455&lt;95),0.2,0)+IF(AND(V1455&gt;=20,V1455&lt;40,W1455&gt;=95),0.15,0)+IF(AND(V1455&gt;=40,V1455&lt;75,W1455&lt;35),0.25,0)+IF(AND(V1455&gt;=40,V1455&lt;75,W1455&gt;=35,W1455&lt;75),0.2,0)+IF(AND(V1455&gt;=40,V1455&lt;75,W1455&gt;=75,W1455&lt;120),0.15,0)+IF(AND(V1455&gt;=40,V1455&lt;75,W1455&gt;=120),0.1,0)+IF(AND(V1455&gt;=75,V1455&lt;175,W1455&lt;35),0.25,0)+IF(AND(V1455&gt;=75,V1455&lt;=175,W1455&gt;=35,W1455&lt;65),0.2,0)+IF(AND(V1455&gt;=75,V1455&lt;=175,W1455&gt;=65,W1455&lt;110),0.15,0)+IF(AND(V1455&gt;=75,V1455&lt;=175,W1455&gt;=110),0.1,0)+IF(AND(V1455&gt;175,W1455&lt;25),0.25,0)+IF(AND(V1455&gt;175,W1455&gt;=25,W1455&lt;55),0.2,0)+IF(AND(V1455&gt;175,W1455&gt;=55,W1455&lt;95),0.15,0)+IF(AND(V1455&gt;175,W1455&gt;=95),0.1,0))))))))))))))))))))</f>
        <v>0.09</v>
      </c>
      <c r="Y1455" s="30">
        <f>IF(AG1455="None",0,IF(AG1455="Fix5",0.05, IF(AG1455="Fix6.25",0.0625,IF(AG1455="Fix3.75",0.0375, IF(AG1455="Fix11",0.11, IF(AG1455="Fix10",0.1,IF(AG1455="Fix3",0.03,0)))))))</f>
        <v>0.03</v>
      </c>
      <c r="Z1455" s="35">
        <f>IF(AND(AD1455="EUR", AE1455 = "USD"), T1455*U1455-AA1455-AB1455, T1455-AA1455-AB1455)</f>
        <v>5429.9607999999998</v>
      </c>
      <c r="AA1455" s="29">
        <f>IF(AND(AD1455="EUR", F1455="Without EV deal", AE1455="USD"), (T1455*X1455)*U1455,
IF(AND(AD1455="EUR", F1455="Without EV deal", AE1455="EUR"), (T1455*X1455),
IF(AND(AD1455="EUR",AE1455="USD"), (T1455*X1455)*U1455,
T1455*X1455)))</f>
        <v>555.33690000000001</v>
      </c>
      <c r="AB1455" s="36">
        <f>IF(AND(AD1455="EUR", F1455="Without EV deal", AE1455="USD"), (T1455*Y1455)*U1455,
IF(AND(AD1455="EUR", F1455="Without EV deal", AE1455="EUR"), (T1455*Y1455),
IF(AND(AD1455="EUR",AE1455="USD"), (T1455*Y1455)*U1455,
T1455*Y1455)))</f>
        <v>185.11229999999998</v>
      </c>
      <c r="AC1455" s="37" t="b">
        <v>1</v>
      </c>
      <c r="AD1455" s="82" t="str">
        <f>IF(OR(H1455="€0.25 Flash",
H1455="€0.25(nitro) new",
H1455="€1",
H1455="€2",
H1455="€2 (bf 01.08)",
H1455="€5",
H1455="€5 (1M)",
H1455="€5 (bf 01.08)",
H1455="€5 (bf 05.05)",
H1455="€5 Nitro",
H1455="€5(wx) new",
H1455="€10",
H1455="€10 (1M)",
H1455="€10 (bf 01.08)",
H1455="€10 (bf 05.05)",
H1455="€10 (MP)",
H1455="€10 (old)",
H1455="€10 Nitro (bf 05.05)",
H1455="€10 Nitro (old)",
H1455="€10(wx) new",
H1455="€20",
H1455="€25",
H1455="€25 (bf 01.08)",
H1455="€25 (bf 05.05)",
H1455="€25 (MP)",
H1455="€25 (old)",
H1455="€25 Nitro",
H1455="€25 Nitro (bf 01.08)",
H1455="€25 Nitro (bf 05.05)",
H1455="€25(nitro) new",
H1455="€25(wx) new",
H1455="€50",
H1455="€50 (bf 01.08)",
H1455="€50 (bf 05.05)",
H1455="€50 (old)",
H1455="€50 Nitro",
H1455="€50 Nitro (bf 01.08)",
H1455="€50 Nitro (bf 05.05)",
H1455="€50(wx) new",
H1455="€100",
H1455="€100 (old)",
H1455="€100 Nitro",
H1455="€100 Nitro (old)",
H1455="€200",
H1455="€250",
H1455="€250 Nitro",
H1455="€500",
H1455="€500 Nitro"),"EUR", "USD")</f>
        <v>USD</v>
      </c>
      <c r="AE1455" s="83" t="s">
        <v>38</v>
      </c>
      <c r="AF1455" s="84" t="str">
        <f t="array" ref="AF1455">INDEX('Deal Info'!D:D, MATCH(A1455,'Deal Info'!A:A, 0))</f>
        <v>Fix9</v>
      </c>
      <c r="AG1455" s="84" t="str">
        <f t="array" ref="AG1455">INDEX('Deal Info'!G:G, MATCH(A1455,'Deal Info'!A:A, 0))</f>
        <v>Fix3</v>
      </c>
    </row>
    <row r="1456" spans="1:33" ht="14.25" hidden="1" x14ac:dyDescent="0.2">
      <c r="A1456" s="18" t="str">
        <f t="array" ref="A1456">IF(G1456='Room Info'!$B$1, INDEX('Room Info'!$A$2:$A2446, MATCH(B1456,'Room Info'!$B$2:$B2446, 0)),IF(G1456='Room Info'!$C$1, INDEX('Room Info'!$A$2:$A2446, MATCH(B1456,'Room Info'!$C$2:$C2446, 0)),IF(G1456='Room Info'!$D$1, INDEX('Room Info'!$A$2:$A2446, MATCH(B1456,'Room Info'!$D$2:$D2446, 0)),IF(G1456='Room Info'!$E$1, INDEX('Room Info'!$A$2:$A2446, MATCH(B1456,'Room Info'!$E$2:$E2446, 0)),IF(G1456='Room Info'!$F$1, INDEX('Room Info'!$A$2:$A2446, MATCH(B1456,'Room Info'!$F$2:$F2446, 0)),IF(G1456='Room Info'!$H$1, INDEX('Room Info'!$A$2:$A2446, MATCH(B1456,'Room Info'!$H$2:$H2446, 0)),IF(G1456='Room Info'!$G$1, INDEX('Room Info'!$A$2:$A2446, MATCH(B1456,'Room Info'!$G$2:$G2446, 0)))))))))</f>
        <v>Mandr1990</v>
      </c>
      <c r="B1456" s="85" t="s">
        <v>187</v>
      </c>
      <c r="C1456" s="86">
        <v>44947</v>
      </c>
      <c r="D1456" s="87">
        <v>44977</v>
      </c>
      <c r="E1456" s="21">
        <v>44958</v>
      </c>
      <c r="F1456" s="22" t="s">
        <v>34</v>
      </c>
      <c r="G1456" s="85" t="s">
        <v>80</v>
      </c>
      <c r="H1456" s="23" t="s">
        <v>153</v>
      </c>
      <c r="I1456" s="23" t="s">
        <v>81</v>
      </c>
      <c r="J1456" s="39">
        <v>200</v>
      </c>
      <c r="K1456" s="88">
        <v>555</v>
      </c>
      <c r="L1456" s="89">
        <v>2600</v>
      </c>
      <c r="M1456" s="102"/>
      <c r="N1456" s="28">
        <f>K1456*J1456</f>
        <v>111000</v>
      </c>
      <c r="O1456" s="85">
        <v>9859</v>
      </c>
      <c r="P1456" s="29">
        <v>17.763963960000002</v>
      </c>
      <c r="Q1456" s="30"/>
      <c r="R1456" s="31">
        <f>M1456+Q1456</f>
        <v>0</v>
      </c>
      <c r="S1456" s="28"/>
      <c r="T1456" s="32">
        <f>IF(AND(AD1456="EUR", F1456="Without EV deal"), R1456 + L1456,
IF(AND(AD1456="USD", F1456="Without EV deal"), R1456 + L1456,
IF(AND(AD1456="EUR", F1456="Steel Phoenix"), R1456 + S1456/U1456,
R1456 + S1456)))</f>
        <v>0</v>
      </c>
      <c r="U1456" s="33">
        <v>1.0669999999999999</v>
      </c>
      <c r="V1456" s="34"/>
      <c r="W1456" s="34"/>
      <c r="X1456" s="30">
        <f>IF(AF1456="DoEV",IF(AND(V1456&lt;20,W1456&lt;55),0.3,0)+IF(AND(V1456&lt;20,W1456&gt;=55,W1456&lt;105),0.23,0)+IF(AND(V1456&lt;20,W1456&gt;=105),0.17,0)+IF(AND(V1456&gt;=20,V1456&lt;40,W1456&lt;45),0.3,0)+IF(AND(V1456&gt;=20,V1456&lt;40,W1456&gt;=45,W1456&lt;95),0.23,0)+IF(AND(V1456&gt;=20,V1456&lt;40,W1456&gt;=95),0.17,0)+IF(AND(V1456&gt;=40,V1456&lt;75,W1456&lt;35),0.3,0)+IF(AND(V1456&gt;=40,V1456&lt;75,W1456&gt;=35,W1456&lt;75),0.23,0)+IF(AND(V1456&gt;=40,V1456&lt;75,W1456&gt;=75,W1456&lt;120),0.17,0)+IF(AND(V1456&gt;=40,V1456&lt;75,W1456&gt;=120),0.12,0)+IF(AND(V1456&gt;=75,V1456&lt;175,W1456&lt;35),0.3,0)+IF(AND(V1456&gt;=75,V1456&lt;=175,W1456&gt;=35,W1456&lt;65),0.23,0)+IF(AND(V1456&gt;=75,V1456&lt;=175,W1456&gt;=65,W1456&lt;110),0.17,0)+IF(AND(V1456&gt;=75,V1456&lt;=175,W1456&gt;=110),0.12,0)+IF(AND(V1456&gt;175,W1456&lt;25),0.3,0)+IF(AND(V1456&gt;175,W1456&gt;=25,W1456&lt;55),0.23,0)+IF(AND(V1456&gt;175,W1456&gt;=55,W1456&lt;95),0.17,0)+IF(AND(V1456&gt;175,W1456&gt;=95),0.12,0),
IF(AF1456="Fix15",0.15,
IF(AF1456="Fix5",0.05,
IF(AF1456="Fix18.75",0.1875,
IF(AF1456="Fix11.25",0.1125,
IF(AF1456="Fix10",0.1,
IF(AF1456="Fix9",0.09,
IF(AF1456="Fix12",0.12,
IF(AF1456="Fix19",0.19,
IF(AF1456="DoEV2017",IF(AND(W1456&lt;74),0.2,0)+IF(AND(W1456&gt;=74),0.17,0),
IF(AF1456="SF",IF(AND(V1456&lt;20,W1456&lt;89),0.3,0)+IF(AND(V1456&lt;20,W1456&gt;=89),0.25,0)+IF(AND(V1456&gt;=20,V1456&lt;40,W1456&lt;74),0.3,0)+IF(AND(V1456&gt;=20,V1456&lt;40,W1456&gt;=75),0.22,0)+IF(AND(V1456&gt;=40,V1456&lt;75,W1456&lt;75),0.26,0)+IF(AND(V1456&gt;=40,V1456&lt;75,W1456&gt;=75),0.22,0)+IF(V1456&gt;=75,0.22,0),
IF(AF1456="DoEVold",IF(AND(V1456&lt;40,W1456&lt;35),0.35,0)+IF(AND(V1456&lt;40,W1456&gt;=35,W1456&lt;75),0.25,0)+IF(AND(V1456&lt;40,W1456&gt;=75),0.17,0)+IF(AND(V1456&gt;=40,V1456&lt;75,W1456&lt;25),0.35,0)+IF(AND(V1456&gt;=40,V1456&lt;75,W1456&gt;=25,W1456&lt;65),0.25,0)+IF(AND(V1456&gt;=40,V1456&lt;75,W1456&gt;=65,W1456&lt;100),0.17,0)+IF(AND(V1456&gt;=40,V1456&lt;75,W1456&gt;=100),0.1,0)+IF(AND(V1456&gt;=75,W1456&lt;25),0.35,0)+IF(AND(V1456&gt;=75,W1456&gt;=25,W1456&lt;60),0.25,0)+IF(AND(V1456&gt;=75,W1456&gt;=60,W1456&lt;95),0.17,0)+IF(AND(V1456&gt;=75,W1456&gt;=95),0.1,0),
IF(AF1456="DoEVold15",IF(AND(V1456&lt;=40,W1456&lt;35),0.35,0)+IF(AND(V1456&lt;=40,W1456&gt;=35,W1456&lt;75),0.25,0)+IF(AND(V1456&lt;=40,W1456&gt;=75,W1456&lt;120),0.17,0)+IF(AND(V1456&lt;=40,W1456&gt;=120),0.15,0)+IF(AND(V1456&gt;40,V1456&lt;75,W1456&lt;25),0.35,0)+IF(AND(V1456&gt;=40,V1456&lt;75,W1456&gt;=25,W1456&lt;65),0.25,0)+IF(AND(V1456&gt;=40,V1456&lt;75,W1456&gt;=65,W1456&lt;100),0.17,0)+IF(AND(V1456&gt;=40,V1456&lt;75,W1456&gt;=100),0.1,0)+IF(AND(V1456&gt;=75,W1456&lt;25),0.35,0)+IF(AND(V1456&gt;=75,W1456&gt;=25,W1456&lt;60),0.25,0)+IF(AND(V1456&gt;=75,W1456&gt;=60,W1456&lt;95),0.17,0)+IF(AND(V1456&gt;=75,W1456&gt;=95),0.1,0),
IF(AF1456="DoEVba",IF(AND(V1456&lt;20,W1456&lt;105),0.2,0)+IF(AND(V1456&lt;20,W1456&gt;=105),0.15,0)+IF(AND(V1456&gt;=20,V1456&lt;40,W1456&lt;95),0.2,0)+IF(AND(V1456&gt;=20,V1456&lt;40,W1456&gt;=95,W1456&lt;150),0.15,0)+IF(AND(V1456&gt;=20,V1456&lt;40,W1456&gt;=150),0.12,0)+IF(AND(V1456&gt;=40,V1456&lt;75,W1456&lt;75),0.2,0)+IF(AND(V1456&gt;=40,V1456&lt;75,W1456&gt;=75,W1456&lt;120),0.15,0)+IF(AND(V1456&gt;=40,V1456&lt;75,W1456&gt;=120),0.12,0)+IF(AND(V1456&gt;=75,V1456&lt;175,W1456&lt;65),0.2,0)+IF(AND(V1456&gt;=75,V1456&lt;175,W1456&gt;=65,W1456&lt;110),0.15,0)+IF(AND(V1456&gt;=75,V1456&lt;175,W1456&gt;=110),0.12,0)+IF(AND(V1456&gt;=175,W1456&lt;55),0.2,0)+IF(AND(V1456&gt;=175,W1456&gt;=55,W1456&lt;95),0.15,0)+IF(AND(V1456&gt;=175,W1456&gt;=95),0.12,0),
IF(AF1456="DoEVku",IF(AND(V1456&lt;20,W1456&lt;55),0.23,0)+IF(AND(V1456&lt;20,W1456&gt;=55,W1456&lt;105),0.2,0)+IF(AND(V1456&lt;20,W1456&gt;=105),0.17,0)+IF(AND(V1456&gt;=20,V1456&lt;40,W1456&lt;45),0.23,0)+IF(AND(V1456&gt;=20,V1456&lt;40,W1456&gt;=45,W1456&lt;95),0.2,0)+IF(AND(V1456&gt;=20,V1456&lt;40,W1456&gt;=95,W1456&lt;=150),0.17,0)+IF(AND(V1456&gt;=20,V1456&lt;40,W1456&gt;=150),0.12,0)+IF(AND(V1456&gt;=40,V1456&lt;75,W1456&lt;35),0.23,0)+IF(AND(V1456&gt;=40,V1456&lt;75,W1456&gt;=35,W1456&lt;75),0.2,0)+IF(AND(V1456&gt;=40,V1456&lt;75,W1456&gt;=75,W1456&lt;120),0.17,0)+IF(AND(V1456&gt;=40,V1456&lt;75,W1456&gt;=120),0.12,0)+IF(AND(V1456&gt;=75,V1456&lt;175,W1456&lt;35),0.23,0)+IF(AND(V1456&gt;=75,V1456&lt;=175,W1456&gt;=35,W1456&lt;65),0.2,0)+IF(AND(V1456&gt;=75,V1456&lt;=175,W1456&gt;=65,W1456&lt;110),0.17,0)+IF(AND(V1456&gt;=75,V1456&lt;=175,W1456&gt;=110),0.12,0)+IF(AND(V1456&gt;175,W1456&lt;25),0.23,0)+IF(AND(V1456&gt;175,W1456&gt;=25,W1456&lt;55),0.2,0)+IF(AND(V1456&gt;175,W1456&gt;=55,W1456&lt;95),0.17,0)+IF(AND(V1456&gt;175,W1456&gt;=95),0.12,0),
IF(AF1456="DoEVs1",IF(AND(V1456&lt;20,W1456&lt;55),0.3,0)+IF(AND(V1456&lt;20,W1456&gt;=55,W1456&lt;105),0.23,0)+IF(AND(V1456&lt;20,W1456&gt;=105),0.17,0)+IF(AND(V1456&gt;=20,V1456&lt;40,W1456&lt;45),0.3,0)+IF(AND(V1456&gt;=20,V1456&lt;40,W1456&gt;=45,W1456&lt;95),0.23,0)+IF(AND(V1456&gt;=20,V1456&lt;40,W1456&gt;=95,W1456&lt;=150),0.17,0)+IF(AND(V1456&gt;=20,V1456&lt;40,W1456&gt;=150),0.12,0)+IF(AND(V1456&gt;=40,V1456&lt;75,W1456&lt;35),0.3,0)+IF(AND(V1456&gt;=40,V1456&lt;75,W1456&gt;=35,W1456&lt;75),0.23,0)+IF(AND(V1456&gt;=40,V1456&lt;75,W1456&gt;=75,W1456&lt;120),0.17,0)+IF(AND(V1456&gt;=40,V1456&lt;75,W1456&gt;=120),0.12,0)+IF(AND(V1456&gt;=75,V1456&lt;175,W1456&lt;35),0.3,0)+IF(AND(V1456&gt;=75,V1456&lt;=175,W1456&gt;=35,W1456&lt;65),0.23,0)+IF(AND(V1456&gt;=75,V1456&lt;=175,W1456&gt;=65,W1456&lt;110),0.17,0)+IF(AND(V1456&gt;=75,V1456&lt;=175,W1456&gt;=110),0.12,0)+IF(AND(V1456&gt;175,W1456&lt;25),0.3,0)+IF(AND(V1456&gt;175,W1456&gt;=25,W1456&lt;55),0.23,0)+IF(AND(V1456&gt;175,W1456&gt;=55,W1456&lt;95),0.17,0)+IF(AND(V1456&gt;175,W1456&gt;=95),0.12,0),
IF(AF1456="DoEVsu",IF(AND(V1456&lt;20,W1456&lt;55),0.3,0)+IF(AND(V1456&lt;20,W1456&gt;=55,W1456&lt;105),0.23,0)+IF(AND(V1456&lt;20,W1456&gt;=105),0.17,0)+IF(AND(V1456&gt;=20,V1456&lt;40,W1456&lt;45),0.3,0)+IF(AND(V1456&gt;=20,V1456&lt;40,W1456&gt;=45,W1456&lt;95),0.23,0)+IF(AND(V1456&gt;=20,V1456&lt;40,W1456&gt;=95,W1456&lt;=250),0.17,0)+IF(AND(V1456&gt;=20,V1456&lt;40,W1456&gt;=250),0.12,0)+IF(AND(V1456&gt;=40,V1456&lt;75,W1456&lt;35),0.3,0)+IF(AND(V1456&gt;=40,V1456&lt;75,W1456&gt;=35,W1456&lt;75),0.23,0)+IF(AND(V1456&gt;=40,V1456&lt;75,W1456&gt;=75,W1456&lt;120),0.17,0)+IF(AND(V1456&gt;=40,V1456&lt;75,W1456&gt;=120),0.12,0)+IF(AND(V1456&gt;=75,V1456&lt;175,W1456&lt;35),0.3,0)+IF(AND(V1456&gt;=75,V1456&lt;=175,W1456&gt;=35,W1456&lt;65),0.23,0)+IF(AND(V1456&gt;=75,V1456&lt;=175,W1456&gt;=65,W1456&lt;110),0.17,0)+IF(AND(V1456&gt;=75,V1456&lt;=175,W1456&gt;=110),0.12,0)+IF(AND(V1456&gt;175,W1456&lt;25),0.3,0)+IF(AND(V1456&gt;175,W1456&gt;=25,W1456&lt;55),0.23,0)+IF(AND(V1456&gt;175,W1456&gt;=55,W1456&lt;95),0.17,0)+IF(AND(V1456&gt;175,W1456&gt;=95),0.12,0),
IF(AF1456="DoEVni",IF(AND(V1456&lt;20,W1456&lt;55),0.3,0)+IF(AND(V1456&lt;20,W1456&gt;=55,W1456&lt;105),0.23,0)+IF(AND(V1456&lt;20,W1456&gt;=105),0.17,0)+IF(AND(V1456&gt;=20,V1456&lt;40,W1456&lt;45),0.3,0)+IF(AND(V1456&gt;=20,V1456&lt;40,W1456&gt;=45,W1456&lt;95),0.23,0)+IF(AND(V1456&gt;=20,V1456&lt;40,W1456&gt;=95,W1456&lt;=200),0.17,0)+IF(AND(V1456&gt;=20,V1456&lt;40,W1456&gt;=200),0.12,0)+IF(AND(V1456&gt;=40,V1456&lt;75,W1456&lt;35),0.3,0)+IF(AND(V1456&gt;=40,V1456&lt;75,W1456&gt;=35,W1456&lt;75),0.23,0)+IF(AND(V1456&gt;=40,V1456&lt;75,W1456&gt;=75,W1456&lt;120),0.17,0)+IF(AND(V1456&gt;=40,V1456&lt;75,W1456&gt;=120),0.12,0)+IF(AND(V1456&gt;=75,V1456&lt;175,W1456&lt;35),0.3,0)+IF(AND(V1456&gt;=75,V1456&lt;=175,W1456&gt;=35,W1456&lt;65),0.23,0)+IF(AND(V1456&gt;=75,V1456&lt;=175,W1456&gt;=65,W1456&lt;110),0.17,0)+IF(AND(V1456&gt;=75,V1456&lt;=175,W1456&gt;=110),0.12,0)+IF(AND(V1456&gt;175,W1456&lt;25),0.3,0)+IF(AND(V1456&gt;175,W1456&gt;=25,W1456&lt;55),0.23,0)+IF(AND(V1456&gt;175,W1456&gt;=55,W1456&lt;95),0.17,0)+IF(AND(V1456&gt;175,W1456&gt;=95),0.12,0),
IF(AF1456="DoEVLo",IF(AND(V1456&lt;20,W1456&lt;55),0.25,0)+IF(AND(V1456&lt;20,W1456&gt;=55,W1456&lt;105),0.2,0)+IF(AND(V1456&lt;20,W1456&gt;=105),0.15,0)+IF(AND(V1456&gt;=20,V1456&lt;40,W1456&lt;45),0.25,0)+IF(AND(V1456&gt;=20,V1456&lt;40,W1456&gt;=45,W1456&lt;95),0.2,0)+IF(AND(V1456&gt;=20,V1456&lt;40,W1456&gt;=95),0.15,0)+IF(AND(V1456&gt;=40,V1456&lt;75,W1456&lt;35),0.25,0)+IF(AND(V1456&gt;=40,V1456&lt;75,W1456&gt;=35,W1456&lt;75),0.2,0)+IF(AND(V1456&gt;=40,V1456&lt;75,W1456&gt;=75,W1456&lt;120),0.15,0)+IF(AND(V1456&gt;=40,V1456&lt;75,W1456&gt;=120),0.1,0)+IF(AND(V1456&gt;=75,V1456&lt;175,W1456&lt;35),0.25,0)+IF(AND(V1456&gt;=75,V1456&lt;=175,W1456&gt;=35,W1456&lt;65),0.2,0)+IF(AND(V1456&gt;=75,V1456&lt;=175,W1456&gt;=65,W1456&lt;110),0.15,0)+IF(AND(V1456&gt;=75,V1456&lt;=175,W1456&gt;=110),0.1,0)+IF(AND(V1456&gt;175,W1456&lt;25),0.25,0)+IF(AND(V1456&gt;175,W1456&gt;=25,W1456&lt;55),0.2,0)+IF(AND(V1456&gt;175,W1456&gt;=55,W1456&lt;95),0.15,0)+IF(AND(V1456&gt;175,W1456&gt;=95),0.1,0))))))))))))))))))))</f>
        <v>0.09</v>
      </c>
      <c r="Y1456" s="30">
        <f>IF(AG1456="None",0,IF(AG1456="Fix5",0.05, IF(AG1456="Fix6.25",0.0625,IF(AG1456="Fix3.75",0.0375, IF(AG1456="Fix11",0.11, IF(AG1456="Fix10",0.1,IF(AG1456="Fix3",0.03,0)))))))</f>
        <v>0.03</v>
      </c>
      <c r="Z1456" s="35">
        <f>IF(AND(AD1456="EUR", AE1456 = "USD"), T1456*U1456-AA1456-AB1456, T1456-AA1456-AB1456)</f>
        <v>0</v>
      </c>
      <c r="AA1456" s="29">
        <f>IF(AND(AD1456="EUR", F1456="Without EV deal", AE1456="USD"), (T1456*X1456)*U1456,
IF(AND(AD1456="EUR", F1456="Without EV deal", AE1456="EUR"), (T1456*X1456),
IF(AND(AD1456="EUR",AE1456="USD"), (T1456*X1456)*U1456,
T1456*X1456)))</f>
        <v>0</v>
      </c>
      <c r="AB1456" s="36">
        <f>IF(AND(AD1456="EUR", F1456="Without EV deal", AE1456="USD"), (T1456*Y1456)*U1456,
IF(AND(AD1456="EUR", F1456="Without EV deal", AE1456="EUR"), (T1456*Y1456),
IF(AND(AD1456="EUR",AE1456="USD"), (T1456*Y1456)*U1456,
T1456*Y1456)))</f>
        <v>0</v>
      </c>
      <c r="AC1456" s="37" t="b">
        <v>1</v>
      </c>
      <c r="AD1456" s="82" t="str">
        <f>IF(OR(H1456="€0.25 Flash",
H1456="€0.25(nitro) new",
H1456="€1",
H1456="€2",
H1456="€2 (bf 01.08)",
H1456="€5",
H1456="€5 (1M)",
H1456="€5 (bf 01.08)",
H1456="€5 (bf 05.05)",
H1456="€5 Nitro",
H1456="€5(wx) new",
H1456="€10",
H1456="€10 (1M)",
H1456="€10 (bf 01.08)",
H1456="€10 (bf 05.05)",
H1456="€10 (MP)",
H1456="€10 (old)",
H1456="€10 Nitro (bf 05.05)",
H1456="€10 Nitro (old)",
H1456="€10(wx) new",
H1456="€20",
H1456="€25",
H1456="€25 (bf 01.08)",
H1456="€25 (bf 05.05)",
H1456="€25 (MP)",
H1456="€25 (old)",
H1456="€25 Nitro",
H1456="€25 Nitro (bf 01.08)",
H1456="€25 Nitro (bf 05.05)",
H1456="€25(nitro) new",
H1456="€25(wx) new",
H1456="€50",
H1456="€50 (bf 01.08)",
H1456="€50 (bf 05.05)",
H1456="€50 (old)",
H1456="€50 Nitro",
H1456="€50 Nitro (bf 01.08)",
H1456="€50 Nitro (bf 05.05)",
H1456="€50(wx) new",
H1456="€100",
H1456="€100 (old)",
H1456="€100 Nitro",
H1456="€100 Nitro (old)",
H1456="€200",
H1456="€250",
H1456="€250 Nitro",
H1456="€500",
H1456="€500 Nitro"),"EUR", "USD")</f>
        <v>USD</v>
      </c>
      <c r="AE1456" s="83" t="s">
        <v>38</v>
      </c>
      <c r="AF1456" s="84" t="str">
        <f t="array" ref="AF1456">INDEX('Deal Info'!D:D, MATCH(A1456,'Deal Info'!A:A, 0))</f>
        <v>Fix9</v>
      </c>
      <c r="AG1456" s="84" t="str">
        <f t="array" ref="AG1456">INDEX('Deal Info'!G:G, MATCH(A1456,'Deal Info'!A:A, 0))</f>
        <v>Fix3</v>
      </c>
    </row>
    <row r="1457" spans="1:33" ht="28.5" hidden="1" x14ac:dyDescent="0.2">
      <c r="A1457" s="18" t="str">
        <f t="array" ref="A1457">IF(G1457='Room Info'!$B$1, INDEX('Room Info'!$A$2:$A2446, MATCH(B1457,'Room Info'!$B$2:$B2446, 0)),IF(G1457='Room Info'!$C$1, INDEX('Room Info'!$A$2:$A2446, MATCH(B1457,'Room Info'!$C$2:$C2446, 0)),IF(G1457='Room Info'!$D$1, INDEX('Room Info'!$A$2:$A2446, MATCH(B1457,'Room Info'!$D$2:$D2446, 0)),IF(G1457='Room Info'!$E$1, INDEX('Room Info'!$A$2:$A2446, MATCH(B1457,'Room Info'!$E$2:$E2446, 0)),IF(G1457='Room Info'!$F$1, INDEX('Room Info'!$A$2:$A2446, MATCH(B1457,'Room Info'!$F$2:$F2446, 0)),IF(G1457='Room Info'!$H$1, INDEX('Room Info'!$A$2:$A2446, MATCH(B1457,'Room Info'!$H$2:$H2446, 0)),IF(G1457='Room Info'!$G$1, INDEX('Room Info'!$A$2:$A2446, MATCH(B1457,'Room Info'!$G$2:$G2446, 0)))))))))</f>
        <v>gRRRiz</v>
      </c>
      <c r="B1457" s="18" t="s">
        <v>118</v>
      </c>
      <c r="C1457" s="86">
        <v>44947</v>
      </c>
      <c r="D1457" s="87">
        <v>44977</v>
      </c>
      <c r="E1457" s="21">
        <v>44958</v>
      </c>
      <c r="F1457" s="22" t="s">
        <v>34</v>
      </c>
      <c r="G1457" s="85" t="s">
        <v>80</v>
      </c>
      <c r="H1457" s="23" t="s">
        <v>71</v>
      </c>
      <c r="I1457" s="23" t="s">
        <v>81</v>
      </c>
      <c r="J1457" s="39">
        <v>20</v>
      </c>
      <c r="K1457" s="88">
        <v>2</v>
      </c>
      <c r="L1457" s="89">
        <v>-40</v>
      </c>
      <c r="M1457" s="102">
        <v>73541.649999999994</v>
      </c>
      <c r="N1457" s="28">
        <f>K1457*J1457</f>
        <v>40</v>
      </c>
      <c r="O1457" s="85">
        <v>-70</v>
      </c>
      <c r="P1457" s="29">
        <v>-35</v>
      </c>
      <c r="Q1457" s="30"/>
      <c r="R1457" s="31">
        <f>M1457+Q1457</f>
        <v>73541.649999999994</v>
      </c>
      <c r="S1457" s="119">
        <v>-61945</v>
      </c>
      <c r="T1457" s="32">
        <f>IF(AND(AD1457="EUR", F1457="Without EV deal"), R1457 + L1457,
IF(AND(AD1457="USD", F1457="Without EV deal"), R1457 + L1457,
IF(AND(AD1457="EUR", F1457="Steel Phoenix"), R1457 + S1457/U1457,
R1457 + S1457)))</f>
        <v>11596.649999999994</v>
      </c>
      <c r="U1457" s="33">
        <v>1.0669999999999999</v>
      </c>
      <c r="V1457" s="34"/>
      <c r="W1457" s="34"/>
      <c r="X1457" s="30">
        <f>IF(AF1457="DoEV",IF(AND(V1457&lt;20,W1457&lt;55),0.3,0)+IF(AND(V1457&lt;20,W1457&gt;=55,W1457&lt;105),0.23,0)+IF(AND(V1457&lt;20,W1457&gt;=105),0.17,0)+IF(AND(V1457&gt;=20,V1457&lt;40,W1457&lt;45),0.3,0)+IF(AND(V1457&gt;=20,V1457&lt;40,W1457&gt;=45,W1457&lt;95),0.23,0)+IF(AND(V1457&gt;=20,V1457&lt;40,W1457&gt;=95),0.17,0)+IF(AND(V1457&gt;=40,V1457&lt;75,W1457&lt;35),0.3,0)+IF(AND(V1457&gt;=40,V1457&lt;75,W1457&gt;=35,W1457&lt;75),0.23,0)+IF(AND(V1457&gt;=40,V1457&lt;75,W1457&gt;=75,W1457&lt;120),0.17,0)+IF(AND(V1457&gt;=40,V1457&lt;75,W1457&gt;=120),0.12,0)+IF(AND(V1457&gt;=75,V1457&lt;175,W1457&lt;35),0.3,0)+IF(AND(V1457&gt;=75,V1457&lt;=175,W1457&gt;=35,W1457&lt;65),0.23,0)+IF(AND(V1457&gt;=75,V1457&lt;=175,W1457&gt;=65,W1457&lt;110),0.17,0)+IF(AND(V1457&gt;=75,V1457&lt;=175,W1457&gt;=110),0.12,0)+IF(AND(V1457&gt;175,W1457&lt;25),0.3,0)+IF(AND(V1457&gt;175,W1457&gt;=25,W1457&lt;55),0.23,0)+IF(AND(V1457&gt;175,W1457&gt;=55,W1457&lt;95),0.17,0)+IF(AND(V1457&gt;175,W1457&gt;=95),0.12,0),
IF(AF1457="Fix15",0.15,
IF(AF1457="Fix5",0.05,
IF(AF1457="Fix18.75",0.1875,
IF(AF1457="Fix11.25",0.1125,
IF(AF1457="Fix10",0.1,
IF(AF1457="Fix9",0.09,
IF(AF1457="Fix12",0.12,
IF(AF1457="Fix19",0.19,
IF(AF1457="DoEV2017",IF(AND(W1457&lt;74),0.2,0)+IF(AND(W1457&gt;=74),0.17,0),
IF(AF1457="SF",IF(AND(V1457&lt;20,W1457&lt;89),0.3,0)+IF(AND(V1457&lt;20,W1457&gt;=89),0.25,0)+IF(AND(V1457&gt;=20,V1457&lt;40,W1457&lt;74),0.3,0)+IF(AND(V1457&gt;=20,V1457&lt;40,W1457&gt;=75),0.22,0)+IF(AND(V1457&gt;=40,V1457&lt;75,W1457&lt;75),0.26,0)+IF(AND(V1457&gt;=40,V1457&lt;75,W1457&gt;=75),0.22,0)+IF(V1457&gt;=75,0.22,0),
IF(AF1457="DoEVold",IF(AND(V1457&lt;40,W1457&lt;35),0.35,0)+IF(AND(V1457&lt;40,W1457&gt;=35,W1457&lt;75),0.25,0)+IF(AND(V1457&lt;40,W1457&gt;=75),0.17,0)+IF(AND(V1457&gt;=40,V1457&lt;75,W1457&lt;25),0.35,0)+IF(AND(V1457&gt;=40,V1457&lt;75,W1457&gt;=25,W1457&lt;65),0.25,0)+IF(AND(V1457&gt;=40,V1457&lt;75,W1457&gt;=65,W1457&lt;100),0.17,0)+IF(AND(V1457&gt;=40,V1457&lt;75,W1457&gt;=100),0.1,0)+IF(AND(V1457&gt;=75,W1457&lt;25),0.35,0)+IF(AND(V1457&gt;=75,W1457&gt;=25,W1457&lt;60),0.25,0)+IF(AND(V1457&gt;=75,W1457&gt;=60,W1457&lt;95),0.17,0)+IF(AND(V1457&gt;=75,W1457&gt;=95),0.1,0),
IF(AF1457="DoEVold15",IF(AND(V1457&lt;=40,W1457&lt;35),0.35,0)+IF(AND(V1457&lt;=40,W1457&gt;=35,W1457&lt;75),0.25,0)+IF(AND(V1457&lt;=40,W1457&gt;=75,W1457&lt;120),0.17,0)+IF(AND(V1457&lt;=40,W1457&gt;=120),0.15,0)+IF(AND(V1457&gt;40,V1457&lt;75,W1457&lt;25),0.35,0)+IF(AND(V1457&gt;=40,V1457&lt;75,W1457&gt;=25,W1457&lt;65),0.25,0)+IF(AND(V1457&gt;=40,V1457&lt;75,W1457&gt;=65,W1457&lt;100),0.17,0)+IF(AND(V1457&gt;=40,V1457&lt;75,W1457&gt;=100),0.1,0)+IF(AND(V1457&gt;=75,W1457&lt;25),0.35,0)+IF(AND(V1457&gt;=75,W1457&gt;=25,W1457&lt;60),0.25,0)+IF(AND(V1457&gt;=75,W1457&gt;=60,W1457&lt;95),0.17,0)+IF(AND(V1457&gt;=75,W1457&gt;=95),0.1,0),
IF(AF1457="DoEVba",IF(AND(V1457&lt;20,W1457&lt;105),0.2,0)+IF(AND(V1457&lt;20,W1457&gt;=105),0.15,0)+IF(AND(V1457&gt;=20,V1457&lt;40,W1457&lt;95),0.2,0)+IF(AND(V1457&gt;=20,V1457&lt;40,W1457&gt;=95,W1457&lt;150),0.15,0)+IF(AND(V1457&gt;=20,V1457&lt;40,W1457&gt;=150),0.12,0)+IF(AND(V1457&gt;=40,V1457&lt;75,W1457&lt;75),0.2,0)+IF(AND(V1457&gt;=40,V1457&lt;75,W1457&gt;=75,W1457&lt;120),0.15,0)+IF(AND(V1457&gt;=40,V1457&lt;75,W1457&gt;=120),0.12,0)+IF(AND(V1457&gt;=75,V1457&lt;175,W1457&lt;65),0.2,0)+IF(AND(V1457&gt;=75,V1457&lt;175,W1457&gt;=65,W1457&lt;110),0.15,0)+IF(AND(V1457&gt;=75,V1457&lt;175,W1457&gt;=110),0.12,0)+IF(AND(V1457&gt;=175,W1457&lt;55),0.2,0)+IF(AND(V1457&gt;=175,W1457&gt;=55,W1457&lt;95),0.15,0)+IF(AND(V1457&gt;=175,W1457&gt;=95),0.12,0),
IF(AF1457="DoEVku",IF(AND(V1457&lt;20,W1457&lt;55),0.23,0)+IF(AND(V1457&lt;20,W1457&gt;=55,W1457&lt;105),0.2,0)+IF(AND(V1457&lt;20,W1457&gt;=105),0.17,0)+IF(AND(V1457&gt;=20,V1457&lt;40,W1457&lt;45),0.23,0)+IF(AND(V1457&gt;=20,V1457&lt;40,W1457&gt;=45,W1457&lt;95),0.2,0)+IF(AND(V1457&gt;=20,V1457&lt;40,W1457&gt;=95,W1457&lt;=150),0.17,0)+IF(AND(V1457&gt;=20,V1457&lt;40,W1457&gt;=150),0.12,0)+IF(AND(V1457&gt;=40,V1457&lt;75,W1457&lt;35),0.23,0)+IF(AND(V1457&gt;=40,V1457&lt;75,W1457&gt;=35,W1457&lt;75),0.2,0)+IF(AND(V1457&gt;=40,V1457&lt;75,W1457&gt;=75,W1457&lt;120),0.17,0)+IF(AND(V1457&gt;=40,V1457&lt;75,W1457&gt;=120),0.12,0)+IF(AND(V1457&gt;=75,V1457&lt;175,W1457&lt;35),0.23,0)+IF(AND(V1457&gt;=75,V1457&lt;=175,W1457&gt;=35,W1457&lt;65),0.2,0)+IF(AND(V1457&gt;=75,V1457&lt;=175,W1457&gt;=65,W1457&lt;110),0.17,0)+IF(AND(V1457&gt;=75,V1457&lt;=175,W1457&gt;=110),0.12,0)+IF(AND(V1457&gt;175,W1457&lt;25),0.23,0)+IF(AND(V1457&gt;175,W1457&gt;=25,W1457&lt;55),0.2,0)+IF(AND(V1457&gt;175,W1457&gt;=55,W1457&lt;95),0.17,0)+IF(AND(V1457&gt;175,W1457&gt;=95),0.12,0),
IF(AF1457="DoEVs1",IF(AND(V1457&lt;20,W1457&lt;55),0.3,0)+IF(AND(V1457&lt;20,W1457&gt;=55,W1457&lt;105),0.23,0)+IF(AND(V1457&lt;20,W1457&gt;=105),0.17,0)+IF(AND(V1457&gt;=20,V1457&lt;40,W1457&lt;45),0.3,0)+IF(AND(V1457&gt;=20,V1457&lt;40,W1457&gt;=45,W1457&lt;95),0.23,0)+IF(AND(V1457&gt;=20,V1457&lt;40,W1457&gt;=95,W1457&lt;=150),0.17,0)+IF(AND(V1457&gt;=20,V1457&lt;40,W1457&gt;=150),0.12,0)+IF(AND(V1457&gt;=40,V1457&lt;75,W1457&lt;35),0.3,0)+IF(AND(V1457&gt;=40,V1457&lt;75,W1457&gt;=35,W1457&lt;75),0.23,0)+IF(AND(V1457&gt;=40,V1457&lt;75,W1457&gt;=75,W1457&lt;120),0.17,0)+IF(AND(V1457&gt;=40,V1457&lt;75,W1457&gt;=120),0.12,0)+IF(AND(V1457&gt;=75,V1457&lt;175,W1457&lt;35),0.3,0)+IF(AND(V1457&gt;=75,V1457&lt;=175,W1457&gt;=35,W1457&lt;65),0.23,0)+IF(AND(V1457&gt;=75,V1457&lt;=175,W1457&gt;=65,W1457&lt;110),0.17,0)+IF(AND(V1457&gt;=75,V1457&lt;=175,W1457&gt;=110),0.12,0)+IF(AND(V1457&gt;175,W1457&lt;25),0.3,0)+IF(AND(V1457&gt;175,W1457&gt;=25,W1457&lt;55),0.23,0)+IF(AND(V1457&gt;175,W1457&gt;=55,W1457&lt;95),0.17,0)+IF(AND(V1457&gt;175,W1457&gt;=95),0.12,0),
IF(AF1457="DoEVsu",IF(AND(V1457&lt;20,W1457&lt;55),0.3,0)+IF(AND(V1457&lt;20,W1457&gt;=55,W1457&lt;105),0.23,0)+IF(AND(V1457&lt;20,W1457&gt;=105),0.17,0)+IF(AND(V1457&gt;=20,V1457&lt;40,W1457&lt;45),0.3,0)+IF(AND(V1457&gt;=20,V1457&lt;40,W1457&gt;=45,W1457&lt;95),0.23,0)+IF(AND(V1457&gt;=20,V1457&lt;40,W1457&gt;=95,W1457&lt;=250),0.17,0)+IF(AND(V1457&gt;=20,V1457&lt;40,W1457&gt;=250),0.12,0)+IF(AND(V1457&gt;=40,V1457&lt;75,W1457&lt;35),0.3,0)+IF(AND(V1457&gt;=40,V1457&lt;75,W1457&gt;=35,W1457&lt;75),0.23,0)+IF(AND(V1457&gt;=40,V1457&lt;75,W1457&gt;=75,W1457&lt;120),0.17,0)+IF(AND(V1457&gt;=40,V1457&lt;75,W1457&gt;=120),0.12,0)+IF(AND(V1457&gt;=75,V1457&lt;175,W1457&lt;35),0.3,0)+IF(AND(V1457&gt;=75,V1457&lt;=175,W1457&gt;=35,W1457&lt;65),0.23,0)+IF(AND(V1457&gt;=75,V1457&lt;=175,W1457&gt;=65,W1457&lt;110),0.17,0)+IF(AND(V1457&gt;=75,V1457&lt;=175,W1457&gt;=110),0.12,0)+IF(AND(V1457&gt;175,W1457&lt;25),0.3,0)+IF(AND(V1457&gt;175,W1457&gt;=25,W1457&lt;55),0.23,0)+IF(AND(V1457&gt;175,W1457&gt;=55,W1457&lt;95),0.17,0)+IF(AND(V1457&gt;175,W1457&gt;=95),0.12,0),
IF(AF1457="DoEVni",IF(AND(V1457&lt;20,W1457&lt;55),0.3,0)+IF(AND(V1457&lt;20,W1457&gt;=55,W1457&lt;105),0.23,0)+IF(AND(V1457&lt;20,W1457&gt;=105),0.17,0)+IF(AND(V1457&gt;=20,V1457&lt;40,W1457&lt;45),0.3,0)+IF(AND(V1457&gt;=20,V1457&lt;40,W1457&gt;=45,W1457&lt;95),0.23,0)+IF(AND(V1457&gt;=20,V1457&lt;40,W1457&gt;=95,W1457&lt;=200),0.17,0)+IF(AND(V1457&gt;=20,V1457&lt;40,W1457&gt;=200),0.12,0)+IF(AND(V1457&gt;=40,V1457&lt;75,W1457&lt;35),0.3,0)+IF(AND(V1457&gt;=40,V1457&lt;75,W1457&gt;=35,W1457&lt;75),0.23,0)+IF(AND(V1457&gt;=40,V1457&lt;75,W1457&gt;=75,W1457&lt;120),0.17,0)+IF(AND(V1457&gt;=40,V1457&lt;75,W1457&gt;=120),0.12,0)+IF(AND(V1457&gt;=75,V1457&lt;175,W1457&lt;35),0.3,0)+IF(AND(V1457&gt;=75,V1457&lt;=175,W1457&gt;=35,W1457&lt;65),0.23,0)+IF(AND(V1457&gt;=75,V1457&lt;=175,W1457&gt;=65,W1457&lt;110),0.17,0)+IF(AND(V1457&gt;=75,V1457&lt;=175,W1457&gt;=110),0.12,0)+IF(AND(V1457&gt;175,W1457&lt;25),0.3,0)+IF(AND(V1457&gt;175,W1457&gt;=25,W1457&lt;55),0.23,0)+IF(AND(V1457&gt;175,W1457&gt;=55,W1457&lt;95),0.17,0)+IF(AND(V1457&gt;175,W1457&gt;=95),0.12,0),
IF(AF1457="DoEVLo",IF(AND(V1457&lt;20,W1457&lt;55),0.25,0)+IF(AND(V1457&lt;20,W1457&gt;=55,W1457&lt;105),0.2,0)+IF(AND(V1457&lt;20,W1457&gt;=105),0.15,0)+IF(AND(V1457&gt;=20,V1457&lt;40,W1457&lt;45),0.25,0)+IF(AND(V1457&gt;=20,V1457&lt;40,W1457&gt;=45,W1457&lt;95),0.2,0)+IF(AND(V1457&gt;=20,V1457&lt;40,W1457&gt;=95),0.15,0)+IF(AND(V1457&gt;=40,V1457&lt;75,W1457&lt;35),0.25,0)+IF(AND(V1457&gt;=40,V1457&lt;75,W1457&gt;=35,W1457&lt;75),0.2,0)+IF(AND(V1457&gt;=40,V1457&lt;75,W1457&gt;=75,W1457&lt;120),0.15,0)+IF(AND(V1457&gt;=40,V1457&lt;75,W1457&gt;=120),0.1,0)+IF(AND(V1457&gt;=75,V1457&lt;175,W1457&lt;35),0.25,0)+IF(AND(V1457&gt;=75,V1457&lt;=175,W1457&gt;=35,W1457&lt;65),0.2,0)+IF(AND(V1457&gt;=75,V1457&lt;=175,W1457&gt;=65,W1457&lt;110),0.15,0)+IF(AND(V1457&gt;=75,V1457&lt;=175,W1457&gt;=110),0.1,0)+IF(AND(V1457&gt;175,W1457&lt;25),0.25,0)+IF(AND(V1457&gt;175,W1457&gt;=25,W1457&lt;55),0.2,0)+IF(AND(V1457&gt;175,W1457&gt;=55,W1457&lt;95),0.15,0)+IF(AND(V1457&gt;175,W1457&gt;=95),0.1,0))))))))))))))))))))</f>
        <v>0.15</v>
      </c>
      <c r="Y1457" s="30">
        <f>IF(AG1457="None",0,IF(AG1457="Fix5",0.05, IF(AG1457="Fix6.25",0.0625,IF(AG1457="Fix3.75",0.0375, IF(AG1457="Fix11",0.11, IF(AG1457="Fix10",0.1,IF(AG1457="Fix3",0.03,0)))))))</f>
        <v>0.05</v>
      </c>
      <c r="Z1457" s="35">
        <f>IF(AND(AD1457="EUR", AE1457 = "USD"), T1457*U1457-AA1457-AB1457, T1457-AA1457-AB1457)</f>
        <v>9277.3199999999943</v>
      </c>
      <c r="AA1457" s="29">
        <f>IF(AND(AD1457="EUR", F1457="Without EV deal", AE1457="USD"), (T1457*X1457)*U1457,
IF(AND(AD1457="EUR", F1457="Without EV deal", AE1457="EUR"), (T1457*X1457),
IF(AND(AD1457="EUR",AE1457="USD"), (T1457*X1457)*U1457,
T1457*X1457)))</f>
        <v>1739.497499999999</v>
      </c>
      <c r="AB1457" s="36">
        <f>IF(AND(AD1457="EUR", F1457="Without EV deal", AE1457="USD"), (T1457*Y1457)*U1457,
IF(AND(AD1457="EUR", F1457="Without EV deal", AE1457="EUR"), (T1457*Y1457),
IF(AND(AD1457="EUR",AE1457="USD"), (T1457*Y1457)*U1457,
T1457*Y1457)))</f>
        <v>579.83249999999975</v>
      </c>
      <c r="AC1457" s="37" t="b">
        <v>1</v>
      </c>
      <c r="AD1457" s="82" t="str">
        <f>IF(OR(H1457="€0.25 Flash",
H1457="€0.25(nitro) new",
H1457="€1",
H1457="€2",
H1457="€2 (bf 01.08)",
H1457="€5",
H1457="€5 (1M)",
H1457="€5 (bf 01.08)",
H1457="€5 (bf 05.05)",
H1457="€5 Nitro",
H1457="€5(wx) new",
H1457="€10",
H1457="€10 (1M)",
H1457="€10 (bf 01.08)",
H1457="€10 (bf 05.05)",
H1457="€10 (MP)",
H1457="€10 (old)",
H1457="€10 Nitro (bf 05.05)",
H1457="€10 Nitro (old)",
H1457="€10(wx) new",
H1457="€20",
H1457="€25",
H1457="€25 (bf 01.08)",
H1457="€25 (bf 05.05)",
H1457="€25 (MP)",
H1457="€25 (old)",
H1457="€25 Nitro",
H1457="€25 Nitro (bf 01.08)",
H1457="€25 Nitro (bf 05.05)",
H1457="€25(nitro) new",
H1457="€25(wx) new",
H1457="€50",
H1457="€50 (bf 01.08)",
H1457="€50 (bf 05.05)",
H1457="€50 (old)",
H1457="€50 Nitro",
H1457="€50 Nitro (bf 01.08)",
H1457="€50 Nitro (bf 05.05)",
H1457="€50(wx) new",
H1457="€100",
H1457="€100 (old)",
H1457="€100 Nitro",
H1457="€100 Nitro (old)",
H1457="€200",
H1457="€250",
H1457="€250 Nitro",
H1457="€500",
H1457="€500 Nitro"),"EUR", "USD")</f>
        <v>USD</v>
      </c>
      <c r="AE1457" s="83" t="s">
        <v>38</v>
      </c>
      <c r="AF1457" s="83" t="str">
        <f t="array" ref="AF1457">INDEX('Deal Info'!D:D, MATCH(A1457,'Deal Info'!A:A, 0))</f>
        <v>Fix15</v>
      </c>
      <c r="AG1457" s="83" t="str">
        <f t="array" ref="AG1457">INDEX('Deal Info'!G:G, MATCH(A1457,'Deal Info'!A:A, 0))</f>
        <v>Fix5</v>
      </c>
    </row>
    <row r="1458" spans="1:33" ht="28.5" hidden="1" x14ac:dyDescent="0.2">
      <c r="A1458" s="18" t="str">
        <f t="array" ref="A1458">IF(G1458='Room Info'!$B$1, INDEX('Room Info'!$A$2:$A2446, MATCH(B1458,'Room Info'!$B$2:$B2446, 0)),IF(G1458='Room Info'!$C$1, INDEX('Room Info'!$A$2:$A2446, MATCH(B1458,'Room Info'!$C$2:$C2446, 0)),IF(G1458='Room Info'!$D$1, INDEX('Room Info'!$A$2:$A2446, MATCH(B1458,'Room Info'!$D$2:$D2446, 0)),IF(G1458='Room Info'!$E$1, INDEX('Room Info'!$A$2:$A2446, MATCH(B1458,'Room Info'!$E$2:$E2446, 0)),IF(G1458='Room Info'!$F$1, INDEX('Room Info'!$A$2:$A2446, MATCH(B1458,'Room Info'!$F$2:$F2446, 0)),IF(G1458='Room Info'!$H$1, INDEX('Room Info'!$A$2:$A2446, MATCH(B1458,'Room Info'!$H$2:$H2446, 0)),IF(G1458='Room Info'!$G$1, INDEX('Room Info'!$A$2:$A2446, MATCH(B1458,'Room Info'!$G$2:$G2446, 0)))))))))</f>
        <v>gRRRiz</v>
      </c>
      <c r="B1458" s="18" t="s">
        <v>118</v>
      </c>
      <c r="C1458" s="86">
        <v>44947</v>
      </c>
      <c r="D1458" s="87">
        <v>44977</v>
      </c>
      <c r="E1458" s="21">
        <v>44958</v>
      </c>
      <c r="F1458" s="22" t="s">
        <v>34</v>
      </c>
      <c r="G1458" s="85" t="s">
        <v>80</v>
      </c>
      <c r="H1458" s="23" t="s">
        <v>70</v>
      </c>
      <c r="I1458" s="23" t="s">
        <v>81</v>
      </c>
      <c r="J1458" s="39">
        <v>100</v>
      </c>
      <c r="K1458" s="88">
        <v>13583</v>
      </c>
      <c r="L1458" s="89">
        <v>-45000</v>
      </c>
      <c r="M1458" s="102"/>
      <c r="N1458" s="28">
        <f>K1458*J1458</f>
        <v>1358300</v>
      </c>
      <c r="O1458" s="85">
        <v>125826</v>
      </c>
      <c r="P1458" s="29">
        <v>9.2634911290000002</v>
      </c>
      <c r="Q1458" s="30"/>
      <c r="R1458" s="31">
        <f>M1458+Q1458</f>
        <v>0</v>
      </c>
      <c r="S1458" s="28"/>
      <c r="T1458" s="32">
        <f>IF(AND(AD1458="EUR", F1458="Without EV deal"), R1458 + L1458,
IF(AND(AD1458="USD", F1458="Without EV deal"), R1458 + L1458,
IF(AND(AD1458="EUR", F1458="Steel Phoenix"), R1458 + S1458/U1458,
R1458 + S1458)))</f>
        <v>0</v>
      </c>
      <c r="U1458" s="33">
        <v>1.0669999999999999</v>
      </c>
      <c r="V1458" s="34"/>
      <c r="W1458" s="34"/>
      <c r="X1458" s="30">
        <f>IF(AF1458="DoEV",IF(AND(V1458&lt;20,W1458&lt;55),0.3,0)+IF(AND(V1458&lt;20,W1458&gt;=55,W1458&lt;105),0.23,0)+IF(AND(V1458&lt;20,W1458&gt;=105),0.17,0)+IF(AND(V1458&gt;=20,V1458&lt;40,W1458&lt;45),0.3,0)+IF(AND(V1458&gt;=20,V1458&lt;40,W1458&gt;=45,W1458&lt;95),0.23,0)+IF(AND(V1458&gt;=20,V1458&lt;40,W1458&gt;=95),0.17,0)+IF(AND(V1458&gt;=40,V1458&lt;75,W1458&lt;35),0.3,0)+IF(AND(V1458&gt;=40,V1458&lt;75,W1458&gt;=35,W1458&lt;75),0.23,0)+IF(AND(V1458&gt;=40,V1458&lt;75,W1458&gt;=75,W1458&lt;120),0.17,0)+IF(AND(V1458&gt;=40,V1458&lt;75,W1458&gt;=120),0.12,0)+IF(AND(V1458&gt;=75,V1458&lt;175,W1458&lt;35),0.3,0)+IF(AND(V1458&gt;=75,V1458&lt;=175,W1458&gt;=35,W1458&lt;65),0.23,0)+IF(AND(V1458&gt;=75,V1458&lt;=175,W1458&gt;=65,W1458&lt;110),0.17,0)+IF(AND(V1458&gt;=75,V1458&lt;=175,W1458&gt;=110),0.12,0)+IF(AND(V1458&gt;175,W1458&lt;25),0.3,0)+IF(AND(V1458&gt;175,W1458&gt;=25,W1458&lt;55),0.23,0)+IF(AND(V1458&gt;175,W1458&gt;=55,W1458&lt;95),0.17,0)+IF(AND(V1458&gt;175,W1458&gt;=95),0.12,0),
IF(AF1458="Fix15",0.15,
IF(AF1458="Fix5",0.05,
IF(AF1458="Fix18.75",0.1875,
IF(AF1458="Fix11.25",0.1125,
IF(AF1458="Fix10",0.1,
IF(AF1458="Fix9",0.09,
IF(AF1458="Fix12",0.12,
IF(AF1458="Fix19",0.19,
IF(AF1458="DoEV2017",IF(AND(W1458&lt;74),0.2,0)+IF(AND(W1458&gt;=74),0.17,0),
IF(AF1458="SF",IF(AND(V1458&lt;20,W1458&lt;89),0.3,0)+IF(AND(V1458&lt;20,W1458&gt;=89),0.25,0)+IF(AND(V1458&gt;=20,V1458&lt;40,W1458&lt;74),0.3,0)+IF(AND(V1458&gt;=20,V1458&lt;40,W1458&gt;=75),0.22,0)+IF(AND(V1458&gt;=40,V1458&lt;75,W1458&lt;75),0.26,0)+IF(AND(V1458&gt;=40,V1458&lt;75,W1458&gt;=75),0.22,0)+IF(V1458&gt;=75,0.22,0),
IF(AF1458="DoEVold",IF(AND(V1458&lt;40,W1458&lt;35),0.35,0)+IF(AND(V1458&lt;40,W1458&gt;=35,W1458&lt;75),0.25,0)+IF(AND(V1458&lt;40,W1458&gt;=75),0.17,0)+IF(AND(V1458&gt;=40,V1458&lt;75,W1458&lt;25),0.35,0)+IF(AND(V1458&gt;=40,V1458&lt;75,W1458&gt;=25,W1458&lt;65),0.25,0)+IF(AND(V1458&gt;=40,V1458&lt;75,W1458&gt;=65,W1458&lt;100),0.17,0)+IF(AND(V1458&gt;=40,V1458&lt;75,W1458&gt;=100),0.1,0)+IF(AND(V1458&gt;=75,W1458&lt;25),0.35,0)+IF(AND(V1458&gt;=75,W1458&gt;=25,W1458&lt;60),0.25,0)+IF(AND(V1458&gt;=75,W1458&gt;=60,W1458&lt;95),0.17,0)+IF(AND(V1458&gt;=75,W1458&gt;=95),0.1,0),
IF(AF1458="DoEVold15",IF(AND(V1458&lt;=40,W1458&lt;35),0.35,0)+IF(AND(V1458&lt;=40,W1458&gt;=35,W1458&lt;75),0.25,0)+IF(AND(V1458&lt;=40,W1458&gt;=75,W1458&lt;120),0.17,0)+IF(AND(V1458&lt;=40,W1458&gt;=120),0.15,0)+IF(AND(V1458&gt;40,V1458&lt;75,W1458&lt;25),0.35,0)+IF(AND(V1458&gt;=40,V1458&lt;75,W1458&gt;=25,W1458&lt;65),0.25,0)+IF(AND(V1458&gt;=40,V1458&lt;75,W1458&gt;=65,W1458&lt;100),0.17,0)+IF(AND(V1458&gt;=40,V1458&lt;75,W1458&gt;=100),0.1,0)+IF(AND(V1458&gt;=75,W1458&lt;25),0.35,0)+IF(AND(V1458&gt;=75,W1458&gt;=25,W1458&lt;60),0.25,0)+IF(AND(V1458&gt;=75,W1458&gt;=60,W1458&lt;95),0.17,0)+IF(AND(V1458&gt;=75,W1458&gt;=95),0.1,0),
IF(AF1458="DoEVba",IF(AND(V1458&lt;20,W1458&lt;105),0.2,0)+IF(AND(V1458&lt;20,W1458&gt;=105),0.15,0)+IF(AND(V1458&gt;=20,V1458&lt;40,W1458&lt;95),0.2,0)+IF(AND(V1458&gt;=20,V1458&lt;40,W1458&gt;=95,W1458&lt;150),0.15,0)+IF(AND(V1458&gt;=20,V1458&lt;40,W1458&gt;=150),0.12,0)+IF(AND(V1458&gt;=40,V1458&lt;75,W1458&lt;75),0.2,0)+IF(AND(V1458&gt;=40,V1458&lt;75,W1458&gt;=75,W1458&lt;120),0.15,0)+IF(AND(V1458&gt;=40,V1458&lt;75,W1458&gt;=120),0.12,0)+IF(AND(V1458&gt;=75,V1458&lt;175,W1458&lt;65),0.2,0)+IF(AND(V1458&gt;=75,V1458&lt;175,W1458&gt;=65,W1458&lt;110),0.15,0)+IF(AND(V1458&gt;=75,V1458&lt;175,W1458&gt;=110),0.12,0)+IF(AND(V1458&gt;=175,W1458&lt;55),0.2,0)+IF(AND(V1458&gt;=175,W1458&gt;=55,W1458&lt;95),0.15,0)+IF(AND(V1458&gt;=175,W1458&gt;=95),0.12,0),
IF(AF1458="DoEVku",IF(AND(V1458&lt;20,W1458&lt;55),0.23,0)+IF(AND(V1458&lt;20,W1458&gt;=55,W1458&lt;105),0.2,0)+IF(AND(V1458&lt;20,W1458&gt;=105),0.17,0)+IF(AND(V1458&gt;=20,V1458&lt;40,W1458&lt;45),0.23,0)+IF(AND(V1458&gt;=20,V1458&lt;40,W1458&gt;=45,W1458&lt;95),0.2,0)+IF(AND(V1458&gt;=20,V1458&lt;40,W1458&gt;=95,W1458&lt;=150),0.17,0)+IF(AND(V1458&gt;=20,V1458&lt;40,W1458&gt;=150),0.12,0)+IF(AND(V1458&gt;=40,V1458&lt;75,W1458&lt;35),0.23,0)+IF(AND(V1458&gt;=40,V1458&lt;75,W1458&gt;=35,W1458&lt;75),0.2,0)+IF(AND(V1458&gt;=40,V1458&lt;75,W1458&gt;=75,W1458&lt;120),0.17,0)+IF(AND(V1458&gt;=40,V1458&lt;75,W1458&gt;=120),0.12,0)+IF(AND(V1458&gt;=75,V1458&lt;175,W1458&lt;35),0.23,0)+IF(AND(V1458&gt;=75,V1458&lt;=175,W1458&gt;=35,W1458&lt;65),0.2,0)+IF(AND(V1458&gt;=75,V1458&lt;=175,W1458&gt;=65,W1458&lt;110),0.17,0)+IF(AND(V1458&gt;=75,V1458&lt;=175,W1458&gt;=110),0.12,0)+IF(AND(V1458&gt;175,W1458&lt;25),0.23,0)+IF(AND(V1458&gt;175,W1458&gt;=25,W1458&lt;55),0.2,0)+IF(AND(V1458&gt;175,W1458&gt;=55,W1458&lt;95),0.17,0)+IF(AND(V1458&gt;175,W1458&gt;=95),0.12,0),
IF(AF1458="DoEVs1",IF(AND(V1458&lt;20,W1458&lt;55),0.3,0)+IF(AND(V1458&lt;20,W1458&gt;=55,W1458&lt;105),0.23,0)+IF(AND(V1458&lt;20,W1458&gt;=105),0.17,0)+IF(AND(V1458&gt;=20,V1458&lt;40,W1458&lt;45),0.3,0)+IF(AND(V1458&gt;=20,V1458&lt;40,W1458&gt;=45,W1458&lt;95),0.23,0)+IF(AND(V1458&gt;=20,V1458&lt;40,W1458&gt;=95,W1458&lt;=150),0.17,0)+IF(AND(V1458&gt;=20,V1458&lt;40,W1458&gt;=150),0.12,0)+IF(AND(V1458&gt;=40,V1458&lt;75,W1458&lt;35),0.3,0)+IF(AND(V1458&gt;=40,V1458&lt;75,W1458&gt;=35,W1458&lt;75),0.23,0)+IF(AND(V1458&gt;=40,V1458&lt;75,W1458&gt;=75,W1458&lt;120),0.17,0)+IF(AND(V1458&gt;=40,V1458&lt;75,W1458&gt;=120),0.12,0)+IF(AND(V1458&gt;=75,V1458&lt;175,W1458&lt;35),0.3,0)+IF(AND(V1458&gt;=75,V1458&lt;=175,W1458&gt;=35,W1458&lt;65),0.23,0)+IF(AND(V1458&gt;=75,V1458&lt;=175,W1458&gt;=65,W1458&lt;110),0.17,0)+IF(AND(V1458&gt;=75,V1458&lt;=175,W1458&gt;=110),0.12,0)+IF(AND(V1458&gt;175,W1458&lt;25),0.3,0)+IF(AND(V1458&gt;175,W1458&gt;=25,W1458&lt;55),0.23,0)+IF(AND(V1458&gt;175,W1458&gt;=55,W1458&lt;95),0.17,0)+IF(AND(V1458&gt;175,W1458&gt;=95),0.12,0),
IF(AF1458="DoEVsu",IF(AND(V1458&lt;20,W1458&lt;55),0.3,0)+IF(AND(V1458&lt;20,W1458&gt;=55,W1458&lt;105),0.23,0)+IF(AND(V1458&lt;20,W1458&gt;=105),0.17,0)+IF(AND(V1458&gt;=20,V1458&lt;40,W1458&lt;45),0.3,0)+IF(AND(V1458&gt;=20,V1458&lt;40,W1458&gt;=45,W1458&lt;95),0.23,0)+IF(AND(V1458&gt;=20,V1458&lt;40,W1458&gt;=95,W1458&lt;=250),0.17,0)+IF(AND(V1458&gt;=20,V1458&lt;40,W1458&gt;=250),0.12,0)+IF(AND(V1458&gt;=40,V1458&lt;75,W1458&lt;35),0.3,0)+IF(AND(V1458&gt;=40,V1458&lt;75,W1458&gt;=35,W1458&lt;75),0.23,0)+IF(AND(V1458&gt;=40,V1458&lt;75,W1458&gt;=75,W1458&lt;120),0.17,0)+IF(AND(V1458&gt;=40,V1458&lt;75,W1458&gt;=120),0.12,0)+IF(AND(V1458&gt;=75,V1458&lt;175,W1458&lt;35),0.3,0)+IF(AND(V1458&gt;=75,V1458&lt;=175,W1458&gt;=35,W1458&lt;65),0.23,0)+IF(AND(V1458&gt;=75,V1458&lt;=175,W1458&gt;=65,W1458&lt;110),0.17,0)+IF(AND(V1458&gt;=75,V1458&lt;=175,W1458&gt;=110),0.12,0)+IF(AND(V1458&gt;175,W1458&lt;25),0.3,0)+IF(AND(V1458&gt;175,W1458&gt;=25,W1458&lt;55),0.23,0)+IF(AND(V1458&gt;175,W1458&gt;=55,W1458&lt;95),0.17,0)+IF(AND(V1458&gt;175,W1458&gt;=95),0.12,0),
IF(AF1458="DoEVni",IF(AND(V1458&lt;20,W1458&lt;55),0.3,0)+IF(AND(V1458&lt;20,W1458&gt;=55,W1458&lt;105),0.23,0)+IF(AND(V1458&lt;20,W1458&gt;=105),0.17,0)+IF(AND(V1458&gt;=20,V1458&lt;40,W1458&lt;45),0.3,0)+IF(AND(V1458&gt;=20,V1458&lt;40,W1458&gt;=45,W1458&lt;95),0.23,0)+IF(AND(V1458&gt;=20,V1458&lt;40,W1458&gt;=95,W1458&lt;=200),0.17,0)+IF(AND(V1458&gt;=20,V1458&lt;40,W1458&gt;=200),0.12,0)+IF(AND(V1458&gt;=40,V1458&lt;75,W1458&lt;35),0.3,0)+IF(AND(V1458&gt;=40,V1458&lt;75,W1458&gt;=35,W1458&lt;75),0.23,0)+IF(AND(V1458&gt;=40,V1458&lt;75,W1458&gt;=75,W1458&lt;120),0.17,0)+IF(AND(V1458&gt;=40,V1458&lt;75,W1458&gt;=120),0.12,0)+IF(AND(V1458&gt;=75,V1458&lt;175,W1458&lt;35),0.3,0)+IF(AND(V1458&gt;=75,V1458&lt;=175,W1458&gt;=35,W1458&lt;65),0.23,0)+IF(AND(V1458&gt;=75,V1458&lt;=175,W1458&gt;=65,W1458&lt;110),0.17,0)+IF(AND(V1458&gt;=75,V1458&lt;=175,W1458&gt;=110),0.12,0)+IF(AND(V1458&gt;175,W1458&lt;25),0.3,0)+IF(AND(V1458&gt;175,W1458&gt;=25,W1458&lt;55),0.23,0)+IF(AND(V1458&gt;175,W1458&gt;=55,W1458&lt;95),0.17,0)+IF(AND(V1458&gt;175,W1458&gt;=95),0.12,0),
IF(AF1458="DoEVLo",IF(AND(V1458&lt;20,W1458&lt;55),0.25,0)+IF(AND(V1458&lt;20,W1458&gt;=55,W1458&lt;105),0.2,0)+IF(AND(V1458&lt;20,W1458&gt;=105),0.15,0)+IF(AND(V1458&gt;=20,V1458&lt;40,W1458&lt;45),0.25,0)+IF(AND(V1458&gt;=20,V1458&lt;40,W1458&gt;=45,W1458&lt;95),0.2,0)+IF(AND(V1458&gt;=20,V1458&lt;40,W1458&gt;=95),0.15,0)+IF(AND(V1458&gt;=40,V1458&lt;75,W1458&lt;35),0.25,0)+IF(AND(V1458&gt;=40,V1458&lt;75,W1458&gt;=35,W1458&lt;75),0.2,0)+IF(AND(V1458&gt;=40,V1458&lt;75,W1458&gt;=75,W1458&lt;120),0.15,0)+IF(AND(V1458&gt;=40,V1458&lt;75,W1458&gt;=120),0.1,0)+IF(AND(V1458&gt;=75,V1458&lt;175,W1458&lt;35),0.25,0)+IF(AND(V1458&gt;=75,V1458&lt;=175,W1458&gt;=35,W1458&lt;65),0.2,0)+IF(AND(V1458&gt;=75,V1458&lt;=175,W1458&gt;=65,W1458&lt;110),0.15,0)+IF(AND(V1458&gt;=75,V1458&lt;=175,W1458&gt;=110),0.1,0)+IF(AND(V1458&gt;175,W1458&lt;25),0.25,0)+IF(AND(V1458&gt;175,W1458&gt;=25,W1458&lt;55),0.2,0)+IF(AND(V1458&gt;175,W1458&gt;=55,W1458&lt;95),0.15,0)+IF(AND(V1458&gt;175,W1458&gt;=95),0.1,0))))))))))))))))))))</f>
        <v>0.15</v>
      </c>
      <c r="Y1458" s="30">
        <f>IF(AG1458="None",0,IF(AG1458="Fix5",0.05, IF(AG1458="Fix6.25",0.0625,IF(AG1458="Fix3.75",0.0375, IF(AG1458="Fix11",0.11, IF(AG1458="Fix10",0.1,IF(AG1458="Fix3",0.03,0)))))))</f>
        <v>0.05</v>
      </c>
      <c r="Z1458" s="35">
        <f>IF(AND(AD1458="EUR", AE1458 = "USD"), T1458*U1458-AA1458-AB1458, T1458-AA1458-AB1458)</f>
        <v>0</v>
      </c>
      <c r="AA1458" s="29">
        <f>IF(AND(AD1458="EUR", F1458="Without EV deal", AE1458="USD"), (T1458*X1458)*U1458,
IF(AND(AD1458="EUR", F1458="Without EV deal", AE1458="EUR"), (T1458*X1458),
IF(AND(AD1458="EUR",AE1458="USD"), (T1458*X1458)*U1458,
T1458*X1458)))</f>
        <v>0</v>
      </c>
      <c r="AB1458" s="36">
        <f>IF(AND(AD1458="EUR", F1458="Without EV deal", AE1458="USD"), (T1458*Y1458)*U1458,
IF(AND(AD1458="EUR", F1458="Without EV deal", AE1458="EUR"), (T1458*Y1458),
IF(AND(AD1458="EUR",AE1458="USD"), (T1458*Y1458)*U1458,
T1458*Y1458)))</f>
        <v>0</v>
      </c>
      <c r="AC1458" s="37" t="b">
        <v>1</v>
      </c>
      <c r="AD1458" s="82" t="str">
        <f>IF(OR(H1458="€0.25 Flash",
H1458="€0.25(nitro) new",
H1458="€1",
H1458="€2",
H1458="€2 (bf 01.08)",
H1458="€5",
H1458="€5 (1M)",
H1458="€5 (bf 01.08)",
H1458="€5 (bf 05.05)",
H1458="€5 Nitro",
H1458="€5(wx) new",
H1458="€10",
H1458="€10 (1M)",
H1458="€10 (bf 01.08)",
H1458="€10 (bf 05.05)",
H1458="€10 (MP)",
H1458="€10 (old)",
H1458="€10 Nitro (bf 05.05)",
H1458="€10 Nitro (old)",
H1458="€10(wx) new",
H1458="€20",
H1458="€25",
H1458="€25 (bf 01.08)",
H1458="€25 (bf 05.05)",
H1458="€25 (MP)",
H1458="€25 (old)",
H1458="€25 Nitro",
H1458="€25 Nitro (bf 01.08)",
H1458="€25 Nitro (bf 05.05)",
H1458="€25(nitro) new",
H1458="€25(wx) new",
H1458="€50",
H1458="€50 (bf 01.08)",
H1458="€50 (bf 05.05)",
H1458="€50 (old)",
H1458="€50 Nitro",
H1458="€50 Nitro (bf 01.08)",
H1458="€50 Nitro (bf 05.05)",
H1458="€50(wx) new",
H1458="€100",
H1458="€100 (old)",
H1458="€100 Nitro",
H1458="€100 Nitro (old)",
H1458="€200",
H1458="€250",
H1458="€250 Nitro",
H1458="€500",
H1458="€500 Nitro"),"EUR", "USD")</f>
        <v>USD</v>
      </c>
      <c r="AE1458" s="83" t="s">
        <v>38</v>
      </c>
      <c r="AF1458" s="83" t="str">
        <f t="array" ref="AF1458">INDEX('Deal Info'!D:D, MATCH(A1458,'Deal Info'!A:A, 0))</f>
        <v>Fix15</v>
      </c>
      <c r="AG1458" s="83" t="str">
        <f t="array" ref="AG1458">INDEX('Deal Info'!G:G, MATCH(A1458,'Deal Info'!A:A, 0))</f>
        <v>Fix5</v>
      </c>
    </row>
    <row r="1459" spans="1:33" ht="14.25" hidden="1" x14ac:dyDescent="0.2">
      <c r="A1459" s="18" t="str">
        <f t="array" ref="A1459">IF(G1459='Room Info'!$B$1, INDEX('Room Info'!$A$2:$A2446, MATCH(B1459,'Room Info'!$B$2:$B2446, 0)),IF(G1459='Room Info'!$C$1, INDEX('Room Info'!$A$2:$A2446, MATCH(B1459,'Room Info'!$C$2:$C2446, 0)),IF(G1459='Room Info'!$D$1, INDEX('Room Info'!$A$2:$A2446, MATCH(B1459,'Room Info'!$D$2:$D2446, 0)),IF(G1459='Room Info'!$E$1, INDEX('Room Info'!$A$2:$A2446, MATCH(B1459,'Room Info'!$E$2:$E2446, 0)),IF(G1459='Room Info'!$F$1, INDEX('Room Info'!$A$2:$A2446, MATCH(B1459,'Room Info'!$F$2:$F2446, 0)),IF(G1459='Room Info'!$H$1, INDEX('Room Info'!$A$2:$A2446, MATCH(B1459,'Room Info'!$H$2:$H2446, 0)),IF(G1459='Room Info'!$G$1, INDEX('Room Info'!$A$2:$A2446, MATCH(B1459,'Room Info'!$G$2:$G2446, 0)))))))))</f>
        <v>S1lense</v>
      </c>
      <c r="B1459" s="85" t="s">
        <v>124</v>
      </c>
      <c r="C1459" s="86">
        <v>44947</v>
      </c>
      <c r="D1459" s="87">
        <v>44977</v>
      </c>
      <c r="E1459" s="21">
        <v>44958</v>
      </c>
      <c r="F1459" s="22" t="s">
        <v>34</v>
      </c>
      <c r="G1459" s="18" t="s">
        <v>35</v>
      </c>
      <c r="H1459" s="23" t="s">
        <v>115</v>
      </c>
      <c r="I1459" s="23" t="s">
        <v>44</v>
      </c>
      <c r="J1459" s="39">
        <v>10</v>
      </c>
      <c r="K1459" s="88">
        <v>3441</v>
      </c>
      <c r="L1459" s="89">
        <v>-3030</v>
      </c>
      <c r="M1459" s="42">
        <v>13160</v>
      </c>
      <c r="N1459" s="28">
        <f>K1459*J1459</f>
        <v>34410</v>
      </c>
      <c r="O1459" s="85">
        <v>29204</v>
      </c>
      <c r="P1459" s="29">
        <v>8.4870677130000001</v>
      </c>
      <c r="Q1459" s="30"/>
      <c r="R1459" s="31">
        <f>M1459+Q1459</f>
        <v>13160</v>
      </c>
      <c r="S1459" s="119">
        <v>-11072</v>
      </c>
      <c r="T1459" s="32">
        <f>IF(AND(AD1459="EUR", F1459="Without EV deal"), R1459 + L1459,
IF(AND(AD1459="USD", F1459="Without EV deal"), R1459 + L1459,
IF(AND(AD1459="EUR", F1459="Steel Phoenix"), R1459 + S1459/U1459,
R1459 + S1459)))</f>
        <v>2088</v>
      </c>
      <c r="U1459" s="33">
        <v>1.0669999999999999</v>
      </c>
      <c r="V1459" s="34">
        <v>20.415667466027177</v>
      </c>
      <c r="W1459" s="34">
        <v>102.27</v>
      </c>
      <c r="X1459" s="30">
        <f>IF(AF1459="DoEV",IF(AND(V1459&lt;20,W1459&lt;55),0.3,0)+IF(AND(V1459&lt;20,W1459&gt;=55,W1459&lt;105),0.23,0)+IF(AND(V1459&lt;20,W1459&gt;=105),0.17,0)+IF(AND(V1459&gt;=20,V1459&lt;40,W1459&lt;45),0.3,0)+IF(AND(V1459&gt;=20,V1459&lt;40,W1459&gt;=45,W1459&lt;95),0.23,0)+IF(AND(V1459&gt;=20,V1459&lt;40,W1459&gt;=95),0.17,0)+IF(AND(V1459&gt;=40,V1459&lt;75,W1459&lt;35),0.3,0)+IF(AND(V1459&gt;=40,V1459&lt;75,W1459&gt;=35,W1459&lt;75),0.23,0)+IF(AND(V1459&gt;=40,V1459&lt;75,W1459&gt;=75,W1459&lt;120),0.17,0)+IF(AND(V1459&gt;=40,V1459&lt;75,W1459&gt;=120),0.12,0)+IF(AND(V1459&gt;=75,V1459&lt;175,W1459&lt;35),0.3,0)+IF(AND(V1459&gt;=75,V1459&lt;=175,W1459&gt;=35,W1459&lt;65),0.23,0)+IF(AND(V1459&gt;=75,V1459&lt;=175,W1459&gt;=65,W1459&lt;110),0.17,0)+IF(AND(V1459&gt;=75,V1459&lt;=175,W1459&gt;=110),0.12,0)+IF(AND(V1459&gt;175,W1459&lt;25),0.3,0)+IF(AND(V1459&gt;175,W1459&gt;=25,W1459&lt;55),0.23,0)+IF(AND(V1459&gt;175,W1459&gt;=55,W1459&lt;95),0.17,0)+IF(AND(V1459&gt;175,W1459&gt;=95),0.12,0),
IF(AF1459="Fix15",0.15,
IF(AF1459="Fix5",0.05,
IF(AF1459="Fix18.75",0.1875,
IF(AF1459="Fix11.25",0.1125,
IF(AF1459="Fix10",0.1,
IF(AF1459="Fix9",0.09,
IF(AF1459="Fix12",0.12,
IF(AF1459="Fix19",0.19,
IF(AF1459="DoEV2017",IF(AND(W1459&lt;74),0.2,0)+IF(AND(W1459&gt;=74),0.17,0),
IF(AF1459="SF",IF(AND(V1459&lt;20,W1459&lt;89),0.3,0)+IF(AND(V1459&lt;20,W1459&gt;=89),0.25,0)+IF(AND(V1459&gt;=20,V1459&lt;40,W1459&lt;74),0.3,0)+IF(AND(V1459&gt;=20,V1459&lt;40,W1459&gt;=75),0.22,0)+IF(AND(V1459&gt;=40,V1459&lt;75,W1459&lt;75),0.26,0)+IF(AND(V1459&gt;=40,V1459&lt;75,W1459&gt;=75),0.22,0)+IF(V1459&gt;=75,0.22,0),
IF(AF1459="DoEVold",IF(AND(V1459&lt;40,W1459&lt;35),0.35,0)+IF(AND(V1459&lt;40,W1459&gt;=35,W1459&lt;75),0.25,0)+IF(AND(V1459&lt;40,W1459&gt;=75),0.17,0)+IF(AND(V1459&gt;=40,V1459&lt;75,W1459&lt;25),0.35,0)+IF(AND(V1459&gt;=40,V1459&lt;75,W1459&gt;=25,W1459&lt;65),0.25,0)+IF(AND(V1459&gt;=40,V1459&lt;75,W1459&gt;=65,W1459&lt;100),0.17,0)+IF(AND(V1459&gt;=40,V1459&lt;75,W1459&gt;=100),0.1,0)+IF(AND(V1459&gt;=75,W1459&lt;25),0.35,0)+IF(AND(V1459&gt;=75,W1459&gt;=25,W1459&lt;60),0.25,0)+IF(AND(V1459&gt;=75,W1459&gt;=60,W1459&lt;95),0.17,0)+IF(AND(V1459&gt;=75,W1459&gt;=95),0.1,0),
IF(AF1459="DoEVold15",IF(AND(V1459&lt;=40,W1459&lt;35),0.35,0)+IF(AND(V1459&lt;=40,W1459&gt;=35,W1459&lt;75),0.25,0)+IF(AND(V1459&lt;=40,W1459&gt;=75,W1459&lt;120),0.17,0)+IF(AND(V1459&lt;=40,W1459&gt;=120),0.15,0)+IF(AND(V1459&gt;40,V1459&lt;75,W1459&lt;25),0.35,0)+IF(AND(V1459&gt;=40,V1459&lt;75,W1459&gt;=25,W1459&lt;65),0.25,0)+IF(AND(V1459&gt;=40,V1459&lt;75,W1459&gt;=65,W1459&lt;100),0.17,0)+IF(AND(V1459&gt;=40,V1459&lt;75,W1459&gt;=100),0.1,0)+IF(AND(V1459&gt;=75,W1459&lt;25),0.35,0)+IF(AND(V1459&gt;=75,W1459&gt;=25,W1459&lt;60),0.25,0)+IF(AND(V1459&gt;=75,W1459&gt;=60,W1459&lt;95),0.17,0)+IF(AND(V1459&gt;=75,W1459&gt;=95),0.1,0),
IF(AF1459="DoEVba",IF(AND(V1459&lt;20,W1459&lt;105),0.2,0)+IF(AND(V1459&lt;20,W1459&gt;=105),0.15,0)+IF(AND(V1459&gt;=20,V1459&lt;40,W1459&lt;95),0.2,0)+IF(AND(V1459&gt;=20,V1459&lt;40,W1459&gt;=95,W1459&lt;150),0.15,0)+IF(AND(V1459&gt;=20,V1459&lt;40,W1459&gt;=150),0.12,0)+IF(AND(V1459&gt;=40,V1459&lt;75,W1459&lt;75),0.2,0)+IF(AND(V1459&gt;=40,V1459&lt;75,W1459&gt;=75,W1459&lt;120),0.15,0)+IF(AND(V1459&gt;=40,V1459&lt;75,W1459&gt;=120),0.12,0)+IF(AND(V1459&gt;=75,V1459&lt;175,W1459&lt;65),0.2,0)+IF(AND(V1459&gt;=75,V1459&lt;175,W1459&gt;=65,W1459&lt;110),0.15,0)+IF(AND(V1459&gt;=75,V1459&lt;175,W1459&gt;=110),0.12,0)+IF(AND(V1459&gt;=175,W1459&lt;55),0.2,0)+IF(AND(V1459&gt;=175,W1459&gt;=55,W1459&lt;95),0.15,0)+IF(AND(V1459&gt;=175,W1459&gt;=95),0.12,0),
IF(AF1459="DoEVku",IF(AND(V1459&lt;20,W1459&lt;55),0.23,0)+IF(AND(V1459&lt;20,W1459&gt;=55,W1459&lt;105),0.2,0)+IF(AND(V1459&lt;20,W1459&gt;=105),0.17,0)+IF(AND(V1459&gt;=20,V1459&lt;40,W1459&lt;45),0.23,0)+IF(AND(V1459&gt;=20,V1459&lt;40,W1459&gt;=45,W1459&lt;95),0.2,0)+IF(AND(V1459&gt;=20,V1459&lt;40,W1459&gt;=95,W1459&lt;=150),0.17,0)+IF(AND(V1459&gt;=20,V1459&lt;40,W1459&gt;=150),0.12,0)+IF(AND(V1459&gt;=40,V1459&lt;75,W1459&lt;35),0.23,0)+IF(AND(V1459&gt;=40,V1459&lt;75,W1459&gt;=35,W1459&lt;75),0.2,0)+IF(AND(V1459&gt;=40,V1459&lt;75,W1459&gt;=75,W1459&lt;120),0.17,0)+IF(AND(V1459&gt;=40,V1459&lt;75,W1459&gt;=120),0.12,0)+IF(AND(V1459&gt;=75,V1459&lt;175,W1459&lt;35),0.23,0)+IF(AND(V1459&gt;=75,V1459&lt;=175,W1459&gt;=35,W1459&lt;65),0.2,0)+IF(AND(V1459&gt;=75,V1459&lt;=175,W1459&gt;=65,W1459&lt;110),0.17,0)+IF(AND(V1459&gt;=75,V1459&lt;=175,W1459&gt;=110),0.12,0)+IF(AND(V1459&gt;175,W1459&lt;25),0.23,0)+IF(AND(V1459&gt;175,W1459&gt;=25,W1459&lt;55),0.2,0)+IF(AND(V1459&gt;175,W1459&gt;=55,W1459&lt;95),0.17,0)+IF(AND(V1459&gt;175,W1459&gt;=95),0.12,0),
IF(AF1459="DoEVs1",IF(AND(V1459&lt;20,W1459&lt;55),0.3,0)+IF(AND(V1459&lt;20,W1459&gt;=55,W1459&lt;105),0.23,0)+IF(AND(V1459&lt;20,W1459&gt;=105),0.17,0)+IF(AND(V1459&gt;=20,V1459&lt;40,W1459&lt;45),0.3,0)+IF(AND(V1459&gt;=20,V1459&lt;40,W1459&gt;=45,W1459&lt;95),0.23,0)+IF(AND(V1459&gt;=20,V1459&lt;40,W1459&gt;=95,W1459&lt;=150),0.17,0)+IF(AND(V1459&gt;=20,V1459&lt;40,W1459&gt;=150),0.12,0)+IF(AND(V1459&gt;=40,V1459&lt;75,W1459&lt;35),0.3,0)+IF(AND(V1459&gt;=40,V1459&lt;75,W1459&gt;=35,W1459&lt;75),0.23,0)+IF(AND(V1459&gt;=40,V1459&lt;75,W1459&gt;=75,W1459&lt;120),0.17,0)+IF(AND(V1459&gt;=40,V1459&lt;75,W1459&gt;=120),0.12,0)+IF(AND(V1459&gt;=75,V1459&lt;175,W1459&lt;35),0.3,0)+IF(AND(V1459&gt;=75,V1459&lt;=175,W1459&gt;=35,W1459&lt;65),0.23,0)+IF(AND(V1459&gt;=75,V1459&lt;=175,W1459&gt;=65,W1459&lt;110),0.17,0)+IF(AND(V1459&gt;=75,V1459&lt;=175,W1459&gt;=110),0.12,0)+IF(AND(V1459&gt;175,W1459&lt;25),0.3,0)+IF(AND(V1459&gt;175,W1459&gt;=25,W1459&lt;55),0.23,0)+IF(AND(V1459&gt;175,W1459&gt;=55,W1459&lt;95),0.17,0)+IF(AND(V1459&gt;175,W1459&gt;=95),0.12,0),
IF(AF1459="DoEVsu",IF(AND(V1459&lt;20,W1459&lt;55),0.3,0)+IF(AND(V1459&lt;20,W1459&gt;=55,W1459&lt;105),0.23,0)+IF(AND(V1459&lt;20,W1459&gt;=105),0.17,0)+IF(AND(V1459&gt;=20,V1459&lt;40,W1459&lt;45),0.3,0)+IF(AND(V1459&gt;=20,V1459&lt;40,W1459&gt;=45,W1459&lt;95),0.23,0)+IF(AND(V1459&gt;=20,V1459&lt;40,W1459&gt;=95,W1459&lt;=250),0.17,0)+IF(AND(V1459&gt;=20,V1459&lt;40,W1459&gt;=250),0.12,0)+IF(AND(V1459&gt;=40,V1459&lt;75,W1459&lt;35),0.3,0)+IF(AND(V1459&gt;=40,V1459&lt;75,W1459&gt;=35,W1459&lt;75),0.23,0)+IF(AND(V1459&gt;=40,V1459&lt;75,W1459&gt;=75,W1459&lt;120),0.17,0)+IF(AND(V1459&gt;=40,V1459&lt;75,W1459&gt;=120),0.12,0)+IF(AND(V1459&gt;=75,V1459&lt;175,W1459&lt;35),0.3,0)+IF(AND(V1459&gt;=75,V1459&lt;=175,W1459&gt;=35,W1459&lt;65),0.23,0)+IF(AND(V1459&gt;=75,V1459&lt;=175,W1459&gt;=65,W1459&lt;110),0.17,0)+IF(AND(V1459&gt;=75,V1459&lt;=175,W1459&gt;=110),0.12,0)+IF(AND(V1459&gt;175,W1459&lt;25),0.3,0)+IF(AND(V1459&gt;175,W1459&gt;=25,W1459&lt;55),0.23,0)+IF(AND(V1459&gt;175,W1459&gt;=55,W1459&lt;95),0.17,0)+IF(AND(V1459&gt;175,W1459&gt;=95),0.12,0),
IF(AF1459="DoEVni",IF(AND(V1459&lt;20,W1459&lt;55),0.3,0)+IF(AND(V1459&lt;20,W1459&gt;=55,W1459&lt;105),0.23,0)+IF(AND(V1459&lt;20,W1459&gt;=105),0.17,0)+IF(AND(V1459&gt;=20,V1459&lt;40,W1459&lt;45),0.3,0)+IF(AND(V1459&gt;=20,V1459&lt;40,W1459&gt;=45,W1459&lt;95),0.23,0)+IF(AND(V1459&gt;=20,V1459&lt;40,W1459&gt;=95,W1459&lt;=200),0.17,0)+IF(AND(V1459&gt;=20,V1459&lt;40,W1459&gt;=200),0.12,0)+IF(AND(V1459&gt;=40,V1459&lt;75,W1459&lt;35),0.3,0)+IF(AND(V1459&gt;=40,V1459&lt;75,W1459&gt;=35,W1459&lt;75),0.23,0)+IF(AND(V1459&gt;=40,V1459&lt;75,W1459&gt;=75,W1459&lt;120),0.17,0)+IF(AND(V1459&gt;=40,V1459&lt;75,W1459&gt;=120),0.12,0)+IF(AND(V1459&gt;=75,V1459&lt;175,W1459&lt;35),0.3,0)+IF(AND(V1459&gt;=75,V1459&lt;=175,W1459&gt;=35,W1459&lt;65),0.23,0)+IF(AND(V1459&gt;=75,V1459&lt;=175,W1459&gt;=65,W1459&lt;110),0.17,0)+IF(AND(V1459&gt;=75,V1459&lt;=175,W1459&gt;=110),0.12,0)+IF(AND(V1459&gt;175,W1459&lt;25),0.3,0)+IF(AND(V1459&gt;175,W1459&gt;=25,W1459&lt;55),0.23,0)+IF(AND(V1459&gt;175,W1459&gt;=55,W1459&lt;95),0.17,0)+IF(AND(V1459&gt;175,W1459&gt;=95),0.12,0),
IF(AF1459="DoEVLo",IF(AND(V1459&lt;20,W1459&lt;55),0.25,0)+IF(AND(V1459&lt;20,W1459&gt;=55,W1459&lt;105),0.2,0)+IF(AND(V1459&lt;20,W1459&gt;=105),0.15,0)+IF(AND(V1459&gt;=20,V1459&lt;40,W1459&lt;45),0.25,0)+IF(AND(V1459&gt;=20,V1459&lt;40,W1459&gt;=45,W1459&lt;95),0.2,0)+IF(AND(V1459&gt;=20,V1459&lt;40,W1459&gt;=95),0.15,0)+IF(AND(V1459&gt;=40,V1459&lt;75,W1459&lt;35),0.25,0)+IF(AND(V1459&gt;=40,V1459&lt;75,W1459&gt;=35,W1459&lt;75),0.2,0)+IF(AND(V1459&gt;=40,V1459&lt;75,W1459&gt;=75,W1459&lt;120),0.15,0)+IF(AND(V1459&gt;=40,V1459&lt;75,W1459&gt;=120),0.1,0)+IF(AND(V1459&gt;=75,V1459&lt;175,W1459&lt;35),0.25,0)+IF(AND(V1459&gt;=75,V1459&lt;=175,W1459&gt;=35,W1459&lt;65),0.2,0)+IF(AND(V1459&gt;=75,V1459&lt;=175,W1459&gt;=65,W1459&lt;110),0.15,0)+IF(AND(V1459&gt;=75,V1459&lt;=175,W1459&gt;=110),0.1,0)+IF(AND(V1459&gt;175,W1459&lt;25),0.25,0)+IF(AND(V1459&gt;175,W1459&gt;=25,W1459&lt;55),0.2,0)+IF(AND(V1459&gt;175,W1459&gt;=55,W1459&lt;95),0.15,0)+IF(AND(V1459&gt;175,W1459&gt;=95),0.1,0))))))))))))))))))))</f>
        <v>0.17</v>
      </c>
      <c r="Y1459" s="30">
        <f>IF(AG1459="None",0,IF(AG1459="Fix5",0.05, IF(AG1459="Fix6.25",0.0625,IF(AG1459="Fix3.75",0.0375, IF(AG1459="Fix11",0.11, IF(AG1459="Fix10",0.1,IF(AG1459="Fix3",0.03,0)))))))</f>
        <v>0</v>
      </c>
      <c r="Z1459" s="35">
        <f>IF(AND(AD1459="EUR", AE1459 = "USD"), T1459*U1459-AA1459-AB1459, T1459-AA1459-AB1459)</f>
        <v>1733.04</v>
      </c>
      <c r="AA1459" s="29">
        <f>IF(AND(AD1459="EUR", F1459="Without EV deal", AE1459="USD"), (T1459*X1459)*U1459,
IF(AND(AD1459="EUR", F1459="Without EV deal", AE1459="EUR"), (T1459*X1459),
IF(AND(AD1459="EUR",AE1459="USD"), (T1459*X1459)*U1459,
T1459*X1459)))</f>
        <v>354.96000000000004</v>
      </c>
      <c r="AB1459" s="36">
        <f>IF(AND(AD1459="EUR", F1459="Without EV deal", AE1459="USD"), (T1459*Y1459)*U1459,
IF(AND(AD1459="EUR", F1459="Without EV deal", AE1459="EUR"), (T1459*Y1459),
IF(AND(AD1459="EUR",AE1459="USD"), (T1459*Y1459)*U1459,
T1459*Y1459)))</f>
        <v>0</v>
      </c>
      <c r="AC1459" s="37" t="b">
        <v>1</v>
      </c>
      <c r="AD1459" s="82" t="str">
        <f>IF(OR(H1459="€0.25 Flash",
H1459="€0.25(nitro) new",
H1459="€1",
H1459="€2",
H1459="€2 (bf 01.08)",
H1459="€5",
H1459="€5 (1M)",
H1459="€5 (bf 01.08)",
H1459="€5 (bf 05.05)",
H1459="€5 Nitro",
H1459="€5(wx) new",
H1459="€10",
H1459="€10 (1M)",
H1459="€10 (bf 01.08)",
H1459="€10 (bf 05.05)",
H1459="€10 (MP)",
H1459="€10 (old)",
H1459="€10 Nitro (bf 05.05)",
H1459="€10 Nitro (old)",
H1459="€10(wx) new",
H1459="€20",
H1459="€25",
H1459="€25 (bf 01.08)",
H1459="€25 (bf 05.05)",
H1459="€25 (MP)",
H1459="€25 (old)",
H1459="€25 Nitro",
H1459="€25 Nitro (bf 01.08)",
H1459="€25 Nitro (bf 05.05)",
H1459="€25(nitro) new",
H1459="€25(wx) new",
H1459="€50",
H1459="€50 (bf 01.08)",
H1459="€50 (bf 05.05)",
H1459="€50 (old)",
H1459="€50 Nitro",
H1459="€50 Nitro (bf 01.08)",
H1459="€50 Nitro (bf 05.05)",
H1459="€50(wx) new",
H1459="€100",
H1459="€100 (old)",
H1459="€100 Nitro",
H1459="€100 Nitro (old)",
H1459="€200",
H1459="€250",
H1459="€250 Nitro",
H1459="€500",
H1459="€500 Nitro"),"EUR", "USD")</f>
        <v>USD</v>
      </c>
      <c r="AE1459" s="83" t="s">
        <v>38</v>
      </c>
      <c r="AF1459" s="83" t="str">
        <f t="array" ref="AF1459">INDEX('Deal Info'!D:D, MATCH(A1459,'Deal Info'!A:A, 0))</f>
        <v>DoEVs1</v>
      </c>
      <c r="AG1459" s="84" t="str">
        <f t="array" ref="AG1459">INDEX('Deal Info'!G:G, MATCH(A1459,'Deal Info'!A:A, 0))</f>
        <v>None</v>
      </c>
    </row>
    <row r="1460" spans="1:33" ht="14.25" hidden="1" x14ac:dyDescent="0.2">
      <c r="A1460" s="18" t="str">
        <f t="array" ref="A1460">IF(G1460='Room Info'!$B$1, INDEX('Room Info'!$A$2:$A2446, MATCH(B1460,'Room Info'!$B$2:$B2446, 0)),IF(G1460='Room Info'!$C$1, INDEX('Room Info'!$A$2:$A2446, MATCH(B1460,'Room Info'!$C$2:$C2446, 0)),IF(G1460='Room Info'!$D$1, INDEX('Room Info'!$A$2:$A2446, MATCH(B1460,'Room Info'!$D$2:$D2446, 0)),IF(G1460='Room Info'!$E$1, INDEX('Room Info'!$A$2:$A2446, MATCH(B1460,'Room Info'!$E$2:$E2446, 0)),IF(G1460='Room Info'!$F$1, INDEX('Room Info'!$A$2:$A2446, MATCH(B1460,'Room Info'!$F$2:$F2446, 0)),IF(G1460='Room Info'!$H$1, INDEX('Room Info'!$A$2:$A2446, MATCH(B1460,'Room Info'!$H$2:$H2446, 0)),IF(G1460='Room Info'!$G$1, INDEX('Room Info'!$A$2:$A2446, MATCH(B1460,'Room Info'!$G$2:$G2446, 0)))))))))</f>
        <v>S1lense</v>
      </c>
      <c r="B1460" s="85" t="s">
        <v>124</v>
      </c>
      <c r="C1460" s="86">
        <v>44947</v>
      </c>
      <c r="D1460" s="87">
        <v>44977</v>
      </c>
      <c r="E1460" s="21">
        <v>44958</v>
      </c>
      <c r="F1460" s="22" t="s">
        <v>34</v>
      </c>
      <c r="G1460" s="18" t="s">
        <v>35</v>
      </c>
      <c r="H1460" s="23" t="s">
        <v>87</v>
      </c>
      <c r="I1460" s="23" t="s">
        <v>44</v>
      </c>
      <c r="J1460" s="39">
        <v>25</v>
      </c>
      <c r="K1460" s="88">
        <v>7818</v>
      </c>
      <c r="L1460" s="89">
        <v>-12600</v>
      </c>
      <c r="M1460" s="42"/>
      <c r="N1460" s="28">
        <f>K1460*J1460</f>
        <v>195450</v>
      </c>
      <c r="O1460" s="85">
        <v>36766</v>
      </c>
      <c r="P1460" s="29">
        <v>4.7027372730000003</v>
      </c>
      <c r="Q1460" s="30"/>
      <c r="R1460" s="31">
        <f>M1460+Q1460</f>
        <v>0</v>
      </c>
      <c r="S1460" s="28"/>
      <c r="T1460" s="32">
        <f>IF(AND(AD1460="EUR", F1460="Without EV deal"), R1460 + L1460,
IF(AND(AD1460="USD", F1460="Without EV deal"), R1460 + L1460,
IF(AND(AD1460="EUR", F1460="Steel Phoenix"), R1460 + S1460/U1460,
R1460 + S1460)))</f>
        <v>0</v>
      </c>
      <c r="U1460" s="33">
        <v>1.0669999999999999</v>
      </c>
      <c r="V1460" s="34">
        <v>20.415667466027177</v>
      </c>
      <c r="W1460" s="34">
        <v>102.27</v>
      </c>
      <c r="X1460" s="30">
        <f>IF(AF1460="DoEV",IF(AND(V1460&lt;20,W1460&lt;55),0.3,0)+IF(AND(V1460&lt;20,W1460&gt;=55,W1460&lt;105),0.23,0)+IF(AND(V1460&lt;20,W1460&gt;=105),0.17,0)+IF(AND(V1460&gt;=20,V1460&lt;40,W1460&lt;45),0.3,0)+IF(AND(V1460&gt;=20,V1460&lt;40,W1460&gt;=45,W1460&lt;95),0.23,0)+IF(AND(V1460&gt;=20,V1460&lt;40,W1460&gt;=95),0.17,0)+IF(AND(V1460&gt;=40,V1460&lt;75,W1460&lt;35),0.3,0)+IF(AND(V1460&gt;=40,V1460&lt;75,W1460&gt;=35,W1460&lt;75),0.23,0)+IF(AND(V1460&gt;=40,V1460&lt;75,W1460&gt;=75,W1460&lt;120),0.17,0)+IF(AND(V1460&gt;=40,V1460&lt;75,W1460&gt;=120),0.12,0)+IF(AND(V1460&gt;=75,V1460&lt;175,W1460&lt;35),0.3,0)+IF(AND(V1460&gt;=75,V1460&lt;=175,W1460&gt;=35,W1460&lt;65),0.23,0)+IF(AND(V1460&gt;=75,V1460&lt;=175,W1460&gt;=65,W1460&lt;110),0.17,0)+IF(AND(V1460&gt;=75,V1460&lt;=175,W1460&gt;=110),0.12,0)+IF(AND(V1460&gt;175,W1460&lt;25),0.3,0)+IF(AND(V1460&gt;175,W1460&gt;=25,W1460&lt;55),0.23,0)+IF(AND(V1460&gt;175,W1460&gt;=55,W1460&lt;95),0.17,0)+IF(AND(V1460&gt;175,W1460&gt;=95),0.12,0),
IF(AF1460="Fix15",0.15,
IF(AF1460="Fix5",0.05,
IF(AF1460="Fix18.75",0.1875,
IF(AF1460="Fix11.25",0.1125,
IF(AF1460="Fix10",0.1,
IF(AF1460="Fix9",0.09,
IF(AF1460="Fix12",0.12,
IF(AF1460="Fix19",0.19,
IF(AF1460="DoEV2017",IF(AND(W1460&lt;74),0.2,0)+IF(AND(W1460&gt;=74),0.17,0),
IF(AF1460="SF",IF(AND(V1460&lt;20,W1460&lt;89),0.3,0)+IF(AND(V1460&lt;20,W1460&gt;=89),0.25,0)+IF(AND(V1460&gt;=20,V1460&lt;40,W1460&lt;74),0.3,0)+IF(AND(V1460&gt;=20,V1460&lt;40,W1460&gt;=75),0.22,0)+IF(AND(V1460&gt;=40,V1460&lt;75,W1460&lt;75),0.26,0)+IF(AND(V1460&gt;=40,V1460&lt;75,W1460&gt;=75),0.22,0)+IF(V1460&gt;=75,0.22,0),
IF(AF1460="DoEVold",IF(AND(V1460&lt;40,W1460&lt;35),0.35,0)+IF(AND(V1460&lt;40,W1460&gt;=35,W1460&lt;75),0.25,0)+IF(AND(V1460&lt;40,W1460&gt;=75),0.17,0)+IF(AND(V1460&gt;=40,V1460&lt;75,W1460&lt;25),0.35,0)+IF(AND(V1460&gt;=40,V1460&lt;75,W1460&gt;=25,W1460&lt;65),0.25,0)+IF(AND(V1460&gt;=40,V1460&lt;75,W1460&gt;=65,W1460&lt;100),0.17,0)+IF(AND(V1460&gt;=40,V1460&lt;75,W1460&gt;=100),0.1,0)+IF(AND(V1460&gt;=75,W1460&lt;25),0.35,0)+IF(AND(V1460&gt;=75,W1460&gt;=25,W1460&lt;60),0.25,0)+IF(AND(V1460&gt;=75,W1460&gt;=60,W1460&lt;95),0.17,0)+IF(AND(V1460&gt;=75,W1460&gt;=95),0.1,0),
IF(AF1460="DoEVold15",IF(AND(V1460&lt;=40,W1460&lt;35),0.35,0)+IF(AND(V1460&lt;=40,W1460&gt;=35,W1460&lt;75),0.25,0)+IF(AND(V1460&lt;=40,W1460&gt;=75,W1460&lt;120),0.17,0)+IF(AND(V1460&lt;=40,W1460&gt;=120),0.15,0)+IF(AND(V1460&gt;40,V1460&lt;75,W1460&lt;25),0.35,0)+IF(AND(V1460&gt;=40,V1460&lt;75,W1460&gt;=25,W1460&lt;65),0.25,0)+IF(AND(V1460&gt;=40,V1460&lt;75,W1460&gt;=65,W1460&lt;100),0.17,0)+IF(AND(V1460&gt;=40,V1460&lt;75,W1460&gt;=100),0.1,0)+IF(AND(V1460&gt;=75,W1460&lt;25),0.35,0)+IF(AND(V1460&gt;=75,W1460&gt;=25,W1460&lt;60),0.25,0)+IF(AND(V1460&gt;=75,W1460&gt;=60,W1460&lt;95),0.17,0)+IF(AND(V1460&gt;=75,W1460&gt;=95),0.1,0),
IF(AF1460="DoEVba",IF(AND(V1460&lt;20,W1460&lt;105),0.2,0)+IF(AND(V1460&lt;20,W1460&gt;=105),0.15,0)+IF(AND(V1460&gt;=20,V1460&lt;40,W1460&lt;95),0.2,0)+IF(AND(V1460&gt;=20,V1460&lt;40,W1460&gt;=95,W1460&lt;150),0.15,0)+IF(AND(V1460&gt;=20,V1460&lt;40,W1460&gt;=150),0.12,0)+IF(AND(V1460&gt;=40,V1460&lt;75,W1460&lt;75),0.2,0)+IF(AND(V1460&gt;=40,V1460&lt;75,W1460&gt;=75,W1460&lt;120),0.15,0)+IF(AND(V1460&gt;=40,V1460&lt;75,W1460&gt;=120),0.12,0)+IF(AND(V1460&gt;=75,V1460&lt;175,W1460&lt;65),0.2,0)+IF(AND(V1460&gt;=75,V1460&lt;175,W1460&gt;=65,W1460&lt;110),0.15,0)+IF(AND(V1460&gt;=75,V1460&lt;175,W1460&gt;=110),0.12,0)+IF(AND(V1460&gt;=175,W1460&lt;55),0.2,0)+IF(AND(V1460&gt;=175,W1460&gt;=55,W1460&lt;95),0.15,0)+IF(AND(V1460&gt;=175,W1460&gt;=95),0.12,0),
IF(AF1460="DoEVku",IF(AND(V1460&lt;20,W1460&lt;55),0.23,0)+IF(AND(V1460&lt;20,W1460&gt;=55,W1460&lt;105),0.2,0)+IF(AND(V1460&lt;20,W1460&gt;=105),0.17,0)+IF(AND(V1460&gt;=20,V1460&lt;40,W1460&lt;45),0.23,0)+IF(AND(V1460&gt;=20,V1460&lt;40,W1460&gt;=45,W1460&lt;95),0.2,0)+IF(AND(V1460&gt;=20,V1460&lt;40,W1460&gt;=95,W1460&lt;=150),0.17,0)+IF(AND(V1460&gt;=20,V1460&lt;40,W1460&gt;=150),0.12,0)+IF(AND(V1460&gt;=40,V1460&lt;75,W1460&lt;35),0.23,0)+IF(AND(V1460&gt;=40,V1460&lt;75,W1460&gt;=35,W1460&lt;75),0.2,0)+IF(AND(V1460&gt;=40,V1460&lt;75,W1460&gt;=75,W1460&lt;120),0.17,0)+IF(AND(V1460&gt;=40,V1460&lt;75,W1460&gt;=120),0.12,0)+IF(AND(V1460&gt;=75,V1460&lt;175,W1460&lt;35),0.23,0)+IF(AND(V1460&gt;=75,V1460&lt;=175,W1460&gt;=35,W1460&lt;65),0.2,0)+IF(AND(V1460&gt;=75,V1460&lt;=175,W1460&gt;=65,W1460&lt;110),0.17,0)+IF(AND(V1460&gt;=75,V1460&lt;=175,W1460&gt;=110),0.12,0)+IF(AND(V1460&gt;175,W1460&lt;25),0.23,0)+IF(AND(V1460&gt;175,W1460&gt;=25,W1460&lt;55),0.2,0)+IF(AND(V1460&gt;175,W1460&gt;=55,W1460&lt;95),0.17,0)+IF(AND(V1460&gt;175,W1460&gt;=95),0.12,0),
IF(AF1460="DoEVs1",IF(AND(V1460&lt;20,W1460&lt;55),0.3,0)+IF(AND(V1460&lt;20,W1460&gt;=55,W1460&lt;105),0.23,0)+IF(AND(V1460&lt;20,W1460&gt;=105),0.17,0)+IF(AND(V1460&gt;=20,V1460&lt;40,W1460&lt;45),0.3,0)+IF(AND(V1460&gt;=20,V1460&lt;40,W1460&gt;=45,W1460&lt;95),0.23,0)+IF(AND(V1460&gt;=20,V1460&lt;40,W1460&gt;=95,W1460&lt;=150),0.17,0)+IF(AND(V1460&gt;=20,V1460&lt;40,W1460&gt;=150),0.12,0)+IF(AND(V1460&gt;=40,V1460&lt;75,W1460&lt;35),0.3,0)+IF(AND(V1460&gt;=40,V1460&lt;75,W1460&gt;=35,W1460&lt;75),0.23,0)+IF(AND(V1460&gt;=40,V1460&lt;75,W1460&gt;=75,W1460&lt;120),0.17,0)+IF(AND(V1460&gt;=40,V1460&lt;75,W1460&gt;=120),0.12,0)+IF(AND(V1460&gt;=75,V1460&lt;175,W1460&lt;35),0.3,0)+IF(AND(V1460&gt;=75,V1460&lt;=175,W1460&gt;=35,W1460&lt;65),0.23,0)+IF(AND(V1460&gt;=75,V1460&lt;=175,W1460&gt;=65,W1460&lt;110),0.17,0)+IF(AND(V1460&gt;=75,V1460&lt;=175,W1460&gt;=110),0.12,0)+IF(AND(V1460&gt;175,W1460&lt;25),0.3,0)+IF(AND(V1460&gt;175,W1460&gt;=25,W1460&lt;55),0.23,0)+IF(AND(V1460&gt;175,W1460&gt;=55,W1460&lt;95),0.17,0)+IF(AND(V1460&gt;175,W1460&gt;=95),0.12,0),
IF(AF1460="DoEVsu",IF(AND(V1460&lt;20,W1460&lt;55),0.3,0)+IF(AND(V1460&lt;20,W1460&gt;=55,W1460&lt;105),0.23,0)+IF(AND(V1460&lt;20,W1460&gt;=105),0.17,0)+IF(AND(V1460&gt;=20,V1460&lt;40,W1460&lt;45),0.3,0)+IF(AND(V1460&gt;=20,V1460&lt;40,W1460&gt;=45,W1460&lt;95),0.23,0)+IF(AND(V1460&gt;=20,V1460&lt;40,W1460&gt;=95,W1460&lt;=250),0.17,0)+IF(AND(V1460&gt;=20,V1460&lt;40,W1460&gt;=250),0.12,0)+IF(AND(V1460&gt;=40,V1460&lt;75,W1460&lt;35),0.3,0)+IF(AND(V1460&gt;=40,V1460&lt;75,W1460&gt;=35,W1460&lt;75),0.23,0)+IF(AND(V1460&gt;=40,V1460&lt;75,W1460&gt;=75,W1460&lt;120),0.17,0)+IF(AND(V1460&gt;=40,V1460&lt;75,W1460&gt;=120),0.12,0)+IF(AND(V1460&gt;=75,V1460&lt;175,W1460&lt;35),0.3,0)+IF(AND(V1460&gt;=75,V1460&lt;=175,W1460&gt;=35,W1460&lt;65),0.23,0)+IF(AND(V1460&gt;=75,V1460&lt;=175,W1460&gt;=65,W1460&lt;110),0.17,0)+IF(AND(V1460&gt;=75,V1460&lt;=175,W1460&gt;=110),0.12,0)+IF(AND(V1460&gt;175,W1460&lt;25),0.3,0)+IF(AND(V1460&gt;175,W1460&gt;=25,W1460&lt;55),0.23,0)+IF(AND(V1460&gt;175,W1460&gt;=55,W1460&lt;95),0.17,0)+IF(AND(V1460&gt;175,W1460&gt;=95),0.12,0),
IF(AF1460="DoEVni",IF(AND(V1460&lt;20,W1460&lt;55),0.3,0)+IF(AND(V1460&lt;20,W1460&gt;=55,W1460&lt;105),0.23,0)+IF(AND(V1460&lt;20,W1460&gt;=105),0.17,0)+IF(AND(V1460&gt;=20,V1460&lt;40,W1460&lt;45),0.3,0)+IF(AND(V1460&gt;=20,V1460&lt;40,W1460&gt;=45,W1460&lt;95),0.23,0)+IF(AND(V1460&gt;=20,V1460&lt;40,W1460&gt;=95,W1460&lt;=200),0.17,0)+IF(AND(V1460&gt;=20,V1460&lt;40,W1460&gt;=200),0.12,0)+IF(AND(V1460&gt;=40,V1460&lt;75,W1460&lt;35),0.3,0)+IF(AND(V1460&gt;=40,V1460&lt;75,W1460&gt;=35,W1460&lt;75),0.23,0)+IF(AND(V1460&gt;=40,V1460&lt;75,W1460&gt;=75,W1460&lt;120),0.17,0)+IF(AND(V1460&gt;=40,V1460&lt;75,W1460&gt;=120),0.12,0)+IF(AND(V1460&gt;=75,V1460&lt;175,W1460&lt;35),0.3,0)+IF(AND(V1460&gt;=75,V1460&lt;=175,W1460&gt;=35,W1460&lt;65),0.23,0)+IF(AND(V1460&gt;=75,V1460&lt;=175,W1460&gt;=65,W1460&lt;110),0.17,0)+IF(AND(V1460&gt;=75,V1460&lt;=175,W1460&gt;=110),0.12,0)+IF(AND(V1460&gt;175,W1460&lt;25),0.3,0)+IF(AND(V1460&gt;175,W1460&gt;=25,W1460&lt;55),0.23,0)+IF(AND(V1460&gt;175,W1460&gt;=55,W1460&lt;95),0.17,0)+IF(AND(V1460&gt;175,W1460&gt;=95),0.12,0),
IF(AF1460="DoEVLo",IF(AND(V1460&lt;20,W1460&lt;55),0.25,0)+IF(AND(V1460&lt;20,W1460&gt;=55,W1460&lt;105),0.2,0)+IF(AND(V1460&lt;20,W1460&gt;=105),0.15,0)+IF(AND(V1460&gt;=20,V1460&lt;40,W1460&lt;45),0.25,0)+IF(AND(V1460&gt;=20,V1460&lt;40,W1460&gt;=45,W1460&lt;95),0.2,0)+IF(AND(V1460&gt;=20,V1460&lt;40,W1460&gt;=95),0.15,0)+IF(AND(V1460&gt;=40,V1460&lt;75,W1460&lt;35),0.25,0)+IF(AND(V1460&gt;=40,V1460&lt;75,W1460&gt;=35,W1460&lt;75),0.2,0)+IF(AND(V1460&gt;=40,V1460&lt;75,W1460&gt;=75,W1460&lt;120),0.15,0)+IF(AND(V1460&gt;=40,V1460&lt;75,W1460&gt;=120),0.1,0)+IF(AND(V1460&gt;=75,V1460&lt;175,W1460&lt;35),0.25,0)+IF(AND(V1460&gt;=75,V1460&lt;=175,W1460&gt;=35,W1460&lt;65),0.2,0)+IF(AND(V1460&gt;=75,V1460&lt;=175,W1460&gt;=65,W1460&lt;110),0.15,0)+IF(AND(V1460&gt;=75,V1460&lt;=175,W1460&gt;=110),0.1,0)+IF(AND(V1460&gt;175,W1460&lt;25),0.25,0)+IF(AND(V1460&gt;175,W1460&gt;=25,W1460&lt;55),0.2,0)+IF(AND(V1460&gt;175,W1460&gt;=55,W1460&lt;95),0.15,0)+IF(AND(V1460&gt;175,W1460&gt;=95),0.1,0))))))))))))))))))))</f>
        <v>0.17</v>
      </c>
      <c r="Y1460" s="30">
        <f>IF(AG1460="None",0,IF(AG1460="Fix5",0.05, IF(AG1460="Fix6.25",0.0625,IF(AG1460="Fix3.75",0.0375, IF(AG1460="Fix11",0.11, IF(AG1460="Fix10",0.1,IF(AG1460="Fix3",0.03,0)))))))</f>
        <v>0</v>
      </c>
      <c r="Z1460" s="35">
        <f>IF(AND(AD1460="EUR", AE1460 = "USD"), T1460*U1460-AA1460-AB1460, T1460-AA1460-AB1460)</f>
        <v>0</v>
      </c>
      <c r="AA1460" s="29">
        <f>IF(AND(AD1460="EUR", F1460="Without EV deal", AE1460="USD"), (T1460*X1460)*U1460,
IF(AND(AD1460="EUR", F1460="Without EV deal", AE1460="EUR"), (T1460*X1460),
IF(AND(AD1460="EUR",AE1460="USD"), (T1460*X1460)*U1460,
T1460*X1460)))</f>
        <v>0</v>
      </c>
      <c r="AB1460" s="36">
        <f>IF(AND(AD1460="EUR", F1460="Without EV deal", AE1460="USD"), (T1460*Y1460)*U1460,
IF(AND(AD1460="EUR", F1460="Without EV deal", AE1460="EUR"), (T1460*Y1460),
IF(AND(AD1460="EUR",AE1460="USD"), (T1460*Y1460)*U1460,
T1460*Y1460)))</f>
        <v>0</v>
      </c>
      <c r="AC1460" s="37" t="b">
        <v>1</v>
      </c>
      <c r="AD1460" s="82" t="str">
        <f>IF(OR(H1460="€0.25 Flash",
H1460="€0.25(nitro) new",
H1460="€1",
H1460="€2",
H1460="€2 (bf 01.08)",
H1460="€5",
H1460="€5 (1M)",
H1460="€5 (bf 01.08)",
H1460="€5 (bf 05.05)",
H1460="€5 Nitro",
H1460="€5(wx) new",
H1460="€10",
H1460="€10 (1M)",
H1460="€10 (bf 01.08)",
H1460="€10 (bf 05.05)",
H1460="€10 (MP)",
H1460="€10 (old)",
H1460="€10 Nitro (bf 05.05)",
H1460="€10 Nitro (old)",
H1460="€10(wx) new",
H1460="€20",
H1460="€25",
H1460="€25 (bf 01.08)",
H1460="€25 (bf 05.05)",
H1460="€25 (MP)",
H1460="€25 (old)",
H1460="€25 Nitro",
H1460="€25 Nitro (bf 01.08)",
H1460="€25 Nitro (bf 05.05)",
H1460="€25(nitro) new",
H1460="€25(wx) new",
H1460="€50",
H1460="€50 (bf 01.08)",
H1460="€50 (bf 05.05)",
H1460="€50 (old)",
H1460="€50 Nitro",
H1460="€50 Nitro (bf 01.08)",
H1460="€50 Nitro (bf 05.05)",
H1460="€50(wx) new",
H1460="€100",
H1460="€100 (old)",
H1460="€100 Nitro",
H1460="€100 Nitro (old)",
H1460="€200",
H1460="€250",
H1460="€250 Nitro",
H1460="€500",
H1460="€500 Nitro"),"EUR", "USD")</f>
        <v>USD</v>
      </c>
      <c r="AE1460" s="83" t="s">
        <v>38</v>
      </c>
      <c r="AF1460" s="83" t="str">
        <f t="array" ref="AF1460">INDEX('Deal Info'!D:D, MATCH(A1460,'Deal Info'!A:A, 0))</f>
        <v>DoEVs1</v>
      </c>
      <c r="AG1460" s="84" t="str">
        <f t="array" ref="AG1460">INDEX('Deal Info'!G:G, MATCH(A1460,'Deal Info'!A:A, 0))</f>
        <v>None</v>
      </c>
    </row>
    <row r="1461" spans="1:33" ht="14.25" hidden="1" x14ac:dyDescent="0.2">
      <c r="A1461" s="18" t="str">
        <f t="array" ref="A1461">IF(G1461='Room Info'!$B$1, INDEX('Room Info'!$A$2:$A2446, MATCH(B1461,'Room Info'!$B$2:$B2446, 0)),IF(G1461='Room Info'!$C$1, INDEX('Room Info'!$A$2:$A2446, MATCH(B1461,'Room Info'!$C$2:$C2446, 0)),IF(G1461='Room Info'!$D$1, INDEX('Room Info'!$A$2:$A2446, MATCH(B1461,'Room Info'!$D$2:$D2446, 0)),IF(G1461='Room Info'!$E$1, INDEX('Room Info'!$A$2:$A2446, MATCH(B1461,'Room Info'!$E$2:$E2446, 0)),IF(G1461='Room Info'!$F$1, INDEX('Room Info'!$A$2:$A2446, MATCH(B1461,'Room Info'!$F$2:$F2446, 0)),IF(G1461='Room Info'!$H$1, INDEX('Room Info'!$A$2:$A2446, MATCH(B1461,'Room Info'!$H$2:$H2446, 0)),IF(G1461='Room Info'!$G$1, INDEX('Room Info'!$A$2:$A2446, MATCH(B1461,'Room Info'!$G$2:$G2446, 0)))))))))</f>
        <v>Night Kin9</v>
      </c>
      <c r="B1461" s="85" t="s">
        <v>188</v>
      </c>
      <c r="C1461" s="86">
        <v>44947</v>
      </c>
      <c r="D1461" s="87">
        <v>44977</v>
      </c>
      <c r="E1461" s="21">
        <v>44958</v>
      </c>
      <c r="F1461" s="22" t="s">
        <v>34</v>
      </c>
      <c r="G1461" s="18" t="s">
        <v>35</v>
      </c>
      <c r="H1461" s="23" t="s">
        <v>47</v>
      </c>
      <c r="I1461" s="23" t="s">
        <v>44</v>
      </c>
      <c r="J1461" s="39">
        <v>1</v>
      </c>
      <c r="K1461" s="88">
        <v>9</v>
      </c>
      <c r="L1461" s="89">
        <v>-6</v>
      </c>
      <c r="M1461" s="42">
        <v>30550</v>
      </c>
      <c r="N1461" s="28">
        <f>K1461*J1461</f>
        <v>9</v>
      </c>
      <c r="O1461" s="18"/>
      <c r="P1461" s="29">
        <v>0</v>
      </c>
      <c r="Q1461" s="30"/>
      <c r="R1461" s="31">
        <f>M1461+Q1461</f>
        <v>30550</v>
      </c>
      <c r="S1461" s="119">
        <v>-19996</v>
      </c>
      <c r="T1461" s="32">
        <f>IF(AND(AD1461="EUR", F1461="Without EV deal"), R1461 + L1461,
IF(AND(AD1461="USD", F1461="Without EV deal"), R1461 + L1461,
IF(AND(AD1461="EUR", F1461="Steel Phoenix"), R1461 + S1461/U1461,
R1461 + S1461)))</f>
        <v>10554</v>
      </c>
      <c r="U1461" s="33">
        <v>1.0669999999999999</v>
      </c>
      <c r="V1461" s="34">
        <v>47.082720121796498</v>
      </c>
      <c r="W1461" s="34">
        <v>224.16</v>
      </c>
      <c r="X1461" s="30">
        <f>IF(AF1461="DoEV",IF(AND(V1461&lt;20,W1461&lt;55),0.3,0)+IF(AND(V1461&lt;20,W1461&gt;=55,W1461&lt;105),0.23,0)+IF(AND(V1461&lt;20,W1461&gt;=105),0.17,0)+IF(AND(V1461&gt;=20,V1461&lt;40,W1461&lt;45),0.3,0)+IF(AND(V1461&gt;=20,V1461&lt;40,W1461&gt;=45,W1461&lt;95),0.23,0)+IF(AND(V1461&gt;=20,V1461&lt;40,W1461&gt;=95),0.17,0)+IF(AND(V1461&gt;=40,V1461&lt;75,W1461&lt;35),0.3,0)+IF(AND(V1461&gt;=40,V1461&lt;75,W1461&gt;=35,W1461&lt;75),0.23,0)+IF(AND(V1461&gt;=40,V1461&lt;75,W1461&gt;=75,W1461&lt;120),0.17,0)+IF(AND(V1461&gt;=40,V1461&lt;75,W1461&gt;=120),0.12,0)+IF(AND(V1461&gt;=75,V1461&lt;175,W1461&lt;35),0.3,0)+IF(AND(V1461&gt;=75,V1461&lt;=175,W1461&gt;=35,W1461&lt;65),0.23,0)+IF(AND(V1461&gt;=75,V1461&lt;=175,W1461&gt;=65,W1461&lt;110),0.17,0)+IF(AND(V1461&gt;=75,V1461&lt;=175,W1461&gt;=110),0.12,0)+IF(AND(V1461&gt;175,W1461&lt;25),0.3,0)+IF(AND(V1461&gt;175,W1461&gt;=25,W1461&lt;55),0.23,0)+IF(AND(V1461&gt;175,W1461&gt;=55,W1461&lt;95),0.17,0)+IF(AND(V1461&gt;175,W1461&gt;=95),0.12,0),
IF(AF1461="Fix15",0.15,
IF(AF1461="Fix5",0.05,
IF(AF1461="Fix18.75",0.1875,
IF(AF1461="Fix11.25",0.1125,
IF(AF1461="Fix10",0.1,
IF(AF1461="Fix9",0.09,
IF(AF1461="Fix12",0.12,
IF(AF1461="Fix19",0.19,
IF(AF1461="DoEV2017",IF(AND(W1461&lt;74),0.2,0)+IF(AND(W1461&gt;=74),0.17,0),
IF(AF1461="SF",IF(AND(V1461&lt;20,W1461&lt;89),0.3,0)+IF(AND(V1461&lt;20,W1461&gt;=89),0.25,0)+IF(AND(V1461&gt;=20,V1461&lt;40,W1461&lt;74),0.3,0)+IF(AND(V1461&gt;=20,V1461&lt;40,W1461&gt;=75),0.22,0)+IF(AND(V1461&gt;=40,V1461&lt;75,W1461&lt;75),0.26,0)+IF(AND(V1461&gt;=40,V1461&lt;75,W1461&gt;=75),0.22,0)+IF(V1461&gt;=75,0.22,0),
IF(AF1461="DoEVold",IF(AND(V1461&lt;40,W1461&lt;35),0.35,0)+IF(AND(V1461&lt;40,W1461&gt;=35,W1461&lt;75),0.25,0)+IF(AND(V1461&lt;40,W1461&gt;=75),0.17,0)+IF(AND(V1461&gt;=40,V1461&lt;75,W1461&lt;25),0.35,0)+IF(AND(V1461&gt;=40,V1461&lt;75,W1461&gt;=25,W1461&lt;65),0.25,0)+IF(AND(V1461&gt;=40,V1461&lt;75,W1461&gt;=65,W1461&lt;100),0.17,0)+IF(AND(V1461&gt;=40,V1461&lt;75,W1461&gt;=100),0.1,0)+IF(AND(V1461&gt;=75,W1461&lt;25),0.35,0)+IF(AND(V1461&gt;=75,W1461&gt;=25,W1461&lt;60),0.25,0)+IF(AND(V1461&gt;=75,W1461&gt;=60,W1461&lt;95),0.17,0)+IF(AND(V1461&gt;=75,W1461&gt;=95),0.1,0),
IF(AF1461="DoEVold15",IF(AND(V1461&lt;=40,W1461&lt;35),0.35,0)+IF(AND(V1461&lt;=40,W1461&gt;=35,W1461&lt;75),0.25,0)+IF(AND(V1461&lt;=40,W1461&gt;=75,W1461&lt;120),0.17,0)+IF(AND(V1461&lt;=40,W1461&gt;=120),0.15,0)+IF(AND(V1461&gt;40,V1461&lt;75,W1461&lt;25),0.35,0)+IF(AND(V1461&gt;=40,V1461&lt;75,W1461&gt;=25,W1461&lt;65),0.25,0)+IF(AND(V1461&gt;=40,V1461&lt;75,W1461&gt;=65,W1461&lt;100),0.17,0)+IF(AND(V1461&gt;=40,V1461&lt;75,W1461&gt;=100),0.1,0)+IF(AND(V1461&gt;=75,W1461&lt;25),0.35,0)+IF(AND(V1461&gt;=75,W1461&gt;=25,W1461&lt;60),0.25,0)+IF(AND(V1461&gt;=75,W1461&gt;=60,W1461&lt;95),0.17,0)+IF(AND(V1461&gt;=75,W1461&gt;=95),0.1,0),
IF(AF1461="DoEVba",IF(AND(V1461&lt;20,W1461&lt;105),0.2,0)+IF(AND(V1461&lt;20,W1461&gt;=105),0.15,0)+IF(AND(V1461&gt;=20,V1461&lt;40,W1461&lt;95),0.2,0)+IF(AND(V1461&gt;=20,V1461&lt;40,W1461&gt;=95,W1461&lt;150),0.15,0)+IF(AND(V1461&gt;=20,V1461&lt;40,W1461&gt;=150),0.12,0)+IF(AND(V1461&gt;=40,V1461&lt;75,W1461&lt;75),0.2,0)+IF(AND(V1461&gt;=40,V1461&lt;75,W1461&gt;=75,W1461&lt;120),0.15,0)+IF(AND(V1461&gt;=40,V1461&lt;75,W1461&gt;=120),0.12,0)+IF(AND(V1461&gt;=75,V1461&lt;175,W1461&lt;65),0.2,0)+IF(AND(V1461&gt;=75,V1461&lt;175,W1461&gt;=65,W1461&lt;110),0.15,0)+IF(AND(V1461&gt;=75,V1461&lt;175,W1461&gt;=110),0.12,0)+IF(AND(V1461&gt;=175,W1461&lt;55),0.2,0)+IF(AND(V1461&gt;=175,W1461&gt;=55,W1461&lt;95),0.15,0)+IF(AND(V1461&gt;=175,W1461&gt;=95),0.12,0),
IF(AF1461="DoEVku",IF(AND(V1461&lt;20,W1461&lt;55),0.23,0)+IF(AND(V1461&lt;20,W1461&gt;=55,W1461&lt;105),0.2,0)+IF(AND(V1461&lt;20,W1461&gt;=105),0.17,0)+IF(AND(V1461&gt;=20,V1461&lt;40,W1461&lt;45),0.23,0)+IF(AND(V1461&gt;=20,V1461&lt;40,W1461&gt;=45,W1461&lt;95),0.2,0)+IF(AND(V1461&gt;=20,V1461&lt;40,W1461&gt;=95,W1461&lt;=150),0.17,0)+IF(AND(V1461&gt;=20,V1461&lt;40,W1461&gt;=150),0.12,0)+IF(AND(V1461&gt;=40,V1461&lt;75,W1461&lt;35),0.23,0)+IF(AND(V1461&gt;=40,V1461&lt;75,W1461&gt;=35,W1461&lt;75),0.2,0)+IF(AND(V1461&gt;=40,V1461&lt;75,W1461&gt;=75,W1461&lt;120),0.17,0)+IF(AND(V1461&gt;=40,V1461&lt;75,W1461&gt;=120),0.12,0)+IF(AND(V1461&gt;=75,V1461&lt;175,W1461&lt;35),0.23,0)+IF(AND(V1461&gt;=75,V1461&lt;=175,W1461&gt;=35,W1461&lt;65),0.2,0)+IF(AND(V1461&gt;=75,V1461&lt;=175,W1461&gt;=65,W1461&lt;110),0.17,0)+IF(AND(V1461&gt;=75,V1461&lt;=175,W1461&gt;=110),0.12,0)+IF(AND(V1461&gt;175,W1461&lt;25),0.23,0)+IF(AND(V1461&gt;175,W1461&gt;=25,W1461&lt;55),0.2,0)+IF(AND(V1461&gt;175,W1461&gt;=55,W1461&lt;95),0.17,0)+IF(AND(V1461&gt;175,W1461&gt;=95),0.12,0),
IF(AF1461="DoEVs1",IF(AND(V1461&lt;20,W1461&lt;55),0.3,0)+IF(AND(V1461&lt;20,W1461&gt;=55,W1461&lt;105),0.23,0)+IF(AND(V1461&lt;20,W1461&gt;=105),0.17,0)+IF(AND(V1461&gt;=20,V1461&lt;40,W1461&lt;45),0.3,0)+IF(AND(V1461&gt;=20,V1461&lt;40,W1461&gt;=45,W1461&lt;95),0.23,0)+IF(AND(V1461&gt;=20,V1461&lt;40,W1461&gt;=95,W1461&lt;=150),0.17,0)+IF(AND(V1461&gt;=20,V1461&lt;40,W1461&gt;=150),0.12,0)+IF(AND(V1461&gt;=40,V1461&lt;75,W1461&lt;35),0.3,0)+IF(AND(V1461&gt;=40,V1461&lt;75,W1461&gt;=35,W1461&lt;75),0.23,0)+IF(AND(V1461&gt;=40,V1461&lt;75,W1461&gt;=75,W1461&lt;120),0.17,0)+IF(AND(V1461&gt;=40,V1461&lt;75,W1461&gt;=120),0.12,0)+IF(AND(V1461&gt;=75,V1461&lt;175,W1461&lt;35),0.3,0)+IF(AND(V1461&gt;=75,V1461&lt;=175,W1461&gt;=35,W1461&lt;65),0.23,0)+IF(AND(V1461&gt;=75,V1461&lt;=175,W1461&gt;=65,W1461&lt;110),0.17,0)+IF(AND(V1461&gt;=75,V1461&lt;=175,W1461&gt;=110),0.12,0)+IF(AND(V1461&gt;175,W1461&lt;25),0.3,0)+IF(AND(V1461&gt;175,W1461&gt;=25,W1461&lt;55),0.23,0)+IF(AND(V1461&gt;175,W1461&gt;=55,W1461&lt;95),0.17,0)+IF(AND(V1461&gt;175,W1461&gt;=95),0.12,0),
IF(AF1461="DoEVsu",IF(AND(V1461&lt;20,W1461&lt;55),0.3,0)+IF(AND(V1461&lt;20,W1461&gt;=55,W1461&lt;105),0.23,0)+IF(AND(V1461&lt;20,W1461&gt;=105),0.17,0)+IF(AND(V1461&gt;=20,V1461&lt;40,W1461&lt;45),0.3,0)+IF(AND(V1461&gt;=20,V1461&lt;40,W1461&gt;=45,W1461&lt;95),0.23,0)+IF(AND(V1461&gt;=20,V1461&lt;40,W1461&gt;=95,W1461&lt;=250),0.17,0)+IF(AND(V1461&gt;=20,V1461&lt;40,W1461&gt;=250),0.12,0)+IF(AND(V1461&gt;=40,V1461&lt;75,W1461&lt;35),0.3,0)+IF(AND(V1461&gt;=40,V1461&lt;75,W1461&gt;=35,W1461&lt;75),0.23,0)+IF(AND(V1461&gt;=40,V1461&lt;75,W1461&gt;=75,W1461&lt;120),0.17,0)+IF(AND(V1461&gt;=40,V1461&lt;75,W1461&gt;=120),0.12,0)+IF(AND(V1461&gt;=75,V1461&lt;175,W1461&lt;35),0.3,0)+IF(AND(V1461&gt;=75,V1461&lt;=175,W1461&gt;=35,W1461&lt;65),0.23,0)+IF(AND(V1461&gt;=75,V1461&lt;=175,W1461&gt;=65,W1461&lt;110),0.17,0)+IF(AND(V1461&gt;=75,V1461&lt;=175,W1461&gt;=110),0.12,0)+IF(AND(V1461&gt;175,W1461&lt;25),0.3,0)+IF(AND(V1461&gt;175,W1461&gt;=25,W1461&lt;55),0.23,0)+IF(AND(V1461&gt;175,W1461&gt;=55,W1461&lt;95),0.17,0)+IF(AND(V1461&gt;175,W1461&gt;=95),0.12,0),
IF(AF1461="DoEVni",IF(AND(V1461&lt;20,W1461&lt;55),0.3,0)+IF(AND(V1461&lt;20,W1461&gt;=55,W1461&lt;105),0.23,0)+IF(AND(V1461&lt;20,W1461&gt;=105),0.17,0)+IF(AND(V1461&gt;=20,V1461&lt;40,W1461&lt;45),0.3,0)+IF(AND(V1461&gt;=20,V1461&lt;40,W1461&gt;=45,W1461&lt;95),0.23,0)+IF(AND(V1461&gt;=20,V1461&lt;40,W1461&gt;=95,W1461&lt;=200),0.17,0)+IF(AND(V1461&gt;=20,V1461&lt;40,W1461&gt;=200),0.12,0)+IF(AND(V1461&gt;=40,V1461&lt;75,W1461&lt;35),0.3,0)+IF(AND(V1461&gt;=40,V1461&lt;75,W1461&gt;=35,W1461&lt;75),0.23,0)+IF(AND(V1461&gt;=40,V1461&lt;75,W1461&gt;=75,W1461&lt;120),0.17,0)+IF(AND(V1461&gt;=40,V1461&lt;75,W1461&gt;=120),0.12,0)+IF(AND(V1461&gt;=75,V1461&lt;175,W1461&lt;35),0.3,0)+IF(AND(V1461&gt;=75,V1461&lt;=175,W1461&gt;=35,W1461&lt;65),0.23,0)+IF(AND(V1461&gt;=75,V1461&lt;=175,W1461&gt;=65,W1461&lt;110),0.17,0)+IF(AND(V1461&gt;=75,V1461&lt;=175,W1461&gt;=110),0.12,0)+IF(AND(V1461&gt;175,W1461&lt;25),0.3,0)+IF(AND(V1461&gt;175,W1461&gt;=25,W1461&lt;55),0.23,0)+IF(AND(V1461&gt;175,W1461&gt;=55,W1461&lt;95),0.17,0)+IF(AND(V1461&gt;175,W1461&gt;=95),0.12,0),
IF(AF1461="DoEVLo",IF(AND(V1461&lt;20,W1461&lt;55),0.25,0)+IF(AND(V1461&lt;20,W1461&gt;=55,W1461&lt;105),0.2,0)+IF(AND(V1461&lt;20,W1461&gt;=105),0.15,0)+IF(AND(V1461&gt;=20,V1461&lt;40,W1461&lt;45),0.25,0)+IF(AND(V1461&gt;=20,V1461&lt;40,W1461&gt;=45,W1461&lt;95),0.2,0)+IF(AND(V1461&gt;=20,V1461&lt;40,W1461&gt;=95),0.15,0)+IF(AND(V1461&gt;=40,V1461&lt;75,W1461&lt;35),0.25,0)+IF(AND(V1461&gt;=40,V1461&lt;75,W1461&gt;=35,W1461&lt;75),0.2,0)+IF(AND(V1461&gt;=40,V1461&lt;75,W1461&gt;=75,W1461&lt;120),0.15,0)+IF(AND(V1461&gt;=40,V1461&lt;75,W1461&gt;=120),0.1,0)+IF(AND(V1461&gt;=75,V1461&lt;175,W1461&lt;35),0.25,0)+IF(AND(V1461&gt;=75,V1461&lt;=175,W1461&gt;=35,W1461&lt;65),0.2,0)+IF(AND(V1461&gt;=75,V1461&lt;=175,W1461&gt;=65,W1461&lt;110),0.15,0)+IF(AND(V1461&gt;=75,V1461&lt;=175,W1461&gt;=110),0.1,0)+IF(AND(V1461&gt;175,W1461&lt;25),0.25,0)+IF(AND(V1461&gt;175,W1461&gt;=25,W1461&lt;55),0.2,0)+IF(AND(V1461&gt;175,W1461&gt;=55,W1461&lt;95),0.15,0)+IF(AND(V1461&gt;175,W1461&gt;=95),0.1,0))))))))))))))))))))</f>
        <v>0.12</v>
      </c>
      <c r="Y1461" s="30">
        <f>IF(AG1461="None",0,IF(AG1461="Fix5",0.05, IF(AG1461="Fix6.25",0.0625,IF(AG1461="Fix3.75",0.0375, IF(AG1461="Fix11",0.11, IF(AG1461="Fix10",0.1,IF(AG1461="Fix3",0.03,0)))))))</f>
        <v>0</v>
      </c>
      <c r="Z1461" s="35">
        <f>IF(AND(AD1461="EUR", AE1461 = "USD"), T1461*U1461-AA1461-AB1461, T1461-AA1461-AB1461)</f>
        <v>9287.52</v>
      </c>
      <c r="AA1461" s="29">
        <f>IF(AND(AD1461="EUR", F1461="Without EV deal", AE1461="USD"), (T1461*X1461)*U1461,
IF(AND(AD1461="EUR", F1461="Without EV deal", AE1461="EUR"), (T1461*X1461),
IF(AND(AD1461="EUR",AE1461="USD"), (T1461*X1461)*U1461,
T1461*X1461)))</f>
        <v>1266.48</v>
      </c>
      <c r="AB1461" s="36">
        <f>IF(AND(AD1461="EUR", F1461="Without EV deal", AE1461="USD"), (T1461*Y1461)*U1461,
IF(AND(AD1461="EUR", F1461="Without EV deal", AE1461="EUR"), (T1461*Y1461),
IF(AND(AD1461="EUR",AE1461="USD"), (T1461*Y1461)*U1461,
T1461*Y1461)))</f>
        <v>0</v>
      </c>
      <c r="AC1461" s="37" t="b">
        <v>1</v>
      </c>
      <c r="AD1461" s="82" t="str">
        <f>IF(OR(H1461="€0.25 Flash",
H1461="€0.25(nitro) new",
H1461="€1",
H1461="€2",
H1461="€2 (bf 01.08)",
H1461="€5",
H1461="€5 (1M)",
H1461="€5 (bf 01.08)",
H1461="€5 (bf 05.05)",
H1461="€5 Nitro",
H1461="€5(wx) new",
H1461="€10",
H1461="€10 (1M)",
H1461="€10 (bf 01.08)",
H1461="€10 (bf 05.05)",
H1461="€10 (MP)",
H1461="€10 (old)",
H1461="€10 Nitro (bf 05.05)",
H1461="€10 Nitro (old)",
H1461="€10(wx) new",
H1461="€20",
H1461="€25",
H1461="€25 (bf 01.08)",
H1461="€25 (bf 05.05)",
H1461="€25 (MP)",
H1461="€25 (old)",
H1461="€25 Nitro",
H1461="€25 Nitro (bf 01.08)",
H1461="€25 Nitro (bf 05.05)",
H1461="€25(nitro) new",
H1461="€25(wx) new",
H1461="€50",
H1461="€50 (bf 01.08)",
H1461="€50 (bf 05.05)",
H1461="€50 (old)",
H1461="€50 Nitro",
H1461="€50 Nitro (bf 01.08)",
H1461="€50 Nitro (bf 05.05)",
H1461="€50(wx) new",
H1461="€100",
H1461="€100 (old)",
H1461="€100 Nitro",
H1461="€100 Nitro (old)",
H1461="€200",
H1461="€250",
H1461="€250 Nitro",
H1461="€500",
H1461="€500 Nitro"),"EUR", "USD")</f>
        <v>USD</v>
      </c>
      <c r="AE1461" s="83" t="s">
        <v>38</v>
      </c>
      <c r="AF1461" s="83" t="str">
        <f t="array" ref="AF1461">INDEX('Deal Info'!D:D, MATCH(A1461,'Deal Info'!A:A, 0))</f>
        <v>DoEVni</v>
      </c>
      <c r="AG1461" s="84" t="str">
        <f t="array" ref="AG1461">INDEX('Deal Info'!G:G, MATCH(A1461,'Deal Info'!A:A, 0))</f>
        <v>None</v>
      </c>
    </row>
    <row r="1462" spans="1:33" ht="14.25" hidden="1" x14ac:dyDescent="0.2">
      <c r="A1462" s="18" t="str">
        <f t="array" ref="A1462">IF(G1462='Room Info'!$B$1, INDEX('Room Info'!$A$2:$A2446, MATCH(B1462,'Room Info'!$B$2:$B2446, 0)),IF(G1462='Room Info'!$C$1, INDEX('Room Info'!$A$2:$A2446, MATCH(B1462,'Room Info'!$C$2:$C2446, 0)),IF(G1462='Room Info'!$D$1, INDEX('Room Info'!$A$2:$A2446, MATCH(B1462,'Room Info'!$D$2:$D2446, 0)),IF(G1462='Room Info'!$E$1, INDEX('Room Info'!$A$2:$A2446, MATCH(B1462,'Room Info'!$E$2:$E2446, 0)),IF(G1462='Room Info'!$F$1, INDEX('Room Info'!$A$2:$A2446, MATCH(B1462,'Room Info'!$F$2:$F2446, 0)),IF(G1462='Room Info'!$H$1, INDEX('Room Info'!$A$2:$A2446, MATCH(B1462,'Room Info'!$H$2:$H2446, 0)),IF(G1462='Room Info'!$G$1, INDEX('Room Info'!$A$2:$A2446, MATCH(B1462,'Room Info'!$G$2:$G2446, 0)))))))))</f>
        <v>Night Kin9</v>
      </c>
      <c r="B1462" s="85" t="s">
        <v>188</v>
      </c>
      <c r="C1462" s="86">
        <v>44947</v>
      </c>
      <c r="D1462" s="87">
        <v>44977</v>
      </c>
      <c r="E1462" s="21">
        <v>44958</v>
      </c>
      <c r="F1462" s="22" t="s">
        <v>34</v>
      </c>
      <c r="G1462" s="18" t="s">
        <v>35</v>
      </c>
      <c r="H1462" s="23" t="s">
        <v>46</v>
      </c>
      <c r="I1462" s="23" t="s">
        <v>37</v>
      </c>
      <c r="J1462" s="39">
        <v>25</v>
      </c>
      <c r="K1462" s="88">
        <v>28</v>
      </c>
      <c r="L1462" s="89">
        <v>-400</v>
      </c>
      <c r="M1462" s="27"/>
      <c r="N1462" s="28">
        <f>K1462*J1462</f>
        <v>700</v>
      </c>
      <c r="O1462" s="85">
        <v>-3989</v>
      </c>
      <c r="P1462" s="29">
        <v>-142.4642857</v>
      </c>
      <c r="Q1462" s="30"/>
      <c r="R1462" s="31">
        <f>M1462+Q1462</f>
        <v>0</v>
      </c>
      <c r="S1462" s="28"/>
      <c r="T1462" s="32">
        <f>IF(AND(AD1462="EUR", F1462="Without EV deal"), R1462 + L1462,
IF(AND(AD1462="USD", F1462="Without EV deal"), R1462 + L1462,
IF(AND(AD1462="EUR", F1462="Steel Phoenix"), R1462 + S1462/U1462,
R1462 + S1462)))</f>
        <v>0</v>
      </c>
      <c r="U1462" s="33">
        <v>1.0669999999999999</v>
      </c>
      <c r="V1462" s="34">
        <v>47.082720121796498</v>
      </c>
      <c r="W1462" s="34">
        <v>224.16</v>
      </c>
      <c r="X1462" s="30">
        <f>IF(AF1462="DoEV",IF(AND(V1462&lt;20,W1462&lt;55),0.3,0)+IF(AND(V1462&lt;20,W1462&gt;=55,W1462&lt;105),0.23,0)+IF(AND(V1462&lt;20,W1462&gt;=105),0.17,0)+IF(AND(V1462&gt;=20,V1462&lt;40,W1462&lt;45),0.3,0)+IF(AND(V1462&gt;=20,V1462&lt;40,W1462&gt;=45,W1462&lt;95),0.23,0)+IF(AND(V1462&gt;=20,V1462&lt;40,W1462&gt;=95),0.17,0)+IF(AND(V1462&gt;=40,V1462&lt;75,W1462&lt;35),0.3,0)+IF(AND(V1462&gt;=40,V1462&lt;75,W1462&gt;=35,W1462&lt;75),0.23,0)+IF(AND(V1462&gt;=40,V1462&lt;75,W1462&gt;=75,W1462&lt;120),0.17,0)+IF(AND(V1462&gt;=40,V1462&lt;75,W1462&gt;=120),0.12,0)+IF(AND(V1462&gt;=75,V1462&lt;175,W1462&lt;35),0.3,0)+IF(AND(V1462&gt;=75,V1462&lt;=175,W1462&gt;=35,W1462&lt;65),0.23,0)+IF(AND(V1462&gt;=75,V1462&lt;=175,W1462&gt;=65,W1462&lt;110),0.17,0)+IF(AND(V1462&gt;=75,V1462&lt;=175,W1462&gt;=110),0.12,0)+IF(AND(V1462&gt;175,W1462&lt;25),0.3,0)+IF(AND(V1462&gt;175,W1462&gt;=25,W1462&lt;55),0.23,0)+IF(AND(V1462&gt;175,W1462&gt;=55,W1462&lt;95),0.17,0)+IF(AND(V1462&gt;175,W1462&gt;=95),0.12,0),
IF(AF1462="Fix15",0.15,
IF(AF1462="Fix5",0.05,
IF(AF1462="Fix18.75",0.1875,
IF(AF1462="Fix11.25",0.1125,
IF(AF1462="Fix10",0.1,
IF(AF1462="Fix9",0.09,
IF(AF1462="Fix12",0.12,
IF(AF1462="Fix19",0.19,
IF(AF1462="DoEV2017",IF(AND(W1462&lt;74),0.2,0)+IF(AND(W1462&gt;=74),0.17,0),
IF(AF1462="SF",IF(AND(V1462&lt;20,W1462&lt;89),0.3,0)+IF(AND(V1462&lt;20,W1462&gt;=89),0.25,0)+IF(AND(V1462&gt;=20,V1462&lt;40,W1462&lt;74),0.3,0)+IF(AND(V1462&gt;=20,V1462&lt;40,W1462&gt;=75),0.22,0)+IF(AND(V1462&gt;=40,V1462&lt;75,W1462&lt;75),0.26,0)+IF(AND(V1462&gt;=40,V1462&lt;75,W1462&gt;=75),0.22,0)+IF(V1462&gt;=75,0.22,0),
IF(AF1462="DoEVold",IF(AND(V1462&lt;40,W1462&lt;35),0.35,0)+IF(AND(V1462&lt;40,W1462&gt;=35,W1462&lt;75),0.25,0)+IF(AND(V1462&lt;40,W1462&gt;=75),0.17,0)+IF(AND(V1462&gt;=40,V1462&lt;75,W1462&lt;25),0.35,0)+IF(AND(V1462&gt;=40,V1462&lt;75,W1462&gt;=25,W1462&lt;65),0.25,0)+IF(AND(V1462&gt;=40,V1462&lt;75,W1462&gt;=65,W1462&lt;100),0.17,0)+IF(AND(V1462&gt;=40,V1462&lt;75,W1462&gt;=100),0.1,0)+IF(AND(V1462&gt;=75,W1462&lt;25),0.35,0)+IF(AND(V1462&gt;=75,W1462&gt;=25,W1462&lt;60),0.25,0)+IF(AND(V1462&gt;=75,W1462&gt;=60,W1462&lt;95),0.17,0)+IF(AND(V1462&gt;=75,W1462&gt;=95),0.1,0),
IF(AF1462="DoEVold15",IF(AND(V1462&lt;=40,W1462&lt;35),0.35,0)+IF(AND(V1462&lt;=40,W1462&gt;=35,W1462&lt;75),0.25,0)+IF(AND(V1462&lt;=40,W1462&gt;=75,W1462&lt;120),0.17,0)+IF(AND(V1462&lt;=40,W1462&gt;=120),0.15,0)+IF(AND(V1462&gt;40,V1462&lt;75,W1462&lt;25),0.35,0)+IF(AND(V1462&gt;=40,V1462&lt;75,W1462&gt;=25,W1462&lt;65),0.25,0)+IF(AND(V1462&gt;=40,V1462&lt;75,W1462&gt;=65,W1462&lt;100),0.17,0)+IF(AND(V1462&gt;=40,V1462&lt;75,W1462&gt;=100),0.1,0)+IF(AND(V1462&gt;=75,W1462&lt;25),0.35,0)+IF(AND(V1462&gt;=75,W1462&gt;=25,W1462&lt;60),0.25,0)+IF(AND(V1462&gt;=75,W1462&gt;=60,W1462&lt;95),0.17,0)+IF(AND(V1462&gt;=75,W1462&gt;=95),0.1,0),
IF(AF1462="DoEVba",IF(AND(V1462&lt;20,W1462&lt;105),0.2,0)+IF(AND(V1462&lt;20,W1462&gt;=105),0.15,0)+IF(AND(V1462&gt;=20,V1462&lt;40,W1462&lt;95),0.2,0)+IF(AND(V1462&gt;=20,V1462&lt;40,W1462&gt;=95,W1462&lt;150),0.15,0)+IF(AND(V1462&gt;=20,V1462&lt;40,W1462&gt;=150),0.12,0)+IF(AND(V1462&gt;=40,V1462&lt;75,W1462&lt;75),0.2,0)+IF(AND(V1462&gt;=40,V1462&lt;75,W1462&gt;=75,W1462&lt;120),0.15,0)+IF(AND(V1462&gt;=40,V1462&lt;75,W1462&gt;=120),0.12,0)+IF(AND(V1462&gt;=75,V1462&lt;175,W1462&lt;65),0.2,0)+IF(AND(V1462&gt;=75,V1462&lt;175,W1462&gt;=65,W1462&lt;110),0.15,0)+IF(AND(V1462&gt;=75,V1462&lt;175,W1462&gt;=110),0.12,0)+IF(AND(V1462&gt;=175,W1462&lt;55),0.2,0)+IF(AND(V1462&gt;=175,W1462&gt;=55,W1462&lt;95),0.15,0)+IF(AND(V1462&gt;=175,W1462&gt;=95),0.12,0),
IF(AF1462="DoEVku",IF(AND(V1462&lt;20,W1462&lt;55),0.23,0)+IF(AND(V1462&lt;20,W1462&gt;=55,W1462&lt;105),0.2,0)+IF(AND(V1462&lt;20,W1462&gt;=105),0.17,0)+IF(AND(V1462&gt;=20,V1462&lt;40,W1462&lt;45),0.23,0)+IF(AND(V1462&gt;=20,V1462&lt;40,W1462&gt;=45,W1462&lt;95),0.2,0)+IF(AND(V1462&gt;=20,V1462&lt;40,W1462&gt;=95,W1462&lt;=150),0.17,0)+IF(AND(V1462&gt;=20,V1462&lt;40,W1462&gt;=150),0.12,0)+IF(AND(V1462&gt;=40,V1462&lt;75,W1462&lt;35),0.23,0)+IF(AND(V1462&gt;=40,V1462&lt;75,W1462&gt;=35,W1462&lt;75),0.2,0)+IF(AND(V1462&gt;=40,V1462&lt;75,W1462&gt;=75,W1462&lt;120),0.17,0)+IF(AND(V1462&gt;=40,V1462&lt;75,W1462&gt;=120),0.12,0)+IF(AND(V1462&gt;=75,V1462&lt;175,W1462&lt;35),0.23,0)+IF(AND(V1462&gt;=75,V1462&lt;=175,W1462&gt;=35,W1462&lt;65),0.2,0)+IF(AND(V1462&gt;=75,V1462&lt;=175,W1462&gt;=65,W1462&lt;110),0.17,0)+IF(AND(V1462&gt;=75,V1462&lt;=175,W1462&gt;=110),0.12,0)+IF(AND(V1462&gt;175,W1462&lt;25),0.23,0)+IF(AND(V1462&gt;175,W1462&gt;=25,W1462&lt;55),0.2,0)+IF(AND(V1462&gt;175,W1462&gt;=55,W1462&lt;95),0.17,0)+IF(AND(V1462&gt;175,W1462&gt;=95),0.12,0),
IF(AF1462="DoEVs1",IF(AND(V1462&lt;20,W1462&lt;55),0.3,0)+IF(AND(V1462&lt;20,W1462&gt;=55,W1462&lt;105),0.23,0)+IF(AND(V1462&lt;20,W1462&gt;=105),0.17,0)+IF(AND(V1462&gt;=20,V1462&lt;40,W1462&lt;45),0.3,0)+IF(AND(V1462&gt;=20,V1462&lt;40,W1462&gt;=45,W1462&lt;95),0.23,0)+IF(AND(V1462&gt;=20,V1462&lt;40,W1462&gt;=95,W1462&lt;=150),0.17,0)+IF(AND(V1462&gt;=20,V1462&lt;40,W1462&gt;=150),0.12,0)+IF(AND(V1462&gt;=40,V1462&lt;75,W1462&lt;35),0.3,0)+IF(AND(V1462&gt;=40,V1462&lt;75,W1462&gt;=35,W1462&lt;75),0.23,0)+IF(AND(V1462&gt;=40,V1462&lt;75,W1462&gt;=75,W1462&lt;120),0.17,0)+IF(AND(V1462&gt;=40,V1462&lt;75,W1462&gt;=120),0.12,0)+IF(AND(V1462&gt;=75,V1462&lt;175,W1462&lt;35),0.3,0)+IF(AND(V1462&gt;=75,V1462&lt;=175,W1462&gt;=35,W1462&lt;65),0.23,0)+IF(AND(V1462&gt;=75,V1462&lt;=175,W1462&gt;=65,W1462&lt;110),0.17,0)+IF(AND(V1462&gt;=75,V1462&lt;=175,W1462&gt;=110),0.12,0)+IF(AND(V1462&gt;175,W1462&lt;25),0.3,0)+IF(AND(V1462&gt;175,W1462&gt;=25,W1462&lt;55),0.23,0)+IF(AND(V1462&gt;175,W1462&gt;=55,W1462&lt;95),0.17,0)+IF(AND(V1462&gt;175,W1462&gt;=95),0.12,0),
IF(AF1462="DoEVsu",IF(AND(V1462&lt;20,W1462&lt;55),0.3,0)+IF(AND(V1462&lt;20,W1462&gt;=55,W1462&lt;105),0.23,0)+IF(AND(V1462&lt;20,W1462&gt;=105),0.17,0)+IF(AND(V1462&gt;=20,V1462&lt;40,W1462&lt;45),0.3,0)+IF(AND(V1462&gt;=20,V1462&lt;40,W1462&gt;=45,W1462&lt;95),0.23,0)+IF(AND(V1462&gt;=20,V1462&lt;40,W1462&gt;=95,W1462&lt;=250),0.17,0)+IF(AND(V1462&gt;=20,V1462&lt;40,W1462&gt;=250),0.12,0)+IF(AND(V1462&gt;=40,V1462&lt;75,W1462&lt;35),0.3,0)+IF(AND(V1462&gt;=40,V1462&lt;75,W1462&gt;=35,W1462&lt;75),0.23,0)+IF(AND(V1462&gt;=40,V1462&lt;75,W1462&gt;=75,W1462&lt;120),0.17,0)+IF(AND(V1462&gt;=40,V1462&lt;75,W1462&gt;=120),0.12,0)+IF(AND(V1462&gt;=75,V1462&lt;175,W1462&lt;35),0.3,0)+IF(AND(V1462&gt;=75,V1462&lt;=175,W1462&gt;=35,W1462&lt;65),0.23,0)+IF(AND(V1462&gt;=75,V1462&lt;=175,W1462&gt;=65,W1462&lt;110),0.17,0)+IF(AND(V1462&gt;=75,V1462&lt;=175,W1462&gt;=110),0.12,0)+IF(AND(V1462&gt;175,W1462&lt;25),0.3,0)+IF(AND(V1462&gt;175,W1462&gt;=25,W1462&lt;55),0.23,0)+IF(AND(V1462&gt;175,W1462&gt;=55,W1462&lt;95),0.17,0)+IF(AND(V1462&gt;175,W1462&gt;=95),0.12,0),
IF(AF1462="DoEVni",IF(AND(V1462&lt;20,W1462&lt;55),0.3,0)+IF(AND(V1462&lt;20,W1462&gt;=55,W1462&lt;105),0.23,0)+IF(AND(V1462&lt;20,W1462&gt;=105),0.17,0)+IF(AND(V1462&gt;=20,V1462&lt;40,W1462&lt;45),0.3,0)+IF(AND(V1462&gt;=20,V1462&lt;40,W1462&gt;=45,W1462&lt;95),0.23,0)+IF(AND(V1462&gt;=20,V1462&lt;40,W1462&gt;=95,W1462&lt;=200),0.17,0)+IF(AND(V1462&gt;=20,V1462&lt;40,W1462&gt;=200),0.12,0)+IF(AND(V1462&gt;=40,V1462&lt;75,W1462&lt;35),0.3,0)+IF(AND(V1462&gt;=40,V1462&lt;75,W1462&gt;=35,W1462&lt;75),0.23,0)+IF(AND(V1462&gt;=40,V1462&lt;75,W1462&gt;=75,W1462&lt;120),0.17,0)+IF(AND(V1462&gt;=40,V1462&lt;75,W1462&gt;=120),0.12,0)+IF(AND(V1462&gt;=75,V1462&lt;175,W1462&lt;35),0.3,0)+IF(AND(V1462&gt;=75,V1462&lt;=175,W1462&gt;=35,W1462&lt;65),0.23,0)+IF(AND(V1462&gt;=75,V1462&lt;=175,W1462&gt;=65,W1462&lt;110),0.17,0)+IF(AND(V1462&gt;=75,V1462&lt;=175,W1462&gt;=110),0.12,0)+IF(AND(V1462&gt;175,W1462&lt;25),0.3,0)+IF(AND(V1462&gt;175,W1462&gt;=25,W1462&lt;55),0.23,0)+IF(AND(V1462&gt;175,W1462&gt;=55,W1462&lt;95),0.17,0)+IF(AND(V1462&gt;175,W1462&gt;=95),0.12,0),
IF(AF1462="DoEVLo",IF(AND(V1462&lt;20,W1462&lt;55),0.25,0)+IF(AND(V1462&lt;20,W1462&gt;=55,W1462&lt;105),0.2,0)+IF(AND(V1462&lt;20,W1462&gt;=105),0.15,0)+IF(AND(V1462&gt;=20,V1462&lt;40,W1462&lt;45),0.25,0)+IF(AND(V1462&gt;=20,V1462&lt;40,W1462&gt;=45,W1462&lt;95),0.2,0)+IF(AND(V1462&gt;=20,V1462&lt;40,W1462&gt;=95),0.15,0)+IF(AND(V1462&gt;=40,V1462&lt;75,W1462&lt;35),0.25,0)+IF(AND(V1462&gt;=40,V1462&lt;75,W1462&gt;=35,W1462&lt;75),0.2,0)+IF(AND(V1462&gt;=40,V1462&lt;75,W1462&gt;=75,W1462&lt;120),0.15,0)+IF(AND(V1462&gt;=40,V1462&lt;75,W1462&gt;=120),0.1,0)+IF(AND(V1462&gt;=75,V1462&lt;175,W1462&lt;35),0.25,0)+IF(AND(V1462&gt;=75,V1462&lt;=175,W1462&gt;=35,W1462&lt;65),0.2,0)+IF(AND(V1462&gt;=75,V1462&lt;=175,W1462&gt;=65,W1462&lt;110),0.15,0)+IF(AND(V1462&gt;=75,V1462&lt;=175,W1462&gt;=110),0.1,0)+IF(AND(V1462&gt;175,W1462&lt;25),0.25,0)+IF(AND(V1462&gt;175,W1462&gt;=25,W1462&lt;55),0.2,0)+IF(AND(V1462&gt;175,W1462&gt;=55,W1462&lt;95),0.15,0)+IF(AND(V1462&gt;175,W1462&gt;=95),0.1,0))))))))))))))))))))</f>
        <v>0.12</v>
      </c>
      <c r="Y1462" s="30">
        <f>IF(AG1462="None",0,IF(AG1462="Fix5",0.05, IF(AG1462="Fix6.25",0.0625,IF(AG1462="Fix3.75",0.0375, IF(AG1462="Fix11",0.11, IF(AG1462="Fix10",0.1,IF(AG1462="Fix3",0.03,0)))))))</f>
        <v>0</v>
      </c>
      <c r="Z1462" s="35">
        <f>IF(AND(AD1462="EUR", AE1462 = "USD"), T1462*U1462-AA1462-AB1462, T1462-AA1462-AB1462)</f>
        <v>0</v>
      </c>
      <c r="AA1462" s="29">
        <f>IF(AND(AD1462="EUR", F1462="Without EV deal", AE1462="USD"), (T1462*X1462)*U1462,
IF(AND(AD1462="EUR", F1462="Without EV deal", AE1462="EUR"), (T1462*X1462),
IF(AND(AD1462="EUR",AE1462="USD"), (T1462*X1462)*U1462,
T1462*X1462)))</f>
        <v>0</v>
      </c>
      <c r="AB1462" s="36">
        <f>IF(AND(AD1462="EUR", F1462="Without EV deal", AE1462="USD"), (T1462*Y1462)*U1462,
IF(AND(AD1462="EUR", F1462="Without EV deal", AE1462="EUR"), (T1462*Y1462),
IF(AND(AD1462="EUR",AE1462="USD"), (T1462*Y1462)*U1462,
T1462*Y1462)))</f>
        <v>0</v>
      </c>
      <c r="AC1462" s="37" t="b">
        <v>1</v>
      </c>
      <c r="AD1462" s="82" t="str">
        <f>IF(OR(H1462="€0.25 Flash",
H1462="€0.25(nitro) new",
H1462="€1",
H1462="€2",
H1462="€2 (bf 01.08)",
H1462="€5",
H1462="€5 (1M)",
H1462="€5 (bf 01.08)",
H1462="€5 (bf 05.05)",
H1462="€5 Nitro",
H1462="€5(wx) new",
H1462="€10",
H1462="€10 (1M)",
H1462="€10 (bf 01.08)",
H1462="€10 (bf 05.05)",
H1462="€10 (MP)",
H1462="€10 (old)",
H1462="€10 Nitro (bf 05.05)",
H1462="€10 Nitro (old)",
H1462="€10(wx) new",
H1462="€20",
H1462="€25",
H1462="€25 (bf 01.08)",
H1462="€25 (bf 05.05)",
H1462="€25 (MP)",
H1462="€25 (old)",
H1462="€25 Nitro",
H1462="€25 Nitro (bf 01.08)",
H1462="€25 Nitro (bf 05.05)",
H1462="€25(nitro) new",
H1462="€25(wx) new",
H1462="€50",
H1462="€50 (bf 01.08)",
H1462="€50 (bf 05.05)",
H1462="€50 (old)",
H1462="€50 Nitro",
H1462="€50 Nitro (bf 01.08)",
H1462="€50 Nitro (bf 05.05)",
H1462="€50(wx) new",
H1462="€100",
H1462="€100 (old)",
H1462="€100 Nitro",
H1462="€100 Nitro (old)",
H1462="€200",
H1462="€250",
H1462="€250 Nitro",
H1462="€500",
H1462="€500 Nitro"),"EUR", "USD")</f>
        <v>USD</v>
      </c>
      <c r="AE1462" s="83" t="s">
        <v>38</v>
      </c>
      <c r="AF1462" s="83" t="str">
        <f t="array" ref="AF1462">INDEX('Deal Info'!D:D, MATCH(A1462,'Deal Info'!A:A, 0))</f>
        <v>DoEVni</v>
      </c>
      <c r="AG1462" s="84" t="str">
        <f t="array" ref="AG1462">INDEX('Deal Info'!G:G, MATCH(A1462,'Deal Info'!A:A, 0))</f>
        <v>None</v>
      </c>
    </row>
    <row r="1463" spans="1:33" ht="14.25" hidden="1" x14ac:dyDescent="0.2">
      <c r="A1463" s="18" t="str">
        <f t="array" ref="A1463">IF(G1463='Room Info'!$B$1, INDEX('Room Info'!$A$2:$A2446, MATCH(B1463,'Room Info'!$B$2:$B2446, 0)),IF(G1463='Room Info'!$C$1, INDEX('Room Info'!$A$2:$A2446, MATCH(B1463,'Room Info'!$C$2:$C2446, 0)),IF(G1463='Room Info'!$D$1, INDEX('Room Info'!$A$2:$A2446, MATCH(B1463,'Room Info'!$D$2:$D2446, 0)),IF(G1463='Room Info'!$E$1, INDEX('Room Info'!$A$2:$A2446, MATCH(B1463,'Room Info'!$E$2:$E2446, 0)),IF(G1463='Room Info'!$F$1, INDEX('Room Info'!$A$2:$A2446, MATCH(B1463,'Room Info'!$F$2:$F2446, 0)),IF(G1463='Room Info'!$H$1, INDEX('Room Info'!$A$2:$A2446, MATCH(B1463,'Room Info'!$H$2:$H2446, 0)),IF(G1463='Room Info'!$G$1, INDEX('Room Info'!$A$2:$A2446, MATCH(B1463,'Room Info'!$G$2:$G2446, 0)))))))))</f>
        <v>Night Kin9</v>
      </c>
      <c r="B1463" s="85" t="s">
        <v>188</v>
      </c>
      <c r="C1463" s="86">
        <v>44947</v>
      </c>
      <c r="D1463" s="87">
        <v>44977</v>
      </c>
      <c r="E1463" s="21">
        <v>44958</v>
      </c>
      <c r="F1463" s="22" t="s">
        <v>34</v>
      </c>
      <c r="G1463" s="18" t="s">
        <v>35</v>
      </c>
      <c r="H1463" s="23" t="s">
        <v>87</v>
      </c>
      <c r="I1463" s="23" t="s">
        <v>44</v>
      </c>
      <c r="J1463" s="39">
        <v>25</v>
      </c>
      <c r="K1463" s="88">
        <v>2388</v>
      </c>
      <c r="L1463" s="89">
        <v>4875</v>
      </c>
      <c r="M1463" s="27"/>
      <c r="N1463" s="28">
        <f>K1463*J1463</f>
        <v>59700</v>
      </c>
      <c r="O1463" s="85">
        <v>42890</v>
      </c>
      <c r="P1463" s="29">
        <v>17.960636520000001</v>
      </c>
      <c r="Q1463" s="30"/>
      <c r="R1463" s="31">
        <f>M1463+Q1463</f>
        <v>0</v>
      </c>
      <c r="S1463" s="28"/>
      <c r="T1463" s="32">
        <f>IF(AND(AD1463="EUR", F1463="Without EV deal"), R1463 + L1463,
IF(AND(AD1463="USD", F1463="Without EV deal"), R1463 + L1463,
IF(AND(AD1463="EUR", F1463="Steel Phoenix"), R1463 + S1463/U1463,
R1463 + S1463)))</f>
        <v>0</v>
      </c>
      <c r="U1463" s="33">
        <v>1.0669999999999999</v>
      </c>
      <c r="V1463" s="34">
        <v>47.082720121796498</v>
      </c>
      <c r="W1463" s="34">
        <v>224.16</v>
      </c>
      <c r="X1463" s="30">
        <f>IF(AF1463="DoEV",IF(AND(V1463&lt;20,W1463&lt;55),0.3,0)+IF(AND(V1463&lt;20,W1463&gt;=55,W1463&lt;105),0.23,0)+IF(AND(V1463&lt;20,W1463&gt;=105),0.17,0)+IF(AND(V1463&gt;=20,V1463&lt;40,W1463&lt;45),0.3,0)+IF(AND(V1463&gt;=20,V1463&lt;40,W1463&gt;=45,W1463&lt;95),0.23,0)+IF(AND(V1463&gt;=20,V1463&lt;40,W1463&gt;=95),0.17,0)+IF(AND(V1463&gt;=40,V1463&lt;75,W1463&lt;35),0.3,0)+IF(AND(V1463&gt;=40,V1463&lt;75,W1463&gt;=35,W1463&lt;75),0.23,0)+IF(AND(V1463&gt;=40,V1463&lt;75,W1463&gt;=75,W1463&lt;120),0.17,0)+IF(AND(V1463&gt;=40,V1463&lt;75,W1463&gt;=120),0.12,0)+IF(AND(V1463&gt;=75,V1463&lt;175,W1463&lt;35),0.3,0)+IF(AND(V1463&gt;=75,V1463&lt;=175,W1463&gt;=35,W1463&lt;65),0.23,0)+IF(AND(V1463&gt;=75,V1463&lt;=175,W1463&gt;=65,W1463&lt;110),0.17,0)+IF(AND(V1463&gt;=75,V1463&lt;=175,W1463&gt;=110),0.12,0)+IF(AND(V1463&gt;175,W1463&lt;25),0.3,0)+IF(AND(V1463&gt;175,W1463&gt;=25,W1463&lt;55),0.23,0)+IF(AND(V1463&gt;175,W1463&gt;=55,W1463&lt;95),0.17,0)+IF(AND(V1463&gt;175,W1463&gt;=95),0.12,0),
IF(AF1463="Fix15",0.15,
IF(AF1463="Fix5",0.05,
IF(AF1463="Fix18.75",0.1875,
IF(AF1463="Fix11.25",0.1125,
IF(AF1463="Fix10",0.1,
IF(AF1463="Fix9",0.09,
IF(AF1463="Fix12",0.12,
IF(AF1463="Fix19",0.19,
IF(AF1463="DoEV2017",IF(AND(W1463&lt;74),0.2,0)+IF(AND(W1463&gt;=74),0.17,0),
IF(AF1463="SF",IF(AND(V1463&lt;20,W1463&lt;89),0.3,0)+IF(AND(V1463&lt;20,W1463&gt;=89),0.25,0)+IF(AND(V1463&gt;=20,V1463&lt;40,W1463&lt;74),0.3,0)+IF(AND(V1463&gt;=20,V1463&lt;40,W1463&gt;=75),0.22,0)+IF(AND(V1463&gt;=40,V1463&lt;75,W1463&lt;75),0.26,0)+IF(AND(V1463&gt;=40,V1463&lt;75,W1463&gt;=75),0.22,0)+IF(V1463&gt;=75,0.22,0),
IF(AF1463="DoEVold",IF(AND(V1463&lt;40,W1463&lt;35),0.35,0)+IF(AND(V1463&lt;40,W1463&gt;=35,W1463&lt;75),0.25,0)+IF(AND(V1463&lt;40,W1463&gt;=75),0.17,0)+IF(AND(V1463&gt;=40,V1463&lt;75,W1463&lt;25),0.35,0)+IF(AND(V1463&gt;=40,V1463&lt;75,W1463&gt;=25,W1463&lt;65),0.25,0)+IF(AND(V1463&gt;=40,V1463&lt;75,W1463&gt;=65,W1463&lt;100),0.17,0)+IF(AND(V1463&gt;=40,V1463&lt;75,W1463&gt;=100),0.1,0)+IF(AND(V1463&gt;=75,W1463&lt;25),0.35,0)+IF(AND(V1463&gt;=75,W1463&gt;=25,W1463&lt;60),0.25,0)+IF(AND(V1463&gt;=75,W1463&gt;=60,W1463&lt;95),0.17,0)+IF(AND(V1463&gt;=75,W1463&gt;=95),0.1,0),
IF(AF1463="DoEVold15",IF(AND(V1463&lt;=40,W1463&lt;35),0.35,0)+IF(AND(V1463&lt;=40,W1463&gt;=35,W1463&lt;75),0.25,0)+IF(AND(V1463&lt;=40,W1463&gt;=75,W1463&lt;120),0.17,0)+IF(AND(V1463&lt;=40,W1463&gt;=120),0.15,0)+IF(AND(V1463&gt;40,V1463&lt;75,W1463&lt;25),0.35,0)+IF(AND(V1463&gt;=40,V1463&lt;75,W1463&gt;=25,W1463&lt;65),0.25,0)+IF(AND(V1463&gt;=40,V1463&lt;75,W1463&gt;=65,W1463&lt;100),0.17,0)+IF(AND(V1463&gt;=40,V1463&lt;75,W1463&gt;=100),0.1,0)+IF(AND(V1463&gt;=75,W1463&lt;25),0.35,0)+IF(AND(V1463&gt;=75,W1463&gt;=25,W1463&lt;60),0.25,0)+IF(AND(V1463&gt;=75,W1463&gt;=60,W1463&lt;95),0.17,0)+IF(AND(V1463&gt;=75,W1463&gt;=95),0.1,0),
IF(AF1463="DoEVba",IF(AND(V1463&lt;20,W1463&lt;105),0.2,0)+IF(AND(V1463&lt;20,W1463&gt;=105),0.15,0)+IF(AND(V1463&gt;=20,V1463&lt;40,W1463&lt;95),0.2,0)+IF(AND(V1463&gt;=20,V1463&lt;40,W1463&gt;=95,W1463&lt;150),0.15,0)+IF(AND(V1463&gt;=20,V1463&lt;40,W1463&gt;=150),0.12,0)+IF(AND(V1463&gt;=40,V1463&lt;75,W1463&lt;75),0.2,0)+IF(AND(V1463&gt;=40,V1463&lt;75,W1463&gt;=75,W1463&lt;120),0.15,0)+IF(AND(V1463&gt;=40,V1463&lt;75,W1463&gt;=120),0.12,0)+IF(AND(V1463&gt;=75,V1463&lt;175,W1463&lt;65),0.2,0)+IF(AND(V1463&gt;=75,V1463&lt;175,W1463&gt;=65,W1463&lt;110),0.15,0)+IF(AND(V1463&gt;=75,V1463&lt;175,W1463&gt;=110),0.12,0)+IF(AND(V1463&gt;=175,W1463&lt;55),0.2,0)+IF(AND(V1463&gt;=175,W1463&gt;=55,W1463&lt;95),0.15,0)+IF(AND(V1463&gt;=175,W1463&gt;=95),0.12,0),
IF(AF1463="DoEVku",IF(AND(V1463&lt;20,W1463&lt;55),0.23,0)+IF(AND(V1463&lt;20,W1463&gt;=55,W1463&lt;105),0.2,0)+IF(AND(V1463&lt;20,W1463&gt;=105),0.17,0)+IF(AND(V1463&gt;=20,V1463&lt;40,W1463&lt;45),0.23,0)+IF(AND(V1463&gt;=20,V1463&lt;40,W1463&gt;=45,W1463&lt;95),0.2,0)+IF(AND(V1463&gt;=20,V1463&lt;40,W1463&gt;=95,W1463&lt;=150),0.17,0)+IF(AND(V1463&gt;=20,V1463&lt;40,W1463&gt;=150),0.12,0)+IF(AND(V1463&gt;=40,V1463&lt;75,W1463&lt;35),0.23,0)+IF(AND(V1463&gt;=40,V1463&lt;75,W1463&gt;=35,W1463&lt;75),0.2,0)+IF(AND(V1463&gt;=40,V1463&lt;75,W1463&gt;=75,W1463&lt;120),0.17,0)+IF(AND(V1463&gt;=40,V1463&lt;75,W1463&gt;=120),0.12,0)+IF(AND(V1463&gt;=75,V1463&lt;175,W1463&lt;35),0.23,0)+IF(AND(V1463&gt;=75,V1463&lt;=175,W1463&gt;=35,W1463&lt;65),0.2,0)+IF(AND(V1463&gt;=75,V1463&lt;=175,W1463&gt;=65,W1463&lt;110),0.17,0)+IF(AND(V1463&gt;=75,V1463&lt;=175,W1463&gt;=110),0.12,0)+IF(AND(V1463&gt;175,W1463&lt;25),0.23,0)+IF(AND(V1463&gt;175,W1463&gt;=25,W1463&lt;55),0.2,0)+IF(AND(V1463&gt;175,W1463&gt;=55,W1463&lt;95),0.17,0)+IF(AND(V1463&gt;175,W1463&gt;=95),0.12,0),
IF(AF1463="DoEVs1",IF(AND(V1463&lt;20,W1463&lt;55),0.3,0)+IF(AND(V1463&lt;20,W1463&gt;=55,W1463&lt;105),0.23,0)+IF(AND(V1463&lt;20,W1463&gt;=105),0.17,0)+IF(AND(V1463&gt;=20,V1463&lt;40,W1463&lt;45),0.3,0)+IF(AND(V1463&gt;=20,V1463&lt;40,W1463&gt;=45,W1463&lt;95),0.23,0)+IF(AND(V1463&gt;=20,V1463&lt;40,W1463&gt;=95,W1463&lt;=150),0.17,0)+IF(AND(V1463&gt;=20,V1463&lt;40,W1463&gt;=150),0.12,0)+IF(AND(V1463&gt;=40,V1463&lt;75,W1463&lt;35),0.3,0)+IF(AND(V1463&gt;=40,V1463&lt;75,W1463&gt;=35,W1463&lt;75),0.23,0)+IF(AND(V1463&gt;=40,V1463&lt;75,W1463&gt;=75,W1463&lt;120),0.17,0)+IF(AND(V1463&gt;=40,V1463&lt;75,W1463&gt;=120),0.12,0)+IF(AND(V1463&gt;=75,V1463&lt;175,W1463&lt;35),0.3,0)+IF(AND(V1463&gt;=75,V1463&lt;=175,W1463&gt;=35,W1463&lt;65),0.23,0)+IF(AND(V1463&gt;=75,V1463&lt;=175,W1463&gt;=65,W1463&lt;110),0.17,0)+IF(AND(V1463&gt;=75,V1463&lt;=175,W1463&gt;=110),0.12,0)+IF(AND(V1463&gt;175,W1463&lt;25),0.3,0)+IF(AND(V1463&gt;175,W1463&gt;=25,W1463&lt;55),0.23,0)+IF(AND(V1463&gt;175,W1463&gt;=55,W1463&lt;95),0.17,0)+IF(AND(V1463&gt;175,W1463&gt;=95),0.12,0),
IF(AF1463="DoEVsu",IF(AND(V1463&lt;20,W1463&lt;55),0.3,0)+IF(AND(V1463&lt;20,W1463&gt;=55,W1463&lt;105),0.23,0)+IF(AND(V1463&lt;20,W1463&gt;=105),0.17,0)+IF(AND(V1463&gt;=20,V1463&lt;40,W1463&lt;45),0.3,0)+IF(AND(V1463&gt;=20,V1463&lt;40,W1463&gt;=45,W1463&lt;95),0.23,0)+IF(AND(V1463&gt;=20,V1463&lt;40,W1463&gt;=95,W1463&lt;=250),0.17,0)+IF(AND(V1463&gt;=20,V1463&lt;40,W1463&gt;=250),0.12,0)+IF(AND(V1463&gt;=40,V1463&lt;75,W1463&lt;35),0.3,0)+IF(AND(V1463&gt;=40,V1463&lt;75,W1463&gt;=35,W1463&lt;75),0.23,0)+IF(AND(V1463&gt;=40,V1463&lt;75,W1463&gt;=75,W1463&lt;120),0.17,0)+IF(AND(V1463&gt;=40,V1463&lt;75,W1463&gt;=120),0.12,0)+IF(AND(V1463&gt;=75,V1463&lt;175,W1463&lt;35),0.3,0)+IF(AND(V1463&gt;=75,V1463&lt;=175,W1463&gt;=35,W1463&lt;65),0.23,0)+IF(AND(V1463&gt;=75,V1463&lt;=175,W1463&gt;=65,W1463&lt;110),0.17,0)+IF(AND(V1463&gt;=75,V1463&lt;=175,W1463&gt;=110),0.12,0)+IF(AND(V1463&gt;175,W1463&lt;25),0.3,0)+IF(AND(V1463&gt;175,W1463&gt;=25,W1463&lt;55),0.23,0)+IF(AND(V1463&gt;175,W1463&gt;=55,W1463&lt;95),0.17,0)+IF(AND(V1463&gt;175,W1463&gt;=95),0.12,0),
IF(AF1463="DoEVni",IF(AND(V1463&lt;20,W1463&lt;55),0.3,0)+IF(AND(V1463&lt;20,W1463&gt;=55,W1463&lt;105),0.23,0)+IF(AND(V1463&lt;20,W1463&gt;=105),0.17,0)+IF(AND(V1463&gt;=20,V1463&lt;40,W1463&lt;45),0.3,0)+IF(AND(V1463&gt;=20,V1463&lt;40,W1463&gt;=45,W1463&lt;95),0.23,0)+IF(AND(V1463&gt;=20,V1463&lt;40,W1463&gt;=95,W1463&lt;=200),0.17,0)+IF(AND(V1463&gt;=20,V1463&lt;40,W1463&gt;=200),0.12,0)+IF(AND(V1463&gt;=40,V1463&lt;75,W1463&lt;35),0.3,0)+IF(AND(V1463&gt;=40,V1463&lt;75,W1463&gt;=35,W1463&lt;75),0.23,0)+IF(AND(V1463&gt;=40,V1463&lt;75,W1463&gt;=75,W1463&lt;120),0.17,0)+IF(AND(V1463&gt;=40,V1463&lt;75,W1463&gt;=120),0.12,0)+IF(AND(V1463&gt;=75,V1463&lt;175,W1463&lt;35),0.3,0)+IF(AND(V1463&gt;=75,V1463&lt;=175,W1463&gt;=35,W1463&lt;65),0.23,0)+IF(AND(V1463&gt;=75,V1463&lt;=175,W1463&gt;=65,W1463&lt;110),0.17,0)+IF(AND(V1463&gt;=75,V1463&lt;=175,W1463&gt;=110),0.12,0)+IF(AND(V1463&gt;175,W1463&lt;25),0.3,0)+IF(AND(V1463&gt;175,W1463&gt;=25,W1463&lt;55),0.23,0)+IF(AND(V1463&gt;175,W1463&gt;=55,W1463&lt;95),0.17,0)+IF(AND(V1463&gt;175,W1463&gt;=95),0.12,0),
IF(AF1463="DoEVLo",IF(AND(V1463&lt;20,W1463&lt;55),0.25,0)+IF(AND(V1463&lt;20,W1463&gt;=55,W1463&lt;105),0.2,0)+IF(AND(V1463&lt;20,W1463&gt;=105),0.15,0)+IF(AND(V1463&gt;=20,V1463&lt;40,W1463&lt;45),0.25,0)+IF(AND(V1463&gt;=20,V1463&lt;40,W1463&gt;=45,W1463&lt;95),0.2,0)+IF(AND(V1463&gt;=20,V1463&lt;40,W1463&gt;=95),0.15,0)+IF(AND(V1463&gt;=40,V1463&lt;75,W1463&lt;35),0.25,0)+IF(AND(V1463&gt;=40,V1463&lt;75,W1463&gt;=35,W1463&lt;75),0.2,0)+IF(AND(V1463&gt;=40,V1463&lt;75,W1463&gt;=75,W1463&lt;120),0.15,0)+IF(AND(V1463&gt;=40,V1463&lt;75,W1463&gt;=120),0.1,0)+IF(AND(V1463&gt;=75,V1463&lt;175,W1463&lt;35),0.25,0)+IF(AND(V1463&gt;=75,V1463&lt;=175,W1463&gt;=35,W1463&lt;65),0.2,0)+IF(AND(V1463&gt;=75,V1463&lt;=175,W1463&gt;=65,W1463&lt;110),0.15,0)+IF(AND(V1463&gt;=75,V1463&lt;=175,W1463&gt;=110),0.1,0)+IF(AND(V1463&gt;175,W1463&lt;25),0.25,0)+IF(AND(V1463&gt;175,W1463&gt;=25,W1463&lt;55),0.2,0)+IF(AND(V1463&gt;175,W1463&gt;=55,W1463&lt;95),0.15,0)+IF(AND(V1463&gt;175,W1463&gt;=95),0.1,0))))))))))))))))))))</f>
        <v>0.12</v>
      </c>
      <c r="Y1463" s="30">
        <f>IF(AG1463="None",0,IF(AG1463="Fix5",0.05, IF(AG1463="Fix6.25",0.0625,IF(AG1463="Fix3.75",0.0375, IF(AG1463="Fix11",0.11, IF(AG1463="Fix10",0.1,IF(AG1463="Fix3",0.03,0)))))))</f>
        <v>0</v>
      </c>
      <c r="Z1463" s="35">
        <f>IF(AND(AD1463="EUR", AE1463 = "USD"), T1463*U1463-AA1463-AB1463, T1463-AA1463-AB1463)</f>
        <v>0</v>
      </c>
      <c r="AA1463" s="29">
        <f>IF(AND(AD1463="EUR", F1463="Without EV deal", AE1463="USD"), (T1463*X1463)*U1463,
IF(AND(AD1463="EUR", F1463="Without EV deal", AE1463="EUR"), (T1463*X1463),
IF(AND(AD1463="EUR",AE1463="USD"), (T1463*X1463)*U1463,
T1463*X1463)))</f>
        <v>0</v>
      </c>
      <c r="AB1463" s="36">
        <f>IF(AND(AD1463="EUR", F1463="Without EV deal", AE1463="USD"), (T1463*Y1463)*U1463,
IF(AND(AD1463="EUR", F1463="Without EV deal", AE1463="EUR"), (T1463*Y1463),
IF(AND(AD1463="EUR",AE1463="USD"), (T1463*Y1463)*U1463,
T1463*Y1463)))</f>
        <v>0</v>
      </c>
      <c r="AC1463" s="37" t="b">
        <v>1</v>
      </c>
      <c r="AD1463" s="82" t="str">
        <f>IF(OR(H1463="€0.25 Flash",
H1463="€0.25(nitro) new",
H1463="€1",
H1463="€2",
H1463="€2 (bf 01.08)",
H1463="€5",
H1463="€5 (1M)",
H1463="€5 (bf 01.08)",
H1463="€5 (bf 05.05)",
H1463="€5 Nitro",
H1463="€5(wx) new",
H1463="€10",
H1463="€10 (1M)",
H1463="€10 (bf 01.08)",
H1463="€10 (bf 05.05)",
H1463="€10 (MP)",
H1463="€10 (old)",
H1463="€10 Nitro (bf 05.05)",
H1463="€10 Nitro (old)",
H1463="€10(wx) new",
H1463="€20",
H1463="€25",
H1463="€25 (bf 01.08)",
H1463="€25 (bf 05.05)",
H1463="€25 (MP)",
H1463="€25 (old)",
H1463="€25 Nitro",
H1463="€25 Nitro (bf 01.08)",
H1463="€25 Nitro (bf 05.05)",
H1463="€25(nitro) new",
H1463="€25(wx) new",
H1463="€50",
H1463="€50 (bf 01.08)",
H1463="€50 (bf 05.05)",
H1463="€50 (old)",
H1463="€50 Nitro",
H1463="€50 Nitro (bf 01.08)",
H1463="€50 Nitro (bf 05.05)",
H1463="€50(wx) new",
H1463="€100",
H1463="€100 (old)",
H1463="€100 Nitro",
H1463="€100 Nitro (old)",
H1463="€200",
H1463="€250",
H1463="€250 Nitro",
H1463="€500",
H1463="€500 Nitro"),"EUR", "USD")</f>
        <v>USD</v>
      </c>
      <c r="AE1463" s="83" t="s">
        <v>38</v>
      </c>
      <c r="AF1463" s="83" t="str">
        <f t="array" ref="AF1463">INDEX('Deal Info'!D:D, MATCH(A1463,'Deal Info'!A:A, 0))</f>
        <v>DoEVni</v>
      </c>
      <c r="AG1463" s="84" t="str">
        <f t="array" ref="AG1463">INDEX('Deal Info'!G:G, MATCH(A1463,'Deal Info'!A:A, 0))</f>
        <v>None</v>
      </c>
    </row>
    <row r="1464" spans="1:33" ht="14.25" hidden="1" x14ac:dyDescent="0.2">
      <c r="A1464" s="18" t="str">
        <f t="array" ref="A1464">IF(G1464='Room Info'!$B$1, INDEX('Room Info'!$A$2:$A2446, MATCH(B1464,'Room Info'!$B$2:$B2446, 0)),IF(G1464='Room Info'!$C$1, INDEX('Room Info'!$A$2:$A2446, MATCH(B1464,'Room Info'!$C$2:$C2446, 0)),IF(G1464='Room Info'!$D$1, INDEX('Room Info'!$A$2:$A2446, MATCH(B1464,'Room Info'!$D$2:$D2446, 0)),IF(G1464='Room Info'!$E$1, INDEX('Room Info'!$A$2:$A2446, MATCH(B1464,'Room Info'!$E$2:$E2446, 0)),IF(G1464='Room Info'!$F$1, INDEX('Room Info'!$A$2:$A2446, MATCH(B1464,'Room Info'!$F$2:$F2446, 0)),IF(G1464='Room Info'!$H$1, INDEX('Room Info'!$A$2:$A2446, MATCH(B1464,'Room Info'!$H$2:$H2446, 0)),IF(G1464='Room Info'!$G$1, INDEX('Room Info'!$A$2:$A2446, MATCH(B1464,'Room Info'!$G$2:$G2446, 0)))))))))</f>
        <v>Night Kin9</v>
      </c>
      <c r="B1464" s="85" t="s">
        <v>188</v>
      </c>
      <c r="C1464" s="86">
        <v>44947</v>
      </c>
      <c r="D1464" s="87">
        <v>44977</v>
      </c>
      <c r="E1464" s="21">
        <v>44958</v>
      </c>
      <c r="F1464" s="22" t="s">
        <v>34</v>
      </c>
      <c r="G1464" s="18" t="s">
        <v>35</v>
      </c>
      <c r="H1464" s="23" t="s">
        <v>72</v>
      </c>
      <c r="I1464" s="23" t="s">
        <v>37</v>
      </c>
      <c r="J1464" s="39">
        <v>50</v>
      </c>
      <c r="K1464" s="88">
        <v>337</v>
      </c>
      <c r="L1464" s="89">
        <v>-1150</v>
      </c>
      <c r="M1464" s="27"/>
      <c r="N1464" s="28">
        <f>K1464*J1464</f>
        <v>16850</v>
      </c>
      <c r="O1464" s="85">
        <v>5341</v>
      </c>
      <c r="P1464" s="29">
        <v>15.84866469</v>
      </c>
      <c r="Q1464" s="30"/>
      <c r="R1464" s="31">
        <f>M1464+Q1464</f>
        <v>0</v>
      </c>
      <c r="S1464" s="28"/>
      <c r="T1464" s="32">
        <f>IF(AND(AD1464="EUR", F1464="Without EV deal"), R1464 + L1464,
IF(AND(AD1464="USD", F1464="Without EV deal"), R1464 + L1464,
IF(AND(AD1464="EUR", F1464="Steel Phoenix"), R1464 + S1464/U1464,
R1464 + S1464)))</f>
        <v>0</v>
      </c>
      <c r="U1464" s="33">
        <v>1.0669999999999999</v>
      </c>
      <c r="V1464" s="34">
        <v>47.082720121796498</v>
      </c>
      <c r="W1464" s="34">
        <v>224.16</v>
      </c>
      <c r="X1464" s="30">
        <f>IF(AF1464="DoEV",IF(AND(V1464&lt;20,W1464&lt;55),0.3,0)+IF(AND(V1464&lt;20,W1464&gt;=55,W1464&lt;105),0.23,0)+IF(AND(V1464&lt;20,W1464&gt;=105),0.17,0)+IF(AND(V1464&gt;=20,V1464&lt;40,W1464&lt;45),0.3,0)+IF(AND(V1464&gt;=20,V1464&lt;40,W1464&gt;=45,W1464&lt;95),0.23,0)+IF(AND(V1464&gt;=20,V1464&lt;40,W1464&gt;=95),0.17,0)+IF(AND(V1464&gt;=40,V1464&lt;75,W1464&lt;35),0.3,0)+IF(AND(V1464&gt;=40,V1464&lt;75,W1464&gt;=35,W1464&lt;75),0.23,0)+IF(AND(V1464&gt;=40,V1464&lt;75,W1464&gt;=75,W1464&lt;120),0.17,0)+IF(AND(V1464&gt;=40,V1464&lt;75,W1464&gt;=120),0.12,0)+IF(AND(V1464&gt;=75,V1464&lt;175,W1464&lt;35),0.3,0)+IF(AND(V1464&gt;=75,V1464&lt;=175,W1464&gt;=35,W1464&lt;65),0.23,0)+IF(AND(V1464&gt;=75,V1464&lt;=175,W1464&gt;=65,W1464&lt;110),0.17,0)+IF(AND(V1464&gt;=75,V1464&lt;=175,W1464&gt;=110),0.12,0)+IF(AND(V1464&gt;175,W1464&lt;25),0.3,0)+IF(AND(V1464&gt;175,W1464&gt;=25,W1464&lt;55),0.23,0)+IF(AND(V1464&gt;175,W1464&gt;=55,W1464&lt;95),0.17,0)+IF(AND(V1464&gt;175,W1464&gt;=95),0.12,0),
IF(AF1464="Fix15",0.15,
IF(AF1464="Fix5",0.05,
IF(AF1464="Fix18.75",0.1875,
IF(AF1464="Fix11.25",0.1125,
IF(AF1464="Fix10",0.1,
IF(AF1464="Fix9",0.09,
IF(AF1464="Fix12",0.12,
IF(AF1464="Fix19",0.19,
IF(AF1464="DoEV2017",IF(AND(W1464&lt;74),0.2,0)+IF(AND(W1464&gt;=74),0.17,0),
IF(AF1464="SF",IF(AND(V1464&lt;20,W1464&lt;89),0.3,0)+IF(AND(V1464&lt;20,W1464&gt;=89),0.25,0)+IF(AND(V1464&gt;=20,V1464&lt;40,W1464&lt;74),0.3,0)+IF(AND(V1464&gt;=20,V1464&lt;40,W1464&gt;=75),0.22,0)+IF(AND(V1464&gt;=40,V1464&lt;75,W1464&lt;75),0.26,0)+IF(AND(V1464&gt;=40,V1464&lt;75,W1464&gt;=75),0.22,0)+IF(V1464&gt;=75,0.22,0),
IF(AF1464="DoEVold",IF(AND(V1464&lt;40,W1464&lt;35),0.35,0)+IF(AND(V1464&lt;40,W1464&gt;=35,W1464&lt;75),0.25,0)+IF(AND(V1464&lt;40,W1464&gt;=75),0.17,0)+IF(AND(V1464&gt;=40,V1464&lt;75,W1464&lt;25),0.35,0)+IF(AND(V1464&gt;=40,V1464&lt;75,W1464&gt;=25,W1464&lt;65),0.25,0)+IF(AND(V1464&gt;=40,V1464&lt;75,W1464&gt;=65,W1464&lt;100),0.17,0)+IF(AND(V1464&gt;=40,V1464&lt;75,W1464&gt;=100),0.1,0)+IF(AND(V1464&gt;=75,W1464&lt;25),0.35,0)+IF(AND(V1464&gt;=75,W1464&gt;=25,W1464&lt;60),0.25,0)+IF(AND(V1464&gt;=75,W1464&gt;=60,W1464&lt;95),0.17,0)+IF(AND(V1464&gt;=75,W1464&gt;=95),0.1,0),
IF(AF1464="DoEVold15",IF(AND(V1464&lt;=40,W1464&lt;35),0.35,0)+IF(AND(V1464&lt;=40,W1464&gt;=35,W1464&lt;75),0.25,0)+IF(AND(V1464&lt;=40,W1464&gt;=75,W1464&lt;120),0.17,0)+IF(AND(V1464&lt;=40,W1464&gt;=120),0.15,0)+IF(AND(V1464&gt;40,V1464&lt;75,W1464&lt;25),0.35,0)+IF(AND(V1464&gt;=40,V1464&lt;75,W1464&gt;=25,W1464&lt;65),0.25,0)+IF(AND(V1464&gt;=40,V1464&lt;75,W1464&gt;=65,W1464&lt;100),0.17,0)+IF(AND(V1464&gt;=40,V1464&lt;75,W1464&gt;=100),0.1,0)+IF(AND(V1464&gt;=75,W1464&lt;25),0.35,0)+IF(AND(V1464&gt;=75,W1464&gt;=25,W1464&lt;60),0.25,0)+IF(AND(V1464&gt;=75,W1464&gt;=60,W1464&lt;95),0.17,0)+IF(AND(V1464&gt;=75,W1464&gt;=95),0.1,0),
IF(AF1464="DoEVba",IF(AND(V1464&lt;20,W1464&lt;105),0.2,0)+IF(AND(V1464&lt;20,W1464&gt;=105),0.15,0)+IF(AND(V1464&gt;=20,V1464&lt;40,W1464&lt;95),0.2,0)+IF(AND(V1464&gt;=20,V1464&lt;40,W1464&gt;=95,W1464&lt;150),0.15,0)+IF(AND(V1464&gt;=20,V1464&lt;40,W1464&gt;=150),0.12,0)+IF(AND(V1464&gt;=40,V1464&lt;75,W1464&lt;75),0.2,0)+IF(AND(V1464&gt;=40,V1464&lt;75,W1464&gt;=75,W1464&lt;120),0.15,0)+IF(AND(V1464&gt;=40,V1464&lt;75,W1464&gt;=120),0.12,0)+IF(AND(V1464&gt;=75,V1464&lt;175,W1464&lt;65),0.2,0)+IF(AND(V1464&gt;=75,V1464&lt;175,W1464&gt;=65,W1464&lt;110),0.15,0)+IF(AND(V1464&gt;=75,V1464&lt;175,W1464&gt;=110),0.12,0)+IF(AND(V1464&gt;=175,W1464&lt;55),0.2,0)+IF(AND(V1464&gt;=175,W1464&gt;=55,W1464&lt;95),0.15,0)+IF(AND(V1464&gt;=175,W1464&gt;=95),0.12,0),
IF(AF1464="DoEVku",IF(AND(V1464&lt;20,W1464&lt;55),0.23,0)+IF(AND(V1464&lt;20,W1464&gt;=55,W1464&lt;105),0.2,0)+IF(AND(V1464&lt;20,W1464&gt;=105),0.17,0)+IF(AND(V1464&gt;=20,V1464&lt;40,W1464&lt;45),0.23,0)+IF(AND(V1464&gt;=20,V1464&lt;40,W1464&gt;=45,W1464&lt;95),0.2,0)+IF(AND(V1464&gt;=20,V1464&lt;40,W1464&gt;=95,W1464&lt;=150),0.17,0)+IF(AND(V1464&gt;=20,V1464&lt;40,W1464&gt;=150),0.12,0)+IF(AND(V1464&gt;=40,V1464&lt;75,W1464&lt;35),0.23,0)+IF(AND(V1464&gt;=40,V1464&lt;75,W1464&gt;=35,W1464&lt;75),0.2,0)+IF(AND(V1464&gt;=40,V1464&lt;75,W1464&gt;=75,W1464&lt;120),0.17,0)+IF(AND(V1464&gt;=40,V1464&lt;75,W1464&gt;=120),0.12,0)+IF(AND(V1464&gt;=75,V1464&lt;175,W1464&lt;35),0.23,0)+IF(AND(V1464&gt;=75,V1464&lt;=175,W1464&gt;=35,W1464&lt;65),0.2,0)+IF(AND(V1464&gt;=75,V1464&lt;=175,W1464&gt;=65,W1464&lt;110),0.17,0)+IF(AND(V1464&gt;=75,V1464&lt;=175,W1464&gt;=110),0.12,0)+IF(AND(V1464&gt;175,W1464&lt;25),0.23,0)+IF(AND(V1464&gt;175,W1464&gt;=25,W1464&lt;55),0.2,0)+IF(AND(V1464&gt;175,W1464&gt;=55,W1464&lt;95),0.17,0)+IF(AND(V1464&gt;175,W1464&gt;=95),0.12,0),
IF(AF1464="DoEVs1",IF(AND(V1464&lt;20,W1464&lt;55),0.3,0)+IF(AND(V1464&lt;20,W1464&gt;=55,W1464&lt;105),0.23,0)+IF(AND(V1464&lt;20,W1464&gt;=105),0.17,0)+IF(AND(V1464&gt;=20,V1464&lt;40,W1464&lt;45),0.3,0)+IF(AND(V1464&gt;=20,V1464&lt;40,W1464&gt;=45,W1464&lt;95),0.23,0)+IF(AND(V1464&gt;=20,V1464&lt;40,W1464&gt;=95,W1464&lt;=150),0.17,0)+IF(AND(V1464&gt;=20,V1464&lt;40,W1464&gt;=150),0.12,0)+IF(AND(V1464&gt;=40,V1464&lt;75,W1464&lt;35),0.3,0)+IF(AND(V1464&gt;=40,V1464&lt;75,W1464&gt;=35,W1464&lt;75),0.23,0)+IF(AND(V1464&gt;=40,V1464&lt;75,W1464&gt;=75,W1464&lt;120),0.17,0)+IF(AND(V1464&gt;=40,V1464&lt;75,W1464&gt;=120),0.12,0)+IF(AND(V1464&gt;=75,V1464&lt;175,W1464&lt;35),0.3,0)+IF(AND(V1464&gt;=75,V1464&lt;=175,W1464&gt;=35,W1464&lt;65),0.23,0)+IF(AND(V1464&gt;=75,V1464&lt;=175,W1464&gt;=65,W1464&lt;110),0.17,0)+IF(AND(V1464&gt;=75,V1464&lt;=175,W1464&gt;=110),0.12,0)+IF(AND(V1464&gt;175,W1464&lt;25),0.3,0)+IF(AND(V1464&gt;175,W1464&gt;=25,W1464&lt;55),0.23,0)+IF(AND(V1464&gt;175,W1464&gt;=55,W1464&lt;95),0.17,0)+IF(AND(V1464&gt;175,W1464&gt;=95),0.12,0),
IF(AF1464="DoEVsu",IF(AND(V1464&lt;20,W1464&lt;55),0.3,0)+IF(AND(V1464&lt;20,W1464&gt;=55,W1464&lt;105),0.23,0)+IF(AND(V1464&lt;20,W1464&gt;=105),0.17,0)+IF(AND(V1464&gt;=20,V1464&lt;40,W1464&lt;45),0.3,0)+IF(AND(V1464&gt;=20,V1464&lt;40,W1464&gt;=45,W1464&lt;95),0.23,0)+IF(AND(V1464&gt;=20,V1464&lt;40,W1464&gt;=95,W1464&lt;=250),0.17,0)+IF(AND(V1464&gt;=20,V1464&lt;40,W1464&gt;=250),0.12,0)+IF(AND(V1464&gt;=40,V1464&lt;75,W1464&lt;35),0.3,0)+IF(AND(V1464&gt;=40,V1464&lt;75,W1464&gt;=35,W1464&lt;75),0.23,0)+IF(AND(V1464&gt;=40,V1464&lt;75,W1464&gt;=75,W1464&lt;120),0.17,0)+IF(AND(V1464&gt;=40,V1464&lt;75,W1464&gt;=120),0.12,0)+IF(AND(V1464&gt;=75,V1464&lt;175,W1464&lt;35),0.3,0)+IF(AND(V1464&gt;=75,V1464&lt;=175,W1464&gt;=35,W1464&lt;65),0.23,0)+IF(AND(V1464&gt;=75,V1464&lt;=175,W1464&gt;=65,W1464&lt;110),0.17,0)+IF(AND(V1464&gt;=75,V1464&lt;=175,W1464&gt;=110),0.12,0)+IF(AND(V1464&gt;175,W1464&lt;25),0.3,0)+IF(AND(V1464&gt;175,W1464&gt;=25,W1464&lt;55),0.23,0)+IF(AND(V1464&gt;175,W1464&gt;=55,W1464&lt;95),0.17,0)+IF(AND(V1464&gt;175,W1464&gt;=95),0.12,0),
IF(AF1464="DoEVni",IF(AND(V1464&lt;20,W1464&lt;55),0.3,0)+IF(AND(V1464&lt;20,W1464&gt;=55,W1464&lt;105),0.23,0)+IF(AND(V1464&lt;20,W1464&gt;=105),0.17,0)+IF(AND(V1464&gt;=20,V1464&lt;40,W1464&lt;45),0.3,0)+IF(AND(V1464&gt;=20,V1464&lt;40,W1464&gt;=45,W1464&lt;95),0.23,0)+IF(AND(V1464&gt;=20,V1464&lt;40,W1464&gt;=95,W1464&lt;=200),0.17,0)+IF(AND(V1464&gt;=20,V1464&lt;40,W1464&gt;=200),0.12,0)+IF(AND(V1464&gt;=40,V1464&lt;75,W1464&lt;35),0.3,0)+IF(AND(V1464&gt;=40,V1464&lt;75,W1464&gt;=35,W1464&lt;75),0.23,0)+IF(AND(V1464&gt;=40,V1464&lt;75,W1464&gt;=75,W1464&lt;120),0.17,0)+IF(AND(V1464&gt;=40,V1464&lt;75,W1464&gt;=120),0.12,0)+IF(AND(V1464&gt;=75,V1464&lt;175,W1464&lt;35),0.3,0)+IF(AND(V1464&gt;=75,V1464&lt;=175,W1464&gt;=35,W1464&lt;65),0.23,0)+IF(AND(V1464&gt;=75,V1464&lt;=175,W1464&gt;=65,W1464&lt;110),0.17,0)+IF(AND(V1464&gt;=75,V1464&lt;=175,W1464&gt;=110),0.12,0)+IF(AND(V1464&gt;175,W1464&lt;25),0.3,0)+IF(AND(V1464&gt;175,W1464&gt;=25,W1464&lt;55),0.23,0)+IF(AND(V1464&gt;175,W1464&gt;=55,W1464&lt;95),0.17,0)+IF(AND(V1464&gt;175,W1464&gt;=95),0.12,0),
IF(AF1464="DoEVLo",IF(AND(V1464&lt;20,W1464&lt;55),0.25,0)+IF(AND(V1464&lt;20,W1464&gt;=55,W1464&lt;105),0.2,0)+IF(AND(V1464&lt;20,W1464&gt;=105),0.15,0)+IF(AND(V1464&gt;=20,V1464&lt;40,W1464&lt;45),0.25,0)+IF(AND(V1464&gt;=20,V1464&lt;40,W1464&gt;=45,W1464&lt;95),0.2,0)+IF(AND(V1464&gt;=20,V1464&lt;40,W1464&gt;=95),0.15,0)+IF(AND(V1464&gt;=40,V1464&lt;75,W1464&lt;35),0.25,0)+IF(AND(V1464&gt;=40,V1464&lt;75,W1464&gt;=35,W1464&lt;75),0.2,0)+IF(AND(V1464&gt;=40,V1464&lt;75,W1464&gt;=75,W1464&lt;120),0.15,0)+IF(AND(V1464&gt;=40,V1464&lt;75,W1464&gt;=120),0.1,0)+IF(AND(V1464&gt;=75,V1464&lt;175,W1464&lt;35),0.25,0)+IF(AND(V1464&gt;=75,V1464&lt;=175,W1464&gt;=35,W1464&lt;65),0.2,0)+IF(AND(V1464&gt;=75,V1464&lt;=175,W1464&gt;=65,W1464&lt;110),0.15,0)+IF(AND(V1464&gt;=75,V1464&lt;=175,W1464&gt;=110),0.1,0)+IF(AND(V1464&gt;175,W1464&lt;25),0.25,0)+IF(AND(V1464&gt;175,W1464&gt;=25,W1464&lt;55),0.2,0)+IF(AND(V1464&gt;175,W1464&gt;=55,W1464&lt;95),0.15,0)+IF(AND(V1464&gt;175,W1464&gt;=95),0.1,0))))))))))))))))))))</f>
        <v>0.12</v>
      </c>
      <c r="Y1464" s="30">
        <f>IF(AG1464="None",0,IF(AG1464="Fix5",0.05, IF(AG1464="Fix6.25",0.0625,IF(AG1464="Fix3.75",0.0375, IF(AG1464="Fix11",0.11, IF(AG1464="Fix10",0.1,IF(AG1464="Fix3",0.03,0)))))))</f>
        <v>0</v>
      </c>
      <c r="Z1464" s="35">
        <f>IF(AND(AD1464="EUR", AE1464 = "USD"), T1464*U1464-AA1464-AB1464, T1464-AA1464-AB1464)</f>
        <v>0</v>
      </c>
      <c r="AA1464" s="29">
        <f>IF(AND(AD1464="EUR", F1464="Without EV deal", AE1464="USD"), (T1464*X1464)*U1464,
IF(AND(AD1464="EUR", F1464="Without EV deal", AE1464="EUR"), (T1464*X1464),
IF(AND(AD1464="EUR",AE1464="USD"), (T1464*X1464)*U1464,
T1464*X1464)))</f>
        <v>0</v>
      </c>
      <c r="AB1464" s="36">
        <f>IF(AND(AD1464="EUR", F1464="Without EV deal", AE1464="USD"), (T1464*Y1464)*U1464,
IF(AND(AD1464="EUR", F1464="Without EV deal", AE1464="EUR"), (T1464*Y1464),
IF(AND(AD1464="EUR",AE1464="USD"), (T1464*Y1464)*U1464,
T1464*Y1464)))</f>
        <v>0</v>
      </c>
      <c r="AC1464" s="37" t="b">
        <v>1</v>
      </c>
      <c r="AD1464" s="82" t="str">
        <f>IF(OR(H1464="€0.25 Flash",
H1464="€0.25(nitro) new",
H1464="€1",
H1464="€2",
H1464="€2 (bf 01.08)",
H1464="€5",
H1464="€5 (1M)",
H1464="€5 (bf 01.08)",
H1464="€5 (bf 05.05)",
H1464="€5 Nitro",
H1464="€5(wx) new",
H1464="€10",
H1464="€10 (1M)",
H1464="€10 (bf 01.08)",
H1464="€10 (bf 05.05)",
H1464="€10 (MP)",
H1464="€10 (old)",
H1464="€10 Nitro (bf 05.05)",
H1464="€10 Nitro (old)",
H1464="€10(wx) new",
H1464="€20",
H1464="€25",
H1464="€25 (bf 01.08)",
H1464="€25 (bf 05.05)",
H1464="€25 (MP)",
H1464="€25 (old)",
H1464="€25 Nitro",
H1464="€25 Nitro (bf 01.08)",
H1464="€25 Nitro (bf 05.05)",
H1464="€25(nitro) new",
H1464="€25(wx) new",
H1464="€50",
H1464="€50 (bf 01.08)",
H1464="€50 (bf 05.05)",
H1464="€50 (old)",
H1464="€50 Nitro",
H1464="€50 Nitro (bf 01.08)",
H1464="€50 Nitro (bf 05.05)",
H1464="€50(wx) new",
H1464="€100",
H1464="€100 (old)",
H1464="€100 Nitro",
H1464="€100 Nitro (old)",
H1464="€200",
H1464="€250",
H1464="€250 Nitro",
H1464="€500",
H1464="€500 Nitro"),"EUR", "USD")</f>
        <v>USD</v>
      </c>
      <c r="AE1464" s="83" t="s">
        <v>38</v>
      </c>
      <c r="AF1464" s="83" t="str">
        <f t="array" ref="AF1464">INDEX('Deal Info'!D:D, MATCH(A1464,'Deal Info'!A:A, 0))</f>
        <v>DoEVni</v>
      </c>
      <c r="AG1464" s="84" t="str">
        <f t="array" ref="AG1464">INDEX('Deal Info'!G:G, MATCH(A1464,'Deal Info'!A:A, 0))</f>
        <v>None</v>
      </c>
    </row>
    <row r="1465" spans="1:33" ht="14.25" hidden="1" x14ac:dyDescent="0.2">
      <c r="A1465" s="18" t="str">
        <f t="array" ref="A1465">IF(G1465='Room Info'!$B$1, INDEX('Room Info'!$A$2:$A2446, MATCH(B1465,'Room Info'!$B$2:$B2446, 0)),IF(G1465='Room Info'!$C$1, INDEX('Room Info'!$A$2:$A2446, MATCH(B1465,'Room Info'!$C$2:$C2446, 0)),IF(G1465='Room Info'!$D$1, INDEX('Room Info'!$A$2:$A2446, MATCH(B1465,'Room Info'!$D$2:$D2446, 0)),IF(G1465='Room Info'!$E$1, INDEX('Room Info'!$A$2:$A2446, MATCH(B1465,'Room Info'!$E$2:$E2446, 0)),IF(G1465='Room Info'!$F$1, INDEX('Room Info'!$A$2:$A2446, MATCH(B1465,'Room Info'!$F$2:$F2446, 0)),IF(G1465='Room Info'!$H$1, INDEX('Room Info'!$A$2:$A2446, MATCH(B1465,'Room Info'!$H$2:$H2446, 0)),IF(G1465='Room Info'!$G$1, INDEX('Room Info'!$A$2:$A2446, MATCH(B1465,'Room Info'!$G$2:$G2446, 0)))))))))</f>
        <v>Night Kin9</v>
      </c>
      <c r="B1465" s="85" t="s">
        <v>188</v>
      </c>
      <c r="C1465" s="86">
        <v>44947</v>
      </c>
      <c r="D1465" s="87">
        <v>44977</v>
      </c>
      <c r="E1465" s="21">
        <v>44958</v>
      </c>
      <c r="F1465" s="22" t="s">
        <v>34</v>
      </c>
      <c r="G1465" s="18" t="s">
        <v>35</v>
      </c>
      <c r="H1465" s="23" t="s">
        <v>85</v>
      </c>
      <c r="I1465" s="23" t="s">
        <v>44</v>
      </c>
      <c r="J1465" s="39">
        <v>50</v>
      </c>
      <c r="K1465" s="88">
        <v>8534</v>
      </c>
      <c r="L1465" s="89">
        <v>-20650</v>
      </c>
      <c r="M1465" s="27"/>
      <c r="N1465" s="28">
        <f>K1465*J1465</f>
        <v>426700</v>
      </c>
      <c r="O1465" s="85">
        <v>64745</v>
      </c>
      <c r="P1465" s="29">
        <v>7.5867119760000001</v>
      </c>
      <c r="Q1465" s="30"/>
      <c r="R1465" s="31">
        <f>M1465+Q1465</f>
        <v>0</v>
      </c>
      <c r="S1465" s="28"/>
      <c r="T1465" s="32">
        <f>IF(AND(AD1465="EUR", F1465="Without EV deal"), R1465 + L1465,
IF(AND(AD1465="USD", F1465="Without EV deal"), R1465 + L1465,
IF(AND(AD1465="EUR", F1465="Steel Phoenix"), R1465 + S1465/U1465,
R1465 + S1465)))</f>
        <v>0</v>
      </c>
      <c r="U1465" s="33">
        <v>1.0669999999999999</v>
      </c>
      <c r="V1465" s="34">
        <v>47.082720121796498</v>
      </c>
      <c r="W1465" s="34">
        <v>224.16</v>
      </c>
      <c r="X1465" s="30">
        <f>IF(AF1465="DoEV",IF(AND(V1465&lt;20,W1465&lt;55),0.3,0)+IF(AND(V1465&lt;20,W1465&gt;=55,W1465&lt;105),0.23,0)+IF(AND(V1465&lt;20,W1465&gt;=105),0.17,0)+IF(AND(V1465&gt;=20,V1465&lt;40,W1465&lt;45),0.3,0)+IF(AND(V1465&gt;=20,V1465&lt;40,W1465&gt;=45,W1465&lt;95),0.23,0)+IF(AND(V1465&gt;=20,V1465&lt;40,W1465&gt;=95),0.17,0)+IF(AND(V1465&gt;=40,V1465&lt;75,W1465&lt;35),0.3,0)+IF(AND(V1465&gt;=40,V1465&lt;75,W1465&gt;=35,W1465&lt;75),0.23,0)+IF(AND(V1465&gt;=40,V1465&lt;75,W1465&gt;=75,W1465&lt;120),0.17,0)+IF(AND(V1465&gt;=40,V1465&lt;75,W1465&gt;=120),0.12,0)+IF(AND(V1465&gt;=75,V1465&lt;175,W1465&lt;35),0.3,0)+IF(AND(V1465&gt;=75,V1465&lt;=175,W1465&gt;=35,W1465&lt;65),0.23,0)+IF(AND(V1465&gt;=75,V1465&lt;=175,W1465&gt;=65,W1465&lt;110),0.17,0)+IF(AND(V1465&gt;=75,V1465&lt;=175,W1465&gt;=110),0.12,0)+IF(AND(V1465&gt;175,W1465&lt;25),0.3,0)+IF(AND(V1465&gt;175,W1465&gt;=25,W1465&lt;55),0.23,0)+IF(AND(V1465&gt;175,W1465&gt;=55,W1465&lt;95),0.17,0)+IF(AND(V1465&gt;175,W1465&gt;=95),0.12,0),
IF(AF1465="Fix15",0.15,
IF(AF1465="Fix5",0.05,
IF(AF1465="Fix18.75",0.1875,
IF(AF1465="Fix11.25",0.1125,
IF(AF1465="Fix10",0.1,
IF(AF1465="Fix9",0.09,
IF(AF1465="Fix12",0.12,
IF(AF1465="Fix19",0.19,
IF(AF1465="DoEV2017",IF(AND(W1465&lt;74),0.2,0)+IF(AND(W1465&gt;=74),0.17,0),
IF(AF1465="SF",IF(AND(V1465&lt;20,W1465&lt;89),0.3,0)+IF(AND(V1465&lt;20,W1465&gt;=89),0.25,0)+IF(AND(V1465&gt;=20,V1465&lt;40,W1465&lt;74),0.3,0)+IF(AND(V1465&gt;=20,V1465&lt;40,W1465&gt;=75),0.22,0)+IF(AND(V1465&gt;=40,V1465&lt;75,W1465&lt;75),0.26,0)+IF(AND(V1465&gt;=40,V1465&lt;75,W1465&gt;=75),0.22,0)+IF(V1465&gt;=75,0.22,0),
IF(AF1465="DoEVold",IF(AND(V1465&lt;40,W1465&lt;35),0.35,0)+IF(AND(V1465&lt;40,W1465&gt;=35,W1465&lt;75),0.25,0)+IF(AND(V1465&lt;40,W1465&gt;=75),0.17,0)+IF(AND(V1465&gt;=40,V1465&lt;75,W1465&lt;25),0.35,0)+IF(AND(V1465&gt;=40,V1465&lt;75,W1465&gt;=25,W1465&lt;65),0.25,0)+IF(AND(V1465&gt;=40,V1465&lt;75,W1465&gt;=65,W1465&lt;100),0.17,0)+IF(AND(V1465&gt;=40,V1465&lt;75,W1465&gt;=100),0.1,0)+IF(AND(V1465&gt;=75,W1465&lt;25),0.35,0)+IF(AND(V1465&gt;=75,W1465&gt;=25,W1465&lt;60),0.25,0)+IF(AND(V1465&gt;=75,W1465&gt;=60,W1465&lt;95),0.17,0)+IF(AND(V1465&gt;=75,W1465&gt;=95),0.1,0),
IF(AF1465="DoEVold15",IF(AND(V1465&lt;=40,W1465&lt;35),0.35,0)+IF(AND(V1465&lt;=40,W1465&gt;=35,W1465&lt;75),0.25,0)+IF(AND(V1465&lt;=40,W1465&gt;=75,W1465&lt;120),0.17,0)+IF(AND(V1465&lt;=40,W1465&gt;=120),0.15,0)+IF(AND(V1465&gt;40,V1465&lt;75,W1465&lt;25),0.35,0)+IF(AND(V1465&gt;=40,V1465&lt;75,W1465&gt;=25,W1465&lt;65),0.25,0)+IF(AND(V1465&gt;=40,V1465&lt;75,W1465&gt;=65,W1465&lt;100),0.17,0)+IF(AND(V1465&gt;=40,V1465&lt;75,W1465&gt;=100),0.1,0)+IF(AND(V1465&gt;=75,W1465&lt;25),0.35,0)+IF(AND(V1465&gt;=75,W1465&gt;=25,W1465&lt;60),0.25,0)+IF(AND(V1465&gt;=75,W1465&gt;=60,W1465&lt;95),0.17,0)+IF(AND(V1465&gt;=75,W1465&gt;=95),0.1,0),
IF(AF1465="DoEVba",IF(AND(V1465&lt;20,W1465&lt;105),0.2,0)+IF(AND(V1465&lt;20,W1465&gt;=105),0.15,0)+IF(AND(V1465&gt;=20,V1465&lt;40,W1465&lt;95),0.2,0)+IF(AND(V1465&gt;=20,V1465&lt;40,W1465&gt;=95,W1465&lt;150),0.15,0)+IF(AND(V1465&gt;=20,V1465&lt;40,W1465&gt;=150),0.12,0)+IF(AND(V1465&gt;=40,V1465&lt;75,W1465&lt;75),0.2,0)+IF(AND(V1465&gt;=40,V1465&lt;75,W1465&gt;=75,W1465&lt;120),0.15,0)+IF(AND(V1465&gt;=40,V1465&lt;75,W1465&gt;=120),0.12,0)+IF(AND(V1465&gt;=75,V1465&lt;175,W1465&lt;65),0.2,0)+IF(AND(V1465&gt;=75,V1465&lt;175,W1465&gt;=65,W1465&lt;110),0.15,0)+IF(AND(V1465&gt;=75,V1465&lt;175,W1465&gt;=110),0.12,0)+IF(AND(V1465&gt;=175,W1465&lt;55),0.2,0)+IF(AND(V1465&gt;=175,W1465&gt;=55,W1465&lt;95),0.15,0)+IF(AND(V1465&gt;=175,W1465&gt;=95),0.12,0),
IF(AF1465="DoEVku",IF(AND(V1465&lt;20,W1465&lt;55),0.23,0)+IF(AND(V1465&lt;20,W1465&gt;=55,W1465&lt;105),0.2,0)+IF(AND(V1465&lt;20,W1465&gt;=105),0.17,0)+IF(AND(V1465&gt;=20,V1465&lt;40,W1465&lt;45),0.23,0)+IF(AND(V1465&gt;=20,V1465&lt;40,W1465&gt;=45,W1465&lt;95),0.2,0)+IF(AND(V1465&gt;=20,V1465&lt;40,W1465&gt;=95,W1465&lt;=150),0.17,0)+IF(AND(V1465&gt;=20,V1465&lt;40,W1465&gt;=150),0.12,0)+IF(AND(V1465&gt;=40,V1465&lt;75,W1465&lt;35),0.23,0)+IF(AND(V1465&gt;=40,V1465&lt;75,W1465&gt;=35,W1465&lt;75),0.2,0)+IF(AND(V1465&gt;=40,V1465&lt;75,W1465&gt;=75,W1465&lt;120),0.17,0)+IF(AND(V1465&gt;=40,V1465&lt;75,W1465&gt;=120),0.12,0)+IF(AND(V1465&gt;=75,V1465&lt;175,W1465&lt;35),0.23,0)+IF(AND(V1465&gt;=75,V1465&lt;=175,W1465&gt;=35,W1465&lt;65),0.2,0)+IF(AND(V1465&gt;=75,V1465&lt;=175,W1465&gt;=65,W1465&lt;110),0.17,0)+IF(AND(V1465&gt;=75,V1465&lt;=175,W1465&gt;=110),0.12,0)+IF(AND(V1465&gt;175,W1465&lt;25),0.23,0)+IF(AND(V1465&gt;175,W1465&gt;=25,W1465&lt;55),0.2,0)+IF(AND(V1465&gt;175,W1465&gt;=55,W1465&lt;95),0.17,0)+IF(AND(V1465&gt;175,W1465&gt;=95),0.12,0),
IF(AF1465="DoEVs1",IF(AND(V1465&lt;20,W1465&lt;55),0.3,0)+IF(AND(V1465&lt;20,W1465&gt;=55,W1465&lt;105),0.23,0)+IF(AND(V1465&lt;20,W1465&gt;=105),0.17,0)+IF(AND(V1465&gt;=20,V1465&lt;40,W1465&lt;45),0.3,0)+IF(AND(V1465&gt;=20,V1465&lt;40,W1465&gt;=45,W1465&lt;95),0.23,0)+IF(AND(V1465&gt;=20,V1465&lt;40,W1465&gt;=95,W1465&lt;=150),0.17,0)+IF(AND(V1465&gt;=20,V1465&lt;40,W1465&gt;=150),0.12,0)+IF(AND(V1465&gt;=40,V1465&lt;75,W1465&lt;35),0.3,0)+IF(AND(V1465&gt;=40,V1465&lt;75,W1465&gt;=35,W1465&lt;75),0.23,0)+IF(AND(V1465&gt;=40,V1465&lt;75,W1465&gt;=75,W1465&lt;120),0.17,0)+IF(AND(V1465&gt;=40,V1465&lt;75,W1465&gt;=120),0.12,0)+IF(AND(V1465&gt;=75,V1465&lt;175,W1465&lt;35),0.3,0)+IF(AND(V1465&gt;=75,V1465&lt;=175,W1465&gt;=35,W1465&lt;65),0.23,0)+IF(AND(V1465&gt;=75,V1465&lt;=175,W1465&gt;=65,W1465&lt;110),0.17,0)+IF(AND(V1465&gt;=75,V1465&lt;=175,W1465&gt;=110),0.12,0)+IF(AND(V1465&gt;175,W1465&lt;25),0.3,0)+IF(AND(V1465&gt;175,W1465&gt;=25,W1465&lt;55),0.23,0)+IF(AND(V1465&gt;175,W1465&gt;=55,W1465&lt;95),0.17,0)+IF(AND(V1465&gt;175,W1465&gt;=95),0.12,0),
IF(AF1465="DoEVsu",IF(AND(V1465&lt;20,W1465&lt;55),0.3,0)+IF(AND(V1465&lt;20,W1465&gt;=55,W1465&lt;105),0.23,0)+IF(AND(V1465&lt;20,W1465&gt;=105),0.17,0)+IF(AND(V1465&gt;=20,V1465&lt;40,W1465&lt;45),0.3,0)+IF(AND(V1465&gt;=20,V1465&lt;40,W1465&gt;=45,W1465&lt;95),0.23,0)+IF(AND(V1465&gt;=20,V1465&lt;40,W1465&gt;=95,W1465&lt;=250),0.17,0)+IF(AND(V1465&gt;=20,V1465&lt;40,W1465&gt;=250),0.12,0)+IF(AND(V1465&gt;=40,V1465&lt;75,W1465&lt;35),0.3,0)+IF(AND(V1465&gt;=40,V1465&lt;75,W1465&gt;=35,W1465&lt;75),0.23,0)+IF(AND(V1465&gt;=40,V1465&lt;75,W1465&gt;=75,W1465&lt;120),0.17,0)+IF(AND(V1465&gt;=40,V1465&lt;75,W1465&gt;=120),0.12,0)+IF(AND(V1465&gt;=75,V1465&lt;175,W1465&lt;35),0.3,0)+IF(AND(V1465&gt;=75,V1465&lt;=175,W1465&gt;=35,W1465&lt;65),0.23,0)+IF(AND(V1465&gt;=75,V1465&lt;=175,W1465&gt;=65,W1465&lt;110),0.17,0)+IF(AND(V1465&gt;=75,V1465&lt;=175,W1465&gt;=110),0.12,0)+IF(AND(V1465&gt;175,W1465&lt;25),0.3,0)+IF(AND(V1465&gt;175,W1465&gt;=25,W1465&lt;55),0.23,0)+IF(AND(V1465&gt;175,W1465&gt;=55,W1465&lt;95),0.17,0)+IF(AND(V1465&gt;175,W1465&gt;=95),0.12,0),
IF(AF1465="DoEVni",IF(AND(V1465&lt;20,W1465&lt;55),0.3,0)+IF(AND(V1465&lt;20,W1465&gt;=55,W1465&lt;105),0.23,0)+IF(AND(V1465&lt;20,W1465&gt;=105),0.17,0)+IF(AND(V1465&gt;=20,V1465&lt;40,W1465&lt;45),0.3,0)+IF(AND(V1465&gt;=20,V1465&lt;40,W1465&gt;=45,W1465&lt;95),0.23,0)+IF(AND(V1465&gt;=20,V1465&lt;40,W1465&gt;=95,W1465&lt;=200),0.17,0)+IF(AND(V1465&gt;=20,V1465&lt;40,W1465&gt;=200),0.12,0)+IF(AND(V1465&gt;=40,V1465&lt;75,W1465&lt;35),0.3,0)+IF(AND(V1465&gt;=40,V1465&lt;75,W1465&gt;=35,W1465&lt;75),0.23,0)+IF(AND(V1465&gt;=40,V1465&lt;75,W1465&gt;=75,W1465&lt;120),0.17,0)+IF(AND(V1465&gt;=40,V1465&lt;75,W1465&gt;=120),0.12,0)+IF(AND(V1465&gt;=75,V1465&lt;175,W1465&lt;35),0.3,0)+IF(AND(V1465&gt;=75,V1465&lt;=175,W1465&gt;=35,W1465&lt;65),0.23,0)+IF(AND(V1465&gt;=75,V1465&lt;=175,W1465&gt;=65,W1465&lt;110),0.17,0)+IF(AND(V1465&gt;=75,V1465&lt;=175,W1465&gt;=110),0.12,0)+IF(AND(V1465&gt;175,W1465&lt;25),0.3,0)+IF(AND(V1465&gt;175,W1465&gt;=25,W1465&lt;55),0.23,0)+IF(AND(V1465&gt;175,W1465&gt;=55,W1465&lt;95),0.17,0)+IF(AND(V1465&gt;175,W1465&gt;=95),0.12,0),
IF(AF1465="DoEVLo",IF(AND(V1465&lt;20,W1465&lt;55),0.25,0)+IF(AND(V1465&lt;20,W1465&gt;=55,W1465&lt;105),0.2,0)+IF(AND(V1465&lt;20,W1465&gt;=105),0.15,0)+IF(AND(V1465&gt;=20,V1465&lt;40,W1465&lt;45),0.25,0)+IF(AND(V1465&gt;=20,V1465&lt;40,W1465&gt;=45,W1465&lt;95),0.2,0)+IF(AND(V1465&gt;=20,V1465&lt;40,W1465&gt;=95),0.15,0)+IF(AND(V1465&gt;=40,V1465&lt;75,W1465&lt;35),0.25,0)+IF(AND(V1465&gt;=40,V1465&lt;75,W1465&gt;=35,W1465&lt;75),0.2,0)+IF(AND(V1465&gt;=40,V1465&lt;75,W1465&gt;=75,W1465&lt;120),0.15,0)+IF(AND(V1465&gt;=40,V1465&lt;75,W1465&gt;=120),0.1,0)+IF(AND(V1465&gt;=75,V1465&lt;175,W1465&lt;35),0.25,0)+IF(AND(V1465&gt;=75,V1465&lt;=175,W1465&gt;=35,W1465&lt;65),0.2,0)+IF(AND(V1465&gt;=75,V1465&lt;=175,W1465&gt;=65,W1465&lt;110),0.15,0)+IF(AND(V1465&gt;=75,V1465&lt;=175,W1465&gt;=110),0.1,0)+IF(AND(V1465&gt;175,W1465&lt;25),0.25,0)+IF(AND(V1465&gt;175,W1465&gt;=25,W1465&lt;55),0.2,0)+IF(AND(V1465&gt;175,W1465&gt;=55,W1465&lt;95),0.15,0)+IF(AND(V1465&gt;175,W1465&gt;=95),0.1,0))))))))))))))))))))</f>
        <v>0.12</v>
      </c>
      <c r="Y1465" s="30">
        <f>IF(AG1465="None",0,IF(AG1465="Fix5",0.05, IF(AG1465="Fix6.25",0.0625,IF(AG1465="Fix3.75",0.0375, IF(AG1465="Fix11",0.11, IF(AG1465="Fix10",0.1,IF(AG1465="Fix3",0.03,0)))))))</f>
        <v>0</v>
      </c>
      <c r="Z1465" s="35">
        <f>IF(AND(AD1465="EUR", AE1465 = "USD"), T1465*U1465-AA1465-AB1465, T1465-AA1465-AB1465)</f>
        <v>0</v>
      </c>
      <c r="AA1465" s="29">
        <f>IF(AND(AD1465="EUR", F1465="Without EV deal", AE1465="USD"), (T1465*X1465)*U1465,
IF(AND(AD1465="EUR", F1465="Without EV deal", AE1465="EUR"), (T1465*X1465),
IF(AND(AD1465="EUR",AE1465="USD"), (T1465*X1465)*U1465,
T1465*X1465)))</f>
        <v>0</v>
      </c>
      <c r="AB1465" s="36">
        <f>IF(AND(AD1465="EUR", F1465="Without EV deal", AE1465="USD"), (T1465*Y1465)*U1465,
IF(AND(AD1465="EUR", F1465="Without EV deal", AE1465="EUR"), (T1465*Y1465),
IF(AND(AD1465="EUR",AE1465="USD"), (T1465*Y1465)*U1465,
T1465*Y1465)))</f>
        <v>0</v>
      </c>
      <c r="AC1465" s="37" t="b">
        <v>1</v>
      </c>
      <c r="AD1465" s="82" t="str">
        <f>IF(OR(H1465="€0.25 Flash",
H1465="€0.25(nitro) new",
H1465="€1",
H1465="€2",
H1465="€2 (bf 01.08)",
H1465="€5",
H1465="€5 (1M)",
H1465="€5 (bf 01.08)",
H1465="€5 (bf 05.05)",
H1465="€5 Nitro",
H1465="€5(wx) new",
H1465="€10",
H1465="€10 (1M)",
H1465="€10 (bf 01.08)",
H1465="€10 (bf 05.05)",
H1465="€10 (MP)",
H1465="€10 (old)",
H1465="€10 Nitro (bf 05.05)",
H1465="€10 Nitro (old)",
H1465="€10(wx) new",
H1465="€20",
H1465="€25",
H1465="€25 (bf 01.08)",
H1465="€25 (bf 05.05)",
H1465="€25 (MP)",
H1465="€25 (old)",
H1465="€25 Nitro",
H1465="€25 Nitro (bf 01.08)",
H1465="€25 Nitro (bf 05.05)",
H1465="€25(nitro) new",
H1465="€25(wx) new",
H1465="€50",
H1465="€50 (bf 01.08)",
H1465="€50 (bf 05.05)",
H1465="€50 (old)",
H1465="€50 Nitro",
H1465="€50 Nitro (bf 01.08)",
H1465="€50 Nitro (bf 05.05)",
H1465="€50(wx) new",
H1465="€100",
H1465="€100 (old)",
H1465="€100 Nitro",
H1465="€100 Nitro (old)",
H1465="€200",
H1465="€250",
H1465="€250 Nitro",
H1465="€500",
H1465="€500 Nitro"),"EUR", "USD")</f>
        <v>USD</v>
      </c>
      <c r="AE1465" s="83" t="s">
        <v>38</v>
      </c>
      <c r="AF1465" s="83" t="str">
        <f t="array" ref="AF1465">INDEX('Deal Info'!D:D, MATCH(A1465,'Deal Info'!A:A, 0))</f>
        <v>DoEVni</v>
      </c>
      <c r="AG1465" s="84" t="str">
        <f t="array" ref="AG1465">INDEX('Deal Info'!G:G, MATCH(A1465,'Deal Info'!A:A, 0))</f>
        <v>None</v>
      </c>
    </row>
    <row r="1466" spans="1:33" ht="14.25" hidden="1" x14ac:dyDescent="0.2">
      <c r="A1466" s="18" t="str">
        <f t="array" ref="A1466">IF(G1466='Room Info'!$B$1, INDEX('Room Info'!$A$2:$A2446, MATCH(B1466,'Room Info'!$B$2:$B2446, 0)),IF(G1466='Room Info'!$C$1, INDEX('Room Info'!$A$2:$A2446, MATCH(B1466,'Room Info'!$C$2:$C2446, 0)),IF(G1466='Room Info'!$D$1, INDEX('Room Info'!$A$2:$A2446, MATCH(B1466,'Room Info'!$D$2:$D2446, 0)),IF(G1466='Room Info'!$E$1, INDEX('Room Info'!$A$2:$A2446, MATCH(B1466,'Room Info'!$E$2:$E2446, 0)),IF(G1466='Room Info'!$F$1, INDEX('Room Info'!$A$2:$A2446, MATCH(B1466,'Room Info'!$F$2:$F2446, 0)),IF(G1466='Room Info'!$H$1, INDEX('Room Info'!$A$2:$A2446, MATCH(B1466,'Room Info'!$H$2:$H2446, 0)),IF(G1466='Room Info'!$G$1, INDEX('Room Info'!$A$2:$A2446, MATCH(B1466,'Room Info'!$G$2:$G2446, 0)))))))))</f>
        <v>Night Kin9</v>
      </c>
      <c r="B1466" s="85" t="s">
        <v>188</v>
      </c>
      <c r="C1466" s="86">
        <v>44947</v>
      </c>
      <c r="D1466" s="87">
        <v>44977</v>
      </c>
      <c r="E1466" s="21">
        <v>44958</v>
      </c>
      <c r="F1466" s="22" t="s">
        <v>34</v>
      </c>
      <c r="G1466" s="18" t="s">
        <v>35</v>
      </c>
      <c r="H1466" s="23" t="s">
        <v>70</v>
      </c>
      <c r="I1466" s="23" t="s">
        <v>37</v>
      </c>
      <c r="J1466" s="39">
        <v>100</v>
      </c>
      <c r="K1466" s="88">
        <v>83</v>
      </c>
      <c r="L1466" s="89">
        <v>-2100</v>
      </c>
      <c r="M1466" s="27"/>
      <c r="N1466" s="28">
        <f>K1466*J1466</f>
        <v>8300</v>
      </c>
      <c r="O1466" s="85">
        <v>-1636</v>
      </c>
      <c r="P1466" s="29">
        <v>-19.710843369999999</v>
      </c>
      <c r="Q1466" s="30"/>
      <c r="R1466" s="31">
        <f>M1466+Q1466</f>
        <v>0</v>
      </c>
      <c r="S1466" s="28"/>
      <c r="T1466" s="32">
        <f>IF(AND(AD1466="EUR", F1466="Without EV deal"), R1466 + L1466,
IF(AND(AD1466="USD", F1466="Without EV deal"), R1466 + L1466,
IF(AND(AD1466="EUR", F1466="Steel Phoenix"), R1466 + S1466/U1466,
R1466 + S1466)))</f>
        <v>0</v>
      </c>
      <c r="U1466" s="33">
        <v>1.0669999999999999</v>
      </c>
      <c r="V1466" s="34">
        <v>47.082720121796498</v>
      </c>
      <c r="W1466" s="34">
        <v>224.16</v>
      </c>
      <c r="X1466" s="30">
        <f>IF(AF1466="DoEV",IF(AND(V1466&lt;20,W1466&lt;55),0.3,0)+IF(AND(V1466&lt;20,W1466&gt;=55,W1466&lt;105),0.23,0)+IF(AND(V1466&lt;20,W1466&gt;=105),0.17,0)+IF(AND(V1466&gt;=20,V1466&lt;40,W1466&lt;45),0.3,0)+IF(AND(V1466&gt;=20,V1466&lt;40,W1466&gt;=45,W1466&lt;95),0.23,0)+IF(AND(V1466&gt;=20,V1466&lt;40,W1466&gt;=95),0.17,0)+IF(AND(V1466&gt;=40,V1466&lt;75,W1466&lt;35),0.3,0)+IF(AND(V1466&gt;=40,V1466&lt;75,W1466&gt;=35,W1466&lt;75),0.23,0)+IF(AND(V1466&gt;=40,V1466&lt;75,W1466&gt;=75,W1466&lt;120),0.17,0)+IF(AND(V1466&gt;=40,V1466&lt;75,W1466&gt;=120),0.12,0)+IF(AND(V1466&gt;=75,V1466&lt;175,W1466&lt;35),0.3,0)+IF(AND(V1466&gt;=75,V1466&lt;=175,W1466&gt;=35,W1466&lt;65),0.23,0)+IF(AND(V1466&gt;=75,V1466&lt;=175,W1466&gt;=65,W1466&lt;110),0.17,0)+IF(AND(V1466&gt;=75,V1466&lt;=175,W1466&gt;=110),0.12,0)+IF(AND(V1466&gt;175,W1466&lt;25),0.3,0)+IF(AND(V1466&gt;175,W1466&gt;=25,W1466&lt;55),0.23,0)+IF(AND(V1466&gt;175,W1466&gt;=55,W1466&lt;95),0.17,0)+IF(AND(V1466&gt;175,W1466&gt;=95),0.12,0),
IF(AF1466="Fix15",0.15,
IF(AF1466="Fix5",0.05,
IF(AF1466="Fix18.75",0.1875,
IF(AF1466="Fix11.25",0.1125,
IF(AF1466="Fix10",0.1,
IF(AF1466="Fix9",0.09,
IF(AF1466="Fix12",0.12,
IF(AF1466="Fix19",0.19,
IF(AF1466="DoEV2017",IF(AND(W1466&lt;74),0.2,0)+IF(AND(W1466&gt;=74),0.17,0),
IF(AF1466="SF",IF(AND(V1466&lt;20,W1466&lt;89),0.3,0)+IF(AND(V1466&lt;20,W1466&gt;=89),0.25,0)+IF(AND(V1466&gt;=20,V1466&lt;40,W1466&lt;74),0.3,0)+IF(AND(V1466&gt;=20,V1466&lt;40,W1466&gt;=75),0.22,0)+IF(AND(V1466&gt;=40,V1466&lt;75,W1466&lt;75),0.26,0)+IF(AND(V1466&gt;=40,V1466&lt;75,W1466&gt;=75),0.22,0)+IF(V1466&gt;=75,0.22,0),
IF(AF1466="DoEVold",IF(AND(V1466&lt;40,W1466&lt;35),0.35,0)+IF(AND(V1466&lt;40,W1466&gt;=35,W1466&lt;75),0.25,0)+IF(AND(V1466&lt;40,W1466&gt;=75),0.17,0)+IF(AND(V1466&gt;=40,V1466&lt;75,W1466&lt;25),0.35,0)+IF(AND(V1466&gt;=40,V1466&lt;75,W1466&gt;=25,W1466&lt;65),0.25,0)+IF(AND(V1466&gt;=40,V1466&lt;75,W1466&gt;=65,W1466&lt;100),0.17,0)+IF(AND(V1466&gt;=40,V1466&lt;75,W1466&gt;=100),0.1,0)+IF(AND(V1466&gt;=75,W1466&lt;25),0.35,0)+IF(AND(V1466&gt;=75,W1466&gt;=25,W1466&lt;60),0.25,0)+IF(AND(V1466&gt;=75,W1466&gt;=60,W1466&lt;95),0.17,0)+IF(AND(V1466&gt;=75,W1466&gt;=95),0.1,0),
IF(AF1466="DoEVold15",IF(AND(V1466&lt;=40,W1466&lt;35),0.35,0)+IF(AND(V1466&lt;=40,W1466&gt;=35,W1466&lt;75),0.25,0)+IF(AND(V1466&lt;=40,W1466&gt;=75,W1466&lt;120),0.17,0)+IF(AND(V1466&lt;=40,W1466&gt;=120),0.15,0)+IF(AND(V1466&gt;40,V1466&lt;75,W1466&lt;25),0.35,0)+IF(AND(V1466&gt;=40,V1466&lt;75,W1466&gt;=25,W1466&lt;65),0.25,0)+IF(AND(V1466&gt;=40,V1466&lt;75,W1466&gt;=65,W1466&lt;100),0.17,0)+IF(AND(V1466&gt;=40,V1466&lt;75,W1466&gt;=100),0.1,0)+IF(AND(V1466&gt;=75,W1466&lt;25),0.35,0)+IF(AND(V1466&gt;=75,W1466&gt;=25,W1466&lt;60),0.25,0)+IF(AND(V1466&gt;=75,W1466&gt;=60,W1466&lt;95),0.17,0)+IF(AND(V1466&gt;=75,W1466&gt;=95),0.1,0),
IF(AF1466="DoEVba",IF(AND(V1466&lt;20,W1466&lt;105),0.2,0)+IF(AND(V1466&lt;20,W1466&gt;=105),0.15,0)+IF(AND(V1466&gt;=20,V1466&lt;40,W1466&lt;95),0.2,0)+IF(AND(V1466&gt;=20,V1466&lt;40,W1466&gt;=95,W1466&lt;150),0.15,0)+IF(AND(V1466&gt;=20,V1466&lt;40,W1466&gt;=150),0.12,0)+IF(AND(V1466&gt;=40,V1466&lt;75,W1466&lt;75),0.2,0)+IF(AND(V1466&gt;=40,V1466&lt;75,W1466&gt;=75,W1466&lt;120),0.15,0)+IF(AND(V1466&gt;=40,V1466&lt;75,W1466&gt;=120),0.12,0)+IF(AND(V1466&gt;=75,V1466&lt;175,W1466&lt;65),0.2,0)+IF(AND(V1466&gt;=75,V1466&lt;175,W1466&gt;=65,W1466&lt;110),0.15,0)+IF(AND(V1466&gt;=75,V1466&lt;175,W1466&gt;=110),0.12,0)+IF(AND(V1466&gt;=175,W1466&lt;55),0.2,0)+IF(AND(V1466&gt;=175,W1466&gt;=55,W1466&lt;95),0.15,0)+IF(AND(V1466&gt;=175,W1466&gt;=95),0.12,0),
IF(AF1466="DoEVku",IF(AND(V1466&lt;20,W1466&lt;55),0.23,0)+IF(AND(V1466&lt;20,W1466&gt;=55,W1466&lt;105),0.2,0)+IF(AND(V1466&lt;20,W1466&gt;=105),0.17,0)+IF(AND(V1466&gt;=20,V1466&lt;40,W1466&lt;45),0.23,0)+IF(AND(V1466&gt;=20,V1466&lt;40,W1466&gt;=45,W1466&lt;95),0.2,0)+IF(AND(V1466&gt;=20,V1466&lt;40,W1466&gt;=95,W1466&lt;=150),0.17,0)+IF(AND(V1466&gt;=20,V1466&lt;40,W1466&gt;=150),0.12,0)+IF(AND(V1466&gt;=40,V1466&lt;75,W1466&lt;35),0.23,0)+IF(AND(V1466&gt;=40,V1466&lt;75,W1466&gt;=35,W1466&lt;75),0.2,0)+IF(AND(V1466&gt;=40,V1466&lt;75,W1466&gt;=75,W1466&lt;120),0.17,0)+IF(AND(V1466&gt;=40,V1466&lt;75,W1466&gt;=120),0.12,0)+IF(AND(V1466&gt;=75,V1466&lt;175,W1466&lt;35),0.23,0)+IF(AND(V1466&gt;=75,V1466&lt;=175,W1466&gt;=35,W1466&lt;65),0.2,0)+IF(AND(V1466&gt;=75,V1466&lt;=175,W1466&gt;=65,W1466&lt;110),0.17,0)+IF(AND(V1466&gt;=75,V1466&lt;=175,W1466&gt;=110),0.12,0)+IF(AND(V1466&gt;175,W1466&lt;25),0.23,0)+IF(AND(V1466&gt;175,W1466&gt;=25,W1466&lt;55),0.2,0)+IF(AND(V1466&gt;175,W1466&gt;=55,W1466&lt;95),0.17,0)+IF(AND(V1466&gt;175,W1466&gt;=95),0.12,0),
IF(AF1466="DoEVs1",IF(AND(V1466&lt;20,W1466&lt;55),0.3,0)+IF(AND(V1466&lt;20,W1466&gt;=55,W1466&lt;105),0.23,0)+IF(AND(V1466&lt;20,W1466&gt;=105),0.17,0)+IF(AND(V1466&gt;=20,V1466&lt;40,W1466&lt;45),0.3,0)+IF(AND(V1466&gt;=20,V1466&lt;40,W1466&gt;=45,W1466&lt;95),0.23,0)+IF(AND(V1466&gt;=20,V1466&lt;40,W1466&gt;=95,W1466&lt;=150),0.17,0)+IF(AND(V1466&gt;=20,V1466&lt;40,W1466&gt;=150),0.12,0)+IF(AND(V1466&gt;=40,V1466&lt;75,W1466&lt;35),0.3,0)+IF(AND(V1466&gt;=40,V1466&lt;75,W1466&gt;=35,W1466&lt;75),0.23,0)+IF(AND(V1466&gt;=40,V1466&lt;75,W1466&gt;=75,W1466&lt;120),0.17,0)+IF(AND(V1466&gt;=40,V1466&lt;75,W1466&gt;=120),0.12,0)+IF(AND(V1466&gt;=75,V1466&lt;175,W1466&lt;35),0.3,0)+IF(AND(V1466&gt;=75,V1466&lt;=175,W1466&gt;=35,W1466&lt;65),0.23,0)+IF(AND(V1466&gt;=75,V1466&lt;=175,W1466&gt;=65,W1466&lt;110),0.17,0)+IF(AND(V1466&gt;=75,V1466&lt;=175,W1466&gt;=110),0.12,0)+IF(AND(V1466&gt;175,W1466&lt;25),0.3,0)+IF(AND(V1466&gt;175,W1466&gt;=25,W1466&lt;55),0.23,0)+IF(AND(V1466&gt;175,W1466&gt;=55,W1466&lt;95),0.17,0)+IF(AND(V1466&gt;175,W1466&gt;=95),0.12,0),
IF(AF1466="DoEVsu",IF(AND(V1466&lt;20,W1466&lt;55),0.3,0)+IF(AND(V1466&lt;20,W1466&gt;=55,W1466&lt;105),0.23,0)+IF(AND(V1466&lt;20,W1466&gt;=105),0.17,0)+IF(AND(V1466&gt;=20,V1466&lt;40,W1466&lt;45),0.3,0)+IF(AND(V1466&gt;=20,V1466&lt;40,W1466&gt;=45,W1466&lt;95),0.23,0)+IF(AND(V1466&gt;=20,V1466&lt;40,W1466&gt;=95,W1466&lt;=250),0.17,0)+IF(AND(V1466&gt;=20,V1466&lt;40,W1466&gt;=250),0.12,0)+IF(AND(V1466&gt;=40,V1466&lt;75,W1466&lt;35),0.3,0)+IF(AND(V1466&gt;=40,V1466&lt;75,W1466&gt;=35,W1466&lt;75),0.23,0)+IF(AND(V1466&gt;=40,V1466&lt;75,W1466&gt;=75,W1466&lt;120),0.17,0)+IF(AND(V1466&gt;=40,V1466&lt;75,W1466&gt;=120),0.12,0)+IF(AND(V1466&gt;=75,V1466&lt;175,W1466&lt;35),0.3,0)+IF(AND(V1466&gt;=75,V1466&lt;=175,W1466&gt;=35,W1466&lt;65),0.23,0)+IF(AND(V1466&gt;=75,V1466&lt;=175,W1466&gt;=65,W1466&lt;110),0.17,0)+IF(AND(V1466&gt;=75,V1466&lt;=175,W1466&gt;=110),0.12,0)+IF(AND(V1466&gt;175,W1466&lt;25),0.3,0)+IF(AND(V1466&gt;175,W1466&gt;=25,W1466&lt;55),0.23,0)+IF(AND(V1466&gt;175,W1466&gt;=55,W1466&lt;95),0.17,0)+IF(AND(V1466&gt;175,W1466&gt;=95),0.12,0),
IF(AF1466="DoEVni",IF(AND(V1466&lt;20,W1466&lt;55),0.3,0)+IF(AND(V1466&lt;20,W1466&gt;=55,W1466&lt;105),0.23,0)+IF(AND(V1466&lt;20,W1466&gt;=105),0.17,0)+IF(AND(V1466&gt;=20,V1466&lt;40,W1466&lt;45),0.3,0)+IF(AND(V1466&gt;=20,V1466&lt;40,W1466&gt;=45,W1466&lt;95),0.23,0)+IF(AND(V1466&gt;=20,V1466&lt;40,W1466&gt;=95,W1466&lt;=200),0.17,0)+IF(AND(V1466&gt;=20,V1466&lt;40,W1466&gt;=200),0.12,0)+IF(AND(V1466&gt;=40,V1466&lt;75,W1466&lt;35),0.3,0)+IF(AND(V1466&gt;=40,V1466&lt;75,W1466&gt;=35,W1466&lt;75),0.23,0)+IF(AND(V1466&gt;=40,V1466&lt;75,W1466&gt;=75,W1466&lt;120),0.17,0)+IF(AND(V1466&gt;=40,V1466&lt;75,W1466&gt;=120),0.12,0)+IF(AND(V1466&gt;=75,V1466&lt;175,W1466&lt;35),0.3,0)+IF(AND(V1466&gt;=75,V1466&lt;=175,W1466&gt;=35,W1466&lt;65),0.23,0)+IF(AND(V1466&gt;=75,V1466&lt;=175,W1466&gt;=65,W1466&lt;110),0.17,0)+IF(AND(V1466&gt;=75,V1466&lt;=175,W1466&gt;=110),0.12,0)+IF(AND(V1466&gt;175,W1466&lt;25),0.3,0)+IF(AND(V1466&gt;175,W1466&gt;=25,W1466&lt;55),0.23,0)+IF(AND(V1466&gt;175,W1466&gt;=55,W1466&lt;95),0.17,0)+IF(AND(V1466&gt;175,W1466&gt;=95),0.12,0),
IF(AF1466="DoEVLo",IF(AND(V1466&lt;20,W1466&lt;55),0.25,0)+IF(AND(V1466&lt;20,W1466&gt;=55,W1466&lt;105),0.2,0)+IF(AND(V1466&lt;20,W1466&gt;=105),0.15,0)+IF(AND(V1466&gt;=20,V1466&lt;40,W1466&lt;45),0.25,0)+IF(AND(V1466&gt;=20,V1466&lt;40,W1466&gt;=45,W1466&lt;95),0.2,0)+IF(AND(V1466&gt;=20,V1466&lt;40,W1466&gt;=95),0.15,0)+IF(AND(V1466&gt;=40,V1466&lt;75,W1466&lt;35),0.25,0)+IF(AND(V1466&gt;=40,V1466&lt;75,W1466&gt;=35,W1466&lt;75),0.2,0)+IF(AND(V1466&gt;=40,V1466&lt;75,W1466&gt;=75,W1466&lt;120),0.15,0)+IF(AND(V1466&gt;=40,V1466&lt;75,W1466&gt;=120),0.1,0)+IF(AND(V1466&gt;=75,V1466&lt;175,W1466&lt;35),0.25,0)+IF(AND(V1466&gt;=75,V1466&lt;=175,W1466&gt;=35,W1466&lt;65),0.2,0)+IF(AND(V1466&gt;=75,V1466&lt;=175,W1466&gt;=65,W1466&lt;110),0.15,0)+IF(AND(V1466&gt;=75,V1466&lt;=175,W1466&gt;=110),0.1,0)+IF(AND(V1466&gt;175,W1466&lt;25),0.25,0)+IF(AND(V1466&gt;175,W1466&gt;=25,W1466&lt;55),0.2,0)+IF(AND(V1466&gt;175,W1466&gt;=55,W1466&lt;95),0.15,0)+IF(AND(V1466&gt;175,W1466&gt;=95),0.1,0))))))))))))))))))))</f>
        <v>0.12</v>
      </c>
      <c r="Y1466" s="30">
        <f>IF(AG1466="None",0,IF(AG1466="Fix5",0.05, IF(AG1466="Fix6.25",0.0625,IF(AG1466="Fix3.75",0.0375, IF(AG1466="Fix11",0.11, IF(AG1466="Fix10",0.1,IF(AG1466="Fix3",0.03,0)))))))</f>
        <v>0</v>
      </c>
      <c r="Z1466" s="35">
        <f>IF(AND(AD1466="EUR", AE1466 = "USD"), T1466*U1466-AA1466-AB1466, T1466-AA1466-AB1466)</f>
        <v>0</v>
      </c>
      <c r="AA1466" s="29">
        <f>IF(AND(AD1466="EUR", F1466="Without EV deal", AE1466="USD"), (T1466*X1466)*U1466,
IF(AND(AD1466="EUR", F1466="Without EV deal", AE1466="EUR"), (T1466*X1466),
IF(AND(AD1466="EUR",AE1466="USD"), (T1466*X1466)*U1466,
T1466*X1466)))</f>
        <v>0</v>
      </c>
      <c r="AB1466" s="36">
        <f>IF(AND(AD1466="EUR", F1466="Without EV deal", AE1466="USD"), (T1466*Y1466)*U1466,
IF(AND(AD1466="EUR", F1466="Without EV deal", AE1466="EUR"), (T1466*Y1466),
IF(AND(AD1466="EUR",AE1466="USD"), (T1466*Y1466)*U1466,
T1466*Y1466)))</f>
        <v>0</v>
      </c>
      <c r="AC1466" s="37" t="b">
        <v>1</v>
      </c>
      <c r="AD1466" s="82" t="str">
        <f>IF(OR(H1466="€0.25 Flash",
H1466="€0.25(nitro) new",
H1466="€1",
H1466="€2",
H1466="€2 (bf 01.08)",
H1466="€5",
H1466="€5 (1M)",
H1466="€5 (bf 01.08)",
H1466="€5 (bf 05.05)",
H1466="€5 Nitro",
H1466="€5(wx) new",
H1466="€10",
H1466="€10 (1M)",
H1466="€10 (bf 01.08)",
H1466="€10 (bf 05.05)",
H1466="€10 (MP)",
H1466="€10 (old)",
H1466="€10 Nitro (bf 05.05)",
H1466="€10 Nitro (old)",
H1466="€10(wx) new",
H1466="€20",
H1466="€25",
H1466="€25 (bf 01.08)",
H1466="€25 (bf 05.05)",
H1466="€25 (MP)",
H1466="€25 (old)",
H1466="€25 Nitro",
H1466="€25 Nitro (bf 01.08)",
H1466="€25 Nitro (bf 05.05)",
H1466="€25(nitro) new",
H1466="€25(wx) new",
H1466="€50",
H1466="€50 (bf 01.08)",
H1466="€50 (bf 05.05)",
H1466="€50 (old)",
H1466="€50 Nitro",
H1466="€50 Nitro (bf 01.08)",
H1466="€50 Nitro (bf 05.05)",
H1466="€50(wx) new",
H1466="€100",
H1466="€100 (old)",
H1466="€100 Nitro",
H1466="€100 Nitro (old)",
H1466="€200",
H1466="€250",
H1466="€250 Nitro",
H1466="€500",
H1466="€500 Nitro"),"EUR", "USD")</f>
        <v>USD</v>
      </c>
      <c r="AE1466" s="83" t="s">
        <v>38</v>
      </c>
      <c r="AF1466" s="83" t="str">
        <f t="array" ref="AF1466">INDEX('Deal Info'!D:D, MATCH(A1466,'Deal Info'!A:A, 0))</f>
        <v>DoEVni</v>
      </c>
      <c r="AG1466" s="84" t="str">
        <f t="array" ref="AG1466">INDEX('Deal Info'!G:G, MATCH(A1466,'Deal Info'!A:A, 0))</f>
        <v>None</v>
      </c>
    </row>
    <row r="1467" spans="1:33" ht="14.25" hidden="1" x14ac:dyDescent="0.2">
      <c r="A1467" s="18" t="str">
        <f t="array" ref="A1467">IF(G1467='Room Info'!$B$1, INDEX('Room Info'!$A$2:$A2446, MATCH(B1467,'Room Info'!$B$2:$B2446, 0)),IF(G1467='Room Info'!$C$1, INDEX('Room Info'!$A$2:$A2446, MATCH(B1467,'Room Info'!$C$2:$C2446, 0)),IF(G1467='Room Info'!$D$1, INDEX('Room Info'!$A$2:$A2446, MATCH(B1467,'Room Info'!$D$2:$D2446, 0)),IF(G1467='Room Info'!$E$1, INDEX('Room Info'!$A$2:$A2446, MATCH(B1467,'Room Info'!$E$2:$E2446, 0)),IF(G1467='Room Info'!$F$1, INDEX('Room Info'!$A$2:$A2446, MATCH(B1467,'Room Info'!$F$2:$F2446, 0)),IF(G1467='Room Info'!$H$1, INDEX('Room Info'!$A$2:$A2446, MATCH(B1467,'Room Info'!$H$2:$H2446, 0)),IF(G1467='Room Info'!$G$1, INDEX('Room Info'!$A$2:$A2446, MATCH(B1467,'Room Info'!$G$2:$G2446, 0)))))))))</f>
        <v>Night Kin9</v>
      </c>
      <c r="B1467" s="85" t="s">
        <v>188</v>
      </c>
      <c r="C1467" s="86">
        <v>44947</v>
      </c>
      <c r="D1467" s="87">
        <v>44977</v>
      </c>
      <c r="E1467" s="21">
        <v>44958</v>
      </c>
      <c r="F1467" s="22" t="s">
        <v>34</v>
      </c>
      <c r="G1467" s="18" t="s">
        <v>35</v>
      </c>
      <c r="H1467" s="23" t="s">
        <v>84</v>
      </c>
      <c r="I1467" s="23" t="s">
        <v>44</v>
      </c>
      <c r="J1467" s="39">
        <v>100</v>
      </c>
      <c r="K1467" s="88">
        <v>444</v>
      </c>
      <c r="L1467" s="89">
        <v>1300</v>
      </c>
      <c r="M1467" s="27"/>
      <c r="N1467" s="28">
        <f>K1467*J1467</f>
        <v>44400</v>
      </c>
      <c r="O1467" s="85">
        <v>2901</v>
      </c>
      <c r="P1467" s="29">
        <v>6.5337837839999997</v>
      </c>
      <c r="Q1467" s="30"/>
      <c r="R1467" s="31">
        <f>M1467+Q1467</f>
        <v>0</v>
      </c>
      <c r="S1467" s="28"/>
      <c r="T1467" s="32">
        <f>IF(AND(AD1467="EUR", F1467="Without EV deal"), R1467 + L1467,
IF(AND(AD1467="USD", F1467="Without EV deal"), R1467 + L1467,
IF(AND(AD1467="EUR", F1467="Steel Phoenix"), R1467 + S1467/U1467,
R1467 + S1467)))</f>
        <v>0</v>
      </c>
      <c r="U1467" s="33">
        <v>1.0669999999999999</v>
      </c>
      <c r="V1467" s="34">
        <v>47.082720121796498</v>
      </c>
      <c r="W1467" s="34">
        <v>224.16</v>
      </c>
      <c r="X1467" s="30">
        <f>IF(AF1467="DoEV",IF(AND(V1467&lt;20,W1467&lt;55),0.3,0)+IF(AND(V1467&lt;20,W1467&gt;=55,W1467&lt;105),0.23,0)+IF(AND(V1467&lt;20,W1467&gt;=105),0.17,0)+IF(AND(V1467&gt;=20,V1467&lt;40,W1467&lt;45),0.3,0)+IF(AND(V1467&gt;=20,V1467&lt;40,W1467&gt;=45,W1467&lt;95),0.23,0)+IF(AND(V1467&gt;=20,V1467&lt;40,W1467&gt;=95),0.17,0)+IF(AND(V1467&gt;=40,V1467&lt;75,W1467&lt;35),0.3,0)+IF(AND(V1467&gt;=40,V1467&lt;75,W1467&gt;=35,W1467&lt;75),0.23,0)+IF(AND(V1467&gt;=40,V1467&lt;75,W1467&gt;=75,W1467&lt;120),0.17,0)+IF(AND(V1467&gt;=40,V1467&lt;75,W1467&gt;=120),0.12,0)+IF(AND(V1467&gt;=75,V1467&lt;175,W1467&lt;35),0.3,0)+IF(AND(V1467&gt;=75,V1467&lt;=175,W1467&gt;=35,W1467&lt;65),0.23,0)+IF(AND(V1467&gt;=75,V1467&lt;=175,W1467&gt;=65,W1467&lt;110),0.17,0)+IF(AND(V1467&gt;=75,V1467&lt;=175,W1467&gt;=110),0.12,0)+IF(AND(V1467&gt;175,W1467&lt;25),0.3,0)+IF(AND(V1467&gt;175,W1467&gt;=25,W1467&lt;55),0.23,0)+IF(AND(V1467&gt;175,W1467&gt;=55,W1467&lt;95),0.17,0)+IF(AND(V1467&gt;175,W1467&gt;=95),0.12,0),
IF(AF1467="Fix15",0.15,
IF(AF1467="Fix5",0.05,
IF(AF1467="Fix18.75",0.1875,
IF(AF1467="Fix11.25",0.1125,
IF(AF1467="Fix10",0.1,
IF(AF1467="Fix9",0.09,
IF(AF1467="Fix12",0.12,
IF(AF1467="Fix19",0.19,
IF(AF1467="DoEV2017",IF(AND(W1467&lt;74),0.2,0)+IF(AND(W1467&gt;=74),0.17,0),
IF(AF1467="SF",IF(AND(V1467&lt;20,W1467&lt;89),0.3,0)+IF(AND(V1467&lt;20,W1467&gt;=89),0.25,0)+IF(AND(V1467&gt;=20,V1467&lt;40,W1467&lt;74),0.3,0)+IF(AND(V1467&gt;=20,V1467&lt;40,W1467&gt;=75),0.22,0)+IF(AND(V1467&gt;=40,V1467&lt;75,W1467&lt;75),0.26,0)+IF(AND(V1467&gt;=40,V1467&lt;75,W1467&gt;=75),0.22,0)+IF(V1467&gt;=75,0.22,0),
IF(AF1467="DoEVold",IF(AND(V1467&lt;40,W1467&lt;35),0.35,0)+IF(AND(V1467&lt;40,W1467&gt;=35,W1467&lt;75),0.25,0)+IF(AND(V1467&lt;40,W1467&gt;=75),0.17,0)+IF(AND(V1467&gt;=40,V1467&lt;75,W1467&lt;25),0.35,0)+IF(AND(V1467&gt;=40,V1467&lt;75,W1467&gt;=25,W1467&lt;65),0.25,0)+IF(AND(V1467&gt;=40,V1467&lt;75,W1467&gt;=65,W1467&lt;100),0.17,0)+IF(AND(V1467&gt;=40,V1467&lt;75,W1467&gt;=100),0.1,0)+IF(AND(V1467&gt;=75,W1467&lt;25),0.35,0)+IF(AND(V1467&gt;=75,W1467&gt;=25,W1467&lt;60),0.25,0)+IF(AND(V1467&gt;=75,W1467&gt;=60,W1467&lt;95),0.17,0)+IF(AND(V1467&gt;=75,W1467&gt;=95),0.1,0),
IF(AF1467="DoEVold15",IF(AND(V1467&lt;=40,W1467&lt;35),0.35,0)+IF(AND(V1467&lt;=40,W1467&gt;=35,W1467&lt;75),0.25,0)+IF(AND(V1467&lt;=40,W1467&gt;=75,W1467&lt;120),0.17,0)+IF(AND(V1467&lt;=40,W1467&gt;=120),0.15,0)+IF(AND(V1467&gt;40,V1467&lt;75,W1467&lt;25),0.35,0)+IF(AND(V1467&gt;=40,V1467&lt;75,W1467&gt;=25,W1467&lt;65),0.25,0)+IF(AND(V1467&gt;=40,V1467&lt;75,W1467&gt;=65,W1467&lt;100),0.17,0)+IF(AND(V1467&gt;=40,V1467&lt;75,W1467&gt;=100),0.1,0)+IF(AND(V1467&gt;=75,W1467&lt;25),0.35,0)+IF(AND(V1467&gt;=75,W1467&gt;=25,W1467&lt;60),0.25,0)+IF(AND(V1467&gt;=75,W1467&gt;=60,W1467&lt;95),0.17,0)+IF(AND(V1467&gt;=75,W1467&gt;=95),0.1,0),
IF(AF1467="DoEVba",IF(AND(V1467&lt;20,W1467&lt;105),0.2,0)+IF(AND(V1467&lt;20,W1467&gt;=105),0.15,0)+IF(AND(V1467&gt;=20,V1467&lt;40,W1467&lt;95),0.2,0)+IF(AND(V1467&gt;=20,V1467&lt;40,W1467&gt;=95,W1467&lt;150),0.15,0)+IF(AND(V1467&gt;=20,V1467&lt;40,W1467&gt;=150),0.12,0)+IF(AND(V1467&gt;=40,V1467&lt;75,W1467&lt;75),0.2,0)+IF(AND(V1467&gt;=40,V1467&lt;75,W1467&gt;=75,W1467&lt;120),0.15,0)+IF(AND(V1467&gt;=40,V1467&lt;75,W1467&gt;=120),0.12,0)+IF(AND(V1467&gt;=75,V1467&lt;175,W1467&lt;65),0.2,0)+IF(AND(V1467&gt;=75,V1467&lt;175,W1467&gt;=65,W1467&lt;110),0.15,0)+IF(AND(V1467&gt;=75,V1467&lt;175,W1467&gt;=110),0.12,0)+IF(AND(V1467&gt;=175,W1467&lt;55),0.2,0)+IF(AND(V1467&gt;=175,W1467&gt;=55,W1467&lt;95),0.15,0)+IF(AND(V1467&gt;=175,W1467&gt;=95),0.12,0),
IF(AF1467="DoEVku",IF(AND(V1467&lt;20,W1467&lt;55),0.23,0)+IF(AND(V1467&lt;20,W1467&gt;=55,W1467&lt;105),0.2,0)+IF(AND(V1467&lt;20,W1467&gt;=105),0.17,0)+IF(AND(V1467&gt;=20,V1467&lt;40,W1467&lt;45),0.23,0)+IF(AND(V1467&gt;=20,V1467&lt;40,W1467&gt;=45,W1467&lt;95),0.2,0)+IF(AND(V1467&gt;=20,V1467&lt;40,W1467&gt;=95,W1467&lt;=150),0.17,0)+IF(AND(V1467&gt;=20,V1467&lt;40,W1467&gt;=150),0.12,0)+IF(AND(V1467&gt;=40,V1467&lt;75,W1467&lt;35),0.23,0)+IF(AND(V1467&gt;=40,V1467&lt;75,W1467&gt;=35,W1467&lt;75),0.2,0)+IF(AND(V1467&gt;=40,V1467&lt;75,W1467&gt;=75,W1467&lt;120),0.17,0)+IF(AND(V1467&gt;=40,V1467&lt;75,W1467&gt;=120),0.12,0)+IF(AND(V1467&gt;=75,V1467&lt;175,W1467&lt;35),0.23,0)+IF(AND(V1467&gt;=75,V1467&lt;=175,W1467&gt;=35,W1467&lt;65),0.2,0)+IF(AND(V1467&gt;=75,V1467&lt;=175,W1467&gt;=65,W1467&lt;110),0.17,0)+IF(AND(V1467&gt;=75,V1467&lt;=175,W1467&gt;=110),0.12,0)+IF(AND(V1467&gt;175,W1467&lt;25),0.23,0)+IF(AND(V1467&gt;175,W1467&gt;=25,W1467&lt;55),0.2,0)+IF(AND(V1467&gt;175,W1467&gt;=55,W1467&lt;95),0.17,0)+IF(AND(V1467&gt;175,W1467&gt;=95),0.12,0),
IF(AF1467="DoEVs1",IF(AND(V1467&lt;20,W1467&lt;55),0.3,0)+IF(AND(V1467&lt;20,W1467&gt;=55,W1467&lt;105),0.23,0)+IF(AND(V1467&lt;20,W1467&gt;=105),0.17,0)+IF(AND(V1467&gt;=20,V1467&lt;40,W1467&lt;45),0.3,0)+IF(AND(V1467&gt;=20,V1467&lt;40,W1467&gt;=45,W1467&lt;95),0.23,0)+IF(AND(V1467&gt;=20,V1467&lt;40,W1467&gt;=95,W1467&lt;=150),0.17,0)+IF(AND(V1467&gt;=20,V1467&lt;40,W1467&gt;=150),0.12,0)+IF(AND(V1467&gt;=40,V1467&lt;75,W1467&lt;35),0.3,0)+IF(AND(V1467&gt;=40,V1467&lt;75,W1467&gt;=35,W1467&lt;75),0.23,0)+IF(AND(V1467&gt;=40,V1467&lt;75,W1467&gt;=75,W1467&lt;120),0.17,0)+IF(AND(V1467&gt;=40,V1467&lt;75,W1467&gt;=120),0.12,0)+IF(AND(V1467&gt;=75,V1467&lt;175,W1467&lt;35),0.3,0)+IF(AND(V1467&gt;=75,V1467&lt;=175,W1467&gt;=35,W1467&lt;65),0.23,0)+IF(AND(V1467&gt;=75,V1467&lt;=175,W1467&gt;=65,W1467&lt;110),0.17,0)+IF(AND(V1467&gt;=75,V1467&lt;=175,W1467&gt;=110),0.12,0)+IF(AND(V1467&gt;175,W1467&lt;25),0.3,0)+IF(AND(V1467&gt;175,W1467&gt;=25,W1467&lt;55),0.23,0)+IF(AND(V1467&gt;175,W1467&gt;=55,W1467&lt;95),0.17,0)+IF(AND(V1467&gt;175,W1467&gt;=95),0.12,0),
IF(AF1467="DoEVsu",IF(AND(V1467&lt;20,W1467&lt;55),0.3,0)+IF(AND(V1467&lt;20,W1467&gt;=55,W1467&lt;105),0.23,0)+IF(AND(V1467&lt;20,W1467&gt;=105),0.17,0)+IF(AND(V1467&gt;=20,V1467&lt;40,W1467&lt;45),0.3,0)+IF(AND(V1467&gt;=20,V1467&lt;40,W1467&gt;=45,W1467&lt;95),0.23,0)+IF(AND(V1467&gt;=20,V1467&lt;40,W1467&gt;=95,W1467&lt;=250),0.17,0)+IF(AND(V1467&gt;=20,V1467&lt;40,W1467&gt;=250),0.12,0)+IF(AND(V1467&gt;=40,V1467&lt;75,W1467&lt;35),0.3,0)+IF(AND(V1467&gt;=40,V1467&lt;75,W1467&gt;=35,W1467&lt;75),0.23,0)+IF(AND(V1467&gt;=40,V1467&lt;75,W1467&gt;=75,W1467&lt;120),0.17,0)+IF(AND(V1467&gt;=40,V1467&lt;75,W1467&gt;=120),0.12,0)+IF(AND(V1467&gt;=75,V1467&lt;175,W1467&lt;35),0.3,0)+IF(AND(V1467&gt;=75,V1467&lt;=175,W1467&gt;=35,W1467&lt;65),0.23,0)+IF(AND(V1467&gt;=75,V1467&lt;=175,W1467&gt;=65,W1467&lt;110),0.17,0)+IF(AND(V1467&gt;=75,V1467&lt;=175,W1467&gt;=110),0.12,0)+IF(AND(V1467&gt;175,W1467&lt;25),0.3,0)+IF(AND(V1467&gt;175,W1467&gt;=25,W1467&lt;55),0.23,0)+IF(AND(V1467&gt;175,W1467&gt;=55,W1467&lt;95),0.17,0)+IF(AND(V1467&gt;175,W1467&gt;=95),0.12,0),
IF(AF1467="DoEVni",IF(AND(V1467&lt;20,W1467&lt;55),0.3,0)+IF(AND(V1467&lt;20,W1467&gt;=55,W1467&lt;105),0.23,0)+IF(AND(V1467&lt;20,W1467&gt;=105),0.17,0)+IF(AND(V1467&gt;=20,V1467&lt;40,W1467&lt;45),0.3,0)+IF(AND(V1467&gt;=20,V1467&lt;40,W1467&gt;=45,W1467&lt;95),0.23,0)+IF(AND(V1467&gt;=20,V1467&lt;40,W1467&gt;=95,W1467&lt;=200),0.17,0)+IF(AND(V1467&gt;=20,V1467&lt;40,W1467&gt;=200),0.12,0)+IF(AND(V1467&gt;=40,V1467&lt;75,W1467&lt;35),0.3,0)+IF(AND(V1467&gt;=40,V1467&lt;75,W1467&gt;=35,W1467&lt;75),0.23,0)+IF(AND(V1467&gt;=40,V1467&lt;75,W1467&gt;=75,W1467&lt;120),0.17,0)+IF(AND(V1467&gt;=40,V1467&lt;75,W1467&gt;=120),0.12,0)+IF(AND(V1467&gt;=75,V1467&lt;175,W1467&lt;35),0.3,0)+IF(AND(V1467&gt;=75,V1467&lt;=175,W1467&gt;=35,W1467&lt;65),0.23,0)+IF(AND(V1467&gt;=75,V1467&lt;=175,W1467&gt;=65,W1467&lt;110),0.17,0)+IF(AND(V1467&gt;=75,V1467&lt;=175,W1467&gt;=110),0.12,0)+IF(AND(V1467&gt;175,W1467&lt;25),0.3,0)+IF(AND(V1467&gt;175,W1467&gt;=25,W1467&lt;55),0.23,0)+IF(AND(V1467&gt;175,W1467&gt;=55,W1467&lt;95),0.17,0)+IF(AND(V1467&gt;175,W1467&gt;=95),0.12,0),
IF(AF1467="DoEVLo",IF(AND(V1467&lt;20,W1467&lt;55),0.25,0)+IF(AND(V1467&lt;20,W1467&gt;=55,W1467&lt;105),0.2,0)+IF(AND(V1467&lt;20,W1467&gt;=105),0.15,0)+IF(AND(V1467&gt;=20,V1467&lt;40,W1467&lt;45),0.25,0)+IF(AND(V1467&gt;=20,V1467&lt;40,W1467&gt;=45,W1467&lt;95),0.2,0)+IF(AND(V1467&gt;=20,V1467&lt;40,W1467&gt;=95),0.15,0)+IF(AND(V1467&gt;=40,V1467&lt;75,W1467&lt;35),0.25,0)+IF(AND(V1467&gt;=40,V1467&lt;75,W1467&gt;=35,W1467&lt;75),0.2,0)+IF(AND(V1467&gt;=40,V1467&lt;75,W1467&gt;=75,W1467&lt;120),0.15,0)+IF(AND(V1467&gt;=40,V1467&lt;75,W1467&gt;=120),0.1,0)+IF(AND(V1467&gt;=75,V1467&lt;175,W1467&lt;35),0.25,0)+IF(AND(V1467&gt;=75,V1467&lt;=175,W1467&gt;=35,W1467&lt;65),0.2,0)+IF(AND(V1467&gt;=75,V1467&lt;=175,W1467&gt;=65,W1467&lt;110),0.15,0)+IF(AND(V1467&gt;=75,V1467&lt;=175,W1467&gt;=110),0.1,0)+IF(AND(V1467&gt;175,W1467&lt;25),0.25,0)+IF(AND(V1467&gt;175,W1467&gt;=25,W1467&lt;55),0.2,0)+IF(AND(V1467&gt;175,W1467&gt;=55,W1467&lt;95),0.15,0)+IF(AND(V1467&gt;175,W1467&gt;=95),0.1,0))))))))))))))))))))</f>
        <v>0.12</v>
      </c>
      <c r="Y1467" s="30">
        <f>IF(AG1467="None",0,IF(AG1467="Fix5",0.05, IF(AG1467="Fix6.25",0.0625,IF(AG1467="Fix3.75",0.0375, IF(AG1467="Fix11",0.11, IF(AG1467="Fix10",0.1,IF(AG1467="Fix3",0.03,0)))))))</f>
        <v>0</v>
      </c>
      <c r="Z1467" s="35">
        <f>IF(AND(AD1467="EUR", AE1467 = "USD"), T1467*U1467-AA1467-AB1467, T1467-AA1467-AB1467)</f>
        <v>0</v>
      </c>
      <c r="AA1467" s="29">
        <f>IF(AND(AD1467="EUR", F1467="Without EV deal", AE1467="USD"), (T1467*X1467)*U1467,
IF(AND(AD1467="EUR", F1467="Without EV deal", AE1467="EUR"), (T1467*X1467),
IF(AND(AD1467="EUR",AE1467="USD"), (T1467*X1467)*U1467,
T1467*X1467)))</f>
        <v>0</v>
      </c>
      <c r="AB1467" s="36">
        <f>IF(AND(AD1467="EUR", F1467="Without EV deal", AE1467="USD"), (T1467*Y1467)*U1467,
IF(AND(AD1467="EUR", F1467="Without EV deal", AE1467="EUR"), (T1467*Y1467),
IF(AND(AD1467="EUR",AE1467="USD"), (T1467*Y1467)*U1467,
T1467*Y1467)))</f>
        <v>0</v>
      </c>
      <c r="AC1467" s="37" t="b">
        <v>1</v>
      </c>
      <c r="AD1467" s="82" t="str">
        <f>IF(OR(H1467="€0.25 Flash",
H1467="€0.25(nitro) new",
H1467="€1",
H1467="€2",
H1467="€2 (bf 01.08)",
H1467="€5",
H1467="€5 (1M)",
H1467="€5 (bf 01.08)",
H1467="€5 (bf 05.05)",
H1467="€5 Nitro",
H1467="€5(wx) new",
H1467="€10",
H1467="€10 (1M)",
H1467="€10 (bf 01.08)",
H1467="€10 (bf 05.05)",
H1467="€10 (MP)",
H1467="€10 (old)",
H1467="€10 Nitro (bf 05.05)",
H1467="€10 Nitro (old)",
H1467="€10(wx) new",
H1467="€20",
H1467="€25",
H1467="€25 (bf 01.08)",
H1467="€25 (bf 05.05)",
H1467="€25 (MP)",
H1467="€25 (old)",
H1467="€25 Nitro",
H1467="€25 Nitro (bf 01.08)",
H1467="€25 Nitro (bf 05.05)",
H1467="€25(nitro) new",
H1467="€25(wx) new",
H1467="€50",
H1467="€50 (bf 01.08)",
H1467="€50 (bf 05.05)",
H1467="€50 (old)",
H1467="€50 Nitro",
H1467="€50 Nitro (bf 01.08)",
H1467="€50 Nitro (bf 05.05)",
H1467="€50(wx) new",
H1467="€100",
H1467="€100 (old)",
H1467="€100 Nitro",
H1467="€100 Nitro (old)",
H1467="€200",
H1467="€250",
H1467="€250 Nitro",
H1467="€500",
H1467="€500 Nitro"),"EUR", "USD")</f>
        <v>USD</v>
      </c>
      <c r="AE1467" s="83" t="s">
        <v>38</v>
      </c>
      <c r="AF1467" s="83" t="str">
        <f t="array" ref="AF1467">INDEX('Deal Info'!D:D, MATCH(A1467,'Deal Info'!A:A, 0))</f>
        <v>DoEVni</v>
      </c>
      <c r="AG1467" s="84" t="str">
        <f t="array" ref="AG1467">INDEX('Deal Info'!G:G, MATCH(A1467,'Deal Info'!A:A, 0))</f>
        <v>None</v>
      </c>
    </row>
    <row r="1468" spans="1:33" ht="14.25" x14ac:dyDescent="0.2">
      <c r="A1468" s="18" t="str">
        <f t="array" ref="A1468">IF(G1468='Room Info'!$B$1, INDEX('Room Info'!$A$2:$A2446, MATCH(B1468,'Room Info'!$B$2:$B2446, 0)),IF(G1468='Room Info'!$C$1, INDEX('Room Info'!$A$2:$A2446, MATCH(B1468,'Room Info'!$C$2:$C2446, 0)),IF(G1468='Room Info'!$D$1, INDEX('Room Info'!$A$2:$A2446, MATCH(B1468,'Room Info'!$D$2:$D2446, 0)),IF(G1468='Room Info'!$E$1, INDEX('Room Info'!$A$2:$A2446, MATCH(B1468,'Room Info'!$E$2:$E2446, 0)),IF(G1468='Room Info'!$F$1, INDEX('Room Info'!$A$2:$A2446, MATCH(B1468,'Room Info'!$F$2:$F2446, 0)),IF(G1468='Room Info'!$H$1, INDEX('Room Info'!$A$2:$A2446, MATCH(B1468,'Room Info'!$H$2:$H2446, 0)),IF(G1468='Room Info'!$G$1, INDEX('Room Info'!$A$2:$A2446, MATCH(B1468,'Room Info'!$G$2:$G2446, 0)))))))))</f>
        <v>Mackevgen</v>
      </c>
      <c r="B1468" s="129" t="s">
        <v>127</v>
      </c>
      <c r="C1468" s="111">
        <v>44958</v>
      </c>
      <c r="D1468" s="111">
        <v>44985</v>
      </c>
      <c r="E1468" s="90">
        <v>44958</v>
      </c>
      <c r="F1468" s="129" t="s">
        <v>49</v>
      </c>
      <c r="G1468" s="65" t="s">
        <v>61</v>
      </c>
      <c r="H1468" s="110" t="s">
        <v>57</v>
      </c>
      <c r="I1468" s="100" t="s">
        <v>101</v>
      </c>
      <c r="J1468" s="39">
        <v>50</v>
      </c>
      <c r="K1468" s="123">
        <v>163</v>
      </c>
      <c r="L1468" s="113">
        <v>969</v>
      </c>
      <c r="M1468" s="62"/>
      <c r="N1468" s="28">
        <f>K1468*J1468</f>
        <v>8150</v>
      </c>
      <c r="O1468" s="65">
        <v>18736</v>
      </c>
      <c r="P1468" s="29">
        <v>114.94478530000001</v>
      </c>
      <c r="Q1468" s="103"/>
      <c r="R1468" s="31">
        <f>M1468+Q1468*J1468*K1468*0.07</f>
        <v>0</v>
      </c>
      <c r="S1468" s="66">
        <v>1062</v>
      </c>
      <c r="T1468" s="32">
        <f>IF(AND(AD1468="EUR", F1468="Without EV deal"), R1468 + L1468,
IF(AND(AD1468="USD", F1468="Without EV deal"), R1468 + L1468,
IF(AND(AD1468="EUR", F1468="Steel Phoenix"), R1468 + S1468/U1468,
R1468 + S1468)))</f>
        <v>1062</v>
      </c>
      <c r="U1468" s="114">
        <v>1.0617000000000001</v>
      </c>
      <c r="V1468" s="69">
        <v>12.92317708</v>
      </c>
      <c r="W1468" s="69">
        <v>568.14976320000005</v>
      </c>
      <c r="X1468" s="30">
        <f>IF(AF1468="DoEV",IF(AND(V1468&lt;20,W1468&lt;55),0.3,0)+IF(AND(V1468&lt;20,W1468&gt;=55,W1468&lt;105),0.23,0)+IF(AND(V1468&lt;20,W1468&gt;=105),0.17,0)+IF(AND(V1468&gt;=20,V1468&lt;40,W1468&lt;45),0.3,0)+IF(AND(V1468&gt;=20,V1468&lt;40,W1468&gt;=45,W1468&lt;95),0.23,0)+IF(AND(V1468&gt;=20,V1468&lt;40,W1468&gt;=95),0.17,0)+IF(AND(V1468&gt;=40,V1468&lt;75,W1468&lt;35),0.3,0)+IF(AND(V1468&gt;=40,V1468&lt;75,W1468&gt;=35,W1468&lt;75),0.23,0)+IF(AND(V1468&gt;=40,V1468&lt;75,W1468&gt;=75,W1468&lt;120),0.17,0)+IF(AND(V1468&gt;=40,V1468&lt;75,W1468&gt;=120),0.12,0)+IF(AND(V1468&gt;=75,V1468&lt;175,W1468&lt;35),0.3,0)+IF(AND(V1468&gt;=75,V1468&lt;=175,W1468&gt;=35,W1468&lt;65),0.23,0)+IF(AND(V1468&gt;=75,V1468&lt;=175,W1468&gt;=65,W1468&lt;110),0.17,0)+IF(AND(V1468&gt;=75,V1468&lt;=175,W1468&gt;=110),0.12,0)+IF(AND(V1468&gt;175,W1468&lt;25),0.3,0)+IF(AND(V1468&gt;175,W1468&gt;=25,W1468&lt;55),0.23,0)+IF(AND(V1468&gt;175,W1468&gt;=55,W1468&lt;95),0.17,0)+IF(AND(V1468&gt;175,W1468&gt;=95),0.12,0),
IF(AF1468="Fix15",0.15,
IF(AF1468="Fix5",0.05,
IF(AF1468="Fix18.75",0.1875,
IF(AF1468="Fix11.25",0.1125,
IF(AF1468="Fix10",0.1,
IF(AF1468="Fix9",0.09,
IF(AF1468="Fix12",0.12,
IF(AF1468="Fix19",0.19,
IF(AF1468="DoEV2017",IF(AND(W1468&lt;74),0.2,0)+IF(AND(W1468&gt;=74),0.17,0),
IF(AF1468="SF",IF(AND(V1468&lt;20,W1468&lt;89),0.3,0)+IF(AND(V1468&lt;20,W1468&gt;=89),0.25,0)+IF(AND(V1468&gt;=20,V1468&lt;40,W1468&lt;74),0.3,0)+IF(AND(V1468&gt;=20,V1468&lt;40,W1468&gt;=75),0.22,0)+IF(AND(V1468&gt;=40,V1468&lt;75,W1468&lt;75),0.26,0)+IF(AND(V1468&gt;=40,V1468&lt;75,W1468&gt;=75),0.22,0)+IF(V1468&gt;=75,0.22,0),
IF(AF1468="DoEVold",IF(AND(V1468&lt;40,W1468&lt;35),0.35,0)+IF(AND(V1468&lt;40,W1468&gt;=35,W1468&lt;75),0.25,0)+IF(AND(V1468&lt;40,W1468&gt;=75),0.17,0)+IF(AND(V1468&gt;=40,V1468&lt;75,W1468&lt;25),0.35,0)+IF(AND(V1468&gt;=40,V1468&lt;75,W1468&gt;=25,W1468&lt;65),0.25,0)+IF(AND(V1468&gt;=40,V1468&lt;75,W1468&gt;=65,W1468&lt;100),0.17,0)+IF(AND(V1468&gt;=40,V1468&lt;75,W1468&gt;=100),0.1,0)+IF(AND(V1468&gt;=75,W1468&lt;25),0.35,0)+IF(AND(V1468&gt;=75,W1468&gt;=25,W1468&lt;60),0.25,0)+IF(AND(V1468&gt;=75,W1468&gt;=60,W1468&lt;95),0.17,0)+IF(AND(V1468&gt;=75,W1468&gt;=95),0.1,0),
IF(AF1468="DoEVold15",IF(AND(V1468&lt;=40,W1468&lt;35),0.35,0)+IF(AND(V1468&lt;=40,W1468&gt;=35,W1468&lt;75),0.25,0)+IF(AND(V1468&lt;=40,W1468&gt;=75,W1468&lt;120),0.17,0)+IF(AND(V1468&lt;=40,W1468&gt;=120),0.15,0)+IF(AND(V1468&gt;40,V1468&lt;75,W1468&lt;25),0.35,0)+IF(AND(V1468&gt;=40,V1468&lt;75,W1468&gt;=25,W1468&lt;65),0.25,0)+IF(AND(V1468&gt;=40,V1468&lt;75,W1468&gt;=65,W1468&lt;100),0.17,0)+IF(AND(V1468&gt;=40,V1468&lt;75,W1468&gt;=100),0.1,0)+IF(AND(V1468&gt;=75,W1468&lt;25),0.35,0)+IF(AND(V1468&gt;=75,W1468&gt;=25,W1468&lt;60),0.25,0)+IF(AND(V1468&gt;=75,W1468&gt;=60,W1468&lt;95),0.17,0)+IF(AND(V1468&gt;=75,W1468&gt;=95),0.1,0),
IF(AF1468="DoEVba",IF(AND(V1468&lt;20,W1468&lt;105),0.2,0)+IF(AND(V1468&lt;20,W1468&gt;=105),0.15,0)+IF(AND(V1468&gt;=20,V1468&lt;40,W1468&lt;95),0.2,0)+IF(AND(V1468&gt;=20,V1468&lt;40,W1468&gt;=95,W1468&lt;150),0.15,0)+IF(AND(V1468&gt;=20,V1468&lt;40,W1468&gt;=150),0.12,0)+IF(AND(V1468&gt;=40,V1468&lt;75,W1468&lt;75),0.2,0)+IF(AND(V1468&gt;=40,V1468&lt;75,W1468&gt;=75,W1468&lt;120),0.15,0)+IF(AND(V1468&gt;=40,V1468&lt;75,W1468&gt;=120),0.12,0)+IF(AND(V1468&gt;=75,V1468&lt;175,W1468&lt;65),0.2,0)+IF(AND(V1468&gt;=75,V1468&lt;175,W1468&gt;=65,W1468&lt;110),0.15,0)+IF(AND(V1468&gt;=75,V1468&lt;175,W1468&gt;=110),0.12,0)+IF(AND(V1468&gt;=175,W1468&lt;55),0.2,0)+IF(AND(V1468&gt;=175,W1468&gt;=55,W1468&lt;95),0.15,0)+IF(AND(V1468&gt;=175,W1468&gt;=95),0.12,0),
IF(AF1468="DoEVku",IF(AND(V1468&lt;20,W1468&lt;55),0.23,0)+IF(AND(V1468&lt;20,W1468&gt;=55,W1468&lt;105),0.2,0)+IF(AND(V1468&lt;20,W1468&gt;=105),0.17,0)+IF(AND(V1468&gt;=20,V1468&lt;40,W1468&lt;45),0.23,0)+IF(AND(V1468&gt;=20,V1468&lt;40,W1468&gt;=45,W1468&lt;95),0.2,0)+IF(AND(V1468&gt;=20,V1468&lt;40,W1468&gt;=95,W1468&lt;=150),0.17,0)+IF(AND(V1468&gt;=20,V1468&lt;40,W1468&gt;=150),0.12,0)+IF(AND(V1468&gt;=40,V1468&lt;75,W1468&lt;35),0.23,0)+IF(AND(V1468&gt;=40,V1468&lt;75,W1468&gt;=35,W1468&lt;75),0.2,0)+IF(AND(V1468&gt;=40,V1468&lt;75,W1468&gt;=75,W1468&lt;120),0.17,0)+IF(AND(V1468&gt;=40,V1468&lt;75,W1468&gt;=120),0.12,0)+IF(AND(V1468&gt;=75,V1468&lt;175,W1468&lt;35),0.23,0)+IF(AND(V1468&gt;=75,V1468&lt;=175,W1468&gt;=35,W1468&lt;65),0.2,0)+IF(AND(V1468&gt;=75,V1468&lt;=175,W1468&gt;=65,W1468&lt;110),0.17,0)+IF(AND(V1468&gt;=75,V1468&lt;=175,W1468&gt;=110),0.12,0)+IF(AND(V1468&gt;175,W1468&lt;25),0.23,0)+IF(AND(V1468&gt;175,W1468&gt;=25,W1468&lt;55),0.2,0)+IF(AND(V1468&gt;175,W1468&gt;=55,W1468&lt;95),0.17,0)+IF(AND(V1468&gt;175,W1468&gt;=95),0.12,0),
IF(AF1468="DoEVs1",IF(AND(V1468&lt;20,W1468&lt;55),0.3,0)+IF(AND(V1468&lt;20,W1468&gt;=55,W1468&lt;105),0.23,0)+IF(AND(V1468&lt;20,W1468&gt;=105),0.17,0)+IF(AND(V1468&gt;=20,V1468&lt;40,W1468&lt;45),0.3,0)+IF(AND(V1468&gt;=20,V1468&lt;40,W1468&gt;=45,W1468&lt;95),0.23,0)+IF(AND(V1468&gt;=20,V1468&lt;40,W1468&gt;=95,W1468&lt;=150),0.17,0)+IF(AND(V1468&gt;=20,V1468&lt;40,W1468&gt;=150),0.12,0)+IF(AND(V1468&gt;=40,V1468&lt;75,W1468&lt;35),0.3,0)+IF(AND(V1468&gt;=40,V1468&lt;75,W1468&gt;=35,W1468&lt;75),0.23,0)+IF(AND(V1468&gt;=40,V1468&lt;75,W1468&gt;=75,W1468&lt;120),0.17,0)+IF(AND(V1468&gt;=40,V1468&lt;75,W1468&gt;=120),0.12,0)+IF(AND(V1468&gt;=75,V1468&lt;175,W1468&lt;35),0.3,0)+IF(AND(V1468&gt;=75,V1468&lt;=175,W1468&gt;=35,W1468&lt;65),0.23,0)+IF(AND(V1468&gt;=75,V1468&lt;=175,W1468&gt;=65,W1468&lt;110),0.17,0)+IF(AND(V1468&gt;=75,V1468&lt;=175,W1468&gt;=110),0.12,0)+IF(AND(V1468&gt;175,W1468&lt;25),0.3,0)+IF(AND(V1468&gt;175,W1468&gt;=25,W1468&lt;55),0.23,0)+IF(AND(V1468&gt;175,W1468&gt;=55,W1468&lt;95),0.17,0)+IF(AND(V1468&gt;175,W1468&gt;=95),0.12,0),
IF(AF1468="DoEVsu",IF(AND(V1468&lt;20,W1468&lt;55),0.3,0)+IF(AND(V1468&lt;20,W1468&gt;=55,W1468&lt;105),0.23,0)+IF(AND(V1468&lt;20,W1468&gt;=105),0.17,0)+IF(AND(V1468&gt;=20,V1468&lt;40,W1468&lt;45),0.3,0)+IF(AND(V1468&gt;=20,V1468&lt;40,W1468&gt;=45,W1468&lt;95),0.23,0)+IF(AND(V1468&gt;=20,V1468&lt;40,W1468&gt;=95,W1468&lt;=250),0.17,0)+IF(AND(V1468&gt;=20,V1468&lt;40,W1468&gt;=250),0.12,0)+IF(AND(V1468&gt;=40,V1468&lt;75,W1468&lt;35),0.3,0)+IF(AND(V1468&gt;=40,V1468&lt;75,W1468&gt;=35,W1468&lt;75),0.23,0)+IF(AND(V1468&gt;=40,V1468&lt;75,W1468&gt;=75,W1468&lt;120),0.17,0)+IF(AND(V1468&gt;=40,V1468&lt;75,W1468&gt;=120),0.12,0)+IF(AND(V1468&gt;=75,V1468&lt;175,W1468&lt;35),0.3,0)+IF(AND(V1468&gt;=75,V1468&lt;=175,W1468&gt;=35,W1468&lt;65),0.23,0)+IF(AND(V1468&gt;=75,V1468&lt;=175,W1468&gt;=65,W1468&lt;110),0.17,0)+IF(AND(V1468&gt;=75,V1468&lt;=175,W1468&gt;=110),0.12,0)+IF(AND(V1468&gt;175,W1468&lt;25),0.3,0)+IF(AND(V1468&gt;175,W1468&gt;=25,W1468&lt;55),0.23,0)+IF(AND(V1468&gt;175,W1468&gt;=55,W1468&lt;95),0.17,0)+IF(AND(V1468&gt;175,W1468&gt;=95),0.12,0),
IF(AF1468="DoEVni",IF(AND(V1468&lt;20,W1468&lt;55),0.3,0)+IF(AND(V1468&lt;20,W1468&gt;=55,W1468&lt;105),0.23,0)+IF(AND(V1468&lt;20,W1468&gt;=105),0.17,0)+IF(AND(V1468&gt;=20,V1468&lt;40,W1468&lt;45),0.3,0)+IF(AND(V1468&gt;=20,V1468&lt;40,W1468&gt;=45,W1468&lt;95),0.23,0)+IF(AND(V1468&gt;=20,V1468&lt;40,W1468&gt;=95,W1468&lt;=200),0.17,0)+IF(AND(V1468&gt;=20,V1468&lt;40,W1468&gt;=200),0.12,0)+IF(AND(V1468&gt;=40,V1468&lt;75,W1468&lt;35),0.3,0)+IF(AND(V1468&gt;=40,V1468&lt;75,W1468&gt;=35,W1468&lt;75),0.23,0)+IF(AND(V1468&gt;=40,V1468&lt;75,W1468&gt;=75,W1468&lt;120),0.17,0)+IF(AND(V1468&gt;=40,V1468&lt;75,W1468&gt;=120),0.12,0)+IF(AND(V1468&gt;=75,V1468&lt;175,W1468&lt;35),0.3,0)+IF(AND(V1468&gt;=75,V1468&lt;=175,W1468&gt;=35,W1468&lt;65),0.23,0)+IF(AND(V1468&gt;=75,V1468&lt;=175,W1468&gt;=65,W1468&lt;110),0.17,0)+IF(AND(V1468&gt;=75,V1468&lt;=175,W1468&gt;=110),0.12,0)+IF(AND(V1468&gt;175,W1468&lt;25),0.3,0)+IF(AND(V1468&gt;175,W1468&gt;=25,W1468&lt;55),0.23,0)+IF(AND(V1468&gt;175,W1468&gt;=55,W1468&lt;95),0.17,0)+IF(AND(V1468&gt;175,W1468&gt;=95),0.12,0),
IF(AF1468="DoEVLo",IF(AND(V1468&lt;20,W1468&lt;55),0.25,0)+IF(AND(V1468&lt;20,W1468&gt;=55,W1468&lt;105),0.2,0)+IF(AND(V1468&lt;20,W1468&gt;=105),0.15,0)+IF(AND(V1468&gt;=20,V1468&lt;40,W1468&lt;45),0.25,0)+IF(AND(V1468&gt;=20,V1468&lt;40,W1468&gt;=45,W1468&lt;95),0.2,0)+IF(AND(V1468&gt;=20,V1468&lt;40,W1468&gt;=95),0.15,0)+IF(AND(V1468&gt;=40,V1468&lt;75,W1468&lt;35),0.25,0)+IF(AND(V1468&gt;=40,V1468&lt;75,W1468&gt;=35,W1468&lt;75),0.2,0)+IF(AND(V1468&gt;=40,V1468&lt;75,W1468&gt;=75,W1468&lt;120),0.15,0)+IF(AND(V1468&gt;=40,V1468&lt;75,W1468&gt;=120),0.1,0)+IF(AND(V1468&gt;=75,V1468&lt;175,W1468&lt;35),0.25,0)+IF(AND(V1468&gt;=75,V1468&lt;=175,W1468&gt;=35,W1468&lt;65),0.2,0)+IF(AND(V1468&gt;=75,V1468&lt;=175,W1468&gt;=65,W1468&lt;110),0.15,0)+IF(AND(V1468&gt;=75,V1468&lt;=175,W1468&gt;=110),0.1,0)+IF(AND(V1468&gt;175,W1468&lt;25),0.25,0)+IF(AND(V1468&gt;175,W1468&gt;=25,W1468&lt;55),0.2,0)+IF(AND(V1468&gt;175,W1468&gt;=55,W1468&lt;95),0.15,0)+IF(AND(V1468&gt;175,W1468&gt;=95),0.1,0))))))))))))))))))))</f>
        <v>0.17</v>
      </c>
      <c r="Y1468" s="30">
        <f>IF(AG1468="None",0,IF(AG1468="Fix5",0.05, IF(AG1468="Fix6.25",0.0625,IF(AG1468="Fix3.75",0.0375, IF(AG1468="Fix11",0.11, IF(AG1468="Fix10",0.1,IF(AG1468="Fix3",0.03,0)))))))</f>
        <v>0</v>
      </c>
      <c r="Z1468" s="35">
        <f>IF(AND(AD1468="EUR", AE1468 = "USD"), T1468*U1468-AA1468-AB1468, T1468-AA1468-AB1468)</f>
        <v>881.46</v>
      </c>
      <c r="AA1468" s="29">
        <f>IF(AND(AD1468="EUR", F1468="Without EV deal", AE1468="USD"), (T1468*X1468)*U1468,
IF(AND(AD1468="EUR", F1468="Without EV deal", AE1468="EUR"), (T1468*X1468),
IF(AND(AD1468="EUR",AE1468="USD"), (T1468*X1468)*U1468,
T1468*X1468)))</f>
        <v>180.54000000000002</v>
      </c>
      <c r="AB1468" s="36">
        <f>IF(AND(AD1468="EUR", F1468="Without EV deal", AE1468="USD"), (T1468*Y1468)*U1468,
IF(AND(AD1468="EUR", F1468="Without EV deal", AE1468="EUR"), (T1468*Y1468),
IF(AND(AD1468="EUR",AE1468="USD"), (T1468*Y1468)*U1468,
T1468*Y1468)))</f>
        <v>0</v>
      </c>
      <c r="AC1468" s="37" t="b">
        <v>1</v>
      </c>
      <c r="AD1468" s="37" t="str">
        <f>IF(OR(H1468="€0.25 Flash",
H1468="€0.25(nitro) new",
H1468="€1",
H1468="€2",
H1468="€2 (bf 01.08)",
H1468="€5",
H1468="€5 (1M)",
H1468="€5 (bf 01.08)",
H1468="€5 (bf 05.05)",
H1468="€5 Nitro",
H1468="€5(wx) new",
H1468="€10",
H1468="€10 (1M)",
H1468="€10 (bf 01.08)",
H1468="€10 (bf 05.05)",
H1468="€10 (MP)",
H1468="€10 (old)",
H1468="€10 Nitro (bf 05.05)",
H1468="€10 Nitro (old)",
H1468="€10(wx) new",
H1468="€20",
H1468="€25",
H1468="€25 (bf 01.08)",
H1468="€25 (bf 05.05)",
H1468="€25 (MP)",
H1468="€25 (old)",
H1468="€25 Nitro",
H1468="€25 Nitro (bf 01.08)",
H1468="€25 Nitro (bf 05.05)",
H1468="€25(nitro) new",
H1468="€25(wx) new",
H1468="€50",
H1468="€50 (bf 01.08)",
H1468="€50 (bf 05.05)",
H1468="€50 (old)",
H1468="€50 Nitro",
H1468="€50 Nitro (bf 01.08)",
H1468="€50 Nitro (bf 05.05)",
H1468="€50(wx) new",
H1468="€100",
H1468="€100 (old)",
H1468="€100 Nitro",
H1468="€100 Nitro (old)",
H1468="€200",
H1468="€250",
H1468="€250 Nitro",
H1468="€500",
H1468="€500 Nitro"),"EUR", "USD")</f>
        <v>EUR</v>
      </c>
      <c r="AE1468" s="37" t="s">
        <v>50</v>
      </c>
      <c r="AF1468" s="37" t="str">
        <f t="array" ref="AF1468">INDEX('Deal Info'!D:D, MATCH(A1468,'Deal Info'!A:A, 0))</f>
        <v>DoEV</v>
      </c>
      <c r="AG1468" s="38" t="str">
        <f t="array" ref="AG1468">INDEX('Deal Info'!G:G, MATCH(A1468,'Deal Info'!A:A, 0))</f>
        <v>None</v>
      </c>
    </row>
    <row r="1469" spans="1:33" ht="14.25" x14ac:dyDescent="0.2">
      <c r="A1469" s="18" t="str">
        <f t="array" ref="A1469">IF(G1469='Room Info'!$B$1, INDEX('Room Info'!$A$2:$A2446, MATCH(B1469,'Room Info'!$B$2:$B2446, 0)),IF(G1469='Room Info'!$C$1, INDEX('Room Info'!$A$2:$A2446, MATCH(B1469,'Room Info'!$C$2:$C2446, 0)),IF(G1469='Room Info'!$D$1, INDEX('Room Info'!$A$2:$A2446, MATCH(B1469,'Room Info'!$D$2:$D2446, 0)),IF(G1469='Room Info'!$E$1, INDEX('Room Info'!$A$2:$A2446, MATCH(B1469,'Room Info'!$E$2:$E2446, 0)),IF(G1469='Room Info'!$F$1, INDEX('Room Info'!$A$2:$A2446, MATCH(B1469,'Room Info'!$F$2:$F2446, 0)),IF(G1469='Room Info'!$H$1, INDEX('Room Info'!$A$2:$A2446, MATCH(B1469,'Room Info'!$H$2:$H2446, 0)),IF(G1469='Room Info'!$G$1, INDEX('Room Info'!$A$2:$A2446, MATCH(B1469,'Room Info'!$G$2:$G2446, 0)))))))))</f>
        <v>Freedoom</v>
      </c>
      <c r="B1469" s="129" t="s">
        <v>129</v>
      </c>
      <c r="C1469" s="136">
        <v>44958</v>
      </c>
      <c r="D1469" s="136">
        <v>44985</v>
      </c>
      <c r="E1469" s="21">
        <v>44958</v>
      </c>
      <c r="F1469" s="22" t="s">
        <v>41</v>
      </c>
      <c r="G1469" s="18" t="s">
        <v>61</v>
      </c>
      <c r="H1469" s="23" t="s">
        <v>130</v>
      </c>
      <c r="I1469" s="23" t="s">
        <v>37</v>
      </c>
      <c r="J1469" s="39">
        <v>5</v>
      </c>
      <c r="K1469" s="134">
        <v>715</v>
      </c>
      <c r="L1469" s="135">
        <v>-170</v>
      </c>
      <c r="M1469" s="79">
        <v>64</v>
      </c>
      <c r="N1469" s="28">
        <f>K1469*J1469</f>
        <v>3575</v>
      </c>
      <c r="O1469" s="129">
        <v>39323</v>
      </c>
      <c r="P1469" s="29">
        <v>54.997202799999997</v>
      </c>
      <c r="Q1469" s="103"/>
      <c r="R1469" s="31">
        <f>M1469+Q1469</f>
        <v>64</v>
      </c>
      <c r="S1469" s="97"/>
      <c r="T1469" s="32">
        <f>IF(AND(AD1469="EUR", F1469="Without EV deal"), R1469 + L1469,
IF(AND(AD1469="USD", F1469="Without EV deal"), R1469 + L1469,
IF(AND(AD1469="EUR", F1469="Steel Phoenix"), R1469 + S1469/U1469,
R1469 + S1469)))</f>
        <v>-106</v>
      </c>
      <c r="U1469" s="114">
        <v>1.06</v>
      </c>
      <c r="V1469" s="69"/>
      <c r="W1469" s="69"/>
      <c r="X1469" s="30">
        <f>IF(AF1469="DoEV",IF(AND(V1469&lt;20,W1469&lt;55),0.3,0)+IF(AND(V1469&lt;20,W1469&gt;=55,W1469&lt;105),0.23,0)+IF(AND(V1469&lt;20,W1469&gt;=105),0.17,0)+IF(AND(V1469&gt;=20,V1469&lt;40,W1469&lt;45),0.3,0)+IF(AND(V1469&gt;=20,V1469&lt;40,W1469&gt;=45,W1469&lt;95),0.23,0)+IF(AND(V1469&gt;=20,V1469&lt;40,W1469&gt;=95),0.17,0)+IF(AND(V1469&gt;=40,V1469&lt;75,W1469&lt;35),0.3,0)+IF(AND(V1469&gt;=40,V1469&lt;75,W1469&gt;=35,W1469&lt;75),0.23,0)+IF(AND(V1469&gt;=40,V1469&lt;75,W1469&gt;=75,W1469&lt;120),0.17,0)+IF(AND(V1469&gt;=40,V1469&lt;75,W1469&gt;=120),0.12,0)+IF(AND(V1469&gt;=75,V1469&lt;175,W1469&lt;35),0.3,0)+IF(AND(V1469&gt;=75,V1469&lt;=175,W1469&gt;=35,W1469&lt;65),0.23,0)+IF(AND(V1469&gt;=75,V1469&lt;=175,W1469&gt;=65,W1469&lt;110),0.17,0)+IF(AND(V1469&gt;=75,V1469&lt;=175,W1469&gt;=110),0.12,0)+IF(AND(V1469&gt;175,W1469&lt;25),0.3,0)+IF(AND(V1469&gt;175,W1469&gt;=25,W1469&lt;55),0.23,0)+IF(AND(V1469&gt;175,W1469&gt;=55,W1469&lt;95),0.17,0)+IF(AND(V1469&gt;175,W1469&gt;=95),0.12,0),
IF(AF1469="Fix15",0.15,
IF(AF1469="Fix5",0.05,
IF(AF1469="Fix18.75",0.1875,
IF(AF1469="Fix11.25",0.1125,
IF(AF1469="Fix10",0.1,
IF(AF1469="Fix9",0.09,
IF(AF1469="Fix12",0.12,
IF(AF1469="Fix19",0.19,
IF(AF1469="DoEV2017",IF(AND(W1469&lt;74),0.2,0)+IF(AND(W1469&gt;=74),0.17,0),
IF(AF1469="SF",IF(AND(V1469&lt;20,W1469&lt;89),0.3,0)+IF(AND(V1469&lt;20,W1469&gt;=89),0.25,0)+IF(AND(V1469&gt;=20,V1469&lt;40,W1469&lt;74),0.3,0)+IF(AND(V1469&gt;=20,V1469&lt;40,W1469&gt;=75),0.22,0)+IF(AND(V1469&gt;=40,V1469&lt;75,W1469&lt;75),0.26,0)+IF(AND(V1469&gt;=40,V1469&lt;75,W1469&gt;=75),0.22,0)+IF(V1469&gt;=75,0.22,0),
IF(AF1469="DoEVold",IF(AND(V1469&lt;40,W1469&lt;35),0.35,0)+IF(AND(V1469&lt;40,W1469&gt;=35,W1469&lt;75),0.25,0)+IF(AND(V1469&lt;40,W1469&gt;=75),0.17,0)+IF(AND(V1469&gt;=40,V1469&lt;75,W1469&lt;25),0.35,0)+IF(AND(V1469&gt;=40,V1469&lt;75,W1469&gt;=25,W1469&lt;65),0.25,0)+IF(AND(V1469&gt;=40,V1469&lt;75,W1469&gt;=65,W1469&lt;100),0.17,0)+IF(AND(V1469&gt;=40,V1469&lt;75,W1469&gt;=100),0.1,0)+IF(AND(V1469&gt;=75,W1469&lt;25),0.35,0)+IF(AND(V1469&gt;=75,W1469&gt;=25,W1469&lt;60),0.25,0)+IF(AND(V1469&gt;=75,W1469&gt;=60,W1469&lt;95),0.17,0)+IF(AND(V1469&gt;=75,W1469&gt;=95),0.1,0),
IF(AF1469="DoEVold15",IF(AND(V1469&lt;=40,W1469&lt;35),0.35,0)+IF(AND(V1469&lt;=40,W1469&gt;=35,W1469&lt;75),0.25,0)+IF(AND(V1469&lt;=40,W1469&gt;=75,W1469&lt;120),0.17,0)+IF(AND(V1469&lt;=40,W1469&gt;=120),0.15,0)+IF(AND(V1469&gt;40,V1469&lt;75,W1469&lt;25),0.35,0)+IF(AND(V1469&gt;=40,V1469&lt;75,W1469&gt;=25,W1469&lt;65),0.25,0)+IF(AND(V1469&gt;=40,V1469&lt;75,W1469&gt;=65,W1469&lt;100),0.17,0)+IF(AND(V1469&gt;=40,V1469&lt;75,W1469&gt;=100),0.1,0)+IF(AND(V1469&gt;=75,W1469&lt;25),0.35,0)+IF(AND(V1469&gt;=75,W1469&gt;=25,W1469&lt;60),0.25,0)+IF(AND(V1469&gt;=75,W1469&gt;=60,W1469&lt;95),0.17,0)+IF(AND(V1469&gt;=75,W1469&gt;=95),0.1,0),
IF(AF1469="DoEVba",IF(AND(V1469&lt;20,W1469&lt;105),0.2,0)+IF(AND(V1469&lt;20,W1469&gt;=105),0.15,0)+IF(AND(V1469&gt;=20,V1469&lt;40,W1469&lt;95),0.2,0)+IF(AND(V1469&gt;=20,V1469&lt;40,W1469&gt;=95,W1469&lt;150),0.15,0)+IF(AND(V1469&gt;=20,V1469&lt;40,W1469&gt;=150),0.12,0)+IF(AND(V1469&gt;=40,V1469&lt;75,W1469&lt;75),0.2,0)+IF(AND(V1469&gt;=40,V1469&lt;75,W1469&gt;=75,W1469&lt;120),0.15,0)+IF(AND(V1469&gt;=40,V1469&lt;75,W1469&gt;=120),0.12,0)+IF(AND(V1469&gt;=75,V1469&lt;175,W1469&lt;65),0.2,0)+IF(AND(V1469&gt;=75,V1469&lt;175,W1469&gt;=65,W1469&lt;110),0.15,0)+IF(AND(V1469&gt;=75,V1469&lt;175,W1469&gt;=110),0.12,0)+IF(AND(V1469&gt;=175,W1469&lt;55),0.2,0)+IF(AND(V1469&gt;=175,W1469&gt;=55,W1469&lt;95),0.15,0)+IF(AND(V1469&gt;=175,W1469&gt;=95),0.12,0),
IF(AF1469="DoEVku",IF(AND(V1469&lt;20,W1469&lt;55),0.23,0)+IF(AND(V1469&lt;20,W1469&gt;=55,W1469&lt;105),0.2,0)+IF(AND(V1469&lt;20,W1469&gt;=105),0.17,0)+IF(AND(V1469&gt;=20,V1469&lt;40,W1469&lt;45),0.23,0)+IF(AND(V1469&gt;=20,V1469&lt;40,W1469&gt;=45,W1469&lt;95),0.2,0)+IF(AND(V1469&gt;=20,V1469&lt;40,W1469&gt;=95,W1469&lt;=150),0.17,0)+IF(AND(V1469&gt;=20,V1469&lt;40,W1469&gt;=150),0.12,0)+IF(AND(V1469&gt;=40,V1469&lt;75,W1469&lt;35),0.23,0)+IF(AND(V1469&gt;=40,V1469&lt;75,W1469&gt;=35,W1469&lt;75),0.2,0)+IF(AND(V1469&gt;=40,V1469&lt;75,W1469&gt;=75,W1469&lt;120),0.17,0)+IF(AND(V1469&gt;=40,V1469&lt;75,W1469&gt;=120),0.12,0)+IF(AND(V1469&gt;=75,V1469&lt;175,W1469&lt;35),0.23,0)+IF(AND(V1469&gt;=75,V1469&lt;=175,W1469&gt;=35,W1469&lt;65),0.2,0)+IF(AND(V1469&gt;=75,V1469&lt;=175,W1469&gt;=65,W1469&lt;110),0.17,0)+IF(AND(V1469&gt;=75,V1469&lt;=175,W1469&gt;=110),0.12,0)+IF(AND(V1469&gt;175,W1469&lt;25),0.23,0)+IF(AND(V1469&gt;175,W1469&gt;=25,W1469&lt;55),0.2,0)+IF(AND(V1469&gt;175,W1469&gt;=55,W1469&lt;95),0.17,0)+IF(AND(V1469&gt;175,W1469&gt;=95),0.12,0),
IF(AF1469="DoEVs1",IF(AND(V1469&lt;20,W1469&lt;55),0.3,0)+IF(AND(V1469&lt;20,W1469&gt;=55,W1469&lt;105),0.23,0)+IF(AND(V1469&lt;20,W1469&gt;=105),0.17,0)+IF(AND(V1469&gt;=20,V1469&lt;40,W1469&lt;45),0.3,0)+IF(AND(V1469&gt;=20,V1469&lt;40,W1469&gt;=45,W1469&lt;95),0.23,0)+IF(AND(V1469&gt;=20,V1469&lt;40,W1469&gt;=95,W1469&lt;=150),0.17,0)+IF(AND(V1469&gt;=20,V1469&lt;40,W1469&gt;=150),0.12,0)+IF(AND(V1469&gt;=40,V1469&lt;75,W1469&lt;35),0.3,0)+IF(AND(V1469&gt;=40,V1469&lt;75,W1469&gt;=35,W1469&lt;75),0.23,0)+IF(AND(V1469&gt;=40,V1469&lt;75,W1469&gt;=75,W1469&lt;120),0.17,0)+IF(AND(V1469&gt;=40,V1469&lt;75,W1469&gt;=120),0.12,0)+IF(AND(V1469&gt;=75,V1469&lt;175,W1469&lt;35),0.3,0)+IF(AND(V1469&gt;=75,V1469&lt;=175,W1469&gt;=35,W1469&lt;65),0.23,0)+IF(AND(V1469&gt;=75,V1469&lt;=175,W1469&gt;=65,W1469&lt;110),0.17,0)+IF(AND(V1469&gt;=75,V1469&lt;=175,W1469&gt;=110),0.12,0)+IF(AND(V1469&gt;175,W1469&lt;25),0.3,0)+IF(AND(V1469&gt;175,W1469&gt;=25,W1469&lt;55),0.23,0)+IF(AND(V1469&gt;175,W1469&gt;=55,W1469&lt;95),0.17,0)+IF(AND(V1469&gt;175,W1469&gt;=95),0.12,0),
IF(AF1469="DoEVsu",IF(AND(V1469&lt;20,W1469&lt;55),0.3,0)+IF(AND(V1469&lt;20,W1469&gt;=55,W1469&lt;105),0.23,0)+IF(AND(V1469&lt;20,W1469&gt;=105),0.17,0)+IF(AND(V1469&gt;=20,V1469&lt;40,W1469&lt;45),0.3,0)+IF(AND(V1469&gt;=20,V1469&lt;40,W1469&gt;=45,W1469&lt;95),0.23,0)+IF(AND(V1469&gt;=20,V1469&lt;40,W1469&gt;=95,W1469&lt;=250),0.17,0)+IF(AND(V1469&gt;=20,V1469&lt;40,W1469&gt;=250),0.12,0)+IF(AND(V1469&gt;=40,V1469&lt;75,W1469&lt;35),0.3,0)+IF(AND(V1469&gt;=40,V1469&lt;75,W1469&gt;=35,W1469&lt;75),0.23,0)+IF(AND(V1469&gt;=40,V1469&lt;75,W1469&gt;=75,W1469&lt;120),0.17,0)+IF(AND(V1469&gt;=40,V1469&lt;75,W1469&gt;=120),0.12,0)+IF(AND(V1469&gt;=75,V1469&lt;175,W1469&lt;35),0.3,0)+IF(AND(V1469&gt;=75,V1469&lt;=175,W1469&gt;=35,W1469&lt;65),0.23,0)+IF(AND(V1469&gt;=75,V1469&lt;=175,W1469&gt;=65,W1469&lt;110),0.17,0)+IF(AND(V1469&gt;=75,V1469&lt;=175,W1469&gt;=110),0.12,0)+IF(AND(V1469&gt;175,W1469&lt;25),0.3,0)+IF(AND(V1469&gt;175,W1469&gt;=25,W1469&lt;55),0.23,0)+IF(AND(V1469&gt;175,W1469&gt;=55,W1469&lt;95),0.17,0)+IF(AND(V1469&gt;175,W1469&gt;=95),0.12,0),
IF(AF1469="DoEVni",IF(AND(V1469&lt;20,W1469&lt;55),0.3,0)+IF(AND(V1469&lt;20,W1469&gt;=55,W1469&lt;105),0.23,0)+IF(AND(V1469&lt;20,W1469&gt;=105),0.17,0)+IF(AND(V1469&gt;=20,V1469&lt;40,W1469&lt;45),0.3,0)+IF(AND(V1469&gt;=20,V1469&lt;40,W1469&gt;=45,W1469&lt;95),0.23,0)+IF(AND(V1469&gt;=20,V1469&lt;40,W1469&gt;=95,W1469&lt;=200),0.17,0)+IF(AND(V1469&gt;=20,V1469&lt;40,W1469&gt;=200),0.12,0)+IF(AND(V1469&gt;=40,V1469&lt;75,W1469&lt;35),0.3,0)+IF(AND(V1469&gt;=40,V1469&lt;75,W1469&gt;=35,W1469&lt;75),0.23,0)+IF(AND(V1469&gt;=40,V1469&lt;75,W1469&gt;=75,W1469&lt;120),0.17,0)+IF(AND(V1469&gt;=40,V1469&lt;75,W1469&gt;=120),0.12,0)+IF(AND(V1469&gt;=75,V1469&lt;175,W1469&lt;35),0.3,0)+IF(AND(V1469&gt;=75,V1469&lt;=175,W1469&gt;=35,W1469&lt;65),0.23,0)+IF(AND(V1469&gt;=75,V1469&lt;=175,W1469&gt;=65,W1469&lt;110),0.17,0)+IF(AND(V1469&gt;=75,V1469&lt;=175,W1469&gt;=110),0.12,0)+IF(AND(V1469&gt;175,W1469&lt;25),0.3,0)+IF(AND(V1469&gt;175,W1469&gt;=25,W1469&lt;55),0.23,0)+IF(AND(V1469&gt;175,W1469&gt;=55,W1469&lt;95),0.17,0)+IF(AND(V1469&gt;175,W1469&gt;=95),0.12,0),
IF(AF1469="DoEVLo",IF(AND(V1469&lt;20,W1469&lt;55),0.25,0)+IF(AND(V1469&lt;20,W1469&gt;=55,W1469&lt;105),0.2,0)+IF(AND(V1469&lt;20,W1469&gt;=105),0.15,0)+IF(AND(V1469&gt;=20,V1469&lt;40,W1469&lt;45),0.25,0)+IF(AND(V1469&gt;=20,V1469&lt;40,W1469&gt;=45,W1469&lt;95),0.2,0)+IF(AND(V1469&gt;=20,V1469&lt;40,W1469&gt;=95),0.15,0)+IF(AND(V1469&gt;=40,V1469&lt;75,W1469&lt;35),0.25,0)+IF(AND(V1469&gt;=40,V1469&lt;75,W1469&gt;=35,W1469&lt;75),0.2,0)+IF(AND(V1469&gt;=40,V1469&lt;75,W1469&gt;=75,W1469&lt;120),0.15,0)+IF(AND(V1469&gt;=40,V1469&lt;75,W1469&gt;=120),0.1,0)+IF(AND(V1469&gt;=75,V1469&lt;175,W1469&lt;35),0.25,0)+IF(AND(V1469&gt;=75,V1469&lt;=175,W1469&gt;=35,W1469&lt;65),0.2,0)+IF(AND(V1469&gt;=75,V1469&lt;=175,W1469&gt;=65,W1469&lt;110),0.15,0)+IF(AND(V1469&gt;=75,V1469&lt;=175,W1469&gt;=110),0.1,0)+IF(AND(V1469&gt;175,W1469&lt;25),0.25,0)+IF(AND(V1469&gt;175,W1469&gt;=25,W1469&lt;55),0.2,0)+IF(AND(V1469&gt;175,W1469&gt;=55,W1469&lt;95),0.15,0)+IF(AND(V1469&gt;175,W1469&gt;=95),0.1,0))))))))))))))))))))</f>
        <v>0.35</v>
      </c>
      <c r="Y1469" s="30">
        <f>IF(AG1469="None",0,IF(AG1469="Fix5",0.05, IF(AG1469="Fix6.25",0.0625,IF(AG1469="Fix3.75",0.0375, IF(AG1469="Fix11",0.11, IF(AG1469="Fix10",0.1,IF(AG1469="Fix3",0.03,0)))))))</f>
        <v>0</v>
      </c>
      <c r="Z1469" s="35">
        <f>IF(AND(AD1469="EUR", AE1469 = "USD"), T1469*U1469-AA1469-AB1469, T1469-AA1469-AB1469)</f>
        <v>-73.034000000000006</v>
      </c>
      <c r="AA1469" s="29">
        <f>IF(AND(AD1469="EUR", F1469="Without EV deal", AE1469="USD"), (T1469*X1469)*U1469,
IF(AND(AD1469="EUR", F1469="Without EV deal", AE1469="EUR"), (T1469*X1469),
IF(AND(AD1469="EUR",AE1469="USD"), (T1469*X1469)*U1469,
T1469*X1469)))</f>
        <v>-39.325999999999993</v>
      </c>
      <c r="AB1469" s="36">
        <f>IF(AND(AD1469="EUR", F1469="Without EV deal", AE1469="USD"), (T1469*Y1469)*U1469,
IF(AND(AD1469="EUR", F1469="Without EV deal", AE1469="EUR"), (T1469*Y1469),
IF(AND(AD1469="EUR",AE1469="USD"), (T1469*Y1469)*U1469,
T1469*Y1469)))</f>
        <v>0</v>
      </c>
      <c r="AC1469" s="37" t="b">
        <v>0</v>
      </c>
      <c r="AD1469" s="37" t="str">
        <f>IF(OR(H1469="€0.25 Flash",
H1469="€0.25(nitro) new",
H1469="€1",
H1469="€2",
H1469="€2 (bf 01.08)",
H1469="€5",
H1469="€5 (1M)",
H1469="€5 (bf 01.08)",
H1469="€5 (bf 05.05)",
H1469="€5 Nitro",
H1469="€5(wx) new",
H1469="€10",
H1469="€10 (1M)",
H1469="€10 (bf 01.08)",
H1469="€10 (bf 05.05)",
H1469="€10 (MP)",
H1469="€10 (old)",
H1469="€10 Nitro (bf 05.05)",
H1469="€10 Nitro (old)",
H1469="€10(wx) new",
H1469="€20",
H1469="€25",
H1469="€25 (bf 01.08)",
H1469="€25 (bf 05.05)",
H1469="€25 (MP)",
H1469="€25 (old)",
H1469="€25 Nitro",
H1469="€25 Nitro (bf 01.08)",
H1469="€25 Nitro (bf 05.05)",
H1469="€25(nitro) new",
H1469="€25(wx) new",
H1469="€50",
H1469="€50 (bf 01.08)",
H1469="€50 (bf 05.05)",
H1469="€50 (old)",
H1469="€50 Nitro",
H1469="€50 Nitro (bf 01.08)",
H1469="€50 Nitro (bf 05.05)",
H1469="€50(wx) new",
H1469="€100",
H1469="€100 (old)",
H1469="€100 Nitro",
H1469="€100 Nitro (old)",
H1469="€200",
H1469="€250",
H1469="€250 Nitro",
H1469="€500",
H1469="€500 Nitro"),"EUR", "USD")</f>
        <v>EUR</v>
      </c>
      <c r="AE1469" s="37" t="s">
        <v>38</v>
      </c>
      <c r="AF1469" s="37" t="str">
        <f t="array" ref="AF1469">INDEX('Deal Info'!D:D, MATCH(A1469,'Deal Info'!A:A, 0))</f>
        <v>DoEVold</v>
      </c>
      <c r="AG1469" s="38" t="str">
        <f t="array" ref="AG1469">INDEX('Deal Info'!G:G, MATCH(A1469,'Deal Info'!A:A, 0))</f>
        <v>None</v>
      </c>
    </row>
    <row r="1470" spans="1:33" ht="14.25" hidden="1" x14ac:dyDescent="0.2">
      <c r="A1470" s="18" t="str">
        <f t="array" ref="A1470">IF(G1470='Room Info'!$B$1, INDEX('Room Info'!$A$2:$A2446, MATCH(B1470,'Room Info'!$B$2:$B2446, 0)),IF(G1470='Room Info'!$C$1, INDEX('Room Info'!$A$2:$A2446, MATCH(B1470,'Room Info'!$C$2:$C2446, 0)),IF(G1470='Room Info'!$D$1, INDEX('Room Info'!$A$2:$A2446, MATCH(B1470,'Room Info'!$D$2:$D2446, 0)),IF(G1470='Room Info'!$E$1, INDEX('Room Info'!$A$2:$A2446, MATCH(B1470,'Room Info'!$E$2:$E2446, 0)),IF(G1470='Room Info'!$F$1, INDEX('Room Info'!$A$2:$A2446, MATCH(B1470,'Room Info'!$F$2:$F2446, 0)),IF(G1470='Room Info'!$H$1, INDEX('Room Info'!$A$2:$A2446, MATCH(B1470,'Room Info'!$H$2:$H2446, 0)),IF(G1470='Room Info'!$G$1, INDEX('Room Info'!$A$2:$A2446, MATCH(B1470,'Room Info'!$G$2:$G2446, 0)))))))))</f>
        <v>DeusVulter</v>
      </c>
      <c r="B1470" s="18" t="s">
        <v>218</v>
      </c>
      <c r="C1470" s="41">
        <v>44927</v>
      </c>
      <c r="D1470" s="41">
        <v>44957</v>
      </c>
      <c r="E1470" s="21">
        <v>44958</v>
      </c>
      <c r="F1470" s="22" t="s">
        <v>34</v>
      </c>
      <c r="G1470" s="18" t="s">
        <v>69</v>
      </c>
      <c r="H1470" s="23" t="s">
        <v>71</v>
      </c>
      <c r="I1470" s="23" t="s">
        <v>37</v>
      </c>
      <c r="J1470" s="39">
        <v>20</v>
      </c>
      <c r="K1470" s="88">
        <v>2812</v>
      </c>
      <c r="L1470" s="89">
        <v>-1660</v>
      </c>
      <c r="M1470" s="122">
        <v>2325.37</v>
      </c>
      <c r="N1470" s="28">
        <f>K1470*J1470</f>
        <v>56240</v>
      </c>
      <c r="O1470" s="85">
        <v>51578</v>
      </c>
      <c r="P1470" s="29">
        <v>18.34210526</v>
      </c>
      <c r="Q1470" s="30"/>
      <c r="R1470" s="31">
        <f>M1470+Q1470</f>
        <v>2325.37</v>
      </c>
      <c r="S1470" s="119">
        <v>-1608</v>
      </c>
      <c r="T1470" s="32">
        <f>IF(AND(AD1470="EUR", F1470="Without EV deal"), R1470 + L1470,
IF(AND(AD1470="USD", F1470="Without EV deal"), R1470 + L1470,
IF(AND(AD1470="EUR", F1470="Steel Phoenix"), R1470 + S1470/U1470,
R1470 + S1470)))</f>
        <v>717.36999999999989</v>
      </c>
      <c r="U1470" s="33">
        <v>1.0669999999999999</v>
      </c>
      <c r="V1470" s="64">
        <v>20</v>
      </c>
      <c r="W1470" s="64">
        <v>96.581462790000003</v>
      </c>
      <c r="X1470" s="30">
        <f>IF(AF1470="DoEV",IF(AND(V1470&lt;20,W1470&lt;55),0.3,0)+IF(AND(V1470&lt;20,W1470&gt;=55,W1470&lt;105),0.23,0)+IF(AND(V1470&lt;20,W1470&gt;=105),0.17,0)+IF(AND(V1470&gt;=20,V1470&lt;40,W1470&lt;45),0.3,0)+IF(AND(V1470&gt;=20,V1470&lt;40,W1470&gt;=45,W1470&lt;95),0.23,0)+IF(AND(V1470&gt;=20,V1470&lt;40,W1470&gt;=95),0.17,0)+IF(AND(V1470&gt;=40,V1470&lt;75,W1470&lt;35),0.3,0)+IF(AND(V1470&gt;=40,V1470&lt;75,W1470&gt;=35,W1470&lt;75),0.23,0)+IF(AND(V1470&gt;=40,V1470&lt;75,W1470&gt;=75,W1470&lt;120),0.17,0)+IF(AND(V1470&gt;=40,V1470&lt;75,W1470&gt;=120),0.12,0)+IF(AND(V1470&gt;=75,V1470&lt;175,W1470&lt;35),0.3,0)+IF(AND(V1470&gt;=75,V1470&lt;=175,W1470&gt;=35,W1470&lt;65),0.23,0)+IF(AND(V1470&gt;=75,V1470&lt;=175,W1470&gt;=65,W1470&lt;110),0.17,0)+IF(AND(V1470&gt;=75,V1470&lt;=175,W1470&gt;=110),0.12,0)+IF(AND(V1470&gt;175,W1470&lt;25),0.3,0)+IF(AND(V1470&gt;175,W1470&gt;=25,W1470&lt;55),0.23,0)+IF(AND(V1470&gt;175,W1470&gt;=55,W1470&lt;95),0.17,0)+IF(AND(V1470&gt;175,W1470&gt;=95),0.12,0),
IF(AF1470="Fix15",0.15,
IF(AF1470="Fix5",0.05,
IF(AF1470="Fix18.75",0.1875,
IF(AF1470="Fix11.25",0.1125,
IF(AF1470="Fix10",0.1,
IF(AF1470="Fix9",0.09,
IF(AF1470="Fix12",0.12,
IF(AF1470="Fix19",0.19,
IF(AF1470="DoEV2017",IF(AND(W1470&lt;74),0.2,0)+IF(AND(W1470&gt;=74),0.17,0),
IF(AF1470="SF",IF(AND(V1470&lt;20,W1470&lt;89),0.3,0)+IF(AND(V1470&lt;20,W1470&gt;=89),0.25,0)+IF(AND(V1470&gt;=20,V1470&lt;40,W1470&lt;74),0.3,0)+IF(AND(V1470&gt;=20,V1470&lt;40,W1470&gt;=75),0.22,0)+IF(AND(V1470&gt;=40,V1470&lt;75,W1470&lt;75),0.26,0)+IF(AND(V1470&gt;=40,V1470&lt;75,W1470&gt;=75),0.22,0)+IF(V1470&gt;=75,0.22,0),
IF(AF1470="DoEVold",IF(AND(V1470&lt;40,W1470&lt;35),0.35,0)+IF(AND(V1470&lt;40,W1470&gt;=35,W1470&lt;75),0.25,0)+IF(AND(V1470&lt;40,W1470&gt;=75),0.17,0)+IF(AND(V1470&gt;=40,V1470&lt;75,W1470&lt;25),0.35,0)+IF(AND(V1470&gt;=40,V1470&lt;75,W1470&gt;=25,W1470&lt;65),0.25,0)+IF(AND(V1470&gt;=40,V1470&lt;75,W1470&gt;=65,W1470&lt;100),0.17,0)+IF(AND(V1470&gt;=40,V1470&lt;75,W1470&gt;=100),0.1,0)+IF(AND(V1470&gt;=75,W1470&lt;25),0.35,0)+IF(AND(V1470&gt;=75,W1470&gt;=25,W1470&lt;60),0.25,0)+IF(AND(V1470&gt;=75,W1470&gt;=60,W1470&lt;95),0.17,0)+IF(AND(V1470&gt;=75,W1470&gt;=95),0.1,0),
IF(AF1470="DoEVold15",IF(AND(V1470&lt;=40,W1470&lt;35),0.35,0)+IF(AND(V1470&lt;=40,W1470&gt;=35,W1470&lt;75),0.25,0)+IF(AND(V1470&lt;=40,W1470&gt;=75,W1470&lt;120),0.17,0)+IF(AND(V1470&lt;=40,W1470&gt;=120),0.15,0)+IF(AND(V1470&gt;40,V1470&lt;75,W1470&lt;25),0.35,0)+IF(AND(V1470&gt;=40,V1470&lt;75,W1470&gt;=25,W1470&lt;65),0.25,0)+IF(AND(V1470&gt;=40,V1470&lt;75,W1470&gt;=65,W1470&lt;100),0.17,0)+IF(AND(V1470&gt;=40,V1470&lt;75,W1470&gt;=100),0.1,0)+IF(AND(V1470&gt;=75,W1470&lt;25),0.35,0)+IF(AND(V1470&gt;=75,W1470&gt;=25,W1470&lt;60),0.25,0)+IF(AND(V1470&gt;=75,W1470&gt;=60,W1470&lt;95),0.17,0)+IF(AND(V1470&gt;=75,W1470&gt;=95),0.1,0),
IF(AF1470="DoEVba",IF(AND(V1470&lt;20,W1470&lt;105),0.2,0)+IF(AND(V1470&lt;20,W1470&gt;=105),0.15,0)+IF(AND(V1470&gt;=20,V1470&lt;40,W1470&lt;95),0.2,0)+IF(AND(V1470&gt;=20,V1470&lt;40,W1470&gt;=95,W1470&lt;150),0.15,0)+IF(AND(V1470&gt;=20,V1470&lt;40,W1470&gt;=150),0.12,0)+IF(AND(V1470&gt;=40,V1470&lt;75,W1470&lt;75),0.2,0)+IF(AND(V1470&gt;=40,V1470&lt;75,W1470&gt;=75,W1470&lt;120),0.15,0)+IF(AND(V1470&gt;=40,V1470&lt;75,W1470&gt;=120),0.12,0)+IF(AND(V1470&gt;=75,V1470&lt;175,W1470&lt;65),0.2,0)+IF(AND(V1470&gt;=75,V1470&lt;175,W1470&gt;=65,W1470&lt;110),0.15,0)+IF(AND(V1470&gt;=75,V1470&lt;175,W1470&gt;=110),0.12,0)+IF(AND(V1470&gt;=175,W1470&lt;55),0.2,0)+IF(AND(V1470&gt;=175,W1470&gt;=55,W1470&lt;95),0.15,0)+IF(AND(V1470&gt;=175,W1470&gt;=95),0.12,0),
IF(AF1470="DoEVku",IF(AND(V1470&lt;20,W1470&lt;55),0.23,0)+IF(AND(V1470&lt;20,W1470&gt;=55,W1470&lt;105),0.2,0)+IF(AND(V1470&lt;20,W1470&gt;=105),0.17,0)+IF(AND(V1470&gt;=20,V1470&lt;40,W1470&lt;45),0.23,0)+IF(AND(V1470&gt;=20,V1470&lt;40,W1470&gt;=45,W1470&lt;95),0.2,0)+IF(AND(V1470&gt;=20,V1470&lt;40,W1470&gt;=95,W1470&lt;=150),0.17,0)+IF(AND(V1470&gt;=20,V1470&lt;40,W1470&gt;=150),0.12,0)+IF(AND(V1470&gt;=40,V1470&lt;75,W1470&lt;35),0.23,0)+IF(AND(V1470&gt;=40,V1470&lt;75,W1470&gt;=35,W1470&lt;75),0.2,0)+IF(AND(V1470&gt;=40,V1470&lt;75,W1470&gt;=75,W1470&lt;120),0.17,0)+IF(AND(V1470&gt;=40,V1470&lt;75,W1470&gt;=120),0.12,0)+IF(AND(V1470&gt;=75,V1470&lt;175,W1470&lt;35),0.23,0)+IF(AND(V1470&gt;=75,V1470&lt;=175,W1470&gt;=35,W1470&lt;65),0.2,0)+IF(AND(V1470&gt;=75,V1470&lt;=175,W1470&gt;=65,W1470&lt;110),0.17,0)+IF(AND(V1470&gt;=75,V1470&lt;=175,W1470&gt;=110),0.12,0)+IF(AND(V1470&gt;175,W1470&lt;25),0.23,0)+IF(AND(V1470&gt;175,W1470&gt;=25,W1470&lt;55),0.2,0)+IF(AND(V1470&gt;175,W1470&gt;=55,W1470&lt;95),0.17,0)+IF(AND(V1470&gt;175,W1470&gt;=95),0.12,0),
IF(AF1470="DoEVs1",IF(AND(V1470&lt;20,W1470&lt;55),0.3,0)+IF(AND(V1470&lt;20,W1470&gt;=55,W1470&lt;105),0.23,0)+IF(AND(V1470&lt;20,W1470&gt;=105),0.17,0)+IF(AND(V1470&gt;=20,V1470&lt;40,W1470&lt;45),0.3,0)+IF(AND(V1470&gt;=20,V1470&lt;40,W1470&gt;=45,W1470&lt;95),0.23,0)+IF(AND(V1470&gt;=20,V1470&lt;40,W1470&gt;=95,W1470&lt;=150),0.17,0)+IF(AND(V1470&gt;=20,V1470&lt;40,W1470&gt;=150),0.12,0)+IF(AND(V1470&gt;=40,V1470&lt;75,W1470&lt;35),0.3,0)+IF(AND(V1470&gt;=40,V1470&lt;75,W1470&gt;=35,W1470&lt;75),0.23,0)+IF(AND(V1470&gt;=40,V1470&lt;75,W1470&gt;=75,W1470&lt;120),0.17,0)+IF(AND(V1470&gt;=40,V1470&lt;75,W1470&gt;=120),0.12,0)+IF(AND(V1470&gt;=75,V1470&lt;175,W1470&lt;35),0.3,0)+IF(AND(V1470&gt;=75,V1470&lt;=175,W1470&gt;=35,W1470&lt;65),0.23,0)+IF(AND(V1470&gt;=75,V1470&lt;=175,W1470&gt;=65,W1470&lt;110),0.17,0)+IF(AND(V1470&gt;=75,V1470&lt;=175,W1470&gt;=110),0.12,0)+IF(AND(V1470&gt;175,W1470&lt;25),0.3,0)+IF(AND(V1470&gt;175,W1470&gt;=25,W1470&lt;55),0.23,0)+IF(AND(V1470&gt;175,W1470&gt;=55,W1470&lt;95),0.17,0)+IF(AND(V1470&gt;175,W1470&gt;=95),0.12,0),
IF(AF1470="DoEVsu",IF(AND(V1470&lt;20,W1470&lt;55),0.3,0)+IF(AND(V1470&lt;20,W1470&gt;=55,W1470&lt;105),0.23,0)+IF(AND(V1470&lt;20,W1470&gt;=105),0.17,0)+IF(AND(V1470&gt;=20,V1470&lt;40,W1470&lt;45),0.3,0)+IF(AND(V1470&gt;=20,V1470&lt;40,W1470&gt;=45,W1470&lt;95),0.23,0)+IF(AND(V1470&gt;=20,V1470&lt;40,W1470&gt;=95,W1470&lt;=250),0.17,0)+IF(AND(V1470&gt;=20,V1470&lt;40,W1470&gt;=250),0.12,0)+IF(AND(V1470&gt;=40,V1470&lt;75,W1470&lt;35),0.3,0)+IF(AND(V1470&gt;=40,V1470&lt;75,W1470&gt;=35,W1470&lt;75),0.23,0)+IF(AND(V1470&gt;=40,V1470&lt;75,W1470&gt;=75,W1470&lt;120),0.17,0)+IF(AND(V1470&gt;=40,V1470&lt;75,W1470&gt;=120),0.12,0)+IF(AND(V1470&gt;=75,V1470&lt;175,W1470&lt;35),0.3,0)+IF(AND(V1470&gt;=75,V1470&lt;=175,W1470&gt;=35,W1470&lt;65),0.23,0)+IF(AND(V1470&gt;=75,V1470&lt;=175,W1470&gt;=65,W1470&lt;110),0.17,0)+IF(AND(V1470&gt;=75,V1470&lt;=175,W1470&gt;=110),0.12,0)+IF(AND(V1470&gt;175,W1470&lt;25),0.3,0)+IF(AND(V1470&gt;175,W1470&gt;=25,W1470&lt;55),0.23,0)+IF(AND(V1470&gt;175,W1470&gt;=55,W1470&lt;95),0.17,0)+IF(AND(V1470&gt;175,W1470&gt;=95),0.12,0),
IF(AF1470="DoEVni",IF(AND(V1470&lt;20,W1470&lt;55),0.3,0)+IF(AND(V1470&lt;20,W1470&gt;=55,W1470&lt;105),0.23,0)+IF(AND(V1470&lt;20,W1470&gt;=105),0.17,0)+IF(AND(V1470&gt;=20,V1470&lt;40,W1470&lt;45),0.3,0)+IF(AND(V1470&gt;=20,V1470&lt;40,W1470&gt;=45,W1470&lt;95),0.23,0)+IF(AND(V1470&gt;=20,V1470&lt;40,W1470&gt;=95,W1470&lt;=200),0.17,0)+IF(AND(V1470&gt;=20,V1470&lt;40,W1470&gt;=200),0.12,0)+IF(AND(V1470&gt;=40,V1470&lt;75,W1470&lt;35),0.3,0)+IF(AND(V1470&gt;=40,V1470&lt;75,W1470&gt;=35,W1470&lt;75),0.23,0)+IF(AND(V1470&gt;=40,V1470&lt;75,W1470&gt;=75,W1470&lt;120),0.17,0)+IF(AND(V1470&gt;=40,V1470&lt;75,W1470&gt;=120),0.12,0)+IF(AND(V1470&gt;=75,V1470&lt;175,W1470&lt;35),0.3,0)+IF(AND(V1470&gt;=75,V1470&lt;=175,W1470&gt;=35,W1470&lt;65),0.23,0)+IF(AND(V1470&gt;=75,V1470&lt;=175,W1470&gt;=65,W1470&lt;110),0.17,0)+IF(AND(V1470&gt;=75,V1470&lt;=175,W1470&gt;=110),0.12,0)+IF(AND(V1470&gt;175,W1470&lt;25),0.3,0)+IF(AND(V1470&gt;175,W1470&gt;=25,W1470&lt;55),0.23,0)+IF(AND(V1470&gt;175,W1470&gt;=55,W1470&lt;95),0.17,0)+IF(AND(V1470&gt;175,W1470&gt;=95),0.12,0),
IF(AF1470="DoEVLo",IF(AND(V1470&lt;20,W1470&lt;55),0.25,0)+IF(AND(V1470&lt;20,W1470&gt;=55,W1470&lt;105),0.2,0)+IF(AND(V1470&lt;20,W1470&gt;=105),0.15,0)+IF(AND(V1470&gt;=20,V1470&lt;40,W1470&lt;45),0.25,0)+IF(AND(V1470&gt;=20,V1470&lt;40,W1470&gt;=45,W1470&lt;95),0.2,0)+IF(AND(V1470&gt;=20,V1470&lt;40,W1470&gt;=95),0.15,0)+IF(AND(V1470&gt;=40,V1470&lt;75,W1470&lt;35),0.25,0)+IF(AND(V1470&gt;=40,V1470&lt;75,W1470&gt;=35,W1470&lt;75),0.2,0)+IF(AND(V1470&gt;=40,V1470&lt;75,W1470&gt;=75,W1470&lt;120),0.15,0)+IF(AND(V1470&gt;=40,V1470&lt;75,W1470&gt;=120),0.1,0)+IF(AND(V1470&gt;=75,V1470&lt;175,W1470&lt;35),0.25,0)+IF(AND(V1470&gt;=75,V1470&lt;=175,W1470&gt;=35,W1470&lt;65),0.2,0)+IF(AND(V1470&gt;=75,V1470&lt;=175,W1470&gt;=65,W1470&lt;110),0.15,0)+IF(AND(V1470&gt;=75,V1470&lt;=175,W1470&gt;=110),0.1,0)+IF(AND(V1470&gt;175,W1470&lt;25),0.25,0)+IF(AND(V1470&gt;175,W1470&gt;=25,W1470&lt;55),0.2,0)+IF(AND(V1470&gt;175,W1470&gt;=55,W1470&lt;95),0.15,0)+IF(AND(V1470&gt;175,W1470&gt;=95),0.1,0))))))))))))))))))))</f>
        <v>0.17</v>
      </c>
      <c r="Y1470" s="30">
        <f>IF(AG1470="None",0,IF(AG1470="Fix5",0.05, IF(AG1470="Fix6.25",0.0625,IF(AG1470="Fix3.75",0.0375, IF(AG1470="Fix11",0.11, IF(AG1470="Fix10",0.1,IF(AG1470="Fix3",0.03,0)))))))</f>
        <v>0</v>
      </c>
      <c r="Z1470" s="35">
        <f>IF(AND(AD1470="EUR", AE1470 = "USD"), T1470*U1470-AA1470-AB1470, T1470-AA1470-AB1470)</f>
        <v>595.41709999999989</v>
      </c>
      <c r="AA1470" s="29">
        <f>IF(AND(AD1470="EUR", F1470="Without EV deal", AE1470="USD"), (T1470*X1470)*U1470,
IF(AND(AD1470="EUR", F1470="Without EV deal", AE1470="EUR"), (T1470*X1470),
IF(AND(AD1470="EUR",AE1470="USD"), (T1470*X1470)*U1470,
T1470*X1470)))</f>
        <v>121.95289999999999</v>
      </c>
      <c r="AB1470" s="36">
        <f>IF(AND(AD1470="EUR", F1470="Without EV deal", AE1470="USD"), (T1470*Y1470)*U1470,
IF(AND(AD1470="EUR", F1470="Without EV deal", AE1470="EUR"), (T1470*Y1470),
IF(AND(AD1470="EUR",AE1470="USD"), (T1470*Y1470)*U1470,
T1470*Y1470)))</f>
        <v>0</v>
      </c>
      <c r="AC1470" s="37" t="b">
        <v>1</v>
      </c>
      <c r="AD1470" s="82" t="str">
        <f>IF(OR(H1470="€0.25 Flash",
H1470="€0.25(nitro) new",
H1470="€1",
H1470="€2",
H1470="€2 (bf 01.08)",
H1470="€5",
H1470="€5 (1M)",
H1470="€5 (bf 01.08)",
H1470="€5 (bf 05.05)",
H1470="€5 Nitro",
H1470="€5(wx) new",
H1470="€10",
H1470="€10 (1M)",
H1470="€10 (bf 01.08)",
H1470="€10 (bf 05.05)",
H1470="€10 (MP)",
H1470="€10 (old)",
H1470="€10 Nitro (bf 05.05)",
H1470="€10 Nitro (old)",
H1470="€10(wx) new",
H1470="€20",
H1470="€25",
H1470="€25 (bf 01.08)",
H1470="€25 (bf 05.05)",
H1470="€25 (MP)",
H1470="€25 (old)",
H1470="€25 Nitro",
H1470="€25 Nitro (bf 01.08)",
H1470="€25 Nitro (bf 05.05)",
H1470="€25(nitro) new",
H1470="€25(wx) new",
H1470="€50",
H1470="€50 (bf 01.08)",
H1470="€50 (bf 05.05)",
H1470="€50 (old)",
H1470="€50 Nitro",
H1470="€50 Nitro (bf 01.08)",
H1470="€50 Nitro (bf 05.05)",
H1470="€50(wx) new",
H1470="€100",
H1470="€100 (old)",
H1470="€100 Nitro",
H1470="€100 Nitro (old)",
H1470="€200",
H1470="€250",
H1470="€250 Nitro",
H1470="€500",
H1470="€500 Nitro"),"EUR", "USD")</f>
        <v>USD</v>
      </c>
      <c r="AE1470" s="83" t="s">
        <v>38</v>
      </c>
      <c r="AF1470" s="83" t="str">
        <f t="array" ref="AF1470">INDEX('Deal Info'!D:D, MATCH(A1470,'Deal Info'!A:A, 0))</f>
        <v>DoEV</v>
      </c>
      <c r="AG1470" s="84" t="str">
        <f t="array" ref="AG1470">INDEX('Deal Info'!G:G, MATCH(A1470,'Deal Info'!A:A, 0))</f>
        <v>None</v>
      </c>
    </row>
    <row r="1471" spans="1:33" ht="14.25" hidden="1" x14ac:dyDescent="0.2">
      <c r="A1471" s="18" t="str">
        <f t="array" ref="A1471">IF(G1471='Room Info'!$B$1, INDEX('Room Info'!$A$2:$A2446, MATCH(B1471,'Room Info'!$B$2:$B2446, 0)),IF(G1471='Room Info'!$C$1, INDEX('Room Info'!$A$2:$A2446, MATCH(B1471,'Room Info'!$C$2:$C2446, 0)),IF(G1471='Room Info'!$D$1, INDEX('Room Info'!$A$2:$A2446, MATCH(B1471,'Room Info'!$D$2:$D2446, 0)),IF(G1471='Room Info'!$E$1, INDEX('Room Info'!$A$2:$A2446, MATCH(B1471,'Room Info'!$E$2:$E2446, 0)),IF(G1471='Room Info'!$F$1, INDEX('Room Info'!$A$2:$A2446, MATCH(B1471,'Room Info'!$F$2:$F2446, 0)),IF(G1471='Room Info'!$H$1, INDEX('Room Info'!$A$2:$A2446, MATCH(B1471,'Room Info'!$H$2:$H2446, 0)),IF(G1471='Room Info'!$G$1, INDEX('Room Info'!$A$2:$A2446, MATCH(B1471,'Room Info'!$G$2:$G2446, 0)))))))))</f>
        <v>Lo4io</v>
      </c>
      <c r="B1471" s="18" t="s">
        <v>219</v>
      </c>
      <c r="C1471" s="41">
        <v>44927</v>
      </c>
      <c r="D1471" s="41">
        <v>44957</v>
      </c>
      <c r="E1471" s="21">
        <v>44958</v>
      </c>
      <c r="F1471" s="22" t="s">
        <v>34</v>
      </c>
      <c r="G1471" s="18" t="s">
        <v>69</v>
      </c>
      <c r="H1471" s="23" t="s">
        <v>70</v>
      </c>
      <c r="I1471" s="23" t="s">
        <v>37</v>
      </c>
      <c r="J1471" s="39">
        <v>100</v>
      </c>
      <c r="K1471" s="88">
        <v>4</v>
      </c>
      <c r="L1471" s="89">
        <v>-400</v>
      </c>
      <c r="M1471" s="44">
        <v>422</v>
      </c>
      <c r="N1471" s="28">
        <f>K1471*J1471</f>
        <v>400</v>
      </c>
      <c r="O1471" s="85">
        <v>-1242</v>
      </c>
      <c r="P1471" s="29">
        <v>-310.5</v>
      </c>
      <c r="Q1471" s="30"/>
      <c r="R1471" s="31">
        <f>M1471+Q1471</f>
        <v>422</v>
      </c>
      <c r="S1471" s="28"/>
      <c r="T1471" s="32">
        <f>IF(AND(AD1471="EUR", F1471="Without EV deal"), R1471 + L1471,
IF(AND(AD1471="USD", F1471="Without EV deal"), R1471 + L1471,
IF(AND(AD1471="EUR", F1471="Steel Phoenix"), R1471 + S1471/U1471,
R1471 + S1471)))</f>
        <v>422</v>
      </c>
      <c r="U1471" s="33">
        <v>1.0669999999999999</v>
      </c>
      <c r="V1471" s="69">
        <v>37.325261419922953</v>
      </c>
      <c r="W1471" s="64">
        <v>65</v>
      </c>
      <c r="X1471" s="30">
        <f>IF(AF1471="DoEV",IF(AND(V1471&lt;20,W1471&lt;55),0.3,0)+IF(AND(V1471&lt;20,W1471&gt;=55,W1471&lt;105),0.23,0)+IF(AND(V1471&lt;20,W1471&gt;=105),0.17,0)+IF(AND(V1471&gt;=20,V1471&lt;40,W1471&lt;45),0.3,0)+IF(AND(V1471&gt;=20,V1471&lt;40,W1471&gt;=45,W1471&lt;95),0.23,0)+IF(AND(V1471&gt;=20,V1471&lt;40,W1471&gt;=95),0.17,0)+IF(AND(V1471&gt;=40,V1471&lt;75,W1471&lt;35),0.3,0)+IF(AND(V1471&gt;=40,V1471&lt;75,W1471&gt;=35,W1471&lt;75),0.23,0)+IF(AND(V1471&gt;=40,V1471&lt;75,W1471&gt;=75,W1471&lt;120),0.17,0)+IF(AND(V1471&gt;=40,V1471&lt;75,W1471&gt;=120),0.12,0)+IF(AND(V1471&gt;=75,V1471&lt;175,W1471&lt;35),0.3,0)+IF(AND(V1471&gt;=75,V1471&lt;=175,W1471&gt;=35,W1471&lt;65),0.23,0)+IF(AND(V1471&gt;=75,V1471&lt;=175,W1471&gt;=65,W1471&lt;110),0.17,0)+IF(AND(V1471&gt;=75,V1471&lt;=175,W1471&gt;=110),0.12,0)+IF(AND(V1471&gt;175,W1471&lt;25),0.3,0)+IF(AND(V1471&gt;175,W1471&gt;=25,W1471&lt;55),0.23,0)+IF(AND(V1471&gt;175,W1471&gt;=55,W1471&lt;95),0.17,0)+IF(AND(V1471&gt;175,W1471&gt;=95),0.12,0),
IF(AF1471="Fix15",0.15,
IF(AF1471="Fix5",0.05,
IF(AF1471="Fix18.75",0.1875,
IF(AF1471="Fix11.25",0.1125,
IF(AF1471="Fix10",0.1,
IF(AF1471="Fix9",0.09,
IF(AF1471="Fix12",0.12,
IF(AF1471="Fix19",0.19,
IF(AF1471="DoEV2017",IF(AND(W1471&lt;74),0.2,0)+IF(AND(W1471&gt;=74),0.17,0),
IF(AF1471="SF",IF(AND(V1471&lt;20,W1471&lt;89),0.3,0)+IF(AND(V1471&lt;20,W1471&gt;=89),0.25,0)+IF(AND(V1471&gt;=20,V1471&lt;40,W1471&lt;74),0.3,0)+IF(AND(V1471&gt;=20,V1471&lt;40,W1471&gt;=75),0.22,0)+IF(AND(V1471&gt;=40,V1471&lt;75,W1471&lt;75),0.26,0)+IF(AND(V1471&gt;=40,V1471&lt;75,W1471&gt;=75),0.22,0)+IF(V1471&gt;=75,0.22,0),
IF(AF1471="DoEVold",IF(AND(V1471&lt;40,W1471&lt;35),0.35,0)+IF(AND(V1471&lt;40,W1471&gt;=35,W1471&lt;75),0.25,0)+IF(AND(V1471&lt;40,W1471&gt;=75),0.17,0)+IF(AND(V1471&gt;=40,V1471&lt;75,W1471&lt;25),0.35,0)+IF(AND(V1471&gt;=40,V1471&lt;75,W1471&gt;=25,W1471&lt;65),0.25,0)+IF(AND(V1471&gt;=40,V1471&lt;75,W1471&gt;=65,W1471&lt;100),0.17,0)+IF(AND(V1471&gt;=40,V1471&lt;75,W1471&gt;=100),0.1,0)+IF(AND(V1471&gt;=75,W1471&lt;25),0.35,0)+IF(AND(V1471&gt;=75,W1471&gt;=25,W1471&lt;60),0.25,0)+IF(AND(V1471&gt;=75,W1471&gt;=60,W1471&lt;95),0.17,0)+IF(AND(V1471&gt;=75,W1471&gt;=95),0.1,0),
IF(AF1471="DoEVold15",IF(AND(V1471&lt;=40,W1471&lt;35),0.35,0)+IF(AND(V1471&lt;=40,W1471&gt;=35,W1471&lt;75),0.25,0)+IF(AND(V1471&lt;=40,W1471&gt;=75,W1471&lt;120),0.17,0)+IF(AND(V1471&lt;=40,W1471&gt;=120),0.15,0)+IF(AND(V1471&gt;40,V1471&lt;75,W1471&lt;25),0.35,0)+IF(AND(V1471&gt;=40,V1471&lt;75,W1471&gt;=25,W1471&lt;65),0.25,0)+IF(AND(V1471&gt;=40,V1471&lt;75,W1471&gt;=65,W1471&lt;100),0.17,0)+IF(AND(V1471&gt;=40,V1471&lt;75,W1471&gt;=100),0.1,0)+IF(AND(V1471&gt;=75,W1471&lt;25),0.35,0)+IF(AND(V1471&gt;=75,W1471&gt;=25,W1471&lt;60),0.25,0)+IF(AND(V1471&gt;=75,W1471&gt;=60,W1471&lt;95),0.17,0)+IF(AND(V1471&gt;=75,W1471&gt;=95),0.1,0),
IF(AF1471="DoEVba",IF(AND(V1471&lt;20,W1471&lt;105),0.2,0)+IF(AND(V1471&lt;20,W1471&gt;=105),0.15,0)+IF(AND(V1471&gt;=20,V1471&lt;40,W1471&lt;95),0.2,0)+IF(AND(V1471&gt;=20,V1471&lt;40,W1471&gt;=95,W1471&lt;150),0.15,0)+IF(AND(V1471&gt;=20,V1471&lt;40,W1471&gt;=150),0.12,0)+IF(AND(V1471&gt;=40,V1471&lt;75,W1471&lt;75),0.2,0)+IF(AND(V1471&gt;=40,V1471&lt;75,W1471&gt;=75,W1471&lt;120),0.15,0)+IF(AND(V1471&gt;=40,V1471&lt;75,W1471&gt;=120),0.12,0)+IF(AND(V1471&gt;=75,V1471&lt;175,W1471&lt;65),0.2,0)+IF(AND(V1471&gt;=75,V1471&lt;175,W1471&gt;=65,W1471&lt;110),0.15,0)+IF(AND(V1471&gt;=75,V1471&lt;175,W1471&gt;=110),0.12,0)+IF(AND(V1471&gt;=175,W1471&lt;55),0.2,0)+IF(AND(V1471&gt;=175,W1471&gt;=55,W1471&lt;95),0.15,0)+IF(AND(V1471&gt;=175,W1471&gt;=95),0.12,0),
IF(AF1471="DoEVku",IF(AND(V1471&lt;20,W1471&lt;55),0.23,0)+IF(AND(V1471&lt;20,W1471&gt;=55,W1471&lt;105),0.2,0)+IF(AND(V1471&lt;20,W1471&gt;=105),0.17,0)+IF(AND(V1471&gt;=20,V1471&lt;40,W1471&lt;45),0.23,0)+IF(AND(V1471&gt;=20,V1471&lt;40,W1471&gt;=45,W1471&lt;95),0.2,0)+IF(AND(V1471&gt;=20,V1471&lt;40,W1471&gt;=95,W1471&lt;=150),0.17,0)+IF(AND(V1471&gt;=20,V1471&lt;40,W1471&gt;=150),0.12,0)+IF(AND(V1471&gt;=40,V1471&lt;75,W1471&lt;35),0.23,0)+IF(AND(V1471&gt;=40,V1471&lt;75,W1471&gt;=35,W1471&lt;75),0.2,0)+IF(AND(V1471&gt;=40,V1471&lt;75,W1471&gt;=75,W1471&lt;120),0.17,0)+IF(AND(V1471&gt;=40,V1471&lt;75,W1471&gt;=120),0.12,0)+IF(AND(V1471&gt;=75,V1471&lt;175,W1471&lt;35),0.23,0)+IF(AND(V1471&gt;=75,V1471&lt;=175,W1471&gt;=35,W1471&lt;65),0.2,0)+IF(AND(V1471&gt;=75,V1471&lt;=175,W1471&gt;=65,W1471&lt;110),0.17,0)+IF(AND(V1471&gt;=75,V1471&lt;=175,W1471&gt;=110),0.12,0)+IF(AND(V1471&gt;175,W1471&lt;25),0.23,0)+IF(AND(V1471&gt;175,W1471&gt;=25,W1471&lt;55),0.2,0)+IF(AND(V1471&gt;175,W1471&gt;=55,W1471&lt;95),0.17,0)+IF(AND(V1471&gt;175,W1471&gt;=95),0.12,0),
IF(AF1471="DoEVs1",IF(AND(V1471&lt;20,W1471&lt;55),0.3,0)+IF(AND(V1471&lt;20,W1471&gt;=55,W1471&lt;105),0.23,0)+IF(AND(V1471&lt;20,W1471&gt;=105),0.17,0)+IF(AND(V1471&gt;=20,V1471&lt;40,W1471&lt;45),0.3,0)+IF(AND(V1471&gt;=20,V1471&lt;40,W1471&gt;=45,W1471&lt;95),0.23,0)+IF(AND(V1471&gt;=20,V1471&lt;40,W1471&gt;=95,W1471&lt;=150),0.17,0)+IF(AND(V1471&gt;=20,V1471&lt;40,W1471&gt;=150),0.12,0)+IF(AND(V1471&gt;=40,V1471&lt;75,W1471&lt;35),0.3,0)+IF(AND(V1471&gt;=40,V1471&lt;75,W1471&gt;=35,W1471&lt;75),0.23,0)+IF(AND(V1471&gt;=40,V1471&lt;75,W1471&gt;=75,W1471&lt;120),0.17,0)+IF(AND(V1471&gt;=40,V1471&lt;75,W1471&gt;=120),0.12,0)+IF(AND(V1471&gt;=75,V1471&lt;175,W1471&lt;35),0.3,0)+IF(AND(V1471&gt;=75,V1471&lt;=175,W1471&gt;=35,W1471&lt;65),0.23,0)+IF(AND(V1471&gt;=75,V1471&lt;=175,W1471&gt;=65,W1471&lt;110),0.17,0)+IF(AND(V1471&gt;=75,V1471&lt;=175,W1471&gt;=110),0.12,0)+IF(AND(V1471&gt;175,W1471&lt;25),0.3,0)+IF(AND(V1471&gt;175,W1471&gt;=25,W1471&lt;55),0.23,0)+IF(AND(V1471&gt;175,W1471&gt;=55,W1471&lt;95),0.17,0)+IF(AND(V1471&gt;175,W1471&gt;=95),0.12,0),
IF(AF1471="DoEVsu",IF(AND(V1471&lt;20,W1471&lt;55),0.3,0)+IF(AND(V1471&lt;20,W1471&gt;=55,W1471&lt;105),0.23,0)+IF(AND(V1471&lt;20,W1471&gt;=105),0.17,0)+IF(AND(V1471&gt;=20,V1471&lt;40,W1471&lt;45),0.3,0)+IF(AND(V1471&gt;=20,V1471&lt;40,W1471&gt;=45,W1471&lt;95),0.23,0)+IF(AND(V1471&gt;=20,V1471&lt;40,W1471&gt;=95,W1471&lt;=250),0.17,0)+IF(AND(V1471&gt;=20,V1471&lt;40,W1471&gt;=250),0.12,0)+IF(AND(V1471&gt;=40,V1471&lt;75,W1471&lt;35),0.3,0)+IF(AND(V1471&gt;=40,V1471&lt;75,W1471&gt;=35,W1471&lt;75),0.23,0)+IF(AND(V1471&gt;=40,V1471&lt;75,W1471&gt;=75,W1471&lt;120),0.17,0)+IF(AND(V1471&gt;=40,V1471&lt;75,W1471&gt;=120),0.12,0)+IF(AND(V1471&gt;=75,V1471&lt;175,W1471&lt;35),0.3,0)+IF(AND(V1471&gt;=75,V1471&lt;=175,W1471&gt;=35,W1471&lt;65),0.23,0)+IF(AND(V1471&gt;=75,V1471&lt;=175,W1471&gt;=65,W1471&lt;110),0.17,0)+IF(AND(V1471&gt;=75,V1471&lt;=175,W1471&gt;=110),0.12,0)+IF(AND(V1471&gt;175,W1471&lt;25),0.3,0)+IF(AND(V1471&gt;175,W1471&gt;=25,W1471&lt;55),0.23,0)+IF(AND(V1471&gt;175,W1471&gt;=55,W1471&lt;95),0.17,0)+IF(AND(V1471&gt;175,W1471&gt;=95),0.12,0),
IF(AF1471="DoEVni",IF(AND(V1471&lt;20,W1471&lt;55),0.3,0)+IF(AND(V1471&lt;20,W1471&gt;=55,W1471&lt;105),0.23,0)+IF(AND(V1471&lt;20,W1471&gt;=105),0.17,0)+IF(AND(V1471&gt;=20,V1471&lt;40,W1471&lt;45),0.3,0)+IF(AND(V1471&gt;=20,V1471&lt;40,W1471&gt;=45,W1471&lt;95),0.23,0)+IF(AND(V1471&gt;=20,V1471&lt;40,W1471&gt;=95,W1471&lt;=200),0.17,0)+IF(AND(V1471&gt;=20,V1471&lt;40,W1471&gt;=200),0.12,0)+IF(AND(V1471&gt;=40,V1471&lt;75,W1471&lt;35),0.3,0)+IF(AND(V1471&gt;=40,V1471&lt;75,W1471&gt;=35,W1471&lt;75),0.23,0)+IF(AND(V1471&gt;=40,V1471&lt;75,W1471&gt;=75,W1471&lt;120),0.17,0)+IF(AND(V1471&gt;=40,V1471&lt;75,W1471&gt;=120),0.12,0)+IF(AND(V1471&gt;=75,V1471&lt;175,W1471&lt;35),0.3,0)+IF(AND(V1471&gt;=75,V1471&lt;=175,W1471&gt;=35,W1471&lt;65),0.23,0)+IF(AND(V1471&gt;=75,V1471&lt;=175,W1471&gt;=65,W1471&lt;110),0.17,0)+IF(AND(V1471&gt;=75,V1471&lt;=175,W1471&gt;=110),0.12,0)+IF(AND(V1471&gt;175,W1471&lt;25),0.3,0)+IF(AND(V1471&gt;175,W1471&gt;=25,W1471&lt;55),0.23,0)+IF(AND(V1471&gt;175,W1471&gt;=55,W1471&lt;95),0.17,0)+IF(AND(V1471&gt;175,W1471&gt;=95),0.12,0),
IF(AF1471="DoEVLo",IF(AND(V1471&lt;20,W1471&lt;55),0.25,0)+IF(AND(V1471&lt;20,W1471&gt;=55,W1471&lt;105),0.2,0)+IF(AND(V1471&lt;20,W1471&gt;=105),0.15,0)+IF(AND(V1471&gt;=20,V1471&lt;40,W1471&lt;45),0.25,0)+IF(AND(V1471&gt;=20,V1471&lt;40,W1471&gt;=45,W1471&lt;95),0.2,0)+IF(AND(V1471&gt;=20,V1471&lt;40,W1471&gt;=95),0.15,0)+IF(AND(V1471&gt;=40,V1471&lt;75,W1471&lt;35),0.25,0)+IF(AND(V1471&gt;=40,V1471&lt;75,W1471&gt;=35,W1471&lt;75),0.2,0)+IF(AND(V1471&gt;=40,V1471&lt;75,W1471&gt;=75,W1471&lt;120),0.15,0)+IF(AND(V1471&gt;=40,V1471&lt;75,W1471&gt;=120),0.1,0)+IF(AND(V1471&gt;=75,V1471&lt;175,W1471&lt;35),0.25,0)+IF(AND(V1471&gt;=75,V1471&lt;=175,W1471&gt;=35,W1471&lt;65),0.2,0)+IF(AND(V1471&gt;=75,V1471&lt;=175,W1471&gt;=65,W1471&lt;110),0.15,0)+IF(AND(V1471&gt;=75,V1471&lt;=175,W1471&gt;=110),0.1,0)+IF(AND(V1471&gt;175,W1471&lt;25),0.25,0)+IF(AND(V1471&gt;175,W1471&gt;=25,W1471&lt;55),0.2,0)+IF(AND(V1471&gt;175,W1471&gt;=55,W1471&lt;95),0.15,0)+IF(AND(V1471&gt;175,W1471&gt;=95),0.1,0))))))))))))))))))))</f>
        <v>0.2</v>
      </c>
      <c r="Y1471" s="30">
        <f>IF(AG1471="None",0,IF(AG1471="Fix5",0.05, IF(AG1471="Fix6.25",0.0625,IF(AG1471="Fix3.75",0.0375, IF(AG1471="Fix11",0.11, IF(AG1471="Fix10",0.1,IF(AG1471="Fix3",0.03,0)))))))</f>
        <v>0</v>
      </c>
      <c r="Z1471" s="35">
        <f>IF(AND(AD1471="EUR", AE1471 = "USD"), T1471*U1471-AA1471-AB1471, T1471-AA1471-AB1471)</f>
        <v>337.6</v>
      </c>
      <c r="AA1471" s="29">
        <f>IF(AND(AD1471="EUR", F1471="Without EV deal", AE1471="USD"), (T1471*X1471)*U1471,
IF(AND(AD1471="EUR", F1471="Without EV deal", AE1471="EUR"), (T1471*X1471),
IF(AND(AD1471="EUR",AE1471="USD"), (T1471*X1471)*U1471,
T1471*X1471)))</f>
        <v>84.4</v>
      </c>
      <c r="AB1471" s="36">
        <f>IF(AND(AD1471="EUR", F1471="Without EV deal", AE1471="USD"), (T1471*Y1471)*U1471,
IF(AND(AD1471="EUR", F1471="Without EV deal", AE1471="EUR"), (T1471*Y1471),
IF(AND(AD1471="EUR",AE1471="USD"), (T1471*Y1471)*U1471,
T1471*Y1471)))</f>
        <v>0</v>
      </c>
      <c r="AC1471" s="61" t="b">
        <v>1</v>
      </c>
      <c r="AD1471" s="82" t="str">
        <f>IF(OR(H1471="€0.25 Flash",
H1471="€0.25(nitro) new",
H1471="€1",
H1471="€2",
H1471="€2 (bf 01.08)",
H1471="€5",
H1471="€5 (1M)",
H1471="€5 (bf 01.08)",
H1471="€5 (bf 05.05)",
H1471="€5 Nitro",
H1471="€5(wx) new",
H1471="€10",
H1471="€10 (1M)",
H1471="€10 (bf 01.08)",
H1471="€10 (bf 05.05)",
H1471="€10 (MP)",
H1471="€10 (old)",
H1471="€10 Nitro (bf 05.05)",
H1471="€10 Nitro (old)",
H1471="€10(wx) new",
H1471="€20",
H1471="€25",
H1471="€25 (bf 01.08)",
H1471="€25 (bf 05.05)",
H1471="€25 (MP)",
H1471="€25 (old)",
H1471="€25 Nitro",
H1471="€25 Nitro (bf 01.08)",
H1471="€25 Nitro (bf 05.05)",
H1471="€25(nitro) new",
H1471="€25(wx) new",
H1471="€50",
H1471="€50 (bf 01.08)",
H1471="€50 (bf 05.05)",
H1471="€50 (old)",
H1471="€50 Nitro",
H1471="€50 Nitro (bf 01.08)",
H1471="€50 Nitro (bf 05.05)",
H1471="€50(wx) new",
H1471="€100",
H1471="€100 (old)",
H1471="€100 Nitro",
H1471="€100 Nitro (old)",
H1471="€200",
H1471="€250",
H1471="€250 Nitro",
H1471="€500",
H1471="€500 Nitro"),"EUR", "USD")</f>
        <v>USD</v>
      </c>
      <c r="AE1471" s="83" t="s">
        <v>38</v>
      </c>
      <c r="AF1471" s="83" t="str">
        <f t="array" ref="AF1471">INDEX('Deal Info'!D:D, MATCH(A1471,'Deal Info'!A:A, 0))</f>
        <v>DoEVLo</v>
      </c>
      <c r="AG1471" s="84" t="str">
        <f t="array" ref="AG1471">INDEX('Deal Info'!G:G, MATCH(A1471,'Deal Info'!A:A, 0))</f>
        <v>None</v>
      </c>
    </row>
    <row r="1472" spans="1:33" ht="14.25" hidden="1" x14ac:dyDescent="0.2">
      <c r="A1472" s="18" t="str">
        <f t="array" ref="A1472">IF(G1472='Room Info'!$B$1, INDEX('Room Info'!$A$2:$A2446, MATCH(B1472,'Room Info'!$B$2:$B2446, 0)),IF(G1472='Room Info'!$C$1, INDEX('Room Info'!$A$2:$A2446, MATCH(B1472,'Room Info'!$C$2:$C2446, 0)),IF(G1472='Room Info'!$D$1, INDEX('Room Info'!$A$2:$A2446, MATCH(B1472,'Room Info'!$D$2:$D2446, 0)),IF(G1472='Room Info'!$E$1, INDEX('Room Info'!$A$2:$A2446, MATCH(B1472,'Room Info'!$E$2:$E2446, 0)),IF(G1472='Room Info'!$F$1, INDEX('Room Info'!$A$2:$A2446, MATCH(B1472,'Room Info'!$F$2:$F2446, 0)),IF(G1472='Room Info'!$H$1, INDEX('Room Info'!$A$2:$A2446, MATCH(B1472,'Room Info'!$H$2:$H2446, 0)),IF(G1472='Room Info'!$G$1, INDEX('Room Info'!$A$2:$A2446, MATCH(B1472,'Room Info'!$G$2:$G2446, 0)))))))))</f>
        <v>Lo4io</v>
      </c>
      <c r="B1472" s="18" t="s">
        <v>219</v>
      </c>
      <c r="C1472" s="41">
        <v>44927</v>
      </c>
      <c r="D1472" s="41">
        <v>44957</v>
      </c>
      <c r="E1472" s="21">
        <v>44958</v>
      </c>
      <c r="F1472" s="22" t="s">
        <v>34</v>
      </c>
      <c r="G1472" s="18" t="s">
        <v>69</v>
      </c>
      <c r="H1472" s="23" t="s">
        <v>72</v>
      </c>
      <c r="I1472" s="23" t="s">
        <v>37</v>
      </c>
      <c r="J1472" s="39">
        <v>50</v>
      </c>
      <c r="K1472" s="88">
        <v>316</v>
      </c>
      <c r="L1472" s="89">
        <v>-300</v>
      </c>
      <c r="M1472" s="27"/>
      <c r="N1472" s="28">
        <f>K1472*J1472</f>
        <v>15800</v>
      </c>
      <c r="O1472" s="85">
        <v>5380</v>
      </c>
      <c r="P1472" s="29">
        <v>17.025316459999999</v>
      </c>
      <c r="Q1472" s="30"/>
      <c r="R1472" s="31">
        <f>M1472+Q1472</f>
        <v>0</v>
      </c>
      <c r="S1472" s="28"/>
      <c r="T1472" s="32">
        <f>IF(AND(AD1472="EUR", F1472="Without EV deal"), R1472 + L1472,
IF(AND(AD1472="USD", F1472="Without EV deal"), R1472 + L1472,
IF(AND(AD1472="EUR", F1472="Steel Phoenix"), R1472 + S1472/U1472,
R1472 + S1472)))</f>
        <v>0</v>
      </c>
      <c r="U1472" s="33">
        <v>1.0669999999999999</v>
      </c>
      <c r="V1472" s="69">
        <v>37.325261419922953</v>
      </c>
      <c r="W1472" s="64">
        <v>65</v>
      </c>
      <c r="X1472" s="30">
        <f>IF(AF1472="DoEV",IF(AND(V1472&lt;20,W1472&lt;55),0.3,0)+IF(AND(V1472&lt;20,W1472&gt;=55,W1472&lt;105),0.23,0)+IF(AND(V1472&lt;20,W1472&gt;=105),0.17,0)+IF(AND(V1472&gt;=20,V1472&lt;40,W1472&lt;45),0.3,0)+IF(AND(V1472&gt;=20,V1472&lt;40,W1472&gt;=45,W1472&lt;95),0.23,0)+IF(AND(V1472&gt;=20,V1472&lt;40,W1472&gt;=95),0.17,0)+IF(AND(V1472&gt;=40,V1472&lt;75,W1472&lt;35),0.3,0)+IF(AND(V1472&gt;=40,V1472&lt;75,W1472&gt;=35,W1472&lt;75),0.23,0)+IF(AND(V1472&gt;=40,V1472&lt;75,W1472&gt;=75,W1472&lt;120),0.17,0)+IF(AND(V1472&gt;=40,V1472&lt;75,W1472&gt;=120),0.12,0)+IF(AND(V1472&gt;=75,V1472&lt;175,W1472&lt;35),0.3,0)+IF(AND(V1472&gt;=75,V1472&lt;=175,W1472&gt;=35,W1472&lt;65),0.23,0)+IF(AND(V1472&gt;=75,V1472&lt;=175,W1472&gt;=65,W1472&lt;110),0.17,0)+IF(AND(V1472&gt;=75,V1472&lt;=175,W1472&gt;=110),0.12,0)+IF(AND(V1472&gt;175,W1472&lt;25),0.3,0)+IF(AND(V1472&gt;175,W1472&gt;=25,W1472&lt;55),0.23,0)+IF(AND(V1472&gt;175,W1472&gt;=55,W1472&lt;95),0.17,0)+IF(AND(V1472&gt;175,W1472&gt;=95),0.12,0),
IF(AF1472="Fix15",0.15,
IF(AF1472="Fix5",0.05,
IF(AF1472="Fix18.75",0.1875,
IF(AF1472="Fix11.25",0.1125,
IF(AF1472="Fix10",0.1,
IF(AF1472="Fix9",0.09,
IF(AF1472="Fix12",0.12,
IF(AF1472="Fix19",0.19,
IF(AF1472="DoEV2017",IF(AND(W1472&lt;74),0.2,0)+IF(AND(W1472&gt;=74),0.17,0),
IF(AF1472="SF",IF(AND(V1472&lt;20,W1472&lt;89),0.3,0)+IF(AND(V1472&lt;20,W1472&gt;=89),0.25,0)+IF(AND(V1472&gt;=20,V1472&lt;40,W1472&lt;74),0.3,0)+IF(AND(V1472&gt;=20,V1472&lt;40,W1472&gt;=75),0.22,0)+IF(AND(V1472&gt;=40,V1472&lt;75,W1472&lt;75),0.26,0)+IF(AND(V1472&gt;=40,V1472&lt;75,W1472&gt;=75),0.22,0)+IF(V1472&gt;=75,0.22,0),
IF(AF1472="DoEVold",IF(AND(V1472&lt;40,W1472&lt;35),0.35,0)+IF(AND(V1472&lt;40,W1472&gt;=35,W1472&lt;75),0.25,0)+IF(AND(V1472&lt;40,W1472&gt;=75),0.17,0)+IF(AND(V1472&gt;=40,V1472&lt;75,W1472&lt;25),0.35,0)+IF(AND(V1472&gt;=40,V1472&lt;75,W1472&gt;=25,W1472&lt;65),0.25,0)+IF(AND(V1472&gt;=40,V1472&lt;75,W1472&gt;=65,W1472&lt;100),0.17,0)+IF(AND(V1472&gt;=40,V1472&lt;75,W1472&gt;=100),0.1,0)+IF(AND(V1472&gt;=75,W1472&lt;25),0.35,0)+IF(AND(V1472&gt;=75,W1472&gt;=25,W1472&lt;60),0.25,0)+IF(AND(V1472&gt;=75,W1472&gt;=60,W1472&lt;95),0.17,0)+IF(AND(V1472&gt;=75,W1472&gt;=95),0.1,0),
IF(AF1472="DoEVold15",IF(AND(V1472&lt;=40,W1472&lt;35),0.35,0)+IF(AND(V1472&lt;=40,W1472&gt;=35,W1472&lt;75),0.25,0)+IF(AND(V1472&lt;=40,W1472&gt;=75,W1472&lt;120),0.17,0)+IF(AND(V1472&lt;=40,W1472&gt;=120),0.15,0)+IF(AND(V1472&gt;40,V1472&lt;75,W1472&lt;25),0.35,0)+IF(AND(V1472&gt;=40,V1472&lt;75,W1472&gt;=25,W1472&lt;65),0.25,0)+IF(AND(V1472&gt;=40,V1472&lt;75,W1472&gt;=65,W1472&lt;100),0.17,0)+IF(AND(V1472&gt;=40,V1472&lt;75,W1472&gt;=100),0.1,0)+IF(AND(V1472&gt;=75,W1472&lt;25),0.35,0)+IF(AND(V1472&gt;=75,W1472&gt;=25,W1472&lt;60),0.25,0)+IF(AND(V1472&gt;=75,W1472&gt;=60,W1472&lt;95),0.17,0)+IF(AND(V1472&gt;=75,W1472&gt;=95),0.1,0),
IF(AF1472="DoEVba",IF(AND(V1472&lt;20,W1472&lt;105),0.2,0)+IF(AND(V1472&lt;20,W1472&gt;=105),0.15,0)+IF(AND(V1472&gt;=20,V1472&lt;40,W1472&lt;95),0.2,0)+IF(AND(V1472&gt;=20,V1472&lt;40,W1472&gt;=95,W1472&lt;150),0.15,0)+IF(AND(V1472&gt;=20,V1472&lt;40,W1472&gt;=150),0.12,0)+IF(AND(V1472&gt;=40,V1472&lt;75,W1472&lt;75),0.2,0)+IF(AND(V1472&gt;=40,V1472&lt;75,W1472&gt;=75,W1472&lt;120),0.15,0)+IF(AND(V1472&gt;=40,V1472&lt;75,W1472&gt;=120),0.12,0)+IF(AND(V1472&gt;=75,V1472&lt;175,W1472&lt;65),0.2,0)+IF(AND(V1472&gt;=75,V1472&lt;175,W1472&gt;=65,W1472&lt;110),0.15,0)+IF(AND(V1472&gt;=75,V1472&lt;175,W1472&gt;=110),0.12,0)+IF(AND(V1472&gt;=175,W1472&lt;55),0.2,0)+IF(AND(V1472&gt;=175,W1472&gt;=55,W1472&lt;95),0.15,0)+IF(AND(V1472&gt;=175,W1472&gt;=95),0.12,0),
IF(AF1472="DoEVku",IF(AND(V1472&lt;20,W1472&lt;55),0.23,0)+IF(AND(V1472&lt;20,W1472&gt;=55,W1472&lt;105),0.2,0)+IF(AND(V1472&lt;20,W1472&gt;=105),0.17,0)+IF(AND(V1472&gt;=20,V1472&lt;40,W1472&lt;45),0.23,0)+IF(AND(V1472&gt;=20,V1472&lt;40,W1472&gt;=45,W1472&lt;95),0.2,0)+IF(AND(V1472&gt;=20,V1472&lt;40,W1472&gt;=95,W1472&lt;=150),0.17,0)+IF(AND(V1472&gt;=20,V1472&lt;40,W1472&gt;=150),0.12,0)+IF(AND(V1472&gt;=40,V1472&lt;75,W1472&lt;35),0.23,0)+IF(AND(V1472&gt;=40,V1472&lt;75,W1472&gt;=35,W1472&lt;75),0.2,0)+IF(AND(V1472&gt;=40,V1472&lt;75,W1472&gt;=75,W1472&lt;120),0.17,0)+IF(AND(V1472&gt;=40,V1472&lt;75,W1472&gt;=120),0.12,0)+IF(AND(V1472&gt;=75,V1472&lt;175,W1472&lt;35),0.23,0)+IF(AND(V1472&gt;=75,V1472&lt;=175,W1472&gt;=35,W1472&lt;65),0.2,0)+IF(AND(V1472&gt;=75,V1472&lt;=175,W1472&gt;=65,W1472&lt;110),0.17,0)+IF(AND(V1472&gt;=75,V1472&lt;=175,W1472&gt;=110),0.12,0)+IF(AND(V1472&gt;175,W1472&lt;25),0.23,0)+IF(AND(V1472&gt;175,W1472&gt;=25,W1472&lt;55),0.2,0)+IF(AND(V1472&gt;175,W1472&gt;=55,W1472&lt;95),0.17,0)+IF(AND(V1472&gt;175,W1472&gt;=95),0.12,0),
IF(AF1472="DoEVs1",IF(AND(V1472&lt;20,W1472&lt;55),0.3,0)+IF(AND(V1472&lt;20,W1472&gt;=55,W1472&lt;105),0.23,0)+IF(AND(V1472&lt;20,W1472&gt;=105),0.17,0)+IF(AND(V1472&gt;=20,V1472&lt;40,W1472&lt;45),0.3,0)+IF(AND(V1472&gt;=20,V1472&lt;40,W1472&gt;=45,W1472&lt;95),0.23,0)+IF(AND(V1472&gt;=20,V1472&lt;40,W1472&gt;=95,W1472&lt;=150),0.17,0)+IF(AND(V1472&gt;=20,V1472&lt;40,W1472&gt;=150),0.12,0)+IF(AND(V1472&gt;=40,V1472&lt;75,W1472&lt;35),0.3,0)+IF(AND(V1472&gt;=40,V1472&lt;75,W1472&gt;=35,W1472&lt;75),0.23,0)+IF(AND(V1472&gt;=40,V1472&lt;75,W1472&gt;=75,W1472&lt;120),0.17,0)+IF(AND(V1472&gt;=40,V1472&lt;75,W1472&gt;=120),0.12,0)+IF(AND(V1472&gt;=75,V1472&lt;175,W1472&lt;35),0.3,0)+IF(AND(V1472&gt;=75,V1472&lt;=175,W1472&gt;=35,W1472&lt;65),0.23,0)+IF(AND(V1472&gt;=75,V1472&lt;=175,W1472&gt;=65,W1472&lt;110),0.17,0)+IF(AND(V1472&gt;=75,V1472&lt;=175,W1472&gt;=110),0.12,0)+IF(AND(V1472&gt;175,W1472&lt;25),0.3,0)+IF(AND(V1472&gt;175,W1472&gt;=25,W1472&lt;55),0.23,0)+IF(AND(V1472&gt;175,W1472&gt;=55,W1472&lt;95),0.17,0)+IF(AND(V1472&gt;175,W1472&gt;=95),0.12,0),
IF(AF1472="DoEVsu",IF(AND(V1472&lt;20,W1472&lt;55),0.3,0)+IF(AND(V1472&lt;20,W1472&gt;=55,W1472&lt;105),0.23,0)+IF(AND(V1472&lt;20,W1472&gt;=105),0.17,0)+IF(AND(V1472&gt;=20,V1472&lt;40,W1472&lt;45),0.3,0)+IF(AND(V1472&gt;=20,V1472&lt;40,W1472&gt;=45,W1472&lt;95),0.23,0)+IF(AND(V1472&gt;=20,V1472&lt;40,W1472&gt;=95,W1472&lt;=250),0.17,0)+IF(AND(V1472&gt;=20,V1472&lt;40,W1472&gt;=250),0.12,0)+IF(AND(V1472&gt;=40,V1472&lt;75,W1472&lt;35),0.3,0)+IF(AND(V1472&gt;=40,V1472&lt;75,W1472&gt;=35,W1472&lt;75),0.23,0)+IF(AND(V1472&gt;=40,V1472&lt;75,W1472&gt;=75,W1472&lt;120),0.17,0)+IF(AND(V1472&gt;=40,V1472&lt;75,W1472&gt;=120),0.12,0)+IF(AND(V1472&gt;=75,V1472&lt;175,W1472&lt;35),0.3,0)+IF(AND(V1472&gt;=75,V1472&lt;=175,W1472&gt;=35,W1472&lt;65),0.23,0)+IF(AND(V1472&gt;=75,V1472&lt;=175,W1472&gt;=65,W1472&lt;110),0.17,0)+IF(AND(V1472&gt;=75,V1472&lt;=175,W1472&gt;=110),0.12,0)+IF(AND(V1472&gt;175,W1472&lt;25),0.3,0)+IF(AND(V1472&gt;175,W1472&gt;=25,W1472&lt;55),0.23,0)+IF(AND(V1472&gt;175,W1472&gt;=55,W1472&lt;95),0.17,0)+IF(AND(V1472&gt;175,W1472&gt;=95),0.12,0),
IF(AF1472="DoEVni",IF(AND(V1472&lt;20,W1472&lt;55),0.3,0)+IF(AND(V1472&lt;20,W1472&gt;=55,W1472&lt;105),0.23,0)+IF(AND(V1472&lt;20,W1472&gt;=105),0.17,0)+IF(AND(V1472&gt;=20,V1472&lt;40,W1472&lt;45),0.3,0)+IF(AND(V1472&gt;=20,V1472&lt;40,W1472&gt;=45,W1472&lt;95),0.23,0)+IF(AND(V1472&gt;=20,V1472&lt;40,W1472&gt;=95,W1472&lt;=200),0.17,0)+IF(AND(V1472&gt;=20,V1472&lt;40,W1472&gt;=200),0.12,0)+IF(AND(V1472&gt;=40,V1472&lt;75,W1472&lt;35),0.3,0)+IF(AND(V1472&gt;=40,V1472&lt;75,W1472&gt;=35,W1472&lt;75),0.23,0)+IF(AND(V1472&gt;=40,V1472&lt;75,W1472&gt;=75,W1472&lt;120),0.17,0)+IF(AND(V1472&gt;=40,V1472&lt;75,W1472&gt;=120),0.12,0)+IF(AND(V1472&gt;=75,V1472&lt;175,W1472&lt;35),0.3,0)+IF(AND(V1472&gt;=75,V1472&lt;=175,W1472&gt;=35,W1472&lt;65),0.23,0)+IF(AND(V1472&gt;=75,V1472&lt;=175,W1472&gt;=65,W1472&lt;110),0.17,0)+IF(AND(V1472&gt;=75,V1472&lt;=175,W1472&gt;=110),0.12,0)+IF(AND(V1472&gt;175,W1472&lt;25),0.3,0)+IF(AND(V1472&gt;175,W1472&gt;=25,W1472&lt;55),0.23,0)+IF(AND(V1472&gt;175,W1472&gt;=55,W1472&lt;95),0.17,0)+IF(AND(V1472&gt;175,W1472&gt;=95),0.12,0),
IF(AF1472="DoEVLo",IF(AND(V1472&lt;20,W1472&lt;55),0.25,0)+IF(AND(V1472&lt;20,W1472&gt;=55,W1472&lt;105),0.2,0)+IF(AND(V1472&lt;20,W1472&gt;=105),0.15,0)+IF(AND(V1472&gt;=20,V1472&lt;40,W1472&lt;45),0.25,0)+IF(AND(V1472&gt;=20,V1472&lt;40,W1472&gt;=45,W1472&lt;95),0.2,0)+IF(AND(V1472&gt;=20,V1472&lt;40,W1472&gt;=95),0.15,0)+IF(AND(V1472&gt;=40,V1472&lt;75,W1472&lt;35),0.25,0)+IF(AND(V1472&gt;=40,V1472&lt;75,W1472&gt;=35,W1472&lt;75),0.2,0)+IF(AND(V1472&gt;=40,V1472&lt;75,W1472&gt;=75,W1472&lt;120),0.15,0)+IF(AND(V1472&gt;=40,V1472&lt;75,W1472&gt;=120),0.1,0)+IF(AND(V1472&gt;=75,V1472&lt;175,W1472&lt;35),0.25,0)+IF(AND(V1472&gt;=75,V1472&lt;=175,W1472&gt;=35,W1472&lt;65),0.2,0)+IF(AND(V1472&gt;=75,V1472&lt;=175,W1472&gt;=65,W1472&lt;110),0.15,0)+IF(AND(V1472&gt;=75,V1472&lt;=175,W1472&gt;=110),0.1,0)+IF(AND(V1472&gt;175,W1472&lt;25),0.25,0)+IF(AND(V1472&gt;175,W1472&gt;=25,W1472&lt;55),0.2,0)+IF(AND(V1472&gt;175,W1472&gt;=55,W1472&lt;95),0.15,0)+IF(AND(V1472&gt;175,W1472&gt;=95),0.1,0))))))))))))))))))))</f>
        <v>0.2</v>
      </c>
      <c r="Y1472" s="30">
        <f>IF(AG1472="None",0,IF(AG1472="Fix5",0.05, IF(AG1472="Fix6.25",0.0625,IF(AG1472="Fix3.75",0.0375, IF(AG1472="Fix11",0.11, IF(AG1472="Fix10",0.1,IF(AG1472="Fix3",0.03,0)))))))</f>
        <v>0</v>
      </c>
      <c r="Z1472" s="35">
        <f>IF(AND(AD1472="EUR", AE1472 = "USD"), T1472*U1472-AA1472-AB1472, T1472-AA1472-AB1472)</f>
        <v>0</v>
      </c>
      <c r="AA1472" s="29">
        <f>IF(AND(AD1472="EUR", F1472="Without EV deal", AE1472="USD"), (T1472*X1472)*U1472,
IF(AND(AD1472="EUR", F1472="Without EV deal", AE1472="EUR"), (T1472*X1472),
IF(AND(AD1472="EUR",AE1472="USD"), (T1472*X1472)*U1472,
T1472*X1472)))</f>
        <v>0</v>
      </c>
      <c r="AB1472" s="36">
        <f>IF(AND(AD1472="EUR", F1472="Without EV deal", AE1472="USD"), (T1472*Y1472)*U1472,
IF(AND(AD1472="EUR", F1472="Without EV deal", AE1472="EUR"), (T1472*Y1472),
IF(AND(AD1472="EUR",AE1472="USD"), (T1472*Y1472)*U1472,
T1472*Y1472)))</f>
        <v>0</v>
      </c>
      <c r="AC1472" s="61" t="b">
        <v>1</v>
      </c>
      <c r="AD1472" s="82" t="str">
        <f>IF(OR(H1472="€0.25 Flash",
H1472="€0.25(nitro) new",
H1472="€1",
H1472="€2",
H1472="€2 (bf 01.08)",
H1472="€5",
H1472="€5 (1M)",
H1472="€5 (bf 01.08)",
H1472="€5 (bf 05.05)",
H1472="€5 Nitro",
H1472="€5(wx) new",
H1472="€10",
H1472="€10 (1M)",
H1472="€10 (bf 01.08)",
H1472="€10 (bf 05.05)",
H1472="€10 (MP)",
H1472="€10 (old)",
H1472="€10 Nitro (bf 05.05)",
H1472="€10 Nitro (old)",
H1472="€10(wx) new",
H1472="€20",
H1472="€25",
H1472="€25 (bf 01.08)",
H1472="€25 (bf 05.05)",
H1472="€25 (MP)",
H1472="€25 (old)",
H1472="€25 Nitro",
H1472="€25 Nitro (bf 01.08)",
H1472="€25 Nitro (bf 05.05)",
H1472="€25(nitro) new",
H1472="€25(wx) new",
H1472="€50",
H1472="€50 (bf 01.08)",
H1472="€50 (bf 05.05)",
H1472="€50 (old)",
H1472="€50 Nitro",
H1472="€50 Nitro (bf 01.08)",
H1472="€50 Nitro (bf 05.05)",
H1472="€50(wx) new",
H1472="€100",
H1472="€100 (old)",
H1472="€100 Nitro",
H1472="€100 Nitro (old)",
H1472="€200",
H1472="€250",
H1472="€250 Nitro",
H1472="€500",
H1472="€500 Nitro"),"EUR", "USD")</f>
        <v>USD</v>
      </c>
      <c r="AE1472" s="83" t="s">
        <v>38</v>
      </c>
      <c r="AF1472" s="83" t="str">
        <f t="array" ref="AF1472">INDEX('Deal Info'!D:D, MATCH(A1472,'Deal Info'!A:A, 0))</f>
        <v>DoEVLo</v>
      </c>
      <c r="AG1472" s="84" t="str">
        <f t="array" ref="AG1472">INDEX('Deal Info'!G:G, MATCH(A1472,'Deal Info'!A:A, 0))</f>
        <v>None</v>
      </c>
    </row>
    <row r="1473" spans="1:33" ht="14.25" x14ac:dyDescent="0.2">
      <c r="A1473" s="18" t="str">
        <f t="array" ref="A1473">IF(G1473='Room Info'!$B$1, INDEX('Room Info'!$A$2:$A2446, MATCH(B1473,'Room Info'!$B$2:$B2446, 0)),IF(G1473='Room Info'!$C$1, INDEX('Room Info'!$A$2:$A2446, MATCH(B1473,'Room Info'!$C$2:$C2446, 0)),IF(G1473='Room Info'!$D$1, INDEX('Room Info'!$A$2:$A2446, MATCH(B1473,'Room Info'!$D$2:$D2446, 0)),IF(G1473='Room Info'!$E$1, INDEX('Room Info'!$A$2:$A2446, MATCH(B1473,'Room Info'!$E$2:$E2446, 0)),IF(G1473='Room Info'!$F$1, INDEX('Room Info'!$A$2:$A2446, MATCH(B1473,'Room Info'!$F$2:$F2446, 0)),IF(G1473='Room Info'!$H$1, INDEX('Room Info'!$A$2:$A2446, MATCH(B1473,'Room Info'!$H$2:$H2446, 0)),IF(G1473='Room Info'!$G$1, INDEX('Room Info'!$A$2:$A2446, MATCH(B1473,'Room Info'!$G$2:$G2446, 0)))))))))</f>
        <v>fortunate773</v>
      </c>
      <c r="B1473" s="45" t="s">
        <v>95</v>
      </c>
      <c r="C1473" s="46">
        <v>44958</v>
      </c>
      <c r="D1473" s="46">
        <v>44985</v>
      </c>
      <c r="E1473" s="90">
        <v>44958</v>
      </c>
      <c r="F1473" s="129" t="s">
        <v>49</v>
      </c>
      <c r="G1473" s="129" t="s">
        <v>61</v>
      </c>
      <c r="H1473" s="81" t="s">
        <v>135</v>
      </c>
      <c r="I1473" s="49" t="s">
        <v>101</v>
      </c>
      <c r="J1473" s="154">
        <v>250</v>
      </c>
      <c r="K1473" s="51">
        <v>971</v>
      </c>
      <c r="L1473" s="52">
        <v>-20000</v>
      </c>
      <c r="M1473" s="53"/>
      <c r="N1473" s="28">
        <f>K1473*J1473</f>
        <v>242750</v>
      </c>
      <c r="O1473" s="54">
        <v>29200</v>
      </c>
      <c r="P1473" s="29">
        <v>30.072090630000002</v>
      </c>
      <c r="Q1473" s="55"/>
      <c r="R1473" s="31">
        <f>M1473+Q1473*J1473*K1473*0.07</f>
        <v>0</v>
      </c>
      <c r="S1473" s="56">
        <f>-3655</f>
        <v>-3655</v>
      </c>
      <c r="T1473" s="32">
        <f>IF(AND(AD1473="EUR", F1473="Without EV deal"), R1473 + L1473,
IF(AND(AD1473="USD", F1473="Without EV deal"), R1473 + L1473,
IF(AND(AD1473="EUR", F1473="Steel Phoenix"), R1473 + S1473/U1473,
R1473 + S1473)))</f>
        <v>-3655</v>
      </c>
      <c r="U1473" s="57">
        <v>1.0620000000000001</v>
      </c>
      <c r="V1473" s="58"/>
      <c r="W1473" s="58"/>
      <c r="X1473" s="30">
        <f>IF(AF1473="DoEV",IF(AND(V1473&lt;20,W1473&lt;55),0.3,0)+IF(AND(V1473&lt;20,W1473&gt;=55,W1473&lt;105),0.23,0)+IF(AND(V1473&lt;20,W1473&gt;=105),0.17,0)+IF(AND(V1473&gt;=20,V1473&lt;40,W1473&lt;45),0.3,0)+IF(AND(V1473&gt;=20,V1473&lt;40,W1473&gt;=45,W1473&lt;95),0.23,0)+IF(AND(V1473&gt;=20,V1473&lt;40,W1473&gt;=95),0.17,0)+IF(AND(V1473&gt;=40,V1473&lt;75,W1473&lt;35),0.3,0)+IF(AND(V1473&gt;=40,V1473&lt;75,W1473&gt;=35,W1473&lt;75),0.23,0)+IF(AND(V1473&gt;=40,V1473&lt;75,W1473&gt;=75,W1473&lt;120),0.17,0)+IF(AND(V1473&gt;=40,V1473&lt;75,W1473&gt;=120),0.12,0)+IF(AND(V1473&gt;=75,V1473&lt;175,W1473&lt;35),0.3,0)+IF(AND(V1473&gt;=75,V1473&lt;=175,W1473&gt;=35,W1473&lt;65),0.23,0)+IF(AND(V1473&gt;=75,V1473&lt;=175,W1473&gt;=65,W1473&lt;110),0.17,0)+IF(AND(V1473&gt;=75,V1473&lt;=175,W1473&gt;=110),0.12,0)+IF(AND(V1473&gt;175,W1473&lt;25),0.3,0)+IF(AND(V1473&gt;175,W1473&gt;=25,W1473&lt;55),0.23,0)+IF(AND(V1473&gt;175,W1473&gt;=55,W1473&lt;95),0.17,0)+IF(AND(V1473&gt;175,W1473&gt;=95),0.12,0),
IF(AF1473="Fix15",0.15,
IF(AF1473="Fix5",0.05,
IF(AF1473="Fix18.75",0.1875,
IF(AF1473="Fix11.25",0.1125,
IF(AF1473="Fix10",0.1,
IF(AF1473="Fix9",0.09,
IF(AF1473="Fix12",0.12,
IF(AF1473="Fix19",0.19,
IF(AF1473="DoEV2017",IF(AND(W1473&lt;74),0.2,0)+IF(AND(W1473&gt;=74),0.17,0),
IF(AF1473="SF",IF(AND(V1473&lt;20,W1473&lt;89),0.3,0)+IF(AND(V1473&lt;20,W1473&gt;=89),0.25,0)+IF(AND(V1473&gt;=20,V1473&lt;40,W1473&lt;74),0.3,0)+IF(AND(V1473&gt;=20,V1473&lt;40,W1473&gt;=75),0.22,0)+IF(AND(V1473&gt;=40,V1473&lt;75,W1473&lt;75),0.26,0)+IF(AND(V1473&gt;=40,V1473&lt;75,W1473&gt;=75),0.22,0)+IF(V1473&gt;=75,0.22,0),
IF(AF1473="DoEVold",IF(AND(V1473&lt;40,W1473&lt;35),0.35,0)+IF(AND(V1473&lt;40,W1473&gt;=35,W1473&lt;75),0.25,0)+IF(AND(V1473&lt;40,W1473&gt;=75),0.17,0)+IF(AND(V1473&gt;=40,V1473&lt;75,W1473&lt;25),0.35,0)+IF(AND(V1473&gt;=40,V1473&lt;75,W1473&gt;=25,W1473&lt;65),0.25,0)+IF(AND(V1473&gt;=40,V1473&lt;75,W1473&gt;=65,W1473&lt;100),0.17,0)+IF(AND(V1473&gt;=40,V1473&lt;75,W1473&gt;=100),0.1,0)+IF(AND(V1473&gt;=75,W1473&lt;25),0.35,0)+IF(AND(V1473&gt;=75,W1473&gt;=25,W1473&lt;60),0.25,0)+IF(AND(V1473&gt;=75,W1473&gt;=60,W1473&lt;95),0.17,0)+IF(AND(V1473&gt;=75,W1473&gt;=95),0.1,0),
IF(AF1473="DoEVold15",IF(AND(V1473&lt;=40,W1473&lt;35),0.35,0)+IF(AND(V1473&lt;=40,W1473&gt;=35,W1473&lt;75),0.25,0)+IF(AND(V1473&lt;=40,W1473&gt;=75,W1473&lt;120),0.17,0)+IF(AND(V1473&lt;=40,W1473&gt;=120),0.15,0)+IF(AND(V1473&gt;40,V1473&lt;75,W1473&lt;25),0.35,0)+IF(AND(V1473&gt;=40,V1473&lt;75,W1473&gt;=25,W1473&lt;65),0.25,0)+IF(AND(V1473&gt;=40,V1473&lt;75,W1473&gt;=65,W1473&lt;100),0.17,0)+IF(AND(V1473&gt;=40,V1473&lt;75,W1473&gt;=100),0.1,0)+IF(AND(V1473&gt;=75,W1473&lt;25),0.35,0)+IF(AND(V1473&gt;=75,W1473&gt;=25,W1473&lt;60),0.25,0)+IF(AND(V1473&gt;=75,W1473&gt;=60,W1473&lt;95),0.17,0)+IF(AND(V1473&gt;=75,W1473&gt;=95),0.1,0),
IF(AF1473="DoEVba",IF(AND(V1473&lt;20,W1473&lt;105),0.2,0)+IF(AND(V1473&lt;20,W1473&gt;=105),0.15,0)+IF(AND(V1473&gt;=20,V1473&lt;40,W1473&lt;95),0.2,0)+IF(AND(V1473&gt;=20,V1473&lt;40,W1473&gt;=95,W1473&lt;150),0.15,0)+IF(AND(V1473&gt;=20,V1473&lt;40,W1473&gt;=150),0.12,0)+IF(AND(V1473&gt;=40,V1473&lt;75,W1473&lt;75),0.2,0)+IF(AND(V1473&gt;=40,V1473&lt;75,W1473&gt;=75,W1473&lt;120),0.15,0)+IF(AND(V1473&gt;=40,V1473&lt;75,W1473&gt;=120),0.12,0)+IF(AND(V1473&gt;=75,V1473&lt;175,W1473&lt;65),0.2,0)+IF(AND(V1473&gt;=75,V1473&lt;175,W1473&gt;=65,W1473&lt;110),0.15,0)+IF(AND(V1473&gt;=75,V1473&lt;175,W1473&gt;=110),0.12,0)+IF(AND(V1473&gt;=175,W1473&lt;55),0.2,0)+IF(AND(V1473&gt;=175,W1473&gt;=55,W1473&lt;95),0.15,0)+IF(AND(V1473&gt;=175,W1473&gt;=95),0.12,0),
IF(AF1473="DoEVku",IF(AND(V1473&lt;20,W1473&lt;55),0.23,0)+IF(AND(V1473&lt;20,W1473&gt;=55,W1473&lt;105),0.2,0)+IF(AND(V1473&lt;20,W1473&gt;=105),0.17,0)+IF(AND(V1473&gt;=20,V1473&lt;40,W1473&lt;45),0.23,0)+IF(AND(V1473&gt;=20,V1473&lt;40,W1473&gt;=45,W1473&lt;95),0.2,0)+IF(AND(V1473&gt;=20,V1473&lt;40,W1473&gt;=95,W1473&lt;=150),0.17,0)+IF(AND(V1473&gt;=20,V1473&lt;40,W1473&gt;=150),0.12,0)+IF(AND(V1473&gt;=40,V1473&lt;75,W1473&lt;35),0.23,0)+IF(AND(V1473&gt;=40,V1473&lt;75,W1473&gt;=35,W1473&lt;75),0.2,0)+IF(AND(V1473&gt;=40,V1473&lt;75,W1473&gt;=75,W1473&lt;120),0.17,0)+IF(AND(V1473&gt;=40,V1473&lt;75,W1473&gt;=120),0.12,0)+IF(AND(V1473&gt;=75,V1473&lt;175,W1473&lt;35),0.23,0)+IF(AND(V1473&gt;=75,V1473&lt;=175,W1473&gt;=35,W1473&lt;65),0.2,0)+IF(AND(V1473&gt;=75,V1473&lt;=175,W1473&gt;=65,W1473&lt;110),0.17,0)+IF(AND(V1473&gt;=75,V1473&lt;=175,W1473&gt;=110),0.12,0)+IF(AND(V1473&gt;175,W1473&lt;25),0.23,0)+IF(AND(V1473&gt;175,W1473&gt;=25,W1473&lt;55),0.2,0)+IF(AND(V1473&gt;175,W1473&gt;=55,W1473&lt;95),0.17,0)+IF(AND(V1473&gt;175,W1473&gt;=95),0.12,0),
IF(AF1473="DoEVs1",IF(AND(V1473&lt;20,W1473&lt;55),0.3,0)+IF(AND(V1473&lt;20,W1473&gt;=55,W1473&lt;105),0.23,0)+IF(AND(V1473&lt;20,W1473&gt;=105),0.17,0)+IF(AND(V1473&gt;=20,V1473&lt;40,W1473&lt;45),0.3,0)+IF(AND(V1473&gt;=20,V1473&lt;40,W1473&gt;=45,W1473&lt;95),0.23,0)+IF(AND(V1473&gt;=20,V1473&lt;40,W1473&gt;=95,W1473&lt;=150),0.17,0)+IF(AND(V1473&gt;=20,V1473&lt;40,W1473&gt;=150),0.12,0)+IF(AND(V1473&gt;=40,V1473&lt;75,W1473&lt;35),0.3,0)+IF(AND(V1473&gt;=40,V1473&lt;75,W1473&gt;=35,W1473&lt;75),0.23,0)+IF(AND(V1473&gt;=40,V1473&lt;75,W1473&gt;=75,W1473&lt;120),0.17,0)+IF(AND(V1473&gt;=40,V1473&lt;75,W1473&gt;=120),0.12,0)+IF(AND(V1473&gt;=75,V1473&lt;175,W1473&lt;35),0.3,0)+IF(AND(V1473&gt;=75,V1473&lt;=175,W1473&gt;=35,W1473&lt;65),0.23,0)+IF(AND(V1473&gt;=75,V1473&lt;=175,W1473&gt;=65,W1473&lt;110),0.17,0)+IF(AND(V1473&gt;=75,V1473&lt;=175,W1473&gt;=110),0.12,0)+IF(AND(V1473&gt;175,W1473&lt;25),0.3,0)+IF(AND(V1473&gt;175,W1473&gt;=25,W1473&lt;55),0.23,0)+IF(AND(V1473&gt;175,W1473&gt;=55,W1473&lt;95),0.17,0)+IF(AND(V1473&gt;175,W1473&gt;=95),0.12,0),
IF(AF1473="DoEVsu",IF(AND(V1473&lt;20,W1473&lt;55),0.3,0)+IF(AND(V1473&lt;20,W1473&gt;=55,W1473&lt;105),0.23,0)+IF(AND(V1473&lt;20,W1473&gt;=105),0.17,0)+IF(AND(V1473&gt;=20,V1473&lt;40,W1473&lt;45),0.3,0)+IF(AND(V1473&gt;=20,V1473&lt;40,W1473&gt;=45,W1473&lt;95),0.23,0)+IF(AND(V1473&gt;=20,V1473&lt;40,W1473&gt;=95,W1473&lt;=250),0.17,0)+IF(AND(V1473&gt;=20,V1473&lt;40,W1473&gt;=250),0.12,0)+IF(AND(V1473&gt;=40,V1473&lt;75,W1473&lt;35),0.3,0)+IF(AND(V1473&gt;=40,V1473&lt;75,W1473&gt;=35,W1473&lt;75),0.23,0)+IF(AND(V1473&gt;=40,V1473&lt;75,W1473&gt;=75,W1473&lt;120),0.17,0)+IF(AND(V1473&gt;=40,V1473&lt;75,W1473&gt;=120),0.12,0)+IF(AND(V1473&gt;=75,V1473&lt;175,W1473&lt;35),0.3,0)+IF(AND(V1473&gt;=75,V1473&lt;=175,W1473&gt;=35,W1473&lt;65),0.23,0)+IF(AND(V1473&gt;=75,V1473&lt;=175,W1473&gt;=65,W1473&lt;110),0.17,0)+IF(AND(V1473&gt;=75,V1473&lt;=175,W1473&gt;=110),0.12,0)+IF(AND(V1473&gt;175,W1473&lt;25),0.3,0)+IF(AND(V1473&gt;175,W1473&gt;=25,W1473&lt;55),0.23,0)+IF(AND(V1473&gt;175,W1473&gt;=55,W1473&lt;95),0.17,0)+IF(AND(V1473&gt;175,W1473&gt;=95),0.12,0),
IF(AF1473="DoEVni",IF(AND(V1473&lt;20,W1473&lt;55),0.3,0)+IF(AND(V1473&lt;20,W1473&gt;=55,W1473&lt;105),0.23,0)+IF(AND(V1473&lt;20,W1473&gt;=105),0.17,0)+IF(AND(V1473&gt;=20,V1473&lt;40,W1473&lt;45),0.3,0)+IF(AND(V1473&gt;=20,V1473&lt;40,W1473&gt;=45,W1473&lt;95),0.23,0)+IF(AND(V1473&gt;=20,V1473&lt;40,W1473&gt;=95,W1473&lt;=200),0.17,0)+IF(AND(V1473&gt;=20,V1473&lt;40,W1473&gt;=200),0.12,0)+IF(AND(V1473&gt;=40,V1473&lt;75,W1473&lt;35),0.3,0)+IF(AND(V1473&gt;=40,V1473&lt;75,W1473&gt;=35,W1473&lt;75),0.23,0)+IF(AND(V1473&gt;=40,V1473&lt;75,W1473&gt;=75,W1473&lt;120),0.17,0)+IF(AND(V1473&gt;=40,V1473&lt;75,W1473&gt;=120),0.12,0)+IF(AND(V1473&gt;=75,V1473&lt;175,W1473&lt;35),0.3,0)+IF(AND(V1473&gt;=75,V1473&lt;=175,W1473&gt;=35,W1473&lt;65),0.23,0)+IF(AND(V1473&gt;=75,V1473&lt;=175,W1473&gt;=65,W1473&lt;110),0.17,0)+IF(AND(V1473&gt;=75,V1473&lt;=175,W1473&gt;=110),0.12,0)+IF(AND(V1473&gt;175,W1473&lt;25),0.3,0)+IF(AND(V1473&gt;175,W1473&gt;=25,W1473&lt;55),0.23,0)+IF(AND(V1473&gt;175,W1473&gt;=55,W1473&lt;95),0.17,0)+IF(AND(V1473&gt;175,W1473&gt;=95),0.12,0),
IF(AF1473="DoEVLo",IF(AND(V1473&lt;20,W1473&lt;55),0.25,0)+IF(AND(V1473&lt;20,W1473&gt;=55,W1473&lt;105),0.2,0)+IF(AND(V1473&lt;20,W1473&gt;=105),0.15,0)+IF(AND(V1473&gt;=20,V1473&lt;40,W1473&lt;45),0.25,0)+IF(AND(V1473&gt;=20,V1473&lt;40,W1473&gt;=45,W1473&lt;95),0.2,0)+IF(AND(V1473&gt;=20,V1473&lt;40,W1473&gt;=95),0.15,0)+IF(AND(V1473&gt;=40,V1473&lt;75,W1473&lt;35),0.25,0)+IF(AND(V1473&gt;=40,V1473&lt;75,W1473&gt;=35,W1473&lt;75),0.2,0)+IF(AND(V1473&gt;=40,V1473&lt;75,W1473&gt;=75,W1473&lt;120),0.15,0)+IF(AND(V1473&gt;=40,V1473&lt;75,W1473&gt;=120),0.1,0)+IF(AND(V1473&gt;=75,V1473&lt;175,W1473&lt;35),0.25,0)+IF(AND(V1473&gt;=75,V1473&lt;=175,W1473&gt;=35,W1473&lt;65),0.2,0)+IF(AND(V1473&gt;=75,V1473&lt;=175,W1473&gt;=65,W1473&lt;110),0.15,0)+IF(AND(V1473&gt;=75,V1473&lt;=175,W1473&gt;=110),0.1,0)+IF(AND(V1473&gt;175,W1473&lt;25),0.25,0)+IF(AND(V1473&gt;175,W1473&gt;=25,W1473&lt;55),0.2,0)+IF(AND(V1473&gt;175,W1473&gt;=55,W1473&lt;95),0.15,0)+IF(AND(V1473&gt;175,W1473&gt;=95),0.1,0))))))))))))))))))))</f>
        <v>0.15</v>
      </c>
      <c r="Y1473" s="30">
        <f>IF(AG1473="None",0,IF(AG1473="Fix5",0.05, IF(AG1473="Fix6.25",0.0625,IF(AG1473="Fix3.75",0.0375, IF(AG1473="Fix11",0.11, IF(AG1473="Fix10",0.1,IF(AG1473="Fix3",0.03,0)))))))</f>
        <v>0.05</v>
      </c>
      <c r="Z1473" s="59">
        <f>IF(AND(AD1473="EUR", AE1473 = "USD"), T1473*U1473-AA1473-AB1473, T1473-AA1473-AB1473)</f>
        <v>-2924</v>
      </c>
      <c r="AA1473" s="60">
        <f>IF(AND(AD1473="EUR", F1473="Without EV deal", AE1473="USD"), (T1473*X1473)*U1473,
IF(AND(AD1473="EUR", F1473="Without EV deal", AE1473="EUR"), (T1473*X1473),
IF(AND(AD1473="EUR",AE1473="USD"), (T1473*X1473)*U1473,
T1473*X1473)))</f>
        <v>-548.25</v>
      </c>
      <c r="AB1473" s="36">
        <f>IF(AND(AD1473="EUR", F1473="Without EV deal", AE1473="USD"), (T1473*Y1473)*U1473,
IF(AND(AD1473="EUR", F1473="Without EV deal", AE1473="EUR"), (T1473*Y1473),
IF(AND(AD1473="EUR",AE1473="USD"), (T1473*Y1473)*U1473,
T1473*Y1473)))</f>
        <v>-182.75</v>
      </c>
      <c r="AC1473" s="37" t="b">
        <v>0</v>
      </c>
      <c r="AD1473" s="37" t="str">
        <f>IF(OR(H1473="€0.25 Flash",
H1473="€0.25(nitro) new",
H1473="€1",
H1473="€2",
H1473="€2 (bf 01.08)",
H1473="€5",
H1473="€5 (1M)",
H1473="€5 (bf 01.08)",
H1473="€5 (bf 05.05)",
H1473="€5 Nitro",
H1473="€5(wx) new",
H1473="€10",
H1473="€10 (1M)",
H1473="€10 (bf 01.08)",
H1473="€10 (bf 05.05)",
H1473="€10 (MP)",
H1473="€10 (old)",
H1473="€10 Nitro (bf 05.05)",
H1473="€10 Nitro (old)",
H1473="€10(wx) new",
H1473="€20",
H1473="€25",
H1473="€25 (bf 01.08)",
H1473="€25 (bf 05.05)",
H1473="€25 (MP)",
H1473="€25 (old)",
H1473="€25 Nitro",
H1473="€25 Nitro (bf 01.08)",
H1473="€25 Nitro (bf 05.05)",
H1473="€25(nitro) new",
H1473="€25(wx) new",
H1473="€50",
H1473="€50 (bf 01.08)",
H1473="€50 (bf 05.05)",
H1473="€50 (old)",
H1473="€50 Nitro",
H1473="€50 Nitro (bf 01.08)",
H1473="€50 Nitro (bf 05.05)",
H1473="€50(wx) new",
H1473="€100",
H1473="€100 (old)",
H1473="€100 Nitro",
H1473="€100 Nitro (old)",
H1473="€200",
H1473="€250",
H1473="€250 Nitro",
H1473="€500",
H1473="€500 Nitro"),"EUR", "USD")</f>
        <v>EUR</v>
      </c>
      <c r="AE1473" s="37" t="s">
        <v>50</v>
      </c>
      <c r="AF1473" s="37" t="str">
        <f t="array" ref="AF1473">INDEX('Deal Info'!D:D, MATCH(A1473,'Deal Info'!A:A, 0))</f>
        <v>Fix15</v>
      </c>
      <c r="AG1473" s="38" t="str">
        <f t="array" ref="AG1473">INDEX('Deal Info'!G:G, MATCH(A1473,'Deal Info'!A:A, 0))</f>
        <v>Fix5</v>
      </c>
    </row>
    <row r="1474" spans="1:33" ht="14.25" x14ac:dyDescent="0.2">
      <c r="A1474" s="18" t="str">
        <f t="array" ref="A1474">IF(G1474='Room Info'!$B$1, INDEX('Room Info'!$A$2:$A2446, MATCH(B1474,'Room Info'!$B$2:$B2446, 0)),IF(G1474='Room Info'!$C$1, INDEX('Room Info'!$A$2:$A2446, MATCH(B1474,'Room Info'!$C$2:$C2446, 0)),IF(G1474='Room Info'!$D$1, INDEX('Room Info'!$A$2:$A2446, MATCH(B1474,'Room Info'!$D$2:$D2446, 0)),IF(G1474='Room Info'!$E$1, INDEX('Room Info'!$A$2:$A2446, MATCH(B1474,'Room Info'!$E$2:$E2446, 0)),IF(G1474='Room Info'!$F$1, INDEX('Room Info'!$A$2:$A2446, MATCH(B1474,'Room Info'!$F$2:$F2446, 0)),IF(G1474='Room Info'!$H$1, INDEX('Room Info'!$A$2:$A2446, MATCH(B1474,'Room Info'!$H$2:$H2446, 0)),IF(G1474='Room Info'!$G$1, INDEX('Room Info'!$A$2:$A2446, MATCH(B1474,'Room Info'!$G$2:$G2446, 0)))))))))</f>
        <v>Lo4io</v>
      </c>
      <c r="B1474" s="130" t="s">
        <v>103</v>
      </c>
      <c r="C1474" s="86">
        <v>44947</v>
      </c>
      <c r="D1474" s="87">
        <v>44977</v>
      </c>
      <c r="E1474" s="47">
        <v>44958</v>
      </c>
      <c r="F1474" s="22" t="s">
        <v>34</v>
      </c>
      <c r="G1474" s="130" t="s">
        <v>61</v>
      </c>
      <c r="H1474" s="81" t="s">
        <v>136</v>
      </c>
      <c r="I1474" s="81" t="s">
        <v>101</v>
      </c>
      <c r="J1474" s="154">
        <v>25</v>
      </c>
      <c r="K1474" s="88">
        <v>2412</v>
      </c>
      <c r="L1474" s="89">
        <v>-50</v>
      </c>
      <c r="M1474" s="44"/>
      <c r="N1474" s="28">
        <f>K1474*J1474</f>
        <v>60300</v>
      </c>
      <c r="O1474" s="130">
        <v>100650</v>
      </c>
      <c r="P1474" s="29">
        <v>41.728855719999999</v>
      </c>
      <c r="Q1474" s="78"/>
      <c r="R1474" s="31">
        <f>M1474+Q1474</f>
        <v>0</v>
      </c>
      <c r="S1474" s="119"/>
      <c r="T1474" s="32">
        <f>IF(AND(AD1474="EUR", F1474="Without EV deal"), R1474 + L1474,
IF(AND(AD1474="USD", F1474="Without EV deal"), R1474 + L1474,
IF(AND(AD1474="EUR", F1474="Steel Phoenix"), R1474 + S1474/U1474,
R1474 + S1474)))</f>
        <v>0</v>
      </c>
      <c r="U1474" s="33">
        <v>1.0669999999999999</v>
      </c>
      <c r="V1474" s="58">
        <v>37.325261419922953</v>
      </c>
      <c r="W1474" s="64">
        <v>65</v>
      </c>
      <c r="X1474" s="30">
        <f>IF(AF1474="DoEV",IF(AND(V1474&lt;20,W1474&lt;55),0.3,0)+IF(AND(V1474&lt;20,W1474&gt;=55,W1474&lt;105),0.23,0)+IF(AND(V1474&lt;20,W1474&gt;=105),0.17,0)+IF(AND(V1474&gt;=20,V1474&lt;40,W1474&lt;45),0.3,0)+IF(AND(V1474&gt;=20,V1474&lt;40,W1474&gt;=45,W1474&lt;95),0.23,0)+IF(AND(V1474&gt;=20,V1474&lt;40,W1474&gt;=95),0.17,0)+IF(AND(V1474&gt;=40,V1474&lt;75,W1474&lt;35),0.3,0)+IF(AND(V1474&gt;=40,V1474&lt;75,W1474&gt;=35,W1474&lt;75),0.23,0)+IF(AND(V1474&gt;=40,V1474&lt;75,W1474&gt;=75,W1474&lt;120),0.17,0)+IF(AND(V1474&gt;=40,V1474&lt;75,W1474&gt;=120),0.12,0)+IF(AND(V1474&gt;=75,V1474&lt;175,W1474&lt;35),0.3,0)+IF(AND(V1474&gt;=75,V1474&lt;=175,W1474&gt;=35,W1474&lt;65),0.23,0)+IF(AND(V1474&gt;=75,V1474&lt;=175,W1474&gt;=65,W1474&lt;110),0.17,0)+IF(AND(V1474&gt;=75,V1474&lt;=175,W1474&gt;=110),0.12,0)+IF(AND(V1474&gt;175,W1474&lt;25),0.3,0)+IF(AND(V1474&gt;175,W1474&gt;=25,W1474&lt;55),0.23,0)+IF(AND(V1474&gt;175,W1474&gt;=55,W1474&lt;95),0.17,0)+IF(AND(V1474&gt;175,W1474&gt;=95),0.12,0),
IF(AF1474="Fix15",0.15,
IF(AF1474="Fix5",0.05,
IF(AF1474="Fix18.75",0.1875,
IF(AF1474="Fix11.25",0.1125,
IF(AF1474="Fix10",0.1,
IF(AF1474="Fix9",0.09,
IF(AF1474="Fix12",0.12,
IF(AF1474="Fix19",0.19,
IF(AF1474="DoEV2017",IF(AND(W1474&lt;74),0.2,0)+IF(AND(W1474&gt;=74),0.17,0),
IF(AF1474="SF",IF(AND(V1474&lt;20,W1474&lt;89),0.3,0)+IF(AND(V1474&lt;20,W1474&gt;=89),0.25,0)+IF(AND(V1474&gt;=20,V1474&lt;40,W1474&lt;74),0.3,0)+IF(AND(V1474&gt;=20,V1474&lt;40,W1474&gt;=75),0.22,0)+IF(AND(V1474&gt;=40,V1474&lt;75,W1474&lt;75),0.26,0)+IF(AND(V1474&gt;=40,V1474&lt;75,W1474&gt;=75),0.22,0)+IF(V1474&gt;=75,0.22,0),
IF(AF1474="DoEVold",IF(AND(V1474&lt;40,W1474&lt;35),0.35,0)+IF(AND(V1474&lt;40,W1474&gt;=35,W1474&lt;75),0.25,0)+IF(AND(V1474&lt;40,W1474&gt;=75),0.17,0)+IF(AND(V1474&gt;=40,V1474&lt;75,W1474&lt;25),0.35,0)+IF(AND(V1474&gt;=40,V1474&lt;75,W1474&gt;=25,W1474&lt;65),0.25,0)+IF(AND(V1474&gt;=40,V1474&lt;75,W1474&gt;=65,W1474&lt;100),0.17,0)+IF(AND(V1474&gt;=40,V1474&lt;75,W1474&gt;=100),0.1,0)+IF(AND(V1474&gt;=75,W1474&lt;25),0.35,0)+IF(AND(V1474&gt;=75,W1474&gt;=25,W1474&lt;60),0.25,0)+IF(AND(V1474&gt;=75,W1474&gt;=60,W1474&lt;95),0.17,0)+IF(AND(V1474&gt;=75,W1474&gt;=95),0.1,0),
IF(AF1474="DoEVold15",IF(AND(V1474&lt;=40,W1474&lt;35),0.35,0)+IF(AND(V1474&lt;=40,W1474&gt;=35,W1474&lt;75),0.25,0)+IF(AND(V1474&lt;=40,W1474&gt;=75,W1474&lt;120),0.17,0)+IF(AND(V1474&lt;=40,W1474&gt;=120),0.15,0)+IF(AND(V1474&gt;40,V1474&lt;75,W1474&lt;25),0.35,0)+IF(AND(V1474&gt;=40,V1474&lt;75,W1474&gt;=25,W1474&lt;65),0.25,0)+IF(AND(V1474&gt;=40,V1474&lt;75,W1474&gt;=65,W1474&lt;100),0.17,0)+IF(AND(V1474&gt;=40,V1474&lt;75,W1474&gt;=100),0.1,0)+IF(AND(V1474&gt;=75,W1474&lt;25),0.35,0)+IF(AND(V1474&gt;=75,W1474&gt;=25,W1474&lt;60),0.25,0)+IF(AND(V1474&gt;=75,W1474&gt;=60,W1474&lt;95),0.17,0)+IF(AND(V1474&gt;=75,W1474&gt;=95),0.1,0),
IF(AF1474="DoEVba",IF(AND(V1474&lt;20,W1474&lt;105),0.2,0)+IF(AND(V1474&lt;20,W1474&gt;=105),0.15,0)+IF(AND(V1474&gt;=20,V1474&lt;40,W1474&lt;95),0.2,0)+IF(AND(V1474&gt;=20,V1474&lt;40,W1474&gt;=95,W1474&lt;150),0.15,0)+IF(AND(V1474&gt;=20,V1474&lt;40,W1474&gt;=150),0.12,0)+IF(AND(V1474&gt;=40,V1474&lt;75,W1474&lt;75),0.2,0)+IF(AND(V1474&gt;=40,V1474&lt;75,W1474&gt;=75,W1474&lt;120),0.15,0)+IF(AND(V1474&gt;=40,V1474&lt;75,W1474&gt;=120),0.12,0)+IF(AND(V1474&gt;=75,V1474&lt;175,W1474&lt;65),0.2,0)+IF(AND(V1474&gt;=75,V1474&lt;175,W1474&gt;=65,W1474&lt;110),0.15,0)+IF(AND(V1474&gt;=75,V1474&lt;175,W1474&gt;=110),0.12,0)+IF(AND(V1474&gt;=175,W1474&lt;55),0.2,0)+IF(AND(V1474&gt;=175,W1474&gt;=55,W1474&lt;95),0.15,0)+IF(AND(V1474&gt;=175,W1474&gt;=95),0.12,0),
IF(AF1474="DoEVku",IF(AND(V1474&lt;20,W1474&lt;55),0.23,0)+IF(AND(V1474&lt;20,W1474&gt;=55,W1474&lt;105),0.2,0)+IF(AND(V1474&lt;20,W1474&gt;=105),0.17,0)+IF(AND(V1474&gt;=20,V1474&lt;40,W1474&lt;45),0.23,0)+IF(AND(V1474&gt;=20,V1474&lt;40,W1474&gt;=45,W1474&lt;95),0.2,0)+IF(AND(V1474&gt;=20,V1474&lt;40,W1474&gt;=95,W1474&lt;=150),0.17,0)+IF(AND(V1474&gt;=20,V1474&lt;40,W1474&gt;=150),0.12,0)+IF(AND(V1474&gt;=40,V1474&lt;75,W1474&lt;35),0.23,0)+IF(AND(V1474&gt;=40,V1474&lt;75,W1474&gt;=35,W1474&lt;75),0.2,0)+IF(AND(V1474&gt;=40,V1474&lt;75,W1474&gt;=75,W1474&lt;120),0.17,0)+IF(AND(V1474&gt;=40,V1474&lt;75,W1474&gt;=120),0.12,0)+IF(AND(V1474&gt;=75,V1474&lt;175,W1474&lt;35),0.23,0)+IF(AND(V1474&gt;=75,V1474&lt;=175,W1474&gt;=35,W1474&lt;65),0.2,0)+IF(AND(V1474&gt;=75,V1474&lt;=175,W1474&gt;=65,W1474&lt;110),0.17,0)+IF(AND(V1474&gt;=75,V1474&lt;=175,W1474&gt;=110),0.12,0)+IF(AND(V1474&gt;175,W1474&lt;25),0.23,0)+IF(AND(V1474&gt;175,W1474&gt;=25,W1474&lt;55),0.2,0)+IF(AND(V1474&gt;175,W1474&gt;=55,W1474&lt;95),0.17,0)+IF(AND(V1474&gt;175,W1474&gt;=95),0.12,0),
IF(AF1474="DoEVs1",IF(AND(V1474&lt;20,W1474&lt;55),0.3,0)+IF(AND(V1474&lt;20,W1474&gt;=55,W1474&lt;105),0.23,0)+IF(AND(V1474&lt;20,W1474&gt;=105),0.17,0)+IF(AND(V1474&gt;=20,V1474&lt;40,W1474&lt;45),0.3,0)+IF(AND(V1474&gt;=20,V1474&lt;40,W1474&gt;=45,W1474&lt;95),0.23,0)+IF(AND(V1474&gt;=20,V1474&lt;40,W1474&gt;=95,W1474&lt;=150),0.17,0)+IF(AND(V1474&gt;=20,V1474&lt;40,W1474&gt;=150),0.12,0)+IF(AND(V1474&gt;=40,V1474&lt;75,W1474&lt;35),0.3,0)+IF(AND(V1474&gt;=40,V1474&lt;75,W1474&gt;=35,W1474&lt;75),0.23,0)+IF(AND(V1474&gt;=40,V1474&lt;75,W1474&gt;=75,W1474&lt;120),0.17,0)+IF(AND(V1474&gt;=40,V1474&lt;75,W1474&gt;=120),0.12,0)+IF(AND(V1474&gt;=75,V1474&lt;175,W1474&lt;35),0.3,0)+IF(AND(V1474&gt;=75,V1474&lt;=175,W1474&gt;=35,W1474&lt;65),0.23,0)+IF(AND(V1474&gt;=75,V1474&lt;=175,W1474&gt;=65,W1474&lt;110),0.17,0)+IF(AND(V1474&gt;=75,V1474&lt;=175,W1474&gt;=110),0.12,0)+IF(AND(V1474&gt;175,W1474&lt;25),0.3,0)+IF(AND(V1474&gt;175,W1474&gt;=25,W1474&lt;55),0.23,0)+IF(AND(V1474&gt;175,W1474&gt;=55,W1474&lt;95),0.17,0)+IF(AND(V1474&gt;175,W1474&gt;=95),0.12,0),
IF(AF1474="DoEVsu",IF(AND(V1474&lt;20,W1474&lt;55),0.3,0)+IF(AND(V1474&lt;20,W1474&gt;=55,W1474&lt;105),0.23,0)+IF(AND(V1474&lt;20,W1474&gt;=105),0.17,0)+IF(AND(V1474&gt;=20,V1474&lt;40,W1474&lt;45),0.3,0)+IF(AND(V1474&gt;=20,V1474&lt;40,W1474&gt;=45,W1474&lt;95),0.23,0)+IF(AND(V1474&gt;=20,V1474&lt;40,W1474&gt;=95,W1474&lt;=250),0.17,0)+IF(AND(V1474&gt;=20,V1474&lt;40,W1474&gt;=250),0.12,0)+IF(AND(V1474&gt;=40,V1474&lt;75,W1474&lt;35),0.3,0)+IF(AND(V1474&gt;=40,V1474&lt;75,W1474&gt;=35,W1474&lt;75),0.23,0)+IF(AND(V1474&gt;=40,V1474&lt;75,W1474&gt;=75,W1474&lt;120),0.17,0)+IF(AND(V1474&gt;=40,V1474&lt;75,W1474&gt;=120),0.12,0)+IF(AND(V1474&gt;=75,V1474&lt;175,W1474&lt;35),0.3,0)+IF(AND(V1474&gt;=75,V1474&lt;=175,W1474&gt;=35,W1474&lt;65),0.23,0)+IF(AND(V1474&gt;=75,V1474&lt;=175,W1474&gt;=65,W1474&lt;110),0.17,0)+IF(AND(V1474&gt;=75,V1474&lt;=175,W1474&gt;=110),0.12,0)+IF(AND(V1474&gt;175,W1474&lt;25),0.3,0)+IF(AND(V1474&gt;175,W1474&gt;=25,W1474&lt;55),0.23,0)+IF(AND(V1474&gt;175,W1474&gt;=55,W1474&lt;95),0.17,0)+IF(AND(V1474&gt;175,W1474&gt;=95),0.12,0),
IF(AF1474="DoEVni",IF(AND(V1474&lt;20,W1474&lt;55),0.3,0)+IF(AND(V1474&lt;20,W1474&gt;=55,W1474&lt;105),0.23,0)+IF(AND(V1474&lt;20,W1474&gt;=105),0.17,0)+IF(AND(V1474&gt;=20,V1474&lt;40,W1474&lt;45),0.3,0)+IF(AND(V1474&gt;=20,V1474&lt;40,W1474&gt;=45,W1474&lt;95),0.23,0)+IF(AND(V1474&gt;=20,V1474&lt;40,W1474&gt;=95,W1474&lt;=200),0.17,0)+IF(AND(V1474&gt;=20,V1474&lt;40,W1474&gt;=200),0.12,0)+IF(AND(V1474&gt;=40,V1474&lt;75,W1474&lt;35),0.3,0)+IF(AND(V1474&gt;=40,V1474&lt;75,W1474&gt;=35,W1474&lt;75),0.23,0)+IF(AND(V1474&gt;=40,V1474&lt;75,W1474&gt;=75,W1474&lt;120),0.17,0)+IF(AND(V1474&gt;=40,V1474&lt;75,W1474&gt;=120),0.12,0)+IF(AND(V1474&gt;=75,V1474&lt;175,W1474&lt;35),0.3,0)+IF(AND(V1474&gt;=75,V1474&lt;=175,W1474&gt;=35,W1474&lt;65),0.23,0)+IF(AND(V1474&gt;=75,V1474&lt;=175,W1474&gt;=65,W1474&lt;110),0.17,0)+IF(AND(V1474&gt;=75,V1474&lt;=175,W1474&gt;=110),0.12,0)+IF(AND(V1474&gt;175,W1474&lt;25),0.3,0)+IF(AND(V1474&gt;175,W1474&gt;=25,W1474&lt;55),0.23,0)+IF(AND(V1474&gt;175,W1474&gt;=55,W1474&lt;95),0.17,0)+IF(AND(V1474&gt;175,W1474&gt;=95),0.12,0),
IF(AF1474="DoEVLo",IF(AND(V1474&lt;20,W1474&lt;55),0.25,0)+IF(AND(V1474&lt;20,W1474&gt;=55,W1474&lt;105),0.2,0)+IF(AND(V1474&lt;20,W1474&gt;=105),0.15,0)+IF(AND(V1474&gt;=20,V1474&lt;40,W1474&lt;45),0.25,0)+IF(AND(V1474&gt;=20,V1474&lt;40,W1474&gt;=45,W1474&lt;95),0.2,0)+IF(AND(V1474&gt;=20,V1474&lt;40,W1474&gt;=95),0.15,0)+IF(AND(V1474&gt;=40,V1474&lt;75,W1474&lt;35),0.25,0)+IF(AND(V1474&gt;=40,V1474&lt;75,W1474&gt;=35,W1474&lt;75),0.2,0)+IF(AND(V1474&gt;=40,V1474&lt;75,W1474&gt;=75,W1474&lt;120),0.15,0)+IF(AND(V1474&gt;=40,V1474&lt;75,W1474&gt;=120),0.1,0)+IF(AND(V1474&gt;=75,V1474&lt;175,W1474&lt;35),0.25,0)+IF(AND(V1474&gt;=75,V1474&lt;=175,W1474&gt;=35,W1474&lt;65),0.2,0)+IF(AND(V1474&gt;=75,V1474&lt;=175,W1474&gt;=65,W1474&lt;110),0.15,0)+IF(AND(V1474&gt;=75,V1474&lt;=175,W1474&gt;=110),0.1,0)+IF(AND(V1474&gt;175,W1474&lt;25),0.25,0)+IF(AND(V1474&gt;175,W1474&gt;=25,W1474&lt;55),0.2,0)+IF(AND(V1474&gt;175,W1474&gt;=55,W1474&lt;95),0.15,0)+IF(AND(V1474&gt;175,W1474&gt;=95),0.1,0))))))))))))))))))))</f>
        <v>0.2</v>
      </c>
      <c r="Y1474" s="30">
        <f>IF(AG1474="None",0,IF(AG1474="Fix5",0.05, IF(AG1474="Fix6.25",0.0625,IF(AG1474="Fix3.75",0.0375, IF(AG1474="Fix11",0.11, IF(AG1474="Fix10",0.1,IF(AG1474="Fix3",0.03,0)))))))</f>
        <v>0</v>
      </c>
      <c r="Z1474" s="59">
        <f>IF(AND(AD1474="EUR", AE1474 = "USD"), T1474*U1474-AA1474-AB1474, T1474-AA1474-AB1474)</f>
        <v>0</v>
      </c>
      <c r="AA1474" s="60">
        <f>IF(AND(AD1474="EUR", F1474="Without EV deal", AE1474="USD"), (T1474*X1474)*U1474,
IF(AND(AD1474="EUR", F1474="Without EV deal", AE1474="EUR"), (T1474*X1474),
IF(AND(AD1474="EUR",AE1474="USD"), (T1474*X1474)*U1474,
T1474*X1474)))</f>
        <v>0</v>
      </c>
      <c r="AB1474" s="36">
        <f>IF(AND(AD1474="EUR", F1474="Without EV deal", AE1474="USD"), (T1474*Y1474)*U1474,
IF(AND(AD1474="EUR", F1474="Without EV deal", AE1474="EUR"), (T1474*Y1474),
IF(AND(AD1474="EUR",AE1474="USD"), (T1474*Y1474)*U1474,
T1474*Y1474)))</f>
        <v>0</v>
      </c>
      <c r="AC1474" s="37" t="b">
        <v>1</v>
      </c>
      <c r="AD1474" s="37" t="str">
        <f>IF(OR(H1474="€0.25 Flash",
H1474="€0.25(nitro) new",
H1474="€1",
H1474="€2",
H1474="€2 (bf 01.08)",
H1474="€5",
H1474="€5 (1M)",
H1474="€5 (bf 01.08)",
H1474="€5 (bf 05.05)",
H1474="€5 Nitro",
H1474="€5(wx) new",
H1474="€10",
H1474="€10 (1M)",
H1474="€10 (bf 01.08)",
H1474="€10 (bf 05.05)",
H1474="€10 (MP)",
H1474="€10 (old)",
H1474="€10 Nitro (bf 05.05)",
H1474="€10 Nitro (old)",
H1474="€10(wx) new",
H1474="€20",
H1474="€25",
H1474="€25 (bf 01.08)",
H1474="€25 (bf 05.05)",
H1474="€25 (MP)",
H1474="€25 (old)",
H1474="€25 Nitro",
H1474="€25 Nitro (bf 01.08)",
H1474="€25 Nitro (bf 05.05)",
H1474="€25(nitro) new",
H1474="€25(wx) new",
H1474="€50",
H1474="€50 (bf 01.08)",
H1474="€50 (bf 05.05)",
H1474="€50 (old)",
H1474="€50 Nitro",
H1474="€50 Nitro (bf 01.08)",
H1474="€50 Nitro (bf 05.05)",
H1474="€50(wx) new",
H1474="€100",
H1474="€100 (old)",
H1474="€100 Nitro",
H1474="€100 Nitro (old)",
H1474="€200",
H1474="€250",
H1474="€250 Nitro",
H1474="€500",
H1474="€500 Nitro"),"EUR", "USD")</f>
        <v>EUR</v>
      </c>
      <c r="AE1474" s="37" t="s">
        <v>38</v>
      </c>
      <c r="AF1474" s="37" t="str">
        <f t="array" ref="AF1474">INDEX('Deal Info'!D:D, MATCH(A1474,'Deal Info'!A:A, 0))</f>
        <v>DoEVLo</v>
      </c>
      <c r="AG1474" s="38" t="str">
        <f t="array" ref="AG1474">INDEX('Deal Info'!G:G, MATCH(A1474,'Deal Info'!A:A, 0))</f>
        <v>None</v>
      </c>
    </row>
    <row r="1475" spans="1:33" ht="14.25" x14ac:dyDescent="0.2">
      <c r="A1475" s="18" t="str">
        <f t="array" ref="A1475">IF(G1475='Room Info'!$B$1, INDEX('Room Info'!$A$2:$A2446, MATCH(B1475,'Room Info'!$B$2:$B2446, 0)),IF(G1475='Room Info'!$C$1, INDEX('Room Info'!$A$2:$A2446, MATCH(B1475,'Room Info'!$C$2:$C2446, 0)),IF(G1475='Room Info'!$D$1, INDEX('Room Info'!$A$2:$A2446, MATCH(B1475,'Room Info'!$D$2:$D2446, 0)),IF(G1475='Room Info'!$E$1, INDEX('Room Info'!$A$2:$A2446, MATCH(B1475,'Room Info'!$E$2:$E2446, 0)),IF(G1475='Room Info'!$F$1, INDEX('Room Info'!$A$2:$A2446, MATCH(B1475,'Room Info'!$F$2:$F2446, 0)),IF(G1475='Room Info'!$H$1, INDEX('Room Info'!$A$2:$A2446, MATCH(B1475,'Room Info'!$H$2:$H2446, 0)),IF(G1475='Room Info'!$G$1, INDEX('Room Info'!$A$2:$A2446, MATCH(B1475,'Room Info'!$G$2:$G2446, 0)))))))))</f>
        <v>Lo4io</v>
      </c>
      <c r="B1475" s="130" t="s">
        <v>103</v>
      </c>
      <c r="C1475" s="86">
        <v>44947</v>
      </c>
      <c r="D1475" s="87">
        <v>44977</v>
      </c>
      <c r="E1475" s="47">
        <v>44958</v>
      </c>
      <c r="F1475" s="22" t="s">
        <v>34</v>
      </c>
      <c r="G1475" s="130" t="s">
        <v>61</v>
      </c>
      <c r="H1475" s="81" t="s">
        <v>138</v>
      </c>
      <c r="I1475" s="81" t="s">
        <v>68</v>
      </c>
      <c r="J1475" s="154">
        <v>25</v>
      </c>
      <c r="K1475" s="88">
        <v>1602</v>
      </c>
      <c r="L1475" s="89">
        <v>-1400</v>
      </c>
      <c r="M1475" s="122">
        <v>696.25</v>
      </c>
      <c r="N1475" s="28">
        <f>K1475*J1475</f>
        <v>40050</v>
      </c>
      <c r="O1475" s="130">
        <v>34756</v>
      </c>
      <c r="P1475" s="29">
        <v>21.69538077</v>
      </c>
      <c r="Q1475" s="78"/>
      <c r="R1475" s="31">
        <f>M1475+Q1475</f>
        <v>696.25</v>
      </c>
      <c r="S1475" s="119"/>
      <c r="T1475" s="32">
        <f>IF(AND(AD1475="EUR", F1475="Without EV deal"), R1475 + L1475,
IF(AND(AD1475="USD", F1475="Without EV deal"), R1475 + L1475,
IF(AND(AD1475="EUR", F1475="Steel Phoenix"), R1475 + S1475/U1475,
R1475 + S1475)))</f>
        <v>696.25</v>
      </c>
      <c r="U1475" s="33">
        <v>1.0669999999999999</v>
      </c>
      <c r="V1475" s="58">
        <v>37.325261419922953</v>
      </c>
      <c r="W1475" s="64">
        <v>65</v>
      </c>
      <c r="X1475" s="30">
        <f>IF(AF1475="DoEV",IF(AND(V1475&lt;20,W1475&lt;55),0.3,0)+IF(AND(V1475&lt;20,W1475&gt;=55,W1475&lt;105),0.23,0)+IF(AND(V1475&lt;20,W1475&gt;=105),0.17,0)+IF(AND(V1475&gt;=20,V1475&lt;40,W1475&lt;45),0.3,0)+IF(AND(V1475&gt;=20,V1475&lt;40,W1475&gt;=45,W1475&lt;95),0.23,0)+IF(AND(V1475&gt;=20,V1475&lt;40,W1475&gt;=95),0.17,0)+IF(AND(V1475&gt;=40,V1475&lt;75,W1475&lt;35),0.3,0)+IF(AND(V1475&gt;=40,V1475&lt;75,W1475&gt;=35,W1475&lt;75),0.23,0)+IF(AND(V1475&gt;=40,V1475&lt;75,W1475&gt;=75,W1475&lt;120),0.17,0)+IF(AND(V1475&gt;=40,V1475&lt;75,W1475&gt;=120),0.12,0)+IF(AND(V1475&gt;=75,V1475&lt;175,W1475&lt;35),0.3,0)+IF(AND(V1475&gt;=75,V1475&lt;=175,W1475&gt;=35,W1475&lt;65),0.23,0)+IF(AND(V1475&gt;=75,V1475&lt;=175,W1475&gt;=65,W1475&lt;110),0.17,0)+IF(AND(V1475&gt;=75,V1475&lt;=175,W1475&gt;=110),0.12,0)+IF(AND(V1475&gt;175,W1475&lt;25),0.3,0)+IF(AND(V1475&gt;175,W1475&gt;=25,W1475&lt;55),0.23,0)+IF(AND(V1475&gt;175,W1475&gt;=55,W1475&lt;95),0.17,0)+IF(AND(V1475&gt;175,W1475&gt;=95),0.12,0),
IF(AF1475="Fix15",0.15,
IF(AF1475="Fix5",0.05,
IF(AF1475="Fix18.75",0.1875,
IF(AF1475="Fix11.25",0.1125,
IF(AF1475="Fix10",0.1,
IF(AF1475="Fix9",0.09,
IF(AF1475="Fix12",0.12,
IF(AF1475="Fix19",0.19,
IF(AF1475="DoEV2017",IF(AND(W1475&lt;74),0.2,0)+IF(AND(W1475&gt;=74),0.17,0),
IF(AF1475="SF",IF(AND(V1475&lt;20,W1475&lt;89),0.3,0)+IF(AND(V1475&lt;20,W1475&gt;=89),0.25,0)+IF(AND(V1475&gt;=20,V1475&lt;40,W1475&lt;74),0.3,0)+IF(AND(V1475&gt;=20,V1475&lt;40,W1475&gt;=75),0.22,0)+IF(AND(V1475&gt;=40,V1475&lt;75,W1475&lt;75),0.26,0)+IF(AND(V1475&gt;=40,V1475&lt;75,W1475&gt;=75),0.22,0)+IF(V1475&gt;=75,0.22,0),
IF(AF1475="DoEVold",IF(AND(V1475&lt;40,W1475&lt;35),0.35,0)+IF(AND(V1475&lt;40,W1475&gt;=35,W1475&lt;75),0.25,0)+IF(AND(V1475&lt;40,W1475&gt;=75),0.17,0)+IF(AND(V1475&gt;=40,V1475&lt;75,W1475&lt;25),0.35,0)+IF(AND(V1475&gt;=40,V1475&lt;75,W1475&gt;=25,W1475&lt;65),0.25,0)+IF(AND(V1475&gt;=40,V1475&lt;75,W1475&gt;=65,W1475&lt;100),0.17,0)+IF(AND(V1475&gt;=40,V1475&lt;75,W1475&gt;=100),0.1,0)+IF(AND(V1475&gt;=75,W1475&lt;25),0.35,0)+IF(AND(V1475&gt;=75,W1475&gt;=25,W1475&lt;60),0.25,0)+IF(AND(V1475&gt;=75,W1475&gt;=60,W1475&lt;95),0.17,0)+IF(AND(V1475&gt;=75,W1475&gt;=95),0.1,0),
IF(AF1475="DoEVold15",IF(AND(V1475&lt;=40,W1475&lt;35),0.35,0)+IF(AND(V1475&lt;=40,W1475&gt;=35,W1475&lt;75),0.25,0)+IF(AND(V1475&lt;=40,W1475&gt;=75,W1475&lt;120),0.17,0)+IF(AND(V1475&lt;=40,W1475&gt;=120),0.15,0)+IF(AND(V1475&gt;40,V1475&lt;75,W1475&lt;25),0.35,0)+IF(AND(V1475&gt;=40,V1475&lt;75,W1475&gt;=25,W1475&lt;65),0.25,0)+IF(AND(V1475&gt;=40,V1475&lt;75,W1475&gt;=65,W1475&lt;100),0.17,0)+IF(AND(V1475&gt;=40,V1475&lt;75,W1475&gt;=100),0.1,0)+IF(AND(V1475&gt;=75,W1475&lt;25),0.35,0)+IF(AND(V1475&gt;=75,W1475&gt;=25,W1475&lt;60),0.25,0)+IF(AND(V1475&gt;=75,W1475&gt;=60,W1475&lt;95),0.17,0)+IF(AND(V1475&gt;=75,W1475&gt;=95),0.1,0),
IF(AF1475="DoEVba",IF(AND(V1475&lt;20,W1475&lt;105),0.2,0)+IF(AND(V1475&lt;20,W1475&gt;=105),0.15,0)+IF(AND(V1475&gt;=20,V1475&lt;40,W1475&lt;95),0.2,0)+IF(AND(V1475&gt;=20,V1475&lt;40,W1475&gt;=95,W1475&lt;150),0.15,0)+IF(AND(V1475&gt;=20,V1475&lt;40,W1475&gt;=150),0.12,0)+IF(AND(V1475&gt;=40,V1475&lt;75,W1475&lt;75),0.2,0)+IF(AND(V1475&gt;=40,V1475&lt;75,W1475&gt;=75,W1475&lt;120),0.15,0)+IF(AND(V1475&gt;=40,V1475&lt;75,W1475&gt;=120),0.12,0)+IF(AND(V1475&gt;=75,V1475&lt;175,W1475&lt;65),0.2,0)+IF(AND(V1475&gt;=75,V1475&lt;175,W1475&gt;=65,W1475&lt;110),0.15,0)+IF(AND(V1475&gt;=75,V1475&lt;175,W1475&gt;=110),0.12,0)+IF(AND(V1475&gt;=175,W1475&lt;55),0.2,0)+IF(AND(V1475&gt;=175,W1475&gt;=55,W1475&lt;95),0.15,0)+IF(AND(V1475&gt;=175,W1475&gt;=95),0.12,0),
IF(AF1475="DoEVku",IF(AND(V1475&lt;20,W1475&lt;55),0.23,0)+IF(AND(V1475&lt;20,W1475&gt;=55,W1475&lt;105),0.2,0)+IF(AND(V1475&lt;20,W1475&gt;=105),0.17,0)+IF(AND(V1475&gt;=20,V1475&lt;40,W1475&lt;45),0.23,0)+IF(AND(V1475&gt;=20,V1475&lt;40,W1475&gt;=45,W1475&lt;95),0.2,0)+IF(AND(V1475&gt;=20,V1475&lt;40,W1475&gt;=95,W1475&lt;=150),0.17,0)+IF(AND(V1475&gt;=20,V1475&lt;40,W1475&gt;=150),0.12,0)+IF(AND(V1475&gt;=40,V1475&lt;75,W1475&lt;35),0.23,0)+IF(AND(V1475&gt;=40,V1475&lt;75,W1475&gt;=35,W1475&lt;75),0.2,0)+IF(AND(V1475&gt;=40,V1475&lt;75,W1475&gt;=75,W1475&lt;120),0.17,0)+IF(AND(V1475&gt;=40,V1475&lt;75,W1475&gt;=120),0.12,0)+IF(AND(V1475&gt;=75,V1475&lt;175,W1475&lt;35),0.23,0)+IF(AND(V1475&gt;=75,V1475&lt;=175,W1475&gt;=35,W1475&lt;65),0.2,0)+IF(AND(V1475&gt;=75,V1475&lt;=175,W1475&gt;=65,W1475&lt;110),0.17,0)+IF(AND(V1475&gt;=75,V1475&lt;=175,W1475&gt;=110),0.12,0)+IF(AND(V1475&gt;175,W1475&lt;25),0.23,0)+IF(AND(V1475&gt;175,W1475&gt;=25,W1475&lt;55),0.2,0)+IF(AND(V1475&gt;175,W1475&gt;=55,W1475&lt;95),0.17,0)+IF(AND(V1475&gt;175,W1475&gt;=95),0.12,0),
IF(AF1475="DoEVs1",IF(AND(V1475&lt;20,W1475&lt;55),0.3,0)+IF(AND(V1475&lt;20,W1475&gt;=55,W1475&lt;105),0.23,0)+IF(AND(V1475&lt;20,W1475&gt;=105),0.17,0)+IF(AND(V1475&gt;=20,V1475&lt;40,W1475&lt;45),0.3,0)+IF(AND(V1475&gt;=20,V1475&lt;40,W1475&gt;=45,W1475&lt;95),0.23,0)+IF(AND(V1475&gt;=20,V1475&lt;40,W1475&gt;=95,W1475&lt;=150),0.17,0)+IF(AND(V1475&gt;=20,V1475&lt;40,W1475&gt;=150),0.12,0)+IF(AND(V1475&gt;=40,V1475&lt;75,W1475&lt;35),0.3,0)+IF(AND(V1475&gt;=40,V1475&lt;75,W1475&gt;=35,W1475&lt;75),0.23,0)+IF(AND(V1475&gt;=40,V1475&lt;75,W1475&gt;=75,W1475&lt;120),0.17,0)+IF(AND(V1475&gt;=40,V1475&lt;75,W1475&gt;=120),0.12,0)+IF(AND(V1475&gt;=75,V1475&lt;175,W1475&lt;35),0.3,0)+IF(AND(V1475&gt;=75,V1475&lt;=175,W1475&gt;=35,W1475&lt;65),0.23,0)+IF(AND(V1475&gt;=75,V1475&lt;=175,W1475&gt;=65,W1475&lt;110),0.17,0)+IF(AND(V1475&gt;=75,V1475&lt;=175,W1475&gt;=110),0.12,0)+IF(AND(V1475&gt;175,W1475&lt;25),0.3,0)+IF(AND(V1475&gt;175,W1475&gt;=25,W1475&lt;55),0.23,0)+IF(AND(V1475&gt;175,W1475&gt;=55,W1475&lt;95),0.17,0)+IF(AND(V1475&gt;175,W1475&gt;=95),0.12,0),
IF(AF1475="DoEVsu",IF(AND(V1475&lt;20,W1475&lt;55),0.3,0)+IF(AND(V1475&lt;20,W1475&gt;=55,W1475&lt;105),0.23,0)+IF(AND(V1475&lt;20,W1475&gt;=105),0.17,0)+IF(AND(V1475&gt;=20,V1475&lt;40,W1475&lt;45),0.3,0)+IF(AND(V1475&gt;=20,V1475&lt;40,W1475&gt;=45,W1475&lt;95),0.23,0)+IF(AND(V1475&gt;=20,V1475&lt;40,W1475&gt;=95,W1475&lt;=250),0.17,0)+IF(AND(V1475&gt;=20,V1475&lt;40,W1475&gt;=250),0.12,0)+IF(AND(V1475&gt;=40,V1475&lt;75,W1475&lt;35),0.3,0)+IF(AND(V1475&gt;=40,V1475&lt;75,W1475&gt;=35,W1475&lt;75),0.23,0)+IF(AND(V1475&gt;=40,V1475&lt;75,W1475&gt;=75,W1475&lt;120),0.17,0)+IF(AND(V1475&gt;=40,V1475&lt;75,W1475&gt;=120),0.12,0)+IF(AND(V1475&gt;=75,V1475&lt;175,W1475&lt;35),0.3,0)+IF(AND(V1475&gt;=75,V1475&lt;=175,W1475&gt;=35,W1475&lt;65),0.23,0)+IF(AND(V1475&gt;=75,V1475&lt;=175,W1475&gt;=65,W1475&lt;110),0.17,0)+IF(AND(V1475&gt;=75,V1475&lt;=175,W1475&gt;=110),0.12,0)+IF(AND(V1475&gt;175,W1475&lt;25),0.3,0)+IF(AND(V1475&gt;175,W1475&gt;=25,W1475&lt;55),0.23,0)+IF(AND(V1475&gt;175,W1475&gt;=55,W1475&lt;95),0.17,0)+IF(AND(V1475&gt;175,W1475&gt;=95),0.12,0),
IF(AF1475="DoEVni",IF(AND(V1475&lt;20,W1475&lt;55),0.3,0)+IF(AND(V1475&lt;20,W1475&gt;=55,W1475&lt;105),0.23,0)+IF(AND(V1475&lt;20,W1475&gt;=105),0.17,0)+IF(AND(V1475&gt;=20,V1475&lt;40,W1475&lt;45),0.3,0)+IF(AND(V1475&gt;=20,V1475&lt;40,W1475&gt;=45,W1475&lt;95),0.23,0)+IF(AND(V1475&gt;=20,V1475&lt;40,W1475&gt;=95,W1475&lt;=200),0.17,0)+IF(AND(V1475&gt;=20,V1475&lt;40,W1475&gt;=200),0.12,0)+IF(AND(V1475&gt;=40,V1475&lt;75,W1475&lt;35),0.3,0)+IF(AND(V1475&gt;=40,V1475&lt;75,W1475&gt;=35,W1475&lt;75),0.23,0)+IF(AND(V1475&gt;=40,V1475&lt;75,W1475&gt;=75,W1475&lt;120),0.17,0)+IF(AND(V1475&gt;=40,V1475&lt;75,W1475&gt;=120),0.12,0)+IF(AND(V1475&gt;=75,V1475&lt;175,W1475&lt;35),0.3,0)+IF(AND(V1475&gt;=75,V1475&lt;=175,W1475&gt;=35,W1475&lt;65),0.23,0)+IF(AND(V1475&gt;=75,V1475&lt;=175,W1475&gt;=65,W1475&lt;110),0.17,0)+IF(AND(V1475&gt;=75,V1475&lt;=175,W1475&gt;=110),0.12,0)+IF(AND(V1475&gt;175,W1475&lt;25),0.3,0)+IF(AND(V1475&gt;175,W1475&gt;=25,W1475&lt;55),0.23,0)+IF(AND(V1475&gt;175,W1475&gt;=55,W1475&lt;95),0.17,0)+IF(AND(V1475&gt;175,W1475&gt;=95),0.12,0),
IF(AF1475="DoEVLo",IF(AND(V1475&lt;20,W1475&lt;55),0.25,0)+IF(AND(V1475&lt;20,W1475&gt;=55,W1475&lt;105),0.2,0)+IF(AND(V1475&lt;20,W1475&gt;=105),0.15,0)+IF(AND(V1475&gt;=20,V1475&lt;40,W1475&lt;45),0.25,0)+IF(AND(V1475&gt;=20,V1475&lt;40,W1475&gt;=45,W1475&lt;95),0.2,0)+IF(AND(V1475&gt;=20,V1475&lt;40,W1475&gt;=95),0.15,0)+IF(AND(V1475&gt;=40,V1475&lt;75,W1475&lt;35),0.25,0)+IF(AND(V1475&gt;=40,V1475&lt;75,W1475&gt;=35,W1475&lt;75),0.2,0)+IF(AND(V1475&gt;=40,V1475&lt;75,W1475&gt;=75,W1475&lt;120),0.15,0)+IF(AND(V1475&gt;=40,V1475&lt;75,W1475&gt;=120),0.1,0)+IF(AND(V1475&gt;=75,V1475&lt;175,W1475&lt;35),0.25,0)+IF(AND(V1475&gt;=75,V1475&lt;=175,W1475&gt;=35,W1475&lt;65),0.2,0)+IF(AND(V1475&gt;=75,V1475&lt;=175,W1475&gt;=65,W1475&lt;110),0.15,0)+IF(AND(V1475&gt;=75,V1475&lt;=175,W1475&gt;=110),0.1,0)+IF(AND(V1475&gt;175,W1475&lt;25),0.25,0)+IF(AND(V1475&gt;175,W1475&gt;=25,W1475&lt;55),0.2,0)+IF(AND(V1475&gt;175,W1475&gt;=55,W1475&lt;95),0.15,0)+IF(AND(V1475&gt;175,W1475&gt;=95),0.1,0))))))))))))))))))))</f>
        <v>0.2</v>
      </c>
      <c r="Y1475" s="30">
        <f>IF(AG1475="None",0,IF(AG1475="Fix5",0.05, IF(AG1475="Fix6.25",0.0625,IF(AG1475="Fix3.75",0.0375, IF(AG1475="Fix11",0.11, IF(AG1475="Fix10",0.1,IF(AG1475="Fix3",0.03,0)))))))</f>
        <v>0</v>
      </c>
      <c r="Z1475" s="59">
        <f>IF(AND(AD1475="EUR", AE1475 = "USD"), T1475*U1475-AA1475-AB1475, T1475-AA1475-AB1475)</f>
        <v>557</v>
      </c>
      <c r="AA1475" s="60">
        <f>IF(AND(AD1475="EUR", F1475="Without EV deal", AE1475="USD"), (T1475*X1475)*U1475,
IF(AND(AD1475="EUR", F1475="Without EV deal", AE1475="EUR"), (T1475*X1475),
IF(AND(AD1475="EUR",AE1475="USD"), (T1475*X1475)*U1475,
T1475*X1475)))</f>
        <v>139.25</v>
      </c>
      <c r="AB1475" s="36">
        <f>IF(AND(AD1475="EUR", F1475="Without EV deal", AE1475="USD"), (T1475*Y1475)*U1475,
IF(AND(AD1475="EUR", F1475="Without EV deal", AE1475="EUR"), (T1475*Y1475),
IF(AND(AD1475="EUR",AE1475="USD"), (T1475*Y1475)*U1475,
T1475*Y1475)))</f>
        <v>0</v>
      </c>
      <c r="AC1475" s="37" t="b">
        <v>1</v>
      </c>
      <c r="AD1475" s="37" t="str">
        <f>IF(OR(H1475="€0.25 Flash",
H1475="€0.25(nitro) new",
H1475="€1",
H1475="€2",
H1475="€2 (bf 01.08)",
H1475="€5",
H1475="€5 (1M)",
H1475="€5 (bf 01.08)",
H1475="€5 (bf 05.05)",
H1475="€5 Nitro",
H1475="€5(wx) new",
H1475="€10",
H1475="€10 (1M)",
H1475="€10 (bf 01.08)",
H1475="€10 (bf 05.05)",
H1475="€10 (MP)",
H1475="€10 (old)",
H1475="€10 Nitro (bf 05.05)",
H1475="€10 Nitro (old)",
H1475="€10(wx) new",
H1475="€20",
H1475="€25",
H1475="€25 (bf 01.08)",
H1475="€25 (bf 05.05)",
H1475="€25 (MP)",
H1475="€25 (old)",
H1475="€25 Nitro",
H1475="€25 Nitro (bf 01.08)",
H1475="€25 Nitro (bf 05.05)",
H1475="€25(nitro) new",
H1475="€25(wx) new",
H1475="€50",
H1475="€50 (bf 01.08)",
H1475="€50 (bf 05.05)",
H1475="€50 (old)",
H1475="€50 Nitro",
H1475="€50 Nitro (bf 01.08)",
H1475="€50 Nitro (bf 05.05)",
H1475="€50(wx) new",
H1475="€100",
H1475="€100 (old)",
H1475="€100 Nitro",
H1475="€100 Nitro (old)",
H1475="€200",
H1475="€250",
H1475="€250 Nitro",
H1475="€500",
H1475="€500 Nitro"),"EUR", "USD")</f>
        <v>EUR</v>
      </c>
      <c r="AE1475" s="37"/>
      <c r="AF1475" s="37" t="str">
        <f t="array" ref="AF1475">INDEX('Deal Info'!D:D, MATCH(A1475,'Deal Info'!A:A, 0))</f>
        <v>DoEVLo</v>
      </c>
      <c r="AG1475" s="38" t="str">
        <f t="array" ref="AG1475">INDEX('Deal Info'!G:G, MATCH(A1475,'Deal Info'!A:A, 0))</f>
        <v>None</v>
      </c>
    </row>
    <row r="1476" spans="1:33" ht="14.25" hidden="1" x14ac:dyDescent="0.2">
      <c r="A1476" s="18" t="str">
        <f t="array" ref="A1476">IF(G1476='Room Info'!$B$1, INDEX('Room Info'!$A$2:$A2446, MATCH(B1476,'Room Info'!$B$2:$B2446, 0)),IF(G1476='Room Info'!$C$1, INDEX('Room Info'!$A$2:$A2446, MATCH(B1476,'Room Info'!$C$2:$C2446, 0)),IF(G1476='Room Info'!$D$1, INDEX('Room Info'!$A$2:$A2446, MATCH(B1476,'Room Info'!$D$2:$D2446, 0)),IF(G1476='Room Info'!$E$1, INDEX('Room Info'!$A$2:$A2446, MATCH(B1476,'Room Info'!$E$2:$E2446, 0)),IF(G1476='Room Info'!$F$1, INDEX('Room Info'!$A$2:$A2446, MATCH(B1476,'Room Info'!$F$2:$F2446, 0)),IF(G1476='Room Info'!$H$1, INDEX('Room Info'!$A$2:$A2446, MATCH(B1476,'Room Info'!$H$2:$H2446, 0)),IF(G1476='Room Info'!$G$1, INDEX('Room Info'!$A$2:$A2446, MATCH(B1476,'Room Info'!$G$2:$G2446, 0)))))))))</f>
        <v>supreme325i</v>
      </c>
      <c r="B1476" s="85" t="s">
        <v>220</v>
      </c>
      <c r="C1476" s="86">
        <v>44947</v>
      </c>
      <c r="D1476" s="87">
        <v>44977</v>
      </c>
      <c r="E1476" s="21">
        <v>44958</v>
      </c>
      <c r="F1476" s="22" t="s">
        <v>34</v>
      </c>
      <c r="G1476" s="18" t="s">
        <v>35</v>
      </c>
      <c r="H1476" s="23" t="s">
        <v>217</v>
      </c>
      <c r="I1476" s="23" t="s">
        <v>44</v>
      </c>
      <c r="J1476" s="39">
        <v>5</v>
      </c>
      <c r="K1476" s="88">
        <v>235</v>
      </c>
      <c r="L1476" s="89">
        <v>-170</v>
      </c>
      <c r="M1476" s="121">
        <v>10830</v>
      </c>
      <c r="N1476" s="28">
        <f>K1476*J1476</f>
        <v>1175</v>
      </c>
      <c r="O1476" s="85">
        <v>3554</v>
      </c>
      <c r="P1476" s="29">
        <v>15.123404259999999</v>
      </c>
      <c r="Q1476" s="30"/>
      <c r="R1476" s="31">
        <f>M1476+Q1476</f>
        <v>10830</v>
      </c>
      <c r="S1476" s="119">
        <v>-2858</v>
      </c>
      <c r="T1476" s="32">
        <f>IF(AND(AD1476="EUR", F1476="Without EV deal"), R1476 + L1476,
IF(AND(AD1476="USD", F1476="Without EV deal"), R1476 + L1476,
IF(AND(AD1476="EUR", F1476="Steel Phoenix"), R1476 + S1476/U1476,
R1476 + S1476)))</f>
        <v>7972</v>
      </c>
      <c r="U1476" s="33">
        <v>1.0669999999999999</v>
      </c>
      <c r="V1476" s="34">
        <v>24.29418831656405</v>
      </c>
      <c r="W1476" s="34">
        <v>328.14432390666047</v>
      </c>
      <c r="X1476" s="30">
        <f>IF(AF1476="DoEV",IF(AND(V1476&lt;20,W1476&lt;55),0.3,0)+IF(AND(V1476&lt;20,W1476&gt;=55,W1476&lt;105),0.23,0)+IF(AND(V1476&lt;20,W1476&gt;=105),0.17,0)+IF(AND(V1476&gt;=20,V1476&lt;40,W1476&lt;45),0.3,0)+IF(AND(V1476&gt;=20,V1476&lt;40,W1476&gt;=45,W1476&lt;95),0.23,0)+IF(AND(V1476&gt;=20,V1476&lt;40,W1476&gt;=95),0.17,0)+IF(AND(V1476&gt;=40,V1476&lt;75,W1476&lt;35),0.3,0)+IF(AND(V1476&gt;=40,V1476&lt;75,W1476&gt;=35,W1476&lt;75),0.23,0)+IF(AND(V1476&gt;=40,V1476&lt;75,W1476&gt;=75,W1476&lt;120),0.17,0)+IF(AND(V1476&gt;=40,V1476&lt;75,W1476&gt;=120),0.12,0)+IF(AND(V1476&gt;=75,V1476&lt;175,W1476&lt;35),0.3,0)+IF(AND(V1476&gt;=75,V1476&lt;=175,W1476&gt;=35,W1476&lt;65),0.23,0)+IF(AND(V1476&gt;=75,V1476&lt;=175,W1476&gt;=65,W1476&lt;110),0.17,0)+IF(AND(V1476&gt;=75,V1476&lt;=175,W1476&gt;=110),0.12,0)+IF(AND(V1476&gt;175,W1476&lt;25),0.3,0)+IF(AND(V1476&gt;175,W1476&gt;=25,W1476&lt;55),0.23,0)+IF(AND(V1476&gt;175,W1476&gt;=55,W1476&lt;95),0.17,0)+IF(AND(V1476&gt;175,W1476&gt;=95),0.12,0),
IF(AF1476="Fix15",0.15,
IF(AF1476="Fix5",0.05,
IF(AF1476="Fix18.75",0.1875,
IF(AF1476="Fix11.25",0.1125,
IF(AF1476="Fix10",0.1,
IF(AF1476="Fix9",0.09,
IF(AF1476="Fix12",0.12,
IF(AF1476="Fix19",0.19,
IF(AF1476="DoEV2017",IF(AND(W1476&lt;74),0.2,0)+IF(AND(W1476&gt;=74),0.17,0),
IF(AF1476="SF",IF(AND(V1476&lt;20,W1476&lt;89),0.3,0)+IF(AND(V1476&lt;20,W1476&gt;=89),0.25,0)+IF(AND(V1476&gt;=20,V1476&lt;40,W1476&lt;74),0.3,0)+IF(AND(V1476&gt;=20,V1476&lt;40,W1476&gt;=75),0.22,0)+IF(AND(V1476&gt;=40,V1476&lt;75,W1476&lt;75),0.26,0)+IF(AND(V1476&gt;=40,V1476&lt;75,W1476&gt;=75),0.22,0)+IF(V1476&gt;=75,0.22,0),
IF(AF1476="DoEVold",IF(AND(V1476&lt;40,W1476&lt;35),0.35,0)+IF(AND(V1476&lt;40,W1476&gt;=35,W1476&lt;75),0.25,0)+IF(AND(V1476&lt;40,W1476&gt;=75),0.17,0)+IF(AND(V1476&gt;=40,V1476&lt;75,W1476&lt;25),0.35,0)+IF(AND(V1476&gt;=40,V1476&lt;75,W1476&gt;=25,W1476&lt;65),0.25,0)+IF(AND(V1476&gt;=40,V1476&lt;75,W1476&gt;=65,W1476&lt;100),0.17,0)+IF(AND(V1476&gt;=40,V1476&lt;75,W1476&gt;=100),0.1,0)+IF(AND(V1476&gt;=75,W1476&lt;25),0.35,0)+IF(AND(V1476&gt;=75,W1476&gt;=25,W1476&lt;60),0.25,0)+IF(AND(V1476&gt;=75,W1476&gt;=60,W1476&lt;95),0.17,0)+IF(AND(V1476&gt;=75,W1476&gt;=95),0.1,0),
IF(AF1476="DoEVold15",IF(AND(V1476&lt;=40,W1476&lt;35),0.35,0)+IF(AND(V1476&lt;=40,W1476&gt;=35,W1476&lt;75),0.25,0)+IF(AND(V1476&lt;=40,W1476&gt;=75,W1476&lt;120),0.17,0)+IF(AND(V1476&lt;=40,W1476&gt;=120),0.15,0)+IF(AND(V1476&gt;40,V1476&lt;75,W1476&lt;25),0.35,0)+IF(AND(V1476&gt;=40,V1476&lt;75,W1476&gt;=25,W1476&lt;65),0.25,0)+IF(AND(V1476&gt;=40,V1476&lt;75,W1476&gt;=65,W1476&lt;100),0.17,0)+IF(AND(V1476&gt;=40,V1476&lt;75,W1476&gt;=100),0.1,0)+IF(AND(V1476&gt;=75,W1476&lt;25),0.35,0)+IF(AND(V1476&gt;=75,W1476&gt;=25,W1476&lt;60),0.25,0)+IF(AND(V1476&gt;=75,W1476&gt;=60,W1476&lt;95),0.17,0)+IF(AND(V1476&gt;=75,W1476&gt;=95),0.1,0),
IF(AF1476="DoEVba",IF(AND(V1476&lt;20,W1476&lt;105),0.2,0)+IF(AND(V1476&lt;20,W1476&gt;=105),0.15,0)+IF(AND(V1476&gt;=20,V1476&lt;40,W1476&lt;95),0.2,0)+IF(AND(V1476&gt;=20,V1476&lt;40,W1476&gt;=95,W1476&lt;150),0.15,0)+IF(AND(V1476&gt;=20,V1476&lt;40,W1476&gt;=150),0.12,0)+IF(AND(V1476&gt;=40,V1476&lt;75,W1476&lt;75),0.2,0)+IF(AND(V1476&gt;=40,V1476&lt;75,W1476&gt;=75,W1476&lt;120),0.15,0)+IF(AND(V1476&gt;=40,V1476&lt;75,W1476&gt;=120),0.12,0)+IF(AND(V1476&gt;=75,V1476&lt;175,W1476&lt;65),0.2,0)+IF(AND(V1476&gt;=75,V1476&lt;175,W1476&gt;=65,W1476&lt;110),0.15,0)+IF(AND(V1476&gt;=75,V1476&lt;175,W1476&gt;=110),0.12,0)+IF(AND(V1476&gt;=175,W1476&lt;55),0.2,0)+IF(AND(V1476&gt;=175,W1476&gt;=55,W1476&lt;95),0.15,0)+IF(AND(V1476&gt;=175,W1476&gt;=95),0.12,0),
IF(AF1476="DoEVku",IF(AND(V1476&lt;20,W1476&lt;55),0.23,0)+IF(AND(V1476&lt;20,W1476&gt;=55,W1476&lt;105),0.2,0)+IF(AND(V1476&lt;20,W1476&gt;=105),0.17,0)+IF(AND(V1476&gt;=20,V1476&lt;40,W1476&lt;45),0.23,0)+IF(AND(V1476&gt;=20,V1476&lt;40,W1476&gt;=45,W1476&lt;95),0.2,0)+IF(AND(V1476&gt;=20,V1476&lt;40,W1476&gt;=95,W1476&lt;=150),0.17,0)+IF(AND(V1476&gt;=20,V1476&lt;40,W1476&gt;=150),0.12,0)+IF(AND(V1476&gt;=40,V1476&lt;75,W1476&lt;35),0.23,0)+IF(AND(V1476&gt;=40,V1476&lt;75,W1476&gt;=35,W1476&lt;75),0.2,0)+IF(AND(V1476&gt;=40,V1476&lt;75,W1476&gt;=75,W1476&lt;120),0.17,0)+IF(AND(V1476&gt;=40,V1476&lt;75,W1476&gt;=120),0.12,0)+IF(AND(V1476&gt;=75,V1476&lt;175,W1476&lt;35),0.23,0)+IF(AND(V1476&gt;=75,V1476&lt;=175,W1476&gt;=35,W1476&lt;65),0.2,0)+IF(AND(V1476&gt;=75,V1476&lt;=175,W1476&gt;=65,W1476&lt;110),0.17,0)+IF(AND(V1476&gt;=75,V1476&lt;=175,W1476&gt;=110),0.12,0)+IF(AND(V1476&gt;175,W1476&lt;25),0.23,0)+IF(AND(V1476&gt;175,W1476&gt;=25,W1476&lt;55),0.2,0)+IF(AND(V1476&gt;175,W1476&gt;=55,W1476&lt;95),0.17,0)+IF(AND(V1476&gt;175,W1476&gt;=95),0.12,0),
IF(AF1476="DoEVs1",IF(AND(V1476&lt;20,W1476&lt;55),0.3,0)+IF(AND(V1476&lt;20,W1476&gt;=55,W1476&lt;105),0.23,0)+IF(AND(V1476&lt;20,W1476&gt;=105),0.17,0)+IF(AND(V1476&gt;=20,V1476&lt;40,W1476&lt;45),0.3,0)+IF(AND(V1476&gt;=20,V1476&lt;40,W1476&gt;=45,W1476&lt;95),0.23,0)+IF(AND(V1476&gt;=20,V1476&lt;40,W1476&gt;=95,W1476&lt;=150),0.17,0)+IF(AND(V1476&gt;=20,V1476&lt;40,W1476&gt;=150),0.12,0)+IF(AND(V1476&gt;=40,V1476&lt;75,W1476&lt;35),0.3,0)+IF(AND(V1476&gt;=40,V1476&lt;75,W1476&gt;=35,W1476&lt;75),0.23,0)+IF(AND(V1476&gt;=40,V1476&lt;75,W1476&gt;=75,W1476&lt;120),0.17,0)+IF(AND(V1476&gt;=40,V1476&lt;75,W1476&gt;=120),0.12,0)+IF(AND(V1476&gt;=75,V1476&lt;175,W1476&lt;35),0.3,0)+IF(AND(V1476&gt;=75,V1476&lt;=175,W1476&gt;=35,W1476&lt;65),0.23,0)+IF(AND(V1476&gt;=75,V1476&lt;=175,W1476&gt;=65,W1476&lt;110),0.17,0)+IF(AND(V1476&gt;=75,V1476&lt;=175,W1476&gt;=110),0.12,0)+IF(AND(V1476&gt;175,W1476&lt;25),0.3,0)+IF(AND(V1476&gt;175,W1476&gt;=25,W1476&lt;55),0.23,0)+IF(AND(V1476&gt;175,W1476&gt;=55,W1476&lt;95),0.17,0)+IF(AND(V1476&gt;175,W1476&gt;=95),0.12,0),
IF(AF1476="DoEVsu",IF(AND(V1476&lt;20,W1476&lt;55),0.3,0)+IF(AND(V1476&lt;20,W1476&gt;=55,W1476&lt;105),0.23,0)+IF(AND(V1476&lt;20,W1476&gt;=105),0.17,0)+IF(AND(V1476&gt;=20,V1476&lt;40,W1476&lt;45),0.3,0)+IF(AND(V1476&gt;=20,V1476&lt;40,W1476&gt;=45,W1476&lt;95),0.23,0)+IF(AND(V1476&gt;=20,V1476&lt;40,W1476&gt;=95,W1476&lt;=250),0.17,0)+IF(AND(V1476&gt;=20,V1476&lt;40,W1476&gt;=250),0.12,0)+IF(AND(V1476&gt;=40,V1476&lt;75,W1476&lt;35),0.3,0)+IF(AND(V1476&gt;=40,V1476&lt;75,W1476&gt;=35,W1476&lt;75),0.23,0)+IF(AND(V1476&gt;=40,V1476&lt;75,W1476&gt;=75,W1476&lt;120),0.17,0)+IF(AND(V1476&gt;=40,V1476&lt;75,W1476&gt;=120),0.12,0)+IF(AND(V1476&gt;=75,V1476&lt;175,W1476&lt;35),0.3,0)+IF(AND(V1476&gt;=75,V1476&lt;=175,W1476&gt;=35,W1476&lt;65),0.23,0)+IF(AND(V1476&gt;=75,V1476&lt;=175,W1476&gt;=65,W1476&lt;110),0.17,0)+IF(AND(V1476&gt;=75,V1476&lt;=175,W1476&gt;=110),0.12,0)+IF(AND(V1476&gt;175,W1476&lt;25),0.3,0)+IF(AND(V1476&gt;175,W1476&gt;=25,W1476&lt;55),0.23,0)+IF(AND(V1476&gt;175,W1476&gt;=55,W1476&lt;95),0.17,0)+IF(AND(V1476&gt;175,W1476&gt;=95),0.12,0),
IF(AF1476="DoEVni",IF(AND(V1476&lt;20,W1476&lt;55),0.3,0)+IF(AND(V1476&lt;20,W1476&gt;=55,W1476&lt;105),0.23,0)+IF(AND(V1476&lt;20,W1476&gt;=105),0.17,0)+IF(AND(V1476&gt;=20,V1476&lt;40,W1476&lt;45),0.3,0)+IF(AND(V1476&gt;=20,V1476&lt;40,W1476&gt;=45,W1476&lt;95),0.23,0)+IF(AND(V1476&gt;=20,V1476&lt;40,W1476&gt;=95,W1476&lt;=200),0.17,0)+IF(AND(V1476&gt;=20,V1476&lt;40,W1476&gt;=200),0.12,0)+IF(AND(V1476&gt;=40,V1476&lt;75,W1476&lt;35),0.3,0)+IF(AND(V1476&gt;=40,V1476&lt;75,W1476&gt;=35,W1476&lt;75),0.23,0)+IF(AND(V1476&gt;=40,V1476&lt;75,W1476&gt;=75,W1476&lt;120),0.17,0)+IF(AND(V1476&gt;=40,V1476&lt;75,W1476&gt;=120),0.12,0)+IF(AND(V1476&gt;=75,V1476&lt;175,W1476&lt;35),0.3,0)+IF(AND(V1476&gt;=75,V1476&lt;=175,W1476&gt;=35,W1476&lt;65),0.23,0)+IF(AND(V1476&gt;=75,V1476&lt;=175,W1476&gt;=65,W1476&lt;110),0.17,0)+IF(AND(V1476&gt;=75,V1476&lt;=175,W1476&gt;=110),0.12,0)+IF(AND(V1476&gt;175,W1476&lt;25),0.3,0)+IF(AND(V1476&gt;175,W1476&gt;=25,W1476&lt;55),0.23,0)+IF(AND(V1476&gt;175,W1476&gt;=55,W1476&lt;95),0.17,0)+IF(AND(V1476&gt;175,W1476&gt;=95),0.12,0),
IF(AF1476="DoEVLo",IF(AND(V1476&lt;20,W1476&lt;55),0.25,0)+IF(AND(V1476&lt;20,W1476&gt;=55,W1476&lt;105),0.2,0)+IF(AND(V1476&lt;20,W1476&gt;=105),0.15,0)+IF(AND(V1476&gt;=20,V1476&lt;40,W1476&lt;45),0.25,0)+IF(AND(V1476&gt;=20,V1476&lt;40,W1476&gt;=45,W1476&lt;95),0.2,0)+IF(AND(V1476&gt;=20,V1476&lt;40,W1476&gt;=95),0.15,0)+IF(AND(V1476&gt;=40,V1476&lt;75,W1476&lt;35),0.25,0)+IF(AND(V1476&gt;=40,V1476&lt;75,W1476&gt;=35,W1476&lt;75),0.2,0)+IF(AND(V1476&gt;=40,V1476&lt;75,W1476&gt;=75,W1476&lt;120),0.15,0)+IF(AND(V1476&gt;=40,V1476&lt;75,W1476&gt;=120),0.1,0)+IF(AND(V1476&gt;=75,V1476&lt;175,W1476&lt;35),0.25,0)+IF(AND(V1476&gt;=75,V1476&lt;=175,W1476&gt;=35,W1476&lt;65),0.2,0)+IF(AND(V1476&gt;=75,V1476&lt;=175,W1476&gt;=65,W1476&lt;110),0.15,0)+IF(AND(V1476&gt;=75,V1476&lt;=175,W1476&gt;=110),0.1,0)+IF(AND(V1476&gt;175,W1476&lt;25),0.25,0)+IF(AND(V1476&gt;175,W1476&gt;=25,W1476&lt;55),0.2,0)+IF(AND(V1476&gt;175,W1476&gt;=55,W1476&lt;95),0.15,0)+IF(AND(V1476&gt;175,W1476&gt;=95),0.1,0))))))))))))))))))))</f>
        <v>0.12</v>
      </c>
      <c r="Y1476" s="30">
        <f>IF(AG1476="None",0,IF(AG1476="Fix5",0.05, IF(AG1476="Fix6.25",0.0625,IF(AG1476="Fix3.75",0.0375, IF(AG1476="Fix11",0.11, IF(AG1476="Fix10",0.1,IF(AG1476="Fix3",0.03,0)))))))</f>
        <v>0</v>
      </c>
      <c r="Z1476" s="35">
        <f>IF(AND(AD1476="EUR", AE1476 = "USD"), T1476*U1476-AA1476-AB1476, T1476-AA1476-AB1476)</f>
        <v>7015.36</v>
      </c>
      <c r="AA1476" s="29">
        <f>IF(AND(AD1476="EUR", F1476="Without EV deal", AE1476="USD"), (T1476*X1476)*U1476,
IF(AND(AD1476="EUR", F1476="Without EV deal", AE1476="EUR"), (T1476*X1476),
IF(AND(AD1476="EUR",AE1476="USD"), (T1476*X1476)*U1476,
T1476*X1476)))</f>
        <v>956.64</v>
      </c>
      <c r="AB1476" s="36">
        <f>IF(AND(AD1476="EUR", F1476="Without EV deal", AE1476="USD"), (T1476*Y1476)*U1476,
IF(AND(AD1476="EUR", F1476="Without EV deal", AE1476="EUR"), (T1476*Y1476),
IF(AND(AD1476="EUR",AE1476="USD"), (T1476*Y1476)*U1476,
T1476*Y1476)))</f>
        <v>0</v>
      </c>
      <c r="AC1476" s="37" t="b">
        <v>0</v>
      </c>
      <c r="AD1476" s="82" t="str">
        <f>IF(OR(H1476="€0.25 Flash",
H1476="€0.25(nitro) new",
H1476="€1",
H1476="€2",
H1476="€2 (bf 01.08)",
H1476="€5",
H1476="€5 (1M)",
H1476="€5 (bf 01.08)",
H1476="€5 (bf 05.05)",
H1476="€5 Nitro",
H1476="€5(wx) new",
H1476="€10",
H1476="€10 (1M)",
H1476="€10 (bf 01.08)",
H1476="€10 (bf 05.05)",
H1476="€10 (MP)",
H1476="€10 (old)",
H1476="€10 Nitro (bf 05.05)",
H1476="€10 Nitro (old)",
H1476="€10(wx) new",
H1476="€20",
H1476="€25",
H1476="€25 (bf 01.08)",
H1476="€25 (bf 05.05)",
H1476="€25 (MP)",
H1476="€25 (old)",
H1476="€25 Nitro",
H1476="€25 Nitro (bf 01.08)",
H1476="€25 Nitro (bf 05.05)",
H1476="€25(nitro) new",
H1476="€25(wx) new",
H1476="€50",
H1476="€50 (bf 01.08)",
H1476="€50 (bf 05.05)",
H1476="€50 (old)",
H1476="€50 Nitro",
H1476="€50 Nitro (bf 01.08)",
H1476="€50 Nitro (bf 05.05)",
H1476="€50(wx) new",
H1476="€100",
H1476="€100 (old)",
H1476="€100 Nitro",
H1476="€100 Nitro (old)",
H1476="€200",
H1476="€250",
H1476="€250 Nitro",
H1476="€500",
H1476="€500 Nitro"),"EUR", "USD")</f>
        <v>USD</v>
      </c>
      <c r="AE1476" s="83" t="s">
        <v>38</v>
      </c>
      <c r="AF1476" s="83" t="str">
        <f t="array" ref="AF1476">INDEX('Deal Info'!D:D, MATCH(A1476,'Deal Info'!A:A, 0))</f>
        <v>DoEVsu</v>
      </c>
      <c r="AG1476" s="84" t="str">
        <f t="array" ref="AG1476">INDEX('Deal Info'!G:G, MATCH(A1476,'Deal Info'!A:A, 0))</f>
        <v>None</v>
      </c>
    </row>
    <row r="1477" spans="1:33" ht="14.25" hidden="1" x14ac:dyDescent="0.2">
      <c r="A1477" s="18" t="str">
        <f t="array" ref="A1477">IF(G1477='Room Info'!$B$1, INDEX('Room Info'!$A$2:$A2446, MATCH(B1477,'Room Info'!$B$2:$B2446, 0)),IF(G1477='Room Info'!$C$1, INDEX('Room Info'!$A$2:$A2446, MATCH(B1477,'Room Info'!$C$2:$C2446, 0)),IF(G1477='Room Info'!$D$1, INDEX('Room Info'!$A$2:$A2446, MATCH(B1477,'Room Info'!$D$2:$D2446, 0)),IF(G1477='Room Info'!$E$1, INDEX('Room Info'!$A$2:$A2446, MATCH(B1477,'Room Info'!$E$2:$E2446, 0)),IF(G1477='Room Info'!$F$1, INDEX('Room Info'!$A$2:$A2446, MATCH(B1477,'Room Info'!$F$2:$F2446, 0)),IF(G1477='Room Info'!$H$1, INDEX('Room Info'!$A$2:$A2446, MATCH(B1477,'Room Info'!$H$2:$H2446, 0)),IF(G1477='Room Info'!$G$1, INDEX('Room Info'!$A$2:$A2446, MATCH(B1477,'Room Info'!$G$2:$G2446, 0)))))))))</f>
        <v>supreme325i</v>
      </c>
      <c r="B1477" s="85" t="s">
        <v>220</v>
      </c>
      <c r="C1477" s="86">
        <v>44947</v>
      </c>
      <c r="D1477" s="87">
        <v>44977</v>
      </c>
      <c r="E1477" s="21">
        <v>44958</v>
      </c>
      <c r="F1477" s="22" t="s">
        <v>34</v>
      </c>
      <c r="G1477" s="18" t="s">
        <v>35</v>
      </c>
      <c r="H1477" s="23" t="s">
        <v>46</v>
      </c>
      <c r="I1477" s="23" t="s">
        <v>37</v>
      </c>
      <c r="J1477" s="39">
        <v>25</v>
      </c>
      <c r="K1477" s="88">
        <v>6415</v>
      </c>
      <c r="L1477" s="89">
        <v>2750</v>
      </c>
      <c r="M1477" s="27"/>
      <c r="N1477" s="28">
        <f>K1477*J1477</f>
        <v>160375</v>
      </c>
      <c r="O1477" s="85">
        <v>157954</v>
      </c>
      <c r="P1477" s="29">
        <v>24.622603269999999</v>
      </c>
      <c r="Q1477" s="30"/>
      <c r="R1477" s="31">
        <f>M1477+Q1477</f>
        <v>0</v>
      </c>
      <c r="S1477" s="28"/>
      <c r="T1477" s="32">
        <f>IF(AND(AD1477="EUR", F1477="Without EV deal"), R1477 + L1477,
IF(AND(AD1477="USD", F1477="Without EV deal"), R1477 + L1477,
IF(AND(AD1477="EUR", F1477="Steel Phoenix"), R1477 + S1477/U1477,
R1477 + S1477)))</f>
        <v>0</v>
      </c>
      <c r="U1477" s="33">
        <v>1.0669999999999999</v>
      </c>
      <c r="V1477" s="34">
        <v>24.29418831656405</v>
      </c>
      <c r="W1477" s="34">
        <v>328.14432390666047</v>
      </c>
      <c r="X1477" s="30">
        <f>IF(AF1477="DoEV",IF(AND(V1477&lt;20,W1477&lt;55),0.3,0)+IF(AND(V1477&lt;20,W1477&gt;=55,W1477&lt;105),0.23,0)+IF(AND(V1477&lt;20,W1477&gt;=105),0.17,0)+IF(AND(V1477&gt;=20,V1477&lt;40,W1477&lt;45),0.3,0)+IF(AND(V1477&gt;=20,V1477&lt;40,W1477&gt;=45,W1477&lt;95),0.23,0)+IF(AND(V1477&gt;=20,V1477&lt;40,W1477&gt;=95),0.17,0)+IF(AND(V1477&gt;=40,V1477&lt;75,W1477&lt;35),0.3,0)+IF(AND(V1477&gt;=40,V1477&lt;75,W1477&gt;=35,W1477&lt;75),0.23,0)+IF(AND(V1477&gt;=40,V1477&lt;75,W1477&gt;=75,W1477&lt;120),0.17,0)+IF(AND(V1477&gt;=40,V1477&lt;75,W1477&gt;=120),0.12,0)+IF(AND(V1477&gt;=75,V1477&lt;175,W1477&lt;35),0.3,0)+IF(AND(V1477&gt;=75,V1477&lt;=175,W1477&gt;=35,W1477&lt;65),0.23,0)+IF(AND(V1477&gt;=75,V1477&lt;=175,W1477&gt;=65,W1477&lt;110),0.17,0)+IF(AND(V1477&gt;=75,V1477&lt;=175,W1477&gt;=110),0.12,0)+IF(AND(V1477&gt;175,W1477&lt;25),0.3,0)+IF(AND(V1477&gt;175,W1477&gt;=25,W1477&lt;55),0.23,0)+IF(AND(V1477&gt;175,W1477&gt;=55,W1477&lt;95),0.17,0)+IF(AND(V1477&gt;175,W1477&gt;=95),0.12,0),
IF(AF1477="Fix15",0.15,
IF(AF1477="Fix5",0.05,
IF(AF1477="Fix18.75",0.1875,
IF(AF1477="Fix11.25",0.1125,
IF(AF1477="Fix10",0.1,
IF(AF1477="Fix9",0.09,
IF(AF1477="Fix12",0.12,
IF(AF1477="Fix19",0.19,
IF(AF1477="DoEV2017",IF(AND(W1477&lt;74),0.2,0)+IF(AND(W1477&gt;=74),0.17,0),
IF(AF1477="SF",IF(AND(V1477&lt;20,W1477&lt;89),0.3,0)+IF(AND(V1477&lt;20,W1477&gt;=89),0.25,0)+IF(AND(V1477&gt;=20,V1477&lt;40,W1477&lt;74),0.3,0)+IF(AND(V1477&gt;=20,V1477&lt;40,W1477&gt;=75),0.22,0)+IF(AND(V1477&gt;=40,V1477&lt;75,W1477&lt;75),0.26,0)+IF(AND(V1477&gt;=40,V1477&lt;75,W1477&gt;=75),0.22,0)+IF(V1477&gt;=75,0.22,0),
IF(AF1477="DoEVold",IF(AND(V1477&lt;40,W1477&lt;35),0.35,0)+IF(AND(V1477&lt;40,W1477&gt;=35,W1477&lt;75),0.25,0)+IF(AND(V1477&lt;40,W1477&gt;=75),0.17,0)+IF(AND(V1477&gt;=40,V1477&lt;75,W1477&lt;25),0.35,0)+IF(AND(V1477&gt;=40,V1477&lt;75,W1477&gt;=25,W1477&lt;65),0.25,0)+IF(AND(V1477&gt;=40,V1477&lt;75,W1477&gt;=65,W1477&lt;100),0.17,0)+IF(AND(V1477&gt;=40,V1477&lt;75,W1477&gt;=100),0.1,0)+IF(AND(V1477&gt;=75,W1477&lt;25),0.35,0)+IF(AND(V1477&gt;=75,W1477&gt;=25,W1477&lt;60),0.25,0)+IF(AND(V1477&gt;=75,W1477&gt;=60,W1477&lt;95),0.17,0)+IF(AND(V1477&gt;=75,W1477&gt;=95),0.1,0),
IF(AF1477="DoEVold15",IF(AND(V1477&lt;=40,W1477&lt;35),0.35,0)+IF(AND(V1477&lt;=40,W1477&gt;=35,W1477&lt;75),0.25,0)+IF(AND(V1477&lt;=40,W1477&gt;=75,W1477&lt;120),0.17,0)+IF(AND(V1477&lt;=40,W1477&gt;=120),0.15,0)+IF(AND(V1477&gt;40,V1477&lt;75,W1477&lt;25),0.35,0)+IF(AND(V1477&gt;=40,V1477&lt;75,W1477&gt;=25,W1477&lt;65),0.25,0)+IF(AND(V1477&gt;=40,V1477&lt;75,W1477&gt;=65,W1477&lt;100),0.17,0)+IF(AND(V1477&gt;=40,V1477&lt;75,W1477&gt;=100),0.1,0)+IF(AND(V1477&gt;=75,W1477&lt;25),0.35,0)+IF(AND(V1477&gt;=75,W1477&gt;=25,W1477&lt;60),0.25,0)+IF(AND(V1477&gt;=75,W1477&gt;=60,W1477&lt;95),0.17,0)+IF(AND(V1477&gt;=75,W1477&gt;=95),0.1,0),
IF(AF1477="DoEVba",IF(AND(V1477&lt;20,W1477&lt;105),0.2,0)+IF(AND(V1477&lt;20,W1477&gt;=105),0.15,0)+IF(AND(V1477&gt;=20,V1477&lt;40,W1477&lt;95),0.2,0)+IF(AND(V1477&gt;=20,V1477&lt;40,W1477&gt;=95,W1477&lt;150),0.15,0)+IF(AND(V1477&gt;=20,V1477&lt;40,W1477&gt;=150),0.12,0)+IF(AND(V1477&gt;=40,V1477&lt;75,W1477&lt;75),0.2,0)+IF(AND(V1477&gt;=40,V1477&lt;75,W1477&gt;=75,W1477&lt;120),0.15,0)+IF(AND(V1477&gt;=40,V1477&lt;75,W1477&gt;=120),0.12,0)+IF(AND(V1477&gt;=75,V1477&lt;175,W1477&lt;65),0.2,0)+IF(AND(V1477&gt;=75,V1477&lt;175,W1477&gt;=65,W1477&lt;110),0.15,0)+IF(AND(V1477&gt;=75,V1477&lt;175,W1477&gt;=110),0.12,0)+IF(AND(V1477&gt;=175,W1477&lt;55),0.2,0)+IF(AND(V1477&gt;=175,W1477&gt;=55,W1477&lt;95),0.15,0)+IF(AND(V1477&gt;=175,W1477&gt;=95),0.12,0),
IF(AF1477="DoEVku",IF(AND(V1477&lt;20,W1477&lt;55),0.23,0)+IF(AND(V1477&lt;20,W1477&gt;=55,W1477&lt;105),0.2,0)+IF(AND(V1477&lt;20,W1477&gt;=105),0.17,0)+IF(AND(V1477&gt;=20,V1477&lt;40,W1477&lt;45),0.23,0)+IF(AND(V1477&gt;=20,V1477&lt;40,W1477&gt;=45,W1477&lt;95),0.2,0)+IF(AND(V1477&gt;=20,V1477&lt;40,W1477&gt;=95,W1477&lt;=150),0.17,0)+IF(AND(V1477&gt;=20,V1477&lt;40,W1477&gt;=150),0.12,0)+IF(AND(V1477&gt;=40,V1477&lt;75,W1477&lt;35),0.23,0)+IF(AND(V1477&gt;=40,V1477&lt;75,W1477&gt;=35,W1477&lt;75),0.2,0)+IF(AND(V1477&gt;=40,V1477&lt;75,W1477&gt;=75,W1477&lt;120),0.17,0)+IF(AND(V1477&gt;=40,V1477&lt;75,W1477&gt;=120),0.12,0)+IF(AND(V1477&gt;=75,V1477&lt;175,W1477&lt;35),0.23,0)+IF(AND(V1477&gt;=75,V1477&lt;=175,W1477&gt;=35,W1477&lt;65),0.2,0)+IF(AND(V1477&gt;=75,V1477&lt;=175,W1477&gt;=65,W1477&lt;110),0.17,0)+IF(AND(V1477&gt;=75,V1477&lt;=175,W1477&gt;=110),0.12,0)+IF(AND(V1477&gt;175,W1477&lt;25),0.23,0)+IF(AND(V1477&gt;175,W1477&gt;=25,W1477&lt;55),0.2,0)+IF(AND(V1477&gt;175,W1477&gt;=55,W1477&lt;95),0.17,0)+IF(AND(V1477&gt;175,W1477&gt;=95),0.12,0),
IF(AF1477="DoEVs1",IF(AND(V1477&lt;20,W1477&lt;55),0.3,0)+IF(AND(V1477&lt;20,W1477&gt;=55,W1477&lt;105),0.23,0)+IF(AND(V1477&lt;20,W1477&gt;=105),0.17,0)+IF(AND(V1477&gt;=20,V1477&lt;40,W1477&lt;45),0.3,0)+IF(AND(V1477&gt;=20,V1477&lt;40,W1477&gt;=45,W1477&lt;95),0.23,0)+IF(AND(V1477&gt;=20,V1477&lt;40,W1477&gt;=95,W1477&lt;=150),0.17,0)+IF(AND(V1477&gt;=20,V1477&lt;40,W1477&gt;=150),0.12,0)+IF(AND(V1477&gt;=40,V1477&lt;75,W1477&lt;35),0.3,0)+IF(AND(V1477&gt;=40,V1477&lt;75,W1477&gt;=35,W1477&lt;75),0.23,0)+IF(AND(V1477&gt;=40,V1477&lt;75,W1477&gt;=75,W1477&lt;120),0.17,0)+IF(AND(V1477&gt;=40,V1477&lt;75,W1477&gt;=120),0.12,0)+IF(AND(V1477&gt;=75,V1477&lt;175,W1477&lt;35),0.3,0)+IF(AND(V1477&gt;=75,V1477&lt;=175,W1477&gt;=35,W1477&lt;65),0.23,0)+IF(AND(V1477&gt;=75,V1477&lt;=175,W1477&gt;=65,W1477&lt;110),0.17,0)+IF(AND(V1477&gt;=75,V1477&lt;=175,W1477&gt;=110),0.12,0)+IF(AND(V1477&gt;175,W1477&lt;25),0.3,0)+IF(AND(V1477&gt;175,W1477&gt;=25,W1477&lt;55),0.23,0)+IF(AND(V1477&gt;175,W1477&gt;=55,W1477&lt;95),0.17,0)+IF(AND(V1477&gt;175,W1477&gt;=95),0.12,0),
IF(AF1477="DoEVsu",IF(AND(V1477&lt;20,W1477&lt;55),0.3,0)+IF(AND(V1477&lt;20,W1477&gt;=55,W1477&lt;105),0.23,0)+IF(AND(V1477&lt;20,W1477&gt;=105),0.17,0)+IF(AND(V1477&gt;=20,V1477&lt;40,W1477&lt;45),0.3,0)+IF(AND(V1477&gt;=20,V1477&lt;40,W1477&gt;=45,W1477&lt;95),0.23,0)+IF(AND(V1477&gt;=20,V1477&lt;40,W1477&gt;=95,W1477&lt;=250),0.17,0)+IF(AND(V1477&gt;=20,V1477&lt;40,W1477&gt;=250),0.12,0)+IF(AND(V1477&gt;=40,V1477&lt;75,W1477&lt;35),0.3,0)+IF(AND(V1477&gt;=40,V1477&lt;75,W1477&gt;=35,W1477&lt;75),0.23,0)+IF(AND(V1477&gt;=40,V1477&lt;75,W1477&gt;=75,W1477&lt;120),0.17,0)+IF(AND(V1477&gt;=40,V1477&lt;75,W1477&gt;=120),0.12,0)+IF(AND(V1477&gt;=75,V1477&lt;175,W1477&lt;35),0.3,0)+IF(AND(V1477&gt;=75,V1477&lt;=175,W1477&gt;=35,W1477&lt;65),0.23,0)+IF(AND(V1477&gt;=75,V1477&lt;=175,W1477&gt;=65,W1477&lt;110),0.17,0)+IF(AND(V1477&gt;=75,V1477&lt;=175,W1477&gt;=110),0.12,0)+IF(AND(V1477&gt;175,W1477&lt;25),0.3,0)+IF(AND(V1477&gt;175,W1477&gt;=25,W1477&lt;55),0.23,0)+IF(AND(V1477&gt;175,W1477&gt;=55,W1477&lt;95),0.17,0)+IF(AND(V1477&gt;175,W1477&gt;=95),0.12,0),
IF(AF1477="DoEVni",IF(AND(V1477&lt;20,W1477&lt;55),0.3,0)+IF(AND(V1477&lt;20,W1477&gt;=55,W1477&lt;105),0.23,0)+IF(AND(V1477&lt;20,W1477&gt;=105),0.17,0)+IF(AND(V1477&gt;=20,V1477&lt;40,W1477&lt;45),0.3,0)+IF(AND(V1477&gt;=20,V1477&lt;40,W1477&gt;=45,W1477&lt;95),0.23,0)+IF(AND(V1477&gt;=20,V1477&lt;40,W1477&gt;=95,W1477&lt;=200),0.17,0)+IF(AND(V1477&gt;=20,V1477&lt;40,W1477&gt;=200),0.12,0)+IF(AND(V1477&gt;=40,V1477&lt;75,W1477&lt;35),0.3,0)+IF(AND(V1477&gt;=40,V1477&lt;75,W1477&gt;=35,W1477&lt;75),0.23,0)+IF(AND(V1477&gt;=40,V1477&lt;75,W1477&gt;=75,W1477&lt;120),0.17,0)+IF(AND(V1477&gt;=40,V1477&lt;75,W1477&gt;=120),0.12,0)+IF(AND(V1477&gt;=75,V1477&lt;175,W1477&lt;35),0.3,0)+IF(AND(V1477&gt;=75,V1477&lt;=175,W1477&gt;=35,W1477&lt;65),0.23,0)+IF(AND(V1477&gt;=75,V1477&lt;=175,W1477&gt;=65,W1477&lt;110),0.17,0)+IF(AND(V1477&gt;=75,V1477&lt;=175,W1477&gt;=110),0.12,0)+IF(AND(V1477&gt;175,W1477&lt;25),0.3,0)+IF(AND(V1477&gt;175,W1477&gt;=25,W1477&lt;55),0.23,0)+IF(AND(V1477&gt;175,W1477&gt;=55,W1477&lt;95),0.17,0)+IF(AND(V1477&gt;175,W1477&gt;=95),0.12,0),
IF(AF1477="DoEVLo",IF(AND(V1477&lt;20,W1477&lt;55),0.25,0)+IF(AND(V1477&lt;20,W1477&gt;=55,W1477&lt;105),0.2,0)+IF(AND(V1477&lt;20,W1477&gt;=105),0.15,0)+IF(AND(V1477&gt;=20,V1477&lt;40,W1477&lt;45),0.25,0)+IF(AND(V1477&gt;=20,V1477&lt;40,W1477&gt;=45,W1477&lt;95),0.2,0)+IF(AND(V1477&gt;=20,V1477&lt;40,W1477&gt;=95),0.15,0)+IF(AND(V1477&gt;=40,V1477&lt;75,W1477&lt;35),0.25,0)+IF(AND(V1477&gt;=40,V1477&lt;75,W1477&gt;=35,W1477&lt;75),0.2,0)+IF(AND(V1477&gt;=40,V1477&lt;75,W1477&gt;=75,W1477&lt;120),0.15,0)+IF(AND(V1477&gt;=40,V1477&lt;75,W1477&gt;=120),0.1,0)+IF(AND(V1477&gt;=75,V1477&lt;175,W1477&lt;35),0.25,0)+IF(AND(V1477&gt;=75,V1477&lt;=175,W1477&gt;=35,W1477&lt;65),0.2,0)+IF(AND(V1477&gt;=75,V1477&lt;=175,W1477&gt;=65,W1477&lt;110),0.15,0)+IF(AND(V1477&gt;=75,V1477&lt;=175,W1477&gt;=110),0.1,0)+IF(AND(V1477&gt;175,W1477&lt;25),0.25,0)+IF(AND(V1477&gt;175,W1477&gt;=25,W1477&lt;55),0.2,0)+IF(AND(V1477&gt;175,W1477&gt;=55,W1477&lt;95),0.15,0)+IF(AND(V1477&gt;175,W1477&gt;=95),0.1,0))))))))))))))))))))</f>
        <v>0.12</v>
      </c>
      <c r="Y1477" s="30">
        <f>IF(AG1477="None",0,IF(AG1477="Fix5",0.05, IF(AG1477="Fix6.25",0.0625,IF(AG1477="Fix3.75",0.0375, IF(AG1477="Fix11",0.11, IF(AG1477="Fix10",0.1,IF(AG1477="Fix3",0.03,0)))))))</f>
        <v>0</v>
      </c>
      <c r="Z1477" s="35">
        <f>IF(AND(AD1477="EUR", AE1477 = "USD"), T1477*U1477-AA1477-AB1477, T1477-AA1477-AB1477)</f>
        <v>0</v>
      </c>
      <c r="AA1477" s="29">
        <f>IF(AND(AD1477="EUR", F1477="Without EV deal", AE1477="USD"), (T1477*X1477)*U1477,
IF(AND(AD1477="EUR", F1477="Without EV deal", AE1477="EUR"), (T1477*X1477),
IF(AND(AD1477="EUR",AE1477="USD"), (T1477*X1477)*U1477,
T1477*X1477)))</f>
        <v>0</v>
      </c>
      <c r="AB1477" s="36">
        <f>IF(AND(AD1477="EUR", F1477="Without EV deal", AE1477="USD"), (T1477*Y1477)*U1477,
IF(AND(AD1477="EUR", F1477="Without EV deal", AE1477="EUR"), (T1477*Y1477),
IF(AND(AD1477="EUR",AE1477="USD"), (T1477*Y1477)*U1477,
T1477*Y1477)))</f>
        <v>0</v>
      </c>
      <c r="AC1477" s="37" t="b">
        <v>0</v>
      </c>
      <c r="AD1477" s="82" t="str">
        <f>IF(OR(H1477="€0.25 Flash",
H1477="€0.25(nitro) new",
H1477="€1",
H1477="€2",
H1477="€2 (bf 01.08)",
H1477="€5",
H1477="€5 (1M)",
H1477="€5 (bf 01.08)",
H1477="€5 (bf 05.05)",
H1477="€5 Nitro",
H1477="€5(wx) new",
H1477="€10",
H1477="€10 (1M)",
H1477="€10 (bf 01.08)",
H1477="€10 (bf 05.05)",
H1477="€10 (MP)",
H1477="€10 (old)",
H1477="€10 Nitro (bf 05.05)",
H1477="€10 Nitro (old)",
H1477="€10(wx) new",
H1477="€20",
H1477="€25",
H1477="€25 (bf 01.08)",
H1477="€25 (bf 05.05)",
H1477="€25 (MP)",
H1477="€25 (old)",
H1477="€25 Nitro",
H1477="€25 Nitro (bf 01.08)",
H1477="€25 Nitro (bf 05.05)",
H1477="€25(nitro) new",
H1477="€25(wx) new",
H1477="€50",
H1477="€50 (bf 01.08)",
H1477="€50 (bf 05.05)",
H1477="€50 (old)",
H1477="€50 Nitro",
H1477="€50 Nitro (bf 01.08)",
H1477="€50 Nitro (bf 05.05)",
H1477="€50(wx) new",
H1477="€100",
H1477="€100 (old)",
H1477="€100 Nitro",
H1477="€100 Nitro (old)",
H1477="€200",
H1477="€250",
H1477="€250 Nitro",
H1477="€500",
H1477="€500 Nitro"),"EUR", "USD")</f>
        <v>USD</v>
      </c>
      <c r="AE1477" s="83" t="s">
        <v>38</v>
      </c>
      <c r="AF1477" s="83" t="str">
        <f t="array" ref="AF1477">INDEX('Deal Info'!D:D, MATCH(A1477,'Deal Info'!A:A, 0))</f>
        <v>DoEVsu</v>
      </c>
      <c r="AG1477" s="84" t="str">
        <f t="array" ref="AG1477">INDEX('Deal Info'!G:G, MATCH(A1477,'Deal Info'!A:A, 0))</f>
        <v>None</v>
      </c>
    </row>
    <row r="1478" spans="1:33" ht="14.25" hidden="1" x14ac:dyDescent="0.2">
      <c r="A1478" s="18" t="str">
        <f t="array" ref="A1478">IF(G1478='Room Info'!$B$1, INDEX('Room Info'!$A$2:$A2446, MATCH(B1478,'Room Info'!$B$2:$B2446, 0)),IF(G1478='Room Info'!$C$1, INDEX('Room Info'!$A$2:$A2446, MATCH(B1478,'Room Info'!$C$2:$C2446, 0)),IF(G1478='Room Info'!$D$1, INDEX('Room Info'!$A$2:$A2446, MATCH(B1478,'Room Info'!$D$2:$D2446, 0)),IF(G1478='Room Info'!$E$1, INDEX('Room Info'!$A$2:$A2446, MATCH(B1478,'Room Info'!$E$2:$E2446, 0)),IF(G1478='Room Info'!$F$1, INDEX('Room Info'!$A$2:$A2446, MATCH(B1478,'Room Info'!$F$2:$F2446, 0)),IF(G1478='Room Info'!$H$1, INDEX('Room Info'!$A$2:$A2446, MATCH(B1478,'Room Info'!$H$2:$H2446, 0)),IF(G1478='Room Info'!$G$1, INDEX('Room Info'!$A$2:$A2446, MATCH(B1478,'Room Info'!$G$2:$G2446, 0)))))))))</f>
        <v>supreme325i</v>
      </c>
      <c r="B1478" s="85" t="s">
        <v>220</v>
      </c>
      <c r="C1478" s="86">
        <v>44947</v>
      </c>
      <c r="D1478" s="87">
        <v>44977</v>
      </c>
      <c r="E1478" s="21">
        <v>44958</v>
      </c>
      <c r="F1478" s="22" t="s">
        <v>34</v>
      </c>
      <c r="G1478" s="18" t="s">
        <v>35</v>
      </c>
      <c r="H1478" s="23" t="s">
        <v>87</v>
      </c>
      <c r="I1478" s="23" t="s">
        <v>44</v>
      </c>
      <c r="J1478" s="39">
        <v>25</v>
      </c>
      <c r="K1478" s="88">
        <v>9</v>
      </c>
      <c r="L1478" s="89">
        <v>25</v>
      </c>
      <c r="M1478" s="27"/>
      <c r="N1478" s="28">
        <f>K1478*J1478</f>
        <v>225</v>
      </c>
      <c r="O1478" s="85">
        <v>-351</v>
      </c>
      <c r="P1478" s="29">
        <v>-39</v>
      </c>
      <c r="Q1478" s="30"/>
      <c r="R1478" s="31">
        <f>M1478+Q1478</f>
        <v>0</v>
      </c>
      <c r="S1478" s="28"/>
      <c r="T1478" s="32">
        <f>IF(AND(AD1478="EUR", F1478="Without EV deal"), R1478 + L1478,
IF(AND(AD1478="USD", F1478="Without EV deal"), R1478 + L1478,
IF(AND(AD1478="EUR", F1478="Steel Phoenix"), R1478 + S1478/U1478,
R1478 + S1478)))</f>
        <v>0</v>
      </c>
      <c r="U1478" s="33">
        <v>1.0669999999999999</v>
      </c>
      <c r="V1478" s="34">
        <v>24.29418831656405</v>
      </c>
      <c r="W1478" s="34">
        <v>328.14432390666047</v>
      </c>
      <c r="X1478" s="30">
        <f>IF(AF1478="DoEV",IF(AND(V1478&lt;20,W1478&lt;55),0.3,0)+IF(AND(V1478&lt;20,W1478&gt;=55,W1478&lt;105),0.23,0)+IF(AND(V1478&lt;20,W1478&gt;=105),0.17,0)+IF(AND(V1478&gt;=20,V1478&lt;40,W1478&lt;45),0.3,0)+IF(AND(V1478&gt;=20,V1478&lt;40,W1478&gt;=45,W1478&lt;95),0.23,0)+IF(AND(V1478&gt;=20,V1478&lt;40,W1478&gt;=95),0.17,0)+IF(AND(V1478&gt;=40,V1478&lt;75,W1478&lt;35),0.3,0)+IF(AND(V1478&gt;=40,V1478&lt;75,W1478&gt;=35,W1478&lt;75),0.23,0)+IF(AND(V1478&gt;=40,V1478&lt;75,W1478&gt;=75,W1478&lt;120),0.17,0)+IF(AND(V1478&gt;=40,V1478&lt;75,W1478&gt;=120),0.12,0)+IF(AND(V1478&gt;=75,V1478&lt;175,W1478&lt;35),0.3,0)+IF(AND(V1478&gt;=75,V1478&lt;=175,W1478&gt;=35,W1478&lt;65),0.23,0)+IF(AND(V1478&gt;=75,V1478&lt;=175,W1478&gt;=65,W1478&lt;110),0.17,0)+IF(AND(V1478&gt;=75,V1478&lt;=175,W1478&gt;=110),0.12,0)+IF(AND(V1478&gt;175,W1478&lt;25),0.3,0)+IF(AND(V1478&gt;175,W1478&gt;=25,W1478&lt;55),0.23,0)+IF(AND(V1478&gt;175,W1478&gt;=55,W1478&lt;95),0.17,0)+IF(AND(V1478&gt;175,W1478&gt;=95),0.12,0),
IF(AF1478="Fix15",0.15,
IF(AF1478="Fix5",0.05,
IF(AF1478="Fix18.75",0.1875,
IF(AF1478="Fix11.25",0.1125,
IF(AF1478="Fix10",0.1,
IF(AF1478="Fix9",0.09,
IF(AF1478="Fix12",0.12,
IF(AF1478="Fix19",0.19,
IF(AF1478="DoEV2017",IF(AND(W1478&lt;74),0.2,0)+IF(AND(W1478&gt;=74),0.17,0),
IF(AF1478="SF",IF(AND(V1478&lt;20,W1478&lt;89),0.3,0)+IF(AND(V1478&lt;20,W1478&gt;=89),0.25,0)+IF(AND(V1478&gt;=20,V1478&lt;40,W1478&lt;74),0.3,0)+IF(AND(V1478&gt;=20,V1478&lt;40,W1478&gt;=75),0.22,0)+IF(AND(V1478&gt;=40,V1478&lt;75,W1478&lt;75),0.26,0)+IF(AND(V1478&gt;=40,V1478&lt;75,W1478&gt;=75),0.22,0)+IF(V1478&gt;=75,0.22,0),
IF(AF1478="DoEVold",IF(AND(V1478&lt;40,W1478&lt;35),0.35,0)+IF(AND(V1478&lt;40,W1478&gt;=35,W1478&lt;75),0.25,0)+IF(AND(V1478&lt;40,W1478&gt;=75),0.17,0)+IF(AND(V1478&gt;=40,V1478&lt;75,W1478&lt;25),0.35,0)+IF(AND(V1478&gt;=40,V1478&lt;75,W1478&gt;=25,W1478&lt;65),0.25,0)+IF(AND(V1478&gt;=40,V1478&lt;75,W1478&gt;=65,W1478&lt;100),0.17,0)+IF(AND(V1478&gt;=40,V1478&lt;75,W1478&gt;=100),0.1,0)+IF(AND(V1478&gt;=75,W1478&lt;25),0.35,0)+IF(AND(V1478&gt;=75,W1478&gt;=25,W1478&lt;60),0.25,0)+IF(AND(V1478&gt;=75,W1478&gt;=60,W1478&lt;95),0.17,0)+IF(AND(V1478&gt;=75,W1478&gt;=95),0.1,0),
IF(AF1478="DoEVold15",IF(AND(V1478&lt;=40,W1478&lt;35),0.35,0)+IF(AND(V1478&lt;=40,W1478&gt;=35,W1478&lt;75),0.25,0)+IF(AND(V1478&lt;=40,W1478&gt;=75,W1478&lt;120),0.17,0)+IF(AND(V1478&lt;=40,W1478&gt;=120),0.15,0)+IF(AND(V1478&gt;40,V1478&lt;75,W1478&lt;25),0.35,0)+IF(AND(V1478&gt;=40,V1478&lt;75,W1478&gt;=25,W1478&lt;65),0.25,0)+IF(AND(V1478&gt;=40,V1478&lt;75,W1478&gt;=65,W1478&lt;100),0.17,0)+IF(AND(V1478&gt;=40,V1478&lt;75,W1478&gt;=100),0.1,0)+IF(AND(V1478&gt;=75,W1478&lt;25),0.35,0)+IF(AND(V1478&gt;=75,W1478&gt;=25,W1478&lt;60),0.25,0)+IF(AND(V1478&gt;=75,W1478&gt;=60,W1478&lt;95),0.17,0)+IF(AND(V1478&gt;=75,W1478&gt;=95),0.1,0),
IF(AF1478="DoEVba",IF(AND(V1478&lt;20,W1478&lt;105),0.2,0)+IF(AND(V1478&lt;20,W1478&gt;=105),0.15,0)+IF(AND(V1478&gt;=20,V1478&lt;40,W1478&lt;95),0.2,0)+IF(AND(V1478&gt;=20,V1478&lt;40,W1478&gt;=95,W1478&lt;150),0.15,0)+IF(AND(V1478&gt;=20,V1478&lt;40,W1478&gt;=150),0.12,0)+IF(AND(V1478&gt;=40,V1478&lt;75,W1478&lt;75),0.2,0)+IF(AND(V1478&gt;=40,V1478&lt;75,W1478&gt;=75,W1478&lt;120),0.15,0)+IF(AND(V1478&gt;=40,V1478&lt;75,W1478&gt;=120),0.12,0)+IF(AND(V1478&gt;=75,V1478&lt;175,W1478&lt;65),0.2,0)+IF(AND(V1478&gt;=75,V1478&lt;175,W1478&gt;=65,W1478&lt;110),0.15,0)+IF(AND(V1478&gt;=75,V1478&lt;175,W1478&gt;=110),0.12,0)+IF(AND(V1478&gt;=175,W1478&lt;55),0.2,0)+IF(AND(V1478&gt;=175,W1478&gt;=55,W1478&lt;95),0.15,0)+IF(AND(V1478&gt;=175,W1478&gt;=95),0.12,0),
IF(AF1478="DoEVku",IF(AND(V1478&lt;20,W1478&lt;55),0.23,0)+IF(AND(V1478&lt;20,W1478&gt;=55,W1478&lt;105),0.2,0)+IF(AND(V1478&lt;20,W1478&gt;=105),0.17,0)+IF(AND(V1478&gt;=20,V1478&lt;40,W1478&lt;45),0.23,0)+IF(AND(V1478&gt;=20,V1478&lt;40,W1478&gt;=45,W1478&lt;95),0.2,0)+IF(AND(V1478&gt;=20,V1478&lt;40,W1478&gt;=95,W1478&lt;=150),0.17,0)+IF(AND(V1478&gt;=20,V1478&lt;40,W1478&gt;=150),0.12,0)+IF(AND(V1478&gt;=40,V1478&lt;75,W1478&lt;35),0.23,0)+IF(AND(V1478&gt;=40,V1478&lt;75,W1478&gt;=35,W1478&lt;75),0.2,0)+IF(AND(V1478&gt;=40,V1478&lt;75,W1478&gt;=75,W1478&lt;120),0.17,0)+IF(AND(V1478&gt;=40,V1478&lt;75,W1478&gt;=120),0.12,0)+IF(AND(V1478&gt;=75,V1478&lt;175,W1478&lt;35),0.23,0)+IF(AND(V1478&gt;=75,V1478&lt;=175,W1478&gt;=35,W1478&lt;65),0.2,0)+IF(AND(V1478&gt;=75,V1478&lt;=175,W1478&gt;=65,W1478&lt;110),0.17,0)+IF(AND(V1478&gt;=75,V1478&lt;=175,W1478&gt;=110),0.12,0)+IF(AND(V1478&gt;175,W1478&lt;25),0.23,0)+IF(AND(V1478&gt;175,W1478&gt;=25,W1478&lt;55),0.2,0)+IF(AND(V1478&gt;175,W1478&gt;=55,W1478&lt;95),0.17,0)+IF(AND(V1478&gt;175,W1478&gt;=95),0.12,0),
IF(AF1478="DoEVs1",IF(AND(V1478&lt;20,W1478&lt;55),0.3,0)+IF(AND(V1478&lt;20,W1478&gt;=55,W1478&lt;105),0.23,0)+IF(AND(V1478&lt;20,W1478&gt;=105),0.17,0)+IF(AND(V1478&gt;=20,V1478&lt;40,W1478&lt;45),0.3,0)+IF(AND(V1478&gt;=20,V1478&lt;40,W1478&gt;=45,W1478&lt;95),0.23,0)+IF(AND(V1478&gt;=20,V1478&lt;40,W1478&gt;=95,W1478&lt;=150),0.17,0)+IF(AND(V1478&gt;=20,V1478&lt;40,W1478&gt;=150),0.12,0)+IF(AND(V1478&gt;=40,V1478&lt;75,W1478&lt;35),0.3,0)+IF(AND(V1478&gt;=40,V1478&lt;75,W1478&gt;=35,W1478&lt;75),0.23,0)+IF(AND(V1478&gt;=40,V1478&lt;75,W1478&gt;=75,W1478&lt;120),0.17,0)+IF(AND(V1478&gt;=40,V1478&lt;75,W1478&gt;=120),0.12,0)+IF(AND(V1478&gt;=75,V1478&lt;175,W1478&lt;35),0.3,0)+IF(AND(V1478&gt;=75,V1478&lt;=175,W1478&gt;=35,W1478&lt;65),0.23,0)+IF(AND(V1478&gt;=75,V1478&lt;=175,W1478&gt;=65,W1478&lt;110),0.17,0)+IF(AND(V1478&gt;=75,V1478&lt;=175,W1478&gt;=110),0.12,0)+IF(AND(V1478&gt;175,W1478&lt;25),0.3,0)+IF(AND(V1478&gt;175,W1478&gt;=25,W1478&lt;55),0.23,0)+IF(AND(V1478&gt;175,W1478&gt;=55,W1478&lt;95),0.17,0)+IF(AND(V1478&gt;175,W1478&gt;=95),0.12,0),
IF(AF1478="DoEVsu",IF(AND(V1478&lt;20,W1478&lt;55),0.3,0)+IF(AND(V1478&lt;20,W1478&gt;=55,W1478&lt;105),0.23,0)+IF(AND(V1478&lt;20,W1478&gt;=105),0.17,0)+IF(AND(V1478&gt;=20,V1478&lt;40,W1478&lt;45),0.3,0)+IF(AND(V1478&gt;=20,V1478&lt;40,W1478&gt;=45,W1478&lt;95),0.23,0)+IF(AND(V1478&gt;=20,V1478&lt;40,W1478&gt;=95,W1478&lt;=250),0.17,0)+IF(AND(V1478&gt;=20,V1478&lt;40,W1478&gt;=250),0.12,0)+IF(AND(V1478&gt;=40,V1478&lt;75,W1478&lt;35),0.3,0)+IF(AND(V1478&gt;=40,V1478&lt;75,W1478&gt;=35,W1478&lt;75),0.23,0)+IF(AND(V1478&gt;=40,V1478&lt;75,W1478&gt;=75,W1478&lt;120),0.17,0)+IF(AND(V1478&gt;=40,V1478&lt;75,W1478&gt;=120),0.12,0)+IF(AND(V1478&gt;=75,V1478&lt;175,W1478&lt;35),0.3,0)+IF(AND(V1478&gt;=75,V1478&lt;=175,W1478&gt;=35,W1478&lt;65),0.23,0)+IF(AND(V1478&gt;=75,V1478&lt;=175,W1478&gt;=65,W1478&lt;110),0.17,0)+IF(AND(V1478&gt;=75,V1478&lt;=175,W1478&gt;=110),0.12,0)+IF(AND(V1478&gt;175,W1478&lt;25),0.3,0)+IF(AND(V1478&gt;175,W1478&gt;=25,W1478&lt;55),0.23,0)+IF(AND(V1478&gt;175,W1478&gt;=55,W1478&lt;95),0.17,0)+IF(AND(V1478&gt;175,W1478&gt;=95),0.12,0),
IF(AF1478="DoEVni",IF(AND(V1478&lt;20,W1478&lt;55),0.3,0)+IF(AND(V1478&lt;20,W1478&gt;=55,W1478&lt;105),0.23,0)+IF(AND(V1478&lt;20,W1478&gt;=105),0.17,0)+IF(AND(V1478&gt;=20,V1478&lt;40,W1478&lt;45),0.3,0)+IF(AND(V1478&gt;=20,V1478&lt;40,W1478&gt;=45,W1478&lt;95),0.23,0)+IF(AND(V1478&gt;=20,V1478&lt;40,W1478&gt;=95,W1478&lt;=200),0.17,0)+IF(AND(V1478&gt;=20,V1478&lt;40,W1478&gt;=200),0.12,0)+IF(AND(V1478&gt;=40,V1478&lt;75,W1478&lt;35),0.3,0)+IF(AND(V1478&gt;=40,V1478&lt;75,W1478&gt;=35,W1478&lt;75),0.23,0)+IF(AND(V1478&gt;=40,V1478&lt;75,W1478&gt;=75,W1478&lt;120),0.17,0)+IF(AND(V1478&gt;=40,V1478&lt;75,W1478&gt;=120),0.12,0)+IF(AND(V1478&gt;=75,V1478&lt;175,W1478&lt;35),0.3,0)+IF(AND(V1478&gt;=75,V1478&lt;=175,W1478&gt;=35,W1478&lt;65),0.23,0)+IF(AND(V1478&gt;=75,V1478&lt;=175,W1478&gt;=65,W1478&lt;110),0.17,0)+IF(AND(V1478&gt;=75,V1478&lt;=175,W1478&gt;=110),0.12,0)+IF(AND(V1478&gt;175,W1478&lt;25),0.3,0)+IF(AND(V1478&gt;175,W1478&gt;=25,W1478&lt;55),0.23,0)+IF(AND(V1478&gt;175,W1478&gt;=55,W1478&lt;95),0.17,0)+IF(AND(V1478&gt;175,W1478&gt;=95),0.12,0),
IF(AF1478="DoEVLo",IF(AND(V1478&lt;20,W1478&lt;55),0.25,0)+IF(AND(V1478&lt;20,W1478&gt;=55,W1478&lt;105),0.2,0)+IF(AND(V1478&lt;20,W1478&gt;=105),0.15,0)+IF(AND(V1478&gt;=20,V1478&lt;40,W1478&lt;45),0.25,0)+IF(AND(V1478&gt;=20,V1478&lt;40,W1478&gt;=45,W1478&lt;95),0.2,0)+IF(AND(V1478&gt;=20,V1478&lt;40,W1478&gt;=95),0.15,0)+IF(AND(V1478&gt;=40,V1478&lt;75,W1478&lt;35),0.25,0)+IF(AND(V1478&gt;=40,V1478&lt;75,W1478&gt;=35,W1478&lt;75),0.2,0)+IF(AND(V1478&gt;=40,V1478&lt;75,W1478&gt;=75,W1478&lt;120),0.15,0)+IF(AND(V1478&gt;=40,V1478&lt;75,W1478&gt;=120),0.1,0)+IF(AND(V1478&gt;=75,V1478&lt;175,W1478&lt;35),0.25,0)+IF(AND(V1478&gt;=75,V1478&lt;=175,W1478&gt;=35,W1478&lt;65),0.2,0)+IF(AND(V1478&gt;=75,V1478&lt;=175,W1478&gt;=65,W1478&lt;110),0.15,0)+IF(AND(V1478&gt;=75,V1478&lt;=175,W1478&gt;=110),0.1,0)+IF(AND(V1478&gt;175,W1478&lt;25),0.25,0)+IF(AND(V1478&gt;175,W1478&gt;=25,W1478&lt;55),0.2,0)+IF(AND(V1478&gt;175,W1478&gt;=55,W1478&lt;95),0.15,0)+IF(AND(V1478&gt;175,W1478&gt;=95),0.1,0))))))))))))))))))))</f>
        <v>0.12</v>
      </c>
      <c r="Y1478" s="30">
        <f>IF(AG1478="None",0,IF(AG1478="Fix5",0.05, IF(AG1478="Fix6.25",0.0625,IF(AG1478="Fix3.75",0.0375, IF(AG1478="Fix11",0.11, IF(AG1478="Fix10",0.1,IF(AG1478="Fix3",0.03,0)))))))</f>
        <v>0</v>
      </c>
      <c r="Z1478" s="35">
        <f>IF(AND(AD1478="EUR", AE1478 = "USD"), T1478*U1478-AA1478-AB1478, T1478-AA1478-AB1478)</f>
        <v>0</v>
      </c>
      <c r="AA1478" s="29">
        <f>IF(AND(AD1478="EUR", F1478="Without EV deal", AE1478="USD"), (T1478*X1478)*U1478,
IF(AND(AD1478="EUR", F1478="Without EV deal", AE1478="EUR"), (T1478*X1478),
IF(AND(AD1478="EUR",AE1478="USD"), (T1478*X1478)*U1478,
T1478*X1478)))</f>
        <v>0</v>
      </c>
      <c r="AB1478" s="36">
        <f>IF(AND(AD1478="EUR", F1478="Without EV deal", AE1478="USD"), (T1478*Y1478)*U1478,
IF(AND(AD1478="EUR", F1478="Without EV deal", AE1478="EUR"), (T1478*Y1478),
IF(AND(AD1478="EUR",AE1478="USD"), (T1478*Y1478)*U1478,
T1478*Y1478)))</f>
        <v>0</v>
      </c>
      <c r="AC1478" s="37" t="b">
        <v>0</v>
      </c>
      <c r="AD1478" s="82" t="str">
        <f>IF(OR(H1478="€0.25 Flash",
H1478="€0.25(nitro) new",
H1478="€1",
H1478="€2",
H1478="€2 (bf 01.08)",
H1478="€5",
H1478="€5 (1M)",
H1478="€5 (bf 01.08)",
H1478="€5 (bf 05.05)",
H1478="€5 Nitro",
H1478="€5(wx) new",
H1478="€10",
H1478="€10 (1M)",
H1478="€10 (bf 01.08)",
H1478="€10 (bf 05.05)",
H1478="€10 (MP)",
H1478="€10 (old)",
H1478="€10 Nitro (bf 05.05)",
H1478="€10 Nitro (old)",
H1478="€10(wx) new",
H1478="€20",
H1478="€25",
H1478="€25 (bf 01.08)",
H1478="€25 (bf 05.05)",
H1478="€25 (MP)",
H1478="€25 (old)",
H1478="€25 Nitro",
H1478="€25 Nitro (bf 01.08)",
H1478="€25 Nitro (bf 05.05)",
H1478="€25(nitro) new",
H1478="€25(wx) new",
H1478="€50",
H1478="€50 (bf 01.08)",
H1478="€50 (bf 05.05)",
H1478="€50 (old)",
H1478="€50 Nitro",
H1478="€50 Nitro (bf 01.08)",
H1478="€50 Nitro (bf 05.05)",
H1478="€50(wx) new",
H1478="€100",
H1478="€100 (old)",
H1478="€100 Nitro",
H1478="€100 Nitro (old)",
H1478="€200",
H1478="€250",
H1478="€250 Nitro",
H1478="€500",
H1478="€500 Nitro"),"EUR", "USD")</f>
        <v>USD</v>
      </c>
      <c r="AE1478" s="83" t="s">
        <v>38</v>
      </c>
      <c r="AF1478" s="83" t="str">
        <f t="array" ref="AF1478">INDEX('Deal Info'!D:D, MATCH(A1478,'Deal Info'!A:A, 0))</f>
        <v>DoEVsu</v>
      </c>
      <c r="AG1478" s="84" t="str">
        <f t="array" ref="AG1478">INDEX('Deal Info'!G:G, MATCH(A1478,'Deal Info'!A:A, 0))</f>
        <v>None</v>
      </c>
    </row>
    <row r="1479" spans="1:33" ht="14.25" hidden="1" x14ac:dyDescent="0.2">
      <c r="A1479" s="18" t="str">
        <f t="array" ref="A1479">IF(G1479='Room Info'!$B$1, INDEX('Room Info'!$A$2:$A2446, MATCH(B1479,'Room Info'!$B$2:$B2446, 0)),IF(G1479='Room Info'!$C$1, INDEX('Room Info'!$A$2:$A2446, MATCH(B1479,'Room Info'!$C$2:$C2446, 0)),IF(G1479='Room Info'!$D$1, INDEX('Room Info'!$A$2:$A2446, MATCH(B1479,'Room Info'!$D$2:$D2446, 0)),IF(G1479='Room Info'!$E$1, INDEX('Room Info'!$A$2:$A2446, MATCH(B1479,'Room Info'!$E$2:$E2446, 0)),IF(G1479='Room Info'!$F$1, INDEX('Room Info'!$A$2:$A2446, MATCH(B1479,'Room Info'!$F$2:$F2446, 0)),IF(G1479='Room Info'!$H$1, INDEX('Room Info'!$A$2:$A2446, MATCH(B1479,'Room Info'!$H$2:$H2446, 0)),IF(G1479='Room Info'!$G$1, INDEX('Room Info'!$A$2:$A2446, MATCH(B1479,'Room Info'!$G$2:$G2446, 0)))))))))</f>
        <v>dimasik</v>
      </c>
      <c r="B1479" s="45" t="s">
        <v>162</v>
      </c>
      <c r="C1479" s="77">
        <v>44958</v>
      </c>
      <c r="D1479" s="77">
        <v>44985</v>
      </c>
      <c r="E1479" s="21">
        <v>44958</v>
      </c>
      <c r="F1479" s="22" t="s">
        <v>41</v>
      </c>
      <c r="G1479" s="18" t="s">
        <v>35</v>
      </c>
      <c r="H1479" s="23" t="s">
        <v>85</v>
      </c>
      <c r="I1479" s="23" t="s">
        <v>44</v>
      </c>
      <c r="J1479" s="39">
        <v>50</v>
      </c>
      <c r="K1479" s="75">
        <v>344</v>
      </c>
      <c r="L1479" s="72">
        <v>450</v>
      </c>
      <c r="M1479" s="76">
        <v>14500</v>
      </c>
      <c r="N1479" s="28">
        <f>K1479*J1479</f>
        <v>17200</v>
      </c>
      <c r="O1479" s="96"/>
      <c r="P1479" s="29">
        <v>0</v>
      </c>
      <c r="Q1479" s="55"/>
      <c r="R1479" s="31">
        <f>M1479+Q1479</f>
        <v>14500</v>
      </c>
      <c r="S1479" s="97"/>
      <c r="T1479" s="32">
        <f>IF(AND(AD1479="EUR", F1479="Without EV deal"), R1479 + L1479,
IF(AND(AD1479="USD", F1479="Without EV deal"), R1479 + L1479,
IF(AND(AD1479="EUR", F1479="Steel Phoenix"), R1479 + S1479/U1479,
R1479 + S1479)))</f>
        <v>14950</v>
      </c>
      <c r="U1479" s="57">
        <v>1</v>
      </c>
      <c r="V1479" s="69"/>
      <c r="W1479" s="69"/>
      <c r="X1479" s="30">
        <f>IF(AF1479="DoEV",IF(AND(V1479&lt;20,W1479&lt;55),0.3,0)+IF(AND(V1479&lt;20,W1479&gt;=55,W1479&lt;105),0.23,0)+IF(AND(V1479&lt;20,W1479&gt;=105),0.17,0)+IF(AND(V1479&gt;=20,V1479&lt;40,W1479&lt;45),0.3,0)+IF(AND(V1479&gt;=20,V1479&lt;40,W1479&gt;=45,W1479&lt;95),0.23,0)+IF(AND(V1479&gt;=20,V1479&lt;40,W1479&gt;=95),0.17,0)+IF(AND(V1479&gt;=40,V1479&lt;75,W1479&lt;35),0.3,0)+IF(AND(V1479&gt;=40,V1479&lt;75,W1479&gt;=35,W1479&lt;75),0.23,0)+IF(AND(V1479&gt;=40,V1479&lt;75,W1479&gt;=75,W1479&lt;120),0.17,0)+IF(AND(V1479&gt;=40,V1479&lt;75,W1479&gt;=120),0.12,0)+IF(AND(V1479&gt;=75,V1479&lt;175,W1479&lt;35),0.3,0)+IF(AND(V1479&gt;=75,V1479&lt;=175,W1479&gt;=35,W1479&lt;65),0.23,0)+IF(AND(V1479&gt;=75,V1479&lt;=175,W1479&gt;=65,W1479&lt;110),0.17,0)+IF(AND(V1479&gt;=75,V1479&lt;=175,W1479&gt;=110),0.12,0)+IF(AND(V1479&gt;175,W1479&lt;25),0.3,0)+IF(AND(V1479&gt;175,W1479&gt;=25,W1479&lt;55),0.23,0)+IF(AND(V1479&gt;175,W1479&gt;=55,W1479&lt;95),0.17,0)+IF(AND(V1479&gt;175,W1479&gt;=95),0.12,0),
IF(AF1479="Fix15",0.15,
IF(AF1479="Fix5",0.05,
IF(AF1479="Fix18.75",0.1875,
IF(AF1479="Fix11.25",0.1125,
IF(AF1479="Fix10",0.1,
IF(AF1479="Fix9",0.09,
IF(AF1479="Fix12",0.12,
IF(AF1479="Fix19",0.19,
IF(AF1479="DoEV2017",IF(AND(W1479&lt;74),0.2,0)+IF(AND(W1479&gt;=74),0.17,0),
IF(AF1479="SF",IF(AND(V1479&lt;20,W1479&lt;89),0.3,0)+IF(AND(V1479&lt;20,W1479&gt;=89),0.25,0)+IF(AND(V1479&gt;=20,V1479&lt;40,W1479&lt;74),0.3,0)+IF(AND(V1479&gt;=20,V1479&lt;40,W1479&gt;=75),0.22,0)+IF(AND(V1479&gt;=40,V1479&lt;75,W1479&lt;75),0.26,0)+IF(AND(V1479&gt;=40,V1479&lt;75,W1479&gt;=75),0.22,0)+IF(V1479&gt;=75,0.22,0),
IF(AF1479="DoEVold",IF(AND(V1479&lt;40,W1479&lt;35),0.35,0)+IF(AND(V1479&lt;40,W1479&gt;=35,W1479&lt;75),0.25,0)+IF(AND(V1479&lt;40,W1479&gt;=75),0.17,0)+IF(AND(V1479&gt;=40,V1479&lt;75,W1479&lt;25),0.35,0)+IF(AND(V1479&gt;=40,V1479&lt;75,W1479&gt;=25,W1479&lt;65),0.25,0)+IF(AND(V1479&gt;=40,V1479&lt;75,W1479&gt;=65,W1479&lt;100),0.17,0)+IF(AND(V1479&gt;=40,V1479&lt;75,W1479&gt;=100),0.1,0)+IF(AND(V1479&gt;=75,W1479&lt;25),0.35,0)+IF(AND(V1479&gt;=75,W1479&gt;=25,W1479&lt;60),0.25,0)+IF(AND(V1479&gt;=75,W1479&gt;=60,W1479&lt;95),0.17,0)+IF(AND(V1479&gt;=75,W1479&gt;=95),0.1,0),
IF(AF1479="DoEVold15",IF(AND(V1479&lt;=40,W1479&lt;35),0.35,0)+IF(AND(V1479&lt;=40,W1479&gt;=35,W1479&lt;75),0.25,0)+IF(AND(V1479&lt;=40,W1479&gt;=75,W1479&lt;120),0.17,0)+IF(AND(V1479&lt;=40,W1479&gt;=120),0.15,0)+IF(AND(V1479&gt;40,V1479&lt;75,W1479&lt;25),0.35,0)+IF(AND(V1479&gt;=40,V1479&lt;75,W1479&gt;=25,W1479&lt;65),0.25,0)+IF(AND(V1479&gt;=40,V1479&lt;75,W1479&gt;=65,W1479&lt;100),0.17,0)+IF(AND(V1479&gt;=40,V1479&lt;75,W1479&gt;=100),0.1,0)+IF(AND(V1479&gt;=75,W1479&lt;25),0.35,0)+IF(AND(V1479&gt;=75,W1479&gt;=25,W1479&lt;60),0.25,0)+IF(AND(V1479&gt;=75,W1479&gt;=60,W1479&lt;95),0.17,0)+IF(AND(V1479&gt;=75,W1479&gt;=95),0.1,0),
IF(AF1479="DoEVba",IF(AND(V1479&lt;20,W1479&lt;105),0.2,0)+IF(AND(V1479&lt;20,W1479&gt;=105),0.15,0)+IF(AND(V1479&gt;=20,V1479&lt;40,W1479&lt;95),0.2,0)+IF(AND(V1479&gt;=20,V1479&lt;40,W1479&gt;=95,W1479&lt;150),0.15,0)+IF(AND(V1479&gt;=20,V1479&lt;40,W1479&gt;=150),0.12,0)+IF(AND(V1479&gt;=40,V1479&lt;75,W1479&lt;75),0.2,0)+IF(AND(V1479&gt;=40,V1479&lt;75,W1479&gt;=75,W1479&lt;120),0.15,0)+IF(AND(V1479&gt;=40,V1479&lt;75,W1479&gt;=120),0.12,0)+IF(AND(V1479&gt;=75,V1479&lt;175,W1479&lt;65),0.2,0)+IF(AND(V1479&gt;=75,V1479&lt;175,W1479&gt;=65,W1479&lt;110),0.15,0)+IF(AND(V1479&gt;=75,V1479&lt;175,W1479&gt;=110),0.12,0)+IF(AND(V1479&gt;=175,W1479&lt;55),0.2,0)+IF(AND(V1479&gt;=175,W1479&gt;=55,W1479&lt;95),0.15,0)+IF(AND(V1479&gt;=175,W1479&gt;=95),0.12,0),
IF(AF1479="DoEVku",IF(AND(V1479&lt;20,W1479&lt;55),0.23,0)+IF(AND(V1479&lt;20,W1479&gt;=55,W1479&lt;105),0.2,0)+IF(AND(V1479&lt;20,W1479&gt;=105),0.17,0)+IF(AND(V1479&gt;=20,V1479&lt;40,W1479&lt;45),0.23,0)+IF(AND(V1479&gt;=20,V1479&lt;40,W1479&gt;=45,W1479&lt;95),0.2,0)+IF(AND(V1479&gt;=20,V1479&lt;40,W1479&gt;=95,W1479&lt;=150),0.17,0)+IF(AND(V1479&gt;=20,V1479&lt;40,W1479&gt;=150),0.12,0)+IF(AND(V1479&gt;=40,V1479&lt;75,W1479&lt;35),0.23,0)+IF(AND(V1479&gt;=40,V1479&lt;75,W1479&gt;=35,W1479&lt;75),0.2,0)+IF(AND(V1479&gt;=40,V1479&lt;75,W1479&gt;=75,W1479&lt;120),0.17,0)+IF(AND(V1479&gt;=40,V1479&lt;75,W1479&gt;=120),0.12,0)+IF(AND(V1479&gt;=75,V1479&lt;175,W1479&lt;35),0.23,0)+IF(AND(V1479&gt;=75,V1479&lt;=175,W1479&gt;=35,W1479&lt;65),0.2,0)+IF(AND(V1479&gt;=75,V1479&lt;=175,W1479&gt;=65,W1479&lt;110),0.17,0)+IF(AND(V1479&gt;=75,V1479&lt;=175,W1479&gt;=110),0.12,0)+IF(AND(V1479&gt;175,W1479&lt;25),0.23,0)+IF(AND(V1479&gt;175,W1479&gt;=25,W1479&lt;55),0.2,0)+IF(AND(V1479&gt;175,W1479&gt;=55,W1479&lt;95),0.17,0)+IF(AND(V1479&gt;175,W1479&gt;=95),0.12,0),
IF(AF1479="DoEVs1",IF(AND(V1479&lt;20,W1479&lt;55),0.3,0)+IF(AND(V1479&lt;20,W1479&gt;=55,W1479&lt;105),0.23,0)+IF(AND(V1479&lt;20,W1479&gt;=105),0.17,0)+IF(AND(V1479&gt;=20,V1479&lt;40,W1479&lt;45),0.3,0)+IF(AND(V1479&gt;=20,V1479&lt;40,W1479&gt;=45,W1479&lt;95),0.23,0)+IF(AND(V1479&gt;=20,V1479&lt;40,W1479&gt;=95,W1479&lt;=150),0.17,0)+IF(AND(V1479&gt;=20,V1479&lt;40,W1479&gt;=150),0.12,0)+IF(AND(V1479&gt;=40,V1479&lt;75,W1479&lt;35),0.3,0)+IF(AND(V1479&gt;=40,V1479&lt;75,W1479&gt;=35,W1479&lt;75),0.23,0)+IF(AND(V1479&gt;=40,V1479&lt;75,W1479&gt;=75,W1479&lt;120),0.17,0)+IF(AND(V1479&gt;=40,V1479&lt;75,W1479&gt;=120),0.12,0)+IF(AND(V1479&gt;=75,V1479&lt;175,W1479&lt;35),0.3,0)+IF(AND(V1479&gt;=75,V1479&lt;=175,W1479&gt;=35,W1479&lt;65),0.23,0)+IF(AND(V1479&gt;=75,V1479&lt;=175,W1479&gt;=65,W1479&lt;110),0.17,0)+IF(AND(V1479&gt;=75,V1479&lt;=175,W1479&gt;=110),0.12,0)+IF(AND(V1479&gt;175,W1479&lt;25),0.3,0)+IF(AND(V1479&gt;175,W1479&gt;=25,W1479&lt;55),0.23,0)+IF(AND(V1479&gt;175,W1479&gt;=55,W1479&lt;95),0.17,0)+IF(AND(V1479&gt;175,W1479&gt;=95),0.12,0),
IF(AF1479="DoEVsu",IF(AND(V1479&lt;20,W1479&lt;55),0.3,0)+IF(AND(V1479&lt;20,W1479&gt;=55,W1479&lt;105),0.23,0)+IF(AND(V1479&lt;20,W1479&gt;=105),0.17,0)+IF(AND(V1479&gt;=20,V1479&lt;40,W1479&lt;45),0.3,0)+IF(AND(V1479&gt;=20,V1479&lt;40,W1479&gt;=45,W1479&lt;95),0.23,0)+IF(AND(V1479&gt;=20,V1479&lt;40,W1479&gt;=95,W1479&lt;=250),0.17,0)+IF(AND(V1479&gt;=20,V1479&lt;40,W1479&gt;=250),0.12,0)+IF(AND(V1479&gt;=40,V1479&lt;75,W1479&lt;35),0.3,0)+IF(AND(V1479&gt;=40,V1479&lt;75,W1479&gt;=35,W1479&lt;75),0.23,0)+IF(AND(V1479&gt;=40,V1479&lt;75,W1479&gt;=75,W1479&lt;120),0.17,0)+IF(AND(V1479&gt;=40,V1479&lt;75,W1479&gt;=120),0.12,0)+IF(AND(V1479&gt;=75,V1479&lt;175,W1479&lt;35),0.3,0)+IF(AND(V1479&gt;=75,V1479&lt;=175,W1479&gt;=35,W1479&lt;65),0.23,0)+IF(AND(V1479&gt;=75,V1479&lt;=175,W1479&gt;=65,W1479&lt;110),0.17,0)+IF(AND(V1479&gt;=75,V1479&lt;=175,W1479&gt;=110),0.12,0)+IF(AND(V1479&gt;175,W1479&lt;25),0.3,0)+IF(AND(V1479&gt;175,W1479&gt;=25,W1479&lt;55),0.23,0)+IF(AND(V1479&gt;175,W1479&gt;=55,W1479&lt;95),0.17,0)+IF(AND(V1479&gt;175,W1479&gt;=95),0.12,0),
IF(AF1479="DoEVni",IF(AND(V1479&lt;20,W1479&lt;55),0.3,0)+IF(AND(V1479&lt;20,W1479&gt;=55,W1479&lt;105),0.23,0)+IF(AND(V1479&lt;20,W1479&gt;=105),0.17,0)+IF(AND(V1479&gt;=20,V1479&lt;40,W1479&lt;45),0.3,0)+IF(AND(V1479&gt;=20,V1479&lt;40,W1479&gt;=45,W1479&lt;95),0.23,0)+IF(AND(V1479&gt;=20,V1479&lt;40,W1479&gt;=95,W1479&lt;=200),0.17,0)+IF(AND(V1479&gt;=20,V1479&lt;40,W1479&gt;=200),0.12,0)+IF(AND(V1479&gt;=40,V1479&lt;75,W1479&lt;35),0.3,0)+IF(AND(V1479&gt;=40,V1479&lt;75,W1479&gt;=35,W1479&lt;75),0.23,0)+IF(AND(V1479&gt;=40,V1479&lt;75,W1479&gt;=75,W1479&lt;120),0.17,0)+IF(AND(V1479&gt;=40,V1479&lt;75,W1479&gt;=120),0.12,0)+IF(AND(V1479&gt;=75,V1479&lt;175,W1479&lt;35),0.3,0)+IF(AND(V1479&gt;=75,V1479&lt;=175,W1479&gt;=35,W1479&lt;65),0.23,0)+IF(AND(V1479&gt;=75,V1479&lt;=175,W1479&gt;=65,W1479&lt;110),0.17,0)+IF(AND(V1479&gt;=75,V1479&lt;=175,W1479&gt;=110),0.12,0)+IF(AND(V1479&gt;175,W1479&lt;25),0.3,0)+IF(AND(V1479&gt;175,W1479&gt;=25,W1479&lt;55),0.23,0)+IF(AND(V1479&gt;175,W1479&gt;=55,W1479&lt;95),0.17,0)+IF(AND(V1479&gt;175,W1479&gt;=95),0.12,0),
IF(AF1479="DoEVLo",IF(AND(V1479&lt;20,W1479&lt;55),0.25,0)+IF(AND(V1479&lt;20,W1479&gt;=55,W1479&lt;105),0.2,0)+IF(AND(V1479&lt;20,W1479&gt;=105),0.15,0)+IF(AND(V1479&gt;=20,V1479&lt;40,W1479&lt;45),0.25,0)+IF(AND(V1479&gt;=20,V1479&lt;40,W1479&gt;=45,W1479&lt;95),0.2,0)+IF(AND(V1479&gt;=20,V1479&lt;40,W1479&gt;=95),0.15,0)+IF(AND(V1479&gt;=40,V1479&lt;75,W1479&lt;35),0.25,0)+IF(AND(V1479&gt;=40,V1479&lt;75,W1479&gt;=35,W1479&lt;75),0.2,0)+IF(AND(V1479&gt;=40,V1479&lt;75,W1479&gt;=75,W1479&lt;120),0.15,0)+IF(AND(V1479&gt;=40,V1479&lt;75,W1479&gt;=120),0.1,0)+IF(AND(V1479&gt;=75,V1479&lt;175,W1479&lt;35),0.25,0)+IF(AND(V1479&gt;=75,V1479&lt;=175,W1479&gt;=35,W1479&lt;65),0.2,0)+IF(AND(V1479&gt;=75,V1479&lt;=175,W1479&gt;=65,W1479&lt;110),0.15,0)+IF(AND(V1479&gt;=75,V1479&lt;=175,W1479&gt;=110),0.1,0)+IF(AND(V1479&gt;175,W1479&lt;25),0.25,0)+IF(AND(V1479&gt;175,W1479&gt;=25,W1479&lt;55),0.2,0)+IF(AND(V1479&gt;175,W1479&gt;=55,W1479&lt;95),0.15,0)+IF(AND(V1479&gt;175,W1479&gt;=95),0.1,0))))))))))))))))))))</f>
        <v>0.19</v>
      </c>
      <c r="Y1479" s="30">
        <f>IF(AG1479="None",0,IF(AG1479="Fix5",0.05, IF(AG1479="Fix6.25",0.0625,IF(AG1479="Fix3.75",0.0375, IF(AG1479="Fix11",0.11, IF(AG1479="Fix10",0.1,IF(AG1479="Fix3",0.03,0)))))))</f>
        <v>0</v>
      </c>
      <c r="Z1479" s="35">
        <f>IF(AND(AD1479="EUR", AE1479 = "USD"), T1479*U1479-AA1479-AB1479, T1479-AA1479-AB1479)</f>
        <v>12109.5</v>
      </c>
      <c r="AA1479" s="29">
        <f>IF(AND(AD1479="EUR", F1479="Without EV deal", AE1479="USD"), (T1479*X1479)*U1479,
IF(AND(AD1479="EUR", F1479="Without EV deal", AE1479="EUR"), (T1479*X1479),
IF(AND(AD1479="EUR",AE1479="USD"), (T1479*X1479)*U1479,
T1479*X1479)))</f>
        <v>2840.5</v>
      </c>
      <c r="AB1479" s="36">
        <f>IF(AND(AD1479="EUR", F1479="Without EV deal", AE1479="USD"), (T1479*Y1479)*U1479,
IF(AND(AD1479="EUR", F1479="Without EV deal", AE1479="EUR"), (T1479*Y1479),
IF(AND(AD1479="EUR",AE1479="USD"), (T1479*Y1479)*U1479,
T1479*Y1479)))</f>
        <v>0</v>
      </c>
      <c r="AC1479" s="37" t="b">
        <v>1</v>
      </c>
      <c r="AD1479" s="82" t="str">
        <f>IF(OR(H1479="€0.25 Flash",
H1479="€0.25(nitro) new",
H1479="€1",
H1479="€2",
H1479="€2 (bf 01.08)",
H1479="€5",
H1479="€5 (1M)",
H1479="€5 (bf 01.08)",
H1479="€5 (bf 05.05)",
H1479="€5 Nitro",
H1479="€5(wx) new",
H1479="€10",
H1479="€10 (1M)",
H1479="€10 (bf 01.08)",
H1479="€10 (bf 05.05)",
H1479="€10 (MP)",
H1479="€10 (old)",
H1479="€10 Nitro (bf 05.05)",
H1479="€10 Nitro (old)",
H1479="€10(wx) new",
H1479="€20",
H1479="€25",
H1479="€25 (bf 01.08)",
H1479="€25 (bf 05.05)",
H1479="€25 (MP)",
H1479="€25 (old)",
H1479="€25 Nitro",
H1479="€25 Nitro (bf 01.08)",
H1479="€25 Nitro (bf 05.05)",
H1479="€25(nitro) new",
H1479="€25(wx) new",
H1479="€50",
H1479="€50 (bf 01.08)",
H1479="€50 (bf 05.05)",
H1479="€50 (old)",
H1479="€50 Nitro",
H1479="€50 Nitro (bf 01.08)",
H1479="€50 Nitro (bf 05.05)",
H1479="€50(wx) new",
H1479="€100",
H1479="€100 (old)",
H1479="€100 Nitro",
H1479="€100 Nitro (old)",
H1479="€200",
H1479="€250",
H1479="€250 Nitro",
H1479="€500",
H1479="€500 Nitro"),"EUR", "USD")</f>
        <v>USD</v>
      </c>
      <c r="AE1479" s="83" t="s">
        <v>38</v>
      </c>
      <c r="AF1479" s="83" t="str">
        <f t="array" ref="AF1479">INDEX('Deal Info'!D:D, MATCH(A1479,'Deal Info'!A:A, 0))</f>
        <v>Fix19</v>
      </c>
      <c r="AG1479" s="84" t="str">
        <f t="array" ref="AG1479">INDEX('Deal Info'!G:G, MATCH(A1479,'Deal Info'!A:A, 0))</f>
        <v>None</v>
      </c>
    </row>
    <row r="1480" spans="1:33" ht="14.25" hidden="1" x14ac:dyDescent="0.2">
      <c r="A1480" s="18" t="str">
        <f t="array" ref="A1480">IF(G1480='Room Info'!$B$1, INDEX('Room Info'!$A$2:$A2446, MATCH(B1480,'Room Info'!$B$2:$B2446, 0)),IF(G1480='Room Info'!$C$1, INDEX('Room Info'!$A$2:$A2446, MATCH(B1480,'Room Info'!$C$2:$C2446, 0)),IF(G1480='Room Info'!$D$1, INDEX('Room Info'!$A$2:$A2446, MATCH(B1480,'Room Info'!$D$2:$D2446, 0)),IF(G1480='Room Info'!$E$1, INDEX('Room Info'!$A$2:$A2446, MATCH(B1480,'Room Info'!$E$2:$E2446, 0)),IF(G1480='Room Info'!$F$1, INDEX('Room Info'!$A$2:$A2446, MATCH(B1480,'Room Info'!$F$2:$F2446, 0)),IF(G1480='Room Info'!$H$1, INDEX('Room Info'!$A$2:$A2446, MATCH(B1480,'Room Info'!$H$2:$H2446, 0)),IF(G1480='Room Info'!$G$1, INDEX('Room Info'!$A$2:$A2446, MATCH(B1480,'Room Info'!$G$2:$G2446, 0)))))))))</f>
        <v>dimasik</v>
      </c>
      <c r="B1480" s="45" t="s">
        <v>162</v>
      </c>
      <c r="C1480" s="77">
        <v>44958</v>
      </c>
      <c r="D1480" s="77">
        <v>44985</v>
      </c>
      <c r="E1480" s="21">
        <v>44958</v>
      </c>
      <c r="F1480" s="22" t="s">
        <v>41</v>
      </c>
      <c r="G1480" s="18" t="s">
        <v>35</v>
      </c>
      <c r="H1480" s="23" t="s">
        <v>70</v>
      </c>
      <c r="I1480" s="23" t="s">
        <v>37</v>
      </c>
      <c r="J1480" s="39">
        <v>100</v>
      </c>
      <c r="K1480" s="51">
        <v>1293</v>
      </c>
      <c r="L1480" s="52">
        <v>-1000</v>
      </c>
      <c r="M1480" s="62"/>
      <c r="N1480" s="28">
        <f>K1480*J1480</f>
        <v>129300</v>
      </c>
      <c r="O1480" s="65"/>
      <c r="P1480" s="29">
        <v>0</v>
      </c>
      <c r="Q1480" s="55"/>
      <c r="R1480" s="31">
        <f>M1480+Q1480</f>
        <v>0</v>
      </c>
      <c r="S1480" s="66"/>
      <c r="T1480" s="32">
        <f>IF(AND(AD1480="EUR", F1480="Without EV deal"), R1480 + L1480,
IF(AND(AD1480="USD", F1480="Without EV deal"), R1480 + L1480,
IF(AND(AD1480="EUR", F1480="Steel Phoenix"), R1480 + S1480/U1480,
R1480 + S1480)))</f>
        <v>-1000</v>
      </c>
      <c r="U1480" s="57">
        <v>1</v>
      </c>
      <c r="V1480" s="69"/>
      <c r="W1480" s="69"/>
      <c r="X1480" s="30">
        <f>IF(AF1480="DoEV",IF(AND(V1480&lt;20,W1480&lt;55),0.3,0)+IF(AND(V1480&lt;20,W1480&gt;=55,W1480&lt;105),0.23,0)+IF(AND(V1480&lt;20,W1480&gt;=105),0.17,0)+IF(AND(V1480&gt;=20,V1480&lt;40,W1480&lt;45),0.3,0)+IF(AND(V1480&gt;=20,V1480&lt;40,W1480&gt;=45,W1480&lt;95),0.23,0)+IF(AND(V1480&gt;=20,V1480&lt;40,W1480&gt;=95),0.17,0)+IF(AND(V1480&gt;=40,V1480&lt;75,W1480&lt;35),0.3,0)+IF(AND(V1480&gt;=40,V1480&lt;75,W1480&gt;=35,W1480&lt;75),0.23,0)+IF(AND(V1480&gt;=40,V1480&lt;75,W1480&gt;=75,W1480&lt;120),0.17,0)+IF(AND(V1480&gt;=40,V1480&lt;75,W1480&gt;=120),0.12,0)+IF(AND(V1480&gt;=75,V1480&lt;175,W1480&lt;35),0.3,0)+IF(AND(V1480&gt;=75,V1480&lt;=175,W1480&gt;=35,W1480&lt;65),0.23,0)+IF(AND(V1480&gt;=75,V1480&lt;=175,W1480&gt;=65,W1480&lt;110),0.17,0)+IF(AND(V1480&gt;=75,V1480&lt;=175,W1480&gt;=110),0.12,0)+IF(AND(V1480&gt;175,W1480&lt;25),0.3,0)+IF(AND(V1480&gt;175,W1480&gt;=25,W1480&lt;55),0.23,0)+IF(AND(V1480&gt;175,W1480&gt;=55,W1480&lt;95),0.17,0)+IF(AND(V1480&gt;175,W1480&gt;=95),0.12,0),
IF(AF1480="Fix15",0.15,
IF(AF1480="Fix5",0.05,
IF(AF1480="Fix18.75",0.1875,
IF(AF1480="Fix11.25",0.1125,
IF(AF1480="Fix10",0.1,
IF(AF1480="Fix9",0.09,
IF(AF1480="Fix12",0.12,
IF(AF1480="Fix19",0.19,
IF(AF1480="DoEV2017",IF(AND(W1480&lt;74),0.2,0)+IF(AND(W1480&gt;=74),0.17,0),
IF(AF1480="SF",IF(AND(V1480&lt;20,W1480&lt;89),0.3,0)+IF(AND(V1480&lt;20,W1480&gt;=89),0.25,0)+IF(AND(V1480&gt;=20,V1480&lt;40,W1480&lt;74),0.3,0)+IF(AND(V1480&gt;=20,V1480&lt;40,W1480&gt;=75),0.22,0)+IF(AND(V1480&gt;=40,V1480&lt;75,W1480&lt;75),0.26,0)+IF(AND(V1480&gt;=40,V1480&lt;75,W1480&gt;=75),0.22,0)+IF(V1480&gt;=75,0.22,0),
IF(AF1480="DoEVold",IF(AND(V1480&lt;40,W1480&lt;35),0.35,0)+IF(AND(V1480&lt;40,W1480&gt;=35,W1480&lt;75),0.25,0)+IF(AND(V1480&lt;40,W1480&gt;=75),0.17,0)+IF(AND(V1480&gt;=40,V1480&lt;75,W1480&lt;25),0.35,0)+IF(AND(V1480&gt;=40,V1480&lt;75,W1480&gt;=25,W1480&lt;65),0.25,0)+IF(AND(V1480&gt;=40,V1480&lt;75,W1480&gt;=65,W1480&lt;100),0.17,0)+IF(AND(V1480&gt;=40,V1480&lt;75,W1480&gt;=100),0.1,0)+IF(AND(V1480&gt;=75,W1480&lt;25),0.35,0)+IF(AND(V1480&gt;=75,W1480&gt;=25,W1480&lt;60),0.25,0)+IF(AND(V1480&gt;=75,W1480&gt;=60,W1480&lt;95),0.17,0)+IF(AND(V1480&gt;=75,W1480&gt;=95),0.1,0),
IF(AF1480="DoEVold15",IF(AND(V1480&lt;=40,W1480&lt;35),0.35,0)+IF(AND(V1480&lt;=40,W1480&gt;=35,W1480&lt;75),0.25,0)+IF(AND(V1480&lt;=40,W1480&gt;=75,W1480&lt;120),0.17,0)+IF(AND(V1480&lt;=40,W1480&gt;=120),0.15,0)+IF(AND(V1480&gt;40,V1480&lt;75,W1480&lt;25),0.35,0)+IF(AND(V1480&gt;=40,V1480&lt;75,W1480&gt;=25,W1480&lt;65),0.25,0)+IF(AND(V1480&gt;=40,V1480&lt;75,W1480&gt;=65,W1480&lt;100),0.17,0)+IF(AND(V1480&gt;=40,V1480&lt;75,W1480&gt;=100),0.1,0)+IF(AND(V1480&gt;=75,W1480&lt;25),0.35,0)+IF(AND(V1480&gt;=75,W1480&gt;=25,W1480&lt;60),0.25,0)+IF(AND(V1480&gt;=75,W1480&gt;=60,W1480&lt;95),0.17,0)+IF(AND(V1480&gt;=75,W1480&gt;=95),0.1,0),
IF(AF1480="DoEVba",IF(AND(V1480&lt;20,W1480&lt;105),0.2,0)+IF(AND(V1480&lt;20,W1480&gt;=105),0.15,0)+IF(AND(V1480&gt;=20,V1480&lt;40,W1480&lt;95),0.2,0)+IF(AND(V1480&gt;=20,V1480&lt;40,W1480&gt;=95,W1480&lt;150),0.15,0)+IF(AND(V1480&gt;=20,V1480&lt;40,W1480&gt;=150),0.12,0)+IF(AND(V1480&gt;=40,V1480&lt;75,W1480&lt;75),0.2,0)+IF(AND(V1480&gt;=40,V1480&lt;75,W1480&gt;=75,W1480&lt;120),0.15,0)+IF(AND(V1480&gt;=40,V1480&lt;75,W1480&gt;=120),0.12,0)+IF(AND(V1480&gt;=75,V1480&lt;175,W1480&lt;65),0.2,0)+IF(AND(V1480&gt;=75,V1480&lt;175,W1480&gt;=65,W1480&lt;110),0.15,0)+IF(AND(V1480&gt;=75,V1480&lt;175,W1480&gt;=110),0.12,0)+IF(AND(V1480&gt;=175,W1480&lt;55),0.2,0)+IF(AND(V1480&gt;=175,W1480&gt;=55,W1480&lt;95),0.15,0)+IF(AND(V1480&gt;=175,W1480&gt;=95),0.12,0),
IF(AF1480="DoEVku",IF(AND(V1480&lt;20,W1480&lt;55),0.23,0)+IF(AND(V1480&lt;20,W1480&gt;=55,W1480&lt;105),0.2,0)+IF(AND(V1480&lt;20,W1480&gt;=105),0.17,0)+IF(AND(V1480&gt;=20,V1480&lt;40,W1480&lt;45),0.23,0)+IF(AND(V1480&gt;=20,V1480&lt;40,W1480&gt;=45,W1480&lt;95),0.2,0)+IF(AND(V1480&gt;=20,V1480&lt;40,W1480&gt;=95,W1480&lt;=150),0.17,0)+IF(AND(V1480&gt;=20,V1480&lt;40,W1480&gt;=150),0.12,0)+IF(AND(V1480&gt;=40,V1480&lt;75,W1480&lt;35),0.23,0)+IF(AND(V1480&gt;=40,V1480&lt;75,W1480&gt;=35,W1480&lt;75),0.2,0)+IF(AND(V1480&gt;=40,V1480&lt;75,W1480&gt;=75,W1480&lt;120),0.17,0)+IF(AND(V1480&gt;=40,V1480&lt;75,W1480&gt;=120),0.12,0)+IF(AND(V1480&gt;=75,V1480&lt;175,W1480&lt;35),0.23,0)+IF(AND(V1480&gt;=75,V1480&lt;=175,W1480&gt;=35,W1480&lt;65),0.2,0)+IF(AND(V1480&gt;=75,V1480&lt;=175,W1480&gt;=65,W1480&lt;110),0.17,0)+IF(AND(V1480&gt;=75,V1480&lt;=175,W1480&gt;=110),0.12,0)+IF(AND(V1480&gt;175,W1480&lt;25),0.23,0)+IF(AND(V1480&gt;175,W1480&gt;=25,W1480&lt;55),0.2,0)+IF(AND(V1480&gt;175,W1480&gt;=55,W1480&lt;95),0.17,0)+IF(AND(V1480&gt;175,W1480&gt;=95),0.12,0),
IF(AF1480="DoEVs1",IF(AND(V1480&lt;20,W1480&lt;55),0.3,0)+IF(AND(V1480&lt;20,W1480&gt;=55,W1480&lt;105),0.23,0)+IF(AND(V1480&lt;20,W1480&gt;=105),0.17,0)+IF(AND(V1480&gt;=20,V1480&lt;40,W1480&lt;45),0.3,0)+IF(AND(V1480&gt;=20,V1480&lt;40,W1480&gt;=45,W1480&lt;95),0.23,0)+IF(AND(V1480&gt;=20,V1480&lt;40,W1480&gt;=95,W1480&lt;=150),0.17,0)+IF(AND(V1480&gt;=20,V1480&lt;40,W1480&gt;=150),0.12,0)+IF(AND(V1480&gt;=40,V1480&lt;75,W1480&lt;35),0.3,0)+IF(AND(V1480&gt;=40,V1480&lt;75,W1480&gt;=35,W1480&lt;75),0.23,0)+IF(AND(V1480&gt;=40,V1480&lt;75,W1480&gt;=75,W1480&lt;120),0.17,0)+IF(AND(V1480&gt;=40,V1480&lt;75,W1480&gt;=120),0.12,0)+IF(AND(V1480&gt;=75,V1480&lt;175,W1480&lt;35),0.3,0)+IF(AND(V1480&gt;=75,V1480&lt;=175,W1480&gt;=35,W1480&lt;65),0.23,0)+IF(AND(V1480&gt;=75,V1480&lt;=175,W1480&gt;=65,W1480&lt;110),0.17,0)+IF(AND(V1480&gt;=75,V1480&lt;=175,W1480&gt;=110),0.12,0)+IF(AND(V1480&gt;175,W1480&lt;25),0.3,0)+IF(AND(V1480&gt;175,W1480&gt;=25,W1480&lt;55),0.23,0)+IF(AND(V1480&gt;175,W1480&gt;=55,W1480&lt;95),0.17,0)+IF(AND(V1480&gt;175,W1480&gt;=95),0.12,0),
IF(AF1480="DoEVsu",IF(AND(V1480&lt;20,W1480&lt;55),0.3,0)+IF(AND(V1480&lt;20,W1480&gt;=55,W1480&lt;105),0.23,0)+IF(AND(V1480&lt;20,W1480&gt;=105),0.17,0)+IF(AND(V1480&gt;=20,V1480&lt;40,W1480&lt;45),0.3,0)+IF(AND(V1480&gt;=20,V1480&lt;40,W1480&gt;=45,W1480&lt;95),0.23,0)+IF(AND(V1480&gt;=20,V1480&lt;40,W1480&gt;=95,W1480&lt;=250),0.17,0)+IF(AND(V1480&gt;=20,V1480&lt;40,W1480&gt;=250),0.12,0)+IF(AND(V1480&gt;=40,V1480&lt;75,W1480&lt;35),0.3,0)+IF(AND(V1480&gt;=40,V1480&lt;75,W1480&gt;=35,W1480&lt;75),0.23,0)+IF(AND(V1480&gt;=40,V1480&lt;75,W1480&gt;=75,W1480&lt;120),0.17,0)+IF(AND(V1480&gt;=40,V1480&lt;75,W1480&gt;=120),0.12,0)+IF(AND(V1480&gt;=75,V1480&lt;175,W1480&lt;35),0.3,0)+IF(AND(V1480&gt;=75,V1480&lt;=175,W1480&gt;=35,W1480&lt;65),0.23,0)+IF(AND(V1480&gt;=75,V1480&lt;=175,W1480&gt;=65,W1480&lt;110),0.17,0)+IF(AND(V1480&gt;=75,V1480&lt;=175,W1480&gt;=110),0.12,0)+IF(AND(V1480&gt;175,W1480&lt;25),0.3,0)+IF(AND(V1480&gt;175,W1480&gt;=25,W1480&lt;55),0.23,0)+IF(AND(V1480&gt;175,W1480&gt;=55,W1480&lt;95),0.17,0)+IF(AND(V1480&gt;175,W1480&gt;=95),0.12,0),
IF(AF1480="DoEVni",IF(AND(V1480&lt;20,W1480&lt;55),0.3,0)+IF(AND(V1480&lt;20,W1480&gt;=55,W1480&lt;105),0.23,0)+IF(AND(V1480&lt;20,W1480&gt;=105),0.17,0)+IF(AND(V1480&gt;=20,V1480&lt;40,W1480&lt;45),0.3,0)+IF(AND(V1480&gt;=20,V1480&lt;40,W1480&gt;=45,W1480&lt;95),0.23,0)+IF(AND(V1480&gt;=20,V1480&lt;40,W1480&gt;=95,W1480&lt;=200),0.17,0)+IF(AND(V1480&gt;=20,V1480&lt;40,W1480&gt;=200),0.12,0)+IF(AND(V1480&gt;=40,V1480&lt;75,W1480&lt;35),0.3,0)+IF(AND(V1480&gt;=40,V1480&lt;75,W1480&gt;=35,W1480&lt;75),0.23,0)+IF(AND(V1480&gt;=40,V1480&lt;75,W1480&gt;=75,W1480&lt;120),0.17,0)+IF(AND(V1480&gt;=40,V1480&lt;75,W1480&gt;=120),0.12,0)+IF(AND(V1480&gt;=75,V1480&lt;175,W1480&lt;35),0.3,0)+IF(AND(V1480&gt;=75,V1480&lt;=175,W1480&gt;=35,W1480&lt;65),0.23,0)+IF(AND(V1480&gt;=75,V1480&lt;=175,W1480&gt;=65,W1480&lt;110),0.17,0)+IF(AND(V1480&gt;=75,V1480&lt;=175,W1480&gt;=110),0.12,0)+IF(AND(V1480&gt;175,W1480&lt;25),0.3,0)+IF(AND(V1480&gt;175,W1480&gt;=25,W1480&lt;55),0.23,0)+IF(AND(V1480&gt;175,W1480&gt;=55,W1480&lt;95),0.17,0)+IF(AND(V1480&gt;175,W1480&gt;=95),0.12,0),
IF(AF1480="DoEVLo",IF(AND(V1480&lt;20,W1480&lt;55),0.25,0)+IF(AND(V1480&lt;20,W1480&gt;=55,W1480&lt;105),0.2,0)+IF(AND(V1480&lt;20,W1480&gt;=105),0.15,0)+IF(AND(V1480&gt;=20,V1480&lt;40,W1480&lt;45),0.25,0)+IF(AND(V1480&gt;=20,V1480&lt;40,W1480&gt;=45,W1480&lt;95),0.2,0)+IF(AND(V1480&gt;=20,V1480&lt;40,W1480&gt;=95),0.15,0)+IF(AND(V1480&gt;=40,V1480&lt;75,W1480&lt;35),0.25,0)+IF(AND(V1480&gt;=40,V1480&lt;75,W1480&gt;=35,W1480&lt;75),0.2,0)+IF(AND(V1480&gt;=40,V1480&lt;75,W1480&gt;=75,W1480&lt;120),0.15,0)+IF(AND(V1480&gt;=40,V1480&lt;75,W1480&gt;=120),0.1,0)+IF(AND(V1480&gt;=75,V1480&lt;175,W1480&lt;35),0.25,0)+IF(AND(V1480&gt;=75,V1480&lt;=175,W1480&gt;=35,W1480&lt;65),0.2,0)+IF(AND(V1480&gt;=75,V1480&lt;=175,W1480&gt;=65,W1480&lt;110),0.15,0)+IF(AND(V1480&gt;=75,V1480&lt;=175,W1480&gt;=110),0.1,0)+IF(AND(V1480&gt;175,W1480&lt;25),0.25,0)+IF(AND(V1480&gt;175,W1480&gt;=25,W1480&lt;55),0.2,0)+IF(AND(V1480&gt;175,W1480&gt;=55,W1480&lt;95),0.15,0)+IF(AND(V1480&gt;175,W1480&gt;=95),0.1,0))))))))))))))))))))</f>
        <v>0.19</v>
      </c>
      <c r="Y1480" s="30">
        <f>IF(AG1480="None",0,IF(AG1480="Fix5",0.05, IF(AG1480="Fix6.25",0.0625,IF(AG1480="Fix3.75",0.0375, IF(AG1480="Fix11",0.11, IF(AG1480="Fix10",0.1,IF(AG1480="Fix3",0.03,0)))))))</f>
        <v>0</v>
      </c>
      <c r="Z1480" s="35">
        <f>IF(AND(AD1480="EUR", AE1480 = "USD"), T1480*U1480-AA1480-AB1480, T1480-AA1480-AB1480)</f>
        <v>-810</v>
      </c>
      <c r="AA1480" s="29">
        <f>IF(AND(AD1480="EUR", F1480="Without EV deal", AE1480="USD"), (T1480*X1480)*U1480,
IF(AND(AD1480="EUR", F1480="Without EV deal", AE1480="EUR"), (T1480*X1480),
IF(AND(AD1480="EUR",AE1480="USD"), (T1480*X1480)*U1480,
T1480*X1480)))</f>
        <v>-190</v>
      </c>
      <c r="AB1480" s="36">
        <f>IF(AND(AD1480="EUR", F1480="Without EV deal", AE1480="USD"), (T1480*Y1480)*U1480,
IF(AND(AD1480="EUR", F1480="Without EV deal", AE1480="EUR"), (T1480*Y1480),
IF(AND(AD1480="EUR",AE1480="USD"), (T1480*Y1480)*U1480,
T1480*Y1480)))</f>
        <v>0</v>
      </c>
      <c r="AC1480" s="37" t="b">
        <v>1</v>
      </c>
      <c r="AD1480" s="82" t="str">
        <f>IF(OR(H1480="€0.25 Flash",
H1480="€0.25(nitro) new",
H1480="€1",
H1480="€2",
H1480="€2 (bf 01.08)",
H1480="€5",
H1480="€5 (1M)",
H1480="€5 (bf 01.08)",
H1480="€5 (bf 05.05)",
H1480="€5 Nitro",
H1480="€5(wx) new",
H1480="€10",
H1480="€10 (1M)",
H1480="€10 (bf 01.08)",
H1480="€10 (bf 05.05)",
H1480="€10 (MP)",
H1480="€10 (old)",
H1480="€10 Nitro (bf 05.05)",
H1480="€10 Nitro (old)",
H1480="€10(wx) new",
H1480="€20",
H1480="€25",
H1480="€25 (bf 01.08)",
H1480="€25 (bf 05.05)",
H1480="€25 (MP)",
H1480="€25 (old)",
H1480="€25 Nitro",
H1480="€25 Nitro (bf 01.08)",
H1480="€25 Nitro (bf 05.05)",
H1480="€25(nitro) new",
H1480="€25(wx) new",
H1480="€50",
H1480="€50 (bf 01.08)",
H1480="€50 (bf 05.05)",
H1480="€50 (old)",
H1480="€50 Nitro",
H1480="€50 Nitro (bf 01.08)",
H1480="€50 Nitro (bf 05.05)",
H1480="€50(wx) new",
H1480="€100",
H1480="€100 (old)",
H1480="€100 Nitro",
H1480="€100 Nitro (old)",
H1480="€200",
H1480="€250",
H1480="€250 Nitro",
H1480="€500",
H1480="€500 Nitro"),"EUR", "USD")</f>
        <v>USD</v>
      </c>
      <c r="AE1480" s="83" t="s">
        <v>38</v>
      </c>
      <c r="AF1480" s="83" t="str">
        <f t="array" ref="AF1480">INDEX('Deal Info'!D:D, MATCH(A1480,'Deal Info'!A:A, 0))</f>
        <v>Fix19</v>
      </c>
      <c r="AG1480" s="84" t="str">
        <f t="array" ref="AG1480">INDEX('Deal Info'!G:G, MATCH(A1480,'Deal Info'!A:A, 0))</f>
        <v>None</v>
      </c>
    </row>
    <row r="1481" spans="1:33" ht="14.25" hidden="1" x14ac:dyDescent="0.2">
      <c r="A1481" s="18" t="str">
        <f t="array" ref="A1481">IF(G1481='Room Info'!$B$1, INDEX('Room Info'!$A$2:$A2446, MATCH(B1481,'Room Info'!$B$2:$B2446, 0)),IF(G1481='Room Info'!$C$1, INDEX('Room Info'!$A$2:$A2446, MATCH(B1481,'Room Info'!$C$2:$C2446, 0)),IF(G1481='Room Info'!$D$1, INDEX('Room Info'!$A$2:$A2446, MATCH(B1481,'Room Info'!$D$2:$D2446, 0)),IF(G1481='Room Info'!$E$1, INDEX('Room Info'!$A$2:$A2446, MATCH(B1481,'Room Info'!$E$2:$E2446, 0)),IF(G1481='Room Info'!$F$1, INDEX('Room Info'!$A$2:$A2446, MATCH(B1481,'Room Info'!$F$2:$F2446, 0)),IF(G1481='Room Info'!$H$1, INDEX('Room Info'!$A$2:$A2446, MATCH(B1481,'Room Info'!$H$2:$H2446, 0)),IF(G1481='Room Info'!$G$1, INDEX('Room Info'!$A$2:$A2446, MATCH(B1481,'Room Info'!$G$2:$G2446, 0)))))))))</f>
        <v>dimasik</v>
      </c>
      <c r="B1481" s="45" t="s">
        <v>162</v>
      </c>
      <c r="C1481" s="77">
        <v>44958</v>
      </c>
      <c r="D1481" s="77">
        <v>44985</v>
      </c>
      <c r="E1481" s="21">
        <v>44958</v>
      </c>
      <c r="F1481" s="22" t="s">
        <v>41</v>
      </c>
      <c r="G1481" s="18" t="s">
        <v>35</v>
      </c>
      <c r="H1481" s="23" t="s">
        <v>84</v>
      </c>
      <c r="I1481" s="23" t="s">
        <v>44</v>
      </c>
      <c r="J1481" s="39">
        <v>100</v>
      </c>
      <c r="K1481" s="51">
        <v>2788</v>
      </c>
      <c r="L1481" s="52">
        <v>2100</v>
      </c>
      <c r="M1481" s="62"/>
      <c r="N1481" s="28">
        <f>K1481*J1481</f>
        <v>278800</v>
      </c>
      <c r="O1481" s="65"/>
      <c r="P1481" s="29">
        <v>0</v>
      </c>
      <c r="Q1481" s="55"/>
      <c r="R1481" s="31">
        <f>M1481+Q1481</f>
        <v>0</v>
      </c>
      <c r="S1481" s="66"/>
      <c r="T1481" s="32">
        <f>IF(AND(AD1481="EUR", F1481="Without EV deal"), R1481 + L1481,
IF(AND(AD1481="USD", F1481="Without EV deal"), R1481 + L1481,
IF(AND(AD1481="EUR", F1481="Steel Phoenix"), R1481 + S1481/U1481,
R1481 + S1481)))</f>
        <v>2100</v>
      </c>
      <c r="U1481" s="57">
        <v>1</v>
      </c>
      <c r="V1481" s="69"/>
      <c r="W1481" s="69"/>
      <c r="X1481" s="30">
        <f>IF(AF1481="DoEV",IF(AND(V1481&lt;20,W1481&lt;55),0.3,0)+IF(AND(V1481&lt;20,W1481&gt;=55,W1481&lt;105),0.23,0)+IF(AND(V1481&lt;20,W1481&gt;=105),0.17,0)+IF(AND(V1481&gt;=20,V1481&lt;40,W1481&lt;45),0.3,0)+IF(AND(V1481&gt;=20,V1481&lt;40,W1481&gt;=45,W1481&lt;95),0.23,0)+IF(AND(V1481&gt;=20,V1481&lt;40,W1481&gt;=95),0.17,0)+IF(AND(V1481&gt;=40,V1481&lt;75,W1481&lt;35),0.3,0)+IF(AND(V1481&gt;=40,V1481&lt;75,W1481&gt;=35,W1481&lt;75),0.23,0)+IF(AND(V1481&gt;=40,V1481&lt;75,W1481&gt;=75,W1481&lt;120),0.17,0)+IF(AND(V1481&gt;=40,V1481&lt;75,W1481&gt;=120),0.12,0)+IF(AND(V1481&gt;=75,V1481&lt;175,W1481&lt;35),0.3,0)+IF(AND(V1481&gt;=75,V1481&lt;=175,W1481&gt;=35,W1481&lt;65),0.23,0)+IF(AND(V1481&gt;=75,V1481&lt;=175,W1481&gt;=65,W1481&lt;110),0.17,0)+IF(AND(V1481&gt;=75,V1481&lt;=175,W1481&gt;=110),0.12,0)+IF(AND(V1481&gt;175,W1481&lt;25),0.3,0)+IF(AND(V1481&gt;175,W1481&gt;=25,W1481&lt;55),0.23,0)+IF(AND(V1481&gt;175,W1481&gt;=55,W1481&lt;95),0.17,0)+IF(AND(V1481&gt;175,W1481&gt;=95),0.12,0),
IF(AF1481="Fix15",0.15,
IF(AF1481="Fix5",0.05,
IF(AF1481="Fix18.75",0.1875,
IF(AF1481="Fix11.25",0.1125,
IF(AF1481="Fix10",0.1,
IF(AF1481="Fix9",0.09,
IF(AF1481="Fix12",0.12,
IF(AF1481="Fix19",0.19,
IF(AF1481="DoEV2017",IF(AND(W1481&lt;74),0.2,0)+IF(AND(W1481&gt;=74),0.17,0),
IF(AF1481="SF",IF(AND(V1481&lt;20,W1481&lt;89),0.3,0)+IF(AND(V1481&lt;20,W1481&gt;=89),0.25,0)+IF(AND(V1481&gt;=20,V1481&lt;40,W1481&lt;74),0.3,0)+IF(AND(V1481&gt;=20,V1481&lt;40,W1481&gt;=75),0.22,0)+IF(AND(V1481&gt;=40,V1481&lt;75,W1481&lt;75),0.26,0)+IF(AND(V1481&gt;=40,V1481&lt;75,W1481&gt;=75),0.22,0)+IF(V1481&gt;=75,0.22,0),
IF(AF1481="DoEVold",IF(AND(V1481&lt;40,W1481&lt;35),0.35,0)+IF(AND(V1481&lt;40,W1481&gt;=35,W1481&lt;75),0.25,0)+IF(AND(V1481&lt;40,W1481&gt;=75),0.17,0)+IF(AND(V1481&gt;=40,V1481&lt;75,W1481&lt;25),0.35,0)+IF(AND(V1481&gt;=40,V1481&lt;75,W1481&gt;=25,W1481&lt;65),0.25,0)+IF(AND(V1481&gt;=40,V1481&lt;75,W1481&gt;=65,W1481&lt;100),0.17,0)+IF(AND(V1481&gt;=40,V1481&lt;75,W1481&gt;=100),0.1,0)+IF(AND(V1481&gt;=75,W1481&lt;25),0.35,0)+IF(AND(V1481&gt;=75,W1481&gt;=25,W1481&lt;60),0.25,0)+IF(AND(V1481&gt;=75,W1481&gt;=60,W1481&lt;95),0.17,0)+IF(AND(V1481&gt;=75,W1481&gt;=95),0.1,0),
IF(AF1481="DoEVold15",IF(AND(V1481&lt;=40,W1481&lt;35),0.35,0)+IF(AND(V1481&lt;=40,W1481&gt;=35,W1481&lt;75),0.25,0)+IF(AND(V1481&lt;=40,W1481&gt;=75,W1481&lt;120),0.17,0)+IF(AND(V1481&lt;=40,W1481&gt;=120),0.15,0)+IF(AND(V1481&gt;40,V1481&lt;75,W1481&lt;25),0.35,0)+IF(AND(V1481&gt;=40,V1481&lt;75,W1481&gt;=25,W1481&lt;65),0.25,0)+IF(AND(V1481&gt;=40,V1481&lt;75,W1481&gt;=65,W1481&lt;100),0.17,0)+IF(AND(V1481&gt;=40,V1481&lt;75,W1481&gt;=100),0.1,0)+IF(AND(V1481&gt;=75,W1481&lt;25),0.35,0)+IF(AND(V1481&gt;=75,W1481&gt;=25,W1481&lt;60),0.25,0)+IF(AND(V1481&gt;=75,W1481&gt;=60,W1481&lt;95),0.17,0)+IF(AND(V1481&gt;=75,W1481&gt;=95),0.1,0),
IF(AF1481="DoEVba",IF(AND(V1481&lt;20,W1481&lt;105),0.2,0)+IF(AND(V1481&lt;20,W1481&gt;=105),0.15,0)+IF(AND(V1481&gt;=20,V1481&lt;40,W1481&lt;95),0.2,0)+IF(AND(V1481&gt;=20,V1481&lt;40,W1481&gt;=95,W1481&lt;150),0.15,0)+IF(AND(V1481&gt;=20,V1481&lt;40,W1481&gt;=150),0.12,0)+IF(AND(V1481&gt;=40,V1481&lt;75,W1481&lt;75),0.2,0)+IF(AND(V1481&gt;=40,V1481&lt;75,W1481&gt;=75,W1481&lt;120),0.15,0)+IF(AND(V1481&gt;=40,V1481&lt;75,W1481&gt;=120),0.12,0)+IF(AND(V1481&gt;=75,V1481&lt;175,W1481&lt;65),0.2,0)+IF(AND(V1481&gt;=75,V1481&lt;175,W1481&gt;=65,W1481&lt;110),0.15,0)+IF(AND(V1481&gt;=75,V1481&lt;175,W1481&gt;=110),0.12,0)+IF(AND(V1481&gt;=175,W1481&lt;55),0.2,0)+IF(AND(V1481&gt;=175,W1481&gt;=55,W1481&lt;95),0.15,0)+IF(AND(V1481&gt;=175,W1481&gt;=95),0.12,0),
IF(AF1481="DoEVku",IF(AND(V1481&lt;20,W1481&lt;55),0.23,0)+IF(AND(V1481&lt;20,W1481&gt;=55,W1481&lt;105),0.2,0)+IF(AND(V1481&lt;20,W1481&gt;=105),0.17,0)+IF(AND(V1481&gt;=20,V1481&lt;40,W1481&lt;45),0.23,0)+IF(AND(V1481&gt;=20,V1481&lt;40,W1481&gt;=45,W1481&lt;95),0.2,0)+IF(AND(V1481&gt;=20,V1481&lt;40,W1481&gt;=95,W1481&lt;=150),0.17,0)+IF(AND(V1481&gt;=20,V1481&lt;40,W1481&gt;=150),0.12,0)+IF(AND(V1481&gt;=40,V1481&lt;75,W1481&lt;35),0.23,0)+IF(AND(V1481&gt;=40,V1481&lt;75,W1481&gt;=35,W1481&lt;75),0.2,0)+IF(AND(V1481&gt;=40,V1481&lt;75,W1481&gt;=75,W1481&lt;120),0.17,0)+IF(AND(V1481&gt;=40,V1481&lt;75,W1481&gt;=120),0.12,0)+IF(AND(V1481&gt;=75,V1481&lt;175,W1481&lt;35),0.23,0)+IF(AND(V1481&gt;=75,V1481&lt;=175,W1481&gt;=35,W1481&lt;65),0.2,0)+IF(AND(V1481&gt;=75,V1481&lt;=175,W1481&gt;=65,W1481&lt;110),0.17,0)+IF(AND(V1481&gt;=75,V1481&lt;=175,W1481&gt;=110),0.12,0)+IF(AND(V1481&gt;175,W1481&lt;25),0.23,0)+IF(AND(V1481&gt;175,W1481&gt;=25,W1481&lt;55),0.2,0)+IF(AND(V1481&gt;175,W1481&gt;=55,W1481&lt;95),0.17,0)+IF(AND(V1481&gt;175,W1481&gt;=95),0.12,0),
IF(AF1481="DoEVs1",IF(AND(V1481&lt;20,W1481&lt;55),0.3,0)+IF(AND(V1481&lt;20,W1481&gt;=55,W1481&lt;105),0.23,0)+IF(AND(V1481&lt;20,W1481&gt;=105),0.17,0)+IF(AND(V1481&gt;=20,V1481&lt;40,W1481&lt;45),0.3,0)+IF(AND(V1481&gt;=20,V1481&lt;40,W1481&gt;=45,W1481&lt;95),0.23,0)+IF(AND(V1481&gt;=20,V1481&lt;40,W1481&gt;=95,W1481&lt;=150),0.17,0)+IF(AND(V1481&gt;=20,V1481&lt;40,W1481&gt;=150),0.12,0)+IF(AND(V1481&gt;=40,V1481&lt;75,W1481&lt;35),0.3,0)+IF(AND(V1481&gt;=40,V1481&lt;75,W1481&gt;=35,W1481&lt;75),0.23,0)+IF(AND(V1481&gt;=40,V1481&lt;75,W1481&gt;=75,W1481&lt;120),0.17,0)+IF(AND(V1481&gt;=40,V1481&lt;75,W1481&gt;=120),0.12,0)+IF(AND(V1481&gt;=75,V1481&lt;175,W1481&lt;35),0.3,0)+IF(AND(V1481&gt;=75,V1481&lt;=175,W1481&gt;=35,W1481&lt;65),0.23,0)+IF(AND(V1481&gt;=75,V1481&lt;=175,W1481&gt;=65,W1481&lt;110),0.17,0)+IF(AND(V1481&gt;=75,V1481&lt;=175,W1481&gt;=110),0.12,0)+IF(AND(V1481&gt;175,W1481&lt;25),0.3,0)+IF(AND(V1481&gt;175,W1481&gt;=25,W1481&lt;55),0.23,0)+IF(AND(V1481&gt;175,W1481&gt;=55,W1481&lt;95),0.17,0)+IF(AND(V1481&gt;175,W1481&gt;=95),0.12,0),
IF(AF1481="DoEVsu",IF(AND(V1481&lt;20,W1481&lt;55),0.3,0)+IF(AND(V1481&lt;20,W1481&gt;=55,W1481&lt;105),0.23,0)+IF(AND(V1481&lt;20,W1481&gt;=105),0.17,0)+IF(AND(V1481&gt;=20,V1481&lt;40,W1481&lt;45),0.3,0)+IF(AND(V1481&gt;=20,V1481&lt;40,W1481&gt;=45,W1481&lt;95),0.23,0)+IF(AND(V1481&gt;=20,V1481&lt;40,W1481&gt;=95,W1481&lt;=250),0.17,0)+IF(AND(V1481&gt;=20,V1481&lt;40,W1481&gt;=250),0.12,0)+IF(AND(V1481&gt;=40,V1481&lt;75,W1481&lt;35),0.3,0)+IF(AND(V1481&gt;=40,V1481&lt;75,W1481&gt;=35,W1481&lt;75),0.23,0)+IF(AND(V1481&gt;=40,V1481&lt;75,W1481&gt;=75,W1481&lt;120),0.17,0)+IF(AND(V1481&gt;=40,V1481&lt;75,W1481&gt;=120),0.12,0)+IF(AND(V1481&gt;=75,V1481&lt;175,W1481&lt;35),0.3,0)+IF(AND(V1481&gt;=75,V1481&lt;=175,W1481&gt;=35,W1481&lt;65),0.23,0)+IF(AND(V1481&gt;=75,V1481&lt;=175,W1481&gt;=65,W1481&lt;110),0.17,0)+IF(AND(V1481&gt;=75,V1481&lt;=175,W1481&gt;=110),0.12,0)+IF(AND(V1481&gt;175,W1481&lt;25),0.3,0)+IF(AND(V1481&gt;175,W1481&gt;=25,W1481&lt;55),0.23,0)+IF(AND(V1481&gt;175,W1481&gt;=55,W1481&lt;95),0.17,0)+IF(AND(V1481&gt;175,W1481&gt;=95),0.12,0),
IF(AF1481="DoEVni",IF(AND(V1481&lt;20,W1481&lt;55),0.3,0)+IF(AND(V1481&lt;20,W1481&gt;=55,W1481&lt;105),0.23,0)+IF(AND(V1481&lt;20,W1481&gt;=105),0.17,0)+IF(AND(V1481&gt;=20,V1481&lt;40,W1481&lt;45),0.3,0)+IF(AND(V1481&gt;=20,V1481&lt;40,W1481&gt;=45,W1481&lt;95),0.23,0)+IF(AND(V1481&gt;=20,V1481&lt;40,W1481&gt;=95,W1481&lt;=200),0.17,0)+IF(AND(V1481&gt;=20,V1481&lt;40,W1481&gt;=200),0.12,0)+IF(AND(V1481&gt;=40,V1481&lt;75,W1481&lt;35),0.3,0)+IF(AND(V1481&gt;=40,V1481&lt;75,W1481&gt;=35,W1481&lt;75),0.23,0)+IF(AND(V1481&gt;=40,V1481&lt;75,W1481&gt;=75,W1481&lt;120),0.17,0)+IF(AND(V1481&gt;=40,V1481&lt;75,W1481&gt;=120),0.12,0)+IF(AND(V1481&gt;=75,V1481&lt;175,W1481&lt;35),0.3,0)+IF(AND(V1481&gt;=75,V1481&lt;=175,W1481&gt;=35,W1481&lt;65),0.23,0)+IF(AND(V1481&gt;=75,V1481&lt;=175,W1481&gt;=65,W1481&lt;110),0.17,0)+IF(AND(V1481&gt;=75,V1481&lt;=175,W1481&gt;=110),0.12,0)+IF(AND(V1481&gt;175,W1481&lt;25),0.3,0)+IF(AND(V1481&gt;175,W1481&gt;=25,W1481&lt;55),0.23,0)+IF(AND(V1481&gt;175,W1481&gt;=55,W1481&lt;95),0.17,0)+IF(AND(V1481&gt;175,W1481&gt;=95),0.12,0),
IF(AF1481="DoEVLo",IF(AND(V1481&lt;20,W1481&lt;55),0.25,0)+IF(AND(V1481&lt;20,W1481&gt;=55,W1481&lt;105),0.2,0)+IF(AND(V1481&lt;20,W1481&gt;=105),0.15,0)+IF(AND(V1481&gt;=20,V1481&lt;40,W1481&lt;45),0.25,0)+IF(AND(V1481&gt;=20,V1481&lt;40,W1481&gt;=45,W1481&lt;95),0.2,0)+IF(AND(V1481&gt;=20,V1481&lt;40,W1481&gt;=95),0.15,0)+IF(AND(V1481&gt;=40,V1481&lt;75,W1481&lt;35),0.25,0)+IF(AND(V1481&gt;=40,V1481&lt;75,W1481&gt;=35,W1481&lt;75),0.2,0)+IF(AND(V1481&gt;=40,V1481&lt;75,W1481&gt;=75,W1481&lt;120),0.15,0)+IF(AND(V1481&gt;=40,V1481&lt;75,W1481&gt;=120),0.1,0)+IF(AND(V1481&gt;=75,V1481&lt;175,W1481&lt;35),0.25,0)+IF(AND(V1481&gt;=75,V1481&lt;=175,W1481&gt;=35,W1481&lt;65),0.2,0)+IF(AND(V1481&gt;=75,V1481&lt;=175,W1481&gt;=65,W1481&lt;110),0.15,0)+IF(AND(V1481&gt;=75,V1481&lt;=175,W1481&gt;=110),0.1,0)+IF(AND(V1481&gt;175,W1481&lt;25),0.25,0)+IF(AND(V1481&gt;175,W1481&gt;=25,W1481&lt;55),0.2,0)+IF(AND(V1481&gt;175,W1481&gt;=55,W1481&lt;95),0.15,0)+IF(AND(V1481&gt;175,W1481&gt;=95),0.1,0))))))))))))))))))))</f>
        <v>0.19</v>
      </c>
      <c r="Y1481" s="30">
        <f>IF(AG1481="None",0,IF(AG1481="Fix5",0.05, IF(AG1481="Fix6.25",0.0625,IF(AG1481="Fix3.75",0.0375, IF(AG1481="Fix11",0.11, IF(AG1481="Fix10",0.1,IF(AG1481="Fix3",0.03,0)))))))</f>
        <v>0</v>
      </c>
      <c r="Z1481" s="35">
        <f>IF(AND(AD1481="EUR", AE1481 = "USD"), T1481*U1481-AA1481-AB1481, T1481-AA1481-AB1481)</f>
        <v>1701</v>
      </c>
      <c r="AA1481" s="29">
        <f>IF(AND(AD1481="EUR", F1481="Without EV deal", AE1481="USD"), (T1481*X1481)*U1481,
IF(AND(AD1481="EUR", F1481="Without EV deal", AE1481="EUR"), (T1481*X1481),
IF(AND(AD1481="EUR",AE1481="USD"), (T1481*X1481)*U1481,
T1481*X1481)))</f>
        <v>399</v>
      </c>
      <c r="AB1481" s="36">
        <f>IF(AND(AD1481="EUR", F1481="Without EV deal", AE1481="USD"), (T1481*Y1481)*U1481,
IF(AND(AD1481="EUR", F1481="Without EV deal", AE1481="EUR"), (T1481*Y1481),
IF(AND(AD1481="EUR",AE1481="USD"), (T1481*Y1481)*U1481,
T1481*Y1481)))</f>
        <v>0</v>
      </c>
      <c r="AC1481" s="37" t="b">
        <v>1</v>
      </c>
      <c r="AD1481" s="82" t="str">
        <f>IF(OR(H1481="€0.25 Flash",
H1481="€0.25(nitro) new",
H1481="€1",
H1481="€2",
H1481="€2 (bf 01.08)",
H1481="€5",
H1481="€5 (1M)",
H1481="€5 (bf 01.08)",
H1481="€5 (bf 05.05)",
H1481="€5 Nitro",
H1481="€5(wx) new",
H1481="€10",
H1481="€10 (1M)",
H1481="€10 (bf 01.08)",
H1481="€10 (bf 05.05)",
H1481="€10 (MP)",
H1481="€10 (old)",
H1481="€10 Nitro (bf 05.05)",
H1481="€10 Nitro (old)",
H1481="€10(wx) new",
H1481="€20",
H1481="€25",
H1481="€25 (bf 01.08)",
H1481="€25 (bf 05.05)",
H1481="€25 (MP)",
H1481="€25 (old)",
H1481="€25 Nitro",
H1481="€25 Nitro (bf 01.08)",
H1481="€25 Nitro (bf 05.05)",
H1481="€25(nitro) new",
H1481="€25(wx) new",
H1481="€50",
H1481="€50 (bf 01.08)",
H1481="€50 (bf 05.05)",
H1481="€50 (old)",
H1481="€50 Nitro",
H1481="€50 Nitro (bf 01.08)",
H1481="€50 Nitro (bf 05.05)",
H1481="€50(wx) new",
H1481="€100",
H1481="€100 (old)",
H1481="€100 Nitro",
H1481="€100 Nitro (old)",
H1481="€200",
H1481="€250",
H1481="€250 Nitro",
H1481="€500",
H1481="€500 Nitro"),"EUR", "USD")</f>
        <v>USD</v>
      </c>
      <c r="AE1481" s="83" t="s">
        <v>38</v>
      </c>
      <c r="AF1481" s="83" t="str">
        <f t="array" ref="AF1481">INDEX('Deal Info'!D:D, MATCH(A1481,'Deal Info'!A:A, 0))</f>
        <v>Fix19</v>
      </c>
      <c r="AG1481" s="84" t="str">
        <f t="array" ref="AG1481">INDEX('Deal Info'!G:G, MATCH(A1481,'Deal Info'!A:A, 0))</f>
        <v>None</v>
      </c>
    </row>
    <row r="1482" spans="1:33" ht="14.25" hidden="1" x14ac:dyDescent="0.2">
      <c r="A1482" s="18" t="str">
        <f t="array" ref="A1482">IF(G1482='Room Info'!$B$1, INDEX('Room Info'!$A$2:$A2446, MATCH(B1482,'Room Info'!$B$2:$B2446, 0)),IF(G1482='Room Info'!$C$1, INDEX('Room Info'!$A$2:$A2446, MATCH(B1482,'Room Info'!$C$2:$C2446, 0)),IF(G1482='Room Info'!$D$1, INDEX('Room Info'!$A$2:$A2446, MATCH(B1482,'Room Info'!$D$2:$D2446, 0)),IF(G1482='Room Info'!$E$1, INDEX('Room Info'!$A$2:$A2446, MATCH(B1482,'Room Info'!$E$2:$E2446, 0)),IF(G1482='Room Info'!$F$1, INDEX('Room Info'!$A$2:$A2446, MATCH(B1482,'Room Info'!$F$2:$F2446, 0)),IF(G1482='Room Info'!$H$1, INDEX('Room Info'!$A$2:$A2446, MATCH(B1482,'Room Info'!$H$2:$H2446, 0)),IF(G1482='Room Info'!$G$1, INDEX('Room Info'!$A$2:$A2446, MATCH(B1482,'Room Info'!$G$2:$G2446, 0)))))))))</f>
        <v>dimasik</v>
      </c>
      <c r="B1482" s="45" t="s">
        <v>162</v>
      </c>
      <c r="C1482" s="77">
        <v>44958</v>
      </c>
      <c r="D1482" s="77">
        <v>44985</v>
      </c>
      <c r="E1482" s="21">
        <v>44958</v>
      </c>
      <c r="F1482" s="22" t="s">
        <v>41</v>
      </c>
      <c r="G1482" s="18" t="s">
        <v>35</v>
      </c>
      <c r="H1482" s="81" t="s">
        <v>88</v>
      </c>
      <c r="I1482" s="23" t="s">
        <v>37</v>
      </c>
      <c r="J1482" s="39">
        <v>250</v>
      </c>
      <c r="K1482" s="51">
        <v>152</v>
      </c>
      <c r="L1482" s="52">
        <v>4500</v>
      </c>
      <c r="M1482" s="62"/>
      <c r="N1482" s="28">
        <f>K1482*J1482</f>
        <v>38000</v>
      </c>
      <c r="O1482" s="65"/>
      <c r="P1482" s="29">
        <v>0</v>
      </c>
      <c r="Q1482" s="55"/>
      <c r="R1482" s="31">
        <f>M1482+Q1482</f>
        <v>0</v>
      </c>
      <c r="S1482" s="66"/>
      <c r="T1482" s="32">
        <f>IF(AND(AD1482="EUR", F1482="Without EV deal"), R1482 + L1482,
IF(AND(AD1482="USD", F1482="Without EV deal"), R1482 + L1482,
IF(AND(AD1482="EUR", F1482="Steel Phoenix"), R1482 + S1482/U1482,
R1482 + S1482)))</f>
        <v>4500</v>
      </c>
      <c r="U1482" s="57">
        <v>1</v>
      </c>
      <c r="V1482" s="69"/>
      <c r="W1482" s="69"/>
      <c r="X1482" s="30">
        <f>IF(AF1482="DoEV",IF(AND(V1482&lt;20,W1482&lt;55),0.3,0)+IF(AND(V1482&lt;20,W1482&gt;=55,W1482&lt;105),0.23,0)+IF(AND(V1482&lt;20,W1482&gt;=105),0.17,0)+IF(AND(V1482&gt;=20,V1482&lt;40,W1482&lt;45),0.3,0)+IF(AND(V1482&gt;=20,V1482&lt;40,W1482&gt;=45,W1482&lt;95),0.23,0)+IF(AND(V1482&gt;=20,V1482&lt;40,W1482&gt;=95),0.17,0)+IF(AND(V1482&gt;=40,V1482&lt;75,W1482&lt;35),0.3,0)+IF(AND(V1482&gt;=40,V1482&lt;75,W1482&gt;=35,W1482&lt;75),0.23,0)+IF(AND(V1482&gt;=40,V1482&lt;75,W1482&gt;=75,W1482&lt;120),0.17,0)+IF(AND(V1482&gt;=40,V1482&lt;75,W1482&gt;=120),0.12,0)+IF(AND(V1482&gt;=75,V1482&lt;175,W1482&lt;35),0.3,0)+IF(AND(V1482&gt;=75,V1482&lt;=175,W1482&gt;=35,W1482&lt;65),0.23,0)+IF(AND(V1482&gt;=75,V1482&lt;=175,W1482&gt;=65,W1482&lt;110),0.17,0)+IF(AND(V1482&gt;=75,V1482&lt;=175,W1482&gt;=110),0.12,0)+IF(AND(V1482&gt;175,W1482&lt;25),0.3,0)+IF(AND(V1482&gt;175,W1482&gt;=25,W1482&lt;55),0.23,0)+IF(AND(V1482&gt;175,W1482&gt;=55,W1482&lt;95),0.17,0)+IF(AND(V1482&gt;175,W1482&gt;=95),0.12,0),
IF(AF1482="Fix15",0.15,
IF(AF1482="Fix5",0.05,
IF(AF1482="Fix18.75",0.1875,
IF(AF1482="Fix11.25",0.1125,
IF(AF1482="Fix10",0.1,
IF(AF1482="Fix9",0.09,
IF(AF1482="Fix12",0.12,
IF(AF1482="Fix19",0.19,
IF(AF1482="DoEV2017",IF(AND(W1482&lt;74),0.2,0)+IF(AND(W1482&gt;=74),0.17,0),
IF(AF1482="SF",IF(AND(V1482&lt;20,W1482&lt;89),0.3,0)+IF(AND(V1482&lt;20,W1482&gt;=89),0.25,0)+IF(AND(V1482&gt;=20,V1482&lt;40,W1482&lt;74),0.3,0)+IF(AND(V1482&gt;=20,V1482&lt;40,W1482&gt;=75),0.22,0)+IF(AND(V1482&gt;=40,V1482&lt;75,W1482&lt;75),0.26,0)+IF(AND(V1482&gt;=40,V1482&lt;75,W1482&gt;=75),0.22,0)+IF(V1482&gt;=75,0.22,0),
IF(AF1482="DoEVold",IF(AND(V1482&lt;40,W1482&lt;35),0.35,0)+IF(AND(V1482&lt;40,W1482&gt;=35,W1482&lt;75),0.25,0)+IF(AND(V1482&lt;40,W1482&gt;=75),0.17,0)+IF(AND(V1482&gt;=40,V1482&lt;75,W1482&lt;25),0.35,0)+IF(AND(V1482&gt;=40,V1482&lt;75,W1482&gt;=25,W1482&lt;65),0.25,0)+IF(AND(V1482&gt;=40,V1482&lt;75,W1482&gt;=65,W1482&lt;100),0.17,0)+IF(AND(V1482&gt;=40,V1482&lt;75,W1482&gt;=100),0.1,0)+IF(AND(V1482&gt;=75,W1482&lt;25),0.35,0)+IF(AND(V1482&gt;=75,W1482&gt;=25,W1482&lt;60),0.25,0)+IF(AND(V1482&gt;=75,W1482&gt;=60,W1482&lt;95),0.17,0)+IF(AND(V1482&gt;=75,W1482&gt;=95),0.1,0),
IF(AF1482="DoEVold15",IF(AND(V1482&lt;=40,W1482&lt;35),0.35,0)+IF(AND(V1482&lt;=40,W1482&gt;=35,W1482&lt;75),0.25,0)+IF(AND(V1482&lt;=40,W1482&gt;=75,W1482&lt;120),0.17,0)+IF(AND(V1482&lt;=40,W1482&gt;=120),0.15,0)+IF(AND(V1482&gt;40,V1482&lt;75,W1482&lt;25),0.35,0)+IF(AND(V1482&gt;=40,V1482&lt;75,W1482&gt;=25,W1482&lt;65),0.25,0)+IF(AND(V1482&gt;=40,V1482&lt;75,W1482&gt;=65,W1482&lt;100),0.17,0)+IF(AND(V1482&gt;=40,V1482&lt;75,W1482&gt;=100),0.1,0)+IF(AND(V1482&gt;=75,W1482&lt;25),0.35,0)+IF(AND(V1482&gt;=75,W1482&gt;=25,W1482&lt;60),0.25,0)+IF(AND(V1482&gt;=75,W1482&gt;=60,W1482&lt;95),0.17,0)+IF(AND(V1482&gt;=75,W1482&gt;=95),0.1,0),
IF(AF1482="DoEVba",IF(AND(V1482&lt;20,W1482&lt;105),0.2,0)+IF(AND(V1482&lt;20,W1482&gt;=105),0.15,0)+IF(AND(V1482&gt;=20,V1482&lt;40,W1482&lt;95),0.2,0)+IF(AND(V1482&gt;=20,V1482&lt;40,W1482&gt;=95,W1482&lt;150),0.15,0)+IF(AND(V1482&gt;=20,V1482&lt;40,W1482&gt;=150),0.12,0)+IF(AND(V1482&gt;=40,V1482&lt;75,W1482&lt;75),0.2,0)+IF(AND(V1482&gt;=40,V1482&lt;75,W1482&gt;=75,W1482&lt;120),0.15,0)+IF(AND(V1482&gt;=40,V1482&lt;75,W1482&gt;=120),0.12,0)+IF(AND(V1482&gt;=75,V1482&lt;175,W1482&lt;65),0.2,0)+IF(AND(V1482&gt;=75,V1482&lt;175,W1482&gt;=65,W1482&lt;110),0.15,0)+IF(AND(V1482&gt;=75,V1482&lt;175,W1482&gt;=110),0.12,0)+IF(AND(V1482&gt;=175,W1482&lt;55),0.2,0)+IF(AND(V1482&gt;=175,W1482&gt;=55,W1482&lt;95),0.15,0)+IF(AND(V1482&gt;=175,W1482&gt;=95),0.12,0),
IF(AF1482="DoEVku",IF(AND(V1482&lt;20,W1482&lt;55),0.23,0)+IF(AND(V1482&lt;20,W1482&gt;=55,W1482&lt;105),0.2,0)+IF(AND(V1482&lt;20,W1482&gt;=105),0.17,0)+IF(AND(V1482&gt;=20,V1482&lt;40,W1482&lt;45),0.23,0)+IF(AND(V1482&gt;=20,V1482&lt;40,W1482&gt;=45,W1482&lt;95),0.2,0)+IF(AND(V1482&gt;=20,V1482&lt;40,W1482&gt;=95,W1482&lt;=150),0.17,0)+IF(AND(V1482&gt;=20,V1482&lt;40,W1482&gt;=150),0.12,0)+IF(AND(V1482&gt;=40,V1482&lt;75,W1482&lt;35),0.23,0)+IF(AND(V1482&gt;=40,V1482&lt;75,W1482&gt;=35,W1482&lt;75),0.2,0)+IF(AND(V1482&gt;=40,V1482&lt;75,W1482&gt;=75,W1482&lt;120),0.17,0)+IF(AND(V1482&gt;=40,V1482&lt;75,W1482&gt;=120),0.12,0)+IF(AND(V1482&gt;=75,V1482&lt;175,W1482&lt;35),0.23,0)+IF(AND(V1482&gt;=75,V1482&lt;=175,W1482&gt;=35,W1482&lt;65),0.2,0)+IF(AND(V1482&gt;=75,V1482&lt;=175,W1482&gt;=65,W1482&lt;110),0.17,0)+IF(AND(V1482&gt;=75,V1482&lt;=175,W1482&gt;=110),0.12,0)+IF(AND(V1482&gt;175,W1482&lt;25),0.23,0)+IF(AND(V1482&gt;175,W1482&gt;=25,W1482&lt;55),0.2,0)+IF(AND(V1482&gt;175,W1482&gt;=55,W1482&lt;95),0.17,0)+IF(AND(V1482&gt;175,W1482&gt;=95),0.12,0),
IF(AF1482="DoEVs1",IF(AND(V1482&lt;20,W1482&lt;55),0.3,0)+IF(AND(V1482&lt;20,W1482&gt;=55,W1482&lt;105),0.23,0)+IF(AND(V1482&lt;20,W1482&gt;=105),0.17,0)+IF(AND(V1482&gt;=20,V1482&lt;40,W1482&lt;45),0.3,0)+IF(AND(V1482&gt;=20,V1482&lt;40,W1482&gt;=45,W1482&lt;95),0.23,0)+IF(AND(V1482&gt;=20,V1482&lt;40,W1482&gt;=95,W1482&lt;=150),0.17,0)+IF(AND(V1482&gt;=20,V1482&lt;40,W1482&gt;=150),0.12,0)+IF(AND(V1482&gt;=40,V1482&lt;75,W1482&lt;35),0.3,0)+IF(AND(V1482&gt;=40,V1482&lt;75,W1482&gt;=35,W1482&lt;75),0.23,0)+IF(AND(V1482&gt;=40,V1482&lt;75,W1482&gt;=75,W1482&lt;120),0.17,0)+IF(AND(V1482&gt;=40,V1482&lt;75,W1482&gt;=120),0.12,0)+IF(AND(V1482&gt;=75,V1482&lt;175,W1482&lt;35),0.3,0)+IF(AND(V1482&gt;=75,V1482&lt;=175,W1482&gt;=35,W1482&lt;65),0.23,0)+IF(AND(V1482&gt;=75,V1482&lt;=175,W1482&gt;=65,W1482&lt;110),0.17,0)+IF(AND(V1482&gt;=75,V1482&lt;=175,W1482&gt;=110),0.12,0)+IF(AND(V1482&gt;175,W1482&lt;25),0.3,0)+IF(AND(V1482&gt;175,W1482&gt;=25,W1482&lt;55),0.23,0)+IF(AND(V1482&gt;175,W1482&gt;=55,W1482&lt;95),0.17,0)+IF(AND(V1482&gt;175,W1482&gt;=95),0.12,0),
IF(AF1482="DoEVsu",IF(AND(V1482&lt;20,W1482&lt;55),0.3,0)+IF(AND(V1482&lt;20,W1482&gt;=55,W1482&lt;105),0.23,0)+IF(AND(V1482&lt;20,W1482&gt;=105),0.17,0)+IF(AND(V1482&gt;=20,V1482&lt;40,W1482&lt;45),0.3,0)+IF(AND(V1482&gt;=20,V1482&lt;40,W1482&gt;=45,W1482&lt;95),0.23,0)+IF(AND(V1482&gt;=20,V1482&lt;40,W1482&gt;=95,W1482&lt;=250),0.17,0)+IF(AND(V1482&gt;=20,V1482&lt;40,W1482&gt;=250),0.12,0)+IF(AND(V1482&gt;=40,V1482&lt;75,W1482&lt;35),0.3,0)+IF(AND(V1482&gt;=40,V1482&lt;75,W1482&gt;=35,W1482&lt;75),0.23,0)+IF(AND(V1482&gt;=40,V1482&lt;75,W1482&gt;=75,W1482&lt;120),0.17,0)+IF(AND(V1482&gt;=40,V1482&lt;75,W1482&gt;=120),0.12,0)+IF(AND(V1482&gt;=75,V1482&lt;175,W1482&lt;35),0.3,0)+IF(AND(V1482&gt;=75,V1482&lt;=175,W1482&gt;=35,W1482&lt;65),0.23,0)+IF(AND(V1482&gt;=75,V1482&lt;=175,W1482&gt;=65,W1482&lt;110),0.17,0)+IF(AND(V1482&gt;=75,V1482&lt;=175,W1482&gt;=110),0.12,0)+IF(AND(V1482&gt;175,W1482&lt;25),0.3,0)+IF(AND(V1482&gt;175,W1482&gt;=25,W1482&lt;55),0.23,0)+IF(AND(V1482&gt;175,W1482&gt;=55,W1482&lt;95),0.17,0)+IF(AND(V1482&gt;175,W1482&gt;=95),0.12,0),
IF(AF1482="DoEVni",IF(AND(V1482&lt;20,W1482&lt;55),0.3,0)+IF(AND(V1482&lt;20,W1482&gt;=55,W1482&lt;105),0.23,0)+IF(AND(V1482&lt;20,W1482&gt;=105),0.17,0)+IF(AND(V1482&gt;=20,V1482&lt;40,W1482&lt;45),0.3,0)+IF(AND(V1482&gt;=20,V1482&lt;40,W1482&gt;=45,W1482&lt;95),0.23,0)+IF(AND(V1482&gt;=20,V1482&lt;40,W1482&gt;=95,W1482&lt;=200),0.17,0)+IF(AND(V1482&gt;=20,V1482&lt;40,W1482&gt;=200),0.12,0)+IF(AND(V1482&gt;=40,V1482&lt;75,W1482&lt;35),0.3,0)+IF(AND(V1482&gt;=40,V1482&lt;75,W1482&gt;=35,W1482&lt;75),0.23,0)+IF(AND(V1482&gt;=40,V1482&lt;75,W1482&gt;=75,W1482&lt;120),0.17,0)+IF(AND(V1482&gt;=40,V1482&lt;75,W1482&gt;=120),0.12,0)+IF(AND(V1482&gt;=75,V1482&lt;175,W1482&lt;35),0.3,0)+IF(AND(V1482&gt;=75,V1482&lt;=175,W1482&gt;=35,W1482&lt;65),0.23,0)+IF(AND(V1482&gt;=75,V1482&lt;=175,W1482&gt;=65,W1482&lt;110),0.17,0)+IF(AND(V1482&gt;=75,V1482&lt;=175,W1482&gt;=110),0.12,0)+IF(AND(V1482&gt;175,W1482&lt;25),0.3,0)+IF(AND(V1482&gt;175,W1482&gt;=25,W1482&lt;55),0.23,0)+IF(AND(V1482&gt;175,W1482&gt;=55,W1482&lt;95),0.17,0)+IF(AND(V1482&gt;175,W1482&gt;=95),0.12,0),
IF(AF1482="DoEVLo",IF(AND(V1482&lt;20,W1482&lt;55),0.25,0)+IF(AND(V1482&lt;20,W1482&gt;=55,W1482&lt;105),0.2,0)+IF(AND(V1482&lt;20,W1482&gt;=105),0.15,0)+IF(AND(V1482&gt;=20,V1482&lt;40,W1482&lt;45),0.25,0)+IF(AND(V1482&gt;=20,V1482&lt;40,W1482&gt;=45,W1482&lt;95),0.2,0)+IF(AND(V1482&gt;=20,V1482&lt;40,W1482&gt;=95),0.15,0)+IF(AND(V1482&gt;=40,V1482&lt;75,W1482&lt;35),0.25,0)+IF(AND(V1482&gt;=40,V1482&lt;75,W1482&gt;=35,W1482&lt;75),0.2,0)+IF(AND(V1482&gt;=40,V1482&lt;75,W1482&gt;=75,W1482&lt;120),0.15,0)+IF(AND(V1482&gt;=40,V1482&lt;75,W1482&gt;=120),0.1,0)+IF(AND(V1482&gt;=75,V1482&lt;175,W1482&lt;35),0.25,0)+IF(AND(V1482&gt;=75,V1482&lt;=175,W1482&gt;=35,W1482&lt;65),0.2,0)+IF(AND(V1482&gt;=75,V1482&lt;=175,W1482&gt;=65,W1482&lt;110),0.15,0)+IF(AND(V1482&gt;=75,V1482&lt;=175,W1482&gt;=110),0.1,0)+IF(AND(V1482&gt;175,W1482&lt;25),0.25,0)+IF(AND(V1482&gt;175,W1482&gt;=25,W1482&lt;55),0.2,0)+IF(AND(V1482&gt;175,W1482&gt;=55,W1482&lt;95),0.15,0)+IF(AND(V1482&gt;175,W1482&gt;=95),0.1,0))))))))))))))))))))</f>
        <v>0.19</v>
      </c>
      <c r="Y1482" s="30">
        <f>IF(AG1482="None",0,IF(AG1482="Fix5",0.05, IF(AG1482="Fix6.25",0.0625,IF(AG1482="Fix3.75",0.0375, IF(AG1482="Fix11",0.11, IF(AG1482="Fix10",0.1,IF(AG1482="Fix3",0.03,0)))))))</f>
        <v>0</v>
      </c>
      <c r="Z1482" s="35">
        <f>IF(AND(AD1482="EUR", AE1482 = "USD"), T1482*U1482-AA1482-AB1482, T1482-AA1482-AB1482)</f>
        <v>3645</v>
      </c>
      <c r="AA1482" s="29">
        <f>IF(AND(AD1482="EUR", F1482="Without EV deal", AE1482="USD"), (T1482*X1482)*U1482,
IF(AND(AD1482="EUR", F1482="Without EV deal", AE1482="EUR"), (T1482*X1482),
IF(AND(AD1482="EUR",AE1482="USD"), (T1482*X1482)*U1482,
T1482*X1482)))</f>
        <v>855</v>
      </c>
      <c r="AB1482" s="36">
        <f>IF(AND(AD1482="EUR", F1482="Without EV deal", AE1482="USD"), (T1482*Y1482)*U1482,
IF(AND(AD1482="EUR", F1482="Without EV deal", AE1482="EUR"), (T1482*Y1482),
IF(AND(AD1482="EUR",AE1482="USD"), (T1482*Y1482)*U1482,
T1482*Y1482)))</f>
        <v>0</v>
      </c>
      <c r="AC1482" s="37" t="b">
        <v>1</v>
      </c>
      <c r="AD1482" s="82" t="str">
        <f>IF(OR(H1482="€0.25 Flash",
H1482="€0.25(nitro) new",
H1482="€1",
H1482="€2",
H1482="€2 (bf 01.08)",
H1482="€5",
H1482="€5 (1M)",
H1482="€5 (bf 01.08)",
H1482="€5 (bf 05.05)",
H1482="€5 Nitro",
H1482="€5(wx) new",
H1482="€10",
H1482="€10 (1M)",
H1482="€10 (bf 01.08)",
H1482="€10 (bf 05.05)",
H1482="€10 (MP)",
H1482="€10 (old)",
H1482="€10 Nitro (bf 05.05)",
H1482="€10 Nitro (old)",
H1482="€10(wx) new",
H1482="€20",
H1482="€25",
H1482="€25 (bf 01.08)",
H1482="€25 (bf 05.05)",
H1482="€25 (MP)",
H1482="€25 (old)",
H1482="€25 Nitro",
H1482="€25 Nitro (bf 01.08)",
H1482="€25 Nitro (bf 05.05)",
H1482="€25(nitro) new",
H1482="€25(wx) new",
H1482="€50",
H1482="€50 (bf 01.08)",
H1482="€50 (bf 05.05)",
H1482="€50 (old)",
H1482="€50 Nitro",
H1482="€50 Nitro (bf 01.08)",
H1482="€50 Nitro (bf 05.05)",
H1482="€50(wx) new",
H1482="€100",
H1482="€100 (old)",
H1482="€100 Nitro",
H1482="€100 Nitro (old)",
H1482="€200",
H1482="€250",
H1482="€250 Nitro",
H1482="€500",
H1482="€500 Nitro"),"EUR", "USD")</f>
        <v>USD</v>
      </c>
      <c r="AE1482" s="83" t="s">
        <v>38</v>
      </c>
      <c r="AF1482" s="83" t="str">
        <f t="array" ref="AF1482">INDEX('Deal Info'!D:D, MATCH(A1482,'Deal Info'!A:A, 0))</f>
        <v>Fix19</v>
      </c>
      <c r="AG1482" s="84" t="str">
        <f t="array" ref="AG1482">INDEX('Deal Info'!G:G, MATCH(A1482,'Deal Info'!A:A, 0))</f>
        <v>None</v>
      </c>
    </row>
    <row r="1483" spans="1:33" ht="14.25" hidden="1" x14ac:dyDescent="0.2">
      <c r="A1483" s="18" t="str">
        <f t="array" ref="A1483">IF(G1483='Room Info'!$B$1, INDEX('Room Info'!$A$2:$A2446, MATCH(B1483,'Room Info'!$B$2:$B2446, 0)),IF(G1483='Room Info'!$C$1, INDEX('Room Info'!$A$2:$A2446, MATCH(B1483,'Room Info'!$C$2:$C2446, 0)),IF(G1483='Room Info'!$D$1, INDEX('Room Info'!$A$2:$A2446, MATCH(B1483,'Room Info'!$D$2:$D2446, 0)),IF(G1483='Room Info'!$E$1, INDEX('Room Info'!$A$2:$A2446, MATCH(B1483,'Room Info'!$E$2:$E2446, 0)),IF(G1483='Room Info'!$F$1, INDEX('Room Info'!$A$2:$A2446, MATCH(B1483,'Room Info'!$F$2:$F2446, 0)),IF(G1483='Room Info'!$H$1, INDEX('Room Info'!$A$2:$A2446, MATCH(B1483,'Room Info'!$H$2:$H2446, 0)),IF(G1483='Room Info'!$G$1, INDEX('Room Info'!$A$2:$A2446, MATCH(B1483,'Room Info'!$G$2:$G2446, 0)))))))))</f>
        <v>dimasik</v>
      </c>
      <c r="B1483" s="45" t="s">
        <v>162</v>
      </c>
      <c r="C1483" s="77">
        <v>44958</v>
      </c>
      <c r="D1483" s="77">
        <v>44985</v>
      </c>
      <c r="E1483" s="21">
        <v>44958</v>
      </c>
      <c r="F1483" s="22" t="s">
        <v>41</v>
      </c>
      <c r="G1483" s="18" t="s">
        <v>35</v>
      </c>
      <c r="H1483" s="81" t="s">
        <v>148</v>
      </c>
      <c r="I1483" s="23" t="s">
        <v>44</v>
      </c>
      <c r="J1483" s="39">
        <v>250</v>
      </c>
      <c r="K1483" s="51">
        <v>207</v>
      </c>
      <c r="L1483" s="52">
        <v>3500</v>
      </c>
      <c r="M1483" s="62"/>
      <c r="N1483" s="28">
        <f>K1483*J1483</f>
        <v>51750</v>
      </c>
      <c r="O1483" s="65"/>
      <c r="P1483" s="29">
        <v>0</v>
      </c>
      <c r="Q1483" s="55"/>
      <c r="R1483" s="31">
        <f>M1483+Q1483</f>
        <v>0</v>
      </c>
      <c r="S1483" s="66"/>
      <c r="T1483" s="32">
        <f>IF(AND(AD1483="EUR", F1483="Without EV deal"), R1483 + L1483,
IF(AND(AD1483="USD", F1483="Without EV deal"), R1483 + L1483,
IF(AND(AD1483="EUR", F1483="Steel Phoenix"), R1483 + S1483/U1483,
R1483 + S1483)))</f>
        <v>3500</v>
      </c>
      <c r="U1483" s="57">
        <v>1</v>
      </c>
      <c r="V1483" s="69"/>
      <c r="W1483" s="69"/>
      <c r="X1483" s="30">
        <f>IF(AF1483="DoEV",IF(AND(V1483&lt;20,W1483&lt;55),0.3,0)+IF(AND(V1483&lt;20,W1483&gt;=55,W1483&lt;105),0.23,0)+IF(AND(V1483&lt;20,W1483&gt;=105),0.17,0)+IF(AND(V1483&gt;=20,V1483&lt;40,W1483&lt;45),0.3,0)+IF(AND(V1483&gt;=20,V1483&lt;40,W1483&gt;=45,W1483&lt;95),0.23,0)+IF(AND(V1483&gt;=20,V1483&lt;40,W1483&gt;=95),0.17,0)+IF(AND(V1483&gt;=40,V1483&lt;75,W1483&lt;35),0.3,0)+IF(AND(V1483&gt;=40,V1483&lt;75,W1483&gt;=35,W1483&lt;75),0.23,0)+IF(AND(V1483&gt;=40,V1483&lt;75,W1483&gt;=75,W1483&lt;120),0.17,0)+IF(AND(V1483&gt;=40,V1483&lt;75,W1483&gt;=120),0.12,0)+IF(AND(V1483&gt;=75,V1483&lt;175,W1483&lt;35),0.3,0)+IF(AND(V1483&gt;=75,V1483&lt;=175,W1483&gt;=35,W1483&lt;65),0.23,0)+IF(AND(V1483&gt;=75,V1483&lt;=175,W1483&gt;=65,W1483&lt;110),0.17,0)+IF(AND(V1483&gt;=75,V1483&lt;=175,W1483&gt;=110),0.12,0)+IF(AND(V1483&gt;175,W1483&lt;25),0.3,0)+IF(AND(V1483&gt;175,W1483&gt;=25,W1483&lt;55),0.23,0)+IF(AND(V1483&gt;175,W1483&gt;=55,W1483&lt;95),0.17,0)+IF(AND(V1483&gt;175,W1483&gt;=95),0.12,0),
IF(AF1483="Fix15",0.15,
IF(AF1483="Fix5",0.05,
IF(AF1483="Fix18.75",0.1875,
IF(AF1483="Fix11.25",0.1125,
IF(AF1483="Fix10",0.1,
IF(AF1483="Fix9",0.09,
IF(AF1483="Fix12",0.12,
IF(AF1483="Fix19",0.19,
IF(AF1483="DoEV2017",IF(AND(W1483&lt;74),0.2,0)+IF(AND(W1483&gt;=74),0.17,0),
IF(AF1483="SF",IF(AND(V1483&lt;20,W1483&lt;89),0.3,0)+IF(AND(V1483&lt;20,W1483&gt;=89),0.25,0)+IF(AND(V1483&gt;=20,V1483&lt;40,W1483&lt;74),0.3,0)+IF(AND(V1483&gt;=20,V1483&lt;40,W1483&gt;=75),0.22,0)+IF(AND(V1483&gt;=40,V1483&lt;75,W1483&lt;75),0.26,0)+IF(AND(V1483&gt;=40,V1483&lt;75,W1483&gt;=75),0.22,0)+IF(V1483&gt;=75,0.22,0),
IF(AF1483="DoEVold",IF(AND(V1483&lt;40,W1483&lt;35),0.35,0)+IF(AND(V1483&lt;40,W1483&gt;=35,W1483&lt;75),0.25,0)+IF(AND(V1483&lt;40,W1483&gt;=75),0.17,0)+IF(AND(V1483&gt;=40,V1483&lt;75,W1483&lt;25),0.35,0)+IF(AND(V1483&gt;=40,V1483&lt;75,W1483&gt;=25,W1483&lt;65),0.25,0)+IF(AND(V1483&gt;=40,V1483&lt;75,W1483&gt;=65,W1483&lt;100),0.17,0)+IF(AND(V1483&gt;=40,V1483&lt;75,W1483&gt;=100),0.1,0)+IF(AND(V1483&gt;=75,W1483&lt;25),0.35,0)+IF(AND(V1483&gt;=75,W1483&gt;=25,W1483&lt;60),0.25,0)+IF(AND(V1483&gt;=75,W1483&gt;=60,W1483&lt;95),0.17,0)+IF(AND(V1483&gt;=75,W1483&gt;=95),0.1,0),
IF(AF1483="DoEVold15",IF(AND(V1483&lt;=40,W1483&lt;35),0.35,0)+IF(AND(V1483&lt;=40,W1483&gt;=35,W1483&lt;75),0.25,0)+IF(AND(V1483&lt;=40,W1483&gt;=75,W1483&lt;120),0.17,0)+IF(AND(V1483&lt;=40,W1483&gt;=120),0.15,0)+IF(AND(V1483&gt;40,V1483&lt;75,W1483&lt;25),0.35,0)+IF(AND(V1483&gt;=40,V1483&lt;75,W1483&gt;=25,W1483&lt;65),0.25,0)+IF(AND(V1483&gt;=40,V1483&lt;75,W1483&gt;=65,W1483&lt;100),0.17,0)+IF(AND(V1483&gt;=40,V1483&lt;75,W1483&gt;=100),0.1,0)+IF(AND(V1483&gt;=75,W1483&lt;25),0.35,0)+IF(AND(V1483&gt;=75,W1483&gt;=25,W1483&lt;60),0.25,0)+IF(AND(V1483&gt;=75,W1483&gt;=60,W1483&lt;95),0.17,0)+IF(AND(V1483&gt;=75,W1483&gt;=95),0.1,0),
IF(AF1483="DoEVba",IF(AND(V1483&lt;20,W1483&lt;105),0.2,0)+IF(AND(V1483&lt;20,W1483&gt;=105),0.15,0)+IF(AND(V1483&gt;=20,V1483&lt;40,W1483&lt;95),0.2,0)+IF(AND(V1483&gt;=20,V1483&lt;40,W1483&gt;=95,W1483&lt;150),0.15,0)+IF(AND(V1483&gt;=20,V1483&lt;40,W1483&gt;=150),0.12,0)+IF(AND(V1483&gt;=40,V1483&lt;75,W1483&lt;75),0.2,0)+IF(AND(V1483&gt;=40,V1483&lt;75,W1483&gt;=75,W1483&lt;120),0.15,0)+IF(AND(V1483&gt;=40,V1483&lt;75,W1483&gt;=120),0.12,0)+IF(AND(V1483&gt;=75,V1483&lt;175,W1483&lt;65),0.2,0)+IF(AND(V1483&gt;=75,V1483&lt;175,W1483&gt;=65,W1483&lt;110),0.15,0)+IF(AND(V1483&gt;=75,V1483&lt;175,W1483&gt;=110),0.12,0)+IF(AND(V1483&gt;=175,W1483&lt;55),0.2,0)+IF(AND(V1483&gt;=175,W1483&gt;=55,W1483&lt;95),0.15,0)+IF(AND(V1483&gt;=175,W1483&gt;=95),0.12,0),
IF(AF1483="DoEVku",IF(AND(V1483&lt;20,W1483&lt;55),0.23,0)+IF(AND(V1483&lt;20,W1483&gt;=55,W1483&lt;105),0.2,0)+IF(AND(V1483&lt;20,W1483&gt;=105),0.17,0)+IF(AND(V1483&gt;=20,V1483&lt;40,W1483&lt;45),0.23,0)+IF(AND(V1483&gt;=20,V1483&lt;40,W1483&gt;=45,W1483&lt;95),0.2,0)+IF(AND(V1483&gt;=20,V1483&lt;40,W1483&gt;=95,W1483&lt;=150),0.17,0)+IF(AND(V1483&gt;=20,V1483&lt;40,W1483&gt;=150),0.12,0)+IF(AND(V1483&gt;=40,V1483&lt;75,W1483&lt;35),0.23,0)+IF(AND(V1483&gt;=40,V1483&lt;75,W1483&gt;=35,W1483&lt;75),0.2,0)+IF(AND(V1483&gt;=40,V1483&lt;75,W1483&gt;=75,W1483&lt;120),0.17,0)+IF(AND(V1483&gt;=40,V1483&lt;75,W1483&gt;=120),0.12,0)+IF(AND(V1483&gt;=75,V1483&lt;175,W1483&lt;35),0.23,0)+IF(AND(V1483&gt;=75,V1483&lt;=175,W1483&gt;=35,W1483&lt;65),0.2,0)+IF(AND(V1483&gt;=75,V1483&lt;=175,W1483&gt;=65,W1483&lt;110),0.17,0)+IF(AND(V1483&gt;=75,V1483&lt;=175,W1483&gt;=110),0.12,0)+IF(AND(V1483&gt;175,W1483&lt;25),0.23,0)+IF(AND(V1483&gt;175,W1483&gt;=25,W1483&lt;55),0.2,0)+IF(AND(V1483&gt;175,W1483&gt;=55,W1483&lt;95),0.17,0)+IF(AND(V1483&gt;175,W1483&gt;=95),0.12,0),
IF(AF1483="DoEVs1",IF(AND(V1483&lt;20,W1483&lt;55),0.3,0)+IF(AND(V1483&lt;20,W1483&gt;=55,W1483&lt;105),0.23,0)+IF(AND(V1483&lt;20,W1483&gt;=105),0.17,0)+IF(AND(V1483&gt;=20,V1483&lt;40,W1483&lt;45),0.3,0)+IF(AND(V1483&gt;=20,V1483&lt;40,W1483&gt;=45,W1483&lt;95),0.23,0)+IF(AND(V1483&gt;=20,V1483&lt;40,W1483&gt;=95,W1483&lt;=150),0.17,0)+IF(AND(V1483&gt;=20,V1483&lt;40,W1483&gt;=150),0.12,0)+IF(AND(V1483&gt;=40,V1483&lt;75,W1483&lt;35),0.3,0)+IF(AND(V1483&gt;=40,V1483&lt;75,W1483&gt;=35,W1483&lt;75),0.23,0)+IF(AND(V1483&gt;=40,V1483&lt;75,W1483&gt;=75,W1483&lt;120),0.17,0)+IF(AND(V1483&gt;=40,V1483&lt;75,W1483&gt;=120),0.12,0)+IF(AND(V1483&gt;=75,V1483&lt;175,W1483&lt;35),0.3,0)+IF(AND(V1483&gt;=75,V1483&lt;=175,W1483&gt;=35,W1483&lt;65),0.23,0)+IF(AND(V1483&gt;=75,V1483&lt;=175,W1483&gt;=65,W1483&lt;110),0.17,0)+IF(AND(V1483&gt;=75,V1483&lt;=175,W1483&gt;=110),0.12,0)+IF(AND(V1483&gt;175,W1483&lt;25),0.3,0)+IF(AND(V1483&gt;175,W1483&gt;=25,W1483&lt;55),0.23,0)+IF(AND(V1483&gt;175,W1483&gt;=55,W1483&lt;95),0.17,0)+IF(AND(V1483&gt;175,W1483&gt;=95),0.12,0),
IF(AF1483="DoEVsu",IF(AND(V1483&lt;20,W1483&lt;55),0.3,0)+IF(AND(V1483&lt;20,W1483&gt;=55,W1483&lt;105),0.23,0)+IF(AND(V1483&lt;20,W1483&gt;=105),0.17,0)+IF(AND(V1483&gt;=20,V1483&lt;40,W1483&lt;45),0.3,0)+IF(AND(V1483&gt;=20,V1483&lt;40,W1483&gt;=45,W1483&lt;95),0.23,0)+IF(AND(V1483&gt;=20,V1483&lt;40,W1483&gt;=95,W1483&lt;=250),0.17,0)+IF(AND(V1483&gt;=20,V1483&lt;40,W1483&gt;=250),0.12,0)+IF(AND(V1483&gt;=40,V1483&lt;75,W1483&lt;35),0.3,0)+IF(AND(V1483&gt;=40,V1483&lt;75,W1483&gt;=35,W1483&lt;75),0.23,0)+IF(AND(V1483&gt;=40,V1483&lt;75,W1483&gt;=75,W1483&lt;120),0.17,0)+IF(AND(V1483&gt;=40,V1483&lt;75,W1483&gt;=120),0.12,0)+IF(AND(V1483&gt;=75,V1483&lt;175,W1483&lt;35),0.3,0)+IF(AND(V1483&gt;=75,V1483&lt;=175,W1483&gt;=35,W1483&lt;65),0.23,0)+IF(AND(V1483&gt;=75,V1483&lt;=175,W1483&gt;=65,W1483&lt;110),0.17,0)+IF(AND(V1483&gt;=75,V1483&lt;=175,W1483&gt;=110),0.12,0)+IF(AND(V1483&gt;175,W1483&lt;25),0.3,0)+IF(AND(V1483&gt;175,W1483&gt;=25,W1483&lt;55),0.23,0)+IF(AND(V1483&gt;175,W1483&gt;=55,W1483&lt;95),0.17,0)+IF(AND(V1483&gt;175,W1483&gt;=95),0.12,0),
IF(AF1483="DoEVni",IF(AND(V1483&lt;20,W1483&lt;55),0.3,0)+IF(AND(V1483&lt;20,W1483&gt;=55,W1483&lt;105),0.23,0)+IF(AND(V1483&lt;20,W1483&gt;=105),0.17,0)+IF(AND(V1483&gt;=20,V1483&lt;40,W1483&lt;45),0.3,0)+IF(AND(V1483&gt;=20,V1483&lt;40,W1483&gt;=45,W1483&lt;95),0.23,0)+IF(AND(V1483&gt;=20,V1483&lt;40,W1483&gt;=95,W1483&lt;=200),0.17,0)+IF(AND(V1483&gt;=20,V1483&lt;40,W1483&gt;=200),0.12,0)+IF(AND(V1483&gt;=40,V1483&lt;75,W1483&lt;35),0.3,0)+IF(AND(V1483&gt;=40,V1483&lt;75,W1483&gt;=35,W1483&lt;75),0.23,0)+IF(AND(V1483&gt;=40,V1483&lt;75,W1483&gt;=75,W1483&lt;120),0.17,0)+IF(AND(V1483&gt;=40,V1483&lt;75,W1483&gt;=120),0.12,0)+IF(AND(V1483&gt;=75,V1483&lt;175,W1483&lt;35),0.3,0)+IF(AND(V1483&gt;=75,V1483&lt;=175,W1483&gt;=35,W1483&lt;65),0.23,0)+IF(AND(V1483&gt;=75,V1483&lt;=175,W1483&gt;=65,W1483&lt;110),0.17,0)+IF(AND(V1483&gt;=75,V1483&lt;=175,W1483&gt;=110),0.12,0)+IF(AND(V1483&gt;175,W1483&lt;25),0.3,0)+IF(AND(V1483&gt;175,W1483&gt;=25,W1483&lt;55),0.23,0)+IF(AND(V1483&gt;175,W1483&gt;=55,W1483&lt;95),0.17,0)+IF(AND(V1483&gt;175,W1483&gt;=95),0.12,0),
IF(AF1483="DoEVLo",IF(AND(V1483&lt;20,W1483&lt;55),0.25,0)+IF(AND(V1483&lt;20,W1483&gt;=55,W1483&lt;105),0.2,0)+IF(AND(V1483&lt;20,W1483&gt;=105),0.15,0)+IF(AND(V1483&gt;=20,V1483&lt;40,W1483&lt;45),0.25,0)+IF(AND(V1483&gt;=20,V1483&lt;40,W1483&gt;=45,W1483&lt;95),0.2,0)+IF(AND(V1483&gt;=20,V1483&lt;40,W1483&gt;=95),0.15,0)+IF(AND(V1483&gt;=40,V1483&lt;75,W1483&lt;35),0.25,0)+IF(AND(V1483&gt;=40,V1483&lt;75,W1483&gt;=35,W1483&lt;75),0.2,0)+IF(AND(V1483&gt;=40,V1483&lt;75,W1483&gt;=75,W1483&lt;120),0.15,0)+IF(AND(V1483&gt;=40,V1483&lt;75,W1483&gt;=120),0.1,0)+IF(AND(V1483&gt;=75,V1483&lt;175,W1483&lt;35),0.25,0)+IF(AND(V1483&gt;=75,V1483&lt;=175,W1483&gt;=35,W1483&lt;65),0.2,0)+IF(AND(V1483&gt;=75,V1483&lt;=175,W1483&gt;=65,W1483&lt;110),0.15,0)+IF(AND(V1483&gt;=75,V1483&lt;=175,W1483&gt;=110),0.1,0)+IF(AND(V1483&gt;175,W1483&lt;25),0.25,0)+IF(AND(V1483&gt;175,W1483&gt;=25,W1483&lt;55),0.2,0)+IF(AND(V1483&gt;175,W1483&gt;=55,W1483&lt;95),0.15,0)+IF(AND(V1483&gt;175,W1483&gt;=95),0.1,0))))))))))))))))))))</f>
        <v>0.19</v>
      </c>
      <c r="Y1483" s="30">
        <f>IF(AG1483="None",0,IF(AG1483="Fix5",0.05, IF(AG1483="Fix6.25",0.0625,IF(AG1483="Fix3.75",0.0375, IF(AG1483="Fix11",0.11, IF(AG1483="Fix10",0.1,IF(AG1483="Fix3",0.03,0)))))))</f>
        <v>0</v>
      </c>
      <c r="Z1483" s="35">
        <f>IF(AND(AD1483="EUR", AE1483 = "USD"), T1483*U1483-AA1483-AB1483, T1483-AA1483-AB1483)</f>
        <v>2835</v>
      </c>
      <c r="AA1483" s="29">
        <f>IF(AND(AD1483="EUR", F1483="Without EV deal", AE1483="USD"), (T1483*X1483)*U1483,
IF(AND(AD1483="EUR", F1483="Without EV deal", AE1483="EUR"), (T1483*X1483),
IF(AND(AD1483="EUR",AE1483="USD"), (T1483*X1483)*U1483,
T1483*X1483)))</f>
        <v>665</v>
      </c>
      <c r="AB1483" s="36">
        <f>IF(AND(AD1483="EUR", F1483="Without EV deal", AE1483="USD"), (T1483*Y1483)*U1483,
IF(AND(AD1483="EUR", F1483="Without EV deal", AE1483="EUR"), (T1483*Y1483),
IF(AND(AD1483="EUR",AE1483="USD"), (T1483*Y1483)*U1483,
T1483*Y1483)))</f>
        <v>0</v>
      </c>
      <c r="AC1483" s="37" t="b">
        <v>1</v>
      </c>
      <c r="AD1483" s="82" t="str">
        <f>IF(OR(H1483="€0.25 Flash",
H1483="€0.25(nitro) new",
H1483="€1",
H1483="€2",
H1483="€2 (bf 01.08)",
H1483="€5",
H1483="€5 (1M)",
H1483="€5 (bf 01.08)",
H1483="€5 (bf 05.05)",
H1483="€5 Nitro",
H1483="€5(wx) new",
H1483="€10",
H1483="€10 (1M)",
H1483="€10 (bf 01.08)",
H1483="€10 (bf 05.05)",
H1483="€10 (MP)",
H1483="€10 (old)",
H1483="€10 Nitro (bf 05.05)",
H1483="€10 Nitro (old)",
H1483="€10(wx) new",
H1483="€20",
H1483="€25",
H1483="€25 (bf 01.08)",
H1483="€25 (bf 05.05)",
H1483="€25 (MP)",
H1483="€25 (old)",
H1483="€25 Nitro",
H1483="€25 Nitro (bf 01.08)",
H1483="€25 Nitro (bf 05.05)",
H1483="€25(nitro) new",
H1483="€25(wx) new",
H1483="€50",
H1483="€50 (bf 01.08)",
H1483="€50 (bf 05.05)",
H1483="€50 (old)",
H1483="€50 Nitro",
H1483="€50 Nitro (bf 01.08)",
H1483="€50 Nitro (bf 05.05)",
H1483="€50(wx) new",
H1483="€100",
H1483="€100 (old)",
H1483="€100 Nitro",
H1483="€100 Nitro (old)",
H1483="€200",
H1483="€250",
H1483="€250 Nitro",
H1483="€500",
H1483="€500 Nitro"),"EUR", "USD")</f>
        <v>USD</v>
      </c>
      <c r="AE1483" s="83" t="s">
        <v>38</v>
      </c>
      <c r="AF1483" s="83" t="str">
        <f t="array" ref="AF1483">INDEX('Deal Info'!D:D, MATCH(A1483,'Deal Info'!A:A, 0))</f>
        <v>Fix19</v>
      </c>
      <c r="AG1483" s="84" t="str">
        <f t="array" ref="AG1483">INDEX('Deal Info'!G:G, MATCH(A1483,'Deal Info'!A:A, 0))</f>
        <v>None</v>
      </c>
    </row>
    <row r="1484" spans="1:33" ht="14.25" hidden="1" x14ac:dyDescent="0.2">
      <c r="A1484" s="18" t="str">
        <f t="array" ref="A1484">IF(G1484='Room Info'!$B$1, INDEX('Room Info'!$A$2:$A2446, MATCH(B1484,'Room Info'!$B$2:$B2446, 0)),IF(G1484='Room Info'!$C$1, INDEX('Room Info'!$A$2:$A2446, MATCH(B1484,'Room Info'!$C$2:$C2446, 0)),IF(G1484='Room Info'!$D$1, INDEX('Room Info'!$A$2:$A2446, MATCH(B1484,'Room Info'!$D$2:$D2446, 0)),IF(G1484='Room Info'!$E$1, INDEX('Room Info'!$A$2:$A2446, MATCH(B1484,'Room Info'!$E$2:$E2446, 0)),IF(G1484='Room Info'!$F$1, INDEX('Room Info'!$A$2:$A2446, MATCH(B1484,'Room Info'!$F$2:$F2446, 0)),IF(G1484='Room Info'!$H$1, INDEX('Room Info'!$A$2:$A2446, MATCH(B1484,'Room Info'!$H$2:$H2446, 0)),IF(G1484='Room Info'!$G$1, INDEX('Room Info'!$A$2:$A2446, MATCH(B1484,'Room Info'!$G$2:$G2446, 0)))))))))</f>
        <v>dimasik</v>
      </c>
      <c r="B1484" s="45" t="s">
        <v>162</v>
      </c>
      <c r="C1484" s="77">
        <v>44958</v>
      </c>
      <c r="D1484" s="77">
        <v>44985</v>
      </c>
      <c r="E1484" s="21">
        <v>44958</v>
      </c>
      <c r="F1484" s="22" t="s">
        <v>41</v>
      </c>
      <c r="G1484" s="18" t="s">
        <v>35</v>
      </c>
      <c r="H1484" s="81" t="s">
        <v>142</v>
      </c>
      <c r="I1484" s="23" t="s">
        <v>37</v>
      </c>
      <c r="J1484" s="39">
        <v>500</v>
      </c>
      <c r="K1484" s="51">
        <v>4</v>
      </c>
      <c r="L1484" s="52">
        <v>-2000</v>
      </c>
      <c r="M1484" s="62"/>
      <c r="N1484" s="28">
        <f>K1484*J1484</f>
        <v>2000</v>
      </c>
      <c r="O1484" s="54"/>
      <c r="P1484" s="29">
        <v>0</v>
      </c>
      <c r="Q1484" s="55"/>
      <c r="R1484" s="31">
        <f>M1484+Q1484</f>
        <v>0</v>
      </c>
      <c r="S1484" s="66"/>
      <c r="T1484" s="32">
        <f>IF(AND(AD1484="EUR", F1484="Without EV deal"), R1484 + L1484,
IF(AND(AD1484="USD", F1484="Without EV deal"), R1484 + L1484,
IF(AND(AD1484="EUR", F1484="Steel Phoenix"), R1484 + S1484/U1484,
R1484 + S1484)))</f>
        <v>-2000</v>
      </c>
      <c r="U1484" s="57">
        <v>1</v>
      </c>
      <c r="V1484" s="69"/>
      <c r="W1484" s="69"/>
      <c r="X1484" s="30">
        <f>IF(AF1484="DoEV",IF(AND(V1484&lt;20,W1484&lt;55),0.3,0)+IF(AND(V1484&lt;20,W1484&gt;=55,W1484&lt;105),0.23,0)+IF(AND(V1484&lt;20,W1484&gt;=105),0.17,0)+IF(AND(V1484&gt;=20,V1484&lt;40,W1484&lt;45),0.3,0)+IF(AND(V1484&gt;=20,V1484&lt;40,W1484&gt;=45,W1484&lt;95),0.23,0)+IF(AND(V1484&gt;=20,V1484&lt;40,W1484&gt;=95),0.17,0)+IF(AND(V1484&gt;=40,V1484&lt;75,W1484&lt;35),0.3,0)+IF(AND(V1484&gt;=40,V1484&lt;75,W1484&gt;=35,W1484&lt;75),0.23,0)+IF(AND(V1484&gt;=40,V1484&lt;75,W1484&gt;=75,W1484&lt;120),0.17,0)+IF(AND(V1484&gt;=40,V1484&lt;75,W1484&gt;=120),0.12,0)+IF(AND(V1484&gt;=75,V1484&lt;175,W1484&lt;35),0.3,0)+IF(AND(V1484&gt;=75,V1484&lt;=175,W1484&gt;=35,W1484&lt;65),0.23,0)+IF(AND(V1484&gt;=75,V1484&lt;=175,W1484&gt;=65,W1484&lt;110),0.17,0)+IF(AND(V1484&gt;=75,V1484&lt;=175,W1484&gt;=110),0.12,0)+IF(AND(V1484&gt;175,W1484&lt;25),0.3,0)+IF(AND(V1484&gt;175,W1484&gt;=25,W1484&lt;55),0.23,0)+IF(AND(V1484&gt;175,W1484&gt;=55,W1484&lt;95),0.17,0)+IF(AND(V1484&gt;175,W1484&gt;=95),0.12,0),
IF(AF1484="Fix15",0.15,
IF(AF1484="Fix5",0.05,
IF(AF1484="Fix18.75",0.1875,
IF(AF1484="Fix11.25",0.1125,
IF(AF1484="Fix10",0.1,
IF(AF1484="Fix9",0.09,
IF(AF1484="Fix12",0.12,
IF(AF1484="Fix19",0.19,
IF(AF1484="DoEV2017",IF(AND(W1484&lt;74),0.2,0)+IF(AND(W1484&gt;=74),0.17,0),
IF(AF1484="SF",IF(AND(V1484&lt;20,W1484&lt;89),0.3,0)+IF(AND(V1484&lt;20,W1484&gt;=89),0.25,0)+IF(AND(V1484&gt;=20,V1484&lt;40,W1484&lt;74),0.3,0)+IF(AND(V1484&gt;=20,V1484&lt;40,W1484&gt;=75),0.22,0)+IF(AND(V1484&gt;=40,V1484&lt;75,W1484&lt;75),0.26,0)+IF(AND(V1484&gt;=40,V1484&lt;75,W1484&gt;=75),0.22,0)+IF(V1484&gt;=75,0.22,0),
IF(AF1484="DoEVold",IF(AND(V1484&lt;40,W1484&lt;35),0.35,0)+IF(AND(V1484&lt;40,W1484&gt;=35,W1484&lt;75),0.25,0)+IF(AND(V1484&lt;40,W1484&gt;=75),0.17,0)+IF(AND(V1484&gt;=40,V1484&lt;75,W1484&lt;25),0.35,0)+IF(AND(V1484&gt;=40,V1484&lt;75,W1484&gt;=25,W1484&lt;65),0.25,0)+IF(AND(V1484&gt;=40,V1484&lt;75,W1484&gt;=65,W1484&lt;100),0.17,0)+IF(AND(V1484&gt;=40,V1484&lt;75,W1484&gt;=100),0.1,0)+IF(AND(V1484&gt;=75,W1484&lt;25),0.35,0)+IF(AND(V1484&gt;=75,W1484&gt;=25,W1484&lt;60),0.25,0)+IF(AND(V1484&gt;=75,W1484&gt;=60,W1484&lt;95),0.17,0)+IF(AND(V1484&gt;=75,W1484&gt;=95),0.1,0),
IF(AF1484="DoEVold15",IF(AND(V1484&lt;=40,W1484&lt;35),0.35,0)+IF(AND(V1484&lt;=40,W1484&gt;=35,W1484&lt;75),0.25,0)+IF(AND(V1484&lt;=40,W1484&gt;=75,W1484&lt;120),0.17,0)+IF(AND(V1484&lt;=40,W1484&gt;=120),0.15,0)+IF(AND(V1484&gt;40,V1484&lt;75,W1484&lt;25),0.35,0)+IF(AND(V1484&gt;=40,V1484&lt;75,W1484&gt;=25,W1484&lt;65),0.25,0)+IF(AND(V1484&gt;=40,V1484&lt;75,W1484&gt;=65,W1484&lt;100),0.17,0)+IF(AND(V1484&gt;=40,V1484&lt;75,W1484&gt;=100),0.1,0)+IF(AND(V1484&gt;=75,W1484&lt;25),0.35,0)+IF(AND(V1484&gt;=75,W1484&gt;=25,W1484&lt;60),0.25,0)+IF(AND(V1484&gt;=75,W1484&gt;=60,W1484&lt;95),0.17,0)+IF(AND(V1484&gt;=75,W1484&gt;=95),0.1,0),
IF(AF1484="DoEVba",IF(AND(V1484&lt;20,W1484&lt;105),0.2,0)+IF(AND(V1484&lt;20,W1484&gt;=105),0.15,0)+IF(AND(V1484&gt;=20,V1484&lt;40,W1484&lt;95),0.2,0)+IF(AND(V1484&gt;=20,V1484&lt;40,W1484&gt;=95,W1484&lt;150),0.15,0)+IF(AND(V1484&gt;=20,V1484&lt;40,W1484&gt;=150),0.12,0)+IF(AND(V1484&gt;=40,V1484&lt;75,W1484&lt;75),0.2,0)+IF(AND(V1484&gt;=40,V1484&lt;75,W1484&gt;=75,W1484&lt;120),0.15,0)+IF(AND(V1484&gt;=40,V1484&lt;75,W1484&gt;=120),0.12,0)+IF(AND(V1484&gt;=75,V1484&lt;175,W1484&lt;65),0.2,0)+IF(AND(V1484&gt;=75,V1484&lt;175,W1484&gt;=65,W1484&lt;110),0.15,0)+IF(AND(V1484&gt;=75,V1484&lt;175,W1484&gt;=110),0.12,0)+IF(AND(V1484&gt;=175,W1484&lt;55),0.2,0)+IF(AND(V1484&gt;=175,W1484&gt;=55,W1484&lt;95),0.15,0)+IF(AND(V1484&gt;=175,W1484&gt;=95),0.12,0),
IF(AF1484="DoEVku",IF(AND(V1484&lt;20,W1484&lt;55),0.23,0)+IF(AND(V1484&lt;20,W1484&gt;=55,W1484&lt;105),0.2,0)+IF(AND(V1484&lt;20,W1484&gt;=105),0.17,0)+IF(AND(V1484&gt;=20,V1484&lt;40,W1484&lt;45),0.23,0)+IF(AND(V1484&gt;=20,V1484&lt;40,W1484&gt;=45,W1484&lt;95),0.2,0)+IF(AND(V1484&gt;=20,V1484&lt;40,W1484&gt;=95,W1484&lt;=150),0.17,0)+IF(AND(V1484&gt;=20,V1484&lt;40,W1484&gt;=150),0.12,0)+IF(AND(V1484&gt;=40,V1484&lt;75,W1484&lt;35),0.23,0)+IF(AND(V1484&gt;=40,V1484&lt;75,W1484&gt;=35,W1484&lt;75),0.2,0)+IF(AND(V1484&gt;=40,V1484&lt;75,W1484&gt;=75,W1484&lt;120),0.17,0)+IF(AND(V1484&gt;=40,V1484&lt;75,W1484&gt;=120),0.12,0)+IF(AND(V1484&gt;=75,V1484&lt;175,W1484&lt;35),0.23,0)+IF(AND(V1484&gt;=75,V1484&lt;=175,W1484&gt;=35,W1484&lt;65),0.2,0)+IF(AND(V1484&gt;=75,V1484&lt;=175,W1484&gt;=65,W1484&lt;110),0.17,0)+IF(AND(V1484&gt;=75,V1484&lt;=175,W1484&gt;=110),0.12,0)+IF(AND(V1484&gt;175,W1484&lt;25),0.23,0)+IF(AND(V1484&gt;175,W1484&gt;=25,W1484&lt;55),0.2,0)+IF(AND(V1484&gt;175,W1484&gt;=55,W1484&lt;95),0.17,0)+IF(AND(V1484&gt;175,W1484&gt;=95),0.12,0),
IF(AF1484="DoEVs1",IF(AND(V1484&lt;20,W1484&lt;55),0.3,0)+IF(AND(V1484&lt;20,W1484&gt;=55,W1484&lt;105),0.23,0)+IF(AND(V1484&lt;20,W1484&gt;=105),0.17,0)+IF(AND(V1484&gt;=20,V1484&lt;40,W1484&lt;45),0.3,0)+IF(AND(V1484&gt;=20,V1484&lt;40,W1484&gt;=45,W1484&lt;95),0.23,0)+IF(AND(V1484&gt;=20,V1484&lt;40,W1484&gt;=95,W1484&lt;=150),0.17,0)+IF(AND(V1484&gt;=20,V1484&lt;40,W1484&gt;=150),0.12,0)+IF(AND(V1484&gt;=40,V1484&lt;75,W1484&lt;35),0.3,0)+IF(AND(V1484&gt;=40,V1484&lt;75,W1484&gt;=35,W1484&lt;75),0.23,0)+IF(AND(V1484&gt;=40,V1484&lt;75,W1484&gt;=75,W1484&lt;120),0.17,0)+IF(AND(V1484&gt;=40,V1484&lt;75,W1484&gt;=120),0.12,0)+IF(AND(V1484&gt;=75,V1484&lt;175,W1484&lt;35),0.3,0)+IF(AND(V1484&gt;=75,V1484&lt;=175,W1484&gt;=35,W1484&lt;65),0.23,0)+IF(AND(V1484&gt;=75,V1484&lt;=175,W1484&gt;=65,W1484&lt;110),0.17,0)+IF(AND(V1484&gt;=75,V1484&lt;=175,W1484&gt;=110),0.12,0)+IF(AND(V1484&gt;175,W1484&lt;25),0.3,0)+IF(AND(V1484&gt;175,W1484&gt;=25,W1484&lt;55),0.23,0)+IF(AND(V1484&gt;175,W1484&gt;=55,W1484&lt;95),0.17,0)+IF(AND(V1484&gt;175,W1484&gt;=95),0.12,0),
IF(AF1484="DoEVsu",IF(AND(V1484&lt;20,W1484&lt;55),0.3,0)+IF(AND(V1484&lt;20,W1484&gt;=55,W1484&lt;105),0.23,0)+IF(AND(V1484&lt;20,W1484&gt;=105),0.17,0)+IF(AND(V1484&gt;=20,V1484&lt;40,W1484&lt;45),0.3,0)+IF(AND(V1484&gt;=20,V1484&lt;40,W1484&gt;=45,W1484&lt;95),0.23,0)+IF(AND(V1484&gt;=20,V1484&lt;40,W1484&gt;=95,W1484&lt;=250),0.17,0)+IF(AND(V1484&gt;=20,V1484&lt;40,W1484&gt;=250),0.12,0)+IF(AND(V1484&gt;=40,V1484&lt;75,W1484&lt;35),0.3,0)+IF(AND(V1484&gt;=40,V1484&lt;75,W1484&gt;=35,W1484&lt;75),0.23,0)+IF(AND(V1484&gt;=40,V1484&lt;75,W1484&gt;=75,W1484&lt;120),0.17,0)+IF(AND(V1484&gt;=40,V1484&lt;75,W1484&gt;=120),0.12,0)+IF(AND(V1484&gt;=75,V1484&lt;175,W1484&lt;35),0.3,0)+IF(AND(V1484&gt;=75,V1484&lt;=175,W1484&gt;=35,W1484&lt;65),0.23,0)+IF(AND(V1484&gt;=75,V1484&lt;=175,W1484&gt;=65,W1484&lt;110),0.17,0)+IF(AND(V1484&gt;=75,V1484&lt;=175,W1484&gt;=110),0.12,0)+IF(AND(V1484&gt;175,W1484&lt;25),0.3,0)+IF(AND(V1484&gt;175,W1484&gt;=25,W1484&lt;55),0.23,0)+IF(AND(V1484&gt;175,W1484&gt;=55,W1484&lt;95),0.17,0)+IF(AND(V1484&gt;175,W1484&gt;=95),0.12,0),
IF(AF1484="DoEVni",IF(AND(V1484&lt;20,W1484&lt;55),0.3,0)+IF(AND(V1484&lt;20,W1484&gt;=55,W1484&lt;105),0.23,0)+IF(AND(V1484&lt;20,W1484&gt;=105),0.17,0)+IF(AND(V1484&gt;=20,V1484&lt;40,W1484&lt;45),0.3,0)+IF(AND(V1484&gt;=20,V1484&lt;40,W1484&gt;=45,W1484&lt;95),0.23,0)+IF(AND(V1484&gt;=20,V1484&lt;40,W1484&gt;=95,W1484&lt;=200),0.17,0)+IF(AND(V1484&gt;=20,V1484&lt;40,W1484&gt;=200),0.12,0)+IF(AND(V1484&gt;=40,V1484&lt;75,W1484&lt;35),0.3,0)+IF(AND(V1484&gt;=40,V1484&lt;75,W1484&gt;=35,W1484&lt;75),0.23,0)+IF(AND(V1484&gt;=40,V1484&lt;75,W1484&gt;=75,W1484&lt;120),0.17,0)+IF(AND(V1484&gt;=40,V1484&lt;75,W1484&gt;=120),0.12,0)+IF(AND(V1484&gt;=75,V1484&lt;175,W1484&lt;35),0.3,0)+IF(AND(V1484&gt;=75,V1484&lt;=175,W1484&gt;=35,W1484&lt;65),0.23,0)+IF(AND(V1484&gt;=75,V1484&lt;=175,W1484&gt;=65,W1484&lt;110),0.17,0)+IF(AND(V1484&gt;=75,V1484&lt;=175,W1484&gt;=110),0.12,0)+IF(AND(V1484&gt;175,W1484&lt;25),0.3,0)+IF(AND(V1484&gt;175,W1484&gt;=25,W1484&lt;55),0.23,0)+IF(AND(V1484&gt;175,W1484&gt;=55,W1484&lt;95),0.17,0)+IF(AND(V1484&gt;175,W1484&gt;=95),0.12,0),
IF(AF1484="DoEVLo",IF(AND(V1484&lt;20,W1484&lt;55),0.25,0)+IF(AND(V1484&lt;20,W1484&gt;=55,W1484&lt;105),0.2,0)+IF(AND(V1484&lt;20,W1484&gt;=105),0.15,0)+IF(AND(V1484&gt;=20,V1484&lt;40,W1484&lt;45),0.25,0)+IF(AND(V1484&gt;=20,V1484&lt;40,W1484&gt;=45,W1484&lt;95),0.2,0)+IF(AND(V1484&gt;=20,V1484&lt;40,W1484&gt;=95),0.15,0)+IF(AND(V1484&gt;=40,V1484&lt;75,W1484&lt;35),0.25,0)+IF(AND(V1484&gt;=40,V1484&lt;75,W1484&gt;=35,W1484&lt;75),0.2,0)+IF(AND(V1484&gt;=40,V1484&lt;75,W1484&gt;=75,W1484&lt;120),0.15,0)+IF(AND(V1484&gt;=40,V1484&lt;75,W1484&gt;=120),0.1,0)+IF(AND(V1484&gt;=75,V1484&lt;175,W1484&lt;35),0.25,0)+IF(AND(V1484&gt;=75,V1484&lt;=175,W1484&gt;=35,W1484&lt;65),0.2,0)+IF(AND(V1484&gt;=75,V1484&lt;=175,W1484&gt;=65,W1484&lt;110),0.15,0)+IF(AND(V1484&gt;=75,V1484&lt;=175,W1484&gt;=110),0.1,0)+IF(AND(V1484&gt;175,W1484&lt;25),0.25,0)+IF(AND(V1484&gt;175,W1484&gt;=25,W1484&lt;55),0.2,0)+IF(AND(V1484&gt;175,W1484&gt;=55,W1484&lt;95),0.15,0)+IF(AND(V1484&gt;175,W1484&gt;=95),0.1,0))))))))))))))))))))</f>
        <v>0.19</v>
      </c>
      <c r="Y1484" s="30">
        <f>IF(AG1484="None",0,IF(AG1484="Fix5",0.05, IF(AG1484="Fix6.25",0.0625,IF(AG1484="Fix3.75",0.0375, IF(AG1484="Fix11",0.11, IF(AG1484="Fix10",0.1,IF(AG1484="Fix3",0.03,0)))))))</f>
        <v>0</v>
      </c>
      <c r="Z1484" s="35">
        <f>IF(AND(AD1484="EUR", AE1484 = "USD"), T1484*U1484-AA1484-AB1484, T1484-AA1484-AB1484)</f>
        <v>-1620</v>
      </c>
      <c r="AA1484" s="29">
        <f>IF(AND(AD1484="EUR", F1484="Without EV deal", AE1484="USD"), (T1484*X1484)*U1484,
IF(AND(AD1484="EUR", F1484="Without EV deal", AE1484="EUR"), (T1484*X1484),
IF(AND(AD1484="EUR",AE1484="USD"), (T1484*X1484)*U1484,
T1484*X1484)))</f>
        <v>-380</v>
      </c>
      <c r="AB1484" s="36">
        <f>IF(AND(AD1484="EUR", F1484="Without EV deal", AE1484="USD"), (T1484*Y1484)*U1484,
IF(AND(AD1484="EUR", F1484="Without EV deal", AE1484="EUR"), (T1484*Y1484),
IF(AND(AD1484="EUR",AE1484="USD"), (T1484*Y1484)*U1484,
T1484*Y1484)))</f>
        <v>0</v>
      </c>
      <c r="AC1484" s="37" t="b">
        <v>1</v>
      </c>
      <c r="AD1484" s="82" t="str">
        <f>IF(OR(H1484="€0.25 Flash",
H1484="€0.25(nitro) new",
H1484="€1",
H1484="€2",
H1484="€2 (bf 01.08)",
H1484="€5",
H1484="€5 (1M)",
H1484="€5 (bf 01.08)",
H1484="€5 (bf 05.05)",
H1484="€5 Nitro",
H1484="€5(wx) new",
H1484="€10",
H1484="€10 (1M)",
H1484="€10 (bf 01.08)",
H1484="€10 (bf 05.05)",
H1484="€10 (MP)",
H1484="€10 (old)",
H1484="€10 Nitro (bf 05.05)",
H1484="€10 Nitro (old)",
H1484="€10(wx) new",
H1484="€20",
H1484="€25",
H1484="€25 (bf 01.08)",
H1484="€25 (bf 05.05)",
H1484="€25 (MP)",
H1484="€25 (old)",
H1484="€25 Nitro",
H1484="€25 Nitro (bf 01.08)",
H1484="€25 Nitro (bf 05.05)",
H1484="€25(nitro) new",
H1484="€25(wx) new",
H1484="€50",
H1484="€50 (bf 01.08)",
H1484="€50 (bf 05.05)",
H1484="€50 (old)",
H1484="€50 Nitro",
H1484="€50 Nitro (bf 01.08)",
H1484="€50 Nitro (bf 05.05)",
H1484="€50(wx) new",
H1484="€100",
H1484="€100 (old)",
H1484="€100 Nitro",
H1484="€100 Nitro (old)",
H1484="€200",
H1484="€250",
H1484="€250 Nitro",
H1484="€500",
H1484="€500 Nitro"),"EUR", "USD")</f>
        <v>USD</v>
      </c>
      <c r="AE1484" s="83" t="s">
        <v>38</v>
      </c>
      <c r="AF1484" s="83" t="str">
        <f t="array" ref="AF1484">INDEX('Deal Info'!D:D, MATCH(A1484,'Deal Info'!A:A, 0))</f>
        <v>Fix19</v>
      </c>
      <c r="AG1484" s="84" t="str">
        <f t="array" ref="AG1484">INDEX('Deal Info'!G:G, MATCH(A1484,'Deal Info'!A:A, 0))</f>
        <v>None</v>
      </c>
    </row>
    <row r="1485" spans="1:33" ht="14.25" hidden="1" x14ac:dyDescent="0.2">
      <c r="A1485" s="18" t="str">
        <f t="array" ref="A1485">IF(G1485='Room Info'!$B$1, INDEX('Room Info'!$A$2:$A2446, MATCH(B1485,'Room Info'!$B$2:$B2446, 0)),IF(G1485='Room Info'!$C$1, INDEX('Room Info'!$A$2:$A2446, MATCH(B1485,'Room Info'!$C$2:$C2446, 0)),IF(G1485='Room Info'!$D$1, INDEX('Room Info'!$A$2:$A2446, MATCH(B1485,'Room Info'!$D$2:$D2446, 0)),IF(G1485='Room Info'!$E$1, INDEX('Room Info'!$A$2:$A2446, MATCH(B1485,'Room Info'!$E$2:$E2446, 0)),IF(G1485='Room Info'!$F$1, INDEX('Room Info'!$A$2:$A2446, MATCH(B1485,'Room Info'!$F$2:$F2446, 0)),IF(G1485='Room Info'!$H$1, INDEX('Room Info'!$A$2:$A2446, MATCH(B1485,'Room Info'!$H$2:$H2446, 0)),IF(G1485='Room Info'!$G$1, INDEX('Room Info'!$A$2:$A2446, MATCH(B1485,'Room Info'!$G$2:$G2446, 0)))))))))</f>
        <v>dimasik</v>
      </c>
      <c r="B1485" s="45" t="s">
        <v>162</v>
      </c>
      <c r="C1485" s="77">
        <v>44958</v>
      </c>
      <c r="D1485" s="77">
        <v>44985</v>
      </c>
      <c r="E1485" s="21">
        <v>44958</v>
      </c>
      <c r="F1485" s="22" t="s">
        <v>41</v>
      </c>
      <c r="G1485" s="18" t="s">
        <v>35</v>
      </c>
      <c r="H1485" s="81" t="s">
        <v>149</v>
      </c>
      <c r="I1485" s="23" t="s">
        <v>44</v>
      </c>
      <c r="J1485" s="39">
        <v>500</v>
      </c>
      <c r="K1485" s="51">
        <v>1</v>
      </c>
      <c r="L1485" s="52">
        <v>-500</v>
      </c>
      <c r="M1485" s="62"/>
      <c r="N1485" s="28">
        <f>K1485*J1485</f>
        <v>500</v>
      </c>
      <c r="O1485" s="65"/>
      <c r="P1485" s="29">
        <v>0</v>
      </c>
      <c r="Q1485" s="55"/>
      <c r="R1485" s="31">
        <f>M1485+Q1485</f>
        <v>0</v>
      </c>
      <c r="S1485" s="66"/>
      <c r="T1485" s="32">
        <f>IF(AND(AD1485="EUR", F1485="Without EV deal"), R1485 + L1485,
IF(AND(AD1485="USD", F1485="Without EV deal"), R1485 + L1485,
IF(AND(AD1485="EUR", F1485="Steel Phoenix"), R1485 + S1485/U1485,
R1485 + S1485)))</f>
        <v>-500</v>
      </c>
      <c r="U1485" s="57">
        <v>1</v>
      </c>
      <c r="V1485" s="69"/>
      <c r="W1485" s="69"/>
      <c r="X1485" s="30">
        <f>IF(AF1485="DoEV",IF(AND(V1485&lt;20,W1485&lt;55),0.3,0)+IF(AND(V1485&lt;20,W1485&gt;=55,W1485&lt;105),0.23,0)+IF(AND(V1485&lt;20,W1485&gt;=105),0.17,0)+IF(AND(V1485&gt;=20,V1485&lt;40,W1485&lt;45),0.3,0)+IF(AND(V1485&gt;=20,V1485&lt;40,W1485&gt;=45,W1485&lt;95),0.23,0)+IF(AND(V1485&gt;=20,V1485&lt;40,W1485&gt;=95),0.17,0)+IF(AND(V1485&gt;=40,V1485&lt;75,W1485&lt;35),0.3,0)+IF(AND(V1485&gt;=40,V1485&lt;75,W1485&gt;=35,W1485&lt;75),0.23,0)+IF(AND(V1485&gt;=40,V1485&lt;75,W1485&gt;=75,W1485&lt;120),0.17,0)+IF(AND(V1485&gt;=40,V1485&lt;75,W1485&gt;=120),0.12,0)+IF(AND(V1485&gt;=75,V1485&lt;175,W1485&lt;35),0.3,0)+IF(AND(V1485&gt;=75,V1485&lt;=175,W1485&gt;=35,W1485&lt;65),0.23,0)+IF(AND(V1485&gt;=75,V1485&lt;=175,W1485&gt;=65,W1485&lt;110),0.17,0)+IF(AND(V1485&gt;=75,V1485&lt;=175,W1485&gt;=110),0.12,0)+IF(AND(V1485&gt;175,W1485&lt;25),0.3,0)+IF(AND(V1485&gt;175,W1485&gt;=25,W1485&lt;55),0.23,0)+IF(AND(V1485&gt;175,W1485&gt;=55,W1485&lt;95),0.17,0)+IF(AND(V1485&gt;175,W1485&gt;=95),0.12,0),
IF(AF1485="Fix15",0.15,
IF(AF1485="Fix5",0.05,
IF(AF1485="Fix18.75",0.1875,
IF(AF1485="Fix11.25",0.1125,
IF(AF1485="Fix10",0.1,
IF(AF1485="Fix9",0.09,
IF(AF1485="Fix12",0.12,
IF(AF1485="Fix19",0.19,
IF(AF1485="DoEV2017",IF(AND(W1485&lt;74),0.2,0)+IF(AND(W1485&gt;=74),0.17,0),
IF(AF1485="SF",IF(AND(V1485&lt;20,W1485&lt;89),0.3,0)+IF(AND(V1485&lt;20,W1485&gt;=89),0.25,0)+IF(AND(V1485&gt;=20,V1485&lt;40,W1485&lt;74),0.3,0)+IF(AND(V1485&gt;=20,V1485&lt;40,W1485&gt;=75),0.22,0)+IF(AND(V1485&gt;=40,V1485&lt;75,W1485&lt;75),0.26,0)+IF(AND(V1485&gt;=40,V1485&lt;75,W1485&gt;=75),0.22,0)+IF(V1485&gt;=75,0.22,0),
IF(AF1485="DoEVold",IF(AND(V1485&lt;40,W1485&lt;35),0.35,0)+IF(AND(V1485&lt;40,W1485&gt;=35,W1485&lt;75),0.25,0)+IF(AND(V1485&lt;40,W1485&gt;=75),0.17,0)+IF(AND(V1485&gt;=40,V1485&lt;75,W1485&lt;25),0.35,0)+IF(AND(V1485&gt;=40,V1485&lt;75,W1485&gt;=25,W1485&lt;65),0.25,0)+IF(AND(V1485&gt;=40,V1485&lt;75,W1485&gt;=65,W1485&lt;100),0.17,0)+IF(AND(V1485&gt;=40,V1485&lt;75,W1485&gt;=100),0.1,0)+IF(AND(V1485&gt;=75,W1485&lt;25),0.35,0)+IF(AND(V1485&gt;=75,W1485&gt;=25,W1485&lt;60),0.25,0)+IF(AND(V1485&gt;=75,W1485&gt;=60,W1485&lt;95),0.17,0)+IF(AND(V1485&gt;=75,W1485&gt;=95),0.1,0),
IF(AF1485="DoEVold15",IF(AND(V1485&lt;=40,W1485&lt;35),0.35,0)+IF(AND(V1485&lt;=40,W1485&gt;=35,W1485&lt;75),0.25,0)+IF(AND(V1485&lt;=40,W1485&gt;=75,W1485&lt;120),0.17,0)+IF(AND(V1485&lt;=40,W1485&gt;=120),0.15,0)+IF(AND(V1485&gt;40,V1485&lt;75,W1485&lt;25),0.35,0)+IF(AND(V1485&gt;=40,V1485&lt;75,W1485&gt;=25,W1485&lt;65),0.25,0)+IF(AND(V1485&gt;=40,V1485&lt;75,W1485&gt;=65,W1485&lt;100),0.17,0)+IF(AND(V1485&gt;=40,V1485&lt;75,W1485&gt;=100),0.1,0)+IF(AND(V1485&gt;=75,W1485&lt;25),0.35,0)+IF(AND(V1485&gt;=75,W1485&gt;=25,W1485&lt;60),0.25,0)+IF(AND(V1485&gt;=75,W1485&gt;=60,W1485&lt;95),0.17,0)+IF(AND(V1485&gt;=75,W1485&gt;=95),0.1,0),
IF(AF1485="DoEVba",IF(AND(V1485&lt;20,W1485&lt;105),0.2,0)+IF(AND(V1485&lt;20,W1485&gt;=105),0.15,0)+IF(AND(V1485&gt;=20,V1485&lt;40,W1485&lt;95),0.2,0)+IF(AND(V1485&gt;=20,V1485&lt;40,W1485&gt;=95,W1485&lt;150),0.15,0)+IF(AND(V1485&gt;=20,V1485&lt;40,W1485&gt;=150),0.12,0)+IF(AND(V1485&gt;=40,V1485&lt;75,W1485&lt;75),0.2,0)+IF(AND(V1485&gt;=40,V1485&lt;75,W1485&gt;=75,W1485&lt;120),0.15,0)+IF(AND(V1485&gt;=40,V1485&lt;75,W1485&gt;=120),0.12,0)+IF(AND(V1485&gt;=75,V1485&lt;175,W1485&lt;65),0.2,0)+IF(AND(V1485&gt;=75,V1485&lt;175,W1485&gt;=65,W1485&lt;110),0.15,0)+IF(AND(V1485&gt;=75,V1485&lt;175,W1485&gt;=110),0.12,0)+IF(AND(V1485&gt;=175,W1485&lt;55),0.2,0)+IF(AND(V1485&gt;=175,W1485&gt;=55,W1485&lt;95),0.15,0)+IF(AND(V1485&gt;=175,W1485&gt;=95),0.12,0),
IF(AF1485="DoEVku",IF(AND(V1485&lt;20,W1485&lt;55),0.23,0)+IF(AND(V1485&lt;20,W1485&gt;=55,W1485&lt;105),0.2,0)+IF(AND(V1485&lt;20,W1485&gt;=105),0.17,0)+IF(AND(V1485&gt;=20,V1485&lt;40,W1485&lt;45),0.23,0)+IF(AND(V1485&gt;=20,V1485&lt;40,W1485&gt;=45,W1485&lt;95),0.2,0)+IF(AND(V1485&gt;=20,V1485&lt;40,W1485&gt;=95,W1485&lt;=150),0.17,0)+IF(AND(V1485&gt;=20,V1485&lt;40,W1485&gt;=150),0.12,0)+IF(AND(V1485&gt;=40,V1485&lt;75,W1485&lt;35),0.23,0)+IF(AND(V1485&gt;=40,V1485&lt;75,W1485&gt;=35,W1485&lt;75),0.2,0)+IF(AND(V1485&gt;=40,V1485&lt;75,W1485&gt;=75,W1485&lt;120),0.17,0)+IF(AND(V1485&gt;=40,V1485&lt;75,W1485&gt;=120),0.12,0)+IF(AND(V1485&gt;=75,V1485&lt;175,W1485&lt;35),0.23,0)+IF(AND(V1485&gt;=75,V1485&lt;=175,W1485&gt;=35,W1485&lt;65),0.2,0)+IF(AND(V1485&gt;=75,V1485&lt;=175,W1485&gt;=65,W1485&lt;110),0.17,0)+IF(AND(V1485&gt;=75,V1485&lt;=175,W1485&gt;=110),0.12,0)+IF(AND(V1485&gt;175,W1485&lt;25),0.23,0)+IF(AND(V1485&gt;175,W1485&gt;=25,W1485&lt;55),0.2,0)+IF(AND(V1485&gt;175,W1485&gt;=55,W1485&lt;95),0.17,0)+IF(AND(V1485&gt;175,W1485&gt;=95),0.12,0),
IF(AF1485="DoEVs1",IF(AND(V1485&lt;20,W1485&lt;55),0.3,0)+IF(AND(V1485&lt;20,W1485&gt;=55,W1485&lt;105),0.23,0)+IF(AND(V1485&lt;20,W1485&gt;=105),0.17,0)+IF(AND(V1485&gt;=20,V1485&lt;40,W1485&lt;45),0.3,0)+IF(AND(V1485&gt;=20,V1485&lt;40,W1485&gt;=45,W1485&lt;95),0.23,0)+IF(AND(V1485&gt;=20,V1485&lt;40,W1485&gt;=95,W1485&lt;=150),0.17,0)+IF(AND(V1485&gt;=20,V1485&lt;40,W1485&gt;=150),0.12,0)+IF(AND(V1485&gt;=40,V1485&lt;75,W1485&lt;35),0.3,0)+IF(AND(V1485&gt;=40,V1485&lt;75,W1485&gt;=35,W1485&lt;75),0.23,0)+IF(AND(V1485&gt;=40,V1485&lt;75,W1485&gt;=75,W1485&lt;120),0.17,0)+IF(AND(V1485&gt;=40,V1485&lt;75,W1485&gt;=120),0.12,0)+IF(AND(V1485&gt;=75,V1485&lt;175,W1485&lt;35),0.3,0)+IF(AND(V1485&gt;=75,V1485&lt;=175,W1485&gt;=35,W1485&lt;65),0.23,0)+IF(AND(V1485&gt;=75,V1485&lt;=175,W1485&gt;=65,W1485&lt;110),0.17,0)+IF(AND(V1485&gt;=75,V1485&lt;=175,W1485&gt;=110),0.12,0)+IF(AND(V1485&gt;175,W1485&lt;25),0.3,0)+IF(AND(V1485&gt;175,W1485&gt;=25,W1485&lt;55),0.23,0)+IF(AND(V1485&gt;175,W1485&gt;=55,W1485&lt;95),0.17,0)+IF(AND(V1485&gt;175,W1485&gt;=95),0.12,0),
IF(AF1485="DoEVsu",IF(AND(V1485&lt;20,W1485&lt;55),0.3,0)+IF(AND(V1485&lt;20,W1485&gt;=55,W1485&lt;105),0.23,0)+IF(AND(V1485&lt;20,W1485&gt;=105),0.17,0)+IF(AND(V1485&gt;=20,V1485&lt;40,W1485&lt;45),0.3,0)+IF(AND(V1485&gt;=20,V1485&lt;40,W1485&gt;=45,W1485&lt;95),0.23,0)+IF(AND(V1485&gt;=20,V1485&lt;40,W1485&gt;=95,W1485&lt;=250),0.17,0)+IF(AND(V1485&gt;=20,V1485&lt;40,W1485&gt;=250),0.12,0)+IF(AND(V1485&gt;=40,V1485&lt;75,W1485&lt;35),0.3,0)+IF(AND(V1485&gt;=40,V1485&lt;75,W1485&gt;=35,W1485&lt;75),0.23,0)+IF(AND(V1485&gt;=40,V1485&lt;75,W1485&gt;=75,W1485&lt;120),0.17,0)+IF(AND(V1485&gt;=40,V1485&lt;75,W1485&gt;=120),0.12,0)+IF(AND(V1485&gt;=75,V1485&lt;175,W1485&lt;35),0.3,0)+IF(AND(V1485&gt;=75,V1485&lt;=175,W1485&gt;=35,W1485&lt;65),0.23,0)+IF(AND(V1485&gt;=75,V1485&lt;=175,W1485&gt;=65,W1485&lt;110),0.17,0)+IF(AND(V1485&gt;=75,V1485&lt;=175,W1485&gt;=110),0.12,0)+IF(AND(V1485&gt;175,W1485&lt;25),0.3,0)+IF(AND(V1485&gt;175,W1485&gt;=25,W1485&lt;55),0.23,0)+IF(AND(V1485&gt;175,W1485&gt;=55,W1485&lt;95),0.17,0)+IF(AND(V1485&gt;175,W1485&gt;=95),0.12,0),
IF(AF1485="DoEVni",IF(AND(V1485&lt;20,W1485&lt;55),0.3,0)+IF(AND(V1485&lt;20,W1485&gt;=55,W1485&lt;105),0.23,0)+IF(AND(V1485&lt;20,W1485&gt;=105),0.17,0)+IF(AND(V1485&gt;=20,V1485&lt;40,W1485&lt;45),0.3,0)+IF(AND(V1485&gt;=20,V1485&lt;40,W1485&gt;=45,W1485&lt;95),0.23,0)+IF(AND(V1485&gt;=20,V1485&lt;40,W1485&gt;=95,W1485&lt;=200),0.17,0)+IF(AND(V1485&gt;=20,V1485&lt;40,W1485&gt;=200),0.12,0)+IF(AND(V1485&gt;=40,V1485&lt;75,W1485&lt;35),0.3,0)+IF(AND(V1485&gt;=40,V1485&lt;75,W1485&gt;=35,W1485&lt;75),0.23,0)+IF(AND(V1485&gt;=40,V1485&lt;75,W1485&gt;=75,W1485&lt;120),0.17,0)+IF(AND(V1485&gt;=40,V1485&lt;75,W1485&gt;=120),0.12,0)+IF(AND(V1485&gt;=75,V1485&lt;175,W1485&lt;35),0.3,0)+IF(AND(V1485&gt;=75,V1485&lt;=175,W1485&gt;=35,W1485&lt;65),0.23,0)+IF(AND(V1485&gt;=75,V1485&lt;=175,W1485&gt;=65,W1485&lt;110),0.17,0)+IF(AND(V1485&gt;=75,V1485&lt;=175,W1485&gt;=110),0.12,0)+IF(AND(V1485&gt;175,W1485&lt;25),0.3,0)+IF(AND(V1485&gt;175,W1485&gt;=25,W1485&lt;55),0.23,0)+IF(AND(V1485&gt;175,W1485&gt;=55,W1485&lt;95),0.17,0)+IF(AND(V1485&gt;175,W1485&gt;=95),0.12,0),
IF(AF1485="DoEVLo",IF(AND(V1485&lt;20,W1485&lt;55),0.25,0)+IF(AND(V1485&lt;20,W1485&gt;=55,W1485&lt;105),0.2,0)+IF(AND(V1485&lt;20,W1485&gt;=105),0.15,0)+IF(AND(V1485&gt;=20,V1485&lt;40,W1485&lt;45),0.25,0)+IF(AND(V1485&gt;=20,V1485&lt;40,W1485&gt;=45,W1485&lt;95),0.2,0)+IF(AND(V1485&gt;=20,V1485&lt;40,W1485&gt;=95),0.15,0)+IF(AND(V1485&gt;=40,V1485&lt;75,W1485&lt;35),0.25,0)+IF(AND(V1485&gt;=40,V1485&lt;75,W1485&gt;=35,W1485&lt;75),0.2,0)+IF(AND(V1485&gt;=40,V1485&lt;75,W1485&gt;=75,W1485&lt;120),0.15,0)+IF(AND(V1485&gt;=40,V1485&lt;75,W1485&gt;=120),0.1,0)+IF(AND(V1485&gt;=75,V1485&lt;175,W1485&lt;35),0.25,0)+IF(AND(V1485&gt;=75,V1485&lt;=175,W1485&gt;=35,W1485&lt;65),0.2,0)+IF(AND(V1485&gt;=75,V1485&lt;=175,W1485&gt;=65,W1485&lt;110),0.15,0)+IF(AND(V1485&gt;=75,V1485&lt;=175,W1485&gt;=110),0.1,0)+IF(AND(V1485&gt;175,W1485&lt;25),0.25,0)+IF(AND(V1485&gt;175,W1485&gt;=25,W1485&lt;55),0.2,0)+IF(AND(V1485&gt;175,W1485&gt;=55,W1485&lt;95),0.15,0)+IF(AND(V1485&gt;175,W1485&gt;=95),0.1,0))))))))))))))))))))</f>
        <v>0.19</v>
      </c>
      <c r="Y1485" s="30">
        <f>IF(AG1485="None",0,IF(AG1485="Fix5",0.05, IF(AG1485="Fix6.25",0.0625,IF(AG1485="Fix3.75",0.0375, IF(AG1485="Fix11",0.11, IF(AG1485="Fix10",0.1,IF(AG1485="Fix3",0.03,0)))))))</f>
        <v>0</v>
      </c>
      <c r="Z1485" s="35">
        <f>IF(AND(AD1485="EUR", AE1485 = "USD"), T1485*U1485-AA1485-AB1485, T1485-AA1485-AB1485)</f>
        <v>-405</v>
      </c>
      <c r="AA1485" s="29">
        <f>IF(AND(AD1485="EUR", F1485="Without EV deal", AE1485="USD"), (T1485*X1485)*U1485,
IF(AND(AD1485="EUR", F1485="Without EV deal", AE1485="EUR"), (T1485*X1485),
IF(AND(AD1485="EUR",AE1485="USD"), (T1485*X1485)*U1485,
T1485*X1485)))</f>
        <v>-95</v>
      </c>
      <c r="AB1485" s="36">
        <f>IF(AND(AD1485="EUR", F1485="Without EV deal", AE1485="USD"), (T1485*Y1485)*U1485,
IF(AND(AD1485="EUR", F1485="Without EV deal", AE1485="EUR"), (T1485*Y1485),
IF(AND(AD1485="EUR",AE1485="USD"), (T1485*Y1485)*U1485,
T1485*Y1485)))</f>
        <v>0</v>
      </c>
      <c r="AC1485" s="37" t="b">
        <v>1</v>
      </c>
      <c r="AD1485" s="82" t="str">
        <f>IF(OR(H1485="€0.25 Flash",
H1485="€0.25(nitro) new",
H1485="€1",
H1485="€2",
H1485="€2 (bf 01.08)",
H1485="€5",
H1485="€5 (1M)",
H1485="€5 (bf 01.08)",
H1485="€5 (bf 05.05)",
H1485="€5 Nitro",
H1485="€5(wx) new",
H1485="€10",
H1485="€10 (1M)",
H1485="€10 (bf 01.08)",
H1485="€10 (bf 05.05)",
H1485="€10 (MP)",
H1485="€10 (old)",
H1485="€10 Nitro (bf 05.05)",
H1485="€10 Nitro (old)",
H1485="€10(wx) new",
H1485="€20",
H1485="€25",
H1485="€25 (bf 01.08)",
H1485="€25 (bf 05.05)",
H1485="€25 (MP)",
H1485="€25 (old)",
H1485="€25 Nitro",
H1485="€25 Nitro (bf 01.08)",
H1485="€25 Nitro (bf 05.05)",
H1485="€25(nitro) new",
H1485="€25(wx) new",
H1485="€50",
H1485="€50 (bf 01.08)",
H1485="€50 (bf 05.05)",
H1485="€50 (old)",
H1485="€50 Nitro",
H1485="€50 Nitro (bf 01.08)",
H1485="€50 Nitro (bf 05.05)",
H1485="€50(wx) new",
H1485="€100",
H1485="€100 (old)",
H1485="€100 Nitro",
H1485="€100 Nitro (old)",
H1485="€200",
H1485="€250",
H1485="€250 Nitro",
H1485="€500",
H1485="€500 Nitro"),"EUR", "USD")</f>
        <v>USD</v>
      </c>
      <c r="AE1485" s="83" t="s">
        <v>38</v>
      </c>
      <c r="AF1485" s="83" t="str">
        <f t="array" ref="AF1485">INDEX('Deal Info'!D:D, MATCH(A1485,'Deal Info'!A:A, 0))</f>
        <v>Fix19</v>
      </c>
      <c r="AG1485" s="84" t="str">
        <f t="array" ref="AG1485">INDEX('Deal Info'!G:G, MATCH(A1485,'Deal Info'!A:A, 0))</f>
        <v>None</v>
      </c>
    </row>
    <row r="1486" spans="1:33" ht="14.25" hidden="1" x14ac:dyDescent="0.2">
      <c r="A1486" s="18" t="str">
        <f t="array" ref="A1486">IF(G1486='Room Info'!$B$1, INDEX('Room Info'!$A$2:$A2446, MATCH(B1486,'Room Info'!$B$2:$B2446, 0)),IF(G1486='Room Info'!$C$1, INDEX('Room Info'!$A$2:$A2446, MATCH(B1486,'Room Info'!$C$2:$C2446, 0)),IF(G1486='Room Info'!$D$1, INDEX('Room Info'!$A$2:$A2446, MATCH(B1486,'Room Info'!$D$2:$D2446, 0)),IF(G1486='Room Info'!$E$1, INDEX('Room Info'!$A$2:$A2446, MATCH(B1486,'Room Info'!$E$2:$E2446, 0)),IF(G1486='Room Info'!$F$1, INDEX('Room Info'!$A$2:$A2446, MATCH(B1486,'Room Info'!$F$2:$F2446, 0)),IF(G1486='Room Info'!$H$1, INDEX('Room Info'!$A$2:$A2446, MATCH(B1486,'Room Info'!$H$2:$H2446, 0)),IF(G1486='Room Info'!$G$1, INDEX('Room Info'!$A$2:$A2446, MATCH(B1486,'Room Info'!$G$2:$G2446, 0)))))))))</f>
        <v>ushakov17</v>
      </c>
      <c r="B1486" s="54" t="s">
        <v>205</v>
      </c>
      <c r="C1486" s="77">
        <v>44958</v>
      </c>
      <c r="D1486" s="77">
        <v>44985</v>
      </c>
      <c r="E1486" s="21">
        <v>44958</v>
      </c>
      <c r="F1486" s="22" t="s">
        <v>41</v>
      </c>
      <c r="G1486" s="18" t="s">
        <v>35</v>
      </c>
      <c r="H1486" s="81" t="s">
        <v>40</v>
      </c>
      <c r="I1486" s="23" t="s">
        <v>37</v>
      </c>
      <c r="J1486" s="39">
        <v>10</v>
      </c>
      <c r="K1486" s="51">
        <v>36</v>
      </c>
      <c r="L1486" s="52">
        <v>-150</v>
      </c>
      <c r="M1486" s="53">
        <v>1535</v>
      </c>
      <c r="N1486" s="28">
        <f>K1486*J1486</f>
        <v>360</v>
      </c>
      <c r="O1486" s="65"/>
      <c r="P1486" s="29">
        <v>0</v>
      </c>
      <c r="Q1486" s="55"/>
      <c r="R1486" s="31">
        <f>M1486+Q1486</f>
        <v>1535</v>
      </c>
      <c r="S1486" s="66"/>
      <c r="T1486" s="32">
        <f>IF(AND(AD1486="EUR", F1486="Without EV deal"), R1486 + L1486,
IF(AND(AD1486="USD", F1486="Without EV deal"), R1486 + L1486,
IF(AND(AD1486="EUR", F1486="Steel Phoenix"), R1486 + S1486/U1486,
R1486 + S1486)))</f>
        <v>1385</v>
      </c>
      <c r="U1486" s="57">
        <v>1</v>
      </c>
      <c r="V1486" s="69">
        <v>24.687861271676301</v>
      </c>
      <c r="W1486" s="69">
        <v>39.898150316085228</v>
      </c>
      <c r="X1486" s="30">
        <f>IF(AF1486="DoEV",IF(AND(V1486&lt;20,W1486&lt;55),0.3,0)+IF(AND(V1486&lt;20,W1486&gt;=55,W1486&lt;105),0.23,0)+IF(AND(V1486&lt;20,W1486&gt;=105),0.17,0)+IF(AND(V1486&gt;=20,V1486&lt;40,W1486&lt;45),0.3,0)+IF(AND(V1486&gt;=20,V1486&lt;40,W1486&gt;=45,W1486&lt;95),0.23,0)+IF(AND(V1486&gt;=20,V1486&lt;40,W1486&gt;=95),0.17,0)+IF(AND(V1486&gt;=40,V1486&lt;75,W1486&lt;35),0.3,0)+IF(AND(V1486&gt;=40,V1486&lt;75,W1486&gt;=35,W1486&lt;75),0.23,0)+IF(AND(V1486&gt;=40,V1486&lt;75,W1486&gt;=75,W1486&lt;120),0.17,0)+IF(AND(V1486&gt;=40,V1486&lt;75,W1486&gt;=120),0.12,0)+IF(AND(V1486&gt;=75,V1486&lt;175,W1486&lt;35),0.3,0)+IF(AND(V1486&gt;=75,V1486&lt;=175,W1486&gt;=35,W1486&lt;65),0.23,0)+IF(AND(V1486&gt;=75,V1486&lt;=175,W1486&gt;=65,W1486&lt;110),0.17,0)+IF(AND(V1486&gt;=75,V1486&lt;=175,W1486&gt;=110),0.12,0)+IF(AND(V1486&gt;175,W1486&lt;25),0.3,0)+IF(AND(V1486&gt;175,W1486&gt;=25,W1486&lt;55),0.23,0)+IF(AND(V1486&gt;175,W1486&gt;=55,W1486&lt;95),0.17,0)+IF(AND(V1486&gt;175,W1486&gt;=95),0.12,0),
IF(AF1486="Fix15",0.15,
IF(AF1486="Fix5",0.05,
IF(AF1486="Fix18.75",0.1875,
IF(AF1486="Fix11.25",0.1125,
IF(AF1486="Fix10",0.1,
IF(AF1486="Fix9",0.09,
IF(AF1486="Fix12",0.12,
IF(AF1486="Fix19",0.19,
IF(AF1486="DoEV2017",IF(AND(W1486&lt;74),0.2,0)+IF(AND(W1486&gt;=74),0.17,0),
IF(AF1486="SF",IF(AND(V1486&lt;20,W1486&lt;89),0.3,0)+IF(AND(V1486&lt;20,W1486&gt;=89),0.25,0)+IF(AND(V1486&gt;=20,V1486&lt;40,W1486&lt;74),0.3,0)+IF(AND(V1486&gt;=20,V1486&lt;40,W1486&gt;=75),0.22,0)+IF(AND(V1486&gt;=40,V1486&lt;75,W1486&lt;75),0.26,0)+IF(AND(V1486&gt;=40,V1486&lt;75,W1486&gt;=75),0.22,0)+IF(V1486&gt;=75,0.22,0),
IF(AF1486="DoEVold",IF(AND(V1486&lt;40,W1486&lt;35),0.35,0)+IF(AND(V1486&lt;40,W1486&gt;=35,W1486&lt;75),0.25,0)+IF(AND(V1486&lt;40,W1486&gt;=75),0.17,0)+IF(AND(V1486&gt;=40,V1486&lt;75,W1486&lt;25),0.35,0)+IF(AND(V1486&gt;=40,V1486&lt;75,W1486&gt;=25,W1486&lt;65),0.25,0)+IF(AND(V1486&gt;=40,V1486&lt;75,W1486&gt;=65,W1486&lt;100),0.17,0)+IF(AND(V1486&gt;=40,V1486&lt;75,W1486&gt;=100),0.1,0)+IF(AND(V1486&gt;=75,W1486&lt;25),0.35,0)+IF(AND(V1486&gt;=75,W1486&gt;=25,W1486&lt;60),0.25,0)+IF(AND(V1486&gt;=75,W1486&gt;=60,W1486&lt;95),0.17,0)+IF(AND(V1486&gt;=75,W1486&gt;=95),0.1,0),
IF(AF1486="DoEVold15",IF(AND(V1486&lt;=40,W1486&lt;35),0.35,0)+IF(AND(V1486&lt;=40,W1486&gt;=35,W1486&lt;75),0.25,0)+IF(AND(V1486&lt;=40,W1486&gt;=75,W1486&lt;120),0.17,0)+IF(AND(V1486&lt;=40,W1486&gt;=120),0.15,0)+IF(AND(V1486&gt;40,V1486&lt;75,W1486&lt;25),0.35,0)+IF(AND(V1486&gt;=40,V1486&lt;75,W1486&gt;=25,W1486&lt;65),0.25,0)+IF(AND(V1486&gt;=40,V1486&lt;75,W1486&gt;=65,W1486&lt;100),0.17,0)+IF(AND(V1486&gt;=40,V1486&lt;75,W1486&gt;=100),0.1,0)+IF(AND(V1486&gt;=75,W1486&lt;25),0.35,0)+IF(AND(V1486&gt;=75,W1486&gt;=25,W1486&lt;60),0.25,0)+IF(AND(V1486&gt;=75,W1486&gt;=60,W1486&lt;95),0.17,0)+IF(AND(V1486&gt;=75,W1486&gt;=95),0.1,0),
IF(AF1486="DoEVba",IF(AND(V1486&lt;20,W1486&lt;105),0.2,0)+IF(AND(V1486&lt;20,W1486&gt;=105),0.15,0)+IF(AND(V1486&gt;=20,V1486&lt;40,W1486&lt;95),0.2,0)+IF(AND(V1486&gt;=20,V1486&lt;40,W1486&gt;=95,W1486&lt;150),0.15,0)+IF(AND(V1486&gt;=20,V1486&lt;40,W1486&gt;=150),0.12,0)+IF(AND(V1486&gt;=40,V1486&lt;75,W1486&lt;75),0.2,0)+IF(AND(V1486&gt;=40,V1486&lt;75,W1486&gt;=75,W1486&lt;120),0.15,0)+IF(AND(V1486&gt;=40,V1486&lt;75,W1486&gt;=120),0.12,0)+IF(AND(V1486&gt;=75,V1486&lt;175,W1486&lt;65),0.2,0)+IF(AND(V1486&gt;=75,V1486&lt;175,W1486&gt;=65,W1486&lt;110),0.15,0)+IF(AND(V1486&gt;=75,V1486&lt;175,W1486&gt;=110),0.12,0)+IF(AND(V1486&gt;=175,W1486&lt;55),0.2,0)+IF(AND(V1486&gt;=175,W1486&gt;=55,W1486&lt;95),0.15,0)+IF(AND(V1486&gt;=175,W1486&gt;=95),0.12,0),
IF(AF1486="DoEVku",IF(AND(V1486&lt;20,W1486&lt;55),0.23,0)+IF(AND(V1486&lt;20,W1486&gt;=55,W1486&lt;105),0.2,0)+IF(AND(V1486&lt;20,W1486&gt;=105),0.17,0)+IF(AND(V1486&gt;=20,V1486&lt;40,W1486&lt;45),0.23,0)+IF(AND(V1486&gt;=20,V1486&lt;40,W1486&gt;=45,W1486&lt;95),0.2,0)+IF(AND(V1486&gt;=20,V1486&lt;40,W1486&gt;=95,W1486&lt;=150),0.17,0)+IF(AND(V1486&gt;=20,V1486&lt;40,W1486&gt;=150),0.12,0)+IF(AND(V1486&gt;=40,V1486&lt;75,W1486&lt;35),0.23,0)+IF(AND(V1486&gt;=40,V1486&lt;75,W1486&gt;=35,W1486&lt;75),0.2,0)+IF(AND(V1486&gt;=40,V1486&lt;75,W1486&gt;=75,W1486&lt;120),0.17,0)+IF(AND(V1486&gt;=40,V1486&lt;75,W1486&gt;=120),0.12,0)+IF(AND(V1486&gt;=75,V1486&lt;175,W1486&lt;35),0.23,0)+IF(AND(V1486&gt;=75,V1486&lt;=175,W1486&gt;=35,W1486&lt;65),0.2,0)+IF(AND(V1486&gt;=75,V1486&lt;=175,W1486&gt;=65,W1486&lt;110),0.17,0)+IF(AND(V1486&gt;=75,V1486&lt;=175,W1486&gt;=110),0.12,0)+IF(AND(V1486&gt;175,W1486&lt;25),0.23,0)+IF(AND(V1486&gt;175,W1486&gt;=25,W1486&lt;55),0.2,0)+IF(AND(V1486&gt;175,W1486&gt;=55,W1486&lt;95),0.17,0)+IF(AND(V1486&gt;175,W1486&gt;=95),0.12,0),
IF(AF1486="DoEVs1",IF(AND(V1486&lt;20,W1486&lt;55),0.3,0)+IF(AND(V1486&lt;20,W1486&gt;=55,W1486&lt;105),0.23,0)+IF(AND(V1486&lt;20,W1486&gt;=105),0.17,0)+IF(AND(V1486&gt;=20,V1486&lt;40,W1486&lt;45),0.3,0)+IF(AND(V1486&gt;=20,V1486&lt;40,W1486&gt;=45,W1486&lt;95),0.23,0)+IF(AND(V1486&gt;=20,V1486&lt;40,W1486&gt;=95,W1486&lt;=150),0.17,0)+IF(AND(V1486&gt;=20,V1486&lt;40,W1486&gt;=150),0.12,0)+IF(AND(V1486&gt;=40,V1486&lt;75,W1486&lt;35),0.3,0)+IF(AND(V1486&gt;=40,V1486&lt;75,W1486&gt;=35,W1486&lt;75),0.23,0)+IF(AND(V1486&gt;=40,V1486&lt;75,W1486&gt;=75,W1486&lt;120),0.17,0)+IF(AND(V1486&gt;=40,V1486&lt;75,W1486&gt;=120),0.12,0)+IF(AND(V1486&gt;=75,V1486&lt;175,W1486&lt;35),0.3,0)+IF(AND(V1486&gt;=75,V1486&lt;=175,W1486&gt;=35,W1486&lt;65),0.23,0)+IF(AND(V1486&gt;=75,V1486&lt;=175,W1486&gt;=65,W1486&lt;110),0.17,0)+IF(AND(V1486&gt;=75,V1486&lt;=175,W1486&gt;=110),0.12,0)+IF(AND(V1486&gt;175,W1486&lt;25),0.3,0)+IF(AND(V1486&gt;175,W1486&gt;=25,W1486&lt;55),0.23,0)+IF(AND(V1486&gt;175,W1486&gt;=55,W1486&lt;95),0.17,0)+IF(AND(V1486&gt;175,W1486&gt;=95),0.12,0),
IF(AF1486="DoEVsu",IF(AND(V1486&lt;20,W1486&lt;55),0.3,0)+IF(AND(V1486&lt;20,W1486&gt;=55,W1486&lt;105),0.23,0)+IF(AND(V1486&lt;20,W1486&gt;=105),0.17,0)+IF(AND(V1486&gt;=20,V1486&lt;40,W1486&lt;45),0.3,0)+IF(AND(V1486&gt;=20,V1486&lt;40,W1486&gt;=45,W1486&lt;95),0.23,0)+IF(AND(V1486&gt;=20,V1486&lt;40,W1486&gt;=95,W1486&lt;=250),0.17,0)+IF(AND(V1486&gt;=20,V1486&lt;40,W1486&gt;=250),0.12,0)+IF(AND(V1486&gt;=40,V1486&lt;75,W1486&lt;35),0.3,0)+IF(AND(V1486&gt;=40,V1486&lt;75,W1486&gt;=35,W1486&lt;75),0.23,0)+IF(AND(V1486&gt;=40,V1486&lt;75,W1486&gt;=75,W1486&lt;120),0.17,0)+IF(AND(V1486&gt;=40,V1486&lt;75,W1486&gt;=120),0.12,0)+IF(AND(V1486&gt;=75,V1486&lt;175,W1486&lt;35),0.3,0)+IF(AND(V1486&gt;=75,V1486&lt;=175,W1486&gt;=35,W1486&lt;65),0.23,0)+IF(AND(V1486&gt;=75,V1486&lt;=175,W1486&gt;=65,W1486&lt;110),0.17,0)+IF(AND(V1486&gt;=75,V1486&lt;=175,W1486&gt;=110),0.12,0)+IF(AND(V1486&gt;175,W1486&lt;25),0.3,0)+IF(AND(V1486&gt;175,W1486&gt;=25,W1486&lt;55),0.23,0)+IF(AND(V1486&gt;175,W1486&gt;=55,W1486&lt;95),0.17,0)+IF(AND(V1486&gt;175,W1486&gt;=95),0.12,0),
IF(AF1486="DoEVni",IF(AND(V1486&lt;20,W1486&lt;55),0.3,0)+IF(AND(V1486&lt;20,W1486&gt;=55,W1486&lt;105),0.23,0)+IF(AND(V1486&lt;20,W1486&gt;=105),0.17,0)+IF(AND(V1486&gt;=20,V1486&lt;40,W1486&lt;45),0.3,0)+IF(AND(V1486&gt;=20,V1486&lt;40,W1486&gt;=45,W1486&lt;95),0.23,0)+IF(AND(V1486&gt;=20,V1486&lt;40,W1486&gt;=95,W1486&lt;=200),0.17,0)+IF(AND(V1486&gt;=20,V1486&lt;40,W1486&gt;=200),0.12,0)+IF(AND(V1486&gt;=40,V1486&lt;75,W1486&lt;35),0.3,0)+IF(AND(V1486&gt;=40,V1486&lt;75,W1486&gt;=35,W1486&lt;75),0.23,0)+IF(AND(V1486&gt;=40,V1486&lt;75,W1486&gt;=75,W1486&lt;120),0.17,0)+IF(AND(V1486&gt;=40,V1486&lt;75,W1486&gt;=120),0.12,0)+IF(AND(V1486&gt;=75,V1486&lt;175,W1486&lt;35),0.3,0)+IF(AND(V1486&gt;=75,V1486&lt;=175,W1486&gt;=35,W1486&lt;65),0.23,0)+IF(AND(V1486&gt;=75,V1486&lt;=175,W1486&gt;=65,W1486&lt;110),0.17,0)+IF(AND(V1486&gt;=75,V1486&lt;=175,W1486&gt;=110),0.12,0)+IF(AND(V1486&gt;175,W1486&lt;25),0.3,0)+IF(AND(V1486&gt;175,W1486&gt;=25,W1486&lt;55),0.23,0)+IF(AND(V1486&gt;175,W1486&gt;=55,W1486&lt;95),0.17,0)+IF(AND(V1486&gt;175,W1486&gt;=95),0.12,0),
IF(AF1486="DoEVLo",IF(AND(V1486&lt;20,W1486&lt;55),0.25,0)+IF(AND(V1486&lt;20,W1486&gt;=55,W1486&lt;105),0.2,0)+IF(AND(V1486&lt;20,W1486&gt;=105),0.15,0)+IF(AND(V1486&gt;=20,V1486&lt;40,W1486&lt;45),0.25,0)+IF(AND(V1486&gt;=20,V1486&lt;40,W1486&gt;=45,W1486&lt;95),0.2,0)+IF(AND(V1486&gt;=20,V1486&lt;40,W1486&gt;=95),0.15,0)+IF(AND(V1486&gt;=40,V1486&lt;75,W1486&lt;35),0.25,0)+IF(AND(V1486&gt;=40,V1486&lt;75,W1486&gt;=35,W1486&lt;75),0.2,0)+IF(AND(V1486&gt;=40,V1486&lt;75,W1486&gt;=75,W1486&lt;120),0.15,0)+IF(AND(V1486&gt;=40,V1486&lt;75,W1486&gt;=120),0.1,0)+IF(AND(V1486&gt;=75,V1486&lt;175,W1486&lt;35),0.25,0)+IF(AND(V1486&gt;=75,V1486&lt;=175,W1486&gt;=35,W1486&lt;65),0.2,0)+IF(AND(V1486&gt;=75,V1486&lt;=175,W1486&gt;=65,W1486&lt;110),0.15,0)+IF(AND(V1486&gt;=75,V1486&lt;=175,W1486&gt;=110),0.1,0)+IF(AND(V1486&gt;175,W1486&lt;25),0.25,0)+IF(AND(V1486&gt;175,W1486&gt;=25,W1486&lt;55),0.2,0)+IF(AND(V1486&gt;175,W1486&gt;=55,W1486&lt;95),0.15,0)+IF(AND(V1486&gt;175,W1486&gt;=95),0.1,0))))))))))))))))))))</f>
        <v>0.3</v>
      </c>
      <c r="Y1486" s="30">
        <f>IF(AG1486="None",0,IF(AG1486="Fix5",0.05, IF(AG1486="Fix6.25",0.0625,IF(AG1486="Fix3.75",0.0375, IF(AG1486="Fix11",0.11, IF(AG1486="Fix10",0.1,IF(AG1486="Fix3",0.03,0)))))))</f>
        <v>0</v>
      </c>
      <c r="Z1486" s="35">
        <f>IF(AND(AD1486="EUR", AE1486 = "USD"), T1486*U1486-AA1486-AB1486, T1486-AA1486-AB1486)</f>
        <v>969.5</v>
      </c>
      <c r="AA1486" s="29">
        <f>IF(AND(AD1486="EUR", F1486="Without EV deal", AE1486="USD"), (T1486*X1486)*U1486,
IF(AND(AD1486="EUR", F1486="Without EV deal", AE1486="EUR"), (T1486*X1486),
IF(AND(AD1486="EUR",AE1486="USD"), (T1486*X1486)*U1486,
T1486*X1486)))</f>
        <v>415.5</v>
      </c>
      <c r="AB1486" s="36">
        <f>IF(AND(AD1486="EUR", F1486="Without EV deal", AE1486="USD"), (T1486*Y1486)*U1486,
IF(AND(AD1486="EUR", F1486="Without EV deal", AE1486="EUR"), (T1486*Y1486),
IF(AND(AD1486="EUR",AE1486="USD"), (T1486*Y1486)*U1486,
T1486*Y1486)))</f>
        <v>0</v>
      </c>
      <c r="AC1486" s="37" t="b">
        <v>1</v>
      </c>
      <c r="AD1486" s="82" t="str">
        <f>IF(OR(H1486="€0.25 Flash",
H1486="€0.25(nitro) new",
H1486="€1",
H1486="€2",
H1486="€2 (bf 01.08)",
H1486="€5",
H1486="€5 (1M)",
H1486="€5 (bf 01.08)",
H1486="€5 (bf 05.05)",
H1486="€5 Nitro",
H1486="€5(wx) new",
H1486="€10",
H1486="€10 (1M)",
H1486="€10 (bf 01.08)",
H1486="€10 (bf 05.05)",
H1486="€10 (MP)",
H1486="€10 (old)",
H1486="€10 Nitro (bf 05.05)",
H1486="€10 Nitro (old)",
H1486="€10(wx) new",
H1486="€20",
H1486="€25",
H1486="€25 (bf 01.08)",
H1486="€25 (bf 05.05)",
H1486="€25 (MP)",
H1486="€25 (old)",
H1486="€25 Nitro",
H1486="€25 Nitro (bf 01.08)",
H1486="€25 Nitro (bf 05.05)",
H1486="€25(nitro) new",
H1486="€25(wx) new",
H1486="€50",
H1486="€50 (bf 01.08)",
H1486="€50 (bf 05.05)",
H1486="€50 (old)",
H1486="€50 Nitro",
H1486="€50 Nitro (bf 01.08)",
H1486="€50 Nitro (bf 05.05)",
H1486="€50(wx) new",
H1486="€100",
H1486="€100 (old)",
H1486="€100 Nitro",
H1486="€100 Nitro (old)",
H1486="€200",
H1486="€250",
H1486="€250 Nitro",
H1486="€500",
H1486="€500 Nitro"),"EUR", "USD")</f>
        <v>USD</v>
      </c>
      <c r="AE1486" s="83" t="s">
        <v>38</v>
      </c>
      <c r="AF1486" s="83" t="str">
        <f t="array" ref="AF1486">INDEX('Deal Info'!D:D, MATCH(A1486,'Deal Info'!A:A, 0))</f>
        <v>DoEV</v>
      </c>
      <c r="AG1486" s="84" t="str">
        <f t="array" ref="AG1486">INDEX('Deal Info'!G:G, MATCH(A1486,'Deal Info'!A:A, 0))</f>
        <v>None</v>
      </c>
    </row>
    <row r="1487" spans="1:33" ht="14.25" hidden="1" x14ac:dyDescent="0.2">
      <c r="A1487" s="18" t="str">
        <f t="array" ref="A1487">IF(G1487='Room Info'!$B$1, INDEX('Room Info'!$A$2:$A2446, MATCH(B1487,'Room Info'!$B$2:$B2446, 0)),IF(G1487='Room Info'!$C$1, INDEX('Room Info'!$A$2:$A2446, MATCH(B1487,'Room Info'!$C$2:$C2446, 0)),IF(G1487='Room Info'!$D$1, INDEX('Room Info'!$A$2:$A2446, MATCH(B1487,'Room Info'!$D$2:$D2446, 0)),IF(G1487='Room Info'!$E$1, INDEX('Room Info'!$A$2:$A2446, MATCH(B1487,'Room Info'!$E$2:$E2446, 0)),IF(G1487='Room Info'!$F$1, INDEX('Room Info'!$A$2:$A2446, MATCH(B1487,'Room Info'!$F$2:$F2446, 0)),IF(G1487='Room Info'!$H$1, INDEX('Room Info'!$A$2:$A2446, MATCH(B1487,'Room Info'!$H$2:$H2446, 0)),IF(G1487='Room Info'!$G$1, INDEX('Room Info'!$A$2:$A2446, MATCH(B1487,'Room Info'!$G$2:$G2446, 0)))))))))</f>
        <v>ushakov17</v>
      </c>
      <c r="B1487" s="54" t="s">
        <v>205</v>
      </c>
      <c r="C1487" s="77">
        <v>44958</v>
      </c>
      <c r="D1487" s="77">
        <v>44985</v>
      </c>
      <c r="E1487" s="21">
        <v>44958</v>
      </c>
      <c r="F1487" s="22" t="s">
        <v>41</v>
      </c>
      <c r="G1487" s="18" t="s">
        <v>35</v>
      </c>
      <c r="H1487" s="23" t="s">
        <v>46</v>
      </c>
      <c r="I1487" s="23" t="s">
        <v>37</v>
      </c>
      <c r="J1487" s="39">
        <v>25</v>
      </c>
      <c r="K1487" s="51">
        <v>1694</v>
      </c>
      <c r="L1487" s="52">
        <v>-400</v>
      </c>
      <c r="M1487" s="62"/>
      <c r="N1487" s="28">
        <f>K1487*J1487</f>
        <v>42350</v>
      </c>
      <c r="O1487" s="65"/>
      <c r="P1487" s="29">
        <v>0</v>
      </c>
      <c r="Q1487" s="55"/>
      <c r="R1487" s="31">
        <f>M1487+Q1487</f>
        <v>0</v>
      </c>
      <c r="S1487" s="66"/>
      <c r="T1487" s="32">
        <f>IF(AND(AD1487="EUR", F1487="Without EV deal"), R1487 + L1487,
IF(AND(AD1487="USD", F1487="Without EV deal"), R1487 + L1487,
IF(AND(AD1487="EUR", F1487="Steel Phoenix"), R1487 + S1487/U1487,
R1487 + S1487)))</f>
        <v>-400</v>
      </c>
      <c r="U1487" s="57">
        <v>1</v>
      </c>
      <c r="V1487" s="69">
        <v>24.687861271676301</v>
      </c>
      <c r="W1487" s="69">
        <v>39.898150316085228</v>
      </c>
      <c r="X1487" s="30">
        <f>IF(AF1487="DoEV",IF(AND(V1487&lt;20,W1487&lt;55),0.3,0)+IF(AND(V1487&lt;20,W1487&gt;=55,W1487&lt;105),0.23,0)+IF(AND(V1487&lt;20,W1487&gt;=105),0.17,0)+IF(AND(V1487&gt;=20,V1487&lt;40,W1487&lt;45),0.3,0)+IF(AND(V1487&gt;=20,V1487&lt;40,W1487&gt;=45,W1487&lt;95),0.23,0)+IF(AND(V1487&gt;=20,V1487&lt;40,W1487&gt;=95),0.17,0)+IF(AND(V1487&gt;=40,V1487&lt;75,W1487&lt;35),0.3,0)+IF(AND(V1487&gt;=40,V1487&lt;75,W1487&gt;=35,W1487&lt;75),0.23,0)+IF(AND(V1487&gt;=40,V1487&lt;75,W1487&gt;=75,W1487&lt;120),0.17,0)+IF(AND(V1487&gt;=40,V1487&lt;75,W1487&gt;=120),0.12,0)+IF(AND(V1487&gt;=75,V1487&lt;175,W1487&lt;35),0.3,0)+IF(AND(V1487&gt;=75,V1487&lt;=175,W1487&gt;=35,W1487&lt;65),0.23,0)+IF(AND(V1487&gt;=75,V1487&lt;=175,W1487&gt;=65,W1487&lt;110),0.17,0)+IF(AND(V1487&gt;=75,V1487&lt;=175,W1487&gt;=110),0.12,0)+IF(AND(V1487&gt;175,W1487&lt;25),0.3,0)+IF(AND(V1487&gt;175,W1487&gt;=25,W1487&lt;55),0.23,0)+IF(AND(V1487&gt;175,W1487&gt;=55,W1487&lt;95),0.17,0)+IF(AND(V1487&gt;175,W1487&gt;=95),0.12,0),
IF(AF1487="Fix15",0.15,
IF(AF1487="Fix5",0.05,
IF(AF1487="Fix18.75",0.1875,
IF(AF1487="Fix11.25",0.1125,
IF(AF1487="Fix10",0.1,
IF(AF1487="Fix9",0.09,
IF(AF1487="Fix12",0.12,
IF(AF1487="Fix19",0.19,
IF(AF1487="DoEV2017",IF(AND(W1487&lt;74),0.2,0)+IF(AND(W1487&gt;=74),0.17,0),
IF(AF1487="SF",IF(AND(V1487&lt;20,W1487&lt;89),0.3,0)+IF(AND(V1487&lt;20,W1487&gt;=89),0.25,0)+IF(AND(V1487&gt;=20,V1487&lt;40,W1487&lt;74),0.3,0)+IF(AND(V1487&gt;=20,V1487&lt;40,W1487&gt;=75),0.22,0)+IF(AND(V1487&gt;=40,V1487&lt;75,W1487&lt;75),0.26,0)+IF(AND(V1487&gt;=40,V1487&lt;75,W1487&gt;=75),0.22,0)+IF(V1487&gt;=75,0.22,0),
IF(AF1487="DoEVold",IF(AND(V1487&lt;40,W1487&lt;35),0.35,0)+IF(AND(V1487&lt;40,W1487&gt;=35,W1487&lt;75),0.25,0)+IF(AND(V1487&lt;40,W1487&gt;=75),0.17,0)+IF(AND(V1487&gt;=40,V1487&lt;75,W1487&lt;25),0.35,0)+IF(AND(V1487&gt;=40,V1487&lt;75,W1487&gt;=25,W1487&lt;65),0.25,0)+IF(AND(V1487&gt;=40,V1487&lt;75,W1487&gt;=65,W1487&lt;100),0.17,0)+IF(AND(V1487&gt;=40,V1487&lt;75,W1487&gt;=100),0.1,0)+IF(AND(V1487&gt;=75,W1487&lt;25),0.35,0)+IF(AND(V1487&gt;=75,W1487&gt;=25,W1487&lt;60),0.25,0)+IF(AND(V1487&gt;=75,W1487&gt;=60,W1487&lt;95),0.17,0)+IF(AND(V1487&gt;=75,W1487&gt;=95),0.1,0),
IF(AF1487="DoEVold15",IF(AND(V1487&lt;=40,W1487&lt;35),0.35,0)+IF(AND(V1487&lt;=40,W1487&gt;=35,W1487&lt;75),0.25,0)+IF(AND(V1487&lt;=40,W1487&gt;=75,W1487&lt;120),0.17,0)+IF(AND(V1487&lt;=40,W1487&gt;=120),0.15,0)+IF(AND(V1487&gt;40,V1487&lt;75,W1487&lt;25),0.35,0)+IF(AND(V1487&gt;=40,V1487&lt;75,W1487&gt;=25,W1487&lt;65),0.25,0)+IF(AND(V1487&gt;=40,V1487&lt;75,W1487&gt;=65,W1487&lt;100),0.17,0)+IF(AND(V1487&gt;=40,V1487&lt;75,W1487&gt;=100),0.1,0)+IF(AND(V1487&gt;=75,W1487&lt;25),0.35,0)+IF(AND(V1487&gt;=75,W1487&gt;=25,W1487&lt;60),0.25,0)+IF(AND(V1487&gt;=75,W1487&gt;=60,W1487&lt;95),0.17,0)+IF(AND(V1487&gt;=75,W1487&gt;=95),0.1,0),
IF(AF1487="DoEVba",IF(AND(V1487&lt;20,W1487&lt;105),0.2,0)+IF(AND(V1487&lt;20,W1487&gt;=105),0.15,0)+IF(AND(V1487&gt;=20,V1487&lt;40,W1487&lt;95),0.2,0)+IF(AND(V1487&gt;=20,V1487&lt;40,W1487&gt;=95,W1487&lt;150),0.15,0)+IF(AND(V1487&gt;=20,V1487&lt;40,W1487&gt;=150),0.12,0)+IF(AND(V1487&gt;=40,V1487&lt;75,W1487&lt;75),0.2,0)+IF(AND(V1487&gt;=40,V1487&lt;75,W1487&gt;=75,W1487&lt;120),0.15,0)+IF(AND(V1487&gt;=40,V1487&lt;75,W1487&gt;=120),0.12,0)+IF(AND(V1487&gt;=75,V1487&lt;175,W1487&lt;65),0.2,0)+IF(AND(V1487&gt;=75,V1487&lt;175,W1487&gt;=65,W1487&lt;110),0.15,0)+IF(AND(V1487&gt;=75,V1487&lt;175,W1487&gt;=110),0.12,0)+IF(AND(V1487&gt;=175,W1487&lt;55),0.2,0)+IF(AND(V1487&gt;=175,W1487&gt;=55,W1487&lt;95),0.15,0)+IF(AND(V1487&gt;=175,W1487&gt;=95),0.12,0),
IF(AF1487="DoEVku",IF(AND(V1487&lt;20,W1487&lt;55),0.23,0)+IF(AND(V1487&lt;20,W1487&gt;=55,W1487&lt;105),0.2,0)+IF(AND(V1487&lt;20,W1487&gt;=105),0.17,0)+IF(AND(V1487&gt;=20,V1487&lt;40,W1487&lt;45),0.23,0)+IF(AND(V1487&gt;=20,V1487&lt;40,W1487&gt;=45,W1487&lt;95),0.2,0)+IF(AND(V1487&gt;=20,V1487&lt;40,W1487&gt;=95,W1487&lt;=150),0.17,0)+IF(AND(V1487&gt;=20,V1487&lt;40,W1487&gt;=150),0.12,0)+IF(AND(V1487&gt;=40,V1487&lt;75,W1487&lt;35),0.23,0)+IF(AND(V1487&gt;=40,V1487&lt;75,W1487&gt;=35,W1487&lt;75),0.2,0)+IF(AND(V1487&gt;=40,V1487&lt;75,W1487&gt;=75,W1487&lt;120),0.17,0)+IF(AND(V1487&gt;=40,V1487&lt;75,W1487&gt;=120),0.12,0)+IF(AND(V1487&gt;=75,V1487&lt;175,W1487&lt;35),0.23,0)+IF(AND(V1487&gt;=75,V1487&lt;=175,W1487&gt;=35,W1487&lt;65),0.2,0)+IF(AND(V1487&gt;=75,V1487&lt;=175,W1487&gt;=65,W1487&lt;110),0.17,0)+IF(AND(V1487&gt;=75,V1487&lt;=175,W1487&gt;=110),0.12,0)+IF(AND(V1487&gt;175,W1487&lt;25),0.23,0)+IF(AND(V1487&gt;175,W1487&gt;=25,W1487&lt;55),0.2,0)+IF(AND(V1487&gt;175,W1487&gt;=55,W1487&lt;95),0.17,0)+IF(AND(V1487&gt;175,W1487&gt;=95),0.12,0),
IF(AF1487="DoEVs1",IF(AND(V1487&lt;20,W1487&lt;55),0.3,0)+IF(AND(V1487&lt;20,W1487&gt;=55,W1487&lt;105),0.23,0)+IF(AND(V1487&lt;20,W1487&gt;=105),0.17,0)+IF(AND(V1487&gt;=20,V1487&lt;40,W1487&lt;45),0.3,0)+IF(AND(V1487&gt;=20,V1487&lt;40,W1487&gt;=45,W1487&lt;95),0.23,0)+IF(AND(V1487&gt;=20,V1487&lt;40,W1487&gt;=95,W1487&lt;=150),0.17,0)+IF(AND(V1487&gt;=20,V1487&lt;40,W1487&gt;=150),0.12,0)+IF(AND(V1487&gt;=40,V1487&lt;75,W1487&lt;35),0.3,0)+IF(AND(V1487&gt;=40,V1487&lt;75,W1487&gt;=35,W1487&lt;75),0.23,0)+IF(AND(V1487&gt;=40,V1487&lt;75,W1487&gt;=75,W1487&lt;120),0.17,0)+IF(AND(V1487&gt;=40,V1487&lt;75,W1487&gt;=120),0.12,0)+IF(AND(V1487&gt;=75,V1487&lt;175,W1487&lt;35),0.3,0)+IF(AND(V1487&gt;=75,V1487&lt;=175,W1487&gt;=35,W1487&lt;65),0.23,0)+IF(AND(V1487&gt;=75,V1487&lt;=175,W1487&gt;=65,W1487&lt;110),0.17,0)+IF(AND(V1487&gt;=75,V1487&lt;=175,W1487&gt;=110),0.12,0)+IF(AND(V1487&gt;175,W1487&lt;25),0.3,0)+IF(AND(V1487&gt;175,W1487&gt;=25,W1487&lt;55),0.23,0)+IF(AND(V1487&gt;175,W1487&gt;=55,W1487&lt;95),0.17,0)+IF(AND(V1487&gt;175,W1487&gt;=95),0.12,0),
IF(AF1487="DoEVsu",IF(AND(V1487&lt;20,W1487&lt;55),0.3,0)+IF(AND(V1487&lt;20,W1487&gt;=55,W1487&lt;105),0.23,0)+IF(AND(V1487&lt;20,W1487&gt;=105),0.17,0)+IF(AND(V1487&gt;=20,V1487&lt;40,W1487&lt;45),0.3,0)+IF(AND(V1487&gt;=20,V1487&lt;40,W1487&gt;=45,W1487&lt;95),0.23,0)+IF(AND(V1487&gt;=20,V1487&lt;40,W1487&gt;=95,W1487&lt;=250),0.17,0)+IF(AND(V1487&gt;=20,V1487&lt;40,W1487&gt;=250),0.12,0)+IF(AND(V1487&gt;=40,V1487&lt;75,W1487&lt;35),0.3,0)+IF(AND(V1487&gt;=40,V1487&lt;75,W1487&gt;=35,W1487&lt;75),0.23,0)+IF(AND(V1487&gt;=40,V1487&lt;75,W1487&gt;=75,W1487&lt;120),0.17,0)+IF(AND(V1487&gt;=40,V1487&lt;75,W1487&gt;=120),0.12,0)+IF(AND(V1487&gt;=75,V1487&lt;175,W1487&lt;35),0.3,0)+IF(AND(V1487&gt;=75,V1487&lt;=175,W1487&gt;=35,W1487&lt;65),0.23,0)+IF(AND(V1487&gt;=75,V1487&lt;=175,W1487&gt;=65,W1487&lt;110),0.17,0)+IF(AND(V1487&gt;=75,V1487&lt;=175,W1487&gt;=110),0.12,0)+IF(AND(V1487&gt;175,W1487&lt;25),0.3,0)+IF(AND(V1487&gt;175,W1487&gt;=25,W1487&lt;55),0.23,0)+IF(AND(V1487&gt;175,W1487&gt;=55,W1487&lt;95),0.17,0)+IF(AND(V1487&gt;175,W1487&gt;=95),0.12,0),
IF(AF1487="DoEVni",IF(AND(V1487&lt;20,W1487&lt;55),0.3,0)+IF(AND(V1487&lt;20,W1487&gt;=55,W1487&lt;105),0.23,0)+IF(AND(V1487&lt;20,W1487&gt;=105),0.17,0)+IF(AND(V1487&gt;=20,V1487&lt;40,W1487&lt;45),0.3,0)+IF(AND(V1487&gt;=20,V1487&lt;40,W1487&gt;=45,W1487&lt;95),0.23,0)+IF(AND(V1487&gt;=20,V1487&lt;40,W1487&gt;=95,W1487&lt;=200),0.17,0)+IF(AND(V1487&gt;=20,V1487&lt;40,W1487&gt;=200),0.12,0)+IF(AND(V1487&gt;=40,V1487&lt;75,W1487&lt;35),0.3,0)+IF(AND(V1487&gt;=40,V1487&lt;75,W1487&gt;=35,W1487&lt;75),0.23,0)+IF(AND(V1487&gt;=40,V1487&lt;75,W1487&gt;=75,W1487&lt;120),0.17,0)+IF(AND(V1487&gt;=40,V1487&lt;75,W1487&gt;=120),0.12,0)+IF(AND(V1487&gt;=75,V1487&lt;175,W1487&lt;35),0.3,0)+IF(AND(V1487&gt;=75,V1487&lt;=175,W1487&gt;=35,W1487&lt;65),0.23,0)+IF(AND(V1487&gt;=75,V1487&lt;=175,W1487&gt;=65,W1487&lt;110),0.17,0)+IF(AND(V1487&gt;=75,V1487&lt;=175,W1487&gt;=110),0.12,0)+IF(AND(V1487&gt;175,W1487&lt;25),0.3,0)+IF(AND(V1487&gt;175,W1487&gt;=25,W1487&lt;55),0.23,0)+IF(AND(V1487&gt;175,W1487&gt;=55,W1487&lt;95),0.17,0)+IF(AND(V1487&gt;175,W1487&gt;=95),0.12,0),
IF(AF1487="DoEVLo",IF(AND(V1487&lt;20,W1487&lt;55),0.25,0)+IF(AND(V1487&lt;20,W1487&gt;=55,W1487&lt;105),0.2,0)+IF(AND(V1487&lt;20,W1487&gt;=105),0.15,0)+IF(AND(V1487&gt;=20,V1487&lt;40,W1487&lt;45),0.25,0)+IF(AND(V1487&gt;=20,V1487&lt;40,W1487&gt;=45,W1487&lt;95),0.2,0)+IF(AND(V1487&gt;=20,V1487&lt;40,W1487&gt;=95),0.15,0)+IF(AND(V1487&gt;=40,V1487&lt;75,W1487&lt;35),0.25,0)+IF(AND(V1487&gt;=40,V1487&lt;75,W1487&gt;=35,W1487&lt;75),0.2,0)+IF(AND(V1487&gt;=40,V1487&lt;75,W1487&gt;=75,W1487&lt;120),0.15,0)+IF(AND(V1487&gt;=40,V1487&lt;75,W1487&gt;=120),0.1,0)+IF(AND(V1487&gt;=75,V1487&lt;175,W1487&lt;35),0.25,0)+IF(AND(V1487&gt;=75,V1487&lt;=175,W1487&gt;=35,W1487&lt;65),0.2,0)+IF(AND(V1487&gt;=75,V1487&lt;=175,W1487&gt;=65,W1487&lt;110),0.15,0)+IF(AND(V1487&gt;=75,V1487&lt;=175,W1487&gt;=110),0.1,0)+IF(AND(V1487&gt;175,W1487&lt;25),0.25,0)+IF(AND(V1487&gt;175,W1487&gt;=25,W1487&lt;55),0.2,0)+IF(AND(V1487&gt;175,W1487&gt;=55,W1487&lt;95),0.15,0)+IF(AND(V1487&gt;175,W1487&gt;=95),0.1,0))))))))))))))))))))</f>
        <v>0.3</v>
      </c>
      <c r="Y1487" s="30">
        <f>IF(AG1487="None",0,IF(AG1487="Fix5",0.05, IF(AG1487="Fix6.25",0.0625,IF(AG1487="Fix3.75",0.0375, IF(AG1487="Fix11",0.11, IF(AG1487="Fix10",0.1,IF(AG1487="Fix3",0.03,0)))))))</f>
        <v>0</v>
      </c>
      <c r="Z1487" s="35">
        <f>IF(AND(AD1487="EUR", AE1487 = "USD"), T1487*U1487-AA1487-AB1487, T1487-AA1487-AB1487)</f>
        <v>-280</v>
      </c>
      <c r="AA1487" s="29">
        <f>IF(AND(AD1487="EUR", F1487="Without EV deal", AE1487="USD"), (T1487*X1487)*U1487,
IF(AND(AD1487="EUR", F1487="Without EV deal", AE1487="EUR"), (T1487*X1487),
IF(AND(AD1487="EUR",AE1487="USD"), (T1487*X1487)*U1487,
T1487*X1487)))</f>
        <v>-120</v>
      </c>
      <c r="AB1487" s="36">
        <f>IF(AND(AD1487="EUR", F1487="Without EV deal", AE1487="USD"), (T1487*Y1487)*U1487,
IF(AND(AD1487="EUR", F1487="Without EV deal", AE1487="EUR"), (T1487*Y1487),
IF(AND(AD1487="EUR",AE1487="USD"), (T1487*Y1487)*U1487,
T1487*Y1487)))</f>
        <v>0</v>
      </c>
      <c r="AC1487" s="37" t="b">
        <v>1</v>
      </c>
      <c r="AD1487" s="82" t="str">
        <f>IF(OR(H1487="€0.25 Flash",
H1487="€0.25(nitro) new",
H1487="€1",
H1487="€2",
H1487="€2 (bf 01.08)",
H1487="€5",
H1487="€5 (1M)",
H1487="€5 (bf 01.08)",
H1487="€5 (bf 05.05)",
H1487="€5 Nitro",
H1487="€5(wx) new",
H1487="€10",
H1487="€10 (1M)",
H1487="€10 (bf 01.08)",
H1487="€10 (bf 05.05)",
H1487="€10 (MP)",
H1487="€10 (old)",
H1487="€10 Nitro (bf 05.05)",
H1487="€10 Nitro (old)",
H1487="€10(wx) new",
H1487="€20",
H1487="€25",
H1487="€25 (bf 01.08)",
H1487="€25 (bf 05.05)",
H1487="€25 (MP)",
H1487="€25 (old)",
H1487="€25 Nitro",
H1487="€25 Nitro (bf 01.08)",
H1487="€25 Nitro (bf 05.05)",
H1487="€25(nitro) new",
H1487="€25(wx) new",
H1487="€50",
H1487="€50 (bf 01.08)",
H1487="€50 (bf 05.05)",
H1487="€50 (old)",
H1487="€50 Nitro",
H1487="€50 Nitro (bf 01.08)",
H1487="€50 Nitro (bf 05.05)",
H1487="€50(wx) new",
H1487="€100",
H1487="€100 (old)",
H1487="€100 Nitro",
H1487="€100 Nitro (old)",
H1487="€200",
H1487="€250",
H1487="€250 Nitro",
H1487="€500",
H1487="€500 Nitro"),"EUR", "USD")</f>
        <v>USD</v>
      </c>
      <c r="AE1487" s="83" t="s">
        <v>38</v>
      </c>
      <c r="AF1487" s="83" t="str">
        <f t="array" ref="AF1487">INDEX('Deal Info'!D:D, MATCH(A1487,'Deal Info'!A:A, 0))</f>
        <v>DoEV</v>
      </c>
      <c r="AG1487" s="84" t="str">
        <f t="array" ref="AG1487">INDEX('Deal Info'!G:G, MATCH(A1487,'Deal Info'!A:A, 0))</f>
        <v>None</v>
      </c>
    </row>
    <row r="1488" spans="1:33" ht="14.25" hidden="1" x14ac:dyDescent="0.2">
      <c r="A1488" s="18" t="str">
        <f t="array" ref="A1488">IF(G1488='Room Info'!$B$1, INDEX('Room Info'!$A$2:$A2446, MATCH(B1488,'Room Info'!$B$2:$B2446, 0)),IF(G1488='Room Info'!$C$1, INDEX('Room Info'!$A$2:$A2446, MATCH(B1488,'Room Info'!$C$2:$C2446, 0)),IF(G1488='Room Info'!$D$1, INDEX('Room Info'!$A$2:$A2446, MATCH(B1488,'Room Info'!$D$2:$D2446, 0)),IF(G1488='Room Info'!$E$1, INDEX('Room Info'!$A$2:$A2446, MATCH(B1488,'Room Info'!$E$2:$E2446, 0)),IF(G1488='Room Info'!$F$1, INDEX('Room Info'!$A$2:$A2446, MATCH(B1488,'Room Info'!$F$2:$F2446, 0)),IF(G1488='Room Info'!$H$1, INDEX('Room Info'!$A$2:$A2446, MATCH(B1488,'Room Info'!$H$2:$H2446, 0)),IF(G1488='Room Info'!$G$1, INDEX('Room Info'!$A$2:$A2446, MATCH(B1488,'Room Info'!$G$2:$G2446, 0)))))))))</f>
        <v>Freedoom</v>
      </c>
      <c r="B1488" s="45" t="s">
        <v>221</v>
      </c>
      <c r="C1488" s="77">
        <v>44958</v>
      </c>
      <c r="D1488" s="77">
        <v>44985</v>
      </c>
      <c r="E1488" s="21">
        <v>44958</v>
      </c>
      <c r="F1488" s="22" t="s">
        <v>41</v>
      </c>
      <c r="G1488" s="18" t="s">
        <v>35</v>
      </c>
      <c r="H1488" s="49" t="s">
        <v>42</v>
      </c>
      <c r="I1488" s="23" t="s">
        <v>37</v>
      </c>
      <c r="J1488" s="39">
        <v>1</v>
      </c>
      <c r="K1488" s="123">
        <v>156</v>
      </c>
      <c r="L1488" s="52">
        <v>27</v>
      </c>
      <c r="M1488" s="53">
        <v>63</v>
      </c>
      <c r="N1488" s="28">
        <f>K1488*J1488</f>
        <v>156</v>
      </c>
      <c r="O1488" s="65">
        <f>107*156</f>
        <v>16692</v>
      </c>
      <c r="P1488" s="29">
        <v>107</v>
      </c>
      <c r="Q1488" s="55"/>
      <c r="R1488" s="31">
        <f>M1488+Q1488</f>
        <v>63</v>
      </c>
      <c r="S1488" s="66"/>
      <c r="T1488" s="32">
        <f>IF(AND(AD1488="EUR", F1488="Without EV deal"), R1488 + L1488,
IF(AND(AD1488="USD", F1488="Without EV deal"), R1488 + L1488,
IF(AND(AD1488="EUR", F1488="Steel Phoenix"), R1488 + S1488/U1488,
R1488 + S1488)))</f>
        <v>90</v>
      </c>
      <c r="U1488" s="57"/>
      <c r="V1488" s="58"/>
      <c r="W1488" s="58"/>
      <c r="X1488" s="30">
        <f>IF(AF1488="DoEV",IF(AND(V1488&lt;20,W1488&lt;55),0.3,0)+IF(AND(V1488&lt;20,W1488&gt;=55,W1488&lt;105),0.23,0)+IF(AND(V1488&lt;20,W1488&gt;=105),0.17,0)+IF(AND(V1488&gt;=20,V1488&lt;40,W1488&lt;45),0.3,0)+IF(AND(V1488&gt;=20,V1488&lt;40,W1488&gt;=45,W1488&lt;95),0.23,0)+IF(AND(V1488&gt;=20,V1488&lt;40,W1488&gt;=95),0.17,0)+IF(AND(V1488&gt;=40,V1488&lt;75,W1488&lt;35),0.3,0)+IF(AND(V1488&gt;=40,V1488&lt;75,W1488&gt;=35,W1488&lt;75),0.23,0)+IF(AND(V1488&gt;=40,V1488&lt;75,W1488&gt;=75,W1488&lt;120),0.17,0)+IF(AND(V1488&gt;=40,V1488&lt;75,W1488&gt;=120),0.12,0)+IF(AND(V1488&gt;=75,V1488&lt;175,W1488&lt;35),0.3,0)+IF(AND(V1488&gt;=75,V1488&lt;=175,W1488&gt;=35,W1488&lt;65),0.23,0)+IF(AND(V1488&gt;=75,V1488&lt;=175,W1488&gt;=65,W1488&lt;110),0.17,0)+IF(AND(V1488&gt;=75,V1488&lt;=175,W1488&gt;=110),0.12,0)+IF(AND(V1488&gt;175,W1488&lt;25),0.3,0)+IF(AND(V1488&gt;175,W1488&gt;=25,W1488&lt;55),0.23,0)+IF(AND(V1488&gt;175,W1488&gt;=55,W1488&lt;95),0.17,0)+IF(AND(V1488&gt;175,W1488&gt;=95),0.12,0),
IF(AF1488="Fix15",0.15,
IF(AF1488="Fix5",0.05,
IF(AF1488="Fix18.75",0.1875,
IF(AF1488="Fix11.25",0.1125,
IF(AF1488="Fix10",0.1,
IF(AF1488="Fix9",0.09,
IF(AF1488="Fix12",0.12,
IF(AF1488="Fix19",0.19,
IF(AF1488="DoEV2017",IF(AND(W1488&lt;74),0.2,0)+IF(AND(W1488&gt;=74),0.17,0),
IF(AF1488="SF",IF(AND(V1488&lt;20,W1488&lt;89),0.3,0)+IF(AND(V1488&lt;20,W1488&gt;=89),0.25,0)+IF(AND(V1488&gt;=20,V1488&lt;40,W1488&lt;74),0.3,0)+IF(AND(V1488&gt;=20,V1488&lt;40,W1488&gt;=75),0.22,0)+IF(AND(V1488&gt;=40,V1488&lt;75,W1488&lt;75),0.26,0)+IF(AND(V1488&gt;=40,V1488&lt;75,W1488&gt;=75),0.22,0)+IF(V1488&gt;=75,0.22,0),
IF(AF1488="DoEVold",IF(AND(V1488&lt;40,W1488&lt;35),0.35,0)+IF(AND(V1488&lt;40,W1488&gt;=35,W1488&lt;75),0.25,0)+IF(AND(V1488&lt;40,W1488&gt;=75),0.17,0)+IF(AND(V1488&gt;=40,V1488&lt;75,W1488&lt;25),0.35,0)+IF(AND(V1488&gt;=40,V1488&lt;75,W1488&gt;=25,W1488&lt;65),0.25,0)+IF(AND(V1488&gt;=40,V1488&lt;75,W1488&gt;=65,W1488&lt;100),0.17,0)+IF(AND(V1488&gt;=40,V1488&lt;75,W1488&gt;=100),0.1,0)+IF(AND(V1488&gt;=75,W1488&lt;25),0.35,0)+IF(AND(V1488&gt;=75,W1488&gt;=25,W1488&lt;60),0.25,0)+IF(AND(V1488&gt;=75,W1488&gt;=60,W1488&lt;95),0.17,0)+IF(AND(V1488&gt;=75,W1488&gt;=95),0.1,0),
IF(AF1488="DoEVold15",IF(AND(V1488&lt;=40,W1488&lt;35),0.35,0)+IF(AND(V1488&lt;=40,W1488&gt;=35,W1488&lt;75),0.25,0)+IF(AND(V1488&lt;=40,W1488&gt;=75,W1488&lt;120),0.17,0)+IF(AND(V1488&lt;=40,W1488&gt;=120),0.15,0)+IF(AND(V1488&gt;40,V1488&lt;75,W1488&lt;25),0.35,0)+IF(AND(V1488&gt;=40,V1488&lt;75,W1488&gt;=25,W1488&lt;65),0.25,0)+IF(AND(V1488&gt;=40,V1488&lt;75,W1488&gt;=65,W1488&lt;100),0.17,0)+IF(AND(V1488&gt;=40,V1488&lt;75,W1488&gt;=100),0.1,0)+IF(AND(V1488&gt;=75,W1488&lt;25),0.35,0)+IF(AND(V1488&gt;=75,W1488&gt;=25,W1488&lt;60),0.25,0)+IF(AND(V1488&gt;=75,W1488&gt;=60,W1488&lt;95),0.17,0)+IF(AND(V1488&gt;=75,W1488&gt;=95),0.1,0),
IF(AF1488="DoEVba",IF(AND(V1488&lt;20,W1488&lt;105),0.2,0)+IF(AND(V1488&lt;20,W1488&gt;=105),0.15,0)+IF(AND(V1488&gt;=20,V1488&lt;40,W1488&lt;95),0.2,0)+IF(AND(V1488&gt;=20,V1488&lt;40,W1488&gt;=95,W1488&lt;150),0.15,0)+IF(AND(V1488&gt;=20,V1488&lt;40,W1488&gt;=150),0.12,0)+IF(AND(V1488&gt;=40,V1488&lt;75,W1488&lt;75),0.2,0)+IF(AND(V1488&gt;=40,V1488&lt;75,W1488&gt;=75,W1488&lt;120),0.15,0)+IF(AND(V1488&gt;=40,V1488&lt;75,W1488&gt;=120),0.12,0)+IF(AND(V1488&gt;=75,V1488&lt;175,W1488&lt;65),0.2,0)+IF(AND(V1488&gt;=75,V1488&lt;175,W1488&gt;=65,W1488&lt;110),0.15,0)+IF(AND(V1488&gt;=75,V1488&lt;175,W1488&gt;=110),0.12,0)+IF(AND(V1488&gt;=175,W1488&lt;55),0.2,0)+IF(AND(V1488&gt;=175,W1488&gt;=55,W1488&lt;95),0.15,0)+IF(AND(V1488&gt;=175,W1488&gt;=95),0.12,0),
IF(AF1488="DoEVku",IF(AND(V1488&lt;20,W1488&lt;55),0.23,0)+IF(AND(V1488&lt;20,W1488&gt;=55,W1488&lt;105),0.2,0)+IF(AND(V1488&lt;20,W1488&gt;=105),0.17,0)+IF(AND(V1488&gt;=20,V1488&lt;40,W1488&lt;45),0.23,0)+IF(AND(V1488&gt;=20,V1488&lt;40,W1488&gt;=45,W1488&lt;95),0.2,0)+IF(AND(V1488&gt;=20,V1488&lt;40,W1488&gt;=95,W1488&lt;=150),0.17,0)+IF(AND(V1488&gt;=20,V1488&lt;40,W1488&gt;=150),0.12,0)+IF(AND(V1488&gt;=40,V1488&lt;75,W1488&lt;35),0.23,0)+IF(AND(V1488&gt;=40,V1488&lt;75,W1488&gt;=35,W1488&lt;75),0.2,0)+IF(AND(V1488&gt;=40,V1488&lt;75,W1488&gt;=75,W1488&lt;120),0.17,0)+IF(AND(V1488&gt;=40,V1488&lt;75,W1488&gt;=120),0.12,0)+IF(AND(V1488&gt;=75,V1488&lt;175,W1488&lt;35),0.23,0)+IF(AND(V1488&gt;=75,V1488&lt;=175,W1488&gt;=35,W1488&lt;65),0.2,0)+IF(AND(V1488&gt;=75,V1488&lt;=175,W1488&gt;=65,W1488&lt;110),0.17,0)+IF(AND(V1488&gt;=75,V1488&lt;=175,W1488&gt;=110),0.12,0)+IF(AND(V1488&gt;175,W1488&lt;25),0.23,0)+IF(AND(V1488&gt;175,W1488&gt;=25,W1488&lt;55),0.2,0)+IF(AND(V1488&gt;175,W1488&gt;=55,W1488&lt;95),0.17,0)+IF(AND(V1488&gt;175,W1488&gt;=95),0.12,0),
IF(AF1488="DoEVs1",IF(AND(V1488&lt;20,W1488&lt;55),0.3,0)+IF(AND(V1488&lt;20,W1488&gt;=55,W1488&lt;105),0.23,0)+IF(AND(V1488&lt;20,W1488&gt;=105),0.17,0)+IF(AND(V1488&gt;=20,V1488&lt;40,W1488&lt;45),0.3,0)+IF(AND(V1488&gt;=20,V1488&lt;40,W1488&gt;=45,W1488&lt;95),0.23,0)+IF(AND(V1488&gt;=20,V1488&lt;40,W1488&gt;=95,W1488&lt;=150),0.17,0)+IF(AND(V1488&gt;=20,V1488&lt;40,W1488&gt;=150),0.12,0)+IF(AND(V1488&gt;=40,V1488&lt;75,W1488&lt;35),0.3,0)+IF(AND(V1488&gt;=40,V1488&lt;75,W1488&gt;=35,W1488&lt;75),0.23,0)+IF(AND(V1488&gt;=40,V1488&lt;75,W1488&gt;=75,W1488&lt;120),0.17,0)+IF(AND(V1488&gt;=40,V1488&lt;75,W1488&gt;=120),0.12,0)+IF(AND(V1488&gt;=75,V1488&lt;175,W1488&lt;35),0.3,0)+IF(AND(V1488&gt;=75,V1488&lt;=175,W1488&gt;=35,W1488&lt;65),0.23,0)+IF(AND(V1488&gt;=75,V1488&lt;=175,W1488&gt;=65,W1488&lt;110),0.17,0)+IF(AND(V1488&gt;=75,V1488&lt;=175,W1488&gt;=110),0.12,0)+IF(AND(V1488&gt;175,W1488&lt;25),0.3,0)+IF(AND(V1488&gt;175,W1488&gt;=25,W1488&lt;55),0.23,0)+IF(AND(V1488&gt;175,W1488&gt;=55,W1488&lt;95),0.17,0)+IF(AND(V1488&gt;175,W1488&gt;=95),0.12,0),
IF(AF1488="DoEVsu",IF(AND(V1488&lt;20,W1488&lt;55),0.3,0)+IF(AND(V1488&lt;20,W1488&gt;=55,W1488&lt;105),0.23,0)+IF(AND(V1488&lt;20,W1488&gt;=105),0.17,0)+IF(AND(V1488&gt;=20,V1488&lt;40,W1488&lt;45),0.3,0)+IF(AND(V1488&gt;=20,V1488&lt;40,W1488&gt;=45,W1488&lt;95),0.23,0)+IF(AND(V1488&gt;=20,V1488&lt;40,W1488&gt;=95,W1488&lt;=250),0.17,0)+IF(AND(V1488&gt;=20,V1488&lt;40,W1488&gt;=250),0.12,0)+IF(AND(V1488&gt;=40,V1488&lt;75,W1488&lt;35),0.3,0)+IF(AND(V1488&gt;=40,V1488&lt;75,W1488&gt;=35,W1488&lt;75),0.23,0)+IF(AND(V1488&gt;=40,V1488&lt;75,W1488&gt;=75,W1488&lt;120),0.17,0)+IF(AND(V1488&gt;=40,V1488&lt;75,W1488&gt;=120),0.12,0)+IF(AND(V1488&gt;=75,V1488&lt;175,W1488&lt;35),0.3,0)+IF(AND(V1488&gt;=75,V1488&lt;=175,W1488&gt;=35,W1488&lt;65),0.23,0)+IF(AND(V1488&gt;=75,V1488&lt;=175,W1488&gt;=65,W1488&lt;110),0.17,0)+IF(AND(V1488&gt;=75,V1488&lt;=175,W1488&gt;=110),0.12,0)+IF(AND(V1488&gt;175,W1488&lt;25),0.3,0)+IF(AND(V1488&gt;175,W1488&gt;=25,W1488&lt;55),0.23,0)+IF(AND(V1488&gt;175,W1488&gt;=55,W1488&lt;95),0.17,0)+IF(AND(V1488&gt;175,W1488&gt;=95),0.12,0),
IF(AF1488="DoEVni",IF(AND(V1488&lt;20,W1488&lt;55),0.3,0)+IF(AND(V1488&lt;20,W1488&gt;=55,W1488&lt;105),0.23,0)+IF(AND(V1488&lt;20,W1488&gt;=105),0.17,0)+IF(AND(V1488&gt;=20,V1488&lt;40,W1488&lt;45),0.3,0)+IF(AND(V1488&gt;=20,V1488&lt;40,W1488&gt;=45,W1488&lt;95),0.23,0)+IF(AND(V1488&gt;=20,V1488&lt;40,W1488&gt;=95,W1488&lt;=200),0.17,0)+IF(AND(V1488&gt;=20,V1488&lt;40,W1488&gt;=200),0.12,0)+IF(AND(V1488&gt;=40,V1488&lt;75,W1488&lt;35),0.3,0)+IF(AND(V1488&gt;=40,V1488&lt;75,W1488&gt;=35,W1488&lt;75),0.23,0)+IF(AND(V1488&gt;=40,V1488&lt;75,W1488&gt;=75,W1488&lt;120),0.17,0)+IF(AND(V1488&gt;=40,V1488&lt;75,W1488&gt;=120),0.12,0)+IF(AND(V1488&gt;=75,V1488&lt;175,W1488&lt;35),0.3,0)+IF(AND(V1488&gt;=75,V1488&lt;=175,W1488&gt;=35,W1488&lt;65),0.23,0)+IF(AND(V1488&gt;=75,V1488&lt;=175,W1488&gt;=65,W1488&lt;110),0.17,0)+IF(AND(V1488&gt;=75,V1488&lt;=175,W1488&gt;=110),0.12,0)+IF(AND(V1488&gt;175,W1488&lt;25),0.3,0)+IF(AND(V1488&gt;175,W1488&gt;=25,W1488&lt;55),0.23,0)+IF(AND(V1488&gt;175,W1488&gt;=55,W1488&lt;95),0.17,0)+IF(AND(V1488&gt;175,W1488&gt;=95),0.12,0),
IF(AF1488="DoEVLo",IF(AND(V1488&lt;20,W1488&lt;55),0.25,0)+IF(AND(V1488&lt;20,W1488&gt;=55,W1488&lt;105),0.2,0)+IF(AND(V1488&lt;20,W1488&gt;=105),0.15,0)+IF(AND(V1488&gt;=20,V1488&lt;40,W1488&lt;45),0.25,0)+IF(AND(V1488&gt;=20,V1488&lt;40,W1488&gt;=45,W1488&lt;95),0.2,0)+IF(AND(V1488&gt;=20,V1488&lt;40,W1488&gt;=95),0.15,0)+IF(AND(V1488&gt;=40,V1488&lt;75,W1488&lt;35),0.25,0)+IF(AND(V1488&gt;=40,V1488&lt;75,W1488&gt;=35,W1488&lt;75),0.2,0)+IF(AND(V1488&gt;=40,V1488&lt;75,W1488&gt;=75,W1488&lt;120),0.15,0)+IF(AND(V1488&gt;=40,V1488&lt;75,W1488&gt;=120),0.1,0)+IF(AND(V1488&gt;=75,V1488&lt;175,W1488&lt;35),0.25,0)+IF(AND(V1488&gt;=75,V1488&lt;=175,W1488&gt;=35,W1488&lt;65),0.2,0)+IF(AND(V1488&gt;=75,V1488&lt;=175,W1488&gt;=65,W1488&lt;110),0.15,0)+IF(AND(V1488&gt;=75,V1488&lt;=175,W1488&gt;=110),0.1,0)+IF(AND(V1488&gt;175,W1488&lt;25),0.25,0)+IF(AND(V1488&gt;175,W1488&gt;=25,W1488&lt;55),0.2,0)+IF(AND(V1488&gt;175,W1488&gt;=55,W1488&lt;95),0.15,0)+IF(AND(V1488&gt;175,W1488&gt;=95),0.1,0))))))))))))))))))))</f>
        <v>0.35</v>
      </c>
      <c r="Y1488" s="30">
        <f>IF(AG1488="None",0,IF(AG1488="Fix5",0.05, IF(AG1488="Fix6.25",0.0625,IF(AG1488="Fix3.75",0.0375, IF(AG1488="Fix11",0.11, IF(AG1488="Fix10",0.1,IF(AG1488="Fix3",0.03,0)))))))</f>
        <v>0</v>
      </c>
      <c r="Z1488" s="35">
        <f>IF(AND(AD1488="EUR", AE1488 = "USD"), T1488*U1488-AA1488-AB1488, T1488-AA1488-AB1488)</f>
        <v>58.5</v>
      </c>
      <c r="AA1488" s="29">
        <f>IF(AND(AD1488="EUR", F1488="Without EV deal", AE1488="USD"), (T1488*X1488)*U1488,
IF(AND(AD1488="EUR", F1488="Without EV deal", AE1488="EUR"), (T1488*X1488),
IF(AND(AD1488="EUR",AE1488="USD"), (T1488*X1488)*U1488,
T1488*X1488)))</f>
        <v>31.499999999999996</v>
      </c>
      <c r="AB1488" s="36">
        <f>IF(AND(AD1488="EUR", F1488="Without EV deal", AE1488="USD"), (T1488*Y1488)*U1488,
IF(AND(AD1488="EUR", F1488="Without EV deal", AE1488="EUR"), (T1488*Y1488),
IF(AND(AD1488="EUR",AE1488="USD"), (T1488*Y1488)*U1488,
T1488*Y1488)))</f>
        <v>0</v>
      </c>
      <c r="AC1488" s="37" t="b">
        <v>0</v>
      </c>
      <c r="AD1488" s="82" t="str">
        <f>IF(OR(H1488="€0.25 Flash",
H1488="€0.25(nitro) new",
H1488="€1",
H1488="€2",
H1488="€2 (bf 01.08)",
H1488="€5",
H1488="€5 (1M)",
H1488="€5 (bf 01.08)",
H1488="€5 (bf 05.05)",
H1488="€5 Nitro",
H1488="€5(wx) new",
H1488="€10",
H1488="€10 (1M)",
H1488="€10 (bf 01.08)",
H1488="€10 (bf 05.05)",
H1488="€10 (MP)",
H1488="€10 (old)",
H1488="€10 Nitro (bf 05.05)",
H1488="€10 Nitro (old)",
H1488="€10(wx) new",
H1488="€20",
H1488="€25",
H1488="€25 (bf 01.08)",
H1488="€25 (bf 05.05)",
H1488="€25 (MP)",
H1488="€25 (old)",
H1488="€25 Nitro",
H1488="€25 Nitro (bf 01.08)",
H1488="€25 Nitro (bf 05.05)",
H1488="€25(nitro) new",
H1488="€25(wx) new",
H1488="€50",
H1488="€50 (bf 01.08)",
H1488="€50 (bf 05.05)",
H1488="€50 (old)",
H1488="€50 Nitro",
H1488="€50 Nitro (bf 01.08)",
H1488="€50 Nitro (bf 05.05)",
H1488="€50(wx) new",
H1488="€100",
H1488="€100 (old)",
H1488="€100 Nitro",
H1488="€100 Nitro (old)",
H1488="€200",
H1488="€250",
H1488="€250 Nitro",
H1488="€500",
H1488="€500 Nitro"),"EUR", "USD")</f>
        <v>USD</v>
      </c>
      <c r="AE1488" s="83" t="s">
        <v>38</v>
      </c>
      <c r="AF1488" s="83" t="str">
        <f t="array" ref="AF1488">INDEX('Deal Info'!D:D, MATCH(A1488,'Deal Info'!A:A, 0))</f>
        <v>DoEVold</v>
      </c>
      <c r="AG1488" s="84" t="str">
        <f t="array" ref="AG1488">INDEX('Deal Info'!G:G, MATCH(A1488,'Deal Info'!A:A, 0))</f>
        <v>None</v>
      </c>
    </row>
    <row r="1489" spans="1:33" ht="14.25" hidden="1" x14ac:dyDescent="0.2">
      <c r="A1489" s="18" t="str">
        <f t="array" ref="A1489">IF(G1489='Room Info'!$B$1, INDEX('Room Info'!$A$2:$A2446, MATCH(B1489,'Room Info'!$B$2:$B2446, 0)),IF(G1489='Room Info'!$C$1, INDEX('Room Info'!$A$2:$A2446, MATCH(B1489,'Room Info'!$C$2:$C2446, 0)),IF(G1489='Room Info'!$D$1, INDEX('Room Info'!$A$2:$A2446, MATCH(B1489,'Room Info'!$D$2:$D2446, 0)),IF(G1489='Room Info'!$E$1, INDEX('Room Info'!$A$2:$A2446, MATCH(B1489,'Room Info'!$E$2:$E2446, 0)),IF(G1489='Room Info'!$F$1, INDEX('Room Info'!$A$2:$A2446, MATCH(B1489,'Room Info'!$F$2:$F2446, 0)),IF(G1489='Room Info'!$H$1, INDEX('Room Info'!$A$2:$A2446, MATCH(B1489,'Room Info'!$H$2:$H2446, 0)),IF(G1489='Room Info'!$G$1, INDEX('Room Info'!$A$2:$A2446, MATCH(B1489,'Room Info'!$G$2:$G2446, 0)))))))))</f>
        <v>Freedoom</v>
      </c>
      <c r="B1489" s="45" t="s">
        <v>221</v>
      </c>
      <c r="C1489" s="77">
        <v>44958</v>
      </c>
      <c r="D1489" s="77">
        <v>44985</v>
      </c>
      <c r="E1489" s="21">
        <v>44958</v>
      </c>
      <c r="F1489" s="22" t="s">
        <v>41</v>
      </c>
      <c r="G1489" s="18" t="s">
        <v>35</v>
      </c>
      <c r="H1489" s="91" t="s">
        <v>36</v>
      </c>
      <c r="I1489" s="23" t="s">
        <v>37</v>
      </c>
      <c r="J1489" s="39">
        <v>2</v>
      </c>
      <c r="K1489" s="123">
        <v>288</v>
      </c>
      <c r="L1489" s="52">
        <v>-50</v>
      </c>
      <c r="M1489" s="62"/>
      <c r="N1489" s="28">
        <f>K1489*J1489</f>
        <v>576</v>
      </c>
      <c r="O1489" s="65">
        <f>64*288</f>
        <v>18432</v>
      </c>
      <c r="P1489" s="29">
        <v>64</v>
      </c>
      <c r="Q1489" s="55"/>
      <c r="R1489" s="31">
        <f>M1489+Q1489</f>
        <v>0</v>
      </c>
      <c r="S1489" s="66"/>
      <c r="T1489" s="32">
        <f>IF(AND(AD1489="EUR", F1489="Without EV deal"), R1489 + L1489,
IF(AND(AD1489="USD", F1489="Without EV deal"), R1489 + L1489,
IF(AND(AD1489="EUR", F1489="Steel Phoenix"), R1489 + S1489/U1489,
R1489 + S1489)))</f>
        <v>-50</v>
      </c>
      <c r="U1489" s="57"/>
      <c r="V1489" s="58"/>
      <c r="W1489" s="58"/>
      <c r="X1489" s="30">
        <f>IF(AF1489="DoEV",IF(AND(V1489&lt;20,W1489&lt;55),0.3,0)+IF(AND(V1489&lt;20,W1489&gt;=55,W1489&lt;105),0.23,0)+IF(AND(V1489&lt;20,W1489&gt;=105),0.17,0)+IF(AND(V1489&gt;=20,V1489&lt;40,W1489&lt;45),0.3,0)+IF(AND(V1489&gt;=20,V1489&lt;40,W1489&gt;=45,W1489&lt;95),0.23,0)+IF(AND(V1489&gt;=20,V1489&lt;40,W1489&gt;=95),0.17,0)+IF(AND(V1489&gt;=40,V1489&lt;75,W1489&lt;35),0.3,0)+IF(AND(V1489&gt;=40,V1489&lt;75,W1489&gt;=35,W1489&lt;75),0.23,0)+IF(AND(V1489&gt;=40,V1489&lt;75,W1489&gt;=75,W1489&lt;120),0.17,0)+IF(AND(V1489&gt;=40,V1489&lt;75,W1489&gt;=120),0.12,0)+IF(AND(V1489&gt;=75,V1489&lt;175,W1489&lt;35),0.3,0)+IF(AND(V1489&gt;=75,V1489&lt;=175,W1489&gt;=35,W1489&lt;65),0.23,0)+IF(AND(V1489&gt;=75,V1489&lt;=175,W1489&gt;=65,W1489&lt;110),0.17,0)+IF(AND(V1489&gt;=75,V1489&lt;=175,W1489&gt;=110),0.12,0)+IF(AND(V1489&gt;175,W1489&lt;25),0.3,0)+IF(AND(V1489&gt;175,W1489&gt;=25,W1489&lt;55),0.23,0)+IF(AND(V1489&gt;175,W1489&gt;=55,W1489&lt;95),0.17,0)+IF(AND(V1489&gt;175,W1489&gt;=95),0.12,0),
IF(AF1489="Fix15",0.15,
IF(AF1489="Fix5",0.05,
IF(AF1489="Fix18.75",0.1875,
IF(AF1489="Fix11.25",0.1125,
IF(AF1489="Fix10",0.1,
IF(AF1489="Fix9",0.09,
IF(AF1489="Fix12",0.12,
IF(AF1489="Fix19",0.19,
IF(AF1489="DoEV2017",IF(AND(W1489&lt;74),0.2,0)+IF(AND(W1489&gt;=74),0.17,0),
IF(AF1489="SF",IF(AND(V1489&lt;20,W1489&lt;89),0.3,0)+IF(AND(V1489&lt;20,W1489&gt;=89),0.25,0)+IF(AND(V1489&gt;=20,V1489&lt;40,W1489&lt;74),0.3,0)+IF(AND(V1489&gt;=20,V1489&lt;40,W1489&gt;=75),0.22,0)+IF(AND(V1489&gt;=40,V1489&lt;75,W1489&lt;75),0.26,0)+IF(AND(V1489&gt;=40,V1489&lt;75,W1489&gt;=75),0.22,0)+IF(V1489&gt;=75,0.22,0),
IF(AF1489="DoEVold",IF(AND(V1489&lt;40,W1489&lt;35),0.35,0)+IF(AND(V1489&lt;40,W1489&gt;=35,W1489&lt;75),0.25,0)+IF(AND(V1489&lt;40,W1489&gt;=75),0.17,0)+IF(AND(V1489&gt;=40,V1489&lt;75,W1489&lt;25),0.35,0)+IF(AND(V1489&gt;=40,V1489&lt;75,W1489&gt;=25,W1489&lt;65),0.25,0)+IF(AND(V1489&gt;=40,V1489&lt;75,W1489&gt;=65,W1489&lt;100),0.17,0)+IF(AND(V1489&gt;=40,V1489&lt;75,W1489&gt;=100),0.1,0)+IF(AND(V1489&gt;=75,W1489&lt;25),0.35,0)+IF(AND(V1489&gt;=75,W1489&gt;=25,W1489&lt;60),0.25,0)+IF(AND(V1489&gt;=75,W1489&gt;=60,W1489&lt;95),0.17,0)+IF(AND(V1489&gt;=75,W1489&gt;=95),0.1,0),
IF(AF1489="DoEVold15",IF(AND(V1489&lt;=40,W1489&lt;35),0.35,0)+IF(AND(V1489&lt;=40,W1489&gt;=35,W1489&lt;75),0.25,0)+IF(AND(V1489&lt;=40,W1489&gt;=75,W1489&lt;120),0.17,0)+IF(AND(V1489&lt;=40,W1489&gt;=120),0.15,0)+IF(AND(V1489&gt;40,V1489&lt;75,W1489&lt;25),0.35,0)+IF(AND(V1489&gt;=40,V1489&lt;75,W1489&gt;=25,W1489&lt;65),0.25,0)+IF(AND(V1489&gt;=40,V1489&lt;75,W1489&gt;=65,W1489&lt;100),0.17,0)+IF(AND(V1489&gt;=40,V1489&lt;75,W1489&gt;=100),0.1,0)+IF(AND(V1489&gt;=75,W1489&lt;25),0.35,0)+IF(AND(V1489&gt;=75,W1489&gt;=25,W1489&lt;60),0.25,0)+IF(AND(V1489&gt;=75,W1489&gt;=60,W1489&lt;95),0.17,0)+IF(AND(V1489&gt;=75,W1489&gt;=95),0.1,0),
IF(AF1489="DoEVba",IF(AND(V1489&lt;20,W1489&lt;105),0.2,0)+IF(AND(V1489&lt;20,W1489&gt;=105),0.15,0)+IF(AND(V1489&gt;=20,V1489&lt;40,W1489&lt;95),0.2,0)+IF(AND(V1489&gt;=20,V1489&lt;40,W1489&gt;=95,W1489&lt;150),0.15,0)+IF(AND(V1489&gt;=20,V1489&lt;40,W1489&gt;=150),0.12,0)+IF(AND(V1489&gt;=40,V1489&lt;75,W1489&lt;75),0.2,0)+IF(AND(V1489&gt;=40,V1489&lt;75,W1489&gt;=75,W1489&lt;120),0.15,0)+IF(AND(V1489&gt;=40,V1489&lt;75,W1489&gt;=120),0.12,0)+IF(AND(V1489&gt;=75,V1489&lt;175,W1489&lt;65),0.2,0)+IF(AND(V1489&gt;=75,V1489&lt;175,W1489&gt;=65,W1489&lt;110),0.15,0)+IF(AND(V1489&gt;=75,V1489&lt;175,W1489&gt;=110),0.12,0)+IF(AND(V1489&gt;=175,W1489&lt;55),0.2,0)+IF(AND(V1489&gt;=175,W1489&gt;=55,W1489&lt;95),0.15,0)+IF(AND(V1489&gt;=175,W1489&gt;=95),0.12,0),
IF(AF1489="DoEVku",IF(AND(V1489&lt;20,W1489&lt;55),0.23,0)+IF(AND(V1489&lt;20,W1489&gt;=55,W1489&lt;105),0.2,0)+IF(AND(V1489&lt;20,W1489&gt;=105),0.17,0)+IF(AND(V1489&gt;=20,V1489&lt;40,W1489&lt;45),0.23,0)+IF(AND(V1489&gt;=20,V1489&lt;40,W1489&gt;=45,W1489&lt;95),0.2,0)+IF(AND(V1489&gt;=20,V1489&lt;40,W1489&gt;=95,W1489&lt;=150),0.17,0)+IF(AND(V1489&gt;=20,V1489&lt;40,W1489&gt;=150),0.12,0)+IF(AND(V1489&gt;=40,V1489&lt;75,W1489&lt;35),0.23,0)+IF(AND(V1489&gt;=40,V1489&lt;75,W1489&gt;=35,W1489&lt;75),0.2,0)+IF(AND(V1489&gt;=40,V1489&lt;75,W1489&gt;=75,W1489&lt;120),0.17,0)+IF(AND(V1489&gt;=40,V1489&lt;75,W1489&gt;=120),0.12,0)+IF(AND(V1489&gt;=75,V1489&lt;175,W1489&lt;35),0.23,0)+IF(AND(V1489&gt;=75,V1489&lt;=175,W1489&gt;=35,W1489&lt;65),0.2,0)+IF(AND(V1489&gt;=75,V1489&lt;=175,W1489&gt;=65,W1489&lt;110),0.17,0)+IF(AND(V1489&gt;=75,V1489&lt;=175,W1489&gt;=110),0.12,0)+IF(AND(V1489&gt;175,W1489&lt;25),0.23,0)+IF(AND(V1489&gt;175,W1489&gt;=25,W1489&lt;55),0.2,0)+IF(AND(V1489&gt;175,W1489&gt;=55,W1489&lt;95),0.17,0)+IF(AND(V1489&gt;175,W1489&gt;=95),0.12,0),
IF(AF1489="DoEVs1",IF(AND(V1489&lt;20,W1489&lt;55),0.3,0)+IF(AND(V1489&lt;20,W1489&gt;=55,W1489&lt;105),0.23,0)+IF(AND(V1489&lt;20,W1489&gt;=105),0.17,0)+IF(AND(V1489&gt;=20,V1489&lt;40,W1489&lt;45),0.3,0)+IF(AND(V1489&gt;=20,V1489&lt;40,W1489&gt;=45,W1489&lt;95),0.23,0)+IF(AND(V1489&gt;=20,V1489&lt;40,W1489&gt;=95,W1489&lt;=150),0.17,0)+IF(AND(V1489&gt;=20,V1489&lt;40,W1489&gt;=150),0.12,0)+IF(AND(V1489&gt;=40,V1489&lt;75,W1489&lt;35),0.3,0)+IF(AND(V1489&gt;=40,V1489&lt;75,W1489&gt;=35,W1489&lt;75),0.23,0)+IF(AND(V1489&gt;=40,V1489&lt;75,W1489&gt;=75,W1489&lt;120),0.17,0)+IF(AND(V1489&gt;=40,V1489&lt;75,W1489&gt;=120),0.12,0)+IF(AND(V1489&gt;=75,V1489&lt;175,W1489&lt;35),0.3,0)+IF(AND(V1489&gt;=75,V1489&lt;=175,W1489&gt;=35,W1489&lt;65),0.23,0)+IF(AND(V1489&gt;=75,V1489&lt;=175,W1489&gt;=65,W1489&lt;110),0.17,0)+IF(AND(V1489&gt;=75,V1489&lt;=175,W1489&gt;=110),0.12,0)+IF(AND(V1489&gt;175,W1489&lt;25),0.3,0)+IF(AND(V1489&gt;175,W1489&gt;=25,W1489&lt;55),0.23,0)+IF(AND(V1489&gt;175,W1489&gt;=55,W1489&lt;95),0.17,0)+IF(AND(V1489&gt;175,W1489&gt;=95),0.12,0),
IF(AF1489="DoEVsu",IF(AND(V1489&lt;20,W1489&lt;55),0.3,0)+IF(AND(V1489&lt;20,W1489&gt;=55,W1489&lt;105),0.23,0)+IF(AND(V1489&lt;20,W1489&gt;=105),0.17,0)+IF(AND(V1489&gt;=20,V1489&lt;40,W1489&lt;45),0.3,0)+IF(AND(V1489&gt;=20,V1489&lt;40,W1489&gt;=45,W1489&lt;95),0.23,0)+IF(AND(V1489&gt;=20,V1489&lt;40,W1489&gt;=95,W1489&lt;=250),0.17,0)+IF(AND(V1489&gt;=20,V1489&lt;40,W1489&gt;=250),0.12,0)+IF(AND(V1489&gt;=40,V1489&lt;75,W1489&lt;35),0.3,0)+IF(AND(V1489&gt;=40,V1489&lt;75,W1489&gt;=35,W1489&lt;75),0.23,0)+IF(AND(V1489&gt;=40,V1489&lt;75,W1489&gt;=75,W1489&lt;120),0.17,0)+IF(AND(V1489&gt;=40,V1489&lt;75,W1489&gt;=120),0.12,0)+IF(AND(V1489&gt;=75,V1489&lt;175,W1489&lt;35),0.3,0)+IF(AND(V1489&gt;=75,V1489&lt;=175,W1489&gt;=35,W1489&lt;65),0.23,0)+IF(AND(V1489&gt;=75,V1489&lt;=175,W1489&gt;=65,W1489&lt;110),0.17,0)+IF(AND(V1489&gt;=75,V1489&lt;=175,W1489&gt;=110),0.12,0)+IF(AND(V1489&gt;175,W1489&lt;25),0.3,0)+IF(AND(V1489&gt;175,W1489&gt;=25,W1489&lt;55),0.23,0)+IF(AND(V1489&gt;175,W1489&gt;=55,W1489&lt;95),0.17,0)+IF(AND(V1489&gt;175,W1489&gt;=95),0.12,0),
IF(AF1489="DoEVni",IF(AND(V1489&lt;20,W1489&lt;55),0.3,0)+IF(AND(V1489&lt;20,W1489&gt;=55,W1489&lt;105),0.23,0)+IF(AND(V1489&lt;20,W1489&gt;=105),0.17,0)+IF(AND(V1489&gt;=20,V1489&lt;40,W1489&lt;45),0.3,0)+IF(AND(V1489&gt;=20,V1489&lt;40,W1489&gt;=45,W1489&lt;95),0.23,0)+IF(AND(V1489&gt;=20,V1489&lt;40,W1489&gt;=95,W1489&lt;=200),0.17,0)+IF(AND(V1489&gt;=20,V1489&lt;40,W1489&gt;=200),0.12,0)+IF(AND(V1489&gt;=40,V1489&lt;75,W1489&lt;35),0.3,0)+IF(AND(V1489&gt;=40,V1489&lt;75,W1489&gt;=35,W1489&lt;75),0.23,0)+IF(AND(V1489&gt;=40,V1489&lt;75,W1489&gt;=75,W1489&lt;120),0.17,0)+IF(AND(V1489&gt;=40,V1489&lt;75,W1489&gt;=120),0.12,0)+IF(AND(V1489&gt;=75,V1489&lt;175,W1489&lt;35),0.3,0)+IF(AND(V1489&gt;=75,V1489&lt;=175,W1489&gt;=35,W1489&lt;65),0.23,0)+IF(AND(V1489&gt;=75,V1489&lt;=175,W1489&gt;=65,W1489&lt;110),0.17,0)+IF(AND(V1489&gt;=75,V1489&lt;=175,W1489&gt;=110),0.12,0)+IF(AND(V1489&gt;175,W1489&lt;25),0.3,0)+IF(AND(V1489&gt;175,W1489&gt;=25,W1489&lt;55),0.23,0)+IF(AND(V1489&gt;175,W1489&gt;=55,W1489&lt;95),0.17,0)+IF(AND(V1489&gt;175,W1489&gt;=95),0.12,0),
IF(AF1489="DoEVLo",IF(AND(V1489&lt;20,W1489&lt;55),0.25,0)+IF(AND(V1489&lt;20,W1489&gt;=55,W1489&lt;105),0.2,0)+IF(AND(V1489&lt;20,W1489&gt;=105),0.15,0)+IF(AND(V1489&gt;=20,V1489&lt;40,W1489&lt;45),0.25,0)+IF(AND(V1489&gt;=20,V1489&lt;40,W1489&gt;=45,W1489&lt;95),0.2,0)+IF(AND(V1489&gt;=20,V1489&lt;40,W1489&gt;=95),0.15,0)+IF(AND(V1489&gt;=40,V1489&lt;75,W1489&lt;35),0.25,0)+IF(AND(V1489&gt;=40,V1489&lt;75,W1489&gt;=35,W1489&lt;75),0.2,0)+IF(AND(V1489&gt;=40,V1489&lt;75,W1489&gt;=75,W1489&lt;120),0.15,0)+IF(AND(V1489&gt;=40,V1489&lt;75,W1489&gt;=120),0.1,0)+IF(AND(V1489&gt;=75,V1489&lt;175,W1489&lt;35),0.25,0)+IF(AND(V1489&gt;=75,V1489&lt;=175,W1489&gt;=35,W1489&lt;65),0.2,0)+IF(AND(V1489&gt;=75,V1489&lt;=175,W1489&gt;=65,W1489&lt;110),0.15,0)+IF(AND(V1489&gt;=75,V1489&lt;=175,W1489&gt;=110),0.1,0)+IF(AND(V1489&gt;175,W1489&lt;25),0.25,0)+IF(AND(V1489&gt;175,W1489&gt;=25,W1489&lt;55),0.2,0)+IF(AND(V1489&gt;175,W1489&gt;=55,W1489&lt;95),0.15,0)+IF(AND(V1489&gt;175,W1489&gt;=95),0.1,0))))))))))))))))))))</f>
        <v>0.35</v>
      </c>
      <c r="Y1489" s="30">
        <f>IF(AG1489="None",0,IF(AG1489="Fix5",0.05, IF(AG1489="Fix6.25",0.0625,IF(AG1489="Fix3.75",0.0375, IF(AG1489="Fix11",0.11, IF(AG1489="Fix10",0.1,IF(AG1489="Fix3",0.03,0)))))))</f>
        <v>0</v>
      </c>
      <c r="Z1489" s="35">
        <f>IF(AND(AD1489="EUR", AE1489 = "USD"), T1489*U1489-AA1489-AB1489, T1489-AA1489-AB1489)</f>
        <v>-32.5</v>
      </c>
      <c r="AA1489" s="29">
        <f>IF(AND(AD1489="EUR", F1489="Without EV deal", AE1489="USD"), (T1489*X1489)*U1489,
IF(AND(AD1489="EUR", F1489="Without EV deal", AE1489="EUR"), (T1489*X1489),
IF(AND(AD1489="EUR",AE1489="USD"), (T1489*X1489)*U1489,
T1489*X1489)))</f>
        <v>-17.5</v>
      </c>
      <c r="AB1489" s="36">
        <f>IF(AND(AD1489="EUR", F1489="Without EV deal", AE1489="USD"), (T1489*Y1489)*U1489,
IF(AND(AD1489="EUR", F1489="Without EV deal", AE1489="EUR"), (T1489*Y1489),
IF(AND(AD1489="EUR",AE1489="USD"), (T1489*Y1489)*U1489,
T1489*Y1489)))</f>
        <v>0</v>
      </c>
      <c r="AC1489" s="37" t="b">
        <v>0</v>
      </c>
      <c r="AD1489" s="82" t="str">
        <f>IF(OR(H1489="€0.25 Flash",
H1489="€0.25(nitro) new",
H1489="€1",
H1489="€2",
H1489="€2 (bf 01.08)",
H1489="€5",
H1489="€5 (1M)",
H1489="€5 (bf 01.08)",
H1489="€5 (bf 05.05)",
H1489="€5 Nitro",
H1489="€5(wx) new",
H1489="€10",
H1489="€10 (1M)",
H1489="€10 (bf 01.08)",
H1489="€10 (bf 05.05)",
H1489="€10 (MP)",
H1489="€10 (old)",
H1489="€10 Nitro (bf 05.05)",
H1489="€10 Nitro (old)",
H1489="€10(wx) new",
H1489="€20",
H1489="€25",
H1489="€25 (bf 01.08)",
H1489="€25 (bf 05.05)",
H1489="€25 (MP)",
H1489="€25 (old)",
H1489="€25 Nitro",
H1489="€25 Nitro (bf 01.08)",
H1489="€25 Nitro (bf 05.05)",
H1489="€25(nitro) new",
H1489="€25(wx) new",
H1489="€50",
H1489="€50 (bf 01.08)",
H1489="€50 (bf 05.05)",
H1489="€50 (old)",
H1489="€50 Nitro",
H1489="€50 Nitro (bf 01.08)",
H1489="€50 Nitro (bf 05.05)",
H1489="€50(wx) new",
H1489="€100",
H1489="€100 (old)",
H1489="€100 Nitro",
H1489="€100 Nitro (old)",
H1489="€200",
H1489="€250",
H1489="€250 Nitro",
H1489="€500",
H1489="€500 Nitro"),"EUR", "USD")</f>
        <v>USD</v>
      </c>
      <c r="AE1489" s="83" t="s">
        <v>38</v>
      </c>
      <c r="AF1489" s="83" t="str">
        <f t="array" ref="AF1489">INDEX('Deal Info'!D:D, MATCH(A1489,'Deal Info'!A:A, 0))</f>
        <v>DoEVold</v>
      </c>
      <c r="AG1489" s="84" t="str">
        <f t="array" ref="AG1489">INDEX('Deal Info'!G:G, MATCH(A1489,'Deal Info'!A:A, 0))</f>
        <v>None</v>
      </c>
    </row>
    <row r="1490" spans="1:33" ht="14.25" hidden="1" x14ac:dyDescent="0.2">
      <c r="A1490" s="18" t="str">
        <f t="array" ref="A1490">IF(G1490='Room Info'!$B$1, INDEX('Room Info'!$A$2:$A2446, MATCH(B1490,'Room Info'!$B$2:$B2446, 0)),IF(G1490='Room Info'!$C$1, INDEX('Room Info'!$A$2:$A2446, MATCH(B1490,'Room Info'!$C$2:$C2446, 0)),IF(G1490='Room Info'!$D$1, INDEX('Room Info'!$A$2:$A2446, MATCH(B1490,'Room Info'!$D$2:$D2446, 0)),IF(G1490='Room Info'!$E$1, INDEX('Room Info'!$A$2:$A2446, MATCH(B1490,'Room Info'!$E$2:$E2446, 0)),IF(G1490='Room Info'!$F$1, INDEX('Room Info'!$A$2:$A2446, MATCH(B1490,'Room Info'!$F$2:$F2446, 0)),IF(G1490='Room Info'!$H$1, INDEX('Room Info'!$A$2:$A2446, MATCH(B1490,'Room Info'!$H$2:$H2446, 0)),IF(G1490='Room Info'!$G$1, INDEX('Room Info'!$A$2:$A2446, MATCH(B1490,'Room Info'!$G$2:$G2446, 0)))))))))</f>
        <v>Freedoom</v>
      </c>
      <c r="B1490" s="45" t="s">
        <v>221</v>
      </c>
      <c r="C1490" s="77">
        <v>44958</v>
      </c>
      <c r="D1490" s="77">
        <v>44985</v>
      </c>
      <c r="E1490" s="21">
        <v>44958</v>
      </c>
      <c r="F1490" s="22" t="s">
        <v>41</v>
      </c>
      <c r="G1490" s="18" t="s">
        <v>35</v>
      </c>
      <c r="H1490" s="91" t="s">
        <v>39</v>
      </c>
      <c r="I1490" s="23" t="s">
        <v>37</v>
      </c>
      <c r="J1490" s="39">
        <v>5</v>
      </c>
      <c r="K1490" s="123">
        <v>42</v>
      </c>
      <c r="L1490" s="52">
        <v>0</v>
      </c>
      <c r="M1490" s="62"/>
      <c r="N1490" s="28">
        <f>K1490*J1490</f>
        <v>210</v>
      </c>
      <c r="O1490" s="54">
        <v>-974</v>
      </c>
      <c r="P1490" s="29">
        <v>-23.190476189999998</v>
      </c>
      <c r="Q1490" s="55"/>
      <c r="R1490" s="31">
        <f>M1490+Q1490</f>
        <v>0</v>
      </c>
      <c r="S1490" s="66"/>
      <c r="T1490" s="32">
        <f>IF(AND(AD1490="EUR", F1490="Without EV deal"), R1490 + L1490,
IF(AND(AD1490="USD", F1490="Without EV deal"), R1490 + L1490,
IF(AND(AD1490="EUR", F1490="Steel Phoenix"), R1490 + S1490/U1490,
R1490 + S1490)))</f>
        <v>0</v>
      </c>
      <c r="U1490" s="57"/>
      <c r="V1490" s="58"/>
      <c r="W1490" s="58"/>
      <c r="X1490" s="30">
        <f>IF(AF1490="DoEV",IF(AND(V1490&lt;20,W1490&lt;55),0.3,0)+IF(AND(V1490&lt;20,W1490&gt;=55,W1490&lt;105),0.23,0)+IF(AND(V1490&lt;20,W1490&gt;=105),0.17,0)+IF(AND(V1490&gt;=20,V1490&lt;40,W1490&lt;45),0.3,0)+IF(AND(V1490&gt;=20,V1490&lt;40,W1490&gt;=45,W1490&lt;95),0.23,0)+IF(AND(V1490&gt;=20,V1490&lt;40,W1490&gt;=95),0.17,0)+IF(AND(V1490&gt;=40,V1490&lt;75,W1490&lt;35),0.3,0)+IF(AND(V1490&gt;=40,V1490&lt;75,W1490&gt;=35,W1490&lt;75),0.23,0)+IF(AND(V1490&gt;=40,V1490&lt;75,W1490&gt;=75,W1490&lt;120),0.17,0)+IF(AND(V1490&gt;=40,V1490&lt;75,W1490&gt;=120),0.12,0)+IF(AND(V1490&gt;=75,V1490&lt;175,W1490&lt;35),0.3,0)+IF(AND(V1490&gt;=75,V1490&lt;=175,W1490&gt;=35,W1490&lt;65),0.23,0)+IF(AND(V1490&gt;=75,V1490&lt;=175,W1490&gt;=65,W1490&lt;110),0.17,0)+IF(AND(V1490&gt;=75,V1490&lt;=175,W1490&gt;=110),0.12,0)+IF(AND(V1490&gt;175,W1490&lt;25),0.3,0)+IF(AND(V1490&gt;175,W1490&gt;=25,W1490&lt;55),0.23,0)+IF(AND(V1490&gt;175,W1490&gt;=55,W1490&lt;95),0.17,0)+IF(AND(V1490&gt;175,W1490&gt;=95),0.12,0),
IF(AF1490="Fix15",0.15,
IF(AF1490="Fix5",0.05,
IF(AF1490="Fix18.75",0.1875,
IF(AF1490="Fix11.25",0.1125,
IF(AF1490="Fix10",0.1,
IF(AF1490="Fix9",0.09,
IF(AF1490="Fix12",0.12,
IF(AF1490="Fix19",0.19,
IF(AF1490="DoEV2017",IF(AND(W1490&lt;74),0.2,0)+IF(AND(W1490&gt;=74),0.17,0),
IF(AF1490="SF",IF(AND(V1490&lt;20,W1490&lt;89),0.3,0)+IF(AND(V1490&lt;20,W1490&gt;=89),0.25,0)+IF(AND(V1490&gt;=20,V1490&lt;40,W1490&lt;74),0.3,0)+IF(AND(V1490&gt;=20,V1490&lt;40,W1490&gt;=75),0.22,0)+IF(AND(V1490&gt;=40,V1490&lt;75,W1490&lt;75),0.26,0)+IF(AND(V1490&gt;=40,V1490&lt;75,W1490&gt;=75),0.22,0)+IF(V1490&gt;=75,0.22,0),
IF(AF1490="DoEVold",IF(AND(V1490&lt;40,W1490&lt;35),0.35,0)+IF(AND(V1490&lt;40,W1490&gt;=35,W1490&lt;75),0.25,0)+IF(AND(V1490&lt;40,W1490&gt;=75),0.17,0)+IF(AND(V1490&gt;=40,V1490&lt;75,W1490&lt;25),0.35,0)+IF(AND(V1490&gt;=40,V1490&lt;75,W1490&gt;=25,W1490&lt;65),0.25,0)+IF(AND(V1490&gt;=40,V1490&lt;75,W1490&gt;=65,W1490&lt;100),0.17,0)+IF(AND(V1490&gt;=40,V1490&lt;75,W1490&gt;=100),0.1,0)+IF(AND(V1490&gt;=75,W1490&lt;25),0.35,0)+IF(AND(V1490&gt;=75,W1490&gt;=25,W1490&lt;60),0.25,0)+IF(AND(V1490&gt;=75,W1490&gt;=60,W1490&lt;95),0.17,0)+IF(AND(V1490&gt;=75,W1490&gt;=95),0.1,0),
IF(AF1490="DoEVold15",IF(AND(V1490&lt;=40,W1490&lt;35),0.35,0)+IF(AND(V1490&lt;=40,W1490&gt;=35,W1490&lt;75),0.25,0)+IF(AND(V1490&lt;=40,W1490&gt;=75,W1490&lt;120),0.17,0)+IF(AND(V1490&lt;=40,W1490&gt;=120),0.15,0)+IF(AND(V1490&gt;40,V1490&lt;75,W1490&lt;25),0.35,0)+IF(AND(V1490&gt;=40,V1490&lt;75,W1490&gt;=25,W1490&lt;65),0.25,0)+IF(AND(V1490&gt;=40,V1490&lt;75,W1490&gt;=65,W1490&lt;100),0.17,0)+IF(AND(V1490&gt;=40,V1490&lt;75,W1490&gt;=100),0.1,0)+IF(AND(V1490&gt;=75,W1490&lt;25),0.35,0)+IF(AND(V1490&gt;=75,W1490&gt;=25,W1490&lt;60),0.25,0)+IF(AND(V1490&gt;=75,W1490&gt;=60,W1490&lt;95),0.17,0)+IF(AND(V1490&gt;=75,W1490&gt;=95),0.1,0),
IF(AF1490="DoEVba",IF(AND(V1490&lt;20,W1490&lt;105),0.2,0)+IF(AND(V1490&lt;20,W1490&gt;=105),0.15,0)+IF(AND(V1490&gt;=20,V1490&lt;40,W1490&lt;95),0.2,0)+IF(AND(V1490&gt;=20,V1490&lt;40,W1490&gt;=95,W1490&lt;150),0.15,0)+IF(AND(V1490&gt;=20,V1490&lt;40,W1490&gt;=150),0.12,0)+IF(AND(V1490&gt;=40,V1490&lt;75,W1490&lt;75),0.2,0)+IF(AND(V1490&gt;=40,V1490&lt;75,W1490&gt;=75,W1490&lt;120),0.15,0)+IF(AND(V1490&gt;=40,V1490&lt;75,W1490&gt;=120),0.12,0)+IF(AND(V1490&gt;=75,V1490&lt;175,W1490&lt;65),0.2,0)+IF(AND(V1490&gt;=75,V1490&lt;175,W1490&gt;=65,W1490&lt;110),0.15,0)+IF(AND(V1490&gt;=75,V1490&lt;175,W1490&gt;=110),0.12,0)+IF(AND(V1490&gt;=175,W1490&lt;55),0.2,0)+IF(AND(V1490&gt;=175,W1490&gt;=55,W1490&lt;95),0.15,0)+IF(AND(V1490&gt;=175,W1490&gt;=95),0.12,0),
IF(AF1490="DoEVku",IF(AND(V1490&lt;20,W1490&lt;55),0.23,0)+IF(AND(V1490&lt;20,W1490&gt;=55,W1490&lt;105),0.2,0)+IF(AND(V1490&lt;20,W1490&gt;=105),0.17,0)+IF(AND(V1490&gt;=20,V1490&lt;40,W1490&lt;45),0.23,0)+IF(AND(V1490&gt;=20,V1490&lt;40,W1490&gt;=45,W1490&lt;95),0.2,0)+IF(AND(V1490&gt;=20,V1490&lt;40,W1490&gt;=95,W1490&lt;=150),0.17,0)+IF(AND(V1490&gt;=20,V1490&lt;40,W1490&gt;=150),0.12,0)+IF(AND(V1490&gt;=40,V1490&lt;75,W1490&lt;35),0.23,0)+IF(AND(V1490&gt;=40,V1490&lt;75,W1490&gt;=35,W1490&lt;75),0.2,0)+IF(AND(V1490&gt;=40,V1490&lt;75,W1490&gt;=75,W1490&lt;120),0.17,0)+IF(AND(V1490&gt;=40,V1490&lt;75,W1490&gt;=120),0.12,0)+IF(AND(V1490&gt;=75,V1490&lt;175,W1490&lt;35),0.23,0)+IF(AND(V1490&gt;=75,V1490&lt;=175,W1490&gt;=35,W1490&lt;65),0.2,0)+IF(AND(V1490&gt;=75,V1490&lt;=175,W1490&gt;=65,W1490&lt;110),0.17,0)+IF(AND(V1490&gt;=75,V1490&lt;=175,W1490&gt;=110),0.12,0)+IF(AND(V1490&gt;175,W1490&lt;25),0.23,0)+IF(AND(V1490&gt;175,W1490&gt;=25,W1490&lt;55),0.2,0)+IF(AND(V1490&gt;175,W1490&gt;=55,W1490&lt;95),0.17,0)+IF(AND(V1490&gt;175,W1490&gt;=95),0.12,0),
IF(AF1490="DoEVs1",IF(AND(V1490&lt;20,W1490&lt;55),0.3,0)+IF(AND(V1490&lt;20,W1490&gt;=55,W1490&lt;105),0.23,0)+IF(AND(V1490&lt;20,W1490&gt;=105),0.17,0)+IF(AND(V1490&gt;=20,V1490&lt;40,W1490&lt;45),0.3,0)+IF(AND(V1490&gt;=20,V1490&lt;40,W1490&gt;=45,W1490&lt;95),0.23,0)+IF(AND(V1490&gt;=20,V1490&lt;40,W1490&gt;=95,W1490&lt;=150),0.17,0)+IF(AND(V1490&gt;=20,V1490&lt;40,W1490&gt;=150),0.12,0)+IF(AND(V1490&gt;=40,V1490&lt;75,W1490&lt;35),0.3,0)+IF(AND(V1490&gt;=40,V1490&lt;75,W1490&gt;=35,W1490&lt;75),0.23,0)+IF(AND(V1490&gt;=40,V1490&lt;75,W1490&gt;=75,W1490&lt;120),0.17,0)+IF(AND(V1490&gt;=40,V1490&lt;75,W1490&gt;=120),0.12,0)+IF(AND(V1490&gt;=75,V1490&lt;175,W1490&lt;35),0.3,0)+IF(AND(V1490&gt;=75,V1490&lt;=175,W1490&gt;=35,W1490&lt;65),0.23,0)+IF(AND(V1490&gt;=75,V1490&lt;=175,W1490&gt;=65,W1490&lt;110),0.17,0)+IF(AND(V1490&gt;=75,V1490&lt;=175,W1490&gt;=110),0.12,0)+IF(AND(V1490&gt;175,W1490&lt;25),0.3,0)+IF(AND(V1490&gt;175,W1490&gt;=25,W1490&lt;55),0.23,0)+IF(AND(V1490&gt;175,W1490&gt;=55,W1490&lt;95),0.17,0)+IF(AND(V1490&gt;175,W1490&gt;=95),0.12,0),
IF(AF1490="DoEVsu",IF(AND(V1490&lt;20,W1490&lt;55),0.3,0)+IF(AND(V1490&lt;20,W1490&gt;=55,W1490&lt;105),0.23,0)+IF(AND(V1490&lt;20,W1490&gt;=105),0.17,0)+IF(AND(V1490&gt;=20,V1490&lt;40,W1490&lt;45),0.3,0)+IF(AND(V1490&gt;=20,V1490&lt;40,W1490&gt;=45,W1490&lt;95),0.23,0)+IF(AND(V1490&gt;=20,V1490&lt;40,W1490&gt;=95,W1490&lt;=250),0.17,0)+IF(AND(V1490&gt;=20,V1490&lt;40,W1490&gt;=250),0.12,0)+IF(AND(V1490&gt;=40,V1490&lt;75,W1490&lt;35),0.3,0)+IF(AND(V1490&gt;=40,V1490&lt;75,W1490&gt;=35,W1490&lt;75),0.23,0)+IF(AND(V1490&gt;=40,V1490&lt;75,W1490&gt;=75,W1490&lt;120),0.17,0)+IF(AND(V1490&gt;=40,V1490&lt;75,W1490&gt;=120),0.12,0)+IF(AND(V1490&gt;=75,V1490&lt;175,W1490&lt;35),0.3,0)+IF(AND(V1490&gt;=75,V1490&lt;=175,W1490&gt;=35,W1490&lt;65),0.23,0)+IF(AND(V1490&gt;=75,V1490&lt;=175,W1490&gt;=65,W1490&lt;110),0.17,0)+IF(AND(V1490&gt;=75,V1490&lt;=175,W1490&gt;=110),0.12,0)+IF(AND(V1490&gt;175,W1490&lt;25),0.3,0)+IF(AND(V1490&gt;175,W1490&gt;=25,W1490&lt;55),0.23,0)+IF(AND(V1490&gt;175,W1490&gt;=55,W1490&lt;95),0.17,0)+IF(AND(V1490&gt;175,W1490&gt;=95),0.12,0),
IF(AF1490="DoEVni",IF(AND(V1490&lt;20,W1490&lt;55),0.3,0)+IF(AND(V1490&lt;20,W1490&gt;=55,W1490&lt;105),0.23,0)+IF(AND(V1490&lt;20,W1490&gt;=105),0.17,0)+IF(AND(V1490&gt;=20,V1490&lt;40,W1490&lt;45),0.3,0)+IF(AND(V1490&gt;=20,V1490&lt;40,W1490&gt;=45,W1490&lt;95),0.23,0)+IF(AND(V1490&gt;=20,V1490&lt;40,W1490&gt;=95,W1490&lt;=200),0.17,0)+IF(AND(V1490&gt;=20,V1490&lt;40,W1490&gt;=200),0.12,0)+IF(AND(V1490&gt;=40,V1490&lt;75,W1490&lt;35),0.3,0)+IF(AND(V1490&gt;=40,V1490&lt;75,W1490&gt;=35,W1490&lt;75),0.23,0)+IF(AND(V1490&gt;=40,V1490&lt;75,W1490&gt;=75,W1490&lt;120),0.17,0)+IF(AND(V1490&gt;=40,V1490&lt;75,W1490&gt;=120),0.12,0)+IF(AND(V1490&gt;=75,V1490&lt;175,W1490&lt;35),0.3,0)+IF(AND(V1490&gt;=75,V1490&lt;=175,W1490&gt;=35,W1490&lt;65),0.23,0)+IF(AND(V1490&gt;=75,V1490&lt;=175,W1490&gt;=65,W1490&lt;110),0.17,0)+IF(AND(V1490&gt;=75,V1490&lt;=175,W1490&gt;=110),0.12,0)+IF(AND(V1490&gt;175,W1490&lt;25),0.3,0)+IF(AND(V1490&gt;175,W1490&gt;=25,W1490&lt;55),0.23,0)+IF(AND(V1490&gt;175,W1490&gt;=55,W1490&lt;95),0.17,0)+IF(AND(V1490&gt;175,W1490&gt;=95),0.12,0),
IF(AF1490="DoEVLo",IF(AND(V1490&lt;20,W1490&lt;55),0.25,0)+IF(AND(V1490&lt;20,W1490&gt;=55,W1490&lt;105),0.2,0)+IF(AND(V1490&lt;20,W1490&gt;=105),0.15,0)+IF(AND(V1490&gt;=20,V1490&lt;40,W1490&lt;45),0.25,0)+IF(AND(V1490&gt;=20,V1490&lt;40,W1490&gt;=45,W1490&lt;95),0.2,0)+IF(AND(V1490&gt;=20,V1490&lt;40,W1490&gt;=95),0.15,0)+IF(AND(V1490&gt;=40,V1490&lt;75,W1490&lt;35),0.25,0)+IF(AND(V1490&gt;=40,V1490&lt;75,W1490&gt;=35,W1490&lt;75),0.2,0)+IF(AND(V1490&gt;=40,V1490&lt;75,W1490&gt;=75,W1490&lt;120),0.15,0)+IF(AND(V1490&gt;=40,V1490&lt;75,W1490&gt;=120),0.1,0)+IF(AND(V1490&gt;=75,V1490&lt;175,W1490&lt;35),0.25,0)+IF(AND(V1490&gt;=75,V1490&lt;=175,W1490&gt;=35,W1490&lt;65),0.2,0)+IF(AND(V1490&gt;=75,V1490&lt;=175,W1490&gt;=65,W1490&lt;110),0.15,0)+IF(AND(V1490&gt;=75,V1490&lt;=175,W1490&gt;=110),0.1,0)+IF(AND(V1490&gt;175,W1490&lt;25),0.25,0)+IF(AND(V1490&gt;175,W1490&gt;=25,W1490&lt;55),0.2,0)+IF(AND(V1490&gt;175,W1490&gt;=55,W1490&lt;95),0.15,0)+IF(AND(V1490&gt;175,W1490&gt;=95),0.1,0))))))))))))))))))))</f>
        <v>0.35</v>
      </c>
      <c r="Y1490" s="30">
        <f>IF(AG1490="None",0,IF(AG1490="Fix5",0.05, IF(AG1490="Fix6.25",0.0625,IF(AG1490="Fix3.75",0.0375, IF(AG1490="Fix11",0.11, IF(AG1490="Fix10",0.1,IF(AG1490="Fix3",0.03,0)))))))</f>
        <v>0</v>
      </c>
      <c r="Z1490" s="35">
        <f>IF(AND(AD1490="EUR", AE1490 = "USD"), T1490*U1490-AA1490-AB1490, T1490-AA1490-AB1490)</f>
        <v>0</v>
      </c>
      <c r="AA1490" s="29">
        <f>IF(AND(AD1490="EUR", F1490="Without EV deal", AE1490="USD"), (T1490*X1490)*U1490,
IF(AND(AD1490="EUR", F1490="Without EV deal", AE1490="EUR"), (T1490*X1490),
IF(AND(AD1490="EUR",AE1490="USD"), (T1490*X1490)*U1490,
T1490*X1490)))</f>
        <v>0</v>
      </c>
      <c r="AB1490" s="36">
        <f>IF(AND(AD1490="EUR", F1490="Without EV deal", AE1490="USD"), (T1490*Y1490)*U1490,
IF(AND(AD1490="EUR", F1490="Without EV deal", AE1490="EUR"), (T1490*Y1490),
IF(AND(AD1490="EUR",AE1490="USD"), (T1490*Y1490)*U1490,
T1490*Y1490)))</f>
        <v>0</v>
      </c>
      <c r="AC1490" s="37" t="b">
        <v>0</v>
      </c>
      <c r="AD1490" s="82" t="str">
        <f>IF(OR(H1490="€0.25 Flash",
H1490="€0.25(nitro) new",
H1490="€1",
H1490="€2",
H1490="€2 (bf 01.08)",
H1490="€5",
H1490="€5 (1M)",
H1490="€5 (bf 01.08)",
H1490="€5 (bf 05.05)",
H1490="€5 Nitro",
H1490="€5(wx) new",
H1490="€10",
H1490="€10 (1M)",
H1490="€10 (bf 01.08)",
H1490="€10 (bf 05.05)",
H1490="€10 (MP)",
H1490="€10 (old)",
H1490="€10 Nitro (bf 05.05)",
H1490="€10 Nitro (old)",
H1490="€10(wx) new",
H1490="€20",
H1490="€25",
H1490="€25 (bf 01.08)",
H1490="€25 (bf 05.05)",
H1490="€25 (MP)",
H1490="€25 (old)",
H1490="€25 Nitro",
H1490="€25 Nitro (bf 01.08)",
H1490="€25 Nitro (bf 05.05)",
H1490="€25(nitro) new",
H1490="€25(wx) new",
H1490="€50",
H1490="€50 (bf 01.08)",
H1490="€50 (bf 05.05)",
H1490="€50 (old)",
H1490="€50 Nitro",
H1490="€50 Nitro (bf 01.08)",
H1490="€50 Nitro (bf 05.05)",
H1490="€50(wx) new",
H1490="€100",
H1490="€100 (old)",
H1490="€100 Nitro",
H1490="€100 Nitro (old)",
H1490="€200",
H1490="€250",
H1490="€250 Nitro",
H1490="€500",
H1490="€500 Nitro"),"EUR", "USD")</f>
        <v>USD</v>
      </c>
      <c r="AE1490" s="83" t="s">
        <v>38</v>
      </c>
      <c r="AF1490" s="83" t="str">
        <f t="array" ref="AF1490">INDEX('Deal Info'!D:D, MATCH(A1490,'Deal Info'!A:A, 0))</f>
        <v>DoEVold</v>
      </c>
      <c r="AG1490" s="84" t="str">
        <f t="array" ref="AG1490">INDEX('Deal Info'!G:G, MATCH(A1490,'Deal Info'!A:A, 0))</f>
        <v>None</v>
      </c>
    </row>
    <row r="1491" spans="1:33" ht="14.25" hidden="1" x14ac:dyDescent="0.2">
      <c r="A1491" s="18" t="str">
        <f t="array" ref="A1491">IF(G1491='Room Info'!$B$1, INDEX('Room Info'!$A$2:$A2446, MATCH(B1491,'Room Info'!$B$2:$B2446, 0)),IF(G1491='Room Info'!$C$1, INDEX('Room Info'!$A$2:$A2446, MATCH(B1491,'Room Info'!$C$2:$C2446, 0)),IF(G1491='Room Info'!$D$1, INDEX('Room Info'!$A$2:$A2446, MATCH(B1491,'Room Info'!$D$2:$D2446, 0)),IF(G1491='Room Info'!$E$1, INDEX('Room Info'!$A$2:$A2446, MATCH(B1491,'Room Info'!$E$2:$E2446, 0)),IF(G1491='Room Info'!$F$1, INDEX('Room Info'!$A$2:$A2446, MATCH(B1491,'Room Info'!$F$2:$F2446, 0)),IF(G1491='Room Info'!$H$1, INDEX('Room Info'!$A$2:$A2446, MATCH(B1491,'Room Info'!$H$2:$H2446, 0)),IF(G1491='Room Info'!$G$1, INDEX('Room Info'!$A$2:$A2446, MATCH(B1491,'Room Info'!$G$2:$G2446, 0)))))))))</f>
        <v>Freedoom</v>
      </c>
      <c r="B1491" s="45" t="s">
        <v>221</v>
      </c>
      <c r="C1491" s="77">
        <v>44958</v>
      </c>
      <c r="D1491" s="77">
        <v>44985</v>
      </c>
      <c r="E1491" s="21">
        <v>44958</v>
      </c>
      <c r="F1491" s="22" t="s">
        <v>41</v>
      </c>
      <c r="G1491" s="18" t="s">
        <v>35</v>
      </c>
      <c r="H1491" s="91" t="s">
        <v>40</v>
      </c>
      <c r="I1491" s="23" t="s">
        <v>37</v>
      </c>
      <c r="J1491" s="39">
        <v>10</v>
      </c>
      <c r="K1491" s="124">
        <v>116</v>
      </c>
      <c r="L1491" s="72">
        <v>-130</v>
      </c>
      <c r="M1491" s="79"/>
      <c r="N1491" s="28">
        <f>K1491*J1491</f>
        <v>1160</v>
      </c>
      <c r="O1491" s="45">
        <v>-1541</v>
      </c>
      <c r="P1491" s="29">
        <v>-13.28448276</v>
      </c>
      <c r="Q1491" s="55"/>
      <c r="R1491" s="31">
        <f>M1491+Q1491</f>
        <v>0</v>
      </c>
      <c r="S1491" s="97"/>
      <c r="T1491" s="32">
        <f>IF(AND(AD1491="EUR", F1491="Without EV deal"), R1491 + L1491,
IF(AND(AD1491="USD", F1491="Without EV deal"), R1491 + L1491,
IF(AND(AD1491="EUR", F1491="Steel Phoenix"), R1491 + S1491/U1491,
R1491 + S1491)))</f>
        <v>-130</v>
      </c>
      <c r="U1491" s="57"/>
      <c r="V1491" s="58"/>
      <c r="W1491" s="58"/>
      <c r="X1491" s="30">
        <f>IF(AF1491="DoEV",IF(AND(V1491&lt;20,W1491&lt;55),0.3,0)+IF(AND(V1491&lt;20,W1491&gt;=55,W1491&lt;105),0.23,0)+IF(AND(V1491&lt;20,W1491&gt;=105),0.17,0)+IF(AND(V1491&gt;=20,V1491&lt;40,W1491&lt;45),0.3,0)+IF(AND(V1491&gt;=20,V1491&lt;40,W1491&gt;=45,W1491&lt;95),0.23,0)+IF(AND(V1491&gt;=20,V1491&lt;40,W1491&gt;=95),0.17,0)+IF(AND(V1491&gt;=40,V1491&lt;75,W1491&lt;35),0.3,0)+IF(AND(V1491&gt;=40,V1491&lt;75,W1491&gt;=35,W1491&lt;75),0.23,0)+IF(AND(V1491&gt;=40,V1491&lt;75,W1491&gt;=75,W1491&lt;120),0.17,0)+IF(AND(V1491&gt;=40,V1491&lt;75,W1491&gt;=120),0.12,0)+IF(AND(V1491&gt;=75,V1491&lt;175,W1491&lt;35),0.3,0)+IF(AND(V1491&gt;=75,V1491&lt;=175,W1491&gt;=35,W1491&lt;65),0.23,0)+IF(AND(V1491&gt;=75,V1491&lt;=175,W1491&gt;=65,W1491&lt;110),0.17,0)+IF(AND(V1491&gt;=75,V1491&lt;=175,W1491&gt;=110),0.12,0)+IF(AND(V1491&gt;175,W1491&lt;25),0.3,0)+IF(AND(V1491&gt;175,W1491&gt;=25,W1491&lt;55),0.23,0)+IF(AND(V1491&gt;175,W1491&gt;=55,W1491&lt;95),0.17,0)+IF(AND(V1491&gt;175,W1491&gt;=95),0.12,0),
IF(AF1491="Fix15",0.15,
IF(AF1491="Fix5",0.05,
IF(AF1491="Fix18.75",0.1875,
IF(AF1491="Fix11.25",0.1125,
IF(AF1491="Fix10",0.1,
IF(AF1491="Fix9",0.09,
IF(AF1491="Fix12",0.12,
IF(AF1491="Fix19",0.19,
IF(AF1491="DoEV2017",IF(AND(W1491&lt;74),0.2,0)+IF(AND(W1491&gt;=74),0.17,0),
IF(AF1491="SF",IF(AND(V1491&lt;20,W1491&lt;89),0.3,0)+IF(AND(V1491&lt;20,W1491&gt;=89),0.25,0)+IF(AND(V1491&gt;=20,V1491&lt;40,W1491&lt;74),0.3,0)+IF(AND(V1491&gt;=20,V1491&lt;40,W1491&gt;=75),0.22,0)+IF(AND(V1491&gt;=40,V1491&lt;75,W1491&lt;75),0.26,0)+IF(AND(V1491&gt;=40,V1491&lt;75,W1491&gt;=75),0.22,0)+IF(V1491&gt;=75,0.22,0),
IF(AF1491="DoEVold",IF(AND(V1491&lt;40,W1491&lt;35),0.35,0)+IF(AND(V1491&lt;40,W1491&gt;=35,W1491&lt;75),0.25,0)+IF(AND(V1491&lt;40,W1491&gt;=75),0.17,0)+IF(AND(V1491&gt;=40,V1491&lt;75,W1491&lt;25),0.35,0)+IF(AND(V1491&gt;=40,V1491&lt;75,W1491&gt;=25,W1491&lt;65),0.25,0)+IF(AND(V1491&gt;=40,V1491&lt;75,W1491&gt;=65,W1491&lt;100),0.17,0)+IF(AND(V1491&gt;=40,V1491&lt;75,W1491&gt;=100),0.1,0)+IF(AND(V1491&gt;=75,W1491&lt;25),0.35,0)+IF(AND(V1491&gt;=75,W1491&gt;=25,W1491&lt;60),0.25,0)+IF(AND(V1491&gt;=75,W1491&gt;=60,W1491&lt;95),0.17,0)+IF(AND(V1491&gt;=75,W1491&gt;=95),0.1,0),
IF(AF1491="DoEVold15",IF(AND(V1491&lt;=40,W1491&lt;35),0.35,0)+IF(AND(V1491&lt;=40,W1491&gt;=35,W1491&lt;75),0.25,0)+IF(AND(V1491&lt;=40,W1491&gt;=75,W1491&lt;120),0.17,0)+IF(AND(V1491&lt;=40,W1491&gt;=120),0.15,0)+IF(AND(V1491&gt;40,V1491&lt;75,W1491&lt;25),0.35,0)+IF(AND(V1491&gt;=40,V1491&lt;75,W1491&gt;=25,W1491&lt;65),0.25,0)+IF(AND(V1491&gt;=40,V1491&lt;75,W1491&gt;=65,W1491&lt;100),0.17,0)+IF(AND(V1491&gt;=40,V1491&lt;75,W1491&gt;=100),0.1,0)+IF(AND(V1491&gt;=75,W1491&lt;25),0.35,0)+IF(AND(V1491&gt;=75,W1491&gt;=25,W1491&lt;60),0.25,0)+IF(AND(V1491&gt;=75,W1491&gt;=60,W1491&lt;95),0.17,0)+IF(AND(V1491&gt;=75,W1491&gt;=95),0.1,0),
IF(AF1491="DoEVba",IF(AND(V1491&lt;20,W1491&lt;105),0.2,0)+IF(AND(V1491&lt;20,W1491&gt;=105),0.15,0)+IF(AND(V1491&gt;=20,V1491&lt;40,W1491&lt;95),0.2,0)+IF(AND(V1491&gt;=20,V1491&lt;40,W1491&gt;=95,W1491&lt;150),0.15,0)+IF(AND(V1491&gt;=20,V1491&lt;40,W1491&gt;=150),0.12,0)+IF(AND(V1491&gt;=40,V1491&lt;75,W1491&lt;75),0.2,0)+IF(AND(V1491&gt;=40,V1491&lt;75,W1491&gt;=75,W1491&lt;120),0.15,0)+IF(AND(V1491&gt;=40,V1491&lt;75,W1491&gt;=120),0.12,0)+IF(AND(V1491&gt;=75,V1491&lt;175,W1491&lt;65),0.2,0)+IF(AND(V1491&gt;=75,V1491&lt;175,W1491&gt;=65,W1491&lt;110),0.15,0)+IF(AND(V1491&gt;=75,V1491&lt;175,W1491&gt;=110),0.12,0)+IF(AND(V1491&gt;=175,W1491&lt;55),0.2,0)+IF(AND(V1491&gt;=175,W1491&gt;=55,W1491&lt;95),0.15,0)+IF(AND(V1491&gt;=175,W1491&gt;=95),0.12,0),
IF(AF1491="DoEVku",IF(AND(V1491&lt;20,W1491&lt;55),0.23,0)+IF(AND(V1491&lt;20,W1491&gt;=55,W1491&lt;105),0.2,0)+IF(AND(V1491&lt;20,W1491&gt;=105),0.17,0)+IF(AND(V1491&gt;=20,V1491&lt;40,W1491&lt;45),0.23,0)+IF(AND(V1491&gt;=20,V1491&lt;40,W1491&gt;=45,W1491&lt;95),0.2,0)+IF(AND(V1491&gt;=20,V1491&lt;40,W1491&gt;=95,W1491&lt;=150),0.17,0)+IF(AND(V1491&gt;=20,V1491&lt;40,W1491&gt;=150),0.12,0)+IF(AND(V1491&gt;=40,V1491&lt;75,W1491&lt;35),0.23,0)+IF(AND(V1491&gt;=40,V1491&lt;75,W1491&gt;=35,W1491&lt;75),0.2,0)+IF(AND(V1491&gt;=40,V1491&lt;75,W1491&gt;=75,W1491&lt;120),0.17,0)+IF(AND(V1491&gt;=40,V1491&lt;75,W1491&gt;=120),0.12,0)+IF(AND(V1491&gt;=75,V1491&lt;175,W1491&lt;35),0.23,0)+IF(AND(V1491&gt;=75,V1491&lt;=175,W1491&gt;=35,W1491&lt;65),0.2,0)+IF(AND(V1491&gt;=75,V1491&lt;=175,W1491&gt;=65,W1491&lt;110),0.17,0)+IF(AND(V1491&gt;=75,V1491&lt;=175,W1491&gt;=110),0.12,0)+IF(AND(V1491&gt;175,W1491&lt;25),0.23,0)+IF(AND(V1491&gt;175,W1491&gt;=25,W1491&lt;55),0.2,0)+IF(AND(V1491&gt;175,W1491&gt;=55,W1491&lt;95),0.17,0)+IF(AND(V1491&gt;175,W1491&gt;=95),0.12,0),
IF(AF1491="DoEVs1",IF(AND(V1491&lt;20,W1491&lt;55),0.3,0)+IF(AND(V1491&lt;20,W1491&gt;=55,W1491&lt;105),0.23,0)+IF(AND(V1491&lt;20,W1491&gt;=105),0.17,0)+IF(AND(V1491&gt;=20,V1491&lt;40,W1491&lt;45),0.3,0)+IF(AND(V1491&gt;=20,V1491&lt;40,W1491&gt;=45,W1491&lt;95),0.23,0)+IF(AND(V1491&gt;=20,V1491&lt;40,W1491&gt;=95,W1491&lt;=150),0.17,0)+IF(AND(V1491&gt;=20,V1491&lt;40,W1491&gt;=150),0.12,0)+IF(AND(V1491&gt;=40,V1491&lt;75,W1491&lt;35),0.3,0)+IF(AND(V1491&gt;=40,V1491&lt;75,W1491&gt;=35,W1491&lt;75),0.23,0)+IF(AND(V1491&gt;=40,V1491&lt;75,W1491&gt;=75,W1491&lt;120),0.17,0)+IF(AND(V1491&gt;=40,V1491&lt;75,W1491&gt;=120),0.12,0)+IF(AND(V1491&gt;=75,V1491&lt;175,W1491&lt;35),0.3,0)+IF(AND(V1491&gt;=75,V1491&lt;=175,W1491&gt;=35,W1491&lt;65),0.23,0)+IF(AND(V1491&gt;=75,V1491&lt;=175,W1491&gt;=65,W1491&lt;110),0.17,0)+IF(AND(V1491&gt;=75,V1491&lt;=175,W1491&gt;=110),0.12,0)+IF(AND(V1491&gt;175,W1491&lt;25),0.3,0)+IF(AND(V1491&gt;175,W1491&gt;=25,W1491&lt;55),0.23,0)+IF(AND(V1491&gt;175,W1491&gt;=55,W1491&lt;95),0.17,0)+IF(AND(V1491&gt;175,W1491&gt;=95),0.12,0),
IF(AF1491="DoEVsu",IF(AND(V1491&lt;20,W1491&lt;55),0.3,0)+IF(AND(V1491&lt;20,W1491&gt;=55,W1491&lt;105),0.23,0)+IF(AND(V1491&lt;20,W1491&gt;=105),0.17,0)+IF(AND(V1491&gt;=20,V1491&lt;40,W1491&lt;45),0.3,0)+IF(AND(V1491&gt;=20,V1491&lt;40,W1491&gt;=45,W1491&lt;95),0.23,0)+IF(AND(V1491&gt;=20,V1491&lt;40,W1491&gt;=95,W1491&lt;=250),0.17,0)+IF(AND(V1491&gt;=20,V1491&lt;40,W1491&gt;=250),0.12,0)+IF(AND(V1491&gt;=40,V1491&lt;75,W1491&lt;35),0.3,0)+IF(AND(V1491&gt;=40,V1491&lt;75,W1491&gt;=35,W1491&lt;75),0.23,0)+IF(AND(V1491&gt;=40,V1491&lt;75,W1491&gt;=75,W1491&lt;120),0.17,0)+IF(AND(V1491&gt;=40,V1491&lt;75,W1491&gt;=120),0.12,0)+IF(AND(V1491&gt;=75,V1491&lt;175,W1491&lt;35),0.3,0)+IF(AND(V1491&gt;=75,V1491&lt;=175,W1491&gt;=35,W1491&lt;65),0.23,0)+IF(AND(V1491&gt;=75,V1491&lt;=175,W1491&gt;=65,W1491&lt;110),0.17,0)+IF(AND(V1491&gt;=75,V1491&lt;=175,W1491&gt;=110),0.12,0)+IF(AND(V1491&gt;175,W1491&lt;25),0.3,0)+IF(AND(V1491&gt;175,W1491&gt;=25,W1491&lt;55),0.23,0)+IF(AND(V1491&gt;175,W1491&gt;=55,W1491&lt;95),0.17,0)+IF(AND(V1491&gt;175,W1491&gt;=95),0.12,0),
IF(AF1491="DoEVni",IF(AND(V1491&lt;20,W1491&lt;55),0.3,0)+IF(AND(V1491&lt;20,W1491&gt;=55,W1491&lt;105),0.23,0)+IF(AND(V1491&lt;20,W1491&gt;=105),0.17,0)+IF(AND(V1491&gt;=20,V1491&lt;40,W1491&lt;45),0.3,0)+IF(AND(V1491&gt;=20,V1491&lt;40,W1491&gt;=45,W1491&lt;95),0.23,0)+IF(AND(V1491&gt;=20,V1491&lt;40,W1491&gt;=95,W1491&lt;=200),0.17,0)+IF(AND(V1491&gt;=20,V1491&lt;40,W1491&gt;=200),0.12,0)+IF(AND(V1491&gt;=40,V1491&lt;75,W1491&lt;35),0.3,0)+IF(AND(V1491&gt;=40,V1491&lt;75,W1491&gt;=35,W1491&lt;75),0.23,0)+IF(AND(V1491&gt;=40,V1491&lt;75,W1491&gt;=75,W1491&lt;120),0.17,0)+IF(AND(V1491&gt;=40,V1491&lt;75,W1491&gt;=120),0.12,0)+IF(AND(V1491&gt;=75,V1491&lt;175,W1491&lt;35),0.3,0)+IF(AND(V1491&gt;=75,V1491&lt;=175,W1491&gt;=35,W1491&lt;65),0.23,0)+IF(AND(V1491&gt;=75,V1491&lt;=175,W1491&gt;=65,W1491&lt;110),0.17,0)+IF(AND(V1491&gt;=75,V1491&lt;=175,W1491&gt;=110),0.12,0)+IF(AND(V1491&gt;175,W1491&lt;25),0.3,0)+IF(AND(V1491&gt;175,W1491&gt;=25,W1491&lt;55),0.23,0)+IF(AND(V1491&gt;175,W1491&gt;=55,W1491&lt;95),0.17,0)+IF(AND(V1491&gt;175,W1491&gt;=95),0.12,0),
IF(AF1491="DoEVLo",IF(AND(V1491&lt;20,W1491&lt;55),0.25,0)+IF(AND(V1491&lt;20,W1491&gt;=55,W1491&lt;105),0.2,0)+IF(AND(V1491&lt;20,W1491&gt;=105),0.15,0)+IF(AND(V1491&gt;=20,V1491&lt;40,W1491&lt;45),0.25,0)+IF(AND(V1491&gt;=20,V1491&lt;40,W1491&gt;=45,W1491&lt;95),0.2,0)+IF(AND(V1491&gt;=20,V1491&lt;40,W1491&gt;=95),0.15,0)+IF(AND(V1491&gt;=40,V1491&lt;75,W1491&lt;35),0.25,0)+IF(AND(V1491&gt;=40,V1491&lt;75,W1491&gt;=35,W1491&lt;75),0.2,0)+IF(AND(V1491&gt;=40,V1491&lt;75,W1491&gt;=75,W1491&lt;120),0.15,0)+IF(AND(V1491&gt;=40,V1491&lt;75,W1491&gt;=120),0.1,0)+IF(AND(V1491&gt;=75,V1491&lt;175,W1491&lt;35),0.25,0)+IF(AND(V1491&gt;=75,V1491&lt;=175,W1491&gt;=35,W1491&lt;65),0.2,0)+IF(AND(V1491&gt;=75,V1491&lt;=175,W1491&gt;=65,W1491&lt;110),0.15,0)+IF(AND(V1491&gt;=75,V1491&lt;=175,W1491&gt;=110),0.1,0)+IF(AND(V1491&gt;175,W1491&lt;25),0.25,0)+IF(AND(V1491&gt;175,W1491&gt;=25,W1491&lt;55),0.2,0)+IF(AND(V1491&gt;175,W1491&gt;=55,W1491&lt;95),0.15,0)+IF(AND(V1491&gt;175,W1491&gt;=95),0.1,0))))))))))))))))))))</f>
        <v>0.35</v>
      </c>
      <c r="Y1491" s="30">
        <f>IF(AG1491="None",0,IF(AG1491="Fix5",0.05, IF(AG1491="Fix6.25",0.0625,IF(AG1491="Fix3.75",0.0375, IF(AG1491="Fix11",0.11, IF(AG1491="Fix10",0.1,IF(AG1491="Fix3",0.03,0)))))))</f>
        <v>0</v>
      </c>
      <c r="Z1491" s="35">
        <f>IF(AND(AD1491="EUR", AE1491 = "USD"), T1491*U1491-AA1491-AB1491, T1491-AA1491-AB1491)</f>
        <v>-84.5</v>
      </c>
      <c r="AA1491" s="29">
        <f>IF(AND(AD1491="EUR", F1491="Without EV deal", AE1491="USD"), (T1491*X1491)*U1491,
IF(AND(AD1491="EUR", F1491="Without EV deal", AE1491="EUR"), (T1491*X1491),
IF(AND(AD1491="EUR",AE1491="USD"), (T1491*X1491)*U1491,
T1491*X1491)))</f>
        <v>-45.5</v>
      </c>
      <c r="AB1491" s="36">
        <f>IF(AND(AD1491="EUR", F1491="Without EV deal", AE1491="USD"), (T1491*Y1491)*U1491,
IF(AND(AD1491="EUR", F1491="Without EV deal", AE1491="EUR"), (T1491*Y1491),
IF(AND(AD1491="EUR",AE1491="USD"), (T1491*Y1491)*U1491,
T1491*Y1491)))</f>
        <v>0</v>
      </c>
      <c r="AC1491" s="37" t="b">
        <v>0</v>
      </c>
      <c r="AD1491" s="82" t="str">
        <f>IF(OR(H1491="€0.25 Flash",
H1491="€0.25(nitro) new",
H1491="€1",
H1491="€2",
H1491="€2 (bf 01.08)",
H1491="€5",
H1491="€5 (1M)",
H1491="€5 (bf 01.08)",
H1491="€5 (bf 05.05)",
H1491="€5 Nitro",
H1491="€5(wx) new",
H1491="€10",
H1491="€10 (1M)",
H1491="€10 (bf 01.08)",
H1491="€10 (bf 05.05)",
H1491="€10 (MP)",
H1491="€10 (old)",
H1491="€10 Nitro (bf 05.05)",
H1491="€10 Nitro (old)",
H1491="€10(wx) new",
H1491="€20",
H1491="€25",
H1491="€25 (bf 01.08)",
H1491="€25 (bf 05.05)",
H1491="€25 (MP)",
H1491="€25 (old)",
H1491="€25 Nitro",
H1491="€25 Nitro (bf 01.08)",
H1491="€25 Nitro (bf 05.05)",
H1491="€25(nitro) new",
H1491="€25(wx) new",
H1491="€50",
H1491="€50 (bf 01.08)",
H1491="€50 (bf 05.05)",
H1491="€50 (old)",
H1491="€50 Nitro",
H1491="€50 Nitro (bf 01.08)",
H1491="€50 Nitro (bf 05.05)",
H1491="€50(wx) new",
H1491="€100",
H1491="€100 (old)",
H1491="€100 Nitro",
H1491="€100 Nitro (old)",
H1491="€200",
H1491="€250",
H1491="€250 Nitro",
H1491="€500",
H1491="€500 Nitro"),"EUR", "USD")</f>
        <v>USD</v>
      </c>
      <c r="AE1491" s="83" t="s">
        <v>38</v>
      </c>
      <c r="AF1491" s="83" t="str">
        <f t="array" ref="AF1491">INDEX('Deal Info'!D:D, MATCH(A1491,'Deal Info'!A:A, 0))</f>
        <v>DoEVold</v>
      </c>
      <c r="AG1491" s="84" t="str">
        <f t="array" ref="AG1491">INDEX('Deal Info'!G:G, MATCH(A1491,'Deal Info'!A:A, 0))</f>
        <v>None</v>
      </c>
    </row>
    <row r="1492" spans="1:33" ht="14.25" x14ac:dyDescent="0.2">
      <c r="A1492" s="18" t="str">
        <f t="array" ref="A1492">IF(G1492='Room Info'!$B$1, INDEX('Room Info'!$A$2:$A2446, MATCH(B1492,'Room Info'!$B$2:$B2446, 0)),IF(G1492='Room Info'!$C$1, INDEX('Room Info'!$A$2:$A2446, MATCH(B1492,'Room Info'!$C$2:$C2446, 0)),IF(G1492='Room Info'!$D$1, INDEX('Room Info'!$A$2:$A2446, MATCH(B1492,'Room Info'!$D$2:$D2446, 0)),IF(G1492='Room Info'!$E$1, INDEX('Room Info'!$A$2:$A2446, MATCH(B1492,'Room Info'!$E$2:$E2446, 0)),IF(G1492='Room Info'!$F$1, INDEX('Room Info'!$A$2:$A2446, MATCH(B1492,'Room Info'!$F$2:$F2446, 0)),IF(G1492='Room Info'!$H$1, INDEX('Room Info'!$A$2:$A2446, MATCH(B1492,'Room Info'!$H$2:$H2446, 0)),IF(G1492='Room Info'!$G$1, INDEX('Room Info'!$A$2:$A2446, MATCH(B1492,'Room Info'!$G$2:$G2446, 0)))))))))</f>
        <v>Mackevgen</v>
      </c>
      <c r="B1492" s="45" t="s">
        <v>127</v>
      </c>
      <c r="C1492" s="46">
        <v>44958</v>
      </c>
      <c r="D1492" s="46">
        <v>44985</v>
      </c>
      <c r="E1492" s="90">
        <v>44958</v>
      </c>
      <c r="F1492" s="129" t="s">
        <v>49</v>
      </c>
      <c r="G1492" s="65" t="s">
        <v>61</v>
      </c>
      <c r="H1492" s="49" t="s">
        <v>167</v>
      </c>
      <c r="I1492" s="100" t="s">
        <v>101</v>
      </c>
      <c r="J1492" s="154">
        <v>25</v>
      </c>
      <c r="K1492" s="123">
        <v>368</v>
      </c>
      <c r="L1492" s="52">
        <v>649</v>
      </c>
      <c r="M1492" s="53"/>
      <c r="N1492" s="28">
        <f>K1492*J1492</f>
        <v>9200</v>
      </c>
      <c r="O1492" s="54">
        <v>23096</v>
      </c>
      <c r="P1492" s="29">
        <v>62.760869569999997</v>
      </c>
      <c r="Q1492" s="55"/>
      <c r="R1492" s="31">
        <f>M1492+Q1492*J1492*K1492*0.07</f>
        <v>0</v>
      </c>
      <c r="S1492" s="56">
        <v>328</v>
      </c>
      <c r="T1492" s="32">
        <f>IF(AND(AD1492="EUR", F1492="Without EV deal"), R1492 + L1492,
IF(AND(AD1492="USD", F1492="Without EV deal"), R1492 + L1492,
IF(AND(AD1492="EUR", F1492="Steel Phoenix"), R1492 + S1492/U1492,
R1492 + S1492)))</f>
        <v>328</v>
      </c>
      <c r="U1492" s="57">
        <v>1.0617000000000001</v>
      </c>
      <c r="V1492" s="58">
        <v>12.92317708</v>
      </c>
      <c r="W1492" s="58">
        <v>568.14976320000005</v>
      </c>
      <c r="X1492" s="30">
        <f>IF(AF1492="DoEV",IF(AND(V1492&lt;20,W1492&lt;55),0.3,0)+IF(AND(V1492&lt;20,W1492&gt;=55,W1492&lt;105),0.23,0)+IF(AND(V1492&lt;20,W1492&gt;=105),0.17,0)+IF(AND(V1492&gt;=20,V1492&lt;40,W1492&lt;45),0.3,0)+IF(AND(V1492&gt;=20,V1492&lt;40,W1492&gt;=45,W1492&lt;95),0.23,0)+IF(AND(V1492&gt;=20,V1492&lt;40,W1492&gt;=95),0.17,0)+IF(AND(V1492&gt;=40,V1492&lt;75,W1492&lt;35),0.3,0)+IF(AND(V1492&gt;=40,V1492&lt;75,W1492&gt;=35,W1492&lt;75),0.23,0)+IF(AND(V1492&gt;=40,V1492&lt;75,W1492&gt;=75,W1492&lt;120),0.17,0)+IF(AND(V1492&gt;=40,V1492&lt;75,W1492&gt;=120),0.12,0)+IF(AND(V1492&gt;=75,V1492&lt;175,W1492&lt;35),0.3,0)+IF(AND(V1492&gt;=75,V1492&lt;=175,W1492&gt;=35,W1492&lt;65),0.23,0)+IF(AND(V1492&gt;=75,V1492&lt;=175,W1492&gt;=65,W1492&lt;110),0.17,0)+IF(AND(V1492&gt;=75,V1492&lt;=175,W1492&gt;=110),0.12,0)+IF(AND(V1492&gt;175,W1492&lt;25),0.3,0)+IF(AND(V1492&gt;175,W1492&gt;=25,W1492&lt;55),0.23,0)+IF(AND(V1492&gt;175,W1492&gt;=55,W1492&lt;95),0.17,0)+IF(AND(V1492&gt;175,W1492&gt;=95),0.12,0),
IF(AF1492="Fix15",0.15,
IF(AF1492="Fix5",0.05,
IF(AF1492="Fix18.75",0.1875,
IF(AF1492="Fix11.25",0.1125,
IF(AF1492="Fix10",0.1,
IF(AF1492="Fix9",0.09,
IF(AF1492="Fix12",0.12,
IF(AF1492="Fix19",0.19,
IF(AF1492="DoEV2017",IF(AND(W1492&lt;74),0.2,0)+IF(AND(W1492&gt;=74),0.17,0),
IF(AF1492="SF",IF(AND(V1492&lt;20,W1492&lt;89),0.3,0)+IF(AND(V1492&lt;20,W1492&gt;=89),0.25,0)+IF(AND(V1492&gt;=20,V1492&lt;40,W1492&lt;74),0.3,0)+IF(AND(V1492&gt;=20,V1492&lt;40,W1492&gt;=75),0.22,0)+IF(AND(V1492&gt;=40,V1492&lt;75,W1492&lt;75),0.26,0)+IF(AND(V1492&gt;=40,V1492&lt;75,W1492&gt;=75),0.22,0)+IF(V1492&gt;=75,0.22,0),
IF(AF1492="DoEVold",IF(AND(V1492&lt;40,W1492&lt;35),0.35,0)+IF(AND(V1492&lt;40,W1492&gt;=35,W1492&lt;75),0.25,0)+IF(AND(V1492&lt;40,W1492&gt;=75),0.17,0)+IF(AND(V1492&gt;=40,V1492&lt;75,W1492&lt;25),0.35,0)+IF(AND(V1492&gt;=40,V1492&lt;75,W1492&gt;=25,W1492&lt;65),0.25,0)+IF(AND(V1492&gt;=40,V1492&lt;75,W1492&gt;=65,W1492&lt;100),0.17,0)+IF(AND(V1492&gt;=40,V1492&lt;75,W1492&gt;=100),0.1,0)+IF(AND(V1492&gt;=75,W1492&lt;25),0.35,0)+IF(AND(V1492&gt;=75,W1492&gt;=25,W1492&lt;60),0.25,0)+IF(AND(V1492&gt;=75,W1492&gt;=60,W1492&lt;95),0.17,0)+IF(AND(V1492&gt;=75,W1492&gt;=95),0.1,0),
IF(AF1492="DoEVold15",IF(AND(V1492&lt;=40,W1492&lt;35),0.35,0)+IF(AND(V1492&lt;=40,W1492&gt;=35,W1492&lt;75),0.25,0)+IF(AND(V1492&lt;=40,W1492&gt;=75,W1492&lt;120),0.17,0)+IF(AND(V1492&lt;=40,W1492&gt;=120),0.15,0)+IF(AND(V1492&gt;40,V1492&lt;75,W1492&lt;25),0.35,0)+IF(AND(V1492&gt;=40,V1492&lt;75,W1492&gt;=25,W1492&lt;65),0.25,0)+IF(AND(V1492&gt;=40,V1492&lt;75,W1492&gt;=65,W1492&lt;100),0.17,0)+IF(AND(V1492&gt;=40,V1492&lt;75,W1492&gt;=100),0.1,0)+IF(AND(V1492&gt;=75,W1492&lt;25),0.35,0)+IF(AND(V1492&gt;=75,W1492&gt;=25,W1492&lt;60),0.25,0)+IF(AND(V1492&gt;=75,W1492&gt;=60,W1492&lt;95),0.17,0)+IF(AND(V1492&gt;=75,W1492&gt;=95),0.1,0),
IF(AF1492="DoEVba",IF(AND(V1492&lt;20,W1492&lt;105),0.2,0)+IF(AND(V1492&lt;20,W1492&gt;=105),0.15,0)+IF(AND(V1492&gt;=20,V1492&lt;40,W1492&lt;95),0.2,0)+IF(AND(V1492&gt;=20,V1492&lt;40,W1492&gt;=95,W1492&lt;150),0.15,0)+IF(AND(V1492&gt;=20,V1492&lt;40,W1492&gt;=150),0.12,0)+IF(AND(V1492&gt;=40,V1492&lt;75,W1492&lt;75),0.2,0)+IF(AND(V1492&gt;=40,V1492&lt;75,W1492&gt;=75,W1492&lt;120),0.15,0)+IF(AND(V1492&gt;=40,V1492&lt;75,W1492&gt;=120),0.12,0)+IF(AND(V1492&gt;=75,V1492&lt;175,W1492&lt;65),0.2,0)+IF(AND(V1492&gt;=75,V1492&lt;175,W1492&gt;=65,W1492&lt;110),0.15,0)+IF(AND(V1492&gt;=75,V1492&lt;175,W1492&gt;=110),0.12,0)+IF(AND(V1492&gt;=175,W1492&lt;55),0.2,0)+IF(AND(V1492&gt;=175,W1492&gt;=55,W1492&lt;95),0.15,0)+IF(AND(V1492&gt;=175,W1492&gt;=95),0.12,0),
IF(AF1492="DoEVku",IF(AND(V1492&lt;20,W1492&lt;55),0.23,0)+IF(AND(V1492&lt;20,W1492&gt;=55,W1492&lt;105),0.2,0)+IF(AND(V1492&lt;20,W1492&gt;=105),0.17,0)+IF(AND(V1492&gt;=20,V1492&lt;40,W1492&lt;45),0.23,0)+IF(AND(V1492&gt;=20,V1492&lt;40,W1492&gt;=45,W1492&lt;95),0.2,0)+IF(AND(V1492&gt;=20,V1492&lt;40,W1492&gt;=95,W1492&lt;=150),0.17,0)+IF(AND(V1492&gt;=20,V1492&lt;40,W1492&gt;=150),0.12,0)+IF(AND(V1492&gt;=40,V1492&lt;75,W1492&lt;35),0.23,0)+IF(AND(V1492&gt;=40,V1492&lt;75,W1492&gt;=35,W1492&lt;75),0.2,0)+IF(AND(V1492&gt;=40,V1492&lt;75,W1492&gt;=75,W1492&lt;120),0.17,0)+IF(AND(V1492&gt;=40,V1492&lt;75,W1492&gt;=120),0.12,0)+IF(AND(V1492&gt;=75,V1492&lt;175,W1492&lt;35),0.23,0)+IF(AND(V1492&gt;=75,V1492&lt;=175,W1492&gt;=35,W1492&lt;65),0.2,0)+IF(AND(V1492&gt;=75,V1492&lt;=175,W1492&gt;=65,W1492&lt;110),0.17,0)+IF(AND(V1492&gt;=75,V1492&lt;=175,W1492&gt;=110),0.12,0)+IF(AND(V1492&gt;175,W1492&lt;25),0.23,0)+IF(AND(V1492&gt;175,W1492&gt;=25,W1492&lt;55),0.2,0)+IF(AND(V1492&gt;175,W1492&gt;=55,W1492&lt;95),0.17,0)+IF(AND(V1492&gt;175,W1492&gt;=95),0.12,0),
IF(AF1492="DoEVs1",IF(AND(V1492&lt;20,W1492&lt;55),0.3,0)+IF(AND(V1492&lt;20,W1492&gt;=55,W1492&lt;105),0.23,0)+IF(AND(V1492&lt;20,W1492&gt;=105),0.17,0)+IF(AND(V1492&gt;=20,V1492&lt;40,W1492&lt;45),0.3,0)+IF(AND(V1492&gt;=20,V1492&lt;40,W1492&gt;=45,W1492&lt;95),0.23,0)+IF(AND(V1492&gt;=20,V1492&lt;40,W1492&gt;=95,W1492&lt;=150),0.17,0)+IF(AND(V1492&gt;=20,V1492&lt;40,W1492&gt;=150),0.12,0)+IF(AND(V1492&gt;=40,V1492&lt;75,W1492&lt;35),0.3,0)+IF(AND(V1492&gt;=40,V1492&lt;75,W1492&gt;=35,W1492&lt;75),0.23,0)+IF(AND(V1492&gt;=40,V1492&lt;75,W1492&gt;=75,W1492&lt;120),0.17,0)+IF(AND(V1492&gt;=40,V1492&lt;75,W1492&gt;=120),0.12,0)+IF(AND(V1492&gt;=75,V1492&lt;175,W1492&lt;35),0.3,0)+IF(AND(V1492&gt;=75,V1492&lt;=175,W1492&gt;=35,W1492&lt;65),0.23,0)+IF(AND(V1492&gt;=75,V1492&lt;=175,W1492&gt;=65,W1492&lt;110),0.17,0)+IF(AND(V1492&gt;=75,V1492&lt;=175,W1492&gt;=110),0.12,0)+IF(AND(V1492&gt;175,W1492&lt;25),0.3,0)+IF(AND(V1492&gt;175,W1492&gt;=25,W1492&lt;55),0.23,0)+IF(AND(V1492&gt;175,W1492&gt;=55,W1492&lt;95),0.17,0)+IF(AND(V1492&gt;175,W1492&gt;=95),0.12,0),
IF(AF1492="DoEVsu",IF(AND(V1492&lt;20,W1492&lt;55),0.3,0)+IF(AND(V1492&lt;20,W1492&gt;=55,W1492&lt;105),0.23,0)+IF(AND(V1492&lt;20,W1492&gt;=105),0.17,0)+IF(AND(V1492&gt;=20,V1492&lt;40,W1492&lt;45),0.3,0)+IF(AND(V1492&gt;=20,V1492&lt;40,W1492&gt;=45,W1492&lt;95),0.23,0)+IF(AND(V1492&gt;=20,V1492&lt;40,W1492&gt;=95,W1492&lt;=250),0.17,0)+IF(AND(V1492&gt;=20,V1492&lt;40,W1492&gt;=250),0.12,0)+IF(AND(V1492&gt;=40,V1492&lt;75,W1492&lt;35),0.3,0)+IF(AND(V1492&gt;=40,V1492&lt;75,W1492&gt;=35,W1492&lt;75),0.23,0)+IF(AND(V1492&gt;=40,V1492&lt;75,W1492&gt;=75,W1492&lt;120),0.17,0)+IF(AND(V1492&gt;=40,V1492&lt;75,W1492&gt;=120),0.12,0)+IF(AND(V1492&gt;=75,V1492&lt;175,W1492&lt;35),0.3,0)+IF(AND(V1492&gt;=75,V1492&lt;=175,W1492&gt;=35,W1492&lt;65),0.23,0)+IF(AND(V1492&gt;=75,V1492&lt;=175,W1492&gt;=65,W1492&lt;110),0.17,0)+IF(AND(V1492&gt;=75,V1492&lt;=175,W1492&gt;=110),0.12,0)+IF(AND(V1492&gt;175,W1492&lt;25),0.3,0)+IF(AND(V1492&gt;175,W1492&gt;=25,W1492&lt;55),0.23,0)+IF(AND(V1492&gt;175,W1492&gt;=55,W1492&lt;95),0.17,0)+IF(AND(V1492&gt;175,W1492&gt;=95),0.12,0),
IF(AF1492="DoEVni",IF(AND(V1492&lt;20,W1492&lt;55),0.3,0)+IF(AND(V1492&lt;20,W1492&gt;=55,W1492&lt;105),0.23,0)+IF(AND(V1492&lt;20,W1492&gt;=105),0.17,0)+IF(AND(V1492&gt;=20,V1492&lt;40,W1492&lt;45),0.3,0)+IF(AND(V1492&gt;=20,V1492&lt;40,W1492&gt;=45,W1492&lt;95),0.23,0)+IF(AND(V1492&gt;=20,V1492&lt;40,W1492&gt;=95,W1492&lt;=200),0.17,0)+IF(AND(V1492&gt;=20,V1492&lt;40,W1492&gt;=200),0.12,0)+IF(AND(V1492&gt;=40,V1492&lt;75,W1492&lt;35),0.3,0)+IF(AND(V1492&gt;=40,V1492&lt;75,W1492&gt;=35,W1492&lt;75),0.23,0)+IF(AND(V1492&gt;=40,V1492&lt;75,W1492&gt;=75,W1492&lt;120),0.17,0)+IF(AND(V1492&gt;=40,V1492&lt;75,W1492&gt;=120),0.12,0)+IF(AND(V1492&gt;=75,V1492&lt;175,W1492&lt;35),0.3,0)+IF(AND(V1492&gt;=75,V1492&lt;=175,W1492&gt;=35,W1492&lt;65),0.23,0)+IF(AND(V1492&gt;=75,V1492&lt;=175,W1492&gt;=65,W1492&lt;110),0.17,0)+IF(AND(V1492&gt;=75,V1492&lt;=175,W1492&gt;=110),0.12,0)+IF(AND(V1492&gt;175,W1492&lt;25),0.3,0)+IF(AND(V1492&gt;175,W1492&gt;=25,W1492&lt;55),0.23,0)+IF(AND(V1492&gt;175,W1492&gt;=55,W1492&lt;95),0.17,0)+IF(AND(V1492&gt;175,W1492&gt;=95),0.12,0),
IF(AF1492="DoEVLo",IF(AND(V1492&lt;20,W1492&lt;55),0.25,0)+IF(AND(V1492&lt;20,W1492&gt;=55,W1492&lt;105),0.2,0)+IF(AND(V1492&lt;20,W1492&gt;=105),0.15,0)+IF(AND(V1492&gt;=20,V1492&lt;40,W1492&lt;45),0.25,0)+IF(AND(V1492&gt;=20,V1492&lt;40,W1492&gt;=45,W1492&lt;95),0.2,0)+IF(AND(V1492&gt;=20,V1492&lt;40,W1492&gt;=95),0.15,0)+IF(AND(V1492&gt;=40,V1492&lt;75,W1492&lt;35),0.25,0)+IF(AND(V1492&gt;=40,V1492&lt;75,W1492&gt;=35,W1492&lt;75),0.2,0)+IF(AND(V1492&gt;=40,V1492&lt;75,W1492&gt;=75,W1492&lt;120),0.15,0)+IF(AND(V1492&gt;=40,V1492&lt;75,W1492&gt;=120),0.1,0)+IF(AND(V1492&gt;=75,V1492&lt;175,W1492&lt;35),0.25,0)+IF(AND(V1492&gt;=75,V1492&lt;=175,W1492&gt;=35,W1492&lt;65),0.2,0)+IF(AND(V1492&gt;=75,V1492&lt;=175,W1492&gt;=65,W1492&lt;110),0.15,0)+IF(AND(V1492&gt;=75,V1492&lt;=175,W1492&gt;=110),0.1,0)+IF(AND(V1492&gt;175,W1492&lt;25),0.25,0)+IF(AND(V1492&gt;175,W1492&gt;=25,W1492&lt;55),0.2,0)+IF(AND(V1492&gt;175,W1492&gt;=55,W1492&lt;95),0.15,0)+IF(AND(V1492&gt;175,W1492&gt;=95),0.1,0))))))))))))))))))))</f>
        <v>0.17</v>
      </c>
      <c r="Y1492" s="30">
        <f>IF(AG1492="None",0,IF(AG1492="Fix5",0.05, IF(AG1492="Fix6.25",0.0625,IF(AG1492="Fix3.75",0.0375, IF(AG1492="Fix11",0.11, IF(AG1492="Fix10",0.1,IF(AG1492="Fix3",0.03,0)))))))</f>
        <v>0</v>
      </c>
      <c r="Z1492" s="59">
        <f>IF(AND(AD1492="EUR", AE1492 = "USD"), T1492*U1492-AA1492-AB1492, T1492-AA1492-AB1492)</f>
        <v>272.24</v>
      </c>
      <c r="AA1492" s="60">
        <f>IF(AND(AD1492="EUR", F1492="Without EV deal", AE1492="USD"), (T1492*X1492)*U1492,
IF(AND(AD1492="EUR", F1492="Without EV deal", AE1492="EUR"), (T1492*X1492),
IF(AND(AD1492="EUR",AE1492="USD"), (T1492*X1492)*U1492,
T1492*X1492)))</f>
        <v>55.760000000000005</v>
      </c>
      <c r="AB1492" s="36">
        <f>IF(AND(AD1492="EUR", F1492="Without EV deal", AE1492="USD"), (T1492*Y1492)*U1492,
IF(AND(AD1492="EUR", F1492="Without EV deal", AE1492="EUR"), (T1492*Y1492),
IF(AND(AD1492="EUR",AE1492="USD"), (T1492*Y1492)*U1492,
T1492*Y1492)))</f>
        <v>0</v>
      </c>
      <c r="AC1492" s="37" t="b">
        <v>1</v>
      </c>
      <c r="AD1492" s="37" t="str">
        <f>IF(OR(H1492="€0.25 Flash",
H1492="€0.25(nitro) new",
H1492="€1",
H1492="€2",
H1492="€2 (bf 01.08)",
H1492="€5",
H1492="€5 (1M)",
H1492="€5 (bf 01.08)",
H1492="€5 (bf 05.05)",
H1492="€5 Nitro",
H1492="€5(wx) new",
H1492="€10",
H1492="€10 (1M)",
H1492="€10 (bf 01.08)",
H1492="€10 (bf 05.05)",
H1492="€10 (MP)",
H1492="€10 (old)",
H1492="€10 Nitro (bf 05.05)",
H1492="€10 Nitro (old)",
H1492="€10(wx) new",
H1492="€20",
H1492="€25",
H1492="€25 (bf 01.08)",
H1492="€25 (bf 05.05)",
H1492="€25 (MP)",
H1492="€25 (old)",
H1492="€25 Nitro",
H1492="€25 Nitro (bf 01.08)",
H1492="€25 Nitro (bf 05.05)",
H1492="€25(nitro) new",
H1492="€25(wx) new",
H1492="€50",
H1492="€50 (bf 01.08)",
H1492="€50 (bf 05.05)",
H1492="€50 (old)",
H1492="€50 Nitro",
H1492="€50 Nitro (bf 01.08)",
H1492="€50 Nitro (bf 05.05)",
H1492="€50(wx) new",
H1492="€100",
H1492="€100 (old)",
H1492="€100 Nitro",
H1492="€100 Nitro (old)",
H1492="€200",
H1492="€250",
H1492="€250 Nitro",
H1492="€500",
H1492="€500 Nitro"),"EUR", "USD")</f>
        <v>EUR</v>
      </c>
      <c r="AE1492" s="37" t="s">
        <v>50</v>
      </c>
      <c r="AF1492" s="37" t="str">
        <f t="array" ref="AF1492">INDEX('Deal Info'!D:D, MATCH(A1492,'Deal Info'!A:A, 0))</f>
        <v>DoEV</v>
      </c>
      <c r="AG1492" s="38" t="str">
        <f t="array" ref="AG1492">INDEX('Deal Info'!G:G, MATCH(A1492,'Deal Info'!A:A, 0))</f>
        <v>None</v>
      </c>
    </row>
    <row r="1493" spans="1:33" ht="14.25" hidden="1" x14ac:dyDescent="0.2">
      <c r="A1493" s="18" t="str">
        <f t="array" ref="A1493">IF(G1493='Room Info'!$B$1, INDEX('Room Info'!$A$2:$A2446, MATCH(B1493,'Room Info'!$B$2:$B2446, 0)),IF(G1493='Room Info'!$C$1, INDEX('Room Info'!$A$2:$A2446, MATCH(B1493,'Room Info'!$C$2:$C2446, 0)),IF(G1493='Room Info'!$D$1, INDEX('Room Info'!$A$2:$A2446, MATCH(B1493,'Room Info'!$D$2:$D2446, 0)),IF(G1493='Room Info'!$E$1, INDEX('Room Info'!$A$2:$A2446, MATCH(B1493,'Room Info'!$E$2:$E2446, 0)),IF(G1493='Room Info'!$F$1, INDEX('Room Info'!$A$2:$A2446, MATCH(B1493,'Room Info'!$F$2:$F2446, 0)),IF(G1493='Room Info'!$H$1, INDEX('Room Info'!$A$2:$A2446, MATCH(B1493,'Room Info'!$H$2:$H2446, 0)),IF(G1493='Room Info'!$G$1, INDEX('Room Info'!$A$2:$A2446, MATCH(B1493,'Room Info'!$G$2:$G2446, 0)))))))))</f>
        <v>prodoman</v>
      </c>
      <c r="B1493" s="96" t="s">
        <v>79</v>
      </c>
      <c r="C1493" s="77">
        <v>44958</v>
      </c>
      <c r="D1493" s="77">
        <v>44985</v>
      </c>
      <c r="E1493" s="21">
        <v>44958</v>
      </c>
      <c r="F1493" s="22" t="s">
        <v>41</v>
      </c>
      <c r="G1493" s="125" t="s">
        <v>80</v>
      </c>
      <c r="H1493" s="91" t="s">
        <v>71</v>
      </c>
      <c r="I1493" s="91" t="s">
        <v>81</v>
      </c>
      <c r="J1493" s="39">
        <v>20</v>
      </c>
      <c r="K1493" s="75">
        <v>3781</v>
      </c>
      <c r="L1493" s="72">
        <v>-2720</v>
      </c>
      <c r="M1493" s="79">
        <f>975+4755.47</f>
        <v>5730.47</v>
      </c>
      <c r="N1493" s="28">
        <f>K1493*J1493</f>
        <v>75620</v>
      </c>
      <c r="O1493" s="96"/>
      <c r="P1493" s="29">
        <v>0</v>
      </c>
      <c r="Q1493" s="55"/>
      <c r="R1493" s="31">
        <f>M1493+Q1493</f>
        <v>5730.47</v>
      </c>
      <c r="S1493" s="97"/>
      <c r="T1493" s="32">
        <f>IF(AND(AD1493="EUR", F1493="Without EV deal"), R1493 + L1493,
IF(AND(AD1493="USD", F1493="Without EV deal"), R1493 + L1493,
IF(AND(AD1493="EUR", F1493="Steel Phoenix"), R1493 + S1493/U1493,
R1493 + S1493)))</f>
        <v>3010.4700000000003</v>
      </c>
      <c r="U1493" s="57"/>
      <c r="V1493" s="58"/>
      <c r="W1493" s="58"/>
      <c r="X1493" s="30">
        <f>IF(AF1493="DoEV",IF(AND(V1493&lt;20,W1493&lt;55),0.3,0)+IF(AND(V1493&lt;20,W1493&gt;=55,W1493&lt;105),0.23,0)+IF(AND(V1493&lt;20,W1493&gt;=105),0.17,0)+IF(AND(V1493&gt;=20,V1493&lt;40,W1493&lt;45),0.3,0)+IF(AND(V1493&gt;=20,V1493&lt;40,W1493&gt;=45,W1493&lt;95),0.23,0)+IF(AND(V1493&gt;=20,V1493&lt;40,W1493&gt;=95),0.17,0)+IF(AND(V1493&gt;=40,V1493&lt;75,W1493&lt;35),0.3,0)+IF(AND(V1493&gt;=40,V1493&lt;75,W1493&gt;=35,W1493&lt;75),0.23,0)+IF(AND(V1493&gt;=40,V1493&lt;75,W1493&gt;=75,W1493&lt;120),0.17,0)+IF(AND(V1493&gt;=40,V1493&lt;75,W1493&gt;=120),0.12,0)+IF(AND(V1493&gt;=75,V1493&lt;175,W1493&lt;35),0.3,0)+IF(AND(V1493&gt;=75,V1493&lt;=175,W1493&gt;=35,W1493&lt;65),0.23,0)+IF(AND(V1493&gt;=75,V1493&lt;=175,W1493&gt;=65,W1493&lt;110),0.17,0)+IF(AND(V1493&gt;=75,V1493&lt;=175,W1493&gt;=110),0.12,0)+IF(AND(V1493&gt;175,W1493&lt;25),0.3,0)+IF(AND(V1493&gt;175,W1493&gt;=25,W1493&lt;55),0.23,0)+IF(AND(V1493&gt;175,W1493&gt;=55,W1493&lt;95),0.17,0)+IF(AND(V1493&gt;175,W1493&gt;=95),0.12,0),
IF(AF1493="Fix15",0.15,
IF(AF1493="Fix5",0.05,
IF(AF1493="Fix18.75",0.1875,
IF(AF1493="Fix11.25",0.1125,
IF(AF1493="Fix10",0.1,
IF(AF1493="Fix9",0.09,
IF(AF1493="Fix12",0.12,
IF(AF1493="Fix19",0.19,
IF(AF1493="DoEV2017",IF(AND(W1493&lt;74),0.2,0)+IF(AND(W1493&gt;=74),0.17,0),
IF(AF1493="SF",IF(AND(V1493&lt;20,W1493&lt;89),0.3,0)+IF(AND(V1493&lt;20,W1493&gt;=89),0.25,0)+IF(AND(V1493&gt;=20,V1493&lt;40,W1493&lt;74),0.3,0)+IF(AND(V1493&gt;=20,V1493&lt;40,W1493&gt;=75),0.22,0)+IF(AND(V1493&gt;=40,V1493&lt;75,W1493&lt;75),0.26,0)+IF(AND(V1493&gt;=40,V1493&lt;75,W1493&gt;=75),0.22,0)+IF(V1493&gt;=75,0.22,0),
IF(AF1493="DoEVold",IF(AND(V1493&lt;40,W1493&lt;35),0.35,0)+IF(AND(V1493&lt;40,W1493&gt;=35,W1493&lt;75),0.25,0)+IF(AND(V1493&lt;40,W1493&gt;=75),0.17,0)+IF(AND(V1493&gt;=40,V1493&lt;75,W1493&lt;25),0.35,0)+IF(AND(V1493&gt;=40,V1493&lt;75,W1493&gt;=25,W1493&lt;65),0.25,0)+IF(AND(V1493&gt;=40,V1493&lt;75,W1493&gt;=65,W1493&lt;100),0.17,0)+IF(AND(V1493&gt;=40,V1493&lt;75,W1493&gt;=100),0.1,0)+IF(AND(V1493&gt;=75,W1493&lt;25),0.35,0)+IF(AND(V1493&gt;=75,W1493&gt;=25,W1493&lt;60),0.25,0)+IF(AND(V1493&gt;=75,W1493&gt;=60,W1493&lt;95),0.17,0)+IF(AND(V1493&gt;=75,W1493&gt;=95),0.1,0),
IF(AF1493="DoEVold15",IF(AND(V1493&lt;=40,W1493&lt;35),0.35,0)+IF(AND(V1493&lt;=40,W1493&gt;=35,W1493&lt;75),0.25,0)+IF(AND(V1493&lt;=40,W1493&gt;=75,W1493&lt;120),0.17,0)+IF(AND(V1493&lt;=40,W1493&gt;=120),0.15,0)+IF(AND(V1493&gt;40,V1493&lt;75,W1493&lt;25),0.35,0)+IF(AND(V1493&gt;=40,V1493&lt;75,W1493&gt;=25,W1493&lt;65),0.25,0)+IF(AND(V1493&gt;=40,V1493&lt;75,W1493&gt;=65,W1493&lt;100),0.17,0)+IF(AND(V1493&gt;=40,V1493&lt;75,W1493&gt;=100),0.1,0)+IF(AND(V1493&gt;=75,W1493&lt;25),0.35,0)+IF(AND(V1493&gt;=75,W1493&gt;=25,W1493&lt;60),0.25,0)+IF(AND(V1493&gt;=75,W1493&gt;=60,W1493&lt;95),0.17,0)+IF(AND(V1493&gt;=75,W1493&gt;=95),0.1,0),
IF(AF1493="DoEVba",IF(AND(V1493&lt;20,W1493&lt;105),0.2,0)+IF(AND(V1493&lt;20,W1493&gt;=105),0.15,0)+IF(AND(V1493&gt;=20,V1493&lt;40,W1493&lt;95),0.2,0)+IF(AND(V1493&gt;=20,V1493&lt;40,W1493&gt;=95,W1493&lt;150),0.15,0)+IF(AND(V1493&gt;=20,V1493&lt;40,W1493&gt;=150),0.12,0)+IF(AND(V1493&gt;=40,V1493&lt;75,W1493&lt;75),0.2,0)+IF(AND(V1493&gt;=40,V1493&lt;75,W1493&gt;=75,W1493&lt;120),0.15,0)+IF(AND(V1493&gt;=40,V1493&lt;75,W1493&gt;=120),0.12,0)+IF(AND(V1493&gt;=75,V1493&lt;175,W1493&lt;65),0.2,0)+IF(AND(V1493&gt;=75,V1493&lt;175,W1493&gt;=65,W1493&lt;110),0.15,0)+IF(AND(V1493&gt;=75,V1493&lt;175,W1493&gt;=110),0.12,0)+IF(AND(V1493&gt;=175,W1493&lt;55),0.2,0)+IF(AND(V1493&gt;=175,W1493&gt;=55,W1493&lt;95),0.15,0)+IF(AND(V1493&gt;=175,W1493&gt;=95),0.12,0),
IF(AF1493="DoEVku",IF(AND(V1493&lt;20,W1493&lt;55),0.23,0)+IF(AND(V1493&lt;20,W1493&gt;=55,W1493&lt;105),0.2,0)+IF(AND(V1493&lt;20,W1493&gt;=105),0.17,0)+IF(AND(V1493&gt;=20,V1493&lt;40,W1493&lt;45),0.23,0)+IF(AND(V1493&gt;=20,V1493&lt;40,W1493&gt;=45,W1493&lt;95),0.2,0)+IF(AND(V1493&gt;=20,V1493&lt;40,W1493&gt;=95,W1493&lt;=150),0.17,0)+IF(AND(V1493&gt;=20,V1493&lt;40,W1493&gt;=150),0.12,0)+IF(AND(V1493&gt;=40,V1493&lt;75,W1493&lt;35),0.23,0)+IF(AND(V1493&gt;=40,V1493&lt;75,W1493&gt;=35,W1493&lt;75),0.2,0)+IF(AND(V1493&gt;=40,V1493&lt;75,W1493&gt;=75,W1493&lt;120),0.17,0)+IF(AND(V1493&gt;=40,V1493&lt;75,W1493&gt;=120),0.12,0)+IF(AND(V1493&gt;=75,V1493&lt;175,W1493&lt;35),0.23,0)+IF(AND(V1493&gt;=75,V1493&lt;=175,W1493&gt;=35,W1493&lt;65),0.2,0)+IF(AND(V1493&gt;=75,V1493&lt;=175,W1493&gt;=65,W1493&lt;110),0.17,0)+IF(AND(V1493&gt;=75,V1493&lt;=175,W1493&gt;=110),0.12,0)+IF(AND(V1493&gt;175,W1493&lt;25),0.23,0)+IF(AND(V1493&gt;175,W1493&gt;=25,W1493&lt;55),0.2,0)+IF(AND(V1493&gt;175,W1493&gt;=55,W1493&lt;95),0.17,0)+IF(AND(V1493&gt;175,W1493&gt;=95),0.12,0),
IF(AF1493="DoEVs1",IF(AND(V1493&lt;20,W1493&lt;55),0.3,0)+IF(AND(V1493&lt;20,W1493&gt;=55,W1493&lt;105),0.23,0)+IF(AND(V1493&lt;20,W1493&gt;=105),0.17,0)+IF(AND(V1493&gt;=20,V1493&lt;40,W1493&lt;45),0.3,0)+IF(AND(V1493&gt;=20,V1493&lt;40,W1493&gt;=45,W1493&lt;95),0.23,0)+IF(AND(V1493&gt;=20,V1493&lt;40,W1493&gt;=95,W1493&lt;=150),0.17,0)+IF(AND(V1493&gt;=20,V1493&lt;40,W1493&gt;=150),0.12,0)+IF(AND(V1493&gt;=40,V1493&lt;75,W1493&lt;35),0.3,0)+IF(AND(V1493&gt;=40,V1493&lt;75,W1493&gt;=35,W1493&lt;75),0.23,0)+IF(AND(V1493&gt;=40,V1493&lt;75,W1493&gt;=75,W1493&lt;120),0.17,0)+IF(AND(V1493&gt;=40,V1493&lt;75,W1493&gt;=120),0.12,0)+IF(AND(V1493&gt;=75,V1493&lt;175,W1493&lt;35),0.3,0)+IF(AND(V1493&gt;=75,V1493&lt;=175,W1493&gt;=35,W1493&lt;65),0.23,0)+IF(AND(V1493&gt;=75,V1493&lt;=175,W1493&gt;=65,W1493&lt;110),0.17,0)+IF(AND(V1493&gt;=75,V1493&lt;=175,W1493&gt;=110),0.12,0)+IF(AND(V1493&gt;175,W1493&lt;25),0.3,0)+IF(AND(V1493&gt;175,W1493&gt;=25,W1493&lt;55),0.23,0)+IF(AND(V1493&gt;175,W1493&gt;=55,W1493&lt;95),0.17,0)+IF(AND(V1493&gt;175,W1493&gt;=95),0.12,0),
IF(AF1493="DoEVsu",IF(AND(V1493&lt;20,W1493&lt;55),0.3,0)+IF(AND(V1493&lt;20,W1493&gt;=55,W1493&lt;105),0.23,0)+IF(AND(V1493&lt;20,W1493&gt;=105),0.17,0)+IF(AND(V1493&gt;=20,V1493&lt;40,W1493&lt;45),0.3,0)+IF(AND(V1493&gt;=20,V1493&lt;40,W1493&gt;=45,W1493&lt;95),0.23,0)+IF(AND(V1493&gt;=20,V1493&lt;40,W1493&gt;=95,W1493&lt;=250),0.17,0)+IF(AND(V1493&gt;=20,V1493&lt;40,W1493&gt;=250),0.12,0)+IF(AND(V1493&gt;=40,V1493&lt;75,W1493&lt;35),0.3,0)+IF(AND(V1493&gt;=40,V1493&lt;75,W1493&gt;=35,W1493&lt;75),0.23,0)+IF(AND(V1493&gt;=40,V1493&lt;75,W1493&gt;=75,W1493&lt;120),0.17,0)+IF(AND(V1493&gt;=40,V1493&lt;75,W1493&gt;=120),0.12,0)+IF(AND(V1493&gt;=75,V1493&lt;175,W1493&lt;35),0.3,0)+IF(AND(V1493&gt;=75,V1493&lt;=175,W1493&gt;=35,W1493&lt;65),0.23,0)+IF(AND(V1493&gt;=75,V1493&lt;=175,W1493&gt;=65,W1493&lt;110),0.17,0)+IF(AND(V1493&gt;=75,V1493&lt;=175,W1493&gt;=110),0.12,0)+IF(AND(V1493&gt;175,W1493&lt;25),0.3,0)+IF(AND(V1493&gt;175,W1493&gt;=25,W1493&lt;55),0.23,0)+IF(AND(V1493&gt;175,W1493&gt;=55,W1493&lt;95),0.17,0)+IF(AND(V1493&gt;175,W1493&gt;=95),0.12,0),
IF(AF1493="DoEVni",IF(AND(V1493&lt;20,W1493&lt;55),0.3,0)+IF(AND(V1493&lt;20,W1493&gt;=55,W1493&lt;105),0.23,0)+IF(AND(V1493&lt;20,W1493&gt;=105),0.17,0)+IF(AND(V1493&gt;=20,V1493&lt;40,W1493&lt;45),0.3,0)+IF(AND(V1493&gt;=20,V1493&lt;40,W1493&gt;=45,W1493&lt;95),0.23,0)+IF(AND(V1493&gt;=20,V1493&lt;40,W1493&gt;=95,W1493&lt;=200),0.17,0)+IF(AND(V1493&gt;=20,V1493&lt;40,W1493&gt;=200),0.12,0)+IF(AND(V1493&gt;=40,V1493&lt;75,W1493&lt;35),0.3,0)+IF(AND(V1493&gt;=40,V1493&lt;75,W1493&gt;=35,W1493&lt;75),0.23,0)+IF(AND(V1493&gt;=40,V1493&lt;75,W1493&gt;=75,W1493&lt;120),0.17,0)+IF(AND(V1493&gt;=40,V1493&lt;75,W1493&gt;=120),0.12,0)+IF(AND(V1493&gt;=75,V1493&lt;175,W1493&lt;35),0.3,0)+IF(AND(V1493&gt;=75,V1493&lt;=175,W1493&gt;=35,W1493&lt;65),0.23,0)+IF(AND(V1493&gt;=75,V1493&lt;=175,W1493&gt;=65,W1493&lt;110),0.17,0)+IF(AND(V1493&gt;=75,V1493&lt;=175,W1493&gt;=110),0.12,0)+IF(AND(V1493&gt;175,W1493&lt;25),0.3,0)+IF(AND(V1493&gt;175,W1493&gt;=25,W1493&lt;55),0.23,0)+IF(AND(V1493&gt;175,W1493&gt;=55,W1493&lt;95),0.17,0)+IF(AND(V1493&gt;175,W1493&gt;=95),0.12,0),
IF(AF1493="DoEVLo",IF(AND(V1493&lt;20,W1493&lt;55),0.25,0)+IF(AND(V1493&lt;20,W1493&gt;=55,W1493&lt;105),0.2,0)+IF(AND(V1493&lt;20,W1493&gt;=105),0.15,0)+IF(AND(V1493&gt;=20,V1493&lt;40,W1493&lt;45),0.25,0)+IF(AND(V1493&gt;=20,V1493&lt;40,W1493&gt;=45,W1493&lt;95),0.2,0)+IF(AND(V1493&gt;=20,V1493&lt;40,W1493&gt;=95),0.15,0)+IF(AND(V1493&gt;=40,V1493&lt;75,W1493&lt;35),0.25,0)+IF(AND(V1493&gt;=40,V1493&lt;75,W1493&gt;=35,W1493&lt;75),0.2,0)+IF(AND(V1493&gt;=40,V1493&lt;75,W1493&gt;=75,W1493&lt;120),0.15,0)+IF(AND(V1493&gt;=40,V1493&lt;75,W1493&gt;=120),0.1,0)+IF(AND(V1493&gt;=75,V1493&lt;175,W1493&lt;35),0.25,0)+IF(AND(V1493&gt;=75,V1493&lt;=175,W1493&gt;=35,W1493&lt;65),0.2,0)+IF(AND(V1493&gt;=75,V1493&lt;=175,W1493&gt;=65,W1493&lt;110),0.15,0)+IF(AND(V1493&gt;=75,V1493&lt;=175,W1493&gt;=110),0.1,0)+IF(AND(V1493&gt;175,W1493&lt;25),0.25,0)+IF(AND(V1493&gt;175,W1493&gt;=25,W1493&lt;55),0.2,0)+IF(AND(V1493&gt;175,W1493&gt;=55,W1493&lt;95),0.15,0)+IF(AND(V1493&gt;175,W1493&gt;=95),0.1,0))))))))))))))))))))</f>
        <v>0.3</v>
      </c>
      <c r="Y1493" s="30">
        <f>IF(AG1493="None",0,IF(AG1493="Fix5",0.05, IF(AG1493="Fix6.25",0.0625,IF(AG1493="Fix3.75",0.0375, IF(AG1493="Fix11",0.11, IF(AG1493="Fix10",0.1,IF(AG1493="Fix3",0.03,0)))))))</f>
        <v>0</v>
      </c>
      <c r="Z1493" s="35">
        <f>IF(AND(AD1493="EUR", AE1493 = "USD"), T1493*U1493-AA1493-AB1493, T1493-AA1493-AB1493)</f>
        <v>2107.3290000000002</v>
      </c>
      <c r="AA1493" s="29">
        <f>IF(AND(AD1493="EUR", F1493="Without EV deal", AE1493="USD"), (T1493*X1493)*U1493,
IF(AND(AD1493="EUR", F1493="Without EV deal", AE1493="EUR"), (T1493*X1493),
IF(AND(AD1493="EUR",AE1493="USD"), (T1493*X1493)*U1493,
T1493*X1493)))</f>
        <v>903.14100000000008</v>
      </c>
      <c r="AB1493" s="36">
        <f>IF(AND(AD1493="EUR", F1493="Without EV deal", AE1493="USD"), (T1493*Y1493)*U1493,
IF(AND(AD1493="EUR", F1493="Without EV deal", AE1493="EUR"), (T1493*Y1493),
IF(AND(AD1493="EUR",AE1493="USD"), (T1493*Y1493)*U1493,
T1493*Y1493)))</f>
        <v>0</v>
      </c>
      <c r="AC1493" s="37" t="b">
        <v>0</v>
      </c>
      <c r="AD1493" s="82" t="str">
        <f>IF(OR(H1493="€0.25 Flash",
H1493="€0.25(nitro) new",
H1493="€1",
H1493="€2",
H1493="€2 (bf 01.08)",
H1493="€5",
H1493="€5 (1M)",
H1493="€5 (bf 01.08)",
H1493="€5 (bf 05.05)",
H1493="€5 Nitro",
H1493="€5(wx) new",
H1493="€10",
H1493="€10 (1M)",
H1493="€10 (bf 01.08)",
H1493="€10 (bf 05.05)",
H1493="€10 (MP)",
H1493="€10 (old)",
H1493="€10 Nitro (bf 05.05)",
H1493="€10 Nitro (old)",
H1493="€10(wx) new",
H1493="€20",
H1493="€25",
H1493="€25 (bf 01.08)",
H1493="€25 (bf 05.05)",
H1493="€25 (MP)",
H1493="€25 (old)",
H1493="€25 Nitro",
H1493="€25 Nitro (bf 01.08)",
H1493="€25 Nitro (bf 05.05)",
H1493="€25(nitro) new",
H1493="€25(wx) new",
H1493="€50",
H1493="€50 (bf 01.08)",
H1493="€50 (bf 05.05)",
H1493="€50 (old)",
H1493="€50 Nitro",
H1493="€50 Nitro (bf 01.08)",
H1493="€50 Nitro (bf 05.05)",
H1493="€50(wx) new",
H1493="€100",
H1493="€100 (old)",
H1493="€100 Nitro",
H1493="€100 Nitro (old)",
H1493="€200",
H1493="€250",
H1493="€250 Nitro",
H1493="€500",
H1493="€500 Nitro"),"EUR", "USD")</f>
        <v>USD</v>
      </c>
      <c r="AE1493" s="83" t="s">
        <v>38</v>
      </c>
      <c r="AF1493" s="83" t="str">
        <f t="array" ref="AF1493">INDEX('Deal Info'!D:D, MATCH(A1493,'Deal Info'!A:A, 0))</f>
        <v>DoEV</v>
      </c>
      <c r="AG1493" s="84" t="str">
        <f t="array" ref="AG1493">INDEX('Deal Info'!G:G, MATCH(A1493,'Deal Info'!A:A, 0))</f>
        <v>None</v>
      </c>
    </row>
    <row r="1494" spans="1:33" ht="14.25" hidden="1" x14ac:dyDescent="0.2">
      <c r="A1494" s="18" t="str">
        <f t="array" ref="A1494">IF(G1494='Room Info'!$B$1, INDEX('Room Info'!$A$2:$A2446, MATCH(B1494,'Room Info'!$B$2:$B2446, 0)),IF(G1494='Room Info'!$C$1, INDEX('Room Info'!$A$2:$A2446, MATCH(B1494,'Room Info'!$C$2:$C2446, 0)),IF(G1494='Room Info'!$D$1, INDEX('Room Info'!$A$2:$A2446, MATCH(B1494,'Room Info'!$D$2:$D2446, 0)),IF(G1494='Room Info'!$E$1, INDEX('Room Info'!$A$2:$A2446, MATCH(B1494,'Room Info'!$E$2:$E2446, 0)),IF(G1494='Room Info'!$F$1, INDEX('Room Info'!$A$2:$A2446, MATCH(B1494,'Room Info'!$F$2:$F2446, 0)),IF(G1494='Room Info'!$H$1, INDEX('Room Info'!$A$2:$A2446, MATCH(B1494,'Room Info'!$H$2:$H2446, 0)),IF(G1494='Room Info'!$G$1, INDEX('Room Info'!$A$2:$A2446, MATCH(B1494,'Room Info'!$G$2:$G2446, 0)))))))))</f>
        <v>prodoman</v>
      </c>
      <c r="B1494" s="96" t="s">
        <v>79</v>
      </c>
      <c r="C1494" s="77">
        <v>44958</v>
      </c>
      <c r="D1494" s="77">
        <v>44985</v>
      </c>
      <c r="E1494" s="21">
        <v>44958</v>
      </c>
      <c r="F1494" s="22" t="s">
        <v>41</v>
      </c>
      <c r="G1494" s="125" t="s">
        <v>80</v>
      </c>
      <c r="H1494" s="91" t="s">
        <v>72</v>
      </c>
      <c r="I1494" s="91" t="s">
        <v>81</v>
      </c>
      <c r="J1494" s="39">
        <v>50</v>
      </c>
      <c r="K1494" s="75">
        <v>600</v>
      </c>
      <c r="L1494" s="72">
        <v>-3900</v>
      </c>
      <c r="M1494" s="79"/>
      <c r="N1494" s="28">
        <f>K1494*J1494</f>
        <v>30000</v>
      </c>
      <c r="O1494" s="96"/>
      <c r="P1494" s="29">
        <v>0</v>
      </c>
      <c r="Q1494" s="55"/>
      <c r="R1494" s="31">
        <f>M1494+Q1494</f>
        <v>0</v>
      </c>
      <c r="S1494" s="97"/>
      <c r="T1494" s="32">
        <f>IF(AND(AD1494="EUR", F1494="Without EV deal"), R1494 + L1494,
IF(AND(AD1494="USD", F1494="Without EV deal"), R1494 + L1494,
IF(AND(AD1494="EUR", F1494="Steel Phoenix"), R1494 + S1494/U1494,
R1494 + S1494)))</f>
        <v>-3900</v>
      </c>
      <c r="U1494" s="57"/>
      <c r="V1494" s="58"/>
      <c r="W1494" s="58"/>
      <c r="X1494" s="30">
        <f>IF(AF1494="DoEV",IF(AND(V1494&lt;20,W1494&lt;55),0.3,0)+IF(AND(V1494&lt;20,W1494&gt;=55,W1494&lt;105),0.23,0)+IF(AND(V1494&lt;20,W1494&gt;=105),0.17,0)+IF(AND(V1494&gt;=20,V1494&lt;40,W1494&lt;45),0.3,0)+IF(AND(V1494&gt;=20,V1494&lt;40,W1494&gt;=45,W1494&lt;95),0.23,0)+IF(AND(V1494&gt;=20,V1494&lt;40,W1494&gt;=95),0.17,0)+IF(AND(V1494&gt;=40,V1494&lt;75,W1494&lt;35),0.3,0)+IF(AND(V1494&gt;=40,V1494&lt;75,W1494&gt;=35,W1494&lt;75),0.23,0)+IF(AND(V1494&gt;=40,V1494&lt;75,W1494&gt;=75,W1494&lt;120),0.17,0)+IF(AND(V1494&gt;=40,V1494&lt;75,W1494&gt;=120),0.12,0)+IF(AND(V1494&gt;=75,V1494&lt;175,W1494&lt;35),0.3,0)+IF(AND(V1494&gt;=75,V1494&lt;=175,W1494&gt;=35,W1494&lt;65),0.23,0)+IF(AND(V1494&gt;=75,V1494&lt;=175,W1494&gt;=65,W1494&lt;110),0.17,0)+IF(AND(V1494&gt;=75,V1494&lt;=175,W1494&gt;=110),0.12,0)+IF(AND(V1494&gt;175,W1494&lt;25),0.3,0)+IF(AND(V1494&gt;175,W1494&gt;=25,W1494&lt;55),0.23,0)+IF(AND(V1494&gt;175,W1494&gt;=55,W1494&lt;95),0.17,0)+IF(AND(V1494&gt;175,W1494&gt;=95),0.12,0),
IF(AF1494="Fix15",0.15,
IF(AF1494="Fix5",0.05,
IF(AF1494="Fix18.75",0.1875,
IF(AF1494="Fix11.25",0.1125,
IF(AF1494="Fix10",0.1,
IF(AF1494="Fix9",0.09,
IF(AF1494="Fix12",0.12,
IF(AF1494="Fix19",0.19,
IF(AF1494="DoEV2017",IF(AND(W1494&lt;74),0.2,0)+IF(AND(W1494&gt;=74),0.17,0),
IF(AF1494="SF",IF(AND(V1494&lt;20,W1494&lt;89),0.3,0)+IF(AND(V1494&lt;20,W1494&gt;=89),0.25,0)+IF(AND(V1494&gt;=20,V1494&lt;40,W1494&lt;74),0.3,0)+IF(AND(V1494&gt;=20,V1494&lt;40,W1494&gt;=75),0.22,0)+IF(AND(V1494&gt;=40,V1494&lt;75,W1494&lt;75),0.26,0)+IF(AND(V1494&gt;=40,V1494&lt;75,W1494&gt;=75),0.22,0)+IF(V1494&gt;=75,0.22,0),
IF(AF1494="DoEVold",IF(AND(V1494&lt;40,W1494&lt;35),0.35,0)+IF(AND(V1494&lt;40,W1494&gt;=35,W1494&lt;75),0.25,0)+IF(AND(V1494&lt;40,W1494&gt;=75),0.17,0)+IF(AND(V1494&gt;=40,V1494&lt;75,W1494&lt;25),0.35,0)+IF(AND(V1494&gt;=40,V1494&lt;75,W1494&gt;=25,W1494&lt;65),0.25,0)+IF(AND(V1494&gt;=40,V1494&lt;75,W1494&gt;=65,W1494&lt;100),0.17,0)+IF(AND(V1494&gt;=40,V1494&lt;75,W1494&gt;=100),0.1,0)+IF(AND(V1494&gt;=75,W1494&lt;25),0.35,0)+IF(AND(V1494&gt;=75,W1494&gt;=25,W1494&lt;60),0.25,0)+IF(AND(V1494&gt;=75,W1494&gt;=60,W1494&lt;95),0.17,0)+IF(AND(V1494&gt;=75,W1494&gt;=95),0.1,0),
IF(AF1494="DoEVold15",IF(AND(V1494&lt;=40,W1494&lt;35),0.35,0)+IF(AND(V1494&lt;=40,W1494&gt;=35,W1494&lt;75),0.25,0)+IF(AND(V1494&lt;=40,W1494&gt;=75,W1494&lt;120),0.17,0)+IF(AND(V1494&lt;=40,W1494&gt;=120),0.15,0)+IF(AND(V1494&gt;40,V1494&lt;75,W1494&lt;25),0.35,0)+IF(AND(V1494&gt;=40,V1494&lt;75,W1494&gt;=25,W1494&lt;65),0.25,0)+IF(AND(V1494&gt;=40,V1494&lt;75,W1494&gt;=65,W1494&lt;100),0.17,0)+IF(AND(V1494&gt;=40,V1494&lt;75,W1494&gt;=100),0.1,0)+IF(AND(V1494&gt;=75,W1494&lt;25),0.35,0)+IF(AND(V1494&gt;=75,W1494&gt;=25,W1494&lt;60),0.25,0)+IF(AND(V1494&gt;=75,W1494&gt;=60,W1494&lt;95),0.17,0)+IF(AND(V1494&gt;=75,W1494&gt;=95),0.1,0),
IF(AF1494="DoEVba",IF(AND(V1494&lt;20,W1494&lt;105),0.2,0)+IF(AND(V1494&lt;20,W1494&gt;=105),0.15,0)+IF(AND(V1494&gt;=20,V1494&lt;40,W1494&lt;95),0.2,0)+IF(AND(V1494&gt;=20,V1494&lt;40,W1494&gt;=95,W1494&lt;150),0.15,0)+IF(AND(V1494&gt;=20,V1494&lt;40,W1494&gt;=150),0.12,0)+IF(AND(V1494&gt;=40,V1494&lt;75,W1494&lt;75),0.2,0)+IF(AND(V1494&gt;=40,V1494&lt;75,W1494&gt;=75,W1494&lt;120),0.15,0)+IF(AND(V1494&gt;=40,V1494&lt;75,W1494&gt;=120),0.12,0)+IF(AND(V1494&gt;=75,V1494&lt;175,W1494&lt;65),0.2,0)+IF(AND(V1494&gt;=75,V1494&lt;175,W1494&gt;=65,W1494&lt;110),0.15,0)+IF(AND(V1494&gt;=75,V1494&lt;175,W1494&gt;=110),0.12,0)+IF(AND(V1494&gt;=175,W1494&lt;55),0.2,0)+IF(AND(V1494&gt;=175,W1494&gt;=55,W1494&lt;95),0.15,0)+IF(AND(V1494&gt;=175,W1494&gt;=95),0.12,0),
IF(AF1494="DoEVku",IF(AND(V1494&lt;20,W1494&lt;55),0.23,0)+IF(AND(V1494&lt;20,W1494&gt;=55,W1494&lt;105),0.2,0)+IF(AND(V1494&lt;20,W1494&gt;=105),0.17,0)+IF(AND(V1494&gt;=20,V1494&lt;40,W1494&lt;45),0.23,0)+IF(AND(V1494&gt;=20,V1494&lt;40,W1494&gt;=45,W1494&lt;95),0.2,0)+IF(AND(V1494&gt;=20,V1494&lt;40,W1494&gt;=95,W1494&lt;=150),0.17,0)+IF(AND(V1494&gt;=20,V1494&lt;40,W1494&gt;=150),0.12,0)+IF(AND(V1494&gt;=40,V1494&lt;75,W1494&lt;35),0.23,0)+IF(AND(V1494&gt;=40,V1494&lt;75,W1494&gt;=35,W1494&lt;75),0.2,0)+IF(AND(V1494&gt;=40,V1494&lt;75,W1494&gt;=75,W1494&lt;120),0.17,0)+IF(AND(V1494&gt;=40,V1494&lt;75,W1494&gt;=120),0.12,0)+IF(AND(V1494&gt;=75,V1494&lt;175,W1494&lt;35),0.23,0)+IF(AND(V1494&gt;=75,V1494&lt;=175,W1494&gt;=35,W1494&lt;65),0.2,0)+IF(AND(V1494&gt;=75,V1494&lt;=175,W1494&gt;=65,W1494&lt;110),0.17,0)+IF(AND(V1494&gt;=75,V1494&lt;=175,W1494&gt;=110),0.12,0)+IF(AND(V1494&gt;175,W1494&lt;25),0.23,0)+IF(AND(V1494&gt;175,W1494&gt;=25,W1494&lt;55),0.2,0)+IF(AND(V1494&gt;175,W1494&gt;=55,W1494&lt;95),0.17,0)+IF(AND(V1494&gt;175,W1494&gt;=95),0.12,0),
IF(AF1494="DoEVs1",IF(AND(V1494&lt;20,W1494&lt;55),0.3,0)+IF(AND(V1494&lt;20,W1494&gt;=55,W1494&lt;105),0.23,0)+IF(AND(V1494&lt;20,W1494&gt;=105),0.17,0)+IF(AND(V1494&gt;=20,V1494&lt;40,W1494&lt;45),0.3,0)+IF(AND(V1494&gt;=20,V1494&lt;40,W1494&gt;=45,W1494&lt;95),0.23,0)+IF(AND(V1494&gt;=20,V1494&lt;40,W1494&gt;=95,W1494&lt;=150),0.17,0)+IF(AND(V1494&gt;=20,V1494&lt;40,W1494&gt;=150),0.12,0)+IF(AND(V1494&gt;=40,V1494&lt;75,W1494&lt;35),0.3,0)+IF(AND(V1494&gt;=40,V1494&lt;75,W1494&gt;=35,W1494&lt;75),0.23,0)+IF(AND(V1494&gt;=40,V1494&lt;75,W1494&gt;=75,W1494&lt;120),0.17,0)+IF(AND(V1494&gt;=40,V1494&lt;75,W1494&gt;=120),0.12,0)+IF(AND(V1494&gt;=75,V1494&lt;175,W1494&lt;35),0.3,0)+IF(AND(V1494&gt;=75,V1494&lt;=175,W1494&gt;=35,W1494&lt;65),0.23,0)+IF(AND(V1494&gt;=75,V1494&lt;=175,W1494&gt;=65,W1494&lt;110),0.17,0)+IF(AND(V1494&gt;=75,V1494&lt;=175,W1494&gt;=110),0.12,0)+IF(AND(V1494&gt;175,W1494&lt;25),0.3,0)+IF(AND(V1494&gt;175,W1494&gt;=25,W1494&lt;55),0.23,0)+IF(AND(V1494&gt;175,W1494&gt;=55,W1494&lt;95),0.17,0)+IF(AND(V1494&gt;175,W1494&gt;=95),0.12,0),
IF(AF1494="DoEVsu",IF(AND(V1494&lt;20,W1494&lt;55),0.3,0)+IF(AND(V1494&lt;20,W1494&gt;=55,W1494&lt;105),0.23,0)+IF(AND(V1494&lt;20,W1494&gt;=105),0.17,0)+IF(AND(V1494&gt;=20,V1494&lt;40,W1494&lt;45),0.3,0)+IF(AND(V1494&gt;=20,V1494&lt;40,W1494&gt;=45,W1494&lt;95),0.23,0)+IF(AND(V1494&gt;=20,V1494&lt;40,W1494&gt;=95,W1494&lt;=250),0.17,0)+IF(AND(V1494&gt;=20,V1494&lt;40,W1494&gt;=250),0.12,0)+IF(AND(V1494&gt;=40,V1494&lt;75,W1494&lt;35),0.3,0)+IF(AND(V1494&gt;=40,V1494&lt;75,W1494&gt;=35,W1494&lt;75),0.23,0)+IF(AND(V1494&gt;=40,V1494&lt;75,W1494&gt;=75,W1494&lt;120),0.17,0)+IF(AND(V1494&gt;=40,V1494&lt;75,W1494&gt;=120),0.12,0)+IF(AND(V1494&gt;=75,V1494&lt;175,W1494&lt;35),0.3,0)+IF(AND(V1494&gt;=75,V1494&lt;=175,W1494&gt;=35,W1494&lt;65),0.23,0)+IF(AND(V1494&gt;=75,V1494&lt;=175,W1494&gt;=65,W1494&lt;110),0.17,0)+IF(AND(V1494&gt;=75,V1494&lt;=175,W1494&gt;=110),0.12,0)+IF(AND(V1494&gt;175,W1494&lt;25),0.3,0)+IF(AND(V1494&gt;175,W1494&gt;=25,W1494&lt;55),0.23,0)+IF(AND(V1494&gt;175,W1494&gt;=55,W1494&lt;95),0.17,0)+IF(AND(V1494&gt;175,W1494&gt;=95),0.12,0),
IF(AF1494="DoEVni",IF(AND(V1494&lt;20,W1494&lt;55),0.3,0)+IF(AND(V1494&lt;20,W1494&gt;=55,W1494&lt;105),0.23,0)+IF(AND(V1494&lt;20,W1494&gt;=105),0.17,0)+IF(AND(V1494&gt;=20,V1494&lt;40,W1494&lt;45),0.3,0)+IF(AND(V1494&gt;=20,V1494&lt;40,W1494&gt;=45,W1494&lt;95),0.23,0)+IF(AND(V1494&gt;=20,V1494&lt;40,W1494&gt;=95,W1494&lt;=200),0.17,0)+IF(AND(V1494&gt;=20,V1494&lt;40,W1494&gt;=200),0.12,0)+IF(AND(V1494&gt;=40,V1494&lt;75,W1494&lt;35),0.3,0)+IF(AND(V1494&gt;=40,V1494&lt;75,W1494&gt;=35,W1494&lt;75),0.23,0)+IF(AND(V1494&gt;=40,V1494&lt;75,W1494&gt;=75,W1494&lt;120),0.17,0)+IF(AND(V1494&gt;=40,V1494&lt;75,W1494&gt;=120),0.12,0)+IF(AND(V1494&gt;=75,V1494&lt;175,W1494&lt;35),0.3,0)+IF(AND(V1494&gt;=75,V1494&lt;=175,W1494&gt;=35,W1494&lt;65),0.23,0)+IF(AND(V1494&gt;=75,V1494&lt;=175,W1494&gt;=65,W1494&lt;110),0.17,0)+IF(AND(V1494&gt;=75,V1494&lt;=175,W1494&gt;=110),0.12,0)+IF(AND(V1494&gt;175,W1494&lt;25),0.3,0)+IF(AND(V1494&gt;175,W1494&gt;=25,W1494&lt;55),0.23,0)+IF(AND(V1494&gt;175,W1494&gt;=55,W1494&lt;95),0.17,0)+IF(AND(V1494&gt;175,W1494&gt;=95),0.12,0),
IF(AF1494="DoEVLo",IF(AND(V1494&lt;20,W1494&lt;55),0.25,0)+IF(AND(V1494&lt;20,W1494&gt;=55,W1494&lt;105),0.2,0)+IF(AND(V1494&lt;20,W1494&gt;=105),0.15,0)+IF(AND(V1494&gt;=20,V1494&lt;40,W1494&lt;45),0.25,0)+IF(AND(V1494&gt;=20,V1494&lt;40,W1494&gt;=45,W1494&lt;95),0.2,0)+IF(AND(V1494&gt;=20,V1494&lt;40,W1494&gt;=95),0.15,0)+IF(AND(V1494&gt;=40,V1494&lt;75,W1494&lt;35),0.25,0)+IF(AND(V1494&gt;=40,V1494&lt;75,W1494&gt;=35,W1494&lt;75),0.2,0)+IF(AND(V1494&gt;=40,V1494&lt;75,W1494&gt;=75,W1494&lt;120),0.15,0)+IF(AND(V1494&gt;=40,V1494&lt;75,W1494&gt;=120),0.1,0)+IF(AND(V1494&gt;=75,V1494&lt;175,W1494&lt;35),0.25,0)+IF(AND(V1494&gt;=75,V1494&lt;=175,W1494&gt;=35,W1494&lt;65),0.2,0)+IF(AND(V1494&gt;=75,V1494&lt;=175,W1494&gt;=65,W1494&lt;110),0.15,0)+IF(AND(V1494&gt;=75,V1494&lt;=175,W1494&gt;=110),0.1,0)+IF(AND(V1494&gt;175,W1494&lt;25),0.25,0)+IF(AND(V1494&gt;175,W1494&gt;=25,W1494&lt;55),0.2,0)+IF(AND(V1494&gt;175,W1494&gt;=55,W1494&lt;95),0.15,0)+IF(AND(V1494&gt;175,W1494&gt;=95),0.1,0))))))))))))))))))))</f>
        <v>0.3</v>
      </c>
      <c r="Y1494" s="30">
        <f>IF(AG1494="None",0,IF(AG1494="Fix5",0.05, IF(AG1494="Fix6.25",0.0625,IF(AG1494="Fix3.75",0.0375, IF(AG1494="Fix11",0.11, IF(AG1494="Fix10",0.1,IF(AG1494="Fix3",0.03,0)))))))</f>
        <v>0</v>
      </c>
      <c r="Z1494" s="35">
        <f>IF(AND(AD1494="EUR", AE1494 = "USD"), T1494*U1494-AA1494-AB1494, T1494-AA1494-AB1494)</f>
        <v>-2730</v>
      </c>
      <c r="AA1494" s="29">
        <f>IF(AND(AD1494="EUR", F1494="Without EV deal", AE1494="USD"), (T1494*X1494)*U1494,
IF(AND(AD1494="EUR", F1494="Without EV deal", AE1494="EUR"), (T1494*X1494),
IF(AND(AD1494="EUR",AE1494="USD"), (T1494*X1494)*U1494,
T1494*X1494)))</f>
        <v>-1170</v>
      </c>
      <c r="AB1494" s="36">
        <f>IF(AND(AD1494="EUR", F1494="Without EV deal", AE1494="USD"), (T1494*Y1494)*U1494,
IF(AND(AD1494="EUR", F1494="Without EV deal", AE1494="EUR"), (T1494*Y1494),
IF(AND(AD1494="EUR",AE1494="USD"), (T1494*Y1494)*U1494,
T1494*Y1494)))</f>
        <v>0</v>
      </c>
      <c r="AC1494" s="37" t="b">
        <v>0</v>
      </c>
      <c r="AD1494" s="82" t="str">
        <f>IF(OR(H1494="€0.25 Flash",
H1494="€0.25(nitro) new",
H1494="€1",
H1494="€2",
H1494="€2 (bf 01.08)",
H1494="€5",
H1494="€5 (1M)",
H1494="€5 (bf 01.08)",
H1494="€5 (bf 05.05)",
H1494="€5 Nitro",
H1494="€5(wx) new",
H1494="€10",
H1494="€10 (1M)",
H1494="€10 (bf 01.08)",
H1494="€10 (bf 05.05)",
H1494="€10 (MP)",
H1494="€10 (old)",
H1494="€10 Nitro (bf 05.05)",
H1494="€10 Nitro (old)",
H1494="€10(wx) new",
H1494="€20",
H1494="€25",
H1494="€25 (bf 01.08)",
H1494="€25 (bf 05.05)",
H1494="€25 (MP)",
H1494="€25 (old)",
H1494="€25 Nitro",
H1494="€25 Nitro (bf 01.08)",
H1494="€25 Nitro (bf 05.05)",
H1494="€25(nitro) new",
H1494="€25(wx) new",
H1494="€50",
H1494="€50 (bf 01.08)",
H1494="€50 (bf 05.05)",
H1494="€50 (old)",
H1494="€50 Nitro",
H1494="€50 Nitro (bf 01.08)",
H1494="€50 Nitro (bf 05.05)",
H1494="€50(wx) new",
H1494="€100",
H1494="€100 (old)",
H1494="€100 Nitro",
H1494="€100 Nitro (old)",
H1494="€200",
H1494="€250",
H1494="€250 Nitro",
H1494="€500",
H1494="€500 Nitro"),"EUR", "USD")</f>
        <v>USD</v>
      </c>
      <c r="AE1494" s="83" t="s">
        <v>38</v>
      </c>
      <c r="AF1494" s="83" t="str">
        <f t="array" ref="AF1494">INDEX('Deal Info'!D:D, MATCH(A1494,'Deal Info'!A:A, 0))</f>
        <v>DoEV</v>
      </c>
      <c r="AG1494" s="84" t="str">
        <f t="array" ref="AG1494">INDEX('Deal Info'!G:G, MATCH(A1494,'Deal Info'!A:A, 0))</f>
        <v>None</v>
      </c>
    </row>
    <row r="1495" spans="1:33" ht="14.25" hidden="1" x14ac:dyDescent="0.2">
      <c r="A1495" s="18" t="str">
        <f t="array" ref="A1495">IF(G1495='Room Info'!$B$1, INDEX('Room Info'!$A$2:$A2446, MATCH(B1495,'Room Info'!$B$2:$B2446, 0)),IF(G1495='Room Info'!$C$1, INDEX('Room Info'!$A$2:$A2446, MATCH(B1495,'Room Info'!$C$2:$C2446, 0)),IF(G1495='Room Info'!$D$1, INDEX('Room Info'!$A$2:$A2446, MATCH(B1495,'Room Info'!$D$2:$D2446, 0)),IF(G1495='Room Info'!$E$1, INDEX('Room Info'!$A$2:$A2446, MATCH(B1495,'Room Info'!$E$2:$E2446, 0)),IF(G1495='Room Info'!$F$1, INDEX('Room Info'!$A$2:$A2446, MATCH(B1495,'Room Info'!$F$2:$F2446, 0)),IF(G1495='Room Info'!$H$1, INDEX('Room Info'!$A$2:$A2446, MATCH(B1495,'Room Info'!$H$2:$H2446, 0)),IF(G1495='Room Info'!$G$1, INDEX('Room Info'!$A$2:$A2446, MATCH(B1495,'Room Info'!$G$2:$G2446, 0)))))))))</f>
        <v>Abcdf</v>
      </c>
      <c r="B1495" s="45" t="s">
        <v>222</v>
      </c>
      <c r="C1495" s="77">
        <v>44958</v>
      </c>
      <c r="D1495" s="77">
        <v>44985</v>
      </c>
      <c r="E1495" s="21">
        <v>44958</v>
      </c>
      <c r="F1495" s="22" t="s">
        <v>41</v>
      </c>
      <c r="G1495" s="45" t="s">
        <v>223</v>
      </c>
      <c r="H1495" s="81" t="s">
        <v>54</v>
      </c>
      <c r="I1495" s="23" t="s">
        <v>37</v>
      </c>
      <c r="J1495" s="39">
        <v>5</v>
      </c>
      <c r="K1495" s="75">
        <v>214</v>
      </c>
      <c r="L1495" s="126">
        <f>133.32-361.92-179</f>
        <v>-407.6</v>
      </c>
      <c r="M1495" s="79"/>
      <c r="N1495" s="28">
        <f>K1495*J1495</f>
        <v>1070</v>
      </c>
      <c r="O1495" s="45">
        <v>13361</v>
      </c>
      <c r="P1495" s="29">
        <v>62.43457944</v>
      </c>
      <c r="Q1495" s="55">
        <v>0.5</v>
      </c>
      <c r="R1495" s="31">
        <f>M1495+Q1495*J1495*K1495*0.07</f>
        <v>37.450000000000003</v>
      </c>
      <c r="S1495" s="97"/>
      <c r="T1495" s="32">
        <f>IF(AND(AD1495="EUR", F1495="Without EV deal"), R1495 + L1495,
IF(AND(AD1495="USD", F1495="Without EV deal"), R1495 + L1495,
IF(AND(AD1495="EUR", F1495="Steel Phoenix"), R1495 + S1495/U1495,
R1495 + S1495)))</f>
        <v>-370.15000000000003</v>
      </c>
      <c r="U1495" s="57">
        <v>1.0617000000000001</v>
      </c>
      <c r="V1495" s="58"/>
      <c r="W1495" s="58"/>
      <c r="X1495" s="30">
        <f>IF(AF1495="DoEV",IF(AND(V1495&lt;20,W1495&lt;55),0.3,0)+IF(AND(V1495&lt;20,W1495&gt;=55,W1495&lt;105),0.23,0)+IF(AND(V1495&lt;20,W1495&gt;=105),0.17,0)+IF(AND(V1495&gt;=20,V1495&lt;40,W1495&lt;45),0.3,0)+IF(AND(V1495&gt;=20,V1495&lt;40,W1495&gt;=45,W1495&lt;95),0.23,0)+IF(AND(V1495&gt;=20,V1495&lt;40,W1495&gt;=95),0.17,0)+IF(AND(V1495&gt;=40,V1495&lt;75,W1495&lt;35),0.3,0)+IF(AND(V1495&gt;=40,V1495&lt;75,W1495&gt;=35,W1495&lt;75),0.23,0)+IF(AND(V1495&gt;=40,V1495&lt;75,W1495&gt;=75,W1495&lt;120),0.17,0)+IF(AND(V1495&gt;=40,V1495&lt;75,W1495&gt;=120),0.12,0)+IF(AND(V1495&gt;=75,V1495&lt;175,W1495&lt;35),0.3,0)+IF(AND(V1495&gt;=75,V1495&lt;=175,W1495&gt;=35,W1495&lt;65),0.23,0)+IF(AND(V1495&gt;=75,V1495&lt;=175,W1495&gt;=65,W1495&lt;110),0.17,0)+IF(AND(V1495&gt;=75,V1495&lt;=175,W1495&gt;=110),0.12,0)+IF(AND(V1495&gt;175,W1495&lt;25),0.3,0)+IF(AND(V1495&gt;175,W1495&gt;=25,W1495&lt;55),0.23,0)+IF(AND(V1495&gt;175,W1495&gt;=55,W1495&lt;95),0.17,0)+IF(AND(V1495&gt;175,W1495&gt;=95),0.12,0),
IF(AF1495="Fix15",0.15,
IF(AF1495="Fix5",0.05,
IF(AF1495="Fix18.75",0.1875,
IF(AF1495="Fix11.25",0.1125,
IF(AF1495="Fix10",0.1,
IF(AF1495="Fix9",0.09,
IF(AF1495="Fix12",0.12,
IF(AF1495="Fix19",0.19,
IF(AF1495="DoEV2017",IF(AND(W1495&lt;74),0.2,0)+IF(AND(W1495&gt;=74),0.17,0),
IF(AF1495="SF",IF(AND(V1495&lt;20,W1495&lt;89),0.3,0)+IF(AND(V1495&lt;20,W1495&gt;=89),0.25,0)+IF(AND(V1495&gt;=20,V1495&lt;40,W1495&lt;74),0.3,0)+IF(AND(V1495&gt;=20,V1495&lt;40,W1495&gt;=75),0.22,0)+IF(AND(V1495&gt;=40,V1495&lt;75,W1495&lt;75),0.26,0)+IF(AND(V1495&gt;=40,V1495&lt;75,W1495&gt;=75),0.22,0)+IF(V1495&gt;=75,0.22,0),
IF(AF1495="DoEVold",IF(AND(V1495&lt;40,W1495&lt;35),0.35,0)+IF(AND(V1495&lt;40,W1495&gt;=35,W1495&lt;75),0.25,0)+IF(AND(V1495&lt;40,W1495&gt;=75),0.17,0)+IF(AND(V1495&gt;=40,V1495&lt;75,W1495&lt;25),0.35,0)+IF(AND(V1495&gt;=40,V1495&lt;75,W1495&gt;=25,W1495&lt;65),0.25,0)+IF(AND(V1495&gt;=40,V1495&lt;75,W1495&gt;=65,W1495&lt;100),0.17,0)+IF(AND(V1495&gt;=40,V1495&lt;75,W1495&gt;=100),0.1,0)+IF(AND(V1495&gt;=75,W1495&lt;25),0.35,0)+IF(AND(V1495&gt;=75,W1495&gt;=25,W1495&lt;60),0.25,0)+IF(AND(V1495&gt;=75,W1495&gt;=60,W1495&lt;95),0.17,0)+IF(AND(V1495&gt;=75,W1495&gt;=95),0.1,0),
IF(AF1495="DoEVold15",IF(AND(V1495&lt;=40,W1495&lt;35),0.35,0)+IF(AND(V1495&lt;=40,W1495&gt;=35,W1495&lt;75),0.25,0)+IF(AND(V1495&lt;=40,W1495&gt;=75,W1495&lt;120),0.17,0)+IF(AND(V1495&lt;=40,W1495&gt;=120),0.15,0)+IF(AND(V1495&gt;40,V1495&lt;75,W1495&lt;25),0.35,0)+IF(AND(V1495&gt;=40,V1495&lt;75,W1495&gt;=25,W1495&lt;65),0.25,0)+IF(AND(V1495&gt;=40,V1495&lt;75,W1495&gt;=65,W1495&lt;100),0.17,0)+IF(AND(V1495&gt;=40,V1495&lt;75,W1495&gt;=100),0.1,0)+IF(AND(V1495&gt;=75,W1495&lt;25),0.35,0)+IF(AND(V1495&gt;=75,W1495&gt;=25,W1495&lt;60),0.25,0)+IF(AND(V1495&gt;=75,W1495&gt;=60,W1495&lt;95),0.17,0)+IF(AND(V1495&gt;=75,W1495&gt;=95),0.1,0),
IF(AF1495="DoEVba",IF(AND(V1495&lt;20,W1495&lt;105),0.2,0)+IF(AND(V1495&lt;20,W1495&gt;=105),0.15,0)+IF(AND(V1495&gt;=20,V1495&lt;40,W1495&lt;95),0.2,0)+IF(AND(V1495&gt;=20,V1495&lt;40,W1495&gt;=95,W1495&lt;150),0.15,0)+IF(AND(V1495&gt;=20,V1495&lt;40,W1495&gt;=150),0.12,0)+IF(AND(V1495&gt;=40,V1495&lt;75,W1495&lt;75),0.2,0)+IF(AND(V1495&gt;=40,V1495&lt;75,W1495&gt;=75,W1495&lt;120),0.15,0)+IF(AND(V1495&gt;=40,V1495&lt;75,W1495&gt;=120),0.12,0)+IF(AND(V1495&gt;=75,V1495&lt;175,W1495&lt;65),0.2,0)+IF(AND(V1495&gt;=75,V1495&lt;175,W1495&gt;=65,W1495&lt;110),0.15,0)+IF(AND(V1495&gt;=75,V1495&lt;175,W1495&gt;=110),0.12,0)+IF(AND(V1495&gt;=175,W1495&lt;55),0.2,0)+IF(AND(V1495&gt;=175,W1495&gt;=55,W1495&lt;95),0.15,0)+IF(AND(V1495&gt;=175,W1495&gt;=95),0.12,0),
IF(AF1495="DoEVku",IF(AND(V1495&lt;20,W1495&lt;55),0.23,0)+IF(AND(V1495&lt;20,W1495&gt;=55,W1495&lt;105),0.2,0)+IF(AND(V1495&lt;20,W1495&gt;=105),0.17,0)+IF(AND(V1495&gt;=20,V1495&lt;40,W1495&lt;45),0.23,0)+IF(AND(V1495&gt;=20,V1495&lt;40,W1495&gt;=45,W1495&lt;95),0.2,0)+IF(AND(V1495&gt;=20,V1495&lt;40,W1495&gt;=95,W1495&lt;=150),0.17,0)+IF(AND(V1495&gt;=20,V1495&lt;40,W1495&gt;=150),0.12,0)+IF(AND(V1495&gt;=40,V1495&lt;75,W1495&lt;35),0.23,0)+IF(AND(V1495&gt;=40,V1495&lt;75,W1495&gt;=35,W1495&lt;75),0.2,0)+IF(AND(V1495&gt;=40,V1495&lt;75,W1495&gt;=75,W1495&lt;120),0.17,0)+IF(AND(V1495&gt;=40,V1495&lt;75,W1495&gt;=120),0.12,0)+IF(AND(V1495&gt;=75,V1495&lt;175,W1495&lt;35),0.23,0)+IF(AND(V1495&gt;=75,V1495&lt;=175,W1495&gt;=35,W1495&lt;65),0.2,0)+IF(AND(V1495&gt;=75,V1495&lt;=175,W1495&gt;=65,W1495&lt;110),0.17,0)+IF(AND(V1495&gt;=75,V1495&lt;=175,W1495&gt;=110),0.12,0)+IF(AND(V1495&gt;175,W1495&lt;25),0.23,0)+IF(AND(V1495&gt;175,W1495&gt;=25,W1495&lt;55),0.2,0)+IF(AND(V1495&gt;175,W1495&gt;=55,W1495&lt;95),0.17,0)+IF(AND(V1495&gt;175,W1495&gt;=95),0.12,0),
IF(AF1495="DoEVs1",IF(AND(V1495&lt;20,W1495&lt;55),0.3,0)+IF(AND(V1495&lt;20,W1495&gt;=55,W1495&lt;105),0.23,0)+IF(AND(V1495&lt;20,W1495&gt;=105),0.17,0)+IF(AND(V1495&gt;=20,V1495&lt;40,W1495&lt;45),0.3,0)+IF(AND(V1495&gt;=20,V1495&lt;40,W1495&gt;=45,W1495&lt;95),0.23,0)+IF(AND(V1495&gt;=20,V1495&lt;40,W1495&gt;=95,W1495&lt;=150),0.17,0)+IF(AND(V1495&gt;=20,V1495&lt;40,W1495&gt;=150),0.12,0)+IF(AND(V1495&gt;=40,V1495&lt;75,W1495&lt;35),0.3,0)+IF(AND(V1495&gt;=40,V1495&lt;75,W1495&gt;=35,W1495&lt;75),0.23,0)+IF(AND(V1495&gt;=40,V1495&lt;75,W1495&gt;=75,W1495&lt;120),0.17,0)+IF(AND(V1495&gt;=40,V1495&lt;75,W1495&gt;=120),0.12,0)+IF(AND(V1495&gt;=75,V1495&lt;175,W1495&lt;35),0.3,0)+IF(AND(V1495&gt;=75,V1495&lt;=175,W1495&gt;=35,W1495&lt;65),0.23,0)+IF(AND(V1495&gt;=75,V1495&lt;=175,W1495&gt;=65,W1495&lt;110),0.17,0)+IF(AND(V1495&gt;=75,V1495&lt;=175,W1495&gt;=110),0.12,0)+IF(AND(V1495&gt;175,W1495&lt;25),0.3,0)+IF(AND(V1495&gt;175,W1495&gt;=25,W1495&lt;55),0.23,0)+IF(AND(V1495&gt;175,W1495&gt;=55,W1495&lt;95),0.17,0)+IF(AND(V1495&gt;175,W1495&gt;=95),0.12,0),
IF(AF1495="DoEVsu",IF(AND(V1495&lt;20,W1495&lt;55),0.3,0)+IF(AND(V1495&lt;20,W1495&gt;=55,W1495&lt;105),0.23,0)+IF(AND(V1495&lt;20,W1495&gt;=105),0.17,0)+IF(AND(V1495&gt;=20,V1495&lt;40,W1495&lt;45),0.3,0)+IF(AND(V1495&gt;=20,V1495&lt;40,W1495&gt;=45,W1495&lt;95),0.23,0)+IF(AND(V1495&gt;=20,V1495&lt;40,W1495&gt;=95,W1495&lt;=250),0.17,0)+IF(AND(V1495&gt;=20,V1495&lt;40,W1495&gt;=250),0.12,0)+IF(AND(V1495&gt;=40,V1495&lt;75,W1495&lt;35),0.3,0)+IF(AND(V1495&gt;=40,V1495&lt;75,W1495&gt;=35,W1495&lt;75),0.23,0)+IF(AND(V1495&gt;=40,V1495&lt;75,W1495&gt;=75,W1495&lt;120),0.17,0)+IF(AND(V1495&gt;=40,V1495&lt;75,W1495&gt;=120),0.12,0)+IF(AND(V1495&gt;=75,V1495&lt;175,W1495&lt;35),0.3,0)+IF(AND(V1495&gt;=75,V1495&lt;=175,W1495&gt;=35,W1495&lt;65),0.23,0)+IF(AND(V1495&gt;=75,V1495&lt;=175,W1495&gt;=65,W1495&lt;110),0.17,0)+IF(AND(V1495&gt;=75,V1495&lt;=175,W1495&gt;=110),0.12,0)+IF(AND(V1495&gt;175,W1495&lt;25),0.3,0)+IF(AND(V1495&gt;175,W1495&gt;=25,W1495&lt;55),0.23,0)+IF(AND(V1495&gt;175,W1495&gt;=55,W1495&lt;95),0.17,0)+IF(AND(V1495&gt;175,W1495&gt;=95),0.12,0),
IF(AF1495="DoEVni",IF(AND(V1495&lt;20,W1495&lt;55),0.3,0)+IF(AND(V1495&lt;20,W1495&gt;=55,W1495&lt;105),0.23,0)+IF(AND(V1495&lt;20,W1495&gt;=105),0.17,0)+IF(AND(V1495&gt;=20,V1495&lt;40,W1495&lt;45),0.3,0)+IF(AND(V1495&gt;=20,V1495&lt;40,W1495&gt;=45,W1495&lt;95),0.23,0)+IF(AND(V1495&gt;=20,V1495&lt;40,W1495&gt;=95,W1495&lt;=200),0.17,0)+IF(AND(V1495&gt;=20,V1495&lt;40,W1495&gt;=200),0.12,0)+IF(AND(V1495&gt;=40,V1495&lt;75,W1495&lt;35),0.3,0)+IF(AND(V1495&gt;=40,V1495&lt;75,W1495&gt;=35,W1495&lt;75),0.23,0)+IF(AND(V1495&gt;=40,V1495&lt;75,W1495&gt;=75,W1495&lt;120),0.17,0)+IF(AND(V1495&gt;=40,V1495&lt;75,W1495&gt;=120),0.12,0)+IF(AND(V1495&gt;=75,V1495&lt;175,W1495&lt;35),0.3,0)+IF(AND(V1495&gt;=75,V1495&lt;=175,W1495&gt;=35,W1495&lt;65),0.23,0)+IF(AND(V1495&gt;=75,V1495&lt;=175,W1495&gt;=65,W1495&lt;110),0.17,0)+IF(AND(V1495&gt;=75,V1495&lt;=175,W1495&gt;=110),0.12,0)+IF(AND(V1495&gt;175,W1495&lt;25),0.3,0)+IF(AND(V1495&gt;175,W1495&gt;=25,W1495&lt;55),0.23,0)+IF(AND(V1495&gt;175,W1495&gt;=55,W1495&lt;95),0.17,0)+IF(AND(V1495&gt;175,W1495&gt;=95),0.12,0),
IF(AF1495="DoEVLo",IF(AND(V1495&lt;20,W1495&lt;55),0.25,0)+IF(AND(V1495&lt;20,W1495&gt;=55,W1495&lt;105),0.2,0)+IF(AND(V1495&lt;20,W1495&gt;=105),0.15,0)+IF(AND(V1495&gt;=20,V1495&lt;40,W1495&lt;45),0.25,0)+IF(AND(V1495&gt;=20,V1495&lt;40,W1495&gt;=45,W1495&lt;95),0.2,0)+IF(AND(V1495&gt;=20,V1495&lt;40,W1495&gt;=95),0.15,0)+IF(AND(V1495&gt;=40,V1495&lt;75,W1495&lt;35),0.25,0)+IF(AND(V1495&gt;=40,V1495&lt;75,W1495&gt;=35,W1495&lt;75),0.2,0)+IF(AND(V1495&gt;=40,V1495&lt;75,W1495&gt;=75,W1495&lt;120),0.15,0)+IF(AND(V1495&gt;=40,V1495&lt;75,W1495&gt;=120),0.1,0)+IF(AND(V1495&gt;=75,V1495&lt;175,W1495&lt;35),0.25,0)+IF(AND(V1495&gt;=75,V1495&lt;=175,W1495&gt;=35,W1495&lt;65),0.2,0)+IF(AND(V1495&gt;=75,V1495&lt;=175,W1495&gt;=65,W1495&lt;110),0.15,0)+IF(AND(V1495&gt;=75,V1495&lt;=175,W1495&gt;=110),0.1,0)+IF(AND(V1495&gt;175,W1495&lt;25),0.25,0)+IF(AND(V1495&gt;175,W1495&gt;=25,W1495&lt;55),0.2,0)+IF(AND(V1495&gt;175,W1495&gt;=55,W1495&lt;95),0.15,0)+IF(AND(V1495&gt;175,W1495&gt;=95),0.1,0))))))))))))))))))))</f>
        <v>0.2</v>
      </c>
      <c r="Y1495" s="30">
        <f>IF(AG1495="None",0,IF(AG1495="Fix5",0.05, IF(AG1495="Fix6.25",0.0625,IF(AG1495="Fix3.75",0.0375, IF(AG1495="Fix11",0.11, IF(AG1495="Fix10",0.1,IF(AG1495="Fix3",0.03,0)))))))</f>
        <v>0</v>
      </c>
      <c r="Z1495" s="35">
        <f>IF(AND(AD1495="EUR", AE1495 = "USD"), T1495*U1495-AA1495-AB1495, T1495-AA1495-AB1495)</f>
        <v>-314.39060400000005</v>
      </c>
      <c r="AA1495" s="29">
        <f>IF(AND(AD1495="EUR", F1495="Without EV deal", AE1495="USD"), (T1495*X1495)*U1495,
IF(AND(AD1495="EUR", F1495="Without EV deal", AE1495="EUR"), (T1495*X1495),
IF(AND(AD1495="EUR",AE1495="USD"), (T1495*X1495)*U1495,
T1495*X1495)))</f>
        <v>-78.597651000000027</v>
      </c>
      <c r="AB1495" s="36">
        <f>IF(AND(AD1495="EUR", F1495="Without EV deal", AE1495="USD"), (T1495*Y1495)*U1495,
IF(AND(AD1495="EUR", F1495="Without EV deal", AE1495="EUR"), (T1495*Y1495),
IF(AND(AD1495="EUR",AE1495="USD"), (T1495*Y1495)*U1495,
T1495*Y1495)))</f>
        <v>0</v>
      </c>
      <c r="AC1495" s="37" t="b">
        <v>0</v>
      </c>
      <c r="AD1495" s="82" t="str">
        <f>IF(OR(H1495="€0.25 Flash",
H1495="€0.25(nitro) new",
H1495="€1",
H1495="€2",
H1495="€2 (bf 01.08)",
H1495="€5",
H1495="€5 (1M)",
H1495="€5 (bf 01.08)",
H1495="€5 (bf 05.05)",
H1495="€5 Nitro",
H1495="€5(wx) new",
H1495="€10",
H1495="€10 (1M)",
H1495="€10 (bf 01.08)",
H1495="€10 (bf 05.05)",
H1495="€10 (MP)",
H1495="€10 (old)",
H1495="€10 Nitro (bf 05.05)",
H1495="€10 Nitro (old)",
H1495="€10(wx) new",
H1495="€20",
H1495="€25",
H1495="€25 (bf 01.08)",
H1495="€25 (bf 05.05)",
H1495="€25 (MP)",
H1495="€25 (old)",
H1495="€25 Nitro",
H1495="€25 Nitro (bf 01.08)",
H1495="€25 Nitro (bf 05.05)",
H1495="€25(nitro) new",
H1495="€25(wx) new",
H1495="€50",
H1495="€50 (bf 01.08)",
H1495="€50 (bf 05.05)",
H1495="€50 (old)",
H1495="€50 Nitro",
H1495="€50 Nitro (bf 01.08)",
H1495="€50 Nitro (bf 05.05)",
H1495="€50(wx) new",
H1495="€100",
H1495="€100 (old)",
H1495="€100 Nitro",
H1495="€100 Nitro (old)",
H1495="€200",
H1495="€250",
H1495="€250 Nitro",
H1495="€500",
H1495="€500 Nitro"),"EUR", "USD")</f>
        <v>EUR</v>
      </c>
      <c r="AE1495" s="83" t="s">
        <v>38</v>
      </c>
      <c r="AF1495" s="83" t="str">
        <f t="array" ref="AF1495">INDEX('Deal Info'!D:D, MATCH(A1495,'Deal Info'!A:A, 0))</f>
        <v>DoEV2017</v>
      </c>
      <c r="AG1495" s="84" t="str">
        <f t="array" ref="AG1495">INDEX('Deal Info'!G:G, MATCH(A1495,'Deal Info'!A:A, 0))</f>
        <v>None</v>
      </c>
    </row>
    <row r="1496" spans="1:33" ht="14.25" hidden="1" x14ac:dyDescent="0.2">
      <c r="A1496" s="18" t="str">
        <f t="array" ref="A1496">IF(G1496='Room Info'!$B$1, INDEX('Room Info'!$A$2:$A2446, MATCH(B1496,'Room Info'!$B$2:$B2446, 0)),IF(G1496='Room Info'!$C$1, INDEX('Room Info'!$A$2:$A2446, MATCH(B1496,'Room Info'!$C$2:$C2446, 0)),IF(G1496='Room Info'!$D$1, INDEX('Room Info'!$A$2:$A2446, MATCH(B1496,'Room Info'!$D$2:$D2446, 0)),IF(G1496='Room Info'!$E$1, INDEX('Room Info'!$A$2:$A2446, MATCH(B1496,'Room Info'!$E$2:$E2446, 0)),IF(G1496='Room Info'!$F$1, INDEX('Room Info'!$A$2:$A2446, MATCH(B1496,'Room Info'!$F$2:$F2446, 0)),IF(G1496='Room Info'!$H$1, INDEX('Room Info'!$A$2:$A2446, MATCH(B1496,'Room Info'!$H$2:$H2446, 0)),IF(G1496='Room Info'!$G$1, INDEX('Room Info'!$A$2:$A2446, MATCH(B1496,'Room Info'!$G$2:$G2446, 0)))))))))</f>
        <v>Abcdf</v>
      </c>
      <c r="B1496" s="45" t="s">
        <v>222</v>
      </c>
      <c r="C1496" s="77">
        <v>44958</v>
      </c>
      <c r="D1496" s="77">
        <v>44985</v>
      </c>
      <c r="E1496" s="21">
        <v>44958</v>
      </c>
      <c r="F1496" s="22" t="s">
        <v>41</v>
      </c>
      <c r="G1496" s="45" t="s">
        <v>223</v>
      </c>
      <c r="H1496" s="81" t="s">
        <v>55</v>
      </c>
      <c r="I1496" s="23" t="s">
        <v>37</v>
      </c>
      <c r="J1496" s="39">
        <v>10</v>
      </c>
      <c r="K1496" s="51">
        <v>269</v>
      </c>
      <c r="L1496" s="113"/>
      <c r="M1496" s="62"/>
      <c r="N1496" s="28">
        <f>K1496*J1496</f>
        <v>2690</v>
      </c>
      <c r="O1496" s="54">
        <v>2630</v>
      </c>
      <c r="P1496" s="29">
        <v>9.7769516729999992</v>
      </c>
      <c r="Q1496" s="55">
        <v>0.5</v>
      </c>
      <c r="R1496" s="31">
        <f>M1496+Q1496*J1496*K1496*0.07</f>
        <v>94.15</v>
      </c>
      <c r="S1496" s="66"/>
      <c r="T1496" s="32">
        <f>IF(AND(AD1496="EUR", F1496="Without EV deal"), R1496 + L1496,
IF(AND(AD1496="USD", F1496="Without EV deal"), R1496 + L1496,
IF(AND(AD1496="EUR", F1496="Steel Phoenix"), R1496 + S1496/U1496,
R1496 + S1496)))</f>
        <v>94.15</v>
      </c>
      <c r="U1496" s="57">
        <v>1.0617000000000001</v>
      </c>
      <c r="V1496" s="58"/>
      <c r="W1496" s="58"/>
      <c r="X1496" s="30">
        <f>IF(AF1496="DoEV",IF(AND(V1496&lt;20,W1496&lt;55),0.3,0)+IF(AND(V1496&lt;20,W1496&gt;=55,W1496&lt;105),0.23,0)+IF(AND(V1496&lt;20,W1496&gt;=105),0.17,0)+IF(AND(V1496&gt;=20,V1496&lt;40,W1496&lt;45),0.3,0)+IF(AND(V1496&gt;=20,V1496&lt;40,W1496&gt;=45,W1496&lt;95),0.23,0)+IF(AND(V1496&gt;=20,V1496&lt;40,W1496&gt;=95),0.17,0)+IF(AND(V1496&gt;=40,V1496&lt;75,W1496&lt;35),0.3,0)+IF(AND(V1496&gt;=40,V1496&lt;75,W1496&gt;=35,W1496&lt;75),0.23,0)+IF(AND(V1496&gt;=40,V1496&lt;75,W1496&gt;=75,W1496&lt;120),0.17,0)+IF(AND(V1496&gt;=40,V1496&lt;75,W1496&gt;=120),0.12,0)+IF(AND(V1496&gt;=75,V1496&lt;175,W1496&lt;35),0.3,0)+IF(AND(V1496&gt;=75,V1496&lt;=175,W1496&gt;=35,W1496&lt;65),0.23,0)+IF(AND(V1496&gt;=75,V1496&lt;=175,W1496&gt;=65,W1496&lt;110),0.17,0)+IF(AND(V1496&gt;=75,V1496&lt;=175,W1496&gt;=110),0.12,0)+IF(AND(V1496&gt;175,W1496&lt;25),0.3,0)+IF(AND(V1496&gt;175,W1496&gt;=25,W1496&lt;55),0.23,0)+IF(AND(V1496&gt;175,W1496&gt;=55,W1496&lt;95),0.17,0)+IF(AND(V1496&gt;175,W1496&gt;=95),0.12,0),
IF(AF1496="Fix15",0.15,
IF(AF1496="Fix5",0.05,
IF(AF1496="Fix18.75",0.1875,
IF(AF1496="Fix11.25",0.1125,
IF(AF1496="Fix10",0.1,
IF(AF1496="Fix9",0.09,
IF(AF1496="Fix12",0.12,
IF(AF1496="Fix19",0.19,
IF(AF1496="DoEV2017",IF(AND(W1496&lt;74),0.2,0)+IF(AND(W1496&gt;=74),0.17,0),
IF(AF1496="SF",IF(AND(V1496&lt;20,W1496&lt;89),0.3,0)+IF(AND(V1496&lt;20,W1496&gt;=89),0.25,0)+IF(AND(V1496&gt;=20,V1496&lt;40,W1496&lt;74),0.3,0)+IF(AND(V1496&gt;=20,V1496&lt;40,W1496&gt;=75),0.22,0)+IF(AND(V1496&gt;=40,V1496&lt;75,W1496&lt;75),0.26,0)+IF(AND(V1496&gt;=40,V1496&lt;75,W1496&gt;=75),0.22,0)+IF(V1496&gt;=75,0.22,0),
IF(AF1496="DoEVold",IF(AND(V1496&lt;40,W1496&lt;35),0.35,0)+IF(AND(V1496&lt;40,W1496&gt;=35,W1496&lt;75),0.25,0)+IF(AND(V1496&lt;40,W1496&gt;=75),0.17,0)+IF(AND(V1496&gt;=40,V1496&lt;75,W1496&lt;25),0.35,0)+IF(AND(V1496&gt;=40,V1496&lt;75,W1496&gt;=25,W1496&lt;65),0.25,0)+IF(AND(V1496&gt;=40,V1496&lt;75,W1496&gt;=65,W1496&lt;100),0.17,0)+IF(AND(V1496&gt;=40,V1496&lt;75,W1496&gt;=100),0.1,0)+IF(AND(V1496&gt;=75,W1496&lt;25),0.35,0)+IF(AND(V1496&gt;=75,W1496&gt;=25,W1496&lt;60),0.25,0)+IF(AND(V1496&gt;=75,W1496&gt;=60,W1496&lt;95),0.17,0)+IF(AND(V1496&gt;=75,W1496&gt;=95),0.1,0),
IF(AF1496="DoEVold15",IF(AND(V1496&lt;=40,W1496&lt;35),0.35,0)+IF(AND(V1496&lt;=40,W1496&gt;=35,W1496&lt;75),0.25,0)+IF(AND(V1496&lt;=40,W1496&gt;=75,W1496&lt;120),0.17,0)+IF(AND(V1496&lt;=40,W1496&gt;=120),0.15,0)+IF(AND(V1496&gt;40,V1496&lt;75,W1496&lt;25),0.35,0)+IF(AND(V1496&gt;=40,V1496&lt;75,W1496&gt;=25,W1496&lt;65),0.25,0)+IF(AND(V1496&gt;=40,V1496&lt;75,W1496&gt;=65,W1496&lt;100),0.17,0)+IF(AND(V1496&gt;=40,V1496&lt;75,W1496&gt;=100),0.1,0)+IF(AND(V1496&gt;=75,W1496&lt;25),0.35,0)+IF(AND(V1496&gt;=75,W1496&gt;=25,W1496&lt;60),0.25,0)+IF(AND(V1496&gt;=75,W1496&gt;=60,W1496&lt;95),0.17,0)+IF(AND(V1496&gt;=75,W1496&gt;=95),0.1,0),
IF(AF1496="DoEVba",IF(AND(V1496&lt;20,W1496&lt;105),0.2,0)+IF(AND(V1496&lt;20,W1496&gt;=105),0.15,0)+IF(AND(V1496&gt;=20,V1496&lt;40,W1496&lt;95),0.2,0)+IF(AND(V1496&gt;=20,V1496&lt;40,W1496&gt;=95,W1496&lt;150),0.15,0)+IF(AND(V1496&gt;=20,V1496&lt;40,W1496&gt;=150),0.12,0)+IF(AND(V1496&gt;=40,V1496&lt;75,W1496&lt;75),0.2,0)+IF(AND(V1496&gt;=40,V1496&lt;75,W1496&gt;=75,W1496&lt;120),0.15,0)+IF(AND(V1496&gt;=40,V1496&lt;75,W1496&gt;=120),0.12,0)+IF(AND(V1496&gt;=75,V1496&lt;175,W1496&lt;65),0.2,0)+IF(AND(V1496&gt;=75,V1496&lt;175,W1496&gt;=65,W1496&lt;110),0.15,0)+IF(AND(V1496&gt;=75,V1496&lt;175,W1496&gt;=110),0.12,0)+IF(AND(V1496&gt;=175,W1496&lt;55),0.2,0)+IF(AND(V1496&gt;=175,W1496&gt;=55,W1496&lt;95),0.15,0)+IF(AND(V1496&gt;=175,W1496&gt;=95),0.12,0),
IF(AF1496="DoEVku",IF(AND(V1496&lt;20,W1496&lt;55),0.23,0)+IF(AND(V1496&lt;20,W1496&gt;=55,W1496&lt;105),0.2,0)+IF(AND(V1496&lt;20,W1496&gt;=105),0.17,0)+IF(AND(V1496&gt;=20,V1496&lt;40,W1496&lt;45),0.23,0)+IF(AND(V1496&gt;=20,V1496&lt;40,W1496&gt;=45,W1496&lt;95),0.2,0)+IF(AND(V1496&gt;=20,V1496&lt;40,W1496&gt;=95,W1496&lt;=150),0.17,0)+IF(AND(V1496&gt;=20,V1496&lt;40,W1496&gt;=150),0.12,0)+IF(AND(V1496&gt;=40,V1496&lt;75,W1496&lt;35),0.23,0)+IF(AND(V1496&gt;=40,V1496&lt;75,W1496&gt;=35,W1496&lt;75),0.2,0)+IF(AND(V1496&gt;=40,V1496&lt;75,W1496&gt;=75,W1496&lt;120),0.17,0)+IF(AND(V1496&gt;=40,V1496&lt;75,W1496&gt;=120),0.12,0)+IF(AND(V1496&gt;=75,V1496&lt;175,W1496&lt;35),0.23,0)+IF(AND(V1496&gt;=75,V1496&lt;=175,W1496&gt;=35,W1496&lt;65),0.2,0)+IF(AND(V1496&gt;=75,V1496&lt;=175,W1496&gt;=65,W1496&lt;110),0.17,0)+IF(AND(V1496&gt;=75,V1496&lt;=175,W1496&gt;=110),0.12,0)+IF(AND(V1496&gt;175,W1496&lt;25),0.23,0)+IF(AND(V1496&gt;175,W1496&gt;=25,W1496&lt;55),0.2,0)+IF(AND(V1496&gt;175,W1496&gt;=55,W1496&lt;95),0.17,0)+IF(AND(V1496&gt;175,W1496&gt;=95),0.12,0),
IF(AF1496="DoEVs1",IF(AND(V1496&lt;20,W1496&lt;55),0.3,0)+IF(AND(V1496&lt;20,W1496&gt;=55,W1496&lt;105),0.23,0)+IF(AND(V1496&lt;20,W1496&gt;=105),0.17,0)+IF(AND(V1496&gt;=20,V1496&lt;40,W1496&lt;45),0.3,0)+IF(AND(V1496&gt;=20,V1496&lt;40,W1496&gt;=45,W1496&lt;95),0.23,0)+IF(AND(V1496&gt;=20,V1496&lt;40,W1496&gt;=95,W1496&lt;=150),0.17,0)+IF(AND(V1496&gt;=20,V1496&lt;40,W1496&gt;=150),0.12,0)+IF(AND(V1496&gt;=40,V1496&lt;75,W1496&lt;35),0.3,0)+IF(AND(V1496&gt;=40,V1496&lt;75,W1496&gt;=35,W1496&lt;75),0.23,0)+IF(AND(V1496&gt;=40,V1496&lt;75,W1496&gt;=75,W1496&lt;120),0.17,0)+IF(AND(V1496&gt;=40,V1496&lt;75,W1496&gt;=120),0.12,0)+IF(AND(V1496&gt;=75,V1496&lt;175,W1496&lt;35),0.3,0)+IF(AND(V1496&gt;=75,V1496&lt;=175,W1496&gt;=35,W1496&lt;65),0.23,0)+IF(AND(V1496&gt;=75,V1496&lt;=175,W1496&gt;=65,W1496&lt;110),0.17,0)+IF(AND(V1496&gt;=75,V1496&lt;=175,W1496&gt;=110),0.12,0)+IF(AND(V1496&gt;175,W1496&lt;25),0.3,0)+IF(AND(V1496&gt;175,W1496&gt;=25,W1496&lt;55),0.23,0)+IF(AND(V1496&gt;175,W1496&gt;=55,W1496&lt;95),0.17,0)+IF(AND(V1496&gt;175,W1496&gt;=95),0.12,0),
IF(AF1496="DoEVsu",IF(AND(V1496&lt;20,W1496&lt;55),0.3,0)+IF(AND(V1496&lt;20,W1496&gt;=55,W1496&lt;105),0.23,0)+IF(AND(V1496&lt;20,W1496&gt;=105),0.17,0)+IF(AND(V1496&gt;=20,V1496&lt;40,W1496&lt;45),0.3,0)+IF(AND(V1496&gt;=20,V1496&lt;40,W1496&gt;=45,W1496&lt;95),0.23,0)+IF(AND(V1496&gt;=20,V1496&lt;40,W1496&gt;=95,W1496&lt;=250),0.17,0)+IF(AND(V1496&gt;=20,V1496&lt;40,W1496&gt;=250),0.12,0)+IF(AND(V1496&gt;=40,V1496&lt;75,W1496&lt;35),0.3,0)+IF(AND(V1496&gt;=40,V1496&lt;75,W1496&gt;=35,W1496&lt;75),0.23,0)+IF(AND(V1496&gt;=40,V1496&lt;75,W1496&gt;=75,W1496&lt;120),0.17,0)+IF(AND(V1496&gt;=40,V1496&lt;75,W1496&gt;=120),0.12,0)+IF(AND(V1496&gt;=75,V1496&lt;175,W1496&lt;35),0.3,0)+IF(AND(V1496&gt;=75,V1496&lt;=175,W1496&gt;=35,W1496&lt;65),0.23,0)+IF(AND(V1496&gt;=75,V1496&lt;=175,W1496&gt;=65,W1496&lt;110),0.17,0)+IF(AND(V1496&gt;=75,V1496&lt;=175,W1496&gt;=110),0.12,0)+IF(AND(V1496&gt;175,W1496&lt;25),0.3,0)+IF(AND(V1496&gt;175,W1496&gt;=25,W1496&lt;55),0.23,0)+IF(AND(V1496&gt;175,W1496&gt;=55,W1496&lt;95),0.17,0)+IF(AND(V1496&gt;175,W1496&gt;=95),0.12,0),
IF(AF1496="DoEVni",IF(AND(V1496&lt;20,W1496&lt;55),0.3,0)+IF(AND(V1496&lt;20,W1496&gt;=55,W1496&lt;105),0.23,0)+IF(AND(V1496&lt;20,W1496&gt;=105),0.17,0)+IF(AND(V1496&gt;=20,V1496&lt;40,W1496&lt;45),0.3,0)+IF(AND(V1496&gt;=20,V1496&lt;40,W1496&gt;=45,W1496&lt;95),0.23,0)+IF(AND(V1496&gt;=20,V1496&lt;40,W1496&gt;=95,W1496&lt;=200),0.17,0)+IF(AND(V1496&gt;=20,V1496&lt;40,W1496&gt;=200),0.12,0)+IF(AND(V1496&gt;=40,V1496&lt;75,W1496&lt;35),0.3,0)+IF(AND(V1496&gt;=40,V1496&lt;75,W1496&gt;=35,W1496&lt;75),0.23,0)+IF(AND(V1496&gt;=40,V1496&lt;75,W1496&gt;=75,W1496&lt;120),0.17,0)+IF(AND(V1496&gt;=40,V1496&lt;75,W1496&gt;=120),0.12,0)+IF(AND(V1496&gt;=75,V1496&lt;175,W1496&lt;35),0.3,0)+IF(AND(V1496&gt;=75,V1496&lt;=175,W1496&gt;=35,W1496&lt;65),0.23,0)+IF(AND(V1496&gt;=75,V1496&lt;=175,W1496&gt;=65,W1496&lt;110),0.17,0)+IF(AND(V1496&gt;=75,V1496&lt;=175,W1496&gt;=110),0.12,0)+IF(AND(V1496&gt;175,W1496&lt;25),0.3,0)+IF(AND(V1496&gt;175,W1496&gt;=25,W1496&lt;55),0.23,0)+IF(AND(V1496&gt;175,W1496&gt;=55,W1496&lt;95),0.17,0)+IF(AND(V1496&gt;175,W1496&gt;=95),0.12,0),
IF(AF1496="DoEVLo",IF(AND(V1496&lt;20,W1496&lt;55),0.25,0)+IF(AND(V1496&lt;20,W1496&gt;=55,W1496&lt;105),0.2,0)+IF(AND(V1496&lt;20,W1496&gt;=105),0.15,0)+IF(AND(V1496&gt;=20,V1496&lt;40,W1496&lt;45),0.25,0)+IF(AND(V1496&gt;=20,V1496&lt;40,W1496&gt;=45,W1496&lt;95),0.2,0)+IF(AND(V1496&gt;=20,V1496&lt;40,W1496&gt;=95),0.15,0)+IF(AND(V1496&gt;=40,V1496&lt;75,W1496&lt;35),0.25,0)+IF(AND(V1496&gt;=40,V1496&lt;75,W1496&gt;=35,W1496&lt;75),0.2,0)+IF(AND(V1496&gt;=40,V1496&lt;75,W1496&gt;=75,W1496&lt;120),0.15,0)+IF(AND(V1496&gt;=40,V1496&lt;75,W1496&gt;=120),0.1,0)+IF(AND(V1496&gt;=75,V1496&lt;175,W1496&lt;35),0.25,0)+IF(AND(V1496&gt;=75,V1496&lt;=175,W1496&gt;=35,W1496&lt;65),0.2,0)+IF(AND(V1496&gt;=75,V1496&lt;=175,W1496&gt;=65,W1496&lt;110),0.15,0)+IF(AND(V1496&gt;=75,V1496&lt;=175,W1496&gt;=110),0.1,0)+IF(AND(V1496&gt;175,W1496&lt;25),0.25,0)+IF(AND(V1496&gt;175,W1496&gt;=25,W1496&lt;55),0.2,0)+IF(AND(V1496&gt;175,W1496&gt;=55,W1496&lt;95),0.15,0)+IF(AND(V1496&gt;175,W1496&gt;=95),0.1,0))))))))))))))))))))</f>
        <v>0.2</v>
      </c>
      <c r="Y1496" s="30">
        <f>IF(AG1496="None",0,IF(AG1496="Fix5",0.05, IF(AG1496="Fix6.25",0.0625,IF(AG1496="Fix3.75",0.0375, IF(AG1496="Fix11",0.11, IF(AG1496="Fix10",0.1,IF(AG1496="Fix3",0.03,0)))))))</f>
        <v>0</v>
      </c>
      <c r="Z1496" s="35">
        <f>IF(AND(AD1496="EUR", AE1496 = "USD"), T1496*U1496-AA1496-AB1496, T1496-AA1496-AB1496)</f>
        <v>79.967244000000022</v>
      </c>
      <c r="AA1496" s="29">
        <f>IF(AND(AD1496="EUR", F1496="Without EV deal", AE1496="USD"), (T1496*X1496)*U1496,
IF(AND(AD1496="EUR", F1496="Without EV deal", AE1496="EUR"), (T1496*X1496),
IF(AND(AD1496="EUR",AE1496="USD"), (T1496*X1496)*U1496,
T1496*X1496)))</f>
        <v>19.991811000000002</v>
      </c>
      <c r="AB1496" s="36">
        <f>IF(AND(AD1496="EUR", F1496="Without EV deal", AE1496="USD"), (T1496*Y1496)*U1496,
IF(AND(AD1496="EUR", F1496="Without EV deal", AE1496="EUR"), (T1496*Y1496),
IF(AND(AD1496="EUR",AE1496="USD"), (T1496*Y1496)*U1496,
T1496*Y1496)))</f>
        <v>0</v>
      </c>
      <c r="AC1496" s="37" t="b">
        <v>0</v>
      </c>
      <c r="AD1496" s="82" t="str">
        <f>IF(OR(H1496="€0.25 Flash",
H1496="€0.25(nitro) new",
H1496="€1",
H1496="€2",
H1496="€2 (bf 01.08)",
H1496="€5",
H1496="€5 (1M)",
H1496="€5 (bf 01.08)",
H1496="€5 (bf 05.05)",
H1496="€5 Nitro",
H1496="€5(wx) new",
H1496="€10",
H1496="€10 (1M)",
H1496="€10 (bf 01.08)",
H1496="€10 (bf 05.05)",
H1496="€10 (MP)",
H1496="€10 (old)",
H1496="€10 Nitro (bf 05.05)",
H1496="€10 Nitro (old)",
H1496="€10(wx) new",
H1496="€20",
H1496="€25",
H1496="€25 (bf 01.08)",
H1496="€25 (bf 05.05)",
H1496="€25 (MP)",
H1496="€25 (old)",
H1496="€25 Nitro",
H1496="€25 Nitro (bf 01.08)",
H1496="€25 Nitro (bf 05.05)",
H1496="€25(nitro) new",
H1496="€25(wx) new",
H1496="€50",
H1496="€50 (bf 01.08)",
H1496="€50 (bf 05.05)",
H1496="€50 (old)",
H1496="€50 Nitro",
H1496="€50 Nitro (bf 01.08)",
H1496="€50 Nitro (bf 05.05)",
H1496="€50(wx) new",
H1496="€100",
H1496="€100 (old)",
H1496="€100 Nitro",
H1496="€100 Nitro (old)",
H1496="€200",
H1496="€250",
H1496="€250 Nitro",
H1496="€500",
H1496="€500 Nitro"),"EUR", "USD")</f>
        <v>EUR</v>
      </c>
      <c r="AE1496" s="83" t="s">
        <v>38</v>
      </c>
      <c r="AF1496" s="83" t="str">
        <f t="array" ref="AF1496">INDEX('Deal Info'!D:D, MATCH(A1496,'Deal Info'!A:A, 0))</f>
        <v>DoEV2017</v>
      </c>
      <c r="AG1496" s="84" t="str">
        <f t="array" ref="AG1496">INDEX('Deal Info'!G:G, MATCH(A1496,'Deal Info'!A:A, 0))</f>
        <v>None</v>
      </c>
    </row>
    <row r="1497" spans="1:33" ht="14.25" hidden="1" x14ac:dyDescent="0.2">
      <c r="A1497" s="18" t="str">
        <f t="array" ref="A1497">IF(G1497='Room Info'!$B$1, INDEX('Room Info'!$A$2:$A2446, MATCH(B1497,'Room Info'!$B$2:$B2446, 0)),IF(G1497='Room Info'!$C$1, INDEX('Room Info'!$A$2:$A2446, MATCH(B1497,'Room Info'!$C$2:$C2446, 0)),IF(G1497='Room Info'!$D$1, INDEX('Room Info'!$A$2:$A2446, MATCH(B1497,'Room Info'!$D$2:$D2446, 0)),IF(G1497='Room Info'!$E$1, INDEX('Room Info'!$A$2:$A2446, MATCH(B1497,'Room Info'!$E$2:$E2446, 0)),IF(G1497='Room Info'!$F$1, INDEX('Room Info'!$A$2:$A2446, MATCH(B1497,'Room Info'!$F$2:$F2446, 0)),IF(G1497='Room Info'!$H$1, INDEX('Room Info'!$A$2:$A2446, MATCH(B1497,'Room Info'!$H$2:$H2446, 0)),IF(G1497='Room Info'!$G$1, INDEX('Room Info'!$A$2:$A2446, MATCH(B1497,'Room Info'!$G$2:$G2446, 0)))))))))</f>
        <v>Abcdf</v>
      </c>
      <c r="B1497" s="45" t="s">
        <v>222</v>
      </c>
      <c r="C1497" s="77">
        <v>44958</v>
      </c>
      <c r="D1497" s="77">
        <v>44985</v>
      </c>
      <c r="E1497" s="21">
        <v>44958</v>
      </c>
      <c r="F1497" s="22" t="s">
        <v>41</v>
      </c>
      <c r="G1497" s="45" t="s">
        <v>223</v>
      </c>
      <c r="H1497" s="81" t="s">
        <v>56</v>
      </c>
      <c r="I1497" s="23" t="s">
        <v>37</v>
      </c>
      <c r="J1497" s="39">
        <v>20</v>
      </c>
      <c r="K1497" s="51">
        <v>67</v>
      </c>
      <c r="L1497" s="113"/>
      <c r="M1497" s="62"/>
      <c r="N1497" s="28">
        <f>K1497*J1497</f>
        <v>1340</v>
      </c>
      <c r="O1497" s="54">
        <v>-6924</v>
      </c>
      <c r="P1497" s="29">
        <v>-103.34328360000001</v>
      </c>
      <c r="Q1497" s="55">
        <v>0.5</v>
      </c>
      <c r="R1497" s="31">
        <f>M1497+Q1497*J1497*K1497*0.07</f>
        <v>46.900000000000006</v>
      </c>
      <c r="S1497" s="66"/>
      <c r="T1497" s="32">
        <f>IF(AND(AD1497="EUR", F1497="Without EV deal"), R1497 + L1497,
IF(AND(AD1497="USD", F1497="Without EV deal"), R1497 + L1497,
IF(AND(AD1497="EUR", F1497="Steel Phoenix"), R1497 + S1497/U1497,
R1497 + S1497)))</f>
        <v>46.900000000000006</v>
      </c>
      <c r="U1497" s="57">
        <v>1.0617000000000001</v>
      </c>
      <c r="V1497" s="58"/>
      <c r="W1497" s="58"/>
      <c r="X1497" s="30">
        <f>IF(AF1497="DoEV",IF(AND(V1497&lt;20,W1497&lt;55),0.3,0)+IF(AND(V1497&lt;20,W1497&gt;=55,W1497&lt;105),0.23,0)+IF(AND(V1497&lt;20,W1497&gt;=105),0.17,0)+IF(AND(V1497&gt;=20,V1497&lt;40,W1497&lt;45),0.3,0)+IF(AND(V1497&gt;=20,V1497&lt;40,W1497&gt;=45,W1497&lt;95),0.23,0)+IF(AND(V1497&gt;=20,V1497&lt;40,W1497&gt;=95),0.17,0)+IF(AND(V1497&gt;=40,V1497&lt;75,W1497&lt;35),0.3,0)+IF(AND(V1497&gt;=40,V1497&lt;75,W1497&gt;=35,W1497&lt;75),0.23,0)+IF(AND(V1497&gt;=40,V1497&lt;75,W1497&gt;=75,W1497&lt;120),0.17,0)+IF(AND(V1497&gt;=40,V1497&lt;75,W1497&gt;=120),0.12,0)+IF(AND(V1497&gt;=75,V1497&lt;175,W1497&lt;35),0.3,0)+IF(AND(V1497&gt;=75,V1497&lt;=175,W1497&gt;=35,W1497&lt;65),0.23,0)+IF(AND(V1497&gt;=75,V1497&lt;=175,W1497&gt;=65,W1497&lt;110),0.17,0)+IF(AND(V1497&gt;=75,V1497&lt;=175,W1497&gt;=110),0.12,0)+IF(AND(V1497&gt;175,W1497&lt;25),0.3,0)+IF(AND(V1497&gt;175,W1497&gt;=25,W1497&lt;55),0.23,0)+IF(AND(V1497&gt;175,W1497&gt;=55,W1497&lt;95),0.17,0)+IF(AND(V1497&gt;175,W1497&gt;=95),0.12,0),
IF(AF1497="Fix15",0.15,
IF(AF1497="Fix5",0.05,
IF(AF1497="Fix18.75",0.1875,
IF(AF1497="Fix11.25",0.1125,
IF(AF1497="Fix10",0.1,
IF(AF1497="Fix9",0.09,
IF(AF1497="Fix12",0.12,
IF(AF1497="Fix19",0.19,
IF(AF1497="DoEV2017",IF(AND(W1497&lt;74),0.2,0)+IF(AND(W1497&gt;=74),0.17,0),
IF(AF1497="SF",IF(AND(V1497&lt;20,W1497&lt;89),0.3,0)+IF(AND(V1497&lt;20,W1497&gt;=89),0.25,0)+IF(AND(V1497&gt;=20,V1497&lt;40,W1497&lt;74),0.3,0)+IF(AND(V1497&gt;=20,V1497&lt;40,W1497&gt;=75),0.22,0)+IF(AND(V1497&gt;=40,V1497&lt;75,W1497&lt;75),0.26,0)+IF(AND(V1497&gt;=40,V1497&lt;75,W1497&gt;=75),0.22,0)+IF(V1497&gt;=75,0.22,0),
IF(AF1497="DoEVold",IF(AND(V1497&lt;40,W1497&lt;35),0.35,0)+IF(AND(V1497&lt;40,W1497&gt;=35,W1497&lt;75),0.25,0)+IF(AND(V1497&lt;40,W1497&gt;=75),0.17,0)+IF(AND(V1497&gt;=40,V1497&lt;75,W1497&lt;25),0.35,0)+IF(AND(V1497&gt;=40,V1497&lt;75,W1497&gt;=25,W1497&lt;65),0.25,0)+IF(AND(V1497&gt;=40,V1497&lt;75,W1497&gt;=65,W1497&lt;100),0.17,0)+IF(AND(V1497&gt;=40,V1497&lt;75,W1497&gt;=100),0.1,0)+IF(AND(V1497&gt;=75,W1497&lt;25),0.35,0)+IF(AND(V1497&gt;=75,W1497&gt;=25,W1497&lt;60),0.25,0)+IF(AND(V1497&gt;=75,W1497&gt;=60,W1497&lt;95),0.17,0)+IF(AND(V1497&gt;=75,W1497&gt;=95),0.1,0),
IF(AF1497="DoEVold15",IF(AND(V1497&lt;=40,W1497&lt;35),0.35,0)+IF(AND(V1497&lt;=40,W1497&gt;=35,W1497&lt;75),0.25,0)+IF(AND(V1497&lt;=40,W1497&gt;=75,W1497&lt;120),0.17,0)+IF(AND(V1497&lt;=40,W1497&gt;=120),0.15,0)+IF(AND(V1497&gt;40,V1497&lt;75,W1497&lt;25),0.35,0)+IF(AND(V1497&gt;=40,V1497&lt;75,W1497&gt;=25,W1497&lt;65),0.25,0)+IF(AND(V1497&gt;=40,V1497&lt;75,W1497&gt;=65,W1497&lt;100),0.17,0)+IF(AND(V1497&gt;=40,V1497&lt;75,W1497&gt;=100),0.1,0)+IF(AND(V1497&gt;=75,W1497&lt;25),0.35,0)+IF(AND(V1497&gt;=75,W1497&gt;=25,W1497&lt;60),0.25,0)+IF(AND(V1497&gt;=75,W1497&gt;=60,W1497&lt;95),0.17,0)+IF(AND(V1497&gt;=75,W1497&gt;=95),0.1,0),
IF(AF1497="DoEVba",IF(AND(V1497&lt;20,W1497&lt;105),0.2,0)+IF(AND(V1497&lt;20,W1497&gt;=105),0.15,0)+IF(AND(V1497&gt;=20,V1497&lt;40,W1497&lt;95),0.2,0)+IF(AND(V1497&gt;=20,V1497&lt;40,W1497&gt;=95,W1497&lt;150),0.15,0)+IF(AND(V1497&gt;=20,V1497&lt;40,W1497&gt;=150),0.12,0)+IF(AND(V1497&gt;=40,V1497&lt;75,W1497&lt;75),0.2,0)+IF(AND(V1497&gt;=40,V1497&lt;75,W1497&gt;=75,W1497&lt;120),0.15,0)+IF(AND(V1497&gt;=40,V1497&lt;75,W1497&gt;=120),0.12,0)+IF(AND(V1497&gt;=75,V1497&lt;175,W1497&lt;65),0.2,0)+IF(AND(V1497&gt;=75,V1497&lt;175,W1497&gt;=65,W1497&lt;110),0.15,0)+IF(AND(V1497&gt;=75,V1497&lt;175,W1497&gt;=110),0.12,0)+IF(AND(V1497&gt;=175,W1497&lt;55),0.2,0)+IF(AND(V1497&gt;=175,W1497&gt;=55,W1497&lt;95),0.15,0)+IF(AND(V1497&gt;=175,W1497&gt;=95),0.12,0),
IF(AF1497="DoEVku",IF(AND(V1497&lt;20,W1497&lt;55),0.23,0)+IF(AND(V1497&lt;20,W1497&gt;=55,W1497&lt;105),0.2,0)+IF(AND(V1497&lt;20,W1497&gt;=105),0.17,0)+IF(AND(V1497&gt;=20,V1497&lt;40,W1497&lt;45),0.23,0)+IF(AND(V1497&gt;=20,V1497&lt;40,W1497&gt;=45,W1497&lt;95),0.2,0)+IF(AND(V1497&gt;=20,V1497&lt;40,W1497&gt;=95,W1497&lt;=150),0.17,0)+IF(AND(V1497&gt;=20,V1497&lt;40,W1497&gt;=150),0.12,0)+IF(AND(V1497&gt;=40,V1497&lt;75,W1497&lt;35),0.23,0)+IF(AND(V1497&gt;=40,V1497&lt;75,W1497&gt;=35,W1497&lt;75),0.2,0)+IF(AND(V1497&gt;=40,V1497&lt;75,W1497&gt;=75,W1497&lt;120),0.17,0)+IF(AND(V1497&gt;=40,V1497&lt;75,W1497&gt;=120),0.12,0)+IF(AND(V1497&gt;=75,V1497&lt;175,W1497&lt;35),0.23,0)+IF(AND(V1497&gt;=75,V1497&lt;=175,W1497&gt;=35,W1497&lt;65),0.2,0)+IF(AND(V1497&gt;=75,V1497&lt;=175,W1497&gt;=65,W1497&lt;110),0.17,0)+IF(AND(V1497&gt;=75,V1497&lt;=175,W1497&gt;=110),0.12,0)+IF(AND(V1497&gt;175,W1497&lt;25),0.23,0)+IF(AND(V1497&gt;175,W1497&gt;=25,W1497&lt;55),0.2,0)+IF(AND(V1497&gt;175,W1497&gt;=55,W1497&lt;95),0.17,0)+IF(AND(V1497&gt;175,W1497&gt;=95),0.12,0),
IF(AF1497="DoEVs1",IF(AND(V1497&lt;20,W1497&lt;55),0.3,0)+IF(AND(V1497&lt;20,W1497&gt;=55,W1497&lt;105),0.23,0)+IF(AND(V1497&lt;20,W1497&gt;=105),0.17,0)+IF(AND(V1497&gt;=20,V1497&lt;40,W1497&lt;45),0.3,0)+IF(AND(V1497&gt;=20,V1497&lt;40,W1497&gt;=45,W1497&lt;95),0.23,0)+IF(AND(V1497&gt;=20,V1497&lt;40,W1497&gt;=95,W1497&lt;=150),0.17,0)+IF(AND(V1497&gt;=20,V1497&lt;40,W1497&gt;=150),0.12,0)+IF(AND(V1497&gt;=40,V1497&lt;75,W1497&lt;35),0.3,0)+IF(AND(V1497&gt;=40,V1497&lt;75,W1497&gt;=35,W1497&lt;75),0.23,0)+IF(AND(V1497&gt;=40,V1497&lt;75,W1497&gt;=75,W1497&lt;120),0.17,0)+IF(AND(V1497&gt;=40,V1497&lt;75,W1497&gt;=120),0.12,0)+IF(AND(V1497&gt;=75,V1497&lt;175,W1497&lt;35),0.3,0)+IF(AND(V1497&gt;=75,V1497&lt;=175,W1497&gt;=35,W1497&lt;65),0.23,0)+IF(AND(V1497&gt;=75,V1497&lt;=175,W1497&gt;=65,W1497&lt;110),0.17,0)+IF(AND(V1497&gt;=75,V1497&lt;=175,W1497&gt;=110),0.12,0)+IF(AND(V1497&gt;175,W1497&lt;25),0.3,0)+IF(AND(V1497&gt;175,W1497&gt;=25,W1497&lt;55),0.23,0)+IF(AND(V1497&gt;175,W1497&gt;=55,W1497&lt;95),0.17,0)+IF(AND(V1497&gt;175,W1497&gt;=95),0.12,0),
IF(AF1497="DoEVsu",IF(AND(V1497&lt;20,W1497&lt;55),0.3,0)+IF(AND(V1497&lt;20,W1497&gt;=55,W1497&lt;105),0.23,0)+IF(AND(V1497&lt;20,W1497&gt;=105),0.17,0)+IF(AND(V1497&gt;=20,V1497&lt;40,W1497&lt;45),0.3,0)+IF(AND(V1497&gt;=20,V1497&lt;40,W1497&gt;=45,W1497&lt;95),0.23,0)+IF(AND(V1497&gt;=20,V1497&lt;40,W1497&gt;=95,W1497&lt;=250),0.17,0)+IF(AND(V1497&gt;=20,V1497&lt;40,W1497&gt;=250),0.12,0)+IF(AND(V1497&gt;=40,V1497&lt;75,W1497&lt;35),0.3,0)+IF(AND(V1497&gt;=40,V1497&lt;75,W1497&gt;=35,W1497&lt;75),0.23,0)+IF(AND(V1497&gt;=40,V1497&lt;75,W1497&gt;=75,W1497&lt;120),0.17,0)+IF(AND(V1497&gt;=40,V1497&lt;75,W1497&gt;=120),0.12,0)+IF(AND(V1497&gt;=75,V1497&lt;175,W1497&lt;35),0.3,0)+IF(AND(V1497&gt;=75,V1497&lt;=175,W1497&gt;=35,W1497&lt;65),0.23,0)+IF(AND(V1497&gt;=75,V1497&lt;=175,W1497&gt;=65,W1497&lt;110),0.17,0)+IF(AND(V1497&gt;=75,V1497&lt;=175,W1497&gt;=110),0.12,0)+IF(AND(V1497&gt;175,W1497&lt;25),0.3,0)+IF(AND(V1497&gt;175,W1497&gt;=25,W1497&lt;55),0.23,0)+IF(AND(V1497&gt;175,W1497&gt;=55,W1497&lt;95),0.17,0)+IF(AND(V1497&gt;175,W1497&gt;=95),0.12,0),
IF(AF1497="DoEVni",IF(AND(V1497&lt;20,W1497&lt;55),0.3,0)+IF(AND(V1497&lt;20,W1497&gt;=55,W1497&lt;105),0.23,0)+IF(AND(V1497&lt;20,W1497&gt;=105),0.17,0)+IF(AND(V1497&gt;=20,V1497&lt;40,W1497&lt;45),0.3,0)+IF(AND(V1497&gt;=20,V1497&lt;40,W1497&gt;=45,W1497&lt;95),0.23,0)+IF(AND(V1497&gt;=20,V1497&lt;40,W1497&gt;=95,W1497&lt;=200),0.17,0)+IF(AND(V1497&gt;=20,V1497&lt;40,W1497&gt;=200),0.12,0)+IF(AND(V1497&gt;=40,V1497&lt;75,W1497&lt;35),0.3,0)+IF(AND(V1497&gt;=40,V1497&lt;75,W1497&gt;=35,W1497&lt;75),0.23,0)+IF(AND(V1497&gt;=40,V1497&lt;75,W1497&gt;=75,W1497&lt;120),0.17,0)+IF(AND(V1497&gt;=40,V1497&lt;75,W1497&gt;=120),0.12,0)+IF(AND(V1497&gt;=75,V1497&lt;175,W1497&lt;35),0.3,0)+IF(AND(V1497&gt;=75,V1497&lt;=175,W1497&gt;=35,W1497&lt;65),0.23,0)+IF(AND(V1497&gt;=75,V1497&lt;=175,W1497&gt;=65,W1497&lt;110),0.17,0)+IF(AND(V1497&gt;=75,V1497&lt;=175,W1497&gt;=110),0.12,0)+IF(AND(V1497&gt;175,W1497&lt;25),0.3,0)+IF(AND(V1497&gt;175,W1497&gt;=25,W1497&lt;55),0.23,0)+IF(AND(V1497&gt;175,W1497&gt;=55,W1497&lt;95),0.17,0)+IF(AND(V1497&gt;175,W1497&gt;=95),0.12,0),
IF(AF1497="DoEVLo",IF(AND(V1497&lt;20,W1497&lt;55),0.25,0)+IF(AND(V1497&lt;20,W1497&gt;=55,W1497&lt;105),0.2,0)+IF(AND(V1497&lt;20,W1497&gt;=105),0.15,0)+IF(AND(V1497&gt;=20,V1497&lt;40,W1497&lt;45),0.25,0)+IF(AND(V1497&gt;=20,V1497&lt;40,W1497&gt;=45,W1497&lt;95),0.2,0)+IF(AND(V1497&gt;=20,V1497&lt;40,W1497&gt;=95),0.15,0)+IF(AND(V1497&gt;=40,V1497&lt;75,W1497&lt;35),0.25,0)+IF(AND(V1497&gt;=40,V1497&lt;75,W1497&gt;=35,W1497&lt;75),0.2,0)+IF(AND(V1497&gt;=40,V1497&lt;75,W1497&gt;=75,W1497&lt;120),0.15,0)+IF(AND(V1497&gt;=40,V1497&lt;75,W1497&gt;=120),0.1,0)+IF(AND(V1497&gt;=75,V1497&lt;175,W1497&lt;35),0.25,0)+IF(AND(V1497&gt;=75,V1497&lt;=175,W1497&gt;=35,W1497&lt;65),0.2,0)+IF(AND(V1497&gt;=75,V1497&lt;=175,W1497&gt;=65,W1497&lt;110),0.15,0)+IF(AND(V1497&gt;=75,V1497&lt;=175,W1497&gt;=110),0.1,0)+IF(AND(V1497&gt;175,W1497&lt;25),0.25,0)+IF(AND(V1497&gt;175,W1497&gt;=25,W1497&lt;55),0.2,0)+IF(AND(V1497&gt;175,W1497&gt;=55,W1497&lt;95),0.15,0)+IF(AND(V1497&gt;175,W1497&gt;=95),0.1,0))))))))))))))))))))</f>
        <v>0.2</v>
      </c>
      <c r="Y1497" s="30">
        <f>IF(AG1497="None",0,IF(AG1497="Fix5",0.05, IF(AG1497="Fix6.25",0.0625,IF(AG1497="Fix3.75",0.0375, IF(AG1497="Fix11",0.11, IF(AG1497="Fix10",0.1,IF(AG1497="Fix3",0.03,0)))))))</f>
        <v>0</v>
      </c>
      <c r="Z1497" s="35">
        <f>IF(AND(AD1497="EUR", AE1497 = "USD"), T1497*U1497-AA1497-AB1497, T1497-AA1497-AB1497)</f>
        <v>39.834984000000006</v>
      </c>
      <c r="AA1497" s="29">
        <f>IF(AND(AD1497="EUR", F1497="Without EV deal", AE1497="USD"), (T1497*X1497)*U1497,
IF(AND(AD1497="EUR", F1497="Without EV deal", AE1497="EUR"), (T1497*X1497),
IF(AND(AD1497="EUR",AE1497="USD"), (T1497*X1497)*U1497,
T1497*X1497)))</f>
        <v>9.9587460000000014</v>
      </c>
      <c r="AB1497" s="36">
        <f>IF(AND(AD1497="EUR", F1497="Without EV deal", AE1497="USD"), (T1497*Y1497)*U1497,
IF(AND(AD1497="EUR", F1497="Without EV deal", AE1497="EUR"), (T1497*Y1497),
IF(AND(AD1497="EUR",AE1497="USD"), (T1497*Y1497)*U1497,
T1497*Y1497)))</f>
        <v>0</v>
      </c>
      <c r="AC1497" s="37" t="b">
        <v>0</v>
      </c>
      <c r="AD1497" s="82" t="str">
        <f>IF(OR(H1497="€0.25 Flash",
H1497="€0.25(nitro) new",
H1497="€1",
H1497="€2",
H1497="€2 (bf 01.08)",
H1497="€5",
H1497="€5 (1M)",
H1497="€5 (bf 01.08)",
H1497="€5 (bf 05.05)",
H1497="€5 Nitro",
H1497="€5(wx) new",
H1497="€10",
H1497="€10 (1M)",
H1497="€10 (bf 01.08)",
H1497="€10 (bf 05.05)",
H1497="€10 (MP)",
H1497="€10 (old)",
H1497="€10 Nitro (bf 05.05)",
H1497="€10 Nitro (old)",
H1497="€10(wx) new",
H1497="€20",
H1497="€25",
H1497="€25 (bf 01.08)",
H1497="€25 (bf 05.05)",
H1497="€25 (MP)",
H1497="€25 (old)",
H1497="€25 Nitro",
H1497="€25 Nitro (bf 01.08)",
H1497="€25 Nitro (bf 05.05)",
H1497="€25(nitro) new",
H1497="€25(wx) new",
H1497="€50",
H1497="€50 (bf 01.08)",
H1497="€50 (bf 05.05)",
H1497="€50 (old)",
H1497="€50 Nitro",
H1497="€50 Nitro (bf 01.08)",
H1497="€50 Nitro (bf 05.05)",
H1497="€50(wx) new",
H1497="€100",
H1497="€100 (old)",
H1497="€100 Nitro",
H1497="€100 Nitro (old)",
H1497="€200",
H1497="€250",
H1497="€250 Nitro",
H1497="€500",
H1497="€500 Nitro"),"EUR", "USD")</f>
        <v>EUR</v>
      </c>
      <c r="AE1497" s="83" t="s">
        <v>38</v>
      </c>
      <c r="AF1497" s="83" t="str">
        <f t="array" ref="AF1497">INDEX('Deal Info'!D:D, MATCH(A1497,'Deal Info'!A:A, 0))</f>
        <v>DoEV2017</v>
      </c>
      <c r="AG1497" s="84" t="str">
        <f t="array" ref="AG1497">INDEX('Deal Info'!G:G, MATCH(A1497,'Deal Info'!A:A, 0))</f>
        <v>None</v>
      </c>
    </row>
    <row r="1498" spans="1:33" ht="14.25" hidden="1" x14ac:dyDescent="0.2">
      <c r="A1498" s="18" t="str">
        <f t="array" ref="A1498">IF(G1498='Room Info'!$B$1, INDEX('Room Info'!$A$2:$A2446, MATCH(B1498,'Room Info'!$B$2:$B2446, 0)),IF(G1498='Room Info'!$C$1, INDEX('Room Info'!$A$2:$A2446, MATCH(B1498,'Room Info'!$C$2:$C2446, 0)),IF(G1498='Room Info'!$D$1, INDEX('Room Info'!$A$2:$A2446, MATCH(B1498,'Room Info'!$D$2:$D2446, 0)),IF(G1498='Room Info'!$E$1, INDEX('Room Info'!$A$2:$A2446, MATCH(B1498,'Room Info'!$E$2:$E2446, 0)),IF(G1498='Room Info'!$F$1, INDEX('Room Info'!$A$2:$A2446, MATCH(B1498,'Room Info'!$F$2:$F2446, 0)),IF(G1498='Room Info'!$H$1, INDEX('Room Info'!$A$2:$A2446, MATCH(B1498,'Room Info'!$H$2:$H2446, 0)),IF(G1498='Room Info'!$G$1, INDEX('Room Info'!$A$2:$A2446, MATCH(B1498,'Room Info'!$G$2:$G2446, 0)))))))))</f>
        <v>Davaibablo</v>
      </c>
      <c r="B1498" s="45" t="s">
        <v>157</v>
      </c>
      <c r="C1498" s="77">
        <v>44958</v>
      </c>
      <c r="D1498" s="77">
        <v>44985</v>
      </c>
      <c r="E1498" s="21">
        <v>44958</v>
      </c>
      <c r="F1498" s="22" t="s">
        <v>41</v>
      </c>
      <c r="G1498" s="45" t="s">
        <v>223</v>
      </c>
      <c r="H1498" s="81" t="s">
        <v>224</v>
      </c>
      <c r="I1498" s="23" t="s">
        <v>37</v>
      </c>
      <c r="J1498" s="39">
        <v>1</v>
      </c>
      <c r="K1498" s="51">
        <v>1</v>
      </c>
      <c r="L1498" s="113">
        <f>2273.57-5.52-2000+100+400+400+380+1000+400-1273</f>
        <v>1675.0500000000002</v>
      </c>
      <c r="M1498" s="62"/>
      <c r="N1498" s="28">
        <f>K1498*J1498</f>
        <v>1</v>
      </c>
      <c r="O1498" s="65">
        <f>568*1</f>
        <v>568</v>
      </c>
      <c r="P1498" s="29">
        <v>568</v>
      </c>
      <c r="Q1498" s="55">
        <v>0.5</v>
      </c>
      <c r="R1498" s="31">
        <f>M1498+Q1498*J1498*K1498*0.07</f>
        <v>3.5000000000000003E-2</v>
      </c>
      <c r="S1498" s="66"/>
      <c r="T1498" s="32">
        <f>IF(AND(AD1498="EUR", F1498="Without EV deal"), R1498 + L1498,
IF(AND(AD1498="USD", F1498="Without EV deal"), R1498 + L1498,
IF(AND(AD1498="EUR", F1498="Steel Phoenix"), R1498 + S1498/U1498,
R1498 + S1498)))</f>
        <v>1675.0850000000003</v>
      </c>
      <c r="U1498" s="57">
        <v>1.0617000000000001</v>
      </c>
      <c r="V1498" s="58">
        <v>19.86</v>
      </c>
      <c r="W1498" s="58">
        <v>148.46874249999999</v>
      </c>
      <c r="X1498" s="30">
        <f>IF(AF1498="DoEV",IF(AND(V1498&lt;20,W1498&lt;55),0.3,0)+IF(AND(V1498&lt;20,W1498&gt;=55,W1498&lt;105),0.23,0)+IF(AND(V1498&lt;20,W1498&gt;=105),0.17,0)+IF(AND(V1498&gt;=20,V1498&lt;40,W1498&lt;45),0.3,0)+IF(AND(V1498&gt;=20,V1498&lt;40,W1498&gt;=45,W1498&lt;95),0.23,0)+IF(AND(V1498&gt;=20,V1498&lt;40,W1498&gt;=95),0.17,0)+IF(AND(V1498&gt;=40,V1498&lt;75,W1498&lt;35),0.3,0)+IF(AND(V1498&gt;=40,V1498&lt;75,W1498&gt;=35,W1498&lt;75),0.23,0)+IF(AND(V1498&gt;=40,V1498&lt;75,W1498&gt;=75,W1498&lt;120),0.17,0)+IF(AND(V1498&gt;=40,V1498&lt;75,W1498&gt;=120),0.12,0)+IF(AND(V1498&gt;=75,V1498&lt;175,W1498&lt;35),0.3,0)+IF(AND(V1498&gt;=75,V1498&lt;=175,W1498&gt;=35,W1498&lt;65),0.23,0)+IF(AND(V1498&gt;=75,V1498&lt;=175,W1498&gt;=65,W1498&lt;110),0.17,0)+IF(AND(V1498&gt;=75,V1498&lt;=175,W1498&gt;=110),0.12,0)+IF(AND(V1498&gt;175,W1498&lt;25),0.3,0)+IF(AND(V1498&gt;175,W1498&gt;=25,W1498&lt;55),0.23,0)+IF(AND(V1498&gt;175,W1498&gt;=55,W1498&lt;95),0.17,0)+IF(AND(V1498&gt;175,W1498&gt;=95),0.12,0),
IF(AF1498="Fix15",0.15,
IF(AF1498="Fix5",0.05,
IF(AF1498="Fix18.75",0.1875,
IF(AF1498="Fix11.25",0.1125,
IF(AF1498="Fix10",0.1,
IF(AF1498="Fix9",0.09,
IF(AF1498="Fix12",0.12,
IF(AF1498="Fix19",0.19,
IF(AF1498="DoEV2017",IF(AND(W1498&lt;74),0.2,0)+IF(AND(W1498&gt;=74),0.17,0),
IF(AF1498="SF",IF(AND(V1498&lt;20,W1498&lt;89),0.3,0)+IF(AND(V1498&lt;20,W1498&gt;=89),0.25,0)+IF(AND(V1498&gt;=20,V1498&lt;40,W1498&lt;74),0.3,0)+IF(AND(V1498&gt;=20,V1498&lt;40,W1498&gt;=75),0.22,0)+IF(AND(V1498&gt;=40,V1498&lt;75,W1498&lt;75),0.26,0)+IF(AND(V1498&gt;=40,V1498&lt;75,W1498&gt;=75),0.22,0)+IF(V1498&gt;=75,0.22,0),
IF(AF1498="DoEVold",IF(AND(V1498&lt;40,W1498&lt;35),0.35,0)+IF(AND(V1498&lt;40,W1498&gt;=35,W1498&lt;75),0.25,0)+IF(AND(V1498&lt;40,W1498&gt;=75),0.17,0)+IF(AND(V1498&gt;=40,V1498&lt;75,W1498&lt;25),0.35,0)+IF(AND(V1498&gt;=40,V1498&lt;75,W1498&gt;=25,W1498&lt;65),0.25,0)+IF(AND(V1498&gt;=40,V1498&lt;75,W1498&gt;=65,W1498&lt;100),0.17,0)+IF(AND(V1498&gt;=40,V1498&lt;75,W1498&gt;=100),0.1,0)+IF(AND(V1498&gt;=75,W1498&lt;25),0.35,0)+IF(AND(V1498&gt;=75,W1498&gt;=25,W1498&lt;60),0.25,0)+IF(AND(V1498&gt;=75,W1498&gt;=60,W1498&lt;95),0.17,0)+IF(AND(V1498&gt;=75,W1498&gt;=95),0.1,0),
IF(AF1498="DoEVold15",IF(AND(V1498&lt;=40,W1498&lt;35),0.35,0)+IF(AND(V1498&lt;=40,W1498&gt;=35,W1498&lt;75),0.25,0)+IF(AND(V1498&lt;=40,W1498&gt;=75,W1498&lt;120),0.17,0)+IF(AND(V1498&lt;=40,W1498&gt;=120),0.15,0)+IF(AND(V1498&gt;40,V1498&lt;75,W1498&lt;25),0.35,0)+IF(AND(V1498&gt;=40,V1498&lt;75,W1498&gt;=25,W1498&lt;65),0.25,0)+IF(AND(V1498&gt;=40,V1498&lt;75,W1498&gt;=65,W1498&lt;100),0.17,0)+IF(AND(V1498&gt;=40,V1498&lt;75,W1498&gt;=100),0.1,0)+IF(AND(V1498&gt;=75,W1498&lt;25),0.35,0)+IF(AND(V1498&gt;=75,W1498&gt;=25,W1498&lt;60),0.25,0)+IF(AND(V1498&gt;=75,W1498&gt;=60,W1498&lt;95),0.17,0)+IF(AND(V1498&gt;=75,W1498&gt;=95),0.1,0),
IF(AF1498="DoEVba",IF(AND(V1498&lt;20,W1498&lt;105),0.2,0)+IF(AND(V1498&lt;20,W1498&gt;=105),0.15,0)+IF(AND(V1498&gt;=20,V1498&lt;40,W1498&lt;95),0.2,0)+IF(AND(V1498&gt;=20,V1498&lt;40,W1498&gt;=95,W1498&lt;150),0.15,0)+IF(AND(V1498&gt;=20,V1498&lt;40,W1498&gt;=150),0.12,0)+IF(AND(V1498&gt;=40,V1498&lt;75,W1498&lt;75),0.2,0)+IF(AND(V1498&gt;=40,V1498&lt;75,W1498&gt;=75,W1498&lt;120),0.15,0)+IF(AND(V1498&gt;=40,V1498&lt;75,W1498&gt;=120),0.12,0)+IF(AND(V1498&gt;=75,V1498&lt;175,W1498&lt;65),0.2,0)+IF(AND(V1498&gt;=75,V1498&lt;175,W1498&gt;=65,W1498&lt;110),0.15,0)+IF(AND(V1498&gt;=75,V1498&lt;175,W1498&gt;=110),0.12,0)+IF(AND(V1498&gt;=175,W1498&lt;55),0.2,0)+IF(AND(V1498&gt;=175,W1498&gt;=55,W1498&lt;95),0.15,0)+IF(AND(V1498&gt;=175,W1498&gt;=95),0.12,0),
IF(AF1498="DoEVku",IF(AND(V1498&lt;20,W1498&lt;55),0.23,0)+IF(AND(V1498&lt;20,W1498&gt;=55,W1498&lt;105),0.2,0)+IF(AND(V1498&lt;20,W1498&gt;=105),0.17,0)+IF(AND(V1498&gt;=20,V1498&lt;40,W1498&lt;45),0.23,0)+IF(AND(V1498&gt;=20,V1498&lt;40,W1498&gt;=45,W1498&lt;95),0.2,0)+IF(AND(V1498&gt;=20,V1498&lt;40,W1498&gt;=95,W1498&lt;=150),0.17,0)+IF(AND(V1498&gt;=20,V1498&lt;40,W1498&gt;=150),0.12,0)+IF(AND(V1498&gt;=40,V1498&lt;75,W1498&lt;35),0.23,0)+IF(AND(V1498&gt;=40,V1498&lt;75,W1498&gt;=35,W1498&lt;75),0.2,0)+IF(AND(V1498&gt;=40,V1498&lt;75,W1498&gt;=75,W1498&lt;120),0.17,0)+IF(AND(V1498&gt;=40,V1498&lt;75,W1498&gt;=120),0.12,0)+IF(AND(V1498&gt;=75,V1498&lt;175,W1498&lt;35),0.23,0)+IF(AND(V1498&gt;=75,V1498&lt;=175,W1498&gt;=35,W1498&lt;65),0.2,0)+IF(AND(V1498&gt;=75,V1498&lt;=175,W1498&gt;=65,W1498&lt;110),0.17,0)+IF(AND(V1498&gt;=75,V1498&lt;=175,W1498&gt;=110),0.12,0)+IF(AND(V1498&gt;175,W1498&lt;25),0.23,0)+IF(AND(V1498&gt;175,W1498&gt;=25,W1498&lt;55),0.2,0)+IF(AND(V1498&gt;175,W1498&gt;=55,W1498&lt;95),0.17,0)+IF(AND(V1498&gt;175,W1498&gt;=95),0.12,0),
IF(AF1498="DoEVs1",IF(AND(V1498&lt;20,W1498&lt;55),0.3,0)+IF(AND(V1498&lt;20,W1498&gt;=55,W1498&lt;105),0.23,0)+IF(AND(V1498&lt;20,W1498&gt;=105),0.17,0)+IF(AND(V1498&gt;=20,V1498&lt;40,W1498&lt;45),0.3,0)+IF(AND(V1498&gt;=20,V1498&lt;40,W1498&gt;=45,W1498&lt;95),0.23,0)+IF(AND(V1498&gt;=20,V1498&lt;40,W1498&gt;=95,W1498&lt;=150),0.17,0)+IF(AND(V1498&gt;=20,V1498&lt;40,W1498&gt;=150),0.12,0)+IF(AND(V1498&gt;=40,V1498&lt;75,W1498&lt;35),0.3,0)+IF(AND(V1498&gt;=40,V1498&lt;75,W1498&gt;=35,W1498&lt;75),0.23,0)+IF(AND(V1498&gt;=40,V1498&lt;75,W1498&gt;=75,W1498&lt;120),0.17,0)+IF(AND(V1498&gt;=40,V1498&lt;75,W1498&gt;=120),0.12,0)+IF(AND(V1498&gt;=75,V1498&lt;175,W1498&lt;35),0.3,0)+IF(AND(V1498&gt;=75,V1498&lt;=175,W1498&gt;=35,W1498&lt;65),0.23,0)+IF(AND(V1498&gt;=75,V1498&lt;=175,W1498&gt;=65,W1498&lt;110),0.17,0)+IF(AND(V1498&gt;=75,V1498&lt;=175,W1498&gt;=110),0.12,0)+IF(AND(V1498&gt;175,W1498&lt;25),0.3,0)+IF(AND(V1498&gt;175,W1498&gt;=25,W1498&lt;55),0.23,0)+IF(AND(V1498&gt;175,W1498&gt;=55,W1498&lt;95),0.17,0)+IF(AND(V1498&gt;175,W1498&gt;=95),0.12,0),
IF(AF1498="DoEVsu",IF(AND(V1498&lt;20,W1498&lt;55),0.3,0)+IF(AND(V1498&lt;20,W1498&gt;=55,W1498&lt;105),0.23,0)+IF(AND(V1498&lt;20,W1498&gt;=105),0.17,0)+IF(AND(V1498&gt;=20,V1498&lt;40,W1498&lt;45),0.3,0)+IF(AND(V1498&gt;=20,V1498&lt;40,W1498&gt;=45,W1498&lt;95),0.23,0)+IF(AND(V1498&gt;=20,V1498&lt;40,W1498&gt;=95,W1498&lt;=250),0.17,0)+IF(AND(V1498&gt;=20,V1498&lt;40,W1498&gt;=250),0.12,0)+IF(AND(V1498&gt;=40,V1498&lt;75,W1498&lt;35),0.3,0)+IF(AND(V1498&gt;=40,V1498&lt;75,W1498&gt;=35,W1498&lt;75),0.23,0)+IF(AND(V1498&gt;=40,V1498&lt;75,W1498&gt;=75,W1498&lt;120),0.17,0)+IF(AND(V1498&gt;=40,V1498&lt;75,W1498&gt;=120),0.12,0)+IF(AND(V1498&gt;=75,V1498&lt;175,W1498&lt;35),0.3,0)+IF(AND(V1498&gt;=75,V1498&lt;=175,W1498&gt;=35,W1498&lt;65),0.23,0)+IF(AND(V1498&gt;=75,V1498&lt;=175,W1498&gt;=65,W1498&lt;110),0.17,0)+IF(AND(V1498&gt;=75,V1498&lt;=175,W1498&gt;=110),0.12,0)+IF(AND(V1498&gt;175,W1498&lt;25),0.3,0)+IF(AND(V1498&gt;175,W1498&gt;=25,W1498&lt;55),0.23,0)+IF(AND(V1498&gt;175,W1498&gt;=55,W1498&lt;95),0.17,0)+IF(AND(V1498&gt;175,W1498&gt;=95),0.12,0),
IF(AF1498="DoEVni",IF(AND(V1498&lt;20,W1498&lt;55),0.3,0)+IF(AND(V1498&lt;20,W1498&gt;=55,W1498&lt;105),0.23,0)+IF(AND(V1498&lt;20,W1498&gt;=105),0.17,0)+IF(AND(V1498&gt;=20,V1498&lt;40,W1498&lt;45),0.3,0)+IF(AND(V1498&gt;=20,V1498&lt;40,W1498&gt;=45,W1498&lt;95),0.23,0)+IF(AND(V1498&gt;=20,V1498&lt;40,W1498&gt;=95,W1498&lt;=200),0.17,0)+IF(AND(V1498&gt;=20,V1498&lt;40,W1498&gt;=200),0.12,0)+IF(AND(V1498&gt;=40,V1498&lt;75,W1498&lt;35),0.3,0)+IF(AND(V1498&gt;=40,V1498&lt;75,W1498&gt;=35,W1498&lt;75),0.23,0)+IF(AND(V1498&gt;=40,V1498&lt;75,W1498&gt;=75,W1498&lt;120),0.17,0)+IF(AND(V1498&gt;=40,V1498&lt;75,W1498&gt;=120),0.12,0)+IF(AND(V1498&gt;=75,V1498&lt;175,W1498&lt;35),0.3,0)+IF(AND(V1498&gt;=75,V1498&lt;=175,W1498&gt;=35,W1498&lt;65),0.23,0)+IF(AND(V1498&gt;=75,V1498&lt;=175,W1498&gt;=65,W1498&lt;110),0.17,0)+IF(AND(V1498&gt;=75,V1498&lt;=175,W1498&gt;=110),0.12,0)+IF(AND(V1498&gt;175,W1498&lt;25),0.3,0)+IF(AND(V1498&gt;175,W1498&gt;=25,W1498&lt;55),0.23,0)+IF(AND(V1498&gt;175,W1498&gt;=55,W1498&lt;95),0.17,0)+IF(AND(V1498&gt;175,W1498&gt;=95),0.12,0),
IF(AF1498="DoEVLo",IF(AND(V1498&lt;20,W1498&lt;55),0.25,0)+IF(AND(V1498&lt;20,W1498&gt;=55,W1498&lt;105),0.2,0)+IF(AND(V1498&lt;20,W1498&gt;=105),0.15,0)+IF(AND(V1498&gt;=20,V1498&lt;40,W1498&lt;45),0.25,0)+IF(AND(V1498&gt;=20,V1498&lt;40,W1498&gt;=45,W1498&lt;95),0.2,0)+IF(AND(V1498&gt;=20,V1498&lt;40,W1498&gt;=95),0.15,0)+IF(AND(V1498&gt;=40,V1498&lt;75,W1498&lt;35),0.25,0)+IF(AND(V1498&gt;=40,V1498&lt;75,W1498&gt;=35,W1498&lt;75),0.2,0)+IF(AND(V1498&gt;=40,V1498&lt;75,W1498&gt;=75,W1498&lt;120),0.15,0)+IF(AND(V1498&gt;=40,V1498&lt;75,W1498&gt;=120),0.1,0)+IF(AND(V1498&gt;=75,V1498&lt;175,W1498&lt;35),0.25,0)+IF(AND(V1498&gt;=75,V1498&lt;=175,W1498&gt;=35,W1498&lt;65),0.2,0)+IF(AND(V1498&gt;=75,V1498&lt;=175,W1498&gt;=65,W1498&lt;110),0.15,0)+IF(AND(V1498&gt;=75,V1498&lt;=175,W1498&gt;=110),0.1,0)+IF(AND(V1498&gt;175,W1498&lt;25),0.25,0)+IF(AND(V1498&gt;175,W1498&gt;=25,W1498&lt;55),0.2,0)+IF(AND(V1498&gt;175,W1498&gt;=55,W1498&lt;95),0.15,0)+IF(AND(V1498&gt;175,W1498&gt;=95),0.1,0))))))))))))))))))))</f>
        <v>0.17</v>
      </c>
      <c r="Y1498" s="30">
        <f>IF(AG1498="None",0,IF(AG1498="Fix5",0.05, IF(AG1498="Fix6.25",0.0625,IF(AG1498="Fix3.75",0.0375, IF(AG1498="Fix11",0.11, IF(AG1498="Fix10",0.1,IF(AG1498="Fix3",0.03,0)))))))</f>
        <v>0</v>
      </c>
      <c r="Z1498" s="35">
        <f>IF(AND(AD1498="EUR", AE1498 = "USD"), T1498*U1498-AA1498-AB1498, T1498-AA1498-AB1498)</f>
        <v>1476.1033279350004</v>
      </c>
      <c r="AA1498" s="29">
        <f>IF(AND(AD1498="EUR", F1498="Without EV deal", AE1498="USD"), (T1498*X1498)*U1498,
IF(AND(AD1498="EUR", F1498="Without EV deal", AE1498="EUR"), (T1498*X1498),
IF(AND(AD1498="EUR",AE1498="USD"), (T1498*X1498)*U1498,
T1498*X1498)))</f>
        <v>302.33441656500008</v>
      </c>
      <c r="AB1498" s="36">
        <f>IF(AND(AD1498="EUR", F1498="Without EV deal", AE1498="USD"), (T1498*Y1498)*U1498,
IF(AND(AD1498="EUR", F1498="Without EV deal", AE1498="EUR"), (T1498*Y1498),
IF(AND(AD1498="EUR",AE1498="USD"), (T1498*Y1498)*U1498,
T1498*Y1498)))</f>
        <v>0</v>
      </c>
      <c r="AC1498" s="37" t="b">
        <v>1</v>
      </c>
      <c r="AD1498" s="82" t="str">
        <f>IF(OR(H1498="€0.25 Flash",
H1498="€0.25(nitro) new",
H1498="€1",
H1498="€2",
H1498="€2 (bf 01.08)",
H1498="€5",
H1498="€5 (1M)",
H1498="€5 (bf 01.08)",
H1498="€5 (bf 05.05)",
H1498="€5 Nitro",
H1498="€5(wx) new",
H1498="€10",
H1498="€10 (1M)",
H1498="€10 (bf 01.08)",
H1498="€10 (bf 05.05)",
H1498="€10 (MP)",
H1498="€10 (old)",
H1498="€10 Nitro (bf 05.05)",
H1498="€10 Nitro (old)",
H1498="€10(wx) new",
H1498="€20",
H1498="€25",
H1498="€25 (bf 01.08)",
H1498="€25 (bf 05.05)",
H1498="€25 (MP)",
H1498="€25 (old)",
H1498="€25 Nitro",
H1498="€25 Nitro (bf 01.08)",
H1498="€25 Nitro (bf 05.05)",
H1498="€25(nitro) new",
H1498="€25(wx) new",
H1498="€50",
H1498="€50 (bf 01.08)",
H1498="€50 (bf 05.05)",
H1498="€50 (old)",
H1498="€50 Nitro",
H1498="€50 Nitro (bf 01.08)",
H1498="€50 Nitro (bf 05.05)",
H1498="€50(wx) new",
H1498="€100",
H1498="€100 (old)",
H1498="€100 Nitro",
H1498="€100 Nitro (old)",
H1498="€200",
H1498="€250",
H1498="€250 Nitro",
H1498="€500",
H1498="€500 Nitro"),"EUR", "USD")</f>
        <v>EUR</v>
      </c>
      <c r="AE1498" s="83" t="s">
        <v>38</v>
      </c>
      <c r="AF1498" s="83" t="str">
        <f t="array" ref="AF1498">INDEX('Deal Info'!D:D, MATCH(A1498,'Deal Info'!A:A, 0))</f>
        <v>DoEV</v>
      </c>
      <c r="AG1498" s="84" t="str">
        <f t="array" ref="AG1498">INDEX('Deal Info'!G:G, MATCH(A1498,'Deal Info'!A:A, 0))</f>
        <v>None</v>
      </c>
    </row>
    <row r="1499" spans="1:33" ht="14.25" hidden="1" x14ac:dyDescent="0.2">
      <c r="A1499" s="18" t="str">
        <f t="array" ref="A1499">IF(G1499='Room Info'!$B$1, INDEX('Room Info'!$A$2:$A2446, MATCH(B1499,'Room Info'!$B$2:$B2446, 0)),IF(G1499='Room Info'!$C$1, INDEX('Room Info'!$A$2:$A2446, MATCH(B1499,'Room Info'!$C$2:$C2446, 0)),IF(G1499='Room Info'!$D$1, INDEX('Room Info'!$A$2:$A2446, MATCH(B1499,'Room Info'!$D$2:$D2446, 0)),IF(G1499='Room Info'!$E$1, INDEX('Room Info'!$A$2:$A2446, MATCH(B1499,'Room Info'!$E$2:$E2446, 0)),IF(G1499='Room Info'!$F$1, INDEX('Room Info'!$A$2:$A2446, MATCH(B1499,'Room Info'!$F$2:$F2446, 0)),IF(G1499='Room Info'!$H$1, INDEX('Room Info'!$A$2:$A2446, MATCH(B1499,'Room Info'!$H$2:$H2446, 0)),IF(G1499='Room Info'!$G$1, INDEX('Room Info'!$A$2:$A2446, MATCH(B1499,'Room Info'!$G$2:$G2446, 0)))))))))</f>
        <v>Davaibablo</v>
      </c>
      <c r="B1499" s="45" t="s">
        <v>157</v>
      </c>
      <c r="C1499" s="77">
        <v>44958</v>
      </c>
      <c r="D1499" s="77">
        <v>44985</v>
      </c>
      <c r="E1499" s="21">
        <v>44958</v>
      </c>
      <c r="F1499" s="22" t="s">
        <v>41</v>
      </c>
      <c r="G1499" s="45" t="s">
        <v>223</v>
      </c>
      <c r="H1499" s="81" t="s">
        <v>54</v>
      </c>
      <c r="I1499" s="23" t="s">
        <v>37</v>
      </c>
      <c r="J1499" s="39">
        <v>5</v>
      </c>
      <c r="K1499" s="51">
        <v>14</v>
      </c>
      <c r="L1499" s="113"/>
      <c r="M1499" s="62"/>
      <c r="N1499" s="28">
        <f>K1499*J1499</f>
        <v>70</v>
      </c>
      <c r="O1499" s="65">
        <f>42*14</f>
        <v>588</v>
      </c>
      <c r="P1499" s="29">
        <v>42</v>
      </c>
      <c r="Q1499" s="55">
        <v>0.5</v>
      </c>
      <c r="R1499" s="31">
        <f>M1499+Q1499*J1499*K1499*0.07</f>
        <v>2.4500000000000002</v>
      </c>
      <c r="S1499" s="66"/>
      <c r="T1499" s="32">
        <f>IF(AND(AD1499="EUR", F1499="Without EV deal"), R1499 + L1499,
IF(AND(AD1499="USD", F1499="Without EV deal"), R1499 + L1499,
IF(AND(AD1499="EUR", F1499="Steel Phoenix"), R1499 + S1499/U1499,
R1499 + S1499)))</f>
        <v>2.4500000000000002</v>
      </c>
      <c r="U1499" s="57">
        <v>1.0617000000000001</v>
      </c>
      <c r="V1499" s="58">
        <v>19.86</v>
      </c>
      <c r="W1499" s="58">
        <v>148.46874249999999</v>
      </c>
      <c r="X1499" s="30">
        <f>IF(AF1499="DoEV",IF(AND(V1499&lt;20,W1499&lt;55),0.3,0)+IF(AND(V1499&lt;20,W1499&gt;=55,W1499&lt;105),0.23,0)+IF(AND(V1499&lt;20,W1499&gt;=105),0.17,0)+IF(AND(V1499&gt;=20,V1499&lt;40,W1499&lt;45),0.3,0)+IF(AND(V1499&gt;=20,V1499&lt;40,W1499&gt;=45,W1499&lt;95),0.23,0)+IF(AND(V1499&gt;=20,V1499&lt;40,W1499&gt;=95),0.17,0)+IF(AND(V1499&gt;=40,V1499&lt;75,W1499&lt;35),0.3,0)+IF(AND(V1499&gt;=40,V1499&lt;75,W1499&gt;=35,W1499&lt;75),0.23,0)+IF(AND(V1499&gt;=40,V1499&lt;75,W1499&gt;=75,W1499&lt;120),0.17,0)+IF(AND(V1499&gt;=40,V1499&lt;75,W1499&gt;=120),0.12,0)+IF(AND(V1499&gt;=75,V1499&lt;175,W1499&lt;35),0.3,0)+IF(AND(V1499&gt;=75,V1499&lt;=175,W1499&gt;=35,W1499&lt;65),0.23,0)+IF(AND(V1499&gt;=75,V1499&lt;=175,W1499&gt;=65,W1499&lt;110),0.17,0)+IF(AND(V1499&gt;=75,V1499&lt;=175,W1499&gt;=110),0.12,0)+IF(AND(V1499&gt;175,W1499&lt;25),0.3,0)+IF(AND(V1499&gt;175,W1499&gt;=25,W1499&lt;55),0.23,0)+IF(AND(V1499&gt;175,W1499&gt;=55,W1499&lt;95),0.17,0)+IF(AND(V1499&gt;175,W1499&gt;=95),0.12,0),
IF(AF1499="Fix15",0.15,
IF(AF1499="Fix5",0.05,
IF(AF1499="Fix18.75",0.1875,
IF(AF1499="Fix11.25",0.1125,
IF(AF1499="Fix10",0.1,
IF(AF1499="Fix9",0.09,
IF(AF1499="Fix12",0.12,
IF(AF1499="Fix19",0.19,
IF(AF1499="DoEV2017",IF(AND(W1499&lt;74),0.2,0)+IF(AND(W1499&gt;=74),0.17,0),
IF(AF1499="SF",IF(AND(V1499&lt;20,W1499&lt;89),0.3,0)+IF(AND(V1499&lt;20,W1499&gt;=89),0.25,0)+IF(AND(V1499&gt;=20,V1499&lt;40,W1499&lt;74),0.3,0)+IF(AND(V1499&gt;=20,V1499&lt;40,W1499&gt;=75),0.22,0)+IF(AND(V1499&gt;=40,V1499&lt;75,W1499&lt;75),0.26,0)+IF(AND(V1499&gt;=40,V1499&lt;75,W1499&gt;=75),0.22,0)+IF(V1499&gt;=75,0.22,0),
IF(AF1499="DoEVold",IF(AND(V1499&lt;40,W1499&lt;35),0.35,0)+IF(AND(V1499&lt;40,W1499&gt;=35,W1499&lt;75),0.25,0)+IF(AND(V1499&lt;40,W1499&gt;=75),0.17,0)+IF(AND(V1499&gt;=40,V1499&lt;75,W1499&lt;25),0.35,0)+IF(AND(V1499&gt;=40,V1499&lt;75,W1499&gt;=25,W1499&lt;65),0.25,0)+IF(AND(V1499&gt;=40,V1499&lt;75,W1499&gt;=65,W1499&lt;100),0.17,0)+IF(AND(V1499&gt;=40,V1499&lt;75,W1499&gt;=100),0.1,0)+IF(AND(V1499&gt;=75,W1499&lt;25),0.35,0)+IF(AND(V1499&gt;=75,W1499&gt;=25,W1499&lt;60),0.25,0)+IF(AND(V1499&gt;=75,W1499&gt;=60,W1499&lt;95),0.17,0)+IF(AND(V1499&gt;=75,W1499&gt;=95),0.1,0),
IF(AF1499="DoEVold15",IF(AND(V1499&lt;=40,W1499&lt;35),0.35,0)+IF(AND(V1499&lt;=40,W1499&gt;=35,W1499&lt;75),0.25,0)+IF(AND(V1499&lt;=40,W1499&gt;=75,W1499&lt;120),0.17,0)+IF(AND(V1499&lt;=40,W1499&gt;=120),0.15,0)+IF(AND(V1499&gt;40,V1499&lt;75,W1499&lt;25),0.35,0)+IF(AND(V1499&gt;=40,V1499&lt;75,W1499&gt;=25,W1499&lt;65),0.25,0)+IF(AND(V1499&gt;=40,V1499&lt;75,W1499&gt;=65,W1499&lt;100),0.17,0)+IF(AND(V1499&gt;=40,V1499&lt;75,W1499&gt;=100),0.1,0)+IF(AND(V1499&gt;=75,W1499&lt;25),0.35,0)+IF(AND(V1499&gt;=75,W1499&gt;=25,W1499&lt;60),0.25,0)+IF(AND(V1499&gt;=75,W1499&gt;=60,W1499&lt;95),0.17,0)+IF(AND(V1499&gt;=75,W1499&gt;=95),0.1,0),
IF(AF1499="DoEVba",IF(AND(V1499&lt;20,W1499&lt;105),0.2,0)+IF(AND(V1499&lt;20,W1499&gt;=105),0.15,0)+IF(AND(V1499&gt;=20,V1499&lt;40,W1499&lt;95),0.2,0)+IF(AND(V1499&gt;=20,V1499&lt;40,W1499&gt;=95,W1499&lt;150),0.15,0)+IF(AND(V1499&gt;=20,V1499&lt;40,W1499&gt;=150),0.12,0)+IF(AND(V1499&gt;=40,V1499&lt;75,W1499&lt;75),0.2,0)+IF(AND(V1499&gt;=40,V1499&lt;75,W1499&gt;=75,W1499&lt;120),0.15,0)+IF(AND(V1499&gt;=40,V1499&lt;75,W1499&gt;=120),0.12,0)+IF(AND(V1499&gt;=75,V1499&lt;175,W1499&lt;65),0.2,0)+IF(AND(V1499&gt;=75,V1499&lt;175,W1499&gt;=65,W1499&lt;110),0.15,0)+IF(AND(V1499&gt;=75,V1499&lt;175,W1499&gt;=110),0.12,0)+IF(AND(V1499&gt;=175,W1499&lt;55),0.2,0)+IF(AND(V1499&gt;=175,W1499&gt;=55,W1499&lt;95),0.15,0)+IF(AND(V1499&gt;=175,W1499&gt;=95),0.12,0),
IF(AF1499="DoEVku",IF(AND(V1499&lt;20,W1499&lt;55),0.23,0)+IF(AND(V1499&lt;20,W1499&gt;=55,W1499&lt;105),0.2,0)+IF(AND(V1499&lt;20,W1499&gt;=105),0.17,0)+IF(AND(V1499&gt;=20,V1499&lt;40,W1499&lt;45),0.23,0)+IF(AND(V1499&gt;=20,V1499&lt;40,W1499&gt;=45,W1499&lt;95),0.2,0)+IF(AND(V1499&gt;=20,V1499&lt;40,W1499&gt;=95,W1499&lt;=150),0.17,0)+IF(AND(V1499&gt;=20,V1499&lt;40,W1499&gt;=150),0.12,0)+IF(AND(V1499&gt;=40,V1499&lt;75,W1499&lt;35),0.23,0)+IF(AND(V1499&gt;=40,V1499&lt;75,W1499&gt;=35,W1499&lt;75),0.2,0)+IF(AND(V1499&gt;=40,V1499&lt;75,W1499&gt;=75,W1499&lt;120),0.17,0)+IF(AND(V1499&gt;=40,V1499&lt;75,W1499&gt;=120),0.12,0)+IF(AND(V1499&gt;=75,V1499&lt;175,W1499&lt;35),0.23,0)+IF(AND(V1499&gt;=75,V1499&lt;=175,W1499&gt;=35,W1499&lt;65),0.2,0)+IF(AND(V1499&gt;=75,V1499&lt;=175,W1499&gt;=65,W1499&lt;110),0.17,0)+IF(AND(V1499&gt;=75,V1499&lt;=175,W1499&gt;=110),0.12,0)+IF(AND(V1499&gt;175,W1499&lt;25),0.23,0)+IF(AND(V1499&gt;175,W1499&gt;=25,W1499&lt;55),0.2,0)+IF(AND(V1499&gt;175,W1499&gt;=55,W1499&lt;95),0.17,0)+IF(AND(V1499&gt;175,W1499&gt;=95),0.12,0),
IF(AF1499="DoEVs1",IF(AND(V1499&lt;20,W1499&lt;55),0.3,0)+IF(AND(V1499&lt;20,W1499&gt;=55,W1499&lt;105),0.23,0)+IF(AND(V1499&lt;20,W1499&gt;=105),0.17,0)+IF(AND(V1499&gt;=20,V1499&lt;40,W1499&lt;45),0.3,0)+IF(AND(V1499&gt;=20,V1499&lt;40,W1499&gt;=45,W1499&lt;95),0.23,0)+IF(AND(V1499&gt;=20,V1499&lt;40,W1499&gt;=95,W1499&lt;=150),0.17,0)+IF(AND(V1499&gt;=20,V1499&lt;40,W1499&gt;=150),0.12,0)+IF(AND(V1499&gt;=40,V1499&lt;75,W1499&lt;35),0.3,0)+IF(AND(V1499&gt;=40,V1499&lt;75,W1499&gt;=35,W1499&lt;75),0.23,0)+IF(AND(V1499&gt;=40,V1499&lt;75,W1499&gt;=75,W1499&lt;120),0.17,0)+IF(AND(V1499&gt;=40,V1499&lt;75,W1499&gt;=120),0.12,0)+IF(AND(V1499&gt;=75,V1499&lt;175,W1499&lt;35),0.3,0)+IF(AND(V1499&gt;=75,V1499&lt;=175,W1499&gt;=35,W1499&lt;65),0.23,0)+IF(AND(V1499&gt;=75,V1499&lt;=175,W1499&gt;=65,W1499&lt;110),0.17,0)+IF(AND(V1499&gt;=75,V1499&lt;=175,W1499&gt;=110),0.12,0)+IF(AND(V1499&gt;175,W1499&lt;25),0.3,0)+IF(AND(V1499&gt;175,W1499&gt;=25,W1499&lt;55),0.23,0)+IF(AND(V1499&gt;175,W1499&gt;=55,W1499&lt;95),0.17,0)+IF(AND(V1499&gt;175,W1499&gt;=95),0.12,0),
IF(AF1499="DoEVsu",IF(AND(V1499&lt;20,W1499&lt;55),0.3,0)+IF(AND(V1499&lt;20,W1499&gt;=55,W1499&lt;105),0.23,0)+IF(AND(V1499&lt;20,W1499&gt;=105),0.17,0)+IF(AND(V1499&gt;=20,V1499&lt;40,W1499&lt;45),0.3,0)+IF(AND(V1499&gt;=20,V1499&lt;40,W1499&gt;=45,W1499&lt;95),0.23,0)+IF(AND(V1499&gt;=20,V1499&lt;40,W1499&gt;=95,W1499&lt;=250),0.17,0)+IF(AND(V1499&gt;=20,V1499&lt;40,W1499&gt;=250),0.12,0)+IF(AND(V1499&gt;=40,V1499&lt;75,W1499&lt;35),0.3,0)+IF(AND(V1499&gt;=40,V1499&lt;75,W1499&gt;=35,W1499&lt;75),0.23,0)+IF(AND(V1499&gt;=40,V1499&lt;75,W1499&gt;=75,W1499&lt;120),0.17,0)+IF(AND(V1499&gt;=40,V1499&lt;75,W1499&gt;=120),0.12,0)+IF(AND(V1499&gt;=75,V1499&lt;175,W1499&lt;35),0.3,0)+IF(AND(V1499&gt;=75,V1499&lt;=175,W1499&gt;=35,W1499&lt;65),0.23,0)+IF(AND(V1499&gt;=75,V1499&lt;=175,W1499&gt;=65,W1499&lt;110),0.17,0)+IF(AND(V1499&gt;=75,V1499&lt;=175,W1499&gt;=110),0.12,0)+IF(AND(V1499&gt;175,W1499&lt;25),0.3,0)+IF(AND(V1499&gt;175,W1499&gt;=25,W1499&lt;55),0.23,0)+IF(AND(V1499&gt;175,W1499&gt;=55,W1499&lt;95),0.17,0)+IF(AND(V1499&gt;175,W1499&gt;=95),0.12,0),
IF(AF1499="DoEVni",IF(AND(V1499&lt;20,W1499&lt;55),0.3,0)+IF(AND(V1499&lt;20,W1499&gt;=55,W1499&lt;105),0.23,0)+IF(AND(V1499&lt;20,W1499&gt;=105),0.17,0)+IF(AND(V1499&gt;=20,V1499&lt;40,W1499&lt;45),0.3,0)+IF(AND(V1499&gt;=20,V1499&lt;40,W1499&gt;=45,W1499&lt;95),0.23,0)+IF(AND(V1499&gt;=20,V1499&lt;40,W1499&gt;=95,W1499&lt;=200),0.17,0)+IF(AND(V1499&gt;=20,V1499&lt;40,W1499&gt;=200),0.12,0)+IF(AND(V1499&gt;=40,V1499&lt;75,W1499&lt;35),0.3,0)+IF(AND(V1499&gt;=40,V1499&lt;75,W1499&gt;=35,W1499&lt;75),0.23,0)+IF(AND(V1499&gt;=40,V1499&lt;75,W1499&gt;=75,W1499&lt;120),0.17,0)+IF(AND(V1499&gt;=40,V1499&lt;75,W1499&gt;=120),0.12,0)+IF(AND(V1499&gt;=75,V1499&lt;175,W1499&lt;35),0.3,0)+IF(AND(V1499&gt;=75,V1499&lt;=175,W1499&gt;=35,W1499&lt;65),0.23,0)+IF(AND(V1499&gt;=75,V1499&lt;=175,W1499&gt;=65,W1499&lt;110),0.17,0)+IF(AND(V1499&gt;=75,V1499&lt;=175,W1499&gt;=110),0.12,0)+IF(AND(V1499&gt;175,W1499&lt;25),0.3,0)+IF(AND(V1499&gt;175,W1499&gt;=25,W1499&lt;55),0.23,0)+IF(AND(V1499&gt;175,W1499&gt;=55,W1499&lt;95),0.17,0)+IF(AND(V1499&gt;175,W1499&gt;=95),0.12,0),
IF(AF1499="DoEVLo",IF(AND(V1499&lt;20,W1499&lt;55),0.25,0)+IF(AND(V1499&lt;20,W1499&gt;=55,W1499&lt;105),0.2,0)+IF(AND(V1499&lt;20,W1499&gt;=105),0.15,0)+IF(AND(V1499&gt;=20,V1499&lt;40,W1499&lt;45),0.25,0)+IF(AND(V1499&gt;=20,V1499&lt;40,W1499&gt;=45,W1499&lt;95),0.2,0)+IF(AND(V1499&gt;=20,V1499&lt;40,W1499&gt;=95),0.15,0)+IF(AND(V1499&gt;=40,V1499&lt;75,W1499&lt;35),0.25,0)+IF(AND(V1499&gt;=40,V1499&lt;75,W1499&gt;=35,W1499&lt;75),0.2,0)+IF(AND(V1499&gt;=40,V1499&lt;75,W1499&gt;=75,W1499&lt;120),0.15,0)+IF(AND(V1499&gt;=40,V1499&lt;75,W1499&gt;=120),0.1,0)+IF(AND(V1499&gt;=75,V1499&lt;175,W1499&lt;35),0.25,0)+IF(AND(V1499&gt;=75,V1499&lt;=175,W1499&gt;=35,W1499&lt;65),0.2,0)+IF(AND(V1499&gt;=75,V1499&lt;=175,W1499&gt;=65,W1499&lt;110),0.15,0)+IF(AND(V1499&gt;=75,V1499&lt;=175,W1499&gt;=110),0.1,0)+IF(AND(V1499&gt;175,W1499&lt;25),0.25,0)+IF(AND(V1499&gt;175,W1499&gt;=25,W1499&lt;55),0.2,0)+IF(AND(V1499&gt;175,W1499&gt;=55,W1499&lt;95),0.15,0)+IF(AND(V1499&gt;175,W1499&gt;=95),0.1,0))))))))))))))))))))</f>
        <v>0.17</v>
      </c>
      <c r="Y1499" s="30">
        <f>IF(AG1499="None",0,IF(AG1499="Fix5",0.05, IF(AG1499="Fix6.25",0.0625,IF(AG1499="Fix3.75",0.0375, IF(AG1499="Fix11",0.11, IF(AG1499="Fix10",0.1,IF(AG1499="Fix3",0.03,0)))))))</f>
        <v>0</v>
      </c>
      <c r="Z1499" s="35">
        <f>IF(AND(AD1499="EUR", AE1499 = "USD"), T1499*U1499-AA1499-AB1499, T1499-AA1499-AB1499)</f>
        <v>2.1589669500000004</v>
      </c>
      <c r="AA1499" s="29">
        <f>IF(AND(AD1499="EUR", F1499="Without EV deal", AE1499="USD"), (T1499*X1499)*U1499,
IF(AND(AD1499="EUR", F1499="Without EV deal", AE1499="EUR"), (T1499*X1499),
IF(AND(AD1499="EUR",AE1499="USD"), (T1499*X1499)*U1499,
T1499*X1499)))</f>
        <v>0.44219805000000006</v>
      </c>
      <c r="AB1499" s="36">
        <f>IF(AND(AD1499="EUR", F1499="Without EV deal", AE1499="USD"), (T1499*Y1499)*U1499,
IF(AND(AD1499="EUR", F1499="Without EV deal", AE1499="EUR"), (T1499*Y1499),
IF(AND(AD1499="EUR",AE1499="USD"), (T1499*Y1499)*U1499,
T1499*Y1499)))</f>
        <v>0</v>
      </c>
      <c r="AC1499" s="37" t="b">
        <v>1</v>
      </c>
      <c r="AD1499" s="82" t="str">
        <f>IF(OR(H1499="€0.25 Flash",
H1499="€0.25(nitro) new",
H1499="€1",
H1499="€2",
H1499="€2 (bf 01.08)",
H1499="€5",
H1499="€5 (1M)",
H1499="€5 (bf 01.08)",
H1499="€5 (bf 05.05)",
H1499="€5 Nitro",
H1499="€5(wx) new",
H1499="€10",
H1499="€10 (1M)",
H1499="€10 (bf 01.08)",
H1499="€10 (bf 05.05)",
H1499="€10 (MP)",
H1499="€10 (old)",
H1499="€10 Nitro (bf 05.05)",
H1499="€10 Nitro (old)",
H1499="€10(wx) new",
H1499="€20",
H1499="€25",
H1499="€25 (bf 01.08)",
H1499="€25 (bf 05.05)",
H1499="€25 (MP)",
H1499="€25 (old)",
H1499="€25 Nitro",
H1499="€25 Nitro (bf 01.08)",
H1499="€25 Nitro (bf 05.05)",
H1499="€25(nitro) new",
H1499="€25(wx) new",
H1499="€50",
H1499="€50 (bf 01.08)",
H1499="€50 (bf 05.05)",
H1499="€50 (old)",
H1499="€50 Nitro",
H1499="€50 Nitro (bf 01.08)",
H1499="€50 Nitro (bf 05.05)",
H1499="€50(wx) new",
H1499="€100",
H1499="€100 (old)",
H1499="€100 Nitro",
H1499="€100 Nitro (old)",
H1499="€200",
H1499="€250",
H1499="€250 Nitro",
H1499="€500",
H1499="€500 Nitro"),"EUR", "USD")</f>
        <v>EUR</v>
      </c>
      <c r="AE1499" s="83" t="s">
        <v>38</v>
      </c>
      <c r="AF1499" s="83" t="str">
        <f t="array" ref="AF1499">INDEX('Deal Info'!D:D, MATCH(A1499,'Deal Info'!A:A, 0))</f>
        <v>DoEV</v>
      </c>
      <c r="AG1499" s="84" t="str">
        <f t="array" ref="AG1499">INDEX('Deal Info'!G:G, MATCH(A1499,'Deal Info'!A:A, 0))</f>
        <v>None</v>
      </c>
    </row>
    <row r="1500" spans="1:33" ht="14.25" hidden="1" x14ac:dyDescent="0.2">
      <c r="A1500" s="18" t="str">
        <f t="array" ref="A1500">IF(G1500='Room Info'!$B$1, INDEX('Room Info'!$A$2:$A2446, MATCH(B1500,'Room Info'!$B$2:$B2446, 0)),IF(G1500='Room Info'!$C$1, INDEX('Room Info'!$A$2:$A2446, MATCH(B1500,'Room Info'!$C$2:$C2446, 0)),IF(G1500='Room Info'!$D$1, INDEX('Room Info'!$A$2:$A2446, MATCH(B1500,'Room Info'!$D$2:$D2446, 0)),IF(G1500='Room Info'!$E$1, INDEX('Room Info'!$A$2:$A2446, MATCH(B1500,'Room Info'!$E$2:$E2446, 0)),IF(G1500='Room Info'!$F$1, INDEX('Room Info'!$A$2:$A2446, MATCH(B1500,'Room Info'!$F$2:$F2446, 0)),IF(G1500='Room Info'!$H$1, INDEX('Room Info'!$A$2:$A2446, MATCH(B1500,'Room Info'!$H$2:$H2446, 0)),IF(G1500='Room Info'!$G$1, INDEX('Room Info'!$A$2:$A2446, MATCH(B1500,'Room Info'!$G$2:$G2446, 0)))))))))</f>
        <v>Davaibablo</v>
      </c>
      <c r="B1500" s="45" t="s">
        <v>157</v>
      </c>
      <c r="C1500" s="77">
        <v>44958</v>
      </c>
      <c r="D1500" s="77">
        <v>44985</v>
      </c>
      <c r="E1500" s="21">
        <v>44958</v>
      </c>
      <c r="F1500" s="22" t="s">
        <v>41</v>
      </c>
      <c r="G1500" s="45" t="s">
        <v>223</v>
      </c>
      <c r="H1500" s="81" t="s">
        <v>55</v>
      </c>
      <c r="I1500" s="23" t="s">
        <v>37</v>
      </c>
      <c r="J1500" s="39">
        <v>10</v>
      </c>
      <c r="K1500" s="51">
        <v>3</v>
      </c>
      <c r="L1500" s="113"/>
      <c r="M1500" s="62"/>
      <c r="N1500" s="28">
        <f>K1500*J1500</f>
        <v>30</v>
      </c>
      <c r="O1500" s="65">
        <f>236*3</f>
        <v>708</v>
      </c>
      <c r="P1500" s="29">
        <v>236</v>
      </c>
      <c r="Q1500" s="55">
        <v>0.5</v>
      </c>
      <c r="R1500" s="31">
        <f>M1500+Q1500*J1500*K1500*0.07</f>
        <v>1.05</v>
      </c>
      <c r="S1500" s="66"/>
      <c r="T1500" s="32">
        <f>IF(AND(AD1500="EUR", F1500="Without EV deal"), R1500 + L1500,
IF(AND(AD1500="USD", F1500="Without EV deal"), R1500 + L1500,
IF(AND(AD1500="EUR", F1500="Steel Phoenix"), R1500 + S1500/U1500,
R1500 + S1500)))</f>
        <v>1.05</v>
      </c>
      <c r="U1500" s="57">
        <v>1.0617000000000001</v>
      </c>
      <c r="V1500" s="58">
        <v>19.86</v>
      </c>
      <c r="W1500" s="58">
        <v>148.46874249999999</v>
      </c>
      <c r="X1500" s="30">
        <f>IF(AF1500="DoEV",IF(AND(V1500&lt;20,W1500&lt;55),0.3,0)+IF(AND(V1500&lt;20,W1500&gt;=55,W1500&lt;105),0.23,0)+IF(AND(V1500&lt;20,W1500&gt;=105),0.17,0)+IF(AND(V1500&gt;=20,V1500&lt;40,W1500&lt;45),0.3,0)+IF(AND(V1500&gt;=20,V1500&lt;40,W1500&gt;=45,W1500&lt;95),0.23,0)+IF(AND(V1500&gt;=20,V1500&lt;40,W1500&gt;=95),0.17,0)+IF(AND(V1500&gt;=40,V1500&lt;75,W1500&lt;35),0.3,0)+IF(AND(V1500&gt;=40,V1500&lt;75,W1500&gt;=35,W1500&lt;75),0.23,0)+IF(AND(V1500&gt;=40,V1500&lt;75,W1500&gt;=75,W1500&lt;120),0.17,0)+IF(AND(V1500&gt;=40,V1500&lt;75,W1500&gt;=120),0.12,0)+IF(AND(V1500&gt;=75,V1500&lt;175,W1500&lt;35),0.3,0)+IF(AND(V1500&gt;=75,V1500&lt;=175,W1500&gt;=35,W1500&lt;65),0.23,0)+IF(AND(V1500&gt;=75,V1500&lt;=175,W1500&gt;=65,W1500&lt;110),0.17,0)+IF(AND(V1500&gt;=75,V1500&lt;=175,W1500&gt;=110),0.12,0)+IF(AND(V1500&gt;175,W1500&lt;25),0.3,0)+IF(AND(V1500&gt;175,W1500&gt;=25,W1500&lt;55),0.23,0)+IF(AND(V1500&gt;175,W1500&gt;=55,W1500&lt;95),0.17,0)+IF(AND(V1500&gt;175,W1500&gt;=95),0.12,0),
IF(AF1500="Fix15",0.15,
IF(AF1500="Fix5",0.05,
IF(AF1500="Fix18.75",0.1875,
IF(AF1500="Fix11.25",0.1125,
IF(AF1500="Fix10",0.1,
IF(AF1500="Fix9",0.09,
IF(AF1500="Fix12",0.12,
IF(AF1500="Fix19",0.19,
IF(AF1500="DoEV2017",IF(AND(W1500&lt;74),0.2,0)+IF(AND(W1500&gt;=74),0.17,0),
IF(AF1500="SF",IF(AND(V1500&lt;20,W1500&lt;89),0.3,0)+IF(AND(V1500&lt;20,W1500&gt;=89),0.25,0)+IF(AND(V1500&gt;=20,V1500&lt;40,W1500&lt;74),0.3,0)+IF(AND(V1500&gt;=20,V1500&lt;40,W1500&gt;=75),0.22,0)+IF(AND(V1500&gt;=40,V1500&lt;75,W1500&lt;75),0.26,0)+IF(AND(V1500&gt;=40,V1500&lt;75,W1500&gt;=75),0.22,0)+IF(V1500&gt;=75,0.22,0),
IF(AF1500="DoEVold",IF(AND(V1500&lt;40,W1500&lt;35),0.35,0)+IF(AND(V1500&lt;40,W1500&gt;=35,W1500&lt;75),0.25,0)+IF(AND(V1500&lt;40,W1500&gt;=75),0.17,0)+IF(AND(V1500&gt;=40,V1500&lt;75,W1500&lt;25),0.35,0)+IF(AND(V1500&gt;=40,V1500&lt;75,W1500&gt;=25,W1500&lt;65),0.25,0)+IF(AND(V1500&gt;=40,V1500&lt;75,W1500&gt;=65,W1500&lt;100),0.17,0)+IF(AND(V1500&gt;=40,V1500&lt;75,W1500&gt;=100),0.1,0)+IF(AND(V1500&gt;=75,W1500&lt;25),0.35,0)+IF(AND(V1500&gt;=75,W1500&gt;=25,W1500&lt;60),0.25,0)+IF(AND(V1500&gt;=75,W1500&gt;=60,W1500&lt;95),0.17,0)+IF(AND(V1500&gt;=75,W1500&gt;=95),0.1,0),
IF(AF1500="DoEVold15",IF(AND(V1500&lt;=40,W1500&lt;35),0.35,0)+IF(AND(V1500&lt;=40,W1500&gt;=35,W1500&lt;75),0.25,0)+IF(AND(V1500&lt;=40,W1500&gt;=75,W1500&lt;120),0.17,0)+IF(AND(V1500&lt;=40,W1500&gt;=120),0.15,0)+IF(AND(V1500&gt;40,V1500&lt;75,W1500&lt;25),0.35,0)+IF(AND(V1500&gt;=40,V1500&lt;75,W1500&gt;=25,W1500&lt;65),0.25,0)+IF(AND(V1500&gt;=40,V1500&lt;75,W1500&gt;=65,W1500&lt;100),0.17,0)+IF(AND(V1500&gt;=40,V1500&lt;75,W1500&gt;=100),0.1,0)+IF(AND(V1500&gt;=75,W1500&lt;25),0.35,0)+IF(AND(V1500&gt;=75,W1500&gt;=25,W1500&lt;60),0.25,0)+IF(AND(V1500&gt;=75,W1500&gt;=60,W1500&lt;95),0.17,0)+IF(AND(V1500&gt;=75,W1500&gt;=95),0.1,0),
IF(AF1500="DoEVba",IF(AND(V1500&lt;20,W1500&lt;105),0.2,0)+IF(AND(V1500&lt;20,W1500&gt;=105),0.15,0)+IF(AND(V1500&gt;=20,V1500&lt;40,W1500&lt;95),0.2,0)+IF(AND(V1500&gt;=20,V1500&lt;40,W1500&gt;=95,W1500&lt;150),0.15,0)+IF(AND(V1500&gt;=20,V1500&lt;40,W1500&gt;=150),0.12,0)+IF(AND(V1500&gt;=40,V1500&lt;75,W1500&lt;75),0.2,0)+IF(AND(V1500&gt;=40,V1500&lt;75,W1500&gt;=75,W1500&lt;120),0.15,0)+IF(AND(V1500&gt;=40,V1500&lt;75,W1500&gt;=120),0.12,0)+IF(AND(V1500&gt;=75,V1500&lt;175,W1500&lt;65),0.2,0)+IF(AND(V1500&gt;=75,V1500&lt;175,W1500&gt;=65,W1500&lt;110),0.15,0)+IF(AND(V1500&gt;=75,V1500&lt;175,W1500&gt;=110),0.12,0)+IF(AND(V1500&gt;=175,W1500&lt;55),0.2,0)+IF(AND(V1500&gt;=175,W1500&gt;=55,W1500&lt;95),0.15,0)+IF(AND(V1500&gt;=175,W1500&gt;=95),0.12,0),
IF(AF1500="DoEVku",IF(AND(V1500&lt;20,W1500&lt;55),0.23,0)+IF(AND(V1500&lt;20,W1500&gt;=55,W1500&lt;105),0.2,0)+IF(AND(V1500&lt;20,W1500&gt;=105),0.17,0)+IF(AND(V1500&gt;=20,V1500&lt;40,W1500&lt;45),0.23,0)+IF(AND(V1500&gt;=20,V1500&lt;40,W1500&gt;=45,W1500&lt;95),0.2,0)+IF(AND(V1500&gt;=20,V1500&lt;40,W1500&gt;=95,W1500&lt;=150),0.17,0)+IF(AND(V1500&gt;=20,V1500&lt;40,W1500&gt;=150),0.12,0)+IF(AND(V1500&gt;=40,V1500&lt;75,W1500&lt;35),0.23,0)+IF(AND(V1500&gt;=40,V1500&lt;75,W1500&gt;=35,W1500&lt;75),0.2,0)+IF(AND(V1500&gt;=40,V1500&lt;75,W1500&gt;=75,W1500&lt;120),0.17,0)+IF(AND(V1500&gt;=40,V1500&lt;75,W1500&gt;=120),0.12,0)+IF(AND(V1500&gt;=75,V1500&lt;175,W1500&lt;35),0.23,0)+IF(AND(V1500&gt;=75,V1500&lt;=175,W1500&gt;=35,W1500&lt;65),0.2,0)+IF(AND(V1500&gt;=75,V1500&lt;=175,W1500&gt;=65,W1500&lt;110),0.17,0)+IF(AND(V1500&gt;=75,V1500&lt;=175,W1500&gt;=110),0.12,0)+IF(AND(V1500&gt;175,W1500&lt;25),0.23,0)+IF(AND(V1500&gt;175,W1500&gt;=25,W1500&lt;55),0.2,0)+IF(AND(V1500&gt;175,W1500&gt;=55,W1500&lt;95),0.17,0)+IF(AND(V1500&gt;175,W1500&gt;=95),0.12,0),
IF(AF1500="DoEVs1",IF(AND(V1500&lt;20,W1500&lt;55),0.3,0)+IF(AND(V1500&lt;20,W1500&gt;=55,W1500&lt;105),0.23,0)+IF(AND(V1500&lt;20,W1500&gt;=105),0.17,0)+IF(AND(V1500&gt;=20,V1500&lt;40,W1500&lt;45),0.3,0)+IF(AND(V1500&gt;=20,V1500&lt;40,W1500&gt;=45,W1500&lt;95),0.23,0)+IF(AND(V1500&gt;=20,V1500&lt;40,W1500&gt;=95,W1500&lt;=150),0.17,0)+IF(AND(V1500&gt;=20,V1500&lt;40,W1500&gt;=150),0.12,0)+IF(AND(V1500&gt;=40,V1500&lt;75,W1500&lt;35),0.3,0)+IF(AND(V1500&gt;=40,V1500&lt;75,W1500&gt;=35,W1500&lt;75),0.23,0)+IF(AND(V1500&gt;=40,V1500&lt;75,W1500&gt;=75,W1500&lt;120),0.17,0)+IF(AND(V1500&gt;=40,V1500&lt;75,W1500&gt;=120),0.12,0)+IF(AND(V1500&gt;=75,V1500&lt;175,W1500&lt;35),0.3,0)+IF(AND(V1500&gt;=75,V1500&lt;=175,W1500&gt;=35,W1500&lt;65),0.23,0)+IF(AND(V1500&gt;=75,V1500&lt;=175,W1500&gt;=65,W1500&lt;110),0.17,0)+IF(AND(V1500&gt;=75,V1500&lt;=175,W1500&gt;=110),0.12,0)+IF(AND(V1500&gt;175,W1500&lt;25),0.3,0)+IF(AND(V1500&gt;175,W1500&gt;=25,W1500&lt;55),0.23,0)+IF(AND(V1500&gt;175,W1500&gt;=55,W1500&lt;95),0.17,0)+IF(AND(V1500&gt;175,W1500&gt;=95),0.12,0),
IF(AF1500="DoEVsu",IF(AND(V1500&lt;20,W1500&lt;55),0.3,0)+IF(AND(V1500&lt;20,W1500&gt;=55,W1500&lt;105),0.23,0)+IF(AND(V1500&lt;20,W1500&gt;=105),0.17,0)+IF(AND(V1500&gt;=20,V1500&lt;40,W1500&lt;45),0.3,0)+IF(AND(V1500&gt;=20,V1500&lt;40,W1500&gt;=45,W1500&lt;95),0.23,0)+IF(AND(V1500&gt;=20,V1500&lt;40,W1500&gt;=95,W1500&lt;=250),0.17,0)+IF(AND(V1500&gt;=20,V1500&lt;40,W1500&gt;=250),0.12,0)+IF(AND(V1500&gt;=40,V1500&lt;75,W1500&lt;35),0.3,0)+IF(AND(V1500&gt;=40,V1500&lt;75,W1500&gt;=35,W1500&lt;75),0.23,0)+IF(AND(V1500&gt;=40,V1500&lt;75,W1500&gt;=75,W1500&lt;120),0.17,0)+IF(AND(V1500&gt;=40,V1500&lt;75,W1500&gt;=120),0.12,0)+IF(AND(V1500&gt;=75,V1500&lt;175,W1500&lt;35),0.3,0)+IF(AND(V1500&gt;=75,V1500&lt;=175,W1500&gt;=35,W1500&lt;65),0.23,0)+IF(AND(V1500&gt;=75,V1500&lt;=175,W1500&gt;=65,W1500&lt;110),0.17,0)+IF(AND(V1500&gt;=75,V1500&lt;=175,W1500&gt;=110),0.12,0)+IF(AND(V1500&gt;175,W1500&lt;25),0.3,0)+IF(AND(V1500&gt;175,W1500&gt;=25,W1500&lt;55),0.23,0)+IF(AND(V1500&gt;175,W1500&gt;=55,W1500&lt;95),0.17,0)+IF(AND(V1500&gt;175,W1500&gt;=95),0.12,0),
IF(AF1500="DoEVni",IF(AND(V1500&lt;20,W1500&lt;55),0.3,0)+IF(AND(V1500&lt;20,W1500&gt;=55,W1500&lt;105),0.23,0)+IF(AND(V1500&lt;20,W1500&gt;=105),0.17,0)+IF(AND(V1500&gt;=20,V1500&lt;40,W1500&lt;45),0.3,0)+IF(AND(V1500&gt;=20,V1500&lt;40,W1500&gt;=45,W1500&lt;95),0.23,0)+IF(AND(V1500&gt;=20,V1500&lt;40,W1500&gt;=95,W1500&lt;=200),0.17,0)+IF(AND(V1500&gt;=20,V1500&lt;40,W1500&gt;=200),0.12,0)+IF(AND(V1500&gt;=40,V1500&lt;75,W1500&lt;35),0.3,0)+IF(AND(V1500&gt;=40,V1500&lt;75,W1500&gt;=35,W1500&lt;75),0.23,0)+IF(AND(V1500&gt;=40,V1500&lt;75,W1500&gt;=75,W1500&lt;120),0.17,0)+IF(AND(V1500&gt;=40,V1500&lt;75,W1500&gt;=120),0.12,0)+IF(AND(V1500&gt;=75,V1500&lt;175,W1500&lt;35),0.3,0)+IF(AND(V1500&gt;=75,V1500&lt;=175,W1500&gt;=35,W1500&lt;65),0.23,0)+IF(AND(V1500&gt;=75,V1500&lt;=175,W1500&gt;=65,W1500&lt;110),0.17,0)+IF(AND(V1500&gt;=75,V1500&lt;=175,W1500&gt;=110),0.12,0)+IF(AND(V1500&gt;175,W1500&lt;25),0.3,0)+IF(AND(V1500&gt;175,W1500&gt;=25,W1500&lt;55),0.23,0)+IF(AND(V1500&gt;175,W1500&gt;=55,W1500&lt;95),0.17,0)+IF(AND(V1500&gt;175,W1500&gt;=95),0.12,0),
IF(AF1500="DoEVLo",IF(AND(V1500&lt;20,W1500&lt;55),0.25,0)+IF(AND(V1500&lt;20,W1500&gt;=55,W1500&lt;105),0.2,0)+IF(AND(V1500&lt;20,W1500&gt;=105),0.15,0)+IF(AND(V1500&gt;=20,V1500&lt;40,W1500&lt;45),0.25,0)+IF(AND(V1500&gt;=20,V1500&lt;40,W1500&gt;=45,W1500&lt;95),0.2,0)+IF(AND(V1500&gt;=20,V1500&lt;40,W1500&gt;=95),0.15,0)+IF(AND(V1500&gt;=40,V1500&lt;75,W1500&lt;35),0.25,0)+IF(AND(V1500&gt;=40,V1500&lt;75,W1500&gt;=35,W1500&lt;75),0.2,0)+IF(AND(V1500&gt;=40,V1500&lt;75,W1500&gt;=75,W1500&lt;120),0.15,0)+IF(AND(V1500&gt;=40,V1500&lt;75,W1500&gt;=120),0.1,0)+IF(AND(V1500&gt;=75,V1500&lt;175,W1500&lt;35),0.25,0)+IF(AND(V1500&gt;=75,V1500&lt;=175,W1500&gt;=35,W1500&lt;65),0.2,0)+IF(AND(V1500&gt;=75,V1500&lt;=175,W1500&gt;=65,W1500&lt;110),0.15,0)+IF(AND(V1500&gt;=75,V1500&lt;=175,W1500&gt;=110),0.1,0)+IF(AND(V1500&gt;175,W1500&lt;25),0.25,0)+IF(AND(V1500&gt;175,W1500&gt;=25,W1500&lt;55),0.2,0)+IF(AND(V1500&gt;175,W1500&gt;=55,W1500&lt;95),0.15,0)+IF(AND(V1500&gt;175,W1500&gt;=95),0.1,0))))))))))))))))))))</f>
        <v>0.17</v>
      </c>
      <c r="Y1500" s="30">
        <f>IF(AG1500="None",0,IF(AG1500="Fix5",0.05, IF(AG1500="Fix6.25",0.0625,IF(AG1500="Fix3.75",0.0375, IF(AG1500="Fix11",0.11, IF(AG1500="Fix10",0.1,IF(AG1500="Fix3",0.03,0)))))))</f>
        <v>0</v>
      </c>
      <c r="Z1500" s="35">
        <f>IF(AND(AD1500="EUR", AE1500 = "USD"), T1500*U1500-AA1500-AB1500, T1500-AA1500-AB1500)</f>
        <v>0.92527155000000016</v>
      </c>
      <c r="AA1500" s="29">
        <f>IF(AND(AD1500="EUR", F1500="Without EV deal", AE1500="USD"), (T1500*X1500)*U1500,
IF(AND(AD1500="EUR", F1500="Without EV deal", AE1500="EUR"), (T1500*X1500),
IF(AND(AD1500="EUR",AE1500="USD"), (T1500*X1500)*U1500,
T1500*X1500)))</f>
        <v>0.18951345000000003</v>
      </c>
      <c r="AB1500" s="36">
        <f>IF(AND(AD1500="EUR", F1500="Without EV deal", AE1500="USD"), (T1500*Y1500)*U1500,
IF(AND(AD1500="EUR", F1500="Without EV deal", AE1500="EUR"), (T1500*Y1500),
IF(AND(AD1500="EUR",AE1500="USD"), (T1500*Y1500)*U1500,
T1500*Y1500)))</f>
        <v>0</v>
      </c>
      <c r="AC1500" s="37" t="b">
        <v>1</v>
      </c>
      <c r="AD1500" s="82" t="str">
        <f>IF(OR(H1500="€0.25 Flash",
H1500="€0.25(nitro) new",
H1500="€1",
H1500="€2",
H1500="€2 (bf 01.08)",
H1500="€5",
H1500="€5 (1M)",
H1500="€5 (bf 01.08)",
H1500="€5 (bf 05.05)",
H1500="€5 Nitro",
H1500="€5(wx) new",
H1500="€10",
H1500="€10 (1M)",
H1500="€10 (bf 01.08)",
H1500="€10 (bf 05.05)",
H1500="€10 (MP)",
H1500="€10 (old)",
H1500="€10 Nitro (bf 05.05)",
H1500="€10 Nitro (old)",
H1500="€10(wx) new",
H1500="€20",
H1500="€25",
H1500="€25 (bf 01.08)",
H1500="€25 (bf 05.05)",
H1500="€25 (MP)",
H1500="€25 (old)",
H1500="€25 Nitro",
H1500="€25 Nitro (bf 01.08)",
H1500="€25 Nitro (bf 05.05)",
H1500="€25(nitro) new",
H1500="€25(wx) new",
H1500="€50",
H1500="€50 (bf 01.08)",
H1500="€50 (bf 05.05)",
H1500="€50 (old)",
H1500="€50 Nitro",
H1500="€50 Nitro (bf 01.08)",
H1500="€50 Nitro (bf 05.05)",
H1500="€50(wx) new",
H1500="€100",
H1500="€100 (old)",
H1500="€100 Nitro",
H1500="€100 Nitro (old)",
H1500="€200",
H1500="€250",
H1500="€250 Nitro",
H1500="€500",
H1500="€500 Nitro"),"EUR", "USD")</f>
        <v>EUR</v>
      </c>
      <c r="AE1500" s="83" t="s">
        <v>38</v>
      </c>
      <c r="AF1500" s="83" t="str">
        <f t="array" ref="AF1500">INDEX('Deal Info'!D:D, MATCH(A1500,'Deal Info'!A:A, 0))</f>
        <v>DoEV</v>
      </c>
      <c r="AG1500" s="84" t="str">
        <f t="array" ref="AG1500">INDEX('Deal Info'!G:G, MATCH(A1500,'Deal Info'!A:A, 0))</f>
        <v>None</v>
      </c>
    </row>
    <row r="1501" spans="1:33" ht="14.25" hidden="1" x14ac:dyDescent="0.2">
      <c r="A1501" s="18" t="str">
        <f t="array" ref="A1501">IF(G1501='Room Info'!$B$1, INDEX('Room Info'!$A$2:$A2446, MATCH(B1501,'Room Info'!$B$2:$B2446, 0)),IF(G1501='Room Info'!$C$1, INDEX('Room Info'!$A$2:$A2446, MATCH(B1501,'Room Info'!$C$2:$C2446, 0)),IF(G1501='Room Info'!$D$1, INDEX('Room Info'!$A$2:$A2446, MATCH(B1501,'Room Info'!$D$2:$D2446, 0)),IF(G1501='Room Info'!$E$1, INDEX('Room Info'!$A$2:$A2446, MATCH(B1501,'Room Info'!$E$2:$E2446, 0)),IF(G1501='Room Info'!$F$1, INDEX('Room Info'!$A$2:$A2446, MATCH(B1501,'Room Info'!$F$2:$F2446, 0)),IF(G1501='Room Info'!$H$1, INDEX('Room Info'!$A$2:$A2446, MATCH(B1501,'Room Info'!$H$2:$H2446, 0)),IF(G1501='Room Info'!$G$1, INDEX('Room Info'!$A$2:$A2446, MATCH(B1501,'Room Info'!$G$2:$G2446, 0)))))))))</f>
        <v>Davaibablo</v>
      </c>
      <c r="B1501" s="45" t="s">
        <v>157</v>
      </c>
      <c r="C1501" s="77">
        <v>44958</v>
      </c>
      <c r="D1501" s="77">
        <v>44985</v>
      </c>
      <c r="E1501" s="21">
        <v>44958</v>
      </c>
      <c r="F1501" s="22" t="s">
        <v>41</v>
      </c>
      <c r="G1501" s="45" t="s">
        <v>223</v>
      </c>
      <c r="H1501" s="81" t="s">
        <v>56</v>
      </c>
      <c r="I1501" s="23" t="s">
        <v>37</v>
      </c>
      <c r="J1501" s="39">
        <v>20</v>
      </c>
      <c r="K1501" s="51">
        <v>1814</v>
      </c>
      <c r="L1501" s="113"/>
      <c r="M1501" s="62"/>
      <c r="N1501" s="28">
        <f>K1501*J1501</f>
        <v>36280</v>
      </c>
      <c r="O1501" s="65">
        <f>53*1814</f>
        <v>96142</v>
      </c>
      <c r="P1501" s="29">
        <v>53</v>
      </c>
      <c r="Q1501" s="55">
        <v>0.5</v>
      </c>
      <c r="R1501" s="31">
        <f>M1501+Q1501*J1501*K1501*0.07</f>
        <v>1269.8000000000002</v>
      </c>
      <c r="S1501" s="66"/>
      <c r="T1501" s="32">
        <f>IF(AND(AD1501="EUR", F1501="Without EV deal"), R1501 + L1501,
IF(AND(AD1501="USD", F1501="Without EV deal"), R1501 + L1501,
IF(AND(AD1501="EUR", F1501="Steel Phoenix"), R1501 + S1501/U1501,
R1501 + S1501)))</f>
        <v>1269.8000000000002</v>
      </c>
      <c r="U1501" s="57">
        <v>1.0617000000000001</v>
      </c>
      <c r="V1501" s="58">
        <v>19.86</v>
      </c>
      <c r="W1501" s="58">
        <v>148.46874249999999</v>
      </c>
      <c r="X1501" s="30">
        <f>IF(AF1501="DoEV",IF(AND(V1501&lt;20,W1501&lt;55),0.3,0)+IF(AND(V1501&lt;20,W1501&gt;=55,W1501&lt;105),0.23,0)+IF(AND(V1501&lt;20,W1501&gt;=105),0.17,0)+IF(AND(V1501&gt;=20,V1501&lt;40,W1501&lt;45),0.3,0)+IF(AND(V1501&gt;=20,V1501&lt;40,W1501&gt;=45,W1501&lt;95),0.23,0)+IF(AND(V1501&gt;=20,V1501&lt;40,W1501&gt;=95),0.17,0)+IF(AND(V1501&gt;=40,V1501&lt;75,W1501&lt;35),0.3,0)+IF(AND(V1501&gt;=40,V1501&lt;75,W1501&gt;=35,W1501&lt;75),0.23,0)+IF(AND(V1501&gt;=40,V1501&lt;75,W1501&gt;=75,W1501&lt;120),0.17,0)+IF(AND(V1501&gt;=40,V1501&lt;75,W1501&gt;=120),0.12,0)+IF(AND(V1501&gt;=75,V1501&lt;175,W1501&lt;35),0.3,0)+IF(AND(V1501&gt;=75,V1501&lt;=175,W1501&gt;=35,W1501&lt;65),0.23,0)+IF(AND(V1501&gt;=75,V1501&lt;=175,W1501&gt;=65,W1501&lt;110),0.17,0)+IF(AND(V1501&gt;=75,V1501&lt;=175,W1501&gt;=110),0.12,0)+IF(AND(V1501&gt;175,W1501&lt;25),0.3,0)+IF(AND(V1501&gt;175,W1501&gt;=25,W1501&lt;55),0.23,0)+IF(AND(V1501&gt;175,W1501&gt;=55,W1501&lt;95),0.17,0)+IF(AND(V1501&gt;175,W1501&gt;=95),0.12,0),
IF(AF1501="Fix15",0.15,
IF(AF1501="Fix5",0.05,
IF(AF1501="Fix18.75",0.1875,
IF(AF1501="Fix11.25",0.1125,
IF(AF1501="Fix10",0.1,
IF(AF1501="Fix9",0.09,
IF(AF1501="Fix12",0.12,
IF(AF1501="Fix19",0.19,
IF(AF1501="DoEV2017",IF(AND(W1501&lt;74),0.2,0)+IF(AND(W1501&gt;=74),0.17,0),
IF(AF1501="SF",IF(AND(V1501&lt;20,W1501&lt;89),0.3,0)+IF(AND(V1501&lt;20,W1501&gt;=89),0.25,0)+IF(AND(V1501&gt;=20,V1501&lt;40,W1501&lt;74),0.3,0)+IF(AND(V1501&gt;=20,V1501&lt;40,W1501&gt;=75),0.22,0)+IF(AND(V1501&gt;=40,V1501&lt;75,W1501&lt;75),0.26,0)+IF(AND(V1501&gt;=40,V1501&lt;75,W1501&gt;=75),0.22,0)+IF(V1501&gt;=75,0.22,0),
IF(AF1501="DoEVold",IF(AND(V1501&lt;40,W1501&lt;35),0.35,0)+IF(AND(V1501&lt;40,W1501&gt;=35,W1501&lt;75),0.25,0)+IF(AND(V1501&lt;40,W1501&gt;=75),0.17,0)+IF(AND(V1501&gt;=40,V1501&lt;75,W1501&lt;25),0.35,0)+IF(AND(V1501&gt;=40,V1501&lt;75,W1501&gt;=25,W1501&lt;65),0.25,0)+IF(AND(V1501&gt;=40,V1501&lt;75,W1501&gt;=65,W1501&lt;100),0.17,0)+IF(AND(V1501&gt;=40,V1501&lt;75,W1501&gt;=100),0.1,0)+IF(AND(V1501&gt;=75,W1501&lt;25),0.35,0)+IF(AND(V1501&gt;=75,W1501&gt;=25,W1501&lt;60),0.25,0)+IF(AND(V1501&gt;=75,W1501&gt;=60,W1501&lt;95),0.17,0)+IF(AND(V1501&gt;=75,W1501&gt;=95),0.1,0),
IF(AF1501="DoEVold15",IF(AND(V1501&lt;=40,W1501&lt;35),0.35,0)+IF(AND(V1501&lt;=40,W1501&gt;=35,W1501&lt;75),0.25,0)+IF(AND(V1501&lt;=40,W1501&gt;=75,W1501&lt;120),0.17,0)+IF(AND(V1501&lt;=40,W1501&gt;=120),0.15,0)+IF(AND(V1501&gt;40,V1501&lt;75,W1501&lt;25),0.35,0)+IF(AND(V1501&gt;=40,V1501&lt;75,W1501&gt;=25,W1501&lt;65),0.25,0)+IF(AND(V1501&gt;=40,V1501&lt;75,W1501&gt;=65,W1501&lt;100),0.17,0)+IF(AND(V1501&gt;=40,V1501&lt;75,W1501&gt;=100),0.1,0)+IF(AND(V1501&gt;=75,W1501&lt;25),0.35,0)+IF(AND(V1501&gt;=75,W1501&gt;=25,W1501&lt;60),0.25,0)+IF(AND(V1501&gt;=75,W1501&gt;=60,W1501&lt;95),0.17,0)+IF(AND(V1501&gt;=75,W1501&gt;=95),0.1,0),
IF(AF1501="DoEVba",IF(AND(V1501&lt;20,W1501&lt;105),0.2,0)+IF(AND(V1501&lt;20,W1501&gt;=105),0.15,0)+IF(AND(V1501&gt;=20,V1501&lt;40,W1501&lt;95),0.2,0)+IF(AND(V1501&gt;=20,V1501&lt;40,W1501&gt;=95,W1501&lt;150),0.15,0)+IF(AND(V1501&gt;=20,V1501&lt;40,W1501&gt;=150),0.12,0)+IF(AND(V1501&gt;=40,V1501&lt;75,W1501&lt;75),0.2,0)+IF(AND(V1501&gt;=40,V1501&lt;75,W1501&gt;=75,W1501&lt;120),0.15,0)+IF(AND(V1501&gt;=40,V1501&lt;75,W1501&gt;=120),0.12,0)+IF(AND(V1501&gt;=75,V1501&lt;175,W1501&lt;65),0.2,0)+IF(AND(V1501&gt;=75,V1501&lt;175,W1501&gt;=65,W1501&lt;110),0.15,0)+IF(AND(V1501&gt;=75,V1501&lt;175,W1501&gt;=110),0.12,0)+IF(AND(V1501&gt;=175,W1501&lt;55),0.2,0)+IF(AND(V1501&gt;=175,W1501&gt;=55,W1501&lt;95),0.15,0)+IF(AND(V1501&gt;=175,W1501&gt;=95),0.12,0),
IF(AF1501="DoEVku",IF(AND(V1501&lt;20,W1501&lt;55),0.23,0)+IF(AND(V1501&lt;20,W1501&gt;=55,W1501&lt;105),0.2,0)+IF(AND(V1501&lt;20,W1501&gt;=105),0.17,0)+IF(AND(V1501&gt;=20,V1501&lt;40,W1501&lt;45),0.23,0)+IF(AND(V1501&gt;=20,V1501&lt;40,W1501&gt;=45,W1501&lt;95),0.2,0)+IF(AND(V1501&gt;=20,V1501&lt;40,W1501&gt;=95,W1501&lt;=150),0.17,0)+IF(AND(V1501&gt;=20,V1501&lt;40,W1501&gt;=150),0.12,0)+IF(AND(V1501&gt;=40,V1501&lt;75,W1501&lt;35),0.23,0)+IF(AND(V1501&gt;=40,V1501&lt;75,W1501&gt;=35,W1501&lt;75),0.2,0)+IF(AND(V1501&gt;=40,V1501&lt;75,W1501&gt;=75,W1501&lt;120),0.17,0)+IF(AND(V1501&gt;=40,V1501&lt;75,W1501&gt;=120),0.12,0)+IF(AND(V1501&gt;=75,V1501&lt;175,W1501&lt;35),0.23,0)+IF(AND(V1501&gt;=75,V1501&lt;=175,W1501&gt;=35,W1501&lt;65),0.2,0)+IF(AND(V1501&gt;=75,V1501&lt;=175,W1501&gt;=65,W1501&lt;110),0.17,0)+IF(AND(V1501&gt;=75,V1501&lt;=175,W1501&gt;=110),0.12,0)+IF(AND(V1501&gt;175,W1501&lt;25),0.23,0)+IF(AND(V1501&gt;175,W1501&gt;=25,W1501&lt;55),0.2,0)+IF(AND(V1501&gt;175,W1501&gt;=55,W1501&lt;95),0.17,0)+IF(AND(V1501&gt;175,W1501&gt;=95),0.12,0),
IF(AF1501="DoEVs1",IF(AND(V1501&lt;20,W1501&lt;55),0.3,0)+IF(AND(V1501&lt;20,W1501&gt;=55,W1501&lt;105),0.23,0)+IF(AND(V1501&lt;20,W1501&gt;=105),0.17,0)+IF(AND(V1501&gt;=20,V1501&lt;40,W1501&lt;45),0.3,0)+IF(AND(V1501&gt;=20,V1501&lt;40,W1501&gt;=45,W1501&lt;95),0.23,0)+IF(AND(V1501&gt;=20,V1501&lt;40,W1501&gt;=95,W1501&lt;=150),0.17,0)+IF(AND(V1501&gt;=20,V1501&lt;40,W1501&gt;=150),0.12,0)+IF(AND(V1501&gt;=40,V1501&lt;75,W1501&lt;35),0.3,0)+IF(AND(V1501&gt;=40,V1501&lt;75,W1501&gt;=35,W1501&lt;75),0.23,0)+IF(AND(V1501&gt;=40,V1501&lt;75,W1501&gt;=75,W1501&lt;120),0.17,0)+IF(AND(V1501&gt;=40,V1501&lt;75,W1501&gt;=120),0.12,0)+IF(AND(V1501&gt;=75,V1501&lt;175,W1501&lt;35),0.3,0)+IF(AND(V1501&gt;=75,V1501&lt;=175,W1501&gt;=35,W1501&lt;65),0.23,0)+IF(AND(V1501&gt;=75,V1501&lt;=175,W1501&gt;=65,W1501&lt;110),0.17,0)+IF(AND(V1501&gt;=75,V1501&lt;=175,W1501&gt;=110),0.12,0)+IF(AND(V1501&gt;175,W1501&lt;25),0.3,0)+IF(AND(V1501&gt;175,W1501&gt;=25,W1501&lt;55),0.23,0)+IF(AND(V1501&gt;175,W1501&gt;=55,W1501&lt;95),0.17,0)+IF(AND(V1501&gt;175,W1501&gt;=95),0.12,0),
IF(AF1501="DoEVsu",IF(AND(V1501&lt;20,W1501&lt;55),0.3,0)+IF(AND(V1501&lt;20,W1501&gt;=55,W1501&lt;105),0.23,0)+IF(AND(V1501&lt;20,W1501&gt;=105),0.17,0)+IF(AND(V1501&gt;=20,V1501&lt;40,W1501&lt;45),0.3,0)+IF(AND(V1501&gt;=20,V1501&lt;40,W1501&gt;=45,W1501&lt;95),0.23,0)+IF(AND(V1501&gt;=20,V1501&lt;40,W1501&gt;=95,W1501&lt;=250),0.17,0)+IF(AND(V1501&gt;=20,V1501&lt;40,W1501&gt;=250),0.12,0)+IF(AND(V1501&gt;=40,V1501&lt;75,W1501&lt;35),0.3,0)+IF(AND(V1501&gt;=40,V1501&lt;75,W1501&gt;=35,W1501&lt;75),0.23,0)+IF(AND(V1501&gt;=40,V1501&lt;75,W1501&gt;=75,W1501&lt;120),0.17,0)+IF(AND(V1501&gt;=40,V1501&lt;75,W1501&gt;=120),0.12,0)+IF(AND(V1501&gt;=75,V1501&lt;175,W1501&lt;35),0.3,0)+IF(AND(V1501&gt;=75,V1501&lt;=175,W1501&gt;=35,W1501&lt;65),0.23,0)+IF(AND(V1501&gt;=75,V1501&lt;=175,W1501&gt;=65,W1501&lt;110),0.17,0)+IF(AND(V1501&gt;=75,V1501&lt;=175,W1501&gt;=110),0.12,0)+IF(AND(V1501&gt;175,W1501&lt;25),0.3,0)+IF(AND(V1501&gt;175,W1501&gt;=25,W1501&lt;55),0.23,0)+IF(AND(V1501&gt;175,W1501&gt;=55,W1501&lt;95),0.17,0)+IF(AND(V1501&gt;175,W1501&gt;=95),0.12,0),
IF(AF1501="DoEVni",IF(AND(V1501&lt;20,W1501&lt;55),0.3,0)+IF(AND(V1501&lt;20,W1501&gt;=55,W1501&lt;105),0.23,0)+IF(AND(V1501&lt;20,W1501&gt;=105),0.17,0)+IF(AND(V1501&gt;=20,V1501&lt;40,W1501&lt;45),0.3,0)+IF(AND(V1501&gt;=20,V1501&lt;40,W1501&gt;=45,W1501&lt;95),0.23,0)+IF(AND(V1501&gt;=20,V1501&lt;40,W1501&gt;=95,W1501&lt;=200),0.17,0)+IF(AND(V1501&gt;=20,V1501&lt;40,W1501&gt;=200),0.12,0)+IF(AND(V1501&gt;=40,V1501&lt;75,W1501&lt;35),0.3,0)+IF(AND(V1501&gt;=40,V1501&lt;75,W1501&gt;=35,W1501&lt;75),0.23,0)+IF(AND(V1501&gt;=40,V1501&lt;75,W1501&gt;=75,W1501&lt;120),0.17,0)+IF(AND(V1501&gt;=40,V1501&lt;75,W1501&gt;=120),0.12,0)+IF(AND(V1501&gt;=75,V1501&lt;175,W1501&lt;35),0.3,0)+IF(AND(V1501&gt;=75,V1501&lt;=175,W1501&gt;=35,W1501&lt;65),0.23,0)+IF(AND(V1501&gt;=75,V1501&lt;=175,W1501&gt;=65,W1501&lt;110),0.17,0)+IF(AND(V1501&gt;=75,V1501&lt;=175,W1501&gt;=110),0.12,0)+IF(AND(V1501&gt;175,W1501&lt;25),0.3,0)+IF(AND(V1501&gt;175,W1501&gt;=25,W1501&lt;55),0.23,0)+IF(AND(V1501&gt;175,W1501&gt;=55,W1501&lt;95),0.17,0)+IF(AND(V1501&gt;175,W1501&gt;=95),0.12,0),
IF(AF1501="DoEVLo",IF(AND(V1501&lt;20,W1501&lt;55),0.25,0)+IF(AND(V1501&lt;20,W1501&gt;=55,W1501&lt;105),0.2,0)+IF(AND(V1501&lt;20,W1501&gt;=105),0.15,0)+IF(AND(V1501&gt;=20,V1501&lt;40,W1501&lt;45),0.25,0)+IF(AND(V1501&gt;=20,V1501&lt;40,W1501&gt;=45,W1501&lt;95),0.2,0)+IF(AND(V1501&gt;=20,V1501&lt;40,W1501&gt;=95),0.15,0)+IF(AND(V1501&gt;=40,V1501&lt;75,W1501&lt;35),0.25,0)+IF(AND(V1501&gt;=40,V1501&lt;75,W1501&gt;=35,W1501&lt;75),0.2,0)+IF(AND(V1501&gt;=40,V1501&lt;75,W1501&gt;=75,W1501&lt;120),0.15,0)+IF(AND(V1501&gt;=40,V1501&lt;75,W1501&gt;=120),0.1,0)+IF(AND(V1501&gt;=75,V1501&lt;175,W1501&lt;35),0.25,0)+IF(AND(V1501&gt;=75,V1501&lt;=175,W1501&gt;=35,W1501&lt;65),0.2,0)+IF(AND(V1501&gt;=75,V1501&lt;=175,W1501&gt;=65,W1501&lt;110),0.15,0)+IF(AND(V1501&gt;=75,V1501&lt;=175,W1501&gt;=110),0.1,0)+IF(AND(V1501&gt;175,W1501&lt;25),0.25,0)+IF(AND(V1501&gt;175,W1501&gt;=25,W1501&lt;55),0.2,0)+IF(AND(V1501&gt;175,W1501&gt;=55,W1501&lt;95),0.15,0)+IF(AND(V1501&gt;175,W1501&gt;=95),0.1,0))))))))))))))))))))</f>
        <v>0.17</v>
      </c>
      <c r="Y1501" s="30">
        <f>IF(AG1501="None",0,IF(AG1501="Fix5",0.05, IF(AG1501="Fix6.25",0.0625,IF(AG1501="Fix3.75",0.0375, IF(AG1501="Fix11",0.11, IF(AG1501="Fix10",0.1,IF(AG1501="Fix3",0.03,0)))))))</f>
        <v>0</v>
      </c>
      <c r="Z1501" s="35">
        <f>IF(AND(AD1501="EUR", AE1501 = "USD"), T1501*U1501-AA1501-AB1501, T1501-AA1501-AB1501)</f>
        <v>1118.9617278000003</v>
      </c>
      <c r="AA1501" s="29">
        <f>IF(AND(AD1501="EUR", F1501="Without EV deal", AE1501="USD"), (T1501*X1501)*U1501,
IF(AND(AD1501="EUR", F1501="Without EV deal", AE1501="EUR"), (T1501*X1501),
IF(AND(AD1501="EUR",AE1501="USD"), (T1501*X1501)*U1501,
T1501*X1501)))</f>
        <v>229.18493220000008</v>
      </c>
      <c r="AB1501" s="36">
        <f>IF(AND(AD1501="EUR", F1501="Without EV deal", AE1501="USD"), (T1501*Y1501)*U1501,
IF(AND(AD1501="EUR", F1501="Without EV deal", AE1501="EUR"), (T1501*Y1501),
IF(AND(AD1501="EUR",AE1501="USD"), (T1501*Y1501)*U1501,
T1501*Y1501)))</f>
        <v>0</v>
      </c>
      <c r="AC1501" s="37" t="b">
        <v>1</v>
      </c>
      <c r="AD1501" s="82" t="str">
        <f>IF(OR(H1501="€0.25 Flash",
H1501="€0.25(nitro) new",
H1501="€1",
H1501="€2",
H1501="€2 (bf 01.08)",
H1501="€5",
H1501="€5 (1M)",
H1501="€5 (bf 01.08)",
H1501="€5 (bf 05.05)",
H1501="€5 Nitro",
H1501="€5(wx) new",
H1501="€10",
H1501="€10 (1M)",
H1501="€10 (bf 01.08)",
H1501="€10 (bf 05.05)",
H1501="€10 (MP)",
H1501="€10 (old)",
H1501="€10 Nitro (bf 05.05)",
H1501="€10 Nitro (old)",
H1501="€10(wx) new",
H1501="€20",
H1501="€25",
H1501="€25 (bf 01.08)",
H1501="€25 (bf 05.05)",
H1501="€25 (MP)",
H1501="€25 (old)",
H1501="€25 Nitro",
H1501="€25 Nitro (bf 01.08)",
H1501="€25 Nitro (bf 05.05)",
H1501="€25(nitro) new",
H1501="€25(wx) new",
H1501="€50",
H1501="€50 (bf 01.08)",
H1501="€50 (bf 05.05)",
H1501="€50 (old)",
H1501="€50 Nitro",
H1501="€50 Nitro (bf 01.08)",
H1501="€50 Nitro (bf 05.05)",
H1501="€50(wx) new",
H1501="€100",
H1501="€100 (old)",
H1501="€100 Nitro",
H1501="€100 Nitro (old)",
H1501="€200",
H1501="€250",
H1501="€250 Nitro",
H1501="€500",
H1501="€500 Nitro"),"EUR", "USD")</f>
        <v>EUR</v>
      </c>
      <c r="AE1501" s="83" t="s">
        <v>38</v>
      </c>
      <c r="AF1501" s="83" t="str">
        <f t="array" ref="AF1501">INDEX('Deal Info'!D:D, MATCH(A1501,'Deal Info'!A:A, 0))</f>
        <v>DoEV</v>
      </c>
      <c r="AG1501" s="84" t="str">
        <f t="array" ref="AG1501">INDEX('Deal Info'!G:G, MATCH(A1501,'Deal Info'!A:A, 0))</f>
        <v>None</v>
      </c>
    </row>
    <row r="1502" spans="1:33" ht="14.25" hidden="1" x14ac:dyDescent="0.2">
      <c r="A1502" s="18" t="str">
        <f t="array" ref="A1502">IF(G1502='Room Info'!$B$1, INDEX('Room Info'!$A$2:$A2446, MATCH(B1502,'Room Info'!$B$2:$B2446, 0)),IF(G1502='Room Info'!$C$1, INDEX('Room Info'!$A$2:$A2446, MATCH(B1502,'Room Info'!$C$2:$C2446, 0)),IF(G1502='Room Info'!$D$1, INDEX('Room Info'!$A$2:$A2446, MATCH(B1502,'Room Info'!$D$2:$D2446, 0)),IF(G1502='Room Info'!$E$1, INDEX('Room Info'!$A$2:$A2446, MATCH(B1502,'Room Info'!$E$2:$E2446, 0)),IF(G1502='Room Info'!$F$1, INDEX('Room Info'!$A$2:$A2446, MATCH(B1502,'Room Info'!$F$2:$F2446, 0)),IF(G1502='Room Info'!$H$1, INDEX('Room Info'!$A$2:$A2446, MATCH(B1502,'Room Info'!$H$2:$H2446, 0)),IF(G1502='Room Info'!$G$1, INDEX('Room Info'!$A$2:$A2446, MATCH(B1502,'Room Info'!$G$2:$G2446, 0)))))))))</f>
        <v>dimandmb1</v>
      </c>
      <c r="B1502" s="96" t="s">
        <v>150</v>
      </c>
      <c r="C1502" s="77">
        <v>44958</v>
      </c>
      <c r="D1502" s="77">
        <v>44985</v>
      </c>
      <c r="E1502" s="21">
        <v>44958</v>
      </c>
      <c r="F1502" s="22" t="s">
        <v>41</v>
      </c>
      <c r="G1502" s="45" t="s">
        <v>223</v>
      </c>
      <c r="H1502" s="81" t="s">
        <v>54</v>
      </c>
      <c r="I1502" s="23" t="s">
        <v>37</v>
      </c>
      <c r="J1502" s="39">
        <v>5</v>
      </c>
      <c r="K1502" s="51">
        <v>2</v>
      </c>
      <c r="L1502" s="127">
        <f>2523.56-2314.27+330-(R1502+R1503+R1504)+25</f>
        <v>-899.41000000000008</v>
      </c>
      <c r="M1502" s="62"/>
      <c r="N1502" s="28">
        <f>K1502*J1502</f>
        <v>10</v>
      </c>
      <c r="O1502" s="65">
        <f>84*2</f>
        <v>168</v>
      </c>
      <c r="P1502" s="29">
        <v>84</v>
      </c>
      <c r="Q1502" s="55">
        <v>0.5</v>
      </c>
      <c r="R1502" s="31">
        <f>M1502+Q1502*J1502*K1502*0.07</f>
        <v>0.35000000000000003</v>
      </c>
      <c r="S1502" s="66"/>
      <c r="T1502" s="32">
        <f>IF(AND(AD1502="EUR", F1502="Without EV deal"), R1502 + L1502,
IF(AND(AD1502="USD", F1502="Without EV deal"), R1502 + L1502,
IF(AND(AD1502="EUR", F1502="Steel Phoenix"), R1502 + S1502/U1502,
R1502 + S1502)))</f>
        <v>-899.06000000000006</v>
      </c>
      <c r="U1502" s="57">
        <v>1.0620000000000001</v>
      </c>
      <c r="V1502" s="58">
        <v>11.71</v>
      </c>
      <c r="W1502" s="58">
        <v>48.198084170000001</v>
      </c>
      <c r="X1502" s="30">
        <f>IF(AF1502="DoEV",IF(AND(V1502&lt;20,W1502&lt;55),0.3,0)+IF(AND(V1502&lt;20,W1502&gt;=55,W1502&lt;105),0.23,0)+IF(AND(V1502&lt;20,W1502&gt;=105),0.17,0)+IF(AND(V1502&gt;=20,V1502&lt;40,W1502&lt;45),0.3,0)+IF(AND(V1502&gt;=20,V1502&lt;40,W1502&gt;=45,W1502&lt;95),0.23,0)+IF(AND(V1502&gt;=20,V1502&lt;40,W1502&gt;=95),0.17,0)+IF(AND(V1502&gt;=40,V1502&lt;75,W1502&lt;35),0.3,0)+IF(AND(V1502&gt;=40,V1502&lt;75,W1502&gt;=35,W1502&lt;75),0.23,0)+IF(AND(V1502&gt;=40,V1502&lt;75,W1502&gt;=75,W1502&lt;120),0.17,0)+IF(AND(V1502&gt;=40,V1502&lt;75,W1502&gt;=120),0.12,0)+IF(AND(V1502&gt;=75,V1502&lt;175,W1502&lt;35),0.3,0)+IF(AND(V1502&gt;=75,V1502&lt;=175,W1502&gt;=35,W1502&lt;65),0.23,0)+IF(AND(V1502&gt;=75,V1502&lt;=175,W1502&gt;=65,W1502&lt;110),0.17,0)+IF(AND(V1502&gt;=75,V1502&lt;=175,W1502&gt;=110),0.12,0)+IF(AND(V1502&gt;175,W1502&lt;25),0.3,0)+IF(AND(V1502&gt;175,W1502&gt;=25,W1502&lt;55),0.23,0)+IF(AND(V1502&gt;175,W1502&gt;=55,W1502&lt;95),0.17,0)+IF(AND(V1502&gt;175,W1502&gt;=95),0.12,0),
IF(AF1502="Fix15",0.15,
IF(AF1502="Fix5",0.05,
IF(AF1502="Fix18.75",0.1875,
IF(AF1502="Fix11.25",0.1125,
IF(AF1502="Fix10",0.1,
IF(AF1502="Fix9",0.09,
IF(AF1502="Fix12",0.12,
IF(AF1502="Fix19",0.19,
IF(AF1502="DoEV2017",IF(AND(W1502&lt;74),0.2,0)+IF(AND(W1502&gt;=74),0.17,0),
IF(AF1502="SF",IF(AND(V1502&lt;20,W1502&lt;89),0.3,0)+IF(AND(V1502&lt;20,W1502&gt;=89),0.25,0)+IF(AND(V1502&gt;=20,V1502&lt;40,W1502&lt;74),0.3,0)+IF(AND(V1502&gt;=20,V1502&lt;40,W1502&gt;=75),0.22,0)+IF(AND(V1502&gt;=40,V1502&lt;75,W1502&lt;75),0.26,0)+IF(AND(V1502&gt;=40,V1502&lt;75,W1502&gt;=75),0.22,0)+IF(V1502&gt;=75,0.22,0),
IF(AF1502="DoEVold",IF(AND(V1502&lt;40,W1502&lt;35),0.35,0)+IF(AND(V1502&lt;40,W1502&gt;=35,W1502&lt;75),0.25,0)+IF(AND(V1502&lt;40,W1502&gt;=75),0.17,0)+IF(AND(V1502&gt;=40,V1502&lt;75,W1502&lt;25),0.35,0)+IF(AND(V1502&gt;=40,V1502&lt;75,W1502&gt;=25,W1502&lt;65),0.25,0)+IF(AND(V1502&gt;=40,V1502&lt;75,W1502&gt;=65,W1502&lt;100),0.17,0)+IF(AND(V1502&gt;=40,V1502&lt;75,W1502&gt;=100),0.1,0)+IF(AND(V1502&gt;=75,W1502&lt;25),0.35,0)+IF(AND(V1502&gt;=75,W1502&gt;=25,W1502&lt;60),0.25,0)+IF(AND(V1502&gt;=75,W1502&gt;=60,W1502&lt;95),0.17,0)+IF(AND(V1502&gt;=75,W1502&gt;=95),0.1,0),
IF(AF1502="DoEVold15",IF(AND(V1502&lt;=40,W1502&lt;35),0.35,0)+IF(AND(V1502&lt;=40,W1502&gt;=35,W1502&lt;75),0.25,0)+IF(AND(V1502&lt;=40,W1502&gt;=75,W1502&lt;120),0.17,0)+IF(AND(V1502&lt;=40,W1502&gt;=120),0.15,0)+IF(AND(V1502&gt;40,V1502&lt;75,W1502&lt;25),0.35,0)+IF(AND(V1502&gt;=40,V1502&lt;75,W1502&gt;=25,W1502&lt;65),0.25,0)+IF(AND(V1502&gt;=40,V1502&lt;75,W1502&gt;=65,W1502&lt;100),0.17,0)+IF(AND(V1502&gt;=40,V1502&lt;75,W1502&gt;=100),0.1,0)+IF(AND(V1502&gt;=75,W1502&lt;25),0.35,0)+IF(AND(V1502&gt;=75,W1502&gt;=25,W1502&lt;60),0.25,0)+IF(AND(V1502&gt;=75,W1502&gt;=60,W1502&lt;95),0.17,0)+IF(AND(V1502&gt;=75,W1502&gt;=95),0.1,0),
IF(AF1502="DoEVba",IF(AND(V1502&lt;20,W1502&lt;105),0.2,0)+IF(AND(V1502&lt;20,W1502&gt;=105),0.15,0)+IF(AND(V1502&gt;=20,V1502&lt;40,W1502&lt;95),0.2,0)+IF(AND(V1502&gt;=20,V1502&lt;40,W1502&gt;=95,W1502&lt;150),0.15,0)+IF(AND(V1502&gt;=20,V1502&lt;40,W1502&gt;=150),0.12,0)+IF(AND(V1502&gt;=40,V1502&lt;75,W1502&lt;75),0.2,0)+IF(AND(V1502&gt;=40,V1502&lt;75,W1502&gt;=75,W1502&lt;120),0.15,0)+IF(AND(V1502&gt;=40,V1502&lt;75,W1502&gt;=120),0.12,0)+IF(AND(V1502&gt;=75,V1502&lt;175,W1502&lt;65),0.2,0)+IF(AND(V1502&gt;=75,V1502&lt;175,W1502&gt;=65,W1502&lt;110),0.15,0)+IF(AND(V1502&gt;=75,V1502&lt;175,W1502&gt;=110),0.12,0)+IF(AND(V1502&gt;=175,W1502&lt;55),0.2,0)+IF(AND(V1502&gt;=175,W1502&gt;=55,W1502&lt;95),0.15,0)+IF(AND(V1502&gt;=175,W1502&gt;=95),0.12,0),
IF(AF1502="DoEVku",IF(AND(V1502&lt;20,W1502&lt;55),0.23,0)+IF(AND(V1502&lt;20,W1502&gt;=55,W1502&lt;105),0.2,0)+IF(AND(V1502&lt;20,W1502&gt;=105),0.17,0)+IF(AND(V1502&gt;=20,V1502&lt;40,W1502&lt;45),0.23,0)+IF(AND(V1502&gt;=20,V1502&lt;40,W1502&gt;=45,W1502&lt;95),0.2,0)+IF(AND(V1502&gt;=20,V1502&lt;40,W1502&gt;=95,W1502&lt;=150),0.17,0)+IF(AND(V1502&gt;=20,V1502&lt;40,W1502&gt;=150),0.12,0)+IF(AND(V1502&gt;=40,V1502&lt;75,W1502&lt;35),0.23,0)+IF(AND(V1502&gt;=40,V1502&lt;75,W1502&gt;=35,W1502&lt;75),0.2,0)+IF(AND(V1502&gt;=40,V1502&lt;75,W1502&gt;=75,W1502&lt;120),0.17,0)+IF(AND(V1502&gt;=40,V1502&lt;75,W1502&gt;=120),0.12,0)+IF(AND(V1502&gt;=75,V1502&lt;175,W1502&lt;35),0.23,0)+IF(AND(V1502&gt;=75,V1502&lt;=175,W1502&gt;=35,W1502&lt;65),0.2,0)+IF(AND(V1502&gt;=75,V1502&lt;=175,W1502&gt;=65,W1502&lt;110),0.17,0)+IF(AND(V1502&gt;=75,V1502&lt;=175,W1502&gt;=110),0.12,0)+IF(AND(V1502&gt;175,W1502&lt;25),0.23,0)+IF(AND(V1502&gt;175,W1502&gt;=25,W1502&lt;55),0.2,0)+IF(AND(V1502&gt;175,W1502&gt;=55,W1502&lt;95),0.17,0)+IF(AND(V1502&gt;175,W1502&gt;=95),0.12,0),
IF(AF1502="DoEVs1",IF(AND(V1502&lt;20,W1502&lt;55),0.3,0)+IF(AND(V1502&lt;20,W1502&gt;=55,W1502&lt;105),0.23,0)+IF(AND(V1502&lt;20,W1502&gt;=105),0.17,0)+IF(AND(V1502&gt;=20,V1502&lt;40,W1502&lt;45),0.3,0)+IF(AND(V1502&gt;=20,V1502&lt;40,W1502&gt;=45,W1502&lt;95),0.23,0)+IF(AND(V1502&gt;=20,V1502&lt;40,W1502&gt;=95,W1502&lt;=150),0.17,0)+IF(AND(V1502&gt;=20,V1502&lt;40,W1502&gt;=150),0.12,0)+IF(AND(V1502&gt;=40,V1502&lt;75,W1502&lt;35),0.3,0)+IF(AND(V1502&gt;=40,V1502&lt;75,W1502&gt;=35,W1502&lt;75),0.23,0)+IF(AND(V1502&gt;=40,V1502&lt;75,W1502&gt;=75,W1502&lt;120),0.17,0)+IF(AND(V1502&gt;=40,V1502&lt;75,W1502&gt;=120),0.12,0)+IF(AND(V1502&gt;=75,V1502&lt;175,W1502&lt;35),0.3,0)+IF(AND(V1502&gt;=75,V1502&lt;=175,W1502&gt;=35,W1502&lt;65),0.23,0)+IF(AND(V1502&gt;=75,V1502&lt;=175,W1502&gt;=65,W1502&lt;110),0.17,0)+IF(AND(V1502&gt;=75,V1502&lt;=175,W1502&gt;=110),0.12,0)+IF(AND(V1502&gt;175,W1502&lt;25),0.3,0)+IF(AND(V1502&gt;175,W1502&gt;=25,W1502&lt;55),0.23,0)+IF(AND(V1502&gt;175,W1502&gt;=55,W1502&lt;95),0.17,0)+IF(AND(V1502&gt;175,W1502&gt;=95),0.12,0),
IF(AF1502="DoEVsu",IF(AND(V1502&lt;20,W1502&lt;55),0.3,0)+IF(AND(V1502&lt;20,W1502&gt;=55,W1502&lt;105),0.23,0)+IF(AND(V1502&lt;20,W1502&gt;=105),0.17,0)+IF(AND(V1502&gt;=20,V1502&lt;40,W1502&lt;45),0.3,0)+IF(AND(V1502&gt;=20,V1502&lt;40,W1502&gt;=45,W1502&lt;95),0.23,0)+IF(AND(V1502&gt;=20,V1502&lt;40,W1502&gt;=95,W1502&lt;=250),0.17,0)+IF(AND(V1502&gt;=20,V1502&lt;40,W1502&gt;=250),0.12,0)+IF(AND(V1502&gt;=40,V1502&lt;75,W1502&lt;35),0.3,0)+IF(AND(V1502&gt;=40,V1502&lt;75,W1502&gt;=35,W1502&lt;75),0.23,0)+IF(AND(V1502&gt;=40,V1502&lt;75,W1502&gt;=75,W1502&lt;120),0.17,0)+IF(AND(V1502&gt;=40,V1502&lt;75,W1502&gt;=120),0.12,0)+IF(AND(V1502&gt;=75,V1502&lt;175,W1502&lt;35),0.3,0)+IF(AND(V1502&gt;=75,V1502&lt;=175,W1502&gt;=35,W1502&lt;65),0.23,0)+IF(AND(V1502&gt;=75,V1502&lt;=175,W1502&gt;=65,W1502&lt;110),0.17,0)+IF(AND(V1502&gt;=75,V1502&lt;=175,W1502&gt;=110),0.12,0)+IF(AND(V1502&gt;175,W1502&lt;25),0.3,0)+IF(AND(V1502&gt;175,W1502&gt;=25,W1502&lt;55),0.23,0)+IF(AND(V1502&gt;175,W1502&gt;=55,W1502&lt;95),0.17,0)+IF(AND(V1502&gt;175,W1502&gt;=95),0.12,0),
IF(AF1502="DoEVni",IF(AND(V1502&lt;20,W1502&lt;55),0.3,0)+IF(AND(V1502&lt;20,W1502&gt;=55,W1502&lt;105),0.23,0)+IF(AND(V1502&lt;20,W1502&gt;=105),0.17,0)+IF(AND(V1502&gt;=20,V1502&lt;40,W1502&lt;45),0.3,0)+IF(AND(V1502&gt;=20,V1502&lt;40,W1502&gt;=45,W1502&lt;95),0.23,0)+IF(AND(V1502&gt;=20,V1502&lt;40,W1502&gt;=95,W1502&lt;=200),0.17,0)+IF(AND(V1502&gt;=20,V1502&lt;40,W1502&gt;=200),0.12,0)+IF(AND(V1502&gt;=40,V1502&lt;75,W1502&lt;35),0.3,0)+IF(AND(V1502&gt;=40,V1502&lt;75,W1502&gt;=35,W1502&lt;75),0.23,0)+IF(AND(V1502&gt;=40,V1502&lt;75,W1502&gt;=75,W1502&lt;120),0.17,0)+IF(AND(V1502&gt;=40,V1502&lt;75,W1502&gt;=120),0.12,0)+IF(AND(V1502&gt;=75,V1502&lt;175,W1502&lt;35),0.3,0)+IF(AND(V1502&gt;=75,V1502&lt;=175,W1502&gt;=35,W1502&lt;65),0.23,0)+IF(AND(V1502&gt;=75,V1502&lt;=175,W1502&gt;=65,W1502&lt;110),0.17,0)+IF(AND(V1502&gt;=75,V1502&lt;=175,W1502&gt;=110),0.12,0)+IF(AND(V1502&gt;175,W1502&lt;25),0.3,0)+IF(AND(V1502&gt;175,W1502&gt;=25,W1502&lt;55),0.23,0)+IF(AND(V1502&gt;175,W1502&gt;=55,W1502&lt;95),0.17,0)+IF(AND(V1502&gt;175,W1502&gt;=95),0.12,0),
IF(AF1502="DoEVLo",IF(AND(V1502&lt;20,W1502&lt;55),0.25,0)+IF(AND(V1502&lt;20,W1502&gt;=55,W1502&lt;105),0.2,0)+IF(AND(V1502&lt;20,W1502&gt;=105),0.15,0)+IF(AND(V1502&gt;=20,V1502&lt;40,W1502&lt;45),0.25,0)+IF(AND(V1502&gt;=20,V1502&lt;40,W1502&gt;=45,W1502&lt;95),0.2,0)+IF(AND(V1502&gt;=20,V1502&lt;40,W1502&gt;=95),0.15,0)+IF(AND(V1502&gt;=40,V1502&lt;75,W1502&lt;35),0.25,0)+IF(AND(V1502&gt;=40,V1502&lt;75,W1502&gt;=35,W1502&lt;75),0.2,0)+IF(AND(V1502&gt;=40,V1502&lt;75,W1502&gt;=75,W1502&lt;120),0.15,0)+IF(AND(V1502&gt;=40,V1502&lt;75,W1502&gt;=120),0.1,0)+IF(AND(V1502&gt;=75,V1502&lt;175,W1502&lt;35),0.25,0)+IF(AND(V1502&gt;=75,V1502&lt;=175,W1502&gt;=35,W1502&lt;65),0.2,0)+IF(AND(V1502&gt;=75,V1502&lt;=175,W1502&gt;=65,W1502&lt;110),0.15,0)+IF(AND(V1502&gt;=75,V1502&lt;=175,W1502&gt;=110),0.1,0)+IF(AND(V1502&gt;175,W1502&lt;25),0.25,0)+IF(AND(V1502&gt;175,W1502&gt;=25,W1502&lt;55),0.2,0)+IF(AND(V1502&gt;175,W1502&gt;=55,W1502&lt;95),0.15,0)+IF(AND(V1502&gt;175,W1502&gt;=95),0.1,0))))))))))))))))))))</f>
        <v>0.3</v>
      </c>
      <c r="Y1502" s="30">
        <f>IF(AG1502="None",0,IF(AG1502="Fix5",0.05, IF(AG1502="Fix6.25",0.0625,IF(AG1502="Fix3.75",0.0375, IF(AG1502="Fix11",0.11, IF(AG1502="Fix10",0.1,IF(AG1502="Fix3",0.03,0)))))))</f>
        <v>0</v>
      </c>
      <c r="Z1502" s="35">
        <f>IF(AND(AD1502="EUR", AE1502 = "USD"), T1502*U1502-AA1502-AB1502, T1502-AA1502-AB1502)</f>
        <v>-668.36120400000004</v>
      </c>
      <c r="AA1502" s="29">
        <f>IF(AND(AD1502="EUR", F1502="Without EV deal", AE1502="USD"), (T1502*X1502)*U1502,
IF(AND(AD1502="EUR", F1502="Without EV deal", AE1502="EUR"), (T1502*X1502),
IF(AND(AD1502="EUR",AE1502="USD"), (T1502*X1502)*U1502,
T1502*X1502)))</f>
        <v>-286.44051600000006</v>
      </c>
      <c r="AB1502" s="36">
        <f>IF(AND(AD1502="EUR", F1502="Without EV deal", AE1502="USD"), (T1502*Y1502)*U1502,
IF(AND(AD1502="EUR", F1502="Without EV deal", AE1502="EUR"), (T1502*Y1502),
IF(AND(AD1502="EUR",AE1502="USD"), (T1502*Y1502)*U1502,
T1502*Y1502)))</f>
        <v>0</v>
      </c>
      <c r="AC1502" s="37" t="b">
        <v>1</v>
      </c>
      <c r="AD1502" s="82" t="str">
        <f>IF(OR(H1502="€0.25 Flash",
H1502="€0.25(nitro) new",
H1502="€1",
H1502="€2",
H1502="€2 (bf 01.08)",
H1502="€5",
H1502="€5 (1M)",
H1502="€5 (bf 01.08)",
H1502="€5 (bf 05.05)",
H1502="€5 Nitro",
H1502="€5(wx) new",
H1502="€10",
H1502="€10 (1M)",
H1502="€10 (bf 01.08)",
H1502="€10 (bf 05.05)",
H1502="€10 (MP)",
H1502="€10 (old)",
H1502="€10 Nitro (bf 05.05)",
H1502="€10 Nitro (old)",
H1502="€10(wx) new",
H1502="€20",
H1502="€25",
H1502="€25 (bf 01.08)",
H1502="€25 (bf 05.05)",
H1502="€25 (MP)",
H1502="€25 (old)",
H1502="€25 Nitro",
H1502="€25 Nitro (bf 01.08)",
H1502="€25 Nitro (bf 05.05)",
H1502="€25(nitro) new",
H1502="€25(wx) new",
H1502="€50",
H1502="€50 (bf 01.08)",
H1502="€50 (bf 05.05)",
H1502="€50 (old)",
H1502="€50 Nitro",
H1502="€50 Nitro (bf 01.08)",
H1502="€50 Nitro (bf 05.05)",
H1502="€50(wx) new",
H1502="€100",
H1502="€100 (old)",
H1502="€100 Nitro",
H1502="€100 Nitro (old)",
H1502="€200",
H1502="€250",
H1502="€250 Nitro",
H1502="€500",
H1502="€500 Nitro"),"EUR", "USD")</f>
        <v>EUR</v>
      </c>
      <c r="AE1502" s="83" t="s">
        <v>38</v>
      </c>
      <c r="AF1502" s="83" t="str">
        <f t="array" ref="AF1502">INDEX('Deal Info'!D:D, MATCH(A1502,'Deal Info'!A:A, 0))</f>
        <v>DoEV</v>
      </c>
      <c r="AG1502" s="84" t="str">
        <f t="array" ref="AG1502">INDEX('Deal Info'!G:G, MATCH(A1502,'Deal Info'!A:A, 0))</f>
        <v>None</v>
      </c>
    </row>
    <row r="1503" spans="1:33" ht="14.25" hidden="1" x14ac:dyDescent="0.2">
      <c r="A1503" s="18" t="str">
        <f t="array" ref="A1503">IF(G1503='Room Info'!$B$1, INDEX('Room Info'!$A$2:$A2446, MATCH(B1503,'Room Info'!$B$2:$B2446, 0)),IF(G1503='Room Info'!$C$1, INDEX('Room Info'!$A$2:$A2446, MATCH(B1503,'Room Info'!$C$2:$C2446, 0)),IF(G1503='Room Info'!$D$1, INDEX('Room Info'!$A$2:$A2446, MATCH(B1503,'Room Info'!$D$2:$D2446, 0)),IF(G1503='Room Info'!$E$1, INDEX('Room Info'!$A$2:$A2446, MATCH(B1503,'Room Info'!$E$2:$E2446, 0)),IF(G1503='Room Info'!$F$1, INDEX('Room Info'!$A$2:$A2446, MATCH(B1503,'Room Info'!$F$2:$F2446, 0)),IF(G1503='Room Info'!$H$1, INDEX('Room Info'!$A$2:$A2446, MATCH(B1503,'Room Info'!$H$2:$H2446, 0)),IF(G1503='Room Info'!$G$1, INDEX('Room Info'!$A$2:$A2446, MATCH(B1503,'Room Info'!$G$2:$G2446, 0)))))))))</f>
        <v>dimandmb1</v>
      </c>
      <c r="B1503" s="96" t="s">
        <v>150</v>
      </c>
      <c r="C1503" s="77">
        <v>44958</v>
      </c>
      <c r="D1503" s="77">
        <v>44985</v>
      </c>
      <c r="E1503" s="21">
        <v>44958</v>
      </c>
      <c r="F1503" s="22" t="s">
        <v>41</v>
      </c>
      <c r="G1503" s="45" t="s">
        <v>223</v>
      </c>
      <c r="H1503" s="81" t="s">
        <v>55</v>
      </c>
      <c r="I1503" s="23" t="s">
        <v>37</v>
      </c>
      <c r="J1503" s="39">
        <v>10</v>
      </c>
      <c r="K1503" s="51">
        <v>2959</v>
      </c>
      <c r="L1503" s="113"/>
      <c r="M1503" s="62"/>
      <c r="N1503" s="28">
        <f>K1503*J1503</f>
        <v>29590</v>
      </c>
      <c r="O1503" s="65">
        <f>47*2959</f>
        <v>139073</v>
      </c>
      <c r="P1503" s="29">
        <v>47</v>
      </c>
      <c r="Q1503" s="55">
        <v>0.5</v>
      </c>
      <c r="R1503" s="31">
        <f>M1503+Q1503*J1503*K1503*0.07</f>
        <v>1035.6500000000001</v>
      </c>
      <c r="S1503" s="66"/>
      <c r="T1503" s="32">
        <f>IF(AND(AD1503="EUR", F1503="Without EV deal"), R1503 + L1503,
IF(AND(AD1503="USD", F1503="Without EV deal"), R1503 + L1503,
IF(AND(AD1503="EUR", F1503="Steel Phoenix"), R1503 + S1503/U1503,
R1503 + S1503)))</f>
        <v>1035.6500000000001</v>
      </c>
      <c r="U1503" s="57">
        <v>1.0620000000000001</v>
      </c>
      <c r="V1503" s="58">
        <v>11.71</v>
      </c>
      <c r="W1503" s="58">
        <v>48.198084170000001</v>
      </c>
      <c r="X1503" s="30">
        <f>IF(AF1503="DoEV",IF(AND(V1503&lt;20,W1503&lt;55),0.3,0)+IF(AND(V1503&lt;20,W1503&gt;=55,W1503&lt;105),0.23,0)+IF(AND(V1503&lt;20,W1503&gt;=105),0.17,0)+IF(AND(V1503&gt;=20,V1503&lt;40,W1503&lt;45),0.3,0)+IF(AND(V1503&gt;=20,V1503&lt;40,W1503&gt;=45,W1503&lt;95),0.23,0)+IF(AND(V1503&gt;=20,V1503&lt;40,W1503&gt;=95),0.17,0)+IF(AND(V1503&gt;=40,V1503&lt;75,W1503&lt;35),0.3,0)+IF(AND(V1503&gt;=40,V1503&lt;75,W1503&gt;=35,W1503&lt;75),0.23,0)+IF(AND(V1503&gt;=40,V1503&lt;75,W1503&gt;=75,W1503&lt;120),0.17,0)+IF(AND(V1503&gt;=40,V1503&lt;75,W1503&gt;=120),0.12,0)+IF(AND(V1503&gt;=75,V1503&lt;175,W1503&lt;35),0.3,0)+IF(AND(V1503&gt;=75,V1503&lt;=175,W1503&gt;=35,W1503&lt;65),0.23,0)+IF(AND(V1503&gt;=75,V1503&lt;=175,W1503&gt;=65,W1503&lt;110),0.17,0)+IF(AND(V1503&gt;=75,V1503&lt;=175,W1503&gt;=110),0.12,0)+IF(AND(V1503&gt;175,W1503&lt;25),0.3,0)+IF(AND(V1503&gt;175,W1503&gt;=25,W1503&lt;55),0.23,0)+IF(AND(V1503&gt;175,W1503&gt;=55,W1503&lt;95),0.17,0)+IF(AND(V1503&gt;175,W1503&gt;=95),0.12,0),
IF(AF1503="Fix15",0.15,
IF(AF1503="Fix5",0.05,
IF(AF1503="Fix18.75",0.1875,
IF(AF1503="Fix11.25",0.1125,
IF(AF1503="Fix10",0.1,
IF(AF1503="Fix9",0.09,
IF(AF1503="Fix12",0.12,
IF(AF1503="Fix19",0.19,
IF(AF1503="DoEV2017",IF(AND(W1503&lt;74),0.2,0)+IF(AND(W1503&gt;=74),0.17,0),
IF(AF1503="SF",IF(AND(V1503&lt;20,W1503&lt;89),0.3,0)+IF(AND(V1503&lt;20,W1503&gt;=89),0.25,0)+IF(AND(V1503&gt;=20,V1503&lt;40,W1503&lt;74),0.3,0)+IF(AND(V1503&gt;=20,V1503&lt;40,W1503&gt;=75),0.22,0)+IF(AND(V1503&gt;=40,V1503&lt;75,W1503&lt;75),0.26,0)+IF(AND(V1503&gt;=40,V1503&lt;75,W1503&gt;=75),0.22,0)+IF(V1503&gt;=75,0.22,0),
IF(AF1503="DoEVold",IF(AND(V1503&lt;40,W1503&lt;35),0.35,0)+IF(AND(V1503&lt;40,W1503&gt;=35,W1503&lt;75),0.25,0)+IF(AND(V1503&lt;40,W1503&gt;=75),0.17,0)+IF(AND(V1503&gt;=40,V1503&lt;75,W1503&lt;25),0.35,0)+IF(AND(V1503&gt;=40,V1503&lt;75,W1503&gt;=25,W1503&lt;65),0.25,0)+IF(AND(V1503&gt;=40,V1503&lt;75,W1503&gt;=65,W1503&lt;100),0.17,0)+IF(AND(V1503&gt;=40,V1503&lt;75,W1503&gt;=100),0.1,0)+IF(AND(V1503&gt;=75,W1503&lt;25),0.35,0)+IF(AND(V1503&gt;=75,W1503&gt;=25,W1503&lt;60),0.25,0)+IF(AND(V1503&gt;=75,W1503&gt;=60,W1503&lt;95),0.17,0)+IF(AND(V1503&gt;=75,W1503&gt;=95),0.1,0),
IF(AF1503="DoEVold15",IF(AND(V1503&lt;=40,W1503&lt;35),0.35,0)+IF(AND(V1503&lt;=40,W1503&gt;=35,W1503&lt;75),0.25,0)+IF(AND(V1503&lt;=40,W1503&gt;=75,W1503&lt;120),0.17,0)+IF(AND(V1503&lt;=40,W1503&gt;=120),0.15,0)+IF(AND(V1503&gt;40,V1503&lt;75,W1503&lt;25),0.35,0)+IF(AND(V1503&gt;=40,V1503&lt;75,W1503&gt;=25,W1503&lt;65),0.25,0)+IF(AND(V1503&gt;=40,V1503&lt;75,W1503&gt;=65,W1503&lt;100),0.17,0)+IF(AND(V1503&gt;=40,V1503&lt;75,W1503&gt;=100),0.1,0)+IF(AND(V1503&gt;=75,W1503&lt;25),0.35,0)+IF(AND(V1503&gt;=75,W1503&gt;=25,W1503&lt;60),0.25,0)+IF(AND(V1503&gt;=75,W1503&gt;=60,W1503&lt;95),0.17,0)+IF(AND(V1503&gt;=75,W1503&gt;=95),0.1,0),
IF(AF1503="DoEVba",IF(AND(V1503&lt;20,W1503&lt;105),0.2,0)+IF(AND(V1503&lt;20,W1503&gt;=105),0.15,0)+IF(AND(V1503&gt;=20,V1503&lt;40,W1503&lt;95),0.2,0)+IF(AND(V1503&gt;=20,V1503&lt;40,W1503&gt;=95,W1503&lt;150),0.15,0)+IF(AND(V1503&gt;=20,V1503&lt;40,W1503&gt;=150),0.12,0)+IF(AND(V1503&gt;=40,V1503&lt;75,W1503&lt;75),0.2,0)+IF(AND(V1503&gt;=40,V1503&lt;75,W1503&gt;=75,W1503&lt;120),0.15,0)+IF(AND(V1503&gt;=40,V1503&lt;75,W1503&gt;=120),0.12,0)+IF(AND(V1503&gt;=75,V1503&lt;175,W1503&lt;65),0.2,0)+IF(AND(V1503&gt;=75,V1503&lt;175,W1503&gt;=65,W1503&lt;110),0.15,0)+IF(AND(V1503&gt;=75,V1503&lt;175,W1503&gt;=110),0.12,0)+IF(AND(V1503&gt;=175,W1503&lt;55),0.2,0)+IF(AND(V1503&gt;=175,W1503&gt;=55,W1503&lt;95),0.15,0)+IF(AND(V1503&gt;=175,W1503&gt;=95),0.12,0),
IF(AF1503="DoEVku",IF(AND(V1503&lt;20,W1503&lt;55),0.23,0)+IF(AND(V1503&lt;20,W1503&gt;=55,W1503&lt;105),0.2,0)+IF(AND(V1503&lt;20,W1503&gt;=105),0.17,0)+IF(AND(V1503&gt;=20,V1503&lt;40,W1503&lt;45),0.23,0)+IF(AND(V1503&gt;=20,V1503&lt;40,W1503&gt;=45,W1503&lt;95),0.2,0)+IF(AND(V1503&gt;=20,V1503&lt;40,W1503&gt;=95,W1503&lt;=150),0.17,0)+IF(AND(V1503&gt;=20,V1503&lt;40,W1503&gt;=150),0.12,0)+IF(AND(V1503&gt;=40,V1503&lt;75,W1503&lt;35),0.23,0)+IF(AND(V1503&gt;=40,V1503&lt;75,W1503&gt;=35,W1503&lt;75),0.2,0)+IF(AND(V1503&gt;=40,V1503&lt;75,W1503&gt;=75,W1503&lt;120),0.17,0)+IF(AND(V1503&gt;=40,V1503&lt;75,W1503&gt;=120),0.12,0)+IF(AND(V1503&gt;=75,V1503&lt;175,W1503&lt;35),0.23,0)+IF(AND(V1503&gt;=75,V1503&lt;=175,W1503&gt;=35,W1503&lt;65),0.2,0)+IF(AND(V1503&gt;=75,V1503&lt;=175,W1503&gt;=65,W1503&lt;110),0.17,0)+IF(AND(V1503&gt;=75,V1503&lt;=175,W1503&gt;=110),0.12,0)+IF(AND(V1503&gt;175,W1503&lt;25),0.23,0)+IF(AND(V1503&gt;175,W1503&gt;=25,W1503&lt;55),0.2,0)+IF(AND(V1503&gt;175,W1503&gt;=55,W1503&lt;95),0.17,0)+IF(AND(V1503&gt;175,W1503&gt;=95),0.12,0),
IF(AF1503="DoEVs1",IF(AND(V1503&lt;20,W1503&lt;55),0.3,0)+IF(AND(V1503&lt;20,W1503&gt;=55,W1503&lt;105),0.23,0)+IF(AND(V1503&lt;20,W1503&gt;=105),0.17,0)+IF(AND(V1503&gt;=20,V1503&lt;40,W1503&lt;45),0.3,0)+IF(AND(V1503&gt;=20,V1503&lt;40,W1503&gt;=45,W1503&lt;95),0.23,0)+IF(AND(V1503&gt;=20,V1503&lt;40,W1503&gt;=95,W1503&lt;=150),0.17,0)+IF(AND(V1503&gt;=20,V1503&lt;40,W1503&gt;=150),0.12,0)+IF(AND(V1503&gt;=40,V1503&lt;75,W1503&lt;35),0.3,0)+IF(AND(V1503&gt;=40,V1503&lt;75,W1503&gt;=35,W1503&lt;75),0.23,0)+IF(AND(V1503&gt;=40,V1503&lt;75,W1503&gt;=75,W1503&lt;120),0.17,0)+IF(AND(V1503&gt;=40,V1503&lt;75,W1503&gt;=120),0.12,0)+IF(AND(V1503&gt;=75,V1503&lt;175,W1503&lt;35),0.3,0)+IF(AND(V1503&gt;=75,V1503&lt;=175,W1503&gt;=35,W1503&lt;65),0.23,0)+IF(AND(V1503&gt;=75,V1503&lt;=175,W1503&gt;=65,W1503&lt;110),0.17,0)+IF(AND(V1503&gt;=75,V1503&lt;=175,W1503&gt;=110),0.12,0)+IF(AND(V1503&gt;175,W1503&lt;25),0.3,0)+IF(AND(V1503&gt;175,W1503&gt;=25,W1503&lt;55),0.23,0)+IF(AND(V1503&gt;175,W1503&gt;=55,W1503&lt;95),0.17,0)+IF(AND(V1503&gt;175,W1503&gt;=95),0.12,0),
IF(AF1503="DoEVsu",IF(AND(V1503&lt;20,W1503&lt;55),0.3,0)+IF(AND(V1503&lt;20,W1503&gt;=55,W1503&lt;105),0.23,0)+IF(AND(V1503&lt;20,W1503&gt;=105),0.17,0)+IF(AND(V1503&gt;=20,V1503&lt;40,W1503&lt;45),0.3,0)+IF(AND(V1503&gt;=20,V1503&lt;40,W1503&gt;=45,W1503&lt;95),0.23,0)+IF(AND(V1503&gt;=20,V1503&lt;40,W1503&gt;=95,W1503&lt;=250),0.17,0)+IF(AND(V1503&gt;=20,V1503&lt;40,W1503&gt;=250),0.12,0)+IF(AND(V1503&gt;=40,V1503&lt;75,W1503&lt;35),0.3,0)+IF(AND(V1503&gt;=40,V1503&lt;75,W1503&gt;=35,W1503&lt;75),0.23,0)+IF(AND(V1503&gt;=40,V1503&lt;75,W1503&gt;=75,W1503&lt;120),0.17,0)+IF(AND(V1503&gt;=40,V1503&lt;75,W1503&gt;=120),0.12,0)+IF(AND(V1503&gt;=75,V1503&lt;175,W1503&lt;35),0.3,0)+IF(AND(V1503&gt;=75,V1503&lt;=175,W1503&gt;=35,W1503&lt;65),0.23,0)+IF(AND(V1503&gt;=75,V1503&lt;=175,W1503&gt;=65,W1503&lt;110),0.17,0)+IF(AND(V1503&gt;=75,V1503&lt;=175,W1503&gt;=110),0.12,0)+IF(AND(V1503&gt;175,W1503&lt;25),0.3,0)+IF(AND(V1503&gt;175,W1503&gt;=25,W1503&lt;55),0.23,0)+IF(AND(V1503&gt;175,W1503&gt;=55,W1503&lt;95),0.17,0)+IF(AND(V1503&gt;175,W1503&gt;=95),0.12,0),
IF(AF1503="DoEVni",IF(AND(V1503&lt;20,W1503&lt;55),0.3,0)+IF(AND(V1503&lt;20,W1503&gt;=55,W1503&lt;105),0.23,0)+IF(AND(V1503&lt;20,W1503&gt;=105),0.17,0)+IF(AND(V1503&gt;=20,V1503&lt;40,W1503&lt;45),0.3,0)+IF(AND(V1503&gt;=20,V1503&lt;40,W1503&gt;=45,W1503&lt;95),0.23,0)+IF(AND(V1503&gt;=20,V1503&lt;40,W1503&gt;=95,W1503&lt;=200),0.17,0)+IF(AND(V1503&gt;=20,V1503&lt;40,W1503&gt;=200),0.12,0)+IF(AND(V1503&gt;=40,V1503&lt;75,W1503&lt;35),0.3,0)+IF(AND(V1503&gt;=40,V1503&lt;75,W1503&gt;=35,W1503&lt;75),0.23,0)+IF(AND(V1503&gt;=40,V1503&lt;75,W1503&gt;=75,W1503&lt;120),0.17,0)+IF(AND(V1503&gt;=40,V1503&lt;75,W1503&gt;=120),0.12,0)+IF(AND(V1503&gt;=75,V1503&lt;175,W1503&lt;35),0.3,0)+IF(AND(V1503&gt;=75,V1503&lt;=175,W1503&gt;=35,W1503&lt;65),0.23,0)+IF(AND(V1503&gt;=75,V1503&lt;=175,W1503&gt;=65,W1503&lt;110),0.17,0)+IF(AND(V1503&gt;=75,V1503&lt;=175,W1503&gt;=110),0.12,0)+IF(AND(V1503&gt;175,W1503&lt;25),0.3,0)+IF(AND(V1503&gt;175,W1503&gt;=25,W1503&lt;55),0.23,0)+IF(AND(V1503&gt;175,W1503&gt;=55,W1503&lt;95),0.17,0)+IF(AND(V1503&gt;175,W1503&gt;=95),0.12,0),
IF(AF1503="DoEVLo",IF(AND(V1503&lt;20,W1503&lt;55),0.25,0)+IF(AND(V1503&lt;20,W1503&gt;=55,W1503&lt;105),0.2,0)+IF(AND(V1503&lt;20,W1503&gt;=105),0.15,0)+IF(AND(V1503&gt;=20,V1503&lt;40,W1503&lt;45),0.25,0)+IF(AND(V1503&gt;=20,V1503&lt;40,W1503&gt;=45,W1503&lt;95),0.2,0)+IF(AND(V1503&gt;=20,V1503&lt;40,W1503&gt;=95),0.15,0)+IF(AND(V1503&gt;=40,V1503&lt;75,W1503&lt;35),0.25,0)+IF(AND(V1503&gt;=40,V1503&lt;75,W1503&gt;=35,W1503&lt;75),0.2,0)+IF(AND(V1503&gt;=40,V1503&lt;75,W1503&gt;=75,W1503&lt;120),0.15,0)+IF(AND(V1503&gt;=40,V1503&lt;75,W1503&gt;=120),0.1,0)+IF(AND(V1503&gt;=75,V1503&lt;175,W1503&lt;35),0.25,0)+IF(AND(V1503&gt;=75,V1503&lt;=175,W1503&gt;=35,W1503&lt;65),0.2,0)+IF(AND(V1503&gt;=75,V1503&lt;=175,W1503&gt;=65,W1503&lt;110),0.15,0)+IF(AND(V1503&gt;=75,V1503&lt;=175,W1503&gt;=110),0.1,0)+IF(AND(V1503&gt;175,W1503&lt;25),0.25,0)+IF(AND(V1503&gt;175,W1503&gt;=25,W1503&lt;55),0.2,0)+IF(AND(V1503&gt;175,W1503&gt;=55,W1503&lt;95),0.15,0)+IF(AND(V1503&gt;175,W1503&gt;=95),0.1,0))))))))))))))))))))</f>
        <v>0.3</v>
      </c>
      <c r="Y1503" s="30">
        <f>IF(AG1503="None",0,IF(AG1503="Fix5",0.05, IF(AG1503="Fix6.25",0.0625,IF(AG1503="Fix3.75",0.0375, IF(AG1503="Fix11",0.11, IF(AG1503="Fix10",0.1,IF(AG1503="Fix3",0.03,0)))))))</f>
        <v>0</v>
      </c>
      <c r="Z1503" s="35">
        <f>IF(AND(AD1503="EUR", AE1503 = "USD"), T1503*U1503-AA1503-AB1503, T1503-AA1503-AB1503)</f>
        <v>769.90220999999997</v>
      </c>
      <c r="AA1503" s="29">
        <f>IF(AND(AD1503="EUR", F1503="Without EV deal", AE1503="USD"), (T1503*X1503)*U1503,
IF(AND(AD1503="EUR", F1503="Without EV deal", AE1503="EUR"), (T1503*X1503),
IF(AND(AD1503="EUR",AE1503="USD"), (T1503*X1503)*U1503,
T1503*X1503)))</f>
        <v>329.95809000000003</v>
      </c>
      <c r="AB1503" s="36">
        <f>IF(AND(AD1503="EUR", F1503="Without EV deal", AE1503="USD"), (T1503*Y1503)*U1503,
IF(AND(AD1503="EUR", F1503="Without EV deal", AE1503="EUR"), (T1503*Y1503),
IF(AND(AD1503="EUR",AE1503="USD"), (T1503*Y1503)*U1503,
T1503*Y1503)))</f>
        <v>0</v>
      </c>
      <c r="AC1503" s="37" t="b">
        <v>1</v>
      </c>
      <c r="AD1503" s="82" t="str">
        <f>IF(OR(H1503="€0.25 Flash",
H1503="€0.25(nitro) new",
H1503="€1",
H1503="€2",
H1503="€2 (bf 01.08)",
H1503="€5",
H1503="€5 (1M)",
H1503="€5 (bf 01.08)",
H1503="€5 (bf 05.05)",
H1503="€5 Nitro",
H1503="€5(wx) new",
H1503="€10",
H1503="€10 (1M)",
H1503="€10 (bf 01.08)",
H1503="€10 (bf 05.05)",
H1503="€10 (MP)",
H1503="€10 (old)",
H1503="€10 Nitro (bf 05.05)",
H1503="€10 Nitro (old)",
H1503="€10(wx) new",
H1503="€20",
H1503="€25",
H1503="€25 (bf 01.08)",
H1503="€25 (bf 05.05)",
H1503="€25 (MP)",
H1503="€25 (old)",
H1503="€25 Nitro",
H1503="€25 Nitro (bf 01.08)",
H1503="€25 Nitro (bf 05.05)",
H1503="€25(nitro) new",
H1503="€25(wx) new",
H1503="€50",
H1503="€50 (bf 01.08)",
H1503="€50 (bf 05.05)",
H1503="€50 (old)",
H1503="€50 Nitro",
H1503="€50 Nitro (bf 01.08)",
H1503="€50 Nitro (bf 05.05)",
H1503="€50(wx) new",
H1503="€100",
H1503="€100 (old)",
H1503="€100 Nitro",
H1503="€100 Nitro (old)",
H1503="€200",
H1503="€250",
H1503="€250 Nitro",
H1503="€500",
H1503="€500 Nitro"),"EUR", "USD")</f>
        <v>EUR</v>
      </c>
      <c r="AE1503" s="83" t="s">
        <v>38</v>
      </c>
      <c r="AF1503" s="83" t="str">
        <f t="array" ref="AF1503">INDEX('Deal Info'!D:D, MATCH(A1503,'Deal Info'!A:A, 0))</f>
        <v>DoEV</v>
      </c>
      <c r="AG1503" s="84" t="str">
        <f t="array" ref="AG1503">INDEX('Deal Info'!G:G, MATCH(A1503,'Deal Info'!A:A, 0))</f>
        <v>None</v>
      </c>
    </row>
    <row r="1504" spans="1:33" ht="14.25" hidden="1" x14ac:dyDescent="0.2">
      <c r="A1504" s="18" t="str">
        <f t="array" ref="A1504">IF(G1504='Room Info'!$B$1, INDEX('Room Info'!$A$2:$A2446, MATCH(B1504,'Room Info'!$B$2:$B2446, 0)),IF(G1504='Room Info'!$C$1, INDEX('Room Info'!$A$2:$A2446, MATCH(B1504,'Room Info'!$C$2:$C2446, 0)),IF(G1504='Room Info'!$D$1, INDEX('Room Info'!$A$2:$A2446, MATCH(B1504,'Room Info'!$D$2:$D2446, 0)),IF(G1504='Room Info'!$E$1, INDEX('Room Info'!$A$2:$A2446, MATCH(B1504,'Room Info'!$E$2:$E2446, 0)),IF(G1504='Room Info'!$F$1, INDEX('Room Info'!$A$2:$A2446, MATCH(B1504,'Room Info'!$F$2:$F2446, 0)),IF(G1504='Room Info'!$H$1, INDEX('Room Info'!$A$2:$A2446, MATCH(B1504,'Room Info'!$H$2:$H2446, 0)),IF(G1504='Room Info'!$G$1, INDEX('Room Info'!$A$2:$A2446, MATCH(B1504,'Room Info'!$G$2:$G2446, 0)))))))))</f>
        <v>dimandmb1</v>
      </c>
      <c r="B1504" s="96" t="s">
        <v>150</v>
      </c>
      <c r="C1504" s="77">
        <v>44958</v>
      </c>
      <c r="D1504" s="77">
        <v>44985</v>
      </c>
      <c r="E1504" s="21">
        <v>44958</v>
      </c>
      <c r="F1504" s="22" t="s">
        <v>41</v>
      </c>
      <c r="G1504" s="45" t="s">
        <v>223</v>
      </c>
      <c r="H1504" s="81" t="s">
        <v>56</v>
      </c>
      <c r="I1504" s="23" t="s">
        <v>37</v>
      </c>
      <c r="J1504" s="39">
        <v>20</v>
      </c>
      <c r="K1504" s="51">
        <v>611</v>
      </c>
      <c r="L1504" s="113"/>
      <c r="M1504" s="62"/>
      <c r="N1504" s="28">
        <f>K1504*J1504</f>
        <v>12220</v>
      </c>
      <c r="O1504" s="65">
        <f>-7*611</f>
        <v>-4277</v>
      </c>
      <c r="P1504" s="29">
        <v>-7</v>
      </c>
      <c r="Q1504" s="55">
        <v>0.5</v>
      </c>
      <c r="R1504" s="31">
        <f>M1504+Q1504*J1504*K1504*0.07</f>
        <v>427.70000000000005</v>
      </c>
      <c r="S1504" s="66"/>
      <c r="T1504" s="32">
        <f>IF(AND(AD1504="EUR", F1504="Without EV deal"), R1504 + L1504,
IF(AND(AD1504="USD", F1504="Without EV deal"), R1504 + L1504,
IF(AND(AD1504="EUR", F1504="Steel Phoenix"), R1504 + S1504/U1504,
R1504 + S1504)))</f>
        <v>427.70000000000005</v>
      </c>
      <c r="U1504" s="57">
        <v>1.0620000000000001</v>
      </c>
      <c r="V1504" s="58">
        <v>11.71</v>
      </c>
      <c r="W1504" s="58">
        <v>48.198084170000001</v>
      </c>
      <c r="X1504" s="30">
        <f>IF(AF1504="DoEV",IF(AND(V1504&lt;20,W1504&lt;55),0.3,0)+IF(AND(V1504&lt;20,W1504&gt;=55,W1504&lt;105),0.23,0)+IF(AND(V1504&lt;20,W1504&gt;=105),0.17,0)+IF(AND(V1504&gt;=20,V1504&lt;40,W1504&lt;45),0.3,0)+IF(AND(V1504&gt;=20,V1504&lt;40,W1504&gt;=45,W1504&lt;95),0.23,0)+IF(AND(V1504&gt;=20,V1504&lt;40,W1504&gt;=95),0.17,0)+IF(AND(V1504&gt;=40,V1504&lt;75,W1504&lt;35),0.3,0)+IF(AND(V1504&gt;=40,V1504&lt;75,W1504&gt;=35,W1504&lt;75),0.23,0)+IF(AND(V1504&gt;=40,V1504&lt;75,W1504&gt;=75,W1504&lt;120),0.17,0)+IF(AND(V1504&gt;=40,V1504&lt;75,W1504&gt;=120),0.12,0)+IF(AND(V1504&gt;=75,V1504&lt;175,W1504&lt;35),0.3,0)+IF(AND(V1504&gt;=75,V1504&lt;=175,W1504&gt;=35,W1504&lt;65),0.23,0)+IF(AND(V1504&gt;=75,V1504&lt;=175,W1504&gt;=65,W1504&lt;110),0.17,0)+IF(AND(V1504&gt;=75,V1504&lt;=175,W1504&gt;=110),0.12,0)+IF(AND(V1504&gt;175,W1504&lt;25),0.3,0)+IF(AND(V1504&gt;175,W1504&gt;=25,W1504&lt;55),0.23,0)+IF(AND(V1504&gt;175,W1504&gt;=55,W1504&lt;95),0.17,0)+IF(AND(V1504&gt;175,W1504&gt;=95),0.12,0),
IF(AF1504="Fix15",0.15,
IF(AF1504="Fix5",0.05,
IF(AF1504="Fix18.75",0.1875,
IF(AF1504="Fix11.25",0.1125,
IF(AF1504="Fix10",0.1,
IF(AF1504="Fix9",0.09,
IF(AF1504="Fix12",0.12,
IF(AF1504="Fix19",0.19,
IF(AF1504="DoEV2017",IF(AND(W1504&lt;74),0.2,0)+IF(AND(W1504&gt;=74),0.17,0),
IF(AF1504="SF",IF(AND(V1504&lt;20,W1504&lt;89),0.3,0)+IF(AND(V1504&lt;20,W1504&gt;=89),0.25,0)+IF(AND(V1504&gt;=20,V1504&lt;40,W1504&lt;74),0.3,0)+IF(AND(V1504&gt;=20,V1504&lt;40,W1504&gt;=75),0.22,0)+IF(AND(V1504&gt;=40,V1504&lt;75,W1504&lt;75),0.26,0)+IF(AND(V1504&gt;=40,V1504&lt;75,W1504&gt;=75),0.22,0)+IF(V1504&gt;=75,0.22,0),
IF(AF1504="DoEVold",IF(AND(V1504&lt;40,W1504&lt;35),0.35,0)+IF(AND(V1504&lt;40,W1504&gt;=35,W1504&lt;75),0.25,0)+IF(AND(V1504&lt;40,W1504&gt;=75),0.17,0)+IF(AND(V1504&gt;=40,V1504&lt;75,W1504&lt;25),0.35,0)+IF(AND(V1504&gt;=40,V1504&lt;75,W1504&gt;=25,W1504&lt;65),0.25,0)+IF(AND(V1504&gt;=40,V1504&lt;75,W1504&gt;=65,W1504&lt;100),0.17,0)+IF(AND(V1504&gt;=40,V1504&lt;75,W1504&gt;=100),0.1,0)+IF(AND(V1504&gt;=75,W1504&lt;25),0.35,0)+IF(AND(V1504&gt;=75,W1504&gt;=25,W1504&lt;60),0.25,0)+IF(AND(V1504&gt;=75,W1504&gt;=60,W1504&lt;95),0.17,0)+IF(AND(V1504&gt;=75,W1504&gt;=95),0.1,0),
IF(AF1504="DoEVold15",IF(AND(V1504&lt;=40,W1504&lt;35),0.35,0)+IF(AND(V1504&lt;=40,W1504&gt;=35,W1504&lt;75),0.25,0)+IF(AND(V1504&lt;=40,W1504&gt;=75,W1504&lt;120),0.17,0)+IF(AND(V1504&lt;=40,W1504&gt;=120),0.15,0)+IF(AND(V1504&gt;40,V1504&lt;75,W1504&lt;25),0.35,0)+IF(AND(V1504&gt;=40,V1504&lt;75,W1504&gt;=25,W1504&lt;65),0.25,0)+IF(AND(V1504&gt;=40,V1504&lt;75,W1504&gt;=65,W1504&lt;100),0.17,0)+IF(AND(V1504&gt;=40,V1504&lt;75,W1504&gt;=100),0.1,0)+IF(AND(V1504&gt;=75,W1504&lt;25),0.35,0)+IF(AND(V1504&gt;=75,W1504&gt;=25,W1504&lt;60),0.25,0)+IF(AND(V1504&gt;=75,W1504&gt;=60,W1504&lt;95),0.17,0)+IF(AND(V1504&gt;=75,W1504&gt;=95),0.1,0),
IF(AF1504="DoEVba",IF(AND(V1504&lt;20,W1504&lt;105),0.2,0)+IF(AND(V1504&lt;20,W1504&gt;=105),0.15,0)+IF(AND(V1504&gt;=20,V1504&lt;40,W1504&lt;95),0.2,0)+IF(AND(V1504&gt;=20,V1504&lt;40,W1504&gt;=95,W1504&lt;150),0.15,0)+IF(AND(V1504&gt;=20,V1504&lt;40,W1504&gt;=150),0.12,0)+IF(AND(V1504&gt;=40,V1504&lt;75,W1504&lt;75),0.2,0)+IF(AND(V1504&gt;=40,V1504&lt;75,W1504&gt;=75,W1504&lt;120),0.15,0)+IF(AND(V1504&gt;=40,V1504&lt;75,W1504&gt;=120),0.12,0)+IF(AND(V1504&gt;=75,V1504&lt;175,W1504&lt;65),0.2,0)+IF(AND(V1504&gt;=75,V1504&lt;175,W1504&gt;=65,W1504&lt;110),0.15,0)+IF(AND(V1504&gt;=75,V1504&lt;175,W1504&gt;=110),0.12,0)+IF(AND(V1504&gt;=175,W1504&lt;55),0.2,0)+IF(AND(V1504&gt;=175,W1504&gt;=55,W1504&lt;95),0.15,0)+IF(AND(V1504&gt;=175,W1504&gt;=95),0.12,0),
IF(AF1504="DoEVku",IF(AND(V1504&lt;20,W1504&lt;55),0.23,0)+IF(AND(V1504&lt;20,W1504&gt;=55,W1504&lt;105),0.2,0)+IF(AND(V1504&lt;20,W1504&gt;=105),0.17,0)+IF(AND(V1504&gt;=20,V1504&lt;40,W1504&lt;45),0.23,0)+IF(AND(V1504&gt;=20,V1504&lt;40,W1504&gt;=45,W1504&lt;95),0.2,0)+IF(AND(V1504&gt;=20,V1504&lt;40,W1504&gt;=95,W1504&lt;=150),0.17,0)+IF(AND(V1504&gt;=20,V1504&lt;40,W1504&gt;=150),0.12,0)+IF(AND(V1504&gt;=40,V1504&lt;75,W1504&lt;35),0.23,0)+IF(AND(V1504&gt;=40,V1504&lt;75,W1504&gt;=35,W1504&lt;75),0.2,0)+IF(AND(V1504&gt;=40,V1504&lt;75,W1504&gt;=75,W1504&lt;120),0.17,0)+IF(AND(V1504&gt;=40,V1504&lt;75,W1504&gt;=120),0.12,0)+IF(AND(V1504&gt;=75,V1504&lt;175,W1504&lt;35),0.23,0)+IF(AND(V1504&gt;=75,V1504&lt;=175,W1504&gt;=35,W1504&lt;65),0.2,0)+IF(AND(V1504&gt;=75,V1504&lt;=175,W1504&gt;=65,W1504&lt;110),0.17,0)+IF(AND(V1504&gt;=75,V1504&lt;=175,W1504&gt;=110),0.12,0)+IF(AND(V1504&gt;175,W1504&lt;25),0.23,0)+IF(AND(V1504&gt;175,W1504&gt;=25,W1504&lt;55),0.2,0)+IF(AND(V1504&gt;175,W1504&gt;=55,W1504&lt;95),0.17,0)+IF(AND(V1504&gt;175,W1504&gt;=95),0.12,0),
IF(AF1504="DoEVs1",IF(AND(V1504&lt;20,W1504&lt;55),0.3,0)+IF(AND(V1504&lt;20,W1504&gt;=55,W1504&lt;105),0.23,0)+IF(AND(V1504&lt;20,W1504&gt;=105),0.17,0)+IF(AND(V1504&gt;=20,V1504&lt;40,W1504&lt;45),0.3,0)+IF(AND(V1504&gt;=20,V1504&lt;40,W1504&gt;=45,W1504&lt;95),0.23,0)+IF(AND(V1504&gt;=20,V1504&lt;40,W1504&gt;=95,W1504&lt;=150),0.17,0)+IF(AND(V1504&gt;=20,V1504&lt;40,W1504&gt;=150),0.12,0)+IF(AND(V1504&gt;=40,V1504&lt;75,W1504&lt;35),0.3,0)+IF(AND(V1504&gt;=40,V1504&lt;75,W1504&gt;=35,W1504&lt;75),0.23,0)+IF(AND(V1504&gt;=40,V1504&lt;75,W1504&gt;=75,W1504&lt;120),0.17,0)+IF(AND(V1504&gt;=40,V1504&lt;75,W1504&gt;=120),0.12,0)+IF(AND(V1504&gt;=75,V1504&lt;175,W1504&lt;35),0.3,0)+IF(AND(V1504&gt;=75,V1504&lt;=175,W1504&gt;=35,W1504&lt;65),0.23,0)+IF(AND(V1504&gt;=75,V1504&lt;=175,W1504&gt;=65,W1504&lt;110),0.17,0)+IF(AND(V1504&gt;=75,V1504&lt;=175,W1504&gt;=110),0.12,0)+IF(AND(V1504&gt;175,W1504&lt;25),0.3,0)+IF(AND(V1504&gt;175,W1504&gt;=25,W1504&lt;55),0.23,0)+IF(AND(V1504&gt;175,W1504&gt;=55,W1504&lt;95),0.17,0)+IF(AND(V1504&gt;175,W1504&gt;=95),0.12,0),
IF(AF1504="DoEVsu",IF(AND(V1504&lt;20,W1504&lt;55),0.3,0)+IF(AND(V1504&lt;20,W1504&gt;=55,W1504&lt;105),0.23,0)+IF(AND(V1504&lt;20,W1504&gt;=105),0.17,0)+IF(AND(V1504&gt;=20,V1504&lt;40,W1504&lt;45),0.3,0)+IF(AND(V1504&gt;=20,V1504&lt;40,W1504&gt;=45,W1504&lt;95),0.23,0)+IF(AND(V1504&gt;=20,V1504&lt;40,W1504&gt;=95,W1504&lt;=250),0.17,0)+IF(AND(V1504&gt;=20,V1504&lt;40,W1504&gt;=250),0.12,0)+IF(AND(V1504&gt;=40,V1504&lt;75,W1504&lt;35),0.3,0)+IF(AND(V1504&gt;=40,V1504&lt;75,W1504&gt;=35,W1504&lt;75),0.23,0)+IF(AND(V1504&gt;=40,V1504&lt;75,W1504&gt;=75,W1504&lt;120),0.17,0)+IF(AND(V1504&gt;=40,V1504&lt;75,W1504&gt;=120),0.12,0)+IF(AND(V1504&gt;=75,V1504&lt;175,W1504&lt;35),0.3,0)+IF(AND(V1504&gt;=75,V1504&lt;=175,W1504&gt;=35,W1504&lt;65),0.23,0)+IF(AND(V1504&gt;=75,V1504&lt;=175,W1504&gt;=65,W1504&lt;110),0.17,0)+IF(AND(V1504&gt;=75,V1504&lt;=175,W1504&gt;=110),0.12,0)+IF(AND(V1504&gt;175,W1504&lt;25),0.3,0)+IF(AND(V1504&gt;175,W1504&gt;=25,W1504&lt;55),0.23,0)+IF(AND(V1504&gt;175,W1504&gt;=55,W1504&lt;95),0.17,0)+IF(AND(V1504&gt;175,W1504&gt;=95),0.12,0),
IF(AF1504="DoEVni",IF(AND(V1504&lt;20,W1504&lt;55),0.3,0)+IF(AND(V1504&lt;20,W1504&gt;=55,W1504&lt;105),0.23,0)+IF(AND(V1504&lt;20,W1504&gt;=105),0.17,0)+IF(AND(V1504&gt;=20,V1504&lt;40,W1504&lt;45),0.3,0)+IF(AND(V1504&gt;=20,V1504&lt;40,W1504&gt;=45,W1504&lt;95),0.23,0)+IF(AND(V1504&gt;=20,V1504&lt;40,W1504&gt;=95,W1504&lt;=200),0.17,0)+IF(AND(V1504&gt;=20,V1504&lt;40,W1504&gt;=200),0.12,0)+IF(AND(V1504&gt;=40,V1504&lt;75,W1504&lt;35),0.3,0)+IF(AND(V1504&gt;=40,V1504&lt;75,W1504&gt;=35,W1504&lt;75),0.23,0)+IF(AND(V1504&gt;=40,V1504&lt;75,W1504&gt;=75,W1504&lt;120),0.17,0)+IF(AND(V1504&gt;=40,V1504&lt;75,W1504&gt;=120),0.12,0)+IF(AND(V1504&gt;=75,V1504&lt;175,W1504&lt;35),0.3,0)+IF(AND(V1504&gt;=75,V1504&lt;=175,W1504&gt;=35,W1504&lt;65),0.23,0)+IF(AND(V1504&gt;=75,V1504&lt;=175,W1504&gt;=65,W1504&lt;110),0.17,0)+IF(AND(V1504&gt;=75,V1504&lt;=175,W1504&gt;=110),0.12,0)+IF(AND(V1504&gt;175,W1504&lt;25),0.3,0)+IF(AND(V1504&gt;175,W1504&gt;=25,W1504&lt;55),0.23,0)+IF(AND(V1504&gt;175,W1504&gt;=55,W1504&lt;95),0.17,0)+IF(AND(V1504&gt;175,W1504&gt;=95),0.12,0),
IF(AF1504="DoEVLo",IF(AND(V1504&lt;20,W1504&lt;55),0.25,0)+IF(AND(V1504&lt;20,W1504&gt;=55,W1504&lt;105),0.2,0)+IF(AND(V1504&lt;20,W1504&gt;=105),0.15,0)+IF(AND(V1504&gt;=20,V1504&lt;40,W1504&lt;45),0.25,0)+IF(AND(V1504&gt;=20,V1504&lt;40,W1504&gt;=45,W1504&lt;95),0.2,0)+IF(AND(V1504&gt;=20,V1504&lt;40,W1504&gt;=95),0.15,0)+IF(AND(V1504&gt;=40,V1504&lt;75,W1504&lt;35),0.25,0)+IF(AND(V1504&gt;=40,V1504&lt;75,W1504&gt;=35,W1504&lt;75),0.2,0)+IF(AND(V1504&gt;=40,V1504&lt;75,W1504&gt;=75,W1504&lt;120),0.15,0)+IF(AND(V1504&gt;=40,V1504&lt;75,W1504&gt;=120),0.1,0)+IF(AND(V1504&gt;=75,V1504&lt;175,W1504&lt;35),0.25,0)+IF(AND(V1504&gt;=75,V1504&lt;=175,W1504&gt;=35,W1504&lt;65),0.2,0)+IF(AND(V1504&gt;=75,V1504&lt;=175,W1504&gt;=65,W1504&lt;110),0.15,0)+IF(AND(V1504&gt;=75,V1504&lt;=175,W1504&gt;=110),0.1,0)+IF(AND(V1504&gt;175,W1504&lt;25),0.25,0)+IF(AND(V1504&gt;175,W1504&gt;=25,W1504&lt;55),0.2,0)+IF(AND(V1504&gt;175,W1504&gt;=55,W1504&lt;95),0.15,0)+IF(AND(V1504&gt;175,W1504&gt;=95),0.1,0))))))))))))))))))))</f>
        <v>0.3</v>
      </c>
      <c r="Y1504" s="30">
        <f>IF(AG1504="None",0,IF(AG1504="Fix5",0.05, IF(AG1504="Fix6.25",0.0625,IF(AG1504="Fix3.75",0.0375, IF(AG1504="Fix11",0.11, IF(AG1504="Fix10",0.1,IF(AG1504="Fix3",0.03,0)))))))</f>
        <v>0</v>
      </c>
      <c r="Z1504" s="35">
        <f>IF(AND(AD1504="EUR", AE1504 = "USD"), T1504*U1504-AA1504-AB1504, T1504-AA1504-AB1504)</f>
        <v>317.95218000000006</v>
      </c>
      <c r="AA1504" s="29">
        <f>IF(AND(AD1504="EUR", F1504="Without EV deal", AE1504="USD"), (T1504*X1504)*U1504,
IF(AND(AD1504="EUR", F1504="Without EV deal", AE1504="EUR"), (T1504*X1504),
IF(AND(AD1504="EUR",AE1504="USD"), (T1504*X1504)*U1504,
T1504*X1504)))</f>
        <v>136.26522</v>
      </c>
      <c r="AB1504" s="36">
        <f>IF(AND(AD1504="EUR", F1504="Without EV deal", AE1504="USD"), (T1504*Y1504)*U1504,
IF(AND(AD1504="EUR", F1504="Without EV deal", AE1504="EUR"), (T1504*Y1504),
IF(AND(AD1504="EUR",AE1504="USD"), (T1504*Y1504)*U1504,
T1504*Y1504)))</f>
        <v>0</v>
      </c>
      <c r="AC1504" s="37" t="b">
        <v>1</v>
      </c>
      <c r="AD1504" s="82" t="str">
        <f>IF(OR(H1504="€0.25 Flash",
H1504="€0.25(nitro) new",
H1504="€1",
H1504="€2",
H1504="€2 (bf 01.08)",
H1504="€5",
H1504="€5 (1M)",
H1504="€5 (bf 01.08)",
H1504="€5 (bf 05.05)",
H1504="€5 Nitro",
H1504="€5(wx) new",
H1504="€10",
H1504="€10 (1M)",
H1504="€10 (bf 01.08)",
H1504="€10 (bf 05.05)",
H1504="€10 (MP)",
H1504="€10 (old)",
H1504="€10 Nitro (bf 05.05)",
H1504="€10 Nitro (old)",
H1504="€10(wx) new",
H1504="€20",
H1504="€25",
H1504="€25 (bf 01.08)",
H1504="€25 (bf 05.05)",
H1504="€25 (MP)",
H1504="€25 (old)",
H1504="€25 Nitro",
H1504="€25 Nitro (bf 01.08)",
H1504="€25 Nitro (bf 05.05)",
H1504="€25(nitro) new",
H1504="€25(wx) new",
H1504="€50",
H1504="€50 (bf 01.08)",
H1504="€50 (bf 05.05)",
H1504="€50 (old)",
H1504="€50 Nitro",
H1504="€50 Nitro (bf 01.08)",
H1504="€50 Nitro (bf 05.05)",
H1504="€50(wx) new",
H1504="€100",
H1504="€100 (old)",
H1504="€100 Nitro",
H1504="€100 Nitro (old)",
H1504="€200",
H1504="€250",
H1504="€250 Nitro",
H1504="€500",
H1504="€500 Nitro"),"EUR", "USD")</f>
        <v>EUR</v>
      </c>
      <c r="AE1504" s="83" t="s">
        <v>38</v>
      </c>
      <c r="AF1504" s="83" t="str">
        <f t="array" ref="AF1504">INDEX('Deal Info'!D:D, MATCH(A1504,'Deal Info'!A:A, 0))</f>
        <v>DoEV</v>
      </c>
      <c r="AG1504" s="84" t="str">
        <f t="array" ref="AG1504">INDEX('Deal Info'!G:G, MATCH(A1504,'Deal Info'!A:A, 0))</f>
        <v>None</v>
      </c>
    </row>
    <row r="1505" spans="1:33" ht="14.25" hidden="1" x14ac:dyDescent="0.2">
      <c r="A1505" s="18" t="str">
        <f t="array" ref="A1505">IF(G1505='Room Info'!$B$1, INDEX('Room Info'!$A$2:$A2446, MATCH(B1505,'Room Info'!$B$2:$B2446, 0)),IF(G1505='Room Info'!$C$1, INDEX('Room Info'!$A$2:$A2446, MATCH(B1505,'Room Info'!$C$2:$C2446, 0)),IF(G1505='Room Info'!$D$1, INDEX('Room Info'!$A$2:$A2446, MATCH(B1505,'Room Info'!$D$2:$D2446, 0)),IF(G1505='Room Info'!$E$1, INDEX('Room Info'!$A$2:$A2446, MATCH(B1505,'Room Info'!$E$2:$E2446, 0)),IF(G1505='Room Info'!$F$1, INDEX('Room Info'!$A$2:$A2446, MATCH(B1505,'Room Info'!$F$2:$F2446, 0)),IF(G1505='Room Info'!$H$1, INDEX('Room Info'!$A$2:$A2446, MATCH(B1505,'Room Info'!$H$2:$H2446, 0)),IF(G1505='Room Info'!$G$1, INDEX('Room Info'!$A$2:$A2446, MATCH(B1505,'Room Info'!$G$2:$G2446, 0)))))))))</f>
        <v>Rus29APX</v>
      </c>
      <c r="B1505" s="101" t="s">
        <v>198</v>
      </c>
      <c r="C1505" s="77">
        <v>44958</v>
      </c>
      <c r="D1505" s="77">
        <v>44985</v>
      </c>
      <c r="E1505" s="21">
        <v>44958</v>
      </c>
      <c r="F1505" s="22" t="s">
        <v>41</v>
      </c>
      <c r="G1505" s="45" t="s">
        <v>223</v>
      </c>
      <c r="H1505" s="81" t="s">
        <v>55</v>
      </c>
      <c r="I1505" s="23" t="s">
        <v>37</v>
      </c>
      <c r="J1505" s="39">
        <v>10</v>
      </c>
      <c r="K1505" s="51">
        <v>8</v>
      </c>
      <c r="L1505" s="52">
        <v>1279.46</v>
      </c>
      <c r="M1505" s="62"/>
      <c r="N1505" s="28">
        <f>K1505*J1505</f>
        <v>80</v>
      </c>
      <c r="O1505" s="65">
        <f>-140*8</f>
        <v>-1120</v>
      </c>
      <c r="P1505" s="29">
        <v>-140</v>
      </c>
      <c r="Q1505" s="55">
        <v>0.5</v>
      </c>
      <c r="R1505" s="31">
        <f>M1505+Q1505*J1505*K1505*0.07</f>
        <v>2.8000000000000003</v>
      </c>
      <c r="S1505" s="66"/>
      <c r="T1505" s="32">
        <f>IF(AND(AD1505="EUR", F1505="Without EV deal"), R1505 + L1505,
IF(AND(AD1505="USD", F1505="Without EV deal"), R1505 + L1505,
IF(AND(AD1505="EUR", F1505="Steel Phoenix"), R1505 + S1505/U1505,
R1505 + S1505)))</f>
        <v>1282.26</v>
      </c>
      <c r="U1505" s="57">
        <v>1.0620000000000001</v>
      </c>
      <c r="V1505" s="69">
        <v>27.338282078472957</v>
      </c>
      <c r="W1505" s="69">
        <v>85.228837470907692</v>
      </c>
      <c r="X1505" s="30">
        <f>IF(AF1505="DoEV",IF(AND(V1505&lt;20,W1505&lt;55),0.3,0)+IF(AND(V1505&lt;20,W1505&gt;=55,W1505&lt;105),0.23,0)+IF(AND(V1505&lt;20,W1505&gt;=105),0.17,0)+IF(AND(V1505&gt;=20,V1505&lt;40,W1505&lt;45),0.3,0)+IF(AND(V1505&gt;=20,V1505&lt;40,W1505&gt;=45,W1505&lt;95),0.23,0)+IF(AND(V1505&gt;=20,V1505&lt;40,W1505&gt;=95),0.17,0)+IF(AND(V1505&gt;=40,V1505&lt;75,W1505&lt;35),0.3,0)+IF(AND(V1505&gt;=40,V1505&lt;75,W1505&gt;=35,W1505&lt;75),0.23,0)+IF(AND(V1505&gt;=40,V1505&lt;75,W1505&gt;=75,W1505&lt;120),0.17,0)+IF(AND(V1505&gt;=40,V1505&lt;75,W1505&gt;=120),0.12,0)+IF(AND(V1505&gt;=75,V1505&lt;175,W1505&lt;35),0.3,0)+IF(AND(V1505&gt;=75,V1505&lt;=175,W1505&gt;=35,W1505&lt;65),0.23,0)+IF(AND(V1505&gt;=75,V1505&lt;=175,W1505&gt;=65,W1505&lt;110),0.17,0)+IF(AND(V1505&gt;=75,V1505&lt;=175,W1505&gt;=110),0.12,0)+IF(AND(V1505&gt;175,W1505&lt;25),0.3,0)+IF(AND(V1505&gt;175,W1505&gt;=25,W1505&lt;55),0.23,0)+IF(AND(V1505&gt;175,W1505&gt;=55,W1505&lt;95),0.17,0)+IF(AND(V1505&gt;175,W1505&gt;=95),0.12,0),
IF(AF1505="Fix15",0.15,
IF(AF1505="Fix5",0.05,
IF(AF1505="Fix18.75",0.1875,
IF(AF1505="Fix11.25",0.1125,
IF(AF1505="Fix10",0.1,
IF(AF1505="Fix9",0.09,
IF(AF1505="Fix12",0.12,
IF(AF1505="Fix19",0.19,
IF(AF1505="DoEV2017",IF(AND(W1505&lt;74),0.2,0)+IF(AND(W1505&gt;=74),0.17,0),
IF(AF1505="SF",IF(AND(V1505&lt;20,W1505&lt;89),0.3,0)+IF(AND(V1505&lt;20,W1505&gt;=89),0.25,0)+IF(AND(V1505&gt;=20,V1505&lt;40,W1505&lt;74),0.3,0)+IF(AND(V1505&gt;=20,V1505&lt;40,W1505&gt;=75),0.22,0)+IF(AND(V1505&gt;=40,V1505&lt;75,W1505&lt;75),0.26,0)+IF(AND(V1505&gt;=40,V1505&lt;75,W1505&gt;=75),0.22,0)+IF(V1505&gt;=75,0.22,0),
IF(AF1505="DoEVold",IF(AND(V1505&lt;40,W1505&lt;35),0.35,0)+IF(AND(V1505&lt;40,W1505&gt;=35,W1505&lt;75),0.25,0)+IF(AND(V1505&lt;40,W1505&gt;=75),0.17,0)+IF(AND(V1505&gt;=40,V1505&lt;75,W1505&lt;25),0.35,0)+IF(AND(V1505&gt;=40,V1505&lt;75,W1505&gt;=25,W1505&lt;65),0.25,0)+IF(AND(V1505&gt;=40,V1505&lt;75,W1505&gt;=65,W1505&lt;100),0.17,0)+IF(AND(V1505&gt;=40,V1505&lt;75,W1505&gt;=100),0.1,0)+IF(AND(V1505&gt;=75,W1505&lt;25),0.35,0)+IF(AND(V1505&gt;=75,W1505&gt;=25,W1505&lt;60),0.25,0)+IF(AND(V1505&gt;=75,W1505&gt;=60,W1505&lt;95),0.17,0)+IF(AND(V1505&gt;=75,W1505&gt;=95),0.1,0),
IF(AF1505="DoEVold15",IF(AND(V1505&lt;=40,W1505&lt;35),0.35,0)+IF(AND(V1505&lt;=40,W1505&gt;=35,W1505&lt;75),0.25,0)+IF(AND(V1505&lt;=40,W1505&gt;=75,W1505&lt;120),0.17,0)+IF(AND(V1505&lt;=40,W1505&gt;=120),0.15,0)+IF(AND(V1505&gt;40,V1505&lt;75,W1505&lt;25),0.35,0)+IF(AND(V1505&gt;=40,V1505&lt;75,W1505&gt;=25,W1505&lt;65),0.25,0)+IF(AND(V1505&gt;=40,V1505&lt;75,W1505&gt;=65,W1505&lt;100),0.17,0)+IF(AND(V1505&gt;=40,V1505&lt;75,W1505&gt;=100),0.1,0)+IF(AND(V1505&gt;=75,W1505&lt;25),0.35,0)+IF(AND(V1505&gt;=75,W1505&gt;=25,W1505&lt;60),0.25,0)+IF(AND(V1505&gt;=75,W1505&gt;=60,W1505&lt;95),0.17,0)+IF(AND(V1505&gt;=75,W1505&gt;=95),0.1,0),
IF(AF1505="DoEVba",IF(AND(V1505&lt;20,W1505&lt;105),0.2,0)+IF(AND(V1505&lt;20,W1505&gt;=105),0.15,0)+IF(AND(V1505&gt;=20,V1505&lt;40,W1505&lt;95),0.2,0)+IF(AND(V1505&gt;=20,V1505&lt;40,W1505&gt;=95,W1505&lt;150),0.15,0)+IF(AND(V1505&gt;=20,V1505&lt;40,W1505&gt;=150),0.12,0)+IF(AND(V1505&gt;=40,V1505&lt;75,W1505&lt;75),0.2,0)+IF(AND(V1505&gt;=40,V1505&lt;75,W1505&gt;=75,W1505&lt;120),0.15,0)+IF(AND(V1505&gt;=40,V1505&lt;75,W1505&gt;=120),0.12,0)+IF(AND(V1505&gt;=75,V1505&lt;175,W1505&lt;65),0.2,0)+IF(AND(V1505&gt;=75,V1505&lt;175,W1505&gt;=65,W1505&lt;110),0.15,0)+IF(AND(V1505&gt;=75,V1505&lt;175,W1505&gt;=110),0.12,0)+IF(AND(V1505&gt;=175,W1505&lt;55),0.2,0)+IF(AND(V1505&gt;=175,W1505&gt;=55,W1505&lt;95),0.15,0)+IF(AND(V1505&gt;=175,W1505&gt;=95),0.12,0),
IF(AF1505="DoEVku",IF(AND(V1505&lt;20,W1505&lt;55),0.23,0)+IF(AND(V1505&lt;20,W1505&gt;=55,W1505&lt;105),0.2,0)+IF(AND(V1505&lt;20,W1505&gt;=105),0.17,0)+IF(AND(V1505&gt;=20,V1505&lt;40,W1505&lt;45),0.23,0)+IF(AND(V1505&gt;=20,V1505&lt;40,W1505&gt;=45,W1505&lt;95),0.2,0)+IF(AND(V1505&gt;=20,V1505&lt;40,W1505&gt;=95,W1505&lt;=150),0.17,0)+IF(AND(V1505&gt;=20,V1505&lt;40,W1505&gt;=150),0.12,0)+IF(AND(V1505&gt;=40,V1505&lt;75,W1505&lt;35),0.23,0)+IF(AND(V1505&gt;=40,V1505&lt;75,W1505&gt;=35,W1505&lt;75),0.2,0)+IF(AND(V1505&gt;=40,V1505&lt;75,W1505&gt;=75,W1505&lt;120),0.17,0)+IF(AND(V1505&gt;=40,V1505&lt;75,W1505&gt;=120),0.12,0)+IF(AND(V1505&gt;=75,V1505&lt;175,W1505&lt;35),0.23,0)+IF(AND(V1505&gt;=75,V1505&lt;=175,W1505&gt;=35,W1505&lt;65),0.2,0)+IF(AND(V1505&gt;=75,V1505&lt;=175,W1505&gt;=65,W1505&lt;110),0.17,0)+IF(AND(V1505&gt;=75,V1505&lt;=175,W1505&gt;=110),0.12,0)+IF(AND(V1505&gt;175,W1505&lt;25),0.23,0)+IF(AND(V1505&gt;175,W1505&gt;=25,W1505&lt;55),0.2,0)+IF(AND(V1505&gt;175,W1505&gt;=55,W1505&lt;95),0.17,0)+IF(AND(V1505&gt;175,W1505&gt;=95),0.12,0),
IF(AF1505="DoEVs1",IF(AND(V1505&lt;20,W1505&lt;55),0.3,0)+IF(AND(V1505&lt;20,W1505&gt;=55,W1505&lt;105),0.23,0)+IF(AND(V1505&lt;20,W1505&gt;=105),0.17,0)+IF(AND(V1505&gt;=20,V1505&lt;40,W1505&lt;45),0.3,0)+IF(AND(V1505&gt;=20,V1505&lt;40,W1505&gt;=45,W1505&lt;95),0.23,0)+IF(AND(V1505&gt;=20,V1505&lt;40,W1505&gt;=95,W1505&lt;=150),0.17,0)+IF(AND(V1505&gt;=20,V1505&lt;40,W1505&gt;=150),0.12,0)+IF(AND(V1505&gt;=40,V1505&lt;75,W1505&lt;35),0.3,0)+IF(AND(V1505&gt;=40,V1505&lt;75,W1505&gt;=35,W1505&lt;75),0.23,0)+IF(AND(V1505&gt;=40,V1505&lt;75,W1505&gt;=75,W1505&lt;120),0.17,0)+IF(AND(V1505&gt;=40,V1505&lt;75,W1505&gt;=120),0.12,0)+IF(AND(V1505&gt;=75,V1505&lt;175,W1505&lt;35),0.3,0)+IF(AND(V1505&gt;=75,V1505&lt;=175,W1505&gt;=35,W1505&lt;65),0.23,0)+IF(AND(V1505&gt;=75,V1505&lt;=175,W1505&gt;=65,W1505&lt;110),0.17,0)+IF(AND(V1505&gt;=75,V1505&lt;=175,W1505&gt;=110),0.12,0)+IF(AND(V1505&gt;175,W1505&lt;25),0.3,0)+IF(AND(V1505&gt;175,W1505&gt;=25,W1505&lt;55),0.23,0)+IF(AND(V1505&gt;175,W1505&gt;=55,W1505&lt;95),0.17,0)+IF(AND(V1505&gt;175,W1505&gt;=95),0.12,0),
IF(AF1505="DoEVsu",IF(AND(V1505&lt;20,W1505&lt;55),0.3,0)+IF(AND(V1505&lt;20,W1505&gt;=55,W1505&lt;105),0.23,0)+IF(AND(V1505&lt;20,W1505&gt;=105),0.17,0)+IF(AND(V1505&gt;=20,V1505&lt;40,W1505&lt;45),0.3,0)+IF(AND(V1505&gt;=20,V1505&lt;40,W1505&gt;=45,W1505&lt;95),0.23,0)+IF(AND(V1505&gt;=20,V1505&lt;40,W1505&gt;=95,W1505&lt;=250),0.17,0)+IF(AND(V1505&gt;=20,V1505&lt;40,W1505&gt;=250),0.12,0)+IF(AND(V1505&gt;=40,V1505&lt;75,W1505&lt;35),0.3,0)+IF(AND(V1505&gt;=40,V1505&lt;75,W1505&gt;=35,W1505&lt;75),0.23,0)+IF(AND(V1505&gt;=40,V1505&lt;75,W1505&gt;=75,W1505&lt;120),0.17,0)+IF(AND(V1505&gt;=40,V1505&lt;75,W1505&gt;=120),0.12,0)+IF(AND(V1505&gt;=75,V1505&lt;175,W1505&lt;35),0.3,0)+IF(AND(V1505&gt;=75,V1505&lt;=175,W1505&gt;=35,W1505&lt;65),0.23,0)+IF(AND(V1505&gt;=75,V1505&lt;=175,W1505&gt;=65,W1505&lt;110),0.17,0)+IF(AND(V1505&gt;=75,V1505&lt;=175,W1505&gt;=110),0.12,0)+IF(AND(V1505&gt;175,W1505&lt;25),0.3,0)+IF(AND(V1505&gt;175,W1505&gt;=25,W1505&lt;55),0.23,0)+IF(AND(V1505&gt;175,W1505&gt;=55,W1505&lt;95),0.17,0)+IF(AND(V1505&gt;175,W1505&gt;=95),0.12,0),
IF(AF1505="DoEVni",IF(AND(V1505&lt;20,W1505&lt;55),0.3,0)+IF(AND(V1505&lt;20,W1505&gt;=55,W1505&lt;105),0.23,0)+IF(AND(V1505&lt;20,W1505&gt;=105),0.17,0)+IF(AND(V1505&gt;=20,V1505&lt;40,W1505&lt;45),0.3,0)+IF(AND(V1505&gt;=20,V1505&lt;40,W1505&gt;=45,W1505&lt;95),0.23,0)+IF(AND(V1505&gt;=20,V1505&lt;40,W1505&gt;=95,W1505&lt;=200),0.17,0)+IF(AND(V1505&gt;=20,V1505&lt;40,W1505&gt;=200),0.12,0)+IF(AND(V1505&gt;=40,V1505&lt;75,W1505&lt;35),0.3,0)+IF(AND(V1505&gt;=40,V1505&lt;75,W1505&gt;=35,W1505&lt;75),0.23,0)+IF(AND(V1505&gt;=40,V1505&lt;75,W1505&gt;=75,W1505&lt;120),0.17,0)+IF(AND(V1505&gt;=40,V1505&lt;75,W1505&gt;=120),0.12,0)+IF(AND(V1505&gt;=75,V1505&lt;175,W1505&lt;35),0.3,0)+IF(AND(V1505&gt;=75,V1505&lt;=175,W1505&gt;=35,W1505&lt;65),0.23,0)+IF(AND(V1505&gt;=75,V1505&lt;=175,W1505&gt;=65,W1505&lt;110),0.17,0)+IF(AND(V1505&gt;=75,V1505&lt;=175,W1505&gt;=110),0.12,0)+IF(AND(V1505&gt;175,W1505&lt;25),0.3,0)+IF(AND(V1505&gt;175,W1505&gt;=25,W1505&lt;55),0.23,0)+IF(AND(V1505&gt;175,W1505&gt;=55,W1505&lt;95),0.17,0)+IF(AND(V1505&gt;175,W1505&gt;=95),0.12,0),
IF(AF1505="DoEVLo",IF(AND(V1505&lt;20,W1505&lt;55),0.25,0)+IF(AND(V1505&lt;20,W1505&gt;=55,W1505&lt;105),0.2,0)+IF(AND(V1505&lt;20,W1505&gt;=105),0.15,0)+IF(AND(V1505&gt;=20,V1505&lt;40,W1505&lt;45),0.25,0)+IF(AND(V1505&gt;=20,V1505&lt;40,W1505&gt;=45,W1505&lt;95),0.2,0)+IF(AND(V1505&gt;=20,V1505&lt;40,W1505&gt;=95),0.15,0)+IF(AND(V1505&gt;=40,V1505&lt;75,W1505&lt;35),0.25,0)+IF(AND(V1505&gt;=40,V1505&lt;75,W1505&gt;=35,W1505&lt;75),0.2,0)+IF(AND(V1505&gt;=40,V1505&lt;75,W1505&gt;=75,W1505&lt;120),0.15,0)+IF(AND(V1505&gt;=40,V1505&lt;75,W1505&gt;=120),0.1,0)+IF(AND(V1505&gt;=75,V1505&lt;175,W1505&lt;35),0.25,0)+IF(AND(V1505&gt;=75,V1505&lt;=175,W1505&gt;=35,W1505&lt;65),0.2,0)+IF(AND(V1505&gt;=75,V1505&lt;=175,W1505&gt;=65,W1505&lt;110),0.15,0)+IF(AND(V1505&gt;=75,V1505&lt;=175,W1505&gt;=110),0.1,0)+IF(AND(V1505&gt;175,W1505&lt;25),0.25,0)+IF(AND(V1505&gt;175,W1505&gt;=25,W1505&lt;55),0.2,0)+IF(AND(V1505&gt;175,W1505&gt;=55,W1505&lt;95),0.15,0)+IF(AND(V1505&gt;175,W1505&gt;=95),0.1,0))))))))))))))))))))</f>
        <v>0.23</v>
      </c>
      <c r="Y1505" s="30">
        <f>IF(AG1505="None",0,IF(AG1505="Fix5",0.05, IF(AG1505="Fix6.25",0.0625,IF(AG1505="Fix3.75",0.0375, IF(AG1505="Fix11",0.11, IF(AG1505="Fix10",0.1,IF(AG1505="Fix3",0.03,0)))))))</f>
        <v>0</v>
      </c>
      <c r="Z1505" s="35">
        <f>IF(AND(AD1505="EUR", AE1505 = "USD"), T1505*U1505-AA1505-AB1505, T1505-AA1505-AB1505)</f>
        <v>1048.5552924000001</v>
      </c>
      <c r="AA1505" s="29">
        <f>IF(AND(AD1505="EUR", F1505="Without EV deal", AE1505="USD"), (T1505*X1505)*U1505,
IF(AND(AD1505="EUR", F1505="Without EV deal", AE1505="EUR"), (T1505*X1505),
IF(AND(AD1505="EUR",AE1505="USD"), (T1505*X1505)*U1505,
T1505*X1505)))</f>
        <v>313.20482760000004</v>
      </c>
      <c r="AB1505" s="36">
        <f>IF(AND(AD1505="EUR", F1505="Without EV deal", AE1505="USD"), (T1505*Y1505)*U1505,
IF(AND(AD1505="EUR", F1505="Without EV deal", AE1505="EUR"), (T1505*Y1505),
IF(AND(AD1505="EUR",AE1505="USD"), (T1505*Y1505)*U1505,
T1505*Y1505)))</f>
        <v>0</v>
      </c>
      <c r="AC1505" s="37" t="b">
        <v>1</v>
      </c>
      <c r="AD1505" s="82" t="str">
        <f>IF(OR(H1505="€0.25 Flash",
H1505="€0.25(nitro) new",
H1505="€1",
H1505="€2",
H1505="€2 (bf 01.08)",
H1505="€5",
H1505="€5 (1M)",
H1505="€5 (bf 01.08)",
H1505="€5 (bf 05.05)",
H1505="€5 Nitro",
H1505="€5(wx) new",
H1505="€10",
H1505="€10 (1M)",
H1505="€10 (bf 01.08)",
H1505="€10 (bf 05.05)",
H1505="€10 (MP)",
H1505="€10 (old)",
H1505="€10 Nitro (bf 05.05)",
H1505="€10 Nitro (old)",
H1505="€10(wx) new",
H1505="€20",
H1505="€25",
H1505="€25 (bf 01.08)",
H1505="€25 (bf 05.05)",
H1505="€25 (MP)",
H1505="€25 (old)",
H1505="€25 Nitro",
H1505="€25 Nitro (bf 01.08)",
H1505="€25 Nitro (bf 05.05)",
H1505="€25(nitro) new",
H1505="€25(wx) new",
H1505="€50",
H1505="€50 (bf 01.08)",
H1505="€50 (bf 05.05)",
H1505="€50 (old)",
H1505="€50 Nitro",
H1505="€50 Nitro (bf 01.08)",
H1505="€50 Nitro (bf 05.05)",
H1505="€50(wx) new",
H1505="€100",
H1505="€100 (old)",
H1505="€100 Nitro",
H1505="€100 Nitro (old)",
H1505="€200",
H1505="€250",
H1505="€250 Nitro",
H1505="€500",
H1505="€500 Nitro"),"EUR", "USD")</f>
        <v>EUR</v>
      </c>
      <c r="AE1505" s="83" t="s">
        <v>38</v>
      </c>
      <c r="AF1505" s="83" t="str">
        <f t="array" ref="AF1505">INDEX('Deal Info'!D:D, MATCH(A1505,'Deal Info'!A:A, 0))</f>
        <v>DoEV</v>
      </c>
      <c r="AG1505" s="84" t="str">
        <f t="array" ref="AG1505">INDEX('Deal Info'!G:G, MATCH(A1505,'Deal Info'!A:A, 0))</f>
        <v>None</v>
      </c>
    </row>
    <row r="1506" spans="1:33" ht="14.25" hidden="1" x14ac:dyDescent="0.2">
      <c r="A1506" s="18" t="str">
        <f t="array" ref="A1506">IF(G1506='Room Info'!$B$1, INDEX('Room Info'!$A$2:$A2446, MATCH(B1506,'Room Info'!$B$2:$B2446, 0)),IF(G1506='Room Info'!$C$1, INDEX('Room Info'!$A$2:$A2446, MATCH(B1506,'Room Info'!$C$2:$C2446, 0)),IF(G1506='Room Info'!$D$1, INDEX('Room Info'!$A$2:$A2446, MATCH(B1506,'Room Info'!$D$2:$D2446, 0)),IF(G1506='Room Info'!$E$1, INDEX('Room Info'!$A$2:$A2446, MATCH(B1506,'Room Info'!$E$2:$E2446, 0)),IF(G1506='Room Info'!$F$1, INDEX('Room Info'!$A$2:$A2446, MATCH(B1506,'Room Info'!$F$2:$F2446, 0)),IF(G1506='Room Info'!$H$1, INDEX('Room Info'!$A$2:$A2446, MATCH(B1506,'Room Info'!$H$2:$H2446, 0)),IF(G1506='Room Info'!$G$1, INDEX('Room Info'!$A$2:$A2446, MATCH(B1506,'Room Info'!$G$2:$G2446, 0)))))))))</f>
        <v>Rus29APX</v>
      </c>
      <c r="B1506" s="101" t="s">
        <v>198</v>
      </c>
      <c r="C1506" s="77">
        <v>44958</v>
      </c>
      <c r="D1506" s="77">
        <v>44985</v>
      </c>
      <c r="E1506" s="21">
        <v>44958</v>
      </c>
      <c r="F1506" s="22" t="s">
        <v>41</v>
      </c>
      <c r="G1506" s="45" t="s">
        <v>223</v>
      </c>
      <c r="H1506" s="81" t="s">
        <v>56</v>
      </c>
      <c r="I1506" s="23" t="s">
        <v>37</v>
      </c>
      <c r="J1506" s="39">
        <v>20</v>
      </c>
      <c r="K1506" s="51">
        <v>700</v>
      </c>
      <c r="L1506" s="113"/>
      <c r="M1506" s="62"/>
      <c r="N1506" s="28">
        <f>K1506*J1506</f>
        <v>14000</v>
      </c>
      <c r="O1506" s="65">
        <f>57*700</f>
        <v>39900</v>
      </c>
      <c r="P1506" s="29">
        <v>57</v>
      </c>
      <c r="Q1506" s="55">
        <v>0.5</v>
      </c>
      <c r="R1506" s="31">
        <f>M1506+Q1506*J1506*K1506*0.07</f>
        <v>490.00000000000006</v>
      </c>
      <c r="S1506" s="66"/>
      <c r="T1506" s="32">
        <f>IF(AND(AD1506="EUR", F1506="Without EV deal"), R1506 + L1506,
IF(AND(AD1506="USD", F1506="Without EV deal"), R1506 + L1506,
IF(AND(AD1506="EUR", F1506="Steel Phoenix"), R1506 + S1506/U1506,
R1506 + S1506)))</f>
        <v>490.00000000000006</v>
      </c>
      <c r="U1506" s="57">
        <v>1.0620000000000001</v>
      </c>
      <c r="V1506" s="69">
        <v>27.338282078472957</v>
      </c>
      <c r="W1506" s="69">
        <v>85.228837470907692</v>
      </c>
      <c r="X1506" s="30">
        <f>IF(AF1506="DoEV",IF(AND(V1506&lt;20,W1506&lt;55),0.3,0)+IF(AND(V1506&lt;20,W1506&gt;=55,W1506&lt;105),0.23,0)+IF(AND(V1506&lt;20,W1506&gt;=105),0.17,0)+IF(AND(V1506&gt;=20,V1506&lt;40,W1506&lt;45),0.3,0)+IF(AND(V1506&gt;=20,V1506&lt;40,W1506&gt;=45,W1506&lt;95),0.23,0)+IF(AND(V1506&gt;=20,V1506&lt;40,W1506&gt;=95),0.17,0)+IF(AND(V1506&gt;=40,V1506&lt;75,W1506&lt;35),0.3,0)+IF(AND(V1506&gt;=40,V1506&lt;75,W1506&gt;=35,W1506&lt;75),0.23,0)+IF(AND(V1506&gt;=40,V1506&lt;75,W1506&gt;=75,W1506&lt;120),0.17,0)+IF(AND(V1506&gt;=40,V1506&lt;75,W1506&gt;=120),0.12,0)+IF(AND(V1506&gt;=75,V1506&lt;175,W1506&lt;35),0.3,0)+IF(AND(V1506&gt;=75,V1506&lt;=175,W1506&gt;=35,W1506&lt;65),0.23,0)+IF(AND(V1506&gt;=75,V1506&lt;=175,W1506&gt;=65,W1506&lt;110),0.17,0)+IF(AND(V1506&gt;=75,V1506&lt;=175,W1506&gt;=110),0.12,0)+IF(AND(V1506&gt;175,W1506&lt;25),0.3,0)+IF(AND(V1506&gt;175,W1506&gt;=25,W1506&lt;55),0.23,0)+IF(AND(V1506&gt;175,W1506&gt;=55,W1506&lt;95),0.17,0)+IF(AND(V1506&gt;175,W1506&gt;=95),0.12,0),
IF(AF1506="Fix15",0.15,
IF(AF1506="Fix5",0.05,
IF(AF1506="Fix18.75",0.1875,
IF(AF1506="Fix11.25",0.1125,
IF(AF1506="Fix10",0.1,
IF(AF1506="Fix9",0.09,
IF(AF1506="Fix12",0.12,
IF(AF1506="Fix19",0.19,
IF(AF1506="DoEV2017",IF(AND(W1506&lt;74),0.2,0)+IF(AND(W1506&gt;=74),0.17,0),
IF(AF1506="SF",IF(AND(V1506&lt;20,W1506&lt;89),0.3,0)+IF(AND(V1506&lt;20,W1506&gt;=89),0.25,0)+IF(AND(V1506&gt;=20,V1506&lt;40,W1506&lt;74),0.3,0)+IF(AND(V1506&gt;=20,V1506&lt;40,W1506&gt;=75),0.22,0)+IF(AND(V1506&gt;=40,V1506&lt;75,W1506&lt;75),0.26,0)+IF(AND(V1506&gt;=40,V1506&lt;75,W1506&gt;=75),0.22,0)+IF(V1506&gt;=75,0.22,0),
IF(AF1506="DoEVold",IF(AND(V1506&lt;40,W1506&lt;35),0.35,0)+IF(AND(V1506&lt;40,W1506&gt;=35,W1506&lt;75),0.25,0)+IF(AND(V1506&lt;40,W1506&gt;=75),0.17,0)+IF(AND(V1506&gt;=40,V1506&lt;75,W1506&lt;25),0.35,0)+IF(AND(V1506&gt;=40,V1506&lt;75,W1506&gt;=25,W1506&lt;65),0.25,0)+IF(AND(V1506&gt;=40,V1506&lt;75,W1506&gt;=65,W1506&lt;100),0.17,0)+IF(AND(V1506&gt;=40,V1506&lt;75,W1506&gt;=100),0.1,0)+IF(AND(V1506&gt;=75,W1506&lt;25),0.35,0)+IF(AND(V1506&gt;=75,W1506&gt;=25,W1506&lt;60),0.25,0)+IF(AND(V1506&gt;=75,W1506&gt;=60,W1506&lt;95),0.17,0)+IF(AND(V1506&gt;=75,W1506&gt;=95),0.1,0),
IF(AF1506="DoEVold15",IF(AND(V1506&lt;=40,W1506&lt;35),0.35,0)+IF(AND(V1506&lt;=40,W1506&gt;=35,W1506&lt;75),0.25,0)+IF(AND(V1506&lt;=40,W1506&gt;=75,W1506&lt;120),0.17,0)+IF(AND(V1506&lt;=40,W1506&gt;=120),0.15,0)+IF(AND(V1506&gt;40,V1506&lt;75,W1506&lt;25),0.35,0)+IF(AND(V1506&gt;=40,V1506&lt;75,W1506&gt;=25,W1506&lt;65),0.25,0)+IF(AND(V1506&gt;=40,V1506&lt;75,W1506&gt;=65,W1506&lt;100),0.17,0)+IF(AND(V1506&gt;=40,V1506&lt;75,W1506&gt;=100),0.1,0)+IF(AND(V1506&gt;=75,W1506&lt;25),0.35,0)+IF(AND(V1506&gt;=75,W1506&gt;=25,W1506&lt;60),0.25,0)+IF(AND(V1506&gt;=75,W1506&gt;=60,W1506&lt;95),0.17,0)+IF(AND(V1506&gt;=75,W1506&gt;=95),0.1,0),
IF(AF1506="DoEVba",IF(AND(V1506&lt;20,W1506&lt;105),0.2,0)+IF(AND(V1506&lt;20,W1506&gt;=105),0.15,0)+IF(AND(V1506&gt;=20,V1506&lt;40,W1506&lt;95),0.2,0)+IF(AND(V1506&gt;=20,V1506&lt;40,W1506&gt;=95,W1506&lt;150),0.15,0)+IF(AND(V1506&gt;=20,V1506&lt;40,W1506&gt;=150),0.12,0)+IF(AND(V1506&gt;=40,V1506&lt;75,W1506&lt;75),0.2,0)+IF(AND(V1506&gt;=40,V1506&lt;75,W1506&gt;=75,W1506&lt;120),0.15,0)+IF(AND(V1506&gt;=40,V1506&lt;75,W1506&gt;=120),0.12,0)+IF(AND(V1506&gt;=75,V1506&lt;175,W1506&lt;65),0.2,0)+IF(AND(V1506&gt;=75,V1506&lt;175,W1506&gt;=65,W1506&lt;110),0.15,0)+IF(AND(V1506&gt;=75,V1506&lt;175,W1506&gt;=110),0.12,0)+IF(AND(V1506&gt;=175,W1506&lt;55),0.2,0)+IF(AND(V1506&gt;=175,W1506&gt;=55,W1506&lt;95),0.15,0)+IF(AND(V1506&gt;=175,W1506&gt;=95),0.12,0),
IF(AF1506="DoEVku",IF(AND(V1506&lt;20,W1506&lt;55),0.23,0)+IF(AND(V1506&lt;20,W1506&gt;=55,W1506&lt;105),0.2,0)+IF(AND(V1506&lt;20,W1506&gt;=105),0.17,0)+IF(AND(V1506&gt;=20,V1506&lt;40,W1506&lt;45),0.23,0)+IF(AND(V1506&gt;=20,V1506&lt;40,W1506&gt;=45,W1506&lt;95),0.2,0)+IF(AND(V1506&gt;=20,V1506&lt;40,W1506&gt;=95,W1506&lt;=150),0.17,0)+IF(AND(V1506&gt;=20,V1506&lt;40,W1506&gt;=150),0.12,0)+IF(AND(V1506&gt;=40,V1506&lt;75,W1506&lt;35),0.23,0)+IF(AND(V1506&gt;=40,V1506&lt;75,W1506&gt;=35,W1506&lt;75),0.2,0)+IF(AND(V1506&gt;=40,V1506&lt;75,W1506&gt;=75,W1506&lt;120),0.17,0)+IF(AND(V1506&gt;=40,V1506&lt;75,W1506&gt;=120),0.12,0)+IF(AND(V1506&gt;=75,V1506&lt;175,W1506&lt;35),0.23,0)+IF(AND(V1506&gt;=75,V1506&lt;=175,W1506&gt;=35,W1506&lt;65),0.2,0)+IF(AND(V1506&gt;=75,V1506&lt;=175,W1506&gt;=65,W1506&lt;110),0.17,0)+IF(AND(V1506&gt;=75,V1506&lt;=175,W1506&gt;=110),0.12,0)+IF(AND(V1506&gt;175,W1506&lt;25),0.23,0)+IF(AND(V1506&gt;175,W1506&gt;=25,W1506&lt;55),0.2,0)+IF(AND(V1506&gt;175,W1506&gt;=55,W1506&lt;95),0.17,0)+IF(AND(V1506&gt;175,W1506&gt;=95),0.12,0),
IF(AF1506="DoEVs1",IF(AND(V1506&lt;20,W1506&lt;55),0.3,0)+IF(AND(V1506&lt;20,W1506&gt;=55,W1506&lt;105),0.23,0)+IF(AND(V1506&lt;20,W1506&gt;=105),0.17,0)+IF(AND(V1506&gt;=20,V1506&lt;40,W1506&lt;45),0.3,0)+IF(AND(V1506&gt;=20,V1506&lt;40,W1506&gt;=45,W1506&lt;95),0.23,0)+IF(AND(V1506&gt;=20,V1506&lt;40,W1506&gt;=95,W1506&lt;=150),0.17,0)+IF(AND(V1506&gt;=20,V1506&lt;40,W1506&gt;=150),0.12,0)+IF(AND(V1506&gt;=40,V1506&lt;75,W1506&lt;35),0.3,0)+IF(AND(V1506&gt;=40,V1506&lt;75,W1506&gt;=35,W1506&lt;75),0.23,0)+IF(AND(V1506&gt;=40,V1506&lt;75,W1506&gt;=75,W1506&lt;120),0.17,0)+IF(AND(V1506&gt;=40,V1506&lt;75,W1506&gt;=120),0.12,0)+IF(AND(V1506&gt;=75,V1506&lt;175,W1506&lt;35),0.3,0)+IF(AND(V1506&gt;=75,V1506&lt;=175,W1506&gt;=35,W1506&lt;65),0.23,0)+IF(AND(V1506&gt;=75,V1506&lt;=175,W1506&gt;=65,W1506&lt;110),0.17,0)+IF(AND(V1506&gt;=75,V1506&lt;=175,W1506&gt;=110),0.12,0)+IF(AND(V1506&gt;175,W1506&lt;25),0.3,0)+IF(AND(V1506&gt;175,W1506&gt;=25,W1506&lt;55),0.23,0)+IF(AND(V1506&gt;175,W1506&gt;=55,W1506&lt;95),0.17,0)+IF(AND(V1506&gt;175,W1506&gt;=95),0.12,0),
IF(AF1506="DoEVsu",IF(AND(V1506&lt;20,W1506&lt;55),0.3,0)+IF(AND(V1506&lt;20,W1506&gt;=55,W1506&lt;105),0.23,0)+IF(AND(V1506&lt;20,W1506&gt;=105),0.17,0)+IF(AND(V1506&gt;=20,V1506&lt;40,W1506&lt;45),0.3,0)+IF(AND(V1506&gt;=20,V1506&lt;40,W1506&gt;=45,W1506&lt;95),0.23,0)+IF(AND(V1506&gt;=20,V1506&lt;40,W1506&gt;=95,W1506&lt;=250),0.17,0)+IF(AND(V1506&gt;=20,V1506&lt;40,W1506&gt;=250),0.12,0)+IF(AND(V1506&gt;=40,V1506&lt;75,W1506&lt;35),0.3,0)+IF(AND(V1506&gt;=40,V1506&lt;75,W1506&gt;=35,W1506&lt;75),0.23,0)+IF(AND(V1506&gt;=40,V1506&lt;75,W1506&gt;=75,W1506&lt;120),0.17,0)+IF(AND(V1506&gt;=40,V1506&lt;75,W1506&gt;=120),0.12,0)+IF(AND(V1506&gt;=75,V1506&lt;175,W1506&lt;35),0.3,0)+IF(AND(V1506&gt;=75,V1506&lt;=175,W1506&gt;=35,W1506&lt;65),0.23,0)+IF(AND(V1506&gt;=75,V1506&lt;=175,W1506&gt;=65,W1506&lt;110),0.17,0)+IF(AND(V1506&gt;=75,V1506&lt;=175,W1506&gt;=110),0.12,0)+IF(AND(V1506&gt;175,W1506&lt;25),0.3,0)+IF(AND(V1506&gt;175,W1506&gt;=25,W1506&lt;55),0.23,0)+IF(AND(V1506&gt;175,W1506&gt;=55,W1506&lt;95),0.17,0)+IF(AND(V1506&gt;175,W1506&gt;=95),0.12,0),
IF(AF1506="DoEVni",IF(AND(V1506&lt;20,W1506&lt;55),0.3,0)+IF(AND(V1506&lt;20,W1506&gt;=55,W1506&lt;105),0.23,0)+IF(AND(V1506&lt;20,W1506&gt;=105),0.17,0)+IF(AND(V1506&gt;=20,V1506&lt;40,W1506&lt;45),0.3,0)+IF(AND(V1506&gt;=20,V1506&lt;40,W1506&gt;=45,W1506&lt;95),0.23,0)+IF(AND(V1506&gt;=20,V1506&lt;40,W1506&gt;=95,W1506&lt;=200),0.17,0)+IF(AND(V1506&gt;=20,V1506&lt;40,W1506&gt;=200),0.12,0)+IF(AND(V1506&gt;=40,V1506&lt;75,W1506&lt;35),0.3,0)+IF(AND(V1506&gt;=40,V1506&lt;75,W1506&gt;=35,W1506&lt;75),0.23,0)+IF(AND(V1506&gt;=40,V1506&lt;75,W1506&gt;=75,W1506&lt;120),0.17,0)+IF(AND(V1506&gt;=40,V1506&lt;75,W1506&gt;=120),0.12,0)+IF(AND(V1506&gt;=75,V1506&lt;175,W1506&lt;35),0.3,0)+IF(AND(V1506&gt;=75,V1506&lt;=175,W1506&gt;=35,W1506&lt;65),0.23,0)+IF(AND(V1506&gt;=75,V1506&lt;=175,W1506&gt;=65,W1506&lt;110),0.17,0)+IF(AND(V1506&gt;=75,V1506&lt;=175,W1506&gt;=110),0.12,0)+IF(AND(V1506&gt;175,W1506&lt;25),0.3,0)+IF(AND(V1506&gt;175,W1506&gt;=25,W1506&lt;55),0.23,0)+IF(AND(V1506&gt;175,W1506&gt;=55,W1506&lt;95),0.17,0)+IF(AND(V1506&gt;175,W1506&gt;=95),0.12,0),
IF(AF1506="DoEVLo",IF(AND(V1506&lt;20,W1506&lt;55),0.25,0)+IF(AND(V1506&lt;20,W1506&gt;=55,W1506&lt;105),0.2,0)+IF(AND(V1506&lt;20,W1506&gt;=105),0.15,0)+IF(AND(V1506&gt;=20,V1506&lt;40,W1506&lt;45),0.25,0)+IF(AND(V1506&gt;=20,V1506&lt;40,W1506&gt;=45,W1506&lt;95),0.2,0)+IF(AND(V1506&gt;=20,V1506&lt;40,W1506&gt;=95),0.15,0)+IF(AND(V1506&gt;=40,V1506&lt;75,W1506&lt;35),0.25,0)+IF(AND(V1506&gt;=40,V1506&lt;75,W1506&gt;=35,W1506&lt;75),0.2,0)+IF(AND(V1506&gt;=40,V1506&lt;75,W1506&gt;=75,W1506&lt;120),0.15,0)+IF(AND(V1506&gt;=40,V1506&lt;75,W1506&gt;=120),0.1,0)+IF(AND(V1506&gt;=75,V1506&lt;175,W1506&lt;35),0.25,0)+IF(AND(V1506&gt;=75,V1506&lt;=175,W1506&gt;=35,W1506&lt;65),0.2,0)+IF(AND(V1506&gt;=75,V1506&lt;=175,W1506&gt;=65,W1506&lt;110),0.15,0)+IF(AND(V1506&gt;=75,V1506&lt;=175,W1506&gt;=110),0.1,0)+IF(AND(V1506&gt;175,W1506&lt;25),0.25,0)+IF(AND(V1506&gt;175,W1506&gt;=25,W1506&lt;55),0.2,0)+IF(AND(V1506&gt;175,W1506&gt;=55,W1506&lt;95),0.15,0)+IF(AND(V1506&gt;175,W1506&gt;=95),0.1,0))))))))))))))))))))</f>
        <v>0.23</v>
      </c>
      <c r="Y1506" s="30">
        <f>IF(AG1506="None",0,IF(AG1506="Fix5",0.05, IF(AG1506="Fix6.25",0.0625,IF(AG1506="Fix3.75",0.0375, IF(AG1506="Fix11",0.11, IF(AG1506="Fix10",0.1,IF(AG1506="Fix3",0.03,0)))))))</f>
        <v>0</v>
      </c>
      <c r="Z1506" s="35">
        <f>IF(AND(AD1506="EUR", AE1506 = "USD"), T1506*U1506-AA1506-AB1506, T1506-AA1506-AB1506)</f>
        <v>400.69260000000008</v>
      </c>
      <c r="AA1506" s="29">
        <f>IF(AND(AD1506="EUR", F1506="Without EV deal", AE1506="USD"), (T1506*X1506)*U1506,
IF(AND(AD1506="EUR", F1506="Without EV deal", AE1506="EUR"), (T1506*X1506),
IF(AND(AD1506="EUR",AE1506="USD"), (T1506*X1506)*U1506,
T1506*X1506)))</f>
        <v>119.68740000000003</v>
      </c>
      <c r="AB1506" s="36">
        <f>IF(AND(AD1506="EUR", F1506="Without EV deal", AE1506="USD"), (T1506*Y1506)*U1506,
IF(AND(AD1506="EUR", F1506="Without EV deal", AE1506="EUR"), (T1506*Y1506),
IF(AND(AD1506="EUR",AE1506="USD"), (T1506*Y1506)*U1506,
T1506*Y1506)))</f>
        <v>0</v>
      </c>
      <c r="AC1506" s="37" t="b">
        <v>1</v>
      </c>
      <c r="AD1506" s="82" t="str">
        <f>IF(OR(H1506="€0.25 Flash",
H1506="€0.25(nitro) new",
H1506="€1",
H1506="€2",
H1506="€2 (bf 01.08)",
H1506="€5",
H1506="€5 (1M)",
H1506="€5 (bf 01.08)",
H1506="€5 (bf 05.05)",
H1506="€5 Nitro",
H1506="€5(wx) new",
H1506="€10",
H1506="€10 (1M)",
H1506="€10 (bf 01.08)",
H1506="€10 (bf 05.05)",
H1506="€10 (MP)",
H1506="€10 (old)",
H1506="€10 Nitro (bf 05.05)",
H1506="€10 Nitro (old)",
H1506="€10(wx) new",
H1506="€20",
H1506="€25",
H1506="€25 (bf 01.08)",
H1506="€25 (bf 05.05)",
H1506="€25 (MP)",
H1506="€25 (old)",
H1506="€25 Nitro",
H1506="€25 Nitro (bf 01.08)",
H1506="€25 Nitro (bf 05.05)",
H1506="€25(nitro) new",
H1506="€25(wx) new",
H1506="€50",
H1506="€50 (bf 01.08)",
H1506="€50 (bf 05.05)",
H1506="€50 (old)",
H1506="€50 Nitro",
H1506="€50 Nitro (bf 01.08)",
H1506="€50 Nitro (bf 05.05)",
H1506="€50(wx) new",
H1506="€100",
H1506="€100 (old)",
H1506="€100 Nitro",
H1506="€100 Nitro (old)",
H1506="€200",
H1506="€250",
H1506="€250 Nitro",
H1506="€500",
H1506="€500 Nitro"),"EUR", "USD")</f>
        <v>EUR</v>
      </c>
      <c r="AE1506" s="83" t="s">
        <v>38</v>
      </c>
      <c r="AF1506" s="83" t="str">
        <f t="array" ref="AF1506">INDEX('Deal Info'!D:D, MATCH(A1506,'Deal Info'!A:A, 0))</f>
        <v>DoEV</v>
      </c>
      <c r="AG1506" s="84" t="str">
        <f t="array" ref="AG1506">INDEX('Deal Info'!G:G, MATCH(A1506,'Deal Info'!A:A, 0))</f>
        <v>None</v>
      </c>
    </row>
    <row r="1507" spans="1:33" ht="14.25" hidden="1" x14ac:dyDescent="0.2">
      <c r="A1507" s="18" t="str">
        <f t="array" ref="A1507">IF(G1507='Room Info'!$B$1, INDEX('Room Info'!$A$2:$A2446, MATCH(B1507,'Room Info'!$B$2:$B2446, 0)),IF(G1507='Room Info'!$C$1, INDEX('Room Info'!$A$2:$A2446, MATCH(B1507,'Room Info'!$C$2:$C2446, 0)),IF(G1507='Room Info'!$D$1, INDEX('Room Info'!$A$2:$A2446, MATCH(B1507,'Room Info'!$D$2:$D2446, 0)),IF(G1507='Room Info'!$E$1, INDEX('Room Info'!$A$2:$A2446, MATCH(B1507,'Room Info'!$E$2:$E2446, 0)),IF(G1507='Room Info'!$F$1, INDEX('Room Info'!$A$2:$A2446, MATCH(B1507,'Room Info'!$F$2:$F2446, 0)),IF(G1507='Room Info'!$H$1, INDEX('Room Info'!$A$2:$A2446, MATCH(B1507,'Room Info'!$H$2:$H2446, 0)),IF(G1507='Room Info'!$G$1, INDEX('Room Info'!$A$2:$A2446, MATCH(B1507,'Room Info'!$G$2:$G2446, 0)))))))))</f>
        <v>Rus29APX</v>
      </c>
      <c r="B1507" s="101" t="s">
        <v>198</v>
      </c>
      <c r="C1507" s="77">
        <v>44958</v>
      </c>
      <c r="D1507" s="77">
        <v>44985</v>
      </c>
      <c r="E1507" s="21">
        <v>44958</v>
      </c>
      <c r="F1507" s="22" t="s">
        <v>41</v>
      </c>
      <c r="G1507" s="45" t="s">
        <v>223</v>
      </c>
      <c r="H1507" s="81" t="s">
        <v>57</v>
      </c>
      <c r="I1507" s="23" t="s">
        <v>37</v>
      </c>
      <c r="J1507" s="39">
        <v>50</v>
      </c>
      <c r="K1507" s="51">
        <v>233</v>
      </c>
      <c r="L1507" s="113"/>
      <c r="M1507" s="62"/>
      <c r="N1507" s="28">
        <f>K1507*J1507</f>
        <v>11650</v>
      </c>
      <c r="O1507" s="65">
        <f>112+233</f>
        <v>345</v>
      </c>
      <c r="P1507" s="29">
        <v>1.4806866949999999</v>
      </c>
      <c r="Q1507" s="55">
        <v>0.5</v>
      </c>
      <c r="R1507" s="31">
        <f>M1507+Q1507*J1507*K1507*0.07</f>
        <v>407.75000000000006</v>
      </c>
      <c r="S1507" s="66"/>
      <c r="T1507" s="32">
        <f>IF(AND(AD1507="EUR", F1507="Without EV deal"), R1507 + L1507,
IF(AND(AD1507="USD", F1507="Without EV deal"), R1507 + L1507,
IF(AND(AD1507="EUR", F1507="Steel Phoenix"), R1507 + S1507/U1507,
R1507 + S1507)))</f>
        <v>407.75000000000006</v>
      </c>
      <c r="U1507" s="57">
        <v>1.0620000000000001</v>
      </c>
      <c r="V1507" s="69">
        <v>27.338282078472957</v>
      </c>
      <c r="W1507" s="69">
        <v>85.228837470907692</v>
      </c>
      <c r="X1507" s="30">
        <f>IF(AF1507="DoEV",IF(AND(V1507&lt;20,W1507&lt;55),0.3,0)+IF(AND(V1507&lt;20,W1507&gt;=55,W1507&lt;105),0.23,0)+IF(AND(V1507&lt;20,W1507&gt;=105),0.17,0)+IF(AND(V1507&gt;=20,V1507&lt;40,W1507&lt;45),0.3,0)+IF(AND(V1507&gt;=20,V1507&lt;40,W1507&gt;=45,W1507&lt;95),0.23,0)+IF(AND(V1507&gt;=20,V1507&lt;40,W1507&gt;=95),0.17,0)+IF(AND(V1507&gt;=40,V1507&lt;75,W1507&lt;35),0.3,0)+IF(AND(V1507&gt;=40,V1507&lt;75,W1507&gt;=35,W1507&lt;75),0.23,0)+IF(AND(V1507&gt;=40,V1507&lt;75,W1507&gt;=75,W1507&lt;120),0.17,0)+IF(AND(V1507&gt;=40,V1507&lt;75,W1507&gt;=120),0.12,0)+IF(AND(V1507&gt;=75,V1507&lt;175,W1507&lt;35),0.3,0)+IF(AND(V1507&gt;=75,V1507&lt;=175,W1507&gt;=35,W1507&lt;65),0.23,0)+IF(AND(V1507&gt;=75,V1507&lt;=175,W1507&gt;=65,W1507&lt;110),0.17,0)+IF(AND(V1507&gt;=75,V1507&lt;=175,W1507&gt;=110),0.12,0)+IF(AND(V1507&gt;175,W1507&lt;25),0.3,0)+IF(AND(V1507&gt;175,W1507&gt;=25,W1507&lt;55),0.23,0)+IF(AND(V1507&gt;175,W1507&gt;=55,W1507&lt;95),0.17,0)+IF(AND(V1507&gt;175,W1507&gt;=95),0.12,0),
IF(AF1507="Fix15",0.15,
IF(AF1507="Fix5",0.05,
IF(AF1507="Fix18.75",0.1875,
IF(AF1507="Fix11.25",0.1125,
IF(AF1507="Fix10",0.1,
IF(AF1507="Fix9",0.09,
IF(AF1507="Fix12",0.12,
IF(AF1507="Fix19",0.19,
IF(AF1507="DoEV2017",IF(AND(W1507&lt;74),0.2,0)+IF(AND(W1507&gt;=74),0.17,0),
IF(AF1507="SF",IF(AND(V1507&lt;20,W1507&lt;89),0.3,0)+IF(AND(V1507&lt;20,W1507&gt;=89),0.25,0)+IF(AND(V1507&gt;=20,V1507&lt;40,W1507&lt;74),0.3,0)+IF(AND(V1507&gt;=20,V1507&lt;40,W1507&gt;=75),0.22,0)+IF(AND(V1507&gt;=40,V1507&lt;75,W1507&lt;75),0.26,0)+IF(AND(V1507&gt;=40,V1507&lt;75,W1507&gt;=75),0.22,0)+IF(V1507&gt;=75,0.22,0),
IF(AF1507="DoEVold",IF(AND(V1507&lt;40,W1507&lt;35),0.35,0)+IF(AND(V1507&lt;40,W1507&gt;=35,W1507&lt;75),0.25,0)+IF(AND(V1507&lt;40,W1507&gt;=75),0.17,0)+IF(AND(V1507&gt;=40,V1507&lt;75,W1507&lt;25),0.35,0)+IF(AND(V1507&gt;=40,V1507&lt;75,W1507&gt;=25,W1507&lt;65),0.25,0)+IF(AND(V1507&gt;=40,V1507&lt;75,W1507&gt;=65,W1507&lt;100),0.17,0)+IF(AND(V1507&gt;=40,V1507&lt;75,W1507&gt;=100),0.1,0)+IF(AND(V1507&gt;=75,W1507&lt;25),0.35,0)+IF(AND(V1507&gt;=75,W1507&gt;=25,W1507&lt;60),0.25,0)+IF(AND(V1507&gt;=75,W1507&gt;=60,W1507&lt;95),0.17,0)+IF(AND(V1507&gt;=75,W1507&gt;=95),0.1,0),
IF(AF1507="DoEVold15",IF(AND(V1507&lt;=40,W1507&lt;35),0.35,0)+IF(AND(V1507&lt;=40,W1507&gt;=35,W1507&lt;75),0.25,0)+IF(AND(V1507&lt;=40,W1507&gt;=75,W1507&lt;120),0.17,0)+IF(AND(V1507&lt;=40,W1507&gt;=120),0.15,0)+IF(AND(V1507&gt;40,V1507&lt;75,W1507&lt;25),0.35,0)+IF(AND(V1507&gt;=40,V1507&lt;75,W1507&gt;=25,W1507&lt;65),0.25,0)+IF(AND(V1507&gt;=40,V1507&lt;75,W1507&gt;=65,W1507&lt;100),0.17,0)+IF(AND(V1507&gt;=40,V1507&lt;75,W1507&gt;=100),0.1,0)+IF(AND(V1507&gt;=75,W1507&lt;25),0.35,0)+IF(AND(V1507&gt;=75,W1507&gt;=25,W1507&lt;60),0.25,0)+IF(AND(V1507&gt;=75,W1507&gt;=60,W1507&lt;95),0.17,0)+IF(AND(V1507&gt;=75,W1507&gt;=95),0.1,0),
IF(AF1507="DoEVba",IF(AND(V1507&lt;20,W1507&lt;105),0.2,0)+IF(AND(V1507&lt;20,W1507&gt;=105),0.15,0)+IF(AND(V1507&gt;=20,V1507&lt;40,W1507&lt;95),0.2,0)+IF(AND(V1507&gt;=20,V1507&lt;40,W1507&gt;=95,W1507&lt;150),0.15,0)+IF(AND(V1507&gt;=20,V1507&lt;40,W1507&gt;=150),0.12,0)+IF(AND(V1507&gt;=40,V1507&lt;75,W1507&lt;75),0.2,0)+IF(AND(V1507&gt;=40,V1507&lt;75,W1507&gt;=75,W1507&lt;120),0.15,0)+IF(AND(V1507&gt;=40,V1507&lt;75,W1507&gt;=120),0.12,0)+IF(AND(V1507&gt;=75,V1507&lt;175,W1507&lt;65),0.2,0)+IF(AND(V1507&gt;=75,V1507&lt;175,W1507&gt;=65,W1507&lt;110),0.15,0)+IF(AND(V1507&gt;=75,V1507&lt;175,W1507&gt;=110),0.12,0)+IF(AND(V1507&gt;=175,W1507&lt;55),0.2,0)+IF(AND(V1507&gt;=175,W1507&gt;=55,W1507&lt;95),0.15,0)+IF(AND(V1507&gt;=175,W1507&gt;=95),0.12,0),
IF(AF1507="DoEVku",IF(AND(V1507&lt;20,W1507&lt;55),0.23,0)+IF(AND(V1507&lt;20,W1507&gt;=55,W1507&lt;105),0.2,0)+IF(AND(V1507&lt;20,W1507&gt;=105),0.17,0)+IF(AND(V1507&gt;=20,V1507&lt;40,W1507&lt;45),0.23,0)+IF(AND(V1507&gt;=20,V1507&lt;40,W1507&gt;=45,W1507&lt;95),0.2,0)+IF(AND(V1507&gt;=20,V1507&lt;40,W1507&gt;=95,W1507&lt;=150),0.17,0)+IF(AND(V1507&gt;=20,V1507&lt;40,W1507&gt;=150),0.12,0)+IF(AND(V1507&gt;=40,V1507&lt;75,W1507&lt;35),0.23,0)+IF(AND(V1507&gt;=40,V1507&lt;75,W1507&gt;=35,W1507&lt;75),0.2,0)+IF(AND(V1507&gt;=40,V1507&lt;75,W1507&gt;=75,W1507&lt;120),0.17,0)+IF(AND(V1507&gt;=40,V1507&lt;75,W1507&gt;=120),0.12,0)+IF(AND(V1507&gt;=75,V1507&lt;175,W1507&lt;35),0.23,0)+IF(AND(V1507&gt;=75,V1507&lt;=175,W1507&gt;=35,W1507&lt;65),0.2,0)+IF(AND(V1507&gt;=75,V1507&lt;=175,W1507&gt;=65,W1507&lt;110),0.17,0)+IF(AND(V1507&gt;=75,V1507&lt;=175,W1507&gt;=110),0.12,0)+IF(AND(V1507&gt;175,W1507&lt;25),0.23,0)+IF(AND(V1507&gt;175,W1507&gt;=25,W1507&lt;55),0.2,0)+IF(AND(V1507&gt;175,W1507&gt;=55,W1507&lt;95),0.17,0)+IF(AND(V1507&gt;175,W1507&gt;=95),0.12,0),
IF(AF1507="DoEVs1",IF(AND(V1507&lt;20,W1507&lt;55),0.3,0)+IF(AND(V1507&lt;20,W1507&gt;=55,W1507&lt;105),0.23,0)+IF(AND(V1507&lt;20,W1507&gt;=105),0.17,0)+IF(AND(V1507&gt;=20,V1507&lt;40,W1507&lt;45),0.3,0)+IF(AND(V1507&gt;=20,V1507&lt;40,W1507&gt;=45,W1507&lt;95),0.23,0)+IF(AND(V1507&gt;=20,V1507&lt;40,W1507&gt;=95,W1507&lt;=150),0.17,0)+IF(AND(V1507&gt;=20,V1507&lt;40,W1507&gt;=150),0.12,0)+IF(AND(V1507&gt;=40,V1507&lt;75,W1507&lt;35),0.3,0)+IF(AND(V1507&gt;=40,V1507&lt;75,W1507&gt;=35,W1507&lt;75),0.23,0)+IF(AND(V1507&gt;=40,V1507&lt;75,W1507&gt;=75,W1507&lt;120),0.17,0)+IF(AND(V1507&gt;=40,V1507&lt;75,W1507&gt;=120),0.12,0)+IF(AND(V1507&gt;=75,V1507&lt;175,W1507&lt;35),0.3,0)+IF(AND(V1507&gt;=75,V1507&lt;=175,W1507&gt;=35,W1507&lt;65),0.23,0)+IF(AND(V1507&gt;=75,V1507&lt;=175,W1507&gt;=65,W1507&lt;110),0.17,0)+IF(AND(V1507&gt;=75,V1507&lt;=175,W1507&gt;=110),0.12,0)+IF(AND(V1507&gt;175,W1507&lt;25),0.3,0)+IF(AND(V1507&gt;175,W1507&gt;=25,W1507&lt;55),0.23,0)+IF(AND(V1507&gt;175,W1507&gt;=55,W1507&lt;95),0.17,0)+IF(AND(V1507&gt;175,W1507&gt;=95),0.12,0),
IF(AF1507="DoEVsu",IF(AND(V1507&lt;20,W1507&lt;55),0.3,0)+IF(AND(V1507&lt;20,W1507&gt;=55,W1507&lt;105),0.23,0)+IF(AND(V1507&lt;20,W1507&gt;=105),0.17,0)+IF(AND(V1507&gt;=20,V1507&lt;40,W1507&lt;45),0.3,0)+IF(AND(V1507&gt;=20,V1507&lt;40,W1507&gt;=45,W1507&lt;95),0.23,0)+IF(AND(V1507&gt;=20,V1507&lt;40,W1507&gt;=95,W1507&lt;=250),0.17,0)+IF(AND(V1507&gt;=20,V1507&lt;40,W1507&gt;=250),0.12,0)+IF(AND(V1507&gt;=40,V1507&lt;75,W1507&lt;35),0.3,0)+IF(AND(V1507&gt;=40,V1507&lt;75,W1507&gt;=35,W1507&lt;75),0.23,0)+IF(AND(V1507&gt;=40,V1507&lt;75,W1507&gt;=75,W1507&lt;120),0.17,0)+IF(AND(V1507&gt;=40,V1507&lt;75,W1507&gt;=120),0.12,0)+IF(AND(V1507&gt;=75,V1507&lt;175,W1507&lt;35),0.3,0)+IF(AND(V1507&gt;=75,V1507&lt;=175,W1507&gt;=35,W1507&lt;65),0.23,0)+IF(AND(V1507&gt;=75,V1507&lt;=175,W1507&gt;=65,W1507&lt;110),0.17,0)+IF(AND(V1507&gt;=75,V1507&lt;=175,W1507&gt;=110),0.12,0)+IF(AND(V1507&gt;175,W1507&lt;25),0.3,0)+IF(AND(V1507&gt;175,W1507&gt;=25,W1507&lt;55),0.23,0)+IF(AND(V1507&gt;175,W1507&gt;=55,W1507&lt;95),0.17,0)+IF(AND(V1507&gt;175,W1507&gt;=95),0.12,0),
IF(AF1507="DoEVni",IF(AND(V1507&lt;20,W1507&lt;55),0.3,0)+IF(AND(V1507&lt;20,W1507&gt;=55,W1507&lt;105),0.23,0)+IF(AND(V1507&lt;20,W1507&gt;=105),0.17,0)+IF(AND(V1507&gt;=20,V1507&lt;40,W1507&lt;45),0.3,0)+IF(AND(V1507&gt;=20,V1507&lt;40,W1507&gt;=45,W1507&lt;95),0.23,0)+IF(AND(V1507&gt;=20,V1507&lt;40,W1507&gt;=95,W1507&lt;=200),0.17,0)+IF(AND(V1507&gt;=20,V1507&lt;40,W1507&gt;=200),0.12,0)+IF(AND(V1507&gt;=40,V1507&lt;75,W1507&lt;35),0.3,0)+IF(AND(V1507&gt;=40,V1507&lt;75,W1507&gt;=35,W1507&lt;75),0.23,0)+IF(AND(V1507&gt;=40,V1507&lt;75,W1507&gt;=75,W1507&lt;120),0.17,0)+IF(AND(V1507&gt;=40,V1507&lt;75,W1507&gt;=120),0.12,0)+IF(AND(V1507&gt;=75,V1507&lt;175,W1507&lt;35),0.3,0)+IF(AND(V1507&gt;=75,V1507&lt;=175,W1507&gt;=35,W1507&lt;65),0.23,0)+IF(AND(V1507&gt;=75,V1507&lt;=175,W1507&gt;=65,W1507&lt;110),0.17,0)+IF(AND(V1507&gt;=75,V1507&lt;=175,W1507&gt;=110),0.12,0)+IF(AND(V1507&gt;175,W1507&lt;25),0.3,0)+IF(AND(V1507&gt;175,W1507&gt;=25,W1507&lt;55),0.23,0)+IF(AND(V1507&gt;175,W1507&gt;=55,W1507&lt;95),0.17,0)+IF(AND(V1507&gt;175,W1507&gt;=95),0.12,0),
IF(AF1507="DoEVLo",IF(AND(V1507&lt;20,W1507&lt;55),0.25,0)+IF(AND(V1507&lt;20,W1507&gt;=55,W1507&lt;105),0.2,0)+IF(AND(V1507&lt;20,W1507&gt;=105),0.15,0)+IF(AND(V1507&gt;=20,V1507&lt;40,W1507&lt;45),0.25,0)+IF(AND(V1507&gt;=20,V1507&lt;40,W1507&gt;=45,W1507&lt;95),0.2,0)+IF(AND(V1507&gt;=20,V1507&lt;40,W1507&gt;=95),0.15,0)+IF(AND(V1507&gt;=40,V1507&lt;75,W1507&lt;35),0.25,0)+IF(AND(V1507&gt;=40,V1507&lt;75,W1507&gt;=35,W1507&lt;75),0.2,0)+IF(AND(V1507&gt;=40,V1507&lt;75,W1507&gt;=75,W1507&lt;120),0.15,0)+IF(AND(V1507&gt;=40,V1507&lt;75,W1507&gt;=120),0.1,0)+IF(AND(V1507&gt;=75,V1507&lt;175,W1507&lt;35),0.25,0)+IF(AND(V1507&gt;=75,V1507&lt;=175,W1507&gt;=35,W1507&lt;65),0.2,0)+IF(AND(V1507&gt;=75,V1507&lt;=175,W1507&gt;=65,W1507&lt;110),0.15,0)+IF(AND(V1507&gt;=75,V1507&lt;=175,W1507&gt;=110),0.1,0)+IF(AND(V1507&gt;175,W1507&lt;25),0.25,0)+IF(AND(V1507&gt;175,W1507&gt;=25,W1507&lt;55),0.2,0)+IF(AND(V1507&gt;175,W1507&gt;=55,W1507&lt;95),0.15,0)+IF(AND(V1507&gt;175,W1507&gt;=95),0.1,0))))))))))))))))))))</f>
        <v>0.23</v>
      </c>
      <c r="Y1507" s="30">
        <f>IF(AG1507="None",0,IF(AG1507="Fix5",0.05, IF(AG1507="Fix6.25",0.0625,IF(AG1507="Fix3.75",0.0375, IF(AG1507="Fix11",0.11, IF(AG1507="Fix10",0.1,IF(AG1507="Fix3",0.03,0)))))))</f>
        <v>0</v>
      </c>
      <c r="Z1507" s="35">
        <f>IF(AND(AD1507="EUR", AE1507 = "USD"), T1507*U1507-AA1507-AB1507, T1507-AA1507-AB1507)</f>
        <v>333.43348500000008</v>
      </c>
      <c r="AA1507" s="29">
        <f>IF(AND(AD1507="EUR", F1507="Without EV deal", AE1507="USD"), (T1507*X1507)*U1507,
IF(AND(AD1507="EUR", F1507="Without EV deal", AE1507="EUR"), (T1507*X1507),
IF(AND(AD1507="EUR",AE1507="USD"), (T1507*X1507)*U1507,
T1507*X1507)))</f>
        <v>99.597015000000013</v>
      </c>
      <c r="AB1507" s="36">
        <f>IF(AND(AD1507="EUR", F1507="Without EV deal", AE1507="USD"), (T1507*Y1507)*U1507,
IF(AND(AD1507="EUR", F1507="Without EV deal", AE1507="EUR"), (T1507*Y1507),
IF(AND(AD1507="EUR",AE1507="USD"), (T1507*Y1507)*U1507,
T1507*Y1507)))</f>
        <v>0</v>
      </c>
      <c r="AC1507" s="37" t="b">
        <v>1</v>
      </c>
      <c r="AD1507" s="82" t="str">
        <f>IF(OR(H1507="€0.25 Flash",
H1507="€0.25(nitro) new",
H1507="€1",
H1507="€2",
H1507="€2 (bf 01.08)",
H1507="€5",
H1507="€5 (1M)",
H1507="€5 (bf 01.08)",
H1507="€5 (bf 05.05)",
H1507="€5 Nitro",
H1507="€5(wx) new",
H1507="€10",
H1507="€10 (1M)",
H1507="€10 (bf 01.08)",
H1507="€10 (bf 05.05)",
H1507="€10 (MP)",
H1507="€10 (old)",
H1507="€10 Nitro (bf 05.05)",
H1507="€10 Nitro (old)",
H1507="€10(wx) new",
H1507="€20",
H1507="€25",
H1507="€25 (bf 01.08)",
H1507="€25 (bf 05.05)",
H1507="€25 (MP)",
H1507="€25 (old)",
H1507="€25 Nitro",
H1507="€25 Nitro (bf 01.08)",
H1507="€25 Nitro (bf 05.05)",
H1507="€25(nitro) new",
H1507="€25(wx) new",
H1507="€50",
H1507="€50 (bf 01.08)",
H1507="€50 (bf 05.05)",
H1507="€50 (old)",
H1507="€50 Nitro",
H1507="€50 Nitro (bf 01.08)",
H1507="€50 Nitro (bf 05.05)",
H1507="€50(wx) new",
H1507="€100",
H1507="€100 (old)",
H1507="€100 Nitro",
H1507="€100 Nitro (old)",
H1507="€200",
H1507="€250",
H1507="€250 Nitro",
H1507="€500",
H1507="€500 Nitro"),"EUR", "USD")</f>
        <v>EUR</v>
      </c>
      <c r="AE1507" s="83" t="s">
        <v>38</v>
      </c>
      <c r="AF1507" s="83" t="str">
        <f t="array" ref="AF1507">INDEX('Deal Info'!D:D, MATCH(A1507,'Deal Info'!A:A, 0))</f>
        <v>DoEV</v>
      </c>
      <c r="AG1507" s="84" t="str">
        <f t="array" ref="AG1507">INDEX('Deal Info'!G:G, MATCH(A1507,'Deal Info'!A:A, 0))</f>
        <v>None</v>
      </c>
    </row>
    <row r="1508" spans="1:33" ht="14.25" hidden="1" x14ac:dyDescent="0.2">
      <c r="A1508" s="18" t="str">
        <f t="array" ref="A1508">IF(G1508='Room Info'!$B$1, INDEX('Room Info'!$A$2:$A2446, MATCH(B1508,'Room Info'!$B$2:$B2446, 0)),IF(G1508='Room Info'!$C$1, INDEX('Room Info'!$A$2:$A2446, MATCH(B1508,'Room Info'!$C$2:$C2446, 0)),IF(G1508='Room Info'!$D$1, INDEX('Room Info'!$A$2:$A2446, MATCH(B1508,'Room Info'!$D$2:$D2446, 0)),IF(G1508='Room Info'!$E$1, INDEX('Room Info'!$A$2:$A2446, MATCH(B1508,'Room Info'!$E$2:$E2446, 0)),IF(G1508='Room Info'!$F$1, INDEX('Room Info'!$A$2:$A2446, MATCH(B1508,'Room Info'!$F$2:$F2446, 0)),IF(G1508='Room Info'!$H$1, INDEX('Room Info'!$A$2:$A2446, MATCH(B1508,'Room Info'!$H$2:$H2446, 0)),IF(G1508='Room Info'!$G$1, INDEX('Room Info'!$A$2:$A2446, MATCH(B1508,'Room Info'!$G$2:$G2446, 0)))))))))</f>
        <v>TVREZ</v>
      </c>
      <c r="B1508" s="45" t="s">
        <v>225</v>
      </c>
      <c r="C1508" s="77">
        <v>44958</v>
      </c>
      <c r="D1508" s="77">
        <v>44985</v>
      </c>
      <c r="E1508" s="21">
        <v>44958</v>
      </c>
      <c r="F1508" s="45" t="s">
        <v>49</v>
      </c>
      <c r="G1508" s="18" t="s">
        <v>35</v>
      </c>
      <c r="H1508" s="49" t="s">
        <v>46</v>
      </c>
      <c r="I1508" s="23" t="s">
        <v>37</v>
      </c>
      <c r="J1508" s="39">
        <v>25</v>
      </c>
      <c r="K1508" s="51">
        <v>3318</v>
      </c>
      <c r="L1508" s="52">
        <v>1625</v>
      </c>
      <c r="M1508" s="53">
        <v>3400</v>
      </c>
      <c r="N1508" s="28">
        <f>K1508*J1508</f>
        <v>82950</v>
      </c>
      <c r="O1508" s="54">
        <v>85333</v>
      </c>
      <c r="P1508" s="29">
        <v>25.71820374</v>
      </c>
      <c r="Q1508" s="55"/>
      <c r="R1508" s="31">
        <f>M1508+Q1508*J1508*K1508*0.07</f>
        <v>3400</v>
      </c>
      <c r="S1508" s="56">
        <v>-799</v>
      </c>
      <c r="T1508" s="32">
        <f>IF(AND(AD1508="EUR", F1508="Without EV deal"), R1508 + L1508,
IF(AND(AD1508="USD", F1508="Without EV deal"), R1508 + L1508,
IF(AND(AD1508="EUR", F1508="Steel Phoenix"), R1508 + S1508/U1508,
R1508 + S1508)))</f>
        <v>2601</v>
      </c>
      <c r="U1508" s="57"/>
      <c r="V1508" s="69">
        <v>25.06013229104029</v>
      </c>
      <c r="W1508" s="69">
        <v>101.79515296940612</v>
      </c>
      <c r="X1508" s="30">
        <f>IF(AF1508="DoEV",IF(AND(V1508&lt;20,W1508&lt;55),0.3,0)+IF(AND(V1508&lt;20,W1508&gt;=55,W1508&lt;105),0.23,0)+IF(AND(V1508&lt;20,W1508&gt;=105),0.17,0)+IF(AND(V1508&gt;=20,V1508&lt;40,W1508&lt;45),0.3,0)+IF(AND(V1508&gt;=20,V1508&lt;40,W1508&gt;=45,W1508&lt;95),0.23,0)+IF(AND(V1508&gt;=20,V1508&lt;40,W1508&gt;=95),0.17,0)+IF(AND(V1508&gt;=40,V1508&lt;75,W1508&lt;35),0.3,0)+IF(AND(V1508&gt;=40,V1508&lt;75,W1508&gt;=35,W1508&lt;75),0.23,0)+IF(AND(V1508&gt;=40,V1508&lt;75,W1508&gt;=75,W1508&lt;120),0.17,0)+IF(AND(V1508&gt;=40,V1508&lt;75,W1508&gt;=120),0.12,0)+IF(AND(V1508&gt;=75,V1508&lt;175,W1508&lt;35),0.3,0)+IF(AND(V1508&gt;=75,V1508&lt;=175,W1508&gt;=35,W1508&lt;65),0.23,0)+IF(AND(V1508&gt;=75,V1508&lt;=175,W1508&gt;=65,W1508&lt;110),0.17,0)+IF(AND(V1508&gt;=75,V1508&lt;=175,W1508&gt;=110),0.12,0)+IF(AND(V1508&gt;175,W1508&lt;25),0.3,0)+IF(AND(V1508&gt;175,W1508&gt;=25,W1508&lt;55),0.23,0)+IF(AND(V1508&gt;175,W1508&gt;=55,W1508&lt;95),0.17,0)+IF(AND(V1508&gt;175,W1508&gt;=95),0.12,0),
IF(AF1508="Fix15",0.15,
IF(AF1508="Fix5",0.05,
IF(AF1508="Fix18.75",0.1875,
IF(AF1508="Fix11.25",0.1125,
IF(AF1508="Fix10",0.1,
IF(AF1508="Fix9",0.09,
IF(AF1508="Fix12",0.12,
IF(AF1508="Fix19",0.19,
IF(AF1508="DoEV2017",IF(AND(W1508&lt;74),0.2,0)+IF(AND(W1508&gt;=74),0.17,0),
IF(AF1508="SF",IF(AND(V1508&lt;20,W1508&lt;89),0.3,0)+IF(AND(V1508&lt;20,W1508&gt;=89),0.25,0)+IF(AND(V1508&gt;=20,V1508&lt;40,W1508&lt;74),0.3,0)+IF(AND(V1508&gt;=20,V1508&lt;40,W1508&gt;=75),0.22,0)+IF(AND(V1508&gt;=40,V1508&lt;75,W1508&lt;75),0.26,0)+IF(AND(V1508&gt;=40,V1508&lt;75,W1508&gt;=75),0.22,0)+IF(V1508&gt;=75,0.22,0),
IF(AF1508="DoEVold",IF(AND(V1508&lt;40,W1508&lt;35),0.35,0)+IF(AND(V1508&lt;40,W1508&gt;=35,W1508&lt;75),0.25,0)+IF(AND(V1508&lt;40,W1508&gt;=75),0.17,0)+IF(AND(V1508&gt;=40,V1508&lt;75,W1508&lt;25),0.35,0)+IF(AND(V1508&gt;=40,V1508&lt;75,W1508&gt;=25,W1508&lt;65),0.25,0)+IF(AND(V1508&gt;=40,V1508&lt;75,W1508&gt;=65,W1508&lt;100),0.17,0)+IF(AND(V1508&gt;=40,V1508&lt;75,W1508&gt;=100),0.1,0)+IF(AND(V1508&gt;=75,W1508&lt;25),0.35,0)+IF(AND(V1508&gt;=75,W1508&gt;=25,W1508&lt;60),0.25,0)+IF(AND(V1508&gt;=75,W1508&gt;=60,W1508&lt;95),0.17,0)+IF(AND(V1508&gt;=75,W1508&gt;=95),0.1,0),
IF(AF1508="DoEVold15",IF(AND(V1508&lt;=40,W1508&lt;35),0.35,0)+IF(AND(V1508&lt;=40,W1508&gt;=35,W1508&lt;75),0.25,0)+IF(AND(V1508&lt;=40,W1508&gt;=75,W1508&lt;120),0.17,0)+IF(AND(V1508&lt;=40,W1508&gt;=120),0.15,0)+IF(AND(V1508&gt;40,V1508&lt;75,W1508&lt;25),0.35,0)+IF(AND(V1508&gt;=40,V1508&lt;75,W1508&gt;=25,W1508&lt;65),0.25,0)+IF(AND(V1508&gt;=40,V1508&lt;75,W1508&gt;=65,W1508&lt;100),0.17,0)+IF(AND(V1508&gt;=40,V1508&lt;75,W1508&gt;=100),0.1,0)+IF(AND(V1508&gt;=75,W1508&lt;25),0.35,0)+IF(AND(V1508&gt;=75,W1508&gt;=25,W1508&lt;60),0.25,0)+IF(AND(V1508&gt;=75,W1508&gt;=60,W1508&lt;95),0.17,0)+IF(AND(V1508&gt;=75,W1508&gt;=95),0.1,0),
IF(AF1508="DoEVba",IF(AND(V1508&lt;20,W1508&lt;105),0.2,0)+IF(AND(V1508&lt;20,W1508&gt;=105),0.15,0)+IF(AND(V1508&gt;=20,V1508&lt;40,W1508&lt;95),0.2,0)+IF(AND(V1508&gt;=20,V1508&lt;40,W1508&gt;=95,W1508&lt;150),0.15,0)+IF(AND(V1508&gt;=20,V1508&lt;40,W1508&gt;=150),0.12,0)+IF(AND(V1508&gt;=40,V1508&lt;75,W1508&lt;75),0.2,0)+IF(AND(V1508&gt;=40,V1508&lt;75,W1508&gt;=75,W1508&lt;120),0.15,0)+IF(AND(V1508&gt;=40,V1508&lt;75,W1508&gt;=120),0.12,0)+IF(AND(V1508&gt;=75,V1508&lt;175,W1508&lt;65),0.2,0)+IF(AND(V1508&gt;=75,V1508&lt;175,W1508&gt;=65,W1508&lt;110),0.15,0)+IF(AND(V1508&gt;=75,V1508&lt;175,W1508&gt;=110),0.12,0)+IF(AND(V1508&gt;=175,W1508&lt;55),0.2,0)+IF(AND(V1508&gt;=175,W1508&gt;=55,W1508&lt;95),0.15,0)+IF(AND(V1508&gt;=175,W1508&gt;=95),0.12,0),
IF(AF1508="DoEVku",IF(AND(V1508&lt;20,W1508&lt;55),0.23,0)+IF(AND(V1508&lt;20,W1508&gt;=55,W1508&lt;105),0.2,0)+IF(AND(V1508&lt;20,W1508&gt;=105),0.17,0)+IF(AND(V1508&gt;=20,V1508&lt;40,W1508&lt;45),0.23,0)+IF(AND(V1508&gt;=20,V1508&lt;40,W1508&gt;=45,W1508&lt;95),0.2,0)+IF(AND(V1508&gt;=20,V1508&lt;40,W1508&gt;=95,W1508&lt;=150),0.17,0)+IF(AND(V1508&gt;=20,V1508&lt;40,W1508&gt;=150),0.12,0)+IF(AND(V1508&gt;=40,V1508&lt;75,W1508&lt;35),0.23,0)+IF(AND(V1508&gt;=40,V1508&lt;75,W1508&gt;=35,W1508&lt;75),0.2,0)+IF(AND(V1508&gt;=40,V1508&lt;75,W1508&gt;=75,W1508&lt;120),0.17,0)+IF(AND(V1508&gt;=40,V1508&lt;75,W1508&gt;=120),0.12,0)+IF(AND(V1508&gt;=75,V1508&lt;175,W1508&lt;35),0.23,0)+IF(AND(V1508&gt;=75,V1508&lt;=175,W1508&gt;=35,W1508&lt;65),0.2,0)+IF(AND(V1508&gt;=75,V1508&lt;=175,W1508&gt;=65,W1508&lt;110),0.17,0)+IF(AND(V1508&gt;=75,V1508&lt;=175,W1508&gt;=110),0.12,0)+IF(AND(V1508&gt;175,W1508&lt;25),0.23,0)+IF(AND(V1508&gt;175,W1508&gt;=25,W1508&lt;55),0.2,0)+IF(AND(V1508&gt;175,W1508&gt;=55,W1508&lt;95),0.17,0)+IF(AND(V1508&gt;175,W1508&gt;=95),0.12,0),
IF(AF1508="DoEVs1",IF(AND(V1508&lt;20,W1508&lt;55),0.3,0)+IF(AND(V1508&lt;20,W1508&gt;=55,W1508&lt;105),0.23,0)+IF(AND(V1508&lt;20,W1508&gt;=105),0.17,0)+IF(AND(V1508&gt;=20,V1508&lt;40,W1508&lt;45),0.3,0)+IF(AND(V1508&gt;=20,V1508&lt;40,W1508&gt;=45,W1508&lt;95),0.23,0)+IF(AND(V1508&gt;=20,V1508&lt;40,W1508&gt;=95,W1508&lt;=150),0.17,0)+IF(AND(V1508&gt;=20,V1508&lt;40,W1508&gt;=150),0.12,0)+IF(AND(V1508&gt;=40,V1508&lt;75,W1508&lt;35),0.3,0)+IF(AND(V1508&gt;=40,V1508&lt;75,W1508&gt;=35,W1508&lt;75),0.23,0)+IF(AND(V1508&gt;=40,V1508&lt;75,W1508&gt;=75,W1508&lt;120),0.17,0)+IF(AND(V1508&gt;=40,V1508&lt;75,W1508&gt;=120),0.12,0)+IF(AND(V1508&gt;=75,V1508&lt;175,W1508&lt;35),0.3,0)+IF(AND(V1508&gt;=75,V1508&lt;=175,W1508&gt;=35,W1508&lt;65),0.23,0)+IF(AND(V1508&gt;=75,V1508&lt;=175,W1508&gt;=65,W1508&lt;110),0.17,0)+IF(AND(V1508&gt;=75,V1508&lt;=175,W1508&gt;=110),0.12,0)+IF(AND(V1508&gt;175,W1508&lt;25),0.3,0)+IF(AND(V1508&gt;175,W1508&gt;=25,W1508&lt;55),0.23,0)+IF(AND(V1508&gt;175,W1508&gt;=55,W1508&lt;95),0.17,0)+IF(AND(V1508&gt;175,W1508&gt;=95),0.12,0),
IF(AF1508="DoEVsu",IF(AND(V1508&lt;20,W1508&lt;55),0.3,0)+IF(AND(V1508&lt;20,W1508&gt;=55,W1508&lt;105),0.23,0)+IF(AND(V1508&lt;20,W1508&gt;=105),0.17,0)+IF(AND(V1508&gt;=20,V1508&lt;40,W1508&lt;45),0.3,0)+IF(AND(V1508&gt;=20,V1508&lt;40,W1508&gt;=45,W1508&lt;95),0.23,0)+IF(AND(V1508&gt;=20,V1508&lt;40,W1508&gt;=95,W1508&lt;=250),0.17,0)+IF(AND(V1508&gt;=20,V1508&lt;40,W1508&gt;=250),0.12,0)+IF(AND(V1508&gt;=40,V1508&lt;75,W1508&lt;35),0.3,0)+IF(AND(V1508&gt;=40,V1508&lt;75,W1508&gt;=35,W1508&lt;75),0.23,0)+IF(AND(V1508&gt;=40,V1508&lt;75,W1508&gt;=75,W1508&lt;120),0.17,0)+IF(AND(V1508&gt;=40,V1508&lt;75,W1508&gt;=120),0.12,0)+IF(AND(V1508&gt;=75,V1508&lt;175,W1508&lt;35),0.3,0)+IF(AND(V1508&gt;=75,V1508&lt;=175,W1508&gt;=35,W1508&lt;65),0.23,0)+IF(AND(V1508&gt;=75,V1508&lt;=175,W1508&gt;=65,W1508&lt;110),0.17,0)+IF(AND(V1508&gt;=75,V1508&lt;=175,W1508&gt;=110),0.12,0)+IF(AND(V1508&gt;175,W1508&lt;25),0.3,0)+IF(AND(V1508&gt;175,W1508&gt;=25,W1508&lt;55),0.23,0)+IF(AND(V1508&gt;175,W1508&gt;=55,W1508&lt;95),0.17,0)+IF(AND(V1508&gt;175,W1508&gt;=95),0.12,0),
IF(AF1508="DoEVni",IF(AND(V1508&lt;20,W1508&lt;55),0.3,0)+IF(AND(V1508&lt;20,W1508&gt;=55,W1508&lt;105),0.23,0)+IF(AND(V1508&lt;20,W1508&gt;=105),0.17,0)+IF(AND(V1508&gt;=20,V1508&lt;40,W1508&lt;45),0.3,0)+IF(AND(V1508&gt;=20,V1508&lt;40,W1508&gt;=45,W1508&lt;95),0.23,0)+IF(AND(V1508&gt;=20,V1508&lt;40,W1508&gt;=95,W1508&lt;=200),0.17,0)+IF(AND(V1508&gt;=20,V1508&lt;40,W1508&gt;=200),0.12,0)+IF(AND(V1508&gt;=40,V1508&lt;75,W1508&lt;35),0.3,0)+IF(AND(V1508&gt;=40,V1508&lt;75,W1508&gt;=35,W1508&lt;75),0.23,0)+IF(AND(V1508&gt;=40,V1508&lt;75,W1508&gt;=75,W1508&lt;120),0.17,0)+IF(AND(V1508&gt;=40,V1508&lt;75,W1508&gt;=120),0.12,0)+IF(AND(V1508&gt;=75,V1508&lt;175,W1508&lt;35),0.3,0)+IF(AND(V1508&gt;=75,V1508&lt;=175,W1508&gt;=35,W1508&lt;65),0.23,0)+IF(AND(V1508&gt;=75,V1508&lt;=175,W1508&gt;=65,W1508&lt;110),0.17,0)+IF(AND(V1508&gt;=75,V1508&lt;=175,W1508&gt;=110),0.12,0)+IF(AND(V1508&gt;175,W1508&lt;25),0.3,0)+IF(AND(V1508&gt;175,W1508&gt;=25,W1508&lt;55),0.23,0)+IF(AND(V1508&gt;175,W1508&gt;=55,W1508&lt;95),0.17,0)+IF(AND(V1508&gt;175,W1508&gt;=95),0.12,0),
IF(AF1508="DoEVLo",IF(AND(V1508&lt;20,W1508&lt;55),0.25,0)+IF(AND(V1508&lt;20,W1508&gt;=55,W1508&lt;105),0.2,0)+IF(AND(V1508&lt;20,W1508&gt;=105),0.15,0)+IF(AND(V1508&gt;=20,V1508&lt;40,W1508&lt;45),0.25,0)+IF(AND(V1508&gt;=20,V1508&lt;40,W1508&gt;=45,W1508&lt;95),0.2,0)+IF(AND(V1508&gt;=20,V1508&lt;40,W1508&gt;=95),0.15,0)+IF(AND(V1508&gt;=40,V1508&lt;75,W1508&lt;35),0.25,0)+IF(AND(V1508&gt;=40,V1508&lt;75,W1508&gt;=35,W1508&lt;75),0.2,0)+IF(AND(V1508&gt;=40,V1508&lt;75,W1508&gt;=75,W1508&lt;120),0.15,0)+IF(AND(V1508&gt;=40,V1508&lt;75,W1508&gt;=120),0.1,0)+IF(AND(V1508&gt;=75,V1508&lt;175,W1508&lt;35),0.25,0)+IF(AND(V1508&gt;=75,V1508&lt;=175,W1508&gt;=35,W1508&lt;65),0.2,0)+IF(AND(V1508&gt;=75,V1508&lt;=175,W1508&gt;=65,W1508&lt;110),0.15,0)+IF(AND(V1508&gt;=75,V1508&lt;=175,W1508&gt;=110),0.1,0)+IF(AND(V1508&gt;175,W1508&lt;25),0.25,0)+IF(AND(V1508&gt;175,W1508&gt;=25,W1508&lt;55),0.2,0)+IF(AND(V1508&gt;175,W1508&gt;=55,W1508&lt;95),0.15,0)+IF(AND(V1508&gt;175,W1508&gt;=95),0.1,0))))))))))))))))))))</f>
        <v>0.17</v>
      </c>
      <c r="Y1508" s="30">
        <f>IF(AG1508="None",0,IF(AG1508="Fix5",0.05, IF(AG1508="Fix6.25",0.0625,IF(AG1508="Fix3.75",0.0375, IF(AG1508="Fix11",0.11, IF(AG1508="Fix10",0.1,IF(AG1508="Fix3",0.03,0)))))))</f>
        <v>0.1</v>
      </c>
      <c r="Z1508" s="35">
        <f>IF(AND(AD1508="EUR", AE1508 = "USD"), T1508*U1508-AA1508-AB1508, T1508-AA1508-AB1508)</f>
        <v>1898.73</v>
      </c>
      <c r="AA1508" s="29">
        <f>IF(AND(AD1508="EUR", F1508="Without EV deal", AE1508="USD"), (T1508*X1508)*U1508,
IF(AND(AD1508="EUR", F1508="Without EV deal", AE1508="EUR"), (T1508*X1508),
IF(AND(AD1508="EUR",AE1508="USD"), (T1508*X1508)*U1508,
T1508*X1508)))</f>
        <v>442.17</v>
      </c>
      <c r="AB1508" s="36">
        <f>IF(AND(AD1508="EUR", F1508="Without EV deal", AE1508="USD"), (T1508*Y1508)*U1508,
IF(AND(AD1508="EUR", F1508="Without EV deal", AE1508="EUR"), (T1508*Y1508),
IF(AND(AD1508="EUR",AE1508="USD"), (T1508*Y1508)*U1508,
T1508*Y1508)))</f>
        <v>260.10000000000002</v>
      </c>
      <c r="AC1508" s="37" t="b">
        <v>1</v>
      </c>
      <c r="AD1508" s="82" t="str">
        <f>IF(OR(H1508="€0.25 Flash",
H1508="€0.25(nitro) new",
H1508="€1",
H1508="€2",
H1508="€2 (bf 01.08)",
H1508="€5",
H1508="€5 (1M)",
H1508="€5 (bf 01.08)",
H1508="€5 (bf 05.05)",
H1508="€5 Nitro",
H1508="€5(wx) new",
H1508="€10",
H1508="€10 (1M)",
H1508="€10 (bf 01.08)",
H1508="€10 (bf 05.05)",
H1508="€10 (MP)",
H1508="€10 (old)",
H1508="€10 Nitro (bf 05.05)",
H1508="€10 Nitro (old)",
H1508="€10(wx) new",
H1508="€20",
H1508="€25",
H1508="€25 (bf 01.08)",
H1508="€25 (bf 05.05)",
H1508="€25 (MP)",
H1508="€25 (old)",
H1508="€25 Nitro",
H1508="€25 Nitro (bf 01.08)",
H1508="€25 Nitro (bf 05.05)",
H1508="€25(nitro) new",
H1508="€25(wx) new",
H1508="€50",
H1508="€50 (bf 01.08)",
H1508="€50 (bf 05.05)",
H1508="€50 (old)",
H1508="€50 Nitro",
H1508="€50 Nitro (bf 01.08)",
H1508="€50 Nitro (bf 05.05)",
H1508="€50(wx) new",
H1508="€100",
H1508="€100 (old)",
H1508="€100 Nitro",
H1508="€100 Nitro (old)",
H1508="€200",
H1508="€250",
H1508="€250 Nitro",
H1508="€500",
H1508="€500 Nitro"),"EUR", "USD")</f>
        <v>USD</v>
      </c>
      <c r="AE1508" s="83" t="s">
        <v>38</v>
      </c>
      <c r="AF1508" s="83" t="str">
        <f t="array" ref="AF1508">INDEX('Deal Info'!D:D, MATCH(A1508,'Deal Info'!A:A, 0))</f>
        <v>DoEV</v>
      </c>
      <c r="AG1508" s="84" t="str">
        <f t="array" ref="AG1508">INDEX('Deal Info'!G:G, MATCH(A1508,'Deal Info'!A:A, 0))</f>
        <v>Fix10</v>
      </c>
    </row>
    <row r="1509" spans="1:33" ht="14.25" hidden="1" x14ac:dyDescent="0.2">
      <c r="A1509" s="18" t="str">
        <f t="array" ref="A1509">IF(G1509='Room Info'!$B$1, INDEX('Room Info'!$A$2:$A2446, MATCH(B1509,'Room Info'!$B$2:$B2446, 0)),IF(G1509='Room Info'!$C$1, INDEX('Room Info'!$A$2:$A2446, MATCH(B1509,'Room Info'!$C$2:$C2446, 0)),IF(G1509='Room Info'!$D$1, INDEX('Room Info'!$A$2:$A2446, MATCH(B1509,'Room Info'!$D$2:$D2446, 0)),IF(G1509='Room Info'!$E$1, INDEX('Room Info'!$A$2:$A2446, MATCH(B1509,'Room Info'!$E$2:$E2446, 0)),IF(G1509='Room Info'!$F$1, INDEX('Room Info'!$A$2:$A2446, MATCH(B1509,'Room Info'!$F$2:$F2446, 0)),IF(G1509='Room Info'!$H$1, INDEX('Room Info'!$A$2:$A2446, MATCH(B1509,'Room Info'!$H$2:$H2446, 0)),IF(G1509='Room Info'!$G$1, INDEX('Room Info'!$A$2:$A2446, MATCH(B1509,'Room Info'!$G$2:$G2446, 0)))))))))</f>
        <v>TVREZ</v>
      </c>
      <c r="B1509" s="45" t="s">
        <v>225</v>
      </c>
      <c r="C1509" s="77">
        <v>44958</v>
      </c>
      <c r="D1509" s="77">
        <v>44985</v>
      </c>
      <c r="E1509" s="21">
        <v>44958</v>
      </c>
      <c r="F1509" s="22" t="s">
        <v>41</v>
      </c>
      <c r="G1509" s="18" t="s">
        <v>35</v>
      </c>
      <c r="H1509" s="49" t="s">
        <v>72</v>
      </c>
      <c r="I1509" s="23" t="s">
        <v>37</v>
      </c>
      <c r="J1509" s="39">
        <v>50</v>
      </c>
      <c r="K1509" s="51">
        <v>8</v>
      </c>
      <c r="L1509" s="52">
        <v>-50</v>
      </c>
      <c r="M1509" s="62"/>
      <c r="N1509" s="28">
        <f>K1509*J1509</f>
        <v>400</v>
      </c>
      <c r="O1509" s="54">
        <v>-50</v>
      </c>
      <c r="P1509" s="29">
        <v>-6.25</v>
      </c>
      <c r="Q1509" s="55"/>
      <c r="R1509" s="31">
        <f>M1509+Q1509*J1509*K1509*0.07</f>
        <v>0</v>
      </c>
      <c r="S1509" s="66"/>
      <c r="T1509" s="32">
        <f>IF(AND(AD1509="EUR", F1509="Without EV deal"), R1509 + L1509,
IF(AND(AD1509="USD", F1509="Without EV deal"), R1509 + L1509,
IF(AND(AD1509="EUR", F1509="Steel Phoenix"), R1509 + S1509/U1509,
R1509 + S1509)))</f>
        <v>-50</v>
      </c>
      <c r="U1509" s="57"/>
      <c r="V1509" s="69">
        <v>25.06013229104029</v>
      </c>
      <c r="W1509" s="69">
        <v>101.79515296940612</v>
      </c>
      <c r="X1509" s="30">
        <f>IF(AF1509="DoEV",IF(AND(V1509&lt;20,W1509&lt;55),0.3,0)+IF(AND(V1509&lt;20,W1509&gt;=55,W1509&lt;105),0.23,0)+IF(AND(V1509&lt;20,W1509&gt;=105),0.17,0)+IF(AND(V1509&gt;=20,V1509&lt;40,W1509&lt;45),0.3,0)+IF(AND(V1509&gt;=20,V1509&lt;40,W1509&gt;=45,W1509&lt;95),0.23,0)+IF(AND(V1509&gt;=20,V1509&lt;40,W1509&gt;=95),0.17,0)+IF(AND(V1509&gt;=40,V1509&lt;75,W1509&lt;35),0.3,0)+IF(AND(V1509&gt;=40,V1509&lt;75,W1509&gt;=35,W1509&lt;75),0.23,0)+IF(AND(V1509&gt;=40,V1509&lt;75,W1509&gt;=75,W1509&lt;120),0.17,0)+IF(AND(V1509&gt;=40,V1509&lt;75,W1509&gt;=120),0.12,0)+IF(AND(V1509&gt;=75,V1509&lt;175,W1509&lt;35),0.3,0)+IF(AND(V1509&gt;=75,V1509&lt;=175,W1509&gt;=35,W1509&lt;65),0.23,0)+IF(AND(V1509&gt;=75,V1509&lt;=175,W1509&gt;=65,W1509&lt;110),0.17,0)+IF(AND(V1509&gt;=75,V1509&lt;=175,W1509&gt;=110),0.12,0)+IF(AND(V1509&gt;175,W1509&lt;25),0.3,0)+IF(AND(V1509&gt;175,W1509&gt;=25,W1509&lt;55),0.23,0)+IF(AND(V1509&gt;175,W1509&gt;=55,W1509&lt;95),0.17,0)+IF(AND(V1509&gt;175,W1509&gt;=95),0.12,0),
IF(AF1509="Fix15",0.15,
IF(AF1509="Fix5",0.05,
IF(AF1509="Fix18.75",0.1875,
IF(AF1509="Fix11.25",0.1125,
IF(AF1509="Fix10",0.1,
IF(AF1509="Fix9",0.09,
IF(AF1509="Fix12",0.12,
IF(AF1509="Fix19",0.19,
IF(AF1509="DoEV2017",IF(AND(W1509&lt;74),0.2,0)+IF(AND(W1509&gt;=74),0.17,0),
IF(AF1509="SF",IF(AND(V1509&lt;20,W1509&lt;89),0.3,0)+IF(AND(V1509&lt;20,W1509&gt;=89),0.25,0)+IF(AND(V1509&gt;=20,V1509&lt;40,W1509&lt;74),0.3,0)+IF(AND(V1509&gt;=20,V1509&lt;40,W1509&gt;=75),0.22,0)+IF(AND(V1509&gt;=40,V1509&lt;75,W1509&lt;75),0.26,0)+IF(AND(V1509&gt;=40,V1509&lt;75,W1509&gt;=75),0.22,0)+IF(V1509&gt;=75,0.22,0),
IF(AF1509="DoEVold",IF(AND(V1509&lt;40,W1509&lt;35),0.35,0)+IF(AND(V1509&lt;40,W1509&gt;=35,W1509&lt;75),0.25,0)+IF(AND(V1509&lt;40,W1509&gt;=75),0.17,0)+IF(AND(V1509&gt;=40,V1509&lt;75,W1509&lt;25),0.35,0)+IF(AND(V1509&gt;=40,V1509&lt;75,W1509&gt;=25,W1509&lt;65),0.25,0)+IF(AND(V1509&gt;=40,V1509&lt;75,W1509&gt;=65,W1509&lt;100),0.17,0)+IF(AND(V1509&gt;=40,V1509&lt;75,W1509&gt;=100),0.1,0)+IF(AND(V1509&gt;=75,W1509&lt;25),0.35,0)+IF(AND(V1509&gt;=75,W1509&gt;=25,W1509&lt;60),0.25,0)+IF(AND(V1509&gt;=75,W1509&gt;=60,W1509&lt;95),0.17,0)+IF(AND(V1509&gt;=75,W1509&gt;=95),0.1,0),
IF(AF1509="DoEVold15",IF(AND(V1509&lt;=40,W1509&lt;35),0.35,0)+IF(AND(V1509&lt;=40,W1509&gt;=35,W1509&lt;75),0.25,0)+IF(AND(V1509&lt;=40,W1509&gt;=75,W1509&lt;120),0.17,0)+IF(AND(V1509&lt;=40,W1509&gt;=120),0.15,0)+IF(AND(V1509&gt;40,V1509&lt;75,W1509&lt;25),0.35,0)+IF(AND(V1509&gt;=40,V1509&lt;75,W1509&gt;=25,W1509&lt;65),0.25,0)+IF(AND(V1509&gt;=40,V1509&lt;75,W1509&gt;=65,W1509&lt;100),0.17,0)+IF(AND(V1509&gt;=40,V1509&lt;75,W1509&gt;=100),0.1,0)+IF(AND(V1509&gt;=75,W1509&lt;25),0.35,0)+IF(AND(V1509&gt;=75,W1509&gt;=25,W1509&lt;60),0.25,0)+IF(AND(V1509&gt;=75,W1509&gt;=60,W1509&lt;95),0.17,0)+IF(AND(V1509&gt;=75,W1509&gt;=95),0.1,0),
IF(AF1509="DoEVba",IF(AND(V1509&lt;20,W1509&lt;105),0.2,0)+IF(AND(V1509&lt;20,W1509&gt;=105),0.15,0)+IF(AND(V1509&gt;=20,V1509&lt;40,W1509&lt;95),0.2,0)+IF(AND(V1509&gt;=20,V1509&lt;40,W1509&gt;=95,W1509&lt;150),0.15,0)+IF(AND(V1509&gt;=20,V1509&lt;40,W1509&gt;=150),0.12,0)+IF(AND(V1509&gt;=40,V1509&lt;75,W1509&lt;75),0.2,0)+IF(AND(V1509&gt;=40,V1509&lt;75,W1509&gt;=75,W1509&lt;120),0.15,0)+IF(AND(V1509&gt;=40,V1509&lt;75,W1509&gt;=120),0.12,0)+IF(AND(V1509&gt;=75,V1509&lt;175,W1509&lt;65),0.2,0)+IF(AND(V1509&gt;=75,V1509&lt;175,W1509&gt;=65,W1509&lt;110),0.15,0)+IF(AND(V1509&gt;=75,V1509&lt;175,W1509&gt;=110),0.12,0)+IF(AND(V1509&gt;=175,W1509&lt;55),0.2,0)+IF(AND(V1509&gt;=175,W1509&gt;=55,W1509&lt;95),0.15,0)+IF(AND(V1509&gt;=175,W1509&gt;=95),0.12,0),
IF(AF1509="DoEVku",IF(AND(V1509&lt;20,W1509&lt;55),0.23,0)+IF(AND(V1509&lt;20,W1509&gt;=55,W1509&lt;105),0.2,0)+IF(AND(V1509&lt;20,W1509&gt;=105),0.17,0)+IF(AND(V1509&gt;=20,V1509&lt;40,W1509&lt;45),0.23,0)+IF(AND(V1509&gt;=20,V1509&lt;40,W1509&gt;=45,W1509&lt;95),0.2,0)+IF(AND(V1509&gt;=20,V1509&lt;40,W1509&gt;=95,W1509&lt;=150),0.17,0)+IF(AND(V1509&gt;=20,V1509&lt;40,W1509&gt;=150),0.12,0)+IF(AND(V1509&gt;=40,V1509&lt;75,W1509&lt;35),0.23,0)+IF(AND(V1509&gt;=40,V1509&lt;75,W1509&gt;=35,W1509&lt;75),0.2,0)+IF(AND(V1509&gt;=40,V1509&lt;75,W1509&gt;=75,W1509&lt;120),0.17,0)+IF(AND(V1509&gt;=40,V1509&lt;75,W1509&gt;=120),0.12,0)+IF(AND(V1509&gt;=75,V1509&lt;175,W1509&lt;35),0.23,0)+IF(AND(V1509&gt;=75,V1509&lt;=175,W1509&gt;=35,W1509&lt;65),0.2,0)+IF(AND(V1509&gt;=75,V1509&lt;=175,W1509&gt;=65,W1509&lt;110),0.17,0)+IF(AND(V1509&gt;=75,V1509&lt;=175,W1509&gt;=110),0.12,0)+IF(AND(V1509&gt;175,W1509&lt;25),0.23,0)+IF(AND(V1509&gt;175,W1509&gt;=25,W1509&lt;55),0.2,0)+IF(AND(V1509&gt;175,W1509&gt;=55,W1509&lt;95),0.17,0)+IF(AND(V1509&gt;175,W1509&gt;=95),0.12,0),
IF(AF1509="DoEVs1",IF(AND(V1509&lt;20,W1509&lt;55),0.3,0)+IF(AND(V1509&lt;20,W1509&gt;=55,W1509&lt;105),0.23,0)+IF(AND(V1509&lt;20,W1509&gt;=105),0.17,0)+IF(AND(V1509&gt;=20,V1509&lt;40,W1509&lt;45),0.3,0)+IF(AND(V1509&gt;=20,V1509&lt;40,W1509&gt;=45,W1509&lt;95),0.23,0)+IF(AND(V1509&gt;=20,V1509&lt;40,W1509&gt;=95,W1509&lt;=150),0.17,0)+IF(AND(V1509&gt;=20,V1509&lt;40,W1509&gt;=150),0.12,0)+IF(AND(V1509&gt;=40,V1509&lt;75,W1509&lt;35),0.3,0)+IF(AND(V1509&gt;=40,V1509&lt;75,W1509&gt;=35,W1509&lt;75),0.23,0)+IF(AND(V1509&gt;=40,V1509&lt;75,W1509&gt;=75,W1509&lt;120),0.17,0)+IF(AND(V1509&gt;=40,V1509&lt;75,W1509&gt;=120),0.12,0)+IF(AND(V1509&gt;=75,V1509&lt;175,W1509&lt;35),0.3,0)+IF(AND(V1509&gt;=75,V1509&lt;=175,W1509&gt;=35,W1509&lt;65),0.23,0)+IF(AND(V1509&gt;=75,V1509&lt;=175,W1509&gt;=65,W1509&lt;110),0.17,0)+IF(AND(V1509&gt;=75,V1509&lt;=175,W1509&gt;=110),0.12,0)+IF(AND(V1509&gt;175,W1509&lt;25),0.3,0)+IF(AND(V1509&gt;175,W1509&gt;=25,W1509&lt;55),0.23,0)+IF(AND(V1509&gt;175,W1509&gt;=55,W1509&lt;95),0.17,0)+IF(AND(V1509&gt;175,W1509&gt;=95),0.12,0),
IF(AF1509="DoEVsu",IF(AND(V1509&lt;20,W1509&lt;55),0.3,0)+IF(AND(V1509&lt;20,W1509&gt;=55,W1509&lt;105),0.23,0)+IF(AND(V1509&lt;20,W1509&gt;=105),0.17,0)+IF(AND(V1509&gt;=20,V1509&lt;40,W1509&lt;45),0.3,0)+IF(AND(V1509&gt;=20,V1509&lt;40,W1509&gt;=45,W1509&lt;95),0.23,0)+IF(AND(V1509&gt;=20,V1509&lt;40,W1509&gt;=95,W1509&lt;=250),0.17,0)+IF(AND(V1509&gt;=20,V1509&lt;40,W1509&gt;=250),0.12,0)+IF(AND(V1509&gt;=40,V1509&lt;75,W1509&lt;35),0.3,0)+IF(AND(V1509&gt;=40,V1509&lt;75,W1509&gt;=35,W1509&lt;75),0.23,0)+IF(AND(V1509&gt;=40,V1509&lt;75,W1509&gt;=75,W1509&lt;120),0.17,0)+IF(AND(V1509&gt;=40,V1509&lt;75,W1509&gt;=120),0.12,0)+IF(AND(V1509&gt;=75,V1509&lt;175,W1509&lt;35),0.3,0)+IF(AND(V1509&gt;=75,V1509&lt;=175,W1509&gt;=35,W1509&lt;65),0.23,0)+IF(AND(V1509&gt;=75,V1509&lt;=175,W1509&gt;=65,W1509&lt;110),0.17,0)+IF(AND(V1509&gt;=75,V1509&lt;=175,W1509&gt;=110),0.12,0)+IF(AND(V1509&gt;175,W1509&lt;25),0.3,0)+IF(AND(V1509&gt;175,W1509&gt;=25,W1509&lt;55),0.23,0)+IF(AND(V1509&gt;175,W1509&gt;=55,W1509&lt;95),0.17,0)+IF(AND(V1509&gt;175,W1509&gt;=95),0.12,0),
IF(AF1509="DoEVni",IF(AND(V1509&lt;20,W1509&lt;55),0.3,0)+IF(AND(V1509&lt;20,W1509&gt;=55,W1509&lt;105),0.23,0)+IF(AND(V1509&lt;20,W1509&gt;=105),0.17,0)+IF(AND(V1509&gt;=20,V1509&lt;40,W1509&lt;45),0.3,0)+IF(AND(V1509&gt;=20,V1509&lt;40,W1509&gt;=45,W1509&lt;95),0.23,0)+IF(AND(V1509&gt;=20,V1509&lt;40,W1509&gt;=95,W1509&lt;=200),0.17,0)+IF(AND(V1509&gt;=20,V1509&lt;40,W1509&gt;=200),0.12,0)+IF(AND(V1509&gt;=40,V1509&lt;75,W1509&lt;35),0.3,0)+IF(AND(V1509&gt;=40,V1509&lt;75,W1509&gt;=35,W1509&lt;75),0.23,0)+IF(AND(V1509&gt;=40,V1509&lt;75,W1509&gt;=75,W1509&lt;120),0.17,0)+IF(AND(V1509&gt;=40,V1509&lt;75,W1509&gt;=120),0.12,0)+IF(AND(V1509&gt;=75,V1509&lt;175,W1509&lt;35),0.3,0)+IF(AND(V1509&gt;=75,V1509&lt;=175,W1509&gt;=35,W1509&lt;65),0.23,0)+IF(AND(V1509&gt;=75,V1509&lt;=175,W1509&gt;=65,W1509&lt;110),0.17,0)+IF(AND(V1509&gt;=75,V1509&lt;=175,W1509&gt;=110),0.12,0)+IF(AND(V1509&gt;175,W1509&lt;25),0.3,0)+IF(AND(V1509&gt;175,W1509&gt;=25,W1509&lt;55),0.23,0)+IF(AND(V1509&gt;175,W1509&gt;=55,W1509&lt;95),0.17,0)+IF(AND(V1509&gt;175,W1509&gt;=95),0.12,0),
IF(AF1509="DoEVLo",IF(AND(V1509&lt;20,W1509&lt;55),0.25,0)+IF(AND(V1509&lt;20,W1509&gt;=55,W1509&lt;105),0.2,0)+IF(AND(V1509&lt;20,W1509&gt;=105),0.15,0)+IF(AND(V1509&gt;=20,V1509&lt;40,W1509&lt;45),0.25,0)+IF(AND(V1509&gt;=20,V1509&lt;40,W1509&gt;=45,W1509&lt;95),0.2,0)+IF(AND(V1509&gt;=20,V1509&lt;40,W1509&gt;=95),0.15,0)+IF(AND(V1509&gt;=40,V1509&lt;75,W1509&lt;35),0.25,0)+IF(AND(V1509&gt;=40,V1509&lt;75,W1509&gt;=35,W1509&lt;75),0.2,0)+IF(AND(V1509&gt;=40,V1509&lt;75,W1509&gt;=75,W1509&lt;120),0.15,0)+IF(AND(V1509&gt;=40,V1509&lt;75,W1509&gt;=120),0.1,0)+IF(AND(V1509&gt;=75,V1509&lt;175,W1509&lt;35),0.25,0)+IF(AND(V1509&gt;=75,V1509&lt;=175,W1509&gt;=35,W1509&lt;65),0.2,0)+IF(AND(V1509&gt;=75,V1509&lt;=175,W1509&gt;=65,W1509&lt;110),0.15,0)+IF(AND(V1509&gt;=75,V1509&lt;=175,W1509&gt;=110),0.1,0)+IF(AND(V1509&gt;175,W1509&lt;25),0.25,0)+IF(AND(V1509&gt;175,W1509&gt;=25,W1509&lt;55),0.2,0)+IF(AND(V1509&gt;175,W1509&gt;=55,W1509&lt;95),0.15,0)+IF(AND(V1509&gt;175,W1509&gt;=95),0.1,0))))))))))))))))))))</f>
        <v>0.17</v>
      </c>
      <c r="Y1509" s="30">
        <f>IF(AG1509="None",0,IF(AG1509="Fix5",0.05, IF(AG1509="Fix6.25",0.0625,IF(AG1509="Fix3.75",0.0375, IF(AG1509="Fix11",0.11, IF(AG1509="Fix10",0.1,IF(AG1509="Fix3",0.03,0)))))))</f>
        <v>0.1</v>
      </c>
      <c r="Z1509" s="35">
        <f>IF(AND(AD1509="EUR", AE1509 = "USD"), T1509*U1509-AA1509-AB1509, T1509-AA1509-AB1509)</f>
        <v>-36.5</v>
      </c>
      <c r="AA1509" s="29">
        <f>IF(AND(AD1509="EUR", F1509="Without EV deal", AE1509="USD"), (T1509*X1509)*U1509,
IF(AND(AD1509="EUR", F1509="Without EV deal", AE1509="EUR"), (T1509*X1509),
IF(AND(AD1509="EUR",AE1509="USD"), (T1509*X1509)*U1509,
T1509*X1509)))</f>
        <v>-8.5</v>
      </c>
      <c r="AB1509" s="36">
        <f>IF(AND(AD1509="EUR", F1509="Without EV deal", AE1509="USD"), (T1509*Y1509)*U1509,
IF(AND(AD1509="EUR", F1509="Without EV deal", AE1509="EUR"), (T1509*Y1509),
IF(AND(AD1509="EUR",AE1509="USD"), (T1509*Y1509)*U1509,
T1509*Y1509)))</f>
        <v>-5</v>
      </c>
      <c r="AC1509" s="37" t="b">
        <v>1</v>
      </c>
      <c r="AD1509" s="82" t="str">
        <f>IF(OR(H1509="€0.25 Flash",
H1509="€0.25(nitro) new",
H1509="€1",
H1509="€2",
H1509="€2 (bf 01.08)",
H1509="€5",
H1509="€5 (1M)",
H1509="€5 (bf 01.08)",
H1509="€5 (bf 05.05)",
H1509="€5 Nitro",
H1509="€5(wx) new",
H1509="€10",
H1509="€10 (1M)",
H1509="€10 (bf 01.08)",
H1509="€10 (bf 05.05)",
H1509="€10 (MP)",
H1509="€10 (old)",
H1509="€10 Nitro (bf 05.05)",
H1509="€10 Nitro (old)",
H1509="€10(wx) new",
H1509="€20",
H1509="€25",
H1509="€25 (bf 01.08)",
H1509="€25 (bf 05.05)",
H1509="€25 (MP)",
H1509="€25 (old)",
H1509="€25 Nitro",
H1509="€25 Nitro (bf 01.08)",
H1509="€25 Nitro (bf 05.05)",
H1509="€25(nitro) new",
H1509="€25(wx) new",
H1509="€50",
H1509="€50 (bf 01.08)",
H1509="€50 (bf 05.05)",
H1509="€50 (old)",
H1509="€50 Nitro",
H1509="€50 Nitro (bf 01.08)",
H1509="€50 Nitro (bf 05.05)",
H1509="€50(wx) new",
H1509="€100",
H1509="€100 (old)",
H1509="€100 Nitro",
H1509="€100 Nitro (old)",
H1509="€200",
H1509="€250",
H1509="€250 Nitro",
H1509="€500",
H1509="€500 Nitro"),"EUR", "USD")</f>
        <v>USD</v>
      </c>
      <c r="AE1509" s="83" t="s">
        <v>38</v>
      </c>
      <c r="AF1509" s="83" t="str">
        <f t="array" ref="AF1509">INDEX('Deal Info'!D:D, MATCH(A1509,'Deal Info'!A:A, 0))</f>
        <v>DoEV</v>
      </c>
      <c r="AG1509" s="84" t="str">
        <f t="array" ref="AG1509">INDEX('Deal Info'!G:G, MATCH(A1509,'Deal Info'!A:A, 0))</f>
        <v>Fix10</v>
      </c>
    </row>
    <row r="1510" spans="1:33" ht="14.25" hidden="1" x14ac:dyDescent="0.2">
      <c r="A1510" s="18" t="str">
        <f t="array" ref="A1510">IF(G1510='Room Info'!$B$1, INDEX('Room Info'!$A$2:$A2446, MATCH(B1510,'Room Info'!$B$2:$B2446, 0)),IF(G1510='Room Info'!$C$1, INDEX('Room Info'!$A$2:$A2446, MATCH(B1510,'Room Info'!$C$2:$C2446, 0)),IF(G1510='Room Info'!$D$1, INDEX('Room Info'!$A$2:$A2446, MATCH(B1510,'Room Info'!$D$2:$D2446, 0)),IF(G1510='Room Info'!$E$1, INDEX('Room Info'!$A$2:$A2446, MATCH(B1510,'Room Info'!$E$2:$E2446, 0)),IF(G1510='Room Info'!$F$1, INDEX('Room Info'!$A$2:$A2446, MATCH(B1510,'Room Info'!$F$2:$F2446, 0)),IF(G1510='Room Info'!$H$1, INDEX('Room Info'!$A$2:$A2446, MATCH(B1510,'Room Info'!$H$2:$H2446, 0)),IF(G1510='Room Info'!$G$1, INDEX('Room Info'!$A$2:$A2446, MATCH(B1510,'Room Info'!$G$2:$G2446, 0)))))))))</f>
        <v>DepositBeast</v>
      </c>
      <c r="B1510" s="54" t="s">
        <v>226</v>
      </c>
      <c r="C1510" s="77">
        <v>44958</v>
      </c>
      <c r="D1510" s="77">
        <v>44985</v>
      </c>
      <c r="E1510" s="21">
        <v>44958</v>
      </c>
      <c r="F1510" s="45" t="s">
        <v>49</v>
      </c>
      <c r="G1510" s="18" t="s">
        <v>35</v>
      </c>
      <c r="H1510" s="49" t="s">
        <v>46</v>
      </c>
      <c r="I1510" s="23" t="s">
        <v>37</v>
      </c>
      <c r="J1510" s="39">
        <v>25</v>
      </c>
      <c r="K1510" s="51">
        <v>3028</v>
      </c>
      <c r="L1510" s="52">
        <v>-50</v>
      </c>
      <c r="M1510" s="53">
        <v>3452</v>
      </c>
      <c r="N1510" s="28">
        <f>K1510*J1510</f>
        <v>75700</v>
      </c>
      <c r="O1510" s="65">
        <f>3028*25</f>
        <v>75700</v>
      </c>
      <c r="P1510" s="29">
        <v>25</v>
      </c>
      <c r="Q1510" s="55"/>
      <c r="R1510" s="31">
        <f>M1510+Q1510*J1510*K1510*0.07</f>
        <v>3452</v>
      </c>
      <c r="S1510" s="56">
        <f>-1336</f>
        <v>-1336</v>
      </c>
      <c r="T1510" s="32">
        <f>IF(AND(AD1510="EUR", F1510="Without EV deal"), R1510 + L1510,
IF(AND(AD1510="USD", F1510="Without EV deal"), R1510 + L1510,
IF(AND(AD1510="EUR", F1510="Steel Phoenix"), R1510 + S1510/U1510,
R1510 + S1510)))</f>
        <v>2116</v>
      </c>
      <c r="U1510" s="57"/>
      <c r="V1510" s="69">
        <v>26.842507645259939</v>
      </c>
      <c r="W1510" s="69">
        <v>56.850128168612933</v>
      </c>
      <c r="X1510" s="30">
        <f>IF(AF1510="DoEV",IF(AND(V1510&lt;20,W1510&lt;55),0.3,0)+IF(AND(V1510&lt;20,W1510&gt;=55,W1510&lt;105),0.23,0)+IF(AND(V1510&lt;20,W1510&gt;=105),0.17,0)+IF(AND(V1510&gt;=20,V1510&lt;40,W1510&lt;45),0.3,0)+IF(AND(V1510&gt;=20,V1510&lt;40,W1510&gt;=45,W1510&lt;95),0.23,0)+IF(AND(V1510&gt;=20,V1510&lt;40,W1510&gt;=95),0.17,0)+IF(AND(V1510&gt;=40,V1510&lt;75,W1510&lt;35),0.3,0)+IF(AND(V1510&gt;=40,V1510&lt;75,W1510&gt;=35,W1510&lt;75),0.23,0)+IF(AND(V1510&gt;=40,V1510&lt;75,W1510&gt;=75,W1510&lt;120),0.17,0)+IF(AND(V1510&gt;=40,V1510&lt;75,W1510&gt;=120),0.12,0)+IF(AND(V1510&gt;=75,V1510&lt;175,W1510&lt;35),0.3,0)+IF(AND(V1510&gt;=75,V1510&lt;=175,W1510&gt;=35,W1510&lt;65),0.23,0)+IF(AND(V1510&gt;=75,V1510&lt;=175,W1510&gt;=65,W1510&lt;110),0.17,0)+IF(AND(V1510&gt;=75,V1510&lt;=175,W1510&gt;=110),0.12,0)+IF(AND(V1510&gt;175,W1510&lt;25),0.3,0)+IF(AND(V1510&gt;175,W1510&gt;=25,W1510&lt;55),0.23,0)+IF(AND(V1510&gt;175,W1510&gt;=55,W1510&lt;95),0.17,0)+IF(AND(V1510&gt;175,W1510&gt;=95),0.12,0),
IF(AF1510="Fix15",0.15,
IF(AF1510="Fix5",0.05,
IF(AF1510="Fix18.75",0.1875,
IF(AF1510="Fix11.25",0.1125,
IF(AF1510="Fix10",0.1,
IF(AF1510="Fix9",0.09,
IF(AF1510="Fix12",0.12,
IF(AF1510="Fix19",0.19,
IF(AF1510="DoEV2017",IF(AND(W1510&lt;74),0.2,0)+IF(AND(W1510&gt;=74),0.17,0),
IF(AF1510="SF",IF(AND(V1510&lt;20,W1510&lt;89),0.3,0)+IF(AND(V1510&lt;20,W1510&gt;=89),0.25,0)+IF(AND(V1510&gt;=20,V1510&lt;40,W1510&lt;74),0.3,0)+IF(AND(V1510&gt;=20,V1510&lt;40,W1510&gt;=75),0.22,0)+IF(AND(V1510&gt;=40,V1510&lt;75,W1510&lt;75),0.26,0)+IF(AND(V1510&gt;=40,V1510&lt;75,W1510&gt;=75),0.22,0)+IF(V1510&gt;=75,0.22,0),
IF(AF1510="DoEVold",IF(AND(V1510&lt;40,W1510&lt;35),0.35,0)+IF(AND(V1510&lt;40,W1510&gt;=35,W1510&lt;75),0.25,0)+IF(AND(V1510&lt;40,W1510&gt;=75),0.17,0)+IF(AND(V1510&gt;=40,V1510&lt;75,W1510&lt;25),0.35,0)+IF(AND(V1510&gt;=40,V1510&lt;75,W1510&gt;=25,W1510&lt;65),0.25,0)+IF(AND(V1510&gt;=40,V1510&lt;75,W1510&gt;=65,W1510&lt;100),0.17,0)+IF(AND(V1510&gt;=40,V1510&lt;75,W1510&gt;=100),0.1,0)+IF(AND(V1510&gt;=75,W1510&lt;25),0.35,0)+IF(AND(V1510&gt;=75,W1510&gt;=25,W1510&lt;60),0.25,0)+IF(AND(V1510&gt;=75,W1510&gt;=60,W1510&lt;95),0.17,0)+IF(AND(V1510&gt;=75,W1510&gt;=95),0.1,0),
IF(AF1510="DoEVold15",IF(AND(V1510&lt;=40,W1510&lt;35),0.35,0)+IF(AND(V1510&lt;=40,W1510&gt;=35,W1510&lt;75),0.25,0)+IF(AND(V1510&lt;=40,W1510&gt;=75,W1510&lt;120),0.17,0)+IF(AND(V1510&lt;=40,W1510&gt;=120),0.15,0)+IF(AND(V1510&gt;40,V1510&lt;75,W1510&lt;25),0.35,0)+IF(AND(V1510&gt;=40,V1510&lt;75,W1510&gt;=25,W1510&lt;65),0.25,0)+IF(AND(V1510&gt;=40,V1510&lt;75,W1510&gt;=65,W1510&lt;100),0.17,0)+IF(AND(V1510&gt;=40,V1510&lt;75,W1510&gt;=100),0.1,0)+IF(AND(V1510&gt;=75,W1510&lt;25),0.35,0)+IF(AND(V1510&gt;=75,W1510&gt;=25,W1510&lt;60),0.25,0)+IF(AND(V1510&gt;=75,W1510&gt;=60,W1510&lt;95),0.17,0)+IF(AND(V1510&gt;=75,W1510&gt;=95),0.1,0),
IF(AF1510="DoEVba",IF(AND(V1510&lt;20,W1510&lt;105),0.2,0)+IF(AND(V1510&lt;20,W1510&gt;=105),0.15,0)+IF(AND(V1510&gt;=20,V1510&lt;40,W1510&lt;95),0.2,0)+IF(AND(V1510&gt;=20,V1510&lt;40,W1510&gt;=95,W1510&lt;150),0.15,0)+IF(AND(V1510&gt;=20,V1510&lt;40,W1510&gt;=150),0.12,0)+IF(AND(V1510&gt;=40,V1510&lt;75,W1510&lt;75),0.2,0)+IF(AND(V1510&gt;=40,V1510&lt;75,W1510&gt;=75,W1510&lt;120),0.15,0)+IF(AND(V1510&gt;=40,V1510&lt;75,W1510&gt;=120),0.12,0)+IF(AND(V1510&gt;=75,V1510&lt;175,W1510&lt;65),0.2,0)+IF(AND(V1510&gt;=75,V1510&lt;175,W1510&gt;=65,W1510&lt;110),0.15,0)+IF(AND(V1510&gt;=75,V1510&lt;175,W1510&gt;=110),0.12,0)+IF(AND(V1510&gt;=175,W1510&lt;55),0.2,0)+IF(AND(V1510&gt;=175,W1510&gt;=55,W1510&lt;95),0.15,0)+IF(AND(V1510&gt;=175,W1510&gt;=95),0.12,0),
IF(AF1510="DoEVku",IF(AND(V1510&lt;20,W1510&lt;55),0.23,0)+IF(AND(V1510&lt;20,W1510&gt;=55,W1510&lt;105),0.2,0)+IF(AND(V1510&lt;20,W1510&gt;=105),0.17,0)+IF(AND(V1510&gt;=20,V1510&lt;40,W1510&lt;45),0.23,0)+IF(AND(V1510&gt;=20,V1510&lt;40,W1510&gt;=45,W1510&lt;95),0.2,0)+IF(AND(V1510&gt;=20,V1510&lt;40,W1510&gt;=95,W1510&lt;=150),0.17,0)+IF(AND(V1510&gt;=20,V1510&lt;40,W1510&gt;=150),0.12,0)+IF(AND(V1510&gt;=40,V1510&lt;75,W1510&lt;35),0.23,0)+IF(AND(V1510&gt;=40,V1510&lt;75,W1510&gt;=35,W1510&lt;75),0.2,0)+IF(AND(V1510&gt;=40,V1510&lt;75,W1510&gt;=75,W1510&lt;120),0.17,0)+IF(AND(V1510&gt;=40,V1510&lt;75,W1510&gt;=120),0.12,0)+IF(AND(V1510&gt;=75,V1510&lt;175,W1510&lt;35),0.23,0)+IF(AND(V1510&gt;=75,V1510&lt;=175,W1510&gt;=35,W1510&lt;65),0.2,0)+IF(AND(V1510&gt;=75,V1510&lt;=175,W1510&gt;=65,W1510&lt;110),0.17,0)+IF(AND(V1510&gt;=75,V1510&lt;=175,W1510&gt;=110),0.12,0)+IF(AND(V1510&gt;175,W1510&lt;25),0.23,0)+IF(AND(V1510&gt;175,W1510&gt;=25,W1510&lt;55),0.2,0)+IF(AND(V1510&gt;175,W1510&gt;=55,W1510&lt;95),0.17,0)+IF(AND(V1510&gt;175,W1510&gt;=95),0.12,0),
IF(AF1510="DoEVs1",IF(AND(V1510&lt;20,W1510&lt;55),0.3,0)+IF(AND(V1510&lt;20,W1510&gt;=55,W1510&lt;105),0.23,0)+IF(AND(V1510&lt;20,W1510&gt;=105),0.17,0)+IF(AND(V1510&gt;=20,V1510&lt;40,W1510&lt;45),0.3,0)+IF(AND(V1510&gt;=20,V1510&lt;40,W1510&gt;=45,W1510&lt;95),0.23,0)+IF(AND(V1510&gt;=20,V1510&lt;40,W1510&gt;=95,W1510&lt;=150),0.17,0)+IF(AND(V1510&gt;=20,V1510&lt;40,W1510&gt;=150),0.12,0)+IF(AND(V1510&gt;=40,V1510&lt;75,W1510&lt;35),0.3,0)+IF(AND(V1510&gt;=40,V1510&lt;75,W1510&gt;=35,W1510&lt;75),0.23,0)+IF(AND(V1510&gt;=40,V1510&lt;75,W1510&gt;=75,W1510&lt;120),0.17,0)+IF(AND(V1510&gt;=40,V1510&lt;75,W1510&gt;=120),0.12,0)+IF(AND(V1510&gt;=75,V1510&lt;175,W1510&lt;35),0.3,0)+IF(AND(V1510&gt;=75,V1510&lt;=175,W1510&gt;=35,W1510&lt;65),0.23,0)+IF(AND(V1510&gt;=75,V1510&lt;=175,W1510&gt;=65,W1510&lt;110),0.17,0)+IF(AND(V1510&gt;=75,V1510&lt;=175,W1510&gt;=110),0.12,0)+IF(AND(V1510&gt;175,W1510&lt;25),0.3,0)+IF(AND(V1510&gt;175,W1510&gt;=25,W1510&lt;55),0.23,0)+IF(AND(V1510&gt;175,W1510&gt;=55,W1510&lt;95),0.17,0)+IF(AND(V1510&gt;175,W1510&gt;=95),0.12,0),
IF(AF1510="DoEVsu",IF(AND(V1510&lt;20,W1510&lt;55),0.3,0)+IF(AND(V1510&lt;20,W1510&gt;=55,W1510&lt;105),0.23,0)+IF(AND(V1510&lt;20,W1510&gt;=105),0.17,0)+IF(AND(V1510&gt;=20,V1510&lt;40,W1510&lt;45),0.3,0)+IF(AND(V1510&gt;=20,V1510&lt;40,W1510&gt;=45,W1510&lt;95),0.23,0)+IF(AND(V1510&gt;=20,V1510&lt;40,W1510&gt;=95,W1510&lt;=250),0.17,0)+IF(AND(V1510&gt;=20,V1510&lt;40,W1510&gt;=250),0.12,0)+IF(AND(V1510&gt;=40,V1510&lt;75,W1510&lt;35),0.3,0)+IF(AND(V1510&gt;=40,V1510&lt;75,W1510&gt;=35,W1510&lt;75),0.23,0)+IF(AND(V1510&gt;=40,V1510&lt;75,W1510&gt;=75,W1510&lt;120),0.17,0)+IF(AND(V1510&gt;=40,V1510&lt;75,W1510&gt;=120),0.12,0)+IF(AND(V1510&gt;=75,V1510&lt;175,W1510&lt;35),0.3,0)+IF(AND(V1510&gt;=75,V1510&lt;=175,W1510&gt;=35,W1510&lt;65),0.23,0)+IF(AND(V1510&gt;=75,V1510&lt;=175,W1510&gt;=65,W1510&lt;110),0.17,0)+IF(AND(V1510&gt;=75,V1510&lt;=175,W1510&gt;=110),0.12,0)+IF(AND(V1510&gt;175,W1510&lt;25),0.3,0)+IF(AND(V1510&gt;175,W1510&gt;=25,W1510&lt;55),0.23,0)+IF(AND(V1510&gt;175,W1510&gt;=55,W1510&lt;95),0.17,0)+IF(AND(V1510&gt;175,W1510&gt;=95),0.12,0),
IF(AF1510="DoEVni",IF(AND(V1510&lt;20,W1510&lt;55),0.3,0)+IF(AND(V1510&lt;20,W1510&gt;=55,W1510&lt;105),0.23,0)+IF(AND(V1510&lt;20,W1510&gt;=105),0.17,0)+IF(AND(V1510&gt;=20,V1510&lt;40,W1510&lt;45),0.3,0)+IF(AND(V1510&gt;=20,V1510&lt;40,W1510&gt;=45,W1510&lt;95),0.23,0)+IF(AND(V1510&gt;=20,V1510&lt;40,W1510&gt;=95,W1510&lt;=200),0.17,0)+IF(AND(V1510&gt;=20,V1510&lt;40,W1510&gt;=200),0.12,0)+IF(AND(V1510&gt;=40,V1510&lt;75,W1510&lt;35),0.3,0)+IF(AND(V1510&gt;=40,V1510&lt;75,W1510&gt;=35,W1510&lt;75),0.23,0)+IF(AND(V1510&gt;=40,V1510&lt;75,W1510&gt;=75,W1510&lt;120),0.17,0)+IF(AND(V1510&gt;=40,V1510&lt;75,W1510&gt;=120),0.12,0)+IF(AND(V1510&gt;=75,V1510&lt;175,W1510&lt;35),0.3,0)+IF(AND(V1510&gt;=75,V1510&lt;=175,W1510&gt;=35,W1510&lt;65),0.23,0)+IF(AND(V1510&gt;=75,V1510&lt;=175,W1510&gt;=65,W1510&lt;110),0.17,0)+IF(AND(V1510&gt;=75,V1510&lt;=175,W1510&gt;=110),0.12,0)+IF(AND(V1510&gt;175,W1510&lt;25),0.3,0)+IF(AND(V1510&gt;175,W1510&gt;=25,W1510&lt;55),0.23,0)+IF(AND(V1510&gt;175,W1510&gt;=55,W1510&lt;95),0.17,0)+IF(AND(V1510&gt;175,W1510&gt;=95),0.12,0),
IF(AF1510="DoEVLo",IF(AND(V1510&lt;20,W1510&lt;55),0.25,0)+IF(AND(V1510&lt;20,W1510&gt;=55,W1510&lt;105),0.2,0)+IF(AND(V1510&lt;20,W1510&gt;=105),0.15,0)+IF(AND(V1510&gt;=20,V1510&lt;40,W1510&lt;45),0.25,0)+IF(AND(V1510&gt;=20,V1510&lt;40,W1510&gt;=45,W1510&lt;95),0.2,0)+IF(AND(V1510&gt;=20,V1510&lt;40,W1510&gt;=95),0.15,0)+IF(AND(V1510&gt;=40,V1510&lt;75,W1510&lt;35),0.25,0)+IF(AND(V1510&gt;=40,V1510&lt;75,W1510&gt;=35,W1510&lt;75),0.2,0)+IF(AND(V1510&gt;=40,V1510&lt;75,W1510&gt;=75,W1510&lt;120),0.15,0)+IF(AND(V1510&gt;=40,V1510&lt;75,W1510&gt;=120),0.1,0)+IF(AND(V1510&gt;=75,V1510&lt;175,W1510&lt;35),0.25,0)+IF(AND(V1510&gt;=75,V1510&lt;=175,W1510&gt;=35,W1510&lt;65),0.2,0)+IF(AND(V1510&gt;=75,V1510&lt;=175,W1510&gt;=65,W1510&lt;110),0.15,0)+IF(AND(V1510&gt;=75,V1510&lt;=175,W1510&gt;=110),0.1,0)+IF(AND(V1510&gt;175,W1510&lt;25),0.25,0)+IF(AND(V1510&gt;175,W1510&gt;=25,W1510&lt;55),0.2,0)+IF(AND(V1510&gt;175,W1510&gt;=55,W1510&lt;95),0.15,0)+IF(AND(V1510&gt;175,W1510&gt;=95),0.1,0))))))))))))))))))))</f>
        <v>0.23</v>
      </c>
      <c r="Y1510" s="30">
        <f>IF(AG1510="None",0,IF(AG1510="Fix5",0.05, IF(AG1510="Fix6.25",0.0625,IF(AG1510="Fix3.75",0.0375, IF(AG1510="Fix11",0.11, IF(AG1510="Fix10",0.1,IF(AG1510="Fix3",0.03,0)))))))</f>
        <v>0</v>
      </c>
      <c r="Z1510" s="35">
        <f>IF(AND(AD1510="EUR", AE1510 = "USD"), T1510*U1510-AA1510-AB1510, T1510-AA1510-AB1510)</f>
        <v>1629.32</v>
      </c>
      <c r="AA1510" s="29">
        <f>IF(AND(AD1510="EUR", F1510="Without EV deal", AE1510="USD"), (T1510*X1510)*U1510,
IF(AND(AD1510="EUR", F1510="Without EV deal", AE1510="EUR"), (T1510*X1510),
IF(AND(AD1510="EUR",AE1510="USD"), (T1510*X1510)*U1510,
T1510*X1510)))</f>
        <v>486.68</v>
      </c>
      <c r="AB1510" s="36">
        <f>IF(AND(AD1510="EUR", F1510="Without EV deal", AE1510="USD"), (T1510*Y1510)*U1510,
IF(AND(AD1510="EUR", F1510="Without EV deal", AE1510="EUR"), (T1510*Y1510),
IF(AND(AD1510="EUR",AE1510="USD"), (T1510*Y1510)*U1510,
T1510*Y1510)))</f>
        <v>0</v>
      </c>
      <c r="AC1510" s="37" t="b">
        <v>1</v>
      </c>
      <c r="AD1510" s="82" t="str">
        <f>IF(OR(H1510="€0.25 Flash",
H1510="€0.25(nitro) new",
H1510="€1",
H1510="€2",
H1510="€2 (bf 01.08)",
H1510="€5",
H1510="€5 (1M)",
H1510="€5 (bf 01.08)",
H1510="€5 (bf 05.05)",
H1510="€5 Nitro",
H1510="€5(wx) new",
H1510="€10",
H1510="€10 (1M)",
H1510="€10 (bf 01.08)",
H1510="€10 (bf 05.05)",
H1510="€10 (MP)",
H1510="€10 (old)",
H1510="€10 Nitro (bf 05.05)",
H1510="€10 Nitro (old)",
H1510="€10(wx) new",
H1510="€20",
H1510="€25",
H1510="€25 (bf 01.08)",
H1510="€25 (bf 05.05)",
H1510="€25 (MP)",
H1510="€25 (old)",
H1510="€25 Nitro",
H1510="€25 Nitro (bf 01.08)",
H1510="€25 Nitro (bf 05.05)",
H1510="€25(nitro) new",
H1510="€25(wx) new",
H1510="€50",
H1510="€50 (bf 01.08)",
H1510="€50 (bf 05.05)",
H1510="€50 (old)",
H1510="€50 Nitro",
H1510="€50 Nitro (bf 01.08)",
H1510="€50 Nitro (bf 05.05)",
H1510="€50(wx) new",
H1510="€100",
H1510="€100 (old)",
H1510="€100 Nitro",
H1510="€100 Nitro (old)",
H1510="€200",
H1510="€250",
H1510="€250 Nitro",
H1510="€500",
H1510="€500 Nitro"),"EUR", "USD")</f>
        <v>USD</v>
      </c>
      <c r="AE1510" s="83" t="s">
        <v>38</v>
      </c>
      <c r="AF1510" s="83" t="str">
        <f t="array" ref="AF1510">INDEX('Deal Info'!D:D, MATCH(A1510,'Deal Info'!A:A, 0))</f>
        <v>DoEV</v>
      </c>
      <c r="AG1510" s="84" t="str">
        <f t="array" ref="AG1510">INDEX('Deal Info'!G:G, MATCH(A1510,'Deal Info'!A:A, 0))</f>
        <v>None</v>
      </c>
    </row>
    <row r="1511" spans="1:33" ht="14.25" hidden="1" x14ac:dyDescent="0.2">
      <c r="A1511" s="18" t="str">
        <f t="array" ref="A1511">IF(G1511='Room Info'!$B$1, INDEX('Room Info'!$A$2:$A2446, MATCH(B1511,'Room Info'!$B$2:$B2446, 0)),IF(G1511='Room Info'!$C$1, INDEX('Room Info'!$A$2:$A2446, MATCH(B1511,'Room Info'!$C$2:$C2446, 0)),IF(G1511='Room Info'!$D$1, INDEX('Room Info'!$A$2:$A2446, MATCH(B1511,'Room Info'!$D$2:$D2446, 0)),IF(G1511='Room Info'!$E$1, INDEX('Room Info'!$A$2:$A2446, MATCH(B1511,'Room Info'!$E$2:$E2446, 0)),IF(G1511='Room Info'!$F$1, INDEX('Room Info'!$A$2:$A2446, MATCH(B1511,'Room Info'!$F$2:$F2446, 0)),IF(G1511='Room Info'!$H$1, INDEX('Room Info'!$A$2:$A2446, MATCH(B1511,'Room Info'!$H$2:$H2446, 0)),IF(G1511='Room Info'!$G$1, INDEX('Room Info'!$A$2:$A2446, MATCH(B1511,'Room Info'!$G$2:$G2446, 0)))))))))</f>
        <v>DepositBeast</v>
      </c>
      <c r="B1511" s="54" t="s">
        <v>226</v>
      </c>
      <c r="C1511" s="77">
        <v>44958</v>
      </c>
      <c r="D1511" s="77">
        <v>44985</v>
      </c>
      <c r="E1511" s="21">
        <v>44958</v>
      </c>
      <c r="F1511" s="22" t="s">
        <v>41</v>
      </c>
      <c r="G1511" s="18" t="s">
        <v>35</v>
      </c>
      <c r="H1511" s="49" t="s">
        <v>87</v>
      </c>
      <c r="I1511" s="49" t="s">
        <v>44</v>
      </c>
      <c r="J1511" s="39">
        <v>25</v>
      </c>
      <c r="K1511" s="51">
        <v>1</v>
      </c>
      <c r="L1511" s="107">
        <v>-25</v>
      </c>
      <c r="M1511" s="62"/>
      <c r="N1511" s="28">
        <f>K1511*J1511</f>
        <v>25</v>
      </c>
      <c r="O1511" s="128"/>
      <c r="P1511" s="29">
        <v>0</v>
      </c>
      <c r="Q1511" s="55"/>
      <c r="R1511" s="31">
        <f>M1511+Q1511*J1511*K1511*0.07</f>
        <v>0</v>
      </c>
      <c r="S1511" s="118"/>
      <c r="T1511" s="32">
        <f>IF(AND(AD1511="EUR", F1511="Without EV deal"), R1511 + L1511,
IF(AND(AD1511="USD", F1511="Without EV deal"), R1511 + L1511,
IF(AND(AD1511="EUR", F1511="Steel Phoenix"), R1511 + S1511/U1511,
R1511 + S1511)))</f>
        <v>-25</v>
      </c>
      <c r="U1511" s="57"/>
      <c r="V1511" s="69">
        <v>26.842507645259939</v>
      </c>
      <c r="W1511" s="69">
        <v>56.850128168612933</v>
      </c>
      <c r="X1511" s="30">
        <f>IF(AF1511="DoEV",IF(AND(V1511&lt;20,W1511&lt;55),0.3,0)+IF(AND(V1511&lt;20,W1511&gt;=55,W1511&lt;105),0.23,0)+IF(AND(V1511&lt;20,W1511&gt;=105),0.17,0)+IF(AND(V1511&gt;=20,V1511&lt;40,W1511&lt;45),0.3,0)+IF(AND(V1511&gt;=20,V1511&lt;40,W1511&gt;=45,W1511&lt;95),0.23,0)+IF(AND(V1511&gt;=20,V1511&lt;40,W1511&gt;=95),0.17,0)+IF(AND(V1511&gt;=40,V1511&lt;75,W1511&lt;35),0.3,0)+IF(AND(V1511&gt;=40,V1511&lt;75,W1511&gt;=35,W1511&lt;75),0.23,0)+IF(AND(V1511&gt;=40,V1511&lt;75,W1511&gt;=75,W1511&lt;120),0.17,0)+IF(AND(V1511&gt;=40,V1511&lt;75,W1511&gt;=120),0.12,0)+IF(AND(V1511&gt;=75,V1511&lt;175,W1511&lt;35),0.3,0)+IF(AND(V1511&gt;=75,V1511&lt;=175,W1511&gt;=35,W1511&lt;65),0.23,0)+IF(AND(V1511&gt;=75,V1511&lt;=175,W1511&gt;=65,W1511&lt;110),0.17,0)+IF(AND(V1511&gt;=75,V1511&lt;=175,W1511&gt;=110),0.12,0)+IF(AND(V1511&gt;175,W1511&lt;25),0.3,0)+IF(AND(V1511&gt;175,W1511&gt;=25,W1511&lt;55),0.23,0)+IF(AND(V1511&gt;175,W1511&gt;=55,W1511&lt;95),0.17,0)+IF(AND(V1511&gt;175,W1511&gt;=95),0.12,0),
IF(AF1511="Fix15",0.15,
IF(AF1511="Fix5",0.05,
IF(AF1511="Fix18.75",0.1875,
IF(AF1511="Fix11.25",0.1125,
IF(AF1511="Fix10",0.1,
IF(AF1511="Fix9",0.09,
IF(AF1511="Fix12",0.12,
IF(AF1511="Fix19",0.19,
IF(AF1511="DoEV2017",IF(AND(W1511&lt;74),0.2,0)+IF(AND(W1511&gt;=74),0.17,0),
IF(AF1511="SF",IF(AND(V1511&lt;20,W1511&lt;89),0.3,0)+IF(AND(V1511&lt;20,W1511&gt;=89),0.25,0)+IF(AND(V1511&gt;=20,V1511&lt;40,W1511&lt;74),0.3,0)+IF(AND(V1511&gt;=20,V1511&lt;40,W1511&gt;=75),0.22,0)+IF(AND(V1511&gt;=40,V1511&lt;75,W1511&lt;75),0.26,0)+IF(AND(V1511&gt;=40,V1511&lt;75,W1511&gt;=75),0.22,0)+IF(V1511&gt;=75,0.22,0),
IF(AF1511="DoEVold",IF(AND(V1511&lt;40,W1511&lt;35),0.35,0)+IF(AND(V1511&lt;40,W1511&gt;=35,W1511&lt;75),0.25,0)+IF(AND(V1511&lt;40,W1511&gt;=75),0.17,0)+IF(AND(V1511&gt;=40,V1511&lt;75,W1511&lt;25),0.35,0)+IF(AND(V1511&gt;=40,V1511&lt;75,W1511&gt;=25,W1511&lt;65),0.25,0)+IF(AND(V1511&gt;=40,V1511&lt;75,W1511&gt;=65,W1511&lt;100),0.17,0)+IF(AND(V1511&gt;=40,V1511&lt;75,W1511&gt;=100),0.1,0)+IF(AND(V1511&gt;=75,W1511&lt;25),0.35,0)+IF(AND(V1511&gt;=75,W1511&gt;=25,W1511&lt;60),0.25,0)+IF(AND(V1511&gt;=75,W1511&gt;=60,W1511&lt;95),0.17,0)+IF(AND(V1511&gt;=75,W1511&gt;=95),0.1,0),
IF(AF1511="DoEVold15",IF(AND(V1511&lt;=40,W1511&lt;35),0.35,0)+IF(AND(V1511&lt;=40,W1511&gt;=35,W1511&lt;75),0.25,0)+IF(AND(V1511&lt;=40,W1511&gt;=75,W1511&lt;120),0.17,0)+IF(AND(V1511&lt;=40,W1511&gt;=120),0.15,0)+IF(AND(V1511&gt;40,V1511&lt;75,W1511&lt;25),0.35,0)+IF(AND(V1511&gt;=40,V1511&lt;75,W1511&gt;=25,W1511&lt;65),0.25,0)+IF(AND(V1511&gt;=40,V1511&lt;75,W1511&gt;=65,W1511&lt;100),0.17,0)+IF(AND(V1511&gt;=40,V1511&lt;75,W1511&gt;=100),0.1,0)+IF(AND(V1511&gt;=75,W1511&lt;25),0.35,0)+IF(AND(V1511&gt;=75,W1511&gt;=25,W1511&lt;60),0.25,0)+IF(AND(V1511&gt;=75,W1511&gt;=60,W1511&lt;95),0.17,0)+IF(AND(V1511&gt;=75,W1511&gt;=95),0.1,0),
IF(AF1511="DoEVba",IF(AND(V1511&lt;20,W1511&lt;105),0.2,0)+IF(AND(V1511&lt;20,W1511&gt;=105),0.15,0)+IF(AND(V1511&gt;=20,V1511&lt;40,W1511&lt;95),0.2,0)+IF(AND(V1511&gt;=20,V1511&lt;40,W1511&gt;=95,W1511&lt;150),0.15,0)+IF(AND(V1511&gt;=20,V1511&lt;40,W1511&gt;=150),0.12,0)+IF(AND(V1511&gt;=40,V1511&lt;75,W1511&lt;75),0.2,0)+IF(AND(V1511&gt;=40,V1511&lt;75,W1511&gt;=75,W1511&lt;120),0.15,0)+IF(AND(V1511&gt;=40,V1511&lt;75,W1511&gt;=120),0.12,0)+IF(AND(V1511&gt;=75,V1511&lt;175,W1511&lt;65),0.2,0)+IF(AND(V1511&gt;=75,V1511&lt;175,W1511&gt;=65,W1511&lt;110),0.15,0)+IF(AND(V1511&gt;=75,V1511&lt;175,W1511&gt;=110),0.12,0)+IF(AND(V1511&gt;=175,W1511&lt;55),0.2,0)+IF(AND(V1511&gt;=175,W1511&gt;=55,W1511&lt;95),0.15,0)+IF(AND(V1511&gt;=175,W1511&gt;=95),0.12,0),
IF(AF1511="DoEVku",IF(AND(V1511&lt;20,W1511&lt;55),0.23,0)+IF(AND(V1511&lt;20,W1511&gt;=55,W1511&lt;105),0.2,0)+IF(AND(V1511&lt;20,W1511&gt;=105),0.17,0)+IF(AND(V1511&gt;=20,V1511&lt;40,W1511&lt;45),0.23,0)+IF(AND(V1511&gt;=20,V1511&lt;40,W1511&gt;=45,W1511&lt;95),0.2,0)+IF(AND(V1511&gt;=20,V1511&lt;40,W1511&gt;=95,W1511&lt;=150),0.17,0)+IF(AND(V1511&gt;=20,V1511&lt;40,W1511&gt;=150),0.12,0)+IF(AND(V1511&gt;=40,V1511&lt;75,W1511&lt;35),0.23,0)+IF(AND(V1511&gt;=40,V1511&lt;75,W1511&gt;=35,W1511&lt;75),0.2,0)+IF(AND(V1511&gt;=40,V1511&lt;75,W1511&gt;=75,W1511&lt;120),0.17,0)+IF(AND(V1511&gt;=40,V1511&lt;75,W1511&gt;=120),0.12,0)+IF(AND(V1511&gt;=75,V1511&lt;175,W1511&lt;35),0.23,0)+IF(AND(V1511&gt;=75,V1511&lt;=175,W1511&gt;=35,W1511&lt;65),0.2,0)+IF(AND(V1511&gt;=75,V1511&lt;=175,W1511&gt;=65,W1511&lt;110),0.17,0)+IF(AND(V1511&gt;=75,V1511&lt;=175,W1511&gt;=110),0.12,0)+IF(AND(V1511&gt;175,W1511&lt;25),0.23,0)+IF(AND(V1511&gt;175,W1511&gt;=25,W1511&lt;55),0.2,0)+IF(AND(V1511&gt;175,W1511&gt;=55,W1511&lt;95),0.17,0)+IF(AND(V1511&gt;175,W1511&gt;=95),0.12,0),
IF(AF1511="DoEVs1",IF(AND(V1511&lt;20,W1511&lt;55),0.3,0)+IF(AND(V1511&lt;20,W1511&gt;=55,W1511&lt;105),0.23,0)+IF(AND(V1511&lt;20,W1511&gt;=105),0.17,0)+IF(AND(V1511&gt;=20,V1511&lt;40,W1511&lt;45),0.3,0)+IF(AND(V1511&gt;=20,V1511&lt;40,W1511&gt;=45,W1511&lt;95),0.23,0)+IF(AND(V1511&gt;=20,V1511&lt;40,W1511&gt;=95,W1511&lt;=150),0.17,0)+IF(AND(V1511&gt;=20,V1511&lt;40,W1511&gt;=150),0.12,0)+IF(AND(V1511&gt;=40,V1511&lt;75,W1511&lt;35),0.3,0)+IF(AND(V1511&gt;=40,V1511&lt;75,W1511&gt;=35,W1511&lt;75),0.23,0)+IF(AND(V1511&gt;=40,V1511&lt;75,W1511&gt;=75,W1511&lt;120),0.17,0)+IF(AND(V1511&gt;=40,V1511&lt;75,W1511&gt;=120),0.12,0)+IF(AND(V1511&gt;=75,V1511&lt;175,W1511&lt;35),0.3,0)+IF(AND(V1511&gt;=75,V1511&lt;=175,W1511&gt;=35,W1511&lt;65),0.23,0)+IF(AND(V1511&gt;=75,V1511&lt;=175,W1511&gt;=65,W1511&lt;110),0.17,0)+IF(AND(V1511&gt;=75,V1511&lt;=175,W1511&gt;=110),0.12,0)+IF(AND(V1511&gt;175,W1511&lt;25),0.3,0)+IF(AND(V1511&gt;175,W1511&gt;=25,W1511&lt;55),0.23,0)+IF(AND(V1511&gt;175,W1511&gt;=55,W1511&lt;95),0.17,0)+IF(AND(V1511&gt;175,W1511&gt;=95),0.12,0),
IF(AF1511="DoEVsu",IF(AND(V1511&lt;20,W1511&lt;55),0.3,0)+IF(AND(V1511&lt;20,W1511&gt;=55,W1511&lt;105),0.23,0)+IF(AND(V1511&lt;20,W1511&gt;=105),0.17,0)+IF(AND(V1511&gt;=20,V1511&lt;40,W1511&lt;45),0.3,0)+IF(AND(V1511&gt;=20,V1511&lt;40,W1511&gt;=45,W1511&lt;95),0.23,0)+IF(AND(V1511&gt;=20,V1511&lt;40,W1511&gt;=95,W1511&lt;=250),0.17,0)+IF(AND(V1511&gt;=20,V1511&lt;40,W1511&gt;=250),0.12,0)+IF(AND(V1511&gt;=40,V1511&lt;75,W1511&lt;35),0.3,0)+IF(AND(V1511&gt;=40,V1511&lt;75,W1511&gt;=35,W1511&lt;75),0.23,0)+IF(AND(V1511&gt;=40,V1511&lt;75,W1511&gt;=75,W1511&lt;120),0.17,0)+IF(AND(V1511&gt;=40,V1511&lt;75,W1511&gt;=120),0.12,0)+IF(AND(V1511&gt;=75,V1511&lt;175,W1511&lt;35),0.3,0)+IF(AND(V1511&gt;=75,V1511&lt;=175,W1511&gt;=35,W1511&lt;65),0.23,0)+IF(AND(V1511&gt;=75,V1511&lt;=175,W1511&gt;=65,W1511&lt;110),0.17,0)+IF(AND(V1511&gt;=75,V1511&lt;=175,W1511&gt;=110),0.12,0)+IF(AND(V1511&gt;175,W1511&lt;25),0.3,0)+IF(AND(V1511&gt;175,W1511&gt;=25,W1511&lt;55),0.23,0)+IF(AND(V1511&gt;175,W1511&gt;=55,W1511&lt;95),0.17,0)+IF(AND(V1511&gt;175,W1511&gt;=95),0.12,0),
IF(AF1511="DoEVni",IF(AND(V1511&lt;20,W1511&lt;55),0.3,0)+IF(AND(V1511&lt;20,W1511&gt;=55,W1511&lt;105),0.23,0)+IF(AND(V1511&lt;20,W1511&gt;=105),0.17,0)+IF(AND(V1511&gt;=20,V1511&lt;40,W1511&lt;45),0.3,0)+IF(AND(V1511&gt;=20,V1511&lt;40,W1511&gt;=45,W1511&lt;95),0.23,0)+IF(AND(V1511&gt;=20,V1511&lt;40,W1511&gt;=95,W1511&lt;=200),0.17,0)+IF(AND(V1511&gt;=20,V1511&lt;40,W1511&gt;=200),0.12,0)+IF(AND(V1511&gt;=40,V1511&lt;75,W1511&lt;35),0.3,0)+IF(AND(V1511&gt;=40,V1511&lt;75,W1511&gt;=35,W1511&lt;75),0.23,0)+IF(AND(V1511&gt;=40,V1511&lt;75,W1511&gt;=75,W1511&lt;120),0.17,0)+IF(AND(V1511&gt;=40,V1511&lt;75,W1511&gt;=120),0.12,0)+IF(AND(V1511&gt;=75,V1511&lt;175,W1511&lt;35),0.3,0)+IF(AND(V1511&gt;=75,V1511&lt;=175,W1511&gt;=35,W1511&lt;65),0.23,0)+IF(AND(V1511&gt;=75,V1511&lt;=175,W1511&gt;=65,W1511&lt;110),0.17,0)+IF(AND(V1511&gt;=75,V1511&lt;=175,W1511&gt;=110),0.12,0)+IF(AND(V1511&gt;175,W1511&lt;25),0.3,0)+IF(AND(V1511&gt;175,W1511&gt;=25,W1511&lt;55),0.23,0)+IF(AND(V1511&gt;175,W1511&gt;=55,W1511&lt;95),0.17,0)+IF(AND(V1511&gt;175,W1511&gt;=95),0.12,0),
IF(AF1511="DoEVLo",IF(AND(V1511&lt;20,W1511&lt;55),0.25,0)+IF(AND(V1511&lt;20,W1511&gt;=55,W1511&lt;105),0.2,0)+IF(AND(V1511&lt;20,W1511&gt;=105),0.15,0)+IF(AND(V1511&gt;=20,V1511&lt;40,W1511&lt;45),0.25,0)+IF(AND(V1511&gt;=20,V1511&lt;40,W1511&gt;=45,W1511&lt;95),0.2,0)+IF(AND(V1511&gt;=20,V1511&lt;40,W1511&gt;=95),0.15,0)+IF(AND(V1511&gt;=40,V1511&lt;75,W1511&lt;35),0.25,0)+IF(AND(V1511&gt;=40,V1511&lt;75,W1511&gt;=35,W1511&lt;75),0.2,0)+IF(AND(V1511&gt;=40,V1511&lt;75,W1511&gt;=75,W1511&lt;120),0.15,0)+IF(AND(V1511&gt;=40,V1511&lt;75,W1511&gt;=120),0.1,0)+IF(AND(V1511&gt;=75,V1511&lt;175,W1511&lt;35),0.25,0)+IF(AND(V1511&gt;=75,V1511&lt;=175,W1511&gt;=35,W1511&lt;65),0.2,0)+IF(AND(V1511&gt;=75,V1511&lt;=175,W1511&gt;=65,W1511&lt;110),0.15,0)+IF(AND(V1511&gt;=75,V1511&lt;=175,W1511&gt;=110),0.1,0)+IF(AND(V1511&gt;175,W1511&lt;25),0.25,0)+IF(AND(V1511&gt;175,W1511&gt;=25,W1511&lt;55),0.2,0)+IF(AND(V1511&gt;175,W1511&gt;=55,W1511&lt;95),0.15,0)+IF(AND(V1511&gt;175,W1511&gt;=95),0.1,0))))))))))))))))))))</f>
        <v>0.23</v>
      </c>
      <c r="Y1511" s="30">
        <f>IF(AG1511="None",0,IF(AG1511="Fix5",0.05, IF(AG1511="Fix6.25",0.0625,IF(AG1511="Fix3.75",0.0375, IF(AG1511="Fix11",0.11, IF(AG1511="Fix10",0.1,IF(AG1511="Fix3",0.03,0)))))))</f>
        <v>0</v>
      </c>
      <c r="Z1511" s="35">
        <f>IF(AND(AD1511="EUR", AE1511 = "USD"), T1511*U1511-AA1511-AB1511, T1511-AA1511-AB1511)</f>
        <v>-19.25</v>
      </c>
      <c r="AA1511" s="29">
        <f>IF(AND(AD1511="EUR", F1511="Without EV deal", AE1511="USD"), (T1511*X1511)*U1511,
IF(AND(AD1511="EUR", F1511="Without EV deal", AE1511="EUR"), (T1511*X1511),
IF(AND(AD1511="EUR",AE1511="USD"), (T1511*X1511)*U1511,
T1511*X1511)))</f>
        <v>-5.75</v>
      </c>
      <c r="AB1511" s="36">
        <f>IF(AND(AD1511="EUR", F1511="Without EV deal", AE1511="USD"), (T1511*Y1511)*U1511,
IF(AND(AD1511="EUR", F1511="Without EV deal", AE1511="EUR"), (T1511*Y1511),
IF(AND(AD1511="EUR",AE1511="USD"), (T1511*Y1511)*U1511,
T1511*Y1511)))</f>
        <v>0</v>
      </c>
      <c r="AC1511" s="37" t="b">
        <v>1</v>
      </c>
      <c r="AD1511" s="82" t="str">
        <f>IF(OR(H1511="€0.25 Flash",
H1511="€0.25(nitro) new",
H1511="€1",
H1511="€2",
H1511="€2 (bf 01.08)",
H1511="€5",
H1511="€5 (1M)",
H1511="€5 (bf 01.08)",
H1511="€5 (bf 05.05)",
H1511="€5 Nitro",
H1511="€5(wx) new",
H1511="€10",
H1511="€10 (1M)",
H1511="€10 (bf 01.08)",
H1511="€10 (bf 05.05)",
H1511="€10 (MP)",
H1511="€10 (old)",
H1511="€10 Nitro (bf 05.05)",
H1511="€10 Nitro (old)",
H1511="€10(wx) new",
H1511="€20",
H1511="€25",
H1511="€25 (bf 01.08)",
H1511="€25 (bf 05.05)",
H1511="€25 (MP)",
H1511="€25 (old)",
H1511="€25 Nitro",
H1511="€25 Nitro (bf 01.08)",
H1511="€25 Nitro (bf 05.05)",
H1511="€25(nitro) new",
H1511="€25(wx) new",
H1511="€50",
H1511="€50 (bf 01.08)",
H1511="€50 (bf 05.05)",
H1511="€50 (old)",
H1511="€50 Nitro",
H1511="€50 Nitro (bf 01.08)",
H1511="€50 Nitro (bf 05.05)",
H1511="€50(wx) new",
H1511="€100",
H1511="€100 (old)",
H1511="€100 Nitro",
H1511="€100 Nitro (old)",
H1511="€200",
H1511="€250",
H1511="€250 Nitro",
H1511="€500",
H1511="€500 Nitro"),"EUR", "USD")</f>
        <v>USD</v>
      </c>
      <c r="AE1511" s="83" t="s">
        <v>38</v>
      </c>
      <c r="AF1511" s="83" t="str">
        <f t="array" ref="AF1511">INDEX('Deal Info'!D:D, MATCH(A1511,'Deal Info'!A:A, 0))</f>
        <v>DoEV</v>
      </c>
      <c r="AG1511" s="84" t="str">
        <f t="array" ref="AG1511">INDEX('Deal Info'!G:G, MATCH(A1511,'Deal Info'!A:A, 0))</f>
        <v>None</v>
      </c>
    </row>
    <row r="1512" spans="1:33" ht="14.25" hidden="1" x14ac:dyDescent="0.2">
      <c r="A1512" s="18" t="str">
        <f t="array" ref="A1512">IF(G1512='Room Info'!$B$1, INDEX('Room Info'!$A$2:$A2446, MATCH(B1512,'Room Info'!$B$2:$B2446, 0)),IF(G1512='Room Info'!$C$1, INDEX('Room Info'!$A$2:$A2446, MATCH(B1512,'Room Info'!$C$2:$C2446, 0)),IF(G1512='Room Info'!$D$1, INDEX('Room Info'!$A$2:$A2446, MATCH(B1512,'Room Info'!$D$2:$D2446, 0)),IF(G1512='Room Info'!$E$1, INDEX('Room Info'!$A$2:$A2446, MATCH(B1512,'Room Info'!$E$2:$E2446, 0)),IF(G1512='Room Info'!$F$1, INDEX('Room Info'!$A$2:$A2446, MATCH(B1512,'Room Info'!$F$2:$F2446, 0)),IF(G1512='Room Info'!$H$1, INDEX('Room Info'!$A$2:$A2446, MATCH(B1512,'Room Info'!$H$2:$H2446, 0)),IF(G1512='Room Info'!$G$1, INDEX('Room Info'!$A$2:$A2446, MATCH(B1512,'Room Info'!$G$2:$G2446, 0)))))))))</f>
        <v>DepositBeast</v>
      </c>
      <c r="B1512" s="54" t="s">
        <v>226</v>
      </c>
      <c r="C1512" s="77">
        <v>44980</v>
      </c>
      <c r="D1512" s="77">
        <v>44985</v>
      </c>
      <c r="E1512" s="21">
        <v>44958</v>
      </c>
      <c r="F1512" s="45" t="s">
        <v>49</v>
      </c>
      <c r="G1512" s="18" t="s">
        <v>35</v>
      </c>
      <c r="H1512" s="49" t="s">
        <v>72</v>
      </c>
      <c r="I1512" s="23" t="s">
        <v>37</v>
      </c>
      <c r="J1512" s="39">
        <v>50</v>
      </c>
      <c r="K1512" s="51">
        <v>238</v>
      </c>
      <c r="L1512" s="107">
        <v>3350</v>
      </c>
      <c r="M1512" s="62"/>
      <c r="N1512" s="28">
        <f>K1512*J1512</f>
        <v>11900</v>
      </c>
      <c r="O1512" s="128">
        <f>5*241</f>
        <v>1205</v>
      </c>
      <c r="P1512" s="29">
        <v>5.0630252100000002</v>
      </c>
      <c r="Q1512" s="55"/>
      <c r="R1512" s="31">
        <f>M1512+Q1512*J1512*K1512*0.07</f>
        <v>0</v>
      </c>
      <c r="S1512" s="109">
        <v>-415</v>
      </c>
      <c r="T1512" s="32">
        <f>IF(AND(AD1512="EUR", F1512="Without EV deal"), R1512 + L1512,
IF(AND(AD1512="USD", F1512="Without EV deal"), R1512 + L1512,
IF(AND(AD1512="EUR", F1512="Steel Phoenix"), R1512 + S1512/U1512,
R1512 + S1512)))</f>
        <v>-415</v>
      </c>
      <c r="U1512" s="57"/>
      <c r="V1512" s="69">
        <v>26.842507645259939</v>
      </c>
      <c r="W1512" s="69">
        <v>56.850128168612933</v>
      </c>
      <c r="X1512" s="30">
        <f>IF(AF1512="DoEV",IF(AND(V1512&lt;20,W1512&lt;55),0.3,0)+IF(AND(V1512&lt;20,W1512&gt;=55,W1512&lt;105),0.23,0)+IF(AND(V1512&lt;20,W1512&gt;=105),0.17,0)+IF(AND(V1512&gt;=20,V1512&lt;40,W1512&lt;45),0.3,0)+IF(AND(V1512&gt;=20,V1512&lt;40,W1512&gt;=45,W1512&lt;95),0.23,0)+IF(AND(V1512&gt;=20,V1512&lt;40,W1512&gt;=95),0.17,0)+IF(AND(V1512&gt;=40,V1512&lt;75,W1512&lt;35),0.3,0)+IF(AND(V1512&gt;=40,V1512&lt;75,W1512&gt;=35,W1512&lt;75),0.23,0)+IF(AND(V1512&gt;=40,V1512&lt;75,W1512&gt;=75,W1512&lt;120),0.17,0)+IF(AND(V1512&gt;=40,V1512&lt;75,W1512&gt;=120),0.12,0)+IF(AND(V1512&gt;=75,V1512&lt;175,W1512&lt;35),0.3,0)+IF(AND(V1512&gt;=75,V1512&lt;=175,W1512&gt;=35,W1512&lt;65),0.23,0)+IF(AND(V1512&gt;=75,V1512&lt;=175,W1512&gt;=65,W1512&lt;110),0.17,0)+IF(AND(V1512&gt;=75,V1512&lt;=175,W1512&gt;=110),0.12,0)+IF(AND(V1512&gt;175,W1512&lt;25),0.3,0)+IF(AND(V1512&gt;175,W1512&gt;=25,W1512&lt;55),0.23,0)+IF(AND(V1512&gt;175,W1512&gt;=55,W1512&lt;95),0.17,0)+IF(AND(V1512&gt;175,W1512&gt;=95),0.12,0),
IF(AF1512="Fix15",0.15,
IF(AF1512="Fix5",0.05,
IF(AF1512="Fix18.75",0.1875,
IF(AF1512="Fix11.25",0.1125,
IF(AF1512="Fix10",0.1,
IF(AF1512="Fix9",0.09,
IF(AF1512="Fix12",0.12,
IF(AF1512="Fix19",0.19,
IF(AF1512="DoEV2017",IF(AND(W1512&lt;74),0.2,0)+IF(AND(W1512&gt;=74),0.17,0),
IF(AF1512="SF",IF(AND(V1512&lt;20,W1512&lt;89),0.3,0)+IF(AND(V1512&lt;20,W1512&gt;=89),0.25,0)+IF(AND(V1512&gt;=20,V1512&lt;40,W1512&lt;74),0.3,0)+IF(AND(V1512&gt;=20,V1512&lt;40,W1512&gt;=75),0.22,0)+IF(AND(V1512&gt;=40,V1512&lt;75,W1512&lt;75),0.26,0)+IF(AND(V1512&gt;=40,V1512&lt;75,W1512&gt;=75),0.22,0)+IF(V1512&gt;=75,0.22,0),
IF(AF1512="DoEVold",IF(AND(V1512&lt;40,W1512&lt;35),0.35,0)+IF(AND(V1512&lt;40,W1512&gt;=35,W1512&lt;75),0.25,0)+IF(AND(V1512&lt;40,W1512&gt;=75),0.17,0)+IF(AND(V1512&gt;=40,V1512&lt;75,W1512&lt;25),0.35,0)+IF(AND(V1512&gt;=40,V1512&lt;75,W1512&gt;=25,W1512&lt;65),0.25,0)+IF(AND(V1512&gt;=40,V1512&lt;75,W1512&gt;=65,W1512&lt;100),0.17,0)+IF(AND(V1512&gt;=40,V1512&lt;75,W1512&gt;=100),0.1,0)+IF(AND(V1512&gt;=75,W1512&lt;25),0.35,0)+IF(AND(V1512&gt;=75,W1512&gt;=25,W1512&lt;60),0.25,0)+IF(AND(V1512&gt;=75,W1512&gt;=60,W1512&lt;95),0.17,0)+IF(AND(V1512&gt;=75,W1512&gt;=95),0.1,0),
IF(AF1512="DoEVold15",IF(AND(V1512&lt;=40,W1512&lt;35),0.35,0)+IF(AND(V1512&lt;=40,W1512&gt;=35,W1512&lt;75),0.25,0)+IF(AND(V1512&lt;=40,W1512&gt;=75,W1512&lt;120),0.17,0)+IF(AND(V1512&lt;=40,W1512&gt;=120),0.15,0)+IF(AND(V1512&gt;40,V1512&lt;75,W1512&lt;25),0.35,0)+IF(AND(V1512&gt;=40,V1512&lt;75,W1512&gt;=25,W1512&lt;65),0.25,0)+IF(AND(V1512&gt;=40,V1512&lt;75,W1512&gt;=65,W1512&lt;100),0.17,0)+IF(AND(V1512&gt;=40,V1512&lt;75,W1512&gt;=100),0.1,0)+IF(AND(V1512&gt;=75,W1512&lt;25),0.35,0)+IF(AND(V1512&gt;=75,W1512&gt;=25,W1512&lt;60),0.25,0)+IF(AND(V1512&gt;=75,W1512&gt;=60,W1512&lt;95),0.17,0)+IF(AND(V1512&gt;=75,W1512&gt;=95),0.1,0),
IF(AF1512="DoEVba",IF(AND(V1512&lt;20,W1512&lt;105),0.2,0)+IF(AND(V1512&lt;20,W1512&gt;=105),0.15,0)+IF(AND(V1512&gt;=20,V1512&lt;40,W1512&lt;95),0.2,0)+IF(AND(V1512&gt;=20,V1512&lt;40,W1512&gt;=95,W1512&lt;150),0.15,0)+IF(AND(V1512&gt;=20,V1512&lt;40,W1512&gt;=150),0.12,0)+IF(AND(V1512&gt;=40,V1512&lt;75,W1512&lt;75),0.2,0)+IF(AND(V1512&gt;=40,V1512&lt;75,W1512&gt;=75,W1512&lt;120),0.15,0)+IF(AND(V1512&gt;=40,V1512&lt;75,W1512&gt;=120),0.12,0)+IF(AND(V1512&gt;=75,V1512&lt;175,W1512&lt;65),0.2,0)+IF(AND(V1512&gt;=75,V1512&lt;175,W1512&gt;=65,W1512&lt;110),0.15,0)+IF(AND(V1512&gt;=75,V1512&lt;175,W1512&gt;=110),0.12,0)+IF(AND(V1512&gt;=175,W1512&lt;55),0.2,0)+IF(AND(V1512&gt;=175,W1512&gt;=55,W1512&lt;95),0.15,0)+IF(AND(V1512&gt;=175,W1512&gt;=95),0.12,0),
IF(AF1512="DoEVku",IF(AND(V1512&lt;20,W1512&lt;55),0.23,0)+IF(AND(V1512&lt;20,W1512&gt;=55,W1512&lt;105),0.2,0)+IF(AND(V1512&lt;20,W1512&gt;=105),0.17,0)+IF(AND(V1512&gt;=20,V1512&lt;40,W1512&lt;45),0.23,0)+IF(AND(V1512&gt;=20,V1512&lt;40,W1512&gt;=45,W1512&lt;95),0.2,0)+IF(AND(V1512&gt;=20,V1512&lt;40,W1512&gt;=95,W1512&lt;=150),0.17,0)+IF(AND(V1512&gt;=20,V1512&lt;40,W1512&gt;=150),0.12,0)+IF(AND(V1512&gt;=40,V1512&lt;75,W1512&lt;35),0.23,0)+IF(AND(V1512&gt;=40,V1512&lt;75,W1512&gt;=35,W1512&lt;75),0.2,0)+IF(AND(V1512&gt;=40,V1512&lt;75,W1512&gt;=75,W1512&lt;120),0.17,0)+IF(AND(V1512&gt;=40,V1512&lt;75,W1512&gt;=120),0.12,0)+IF(AND(V1512&gt;=75,V1512&lt;175,W1512&lt;35),0.23,0)+IF(AND(V1512&gt;=75,V1512&lt;=175,W1512&gt;=35,W1512&lt;65),0.2,0)+IF(AND(V1512&gt;=75,V1512&lt;=175,W1512&gt;=65,W1512&lt;110),0.17,0)+IF(AND(V1512&gt;=75,V1512&lt;=175,W1512&gt;=110),0.12,0)+IF(AND(V1512&gt;175,W1512&lt;25),0.23,0)+IF(AND(V1512&gt;175,W1512&gt;=25,W1512&lt;55),0.2,0)+IF(AND(V1512&gt;175,W1512&gt;=55,W1512&lt;95),0.17,0)+IF(AND(V1512&gt;175,W1512&gt;=95),0.12,0),
IF(AF1512="DoEVs1",IF(AND(V1512&lt;20,W1512&lt;55),0.3,0)+IF(AND(V1512&lt;20,W1512&gt;=55,W1512&lt;105),0.23,0)+IF(AND(V1512&lt;20,W1512&gt;=105),0.17,0)+IF(AND(V1512&gt;=20,V1512&lt;40,W1512&lt;45),0.3,0)+IF(AND(V1512&gt;=20,V1512&lt;40,W1512&gt;=45,W1512&lt;95),0.23,0)+IF(AND(V1512&gt;=20,V1512&lt;40,W1512&gt;=95,W1512&lt;=150),0.17,0)+IF(AND(V1512&gt;=20,V1512&lt;40,W1512&gt;=150),0.12,0)+IF(AND(V1512&gt;=40,V1512&lt;75,W1512&lt;35),0.3,0)+IF(AND(V1512&gt;=40,V1512&lt;75,W1512&gt;=35,W1512&lt;75),0.23,0)+IF(AND(V1512&gt;=40,V1512&lt;75,W1512&gt;=75,W1512&lt;120),0.17,0)+IF(AND(V1512&gt;=40,V1512&lt;75,W1512&gt;=120),0.12,0)+IF(AND(V1512&gt;=75,V1512&lt;175,W1512&lt;35),0.3,0)+IF(AND(V1512&gt;=75,V1512&lt;=175,W1512&gt;=35,W1512&lt;65),0.23,0)+IF(AND(V1512&gt;=75,V1512&lt;=175,W1512&gt;=65,W1512&lt;110),0.17,0)+IF(AND(V1512&gt;=75,V1512&lt;=175,W1512&gt;=110),0.12,0)+IF(AND(V1512&gt;175,W1512&lt;25),0.3,0)+IF(AND(V1512&gt;175,W1512&gt;=25,W1512&lt;55),0.23,0)+IF(AND(V1512&gt;175,W1512&gt;=55,W1512&lt;95),0.17,0)+IF(AND(V1512&gt;175,W1512&gt;=95),0.12,0),
IF(AF1512="DoEVsu",IF(AND(V1512&lt;20,W1512&lt;55),0.3,0)+IF(AND(V1512&lt;20,W1512&gt;=55,W1512&lt;105),0.23,0)+IF(AND(V1512&lt;20,W1512&gt;=105),0.17,0)+IF(AND(V1512&gt;=20,V1512&lt;40,W1512&lt;45),0.3,0)+IF(AND(V1512&gt;=20,V1512&lt;40,W1512&gt;=45,W1512&lt;95),0.23,0)+IF(AND(V1512&gt;=20,V1512&lt;40,W1512&gt;=95,W1512&lt;=250),0.17,0)+IF(AND(V1512&gt;=20,V1512&lt;40,W1512&gt;=250),0.12,0)+IF(AND(V1512&gt;=40,V1512&lt;75,W1512&lt;35),0.3,0)+IF(AND(V1512&gt;=40,V1512&lt;75,W1512&gt;=35,W1512&lt;75),0.23,0)+IF(AND(V1512&gt;=40,V1512&lt;75,W1512&gt;=75,W1512&lt;120),0.17,0)+IF(AND(V1512&gt;=40,V1512&lt;75,W1512&gt;=120),0.12,0)+IF(AND(V1512&gt;=75,V1512&lt;175,W1512&lt;35),0.3,0)+IF(AND(V1512&gt;=75,V1512&lt;=175,W1512&gt;=35,W1512&lt;65),0.23,0)+IF(AND(V1512&gt;=75,V1512&lt;=175,W1512&gt;=65,W1512&lt;110),0.17,0)+IF(AND(V1512&gt;=75,V1512&lt;=175,W1512&gt;=110),0.12,0)+IF(AND(V1512&gt;175,W1512&lt;25),0.3,0)+IF(AND(V1512&gt;175,W1512&gt;=25,W1512&lt;55),0.23,0)+IF(AND(V1512&gt;175,W1512&gt;=55,W1512&lt;95),0.17,0)+IF(AND(V1512&gt;175,W1512&gt;=95),0.12,0),
IF(AF1512="DoEVni",IF(AND(V1512&lt;20,W1512&lt;55),0.3,0)+IF(AND(V1512&lt;20,W1512&gt;=55,W1512&lt;105),0.23,0)+IF(AND(V1512&lt;20,W1512&gt;=105),0.17,0)+IF(AND(V1512&gt;=20,V1512&lt;40,W1512&lt;45),0.3,0)+IF(AND(V1512&gt;=20,V1512&lt;40,W1512&gt;=45,W1512&lt;95),0.23,0)+IF(AND(V1512&gt;=20,V1512&lt;40,W1512&gt;=95,W1512&lt;=200),0.17,0)+IF(AND(V1512&gt;=20,V1512&lt;40,W1512&gt;=200),0.12,0)+IF(AND(V1512&gt;=40,V1512&lt;75,W1512&lt;35),0.3,0)+IF(AND(V1512&gt;=40,V1512&lt;75,W1512&gt;=35,W1512&lt;75),0.23,0)+IF(AND(V1512&gt;=40,V1512&lt;75,W1512&gt;=75,W1512&lt;120),0.17,0)+IF(AND(V1512&gt;=40,V1512&lt;75,W1512&gt;=120),0.12,0)+IF(AND(V1512&gt;=75,V1512&lt;175,W1512&lt;35),0.3,0)+IF(AND(V1512&gt;=75,V1512&lt;=175,W1512&gt;=35,W1512&lt;65),0.23,0)+IF(AND(V1512&gt;=75,V1512&lt;=175,W1512&gt;=65,W1512&lt;110),0.17,0)+IF(AND(V1512&gt;=75,V1512&lt;=175,W1512&gt;=110),0.12,0)+IF(AND(V1512&gt;175,W1512&lt;25),0.3,0)+IF(AND(V1512&gt;175,W1512&gt;=25,W1512&lt;55),0.23,0)+IF(AND(V1512&gt;175,W1512&gt;=55,W1512&lt;95),0.17,0)+IF(AND(V1512&gt;175,W1512&gt;=95),0.12,0),
IF(AF1512="DoEVLo",IF(AND(V1512&lt;20,W1512&lt;55),0.25,0)+IF(AND(V1512&lt;20,W1512&gt;=55,W1512&lt;105),0.2,0)+IF(AND(V1512&lt;20,W1512&gt;=105),0.15,0)+IF(AND(V1512&gt;=20,V1512&lt;40,W1512&lt;45),0.25,0)+IF(AND(V1512&gt;=20,V1512&lt;40,W1512&gt;=45,W1512&lt;95),0.2,0)+IF(AND(V1512&gt;=20,V1512&lt;40,W1512&gt;=95),0.15,0)+IF(AND(V1512&gt;=40,V1512&lt;75,W1512&lt;35),0.25,0)+IF(AND(V1512&gt;=40,V1512&lt;75,W1512&gt;=35,W1512&lt;75),0.2,0)+IF(AND(V1512&gt;=40,V1512&lt;75,W1512&gt;=75,W1512&lt;120),0.15,0)+IF(AND(V1512&gt;=40,V1512&lt;75,W1512&gt;=120),0.1,0)+IF(AND(V1512&gt;=75,V1512&lt;175,W1512&lt;35),0.25,0)+IF(AND(V1512&gt;=75,V1512&lt;=175,W1512&gt;=35,W1512&lt;65),0.2,0)+IF(AND(V1512&gt;=75,V1512&lt;=175,W1512&gt;=65,W1512&lt;110),0.15,0)+IF(AND(V1512&gt;=75,V1512&lt;=175,W1512&gt;=110),0.1,0)+IF(AND(V1512&gt;175,W1512&lt;25),0.25,0)+IF(AND(V1512&gt;175,W1512&gt;=25,W1512&lt;55),0.2,0)+IF(AND(V1512&gt;175,W1512&gt;=55,W1512&lt;95),0.15,0)+IF(AND(V1512&gt;175,W1512&gt;=95),0.1,0))))))))))))))))))))</f>
        <v>0.23</v>
      </c>
      <c r="Y1512" s="30">
        <f>IF(AG1512="None",0,IF(AG1512="Fix5",0.05, IF(AG1512="Fix6.25",0.0625,IF(AG1512="Fix3.75",0.0375, IF(AG1512="Fix11",0.11, IF(AG1512="Fix10",0.1,IF(AG1512="Fix3",0.03,0)))))))</f>
        <v>0</v>
      </c>
      <c r="Z1512" s="35">
        <f>IF(AND(AD1512="EUR", AE1512 = "USD"), T1512*U1512-AA1512-AB1512, T1512-AA1512-AB1512)</f>
        <v>-319.55</v>
      </c>
      <c r="AA1512" s="29">
        <f>IF(AND(AD1512="EUR", F1512="Without EV deal", AE1512="USD"), (T1512*X1512)*U1512,
IF(AND(AD1512="EUR", F1512="Without EV deal", AE1512="EUR"), (T1512*X1512),
IF(AND(AD1512="EUR",AE1512="USD"), (T1512*X1512)*U1512,
T1512*X1512)))</f>
        <v>-95.45</v>
      </c>
      <c r="AB1512" s="36">
        <f>IF(AND(AD1512="EUR", F1512="Without EV deal", AE1512="USD"), (T1512*Y1512)*U1512,
IF(AND(AD1512="EUR", F1512="Without EV deal", AE1512="EUR"), (T1512*Y1512),
IF(AND(AD1512="EUR",AE1512="USD"), (T1512*Y1512)*U1512,
T1512*Y1512)))</f>
        <v>0</v>
      </c>
      <c r="AC1512" s="37" t="b">
        <v>1</v>
      </c>
      <c r="AD1512" s="82" t="str">
        <f>IF(OR(H1512="€0.25 Flash",
H1512="€0.25(nitro) new",
H1512="€1",
H1512="€2",
H1512="€2 (bf 01.08)",
H1512="€5",
H1512="€5 (1M)",
H1512="€5 (bf 01.08)",
H1512="€5 (bf 05.05)",
H1512="€5 Nitro",
H1512="€5(wx) new",
H1512="€10",
H1512="€10 (1M)",
H1512="€10 (bf 01.08)",
H1512="€10 (bf 05.05)",
H1512="€10 (MP)",
H1512="€10 (old)",
H1512="€10 Nitro (bf 05.05)",
H1512="€10 Nitro (old)",
H1512="€10(wx) new",
H1512="€20",
H1512="€25",
H1512="€25 (bf 01.08)",
H1512="€25 (bf 05.05)",
H1512="€25 (MP)",
H1512="€25 (old)",
H1512="€25 Nitro",
H1512="€25 Nitro (bf 01.08)",
H1512="€25 Nitro (bf 05.05)",
H1512="€25(nitro) new",
H1512="€25(wx) new",
H1512="€50",
H1512="€50 (bf 01.08)",
H1512="€50 (bf 05.05)",
H1512="€50 (old)",
H1512="€50 Nitro",
H1512="€50 Nitro (bf 01.08)",
H1512="€50 Nitro (bf 05.05)",
H1512="€50(wx) new",
H1512="€100",
H1512="€100 (old)",
H1512="€100 Nitro",
H1512="€100 Nitro (old)",
H1512="€200",
H1512="€250",
H1512="€250 Nitro",
H1512="€500",
H1512="€500 Nitro"),"EUR", "USD")</f>
        <v>USD</v>
      </c>
      <c r="AE1512" s="83" t="s">
        <v>38</v>
      </c>
      <c r="AF1512" s="83" t="str">
        <f t="array" ref="AF1512">INDEX('Deal Info'!D:D, MATCH(A1512,'Deal Info'!A:A, 0))</f>
        <v>DoEV</v>
      </c>
      <c r="AG1512" s="84" t="str">
        <f t="array" ref="AG1512">INDEX('Deal Info'!G:G, MATCH(A1512,'Deal Info'!A:A, 0))</f>
        <v>None</v>
      </c>
    </row>
    <row r="1513" spans="1:33" ht="14.25" hidden="1" x14ac:dyDescent="0.2">
      <c r="A1513" s="18" t="str">
        <f t="array" ref="A1513">IF(G1513='Room Info'!$B$1, INDEX('Room Info'!$A$2:$A2446, MATCH(B1513,'Room Info'!$B$2:$B2446, 0)),IF(G1513='Room Info'!$C$1, INDEX('Room Info'!$A$2:$A2446, MATCH(B1513,'Room Info'!$C$2:$C2446, 0)),IF(G1513='Room Info'!$D$1, INDEX('Room Info'!$A$2:$A2446, MATCH(B1513,'Room Info'!$D$2:$D2446, 0)),IF(G1513='Room Info'!$E$1, INDEX('Room Info'!$A$2:$A2446, MATCH(B1513,'Room Info'!$E$2:$E2446, 0)),IF(G1513='Room Info'!$F$1, INDEX('Room Info'!$A$2:$A2446, MATCH(B1513,'Room Info'!$F$2:$F2446, 0)),IF(G1513='Room Info'!$H$1, INDEX('Room Info'!$A$2:$A2446, MATCH(B1513,'Room Info'!$H$2:$H2446, 0)),IF(G1513='Room Info'!$G$1, INDEX('Room Info'!$A$2:$A2446, MATCH(B1513,'Room Info'!$G$2:$G2446, 0)))))))))</f>
        <v>DepositBeast</v>
      </c>
      <c r="B1513" s="54" t="s">
        <v>226</v>
      </c>
      <c r="C1513" s="77">
        <v>44958</v>
      </c>
      <c r="D1513" s="77">
        <v>44980</v>
      </c>
      <c r="E1513" s="21">
        <v>44958</v>
      </c>
      <c r="F1513" s="22" t="s">
        <v>41</v>
      </c>
      <c r="G1513" s="18" t="s">
        <v>35</v>
      </c>
      <c r="H1513" s="49" t="s">
        <v>72</v>
      </c>
      <c r="I1513" s="23" t="s">
        <v>37</v>
      </c>
      <c r="J1513" s="39">
        <v>50</v>
      </c>
      <c r="K1513" s="51">
        <f>241-238</f>
        <v>3</v>
      </c>
      <c r="L1513" s="107">
        <v>-150</v>
      </c>
      <c r="M1513" s="62"/>
      <c r="N1513" s="28">
        <f>K1513*J1513</f>
        <v>150</v>
      </c>
      <c r="O1513" s="128"/>
      <c r="P1513" s="29">
        <v>0</v>
      </c>
      <c r="Q1513" s="55"/>
      <c r="R1513" s="31">
        <f>M1513+Q1513*J1513*K1513*0.07</f>
        <v>0</v>
      </c>
      <c r="S1513" s="118"/>
      <c r="T1513" s="32">
        <f>IF(AND(AD1513="EUR", F1513="Without EV deal"), R1513 + L1513,
IF(AND(AD1513="USD", F1513="Without EV deal"), R1513 + L1513,
IF(AND(AD1513="EUR", F1513="Steel Phoenix"), R1513 + S1513/U1513,
R1513 + S1513)))</f>
        <v>-150</v>
      </c>
      <c r="U1513" s="57"/>
      <c r="V1513" s="69">
        <v>26.842507645259939</v>
      </c>
      <c r="W1513" s="69">
        <v>56.850128168612933</v>
      </c>
      <c r="X1513" s="30">
        <f>IF(AF1513="DoEV",IF(AND(V1513&lt;20,W1513&lt;55),0.3,0)+IF(AND(V1513&lt;20,W1513&gt;=55,W1513&lt;105),0.23,0)+IF(AND(V1513&lt;20,W1513&gt;=105),0.17,0)+IF(AND(V1513&gt;=20,V1513&lt;40,W1513&lt;45),0.3,0)+IF(AND(V1513&gt;=20,V1513&lt;40,W1513&gt;=45,W1513&lt;95),0.23,0)+IF(AND(V1513&gt;=20,V1513&lt;40,W1513&gt;=95),0.17,0)+IF(AND(V1513&gt;=40,V1513&lt;75,W1513&lt;35),0.3,0)+IF(AND(V1513&gt;=40,V1513&lt;75,W1513&gt;=35,W1513&lt;75),0.23,0)+IF(AND(V1513&gt;=40,V1513&lt;75,W1513&gt;=75,W1513&lt;120),0.17,0)+IF(AND(V1513&gt;=40,V1513&lt;75,W1513&gt;=120),0.12,0)+IF(AND(V1513&gt;=75,V1513&lt;175,W1513&lt;35),0.3,0)+IF(AND(V1513&gt;=75,V1513&lt;=175,W1513&gt;=35,W1513&lt;65),0.23,0)+IF(AND(V1513&gt;=75,V1513&lt;=175,W1513&gt;=65,W1513&lt;110),0.17,0)+IF(AND(V1513&gt;=75,V1513&lt;=175,W1513&gt;=110),0.12,0)+IF(AND(V1513&gt;175,W1513&lt;25),0.3,0)+IF(AND(V1513&gt;175,W1513&gt;=25,W1513&lt;55),0.23,0)+IF(AND(V1513&gt;175,W1513&gt;=55,W1513&lt;95),0.17,0)+IF(AND(V1513&gt;175,W1513&gt;=95),0.12,0),
IF(AF1513="Fix15",0.15,
IF(AF1513="Fix5",0.05,
IF(AF1513="Fix18.75",0.1875,
IF(AF1513="Fix11.25",0.1125,
IF(AF1513="Fix10",0.1,
IF(AF1513="Fix9",0.09,
IF(AF1513="Fix12",0.12,
IF(AF1513="Fix19",0.19,
IF(AF1513="DoEV2017",IF(AND(W1513&lt;74),0.2,0)+IF(AND(W1513&gt;=74),0.17,0),
IF(AF1513="SF",IF(AND(V1513&lt;20,W1513&lt;89),0.3,0)+IF(AND(V1513&lt;20,W1513&gt;=89),0.25,0)+IF(AND(V1513&gt;=20,V1513&lt;40,W1513&lt;74),0.3,0)+IF(AND(V1513&gt;=20,V1513&lt;40,W1513&gt;=75),0.22,0)+IF(AND(V1513&gt;=40,V1513&lt;75,W1513&lt;75),0.26,0)+IF(AND(V1513&gt;=40,V1513&lt;75,W1513&gt;=75),0.22,0)+IF(V1513&gt;=75,0.22,0),
IF(AF1513="DoEVold",IF(AND(V1513&lt;40,W1513&lt;35),0.35,0)+IF(AND(V1513&lt;40,W1513&gt;=35,W1513&lt;75),0.25,0)+IF(AND(V1513&lt;40,W1513&gt;=75),0.17,0)+IF(AND(V1513&gt;=40,V1513&lt;75,W1513&lt;25),0.35,0)+IF(AND(V1513&gt;=40,V1513&lt;75,W1513&gt;=25,W1513&lt;65),0.25,0)+IF(AND(V1513&gt;=40,V1513&lt;75,W1513&gt;=65,W1513&lt;100),0.17,0)+IF(AND(V1513&gt;=40,V1513&lt;75,W1513&gt;=100),0.1,0)+IF(AND(V1513&gt;=75,W1513&lt;25),0.35,0)+IF(AND(V1513&gt;=75,W1513&gt;=25,W1513&lt;60),0.25,0)+IF(AND(V1513&gt;=75,W1513&gt;=60,W1513&lt;95),0.17,0)+IF(AND(V1513&gt;=75,W1513&gt;=95),0.1,0),
IF(AF1513="DoEVold15",IF(AND(V1513&lt;=40,W1513&lt;35),0.35,0)+IF(AND(V1513&lt;=40,W1513&gt;=35,W1513&lt;75),0.25,0)+IF(AND(V1513&lt;=40,W1513&gt;=75,W1513&lt;120),0.17,0)+IF(AND(V1513&lt;=40,W1513&gt;=120),0.15,0)+IF(AND(V1513&gt;40,V1513&lt;75,W1513&lt;25),0.35,0)+IF(AND(V1513&gt;=40,V1513&lt;75,W1513&gt;=25,W1513&lt;65),0.25,0)+IF(AND(V1513&gt;=40,V1513&lt;75,W1513&gt;=65,W1513&lt;100),0.17,0)+IF(AND(V1513&gt;=40,V1513&lt;75,W1513&gt;=100),0.1,0)+IF(AND(V1513&gt;=75,W1513&lt;25),0.35,0)+IF(AND(V1513&gt;=75,W1513&gt;=25,W1513&lt;60),0.25,0)+IF(AND(V1513&gt;=75,W1513&gt;=60,W1513&lt;95),0.17,0)+IF(AND(V1513&gt;=75,W1513&gt;=95),0.1,0),
IF(AF1513="DoEVba",IF(AND(V1513&lt;20,W1513&lt;105),0.2,0)+IF(AND(V1513&lt;20,W1513&gt;=105),0.15,0)+IF(AND(V1513&gt;=20,V1513&lt;40,W1513&lt;95),0.2,0)+IF(AND(V1513&gt;=20,V1513&lt;40,W1513&gt;=95,W1513&lt;150),0.15,0)+IF(AND(V1513&gt;=20,V1513&lt;40,W1513&gt;=150),0.12,0)+IF(AND(V1513&gt;=40,V1513&lt;75,W1513&lt;75),0.2,0)+IF(AND(V1513&gt;=40,V1513&lt;75,W1513&gt;=75,W1513&lt;120),0.15,0)+IF(AND(V1513&gt;=40,V1513&lt;75,W1513&gt;=120),0.12,0)+IF(AND(V1513&gt;=75,V1513&lt;175,W1513&lt;65),0.2,0)+IF(AND(V1513&gt;=75,V1513&lt;175,W1513&gt;=65,W1513&lt;110),0.15,0)+IF(AND(V1513&gt;=75,V1513&lt;175,W1513&gt;=110),0.12,0)+IF(AND(V1513&gt;=175,W1513&lt;55),0.2,0)+IF(AND(V1513&gt;=175,W1513&gt;=55,W1513&lt;95),0.15,0)+IF(AND(V1513&gt;=175,W1513&gt;=95),0.12,0),
IF(AF1513="DoEVku",IF(AND(V1513&lt;20,W1513&lt;55),0.23,0)+IF(AND(V1513&lt;20,W1513&gt;=55,W1513&lt;105),0.2,0)+IF(AND(V1513&lt;20,W1513&gt;=105),0.17,0)+IF(AND(V1513&gt;=20,V1513&lt;40,W1513&lt;45),0.23,0)+IF(AND(V1513&gt;=20,V1513&lt;40,W1513&gt;=45,W1513&lt;95),0.2,0)+IF(AND(V1513&gt;=20,V1513&lt;40,W1513&gt;=95,W1513&lt;=150),0.17,0)+IF(AND(V1513&gt;=20,V1513&lt;40,W1513&gt;=150),0.12,0)+IF(AND(V1513&gt;=40,V1513&lt;75,W1513&lt;35),0.23,0)+IF(AND(V1513&gt;=40,V1513&lt;75,W1513&gt;=35,W1513&lt;75),0.2,0)+IF(AND(V1513&gt;=40,V1513&lt;75,W1513&gt;=75,W1513&lt;120),0.17,0)+IF(AND(V1513&gt;=40,V1513&lt;75,W1513&gt;=120),0.12,0)+IF(AND(V1513&gt;=75,V1513&lt;175,W1513&lt;35),0.23,0)+IF(AND(V1513&gt;=75,V1513&lt;=175,W1513&gt;=35,W1513&lt;65),0.2,0)+IF(AND(V1513&gt;=75,V1513&lt;=175,W1513&gt;=65,W1513&lt;110),0.17,0)+IF(AND(V1513&gt;=75,V1513&lt;=175,W1513&gt;=110),0.12,0)+IF(AND(V1513&gt;175,W1513&lt;25),0.23,0)+IF(AND(V1513&gt;175,W1513&gt;=25,W1513&lt;55),0.2,0)+IF(AND(V1513&gt;175,W1513&gt;=55,W1513&lt;95),0.17,0)+IF(AND(V1513&gt;175,W1513&gt;=95),0.12,0),
IF(AF1513="DoEVs1",IF(AND(V1513&lt;20,W1513&lt;55),0.3,0)+IF(AND(V1513&lt;20,W1513&gt;=55,W1513&lt;105),0.23,0)+IF(AND(V1513&lt;20,W1513&gt;=105),0.17,0)+IF(AND(V1513&gt;=20,V1513&lt;40,W1513&lt;45),0.3,0)+IF(AND(V1513&gt;=20,V1513&lt;40,W1513&gt;=45,W1513&lt;95),0.23,0)+IF(AND(V1513&gt;=20,V1513&lt;40,W1513&gt;=95,W1513&lt;=150),0.17,0)+IF(AND(V1513&gt;=20,V1513&lt;40,W1513&gt;=150),0.12,0)+IF(AND(V1513&gt;=40,V1513&lt;75,W1513&lt;35),0.3,0)+IF(AND(V1513&gt;=40,V1513&lt;75,W1513&gt;=35,W1513&lt;75),0.23,0)+IF(AND(V1513&gt;=40,V1513&lt;75,W1513&gt;=75,W1513&lt;120),0.17,0)+IF(AND(V1513&gt;=40,V1513&lt;75,W1513&gt;=120),0.12,0)+IF(AND(V1513&gt;=75,V1513&lt;175,W1513&lt;35),0.3,0)+IF(AND(V1513&gt;=75,V1513&lt;=175,W1513&gt;=35,W1513&lt;65),0.23,0)+IF(AND(V1513&gt;=75,V1513&lt;=175,W1513&gt;=65,W1513&lt;110),0.17,0)+IF(AND(V1513&gt;=75,V1513&lt;=175,W1513&gt;=110),0.12,0)+IF(AND(V1513&gt;175,W1513&lt;25),0.3,0)+IF(AND(V1513&gt;175,W1513&gt;=25,W1513&lt;55),0.23,0)+IF(AND(V1513&gt;175,W1513&gt;=55,W1513&lt;95),0.17,0)+IF(AND(V1513&gt;175,W1513&gt;=95),0.12,0),
IF(AF1513="DoEVsu",IF(AND(V1513&lt;20,W1513&lt;55),0.3,0)+IF(AND(V1513&lt;20,W1513&gt;=55,W1513&lt;105),0.23,0)+IF(AND(V1513&lt;20,W1513&gt;=105),0.17,0)+IF(AND(V1513&gt;=20,V1513&lt;40,W1513&lt;45),0.3,0)+IF(AND(V1513&gt;=20,V1513&lt;40,W1513&gt;=45,W1513&lt;95),0.23,0)+IF(AND(V1513&gt;=20,V1513&lt;40,W1513&gt;=95,W1513&lt;=250),0.17,0)+IF(AND(V1513&gt;=20,V1513&lt;40,W1513&gt;=250),0.12,0)+IF(AND(V1513&gt;=40,V1513&lt;75,W1513&lt;35),0.3,0)+IF(AND(V1513&gt;=40,V1513&lt;75,W1513&gt;=35,W1513&lt;75),0.23,0)+IF(AND(V1513&gt;=40,V1513&lt;75,W1513&gt;=75,W1513&lt;120),0.17,0)+IF(AND(V1513&gt;=40,V1513&lt;75,W1513&gt;=120),0.12,0)+IF(AND(V1513&gt;=75,V1513&lt;175,W1513&lt;35),0.3,0)+IF(AND(V1513&gt;=75,V1513&lt;=175,W1513&gt;=35,W1513&lt;65),0.23,0)+IF(AND(V1513&gt;=75,V1513&lt;=175,W1513&gt;=65,W1513&lt;110),0.17,0)+IF(AND(V1513&gt;=75,V1513&lt;=175,W1513&gt;=110),0.12,0)+IF(AND(V1513&gt;175,W1513&lt;25),0.3,0)+IF(AND(V1513&gt;175,W1513&gt;=25,W1513&lt;55),0.23,0)+IF(AND(V1513&gt;175,W1513&gt;=55,W1513&lt;95),0.17,0)+IF(AND(V1513&gt;175,W1513&gt;=95),0.12,0),
IF(AF1513="DoEVni",IF(AND(V1513&lt;20,W1513&lt;55),0.3,0)+IF(AND(V1513&lt;20,W1513&gt;=55,W1513&lt;105),0.23,0)+IF(AND(V1513&lt;20,W1513&gt;=105),0.17,0)+IF(AND(V1513&gt;=20,V1513&lt;40,W1513&lt;45),0.3,0)+IF(AND(V1513&gt;=20,V1513&lt;40,W1513&gt;=45,W1513&lt;95),0.23,0)+IF(AND(V1513&gt;=20,V1513&lt;40,W1513&gt;=95,W1513&lt;=200),0.17,0)+IF(AND(V1513&gt;=20,V1513&lt;40,W1513&gt;=200),0.12,0)+IF(AND(V1513&gt;=40,V1513&lt;75,W1513&lt;35),0.3,0)+IF(AND(V1513&gt;=40,V1513&lt;75,W1513&gt;=35,W1513&lt;75),0.23,0)+IF(AND(V1513&gt;=40,V1513&lt;75,W1513&gt;=75,W1513&lt;120),0.17,0)+IF(AND(V1513&gt;=40,V1513&lt;75,W1513&gt;=120),0.12,0)+IF(AND(V1513&gt;=75,V1513&lt;175,W1513&lt;35),0.3,0)+IF(AND(V1513&gt;=75,V1513&lt;=175,W1513&gt;=35,W1513&lt;65),0.23,0)+IF(AND(V1513&gt;=75,V1513&lt;=175,W1513&gt;=65,W1513&lt;110),0.17,0)+IF(AND(V1513&gt;=75,V1513&lt;=175,W1513&gt;=110),0.12,0)+IF(AND(V1513&gt;175,W1513&lt;25),0.3,0)+IF(AND(V1513&gt;175,W1513&gt;=25,W1513&lt;55),0.23,0)+IF(AND(V1513&gt;175,W1513&gt;=55,W1513&lt;95),0.17,0)+IF(AND(V1513&gt;175,W1513&gt;=95),0.12,0),
IF(AF1513="DoEVLo",IF(AND(V1513&lt;20,W1513&lt;55),0.25,0)+IF(AND(V1513&lt;20,W1513&gt;=55,W1513&lt;105),0.2,0)+IF(AND(V1513&lt;20,W1513&gt;=105),0.15,0)+IF(AND(V1513&gt;=20,V1513&lt;40,W1513&lt;45),0.25,0)+IF(AND(V1513&gt;=20,V1513&lt;40,W1513&gt;=45,W1513&lt;95),0.2,0)+IF(AND(V1513&gt;=20,V1513&lt;40,W1513&gt;=95),0.15,0)+IF(AND(V1513&gt;=40,V1513&lt;75,W1513&lt;35),0.25,0)+IF(AND(V1513&gt;=40,V1513&lt;75,W1513&gt;=35,W1513&lt;75),0.2,0)+IF(AND(V1513&gt;=40,V1513&lt;75,W1513&gt;=75,W1513&lt;120),0.15,0)+IF(AND(V1513&gt;=40,V1513&lt;75,W1513&gt;=120),0.1,0)+IF(AND(V1513&gt;=75,V1513&lt;175,W1513&lt;35),0.25,0)+IF(AND(V1513&gt;=75,V1513&lt;=175,W1513&gt;=35,W1513&lt;65),0.2,0)+IF(AND(V1513&gt;=75,V1513&lt;=175,W1513&gt;=65,W1513&lt;110),0.15,0)+IF(AND(V1513&gt;=75,V1513&lt;=175,W1513&gt;=110),0.1,0)+IF(AND(V1513&gt;175,W1513&lt;25),0.25,0)+IF(AND(V1513&gt;175,W1513&gt;=25,W1513&lt;55),0.2,0)+IF(AND(V1513&gt;175,W1513&gt;=55,W1513&lt;95),0.15,0)+IF(AND(V1513&gt;175,W1513&gt;=95),0.1,0))))))))))))))))))))</f>
        <v>0.23</v>
      </c>
      <c r="Y1513" s="30">
        <f>IF(AG1513="None",0,IF(AG1513="Fix5",0.05, IF(AG1513="Fix6.25",0.0625,IF(AG1513="Fix3.75",0.0375, IF(AG1513="Fix11",0.11, IF(AG1513="Fix10",0.1,IF(AG1513="Fix3",0.03,0)))))))</f>
        <v>0</v>
      </c>
      <c r="Z1513" s="35">
        <f>IF(AND(AD1513="EUR", AE1513 = "USD"), T1513*U1513-AA1513-AB1513, T1513-AA1513-AB1513)</f>
        <v>-115.5</v>
      </c>
      <c r="AA1513" s="29">
        <f>IF(AND(AD1513="EUR", F1513="Without EV deal", AE1513="USD"), (T1513*X1513)*U1513,
IF(AND(AD1513="EUR", F1513="Without EV deal", AE1513="EUR"), (T1513*X1513),
IF(AND(AD1513="EUR",AE1513="USD"), (T1513*X1513)*U1513,
T1513*X1513)))</f>
        <v>-34.5</v>
      </c>
      <c r="AB1513" s="36">
        <f>IF(AND(AD1513="EUR", F1513="Without EV deal", AE1513="USD"), (T1513*Y1513)*U1513,
IF(AND(AD1513="EUR", F1513="Without EV deal", AE1513="EUR"), (T1513*Y1513),
IF(AND(AD1513="EUR",AE1513="USD"), (T1513*Y1513)*U1513,
T1513*Y1513)))</f>
        <v>0</v>
      </c>
      <c r="AC1513" s="37" t="b">
        <v>1</v>
      </c>
      <c r="AD1513" s="82" t="str">
        <f>IF(OR(H1513="€0.25 Flash",
H1513="€0.25(nitro) new",
H1513="€1",
H1513="€2",
H1513="€2 (bf 01.08)",
H1513="€5",
H1513="€5 (1M)",
H1513="€5 (bf 01.08)",
H1513="€5 (bf 05.05)",
H1513="€5 Nitro",
H1513="€5(wx) new",
H1513="€10",
H1513="€10 (1M)",
H1513="€10 (bf 01.08)",
H1513="€10 (bf 05.05)",
H1513="€10 (MP)",
H1513="€10 (old)",
H1513="€10 Nitro (bf 05.05)",
H1513="€10 Nitro (old)",
H1513="€10(wx) new",
H1513="€20",
H1513="€25",
H1513="€25 (bf 01.08)",
H1513="€25 (bf 05.05)",
H1513="€25 (MP)",
H1513="€25 (old)",
H1513="€25 Nitro",
H1513="€25 Nitro (bf 01.08)",
H1513="€25 Nitro (bf 05.05)",
H1513="€25(nitro) new",
H1513="€25(wx) new",
H1513="€50",
H1513="€50 (bf 01.08)",
H1513="€50 (bf 05.05)",
H1513="€50 (old)",
H1513="€50 Nitro",
H1513="€50 Nitro (bf 01.08)",
H1513="€50 Nitro (bf 05.05)",
H1513="€50(wx) new",
H1513="€100",
H1513="€100 (old)",
H1513="€100 Nitro",
H1513="€100 Nitro (old)",
H1513="€200",
H1513="€250",
H1513="€250 Nitro",
H1513="€500",
H1513="€500 Nitro"),"EUR", "USD")</f>
        <v>USD</v>
      </c>
      <c r="AE1513" s="83" t="s">
        <v>38</v>
      </c>
      <c r="AF1513" s="83" t="str">
        <f t="array" ref="AF1513">INDEX('Deal Info'!D:D, MATCH(A1513,'Deal Info'!A:A, 0))</f>
        <v>DoEV</v>
      </c>
      <c r="AG1513" s="84" t="str">
        <f t="array" ref="AG1513">INDEX('Deal Info'!G:G, MATCH(A1513,'Deal Info'!A:A, 0))</f>
        <v>None</v>
      </c>
    </row>
    <row r="1514" spans="1:33" ht="14.25" hidden="1" x14ac:dyDescent="0.2">
      <c r="A1514" s="18" t="str">
        <f t="array" ref="A1514">IF(G1514='Room Info'!$B$1, INDEX('Room Info'!$A$2:$A2446, MATCH(B1514,'Room Info'!$B$2:$B2446, 0)),IF(G1514='Room Info'!$C$1, INDEX('Room Info'!$A$2:$A2446, MATCH(B1514,'Room Info'!$C$2:$C2446, 0)),IF(G1514='Room Info'!$D$1, INDEX('Room Info'!$A$2:$A2446, MATCH(B1514,'Room Info'!$D$2:$D2446, 0)),IF(G1514='Room Info'!$E$1, INDEX('Room Info'!$A$2:$A2446, MATCH(B1514,'Room Info'!$E$2:$E2446, 0)),IF(G1514='Room Info'!$F$1, INDEX('Room Info'!$A$2:$A2446, MATCH(B1514,'Room Info'!$F$2:$F2446, 0)),IF(G1514='Room Info'!$H$1, INDEX('Room Info'!$A$2:$A2446, MATCH(B1514,'Room Info'!$H$2:$H2446, 0)),IF(G1514='Room Info'!$G$1, INDEX('Room Info'!$A$2:$A2446, MATCH(B1514,'Room Info'!$G$2:$G2446, 0)))))))))</f>
        <v>benyya</v>
      </c>
      <c r="B1514" s="54" t="s">
        <v>145</v>
      </c>
      <c r="C1514" s="46">
        <v>44958</v>
      </c>
      <c r="D1514" s="46">
        <v>44985</v>
      </c>
      <c r="E1514" s="80">
        <v>44958</v>
      </c>
      <c r="F1514" s="45" t="s">
        <v>49</v>
      </c>
      <c r="G1514" s="18" t="s">
        <v>35</v>
      </c>
      <c r="H1514" s="49" t="s">
        <v>85</v>
      </c>
      <c r="I1514" s="49" t="s">
        <v>44</v>
      </c>
      <c r="J1514" s="39">
        <v>50</v>
      </c>
      <c r="K1514" s="51">
        <v>3410</v>
      </c>
      <c r="L1514" s="107">
        <v>-3550</v>
      </c>
      <c r="M1514" s="53">
        <v>33900</v>
      </c>
      <c r="N1514" s="28">
        <f>K1514*J1514</f>
        <v>170500</v>
      </c>
      <c r="O1514" s="108">
        <v>33454</v>
      </c>
      <c r="P1514" s="29">
        <v>9.8105571850000004</v>
      </c>
      <c r="Q1514" s="55"/>
      <c r="R1514" s="31">
        <f>M1514+Q1514*J1514*K1514*0.07</f>
        <v>33900</v>
      </c>
      <c r="S1514" s="109">
        <v>-4432</v>
      </c>
      <c r="T1514" s="32">
        <f>IF(AND(AD1514="EUR", F1514="Without EV deal"), R1514 + L1514,
IF(AND(AD1514="USD", F1514="Without EV deal"), R1514 + L1514,
IF(AND(AD1514="EUR", F1514="Steel Phoenix"), R1514 + S1514/U1514,
R1514 + S1514)))</f>
        <v>29468</v>
      </c>
      <c r="U1514" s="57"/>
      <c r="V1514" s="58">
        <v>147.51</v>
      </c>
      <c r="W1514" s="58">
        <v>85</v>
      </c>
      <c r="X1514" s="30">
        <f>IF(AF1514="DoEV",IF(AND(V1514&lt;20,W1514&lt;55),0.3,0)+IF(AND(V1514&lt;20,W1514&gt;=55,W1514&lt;105),0.23,0)+IF(AND(V1514&lt;20,W1514&gt;=105),0.17,0)+IF(AND(V1514&gt;=20,V1514&lt;40,W1514&lt;45),0.3,0)+IF(AND(V1514&gt;=20,V1514&lt;40,W1514&gt;=45,W1514&lt;95),0.23,0)+IF(AND(V1514&gt;=20,V1514&lt;40,W1514&gt;=95),0.17,0)+IF(AND(V1514&gt;=40,V1514&lt;75,W1514&lt;35),0.3,0)+IF(AND(V1514&gt;=40,V1514&lt;75,W1514&gt;=35,W1514&lt;75),0.23,0)+IF(AND(V1514&gt;=40,V1514&lt;75,W1514&gt;=75,W1514&lt;120),0.17,0)+IF(AND(V1514&gt;=40,V1514&lt;75,W1514&gt;=120),0.12,0)+IF(AND(V1514&gt;=75,V1514&lt;175,W1514&lt;35),0.3,0)+IF(AND(V1514&gt;=75,V1514&lt;=175,W1514&gt;=35,W1514&lt;65),0.23,0)+IF(AND(V1514&gt;=75,V1514&lt;=175,W1514&gt;=65,W1514&lt;110),0.17,0)+IF(AND(V1514&gt;=75,V1514&lt;=175,W1514&gt;=110),0.12,0)+IF(AND(V1514&gt;175,W1514&lt;25),0.3,0)+IF(AND(V1514&gt;175,W1514&gt;=25,W1514&lt;55),0.23,0)+IF(AND(V1514&gt;175,W1514&gt;=55,W1514&lt;95),0.17,0)+IF(AND(V1514&gt;175,W1514&gt;=95),0.12,0),
IF(AF1514="Fix15",0.15,
IF(AF1514="Fix5",0.05,
IF(AF1514="Fix18.75",0.1875,
IF(AF1514="Fix11.25",0.1125,
IF(AF1514="Fix10",0.1,
IF(AF1514="Fix9",0.09,
IF(AF1514="Fix12",0.12,
IF(AF1514="Fix19",0.19,
IF(AF1514="DoEV2017",IF(AND(W1514&lt;74),0.2,0)+IF(AND(W1514&gt;=74),0.17,0),
IF(AF1514="SF",IF(AND(V1514&lt;20,W1514&lt;89),0.3,0)+IF(AND(V1514&lt;20,W1514&gt;=89),0.25,0)+IF(AND(V1514&gt;=20,V1514&lt;40,W1514&lt;74),0.3,0)+IF(AND(V1514&gt;=20,V1514&lt;40,W1514&gt;=75),0.22,0)+IF(AND(V1514&gt;=40,V1514&lt;75,W1514&lt;75),0.26,0)+IF(AND(V1514&gt;=40,V1514&lt;75,W1514&gt;=75),0.22,0)+IF(V1514&gt;=75,0.22,0),
IF(AF1514="DoEVold",IF(AND(V1514&lt;40,W1514&lt;35),0.35,0)+IF(AND(V1514&lt;40,W1514&gt;=35,W1514&lt;75),0.25,0)+IF(AND(V1514&lt;40,W1514&gt;=75),0.17,0)+IF(AND(V1514&gt;=40,V1514&lt;75,W1514&lt;25),0.35,0)+IF(AND(V1514&gt;=40,V1514&lt;75,W1514&gt;=25,W1514&lt;65),0.25,0)+IF(AND(V1514&gt;=40,V1514&lt;75,W1514&gt;=65,W1514&lt;100),0.17,0)+IF(AND(V1514&gt;=40,V1514&lt;75,W1514&gt;=100),0.1,0)+IF(AND(V1514&gt;=75,W1514&lt;25),0.35,0)+IF(AND(V1514&gt;=75,W1514&gt;=25,W1514&lt;60),0.25,0)+IF(AND(V1514&gt;=75,W1514&gt;=60,W1514&lt;95),0.17,0)+IF(AND(V1514&gt;=75,W1514&gt;=95),0.1,0),
IF(AF1514="DoEVold15",IF(AND(V1514&lt;=40,W1514&lt;35),0.35,0)+IF(AND(V1514&lt;=40,W1514&gt;=35,W1514&lt;75),0.25,0)+IF(AND(V1514&lt;=40,W1514&gt;=75,W1514&lt;120),0.17,0)+IF(AND(V1514&lt;=40,W1514&gt;=120),0.15,0)+IF(AND(V1514&gt;40,V1514&lt;75,W1514&lt;25),0.35,0)+IF(AND(V1514&gt;=40,V1514&lt;75,W1514&gt;=25,W1514&lt;65),0.25,0)+IF(AND(V1514&gt;=40,V1514&lt;75,W1514&gt;=65,W1514&lt;100),0.17,0)+IF(AND(V1514&gt;=40,V1514&lt;75,W1514&gt;=100),0.1,0)+IF(AND(V1514&gt;=75,W1514&lt;25),0.35,0)+IF(AND(V1514&gt;=75,W1514&gt;=25,W1514&lt;60),0.25,0)+IF(AND(V1514&gt;=75,W1514&gt;=60,W1514&lt;95),0.17,0)+IF(AND(V1514&gt;=75,W1514&gt;=95),0.1,0),
IF(AF1514="DoEVba",IF(AND(V1514&lt;20,W1514&lt;105),0.2,0)+IF(AND(V1514&lt;20,W1514&gt;=105),0.15,0)+IF(AND(V1514&gt;=20,V1514&lt;40,W1514&lt;95),0.2,0)+IF(AND(V1514&gt;=20,V1514&lt;40,W1514&gt;=95,W1514&lt;150),0.15,0)+IF(AND(V1514&gt;=20,V1514&lt;40,W1514&gt;=150),0.12,0)+IF(AND(V1514&gt;=40,V1514&lt;75,W1514&lt;75),0.2,0)+IF(AND(V1514&gt;=40,V1514&lt;75,W1514&gt;=75,W1514&lt;120),0.15,0)+IF(AND(V1514&gt;=40,V1514&lt;75,W1514&gt;=120),0.12,0)+IF(AND(V1514&gt;=75,V1514&lt;175,W1514&lt;65),0.2,0)+IF(AND(V1514&gt;=75,V1514&lt;175,W1514&gt;=65,W1514&lt;110),0.15,0)+IF(AND(V1514&gt;=75,V1514&lt;175,W1514&gt;=110),0.12,0)+IF(AND(V1514&gt;=175,W1514&lt;55),0.2,0)+IF(AND(V1514&gt;=175,W1514&gt;=55,W1514&lt;95),0.15,0)+IF(AND(V1514&gt;=175,W1514&gt;=95),0.12,0),
IF(AF1514="DoEVku",IF(AND(V1514&lt;20,W1514&lt;55),0.23,0)+IF(AND(V1514&lt;20,W1514&gt;=55,W1514&lt;105),0.2,0)+IF(AND(V1514&lt;20,W1514&gt;=105),0.17,0)+IF(AND(V1514&gt;=20,V1514&lt;40,W1514&lt;45),0.23,0)+IF(AND(V1514&gt;=20,V1514&lt;40,W1514&gt;=45,W1514&lt;95),0.2,0)+IF(AND(V1514&gt;=20,V1514&lt;40,W1514&gt;=95,W1514&lt;=150),0.17,0)+IF(AND(V1514&gt;=20,V1514&lt;40,W1514&gt;=150),0.12,0)+IF(AND(V1514&gt;=40,V1514&lt;75,W1514&lt;35),0.23,0)+IF(AND(V1514&gt;=40,V1514&lt;75,W1514&gt;=35,W1514&lt;75),0.2,0)+IF(AND(V1514&gt;=40,V1514&lt;75,W1514&gt;=75,W1514&lt;120),0.17,0)+IF(AND(V1514&gt;=40,V1514&lt;75,W1514&gt;=120),0.12,0)+IF(AND(V1514&gt;=75,V1514&lt;175,W1514&lt;35),0.23,0)+IF(AND(V1514&gt;=75,V1514&lt;=175,W1514&gt;=35,W1514&lt;65),0.2,0)+IF(AND(V1514&gt;=75,V1514&lt;=175,W1514&gt;=65,W1514&lt;110),0.17,0)+IF(AND(V1514&gt;=75,V1514&lt;=175,W1514&gt;=110),0.12,0)+IF(AND(V1514&gt;175,W1514&lt;25),0.23,0)+IF(AND(V1514&gt;175,W1514&gt;=25,W1514&lt;55),0.2,0)+IF(AND(V1514&gt;175,W1514&gt;=55,W1514&lt;95),0.17,0)+IF(AND(V1514&gt;175,W1514&gt;=95),0.12,0),
IF(AF1514="DoEVs1",IF(AND(V1514&lt;20,W1514&lt;55),0.3,0)+IF(AND(V1514&lt;20,W1514&gt;=55,W1514&lt;105),0.23,0)+IF(AND(V1514&lt;20,W1514&gt;=105),0.17,0)+IF(AND(V1514&gt;=20,V1514&lt;40,W1514&lt;45),0.3,0)+IF(AND(V1514&gt;=20,V1514&lt;40,W1514&gt;=45,W1514&lt;95),0.23,0)+IF(AND(V1514&gt;=20,V1514&lt;40,W1514&gt;=95,W1514&lt;=150),0.17,0)+IF(AND(V1514&gt;=20,V1514&lt;40,W1514&gt;=150),0.12,0)+IF(AND(V1514&gt;=40,V1514&lt;75,W1514&lt;35),0.3,0)+IF(AND(V1514&gt;=40,V1514&lt;75,W1514&gt;=35,W1514&lt;75),0.23,0)+IF(AND(V1514&gt;=40,V1514&lt;75,W1514&gt;=75,W1514&lt;120),0.17,0)+IF(AND(V1514&gt;=40,V1514&lt;75,W1514&gt;=120),0.12,0)+IF(AND(V1514&gt;=75,V1514&lt;175,W1514&lt;35),0.3,0)+IF(AND(V1514&gt;=75,V1514&lt;=175,W1514&gt;=35,W1514&lt;65),0.23,0)+IF(AND(V1514&gt;=75,V1514&lt;=175,W1514&gt;=65,W1514&lt;110),0.17,0)+IF(AND(V1514&gt;=75,V1514&lt;=175,W1514&gt;=110),0.12,0)+IF(AND(V1514&gt;175,W1514&lt;25),0.3,0)+IF(AND(V1514&gt;175,W1514&gt;=25,W1514&lt;55),0.23,0)+IF(AND(V1514&gt;175,W1514&gt;=55,W1514&lt;95),0.17,0)+IF(AND(V1514&gt;175,W1514&gt;=95),0.12,0),
IF(AF1514="DoEVsu",IF(AND(V1514&lt;20,W1514&lt;55),0.3,0)+IF(AND(V1514&lt;20,W1514&gt;=55,W1514&lt;105),0.23,0)+IF(AND(V1514&lt;20,W1514&gt;=105),0.17,0)+IF(AND(V1514&gt;=20,V1514&lt;40,W1514&lt;45),0.3,0)+IF(AND(V1514&gt;=20,V1514&lt;40,W1514&gt;=45,W1514&lt;95),0.23,0)+IF(AND(V1514&gt;=20,V1514&lt;40,W1514&gt;=95,W1514&lt;=250),0.17,0)+IF(AND(V1514&gt;=20,V1514&lt;40,W1514&gt;=250),0.12,0)+IF(AND(V1514&gt;=40,V1514&lt;75,W1514&lt;35),0.3,0)+IF(AND(V1514&gt;=40,V1514&lt;75,W1514&gt;=35,W1514&lt;75),0.23,0)+IF(AND(V1514&gt;=40,V1514&lt;75,W1514&gt;=75,W1514&lt;120),0.17,0)+IF(AND(V1514&gt;=40,V1514&lt;75,W1514&gt;=120),0.12,0)+IF(AND(V1514&gt;=75,V1514&lt;175,W1514&lt;35),0.3,0)+IF(AND(V1514&gt;=75,V1514&lt;=175,W1514&gt;=35,W1514&lt;65),0.23,0)+IF(AND(V1514&gt;=75,V1514&lt;=175,W1514&gt;=65,W1514&lt;110),0.17,0)+IF(AND(V1514&gt;=75,V1514&lt;=175,W1514&gt;=110),0.12,0)+IF(AND(V1514&gt;175,W1514&lt;25),0.3,0)+IF(AND(V1514&gt;175,W1514&gt;=25,W1514&lt;55),0.23,0)+IF(AND(V1514&gt;175,W1514&gt;=55,W1514&lt;95),0.17,0)+IF(AND(V1514&gt;175,W1514&gt;=95),0.12,0),
IF(AF1514="DoEVni",IF(AND(V1514&lt;20,W1514&lt;55),0.3,0)+IF(AND(V1514&lt;20,W1514&gt;=55,W1514&lt;105),0.23,0)+IF(AND(V1514&lt;20,W1514&gt;=105),0.17,0)+IF(AND(V1514&gt;=20,V1514&lt;40,W1514&lt;45),0.3,0)+IF(AND(V1514&gt;=20,V1514&lt;40,W1514&gt;=45,W1514&lt;95),0.23,0)+IF(AND(V1514&gt;=20,V1514&lt;40,W1514&gt;=95,W1514&lt;=200),0.17,0)+IF(AND(V1514&gt;=20,V1514&lt;40,W1514&gt;=200),0.12,0)+IF(AND(V1514&gt;=40,V1514&lt;75,W1514&lt;35),0.3,0)+IF(AND(V1514&gt;=40,V1514&lt;75,W1514&gt;=35,W1514&lt;75),0.23,0)+IF(AND(V1514&gt;=40,V1514&lt;75,W1514&gt;=75,W1514&lt;120),0.17,0)+IF(AND(V1514&gt;=40,V1514&lt;75,W1514&gt;=120),0.12,0)+IF(AND(V1514&gt;=75,V1514&lt;175,W1514&lt;35),0.3,0)+IF(AND(V1514&gt;=75,V1514&lt;=175,W1514&gt;=35,W1514&lt;65),0.23,0)+IF(AND(V1514&gt;=75,V1514&lt;=175,W1514&gt;=65,W1514&lt;110),0.17,0)+IF(AND(V1514&gt;=75,V1514&lt;=175,W1514&gt;=110),0.12,0)+IF(AND(V1514&gt;175,W1514&lt;25),0.3,0)+IF(AND(V1514&gt;175,W1514&gt;=25,W1514&lt;55),0.23,0)+IF(AND(V1514&gt;175,W1514&gt;=55,W1514&lt;95),0.17,0)+IF(AND(V1514&gt;175,W1514&gt;=95),0.12,0),
IF(AF1514="DoEVLo",IF(AND(V1514&lt;20,W1514&lt;55),0.25,0)+IF(AND(V1514&lt;20,W1514&gt;=55,W1514&lt;105),0.2,0)+IF(AND(V1514&lt;20,W1514&gt;=105),0.15,0)+IF(AND(V1514&gt;=20,V1514&lt;40,W1514&lt;45),0.25,0)+IF(AND(V1514&gt;=20,V1514&lt;40,W1514&gt;=45,W1514&lt;95),0.2,0)+IF(AND(V1514&gt;=20,V1514&lt;40,W1514&gt;=95),0.15,0)+IF(AND(V1514&gt;=40,V1514&lt;75,W1514&lt;35),0.25,0)+IF(AND(V1514&gt;=40,V1514&lt;75,W1514&gt;=35,W1514&lt;75),0.2,0)+IF(AND(V1514&gt;=40,V1514&lt;75,W1514&gt;=75,W1514&lt;120),0.15,0)+IF(AND(V1514&gt;=40,V1514&lt;75,W1514&gt;=120),0.1,0)+IF(AND(V1514&gt;=75,V1514&lt;175,W1514&lt;35),0.25,0)+IF(AND(V1514&gt;=75,V1514&lt;=175,W1514&gt;=35,W1514&lt;65),0.2,0)+IF(AND(V1514&gt;=75,V1514&lt;=175,W1514&gt;=65,W1514&lt;110),0.15,0)+IF(AND(V1514&gt;=75,V1514&lt;=175,W1514&gt;=110),0.1,0)+IF(AND(V1514&gt;175,W1514&lt;25),0.25,0)+IF(AND(V1514&gt;175,W1514&gt;=25,W1514&lt;55),0.2,0)+IF(AND(V1514&gt;175,W1514&gt;=55,W1514&lt;95),0.15,0)+IF(AND(V1514&gt;175,W1514&gt;=95),0.1,0))))))))))))))))))))</f>
        <v>0.1875</v>
      </c>
      <c r="Y1514" s="30">
        <f>IF(AG1514="None",0,IF(AG1514="Fix5",0.05, IF(AG1514="Fix6.25",0.0625,IF(AG1514="Fix3.75",0.0375, IF(AG1514="Fix11",0.11, IF(AG1514="Fix10",0.1,IF(AG1514="Fix3",0.03,0)))))))</f>
        <v>6.25E-2</v>
      </c>
      <c r="Z1514" s="35">
        <f>IF(AND(AD1514="EUR", AE1514 = "USD"), T1514*U1514-AA1514-AB1514, T1514-AA1514-AB1514)</f>
        <v>22101</v>
      </c>
      <c r="AA1514" s="29">
        <f>IF(AND(AD1514="EUR", F1514="Without EV deal", AE1514="USD"), (T1514*X1514)*U1514,
IF(AND(AD1514="EUR", F1514="Without EV deal", AE1514="EUR"), (T1514*X1514),
IF(AND(AD1514="EUR",AE1514="USD"), (T1514*X1514)*U1514,
T1514*X1514)))</f>
        <v>5525.25</v>
      </c>
      <c r="AB1514" s="36">
        <f>IF(AND(AD1514="EUR", F1514="Without EV deal", AE1514="USD"), (T1514*Y1514)*U1514,
IF(AND(AD1514="EUR", F1514="Without EV deal", AE1514="EUR"), (T1514*Y1514),
IF(AND(AD1514="EUR",AE1514="USD"), (T1514*Y1514)*U1514,
T1514*Y1514)))</f>
        <v>1841.75</v>
      </c>
      <c r="AC1514" s="37" t="b">
        <v>1</v>
      </c>
      <c r="AD1514" s="82" t="str">
        <f>IF(OR(H1514="€0.25 Flash",
H1514="€0.25(nitro) new",
H1514="€1",
H1514="€2",
H1514="€2 (bf 01.08)",
H1514="€5",
H1514="€5 (1M)",
H1514="€5 (bf 01.08)",
H1514="€5 (bf 05.05)",
H1514="€5 Nitro",
H1514="€5(wx) new",
H1514="€10",
H1514="€10 (1M)",
H1514="€10 (bf 01.08)",
H1514="€10 (bf 05.05)",
H1514="€10 (MP)",
H1514="€10 (old)",
H1514="€10 Nitro (bf 05.05)",
H1514="€10 Nitro (old)",
H1514="€10(wx) new",
H1514="€20",
H1514="€25",
H1514="€25 (bf 01.08)",
H1514="€25 (bf 05.05)",
H1514="€25 (MP)",
H1514="€25 (old)",
H1514="€25 Nitro",
H1514="€25 Nitro (bf 01.08)",
H1514="€25 Nitro (bf 05.05)",
H1514="€25(nitro) new",
H1514="€25(wx) new",
H1514="€50",
H1514="€50 (bf 01.08)",
H1514="€50 (bf 05.05)",
H1514="€50 (old)",
H1514="€50 Nitro",
H1514="€50 Nitro (bf 01.08)",
H1514="€50 Nitro (bf 05.05)",
H1514="€50(wx) new",
H1514="€100",
H1514="€100 (old)",
H1514="€100 Nitro",
H1514="€100 Nitro (old)",
H1514="€200",
H1514="€250",
H1514="€250 Nitro",
H1514="€500",
H1514="€500 Nitro"),"EUR", "USD")</f>
        <v>USD</v>
      </c>
      <c r="AE1514" s="83" t="s">
        <v>38</v>
      </c>
      <c r="AF1514" s="83" t="s">
        <v>146</v>
      </c>
      <c r="AG1514" s="84" t="s">
        <v>147</v>
      </c>
    </row>
    <row r="1515" spans="1:33" ht="14.25" hidden="1" x14ac:dyDescent="0.2">
      <c r="A1515" s="18" t="str">
        <f t="array" ref="A1515">IF(G1515='Room Info'!$B$1, INDEX('Room Info'!$A$2:$A2446, MATCH(B1515,'Room Info'!$B$2:$B2446, 0)),IF(G1515='Room Info'!$C$1, INDEX('Room Info'!$A$2:$A2446, MATCH(B1515,'Room Info'!$C$2:$C2446, 0)),IF(G1515='Room Info'!$D$1, INDEX('Room Info'!$A$2:$A2446, MATCH(B1515,'Room Info'!$D$2:$D2446, 0)),IF(G1515='Room Info'!$E$1, INDEX('Room Info'!$A$2:$A2446, MATCH(B1515,'Room Info'!$E$2:$E2446, 0)),IF(G1515='Room Info'!$F$1, INDEX('Room Info'!$A$2:$A2446, MATCH(B1515,'Room Info'!$F$2:$F2446, 0)),IF(G1515='Room Info'!$H$1, INDEX('Room Info'!$A$2:$A2446, MATCH(B1515,'Room Info'!$H$2:$H2446, 0)),IF(G1515='Room Info'!$G$1, INDEX('Room Info'!$A$2:$A2446, MATCH(B1515,'Room Info'!$G$2:$G2446, 0)))))))))</f>
        <v>benyya</v>
      </c>
      <c r="B1515" s="54" t="s">
        <v>145</v>
      </c>
      <c r="C1515" s="46">
        <v>44958</v>
      </c>
      <c r="D1515" s="46">
        <v>44985</v>
      </c>
      <c r="E1515" s="80">
        <v>44958</v>
      </c>
      <c r="F1515" s="45" t="s">
        <v>49</v>
      </c>
      <c r="G1515" s="18" t="s">
        <v>35</v>
      </c>
      <c r="H1515" s="49" t="s">
        <v>70</v>
      </c>
      <c r="I1515" s="23" t="s">
        <v>37</v>
      </c>
      <c r="J1515" s="39">
        <v>100</v>
      </c>
      <c r="K1515" s="51">
        <v>4</v>
      </c>
      <c r="L1515" s="107">
        <v>100</v>
      </c>
      <c r="M1515" s="62"/>
      <c r="N1515" s="28">
        <f>K1515*J1515</f>
        <v>400</v>
      </c>
      <c r="O1515" s="108">
        <v>1143</v>
      </c>
      <c r="P1515" s="29">
        <v>285.75</v>
      </c>
      <c r="Q1515" s="55"/>
      <c r="R1515" s="31">
        <f>M1515+Q1515*J1515*K1515*0.07</f>
        <v>0</v>
      </c>
      <c r="S1515" s="109">
        <v>196</v>
      </c>
      <c r="T1515" s="32">
        <f>IF(AND(AD1515="EUR", F1515="Without EV deal"), R1515 + L1515,
IF(AND(AD1515="USD", F1515="Without EV deal"), R1515 + L1515,
IF(AND(AD1515="EUR", F1515="Steel Phoenix"), R1515 + S1515/U1515,
R1515 + S1515)))</f>
        <v>196</v>
      </c>
      <c r="U1515" s="57"/>
      <c r="V1515" s="58">
        <v>147.51</v>
      </c>
      <c r="W1515" s="58">
        <v>85</v>
      </c>
      <c r="X1515" s="30">
        <f>IF(AF1515="DoEV",IF(AND(V1515&lt;20,W1515&lt;55),0.3,0)+IF(AND(V1515&lt;20,W1515&gt;=55,W1515&lt;105),0.23,0)+IF(AND(V1515&lt;20,W1515&gt;=105),0.17,0)+IF(AND(V1515&gt;=20,V1515&lt;40,W1515&lt;45),0.3,0)+IF(AND(V1515&gt;=20,V1515&lt;40,W1515&gt;=45,W1515&lt;95),0.23,0)+IF(AND(V1515&gt;=20,V1515&lt;40,W1515&gt;=95),0.17,0)+IF(AND(V1515&gt;=40,V1515&lt;75,W1515&lt;35),0.3,0)+IF(AND(V1515&gt;=40,V1515&lt;75,W1515&gt;=35,W1515&lt;75),0.23,0)+IF(AND(V1515&gt;=40,V1515&lt;75,W1515&gt;=75,W1515&lt;120),0.17,0)+IF(AND(V1515&gt;=40,V1515&lt;75,W1515&gt;=120),0.12,0)+IF(AND(V1515&gt;=75,V1515&lt;175,W1515&lt;35),0.3,0)+IF(AND(V1515&gt;=75,V1515&lt;=175,W1515&gt;=35,W1515&lt;65),0.23,0)+IF(AND(V1515&gt;=75,V1515&lt;=175,W1515&gt;=65,W1515&lt;110),0.17,0)+IF(AND(V1515&gt;=75,V1515&lt;=175,W1515&gt;=110),0.12,0)+IF(AND(V1515&gt;175,W1515&lt;25),0.3,0)+IF(AND(V1515&gt;175,W1515&gt;=25,W1515&lt;55),0.23,0)+IF(AND(V1515&gt;175,W1515&gt;=55,W1515&lt;95),0.17,0)+IF(AND(V1515&gt;175,W1515&gt;=95),0.12,0),
IF(AF1515="Fix15",0.15,
IF(AF1515="Fix5",0.05,
IF(AF1515="Fix18.75",0.1875,
IF(AF1515="Fix11.25",0.1125,
IF(AF1515="Fix10",0.1,
IF(AF1515="Fix9",0.09,
IF(AF1515="Fix12",0.12,
IF(AF1515="Fix19",0.19,
IF(AF1515="DoEV2017",IF(AND(W1515&lt;74),0.2,0)+IF(AND(W1515&gt;=74),0.17,0),
IF(AF1515="SF",IF(AND(V1515&lt;20,W1515&lt;89),0.3,0)+IF(AND(V1515&lt;20,W1515&gt;=89),0.25,0)+IF(AND(V1515&gt;=20,V1515&lt;40,W1515&lt;74),0.3,0)+IF(AND(V1515&gt;=20,V1515&lt;40,W1515&gt;=75),0.22,0)+IF(AND(V1515&gt;=40,V1515&lt;75,W1515&lt;75),0.26,0)+IF(AND(V1515&gt;=40,V1515&lt;75,W1515&gt;=75),0.22,0)+IF(V1515&gt;=75,0.22,0),
IF(AF1515="DoEVold",IF(AND(V1515&lt;40,W1515&lt;35),0.35,0)+IF(AND(V1515&lt;40,W1515&gt;=35,W1515&lt;75),0.25,0)+IF(AND(V1515&lt;40,W1515&gt;=75),0.17,0)+IF(AND(V1515&gt;=40,V1515&lt;75,W1515&lt;25),0.35,0)+IF(AND(V1515&gt;=40,V1515&lt;75,W1515&gt;=25,W1515&lt;65),0.25,0)+IF(AND(V1515&gt;=40,V1515&lt;75,W1515&gt;=65,W1515&lt;100),0.17,0)+IF(AND(V1515&gt;=40,V1515&lt;75,W1515&gt;=100),0.1,0)+IF(AND(V1515&gt;=75,W1515&lt;25),0.35,0)+IF(AND(V1515&gt;=75,W1515&gt;=25,W1515&lt;60),0.25,0)+IF(AND(V1515&gt;=75,W1515&gt;=60,W1515&lt;95),0.17,0)+IF(AND(V1515&gt;=75,W1515&gt;=95),0.1,0),
IF(AF1515="DoEVold15",IF(AND(V1515&lt;=40,W1515&lt;35),0.35,0)+IF(AND(V1515&lt;=40,W1515&gt;=35,W1515&lt;75),0.25,0)+IF(AND(V1515&lt;=40,W1515&gt;=75,W1515&lt;120),0.17,0)+IF(AND(V1515&lt;=40,W1515&gt;=120),0.15,0)+IF(AND(V1515&gt;40,V1515&lt;75,W1515&lt;25),0.35,0)+IF(AND(V1515&gt;=40,V1515&lt;75,W1515&gt;=25,W1515&lt;65),0.25,0)+IF(AND(V1515&gt;=40,V1515&lt;75,W1515&gt;=65,W1515&lt;100),0.17,0)+IF(AND(V1515&gt;=40,V1515&lt;75,W1515&gt;=100),0.1,0)+IF(AND(V1515&gt;=75,W1515&lt;25),0.35,0)+IF(AND(V1515&gt;=75,W1515&gt;=25,W1515&lt;60),0.25,0)+IF(AND(V1515&gt;=75,W1515&gt;=60,W1515&lt;95),0.17,0)+IF(AND(V1515&gt;=75,W1515&gt;=95),0.1,0),
IF(AF1515="DoEVba",IF(AND(V1515&lt;20,W1515&lt;105),0.2,0)+IF(AND(V1515&lt;20,W1515&gt;=105),0.15,0)+IF(AND(V1515&gt;=20,V1515&lt;40,W1515&lt;95),0.2,0)+IF(AND(V1515&gt;=20,V1515&lt;40,W1515&gt;=95,W1515&lt;150),0.15,0)+IF(AND(V1515&gt;=20,V1515&lt;40,W1515&gt;=150),0.12,0)+IF(AND(V1515&gt;=40,V1515&lt;75,W1515&lt;75),0.2,0)+IF(AND(V1515&gt;=40,V1515&lt;75,W1515&gt;=75,W1515&lt;120),0.15,0)+IF(AND(V1515&gt;=40,V1515&lt;75,W1515&gt;=120),0.12,0)+IF(AND(V1515&gt;=75,V1515&lt;175,W1515&lt;65),0.2,0)+IF(AND(V1515&gt;=75,V1515&lt;175,W1515&gt;=65,W1515&lt;110),0.15,0)+IF(AND(V1515&gt;=75,V1515&lt;175,W1515&gt;=110),0.12,0)+IF(AND(V1515&gt;=175,W1515&lt;55),0.2,0)+IF(AND(V1515&gt;=175,W1515&gt;=55,W1515&lt;95),0.15,0)+IF(AND(V1515&gt;=175,W1515&gt;=95),0.12,0),
IF(AF1515="DoEVku",IF(AND(V1515&lt;20,W1515&lt;55),0.23,0)+IF(AND(V1515&lt;20,W1515&gt;=55,W1515&lt;105),0.2,0)+IF(AND(V1515&lt;20,W1515&gt;=105),0.17,0)+IF(AND(V1515&gt;=20,V1515&lt;40,W1515&lt;45),0.23,0)+IF(AND(V1515&gt;=20,V1515&lt;40,W1515&gt;=45,W1515&lt;95),0.2,0)+IF(AND(V1515&gt;=20,V1515&lt;40,W1515&gt;=95,W1515&lt;=150),0.17,0)+IF(AND(V1515&gt;=20,V1515&lt;40,W1515&gt;=150),0.12,0)+IF(AND(V1515&gt;=40,V1515&lt;75,W1515&lt;35),0.23,0)+IF(AND(V1515&gt;=40,V1515&lt;75,W1515&gt;=35,W1515&lt;75),0.2,0)+IF(AND(V1515&gt;=40,V1515&lt;75,W1515&gt;=75,W1515&lt;120),0.17,0)+IF(AND(V1515&gt;=40,V1515&lt;75,W1515&gt;=120),0.12,0)+IF(AND(V1515&gt;=75,V1515&lt;175,W1515&lt;35),0.23,0)+IF(AND(V1515&gt;=75,V1515&lt;=175,W1515&gt;=35,W1515&lt;65),0.2,0)+IF(AND(V1515&gt;=75,V1515&lt;=175,W1515&gt;=65,W1515&lt;110),0.17,0)+IF(AND(V1515&gt;=75,V1515&lt;=175,W1515&gt;=110),0.12,0)+IF(AND(V1515&gt;175,W1515&lt;25),0.23,0)+IF(AND(V1515&gt;175,W1515&gt;=25,W1515&lt;55),0.2,0)+IF(AND(V1515&gt;175,W1515&gt;=55,W1515&lt;95),0.17,0)+IF(AND(V1515&gt;175,W1515&gt;=95),0.12,0),
IF(AF1515="DoEVs1",IF(AND(V1515&lt;20,W1515&lt;55),0.3,0)+IF(AND(V1515&lt;20,W1515&gt;=55,W1515&lt;105),0.23,0)+IF(AND(V1515&lt;20,W1515&gt;=105),0.17,0)+IF(AND(V1515&gt;=20,V1515&lt;40,W1515&lt;45),0.3,0)+IF(AND(V1515&gt;=20,V1515&lt;40,W1515&gt;=45,W1515&lt;95),0.23,0)+IF(AND(V1515&gt;=20,V1515&lt;40,W1515&gt;=95,W1515&lt;=150),0.17,0)+IF(AND(V1515&gt;=20,V1515&lt;40,W1515&gt;=150),0.12,0)+IF(AND(V1515&gt;=40,V1515&lt;75,W1515&lt;35),0.3,0)+IF(AND(V1515&gt;=40,V1515&lt;75,W1515&gt;=35,W1515&lt;75),0.23,0)+IF(AND(V1515&gt;=40,V1515&lt;75,W1515&gt;=75,W1515&lt;120),0.17,0)+IF(AND(V1515&gt;=40,V1515&lt;75,W1515&gt;=120),0.12,0)+IF(AND(V1515&gt;=75,V1515&lt;175,W1515&lt;35),0.3,0)+IF(AND(V1515&gt;=75,V1515&lt;=175,W1515&gt;=35,W1515&lt;65),0.23,0)+IF(AND(V1515&gt;=75,V1515&lt;=175,W1515&gt;=65,W1515&lt;110),0.17,0)+IF(AND(V1515&gt;=75,V1515&lt;=175,W1515&gt;=110),0.12,0)+IF(AND(V1515&gt;175,W1515&lt;25),0.3,0)+IF(AND(V1515&gt;175,W1515&gt;=25,W1515&lt;55),0.23,0)+IF(AND(V1515&gt;175,W1515&gt;=55,W1515&lt;95),0.17,0)+IF(AND(V1515&gt;175,W1515&gt;=95),0.12,0),
IF(AF1515="DoEVsu",IF(AND(V1515&lt;20,W1515&lt;55),0.3,0)+IF(AND(V1515&lt;20,W1515&gt;=55,W1515&lt;105),0.23,0)+IF(AND(V1515&lt;20,W1515&gt;=105),0.17,0)+IF(AND(V1515&gt;=20,V1515&lt;40,W1515&lt;45),0.3,0)+IF(AND(V1515&gt;=20,V1515&lt;40,W1515&gt;=45,W1515&lt;95),0.23,0)+IF(AND(V1515&gt;=20,V1515&lt;40,W1515&gt;=95,W1515&lt;=250),0.17,0)+IF(AND(V1515&gt;=20,V1515&lt;40,W1515&gt;=250),0.12,0)+IF(AND(V1515&gt;=40,V1515&lt;75,W1515&lt;35),0.3,0)+IF(AND(V1515&gt;=40,V1515&lt;75,W1515&gt;=35,W1515&lt;75),0.23,0)+IF(AND(V1515&gt;=40,V1515&lt;75,W1515&gt;=75,W1515&lt;120),0.17,0)+IF(AND(V1515&gt;=40,V1515&lt;75,W1515&gt;=120),0.12,0)+IF(AND(V1515&gt;=75,V1515&lt;175,W1515&lt;35),0.3,0)+IF(AND(V1515&gt;=75,V1515&lt;=175,W1515&gt;=35,W1515&lt;65),0.23,0)+IF(AND(V1515&gt;=75,V1515&lt;=175,W1515&gt;=65,W1515&lt;110),0.17,0)+IF(AND(V1515&gt;=75,V1515&lt;=175,W1515&gt;=110),0.12,0)+IF(AND(V1515&gt;175,W1515&lt;25),0.3,0)+IF(AND(V1515&gt;175,W1515&gt;=25,W1515&lt;55),0.23,0)+IF(AND(V1515&gt;175,W1515&gt;=55,W1515&lt;95),0.17,0)+IF(AND(V1515&gt;175,W1515&gt;=95),0.12,0),
IF(AF1515="DoEVni",IF(AND(V1515&lt;20,W1515&lt;55),0.3,0)+IF(AND(V1515&lt;20,W1515&gt;=55,W1515&lt;105),0.23,0)+IF(AND(V1515&lt;20,W1515&gt;=105),0.17,0)+IF(AND(V1515&gt;=20,V1515&lt;40,W1515&lt;45),0.3,0)+IF(AND(V1515&gt;=20,V1515&lt;40,W1515&gt;=45,W1515&lt;95),0.23,0)+IF(AND(V1515&gt;=20,V1515&lt;40,W1515&gt;=95,W1515&lt;=200),0.17,0)+IF(AND(V1515&gt;=20,V1515&lt;40,W1515&gt;=200),0.12,0)+IF(AND(V1515&gt;=40,V1515&lt;75,W1515&lt;35),0.3,0)+IF(AND(V1515&gt;=40,V1515&lt;75,W1515&gt;=35,W1515&lt;75),0.23,0)+IF(AND(V1515&gt;=40,V1515&lt;75,W1515&gt;=75,W1515&lt;120),0.17,0)+IF(AND(V1515&gt;=40,V1515&lt;75,W1515&gt;=120),0.12,0)+IF(AND(V1515&gt;=75,V1515&lt;175,W1515&lt;35),0.3,0)+IF(AND(V1515&gt;=75,V1515&lt;=175,W1515&gt;=35,W1515&lt;65),0.23,0)+IF(AND(V1515&gt;=75,V1515&lt;=175,W1515&gt;=65,W1515&lt;110),0.17,0)+IF(AND(V1515&gt;=75,V1515&lt;=175,W1515&gt;=110),0.12,0)+IF(AND(V1515&gt;175,W1515&lt;25),0.3,0)+IF(AND(V1515&gt;175,W1515&gt;=25,W1515&lt;55),0.23,0)+IF(AND(V1515&gt;175,W1515&gt;=55,W1515&lt;95),0.17,0)+IF(AND(V1515&gt;175,W1515&gt;=95),0.12,0),
IF(AF1515="DoEVLo",IF(AND(V1515&lt;20,W1515&lt;55),0.25,0)+IF(AND(V1515&lt;20,W1515&gt;=55,W1515&lt;105),0.2,0)+IF(AND(V1515&lt;20,W1515&gt;=105),0.15,0)+IF(AND(V1515&gt;=20,V1515&lt;40,W1515&lt;45),0.25,0)+IF(AND(V1515&gt;=20,V1515&lt;40,W1515&gt;=45,W1515&lt;95),0.2,0)+IF(AND(V1515&gt;=20,V1515&lt;40,W1515&gt;=95),0.15,0)+IF(AND(V1515&gt;=40,V1515&lt;75,W1515&lt;35),0.25,0)+IF(AND(V1515&gt;=40,V1515&lt;75,W1515&gt;=35,W1515&lt;75),0.2,0)+IF(AND(V1515&gt;=40,V1515&lt;75,W1515&gt;=75,W1515&lt;120),0.15,0)+IF(AND(V1515&gt;=40,V1515&lt;75,W1515&gt;=120),0.1,0)+IF(AND(V1515&gt;=75,V1515&lt;175,W1515&lt;35),0.25,0)+IF(AND(V1515&gt;=75,V1515&lt;=175,W1515&gt;=35,W1515&lt;65),0.2,0)+IF(AND(V1515&gt;=75,V1515&lt;=175,W1515&gt;=65,W1515&lt;110),0.15,0)+IF(AND(V1515&gt;=75,V1515&lt;=175,W1515&gt;=110),0.1,0)+IF(AND(V1515&gt;175,W1515&lt;25),0.25,0)+IF(AND(V1515&gt;175,W1515&gt;=25,W1515&lt;55),0.2,0)+IF(AND(V1515&gt;175,W1515&gt;=55,W1515&lt;95),0.15,0)+IF(AND(V1515&gt;175,W1515&gt;=95),0.1,0))))))))))))))))))))</f>
        <v>0.1875</v>
      </c>
      <c r="Y1515" s="30">
        <f>IF(AG1515="None",0,IF(AG1515="Fix5",0.05, IF(AG1515="Fix6.25",0.0625,IF(AG1515="Fix3.75",0.0375, IF(AG1515="Fix11",0.11, IF(AG1515="Fix10",0.1,IF(AG1515="Fix3",0.03,0)))))))</f>
        <v>6.25E-2</v>
      </c>
      <c r="Z1515" s="35">
        <f>IF(AND(AD1515="EUR", AE1515 = "USD"), T1515*U1515-AA1515-AB1515, T1515-AA1515-AB1515)</f>
        <v>147</v>
      </c>
      <c r="AA1515" s="29">
        <f>IF(AND(AD1515="EUR", F1515="Without EV deal", AE1515="USD"), (T1515*X1515)*U1515,
IF(AND(AD1515="EUR", F1515="Without EV deal", AE1515="EUR"), (T1515*X1515),
IF(AND(AD1515="EUR",AE1515="USD"), (T1515*X1515)*U1515,
T1515*X1515)))</f>
        <v>36.75</v>
      </c>
      <c r="AB1515" s="36">
        <f>IF(AND(AD1515="EUR", F1515="Without EV deal", AE1515="USD"), (T1515*Y1515)*U1515,
IF(AND(AD1515="EUR", F1515="Without EV deal", AE1515="EUR"), (T1515*Y1515),
IF(AND(AD1515="EUR",AE1515="USD"), (T1515*Y1515)*U1515,
T1515*Y1515)))</f>
        <v>12.25</v>
      </c>
      <c r="AC1515" s="37" t="b">
        <v>1</v>
      </c>
      <c r="AD1515" s="82" t="str">
        <f>IF(OR(H1515="€0.25 Flash",
H1515="€0.25(nitro) new",
H1515="€1",
H1515="€2",
H1515="€2 (bf 01.08)",
H1515="€5",
H1515="€5 (1M)",
H1515="€5 (bf 01.08)",
H1515="€5 (bf 05.05)",
H1515="€5 Nitro",
H1515="€5(wx) new",
H1515="€10",
H1515="€10 (1M)",
H1515="€10 (bf 01.08)",
H1515="€10 (bf 05.05)",
H1515="€10 (MP)",
H1515="€10 (old)",
H1515="€10 Nitro (bf 05.05)",
H1515="€10 Nitro (old)",
H1515="€10(wx) new",
H1515="€20",
H1515="€25",
H1515="€25 (bf 01.08)",
H1515="€25 (bf 05.05)",
H1515="€25 (MP)",
H1515="€25 (old)",
H1515="€25 Nitro",
H1515="€25 Nitro (bf 01.08)",
H1515="€25 Nitro (bf 05.05)",
H1515="€25(nitro) new",
H1515="€25(wx) new",
H1515="€50",
H1515="€50 (bf 01.08)",
H1515="€50 (bf 05.05)",
H1515="€50 (old)",
H1515="€50 Nitro",
H1515="€50 Nitro (bf 01.08)",
H1515="€50 Nitro (bf 05.05)",
H1515="€50(wx) new",
H1515="€100",
H1515="€100 (old)",
H1515="€100 Nitro",
H1515="€100 Nitro (old)",
H1515="€200",
H1515="€250",
H1515="€250 Nitro",
H1515="€500",
H1515="€500 Nitro"),"EUR", "USD")</f>
        <v>USD</v>
      </c>
      <c r="AE1515" s="83" t="s">
        <v>38</v>
      </c>
      <c r="AF1515" s="83" t="s">
        <v>146</v>
      </c>
      <c r="AG1515" s="84" t="s">
        <v>147</v>
      </c>
    </row>
    <row r="1516" spans="1:33" ht="14.25" hidden="1" x14ac:dyDescent="0.2">
      <c r="A1516" s="18" t="str">
        <f t="array" ref="A1516">IF(G1516='Room Info'!$B$1, INDEX('Room Info'!$A$2:$A2446, MATCH(B1516,'Room Info'!$B$2:$B2446, 0)),IF(G1516='Room Info'!$C$1, INDEX('Room Info'!$A$2:$A2446, MATCH(B1516,'Room Info'!$C$2:$C2446, 0)),IF(G1516='Room Info'!$D$1, INDEX('Room Info'!$A$2:$A2446, MATCH(B1516,'Room Info'!$D$2:$D2446, 0)),IF(G1516='Room Info'!$E$1, INDEX('Room Info'!$A$2:$A2446, MATCH(B1516,'Room Info'!$E$2:$E2446, 0)),IF(G1516='Room Info'!$F$1, INDEX('Room Info'!$A$2:$A2446, MATCH(B1516,'Room Info'!$F$2:$F2446, 0)),IF(G1516='Room Info'!$H$1, INDEX('Room Info'!$A$2:$A2446, MATCH(B1516,'Room Info'!$H$2:$H2446, 0)),IF(G1516='Room Info'!$G$1, INDEX('Room Info'!$A$2:$A2446, MATCH(B1516,'Room Info'!$G$2:$G2446, 0)))))))))</f>
        <v>benyya</v>
      </c>
      <c r="B1516" s="54" t="s">
        <v>145</v>
      </c>
      <c r="C1516" s="46">
        <v>44958</v>
      </c>
      <c r="D1516" s="46">
        <v>44985</v>
      </c>
      <c r="E1516" s="80">
        <v>44958</v>
      </c>
      <c r="F1516" s="45" t="s">
        <v>49</v>
      </c>
      <c r="G1516" s="18" t="s">
        <v>35</v>
      </c>
      <c r="H1516" s="49" t="s">
        <v>84</v>
      </c>
      <c r="I1516" s="49" t="s">
        <v>44</v>
      </c>
      <c r="J1516" s="39">
        <v>100</v>
      </c>
      <c r="K1516" s="51">
        <v>4093</v>
      </c>
      <c r="L1516" s="107">
        <v>-14800</v>
      </c>
      <c r="M1516" s="62"/>
      <c r="N1516" s="28">
        <f>K1516*J1516</f>
        <v>409300</v>
      </c>
      <c r="O1516" s="108">
        <v>23592</v>
      </c>
      <c r="P1516" s="29">
        <v>5.7639872949999997</v>
      </c>
      <c r="Q1516" s="55"/>
      <c r="R1516" s="31">
        <f>M1516+Q1516*J1516*K1516*0.07</f>
        <v>0</v>
      </c>
      <c r="S1516" s="109">
        <v>-11585</v>
      </c>
      <c r="T1516" s="32">
        <f>IF(AND(AD1516="EUR", F1516="Without EV deal"), R1516 + L1516,
IF(AND(AD1516="USD", F1516="Without EV deal"), R1516 + L1516,
IF(AND(AD1516="EUR", F1516="Steel Phoenix"), R1516 + S1516/U1516,
R1516 + S1516)))</f>
        <v>-11585</v>
      </c>
      <c r="U1516" s="57"/>
      <c r="V1516" s="58">
        <v>147.51</v>
      </c>
      <c r="W1516" s="58">
        <v>85</v>
      </c>
      <c r="X1516" s="30">
        <f>IF(AF1516="DoEV",IF(AND(V1516&lt;20,W1516&lt;55),0.3,0)+IF(AND(V1516&lt;20,W1516&gt;=55,W1516&lt;105),0.23,0)+IF(AND(V1516&lt;20,W1516&gt;=105),0.17,0)+IF(AND(V1516&gt;=20,V1516&lt;40,W1516&lt;45),0.3,0)+IF(AND(V1516&gt;=20,V1516&lt;40,W1516&gt;=45,W1516&lt;95),0.23,0)+IF(AND(V1516&gt;=20,V1516&lt;40,W1516&gt;=95),0.17,0)+IF(AND(V1516&gt;=40,V1516&lt;75,W1516&lt;35),0.3,0)+IF(AND(V1516&gt;=40,V1516&lt;75,W1516&gt;=35,W1516&lt;75),0.23,0)+IF(AND(V1516&gt;=40,V1516&lt;75,W1516&gt;=75,W1516&lt;120),0.17,0)+IF(AND(V1516&gt;=40,V1516&lt;75,W1516&gt;=120),0.12,0)+IF(AND(V1516&gt;=75,V1516&lt;175,W1516&lt;35),0.3,0)+IF(AND(V1516&gt;=75,V1516&lt;=175,W1516&gt;=35,W1516&lt;65),0.23,0)+IF(AND(V1516&gt;=75,V1516&lt;=175,W1516&gt;=65,W1516&lt;110),0.17,0)+IF(AND(V1516&gt;=75,V1516&lt;=175,W1516&gt;=110),0.12,0)+IF(AND(V1516&gt;175,W1516&lt;25),0.3,0)+IF(AND(V1516&gt;175,W1516&gt;=25,W1516&lt;55),0.23,0)+IF(AND(V1516&gt;175,W1516&gt;=55,W1516&lt;95),0.17,0)+IF(AND(V1516&gt;175,W1516&gt;=95),0.12,0),
IF(AF1516="Fix15",0.15,
IF(AF1516="Fix5",0.05,
IF(AF1516="Fix18.75",0.1875,
IF(AF1516="Fix11.25",0.1125,
IF(AF1516="Fix10",0.1,
IF(AF1516="Fix9",0.09,
IF(AF1516="Fix12",0.12,
IF(AF1516="Fix19",0.19,
IF(AF1516="DoEV2017",IF(AND(W1516&lt;74),0.2,0)+IF(AND(W1516&gt;=74),0.17,0),
IF(AF1516="SF",IF(AND(V1516&lt;20,W1516&lt;89),0.3,0)+IF(AND(V1516&lt;20,W1516&gt;=89),0.25,0)+IF(AND(V1516&gt;=20,V1516&lt;40,W1516&lt;74),0.3,0)+IF(AND(V1516&gt;=20,V1516&lt;40,W1516&gt;=75),0.22,0)+IF(AND(V1516&gt;=40,V1516&lt;75,W1516&lt;75),0.26,0)+IF(AND(V1516&gt;=40,V1516&lt;75,W1516&gt;=75),0.22,0)+IF(V1516&gt;=75,0.22,0),
IF(AF1516="DoEVold",IF(AND(V1516&lt;40,W1516&lt;35),0.35,0)+IF(AND(V1516&lt;40,W1516&gt;=35,W1516&lt;75),0.25,0)+IF(AND(V1516&lt;40,W1516&gt;=75),0.17,0)+IF(AND(V1516&gt;=40,V1516&lt;75,W1516&lt;25),0.35,0)+IF(AND(V1516&gt;=40,V1516&lt;75,W1516&gt;=25,W1516&lt;65),0.25,0)+IF(AND(V1516&gt;=40,V1516&lt;75,W1516&gt;=65,W1516&lt;100),0.17,0)+IF(AND(V1516&gt;=40,V1516&lt;75,W1516&gt;=100),0.1,0)+IF(AND(V1516&gt;=75,W1516&lt;25),0.35,0)+IF(AND(V1516&gt;=75,W1516&gt;=25,W1516&lt;60),0.25,0)+IF(AND(V1516&gt;=75,W1516&gt;=60,W1516&lt;95),0.17,0)+IF(AND(V1516&gt;=75,W1516&gt;=95),0.1,0),
IF(AF1516="DoEVold15",IF(AND(V1516&lt;=40,W1516&lt;35),0.35,0)+IF(AND(V1516&lt;=40,W1516&gt;=35,W1516&lt;75),0.25,0)+IF(AND(V1516&lt;=40,W1516&gt;=75,W1516&lt;120),0.17,0)+IF(AND(V1516&lt;=40,W1516&gt;=120),0.15,0)+IF(AND(V1516&gt;40,V1516&lt;75,W1516&lt;25),0.35,0)+IF(AND(V1516&gt;=40,V1516&lt;75,W1516&gt;=25,W1516&lt;65),0.25,0)+IF(AND(V1516&gt;=40,V1516&lt;75,W1516&gt;=65,W1516&lt;100),0.17,0)+IF(AND(V1516&gt;=40,V1516&lt;75,W1516&gt;=100),0.1,0)+IF(AND(V1516&gt;=75,W1516&lt;25),0.35,0)+IF(AND(V1516&gt;=75,W1516&gt;=25,W1516&lt;60),0.25,0)+IF(AND(V1516&gt;=75,W1516&gt;=60,W1516&lt;95),0.17,0)+IF(AND(V1516&gt;=75,W1516&gt;=95),0.1,0),
IF(AF1516="DoEVba",IF(AND(V1516&lt;20,W1516&lt;105),0.2,0)+IF(AND(V1516&lt;20,W1516&gt;=105),0.15,0)+IF(AND(V1516&gt;=20,V1516&lt;40,W1516&lt;95),0.2,0)+IF(AND(V1516&gt;=20,V1516&lt;40,W1516&gt;=95,W1516&lt;150),0.15,0)+IF(AND(V1516&gt;=20,V1516&lt;40,W1516&gt;=150),0.12,0)+IF(AND(V1516&gt;=40,V1516&lt;75,W1516&lt;75),0.2,0)+IF(AND(V1516&gt;=40,V1516&lt;75,W1516&gt;=75,W1516&lt;120),0.15,0)+IF(AND(V1516&gt;=40,V1516&lt;75,W1516&gt;=120),0.12,0)+IF(AND(V1516&gt;=75,V1516&lt;175,W1516&lt;65),0.2,0)+IF(AND(V1516&gt;=75,V1516&lt;175,W1516&gt;=65,W1516&lt;110),0.15,0)+IF(AND(V1516&gt;=75,V1516&lt;175,W1516&gt;=110),0.12,0)+IF(AND(V1516&gt;=175,W1516&lt;55),0.2,0)+IF(AND(V1516&gt;=175,W1516&gt;=55,W1516&lt;95),0.15,0)+IF(AND(V1516&gt;=175,W1516&gt;=95),0.12,0),
IF(AF1516="DoEVku",IF(AND(V1516&lt;20,W1516&lt;55),0.23,0)+IF(AND(V1516&lt;20,W1516&gt;=55,W1516&lt;105),0.2,0)+IF(AND(V1516&lt;20,W1516&gt;=105),0.17,0)+IF(AND(V1516&gt;=20,V1516&lt;40,W1516&lt;45),0.23,0)+IF(AND(V1516&gt;=20,V1516&lt;40,W1516&gt;=45,W1516&lt;95),0.2,0)+IF(AND(V1516&gt;=20,V1516&lt;40,W1516&gt;=95,W1516&lt;=150),0.17,0)+IF(AND(V1516&gt;=20,V1516&lt;40,W1516&gt;=150),0.12,0)+IF(AND(V1516&gt;=40,V1516&lt;75,W1516&lt;35),0.23,0)+IF(AND(V1516&gt;=40,V1516&lt;75,W1516&gt;=35,W1516&lt;75),0.2,0)+IF(AND(V1516&gt;=40,V1516&lt;75,W1516&gt;=75,W1516&lt;120),0.17,0)+IF(AND(V1516&gt;=40,V1516&lt;75,W1516&gt;=120),0.12,0)+IF(AND(V1516&gt;=75,V1516&lt;175,W1516&lt;35),0.23,0)+IF(AND(V1516&gt;=75,V1516&lt;=175,W1516&gt;=35,W1516&lt;65),0.2,0)+IF(AND(V1516&gt;=75,V1516&lt;=175,W1516&gt;=65,W1516&lt;110),0.17,0)+IF(AND(V1516&gt;=75,V1516&lt;=175,W1516&gt;=110),0.12,0)+IF(AND(V1516&gt;175,W1516&lt;25),0.23,0)+IF(AND(V1516&gt;175,W1516&gt;=25,W1516&lt;55),0.2,0)+IF(AND(V1516&gt;175,W1516&gt;=55,W1516&lt;95),0.17,0)+IF(AND(V1516&gt;175,W1516&gt;=95),0.12,0),
IF(AF1516="DoEVs1",IF(AND(V1516&lt;20,W1516&lt;55),0.3,0)+IF(AND(V1516&lt;20,W1516&gt;=55,W1516&lt;105),0.23,0)+IF(AND(V1516&lt;20,W1516&gt;=105),0.17,0)+IF(AND(V1516&gt;=20,V1516&lt;40,W1516&lt;45),0.3,0)+IF(AND(V1516&gt;=20,V1516&lt;40,W1516&gt;=45,W1516&lt;95),0.23,0)+IF(AND(V1516&gt;=20,V1516&lt;40,W1516&gt;=95,W1516&lt;=150),0.17,0)+IF(AND(V1516&gt;=20,V1516&lt;40,W1516&gt;=150),0.12,0)+IF(AND(V1516&gt;=40,V1516&lt;75,W1516&lt;35),0.3,0)+IF(AND(V1516&gt;=40,V1516&lt;75,W1516&gt;=35,W1516&lt;75),0.23,0)+IF(AND(V1516&gt;=40,V1516&lt;75,W1516&gt;=75,W1516&lt;120),0.17,0)+IF(AND(V1516&gt;=40,V1516&lt;75,W1516&gt;=120),0.12,0)+IF(AND(V1516&gt;=75,V1516&lt;175,W1516&lt;35),0.3,0)+IF(AND(V1516&gt;=75,V1516&lt;=175,W1516&gt;=35,W1516&lt;65),0.23,0)+IF(AND(V1516&gt;=75,V1516&lt;=175,W1516&gt;=65,W1516&lt;110),0.17,0)+IF(AND(V1516&gt;=75,V1516&lt;=175,W1516&gt;=110),0.12,0)+IF(AND(V1516&gt;175,W1516&lt;25),0.3,0)+IF(AND(V1516&gt;175,W1516&gt;=25,W1516&lt;55),0.23,0)+IF(AND(V1516&gt;175,W1516&gt;=55,W1516&lt;95),0.17,0)+IF(AND(V1516&gt;175,W1516&gt;=95),0.12,0),
IF(AF1516="DoEVsu",IF(AND(V1516&lt;20,W1516&lt;55),0.3,0)+IF(AND(V1516&lt;20,W1516&gt;=55,W1516&lt;105),0.23,0)+IF(AND(V1516&lt;20,W1516&gt;=105),0.17,0)+IF(AND(V1516&gt;=20,V1516&lt;40,W1516&lt;45),0.3,0)+IF(AND(V1516&gt;=20,V1516&lt;40,W1516&gt;=45,W1516&lt;95),0.23,0)+IF(AND(V1516&gt;=20,V1516&lt;40,W1516&gt;=95,W1516&lt;=250),0.17,0)+IF(AND(V1516&gt;=20,V1516&lt;40,W1516&gt;=250),0.12,0)+IF(AND(V1516&gt;=40,V1516&lt;75,W1516&lt;35),0.3,0)+IF(AND(V1516&gt;=40,V1516&lt;75,W1516&gt;=35,W1516&lt;75),0.23,0)+IF(AND(V1516&gt;=40,V1516&lt;75,W1516&gt;=75,W1516&lt;120),0.17,0)+IF(AND(V1516&gt;=40,V1516&lt;75,W1516&gt;=120),0.12,0)+IF(AND(V1516&gt;=75,V1516&lt;175,W1516&lt;35),0.3,0)+IF(AND(V1516&gt;=75,V1516&lt;=175,W1516&gt;=35,W1516&lt;65),0.23,0)+IF(AND(V1516&gt;=75,V1516&lt;=175,W1516&gt;=65,W1516&lt;110),0.17,0)+IF(AND(V1516&gt;=75,V1516&lt;=175,W1516&gt;=110),0.12,0)+IF(AND(V1516&gt;175,W1516&lt;25),0.3,0)+IF(AND(V1516&gt;175,W1516&gt;=25,W1516&lt;55),0.23,0)+IF(AND(V1516&gt;175,W1516&gt;=55,W1516&lt;95),0.17,0)+IF(AND(V1516&gt;175,W1516&gt;=95),0.12,0),
IF(AF1516="DoEVni",IF(AND(V1516&lt;20,W1516&lt;55),0.3,0)+IF(AND(V1516&lt;20,W1516&gt;=55,W1516&lt;105),0.23,0)+IF(AND(V1516&lt;20,W1516&gt;=105),0.17,0)+IF(AND(V1516&gt;=20,V1516&lt;40,W1516&lt;45),0.3,0)+IF(AND(V1516&gt;=20,V1516&lt;40,W1516&gt;=45,W1516&lt;95),0.23,0)+IF(AND(V1516&gt;=20,V1516&lt;40,W1516&gt;=95,W1516&lt;=200),0.17,0)+IF(AND(V1516&gt;=20,V1516&lt;40,W1516&gt;=200),0.12,0)+IF(AND(V1516&gt;=40,V1516&lt;75,W1516&lt;35),0.3,0)+IF(AND(V1516&gt;=40,V1516&lt;75,W1516&gt;=35,W1516&lt;75),0.23,0)+IF(AND(V1516&gt;=40,V1516&lt;75,W1516&gt;=75,W1516&lt;120),0.17,0)+IF(AND(V1516&gt;=40,V1516&lt;75,W1516&gt;=120),0.12,0)+IF(AND(V1516&gt;=75,V1516&lt;175,W1516&lt;35),0.3,0)+IF(AND(V1516&gt;=75,V1516&lt;=175,W1516&gt;=35,W1516&lt;65),0.23,0)+IF(AND(V1516&gt;=75,V1516&lt;=175,W1516&gt;=65,W1516&lt;110),0.17,0)+IF(AND(V1516&gt;=75,V1516&lt;=175,W1516&gt;=110),0.12,0)+IF(AND(V1516&gt;175,W1516&lt;25),0.3,0)+IF(AND(V1516&gt;175,W1516&gt;=25,W1516&lt;55),0.23,0)+IF(AND(V1516&gt;175,W1516&gt;=55,W1516&lt;95),0.17,0)+IF(AND(V1516&gt;175,W1516&gt;=95),0.12,0),
IF(AF1516="DoEVLo",IF(AND(V1516&lt;20,W1516&lt;55),0.25,0)+IF(AND(V1516&lt;20,W1516&gt;=55,W1516&lt;105),0.2,0)+IF(AND(V1516&lt;20,W1516&gt;=105),0.15,0)+IF(AND(V1516&gt;=20,V1516&lt;40,W1516&lt;45),0.25,0)+IF(AND(V1516&gt;=20,V1516&lt;40,W1516&gt;=45,W1516&lt;95),0.2,0)+IF(AND(V1516&gt;=20,V1516&lt;40,W1516&gt;=95),0.15,0)+IF(AND(V1516&gt;=40,V1516&lt;75,W1516&lt;35),0.25,0)+IF(AND(V1516&gt;=40,V1516&lt;75,W1516&gt;=35,W1516&lt;75),0.2,0)+IF(AND(V1516&gt;=40,V1516&lt;75,W1516&gt;=75,W1516&lt;120),0.15,0)+IF(AND(V1516&gt;=40,V1516&lt;75,W1516&gt;=120),0.1,0)+IF(AND(V1516&gt;=75,V1516&lt;175,W1516&lt;35),0.25,0)+IF(AND(V1516&gt;=75,V1516&lt;=175,W1516&gt;=35,W1516&lt;65),0.2,0)+IF(AND(V1516&gt;=75,V1516&lt;=175,W1516&gt;=65,W1516&lt;110),0.15,0)+IF(AND(V1516&gt;=75,V1516&lt;=175,W1516&gt;=110),0.1,0)+IF(AND(V1516&gt;175,W1516&lt;25),0.25,0)+IF(AND(V1516&gt;175,W1516&gt;=25,W1516&lt;55),0.2,0)+IF(AND(V1516&gt;175,W1516&gt;=55,W1516&lt;95),0.15,0)+IF(AND(V1516&gt;175,W1516&gt;=95),0.1,0))))))))))))))))))))</f>
        <v>0.1875</v>
      </c>
      <c r="Y1516" s="30">
        <f>IF(AG1516="None",0,IF(AG1516="Fix5",0.05, IF(AG1516="Fix6.25",0.0625,IF(AG1516="Fix3.75",0.0375, IF(AG1516="Fix11",0.11, IF(AG1516="Fix10",0.1,IF(AG1516="Fix3",0.03,0)))))))</f>
        <v>6.25E-2</v>
      </c>
      <c r="Z1516" s="35">
        <f>IF(AND(AD1516="EUR", AE1516 = "USD"), T1516*U1516-AA1516-AB1516, T1516-AA1516-AB1516)</f>
        <v>-8688.75</v>
      </c>
      <c r="AA1516" s="29">
        <f>IF(AND(AD1516="EUR", F1516="Without EV deal", AE1516="USD"), (T1516*X1516)*U1516,
IF(AND(AD1516="EUR", F1516="Without EV deal", AE1516="EUR"), (T1516*X1516),
IF(AND(AD1516="EUR",AE1516="USD"), (T1516*X1516)*U1516,
T1516*X1516)))</f>
        <v>-2172.1875</v>
      </c>
      <c r="AB1516" s="36">
        <f>IF(AND(AD1516="EUR", F1516="Without EV deal", AE1516="USD"), (T1516*Y1516)*U1516,
IF(AND(AD1516="EUR", F1516="Without EV deal", AE1516="EUR"), (T1516*Y1516),
IF(AND(AD1516="EUR",AE1516="USD"), (T1516*Y1516)*U1516,
T1516*Y1516)))</f>
        <v>-724.0625</v>
      </c>
      <c r="AC1516" s="37" t="b">
        <v>1</v>
      </c>
      <c r="AD1516" s="82" t="str">
        <f>IF(OR(H1516="€0.25 Flash",
H1516="€0.25(nitro) new",
H1516="€1",
H1516="€2",
H1516="€2 (bf 01.08)",
H1516="€5",
H1516="€5 (1M)",
H1516="€5 (bf 01.08)",
H1516="€5 (bf 05.05)",
H1516="€5 Nitro",
H1516="€5(wx) new",
H1516="€10",
H1516="€10 (1M)",
H1516="€10 (bf 01.08)",
H1516="€10 (bf 05.05)",
H1516="€10 (MP)",
H1516="€10 (old)",
H1516="€10 Nitro (bf 05.05)",
H1516="€10 Nitro (old)",
H1516="€10(wx) new",
H1516="€20",
H1516="€25",
H1516="€25 (bf 01.08)",
H1516="€25 (bf 05.05)",
H1516="€25 (MP)",
H1516="€25 (old)",
H1516="€25 Nitro",
H1516="€25 Nitro (bf 01.08)",
H1516="€25 Nitro (bf 05.05)",
H1516="€25(nitro) new",
H1516="€25(wx) new",
H1516="€50",
H1516="€50 (bf 01.08)",
H1516="€50 (bf 05.05)",
H1516="€50 (old)",
H1516="€50 Nitro",
H1516="€50 Nitro (bf 01.08)",
H1516="€50 Nitro (bf 05.05)",
H1516="€50(wx) new",
H1516="€100",
H1516="€100 (old)",
H1516="€100 Nitro",
H1516="€100 Nitro (old)",
H1516="€200",
H1516="€250",
H1516="€250 Nitro",
H1516="€500",
H1516="€500 Nitro"),"EUR", "USD")</f>
        <v>USD</v>
      </c>
      <c r="AE1516" s="83" t="s">
        <v>38</v>
      </c>
      <c r="AF1516" s="83" t="s">
        <v>146</v>
      </c>
      <c r="AG1516" s="84" t="s">
        <v>147</v>
      </c>
    </row>
    <row r="1517" spans="1:33" ht="14.25" hidden="1" x14ac:dyDescent="0.2">
      <c r="A1517" s="18" t="str">
        <f t="array" ref="A1517">IF(G1517='Room Info'!$B$1, INDEX('Room Info'!$A$2:$A2446, MATCH(B1517,'Room Info'!$B$2:$B2446, 0)),IF(G1517='Room Info'!$C$1, INDEX('Room Info'!$A$2:$A2446, MATCH(B1517,'Room Info'!$C$2:$C2446, 0)),IF(G1517='Room Info'!$D$1, INDEX('Room Info'!$A$2:$A2446, MATCH(B1517,'Room Info'!$D$2:$D2446, 0)),IF(G1517='Room Info'!$E$1, INDEX('Room Info'!$A$2:$A2446, MATCH(B1517,'Room Info'!$E$2:$E2446, 0)),IF(G1517='Room Info'!$F$1, INDEX('Room Info'!$A$2:$A2446, MATCH(B1517,'Room Info'!$F$2:$F2446, 0)),IF(G1517='Room Info'!$H$1, INDEX('Room Info'!$A$2:$A2446, MATCH(B1517,'Room Info'!$H$2:$H2446, 0)),IF(G1517='Room Info'!$G$1, INDEX('Room Info'!$A$2:$A2446, MATCH(B1517,'Room Info'!$G$2:$G2446, 0)))))))))</f>
        <v>benyya</v>
      </c>
      <c r="B1517" s="54" t="s">
        <v>145</v>
      </c>
      <c r="C1517" s="46">
        <v>44958</v>
      </c>
      <c r="D1517" s="46">
        <v>44985</v>
      </c>
      <c r="E1517" s="80">
        <v>44958</v>
      </c>
      <c r="F1517" s="45" t="s">
        <v>49</v>
      </c>
      <c r="G1517" s="18" t="s">
        <v>35</v>
      </c>
      <c r="H1517" s="49" t="s">
        <v>88</v>
      </c>
      <c r="I1517" s="23" t="s">
        <v>37</v>
      </c>
      <c r="J1517" s="39">
        <v>250</v>
      </c>
      <c r="K1517" s="51">
        <v>537</v>
      </c>
      <c r="L1517" s="107">
        <v>-15250</v>
      </c>
      <c r="M1517" s="62"/>
      <c r="N1517" s="28">
        <f>K1517*J1517</f>
        <v>134250</v>
      </c>
      <c r="O1517" s="108">
        <v>10562</v>
      </c>
      <c r="P1517" s="29">
        <v>19.668528859999999</v>
      </c>
      <c r="Q1517" s="55"/>
      <c r="R1517" s="31">
        <f>M1517+Q1517*J1517*K1517*0.07</f>
        <v>0</v>
      </c>
      <c r="S1517" s="109">
        <v>-934</v>
      </c>
      <c r="T1517" s="32">
        <f>IF(AND(AD1517="EUR", F1517="Without EV deal"), R1517 + L1517,
IF(AND(AD1517="USD", F1517="Without EV deal"), R1517 + L1517,
IF(AND(AD1517="EUR", F1517="Steel Phoenix"), R1517 + S1517/U1517,
R1517 + S1517)))</f>
        <v>-934</v>
      </c>
      <c r="U1517" s="57"/>
      <c r="V1517" s="58">
        <v>147.51</v>
      </c>
      <c r="W1517" s="58">
        <v>85</v>
      </c>
      <c r="X1517" s="30">
        <f>IF(AF1517="DoEV",IF(AND(V1517&lt;20,W1517&lt;55),0.3,0)+IF(AND(V1517&lt;20,W1517&gt;=55,W1517&lt;105),0.23,0)+IF(AND(V1517&lt;20,W1517&gt;=105),0.17,0)+IF(AND(V1517&gt;=20,V1517&lt;40,W1517&lt;45),0.3,0)+IF(AND(V1517&gt;=20,V1517&lt;40,W1517&gt;=45,W1517&lt;95),0.23,0)+IF(AND(V1517&gt;=20,V1517&lt;40,W1517&gt;=95),0.17,0)+IF(AND(V1517&gt;=40,V1517&lt;75,W1517&lt;35),0.3,0)+IF(AND(V1517&gt;=40,V1517&lt;75,W1517&gt;=35,W1517&lt;75),0.23,0)+IF(AND(V1517&gt;=40,V1517&lt;75,W1517&gt;=75,W1517&lt;120),0.17,0)+IF(AND(V1517&gt;=40,V1517&lt;75,W1517&gt;=120),0.12,0)+IF(AND(V1517&gt;=75,V1517&lt;175,W1517&lt;35),0.3,0)+IF(AND(V1517&gt;=75,V1517&lt;=175,W1517&gt;=35,W1517&lt;65),0.23,0)+IF(AND(V1517&gt;=75,V1517&lt;=175,W1517&gt;=65,W1517&lt;110),0.17,0)+IF(AND(V1517&gt;=75,V1517&lt;=175,W1517&gt;=110),0.12,0)+IF(AND(V1517&gt;175,W1517&lt;25),0.3,0)+IF(AND(V1517&gt;175,W1517&gt;=25,W1517&lt;55),0.23,0)+IF(AND(V1517&gt;175,W1517&gt;=55,W1517&lt;95),0.17,0)+IF(AND(V1517&gt;175,W1517&gt;=95),0.12,0),
IF(AF1517="Fix15",0.15,
IF(AF1517="Fix5",0.05,
IF(AF1517="Fix18.75",0.1875,
IF(AF1517="Fix11.25",0.1125,
IF(AF1517="Fix10",0.1,
IF(AF1517="Fix9",0.09,
IF(AF1517="Fix12",0.12,
IF(AF1517="Fix19",0.19,
IF(AF1517="DoEV2017",IF(AND(W1517&lt;74),0.2,0)+IF(AND(W1517&gt;=74),0.17,0),
IF(AF1517="SF",IF(AND(V1517&lt;20,W1517&lt;89),0.3,0)+IF(AND(V1517&lt;20,W1517&gt;=89),0.25,0)+IF(AND(V1517&gt;=20,V1517&lt;40,W1517&lt;74),0.3,0)+IF(AND(V1517&gt;=20,V1517&lt;40,W1517&gt;=75),0.22,0)+IF(AND(V1517&gt;=40,V1517&lt;75,W1517&lt;75),0.26,0)+IF(AND(V1517&gt;=40,V1517&lt;75,W1517&gt;=75),0.22,0)+IF(V1517&gt;=75,0.22,0),
IF(AF1517="DoEVold",IF(AND(V1517&lt;40,W1517&lt;35),0.35,0)+IF(AND(V1517&lt;40,W1517&gt;=35,W1517&lt;75),0.25,0)+IF(AND(V1517&lt;40,W1517&gt;=75),0.17,0)+IF(AND(V1517&gt;=40,V1517&lt;75,W1517&lt;25),0.35,0)+IF(AND(V1517&gt;=40,V1517&lt;75,W1517&gt;=25,W1517&lt;65),0.25,0)+IF(AND(V1517&gt;=40,V1517&lt;75,W1517&gt;=65,W1517&lt;100),0.17,0)+IF(AND(V1517&gt;=40,V1517&lt;75,W1517&gt;=100),0.1,0)+IF(AND(V1517&gt;=75,W1517&lt;25),0.35,0)+IF(AND(V1517&gt;=75,W1517&gt;=25,W1517&lt;60),0.25,0)+IF(AND(V1517&gt;=75,W1517&gt;=60,W1517&lt;95),0.17,0)+IF(AND(V1517&gt;=75,W1517&gt;=95),0.1,0),
IF(AF1517="DoEVold15",IF(AND(V1517&lt;=40,W1517&lt;35),0.35,0)+IF(AND(V1517&lt;=40,W1517&gt;=35,W1517&lt;75),0.25,0)+IF(AND(V1517&lt;=40,W1517&gt;=75,W1517&lt;120),0.17,0)+IF(AND(V1517&lt;=40,W1517&gt;=120),0.15,0)+IF(AND(V1517&gt;40,V1517&lt;75,W1517&lt;25),0.35,0)+IF(AND(V1517&gt;=40,V1517&lt;75,W1517&gt;=25,W1517&lt;65),0.25,0)+IF(AND(V1517&gt;=40,V1517&lt;75,W1517&gt;=65,W1517&lt;100),0.17,0)+IF(AND(V1517&gt;=40,V1517&lt;75,W1517&gt;=100),0.1,0)+IF(AND(V1517&gt;=75,W1517&lt;25),0.35,0)+IF(AND(V1517&gt;=75,W1517&gt;=25,W1517&lt;60),0.25,0)+IF(AND(V1517&gt;=75,W1517&gt;=60,W1517&lt;95),0.17,0)+IF(AND(V1517&gt;=75,W1517&gt;=95),0.1,0),
IF(AF1517="DoEVba",IF(AND(V1517&lt;20,W1517&lt;105),0.2,0)+IF(AND(V1517&lt;20,W1517&gt;=105),0.15,0)+IF(AND(V1517&gt;=20,V1517&lt;40,W1517&lt;95),0.2,0)+IF(AND(V1517&gt;=20,V1517&lt;40,W1517&gt;=95,W1517&lt;150),0.15,0)+IF(AND(V1517&gt;=20,V1517&lt;40,W1517&gt;=150),0.12,0)+IF(AND(V1517&gt;=40,V1517&lt;75,W1517&lt;75),0.2,0)+IF(AND(V1517&gt;=40,V1517&lt;75,W1517&gt;=75,W1517&lt;120),0.15,0)+IF(AND(V1517&gt;=40,V1517&lt;75,W1517&gt;=120),0.12,0)+IF(AND(V1517&gt;=75,V1517&lt;175,W1517&lt;65),0.2,0)+IF(AND(V1517&gt;=75,V1517&lt;175,W1517&gt;=65,W1517&lt;110),0.15,0)+IF(AND(V1517&gt;=75,V1517&lt;175,W1517&gt;=110),0.12,0)+IF(AND(V1517&gt;=175,W1517&lt;55),0.2,0)+IF(AND(V1517&gt;=175,W1517&gt;=55,W1517&lt;95),0.15,0)+IF(AND(V1517&gt;=175,W1517&gt;=95),0.12,0),
IF(AF1517="DoEVku",IF(AND(V1517&lt;20,W1517&lt;55),0.23,0)+IF(AND(V1517&lt;20,W1517&gt;=55,W1517&lt;105),0.2,0)+IF(AND(V1517&lt;20,W1517&gt;=105),0.17,0)+IF(AND(V1517&gt;=20,V1517&lt;40,W1517&lt;45),0.23,0)+IF(AND(V1517&gt;=20,V1517&lt;40,W1517&gt;=45,W1517&lt;95),0.2,0)+IF(AND(V1517&gt;=20,V1517&lt;40,W1517&gt;=95,W1517&lt;=150),0.17,0)+IF(AND(V1517&gt;=20,V1517&lt;40,W1517&gt;=150),0.12,0)+IF(AND(V1517&gt;=40,V1517&lt;75,W1517&lt;35),0.23,0)+IF(AND(V1517&gt;=40,V1517&lt;75,W1517&gt;=35,W1517&lt;75),0.2,0)+IF(AND(V1517&gt;=40,V1517&lt;75,W1517&gt;=75,W1517&lt;120),0.17,0)+IF(AND(V1517&gt;=40,V1517&lt;75,W1517&gt;=120),0.12,0)+IF(AND(V1517&gt;=75,V1517&lt;175,W1517&lt;35),0.23,0)+IF(AND(V1517&gt;=75,V1517&lt;=175,W1517&gt;=35,W1517&lt;65),0.2,0)+IF(AND(V1517&gt;=75,V1517&lt;=175,W1517&gt;=65,W1517&lt;110),0.17,0)+IF(AND(V1517&gt;=75,V1517&lt;=175,W1517&gt;=110),0.12,0)+IF(AND(V1517&gt;175,W1517&lt;25),0.23,0)+IF(AND(V1517&gt;175,W1517&gt;=25,W1517&lt;55),0.2,0)+IF(AND(V1517&gt;175,W1517&gt;=55,W1517&lt;95),0.17,0)+IF(AND(V1517&gt;175,W1517&gt;=95),0.12,0),
IF(AF1517="DoEVs1",IF(AND(V1517&lt;20,W1517&lt;55),0.3,0)+IF(AND(V1517&lt;20,W1517&gt;=55,W1517&lt;105),0.23,0)+IF(AND(V1517&lt;20,W1517&gt;=105),0.17,0)+IF(AND(V1517&gt;=20,V1517&lt;40,W1517&lt;45),0.3,0)+IF(AND(V1517&gt;=20,V1517&lt;40,W1517&gt;=45,W1517&lt;95),0.23,0)+IF(AND(V1517&gt;=20,V1517&lt;40,W1517&gt;=95,W1517&lt;=150),0.17,0)+IF(AND(V1517&gt;=20,V1517&lt;40,W1517&gt;=150),0.12,0)+IF(AND(V1517&gt;=40,V1517&lt;75,W1517&lt;35),0.3,0)+IF(AND(V1517&gt;=40,V1517&lt;75,W1517&gt;=35,W1517&lt;75),0.23,0)+IF(AND(V1517&gt;=40,V1517&lt;75,W1517&gt;=75,W1517&lt;120),0.17,0)+IF(AND(V1517&gt;=40,V1517&lt;75,W1517&gt;=120),0.12,0)+IF(AND(V1517&gt;=75,V1517&lt;175,W1517&lt;35),0.3,0)+IF(AND(V1517&gt;=75,V1517&lt;=175,W1517&gt;=35,W1517&lt;65),0.23,0)+IF(AND(V1517&gt;=75,V1517&lt;=175,W1517&gt;=65,W1517&lt;110),0.17,0)+IF(AND(V1517&gt;=75,V1517&lt;=175,W1517&gt;=110),0.12,0)+IF(AND(V1517&gt;175,W1517&lt;25),0.3,0)+IF(AND(V1517&gt;175,W1517&gt;=25,W1517&lt;55),0.23,0)+IF(AND(V1517&gt;175,W1517&gt;=55,W1517&lt;95),0.17,0)+IF(AND(V1517&gt;175,W1517&gt;=95),0.12,0),
IF(AF1517="DoEVsu",IF(AND(V1517&lt;20,W1517&lt;55),0.3,0)+IF(AND(V1517&lt;20,W1517&gt;=55,W1517&lt;105),0.23,0)+IF(AND(V1517&lt;20,W1517&gt;=105),0.17,0)+IF(AND(V1517&gt;=20,V1517&lt;40,W1517&lt;45),0.3,0)+IF(AND(V1517&gt;=20,V1517&lt;40,W1517&gt;=45,W1517&lt;95),0.23,0)+IF(AND(V1517&gt;=20,V1517&lt;40,W1517&gt;=95,W1517&lt;=250),0.17,0)+IF(AND(V1517&gt;=20,V1517&lt;40,W1517&gt;=250),0.12,0)+IF(AND(V1517&gt;=40,V1517&lt;75,W1517&lt;35),0.3,0)+IF(AND(V1517&gt;=40,V1517&lt;75,W1517&gt;=35,W1517&lt;75),0.23,0)+IF(AND(V1517&gt;=40,V1517&lt;75,W1517&gt;=75,W1517&lt;120),0.17,0)+IF(AND(V1517&gt;=40,V1517&lt;75,W1517&gt;=120),0.12,0)+IF(AND(V1517&gt;=75,V1517&lt;175,W1517&lt;35),0.3,0)+IF(AND(V1517&gt;=75,V1517&lt;=175,W1517&gt;=35,W1517&lt;65),0.23,0)+IF(AND(V1517&gt;=75,V1517&lt;=175,W1517&gt;=65,W1517&lt;110),0.17,0)+IF(AND(V1517&gt;=75,V1517&lt;=175,W1517&gt;=110),0.12,0)+IF(AND(V1517&gt;175,W1517&lt;25),0.3,0)+IF(AND(V1517&gt;175,W1517&gt;=25,W1517&lt;55),0.23,0)+IF(AND(V1517&gt;175,W1517&gt;=55,W1517&lt;95),0.17,0)+IF(AND(V1517&gt;175,W1517&gt;=95),0.12,0),
IF(AF1517="DoEVni",IF(AND(V1517&lt;20,W1517&lt;55),0.3,0)+IF(AND(V1517&lt;20,W1517&gt;=55,W1517&lt;105),0.23,0)+IF(AND(V1517&lt;20,W1517&gt;=105),0.17,0)+IF(AND(V1517&gt;=20,V1517&lt;40,W1517&lt;45),0.3,0)+IF(AND(V1517&gt;=20,V1517&lt;40,W1517&gt;=45,W1517&lt;95),0.23,0)+IF(AND(V1517&gt;=20,V1517&lt;40,W1517&gt;=95,W1517&lt;=200),0.17,0)+IF(AND(V1517&gt;=20,V1517&lt;40,W1517&gt;=200),0.12,0)+IF(AND(V1517&gt;=40,V1517&lt;75,W1517&lt;35),0.3,0)+IF(AND(V1517&gt;=40,V1517&lt;75,W1517&gt;=35,W1517&lt;75),0.23,0)+IF(AND(V1517&gt;=40,V1517&lt;75,W1517&gt;=75,W1517&lt;120),0.17,0)+IF(AND(V1517&gt;=40,V1517&lt;75,W1517&gt;=120),0.12,0)+IF(AND(V1517&gt;=75,V1517&lt;175,W1517&lt;35),0.3,0)+IF(AND(V1517&gt;=75,V1517&lt;=175,W1517&gt;=35,W1517&lt;65),0.23,0)+IF(AND(V1517&gt;=75,V1517&lt;=175,W1517&gt;=65,W1517&lt;110),0.17,0)+IF(AND(V1517&gt;=75,V1517&lt;=175,W1517&gt;=110),0.12,0)+IF(AND(V1517&gt;175,W1517&lt;25),0.3,0)+IF(AND(V1517&gt;175,W1517&gt;=25,W1517&lt;55),0.23,0)+IF(AND(V1517&gt;175,W1517&gt;=55,W1517&lt;95),0.17,0)+IF(AND(V1517&gt;175,W1517&gt;=95),0.12,0),
IF(AF1517="DoEVLo",IF(AND(V1517&lt;20,W1517&lt;55),0.25,0)+IF(AND(V1517&lt;20,W1517&gt;=55,W1517&lt;105),0.2,0)+IF(AND(V1517&lt;20,W1517&gt;=105),0.15,0)+IF(AND(V1517&gt;=20,V1517&lt;40,W1517&lt;45),0.25,0)+IF(AND(V1517&gt;=20,V1517&lt;40,W1517&gt;=45,W1517&lt;95),0.2,0)+IF(AND(V1517&gt;=20,V1517&lt;40,W1517&gt;=95),0.15,0)+IF(AND(V1517&gt;=40,V1517&lt;75,W1517&lt;35),0.25,0)+IF(AND(V1517&gt;=40,V1517&lt;75,W1517&gt;=35,W1517&lt;75),0.2,0)+IF(AND(V1517&gt;=40,V1517&lt;75,W1517&gt;=75,W1517&lt;120),0.15,0)+IF(AND(V1517&gt;=40,V1517&lt;75,W1517&gt;=120),0.1,0)+IF(AND(V1517&gt;=75,V1517&lt;175,W1517&lt;35),0.25,0)+IF(AND(V1517&gt;=75,V1517&lt;=175,W1517&gt;=35,W1517&lt;65),0.2,0)+IF(AND(V1517&gt;=75,V1517&lt;=175,W1517&gt;=65,W1517&lt;110),0.15,0)+IF(AND(V1517&gt;=75,V1517&lt;=175,W1517&gt;=110),0.1,0)+IF(AND(V1517&gt;175,W1517&lt;25),0.25,0)+IF(AND(V1517&gt;175,W1517&gt;=25,W1517&lt;55),0.2,0)+IF(AND(V1517&gt;175,W1517&gt;=55,W1517&lt;95),0.15,0)+IF(AND(V1517&gt;175,W1517&gt;=95),0.1,0))))))))))))))))))))</f>
        <v>0.1875</v>
      </c>
      <c r="Y1517" s="30">
        <f>IF(AG1517="None",0,IF(AG1517="Fix5",0.05, IF(AG1517="Fix6.25",0.0625,IF(AG1517="Fix3.75",0.0375, IF(AG1517="Fix11",0.11, IF(AG1517="Fix10",0.1,IF(AG1517="Fix3",0.03,0)))))))</f>
        <v>6.25E-2</v>
      </c>
      <c r="Z1517" s="35">
        <f>IF(AND(AD1517="EUR", AE1517 = "USD"), T1517*U1517-AA1517-AB1517, T1517-AA1517-AB1517)</f>
        <v>-700.5</v>
      </c>
      <c r="AA1517" s="29">
        <f>IF(AND(AD1517="EUR", F1517="Without EV deal", AE1517="USD"), (T1517*X1517)*U1517,
IF(AND(AD1517="EUR", F1517="Without EV deal", AE1517="EUR"), (T1517*X1517),
IF(AND(AD1517="EUR",AE1517="USD"), (T1517*X1517)*U1517,
T1517*X1517)))</f>
        <v>-175.125</v>
      </c>
      <c r="AB1517" s="36">
        <f>IF(AND(AD1517="EUR", F1517="Without EV deal", AE1517="USD"), (T1517*Y1517)*U1517,
IF(AND(AD1517="EUR", F1517="Without EV deal", AE1517="EUR"), (T1517*Y1517),
IF(AND(AD1517="EUR",AE1517="USD"), (T1517*Y1517)*U1517,
T1517*Y1517)))</f>
        <v>-58.375</v>
      </c>
      <c r="AC1517" s="37" t="b">
        <v>1</v>
      </c>
      <c r="AD1517" s="82" t="str">
        <f>IF(OR(H1517="€0.25 Flash",
H1517="€0.25(nitro) new",
H1517="€1",
H1517="€2",
H1517="€2 (bf 01.08)",
H1517="€5",
H1517="€5 (1M)",
H1517="€5 (bf 01.08)",
H1517="€5 (bf 05.05)",
H1517="€5 Nitro",
H1517="€5(wx) new",
H1517="€10",
H1517="€10 (1M)",
H1517="€10 (bf 01.08)",
H1517="€10 (bf 05.05)",
H1517="€10 (MP)",
H1517="€10 (old)",
H1517="€10 Nitro (bf 05.05)",
H1517="€10 Nitro (old)",
H1517="€10(wx) new",
H1517="€20",
H1517="€25",
H1517="€25 (bf 01.08)",
H1517="€25 (bf 05.05)",
H1517="€25 (MP)",
H1517="€25 (old)",
H1517="€25 Nitro",
H1517="€25 Nitro (bf 01.08)",
H1517="€25 Nitro (bf 05.05)",
H1517="€25(nitro) new",
H1517="€25(wx) new",
H1517="€50",
H1517="€50 (bf 01.08)",
H1517="€50 (bf 05.05)",
H1517="€50 (old)",
H1517="€50 Nitro",
H1517="€50 Nitro (bf 01.08)",
H1517="€50 Nitro (bf 05.05)",
H1517="€50(wx) new",
H1517="€100",
H1517="€100 (old)",
H1517="€100 Nitro",
H1517="€100 Nitro (old)",
H1517="€200",
H1517="€250",
H1517="€250 Nitro",
H1517="€500",
H1517="€500 Nitro"),"EUR", "USD")</f>
        <v>USD</v>
      </c>
      <c r="AE1517" s="83" t="s">
        <v>38</v>
      </c>
      <c r="AF1517" s="83" t="s">
        <v>146</v>
      </c>
      <c r="AG1517" s="84" t="s">
        <v>147</v>
      </c>
    </row>
    <row r="1518" spans="1:33" ht="14.25" hidden="1" x14ac:dyDescent="0.2">
      <c r="A1518" s="18" t="str">
        <f t="array" ref="A1518">IF(G1518='Room Info'!$B$1, INDEX('Room Info'!$A$2:$A2446, MATCH(B1518,'Room Info'!$B$2:$B2446, 0)),IF(G1518='Room Info'!$C$1, INDEX('Room Info'!$A$2:$A2446, MATCH(B1518,'Room Info'!$C$2:$C2446, 0)),IF(G1518='Room Info'!$D$1, INDEX('Room Info'!$A$2:$A2446, MATCH(B1518,'Room Info'!$D$2:$D2446, 0)),IF(G1518='Room Info'!$E$1, INDEX('Room Info'!$A$2:$A2446, MATCH(B1518,'Room Info'!$E$2:$E2446, 0)),IF(G1518='Room Info'!$F$1, INDEX('Room Info'!$A$2:$A2446, MATCH(B1518,'Room Info'!$F$2:$F2446, 0)),IF(G1518='Room Info'!$H$1, INDEX('Room Info'!$A$2:$A2446, MATCH(B1518,'Room Info'!$H$2:$H2446, 0)),IF(G1518='Room Info'!$G$1, INDEX('Room Info'!$A$2:$A2446, MATCH(B1518,'Room Info'!$G$2:$G2446, 0)))))))))</f>
        <v>benyya</v>
      </c>
      <c r="B1518" s="54" t="s">
        <v>145</v>
      </c>
      <c r="C1518" s="46">
        <v>44958</v>
      </c>
      <c r="D1518" s="46">
        <v>44985</v>
      </c>
      <c r="E1518" s="80">
        <v>44958</v>
      </c>
      <c r="F1518" s="45" t="s">
        <v>49</v>
      </c>
      <c r="G1518" s="18" t="s">
        <v>35</v>
      </c>
      <c r="H1518" s="49" t="s">
        <v>148</v>
      </c>
      <c r="I1518" s="49" t="s">
        <v>44</v>
      </c>
      <c r="J1518" s="39">
        <v>250</v>
      </c>
      <c r="K1518" s="51">
        <v>698</v>
      </c>
      <c r="L1518" s="107">
        <v>4250</v>
      </c>
      <c r="M1518" s="62"/>
      <c r="N1518" s="28">
        <f>K1518*J1518</f>
        <v>174500</v>
      </c>
      <c r="O1518" s="108">
        <v>7603</v>
      </c>
      <c r="P1518" s="29">
        <v>10.892550140000001</v>
      </c>
      <c r="Q1518" s="55"/>
      <c r="R1518" s="31">
        <f>M1518+Q1518*J1518*K1518*0.07</f>
        <v>0</v>
      </c>
      <c r="S1518" s="109">
        <v>-1709</v>
      </c>
      <c r="T1518" s="32">
        <f>IF(AND(AD1518="EUR", F1518="Without EV deal"), R1518 + L1518,
IF(AND(AD1518="USD", F1518="Without EV deal"), R1518 + L1518,
IF(AND(AD1518="EUR", F1518="Steel Phoenix"), R1518 + S1518/U1518,
R1518 + S1518)))</f>
        <v>-1709</v>
      </c>
      <c r="U1518" s="57"/>
      <c r="V1518" s="58">
        <v>147.51</v>
      </c>
      <c r="W1518" s="58">
        <v>85</v>
      </c>
      <c r="X1518" s="30">
        <f>IF(AF1518="DoEV",IF(AND(V1518&lt;20,W1518&lt;55),0.3,0)+IF(AND(V1518&lt;20,W1518&gt;=55,W1518&lt;105),0.23,0)+IF(AND(V1518&lt;20,W1518&gt;=105),0.17,0)+IF(AND(V1518&gt;=20,V1518&lt;40,W1518&lt;45),0.3,0)+IF(AND(V1518&gt;=20,V1518&lt;40,W1518&gt;=45,W1518&lt;95),0.23,0)+IF(AND(V1518&gt;=20,V1518&lt;40,W1518&gt;=95),0.17,0)+IF(AND(V1518&gt;=40,V1518&lt;75,W1518&lt;35),0.3,0)+IF(AND(V1518&gt;=40,V1518&lt;75,W1518&gt;=35,W1518&lt;75),0.23,0)+IF(AND(V1518&gt;=40,V1518&lt;75,W1518&gt;=75,W1518&lt;120),0.17,0)+IF(AND(V1518&gt;=40,V1518&lt;75,W1518&gt;=120),0.12,0)+IF(AND(V1518&gt;=75,V1518&lt;175,W1518&lt;35),0.3,0)+IF(AND(V1518&gt;=75,V1518&lt;=175,W1518&gt;=35,W1518&lt;65),0.23,0)+IF(AND(V1518&gt;=75,V1518&lt;=175,W1518&gt;=65,W1518&lt;110),0.17,0)+IF(AND(V1518&gt;=75,V1518&lt;=175,W1518&gt;=110),0.12,0)+IF(AND(V1518&gt;175,W1518&lt;25),0.3,0)+IF(AND(V1518&gt;175,W1518&gt;=25,W1518&lt;55),0.23,0)+IF(AND(V1518&gt;175,W1518&gt;=55,W1518&lt;95),0.17,0)+IF(AND(V1518&gt;175,W1518&gt;=95),0.12,0),
IF(AF1518="Fix15",0.15,
IF(AF1518="Fix5",0.05,
IF(AF1518="Fix18.75",0.1875,
IF(AF1518="Fix11.25",0.1125,
IF(AF1518="Fix10",0.1,
IF(AF1518="Fix9",0.09,
IF(AF1518="Fix12",0.12,
IF(AF1518="Fix19",0.19,
IF(AF1518="DoEV2017",IF(AND(W1518&lt;74),0.2,0)+IF(AND(W1518&gt;=74),0.17,0),
IF(AF1518="SF",IF(AND(V1518&lt;20,W1518&lt;89),0.3,0)+IF(AND(V1518&lt;20,W1518&gt;=89),0.25,0)+IF(AND(V1518&gt;=20,V1518&lt;40,W1518&lt;74),0.3,0)+IF(AND(V1518&gt;=20,V1518&lt;40,W1518&gt;=75),0.22,0)+IF(AND(V1518&gt;=40,V1518&lt;75,W1518&lt;75),0.26,0)+IF(AND(V1518&gt;=40,V1518&lt;75,W1518&gt;=75),0.22,0)+IF(V1518&gt;=75,0.22,0),
IF(AF1518="DoEVold",IF(AND(V1518&lt;40,W1518&lt;35),0.35,0)+IF(AND(V1518&lt;40,W1518&gt;=35,W1518&lt;75),0.25,0)+IF(AND(V1518&lt;40,W1518&gt;=75),0.17,0)+IF(AND(V1518&gt;=40,V1518&lt;75,W1518&lt;25),0.35,0)+IF(AND(V1518&gt;=40,V1518&lt;75,W1518&gt;=25,W1518&lt;65),0.25,0)+IF(AND(V1518&gt;=40,V1518&lt;75,W1518&gt;=65,W1518&lt;100),0.17,0)+IF(AND(V1518&gt;=40,V1518&lt;75,W1518&gt;=100),0.1,0)+IF(AND(V1518&gt;=75,W1518&lt;25),0.35,0)+IF(AND(V1518&gt;=75,W1518&gt;=25,W1518&lt;60),0.25,0)+IF(AND(V1518&gt;=75,W1518&gt;=60,W1518&lt;95),0.17,0)+IF(AND(V1518&gt;=75,W1518&gt;=95),0.1,0),
IF(AF1518="DoEVold15",IF(AND(V1518&lt;=40,W1518&lt;35),0.35,0)+IF(AND(V1518&lt;=40,W1518&gt;=35,W1518&lt;75),0.25,0)+IF(AND(V1518&lt;=40,W1518&gt;=75,W1518&lt;120),0.17,0)+IF(AND(V1518&lt;=40,W1518&gt;=120),0.15,0)+IF(AND(V1518&gt;40,V1518&lt;75,W1518&lt;25),0.35,0)+IF(AND(V1518&gt;=40,V1518&lt;75,W1518&gt;=25,W1518&lt;65),0.25,0)+IF(AND(V1518&gt;=40,V1518&lt;75,W1518&gt;=65,W1518&lt;100),0.17,0)+IF(AND(V1518&gt;=40,V1518&lt;75,W1518&gt;=100),0.1,0)+IF(AND(V1518&gt;=75,W1518&lt;25),0.35,0)+IF(AND(V1518&gt;=75,W1518&gt;=25,W1518&lt;60),0.25,0)+IF(AND(V1518&gt;=75,W1518&gt;=60,W1518&lt;95),0.17,0)+IF(AND(V1518&gt;=75,W1518&gt;=95),0.1,0),
IF(AF1518="DoEVba",IF(AND(V1518&lt;20,W1518&lt;105),0.2,0)+IF(AND(V1518&lt;20,W1518&gt;=105),0.15,0)+IF(AND(V1518&gt;=20,V1518&lt;40,W1518&lt;95),0.2,0)+IF(AND(V1518&gt;=20,V1518&lt;40,W1518&gt;=95,W1518&lt;150),0.15,0)+IF(AND(V1518&gt;=20,V1518&lt;40,W1518&gt;=150),0.12,0)+IF(AND(V1518&gt;=40,V1518&lt;75,W1518&lt;75),0.2,0)+IF(AND(V1518&gt;=40,V1518&lt;75,W1518&gt;=75,W1518&lt;120),0.15,0)+IF(AND(V1518&gt;=40,V1518&lt;75,W1518&gt;=120),0.12,0)+IF(AND(V1518&gt;=75,V1518&lt;175,W1518&lt;65),0.2,0)+IF(AND(V1518&gt;=75,V1518&lt;175,W1518&gt;=65,W1518&lt;110),0.15,0)+IF(AND(V1518&gt;=75,V1518&lt;175,W1518&gt;=110),0.12,0)+IF(AND(V1518&gt;=175,W1518&lt;55),0.2,0)+IF(AND(V1518&gt;=175,W1518&gt;=55,W1518&lt;95),0.15,0)+IF(AND(V1518&gt;=175,W1518&gt;=95),0.12,0),
IF(AF1518="DoEVku",IF(AND(V1518&lt;20,W1518&lt;55),0.23,0)+IF(AND(V1518&lt;20,W1518&gt;=55,W1518&lt;105),0.2,0)+IF(AND(V1518&lt;20,W1518&gt;=105),0.17,0)+IF(AND(V1518&gt;=20,V1518&lt;40,W1518&lt;45),0.23,0)+IF(AND(V1518&gt;=20,V1518&lt;40,W1518&gt;=45,W1518&lt;95),0.2,0)+IF(AND(V1518&gt;=20,V1518&lt;40,W1518&gt;=95,W1518&lt;=150),0.17,0)+IF(AND(V1518&gt;=20,V1518&lt;40,W1518&gt;=150),0.12,0)+IF(AND(V1518&gt;=40,V1518&lt;75,W1518&lt;35),0.23,0)+IF(AND(V1518&gt;=40,V1518&lt;75,W1518&gt;=35,W1518&lt;75),0.2,0)+IF(AND(V1518&gt;=40,V1518&lt;75,W1518&gt;=75,W1518&lt;120),0.17,0)+IF(AND(V1518&gt;=40,V1518&lt;75,W1518&gt;=120),0.12,0)+IF(AND(V1518&gt;=75,V1518&lt;175,W1518&lt;35),0.23,0)+IF(AND(V1518&gt;=75,V1518&lt;=175,W1518&gt;=35,W1518&lt;65),0.2,0)+IF(AND(V1518&gt;=75,V1518&lt;=175,W1518&gt;=65,W1518&lt;110),0.17,0)+IF(AND(V1518&gt;=75,V1518&lt;=175,W1518&gt;=110),0.12,0)+IF(AND(V1518&gt;175,W1518&lt;25),0.23,0)+IF(AND(V1518&gt;175,W1518&gt;=25,W1518&lt;55),0.2,0)+IF(AND(V1518&gt;175,W1518&gt;=55,W1518&lt;95),0.17,0)+IF(AND(V1518&gt;175,W1518&gt;=95),0.12,0),
IF(AF1518="DoEVs1",IF(AND(V1518&lt;20,W1518&lt;55),0.3,0)+IF(AND(V1518&lt;20,W1518&gt;=55,W1518&lt;105),0.23,0)+IF(AND(V1518&lt;20,W1518&gt;=105),0.17,0)+IF(AND(V1518&gt;=20,V1518&lt;40,W1518&lt;45),0.3,0)+IF(AND(V1518&gt;=20,V1518&lt;40,W1518&gt;=45,W1518&lt;95),0.23,0)+IF(AND(V1518&gt;=20,V1518&lt;40,W1518&gt;=95,W1518&lt;=150),0.17,0)+IF(AND(V1518&gt;=20,V1518&lt;40,W1518&gt;=150),0.12,0)+IF(AND(V1518&gt;=40,V1518&lt;75,W1518&lt;35),0.3,0)+IF(AND(V1518&gt;=40,V1518&lt;75,W1518&gt;=35,W1518&lt;75),0.23,0)+IF(AND(V1518&gt;=40,V1518&lt;75,W1518&gt;=75,W1518&lt;120),0.17,0)+IF(AND(V1518&gt;=40,V1518&lt;75,W1518&gt;=120),0.12,0)+IF(AND(V1518&gt;=75,V1518&lt;175,W1518&lt;35),0.3,0)+IF(AND(V1518&gt;=75,V1518&lt;=175,W1518&gt;=35,W1518&lt;65),0.23,0)+IF(AND(V1518&gt;=75,V1518&lt;=175,W1518&gt;=65,W1518&lt;110),0.17,0)+IF(AND(V1518&gt;=75,V1518&lt;=175,W1518&gt;=110),0.12,0)+IF(AND(V1518&gt;175,W1518&lt;25),0.3,0)+IF(AND(V1518&gt;175,W1518&gt;=25,W1518&lt;55),0.23,0)+IF(AND(V1518&gt;175,W1518&gt;=55,W1518&lt;95),0.17,0)+IF(AND(V1518&gt;175,W1518&gt;=95),0.12,0),
IF(AF1518="DoEVsu",IF(AND(V1518&lt;20,W1518&lt;55),0.3,0)+IF(AND(V1518&lt;20,W1518&gt;=55,W1518&lt;105),0.23,0)+IF(AND(V1518&lt;20,W1518&gt;=105),0.17,0)+IF(AND(V1518&gt;=20,V1518&lt;40,W1518&lt;45),0.3,0)+IF(AND(V1518&gt;=20,V1518&lt;40,W1518&gt;=45,W1518&lt;95),0.23,0)+IF(AND(V1518&gt;=20,V1518&lt;40,W1518&gt;=95,W1518&lt;=250),0.17,0)+IF(AND(V1518&gt;=20,V1518&lt;40,W1518&gt;=250),0.12,0)+IF(AND(V1518&gt;=40,V1518&lt;75,W1518&lt;35),0.3,0)+IF(AND(V1518&gt;=40,V1518&lt;75,W1518&gt;=35,W1518&lt;75),0.23,0)+IF(AND(V1518&gt;=40,V1518&lt;75,W1518&gt;=75,W1518&lt;120),0.17,0)+IF(AND(V1518&gt;=40,V1518&lt;75,W1518&gt;=120),0.12,0)+IF(AND(V1518&gt;=75,V1518&lt;175,W1518&lt;35),0.3,0)+IF(AND(V1518&gt;=75,V1518&lt;=175,W1518&gt;=35,W1518&lt;65),0.23,0)+IF(AND(V1518&gt;=75,V1518&lt;=175,W1518&gt;=65,W1518&lt;110),0.17,0)+IF(AND(V1518&gt;=75,V1518&lt;=175,W1518&gt;=110),0.12,0)+IF(AND(V1518&gt;175,W1518&lt;25),0.3,0)+IF(AND(V1518&gt;175,W1518&gt;=25,W1518&lt;55),0.23,0)+IF(AND(V1518&gt;175,W1518&gt;=55,W1518&lt;95),0.17,0)+IF(AND(V1518&gt;175,W1518&gt;=95),0.12,0),
IF(AF1518="DoEVni",IF(AND(V1518&lt;20,W1518&lt;55),0.3,0)+IF(AND(V1518&lt;20,W1518&gt;=55,W1518&lt;105),0.23,0)+IF(AND(V1518&lt;20,W1518&gt;=105),0.17,0)+IF(AND(V1518&gt;=20,V1518&lt;40,W1518&lt;45),0.3,0)+IF(AND(V1518&gt;=20,V1518&lt;40,W1518&gt;=45,W1518&lt;95),0.23,0)+IF(AND(V1518&gt;=20,V1518&lt;40,W1518&gt;=95,W1518&lt;=200),0.17,0)+IF(AND(V1518&gt;=20,V1518&lt;40,W1518&gt;=200),0.12,0)+IF(AND(V1518&gt;=40,V1518&lt;75,W1518&lt;35),0.3,0)+IF(AND(V1518&gt;=40,V1518&lt;75,W1518&gt;=35,W1518&lt;75),0.23,0)+IF(AND(V1518&gt;=40,V1518&lt;75,W1518&gt;=75,W1518&lt;120),0.17,0)+IF(AND(V1518&gt;=40,V1518&lt;75,W1518&gt;=120),0.12,0)+IF(AND(V1518&gt;=75,V1518&lt;175,W1518&lt;35),0.3,0)+IF(AND(V1518&gt;=75,V1518&lt;=175,W1518&gt;=35,W1518&lt;65),0.23,0)+IF(AND(V1518&gt;=75,V1518&lt;=175,W1518&gt;=65,W1518&lt;110),0.17,0)+IF(AND(V1518&gt;=75,V1518&lt;=175,W1518&gt;=110),0.12,0)+IF(AND(V1518&gt;175,W1518&lt;25),0.3,0)+IF(AND(V1518&gt;175,W1518&gt;=25,W1518&lt;55),0.23,0)+IF(AND(V1518&gt;175,W1518&gt;=55,W1518&lt;95),0.17,0)+IF(AND(V1518&gt;175,W1518&gt;=95),0.12,0),
IF(AF1518="DoEVLo",IF(AND(V1518&lt;20,W1518&lt;55),0.25,0)+IF(AND(V1518&lt;20,W1518&gt;=55,W1518&lt;105),0.2,0)+IF(AND(V1518&lt;20,W1518&gt;=105),0.15,0)+IF(AND(V1518&gt;=20,V1518&lt;40,W1518&lt;45),0.25,0)+IF(AND(V1518&gt;=20,V1518&lt;40,W1518&gt;=45,W1518&lt;95),0.2,0)+IF(AND(V1518&gt;=20,V1518&lt;40,W1518&gt;=95),0.15,0)+IF(AND(V1518&gt;=40,V1518&lt;75,W1518&lt;35),0.25,0)+IF(AND(V1518&gt;=40,V1518&lt;75,W1518&gt;=35,W1518&lt;75),0.2,0)+IF(AND(V1518&gt;=40,V1518&lt;75,W1518&gt;=75,W1518&lt;120),0.15,0)+IF(AND(V1518&gt;=40,V1518&lt;75,W1518&gt;=120),0.1,0)+IF(AND(V1518&gt;=75,V1518&lt;175,W1518&lt;35),0.25,0)+IF(AND(V1518&gt;=75,V1518&lt;=175,W1518&gt;=35,W1518&lt;65),0.2,0)+IF(AND(V1518&gt;=75,V1518&lt;=175,W1518&gt;=65,W1518&lt;110),0.15,0)+IF(AND(V1518&gt;=75,V1518&lt;=175,W1518&gt;=110),0.1,0)+IF(AND(V1518&gt;175,W1518&lt;25),0.25,0)+IF(AND(V1518&gt;175,W1518&gt;=25,W1518&lt;55),0.2,0)+IF(AND(V1518&gt;175,W1518&gt;=55,W1518&lt;95),0.15,0)+IF(AND(V1518&gt;175,W1518&gt;=95),0.1,0))))))))))))))))))))</f>
        <v>0.1875</v>
      </c>
      <c r="Y1518" s="30">
        <f>IF(AG1518="None",0,IF(AG1518="Fix5",0.05, IF(AG1518="Fix6.25",0.0625,IF(AG1518="Fix3.75",0.0375, IF(AG1518="Fix11",0.11, IF(AG1518="Fix10",0.1,IF(AG1518="Fix3",0.03,0)))))))</f>
        <v>6.25E-2</v>
      </c>
      <c r="Z1518" s="35">
        <f>IF(AND(AD1518="EUR", AE1518 = "USD"), T1518*U1518-AA1518-AB1518, T1518-AA1518-AB1518)</f>
        <v>-1281.75</v>
      </c>
      <c r="AA1518" s="29">
        <f>IF(AND(AD1518="EUR", F1518="Without EV deal", AE1518="USD"), (T1518*X1518)*U1518,
IF(AND(AD1518="EUR", F1518="Without EV deal", AE1518="EUR"), (T1518*X1518),
IF(AND(AD1518="EUR",AE1518="USD"), (T1518*X1518)*U1518,
T1518*X1518)))</f>
        <v>-320.4375</v>
      </c>
      <c r="AB1518" s="36">
        <f>IF(AND(AD1518="EUR", F1518="Without EV deal", AE1518="USD"), (T1518*Y1518)*U1518,
IF(AND(AD1518="EUR", F1518="Without EV deal", AE1518="EUR"), (T1518*Y1518),
IF(AND(AD1518="EUR",AE1518="USD"), (T1518*Y1518)*U1518,
T1518*Y1518)))</f>
        <v>-106.8125</v>
      </c>
      <c r="AC1518" s="37" t="b">
        <v>1</v>
      </c>
      <c r="AD1518" s="82" t="str">
        <f>IF(OR(H1518="€0.25 Flash",
H1518="€0.25(nitro) new",
H1518="€1",
H1518="€2",
H1518="€2 (bf 01.08)",
H1518="€5",
H1518="€5 (1M)",
H1518="€5 (bf 01.08)",
H1518="€5 (bf 05.05)",
H1518="€5 Nitro",
H1518="€5(wx) new",
H1518="€10",
H1518="€10 (1M)",
H1518="€10 (bf 01.08)",
H1518="€10 (bf 05.05)",
H1518="€10 (MP)",
H1518="€10 (old)",
H1518="€10 Nitro (bf 05.05)",
H1518="€10 Nitro (old)",
H1518="€10(wx) new",
H1518="€20",
H1518="€25",
H1518="€25 (bf 01.08)",
H1518="€25 (bf 05.05)",
H1518="€25 (MP)",
H1518="€25 (old)",
H1518="€25 Nitro",
H1518="€25 Nitro (bf 01.08)",
H1518="€25 Nitro (bf 05.05)",
H1518="€25(nitro) new",
H1518="€25(wx) new",
H1518="€50",
H1518="€50 (bf 01.08)",
H1518="€50 (bf 05.05)",
H1518="€50 (old)",
H1518="€50 Nitro",
H1518="€50 Nitro (bf 01.08)",
H1518="€50 Nitro (bf 05.05)",
H1518="€50(wx) new",
H1518="€100",
H1518="€100 (old)",
H1518="€100 Nitro",
H1518="€100 Nitro (old)",
H1518="€200",
H1518="€250",
H1518="€250 Nitro",
H1518="€500",
H1518="€500 Nitro"),"EUR", "USD")</f>
        <v>USD</v>
      </c>
      <c r="AE1518" s="83" t="s">
        <v>38</v>
      </c>
      <c r="AF1518" s="83" t="s">
        <v>146</v>
      </c>
      <c r="AG1518" s="84" t="s">
        <v>147</v>
      </c>
    </row>
    <row r="1519" spans="1:33" ht="14.25" hidden="1" x14ac:dyDescent="0.2">
      <c r="A1519" s="18" t="str">
        <f t="array" ref="A1519">IF(G1519='Room Info'!$B$1, INDEX('Room Info'!$A$2:$A2446, MATCH(B1519,'Room Info'!$B$2:$B2446, 0)),IF(G1519='Room Info'!$C$1, INDEX('Room Info'!$A$2:$A2446, MATCH(B1519,'Room Info'!$C$2:$C2446, 0)),IF(G1519='Room Info'!$D$1, INDEX('Room Info'!$A$2:$A2446, MATCH(B1519,'Room Info'!$D$2:$D2446, 0)),IF(G1519='Room Info'!$E$1, INDEX('Room Info'!$A$2:$A2446, MATCH(B1519,'Room Info'!$E$2:$E2446, 0)),IF(G1519='Room Info'!$F$1, INDEX('Room Info'!$A$2:$A2446, MATCH(B1519,'Room Info'!$F$2:$F2446, 0)),IF(G1519='Room Info'!$H$1, INDEX('Room Info'!$A$2:$A2446, MATCH(B1519,'Room Info'!$H$2:$H2446, 0)),IF(G1519='Room Info'!$G$1, INDEX('Room Info'!$A$2:$A2446, MATCH(B1519,'Room Info'!$G$2:$G2446, 0)))))))))</f>
        <v>benyya</v>
      </c>
      <c r="B1519" s="54" t="s">
        <v>145</v>
      </c>
      <c r="C1519" s="46">
        <v>44958</v>
      </c>
      <c r="D1519" s="46">
        <v>44985</v>
      </c>
      <c r="E1519" s="80">
        <v>44958</v>
      </c>
      <c r="F1519" s="45" t="s">
        <v>49</v>
      </c>
      <c r="G1519" s="18" t="s">
        <v>35</v>
      </c>
      <c r="H1519" s="49" t="s">
        <v>142</v>
      </c>
      <c r="I1519" s="23" t="s">
        <v>37</v>
      </c>
      <c r="J1519" s="39">
        <v>500</v>
      </c>
      <c r="K1519" s="51">
        <v>64</v>
      </c>
      <c r="L1519" s="52">
        <v>4500</v>
      </c>
      <c r="M1519" s="62"/>
      <c r="N1519" s="28">
        <f>K1519*J1519</f>
        <v>32000</v>
      </c>
      <c r="O1519" s="54">
        <v>2953</v>
      </c>
      <c r="P1519" s="29">
        <v>46.140625</v>
      </c>
      <c r="Q1519" s="55"/>
      <c r="R1519" s="31">
        <f>M1519+Q1519*J1519*K1519*0.07</f>
        <v>0</v>
      </c>
      <c r="S1519" s="56">
        <v>1397</v>
      </c>
      <c r="T1519" s="32">
        <f>IF(AND(AD1519="EUR", F1519="Without EV deal"), R1519 + L1519,
IF(AND(AD1519="USD", F1519="Without EV deal"), R1519 + L1519,
IF(AND(AD1519="EUR", F1519="Steel Phoenix"), R1519 + S1519/U1519,
R1519 + S1519)))</f>
        <v>1397</v>
      </c>
      <c r="U1519" s="57"/>
      <c r="V1519" s="58">
        <v>147.51</v>
      </c>
      <c r="W1519" s="58">
        <v>85</v>
      </c>
      <c r="X1519" s="30">
        <f>IF(AF1519="DoEV",IF(AND(V1519&lt;20,W1519&lt;55),0.3,0)+IF(AND(V1519&lt;20,W1519&gt;=55,W1519&lt;105),0.23,0)+IF(AND(V1519&lt;20,W1519&gt;=105),0.17,0)+IF(AND(V1519&gt;=20,V1519&lt;40,W1519&lt;45),0.3,0)+IF(AND(V1519&gt;=20,V1519&lt;40,W1519&gt;=45,W1519&lt;95),0.23,0)+IF(AND(V1519&gt;=20,V1519&lt;40,W1519&gt;=95),0.17,0)+IF(AND(V1519&gt;=40,V1519&lt;75,W1519&lt;35),0.3,0)+IF(AND(V1519&gt;=40,V1519&lt;75,W1519&gt;=35,W1519&lt;75),0.23,0)+IF(AND(V1519&gt;=40,V1519&lt;75,W1519&gt;=75,W1519&lt;120),0.17,0)+IF(AND(V1519&gt;=40,V1519&lt;75,W1519&gt;=120),0.12,0)+IF(AND(V1519&gt;=75,V1519&lt;175,W1519&lt;35),0.3,0)+IF(AND(V1519&gt;=75,V1519&lt;=175,W1519&gt;=35,W1519&lt;65),0.23,0)+IF(AND(V1519&gt;=75,V1519&lt;=175,W1519&gt;=65,W1519&lt;110),0.17,0)+IF(AND(V1519&gt;=75,V1519&lt;=175,W1519&gt;=110),0.12,0)+IF(AND(V1519&gt;175,W1519&lt;25),0.3,0)+IF(AND(V1519&gt;175,W1519&gt;=25,W1519&lt;55),0.23,0)+IF(AND(V1519&gt;175,W1519&gt;=55,W1519&lt;95),0.17,0)+IF(AND(V1519&gt;175,W1519&gt;=95),0.12,0),
IF(AF1519="Fix15",0.15,
IF(AF1519="Fix5",0.05,
IF(AF1519="Fix18.75",0.1875,
IF(AF1519="Fix11.25",0.1125,
IF(AF1519="Fix10",0.1,
IF(AF1519="Fix9",0.09,
IF(AF1519="Fix12",0.12,
IF(AF1519="Fix19",0.19,
IF(AF1519="DoEV2017",IF(AND(W1519&lt;74),0.2,0)+IF(AND(W1519&gt;=74),0.17,0),
IF(AF1519="SF",IF(AND(V1519&lt;20,W1519&lt;89),0.3,0)+IF(AND(V1519&lt;20,W1519&gt;=89),0.25,0)+IF(AND(V1519&gt;=20,V1519&lt;40,W1519&lt;74),0.3,0)+IF(AND(V1519&gt;=20,V1519&lt;40,W1519&gt;=75),0.22,0)+IF(AND(V1519&gt;=40,V1519&lt;75,W1519&lt;75),0.26,0)+IF(AND(V1519&gt;=40,V1519&lt;75,W1519&gt;=75),0.22,0)+IF(V1519&gt;=75,0.22,0),
IF(AF1519="DoEVold",IF(AND(V1519&lt;40,W1519&lt;35),0.35,0)+IF(AND(V1519&lt;40,W1519&gt;=35,W1519&lt;75),0.25,0)+IF(AND(V1519&lt;40,W1519&gt;=75),0.17,0)+IF(AND(V1519&gt;=40,V1519&lt;75,W1519&lt;25),0.35,0)+IF(AND(V1519&gt;=40,V1519&lt;75,W1519&gt;=25,W1519&lt;65),0.25,0)+IF(AND(V1519&gt;=40,V1519&lt;75,W1519&gt;=65,W1519&lt;100),0.17,0)+IF(AND(V1519&gt;=40,V1519&lt;75,W1519&gt;=100),0.1,0)+IF(AND(V1519&gt;=75,W1519&lt;25),0.35,0)+IF(AND(V1519&gt;=75,W1519&gt;=25,W1519&lt;60),0.25,0)+IF(AND(V1519&gt;=75,W1519&gt;=60,W1519&lt;95),0.17,0)+IF(AND(V1519&gt;=75,W1519&gt;=95),0.1,0),
IF(AF1519="DoEVold15",IF(AND(V1519&lt;=40,W1519&lt;35),0.35,0)+IF(AND(V1519&lt;=40,W1519&gt;=35,W1519&lt;75),0.25,0)+IF(AND(V1519&lt;=40,W1519&gt;=75,W1519&lt;120),0.17,0)+IF(AND(V1519&lt;=40,W1519&gt;=120),0.15,0)+IF(AND(V1519&gt;40,V1519&lt;75,W1519&lt;25),0.35,0)+IF(AND(V1519&gt;=40,V1519&lt;75,W1519&gt;=25,W1519&lt;65),0.25,0)+IF(AND(V1519&gt;=40,V1519&lt;75,W1519&gt;=65,W1519&lt;100),0.17,0)+IF(AND(V1519&gt;=40,V1519&lt;75,W1519&gt;=100),0.1,0)+IF(AND(V1519&gt;=75,W1519&lt;25),0.35,0)+IF(AND(V1519&gt;=75,W1519&gt;=25,W1519&lt;60),0.25,0)+IF(AND(V1519&gt;=75,W1519&gt;=60,W1519&lt;95),0.17,0)+IF(AND(V1519&gt;=75,W1519&gt;=95),0.1,0),
IF(AF1519="DoEVba",IF(AND(V1519&lt;20,W1519&lt;105),0.2,0)+IF(AND(V1519&lt;20,W1519&gt;=105),0.15,0)+IF(AND(V1519&gt;=20,V1519&lt;40,W1519&lt;95),0.2,0)+IF(AND(V1519&gt;=20,V1519&lt;40,W1519&gt;=95,W1519&lt;150),0.15,0)+IF(AND(V1519&gt;=20,V1519&lt;40,W1519&gt;=150),0.12,0)+IF(AND(V1519&gt;=40,V1519&lt;75,W1519&lt;75),0.2,0)+IF(AND(V1519&gt;=40,V1519&lt;75,W1519&gt;=75,W1519&lt;120),0.15,0)+IF(AND(V1519&gt;=40,V1519&lt;75,W1519&gt;=120),0.12,0)+IF(AND(V1519&gt;=75,V1519&lt;175,W1519&lt;65),0.2,0)+IF(AND(V1519&gt;=75,V1519&lt;175,W1519&gt;=65,W1519&lt;110),0.15,0)+IF(AND(V1519&gt;=75,V1519&lt;175,W1519&gt;=110),0.12,0)+IF(AND(V1519&gt;=175,W1519&lt;55),0.2,0)+IF(AND(V1519&gt;=175,W1519&gt;=55,W1519&lt;95),0.15,0)+IF(AND(V1519&gt;=175,W1519&gt;=95),0.12,0),
IF(AF1519="DoEVku",IF(AND(V1519&lt;20,W1519&lt;55),0.23,0)+IF(AND(V1519&lt;20,W1519&gt;=55,W1519&lt;105),0.2,0)+IF(AND(V1519&lt;20,W1519&gt;=105),0.17,0)+IF(AND(V1519&gt;=20,V1519&lt;40,W1519&lt;45),0.23,0)+IF(AND(V1519&gt;=20,V1519&lt;40,W1519&gt;=45,W1519&lt;95),0.2,0)+IF(AND(V1519&gt;=20,V1519&lt;40,W1519&gt;=95,W1519&lt;=150),0.17,0)+IF(AND(V1519&gt;=20,V1519&lt;40,W1519&gt;=150),0.12,0)+IF(AND(V1519&gt;=40,V1519&lt;75,W1519&lt;35),0.23,0)+IF(AND(V1519&gt;=40,V1519&lt;75,W1519&gt;=35,W1519&lt;75),0.2,0)+IF(AND(V1519&gt;=40,V1519&lt;75,W1519&gt;=75,W1519&lt;120),0.17,0)+IF(AND(V1519&gt;=40,V1519&lt;75,W1519&gt;=120),0.12,0)+IF(AND(V1519&gt;=75,V1519&lt;175,W1519&lt;35),0.23,0)+IF(AND(V1519&gt;=75,V1519&lt;=175,W1519&gt;=35,W1519&lt;65),0.2,0)+IF(AND(V1519&gt;=75,V1519&lt;=175,W1519&gt;=65,W1519&lt;110),0.17,0)+IF(AND(V1519&gt;=75,V1519&lt;=175,W1519&gt;=110),0.12,0)+IF(AND(V1519&gt;175,W1519&lt;25),0.23,0)+IF(AND(V1519&gt;175,W1519&gt;=25,W1519&lt;55),0.2,0)+IF(AND(V1519&gt;175,W1519&gt;=55,W1519&lt;95),0.17,0)+IF(AND(V1519&gt;175,W1519&gt;=95),0.12,0),
IF(AF1519="DoEVs1",IF(AND(V1519&lt;20,W1519&lt;55),0.3,0)+IF(AND(V1519&lt;20,W1519&gt;=55,W1519&lt;105),0.23,0)+IF(AND(V1519&lt;20,W1519&gt;=105),0.17,0)+IF(AND(V1519&gt;=20,V1519&lt;40,W1519&lt;45),0.3,0)+IF(AND(V1519&gt;=20,V1519&lt;40,W1519&gt;=45,W1519&lt;95),0.23,0)+IF(AND(V1519&gt;=20,V1519&lt;40,W1519&gt;=95,W1519&lt;=150),0.17,0)+IF(AND(V1519&gt;=20,V1519&lt;40,W1519&gt;=150),0.12,0)+IF(AND(V1519&gt;=40,V1519&lt;75,W1519&lt;35),0.3,0)+IF(AND(V1519&gt;=40,V1519&lt;75,W1519&gt;=35,W1519&lt;75),0.23,0)+IF(AND(V1519&gt;=40,V1519&lt;75,W1519&gt;=75,W1519&lt;120),0.17,0)+IF(AND(V1519&gt;=40,V1519&lt;75,W1519&gt;=120),0.12,0)+IF(AND(V1519&gt;=75,V1519&lt;175,W1519&lt;35),0.3,0)+IF(AND(V1519&gt;=75,V1519&lt;=175,W1519&gt;=35,W1519&lt;65),0.23,0)+IF(AND(V1519&gt;=75,V1519&lt;=175,W1519&gt;=65,W1519&lt;110),0.17,0)+IF(AND(V1519&gt;=75,V1519&lt;=175,W1519&gt;=110),0.12,0)+IF(AND(V1519&gt;175,W1519&lt;25),0.3,0)+IF(AND(V1519&gt;175,W1519&gt;=25,W1519&lt;55),0.23,0)+IF(AND(V1519&gt;175,W1519&gt;=55,W1519&lt;95),0.17,0)+IF(AND(V1519&gt;175,W1519&gt;=95),0.12,0),
IF(AF1519="DoEVsu",IF(AND(V1519&lt;20,W1519&lt;55),0.3,0)+IF(AND(V1519&lt;20,W1519&gt;=55,W1519&lt;105),0.23,0)+IF(AND(V1519&lt;20,W1519&gt;=105),0.17,0)+IF(AND(V1519&gt;=20,V1519&lt;40,W1519&lt;45),0.3,0)+IF(AND(V1519&gt;=20,V1519&lt;40,W1519&gt;=45,W1519&lt;95),0.23,0)+IF(AND(V1519&gt;=20,V1519&lt;40,W1519&gt;=95,W1519&lt;=250),0.17,0)+IF(AND(V1519&gt;=20,V1519&lt;40,W1519&gt;=250),0.12,0)+IF(AND(V1519&gt;=40,V1519&lt;75,W1519&lt;35),0.3,0)+IF(AND(V1519&gt;=40,V1519&lt;75,W1519&gt;=35,W1519&lt;75),0.23,0)+IF(AND(V1519&gt;=40,V1519&lt;75,W1519&gt;=75,W1519&lt;120),0.17,0)+IF(AND(V1519&gt;=40,V1519&lt;75,W1519&gt;=120),0.12,0)+IF(AND(V1519&gt;=75,V1519&lt;175,W1519&lt;35),0.3,0)+IF(AND(V1519&gt;=75,V1519&lt;=175,W1519&gt;=35,W1519&lt;65),0.23,0)+IF(AND(V1519&gt;=75,V1519&lt;=175,W1519&gt;=65,W1519&lt;110),0.17,0)+IF(AND(V1519&gt;=75,V1519&lt;=175,W1519&gt;=110),0.12,0)+IF(AND(V1519&gt;175,W1519&lt;25),0.3,0)+IF(AND(V1519&gt;175,W1519&gt;=25,W1519&lt;55),0.23,0)+IF(AND(V1519&gt;175,W1519&gt;=55,W1519&lt;95),0.17,0)+IF(AND(V1519&gt;175,W1519&gt;=95),0.12,0),
IF(AF1519="DoEVni",IF(AND(V1519&lt;20,W1519&lt;55),0.3,0)+IF(AND(V1519&lt;20,W1519&gt;=55,W1519&lt;105),0.23,0)+IF(AND(V1519&lt;20,W1519&gt;=105),0.17,0)+IF(AND(V1519&gt;=20,V1519&lt;40,W1519&lt;45),0.3,0)+IF(AND(V1519&gt;=20,V1519&lt;40,W1519&gt;=45,W1519&lt;95),0.23,0)+IF(AND(V1519&gt;=20,V1519&lt;40,W1519&gt;=95,W1519&lt;=200),0.17,0)+IF(AND(V1519&gt;=20,V1519&lt;40,W1519&gt;=200),0.12,0)+IF(AND(V1519&gt;=40,V1519&lt;75,W1519&lt;35),0.3,0)+IF(AND(V1519&gt;=40,V1519&lt;75,W1519&gt;=35,W1519&lt;75),0.23,0)+IF(AND(V1519&gt;=40,V1519&lt;75,W1519&gt;=75,W1519&lt;120),0.17,0)+IF(AND(V1519&gt;=40,V1519&lt;75,W1519&gt;=120),0.12,0)+IF(AND(V1519&gt;=75,V1519&lt;175,W1519&lt;35),0.3,0)+IF(AND(V1519&gt;=75,V1519&lt;=175,W1519&gt;=35,W1519&lt;65),0.23,0)+IF(AND(V1519&gt;=75,V1519&lt;=175,W1519&gt;=65,W1519&lt;110),0.17,0)+IF(AND(V1519&gt;=75,V1519&lt;=175,W1519&gt;=110),0.12,0)+IF(AND(V1519&gt;175,W1519&lt;25),0.3,0)+IF(AND(V1519&gt;175,W1519&gt;=25,W1519&lt;55),0.23,0)+IF(AND(V1519&gt;175,W1519&gt;=55,W1519&lt;95),0.17,0)+IF(AND(V1519&gt;175,W1519&gt;=95),0.12,0),
IF(AF1519="DoEVLo",IF(AND(V1519&lt;20,W1519&lt;55),0.25,0)+IF(AND(V1519&lt;20,W1519&gt;=55,W1519&lt;105),0.2,0)+IF(AND(V1519&lt;20,W1519&gt;=105),0.15,0)+IF(AND(V1519&gt;=20,V1519&lt;40,W1519&lt;45),0.25,0)+IF(AND(V1519&gt;=20,V1519&lt;40,W1519&gt;=45,W1519&lt;95),0.2,0)+IF(AND(V1519&gt;=20,V1519&lt;40,W1519&gt;=95),0.15,0)+IF(AND(V1519&gt;=40,V1519&lt;75,W1519&lt;35),0.25,0)+IF(AND(V1519&gt;=40,V1519&lt;75,W1519&gt;=35,W1519&lt;75),0.2,0)+IF(AND(V1519&gt;=40,V1519&lt;75,W1519&gt;=75,W1519&lt;120),0.15,0)+IF(AND(V1519&gt;=40,V1519&lt;75,W1519&gt;=120),0.1,0)+IF(AND(V1519&gt;=75,V1519&lt;175,W1519&lt;35),0.25,0)+IF(AND(V1519&gt;=75,V1519&lt;=175,W1519&gt;=35,W1519&lt;65),0.2,0)+IF(AND(V1519&gt;=75,V1519&lt;=175,W1519&gt;=65,W1519&lt;110),0.15,0)+IF(AND(V1519&gt;=75,V1519&lt;=175,W1519&gt;=110),0.1,0)+IF(AND(V1519&gt;175,W1519&lt;25),0.25,0)+IF(AND(V1519&gt;175,W1519&gt;=25,W1519&lt;55),0.2,0)+IF(AND(V1519&gt;175,W1519&gt;=55,W1519&lt;95),0.15,0)+IF(AND(V1519&gt;175,W1519&gt;=95),0.1,0))))))))))))))))))))</f>
        <v>0.1875</v>
      </c>
      <c r="Y1519" s="30">
        <f>IF(AG1519="None",0,IF(AG1519="Fix5",0.05, IF(AG1519="Fix6.25",0.0625,IF(AG1519="Fix3.75",0.0375, IF(AG1519="Fix11",0.11, IF(AG1519="Fix10",0.1,IF(AG1519="Fix3",0.03,0)))))))</f>
        <v>6.25E-2</v>
      </c>
      <c r="Z1519" s="35">
        <f>IF(AND(AD1519="EUR", AE1519 = "USD"), T1519*U1519-AA1519-AB1519, T1519-AA1519-AB1519)</f>
        <v>1047.75</v>
      </c>
      <c r="AA1519" s="29">
        <f>IF(AND(AD1519="EUR", F1519="Without EV deal", AE1519="USD"), (T1519*X1519)*U1519,
IF(AND(AD1519="EUR", F1519="Without EV deal", AE1519="EUR"), (T1519*X1519),
IF(AND(AD1519="EUR",AE1519="USD"), (T1519*X1519)*U1519,
T1519*X1519)))</f>
        <v>261.9375</v>
      </c>
      <c r="AB1519" s="36">
        <f>IF(AND(AD1519="EUR", F1519="Without EV deal", AE1519="USD"), (T1519*Y1519)*U1519,
IF(AND(AD1519="EUR", F1519="Without EV deal", AE1519="EUR"), (T1519*Y1519),
IF(AND(AD1519="EUR",AE1519="USD"), (T1519*Y1519)*U1519,
T1519*Y1519)))</f>
        <v>87.3125</v>
      </c>
      <c r="AC1519" s="37" t="b">
        <v>1</v>
      </c>
      <c r="AD1519" s="82" t="str">
        <f>IF(OR(H1519="€0.25 Flash",
H1519="€0.25(nitro) new",
H1519="€1",
H1519="€2",
H1519="€2 (bf 01.08)",
H1519="€5",
H1519="€5 (1M)",
H1519="€5 (bf 01.08)",
H1519="€5 (bf 05.05)",
H1519="€5 Nitro",
H1519="€5(wx) new",
H1519="€10",
H1519="€10 (1M)",
H1519="€10 (bf 01.08)",
H1519="€10 (bf 05.05)",
H1519="€10 (MP)",
H1519="€10 (old)",
H1519="€10 Nitro (bf 05.05)",
H1519="€10 Nitro (old)",
H1519="€10(wx) new",
H1519="€20",
H1519="€25",
H1519="€25 (bf 01.08)",
H1519="€25 (bf 05.05)",
H1519="€25 (MP)",
H1519="€25 (old)",
H1519="€25 Nitro",
H1519="€25 Nitro (bf 01.08)",
H1519="€25 Nitro (bf 05.05)",
H1519="€25(nitro) new",
H1519="€25(wx) new",
H1519="€50",
H1519="€50 (bf 01.08)",
H1519="€50 (bf 05.05)",
H1519="€50 (old)",
H1519="€50 Nitro",
H1519="€50 Nitro (bf 01.08)",
H1519="€50 Nitro (bf 05.05)",
H1519="€50(wx) new",
H1519="€100",
H1519="€100 (old)",
H1519="€100 Nitro",
H1519="€100 Nitro (old)",
H1519="€200",
H1519="€250",
H1519="€250 Nitro",
H1519="€500",
H1519="€500 Nitro"),"EUR", "USD")</f>
        <v>USD</v>
      </c>
      <c r="AE1519" s="83" t="s">
        <v>38</v>
      </c>
      <c r="AF1519" s="83" t="s">
        <v>146</v>
      </c>
      <c r="AG1519" s="84" t="s">
        <v>147</v>
      </c>
    </row>
    <row r="1520" spans="1:33" ht="14.25" hidden="1" x14ac:dyDescent="0.2">
      <c r="A1520" s="18" t="str">
        <f t="array" ref="A1520">IF(G1520='Room Info'!$B$1, INDEX('Room Info'!$A$2:$A2446, MATCH(B1520,'Room Info'!$B$2:$B2446, 0)),IF(G1520='Room Info'!$C$1, INDEX('Room Info'!$A$2:$A2446, MATCH(B1520,'Room Info'!$C$2:$C2446, 0)),IF(G1520='Room Info'!$D$1, INDEX('Room Info'!$A$2:$A2446, MATCH(B1520,'Room Info'!$D$2:$D2446, 0)),IF(G1520='Room Info'!$E$1, INDEX('Room Info'!$A$2:$A2446, MATCH(B1520,'Room Info'!$E$2:$E2446, 0)),IF(G1520='Room Info'!$F$1, INDEX('Room Info'!$A$2:$A2446, MATCH(B1520,'Room Info'!$F$2:$F2446, 0)),IF(G1520='Room Info'!$H$1, INDEX('Room Info'!$A$2:$A2446, MATCH(B1520,'Room Info'!$H$2:$H2446, 0)),IF(G1520='Room Info'!$G$1, INDEX('Room Info'!$A$2:$A2446, MATCH(B1520,'Room Info'!$G$2:$G2446, 0)))))))))</f>
        <v>benyya</v>
      </c>
      <c r="B1520" s="54" t="s">
        <v>145</v>
      </c>
      <c r="C1520" s="46">
        <v>44958</v>
      </c>
      <c r="D1520" s="46">
        <v>44985</v>
      </c>
      <c r="E1520" s="80">
        <v>44958</v>
      </c>
      <c r="F1520" s="45" t="s">
        <v>49</v>
      </c>
      <c r="G1520" s="18" t="s">
        <v>35</v>
      </c>
      <c r="H1520" s="49" t="s">
        <v>149</v>
      </c>
      <c r="I1520" s="49" t="s">
        <v>44</v>
      </c>
      <c r="J1520" s="39">
        <v>500</v>
      </c>
      <c r="K1520" s="51">
        <v>90</v>
      </c>
      <c r="L1520" s="52">
        <v>-4500</v>
      </c>
      <c r="M1520" s="62"/>
      <c r="N1520" s="28">
        <f>K1520*J1520</f>
        <v>45000</v>
      </c>
      <c r="O1520" s="54">
        <v>860</v>
      </c>
      <c r="P1520" s="29">
        <v>9.5555555559999998</v>
      </c>
      <c r="Q1520" s="55"/>
      <c r="R1520" s="31">
        <f>M1520+Q1520*J1520*K1520*0.07</f>
        <v>0</v>
      </c>
      <c r="S1520" s="56">
        <v>-592</v>
      </c>
      <c r="T1520" s="32">
        <f>IF(AND(AD1520="EUR", F1520="Without EV deal"), R1520 + L1520,
IF(AND(AD1520="USD", F1520="Without EV deal"), R1520 + L1520,
IF(AND(AD1520="EUR", F1520="Steel Phoenix"), R1520 + S1520/U1520,
R1520 + S1520)))</f>
        <v>-592</v>
      </c>
      <c r="U1520" s="57"/>
      <c r="V1520" s="58">
        <v>147.51</v>
      </c>
      <c r="W1520" s="58">
        <v>85</v>
      </c>
      <c r="X1520" s="30">
        <f>IF(AF1520="DoEV",IF(AND(V1520&lt;20,W1520&lt;55),0.3,0)+IF(AND(V1520&lt;20,W1520&gt;=55,W1520&lt;105),0.23,0)+IF(AND(V1520&lt;20,W1520&gt;=105),0.17,0)+IF(AND(V1520&gt;=20,V1520&lt;40,W1520&lt;45),0.3,0)+IF(AND(V1520&gt;=20,V1520&lt;40,W1520&gt;=45,W1520&lt;95),0.23,0)+IF(AND(V1520&gt;=20,V1520&lt;40,W1520&gt;=95),0.17,0)+IF(AND(V1520&gt;=40,V1520&lt;75,W1520&lt;35),0.3,0)+IF(AND(V1520&gt;=40,V1520&lt;75,W1520&gt;=35,W1520&lt;75),0.23,0)+IF(AND(V1520&gt;=40,V1520&lt;75,W1520&gt;=75,W1520&lt;120),0.17,0)+IF(AND(V1520&gt;=40,V1520&lt;75,W1520&gt;=120),0.12,0)+IF(AND(V1520&gt;=75,V1520&lt;175,W1520&lt;35),0.3,0)+IF(AND(V1520&gt;=75,V1520&lt;=175,W1520&gt;=35,W1520&lt;65),0.23,0)+IF(AND(V1520&gt;=75,V1520&lt;=175,W1520&gt;=65,W1520&lt;110),0.17,0)+IF(AND(V1520&gt;=75,V1520&lt;=175,W1520&gt;=110),0.12,0)+IF(AND(V1520&gt;175,W1520&lt;25),0.3,0)+IF(AND(V1520&gt;175,W1520&gt;=25,W1520&lt;55),0.23,0)+IF(AND(V1520&gt;175,W1520&gt;=55,W1520&lt;95),0.17,0)+IF(AND(V1520&gt;175,W1520&gt;=95),0.12,0),
IF(AF1520="Fix15",0.15,
IF(AF1520="Fix5",0.05,
IF(AF1520="Fix18.75",0.1875,
IF(AF1520="Fix11.25",0.1125,
IF(AF1520="Fix10",0.1,
IF(AF1520="Fix9",0.09,
IF(AF1520="Fix12",0.12,
IF(AF1520="Fix19",0.19,
IF(AF1520="DoEV2017",IF(AND(W1520&lt;74),0.2,0)+IF(AND(W1520&gt;=74),0.17,0),
IF(AF1520="SF",IF(AND(V1520&lt;20,W1520&lt;89),0.3,0)+IF(AND(V1520&lt;20,W1520&gt;=89),0.25,0)+IF(AND(V1520&gt;=20,V1520&lt;40,W1520&lt;74),0.3,0)+IF(AND(V1520&gt;=20,V1520&lt;40,W1520&gt;=75),0.22,0)+IF(AND(V1520&gt;=40,V1520&lt;75,W1520&lt;75),0.26,0)+IF(AND(V1520&gt;=40,V1520&lt;75,W1520&gt;=75),0.22,0)+IF(V1520&gt;=75,0.22,0),
IF(AF1520="DoEVold",IF(AND(V1520&lt;40,W1520&lt;35),0.35,0)+IF(AND(V1520&lt;40,W1520&gt;=35,W1520&lt;75),0.25,0)+IF(AND(V1520&lt;40,W1520&gt;=75),0.17,0)+IF(AND(V1520&gt;=40,V1520&lt;75,W1520&lt;25),0.35,0)+IF(AND(V1520&gt;=40,V1520&lt;75,W1520&gt;=25,W1520&lt;65),0.25,0)+IF(AND(V1520&gt;=40,V1520&lt;75,W1520&gt;=65,W1520&lt;100),0.17,0)+IF(AND(V1520&gt;=40,V1520&lt;75,W1520&gt;=100),0.1,0)+IF(AND(V1520&gt;=75,W1520&lt;25),0.35,0)+IF(AND(V1520&gt;=75,W1520&gt;=25,W1520&lt;60),0.25,0)+IF(AND(V1520&gt;=75,W1520&gt;=60,W1520&lt;95),0.17,0)+IF(AND(V1520&gt;=75,W1520&gt;=95),0.1,0),
IF(AF1520="DoEVold15",IF(AND(V1520&lt;=40,W1520&lt;35),0.35,0)+IF(AND(V1520&lt;=40,W1520&gt;=35,W1520&lt;75),0.25,0)+IF(AND(V1520&lt;=40,W1520&gt;=75,W1520&lt;120),0.17,0)+IF(AND(V1520&lt;=40,W1520&gt;=120),0.15,0)+IF(AND(V1520&gt;40,V1520&lt;75,W1520&lt;25),0.35,0)+IF(AND(V1520&gt;=40,V1520&lt;75,W1520&gt;=25,W1520&lt;65),0.25,0)+IF(AND(V1520&gt;=40,V1520&lt;75,W1520&gt;=65,W1520&lt;100),0.17,0)+IF(AND(V1520&gt;=40,V1520&lt;75,W1520&gt;=100),0.1,0)+IF(AND(V1520&gt;=75,W1520&lt;25),0.35,0)+IF(AND(V1520&gt;=75,W1520&gt;=25,W1520&lt;60),0.25,0)+IF(AND(V1520&gt;=75,W1520&gt;=60,W1520&lt;95),0.17,0)+IF(AND(V1520&gt;=75,W1520&gt;=95),0.1,0),
IF(AF1520="DoEVba",IF(AND(V1520&lt;20,W1520&lt;105),0.2,0)+IF(AND(V1520&lt;20,W1520&gt;=105),0.15,0)+IF(AND(V1520&gt;=20,V1520&lt;40,W1520&lt;95),0.2,0)+IF(AND(V1520&gt;=20,V1520&lt;40,W1520&gt;=95,W1520&lt;150),0.15,0)+IF(AND(V1520&gt;=20,V1520&lt;40,W1520&gt;=150),0.12,0)+IF(AND(V1520&gt;=40,V1520&lt;75,W1520&lt;75),0.2,0)+IF(AND(V1520&gt;=40,V1520&lt;75,W1520&gt;=75,W1520&lt;120),0.15,0)+IF(AND(V1520&gt;=40,V1520&lt;75,W1520&gt;=120),0.12,0)+IF(AND(V1520&gt;=75,V1520&lt;175,W1520&lt;65),0.2,0)+IF(AND(V1520&gt;=75,V1520&lt;175,W1520&gt;=65,W1520&lt;110),0.15,0)+IF(AND(V1520&gt;=75,V1520&lt;175,W1520&gt;=110),0.12,0)+IF(AND(V1520&gt;=175,W1520&lt;55),0.2,0)+IF(AND(V1520&gt;=175,W1520&gt;=55,W1520&lt;95),0.15,0)+IF(AND(V1520&gt;=175,W1520&gt;=95),0.12,0),
IF(AF1520="DoEVku",IF(AND(V1520&lt;20,W1520&lt;55),0.23,0)+IF(AND(V1520&lt;20,W1520&gt;=55,W1520&lt;105),0.2,0)+IF(AND(V1520&lt;20,W1520&gt;=105),0.17,0)+IF(AND(V1520&gt;=20,V1520&lt;40,W1520&lt;45),0.23,0)+IF(AND(V1520&gt;=20,V1520&lt;40,W1520&gt;=45,W1520&lt;95),0.2,0)+IF(AND(V1520&gt;=20,V1520&lt;40,W1520&gt;=95,W1520&lt;=150),0.17,0)+IF(AND(V1520&gt;=20,V1520&lt;40,W1520&gt;=150),0.12,0)+IF(AND(V1520&gt;=40,V1520&lt;75,W1520&lt;35),0.23,0)+IF(AND(V1520&gt;=40,V1520&lt;75,W1520&gt;=35,W1520&lt;75),0.2,0)+IF(AND(V1520&gt;=40,V1520&lt;75,W1520&gt;=75,W1520&lt;120),0.17,0)+IF(AND(V1520&gt;=40,V1520&lt;75,W1520&gt;=120),0.12,0)+IF(AND(V1520&gt;=75,V1520&lt;175,W1520&lt;35),0.23,0)+IF(AND(V1520&gt;=75,V1520&lt;=175,W1520&gt;=35,W1520&lt;65),0.2,0)+IF(AND(V1520&gt;=75,V1520&lt;=175,W1520&gt;=65,W1520&lt;110),0.17,0)+IF(AND(V1520&gt;=75,V1520&lt;=175,W1520&gt;=110),0.12,0)+IF(AND(V1520&gt;175,W1520&lt;25),0.23,0)+IF(AND(V1520&gt;175,W1520&gt;=25,W1520&lt;55),0.2,0)+IF(AND(V1520&gt;175,W1520&gt;=55,W1520&lt;95),0.17,0)+IF(AND(V1520&gt;175,W1520&gt;=95),0.12,0),
IF(AF1520="DoEVs1",IF(AND(V1520&lt;20,W1520&lt;55),0.3,0)+IF(AND(V1520&lt;20,W1520&gt;=55,W1520&lt;105),0.23,0)+IF(AND(V1520&lt;20,W1520&gt;=105),0.17,0)+IF(AND(V1520&gt;=20,V1520&lt;40,W1520&lt;45),0.3,0)+IF(AND(V1520&gt;=20,V1520&lt;40,W1520&gt;=45,W1520&lt;95),0.23,0)+IF(AND(V1520&gt;=20,V1520&lt;40,W1520&gt;=95,W1520&lt;=150),0.17,0)+IF(AND(V1520&gt;=20,V1520&lt;40,W1520&gt;=150),0.12,0)+IF(AND(V1520&gt;=40,V1520&lt;75,W1520&lt;35),0.3,0)+IF(AND(V1520&gt;=40,V1520&lt;75,W1520&gt;=35,W1520&lt;75),0.23,0)+IF(AND(V1520&gt;=40,V1520&lt;75,W1520&gt;=75,W1520&lt;120),0.17,0)+IF(AND(V1520&gt;=40,V1520&lt;75,W1520&gt;=120),0.12,0)+IF(AND(V1520&gt;=75,V1520&lt;175,W1520&lt;35),0.3,0)+IF(AND(V1520&gt;=75,V1520&lt;=175,W1520&gt;=35,W1520&lt;65),0.23,0)+IF(AND(V1520&gt;=75,V1520&lt;=175,W1520&gt;=65,W1520&lt;110),0.17,0)+IF(AND(V1520&gt;=75,V1520&lt;=175,W1520&gt;=110),0.12,0)+IF(AND(V1520&gt;175,W1520&lt;25),0.3,0)+IF(AND(V1520&gt;175,W1520&gt;=25,W1520&lt;55),0.23,0)+IF(AND(V1520&gt;175,W1520&gt;=55,W1520&lt;95),0.17,0)+IF(AND(V1520&gt;175,W1520&gt;=95),0.12,0),
IF(AF1520="DoEVsu",IF(AND(V1520&lt;20,W1520&lt;55),0.3,0)+IF(AND(V1520&lt;20,W1520&gt;=55,W1520&lt;105),0.23,0)+IF(AND(V1520&lt;20,W1520&gt;=105),0.17,0)+IF(AND(V1520&gt;=20,V1520&lt;40,W1520&lt;45),0.3,0)+IF(AND(V1520&gt;=20,V1520&lt;40,W1520&gt;=45,W1520&lt;95),0.23,0)+IF(AND(V1520&gt;=20,V1520&lt;40,W1520&gt;=95,W1520&lt;=250),0.17,0)+IF(AND(V1520&gt;=20,V1520&lt;40,W1520&gt;=250),0.12,0)+IF(AND(V1520&gt;=40,V1520&lt;75,W1520&lt;35),0.3,0)+IF(AND(V1520&gt;=40,V1520&lt;75,W1520&gt;=35,W1520&lt;75),0.23,0)+IF(AND(V1520&gt;=40,V1520&lt;75,W1520&gt;=75,W1520&lt;120),0.17,0)+IF(AND(V1520&gt;=40,V1520&lt;75,W1520&gt;=120),0.12,0)+IF(AND(V1520&gt;=75,V1520&lt;175,W1520&lt;35),0.3,0)+IF(AND(V1520&gt;=75,V1520&lt;=175,W1520&gt;=35,W1520&lt;65),0.23,0)+IF(AND(V1520&gt;=75,V1520&lt;=175,W1520&gt;=65,W1520&lt;110),0.17,0)+IF(AND(V1520&gt;=75,V1520&lt;=175,W1520&gt;=110),0.12,0)+IF(AND(V1520&gt;175,W1520&lt;25),0.3,0)+IF(AND(V1520&gt;175,W1520&gt;=25,W1520&lt;55),0.23,0)+IF(AND(V1520&gt;175,W1520&gt;=55,W1520&lt;95),0.17,0)+IF(AND(V1520&gt;175,W1520&gt;=95),0.12,0),
IF(AF1520="DoEVni",IF(AND(V1520&lt;20,W1520&lt;55),0.3,0)+IF(AND(V1520&lt;20,W1520&gt;=55,W1520&lt;105),0.23,0)+IF(AND(V1520&lt;20,W1520&gt;=105),0.17,0)+IF(AND(V1520&gt;=20,V1520&lt;40,W1520&lt;45),0.3,0)+IF(AND(V1520&gt;=20,V1520&lt;40,W1520&gt;=45,W1520&lt;95),0.23,0)+IF(AND(V1520&gt;=20,V1520&lt;40,W1520&gt;=95,W1520&lt;=200),0.17,0)+IF(AND(V1520&gt;=20,V1520&lt;40,W1520&gt;=200),0.12,0)+IF(AND(V1520&gt;=40,V1520&lt;75,W1520&lt;35),0.3,0)+IF(AND(V1520&gt;=40,V1520&lt;75,W1520&gt;=35,W1520&lt;75),0.23,0)+IF(AND(V1520&gt;=40,V1520&lt;75,W1520&gt;=75,W1520&lt;120),0.17,0)+IF(AND(V1520&gt;=40,V1520&lt;75,W1520&gt;=120),0.12,0)+IF(AND(V1520&gt;=75,V1520&lt;175,W1520&lt;35),0.3,0)+IF(AND(V1520&gt;=75,V1520&lt;=175,W1520&gt;=35,W1520&lt;65),0.23,0)+IF(AND(V1520&gt;=75,V1520&lt;=175,W1520&gt;=65,W1520&lt;110),0.17,0)+IF(AND(V1520&gt;=75,V1520&lt;=175,W1520&gt;=110),0.12,0)+IF(AND(V1520&gt;175,W1520&lt;25),0.3,0)+IF(AND(V1520&gt;175,W1520&gt;=25,W1520&lt;55),0.23,0)+IF(AND(V1520&gt;175,W1520&gt;=55,W1520&lt;95),0.17,0)+IF(AND(V1520&gt;175,W1520&gt;=95),0.12,0),
IF(AF1520="DoEVLo",IF(AND(V1520&lt;20,W1520&lt;55),0.25,0)+IF(AND(V1520&lt;20,W1520&gt;=55,W1520&lt;105),0.2,0)+IF(AND(V1520&lt;20,W1520&gt;=105),0.15,0)+IF(AND(V1520&gt;=20,V1520&lt;40,W1520&lt;45),0.25,0)+IF(AND(V1520&gt;=20,V1520&lt;40,W1520&gt;=45,W1520&lt;95),0.2,0)+IF(AND(V1520&gt;=20,V1520&lt;40,W1520&gt;=95),0.15,0)+IF(AND(V1520&gt;=40,V1520&lt;75,W1520&lt;35),0.25,0)+IF(AND(V1520&gt;=40,V1520&lt;75,W1520&gt;=35,W1520&lt;75),0.2,0)+IF(AND(V1520&gt;=40,V1520&lt;75,W1520&gt;=75,W1520&lt;120),0.15,0)+IF(AND(V1520&gt;=40,V1520&lt;75,W1520&gt;=120),0.1,0)+IF(AND(V1520&gt;=75,V1520&lt;175,W1520&lt;35),0.25,0)+IF(AND(V1520&gt;=75,V1520&lt;=175,W1520&gt;=35,W1520&lt;65),0.2,0)+IF(AND(V1520&gt;=75,V1520&lt;=175,W1520&gt;=65,W1520&lt;110),0.15,0)+IF(AND(V1520&gt;=75,V1520&lt;=175,W1520&gt;=110),0.1,0)+IF(AND(V1520&gt;175,W1520&lt;25),0.25,0)+IF(AND(V1520&gt;175,W1520&gt;=25,W1520&lt;55),0.2,0)+IF(AND(V1520&gt;175,W1520&gt;=55,W1520&lt;95),0.15,0)+IF(AND(V1520&gt;175,W1520&gt;=95),0.1,0))))))))))))))))))))</f>
        <v>0.1875</v>
      </c>
      <c r="Y1520" s="30">
        <f>IF(AG1520="None",0,IF(AG1520="Fix5",0.05, IF(AG1520="Fix6.25",0.0625,IF(AG1520="Fix3.75",0.0375, IF(AG1520="Fix11",0.11, IF(AG1520="Fix10",0.1,IF(AG1520="Fix3",0.03,0)))))))</f>
        <v>6.25E-2</v>
      </c>
      <c r="Z1520" s="35">
        <f>IF(AND(AD1520="EUR", AE1520 = "USD"), T1520*U1520-AA1520-AB1520, T1520-AA1520-AB1520)</f>
        <v>-444</v>
      </c>
      <c r="AA1520" s="29">
        <f>IF(AND(AD1520="EUR", F1520="Without EV deal", AE1520="USD"), (T1520*X1520)*U1520,
IF(AND(AD1520="EUR", F1520="Without EV deal", AE1520="EUR"), (T1520*X1520),
IF(AND(AD1520="EUR",AE1520="USD"), (T1520*X1520)*U1520,
T1520*X1520)))</f>
        <v>-111</v>
      </c>
      <c r="AB1520" s="36">
        <f>IF(AND(AD1520="EUR", F1520="Without EV deal", AE1520="USD"), (T1520*Y1520)*U1520,
IF(AND(AD1520="EUR", F1520="Without EV deal", AE1520="EUR"), (T1520*Y1520),
IF(AND(AD1520="EUR",AE1520="USD"), (T1520*Y1520)*U1520,
T1520*Y1520)))</f>
        <v>-37</v>
      </c>
      <c r="AC1520" s="37" t="b">
        <v>1</v>
      </c>
      <c r="AD1520" s="82" t="str">
        <f>IF(OR(H1520="€0.25 Flash",
H1520="€0.25(nitro) new",
H1520="€1",
H1520="€2",
H1520="€2 (bf 01.08)",
H1520="€5",
H1520="€5 (1M)",
H1520="€5 (bf 01.08)",
H1520="€5 (bf 05.05)",
H1520="€5 Nitro",
H1520="€5(wx) new",
H1520="€10",
H1520="€10 (1M)",
H1520="€10 (bf 01.08)",
H1520="€10 (bf 05.05)",
H1520="€10 (MP)",
H1520="€10 (old)",
H1520="€10 Nitro (bf 05.05)",
H1520="€10 Nitro (old)",
H1520="€10(wx) new",
H1520="€20",
H1520="€25",
H1520="€25 (bf 01.08)",
H1520="€25 (bf 05.05)",
H1520="€25 (MP)",
H1520="€25 (old)",
H1520="€25 Nitro",
H1520="€25 Nitro (bf 01.08)",
H1520="€25 Nitro (bf 05.05)",
H1520="€25(nitro) new",
H1520="€25(wx) new",
H1520="€50",
H1520="€50 (bf 01.08)",
H1520="€50 (bf 05.05)",
H1520="€50 (old)",
H1520="€50 Nitro",
H1520="€50 Nitro (bf 01.08)",
H1520="€50 Nitro (bf 05.05)",
H1520="€50(wx) new",
H1520="€100",
H1520="€100 (old)",
H1520="€100 Nitro",
H1520="€100 Nitro (old)",
H1520="€200",
H1520="€250",
H1520="€250 Nitro",
H1520="€500",
H1520="€500 Nitro"),"EUR", "USD")</f>
        <v>USD</v>
      </c>
      <c r="AE1520" s="83" t="s">
        <v>38</v>
      </c>
      <c r="AF1520" s="83" t="s">
        <v>146</v>
      </c>
      <c r="AG1520" s="84" t="s">
        <v>147</v>
      </c>
    </row>
    <row r="1521" spans="1:33" ht="14.25" hidden="1" x14ac:dyDescent="0.2">
      <c r="A1521" s="18" t="str">
        <f t="array" ref="A1521">IF(G1521='Room Info'!$B$1, INDEX('Room Info'!$A$2:$A2446, MATCH(B1521,'Room Info'!$B$2:$B2446, 0)),IF(G1521='Room Info'!$C$1, INDEX('Room Info'!$A$2:$A2446, MATCH(B1521,'Room Info'!$C$2:$C2446, 0)),IF(G1521='Room Info'!$D$1, INDEX('Room Info'!$A$2:$A2446, MATCH(B1521,'Room Info'!$D$2:$D2446, 0)),IF(G1521='Room Info'!$E$1, INDEX('Room Info'!$A$2:$A2446, MATCH(B1521,'Room Info'!$E$2:$E2446, 0)),IF(G1521='Room Info'!$F$1, INDEX('Room Info'!$A$2:$A2446, MATCH(B1521,'Room Info'!$F$2:$F2446, 0)),IF(G1521='Room Info'!$H$1, INDEX('Room Info'!$A$2:$A2446, MATCH(B1521,'Room Info'!$H$2:$H2446, 0)),IF(G1521='Room Info'!$G$1, INDEX('Room Info'!$A$2:$A2446, MATCH(B1521,'Room Info'!$G$2:$G2446, 0)))))))))</f>
        <v>benyya</v>
      </c>
      <c r="B1521" s="54" t="s">
        <v>145</v>
      </c>
      <c r="C1521" s="46">
        <v>44958</v>
      </c>
      <c r="D1521" s="46">
        <v>44985</v>
      </c>
      <c r="E1521" s="80">
        <v>44958</v>
      </c>
      <c r="F1521" s="45" t="s">
        <v>49</v>
      </c>
      <c r="G1521" s="125" t="s">
        <v>80</v>
      </c>
      <c r="H1521" s="49" t="s">
        <v>70</v>
      </c>
      <c r="I1521" s="49" t="s">
        <v>81</v>
      </c>
      <c r="J1521" s="39">
        <v>100</v>
      </c>
      <c r="K1521" s="51">
        <v>3366</v>
      </c>
      <c r="L1521" s="52">
        <v>-20000</v>
      </c>
      <c r="M1521" s="62">
        <f>13478+2250</f>
        <v>15728</v>
      </c>
      <c r="N1521" s="28">
        <f>K1521*J1521</f>
        <v>336600</v>
      </c>
      <c r="O1521" s="65"/>
      <c r="P1521" s="29">
        <v>0</v>
      </c>
      <c r="Q1521" s="55"/>
      <c r="R1521" s="31">
        <f>M1521+Q1521*J1521*K1521*0.07</f>
        <v>15728</v>
      </c>
      <c r="S1521" s="56">
        <v>-15532</v>
      </c>
      <c r="T1521" s="32">
        <f>IF(AND(AD1521="EUR", F1521="Without EV deal"), R1521 + L1521,
IF(AND(AD1521="USD", F1521="Without EV deal"), R1521 + L1521,
IF(AND(AD1521="EUR", F1521="Steel Phoenix"), R1521 + S1521/U1521,
R1521 + S1521)))</f>
        <v>196</v>
      </c>
      <c r="U1521" s="57"/>
      <c r="V1521" s="58">
        <v>147.51</v>
      </c>
      <c r="W1521" s="58">
        <v>85</v>
      </c>
      <c r="X1521" s="30">
        <f>IF(AF1521="DoEV",IF(AND(V1521&lt;20,W1521&lt;55),0.3,0)+IF(AND(V1521&lt;20,W1521&gt;=55,W1521&lt;105),0.23,0)+IF(AND(V1521&lt;20,W1521&gt;=105),0.17,0)+IF(AND(V1521&gt;=20,V1521&lt;40,W1521&lt;45),0.3,0)+IF(AND(V1521&gt;=20,V1521&lt;40,W1521&gt;=45,W1521&lt;95),0.23,0)+IF(AND(V1521&gt;=20,V1521&lt;40,W1521&gt;=95),0.17,0)+IF(AND(V1521&gt;=40,V1521&lt;75,W1521&lt;35),0.3,0)+IF(AND(V1521&gt;=40,V1521&lt;75,W1521&gt;=35,W1521&lt;75),0.23,0)+IF(AND(V1521&gt;=40,V1521&lt;75,W1521&gt;=75,W1521&lt;120),0.17,0)+IF(AND(V1521&gt;=40,V1521&lt;75,W1521&gt;=120),0.12,0)+IF(AND(V1521&gt;=75,V1521&lt;175,W1521&lt;35),0.3,0)+IF(AND(V1521&gt;=75,V1521&lt;=175,W1521&gt;=35,W1521&lt;65),0.23,0)+IF(AND(V1521&gt;=75,V1521&lt;=175,W1521&gt;=65,W1521&lt;110),0.17,0)+IF(AND(V1521&gt;=75,V1521&lt;=175,W1521&gt;=110),0.12,0)+IF(AND(V1521&gt;175,W1521&lt;25),0.3,0)+IF(AND(V1521&gt;175,W1521&gt;=25,W1521&lt;55),0.23,0)+IF(AND(V1521&gt;175,W1521&gt;=55,W1521&lt;95),0.17,0)+IF(AND(V1521&gt;175,W1521&gt;=95),0.12,0),
IF(AF1521="Fix15",0.15,
IF(AF1521="Fix5",0.05,
IF(AF1521="Fix18.75",0.1875,
IF(AF1521="Fix11.25",0.1125,
IF(AF1521="Fix10",0.1,
IF(AF1521="Fix9",0.09,
IF(AF1521="Fix12",0.12,
IF(AF1521="Fix19",0.19,
IF(AF1521="DoEV2017",IF(AND(W1521&lt;74),0.2,0)+IF(AND(W1521&gt;=74),0.17,0),
IF(AF1521="SF",IF(AND(V1521&lt;20,W1521&lt;89),0.3,0)+IF(AND(V1521&lt;20,W1521&gt;=89),0.25,0)+IF(AND(V1521&gt;=20,V1521&lt;40,W1521&lt;74),0.3,0)+IF(AND(V1521&gt;=20,V1521&lt;40,W1521&gt;=75),0.22,0)+IF(AND(V1521&gt;=40,V1521&lt;75,W1521&lt;75),0.26,0)+IF(AND(V1521&gt;=40,V1521&lt;75,W1521&gt;=75),0.22,0)+IF(V1521&gt;=75,0.22,0),
IF(AF1521="DoEVold",IF(AND(V1521&lt;40,W1521&lt;35),0.35,0)+IF(AND(V1521&lt;40,W1521&gt;=35,W1521&lt;75),0.25,0)+IF(AND(V1521&lt;40,W1521&gt;=75),0.17,0)+IF(AND(V1521&gt;=40,V1521&lt;75,W1521&lt;25),0.35,0)+IF(AND(V1521&gt;=40,V1521&lt;75,W1521&gt;=25,W1521&lt;65),0.25,0)+IF(AND(V1521&gt;=40,V1521&lt;75,W1521&gt;=65,W1521&lt;100),0.17,0)+IF(AND(V1521&gt;=40,V1521&lt;75,W1521&gt;=100),0.1,0)+IF(AND(V1521&gt;=75,W1521&lt;25),0.35,0)+IF(AND(V1521&gt;=75,W1521&gt;=25,W1521&lt;60),0.25,0)+IF(AND(V1521&gt;=75,W1521&gt;=60,W1521&lt;95),0.17,0)+IF(AND(V1521&gt;=75,W1521&gt;=95),0.1,0),
IF(AF1521="DoEVold15",IF(AND(V1521&lt;=40,W1521&lt;35),0.35,0)+IF(AND(V1521&lt;=40,W1521&gt;=35,W1521&lt;75),0.25,0)+IF(AND(V1521&lt;=40,W1521&gt;=75,W1521&lt;120),0.17,0)+IF(AND(V1521&lt;=40,W1521&gt;=120),0.15,0)+IF(AND(V1521&gt;40,V1521&lt;75,W1521&lt;25),0.35,0)+IF(AND(V1521&gt;=40,V1521&lt;75,W1521&gt;=25,W1521&lt;65),0.25,0)+IF(AND(V1521&gt;=40,V1521&lt;75,W1521&gt;=65,W1521&lt;100),0.17,0)+IF(AND(V1521&gt;=40,V1521&lt;75,W1521&gt;=100),0.1,0)+IF(AND(V1521&gt;=75,W1521&lt;25),0.35,0)+IF(AND(V1521&gt;=75,W1521&gt;=25,W1521&lt;60),0.25,0)+IF(AND(V1521&gt;=75,W1521&gt;=60,W1521&lt;95),0.17,0)+IF(AND(V1521&gt;=75,W1521&gt;=95),0.1,0),
IF(AF1521="DoEVba",IF(AND(V1521&lt;20,W1521&lt;105),0.2,0)+IF(AND(V1521&lt;20,W1521&gt;=105),0.15,0)+IF(AND(V1521&gt;=20,V1521&lt;40,W1521&lt;95),0.2,0)+IF(AND(V1521&gt;=20,V1521&lt;40,W1521&gt;=95,W1521&lt;150),0.15,0)+IF(AND(V1521&gt;=20,V1521&lt;40,W1521&gt;=150),0.12,0)+IF(AND(V1521&gt;=40,V1521&lt;75,W1521&lt;75),0.2,0)+IF(AND(V1521&gt;=40,V1521&lt;75,W1521&gt;=75,W1521&lt;120),0.15,0)+IF(AND(V1521&gt;=40,V1521&lt;75,W1521&gt;=120),0.12,0)+IF(AND(V1521&gt;=75,V1521&lt;175,W1521&lt;65),0.2,0)+IF(AND(V1521&gt;=75,V1521&lt;175,W1521&gt;=65,W1521&lt;110),0.15,0)+IF(AND(V1521&gt;=75,V1521&lt;175,W1521&gt;=110),0.12,0)+IF(AND(V1521&gt;=175,W1521&lt;55),0.2,0)+IF(AND(V1521&gt;=175,W1521&gt;=55,W1521&lt;95),0.15,0)+IF(AND(V1521&gt;=175,W1521&gt;=95),0.12,0),
IF(AF1521="DoEVku",IF(AND(V1521&lt;20,W1521&lt;55),0.23,0)+IF(AND(V1521&lt;20,W1521&gt;=55,W1521&lt;105),0.2,0)+IF(AND(V1521&lt;20,W1521&gt;=105),0.17,0)+IF(AND(V1521&gt;=20,V1521&lt;40,W1521&lt;45),0.23,0)+IF(AND(V1521&gt;=20,V1521&lt;40,W1521&gt;=45,W1521&lt;95),0.2,0)+IF(AND(V1521&gt;=20,V1521&lt;40,W1521&gt;=95,W1521&lt;=150),0.17,0)+IF(AND(V1521&gt;=20,V1521&lt;40,W1521&gt;=150),0.12,0)+IF(AND(V1521&gt;=40,V1521&lt;75,W1521&lt;35),0.23,0)+IF(AND(V1521&gt;=40,V1521&lt;75,W1521&gt;=35,W1521&lt;75),0.2,0)+IF(AND(V1521&gt;=40,V1521&lt;75,W1521&gt;=75,W1521&lt;120),0.17,0)+IF(AND(V1521&gt;=40,V1521&lt;75,W1521&gt;=120),0.12,0)+IF(AND(V1521&gt;=75,V1521&lt;175,W1521&lt;35),0.23,0)+IF(AND(V1521&gt;=75,V1521&lt;=175,W1521&gt;=35,W1521&lt;65),0.2,0)+IF(AND(V1521&gt;=75,V1521&lt;=175,W1521&gt;=65,W1521&lt;110),0.17,0)+IF(AND(V1521&gt;=75,V1521&lt;=175,W1521&gt;=110),0.12,0)+IF(AND(V1521&gt;175,W1521&lt;25),0.23,0)+IF(AND(V1521&gt;175,W1521&gt;=25,W1521&lt;55),0.2,0)+IF(AND(V1521&gt;175,W1521&gt;=55,W1521&lt;95),0.17,0)+IF(AND(V1521&gt;175,W1521&gt;=95),0.12,0),
IF(AF1521="DoEVs1",IF(AND(V1521&lt;20,W1521&lt;55),0.3,0)+IF(AND(V1521&lt;20,W1521&gt;=55,W1521&lt;105),0.23,0)+IF(AND(V1521&lt;20,W1521&gt;=105),0.17,0)+IF(AND(V1521&gt;=20,V1521&lt;40,W1521&lt;45),0.3,0)+IF(AND(V1521&gt;=20,V1521&lt;40,W1521&gt;=45,W1521&lt;95),0.23,0)+IF(AND(V1521&gt;=20,V1521&lt;40,W1521&gt;=95,W1521&lt;=150),0.17,0)+IF(AND(V1521&gt;=20,V1521&lt;40,W1521&gt;=150),0.12,0)+IF(AND(V1521&gt;=40,V1521&lt;75,W1521&lt;35),0.3,0)+IF(AND(V1521&gt;=40,V1521&lt;75,W1521&gt;=35,W1521&lt;75),0.23,0)+IF(AND(V1521&gt;=40,V1521&lt;75,W1521&gt;=75,W1521&lt;120),0.17,0)+IF(AND(V1521&gt;=40,V1521&lt;75,W1521&gt;=120),0.12,0)+IF(AND(V1521&gt;=75,V1521&lt;175,W1521&lt;35),0.3,0)+IF(AND(V1521&gt;=75,V1521&lt;=175,W1521&gt;=35,W1521&lt;65),0.23,0)+IF(AND(V1521&gt;=75,V1521&lt;=175,W1521&gt;=65,W1521&lt;110),0.17,0)+IF(AND(V1521&gt;=75,V1521&lt;=175,W1521&gt;=110),0.12,0)+IF(AND(V1521&gt;175,W1521&lt;25),0.3,0)+IF(AND(V1521&gt;175,W1521&gt;=25,W1521&lt;55),0.23,0)+IF(AND(V1521&gt;175,W1521&gt;=55,W1521&lt;95),0.17,0)+IF(AND(V1521&gt;175,W1521&gt;=95),0.12,0),
IF(AF1521="DoEVsu",IF(AND(V1521&lt;20,W1521&lt;55),0.3,0)+IF(AND(V1521&lt;20,W1521&gt;=55,W1521&lt;105),0.23,0)+IF(AND(V1521&lt;20,W1521&gt;=105),0.17,0)+IF(AND(V1521&gt;=20,V1521&lt;40,W1521&lt;45),0.3,0)+IF(AND(V1521&gt;=20,V1521&lt;40,W1521&gt;=45,W1521&lt;95),0.23,0)+IF(AND(V1521&gt;=20,V1521&lt;40,W1521&gt;=95,W1521&lt;=250),0.17,0)+IF(AND(V1521&gt;=20,V1521&lt;40,W1521&gt;=250),0.12,0)+IF(AND(V1521&gt;=40,V1521&lt;75,W1521&lt;35),0.3,0)+IF(AND(V1521&gt;=40,V1521&lt;75,W1521&gt;=35,W1521&lt;75),0.23,0)+IF(AND(V1521&gt;=40,V1521&lt;75,W1521&gt;=75,W1521&lt;120),0.17,0)+IF(AND(V1521&gt;=40,V1521&lt;75,W1521&gt;=120),0.12,0)+IF(AND(V1521&gt;=75,V1521&lt;175,W1521&lt;35),0.3,0)+IF(AND(V1521&gt;=75,V1521&lt;=175,W1521&gt;=35,W1521&lt;65),0.23,0)+IF(AND(V1521&gt;=75,V1521&lt;=175,W1521&gt;=65,W1521&lt;110),0.17,0)+IF(AND(V1521&gt;=75,V1521&lt;=175,W1521&gt;=110),0.12,0)+IF(AND(V1521&gt;175,W1521&lt;25),0.3,0)+IF(AND(V1521&gt;175,W1521&gt;=25,W1521&lt;55),0.23,0)+IF(AND(V1521&gt;175,W1521&gt;=55,W1521&lt;95),0.17,0)+IF(AND(V1521&gt;175,W1521&gt;=95),0.12,0),
IF(AF1521="DoEVni",IF(AND(V1521&lt;20,W1521&lt;55),0.3,0)+IF(AND(V1521&lt;20,W1521&gt;=55,W1521&lt;105),0.23,0)+IF(AND(V1521&lt;20,W1521&gt;=105),0.17,0)+IF(AND(V1521&gt;=20,V1521&lt;40,W1521&lt;45),0.3,0)+IF(AND(V1521&gt;=20,V1521&lt;40,W1521&gt;=45,W1521&lt;95),0.23,0)+IF(AND(V1521&gt;=20,V1521&lt;40,W1521&gt;=95,W1521&lt;=200),0.17,0)+IF(AND(V1521&gt;=20,V1521&lt;40,W1521&gt;=200),0.12,0)+IF(AND(V1521&gt;=40,V1521&lt;75,W1521&lt;35),0.3,0)+IF(AND(V1521&gt;=40,V1521&lt;75,W1521&gt;=35,W1521&lt;75),0.23,0)+IF(AND(V1521&gt;=40,V1521&lt;75,W1521&gt;=75,W1521&lt;120),0.17,0)+IF(AND(V1521&gt;=40,V1521&lt;75,W1521&gt;=120),0.12,0)+IF(AND(V1521&gt;=75,V1521&lt;175,W1521&lt;35),0.3,0)+IF(AND(V1521&gt;=75,V1521&lt;=175,W1521&gt;=35,W1521&lt;65),0.23,0)+IF(AND(V1521&gt;=75,V1521&lt;=175,W1521&gt;=65,W1521&lt;110),0.17,0)+IF(AND(V1521&gt;=75,V1521&lt;=175,W1521&gt;=110),0.12,0)+IF(AND(V1521&gt;175,W1521&lt;25),0.3,0)+IF(AND(V1521&gt;175,W1521&gt;=25,W1521&lt;55),0.23,0)+IF(AND(V1521&gt;175,W1521&gt;=55,W1521&lt;95),0.17,0)+IF(AND(V1521&gt;175,W1521&gt;=95),0.12,0),
IF(AF1521="DoEVLo",IF(AND(V1521&lt;20,W1521&lt;55),0.25,0)+IF(AND(V1521&lt;20,W1521&gt;=55,W1521&lt;105),0.2,0)+IF(AND(V1521&lt;20,W1521&gt;=105),0.15,0)+IF(AND(V1521&gt;=20,V1521&lt;40,W1521&lt;45),0.25,0)+IF(AND(V1521&gt;=20,V1521&lt;40,W1521&gt;=45,W1521&lt;95),0.2,0)+IF(AND(V1521&gt;=20,V1521&lt;40,W1521&gt;=95),0.15,0)+IF(AND(V1521&gt;=40,V1521&lt;75,W1521&lt;35),0.25,0)+IF(AND(V1521&gt;=40,V1521&lt;75,W1521&gt;=35,W1521&lt;75),0.2,0)+IF(AND(V1521&gt;=40,V1521&lt;75,W1521&gt;=75,W1521&lt;120),0.15,0)+IF(AND(V1521&gt;=40,V1521&lt;75,W1521&gt;=120),0.1,0)+IF(AND(V1521&gt;=75,V1521&lt;175,W1521&lt;35),0.25,0)+IF(AND(V1521&gt;=75,V1521&lt;=175,W1521&gt;=35,W1521&lt;65),0.2,0)+IF(AND(V1521&gt;=75,V1521&lt;=175,W1521&gt;=65,W1521&lt;110),0.15,0)+IF(AND(V1521&gt;=75,V1521&lt;=175,W1521&gt;=110),0.1,0)+IF(AND(V1521&gt;175,W1521&lt;25),0.25,0)+IF(AND(V1521&gt;175,W1521&gt;=25,W1521&lt;55),0.2,0)+IF(AND(V1521&gt;175,W1521&gt;=55,W1521&lt;95),0.15,0)+IF(AND(V1521&gt;175,W1521&gt;=95),0.1,0))))))))))))))))))))</f>
        <v>0.1875</v>
      </c>
      <c r="Y1521" s="30">
        <f>IF(AG1521="None",0,IF(AG1521="Fix5",0.05, IF(AG1521="Fix6.25",0.0625,IF(AG1521="Fix3.75",0.0375, IF(AG1521="Fix11",0.11, IF(AG1521="Fix10",0.1,IF(AG1521="Fix3",0.03,0)))))))</f>
        <v>6.25E-2</v>
      </c>
      <c r="Z1521" s="35">
        <f>IF(AND(AD1521="EUR", AE1521 = "USD"), T1521*U1521-AA1521-AB1521, T1521-AA1521-AB1521)</f>
        <v>147</v>
      </c>
      <c r="AA1521" s="29">
        <f>IF(AND(AD1521="EUR", F1521="Without EV deal", AE1521="USD"), (T1521*X1521)*U1521,
IF(AND(AD1521="EUR", F1521="Without EV deal", AE1521="EUR"), (T1521*X1521),
IF(AND(AD1521="EUR",AE1521="USD"), (T1521*X1521)*U1521,
T1521*X1521)))</f>
        <v>36.75</v>
      </c>
      <c r="AB1521" s="36">
        <f>IF(AND(AD1521="EUR", F1521="Without EV deal", AE1521="USD"), (T1521*Y1521)*U1521,
IF(AND(AD1521="EUR", F1521="Without EV deal", AE1521="EUR"), (T1521*Y1521),
IF(AND(AD1521="EUR",AE1521="USD"), (T1521*Y1521)*U1521,
T1521*Y1521)))</f>
        <v>12.25</v>
      </c>
      <c r="AC1521" s="37" t="b">
        <v>1</v>
      </c>
      <c r="AD1521" s="82" t="str">
        <f>IF(OR(H1521="€0.25 Flash",
H1521="€0.25(nitro) new",
H1521="€1",
H1521="€2",
H1521="€2 (bf 01.08)",
H1521="€5",
H1521="€5 (1M)",
H1521="€5 (bf 01.08)",
H1521="€5 (bf 05.05)",
H1521="€5 Nitro",
H1521="€5(wx) new",
H1521="€10",
H1521="€10 (1M)",
H1521="€10 (bf 01.08)",
H1521="€10 (bf 05.05)",
H1521="€10 (MP)",
H1521="€10 (old)",
H1521="€10 Nitro (bf 05.05)",
H1521="€10 Nitro (old)",
H1521="€10(wx) new",
H1521="€20",
H1521="€25",
H1521="€25 (bf 01.08)",
H1521="€25 (bf 05.05)",
H1521="€25 (MP)",
H1521="€25 (old)",
H1521="€25 Nitro",
H1521="€25 Nitro (bf 01.08)",
H1521="€25 Nitro (bf 05.05)",
H1521="€25(nitro) new",
H1521="€25(wx) new",
H1521="€50",
H1521="€50 (bf 01.08)",
H1521="€50 (bf 05.05)",
H1521="€50 (old)",
H1521="€50 Nitro",
H1521="€50 Nitro (bf 01.08)",
H1521="€50 Nitro (bf 05.05)",
H1521="€50(wx) new",
H1521="€100",
H1521="€100 (old)",
H1521="€100 Nitro",
H1521="€100 Nitro (old)",
H1521="€200",
H1521="€250",
H1521="€250 Nitro",
H1521="€500",
H1521="€500 Nitro"),"EUR", "USD")</f>
        <v>USD</v>
      </c>
      <c r="AE1521" s="83" t="s">
        <v>38</v>
      </c>
      <c r="AF1521" s="83" t="s">
        <v>146</v>
      </c>
      <c r="AG1521" s="84" t="s">
        <v>147</v>
      </c>
    </row>
    <row r="1522" spans="1:33" ht="14.25" hidden="1" x14ac:dyDescent="0.2">
      <c r="A1522" s="18" t="str">
        <f t="array" ref="A1522">IF(G1522='Room Info'!$B$1, INDEX('Room Info'!$A$2:$A2446, MATCH(B1522,'Room Info'!$B$2:$B2446, 0)),IF(G1522='Room Info'!$C$1, INDEX('Room Info'!$A$2:$A2446, MATCH(B1522,'Room Info'!$C$2:$C2446, 0)),IF(G1522='Room Info'!$D$1, INDEX('Room Info'!$A$2:$A2446, MATCH(B1522,'Room Info'!$D$2:$D2446, 0)),IF(G1522='Room Info'!$E$1, INDEX('Room Info'!$A$2:$A2446, MATCH(B1522,'Room Info'!$E$2:$E2446, 0)),IF(G1522='Room Info'!$F$1, INDEX('Room Info'!$A$2:$A2446, MATCH(B1522,'Room Info'!$F$2:$F2446, 0)),IF(G1522='Room Info'!$H$1, INDEX('Room Info'!$A$2:$A2446, MATCH(B1522,'Room Info'!$H$2:$H2446, 0)),IF(G1522='Room Info'!$G$1, INDEX('Room Info'!$A$2:$A2446, MATCH(B1522,'Room Info'!$G$2:$G2446, 0)))))))))</f>
        <v>fraum@rta</v>
      </c>
      <c r="B1522" s="96" t="s">
        <v>152</v>
      </c>
      <c r="C1522" s="46">
        <v>44958</v>
      </c>
      <c r="D1522" s="46">
        <v>44985</v>
      </c>
      <c r="E1522" s="80">
        <v>44958</v>
      </c>
      <c r="F1522" s="22" t="s">
        <v>41</v>
      </c>
      <c r="G1522" s="125" t="s">
        <v>80</v>
      </c>
      <c r="H1522" s="49" t="s">
        <v>70</v>
      </c>
      <c r="I1522" s="49" t="s">
        <v>81</v>
      </c>
      <c r="J1522" s="39">
        <v>100</v>
      </c>
      <c r="K1522" s="51">
        <v>2553</v>
      </c>
      <c r="L1522" s="52">
        <v>-22700</v>
      </c>
      <c r="M1522" s="62">
        <f>16984.24+1600-120</f>
        <v>18464.240000000002</v>
      </c>
      <c r="N1522" s="28">
        <f>K1522*J1522</f>
        <v>255300</v>
      </c>
      <c r="O1522" s="54">
        <v>39183</v>
      </c>
      <c r="P1522" s="29">
        <v>15.34782609</v>
      </c>
      <c r="Q1522" s="55"/>
      <c r="R1522" s="31">
        <f>M1522+Q1522*J1522*K1522*0.07</f>
        <v>18464.240000000002</v>
      </c>
      <c r="S1522" s="66"/>
      <c r="T1522" s="32">
        <f>IF(AND(AD1522="EUR", F1522="Without EV deal"), R1522 + L1522,
IF(AND(AD1522="USD", F1522="Without EV deal"), R1522 + L1522,
IF(AND(AD1522="EUR", F1522="Steel Phoenix"), R1522 + S1522/U1522,
R1522 + S1522)))</f>
        <v>-4235.7599999999984</v>
      </c>
      <c r="U1522" s="57">
        <v>1</v>
      </c>
      <c r="V1522" s="58"/>
      <c r="W1522" s="58"/>
      <c r="X1522" s="30">
        <f>IF(AF1522="DoEV",IF(AND(V1522&lt;20,W1522&lt;55),0.3,0)+IF(AND(V1522&lt;20,W1522&gt;=55,W1522&lt;105),0.23,0)+IF(AND(V1522&lt;20,W1522&gt;=105),0.17,0)+IF(AND(V1522&gt;=20,V1522&lt;40,W1522&lt;45),0.3,0)+IF(AND(V1522&gt;=20,V1522&lt;40,W1522&gt;=45,W1522&lt;95),0.23,0)+IF(AND(V1522&gt;=20,V1522&lt;40,W1522&gt;=95),0.17,0)+IF(AND(V1522&gt;=40,V1522&lt;75,W1522&lt;35),0.3,0)+IF(AND(V1522&gt;=40,V1522&lt;75,W1522&gt;=35,W1522&lt;75),0.23,0)+IF(AND(V1522&gt;=40,V1522&lt;75,W1522&gt;=75,W1522&lt;120),0.17,0)+IF(AND(V1522&gt;=40,V1522&lt;75,W1522&gt;=120),0.12,0)+IF(AND(V1522&gt;=75,V1522&lt;175,W1522&lt;35),0.3,0)+IF(AND(V1522&gt;=75,V1522&lt;=175,W1522&gt;=35,W1522&lt;65),0.23,0)+IF(AND(V1522&gt;=75,V1522&lt;=175,W1522&gt;=65,W1522&lt;110),0.17,0)+IF(AND(V1522&gt;=75,V1522&lt;=175,W1522&gt;=110),0.12,0)+IF(AND(V1522&gt;175,W1522&lt;25),0.3,0)+IF(AND(V1522&gt;175,W1522&gt;=25,W1522&lt;55),0.23,0)+IF(AND(V1522&gt;175,W1522&gt;=55,W1522&lt;95),0.17,0)+IF(AND(V1522&gt;175,W1522&gt;=95),0.12,0),
IF(AF1522="Fix15",0.15,
IF(AF1522="Fix5",0.05,
IF(AF1522="Fix18.75",0.1875,
IF(AF1522="Fix11.25",0.1125,
IF(AF1522="Fix10",0.1,
IF(AF1522="Fix9",0.09,
IF(AF1522="Fix12",0.12,
IF(AF1522="Fix19",0.19,
IF(AF1522="DoEV2017",IF(AND(W1522&lt;74),0.2,0)+IF(AND(W1522&gt;=74),0.17,0),
IF(AF1522="SF",IF(AND(V1522&lt;20,W1522&lt;89),0.3,0)+IF(AND(V1522&lt;20,W1522&gt;=89),0.25,0)+IF(AND(V1522&gt;=20,V1522&lt;40,W1522&lt;74),0.3,0)+IF(AND(V1522&gt;=20,V1522&lt;40,W1522&gt;=75),0.22,0)+IF(AND(V1522&gt;=40,V1522&lt;75,W1522&lt;75),0.26,0)+IF(AND(V1522&gt;=40,V1522&lt;75,W1522&gt;=75),0.22,0)+IF(V1522&gt;=75,0.22,0),
IF(AF1522="DoEVold",IF(AND(V1522&lt;40,W1522&lt;35),0.35,0)+IF(AND(V1522&lt;40,W1522&gt;=35,W1522&lt;75),0.25,0)+IF(AND(V1522&lt;40,W1522&gt;=75),0.17,0)+IF(AND(V1522&gt;=40,V1522&lt;75,W1522&lt;25),0.35,0)+IF(AND(V1522&gt;=40,V1522&lt;75,W1522&gt;=25,W1522&lt;65),0.25,0)+IF(AND(V1522&gt;=40,V1522&lt;75,W1522&gt;=65,W1522&lt;100),0.17,0)+IF(AND(V1522&gt;=40,V1522&lt;75,W1522&gt;=100),0.1,0)+IF(AND(V1522&gt;=75,W1522&lt;25),0.35,0)+IF(AND(V1522&gt;=75,W1522&gt;=25,W1522&lt;60),0.25,0)+IF(AND(V1522&gt;=75,W1522&gt;=60,W1522&lt;95),0.17,0)+IF(AND(V1522&gt;=75,W1522&gt;=95),0.1,0),
IF(AF1522="DoEVold15",IF(AND(V1522&lt;=40,W1522&lt;35),0.35,0)+IF(AND(V1522&lt;=40,W1522&gt;=35,W1522&lt;75),0.25,0)+IF(AND(V1522&lt;=40,W1522&gt;=75,W1522&lt;120),0.17,0)+IF(AND(V1522&lt;=40,W1522&gt;=120),0.15,0)+IF(AND(V1522&gt;40,V1522&lt;75,W1522&lt;25),0.35,0)+IF(AND(V1522&gt;=40,V1522&lt;75,W1522&gt;=25,W1522&lt;65),0.25,0)+IF(AND(V1522&gt;=40,V1522&lt;75,W1522&gt;=65,W1522&lt;100),0.17,0)+IF(AND(V1522&gt;=40,V1522&lt;75,W1522&gt;=100),0.1,0)+IF(AND(V1522&gt;=75,W1522&lt;25),0.35,0)+IF(AND(V1522&gt;=75,W1522&gt;=25,W1522&lt;60),0.25,0)+IF(AND(V1522&gt;=75,W1522&gt;=60,W1522&lt;95),0.17,0)+IF(AND(V1522&gt;=75,W1522&gt;=95),0.1,0),
IF(AF1522="DoEVba",IF(AND(V1522&lt;20,W1522&lt;105),0.2,0)+IF(AND(V1522&lt;20,W1522&gt;=105),0.15,0)+IF(AND(V1522&gt;=20,V1522&lt;40,W1522&lt;95),0.2,0)+IF(AND(V1522&gt;=20,V1522&lt;40,W1522&gt;=95,W1522&lt;150),0.15,0)+IF(AND(V1522&gt;=20,V1522&lt;40,W1522&gt;=150),0.12,0)+IF(AND(V1522&gt;=40,V1522&lt;75,W1522&lt;75),0.2,0)+IF(AND(V1522&gt;=40,V1522&lt;75,W1522&gt;=75,W1522&lt;120),0.15,0)+IF(AND(V1522&gt;=40,V1522&lt;75,W1522&gt;=120),0.12,0)+IF(AND(V1522&gt;=75,V1522&lt;175,W1522&lt;65),0.2,0)+IF(AND(V1522&gt;=75,V1522&lt;175,W1522&gt;=65,W1522&lt;110),0.15,0)+IF(AND(V1522&gt;=75,V1522&lt;175,W1522&gt;=110),0.12,0)+IF(AND(V1522&gt;=175,W1522&lt;55),0.2,0)+IF(AND(V1522&gt;=175,W1522&gt;=55,W1522&lt;95),0.15,0)+IF(AND(V1522&gt;=175,W1522&gt;=95),0.12,0),
IF(AF1522="DoEVku",IF(AND(V1522&lt;20,W1522&lt;55),0.23,0)+IF(AND(V1522&lt;20,W1522&gt;=55,W1522&lt;105),0.2,0)+IF(AND(V1522&lt;20,W1522&gt;=105),0.17,0)+IF(AND(V1522&gt;=20,V1522&lt;40,W1522&lt;45),0.23,0)+IF(AND(V1522&gt;=20,V1522&lt;40,W1522&gt;=45,W1522&lt;95),0.2,0)+IF(AND(V1522&gt;=20,V1522&lt;40,W1522&gt;=95,W1522&lt;=150),0.17,0)+IF(AND(V1522&gt;=20,V1522&lt;40,W1522&gt;=150),0.12,0)+IF(AND(V1522&gt;=40,V1522&lt;75,W1522&lt;35),0.23,0)+IF(AND(V1522&gt;=40,V1522&lt;75,W1522&gt;=35,W1522&lt;75),0.2,0)+IF(AND(V1522&gt;=40,V1522&lt;75,W1522&gt;=75,W1522&lt;120),0.17,0)+IF(AND(V1522&gt;=40,V1522&lt;75,W1522&gt;=120),0.12,0)+IF(AND(V1522&gt;=75,V1522&lt;175,W1522&lt;35),0.23,0)+IF(AND(V1522&gt;=75,V1522&lt;=175,W1522&gt;=35,W1522&lt;65),0.2,0)+IF(AND(V1522&gt;=75,V1522&lt;=175,W1522&gt;=65,W1522&lt;110),0.17,0)+IF(AND(V1522&gt;=75,V1522&lt;=175,W1522&gt;=110),0.12,0)+IF(AND(V1522&gt;175,W1522&lt;25),0.23,0)+IF(AND(V1522&gt;175,W1522&gt;=25,W1522&lt;55),0.2,0)+IF(AND(V1522&gt;175,W1522&gt;=55,W1522&lt;95),0.17,0)+IF(AND(V1522&gt;175,W1522&gt;=95),0.12,0),
IF(AF1522="DoEVs1",IF(AND(V1522&lt;20,W1522&lt;55),0.3,0)+IF(AND(V1522&lt;20,W1522&gt;=55,W1522&lt;105),0.23,0)+IF(AND(V1522&lt;20,W1522&gt;=105),0.17,0)+IF(AND(V1522&gt;=20,V1522&lt;40,W1522&lt;45),0.3,0)+IF(AND(V1522&gt;=20,V1522&lt;40,W1522&gt;=45,W1522&lt;95),0.23,0)+IF(AND(V1522&gt;=20,V1522&lt;40,W1522&gt;=95,W1522&lt;=150),0.17,0)+IF(AND(V1522&gt;=20,V1522&lt;40,W1522&gt;=150),0.12,0)+IF(AND(V1522&gt;=40,V1522&lt;75,W1522&lt;35),0.3,0)+IF(AND(V1522&gt;=40,V1522&lt;75,W1522&gt;=35,W1522&lt;75),0.23,0)+IF(AND(V1522&gt;=40,V1522&lt;75,W1522&gt;=75,W1522&lt;120),0.17,0)+IF(AND(V1522&gt;=40,V1522&lt;75,W1522&gt;=120),0.12,0)+IF(AND(V1522&gt;=75,V1522&lt;175,W1522&lt;35),0.3,0)+IF(AND(V1522&gt;=75,V1522&lt;=175,W1522&gt;=35,W1522&lt;65),0.23,0)+IF(AND(V1522&gt;=75,V1522&lt;=175,W1522&gt;=65,W1522&lt;110),0.17,0)+IF(AND(V1522&gt;=75,V1522&lt;=175,W1522&gt;=110),0.12,0)+IF(AND(V1522&gt;175,W1522&lt;25),0.3,0)+IF(AND(V1522&gt;175,W1522&gt;=25,W1522&lt;55),0.23,0)+IF(AND(V1522&gt;175,W1522&gt;=55,W1522&lt;95),0.17,0)+IF(AND(V1522&gt;175,W1522&gt;=95),0.12,0),
IF(AF1522="DoEVsu",IF(AND(V1522&lt;20,W1522&lt;55),0.3,0)+IF(AND(V1522&lt;20,W1522&gt;=55,W1522&lt;105),0.23,0)+IF(AND(V1522&lt;20,W1522&gt;=105),0.17,0)+IF(AND(V1522&gt;=20,V1522&lt;40,W1522&lt;45),0.3,0)+IF(AND(V1522&gt;=20,V1522&lt;40,W1522&gt;=45,W1522&lt;95),0.23,0)+IF(AND(V1522&gt;=20,V1522&lt;40,W1522&gt;=95,W1522&lt;=250),0.17,0)+IF(AND(V1522&gt;=20,V1522&lt;40,W1522&gt;=250),0.12,0)+IF(AND(V1522&gt;=40,V1522&lt;75,W1522&lt;35),0.3,0)+IF(AND(V1522&gt;=40,V1522&lt;75,W1522&gt;=35,W1522&lt;75),0.23,0)+IF(AND(V1522&gt;=40,V1522&lt;75,W1522&gt;=75,W1522&lt;120),0.17,0)+IF(AND(V1522&gt;=40,V1522&lt;75,W1522&gt;=120),0.12,0)+IF(AND(V1522&gt;=75,V1522&lt;175,W1522&lt;35),0.3,0)+IF(AND(V1522&gt;=75,V1522&lt;=175,W1522&gt;=35,W1522&lt;65),0.23,0)+IF(AND(V1522&gt;=75,V1522&lt;=175,W1522&gt;=65,W1522&lt;110),0.17,0)+IF(AND(V1522&gt;=75,V1522&lt;=175,W1522&gt;=110),0.12,0)+IF(AND(V1522&gt;175,W1522&lt;25),0.3,0)+IF(AND(V1522&gt;175,W1522&gt;=25,W1522&lt;55),0.23,0)+IF(AND(V1522&gt;175,W1522&gt;=55,W1522&lt;95),0.17,0)+IF(AND(V1522&gt;175,W1522&gt;=95),0.12,0),
IF(AF1522="DoEVni",IF(AND(V1522&lt;20,W1522&lt;55),0.3,0)+IF(AND(V1522&lt;20,W1522&gt;=55,W1522&lt;105),0.23,0)+IF(AND(V1522&lt;20,W1522&gt;=105),0.17,0)+IF(AND(V1522&gt;=20,V1522&lt;40,W1522&lt;45),0.3,0)+IF(AND(V1522&gt;=20,V1522&lt;40,W1522&gt;=45,W1522&lt;95),0.23,0)+IF(AND(V1522&gt;=20,V1522&lt;40,W1522&gt;=95,W1522&lt;=200),0.17,0)+IF(AND(V1522&gt;=20,V1522&lt;40,W1522&gt;=200),0.12,0)+IF(AND(V1522&gt;=40,V1522&lt;75,W1522&lt;35),0.3,0)+IF(AND(V1522&gt;=40,V1522&lt;75,W1522&gt;=35,W1522&lt;75),0.23,0)+IF(AND(V1522&gt;=40,V1522&lt;75,W1522&gt;=75,W1522&lt;120),0.17,0)+IF(AND(V1522&gt;=40,V1522&lt;75,W1522&gt;=120),0.12,0)+IF(AND(V1522&gt;=75,V1522&lt;175,W1522&lt;35),0.3,0)+IF(AND(V1522&gt;=75,V1522&lt;=175,W1522&gt;=35,W1522&lt;65),0.23,0)+IF(AND(V1522&gt;=75,V1522&lt;=175,W1522&gt;=65,W1522&lt;110),0.17,0)+IF(AND(V1522&gt;=75,V1522&lt;=175,W1522&gt;=110),0.12,0)+IF(AND(V1522&gt;175,W1522&lt;25),0.3,0)+IF(AND(V1522&gt;175,W1522&gt;=25,W1522&lt;55),0.23,0)+IF(AND(V1522&gt;175,W1522&gt;=55,W1522&lt;95),0.17,0)+IF(AND(V1522&gt;175,W1522&gt;=95),0.12,0),
IF(AF1522="DoEVLo",IF(AND(V1522&lt;20,W1522&lt;55),0.25,0)+IF(AND(V1522&lt;20,W1522&gt;=55,W1522&lt;105),0.2,0)+IF(AND(V1522&lt;20,W1522&gt;=105),0.15,0)+IF(AND(V1522&gt;=20,V1522&lt;40,W1522&lt;45),0.25,0)+IF(AND(V1522&gt;=20,V1522&lt;40,W1522&gt;=45,W1522&lt;95),0.2,0)+IF(AND(V1522&gt;=20,V1522&lt;40,W1522&gt;=95),0.15,0)+IF(AND(V1522&gt;=40,V1522&lt;75,W1522&lt;35),0.25,0)+IF(AND(V1522&gt;=40,V1522&lt;75,W1522&gt;=35,W1522&lt;75),0.2,0)+IF(AND(V1522&gt;=40,V1522&lt;75,W1522&gt;=75,W1522&lt;120),0.15,0)+IF(AND(V1522&gt;=40,V1522&lt;75,W1522&gt;=120),0.1,0)+IF(AND(V1522&gt;=75,V1522&lt;175,W1522&lt;35),0.25,0)+IF(AND(V1522&gt;=75,V1522&lt;=175,W1522&gt;=35,W1522&lt;65),0.2,0)+IF(AND(V1522&gt;=75,V1522&lt;=175,W1522&gt;=65,W1522&lt;110),0.15,0)+IF(AND(V1522&gt;=75,V1522&lt;=175,W1522&gt;=110),0.1,0)+IF(AND(V1522&gt;175,W1522&lt;25),0.25,0)+IF(AND(V1522&gt;175,W1522&gt;=25,W1522&lt;55),0.2,0)+IF(AND(V1522&gt;175,W1522&gt;=55,W1522&lt;95),0.15,0)+IF(AND(V1522&gt;175,W1522&gt;=95),0.1,0))))))))))))))))))))</f>
        <v>0.15</v>
      </c>
      <c r="Y1522" s="30">
        <f>IF(AG1522="None",0,IF(AG1522="Fix5",0.05, IF(AG1522="Fix6.25",0.0625,IF(AG1522="Fix3.75",0.0375, IF(AG1522="Fix11",0.11, IF(AG1522="Fix10",0.1,IF(AG1522="Fix3",0.03,0)))))))</f>
        <v>0</v>
      </c>
      <c r="Z1522" s="35">
        <f>IF(AND(AD1522="EUR", AE1522 = "USD"), T1522*U1522-AA1522-AB1522, T1522-AA1522-AB1522)</f>
        <v>-3600.3959999999988</v>
      </c>
      <c r="AA1522" s="29">
        <f>IF(AND(AD1522="EUR", F1522="Without EV deal", AE1522="USD"), (T1522*X1522)*U1522,
IF(AND(AD1522="EUR", F1522="Without EV deal", AE1522="EUR"), (T1522*X1522),
IF(AND(AD1522="EUR",AE1522="USD"), (T1522*X1522)*U1522,
T1522*X1522)))</f>
        <v>-635.36399999999969</v>
      </c>
      <c r="AB1522" s="36">
        <f>IF(AND(AD1522="EUR", F1522="Without EV deal", AE1522="USD"), (T1522*Y1522)*U1522,
IF(AND(AD1522="EUR", F1522="Without EV deal", AE1522="EUR"), (T1522*Y1522),
IF(AND(AD1522="EUR",AE1522="USD"), (T1522*Y1522)*U1522,
T1522*Y1522)))</f>
        <v>0</v>
      </c>
      <c r="AC1522" s="37" t="b">
        <v>0</v>
      </c>
      <c r="AD1522" s="82" t="str">
        <f>IF(OR(H1522="€0.25 Flash",
H1522="€0.25(nitro) new",
H1522="€1",
H1522="€2",
H1522="€2 (bf 01.08)",
H1522="€5",
H1522="€5 (1M)",
H1522="€5 (bf 01.08)",
H1522="€5 (bf 05.05)",
H1522="€5 Nitro",
H1522="€5(wx) new",
H1522="€10",
H1522="€10 (1M)",
H1522="€10 (bf 01.08)",
H1522="€10 (bf 05.05)",
H1522="€10 (MP)",
H1522="€10 (old)",
H1522="€10 Nitro (bf 05.05)",
H1522="€10 Nitro (old)",
H1522="€10(wx) new",
H1522="€20",
H1522="€25",
H1522="€25 (bf 01.08)",
H1522="€25 (bf 05.05)",
H1522="€25 (MP)",
H1522="€25 (old)",
H1522="€25 Nitro",
H1522="€25 Nitro (bf 01.08)",
H1522="€25 Nitro (bf 05.05)",
H1522="€25(nitro) new",
H1522="€25(wx) new",
H1522="€50",
H1522="€50 (bf 01.08)",
H1522="€50 (bf 05.05)",
H1522="€50 (old)",
H1522="€50 Nitro",
H1522="€50 Nitro (bf 01.08)",
H1522="€50 Nitro (bf 05.05)",
H1522="€50(wx) new",
H1522="€100",
H1522="€100 (old)",
H1522="€100 Nitro",
H1522="€100 Nitro (old)",
H1522="€200",
H1522="€250",
H1522="€250 Nitro",
H1522="€500",
H1522="€500 Nitro"),"EUR", "USD")</f>
        <v>USD</v>
      </c>
      <c r="AE1522" s="83" t="s">
        <v>38</v>
      </c>
      <c r="AF1522" s="83" t="str">
        <f t="array" ref="AF1522">INDEX('Deal Info'!D:D, MATCH(A1522,'Deal Info'!A:A, 0))</f>
        <v>Fix15</v>
      </c>
      <c r="AG1522" s="84" t="str">
        <f t="array" ref="AG1522">INDEX('Deal Info'!G:G, MATCH(A1522,'Deal Info'!A:A, 0))</f>
        <v>None</v>
      </c>
    </row>
    <row r="1523" spans="1:33" ht="14.25" hidden="1" x14ac:dyDescent="0.2">
      <c r="A1523" s="18" t="str">
        <f t="array" ref="A1523">IF(G1523='Room Info'!$B$1, INDEX('Room Info'!$A$2:$A2446, MATCH(B1523,'Room Info'!$B$2:$B2446, 0)),IF(G1523='Room Info'!$C$1, INDEX('Room Info'!$A$2:$A2446, MATCH(B1523,'Room Info'!$C$2:$C2446, 0)),IF(G1523='Room Info'!$D$1, INDEX('Room Info'!$A$2:$A2446, MATCH(B1523,'Room Info'!$D$2:$D2446, 0)),IF(G1523='Room Info'!$E$1, INDEX('Room Info'!$A$2:$A2446, MATCH(B1523,'Room Info'!$E$2:$E2446, 0)),IF(G1523='Room Info'!$F$1, INDEX('Room Info'!$A$2:$A2446, MATCH(B1523,'Room Info'!$F$2:$F2446, 0)),IF(G1523='Room Info'!$H$1, INDEX('Room Info'!$A$2:$A2446, MATCH(B1523,'Room Info'!$H$2:$H2446, 0)),IF(G1523='Room Info'!$G$1, INDEX('Room Info'!$A$2:$A2446, MATCH(B1523,'Room Info'!$G$2:$G2446, 0)))))))))</f>
        <v>fraum@rta</v>
      </c>
      <c r="B1523" s="96" t="s">
        <v>152</v>
      </c>
      <c r="C1523" s="46">
        <v>44958</v>
      </c>
      <c r="D1523" s="46">
        <v>44985</v>
      </c>
      <c r="E1523" s="80">
        <v>44958</v>
      </c>
      <c r="F1523" s="45" t="s">
        <v>49</v>
      </c>
      <c r="G1523" s="125" t="s">
        <v>80</v>
      </c>
      <c r="H1523" s="49" t="s">
        <v>72</v>
      </c>
      <c r="I1523" s="49" t="s">
        <v>81</v>
      </c>
      <c r="J1523" s="39">
        <v>50</v>
      </c>
      <c r="K1523" s="51">
        <v>1675</v>
      </c>
      <c r="L1523" s="52">
        <v>-1300</v>
      </c>
      <c r="M1523" s="62"/>
      <c r="N1523" s="28">
        <f>K1523*J1523</f>
        <v>83750</v>
      </c>
      <c r="O1523" s="54">
        <v>13444</v>
      </c>
      <c r="P1523" s="29">
        <v>8.0262686569999993</v>
      </c>
      <c r="Q1523" s="55"/>
      <c r="R1523" s="31">
        <f>M1523+Q1523*J1523*K1523*0.07</f>
        <v>0</v>
      </c>
      <c r="S1523" s="56">
        <v>-3763</v>
      </c>
      <c r="T1523" s="32">
        <f>IF(AND(AD1523="EUR", F1523="Without EV deal"), R1523 + L1523,
IF(AND(AD1523="USD", F1523="Without EV deal"), R1523 + L1523,
IF(AND(AD1523="EUR", F1523="Steel Phoenix"), R1523 + S1523/U1523,
R1523 + S1523)))</f>
        <v>-3763</v>
      </c>
      <c r="U1523" s="57">
        <v>1</v>
      </c>
      <c r="V1523" s="58"/>
      <c r="W1523" s="58"/>
      <c r="X1523" s="30">
        <f>IF(AF1523="DoEV",IF(AND(V1523&lt;20,W1523&lt;55),0.3,0)+IF(AND(V1523&lt;20,W1523&gt;=55,W1523&lt;105),0.23,0)+IF(AND(V1523&lt;20,W1523&gt;=105),0.17,0)+IF(AND(V1523&gt;=20,V1523&lt;40,W1523&lt;45),0.3,0)+IF(AND(V1523&gt;=20,V1523&lt;40,W1523&gt;=45,W1523&lt;95),0.23,0)+IF(AND(V1523&gt;=20,V1523&lt;40,W1523&gt;=95),0.17,0)+IF(AND(V1523&gt;=40,V1523&lt;75,W1523&lt;35),0.3,0)+IF(AND(V1523&gt;=40,V1523&lt;75,W1523&gt;=35,W1523&lt;75),0.23,0)+IF(AND(V1523&gt;=40,V1523&lt;75,W1523&gt;=75,W1523&lt;120),0.17,0)+IF(AND(V1523&gt;=40,V1523&lt;75,W1523&gt;=120),0.12,0)+IF(AND(V1523&gt;=75,V1523&lt;175,W1523&lt;35),0.3,0)+IF(AND(V1523&gt;=75,V1523&lt;=175,W1523&gt;=35,W1523&lt;65),0.23,0)+IF(AND(V1523&gt;=75,V1523&lt;=175,W1523&gt;=65,W1523&lt;110),0.17,0)+IF(AND(V1523&gt;=75,V1523&lt;=175,W1523&gt;=110),0.12,0)+IF(AND(V1523&gt;175,W1523&lt;25),0.3,0)+IF(AND(V1523&gt;175,W1523&gt;=25,W1523&lt;55),0.23,0)+IF(AND(V1523&gt;175,W1523&gt;=55,W1523&lt;95),0.17,0)+IF(AND(V1523&gt;175,W1523&gt;=95),0.12,0),
IF(AF1523="Fix15",0.15,
IF(AF1523="Fix5",0.05,
IF(AF1523="Fix18.75",0.1875,
IF(AF1523="Fix11.25",0.1125,
IF(AF1523="Fix10",0.1,
IF(AF1523="Fix9",0.09,
IF(AF1523="Fix12",0.12,
IF(AF1523="Fix19",0.19,
IF(AF1523="DoEV2017",IF(AND(W1523&lt;74),0.2,0)+IF(AND(W1523&gt;=74),0.17,0),
IF(AF1523="SF",IF(AND(V1523&lt;20,W1523&lt;89),0.3,0)+IF(AND(V1523&lt;20,W1523&gt;=89),0.25,0)+IF(AND(V1523&gt;=20,V1523&lt;40,W1523&lt;74),0.3,0)+IF(AND(V1523&gt;=20,V1523&lt;40,W1523&gt;=75),0.22,0)+IF(AND(V1523&gt;=40,V1523&lt;75,W1523&lt;75),0.26,0)+IF(AND(V1523&gt;=40,V1523&lt;75,W1523&gt;=75),0.22,0)+IF(V1523&gt;=75,0.22,0),
IF(AF1523="DoEVold",IF(AND(V1523&lt;40,W1523&lt;35),0.35,0)+IF(AND(V1523&lt;40,W1523&gt;=35,W1523&lt;75),0.25,0)+IF(AND(V1523&lt;40,W1523&gt;=75),0.17,0)+IF(AND(V1523&gt;=40,V1523&lt;75,W1523&lt;25),0.35,0)+IF(AND(V1523&gt;=40,V1523&lt;75,W1523&gt;=25,W1523&lt;65),0.25,0)+IF(AND(V1523&gt;=40,V1523&lt;75,W1523&gt;=65,W1523&lt;100),0.17,0)+IF(AND(V1523&gt;=40,V1523&lt;75,W1523&gt;=100),0.1,0)+IF(AND(V1523&gt;=75,W1523&lt;25),0.35,0)+IF(AND(V1523&gt;=75,W1523&gt;=25,W1523&lt;60),0.25,0)+IF(AND(V1523&gt;=75,W1523&gt;=60,W1523&lt;95),0.17,0)+IF(AND(V1523&gt;=75,W1523&gt;=95),0.1,0),
IF(AF1523="DoEVold15",IF(AND(V1523&lt;=40,W1523&lt;35),0.35,0)+IF(AND(V1523&lt;=40,W1523&gt;=35,W1523&lt;75),0.25,0)+IF(AND(V1523&lt;=40,W1523&gt;=75,W1523&lt;120),0.17,0)+IF(AND(V1523&lt;=40,W1523&gt;=120),0.15,0)+IF(AND(V1523&gt;40,V1523&lt;75,W1523&lt;25),0.35,0)+IF(AND(V1523&gt;=40,V1523&lt;75,W1523&gt;=25,W1523&lt;65),0.25,0)+IF(AND(V1523&gt;=40,V1523&lt;75,W1523&gt;=65,W1523&lt;100),0.17,0)+IF(AND(V1523&gt;=40,V1523&lt;75,W1523&gt;=100),0.1,0)+IF(AND(V1523&gt;=75,W1523&lt;25),0.35,0)+IF(AND(V1523&gt;=75,W1523&gt;=25,W1523&lt;60),0.25,0)+IF(AND(V1523&gt;=75,W1523&gt;=60,W1523&lt;95),0.17,0)+IF(AND(V1523&gt;=75,W1523&gt;=95),0.1,0),
IF(AF1523="DoEVba",IF(AND(V1523&lt;20,W1523&lt;105),0.2,0)+IF(AND(V1523&lt;20,W1523&gt;=105),0.15,0)+IF(AND(V1523&gt;=20,V1523&lt;40,W1523&lt;95),0.2,0)+IF(AND(V1523&gt;=20,V1523&lt;40,W1523&gt;=95,W1523&lt;150),0.15,0)+IF(AND(V1523&gt;=20,V1523&lt;40,W1523&gt;=150),0.12,0)+IF(AND(V1523&gt;=40,V1523&lt;75,W1523&lt;75),0.2,0)+IF(AND(V1523&gt;=40,V1523&lt;75,W1523&gt;=75,W1523&lt;120),0.15,0)+IF(AND(V1523&gt;=40,V1523&lt;75,W1523&gt;=120),0.12,0)+IF(AND(V1523&gt;=75,V1523&lt;175,W1523&lt;65),0.2,0)+IF(AND(V1523&gt;=75,V1523&lt;175,W1523&gt;=65,W1523&lt;110),0.15,0)+IF(AND(V1523&gt;=75,V1523&lt;175,W1523&gt;=110),0.12,0)+IF(AND(V1523&gt;=175,W1523&lt;55),0.2,0)+IF(AND(V1523&gt;=175,W1523&gt;=55,W1523&lt;95),0.15,0)+IF(AND(V1523&gt;=175,W1523&gt;=95),0.12,0),
IF(AF1523="DoEVku",IF(AND(V1523&lt;20,W1523&lt;55),0.23,0)+IF(AND(V1523&lt;20,W1523&gt;=55,W1523&lt;105),0.2,0)+IF(AND(V1523&lt;20,W1523&gt;=105),0.17,0)+IF(AND(V1523&gt;=20,V1523&lt;40,W1523&lt;45),0.23,0)+IF(AND(V1523&gt;=20,V1523&lt;40,W1523&gt;=45,W1523&lt;95),0.2,0)+IF(AND(V1523&gt;=20,V1523&lt;40,W1523&gt;=95,W1523&lt;=150),0.17,0)+IF(AND(V1523&gt;=20,V1523&lt;40,W1523&gt;=150),0.12,0)+IF(AND(V1523&gt;=40,V1523&lt;75,W1523&lt;35),0.23,0)+IF(AND(V1523&gt;=40,V1523&lt;75,W1523&gt;=35,W1523&lt;75),0.2,0)+IF(AND(V1523&gt;=40,V1523&lt;75,W1523&gt;=75,W1523&lt;120),0.17,0)+IF(AND(V1523&gt;=40,V1523&lt;75,W1523&gt;=120),0.12,0)+IF(AND(V1523&gt;=75,V1523&lt;175,W1523&lt;35),0.23,0)+IF(AND(V1523&gt;=75,V1523&lt;=175,W1523&gt;=35,W1523&lt;65),0.2,0)+IF(AND(V1523&gt;=75,V1523&lt;=175,W1523&gt;=65,W1523&lt;110),0.17,0)+IF(AND(V1523&gt;=75,V1523&lt;=175,W1523&gt;=110),0.12,0)+IF(AND(V1523&gt;175,W1523&lt;25),0.23,0)+IF(AND(V1523&gt;175,W1523&gt;=25,W1523&lt;55),0.2,0)+IF(AND(V1523&gt;175,W1523&gt;=55,W1523&lt;95),0.17,0)+IF(AND(V1523&gt;175,W1523&gt;=95),0.12,0),
IF(AF1523="DoEVs1",IF(AND(V1523&lt;20,W1523&lt;55),0.3,0)+IF(AND(V1523&lt;20,W1523&gt;=55,W1523&lt;105),0.23,0)+IF(AND(V1523&lt;20,W1523&gt;=105),0.17,0)+IF(AND(V1523&gt;=20,V1523&lt;40,W1523&lt;45),0.3,0)+IF(AND(V1523&gt;=20,V1523&lt;40,W1523&gt;=45,W1523&lt;95),0.23,0)+IF(AND(V1523&gt;=20,V1523&lt;40,W1523&gt;=95,W1523&lt;=150),0.17,0)+IF(AND(V1523&gt;=20,V1523&lt;40,W1523&gt;=150),0.12,0)+IF(AND(V1523&gt;=40,V1523&lt;75,W1523&lt;35),0.3,0)+IF(AND(V1523&gt;=40,V1523&lt;75,W1523&gt;=35,W1523&lt;75),0.23,0)+IF(AND(V1523&gt;=40,V1523&lt;75,W1523&gt;=75,W1523&lt;120),0.17,0)+IF(AND(V1523&gt;=40,V1523&lt;75,W1523&gt;=120),0.12,0)+IF(AND(V1523&gt;=75,V1523&lt;175,W1523&lt;35),0.3,0)+IF(AND(V1523&gt;=75,V1523&lt;=175,W1523&gt;=35,W1523&lt;65),0.23,0)+IF(AND(V1523&gt;=75,V1523&lt;=175,W1523&gt;=65,W1523&lt;110),0.17,0)+IF(AND(V1523&gt;=75,V1523&lt;=175,W1523&gt;=110),0.12,0)+IF(AND(V1523&gt;175,W1523&lt;25),0.3,0)+IF(AND(V1523&gt;175,W1523&gt;=25,W1523&lt;55),0.23,0)+IF(AND(V1523&gt;175,W1523&gt;=55,W1523&lt;95),0.17,0)+IF(AND(V1523&gt;175,W1523&gt;=95),0.12,0),
IF(AF1523="DoEVsu",IF(AND(V1523&lt;20,W1523&lt;55),0.3,0)+IF(AND(V1523&lt;20,W1523&gt;=55,W1523&lt;105),0.23,0)+IF(AND(V1523&lt;20,W1523&gt;=105),0.17,0)+IF(AND(V1523&gt;=20,V1523&lt;40,W1523&lt;45),0.3,0)+IF(AND(V1523&gt;=20,V1523&lt;40,W1523&gt;=45,W1523&lt;95),0.23,0)+IF(AND(V1523&gt;=20,V1523&lt;40,W1523&gt;=95,W1523&lt;=250),0.17,0)+IF(AND(V1523&gt;=20,V1523&lt;40,W1523&gt;=250),0.12,0)+IF(AND(V1523&gt;=40,V1523&lt;75,W1523&lt;35),0.3,0)+IF(AND(V1523&gt;=40,V1523&lt;75,W1523&gt;=35,W1523&lt;75),0.23,0)+IF(AND(V1523&gt;=40,V1523&lt;75,W1523&gt;=75,W1523&lt;120),0.17,0)+IF(AND(V1523&gt;=40,V1523&lt;75,W1523&gt;=120),0.12,0)+IF(AND(V1523&gt;=75,V1523&lt;175,W1523&lt;35),0.3,0)+IF(AND(V1523&gt;=75,V1523&lt;=175,W1523&gt;=35,W1523&lt;65),0.23,0)+IF(AND(V1523&gt;=75,V1523&lt;=175,W1523&gt;=65,W1523&lt;110),0.17,0)+IF(AND(V1523&gt;=75,V1523&lt;=175,W1523&gt;=110),0.12,0)+IF(AND(V1523&gt;175,W1523&lt;25),0.3,0)+IF(AND(V1523&gt;175,W1523&gt;=25,W1523&lt;55),0.23,0)+IF(AND(V1523&gt;175,W1523&gt;=55,W1523&lt;95),0.17,0)+IF(AND(V1523&gt;175,W1523&gt;=95),0.12,0),
IF(AF1523="DoEVni",IF(AND(V1523&lt;20,W1523&lt;55),0.3,0)+IF(AND(V1523&lt;20,W1523&gt;=55,W1523&lt;105),0.23,0)+IF(AND(V1523&lt;20,W1523&gt;=105),0.17,0)+IF(AND(V1523&gt;=20,V1523&lt;40,W1523&lt;45),0.3,0)+IF(AND(V1523&gt;=20,V1523&lt;40,W1523&gt;=45,W1523&lt;95),0.23,0)+IF(AND(V1523&gt;=20,V1523&lt;40,W1523&gt;=95,W1523&lt;=200),0.17,0)+IF(AND(V1523&gt;=20,V1523&lt;40,W1523&gt;=200),0.12,0)+IF(AND(V1523&gt;=40,V1523&lt;75,W1523&lt;35),0.3,0)+IF(AND(V1523&gt;=40,V1523&lt;75,W1523&gt;=35,W1523&lt;75),0.23,0)+IF(AND(V1523&gt;=40,V1523&lt;75,W1523&gt;=75,W1523&lt;120),0.17,0)+IF(AND(V1523&gt;=40,V1523&lt;75,W1523&gt;=120),0.12,0)+IF(AND(V1523&gt;=75,V1523&lt;175,W1523&lt;35),0.3,0)+IF(AND(V1523&gt;=75,V1523&lt;=175,W1523&gt;=35,W1523&lt;65),0.23,0)+IF(AND(V1523&gt;=75,V1523&lt;=175,W1523&gt;=65,W1523&lt;110),0.17,0)+IF(AND(V1523&gt;=75,V1523&lt;=175,W1523&gt;=110),0.12,0)+IF(AND(V1523&gt;175,W1523&lt;25),0.3,0)+IF(AND(V1523&gt;175,W1523&gt;=25,W1523&lt;55),0.23,0)+IF(AND(V1523&gt;175,W1523&gt;=55,W1523&lt;95),0.17,0)+IF(AND(V1523&gt;175,W1523&gt;=95),0.12,0),
IF(AF1523="DoEVLo",IF(AND(V1523&lt;20,W1523&lt;55),0.25,0)+IF(AND(V1523&lt;20,W1523&gt;=55,W1523&lt;105),0.2,0)+IF(AND(V1523&lt;20,W1523&gt;=105),0.15,0)+IF(AND(V1523&gt;=20,V1523&lt;40,W1523&lt;45),0.25,0)+IF(AND(V1523&gt;=20,V1523&lt;40,W1523&gt;=45,W1523&lt;95),0.2,0)+IF(AND(V1523&gt;=20,V1523&lt;40,W1523&gt;=95),0.15,0)+IF(AND(V1523&gt;=40,V1523&lt;75,W1523&lt;35),0.25,0)+IF(AND(V1523&gt;=40,V1523&lt;75,W1523&gt;=35,W1523&lt;75),0.2,0)+IF(AND(V1523&gt;=40,V1523&lt;75,W1523&gt;=75,W1523&lt;120),0.15,0)+IF(AND(V1523&gt;=40,V1523&lt;75,W1523&gt;=120),0.1,0)+IF(AND(V1523&gt;=75,V1523&lt;175,W1523&lt;35),0.25,0)+IF(AND(V1523&gt;=75,V1523&lt;=175,W1523&gt;=35,W1523&lt;65),0.2,0)+IF(AND(V1523&gt;=75,V1523&lt;=175,W1523&gt;=65,W1523&lt;110),0.15,0)+IF(AND(V1523&gt;=75,V1523&lt;=175,W1523&gt;=110),0.1,0)+IF(AND(V1523&gt;175,W1523&lt;25),0.25,0)+IF(AND(V1523&gt;175,W1523&gt;=25,W1523&lt;55),0.2,0)+IF(AND(V1523&gt;175,W1523&gt;=55,W1523&lt;95),0.15,0)+IF(AND(V1523&gt;175,W1523&gt;=95),0.1,0))))))))))))))))))))</f>
        <v>0.15</v>
      </c>
      <c r="Y1523" s="30">
        <f>IF(AG1523="None",0,IF(AG1523="Fix5",0.05, IF(AG1523="Fix6.25",0.0625,IF(AG1523="Fix3.75",0.0375, IF(AG1523="Fix11",0.11, IF(AG1523="Fix10",0.1,IF(AG1523="Fix3",0.03,0)))))))</f>
        <v>0</v>
      </c>
      <c r="Z1523" s="35">
        <f>IF(AND(AD1523="EUR", AE1523 = "USD"), T1523*U1523-AA1523-AB1523, T1523-AA1523-AB1523)</f>
        <v>-3198.55</v>
      </c>
      <c r="AA1523" s="29">
        <f>IF(AND(AD1523="EUR", F1523="Without EV deal", AE1523="USD"), (T1523*X1523)*U1523,
IF(AND(AD1523="EUR", F1523="Without EV deal", AE1523="EUR"), (T1523*X1523),
IF(AND(AD1523="EUR",AE1523="USD"), (T1523*X1523)*U1523,
T1523*X1523)))</f>
        <v>-564.44999999999993</v>
      </c>
      <c r="AB1523" s="36">
        <f>IF(AND(AD1523="EUR", F1523="Without EV deal", AE1523="USD"), (T1523*Y1523)*U1523,
IF(AND(AD1523="EUR", F1523="Without EV deal", AE1523="EUR"), (T1523*Y1523),
IF(AND(AD1523="EUR",AE1523="USD"), (T1523*Y1523)*U1523,
T1523*Y1523)))</f>
        <v>0</v>
      </c>
      <c r="AC1523" s="37" t="b">
        <v>0</v>
      </c>
      <c r="AD1523" s="82" t="str">
        <f>IF(OR(H1523="€0.25 Flash",
H1523="€0.25(nitro) new",
H1523="€1",
H1523="€2",
H1523="€2 (bf 01.08)",
H1523="€5",
H1523="€5 (1M)",
H1523="€5 (bf 01.08)",
H1523="€5 (bf 05.05)",
H1523="€5 Nitro",
H1523="€5(wx) new",
H1523="€10",
H1523="€10 (1M)",
H1523="€10 (bf 01.08)",
H1523="€10 (bf 05.05)",
H1523="€10 (MP)",
H1523="€10 (old)",
H1523="€10 Nitro (bf 05.05)",
H1523="€10 Nitro (old)",
H1523="€10(wx) new",
H1523="€20",
H1523="€25",
H1523="€25 (bf 01.08)",
H1523="€25 (bf 05.05)",
H1523="€25 (MP)",
H1523="€25 (old)",
H1523="€25 Nitro",
H1523="€25 Nitro (bf 01.08)",
H1523="€25 Nitro (bf 05.05)",
H1523="€25(nitro) new",
H1523="€25(wx) new",
H1523="€50",
H1523="€50 (bf 01.08)",
H1523="€50 (bf 05.05)",
H1523="€50 (old)",
H1523="€50 Nitro",
H1523="€50 Nitro (bf 01.08)",
H1523="€50 Nitro (bf 05.05)",
H1523="€50(wx) new",
H1523="€100",
H1523="€100 (old)",
H1523="€100 Nitro",
H1523="€100 Nitro (old)",
H1523="€200",
H1523="€250",
H1523="€250 Nitro",
H1523="€500",
H1523="€500 Nitro"),"EUR", "USD")</f>
        <v>USD</v>
      </c>
      <c r="AE1523" s="83" t="s">
        <v>38</v>
      </c>
      <c r="AF1523" s="83" t="str">
        <f t="array" ref="AF1523">INDEX('Deal Info'!D:D, MATCH(A1523,'Deal Info'!A:A, 0))</f>
        <v>Fix15</v>
      </c>
      <c r="AG1523" s="84" t="str">
        <f t="array" ref="AG1523">INDEX('Deal Info'!G:G, MATCH(A1523,'Deal Info'!A:A, 0))</f>
        <v>None</v>
      </c>
    </row>
    <row r="1524" spans="1:33" ht="14.25" x14ac:dyDescent="0.2">
      <c r="A1524" s="18" t="s">
        <v>98</v>
      </c>
      <c r="B1524" s="45" t="s">
        <v>98</v>
      </c>
      <c r="C1524" s="46">
        <v>44958</v>
      </c>
      <c r="D1524" s="46">
        <v>44985</v>
      </c>
      <c r="E1524" s="90">
        <v>44958</v>
      </c>
      <c r="F1524" s="129" t="s">
        <v>49</v>
      </c>
      <c r="G1524" s="65" t="s">
        <v>61</v>
      </c>
      <c r="H1524" s="100" t="s">
        <v>167</v>
      </c>
      <c r="I1524" s="100" t="s">
        <v>101</v>
      </c>
      <c r="J1524" s="154">
        <v>25</v>
      </c>
      <c r="K1524" s="123">
        <v>403</v>
      </c>
      <c r="L1524" s="52">
        <v>-695.81</v>
      </c>
      <c r="M1524" s="53">
        <v>12.5</v>
      </c>
      <c r="N1524" s="28">
        <v>10075</v>
      </c>
      <c r="O1524" s="54"/>
      <c r="P1524" s="29">
        <v>0</v>
      </c>
      <c r="Q1524" s="55"/>
      <c r="R1524" s="31">
        <f>M1524+Q1524*J1524*K1524*0.07</f>
        <v>12.5</v>
      </c>
      <c r="S1524" s="56">
        <v>-158</v>
      </c>
      <c r="T1524" s="32">
        <f>IF(AND(AD1524="EUR", F1524="Without EV deal"), R1524 + L1524,
IF(AND(AD1524="USD", F1524="Without EV deal"), R1524 + L1524,
IF(AND(AD1524="EUR", F1524="Steel Phoenix"), R1524 + S1524/U1524,
R1524 + S1524)))</f>
        <v>-145.5</v>
      </c>
      <c r="U1524" s="57">
        <v>1.0617000000000001</v>
      </c>
      <c r="V1524" s="58"/>
      <c r="W1524" s="58"/>
      <c r="X1524" s="30">
        <f>IF(AF1524="DoEV",IF(AND(V1524&lt;20,W1524&lt;55),0.3,0)+IF(AND(V1524&lt;20,W1524&gt;=55,W1524&lt;105),0.23,0)+IF(AND(V1524&lt;20,W1524&gt;=105),0.17,0)+IF(AND(V1524&gt;=20,V1524&lt;40,W1524&lt;45),0.3,0)+IF(AND(V1524&gt;=20,V1524&lt;40,W1524&gt;=45,W1524&lt;95),0.23,0)+IF(AND(V1524&gt;=20,V1524&lt;40,W1524&gt;=95),0.17,0)+IF(AND(V1524&gt;=40,V1524&lt;75,W1524&lt;35),0.3,0)+IF(AND(V1524&gt;=40,V1524&lt;75,W1524&gt;=35,W1524&lt;75),0.23,0)+IF(AND(V1524&gt;=40,V1524&lt;75,W1524&gt;=75,W1524&lt;120),0.17,0)+IF(AND(V1524&gt;=40,V1524&lt;75,W1524&gt;=120),0.12,0)+IF(AND(V1524&gt;=75,V1524&lt;175,W1524&lt;35),0.3,0)+IF(AND(V1524&gt;=75,V1524&lt;=175,W1524&gt;=35,W1524&lt;65),0.23,0)+IF(AND(V1524&gt;=75,V1524&lt;=175,W1524&gt;=65,W1524&lt;110),0.17,0)+IF(AND(V1524&gt;=75,V1524&lt;=175,W1524&gt;=110),0.12,0)+IF(AND(V1524&gt;175,W1524&lt;25),0.3,0)+IF(AND(V1524&gt;175,W1524&gt;=25,W1524&lt;55),0.23,0)+IF(AND(V1524&gt;175,W1524&gt;=55,W1524&lt;95),0.17,0)+IF(AND(V1524&gt;175,W1524&gt;=95),0.12,0),
IF(AF1524="Fix15",0.15,
IF(AF1524="Fix5",0.05,
IF(AF1524="Fix18.75",0.1875,
IF(AF1524="Fix11.25",0.1125,
IF(AF1524="Fix10",0.1,
IF(AF1524="Fix9",0.09,
IF(AF1524="Fix12",0.12,
IF(AF1524="Fix19",0.19,
IF(AF1524="DoEV2017",IF(AND(W1524&lt;74),0.2,0)+IF(AND(W1524&gt;=74),0.17,0),
IF(AF1524="SF",IF(AND(V1524&lt;20,W1524&lt;89),0.3,0)+IF(AND(V1524&lt;20,W1524&gt;=89),0.25,0)+IF(AND(V1524&gt;=20,V1524&lt;40,W1524&lt;74),0.3,0)+IF(AND(V1524&gt;=20,V1524&lt;40,W1524&gt;=75),0.22,0)+IF(AND(V1524&gt;=40,V1524&lt;75,W1524&lt;75),0.26,0)+IF(AND(V1524&gt;=40,V1524&lt;75,W1524&gt;=75),0.22,0)+IF(V1524&gt;=75,0.22,0),
IF(AF1524="DoEVold",IF(AND(V1524&lt;40,W1524&lt;35),0.35,0)+IF(AND(V1524&lt;40,W1524&gt;=35,W1524&lt;75),0.25,0)+IF(AND(V1524&lt;40,W1524&gt;=75),0.17,0)+IF(AND(V1524&gt;=40,V1524&lt;75,W1524&lt;25),0.35,0)+IF(AND(V1524&gt;=40,V1524&lt;75,W1524&gt;=25,W1524&lt;65),0.25,0)+IF(AND(V1524&gt;=40,V1524&lt;75,W1524&gt;=65,W1524&lt;100),0.17,0)+IF(AND(V1524&gt;=40,V1524&lt;75,W1524&gt;=100),0.1,0)+IF(AND(V1524&gt;=75,W1524&lt;25),0.35,0)+IF(AND(V1524&gt;=75,W1524&gt;=25,W1524&lt;60),0.25,0)+IF(AND(V1524&gt;=75,W1524&gt;=60,W1524&lt;95),0.17,0)+IF(AND(V1524&gt;=75,W1524&gt;=95),0.1,0),
IF(AF1524="DoEVold15",IF(AND(V1524&lt;=40,W1524&lt;35),0.35,0)+IF(AND(V1524&lt;=40,W1524&gt;=35,W1524&lt;75),0.25,0)+IF(AND(V1524&lt;=40,W1524&gt;=75,W1524&lt;120),0.17,0)+IF(AND(V1524&lt;=40,W1524&gt;=120),0.15,0)+IF(AND(V1524&gt;40,V1524&lt;75,W1524&lt;25),0.35,0)+IF(AND(V1524&gt;=40,V1524&lt;75,W1524&gt;=25,W1524&lt;65),0.25,0)+IF(AND(V1524&gt;=40,V1524&lt;75,W1524&gt;=65,W1524&lt;100),0.17,0)+IF(AND(V1524&gt;=40,V1524&lt;75,W1524&gt;=100),0.1,0)+IF(AND(V1524&gt;=75,W1524&lt;25),0.35,0)+IF(AND(V1524&gt;=75,W1524&gt;=25,W1524&lt;60),0.25,0)+IF(AND(V1524&gt;=75,W1524&gt;=60,W1524&lt;95),0.17,0)+IF(AND(V1524&gt;=75,W1524&gt;=95),0.1,0),
IF(AF1524="DoEVba",IF(AND(V1524&lt;20,W1524&lt;105),0.2,0)+IF(AND(V1524&lt;20,W1524&gt;=105),0.15,0)+IF(AND(V1524&gt;=20,V1524&lt;40,W1524&lt;95),0.2,0)+IF(AND(V1524&gt;=20,V1524&lt;40,W1524&gt;=95,W1524&lt;150),0.15,0)+IF(AND(V1524&gt;=20,V1524&lt;40,W1524&gt;=150),0.12,0)+IF(AND(V1524&gt;=40,V1524&lt;75,W1524&lt;75),0.2,0)+IF(AND(V1524&gt;=40,V1524&lt;75,W1524&gt;=75,W1524&lt;120),0.15,0)+IF(AND(V1524&gt;=40,V1524&lt;75,W1524&gt;=120),0.12,0)+IF(AND(V1524&gt;=75,V1524&lt;175,W1524&lt;65),0.2,0)+IF(AND(V1524&gt;=75,V1524&lt;175,W1524&gt;=65,W1524&lt;110),0.15,0)+IF(AND(V1524&gt;=75,V1524&lt;175,W1524&gt;=110),0.12,0)+IF(AND(V1524&gt;=175,W1524&lt;55),0.2,0)+IF(AND(V1524&gt;=175,W1524&gt;=55,W1524&lt;95),0.15,0)+IF(AND(V1524&gt;=175,W1524&gt;=95),0.12,0),
IF(AF1524="DoEVku",IF(AND(V1524&lt;20,W1524&lt;55),0.23,0)+IF(AND(V1524&lt;20,W1524&gt;=55,W1524&lt;105),0.2,0)+IF(AND(V1524&lt;20,W1524&gt;=105),0.17,0)+IF(AND(V1524&gt;=20,V1524&lt;40,W1524&lt;45),0.23,0)+IF(AND(V1524&gt;=20,V1524&lt;40,W1524&gt;=45,W1524&lt;95),0.2,0)+IF(AND(V1524&gt;=20,V1524&lt;40,W1524&gt;=95,W1524&lt;=150),0.17,0)+IF(AND(V1524&gt;=20,V1524&lt;40,W1524&gt;=150),0.12,0)+IF(AND(V1524&gt;=40,V1524&lt;75,W1524&lt;35),0.23,0)+IF(AND(V1524&gt;=40,V1524&lt;75,W1524&gt;=35,W1524&lt;75),0.2,0)+IF(AND(V1524&gt;=40,V1524&lt;75,W1524&gt;=75,W1524&lt;120),0.17,0)+IF(AND(V1524&gt;=40,V1524&lt;75,W1524&gt;=120),0.12,0)+IF(AND(V1524&gt;=75,V1524&lt;175,W1524&lt;35),0.23,0)+IF(AND(V1524&gt;=75,V1524&lt;=175,W1524&gt;=35,W1524&lt;65),0.2,0)+IF(AND(V1524&gt;=75,V1524&lt;=175,W1524&gt;=65,W1524&lt;110),0.17,0)+IF(AND(V1524&gt;=75,V1524&lt;=175,W1524&gt;=110),0.12,0)+IF(AND(V1524&gt;175,W1524&lt;25),0.23,0)+IF(AND(V1524&gt;175,W1524&gt;=25,W1524&lt;55),0.2,0)+IF(AND(V1524&gt;175,W1524&gt;=55,W1524&lt;95),0.17,0)+IF(AND(V1524&gt;175,W1524&gt;=95),0.12,0),
IF(AF1524="DoEVs1",IF(AND(V1524&lt;20,W1524&lt;55),0.3,0)+IF(AND(V1524&lt;20,W1524&gt;=55,W1524&lt;105),0.23,0)+IF(AND(V1524&lt;20,W1524&gt;=105),0.17,0)+IF(AND(V1524&gt;=20,V1524&lt;40,W1524&lt;45),0.3,0)+IF(AND(V1524&gt;=20,V1524&lt;40,W1524&gt;=45,W1524&lt;95),0.23,0)+IF(AND(V1524&gt;=20,V1524&lt;40,W1524&gt;=95,W1524&lt;=150),0.17,0)+IF(AND(V1524&gt;=20,V1524&lt;40,W1524&gt;=150),0.12,0)+IF(AND(V1524&gt;=40,V1524&lt;75,W1524&lt;35),0.3,0)+IF(AND(V1524&gt;=40,V1524&lt;75,W1524&gt;=35,W1524&lt;75),0.23,0)+IF(AND(V1524&gt;=40,V1524&lt;75,W1524&gt;=75,W1524&lt;120),0.17,0)+IF(AND(V1524&gt;=40,V1524&lt;75,W1524&gt;=120),0.12,0)+IF(AND(V1524&gt;=75,V1524&lt;175,W1524&lt;35),0.3,0)+IF(AND(V1524&gt;=75,V1524&lt;=175,W1524&gt;=35,W1524&lt;65),0.23,0)+IF(AND(V1524&gt;=75,V1524&lt;=175,W1524&gt;=65,W1524&lt;110),0.17,0)+IF(AND(V1524&gt;=75,V1524&lt;=175,W1524&gt;=110),0.12,0)+IF(AND(V1524&gt;175,W1524&lt;25),0.3,0)+IF(AND(V1524&gt;175,W1524&gt;=25,W1524&lt;55),0.23,0)+IF(AND(V1524&gt;175,W1524&gt;=55,W1524&lt;95),0.17,0)+IF(AND(V1524&gt;175,W1524&gt;=95),0.12,0),
IF(AF1524="DoEVsu",IF(AND(V1524&lt;20,W1524&lt;55),0.3,0)+IF(AND(V1524&lt;20,W1524&gt;=55,W1524&lt;105),0.23,0)+IF(AND(V1524&lt;20,W1524&gt;=105),0.17,0)+IF(AND(V1524&gt;=20,V1524&lt;40,W1524&lt;45),0.3,0)+IF(AND(V1524&gt;=20,V1524&lt;40,W1524&gt;=45,W1524&lt;95),0.23,0)+IF(AND(V1524&gt;=20,V1524&lt;40,W1524&gt;=95,W1524&lt;=250),0.17,0)+IF(AND(V1524&gt;=20,V1524&lt;40,W1524&gt;=250),0.12,0)+IF(AND(V1524&gt;=40,V1524&lt;75,W1524&lt;35),0.3,0)+IF(AND(V1524&gt;=40,V1524&lt;75,W1524&gt;=35,W1524&lt;75),0.23,0)+IF(AND(V1524&gt;=40,V1524&lt;75,W1524&gt;=75,W1524&lt;120),0.17,0)+IF(AND(V1524&gt;=40,V1524&lt;75,W1524&gt;=120),0.12,0)+IF(AND(V1524&gt;=75,V1524&lt;175,W1524&lt;35),0.3,0)+IF(AND(V1524&gt;=75,V1524&lt;=175,W1524&gt;=35,W1524&lt;65),0.23,0)+IF(AND(V1524&gt;=75,V1524&lt;=175,W1524&gt;=65,W1524&lt;110),0.17,0)+IF(AND(V1524&gt;=75,V1524&lt;=175,W1524&gt;=110),0.12,0)+IF(AND(V1524&gt;175,W1524&lt;25),0.3,0)+IF(AND(V1524&gt;175,W1524&gt;=25,W1524&lt;55),0.23,0)+IF(AND(V1524&gt;175,W1524&gt;=55,W1524&lt;95),0.17,0)+IF(AND(V1524&gt;175,W1524&gt;=95),0.12,0),
IF(AF1524="DoEVni",IF(AND(V1524&lt;20,W1524&lt;55),0.3,0)+IF(AND(V1524&lt;20,W1524&gt;=55,W1524&lt;105),0.23,0)+IF(AND(V1524&lt;20,W1524&gt;=105),0.17,0)+IF(AND(V1524&gt;=20,V1524&lt;40,W1524&lt;45),0.3,0)+IF(AND(V1524&gt;=20,V1524&lt;40,W1524&gt;=45,W1524&lt;95),0.23,0)+IF(AND(V1524&gt;=20,V1524&lt;40,W1524&gt;=95,W1524&lt;=200),0.17,0)+IF(AND(V1524&gt;=20,V1524&lt;40,W1524&gt;=200),0.12,0)+IF(AND(V1524&gt;=40,V1524&lt;75,W1524&lt;35),0.3,0)+IF(AND(V1524&gt;=40,V1524&lt;75,W1524&gt;=35,W1524&lt;75),0.23,0)+IF(AND(V1524&gt;=40,V1524&lt;75,W1524&gt;=75,W1524&lt;120),0.17,0)+IF(AND(V1524&gt;=40,V1524&lt;75,W1524&gt;=120),0.12,0)+IF(AND(V1524&gt;=75,V1524&lt;175,W1524&lt;35),0.3,0)+IF(AND(V1524&gt;=75,V1524&lt;=175,W1524&gt;=35,W1524&lt;65),0.23,0)+IF(AND(V1524&gt;=75,V1524&lt;=175,W1524&gt;=65,W1524&lt;110),0.17,0)+IF(AND(V1524&gt;=75,V1524&lt;=175,W1524&gt;=110),0.12,0)+IF(AND(V1524&gt;175,W1524&lt;25),0.3,0)+IF(AND(V1524&gt;175,W1524&gt;=25,W1524&lt;55),0.23,0)+IF(AND(V1524&gt;175,W1524&gt;=55,W1524&lt;95),0.17,0)+IF(AND(V1524&gt;175,W1524&gt;=95),0.12,0),
IF(AF1524="DoEVLo",IF(AND(V1524&lt;20,W1524&lt;55),0.25,0)+IF(AND(V1524&lt;20,W1524&gt;=55,W1524&lt;105),0.2,0)+IF(AND(V1524&lt;20,W1524&gt;=105),0.15,0)+IF(AND(V1524&gt;=20,V1524&lt;40,W1524&lt;45),0.25,0)+IF(AND(V1524&gt;=20,V1524&lt;40,W1524&gt;=45,W1524&lt;95),0.2,0)+IF(AND(V1524&gt;=20,V1524&lt;40,W1524&gt;=95),0.15,0)+IF(AND(V1524&gt;=40,V1524&lt;75,W1524&lt;35),0.25,0)+IF(AND(V1524&gt;=40,V1524&lt;75,W1524&gt;=35,W1524&lt;75),0.2,0)+IF(AND(V1524&gt;=40,V1524&lt;75,W1524&gt;=75,W1524&lt;120),0.15,0)+IF(AND(V1524&gt;=40,V1524&lt;75,W1524&gt;=120),0.1,0)+IF(AND(V1524&gt;=75,V1524&lt;175,W1524&lt;35),0.25,0)+IF(AND(V1524&gt;=75,V1524&lt;=175,W1524&gt;=35,W1524&lt;65),0.2,0)+IF(AND(V1524&gt;=75,V1524&lt;=175,W1524&gt;=65,W1524&lt;110),0.15,0)+IF(AND(V1524&gt;=75,V1524&lt;=175,W1524&gt;=110),0.1,0)+IF(AND(V1524&gt;175,W1524&lt;25),0.25,0)+IF(AND(V1524&gt;175,W1524&gt;=25,W1524&lt;55),0.2,0)+IF(AND(V1524&gt;175,W1524&gt;=55,W1524&lt;95),0.15,0)+IF(AND(V1524&gt;175,W1524&gt;=95),0.1,0))))))))))))))))))))</f>
        <v>0.35</v>
      </c>
      <c r="Y1524" s="30">
        <f>IF(AG1524="None",0,IF(AG1524="Fix5",0.05, IF(AG1524="Fix6.25",0.0625,IF(AG1524="Fix3.75",0.0375, IF(AG1524="Fix11",0.11, IF(AG1524="Fix10",0.1,IF(AG1524="Fix3",0.03,0)))))))</f>
        <v>0</v>
      </c>
      <c r="Z1524" s="59">
        <f>IF(AND(AD1524="EUR", AE1524 = "USD"), T1524*U1524-AA1524-AB1524, T1524-AA1524-AB1524)</f>
        <v>-100.41027750000001</v>
      </c>
      <c r="AA1524" s="60">
        <f>IF(AND(AD1524="EUR", F1524="Without EV deal", AE1524="USD"), (T1524*X1524)*U1524,
IF(AND(AD1524="EUR", F1524="Without EV deal", AE1524="EUR"), (T1524*X1524),
IF(AND(AD1524="EUR",AE1524="USD"), (T1524*X1524)*U1524,
T1524*X1524)))</f>
        <v>-54.067072500000002</v>
      </c>
      <c r="AB1524" s="36">
        <f>IF(AND(AD1524="EUR", F1524="Without EV deal", AE1524="USD"), (T1524*Y1524)*U1524,
IF(AND(AD1524="EUR", F1524="Without EV deal", AE1524="EUR"), (T1524*Y1524),
IF(AND(AD1524="EUR",AE1524="USD"), (T1524*Y1524)*U1524,
T1524*Y1524)))</f>
        <v>0</v>
      </c>
      <c r="AC1524" s="37" t="b">
        <v>0</v>
      </c>
      <c r="AD1524" s="37" t="str">
        <f>IF(OR(H1524="€0.25 Flash",
H1524="€0.25(nitro) new",
H1524="€1",
H1524="€2",
H1524="€2 (bf 01.08)",
H1524="€5",
H1524="€5 (1M)",
H1524="€5 (bf 01.08)",
H1524="€5 (bf 05.05)",
H1524="€5 Nitro",
H1524="€5(wx) new",
H1524="€10",
H1524="€10 (1M)",
H1524="€10 (bf 01.08)",
H1524="€10 (bf 05.05)",
H1524="€10 (MP)",
H1524="€10 (old)",
H1524="€10 Nitro (bf 05.05)",
H1524="€10 Nitro (old)",
H1524="€10(wx) new",
H1524="€20",
H1524="€25",
H1524="€25 (bf 01.08)",
H1524="€25 (bf 05.05)",
H1524="€25 (MP)",
H1524="€25 (old)",
H1524="€25 Nitro",
H1524="€25 Nitro (bf 01.08)",
H1524="€25 Nitro (bf 05.05)",
H1524="€25(nitro) new",
H1524="€25(wx) new",
H1524="€50",
H1524="€50 (bf 01.08)",
H1524="€50 (bf 05.05)",
H1524="€50 (old)",
H1524="€50 Nitro",
H1524="€50 Nitro (bf 01.08)",
H1524="€50 Nitro (bf 05.05)",
H1524="€50(wx) new",
H1524="€100",
H1524="€100 (old)",
H1524="€100 Nitro",
H1524="€100 Nitro (old)",
H1524="€200",
H1524="€250",
H1524="€250 Nitro",
H1524="€500",
H1524="€500 Nitro"),"EUR", "USD")</f>
        <v>EUR</v>
      </c>
      <c r="AE1524" s="37" t="s">
        <v>38</v>
      </c>
      <c r="AF1524" s="37" t="str">
        <f t="array" ref="AF1524">INDEX('Deal Info'!D:D, MATCH(A1524,'Deal Info'!A:A, 0))</f>
        <v>DoEVold</v>
      </c>
      <c r="AG1524" s="38" t="str">
        <f t="array" ref="AG1524">INDEX('Deal Info'!G:G, MATCH(A1524,'Deal Info'!A:A, 0))</f>
        <v>None</v>
      </c>
    </row>
    <row r="1525" spans="1:33" ht="14.25" x14ac:dyDescent="0.2">
      <c r="A1525" s="18" t="str">
        <f t="array" ref="A1525">IF(G1525='Room Info'!$B$1, INDEX('Room Info'!$A$2:$A2446, MATCH(B1525,'Room Info'!$B$2:$B2446, 0)),IF(G1525='Room Info'!$C$1, INDEX('Room Info'!$A$2:$A2446, MATCH(B1525,'Room Info'!$C$2:$C2446, 0)),IF(G1525='Room Info'!$D$1, INDEX('Room Info'!$A$2:$A2446, MATCH(B1525,'Room Info'!$D$2:$D2446, 0)),IF(G1525='Room Info'!$E$1, INDEX('Room Info'!$A$2:$A2446, MATCH(B1525,'Room Info'!$E$2:$E2446, 0)),IF(G1525='Room Info'!$F$1, INDEX('Room Info'!$A$2:$A2446, MATCH(B1525,'Room Info'!$F$2:$F2446, 0)),IF(G1525='Room Info'!$H$1, INDEX('Room Info'!$A$2:$A2446, MATCH(B1525,'Room Info'!$H$2:$H2446, 0)),IF(G1525='Room Info'!$G$1, INDEX('Room Info'!$A$2:$A2446, MATCH(B1525,'Room Info'!$G$2:$G2446, 0)))))))))</f>
        <v>thepzdc</v>
      </c>
      <c r="B1525" s="45" t="s">
        <v>181</v>
      </c>
      <c r="C1525" s="46">
        <v>44958</v>
      </c>
      <c r="D1525" s="46">
        <v>44985</v>
      </c>
      <c r="E1525" s="90">
        <v>44958</v>
      </c>
      <c r="F1525" s="129" t="s">
        <v>49</v>
      </c>
      <c r="G1525" s="65" t="s">
        <v>61</v>
      </c>
      <c r="H1525" s="49" t="s">
        <v>167</v>
      </c>
      <c r="I1525" s="100" t="s">
        <v>101</v>
      </c>
      <c r="J1525" s="154">
        <v>25</v>
      </c>
      <c r="K1525" s="123">
        <v>4165</v>
      </c>
      <c r="L1525" s="52">
        <v>-1706</v>
      </c>
      <c r="M1525" s="53"/>
      <c r="N1525" s="28">
        <f>K1525*J1525</f>
        <v>104125</v>
      </c>
      <c r="O1525" s="54"/>
      <c r="P1525" s="29">
        <v>0</v>
      </c>
      <c r="Q1525" s="55"/>
      <c r="R1525" s="31">
        <f>M1525+Q1525*J1525*K1525*0.07</f>
        <v>0</v>
      </c>
      <c r="S1525" s="56">
        <v>-475</v>
      </c>
      <c r="T1525" s="32">
        <f>IF(AND(AD1525="EUR", F1525="Without EV deal"), R1525 + L1525,
IF(AND(AD1525="USD", F1525="Without EV deal"), R1525 + L1525,
IF(AND(AD1525="EUR", F1525="Steel Phoenix"), R1525 + S1525/U1525,
R1525 + S1525)))</f>
        <v>-475</v>
      </c>
      <c r="U1525" s="57">
        <v>1.0617000000000001</v>
      </c>
      <c r="V1525" s="58">
        <v>19.893111638954871</v>
      </c>
      <c r="W1525" s="58">
        <v>112.75259701492537</v>
      </c>
      <c r="X1525" s="30">
        <f>IF(AF1525="DoEV",IF(AND(V1525&lt;20,W1525&lt;55),0.3,0)+IF(AND(V1525&lt;20,W1525&gt;=55,W1525&lt;105),0.23,0)+IF(AND(V1525&lt;20,W1525&gt;=105),0.17,0)+IF(AND(V1525&gt;=20,V1525&lt;40,W1525&lt;45),0.3,0)+IF(AND(V1525&gt;=20,V1525&lt;40,W1525&gt;=45,W1525&lt;95),0.23,0)+IF(AND(V1525&gt;=20,V1525&lt;40,W1525&gt;=95),0.17,0)+IF(AND(V1525&gt;=40,V1525&lt;75,W1525&lt;35),0.3,0)+IF(AND(V1525&gt;=40,V1525&lt;75,W1525&gt;=35,W1525&lt;75),0.23,0)+IF(AND(V1525&gt;=40,V1525&lt;75,W1525&gt;=75,W1525&lt;120),0.17,0)+IF(AND(V1525&gt;=40,V1525&lt;75,W1525&gt;=120),0.12,0)+IF(AND(V1525&gt;=75,V1525&lt;175,W1525&lt;35),0.3,0)+IF(AND(V1525&gt;=75,V1525&lt;=175,W1525&gt;=35,W1525&lt;65),0.23,0)+IF(AND(V1525&gt;=75,V1525&lt;=175,W1525&gt;=65,W1525&lt;110),0.17,0)+IF(AND(V1525&gt;=75,V1525&lt;=175,W1525&gt;=110),0.12,0)+IF(AND(V1525&gt;175,W1525&lt;25),0.3,0)+IF(AND(V1525&gt;175,W1525&gt;=25,W1525&lt;55),0.23,0)+IF(AND(V1525&gt;175,W1525&gt;=55,W1525&lt;95),0.17,0)+IF(AND(V1525&gt;175,W1525&gt;=95),0.12,0),
IF(AF1525="Fix15",0.15,
IF(AF1525="Fix5",0.05,
IF(AF1525="Fix18.75",0.1875,
IF(AF1525="Fix11.25",0.1125,
IF(AF1525="Fix10",0.1,
IF(AF1525="Fix9",0.09,
IF(AF1525="Fix12",0.12,
IF(AF1525="Fix19",0.19,
IF(AF1525="DoEV2017",IF(AND(W1525&lt;74),0.2,0)+IF(AND(W1525&gt;=74),0.17,0),
IF(AF1525="SF",IF(AND(V1525&lt;20,W1525&lt;89),0.3,0)+IF(AND(V1525&lt;20,W1525&gt;=89),0.25,0)+IF(AND(V1525&gt;=20,V1525&lt;40,W1525&lt;74),0.3,0)+IF(AND(V1525&gt;=20,V1525&lt;40,W1525&gt;=75),0.22,0)+IF(AND(V1525&gt;=40,V1525&lt;75,W1525&lt;75),0.26,0)+IF(AND(V1525&gt;=40,V1525&lt;75,W1525&gt;=75),0.22,0)+IF(V1525&gt;=75,0.22,0),
IF(AF1525="DoEVold",IF(AND(V1525&lt;40,W1525&lt;35),0.35,0)+IF(AND(V1525&lt;40,W1525&gt;=35,W1525&lt;75),0.25,0)+IF(AND(V1525&lt;40,W1525&gt;=75),0.17,0)+IF(AND(V1525&gt;=40,V1525&lt;75,W1525&lt;25),0.35,0)+IF(AND(V1525&gt;=40,V1525&lt;75,W1525&gt;=25,W1525&lt;65),0.25,0)+IF(AND(V1525&gt;=40,V1525&lt;75,W1525&gt;=65,W1525&lt;100),0.17,0)+IF(AND(V1525&gt;=40,V1525&lt;75,W1525&gt;=100),0.1,0)+IF(AND(V1525&gt;=75,W1525&lt;25),0.35,0)+IF(AND(V1525&gt;=75,W1525&gt;=25,W1525&lt;60),0.25,0)+IF(AND(V1525&gt;=75,W1525&gt;=60,W1525&lt;95),0.17,0)+IF(AND(V1525&gt;=75,W1525&gt;=95),0.1,0),
IF(AF1525="DoEVold15",IF(AND(V1525&lt;=40,W1525&lt;35),0.35,0)+IF(AND(V1525&lt;=40,W1525&gt;=35,W1525&lt;75),0.25,0)+IF(AND(V1525&lt;=40,W1525&gt;=75,W1525&lt;120),0.17,0)+IF(AND(V1525&lt;=40,W1525&gt;=120),0.15,0)+IF(AND(V1525&gt;40,V1525&lt;75,W1525&lt;25),0.35,0)+IF(AND(V1525&gt;=40,V1525&lt;75,W1525&gt;=25,W1525&lt;65),0.25,0)+IF(AND(V1525&gt;=40,V1525&lt;75,W1525&gt;=65,W1525&lt;100),0.17,0)+IF(AND(V1525&gt;=40,V1525&lt;75,W1525&gt;=100),0.1,0)+IF(AND(V1525&gt;=75,W1525&lt;25),0.35,0)+IF(AND(V1525&gt;=75,W1525&gt;=25,W1525&lt;60),0.25,0)+IF(AND(V1525&gt;=75,W1525&gt;=60,W1525&lt;95),0.17,0)+IF(AND(V1525&gt;=75,W1525&gt;=95),0.1,0),
IF(AF1525="DoEVba",IF(AND(V1525&lt;20,W1525&lt;105),0.2,0)+IF(AND(V1525&lt;20,W1525&gt;=105),0.15,0)+IF(AND(V1525&gt;=20,V1525&lt;40,W1525&lt;95),0.2,0)+IF(AND(V1525&gt;=20,V1525&lt;40,W1525&gt;=95,W1525&lt;150),0.15,0)+IF(AND(V1525&gt;=20,V1525&lt;40,W1525&gt;=150),0.12,0)+IF(AND(V1525&gt;=40,V1525&lt;75,W1525&lt;75),0.2,0)+IF(AND(V1525&gt;=40,V1525&lt;75,W1525&gt;=75,W1525&lt;120),0.15,0)+IF(AND(V1525&gt;=40,V1525&lt;75,W1525&gt;=120),0.12,0)+IF(AND(V1525&gt;=75,V1525&lt;175,W1525&lt;65),0.2,0)+IF(AND(V1525&gt;=75,V1525&lt;175,W1525&gt;=65,W1525&lt;110),0.15,0)+IF(AND(V1525&gt;=75,V1525&lt;175,W1525&gt;=110),0.12,0)+IF(AND(V1525&gt;=175,W1525&lt;55),0.2,0)+IF(AND(V1525&gt;=175,W1525&gt;=55,W1525&lt;95),0.15,0)+IF(AND(V1525&gt;=175,W1525&gt;=95),0.12,0),
IF(AF1525="DoEVku",IF(AND(V1525&lt;20,W1525&lt;55),0.23,0)+IF(AND(V1525&lt;20,W1525&gt;=55,W1525&lt;105),0.2,0)+IF(AND(V1525&lt;20,W1525&gt;=105),0.17,0)+IF(AND(V1525&gt;=20,V1525&lt;40,W1525&lt;45),0.23,0)+IF(AND(V1525&gt;=20,V1525&lt;40,W1525&gt;=45,W1525&lt;95),0.2,0)+IF(AND(V1525&gt;=20,V1525&lt;40,W1525&gt;=95,W1525&lt;=150),0.17,0)+IF(AND(V1525&gt;=20,V1525&lt;40,W1525&gt;=150),0.12,0)+IF(AND(V1525&gt;=40,V1525&lt;75,W1525&lt;35),0.23,0)+IF(AND(V1525&gt;=40,V1525&lt;75,W1525&gt;=35,W1525&lt;75),0.2,0)+IF(AND(V1525&gt;=40,V1525&lt;75,W1525&gt;=75,W1525&lt;120),0.17,0)+IF(AND(V1525&gt;=40,V1525&lt;75,W1525&gt;=120),0.12,0)+IF(AND(V1525&gt;=75,V1525&lt;175,W1525&lt;35),0.23,0)+IF(AND(V1525&gt;=75,V1525&lt;=175,W1525&gt;=35,W1525&lt;65),0.2,0)+IF(AND(V1525&gt;=75,V1525&lt;=175,W1525&gt;=65,W1525&lt;110),0.17,0)+IF(AND(V1525&gt;=75,V1525&lt;=175,W1525&gt;=110),0.12,0)+IF(AND(V1525&gt;175,W1525&lt;25),0.23,0)+IF(AND(V1525&gt;175,W1525&gt;=25,W1525&lt;55),0.2,0)+IF(AND(V1525&gt;175,W1525&gt;=55,W1525&lt;95),0.17,0)+IF(AND(V1525&gt;175,W1525&gt;=95),0.12,0),
IF(AF1525="DoEVs1",IF(AND(V1525&lt;20,W1525&lt;55),0.3,0)+IF(AND(V1525&lt;20,W1525&gt;=55,W1525&lt;105),0.23,0)+IF(AND(V1525&lt;20,W1525&gt;=105),0.17,0)+IF(AND(V1525&gt;=20,V1525&lt;40,W1525&lt;45),0.3,0)+IF(AND(V1525&gt;=20,V1525&lt;40,W1525&gt;=45,W1525&lt;95),0.23,0)+IF(AND(V1525&gt;=20,V1525&lt;40,W1525&gt;=95,W1525&lt;=150),0.17,0)+IF(AND(V1525&gt;=20,V1525&lt;40,W1525&gt;=150),0.12,0)+IF(AND(V1525&gt;=40,V1525&lt;75,W1525&lt;35),0.3,0)+IF(AND(V1525&gt;=40,V1525&lt;75,W1525&gt;=35,W1525&lt;75),0.23,0)+IF(AND(V1525&gt;=40,V1525&lt;75,W1525&gt;=75,W1525&lt;120),0.17,0)+IF(AND(V1525&gt;=40,V1525&lt;75,W1525&gt;=120),0.12,0)+IF(AND(V1525&gt;=75,V1525&lt;175,W1525&lt;35),0.3,0)+IF(AND(V1525&gt;=75,V1525&lt;=175,W1525&gt;=35,W1525&lt;65),0.23,0)+IF(AND(V1525&gt;=75,V1525&lt;=175,W1525&gt;=65,W1525&lt;110),0.17,0)+IF(AND(V1525&gt;=75,V1525&lt;=175,W1525&gt;=110),0.12,0)+IF(AND(V1525&gt;175,W1525&lt;25),0.3,0)+IF(AND(V1525&gt;175,W1525&gt;=25,W1525&lt;55),0.23,0)+IF(AND(V1525&gt;175,W1525&gt;=55,W1525&lt;95),0.17,0)+IF(AND(V1525&gt;175,W1525&gt;=95),0.12,0),
IF(AF1525="DoEVsu",IF(AND(V1525&lt;20,W1525&lt;55),0.3,0)+IF(AND(V1525&lt;20,W1525&gt;=55,W1525&lt;105),0.23,0)+IF(AND(V1525&lt;20,W1525&gt;=105),0.17,0)+IF(AND(V1525&gt;=20,V1525&lt;40,W1525&lt;45),0.3,0)+IF(AND(V1525&gt;=20,V1525&lt;40,W1525&gt;=45,W1525&lt;95),0.23,0)+IF(AND(V1525&gt;=20,V1525&lt;40,W1525&gt;=95,W1525&lt;=250),0.17,0)+IF(AND(V1525&gt;=20,V1525&lt;40,W1525&gt;=250),0.12,0)+IF(AND(V1525&gt;=40,V1525&lt;75,W1525&lt;35),0.3,0)+IF(AND(V1525&gt;=40,V1525&lt;75,W1525&gt;=35,W1525&lt;75),0.23,0)+IF(AND(V1525&gt;=40,V1525&lt;75,W1525&gt;=75,W1525&lt;120),0.17,0)+IF(AND(V1525&gt;=40,V1525&lt;75,W1525&gt;=120),0.12,0)+IF(AND(V1525&gt;=75,V1525&lt;175,W1525&lt;35),0.3,0)+IF(AND(V1525&gt;=75,V1525&lt;=175,W1525&gt;=35,W1525&lt;65),0.23,0)+IF(AND(V1525&gt;=75,V1525&lt;=175,W1525&gt;=65,W1525&lt;110),0.17,0)+IF(AND(V1525&gt;=75,V1525&lt;=175,W1525&gt;=110),0.12,0)+IF(AND(V1525&gt;175,W1525&lt;25),0.3,0)+IF(AND(V1525&gt;175,W1525&gt;=25,W1525&lt;55),0.23,0)+IF(AND(V1525&gt;175,W1525&gt;=55,W1525&lt;95),0.17,0)+IF(AND(V1525&gt;175,W1525&gt;=95),0.12,0),
IF(AF1525="DoEVni",IF(AND(V1525&lt;20,W1525&lt;55),0.3,0)+IF(AND(V1525&lt;20,W1525&gt;=55,W1525&lt;105),0.23,0)+IF(AND(V1525&lt;20,W1525&gt;=105),0.17,0)+IF(AND(V1525&gt;=20,V1525&lt;40,W1525&lt;45),0.3,0)+IF(AND(V1525&gt;=20,V1525&lt;40,W1525&gt;=45,W1525&lt;95),0.23,0)+IF(AND(V1525&gt;=20,V1525&lt;40,W1525&gt;=95,W1525&lt;=200),0.17,0)+IF(AND(V1525&gt;=20,V1525&lt;40,W1525&gt;=200),0.12,0)+IF(AND(V1525&gt;=40,V1525&lt;75,W1525&lt;35),0.3,0)+IF(AND(V1525&gt;=40,V1525&lt;75,W1525&gt;=35,W1525&lt;75),0.23,0)+IF(AND(V1525&gt;=40,V1525&lt;75,W1525&gt;=75,W1525&lt;120),0.17,0)+IF(AND(V1525&gt;=40,V1525&lt;75,W1525&gt;=120),0.12,0)+IF(AND(V1525&gt;=75,V1525&lt;175,W1525&lt;35),0.3,0)+IF(AND(V1525&gt;=75,V1525&lt;=175,W1525&gt;=35,W1525&lt;65),0.23,0)+IF(AND(V1525&gt;=75,V1525&lt;=175,W1525&gt;=65,W1525&lt;110),0.17,0)+IF(AND(V1525&gt;=75,V1525&lt;=175,W1525&gt;=110),0.12,0)+IF(AND(V1525&gt;175,W1525&lt;25),0.3,0)+IF(AND(V1525&gt;175,W1525&gt;=25,W1525&lt;55),0.23,0)+IF(AND(V1525&gt;175,W1525&gt;=55,W1525&lt;95),0.17,0)+IF(AND(V1525&gt;175,W1525&gt;=95),0.12,0),
IF(AF1525="DoEVLo",IF(AND(V1525&lt;20,W1525&lt;55),0.25,0)+IF(AND(V1525&lt;20,W1525&gt;=55,W1525&lt;105),0.2,0)+IF(AND(V1525&lt;20,W1525&gt;=105),0.15,0)+IF(AND(V1525&gt;=20,V1525&lt;40,W1525&lt;45),0.25,0)+IF(AND(V1525&gt;=20,V1525&lt;40,W1525&gt;=45,W1525&lt;95),0.2,0)+IF(AND(V1525&gt;=20,V1525&lt;40,W1525&gt;=95),0.15,0)+IF(AND(V1525&gt;=40,V1525&lt;75,W1525&lt;35),0.25,0)+IF(AND(V1525&gt;=40,V1525&lt;75,W1525&gt;=35,W1525&lt;75),0.2,0)+IF(AND(V1525&gt;=40,V1525&lt;75,W1525&gt;=75,W1525&lt;120),0.15,0)+IF(AND(V1525&gt;=40,V1525&lt;75,W1525&gt;=120),0.1,0)+IF(AND(V1525&gt;=75,V1525&lt;175,W1525&lt;35),0.25,0)+IF(AND(V1525&gt;=75,V1525&lt;=175,W1525&gt;=35,W1525&lt;65),0.2,0)+IF(AND(V1525&gt;=75,V1525&lt;=175,W1525&gt;=65,W1525&lt;110),0.15,0)+IF(AND(V1525&gt;=75,V1525&lt;=175,W1525&gt;=110),0.1,0)+IF(AND(V1525&gt;175,W1525&lt;25),0.25,0)+IF(AND(V1525&gt;175,W1525&gt;=25,W1525&lt;55),0.2,0)+IF(AND(V1525&gt;175,W1525&gt;=55,W1525&lt;95),0.15,0)+IF(AND(V1525&gt;175,W1525&gt;=95),0.1,0))))))))))))))))))))</f>
        <v>0.17</v>
      </c>
      <c r="Y1525" s="30">
        <f>IF(AG1525="None",0,IF(AG1525="Fix5",0.05, IF(AG1525="Fix6.25",0.0625,IF(AG1525="Fix3.75",0.0375, IF(AG1525="Fix11",0.11, IF(AG1525="Fix10",0.1,IF(AG1525="Fix3",0.03,0)))))))</f>
        <v>0</v>
      </c>
      <c r="Z1525" s="59">
        <f>IF(AND(AD1525="EUR", AE1525 = "USD"), T1525*U1525-AA1525-AB1525, T1525-AA1525-AB1525)</f>
        <v>-394.25</v>
      </c>
      <c r="AA1525" s="60">
        <f>IF(AND(AD1525="EUR", F1525="Without EV deal", AE1525="USD"), (T1525*X1525)*U1525,
IF(AND(AD1525="EUR", F1525="Without EV deal", AE1525="EUR"), (T1525*X1525),
IF(AND(AD1525="EUR",AE1525="USD"), (T1525*X1525)*U1525,
T1525*X1525)))</f>
        <v>-80.75</v>
      </c>
      <c r="AB1525" s="36">
        <f>IF(AND(AD1525="EUR", F1525="Without EV deal", AE1525="USD"), (T1525*Y1525)*U1525,
IF(AND(AD1525="EUR", F1525="Without EV deal", AE1525="EUR"), (T1525*Y1525),
IF(AND(AD1525="EUR",AE1525="USD"), (T1525*Y1525)*U1525,
T1525*Y1525)))</f>
        <v>0</v>
      </c>
      <c r="AC1525" s="37" t="b">
        <v>1</v>
      </c>
      <c r="AD1525" s="37" t="str">
        <f>IF(OR(H1525="€0.25 Flash",
H1525="€0.25(nitro) new",
H1525="€1",
H1525="€2",
H1525="€2 (bf 01.08)",
H1525="€5",
H1525="€5 (1M)",
H1525="€5 (bf 01.08)",
H1525="€5 (bf 05.05)",
H1525="€5 Nitro",
H1525="€5(wx) new",
H1525="€10",
H1525="€10 (1M)",
H1525="€10 (bf 01.08)",
H1525="€10 (bf 05.05)",
H1525="€10 (MP)",
H1525="€10 (old)",
H1525="€10 Nitro (bf 05.05)",
H1525="€10 Nitro (old)",
H1525="€10(wx) new",
H1525="€20",
H1525="€25",
H1525="€25 (bf 01.08)",
H1525="€25 (bf 05.05)",
H1525="€25 (MP)",
H1525="€25 (old)",
H1525="€25 Nitro",
H1525="€25 Nitro (bf 01.08)",
H1525="€25 Nitro (bf 05.05)",
H1525="€25(nitro) new",
H1525="€25(wx) new",
H1525="€50",
H1525="€50 (bf 01.08)",
H1525="€50 (bf 05.05)",
H1525="€50 (old)",
H1525="€50 Nitro",
H1525="€50 Nitro (bf 01.08)",
H1525="€50 Nitro (bf 05.05)",
H1525="€50(wx) new",
H1525="€100",
H1525="€100 (old)",
H1525="€100 Nitro",
H1525="€100 Nitro (old)",
H1525="€200",
H1525="€250",
H1525="€250 Nitro",
H1525="€500",
H1525="€500 Nitro"),"EUR", "USD")</f>
        <v>EUR</v>
      </c>
      <c r="AE1525" s="37" t="s">
        <v>50</v>
      </c>
      <c r="AF1525" s="37" t="str">
        <f t="array" ref="AF1525">INDEX('Deal Info'!D:D, MATCH(A1525,'Deal Info'!A:A, 0))</f>
        <v>DoEV</v>
      </c>
      <c r="AG1525" s="38" t="str">
        <f t="array" ref="AG1525">INDEX('Deal Info'!G:G, MATCH(A1525,'Deal Info'!A:A, 0))</f>
        <v>None</v>
      </c>
    </row>
    <row r="1526" spans="1:33" ht="14.25" x14ac:dyDescent="0.2">
      <c r="A1526" s="18" t="str">
        <f t="array" ref="A1526">IF(G1526='Room Info'!$B$1, INDEX('Room Info'!$A$2:$A2446, MATCH(B1526,'Room Info'!$B$2:$B2446, 0)),IF(G1526='Room Info'!$C$1, INDEX('Room Info'!$A$2:$A2446, MATCH(B1526,'Room Info'!$C$2:$C2446, 0)),IF(G1526='Room Info'!$D$1, INDEX('Room Info'!$A$2:$A2446, MATCH(B1526,'Room Info'!$D$2:$D2446, 0)),IF(G1526='Room Info'!$E$1, INDEX('Room Info'!$A$2:$A2446, MATCH(B1526,'Room Info'!$E$2:$E2446, 0)),IF(G1526='Room Info'!$F$1, INDEX('Room Info'!$A$2:$A2446, MATCH(B1526,'Room Info'!$F$2:$F2446, 0)),IF(G1526='Room Info'!$H$1, INDEX('Room Info'!$A$2:$A2446, MATCH(B1526,'Room Info'!$H$2:$H2446, 0)),IF(G1526='Room Info'!$G$1, INDEX('Room Info'!$A$2:$A2446, MATCH(B1526,'Room Info'!$G$2:$G2446, 0)))))))))</f>
        <v>fortunate773</v>
      </c>
      <c r="B1526" s="45" t="s">
        <v>95</v>
      </c>
      <c r="C1526" s="46">
        <v>44958</v>
      </c>
      <c r="D1526" s="46">
        <v>44985</v>
      </c>
      <c r="E1526" s="90">
        <v>44958</v>
      </c>
      <c r="F1526" s="129" t="s">
        <v>49</v>
      </c>
      <c r="G1526" s="129" t="s">
        <v>61</v>
      </c>
      <c r="H1526" s="81" t="s">
        <v>59</v>
      </c>
      <c r="I1526" s="49" t="s">
        <v>101</v>
      </c>
      <c r="J1526" s="154">
        <v>100</v>
      </c>
      <c r="K1526" s="51">
        <v>241</v>
      </c>
      <c r="L1526" s="52">
        <v>-100</v>
      </c>
      <c r="M1526" s="53">
        <f>15325-350</f>
        <v>14975</v>
      </c>
      <c r="N1526" s="28">
        <f>K1526*J1526</f>
        <v>24100</v>
      </c>
      <c r="O1526" s="54">
        <v>13637</v>
      </c>
      <c r="P1526" s="29">
        <v>56.585062239999999</v>
      </c>
      <c r="Q1526" s="55"/>
      <c r="R1526" s="31">
        <f>M1526+Q1526*J1526*K1526*0.07</f>
        <v>14975</v>
      </c>
      <c r="S1526" s="56">
        <f>522</f>
        <v>522</v>
      </c>
      <c r="T1526" s="32">
        <f>IF(AND(AD1526="EUR", F1526="Without EV deal"), R1526 + L1526,
IF(AND(AD1526="USD", F1526="Without EV deal"), R1526 + L1526,
IF(AND(AD1526="EUR", F1526="Steel Phoenix"), R1526 + S1526/U1526,
R1526 + S1526)))</f>
        <v>15497</v>
      </c>
      <c r="U1526" s="57">
        <v>1.0620000000000001</v>
      </c>
      <c r="V1526" s="58"/>
      <c r="W1526" s="58"/>
      <c r="X1526" s="30">
        <f>IF(AF1526="DoEV",IF(AND(V1526&lt;20,W1526&lt;55),0.3,0)+IF(AND(V1526&lt;20,W1526&gt;=55,W1526&lt;105),0.23,0)+IF(AND(V1526&lt;20,W1526&gt;=105),0.17,0)+IF(AND(V1526&gt;=20,V1526&lt;40,W1526&lt;45),0.3,0)+IF(AND(V1526&gt;=20,V1526&lt;40,W1526&gt;=45,W1526&lt;95),0.23,0)+IF(AND(V1526&gt;=20,V1526&lt;40,W1526&gt;=95),0.17,0)+IF(AND(V1526&gt;=40,V1526&lt;75,W1526&lt;35),0.3,0)+IF(AND(V1526&gt;=40,V1526&lt;75,W1526&gt;=35,W1526&lt;75),0.23,0)+IF(AND(V1526&gt;=40,V1526&lt;75,W1526&gt;=75,W1526&lt;120),0.17,0)+IF(AND(V1526&gt;=40,V1526&lt;75,W1526&gt;=120),0.12,0)+IF(AND(V1526&gt;=75,V1526&lt;175,W1526&lt;35),0.3,0)+IF(AND(V1526&gt;=75,V1526&lt;=175,W1526&gt;=35,W1526&lt;65),0.23,0)+IF(AND(V1526&gt;=75,V1526&lt;=175,W1526&gt;=65,W1526&lt;110),0.17,0)+IF(AND(V1526&gt;=75,V1526&lt;=175,W1526&gt;=110),0.12,0)+IF(AND(V1526&gt;175,W1526&lt;25),0.3,0)+IF(AND(V1526&gt;175,W1526&gt;=25,W1526&lt;55),0.23,0)+IF(AND(V1526&gt;175,W1526&gt;=55,W1526&lt;95),0.17,0)+IF(AND(V1526&gt;175,W1526&gt;=95),0.12,0),
IF(AF1526="Fix15",0.15,
IF(AF1526="Fix5",0.05,
IF(AF1526="Fix18.75",0.1875,
IF(AF1526="Fix11.25",0.1125,
IF(AF1526="Fix10",0.1,
IF(AF1526="Fix9",0.09,
IF(AF1526="Fix12",0.12,
IF(AF1526="Fix19",0.19,
IF(AF1526="DoEV2017",IF(AND(W1526&lt;74),0.2,0)+IF(AND(W1526&gt;=74),0.17,0),
IF(AF1526="SF",IF(AND(V1526&lt;20,W1526&lt;89),0.3,0)+IF(AND(V1526&lt;20,W1526&gt;=89),0.25,0)+IF(AND(V1526&gt;=20,V1526&lt;40,W1526&lt;74),0.3,0)+IF(AND(V1526&gt;=20,V1526&lt;40,W1526&gt;=75),0.22,0)+IF(AND(V1526&gt;=40,V1526&lt;75,W1526&lt;75),0.26,0)+IF(AND(V1526&gt;=40,V1526&lt;75,W1526&gt;=75),0.22,0)+IF(V1526&gt;=75,0.22,0),
IF(AF1526="DoEVold",IF(AND(V1526&lt;40,W1526&lt;35),0.35,0)+IF(AND(V1526&lt;40,W1526&gt;=35,W1526&lt;75),0.25,0)+IF(AND(V1526&lt;40,W1526&gt;=75),0.17,0)+IF(AND(V1526&gt;=40,V1526&lt;75,W1526&lt;25),0.35,0)+IF(AND(V1526&gt;=40,V1526&lt;75,W1526&gt;=25,W1526&lt;65),0.25,0)+IF(AND(V1526&gt;=40,V1526&lt;75,W1526&gt;=65,W1526&lt;100),0.17,0)+IF(AND(V1526&gt;=40,V1526&lt;75,W1526&gt;=100),0.1,0)+IF(AND(V1526&gt;=75,W1526&lt;25),0.35,0)+IF(AND(V1526&gt;=75,W1526&gt;=25,W1526&lt;60),0.25,0)+IF(AND(V1526&gt;=75,W1526&gt;=60,W1526&lt;95),0.17,0)+IF(AND(V1526&gt;=75,W1526&gt;=95),0.1,0),
IF(AF1526="DoEVold15",IF(AND(V1526&lt;=40,W1526&lt;35),0.35,0)+IF(AND(V1526&lt;=40,W1526&gt;=35,W1526&lt;75),0.25,0)+IF(AND(V1526&lt;=40,W1526&gt;=75,W1526&lt;120),0.17,0)+IF(AND(V1526&lt;=40,W1526&gt;=120),0.15,0)+IF(AND(V1526&gt;40,V1526&lt;75,W1526&lt;25),0.35,0)+IF(AND(V1526&gt;=40,V1526&lt;75,W1526&gt;=25,W1526&lt;65),0.25,0)+IF(AND(V1526&gt;=40,V1526&lt;75,W1526&gt;=65,W1526&lt;100),0.17,0)+IF(AND(V1526&gt;=40,V1526&lt;75,W1526&gt;=100),0.1,0)+IF(AND(V1526&gt;=75,W1526&lt;25),0.35,0)+IF(AND(V1526&gt;=75,W1526&gt;=25,W1526&lt;60),0.25,0)+IF(AND(V1526&gt;=75,W1526&gt;=60,W1526&lt;95),0.17,0)+IF(AND(V1526&gt;=75,W1526&gt;=95),0.1,0),
IF(AF1526="DoEVba",IF(AND(V1526&lt;20,W1526&lt;105),0.2,0)+IF(AND(V1526&lt;20,W1526&gt;=105),0.15,0)+IF(AND(V1526&gt;=20,V1526&lt;40,W1526&lt;95),0.2,0)+IF(AND(V1526&gt;=20,V1526&lt;40,W1526&gt;=95,W1526&lt;150),0.15,0)+IF(AND(V1526&gt;=20,V1526&lt;40,W1526&gt;=150),0.12,0)+IF(AND(V1526&gt;=40,V1526&lt;75,W1526&lt;75),0.2,0)+IF(AND(V1526&gt;=40,V1526&lt;75,W1526&gt;=75,W1526&lt;120),0.15,0)+IF(AND(V1526&gt;=40,V1526&lt;75,W1526&gt;=120),0.12,0)+IF(AND(V1526&gt;=75,V1526&lt;175,W1526&lt;65),0.2,0)+IF(AND(V1526&gt;=75,V1526&lt;175,W1526&gt;=65,W1526&lt;110),0.15,0)+IF(AND(V1526&gt;=75,V1526&lt;175,W1526&gt;=110),0.12,0)+IF(AND(V1526&gt;=175,W1526&lt;55),0.2,0)+IF(AND(V1526&gt;=175,W1526&gt;=55,W1526&lt;95),0.15,0)+IF(AND(V1526&gt;=175,W1526&gt;=95),0.12,0),
IF(AF1526="DoEVku",IF(AND(V1526&lt;20,W1526&lt;55),0.23,0)+IF(AND(V1526&lt;20,W1526&gt;=55,W1526&lt;105),0.2,0)+IF(AND(V1526&lt;20,W1526&gt;=105),0.17,0)+IF(AND(V1526&gt;=20,V1526&lt;40,W1526&lt;45),0.23,0)+IF(AND(V1526&gt;=20,V1526&lt;40,W1526&gt;=45,W1526&lt;95),0.2,0)+IF(AND(V1526&gt;=20,V1526&lt;40,W1526&gt;=95,W1526&lt;=150),0.17,0)+IF(AND(V1526&gt;=20,V1526&lt;40,W1526&gt;=150),0.12,0)+IF(AND(V1526&gt;=40,V1526&lt;75,W1526&lt;35),0.23,0)+IF(AND(V1526&gt;=40,V1526&lt;75,W1526&gt;=35,W1526&lt;75),0.2,0)+IF(AND(V1526&gt;=40,V1526&lt;75,W1526&gt;=75,W1526&lt;120),0.17,0)+IF(AND(V1526&gt;=40,V1526&lt;75,W1526&gt;=120),0.12,0)+IF(AND(V1526&gt;=75,V1526&lt;175,W1526&lt;35),0.23,0)+IF(AND(V1526&gt;=75,V1526&lt;=175,W1526&gt;=35,W1526&lt;65),0.2,0)+IF(AND(V1526&gt;=75,V1526&lt;=175,W1526&gt;=65,W1526&lt;110),0.17,0)+IF(AND(V1526&gt;=75,V1526&lt;=175,W1526&gt;=110),0.12,0)+IF(AND(V1526&gt;175,W1526&lt;25),0.23,0)+IF(AND(V1526&gt;175,W1526&gt;=25,W1526&lt;55),0.2,0)+IF(AND(V1526&gt;175,W1526&gt;=55,W1526&lt;95),0.17,0)+IF(AND(V1526&gt;175,W1526&gt;=95),0.12,0),
IF(AF1526="DoEVs1",IF(AND(V1526&lt;20,W1526&lt;55),0.3,0)+IF(AND(V1526&lt;20,W1526&gt;=55,W1526&lt;105),0.23,0)+IF(AND(V1526&lt;20,W1526&gt;=105),0.17,0)+IF(AND(V1526&gt;=20,V1526&lt;40,W1526&lt;45),0.3,0)+IF(AND(V1526&gt;=20,V1526&lt;40,W1526&gt;=45,W1526&lt;95),0.23,0)+IF(AND(V1526&gt;=20,V1526&lt;40,W1526&gt;=95,W1526&lt;=150),0.17,0)+IF(AND(V1526&gt;=20,V1526&lt;40,W1526&gt;=150),0.12,0)+IF(AND(V1526&gt;=40,V1526&lt;75,W1526&lt;35),0.3,0)+IF(AND(V1526&gt;=40,V1526&lt;75,W1526&gt;=35,W1526&lt;75),0.23,0)+IF(AND(V1526&gt;=40,V1526&lt;75,W1526&gt;=75,W1526&lt;120),0.17,0)+IF(AND(V1526&gt;=40,V1526&lt;75,W1526&gt;=120),0.12,0)+IF(AND(V1526&gt;=75,V1526&lt;175,W1526&lt;35),0.3,0)+IF(AND(V1526&gt;=75,V1526&lt;=175,W1526&gt;=35,W1526&lt;65),0.23,0)+IF(AND(V1526&gt;=75,V1526&lt;=175,W1526&gt;=65,W1526&lt;110),0.17,0)+IF(AND(V1526&gt;=75,V1526&lt;=175,W1526&gt;=110),0.12,0)+IF(AND(V1526&gt;175,W1526&lt;25),0.3,0)+IF(AND(V1526&gt;175,W1526&gt;=25,W1526&lt;55),0.23,0)+IF(AND(V1526&gt;175,W1526&gt;=55,W1526&lt;95),0.17,0)+IF(AND(V1526&gt;175,W1526&gt;=95),0.12,0),
IF(AF1526="DoEVsu",IF(AND(V1526&lt;20,W1526&lt;55),0.3,0)+IF(AND(V1526&lt;20,W1526&gt;=55,W1526&lt;105),0.23,0)+IF(AND(V1526&lt;20,W1526&gt;=105),0.17,0)+IF(AND(V1526&gt;=20,V1526&lt;40,W1526&lt;45),0.3,0)+IF(AND(V1526&gt;=20,V1526&lt;40,W1526&gt;=45,W1526&lt;95),0.23,0)+IF(AND(V1526&gt;=20,V1526&lt;40,W1526&gt;=95,W1526&lt;=250),0.17,0)+IF(AND(V1526&gt;=20,V1526&lt;40,W1526&gt;=250),0.12,0)+IF(AND(V1526&gt;=40,V1526&lt;75,W1526&lt;35),0.3,0)+IF(AND(V1526&gt;=40,V1526&lt;75,W1526&gt;=35,W1526&lt;75),0.23,0)+IF(AND(V1526&gt;=40,V1526&lt;75,W1526&gt;=75,W1526&lt;120),0.17,0)+IF(AND(V1526&gt;=40,V1526&lt;75,W1526&gt;=120),0.12,0)+IF(AND(V1526&gt;=75,V1526&lt;175,W1526&lt;35),0.3,0)+IF(AND(V1526&gt;=75,V1526&lt;=175,W1526&gt;=35,W1526&lt;65),0.23,0)+IF(AND(V1526&gt;=75,V1526&lt;=175,W1526&gt;=65,W1526&lt;110),0.17,0)+IF(AND(V1526&gt;=75,V1526&lt;=175,W1526&gt;=110),0.12,0)+IF(AND(V1526&gt;175,W1526&lt;25),0.3,0)+IF(AND(V1526&gt;175,W1526&gt;=25,W1526&lt;55),0.23,0)+IF(AND(V1526&gt;175,W1526&gt;=55,W1526&lt;95),0.17,0)+IF(AND(V1526&gt;175,W1526&gt;=95),0.12,0),
IF(AF1526="DoEVni",IF(AND(V1526&lt;20,W1526&lt;55),0.3,0)+IF(AND(V1526&lt;20,W1526&gt;=55,W1526&lt;105),0.23,0)+IF(AND(V1526&lt;20,W1526&gt;=105),0.17,0)+IF(AND(V1526&gt;=20,V1526&lt;40,W1526&lt;45),0.3,0)+IF(AND(V1526&gt;=20,V1526&lt;40,W1526&gt;=45,W1526&lt;95),0.23,0)+IF(AND(V1526&gt;=20,V1526&lt;40,W1526&gt;=95,W1526&lt;=200),0.17,0)+IF(AND(V1526&gt;=20,V1526&lt;40,W1526&gt;=200),0.12,0)+IF(AND(V1526&gt;=40,V1526&lt;75,W1526&lt;35),0.3,0)+IF(AND(V1526&gt;=40,V1526&lt;75,W1526&gt;=35,W1526&lt;75),0.23,0)+IF(AND(V1526&gt;=40,V1526&lt;75,W1526&gt;=75,W1526&lt;120),0.17,0)+IF(AND(V1526&gt;=40,V1526&lt;75,W1526&gt;=120),0.12,0)+IF(AND(V1526&gt;=75,V1526&lt;175,W1526&lt;35),0.3,0)+IF(AND(V1526&gt;=75,V1526&lt;=175,W1526&gt;=35,W1526&lt;65),0.23,0)+IF(AND(V1526&gt;=75,V1526&lt;=175,W1526&gt;=65,W1526&lt;110),0.17,0)+IF(AND(V1526&gt;=75,V1526&lt;=175,W1526&gt;=110),0.12,0)+IF(AND(V1526&gt;175,W1526&lt;25),0.3,0)+IF(AND(V1526&gt;175,W1526&gt;=25,W1526&lt;55),0.23,0)+IF(AND(V1526&gt;175,W1526&gt;=55,W1526&lt;95),0.17,0)+IF(AND(V1526&gt;175,W1526&gt;=95),0.12,0),
IF(AF1526="DoEVLo",IF(AND(V1526&lt;20,W1526&lt;55),0.25,0)+IF(AND(V1526&lt;20,W1526&gt;=55,W1526&lt;105),0.2,0)+IF(AND(V1526&lt;20,W1526&gt;=105),0.15,0)+IF(AND(V1526&gt;=20,V1526&lt;40,W1526&lt;45),0.25,0)+IF(AND(V1526&gt;=20,V1526&lt;40,W1526&gt;=45,W1526&lt;95),0.2,0)+IF(AND(V1526&gt;=20,V1526&lt;40,W1526&gt;=95),0.15,0)+IF(AND(V1526&gt;=40,V1526&lt;75,W1526&lt;35),0.25,0)+IF(AND(V1526&gt;=40,V1526&lt;75,W1526&gt;=35,W1526&lt;75),0.2,0)+IF(AND(V1526&gt;=40,V1526&lt;75,W1526&gt;=75,W1526&lt;120),0.15,0)+IF(AND(V1526&gt;=40,V1526&lt;75,W1526&gt;=120),0.1,0)+IF(AND(V1526&gt;=75,V1526&lt;175,W1526&lt;35),0.25,0)+IF(AND(V1526&gt;=75,V1526&lt;=175,W1526&gt;=35,W1526&lt;65),0.2,0)+IF(AND(V1526&gt;=75,V1526&lt;=175,W1526&gt;=65,W1526&lt;110),0.15,0)+IF(AND(V1526&gt;=75,V1526&lt;=175,W1526&gt;=110),0.1,0)+IF(AND(V1526&gt;175,W1526&lt;25),0.25,0)+IF(AND(V1526&gt;175,W1526&gt;=25,W1526&lt;55),0.2,0)+IF(AND(V1526&gt;175,W1526&gt;=55,W1526&lt;95),0.15,0)+IF(AND(V1526&gt;175,W1526&gt;=95),0.1,0))))))))))))))))))))</f>
        <v>0.15</v>
      </c>
      <c r="Y1526" s="30">
        <f>IF(AG1526="None",0,IF(AG1526="Fix5",0.05, IF(AG1526="Fix6.25",0.0625,IF(AG1526="Fix3.75",0.0375, IF(AG1526="Fix11",0.11, IF(AG1526="Fix10",0.1,IF(AG1526="Fix3",0.03,0)))))))</f>
        <v>0.05</v>
      </c>
      <c r="Z1526" s="59">
        <f>IF(AND(AD1526="EUR", AE1526 = "USD"), T1526*U1526-AA1526-AB1526, T1526-AA1526-AB1526)</f>
        <v>12397.6</v>
      </c>
      <c r="AA1526" s="60">
        <f>IF(AND(AD1526="EUR", F1526="Without EV deal", AE1526="USD"), (T1526*X1526)*U1526,
IF(AND(AD1526="EUR", F1526="Without EV deal", AE1526="EUR"), (T1526*X1526),
IF(AND(AD1526="EUR",AE1526="USD"), (T1526*X1526)*U1526,
T1526*X1526)))</f>
        <v>2324.5499999999997</v>
      </c>
      <c r="AB1526" s="36">
        <f>IF(AND(AD1526="EUR", F1526="Without EV deal", AE1526="USD"), (T1526*Y1526)*U1526,
IF(AND(AD1526="EUR", F1526="Without EV deal", AE1526="EUR"), (T1526*Y1526),
IF(AND(AD1526="EUR",AE1526="USD"), (T1526*Y1526)*U1526,
T1526*Y1526)))</f>
        <v>774.85</v>
      </c>
      <c r="AC1526" s="37" t="b">
        <v>0</v>
      </c>
      <c r="AD1526" s="37" t="str">
        <f>IF(OR(H1526="€0.25 Flash",
H1526="€0.25(nitro) new",
H1526="€1",
H1526="€2",
H1526="€2 (bf 01.08)",
H1526="€5",
H1526="€5 (1M)",
H1526="€5 (bf 01.08)",
H1526="€5 (bf 05.05)",
H1526="€5 Nitro",
H1526="€5(wx) new",
H1526="€10",
H1526="€10 (1M)",
H1526="€10 (bf 01.08)",
H1526="€10 (bf 05.05)",
H1526="€10 (MP)",
H1526="€10 (old)",
H1526="€10 Nitro (bf 05.05)",
H1526="€10 Nitro (old)",
H1526="€10(wx) new",
H1526="€20",
H1526="€25",
H1526="€25 (bf 01.08)",
H1526="€25 (bf 05.05)",
H1526="€25 (MP)",
H1526="€25 (old)",
H1526="€25 Nitro",
H1526="€25 Nitro (bf 01.08)",
H1526="€25 Nitro (bf 05.05)",
H1526="€25(nitro) new",
H1526="€25(wx) new",
H1526="€50",
H1526="€50 (bf 01.08)",
H1526="€50 (bf 05.05)",
H1526="€50 (old)",
H1526="€50 Nitro",
H1526="€50 Nitro (bf 01.08)",
H1526="€50 Nitro (bf 05.05)",
H1526="€50(wx) new",
H1526="€100",
H1526="€100 (old)",
H1526="€100 Nitro",
H1526="€100 Nitro (old)",
H1526="€200",
H1526="€250",
H1526="€250 Nitro",
H1526="€500",
H1526="€500 Nitro"),"EUR", "USD")</f>
        <v>EUR</v>
      </c>
      <c r="AE1526" s="37" t="s">
        <v>50</v>
      </c>
      <c r="AF1526" s="37" t="str">
        <f t="array" ref="AF1526">INDEX('Deal Info'!D:D, MATCH(A1526,'Deal Info'!A:A, 0))</f>
        <v>Fix15</v>
      </c>
      <c r="AG1526" s="38" t="str">
        <f t="array" ref="AG1526">INDEX('Deal Info'!G:G, MATCH(A1526,'Deal Info'!A:A, 0))</f>
        <v>Fix5</v>
      </c>
    </row>
    <row r="1527" spans="1:33" ht="14.25" hidden="1" x14ac:dyDescent="0.2">
      <c r="A1527" s="18" t="str">
        <f t="array" ref="A1527">IF(G1527='Room Info'!$B$1, INDEX('Room Info'!$A$2:$A2446, MATCH(B1527,'Room Info'!$B$2:$B2446, 0)),IF(G1527='Room Info'!$C$1, INDEX('Room Info'!$A$2:$A2446, MATCH(B1527,'Room Info'!$C$2:$C2446, 0)),IF(G1527='Room Info'!$D$1, INDEX('Room Info'!$A$2:$A2446, MATCH(B1527,'Room Info'!$D$2:$D2446, 0)),IF(G1527='Room Info'!$E$1, INDEX('Room Info'!$A$2:$A2446, MATCH(B1527,'Room Info'!$E$2:$E2446, 0)),IF(G1527='Room Info'!$F$1, INDEX('Room Info'!$A$2:$A2446, MATCH(B1527,'Room Info'!$F$2:$F2446, 0)),IF(G1527='Room Info'!$H$1, INDEX('Room Info'!$A$2:$A2446, MATCH(B1527,'Room Info'!$H$2:$H2446, 0)),IF(G1527='Room Info'!$G$1, INDEX('Room Info'!$A$2:$A2446, MATCH(B1527,'Room Info'!$G$2:$G2446, 0)))))))))</f>
        <v>OneTaper</v>
      </c>
      <c r="B1527" s="96" t="s">
        <v>189</v>
      </c>
      <c r="C1527" s="46">
        <v>44960</v>
      </c>
      <c r="D1527" s="46">
        <v>44985</v>
      </c>
      <c r="E1527" s="80">
        <v>44958</v>
      </c>
      <c r="F1527" s="45" t="s">
        <v>49</v>
      </c>
      <c r="G1527" s="125" t="s">
        <v>80</v>
      </c>
      <c r="H1527" s="49" t="s">
        <v>72</v>
      </c>
      <c r="I1527" s="49" t="s">
        <v>81</v>
      </c>
      <c r="J1527" s="39">
        <v>50</v>
      </c>
      <c r="K1527" s="51">
        <v>5864</v>
      </c>
      <c r="L1527" s="52">
        <v>-11750</v>
      </c>
      <c r="M1527" s="62">
        <f>14051.99+2100</f>
        <v>16151.99</v>
      </c>
      <c r="N1527" s="28">
        <f>K1527*J1527</f>
        <v>293200</v>
      </c>
      <c r="O1527" s="54">
        <v>46077</v>
      </c>
      <c r="P1527" s="29">
        <v>7.8576057300000004</v>
      </c>
      <c r="Q1527" s="55"/>
      <c r="R1527" s="31">
        <f>M1527+Q1527*J1527*K1527*0.07</f>
        <v>16151.99</v>
      </c>
      <c r="S1527" s="56">
        <v>-12827</v>
      </c>
      <c r="T1527" s="32">
        <f>IF(AND(AD1527="EUR", F1527="Without EV deal"), R1527 + L1527,
IF(AND(AD1527="USD", F1527="Without EV deal"), R1527 + L1527,
IF(AND(AD1527="EUR", F1527="Steel Phoenix"), R1527 + S1527/U1527,
R1527 + S1527)))</f>
        <v>3324.99</v>
      </c>
      <c r="U1527" s="57"/>
      <c r="V1527" s="58">
        <v>50</v>
      </c>
      <c r="W1527" s="58">
        <v>24.4998</v>
      </c>
      <c r="X1527" s="30">
        <f>IF(AF1527="DoEV",IF(AND(V1527&lt;20,W1527&lt;55),0.3,0)+IF(AND(V1527&lt;20,W1527&gt;=55,W1527&lt;105),0.23,0)+IF(AND(V1527&lt;20,W1527&gt;=105),0.17,0)+IF(AND(V1527&gt;=20,V1527&lt;40,W1527&lt;45),0.3,0)+IF(AND(V1527&gt;=20,V1527&lt;40,W1527&gt;=45,W1527&lt;95),0.23,0)+IF(AND(V1527&gt;=20,V1527&lt;40,W1527&gt;=95),0.17,0)+IF(AND(V1527&gt;=40,V1527&lt;75,W1527&lt;35),0.3,0)+IF(AND(V1527&gt;=40,V1527&lt;75,W1527&gt;=35,W1527&lt;75),0.23,0)+IF(AND(V1527&gt;=40,V1527&lt;75,W1527&gt;=75,W1527&lt;120),0.17,0)+IF(AND(V1527&gt;=40,V1527&lt;75,W1527&gt;=120),0.12,0)+IF(AND(V1527&gt;=75,V1527&lt;175,W1527&lt;35),0.3,0)+IF(AND(V1527&gt;=75,V1527&lt;=175,W1527&gt;=35,W1527&lt;65),0.23,0)+IF(AND(V1527&gt;=75,V1527&lt;=175,W1527&gt;=65,W1527&lt;110),0.17,0)+IF(AND(V1527&gt;=75,V1527&lt;=175,W1527&gt;=110),0.12,0)+IF(AND(V1527&gt;175,W1527&lt;25),0.3,0)+IF(AND(V1527&gt;175,W1527&gt;=25,W1527&lt;55),0.23,0)+IF(AND(V1527&gt;175,W1527&gt;=55,W1527&lt;95),0.17,0)+IF(AND(V1527&gt;175,W1527&gt;=95),0.12,0),
IF(AF1527="Fix15",0.15,
IF(AF1527="Fix5",0.05,
IF(AF1527="Fix18.75",0.1875,
IF(AF1527="Fix11.25",0.1125,
IF(AF1527="Fix10",0.1,
IF(AF1527="Fix9",0.09,
IF(AF1527="Fix12",0.12,
IF(AF1527="Fix19",0.19,
IF(AF1527="DoEV2017",IF(AND(W1527&lt;74),0.2,0)+IF(AND(W1527&gt;=74),0.17,0),
IF(AF1527="SF",IF(AND(V1527&lt;20,W1527&lt;89),0.3,0)+IF(AND(V1527&lt;20,W1527&gt;=89),0.25,0)+IF(AND(V1527&gt;=20,V1527&lt;40,W1527&lt;74),0.3,0)+IF(AND(V1527&gt;=20,V1527&lt;40,W1527&gt;=75),0.22,0)+IF(AND(V1527&gt;=40,V1527&lt;75,W1527&lt;75),0.26,0)+IF(AND(V1527&gt;=40,V1527&lt;75,W1527&gt;=75),0.22,0)+IF(V1527&gt;=75,0.22,0),
IF(AF1527="DoEVold",IF(AND(V1527&lt;40,W1527&lt;35),0.35,0)+IF(AND(V1527&lt;40,W1527&gt;=35,W1527&lt;75),0.25,0)+IF(AND(V1527&lt;40,W1527&gt;=75),0.17,0)+IF(AND(V1527&gt;=40,V1527&lt;75,W1527&lt;25),0.35,0)+IF(AND(V1527&gt;=40,V1527&lt;75,W1527&gt;=25,W1527&lt;65),0.25,0)+IF(AND(V1527&gt;=40,V1527&lt;75,W1527&gt;=65,W1527&lt;100),0.17,0)+IF(AND(V1527&gt;=40,V1527&lt;75,W1527&gt;=100),0.1,0)+IF(AND(V1527&gt;=75,W1527&lt;25),0.35,0)+IF(AND(V1527&gt;=75,W1527&gt;=25,W1527&lt;60),0.25,0)+IF(AND(V1527&gt;=75,W1527&gt;=60,W1527&lt;95),0.17,0)+IF(AND(V1527&gt;=75,W1527&gt;=95),0.1,0),
IF(AF1527="DoEVold15",IF(AND(V1527&lt;=40,W1527&lt;35),0.35,0)+IF(AND(V1527&lt;=40,W1527&gt;=35,W1527&lt;75),0.25,0)+IF(AND(V1527&lt;=40,W1527&gt;=75,W1527&lt;120),0.17,0)+IF(AND(V1527&lt;=40,W1527&gt;=120),0.15,0)+IF(AND(V1527&gt;40,V1527&lt;75,W1527&lt;25),0.35,0)+IF(AND(V1527&gt;=40,V1527&lt;75,W1527&gt;=25,W1527&lt;65),0.25,0)+IF(AND(V1527&gt;=40,V1527&lt;75,W1527&gt;=65,W1527&lt;100),0.17,0)+IF(AND(V1527&gt;=40,V1527&lt;75,W1527&gt;=100),0.1,0)+IF(AND(V1527&gt;=75,W1527&lt;25),0.35,0)+IF(AND(V1527&gt;=75,W1527&gt;=25,W1527&lt;60),0.25,0)+IF(AND(V1527&gt;=75,W1527&gt;=60,W1527&lt;95),0.17,0)+IF(AND(V1527&gt;=75,W1527&gt;=95),0.1,0),
IF(AF1527="DoEVba",IF(AND(V1527&lt;20,W1527&lt;105),0.2,0)+IF(AND(V1527&lt;20,W1527&gt;=105),0.15,0)+IF(AND(V1527&gt;=20,V1527&lt;40,W1527&lt;95),0.2,0)+IF(AND(V1527&gt;=20,V1527&lt;40,W1527&gt;=95,W1527&lt;150),0.15,0)+IF(AND(V1527&gt;=20,V1527&lt;40,W1527&gt;=150),0.12,0)+IF(AND(V1527&gt;=40,V1527&lt;75,W1527&lt;75),0.2,0)+IF(AND(V1527&gt;=40,V1527&lt;75,W1527&gt;=75,W1527&lt;120),0.15,0)+IF(AND(V1527&gt;=40,V1527&lt;75,W1527&gt;=120),0.12,0)+IF(AND(V1527&gt;=75,V1527&lt;175,W1527&lt;65),0.2,0)+IF(AND(V1527&gt;=75,V1527&lt;175,W1527&gt;=65,W1527&lt;110),0.15,0)+IF(AND(V1527&gt;=75,V1527&lt;175,W1527&gt;=110),0.12,0)+IF(AND(V1527&gt;=175,W1527&lt;55),0.2,0)+IF(AND(V1527&gt;=175,W1527&gt;=55,W1527&lt;95),0.15,0)+IF(AND(V1527&gt;=175,W1527&gt;=95),0.12,0),
IF(AF1527="DoEVku",IF(AND(V1527&lt;20,W1527&lt;55),0.23,0)+IF(AND(V1527&lt;20,W1527&gt;=55,W1527&lt;105),0.2,0)+IF(AND(V1527&lt;20,W1527&gt;=105),0.17,0)+IF(AND(V1527&gt;=20,V1527&lt;40,W1527&lt;45),0.23,0)+IF(AND(V1527&gt;=20,V1527&lt;40,W1527&gt;=45,W1527&lt;95),0.2,0)+IF(AND(V1527&gt;=20,V1527&lt;40,W1527&gt;=95,W1527&lt;=150),0.17,0)+IF(AND(V1527&gt;=20,V1527&lt;40,W1527&gt;=150),0.12,0)+IF(AND(V1527&gt;=40,V1527&lt;75,W1527&lt;35),0.23,0)+IF(AND(V1527&gt;=40,V1527&lt;75,W1527&gt;=35,W1527&lt;75),0.2,0)+IF(AND(V1527&gt;=40,V1527&lt;75,W1527&gt;=75,W1527&lt;120),0.17,0)+IF(AND(V1527&gt;=40,V1527&lt;75,W1527&gt;=120),0.12,0)+IF(AND(V1527&gt;=75,V1527&lt;175,W1527&lt;35),0.23,0)+IF(AND(V1527&gt;=75,V1527&lt;=175,W1527&gt;=35,W1527&lt;65),0.2,0)+IF(AND(V1527&gt;=75,V1527&lt;=175,W1527&gt;=65,W1527&lt;110),0.17,0)+IF(AND(V1527&gt;=75,V1527&lt;=175,W1527&gt;=110),0.12,0)+IF(AND(V1527&gt;175,W1527&lt;25),0.23,0)+IF(AND(V1527&gt;175,W1527&gt;=25,W1527&lt;55),0.2,0)+IF(AND(V1527&gt;175,W1527&gt;=55,W1527&lt;95),0.17,0)+IF(AND(V1527&gt;175,W1527&gt;=95),0.12,0),
IF(AF1527="DoEVs1",IF(AND(V1527&lt;20,W1527&lt;55),0.3,0)+IF(AND(V1527&lt;20,W1527&gt;=55,W1527&lt;105),0.23,0)+IF(AND(V1527&lt;20,W1527&gt;=105),0.17,0)+IF(AND(V1527&gt;=20,V1527&lt;40,W1527&lt;45),0.3,0)+IF(AND(V1527&gt;=20,V1527&lt;40,W1527&gt;=45,W1527&lt;95),0.23,0)+IF(AND(V1527&gt;=20,V1527&lt;40,W1527&gt;=95,W1527&lt;=150),0.17,0)+IF(AND(V1527&gt;=20,V1527&lt;40,W1527&gt;=150),0.12,0)+IF(AND(V1527&gt;=40,V1527&lt;75,W1527&lt;35),0.3,0)+IF(AND(V1527&gt;=40,V1527&lt;75,W1527&gt;=35,W1527&lt;75),0.23,0)+IF(AND(V1527&gt;=40,V1527&lt;75,W1527&gt;=75,W1527&lt;120),0.17,0)+IF(AND(V1527&gt;=40,V1527&lt;75,W1527&gt;=120),0.12,0)+IF(AND(V1527&gt;=75,V1527&lt;175,W1527&lt;35),0.3,0)+IF(AND(V1527&gt;=75,V1527&lt;=175,W1527&gt;=35,W1527&lt;65),0.23,0)+IF(AND(V1527&gt;=75,V1527&lt;=175,W1527&gt;=65,W1527&lt;110),0.17,0)+IF(AND(V1527&gt;=75,V1527&lt;=175,W1527&gt;=110),0.12,0)+IF(AND(V1527&gt;175,W1527&lt;25),0.3,0)+IF(AND(V1527&gt;175,W1527&gt;=25,W1527&lt;55),0.23,0)+IF(AND(V1527&gt;175,W1527&gt;=55,W1527&lt;95),0.17,0)+IF(AND(V1527&gt;175,W1527&gt;=95),0.12,0),
IF(AF1527="DoEVsu",IF(AND(V1527&lt;20,W1527&lt;55),0.3,0)+IF(AND(V1527&lt;20,W1527&gt;=55,W1527&lt;105),0.23,0)+IF(AND(V1527&lt;20,W1527&gt;=105),0.17,0)+IF(AND(V1527&gt;=20,V1527&lt;40,W1527&lt;45),0.3,0)+IF(AND(V1527&gt;=20,V1527&lt;40,W1527&gt;=45,W1527&lt;95),0.23,0)+IF(AND(V1527&gt;=20,V1527&lt;40,W1527&gt;=95,W1527&lt;=250),0.17,0)+IF(AND(V1527&gt;=20,V1527&lt;40,W1527&gt;=250),0.12,0)+IF(AND(V1527&gt;=40,V1527&lt;75,W1527&lt;35),0.3,0)+IF(AND(V1527&gt;=40,V1527&lt;75,W1527&gt;=35,W1527&lt;75),0.23,0)+IF(AND(V1527&gt;=40,V1527&lt;75,W1527&gt;=75,W1527&lt;120),0.17,0)+IF(AND(V1527&gt;=40,V1527&lt;75,W1527&gt;=120),0.12,0)+IF(AND(V1527&gt;=75,V1527&lt;175,W1527&lt;35),0.3,0)+IF(AND(V1527&gt;=75,V1527&lt;=175,W1527&gt;=35,W1527&lt;65),0.23,0)+IF(AND(V1527&gt;=75,V1527&lt;=175,W1527&gt;=65,W1527&lt;110),0.17,0)+IF(AND(V1527&gt;=75,V1527&lt;=175,W1527&gt;=110),0.12,0)+IF(AND(V1527&gt;175,W1527&lt;25),0.3,0)+IF(AND(V1527&gt;175,W1527&gt;=25,W1527&lt;55),0.23,0)+IF(AND(V1527&gt;175,W1527&gt;=55,W1527&lt;95),0.17,0)+IF(AND(V1527&gt;175,W1527&gt;=95),0.12,0),
IF(AF1527="DoEVni",IF(AND(V1527&lt;20,W1527&lt;55),0.3,0)+IF(AND(V1527&lt;20,W1527&gt;=55,W1527&lt;105),0.23,0)+IF(AND(V1527&lt;20,W1527&gt;=105),0.17,0)+IF(AND(V1527&gt;=20,V1527&lt;40,W1527&lt;45),0.3,0)+IF(AND(V1527&gt;=20,V1527&lt;40,W1527&gt;=45,W1527&lt;95),0.23,0)+IF(AND(V1527&gt;=20,V1527&lt;40,W1527&gt;=95,W1527&lt;=200),0.17,0)+IF(AND(V1527&gt;=20,V1527&lt;40,W1527&gt;=200),0.12,0)+IF(AND(V1527&gt;=40,V1527&lt;75,W1527&lt;35),0.3,0)+IF(AND(V1527&gt;=40,V1527&lt;75,W1527&gt;=35,W1527&lt;75),0.23,0)+IF(AND(V1527&gt;=40,V1527&lt;75,W1527&gt;=75,W1527&lt;120),0.17,0)+IF(AND(V1527&gt;=40,V1527&lt;75,W1527&gt;=120),0.12,0)+IF(AND(V1527&gt;=75,V1527&lt;175,W1527&lt;35),0.3,0)+IF(AND(V1527&gt;=75,V1527&lt;=175,W1527&gt;=35,W1527&lt;65),0.23,0)+IF(AND(V1527&gt;=75,V1527&lt;=175,W1527&gt;=65,W1527&lt;110),0.17,0)+IF(AND(V1527&gt;=75,V1527&lt;=175,W1527&gt;=110),0.12,0)+IF(AND(V1527&gt;175,W1527&lt;25),0.3,0)+IF(AND(V1527&gt;175,W1527&gt;=25,W1527&lt;55),0.23,0)+IF(AND(V1527&gt;175,W1527&gt;=55,W1527&lt;95),0.17,0)+IF(AND(V1527&gt;175,W1527&gt;=95),0.12,0),
IF(AF1527="DoEVLo",IF(AND(V1527&lt;20,W1527&lt;55),0.25,0)+IF(AND(V1527&lt;20,W1527&gt;=55,W1527&lt;105),0.2,0)+IF(AND(V1527&lt;20,W1527&gt;=105),0.15,0)+IF(AND(V1527&gt;=20,V1527&lt;40,W1527&lt;45),0.25,0)+IF(AND(V1527&gt;=20,V1527&lt;40,W1527&gt;=45,W1527&lt;95),0.2,0)+IF(AND(V1527&gt;=20,V1527&lt;40,W1527&gt;=95),0.15,0)+IF(AND(V1527&gt;=40,V1527&lt;75,W1527&lt;35),0.25,0)+IF(AND(V1527&gt;=40,V1527&lt;75,W1527&gt;=35,W1527&lt;75),0.2,0)+IF(AND(V1527&gt;=40,V1527&lt;75,W1527&gt;=75,W1527&lt;120),0.15,0)+IF(AND(V1527&gt;=40,V1527&lt;75,W1527&gt;=120),0.1,0)+IF(AND(V1527&gt;=75,V1527&lt;175,W1527&lt;35),0.25,0)+IF(AND(V1527&gt;=75,V1527&lt;=175,W1527&gt;=35,W1527&lt;65),0.2,0)+IF(AND(V1527&gt;=75,V1527&lt;=175,W1527&gt;=65,W1527&lt;110),0.15,0)+IF(AND(V1527&gt;=75,V1527&lt;=175,W1527&gt;=110),0.1,0)+IF(AND(V1527&gt;175,W1527&lt;25),0.25,0)+IF(AND(V1527&gt;175,W1527&gt;=25,W1527&lt;55),0.2,0)+IF(AND(V1527&gt;175,W1527&gt;=55,W1527&lt;95),0.15,0)+IF(AND(V1527&gt;175,W1527&gt;=95),0.1,0))))))))))))))))))))</f>
        <v>0.3</v>
      </c>
      <c r="Y1527" s="30">
        <f>IF(AG1527="None",0,IF(AG1527="Fix5",0.05, IF(AG1527="Fix6.25",0.0625,IF(AG1527="Fix3.75",0.0375, IF(AG1527="Fix11",0.11, IF(AG1527="Fix10",0.1,IF(AG1527="Fix3",0.03,0)))))))</f>
        <v>0</v>
      </c>
      <c r="Z1527" s="35">
        <f>IF(AND(AD1527="EUR", AE1527 = "USD"), T1527*U1527-AA1527-AB1527, T1527-AA1527-AB1527)</f>
        <v>2327.4929999999999</v>
      </c>
      <c r="AA1527" s="29">
        <f>IF(AND(AD1527="EUR", F1527="Without EV deal", AE1527="USD"), (T1527*X1527)*U1527,
IF(AND(AD1527="EUR", F1527="Without EV deal", AE1527="EUR"), (T1527*X1527),
IF(AND(AD1527="EUR",AE1527="USD"), (T1527*X1527)*U1527,
T1527*X1527)))</f>
        <v>997.49699999999984</v>
      </c>
      <c r="AB1527" s="36">
        <f>IF(AND(AD1527="EUR", F1527="Without EV deal", AE1527="USD"), (T1527*Y1527)*U1527,
IF(AND(AD1527="EUR", F1527="Without EV deal", AE1527="EUR"), (T1527*Y1527),
IF(AND(AD1527="EUR",AE1527="USD"), (T1527*Y1527)*U1527,
T1527*Y1527)))</f>
        <v>0</v>
      </c>
      <c r="AC1527" s="37" t="b">
        <v>1</v>
      </c>
      <c r="AD1527" s="82" t="str">
        <f>IF(OR(H1527="€0.25 Flash",
H1527="€0.25(nitro) new",
H1527="€1",
H1527="€2",
H1527="€2 (bf 01.08)",
H1527="€5",
H1527="€5 (1M)",
H1527="€5 (bf 01.08)",
H1527="€5 (bf 05.05)",
H1527="€5 Nitro",
H1527="€5(wx) new",
H1527="€10",
H1527="€10 (1M)",
H1527="€10 (bf 01.08)",
H1527="€10 (bf 05.05)",
H1527="€10 (MP)",
H1527="€10 (old)",
H1527="€10 Nitro (bf 05.05)",
H1527="€10 Nitro (old)",
H1527="€10(wx) new",
H1527="€20",
H1527="€25",
H1527="€25 (bf 01.08)",
H1527="€25 (bf 05.05)",
H1527="€25 (MP)",
H1527="€25 (old)",
H1527="€25 Nitro",
H1527="€25 Nitro (bf 01.08)",
H1527="€25 Nitro (bf 05.05)",
H1527="€25(nitro) new",
H1527="€25(wx) new",
H1527="€50",
H1527="€50 (bf 01.08)",
H1527="€50 (bf 05.05)",
H1527="€50 (old)",
H1527="€50 Nitro",
H1527="€50 Nitro (bf 01.08)",
H1527="€50 Nitro (bf 05.05)",
H1527="€50(wx) new",
H1527="€100",
H1527="€100 (old)",
H1527="€100 Nitro",
H1527="€100 Nitro (old)",
H1527="€200",
H1527="€250",
H1527="€250 Nitro",
H1527="€500",
H1527="€500 Nitro"),"EUR", "USD")</f>
        <v>USD</v>
      </c>
      <c r="AE1527" s="83" t="s">
        <v>38</v>
      </c>
      <c r="AF1527" s="83" t="str">
        <f t="array" ref="AF1527">INDEX('Deal Info'!D:D, MATCH(A1527,'Deal Info'!A:A, 0))</f>
        <v>DoEV</v>
      </c>
      <c r="AG1527" s="84" t="str">
        <f t="array" ref="AG1527">INDEX('Deal Info'!G:G, MATCH(A1527,'Deal Info'!A:A, 0))</f>
        <v>None</v>
      </c>
    </row>
    <row r="1528" spans="1:33" ht="14.25" hidden="1" x14ac:dyDescent="0.2">
      <c r="A1528" s="18" t="str">
        <f t="array" ref="A1528">IF(G1528='Room Info'!$B$1, INDEX('Room Info'!$A$2:$A2446, MATCH(B1528,'Room Info'!$B$2:$B2446, 0)),IF(G1528='Room Info'!$C$1, INDEX('Room Info'!$A$2:$A2446, MATCH(B1528,'Room Info'!$C$2:$C2446, 0)),IF(G1528='Room Info'!$D$1, INDEX('Room Info'!$A$2:$A2446, MATCH(B1528,'Room Info'!$D$2:$D2446, 0)),IF(G1528='Room Info'!$E$1, INDEX('Room Info'!$A$2:$A2446, MATCH(B1528,'Room Info'!$E$2:$E2446, 0)),IF(G1528='Room Info'!$F$1, INDEX('Room Info'!$A$2:$A2446, MATCH(B1528,'Room Info'!$F$2:$F2446, 0)),IF(G1528='Room Info'!$H$1, INDEX('Room Info'!$A$2:$A2446, MATCH(B1528,'Room Info'!$H$2:$H2446, 0)),IF(G1528='Room Info'!$G$1, INDEX('Room Info'!$A$2:$A2446, MATCH(B1528,'Room Info'!$G$2:$G2446, 0)))))))))</f>
        <v>OneTaper</v>
      </c>
      <c r="B1528" s="96" t="s">
        <v>189</v>
      </c>
      <c r="C1528" s="46">
        <v>44958</v>
      </c>
      <c r="D1528" s="46">
        <v>44960</v>
      </c>
      <c r="E1528" s="80">
        <v>44958</v>
      </c>
      <c r="F1528" s="22" t="s">
        <v>41</v>
      </c>
      <c r="G1528" s="125" t="s">
        <v>80</v>
      </c>
      <c r="H1528" s="49" t="s">
        <v>72</v>
      </c>
      <c r="I1528" s="49" t="s">
        <v>81</v>
      </c>
      <c r="J1528" s="39">
        <v>50</v>
      </c>
      <c r="K1528" s="51">
        <v>1059</v>
      </c>
      <c r="L1528" s="52">
        <v>-2100</v>
      </c>
      <c r="M1528" s="62"/>
      <c r="N1528" s="28">
        <f>K1528*J1528</f>
        <v>52950</v>
      </c>
      <c r="O1528" s="54">
        <v>5457</v>
      </c>
      <c r="P1528" s="29">
        <v>5.1529745040000003</v>
      </c>
      <c r="Q1528" s="55"/>
      <c r="R1528" s="31">
        <f>M1528+Q1528*J1528*K1528*0.07</f>
        <v>0</v>
      </c>
      <c r="S1528" s="56"/>
      <c r="T1528" s="32">
        <f>IF(AND(AD1528="EUR", F1528="Without EV deal"), R1528 + L1528,
IF(AND(AD1528="USD", F1528="Without EV deal"), R1528 + L1528,
IF(AND(AD1528="EUR", F1528="Steel Phoenix"), R1528 + S1528/U1528,
R1528 + S1528)))</f>
        <v>-2100</v>
      </c>
      <c r="U1528" s="57"/>
      <c r="V1528" s="58">
        <v>50</v>
      </c>
      <c r="W1528" s="58">
        <v>24.4998</v>
      </c>
      <c r="X1528" s="30">
        <f>IF(AF1528="DoEV",IF(AND(V1528&lt;20,W1528&lt;55),0.3,0)+IF(AND(V1528&lt;20,W1528&gt;=55,W1528&lt;105),0.23,0)+IF(AND(V1528&lt;20,W1528&gt;=105),0.17,0)+IF(AND(V1528&gt;=20,V1528&lt;40,W1528&lt;45),0.3,0)+IF(AND(V1528&gt;=20,V1528&lt;40,W1528&gt;=45,W1528&lt;95),0.23,0)+IF(AND(V1528&gt;=20,V1528&lt;40,W1528&gt;=95),0.17,0)+IF(AND(V1528&gt;=40,V1528&lt;75,W1528&lt;35),0.3,0)+IF(AND(V1528&gt;=40,V1528&lt;75,W1528&gt;=35,W1528&lt;75),0.23,0)+IF(AND(V1528&gt;=40,V1528&lt;75,W1528&gt;=75,W1528&lt;120),0.17,0)+IF(AND(V1528&gt;=40,V1528&lt;75,W1528&gt;=120),0.12,0)+IF(AND(V1528&gt;=75,V1528&lt;175,W1528&lt;35),0.3,0)+IF(AND(V1528&gt;=75,V1528&lt;=175,W1528&gt;=35,W1528&lt;65),0.23,0)+IF(AND(V1528&gt;=75,V1528&lt;=175,W1528&gt;=65,W1528&lt;110),0.17,0)+IF(AND(V1528&gt;=75,V1528&lt;=175,W1528&gt;=110),0.12,0)+IF(AND(V1528&gt;175,W1528&lt;25),0.3,0)+IF(AND(V1528&gt;175,W1528&gt;=25,W1528&lt;55),0.23,0)+IF(AND(V1528&gt;175,W1528&gt;=55,W1528&lt;95),0.17,0)+IF(AND(V1528&gt;175,W1528&gt;=95),0.12,0),
IF(AF1528="Fix15",0.15,
IF(AF1528="Fix5",0.05,
IF(AF1528="Fix18.75",0.1875,
IF(AF1528="Fix11.25",0.1125,
IF(AF1528="Fix10",0.1,
IF(AF1528="Fix9",0.09,
IF(AF1528="Fix12",0.12,
IF(AF1528="Fix19",0.19,
IF(AF1528="DoEV2017",IF(AND(W1528&lt;74),0.2,0)+IF(AND(W1528&gt;=74),0.17,0),
IF(AF1528="SF",IF(AND(V1528&lt;20,W1528&lt;89),0.3,0)+IF(AND(V1528&lt;20,W1528&gt;=89),0.25,0)+IF(AND(V1528&gt;=20,V1528&lt;40,W1528&lt;74),0.3,0)+IF(AND(V1528&gt;=20,V1528&lt;40,W1528&gt;=75),0.22,0)+IF(AND(V1528&gt;=40,V1528&lt;75,W1528&lt;75),0.26,0)+IF(AND(V1528&gt;=40,V1528&lt;75,W1528&gt;=75),0.22,0)+IF(V1528&gt;=75,0.22,0),
IF(AF1528="DoEVold",IF(AND(V1528&lt;40,W1528&lt;35),0.35,0)+IF(AND(V1528&lt;40,W1528&gt;=35,W1528&lt;75),0.25,0)+IF(AND(V1528&lt;40,W1528&gt;=75),0.17,0)+IF(AND(V1528&gt;=40,V1528&lt;75,W1528&lt;25),0.35,0)+IF(AND(V1528&gt;=40,V1528&lt;75,W1528&gt;=25,W1528&lt;65),0.25,0)+IF(AND(V1528&gt;=40,V1528&lt;75,W1528&gt;=65,W1528&lt;100),0.17,0)+IF(AND(V1528&gt;=40,V1528&lt;75,W1528&gt;=100),0.1,0)+IF(AND(V1528&gt;=75,W1528&lt;25),0.35,0)+IF(AND(V1528&gt;=75,W1528&gt;=25,W1528&lt;60),0.25,0)+IF(AND(V1528&gt;=75,W1528&gt;=60,W1528&lt;95),0.17,0)+IF(AND(V1528&gt;=75,W1528&gt;=95),0.1,0),
IF(AF1528="DoEVold15",IF(AND(V1528&lt;=40,W1528&lt;35),0.35,0)+IF(AND(V1528&lt;=40,W1528&gt;=35,W1528&lt;75),0.25,0)+IF(AND(V1528&lt;=40,W1528&gt;=75,W1528&lt;120),0.17,0)+IF(AND(V1528&lt;=40,W1528&gt;=120),0.15,0)+IF(AND(V1528&gt;40,V1528&lt;75,W1528&lt;25),0.35,0)+IF(AND(V1528&gt;=40,V1528&lt;75,W1528&gt;=25,W1528&lt;65),0.25,0)+IF(AND(V1528&gt;=40,V1528&lt;75,W1528&gt;=65,W1528&lt;100),0.17,0)+IF(AND(V1528&gt;=40,V1528&lt;75,W1528&gt;=100),0.1,0)+IF(AND(V1528&gt;=75,W1528&lt;25),0.35,0)+IF(AND(V1528&gt;=75,W1528&gt;=25,W1528&lt;60),0.25,0)+IF(AND(V1528&gt;=75,W1528&gt;=60,W1528&lt;95),0.17,0)+IF(AND(V1528&gt;=75,W1528&gt;=95),0.1,0),
IF(AF1528="DoEVba",IF(AND(V1528&lt;20,W1528&lt;105),0.2,0)+IF(AND(V1528&lt;20,W1528&gt;=105),0.15,0)+IF(AND(V1528&gt;=20,V1528&lt;40,W1528&lt;95),0.2,0)+IF(AND(V1528&gt;=20,V1528&lt;40,W1528&gt;=95,W1528&lt;150),0.15,0)+IF(AND(V1528&gt;=20,V1528&lt;40,W1528&gt;=150),0.12,0)+IF(AND(V1528&gt;=40,V1528&lt;75,W1528&lt;75),0.2,0)+IF(AND(V1528&gt;=40,V1528&lt;75,W1528&gt;=75,W1528&lt;120),0.15,0)+IF(AND(V1528&gt;=40,V1528&lt;75,W1528&gt;=120),0.12,0)+IF(AND(V1528&gt;=75,V1528&lt;175,W1528&lt;65),0.2,0)+IF(AND(V1528&gt;=75,V1528&lt;175,W1528&gt;=65,W1528&lt;110),0.15,0)+IF(AND(V1528&gt;=75,V1528&lt;175,W1528&gt;=110),0.12,0)+IF(AND(V1528&gt;=175,W1528&lt;55),0.2,0)+IF(AND(V1528&gt;=175,W1528&gt;=55,W1528&lt;95),0.15,0)+IF(AND(V1528&gt;=175,W1528&gt;=95),0.12,0),
IF(AF1528="DoEVku",IF(AND(V1528&lt;20,W1528&lt;55),0.23,0)+IF(AND(V1528&lt;20,W1528&gt;=55,W1528&lt;105),0.2,0)+IF(AND(V1528&lt;20,W1528&gt;=105),0.17,0)+IF(AND(V1528&gt;=20,V1528&lt;40,W1528&lt;45),0.23,0)+IF(AND(V1528&gt;=20,V1528&lt;40,W1528&gt;=45,W1528&lt;95),0.2,0)+IF(AND(V1528&gt;=20,V1528&lt;40,W1528&gt;=95,W1528&lt;=150),0.17,0)+IF(AND(V1528&gt;=20,V1528&lt;40,W1528&gt;=150),0.12,0)+IF(AND(V1528&gt;=40,V1528&lt;75,W1528&lt;35),0.23,0)+IF(AND(V1528&gt;=40,V1528&lt;75,W1528&gt;=35,W1528&lt;75),0.2,0)+IF(AND(V1528&gt;=40,V1528&lt;75,W1528&gt;=75,W1528&lt;120),0.17,0)+IF(AND(V1528&gt;=40,V1528&lt;75,W1528&gt;=120),0.12,0)+IF(AND(V1528&gt;=75,V1528&lt;175,W1528&lt;35),0.23,0)+IF(AND(V1528&gt;=75,V1528&lt;=175,W1528&gt;=35,W1528&lt;65),0.2,0)+IF(AND(V1528&gt;=75,V1528&lt;=175,W1528&gt;=65,W1528&lt;110),0.17,0)+IF(AND(V1528&gt;=75,V1528&lt;=175,W1528&gt;=110),0.12,0)+IF(AND(V1528&gt;175,W1528&lt;25),0.23,0)+IF(AND(V1528&gt;175,W1528&gt;=25,W1528&lt;55),0.2,0)+IF(AND(V1528&gt;175,W1528&gt;=55,W1528&lt;95),0.17,0)+IF(AND(V1528&gt;175,W1528&gt;=95),0.12,0),
IF(AF1528="DoEVs1",IF(AND(V1528&lt;20,W1528&lt;55),0.3,0)+IF(AND(V1528&lt;20,W1528&gt;=55,W1528&lt;105),0.23,0)+IF(AND(V1528&lt;20,W1528&gt;=105),0.17,0)+IF(AND(V1528&gt;=20,V1528&lt;40,W1528&lt;45),0.3,0)+IF(AND(V1528&gt;=20,V1528&lt;40,W1528&gt;=45,W1528&lt;95),0.23,0)+IF(AND(V1528&gt;=20,V1528&lt;40,W1528&gt;=95,W1528&lt;=150),0.17,0)+IF(AND(V1528&gt;=20,V1528&lt;40,W1528&gt;=150),0.12,0)+IF(AND(V1528&gt;=40,V1528&lt;75,W1528&lt;35),0.3,0)+IF(AND(V1528&gt;=40,V1528&lt;75,W1528&gt;=35,W1528&lt;75),0.23,0)+IF(AND(V1528&gt;=40,V1528&lt;75,W1528&gt;=75,W1528&lt;120),0.17,0)+IF(AND(V1528&gt;=40,V1528&lt;75,W1528&gt;=120),0.12,0)+IF(AND(V1528&gt;=75,V1528&lt;175,W1528&lt;35),0.3,0)+IF(AND(V1528&gt;=75,V1528&lt;=175,W1528&gt;=35,W1528&lt;65),0.23,0)+IF(AND(V1528&gt;=75,V1528&lt;=175,W1528&gt;=65,W1528&lt;110),0.17,0)+IF(AND(V1528&gt;=75,V1528&lt;=175,W1528&gt;=110),0.12,0)+IF(AND(V1528&gt;175,W1528&lt;25),0.3,0)+IF(AND(V1528&gt;175,W1528&gt;=25,W1528&lt;55),0.23,0)+IF(AND(V1528&gt;175,W1528&gt;=55,W1528&lt;95),0.17,0)+IF(AND(V1528&gt;175,W1528&gt;=95),0.12,0),
IF(AF1528="DoEVsu",IF(AND(V1528&lt;20,W1528&lt;55),0.3,0)+IF(AND(V1528&lt;20,W1528&gt;=55,W1528&lt;105),0.23,0)+IF(AND(V1528&lt;20,W1528&gt;=105),0.17,0)+IF(AND(V1528&gt;=20,V1528&lt;40,W1528&lt;45),0.3,0)+IF(AND(V1528&gt;=20,V1528&lt;40,W1528&gt;=45,W1528&lt;95),0.23,0)+IF(AND(V1528&gt;=20,V1528&lt;40,W1528&gt;=95,W1528&lt;=250),0.17,0)+IF(AND(V1528&gt;=20,V1528&lt;40,W1528&gt;=250),0.12,0)+IF(AND(V1528&gt;=40,V1528&lt;75,W1528&lt;35),0.3,0)+IF(AND(V1528&gt;=40,V1528&lt;75,W1528&gt;=35,W1528&lt;75),0.23,0)+IF(AND(V1528&gt;=40,V1528&lt;75,W1528&gt;=75,W1528&lt;120),0.17,0)+IF(AND(V1528&gt;=40,V1528&lt;75,W1528&gt;=120),0.12,0)+IF(AND(V1528&gt;=75,V1528&lt;175,W1528&lt;35),0.3,0)+IF(AND(V1528&gt;=75,V1528&lt;=175,W1528&gt;=35,W1528&lt;65),0.23,0)+IF(AND(V1528&gt;=75,V1528&lt;=175,W1528&gt;=65,W1528&lt;110),0.17,0)+IF(AND(V1528&gt;=75,V1528&lt;=175,W1528&gt;=110),0.12,0)+IF(AND(V1528&gt;175,W1528&lt;25),0.3,0)+IF(AND(V1528&gt;175,W1528&gt;=25,W1528&lt;55),0.23,0)+IF(AND(V1528&gt;175,W1528&gt;=55,W1528&lt;95),0.17,0)+IF(AND(V1528&gt;175,W1528&gt;=95),0.12,0),
IF(AF1528="DoEVni",IF(AND(V1528&lt;20,W1528&lt;55),0.3,0)+IF(AND(V1528&lt;20,W1528&gt;=55,W1528&lt;105),0.23,0)+IF(AND(V1528&lt;20,W1528&gt;=105),0.17,0)+IF(AND(V1528&gt;=20,V1528&lt;40,W1528&lt;45),0.3,0)+IF(AND(V1528&gt;=20,V1528&lt;40,W1528&gt;=45,W1528&lt;95),0.23,0)+IF(AND(V1528&gt;=20,V1528&lt;40,W1528&gt;=95,W1528&lt;=200),0.17,0)+IF(AND(V1528&gt;=20,V1528&lt;40,W1528&gt;=200),0.12,0)+IF(AND(V1528&gt;=40,V1528&lt;75,W1528&lt;35),0.3,0)+IF(AND(V1528&gt;=40,V1528&lt;75,W1528&gt;=35,W1528&lt;75),0.23,0)+IF(AND(V1528&gt;=40,V1528&lt;75,W1528&gt;=75,W1528&lt;120),0.17,0)+IF(AND(V1528&gt;=40,V1528&lt;75,W1528&gt;=120),0.12,0)+IF(AND(V1528&gt;=75,V1528&lt;175,W1528&lt;35),0.3,0)+IF(AND(V1528&gt;=75,V1528&lt;=175,W1528&gt;=35,W1528&lt;65),0.23,0)+IF(AND(V1528&gt;=75,V1528&lt;=175,W1528&gt;=65,W1528&lt;110),0.17,0)+IF(AND(V1528&gt;=75,V1528&lt;=175,W1528&gt;=110),0.12,0)+IF(AND(V1528&gt;175,W1528&lt;25),0.3,0)+IF(AND(V1528&gt;175,W1528&gt;=25,W1528&lt;55),0.23,0)+IF(AND(V1528&gt;175,W1528&gt;=55,W1528&lt;95),0.17,0)+IF(AND(V1528&gt;175,W1528&gt;=95),0.12,0),
IF(AF1528="DoEVLo",IF(AND(V1528&lt;20,W1528&lt;55),0.25,0)+IF(AND(V1528&lt;20,W1528&gt;=55,W1528&lt;105),0.2,0)+IF(AND(V1528&lt;20,W1528&gt;=105),0.15,0)+IF(AND(V1528&gt;=20,V1528&lt;40,W1528&lt;45),0.25,0)+IF(AND(V1528&gt;=20,V1528&lt;40,W1528&gt;=45,W1528&lt;95),0.2,0)+IF(AND(V1528&gt;=20,V1528&lt;40,W1528&gt;=95),0.15,0)+IF(AND(V1528&gt;=40,V1528&lt;75,W1528&lt;35),0.25,0)+IF(AND(V1528&gt;=40,V1528&lt;75,W1528&gt;=35,W1528&lt;75),0.2,0)+IF(AND(V1528&gt;=40,V1528&lt;75,W1528&gt;=75,W1528&lt;120),0.15,0)+IF(AND(V1528&gt;=40,V1528&lt;75,W1528&gt;=120),0.1,0)+IF(AND(V1528&gt;=75,V1528&lt;175,W1528&lt;35),0.25,0)+IF(AND(V1528&gt;=75,V1528&lt;=175,W1528&gt;=35,W1528&lt;65),0.2,0)+IF(AND(V1528&gt;=75,V1528&lt;=175,W1528&gt;=65,W1528&lt;110),0.15,0)+IF(AND(V1528&gt;=75,V1528&lt;=175,W1528&gt;=110),0.1,0)+IF(AND(V1528&gt;175,W1528&lt;25),0.25,0)+IF(AND(V1528&gt;175,W1528&gt;=25,W1528&lt;55),0.2,0)+IF(AND(V1528&gt;175,W1528&gt;=55,W1528&lt;95),0.15,0)+IF(AND(V1528&gt;175,W1528&gt;=95),0.1,0))))))))))))))))))))</f>
        <v>0.3</v>
      </c>
      <c r="Y1528" s="30">
        <f>IF(AG1528="None",0,IF(AG1528="Fix5",0.05, IF(AG1528="Fix6.25",0.0625,IF(AG1528="Fix3.75",0.0375, IF(AG1528="Fix11",0.11, IF(AG1528="Fix10",0.1,IF(AG1528="Fix3",0.03,0)))))))</f>
        <v>0</v>
      </c>
      <c r="Z1528" s="35">
        <f>IF(AND(AD1528="EUR", AE1528 = "USD"), T1528*U1528-AA1528-AB1528, T1528-AA1528-AB1528)</f>
        <v>-1470</v>
      </c>
      <c r="AA1528" s="29">
        <f>IF(AND(AD1528="EUR", F1528="Without EV deal", AE1528="USD"), (T1528*X1528)*U1528,
IF(AND(AD1528="EUR", F1528="Without EV deal", AE1528="EUR"), (T1528*X1528),
IF(AND(AD1528="EUR",AE1528="USD"), (T1528*X1528)*U1528,
T1528*X1528)))</f>
        <v>-630</v>
      </c>
      <c r="AB1528" s="36">
        <f>IF(AND(AD1528="EUR", F1528="Without EV deal", AE1528="USD"), (T1528*Y1528)*U1528,
IF(AND(AD1528="EUR", F1528="Without EV deal", AE1528="EUR"), (T1528*Y1528),
IF(AND(AD1528="EUR",AE1528="USD"), (T1528*Y1528)*U1528,
T1528*Y1528)))</f>
        <v>0</v>
      </c>
      <c r="AC1528" s="37" t="b">
        <v>1</v>
      </c>
      <c r="AD1528" s="82" t="str">
        <f>IF(OR(H1528="€0.25 Flash",
H1528="€0.25(nitro) new",
H1528="€1",
H1528="€2",
H1528="€2 (bf 01.08)",
H1528="€5",
H1528="€5 (1M)",
H1528="€5 (bf 01.08)",
H1528="€5 (bf 05.05)",
H1528="€5 Nitro",
H1528="€5(wx) new",
H1528="€10",
H1528="€10 (1M)",
H1528="€10 (bf 01.08)",
H1528="€10 (bf 05.05)",
H1528="€10 (MP)",
H1528="€10 (old)",
H1528="€10 Nitro (bf 05.05)",
H1528="€10 Nitro (old)",
H1528="€10(wx) new",
H1528="€20",
H1528="€25",
H1528="€25 (bf 01.08)",
H1528="€25 (bf 05.05)",
H1528="€25 (MP)",
H1528="€25 (old)",
H1528="€25 Nitro",
H1528="€25 Nitro (bf 01.08)",
H1528="€25 Nitro (bf 05.05)",
H1528="€25(nitro) new",
H1528="€25(wx) new",
H1528="€50",
H1528="€50 (bf 01.08)",
H1528="€50 (bf 05.05)",
H1528="€50 (old)",
H1528="€50 Nitro",
H1528="€50 Nitro (bf 01.08)",
H1528="€50 Nitro (bf 05.05)",
H1528="€50(wx) new",
H1528="€100",
H1528="€100 (old)",
H1528="€100 Nitro",
H1528="€100 Nitro (old)",
H1528="€200",
H1528="€250",
H1528="€250 Nitro",
H1528="€500",
H1528="€500 Nitro"),"EUR", "USD")</f>
        <v>USD</v>
      </c>
      <c r="AE1528" s="83" t="s">
        <v>38</v>
      </c>
      <c r="AF1528" s="83" t="str">
        <f t="array" ref="AF1528">INDEX('Deal Info'!D:D, MATCH(A1528,'Deal Info'!A:A, 0))</f>
        <v>DoEV</v>
      </c>
      <c r="AG1528" s="84" t="str">
        <f t="array" ref="AG1528">INDEX('Deal Info'!G:G, MATCH(A1528,'Deal Info'!A:A, 0))</f>
        <v>None</v>
      </c>
    </row>
    <row r="1529" spans="1:33" ht="14.25" hidden="1" x14ac:dyDescent="0.2">
      <c r="A1529" s="18" t="str">
        <f t="array" ref="A1529">IF(G1529='Room Info'!$B$1, INDEX('Room Info'!$A$2:$A2446, MATCH(B1529,'Room Info'!$B$2:$B2446, 0)),IF(G1529='Room Info'!$C$1, INDEX('Room Info'!$A$2:$A2446, MATCH(B1529,'Room Info'!$C$2:$C2446, 0)),IF(G1529='Room Info'!$D$1, INDEX('Room Info'!$A$2:$A2446, MATCH(B1529,'Room Info'!$D$2:$D2446, 0)),IF(G1529='Room Info'!$E$1, INDEX('Room Info'!$A$2:$A2446, MATCH(B1529,'Room Info'!$E$2:$E2446, 0)),IF(G1529='Room Info'!$F$1, INDEX('Room Info'!$A$2:$A2446, MATCH(B1529,'Room Info'!$F$2:$F2446, 0)),IF(G1529='Room Info'!$H$1, INDEX('Room Info'!$A$2:$A2446, MATCH(B1529,'Room Info'!$H$2:$H2446, 0)),IF(G1529='Room Info'!$G$1, INDEX('Room Info'!$A$2:$A2446, MATCH(B1529,'Room Info'!$G$2:$G2446, 0)))))))))</f>
        <v>kttweek1</v>
      </c>
      <c r="B1529" s="45" t="s">
        <v>175</v>
      </c>
      <c r="C1529" s="46">
        <v>44958</v>
      </c>
      <c r="D1529" s="46">
        <v>44985</v>
      </c>
      <c r="E1529" s="80">
        <v>44958</v>
      </c>
      <c r="F1529" s="22" t="s">
        <v>41</v>
      </c>
      <c r="G1529" s="18" t="s">
        <v>35</v>
      </c>
      <c r="H1529" s="49" t="s">
        <v>47</v>
      </c>
      <c r="I1529" s="49" t="s">
        <v>44</v>
      </c>
      <c r="J1529" s="39">
        <v>1</v>
      </c>
      <c r="K1529" s="51">
        <v>4</v>
      </c>
      <c r="L1529" s="52">
        <v>1</v>
      </c>
      <c r="M1529" s="53">
        <v>3799</v>
      </c>
      <c r="N1529" s="28">
        <f>K1529*J1529</f>
        <v>4</v>
      </c>
      <c r="O1529" s="65"/>
      <c r="P1529" s="29">
        <v>0</v>
      </c>
      <c r="Q1529" s="55"/>
      <c r="R1529" s="31">
        <f>M1529+Q1529*J1529*K1529*0.07</f>
        <v>3799</v>
      </c>
      <c r="S1529" s="66"/>
      <c r="T1529" s="32">
        <f>IF(AND(AD1529="EUR", F1529="Without EV deal"), R1529 + L1529,
IF(AND(AD1529="USD", F1529="Without EV deal"), R1529 + L1529,
IF(AND(AD1529="EUR", F1529="Steel Phoenix"), R1529 + S1529/U1529,
R1529 + S1529)))</f>
        <v>3800</v>
      </c>
      <c r="U1529" s="57"/>
      <c r="V1529" s="69">
        <v>23.398049087476402</v>
      </c>
      <c r="W1529" s="69">
        <v>152.14943718984924</v>
      </c>
      <c r="X1529" s="30">
        <f>IF(AF1529="DoEV",IF(AND(V1529&lt;20,W1529&lt;55),0.3,0)+IF(AND(V1529&lt;20,W1529&gt;=55,W1529&lt;105),0.23,0)+IF(AND(V1529&lt;20,W1529&gt;=105),0.17,0)+IF(AND(V1529&gt;=20,V1529&lt;40,W1529&lt;45),0.3,0)+IF(AND(V1529&gt;=20,V1529&lt;40,W1529&gt;=45,W1529&lt;95),0.23,0)+IF(AND(V1529&gt;=20,V1529&lt;40,W1529&gt;=95),0.17,0)+IF(AND(V1529&gt;=40,V1529&lt;75,W1529&lt;35),0.3,0)+IF(AND(V1529&gt;=40,V1529&lt;75,W1529&gt;=35,W1529&lt;75),0.23,0)+IF(AND(V1529&gt;=40,V1529&lt;75,W1529&gt;=75,W1529&lt;120),0.17,0)+IF(AND(V1529&gt;=40,V1529&lt;75,W1529&gt;=120),0.12,0)+IF(AND(V1529&gt;=75,V1529&lt;175,W1529&lt;35),0.3,0)+IF(AND(V1529&gt;=75,V1529&lt;=175,W1529&gt;=35,W1529&lt;65),0.23,0)+IF(AND(V1529&gt;=75,V1529&lt;=175,W1529&gt;=65,W1529&lt;110),0.17,0)+IF(AND(V1529&gt;=75,V1529&lt;=175,W1529&gt;=110),0.12,0)+IF(AND(V1529&gt;175,W1529&lt;25),0.3,0)+IF(AND(V1529&gt;175,W1529&gt;=25,W1529&lt;55),0.23,0)+IF(AND(V1529&gt;175,W1529&gt;=55,W1529&lt;95),0.17,0)+IF(AND(V1529&gt;175,W1529&gt;=95),0.12,0),
IF(AF1529="Fix15",0.15,
IF(AF1529="Fix5",0.05,
IF(AF1529="Fix18.75",0.1875,
IF(AF1529="Fix11.25",0.1125,
IF(AF1529="Fix10",0.1,
IF(AF1529="Fix9",0.09,
IF(AF1529="Fix12",0.12,
IF(AF1529="Fix19",0.19,
IF(AF1529="DoEV2017",IF(AND(W1529&lt;74),0.2,0)+IF(AND(W1529&gt;=74),0.17,0),
IF(AF1529="SF",IF(AND(V1529&lt;20,W1529&lt;89),0.3,0)+IF(AND(V1529&lt;20,W1529&gt;=89),0.25,0)+IF(AND(V1529&gt;=20,V1529&lt;40,W1529&lt;74),0.3,0)+IF(AND(V1529&gt;=20,V1529&lt;40,W1529&gt;=75),0.22,0)+IF(AND(V1529&gt;=40,V1529&lt;75,W1529&lt;75),0.26,0)+IF(AND(V1529&gt;=40,V1529&lt;75,W1529&gt;=75),0.22,0)+IF(V1529&gt;=75,0.22,0),
IF(AF1529="DoEVold",IF(AND(V1529&lt;40,W1529&lt;35),0.35,0)+IF(AND(V1529&lt;40,W1529&gt;=35,W1529&lt;75),0.25,0)+IF(AND(V1529&lt;40,W1529&gt;=75),0.17,0)+IF(AND(V1529&gt;=40,V1529&lt;75,W1529&lt;25),0.35,0)+IF(AND(V1529&gt;=40,V1529&lt;75,W1529&gt;=25,W1529&lt;65),0.25,0)+IF(AND(V1529&gt;=40,V1529&lt;75,W1529&gt;=65,W1529&lt;100),0.17,0)+IF(AND(V1529&gt;=40,V1529&lt;75,W1529&gt;=100),0.1,0)+IF(AND(V1529&gt;=75,W1529&lt;25),0.35,0)+IF(AND(V1529&gt;=75,W1529&gt;=25,W1529&lt;60),0.25,0)+IF(AND(V1529&gt;=75,W1529&gt;=60,W1529&lt;95),0.17,0)+IF(AND(V1529&gt;=75,W1529&gt;=95),0.1,0),
IF(AF1529="DoEVold15",IF(AND(V1529&lt;=40,W1529&lt;35),0.35,0)+IF(AND(V1529&lt;=40,W1529&gt;=35,W1529&lt;75),0.25,0)+IF(AND(V1529&lt;=40,W1529&gt;=75,W1529&lt;120),0.17,0)+IF(AND(V1529&lt;=40,W1529&gt;=120),0.15,0)+IF(AND(V1529&gt;40,V1529&lt;75,W1529&lt;25),0.35,0)+IF(AND(V1529&gt;=40,V1529&lt;75,W1529&gt;=25,W1529&lt;65),0.25,0)+IF(AND(V1529&gt;=40,V1529&lt;75,W1529&gt;=65,W1529&lt;100),0.17,0)+IF(AND(V1529&gt;=40,V1529&lt;75,W1529&gt;=100),0.1,0)+IF(AND(V1529&gt;=75,W1529&lt;25),0.35,0)+IF(AND(V1529&gt;=75,W1529&gt;=25,W1529&lt;60),0.25,0)+IF(AND(V1529&gt;=75,W1529&gt;=60,W1529&lt;95),0.17,0)+IF(AND(V1529&gt;=75,W1529&gt;=95),0.1,0),
IF(AF1529="DoEVba",IF(AND(V1529&lt;20,W1529&lt;105),0.2,0)+IF(AND(V1529&lt;20,W1529&gt;=105),0.15,0)+IF(AND(V1529&gt;=20,V1529&lt;40,W1529&lt;95),0.2,0)+IF(AND(V1529&gt;=20,V1529&lt;40,W1529&gt;=95,W1529&lt;150),0.15,0)+IF(AND(V1529&gt;=20,V1529&lt;40,W1529&gt;=150),0.12,0)+IF(AND(V1529&gt;=40,V1529&lt;75,W1529&lt;75),0.2,0)+IF(AND(V1529&gt;=40,V1529&lt;75,W1529&gt;=75,W1529&lt;120),0.15,0)+IF(AND(V1529&gt;=40,V1529&lt;75,W1529&gt;=120),0.12,0)+IF(AND(V1529&gt;=75,V1529&lt;175,W1529&lt;65),0.2,0)+IF(AND(V1529&gt;=75,V1529&lt;175,W1529&gt;=65,W1529&lt;110),0.15,0)+IF(AND(V1529&gt;=75,V1529&lt;175,W1529&gt;=110),0.12,0)+IF(AND(V1529&gt;=175,W1529&lt;55),0.2,0)+IF(AND(V1529&gt;=175,W1529&gt;=55,W1529&lt;95),0.15,0)+IF(AND(V1529&gt;=175,W1529&gt;=95),0.12,0),
IF(AF1529="DoEVku",IF(AND(V1529&lt;20,W1529&lt;55),0.23,0)+IF(AND(V1529&lt;20,W1529&gt;=55,W1529&lt;105),0.2,0)+IF(AND(V1529&lt;20,W1529&gt;=105),0.17,0)+IF(AND(V1529&gt;=20,V1529&lt;40,W1529&lt;45),0.23,0)+IF(AND(V1529&gt;=20,V1529&lt;40,W1529&gt;=45,W1529&lt;95),0.2,0)+IF(AND(V1529&gt;=20,V1529&lt;40,W1529&gt;=95,W1529&lt;=150),0.17,0)+IF(AND(V1529&gt;=20,V1529&lt;40,W1529&gt;=150),0.12,0)+IF(AND(V1529&gt;=40,V1529&lt;75,W1529&lt;35),0.23,0)+IF(AND(V1529&gt;=40,V1529&lt;75,W1529&gt;=35,W1529&lt;75),0.2,0)+IF(AND(V1529&gt;=40,V1529&lt;75,W1529&gt;=75,W1529&lt;120),0.17,0)+IF(AND(V1529&gt;=40,V1529&lt;75,W1529&gt;=120),0.12,0)+IF(AND(V1529&gt;=75,V1529&lt;175,W1529&lt;35),0.23,0)+IF(AND(V1529&gt;=75,V1529&lt;=175,W1529&gt;=35,W1529&lt;65),0.2,0)+IF(AND(V1529&gt;=75,V1529&lt;=175,W1529&gt;=65,W1529&lt;110),0.17,0)+IF(AND(V1529&gt;=75,V1529&lt;=175,W1529&gt;=110),0.12,0)+IF(AND(V1529&gt;175,W1529&lt;25),0.23,0)+IF(AND(V1529&gt;175,W1529&gt;=25,W1529&lt;55),0.2,0)+IF(AND(V1529&gt;175,W1529&gt;=55,W1529&lt;95),0.17,0)+IF(AND(V1529&gt;175,W1529&gt;=95),0.12,0),
IF(AF1529="DoEVs1",IF(AND(V1529&lt;20,W1529&lt;55),0.3,0)+IF(AND(V1529&lt;20,W1529&gt;=55,W1529&lt;105),0.23,0)+IF(AND(V1529&lt;20,W1529&gt;=105),0.17,0)+IF(AND(V1529&gt;=20,V1529&lt;40,W1529&lt;45),0.3,0)+IF(AND(V1529&gt;=20,V1529&lt;40,W1529&gt;=45,W1529&lt;95),0.23,0)+IF(AND(V1529&gt;=20,V1529&lt;40,W1529&gt;=95,W1529&lt;=150),0.17,0)+IF(AND(V1529&gt;=20,V1529&lt;40,W1529&gt;=150),0.12,0)+IF(AND(V1529&gt;=40,V1529&lt;75,W1529&lt;35),0.3,0)+IF(AND(V1529&gt;=40,V1529&lt;75,W1529&gt;=35,W1529&lt;75),0.23,0)+IF(AND(V1529&gt;=40,V1529&lt;75,W1529&gt;=75,W1529&lt;120),0.17,0)+IF(AND(V1529&gt;=40,V1529&lt;75,W1529&gt;=120),0.12,0)+IF(AND(V1529&gt;=75,V1529&lt;175,W1529&lt;35),0.3,0)+IF(AND(V1529&gt;=75,V1529&lt;=175,W1529&gt;=35,W1529&lt;65),0.23,0)+IF(AND(V1529&gt;=75,V1529&lt;=175,W1529&gt;=65,W1529&lt;110),0.17,0)+IF(AND(V1529&gt;=75,V1529&lt;=175,W1529&gt;=110),0.12,0)+IF(AND(V1529&gt;175,W1529&lt;25),0.3,0)+IF(AND(V1529&gt;175,W1529&gt;=25,W1529&lt;55),0.23,0)+IF(AND(V1529&gt;175,W1529&gt;=55,W1529&lt;95),0.17,0)+IF(AND(V1529&gt;175,W1529&gt;=95),0.12,0),
IF(AF1529="DoEVsu",IF(AND(V1529&lt;20,W1529&lt;55),0.3,0)+IF(AND(V1529&lt;20,W1529&gt;=55,W1529&lt;105),0.23,0)+IF(AND(V1529&lt;20,W1529&gt;=105),0.17,0)+IF(AND(V1529&gt;=20,V1529&lt;40,W1529&lt;45),0.3,0)+IF(AND(V1529&gt;=20,V1529&lt;40,W1529&gt;=45,W1529&lt;95),0.23,0)+IF(AND(V1529&gt;=20,V1529&lt;40,W1529&gt;=95,W1529&lt;=250),0.17,0)+IF(AND(V1529&gt;=20,V1529&lt;40,W1529&gt;=250),0.12,0)+IF(AND(V1529&gt;=40,V1529&lt;75,W1529&lt;35),0.3,0)+IF(AND(V1529&gt;=40,V1529&lt;75,W1529&gt;=35,W1529&lt;75),0.23,0)+IF(AND(V1529&gt;=40,V1529&lt;75,W1529&gt;=75,W1529&lt;120),0.17,0)+IF(AND(V1529&gt;=40,V1529&lt;75,W1529&gt;=120),0.12,0)+IF(AND(V1529&gt;=75,V1529&lt;175,W1529&lt;35),0.3,0)+IF(AND(V1529&gt;=75,V1529&lt;=175,W1529&gt;=35,W1529&lt;65),0.23,0)+IF(AND(V1529&gt;=75,V1529&lt;=175,W1529&gt;=65,W1529&lt;110),0.17,0)+IF(AND(V1529&gt;=75,V1529&lt;=175,W1529&gt;=110),0.12,0)+IF(AND(V1529&gt;175,W1529&lt;25),0.3,0)+IF(AND(V1529&gt;175,W1529&gt;=25,W1529&lt;55),0.23,0)+IF(AND(V1529&gt;175,W1529&gt;=55,W1529&lt;95),0.17,0)+IF(AND(V1529&gt;175,W1529&gt;=95),0.12,0),
IF(AF1529="DoEVni",IF(AND(V1529&lt;20,W1529&lt;55),0.3,0)+IF(AND(V1529&lt;20,W1529&gt;=55,W1529&lt;105),0.23,0)+IF(AND(V1529&lt;20,W1529&gt;=105),0.17,0)+IF(AND(V1529&gt;=20,V1529&lt;40,W1529&lt;45),0.3,0)+IF(AND(V1529&gt;=20,V1529&lt;40,W1529&gt;=45,W1529&lt;95),0.23,0)+IF(AND(V1529&gt;=20,V1529&lt;40,W1529&gt;=95,W1529&lt;=200),0.17,0)+IF(AND(V1529&gt;=20,V1529&lt;40,W1529&gt;=200),0.12,0)+IF(AND(V1529&gt;=40,V1529&lt;75,W1529&lt;35),0.3,0)+IF(AND(V1529&gt;=40,V1529&lt;75,W1529&gt;=35,W1529&lt;75),0.23,0)+IF(AND(V1529&gt;=40,V1529&lt;75,W1529&gt;=75,W1529&lt;120),0.17,0)+IF(AND(V1529&gt;=40,V1529&lt;75,W1529&gt;=120),0.12,0)+IF(AND(V1529&gt;=75,V1529&lt;175,W1529&lt;35),0.3,0)+IF(AND(V1529&gt;=75,V1529&lt;=175,W1529&gt;=35,W1529&lt;65),0.23,0)+IF(AND(V1529&gt;=75,V1529&lt;=175,W1529&gt;=65,W1529&lt;110),0.17,0)+IF(AND(V1529&gt;=75,V1529&lt;=175,W1529&gt;=110),0.12,0)+IF(AND(V1529&gt;175,W1529&lt;25),0.3,0)+IF(AND(V1529&gt;175,W1529&gt;=25,W1529&lt;55),0.23,0)+IF(AND(V1529&gt;175,W1529&gt;=55,W1529&lt;95),0.17,0)+IF(AND(V1529&gt;175,W1529&gt;=95),0.12,0),
IF(AF1529="DoEVLo",IF(AND(V1529&lt;20,W1529&lt;55),0.25,0)+IF(AND(V1529&lt;20,W1529&gt;=55,W1529&lt;105),0.2,0)+IF(AND(V1529&lt;20,W1529&gt;=105),0.15,0)+IF(AND(V1529&gt;=20,V1529&lt;40,W1529&lt;45),0.25,0)+IF(AND(V1529&gt;=20,V1529&lt;40,W1529&gt;=45,W1529&lt;95),0.2,0)+IF(AND(V1529&gt;=20,V1529&lt;40,W1529&gt;=95),0.15,0)+IF(AND(V1529&gt;=40,V1529&lt;75,W1529&lt;35),0.25,0)+IF(AND(V1529&gt;=40,V1529&lt;75,W1529&gt;=35,W1529&lt;75),0.2,0)+IF(AND(V1529&gt;=40,V1529&lt;75,W1529&gt;=75,W1529&lt;120),0.15,0)+IF(AND(V1529&gt;=40,V1529&lt;75,W1529&gt;=120),0.1,0)+IF(AND(V1529&gt;=75,V1529&lt;175,W1529&lt;35),0.25,0)+IF(AND(V1529&gt;=75,V1529&lt;=175,W1529&gt;=35,W1529&lt;65),0.2,0)+IF(AND(V1529&gt;=75,V1529&lt;=175,W1529&gt;=65,W1529&lt;110),0.15,0)+IF(AND(V1529&gt;=75,V1529&lt;=175,W1529&gt;=110),0.1,0)+IF(AND(V1529&gt;175,W1529&lt;25),0.25,0)+IF(AND(V1529&gt;175,W1529&gt;=25,W1529&lt;55),0.2,0)+IF(AND(V1529&gt;175,W1529&gt;=55,W1529&lt;95),0.15,0)+IF(AND(V1529&gt;175,W1529&gt;=95),0.1,0))))))))))))))))))))</f>
        <v>0.17</v>
      </c>
      <c r="Y1529" s="30">
        <f>IF(AG1529="None",0,IF(AG1529="Fix5",0.05, IF(AG1529="Fix6.25",0.0625,IF(AG1529="Fix3.75",0.0375, IF(AG1529="Fix11",0.11, IF(AG1529="Fix10",0.1,IF(AG1529="Fix3",0.03,0)))))))</f>
        <v>0</v>
      </c>
      <c r="Z1529" s="35">
        <f>IF(AND(AD1529="EUR", AE1529 = "USD"), T1529*U1529-AA1529-AB1529, T1529-AA1529-AB1529)</f>
        <v>3154</v>
      </c>
      <c r="AA1529" s="29">
        <f>IF(AND(AD1529="EUR", F1529="Without EV deal", AE1529="USD"), (T1529*X1529)*U1529,
IF(AND(AD1529="EUR", F1529="Without EV deal", AE1529="EUR"), (T1529*X1529),
IF(AND(AD1529="EUR",AE1529="USD"), (T1529*X1529)*U1529,
T1529*X1529)))</f>
        <v>646</v>
      </c>
      <c r="AB1529" s="36">
        <f>IF(AND(AD1529="EUR", F1529="Without EV deal", AE1529="USD"), (T1529*Y1529)*U1529,
IF(AND(AD1529="EUR", F1529="Without EV deal", AE1529="EUR"), (T1529*Y1529),
IF(AND(AD1529="EUR",AE1529="USD"), (T1529*Y1529)*U1529,
T1529*Y1529)))</f>
        <v>0</v>
      </c>
      <c r="AC1529" s="37" t="b">
        <v>1</v>
      </c>
      <c r="AD1529" s="82" t="str">
        <f>IF(OR(H1529="€0.25 Flash",
H1529="€0.25(nitro) new",
H1529="€1",
H1529="€2",
H1529="€2 (bf 01.08)",
H1529="€5",
H1529="€5 (1M)",
H1529="€5 (bf 01.08)",
H1529="€5 (bf 05.05)",
H1529="€5 Nitro",
H1529="€5(wx) new",
H1529="€10",
H1529="€10 (1M)",
H1529="€10 (bf 01.08)",
H1529="€10 (bf 05.05)",
H1529="€10 (MP)",
H1529="€10 (old)",
H1529="€10 Nitro (bf 05.05)",
H1529="€10 Nitro (old)",
H1529="€10(wx) new",
H1529="€20",
H1529="€25",
H1529="€25 (bf 01.08)",
H1529="€25 (bf 05.05)",
H1529="€25 (MP)",
H1529="€25 (old)",
H1529="€25 Nitro",
H1529="€25 Nitro (bf 01.08)",
H1529="€25 Nitro (bf 05.05)",
H1529="€25(nitro) new",
H1529="€25(wx) new",
H1529="€50",
H1529="€50 (bf 01.08)",
H1529="€50 (bf 05.05)",
H1529="€50 (old)",
H1529="€50 Nitro",
H1529="€50 Nitro (bf 01.08)",
H1529="€50 Nitro (bf 05.05)",
H1529="€50(wx) new",
H1529="€100",
H1529="€100 (old)",
H1529="€100 Nitro",
H1529="€100 Nitro (old)",
H1529="€200",
H1529="€250",
H1529="€250 Nitro",
H1529="€500",
H1529="€500 Nitro"),"EUR", "USD")</f>
        <v>USD</v>
      </c>
      <c r="AE1529" s="83" t="s">
        <v>38</v>
      </c>
      <c r="AF1529" s="83" t="str">
        <f t="array" ref="AF1529">INDEX('Deal Info'!D:D, MATCH(A1529,'Deal Info'!A:A, 0))</f>
        <v>DoEVold</v>
      </c>
      <c r="AG1529" s="84" t="str">
        <f t="array" ref="AG1529">INDEX('Deal Info'!G:G, MATCH(A1529,'Deal Info'!A:A, 0))</f>
        <v>None</v>
      </c>
    </row>
    <row r="1530" spans="1:33" ht="14.25" hidden="1" x14ac:dyDescent="0.2">
      <c r="A1530" s="18" t="str">
        <f t="array" ref="A1530">IF(G1530='Room Info'!$B$1, INDEX('Room Info'!$A$2:$A2446, MATCH(B1530,'Room Info'!$B$2:$B2446, 0)),IF(G1530='Room Info'!$C$1, INDEX('Room Info'!$A$2:$A2446, MATCH(B1530,'Room Info'!$C$2:$C2446, 0)),IF(G1530='Room Info'!$D$1, INDEX('Room Info'!$A$2:$A2446, MATCH(B1530,'Room Info'!$D$2:$D2446, 0)),IF(G1530='Room Info'!$E$1, INDEX('Room Info'!$A$2:$A2446, MATCH(B1530,'Room Info'!$E$2:$E2446, 0)),IF(G1530='Room Info'!$F$1, INDEX('Room Info'!$A$2:$A2446, MATCH(B1530,'Room Info'!$F$2:$F2446, 0)),IF(G1530='Room Info'!$H$1, INDEX('Room Info'!$A$2:$A2446, MATCH(B1530,'Room Info'!$H$2:$H2446, 0)),IF(G1530='Room Info'!$G$1, INDEX('Room Info'!$A$2:$A2446, MATCH(B1530,'Room Info'!$G$2:$G2446, 0)))))))))</f>
        <v>kttweek1</v>
      </c>
      <c r="B1530" s="45" t="s">
        <v>175</v>
      </c>
      <c r="C1530" s="46">
        <v>44958</v>
      </c>
      <c r="D1530" s="46">
        <v>44985</v>
      </c>
      <c r="E1530" s="80">
        <v>44958</v>
      </c>
      <c r="F1530" s="22" t="s">
        <v>41</v>
      </c>
      <c r="G1530" s="18" t="s">
        <v>35</v>
      </c>
      <c r="H1530" s="54" t="s">
        <v>43</v>
      </c>
      <c r="I1530" s="49" t="s">
        <v>44</v>
      </c>
      <c r="J1530" s="39">
        <v>2</v>
      </c>
      <c r="K1530" s="51">
        <v>5</v>
      </c>
      <c r="L1530" s="52">
        <v>2</v>
      </c>
      <c r="M1530" s="62"/>
      <c r="N1530" s="28">
        <f>K1530*J1530</f>
        <v>10</v>
      </c>
      <c r="O1530" s="65"/>
      <c r="P1530" s="29">
        <v>0</v>
      </c>
      <c r="Q1530" s="55"/>
      <c r="R1530" s="31">
        <f>M1530+Q1530*J1530*K1530*0.07</f>
        <v>0</v>
      </c>
      <c r="S1530" s="66"/>
      <c r="T1530" s="32">
        <f>IF(AND(AD1530="EUR", F1530="Without EV deal"), R1530 + L1530,
IF(AND(AD1530="USD", F1530="Without EV deal"), R1530 + L1530,
IF(AND(AD1530="EUR", F1530="Steel Phoenix"), R1530 + S1530/U1530,
R1530 + S1530)))</f>
        <v>2</v>
      </c>
      <c r="U1530" s="57"/>
      <c r="V1530" s="69">
        <v>23.398049087476402</v>
      </c>
      <c r="W1530" s="69">
        <v>152.14943718984924</v>
      </c>
      <c r="X1530" s="30">
        <f>IF(AF1530="DoEV",IF(AND(V1530&lt;20,W1530&lt;55),0.3,0)+IF(AND(V1530&lt;20,W1530&gt;=55,W1530&lt;105),0.23,0)+IF(AND(V1530&lt;20,W1530&gt;=105),0.17,0)+IF(AND(V1530&gt;=20,V1530&lt;40,W1530&lt;45),0.3,0)+IF(AND(V1530&gt;=20,V1530&lt;40,W1530&gt;=45,W1530&lt;95),0.23,0)+IF(AND(V1530&gt;=20,V1530&lt;40,W1530&gt;=95),0.17,0)+IF(AND(V1530&gt;=40,V1530&lt;75,W1530&lt;35),0.3,0)+IF(AND(V1530&gt;=40,V1530&lt;75,W1530&gt;=35,W1530&lt;75),0.23,0)+IF(AND(V1530&gt;=40,V1530&lt;75,W1530&gt;=75,W1530&lt;120),0.17,0)+IF(AND(V1530&gt;=40,V1530&lt;75,W1530&gt;=120),0.12,0)+IF(AND(V1530&gt;=75,V1530&lt;175,W1530&lt;35),0.3,0)+IF(AND(V1530&gt;=75,V1530&lt;=175,W1530&gt;=35,W1530&lt;65),0.23,0)+IF(AND(V1530&gt;=75,V1530&lt;=175,W1530&gt;=65,W1530&lt;110),0.17,0)+IF(AND(V1530&gt;=75,V1530&lt;=175,W1530&gt;=110),0.12,0)+IF(AND(V1530&gt;175,W1530&lt;25),0.3,0)+IF(AND(V1530&gt;175,W1530&gt;=25,W1530&lt;55),0.23,0)+IF(AND(V1530&gt;175,W1530&gt;=55,W1530&lt;95),0.17,0)+IF(AND(V1530&gt;175,W1530&gt;=95),0.12,0),
IF(AF1530="Fix15",0.15,
IF(AF1530="Fix5",0.05,
IF(AF1530="Fix18.75",0.1875,
IF(AF1530="Fix11.25",0.1125,
IF(AF1530="Fix10",0.1,
IF(AF1530="Fix9",0.09,
IF(AF1530="Fix12",0.12,
IF(AF1530="Fix19",0.19,
IF(AF1530="DoEV2017",IF(AND(W1530&lt;74),0.2,0)+IF(AND(W1530&gt;=74),0.17,0),
IF(AF1530="SF",IF(AND(V1530&lt;20,W1530&lt;89),0.3,0)+IF(AND(V1530&lt;20,W1530&gt;=89),0.25,0)+IF(AND(V1530&gt;=20,V1530&lt;40,W1530&lt;74),0.3,0)+IF(AND(V1530&gt;=20,V1530&lt;40,W1530&gt;=75),0.22,0)+IF(AND(V1530&gt;=40,V1530&lt;75,W1530&lt;75),0.26,0)+IF(AND(V1530&gt;=40,V1530&lt;75,W1530&gt;=75),0.22,0)+IF(V1530&gt;=75,0.22,0),
IF(AF1530="DoEVold",IF(AND(V1530&lt;40,W1530&lt;35),0.35,0)+IF(AND(V1530&lt;40,W1530&gt;=35,W1530&lt;75),0.25,0)+IF(AND(V1530&lt;40,W1530&gt;=75),0.17,0)+IF(AND(V1530&gt;=40,V1530&lt;75,W1530&lt;25),0.35,0)+IF(AND(V1530&gt;=40,V1530&lt;75,W1530&gt;=25,W1530&lt;65),0.25,0)+IF(AND(V1530&gt;=40,V1530&lt;75,W1530&gt;=65,W1530&lt;100),0.17,0)+IF(AND(V1530&gt;=40,V1530&lt;75,W1530&gt;=100),0.1,0)+IF(AND(V1530&gt;=75,W1530&lt;25),0.35,0)+IF(AND(V1530&gt;=75,W1530&gt;=25,W1530&lt;60),0.25,0)+IF(AND(V1530&gt;=75,W1530&gt;=60,W1530&lt;95),0.17,0)+IF(AND(V1530&gt;=75,W1530&gt;=95),0.1,0),
IF(AF1530="DoEVold15",IF(AND(V1530&lt;=40,W1530&lt;35),0.35,0)+IF(AND(V1530&lt;=40,W1530&gt;=35,W1530&lt;75),0.25,0)+IF(AND(V1530&lt;=40,W1530&gt;=75,W1530&lt;120),0.17,0)+IF(AND(V1530&lt;=40,W1530&gt;=120),0.15,0)+IF(AND(V1530&gt;40,V1530&lt;75,W1530&lt;25),0.35,0)+IF(AND(V1530&gt;=40,V1530&lt;75,W1530&gt;=25,W1530&lt;65),0.25,0)+IF(AND(V1530&gt;=40,V1530&lt;75,W1530&gt;=65,W1530&lt;100),0.17,0)+IF(AND(V1530&gt;=40,V1530&lt;75,W1530&gt;=100),0.1,0)+IF(AND(V1530&gt;=75,W1530&lt;25),0.35,0)+IF(AND(V1530&gt;=75,W1530&gt;=25,W1530&lt;60),0.25,0)+IF(AND(V1530&gt;=75,W1530&gt;=60,W1530&lt;95),0.17,0)+IF(AND(V1530&gt;=75,W1530&gt;=95),0.1,0),
IF(AF1530="DoEVba",IF(AND(V1530&lt;20,W1530&lt;105),0.2,0)+IF(AND(V1530&lt;20,W1530&gt;=105),0.15,0)+IF(AND(V1530&gt;=20,V1530&lt;40,W1530&lt;95),0.2,0)+IF(AND(V1530&gt;=20,V1530&lt;40,W1530&gt;=95,W1530&lt;150),0.15,0)+IF(AND(V1530&gt;=20,V1530&lt;40,W1530&gt;=150),0.12,0)+IF(AND(V1530&gt;=40,V1530&lt;75,W1530&lt;75),0.2,0)+IF(AND(V1530&gt;=40,V1530&lt;75,W1530&gt;=75,W1530&lt;120),0.15,0)+IF(AND(V1530&gt;=40,V1530&lt;75,W1530&gt;=120),0.12,0)+IF(AND(V1530&gt;=75,V1530&lt;175,W1530&lt;65),0.2,0)+IF(AND(V1530&gt;=75,V1530&lt;175,W1530&gt;=65,W1530&lt;110),0.15,0)+IF(AND(V1530&gt;=75,V1530&lt;175,W1530&gt;=110),0.12,0)+IF(AND(V1530&gt;=175,W1530&lt;55),0.2,0)+IF(AND(V1530&gt;=175,W1530&gt;=55,W1530&lt;95),0.15,0)+IF(AND(V1530&gt;=175,W1530&gt;=95),0.12,0),
IF(AF1530="DoEVku",IF(AND(V1530&lt;20,W1530&lt;55),0.23,0)+IF(AND(V1530&lt;20,W1530&gt;=55,W1530&lt;105),0.2,0)+IF(AND(V1530&lt;20,W1530&gt;=105),0.17,0)+IF(AND(V1530&gt;=20,V1530&lt;40,W1530&lt;45),0.23,0)+IF(AND(V1530&gt;=20,V1530&lt;40,W1530&gt;=45,W1530&lt;95),0.2,0)+IF(AND(V1530&gt;=20,V1530&lt;40,W1530&gt;=95,W1530&lt;=150),0.17,0)+IF(AND(V1530&gt;=20,V1530&lt;40,W1530&gt;=150),0.12,0)+IF(AND(V1530&gt;=40,V1530&lt;75,W1530&lt;35),0.23,0)+IF(AND(V1530&gt;=40,V1530&lt;75,W1530&gt;=35,W1530&lt;75),0.2,0)+IF(AND(V1530&gt;=40,V1530&lt;75,W1530&gt;=75,W1530&lt;120),0.17,0)+IF(AND(V1530&gt;=40,V1530&lt;75,W1530&gt;=120),0.12,0)+IF(AND(V1530&gt;=75,V1530&lt;175,W1530&lt;35),0.23,0)+IF(AND(V1530&gt;=75,V1530&lt;=175,W1530&gt;=35,W1530&lt;65),0.2,0)+IF(AND(V1530&gt;=75,V1530&lt;=175,W1530&gt;=65,W1530&lt;110),0.17,0)+IF(AND(V1530&gt;=75,V1530&lt;=175,W1530&gt;=110),0.12,0)+IF(AND(V1530&gt;175,W1530&lt;25),0.23,0)+IF(AND(V1530&gt;175,W1530&gt;=25,W1530&lt;55),0.2,0)+IF(AND(V1530&gt;175,W1530&gt;=55,W1530&lt;95),0.17,0)+IF(AND(V1530&gt;175,W1530&gt;=95),0.12,0),
IF(AF1530="DoEVs1",IF(AND(V1530&lt;20,W1530&lt;55),0.3,0)+IF(AND(V1530&lt;20,W1530&gt;=55,W1530&lt;105),0.23,0)+IF(AND(V1530&lt;20,W1530&gt;=105),0.17,0)+IF(AND(V1530&gt;=20,V1530&lt;40,W1530&lt;45),0.3,0)+IF(AND(V1530&gt;=20,V1530&lt;40,W1530&gt;=45,W1530&lt;95),0.23,0)+IF(AND(V1530&gt;=20,V1530&lt;40,W1530&gt;=95,W1530&lt;=150),0.17,0)+IF(AND(V1530&gt;=20,V1530&lt;40,W1530&gt;=150),0.12,0)+IF(AND(V1530&gt;=40,V1530&lt;75,W1530&lt;35),0.3,0)+IF(AND(V1530&gt;=40,V1530&lt;75,W1530&gt;=35,W1530&lt;75),0.23,0)+IF(AND(V1530&gt;=40,V1530&lt;75,W1530&gt;=75,W1530&lt;120),0.17,0)+IF(AND(V1530&gt;=40,V1530&lt;75,W1530&gt;=120),0.12,0)+IF(AND(V1530&gt;=75,V1530&lt;175,W1530&lt;35),0.3,0)+IF(AND(V1530&gt;=75,V1530&lt;=175,W1530&gt;=35,W1530&lt;65),0.23,0)+IF(AND(V1530&gt;=75,V1530&lt;=175,W1530&gt;=65,W1530&lt;110),0.17,0)+IF(AND(V1530&gt;=75,V1530&lt;=175,W1530&gt;=110),0.12,0)+IF(AND(V1530&gt;175,W1530&lt;25),0.3,0)+IF(AND(V1530&gt;175,W1530&gt;=25,W1530&lt;55),0.23,0)+IF(AND(V1530&gt;175,W1530&gt;=55,W1530&lt;95),0.17,0)+IF(AND(V1530&gt;175,W1530&gt;=95),0.12,0),
IF(AF1530="DoEVsu",IF(AND(V1530&lt;20,W1530&lt;55),0.3,0)+IF(AND(V1530&lt;20,W1530&gt;=55,W1530&lt;105),0.23,0)+IF(AND(V1530&lt;20,W1530&gt;=105),0.17,0)+IF(AND(V1530&gt;=20,V1530&lt;40,W1530&lt;45),0.3,0)+IF(AND(V1530&gt;=20,V1530&lt;40,W1530&gt;=45,W1530&lt;95),0.23,0)+IF(AND(V1530&gt;=20,V1530&lt;40,W1530&gt;=95,W1530&lt;=250),0.17,0)+IF(AND(V1530&gt;=20,V1530&lt;40,W1530&gt;=250),0.12,0)+IF(AND(V1530&gt;=40,V1530&lt;75,W1530&lt;35),0.3,0)+IF(AND(V1530&gt;=40,V1530&lt;75,W1530&gt;=35,W1530&lt;75),0.23,0)+IF(AND(V1530&gt;=40,V1530&lt;75,W1530&gt;=75,W1530&lt;120),0.17,0)+IF(AND(V1530&gt;=40,V1530&lt;75,W1530&gt;=120),0.12,0)+IF(AND(V1530&gt;=75,V1530&lt;175,W1530&lt;35),0.3,0)+IF(AND(V1530&gt;=75,V1530&lt;=175,W1530&gt;=35,W1530&lt;65),0.23,0)+IF(AND(V1530&gt;=75,V1530&lt;=175,W1530&gt;=65,W1530&lt;110),0.17,0)+IF(AND(V1530&gt;=75,V1530&lt;=175,W1530&gt;=110),0.12,0)+IF(AND(V1530&gt;175,W1530&lt;25),0.3,0)+IF(AND(V1530&gt;175,W1530&gt;=25,W1530&lt;55),0.23,0)+IF(AND(V1530&gt;175,W1530&gt;=55,W1530&lt;95),0.17,0)+IF(AND(V1530&gt;175,W1530&gt;=95),0.12,0),
IF(AF1530="DoEVni",IF(AND(V1530&lt;20,W1530&lt;55),0.3,0)+IF(AND(V1530&lt;20,W1530&gt;=55,W1530&lt;105),0.23,0)+IF(AND(V1530&lt;20,W1530&gt;=105),0.17,0)+IF(AND(V1530&gt;=20,V1530&lt;40,W1530&lt;45),0.3,0)+IF(AND(V1530&gt;=20,V1530&lt;40,W1530&gt;=45,W1530&lt;95),0.23,0)+IF(AND(V1530&gt;=20,V1530&lt;40,W1530&gt;=95,W1530&lt;=200),0.17,0)+IF(AND(V1530&gt;=20,V1530&lt;40,W1530&gt;=200),0.12,0)+IF(AND(V1530&gt;=40,V1530&lt;75,W1530&lt;35),0.3,0)+IF(AND(V1530&gt;=40,V1530&lt;75,W1530&gt;=35,W1530&lt;75),0.23,0)+IF(AND(V1530&gt;=40,V1530&lt;75,W1530&gt;=75,W1530&lt;120),0.17,0)+IF(AND(V1530&gt;=40,V1530&lt;75,W1530&gt;=120),0.12,0)+IF(AND(V1530&gt;=75,V1530&lt;175,W1530&lt;35),0.3,0)+IF(AND(V1530&gt;=75,V1530&lt;=175,W1530&gt;=35,W1530&lt;65),0.23,0)+IF(AND(V1530&gt;=75,V1530&lt;=175,W1530&gt;=65,W1530&lt;110),0.17,0)+IF(AND(V1530&gt;=75,V1530&lt;=175,W1530&gt;=110),0.12,0)+IF(AND(V1530&gt;175,W1530&lt;25),0.3,0)+IF(AND(V1530&gt;175,W1530&gt;=25,W1530&lt;55),0.23,0)+IF(AND(V1530&gt;175,W1530&gt;=55,W1530&lt;95),0.17,0)+IF(AND(V1530&gt;175,W1530&gt;=95),0.12,0),
IF(AF1530="DoEVLo",IF(AND(V1530&lt;20,W1530&lt;55),0.25,0)+IF(AND(V1530&lt;20,W1530&gt;=55,W1530&lt;105),0.2,0)+IF(AND(V1530&lt;20,W1530&gt;=105),0.15,0)+IF(AND(V1530&gt;=20,V1530&lt;40,W1530&lt;45),0.25,0)+IF(AND(V1530&gt;=20,V1530&lt;40,W1530&gt;=45,W1530&lt;95),0.2,0)+IF(AND(V1530&gt;=20,V1530&lt;40,W1530&gt;=95),0.15,0)+IF(AND(V1530&gt;=40,V1530&lt;75,W1530&lt;35),0.25,0)+IF(AND(V1530&gt;=40,V1530&lt;75,W1530&gt;=35,W1530&lt;75),0.2,0)+IF(AND(V1530&gt;=40,V1530&lt;75,W1530&gt;=75,W1530&lt;120),0.15,0)+IF(AND(V1530&gt;=40,V1530&lt;75,W1530&gt;=120),0.1,0)+IF(AND(V1530&gt;=75,V1530&lt;175,W1530&lt;35),0.25,0)+IF(AND(V1530&gt;=75,V1530&lt;=175,W1530&gt;=35,W1530&lt;65),0.2,0)+IF(AND(V1530&gt;=75,V1530&lt;=175,W1530&gt;=65,W1530&lt;110),0.15,0)+IF(AND(V1530&gt;=75,V1530&lt;=175,W1530&gt;=110),0.1,0)+IF(AND(V1530&gt;175,W1530&lt;25),0.25,0)+IF(AND(V1530&gt;175,W1530&gt;=25,W1530&lt;55),0.2,0)+IF(AND(V1530&gt;175,W1530&gt;=55,W1530&lt;95),0.15,0)+IF(AND(V1530&gt;175,W1530&gt;=95),0.1,0))))))))))))))))))))</f>
        <v>0.17</v>
      </c>
      <c r="Y1530" s="30">
        <f>IF(AG1530="None",0,IF(AG1530="Fix5",0.05, IF(AG1530="Fix6.25",0.0625,IF(AG1530="Fix3.75",0.0375, IF(AG1530="Fix11",0.11, IF(AG1530="Fix10",0.1,IF(AG1530="Fix3",0.03,0)))))))</f>
        <v>0</v>
      </c>
      <c r="Z1530" s="35">
        <f>IF(AND(AD1530="EUR", AE1530 = "USD"), T1530*U1530-AA1530-AB1530, T1530-AA1530-AB1530)</f>
        <v>1.66</v>
      </c>
      <c r="AA1530" s="29">
        <f>IF(AND(AD1530="EUR", F1530="Without EV deal", AE1530="USD"), (T1530*X1530)*U1530,
IF(AND(AD1530="EUR", F1530="Without EV deal", AE1530="EUR"), (T1530*X1530),
IF(AND(AD1530="EUR",AE1530="USD"), (T1530*X1530)*U1530,
T1530*X1530)))</f>
        <v>0.34</v>
      </c>
      <c r="AB1530" s="36">
        <f>IF(AND(AD1530="EUR", F1530="Without EV deal", AE1530="USD"), (T1530*Y1530)*U1530,
IF(AND(AD1530="EUR", F1530="Without EV deal", AE1530="EUR"), (T1530*Y1530),
IF(AND(AD1530="EUR",AE1530="USD"), (T1530*Y1530)*U1530,
T1530*Y1530)))</f>
        <v>0</v>
      </c>
      <c r="AC1530" s="37" t="b">
        <v>1</v>
      </c>
      <c r="AD1530" s="82" t="str">
        <f>IF(OR(H1530="€0.25 Flash",
H1530="€0.25(nitro) new",
H1530="€1",
H1530="€2",
H1530="€2 (bf 01.08)",
H1530="€5",
H1530="€5 (1M)",
H1530="€5 (bf 01.08)",
H1530="€5 (bf 05.05)",
H1530="€5 Nitro",
H1530="€5(wx) new",
H1530="€10",
H1530="€10 (1M)",
H1530="€10 (bf 01.08)",
H1530="€10 (bf 05.05)",
H1530="€10 (MP)",
H1530="€10 (old)",
H1530="€10 Nitro (bf 05.05)",
H1530="€10 Nitro (old)",
H1530="€10(wx) new",
H1530="€20",
H1530="€25",
H1530="€25 (bf 01.08)",
H1530="€25 (bf 05.05)",
H1530="€25 (MP)",
H1530="€25 (old)",
H1530="€25 Nitro",
H1530="€25 Nitro (bf 01.08)",
H1530="€25 Nitro (bf 05.05)",
H1530="€25(nitro) new",
H1530="€25(wx) new",
H1530="€50",
H1530="€50 (bf 01.08)",
H1530="€50 (bf 05.05)",
H1530="€50 (old)",
H1530="€50 Nitro",
H1530="€50 Nitro (bf 01.08)",
H1530="€50 Nitro (bf 05.05)",
H1530="€50(wx) new",
H1530="€100",
H1530="€100 (old)",
H1530="€100 Nitro",
H1530="€100 Nitro (old)",
H1530="€200",
H1530="€250",
H1530="€250 Nitro",
H1530="€500",
H1530="€500 Nitro"),"EUR", "USD")</f>
        <v>USD</v>
      </c>
      <c r="AE1530" s="83" t="s">
        <v>38</v>
      </c>
      <c r="AF1530" s="83" t="str">
        <f t="array" ref="AF1530">INDEX('Deal Info'!D:D, MATCH(A1530,'Deal Info'!A:A, 0))</f>
        <v>DoEVold</v>
      </c>
      <c r="AG1530" s="84" t="str">
        <f t="array" ref="AG1530">INDEX('Deal Info'!G:G, MATCH(A1530,'Deal Info'!A:A, 0))</f>
        <v>None</v>
      </c>
    </row>
    <row r="1531" spans="1:33" ht="14.25" hidden="1" x14ac:dyDescent="0.2">
      <c r="A1531" s="18" t="str">
        <f t="array" ref="A1531">IF(G1531='Room Info'!$B$1, INDEX('Room Info'!$A$2:$A2446, MATCH(B1531,'Room Info'!$B$2:$B2446, 0)),IF(G1531='Room Info'!$C$1, INDEX('Room Info'!$A$2:$A2446, MATCH(B1531,'Room Info'!$C$2:$C2446, 0)),IF(G1531='Room Info'!$D$1, INDEX('Room Info'!$A$2:$A2446, MATCH(B1531,'Room Info'!$D$2:$D2446, 0)),IF(G1531='Room Info'!$E$1, INDEX('Room Info'!$A$2:$A2446, MATCH(B1531,'Room Info'!$E$2:$E2446, 0)),IF(G1531='Room Info'!$F$1, INDEX('Room Info'!$A$2:$A2446, MATCH(B1531,'Room Info'!$F$2:$F2446, 0)),IF(G1531='Room Info'!$H$1, INDEX('Room Info'!$A$2:$A2446, MATCH(B1531,'Room Info'!$H$2:$H2446, 0)),IF(G1531='Room Info'!$G$1, INDEX('Room Info'!$A$2:$A2446, MATCH(B1531,'Room Info'!$G$2:$G2446, 0)))))))))</f>
        <v>kttweek1</v>
      </c>
      <c r="B1531" s="45" t="s">
        <v>175</v>
      </c>
      <c r="C1531" s="46">
        <v>44958</v>
      </c>
      <c r="D1531" s="46">
        <v>44985</v>
      </c>
      <c r="E1531" s="80">
        <v>44958</v>
      </c>
      <c r="F1531" s="22" t="s">
        <v>41</v>
      </c>
      <c r="G1531" s="18" t="s">
        <v>35</v>
      </c>
      <c r="H1531" s="49" t="s">
        <v>217</v>
      </c>
      <c r="I1531" s="49" t="s">
        <v>44</v>
      </c>
      <c r="J1531" s="39">
        <v>5</v>
      </c>
      <c r="K1531" s="75">
        <v>16</v>
      </c>
      <c r="L1531" s="72">
        <v>-55</v>
      </c>
      <c r="M1531" s="62"/>
      <c r="N1531" s="28">
        <f>K1531*J1531</f>
        <v>80</v>
      </c>
      <c r="O1531" s="96"/>
      <c r="P1531" s="29">
        <v>0</v>
      </c>
      <c r="Q1531" s="55"/>
      <c r="R1531" s="31">
        <f>M1531+Q1531*J1531*K1531*0.07</f>
        <v>0</v>
      </c>
      <c r="S1531" s="97"/>
      <c r="T1531" s="32">
        <f>IF(AND(AD1531="EUR", F1531="Without EV deal"), R1531 + L1531,
IF(AND(AD1531="USD", F1531="Without EV deal"), R1531 + L1531,
IF(AND(AD1531="EUR", F1531="Steel Phoenix"), R1531 + S1531/U1531,
R1531 + S1531)))</f>
        <v>-55</v>
      </c>
      <c r="U1531" s="57"/>
      <c r="V1531" s="69">
        <v>23.398049087476402</v>
      </c>
      <c r="W1531" s="69">
        <v>152.14943718984924</v>
      </c>
      <c r="X1531" s="30">
        <f>IF(AF1531="DoEV",IF(AND(V1531&lt;20,W1531&lt;55),0.3,0)+IF(AND(V1531&lt;20,W1531&gt;=55,W1531&lt;105),0.23,0)+IF(AND(V1531&lt;20,W1531&gt;=105),0.17,0)+IF(AND(V1531&gt;=20,V1531&lt;40,W1531&lt;45),0.3,0)+IF(AND(V1531&gt;=20,V1531&lt;40,W1531&gt;=45,W1531&lt;95),0.23,0)+IF(AND(V1531&gt;=20,V1531&lt;40,W1531&gt;=95),0.17,0)+IF(AND(V1531&gt;=40,V1531&lt;75,W1531&lt;35),0.3,0)+IF(AND(V1531&gt;=40,V1531&lt;75,W1531&gt;=35,W1531&lt;75),0.23,0)+IF(AND(V1531&gt;=40,V1531&lt;75,W1531&gt;=75,W1531&lt;120),0.17,0)+IF(AND(V1531&gt;=40,V1531&lt;75,W1531&gt;=120),0.12,0)+IF(AND(V1531&gt;=75,V1531&lt;175,W1531&lt;35),0.3,0)+IF(AND(V1531&gt;=75,V1531&lt;=175,W1531&gt;=35,W1531&lt;65),0.23,0)+IF(AND(V1531&gt;=75,V1531&lt;=175,W1531&gt;=65,W1531&lt;110),0.17,0)+IF(AND(V1531&gt;=75,V1531&lt;=175,W1531&gt;=110),0.12,0)+IF(AND(V1531&gt;175,W1531&lt;25),0.3,0)+IF(AND(V1531&gt;175,W1531&gt;=25,W1531&lt;55),0.23,0)+IF(AND(V1531&gt;175,W1531&gt;=55,W1531&lt;95),0.17,0)+IF(AND(V1531&gt;175,W1531&gt;=95),0.12,0),
IF(AF1531="Fix15",0.15,
IF(AF1531="Fix5",0.05,
IF(AF1531="Fix18.75",0.1875,
IF(AF1531="Fix11.25",0.1125,
IF(AF1531="Fix10",0.1,
IF(AF1531="Fix9",0.09,
IF(AF1531="Fix12",0.12,
IF(AF1531="Fix19",0.19,
IF(AF1531="DoEV2017",IF(AND(W1531&lt;74),0.2,0)+IF(AND(W1531&gt;=74),0.17,0),
IF(AF1531="SF",IF(AND(V1531&lt;20,W1531&lt;89),0.3,0)+IF(AND(V1531&lt;20,W1531&gt;=89),0.25,0)+IF(AND(V1531&gt;=20,V1531&lt;40,W1531&lt;74),0.3,0)+IF(AND(V1531&gt;=20,V1531&lt;40,W1531&gt;=75),0.22,0)+IF(AND(V1531&gt;=40,V1531&lt;75,W1531&lt;75),0.26,0)+IF(AND(V1531&gt;=40,V1531&lt;75,W1531&gt;=75),0.22,0)+IF(V1531&gt;=75,0.22,0),
IF(AF1531="DoEVold",IF(AND(V1531&lt;40,W1531&lt;35),0.35,0)+IF(AND(V1531&lt;40,W1531&gt;=35,W1531&lt;75),0.25,0)+IF(AND(V1531&lt;40,W1531&gt;=75),0.17,0)+IF(AND(V1531&gt;=40,V1531&lt;75,W1531&lt;25),0.35,0)+IF(AND(V1531&gt;=40,V1531&lt;75,W1531&gt;=25,W1531&lt;65),0.25,0)+IF(AND(V1531&gt;=40,V1531&lt;75,W1531&gt;=65,W1531&lt;100),0.17,0)+IF(AND(V1531&gt;=40,V1531&lt;75,W1531&gt;=100),0.1,0)+IF(AND(V1531&gt;=75,W1531&lt;25),0.35,0)+IF(AND(V1531&gt;=75,W1531&gt;=25,W1531&lt;60),0.25,0)+IF(AND(V1531&gt;=75,W1531&gt;=60,W1531&lt;95),0.17,0)+IF(AND(V1531&gt;=75,W1531&gt;=95),0.1,0),
IF(AF1531="DoEVold15",IF(AND(V1531&lt;=40,W1531&lt;35),0.35,0)+IF(AND(V1531&lt;=40,W1531&gt;=35,W1531&lt;75),0.25,0)+IF(AND(V1531&lt;=40,W1531&gt;=75,W1531&lt;120),0.17,0)+IF(AND(V1531&lt;=40,W1531&gt;=120),0.15,0)+IF(AND(V1531&gt;40,V1531&lt;75,W1531&lt;25),0.35,0)+IF(AND(V1531&gt;=40,V1531&lt;75,W1531&gt;=25,W1531&lt;65),0.25,0)+IF(AND(V1531&gt;=40,V1531&lt;75,W1531&gt;=65,W1531&lt;100),0.17,0)+IF(AND(V1531&gt;=40,V1531&lt;75,W1531&gt;=100),0.1,0)+IF(AND(V1531&gt;=75,W1531&lt;25),0.35,0)+IF(AND(V1531&gt;=75,W1531&gt;=25,W1531&lt;60),0.25,0)+IF(AND(V1531&gt;=75,W1531&gt;=60,W1531&lt;95),0.17,0)+IF(AND(V1531&gt;=75,W1531&gt;=95),0.1,0),
IF(AF1531="DoEVba",IF(AND(V1531&lt;20,W1531&lt;105),0.2,0)+IF(AND(V1531&lt;20,W1531&gt;=105),0.15,0)+IF(AND(V1531&gt;=20,V1531&lt;40,W1531&lt;95),0.2,0)+IF(AND(V1531&gt;=20,V1531&lt;40,W1531&gt;=95,W1531&lt;150),0.15,0)+IF(AND(V1531&gt;=20,V1531&lt;40,W1531&gt;=150),0.12,0)+IF(AND(V1531&gt;=40,V1531&lt;75,W1531&lt;75),0.2,0)+IF(AND(V1531&gt;=40,V1531&lt;75,W1531&gt;=75,W1531&lt;120),0.15,0)+IF(AND(V1531&gt;=40,V1531&lt;75,W1531&gt;=120),0.12,0)+IF(AND(V1531&gt;=75,V1531&lt;175,W1531&lt;65),0.2,0)+IF(AND(V1531&gt;=75,V1531&lt;175,W1531&gt;=65,W1531&lt;110),0.15,0)+IF(AND(V1531&gt;=75,V1531&lt;175,W1531&gt;=110),0.12,0)+IF(AND(V1531&gt;=175,W1531&lt;55),0.2,0)+IF(AND(V1531&gt;=175,W1531&gt;=55,W1531&lt;95),0.15,0)+IF(AND(V1531&gt;=175,W1531&gt;=95),0.12,0),
IF(AF1531="DoEVku",IF(AND(V1531&lt;20,W1531&lt;55),0.23,0)+IF(AND(V1531&lt;20,W1531&gt;=55,W1531&lt;105),0.2,0)+IF(AND(V1531&lt;20,W1531&gt;=105),0.17,0)+IF(AND(V1531&gt;=20,V1531&lt;40,W1531&lt;45),0.23,0)+IF(AND(V1531&gt;=20,V1531&lt;40,W1531&gt;=45,W1531&lt;95),0.2,0)+IF(AND(V1531&gt;=20,V1531&lt;40,W1531&gt;=95,W1531&lt;=150),0.17,0)+IF(AND(V1531&gt;=20,V1531&lt;40,W1531&gt;=150),0.12,0)+IF(AND(V1531&gt;=40,V1531&lt;75,W1531&lt;35),0.23,0)+IF(AND(V1531&gt;=40,V1531&lt;75,W1531&gt;=35,W1531&lt;75),0.2,0)+IF(AND(V1531&gt;=40,V1531&lt;75,W1531&gt;=75,W1531&lt;120),0.17,0)+IF(AND(V1531&gt;=40,V1531&lt;75,W1531&gt;=120),0.12,0)+IF(AND(V1531&gt;=75,V1531&lt;175,W1531&lt;35),0.23,0)+IF(AND(V1531&gt;=75,V1531&lt;=175,W1531&gt;=35,W1531&lt;65),0.2,0)+IF(AND(V1531&gt;=75,V1531&lt;=175,W1531&gt;=65,W1531&lt;110),0.17,0)+IF(AND(V1531&gt;=75,V1531&lt;=175,W1531&gt;=110),0.12,0)+IF(AND(V1531&gt;175,W1531&lt;25),0.23,0)+IF(AND(V1531&gt;175,W1531&gt;=25,W1531&lt;55),0.2,0)+IF(AND(V1531&gt;175,W1531&gt;=55,W1531&lt;95),0.17,0)+IF(AND(V1531&gt;175,W1531&gt;=95),0.12,0),
IF(AF1531="DoEVs1",IF(AND(V1531&lt;20,W1531&lt;55),0.3,0)+IF(AND(V1531&lt;20,W1531&gt;=55,W1531&lt;105),0.23,0)+IF(AND(V1531&lt;20,W1531&gt;=105),0.17,0)+IF(AND(V1531&gt;=20,V1531&lt;40,W1531&lt;45),0.3,0)+IF(AND(V1531&gt;=20,V1531&lt;40,W1531&gt;=45,W1531&lt;95),0.23,0)+IF(AND(V1531&gt;=20,V1531&lt;40,W1531&gt;=95,W1531&lt;=150),0.17,0)+IF(AND(V1531&gt;=20,V1531&lt;40,W1531&gt;=150),0.12,0)+IF(AND(V1531&gt;=40,V1531&lt;75,W1531&lt;35),0.3,0)+IF(AND(V1531&gt;=40,V1531&lt;75,W1531&gt;=35,W1531&lt;75),0.23,0)+IF(AND(V1531&gt;=40,V1531&lt;75,W1531&gt;=75,W1531&lt;120),0.17,0)+IF(AND(V1531&gt;=40,V1531&lt;75,W1531&gt;=120),0.12,0)+IF(AND(V1531&gt;=75,V1531&lt;175,W1531&lt;35),0.3,0)+IF(AND(V1531&gt;=75,V1531&lt;=175,W1531&gt;=35,W1531&lt;65),0.23,0)+IF(AND(V1531&gt;=75,V1531&lt;=175,W1531&gt;=65,W1531&lt;110),0.17,0)+IF(AND(V1531&gt;=75,V1531&lt;=175,W1531&gt;=110),0.12,0)+IF(AND(V1531&gt;175,W1531&lt;25),0.3,0)+IF(AND(V1531&gt;175,W1531&gt;=25,W1531&lt;55),0.23,0)+IF(AND(V1531&gt;175,W1531&gt;=55,W1531&lt;95),0.17,0)+IF(AND(V1531&gt;175,W1531&gt;=95),0.12,0),
IF(AF1531="DoEVsu",IF(AND(V1531&lt;20,W1531&lt;55),0.3,0)+IF(AND(V1531&lt;20,W1531&gt;=55,W1531&lt;105),0.23,0)+IF(AND(V1531&lt;20,W1531&gt;=105),0.17,0)+IF(AND(V1531&gt;=20,V1531&lt;40,W1531&lt;45),0.3,0)+IF(AND(V1531&gt;=20,V1531&lt;40,W1531&gt;=45,W1531&lt;95),0.23,0)+IF(AND(V1531&gt;=20,V1531&lt;40,W1531&gt;=95,W1531&lt;=250),0.17,0)+IF(AND(V1531&gt;=20,V1531&lt;40,W1531&gt;=250),0.12,0)+IF(AND(V1531&gt;=40,V1531&lt;75,W1531&lt;35),0.3,0)+IF(AND(V1531&gt;=40,V1531&lt;75,W1531&gt;=35,W1531&lt;75),0.23,0)+IF(AND(V1531&gt;=40,V1531&lt;75,W1531&gt;=75,W1531&lt;120),0.17,0)+IF(AND(V1531&gt;=40,V1531&lt;75,W1531&gt;=120),0.12,0)+IF(AND(V1531&gt;=75,V1531&lt;175,W1531&lt;35),0.3,0)+IF(AND(V1531&gt;=75,V1531&lt;=175,W1531&gt;=35,W1531&lt;65),0.23,0)+IF(AND(V1531&gt;=75,V1531&lt;=175,W1531&gt;=65,W1531&lt;110),0.17,0)+IF(AND(V1531&gt;=75,V1531&lt;=175,W1531&gt;=110),0.12,0)+IF(AND(V1531&gt;175,W1531&lt;25),0.3,0)+IF(AND(V1531&gt;175,W1531&gt;=25,W1531&lt;55),0.23,0)+IF(AND(V1531&gt;175,W1531&gt;=55,W1531&lt;95),0.17,0)+IF(AND(V1531&gt;175,W1531&gt;=95),0.12,0),
IF(AF1531="DoEVni",IF(AND(V1531&lt;20,W1531&lt;55),0.3,0)+IF(AND(V1531&lt;20,W1531&gt;=55,W1531&lt;105),0.23,0)+IF(AND(V1531&lt;20,W1531&gt;=105),0.17,0)+IF(AND(V1531&gt;=20,V1531&lt;40,W1531&lt;45),0.3,0)+IF(AND(V1531&gt;=20,V1531&lt;40,W1531&gt;=45,W1531&lt;95),0.23,0)+IF(AND(V1531&gt;=20,V1531&lt;40,W1531&gt;=95,W1531&lt;=200),0.17,0)+IF(AND(V1531&gt;=20,V1531&lt;40,W1531&gt;=200),0.12,0)+IF(AND(V1531&gt;=40,V1531&lt;75,W1531&lt;35),0.3,0)+IF(AND(V1531&gt;=40,V1531&lt;75,W1531&gt;=35,W1531&lt;75),0.23,0)+IF(AND(V1531&gt;=40,V1531&lt;75,W1531&gt;=75,W1531&lt;120),0.17,0)+IF(AND(V1531&gt;=40,V1531&lt;75,W1531&gt;=120),0.12,0)+IF(AND(V1531&gt;=75,V1531&lt;175,W1531&lt;35),0.3,0)+IF(AND(V1531&gt;=75,V1531&lt;=175,W1531&gt;=35,W1531&lt;65),0.23,0)+IF(AND(V1531&gt;=75,V1531&lt;=175,W1531&gt;=65,W1531&lt;110),0.17,0)+IF(AND(V1531&gt;=75,V1531&lt;=175,W1531&gt;=110),0.12,0)+IF(AND(V1531&gt;175,W1531&lt;25),0.3,0)+IF(AND(V1531&gt;175,W1531&gt;=25,W1531&lt;55),0.23,0)+IF(AND(V1531&gt;175,W1531&gt;=55,W1531&lt;95),0.17,0)+IF(AND(V1531&gt;175,W1531&gt;=95),0.12,0),
IF(AF1531="DoEVLo",IF(AND(V1531&lt;20,W1531&lt;55),0.25,0)+IF(AND(V1531&lt;20,W1531&gt;=55,W1531&lt;105),0.2,0)+IF(AND(V1531&lt;20,W1531&gt;=105),0.15,0)+IF(AND(V1531&gt;=20,V1531&lt;40,W1531&lt;45),0.25,0)+IF(AND(V1531&gt;=20,V1531&lt;40,W1531&gt;=45,W1531&lt;95),0.2,0)+IF(AND(V1531&gt;=20,V1531&lt;40,W1531&gt;=95),0.15,0)+IF(AND(V1531&gt;=40,V1531&lt;75,W1531&lt;35),0.25,0)+IF(AND(V1531&gt;=40,V1531&lt;75,W1531&gt;=35,W1531&lt;75),0.2,0)+IF(AND(V1531&gt;=40,V1531&lt;75,W1531&gt;=75,W1531&lt;120),0.15,0)+IF(AND(V1531&gt;=40,V1531&lt;75,W1531&gt;=120),0.1,0)+IF(AND(V1531&gt;=75,V1531&lt;175,W1531&lt;35),0.25,0)+IF(AND(V1531&gt;=75,V1531&lt;=175,W1531&gt;=35,W1531&lt;65),0.2,0)+IF(AND(V1531&gt;=75,V1531&lt;=175,W1531&gt;=65,W1531&lt;110),0.15,0)+IF(AND(V1531&gt;=75,V1531&lt;=175,W1531&gt;=110),0.1,0)+IF(AND(V1531&gt;175,W1531&lt;25),0.25,0)+IF(AND(V1531&gt;175,W1531&gt;=25,W1531&lt;55),0.2,0)+IF(AND(V1531&gt;175,W1531&gt;=55,W1531&lt;95),0.15,0)+IF(AND(V1531&gt;175,W1531&gt;=95),0.1,0))))))))))))))))))))</f>
        <v>0.17</v>
      </c>
      <c r="Y1531" s="30">
        <f>IF(AG1531="None",0,IF(AG1531="Fix5",0.05, IF(AG1531="Fix6.25",0.0625,IF(AG1531="Fix3.75",0.0375, IF(AG1531="Fix11",0.11, IF(AG1531="Fix10",0.1,IF(AG1531="Fix3",0.03,0)))))))</f>
        <v>0</v>
      </c>
      <c r="Z1531" s="35">
        <f>IF(AND(AD1531="EUR", AE1531 = "USD"), T1531*U1531-AA1531-AB1531, T1531-AA1531-AB1531)</f>
        <v>-45.65</v>
      </c>
      <c r="AA1531" s="29">
        <f>IF(AND(AD1531="EUR", F1531="Without EV deal", AE1531="USD"), (T1531*X1531)*U1531,
IF(AND(AD1531="EUR", F1531="Without EV deal", AE1531="EUR"), (T1531*X1531),
IF(AND(AD1531="EUR",AE1531="USD"), (T1531*X1531)*U1531,
T1531*X1531)))</f>
        <v>-9.3500000000000014</v>
      </c>
      <c r="AB1531" s="36">
        <f>IF(AND(AD1531="EUR", F1531="Without EV deal", AE1531="USD"), (T1531*Y1531)*U1531,
IF(AND(AD1531="EUR", F1531="Without EV deal", AE1531="EUR"), (T1531*Y1531),
IF(AND(AD1531="EUR",AE1531="USD"), (T1531*Y1531)*U1531,
T1531*Y1531)))</f>
        <v>0</v>
      </c>
      <c r="AC1531" s="37" t="b">
        <v>1</v>
      </c>
      <c r="AD1531" s="82" t="str">
        <f>IF(OR(H1531="€0.25 Flash",
H1531="€0.25(nitro) new",
H1531="€1",
H1531="€2",
H1531="€2 (bf 01.08)",
H1531="€5",
H1531="€5 (1M)",
H1531="€5 (bf 01.08)",
H1531="€5 (bf 05.05)",
H1531="€5 Nitro",
H1531="€5(wx) new",
H1531="€10",
H1531="€10 (1M)",
H1531="€10 (bf 01.08)",
H1531="€10 (bf 05.05)",
H1531="€10 (MP)",
H1531="€10 (old)",
H1531="€10 Nitro (bf 05.05)",
H1531="€10 Nitro (old)",
H1531="€10(wx) new",
H1531="€20",
H1531="€25",
H1531="€25 (bf 01.08)",
H1531="€25 (bf 05.05)",
H1531="€25 (MP)",
H1531="€25 (old)",
H1531="€25 Nitro",
H1531="€25 Nitro (bf 01.08)",
H1531="€25 Nitro (bf 05.05)",
H1531="€25(nitro) new",
H1531="€25(wx) new",
H1531="€50",
H1531="€50 (bf 01.08)",
H1531="€50 (bf 05.05)",
H1531="€50 (old)",
H1531="€50 Nitro",
H1531="€50 Nitro (bf 01.08)",
H1531="€50 Nitro (bf 05.05)",
H1531="€50(wx) new",
H1531="€100",
H1531="€100 (old)",
H1531="€100 Nitro",
H1531="€100 Nitro (old)",
H1531="€200",
H1531="€250",
H1531="€250 Nitro",
H1531="€500",
H1531="€500 Nitro"),"EUR", "USD")</f>
        <v>USD</v>
      </c>
      <c r="AE1531" s="83" t="s">
        <v>38</v>
      </c>
      <c r="AF1531" s="83" t="str">
        <f t="array" ref="AF1531">INDEX('Deal Info'!D:D, MATCH(A1531,'Deal Info'!A:A, 0))</f>
        <v>DoEVold</v>
      </c>
      <c r="AG1531" s="84" t="str">
        <f t="array" ref="AG1531">INDEX('Deal Info'!G:G, MATCH(A1531,'Deal Info'!A:A, 0))</f>
        <v>None</v>
      </c>
    </row>
    <row r="1532" spans="1:33" ht="14.25" hidden="1" x14ac:dyDescent="0.2">
      <c r="A1532" s="18" t="str">
        <f t="array" ref="A1532">IF(G1532='Room Info'!$B$1, INDEX('Room Info'!$A$2:$A2446, MATCH(B1532,'Room Info'!$B$2:$B2446, 0)),IF(G1532='Room Info'!$C$1, INDEX('Room Info'!$A$2:$A2446, MATCH(B1532,'Room Info'!$C$2:$C2446, 0)),IF(G1532='Room Info'!$D$1, INDEX('Room Info'!$A$2:$A2446, MATCH(B1532,'Room Info'!$D$2:$D2446, 0)),IF(G1532='Room Info'!$E$1, INDEX('Room Info'!$A$2:$A2446, MATCH(B1532,'Room Info'!$E$2:$E2446, 0)),IF(G1532='Room Info'!$F$1, INDEX('Room Info'!$A$2:$A2446, MATCH(B1532,'Room Info'!$F$2:$F2446, 0)),IF(G1532='Room Info'!$H$1, INDEX('Room Info'!$A$2:$A2446, MATCH(B1532,'Room Info'!$H$2:$H2446, 0)),IF(G1532='Room Info'!$G$1, INDEX('Room Info'!$A$2:$A2446, MATCH(B1532,'Room Info'!$G$2:$G2446, 0)))))))))</f>
        <v>kttweek1</v>
      </c>
      <c r="B1532" s="45" t="s">
        <v>175</v>
      </c>
      <c r="C1532" s="46">
        <v>44958</v>
      </c>
      <c r="D1532" s="46">
        <v>44985</v>
      </c>
      <c r="E1532" s="80">
        <v>44958</v>
      </c>
      <c r="F1532" s="45" t="s">
        <v>49</v>
      </c>
      <c r="G1532" s="18" t="s">
        <v>35</v>
      </c>
      <c r="H1532" s="49" t="s">
        <v>40</v>
      </c>
      <c r="I1532" s="49" t="s">
        <v>37</v>
      </c>
      <c r="J1532" s="39">
        <v>10</v>
      </c>
      <c r="K1532" s="75">
        <v>304</v>
      </c>
      <c r="L1532" s="72">
        <v>210</v>
      </c>
      <c r="M1532" s="62"/>
      <c r="N1532" s="28">
        <f>K1532*J1532</f>
        <v>3040</v>
      </c>
      <c r="O1532" s="45">
        <v>15792</v>
      </c>
      <c r="P1532" s="29">
        <v>51.947368419999997</v>
      </c>
      <c r="Q1532" s="55"/>
      <c r="R1532" s="31">
        <f>M1532+Q1532*J1532*K1532*0.07</f>
        <v>0</v>
      </c>
      <c r="S1532" s="73">
        <v>88</v>
      </c>
      <c r="T1532" s="32">
        <f>IF(AND(AD1532="EUR", F1532="Without EV deal"), R1532 + L1532,
IF(AND(AD1532="USD", F1532="Without EV deal"), R1532 + L1532,
IF(AND(AD1532="EUR", F1532="Steel Phoenix"), R1532 + S1532/U1532,
R1532 + S1532)))</f>
        <v>88</v>
      </c>
      <c r="U1532" s="57"/>
      <c r="V1532" s="69">
        <v>23.398049087476402</v>
      </c>
      <c r="W1532" s="69">
        <v>152.14943718984924</v>
      </c>
      <c r="X1532" s="30">
        <f>IF(AF1532="DoEV",IF(AND(V1532&lt;20,W1532&lt;55),0.3,0)+IF(AND(V1532&lt;20,W1532&gt;=55,W1532&lt;105),0.23,0)+IF(AND(V1532&lt;20,W1532&gt;=105),0.17,0)+IF(AND(V1532&gt;=20,V1532&lt;40,W1532&lt;45),0.3,0)+IF(AND(V1532&gt;=20,V1532&lt;40,W1532&gt;=45,W1532&lt;95),0.23,0)+IF(AND(V1532&gt;=20,V1532&lt;40,W1532&gt;=95),0.17,0)+IF(AND(V1532&gt;=40,V1532&lt;75,W1532&lt;35),0.3,0)+IF(AND(V1532&gt;=40,V1532&lt;75,W1532&gt;=35,W1532&lt;75),0.23,0)+IF(AND(V1532&gt;=40,V1532&lt;75,W1532&gt;=75,W1532&lt;120),0.17,0)+IF(AND(V1532&gt;=40,V1532&lt;75,W1532&gt;=120),0.12,0)+IF(AND(V1532&gt;=75,V1532&lt;175,W1532&lt;35),0.3,0)+IF(AND(V1532&gt;=75,V1532&lt;=175,W1532&gt;=35,W1532&lt;65),0.23,0)+IF(AND(V1532&gt;=75,V1532&lt;=175,W1532&gt;=65,W1532&lt;110),0.17,0)+IF(AND(V1532&gt;=75,V1532&lt;=175,W1532&gt;=110),0.12,0)+IF(AND(V1532&gt;175,W1532&lt;25),0.3,0)+IF(AND(V1532&gt;175,W1532&gt;=25,W1532&lt;55),0.23,0)+IF(AND(V1532&gt;175,W1532&gt;=55,W1532&lt;95),0.17,0)+IF(AND(V1532&gt;175,W1532&gt;=95),0.12,0),
IF(AF1532="Fix15",0.15,
IF(AF1532="Fix5",0.05,
IF(AF1532="Fix18.75",0.1875,
IF(AF1532="Fix11.25",0.1125,
IF(AF1532="Fix10",0.1,
IF(AF1532="Fix9",0.09,
IF(AF1532="Fix12",0.12,
IF(AF1532="Fix19",0.19,
IF(AF1532="DoEV2017",IF(AND(W1532&lt;74),0.2,0)+IF(AND(W1532&gt;=74),0.17,0),
IF(AF1532="SF",IF(AND(V1532&lt;20,W1532&lt;89),0.3,0)+IF(AND(V1532&lt;20,W1532&gt;=89),0.25,0)+IF(AND(V1532&gt;=20,V1532&lt;40,W1532&lt;74),0.3,0)+IF(AND(V1532&gt;=20,V1532&lt;40,W1532&gt;=75),0.22,0)+IF(AND(V1532&gt;=40,V1532&lt;75,W1532&lt;75),0.26,0)+IF(AND(V1532&gt;=40,V1532&lt;75,W1532&gt;=75),0.22,0)+IF(V1532&gt;=75,0.22,0),
IF(AF1532="DoEVold",IF(AND(V1532&lt;40,W1532&lt;35),0.35,0)+IF(AND(V1532&lt;40,W1532&gt;=35,W1532&lt;75),0.25,0)+IF(AND(V1532&lt;40,W1532&gt;=75),0.17,0)+IF(AND(V1532&gt;=40,V1532&lt;75,W1532&lt;25),0.35,0)+IF(AND(V1532&gt;=40,V1532&lt;75,W1532&gt;=25,W1532&lt;65),0.25,0)+IF(AND(V1532&gt;=40,V1532&lt;75,W1532&gt;=65,W1532&lt;100),0.17,0)+IF(AND(V1532&gt;=40,V1532&lt;75,W1532&gt;=100),0.1,0)+IF(AND(V1532&gt;=75,W1532&lt;25),0.35,0)+IF(AND(V1532&gt;=75,W1532&gt;=25,W1532&lt;60),0.25,0)+IF(AND(V1532&gt;=75,W1532&gt;=60,W1532&lt;95),0.17,0)+IF(AND(V1532&gt;=75,W1532&gt;=95),0.1,0),
IF(AF1532="DoEVold15",IF(AND(V1532&lt;=40,W1532&lt;35),0.35,0)+IF(AND(V1532&lt;=40,W1532&gt;=35,W1532&lt;75),0.25,0)+IF(AND(V1532&lt;=40,W1532&gt;=75,W1532&lt;120),0.17,0)+IF(AND(V1532&lt;=40,W1532&gt;=120),0.15,0)+IF(AND(V1532&gt;40,V1532&lt;75,W1532&lt;25),0.35,0)+IF(AND(V1532&gt;=40,V1532&lt;75,W1532&gt;=25,W1532&lt;65),0.25,0)+IF(AND(V1532&gt;=40,V1532&lt;75,W1532&gt;=65,W1532&lt;100),0.17,0)+IF(AND(V1532&gt;=40,V1532&lt;75,W1532&gt;=100),0.1,0)+IF(AND(V1532&gt;=75,W1532&lt;25),0.35,0)+IF(AND(V1532&gt;=75,W1532&gt;=25,W1532&lt;60),0.25,0)+IF(AND(V1532&gt;=75,W1532&gt;=60,W1532&lt;95),0.17,0)+IF(AND(V1532&gt;=75,W1532&gt;=95),0.1,0),
IF(AF1532="DoEVba",IF(AND(V1532&lt;20,W1532&lt;105),0.2,0)+IF(AND(V1532&lt;20,W1532&gt;=105),0.15,0)+IF(AND(V1532&gt;=20,V1532&lt;40,W1532&lt;95),0.2,0)+IF(AND(V1532&gt;=20,V1532&lt;40,W1532&gt;=95,W1532&lt;150),0.15,0)+IF(AND(V1532&gt;=20,V1532&lt;40,W1532&gt;=150),0.12,0)+IF(AND(V1532&gt;=40,V1532&lt;75,W1532&lt;75),0.2,0)+IF(AND(V1532&gt;=40,V1532&lt;75,W1532&gt;=75,W1532&lt;120),0.15,0)+IF(AND(V1532&gt;=40,V1532&lt;75,W1532&gt;=120),0.12,0)+IF(AND(V1532&gt;=75,V1532&lt;175,W1532&lt;65),0.2,0)+IF(AND(V1532&gt;=75,V1532&lt;175,W1532&gt;=65,W1532&lt;110),0.15,0)+IF(AND(V1532&gt;=75,V1532&lt;175,W1532&gt;=110),0.12,0)+IF(AND(V1532&gt;=175,W1532&lt;55),0.2,0)+IF(AND(V1532&gt;=175,W1532&gt;=55,W1532&lt;95),0.15,0)+IF(AND(V1532&gt;=175,W1532&gt;=95),0.12,0),
IF(AF1532="DoEVku",IF(AND(V1532&lt;20,W1532&lt;55),0.23,0)+IF(AND(V1532&lt;20,W1532&gt;=55,W1532&lt;105),0.2,0)+IF(AND(V1532&lt;20,W1532&gt;=105),0.17,0)+IF(AND(V1532&gt;=20,V1532&lt;40,W1532&lt;45),0.23,0)+IF(AND(V1532&gt;=20,V1532&lt;40,W1532&gt;=45,W1532&lt;95),0.2,0)+IF(AND(V1532&gt;=20,V1532&lt;40,W1532&gt;=95,W1532&lt;=150),0.17,0)+IF(AND(V1532&gt;=20,V1532&lt;40,W1532&gt;=150),0.12,0)+IF(AND(V1532&gt;=40,V1532&lt;75,W1532&lt;35),0.23,0)+IF(AND(V1532&gt;=40,V1532&lt;75,W1532&gt;=35,W1532&lt;75),0.2,0)+IF(AND(V1532&gt;=40,V1532&lt;75,W1532&gt;=75,W1532&lt;120),0.17,0)+IF(AND(V1532&gt;=40,V1532&lt;75,W1532&gt;=120),0.12,0)+IF(AND(V1532&gt;=75,V1532&lt;175,W1532&lt;35),0.23,0)+IF(AND(V1532&gt;=75,V1532&lt;=175,W1532&gt;=35,W1532&lt;65),0.2,0)+IF(AND(V1532&gt;=75,V1532&lt;=175,W1532&gt;=65,W1532&lt;110),0.17,0)+IF(AND(V1532&gt;=75,V1532&lt;=175,W1532&gt;=110),0.12,0)+IF(AND(V1532&gt;175,W1532&lt;25),0.23,0)+IF(AND(V1532&gt;175,W1532&gt;=25,W1532&lt;55),0.2,0)+IF(AND(V1532&gt;175,W1532&gt;=55,W1532&lt;95),0.17,0)+IF(AND(V1532&gt;175,W1532&gt;=95),0.12,0),
IF(AF1532="DoEVs1",IF(AND(V1532&lt;20,W1532&lt;55),0.3,0)+IF(AND(V1532&lt;20,W1532&gt;=55,W1532&lt;105),0.23,0)+IF(AND(V1532&lt;20,W1532&gt;=105),0.17,0)+IF(AND(V1532&gt;=20,V1532&lt;40,W1532&lt;45),0.3,0)+IF(AND(V1532&gt;=20,V1532&lt;40,W1532&gt;=45,W1532&lt;95),0.23,0)+IF(AND(V1532&gt;=20,V1532&lt;40,W1532&gt;=95,W1532&lt;=150),0.17,0)+IF(AND(V1532&gt;=20,V1532&lt;40,W1532&gt;=150),0.12,0)+IF(AND(V1532&gt;=40,V1532&lt;75,W1532&lt;35),0.3,0)+IF(AND(V1532&gt;=40,V1532&lt;75,W1532&gt;=35,W1532&lt;75),0.23,0)+IF(AND(V1532&gt;=40,V1532&lt;75,W1532&gt;=75,W1532&lt;120),0.17,0)+IF(AND(V1532&gt;=40,V1532&lt;75,W1532&gt;=120),0.12,0)+IF(AND(V1532&gt;=75,V1532&lt;175,W1532&lt;35),0.3,0)+IF(AND(V1532&gt;=75,V1532&lt;=175,W1532&gt;=35,W1532&lt;65),0.23,0)+IF(AND(V1532&gt;=75,V1532&lt;=175,W1532&gt;=65,W1532&lt;110),0.17,0)+IF(AND(V1532&gt;=75,V1532&lt;=175,W1532&gt;=110),0.12,0)+IF(AND(V1532&gt;175,W1532&lt;25),0.3,0)+IF(AND(V1532&gt;175,W1532&gt;=25,W1532&lt;55),0.23,0)+IF(AND(V1532&gt;175,W1532&gt;=55,W1532&lt;95),0.17,0)+IF(AND(V1532&gt;175,W1532&gt;=95),0.12,0),
IF(AF1532="DoEVsu",IF(AND(V1532&lt;20,W1532&lt;55),0.3,0)+IF(AND(V1532&lt;20,W1532&gt;=55,W1532&lt;105),0.23,0)+IF(AND(V1532&lt;20,W1532&gt;=105),0.17,0)+IF(AND(V1532&gt;=20,V1532&lt;40,W1532&lt;45),0.3,0)+IF(AND(V1532&gt;=20,V1532&lt;40,W1532&gt;=45,W1532&lt;95),0.23,0)+IF(AND(V1532&gt;=20,V1532&lt;40,W1532&gt;=95,W1532&lt;=250),0.17,0)+IF(AND(V1532&gt;=20,V1532&lt;40,W1532&gt;=250),0.12,0)+IF(AND(V1532&gt;=40,V1532&lt;75,W1532&lt;35),0.3,0)+IF(AND(V1532&gt;=40,V1532&lt;75,W1532&gt;=35,W1532&lt;75),0.23,0)+IF(AND(V1532&gt;=40,V1532&lt;75,W1532&gt;=75,W1532&lt;120),0.17,0)+IF(AND(V1532&gt;=40,V1532&lt;75,W1532&gt;=120),0.12,0)+IF(AND(V1532&gt;=75,V1532&lt;175,W1532&lt;35),0.3,0)+IF(AND(V1532&gt;=75,V1532&lt;=175,W1532&gt;=35,W1532&lt;65),0.23,0)+IF(AND(V1532&gt;=75,V1532&lt;=175,W1532&gt;=65,W1532&lt;110),0.17,0)+IF(AND(V1532&gt;=75,V1532&lt;=175,W1532&gt;=110),0.12,0)+IF(AND(V1532&gt;175,W1532&lt;25),0.3,0)+IF(AND(V1532&gt;175,W1532&gt;=25,W1532&lt;55),0.23,0)+IF(AND(V1532&gt;175,W1532&gt;=55,W1532&lt;95),0.17,0)+IF(AND(V1532&gt;175,W1532&gt;=95),0.12,0),
IF(AF1532="DoEVni",IF(AND(V1532&lt;20,W1532&lt;55),0.3,0)+IF(AND(V1532&lt;20,W1532&gt;=55,W1532&lt;105),0.23,0)+IF(AND(V1532&lt;20,W1532&gt;=105),0.17,0)+IF(AND(V1532&gt;=20,V1532&lt;40,W1532&lt;45),0.3,0)+IF(AND(V1532&gt;=20,V1532&lt;40,W1532&gt;=45,W1532&lt;95),0.23,0)+IF(AND(V1532&gt;=20,V1532&lt;40,W1532&gt;=95,W1532&lt;=200),0.17,0)+IF(AND(V1532&gt;=20,V1532&lt;40,W1532&gt;=200),0.12,0)+IF(AND(V1532&gt;=40,V1532&lt;75,W1532&lt;35),0.3,0)+IF(AND(V1532&gt;=40,V1532&lt;75,W1532&gt;=35,W1532&lt;75),0.23,0)+IF(AND(V1532&gt;=40,V1532&lt;75,W1532&gt;=75,W1532&lt;120),0.17,0)+IF(AND(V1532&gt;=40,V1532&lt;75,W1532&gt;=120),0.12,0)+IF(AND(V1532&gt;=75,V1532&lt;175,W1532&lt;35),0.3,0)+IF(AND(V1532&gt;=75,V1532&lt;=175,W1532&gt;=35,W1532&lt;65),0.23,0)+IF(AND(V1532&gt;=75,V1532&lt;=175,W1532&gt;=65,W1532&lt;110),0.17,0)+IF(AND(V1532&gt;=75,V1532&lt;=175,W1532&gt;=110),0.12,0)+IF(AND(V1532&gt;175,W1532&lt;25),0.3,0)+IF(AND(V1532&gt;175,W1532&gt;=25,W1532&lt;55),0.23,0)+IF(AND(V1532&gt;175,W1532&gt;=55,W1532&lt;95),0.17,0)+IF(AND(V1532&gt;175,W1532&gt;=95),0.12,0),
IF(AF1532="DoEVLo",IF(AND(V1532&lt;20,W1532&lt;55),0.25,0)+IF(AND(V1532&lt;20,W1532&gt;=55,W1532&lt;105),0.2,0)+IF(AND(V1532&lt;20,W1532&gt;=105),0.15,0)+IF(AND(V1532&gt;=20,V1532&lt;40,W1532&lt;45),0.25,0)+IF(AND(V1532&gt;=20,V1532&lt;40,W1532&gt;=45,W1532&lt;95),0.2,0)+IF(AND(V1532&gt;=20,V1532&lt;40,W1532&gt;=95),0.15,0)+IF(AND(V1532&gt;=40,V1532&lt;75,W1532&lt;35),0.25,0)+IF(AND(V1532&gt;=40,V1532&lt;75,W1532&gt;=35,W1532&lt;75),0.2,0)+IF(AND(V1532&gt;=40,V1532&lt;75,W1532&gt;=75,W1532&lt;120),0.15,0)+IF(AND(V1532&gt;=40,V1532&lt;75,W1532&gt;=120),0.1,0)+IF(AND(V1532&gt;=75,V1532&lt;175,W1532&lt;35),0.25,0)+IF(AND(V1532&gt;=75,V1532&lt;=175,W1532&gt;=35,W1532&lt;65),0.2,0)+IF(AND(V1532&gt;=75,V1532&lt;=175,W1532&gt;=65,W1532&lt;110),0.15,0)+IF(AND(V1532&gt;=75,V1532&lt;=175,W1532&gt;=110),0.1,0)+IF(AND(V1532&gt;175,W1532&lt;25),0.25,0)+IF(AND(V1532&gt;175,W1532&gt;=25,W1532&lt;55),0.2,0)+IF(AND(V1532&gt;175,W1532&gt;=55,W1532&lt;95),0.15,0)+IF(AND(V1532&gt;175,W1532&gt;=95),0.1,0))))))))))))))))))))</f>
        <v>0.17</v>
      </c>
      <c r="Y1532" s="30">
        <f>IF(AG1532="None",0,IF(AG1532="Fix5",0.05, IF(AG1532="Fix6.25",0.0625,IF(AG1532="Fix3.75",0.0375, IF(AG1532="Fix11",0.11, IF(AG1532="Fix10",0.1,IF(AG1532="Fix3",0.03,0)))))))</f>
        <v>0</v>
      </c>
      <c r="Z1532" s="35">
        <f>IF(AND(AD1532="EUR", AE1532 = "USD"), T1532*U1532-AA1532-AB1532, T1532-AA1532-AB1532)</f>
        <v>73.039999999999992</v>
      </c>
      <c r="AA1532" s="29">
        <f>IF(AND(AD1532="EUR", F1532="Without EV deal", AE1532="USD"), (T1532*X1532)*U1532,
IF(AND(AD1532="EUR", F1532="Without EV deal", AE1532="EUR"), (T1532*X1532),
IF(AND(AD1532="EUR",AE1532="USD"), (T1532*X1532)*U1532,
T1532*X1532)))</f>
        <v>14.96</v>
      </c>
      <c r="AB1532" s="36">
        <f>IF(AND(AD1532="EUR", F1532="Without EV deal", AE1532="USD"), (T1532*Y1532)*U1532,
IF(AND(AD1532="EUR", F1532="Without EV deal", AE1532="EUR"), (T1532*Y1532),
IF(AND(AD1532="EUR",AE1532="USD"), (T1532*Y1532)*U1532,
T1532*Y1532)))</f>
        <v>0</v>
      </c>
      <c r="AC1532" s="37" t="b">
        <v>1</v>
      </c>
      <c r="AD1532" s="82" t="str">
        <f>IF(OR(H1532="€0.25 Flash",
H1532="€0.25(nitro) new",
H1532="€1",
H1532="€2",
H1532="€2 (bf 01.08)",
H1532="€5",
H1532="€5 (1M)",
H1532="€5 (bf 01.08)",
H1532="€5 (bf 05.05)",
H1532="€5 Nitro",
H1532="€5(wx) new",
H1532="€10",
H1532="€10 (1M)",
H1532="€10 (bf 01.08)",
H1532="€10 (bf 05.05)",
H1532="€10 (MP)",
H1532="€10 (old)",
H1532="€10 Nitro (bf 05.05)",
H1532="€10 Nitro (old)",
H1532="€10(wx) new",
H1532="€20",
H1532="€25",
H1532="€25 (bf 01.08)",
H1532="€25 (bf 05.05)",
H1532="€25 (MP)",
H1532="€25 (old)",
H1532="€25 Nitro",
H1532="€25 Nitro (bf 01.08)",
H1532="€25 Nitro (bf 05.05)",
H1532="€25(nitro) new",
H1532="€25(wx) new",
H1532="€50",
H1532="€50 (bf 01.08)",
H1532="€50 (bf 05.05)",
H1532="€50 (old)",
H1532="€50 Nitro",
H1532="€50 Nitro (bf 01.08)",
H1532="€50 Nitro (bf 05.05)",
H1532="€50(wx) new",
H1532="€100",
H1532="€100 (old)",
H1532="€100 Nitro",
H1532="€100 Nitro (old)",
H1532="€200",
H1532="€250",
H1532="€250 Nitro",
H1532="€500",
H1532="€500 Nitro"),"EUR", "USD")</f>
        <v>USD</v>
      </c>
      <c r="AE1532" s="83" t="s">
        <v>38</v>
      </c>
      <c r="AF1532" s="83" t="str">
        <f t="array" ref="AF1532">INDEX('Deal Info'!D:D, MATCH(A1532,'Deal Info'!A:A, 0))</f>
        <v>DoEVold</v>
      </c>
      <c r="AG1532" s="84" t="str">
        <f t="array" ref="AG1532">INDEX('Deal Info'!G:G, MATCH(A1532,'Deal Info'!A:A, 0))</f>
        <v>None</v>
      </c>
    </row>
    <row r="1533" spans="1:33" ht="14.25" hidden="1" x14ac:dyDescent="0.2">
      <c r="A1533" s="18" t="str">
        <f t="array" ref="A1533">IF(G1533='Room Info'!$B$1, INDEX('Room Info'!$A$2:$A2446, MATCH(B1533,'Room Info'!$B$2:$B2446, 0)),IF(G1533='Room Info'!$C$1, INDEX('Room Info'!$A$2:$A2446, MATCH(B1533,'Room Info'!$C$2:$C2446, 0)),IF(G1533='Room Info'!$D$1, INDEX('Room Info'!$A$2:$A2446, MATCH(B1533,'Room Info'!$D$2:$D2446, 0)),IF(G1533='Room Info'!$E$1, INDEX('Room Info'!$A$2:$A2446, MATCH(B1533,'Room Info'!$E$2:$E2446, 0)),IF(G1533='Room Info'!$F$1, INDEX('Room Info'!$A$2:$A2446, MATCH(B1533,'Room Info'!$F$2:$F2446, 0)),IF(G1533='Room Info'!$H$1, INDEX('Room Info'!$A$2:$A2446, MATCH(B1533,'Room Info'!$H$2:$H2446, 0)),IF(G1533='Room Info'!$G$1, INDEX('Room Info'!$A$2:$A2446, MATCH(B1533,'Room Info'!$G$2:$G2446, 0)))))))))</f>
        <v>kttweek1</v>
      </c>
      <c r="B1533" s="45" t="s">
        <v>175</v>
      </c>
      <c r="C1533" s="46">
        <v>44958</v>
      </c>
      <c r="D1533" s="46">
        <v>44985</v>
      </c>
      <c r="E1533" s="80">
        <v>44958</v>
      </c>
      <c r="F1533" s="45" t="s">
        <v>49</v>
      </c>
      <c r="G1533" s="18" t="s">
        <v>35</v>
      </c>
      <c r="H1533" s="49" t="s">
        <v>115</v>
      </c>
      <c r="I1533" s="49" t="s">
        <v>44</v>
      </c>
      <c r="J1533" s="39">
        <v>10</v>
      </c>
      <c r="K1533" s="75">
        <v>60</v>
      </c>
      <c r="L1533" s="72">
        <v>80</v>
      </c>
      <c r="M1533" s="62"/>
      <c r="N1533" s="28">
        <f>K1533*J1533</f>
        <v>600</v>
      </c>
      <c r="O1533" s="45">
        <v>1596</v>
      </c>
      <c r="P1533" s="29">
        <v>26.6</v>
      </c>
      <c r="Q1533" s="55"/>
      <c r="R1533" s="31">
        <f>M1533+Q1533*J1533*K1533*0.07</f>
        <v>0</v>
      </c>
      <c r="S1533" s="73">
        <v>9</v>
      </c>
      <c r="T1533" s="32">
        <f>IF(AND(AD1533="EUR", F1533="Without EV deal"), R1533 + L1533,
IF(AND(AD1533="USD", F1533="Without EV deal"), R1533 + L1533,
IF(AND(AD1533="EUR", F1533="Steel Phoenix"), R1533 + S1533/U1533,
R1533 + S1533)))</f>
        <v>9</v>
      </c>
      <c r="U1533" s="57"/>
      <c r="V1533" s="69">
        <v>23.398049087476402</v>
      </c>
      <c r="W1533" s="69">
        <v>152.14943718984924</v>
      </c>
      <c r="X1533" s="30">
        <f>IF(AF1533="DoEV",IF(AND(V1533&lt;20,W1533&lt;55),0.3,0)+IF(AND(V1533&lt;20,W1533&gt;=55,W1533&lt;105),0.23,0)+IF(AND(V1533&lt;20,W1533&gt;=105),0.17,0)+IF(AND(V1533&gt;=20,V1533&lt;40,W1533&lt;45),0.3,0)+IF(AND(V1533&gt;=20,V1533&lt;40,W1533&gt;=45,W1533&lt;95),0.23,0)+IF(AND(V1533&gt;=20,V1533&lt;40,W1533&gt;=95),0.17,0)+IF(AND(V1533&gt;=40,V1533&lt;75,W1533&lt;35),0.3,0)+IF(AND(V1533&gt;=40,V1533&lt;75,W1533&gt;=35,W1533&lt;75),0.23,0)+IF(AND(V1533&gt;=40,V1533&lt;75,W1533&gt;=75,W1533&lt;120),0.17,0)+IF(AND(V1533&gt;=40,V1533&lt;75,W1533&gt;=120),0.12,0)+IF(AND(V1533&gt;=75,V1533&lt;175,W1533&lt;35),0.3,0)+IF(AND(V1533&gt;=75,V1533&lt;=175,W1533&gt;=35,W1533&lt;65),0.23,0)+IF(AND(V1533&gt;=75,V1533&lt;=175,W1533&gt;=65,W1533&lt;110),0.17,0)+IF(AND(V1533&gt;=75,V1533&lt;=175,W1533&gt;=110),0.12,0)+IF(AND(V1533&gt;175,W1533&lt;25),0.3,0)+IF(AND(V1533&gt;175,W1533&gt;=25,W1533&lt;55),0.23,0)+IF(AND(V1533&gt;175,W1533&gt;=55,W1533&lt;95),0.17,0)+IF(AND(V1533&gt;175,W1533&gt;=95),0.12,0),
IF(AF1533="Fix15",0.15,
IF(AF1533="Fix5",0.05,
IF(AF1533="Fix18.75",0.1875,
IF(AF1533="Fix11.25",0.1125,
IF(AF1533="Fix10",0.1,
IF(AF1533="Fix9",0.09,
IF(AF1533="Fix12",0.12,
IF(AF1533="Fix19",0.19,
IF(AF1533="DoEV2017",IF(AND(W1533&lt;74),0.2,0)+IF(AND(W1533&gt;=74),0.17,0),
IF(AF1533="SF",IF(AND(V1533&lt;20,W1533&lt;89),0.3,0)+IF(AND(V1533&lt;20,W1533&gt;=89),0.25,0)+IF(AND(V1533&gt;=20,V1533&lt;40,W1533&lt;74),0.3,0)+IF(AND(V1533&gt;=20,V1533&lt;40,W1533&gt;=75),0.22,0)+IF(AND(V1533&gt;=40,V1533&lt;75,W1533&lt;75),0.26,0)+IF(AND(V1533&gt;=40,V1533&lt;75,W1533&gt;=75),0.22,0)+IF(V1533&gt;=75,0.22,0),
IF(AF1533="DoEVold",IF(AND(V1533&lt;40,W1533&lt;35),0.35,0)+IF(AND(V1533&lt;40,W1533&gt;=35,W1533&lt;75),0.25,0)+IF(AND(V1533&lt;40,W1533&gt;=75),0.17,0)+IF(AND(V1533&gt;=40,V1533&lt;75,W1533&lt;25),0.35,0)+IF(AND(V1533&gt;=40,V1533&lt;75,W1533&gt;=25,W1533&lt;65),0.25,0)+IF(AND(V1533&gt;=40,V1533&lt;75,W1533&gt;=65,W1533&lt;100),0.17,0)+IF(AND(V1533&gt;=40,V1533&lt;75,W1533&gt;=100),0.1,0)+IF(AND(V1533&gt;=75,W1533&lt;25),0.35,0)+IF(AND(V1533&gt;=75,W1533&gt;=25,W1533&lt;60),0.25,0)+IF(AND(V1533&gt;=75,W1533&gt;=60,W1533&lt;95),0.17,0)+IF(AND(V1533&gt;=75,W1533&gt;=95),0.1,0),
IF(AF1533="DoEVold15",IF(AND(V1533&lt;=40,W1533&lt;35),0.35,0)+IF(AND(V1533&lt;=40,W1533&gt;=35,W1533&lt;75),0.25,0)+IF(AND(V1533&lt;=40,W1533&gt;=75,W1533&lt;120),0.17,0)+IF(AND(V1533&lt;=40,W1533&gt;=120),0.15,0)+IF(AND(V1533&gt;40,V1533&lt;75,W1533&lt;25),0.35,0)+IF(AND(V1533&gt;=40,V1533&lt;75,W1533&gt;=25,W1533&lt;65),0.25,0)+IF(AND(V1533&gt;=40,V1533&lt;75,W1533&gt;=65,W1533&lt;100),0.17,0)+IF(AND(V1533&gt;=40,V1533&lt;75,W1533&gt;=100),0.1,0)+IF(AND(V1533&gt;=75,W1533&lt;25),0.35,0)+IF(AND(V1533&gt;=75,W1533&gt;=25,W1533&lt;60),0.25,0)+IF(AND(V1533&gt;=75,W1533&gt;=60,W1533&lt;95),0.17,0)+IF(AND(V1533&gt;=75,W1533&gt;=95),0.1,0),
IF(AF1533="DoEVba",IF(AND(V1533&lt;20,W1533&lt;105),0.2,0)+IF(AND(V1533&lt;20,W1533&gt;=105),0.15,0)+IF(AND(V1533&gt;=20,V1533&lt;40,W1533&lt;95),0.2,0)+IF(AND(V1533&gt;=20,V1533&lt;40,W1533&gt;=95,W1533&lt;150),0.15,0)+IF(AND(V1533&gt;=20,V1533&lt;40,W1533&gt;=150),0.12,0)+IF(AND(V1533&gt;=40,V1533&lt;75,W1533&lt;75),0.2,0)+IF(AND(V1533&gt;=40,V1533&lt;75,W1533&gt;=75,W1533&lt;120),0.15,0)+IF(AND(V1533&gt;=40,V1533&lt;75,W1533&gt;=120),0.12,0)+IF(AND(V1533&gt;=75,V1533&lt;175,W1533&lt;65),0.2,0)+IF(AND(V1533&gt;=75,V1533&lt;175,W1533&gt;=65,W1533&lt;110),0.15,0)+IF(AND(V1533&gt;=75,V1533&lt;175,W1533&gt;=110),0.12,0)+IF(AND(V1533&gt;=175,W1533&lt;55),0.2,0)+IF(AND(V1533&gt;=175,W1533&gt;=55,W1533&lt;95),0.15,0)+IF(AND(V1533&gt;=175,W1533&gt;=95),0.12,0),
IF(AF1533="DoEVku",IF(AND(V1533&lt;20,W1533&lt;55),0.23,0)+IF(AND(V1533&lt;20,W1533&gt;=55,W1533&lt;105),0.2,0)+IF(AND(V1533&lt;20,W1533&gt;=105),0.17,0)+IF(AND(V1533&gt;=20,V1533&lt;40,W1533&lt;45),0.23,0)+IF(AND(V1533&gt;=20,V1533&lt;40,W1533&gt;=45,W1533&lt;95),0.2,0)+IF(AND(V1533&gt;=20,V1533&lt;40,W1533&gt;=95,W1533&lt;=150),0.17,0)+IF(AND(V1533&gt;=20,V1533&lt;40,W1533&gt;=150),0.12,0)+IF(AND(V1533&gt;=40,V1533&lt;75,W1533&lt;35),0.23,0)+IF(AND(V1533&gt;=40,V1533&lt;75,W1533&gt;=35,W1533&lt;75),0.2,0)+IF(AND(V1533&gt;=40,V1533&lt;75,W1533&gt;=75,W1533&lt;120),0.17,0)+IF(AND(V1533&gt;=40,V1533&lt;75,W1533&gt;=120),0.12,0)+IF(AND(V1533&gt;=75,V1533&lt;175,W1533&lt;35),0.23,0)+IF(AND(V1533&gt;=75,V1533&lt;=175,W1533&gt;=35,W1533&lt;65),0.2,0)+IF(AND(V1533&gt;=75,V1533&lt;=175,W1533&gt;=65,W1533&lt;110),0.17,0)+IF(AND(V1533&gt;=75,V1533&lt;=175,W1533&gt;=110),0.12,0)+IF(AND(V1533&gt;175,W1533&lt;25),0.23,0)+IF(AND(V1533&gt;175,W1533&gt;=25,W1533&lt;55),0.2,0)+IF(AND(V1533&gt;175,W1533&gt;=55,W1533&lt;95),0.17,0)+IF(AND(V1533&gt;175,W1533&gt;=95),0.12,0),
IF(AF1533="DoEVs1",IF(AND(V1533&lt;20,W1533&lt;55),0.3,0)+IF(AND(V1533&lt;20,W1533&gt;=55,W1533&lt;105),0.23,0)+IF(AND(V1533&lt;20,W1533&gt;=105),0.17,0)+IF(AND(V1533&gt;=20,V1533&lt;40,W1533&lt;45),0.3,0)+IF(AND(V1533&gt;=20,V1533&lt;40,W1533&gt;=45,W1533&lt;95),0.23,0)+IF(AND(V1533&gt;=20,V1533&lt;40,W1533&gt;=95,W1533&lt;=150),0.17,0)+IF(AND(V1533&gt;=20,V1533&lt;40,W1533&gt;=150),0.12,0)+IF(AND(V1533&gt;=40,V1533&lt;75,W1533&lt;35),0.3,0)+IF(AND(V1533&gt;=40,V1533&lt;75,W1533&gt;=35,W1533&lt;75),0.23,0)+IF(AND(V1533&gt;=40,V1533&lt;75,W1533&gt;=75,W1533&lt;120),0.17,0)+IF(AND(V1533&gt;=40,V1533&lt;75,W1533&gt;=120),0.12,0)+IF(AND(V1533&gt;=75,V1533&lt;175,W1533&lt;35),0.3,0)+IF(AND(V1533&gt;=75,V1533&lt;=175,W1533&gt;=35,W1533&lt;65),0.23,0)+IF(AND(V1533&gt;=75,V1533&lt;=175,W1533&gt;=65,W1533&lt;110),0.17,0)+IF(AND(V1533&gt;=75,V1533&lt;=175,W1533&gt;=110),0.12,0)+IF(AND(V1533&gt;175,W1533&lt;25),0.3,0)+IF(AND(V1533&gt;175,W1533&gt;=25,W1533&lt;55),0.23,0)+IF(AND(V1533&gt;175,W1533&gt;=55,W1533&lt;95),0.17,0)+IF(AND(V1533&gt;175,W1533&gt;=95),0.12,0),
IF(AF1533="DoEVsu",IF(AND(V1533&lt;20,W1533&lt;55),0.3,0)+IF(AND(V1533&lt;20,W1533&gt;=55,W1533&lt;105),0.23,0)+IF(AND(V1533&lt;20,W1533&gt;=105),0.17,0)+IF(AND(V1533&gt;=20,V1533&lt;40,W1533&lt;45),0.3,0)+IF(AND(V1533&gt;=20,V1533&lt;40,W1533&gt;=45,W1533&lt;95),0.23,0)+IF(AND(V1533&gt;=20,V1533&lt;40,W1533&gt;=95,W1533&lt;=250),0.17,0)+IF(AND(V1533&gt;=20,V1533&lt;40,W1533&gt;=250),0.12,0)+IF(AND(V1533&gt;=40,V1533&lt;75,W1533&lt;35),0.3,0)+IF(AND(V1533&gt;=40,V1533&lt;75,W1533&gt;=35,W1533&lt;75),0.23,0)+IF(AND(V1533&gt;=40,V1533&lt;75,W1533&gt;=75,W1533&lt;120),0.17,0)+IF(AND(V1533&gt;=40,V1533&lt;75,W1533&gt;=120),0.12,0)+IF(AND(V1533&gt;=75,V1533&lt;175,W1533&lt;35),0.3,0)+IF(AND(V1533&gt;=75,V1533&lt;=175,W1533&gt;=35,W1533&lt;65),0.23,0)+IF(AND(V1533&gt;=75,V1533&lt;=175,W1533&gt;=65,W1533&lt;110),0.17,0)+IF(AND(V1533&gt;=75,V1533&lt;=175,W1533&gt;=110),0.12,0)+IF(AND(V1533&gt;175,W1533&lt;25),0.3,0)+IF(AND(V1533&gt;175,W1533&gt;=25,W1533&lt;55),0.23,0)+IF(AND(V1533&gt;175,W1533&gt;=55,W1533&lt;95),0.17,0)+IF(AND(V1533&gt;175,W1533&gt;=95),0.12,0),
IF(AF1533="DoEVni",IF(AND(V1533&lt;20,W1533&lt;55),0.3,0)+IF(AND(V1533&lt;20,W1533&gt;=55,W1533&lt;105),0.23,0)+IF(AND(V1533&lt;20,W1533&gt;=105),0.17,0)+IF(AND(V1533&gt;=20,V1533&lt;40,W1533&lt;45),0.3,0)+IF(AND(V1533&gt;=20,V1533&lt;40,W1533&gt;=45,W1533&lt;95),0.23,0)+IF(AND(V1533&gt;=20,V1533&lt;40,W1533&gt;=95,W1533&lt;=200),0.17,0)+IF(AND(V1533&gt;=20,V1533&lt;40,W1533&gt;=200),0.12,0)+IF(AND(V1533&gt;=40,V1533&lt;75,W1533&lt;35),0.3,0)+IF(AND(V1533&gt;=40,V1533&lt;75,W1533&gt;=35,W1533&lt;75),0.23,0)+IF(AND(V1533&gt;=40,V1533&lt;75,W1533&gt;=75,W1533&lt;120),0.17,0)+IF(AND(V1533&gt;=40,V1533&lt;75,W1533&gt;=120),0.12,0)+IF(AND(V1533&gt;=75,V1533&lt;175,W1533&lt;35),0.3,0)+IF(AND(V1533&gt;=75,V1533&lt;=175,W1533&gt;=35,W1533&lt;65),0.23,0)+IF(AND(V1533&gt;=75,V1533&lt;=175,W1533&gt;=65,W1533&lt;110),0.17,0)+IF(AND(V1533&gt;=75,V1533&lt;=175,W1533&gt;=110),0.12,0)+IF(AND(V1533&gt;175,W1533&lt;25),0.3,0)+IF(AND(V1533&gt;175,W1533&gt;=25,W1533&lt;55),0.23,0)+IF(AND(V1533&gt;175,W1533&gt;=55,W1533&lt;95),0.17,0)+IF(AND(V1533&gt;175,W1533&gt;=95),0.12,0),
IF(AF1533="DoEVLo",IF(AND(V1533&lt;20,W1533&lt;55),0.25,0)+IF(AND(V1533&lt;20,W1533&gt;=55,W1533&lt;105),0.2,0)+IF(AND(V1533&lt;20,W1533&gt;=105),0.15,0)+IF(AND(V1533&gt;=20,V1533&lt;40,W1533&lt;45),0.25,0)+IF(AND(V1533&gt;=20,V1533&lt;40,W1533&gt;=45,W1533&lt;95),0.2,0)+IF(AND(V1533&gt;=20,V1533&lt;40,W1533&gt;=95),0.15,0)+IF(AND(V1533&gt;=40,V1533&lt;75,W1533&lt;35),0.25,0)+IF(AND(V1533&gt;=40,V1533&lt;75,W1533&gt;=35,W1533&lt;75),0.2,0)+IF(AND(V1533&gt;=40,V1533&lt;75,W1533&gt;=75,W1533&lt;120),0.15,0)+IF(AND(V1533&gt;=40,V1533&lt;75,W1533&gt;=120),0.1,0)+IF(AND(V1533&gt;=75,V1533&lt;175,W1533&lt;35),0.25,0)+IF(AND(V1533&gt;=75,V1533&lt;=175,W1533&gt;=35,W1533&lt;65),0.2,0)+IF(AND(V1533&gt;=75,V1533&lt;=175,W1533&gt;=65,W1533&lt;110),0.15,0)+IF(AND(V1533&gt;=75,V1533&lt;=175,W1533&gt;=110),0.1,0)+IF(AND(V1533&gt;175,W1533&lt;25),0.25,0)+IF(AND(V1533&gt;175,W1533&gt;=25,W1533&lt;55),0.2,0)+IF(AND(V1533&gt;175,W1533&gt;=55,W1533&lt;95),0.15,0)+IF(AND(V1533&gt;175,W1533&gt;=95),0.1,0))))))))))))))))))))</f>
        <v>0.17</v>
      </c>
      <c r="Y1533" s="30">
        <f>IF(AG1533="None",0,IF(AG1533="Fix5",0.05, IF(AG1533="Fix6.25",0.0625,IF(AG1533="Fix3.75",0.0375, IF(AG1533="Fix11",0.11, IF(AG1533="Fix10",0.1,IF(AG1533="Fix3",0.03,0)))))))</f>
        <v>0</v>
      </c>
      <c r="Z1533" s="35">
        <f>IF(AND(AD1533="EUR", AE1533 = "USD"), T1533*U1533-AA1533-AB1533, T1533-AA1533-AB1533)</f>
        <v>7.47</v>
      </c>
      <c r="AA1533" s="29">
        <f>IF(AND(AD1533="EUR", F1533="Without EV deal", AE1533="USD"), (T1533*X1533)*U1533,
IF(AND(AD1533="EUR", F1533="Without EV deal", AE1533="EUR"), (T1533*X1533),
IF(AND(AD1533="EUR",AE1533="USD"), (T1533*X1533)*U1533,
T1533*X1533)))</f>
        <v>1.53</v>
      </c>
      <c r="AB1533" s="36">
        <f>IF(AND(AD1533="EUR", F1533="Without EV deal", AE1533="USD"), (T1533*Y1533)*U1533,
IF(AND(AD1533="EUR", F1533="Without EV deal", AE1533="EUR"), (T1533*Y1533),
IF(AND(AD1533="EUR",AE1533="USD"), (T1533*Y1533)*U1533,
T1533*Y1533)))</f>
        <v>0</v>
      </c>
      <c r="AC1533" s="37" t="b">
        <v>1</v>
      </c>
      <c r="AD1533" s="82" t="str">
        <f>IF(OR(H1533="€0.25 Flash",
H1533="€0.25(nitro) new",
H1533="€1",
H1533="€2",
H1533="€2 (bf 01.08)",
H1533="€5",
H1533="€5 (1M)",
H1533="€5 (bf 01.08)",
H1533="€5 (bf 05.05)",
H1533="€5 Nitro",
H1533="€5(wx) new",
H1533="€10",
H1533="€10 (1M)",
H1533="€10 (bf 01.08)",
H1533="€10 (bf 05.05)",
H1533="€10 (MP)",
H1533="€10 (old)",
H1533="€10 Nitro (bf 05.05)",
H1533="€10 Nitro (old)",
H1533="€10(wx) new",
H1533="€20",
H1533="€25",
H1533="€25 (bf 01.08)",
H1533="€25 (bf 05.05)",
H1533="€25 (MP)",
H1533="€25 (old)",
H1533="€25 Nitro",
H1533="€25 Nitro (bf 01.08)",
H1533="€25 Nitro (bf 05.05)",
H1533="€25(nitro) new",
H1533="€25(wx) new",
H1533="€50",
H1533="€50 (bf 01.08)",
H1533="€50 (bf 05.05)",
H1533="€50 (old)",
H1533="€50 Nitro",
H1533="€50 Nitro (bf 01.08)",
H1533="€50 Nitro (bf 05.05)",
H1533="€50(wx) new",
H1533="€100",
H1533="€100 (old)",
H1533="€100 Nitro",
H1533="€100 Nitro (old)",
H1533="€200",
H1533="€250",
H1533="€250 Nitro",
H1533="€500",
H1533="€500 Nitro"),"EUR", "USD")</f>
        <v>USD</v>
      </c>
      <c r="AE1533" s="83" t="s">
        <v>38</v>
      </c>
      <c r="AF1533" s="83" t="str">
        <f t="array" ref="AF1533">INDEX('Deal Info'!D:D, MATCH(A1533,'Deal Info'!A:A, 0))</f>
        <v>DoEVold</v>
      </c>
      <c r="AG1533" s="84" t="str">
        <f t="array" ref="AG1533">INDEX('Deal Info'!G:G, MATCH(A1533,'Deal Info'!A:A, 0))</f>
        <v>None</v>
      </c>
    </row>
    <row r="1534" spans="1:33" ht="14.25" hidden="1" x14ac:dyDescent="0.2">
      <c r="A1534" s="18" t="str">
        <f t="array" ref="A1534">IF(G1534='Room Info'!$B$1, INDEX('Room Info'!$A$2:$A2446, MATCH(B1534,'Room Info'!$B$2:$B2446, 0)),IF(G1534='Room Info'!$C$1, INDEX('Room Info'!$A$2:$A2446, MATCH(B1534,'Room Info'!$C$2:$C2446, 0)),IF(G1534='Room Info'!$D$1, INDEX('Room Info'!$A$2:$A2446, MATCH(B1534,'Room Info'!$D$2:$D2446, 0)),IF(G1534='Room Info'!$E$1, INDEX('Room Info'!$A$2:$A2446, MATCH(B1534,'Room Info'!$E$2:$E2446, 0)),IF(G1534='Room Info'!$F$1, INDEX('Room Info'!$A$2:$A2446, MATCH(B1534,'Room Info'!$F$2:$F2446, 0)),IF(G1534='Room Info'!$H$1, INDEX('Room Info'!$A$2:$A2446, MATCH(B1534,'Room Info'!$H$2:$H2446, 0)),IF(G1534='Room Info'!$G$1, INDEX('Room Info'!$A$2:$A2446, MATCH(B1534,'Room Info'!$G$2:$G2446, 0)))))))))</f>
        <v>kttweek1</v>
      </c>
      <c r="B1534" s="45" t="s">
        <v>175</v>
      </c>
      <c r="C1534" s="46">
        <v>44958</v>
      </c>
      <c r="D1534" s="46">
        <v>44985</v>
      </c>
      <c r="E1534" s="80">
        <v>44958</v>
      </c>
      <c r="F1534" s="45" t="s">
        <v>49</v>
      </c>
      <c r="G1534" s="18" t="s">
        <v>35</v>
      </c>
      <c r="H1534" s="49" t="s">
        <v>46</v>
      </c>
      <c r="I1534" s="49" t="s">
        <v>37</v>
      </c>
      <c r="J1534" s="39">
        <v>25</v>
      </c>
      <c r="K1534" s="75">
        <v>2389</v>
      </c>
      <c r="L1534" s="72">
        <v>1500</v>
      </c>
      <c r="M1534" s="62"/>
      <c r="N1534" s="28">
        <f>K1534*J1534</f>
        <v>59725</v>
      </c>
      <c r="O1534" s="45">
        <v>67717</v>
      </c>
      <c r="P1534" s="29">
        <v>28.34533278</v>
      </c>
      <c r="Q1534" s="55"/>
      <c r="R1534" s="31">
        <f>M1534+Q1534*J1534*K1534*0.07</f>
        <v>0</v>
      </c>
      <c r="S1534" s="73">
        <v>-222</v>
      </c>
      <c r="T1534" s="32">
        <f>IF(AND(AD1534="EUR", F1534="Without EV deal"), R1534 + L1534,
IF(AND(AD1534="USD", F1534="Without EV deal"), R1534 + L1534,
IF(AND(AD1534="EUR", F1534="Steel Phoenix"), R1534 + S1534/U1534,
R1534 + S1534)))</f>
        <v>-222</v>
      </c>
      <c r="U1534" s="57"/>
      <c r="V1534" s="69">
        <v>23.398049087476402</v>
      </c>
      <c r="W1534" s="69">
        <v>152.14943718984924</v>
      </c>
      <c r="X1534" s="30">
        <f>IF(AF1534="DoEV",IF(AND(V1534&lt;20,W1534&lt;55),0.3,0)+IF(AND(V1534&lt;20,W1534&gt;=55,W1534&lt;105),0.23,0)+IF(AND(V1534&lt;20,W1534&gt;=105),0.17,0)+IF(AND(V1534&gt;=20,V1534&lt;40,W1534&lt;45),0.3,0)+IF(AND(V1534&gt;=20,V1534&lt;40,W1534&gt;=45,W1534&lt;95),0.23,0)+IF(AND(V1534&gt;=20,V1534&lt;40,W1534&gt;=95),0.17,0)+IF(AND(V1534&gt;=40,V1534&lt;75,W1534&lt;35),0.3,0)+IF(AND(V1534&gt;=40,V1534&lt;75,W1534&gt;=35,W1534&lt;75),0.23,0)+IF(AND(V1534&gt;=40,V1534&lt;75,W1534&gt;=75,W1534&lt;120),0.17,0)+IF(AND(V1534&gt;=40,V1534&lt;75,W1534&gt;=120),0.12,0)+IF(AND(V1534&gt;=75,V1534&lt;175,W1534&lt;35),0.3,0)+IF(AND(V1534&gt;=75,V1534&lt;=175,W1534&gt;=35,W1534&lt;65),0.23,0)+IF(AND(V1534&gt;=75,V1534&lt;=175,W1534&gt;=65,W1534&lt;110),0.17,0)+IF(AND(V1534&gt;=75,V1534&lt;=175,W1534&gt;=110),0.12,0)+IF(AND(V1534&gt;175,W1534&lt;25),0.3,0)+IF(AND(V1534&gt;175,W1534&gt;=25,W1534&lt;55),0.23,0)+IF(AND(V1534&gt;175,W1534&gt;=55,W1534&lt;95),0.17,0)+IF(AND(V1534&gt;175,W1534&gt;=95),0.12,0),
IF(AF1534="Fix15",0.15,
IF(AF1534="Fix5",0.05,
IF(AF1534="Fix18.75",0.1875,
IF(AF1534="Fix11.25",0.1125,
IF(AF1534="Fix10",0.1,
IF(AF1534="Fix9",0.09,
IF(AF1534="Fix12",0.12,
IF(AF1534="Fix19",0.19,
IF(AF1534="DoEV2017",IF(AND(W1534&lt;74),0.2,0)+IF(AND(W1534&gt;=74),0.17,0),
IF(AF1534="SF",IF(AND(V1534&lt;20,W1534&lt;89),0.3,0)+IF(AND(V1534&lt;20,W1534&gt;=89),0.25,0)+IF(AND(V1534&gt;=20,V1534&lt;40,W1534&lt;74),0.3,0)+IF(AND(V1534&gt;=20,V1534&lt;40,W1534&gt;=75),0.22,0)+IF(AND(V1534&gt;=40,V1534&lt;75,W1534&lt;75),0.26,0)+IF(AND(V1534&gt;=40,V1534&lt;75,W1534&gt;=75),0.22,0)+IF(V1534&gt;=75,0.22,0),
IF(AF1534="DoEVold",IF(AND(V1534&lt;40,W1534&lt;35),0.35,0)+IF(AND(V1534&lt;40,W1534&gt;=35,W1534&lt;75),0.25,0)+IF(AND(V1534&lt;40,W1534&gt;=75),0.17,0)+IF(AND(V1534&gt;=40,V1534&lt;75,W1534&lt;25),0.35,0)+IF(AND(V1534&gt;=40,V1534&lt;75,W1534&gt;=25,W1534&lt;65),0.25,0)+IF(AND(V1534&gt;=40,V1534&lt;75,W1534&gt;=65,W1534&lt;100),0.17,0)+IF(AND(V1534&gt;=40,V1534&lt;75,W1534&gt;=100),0.1,0)+IF(AND(V1534&gt;=75,W1534&lt;25),0.35,0)+IF(AND(V1534&gt;=75,W1534&gt;=25,W1534&lt;60),0.25,0)+IF(AND(V1534&gt;=75,W1534&gt;=60,W1534&lt;95),0.17,0)+IF(AND(V1534&gt;=75,W1534&gt;=95),0.1,0),
IF(AF1534="DoEVold15",IF(AND(V1534&lt;=40,W1534&lt;35),0.35,0)+IF(AND(V1534&lt;=40,W1534&gt;=35,W1534&lt;75),0.25,0)+IF(AND(V1534&lt;=40,W1534&gt;=75,W1534&lt;120),0.17,0)+IF(AND(V1534&lt;=40,W1534&gt;=120),0.15,0)+IF(AND(V1534&gt;40,V1534&lt;75,W1534&lt;25),0.35,0)+IF(AND(V1534&gt;=40,V1534&lt;75,W1534&gt;=25,W1534&lt;65),0.25,0)+IF(AND(V1534&gt;=40,V1534&lt;75,W1534&gt;=65,W1534&lt;100),0.17,0)+IF(AND(V1534&gt;=40,V1534&lt;75,W1534&gt;=100),0.1,0)+IF(AND(V1534&gt;=75,W1534&lt;25),0.35,0)+IF(AND(V1534&gt;=75,W1534&gt;=25,W1534&lt;60),0.25,0)+IF(AND(V1534&gt;=75,W1534&gt;=60,W1534&lt;95),0.17,0)+IF(AND(V1534&gt;=75,W1534&gt;=95),0.1,0),
IF(AF1534="DoEVba",IF(AND(V1534&lt;20,W1534&lt;105),0.2,0)+IF(AND(V1534&lt;20,W1534&gt;=105),0.15,0)+IF(AND(V1534&gt;=20,V1534&lt;40,W1534&lt;95),0.2,0)+IF(AND(V1534&gt;=20,V1534&lt;40,W1534&gt;=95,W1534&lt;150),0.15,0)+IF(AND(V1534&gt;=20,V1534&lt;40,W1534&gt;=150),0.12,0)+IF(AND(V1534&gt;=40,V1534&lt;75,W1534&lt;75),0.2,0)+IF(AND(V1534&gt;=40,V1534&lt;75,W1534&gt;=75,W1534&lt;120),0.15,0)+IF(AND(V1534&gt;=40,V1534&lt;75,W1534&gt;=120),0.12,0)+IF(AND(V1534&gt;=75,V1534&lt;175,W1534&lt;65),0.2,0)+IF(AND(V1534&gt;=75,V1534&lt;175,W1534&gt;=65,W1534&lt;110),0.15,0)+IF(AND(V1534&gt;=75,V1534&lt;175,W1534&gt;=110),0.12,0)+IF(AND(V1534&gt;=175,W1534&lt;55),0.2,0)+IF(AND(V1534&gt;=175,W1534&gt;=55,W1534&lt;95),0.15,0)+IF(AND(V1534&gt;=175,W1534&gt;=95),0.12,0),
IF(AF1534="DoEVku",IF(AND(V1534&lt;20,W1534&lt;55),0.23,0)+IF(AND(V1534&lt;20,W1534&gt;=55,W1534&lt;105),0.2,0)+IF(AND(V1534&lt;20,W1534&gt;=105),0.17,0)+IF(AND(V1534&gt;=20,V1534&lt;40,W1534&lt;45),0.23,0)+IF(AND(V1534&gt;=20,V1534&lt;40,W1534&gt;=45,W1534&lt;95),0.2,0)+IF(AND(V1534&gt;=20,V1534&lt;40,W1534&gt;=95,W1534&lt;=150),0.17,0)+IF(AND(V1534&gt;=20,V1534&lt;40,W1534&gt;=150),0.12,0)+IF(AND(V1534&gt;=40,V1534&lt;75,W1534&lt;35),0.23,0)+IF(AND(V1534&gt;=40,V1534&lt;75,W1534&gt;=35,W1534&lt;75),0.2,0)+IF(AND(V1534&gt;=40,V1534&lt;75,W1534&gt;=75,W1534&lt;120),0.17,0)+IF(AND(V1534&gt;=40,V1534&lt;75,W1534&gt;=120),0.12,0)+IF(AND(V1534&gt;=75,V1534&lt;175,W1534&lt;35),0.23,0)+IF(AND(V1534&gt;=75,V1534&lt;=175,W1534&gt;=35,W1534&lt;65),0.2,0)+IF(AND(V1534&gt;=75,V1534&lt;=175,W1534&gt;=65,W1534&lt;110),0.17,0)+IF(AND(V1534&gt;=75,V1534&lt;=175,W1534&gt;=110),0.12,0)+IF(AND(V1534&gt;175,W1534&lt;25),0.23,0)+IF(AND(V1534&gt;175,W1534&gt;=25,W1534&lt;55),0.2,0)+IF(AND(V1534&gt;175,W1534&gt;=55,W1534&lt;95),0.17,0)+IF(AND(V1534&gt;175,W1534&gt;=95),0.12,0),
IF(AF1534="DoEVs1",IF(AND(V1534&lt;20,W1534&lt;55),0.3,0)+IF(AND(V1534&lt;20,W1534&gt;=55,W1534&lt;105),0.23,0)+IF(AND(V1534&lt;20,W1534&gt;=105),0.17,0)+IF(AND(V1534&gt;=20,V1534&lt;40,W1534&lt;45),0.3,0)+IF(AND(V1534&gt;=20,V1534&lt;40,W1534&gt;=45,W1534&lt;95),0.23,0)+IF(AND(V1534&gt;=20,V1534&lt;40,W1534&gt;=95,W1534&lt;=150),0.17,0)+IF(AND(V1534&gt;=20,V1534&lt;40,W1534&gt;=150),0.12,0)+IF(AND(V1534&gt;=40,V1534&lt;75,W1534&lt;35),0.3,0)+IF(AND(V1534&gt;=40,V1534&lt;75,W1534&gt;=35,W1534&lt;75),0.23,0)+IF(AND(V1534&gt;=40,V1534&lt;75,W1534&gt;=75,W1534&lt;120),0.17,0)+IF(AND(V1534&gt;=40,V1534&lt;75,W1534&gt;=120),0.12,0)+IF(AND(V1534&gt;=75,V1534&lt;175,W1534&lt;35),0.3,0)+IF(AND(V1534&gt;=75,V1534&lt;=175,W1534&gt;=35,W1534&lt;65),0.23,0)+IF(AND(V1534&gt;=75,V1534&lt;=175,W1534&gt;=65,W1534&lt;110),0.17,0)+IF(AND(V1534&gt;=75,V1534&lt;=175,W1534&gt;=110),0.12,0)+IF(AND(V1534&gt;175,W1534&lt;25),0.3,0)+IF(AND(V1534&gt;175,W1534&gt;=25,W1534&lt;55),0.23,0)+IF(AND(V1534&gt;175,W1534&gt;=55,W1534&lt;95),0.17,0)+IF(AND(V1534&gt;175,W1534&gt;=95),0.12,0),
IF(AF1534="DoEVsu",IF(AND(V1534&lt;20,W1534&lt;55),0.3,0)+IF(AND(V1534&lt;20,W1534&gt;=55,W1534&lt;105),0.23,0)+IF(AND(V1534&lt;20,W1534&gt;=105),0.17,0)+IF(AND(V1534&gt;=20,V1534&lt;40,W1534&lt;45),0.3,0)+IF(AND(V1534&gt;=20,V1534&lt;40,W1534&gt;=45,W1534&lt;95),0.23,0)+IF(AND(V1534&gt;=20,V1534&lt;40,W1534&gt;=95,W1534&lt;=250),0.17,0)+IF(AND(V1534&gt;=20,V1534&lt;40,W1534&gt;=250),0.12,0)+IF(AND(V1534&gt;=40,V1534&lt;75,W1534&lt;35),0.3,0)+IF(AND(V1534&gt;=40,V1534&lt;75,W1534&gt;=35,W1534&lt;75),0.23,0)+IF(AND(V1534&gt;=40,V1534&lt;75,W1534&gt;=75,W1534&lt;120),0.17,0)+IF(AND(V1534&gt;=40,V1534&lt;75,W1534&gt;=120),0.12,0)+IF(AND(V1534&gt;=75,V1534&lt;175,W1534&lt;35),0.3,0)+IF(AND(V1534&gt;=75,V1534&lt;=175,W1534&gt;=35,W1534&lt;65),0.23,0)+IF(AND(V1534&gt;=75,V1534&lt;=175,W1534&gt;=65,W1534&lt;110),0.17,0)+IF(AND(V1534&gt;=75,V1534&lt;=175,W1534&gt;=110),0.12,0)+IF(AND(V1534&gt;175,W1534&lt;25),0.3,0)+IF(AND(V1534&gt;175,W1534&gt;=25,W1534&lt;55),0.23,0)+IF(AND(V1534&gt;175,W1534&gt;=55,W1534&lt;95),0.17,0)+IF(AND(V1534&gt;175,W1534&gt;=95),0.12,0),
IF(AF1534="DoEVni",IF(AND(V1534&lt;20,W1534&lt;55),0.3,0)+IF(AND(V1534&lt;20,W1534&gt;=55,W1534&lt;105),0.23,0)+IF(AND(V1534&lt;20,W1534&gt;=105),0.17,0)+IF(AND(V1534&gt;=20,V1534&lt;40,W1534&lt;45),0.3,0)+IF(AND(V1534&gt;=20,V1534&lt;40,W1534&gt;=45,W1534&lt;95),0.23,0)+IF(AND(V1534&gt;=20,V1534&lt;40,W1534&gt;=95,W1534&lt;=200),0.17,0)+IF(AND(V1534&gt;=20,V1534&lt;40,W1534&gt;=200),0.12,0)+IF(AND(V1534&gt;=40,V1534&lt;75,W1534&lt;35),0.3,0)+IF(AND(V1534&gt;=40,V1534&lt;75,W1534&gt;=35,W1534&lt;75),0.23,0)+IF(AND(V1534&gt;=40,V1534&lt;75,W1534&gt;=75,W1534&lt;120),0.17,0)+IF(AND(V1534&gt;=40,V1534&lt;75,W1534&gt;=120),0.12,0)+IF(AND(V1534&gt;=75,V1534&lt;175,W1534&lt;35),0.3,0)+IF(AND(V1534&gt;=75,V1534&lt;=175,W1534&gt;=35,W1534&lt;65),0.23,0)+IF(AND(V1534&gt;=75,V1534&lt;=175,W1534&gt;=65,W1534&lt;110),0.17,0)+IF(AND(V1534&gt;=75,V1534&lt;=175,W1534&gt;=110),0.12,0)+IF(AND(V1534&gt;175,W1534&lt;25),0.3,0)+IF(AND(V1534&gt;175,W1534&gt;=25,W1534&lt;55),0.23,0)+IF(AND(V1534&gt;175,W1534&gt;=55,W1534&lt;95),0.17,0)+IF(AND(V1534&gt;175,W1534&gt;=95),0.12,0),
IF(AF1534="DoEVLo",IF(AND(V1534&lt;20,W1534&lt;55),0.25,0)+IF(AND(V1534&lt;20,W1534&gt;=55,W1534&lt;105),0.2,0)+IF(AND(V1534&lt;20,W1534&gt;=105),0.15,0)+IF(AND(V1534&gt;=20,V1534&lt;40,W1534&lt;45),0.25,0)+IF(AND(V1534&gt;=20,V1534&lt;40,W1534&gt;=45,W1534&lt;95),0.2,0)+IF(AND(V1534&gt;=20,V1534&lt;40,W1534&gt;=95),0.15,0)+IF(AND(V1534&gt;=40,V1534&lt;75,W1534&lt;35),0.25,0)+IF(AND(V1534&gt;=40,V1534&lt;75,W1534&gt;=35,W1534&lt;75),0.2,0)+IF(AND(V1534&gt;=40,V1534&lt;75,W1534&gt;=75,W1534&lt;120),0.15,0)+IF(AND(V1534&gt;=40,V1534&lt;75,W1534&gt;=120),0.1,0)+IF(AND(V1534&gt;=75,V1534&lt;175,W1534&lt;35),0.25,0)+IF(AND(V1534&gt;=75,V1534&lt;=175,W1534&gt;=35,W1534&lt;65),0.2,0)+IF(AND(V1534&gt;=75,V1534&lt;=175,W1534&gt;=65,W1534&lt;110),0.15,0)+IF(AND(V1534&gt;=75,V1534&lt;=175,W1534&gt;=110),0.1,0)+IF(AND(V1534&gt;175,W1534&lt;25),0.25,0)+IF(AND(V1534&gt;175,W1534&gt;=25,W1534&lt;55),0.2,0)+IF(AND(V1534&gt;175,W1534&gt;=55,W1534&lt;95),0.15,0)+IF(AND(V1534&gt;175,W1534&gt;=95),0.1,0))))))))))))))))))))</f>
        <v>0.17</v>
      </c>
      <c r="Y1534" s="30">
        <f>IF(AG1534="None",0,IF(AG1534="Fix5",0.05, IF(AG1534="Fix6.25",0.0625,IF(AG1534="Fix3.75",0.0375, IF(AG1534="Fix11",0.11, IF(AG1534="Fix10",0.1,IF(AG1534="Fix3",0.03,0)))))))</f>
        <v>0</v>
      </c>
      <c r="Z1534" s="35">
        <f>IF(AND(AD1534="EUR", AE1534 = "USD"), T1534*U1534-AA1534-AB1534, T1534-AA1534-AB1534)</f>
        <v>-184.26</v>
      </c>
      <c r="AA1534" s="29">
        <f>IF(AND(AD1534="EUR", F1534="Without EV deal", AE1534="USD"), (T1534*X1534)*U1534,
IF(AND(AD1534="EUR", F1534="Without EV deal", AE1534="EUR"), (T1534*X1534),
IF(AND(AD1534="EUR",AE1534="USD"), (T1534*X1534)*U1534,
T1534*X1534)))</f>
        <v>-37.74</v>
      </c>
      <c r="AB1534" s="36">
        <f>IF(AND(AD1534="EUR", F1534="Without EV deal", AE1534="USD"), (T1534*Y1534)*U1534,
IF(AND(AD1534="EUR", F1534="Without EV deal", AE1534="EUR"), (T1534*Y1534),
IF(AND(AD1534="EUR",AE1534="USD"), (T1534*Y1534)*U1534,
T1534*Y1534)))</f>
        <v>0</v>
      </c>
      <c r="AC1534" s="37" t="b">
        <v>1</v>
      </c>
      <c r="AD1534" s="82" t="str">
        <f>IF(OR(H1534="€0.25 Flash",
H1534="€0.25(nitro) new",
H1534="€1",
H1534="€2",
H1534="€2 (bf 01.08)",
H1534="€5",
H1534="€5 (1M)",
H1534="€5 (bf 01.08)",
H1534="€5 (bf 05.05)",
H1534="€5 Nitro",
H1534="€5(wx) new",
H1534="€10",
H1534="€10 (1M)",
H1534="€10 (bf 01.08)",
H1534="€10 (bf 05.05)",
H1534="€10 (MP)",
H1534="€10 (old)",
H1534="€10 Nitro (bf 05.05)",
H1534="€10 Nitro (old)",
H1534="€10(wx) new",
H1534="€20",
H1534="€25",
H1534="€25 (bf 01.08)",
H1534="€25 (bf 05.05)",
H1534="€25 (MP)",
H1534="€25 (old)",
H1534="€25 Nitro",
H1534="€25 Nitro (bf 01.08)",
H1534="€25 Nitro (bf 05.05)",
H1534="€25(nitro) new",
H1534="€25(wx) new",
H1534="€50",
H1534="€50 (bf 01.08)",
H1534="€50 (bf 05.05)",
H1534="€50 (old)",
H1534="€50 Nitro",
H1534="€50 Nitro (bf 01.08)",
H1534="€50 Nitro (bf 05.05)",
H1534="€50(wx) new",
H1534="€100",
H1534="€100 (old)",
H1534="€100 Nitro",
H1534="€100 Nitro (old)",
H1534="€200",
H1534="€250",
H1534="€250 Nitro",
H1534="€500",
H1534="€500 Nitro"),"EUR", "USD")</f>
        <v>USD</v>
      </c>
      <c r="AE1534" s="83" t="s">
        <v>38</v>
      </c>
      <c r="AF1534" s="83" t="str">
        <f t="array" ref="AF1534">INDEX('Deal Info'!D:D, MATCH(A1534,'Deal Info'!A:A, 0))</f>
        <v>DoEVold</v>
      </c>
      <c r="AG1534" s="84" t="str">
        <f t="array" ref="AG1534">INDEX('Deal Info'!G:G, MATCH(A1534,'Deal Info'!A:A, 0))</f>
        <v>None</v>
      </c>
    </row>
    <row r="1535" spans="1:33" ht="14.25" hidden="1" x14ac:dyDescent="0.2">
      <c r="A1535" s="18" t="str">
        <f t="array" ref="A1535">IF(G1535='Room Info'!$B$1, INDEX('Room Info'!$A$2:$A2446, MATCH(B1535,'Room Info'!$B$2:$B2446, 0)),IF(G1535='Room Info'!$C$1, INDEX('Room Info'!$A$2:$A2446, MATCH(B1535,'Room Info'!$C$2:$C2446, 0)),IF(G1535='Room Info'!$D$1, INDEX('Room Info'!$A$2:$A2446, MATCH(B1535,'Room Info'!$D$2:$D2446, 0)),IF(G1535='Room Info'!$E$1, INDEX('Room Info'!$A$2:$A2446, MATCH(B1535,'Room Info'!$E$2:$E2446, 0)),IF(G1535='Room Info'!$F$1, INDEX('Room Info'!$A$2:$A2446, MATCH(B1535,'Room Info'!$F$2:$F2446, 0)),IF(G1535='Room Info'!$H$1, INDEX('Room Info'!$A$2:$A2446, MATCH(B1535,'Room Info'!$H$2:$H2446, 0)),IF(G1535='Room Info'!$G$1, INDEX('Room Info'!$A$2:$A2446, MATCH(B1535,'Room Info'!$G$2:$G2446, 0)))))))))</f>
        <v>kttweek1</v>
      </c>
      <c r="B1535" s="45" t="s">
        <v>175</v>
      </c>
      <c r="C1535" s="46">
        <v>44958</v>
      </c>
      <c r="D1535" s="46">
        <v>44985</v>
      </c>
      <c r="E1535" s="80">
        <v>44958</v>
      </c>
      <c r="F1535" s="45" t="s">
        <v>49</v>
      </c>
      <c r="G1535" s="18" t="s">
        <v>35</v>
      </c>
      <c r="H1535" s="49" t="s">
        <v>87</v>
      </c>
      <c r="I1535" s="49" t="s">
        <v>44</v>
      </c>
      <c r="J1535" s="39">
        <v>25</v>
      </c>
      <c r="K1535" s="75">
        <v>364</v>
      </c>
      <c r="L1535" s="72">
        <v>-175</v>
      </c>
      <c r="M1535" s="62"/>
      <c r="N1535" s="28">
        <f>K1535*J1535</f>
        <v>9100</v>
      </c>
      <c r="O1535" s="45">
        <v>1720</v>
      </c>
      <c r="P1535" s="29">
        <v>4.7252747250000002</v>
      </c>
      <c r="Q1535" s="55"/>
      <c r="R1535" s="31">
        <f>M1535+Q1535*J1535*K1535*0.07</f>
        <v>0</v>
      </c>
      <c r="S1535" s="73">
        <v>-380</v>
      </c>
      <c r="T1535" s="32">
        <f>IF(AND(AD1535="EUR", F1535="Without EV deal"), R1535 + L1535,
IF(AND(AD1535="USD", F1535="Without EV deal"), R1535 + L1535,
IF(AND(AD1535="EUR", F1535="Steel Phoenix"), R1535 + S1535/U1535,
R1535 + S1535)))</f>
        <v>-380</v>
      </c>
      <c r="U1535" s="57"/>
      <c r="V1535" s="69">
        <v>23.398049087476402</v>
      </c>
      <c r="W1535" s="69">
        <v>152.14943718984924</v>
      </c>
      <c r="X1535" s="30">
        <f>IF(AF1535="DoEV",IF(AND(V1535&lt;20,W1535&lt;55),0.3,0)+IF(AND(V1535&lt;20,W1535&gt;=55,W1535&lt;105),0.23,0)+IF(AND(V1535&lt;20,W1535&gt;=105),0.17,0)+IF(AND(V1535&gt;=20,V1535&lt;40,W1535&lt;45),0.3,0)+IF(AND(V1535&gt;=20,V1535&lt;40,W1535&gt;=45,W1535&lt;95),0.23,0)+IF(AND(V1535&gt;=20,V1535&lt;40,W1535&gt;=95),0.17,0)+IF(AND(V1535&gt;=40,V1535&lt;75,W1535&lt;35),0.3,0)+IF(AND(V1535&gt;=40,V1535&lt;75,W1535&gt;=35,W1535&lt;75),0.23,0)+IF(AND(V1535&gt;=40,V1535&lt;75,W1535&gt;=75,W1535&lt;120),0.17,0)+IF(AND(V1535&gt;=40,V1535&lt;75,W1535&gt;=120),0.12,0)+IF(AND(V1535&gt;=75,V1535&lt;175,W1535&lt;35),0.3,0)+IF(AND(V1535&gt;=75,V1535&lt;=175,W1535&gt;=35,W1535&lt;65),0.23,0)+IF(AND(V1535&gt;=75,V1535&lt;=175,W1535&gt;=65,W1535&lt;110),0.17,0)+IF(AND(V1535&gt;=75,V1535&lt;=175,W1535&gt;=110),0.12,0)+IF(AND(V1535&gt;175,W1535&lt;25),0.3,0)+IF(AND(V1535&gt;175,W1535&gt;=25,W1535&lt;55),0.23,0)+IF(AND(V1535&gt;175,W1535&gt;=55,W1535&lt;95),0.17,0)+IF(AND(V1535&gt;175,W1535&gt;=95),0.12,0),
IF(AF1535="Fix15",0.15,
IF(AF1535="Fix5",0.05,
IF(AF1535="Fix18.75",0.1875,
IF(AF1535="Fix11.25",0.1125,
IF(AF1535="Fix10",0.1,
IF(AF1535="Fix9",0.09,
IF(AF1535="Fix12",0.12,
IF(AF1535="Fix19",0.19,
IF(AF1535="DoEV2017",IF(AND(W1535&lt;74),0.2,0)+IF(AND(W1535&gt;=74),0.17,0),
IF(AF1535="SF",IF(AND(V1535&lt;20,W1535&lt;89),0.3,0)+IF(AND(V1535&lt;20,W1535&gt;=89),0.25,0)+IF(AND(V1535&gt;=20,V1535&lt;40,W1535&lt;74),0.3,0)+IF(AND(V1535&gt;=20,V1535&lt;40,W1535&gt;=75),0.22,0)+IF(AND(V1535&gt;=40,V1535&lt;75,W1535&lt;75),0.26,0)+IF(AND(V1535&gt;=40,V1535&lt;75,W1535&gt;=75),0.22,0)+IF(V1535&gt;=75,0.22,0),
IF(AF1535="DoEVold",IF(AND(V1535&lt;40,W1535&lt;35),0.35,0)+IF(AND(V1535&lt;40,W1535&gt;=35,W1535&lt;75),0.25,0)+IF(AND(V1535&lt;40,W1535&gt;=75),0.17,0)+IF(AND(V1535&gt;=40,V1535&lt;75,W1535&lt;25),0.35,0)+IF(AND(V1535&gt;=40,V1535&lt;75,W1535&gt;=25,W1535&lt;65),0.25,0)+IF(AND(V1535&gt;=40,V1535&lt;75,W1535&gt;=65,W1535&lt;100),0.17,0)+IF(AND(V1535&gt;=40,V1535&lt;75,W1535&gt;=100),0.1,0)+IF(AND(V1535&gt;=75,W1535&lt;25),0.35,0)+IF(AND(V1535&gt;=75,W1535&gt;=25,W1535&lt;60),0.25,0)+IF(AND(V1535&gt;=75,W1535&gt;=60,W1535&lt;95),0.17,0)+IF(AND(V1535&gt;=75,W1535&gt;=95),0.1,0),
IF(AF1535="DoEVold15",IF(AND(V1535&lt;=40,W1535&lt;35),0.35,0)+IF(AND(V1535&lt;=40,W1535&gt;=35,W1535&lt;75),0.25,0)+IF(AND(V1535&lt;=40,W1535&gt;=75,W1535&lt;120),0.17,0)+IF(AND(V1535&lt;=40,W1535&gt;=120),0.15,0)+IF(AND(V1535&gt;40,V1535&lt;75,W1535&lt;25),0.35,0)+IF(AND(V1535&gt;=40,V1535&lt;75,W1535&gt;=25,W1535&lt;65),0.25,0)+IF(AND(V1535&gt;=40,V1535&lt;75,W1535&gt;=65,W1535&lt;100),0.17,0)+IF(AND(V1535&gt;=40,V1535&lt;75,W1535&gt;=100),0.1,0)+IF(AND(V1535&gt;=75,W1535&lt;25),0.35,0)+IF(AND(V1535&gt;=75,W1535&gt;=25,W1535&lt;60),0.25,0)+IF(AND(V1535&gt;=75,W1535&gt;=60,W1535&lt;95),0.17,0)+IF(AND(V1535&gt;=75,W1535&gt;=95),0.1,0),
IF(AF1535="DoEVba",IF(AND(V1535&lt;20,W1535&lt;105),0.2,0)+IF(AND(V1535&lt;20,W1535&gt;=105),0.15,0)+IF(AND(V1535&gt;=20,V1535&lt;40,W1535&lt;95),0.2,0)+IF(AND(V1535&gt;=20,V1535&lt;40,W1535&gt;=95,W1535&lt;150),0.15,0)+IF(AND(V1535&gt;=20,V1535&lt;40,W1535&gt;=150),0.12,0)+IF(AND(V1535&gt;=40,V1535&lt;75,W1535&lt;75),0.2,0)+IF(AND(V1535&gt;=40,V1535&lt;75,W1535&gt;=75,W1535&lt;120),0.15,0)+IF(AND(V1535&gt;=40,V1535&lt;75,W1535&gt;=120),0.12,0)+IF(AND(V1535&gt;=75,V1535&lt;175,W1535&lt;65),0.2,0)+IF(AND(V1535&gt;=75,V1535&lt;175,W1535&gt;=65,W1535&lt;110),0.15,0)+IF(AND(V1535&gt;=75,V1535&lt;175,W1535&gt;=110),0.12,0)+IF(AND(V1535&gt;=175,W1535&lt;55),0.2,0)+IF(AND(V1535&gt;=175,W1535&gt;=55,W1535&lt;95),0.15,0)+IF(AND(V1535&gt;=175,W1535&gt;=95),0.12,0),
IF(AF1535="DoEVku",IF(AND(V1535&lt;20,W1535&lt;55),0.23,0)+IF(AND(V1535&lt;20,W1535&gt;=55,W1535&lt;105),0.2,0)+IF(AND(V1535&lt;20,W1535&gt;=105),0.17,0)+IF(AND(V1535&gt;=20,V1535&lt;40,W1535&lt;45),0.23,0)+IF(AND(V1535&gt;=20,V1535&lt;40,W1535&gt;=45,W1535&lt;95),0.2,0)+IF(AND(V1535&gt;=20,V1535&lt;40,W1535&gt;=95,W1535&lt;=150),0.17,0)+IF(AND(V1535&gt;=20,V1535&lt;40,W1535&gt;=150),0.12,0)+IF(AND(V1535&gt;=40,V1535&lt;75,W1535&lt;35),0.23,0)+IF(AND(V1535&gt;=40,V1535&lt;75,W1535&gt;=35,W1535&lt;75),0.2,0)+IF(AND(V1535&gt;=40,V1535&lt;75,W1535&gt;=75,W1535&lt;120),0.17,0)+IF(AND(V1535&gt;=40,V1535&lt;75,W1535&gt;=120),0.12,0)+IF(AND(V1535&gt;=75,V1535&lt;175,W1535&lt;35),0.23,0)+IF(AND(V1535&gt;=75,V1535&lt;=175,W1535&gt;=35,W1535&lt;65),0.2,0)+IF(AND(V1535&gt;=75,V1535&lt;=175,W1535&gt;=65,W1535&lt;110),0.17,0)+IF(AND(V1535&gt;=75,V1535&lt;=175,W1535&gt;=110),0.12,0)+IF(AND(V1535&gt;175,W1535&lt;25),0.23,0)+IF(AND(V1535&gt;175,W1535&gt;=25,W1535&lt;55),0.2,0)+IF(AND(V1535&gt;175,W1535&gt;=55,W1535&lt;95),0.17,0)+IF(AND(V1535&gt;175,W1535&gt;=95),0.12,0),
IF(AF1535="DoEVs1",IF(AND(V1535&lt;20,W1535&lt;55),0.3,0)+IF(AND(V1535&lt;20,W1535&gt;=55,W1535&lt;105),0.23,0)+IF(AND(V1535&lt;20,W1535&gt;=105),0.17,0)+IF(AND(V1535&gt;=20,V1535&lt;40,W1535&lt;45),0.3,0)+IF(AND(V1535&gt;=20,V1535&lt;40,W1535&gt;=45,W1535&lt;95),0.23,0)+IF(AND(V1535&gt;=20,V1535&lt;40,W1535&gt;=95,W1535&lt;=150),0.17,0)+IF(AND(V1535&gt;=20,V1535&lt;40,W1535&gt;=150),0.12,0)+IF(AND(V1535&gt;=40,V1535&lt;75,W1535&lt;35),0.3,0)+IF(AND(V1535&gt;=40,V1535&lt;75,W1535&gt;=35,W1535&lt;75),0.23,0)+IF(AND(V1535&gt;=40,V1535&lt;75,W1535&gt;=75,W1535&lt;120),0.17,0)+IF(AND(V1535&gt;=40,V1535&lt;75,W1535&gt;=120),0.12,0)+IF(AND(V1535&gt;=75,V1535&lt;175,W1535&lt;35),0.3,0)+IF(AND(V1535&gt;=75,V1535&lt;=175,W1535&gt;=35,W1535&lt;65),0.23,0)+IF(AND(V1535&gt;=75,V1535&lt;=175,W1535&gt;=65,W1535&lt;110),0.17,0)+IF(AND(V1535&gt;=75,V1535&lt;=175,W1535&gt;=110),0.12,0)+IF(AND(V1535&gt;175,W1535&lt;25),0.3,0)+IF(AND(V1535&gt;175,W1535&gt;=25,W1535&lt;55),0.23,0)+IF(AND(V1535&gt;175,W1535&gt;=55,W1535&lt;95),0.17,0)+IF(AND(V1535&gt;175,W1535&gt;=95),0.12,0),
IF(AF1535="DoEVsu",IF(AND(V1535&lt;20,W1535&lt;55),0.3,0)+IF(AND(V1535&lt;20,W1535&gt;=55,W1535&lt;105),0.23,0)+IF(AND(V1535&lt;20,W1535&gt;=105),0.17,0)+IF(AND(V1535&gt;=20,V1535&lt;40,W1535&lt;45),0.3,0)+IF(AND(V1535&gt;=20,V1535&lt;40,W1535&gt;=45,W1535&lt;95),0.23,0)+IF(AND(V1535&gt;=20,V1535&lt;40,W1535&gt;=95,W1535&lt;=250),0.17,0)+IF(AND(V1535&gt;=20,V1535&lt;40,W1535&gt;=250),0.12,0)+IF(AND(V1535&gt;=40,V1535&lt;75,W1535&lt;35),0.3,0)+IF(AND(V1535&gt;=40,V1535&lt;75,W1535&gt;=35,W1535&lt;75),0.23,0)+IF(AND(V1535&gt;=40,V1535&lt;75,W1535&gt;=75,W1535&lt;120),0.17,0)+IF(AND(V1535&gt;=40,V1535&lt;75,W1535&gt;=120),0.12,0)+IF(AND(V1535&gt;=75,V1535&lt;175,W1535&lt;35),0.3,0)+IF(AND(V1535&gt;=75,V1535&lt;=175,W1535&gt;=35,W1535&lt;65),0.23,0)+IF(AND(V1535&gt;=75,V1535&lt;=175,W1535&gt;=65,W1535&lt;110),0.17,0)+IF(AND(V1535&gt;=75,V1535&lt;=175,W1535&gt;=110),0.12,0)+IF(AND(V1535&gt;175,W1535&lt;25),0.3,0)+IF(AND(V1535&gt;175,W1535&gt;=25,W1535&lt;55),0.23,0)+IF(AND(V1535&gt;175,W1535&gt;=55,W1535&lt;95),0.17,0)+IF(AND(V1535&gt;175,W1535&gt;=95),0.12,0),
IF(AF1535="DoEVni",IF(AND(V1535&lt;20,W1535&lt;55),0.3,0)+IF(AND(V1535&lt;20,W1535&gt;=55,W1535&lt;105),0.23,0)+IF(AND(V1535&lt;20,W1535&gt;=105),0.17,0)+IF(AND(V1535&gt;=20,V1535&lt;40,W1535&lt;45),0.3,0)+IF(AND(V1535&gt;=20,V1535&lt;40,W1535&gt;=45,W1535&lt;95),0.23,0)+IF(AND(V1535&gt;=20,V1535&lt;40,W1535&gt;=95,W1535&lt;=200),0.17,0)+IF(AND(V1535&gt;=20,V1535&lt;40,W1535&gt;=200),0.12,0)+IF(AND(V1535&gt;=40,V1535&lt;75,W1535&lt;35),0.3,0)+IF(AND(V1535&gt;=40,V1535&lt;75,W1535&gt;=35,W1535&lt;75),0.23,0)+IF(AND(V1535&gt;=40,V1535&lt;75,W1535&gt;=75,W1535&lt;120),0.17,0)+IF(AND(V1535&gt;=40,V1535&lt;75,W1535&gt;=120),0.12,0)+IF(AND(V1535&gt;=75,V1535&lt;175,W1535&lt;35),0.3,0)+IF(AND(V1535&gt;=75,V1535&lt;=175,W1535&gt;=35,W1535&lt;65),0.23,0)+IF(AND(V1535&gt;=75,V1535&lt;=175,W1535&gt;=65,W1535&lt;110),0.17,0)+IF(AND(V1535&gt;=75,V1535&lt;=175,W1535&gt;=110),0.12,0)+IF(AND(V1535&gt;175,W1535&lt;25),0.3,0)+IF(AND(V1535&gt;175,W1535&gt;=25,W1535&lt;55),0.23,0)+IF(AND(V1535&gt;175,W1535&gt;=55,W1535&lt;95),0.17,0)+IF(AND(V1535&gt;175,W1535&gt;=95),0.12,0),
IF(AF1535="DoEVLo",IF(AND(V1535&lt;20,W1535&lt;55),0.25,0)+IF(AND(V1535&lt;20,W1535&gt;=55,W1535&lt;105),0.2,0)+IF(AND(V1535&lt;20,W1535&gt;=105),0.15,0)+IF(AND(V1535&gt;=20,V1535&lt;40,W1535&lt;45),0.25,0)+IF(AND(V1535&gt;=20,V1535&lt;40,W1535&gt;=45,W1535&lt;95),0.2,0)+IF(AND(V1535&gt;=20,V1535&lt;40,W1535&gt;=95),0.15,0)+IF(AND(V1535&gt;=40,V1535&lt;75,W1535&lt;35),0.25,0)+IF(AND(V1535&gt;=40,V1535&lt;75,W1535&gt;=35,W1535&lt;75),0.2,0)+IF(AND(V1535&gt;=40,V1535&lt;75,W1535&gt;=75,W1535&lt;120),0.15,0)+IF(AND(V1535&gt;=40,V1535&lt;75,W1535&gt;=120),0.1,0)+IF(AND(V1535&gt;=75,V1535&lt;175,W1535&lt;35),0.25,0)+IF(AND(V1535&gt;=75,V1535&lt;=175,W1535&gt;=35,W1535&lt;65),0.2,0)+IF(AND(V1535&gt;=75,V1535&lt;=175,W1535&gt;=65,W1535&lt;110),0.15,0)+IF(AND(V1535&gt;=75,V1535&lt;=175,W1535&gt;=110),0.1,0)+IF(AND(V1535&gt;175,W1535&lt;25),0.25,0)+IF(AND(V1535&gt;175,W1535&gt;=25,W1535&lt;55),0.2,0)+IF(AND(V1535&gt;175,W1535&gt;=55,W1535&lt;95),0.15,0)+IF(AND(V1535&gt;175,W1535&gt;=95),0.1,0))))))))))))))))))))</f>
        <v>0.17</v>
      </c>
      <c r="Y1535" s="30">
        <f>IF(AG1535="None",0,IF(AG1535="Fix5",0.05, IF(AG1535="Fix6.25",0.0625,IF(AG1535="Fix3.75",0.0375, IF(AG1535="Fix11",0.11, IF(AG1535="Fix10",0.1,IF(AG1535="Fix3",0.03,0)))))))</f>
        <v>0</v>
      </c>
      <c r="Z1535" s="35">
        <f>IF(AND(AD1535="EUR", AE1535 = "USD"), T1535*U1535-AA1535-AB1535, T1535-AA1535-AB1535)</f>
        <v>-315.39999999999998</v>
      </c>
      <c r="AA1535" s="29">
        <f>IF(AND(AD1535="EUR", F1535="Without EV deal", AE1535="USD"), (T1535*X1535)*U1535,
IF(AND(AD1535="EUR", F1535="Without EV deal", AE1535="EUR"), (T1535*X1535),
IF(AND(AD1535="EUR",AE1535="USD"), (T1535*X1535)*U1535,
T1535*X1535)))</f>
        <v>-64.600000000000009</v>
      </c>
      <c r="AB1535" s="36">
        <f>IF(AND(AD1535="EUR", F1535="Without EV deal", AE1535="USD"), (T1535*Y1535)*U1535,
IF(AND(AD1535="EUR", F1535="Without EV deal", AE1535="EUR"), (T1535*Y1535),
IF(AND(AD1535="EUR",AE1535="USD"), (T1535*Y1535)*U1535,
T1535*Y1535)))</f>
        <v>0</v>
      </c>
      <c r="AC1535" s="37" t="b">
        <v>1</v>
      </c>
      <c r="AD1535" s="82" t="str">
        <f>IF(OR(H1535="€0.25 Flash",
H1535="€0.25(nitro) new",
H1535="€1",
H1535="€2",
H1535="€2 (bf 01.08)",
H1535="€5",
H1535="€5 (1M)",
H1535="€5 (bf 01.08)",
H1535="€5 (bf 05.05)",
H1535="€5 Nitro",
H1535="€5(wx) new",
H1535="€10",
H1535="€10 (1M)",
H1535="€10 (bf 01.08)",
H1535="€10 (bf 05.05)",
H1535="€10 (MP)",
H1535="€10 (old)",
H1535="€10 Nitro (bf 05.05)",
H1535="€10 Nitro (old)",
H1535="€10(wx) new",
H1535="€20",
H1535="€25",
H1535="€25 (bf 01.08)",
H1535="€25 (bf 05.05)",
H1535="€25 (MP)",
H1535="€25 (old)",
H1535="€25 Nitro",
H1535="€25 Nitro (bf 01.08)",
H1535="€25 Nitro (bf 05.05)",
H1535="€25(nitro) new",
H1535="€25(wx) new",
H1535="€50",
H1535="€50 (bf 01.08)",
H1535="€50 (bf 05.05)",
H1535="€50 (old)",
H1535="€50 Nitro",
H1535="€50 Nitro (bf 01.08)",
H1535="€50 Nitro (bf 05.05)",
H1535="€50(wx) new",
H1535="€100",
H1535="€100 (old)",
H1535="€100 Nitro",
H1535="€100 Nitro (old)",
H1535="€200",
H1535="€250",
H1535="€250 Nitro",
H1535="€500",
H1535="€500 Nitro"),"EUR", "USD")</f>
        <v>USD</v>
      </c>
      <c r="AE1535" s="83" t="s">
        <v>38</v>
      </c>
      <c r="AF1535" s="83" t="str">
        <f t="array" ref="AF1535">INDEX('Deal Info'!D:D, MATCH(A1535,'Deal Info'!A:A, 0))</f>
        <v>DoEVold</v>
      </c>
      <c r="AG1535" s="84" t="str">
        <f t="array" ref="AG1535">INDEX('Deal Info'!G:G, MATCH(A1535,'Deal Info'!A:A, 0))</f>
        <v>None</v>
      </c>
    </row>
    <row r="1536" spans="1:33" ht="14.25" hidden="1" x14ac:dyDescent="0.2">
      <c r="A1536" s="18" t="str">
        <f t="array" ref="A1536">IF(G1536='Room Info'!$B$1, INDEX('Room Info'!$A$2:$A2446, MATCH(B1536,'Room Info'!$B$2:$B2446, 0)),IF(G1536='Room Info'!$C$1, INDEX('Room Info'!$A$2:$A2446, MATCH(B1536,'Room Info'!$C$2:$C2446, 0)),IF(G1536='Room Info'!$D$1, INDEX('Room Info'!$A$2:$A2446, MATCH(B1536,'Room Info'!$D$2:$D2446, 0)),IF(G1536='Room Info'!$E$1, INDEX('Room Info'!$A$2:$A2446, MATCH(B1536,'Room Info'!$E$2:$E2446, 0)),IF(G1536='Room Info'!$F$1, INDEX('Room Info'!$A$2:$A2446, MATCH(B1536,'Room Info'!$F$2:$F2446, 0)),IF(G1536='Room Info'!$H$1, INDEX('Room Info'!$A$2:$A2446, MATCH(B1536,'Room Info'!$H$2:$H2446, 0)),IF(G1536='Room Info'!$G$1, INDEX('Room Info'!$A$2:$A2446, MATCH(B1536,'Room Info'!$G$2:$G2446, 0)))))))))</f>
        <v>kttweek1</v>
      </c>
      <c r="B1536" s="45" t="s">
        <v>175</v>
      </c>
      <c r="C1536" s="46">
        <v>44958</v>
      </c>
      <c r="D1536" s="46">
        <v>44985</v>
      </c>
      <c r="E1536" s="80">
        <v>44958</v>
      </c>
      <c r="F1536" s="45" t="s">
        <v>49</v>
      </c>
      <c r="G1536" s="18" t="s">
        <v>35</v>
      </c>
      <c r="H1536" s="49" t="s">
        <v>72</v>
      </c>
      <c r="I1536" s="49" t="s">
        <v>37</v>
      </c>
      <c r="J1536" s="39">
        <v>50</v>
      </c>
      <c r="K1536" s="51">
        <v>36</v>
      </c>
      <c r="L1536" s="52">
        <v>750</v>
      </c>
      <c r="M1536" s="53"/>
      <c r="N1536" s="28">
        <f>K1536*J1536</f>
        <v>1800</v>
      </c>
      <c r="O1536" s="54">
        <v>4526</v>
      </c>
      <c r="P1536" s="29">
        <v>125.7222222</v>
      </c>
      <c r="Q1536" s="55"/>
      <c r="R1536" s="31">
        <f>M1536+Q1536*J1536*K1536*0.07</f>
        <v>0</v>
      </c>
      <c r="S1536" s="56">
        <v>318</v>
      </c>
      <c r="T1536" s="32">
        <f>IF(AND(AD1536="EUR", F1536="Without EV deal"), R1536 + L1536,
IF(AND(AD1536="USD", F1536="Without EV deal"), R1536 + L1536,
IF(AND(AD1536="EUR", F1536="Steel Phoenix"), R1536 + S1536/U1536,
R1536 + S1536)))</f>
        <v>318</v>
      </c>
      <c r="U1536" s="57"/>
      <c r="V1536" s="69">
        <v>23.398049087476402</v>
      </c>
      <c r="W1536" s="69">
        <v>152.14943718984924</v>
      </c>
      <c r="X1536" s="30">
        <f>IF(AF1536="DoEV",IF(AND(V1536&lt;20,W1536&lt;55),0.3,0)+IF(AND(V1536&lt;20,W1536&gt;=55,W1536&lt;105),0.23,0)+IF(AND(V1536&lt;20,W1536&gt;=105),0.17,0)+IF(AND(V1536&gt;=20,V1536&lt;40,W1536&lt;45),0.3,0)+IF(AND(V1536&gt;=20,V1536&lt;40,W1536&gt;=45,W1536&lt;95),0.23,0)+IF(AND(V1536&gt;=20,V1536&lt;40,W1536&gt;=95),0.17,0)+IF(AND(V1536&gt;=40,V1536&lt;75,W1536&lt;35),0.3,0)+IF(AND(V1536&gt;=40,V1536&lt;75,W1536&gt;=35,W1536&lt;75),0.23,0)+IF(AND(V1536&gt;=40,V1536&lt;75,W1536&gt;=75,W1536&lt;120),0.17,0)+IF(AND(V1536&gt;=40,V1536&lt;75,W1536&gt;=120),0.12,0)+IF(AND(V1536&gt;=75,V1536&lt;175,W1536&lt;35),0.3,0)+IF(AND(V1536&gt;=75,V1536&lt;=175,W1536&gt;=35,W1536&lt;65),0.23,0)+IF(AND(V1536&gt;=75,V1536&lt;=175,W1536&gt;=65,W1536&lt;110),0.17,0)+IF(AND(V1536&gt;=75,V1536&lt;=175,W1536&gt;=110),0.12,0)+IF(AND(V1536&gt;175,W1536&lt;25),0.3,0)+IF(AND(V1536&gt;175,W1536&gt;=25,W1536&lt;55),0.23,0)+IF(AND(V1536&gt;175,W1536&gt;=55,W1536&lt;95),0.17,0)+IF(AND(V1536&gt;175,W1536&gt;=95),0.12,0),
IF(AF1536="Fix15",0.15,
IF(AF1536="Fix5",0.05,
IF(AF1536="Fix18.75",0.1875,
IF(AF1536="Fix11.25",0.1125,
IF(AF1536="Fix10",0.1,
IF(AF1536="Fix9",0.09,
IF(AF1536="Fix12",0.12,
IF(AF1536="Fix19",0.19,
IF(AF1536="DoEV2017",IF(AND(W1536&lt;74),0.2,0)+IF(AND(W1536&gt;=74),0.17,0),
IF(AF1536="SF",IF(AND(V1536&lt;20,W1536&lt;89),0.3,0)+IF(AND(V1536&lt;20,W1536&gt;=89),0.25,0)+IF(AND(V1536&gt;=20,V1536&lt;40,W1536&lt;74),0.3,0)+IF(AND(V1536&gt;=20,V1536&lt;40,W1536&gt;=75),0.22,0)+IF(AND(V1536&gt;=40,V1536&lt;75,W1536&lt;75),0.26,0)+IF(AND(V1536&gt;=40,V1536&lt;75,W1536&gt;=75),0.22,0)+IF(V1536&gt;=75,0.22,0),
IF(AF1536="DoEVold",IF(AND(V1536&lt;40,W1536&lt;35),0.35,0)+IF(AND(V1536&lt;40,W1536&gt;=35,W1536&lt;75),0.25,0)+IF(AND(V1536&lt;40,W1536&gt;=75),0.17,0)+IF(AND(V1536&gt;=40,V1536&lt;75,W1536&lt;25),0.35,0)+IF(AND(V1536&gt;=40,V1536&lt;75,W1536&gt;=25,W1536&lt;65),0.25,0)+IF(AND(V1536&gt;=40,V1536&lt;75,W1536&gt;=65,W1536&lt;100),0.17,0)+IF(AND(V1536&gt;=40,V1536&lt;75,W1536&gt;=100),0.1,0)+IF(AND(V1536&gt;=75,W1536&lt;25),0.35,0)+IF(AND(V1536&gt;=75,W1536&gt;=25,W1536&lt;60),0.25,0)+IF(AND(V1536&gt;=75,W1536&gt;=60,W1536&lt;95),0.17,0)+IF(AND(V1536&gt;=75,W1536&gt;=95),0.1,0),
IF(AF1536="DoEVold15",IF(AND(V1536&lt;=40,W1536&lt;35),0.35,0)+IF(AND(V1536&lt;=40,W1536&gt;=35,W1536&lt;75),0.25,0)+IF(AND(V1536&lt;=40,W1536&gt;=75,W1536&lt;120),0.17,0)+IF(AND(V1536&lt;=40,W1536&gt;=120),0.15,0)+IF(AND(V1536&gt;40,V1536&lt;75,W1536&lt;25),0.35,0)+IF(AND(V1536&gt;=40,V1536&lt;75,W1536&gt;=25,W1536&lt;65),0.25,0)+IF(AND(V1536&gt;=40,V1536&lt;75,W1536&gt;=65,W1536&lt;100),0.17,0)+IF(AND(V1536&gt;=40,V1536&lt;75,W1536&gt;=100),0.1,0)+IF(AND(V1536&gt;=75,W1536&lt;25),0.35,0)+IF(AND(V1536&gt;=75,W1536&gt;=25,W1536&lt;60),0.25,0)+IF(AND(V1536&gt;=75,W1536&gt;=60,W1536&lt;95),0.17,0)+IF(AND(V1536&gt;=75,W1536&gt;=95),0.1,0),
IF(AF1536="DoEVba",IF(AND(V1536&lt;20,W1536&lt;105),0.2,0)+IF(AND(V1536&lt;20,W1536&gt;=105),0.15,0)+IF(AND(V1536&gt;=20,V1536&lt;40,W1536&lt;95),0.2,0)+IF(AND(V1536&gt;=20,V1536&lt;40,W1536&gt;=95,W1536&lt;150),0.15,0)+IF(AND(V1536&gt;=20,V1536&lt;40,W1536&gt;=150),0.12,0)+IF(AND(V1536&gt;=40,V1536&lt;75,W1536&lt;75),0.2,0)+IF(AND(V1536&gt;=40,V1536&lt;75,W1536&gt;=75,W1536&lt;120),0.15,0)+IF(AND(V1536&gt;=40,V1536&lt;75,W1536&gt;=120),0.12,0)+IF(AND(V1536&gt;=75,V1536&lt;175,W1536&lt;65),0.2,0)+IF(AND(V1536&gt;=75,V1536&lt;175,W1536&gt;=65,W1536&lt;110),0.15,0)+IF(AND(V1536&gt;=75,V1536&lt;175,W1536&gt;=110),0.12,0)+IF(AND(V1536&gt;=175,W1536&lt;55),0.2,0)+IF(AND(V1536&gt;=175,W1536&gt;=55,W1536&lt;95),0.15,0)+IF(AND(V1536&gt;=175,W1536&gt;=95),0.12,0),
IF(AF1536="DoEVku",IF(AND(V1536&lt;20,W1536&lt;55),0.23,0)+IF(AND(V1536&lt;20,W1536&gt;=55,W1536&lt;105),0.2,0)+IF(AND(V1536&lt;20,W1536&gt;=105),0.17,0)+IF(AND(V1536&gt;=20,V1536&lt;40,W1536&lt;45),0.23,0)+IF(AND(V1536&gt;=20,V1536&lt;40,W1536&gt;=45,W1536&lt;95),0.2,0)+IF(AND(V1536&gt;=20,V1536&lt;40,W1536&gt;=95,W1536&lt;=150),0.17,0)+IF(AND(V1536&gt;=20,V1536&lt;40,W1536&gt;=150),0.12,0)+IF(AND(V1536&gt;=40,V1536&lt;75,W1536&lt;35),0.23,0)+IF(AND(V1536&gt;=40,V1536&lt;75,W1536&gt;=35,W1536&lt;75),0.2,0)+IF(AND(V1536&gt;=40,V1536&lt;75,W1536&gt;=75,W1536&lt;120),0.17,0)+IF(AND(V1536&gt;=40,V1536&lt;75,W1536&gt;=120),0.12,0)+IF(AND(V1536&gt;=75,V1536&lt;175,W1536&lt;35),0.23,0)+IF(AND(V1536&gt;=75,V1536&lt;=175,W1536&gt;=35,W1536&lt;65),0.2,0)+IF(AND(V1536&gt;=75,V1536&lt;=175,W1536&gt;=65,W1536&lt;110),0.17,0)+IF(AND(V1536&gt;=75,V1536&lt;=175,W1536&gt;=110),0.12,0)+IF(AND(V1536&gt;175,W1536&lt;25),0.23,0)+IF(AND(V1536&gt;175,W1536&gt;=25,W1536&lt;55),0.2,0)+IF(AND(V1536&gt;175,W1536&gt;=55,W1536&lt;95),0.17,0)+IF(AND(V1536&gt;175,W1536&gt;=95),0.12,0),
IF(AF1536="DoEVs1",IF(AND(V1536&lt;20,W1536&lt;55),0.3,0)+IF(AND(V1536&lt;20,W1536&gt;=55,W1536&lt;105),0.23,0)+IF(AND(V1536&lt;20,W1536&gt;=105),0.17,0)+IF(AND(V1536&gt;=20,V1536&lt;40,W1536&lt;45),0.3,0)+IF(AND(V1536&gt;=20,V1536&lt;40,W1536&gt;=45,W1536&lt;95),0.23,0)+IF(AND(V1536&gt;=20,V1536&lt;40,W1536&gt;=95,W1536&lt;=150),0.17,0)+IF(AND(V1536&gt;=20,V1536&lt;40,W1536&gt;=150),0.12,0)+IF(AND(V1536&gt;=40,V1536&lt;75,W1536&lt;35),0.3,0)+IF(AND(V1536&gt;=40,V1536&lt;75,W1536&gt;=35,W1536&lt;75),0.23,0)+IF(AND(V1536&gt;=40,V1536&lt;75,W1536&gt;=75,W1536&lt;120),0.17,0)+IF(AND(V1536&gt;=40,V1536&lt;75,W1536&gt;=120),0.12,0)+IF(AND(V1536&gt;=75,V1536&lt;175,W1536&lt;35),0.3,0)+IF(AND(V1536&gt;=75,V1536&lt;=175,W1536&gt;=35,W1536&lt;65),0.23,0)+IF(AND(V1536&gt;=75,V1536&lt;=175,W1536&gt;=65,W1536&lt;110),0.17,0)+IF(AND(V1536&gt;=75,V1536&lt;=175,W1536&gt;=110),0.12,0)+IF(AND(V1536&gt;175,W1536&lt;25),0.3,0)+IF(AND(V1536&gt;175,W1536&gt;=25,W1536&lt;55),0.23,0)+IF(AND(V1536&gt;175,W1536&gt;=55,W1536&lt;95),0.17,0)+IF(AND(V1536&gt;175,W1536&gt;=95),0.12,0),
IF(AF1536="DoEVsu",IF(AND(V1536&lt;20,W1536&lt;55),0.3,0)+IF(AND(V1536&lt;20,W1536&gt;=55,W1536&lt;105),0.23,0)+IF(AND(V1536&lt;20,W1536&gt;=105),0.17,0)+IF(AND(V1536&gt;=20,V1536&lt;40,W1536&lt;45),0.3,0)+IF(AND(V1536&gt;=20,V1536&lt;40,W1536&gt;=45,W1536&lt;95),0.23,0)+IF(AND(V1536&gt;=20,V1536&lt;40,W1536&gt;=95,W1536&lt;=250),0.17,0)+IF(AND(V1536&gt;=20,V1536&lt;40,W1536&gt;=250),0.12,0)+IF(AND(V1536&gt;=40,V1536&lt;75,W1536&lt;35),0.3,0)+IF(AND(V1536&gt;=40,V1536&lt;75,W1536&gt;=35,W1536&lt;75),0.23,0)+IF(AND(V1536&gt;=40,V1536&lt;75,W1536&gt;=75,W1536&lt;120),0.17,0)+IF(AND(V1536&gt;=40,V1536&lt;75,W1536&gt;=120),0.12,0)+IF(AND(V1536&gt;=75,V1536&lt;175,W1536&lt;35),0.3,0)+IF(AND(V1536&gt;=75,V1536&lt;=175,W1536&gt;=35,W1536&lt;65),0.23,0)+IF(AND(V1536&gt;=75,V1536&lt;=175,W1536&gt;=65,W1536&lt;110),0.17,0)+IF(AND(V1536&gt;=75,V1536&lt;=175,W1536&gt;=110),0.12,0)+IF(AND(V1536&gt;175,W1536&lt;25),0.3,0)+IF(AND(V1536&gt;175,W1536&gt;=25,W1536&lt;55),0.23,0)+IF(AND(V1536&gt;175,W1536&gt;=55,W1536&lt;95),0.17,0)+IF(AND(V1536&gt;175,W1536&gt;=95),0.12,0),
IF(AF1536="DoEVni",IF(AND(V1536&lt;20,W1536&lt;55),0.3,0)+IF(AND(V1536&lt;20,W1536&gt;=55,W1536&lt;105),0.23,0)+IF(AND(V1536&lt;20,W1536&gt;=105),0.17,0)+IF(AND(V1536&gt;=20,V1536&lt;40,W1536&lt;45),0.3,0)+IF(AND(V1536&gt;=20,V1536&lt;40,W1536&gt;=45,W1536&lt;95),0.23,0)+IF(AND(V1536&gt;=20,V1536&lt;40,W1536&gt;=95,W1536&lt;=200),0.17,0)+IF(AND(V1536&gt;=20,V1536&lt;40,W1536&gt;=200),0.12,0)+IF(AND(V1536&gt;=40,V1536&lt;75,W1536&lt;35),0.3,0)+IF(AND(V1536&gt;=40,V1536&lt;75,W1536&gt;=35,W1536&lt;75),0.23,0)+IF(AND(V1536&gt;=40,V1536&lt;75,W1536&gt;=75,W1536&lt;120),0.17,0)+IF(AND(V1536&gt;=40,V1536&lt;75,W1536&gt;=120),0.12,0)+IF(AND(V1536&gt;=75,V1536&lt;175,W1536&lt;35),0.3,0)+IF(AND(V1536&gt;=75,V1536&lt;=175,W1536&gt;=35,W1536&lt;65),0.23,0)+IF(AND(V1536&gt;=75,V1536&lt;=175,W1536&gt;=65,W1536&lt;110),0.17,0)+IF(AND(V1536&gt;=75,V1536&lt;=175,W1536&gt;=110),0.12,0)+IF(AND(V1536&gt;175,W1536&lt;25),0.3,0)+IF(AND(V1536&gt;175,W1536&gt;=25,W1536&lt;55),0.23,0)+IF(AND(V1536&gt;175,W1536&gt;=55,W1536&lt;95),0.17,0)+IF(AND(V1536&gt;175,W1536&gt;=95),0.12,0),
IF(AF1536="DoEVLo",IF(AND(V1536&lt;20,W1536&lt;55),0.25,0)+IF(AND(V1536&lt;20,W1536&gt;=55,W1536&lt;105),0.2,0)+IF(AND(V1536&lt;20,W1536&gt;=105),0.15,0)+IF(AND(V1536&gt;=20,V1536&lt;40,W1536&lt;45),0.25,0)+IF(AND(V1536&gt;=20,V1536&lt;40,W1536&gt;=45,W1536&lt;95),0.2,0)+IF(AND(V1536&gt;=20,V1536&lt;40,W1536&gt;=95),0.15,0)+IF(AND(V1536&gt;=40,V1536&lt;75,W1536&lt;35),0.25,0)+IF(AND(V1536&gt;=40,V1536&lt;75,W1536&gt;=35,W1536&lt;75),0.2,0)+IF(AND(V1536&gt;=40,V1536&lt;75,W1536&gt;=75,W1536&lt;120),0.15,0)+IF(AND(V1536&gt;=40,V1536&lt;75,W1536&gt;=120),0.1,0)+IF(AND(V1536&gt;=75,V1536&lt;175,W1536&lt;35),0.25,0)+IF(AND(V1536&gt;=75,V1536&lt;=175,W1536&gt;=35,W1536&lt;65),0.2,0)+IF(AND(V1536&gt;=75,V1536&lt;=175,W1536&gt;=65,W1536&lt;110),0.15,0)+IF(AND(V1536&gt;=75,V1536&lt;=175,W1536&gt;=110),0.1,0)+IF(AND(V1536&gt;175,W1536&lt;25),0.25,0)+IF(AND(V1536&gt;175,W1536&gt;=25,W1536&lt;55),0.2,0)+IF(AND(V1536&gt;175,W1536&gt;=55,W1536&lt;95),0.15,0)+IF(AND(V1536&gt;175,W1536&gt;=95),0.1,0))))))))))))))))))))</f>
        <v>0.17</v>
      </c>
      <c r="Y1536" s="30">
        <f>IF(AG1536="None",0,IF(AG1536="Fix5",0.05, IF(AG1536="Fix6.25",0.0625,IF(AG1536="Fix3.75",0.0375, IF(AG1536="Fix11",0.11, IF(AG1536="Fix10",0.1,IF(AG1536="Fix3",0.03,0)))))))</f>
        <v>0</v>
      </c>
      <c r="Z1536" s="35">
        <f>IF(AND(AD1536="EUR", AE1536 = "USD"), T1536*U1536-AA1536-AB1536, T1536-AA1536-AB1536)</f>
        <v>263.94</v>
      </c>
      <c r="AA1536" s="29">
        <f>IF(AND(AD1536="EUR", F1536="Without EV deal", AE1536="USD"), (T1536*X1536)*U1536,
IF(AND(AD1536="EUR", F1536="Without EV deal", AE1536="EUR"), (T1536*X1536),
IF(AND(AD1536="EUR",AE1536="USD"), (T1536*X1536)*U1536,
T1536*X1536)))</f>
        <v>54.06</v>
      </c>
      <c r="AB1536" s="36">
        <f>IF(AND(AD1536="EUR", F1536="Without EV deal", AE1536="USD"), (T1536*Y1536)*U1536,
IF(AND(AD1536="EUR", F1536="Without EV deal", AE1536="EUR"), (T1536*Y1536),
IF(AND(AD1536="EUR",AE1536="USD"), (T1536*Y1536)*U1536,
T1536*Y1536)))</f>
        <v>0</v>
      </c>
      <c r="AC1536" s="37" t="b">
        <v>1</v>
      </c>
      <c r="AD1536" s="82" t="str">
        <f>IF(OR(H1536="€0.25 Flash",
H1536="€0.25(nitro) new",
H1536="€1",
H1536="€2",
H1536="€2 (bf 01.08)",
H1536="€5",
H1536="€5 (1M)",
H1536="€5 (bf 01.08)",
H1536="€5 (bf 05.05)",
H1536="€5 Nitro",
H1536="€5(wx) new",
H1536="€10",
H1536="€10 (1M)",
H1536="€10 (bf 01.08)",
H1536="€10 (bf 05.05)",
H1536="€10 (MP)",
H1536="€10 (old)",
H1536="€10 Nitro (bf 05.05)",
H1536="€10 Nitro (old)",
H1536="€10(wx) new",
H1536="€20",
H1536="€25",
H1536="€25 (bf 01.08)",
H1536="€25 (bf 05.05)",
H1536="€25 (MP)",
H1536="€25 (old)",
H1536="€25 Nitro",
H1536="€25 Nitro (bf 01.08)",
H1536="€25 Nitro (bf 05.05)",
H1536="€25(nitro) new",
H1536="€25(wx) new",
H1536="€50",
H1536="€50 (bf 01.08)",
H1536="€50 (bf 05.05)",
H1536="€50 (old)",
H1536="€50 Nitro",
H1536="€50 Nitro (bf 01.08)",
H1536="€50 Nitro (bf 05.05)",
H1536="€50(wx) new",
H1536="€100",
H1536="€100 (old)",
H1536="€100 Nitro",
H1536="€100 Nitro (old)",
H1536="€200",
H1536="€250",
H1536="€250 Nitro",
H1536="€500",
H1536="€500 Nitro"),"EUR", "USD")</f>
        <v>USD</v>
      </c>
      <c r="AE1536" s="83" t="s">
        <v>38</v>
      </c>
      <c r="AF1536" s="83" t="str">
        <f t="array" ref="AF1536">INDEX('Deal Info'!D:D, MATCH(A1536,'Deal Info'!A:A, 0))</f>
        <v>DoEVold</v>
      </c>
      <c r="AG1536" s="84" t="str">
        <f t="array" ref="AG1536">INDEX('Deal Info'!G:G, MATCH(A1536,'Deal Info'!A:A, 0))</f>
        <v>None</v>
      </c>
    </row>
    <row r="1537" spans="1:33" ht="14.25" hidden="1" x14ac:dyDescent="0.2">
      <c r="A1537" s="18" t="str">
        <f t="array" ref="A1537">IF(G1537='Room Info'!$B$1, INDEX('Room Info'!$A$2:$A2446, MATCH(B1537,'Room Info'!$B$2:$B2446, 0)),IF(G1537='Room Info'!$C$1, INDEX('Room Info'!$A$2:$A2446, MATCH(B1537,'Room Info'!$C$2:$C2446, 0)),IF(G1537='Room Info'!$D$1, INDEX('Room Info'!$A$2:$A2446, MATCH(B1537,'Room Info'!$D$2:$D2446, 0)),IF(G1537='Room Info'!$E$1, INDEX('Room Info'!$A$2:$A2446, MATCH(B1537,'Room Info'!$E$2:$E2446, 0)),IF(G1537='Room Info'!$F$1, INDEX('Room Info'!$A$2:$A2446, MATCH(B1537,'Room Info'!$F$2:$F2446, 0)),IF(G1537='Room Info'!$H$1, INDEX('Room Info'!$A$2:$A2446, MATCH(B1537,'Room Info'!$H$2:$H2446, 0)),IF(G1537='Room Info'!$G$1, INDEX('Room Info'!$A$2:$A2446, MATCH(B1537,'Room Info'!$G$2:$G2446, 0)))))))))</f>
        <v>Berebka</v>
      </c>
      <c r="B1537" s="45" t="s">
        <v>228</v>
      </c>
      <c r="C1537" s="46">
        <v>44958</v>
      </c>
      <c r="D1537" s="46">
        <v>44985</v>
      </c>
      <c r="E1537" s="80">
        <v>44958</v>
      </c>
      <c r="F1537" s="45" t="s">
        <v>49</v>
      </c>
      <c r="G1537" s="18" t="s">
        <v>35</v>
      </c>
      <c r="H1537" s="49" t="s">
        <v>39</v>
      </c>
      <c r="I1537" s="49" t="s">
        <v>37</v>
      </c>
      <c r="J1537" s="39">
        <v>5</v>
      </c>
      <c r="K1537" s="51">
        <v>2</v>
      </c>
      <c r="L1537" s="52">
        <v>5</v>
      </c>
      <c r="M1537" s="53">
        <v>2405</v>
      </c>
      <c r="N1537" s="28">
        <f>K1537*J1537</f>
        <v>10</v>
      </c>
      <c r="O1537" s="54">
        <v>-20</v>
      </c>
      <c r="P1537" s="29">
        <v>-10</v>
      </c>
      <c r="Q1537" s="55"/>
      <c r="R1537" s="31">
        <f>M1537+Q1537*J1537*K1537*0.07</f>
        <v>2405</v>
      </c>
      <c r="S1537" s="56">
        <v>-1</v>
      </c>
      <c r="T1537" s="32">
        <f>IF(AND(AD1537="EUR", F1537="Without EV deal"), R1537 + L1537,
IF(AND(AD1537="USD", F1537="Without EV deal"), R1537 + L1537,
IF(AND(AD1537="EUR", F1537="Steel Phoenix"), R1537 + S1537/U1537,
R1537 + S1537)))</f>
        <v>2404</v>
      </c>
      <c r="U1537" s="57"/>
      <c r="V1537" s="58">
        <v>18.89</v>
      </c>
      <c r="W1537" s="58">
        <v>110.0956935</v>
      </c>
      <c r="X1537" s="30">
        <f>IF(AF1537="DoEV",IF(AND(V1537&lt;20,W1537&lt;55),0.3,0)+IF(AND(V1537&lt;20,W1537&gt;=55,W1537&lt;105),0.23,0)+IF(AND(V1537&lt;20,W1537&gt;=105),0.17,0)+IF(AND(V1537&gt;=20,V1537&lt;40,W1537&lt;45),0.3,0)+IF(AND(V1537&gt;=20,V1537&lt;40,W1537&gt;=45,W1537&lt;95),0.23,0)+IF(AND(V1537&gt;=20,V1537&lt;40,W1537&gt;=95),0.17,0)+IF(AND(V1537&gt;=40,V1537&lt;75,W1537&lt;35),0.3,0)+IF(AND(V1537&gt;=40,V1537&lt;75,W1537&gt;=35,W1537&lt;75),0.23,0)+IF(AND(V1537&gt;=40,V1537&lt;75,W1537&gt;=75,W1537&lt;120),0.17,0)+IF(AND(V1537&gt;=40,V1537&lt;75,W1537&gt;=120),0.12,0)+IF(AND(V1537&gt;=75,V1537&lt;175,W1537&lt;35),0.3,0)+IF(AND(V1537&gt;=75,V1537&lt;=175,W1537&gt;=35,W1537&lt;65),0.23,0)+IF(AND(V1537&gt;=75,V1537&lt;=175,W1537&gt;=65,W1537&lt;110),0.17,0)+IF(AND(V1537&gt;=75,V1537&lt;=175,W1537&gt;=110),0.12,0)+IF(AND(V1537&gt;175,W1537&lt;25),0.3,0)+IF(AND(V1537&gt;175,W1537&gt;=25,W1537&lt;55),0.23,0)+IF(AND(V1537&gt;175,W1537&gt;=55,W1537&lt;95),0.17,0)+IF(AND(V1537&gt;175,W1537&gt;=95),0.12,0),
IF(AF1537="Fix15",0.15,
IF(AF1537="Fix5",0.05,
IF(AF1537="Fix18.75",0.1875,
IF(AF1537="Fix11.25",0.1125,
IF(AF1537="Fix10",0.1,
IF(AF1537="Fix9",0.09,
IF(AF1537="Fix12",0.12,
IF(AF1537="Fix19",0.19,
IF(AF1537="DoEV2017",IF(AND(W1537&lt;74),0.2,0)+IF(AND(W1537&gt;=74),0.17,0),
IF(AF1537="SF",IF(AND(V1537&lt;20,W1537&lt;89),0.3,0)+IF(AND(V1537&lt;20,W1537&gt;=89),0.25,0)+IF(AND(V1537&gt;=20,V1537&lt;40,W1537&lt;74),0.3,0)+IF(AND(V1537&gt;=20,V1537&lt;40,W1537&gt;=75),0.22,0)+IF(AND(V1537&gt;=40,V1537&lt;75,W1537&lt;75),0.26,0)+IF(AND(V1537&gt;=40,V1537&lt;75,W1537&gt;=75),0.22,0)+IF(V1537&gt;=75,0.22,0),
IF(AF1537="DoEVold",IF(AND(V1537&lt;40,W1537&lt;35),0.35,0)+IF(AND(V1537&lt;40,W1537&gt;=35,W1537&lt;75),0.25,0)+IF(AND(V1537&lt;40,W1537&gt;=75),0.17,0)+IF(AND(V1537&gt;=40,V1537&lt;75,W1537&lt;25),0.35,0)+IF(AND(V1537&gt;=40,V1537&lt;75,W1537&gt;=25,W1537&lt;65),0.25,0)+IF(AND(V1537&gt;=40,V1537&lt;75,W1537&gt;=65,W1537&lt;100),0.17,0)+IF(AND(V1537&gt;=40,V1537&lt;75,W1537&gt;=100),0.1,0)+IF(AND(V1537&gt;=75,W1537&lt;25),0.35,0)+IF(AND(V1537&gt;=75,W1537&gt;=25,W1537&lt;60),0.25,0)+IF(AND(V1537&gt;=75,W1537&gt;=60,W1537&lt;95),0.17,0)+IF(AND(V1537&gt;=75,W1537&gt;=95),0.1,0),
IF(AF1537="DoEVold15",IF(AND(V1537&lt;=40,W1537&lt;35),0.35,0)+IF(AND(V1537&lt;=40,W1537&gt;=35,W1537&lt;75),0.25,0)+IF(AND(V1537&lt;=40,W1537&gt;=75,W1537&lt;120),0.17,0)+IF(AND(V1537&lt;=40,W1537&gt;=120),0.15,0)+IF(AND(V1537&gt;40,V1537&lt;75,W1537&lt;25),0.35,0)+IF(AND(V1537&gt;=40,V1537&lt;75,W1537&gt;=25,W1537&lt;65),0.25,0)+IF(AND(V1537&gt;=40,V1537&lt;75,W1537&gt;=65,W1537&lt;100),0.17,0)+IF(AND(V1537&gt;=40,V1537&lt;75,W1537&gt;=100),0.1,0)+IF(AND(V1537&gt;=75,W1537&lt;25),0.35,0)+IF(AND(V1537&gt;=75,W1537&gt;=25,W1537&lt;60),0.25,0)+IF(AND(V1537&gt;=75,W1537&gt;=60,W1537&lt;95),0.17,0)+IF(AND(V1537&gt;=75,W1537&gt;=95),0.1,0),
IF(AF1537="DoEVba",IF(AND(V1537&lt;20,W1537&lt;105),0.2,0)+IF(AND(V1537&lt;20,W1537&gt;=105),0.15,0)+IF(AND(V1537&gt;=20,V1537&lt;40,W1537&lt;95),0.2,0)+IF(AND(V1537&gt;=20,V1537&lt;40,W1537&gt;=95,W1537&lt;150),0.15,0)+IF(AND(V1537&gt;=20,V1537&lt;40,W1537&gt;=150),0.12,0)+IF(AND(V1537&gt;=40,V1537&lt;75,W1537&lt;75),0.2,0)+IF(AND(V1537&gt;=40,V1537&lt;75,W1537&gt;=75,W1537&lt;120),0.15,0)+IF(AND(V1537&gt;=40,V1537&lt;75,W1537&gt;=120),0.12,0)+IF(AND(V1537&gt;=75,V1537&lt;175,W1537&lt;65),0.2,0)+IF(AND(V1537&gt;=75,V1537&lt;175,W1537&gt;=65,W1537&lt;110),0.15,0)+IF(AND(V1537&gt;=75,V1537&lt;175,W1537&gt;=110),0.12,0)+IF(AND(V1537&gt;=175,W1537&lt;55),0.2,0)+IF(AND(V1537&gt;=175,W1537&gt;=55,W1537&lt;95),0.15,0)+IF(AND(V1537&gt;=175,W1537&gt;=95),0.12,0),
IF(AF1537="DoEVku",IF(AND(V1537&lt;20,W1537&lt;55),0.23,0)+IF(AND(V1537&lt;20,W1537&gt;=55,W1537&lt;105),0.2,0)+IF(AND(V1537&lt;20,W1537&gt;=105),0.17,0)+IF(AND(V1537&gt;=20,V1537&lt;40,W1537&lt;45),0.23,0)+IF(AND(V1537&gt;=20,V1537&lt;40,W1537&gt;=45,W1537&lt;95),0.2,0)+IF(AND(V1537&gt;=20,V1537&lt;40,W1537&gt;=95,W1537&lt;=150),0.17,0)+IF(AND(V1537&gt;=20,V1537&lt;40,W1537&gt;=150),0.12,0)+IF(AND(V1537&gt;=40,V1537&lt;75,W1537&lt;35),0.23,0)+IF(AND(V1537&gt;=40,V1537&lt;75,W1537&gt;=35,W1537&lt;75),0.2,0)+IF(AND(V1537&gt;=40,V1537&lt;75,W1537&gt;=75,W1537&lt;120),0.17,0)+IF(AND(V1537&gt;=40,V1537&lt;75,W1537&gt;=120),0.12,0)+IF(AND(V1537&gt;=75,V1537&lt;175,W1537&lt;35),0.23,0)+IF(AND(V1537&gt;=75,V1537&lt;=175,W1537&gt;=35,W1537&lt;65),0.2,0)+IF(AND(V1537&gt;=75,V1537&lt;=175,W1537&gt;=65,W1537&lt;110),0.17,0)+IF(AND(V1537&gt;=75,V1537&lt;=175,W1537&gt;=110),0.12,0)+IF(AND(V1537&gt;175,W1537&lt;25),0.23,0)+IF(AND(V1537&gt;175,W1537&gt;=25,W1537&lt;55),0.2,0)+IF(AND(V1537&gt;175,W1537&gt;=55,W1537&lt;95),0.17,0)+IF(AND(V1537&gt;175,W1537&gt;=95),0.12,0),
IF(AF1537="DoEVs1",IF(AND(V1537&lt;20,W1537&lt;55),0.3,0)+IF(AND(V1537&lt;20,W1537&gt;=55,W1537&lt;105),0.23,0)+IF(AND(V1537&lt;20,W1537&gt;=105),0.17,0)+IF(AND(V1537&gt;=20,V1537&lt;40,W1537&lt;45),0.3,0)+IF(AND(V1537&gt;=20,V1537&lt;40,W1537&gt;=45,W1537&lt;95),0.23,0)+IF(AND(V1537&gt;=20,V1537&lt;40,W1537&gt;=95,W1537&lt;=150),0.17,0)+IF(AND(V1537&gt;=20,V1537&lt;40,W1537&gt;=150),0.12,0)+IF(AND(V1537&gt;=40,V1537&lt;75,W1537&lt;35),0.3,0)+IF(AND(V1537&gt;=40,V1537&lt;75,W1537&gt;=35,W1537&lt;75),0.23,0)+IF(AND(V1537&gt;=40,V1537&lt;75,W1537&gt;=75,W1537&lt;120),0.17,0)+IF(AND(V1537&gt;=40,V1537&lt;75,W1537&gt;=120),0.12,0)+IF(AND(V1537&gt;=75,V1537&lt;175,W1537&lt;35),0.3,0)+IF(AND(V1537&gt;=75,V1537&lt;=175,W1537&gt;=35,W1537&lt;65),0.23,0)+IF(AND(V1537&gt;=75,V1537&lt;=175,W1537&gt;=65,W1537&lt;110),0.17,0)+IF(AND(V1537&gt;=75,V1537&lt;=175,W1537&gt;=110),0.12,0)+IF(AND(V1537&gt;175,W1537&lt;25),0.3,0)+IF(AND(V1537&gt;175,W1537&gt;=25,W1537&lt;55),0.23,0)+IF(AND(V1537&gt;175,W1537&gt;=55,W1537&lt;95),0.17,0)+IF(AND(V1537&gt;175,W1537&gt;=95),0.12,0),
IF(AF1537="DoEVsu",IF(AND(V1537&lt;20,W1537&lt;55),0.3,0)+IF(AND(V1537&lt;20,W1537&gt;=55,W1537&lt;105),0.23,0)+IF(AND(V1537&lt;20,W1537&gt;=105),0.17,0)+IF(AND(V1537&gt;=20,V1537&lt;40,W1537&lt;45),0.3,0)+IF(AND(V1537&gt;=20,V1537&lt;40,W1537&gt;=45,W1537&lt;95),0.23,0)+IF(AND(V1537&gt;=20,V1537&lt;40,W1537&gt;=95,W1537&lt;=250),0.17,0)+IF(AND(V1537&gt;=20,V1537&lt;40,W1537&gt;=250),0.12,0)+IF(AND(V1537&gt;=40,V1537&lt;75,W1537&lt;35),0.3,0)+IF(AND(V1537&gt;=40,V1537&lt;75,W1537&gt;=35,W1537&lt;75),0.23,0)+IF(AND(V1537&gt;=40,V1537&lt;75,W1537&gt;=75,W1537&lt;120),0.17,0)+IF(AND(V1537&gt;=40,V1537&lt;75,W1537&gt;=120),0.12,0)+IF(AND(V1537&gt;=75,V1537&lt;175,W1537&lt;35),0.3,0)+IF(AND(V1537&gt;=75,V1537&lt;=175,W1537&gt;=35,W1537&lt;65),0.23,0)+IF(AND(V1537&gt;=75,V1537&lt;=175,W1537&gt;=65,W1537&lt;110),0.17,0)+IF(AND(V1537&gt;=75,V1537&lt;=175,W1537&gt;=110),0.12,0)+IF(AND(V1537&gt;175,W1537&lt;25),0.3,0)+IF(AND(V1537&gt;175,W1537&gt;=25,W1537&lt;55),0.23,0)+IF(AND(V1537&gt;175,W1537&gt;=55,W1537&lt;95),0.17,0)+IF(AND(V1537&gt;175,W1537&gt;=95),0.12,0),
IF(AF1537="DoEVni",IF(AND(V1537&lt;20,W1537&lt;55),0.3,0)+IF(AND(V1537&lt;20,W1537&gt;=55,W1537&lt;105),0.23,0)+IF(AND(V1537&lt;20,W1537&gt;=105),0.17,0)+IF(AND(V1537&gt;=20,V1537&lt;40,W1537&lt;45),0.3,0)+IF(AND(V1537&gt;=20,V1537&lt;40,W1537&gt;=45,W1537&lt;95),0.23,0)+IF(AND(V1537&gt;=20,V1537&lt;40,W1537&gt;=95,W1537&lt;=200),0.17,0)+IF(AND(V1537&gt;=20,V1537&lt;40,W1537&gt;=200),0.12,0)+IF(AND(V1537&gt;=40,V1537&lt;75,W1537&lt;35),0.3,0)+IF(AND(V1537&gt;=40,V1537&lt;75,W1537&gt;=35,W1537&lt;75),0.23,0)+IF(AND(V1537&gt;=40,V1537&lt;75,W1537&gt;=75,W1537&lt;120),0.17,0)+IF(AND(V1537&gt;=40,V1537&lt;75,W1537&gt;=120),0.12,0)+IF(AND(V1537&gt;=75,V1537&lt;175,W1537&lt;35),0.3,0)+IF(AND(V1537&gt;=75,V1537&lt;=175,W1537&gt;=35,W1537&lt;65),0.23,0)+IF(AND(V1537&gt;=75,V1537&lt;=175,W1537&gt;=65,W1537&lt;110),0.17,0)+IF(AND(V1537&gt;=75,V1537&lt;=175,W1537&gt;=110),0.12,0)+IF(AND(V1537&gt;175,W1537&lt;25),0.3,0)+IF(AND(V1537&gt;175,W1537&gt;=25,W1537&lt;55),0.23,0)+IF(AND(V1537&gt;175,W1537&gt;=55,W1537&lt;95),0.17,0)+IF(AND(V1537&gt;175,W1537&gt;=95),0.12,0),
IF(AF1537="DoEVLo",IF(AND(V1537&lt;20,W1537&lt;55),0.25,0)+IF(AND(V1537&lt;20,W1537&gt;=55,W1537&lt;105),0.2,0)+IF(AND(V1537&lt;20,W1537&gt;=105),0.15,0)+IF(AND(V1537&gt;=20,V1537&lt;40,W1537&lt;45),0.25,0)+IF(AND(V1537&gt;=20,V1537&lt;40,W1537&gt;=45,W1537&lt;95),0.2,0)+IF(AND(V1537&gt;=20,V1537&lt;40,W1537&gt;=95),0.15,0)+IF(AND(V1537&gt;=40,V1537&lt;75,W1537&lt;35),0.25,0)+IF(AND(V1537&gt;=40,V1537&lt;75,W1537&gt;=35,W1537&lt;75),0.2,0)+IF(AND(V1537&gt;=40,V1537&lt;75,W1537&gt;=75,W1537&lt;120),0.15,0)+IF(AND(V1537&gt;=40,V1537&lt;75,W1537&gt;=120),0.1,0)+IF(AND(V1537&gt;=75,V1537&lt;175,W1537&lt;35),0.25,0)+IF(AND(V1537&gt;=75,V1537&lt;=175,W1537&gt;=35,W1537&lt;65),0.2,0)+IF(AND(V1537&gt;=75,V1537&lt;=175,W1537&gt;=65,W1537&lt;110),0.15,0)+IF(AND(V1537&gt;=75,V1537&lt;=175,W1537&gt;=110),0.1,0)+IF(AND(V1537&gt;175,W1537&lt;25),0.25,0)+IF(AND(V1537&gt;175,W1537&gt;=25,W1537&lt;55),0.2,0)+IF(AND(V1537&gt;175,W1537&gt;=55,W1537&lt;95),0.15,0)+IF(AND(V1537&gt;175,W1537&gt;=95),0.1,0))))))))))))))))))))</f>
        <v>0.17</v>
      </c>
      <c r="Y1537" s="30">
        <f>IF(AG1537="None",0,IF(AG1537="Fix5",0.05, IF(AG1537="Fix6.25",0.0625,IF(AG1537="Fix3.75",0.0375, IF(AG1537="Fix11",0.11, IF(AG1537="Fix10",0.1,IF(AG1537="Fix3",0.03,0)))))))</f>
        <v>0</v>
      </c>
      <c r="Z1537" s="35">
        <f>IF(AND(AD1537="EUR", AE1537 = "USD"), T1537*U1537-AA1537-AB1537, T1537-AA1537-AB1537)</f>
        <v>1995.32</v>
      </c>
      <c r="AA1537" s="29">
        <f>IF(AND(AD1537="EUR", F1537="Without EV deal", AE1537="USD"), (T1537*X1537)*U1537,
IF(AND(AD1537="EUR", F1537="Without EV deal", AE1537="EUR"), (T1537*X1537),
IF(AND(AD1537="EUR",AE1537="USD"), (T1537*X1537)*U1537,
T1537*X1537)))</f>
        <v>408.68</v>
      </c>
      <c r="AB1537" s="36">
        <f>IF(AND(AD1537="EUR", F1537="Without EV deal", AE1537="USD"), (T1537*Y1537)*U1537,
IF(AND(AD1537="EUR", F1537="Without EV deal", AE1537="EUR"), (T1537*Y1537),
IF(AND(AD1537="EUR",AE1537="USD"), (T1537*Y1537)*U1537,
T1537*Y1537)))</f>
        <v>0</v>
      </c>
      <c r="AC1537" s="37" t="b">
        <v>1</v>
      </c>
      <c r="AD1537" s="82" t="str">
        <f>IF(OR(H1537="€0.25 Flash",
H1537="€0.25(nitro) new",
H1537="€1",
H1537="€2",
H1537="€2 (bf 01.08)",
H1537="€5",
H1537="€5 (1M)",
H1537="€5 (bf 01.08)",
H1537="€5 (bf 05.05)",
H1537="€5 Nitro",
H1537="€5(wx) new",
H1537="€10",
H1537="€10 (1M)",
H1537="€10 (bf 01.08)",
H1537="€10 (bf 05.05)",
H1537="€10 (MP)",
H1537="€10 (old)",
H1537="€10 Nitro (bf 05.05)",
H1537="€10 Nitro (old)",
H1537="€10(wx) new",
H1537="€20",
H1537="€25",
H1537="€25 (bf 01.08)",
H1537="€25 (bf 05.05)",
H1537="€25 (MP)",
H1537="€25 (old)",
H1537="€25 Nitro",
H1537="€25 Nitro (bf 01.08)",
H1537="€25 Nitro (bf 05.05)",
H1537="€25(nitro) new",
H1537="€25(wx) new",
H1537="€50",
H1537="€50 (bf 01.08)",
H1537="€50 (bf 05.05)",
H1537="€50 (old)",
H1537="€50 Nitro",
H1537="€50 Nitro (bf 01.08)",
H1537="€50 Nitro (bf 05.05)",
H1537="€50(wx) new",
H1537="€100",
H1537="€100 (old)",
H1537="€100 Nitro",
H1537="€100 Nitro (old)",
H1537="€200",
H1537="€250",
H1537="€250 Nitro",
H1537="€500",
H1537="€500 Nitro"),"EUR", "USD")</f>
        <v>USD</v>
      </c>
      <c r="AE1537" s="83" t="s">
        <v>38</v>
      </c>
      <c r="AF1537" s="83" t="str">
        <f t="array" ref="AF1537">INDEX('Deal Info'!D:D, MATCH(A1537,'Deal Info'!A:A, 0))</f>
        <v>DoEV</v>
      </c>
      <c r="AG1537" s="84" t="str">
        <f t="array" ref="AG1537">INDEX('Deal Info'!G:G, MATCH(A1537,'Deal Info'!A:A, 0))</f>
        <v>None</v>
      </c>
    </row>
    <row r="1538" spans="1:33" ht="14.25" hidden="1" x14ac:dyDescent="0.2">
      <c r="A1538" s="18" t="str">
        <f t="array" ref="A1538">IF(G1538='Room Info'!$B$1, INDEX('Room Info'!$A$2:$A2446, MATCH(B1538,'Room Info'!$B$2:$B2446, 0)),IF(G1538='Room Info'!$C$1, INDEX('Room Info'!$A$2:$A2446, MATCH(B1538,'Room Info'!$C$2:$C2446, 0)),IF(G1538='Room Info'!$D$1, INDEX('Room Info'!$A$2:$A2446, MATCH(B1538,'Room Info'!$D$2:$D2446, 0)),IF(G1538='Room Info'!$E$1, INDEX('Room Info'!$A$2:$A2446, MATCH(B1538,'Room Info'!$E$2:$E2446, 0)),IF(G1538='Room Info'!$F$1, INDEX('Room Info'!$A$2:$A2446, MATCH(B1538,'Room Info'!$F$2:$F2446, 0)),IF(G1538='Room Info'!$H$1, INDEX('Room Info'!$A$2:$A2446, MATCH(B1538,'Room Info'!$H$2:$H2446, 0)),IF(G1538='Room Info'!$G$1, INDEX('Room Info'!$A$2:$A2446, MATCH(B1538,'Room Info'!$G$2:$G2446, 0)))))))))</f>
        <v>Berebka</v>
      </c>
      <c r="B1538" s="45" t="s">
        <v>228</v>
      </c>
      <c r="C1538" s="46">
        <v>44958</v>
      </c>
      <c r="D1538" s="46">
        <v>44985</v>
      </c>
      <c r="E1538" s="80">
        <v>44958</v>
      </c>
      <c r="F1538" s="45" t="s">
        <v>49</v>
      </c>
      <c r="G1538" s="18" t="s">
        <v>35</v>
      </c>
      <c r="H1538" s="49" t="s">
        <v>46</v>
      </c>
      <c r="I1538" s="49" t="s">
        <v>37</v>
      </c>
      <c r="J1538" s="39">
        <v>25</v>
      </c>
      <c r="K1538" s="51">
        <v>2159</v>
      </c>
      <c r="L1538" s="52">
        <v>-1975</v>
      </c>
      <c r="M1538" s="62"/>
      <c r="N1538" s="28">
        <f>K1538*J1538</f>
        <v>53975</v>
      </c>
      <c r="O1538" s="54">
        <v>39131</v>
      </c>
      <c r="P1538" s="29">
        <v>18.124594720000001</v>
      </c>
      <c r="Q1538" s="55"/>
      <c r="R1538" s="31">
        <f>M1538+Q1538*J1538*K1538*0.07</f>
        <v>0</v>
      </c>
      <c r="S1538" s="56">
        <v>-1225</v>
      </c>
      <c r="T1538" s="32">
        <f>IF(AND(AD1538="EUR", F1538="Without EV deal"), R1538 + L1538,
IF(AND(AD1538="USD", F1538="Without EV deal"), R1538 + L1538,
IF(AND(AD1538="EUR", F1538="Steel Phoenix"), R1538 + S1538/U1538,
R1538 + S1538)))</f>
        <v>-1225</v>
      </c>
      <c r="U1538" s="57"/>
      <c r="V1538" s="58">
        <v>18.89</v>
      </c>
      <c r="W1538" s="58">
        <v>110.0956935</v>
      </c>
      <c r="X1538" s="30">
        <f>IF(AF1538="DoEV",IF(AND(V1538&lt;20,W1538&lt;55),0.3,0)+IF(AND(V1538&lt;20,W1538&gt;=55,W1538&lt;105),0.23,0)+IF(AND(V1538&lt;20,W1538&gt;=105),0.17,0)+IF(AND(V1538&gt;=20,V1538&lt;40,W1538&lt;45),0.3,0)+IF(AND(V1538&gt;=20,V1538&lt;40,W1538&gt;=45,W1538&lt;95),0.23,0)+IF(AND(V1538&gt;=20,V1538&lt;40,W1538&gt;=95),0.17,0)+IF(AND(V1538&gt;=40,V1538&lt;75,W1538&lt;35),0.3,0)+IF(AND(V1538&gt;=40,V1538&lt;75,W1538&gt;=35,W1538&lt;75),0.23,0)+IF(AND(V1538&gt;=40,V1538&lt;75,W1538&gt;=75,W1538&lt;120),0.17,0)+IF(AND(V1538&gt;=40,V1538&lt;75,W1538&gt;=120),0.12,0)+IF(AND(V1538&gt;=75,V1538&lt;175,W1538&lt;35),0.3,0)+IF(AND(V1538&gt;=75,V1538&lt;=175,W1538&gt;=35,W1538&lt;65),0.23,0)+IF(AND(V1538&gt;=75,V1538&lt;=175,W1538&gt;=65,W1538&lt;110),0.17,0)+IF(AND(V1538&gt;=75,V1538&lt;=175,W1538&gt;=110),0.12,0)+IF(AND(V1538&gt;175,W1538&lt;25),0.3,0)+IF(AND(V1538&gt;175,W1538&gt;=25,W1538&lt;55),0.23,0)+IF(AND(V1538&gt;175,W1538&gt;=55,W1538&lt;95),0.17,0)+IF(AND(V1538&gt;175,W1538&gt;=95),0.12,0),
IF(AF1538="Fix15",0.15,
IF(AF1538="Fix5",0.05,
IF(AF1538="Fix18.75",0.1875,
IF(AF1538="Fix11.25",0.1125,
IF(AF1538="Fix10",0.1,
IF(AF1538="Fix9",0.09,
IF(AF1538="Fix12",0.12,
IF(AF1538="Fix19",0.19,
IF(AF1538="DoEV2017",IF(AND(W1538&lt;74),0.2,0)+IF(AND(W1538&gt;=74),0.17,0),
IF(AF1538="SF",IF(AND(V1538&lt;20,W1538&lt;89),0.3,0)+IF(AND(V1538&lt;20,W1538&gt;=89),0.25,0)+IF(AND(V1538&gt;=20,V1538&lt;40,W1538&lt;74),0.3,0)+IF(AND(V1538&gt;=20,V1538&lt;40,W1538&gt;=75),0.22,0)+IF(AND(V1538&gt;=40,V1538&lt;75,W1538&lt;75),0.26,0)+IF(AND(V1538&gt;=40,V1538&lt;75,W1538&gt;=75),0.22,0)+IF(V1538&gt;=75,0.22,0),
IF(AF1538="DoEVold",IF(AND(V1538&lt;40,W1538&lt;35),0.35,0)+IF(AND(V1538&lt;40,W1538&gt;=35,W1538&lt;75),0.25,0)+IF(AND(V1538&lt;40,W1538&gt;=75),0.17,0)+IF(AND(V1538&gt;=40,V1538&lt;75,W1538&lt;25),0.35,0)+IF(AND(V1538&gt;=40,V1538&lt;75,W1538&gt;=25,W1538&lt;65),0.25,0)+IF(AND(V1538&gt;=40,V1538&lt;75,W1538&gt;=65,W1538&lt;100),0.17,0)+IF(AND(V1538&gt;=40,V1538&lt;75,W1538&gt;=100),0.1,0)+IF(AND(V1538&gt;=75,W1538&lt;25),0.35,0)+IF(AND(V1538&gt;=75,W1538&gt;=25,W1538&lt;60),0.25,0)+IF(AND(V1538&gt;=75,W1538&gt;=60,W1538&lt;95),0.17,0)+IF(AND(V1538&gt;=75,W1538&gt;=95),0.1,0),
IF(AF1538="DoEVold15",IF(AND(V1538&lt;=40,W1538&lt;35),0.35,0)+IF(AND(V1538&lt;=40,W1538&gt;=35,W1538&lt;75),0.25,0)+IF(AND(V1538&lt;=40,W1538&gt;=75,W1538&lt;120),0.17,0)+IF(AND(V1538&lt;=40,W1538&gt;=120),0.15,0)+IF(AND(V1538&gt;40,V1538&lt;75,W1538&lt;25),0.35,0)+IF(AND(V1538&gt;=40,V1538&lt;75,W1538&gt;=25,W1538&lt;65),0.25,0)+IF(AND(V1538&gt;=40,V1538&lt;75,W1538&gt;=65,W1538&lt;100),0.17,0)+IF(AND(V1538&gt;=40,V1538&lt;75,W1538&gt;=100),0.1,0)+IF(AND(V1538&gt;=75,W1538&lt;25),0.35,0)+IF(AND(V1538&gt;=75,W1538&gt;=25,W1538&lt;60),0.25,0)+IF(AND(V1538&gt;=75,W1538&gt;=60,W1538&lt;95),0.17,0)+IF(AND(V1538&gt;=75,W1538&gt;=95),0.1,0),
IF(AF1538="DoEVba",IF(AND(V1538&lt;20,W1538&lt;105),0.2,0)+IF(AND(V1538&lt;20,W1538&gt;=105),0.15,0)+IF(AND(V1538&gt;=20,V1538&lt;40,W1538&lt;95),0.2,0)+IF(AND(V1538&gt;=20,V1538&lt;40,W1538&gt;=95,W1538&lt;150),0.15,0)+IF(AND(V1538&gt;=20,V1538&lt;40,W1538&gt;=150),0.12,0)+IF(AND(V1538&gt;=40,V1538&lt;75,W1538&lt;75),0.2,0)+IF(AND(V1538&gt;=40,V1538&lt;75,W1538&gt;=75,W1538&lt;120),0.15,0)+IF(AND(V1538&gt;=40,V1538&lt;75,W1538&gt;=120),0.12,0)+IF(AND(V1538&gt;=75,V1538&lt;175,W1538&lt;65),0.2,0)+IF(AND(V1538&gt;=75,V1538&lt;175,W1538&gt;=65,W1538&lt;110),0.15,0)+IF(AND(V1538&gt;=75,V1538&lt;175,W1538&gt;=110),0.12,0)+IF(AND(V1538&gt;=175,W1538&lt;55),0.2,0)+IF(AND(V1538&gt;=175,W1538&gt;=55,W1538&lt;95),0.15,0)+IF(AND(V1538&gt;=175,W1538&gt;=95),0.12,0),
IF(AF1538="DoEVku",IF(AND(V1538&lt;20,W1538&lt;55),0.23,0)+IF(AND(V1538&lt;20,W1538&gt;=55,W1538&lt;105),0.2,0)+IF(AND(V1538&lt;20,W1538&gt;=105),0.17,0)+IF(AND(V1538&gt;=20,V1538&lt;40,W1538&lt;45),0.23,0)+IF(AND(V1538&gt;=20,V1538&lt;40,W1538&gt;=45,W1538&lt;95),0.2,0)+IF(AND(V1538&gt;=20,V1538&lt;40,W1538&gt;=95,W1538&lt;=150),0.17,0)+IF(AND(V1538&gt;=20,V1538&lt;40,W1538&gt;=150),0.12,0)+IF(AND(V1538&gt;=40,V1538&lt;75,W1538&lt;35),0.23,0)+IF(AND(V1538&gt;=40,V1538&lt;75,W1538&gt;=35,W1538&lt;75),0.2,0)+IF(AND(V1538&gt;=40,V1538&lt;75,W1538&gt;=75,W1538&lt;120),0.17,0)+IF(AND(V1538&gt;=40,V1538&lt;75,W1538&gt;=120),0.12,0)+IF(AND(V1538&gt;=75,V1538&lt;175,W1538&lt;35),0.23,0)+IF(AND(V1538&gt;=75,V1538&lt;=175,W1538&gt;=35,W1538&lt;65),0.2,0)+IF(AND(V1538&gt;=75,V1538&lt;=175,W1538&gt;=65,W1538&lt;110),0.17,0)+IF(AND(V1538&gt;=75,V1538&lt;=175,W1538&gt;=110),0.12,0)+IF(AND(V1538&gt;175,W1538&lt;25),0.23,0)+IF(AND(V1538&gt;175,W1538&gt;=25,W1538&lt;55),0.2,0)+IF(AND(V1538&gt;175,W1538&gt;=55,W1538&lt;95),0.17,0)+IF(AND(V1538&gt;175,W1538&gt;=95),0.12,0),
IF(AF1538="DoEVs1",IF(AND(V1538&lt;20,W1538&lt;55),0.3,0)+IF(AND(V1538&lt;20,W1538&gt;=55,W1538&lt;105),0.23,0)+IF(AND(V1538&lt;20,W1538&gt;=105),0.17,0)+IF(AND(V1538&gt;=20,V1538&lt;40,W1538&lt;45),0.3,0)+IF(AND(V1538&gt;=20,V1538&lt;40,W1538&gt;=45,W1538&lt;95),0.23,0)+IF(AND(V1538&gt;=20,V1538&lt;40,W1538&gt;=95,W1538&lt;=150),0.17,0)+IF(AND(V1538&gt;=20,V1538&lt;40,W1538&gt;=150),0.12,0)+IF(AND(V1538&gt;=40,V1538&lt;75,W1538&lt;35),0.3,0)+IF(AND(V1538&gt;=40,V1538&lt;75,W1538&gt;=35,W1538&lt;75),0.23,0)+IF(AND(V1538&gt;=40,V1538&lt;75,W1538&gt;=75,W1538&lt;120),0.17,0)+IF(AND(V1538&gt;=40,V1538&lt;75,W1538&gt;=120),0.12,0)+IF(AND(V1538&gt;=75,V1538&lt;175,W1538&lt;35),0.3,0)+IF(AND(V1538&gt;=75,V1538&lt;=175,W1538&gt;=35,W1538&lt;65),0.23,0)+IF(AND(V1538&gt;=75,V1538&lt;=175,W1538&gt;=65,W1538&lt;110),0.17,0)+IF(AND(V1538&gt;=75,V1538&lt;=175,W1538&gt;=110),0.12,0)+IF(AND(V1538&gt;175,W1538&lt;25),0.3,0)+IF(AND(V1538&gt;175,W1538&gt;=25,W1538&lt;55),0.23,0)+IF(AND(V1538&gt;175,W1538&gt;=55,W1538&lt;95),0.17,0)+IF(AND(V1538&gt;175,W1538&gt;=95),0.12,0),
IF(AF1538="DoEVsu",IF(AND(V1538&lt;20,W1538&lt;55),0.3,0)+IF(AND(V1538&lt;20,W1538&gt;=55,W1538&lt;105),0.23,0)+IF(AND(V1538&lt;20,W1538&gt;=105),0.17,0)+IF(AND(V1538&gt;=20,V1538&lt;40,W1538&lt;45),0.3,0)+IF(AND(V1538&gt;=20,V1538&lt;40,W1538&gt;=45,W1538&lt;95),0.23,0)+IF(AND(V1538&gt;=20,V1538&lt;40,W1538&gt;=95,W1538&lt;=250),0.17,0)+IF(AND(V1538&gt;=20,V1538&lt;40,W1538&gt;=250),0.12,0)+IF(AND(V1538&gt;=40,V1538&lt;75,W1538&lt;35),0.3,0)+IF(AND(V1538&gt;=40,V1538&lt;75,W1538&gt;=35,W1538&lt;75),0.23,0)+IF(AND(V1538&gt;=40,V1538&lt;75,W1538&gt;=75,W1538&lt;120),0.17,0)+IF(AND(V1538&gt;=40,V1538&lt;75,W1538&gt;=120),0.12,0)+IF(AND(V1538&gt;=75,V1538&lt;175,W1538&lt;35),0.3,0)+IF(AND(V1538&gt;=75,V1538&lt;=175,W1538&gt;=35,W1538&lt;65),0.23,0)+IF(AND(V1538&gt;=75,V1538&lt;=175,W1538&gt;=65,W1538&lt;110),0.17,0)+IF(AND(V1538&gt;=75,V1538&lt;=175,W1538&gt;=110),0.12,0)+IF(AND(V1538&gt;175,W1538&lt;25),0.3,0)+IF(AND(V1538&gt;175,W1538&gt;=25,W1538&lt;55),0.23,0)+IF(AND(V1538&gt;175,W1538&gt;=55,W1538&lt;95),0.17,0)+IF(AND(V1538&gt;175,W1538&gt;=95),0.12,0),
IF(AF1538="DoEVni",IF(AND(V1538&lt;20,W1538&lt;55),0.3,0)+IF(AND(V1538&lt;20,W1538&gt;=55,W1538&lt;105),0.23,0)+IF(AND(V1538&lt;20,W1538&gt;=105),0.17,0)+IF(AND(V1538&gt;=20,V1538&lt;40,W1538&lt;45),0.3,0)+IF(AND(V1538&gt;=20,V1538&lt;40,W1538&gt;=45,W1538&lt;95),0.23,0)+IF(AND(V1538&gt;=20,V1538&lt;40,W1538&gt;=95,W1538&lt;=200),0.17,0)+IF(AND(V1538&gt;=20,V1538&lt;40,W1538&gt;=200),0.12,0)+IF(AND(V1538&gt;=40,V1538&lt;75,W1538&lt;35),0.3,0)+IF(AND(V1538&gt;=40,V1538&lt;75,W1538&gt;=35,W1538&lt;75),0.23,0)+IF(AND(V1538&gt;=40,V1538&lt;75,W1538&gt;=75,W1538&lt;120),0.17,0)+IF(AND(V1538&gt;=40,V1538&lt;75,W1538&gt;=120),0.12,0)+IF(AND(V1538&gt;=75,V1538&lt;175,W1538&lt;35),0.3,0)+IF(AND(V1538&gt;=75,V1538&lt;=175,W1538&gt;=35,W1538&lt;65),0.23,0)+IF(AND(V1538&gt;=75,V1538&lt;=175,W1538&gt;=65,W1538&lt;110),0.17,0)+IF(AND(V1538&gt;=75,V1538&lt;=175,W1538&gt;=110),0.12,0)+IF(AND(V1538&gt;175,W1538&lt;25),0.3,0)+IF(AND(V1538&gt;175,W1538&gt;=25,W1538&lt;55),0.23,0)+IF(AND(V1538&gt;175,W1538&gt;=55,W1538&lt;95),0.17,0)+IF(AND(V1538&gt;175,W1538&gt;=95),0.12,0),
IF(AF1538="DoEVLo",IF(AND(V1538&lt;20,W1538&lt;55),0.25,0)+IF(AND(V1538&lt;20,W1538&gt;=55,W1538&lt;105),0.2,0)+IF(AND(V1538&lt;20,W1538&gt;=105),0.15,0)+IF(AND(V1538&gt;=20,V1538&lt;40,W1538&lt;45),0.25,0)+IF(AND(V1538&gt;=20,V1538&lt;40,W1538&gt;=45,W1538&lt;95),0.2,0)+IF(AND(V1538&gt;=20,V1538&lt;40,W1538&gt;=95),0.15,0)+IF(AND(V1538&gt;=40,V1538&lt;75,W1538&lt;35),0.25,0)+IF(AND(V1538&gt;=40,V1538&lt;75,W1538&gt;=35,W1538&lt;75),0.2,0)+IF(AND(V1538&gt;=40,V1538&lt;75,W1538&gt;=75,W1538&lt;120),0.15,0)+IF(AND(V1538&gt;=40,V1538&lt;75,W1538&gt;=120),0.1,0)+IF(AND(V1538&gt;=75,V1538&lt;175,W1538&lt;35),0.25,0)+IF(AND(V1538&gt;=75,V1538&lt;=175,W1538&gt;=35,W1538&lt;65),0.2,0)+IF(AND(V1538&gt;=75,V1538&lt;=175,W1538&gt;=65,W1538&lt;110),0.15,0)+IF(AND(V1538&gt;=75,V1538&lt;=175,W1538&gt;=110),0.1,0)+IF(AND(V1538&gt;175,W1538&lt;25),0.25,0)+IF(AND(V1538&gt;175,W1538&gt;=25,W1538&lt;55),0.2,0)+IF(AND(V1538&gt;175,W1538&gt;=55,W1538&lt;95),0.15,0)+IF(AND(V1538&gt;175,W1538&gt;=95),0.1,0))))))))))))))))))))</f>
        <v>0.17</v>
      </c>
      <c r="Y1538" s="30">
        <f>IF(AG1538="None",0,IF(AG1538="Fix5",0.05, IF(AG1538="Fix6.25",0.0625,IF(AG1538="Fix3.75",0.0375, IF(AG1538="Fix11",0.11, IF(AG1538="Fix10",0.1,IF(AG1538="Fix3",0.03,0)))))))</f>
        <v>0</v>
      </c>
      <c r="Z1538" s="35">
        <f>IF(AND(AD1538="EUR", AE1538 = "USD"), T1538*U1538-AA1538-AB1538, T1538-AA1538-AB1538)</f>
        <v>-1016.75</v>
      </c>
      <c r="AA1538" s="29">
        <f>IF(AND(AD1538="EUR", F1538="Without EV deal", AE1538="USD"), (T1538*X1538)*U1538,
IF(AND(AD1538="EUR", F1538="Without EV deal", AE1538="EUR"), (T1538*X1538),
IF(AND(AD1538="EUR",AE1538="USD"), (T1538*X1538)*U1538,
T1538*X1538)))</f>
        <v>-208.25000000000003</v>
      </c>
      <c r="AB1538" s="36">
        <f>IF(AND(AD1538="EUR", F1538="Without EV deal", AE1538="USD"), (T1538*Y1538)*U1538,
IF(AND(AD1538="EUR", F1538="Without EV deal", AE1538="EUR"), (T1538*Y1538),
IF(AND(AD1538="EUR",AE1538="USD"), (T1538*Y1538)*U1538,
T1538*Y1538)))</f>
        <v>0</v>
      </c>
      <c r="AC1538" s="37" t="b">
        <v>1</v>
      </c>
      <c r="AD1538" s="82" t="str">
        <f>IF(OR(H1538="€0.25 Flash",
H1538="€0.25(nitro) new",
H1538="€1",
H1538="€2",
H1538="€2 (bf 01.08)",
H1538="€5",
H1538="€5 (1M)",
H1538="€5 (bf 01.08)",
H1538="€5 (bf 05.05)",
H1538="€5 Nitro",
H1538="€5(wx) new",
H1538="€10",
H1538="€10 (1M)",
H1538="€10 (bf 01.08)",
H1538="€10 (bf 05.05)",
H1538="€10 (MP)",
H1538="€10 (old)",
H1538="€10 Nitro (bf 05.05)",
H1538="€10 Nitro (old)",
H1538="€10(wx) new",
H1538="€20",
H1538="€25",
H1538="€25 (bf 01.08)",
H1538="€25 (bf 05.05)",
H1538="€25 (MP)",
H1538="€25 (old)",
H1538="€25 Nitro",
H1538="€25 Nitro (bf 01.08)",
H1538="€25 Nitro (bf 05.05)",
H1538="€25(nitro) new",
H1538="€25(wx) new",
H1538="€50",
H1538="€50 (bf 01.08)",
H1538="€50 (bf 05.05)",
H1538="€50 (old)",
H1538="€50 Nitro",
H1538="€50 Nitro (bf 01.08)",
H1538="€50 Nitro (bf 05.05)",
H1538="€50(wx) new",
H1538="€100",
H1538="€100 (old)",
H1538="€100 Nitro",
H1538="€100 Nitro (old)",
H1538="€200",
H1538="€250",
H1538="€250 Nitro",
H1538="€500",
H1538="€500 Nitro"),"EUR", "USD")</f>
        <v>USD</v>
      </c>
      <c r="AE1538" s="83" t="s">
        <v>38</v>
      </c>
      <c r="AF1538" s="83" t="str">
        <f t="array" ref="AF1538">INDEX('Deal Info'!D:D, MATCH(A1538,'Deal Info'!A:A, 0))</f>
        <v>DoEV</v>
      </c>
      <c r="AG1538" s="84" t="str">
        <f t="array" ref="AG1538">INDEX('Deal Info'!G:G, MATCH(A1538,'Deal Info'!A:A, 0))</f>
        <v>None</v>
      </c>
    </row>
    <row r="1539" spans="1:33" ht="14.25" hidden="1" x14ac:dyDescent="0.2">
      <c r="A1539" s="18" t="str">
        <f t="array" ref="A1539">IF(G1539='Room Info'!$B$1, INDEX('Room Info'!$A$2:$A2446, MATCH(B1539,'Room Info'!$B$2:$B2446, 0)),IF(G1539='Room Info'!$C$1, INDEX('Room Info'!$A$2:$A2446, MATCH(B1539,'Room Info'!$C$2:$C2446, 0)),IF(G1539='Room Info'!$D$1, INDEX('Room Info'!$A$2:$A2446, MATCH(B1539,'Room Info'!$D$2:$D2446, 0)),IF(G1539='Room Info'!$E$1, INDEX('Room Info'!$A$2:$A2446, MATCH(B1539,'Room Info'!$E$2:$E2446, 0)),IF(G1539='Room Info'!$F$1, INDEX('Room Info'!$A$2:$A2446, MATCH(B1539,'Room Info'!$F$2:$F2446, 0)),IF(G1539='Room Info'!$H$1, INDEX('Room Info'!$A$2:$A2446, MATCH(B1539,'Room Info'!$H$2:$H2446, 0)),IF(G1539='Room Info'!$G$1, INDEX('Room Info'!$A$2:$A2446, MATCH(B1539,'Room Info'!$G$2:$G2446, 0)))))))))</f>
        <v>Berebka</v>
      </c>
      <c r="B1539" s="45" t="s">
        <v>228</v>
      </c>
      <c r="C1539" s="46">
        <v>44958</v>
      </c>
      <c r="D1539" s="46">
        <v>44985</v>
      </c>
      <c r="E1539" s="80">
        <v>44958</v>
      </c>
      <c r="F1539" s="45" t="s">
        <v>49</v>
      </c>
      <c r="G1539" s="18" t="s">
        <v>35</v>
      </c>
      <c r="H1539" s="49" t="s">
        <v>72</v>
      </c>
      <c r="I1539" s="49" t="s">
        <v>37</v>
      </c>
      <c r="J1539" s="39">
        <v>50</v>
      </c>
      <c r="K1539" s="75">
        <v>4</v>
      </c>
      <c r="L1539" s="72">
        <v>50</v>
      </c>
      <c r="M1539" s="79"/>
      <c r="N1539" s="28">
        <f>K1539*J1539</f>
        <v>200</v>
      </c>
      <c r="O1539" s="45">
        <v>560</v>
      </c>
      <c r="P1539" s="29">
        <v>140</v>
      </c>
      <c r="Q1539" s="55"/>
      <c r="R1539" s="31">
        <f>M1539+Q1539*J1539*K1539*0.07</f>
        <v>0</v>
      </c>
      <c r="S1539" s="73">
        <v>41</v>
      </c>
      <c r="T1539" s="32">
        <f>IF(AND(AD1539="EUR", F1539="Without EV deal"), R1539 + L1539,
IF(AND(AD1539="USD", F1539="Without EV deal"), R1539 + L1539,
IF(AND(AD1539="EUR", F1539="Steel Phoenix"), R1539 + S1539/U1539,
R1539 + S1539)))</f>
        <v>41</v>
      </c>
      <c r="U1539" s="57"/>
      <c r="V1539" s="58">
        <v>18.89</v>
      </c>
      <c r="W1539" s="58">
        <v>110.0956935</v>
      </c>
      <c r="X1539" s="30">
        <f>IF(AF1539="DoEV",IF(AND(V1539&lt;20,W1539&lt;55),0.3,0)+IF(AND(V1539&lt;20,W1539&gt;=55,W1539&lt;105),0.23,0)+IF(AND(V1539&lt;20,W1539&gt;=105),0.17,0)+IF(AND(V1539&gt;=20,V1539&lt;40,W1539&lt;45),0.3,0)+IF(AND(V1539&gt;=20,V1539&lt;40,W1539&gt;=45,W1539&lt;95),0.23,0)+IF(AND(V1539&gt;=20,V1539&lt;40,W1539&gt;=95),0.17,0)+IF(AND(V1539&gt;=40,V1539&lt;75,W1539&lt;35),0.3,0)+IF(AND(V1539&gt;=40,V1539&lt;75,W1539&gt;=35,W1539&lt;75),0.23,0)+IF(AND(V1539&gt;=40,V1539&lt;75,W1539&gt;=75,W1539&lt;120),0.17,0)+IF(AND(V1539&gt;=40,V1539&lt;75,W1539&gt;=120),0.12,0)+IF(AND(V1539&gt;=75,V1539&lt;175,W1539&lt;35),0.3,0)+IF(AND(V1539&gt;=75,V1539&lt;=175,W1539&gt;=35,W1539&lt;65),0.23,0)+IF(AND(V1539&gt;=75,V1539&lt;=175,W1539&gt;=65,W1539&lt;110),0.17,0)+IF(AND(V1539&gt;=75,V1539&lt;=175,W1539&gt;=110),0.12,0)+IF(AND(V1539&gt;175,W1539&lt;25),0.3,0)+IF(AND(V1539&gt;175,W1539&gt;=25,W1539&lt;55),0.23,0)+IF(AND(V1539&gt;175,W1539&gt;=55,W1539&lt;95),0.17,0)+IF(AND(V1539&gt;175,W1539&gt;=95),0.12,0),
IF(AF1539="Fix15",0.15,
IF(AF1539="Fix5",0.05,
IF(AF1539="Fix18.75",0.1875,
IF(AF1539="Fix11.25",0.1125,
IF(AF1539="Fix10",0.1,
IF(AF1539="Fix9",0.09,
IF(AF1539="Fix12",0.12,
IF(AF1539="Fix19",0.19,
IF(AF1539="DoEV2017",IF(AND(W1539&lt;74),0.2,0)+IF(AND(W1539&gt;=74),0.17,0),
IF(AF1539="SF",IF(AND(V1539&lt;20,W1539&lt;89),0.3,0)+IF(AND(V1539&lt;20,W1539&gt;=89),0.25,0)+IF(AND(V1539&gt;=20,V1539&lt;40,W1539&lt;74),0.3,0)+IF(AND(V1539&gt;=20,V1539&lt;40,W1539&gt;=75),0.22,0)+IF(AND(V1539&gt;=40,V1539&lt;75,W1539&lt;75),0.26,0)+IF(AND(V1539&gt;=40,V1539&lt;75,W1539&gt;=75),0.22,0)+IF(V1539&gt;=75,0.22,0),
IF(AF1539="DoEVold",IF(AND(V1539&lt;40,W1539&lt;35),0.35,0)+IF(AND(V1539&lt;40,W1539&gt;=35,W1539&lt;75),0.25,0)+IF(AND(V1539&lt;40,W1539&gt;=75),0.17,0)+IF(AND(V1539&gt;=40,V1539&lt;75,W1539&lt;25),0.35,0)+IF(AND(V1539&gt;=40,V1539&lt;75,W1539&gt;=25,W1539&lt;65),0.25,0)+IF(AND(V1539&gt;=40,V1539&lt;75,W1539&gt;=65,W1539&lt;100),0.17,0)+IF(AND(V1539&gt;=40,V1539&lt;75,W1539&gt;=100),0.1,0)+IF(AND(V1539&gt;=75,W1539&lt;25),0.35,0)+IF(AND(V1539&gt;=75,W1539&gt;=25,W1539&lt;60),0.25,0)+IF(AND(V1539&gt;=75,W1539&gt;=60,W1539&lt;95),0.17,0)+IF(AND(V1539&gt;=75,W1539&gt;=95),0.1,0),
IF(AF1539="DoEVold15",IF(AND(V1539&lt;=40,W1539&lt;35),0.35,0)+IF(AND(V1539&lt;=40,W1539&gt;=35,W1539&lt;75),0.25,0)+IF(AND(V1539&lt;=40,W1539&gt;=75,W1539&lt;120),0.17,0)+IF(AND(V1539&lt;=40,W1539&gt;=120),0.15,0)+IF(AND(V1539&gt;40,V1539&lt;75,W1539&lt;25),0.35,0)+IF(AND(V1539&gt;=40,V1539&lt;75,W1539&gt;=25,W1539&lt;65),0.25,0)+IF(AND(V1539&gt;=40,V1539&lt;75,W1539&gt;=65,W1539&lt;100),0.17,0)+IF(AND(V1539&gt;=40,V1539&lt;75,W1539&gt;=100),0.1,0)+IF(AND(V1539&gt;=75,W1539&lt;25),0.35,0)+IF(AND(V1539&gt;=75,W1539&gt;=25,W1539&lt;60),0.25,0)+IF(AND(V1539&gt;=75,W1539&gt;=60,W1539&lt;95),0.17,0)+IF(AND(V1539&gt;=75,W1539&gt;=95),0.1,0),
IF(AF1539="DoEVba",IF(AND(V1539&lt;20,W1539&lt;105),0.2,0)+IF(AND(V1539&lt;20,W1539&gt;=105),0.15,0)+IF(AND(V1539&gt;=20,V1539&lt;40,W1539&lt;95),0.2,0)+IF(AND(V1539&gt;=20,V1539&lt;40,W1539&gt;=95,W1539&lt;150),0.15,0)+IF(AND(V1539&gt;=20,V1539&lt;40,W1539&gt;=150),0.12,0)+IF(AND(V1539&gt;=40,V1539&lt;75,W1539&lt;75),0.2,0)+IF(AND(V1539&gt;=40,V1539&lt;75,W1539&gt;=75,W1539&lt;120),0.15,0)+IF(AND(V1539&gt;=40,V1539&lt;75,W1539&gt;=120),0.12,0)+IF(AND(V1539&gt;=75,V1539&lt;175,W1539&lt;65),0.2,0)+IF(AND(V1539&gt;=75,V1539&lt;175,W1539&gt;=65,W1539&lt;110),0.15,0)+IF(AND(V1539&gt;=75,V1539&lt;175,W1539&gt;=110),0.12,0)+IF(AND(V1539&gt;=175,W1539&lt;55),0.2,0)+IF(AND(V1539&gt;=175,W1539&gt;=55,W1539&lt;95),0.15,0)+IF(AND(V1539&gt;=175,W1539&gt;=95),0.12,0),
IF(AF1539="DoEVku",IF(AND(V1539&lt;20,W1539&lt;55),0.23,0)+IF(AND(V1539&lt;20,W1539&gt;=55,W1539&lt;105),0.2,0)+IF(AND(V1539&lt;20,W1539&gt;=105),0.17,0)+IF(AND(V1539&gt;=20,V1539&lt;40,W1539&lt;45),0.23,0)+IF(AND(V1539&gt;=20,V1539&lt;40,W1539&gt;=45,W1539&lt;95),0.2,0)+IF(AND(V1539&gt;=20,V1539&lt;40,W1539&gt;=95,W1539&lt;=150),0.17,0)+IF(AND(V1539&gt;=20,V1539&lt;40,W1539&gt;=150),0.12,0)+IF(AND(V1539&gt;=40,V1539&lt;75,W1539&lt;35),0.23,0)+IF(AND(V1539&gt;=40,V1539&lt;75,W1539&gt;=35,W1539&lt;75),0.2,0)+IF(AND(V1539&gt;=40,V1539&lt;75,W1539&gt;=75,W1539&lt;120),0.17,0)+IF(AND(V1539&gt;=40,V1539&lt;75,W1539&gt;=120),0.12,0)+IF(AND(V1539&gt;=75,V1539&lt;175,W1539&lt;35),0.23,0)+IF(AND(V1539&gt;=75,V1539&lt;=175,W1539&gt;=35,W1539&lt;65),0.2,0)+IF(AND(V1539&gt;=75,V1539&lt;=175,W1539&gt;=65,W1539&lt;110),0.17,0)+IF(AND(V1539&gt;=75,V1539&lt;=175,W1539&gt;=110),0.12,0)+IF(AND(V1539&gt;175,W1539&lt;25),0.23,0)+IF(AND(V1539&gt;175,W1539&gt;=25,W1539&lt;55),0.2,0)+IF(AND(V1539&gt;175,W1539&gt;=55,W1539&lt;95),0.17,0)+IF(AND(V1539&gt;175,W1539&gt;=95),0.12,0),
IF(AF1539="DoEVs1",IF(AND(V1539&lt;20,W1539&lt;55),0.3,0)+IF(AND(V1539&lt;20,W1539&gt;=55,W1539&lt;105),0.23,0)+IF(AND(V1539&lt;20,W1539&gt;=105),0.17,0)+IF(AND(V1539&gt;=20,V1539&lt;40,W1539&lt;45),0.3,0)+IF(AND(V1539&gt;=20,V1539&lt;40,W1539&gt;=45,W1539&lt;95),0.23,0)+IF(AND(V1539&gt;=20,V1539&lt;40,W1539&gt;=95,W1539&lt;=150),0.17,0)+IF(AND(V1539&gt;=20,V1539&lt;40,W1539&gt;=150),0.12,0)+IF(AND(V1539&gt;=40,V1539&lt;75,W1539&lt;35),0.3,0)+IF(AND(V1539&gt;=40,V1539&lt;75,W1539&gt;=35,W1539&lt;75),0.23,0)+IF(AND(V1539&gt;=40,V1539&lt;75,W1539&gt;=75,W1539&lt;120),0.17,0)+IF(AND(V1539&gt;=40,V1539&lt;75,W1539&gt;=120),0.12,0)+IF(AND(V1539&gt;=75,V1539&lt;175,W1539&lt;35),0.3,0)+IF(AND(V1539&gt;=75,V1539&lt;=175,W1539&gt;=35,W1539&lt;65),0.23,0)+IF(AND(V1539&gt;=75,V1539&lt;=175,W1539&gt;=65,W1539&lt;110),0.17,0)+IF(AND(V1539&gt;=75,V1539&lt;=175,W1539&gt;=110),0.12,0)+IF(AND(V1539&gt;175,W1539&lt;25),0.3,0)+IF(AND(V1539&gt;175,W1539&gt;=25,W1539&lt;55),0.23,0)+IF(AND(V1539&gt;175,W1539&gt;=55,W1539&lt;95),0.17,0)+IF(AND(V1539&gt;175,W1539&gt;=95),0.12,0),
IF(AF1539="DoEVsu",IF(AND(V1539&lt;20,W1539&lt;55),0.3,0)+IF(AND(V1539&lt;20,W1539&gt;=55,W1539&lt;105),0.23,0)+IF(AND(V1539&lt;20,W1539&gt;=105),0.17,0)+IF(AND(V1539&gt;=20,V1539&lt;40,W1539&lt;45),0.3,0)+IF(AND(V1539&gt;=20,V1539&lt;40,W1539&gt;=45,W1539&lt;95),0.23,0)+IF(AND(V1539&gt;=20,V1539&lt;40,W1539&gt;=95,W1539&lt;=250),0.17,0)+IF(AND(V1539&gt;=20,V1539&lt;40,W1539&gt;=250),0.12,0)+IF(AND(V1539&gt;=40,V1539&lt;75,W1539&lt;35),0.3,0)+IF(AND(V1539&gt;=40,V1539&lt;75,W1539&gt;=35,W1539&lt;75),0.23,0)+IF(AND(V1539&gt;=40,V1539&lt;75,W1539&gt;=75,W1539&lt;120),0.17,0)+IF(AND(V1539&gt;=40,V1539&lt;75,W1539&gt;=120),0.12,0)+IF(AND(V1539&gt;=75,V1539&lt;175,W1539&lt;35),0.3,0)+IF(AND(V1539&gt;=75,V1539&lt;=175,W1539&gt;=35,W1539&lt;65),0.23,0)+IF(AND(V1539&gt;=75,V1539&lt;=175,W1539&gt;=65,W1539&lt;110),0.17,0)+IF(AND(V1539&gt;=75,V1539&lt;=175,W1539&gt;=110),0.12,0)+IF(AND(V1539&gt;175,W1539&lt;25),0.3,0)+IF(AND(V1539&gt;175,W1539&gt;=25,W1539&lt;55),0.23,0)+IF(AND(V1539&gt;175,W1539&gt;=55,W1539&lt;95),0.17,0)+IF(AND(V1539&gt;175,W1539&gt;=95),0.12,0),
IF(AF1539="DoEVni",IF(AND(V1539&lt;20,W1539&lt;55),0.3,0)+IF(AND(V1539&lt;20,W1539&gt;=55,W1539&lt;105),0.23,0)+IF(AND(V1539&lt;20,W1539&gt;=105),0.17,0)+IF(AND(V1539&gt;=20,V1539&lt;40,W1539&lt;45),0.3,0)+IF(AND(V1539&gt;=20,V1539&lt;40,W1539&gt;=45,W1539&lt;95),0.23,0)+IF(AND(V1539&gt;=20,V1539&lt;40,W1539&gt;=95,W1539&lt;=200),0.17,0)+IF(AND(V1539&gt;=20,V1539&lt;40,W1539&gt;=200),0.12,0)+IF(AND(V1539&gt;=40,V1539&lt;75,W1539&lt;35),0.3,0)+IF(AND(V1539&gt;=40,V1539&lt;75,W1539&gt;=35,W1539&lt;75),0.23,0)+IF(AND(V1539&gt;=40,V1539&lt;75,W1539&gt;=75,W1539&lt;120),0.17,0)+IF(AND(V1539&gt;=40,V1539&lt;75,W1539&gt;=120),0.12,0)+IF(AND(V1539&gt;=75,V1539&lt;175,W1539&lt;35),0.3,0)+IF(AND(V1539&gt;=75,V1539&lt;=175,W1539&gt;=35,W1539&lt;65),0.23,0)+IF(AND(V1539&gt;=75,V1539&lt;=175,W1539&gt;=65,W1539&lt;110),0.17,0)+IF(AND(V1539&gt;=75,V1539&lt;=175,W1539&gt;=110),0.12,0)+IF(AND(V1539&gt;175,W1539&lt;25),0.3,0)+IF(AND(V1539&gt;175,W1539&gt;=25,W1539&lt;55),0.23,0)+IF(AND(V1539&gt;175,W1539&gt;=55,W1539&lt;95),0.17,0)+IF(AND(V1539&gt;175,W1539&gt;=95),0.12,0),
IF(AF1539="DoEVLo",IF(AND(V1539&lt;20,W1539&lt;55),0.25,0)+IF(AND(V1539&lt;20,W1539&gt;=55,W1539&lt;105),0.2,0)+IF(AND(V1539&lt;20,W1539&gt;=105),0.15,0)+IF(AND(V1539&gt;=20,V1539&lt;40,W1539&lt;45),0.25,0)+IF(AND(V1539&gt;=20,V1539&lt;40,W1539&gt;=45,W1539&lt;95),0.2,0)+IF(AND(V1539&gt;=20,V1539&lt;40,W1539&gt;=95),0.15,0)+IF(AND(V1539&gt;=40,V1539&lt;75,W1539&lt;35),0.25,0)+IF(AND(V1539&gt;=40,V1539&lt;75,W1539&gt;=35,W1539&lt;75),0.2,0)+IF(AND(V1539&gt;=40,V1539&lt;75,W1539&gt;=75,W1539&lt;120),0.15,0)+IF(AND(V1539&gt;=40,V1539&lt;75,W1539&gt;=120),0.1,0)+IF(AND(V1539&gt;=75,V1539&lt;175,W1539&lt;35),0.25,0)+IF(AND(V1539&gt;=75,V1539&lt;=175,W1539&gt;=35,W1539&lt;65),0.2,0)+IF(AND(V1539&gt;=75,V1539&lt;=175,W1539&gt;=65,W1539&lt;110),0.15,0)+IF(AND(V1539&gt;=75,V1539&lt;=175,W1539&gt;=110),0.1,0)+IF(AND(V1539&gt;175,W1539&lt;25),0.25,0)+IF(AND(V1539&gt;175,W1539&gt;=25,W1539&lt;55),0.2,0)+IF(AND(V1539&gt;175,W1539&gt;=55,W1539&lt;95),0.15,0)+IF(AND(V1539&gt;175,W1539&gt;=95),0.1,0))))))))))))))))))))</f>
        <v>0.17</v>
      </c>
      <c r="Y1539" s="30">
        <f>IF(AG1539="None",0,IF(AG1539="Fix5",0.05, IF(AG1539="Fix6.25",0.0625,IF(AG1539="Fix3.75",0.0375, IF(AG1539="Fix11",0.11, IF(AG1539="Fix10",0.1,IF(AG1539="Fix3",0.03,0)))))))</f>
        <v>0</v>
      </c>
      <c r="Z1539" s="35">
        <f>IF(AND(AD1539="EUR", AE1539 = "USD"), T1539*U1539-AA1539-AB1539, T1539-AA1539-AB1539)</f>
        <v>34.03</v>
      </c>
      <c r="AA1539" s="29">
        <f>IF(AND(AD1539="EUR", F1539="Without EV deal", AE1539="USD"), (T1539*X1539)*U1539,
IF(AND(AD1539="EUR", F1539="Without EV deal", AE1539="EUR"), (T1539*X1539),
IF(AND(AD1539="EUR",AE1539="USD"), (T1539*X1539)*U1539,
T1539*X1539)))</f>
        <v>6.9700000000000006</v>
      </c>
      <c r="AB1539" s="36">
        <f>IF(AND(AD1539="EUR", F1539="Without EV deal", AE1539="USD"), (T1539*Y1539)*U1539,
IF(AND(AD1539="EUR", F1539="Without EV deal", AE1539="EUR"), (T1539*Y1539),
IF(AND(AD1539="EUR",AE1539="USD"), (T1539*Y1539)*U1539,
T1539*Y1539)))</f>
        <v>0</v>
      </c>
      <c r="AC1539" s="37" t="b">
        <v>1</v>
      </c>
      <c r="AD1539" s="82" t="str">
        <f>IF(OR(H1539="€0.25 Flash",
H1539="€0.25(nitro) new",
H1539="€1",
H1539="€2",
H1539="€2 (bf 01.08)",
H1539="€5",
H1539="€5 (1M)",
H1539="€5 (bf 01.08)",
H1539="€5 (bf 05.05)",
H1539="€5 Nitro",
H1539="€5(wx) new",
H1539="€10",
H1539="€10 (1M)",
H1539="€10 (bf 01.08)",
H1539="€10 (bf 05.05)",
H1539="€10 (MP)",
H1539="€10 (old)",
H1539="€10 Nitro (bf 05.05)",
H1539="€10 Nitro (old)",
H1539="€10(wx) new",
H1539="€20",
H1539="€25",
H1539="€25 (bf 01.08)",
H1539="€25 (bf 05.05)",
H1539="€25 (MP)",
H1539="€25 (old)",
H1539="€25 Nitro",
H1539="€25 Nitro (bf 01.08)",
H1539="€25 Nitro (bf 05.05)",
H1539="€25(nitro) new",
H1539="€25(wx) new",
H1539="€50",
H1539="€50 (bf 01.08)",
H1539="€50 (bf 05.05)",
H1539="€50 (old)",
H1539="€50 Nitro",
H1539="€50 Nitro (bf 01.08)",
H1539="€50 Nitro (bf 05.05)",
H1539="€50(wx) new",
H1539="€100",
H1539="€100 (old)",
H1539="€100 Nitro",
H1539="€100 Nitro (old)",
H1539="€200",
H1539="€250",
H1539="€250 Nitro",
H1539="€500",
H1539="€500 Nitro"),"EUR", "USD")</f>
        <v>USD</v>
      </c>
      <c r="AE1539" s="83" t="s">
        <v>38</v>
      </c>
      <c r="AF1539" s="83" t="str">
        <f t="array" ref="AF1539">INDEX('Deal Info'!D:D, MATCH(A1539,'Deal Info'!A:A, 0))</f>
        <v>DoEV</v>
      </c>
      <c r="AG1539" s="84" t="str">
        <f t="array" ref="AG1539">INDEX('Deal Info'!G:G, MATCH(A1539,'Deal Info'!A:A, 0))</f>
        <v>None</v>
      </c>
    </row>
    <row r="1540" spans="1:33" ht="14.25" hidden="1" x14ac:dyDescent="0.2">
      <c r="A1540" s="18" t="str">
        <f t="array" ref="A1540">IF(G1540='Room Info'!$B$1, INDEX('Room Info'!$A$2:$A2446, MATCH(B1540,'Room Info'!$B$2:$B2446, 0)),IF(G1540='Room Info'!$C$1, INDEX('Room Info'!$A$2:$A2446, MATCH(B1540,'Room Info'!$C$2:$C2446, 0)),IF(G1540='Room Info'!$D$1, INDEX('Room Info'!$A$2:$A2446, MATCH(B1540,'Room Info'!$D$2:$D2446, 0)),IF(G1540='Room Info'!$E$1, INDEX('Room Info'!$A$2:$A2446, MATCH(B1540,'Room Info'!$E$2:$E2446, 0)),IF(G1540='Room Info'!$F$1, INDEX('Room Info'!$A$2:$A2446, MATCH(B1540,'Room Info'!$F$2:$F2446, 0)),IF(G1540='Room Info'!$H$1, INDEX('Room Info'!$A$2:$A2446, MATCH(B1540,'Room Info'!$H$2:$H2446, 0)),IF(G1540='Room Info'!$G$1, INDEX('Room Info'!$A$2:$A2446, MATCH(B1540,'Room Info'!$G$2:$G2446, 0)))))))))</f>
        <v>Berebka</v>
      </c>
      <c r="B1540" s="45" t="s">
        <v>229</v>
      </c>
      <c r="C1540" s="46">
        <v>44958</v>
      </c>
      <c r="D1540" s="46">
        <v>44985</v>
      </c>
      <c r="E1540" s="80">
        <v>44958</v>
      </c>
      <c r="F1540" s="45" t="s">
        <v>49</v>
      </c>
      <c r="G1540" s="45" t="s">
        <v>223</v>
      </c>
      <c r="H1540" s="81" t="s">
        <v>54</v>
      </c>
      <c r="I1540" s="49" t="s">
        <v>37</v>
      </c>
      <c r="J1540" s="39">
        <v>5</v>
      </c>
      <c r="K1540" s="75">
        <v>4</v>
      </c>
      <c r="L1540" s="72">
        <v>-10</v>
      </c>
      <c r="M1540" s="79"/>
      <c r="N1540" s="28">
        <f>K1540*J1540</f>
        <v>20</v>
      </c>
      <c r="O1540" s="45">
        <v>-372</v>
      </c>
      <c r="P1540" s="29">
        <v>-93</v>
      </c>
      <c r="Q1540" s="55">
        <v>0.5</v>
      </c>
      <c r="R1540" s="31">
        <f>M1540+Q1540*J1540*K1540*0.07</f>
        <v>0.70000000000000007</v>
      </c>
      <c r="S1540" s="73">
        <f>-5*U1540</f>
        <v>-5.3085000000000004</v>
      </c>
      <c r="T1540" s="32">
        <f>IF(AND(AD1540="EUR", F1540="Without EV deal"), R1540 + L1540,
IF(AND(AD1540="USD", F1540="Without EV deal"), R1540 + L1540,
IF(AND(AD1540="EUR", F1540="Steel Phoenix"), R1540 + S1540/U1540,
R1540 + S1540)))</f>
        <v>-4.6085000000000003</v>
      </c>
      <c r="U1540" s="57">
        <v>1.0617000000000001</v>
      </c>
      <c r="V1540" s="58">
        <v>18.89</v>
      </c>
      <c r="W1540" s="58">
        <v>110.0956935</v>
      </c>
      <c r="X1540" s="30">
        <f>IF(AF1540="DoEV",IF(AND(V1540&lt;20,W1540&lt;55),0.3,0)+IF(AND(V1540&lt;20,W1540&gt;=55,W1540&lt;105),0.23,0)+IF(AND(V1540&lt;20,W1540&gt;=105),0.17,0)+IF(AND(V1540&gt;=20,V1540&lt;40,W1540&lt;45),0.3,0)+IF(AND(V1540&gt;=20,V1540&lt;40,W1540&gt;=45,W1540&lt;95),0.23,0)+IF(AND(V1540&gt;=20,V1540&lt;40,W1540&gt;=95),0.17,0)+IF(AND(V1540&gt;=40,V1540&lt;75,W1540&lt;35),0.3,0)+IF(AND(V1540&gt;=40,V1540&lt;75,W1540&gt;=35,W1540&lt;75),0.23,0)+IF(AND(V1540&gt;=40,V1540&lt;75,W1540&gt;=75,W1540&lt;120),0.17,0)+IF(AND(V1540&gt;=40,V1540&lt;75,W1540&gt;=120),0.12,0)+IF(AND(V1540&gt;=75,V1540&lt;175,W1540&lt;35),0.3,0)+IF(AND(V1540&gt;=75,V1540&lt;=175,W1540&gt;=35,W1540&lt;65),0.23,0)+IF(AND(V1540&gt;=75,V1540&lt;=175,W1540&gt;=65,W1540&lt;110),0.17,0)+IF(AND(V1540&gt;=75,V1540&lt;=175,W1540&gt;=110),0.12,0)+IF(AND(V1540&gt;175,W1540&lt;25),0.3,0)+IF(AND(V1540&gt;175,W1540&gt;=25,W1540&lt;55),0.23,0)+IF(AND(V1540&gt;175,W1540&gt;=55,W1540&lt;95),0.17,0)+IF(AND(V1540&gt;175,W1540&gt;=95),0.12,0),
IF(AF1540="Fix15",0.15,
IF(AF1540="Fix5",0.05,
IF(AF1540="Fix18.75",0.1875,
IF(AF1540="Fix11.25",0.1125,
IF(AF1540="Fix10",0.1,
IF(AF1540="Fix9",0.09,
IF(AF1540="Fix12",0.12,
IF(AF1540="Fix19",0.19,
IF(AF1540="DoEV2017",IF(AND(W1540&lt;74),0.2,0)+IF(AND(W1540&gt;=74),0.17,0),
IF(AF1540="SF",IF(AND(V1540&lt;20,W1540&lt;89),0.3,0)+IF(AND(V1540&lt;20,W1540&gt;=89),0.25,0)+IF(AND(V1540&gt;=20,V1540&lt;40,W1540&lt;74),0.3,0)+IF(AND(V1540&gt;=20,V1540&lt;40,W1540&gt;=75),0.22,0)+IF(AND(V1540&gt;=40,V1540&lt;75,W1540&lt;75),0.26,0)+IF(AND(V1540&gt;=40,V1540&lt;75,W1540&gt;=75),0.22,0)+IF(V1540&gt;=75,0.22,0),
IF(AF1540="DoEVold",IF(AND(V1540&lt;40,W1540&lt;35),0.35,0)+IF(AND(V1540&lt;40,W1540&gt;=35,W1540&lt;75),0.25,0)+IF(AND(V1540&lt;40,W1540&gt;=75),0.17,0)+IF(AND(V1540&gt;=40,V1540&lt;75,W1540&lt;25),0.35,0)+IF(AND(V1540&gt;=40,V1540&lt;75,W1540&gt;=25,W1540&lt;65),0.25,0)+IF(AND(V1540&gt;=40,V1540&lt;75,W1540&gt;=65,W1540&lt;100),0.17,0)+IF(AND(V1540&gt;=40,V1540&lt;75,W1540&gt;=100),0.1,0)+IF(AND(V1540&gt;=75,W1540&lt;25),0.35,0)+IF(AND(V1540&gt;=75,W1540&gt;=25,W1540&lt;60),0.25,0)+IF(AND(V1540&gt;=75,W1540&gt;=60,W1540&lt;95),0.17,0)+IF(AND(V1540&gt;=75,W1540&gt;=95),0.1,0),
IF(AF1540="DoEVold15",IF(AND(V1540&lt;=40,W1540&lt;35),0.35,0)+IF(AND(V1540&lt;=40,W1540&gt;=35,W1540&lt;75),0.25,0)+IF(AND(V1540&lt;=40,W1540&gt;=75,W1540&lt;120),0.17,0)+IF(AND(V1540&lt;=40,W1540&gt;=120),0.15,0)+IF(AND(V1540&gt;40,V1540&lt;75,W1540&lt;25),0.35,0)+IF(AND(V1540&gt;=40,V1540&lt;75,W1540&gt;=25,W1540&lt;65),0.25,0)+IF(AND(V1540&gt;=40,V1540&lt;75,W1540&gt;=65,W1540&lt;100),0.17,0)+IF(AND(V1540&gt;=40,V1540&lt;75,W1540&gt;=100),0.1,0)+IF(AND(V1540&gt;=75,W1540&lt;25),0.35,0)+IF(AND(V1540&gt;=75,W1540&gt;=25,W1540&lt;60),0.25,0)+IF(AND(V1540&gt;=75,W1540&gt;=60,W1540&lt;95),0.17,0)+IF(AND(V1540&gt;=75,W1540&gt;=95),0.1,0),
IF(AF1540="DoEVba",IF(AND(V1540&lt;20,W1540&lt;105),0.2,0)+IF(AND(V1540&lt;20,W1540&gt;=105),0.15,0)+IF(AND(V1540&gt;=20,V1540&lt;40,W1540&lt;95),0.2,0)+IF(AND(V1540&gt;=20,V1540&lt;40,W1540&gt;=95,W1540&lt;150),0.15,0)+IF(AND(V1540&gt;=20,V1540&lt;40,W1540&gt;=150),0.12,0)+IF(AND(V1540&gt;=40,V1540&lt;75,W1540&lt;75),0.2,0)+IF(AND(V1540&gt;=40,V1540&lt;75,W1540&gt;=75,W1540&lt;120),0.15,0)+IF(AND(V1540&gt;=40,V1540&lt;75,W1540&gt;=120),0.12,0)+IF(AND(V1540&gt;=75,V1540&lt;175,W1540&lt;65),0.2,0)+IF(AND(V1540&gt;=75,V1540&lt;175,W1540&gt;=65,W1540&lt;110),0.15,0)+IF(AND(V1540&gt;=75,V1540&lt;175,W1540&gt;=110),0.12,0)+IF(AND(V1540&gt;=175,W1540&lt;55),0.2,0)+IF(AND(V1540&gt;=175,W1540&gt;=55,W1540&lt;95),0.15,0)+IF(AND(V1540&gt;=175,W1540&gt;=95),0.12,0),
IF(AF1540="DoEVku",IF(AND(V1540&lt;20,W1540&lt;55),0.23,0)+IF(AND(V1540&lt;20,W1540&gt;=55,W1540&lt;105),0.2,0)+IF(AND(V1540&lt;20,W1540&gt;=105),0.17,0)+IF(AND(V1540&gt;=20,V1540&lt;40,W1540&lt;45),0.23,0)+IF(AND(V1540&gt;=20,V1540&lt;40,W1540&gt;=45,W1540&lt;95),0.2,0)+IF(AND(V1540&gt;=20,V1540&lt;40,W1540&gt;=95,W1540&lt;=150),0.17,0)+IF(AND(V1540&gt;=20,V1540&lt;40,W1540&gt;=150),0.12,0)+IF(AND(V1540&gt;=40,V1540&lt;75,W1540&lt;35),0.23,0)+IF(AND(V1540&gt;=40,V1540&lt;75,W1540&gt;=35,W1540&lt;75),0.2,0)+IF(AND(V1540&gt;=40,V1540&lt;75,W1540&gt;=75,W1540&lt;120),0.17,0)+IF(AND(V1540&gt;=40,V1540&lt;75,W1540&gt;=120),0.12,0)+IF(AND(V1540&gt;=75,V1540&lt;175,W1540&lt;35),0.23,0)+IF(AND(V1540&gt;=75,V1540&lt;=175,W1540&gt;=35,W1540&lt;65),0.2,0)+IF(AND(V1540&gt;=75,V1540&lt;=175,W1540&gt;=65,W1540&lt;110),0.17,0)+IF(AND(V1540&gt;=75,V1540&lt;=175,W1540&gt;=110),0.12,0)+IF(AND(V1540&gt;175,W1540&lt;25),0.23,0)+IF(AND(V1540&gt;175,W1540&gt;=25,W1540&lt;55),0.2,0)+IF(AND(V1540&gt;175,W1540&gt;=55,W1540&lt;95),0.17,0)+IF(AND(V1540&gt;175,W1540&gt;=95),0.12,0),
IF(AF1540="DoEVs1",IF(AND(V1540&lt;20,W1540&lt;55),0.3,0)+IF(AND(V1540&lt;20,W1540&gt;=55,W1540&lt;105),0.23,0)+IF(AND(V1540&lt;20,W1540&gt;=105),0.17,0)+IF(AND(V1540&gt;=20,V1540&lt;40,W1540&lt;45),0.3,0)+IF(AND(V1540&gt;=20,V1540&lt;40,W1540&gt;=45,W1540&lt;95),0.23,0)+IF(AND(V1540&gt;=20,V1540&lt;40,W1540&gt;=95,W1540&lt;=150),0.17,0)+IF(AND(V1540&gt;=20,V1540&lt;40,W1540&gt;=150),0.12,0)+IF(AND(V1540&gt;=40,V1540&lt;75,W1540&lt;35),0.3,0)+IF(AND(V1540&gt;=40,V1540&lt;75,W1540&gt;=35,W1540&lt;75),0.23,0)+IF(AND(V1540&gt;=40,V1540&lt;75,W1540&gt;=75,W1540&lt;120),0.17,0)+IF(AND(V1540&gt;=40,V1540&lt;75,W1540&gt;=120),0.12,0)+IF(AND(V1540&gt;=75,V1540&lt;175,W1540&lt;35),0.3,0)+IF(AND(V1540&gt;=75,V1540&lt;=175,W1540&gt;=35,W1540&lt;65),0.23,0)+IF(AND(V1540&gt;=75,V1540&lt;=175,W1540&gt;=65,W1540&lt;110),0.17,0)+IF(AND(V1540&gt;=75,V1540&lt;=175,W1540&gt;=110),0.12,0)+IF(AND(V1540&gt;175,W1540&lt;25),0.3,0)+IF(AND(V1540&gt;175,W1540&gt;=25,W1540&lt;55),0.23,0)+IF(AND(V1540&gt;175,W1540&gt;=55,W1540&lt;95),0.17,0)+IF(AND(V1540&gt;175,W1540&gt;=95),0.12,0),
IF(AF1540="DoEVsu",IF(AND(V1540&lt;20,W1540&lt;55),0.3,0)+IF(AND(V1540&lt;20,W1540&gt;=55,W1540&lt;105),0.23,0)+IF(AND(V1540&lt;20,W1540&gt;=105),0.17,0)+IF(AND(V1540&gt;=20,V1540&lt;40,W1540&lt;45),0.3,0)+IF(AND(V1540&gt;=20,V1540&lt;40,W1540&gt;=45,W1540&lt;95),0.23,0)+IF(AND(V1540&gt;=20,V1540&lt;40,W1540&gt;=95,W1540&lt;=250),0.17,0)+IF(AND(V1540&gt;=20,V1540&lt;40,W1540&gt;=250),0.12,0)+IF(AND(V1540&gt;=40,V1540&lt;75,W1540&lt;35),0.3,0)+IF(AND(V1540&gt;=40,V1540&lt;75,W1540&gt;=35,W1540&lt;75),0.23,0)+IF(AND(V1540&gt;=40,V1540&lt;75,W1540&gt;=75,W1540&lt;120),0.17,0)+IF(AND(V1540&gt;=40,V1540&lt;75,W1540&gt;=120),0.12,0)+IF(AND(V1540&gt;=75,V1540&lt;175,W1540&lt;35),0.3,0)+IF(AND(V1540&gt;=75,V1540&lt;=175,W1540&gt;=35,W1540&lt;65),0.23,0)+IF(AND(V1540&gt;=75,V1540&lt;=175,W1540&gt;=65,W1540&lt;110),0.17,0)+IF(AND(V1540&gt;=75,V1540&lt;=175,W1540&gt;=110),0.12,0)+IF(AND(V1540&gt;175,W1540&lt;25),0.3,0)+IF(AND(V1540&gt;175,W1540&gt;=25,W1540&lt;55),0.23,0)+IF(AND(V1540&gt;175,W1540&gt;=55,W1540&lt;95),0.17,0)+IF(AND(V1540&gt;175,W1540&gt;=95),0.12,0),
IF(AF1540="DoEVni",IF(AND(V1540&lt;20,W1540&lt;55),0.3,0)+IF(AND(V1540&lt;20,W1540&gt;=55,W1540&lt;105),0.23,0)+IF(AND(V1540&lt;20,W1540&gt;=105),0.17,0)+IF(AND(V1540&gt;=20,V1540&lt;40,W1540&lt;45),0.3,0)+IF(AND(V1540&gt;=20,V1540&lt;40,W1540&gt;=45,W1540&lt;95),0.23,0)+IF(AND(V1540&gt;=20,V1540&lt;40,W1540&gt;=95,W1540&lt;=200),0.17,0)+IF(AND(V1540&gt;=20,V1540&lt;40,W1540&gt;=200),0.12,0)+IF(AND(V1540&gt;=40,V1540&lt;75,W1540&lt;35),0.3,0)+IF(AND(V1540&gt;=40,V1540&lt;75,W1540&gt;=35,W1540&lt;75),0.23,0)+IF(AND(V1540&gt;=40,V1540&lt;75,W1540&gt;=75,W1540&lt;120),0.17,0)+IF(AND(V1540&gt;=40,V1540&lt;75,W1540&gt;=120),0.12,0)+IF(AND(V1540&gt;=75,V1540&lt;175,W1540&lt;35),0.3,0)+IF(AND(V1540&gt;=75,V1540&lt;=175,W1540&gt;=35,W1540&lt;65),0.23,0)+IF(AND(V1540&gt;=75,V1540&lt;=175,W1540&gt;=65,W1540&lt;110),0.17,0)+IF(AND(V1540&gt;=75,V1540&lt;=175,W1540&gt;=110),0.12,0)+IF(AND(V1540&gt;175,W1540&lt;25),0.3,0)+IF(AND(V1540&gt;175,W1540&gt;=25,W1540&lt;55),0.23,0)+IF(AND(V1540&gt;175,W1540&gt;=55,W1540&lt;95),0.17,0)+IF(AND(V1540&gt;175,W1540&gt;=95),0.12,0),
IF(AF1540="DoEVLo",IF(AND(V1540&lt;20,W1540&lt;55),0.25,0)+IF(AND(V1540&lt;20,W1540&gt;=55,W1540&lt;105),0.2,0)+IF(AND(V1540&lt;20,W1540&gt;=105),0.15,0)+IF(AND(V1540&gt;=20,V1540&lt;40,W1540&lt;45),0.25,0)+IF(AND(V1540&gt;=20,V1540&lt;40,W1540&gt;=45,W1540&lt;95),0.2,0)+IF(AND(V1540&gt;=20,V1540&lt;40,W1540&gt;=95),0.15,0)+IF(AND(V1540&gt;=40,V1540&lt;75,W1540&lt;35),0.25,0)+IF(AND(V1540&gt;=40,V1540&lt;75,W1540&gt;=35,W1540&lt;75),0.2,0)+IF(AND(V1540&gt;=40,V1540&lt;75,W1540&gt;=75,W1540&lt;120),0.15,0)+IF(AND(V1540&gt;=40,V1540&lt;75,W1540&gt;=120),0.1,0)+IF(AND(V1540&gt;=75,V1540&lt;175,W1540&lt;35),0.25,0)+IF(AND(V1540&gt;=75,V1540&lt;=175,W1540&gt;=35,W1540&lt;65),0.2,0)+IF(AND(V1540&gt;=75,V1540&lt;=175,W1540&gt;=65,W1540&lt;110),0.15,0)+IF(AND(V1540&gt;=75,V1540&lt;=175,W1540&gt;=110),0.1,0)+IF(AND(V1540&gt;175,W1540&lt;25),0.25,0)+IF(AND(V1540&gt;175,W1540&gt;=25,W1540&lt;55),0.2,0)+IF(AND(V1540&gt;175,W1540&gt;=55,W1540&lt;95),0.15,0)+IF(AND(V1540&gt;175,W1540&gt;=95),0.1,0))))))))))))))))))))</f>
        <v>0.17</v>
      </c>
      <c r="Y1540" s="30">
        <f>IF(AG1540="None",0,IF(AG1540="Fix5",0.05, IF(AG1540="Fix6.25",0.0625,IF(AG1540="Fix3.75",0.0375, IF(AG1540="Fix11",0.11, IF(AG1540="Fix10",0.1,IF(AG1540="Fix3",0.03,0)))))))</f>
        <v>0</v>
      </c>
      <c r="Z1540" s="35">
        <f>IF(AND(AD1540="EUR", AE1540 = "USD"), T1540*U1540-AA1540-AB1540, T1540-AA1540-AB1540)</f>
        <v>-4.0610608935000005</v>
      </c>
      <c r="AA1540" s="29">
        <f>IF(AND(AD1540="EUR", F1540="Without EV deal", AE1540="USD"), (T1540*X1540)*U1540,
IF(AND(AD1540="EUR", F1540="Without EV deal", AE1540="EUR"), (T1540*X1540),
IF(AND(AD1540="EUR",AE1540="USD"), (T1540*X1540)*U1540,
T1540*X1540)))</f>
        <v>-0.83178355650000013</v>
      </c>
      <c r="AB1540" s="36">
        <f>IF(AND(AD1540="EUR", F1540="Without EV deal", AE1540="USD"), (T1540*Y1540)*U1540,
IF(AND(AD1540="EUR", F1540="Without EV deal", AE1540="EUR"), (T1540*Y1540),
IF(AND(AD1540="EUR",AE1540="USD"), (T1540*Y1540)*U1540,
T1540*Y1540)))</f>
        <v>0</v>
      </c>
      <c r="AC1540" s="37" t="b">
        <v>1</v>
      </c>
      <c r="AD1540" s="82" t="str">
        <f>IF(OR(H1540="€0.25 Flash",
H1540="€0.25(nitro) new",
H1540="€1",
H1540="€2",
H1540="€2 (bf 01.08)",
H1540="€5",
H1540="€5 (1M)",
H1540="€5 (bf 01.08)",
H1540="€5 (bf 05.05)",
H1540="€5 Nitro",
H1540="€5(wx) new",
H1540="€10",
H1540="€10 (1M)",
H1540="€10 (bf 01.08)",
H1540="€10 (bf 05.05)",
H1540="€10 (MP)",
H1540="€10 (old)",
H1540="€10 Nitro (bf 05.05)",
H1540="€10 Nitro (old)",
H1540="€10(wx) new",
H1540="€20",
H1540="€25",
H1540="€25 (bf 01.08)",
H1540="€25 (bf 05.05)",
H1540="€25 (MP)",
H1540="€25 (old)",
H1540="€25 Nitro",
H1540="€25 Nitro (bf 01.08)",
H1540="€25 Nitro (bf 05.05)",
H1540="€25(nitro) new",
H1540="€25(wx) new",
H1540="€50",
H1540="€50 (bf 01.08)",
H1540="€50 (bf 05.05)",
H1540="€50 (old)",
H1540="€50 Nitro",
H1540="€50 Nitro (bf 01.08)",
H1540="€50 Nitro (bf 05.05)",
H1540="€50(wx) new",
H1540="€100",
H1540="€100 (old)",
H1540="€100 Nitro",
H1540="€100 Nitro (old)",
H1540="€200",
H1540="€250",
H1540="€250 Nitro",
H1540="€500",
H1540="€500 Nitro"),"EUR", "USD")</f>
        <v>EUR</v>
      </c>
      <c r="AE1540" s="83" t="s">
        <v>38</v>
      </c>
      <c r="AF1540" s="83" t="str">
        <f t="array" ref="AF1540">INDEX('Deal Info'!D:D, MATCH(A1540,'Deal Info'!A:A, 0))</f>
        <v>DoEV</v>
      </c>
      <c r="AG1540" s="84" t="str">
        <f t="array" ref="AG1540">INDEX('Deal Info'!G:G, MATCH(A1540,'Deal Info'!A:A, 0))</f>
        <v>None</v>
      </c>
    </row>
    <row r="1541" spans="1:33" ht="14.25" hidden="1" x14ac:dyDescent="0.2">
      <c r="A1541" s="18" t="str">
        <f t="array" ref="A1541">IF(G1541='Room Info'!$B$1, INDEX('Room Info'!$A$2:$A2446, MATCH(B1541,'Room Info'!$B$2:$B2446, 0)),IF(G1541='Room Info'!$C$1, INDEX('Room Info'!$A$2:$A2446, MATCH(B1541,'Room Info'!$C$2:$C2446, 0)),IF(G1541='Room Info'!$D$1, INDEX('Room Info'!$A$2:$A2446, MATCH(B1541,'Room Info'!$D$2:$D2446, 0)),IF(G1541='Room Info'!$E$1, INDEX('Room Info'!$A$2:$A2446, MATCH(B1541,'Room Info'!$E$2:$E2446, 0)),IF(G1541='Room Info'!$F$1, INDEX('Room Info'!$A$2:$A2446, MATCH(B1541,'Room Info'!$F$2:$F2446, 0)),IF(G1541='Room Info'!$H$1, INDEX('Room Info'!$A$2:$A2446, MATCH(B1541,'Room Info'!$H$2:$H2446, 0)),IF(G1541='Room Info'!$G$1, INDEX('Room Info'!$A$2:$A2446, MATCH(B1541,'Room Info'!$G$2:$G2446, 0)))))))))</f>
        <v>Berebka</v>
      </c>
      <c r="B1541" s="45" t="s">
        <v>229</v>
      </c>
      <c r="C1541" s="46">
        <v>44958</v>
      </c>
      <c r="D1541" s="46">
        <v>44985</v>
      </c>
      <c r="E1541" s="80">
        <v>44958</v>
      </c>
      <c r="F1541" s="45" t="s">
        <v>49</v>
      </c>
      <c r="G1541" s="45" t="s">
        <v>223</v>
      </c>
      <c r="H1541" s="81" t="s">
        <v>55</v>
      </c>
      <c r="I1541" s="49" t="s">
        <v>37</v>
      </c>
      <c r="J1541" s="39">
        <v>10</v>
      </c>
      <c r="K1541" s="75">
        <v>800</v>
      </c>
      <c r="L1541" s="72">
        <v>-140</v>
      </c>
      <c r="M1541" s="79"/>
      <c r="N1541" s="28">
        <f>K1541*J1541</f>
        <v>8000</v>
      </c>
      <c r="O1541" s="45">
        <v>28628</v>
      </c>
      <c r="P1541" s="29">
        <v>35.784999999999997</v>
      </c>
      <c r="Q1541" s="55">
        <v>0.5</v>
      </c>
      <c r="R1541" s="31">
        <f>M1541+Q1541*J1541*K1541*0.07</f>
        <v>280</v>
      </c>
      <c r="S1541" s="73">
        <f>-9*U1541</f>
        <v>-9.5553000000000008</v>
      </c>
      <c r="T1541" s="32">
        <f>IF(AND(AD1541="EUR", F1541="Without EV deal"), R1541 + L1541,
IF(AND(AD1541="USD", F1541="Without EV deal"), R1541 + L1541,
IF(AND(AD1541="EUR", F1541="Steel Phoenix"), R1541 + S1541/U1541,
R1541 + S1541)))</f>
        <v>270.44470000000001</v>
      </c>
      <c r="U1541" s="57">
        <v>1.0617000000000001</v>
      </c>
      <c r="V1541" s="58">
        <v>18.89</v>
      </c>
      <c r="W1541" s="58">
        <v>110.0956935</v>
      </c>
      <c r="X1541" s="30">
        <f>IF(AF1541="DoEV",IF(AND(V1541&lt;20,W1541&lt;55),0.3,0)+IF(AND(V1541&lt;20,W1541&gt;=55,W1541&lt;105),0.23,0)+IF(AND(V1541&lt;20,W1541&gt;=105),0.17,0)+IF(AND(V1541&gt;=20,V1541&lt;40,W1541&lt;45),0.3,0)+IF(AND(V1541&gt;=20,V1541&lt;40,W1541&gt;=45,W1541&lt;95),0.23,0)+IF(AND(V1541&gt;=20,V1541&lt;40,W1541&gt;=95),0.17,0)+IF(AND(V1541&gt;=40,V1541&lt;75,W1541&lt;35),0.3,0)+IF(AND(V1541&gt;=40,V1541&lt;75,W1541&gt;=35,W1541&lt;75),0.23,0)+IF(AND(V1541&gt;=40,V1541&lt;75,W1541&gt;=75,W1541&lt;120),0.17,0)+IF(AND(V1541&gt;=40,V1541&lt;75,W1541&gt;=120),0.12,0)+IF(AND(V1541&gt;=75,V1541&lt;175,W1541&lt;35),0.3,0)+IF(AND(V1541&gt;=75,V1541&lt;=175,W1541&gt;=35,W1541&lt;65),0.23,0)+IF(AND(V1541&gt;=75,V1541&lt;=175,W1541&gt;=65,W1541&lt;110),0.17,0)+IF(AND(V1541&gt;=75,V1541&lt;=175,W1541&gt;=110),0.12,0)+IF(AND(V1541&gt;175,W1541&lt;25),0.3,0)+IF(AND(V1541&gt;175,W1541&gt;=25,W1541&lt;55),0.23,0)+IF(AND(V1541&gt;175,W1541&gt;=55,W1541&lt;95),0.17,0)+IF(AND(V1541&gt;175,W1541&gt;=95),0.12,0),
IF(AF1541="Fix15",0.15,
IF(AF1541="Fix5",0.05,
IF(AF1541="Fix18.75",0.1875,
IF(AF1541="Fix11.25",0.1125,
IF(AF1541="Fix10",0.1,
IF(AF1541="Fix9",0.09,
IF(AF1541="Fix12",0.12,
IF(AF1541="Fix19",0.19,
IF(AF1541="DoEV2017",IF(AND(W1541&lt;74),0.2,0)+IF(AND(W1541&gt;=74),0.17,0),
IF(AF1541="SF",IF(AND(V1541&lt;20,W1541&lt;89),0.3,0)+IF(AND(V1541&lt;20,W1541&gt;=89),0.25,0)+IF(AND(V1541&gt;=20,V1541&lt;40,W1541&lt;74),0.3,0)+IF(AND(V1541&gt;=20,V1541&lt;40,W1541&gt;=75),0.22,0)+IF(AND(V1541&gt;=40,V1541&lt;75,W1541&lt;75),0.26,0)+IF(AND(V1541&gt;=40,V1541&lt;75,W1541&gt;=75),0.22,0)+IF(V1541&gt;=75,0.22,0),
IF(AF1541="DoEVold",IF(AND(V1541&lt;40,W1541&lt;35),0.35,0)+IF(AND(V1541&lt;40,W1541&gt;=35,W1541&lt;75),0.25,0)+IF(AND(V1541&lt;40,W1541&gt;=75),0.17,0)+IF(AND(V1541&gt;=40,V1541&lt;75,W1541&lt;25),0.35,0)+IF(AND(V1541&gt;=40,V1541&lt;75,W1541&gt;=25,W1541&lt;65),0.25,0)+IF(AND(V1541&gt;=40,V1541&lt;75,W1541&gt;=65,W1541&lt;100),0.17,0)+IF(AND(V1541&gt;=40,V1541&lt;75,W1541&gt;=100),0.1,0)+IF(AND(V1541&gt;=75,W1541&lt;25),0.35,0)+IF(AND(V1541&gt;=75,W1541&gt;=25,W1541&lt;60),0.25,0)+IF(AND(V1541&gt;=75,W1541&gt;=60,W1541&lt;95),0.17,0)+IF(AND(V1541&gt;=75,W1541&gt;=95),0.1,0),
IF(AF1541="DoEVold15",IF(AND(V1541&lt;=40,W1541&lt;35),0.35,0)+IF(AND(V1541&lt;=40,W1541&gt;=35,W1541&lt;75),0.25,0)+IF(AND(V1541&lt;=40,W1541&gt;=75,W1541&lt;120),0.17,0)+IF(AND(V1541&lt;=40,W1541&gt;=120),0.15,0)+IF(AND(V1541&gt;40,V1541&lt;75,W1541&lt;25),0.35,0)+IF(AND(V1541&gt;=40,V1541&lt;75,W1541&gt;=25,W1541&lt;65),0.25,0)+IF(AND(V1541&gt;=40,V1541&lt;75,W1541&gt;=65,W1541&lt;100),0.17,0)+IF(AND(V1541&gt;=40,V1541&lt;75,W1541&gt;=100),0.1,0)+IF(AND(V1541&gt;=75,W1541&lt;25),0.35,0)+IF(AND(V1541&gt;=75,W1541&gt;=25,W1541&lt;60),0.25,0)+IF(AND(V1541&gt;=75,W1541&gt;=60,W1541&lt;95),0.17,0)+IF(AND(V1541&gt;=75,W1541&gt;=95),0.1,0),
IF(AF1541="DoEVba",IF(AND(V1541&lt;20,W1541&lt;105),0.2,0)+IF(AND(V1541&lt;20,W1541&gt;=105),0.15,0)+IF(AND(V1541&gt;=20,V1541&lt;40,W1541&lt;95),0.2,0)+IF(AND(V1541&gt;=20,V1541&lt;40,W1541&gt;=95,W1541&lt;150),0.15,0)+IF(AND(V1541&gt;=20,V1541&lt;40,W1541&gt;=150),0.12,0)+IF(AND(V1541&gt;=40,V1541&lt;75,W1541&lt;75),0.2,0)+IF(AND(V1541&gt;=40,V1541&lt;75,W1541&gt;=75,W1541&lt;120),0.15,0)+IF(AND(V1541&gt;=40,V1541&lt;75,W1541&gt;=120),0.12,0)+IF(AND(V1541&gt;=75,V1541&lt;175,W1541&lt;65),0.2,0)+IF(AND(V1541&gt;=75,V1541&lt;175,W1541&gt;=65,W1541&lt;110),0.15,0)+IF(AND(V1541&gt;=75,V1541&lt;175,W1541&gt;=110),0.12,0)+IF(AND(V1541&gt;=175,W1541&lt;55),0.2,0)+IF(AND(V1541&gt;=175,W1541&gt;=55,W1541&lt;95),0.15,0)+IF(AND(V1541&gt;=175,W1541&gt;=95),0.12,0),
IF(AF1541="DoEVku",IF(AND(V1541&lt;20,W1541&lt;55),0.23,0)+IF(AND(V1541&lt;20,W1541&gt;=55,W1541&lt;105),0.2,0)+IF(AND(V1541&lt;20,W1541&gt;=105),0.17,0)+IF(AND(V1541&gt;=20,V1541&lt;40,W1541&lt;45),0.23,0)+IF(AND(V1541&gt;=20,V1541&lt;40,W1541&gt;=45,W1541&lt;95),0.2,0)+IF(AND(V1541&gt;=20,V1541&lt;40,W1541&gt;=95,W1541&lt;=150),0.17,0)+IF(AND(V1541&gt;=20,V1541&lt;40,W1541&gt;=150),0.12,0)+IF(AND(V1541&gt;=40,V1541&lt;75,W1541&lt;35),0.23,0)+IF(AND(V1541&gt;=40,V1541&lt;75,W1541&gt;=35,W1541&lt;75),0.2,0)+IF(AND(V1541&gt;=40,V1541&lt;75,W1541&gt;=75,W1541&lt;120),0.17,0)+IF(AND(V1541&gt;=40,V1541&lt;75,W1541&gt;=120),0.12,0)+IF(AND(V1541&gt;=75,V1541&lt;175,W1541&lt;35),0.23,0)+IF(AND(V1541&gt;=75,V1541&lt;=175,W1541&gt;=35,W1541&lt;65),0.2,0)+IF(AND(V1541&gt;=75,V1541&lt;=175,W1541&gt;=65,W1541&lt;110),0.17,0)+IF(AND(V1541&gt;=75,V1541&lt;=175,W1541&gt;=110),0.12,0)+IF(AND(V1541&gt;175,W1541&lt;25),0.23,0)+IF(AND(V1541&gt;175,W1541&gt;=25,W1541&lt;55),0.2,0)+IF(AND(V1541&gt;175,W1541&gt;=55,W1541&lt;95),0.17,0)+IF(AND(V1541&gt;175,W1541&gt;=95),0.12,0),
IF(AF1541="DoEVs1",IF(AND(V1541&lt;20,W1541&lt;55),0.3,0)+IF(AND(V1541&lt;20,W1541&gt;=55,W1541&lt;105),0.23,0)+IF(AND(V1541&lt;20,W1541&gt;=105),0.17,0)+IF(AND(V1541&gt;=20,V1541&lt;40,W1541&lt;45),0.3,0)+IF(AND(V1541&gt;=20,V1541&lt;40,W1541&gt;=45,W1541&lt;95),0.23,0)+IF(AND(V1541&gt;=20,V1541&lt;40,W1541&gt;=95,W1541&lt;=150),0.17,0)+IF(AND(V1541&gt;=20,V1541&lt;40,W1541&gt;=150),0.12,0)+IF(AND(V1541&gt;=40,V1541&lt;75,W1541&lt;35),0.3,0)+IF(AND(V1541&gt;=40,V1541&lt;75,W1541&gt;=35,W1541&lt;75),0.23,0)+IF(AND(V1541&gt;=40,V1541&lt;75,W1541&gt;=75,W1541&lt;120),0.17,0)+IF(AND(V1541&gt;=40,V1541&lt;75,W1541&gt;=120),0.12,0)+IF(AND(V1541&gt;=75,V1541&lt;175,W1541&lt;35),0.3,0)+IF(AND(V1541&gt;=75,V1541&lt;=175,W1541&gt;=35,W1541&lt;65),0.23,0)+IF(AND(V1541&gt;=75,V1541&lt;=175,W1541&gt;=65,W1541&lt;110),0.17,0)+IF(AND(V1541&gt;=75,V1541&lt;=175,W1541&gt;=110),0.12,0)+IF(AND(V1541&gt;175,W1541&lt;25),0.3,0)+IF(AND(V1541&gt;175,W1541&gt;=25,W1541&lt;55),0.23,0)+IF(AND(V1541&gt;175,W1541&gt;=55,W1541&lt;95),0.17,0)+IF(AND(V1541&gt;175,W1541&gt;=95),0.12,0),
IF(AF1541="DoEVsu",IF(AND(V1541&lt;20,W1541&lt;55),0.3,0)+IF(AND(V1541&lt;20,W1541&gt;=55,W1541&lt;105),0.23,0)+IF(AND(V1541&lt;20,W1541&gt;=105),0.17,0)+IF(AND(V1541&gt;=20,V1541&lt;40,W1541&lt;45),0.3,0)+IF(AND(V1541&gt;=20,V1541&lt;40,W1541&gt;=45,W1541&lt;95),0.23,0)+IF(AND(V1541&gt;=20,V1541&lt;40,W1541&gt;=95,W1541&lt;=250),0.17,0)+IF(AND(V1541&gt;=20,V1541&lt;40,W1541&gt;=250),0.12,0)+IF(AND(V1541&gt;=40,V1541&lt;75,W1541&lt;35),0.3,0)+IF(AND(V1541&gt;=40,V1541&lt;75,W1541&gt;=35,W1541&lt;75),0.23,0)+IF(AND(V1541&gt;=40,V1541&lt;75,W1541&gt;=75,W1541&lt;120),0.17,0)+IF(AND(V1541&gt;=40,V1541&lt;75,W1541&gt;=120),0.12,0)+IF(AND(V1541&gt;=75,V1541&lt;175,W1541&lt;35),0.3,0)+IF(AND(V1541&gt;=75,V1541&lt;=175,W1541&gt;=35,W1541&lt;65),0.23,0)+IF(AND(V1541&gt;=75,V1541&lt;=175,W1541&gt;=65,W1541&lt;110),0.17,0)+IF(AND(V1541&gt;=75,V1541&lt;=175,W1541&gt;=110),0.12,0)+IF(AND(V1541&gt;175,W1541&lt;25),0.3,0)+IF(AND(V1541&gt;175,W1541&gt;=25,W1541&lt;55),0.23,0)+IF(AND(V1541&gt;175,W1541&gt;=55,W1541&lt;95),0.17,0)+IF(AND(V1541&gt;175,W1541&gt;=95),0.12,0),
IF(AF1541="DoEVni",IF(AND(V1541&lt;20,W1541&lt;55),0.3,0)+IF(AND(V1541&lt;20,W1541&gt;=55,W1541&lt;105),0.23,0)+IF(AND(V1541&lt;20,W1541&gt;=105),0.17,0)+IF(AND(V1541&gt;=20,V1541&lt;40,W1541&lt;45),0.3,0)+IF(AND(V1541&gt;=20,V1541&lt;40,W1541&gt;=45,W1541&lt;95),0.23,0)+IF(AND(V1541&gt;=20,V1541&lt;40,W1541&gt;=95,W1541&lt;=200),0.17,0)+IF(AND(V1541&gt;=20,V1541&lt;40,W1541&gt;=200),0.12,0)+IF(AND(V1541&gt;=40,V1541&lt;75,W1541&lt;35),0.3,0)+IF(AND(V1541&gt;=40,V1541&lt;75,W1541&gt;=35,W1541&lt;75),0.23,0)+IF(AND(V1541&gt;=40,V1541&lt;75,W1541&gt;=75,W1541&lt;120),0.17,0)+IF(AND(V1541&gt;=40,V1541&lt;75,W1541&gt;=120),0.12,0)+IF(AND(V1541&gt;=75,V1541&lt;175,W1541&lt;35),0.3,0)+IF(AND(V1541&gt;=75,V1541&lt;=175,W1541&gt;=35,W1541&lt;65),0.23,0)+IF(AND(V1541&gt;=75,V1541&lt;=175,W1541&gt;=65,W1541&lt;110),0.17,0)+IF(AND(V1541&gt;=75,V1541&lt;=175,W1541&gt;=110),0.12,0)+IF(AND(V1541&gt;175,W1541&lt;25),0.3,0)+IF(AND(V1541&gt;175,W1541&gt;=25,W1541&lt;55),0.23,0)+IF(AND(V1541&gt;175,W1541&gt;=55,W1541&lt;95),0.17,0)+IF(AND(V1541&gt;175,W1541&gt;=95),0.12,0),
IF(AF1541="DoEVLo",IF(AND(V1541&lt;20,W1541&lt;55),0.25,0)+IF(AND(V1541&lt;20,W1541&gt;=55,W1541&lt;105),0.2,0)+IF(AND(V1541&lt;20,W1541&gt;=105),0.15,0)+IF(AND(V1541&gt;=20,V1541&lt;40,W1541&lt;45),0.25,0)+IF(AND(V1541&gt;=20,V1541&lt;40,W1541&gt;=45,W1541&lt;95),0.2,0)+IF(AND(V1541&gt;=20,V1541&lt;40,W1541&gt;=95),0.15,0)+IF(AND(V1541&gt;=40,V1541&lt;75,W1541&lt;35),0.25,0)+IF(AND(V1541&gt;=40,V1541&lt;75,W1541&gt;=35,W1541&lt;75),0.2,0)+IF(AND(V1541&gt;=40,V1541&lt;75,W1541&gt;=75,W1541&lt;120),0.15,0)+IF(AND(V1541&gt;=40,V1541&lt;75,W1541&gt;=120),0.1,0)+IF(AND(V1541&gt;=75,V1541&lt;175,W1541&lt;35),0.25,0)+IF(AND(V1541&gt;=75,V1541&lt;=175,W1541&gt;=35,W1541&lt;65),0.2,0)+IF(AND(V1541&gt;=75,V1541&lt;=175,W1541&gt;=65,W1541&lt;110),0.15,0)+IF(AND(V1541&gt;=75,V1541&lt;=175,W1541&gt;=110),0.1,0)+IF(AND(V1541&gt;175,W1541&lt;25),0.25,0)+IF(AND(V1541&gt;175,W1541&gt;=25,W1541&lt;55),0.2,0)+IF(AND(V1541&gt;175,W1541&gt;=55,W1541&lt;95),0.15,0)+IF(AND(V1541&gt;175,W1541&gt;=95),0.1,0))))))))))))))))))))</f>
        <v>0.17</v>
      </c>
      <c r="Y1541" s="30">
        <f>IF(AG1541="None",0,IF(AG1541="Fix5",0.05, IF(AG1541="Fix6.25",0.0625,IF(AG1541="Fix3.75",0.0375, IF(AG1541="Fix11",0.11, IF(AG1541="Fix10",0.1,IF(AG1541="Fix3",0.03,0)))))))</f>
        <v>0</v>
      </c>
      <c r="Z1541" s="35">
        <f>IF(AND(AD1541="EUR", AE1541 = "USD"), T1541*U1541-AA1541-AB1541, T1541-AA1541-AB1541)</f>
        <v>238.31884453169999</v>
      </c>
      <c r="AA1541" s="29">
        <f>IF(AND(AD1541="EUR", F1541="Without EV deal", AE1541="USD"), (T1541*X1541)*U1541,
IF(AND(AD1541="EUR", F1541="Without EV deal", AE1541="EUR"), (T1541*X1541),
IF(AND(AD1541="EUR",AE1541="USD"), (T1541*X1541)*U1541,
T1541*X1541)))</f>
        <v>48.812293458300005</v>
      </c>
      <c r="AB1541" s="36">
        <f>IF(AND(AD1541="EUR", F1541="Without EV deal", AE1541="USD"), (T1541*Y1541)*U1541,
IF(AND(AD1541="EUR", F1541="Without EV deal", AE1541="EUR"), (T1541*Y1541),
IF(AND(AD1541="EUR",AE1541="USD"), (T1541*Y1541)*U1541,
T1541*Y1541)))</f>
        <v>0</v>
      </c>
      <c r="AC1541" s="37" t="b">
        <v>1</v>
      </c>
      <c r="AD1541" s="82" t="str">
        <f>IF(OR(H1541="€0.25 Flash",
H1541="€0.25(nitro) new",
H1541="€1",
H1541="€2",
H1541="€2 (bf 01.08)",
H1541="€5",
H1541="€5 (1M)",
H1541="€5 (bf 01.08)",
H1541="€5 (bf 05.05)",
H1541="€5 Nitro",
H1541="€5(wx) new",
H1541="€10",
H1541="€10 (1M)",
H1541="€10 (bf 01.08)",
H1541="€10 (bf 05.05)",
H1541="€10 (MP)",
H1541="€10 (old)",
H1541="€10 Nitro (bf 05.05)",
H1541="€10 Nitro (old)",
H1541="€10(wx) new",
H1541="€20",
H1541="€25",
H1541="€25 (bf 01.08)",
H1541="€25 (bf 05.05)",
H1541="€25 (MP)",
H1541="€25 (old)",
H1541="€25 Nitro",
H1541="€25 Nitro (bf 01.08)",
H1541="€25 Nitro (bf 05.05)",
H1541="€25(nitro) new",
H1541="€25(wx) new",
H1541="€50",
H1541="€50 (bf 01.08)",
H1541="€50 (bf 05.05)",
H1541="€50 (old)",
H1541="€50 Nitro",
H1541="€50 Nitro (bf 01.08)",
H1541="€50 Nitro (bf 05.05)",
H1541="€50(wx) new",
H1541="€100",
H1541="€100 (old)",
H1541="€100 Nitro",
H1541="€100 Nitro (old)",
H1541="€200",
H1541="€250",
H1541="€250 Nitro",
H1541="€500",
H1541="€500 Nitro"),"EUR", "USD")</f>
        <v>EUR</v>
      </c>
      <c r="AE1541" s="83" t="s">
        <v>38</v>
      </c>
      <c r="AF1541" s="83" t="str">
        <f t="array" ref="AF1541">INDEX('Deal Info'!D:D, MATCH(A1541,'Deal Info'!A:A, 0))</f>
        <v>DoEV</v>
      </c>
      <c r="AG1541" s="84" t="str">
        <f t="array" ref="AG1541">INDEX('Deal Info'!G:G, MATCH(A1541,'Deal Info'!A:A, 0))</f>
        <v>None</v>
      </c>
    </row>
    <row r="1542" spans="1:33" ht="14.25" hidden="1" x14ac:dyDescent="0.2">
      <c r="A1542" s="18" t="str">
        <f t="array" ref="A1542">IF(G1542='Room Info'!$B$1, INDEX('Room Info'!$A$2:$A2446, MATCH(B1542,'Room Info'!$B$2:$B2446, 0)),IF(G1542='Room Info'!$C$1, INDEX('Room Info'!$A$2:$A2446, MATCH(B1542,'Room Info'!$C$2:$C2446, 0)),IF(G1542='Room Info'!$D$1, INDEX('Room Info'!$A$2:$A2446, MATCH(B1542,'Room Info'!$D$2:$D2446, 0)),IF(G1542='Room Info'!$E$1, INDEX('Room Info'!$A$2:$A2446, MATCH(B1542,'Room Info'!$E$2:$E2446, 0)),IF(G1542='Room Info'!$F$1, INDEX('Room Info'!$A$2:$A2446, MATCH(B1542,'Room Info'!$F$2:$F2446, 0)),IF(G1542='Room Info'!$H$1, INDEX('Room Info'!$A$2:$A2446, MATCH(B1542,'Room Info'!$H$2:$H2446, 0)),IF(G1542='Room Info'!$G$1, INDEX('Room Info'!$A$2:$A2446, MATCH(B1542,'Room Info'!$G$2:$G2446, 0)))))))))</f>
        <v>Berebka</v>
      </c>
      <c r="B1542" s="129" t="s">
        <v>155</v>
      </c>
      <c r="C1542" s="46">
        <v>44958</v>
      </c>
      <c r="D1542" s="46">
        <v>44985</v>
      </c>
      <c r="E1542" s="80">
        <v>44958</v>
      </c>
      <c r="F1542" s="45" t="s">
        <v>49</v>
      </c>
      <c r="G1542" s="45" t="s">
        <v>69</v>
      </c>
      <c r="H1542" s="49" t="s">
        <v>40</v>
      </c>
      <c r="I1542" s="49" t="s">
        <v>37</v>
      </c>
      <c r="J1542" s="39">
        <v>10</v>
      </c>
      <c r="K1542" s="75">
        <v>688</v>
      </c>
      <c r="L1542" s="72">
        <v>300</v>
      </c>
      <c r="M1542" s="76">
        <v>289</v>
      </c>
      <c r="N1542" s="28">
        <f>K1542*J1542</f>
        <v>6880</v>
      </c>
      <c r="O1542" s="45">
        <v>36995</v>
      </c>
      <c r="P1542" s="29">
        <v>53.77180233</v>
      </c>
      <c r="Q1542" s="55"/>
      <c r="R1542" s="31">
        <f>M1542+Q1542*J1542*K1542*0.07</f>
        <v>289</v>
      </c>
      <c r="S1542" s="73">
        <v>305</v>
      </c>
      <c r="T1542" s="32">
        <f>IF(AND(AD1542="EUR", F1542="Without EV deal"), R1542 + L1542,
IF(AND(AD1542="USD", F1542="Without EV deal"), R1542 + L1542,
IF(AND(AD1542="EUR", F1542="Steel Phoenix"), R1542 + S1542/U1542,
R1542 + S1542)))</f>
        <v>594</v>
      </c>
      <c r="U1542" s="57"/>
      <c r="V1542" s="58">
        <v>18.89</v>
      </c>
      <c r="W1542" s="58">
        <v>110.0956935</v>
      </c>
      <c r="X1542" s="30">
        <f>IF(AF1542="DoEV",IF(AND(V1542&lt;20,W1542&lt;55),0.3,0)+IF(AND(V1542&lt;20,W1542&gt;=55,W1542&lt;105),0.23,0)+IF(AND(V1542&lt;20,W1542&gt;=105),0.17,0)+IF(AND(V1542&gt;=20,V1542&lt;40,W1542&lt;45),0.3,0)+IF(AND(V1542&gt;=20,V1542&lt;40,W1542&gt;=45,W1542&lt;95),0.23,0)+IF(AND(V1542&gt;=20,V1542&lt;40,W1542&gt;=95),0.17,0)+IF(AND(V1542&gt;=40,V1542&lt;75,W1542&lt;35),0.3,0)+IF(AND(V1542&gt;=40,V1542&lt;75,W1542&gt;=35,W1542&lt;75),0.23,0)+IF(AND(V1542&gt;=40,V1542&lt;75,W1542&gt;=75,W1542&lt;120),0.17,0)+IF(AND(V1542&gt;=40,V1542&lt;75,W1542&gt;=120),0.12,0)+IF(AND(V1542&gt;=75,V1542&lt;175,W1542&lt;35),0.3,0)+IF(AND(V1542&gt;=75,V1542&lt;=175,W1542&gt;=35,W1542&lt;65),0.23,0)+IF(AND(V1542&gt;=75,V1542&lt;=175,W1542&gt;=65,W1542&lt;110),0.17,0)+IF(AND(V1542&gt;=75,V1542&lt;=175,W1542&gt;=110),0.12,0)+IF(AND(V1542&gt;175,W1542&lt;25),0.3,0)+IF(AND(V1542&gt;175,W1542&gt;=25,W1542&lt;55),0.23,0)+IF(AND(V1542&gt;175,W1542&gt;=55,W1542&lt;95),0.17,0)+IF(AND(V1542&gt;175,W1542&gt;=95),0.12,0),
IF(AF1542="Fix15",0.15,
IF(AF1542="Fix5",0.05,
IF(AF1542="Fix18.75",0.1875,
IF(AF1542="Fix11.25",0.1125,
IF(AF1542="Fix10",0.1,
IF(AF1542="Fix9",0.09,
IF(AF1542="Fix12",0.12,
IF(AF1542="Fix19",0.19,
IF(AF1542="DoEV2017",IF(AND(W1542&lt;74),0.2,0)+IF(AND(W1542&gt;=74),0.17,0),
IF(AF1542="SF",IF(AND(V1542&lt;20,W1542&lt;89),0.3,0)+IF(AND(V1542&lt;20,W1542&gt;=89),0.25,0)+IF(AND(V1542&gt;=20,V1542&lt;40,W1542&lt;74),0.3,0)+IF(AND(V1542&gt;=20,V1542&lt;40,W1542&gt;=75),0.22,0)+IF(AND(V1542&gt;=40,V1542&lt;75,W1542&lt;75),0.26,0)+IF(AND(V1542&gt;=40,V1542&lt;75,W1542&gt;=75),0.22,0)+IF(V1542&gt;=75,0.22,0),
IF(AF1542="DoEVold",IF(AND(V1542&lt;40,W1542&lt;35),0.35,0)+IF(AND(V1542&lt;40,W1542&gt;=35,W1542&lt;75),0.25,0)+IF(AND(V1542&lt;40,W1542&gt;=75),0.17,0)+IF(AND(V1542&gt;=40,V1542&lt;75,W1542&lt;25),0.35,0)+IF(AND(V1542&gt;=40,V1542&lt;75,W1542&gt;=25,W1542&lt;65),0.25,0)+IF(AND(V1542&gt;=40,V1542&lt;75,W1542&gt;=65,W1542&lt;100),0.17,0)+IF(AND(V1542&gt;=40,V1542&lt;75,W1542&gt;=100),0.1,0)+IF(AND(V1542&gt;=75,W1542&lt;25),0.35,0)+IF(AND(V1542&gt;=75,W1542&gt;=25,W1542&lt;60),0.25,0)+IF(AND(V1542&gt;=75,W1542&gt;=60,W1542&lt;95),0.17,0)+IF(AND(V1542&gt;=75,W1542&gt;=95),0.1,0),
IF(AF1542="DoEVold15",IF(AND(V1542&lt;=40,W1542&lt;35),0.35,0)+IF(AND(V1542&lt;=40,W1542&gt;=35,W1542&lt;75),0.25,0)+IF(AND(V1542&lt;=40,W1542&gt;=75,W1542&lt;120),0.17,0)+IF(AND(V1542&lt;=40,W1542&gt;=120),0.15,0)+IF(AND(V1542&gt;40,V1542&lt;75,W1542&lt;25),0.35,0)+IF(AND(V1542&gt;=40,V1542&lt;75,W1542&gt;=25,W1542&lt;65),0.25,0)+IF(AND(V1542&gt;=40,V1542&lt;75,W1542&gt;=65,W1542&lt;100),0.17,0)+IF(AND(V1542&gt;=40,V1542&lt;75,W1542&gt;=100),0.1,0)+IF(AND(V1542&gt;=75,W1542&lt;25),0.35,0)+IF(AND(V1542&gt;=75,W1542&gt;=25,W1542&lt;60),0.25,0)+IF(AND(V1542&gt;=75,W1542&gt;=60,W1542&lt;95),0.17,0)+IF(AND(V1542&gt;=75,W1542&gt;=95),0.1,0),
IF(AF1542="DoEVba",IF(AND(V1542&lt;20,W1542&lt;105),0.2,0)+IF(AND(V1542&lt;20,W1542&gt;=105),0.15,0)+IF(AND(V1542&gt;=20,V1542&lt;40,W1542&lt;95),0.2,0)+IF(AND(V1542&gt;=20,V1542&lt;40,W1542&gt;=95,W1542&lt;150),0.15,0)+IF(AND(V1542&gt;=20,V1542&lt;40,W1542&gt;=150),0.12,0)+IF(AND(V1542&gt;=40,V1542&lt;75,W1542&lt;75),0.2,0)+IF(AND(V1542&gt;=40,V1542&lt;75,W1542&gt;=75,W1542&lt;120),0.15,0)+IF(AND(V1542&gt;=40,V1542&lt;75,W1542&gt;=120),0.12,0)+IF(AND(V1542&gt;=75,V1542&lt;175,W1542&lt;65),0.2,0)+IF(AND(V1542&gt;=75,V1542&lt;175,W1542&gt;=65,W1542&lt;110),0.15,0)+IF(AND(V1542&gt;=75,V1542&lt;175,W1542&gt;=110),0.12,0)+IF(AND(V1542&gt;=175,W1542&lt;55),0.2,0)+IF(AND(V1542&gt;=175,W1542&gt;=55,W1542&lt;95),0.15,0)+IF(AND(V1542&gt;=175,W1542&gt;=95),0.12,0),
IF(AF1542="DoEVku",IF(AND(V1542&lt;20,W1542&lt;55),0.23,0)+IF(AND(V1542&lt;20,W1542&gt;=55,W1542&lt;105),0.2,0)+IF(AND(V1542&lt;20,W1542&gt;=105),0.17,0)+IF(AND(V1542&gt;=20,V1542&lt;40,W1542&lt;45),0.23,0)+IF(AND(V1542&gt;=20,V1542&lt;40,W1542&gt;=45,W1542&lt;95),0.2,0)+IF(AND(V1542&gt;=20,V1542&lt;40,W1542&gt;=95,W1542&lt;=150),0.17,0)+IF(AND(V1542&gt;=20,V1542&lt;40,W1542&gt;=150),0.12,0)+IF(AND(V1542&gt;=40,V1542&lt;75,W1542&lt;35),0.23,0)+IF(AND(V1542&gt;=40,V1542&lt;75,W1542&gt;=35,W1542&lt;75),0.2,0)+IF(AND(V1542&gt;=40,V1542&lt;75,W1542&gt;=75,W1542&lt;120),0.17,0)+IF(AND(V1542&gt;=40,V1542&lt;75,W1542&gt;=120),0.12,0)+IF(AND(V1542&gt;=75,V1542&lt;175,W1542&lt;35),0.23,0)+IF(AND(V1542&gt;=75,V1542&lt;=175,W1542&gt;=35,W1542&lt;65),0.2,0)+IF(AND(V1542&gt;=75,V1542&lt;=175,W1542&gt;=65,W1542&lt;110),0.17,0)+IF(AND(V1542&gt;=75,V1542&lt;=175,W1542&gt;=110),0.12,0)+IF(AND(V1542&gt;175,W1542&lt;25),0.23,0)+IF(AND(V1542&gt;175,W1542&gt;=25,W1542&lt;55),0.2,0)+IF(AND(V1542&gt;175,W1542&gt;=55,W1542&lt;95),0.17,0)+IF(AND(V1542&gt;175,W1542&gt;=95),0.12,0),
IF(AF1542="DoEVs1",IF(AND(V1542&lt;20,W1542&lt;55),0.3,0)+IF(AND(V1542&lt;20,W1542&gt;=55,W1542&lt;105),0.23,0)+IF(AND(V1542&lt;20,W1542&gt;=105),0.17,0)+IF(AND(V1542&gt;=20,V1542&lt;40,W1542&lt;45),0.3,0)+IF(AND(V1542&gt;=20,V1542&lt;40,W1542&gt;=45,W1542&lt;95),0.23,0)+IF(AND(V1542&gt;=20,V1542&lt;40,W1542&gt;=95,W1542&lt;=150),0.17,0)+IF(AND(V1542&gt;=20,V1542&lt;40,W1542&gt;=150),0.12,0)+IF(AND(V1542&gt;=40,V1542&lt;75,W1542&lt;35),0.3,0)+IF(AND(V1542&gt;=40,V1542&lt;75,W1542&gt;=35,W1542&lt;75),0.23,0)+IF(AND(V1542&gt;=40,V1542&lt;75,W1542&gt;=75,W1542&lt;120),0.17,0)+IF(AND(V1542&gt;=40,V1542&lt;75,W1542&gt;=120),0.12,0)+IF(AND(V1542&gt;=75,V1542&lt;175,W1542&lt;35),0.3,0)+IF(AND(V1542&gt;=75,V1542&lt;=175,W1542&gt;=35,W1542&lt;65),0.23,0)+IF(AND(V1542&gt;=75,V1542&lt;=175,W1542&gt;=65,W1542&lt;110),0.17,0)+IF(AND(V1542&gt;=75,V1542&lt;=175,W1542&gt;=110),0.12,0)+IF(AND(V1542&gt;175,W1542&lt;25),0.3,0)+IF(AND(V1542&gt;175,W1542&gt;=25,W1542&lt;55),0.23,0)+IF(AND(V1542&gt;175,W1542&gt;=55,W1542&lt;95),0.17,0)+IF(AND(V1542&gt;175,W1542&gt;=95),0.12,0),
IF(AF1542="DoEVsu",IF(AND(V1542&lt;20,W1542&lt;55),0.3,0)+IF(AND(V1542&lt;20,W1542&gt;=55,W1542&lt;105),0.23,0)+IF(AND(V1542&lt;20,W1542&gt;=105),0.17,0)+IF(AND(V1542&gt;=20,V1542&lt;40,W1542&lt;45),0.3,0)+IF(AND(V1542&gt;=20,V1542&lt;40,W1542&gt;=45,W1542&lt;95),0.23,0)+IF(AND(V1542&gt;=20,V1542&lt;40,W1542&gt;=95,W1542&lt;=250),0.17,0)+IF(AND(V1542&gt;=20,V1542&lt;40,W1542&gt;=250),0.12,0)+IF(AND(V1542&gt;=40,V1542&lt;75,W1542&lt;35),0.3,0)+IF(AND(V1542&gt;=40,V1542&lt;75,W1542&gt;=35,W1542&lt;75),0.23,0)+IF(AND(V1542&gt;=40,V1542&lt;75,W1542&gt;=75,W1542&lt;120),0.17,0)+IF(AND(V1542&gt;=40,V1542&lt;75,W1542&gt;=120),0.12,0)+IF(AND(V1542&gt;=75,V1542&lt;175,W1542&lt;35),0.3,0)+IF(AND(V1542&gt;=75,V1542&lt;=175,W1542&gt;=35,W1542&lt;65),0.23,0)+IF(AND(V1542&gt;=75,V1542&lt;=175,W1542&gt;=65,W1542&lt;110),0.17,0)+IF(AND(V1542&gt;=75,V1542&lt;=175,W1542&gt;=110),0.12,0)+IF(AND(V1542&gt;175,W1542&lt;25),0.3,0)+IF(AND(V1542&gt;175,W1542&gt;=25,W1542&lt;55),0.23,0)+IF(AND(V1542&gt;175,W1542&gt;=55,W1542&lt;95),0.17,0)+IF(AND(V1542&gt;175,W1542&gt;=95),0.12,0),
IF(AF1542="DoEVni",IF(AND(V1542&lt;20,W1542&lt;55),0.3,0)+IF(AND(V1542&lt;20,W1542&gt;=55,W1542&lt;105),0.23,0)+IF(AND(V1542&lt;20,W1542&gt;=105),0.17,0)+IF(AND(V1542&gt;=20,V1542&lt;40,W1542&lt;45),0.3,0)+IF(AND(V1542&gt;=20,V1542&lt;40,W1542&gt;=45,W1542&lt;95),0.23,0)+IF(AND(V1542&gt;=20,V1542&lt;40,W1542&gt;=95,W1542&lt;=200),0.17,0)+IF(AND(V1542&gt;=20,V1542&lt;40,W1542&gt;=200),0.12,0)+IF(AND(V1542&gt;=40,V1542&lt;75,W1542&lt;35),0.3,0)+IF(AND(V1542&gt;=40,V1542&lt;75,W1542&gt;=35,W1542&lt;75),0.23,0)+IF(AND(V1542&gt;=40,V1542&lt;75,W1542&gt;=75,W1542&lt;120),0.17,0)+IF(AND(V1542&gt;=40,V1542&lt;75,W1542&gt;=120),0.12,0)+IF(AND(V1542&gt;=75,V1542&lt;175,W1542&lt;35),0.3,0)+IF(AND(V1542&gt;=75,V1542&lt;=175,W1542&gt;=35,W1542&lt;65),0.23,0)+IF(AND(V1542&gt;=75,V1542&lt;=175,W1542&gt;=65,W1542&lt;110),0.17,0)+IF(AND(V1542&gt;=75,V1542&lt;=175,W1542&gt;=110),0.12,0)+IF(AND(V1542&gt;175,W1542&lt;25),0.3,0)+IF(AND(V1542&gt;175,W1542&gt;=25,W1542&lt;55),0.23,0)+IF(AND(V1542&gt;175,W1542&gt;=55,W1542&lt;95),0.17,0)+IF(AND(V1542&gt;175,W1542&gt;=95),0.12,0),
IF(AF1542="DoEVLo",IF(AND(V1542&lt;20,W1542&lt;55),0.25,0)+IF(AND(V1542&lt;20,W1542&gt;=55,W1542&lt;105),0.2,0)+IF(AND(V1542&lt;20,W1542&gt;=105),0.15,0)+IF(AND(V1542&gt;=20,V1542&lt;40,W1542&lt;45),0.25,0)+IF(AND(V1542&gt;=20,V1542&lt;40,W1542&gt;=45,W1542&lt;95),0.2,0)+IF(AND(V1542&gt;=20,V1542&lt;40,W1542&gt;=95),0.15,0)+IF(AND(V1542&gt;=40,V1542&lt;75,W1542&lt;35),0.25,0)+IF(AND(V1542&gt;=40,V1542&lt;75,W1542&gt;=35,W1542&lt;75),0.2,0)+IF(AND(V1542&gt;=40,V1542&lt;75,W1542&gt;=75,W1542&lt;120),0.15,0)+IF(AND(V1542&gt;=40,V1542&lt;75,W1542&gt;=120),0.1,0)+IF(AND(V1542&gt;=75,V1542&lt;175,W1542&lt;35),0.25,0)+IF(AND(V1542&gt;=75,V1542&lt;=175,W1542&gt;=35,W1542&lt;65),0.2,0)+IF(AND(V1542&gt;=75,V1542&lt;=175,W1542&gt;=65,W1542&lt;110),0.15,0)+IF(AND(V1542&gt;=75,V1542&lt;=175,W1542&gt;=110),0.1,0)+IF(AND(V1542&gt;175,W1542&lt;25),0.25,0)+IF(AND(V1542&gt;175,W1542&gt;=25,W1542&lt;55),0.2,0)+IF(AND(V1542&gt;175,W1542&gt;=55,W1542&lt;95),0.15,0)+IF(AND(V1542&gt;175,W1542&gt;=95),0.1,0))))))))))))))))))))</f>
        <v>0.17</v>
      </c>
      <c r="Y1542" s="30">
        <f>IF(AG1542="None",0,IF(AG1542="Fix5",0.05, IF(AG1542="Fix6.25",0.0625,IF(AG1542="Fix3.75",0.0375, IF(AG1542="Fix11",0.11, IF(AG1542="Fix10",0.1,IF(AG1542="Fix3",0.03,0)))))))</f>
        <v>0</v>
      </c>
      <c r="Z1542" s="35">
        <f>IF(AND(AD1542="EUR", AE1542 = "USD"), T1542*U1542-AA1542-AB1542, T1542-AA1542-AB1542)</f>
        <v>493.02</v>
      </c>
      <c r="AA1542" s="29">
        <f>IF(AND(AD1542="EUR", F1542="Without EV deal", AE1542="USD"), (T1542*X1542)*U1542,
IF(AND(AD1542="EUR", F1542="Without EV deal", AE1542="EUR"), (T1542*X1542),
IF(AND(AD1542="EUR",AE1542="USD"), (T1542*X1542)*U1542,
T1542*X1542)))</f>
        <v>100.98</v>
      </c>
      <c r="AB1542" s="36">
        <f>IF(AND(AD1542="EUR", F1542="Without EV deal", AE1542="USD"), (T1542*Y1542)*U1542,
IF(AND(AD1542="EUR", F1542="Without EV deal", AE1542="EUR"), (T1542*Y1542),
IF(AND(AD1542="EUR",AE1542="USD"), (T1542*Y1542)*U1542,
T1542*Y1542)))</f>
        <v>0</v>
      </c>
      <c r="AC1542" s="37" t="b">
        <v>1</v>
      </c>
      <c r="AD1542" s="82" t="str">
        <f>IF(OR(H1542="€0.25 Flash",
H1542="€0.25(nitro) new",
H1542="€1",
H1542="€2",
H1542="€2 (bf 01.08)",
H1542="€5",
H1542="€5 (1M)",
H1542="€5 (bf 01.08)",
H1542="€5 (bf 05.05)",
H1542="€5 Nitro",
H1542="€5(wx) new",
H1542="€10",
H1542="€10 (1M)",
H1542="€10 (bf 01.08)",
H1542="€10 (bf 05.05)",
H1542="€10 (MP)",
H1542="€10 (old)",
H1542="€10 Nitro (bf 05.05)",
H1542="€10 Nitro (old)",
H1542="€10(wx) new",
H1542="€20",
H1542="€25",
H1542="€25 (bf 01.08)",
H1542="€25 (bf 05.05)",
H1542="€25 (MP)",
H1542="€25 (old)",
H1542="€25 Nitro",
H1542="€25 Nitro (bf 01.08)",
H1542="€25 Nitro (bf 05.05)",
H1542="€25(nitro) new",
H1542="€25(wx) new",
H1542="€50",
H1542="€50 (bf 01.08)",
H1542="€50 (bf 05.05)",
H1542="€50 (old)",
H1542="€50 Nitro",
H1542="€50 Nitro (bf 01.08)",
H1542="€50 Nitro (bf 05.05)",
H1542="€50(wx) new",
H1542="€100",
H1542="€100 (old)",
H1542="€100 Nitro",
H1542="€100 Nitro (old)",
H1542="€200",
H1542="€250",
H1542="€250 Nitro",
H1542="€500",
H1542="€500 Nitro"),"EUR", "USD")</f>
        <v>USD</v>
      </c>
      <c r="AE1542" s="83" t="s">
        <v>38</v>
      </c>
      <c r="AF1542" s="83" t="str">
        <f t="array" ref="AF1542">INDEX('Deal Info'!D:D, MATCH(A1542,'Deal Info'!A:A, 0))</f>
        <v>DoEV</v>
      </c>
      <c r="AG1542" s="84" t="str">
        <f t="array" ref="AG1542">INDEX('Deal Info'!G:G, MATCH(A1542,'Deal Info'!A:A, 0))</f>
        <v>None</v>
      </c>
    </row>
    <row r="1543" spans="1:33" ht="14.25" hidden="1" x14ac:dyDescent="0.2">
      <c r="A1543" s="18" t="str">
        <f t="array" ref="A1543">IF(G1543='Room Info'!$B$1, INDEX('Room Info'!$A$2:$A2446, MATCH(B1543,'Room Info'!$B$2:$B2446, 0)),IF(G1543='Room Info'!$C$1, INDEX('Room Info'!$A$2:$A2446, MATCH(B1543,'Room Info'!$C$2:$C2446, 0)),IF(G1543='Room Info'!$D$1, INDEX('Room Info'!$A$2:$A2446, MATCH(B1543,'Room Info'!$D$2:$D2446, 0)),IF(G1543='Room Info'!$E$1, INDEX('Room Info'!$A$2:$A2446, MATCH(B1543,'Room Info'!$E$2:$E2446, 0)),IF(G1543='Room Info'!$F$1, INDEX('Room Info'!$A$2:$A2446, MATCH(B1543,'Room Info'!$F$2:$F2446, 0)),IF(G1543='Room Info'!$H$1, INDEX('Room Info'!$A$2:$A2446, MATCH(B1543,'Room Info'!$H$2:$H2446, 0)),IF(G1543='Room Info'!$G$1, INDEX('Room Info'!$A$2:$A2446, MATCH(B1543,'Room Info'!$G$2:$G2446, 0)))))))))</f>
        <v>VermillionPoker</v>
      </c>
      <c r="B1543" s="45" t="s">
        <v>230</v>
      </c>
      <c r="C1543" s="46">
        <v>44958</v>
      </c>
      <c r="D1543" s="46">
        <v>44985</v>
      </c>
      <c r="E1543" s="80">
        <v>44958</v>
      </c>
      <c r="F1543" s="45" t="s">
        <v>49</v>
      </c>
      <c r="G1543" s="18" t="s">
        <v>35</v>
      </c>
      <c r="H1543" s="49" t="s">
        <v>40</v>
      </c>
      <c r="I1543" s="49" t="s">
        <v>37</v>
      </c>
      <c r="J1543" s="39">
        <v>10</v>
      </c>
      <c r="K1543" s="51">
        <v>2140</v>
      </c>
      <c r="L1543" s="52">
        <v>480</v>
      </c>
      <c r="M1543" s="53">
        <v>1170</v>
      </c>
      <c r="N1543" s="28">
        <f>K1543*J1543</f>
        <v>21400</v>
      </c>
      <c r="O1543" s="54">
        <v>54866</v>
      </c>
      <c r="P1543" s="29">
        <v>25.63831776</v>
      </c>
      <c r="Q1543" s="55"/>
      <c r="R1543" s="31">
        <f>M1543+Q1543*J1543*K1543*0.07</f>
        <v>1170</v>
      </c>
      <c r="S1543" s="56">
        <v>-413</v>
      </c>
      <c r="T1543" s="32">
        <f>IF(AND(AD1543="EUR", F1543="Without EV deal"), R1543 + L1543,
IF(AND(AD1543="USD", F1543="Without EV deal"), R1543 + L1543,
IF(AND(AD1543="EUR", F1543="Steel Phoenix"), R1543 + S1543/U1543,
R1543 + S1543)))</f>
        <v>757</v>
      </c>
      <c r="U1543" s="57"/>
      <c r="V1543" s="58">
        <v>10</v>
      </c>
      <c r="W1543" s="58">
        <v>75.7</v>
      </c>
      <c r="X1543" s="30">
        <f>IF(AF1543="DoEV",IF(AND(V1543&lt;20,W1543&lt;55),0.3,0)+IF(AND(V1543&lt;20,W1543&gt;=55,W1543&lt;105),0.23,0)+IF(AND(V1543&lt;20,W1543&gt;=105),0.17,0)+IF(AND(V1543&gt;=20,V1543&lt;40,W1543&lt;45),0.3,0)+IF(AND(V1543&gt;=20,V1543&lt;40,W1543&gt;=45,W1543&lt;95),0.23,0)+IF(AND(V1543&gt;=20,V1543&lt;40,W1543&gt;=95),0.17,0)+IF(AND(V1543&gt;=40,V1543&lt;75,W1543&lt;35),0.3,0)+IF(AND(V1543&gt;=40,V1543&lt;75,W1543&gt;=35,W1543&lt;75),0.23,0)+IF(AND(V1543&gt;=40,V1543&lt;75,W1543&gt;=75,W1543&lt;120),0.17,0)+IF(AND(V1543&gt;=40,V1543&lt;75,W1543&gt;=120),0.12,0)+IF(AND(V1543&gt;=75,V1543&lt;175,W1543&lt;35),0.3,0)+IF(AND(V1543&gt;=75,V1543&lt;=175,W1543&gt;=35,W1543&lt;65),0.23,0)+IF(AND(V1543&gt;=75,V1543&lt;=175,W1543&gt;=65,W1543&lt;110),0.17,0)+IF(AND(V1543&gt;=75,V1543&lt;=175,W1543&gt;=110),0.12,0)+IF(AND(V1543&gt;175,W1543&lt;25),0.3,0)+IF(AND(V1543&gt;175,W1543&gt;=25,W1543&lt;55),0.23,0)+IF(AND(V1543&gt;175,W1543&gt;=55,W1543&lt;95),0.17,0)+IF(AND(V1543&gt;175,W1543&gt;=95),0.12,0),
IF(AF1543="Fix15",0.15,
IF(AF1543="Fix5",0.05,
IF(AF1543="Fix18.75",0.1875,
IF(AF1543="Fix11.25",0.1125,
IF(AF1543="Fix10",0.1,
IF(AF1543="Fix9",0.09,
IF(AF1543="Fix12",0.12,
IF(AF1543="Fix19",0.19,
IF(AF1543="DoEV2017",IF(AND(W1543&lt;74),0.2,0)+IF(AND(W1543&gt;=74),0.17,0),
IF(AF1543="SF",IF(AND(V1543&lt;20,W1543&lt;89),0.3,0)+IF(AND(V1543&lt;20,W1543&gt;=89),0.25,0)+IF(AND(V1543&gt;=20,V1543&lt;40,W1543&lt;74),0.3,0)+IF(AND(V1543&gt;=20,V1543&lt;40,W1543&gt;=75),0.22,0)+IF(AND(V1543&gt;=40,V1543&lt;75,W1543&lt;75),0.26,0)+IF(AND(V1543&gt;=40,V1543&lt;75,W1543&gt;=75),0.22,0)+IF(V1543&gt;=75,0.22,0),
IF(AF1543="DoEVold",IF(AND(V1543&lt;40,W1543&lt;35),0.35,0)+IF(AND(V1543&lt;40,W1543&gt;=35,W1543&lt;75),0.25,0)+IF(AND(V1543&lt;40,W1543&gt;=75),0.17,0)+IF(AND(V1543&gt;=40,V1543&lt;75,W1543&lt;25),0.35,0)+IF(AND(V1543&gt;=40,V1543&lt;75,W1543&gt;=25,W1543&lt;65),0.25,0)+IF(AND(V1543&gt;=40,V1543&lt;75,W1543&gt;=65,W1543&lt;100),0.17,0)+IF(AND(V1543&gt;=40,V1543&lt;75,W1543&gt;=100),0.1,0)+IF(AND(V1543&gt;=75,W1543&lt;25),0.35,0)+IF(AND(V1543&gt;=75,W1543&gt;=25,W1543&lt;60),0.25,0)+IF(AND(V1543&gt;=75,W1543&gt;=60,W1543&lt;95),0.17,0)+IF(AND(V1543&gt;=75,W1543&gt;=95),0.1,0),
IF(AF1543="DoEVold15",IF(AND(V1543&lt;=40,W1543&lt;35),0.35,0)+IF(AND(V1543&lt;=40,W1543&gt;=35,W1543&lt;75),0.25,0)+IF(AND(V1543&lt;=40,W1543&gt;=75,W1543&lt;120),0.17,0)+IF(AND(V1543&lt;=40,W1543&gt;=120),0.15,0)+IF(AND(V1543&gt;40,V1543&lt;75,W1543&lt;25),0.35,0)+IF(AND(V1543&gt;=40,V1543&lt;75,W1543&gt;=25,W1543&lt;65),0.25,0)+IF(AND(V1543&gt;=40,V1543&lt;75,W1543&gt;=65,W1543&lt;100),0.17,0)+IF(AND(V1543&gt;=40,V1543&lt;75,W1543&gt;=100),0.1,0)+IF(AND(V1543&gt;=75,W1543&lt;25),0.35,0)+IF(AND(V1543&gt;=75,W1543&gt;=25,W1543&lt;60),0.25,0)+IF(AND(V1543&gt;=75,W1543&gt;=60,W1543&lt;95),0.17,0)+IF(AND(V1543&gt;=75,W1543&gt;=95),0.1,0),
IF(AF1543="DoEVba",IF(AND(V1543&lt;20,W1543&lt;105),0.2,0)+IF(AND(V1543&lt;20,W1543&gt;=105),0.15,0)+IF(AND(V1543&gt;=20,V1543&lt;40,W1543&lt;95),0.2,0)+IF(AND(V1543&gt;=20,V1543&lt;40,W1543&gt;=95,W1543&lt;150),0.15,0)+IF(AND(V1543&gt;=20,V1543&lt;40,W1543&gt;=150),0.12,0)+IF(AND(V1543&gt;=40,V1543&lt;75,W1543&lt;75),0.2,0)+IF(AND(V1543&gt;=40,V1543&lt;75,W1543&gt;=75,W1543&lt;120),0.15,0)+IF(AND(V1543&gt;=40,V1543&lt;75,W1543&gt;=120),0.12,0)+IF(AND(V1543&gt;=75,V1543&lt;175,W1543&lt;65),0.2,0)+IF(AND(V1543&gt;=75,V1543&lt;175,W1543&gt;=65,W1543&lt;110),0.15,0)+IF(AND(V1543&gt;=75,V1543&lt;175,W1543&gt;=110),0.12,0)+IF(AND(V1543&gt;=175,W1543&lt;55),0.2,0)+IF(AND(V1543&gt;=175,W1543&gt;=55,W1543&lt;95),0.15,0)+IF(AND(V1543&gt;=175,W1543&gt;=95),0.12,0),
IF(AF1543="DoEVku",IF(AND(V1543&lt;20,W1543&lt;55),0.23,0)+IF(AND(V1543&lt;20,W1543&gt;=55,W1543&lt;105),0.2,0)+IF(AND(V1543&lt;20,W1543&gt;=105),0.17,0)+IF(AND(V1543&gt;=20,V1543&lt;40,W1543&lt;45),0.23,0)+IF(AND(V1543&gt;=20,V1543&lt;40,W1543&gt;=45,W1543&lt;95),0.2,0)+IF(AND(V1543&gt;=20,V1543&lt;40,W1543&gt;=95,W1543&lt;=150),0.17,0)+IF(AND(V1543&gt;=20,V1543&lt;40,W1543&gt;=150),0.12,0)+IF(AND(V1543&gt;=40,V1543&lt;75,W1543&lt;35),0.23,0)+IF(AND(V1543&gt;=40,V1543&lt;75,W1543&gt;=35,W1543&lt;75),0.2,0)+IF(AND(V1543&gt;=40,V1543&lt;75,W1543&gt;=75,W1543&lt;120),0.17,0)+IF(AND(V1543&gt;=40,V1543&lt;75,W1543&gt;=120),0.12,0)+IF(AND(V1543&gt;=75,V1543&lt;175,W1543&lt;35),0.23,0)+IF(AND(V1543&gt;=75,V1543&lt;=175,W1543&gt;=35,W1543&lt;65),0.2,0)+IF(AND(V1543&gt;=75,V1543&lt;=175,W1543&gt;=65,W1543&lt;110),0.17,0)+IF(AND(V1543&gt;=75,V1543&lt;=175,W1543&gt;=110),0.12,0)+IF(AND(V1543&gt;175,W1543&lt;25),0.23,0)+IF(AND(V1543&gt;175,W1543&gt;=25,W1543&lt;55),0.2,0)+IF(AND(V1543&gt;175,W1543&gt;=55,W1543&lt;95),0.17,0)+IF(AND(V1543&gt;175,W1543&gt;=95),0.12,0),
IF(AF1543="DoEVs1",IF(AND(V1543&lt;20,W1543&lt;55),0.3,0)+IF(AND(V1543&lt;20,W1543&gt;=55,W1543&lt;105),0.23,0)+IF(AND(V1543&lt;20,W1543&gt;=105),0.17,0)+IF(AND(V1543&gt;=20,V1543&lt;40,W1543&lt;45),0.3,0)+IF(AND(V1543&gt;=20,V1543&lt;40,W1543&gt;=45,W1543&lt;95),0.23,0)+IF(AND(V1543&gt;=20,V1543&lt;40,W1543&gt;=95,W1543&lt;=150),0.17,0)+IF(AND(V1543&gt;=20,V1543&lt;40,W1543&gt;=150),0.12,0)+IF(AND(V1543&gt;=40,V1543&lt;75,W1543&lt;35),0.3,0)+IF(AND(V1543&gt;=40,V1543&lt;75,W1543&gt;=35,W1543&lt;75),0.23,0)+IF(AND(V1543&gt;=40,V1543&lt;75,W1543&gt;=75,W1543&lt;120),0.17,0)+IF(AND(V1543&gt;=40,V1543&lt;75,W1543&gt;=120),0.12,0)+IF(AND(V1543&gt;=75,V1543&lt;175,W1543&lt;35),0.3,0)+IF(AND(V1543&gt;=75,V1543&lt;=175,W1543&gt;=35,W1543&lt;65),0.23,0)+IF(AND(V1543&gt;=75,V1543&lt;=175,W1543&gt;=65,W1543&lt;110),0.17,0)+IF(AND(V1543&gt;=75,V1543&lt;=175,W1543&gt;=110),0.12,0)+IF(AND(V1543&gt;175,W1543&lt;25),0.3,0)+IF(AND(V1543&gt;175,W1543&gt;=25,W1543&lt;55),0.23,0)+IF(AND(V1543&gt;175,W1543&gt;=55,W1543&lt;95),0.17,0)+IF(AND(V1543&gt;175,W1543&gt;=95),0.12,0),
IF(AF1543="DoEVsu",IF(AND(V1543&lt;20,W1543&lt;55),0.3,0)+IF(AND(V1543&lt;20,W1543&gt;=55,W1543&lt;105),0.23,0)+IF(AND(V1543&lt;20,W1543&gt;=105),0.17,0)+IF(AND(V1543&gt;=20,V1543&lt;40,W1543&lt;45),0.3,0)+IF(AND(V1543&gt;=20,V1543&lt;40,W1543&gt;=45,W1543&lt;95),0.23,0)+IF(AND(V1543&gt;=20,V1543&lt;40,W1543&gt;=95,W1543&lt;=250),0.17,0)+IF(AND(V1543&gt;=20,V1543&lt;40,W1543&gt;=250),0.12,0)+IF(AND(V1543&gt;=40,V1543&lt;75,W1543&lt;35),0.3,0)+IF(AND(V1543&gt;=40,V1543&lt;75,W1543&gt;=35,W1543&lt;75),0.23,0)+IF(AND(V1543&gt;=40,V1543&lt;75,W1543&gt;=75,W1543&lt;120),0.17,0)+IF(AND(V1543&gt;=40,V1543&lt;75,W1543&gt;=120),0.12,0)+IF(AND(V1543&gt;=75,V1543&lt;175,W1543&lt;35),0.3,0)+IF(AND(V1543&gt;=75,V1543&lt;=175,W1543&gt;=35,W1543&lt;65),0.23,0)+IF(AND(V1543&gt;=75,V1543&lt;=175,W1543&gt;=65,W1543&lt;110),0.17,0)+IF(AND(V1543&gt;=75,V1543&lt;=175,W1543&gt;=110),0.12,0)+IF(AND(V1543&gt;175,W1543&lt;25),0.3,0)+IF(AND(V1543&gt;175,W1543&gt;=25,W1543&lt;55),0.23,0)+IF(AND(V1543&gt;175,W1543&gt;=55,W1543&lt;95),0.17,0)+IF(AND(V1543&gt;175,W1543&gt;=95),0.12,0),
IF(AF1543="DoEVni",IF(AND(V1543&lt;20,W1543&lt;55),0.3,0)+IF(AND(V1543&lt;20,W1543&gt;=55,W1543&lt;105),0.23,0)+IF(AND(V1543&lt;20,W1543&gt;=105),0.17,0)+IF(AND(V1543&gt;=20,V1543&lt;40,W1543&lt;45),0.3,0)+IF(AND(V1543&gt;=20,V1543&lt;40,W1543&gt;=45,W1543&lt;95),0.23,0)+IF(AND(V1543&gt;=20,V1543&lt;40,W1543&gt;=95,W1543&lt;=200),0.17,0)+IF(AND(V1543&gt;=20,V1543&lt;40,W1543&gt;=200),0.12,0)+IF(AND(V1543&gt;=40,V1543&lt;75,W1543&lt;35),0.3,0)+IF(AND(V1543&gt;=40,V1543&lt;75,W1543&gt;=35,W1543&lt;75),0.23,0)+IF(AND(V1543&gt;=40,V1543&lt;75,W1543&gt;=75,W1543&lt;120),0.17,0)+IF(AND(V1543&gt;=40,V1543&lt;75,W1543&gt;=120),0.12,0)+IF(AND(V1543&gt;=75,V1543&lt;175,W1543&lt;35),0.3,0)+IF(AND(V1543&gt;=75,V1543&lt;=175,W1543&gt;=35,W1543&lt;65),0.23,0)+IF(AND(V1543&gt;=75,V1543&lt;=175,W1543&gt;=65,W1543&lt;110),0.17,0)+IF(AND(V1543&gt;=75,V1543&lt;=175,W1543&gt;=110),0.12,0)+IF(AND(V1543&gt;175,W1543&lt;25),0.3,0)+IF(AND(V1543&gt;175,W1543&gt;=25,W1543&lt;55),0.23,0)+IF(AND(V1543&gt;175,W1543&gt;=55,W1543&lt;95),0.17,0)+IF(AND(V1543&gt;175,W1543&gt;=95),0.12,0),
IF(AF1543="DoEVLo",IF(AND(V1543&lt;20,W1543&lt;55),0.25,0)+IF(AND(V1543&lt;20,W1543&gt;=55,W1543&lt;105),0.2,0)+IF(AND(V1543&lt;20,W1543&gt;=105),0.15,0)+IF(AND(V1543&gt;=20,V1543&lt;40,W1543&lt;45),0.25,0)+IF(AND(V1543&gt;=20,V1543&lt;40,W1543&gt;=45,W1543&lt;95),0.2,0)+IF(AND(V1543&gt;=20,V1543&lt;40,W1543&gt;=95),0.15,0)+IF(AND(V1543&gt;=40,V1543&lt;75,W1543&lt;35),0.25,0)+IF(AND(V1543&gt;=40,V1543&lt;75,W1543&gt;=35,W1543&lt;75),0.2,0)+IF(AND(V1543&gt;=40,V1543&lt;75,W1543&gt;=75,W1543&lt;120),0.15,0)+IF(AND(V1543&gt;=40,V1543&lt;75,W1543&gt;=120),0.1,0)+IF(AND(V1543&gt;=75,V1543&lt;175,W1543&lt;35),0.25,0)+IF(AND(V1543&gt;=75,V1543&lt;=175,W1543&gt;=35,W1543&lt;65),0.2,0)+IF(AND(V1543&gt;=75,V1543&lt;=175,W1543&gt;=65,W1543&lt;110),0.15,0)+IF(AND(V1543&gt;=75,V1543&lt;=175,W1543&gt;=110),0.1,0)+IF(AND(V1543&gt;175,W1543&lt;25),0.25,0)+IF(AND(V1543&gt;175,W1543&gt;=25,W1543&lt;55),0.2,0)+IF(AND(V1543&gt;175,W1543&gt;=55,W1543&lt;95),0.15,0)+IF(AND(V1543&gt;175,W1543&gt;=95),0.1,0))))))))))))))))))))</f>
        <v>0.23</v>
      </c>
      <c r="Y1543" s="30">
        <f>IF(AG1543="None",0,IF(AG1543="Fix5",0.05, IF(AG1543="Fix6.25",0.0625,IF(AG1543="Fix3.75",0.0375, IF(AG1543="Fix11",0.11, IF(AG1543="Fix10",0.1,IF(AG1543="Fix3",0.03,0)))))))</f>
        <v>0</v>
      </c>
      <c r="Z1543" s="35">
        <f>IF(AND(AD1543="EUR", AE1543 = "USD"), T1543*U1543-AA1543-AB1543, T1543-AA1543-AB1543)</f>
        <v>582.89</v>
      </c>
      <c r="AA1543" s="29">
        <f>IF(AND(AD1543="EUR", F1543="Without EV deal", AE1543="USD"), (T1543*X1543)*U1543,
IF(AND(AD1543="EUR", F1543="Without EV deal", AE1543="EUR"), (T1543*X1543),
IF(AND(AD1543="EUR",AE1543="USD"), (T1543*X1543)*U1543,
T1543*X1543)))</f>
        <v>174.11</v>
      </c>
      <c r="AB1543" s="36">
        <f>IF(AND(AD1543="EUR", F1543="Without EV deal", AE1543="USD"), (T1543*Y1543)*U1543,
IF(AND(AD1543="EUR", F1543="Without EV deal", AE1543="EUR"), (T1543*Y1543),
IF(AND(AD1543="EUR",AE1543="USD"), (T1543*Y1543)*U1543,
T1543*Y1543)))</f>
        <v>0</v>
      </c>
      <c r="AC1543" s="37" t="b">
        <v>1</v>
      </c>
      <c r="AD1543" s="82" t="str">
        <f>IF(OR(H1543="€0.25 Flash",
H1543="€0.25(nitro) new",
H1543="€1",
H1543="€2",
H1543="€2 (bf 01.08)",
H1543="€5",
H1543="€5 (1M)",
H1543="€5 (bf 01.08)",
H1543="€5 (bf 05.05)",
H1543="€5 Nitro",
H1543="€5(wx) new",
H1543="€10",
H1543="€10 (1M)",
H1543="€10 (bf 01.08)",
H1543="€10 (bf 05.05)",
H1543="€10 (MP)",
H1543="€10 (old)",
H1543="€10 Nitro (bf 05.05)",
H1543="€10 Nitro (old)",
H1543="€10(wx) new",
H1543="€20",
H1543="€25",
H1543="€25 (bf 01.08)",
H1543="€25 (bf 05.05)",
H1543="€25 (MP)",
H1543="€25 (old)",
H1543="€25 Nitro",
H1543="€25 Nitro (bf 01.08)",
H1543="€25 Nitro (bf 05.05)",
H1543="€25(nitro) new",
H1543="€25(wx) new",
H1543="€50",
H1543="€50 (bf 01.08)",
H1543="€50 (bf 05.05)",
H1543="€50 (old)",
H1543="€50 Nitro",
H1543="€50 Nitro (bf 01.08)",
H1543="€50 Nitro (bf 05.05)",
H1543="€50(wx) new",
H1543="€100",
H1543="€100 (old)",
H1543="€100 Nitro",
H1543="€100 Nitro (old)",
H1543="€200",
H1543="€250",
H1543="€250 Nitro",
H1543="€500",
H1543="€500 Nitro"),"EUR", "USD")</f>
        <v>USD</v>
      </c>
      <c r="AE1543" s="83" t="s">
        <v>38</v>
      </c>
      <c r="AF1543" s="83" t="str">
        <f t="array" ref="AF1543">INDEX('Deal Info'!D:D, MATCH(A1543,'Deal Info'!A:A, 0))</f>
        <v>DoEV</v>
      </c>
      <c r="AG1543" s="84" t="str">
        <f t="array" ref="AG1543">INDEX('Deal Info'!G:G, MATCH(A1543,'Deal Info'!A:A, 0))</f>
        <v>None</v>
      </c>
    </row>
    <row r="1544" spans="1:33" ht="14.25" hidden="1" x14ac:dyDescent="0.2">
      <c r="A1544" s="18" t="str">
        <f t="array" ref="A1544">IF(G1544='Room Info'!$B$1, INDEX('Room Info'!$A$2:$A2446, MATCH(B1544,'Room Info'!$B$2:$B2446, 0)),IF(G1544='Room Info'!$C$1, INDEX('Room Info'!$A$2:$A2446, MATCH(B1544,'Room Info'!$C$2:$C2446, 0)),IF(G1544='Room Info'!$D$1, INDEX('Room Info'!$A$2:$A2446, MATCH(B1544,'Room Info'!$D$2:$D2446, 0)),IF(G1544='Room Info'!$E$1, INDEX('Room Info'!$A$2:$A2446, MATCH(B1544,'Room Info'!$E$2:$E2446, 0)),IF(G1544='Room Info'!$F$1, INDEX('Room Info'!$A$2:$A2446, MATCH(B1544,'Room Info'!$F$2:$F2446, 0)),IF(G1544='Room Info'!$H$1, INDEX('Room Info'!$A$2:$A2446, MATCH(B1544,'Room Info'!$H$2:$H2446, 0)),IF(G1544='Room Info'!$G$1, INDEX('Room Info'!$A$2:$A2446, MATCH(B1544,'Room Info'!$G$2:$G2446, 0)))))))))</f>
        <v>mdzr</v>
      </c>
      <c r="B1544" s="96" t="s">
        <v>231</v>
      </c>
      <c r="C1544" s="46">
        <v>44958</v>
      </c>
      <c r="D1544" s="46">
        <v>44985</v>
      </c>
      <c r="E1544" s="80">
        <v>44958</v>
      </c>
      <c r="F1544" s="45" t="s">
        <v>49</v>
      </c>
      <c r="G1544" s="125" t="s">
        <v>80</v>
      </c>
      <c r="H1544" s="49" t="s">
        <v>71</v>
      </c>
      <c r="I1544" s="49" t="s">
        <v>81</v>
      </c>
      <c r="J1544" s="39">
        <v>20</v>
      </c>
      <c r="K1544" s="51">
        <v>5867</v>
      </c>
      <c r="L1544" s="52">
        <v>-5340</v>
      </c>
      <c r="M1544" s="62">
        <f>4913.46+855</f>
        <v>5768.46</v>
      </c>
      <c r="N1544" s="28">
        <f>K1544*J1544</f>
        <v>117340</v>
      </c>
      <c r="O1544" s="65"/>
      <c r="P1544" s="29">
        <v>0</v>
      </c>
      <c r="Q1544" s="55"/>
      <c r="R1544" s="31">
        <f>M1544+Q1544*J1544*K1544*0.07</f>
        <v>5768.46</v>
      </c>
      <c r="S1544" s="56">
        <v>-2960</v>
      </c>
      <c r="T1544" s="32">
        <f>IF(AND(AD1544="EUR", F1544="Without EV deal"), R1544 + L1544,
IF(AND(AD1544="USD", F1544="Without EV deal"), R1544 + L1544,
IF(AND(AD1544="EUR", F1544="Steel Phoenix"), R1544 + S1544/U1544,
R1544 + S1544)))</f>
        <v>2808.46</v>
      </c>
      <c r="U1544" s="57"/>
      <c r="V1544" s="69">
        <v>20.820623342175065</v>
      </c>
      <c r="W1544" s="69">
        <v>70.625166971892668</v>
      </c>
      <c r="X1544" s="30">
        <f>IF(AF1544="DoEV",IF(AND(V1544&lt;20,W1544&lt;55),0.3,0)+IF(AND(V1544&lt;20,W1544&gt;=55,W1544&lt;105),0.23,0)+IF(AND(V1544&lt;20,W1544&gt;=105),0.17,0)+IF(AND(V1544&gt;=20,V1544&lt;40,W1544&lt;45),0.3,0)+IF(AND(V1544&gt;=20,V1544&lt;40,W1544&gt;=45,W1544&lt;95),0.23,0)+IF(AND(V1544&gt;=20,V1544&lt;40,W1544&gt;=95),0.17,0)+IF(AND(V1544&gt;=40,V1544&lt;75,W1544&lt;35),0.3,0)+IF(AND(V1544&gt;=40,V1544&lt;75,W1544&gt;=35,W1544&lt;75),0.23,0)+IF(AND(V1544&gt;=40,V1544&lt;75,W1544&gt;=75,W1544&lt;120),0.17,0)+IF(AND(V1544&gt;=40,V1544&lt;75,W1544&gt;=120),0.12,0)+IF(AND(V1544&gt;=75,V1544&lt;175,W1544&lt;35),0.3,0)+IF(AND(V1544&gt;=75,V1544&lt;=175,W1544&gt;=35,W1544&lt;65),0.23,0)+IF(AND(V1544&gt;=75,V1544&lt;=175,W1544&gt;=65,W1544&lt;110),0.17,0)+IF(AND(V1544&gt;=75,V1544&lt;=175,W1544&gt;=110),0.12,0)+IF(AND(V1544&gt;175,W1544&lt;25),0.3,0)+IF(AND(V1544&gt;175,W1544&gt;=25,W1544&lt;55),0.23,0)+IF(AND(V1544&gt;175,W1544&gt;=55,W1544&lt;95),0.17,0)+IF(AND(V1544&gt;175,W1544&gt;=95),0.12,0),
IF(AF1544="Fix15",0.15,
IF(AF1544="Fix5",0.05,
IF(AF1544="Fix18.75",0.1875,
IF(AF1544="Fix11.25",0.1125,
IF(AF1544="Fix10",0.1,
IF(AF1544="Fix9",0.09,
IF(AF1544="Fix12",0.12,
IF(AF1544="Fix19",0.19,
IF(AF1544="DoEV2017",IF(AND(W1544&lt;74),0.2,0)+IF(AND(W1544&gt;=74),0.17,0),
IF(AF1544="SF",IF(AND(V1544&lt;20,W1544&lt;89),0.3,0)+IF(AND(V1544&lt;20,W1544&gt;=89),0.25,0)+IF(AND(V1544&gt;=20,V1544&lt;40,W1544&lt;74),0.3,0)+IF(AND(V1544&gt;=20,V1544&lt;40,W1544&gt;=75),0.22,0)+IF(AND(V1544&gt;=40,V1544&lt;75,W1544&lt;75),0.26,0)+IF(AND(V1544&gt;=40,V1544&lt;75,W1544&gt;=75),0.22,0)+IF(V1544&gt;=75,0.22,0),
IF(AF1544="DoEVold",IF(AND(V1544&lt;40,W1544&lt;35),0.35,0)+IF(AND(V1544&lt;40,W1544&gt;=35,W1544&lt;75),0.25,0)+IF(AND(V1544&lt;40,W1544&gt;=75),0.17,0)+IF(AND(V1544&gt;=40,V1544&lt;75,W1544&lt;25),0.35,0)+IF(AND(V1544&gt;=40,V1544&lt;75,W1544&gt;=25,W1544&lt;65),0.25,0)+IF(AND(V1544&gt;=40,V1544&lt;75,W1544&gt;=65,W1544&lt;100),0.17,0)+IF(AND(V1544&gt;=40,V1544&lt;75,W1544&gt;=100),0.1,0)+IF(AND(V1544&gt;=75,W1544&lt;25),0.35,0)+IF(AND(V1544&gt;=75,W1544&gt;=25,W1544&lt;60),0.25,0)+IF(AND(V1544&gt;=75,W1544&gt;=60,W1544&lt;95),0.17,0)+IF(AND(V1544&gt;=75,W1544&gt;=95),0.1,0),
IF(AF1544="DoEVold15",IF(AND(V1544&lt;=40,W1544&lt;35),0.35,0)+IF(AND(V1544&lt;=40,W1544&gt;=35,W1544&lt;75),0.25,0)+IF(AND(V1544&lt;=40,W1544&gt;=75,W1544&lt;120),0.17,0)+IF(AND(V1544&lt;=40,W1544&gt;=120),0.15,0)+IF(AND(V1544&gt;40,V1544&lt;75,W1544&lt;25),0.35,0)+IF(AND(V1544&gt;=40,V1544&lt;75,W1544&gt;=25,W1544&lt;65),0.25,0)+IF(AND(V1544&gt;=40,V1544&lt;75,W1544&gt;=65,W1544&lt;100),0.17,0)+IF(AND(V1544&gt;=40,V1544&lt;75,W1544&gt;=100),0.1,0)+IF(AND(V1544&gt;=75,W1544&lt;25),0.35,0)+IF(AND(V1544&gt;=75,W1544&gt;=25,W1544&lt;60),0.25,0)+IF(AND(V1544&gt;=75,W1544&gt;=60,W1544&lt;95),0.17,0)+IF(AND(V1544&gt;=75,W1544&gt;=95),0.1,0),
IF(AF1544="DoEVba",IF(AND(V1544&lt;20,W1544&lt;105),0.2,0)+IF(AND(V1544&lt;20,W1544&gt;=105),0.15,0)+IF(AND(V1544&gt;=20,V1544&lt;40,W1544&lt;95),0.2,0)+IF(AND(V1544&gt;=20,V1544&lt;40,W1544&gt;=95,W1544&lt;150),0.15,0)+IF(AND(V1544&gt;=20,V1544&lt;40,W1544&gt;=150),0.12,0)+IF(AND(V1544&gt;=40,V1544&lt;75,W1544&lt;75),0.2,0)+IF(AND(V1544&gt;=40,V1544&lt;75,W1544&gt;=75,W1544&lt;120),0.15,0)+IF(AND(V1544&gt;=40,V1544&lt;75,W1544&gt;=120),0.12,0)+IF(AND(V1544&gt;=75,V1544&lt;175,W1544&lt;65),0.2,0)+IF(AND(V1544&gt;=75,V1544&lt;175,W1544&gt;=65,W1544&lt;110),0.15,0)+IF(AND(V1544&gt;=75,V1544&lt;175,W1544&gt;=110),0.12,0)+IF(AND(V1544&gt;=175,W1544&lt;55),0.2,0)+IF(AND(V1544&gt;=175,W1544&gt;=55,W1544&lt;95),0.15,0)+IF(AND(V1544&gt;=175,W1544&gt;=95),0.12,0),
IF(AF1544="DoEVku",IF(AND(V1544&lt;20,W1544&lt;55),0.23,0)+IF(AND(V1544&lt;20,W1544&gt;=55,W1544&lt;105),0.2,0)+IF(AND(V1544&lt;20,W1544&gt;=105),0.17,0)+IF(AND(V1544&gt;=20,V1544&lt;40,W1544&lt;45),0.23,0)+IF(AND(V1544&gt;=20,V1544&lt;40,W1544&gt;=45,W1544&lt;95),0.2,0)+IF(AND(V1544&gt;=20,V1544&lt;40,W1544&gt;=95,W1544&lt;=150),0.17,0)+IF(AND(V1544&gt;=20,V1544&lt;40,W1544&gt;=150),0.12,0)+IF(AND(V1544&gt;=40,V1544&lt;75,W1544&lt;35),0.23,0)+IF(AND(V1544&gt;=40,V1544&lt;75,W1544&gt;=35,W1544&lt;75),0.2,0)+IF(AND(V1544&gt;=40,V1544&lt;75,W1544&gt;=75,W1544&lt;120),0.17,0)+IF(AND(V1544&gt;=40,V1544&lt;75,W1544&gt;=120),0.12,0)+IF(AND(V1544&gt;=75,V1544&lt;175,W1544&lt;35),0.23,0)+IF(AND(V1544&gt;=75,V1544&lt;=175,W1544&gt;=35,W1544&lt;65),0.2,0)+IF(AND(V1544&gt;=75,V1544&lt;=175,W1544&gt;=65,W1544&lt;110),0.17,0)+IF(AND(V1544&gt;=75,V1544&lt;=175,W1544&gt;=110),0.12,0)+IF(AND(V1544&gt;175,W1544&lt;25),0.23,0)+IF(AND(V1544&gt;175,W1544&gt;=25,W1544&lt;55),0.2,0)+IF(AND(V1544&gt;175,W1544&gt;=55,W1544&lt;95),0.17,0)+IF(AND(V1544&gt;175,W1544&gt;=95),0.12,0),
IF(AF1544="DoEVs1",IF(AND(V1544&lt;20,W1544&lt;55),0.3,0)+IF(AND(V1544&lt;20,W1544&gt;=55,W1544&lt;105),0.23,0)+IF(AND(V1544&lt;20,W1544&gt;=105),0.17,0)+IF(AND(V1544&gt;=20,V1544&lt;40,W1544&lt;45),0.3,0)+IF(AND(V1544&gt;=20,V1544&lt;40,W1544&gt;=45,W1544&lt;95),0.23,0)+IF(AND(V1544&gt;=20,V1544&lt;40,W1544&gt;=95,W1544&lt;=150),0.17,0)+IF(AND(V1544&gt;=20,V1544&lt;40,W1544&gt;=150),0.12,0)+IF(AND(V1544&gt;=40,V1544&lt;75,W1544&lt;35),0.3,0)+IF(AND(V1544&gt;=40,V1544&lt;75,W1544&gt;=35,W1544&lt;75),0.23,0)+IF(AND(V1544&gt;=40,V1544&lt;75,W1544&gt;=75,W1544&lt;120),0.17,0)+IF(AND(V1544&gt;=40,V1544&lt;75,W1544&gt;=120),0.12,0)+IF(AND(V1544&gt;=75,V1544&lt;175,W1544&lt;35),0.3,0)+IF(AND(V1544&gt;=75,V1544&lt;=175,W1544&gt;=35,W1544&lt;65),0.23,0)+IF(AND(V1544&gt;=75,V1544&lt;=175,W1544&gt;=65,W1544&lt;110),0.17,0)+IF(AND(V1544&gt;=75,V1544&lt;=175,W1544&gt;=110),0.12,0)+IF(AND(V1544&gt;175,W1544&lt;25),0.3,0)+IF(AND(V1544&gt;175,W1544&gt;=25,W1544&lt;55),0.23,0)+IF(AND(V1544&gt;175,W1544&gt;=55,W1544&lt;95),0.17,0)+IF(AND(V1544&gt;175,W1544&gt;=95),0.12,0),
IF(AF1544="DoEVsu",IF(AND(V1544&lt;20,W1544&lt;55),0.3,0)+IF(AND(V1544&lt;20,W1544&gt;=55,W1544&lt;105),0.23,0)+IF(AND(V1544&lt;20,W1544&gt;=105),0.17,0)+IF(AND(V1544&gt;=20,V1544&lt;40,W1544&lt;45),0.3,0)+IF(AND(V1544&gt;=20,V1544&lt;40,W1544&gt;=45,W1544&lt;95),0.23,0)+IF(AND(V1544&gt;=20,V1544&lt;40,W1544&gt;=95,W1544&lt;=250),0.17,0)+IF(AND(V1544&gt;=20,V1544&lt;40,W1544&gt;=250),0.12,0)+IF(AND(V1544&gt;=40,V1544&lt;75,W1544&lt;35),0.3,0)+IF(AND(V1544&gt;=40,V1544&lt;75,W1544&gt;=35,W1544&lt;75),0.23,0)+IF(AND(V1544&gt;=40,V1544&lt;75,W1544&gt;=75,W1544&lt;120),0.17,0)+IF(AND(V1544&gt;=40,V1544&lt;75,W1544&gt;=120),0.12,0)+IF(AND(V1544&gt;=75,V1544&lt;175,W1544&lt;35),0.3,0)+IF(AND(V1544&gt;=75,V1544&lt;=175,W1544&gt;=35,W1544&lt;65),0.23,0)+IF(AND(V1544&gt;=75,V1544&lt;=175,W1544&gt;=65,W1544&lt;110),0.17,0)+IF(AND(V1544&gt;=75,V1544&lt;=175,W1544&gt;=110),0.12,0)+IF(AND(V1544&gt;175,W1544&lt;25),0.3,0)+IF(AND(V1544&gt;175,W1544&gt;=25,W1544&lt;55),0.23,0)+IF(AND(V1544&gt;175,W1544&gt;=55,W1544&lt;95),0.17,0)+IF(AND(V1544&gt;175,W1544&gt;=95),0.12,0),
IF(AF1544="DoEVni",IF(AND(V1544&lt;20,W1544&lt;55),0.3,0)+IF(AND(V1544&lt;20,W1544&gt;=55,W1544&lt;105),0.23,0)+IF(AND(V1544&lt;20,W1544&gt;=105),0.17,0)+IF(AND(V1544&gt;=20,V1544&lt;40,W1544&lt;45),0.3,0)+IF(AND(V1544&gt;=20,V1544&lt;40,W1544&gt;=45,W1544&lt;95),0.23,0)+IF(AND(V1544&gt;=20,V1544&lt;40,W1544&gt;=95,W1544&lt;=200),0.17,0)+IF(AND(V1544&gt;=20,V1544&lt;40,W1544&gt;=200),0.12,0)+IF(AND(V1544&gt;=40,V1544&lt;75,W1544&lt;35),0.3,0)+IF(AND(V1544&gt;=40,V1544&lt;75,W1544&gt;=35,W1544&lt;75),0.23,0)+IF(AND(V1544&gt;=40,V1544&lt;75,W1544&gt;=75,W1544&lt;120),0.17,0)+IF(AND(V1544&gt;=40,V1544&lt;75,W1544&gt;=120),0.12,0)+IF(AND(V1544&gt;=75,V1544&lt;175,W1544&lt;35),0.3,0)+IF(AND(V1544&gt;=75,V1544&lt;=175,W1544&gt;=35,W1544&lt;65),0.23,0)+IF(AND(V1544&gt;=75,V1544&lt;=175,W1544&gt;=65,W1544&lt;110),0.17,0)+IF(AND(V1544&gt;=75,V1544&lt;=175,W1544&gt;=110),0.12,0)+IF(AND(V1544&gt;175,W1544&lt;25),0.3,0)+IF(AND(V1544&gt;175,W1544&gt;=25,W1544&lt;55),0.23,0)+IF(AND(V1544&gt;175,W1544&gt;=55,W1544&lt;95),0.17,0)+IF(AND(V1544&gt;175,W1544&gt;=95),0.12,0),
IF(AF1544="DoEVLo",IF(AND(V1544&lt;20,W1544&lt;55),0.25,0)+IF(AND(V1544&lt;20,W1544&gt;=55,W1544&lt;105),0.2,0)+IF(AND(V1544&lt;20,W1544&gt;=105),0.15,0)+IF(AND(V1544&gt;=20,V1544&lt;40,W1544&lt;45),0.25,0)+IF(AND(V1544&gt;=20,V1544&lt;40,W1544&gt;=45,W1544&lt;95),0.2,0)+IF(AND(V1544&gt;=20,V1544&lt;40,W1544&gt;=95),0.15,0)+IF(AND(V1544&gt;=40,V1544&lt;75,W1544&lt;35),0.25,0)+IF(AND(V1544&gt;=40,V1544&lt;75,W1544&gt;=35,W1544&lt;75),0.2,0)+IF(AND(V1544&gt;=40,V1544&lt;75,W1544&gt;=75,W1544&lt;120),0.15,0)+IF(AND(V1544&gt;=40,V1544&lt;75,W1544&gt;=120),0.1,0)+IF(AND(V1544&gt;=75,V1544&lt;175,W1544&lt;35),0.25,0)+IF(AND(V1544&gt;=75,V1544&lt;=175,W1544&gt;=35,W1544&lt;65),0.2,0)+IF(AND(V1544&gt;=75,V1544&lt;=175,W1544&gt;=65,W1544&lt;110),0.15,0)+IF(AND(V1544&gt;=75,V1544&lt;=175,W1544&gt;=110),0.1,0)+IF(AND(V1544&gt;175,W1544&lt;25),0.25,0)+IF(AND(V1544&gt;175,W1544&gt;=25,W1544&lt;55),0.2,0)+IF(AND(V1544&gt;175,W1544&gt;=55,W1544&lt;95),0.15,0)+IF(AND(V1544&gt;175,W1544&gt;=95),0.1,0))))))))))))))))))))</f>
        <v>0.23</v>
      </c>
      <c r="Y1544" s="30">
        <f>IF(AG1544="None",0,IF(AG1544="Fix5",0.05, IF(AG1544="Fix6.25",0.0625,IF(AG1544="Fix3.75",0.0375, IF(AG1544="Fix11",0.11, IF(AG1544="Fix10",0.1,IF(AG1544="Fix3",0.03,0)))))))</f>
        <v>0</v>
      </c>
      <c r="Z1544" s="35">
        <f>IF(AND(AD1544="EUR", AE1544 = "USD"), T1544*U1544-AA1544-AB1544, T1544-AA1544-AB1544)</f>
        <v>2162.5142000000001</v>
      </c>
      <c r="AA1544" s="29">
        <f>IF(AND(AD1544="EUR", F1544="Without EV deal", AE1544="USD"), (T1544*X1544)*U1544,
IF(AND(AD1544="EUR", F1544="Without EV deal", AE1544="EUR"), (T1544*X1544),
IF(AND(AD1544="EUR",AE1544="USD"), (T1544*X1544)*U1544,
T1544*X1544)))</f>
        <v>645.94580000000008</v>
      </c>
      <c r="AB1544" s="36">
        <f>IF(AND(AD1544="EUR", F1544="Without EV deal", AE1544="USD"), (T1544*Y1544)*U1544,
IF(AND(AD1544="EUR", F1544="Without EV deal", AE1544="EUR"), (T1544*Y1544),
IF(AND(AD1544="EUR",AE1544="USD"), (T1544*Y1544)*U1544,
T1544*Y1544)))</f>
        <v>0</v>
      </c>
      <c r="AC1544" s="37" t="b">
        <v>1</v>
      </c>
      <c r="AD1544" s="82" t="str">
        <f>IF(OR(H1544="€0.25 Flash",
H1544="€0.25(nitro) new",
H1544="€1",
H1544="€2",
H1544="€2 (bf 01.08)",
H1544="€5",
H1544="€5 (1M)",
H1544="€5 (bf 01.08)",
H1544="€5 (bf 05.05)",
H1544="€5 Nitro",
H1544="€5(wx) new",
H1544="€10",
H1544="€10 (1M)",
H1544="€10 (bf 01.08)",
H1544="€10 (bf 05.05)",
H1544="€10 (MP)",
H1544="€10 (old)",
H1544="€10 Nitro (bf 05.05)",
H1544="€10 Nitro (old)",
H1544="€10(wx) new",
H1544="€20",
H1544="€25",
H1544="€25 (bf 01.08)",
H1544="€25 (bf 05.05)",
H1544="€25 (MP)",
H1544="€25 (old)",
H1544="€25 Nitro",
H1544="€25 Nitro (bf 01.08)",
H1544="€25 Nitro (bf 05.05)",
H1544="€25(nitro) new",
H1544="€25(wx) new",
H1544="€50",
H1544="€50 (bf 01.08)",
H1544="€50 (bf 05.05)",
H1544="€50 (old)",
H1544="€50 Nitro",
H1544="€50 Nitro (bf 01.08)",
H1544="€50 Nitro (bf 05.05)",
H1544="€50(wx) new",
H1544="€100",
H1544="€100 (old)",
H1544="€100 Nitro",
H1544="€100 Nitro (old)",
H1544="€200",
H1544="€250",
H1544="€250 Nitro",
H1544="€500",
H1544="€500 Nitro"),"EUR", "USD")</f>
        <v>USD</v>
      </c>
      <c r="AE1544" s="83" t="s">
        <v>38</v>
      </c>
      <c r="AF1544" s="83" t="str">
        <f t="array" ref="AF1544">INDEX('Deal Info'!D:D, MATCH(A1544,'Deal Info'!A:A, 0))</f>
        <v>DoEV</v>
      </c>
      <c r="AG1544" s="84" t="str">
        <f t="array" ref="AG1544">INDEX('Deal Info'!G:G, MATCH(A1544,'Deal Info'!A:A, 0))</f>
        <v>None</v>
      </c>
    </row>
    <row r="1545" spans="1:33" ht="14.25" hidden="1" x14ac:dyDescent="0.2">
      <c r="A1545" s="18" t="str">
        <f t="array" ref="A1545">IF(G1545='Room Info'!$B$1, INDEX('Room Info'!$A$2:$A2446, MATCH(B1545,'Room Info'!$B$2:$B2446, 0)),IF(G1545='Room Info'!$C$1, INDEX('Room Info'!$A$2:$A2446, MATCH(B1545,'Room Info'!$C$2:$C2446, 0)),IF(G1545='Room Info'!$D$1, INDEX('Room Info'!$A$2:$A2446, MATCH(B1545,'Room Info'!$D$2:$D2446, 0)),IF(G1545='Room Info'!$E$1, INDEX('Room Info'!$A$2:$A2446, MATCH(B1545,'Room Info'!$E$2:$E2446, 0)),IF(G1545='Room Info'!$F$1, INDEX('Room Info'!$A$2:$A2446, MATCH(B1545,'Room Info'!$F$2:$F2446, 0)),IF(G1545='Room Info'!$H$1, INDEX('Room Info'!$A$2:$A2446, MATCH(B1545,'Room Info'!$H$2:$H2446, 0)),IF(G1545='Room Info'!$G$1, INDEX('Room Info'!$A$2:$A2446, MATCH(B1545,'Room Info'!$G$2:$G2446, 0)))))))))</f>
        <v>mdzr</v>
      </c>
      <c r="B1545" s="96" t="s">
        <v>231</v>
      </c>
      <c r="C1545" s="46">
        <v>44958</v>
      </c>
      <c r="D1545" s="46">
        <v>44985</v>
      </c>
      <c r="E1545" s="80">
        <v>44958</v>
      </c>
      <c r="F1545" s="45" t="s">
        <v>49</v>
      </c>
      <c r="G1545" s="125" t="s">
        <v>80</v>
      </c>
      <c r="H1545" s="49" t="s">
        <v>72</v>
      </c>
      <c r="I1545" s="49" t="s">
        <v>81</v>
      </c>
      <c r="J1545" s="39">
        <v>50</v>
      </c>
      <c r="K1545" s="51">
        <v>165</v>
      </c>
      <c r="L1545" s="52">
        <v>-1200</v>
      </c>
      <c r="M1545" s="62"/>
      <c r="N1545" s="28">
        <f>K1545*J1545</f>
        <v>8250</v>
      </c>
      <c r="O1545" s="65"/>
      <c r="P1545" s="29">
        <v>0</v>
      </c>
      <c r="Q1545" s="55"/>
      <c r="R1545" s="31">
        <f>M1545+Q1545*J1545*K1545*0.07</f>
        <v>0</v>
      </c>
      <c r="S1545" s="56">
        <v>-1338</v>
      </c>
      <c r="T1545" s="32">
        <f>IF(AND(AD1545="EUR", F1545="Without EV deal"), R1545 + L1545,
IF(AND(AD1545="USD", F1545="Without EV deal"), R1545 + L1545,
IF(AND(AD1545="EUR", F1545="Steel Phoenix"), R1545 + S1545/U1545,
R1545 + S1545)))</f>
        <v>-1338</v>
      </c>
      <c r="U1545" s="57"/>
      <c r="V1545" s="69">
        <v>20.820623342175065</v>
      </c>
      <c r="W1545" s="69">
        <v>70.625166971892668</v>
      </c>
      <c r="X1545" s="30">
        <f>IF(AF1545="DoEV",IF(AND(V1545&lt;20,W1545&lt;55),0.3,0)+IF(AND(V1545&lt;20,W1545&gt;=55,W1545&lt;105),0.23,0)+IF(AND(V1545&lt;20,W1545&gt;=105),0.17,0)+IF(AND(V1545&gt;=20,V1545&lt;40,W1545&lt;45),0.3,0)+IF(AND(V1545&gt;=20,V1545&lt;40,W1545&gt;=45,W1545&lt;95),0.23,0)+IF(AND(V1545&gt;=20,V1545&lt;40,W1545&gt;=95),0.17,0)+IF(AND(V1545&gt;=40,V1545&lt;75,W1545&lt;35),0.3,0)+IF(AND(V1545&gt;=40,V1545&lt;75,W1545&gt;=35,W1545&lt;75),0.23,0)+IF(AND(V1545&gt;=40,V1545&lt;75,W1545&gt;=75,W1545&lt;120),0.17,0)+IF(AND(V1545&gt;=40,V1545&lt;75,W1545&gt;=120),0.12,0)+IF(AND(V1545&gt;=75,V1545&lt;175,W1545&lt;35),0.3,0)+IF(AND(V1545&gt;=75,V1545&lt;=175,W1545&gt;=35,W1545&lt;65),0.23,0)+IF(AND(V1545&gt;=75,V1545&lt;=175,W1545&gt;=65,W1545&lt;110),0.17,0)+IF(AND(V1545&gt;=75,V1545&lt;=175,W1545&gt;=110),0.12,0)+IF(AND(V1545&gt;175,W1545&lt;25),0.3,0)+IF(AND(V1545&gt;175,W1545&gt;=25,W1545&lt;55),0.23,0)+IF(AND(V1545&gt;175,W1545&gt;=55,W1545&lt;95),0.17,0)+IF(AND(V1545&gt;175,W1545&gt;=95),0.12,0),
IF(AF1545="Fix15",0.15,
IF(AF1545="Fix5",0.05,
IF(AF1545="Fix18.75",0.1875,
IF(AF1545="Fix11.25",0.1125,
IF(AF1545="Fix10",0.1,
IF(AF1545="Fix9",0.09,
IF(AF1545="Fix12",0.12,
IF(AF1545="Fix19",0.19,
IF(AF1545="DoEV2017",IF(AND(W1545&lt;74),0.2,0)+IF(AND(W1545&gt;=74),0.17,0),
IF(AF1545="SF",IF(AND(V1545&lt;20,W1545&lt;89),0.3,0)+IF(AND(V1545&lt;20,W1545&gt;=89),0.25,0)+IF(AND(V1545&gt;=20,V1545&lt;40,W1545&lt;74),0.3,0)+IF(AND(V1545&gt;=20,V1545&lt;40,W1545&gt;=75),0.22,0)+IF(AND(V1545&gt;=40,V1545&lt;75,W1545&lt;75),0.26,0)+IF(AND(V1545&gt;=40,V1545&lt;75,W1545&gt;=75),0.22,0)+IF(V1545&gt;=75,0.22,0),
IF(AF1545="DoEVold",IF(AND(V1545&lt;40,W1545&lt;35),0.35,0)+IF(AND(V1545&lt;40,W1545&gt;=35,W1545&lt;75),0.25,0)+IF(AND(V1545&lt;40,W1545&gt;=75),0.17,0)+IF(AND(V1545&gt;=40,V1545&lt;75,W1545&lt;25),0.35,0)+IF(AND(V1545&gt;=40,V1545&lt;75,W1545&gt;=25,W1545&lt;65),0.25,0)+IF(AND(V1545&gt;=40,V1545&lt;75,W1545&gt;=65,W1545&lt;100),0.17,0)+IF(AND(V1545&gt;=40,V1545&lt;75,W1545&gt;=100),0.1,0)+IF(AND(V1545&gt;=75,W1545&lt;25),0.35,0)+IF(AND(V1545&gt;=75,W1545&gt;=25,W1545&lt;60),0.25,0)+IF(AND(V1545&gt;=75,W1545&gt;=60,W1545&lt;95),0.17,0)+IF(AND(V1545&gt;=75,W1545&gt;=95),0.1,0),
IF(AF1545="DoEVold15",IF(AND(V1545&lt;=40,W1545&lt;35),0.35,0)+IF(AND(V1545&lt;=40,W1545&gt;=35,W1545&lt;75),0.25,0)+IF(AND(V1545&lt;=40,W1545&gt;=75,W1545&lt;120),0.17,0)+IF(AND(V1545&lt;=40,W1545&gt;=120),0.15,0)+IF(AND(V1545&gt;40,V1545&lt;75,W1545&lt;25),0.35,0)+IF(AND(V1545&gt;=40,V1545&lt;75,W1545&gt;=25,W1545&lt;65),0.25,0)+IF(AND(V1545&gt;=40,V1545&lt;75,W1545&gt;=65,W1545&lt;100),0.17,0)+IF(AND(V1545&gt;=40,V1545&lt;75,W1545&gt;=100),0.1,0)+IF(AND(V1545&gt;=75,W1545&lt;25),0.35,0)+IF(AND(V1545&gt;=75,W1545&gt;=25,W1545&lt;60),0.25,0)+IF(AND(V1545&gt;=75,W1545&gt;=60,W1545&lt;95),0.17,0)+IF(AND(V1545&gt;=75,W1545&gt;=95),0.1,0),
IF(AF1545="DoEVba",IF(AND(V1545&lt;20,W1545&lt;105),0.2,0)+IF(AND(V1545&lt;20,W1545&gt;=105),0.15,0)+IF(AND(V1545&gt;=20,V1545&lt;40,W1545&lt;95),0.2,0)+IF(AND(V1545&gt;=20,V1545&lt;40,W1545&gt;=95,W1545&lt;150),0.15,0)+IF(AND(V1545&gt;=20,V1545&lt;40,W1545&gt;=150),0.12,0)+IF(AND(V1545&gt;=40,V1545&lt;75,W1545&lt;75),0.2,0)+IF(AND(V1545&gt;=40,V1545&lt;75,W1545&gt;=75,W1545&lt;120),0.15,0)+IF(AND(V1545&gt;=40,V1545&lt;75,W1545&gt;=120),0.12,0)+IF(AND(V1545&gt;=75,V1545&lt;175,W1545&lt;65),0.2,0)+IF(AND(V1545&gt;=75,V1545&lt;175,W1545&gt;=65,W1545&lt;110),0.15,0)+IF(AND(V1545&gt;=75,V1545&lt;175,W1545&gt;=110),0.12,0)+IF(AND(V1545&gt;=175,W1545&lt;55),0.2,0)+IF(AND(V1545&gt;=175,W1545&gt;=55,W1545&lt;95),0.15,0)+IF(AND(V1545&gt;=175,W1545&gt;=95),0.12,0),
IF(AF1545="DoEVku",IF(AND(V1545&lt;20,W1545&lt;55),0.23,0)+IF(AND(V1545&lt;20,W1545&gt;=55,W1545&lt;105),0.2,0)+IF(AND(V1545&lt;20,W1545&gt;=105),0.17,0)+IF(AND(V1545&gt;=20,V1545&lt;40,W1545&lt;45),0.23,0)+IF(AND(V1545&gt;=20,V1545&lt;40,W1545&gt;=45,W1545&lt;95),0.2,0)+IF(AND(V1545&gt;=20,V1545&lt;40,W1545&gt;=95,W1545&lt;=150),0.17,0)+IF(AND(V1545&gt;=20,V1545&lt;40,W1545&gt;=150),0.12,0)+IF(AND(V1545&gt;=40,V1545&lt;75,W1545&lt;35),0.23,0)+IF(AND(V1545&gt;=40,V1545&lt;75,W1545&gt;=35,W1545&lt;75),0.2,0)+IF(AND(V1545&gt;=40,V1545&lt;75,W1545&gt;=75,W1545&lt;120),0.17,0)+IF(AND(V1545&gt;=40,V1545&lt;75,W1545&gt;=120),0.12,0)+IF(AND(V1545&gt;=75,V1545&lt;175,W1545&lt;35),0.23,0)+IF(AND(V1545&gt;=75,V1545&lt;=175,W1545&gt;=35,W1545&lt;65),0.2,0)+IF(AND(V1545&gt;=75,V1545&lt;=175,W1545&gt;=65,W1545&lt;110),0.17,0)+IF(AND(V1545&gt;=75,V1545&lt;=175,W1545&gt;=110),0.12,0)+IF(AND(V1545&gt;175,W1545&lt;25),0.23,0)+IF(AND(V1545&gt;175,W1545&gt;=25,W1545&lt;55),0.2,0)+IF(AND(V1545&gt;175,W1545&gt;=55,W1545&lt;95),0.17,0)+IF(AND(V1545&gt;175,W1545&gt;=95),0.12,0),
IF(AF1545="DoEVs1",IF(AND(V1545&lt;20,W1545&lt;55),0.3,0)+IF(AND(V1545&lt;20,W1545&gt;=55,W1545&lt;105),0.23,0)+IF(AND(V1545&lt;20,W1545&gt;=105),0.17,0)+IF(AND(V1545&gt;=20,V1545&lt;40,W1545&lt;45),0.3,0)+IF(AND(V1545&gt;=20,V1545&lt;40,W1545&gt;=45,W1545&lt;95),0.23,0)+IF(AND(V1545&gt;=20,V1545&lt;40,W1545&gt;=95,W1545&lt;=150),0.17,0)+IF(AND(V1545&gt;=20,V1545&lt;40,W1545&gt;=150),0.12,0)+IF(AND(V1545&gt;=40,V1545&lt;75,W1545&lt;35),0.3,0)+IF(AND(V1545&gt;=40,V1545&lt;75,W1545&gt;=35,W1545&lt;75),0.23,0)+IF(AND(V1545&gt;=40,V1545&lt;75,W1545&gt;=75,W1545&lt;120),0.17,0)+IF(AND(V1545&gt;=40,V1545&lt;75,W1545&gt;=120),0.12,0)+IF(AND(V1545&gt;=75,V1545&lt;175,W1545&lt;35),0.3,0)+IF(AND(V1545&gt;=75,V1545&lt;=175,W1545&gt;=35,W1545&lt;65),0.23,0)+IF(AND(V1545&gt;=75,V1545&lt;=175,W1545&gt;=65,W1545&lt;110),0.17,0)+IF(AND(V1545&gt;=75,V1545&lt;=175,W1545&gt;=110),0.12,0)+IF(AND(V1545&gt;175,W1545&lt;25),0.3,0)+IF(AND(V1545&gt;175,W1545&gt;=25,W1545&lt;55),0.23,0)+IF(AND(V1545&gt;175,W1545&gt;=55,W1545&lt;95),0.17,0)+IF(AND(V1545&gt;175,W1545&gt;=95),0.12,0),
IF(AF1545="DoEVsu",IF(AND(V1545&lt;20,W1545&lt;55),0.3,0)+IF(AND(V1545&lt;20,W1545&gt;=55,W1545&lt;105),0.23,0)+IF(AND(V1545&lt;20,W1545&gt;=105),0.17,0)+IF(AND(V1545&gt;=20,V1545&lt;40,W1545&lt;45),0.3,0)+IF(AND(V1545&gt;=20,V1545&lt;40,W1545&gt;=45,W1545&lt;95),0.23,0)+IF(AND(V1545&gt;=20,V1545&lt;40,W1545&gt;=95,W1545&lt;=250),0.17,0)+IF(AND(V1545&gt;=20,V1545&lt;40,W1545&gt;=250),0.12,0)+IF(AND(V1545&gt;=40,V1545&lt;75,W1545&lt;35),0.3,0)+IF(AND(V1545&gt;=40,V1545&lt;75,W1545&gt;=35,W1545&lt;75),0.23,0)+IF(AND(V1545&gt;=40,V1545&lt;75,W1545&gt;=75,W1545&lt;120),0.17,0)+IF(AND(V1545&gt;=40,V1545&lt;75,W1545&gt;=120),0.12,0)+IF(AND(V1545&gt;=75,V1545&lt;175,W1545&lt;35),0.3,0)+IF(AND(V1545&gt;=75,V1545&lt;=175,W1545&gt;=35,W1545&lt;65),0.23,0)+IF(AND(V1545&gt;=75,V1545&lt;=175,W1545&gt;=65,W1545&lt;110),0.17,0)+IF(AND(V1545&gt;=75,V1545&lt;=175,W1545&gt;=110),0.12,0)+IF(AND(V1545&gt;175,W1545&lt;25),0.3,0)+IF(AND(V1545&gt;175,W1545&gt;=25,W1545&lt;55),0.23,0)+IF(AND(V1545&gt;175,W1545&gt;=55,W1545&lt;95),0.17,0)+IF(AND(V1545&gt;175,W1545&gt;=95),0.12,0),
IF(AF1545="DoEVni",IF(AND(V1545&lt;20,W1545&lt;55),0.3,0)+IF(AND(V1545&lt;20,W1545&gt;=55,W1545&lt;105),0.23,0)+IF(AND(V1545&lt;20,W1545&gt;=105),0.17,0)+IF(AND(V1545&gt;=20,V1545&lt;40,W1545&lt;45),0.3,0)+IF(AND(V1545&gt;=20,V1545&lt;40,W1545&gt;=45,W1545&lt;95),0.23,0)+IF(AND(V1545&gt;=20,V1545&lt;40,W1545&gt;=95,W1545&lt;=200),0.17,0)+IF(AND(V1545&gt;=20,V1545&lt;40,W1545&gt;=200),0.12,0)+IF(AND(V1545&gt;=40,V1545&lt;75,W1545&lt;35),0.3,0)+IF(AND(V1545&gt;=40,V1545&lt;75,W1545&gt;=35,W1545&lt;75),0.23,0)+IF(AND(V1545&gt;=40,V1545&lt;75,W1545&gt;=75,W1545&lt;120),0.17,0)+IF(AND(V1545&gt;=40,V1545&lt;75,W1545&gt;=120),0.12,0)+IF(AND(V1545&gt;=75,V1545&lt;175,W1545&lt;35),0.3,0)+IF(AND(V1545&gt;=75,V1545&lt;=175,W1545&gt;=35,W1545&lt;65),0.23,0)+IF(AND(V1545&gt;=75,V1545&lt;=175,W1545&gt;=65,W1545&lt;110),0.17,0)+IF(AND(V1545&gt;=75,V1545&lt;=175,W1545&gt;=110),0.12,0)+IF(AND(V1545&gt;175,W1545&lt;25),0.3,0)+IF(AND(V1545&gt;175,W1545&gt;=25,W1545&lt;55),0.23,0)+IF(AND(V1545&gt;175,W1545&gt;=55,W1545&lt;95),0.17,0)+IF(AND(V1545&gt;175,W1545&gt;=95),0.12,0),
IF(AF1545="DoEVLo",IF(AND(V1545&lt;20,W1545&lt;55),0.25,0)+IF(AND(V1545&lt;20,W1545&gt;=55,W1545&lt;105),0.2,0)+IF(AND(V1545&lt;20,W1545&gt;=105),0.15,0)+IF(AND(V1545&gt;=20,V1545&lt;40,W1545&lt;45),0.25,0)+IF(AND(V1545&gt;=20,V1545&lt;40,W1545&gt;=45,W1545&lt;95),0.2,0)+IF(AND(V1545&gt;=20,V1545&lt;40,W1545&gt;=95),0.15,0)+IF(AND(V1545&gt;=40,V1545&lt;75,W1545&lt;35),0.25,0)+IF(AND(V1545&gt;=40,V1545&lt;75,W1545&gt;=35,W1545&lt;75),0.2,0)+IF(AND(V1545&gt;=40,V1545&lt;75,W1545&gt;=75,W1545&lt;120),0.15,0)+IF(AND(V1545&gt;=40,V1545&lt;75,W1545&gt;=120),0.1,0)+IF(AND(V1545&gt;=75,V1545&lt;175,W1545&lt;35),0.25,0)+IF(AND(V1545&gt;=75,V1545&lt;=175,W1545&gt;=35,W1545&lt;65),0.2,0)+IF(AND(V1545&gt;=75,V1545&lt;=175,W1545&gt;=65,W1545&lt;110),0.15,0)+IF(AND(V1545&gt;=75,V1545&lt;=175,W1545&gt;=110),0.1,0)+IF(AND(V1545&gt;175,W1545&lt;25),0.25,0)+IF(AND(V1545&gt;175,W1545&gt;=25,W1545&lt;55),0.2,0)+IF(AND(V1545&gt;175,W1545&gt;=55,W1545&lt;95),0.15,0)+IF(AND(V1545&gt;175,W1545&gt;=95),0.1,0))))))))))))))))))))</f>
        <v>0.23</v>
      </c>
      <c r="Y1545" s="30">
        <f>IF(AG1545="None",0,IF(AG1545="Fix5",0.05, IF(AG1545="Fix6.25",0.0625,IF(AG1545="Fix3.75",0.0375, IF(AG1545="Fix11",0.11, IF(AG1545="Fix10",0.1,IF(AG1545="Fix3",0.03,0)))))))</f>
        <v>0</v>
      </c>
      <c r="Z1545" s="35">
        <f>IF(AND(AD1545="EUR", AE1545 = "USD"), T1545*U1545-AA1545-AB1545, T1545-AA1545-AB1545)</f>
        <v>-1030.26</v>
      </c>
      <c r="AA1545" s="29">
        <f>IF(AND(AD1545="EUR", F1545="Without EV deal", AE1545="USD"), (T1545*X1545)*U1545,
IF(AND(AD1545="EUR", F1545="Without EV deal", AE1545="EUR"), (T1545*X1545),
IF(AND(AD1545="EUR",AE1545="USD"), (T1545*X1545)*U1545,
T1545*X1545)))</f>
        <v>-307.74</v>
      </c>
      <c r="AB1545" s="36">
        <f>IF(AND(AD1545="EUR", F1545="Without EV deal", AE1545="USD"), (T1545*Y1545)*U1545,
IF(AND(AD1545="EUR", F1545="Without EV deal", AE1545="EUR"), (T1545*Y1545),
IF(AND(AD1545="EUR",AE1545="USD"), (T1545*Y1545)*U1545,
T1545*Y1545)))</f>
        <v>0</v>
      </c>
      <c r="AC1545" s="37" t="b">
        <v>1</v>
      </c>
      <c r="AD1545" s="82" t="str">
        <f>IF(OR(H1545="€0.25 Flash",
H1545="€0.25(nitro) new",
H1545="€1",
H1545="€2",
H1545="€2 (bf 01.08)",
H1545="€5",
H1545="€5 (1M)",
H1545="€5 (bf 01.08)",
H1545="€5 (bf 05.05)",
H1545="€5 Nitro",
H1545="€5(wx) new",
H1545="€10",
H1545="€10 (1M)",
H1545="€10 (bf 01.08)",
H1545="€10 (bf 05.05)",
H1545="€10 (MP)",
H1545="€10 (old)",
H1545="€10 Nitro (bf 05.05)",
H1545="€10 Nitro (old)",
H1545="€10(wx) new",
H1545="€20",
H1545="€25",
H1545="€25 (bf 01.08)",
H1545="€25 (bf 05.05)",
H1545="€25 (MP)",
H1545="€25 (old)",
H1545="€25 Nitro",
H1545="€25 Nitro (bf 01.08)",
H1545="€25 Nitro (bf 05.05)",
H1545="€25(nitro) new",
H1545="€25(wx) new",
H1545="€50",
H1545="€50 (bf 01.08)",
H1545="€50 (bf 05.05)",
H1545="€50 (old)",
H1545="€50 Nitro",
H1545="€50 Nitro (bf 01.08)",
H1545="€50 Nitro (bf 05.05)",
H1545="€50(wx) new",
H1545="€100",
H1545="€100 (old)",
H1545="€100 Nitro",
H1545="€100 Nitro (old)",
H1545="€200",
H1545="€250",
H1545="€250 Nitro",
H1545="€500",
H1545="€500 Nitro"),"EUR", "USD")</f>
        <v>USD</v>
      </c>
      <c r="AE1545" s="83" t="s">
        <v>38</v>
      </c>
      <c r="AF1545" s="83" t="str">
        <f t="array" ref="AF1545">INDEX('Deal Info'!D:D, MATCH(A1545,'Deal Info'!A:A, 0))</f>
        <v>DoEV</v>
      </c>
      <c r="AG1545" s="84" t="str">
        <f t="array" ref="AG1545">INDEX('Deal Info'!G:G, MATCH(A1545,'Deal Info'!A:A, 0))</f>
        <v>None</v>
      </c>
    </row>
    <row r="1546" spans="1:33" ht="18" customHeight="1" x14ac:dyDescent="0.2">
      <c r="A1546" s="18" t="str">
        <f t="array" ref="A1546">IF(G1546='Room Info'!$B$1, INDEX('Room Info'!$A$2:$A2446, MATCH(B1546,'Room Info'!$B$2:$B2446, 0)),IF(G1546='Room Info'!$C$1, INDEX('Room Info'!$A$2:$A2446, MATCH(B1546,'Room Info'!$C$2:$C2446, 0)),IF(G1546='Room Info'!$D$1, INDEX('Room Info'!$A$2:$A2446, MATCH(B1546,'Room Info'!$D$2:$D2446, 0)),IF(G1546='Room Info'!$E$1, INDEX('Room Info'!$A$2:$A2446, MATCH(B1546,'Room Info'!$E$2:$E2446, 0)),IF(G1546='Room Info'!$F$1, INDEX('Room Info'!$A$2:$A2446, MATCH(B1546,'Room Info'!$F$2:$F2446, 0)),IF(G1546='Room Info'!$H$1, INDEX('Room Info'!$A$2:$A2446, MATCH(B1546,'Room Info'!$H$2:$H2446, 0)),IF(G1546='Room Info'!$G$1, INDEX('Room Info'!$A$2:$A2446, MATCH(B1546,'Room Info'!$G$2:$G2446, 0)))))))))</f>
        <v>eternity1</v>
      </c>
      <c r="B1546" s="130" t="s">
        <v>180</v>
      </c>
      <c r="C1546" s="86">
        <v>44947</v>
      </c>
      <c r="D1546" s="87">
        <v>44977</v>
      </c>
      <c r="E1546" s="47">
        <v>44958</v>
      </c>
      <c r="F1546" s="22" t="s">
        <v>34</v>
      </c>
      <c r="G1546" s="130" t="s">
        <v>61</v>
      </c>
      <c r="H1546" s="81" t="s">
        <v>201</v>
      </c>
      <c r="I1546" s="81" t="s">
        <v>101</v>
      </c>
      <c r="J1546" s="154">
        <v>10</v>
      </c>
      <c r="K1546" s="88">
        <v>4489</v>
      </c>
      <c r="L1546" s="89">
        <v>1430</v>
      </c>
      <c r="M1546" s="121">
        <v>1427</v>
      </c>
      <c r="N1546" s="28">
        <f>K1546*J1546</f>
        <v>44890</v>
      </c>
      <c r="O1546" s="130">
        <v>197516</v>
      </c>
      <c r="P1546" s="29">
        <v>44</v>
      </c>
      <c r="Q1546" s="78"/>
      <c r="R1546" s="31">
        <f>M1546+Q1546</f>
        <v>1427</v>
      </c>
      <c r="S1546" s="119">
        <v>-237</v>
      </c>
      <c r="T1546" s="32">
        <f>IF(AND(AD1546="EUR", F1546="Without EV deal"), R1546 + L1546,
IF(AND(AD1546="USD", F1546="Without EV deal"), R1546 + L1546,
IF(AND(AD1546="EUR", F1546="Steel Phoenix"), R1546 + S1546/U1546,
R1546 + S1546)))</f>
        <v>1204.8819119025304</v>
      </c>
      <c r="U1546" s="33">
        <v>1.0669999999999999</v>
      </c>
      <c r="V1546" s="58">
        <v>13</v>
      </c>
      <c r="W1546" s="58">
        <v>38</v>
      </c>
      <c r="X1546" s="78">
        <f>IF(AF1546="DoEV",IF(AND(V1546&lt;20,W1546&lt;55),0.3,0)+IF(AND(V1546&lt;20,W1546&gt;=55,W1546&lt;105),0.23,0)+IF(AND(V1546&lt;20,W1546&gt;=105),0.17,0)+IF(AND(V1546&gt;=20,V1546&lt;40,W1546&lt;45),0.3,0)+IF(AND(V1546&gt;=20,V1546&lt;40,W1546&gt;=45,W1546&lt;95),0.23,0)+IF(AND(V1546&gt;=20,V1546&lt;40,W1546&gt;=95),0.17,0)+IF(AND(V1546&gt;=40,V1546&lt;75,W1546&lt;35),0.3,0)+IF(AND(V1546&gt;=40,V1546&lt;75,W1546&gt;=35,W1546&lt;75),0.23,0)+IF(AND(V1546&gt;=40,V1546&lt;75,W1546&gt;=75,W1546&lt;120),0.17,0)+IF(AND(V1546&gt;=40,V1546&lt;75,W1546&gt;=120),0.12,0)+IF(AND(V1546&gt;=75,V1546&lt;175,W1546&lt;35),0.3,0)+IF(AND(V1546&gt;=75,V1546&lt;=175,W1546&gt;=35,W1546&lt;65),0.23,0)+IF(AND(V1546&gt;=75,V1546&lt;=175,W1546&gt;=65,W1546&lt;110),0.17,0)+IF(AND(V1546&gt;=75,V1546&lt;=175,W1546&gt;=110),0.12,0)+IF(AND(V1546&gt;175,W1546&lt;25),0.3,0)+IF(AND(V1546&gt;175,W1546&gt;=25,W1546&lt;55),0.23,0)+IF(AND(V1546&gt;175,W1546&gt;=55,W1546&lt;95),0.17,0)+IF(AND(V1546&gt;175,W1546&gt;=95),0.12,0),
IF(AF1546="Fix15",0.15,
IF(AF1546="Fix5",0.05,
IF(AF1546="Fix18.75",0.1875,
IF(AF1546="Fix11.25",0.1125,
IF(AF1546="Fix10",0.1,
IF(AF1546="Fix9",0.09,
IF(AF1546="Fix12",0.12,
IF(AF1546="Fix19",0.19,
IF(AF1546="DoEV2017",IF(AND(W1546&lt;74),0.2,0)+IF(AND(W1546&gt;=74),0.17,0),
IF(AF1546="SF",IF(AND(V1546&lt;20,W1546&lt;89),0.3,0)+IF(AND(V1546&lt;20,W1546&gt;=89),0.25,0)+IF(AND(V1546&gt;=20,V1546&lt;40,W1546&lt;74),0.3,0)+IF(AND(V1546&gt;=20,V1546&lt;40,W1546&gt;=75),0.22,0)+IF(AND(V1546&gt;=40,V1546&lt;75,W1546&lt;75),0.26,0)+IF(AND(V1546&gt;=40,V1546&lt;75,W1546&gt;=75),0.22,0)+IF(V1546&gt;=75,0.22,0),
IF(AF1546="DoEVold",IF(AND(V1546&lt;40,W1546&lt;35),0.35,0)+IF(AND(V1546&lt;40,W1546&gt;=35,W1546&lt;75),0.25,0)+IF(AND(V1546&lt;40,W1546&gt;=75),0.17,0)+IF(AND(V1546&gt;=40,V1546&lt;75,W1546&lt;25),0.35,0)+IF(AND(V1546&gt;=40,V1546&lt;75,W1546&gt;=25,W1546&lt;65),0.25,0)+IF(AND(V1546&gt;=40,V1546&lt;75,W1546&gt;=65,W1546&lt;100),0.17,0)+IF(AND(V1546&gt;=40,V1546&lt;75,W1546&gt;=100),0.1,0)+IF(AND(V1546&gt;=75,W1546&lt;25),0.35,0)+IF(AND(V1546&gt;=75,W1546&gt;=25,W1546&lt;60),0.25,0)+IF(AND(V1546&gt;=75,W1546&gt;=60,W1546&lt;95),0.17,0)+IF(AND(V1546&gt;=75,W1546&gt;=95),0.1,0),
IF(AF1546="DoEVold15",IF(AND(V1546&lt;=40,W1546&lt;35),0.35,0)+IF(AND(V1546&lt;=40,W1546&gt;=35,W1546&lt;75),0.25,0)+IF(AND(V1546&lt;=40,W1546&gt;=75,W1546&lt;120),0.17,0)+IF(AND(V1546&lt;=40,W1546&gt;=120),0.15,0)+IF(AND(V1546&gt;40,V1546&lt;75,W1546&lt;25),0.35,0)+IF(AND(V1546&gt;=40,V1546&lt;75,W1546&gt;=25,W1546&lt;65),0.25,0)+IF(AND(V1546&gt;=40,V1546&lt;75,W1546&gt;=65,W1546&lt;100),0.17,0)+IF(AND(V1546&gt;=40,V1546&lt;75,W1546&gt;=100),0.1,0)+IF(AND(V1546&gt;=75,W1546&lt;25),0.35,0)+IF(AND(V1546&gt;=75,W1546&gt;=25,W1546&lt;60),0.25,0)+IF(AND(V1546&gt;=75,W1546&gt;=60,W1546&lt;95),0.17,0)+IF(AND(V1546&gt;=75,W1546&gt;=95),0.1,0),
IF(AF1546="DoEVba",IF(AND(V1546&lt;20,W1546&lt;105),0.2,0)+IF(AND(V1546&lt;20,W1546&gt;=105),0.15,0)+IF(AND(V1546&gt;=20,V1546&lt;40,W1546&lt;95),0.2,0)+IF(AND(V1546&gt;=20,V1546&lt;40,W1546&gt;=95,W1546&lt;150),0.15,0)+IF(AND(V1546&gt;=20,V1546&lt;40,W1546&gt;=150),0.12,0)+IF(AND(V1546&gt;=40,V1546&lt;75,W1546&lt;75),0.2,0)+IF(AND(V1546&gt;=40,V1546&lt;75,W1546&gt;=75,W1546&lt;120),0.15,0)+IF(AND(V1546&gt;=40,V1546&lt;75,W1546&gt;=120),0.12,0)+IF(AND(V1546&gt;=75,V1546&lt;175,W1546&lt;65),0.2,0)+IF(AND(V1546&gt;=75,V1546&lt;175,W1546&gt;=65,W1546&lt;110),0.15,0)+IF(AND(V1546&gt;=75,V1546&lt;175,W1546&gt;=110),0.12,0)+IF(AND(V1546&gt;=175,W1546&lt;55),0.2,0)+IF(AND(V1546&gt;=175,W1546&gt;=55,W1546&lt;95),0.15,0)+IF(AND(V1546&gt;=175,W1546&gt;=95),0.12,0),
IF(AF1546="DoEVku",IF(AND(V1546&lt;20,W1546&lt;55),0.23,0)+IF(AND(V1546&lt;20,W1546&gt;=55,W1546&lt;105),0.2,0)+IF(AND(V1546&lt;20,W1546&gt;=105),0.17,0)+IF(AND(V1546&gt;=20,V1546&lt;40,W1546&lt;45),0.23,0)+IF(AND(V1546&gt;=20,V1546&lt;40,W1546&gt;=45,W1546&lt;95),0.2,0)+IF(AND(V1546&gt;=20,V1546&lt;40,W1546&gt;=95,W1546&lt;=150),0.17,0)+IF(AND(V1546&gt;=20,V1546&lt;40,W1546&gt;=150),0.12,0)+IF(AND(V1546&gt;=40,V1546&lt;75,W1546&lt;35),0.23,0)+IF(AND(V1546&gt;=40,V1546&lt;75,W1546&gt;=35,W1546&lt;75),0.2,0)+IF(AND(V1546&gt;=40,V1546&lt;75,W1546&gt;=75,W1546&lt;120),0.17,0)+IF(AND(V1546&gt;=40,V1546&lt;75,W1546&gt;=120),0.12,0)+IF(AND(V1546&gt;=75,V1546&lt;175,W1546&lt;35),0.23,0)+IF(AND(V1546&gt;=75,V1546&lt;=175,W1546&gt;=35,W1546&lt;65),0.2,0)+IF(AND(V1546&gt;=75,V1546&lt;=175,W1546&gt;=65,W1546&lt;110),0.17,0)+IF(AND(V1546&gt;=75,V1546&lt;=175,W1546&gt;=110),0.12,0)+IF(AND(V1546&gt;175,W1546&lt;25),0.23,0)+IF(AND(V1546&gt;175,W1546&gt;=25,W1546&lt;55),0.2,0)+IF(AND(V1546&gt;175,W1546&gt;=55,W1546&lt;95),0.17,0)+IF(AND(V1546&gt;175,W1546&gt;=95),0.12,0),
IF(AF1546="DoEVs1",IF(AND(V1546&lt;20,W1546&lt;55),0.3,0)+IF(AND(V1546&lt;20,W1546&gt;=55,W1546&lt;105),0.23,0)+IF(AND(V1546&lt;20,W1546&gt;=105),0.17,0)+IF(AND(V1546&gt;=20,V1546&lt;40,W1546&lt;45),0.3,0)+IF(AND(V1546&gt;=20,V1546&lt;40,W1546&gt;=45,W1546&lt;95),0.23,0)+IF(AND(V1546&gt;=20,V1546&lt;40,W1546&gt;=95,W1546&lt;=150),0.17,0)+IF(AND(V1546&gt;=20,V1546&lt;40,W1546&gt;=150),0.12,0)+IF(AND(V1546&gt;=40,V1546&lt;75,W1546&lt;35),0.3,0)+IF(AND(V1546&gt;=40,V1546&lt;75,W1546&gt;=35,W1546&lt;75),0.23,0)+IF(AND(V1546&gt;=40,V1546&lt;75,W1546&gt;=75,W1546&lt;120),0.17,0)+IF(AND(V1546&gt;=40,V1546&lt;75,W1546&gt;=120),0.12,0)+IF(AND(V1546&gt;=75,V1546&lt;175,W1546&lt;35),0.3,0)+IF(AND(V1546&gt;=75,V1546&lt;=175,W1546&gt;=35,W1546&lt;65),0.23,0)+IF(AND(V1546&gt;=75,V1546&lt;=175,W1546&gt;=65,W1546&lt;110),0.17,0)+IF(AND(V1546&gt;=75,V1546&lt;=175,W1546&gt;=110),0.12,0)+IF(AND(V1546&gt;175,W1546&lt;25),0.3,0)+IF(AND(V1546&gt;175,W1546&gt;=25,W1546&lt;55),0.23,0)+IF(AND(V1546&gt;175,W1546&gt;=55,W1546&lt;95),0.17,0)+IF(AND(V1546&gt;175,W1546&gt;=95),0.12,0),
IF(AF1546="DoEVsu",IF(AND(V1546&lt;20,W1546&lt;55),0.3,0)+IF(AND(V1546&lt;20,W1546&gt;=55,W1546&lt;105),0.23,0)+IF(AND(V1546&lt;20,W1546&gt;=105),0.17,0)+IF(AND(V1546&gt;=20,V1546&lt;40,W1546&lt;45),0.3,0)+IF(AND(V1546&gt;=20,V1546&lt;40,W1546&gt;=45,W1546&lt;95),0.23,0)+IF(AND(V1546&gt;=20,V1546&lt;40,W1546&gt;=95,W1546&lt;=250),0.17,0)+IF(AND(V1546&gt;=20,V1546&lt;40,W1546&gt;=250),0.12,0)+IF(AND(V1546&gt;=40,V1546&lt;75,W1546&lt;35),0.3,0)+IF(AND(V1546&gt;=40,V1546&lt;75,W1546&gt;=35,W1546&lt;75),0.23,0)+IF(AND(V1546&gt;=40,V1546&lt;75,W1546&gt;=75,W1546&lt;120),0.17,0)+IF(AND(V1546&gt;=40,V1546&lt;75,W1546&gt;=120),0.12,0)+IF(AND(V1546&gt;=75,V1546&lt;175,W1546&lt;35),0.3,0)+IF(AND(V1546&gt;=75,V1546&lt;=175,W1546&gt;=35,W1546&lt;65),0.23,0)+IF(AND(V1546&gt;=75,V1546&lt;=175,W1546&gt;=65,W1546&lt;110),0.17,0)+IF(AND(V1546&gt;=75,V1546&lt;=175,W1546&gt;=110),0.12,0)+IF(AND(V1546&gt;175,W1546&lt;25),0.3,0)+IF(AND(V1546&gt;175,W1546&gt;=25,W1546&lt;55),0.23,0)+IF(AND(V1546&gt;175,W1546&gt;=55,W1546&lt;95),0.17,0)+IF(AND(V1546&gt;175,W1546&gt;=95),0.12,0),
IF(AF1546="DoEVni",IF(AND(V1546&lt;20,W1546&lt;55),0.3,0)+IF(AND(V1546&lt;20,W1546&gt;=55,W1546&lt;105),0.23,0)+IF(AND(V1546&lt;20,W1546&gt;=105),0.17,0)+IF(AND(V1546&gt;=20,V1546&lt;40,W1546&lt;45),0.3,0)+IF(AND(V1546&gt;=20,V1546&lt;40,W1546&gt;=45,W1546&lt;95),0.23,0)+IF(AND(V1546&gt;=20,V1546&lt;40,W1546&gt;=95,W1546&lt;=200),0.17,0)+IF(AND(V1546&gt;=20,V1546&lt;40,W1546&gt;=200),0.12,0)+IF(AND(V1546&gt;=40,V1546&lt;75,W1546&lt;35),0.3,0)+IF(AND(V1546&gt;=40,V1546&lt;75,W1546&gt;=35,W1546&lt;75),0.23,0)+IF(AND(V1546&gt;=40,V1546&lt;75,W1546&gt;=75,W1546&lt;120),0.17,0)+IF(AND(V1546&gt;=40,V1546&lt;75,W1546&gt;=120),0.12,0)+IF(AND(V1546&gt;=75,V1546&lt;175,W1546&lt;35),0.3,0)+IF(AND(V1546&gt;=75,V1546&lt;=175,W1546&gt;=35,W1546&lt;65),0.23,0)+IF(AND(V1546&gt;=75,V1546&lt;=175,W1546&gt;=65,W1546&lt;110),0.17,0)+IF(AND(V1546&gt;=75,V1546&lt;=175,W1546&gt;=110),0.12,0)+IF(AND(V1546&gt;175,W1546&lt;25),0.3,0)+IF(AND(V1546&gt;175,W1546&gt;=25,W1546&lt;55),0.23,0)+IF(AND(V1546&gt;175,W1546&gt;=55,W1546&lt;95),0.17,0)+IF(AND(V1546&gt;175,W1546&gt;=95),0.12,0),
IF(AF1546="DoEVLo",IF(AND(V1546&lt;20,W1546&lt;55),0.25,0)+IF(AND(V1546&lt;20,W1546&gt;=55,W1546&lt;105),0.2,0)+IF(AND(V1546&lt;20,W1546&gt;=105),0.15,0)+IF(AND(V1546&gt;=20,V1546&lt;40,W1546&lt;45),0.25,0)+IF(AND(V1546&gt;=20,V1546&lt;40,W1546&gt;=45,W1546&lt;95),0.2,0)+IF(AND(V1546&gt;=20,V1546&lt;40,W1546&gt;=95),0.15,0)+IF(AND(V1546&gt;=40,V1546&lt;75,W1546&lt;35),0.25,0)+IF(AND(V1546&gt;=40,V1546&lt;75,W1546&gt;=35,W1546&lt;75),0.2,0)+IF(AND(V1546&gt;=40,V1546&lt;75,W1546&gt;=75,W1546&lt;120),0.15,0)+IF(AND(V1546&gt;=40,V1546&lt;75,W1546&gt;=120),0.1,0)+IF(AND(V1546&gt;=75,V1546&lt;175,W1546&lt;35),0.25,0)+IF(AND(V1546&gt;=75,V1546&lt;=175,W1546&gt;=35,W1546&lt;65),0.2,0)+IF(AND(V1546&gt;=75,V1546&lt;=175,W1546&gt;=65,W1546&lt;110),0.15,0)+IF(AND(V1546&gt;=75,V1546&lt;=175,W1546&gt;=110),0.1,0)+IF(AND(V1546&gt;175,W1546&lt;25),0.25,0)+IF(AND(V1546&gt;175,W1546&gt;=25,W1546&lt;55),0.2,0)+IF(AND(V1546&gt;175,W1546&gt;=55,W1546&lt;95),0.15,0)+IF(AND(V1546&gt;175,W1546&gt;=95),0.1,0))))))))))))))))))))</f>
        <v>0.3</v>
      </c>
      <c r="Y1546" s="30">
        <f>IF(AG1546="None",0,IF(AG1546="Fix5",0.05, IF(AG1546="Fix6.25",0.0625,IF(AG1546="Fix3.75",0.0375, IF(AG1546="Fix11",0.11, IF(AG1546="Fix10",0.1,IF(AG1546="Fix3",0.03,0)))))))</f>
        <v>0</v>
      </c>
      <c r="Z1546" s="35">
        <f>IF(AND(AD1546="EUR", AE1546 = "USD"), T1546*U1546-AA1546-AB1546, T1546-AA1546-AB1546)</f>
        <v>843.41733833177136</v>
      </c>
      <c r="AA1546" s="29">
        <f>IF(AND(AD1546="EUR", F1546="Without EV deal", AE1546="USD"), (T1546*X1546)*U1546,
IF(AND(AD1546="EUR", F1546="Without EV deal", AE1546="EUR"), (T1546*X1546),
IF(AND(AD1546="EUR",AE1546="USD"), (T1546*X1546)*U1546,
T1546*X1546)))</f>
        <v>361.46457357075911</v>
      </c>
      <c r="AB1546" s="36">
        <f>IF(AND(AD1546="EUR", F1546="Without EV deal", AE1546="USD"), (T1546*Y1546)*U1546,
IF(AND(AD1546="EUR", F1546="Without EV deal", AE1546="EUR"), (T1546*Y1546),
IF(AND(AD1546="EUR",AE1546="USD"), (T1546*Y1546)*U1546,
T1546*Y1546)))</f>
        <v>0</v>
      </c>
      <c r="AC1546" s="37" t="b">
        <v>1</v>
      </c>
      <c r="AD1546" s="61" t="str">
        <f>IF(OR(H1546="€0.25 Flash",
H1546="€0.25(nitro) new",
H1546="€1",
H1546="€2",
H1546="€2 (bf 01.08)",
H1546="€5",
H1546="€5 (1M)",
H1546="€5 (bf 01.08)",
H1546="€5 (bf 05.05)",
H1546="€5 Nitro",
H1546="€5(wx) new",
H1546="€10",
H1546="€10 (1M)",
H1546="€10 (bf 01.08)",
H1546="€10 (bf 05.05)",
H1546="€10 (MP)",
H1546="€10 (old)",
H1546="€10 Nitro (bf 05.05)",
H1546="€10 Nitro (old)",
H1546="€10(wx) new",
H1546="€20",
H1546="€25",
H1546="€25 (bf 01.08)",
H1546="€25 (bf 05.05)",
H1546="€25 (MP)",
H1546="€25 (old)",
H1546="€25 Nitro",
H1546="€25 Nitro (bf 01.08)",
H1546="€25 Nitro (bf 05.05)",
H1546="€25(nitro) new",
H1546="€25(wx) new",
H1546="€50",
H1546="€50 (bf 01.08)",
H1546="€50 (bf 05.05)",
H1546="€50 (old)",
H1546="€50 Nitro",
H1546="€50 Nitro (bf 01.08)",
H1546="€50 Nitro (bf 05.05)",
H1546="€50(wx) new",
H1546="€100",
H1546="€100 (old)",
H1546="€100 Nitro",
H1546="€100 Nitro (old)",
H1546="€200",
H1546="€250",
H1546="€250 Nitro",
H1546="€500",
H1546="€500 Nitro"),"EUR", "USD")</f>
        <v>EUR</v>
      </c>
      <c r="AE1546" s="61" t="s">
        <v>50</v>
      </c>
      <c r="AF1546" s="37" t="str">
        <f t="array" ref="AF1546">INDEX('Deal Info'!D:D, MATCH(A1546,'Deal Info'!A:A, 0))</f>
        <v>DoEV</v>
      </c>
      <c r="AG1546" s="38" t="str">
        <f t="array" ref="AG1546">INDEX('Deal Info'!G:G, MATCH(A1546,'Deal Info'!A:A, 0))</f>
        <v>None</v>
      </c>
    </row>
    <row r="1547" spans="1:33" ht="14.25" x14ac:dyDescent="0.2">
      <c r="A1547" s="18" t="str">
        <f t="array" ref="A1547">IF(G1547='Room Info'!$B$1, INDEX('Room Info'!$A$2:$A2446, MATCH(B1547,'Room Info'!$B$2:$B2446, 0)),IF(G1547='Room Info'!$C$1, INDEX('Room Info'!$A$2:$A2446, MATCH(B1547,'Room Info'!$C$2:$C2446, 0)),IF(G1547='Room Info'!$D$1, INDEX('Room Info'!$A$2:$A2446, MATCH(B1547,'Room Info'!$D$2:$D2446, 0)),IF(G1547='Room Info'!$E$1, INDEX('Room Info'!$A$2:$A2446, MATCH(B1547,'Room Info'!$E$2:$E2446, 0)),IF(G1547='Room Info'!$F$1, INDEX('Room Info'!$A$2:$A2446, MATCH(B1547,'Room Info'!$F$2:$F2446, 0)),IF(G1547='Room Info'!$H$1, INDEX('Room Info'!$A$2:$A2446, MATCH(B1547,'Room Info'!$H$2:$H2446, 0)),IF(G1547='Room Info'!$G$1, INDEX('Room Info'!$A$2:$A2446, MATCH(B1547,'Room Info'!$G$2:$G2446, 0)))))))))</f>
        <v>Mackevgen</v>
      </c>
      <c r="B1547" s="45" t="s">
        <v>127</v>
      </c>
      <c r="C1547" s="46">
        <v>44958</v>
      </c>
      <c r="D1547" s="46">
        <v>44985</v>
      </c>
      <c r="E1547" s="90">
        <v>44958</v>
      </c>
      <c r="F1547" s="129" t="s">
        <v>49</v>
      </c>
      <c r="G1547" s="65" t="s">
        <v>61</v>
      </c>
      <c r="H1547" s="100" t="s">
        <v>55</v>
      </c>
      <c r="I1547" s="100" t="s">
        <v>101</v>
      </c>
      <c r="J1547" s="154">
        <v>10</v>
      </c>
      <c r="K1547" s="123">
        <v>250</v>
      </c>
      <c r="L1547" s="52">
        <v>-31</v>
      </c>
      <c r="M1547" s="53">
        <f>3034.25</f>
        <v>3034.25</v>
      </c>
      <c r="N1547" s="28">
        <f>K1547*J1547</f>
        <v>2500</v>
      </c>
      <c r="O1547" s="54">
        <v>14293</v>
      </c>
      <c r="P1547" s="29">
        <v>57.171999999999997</v>
      </c>
      <c r="Q1547" s="55"/>
      <c r="R1547" s="31">
        <f>M1547+Q1547*J1547*K1547*0.07</f>
        <v>3034.25</v>
      </c>
      <c r="S1547" s="56">
        <v>64</v>
      </c>
      <c r="T1547" s="32">
        <f>IF(AND(AD1547="EUR", F1547="Without EV deal"), R1547 + L1547,
IF(AND(AD1547="USD", F1547="Without EV deal"), R1547 + L1547,
IF(AND(AD1547="EUR", F1547="Steel Phoenix"), R1547 + S1547/U1547,
R1547 + S1547)))</f>
        <v>3098.25</v>
      </c>
      <c r="U1547" s="57">
        <v>1.0617000000000001</v>
      </c>
      <c r="V1547" s="69">
        <v>12.92317708</v>
      </c>
      <c r="W1547" s="69">
        <v>568.14976320000005</v>
      </c>
      <c r="X1547" s="78">
        <f>IF(AF1547="DoEV",IF(AND(V1547&lt;20,W1547&lt;55),0.3,0)+IF(AND(V1547&lt;20,W1547&gt;=55,W1547&lt;105),0.23,0)+IF(AND(V1547&lt;20,W1547&gt;=105),0.17,0)+IF(AND(V1547&gt;=20,V1547&lt;40,W1547&lt;45),0.3,0)+IF(AND(V1547&gt;=20,V1547&lt;40,W1547&gt;=45,W1547&lt;95),0.23,0)+IF(AND(V1547&gt;=20,V1547&lt;40,W1547&gt;=95),0.17,0)+IF(AND(V1547&gt;=40,V1547&lt;75,W1547&lt;35),0.3,0)+IF(AND(V1547&gt;=40,V1547&lt;75,W1547&gt;=35,W1547&lt;75),0.23,0)+IF(AND(V1547&gt;=40,V1547&lt;75,W1547&gt;=75,W1547&lt;120),0.17,0)+IF(AND(V1547&gt;=40,V1547&lt;75,W1547&gt;=120),0.12,0)+IF(AND(V1547&gt;=75,V1547&lt;175,W1547&lt;35),0.3,0)+IF(AND(V1547&gt;=75,V1547&lt;=175,W1547&gt;=35,W1547&lt;65),0.23,0)+IF(AND(V1547&gt;=75,V1547&lt;=175,W1547&gt;=65,W1547&lt;110),0.17,0)+IF(AND(V1547&gt;=75,V1547&lt;=175,W1547&gt;=110),0.12,0)+IF(AND(V1547&gt;175,W1547&lt;25),0.3,0)+IF(AND(V1547&gt;175,W1547&gt;=25,W1547&lt;55),0.23,0)+IF(AND(V1547&gt;175,W1547&gt;=55,W1547&lt;95),0.17,0)+IF(AND(V1547&gt;175,W1547&gt;=95),0.12,0),
IF(AF1547="Fix15",0.15,
IF(AF1547="Fix5",0.05,
IF(AF1547="Fix18.75",0.1875,
IF(AF1547="Fix11.25",0.1125,
IF(AF1547="Fix10",0.1,
IF(AF1547="Fix9",0.09,
IF(AF1547="Fix12",0.12,
IF(AF1547="Fix19",0.19,
IF(AF1547="DoEV2017",IF(AND(W1547&lt;74),0.2,0)+IF(AND(W1547&gt;=74),0.17,0),
IF(AF1547="SF",IF(AND(V1547&lt;20,W1547&lt;89),0.3,0)+IF(AND(V1547&lt;20,W1547&gt;=89),0.25,0)+IF(AND(V1547&gt;=20,V1547&lt;40,W1547&lt;74),0.3,0)+IF(AND(V1547&gt;=20,V1547&lt;40,W1547&gt;=75),0.22,0)+IF(AND(V1547&gt;=40,V1547&lt;75,W1547&lt;75),0.26,0)+IF(AND(V1547&gt;=40,V1547&lt;75,W1547&gt;=75),0.22,0)+IF(V1547&gt;=75,0.22,0),
IF(AF1547="DoEVold",IF(AND(V1547&lt;40,W1547&lt;35),0.35,0)+IF(AND(V1547&lt;40,W1547&gt;=35,W1547&lt;75),0.25,0)+IF(AND(V1547&lt;40,W1547&gt;=75),0.17,0)+IF(AND(V1547&gt;=40,V1547&lt;75,W1547&lt;25),0.35,0)+IF(AND(V1547&gt;=40,V1547&lt;75,W1547&gt;=25,W1547&lt;65),0.25,0)+IF(AND(V1547&gt;=40,V1547&lt;75,W1547&gt;=65,W1547&lt;100),0.17,0)+IF(AND(V1547&gt;=40,V1547&lt;75,W1547&gt;=100),0.1,0)+IF(AND(V1547&gt;=75,W1547&lt;25),0.35,0)+IF(AND(V1547&gt;=75,W1547&gt;=25,W1547&lt;60),0.25,0)+IF(AND(V1547&gt;=75,W1547&gt;=60,W1547&lt;95),0.17,0)+IF(AND(V1547&gt;=75,W1547&gt;=95),0.1,0),
IF(AF1547="DoEVold15",IF(AND(V1547&lt;=40,W1547&lt;35),0.35,0)+IF(AND(V1547&lt;=40,W1547&gt;=35,W1547&lt;75),0.25,0)+IF(AND(V1547&lt;=40,W1547&gt;=75,W1547&lt;120),0.17,0)+IF(AND(V1547&lt;=40,W1547&gt;=120),0.15,0)+IF(AND(V1547&gt;40,V1547&lt;75,W1547&lt;25),0.35,0)+IF(AND(V1547&gt;=40,V1547&lt;75,W1547&gt;=25,W1547&lt;65),0.25,0)+IF(AND(V1547&gt;=40,V1547&lt;75,W1547&gt;=65,W1547&lt;100),0.17,0)+IF(AND(V1547&gt;=40,V1547&lt;75,W1547&gt;=100),0.1,0)+IF(AND(V1547&gt;=75,W1547&lt;25),0.35,0)+IF(AND(V1547&gt;=75,W1547&gt;=25,W1547&lt;60),0.25,0)+IF(AND(V1547&gt;=75,W1547&gt;=60,W1547&lt;95),0.17,0)+IF(AND(V1547&gt;=75,W1547&gt;=95),0.1,0),
IF(AF1547="DoEVba",IF(AND(V1547&lt;20,W1547&lt;105),0.2,0)+IF(AND(V1547&lt;20,W1547&gt;=105),0.15,0)+IF(AND(V1547&gt;=20,V1547&lt;40,W1547&lt;95),0.2,0)+IF(AND(V1547&gt;=20,V1547&lt;40,W1547&gt;=95,W1547&lt;150),0.15,0)+IF(AND(V1547&gt;=20,V1547&lt;40,W1547&gt;=150),0.12,0)+IF(AND(V1547&gt;=40,V1547&lt;75,W1547&lt;75),0.2,0)+IF(AND(V1547&gt;=40,V1547&lt;75,W1547&gt;=75,W1547&lt;120),0.15,0)+IF(AND(V1547&gt;=40,V1547&lt;75,W1547&gt;=120),0.12,0)+IF(AND(V1547&gt;=75,V1547&lt;175,W1547&lt;65),0.2,0)+IF(AND(V1547&gt;=75,V1547&lt;175,W1547&gt;=65,W1547&lt;110),0.15,0)+IF(AND(V1547&gt;=75,V1547&lt;175,W1547&gt;=110),0.12,0)+IF(AND(V1547&gt;=175,W1547&lt;55),0.2,0)+IF(AND(V1547&gt;=175,W1547&gt;=55,W1547&lt;95),0.15,0)+IF(AND(V1547&gt;=175,W1547&gt;=95),0.12,0),
IF(AF1547="DoEVku",IF(AND(V1547&lt;20,W1547&lt;55),0.23,0)+IF(AND(V1547&lt;20,W1547&gt;=55,W1547&lt;105),0.2,0)+IF(AND(V1547&lt;20,W1547&gt;=105),0.17,0)+IF(AND(V1547&gt;=20,V1547&lt;40,W1547&lt;45),0.23,0)+IF(AND(V1547&gt;=20,V1547&lt;40,W1547&gt;=45,W1547&lt;95),0.2,0)+IF(AND(V1547&gt;=20,V1547&lt;40,W1547&gt;=95,W1547&lt;=150),0.17,0)+IF(AND(V1547&gt;=20,V1547&lt;40,W1547&gt;=150),0.12,0)+IF(AND(V1547&gt;=40,V1547&lt;75,W1547&lt;35),0.23,0)+IF(AND(V1547&gt;=40,V1547&lt;75,W1547&gt;=35,W1547&lt;75),0.2,0)+IF(AND(V1547&gt;=40,V1547&lt;75,W1547&gt;=75,W1547&lt;120),0.17,0)+IF(AND(V1547&gt;=40,V1547&lt;75,W1547&gt;=120),0.12,0)+IF(AND(V1547&gt;=75,V1547&lt;175,W1547&lt;35),0.23,0)+IF(AND(V1547&gt;=75,V1547&lt;=175,W1547&gt;=35,W1547&lt;65),0.2,0)+IF(AND(V1547&gt;=75,V1547&lt;=175,W1547&gt;=65,W1547&lt;110),0.17,0)+IF(AND(V1547&gt;=75,V1547&lt;=175,W1547&gt;=110),0.12,0)+IF(AND(V1547&gt;175,W1547&lt;25),0.23,0)+IF(AND(V1547&gt;175,W1547&gt;=25,W1547&lt;55),0.2,0)+IF(AND(V1547&gt;175,W1547&gt;=55,W1547&lt;95),0.17,0)+IF(AND(V1547&gt;175,W1547&gt;=95),0.12,0),
IF(AF1547="DoEVs1",IF(AND(V1547&lt;20,W1547&lt;55),0.3,0)+IF(AND(V1547&lt;20,W1547&gt;=55,W1547&lt;105),0.23,0)+IF(AND(V1547&lt;20,W1547&gt;=105),0.17,0)+IF(AND(V1547&gt;=20,V1547&lt;40,W1547&lt;45),0.3,0)+IF(AND(V1547&gt;=20,V1547&lt;40,W1547&gt;=45,W1547&lt;95),0.23,0)+IF(AND(V1547&gt;=20,V1547&lt;40,W1547&gt;=95,W1547&lt;=150),0.17,0)+IF(AND(V1547&gt;=20,V1547&lt;40,W1547&gt;=150),0.12,0)+IF(AND(V1547&gt;=40,V1547&lt;75,W1547&lt;35),0.3,0)+IF(AND(V1547&gt;=40,V1547&lt;75,W1547&gt;=35,W1547&lt;75),0.23,0)+IF(AND(V1547&gt;=40,V1547&lt;75,W1547&gt;=75,W1547&lt;120),0.17,0)+IF(AND(V1547&gt;=40,V1547&lt;75,W1547&gt;=120),0.12,0)+IF(AND(V1547&gt;=75,V1547&lt;175,W1547&lt;35),0.3,0)+IF(AND(V1547&gt;=75,V1547&lt;=175,W1547&gt;=35,W1547&lt;65),0.23,0)+IF(AND(V1547&gt;=75,V1547&lt;=175,W1547&gt;=65,W1547&lt;110),0.17,0)+IF(AND(V1547&gt;=75,V1547&lt;=175,W1547&gt;=110),0.12,0)+IF(AND(V1547&gt;175,W1547&lt;25),0.3,0)+IF(AND(V1547&gt;175,W1547&gt;=25,W1547&lt;55),0.23,0)+IF(AND(V1547&gt;175,W1547&gt;=55,W1547&lt;95),0.17,0)+IF(AND(V1547&gt;175,W1547&gt;=95),0.12,0),
IF(AF1547="DoEVsu",IF(AND(V1547&lt;20,W1547&lt;55),0.3,0)+IF(AND(V1547&lt;20,W1547&gt;=55,W1547&lt;105),0.23,0)+IF(AND(V1547&lt;20,W1547&gt;=105),0.17,0)+IF(AND(V1547&gt;=20,V1547&lt;40,W1547&lt;45),0.3,0)+IF(AND(V1547&gt;=20,V1547&lt;40,W1547&gt;=45,W1547&lt;95),0.23,0)+IF(AND(V1547&gt;=20,V1547&lt;40,W1547&gt;=95,W1547&lt;=250),0.17,0)+IF(AND(V1547&gt;=20,V1547&lt;40,W1547&gt;=250),0.12,0)+IF(AND(V1547&gt;=40,V1547&lt;75,W1547&lt;35),0.3,0)+IF(AND(V1547&gt;=40,V1547&lt;75,W1547&gt;=35,W1547&lt;75),0.23,0)+IF(AND(V1547&gt;=40,V1547&lt;75,W1547&gt;=75,W1547&lt;120),0.17,0)+IF(AND(V1547&gt;=40,V1547&lt;75,W1547&gt;=120),0.12,0)+IF(AND(V1547&gt;=75,V1547&lt;175,W1547&lt;35),0.3,0)+IF(AND(V1547&gt;=75,V1547&lt;=175,W1547&gt;=35,W1547&lt;65),0.23,0)+IF(AND(V1547&gt;=75,V1547&lt;=175,W1547&gt;=65,W1547&lt;110),0.17,0)+IF(AND(V1547&gt;=75,V1547&lt;=175,W1547&gt;=110),0.12,0)+IF(AND(V1547&gt;175,W1547&lt;25),0.3,0)+IF(AND(V1547&gt;175,W1547&gt;=25,W1547&lt;55),0.23,0)+IF(AND(V1547&gt;175,W1547&gt;=55,W1547&lt;95),0.17,0)+IF(AND(V1547&gt;175,W1547&gt;=95),0.12,0),
IF(AF1547="DoEVni",IF(AND(V1547&lt;20,W1547&lt;55),0.3,0)+IF(AND(V1547&lt;20,W1547&gt;=55,W1547&lt;105),0.23,0)+IF(AND(V1547&lt;20,W1547&gt;=105),0.17,0)+IF(AND(V1547&gt;=20,V1547&lt;40,W1547&lt;45),0.3,0)+IF(AND(V1547&gt;=20,V1547&lt;40,W1547&gt;=45,W1547&lt;95),0.23,0)+IF(AND(V1547&gt;=20,V1547&lt;40,W1547&gt;=95,W1547&lt;=200),0.17,0)+IF(AND(V1547&gt;=20,V1547&lt;40,W1547&gt;=200),0.12,0)+IF(AND(V1547&gt;=40,V1547&lt;75,W1547&lt;35),0.3,0)+IF(AND(V1547&gt;=40,V1547&lt;75,W1547&gt;=35,W1547&lt;75),0.23,0)+IF(AND(V1547&gt;=40,V1547&lt;75,W1547&gt;=75,W1547&lt;120),0.17,0)+IF(AND(V1547&gt;=40,V1547&lt;75,W1547&gt;=120),0.12,0)+IF(AND(V1547&gt;=75,V1547&lt;175,W1547&lt;35),0.3,0)+IF(AND(V1547&gt;=75,V1547&lt;=175,W1547&gt;=35,W1547&lt;65),0.23,0)+IF(AND(V1547&gt;=75,V1547&lt;=175,W1547&gt;=65,W1547&lt;110),0.17,0)+IF(AND(V1547&gt;=75,V1547&lt;=175,W1547&gt;=110),0.12,0)+IF(AND(V1547&gt;175,W1547&lt;25),0.3,0)+IF(AND(V1547&gt;175,W1547&gt;=25,W1547&lt;55),0.23,0)+IF(AND(V1547&gt;175,W1547&gt;=55,W1547&lt;95),0.17,0)+IF(AND(V1547&gt;175,W1547&gt;=95),0.12,0),
IF(AF1547="DoEVLo",IF(AND(V1547&lt;20,W1547&lt;55),0.25,0)+IF(AND(V1547&lt;20,W1547&gt;=55,W1547&lt;105),0.2,0)+IF(AND(V1547&lt;20,W1547&gt;=105),0.15,0)+IF(AND(V1547&gt;=20,V1547&lt;40,W1547&lt;45),0.25,0)+IF(AND(V1547&gt;=20,V1547&lt;40,W1547&gt;=45,W1547&lt;95),0.2,0)+IF(AND(V1547&gt;=20,V1547&lt;40,W1547&gt;=95),0.15,0)+IF(AND(V1547&gt;=40,V1547&lt;75,W1547&lt;35),0.25,0)+IF(AND(V1547&gt;=40,V1547&lt;75,W1547&gt;=35,W1547&lt;75),0.2,0)+IF(AND(V1547&gt;=40,V1547&lt;75,W1547&gt;=75,W1547&lt;120),0.15,0)+IF(AND(V1547&gt;=40,V1547&lt;75,W1547&gt;=120),0.1,0)+IF(AND(V1547&gt;=75,V1547&lt;175,W1547&lt;35),0.25,0)+IF(AND(V1547&gt;=75,V1547&lt;=175,W1547&gt;=35,W1547&lt;65),0.2,0)+IF(AND(V1547&gt;=75,V1547&lt;=175,W1547&gt;=65,W1547&lt;110),0.15,0)+IF(AND(V1547&gt;=75,V1547&lt;=175,W1547&gt;=110),0.1,0)+IF(AND(V1547&gt;175,W1547&lt;25),0.25,0)+IF(AND(V1547&gt;175,W1547&gt;=25,W1547&lt;55),0.2,0)+IF(AND(V1547&gt;175,W1547&gt;=55,W1547&lt;95),0.15,0)+IF(AND(V1547&gt;175,W1547&gt;=95),0.1,0))))))))))))))))))))</f>
        <v>0.17</v>
      </c>
      <c r="Y1547" s="30">
        <f>IF(AG1547="None",0,IF(AG1547="Fix5",0.05, IF(AG1547="Fix6.25",0.0625,IF(AG1547="Fix3.75",0.0375, IF(AG1547="Fix11",0.11, IF(AG1547="Fix10",0.1,IF(AG1547="Fix3",0.03,0)))))))</f>
        <v>0</v>
      </c>
      <c r="Z1547" s="35">
        <f>IF(AND(AD1547="EUR", AE1547 = "USD"), T1547*U1547-AA1547-AB1547, T1547-AA1547-AB1547)</f>
        <v>2571.5475000000001</v>
      </c>
      <c r="AA1547" s="29">
        <f>IF(AND(AD1547="EUR", F1547="Without EV deal", AE1547="USD"), (T1547*X1547)*U1547,
IF(AND(AD1547="EUR", F1547="Without EV deal", AE1547="EUR"), (T1547*X1547),
IF(AND(AD1547="EUR",AE1547="USD"), (T1547*X1547)*U1547,
T1547*X1547)))</f>
        <v>526.70249999999999</v>
      </c>
      <c r="AB1547" s="36">
        <f>IF(AND(AD1547="EUR", F1547="Without EV deal", AE1547="USD"), (T1547*Y1547)*U1547,
IF(AND(AD1547="EUR", F1547="Without EV deal", AE1547="EUR"), (T1547*Y1547),
IF(AND(AD1547="EUR",AE1547="USD"), (T1547*Y1547)*U1547,
T1547*Y1547)))</f>
        <v>0</v>
      </c>
      <c r="AC1547" s="37" t="b">
        <v>1</v>
      </c>
      <c r="AD1547" s="61" t="str">
        <f>IF(OR(H1547="€0.25 Flash",
H1547="€0.25(nitro) new",
H1547="€1",
H1547="€2",
H1547="€2 (bf 01.08)",
H1547="€5",
H1547="€5 (1M)",
H1547="€5 (bf 01.08)",
H1547="€5 (bf 05.05)",
H1547="€5 Nitro",
H1547="€5(wx) new",
H1547="€10",
H1547="€10 (1M)",
H1547="€10 (bf 01.08)",
H1547="€10 (bf 05.05)",
H1547="€10 (MP)",
H1547="€10 (old)",
H1547="€10 Nitro (bf 05.05)",
H1547="€10 Nitro (old)",
H1547="€10(wx) new",
H1547="€20",
H1547="€25",
H1547="€25 (bf 01.08)",
H1547="€25 (bf 05.05)",
H1547="€25 (MP)",
H1547="€25 (old)",
H1547="€25 Nitro",
H1547="€25 Nitro (bf 01.08)",
H1547="€25 Nitro (bf 05.05)",
H1547="€25(nitro) new",
H1547="€25(wx) new",
H1547="€50",
H1547="€50 (bf 01.08)",
H1547="€50 (bf 05.05)",
H1547="€50 (old)",
H1547="€50 Nitro",
H1547="€50 Nitro (bf 01.08)",
H1547="€50 Nitro (bf 05.05)",
H1547="€50(wx) new",
H1547="€100",
H1547="€100 (old)",
H1547="€100 Nitro",
H1547="€100 Nitro (old)",
H1547="€200",
H1547="€250",
H1547="€250 Nitro",
H1547="€500",
H1547="€500 Nitro"),"EUR", "USD")</f>
        <v>EUR</v>
      </c>
      <c r="AE1547" s="61" t="s">
        <v>50</v>
      </c>
      <c r="AF1547" s="37" t="str">
        <f t="array" ref="AF1547">INDEX('Deal Info'!D:D, MATCH(A1547,'Deal Info'!A:A, 0))</f>
        <v>DoEV</v>
      </c>
      <c r="AG1547" s="38" t="str">
        <f t="array" ref="AG1547">INDEX('Deal Info'!G:G, MATCH(A1547,'Deal Info'!A:A, 0))</f>
        <v>None</v>
      </c>
    </row>
    <row r="1548" spans="1:33" ht="14.25" x14ac:dyDescent="0.2">
      <c r="A1548" s="18" t="str">
        <f t="array" ref="A1548">IF(G1548='Room Info'!$B$1, INDEX('Room Info'!$A$2:$A2446, MATCH(B1548,'Room Info'!$B$2:$B2446, 0)),IF(G1548='Room Info'!$C$1, INDEX('Room Info'!$A$2:$A2446, MATCH(B1548,'Room Info'!$C$2:$C2446, 0)),IF(G1548='Room Info'!$D$1, INDEX('Room Info'!$A$2:$A2446, MATCH(B1548,'Room Info'!$D$2:$D2446, 0)),IF(G1548='Room Info'!$E$1, INDEX('Room Info'!$A$2:$A2446, MATCH(B1548,'Room Info'!$E$2:$E2446, 0)),IF(G1548='Room Info'!$F$1, INDEX('Room Info'!$A$2:$A2446, MATCH(B1548,'Room Info'!$F$2:$F2446, 0)),IF(G1548='Room Info'!$H$1, INDEX('Room Info'!$A$2:$A2446, MATCH(B1548,'Room Info'!$H$2:$H2446, 0)),IF(G1548='Room Info'!$G$1, INDEX('Room Info'!$A$2:$A2446, MATCH(B1548,'Room Info'!$G$2:$G2446, 0)))))))))</f>
        <v>thepzdc</v>
      </c>
      <c r="B1548" s="45" t="s">
        <v>181</v>
      </c>
      <c r="C1548" s="46">
        <v>44958</v>
      </c>
      <c r="D1548" s="46">
        <v>44985</v>
      </c>
      <c r="E1548" s="90">
        <v>44958</v>
      </c>
      <c r="F1548" s="129" t="s">
        <v>49</v>
      </c>
      <c r="G1548" s="65" t="s">
        <v>61</v>
      </c>
      <c r="H1548" s="100" t="s">
        <v>55</v>
      </c>
      <c r="I1548" s="100" t="s">
        <v>101</v>
      </c>
      <c r="J1548" s="154">
        <v>10</v>
      </c>
      <c r="K1548" s="123">
        <v>2150</v>
      </c>
      <c r="L1548" s="52">
        <v>610</v>
      </c>
      <c r="M1548" s="53">
        <v>2220</v>
      </c>
      <c r="N1548" s="28">
        <f>K1548*J1548</f>
        <v>21500</v>
      </c>
      <c r="O1548" s="54"/>
      <c r="P1548" s="29">
        <v>0</v>
      </c>
      <c r="Q1548" s="55"/>
      <c r="R1548" s="31">
        <f>M1548+Q1548*J1548*K1548*0.07</f>
        <v>2220</v>
      </c>
      <c r="S1548" s="56">
        <v>498</v>
      </c>
      <c r="T1548" s="32">
        <f>IF(AND(AD1548="EUR", F1548="Without EV deal"), R1548 + L1548,
IF(AND(AD1548="USD", F1548="Without EV deal"), R1548 + L1548,
IF(AND(AD1548="EUR", F1548="Steel Phoenix"), R1548 + S1548/U1548,
R1548 + S1548)))</f>
        <v>2718</v>
      </c>
      <c r="U1548" s="57">
        <v>1.0617000000000001</v>
      </c>
      <c r="V1548" s="69">
        <v>19.893111638954871</v>
      </c>
      <c r="W1548" s="69">
        <v>112.75259701492537</v>
      </c>
      <c r="X1548" s="78">
        <f>IF(AF1548="DoEV",IF(AND(V1548&lt;20,W1548&lt;55),0.3,0)+IF(AND(V1548&lt;20,W1548&gt;=55,W1548&lt;105),0.23,0)+IF(AND(V1548&lt;20,W1548&gt;=105),0.17,0)+IF(AND(V1548&gt;=20,V1548&lt;40,W1548&lt;45),0.3,0)+IF(AND(V1548&gt;=20,V1548&lt;40,W1548&gt;=45,W1548&lt;95),0.23,0)+IF(AND(V1548&gt;=20,V1548&lt;40,W1548&gt;=95),0.17,0)+IF(AND(V1548&gt;=40,V1548&lt;75,W1548&lt;35),0.3,0)+IF(AND(V1548&gt;=40,V1548&lt;75,W1548&gt;=35,W1548&lt;75),0.23,0)+IF(AND(V1548&gt;=40,V1548&lt;75,W1548&gt;=75,W1548&lt;120),0.17,0)+IF(AND(V1548&gt;=40,V1548&lt;75,W1548&gt;=120),0.12,0)+IF(AND(V1548&gt;=75,V1548&lt;175,W1548&lt;35),0.3,0)+IF(AND(V1548&gt;=75,V1548&lt;=175,W1548&gt;=35,W1548&lt;65),0.23,0)+IF(AND(V1548&gt;=75,V1548&lt;=175,W1548&gt;=65,W1548&lt;110),0.17,0)+IF(AND(V1548&gt;=75,V1548&lt;=175,W1548&gt;=110),0.12,0)+IF(AND(V1548&gt;175,W1548&lt;25),0.3,0)+IF(AND(V1548&gt;175,W1548&gt;=25,W1548&lt;55),0.23,0)+IF(AND(V1548&gt;175,W1548&gt;=55,W1548&lt;95),0.17,0)+IF(AND(V1548&gt;175,W1548&gt;=95),0.12,0),
IF(AF1548="Fix15",0.15,
IF(AF1548="Fix5",0.05,
IF(AF1548="Fix18.75",0.1875,
IF(AF1548="Fix11.25",0.1125,
IF(AF1548="Fix10",0.1,
IF(AF1548="Fix9",0.09,
IF(AF1548="Fix12",0.12,
IF(AF1548="Fix19",0.19,
IF(AF1548="DoEV2017",IF(AND(W1548&lt;74),0.2,0)+IF(AND(W1548&gt;=74),0.17,0),
IF(AF1548="SF",IF(AND(V1548&lt;20,W1548&lt;89),0.3,0)+IF(AND(V1548&lt;20,W1548&gt;=89),0.25,0)+IF(AND(V1548&gt;=20,V1548&lt;40,W1548&lt;74),0.3,0)+IF(AND(V1548&gt;=20,V1548&lt;40,W1548&gt;=75),0.22,0)+IF(AND(V1548&gt;=40,V1548&lt;75,W1548&lt;75),0.26,0)+IF(AND(V1548&gt;=40,V1548&lt;75,W1548&gt;=75),0.22,0)+IF(V1548&gt;=75,0.22,0),
IF(AF1548="DoEVold",IF(AND(V1548&lt;40,W1548&lt;35),0.35,0)+IF(AND(V1548&lt;40,W1548&gt;=35,W1548&lt;75),0.25,0)+IF(AND(V1548&lt;40,W1548&gt;=75),0.17,0)+IF(AND(V1548&gt;=40,V1548&lt;75,W1548&lt;25),0.35,0)+IF(AND(V1548&gt;=40,V1548&lt;75,W1548&gt;=25,W1548&lt;65),0.25,0)+IF(AND(V1548&gt;=40,V1548&lt;75,W1548&gt;=65,W1548&lt;100),0.17,0)+IF(AND(V1548&gt;=40,V1548&lt;75,W1548&gt;=100),0.1,0)+IF(AND(V1548&gt;=75,W1548&lt;25),0.35,0)+IF(AND(V1548&gt;=75,W1548&gt;=25,W1548&lt;60),0.25,0)+IF(AND(V1548&gt;=75,W1548&gt;=60,W1548&lt;95),0.17,0)+IF(AND(V1548&gt;=75,W1548&gt;=95),0.1,0),
IF(AF1548="DoEVold15",IF(AND(V1548&lt;=40,W1548&lt;35),0.35,0)+IF(AND(V1548&lt;=40,W1548&gt;=35,W1548&lt;75),0.25,0)+IF(AND(V1548&lt;=40,W1548&gt;=75,W1548&lt;120),0.17,0)+IF(AND(V1548&lt;=40,W1548&gt;=120),0.15,0)+IF(AND(V1548&gt;40,V1548&lt;75,W1548&lt;25),0.35,0)+IF(AND(V1548&gt;=40,V1548&lt;75,W1548&gt;=25,W1548&lt;65),0.25,0)+IF(AND(V1548&gt;=40,V1548&lt;75,W1548&gt;=65,W1548&lt;100),0.17,0)+IF(AND(V1548&gt;=40,V1548&lt;75,W1548&gt;=100),0.1,0)+IF(AND(V1548&gt;=75,W1548&lt;25),0.35,0)+IF(AND(V1548&gt;=75,W1548&gt;=25,W1548&lt;60),0.25,0)+IF(AND(V1548&gt;=75,W1548&gt;=60,W1548&lt;95),0.17,0)+IF(AND(V1548&gt;=75,W1548&gt;=95),0.1,0),
IF(AF1548="DoEVba",IF(AND(V1548&lt;20,W1548&lt;105),0.2,0)+IF(AND(V1548&lt;20,W1548&gt;=105),0.15,0)+IF(AND(V1548&gt;=20,V1548&lt;40,W1548&lt;95),0.2,0)+IF(AND(V1548&gt;=20,V1548&lt;40,W1548&gt;=95,W1548&lt;150),0.15,0)+IF(AND(V1548&gt;=20,V1548&lt;40,W1548&gt;=150),0.12,0)+IF(AND(V1548&gt;=40,V1548&lt;75,W1548&lt;75),0.2,0)+IF(AND(V1548&gt;=40,V1548&lt;75,W1548&gt;=75,W1548&lt;120),0.15,0)+IF(AND(V1548&gt;=40,V1548&lt;75,W1548&gt;=120),0.12,0)+IF(AND(V1548&gt;=75,V1548&lt;175,W1548&lt;65),0.2,0)+IF(AND(V1548&gt;=75,V1548&lt;175,W1548&gt;=65,W1548&lt;110),0.15,0)+IF(AND(V1548&gt;=75,V1548&lt;175,W1548&gt;=110),0.12,0)+IF(AND(V1548&gt;=175,W1548&lt;55),0.2,0)+IF(AND(V1548&gt;=175,W1548&gt;=55,W1548&lt;95),0.15,0)+IF(AND(V1548&gt;=175,W1548&gt;=95),0.12,0),
IF(AF1548="DoEVku",IF(AND(V1548&lt;20,W1548&lt;55),0.23,0)+IF(AND(V1548&lt;20,W1548&gt;=55,W1548&lt;105),0.2,0)+IF(AND(V1548&lt;20,W1548&gt;=105),0.17,0)+IF(AND(V1548&gt;=20,V1548&lt;40,W1548&lt;45),0.23,0)+IF(AND(V1548&gt;=20,V1548&lt;40,W1548&gt;=45,W1548&lt;95),0.2,0)+IF(AND(V1548&gt;=20,V1548&lt;40,W1548&gt;=95,W1548&lt;=150),0.17,0)+IF(AND(V1548&gt;=20,V1548&lt;40,W1548&gt;=150),0.12,0)+IF(AND(V1548&gt;=40,V1548&lt;75,W1548&lt;35),0.23,0)+IF(AND(V1548&gt;=40,V1548&lt;75,W1548&gt;=35,W1548&lt;75),0.2,0)+IF(AND(V1548&gt;=40,V1548&lt;75,W1548&gt;=75,W1548&lt;120),0.17,0)+IF(AND(V1548&gt;=40,V1548&lt;75,W1548&gt;=120),0.12,0)+IF(AND(V1548&gt;=75,V1548&lt;175,W1548&lt;35),0.23,0)+IF(AND(V1548&gt;=75,V1548&lt;=175,W1548&gt;=35,W1548&lt;65),0.2,0)+IF(AND(V1548&gt;=75,V1548&lt;=175,W1548&gt;=65,W1548&lt;110),0.17,0)+IF(AND(V1548&gt;=75,V1548&lt;=175,W1548&gt;=110),0.12,0)+IF(AND(V1548&gt;175,W1548&lt;25),0.23,0)+IF(AND(V1548&gt;175,W1548&gt;=25,W1548&lt;55),0.2,0)+IF(AND(V1548&gt;175,W1548&gt;=55,W1548&lt;95),0.17,0)+IF(AND(V1548&gt;175,W1548&gt;=95),0.12,0),
IF(AF1548="DoEVs1",IF(AND(V1548&lt;20,W1548&lt;55),0.3,0)+IF(AND(V1548&lt;20,W1548&gt;=55,W1548&lt;105),0.23,0)+IF(AND(V1548&lt;20,W1548&gt;=105),0.17,0)+IF(AND(V1548&gt;=20,V1548&lt;40,W1548&lt;45),0.3,0)+IF(AND(V1548&gt;=20,V1548&lt;40,W1548&gt;=45,W1548&lt;95),0.23,0)+IF(AND(V1548&gt;=20,V1548&lt;40,W1548&gt;=95,W1548&lt;=150),0.17,0)+IF(AND(V1548&gt;=20,V1548&lt;40,W1548&gt;=150),0.12,0)+IF(AND(V1548&gt;=40,V1548&lt;75,W1548&lt;35),0.3,0)+IF(AND(V1548&gt;=40,V1548&lt;75,W1548&gt;=35,W1548&lt;75),0.23,0)+IF(AND(V1548&gt;=40,V1548&lt;75,W1548&gt;=75,W1548&lt;120),0.17,0)+IF(AND(V1548&gt;=40,V1548&lt;75,W1548&gt;=120),0.12,0)+IF(AND(V1548&gt;=75,V1548&lt;175,W1548&lt;35),0.3,0)+IF(AND(V1548&gt;=75,V1548&lt;=175,W1548&gt;=35,W1548&lt;65),0.23,0)+IF(AND(V1548&gt;=75,V1548&lt;=175,W1548&gt;=65,W1548&lt;110),0.17,0)+IF(AND(V1548&gt;=75,V1548&lt;=175,W1548&gt;=110),0.12,0)+IF(AND(V1548&gt;175,W1548&lt;25),0.3,0)+IF(AND(V1548&gt;175,W1548&gt;=25,W1548&lt;55),0.23,0)+IF(AND(V1548&gt;175,W1548&gt;=55,W1548&lt;95),0.17,0)+IF(AND(V1548&gt;175,W1548&gt;=95),0.12,0),
IF(AF1548="DoEVsu",IF(AND(V1548&lt;20,W1548&lt;55),0.3,0)+IF(AND(V1548&lt;20,W1548&gt;=55,W1548&lt;105),0.23,0)+IF(AND(V1548&lt;20,W1548&gt;=105),0.17,0)+IF(AND(V1548&gt;=20,V1548&lt;40,W1548&lt;45),0.3,0)+IF(AND(V1548&gt;=20,V1548&lt;40,W1548&gt;=45,W1548&lt;95),0.23,0)+IF(AND(V1548&gt;=20,V1548&lt;40,W1548&gt;=95,W1548&lt;=250),0.17,0)+IF(AND(V1548&gt;=20,V1548&lt;40,W1548&gt;=250),0.12,0)+IF(AND(V1548&gt;=40,V1548&lt;75,W1548&lt;35),0.3,0)+IF(AND(V1548&gt;=40,V1548&lt;75,W1548&gt;=35,W1548&lt;75),0.23,0)+IF(AND(V1548&gt;=40,V1548&lt;75,W1548&gt;=75,W1548&lt;120),0.17,0)+IF(AND(V1548&gt;=40,V1548&lt;75,W1548&gt;=120),0.12,0)+IF(AND(V1548&gt;=75,V1548&lt;175,W1548&lt;35),0.3,0)+IF(AND(V1548&gt;=75,V1548&lt;=175,W1548&gt;=35,W1548&lt;65),0.23,0)+IF(AND(V1548&gt;=75,V1548&lt;=175,W1548&gt;=65,W1548&lt;110),0.17,0)+IF(AND(V1548&gt;=75,V1548&lt;=175,W1548&gt;=110),0.12,0)+IF(AND(V1548&gt;175,W1548&lt;25),0.3,0)+IF(AND(V1548&gt;175,W1548&gt;=25,W1548&lt;55),0.23,0)+IF(AND(V1548&gt;175,W1548&gt;=55,W1548&lt;95),0.17,0)+IF(AND(V1548&gt;175,W1548&gt;=95),0.12,0),
IF(AF1548="DoEVni",IF(AND(V1548&lt;20,W1548&lt;55),0.3,0)+IF(AND(V1548&lt;20,W1548&gt;=55,W1548&lt;105),0.23,0)+IF(AND(V1548&lt;20,W1548&gt;=105),0.17,0)+IF(AND(V1548&gt;=20,V1548&lt;40,W1548&lt;45),0.3,0)+IF(AND(V1548&gt;=20,V1548&lt;40,W1548&gt;=45,W1548&lt;95),0.23,0)+IF(AND(V1548&gt;=20,V1548&lt;40,W1548&gt;=95,W1548&lt;=200),0.17,0)+IF(AND(V1548&gt;=20,V1548&lt;40,W1548&gt;=200),0.12,0)+IF(AND(V1548&gt;=40,V1548&lt;75,W1548&lt;35),0.3,0)+IF(AND(V1548&gt;=40,V1548&lt;75,W1548&gt;=35,W1548&lt;75),0.23,0)+IF(AND(V1548&gt;=40,V1548&lt;75,W1548&gt;=75,W1548&lt;120),0.17,0)+IF(AND(V1548&gt;=40,V1548&lt;75,W1548&gt;=120),0.12,0)+IF(AND(V1548&gt;=75,V1548&lt;175,W1548&lt;35),0.3,0)+IF(AND(V1548&gt;=75,V1548&lt;=175,W1548&gt;=35,W1548&lt;65),0.23,0)+IF(AND(V1548&gt;=75,V1548&lt;=175,W1548&gt;=65,W1548&lt;110),0.17,0)+IF(AND(V1548&gt;=75,V1548&lt;=175,W1548&gt;=110),0.12,0)+IF(AND(V1548&gt;175,W1548&lt;25),0.3,0)+IF(AND(V1548&gt;175,W1548&gt;=25,W1548&lt;55),0.23,0)+IF(AND(V1548&gt;175,W1548&gt;=55,W1548&lt;95),0.17,0)+IF(AND(V1548&gt;175,W1548&gt;=95),0.12,0),
IF(AF1548="DoEVLo",IF(AND(V1548&lt;20,W1548&lt;55),0.25,0)+IF(AND(V1548&lt;20,W1548&gt;=55,W1548&lt;105),0.2,0)+IF(AND(V1548&lt;20,W1548&gt;=105),0.15,0)+IF(AND(V1548&gt;=20,V1548&lt;40,W1548&lt;45),0.25,0)+IF(AND(V1548&gt;=20,V1548&lt;40,W1548&gt;=45,W1548&lt;95),0.2,0)+IF(AND(V1548&gt;=20,V1548&lt;40,W1548&gt;=95),0.15,0)+IF(AND(V1548&gt;=40,V1548&lt;75,W1548&lt;35),0.25,0)+IF(AND(V1548&gt;=40,V1548&lt;75,W1548&gt;=35,W1548&lt;75),0.2,0)+IF(AND(V1548&gt;=40,V1548&lt;75,W1548&gt;=75,W1548&lt;120),0.15,0)+IF(AND(V1548&gt;=40,V1548&lt;75,W1548&gt;=120),0.1,0)+IF(AND(V1548&gt;=75,V1548&lt;175,W1548&lt;35),0.25,0)+IF(AND(V1548&gt;=75,V1548&lt;=175,W1548&gt;=35,W1548&lt;65),0.2,0)+IF(AND(V1548&gt;=75,V1548&lt;=175,W1548&gt;=65,W1548&lt;110),0.15,0)+IF(AND(V1548&gt;=75,V1548&lt;=175,W1548&gt;=110),0.1,0)+IF(AND(V1548&gt;175,W1548&lt;25),0.25,0)+IF(AND(V1548&gt;175,W1548&gt;=25,W1548&lt;55),0.2,0)+IF(AND(V1548&gt;175,W1548&gt;=55,W1548&lt;95),0.15,0)+IF(AND(V1548&gt;175,W1548&gt;=95),0.1,0))))))))))))))))))))</f>
        <v>0.17</v>
      </c>
      <c r="Y1548" s="30">
        <f>IF(AG1548="None",0,IF(AG1548="Fix5",0.05, IF(AG1548="Fix6.25",0.0625,IF(AG1548="Fix3.75",0.0375, IF(AG1548="Fix11",0.11, IF(AG1548="Fix10",0.1,IF(AG1548="Fix3",0.03,0)))))))</f>
        <v>0</v>
      </c>
      <c r="Z1548" s="35">
        <f>IF(AND(AD1548="EUR", AE1548 = "USD"), T1548*U1548-AA1548-AB1548, T1548-AA1548-AB1548)</f>
        <v>2255.94</v>
      </c>
      <c r="AA1548" s="29">
        <f>IF(AND(AD1548="EUR", F1548="Without EV deal", AE1548="USD"), (T1548*X1548)*U1548,
IF(AND(AD1548="EUR", F1548="Without EV deal", AE1548="EUR"), (T1548*X1548),
IF(AND(AD1548="EUR",AE1548="USD"), (T1548*X1548)*U1548,
T1548*X1548)))</f>
        <v>462.06000000000006</v>
      </c>
      <c r="AB1548" s="36">
        <f>IF(AND(AD1548="EUR", F1548="Without EV deal", AE1548="USD"), (T1548*Y1548)*U1548,
IF(AND(AD1548="EUR", F1548="Without EV deal", AE1548="EUR"), (T1548*Y1548),
IF(AND(AD1548="EUR",AE1548="USD"), (T1548*Y1548)*U1548,
T1548*Y1548)))</f>
        <v>0</v>
      </c>
      <c r="AC1548" s="37" t="b">
        <v>1</v>
      </c>
      <c r="AD1548" s="61" t="str">
        <f>IF(OR(H1548="€0.25 Flash",
H1548="€0.25(nitro) new",
H1548="€1",
H1548="€2",
H1548="€2 (bf 01.08)",
H1548="€5",
H1548="€5 (1M)",
H1548="€5 (bf 01.08)",
H1548="€5 (bf 05.05)",
H1548="€5 Nitro",
H1548="€5(wx) new",
H1548="€10",
H1548="€10 (1M)",
H1548="€10 (bf 01.08)",
H1548="€10 (bf 05.05)",
H1548="€10 (MP)",
H1548="€10 (old)",
H1548="€10 Nitro (bf 05.05)",
H1548="€10 Nitro (old)",
H1548="€10(wx) new",
H1548="€20",
H1548="€25",
H1548="€25 (bf 01.08)",
H1548="€25 (bf 05.05)",
H1548="€25 (MP)",
H1548="€25 (old)",
H1548="€25 Nitro",
H1548="€25 Nitro (bf 01.08)",
H1548="€25 Nitro (bf 05.05)",
H1548="€25(nitro) new",
H1548="€25(wx) new",
H1548="€50",
H1548="€50 (bf 01.08)",
H1548="€50 (bf 05.05)",
H1548="€50 (old)",
H1548="€50 Nitro",
H1548="€50 Nitro (bf 01.08)",
H1548="€50 Nitro (bf 05.05)",
H1548="€50(wx) new",
H1548="€100",
H1548="€100 (old)",
H1548="€100 Nitro",
H1548="€100 Nitro (old)",
H1548="€200",
H1548="€250",
H1548="€250 Nitro",
H1548="€500",
H1548="€500 Nitro"),"EUR", "USD")</f>
        <v>EUR</v>
      </c>
      <c r="AE1548" s="61" t="s">
        <v>50</v>
      </c>
      <c r="AF1548" s="37" t="str">
        <f t="array" ref="AF1548">INDEX('Deal Info'!D:D, MATCH(A1548,'Deal Info'!A:A, 0))</f>
        <v>DoEV</v>
      </c>
      <c r="AG1548" s="38" t="str">
        <f t="array" ref="AG1548">INDEX('Deal Info'!G:G, MATCH(A1548,'Deal Info'!A:A, 0))</f>
        <v>None</v>
      </c>
    </row>
    <row r="1549" spans="1:33" ht="14.25" hidden="1" x14ac:dyDescent="0.2">
      <c r="A1549" s="18" t="s">
        <v>127</v>
      </c>
      <c r="B1549" s="96" t="s">
        <v>127</v>
      </c>
      <c r="C1549" s="111">
        <v>44958</v>
      </c>
      <c r="D1549" s="111">
        <v>44985</v>
      </c>
      <c r="E1549" s="80">
        <v>44958</v>
      </c>
      <c r="F1549" s="129" t="s">
        <v>49</v>
      </c>
      <c r="G1549" s="129" t="s">
        <v>223</v>
      </c>
      <c r="H1549" s="91" t="s">
        <v>55</v>
      </c>
      <c r="I1549" s="100" t="s">
        <v>37</v>
      </c>
      <c r="J1549" s="39">
        <v>10</v>
      </c>
      <c r="K1549" s="51">
        <v>5</v>
      </c>
      <c r="L1549" s="52">
        <v>20</v>
      </c>
      <c r="M1549" s="62"/>
      <c r="N1549" s="28">
        <v>0</v>
      </c>
      <c r="O1549" s="54">
        <v>708</v>
      </c>
      <c r="P1549" s="29">
        <v>141.6</v>
      </c>
      <c r="Q1549" s="55">
        <v>0.5</v>
      </c>
      <c r="R1549" s="31">
        <f>M1549+Q1549*J1549*K1549*0.07</f>
        <v>1.7500000000000002</v>
      </c>
      <c r="S1549" s="56">
        <v>10</v>
      </c>
      <c r="T1549" s="32">
        <f>IF(AND(AD1549="EUR", F1549="Without EV deal"), R1549 + L1549,
IF(AND(AD1549="USD", F1549="Without EV deal"), R1549 + L1549,
IF(AND(AD1549="EUR", F1549="Steel Phoenix"), R1549 + S1549/U1549,
R1549 + S1549)))</f>
        <v>11.75</v>
      </c>
      <c r="U1549" s="57">
        <v>1.0617000000000001</v>
      </c>
      <c r="V1549" s="58">
        <v>12.92317708</v>
      </c>
      <c r="W1549" s="58">
        <v>568.14976320000005</v>
      </c>
      <c r="X1549" s="30">
        <f>IF(AF1549="DoEV",IF(AND(V1549&lt;20,W1549&lt;55),0.3,0)+IF(AND(V1549&lt;20,W1549&gt;=55,W1549&lt;105),0.23,0)+IF(AND(V1549&lt;20,W1549&gt;=105),0.17,0)+IF(AND(V1549&gt;=20,V1549&lt;40,W1549&lt;45),0.3,0)+IF(AND(V1549&gt;=20,V1549&lt;40,W1549&gt;=45,W1549&lt;95),0.23,0)+IF(AND(V1549&gt;=20,V1549&lt;40,W1549&gt;=95),0.17,0)+IF(AND(V1549&gt;=40,V1549&lt;75,W1549&lt;35),0.3,0)+IF(AND(V1549&gt;=40,V1549&lt;75,W1549&gt;=35,W1549&lt;75),0.23,0)+IF(AND(V1549&gt;=40,V1549&lt;75,W1549&gt;=75,W1549&lt;120),0.17,0)+IF(AND(V1549&gt;=40,V1549&lt;75,W1549&gt;=120),0.12,0)+IF(AND(V1549&gt;=75,V1549&lt;175,W1549&lt;35),0.3,0)+IF(AND(V1549&gt;=75,V1549&lt;=175,W1549&gt;=35,W1549&lt;65),0.23,0)+IF(AND(V1549&gt;=75,V1549&lt;=175,W1549&gt;=65,W1549&lt;110),0.17,0)+IF(AND(V1549&gt;=75,V1549&lt;=175,W1549&gt;=110),0.12,0)+IF(AND(V1549&gt;175,W1549&lt;25),0.3,0)+IF(AND(V1549&gt;175,W1549&gt;=25,W1549&lt;55),0.23,0)+IF(AND(V1549&gt;175,W1549&gt;=55,W1549&lt;95),0.17,0)+IF(AND(V1549&gt;175,W1549&gt;=95),0.12,0),
IF(AF1549="Fix15",0.15,
IF(AF1549="Fix5",0.05,
IF(AF1549="Fix18.75",0.1875,
IF(AF1549="Fix11.25",0.1125,
IF(AF1549="Fix10",0.1,
IF(AF1549="Fix9",0.09,
IF(AF1549="Fix12",0.12,
IF(AF1549="Fix19",0.19,
IF(AF1549="DoEV2017",IF(AND(W1549&lt;74),0.2,0)+IF(AND(W1549&gt;=74),0.17,0),
IF(AF1549="SF",IF(AND(V1549&lt;20,W1549&lt;89),0.3,0)+IF(AND(V1549&lt;20,W1549&gt;=89),0.25,0)+IF(AND(V1549&gt;=20,V1549&lt;40,W1549&lt;74),0.3,0)+IF(AND(V1549&gt;=20,V1549&lt;40,W1549&gt;=75),0.22,0)+IF(AND(V1549&gt;=40,V1549&lt;75,W1549&lt;75),0.26,0)+IF(AND(V1549&gt;=40,V1549&lt;75,W1549&gt;=75),0.22,0)+IF(V1549&gt;=75,0.22,0),
IF(AF1549="DoEVold",IF(AND(V1549&lt;40,W1549&lt;35),0.35,0)+IF(AND(V1549&lt;40,W1549&gt;=35,W1549&lt;75),0.25,0)+IF(AND(V1549&lt;40,W1549&gt;=75),0.17,0)+IF(AND(V1549&gt;=40,V1549&lt;75,W1549&lt;25),0.35,0)+IF(AND(V1549&gt;=40,V1549&lt;75,W1549&gt;=25,W1549&lt;65),0.25,0)+IF(AND(V1549&gt;=40,V1549&lt;75,W1549&gt;=65,W1549&lt;100),0.17,0)+IF(AND(V1549&gt;=40,V1549&lt;75,W1549&gt;=100),0.1,0)+IF(AND(V1549&gt;=75,W1549&lt;25),0.35,0)+IF(AND(V1549&gt;=75,W1549&gt;=25,W1549&lt;60),0.25,0)+IF(AND(V1549&gt;=75,W1549&gt;=60,W1549&lt;95),0.17,0)+IF(AND(V1549&gt;=75,W1549&gt;=95),0.1,0),
IF(AF1549="DoEVold15",IF(AND(V1549&lt;=40,W1549&lt;35),0.35,0)+IF(AND(V1549&lt;=40,W1549&gt;=35,W1549&lt;75),0.25,0)+IF(AND(V1549&lt;=40,W1549&gt;=75,W1549&lt;120),0.17,0)+IF(AND(V1549&lt;=40,W1549&gt;=120),0.15,0)+IF(AND(V1549&gt;40,V1549&lt;75,W1549&lt;25),0.35,0)+IF(AND(V1549&gt;=40,V1549&lt;75,W1549&gt;=25,W1549&lt;65),0.25,0)+IF(AND(V1549&gt;=40,V1549&lt;75,W1549&gt;=65,W1549&lt;100),0.17,0)+IF(AND(V1549&gt;=40,V1549&lt;75,W1549&gt;=100),0.1,0)+IF(AND(V1549&gt;=75,W1549&lt;25),0.35,0)+IF(AND(V1549&gt;=75,W1549&gt;=25,W1549&lt;60),0.25,0)+IF(AND(V1549&gt;=75,W1549&gt;=60,W1549&lt;95),0.17,0)+IF(AND(V1549&gt;=75,W1549&gt;=95),0.1,0),
IF(AF1549="DoEVba",IF(AND(V1549&lt;20,W1549&lt;105),0.2,0)+IF(AND(V1549&lt;20,W1549&gt;=105),0.15,0)+IF(AND(V1549&gt;=20,V1549&lt;40,W1549&lt;95),0.2,0)+IF(AND(V1549&gt;=20,V1549&lt;40,W1549&gt;=95,W1549&lt;150),0.15,0)+IF(AND(V1549&gt;=20,V1549&lt;40,W1549&gt;=150),0.12,0)+IF(AND(V1549&gt;=40,V1549&lt;75,W1549&lt;75),0.2,0)+IF(AND(V1549&gt;=40,V1549&lt;75,W1549&gt;=75,W1549&lt;120),0.15,0)+IF(AND(V1549&gt;=40,V1549&lt;75,W1549&gt;=120),0.12,0)+IF(AND(V1549&gt;=75,V1549&lt;175,W1549&lt;65),0.2,0)+IF(AND(V1549&gt;=75,V1549&lt;175,W1549&gt;=65,W1549&lt;110),0.15,0)+IF(AND(V1549&gt;=75,V1549&lt;175,W1549&gt;=110),0.12,0)+IF(AND(V1549&gt;=175,W1549&lt;55),0.2,0)+IF(AND(V1549&gt;=175,W1549&gt;=55,W1549&lt;95),0.15,0)+IF(AND(V1549&gt;=175,W1549&gt;=95),0.12,0),
IF(AF1549="DoEVku",IF(AND(V1549&lt;20,W1549&lt;55),0.23,0)+IF(AND(V1549&lt;20,W1549&gt;=55,W1549&lt;105),0.2,0)+IF(AND(V1549&lt;20,W1549&gt;=105),0.17,0)+IF(AND(V1549&gt;=20,V1549&lt;40,W1549&lt;45),0.23,0)+IF(AND(V1549&gt;=20,V1549&lt;40,W1549&gt;=45,W1549&lt;95),0.2,0)+IF(AND(V1549&gt;=20,V1549&lt;40,W1549&gt;=95,W1549&lt;=150),0.17,0)+IF(AND(V1549&gt;=20,V1549&lt;40,W1549&gt;=150),0.12,0)+IF(AND(V1549&gt;=40,V1549&lt;75,W1549&lt;35),0.23,0)+IF(AND(V1549&gt;=40,V1549&lt;75,W1549&gt;=35,W1549&lt;75),0.2,0)+IF(AND(V1549&gt;=40,V1549&lt;75,W1549&gt;=75,W1549&lt;120),0.17,0)+IF(AND(V1549&gt;=40,V1549&lt;75,W1549&gt;=120),0.12,0)+IF(AND(V1549&gt;=75,V1549&lt;175,W1549&lt;35),0.23,0)+IF(AND(V1549&gt;=75,V1549&lt;=175,W1549&gt;=35,W1549&lt;65),0.2,0)+IF(AND(V1549&gt;=75,V1549&lt;=175,W1549&gt;=65,W1549&lt;110),0.17,0)+IF(AND(V1549&gt;=75,V1549&lt;=175,W1549&gt;=110),0.12,0)+IF(AND(V1549&gt;175,W1549&lt;25),0.23,0)+IF(AND(V1549&gt;175,W1549&gt;=25,W1549&lt;55),0.2,0)+IF(AND(V1549&gt;175,W1549&gt;=55,W1549&lt;95),0.17,0)+IF(AND(V1549&gt;175,W1549&gt;=95),0.12,0),
IF(AF1549="DoEVs1",IF(AND(V1549&lt;20,W1549&lt;55),0.3,0)+IF(AND(V1549&lt;20,W1549&gt;=55,W1549&lt;105),0.23,0)+IF(AND(V1549&lt;20,W1549&gt;=105),0.17,0)+IF(AND(V1549&gt;=20,V1549&lt;40,W1549&lt;45),0.3,0)+IF(AND(V1549&gt;=20,V1549&lt;40,W1549&gt;=45,W1549&lt;95),0.23,0)+IF(AND(V1549&gt;=20,V1549&lt;40,W1549&gt;=95,W1549&lt;=150),0.17,0)+IF(AND(V1549&gt;=20,V1549&lt;40,W1549&gt;=150),0.12,0)+IF(AND(V1549&gt;=40,V1549&lt;75,W1549&lt;35),0.3,0)+IF(AND(V1549&gt;=40,V1549&lt;75,W1549&gt;=35,W1549&lt;75),0.23,0)+IF(AND(V1549&gt;=40,V1549&lt;75,W1549&gt;=75,W1549&lt;120),0.17,0)+IF(AND(V1549&gt;=40,V1549&lt;75,W1549&gt;=120),0.12,0)+IF(AND(V1549&gt;=75,V1549&lt;175,W1549&lt;35),0.3,0)+IF(AND(V1549&gt;=75,V1549&lt;=175,W1549&gt;=35,W1549&lt;65),0.23,0)+IF(AND(V1549&gt;=75,V1549&lt;=175,W1549&gt;=65,W1549&lt;110),0.17,0)+IF(AND(V1549&gt;=75,V1549&lt;=175,W1549&gt;=110),0.12,0)+IF(AND(V1549&gt;175,W1549&lt;25),0.3,0)+IF(AND(V1549&gt;175,W1549&gt;=25,W1549&lt;55),0.23,0)+IF(AND(V1549&gt;175,W1549&gt;=55,W1549&lt;95),0.17,0)+IF(AND(V1549&gt;175,W1549&gt;=95),0.12,0),
IF(AF1549="DoEVsu",IF(AND(V1549&lt;20,W1549&lt;55),0.3,0)+IF(AND(V1549&lt;20,W1549&gt;=55,W1549&lt;105),0.23,0)+IF(AND(V1549&lt;20,W1549&gt;=105),0.17,0)+IF(AND(V1549&gt;=20,V1549&lt;40,W1549&lt;45),0.3,0)+IF(AND(V1549&gt;=20,V1549&lt;40,W1549&gt;=45,W1549&lt;95),0.23,0)+IF(AND(V1549&gt;=20,V1549&lt;40,W1549&gt;=95,W1549&lt;=250),0.17,0)+IF(AND(V1549&gt;=20,V1549&lt;40,W1549&gt;=250),0.12,0)+IF(AND(V1549&gt;=40,V1549&lt;75,W1549&lt;35),0.3,0)+IF(AND(V1549&gt;=40,V1549&lt;75,W1549&gt;=35,W1549&lt;75),0.23,0)+IF(AND(V1549&gt;=40,V1549&lt;75,W1549&gt;=75,W1549&lt;120),0.17,0)+IF(AND(V1549&gt;=40,V1549&lt;75,W1549&gt;=120),0.12,0)+IF(AND(V1549&gt;=75,V1549&lt;175,W1549&lt;35),0.3,0)+IF(AND(V1549&gt;=75,V1549&lt;=175,W1549&gt;=35,W1549&lt;65),0.23,0)+IF(AND(V1549&gt;=75,V1549&lt;=175,W1549&gt;=65,W1549&lt;110),0.17,0)+IF(AND(V1549&gt;=75,V1549&lt;=175,W1549&gt;=110),0.12,0)+IF(AND(V1549&gt;175,W1549&lt;25),0.3,0)+IF(AND(V1549&gt;175,W1549&gt;=25,W1549&lt;55),0.23,0)+IF(AND(V1549&gt;175,W1549&gt;=55,W1549&lt;95),0.17,0)+IF(AND(V1549&gt;175,W1549&gt;=95),0.12,0),
IF(AF1549="DoEVni",IF(AND(V1549&lt;20,W1549&lt;55),0.3,0)+IF(AND(V1549&lt;20,W1549&gt;=55,W1549&lt;105),0.23,0)+IF(AND(V1549&lt;20,W1549&gt;=105),0.17,0)+IF(AND(V1549&gt;=20,V1549&lt;40,W1549&lt;45),0.3,0)+IF(AND(V1549&gt;=20,V1549&lt;40,W1549&gt;=45,W1549&lt;95),0.23,0)+IF(AND(V1549&gt;=20,V1549&lt;40,W1549&gt;=95,W1549&lt;=200),0.17,0)+IF(AND(V1549&gt;=20,V1549&lt;40,W1549&gt;=200),0.12,0)+IF(AND(V1549&gt;=40,V1549&lt;75,W1549&lt;35),0.3,0)+IF(AND(V1549&gt;=40,V1549&lt;75,W1549&gt;=35,W1549&lt;75),0.23,0)+IF(AND(V1549&gt;=40,V1549&lt;75,W1549&gt;=75,W1549&lt;120),0.17,0)+IF(AND(V1549&gt;=40,V1549&lt;75,W1549&gt;=120),0.12,0)+IF(AND(V1549&gt;=75,V1549&lt;175,W1549&lt;35),0.3,0)+IF(AND(V1549&gt;=75,V1549&lt;=175,W1549&gt;=35,W1549&lt;65),0.23,0)+IF(AND(V1549&gt;=75,V1549&lt;=175,W1549&gt;=65,W1549&lt;110),0.17,0)+IF(AND(V1549&gt;=75,V1549&lt;=175,W1549&gt;=110),0.12,0)+IF(AND(V1549&gt;175,W1549&lt;25),0.3,0)+IF(AND(V1549&gt;175,W1549&gt;=25,W1549&lt;55),0.23,0)+IF(AND(V1549&gt;175,W1549&gt;=55,W1549&lt;95),0.17,0)+IF(AND(V1549&gt;175,W1549&gt;=95),0.12,0),
IF(AF1549="DoEVLo",IF(AND(V1549&lt;20,W1549&lt;55),0.25,0)+IF(AND(V1549&lt;20,W1549&gt;=55,W1549&lt;105),0.2,0)+IF(AND(V1549&lt;20,W1549&gt;=105),0.15,0)+IF(AND(V1549&gt;=20,V1549&lt;40,W1549&lt;45),0.25,0)+IF(AND(V1549&gt;=20,V1549&lt;40,W1549&gt;=45,W1549&lt;95),0.2,0)+IF(AND(V1549&gt;=20,V1549&lt;40,W1549&gt;=95),0.15,0)+IF(AND(V1549&gt;=40,V1549&lt;75,W1549&lt;35),0.25,0)+IF(AND(V1549&gt;=40,V1549&lt;75,W1549&gt;=35,W1549&lt;75),0.2,0)+IF(AND(V1549&gt;=40,V1549&lt;75,W1549&gt;=75,W1549&lt;120),0.15,0)+IF(AND(V1549&gt;=40,V1549&lt;75,W1549&gt;=120),0.1,0)+IF(AND(V1549&gt;=75,V1549&lt;175,W1549&lt;35),0.25,0)+IF(AND(V1549&gt;=75,V1549&lt;=175,W1549&gt;=35,W1549&lt;65),0.2,0)+IF(AND(V1549&gt;=75,V1549&lt;=175,W1549&gt;=65,W1549&lt;110),0.15,0)+IF(AND(V1549&gt;=75,V1549&lt;=175,W1549&gt;=110),0.1,0)+IF(AND(V1549&gt;175,W1549&lt;25),0.25,0)+IF(AND(V1549&gt;175,W1549&gt;=25,W1549&lt;55),0.2,0)+IF(AND(V1549&gt;175,W1549&gt;=55,W1549&lt;95),0.15,0)+IF(AND(V1549&gt;175,W1549&gt;=95),0.1,0))))))))))))))))))))</f>
        <v>0.17</v>
      </c>
      <c r="Y1549" s="30">
        <f>IF(AG1549="None",0,IF(AG1549="Fix5",0.05, IF(AG1549="Fix6.25",0.0625,IF(AG1549="Fix3.75",0.0375, IF(AG1549="Fix11",0.11, IF(AG1549="Fix10",0.1,IF(AG1549="Fix3",0.03,0)))))))</f>
        <v>0</v>
      </c>
      <c r="Z1549" s="35">
        <f>IF(AND(AD1549="EUR", AE1549 = "USD"), T1549*U1549-AA1549-AB1549, T1549-AA1549-AB1549)</f>
        <v>9.7524999999999995</v>
      </c>
      <c r="AA1549" s="29">
        <f>IF(AND(AD1549="EUR", F1549="Without EV deal", AE1549="USD"), (T1549*X1549)*U1549,
IF(AND(AD1549="EUR", F1549="Without EV deal", AE1549="EUR"), (T1549*X1549),
IF(AND(AD1549="EUR",AE1549="USD"), (T1549*X1549)*U1549,
T1549*X1549)))</f>
        <v>1.9975000000000001</v>
      </c>
      <c r="AB1549" s="36">
        <f>IF(AND(AD1549="EUR", F1549="Without EV deal", AE1549="USD"), (T1549*Y1549)*U1549,
IF(AND(AD1549="EUR", F1549="Without EV deal", AE1549="EUR"), (T1549*Y1549),
IF(AND(AD1549="EUR",AE1549="USD"), (T1549*Y1549)*U1549,
T1549*Y1549)))</f>
        <v>0</v>
      </c>
      <c r="AC1549" s="37" t="b">
        <v>1</v>
      </c>
      <c r="AD1549" s="82" t="str">
        <f>IF(OR(H1549="€0.25 Flash",
H1549="€0.25(nitro) new",
H1549="€1",
H1549="€2",
H1549="€2 (bf 01.08)",
H1549="€5",
H1549="€5 (1M)",
H1549="€5 (bf 01.08)",
H1549="€5 (bf 05.05)",
H1549="€5 Nitro",
H1549="€5(wx) new",
H1549="€10",
H1549="€10 (1M)",
H1549="€10 (bf 01.08)",
H1549="€10 (bf 05.05)",
H1549="€10 (MP)",
H1549="€10 (old)",
H1549="€10 Nitro (bf 05.05)",
H1549="€10 Nitro (old)",
H1549="€10(wx) new",
H1549="€20",
H1549="€25",
H1549="€25 (bf 01.08)",
H1549="€25 (bf 05.05)",
H1549="€25 (MP)",
H1549="€25 (old)",
H1549="€25 Nitro",
H1549="€25 Nitro (bf 01.08)",
H1549="€25 Nitro (bf 05.05)",
H1549="€25(nitro) new",
H1549="€25(wx) new",
H1549="€50",
H1549="€50 (bf 01.08)",
H1549="€50 (bf 05.05)",
H1549="€50 (old)",
H1549="€50 Nitro",
H1549="€50 Nitro (bf 01.08)",
H1549="€50 Nitro (bf 05.05)",
H1549="€50(wx) new",
H1549="€100",
H1549="€100 (old)",
H1549="€100 Nitro",
H1549="€100 Nitro (old)",
H1549="€200",
H1549="€250",
H1549="€250 Nitro",
H1549="€500",
H1549="€500 Nitro"),"EUR", "USD")</f>
        <v>EUR</v>
      </c>
      <c r="AE1549" s="82" t="s">
        <v>50</v>
      </c>
      <c r="AF1549" s="83" t="str">
        <f t="array" ref="AF1549">INDEX('Deal Info'!D:D, MATCH(A1549,'Deal Info'!A:A, 0))</f>
        <v>DoEV</v>
      </c>
      <c r="AG1549" s="84" t="str">
        <f t="array" ref="AG1549">INDEX('Deal Info'!G:G, MATCH(A1549,'Deal Info'!A:A, 0))</f>
        <v>None</v>
      </c>
    </row>
    <row r="1550" spans="1:33" ht="14.25" hidden="1" x14ac:dyDescent="0.2">
      <c r="A1550" s="18" t="s">
        <v>127</v>
      </c>
      <c r="B1550" s="96" t="s">
        <v>127</v>
      </c>
      <c r="C1550" s="111">
        <v>44958</v>
      </c>
      <c r="D1550" s="111">
        <v>44985</v>
      </c>
      <c r="E1550" s="80">
        <v>44958</v>
      </c>
      <c r="F1550" s="22" t="s">
        <v>49</v>
      </c>
      <c r="G1550" s="18" t="s">
        <v>223</v>
      </c>
      <c r="H1550" s="49" t="s">
        <v>56</v>
      </c>
      <c r="I1550" s="100" t="s">
        <v>37</v>
      </c>
      <c r="J1550" s="39">
        <v>20</v>
      </c>
      <c r="K1550" s="51">
        <v>224</v>
      </c>
      <c r="L1550" s="52">
        <v>-80</v>
      </c>
      <c r="M1550" s="62"/>
      <c r="N1550" s="28">
        <v>0</v>
      </c>
      <c r="O1550" s="54">
        <v>11246</v>
      </c>
      <c r="P1550" s="29">
        <v>50.205357139999997</v>
      </c>
      <c r="Q1550" s="55">
        <v>0.5</v>
      </c>
      <c r="R1550" s="31">
        <f>M1550+Q1550*J1550*K1550*0.07</f>
        <v>156.80000000000001</v>
      </c>
      <c r="S1550" s="56">
        <v>113</v>
      </c>
      <c r="T1550" s="32">
        <f>IF(AND(AD1550="EUR", F1550="Without EV deal"), R1550 + L1550,
IF(AND(AD1550="USD", F1550="Without EV deal"), R1550 + L1550,
IF(AND(AD1550="EUR", F1550="Steel Phoenix"), R1550 + S1550/U1550,
R1550 + S1550)))</f>
        <v>269.8</v>
      </c>
      <c r="U1550" s="57">
        <v>1.0617000000000001</v>
      </c>
      <c r="V1550" s="58">
        <v>12.92317708</v>
      </c>
      <c r="W1550" s="58">
        <v>568.14976320000005</v>
      </c>
      <c r="X1550" s="30">
        <f>IF(AF1550="DoEV",IF(AND(V1550&lt;20,W1550&lt;55),0.3,0)+IF(AND(V1550&lt;20,W1550&gt;=55,W1550&lt;105),0.23,0)+IF(AND(V1550&lt;20,W1550&gt;=105),0.17,0)+IF(AND(V1550&gt;=20,V1550&lt;40,W1550&lt;45),0.3,0)+IF(AND(V1550&gt;=20,V1550&lt;40,W1550&gt;=45,W1550&lt;95),0.23,0)+IF(AND(V1550&gt;=20,V1550&lt;40,W1550&gt;=95),0.17,0)+IF(AND(V1550&gt;=40,V1550&lt;75,W1550&lt;35),0.3,0)+IF(AND(V1550&gt;=40,V1550&lt;75,W1550&gt;=35,W1550&lt;75),0.23,0)+IF(AND(V1550&gt;=40,V1550&lt;75,W1550&gt;=75,W1550&lt;120),0.17,0)+IF(AND(V1550&gt;=40,V1550&lt;75,W1550&gt;=120),0.12,0)+IF(AND(V1550&gt;=75,V1550&lt;175,W1550&lt;35),0.3,0)+IF(AND(V1550&gt;=75,V1550&lt;=175,W1550&gt;=35,W1550&lt;65),0.23,0)+IF(AND(V1550&gt;=75,V1550&lt;=175,W1550&gt;=65,W1550&lt;110),0.17,0)+IF(AND(V1550&gt;=75,V1550&lt;=175,W1550&gt;=110),0.12,0)+IF(AND(V1550&gt;175,W1550&lt;25),0.3,0)+IF(AND(V1550&gt;175,W1550&gt;=25,W1550&lt;55),0.23,0)+IF(AND(V1550&gt;175,W1550&gt;=55,W1550&lt;95),0.17,0)+IF(AND(V1550&gt;175,W1550&gt;=95),0.12,0),
IF(AF1550="Fix15",0.15,
IF(AF1550="Fix5",0.05,
IF(AF1550="Fix18.75",0.1875,
IF(AF1550="Fix11.25",0.1125,
IF(AF1550="Fix10",0.1,
IF(AF1550="Fix9",0.09,
IF(AF1550="Fix12",0.12,
IF(AF1550="Fix19",0.19,
IF(AF1550="DoEV2017",IF(AND(W1550&lt;74),0.2,0)+IF(AND(W1550&gt;=74),0.17,0),
IF(AF1550="SF",IF(AND(V1550&lt;20,W1550&lt;89),0.3,0)+IF(AND(V1550&lt;20,W1550&gt;=89),0.25,0)+IF(AND(V1550&gt;=20,V1550&lt;40,W1550&lt;74),0.3,0)+IF(AND(V1550&gt;=20,V1550&lt;40,W1550&gt;=75),0.22,0)+IF(AND(V1550&gt;=40,V1550&lt;75,W1550&lt;75),0.26,0)+IF(AND(V1550&gt;=40,V1550&lt;75,W1550&gt;=75),0.22,0)+IF(V1550&gt;=75,0.22,0),
IF(AF1550="DoEVold",IF(AND(V1550&lt;40,W1550&lt;35),0.35,0)+IF(AND(V1550&lt;40,W1550&gt;=35,W1550&lt;75),0.25,0)+IF(AND(V1550&lt;40,W1550&gt;=75),0.17,0)+IF(AND(V1550&gt;=40,V1550&lt;75,W1550&lt;25),0.35,0)+IF(AND(V1550&gt;=40,V1550&lt;75,W1550&gt;=25,W1550&lt;65),0.25,0)+IF(AND(V1550&gt;=40,V1550&lt;75,W1550&gt;=65,W1550&lt;100),0.17,0)+IF(AND(V1550&gt;=40,V1550&lt;75,W1550&gt;=100),0.1,0)+IF(AND(V1550&gt;=75,W1550&lt;25),0.35,0)+IF(AND(V1550&gt;=75,W1550&gt;=25,W1550&lt;60),0.25,0)+IF(AND(V1550&gt;=75,W1550&gt;=60,W1550&lt;95),0.17,0)+IF(AND(V1550&gt;=75,W1550&gt;=95),0.1,0),
IF(AF1550="DoEVold15",IF(AND(V1550&lt;=40,W1550&lt;35),0.35,0)+IF(AND(V1550&lt;=40,W1550&gt;=35,W1550&lt;75),0.25,0)+IF(AND(V1550&lt;=40,W1550&gt;=75,W1550&lt;120),0.17,0)+IF(AND(V1550&lt;=40,W1550&gt;=120),0.15,0)+IF(AND(V1550&gt;40,V1550&lt;75,W1550&lt;25),0.35,0)+IF(AND(V1550&gt;=40,V1550&lt;75,W1550&gt;=25,W1550&lt;65),0.25,0)+IF(AND(V1550&gt;=40,V1550&lt;75,W1550&gt;=65,W1550&lt;100),0.17,0)+IF(AND(V1550&gt;=40,V1550&lt;75,W1550&gt;=100),0.1,0)+IF(AND(V1550&gt;=75,W1550&lt;25),0.35,0)+IF(AND(V1550&gt;=75,W1550&gt;=25,W1550&lt;60),0.25,0)+IF(AND(V1550&gt;=75,W1550&gt;=60,W1550&lt;95),0.17,0)+IF(AND(V1550&gt;=75,W1550&gt;=95),0.1,0),
IF(AF1550="DoEVba",IF(AND(V1550&lt;20,W1550&lt;105),0.2,0)+IF(AND(V1550&lt;20,W1550&gt;=105),0.15,0)+IF(AND(V1550&gt;=20,V1550&lt;40,W1550&lt;95),0.2,0)+IF(AND(V1550&gt;=20,V1550&lt;40,W1550&gt;=95,W1550&lt;150),0.15,0)+IF(AND(V1550&gt;=20,V1550&lt;40,W1550&gt;=150),0.12,0)+IF(AND(V1550&gt;=40,V1550&lt;75,W1550&lt;75),0.2,0)+IF(AND(V1550&gt;=40,V1550&lt;75,W1550&gt;=75,W1550&lt;120),0.15,0)+IF(AND(V1550&gt;=40,V1550&lt;75,W1550&gt;=120),0.12,0)+IF(AND(V1550&gt;=75,V1550&lt;175,W1550&lt;65),0.2,0)+IF(AND(V1550&gt;=75,V1550&lt;175,W1550&gt;=65,W1550&lt;110),0.15,0)+IF(AND(V1550&gt;=75,V1550&lt;175,W1550&gt;=110),0.12,0)+IF(AND(V1550&gt;=175,W1550&lt;55),0.2,0)+IF(AND(V1550&gt;=175,W1550&gt;=55,W1550&lt;95),0.15,0)+IF(AND(V1550&gt;=175,W1550&gt;=95),0.12,0),
IF(AF1550="DoEVku",IF(AND(V1550&lt;20,W1550&lt;55),0.23,0)+IF(AND(V1550&lt;20,W1550&gt;=55,W1550&lt;105),0.2,0)+IF(AND(V1550&lt;20,W1550&gt;=105),0.17,0)+IF(AND(V1550&gt;=20,V1550&lt;40,W1550&lt;45),0.23,0)+IF(AND(V1550&gt;=20,V1550&lt;40,W1550&gt;=45,W1550&lt;95),0.2,0)+IF(AND(V1550&gt;=20,V1550&lt;40,W1550&gt;=95,W1550&lt;=150),0.17,0)+IF(AND(V1550&gt;=20,V1550&lt;40,W1550&gt;=150),0.12,0)+IF(AND(V1550&gt;=40,V1550&lt;75,W1550&lt;35),0.23,0)+IF(AND(V1550&gt;=40,V1550&lt;75,W1550&gt;=35,W1550&lt;75),0.2,0)+IF(AND(V1550&gt;=40,V1550&lt;75,W1550&gt;=75,W1550&lt;120),0.17,0)+IF(AND(V1550&gt;=40,V1550&lt;75,W1550&gt;=120),0.12,0)+IF(AND(V1550&gt;=75,V1550&lt;175,W1550&lt;35),0.23,0)+IF(AND(V1550&gt;=75,V1550&lt;=175,W1550&gt;=35,W1550&lt;65),0.2,0)+IF(AND(V1550&gt;=75,V1550&lt;=175,W1550&gt;=65,W1550&lt;110),0.17,0)+IF(AND(V1550&gt;=75,V1550&lt;=175,W1550&gt;=110),0.12,0)+IF(AND(V1550&gt;175,W1550&lt;25),0.23,0)+IF(AND(V1550&gt;175,W1550&gt;=25,W1550&lt;55),0.2,0)+IF(AND(V1550&gt;175,W1550&gt;=55,W1550&lt;95),0.17,0)+IF(AND(V1550&gt;175,W1550&gt;=95),0.12,0),
IF(AF1550="DoEVs1",IF(AND(V1550&lt;20,W1550&lt;55),0.3,0)+IF(AND(V1550&lt;20,W1550&gt;=55,W1550&lt;105),0.23,0)+IF(AND(V1550&lt;20,W1550&gt;=105),0.17,0)+IF(AND(V1550&gt;=20,V1550&lt;40,W1550&lt;45),0.3,0)+IF(AND(V1550&gt;=20,V1550&lt;40,W1550&gt;=45,W1550&lt;95),0.23,0)+IF(AND(V1550&gt;=20,V1550&lt;40,W1550&gt;=95,W1550&lt;=150),0.17,0)+IF(AND(V1550&gt;=20,V1550&lt;40,W1550&gt;=150),0.12,0)+IF(AND(V1550&gt;=40,V1550&lt;75,W1550&lt;35),0.3,0)+IF(AND(V1550&gt;=40,V1550&lt;75,W1550&gt;=35,W1550&lt;75),0.23,0)+IF(AND(V1550&gt;=40,V1550&lt;75,W1550&gt;=75,W1550&lt;120),0.17,0)+IF(AND(V1550&gt;=40,V1550&lt;75,W1550&gt;=120),0.12,0)+IF(AND(V1550&gt;=75,V1550&lt;175,W1550&lt;35),0.3,0)+IF(AND(V1550&gt;=75,V1550&lt;=175,W1550&gt;=35,W1550&lt;65),0.23,0)+IF(AND(V1550&gt;=75,V1550&lt;=175,W1550&gt;=65,W1550&lt;110),0.17,0)+IF(AND(V1550&gt;=75,V1550&lt;=175,W1550&gt;=110),0.12,0)+IF(AND(V1550&gt;175,W1550&lt;25),0.3,0)+IF(AND(V1550&gt;175,W1550&gt;=25,W1550&lt;55),0.23,0)+IF(AND(V1550&gt;175,W1550&gt;=55,W1550&lt;95),0.17,0)+IF(AND(V1550&gt;175,W1550&gt;=95),0.12,0),
IF(AF1550="DoEVsu",IF(AND(V1550&lt;20,W1550&lt;55),0.3,0)+IF(AND(V1550&lt;20,W1550&gt;=55,W1550&lt;105),0.23,0)+IF(AND(V1550&lt;20,W1550&gt;=105),0.17,0)+IF(AND(V1550&gt;=20,V1550&lt;40,W1550&lt;45),0.3,0)+IF(AND(V1550&gt;=20,V1550&lt;40,W1550&gt;=45,W1550&lt;95),0.23,0)+IF(AND(V1550&gt;=20,V1550&lt;40,W1550&gt;=95,W1550&lt;=250),0.17,0)+IF(AND(V1550&gt;=20,V1550&lt;40,W1550&gt;=250),0.12,0)+IF(AND(V1550&gt;=40,V1550&lt;75,W1550&lt;35),0.3,0)+IF(AND(V1550&gt;=40,V1550&lt;75,W1550&gt;=35,W1550&lt;75),0.23,0)+IF(AND(V1550&gt;=40,V1550&lt;75,W1550&gt;=75,W1550&lt;120),0.17,0)+IF(AND(V1550&gt;=40,V1550&lt;75,W1550&gt;=120),0.12,0)+IF(AND(V1550&gt;=75,V1550&lt;175,W1550&lt;35),0.3,0)+IF(AND(V1550&gt;=75,V1550&lt;=175,W1550&gt;=35,W1550&lt;65),0.23,0)+IF(AND(V1550&gt;=75,V1550&lt;=175,W1550&gt;=65,W1550&lt;110),0.17,0)+IF(AND(V1550&gt;=75,V1550&lt;=175,W1550&gt;=110),0.12,0)+IF(AND(V1550&gt;175,W1550&lt;25),0.3,0)+IF(AND(V1550&gt;175,W1550&gt;=25,W1550&lt;55),0.23,0)+IF(AND(V1550&gt;175,W1550&gt;=55,W1550&lt;95),0.17,0)+IF(AND(V1550&gt;175,W1550&gt;=95),0.12,0),
IF(AF1550="DoEVni",IF(AND(V1550&lt;20,W1550&lt;55),0.3,0)+IF(AND(V1550&lt;20,W1550&gt;=55,W1550&lt;105),0.23,0)+IF(AND(V1550&lt;20,W1550&gt;=105),0.17,0)+IF(AND(V1550&gt;=20,V1550&lt;40,W1550&lt;45),0.3,0)+IF(AND(V1550&gt;=20,V1550&lt;40,W1550&gt;=45,W1550&lt;95),0.23,0)+IF(AND(V1550&gt;=20,V1550&lt;40,W1550&gt;=95,W1550&lt;=200),0.17,0)+IF(AND(V1550&gt;=20,V1550&lt;40,W1550&gt;=200),0.12,0)+IF(AND(V1550&gt;=40,V1550&lt;75,W1550&lt;35),0.3,0)+IF(AND(V1550&gt;=40,V1550&lt;75,W1550&gt;=35,W1550&lt;75),0.23,0)+IF(AND(V1550&gt;=40,V1550&lt;75,W1550&gt;=75,W1550&lt;120),0.17,0)+IF(AND(V1550&gt;=40,V1550&lt;75,W1550&gt;=120),0.12,0)+IF(AND(V1550&gt;=75,V1550&lt;175,W1550&lt;35),0.3,0)+IF(AND(V1550&gt;=75,V1550&lt;=175,W1550&gt;=35,W1550&lt;65),0.23,0)+IF(AND(V1550&gt;=75,V1550&lt;=175,W1550&gt;=65,W1550&lt;110),0.17,0)+IF(AND(V1550&gt;=75,V1550&lt;=175,W1550&gt;=110),0.12,0)+IF(AND(V1550&gt;175,W1550&lt;25),0.3,0)+IF(AND(V1550&gt;175,W1550&gt;=25,W1550&lt;55),0.23,0)+IF(AND(V1550&gt;175,W1550&gt;=55,W1550&lt;95),0.17,0)+IF(AND(V1550&gt;175,W1550&gt;=95),0.12,0),
IF(AF1550="DoEVLo",IF(AND(V1550&lt;20,W1550&lt;55),0.25,0)+IF(AND(V1550&lt;20,W1550&gt;=55,W1550&lt;105),0.2,0)+IF(AND(V1550&lt;20,W1550&gt;=105),0.15,0)+IF(AND(V1550&gt;=20,V1550&lt;40,W1550&lt;45),0.25,0)+IF(AND(V1550&gt;=20,V1550&lt;40,W1550&gt;=45,W1550&lt;95),0.2,0)+IF(AND(V1550&gt;=20,V1550&lt;40,W1550&gt;=95),0.15,0)+IF(AND(V1550&gt;=40,V1550&lt;75,W1550&lt;35),0.25,0)+IF(AND(V1550&gt;=40,V1550&lt;75,W1550&gt;=35,W1550&lt;75),0.2,0)+IF(AND(V1550&gt;=40,V1550&lt;75,W1550&gt;=75,W1550&lt;120),0.15,0)+IF(AND(V1550&gt;=40,V1550&lt;75,W1550&gt;=120),0.1,0)+IF(AND(V1550&gt;=75,V1550&lt;175,W1550&lt;35),0.25,0)+IF(AND(V1550&gt;=75,V1550&lt;=175,W1550&gt;=35,W1550&lt;65),0.2,0)+IF(AND(V1550&gt;=75,V1550&lt;=175,W1550&gt;=65,W1550&lt;110),0.15,0)+IF(AND(V1550&gt;=75,V1550&lt;=175,W1550&gt;=110),0.1,0)+IF(AND(V1550&gt;175,W1550&lt;25),0.25,0)+IF(AND(V1550&gt;175,W1550&gt;=25,W1550&lt;55),0.2,0)+IF(AND(V1550&gt;175,W1550&gt;=55,W1550&lt;95),0.15,0)+IF(AND(V1550&gt;175,W1550&gt;=95),0.1,0))))))))))))))))))))</f>
        <v>0.17</v>
      </c>
      <c r="Y1550" s="30">
        <f>IF(AG1550="None",0,IF(AG1550="Fix5",0.05, IF(AG1550="Fix6.25",0.0625,IF(AG1550="Fix3.75",0.0375, IF(AG1550="Fix11",0.11, IF(AG1550="Fix10",0.1,IF(AG1550="Fix3",0.03,0)))))))</f>
        <v>0</v>
      </c>
      <c r="Z1550" s="35">
        <f>IF(AND(AD1550="EUR", AE1550 = "USD"), T1550*U1550-AA1550-AB1550, T1550-AA1550-AB1550)</f>
        <v>223.934</v>
      </c>
      <c r="AA1550" s="29">
        <f>IF(AND(AD1550="EUR", F1550="Without EV deal", AE1550="USD"), (T1550*X1550)*U1550,
IF(AND(AD1550="EUR", F1550="Without EV deal", AE1550="EUR"), (T1550*X1550),
IF(AND(AD1550="EUR",AE1550="USD"), (T1550*X1550)*U1550,
T1550*X1550)))</f>
        <v>45.866000000000007</v>
      </c>
      <c r="AB1550" s="36">
        <f>IF(AND(AD1550="EUR", F1550="Without EV deal", AE1550="USD"), (T1550*Y1550)*U1550,
IF(AND(AD1550="EUR", F1550="Without EV deal", AE1550="EUR"), (T1550*Y1550),
IF(AND(AD1550="EUR",AE1550="USD"), (T1550*Y1550)*U1550,
T1550*Y1550)))</f>
        <v>0</v>
      </c>
      <c r="AC1550" s="37" t="b">
        <v>1</v>
      </c>
      <c r="AD1550" s="82" t="str">
        <f>IF(OR(H1550="€0.25 Flash",
H1550="€0.25(nitro) new",
H1550="€1",
H1550="€2",
H1550="€2 (bf 01.08)",
H1550="€5",
H1550="€5 (1M)",
H1550="€5 (bf 01.08)",
H1550="€5 (bf 05.05)",
H1550="€5 Nitro",
H1550="€5(wx) new",
H1550="€10",
H1550="€10 (1M)",
H1550="€10 (bf 01.08)",
H1550="€10 (bf 05.05)",
H1550="€10 (MP)",
H1550="€10 (old)",
H1550="€10 Nitro (bf 05.05)",
H1550="€10 Nitro (old)",
H1550="€10(wx) new",
H1550="€20",
H1550="€25",
H1550="€25 (bf 01.08)",
H1550="€25 (bf 05.05)",
H1550="€25 (MP)",
H1550="€25 (old)",
H1550="€25 Nitro",
H1550="€25 Nitro (bf 01.08)",
H1550="€25 Nitro (bf 05.05)",
H1550="€25(nitro) new",
H1550="€25(wx) new",
H1550="€50",
H1550="€50 (bf 01.08)",
H1550="€50 (bf 05.05)",
H1550="€50 (old)",
H1550="€50 Nitro",
H1550="€50 Nitro (bf 01.08)",
H1550="€50 Nitro (bf 05.05)",
H1550="€50(wx) new",
H1550="€100",
H1550="€100 (old)",
H1550="€100 Nitro",
H1550="€100 Nitro (old)",
H1550="€200",
H1550="€250",
H1550="€250 Nitro",
H1550="€500",
H1550="€500 Nitro"),"EUR", "USD")</f>
        <v>EUR</v>
      </c>
      <c r="AE1550" s="83" t="s">
        <v>50</v>
      </c>
      <c r="AF1550" s="83" t="str">
        <f t="array" ref="AF1550">INDEX('Deal Info'!D:D, MATCH(A1550,'Deal Info'!A:A, 0))</f>
        <v>DoEV</v>
      </c>
      <c r="AG1550" s="84" t="str">
        <f t="array" ref="AG1550">INDEX('Deal Info'!G:G, MATCH(A1550,'Deal Info'!A:A, 0))</f>
        <v>None</v>
      </c>
    </row>
    <row r="1551" spans="1:33" ht="14.25" hidden="1" x14ac:dyDescent="0.2">
      <c r="A1551" s="18" t="s">
        <v>127</v>
      </c>
      <c r="B1551" s="96" t="s">
        <v>127</v>
      </c>
      <c r="C1551" s="111">
        <v>44958</v>
      </c>
      <c r="D1551" s="111">
        <v>44985</v>
      </c>
      <c r="E1551" s="80">
        <v>44958</v>
      </c>
      <c r="F1551" s="96" t="s">
        <v>49</v>
      </c>
      <c r="G1551" s="65" t="s">
        <v>223</v>
      </c>
      <c r="H1551" s="49" t="s">
        <v>57</v>
      </c>
      <c r="I1551" s="100" t="s">
        <v>37</v>
      </c>
      <c r="J1551" s="39">
        <v>50</v>
      </c>
      <c r="K1551" s="51">
        <v>526</v>
      </c>
      <c r="L1551" s="52">
        <v>2800</v>
      </c>
      <c r="M1551" s="62"/>
      <c r="N1551" s="28">
        <v>0</v>
      </c>
      <c r="O1551" s="54">
        <v>37116</v>
      </c>
      <c r="P1551" s="29">
        <v>70.562737639999995</v>
      </c>
      <c r="Q1551" s="55">
        <v>0.5</v>
      </c>
      <c r="R1551" s="31">
        <f>M1551+Q1551*J1551*K1551*0.07</f>
        <v>920.50000000000011</v>
      </c>
      <c r="S1551" s="56">
        <v>1652</v>
      </c>
      <c r="T1551" s="32">
        <f>IF(AND(AD1551="EUR", F1551="Without EV deal"), R1551 + L1551,
IF(AND(AD1551="USD", F1551="Without EV deal"), R1551 + L1551,
IF(AND(AD1551="EUR", F1551="Steel Phoenix"), R1551 + S1551/U1551,
R1551 + S1551)))</f>
        <v>2572.5</v>
      </c>
      <c r="U1551" s="57">
        <v>1.0617000000000001</v>
      </c>
      <c r="V1551" s="58">
        <v>12.92317708</v>
      </c>
      <c r="W1551" s="58">
        <v>568.14976320000005</v>
      </c>
      <c r="X1551" s="30">
        <f>IF(AF1551="DoEV",IF(AND(V1551&lt;20,W1551&lt;55),0.3,0)+IF(AND(V1551&lt;20,W1551&gt;=55,W1551&lt;105),0.23,0)+IF(AND(V1551&lt;20,W1551&gt;=105),0.17,0)+IF(AND(V1551&gt;=20,V1551&lt;40,W1551&lt;45),0.3,0)+IF(AND(V1551&gt;=20,V1551&lt;40,W1551&gt;=45,W1551&lt;95),0.23,0)+IF(AND(V1551&gt;=20,V1551&lt;40,W1551&gt;=95),0.17,0)+IF(AND(V1551&gt;=40,V1551&lt;75,W1551&lt;35),0.3,0)+IF(AND(V1551&gt;=40,V1551&lt;75,W1551&gt;=35,W1551&lt;75),0.23,0)+IF(AND(V1551&gt;=40,V1551&lt;75,W1551&gt;=75,W1551&lt;120),0.17,0)+IF(AND(V1551&gt;=40,V1551&lt;75,W1551&gt;=120),0.12,0)+IF(AND(V1551&gt;=75,V1551&lt;175,W1551&lt;35),0.3,0)+IF(AND(V1551&gt;=75,V1551&lt;=175,W1551&gt;=35,W1551&lt;65),0.23,0)+IF(AND(V1551&gt;=75,V1551&lt;=175,W1551&gt;=65,W1551&lt;110),0.17,0)+IF(AND(V1551&gt;=75,V1551&lt;=175,W1551&gt;=110),0.12,0)+IF(AND(V1551&gt;175,W1551&lt;25),0.3,0)+IF(AND(V1551&gt;175,W1551&gt;=25,W1551&lt;55),0.23,0)+IF(AND(V1551&gt;175,W1551&gt;=55,W1551&lt;95),0.17,0)+IF(AND(V1551&gt;175,W1551&gt;=95),0.12,0),
IF(AF1551="Fix15",0.15,
IF(AF1551="Fix5",0.05,
IF(AF1551="Fix18.75",0.1875,
IF(AF1551="Fix11.25",0.1125,
IF(AF1551="Fix10",0.1,
IF(AF1551="Fix9",0.09,
IF(AF1551="Fix12",0.12,
IF(AF1551="Fix19",0.19,
IF(AF1551="DoEV2017",IF(AND(W1551&lt;74),0.2,0)+IF(AND(W1551&gt;=74),0.17,0),
IF(AF1551="SF",IF(AND(V1551&lt;20,W1551&lt;89),0.3,0)+IF(AND(V1551&lt;20,W1551&gt;=89),0.25,0)+IF(AND(V1551&gt;=20,V1551&lt;40,W1551&lt;74),0.3,0)+IF(AND(V1551&gt;=20,V1551&lt;40,W1551&gt;=75),0.22,0)+IF(AND(V1551&gt;=40,V1551&lt;75,W1551&lt;75),0.26,0)+IF(AND(V1551&gt;=40,V1551&lt;75,W1551&gt;=75),0.22,0)+IF(V1551&gt;=75,0.22,0),
IF(AF1551="DoEVold",IF(AND(V1551&lt;40,W1551&lt;35),0.35,0)+IF(AND(V1551&lt;40,W1551&gt;=35,W1551&lt;75),0.25,0)+IF(AND(V1551&lt;40,W1551&gt;=75),0.17,0)+IF(AND(V1551&gt;=40,V1551&lt;75,W1551&lt;25),0.35,0)+IF(AND(V1551&gt;=40,V1551&lt;75,W1551&gt;=25,W1551&lt;65),0.25,0)+IF(AND(V1551&gt;=40,V1551&lt;75,W1551&gt;=65,W1551&lt;100),0.17,0)+IF(AND(V1551&gt;=40,V1551&lt;75,W1551&gt;=100),0.1,0)+IF(AND(V1551&gt;=75,W1551&lt;25),0.35,0)+IF(AND(V1551&gt;=75,W1551&gt;=25,W1551&lt;60),0.25,0)+IF(AND(V1551&gt;=75,W1551&gt;=60,W1551&lt;95),0.17,0)+IF(AND(V1551&gt;=75,W1551&gt;=95),0.1,0),
IF(AF1551="DoEVold15",IF(AND(V1551&lt;=40,W1551&lt;35),0.35,0)+IF(AND(V1551&lt;=40,W1551&gt;=35,W1551&lt;75),0.25,0)+IF(AND(V1551&lt;=40,W1551&gt;=75,W1551&lt;120),0.17,0)+IF(AND(V1551&lt;=40,W1551&gt;=120),0.15,0)+IF(AND(V1551&gt;40,V1551&lt;75,W1551&lt;25),0.35,0)+IF(AND(V1551&gt;=40,V1551&lt;75,W1551&gt;=25,W1551&lt;65),0.25,0)+IF(AND(V1551&gt;=40,V1551&lt;75,W1551&gt;=65,W1551&lt;100),0.17,0)+IF(AND(V1551&gt;=40,V1551&lt;75,W1551&gt;=100),0.1,0)+IF(AND(V1551&gt;=75,W1551&lt;25),0.35,0)+IF(AND(V1551&gt;=75,W1551&gt;=25,W1551&lt;60),0.25,0)+IF(AND(V1551&gt;=75,W1551&gt;=60,W1551&lt;95),0.17,0)+IF(AND(V1551&gt;=75,W1551&gt;=95),0.1,0),
IF(AF1551="DoEVba",IF(AND(V1551&lt;20,W1551&lt;105),0.2,0)+IF(AND(V1551&lt;20,W1551&gt;=105),0.15,0)+IF(AND(V1551&gt;=20,V1551&lt;40,W1551&lt;95),0.2,0)+IF(AND(V1551&gt;=20,V1551&lt;40,W1551&gt;=95,W1551&lt;150),0.15,0)+IF(AND(V1551&gt;=20,V1551&lt;40,W1551&gt;=150),0.12,0)+IF(AND(V1551&gt;=40,V1551&lt;75,W1551&lt;75),0.2,0)+IF(AND(V1551&gt;=40,V1551&lt;75,W1551&gt;=75,W1551&lt;120),0.15,0)+IF(AND(V1551&gt;=40,V1551&lt;75,W1551&gt;=120),0.12,0)+IF(AND(V1551&gt;=75,V1551&lt;175,W1551&lt;65),0.2,0)+IF(AND(V1551&gt;=75,V1551&lt;175,W1551&gt;=65,W1551&lt;110),0.15,0)+IF(AND(V1551&gt;=75,V1551&lt;175,W1551&gt;=110),0.12,0)+IF(AND(V1551&gt;=175,W1551&lt;55),0.2,0)+IF(AND(V1551&gt;=175,W1551&gt;=55,W1551&lt;95),0.15,0)+IF(AND(V1551&gt;=175,W1551&gt;=95),0.12,0),
IF(AF1551="DoEVku",IF(AND(V1551&lt;20,W1551&lt;55),0.23,0)+IF(AND(V1551&lt;20,W1551&gt;=55,W1551&lt;105),0.2,0)+IF(AND(V1551&lt;20,W1551&gt;=105),0.17,0)+IF(AND(V1551&gt;=20,V1551&lt;40,W1551&lt;45),0.23,0)+IF(AND(V1551&gt;=20,V1551&lt;40,W1551&gt;=45,W1551&lt;95),0.2,0)+IF(AND(V1551&gt;=20,V1551&lt;40,W1551&gt;=95,W1551&lt;=150),0.17,0)+IF(AND(V1551&gt;=20,V1551&lt;40,W1551&gt;=150),0.12,0)+IF(AND(V1551&gt;=40,V1551&lt;75,W1551&lt;35),0.23,0)+IF(AND(V1551&gt;=40,V1551&lt;75,W1551&gt;=35,W1551&lt;75),0.2,0)+IF(AND(V1551&gt;=40,V1551&lt;75,W1551&gt;=75,W1551&lt;120),0.17,0)+IF(AND(V1551&gt;=40,V1551&lt;75,W1551&gt;=120),0.12,0)+IF(AND(V1551&gt;=75,V1551&lt;175,W1551&lt;35),0.23,0)+IF(AND(V1551&gt;=75,V1551&lt;=175,W1551&gt;=35,W1551&lt;65),0.2,0)+IF(AND(V1551&gt;=75,V1551&lt;=175,W1551&gt;=65,W1551&lt;110),0.17,0)+IF(AND(V1551&gt;=75,V1551&lt;=175,W1551&gt;=110),0.12,0)+IF(AND(V1551&gt;175,W1551&lt;25),0.23,0)+IF(AND(V1551&gt;175,W1551&gt;=25,W1551&lt;55),0.2,0)+IF(AND(V1551&gt;175,W1551&gt;=55,W1551&lt;95),0.17,0)+IF(AND(V1551&gt;175,W1551&gt;=95),0.12,0),
IF(AF1551="DoEVs1",IF(AND(V1551&lt;20,W1551&lt;55),0.3,0)+IF(AND(V1551&lt;20,W1551&gt;=55,W1551&lt;105),0.23,0)+IF(AND(V1551&lt;20,W1551&gt;=105),0.17,0)+IF(AND(V1551&gt;=20,V1551&lt;40,W1551&lt;45),0.3,0)+IF(AND(V1551&gt;=20,V1551&lt;40,W1551&gt;=45,W1551&lt;95),0.23,0)+IF(AND(V1551&gt;=20,V1551&lt;40,W1551&gt;=95,W1551&lt;=150),0.17,0)+IF(AND(V1551&gt;=20,V1551&lt;40,W1551&gt;=150),0.12,0)+IF(AND(V1551&gt;=40,V1551&lt;75,W1551&lt;35),0.3,0)+IF(AND(V1551&gt;=40,V1551&lt;75,W1551&gt;=35,W1551&lt;75),0.23,0)+IF(AND(V1551&gt;=40,V1551&lt;75,W1551&gt;=75,W1551&lt;120),0.17,0)+IF(AND(V1551&gt;=40,V1551&lt;75,W1551&gt;=120),0.12,0)+IF(AND(V1551&gt;=75,V1551&lt;175,W1551&lt;35),0.3,0)+IF(AND(V1551&gt;=75,V1551&lt;=175,W1551&gt;=35,W1551&lt;65),0.23,0)+IF(AND(V1551&gt;=75,V1551&lt;=175,W1551&gt;=65,W1551&lt;110),0.17,0)+IF(AND(V1551&gt;=75,V1551&lt;=175,W1551&gt;=110),0.12,0)+IF(AND(V1551&gt;175,W1551&lt;25),0.3,0)+IF(AND(V1551&gt;175,W1551&gt;=25,W1551&lt;55),0.23,0)+IF(AND(V1551&gt;175,W1551&gt;=55,W1551&lt;95),0.17,0)+IF(AND(V1551&gt;175,W1551&gt;=95),0.12,0),
IF(AF1551="DoEVsu",IF(AND(V1551&lt;20,W1551&lt;55),0.3,0)+IF(AND(V1551&lt;20,W1551&gt;=55,W1551&lt;105),0.23,0)+IF(AND(V1551&lt;20,W1551&gt;=105),0.17,0)+IF(AND(V1551&gt;=20,V1551&lt;40,W1551&lt;45),0.3,0)+IF(AND(V1551&gt;=20,V1551&lt;40,W1551&gt;=45,W1551&lt;95),0.23,0)+IF(AND(V1551&gt;=20,V1551&lt;40,W1551&gt;=95,W1551&lt;=250),0.17,0)+IF(AND(V1551&gt;=20,V1551&lt;40,W1551&gt;=250),0.12,0)+IF(AND(V1551&gt;=40,V1551&lt;75,W1551&lt;35),0.3,0)+IF(AND(V1551&gt;=40,V1551&lt;75,W1551&gt;=35,W1551&lt;75),0.23,0)+IF(AND(V1551&gt;=40,V1551&lt;75,W1551&gt;=75,W1551&lt;120),0.17,0)+IF(AND(V1551&gt;=40,V1551&lt;75,W1551&gt;=120),0.12,0)+IF(AND(V1551&gt;=75,V1551&lt;175,W1551&lt;35),0.3,0)+IF(AND(V1551&gt;=75,V1551&lt;=175,W1551&gt;=35,W1551&lt;65),0.23,0)+IF(AND(V1551&gt;=75,V1551&lt;=175,W1551&gt;=65,W1551&lt;110),0.17,0)+IF(AND(V1551&gt;=75,V1551&lt;=175,W1551&gt;=110),0.12,0)+IF(AND(V1551&gt;175,W1551&lt;25),0.3,0)+IF(AND(V1551&gt;175,W1551&gt;=25,W1551&lt;55),0.23,0)+IF(AND(V1551&gt;175,W1551&gt;=55,W1551&lt;95),0.17,0)+IF(AND(V1551&gt;175,W1551&gt;=95),0.12,0),
IF(AF1551="DoEVni",IF(AND(V1551&lt;20,W1551&lt;55),0.3,0)+IF(AND(V1551&lt;20,W1551&gt;=55,W1551&lt;105),0.23,0)+IF(AND(V1551&lt;20,W1551&gt;=105),0.17,0)+IF(AND(V1551&gt;=20,V1551&lt;40,W1551&lt;45),0.3,0)+IF(AND(V1551&gt;=20,V1551&lt;40,W1551&gt;=45,W1551&lt;95),0.23,0)+IF(AND(V1551&gt;=20,V1551&lt;40,W1551&gt;=95,W1551&lt;=200),0.17,0)+IF(AND(V1551&gt;=20,V1551&lt;40,W1551&gt;=200),0.12,0)+IF(AND(V1551&gt;=40,V1551&lt;75,W1551&lt;35),0.3,0)+IF(AND(V1551&gt;=40,V1551&lt;75,W1551&gt;=35,W1551&lt;75),0.23,0)+IF(AND(V1551&gt;=40,V1551&lt;75,W1551&gt;=75,W1551&lt;120),0.17,0)+IF(AND(V1551&gt;=40,V1551&lt;75,W1551&gt;=120),0.12,0)+IF(AND(V1551&gt;=75,V1551&lt;175,W1551&lt;35),0.3,0)+IF(AND(V1551&gt;=75,V1551&lt;=175,W1551&gt;=35,W1551&lt;65),0.23,0)+IF(AND(V1551&gt;=75,V1551&lt;=175,W1551&gt;=65,W1551&lt;110),0.17,0)+IF(AND(V1551&gt;=75,V1551&lt;=175,W1551&gt;=110),0.12,0)+IF(AND(V1551&gt;175,W1551&lt;25),0.3,0)+IF(AND(V1551&gt;175,W1551&gt;=25,W1551&lt;55),0.23,0)+IF(AND(V1551&gt;175,W1551&gt;=55,W1551&lt;95),0.17,0)+IF(AND(V1551&gt;175,W1551&gt;=95),0.12,0),
IF(AF1551="DoEVLo",IF(AND(V1551&lt;20,W1551&lt;55),0.25,0)+IF(AND(V1551&lt;20,W1551&gt;=55,W1551&lt;105),0.2,0)+IF(AND(V1551&lt;20,W1551&gt;=105),0.15,0)+IF(AND(V1551&gt;=20,V1551&lt;40,W1551&lt;45),0.25,0)+IF(AND(V1551&gt;=20,V1551&lt;40,W1551&gt;=45,W1551&lt;95),0.2,0)+IF(AND(V1551&gt;=20,V1551&lt;40,W1551&gt;=95),0.15,0)+IF(AND(V1551&gt;=40,V1551&lt;75,W1551&lt;35),0.25,0)+IF(AND(V1551&gt;=40,V1551&lt;75,W1551&gt;=35,W1551&lt;75),0.2,0)+IF(AND(V1551&gt;=40,V1551&lt;75,W1551&gt;=75,W1551&lt;120),0.15,0)+IF(AND(V1551&gt;=40,V1551&lt;75,W1551&gt;=120),0.1,0)+IF(AND(V1551&gt;=75,V1551&lt;175,W1551&lt;35),0.25,0)+IF(AND(V1551&gt;=75,V1551&lt;=175,W1551&gt;=35,W1551&lt;65),0.2,0)+IF(AND(V1551&gt;=75,V1551&lt;=175,W1551&gt;=65,W1551&lt;110),0.15,0)+IF(AND(V1551&gt;=75,V1551&lt;=175,W1551&gt;=110),0.1,0)+IF(AND(V1551&gt;175,W1551&lt;25),0.25,0)+IF(AND(V1551&gt;175,W1551&gt;=25,W1551&lt;55),0.2,0)+IF(AND(V1551&gt;175,W1551&gt;=55,W1551&lt;95),0.15,0)+IF(AND(V1551&gt;175,W1551&gt;=95),0.1,0))))))))))))))))))))</f>
        <v>0.17</v>
      </c>
      <c r="Y1551" s="30">
        <f>IF(AG1551="None",0,IF(AG1551="Fix5",0.05, IF(AG1551="Fix6.25",0.0625,IF(AG1551="Fix3.75",0.0375, IF(AG1551="Fix11",0.11, IF(AG1551="Fix10",0.1,IF(AG1551="Fix3",0.03,0)))))))</f>
        <v>0</v>
      </c>
      <c r="Z1551" s="35">
        <f>IF(AND(AD1551="EUR", AE1551 = "USD"), T1551*U1551-AA1551-AB1551, T1551-AA1551-AB1551)</f>
        <v>2135.1750000000002</v>
      </c>
      <c r="AA1551" s="29">
        <f>IF(AND(AD1551="EUR", F1551="Without EV deal", AE1551="USD"), (T1551*X1551)*U1551,
IF(AND(AD1551="EUR", F1551="Without EV deal", AE1551="EUR"), (T1551*X1551),
IF(AND(AD1551="EUR",AE1551="USD"), (T1551*X1551)*U1551,
T1551*X1551)))</f>
        <v>437.32500000000005</v>
      </c>
      <c r="AB1551" s="36">
        <f>IF(AND(AD1551="EUR", F1551="Without EV deal", AE1551="USD"), (T1551*Y1551)*U1551,
IF(AND(AD1551="EUR", F1551="Without EV deal", AE1551="EUR"), (T1551*Y1551),
IF(AND(AD1551="EUR",AE1551="USD"), (T1551*Y1551)*U1551,
T1551*Y1551)))</f>
        <v>0</v>
      </c>
      <c r="AC1551" s="37" t="b">
        <v>1</v>
      </c>
      <c r="AD1551" s="82" t="str">
        <f>IF(OR(H1551="€0.25 Flash",
H1551="€0.25(nitro) new",
H1551="€1",
H1551="€2",
H1551="€2 (bf 01.08)",
H1551="€5",
H1551="€5 (1M)",
H1551="€5 (bf 01.08)",
H1551="€5 (bf 05.05)",
H1551="€5 Nitro",
H1551="€5(wx) new",
H1551="€10",
H1551="€10 (1M)",
H1551="€10 (bf 01.08)",
H1551="€10 (bf 05.05)",
H1551="€10 (MP)",
H1551="€10 (old)",
H1551="€10 Nitro (bf 05.05)",
H1551="€10 Nitro (old)",
H1551="€10(wx) new",
H1551="€20",
H1551="€25",
H1551="€25 (bf 01.08)",
H1551="€25 (bf 05.05)",
H1551="€25 (MP)",
H1551="€25 (old)",
H1551="€25 Nitro",
H1551="€25 Nitro (bf 01.08)",
H1551="€25 Nitro (bf 05.05)",
H1551="€25(nitro) new",
H1551="€25(wx) new",
H1551="€50",
H1551="€50 (bf 01.08)",
H1551="€50 (bf 05.05)",
H1551="€50 (old)",
H1551="€50 Nitro",
H1551="€50 Nitro (bf 01.08)",
H1551="€50 Nitro (bf 05.05)",
H1551="€50(wx) new",
H1551="€100",
H1551="€100 (old)",
H1551="€100 Nitro",
H1551="€100 Nitro (old)",
H1551="€200",
H1551="€250",
H1551="€250 Nitro",
H1551="€500",
H1551="€500 Nitro"),"EUR", "USD")</f>
        <v>EUR</v>
      </c>
      <c r="AE1551" s="82" t="s">
        <v>50</v>
      </c>
      <c r="AF1551" s="83" t="str">
        <f t="array" ref="AF1551">INDEX('Deal Info'!D:D, MATCH(A1551,'Deal Info'!A:A, 0))</f>
        <v>DoEV</v>
      </c>
      <c r="AG1551" s="84" t="str">
        <f t="array" ref="AG1551">INDEX('Deal Info'!G:G, MATCH(A1551,'Deal Info'!A:A, 0))</f>
        <v>None</v>
      </c>
    </row>
    <row r="1552" spans="1:33" ht="14.25" x14ac:dyDescent="0.2">
      <c r="A1552" s="18" t="str">
        <f t="array" ref="A1552">IF(G1552='Room Info'!$B$1, INDEX('Room Info'!$A$2:$A2446, MATCH(B1552,'Room Info'!$B$2:$B2446, 0)),IF(G1552='Room Info'!$C$1, INDEX('Room Info'!$A$2:$A2446, MATCH(B1552,'Room Info'!$C$2:$C2446, 0)),IF(G1552='Room Info'!$D$1, INDEX('Room Info'!$A$2:$A2446, MATCH(B1552,'Room Info'!$D$2:$D2446, 0)),IF(G1552='Room Info'!$E$1, INDEX('Room Info'!$A$2:$A2446, MATCH(B1552,'Room Info'!$E$2:$E2446, 0)),IF(G1552='Room Info'!$F$1, INDEX('Room Info'!$A$2:$A2446, MATCH(B1552,'Room Info'!$F$2:$F2446, 0)),IF(G1552='Room Info'!$H$1, INDEX('Room Info'!$A$2:$A2446, MATCH(B1552,'Room Info'!$H$2:$H2446, 0)),IF(G1552='Room Info'!$G$1, INDEX('Room Info'!$A$2:$A2446, MATCH(B1552,'Room Info'!$G$2:$G2446, 0)))))))))</f>
        <v>eternity1</v>
      </c>
      <c r="B1552" s="130" t="s">
        <v>180</v>
      </c>
      <c r="C1552" s="86">
        <v>44947</v>
      </c>
      <c r="D1552" s="87">
        <v>44977</v>
      </c>
      <c r="E1552" s="47">
        <v>44958</v>
      </c>
      <c r="F1552" s="22" t="s">
        <v>41</v>
      </c>
      <c r="G1552" s="130" t="s">
        <v>61</v>
      </c>
      <c r="H1552" s="81" t="s">
        <v>238</v>
      </c>
      <c r="I1552" s="81" t="s">
        <v>68</v>
      </c>
      <c r="J1552" s="154">
        <v>0.25</v>
      </c>
      <c r="K1552" s="88">
        <v>7</v>
      </c>
      <c r="L1552" s="89">
        <v>-1</v>
      </c>
      <c r="M1552" s="44"/>
      <c r="N1552" s="28">
        <f>K1552*J1552</f>
        <v>1.75</v>
      </c>
      <c r="O1552" s="130"/>
      <c r="P1552" s="29">
        <v>0</v>
      </c>
      <c r="Q1552" s="78"/>
      <c r="R1552" s="31">
        <f>M1552+Q1552</f>
        <v>0</v>
      </c>
      <c r="S1552" s="119"/>
      <c r="T1552" s="32">
        <f>IF(AND(AD1552="EUR", F1552="Without EV deal"), R1552 + L1552,
IF(AND(AD1552="USD", F1552="Without EV deal"), R1552 + L1552,
IF(AND(AD1552="EUR", F1552="Steel Phoenix"), R1552 + S1552/U1552,
R1552 + S1552)))</f>
        <v>-1</v>
      </c>
      <c r="U1552" s="33">
        <v>1.0669999999999999</v>
      </c>
      <c r="V1552" s="58">
        <v>13</v>
      </c>
      <c r="W1552" s="58">
        <v>38</v>
      </c>
      <c r="X1552" s="30">
        <f>IF(AF1552="DoEV",IF(AND(V1552&lt;20,W1552&lt;55),0.3,0)+IF(AND(V1552&lt;20,W1552&gt;=55,W1552&lt;105),0.23,0)+IF(AND(V1552&lt;20,W1552&gt;=105),0.17,0)+IF(AND(V1552&gt;=20,V1552&lt;40,W1552&lt;45),0.3,0)+IF(AND(V1552&gt;=20,V1552&lt;40,W1552&gt;=45,W1552&lt;95),0.23,0)+IF(AND(V1552&gt;=20,V1552&lt;40,W1552&gt;=95),0.17,0)+IF(AND(V1552&gt;=40,V1552&lt;75,W1552&lt;35),0.3,0)+IF(AND(V1552&gt;=40,V1552&lt;75,W1552&gt;=35,W1552&lt;75),0.23,0)+IF(AND(V1552&gt;=40,V1552&lt;75,W1552&gt;=75,W1552&lt;120),0.17,0)+IF(AND(V1552&gt;=40,V1552&lt;75,W1552&gt;=120),0.12,0)+IF(AND(V1552&gt;=75,V1552&lt;175,W1552&lt;35),0.3,0)+IF(AND(V1552&gt;=75,V1552&lt;=175,W1552&gt;=35,W1552&lt;65),0.23,0)+IF(AND(V1552&gt;=75,V1552&lt;=175,W1552&gt;=65,W1552&lt;110),0.17,0)+IF(AND(V1552&gt;=75,V1552&lt;=175,W1552&gt;=110),0.12,0)+IF(AND(V1552&gt;175,W1552&lt;25),0.3,0)+IF(AND(V1552&gt;175,W1552&gt;=25,W1552&lt;55),0.23,0)+IF(AND(V1552&gt;175,W1552&gt;=55,W1552&lt;95),0.17,0)+IF(AND(V1552&gt;175,W1552&gt;=95),0.12,0),
IF(AF1552="Fix15",0.15,
IF(AF1552="Fix5",0.05,
IF(AF1552="Fix18.75",0.1875,
IF(AF1552="Fix11.25",0.1125,
IF(AF1552="Fix10",0.1,
IF(AF1552="Fix9",0.09,
IF(AF1552="Fix12",0.12,
IF(AF1552="Fix19",0.19,
IF(AF1552="DoEV2017",IF(AND(W1552&lt;74),0.2,0)+IF(AND(W1552&gt;=74),0.17,0),
IF(AF1552="SF",IF(AND(V1552&lt;20,W1552&lt;89),0.3,0)+IF(AND(V1552&lt;20,W1552&gt;=89),0.25,0)+IF(AND(V1552&gt;=20,V1552&lt;40,W1552&lt;74),0.3,0)+IF(AND(V1552&gt;=20,V1552&lt;40,W1552&gt;=75),0.22,0)+IF(AND(V1552&gt;=40,V1552&lt;75,W1552&lt;75),0.26,0)+IF(AND(V1552&gt;=40,V1552&lt;75,W1552&gt;=75),0.22,0)+IF(V1552&gt;=75,0.22,0),
IF(AF1552="DoEVold",IF(AND(V1552&lt;40,W1552&lt;35),0.35,0)+IF(AND(V1552&lt;40,W1552&gt;=35,W1552&lt;75),0.25,0)+IF(AND(V1552&lt;40,W1552&gt;=75),0.17,0)+IF(AND(V1552&gt;=40,V1552&lt;75,W1552&lt;25),0.35,0)+IF(AND(V1552&gt;=40,V1552&lt;75,W1552&gt;=25,W1552&lt;65),0.25,0)+IF(AND(V1552&gt;=40,V1552&lt;75,W1552&gt;=65,W1552&lt;100),0.17,0)+IF(AND(V1552&gt;=40,V1552&lt;75,W1552&gt;=100),0.1,0)+IF(AND(V1552&gt;=75,W1552&lt;25),0.35,0)+IF(AND(V1552&gt;=75,W1552&gt;=25,W1552&lt;60),0.25,0)+IF(AND(V1552&gt;=75,W1552&gt;=60,W1552&lt;95),0.17,0)+IF(AND(V1552&gt;=75,W1552&gt;=95),0.1,0),
IF(AF1552="DoEVold15",IF(AND(V1552&lt;=40,W1552&lt;35),0.35,0)+IF(AND(V1552&lt;=40,W1552&gt;=35,W1552&lt;75),0.25,0)+IF(AND(V1552&lt;=40,W1552&gt;=75,W1552&lt;120),0.17,0)+IF(AND(V1552&lt;=40,W1552&gt;=120),0.15,0)+IF(AND(V1552&gt;40,V1552&lt;75,W1552&lt;25),0.35,0)+IF(AND(V1552&gt;=40,V1552&lt;75,W1552&gt;=25,W1552&lt;65),0.25,0)+IF(AND(V1552&gt;=40,V1552&lt;75,W1552&gt;=65,W1552&lt;100),0.17,0)+IF(AND(V1552&gt;=40,V1552&lt;75,W1552&gt;=100),0.1,0)+IF(AND(V1552&gt;=75,W1552&lt;25),0.35,0)+IF(AND(V1552&gt;=75,W1552&gt;=25,W1552&lt;60),0.25,0)+IF(AND(V1552&gt;=75,W1552&gt;=60,W1552&lt;95),0.17,0)+IF(AND(V1552&gt;=75,W1552&gt;=95),0.1,0),
IF(AF1552="DoEVba",IF(AND(V1552&lt;20,W1552&lt;105),0.2,0)+IF(AND(V1552&lt;20,W1552&gt;=105),0.15,0)+IF(AND(V1552&gt;=20,V1552&lt;40,W1552&lt;95),0.2,0)+IF(AND(V1552&gt;=20,V1552&lt;40,W1552&gt;=95,W1552&lt;150),0.15,0)+IF(AND(V1552&gt;=20,V1552&lt;40,W1552&gt;=150),0.12,0)+IF(AND(V1552&gt;=40,V1552&lt;75,W1552&lt;75),0.2,0)+IF(AND(V1552&gt;=40,V1552&lt;75,W1552&gt;=75,W1552&lt;120),0.15,0)+IF(AND(V1552&gt;=40,V1552&lt;75,W1552&gt;=120),0.12,0)+IF(AND(V1552&gt;=75,V1552&lt;175,W1552&lt;65),0.2,0)+IF(AND(V1552&gt;=75,V1552&lt;175,W1552&gt;=65,W1552&lt;110),0.15,0)+IF(AND(V1552&gt;=75,V1552&lt;175,W1552&gt;=110),0.12,0)+IF(AND(V1552&gt;=175,W1552&lt;55),0.2,0)+IF(AND(V1552&gt;=175,W1552&gt;=55,W1552&lt;95),0.15,0)+IF(AND(V1552&gt;=175,W1552&gt;=95),0.12,0),
IF(AF1552="DoEVku",IF(AND(V1552&lt;20,W1552&lt;55),0.23,0)+IF(AND(V1552&lt;20,W1552&gt;=55,W1552&lt;105),0.2,0)+IF(AND(V1552&lt;20,W1552&gt;=105),0.17,0)+IF(AND(V1552&gt;=20,V1552&lt;40,W1552&lt;45),0.23,0)+IF(AND(V1552&gt;=20,V1552&lt;40,W1552&gt;=45,W1552&lt;95),0.2,0)+IF(AND(V1552&gt;=20,V1552&lt;40,W1552&gt;=95,W1552&lt;=150),0.17,0)+IF(AND(V1552&gt;=20,V1552&lt;40,W1552&gt;=150),0.12,0)+IF(AND(V1552&gt;=40,V1552&lt;75,W1552&lt;35),0.23,0)+IF(AND(V1552&gt;=40,V1552&lt;75,W1552&gt;=35,W1552&lt;75),0.2,0)+IF(AND(V1552&gt;=40,V1552&lt;75,W1552&gt;=75,W1552&lt;120),0.17,0)+IF(AND(V1552&gt;=40,V1552&lt;75,W1552&gt;=120),0.12,0)+IF(AND(V1552&gt;=75,V1552&lt;175,W1552&lt;35),0.23,0)+IF(AND(V1552&gt;=75,V1552&lt;=175,W1552&gt;=35,W1552&lt;65),0.2,0)+IF(AND(V1552&gt;=75,V1552&lt;=175,W1552&gt;=65,W1552&lt;110),0.17,0)+IF(AND(V1552&gt;=75,V1552&lt;=175,W1552&gt;=110),0.12,0)+IF(AND(V1552&gt;175,W1552&lt;25),0.23,0)+IF(AND(V1552&gt;175,W1552&gt;=25,W1552&lt;55),0.2,0)+IF(AND(V1552&gt;175,W1552&gt;=55,W1552&lt;95),0.17,0)+IF(AND(V1552&gt;175,W1552&gt;=95),0.12,0),
IF(AF1552="DoEVs1",IF(AND(V1552&lt;20,W1552&lt;55),0.3,0)+IF(AND(V1552&lt;20,W1552&gt;=55,W1552&lt;105),0.23,0)+IF(AND(V1552&lt;20,W1552&gt;=105),0.17,0)+IF(AND(V1552&gt;=20,V1552&lt;40,W1552&lt;45),0.3,0)+IF(AND(V1552&gt;=20,V1552&lt;40,W1552&gt;=45,W1552&lt;95),0.23,0)+IF(AND(V1552&gt;=20,V1552&lt;40,W1552&gt;=95,W1552&lt;=150),0.17,0)+IF(AND(V1552&gt;=20,V1552&lt;40,W1552&gt;=150),0.12,0)+IF(AND(V1552&gt;=40,V1552&lt;75,W1552&lt;35),0.3,0)+IF(AND(V1552&gt;=40,V1552&lt;75,W1552&gt;=35,W1552&lt;75),0.23,0)+IF(AND(V1552&gt;=40,V1552&lt;75,W1552&gt;=75,W1552&lt;120),0.17,0)+IF(AND(V1552&gt;=40,V1552&lt;75,W1552&gt;=120),0.12,0)+IF(AND(V1552&gt;=75,V1552&lt;175,W1552&lt;35),0.3,0)+IF(AND(V1552&gt;=75,V1552&lt;=175,W1552&gt;=35,W1552&lt;65),0.23,0)+IF(AND(V1552&gt;=75,V1552&lt;=175,W1552&gt;=65,W1552&lt;110),0.17,0)+IF(AND(V1552&gt;=75,V1552&lt;=175,W1552&gt;=110),0.12,0)+IF(AND(V1552&gt;175,W1552&lt;25),0.3,0)+IF(AND(V1552&gt;175,W1552&gt;=25,W1552&lt;55),0.23,0)+IF(AND(V1552&gt;175,W1552&gt;=55,W1552&lt;95),0.17,0)+IF(AND(V1552&gt;175,W1552&gt;=95),0.12,0),
IF(AF1552="DoEVsu",IF(AND(V1552&lt;20,W1552&lt;55),0.3,0)+IF(AND(V1552&lt;20,W1552&gt;=55,W1552&lt;105),0.23,0)+IF(AND(V1552&lt;20,W1552&gt;=105),0.17,0)+IF(AND(V1552&gt;=20,V1552&lt;40,W1552&lt;45),0.3,0)+IF(AND(V1552&gt;=20,V1552&lt;40,W1552&gt;=45,W1552&lt;95),0.23,0)+IF(AND(V1552&gt;=20,V1552&lt;40,W1552&gt;=95,W1552&lt;=250),0.17,0)+IF(AND(V1552&gt;=20,V1552&lt;40,W1552&gt;=250),0.12,0)+IF(AND(V1552&gt;=40,V1552&lt;75,W1552&lt;35),0.3,0)+IF(AND(V1552&gt;=40,V1552&lt;75,W1552&gt;=35,W1552&lt;75),0.23,0)+IF(AND(V1552&gt;=40,V1552&lt;75,W1552&gt;=75,W1552&lt;120),0.17,0)+IF(AND(V1552&gt;=40,V1552&lt;75,W1552&gt;=120),0.12,0)+IF(AND(V1552&gt;=75,V1552&lt;175,W1552&lt;35),0.3,0)+IF(AND(V1552&gt;=75,V1552&lt;=175,W1552&gt;=35,W1552&lt;65),0.23,0)+IF(AND(V1552&gt;=75,V1552&lt;=175,W1552&gt;=65,W1552&lt;110),0.17,0)+IF(AND(V1552&gt;=75,V1552&lt;=175,W1552&gt;=110),0.12,0)+IF(AND(V1552&gt;175,W1552&lt;25),0.3,0)+IF(AND(V1552&gt;175,W1552&gt;=25,W1552&lt;55),0.23,0)+IF(AND(V1552&gt;175,W1552&gt;=55,W1552&lt;95),0.17,0)+IF(AND(V1552&gt;175,W1552&gt;=95),0.12,0),
IF(AF1552="DoEVni",IF(AND(V1552&lt;20,W1552&lt;55),0.3,0)+IF(AND(V1552&lt;20,W1552&gt;=55,W1552&lt;105),0.23,0)+IF(AND(V1552&lt;20,W1552&gt;=105),0.17,0)+IF(AND(V1552&gt;=20,V1552&lt;40,W1552&lt;45),0.3,0)+IF(AND(V1552&gt;=20,V1552&lt;40,W1552&gt;=45,W1552&lt;95),0.23,0)+IF(AND(V1552&gt;=20,V1552&lt;40,W1552&gt;=95,W1552&lt;=200),0.17,0)+IF(AND(V1552&gt;=20,V1552&lt;40,W1552&gt;=200),0.12,0)+IF(AND(V1552&gt;=40,V1552&lt;75,W1552&lt;35),0.3,0)+IF(AND(V1552&gt;=40,V1552&lt;75,W1552&gt;=35,W1552&lt;75),0.23,0)+IF(AND(V1552&gt;=40,V1552&lt;75,W1552&gt;=75,W1552&lt;120),0.17,0)+IF(AND(V1552&gt;=40,V1552&lt;75,W1552&gt;=120),0.12,0)+IF(AND(V1552&gt;=75,V1552&lt;175,W1552&lt;35),0.3,0)+IF(AND(V1552&gt;=75,V1552&lt;=175,W1552&gt;=35,W1552&lt;65),0.23,0)+IF(AND(V1552&gt;=75,V1552&lt;=175,W1552&gt;=65,W1552&lt;110),0.17,0)+IF(AND(V1552&gt;=75,V1552&lt;=175,W1552&gt;=110),0.12,0)+IF(AND(V1552&gt;175,W1552&lt;25),0.3,0)+IF(AND(V1552&gt;175,W1552&gt;=25,W1552&lt;55),0.23,0)+IF(AND(V1552&gt;175,W1552&gt;=55,W1552&lt;95),0.17,0)+IF(AND(V1552&gt;175,W1552&gt;=95),0.12,0),
IF(AF1552="DoEVLo",IF(AND(V1552&lt;20,W1552&lt;55),0.25,0)+IF(AND(V1552&lt;20,W1552&gt;=55,W1552&lt;105),0.2,0)+IF(AND(V1552&lt;20,W1552&gt;=105),0.15,0)+IF(AND(V1552&gt;=20,V1552&lt;40,W1552&lt;45),0.25,0)+IF(AND(V1552&gt;=20,V1552&lt;40,W1552&gt;=45,W1552&lt;95),0.2,0)+IF(AND(V1552&gt;=20,V1552&lt;40,W1552&gt;=95),0.15,0)+IF(AND(V1552&gt;=40,V1552&lt;75,W1552&lt;35),0.25,0)+IF(AND(V1552&gt;=40,V1552&lt;75,W1552&gt;=35,W1552&lt;75),0.2,0)+IF(AND(V1552&gt;=40,V1552&lt;75,W1552&gt;=75,W1552&lt;120),0.15,0)+IF(AND(V1552&gt;=40,V1552&lt;75,W1552&gt;=120),0.1,0)+IF(AND(V1552&gt;=75,V1552&lt;175,W1552&lt;35),0.25,0)+IF(AND(V1552&gt;=75,V1552&lt;=175,W1552&gt;=35,W1552&lt;65),0.2,0)+IF(AND(V1552&gt;=75,V1552&lt;=175,W1552&gt;=65,W1552&lt;110),0.15,0)+IF(AND(V1552&gt;=75,V1552&lt;=175,W1552&gt;=110),0.1,0)+IF(AND(V1552&gt;175,W1552&lt;25),0.25,0)+IF(AND(V1552&gt;175,W1552&gt;=25,W1552&lt;55),0.2,0)+IF(AND(V1552&gt;175,W1552&gt;=55,W1552&lt;95),0.15,0)+IF(AND(V1552&gt;175,W1552&gt;=95),0.1,0))))))))))))))))))))</f>
        <v>0.3</v>
      </c>
      <c r="Y1552" s="30">
        <f>IF(AG1552="None",0,IF(AG1552="Fix5",0.05, IF(AG1552="Fix6.25",0.0625,IF(AG1552="Fix3.75",0.0375, IF(AG1552="Fix11",0.11, IF(AG1552="Fix10",0.1,IF(AG1552="Fix3",0.03,0)))))))</f>
        <v>0</v>
      </c>
      <c r="Z1552" s="35">
        <f>IF(AND(AD1552="EUR", AE1552 = "USD"), T1552*U1552-AA1552-AB1552, T1552-AA1552-AB1552)</f>
        <v>-0.7</v>
      </c>
      <c r="AA1552" s="29">
        <f>IF(AND(AD1552="EUR", F1552="Without EV deal", AE1552="USD"), (T1552*X1552)*U1552,
IF(AND(AD1552="EUR", F1552="Without EV deal", AE1552="EUR"), (T1552*X1552),
IF(AND(AD1552="EUR",AE1552="USD"), (T1552*X1552)*U1552,
T1552*X1552)))</f>
        <v>-0.3</v>
      </c>
      <c r="AB1552" s="36">
        <f>IF(AND(AD1552="EUR", F1552="Without EV deal", AE1552="USD"), (T1552*Y1552)*U1552,
IF(AND(AD1552="EUR", F1552="Without EV deal", AE1552="EUR"), (T1552*Y1552),
IF(AND(AD1552="EUR",AE1552="USD"), (T1552*Y1552)*U1552,
T1552*Y1552)))</f>
        <v>0</v>
      </c>
      <c r="AC1552" s="37" t="b">
        <v>1</v>
      </c>
      <c r="AD1552" s="61" t="str">
        <f>IF(OR(H1552="€0.25 Flash",
H1552="€0.25(nitro) new",
H1552="€1",
H1552="€2",
H1552="€2 (bf 01.08)",
H1552="€5",
H1552="€5 (1M)",
H1552="€5 (bf 01.08)",
H1552="€5 (bf 05.05)",
H1552="€5 Nitro",
H1552="€5(wx) new",
H1552="€10",
H1552="€10 (1M)",
H1552="€10 (bf 01.08)",
H1552="€10 (bf 05.05)",
H1552="€10 (MP)",
H1552="€10 (old)",
H1552="€10 Nitro (bf 05.05)",
H1552="€10 Nitro (old)",
H1552="€10(wx) new",
H1552="€20",
H1552="€25",
H1552="€25 (bf 01.08)",
H1552="€25 (bf 05.05)",
H1552="€25 (MP)",
H1552="€25 (old)",
H1552="€25 Nitro",
H1552="€25 Nitro (bf 01.08)",
H1552="€25 Nitro (bf 05.05)",
H1552="€25(nitro) new",
H1552="€25(wx) new",
H1552="€50",
H1552="€50 (bf 01.08)",
H1552="€50 (bf 05.05)",
H1552="€50 (old)",
H1552="€50 Nitro",
H1552="€50 Nitro (bf 01.08)",
H1552="€50 Nitro (bf 05.05)",
H1552="€50(wx) new",
H1552="€100",
H1552="€100 (old)",
H1552="€100 Nitro",
H1552="€100 Nitro (old)",
H1552="€200",
H1552="€250",
H1552="€250 Nitro",
H1552="€500",
H1552="€500 Nitro"),"EUR", "USD")</f>
        <v>EUR</v>
      </c>
      <c r="AE1552" s="61" t="s">
        <v>50</v>
      </c>
      <c r="AF1552" s="37" t="str">
        <f t="array" ref="AF1552">INDEX('Deal Info'!D:D, MATCH(A1552,'Deal Info'!A:A, 0))</f>
        <v>DoEV</v>
      </c>
      <c r="AG1552" s="38" t="str">
        <f t="array" ref="AG1552">INDEX('Deal Info'!G:G, MATCH(A1552,'Deal Info'!A:A, 0))</f>
        <v>None</v>
      </c>
    </row>
    <row r="1553" spans="1:33" ht="14.25" hidden="1" x14ac:dyDescent="0.2">
      <c r="A1553" s="18" t="s">
        <v>232</v>
      </c>
      <c r="B1553" s="96" t="s">
        <v>232</v>
      </c>
      <c r="C1553" s="111">
        <v>44958</v>
      </c>
      <c r="D1553" s="111">
        <v>44985</v>
      </c>
      <c r="E1553" s="80">
        <v>44958</v>
      </c>
      <c r="F1553" s="96" t="s">
        <v>41</v>
      </c>
      <c r="G1553" s="65" t="s">
        <v>35</v>
      </c>
      <c r="H1553" s="100" t="s">
        <v>46</v>
      </c>
      <c r="I1553" s="100" t="s">
        <v>37</v>
      </c>
      <c r="J1553" s="39">
        <v>25</v>
      </c>
      <c r="K1553" s="112">
        <v>2</v>
      </c>
      <c r="L1553" s="113">
        <v>0</v>
      </c>
      <c r="M1553" s="62">
        <v>150</v>
      </c>
      <c r="N1553" s="28">
        <v>50</v>
      </c>
      <c r="O1553" s="65"/>
      <c r="P1553" s="29">
        <v>0</v>
      </c>
      <c r="Q1553" s="55"/>
      <c r="R1553" s="31">
        <f>M1553+Q1553*J1553*K1553*0.07</f>
        <v>150</v>
      </c>
      <c r="S1553" s="66"/>
      <c r="T1553" s="32">
        <f>IF(AND(AD1553="EUR", F1553="Without EV deal"), R1553 + L1553,
IF(AND(AD1553="USD", F1553="Without EV deal"), R1553 + L1553,
IF(AND(AD1553="EUR", F1553="Steel Phoenix"), R1553 + S1553/U1553,
R1553 + S1553)))</f>
        <v>150</v>
      </c>
      <c r="U1553" s="57">
        <v>1.0620000000000001</v>
      </c>
      <c r="V1553" s="69">
        <v>27.338282078472957</v>
      </c>
      <c r="W1553" s="69">
        <v>85.228837470907692</v>
      </c>
      <c r="X1553" s="30">
        <f>IF(AF1553="DoEV",IF(AND(V1553&lt;20,W1553&lt;55),0.3,0)+IF(AND(V1553&lt;20,W1553&gt;=55,W1553&lt;105),0.23,0)+IF(AND(V1553&lt;20,W1553&gt;=105),0.17,0)+IF(AND(V1553&gt;=20,V1553&lt;40,W1553&lt;45),0.3,0)+IF(AND(V1553&gt;=20,V1553&lt;40,W1553&gt;=45,W1553&lt;95),0.23,0)+IF(AND(V1553&gt;=20,V1553&lt;40,W1553&gt;=95),0.17,0)+IF(AND(V1553&gt;=40,V1553&lt;75,W1553&lt;35),0.3,0)+IF(AND(V1553&gt;=40,V1553&lt;75,W1553&gt;=35,W1553&lt;75),0.23,0)+IF(AND(V1553&gt;=40,V1553&lt;75,W1553&gt;=75,W1553&lt;120),0.17,0)+IF(AND(V1553&gt;=40,V1553&lt;75,W1553&gt;=120),0.12,0)+IF(AND(V1553&gt;=75,V1553&lt;175,W1553&lt;35),0.3,0)+IF(AND(V1553&gt;=75,V1553&lt;=175,W1553&gt;=35,W1553&lt;65),0.23,0)+IF(AND(V1553&gt;=75,V1553&lt;=175,W1553&gt;=65,W1553&lt;110),0.17,0)+IF(AND(V1553&gt;=75,V1553&lt;=175,W1553&gt;=110),0.12,0)+IF(AND(V1553&gt;175,W1553&lt;25),0.3,0)+IF(AND(V1553&gt;175,W1553&gt;=25,W1553&lt;55),0.23,0)+IF(AND(V1553&gt;175,W1553&gt;=55,W1553&lt;95),0.17,0)+IF(AND(V1553&gt;175,W1553&gt;=95),0.12,0),
IF(AF1553="Fix15",0.15,
IF(AF1553="Fix5",0.05,
IF(AF1553="Fix18.75",0.1875,
IF(AF1553="Fix11.25",0.1125,
IF(AF1553="Fix10",0.1,
IF(AF1553="Fix9",0.09,
IF(AF1553="Fix12",0.12,
IF(AF1553="Fix19",0.19,
IF(AF1553="DoEV2017",IF(AND(W1553&lt;74),0.2,0)+IF(AND(W1553&gt;=74),0.17,0),
IF(AF1553="SF",IF(AND(V1553&lt;20,W1553&lt;89),0.3,0)+IF(AND(V1553&lt;20,W1553&gt;=89),0.25,0)+IF(AND(V1553&gt;=20,V1553&lt;40,W1553&lt;74),0.3,0)+IF(AND(V1553&gt;=20,V1553&lt;40,W1553&gt;=75),0.22,0)+IF(AND(V1553&gt;=40,V1553&lt;75,W1553&lt;75),0.26,0)+IF(AND(V1553&gt;=40,V1553&lt;75,W1553&gt;=75),0.22,0)+IF(V1553&gt;=75,0.22,0),
IF(AF1553="DoEVold",IF(AND(V1553&lt;40,W1553&lt;35),0.35,0)+IF(AND(V1553&lt;40,W1553&gt;=35,W1553&lt;75),0.25,0)+IF(AND(V1553&lt;40,W1553&gt;=75),0.17,0)+IF(AND(V1553&gt;=40,V1553&lt;75,W1553&lt;25),0.35,0)+IF(AND(V1553&gt;=40,V1553&lt;75,W1553&gt;=25,W1553&lt;65),0.25,0)+IF(AND(V1553&gt;=40,V1553&lt;75,W1553&gt;=65,W1553&lt;100),0.17,0)+IF(AND(V1553&gt;=40,V1553&lt;75,W1553&gt;=100),0.1,0)+IF(AND(V1553&gt;=75,W1553&lt;25),0.35,0)+IF(AND(V1553&gt;=75,W1553&gt;=25,W1553&lt;60),0.25,0)+IF(AND(V1553&gt;=75,W1553&gt;=60,W1553&lt;95),0.17,0)+IF(AND(V1553&gt;=75,W1553&gt;=95),0.1,0),
IF(AF1553="DoEVold15",IF(AND(V1553&lt;=40,W1553&lt;35),0.35,0)+IF(AND(V1553&lt;=40,W1553&gt;=35,W1553&lt;75),0.25,0)+IF(AND(V1553&lt;=40,W1553&gt;=75,W1553&lt;120),0.17,0)+IF(AND(V1553&lt;=40,W1553&gt;=120),0.15,0)+IF(AND(V1553&gt;40,V1553&lt;75,W1553&lt;25),0.35,0)+IF(AND(V1553&gt;=40,V1553&lt;75,W1553&gt;=25,W1553&lt;65),0.25,0)+IF(AND(V1553&gt;=40,V1553&lt;75,W1553&gt;=65,W1553&lt;100),0.17,0)+IF(AND(V1553&gt;=40,V1553&lt;75,W1553&gt;=100),0.1,0)+IF(AND(V1553&gt;=75,W1553&lt;25),0.35,0)+IF(AND(V1553&gt;=75,W1553&gt;=25,W1553&lt;60),0.25,0)+IF(AND(V1553&gt;=75,W1553&gt;=60,W1553&lt;95),0.17,0)+IF(AND(V1553&gt;=75,W1553&gt;=95),0.1,0),
IF(AF1553="DoEVba",IF(AND(V1553&lt;20,W1553&lt;105),0.2,0)+IF(AND(V1553&lt;20,W1553&gt;=105),0.15,0)+IF(AND(V1553&gt;=20,V1553&lt;40,W1553&lt;95),0.2,0)+IF(AND(V1553&gt;=20,V1553&lt;40,W1553&gt;=95,W1553&lt;150),0.15,0)+IF(AND(V1553&gt;=20,V1553&lt;40,W1553&gt;=150),0.12,0)+IF(AND(V1553&gt;=40,V1553&lt;75,W1553&lt;75),0.2,0)+IF(AND(V1553&gt;=40,V1553&lt;75,W1553&gt;=75,W1553&lt;120),0.15,0)+IF(AND(V1553&gt;=40,V1553&lt;75,W1553&gt;=120),0.12,0)+IF(AND(V1553&gt;=75,V1553&lt;175,W1553&lt;65),0.2,0)+IF(AND(V1553&gt;=75,V1553&lt;175,W1553&gt;=65,W1553&lt;110),0.15,0)+IF(AND(V1553&gt;=75,V1553&lt;175,W1553&gt;=110),0.12,0)+IF(AND(V1553&gt;=175,W1553&lt;55),0.2,0)+IF(AND(V1553&gt;=175,W1553&gt;=55,W1553&lt;95),0.15,0)+IF(AND(V1553&gt;=175,W1553&gt;=95),0.12,0),
IF(AF1553="DoEVku",IF(AND(V1553&lt;20,W1553&lt;55),0.23,0)+IF(AND(V1553&lt;20,W1553&gt;=55,W1553&lt;105),0.2,0)+IF(AND(V1553&lt;20,W1553&gt;=105),0.17,0)+IF(AND(V1553&gt;=20,V1553&lt;40,W1553&lt;45),0.23,0)+IF(AND(V1553&gt;=20,V1553&lt;40,W1553&gt;=45,W1553&lt;95),0.2,0)+IF(AND(V1553&gt;=20,V1553&lt;40,W1553&gt;=95,W1553&lt;=150),0.17,0)+IF(AND(V1553&gt;=20,V1553&lt;40,W1553&gt;=150),0.12,0)+IF(AND(V1553&gt;=40,V1553&lt;75,W1553&lt;35),0.23,0)+IF(AND(V1553&gt;=40,V1553&lt;75,W1553&gt;=35,W1553&lt;75),0.2,0)+IF(AND(V1553&gt;=40,V1553&lt;75,W1553&gt;=75,W1553&lt;120),0.17,0)+IF(AND(V1553&gt;=40,V1553&lt;75,W1553&gt;=120),0.12,0)+IF(AND(V1553&gt;=75,V1553&lt;175,W1553&lt;35),0.23,0)+IF(AND(V1553&gt;=75,V1553&lt;=175,W1553&gt;=35,W1553&lt;65),0.2,0)+IF(AND(V1553&gt;=75,V1553&lt;=175,W1553&gt;=65,W1553&lt;110),0.17,0)+IF(AND(V1553&gt;=75,V1553&lt;=175,W1553&gt;=110),0.12,0)+IF(AND(V1553&gt;175,W1553&lt;25),0.23,0)+IF(AND(V1553&gt;175,W1553&gt;=25,W1553&lt;55),0.2,0)+IF(AND(V1553&gt;175,W1553&gt;=55,W1553&lt;95),0.17,0)+IF(AND(V1553&gt;175,W1553&gt;=95),0.12,0),
IF(AF1553="DoEVs1",IF(AND(V1553&lt;20,W1553&lt;55),0.3,0)+IF(AND(V1553&lt;20,W1553&gt;=55,W1553&lt;105),0.23,0)+IF(AND(V1553&lt;20,W1553&gt;=105),0.17,0)+IF(AND(V1553&gt;=20,V1553&lt;40,W1553&lt;45),0.3,0)+IF(AND(V1553&gt;=20,V1553&lt;40,W1553&gt;=45,W1553&lt;95),0.23,0)+IF(AND(V1553&gt;=20,V1553&lt;40,W1553&gt;=95,W1553&lt;=150),0.17,0)+IF(AND(V1553&gt;=20,V1553&lt;40,W1553&gt;=150),0.12,0)+IF(AND(V1553&gt;=40,V1553&lt;75,W1553&lt;35),0.3,0)+IF(AND(V1553&gt;=40,V1553&lt;75,W1553&gt;=35,W1553&lt;75),0.23,0)+IF(AND(V1553&gt;=40,V1553&lt;75,W1553&gt;=75,W1553&lt;120),0.17,0)+IF(AND(V1553&gt;=40,V1553&lt;75,W1553&gt;=120),0.12,0)+IF(AND(V1553&gt;=75,V1553&lt;175,W1553&lt;35),0.3,0)+IF(AND(V1553&gt;=75,V1553&lt;=175,W1553&gt;=35,W1553&lt;65),0.23,0)+IF(AND(V1553&gt;=75,V1553&lt;=175,W1553&gt;=65,W1553&lt;110),0.17,0)+IF(AND(V1553&gt;=75,V1553&lt;=175,W1553&gt;=110),0.12,0)+IF(AND(V1553&gt;175,W1553&lt;25),0.3,0)+IF(AND(V1553&gt;175,W1553&gt;=25,W1553&lt;55),0.23,0)+IF(AND(V1553&gt;175,W1553&gt;=55,W1553&lt;95),0.17,0)+IF(AND(V1553&gt;175,W1553&gt;=95),0.12,0),
IF(AF1553="DoEVsu",IF(AND(V1553&lt;20,W1553&lt;55),0.3,0)+IF(AND(V1553&lt;20,W1553&gt;=55,W1553&lt;105),0.23,0)+IF(AND(V1553&lt;20,W1553&gt;=105),0.17,0)+IF(AND(V1553&gt;=20,V1553&lt;40,W1553&lt;45),0.3,0)+IF(AND(V1553&gt;=20,V1553&lt;40,W1553&gt;=45,W1553&lt;95),0.23,0)+IF(AND(V1553&gt;=20,V1553&lt;40,W1553&gt;=95,W1553&lt;=250),0.17,0)+IF(AND(V1553&gt;=20,V1553&lt;40,W1553&gt;=250),0.12,0)+IF(AND(V1553&gt;=40,V1553&lt;75,W1553&lt;35),0.3,0)+IF(AND(V1553&gt;=40,V1553&lt;75,W1553&gt;=35,W1553&lt;75),0.23,0)+IF(AND(V1553&gt;=40,V1553&lt;75,W1553&gt;=75,W1553&lt;120),0.17,0)+IF(AND(V1553&gt;=40,V1553&lt;75,W1553&gt;=120),0.12,0)+IF(AND(V1553&gt;=75,V1553&lt;175,W1553&lt;35),0.3,0)+IF(AND(V1553&gt;=75,V1553&lt;=175,W1553&gt;=35,W1553&lt;65),0.23,0)+IF(AND(V1553&gt;=75,V1553&lt;=175,W1553&gt;=65,W1553&lt;110),0.17,0)+IF(AND(V1553&gt;=75,V1553&lt;=175,W1553&gt;=110),0.12,0)+IF(AND(V1553&gt;175,W1553&lt;25),0.3,0)+IF(AND(V1553&gt;175,W1553&gt;=25,W1553&lt;55),0.23,0)+IF(AND(V1553&gt;175,W1553&gt;=55,W1553&lt;95),0.17,0)+IF(AND(V1553&gt;175,W1553&gt;=95),0.12,0),
IF(AF1553="DoEVni",IF(AND(V1553&lt;20,W1553&lt;55),0.3,0)+IF(AND(V1553&lt;20,W1553&gt;=55,W1553&lt;105),0.23,0)+IF(AND(V1553&lt;20,W1553&gt;=105),0.17,0)+IF(AND(V1553&gt;=20,V1553&lt;40,W1553&lt;45),0.3,0)+IF(AND(V1553&gt;=20,V1553&lt;40,W1553&gt;=45,W1553&lt;95),0.23,0)+IF(AND(V1553&gt;=20,V1553&lt;40,W1553&gt;=95,W1553&lt;=200),0.17,0)+IF(AND(V1553&gt;=20,V1553&lt;40,W1553&gt;=200),0.12,0)+IF(AND(V1553&gt;=40,V1553&lt;75,W1553&lt;35),0.3,0)+IF(AND(V1553&gt;=40,V1553&lt;75,W1553&gt;=35,W1553&lt;75),0.23,0)+IF(AND(V1553&gt;=40,V1553&lt;75,W1553&gt;=75,W1553&lt;120),0.17,0)+IF(AND(V1553&gt;=40,V1553&lt;75,W1553&gt;=120),0.12,0)+IF(AND(V1553&gt;=75,V1553&lt;175,W1553&lt;35),0.3,0)+IF(AND(V1553&gt;=75,V1553&lt;=175,W1553&gt;=35,W1553&lt;65),0.23,0)+IF(AND(V1553&gt;=75,V1553&lt;=175,W1553&gt;=65,W1553&lt;110),0.17,0)+IF(AND(V1553&gt;=75,V1553&lt;=175,W1553&gt;=110),0.12,0)+IF(AND(V1553&gt;175,W1553&lt;25),0.3,0)+IF(AND(V1553&gt;175,W1553&gt;=25,W1553&lt;55),0.23,0)+IF(AND(V1553&gt;175,W1553&gt;=55,W1553&lt;95),0.17,0)+IF(AND(V1553&gt;175,W1553&gt;=95),0.12,0),
IF(AF1553="DoEVLo",IF(AND(V1553&lt;20,W1553&lt;55),0.25,0)+IF(AND(V1553&lt;20,W1553&gt;=55,W1553&lt;105),0.2,0)+IF(AND(V1553&lt;20,W1553&gt;=105),0.15,0)+IF(AND(V1553&gt;=20,V1553&lt;40,W1553&lt;45),0.25,0)+IF(AND(V1553&gt;=20,V1553&lt;40,W1553&gt;=45,W1553&lt;95),0.2,0)+IF(AND(V1553&gt;=20,V1553&lt;40,W1553&gt;=95),0.15,0)+IF(AND(V1553&gt;=40,V1553&lt;75,W1553&lt;35),0.25,0)+IF(AND(V1553&gt;=40,V1553&lt;75,W1553&gt;=35,W1553&lt;75),0.2,0)+IF(AND(V1553&gt;=40,V1553&lt;75,W1553&gt;=75,W1553&lt;120),0.15,0)+IF(AND(V1553&gt;=40,V1553&lt;75,W1553&gt;=120),0.1,0)+IF(AND(V1553&gt;=75,V1553&lt;175,W1553&lt;35),0.25,0)+IF(AND(V1553&gt;=75,V1553&lt;=175,W1553&gt;=35,W1553&lt;65),0.2,0)+IF(AND(V1553&gt;=75,V1553&lt;=175,W1553&gt;=65,W1553&lt;110),0.15,0)+IF(AND(V1553&gt;=75,V1553&lt;=175,W1553&gt;=110),0.1,0)+IF(AND(V1553&gt;175,W1553&lt;25),0.25,0)+IF(AND(V1553&gt;175,W1553&gt;=25,W1553&lt;55),0.2,0)+IF(AND(V1553&gt;175,W1553&gt;=55,W1553&lt;95),0.15,0)+IF(AND(V1553&gt;175,W1553&gt;=95),0.1,0))))))))))))))))))))</f>
        <v>0.23</v>
      </c>
      <c r="Y1553" s="30">
        <f>IF(AG1553="None",0,IF(AG1553="Fix5",0.05, IF(AG1553="Fix6.25",0.0625,IF(AG1553="Fix3.75",0.0375, IF(AG1553="Fix11",0.11, IF(AG1553="Fix10",0.1,IF(AG1553="Fix3",0.03,0)))))))</f>
        <v>0</v>
      </c>
      <c r="Z1553" s="35">
        <f>IF(AND(AD1553="EUR", AE1553 = "USD"), T1553*U1553-AA1553-AB1553, T1553-AA1553-AB1553)</f>
        <v>115.5</v>
      </c>
      <c r="AA1553" s="29">
        <f>IF(AND(AD1553="EUR", F1553="Without EV deal", AE1553="USD"), (T1553*X1553)*U1553,
IF(AND(AD1553="EUR", F1553="Without EV deal", AE1553="EUR"), (T1553*X1553),
IF(AND(AD1553="EUR",AE1553="USD"), (T1553*X1553)*U1553,
T1553*X1553)))</f>
        <v>34.5</v>
      </c>
      <c r="AB1553" s="36">
        <f>IF(AND(AD1553="EUR", F1553="Without EV deal", AE1553="USD"), (T1553*Y1553)*U1553,
IF(AND(AD1553="EUR", F1553="Without EV deal", AE1553="EUR"), (T1553*Y1553),
IF(AND(AD1553="EUR",AE1553="USD"), (T1553*Y1553)*U1553,
T1553*Y1553)))</f>
        <v>0</v>
      </c>
      <c r="AC1553" s="37" t="b">
        <v>1</v>
      </c>
      <c r="AD1553" s="82" t="str">
        <f>IF(OR(H1553="€0.25 Flash",
H1553="€0.25(nitro) new",
H1553="€1",
H1553="€2",
H1553="€2 (bf 01.08)",
H1553="€5",
H1553="€5 (1M)",
H1553="€5 (bf 01.08)",
H1553="€5 (bf 05.05)",
H1553="€5 Nitro",
H1553="€5(wx) new",
H1553="€10",
H1553="€10 (1M)",
H1553="€10 (bf 01.08)",
H1553="€10 (bf 05.05)",
H1553="€10 (MP)",
H1553="€10 (old)",
H1553="€10 Nitro (bf 05.05)",
H1553="€10 Nitro (old)",
H1553="€10(wx) new",
H1553="€20",
H1553="€25",
H1553="€25 (bf 01.08)",
H1553="€25 (bf 05.05)",
H1553="€25 (MP)",
H1553="€25 (old)",
H1553="€25 Nitro",
H1553="€25 Nitro (bf 01.08)",
H1553="€25 Nitro (bf 05.05)",
H1553="€25(nitro) new",
H1553="€25(wx) new",
H1553="€50",
H1553="€50 (bf 01.08)",
H1553="€50 (bf 05.05)",
H1553="€50 (old)",
H1553="€50 Nitro",
H1553="€50 Nitro (bf 01.08)",
H1553="€50 Nitro (bf 05.05)",
H1553="€50(wx) new",
H1553="€100",
H1553="€100 (old)",
H1553="€100 Nitro",
H1553="€100 Nitro (old)",
H1553="€200",
H1553="€250",
H1553="€250 Nitro",
H1553="€500",
H1553="€500 Nitro"),"EUR", "USD")</f>
        <v>USD</v>
      </c>
      <c r="AE1553" s="82"/>
      <c r="AF1553" s="83" t="str">
        <f t="array" ref="AF1553">INDEX('Deal Info'!D:D, MATCH(A1553,'Deal Info'!A:A, 0))</f>
        <v>DoEV</v>
      </c>
      <c r="AG1553" s="84" t="str">
        <f t="array" ref="AG1553">INDEX('Deal Info'!G:G, MATCH(A1553,'Deal Info'!A:A, 0))</f>
        <v>None</v>
      </c>
    </row>
    <row r="1554" spans="1:33" ht="14.25" hidden="1" x14ac:dyDescent="0.2">
      <c r="A1554" s="18" t="str">
        <f t="array" ref="A1554">IF(G1554='Room Info'!$B$1, INDEX('Room Info'!$A$2:$A2446, MATCH(B1554,'Room Info'!$B$2:$B2446, 0)),IF(G1554='Room Info'!$C$1, INDEX('Room Info'!$A$2:$A2446, MATCH(B1554,'Room Info'!$C$2:$C2446, 0)),IF(G1554='Room Info'!$D$1, INDEX('Room Info'!$A$2:$A2446, MATCH(B1554,'Room Info'!$D$2:$D2446, 0)),IF(G1554='Room Info'!$E$1, INDEX('Room Info'!$A$2:$A2446, MATCH(B1554,'Room Info'!$E$2:$E2446, 0)),IF(G1554='Room Info'!$F$1, INDEX('Room Info'!$A$2:$A2446, MATCH(B1554,'Room Info'!$F$2:$F2446, 0)),IF(G1554='Room Info'!$H$1, INDEX('Room Info'!$A$2:$A2446, MATCH(B1554,'Room Info'!$H$2:$H2446, 0)),IF(G1554='Room Info'!$G$1, INDEX('Room Info'!$A$2:$A2446, MATCH(B1554,'Room Info'!$G$2:$G2446, 0)))))))))</f>
        <v>Orthodoxxxx</v>
      </c>
      <c r="B1554" s="96" t="s">
        <v>233</v>
      </c>
      <c r="C1554" s="46">
        <v>44975</v>
      </c>
      <c r="D1554" s="111">
        <v>44985</v>
      </c>
      <c r="E1554" s="80">
        <v>44958</v>
      </c>
      <c r="F1554" s="96" t="s">
        <v>49</v>
      </c>
      <c r="G1554" s="129" t="s">
        <v>223</v>
      </c>
      <c r="H1554" s="49" t="s">
        <v>56</v>
      </c>
      <c r="I1554" s="100" t="s">
        <v>37</v>
      </c>
      <c r="J1554" s="39">
        <v>20</v>
      </c>
      <c r="K1554" s="51">
        <v>8</v>
      </c>
      <c r="L1554" s="113"/>
      <c r="M1554" s="62"/>
      <c r="N1554" s="28">
        <f>K1554*J1554</f>
        <v>160</v>
      </c>
      <c r="O1554" s="65"/>
      <c r="P1554" s="29">
        <v>0</v>
      </c>
      <c r="Q1554" s="103">
        <v>0.47</v>
      </c>
      <c r="R1554" s="31">
        <f>M1554+Q1554*J1554*K1554*0.07</f>
        <v>5.2639999999999993</v>
      </c>
      <c r="S1554" s="109">
        <f>-6*0.83</f>
        <v>-4.9799999999999995</v>
      </c>
      <c r="T1554" s="32">
        <f>IF(AND(AD1554="EUR", F1554="Without EV deal"), R1554 + L1554,
IF(AND(AD1554="USD", F1554="Without EV deal"), R1554 + L1554,
IF(AND(AD1554="EUR", F1554="Steel Phoenix"), R1554 + S1554/U1554,
R1554 + S1554)))</f>
        <v>0.28399999999999981</v>
      </c>
      <c r="U1554" s="57">
        <v>1.0620000000000001</v>
      </c>
      <c r="V1554" s="58"/>
      <c r="W1554" s="58"/>
      <c r="X1554" s="30">
        <f>IF(AF1554="DoEV",IF(AND(V1554&lt;20,W1554&lt;55),0.3,0)+IF(AND(V1554&lt;20,W1554&gt;=55,W1554&lt;105),0.23,0)+IF(AND(V1554&lt;20,W1554&gt;=105),0.17,0)+IF(AND(V1554&gt;=20,V1554&lt;40,W1554&lt;45),0.3,0)+IF(AND(V1554&gt;=20,V1554&lt;40,W1554&gt;=45,W1554&lt;95),0.23,0)+IF(AND(V1554&gt;=20,V1554&lt;40,W1554&gt;=95),0.17,0)+IF(AND(V1554&gt;=40,V1554&lt;75,W1554&lt;35),0.3,0)+IF(AND(V1554&gt;=40,V1554&lt;75,W1554&gt;=35,W1554&lt;75),0.23,0)+IF(AND(V1554&gt;=40,V1554&lt;75,W1554&gt;=75,W1554&lt;120),0.17,0)+IF(AND(V1554&gt;=40,V1554&lt;75,W1554&gt;=120),0.12,0)+IF(AND(V1554&gt;=75,V1554&lt;175,W1554&lt;35),0.3,0)+IF(AND(V1554&gt;=75,V1554&lt;=175,W1554&gt;=35,W1554&lt;65),0.23,0)+IF(AND(V1554&gt;=75,V1554&lt;=175,W1554&gt;=65,W1554&lt;110),0.17,0)+IF(AND(V1554&gt;=75,V1554&lt;=175,W1554&gt;=110),0.12,0)+IF(AND(V1554&gt;175,W1554&lt;25),0.3,0)+IF(AND(V1554&gt;175,W1554&gt;=25,W1554&lt;55),0.23,0)+IF(AND(V1554&gt;175,W1554&gt;=55,W1554&lt;95),0.17,0)+IF(AND(V1554&gt;175,W1554&gt;=95),0.12,0),
IF(AF1554="Fix15",0.15,
IF(AF1554="Fix5",0.05,
IF(AF1554="Fix18.75",0.1875,
IF(AF1554="Fix11.25",0.1125,
IF(AF1554="Fix10",0.1,
IF(AF1554="Fix9",0.09,
IF(AF1554="Fix12",0.12,
IF(AF1554="Fix19",0.19,
IF(AF1554="DoEV2017",IF(AND(W1554&lt;74),0.2,0)+IF(AND(W1554&gt;=74),0.17,0),
IF(AF1554="SF",IF(AND(V1554&lt;20,W1554&lt;89),0.3,0)+IF(AND(V1554&lt;20,W1554&gt;=89),0.25,0)+IF(AND(V1554&gt;=20,V1554&lt;40,W1554&lt;74),0.3,0)+IF(AND(V1554&gt;=20,V1554&lt;40,W1554&gt;=75),0.22,0)+IF(AND(V1554&gt;=40,V1554&lt;75,W1554&lt;75),0.26,0)+IF(AND(V1554&gt;=40,V1554&lt;75,W1554&gt;=75),0.22,0)+IF(V1554&gt;=75,0.22,0),
IF(AF1554="DoEVold",IF(AND(V1554&lt;40,W1554&lt;35),0.35,0)+IF(AND(V1554&lt;40,W1554&gt;=35,W1554&lt;75),0.25,0)+IF(AND(V1554&lt;40,W1554&gt;=75),0.17,0)+IF(AND(V1554&gt;=40,V1554&lt;75,W1554&lt;25),0.35,0)+IF(AND(V1554&gt;=40,V1554&lt;75,W1554&gt;=25,W1554&lt;65),0.25,0)+IF(AND(V1554&gt;=40,V1554&lt;75,W1554&gt;=65,W1554&lt;100),0.17,0)+IF(AND(V1554&gt;=40,V1554&lt;75,W1554&gt;=100),0.1,0)+IF(AND(V1554&gt;=75,W1554&lt;25),0.35,0)+IF(AND(V1554&gt;=75,W1554&gt;=25,W1554&lt;60),0.25,0)+IF(AND(V1554&gt;=75,W1554&gt;=60,W1554&lt;95),0.17,0)+IF(AND(V1554&gt;=75,W1554&gt;=95),0.1,0),
IF(AF1554="DoEVold15",IF(AND(V1554&lt;=40,W1554&lt;35),0.35,0)+IF(AND(V1554&lt;=40,W1554&gt;=35,W1554&lt;75),0.25,0)+IF(AND(V1554&lt;=40,W1554&gt;=75,W1554&lt;120),0.17,0)+IF(AND(V1554&lt;=40,W1554&gt;=120),0.15,0)+IF(AND(V1554&gt;40,V1554&lt;75,W1554&lt;25),0.35,0)+IF(AND(V1554&gt;=40,V1554&lt;75,W1554&gt;=25,W1554&lt;65),0.25,0)+IF(AND(V1554&gt;=40,V1554&lt;75,W1554&gt;=65,W1554&lt;100),0.17,0)+IF(AND(V1554&gt;=40,V1554&lt;75,W1554&gt;=100),0.1,0)+IF(AND(V1554&gt;=75,W1554&lt;25),0.35,0)+IF(AND(V1554&gt;=75,W1554&gt;=25,W1554&lt;60),0.25,0)+IF(AND(V1554&gt;=75,W1554&gt;=60,W1554&lt;95),0.17,0)+IF(AND(V1554&gt;=75,W1554&gt;=95),0.1,0),
IF(AF1554="DoEVba",IF(AND(V1554&lt;20,W1554&lt;105),0.2,0)+IF(AND(V1554&lt;20,W1554&gt;=105),0.15,0)+IF(AND(V1554&gt;=20,V1554&lt;40,W1554&lt;95),0.2,0)+IF(AND(V1554&gt;=20,V1554&lt;40,W1554&gt;=95,W1554&lt;150),0.15,0)+IF(AND(V1554&gt;=20,V1554&lt;40,W1554&gt;=150),0.12,0)+IF(AND(V1554&gt;=40,V1554&lt;75,W1554&lt;75),0.2,0)+IF(AND(V1554&gt;=40,V1554&lt;75,W1554&gt;=75,W1554&lt;120),0.15,0)+IF(AND(V1554&gt;=40,V1554&lt;75,W1554&gt;=120),0.12,0)+IF(AND(V1554&gt;=75,V1554&lt;175,W1554&lt;65),0.2,0)+IF(AND(V1554&gt;=75,V1554&lt;175,W1554&gt;=65,W1554&lt;110),0.15,0)+IF(AND(V1554&gt;=75,V1554&lt;175,W1554&gt;=110),0.12,0)+IF(AND(V1554&gt;=175,W1554&lt;55),0.2,0)+IF(AND(V1554&gt;=175,W1554&gt;=55,W1554&lt;95),0.15,0)+IF(AND(V1554&gt;=175,W1554&gt;=95),0.12,0),
IF(AF1554="DoEVku",IF(AND(V1554&lt;20,W1554&lt;55),0.23,0)+IF(AND(V1554&lt;20,W1554&gt;=55,W1554&lt;105),0.2,0)+IF(AND(V1554&lt;20,W1554&gt;=105),0.17,0)+IF(AND(V1554&gt;=20,V1554&lt;40,W1554&lt;45),0.23,0)+IF(AND(V1554&gt;=20,V1554&lt;40,W1554&gt;=45,W1554&lt;95),0.2,0)+IF(AND(V1554&gt;=20,V1554&lt;40,W1554&gt;=95,W1554&lt;=150),0.17,0)+IF(AND(V1554&gt;=20,V1554&lt;40,W1554&gt;=150),0.12,0)+IF(AND(V1554&gt;=40,V1554&lt;75,W1554&lt;35),0.23,0)+IF(AND(V1554&gt;=40,V1554&lt;75,W1554&gt;=35,W1554&lt;75),0.2,0)+IF(AND(V1554&gt;=40,V1554&lt;75,W1554&gt;=75,W1554&lt;120),0.17,0)+IF(AND(V1554&gt;=40,V1554&lt;75,W1554&gt;=120),0.12,0)+IF(AND(V1554&gt;=75,V1554&lt;175,W1554&lt;35),0.23,0)+IF(AND(V1554&gt;=75,V1554&lt;=175,W1554&gt;=35,W1554&lt;65),0.2,0)+IF(AND(V1554&gt;=75,V1554&lt;=175,W1554&gt;=65,W1554&lt;110),0.17,0)+IF(AND(V1554&gt;=75,V1554&lt;=175,W1554&gt;=110),0.12,0)+IF(AND(V1554&gt;175,W1554&lt;25),0.23,0)+IF(AND(V1554&gt;175,W1554&gt;=25,W1554&lt;55),0.2,0)+IF(AND(V1554&gt;175,W1554&gt;=55,W1554&lt;95),0.17,0)+IF(AND(V1554&gt;175,W1554&gt;=95),0.12,0),
IF(AF1554="DoEVs1",IF(AND(V1554&lt;20,W1554&lt;55),0.3,0)+IF(AND(V1554&lt;20,W1554&gt;=55,W1554&lt;105),0.23,0)+IF(AND(V1554&lt;20,W1554&gt;=105),0.17,0)+IF(AND(V1554&gt;=20,V1554&lt;40,W1554&lt;45),0.3,0)+IF(AND(V1554&gt;=20,V1554&lt;40,W1554&gt;=45,W1554&lt;95),0.23,0)+IF(AND(V1554&gt;=20,V1554&lt;40,W1554&gt;=95,W1554&lt;=150),0.17,0)+IF(AND(V1554&gt;=20,V1554&lt;40,W1554&gt;=150),0.12,0)+IF(AND(V1554&gt;=40,V1554&lt;75,W1554&lt;35),0.3,0)+IF(AND(V1554&gt;=40,V1554&lt;75,W1554&gt;=35,W1554&lt;75),0.23,0)+IF(AND(V1554&gt;=40,V1554&lt;75,W1554&gt;=75,W1554&lt;120),0.17,0)+IF(AND(V1554&gt;=40,V1554&lt;75,W1554&gt;=120),0.12,0)+IF(AND(V1554&gt;=75,V1554&lt;175,W1554&lt;35),0.3,0)+IF(AND(V1554&gt;=75,V1554&lt;=175,W1554&gt;=35,W1554&lt;65),0.23,0)+IF(AND(V1554&gt;=75,V1554&lt;=175,W1554&gt;=65,W1554&lt;110),0.17,0)+IF(AND(V1554&gt;=75,V1554&lt;=175,W1554&gt;=110),0.12,0)+IF(AND(V1554&gt;175,W1554&lt;25),0.3,0)+IF(AND(V1554&gt;175,W1554&gt;=25,W1554&lt;55),0.23,0)+IF(AND(V1554&gt;175,W1554&gt;=55,W1554&lt;95),0.17,0)+IF(AND(V1554&gt;175,W1554&gt;=95),0.12,0),
IF(AF1554="DoEVsu",IF(AND(V1554&lt;20,W1554&lt;55),0.3,0)+IF(AND(V1554&lt;20,W1554&gt;=55,W1554&lt;105),0.23,0)+IF(AND(V1554&lt;20,W1554&gt;=105),0.17,0)+IF(AND(V1554&gt;=20,V1554&lt;40,W1554&lt;45),0.3,0)+IF(AND(V1554&gt;=20,V1554&lt;40,W1554&gt;=45,W1554&lt;95),0.23,0)+IF(AND(V1554&gt;=20,V1554&lt;40,W1554&gt;=95,W1554&lt;=250),0.17,0)+IF(AND(V1554&gt;=20,V1554&lt;40,W1554&gt;=250),0.12,0)+IF(AND(V1554&gt;=40,V1554&lt;75,W1554&lt;35),0.3,0)+IF(AND(V1554&gt;=40,V1554&lt;75,W1554&gt;=35,W1554&lt;75),0.23,0)+IF(AND(V1554&gt;=40,V1554&lt;75,W1554&gt;=75,W1554&lt;120),0.17,0)+IF(AND(V1554&gt;=40,V1554&lt;75,W1554&gt;=120),0.12,0)+IF(AND(V1554&gt;=75,V1554&lt;175,W1554&lt;35),0.3,0)+IF(AND(V1554&gt;=75,V1554&lt;=175,W1554&gt;=35,W1554&lt;65),0.23,0)+IF(AND(V1554&gt;=75,V1554&lt;=175,W1554&gt;=65,W1554&lt;110),0.17,0)+IF(AND(V1554&gt;=75,V1554&lt;=175,W1554&gt;=110),0.12,0)+IF(AND(V1554&gt;175,W1554&lt;25),0.3,0)+IF(AND(V1554&gt;175,W1554&gt;=25,W1554&lt;55),0.23,0)+IF(AND(V1554&gt;175,W1554&gt;=55,W1554&lt;95),0.17,0)+IF(AND(V1554&gt;175,W1554&gt;=95),0.12,0),
IF(AF1554="DoEVni",IF(AND(V1554&lt;20,W1554&lt;55),0.3,0)+IF(AND(V1554&lt;20,W1554&gt;=55,W1554&lt;105),0.23,0)+IF(AND(V1554&lt;20,W1554&gt;=105),0.17,0)+IF(AND(V1554&gt;=20,V1554&lt;40,W1554&lt;45),0.3,0)+IF(AND(V1554&gt;=20,V1554&lt;40,W1554&gt;=45,W1554&lt;95),0.23,0)+IF(AND(V1554&gt;=20,V1554&lt;40,W1554&gt;=95,W1554&lt;=200),0.17,0)+IF(AND(V1554&gt;=20,V1554&lt;40,W1554&gt;=200),0.12,0)+IF(AND(V1554&gt;=40,V1554&lt;75,W1554&lt;35),0.3,0)+IF(AND(V1554&gt;=40,V1554&lt;75,W1554&gt;=35,W1554&lt;75),0.23,0)+IF(AND(V1554&gt;=40,V1554&lt;75,W1554&gt;=75,W1554&lt;120),0.17,0)+IF(AND(V1554&gt;=40,V1554&lt;75,W1554&gt;=120),0.12,0)+IF(AND(V1554&gt;=75,V1554&lt;175,W1554&lt;35),0.3,0)+IF(AND(V1554&gt;=75,V1554&lt;=175,W1554&gt;=35,W1554&lt;65),0.23,0)+IF(AND(V1554&gt;=75,V1554&lt;=175,W1554&gt;=65,W1554&lt;110),0.17,0)+IF(AND(V1554&gt;=75,V1554&lt;=175,W1554&gt;=110),0.12,0)+IF(AND(V1554&gt;175,W1554&lt;25),0.3,0)+IF(AND(V1554&gt;175,W1554&gt;=25,W1554&lt;55),0.23,0)+IF(AND(V1554&gt;175,W1554&gt;=55,W1554&lt;95),0.17,0)+IF(AND(V1554&gt;175,W1554&gt;=95),0.12,0),
IF(AF1554="DoEVLo",IF(AND(V1554&lt;20,W1554&lt;55),0.25,0)+IF(AND(V1554&lt;20,W1554&gt;=55,W1554&lt;105),0.2,0)+IF(AND(V1554&lt;20,W1554&gt;=105),0.15,0)+IF(AND(V1554&gt;=20,V1554&lt;40,W1554&lt;45),0.25,0)+IF(AND(V1554&gt;=20,V1554&lt;40,W1554&gt;=45,W1554&lt;95),0.2,0)+IF(AND(V1554&gt;=20,V1554&lt;40,W1554&gt;=95),0.15,0)+IF(AND(V1554&gt;=40,V1554&lt;75,W1554&lt;35),0.25,0)+IF(AND(V1554&gt;=40,V1554&lt;75,W1554&gt;=35,W1554&lt;75),0.2,0)+IF(AND(V1554&gt;=40,V1554&lt;75,W1554&gt;=75,W1554&lt;120),0.15,0)+IF(AND(V1554&gt;=40,V1554&lt;75,W1554&gt;=120),0.1,0)+IF(AND(V1554&gt;=75,V1554&lt;175,W1554&lt;35),0.25,0)+IF(AND(V1554&gt;=75,V1554&lt;=175,W1554&gt;=35,W1554&lt;65),0.2,0)+IF(AND(V1554&gt;=75,V1554&lt;=175,W1554&gt;=65,W1554&lt;110),0.15,0)+IF(AND(V1554&gt;=75,V1554&lt;=175,W1554&gt;=110),0.1,0)+IF(AND(V1554&gt;175,W1554&lt;25),0.25,0)+IF(AND(V1554&gt;175,W1554&gt;=25,W1554&lt;55),0.2,0)+IF(AND(V1554&gt;175,W1554&gt;=55,W1554&lt;95),0.15,0)+IF(AND(V1554&gt;175,W1554&gt;=95),0.1,0))))))))))))))))))))</f>
        <v>0.3</v>
      </c>
      <c r="Y1554" s="30">
        <f>IF(AG1554="None",0,IF(AG1554="Fix5",0.05, IF(AG1554="Fix6.25",0.0625,IF(AG1554="Fix3.75",0.0375, IF(AG1554="Fix11",0.11, IF(AG1554="Fix10",0.1,IF(AG1554="Fix3",0.03,0)))))))</f>
        <v>0</v>
      </c>
      <c r="Z1554" s="35">
        <f>IF(AND(AD1554="EUR", AE1554 = "USD"), T1554*U1554-AA1554-AB1554, T1554-AA1554-AB1554)</f>
        <v>0.21112559999999986</v>
      </c>
      <c r="AA1554" s="29">
        <f>IF(AND(AD1554="EUR", F1554="Without EV deal", AE1554="USD"), (T1554*X1554)*U1554,
IF(AND(AD1554="EUR", F1554="Without EV deal", AE1554="EUR"), (T1554*X1554),
IF(AND(AD1554="EUR",AE1554="USD"), (T1554*X1554)*U1554,
T1554*X1554)))</f>
        <v>9.0482399999999949E-2</v>
      </c>
      <c r="AB1554" s="36">
        <f>IF(AND(AD1554="EUR", F1554="Without EV deal", AE1554="USD"), (T1554*Y1554)*U1554,
IF(AND(AD1554="EUR", F1554="Without EV deal", AE1554="EUR"), (T1554*Y1554),
IF(AND(AD1554="EUR",AE1554="USD"), (T1554*Y1554)*U1554,
T1554*Y1554)))</f>
        <v>0</v>
      </c>
      <c r="AC1554" s="37" t="b">
        <v>0</v>
      </c>
      <c r="AD1554" s="82" t="str">
        <f>IF(OR(H1554="€0.25 Flash",
H1554="€0.25(nitro) new",
H1554="€1",
H1554="€2",
H1554="€2 (bf 01.08)",
H1554="€5",
H1554="€5 (1M)",
H1554="€5 (bf 01.08)",
H1554="€5 (bf 05.05)",
H1554="€5 Nitro",
H1554="€5(wx) new",
H1554="€10",
H1554="€10 (1M)",
H1554="€10 (bf 01.08)",
H1554="€10 (bf 05.05)",
H1554="€10 (MP)",
H1554="€10 (old)",
H1554="€10 Nitro (bf 05.05)",
H1554="€10 Nitro (old)",
H1554="€10(wx) new",
H1554="€20",
H1554="€25",
H1554="€25 (bf 01.08)",
H1554="€25 (bf 05.05)",
H1554="€25 (MP)",
H1554="€25 (old)",
H1554="€25 Nitro",
H1554="€25 Nitro (bf 01.08)",
H1554="€25 Nitro (bf 05.05)",
H1554="€25(nitro) new",
H1554="€25(wx) new",
H1554="€50",
H1554="€50 (bf 01.08)",
H1554="€50 (bf 05.05)",
H1554="€50 (old)",
H1554="€50 Nitro",
H1554="€50 Nitro (bf 01.08)",
H1554="€50 Nitro (bf 05.05)",
H1554="€50(wx) new",
H1554="€100",
H1554="€100 (old)",
H1554="€100 Nitro",
H1554="€100 Nitro (old)",
H1554="€200",
H1554="€250",
H1554="€250 Nitro",
H1554="€500",
H1554="€500 Nitro"),"EUR", "USD")</f>
        <v>EUR</v>
      </c>
      <c r="AE1554" s="83" t="s">
        <v>38</v>
      </c>
      <c r="AF1554" s="83" t="str">
        <f t="array" ref="AF1554">INDEX('Deal Info'!D:D, MATCH(A1554,'Deal Info'!A:A, 0))</f>
        <v>DoEV</v>
      </c>
      <c r="AG1554" s="84" t="str">
        <f t="array" ref="AG1554">INDEX('Deal Info'!G:G, MATCH(A1554,'Deal Info'!A:A, 0))</f>
        <v>None</v>
      </c>
    </row>
    <row r="1555" spans="1:33" ht="14.25" hidden="1" x14ac:dyDescent="0.2">
      <c r="A1555" s="18" t="str">
        <f t="array" ref="A1555">IF(G1555='Room Info'!$B$1, INDEX('Room Info'!$A$2:$A2446, MATCH(B1555,'Room Info'!$B$2:$B2446, 0)),IF(G1555='Room Info'!$C$1, INDEX('Room Info'!$A$2:$A2446, MATCH(B1555,'Room Info'!$C$2:$C2446, 0)),IF(G1555='Room Info'!$D$1, INDEX('Room Info'!$A$2:$A2446, MATCH(B1555,'Room Info'!$D$2:$D2446, 0)),IF(G1555='Room Info'!$E$1, INDEX('Room Info'!$A$2:$A2446, MATCH(B1555,'Room Info'!$E$2:$E2446, 0)),IF(G1555='Room Info'!$F$1, INDEX('Room Info'!$A$2:$A2446, MATCH(B1555,'Room Info'!$F$2:$F2446, 0)),IF(G1555='Room Info'!$H$1, INDEX('Room Info'!$A$2:$A2446, MATCH(B1555,'Room Info'!$H$2:$H2446, 0)),IF(G1555='Room Info'!$G$1, INDEX('Room Info'!$A$2:$A2446, MATCH(B1555,'Room Info'!$G$2:$G2446, 0)))))))))</f>
        <v>Orthodoxxxx</v>
      </c>
      <c r="B1555" s="96" t="s">
        <v>233</v>
      </c>
      <c r="C1555" s="46">
        <v>44975</v>
      </c>
      <c r="D1555" s="111">
        <v>44985</v>
      </c>
      <c r="E1555" s="80">
        <v>44958</v>
      </c>
      <c r="F1555" s="96" t="s">
        <v>49</v>
      </c>
      <c r="G1555" s="18" t="s">
        <v>223</v>
      </c>
      <c r="H1555" s="49" t="s">
        <v>57</v>
      </c>
      <c r="I1555" s="100" t="s">
        <v>37</v>
      </c>
      <c r="J1555" s="39">
        <v>50</v>
      </c>
      <c r="K1555" s="51">
        <v>186</v>
      </c>
      <c r="L1555" s="113"/>
      <c r="M1555" s="62"/>
      <c r="N1555" s="28">
        <f>K1555*J1555</f>
        <v>9300</v>
      </c>
      <c r="O1555" s="65"/>
      <c r="P1555" s="29">
        <v>0</v>
      </c>
      <c r="Q1555" s="103">
        <v>0.47</v>
      </c>
      <c r="R1555" s="31">
        <f>M1555+Q1555*J1555*K1555*0.07</f>
        <v>305.97000000000003</v>
      </c>
      <c r="S1555" s="109">
        <f>-612*0.83</f>
        <v>-507.96</v>
      </c>
      <c r="T1555" s="32">
        <f>IF(AND(AD1555="EUR", F1555="Without EV deal"), R1555 + L1555,
IF(AND(AD1555="USD", F1555="Without EV deal"), R1555 + L1555,
IF(AND(AD1555="EUR", F1555="Steel Phoenix"), R1555 + S1555/U1555,
R1555 + S1555)))</f>
        <v>-201.98999999999995</v>
      </c>
      <c r="U1555" s="57">
        <v>1.0620000000000001</v>
      </c>
      <c r="V1555" s="58"/>
      <c r="W1555" s="58"/>
      <c r="X1555" s="30">
        <f>IF(AF1555="DoEV",IF(AND(V1555&lt;20,W1555&lt;55),0.3,0)+IF(AND(V1555&lt;20,W1555&gt;=55,W1555&lt;105),0.23,0)+IF(AND(V1555&lt;20,W1555&gt;=105),0.17,0)+IF(AND(V1555&gt;=20,V1555&lt;40,W1555&lt;45),0.3,0)+IF(AND(V1555&gt;=20,V1555&lt;40,W1555&gt;=45,W1555&lt;95),0.23,0)+IF(AND(V1555&gt;=20,V1555&lt;40,W1555&gt;=95),0.17,0)+IF(AND(V1555&gt;=40,V1555&lt;75,W1555&lt;35),0.3,0)+IF(AND(V1555&gt;=40,V1555&lt;75,W1555&gt;=35,W1555&lt;75),0.23,0)+IF(AND(V1555&gt;=40,V1555&lt;75,W1555&gt;=75,W1555&lt;120),0.17,0)+IF(AND(V1555&gt;=40,V1555&lt;75,W1555&gt;=120),0.12,0)+IF(AND(V1555&gt;=75,V1555&lt;175,W1555&lt;35),0.3,0)+IF(AND(V1555&gt;=75,V1555&lt;=175,W1555&gt;=35,W1555&lt;65),0.23,0)+IF(AND(V1555&gt;=75,V1555&lt;=175,W1555&gt;=65,W1555&lt;110),0.17,0)+IF(AND(V1555&gt;=75,V1555&lt;=175,W1555&gt;=110),0.12,0)+IF(AND(V1555&gt;175,W1555&lt;25),0.3,0)+IF(AND(V1555&gt;175,W1555&gt;=25,W1555&lt;55),0.23,0)+IF(AND(V1555&gt;175,W1555&gt;=55,W1555&lt;95),0.17,0)+IF(AND(V1555&gt;175,W1555&gt;=95),0.12,0),
IF(AF1555="Fix15",0.15,
IF(AF1555="Fix5",0.05,
IF(AF1555="Fix18.75",0.1875,
IF(AF1555="Fix11.25",0.1125,
IF(AF1555="Fix10",0.1,
IF(AF1555="Fix9",0.09,
IF(AF1555="Fix12",0.12,
IF(AF1555="Fix19",0.19,
IF(AF1555="DoEV2017",IF(AND(W1555&lt;74),0.2,0)+IF(AND(W1555&gt;=74),0.17,0),
IF(AF1555="SF",IF(AND(V1555&lt;20,W1555&lt;89),0.3,0)+IF(AND(V1555&lt;20,W1555&gt;=89),0.25,0)+IF(AND(V1555&gt;=20,V1555&lt;40,W1555&lt;74),0.3,0)+IF(AND(V1555&gt;=20,V1555&lt;40,W1555&gt;=75),0.22,0)+IF(AND(V1555&gt;=40,V1555&lt;75,W1555&lt;75),0.26,0)+IF(AND(V1555&gt;=40,V1555&lt;75,W1555&gt;=75),0.22,0)+IF(V1555&gt;=75,0.22,0),
IF(AF1555="DoEVold",IF(AND(V1555&lt;40,W1555&lt;35),0.35,0)+IF(AND(V1555&lt;40,W1555&gt;=35,W1555&lt;75),0.25,0)+IF(AND(V1555&lt;40,W1555&gt;=75),0.17,0)+IF(AND(V1555&gt;=40,V1555&lt;75,W1555&lt;25),0.35,0)+IF(AND(V1555&gt;=40,V1555&lt;75,W1555&gt;=25,W1555&lt;65),0.25,0)+IF(AND(V1555&gt;=40,V1555&lt;75,W1555&gt;=65,W1555&lt;100),0.17,0)+IF(AND(V1555&gt;=40,V1555&lt;75,W1555&gt;=100),0.1,0)+IF(AND(V1555&gt;=75,W1555&lt;25),0.35,0)+IF(AND(V1555&gt;=75,W1555&gt;=25,W1555&lt;60),0.25,0)+IF(AND(V1555&gt;=75,W1555&gt;=60,W1555&lt;95),0.17,0)+IF(AND(V1555&gt;=75,W1555&gt;=95),0.1,0),
IF(AF1555="DoEVold15",IF(AND(V1555&lt;=40,W1555&lt;35),0.35,0)+IF(AND(V1555&lt;=40,W1555&gt;=35,W1555&lt;75),0.25,0)+IF(AND(V1555&lt;=40,W1555&gt;=75,W1555&lt;120),0.17,0)+IF(AND(V1555&lt;=40,W1555&gt;=120),0.15,0)+IF(AND(V1555&gt;40,V1555&lt;75,W1555&lt;25),0.35,0)+IF(AND(V1555&gt;=40,V1555&lt;75,W1555&gt;=25,W1555&lt;65),0.25,0)+IF(AND(V1555&gt;=40,V1555&lt;75,W1555&gt;=65,W1555&lt;100),0.17,0)+IF(AND(V1555&gt;=40,V1555&lt;75,W1555&gt;=100),0.1,0)+IF(AND(V1555&gt;=75,W1555&lt;25),0.35,0)+IF(AND(V1555&gt;=75,W1555&gt;=25,W1555&lt;60),0.25,0)+IF(AND(V1555&gt;=75,W1555&gt;=60,W1555&lt;95),0.17,0)+IF(AND(V1555&gt;=75,W1555&gt;=95),0.1,0),
IF(AF1555="DoEVba",IF(AND(V1555&lt;20,W1555&lt;105),0.2,0)+IF(AND(V1555&lt;20,W1555&gt;=105),0.15,0)+IF(AND(V1555&gt;=20,V1555&lt;40,W1555&lt;95),0.2,0)+IF(AND(V1555&gt;=20,V1555&lt;40,W1555&gt;=95,W1555&lt;150),0.15,0)+IF(AND(V1555&gt;=20,V1555&lt;40,W1555&gt;=150),0.12,0)+IF(AND(V1555&gt;=40,V1555&lt;75,W1555&lt;75),0.2,0)+IF(AND(V1555&gt;=40,V1555&lt;75,W1555&gt;=75,W1555&lt;120),0.15,0)+IF(AND(V1555&gt;=40,V1555&lt;75,W1555&gt;=120),0.12,0)+IF(AND(V1555&gt;=75,V1555&lt;175,W1555&lt;65),0.2,0)+IF(AND(V1555&gt;=75,V1555&lt;175,W1555&gt;=65,W1555&lt;110),0.15,0)+IF(AND(V1555&gt;=75,V1555&lt;175,W1555&gt;=110),0.12,0)+IF(AND(V1555&gt;=175,W1555&lt;55),0.2,0)+IF(AND(V1555&gt;=175,W1555&gt;=55,W1555&lt;95),0.15,0)+IF(AND(V1555&gt;=175,W1555&gt;=95),0.12,0),
IF(AF1555="DoEVku",IF(AND(V1555&lt;20,W1555&lt;55),0.23,0)+IF(AND(V1555&lt;20,W1555&gt;=55,W1555&lt;105),0.2,0)+IF(AND(V1555&lt;20,W1555&gt;=105),0.17,0)+IF(AND(V1555&gt;=20,V1555&lt;40,W1555&lt;45),0.23,0)+IF(AND(V1555&gt;=20,V1555&lt;40,W1555&gt;=45,W1555&lt;95),0.2,0)+IF(AND(V1555&gt;=20,V1555&lt;40,W1555&gt;=95,W1555&lt;=150),0.17,0)+IF(AND(V1555&gt;=20,V1555&lt;40,W1555&gt;=150),0.12,0)+IF(AND(V1555&gt;=40,V1555&lt;75,W1555&lt;35),0.23,0)+IF(AND(V1555&gt;=40,V1555&lt;75,W1555&gt;=35,W1555&lt;75),0.2,0)+IF(AND(V1555&gt;=40,V1555&lt;75,W1555&gt;=75,W1555&lt;120),0.17,0)+IF(AND(V1555&gt;=40,V1555&lt;75,W1555&gt;=120),0.12,0)+IF(AND(V1555&gt;=75,V1555&lt;175,W1555&lt;35),0.23,0)+IF(AND(V1555&gt;=75,V1555&lt;=175,W1555&gt;=35,W1555&lt;65),0.2,0)+IF(AND(V1555&gt;=75,V1555&lt;=175,W1555&gt;=65,W1555&lt;110),0.17,0)+IF(AND(V1555&gt;=75,V1555&lt;=175,W1555&gt;=110),0.12,0)+IF(AND(V1555&gt;175,W1555&lt;25),0.23,0)+IF(AND(V1555&gt;175,W1555&gt;=25,W1555&lt;55),0.2,0)+IF(AND(V1555&gt;175,W1555&gt;=55,W1555&lt;95),0.17,0)+IF(AND(V1555&gt;175,W1555&gt;=95),0.12,0),
IF(AF1555="DoEVs1",IF(AND(V1555&lt;20,W1555&lt;55),0.3,0)+IF(AND(V1555&lt;20,W1555&gt;=55,W1555&lt;105),0.23,0)+IF(AND(V1555&lt;20,W1555&gt;=105),0.17,0)+IF(AND(V1555&gt;=20,V1555&lt;40,W1555&lt;45),0.3,0)+IF(AND(V1555&gt;=20,V1555&lt;40,W1555&gt;=45,W1555&lt;95),0.23,0)+IF(AND(V1555&gt;=20,V1555&lt;40,W1555&gt;=95,W1555&lt;=150),0.17,0)+IF(AND(V1555&gt;=20,V1555&lt;40,W1555&gt;=150),0.12,0)+IF(AND(V1555&gt;=40,V1555&lt;75,W1555&lt;35),0.3,0)+IF(AND(V1555&gt;=40,V1555&lt;75,W1555&gt;=35,W1555&lt;75),0.23,0)+IF(AND(V1555&gt;=40,V1555&lt;75,W1555&gt;=75,W1555&lt;120),0.17,0)+IF(AND(V1555&gt;=40,V1555&lt;75,W1555&gt;=120),0.12,0)+IF(AND(V1555&gt;=75,V1555&lt;175,W1555&lt;35),0.3,0)+IF(AND(V1555&gt;=75,V1555&lt;=175,W1555&gt;=35,W1555&lt;65),0.23,0)+IF(AND(V1555&gt;=75,V1555&lt;=175,W1555&gt;=65,W1555&lt;110),0.17,0)+IF(AND(V1555&gt;=75,V1555&lt;=175,W1555&gt;=110),0.12,0)+IF(AND(V1555&gt;175,W1555&lt;25),0.3,0)+IF(AND(V1555&gt;175,W1555&gt;=25,W1555&lt;55),0.23,0)+IF(AND(V1555&gt;175,W1555&gt;=55,W1555&lt;95),0.17,0)+IF(AND(V1555&gt;175,W1555&gt;=95),0.12,0),
IF(AF1555="DoEVsu",IF(AND(V1555&lt;20,W1555&lt;55),0.3,0)+IF(AND(V1555&lt;20,W1555&gt;=55,W1555&lt;105),0.23,0)+IF(AND(V1555&lt;20,W1555&gt;=105),0.17,0)+IF(AND(V1555&gt;=20,V1555&lt;40,W1555&lt;45),0.3,0)+IF(AND(V1555&gt;=20,V1555&lt;40,W1555&gt;=45,W1555&lt;95),0.23,0)+IF(AND(V1555&gt;=20,V1555&lt;40,W1555&gt;=95,W1555&lt;=250),0.17,0)+IF(AND(V1555&gt;=20,V1555&lt;40,W1555&gt;=250),0.12,0)+IF(AND(V1555&gt;=40,V1555&lt;75,W1555&lt;35),0.3,0)+IF(AND(V1555&gt;=40,V1555&lt;75,W1555&gt;=35,W1555&lt;75),0.23,0)+IF(AND(V1555&gt;=40,V1555&lt;75,W1555&gt;=75,W1555&lt;120),0.17,0)+IF(AND(V1555&gt;=40,V1555&lt;75,W1555&gt;=120),0.12,0)+IF(AND(V1555&gt;=75,V1555&lt;175,W1555&lt;35),0.3,0)+IF(AND(V1555&gt;=75,V1555&lt;=175,W1555&gt;=35,W1555&lt;65),0.23,0)+IF(AND(V1555&gt;=75,V1555&lt;=175,W1555&gt;=65,W1555&lt;110),0.17,0)+IF(AND(V1555&gt;=75,V1555&lt;=175,W1555&gt;=110),0.12,0)+IF(AND(V1555&gt;175,W1555&lt;25),0.3,0)+IF(AND(V1555&gt;175,W1555&gt;=25,W1555&lt;55),0.23,0)+IF(AND(V1555&gt;175,W1555&gt;=55,W1555&lt;95),0.17,0)+IF(AND(V1555&gt;175,W1555&gt;=95),0.12,0),
IF(AF1555="DoEVni",IF(AND(V1555&lt;20,W1555&lt;55),0.3,0)+IF(AND(V1555&lt;20,W1555&gt;=55,W1555&lt;105),0.23,0)+IF(AND(V1555&lt;20,W1555&gt;=105),0.17,0)+IF(AND(V1555&gt;=20,V1555&lt;40,W1555&lt;45),0.3,0)+IF(AND(V1555&gt;=20,V1555&lt;40,W1555&gt;=45,W1555&lt;95),0.23,0)+IF(AND(V1555&gt;=20,V1555&lt;40,W1555&gt;=95,W1555&lt;=200),0.17,0)+IF(AND(V1555&gt;=20,V1555&lt;40,W1555&gt;=200),0.12,0)+IF(AND(V1555&gt;=40,V1555&lt;75,W1555&lt;35),0.3,0)+IF(AND(V1555&gt;=40,V1555&lt;75,W1555&gt;=35,W1555&lt;75),0.23,0)+IF(AND(V1555&gt;=40,V1555&lt;75,W1555&gt;=75,W1555&lt;120),0.17,0)+IF(AND(V1555&gt;=40,V1555&lt;75,W1555&gt;=120),0.12,0)+IF(AND(V1555&gt;=75,V1555&lt;175,W1555&lt;35),0.3,0)+IF(AND(V1555&gt;=75,V1555&lt;=175,W1555&gt;=35,W1555&lt;65),0.23,0)+IF(AND(V1555&gt;=75,V1555&lt;=175,W1555&gt;=65,W1555&lt;110),0.17,0)+IF(AND(V1555&gt;=75,V1555&lt;=175,W1555&gt;=110),0.12,0)+IF(AND(V1555&gt;175,W1555&lt;25),0.3,0)+IF(AND(V1555&gt;175,W1555&gt;=25,W1555&lt;55),0.23,0)+IF(AND(V1555&gt;175,W1555&gt;=55,W1555&lt;95),0.17,0)+IF(AND(V1555&gt;175,W1555&gt;=95),0.12,0),
IF(AF1555="DoEVLo",IF(AND(V1555&lt;20,W1555&lt;55),0.25,0)+IF(AND(V1555&lt;20,W1555&gt;=55,W1555&lt;105),0.2,0)+IF(AND(V1555&lt;20,W1555&gt;=105),0.15,0)+IF(AND(V1555&gt;=20,V1555&lt;40,W1555&lt;45),0.25,0)+IF(AND(V1555&gt;=20,V1555&lt;40,W1555&gt;=45,W1555&lt;95),0.2,0)+IF(AND(V1555&gt;=20,V1555&lt;40,W1555&gt;=95),0.15,0)+IF(AND(V1555&gt;=40,V1555&lt;75,W1555&lt;35),0.25,0)+IF(AND(V1555&gt;=40,V1555&lt;75,W1555&gt;=35,W1555&lt;75),0.2,0)+IF(AND(V1555&gt;=40,V1555&lt;75,W1555&gt;=75,W1555&lt;120),0.15,0)+IF(AND(V1555&gt;=40,V1555&lt;75,W1555&gt;=120),0.1,0)+IF(AND(V1555&gt;=75,V1555&lt;175,W1555&lt;35),0.25,0)+IF(AND(V1555&gt;=75,V1555&lt;=175,W1555&gt;=35,W1555&lt;65),0.2,0)+IF(AND(V1555&gt;=75,V1555&lt;=175,W1555&gt;=65,W1555&lt;110),0.15,0)+IF(AND(V1555&gt;=75,V1555&lt;=175,W1555&gt;=110),0.1,0)+IF(AND(V1555&gt;175,W1555&lt;25),0.25,0)+IF(AND(V1555&gt;175,W1555&gt;=25,W1555&lt;55),0.2,0)+IF(AND(V1555&gt;175,W1555&gt;=55,W1555&lt;95),0.15,0)+IF(AND(V1555&gt;175,W1555&gt;=95),0.1,0))))))))))))))))))))</f>
        <v>0.3</v>
      </c>
      <c r="Y1555" s="30">
        <f>IF(AG1555="None",0,IF(AG1555="Fix5",0.05, IF(AG1555="Fix6.25",0.0625,IF(AG1555="Fix3.75",0.0375, IF(AG1555="Fix11",0.11, IF(AG1555="Fix10",0.1,IF(AG1555="Fix3",0.03,0)))))))</f>
        <v>0</v>
      </c>
      <c r="Z1555" s="35">
        <f>IF(AND(AD1555="EUR", AE1555 = "USD"), T1555*U1555-AA1555-AB1555, T1555-AA1555-AB1555)</f>
        <v>-150.15936599999998</v>
      </c>
      <c r="AA1555" s="29">
        <f>IF(AND(AD1555="EUR", F1555="Without EV deal", AE1555="USD"), (T1555*X1555)*U1555,
IF(AND(AD1555="EUR", F1555="Without EV deal", AE1555="EUR"), (T1555*X1555),
IF(AND(AD1555="EUR",AE1555="USD"), (T1555*X1555)*U1555,
T1555*X1555)))</f>
        <v>-64.354013999999978</v>
      </c>
      <c r="AB1555" s="36">
        <f>IF(AND(AD1555="EUR", F1555="Without EV deal", AE1555="USD"), (T1555*Y1555)*U1555,
IF(AND(AD1555="EUR", F1555="Without EV deal", AE1555="EUR"), (T1555*Y1555),
IF(AND(AD1555="EUR",AE1555="USD"), (T1555*Y1555)*U1555,
T1555*Y1555)))</f>
        <v>0</v>
      </c>
      <c r="AC1555" s="37" t="b">
        <v>0</v>
      </c>
      <c r="AD1555" s="82" t="str">
        <f>IF(OR(H1555="€0.25 Flash",
H1555="€0.25(nitro) new",
H1555="€1",
H1555="€2",
H1555="€2 (bf 01.08)",
H1555="€5",
H1555="€5 (1M)",
H1555="€5 (bf 01.08)",
H1555="€5 (bf 05.05)",
H1555="€5 Nitro",
H1555="€5(wx) new",
H1555="€10",
H1555="€10 (1M)",
H1555="€10 (bf 01.08)",
H1555="€10 (bf 05.05)",
H1555="€10 (MP)",
H1555="€10 (old)",
H1555="€10 Nitro (bf 05.05)",
H1555="€10 Nitro (old)",
H1555="€10(wx) new",
H1555="€20",
H1555="€25",
H1555="€25 (bf 01.08)",
H1555="€25 (bf 05.05)",
H1555="€25 (MP)",
H1555="€25 (old)",
H1555="€25 Nitro",
H1555="€25 Nitro (bf 01.08)",
H1555="€25 Nitro (bf 05.05)",
H1555="€25(nitro) new",
H1555="€25(wx) new",
H1555="€50",
H1555="€50 (bf 01.08)",
H1555="€50 (bf 05.05)",
H1555="€50 (old)",
H1555="€50 Nitro",
H1555="€50 Nitro (bf 01.08)",
H1555="€50 Nitro (bf 05.05)",
H1555="€50(wx) new",
H1555="€100",
H1555="€100 (old)",
H1555="€100 Nitro",
H1555="€100 Nitro (old)",
H1555="€200",
H1555="€250",
H1555="€250 Nitro",
H1555="€500",
H1555="€500 Nitro"),"EUR", "USD")</f>
        <v>EUR</v>
      </c>
      <c r="AE1555" s="83" t="s">
        <v>38</v>
      </c>
      <c r="AF1555" s="83" t="str">
        <f t="array" ref="AF1555">INDEX('Deal Info'!D:D, MATCH(A1555,'Deal Info'!A:A, 0))</f>
        <v>DoEV</v>
      </c>
      <c r="AG1555" s="84" t="str">
        <f t="array" ref="AG1555">INDEX('Deal Info'!G:G, MATCH(A1555,'Deal Info'!A:A, 0))</f>
        <v>None</v>
      </c>
    </row>
    <row r="1556" spans="1:33" ht="14.25" hidden="1" x14ac:dyDescent="0.2">
      <c r="A1556" s="18" t="str">
        <f t="array" ref="A1556">IF(G1556='Room Info'!$B$1, INDEX('Room Info'!$A$2:$A2446, MATCH(B1556,'Room Info'!$B$2:$B2446, 0)),IF(G1556='Room Info'!$C$1, INDEX('Room Info'!$A$2:$A2446, MATCH(B1556,'Room Info'!$C$2:$C2446, 0)),IF(G1556='Room Info'!$D$1, INDEX('Room Info'!$A$2:$A2446, MATCH(B1556,'Room Info'!$D$2:$D2446, 0)),IF(G1556='Room Info'!$E$1, INDEX('Room Info'!$A$2:$A2446, MATCH(B1556,'Room Info'!$E$2:$E2446, 0)),IF(G1556='Room Info'!$F$1, INDEX('Room Info'!$A$2:$A2446, MATCH(B1556,'Room Info'!$F$2:$F2446, 0)),IF(G1556='Room Info'!$H$1, INDEX('Room Info'!$A$2:$A2446, MATCH(B1556,'Room Info'!$H$2:$H2446, 0)),IF(G1556='Room Info'!$G$1, INDEX('Room Info'!$A$2:$A2446, MATCH(B1556,'Room Info'!$G$2:$G2446, 0)))))))))</f>
        <v>Orthodoxxxx</v>
      </c>
      <c r="B1556" s="96" t="s">
        <v>233</v>
      </c>
      <c r="C1556" s="46">
        <v>44975</v>
      </c>
      <c r="D1556" s="111">
        <v>44985</v>
      </c>
      <c r="E1556" s="80">
        <v>44958</v>
      </c>
      <c r="F1556" s="96" t="s">
        <v>49</v>
      </c>
      <c r="G1556" s="65" t="s">
        <v>223</v>
      </c>
      <c r="H1556" s="49" t="s">
        <v>59</v>
      </c>
      <c r="I1556" s="100" t="s">
        <v>37</v>
      </c>
      <c r="J1556" s="39">
        <v>100</v>
      </c>
      <c r="K1556" s="51">
        <v>528</v>
      </c>
      <c r="L1556" s="113"/>
      <c r="M1556" s="62"/>
      <c r="N1556" s="28">
        <f>K1556*J1556</f>
        <v>52800</v>
      </c>
      <c r="O1556" s="65"/>
      <c r="P1556" s="29">
        <v>0</v>
      </c>
      <c r="Q1556" s="103">
        <v>0.47</v>
      </c>
      <c r="R1556" s="31">
        <f>M1556+Q1556*J1556*K1556*0.07</f>
        <v>1737.1200000000001</v>
      </c>
      <c r="S1556" s="109">
        <f>-5226*0.83</f>
        <v>-4337.58</v>
      </c>
      <c r="T1556" s="32">
        <f>IF(AND(AD1556="EUR", F1556="Without EV deal"), R1556 + L1556,
IF(AND(AD1556="USD", F1556="Without EV deal"), R1556 + L1556,
IF(AND(AD1556="EUR", F1556="Steel Phoenix"), R1556 + S1556/U1556,
R1556 + S1556)))</f>
        <v>-2600.46</v>
      </c>
      <c r="U1556" s="57">
        <v>1.0620000000000001</v>
      </c>
      <c r="V1556" s="58"/>
      <c r="W1556" s="58"/>
      <c r="X1556" s="30">
        <f>IF(AF1556="DoEV",IF(AND(V1556&lt;20,W1556&lt;55),0.3,0)+IF(AND(V1556&lt;20,W1556&gt;=55,W1556&lt;105),0.23,0)+IF(AND(V1556&lt;20,W1556&gt;=105),0.17,0)+IF(AND(V1556&gt;=20,V1556&lt;40,W1556&lt;45),0.3,0)+IF(AND(V1556&gt;=20,V1556&lt;40,W1556&gt;=45,W1556&lt;95),0.23,0)+IF(AND(V1556&gt;=20,V1556&lt;40,W1556&gt;=95),0.17,0)+IF(AND(V1556&gt;=40,V1556&lt;75,W1556&lt;35),0.3,0)+IF(AND(V1556&gt;=40,V1556&lt;75,W1556&gt;=35,W1556&lt;75),0.23,0)+IF(AND(V1556&gt;=40,V1556&lt;75,W1556&gt;=75,W1556&lt;120),0.17,0)+IF(AND(V1556&gt;=40,V1556&lt;75,W1556&gt;=120),0.12,0)+IF(AND(V1556&gt;=75,V1556&lt;175,W1556&lt;35),0.3,0)+IF(AND(V1556&gt;=75,V1556&lt;=175,W1556&gt;=35,W1556&lt;65),0.23,0)+IF(AND(V1556&gt;=75,V1556&lt;=175,W1556&gt;=65,W1556&lt;110),0.17,0)+IF(AND(V1556&gt;=75,V1556&lt;=175,W1556&gt;=110),0.12,0)+IF(AND(V1556&gt;175,W1556&lt;25),0.3,0)+IF(AND(V1556&gt;175,W1556&gt;=25,W1556&lt;55),0.23,0)+IF(AND(V1556&gt;175,W1556&gt;=55,W1556&lt;95),0.17,0)+IF(AND(V1556&gt;175,W1556&gt;=95),0.12,0),
IF(AF1556="Fix15",0.15,
IF(AF1556="Fix5",0.05,
IF(AF1556="Fix18.75",0.1875,
IF(AF1556="Fix11.25",0.1125,
IF(AF1556="Fix10",0.1,
IF(AF1556="Fix9",0.09,
IF(AF1556="Fix12",0.12,
IF(AF1556="Fix19",0.19,
IF(AF1556="DoEV2017",IF(AND(W1556&lt;74),0.2,0)+IF(AND(W1556&gt;=74),0.17,0),
IF(AF1556="SF",IF(AND(V1556&lt;20,W1556&lt;89),0.3,0)+IF(AND(V1556&lt;20,W1556&gt;=89),0.25,0)+IF(AND(V1556&gt;=20,V1556&lt;40,W1556&lt;74),0.3,0)+IF(AND(V1556&gt;=20,V1556&lt;40,W1556&gt;=75),0.22,0)+IF(AND(V1556&gt;=40,V1556&lt;75,W1556&lt;75),0.26,0)+IF(AND(V1556&gt;=40,V1556&lt;75,W1556&gt;=75),0.22,0)+IF(V1556&gt;=75,0.22,0),
IF(AF1556="DoEVold",IF(AND(V1556&lt;40,W1556&lt;35),0.35,0)+IF(AND(V1556&lt;40,W1556&gt;=35,W1556&lt;75),0.25,0)+IF(AND(V1556&lt;40,W1556&gt;=75),0.17,0)+IF(AND(V1556&gt;=40,V1556&lt;75,W1556&lt;25),0.35,0)+IF(AND(V1556&gt;=40,V1556&lt;75,W1556&gt;=25,W1556&lt;65),0.25,0)+IF(AND(V1556&gt;=40,V1556&lt;75,W1556&gt;=65,W1556&lt;100),0.17,0)+IF(AND(V1556&gt;=40,V1556&lt;75,W1556&gt;=100),0.1,0)+IF(AND(V1556&gt;=75,W1556&lt;25),0.35,0)+IF(AND(V1556&gt;=75,W1556&gt;=25,W1556&lt;60),0.25,0)+IF(AND(V1556&gt;=75,W1556&gt;=60,W1556&lt;95),0.17,0)+IF(AND(V1556&gt;=75,W1556&gt;=95),0.1,0),
IF(AF1556="DoEVold15",IF(AND(V1556&lt;=40,W1556&lt;35),0.35,0)+IF(AND(V1556&lt;=40,W1556&gt;=35,W1556&lt;75),0.25,0)+IF(AND(V1556&lt;=40,W1556&gt;=75,W1556&lt;120),0.17,0)+IF(AND(V1556&lt;=40,W1556&gt;=120),0.15,0)+IF(AND(V1556&gt;40,V1556&lt;75,W1556&lt;25),0.35,0)+IF(AND(V1556&gt;=40,V1556&lt;75,W1556&gt;=25,W1556&lt;65),0.25,0)+IF(AND(V1556&gt;=40,V1556&lt;75,W1556&gt;=65,W1556&lt;100),0.17,0)+IF(AND(V1556&gt;=40,V1556&lt;75,W1556&gt;=100),0.1,0)+IF(AND(V1556&gt;=75,W1556&lt;25),0.35,0)+IF(AND(V1556&gt;=75,W1556&gt;=25,W1556&lt;60),0.25,0)+IF(AND(V1556&gt;=75,W1556&gt;=60,W1556&lt;95),0.17,0)+IF(AND(V1556&gt;=75,W1556&gt;=95),0.1,0),
IF(AF1556="DoEVba",IF(AND(V1556&lt;20,W1556&lt;105),0.2,0)+IF(AND(V1556&lt;20,W1556&gt;=105),0.15,0)+IF(AND(V1556&gt;=20,V1556&lt;40,W1556&lt;95),0.2,0)+IF(AND(V1556&gt;=20,V1556&lt;40,W1556&gt;=95,W1556&lt;150),0.15,0)+IF(AND(V1556&gt;=20,V1556&lt;40,W1556&gt;=150),0.12,0)+IF(AND(V1556&gt;=40,V1556&lt;75,W1556&lt;75),0.2,0)+IF(AND(V1556&gt;=40,V1556&lt;75,W1556&gt;=75,W1556&lt;120),0.15,0)+IF(AND(V1556&gt;=40,V1556&lt;75,W1556&gt;=120),0.12,0)+IF(AND(V1556&gt;=75,V1556&lt;175,W1556&lt;65),0.2,0)+IF(AND(V1556&gt;=75,V1556&lt;175,W1556&gt;=65,W1556&lt;110),0.15,0)+IF(AND(V1556&gt;=75,V1556&lt;175,W1556&gt;=110),0.12,0)+IF(AND(V1556&gt;=175,W1556&lt;55),0.2,0)+IF(AND(V1556&gt;=175,W1556&gt;=55,W1556&lt;95),0.15,0)+IF(AND(V1556&gt;=175,W1556&gt;=95),0.12,0),
IF(AF1556="DoEVku",IF(AND(V1556&lt;20,W1556&lt;55),0.23,0)+IF(AND(V1556&lt;20,W1556&gt;=55,W1556&lt;105),0.2,0)+IF(AND(V1556&lt;20,W1556&gt;=105),0.17,0)+IF(AND(V1556&gt;=20,V1556&lt;40,W1556&lt;45),0.23,0)+IF(AND(V1556&gt;=20,V1556&lt;40,W1556&gt;=45,W1556&lt;95),0.2,0)+IF(AND(V1556&gt;=20,V1556&lt;40,W1556&gt;=95,W1556&lt;=150),0.17,0)+IF(AND(V1556&gt;=20,V1556&lt;40,W1556&gt;=150),0.12,0)+IF(AND(V1556&gt;=40,V1556&lt;75,W1556&lt;35),0.23,0)+IF(AND(V1556&gt;=40,V1556&lt;75,W1556&gt;=35,W1556&lt;75),0.2,0)+IF(AND(V1556&gt;=40,V1556&lt;75,W1556&gt;=75,W1556&lt;120),0.17,0)+IF(AND(V1556&gt;=40,V1556&lt;75,W1556&gt;=120),0.12,0)+IF(AND(V1556&gt;=75,V1556&lt;175,W1556&lt;35),0.23,0)+IF(AND(V1556&gt;=75,V1556&lt;=175,W1556&gt;=35,W1556&lt;65),0.2,0)+IF(AND(V1556&gt;=75,V1556&lt;=175,W1556&gt;=65,W1556&lt;110),0.17,0)+IF(AND(V1556&gt;=75,V1556&lt;=175,W1556&gt;=110),0.12,0)+IF(AND(V1556&gt;175,W1556&lt;25),0.23,0)+IF(AND(V1556&gt;175,W1556&gt;=25,W1556&lt;55),0.2,0)+IF(AND(V1556&gt;175,W1556&gt;=55,W1556&lt;95),0.17,0)+IF(AND(V1556&gt;175,W1556&gt;=95),0.12,0),
IF(AF1556="DoEVs1",IF(AND(V1556&lt;20,W1556&lt;55),0.3,0)+IF(AND(V1556&lt;20,W1556&gt;=55,W1556&lt;105),0.23,0)+IF(AND(V1556&lt;20,W1556&gt;=105),0.17,0)+IF(AND(V1556&gt;=20,V1556&lt;40,W1556&lt;45),0.3,0)+IF(AND(V1556&gt;=20,V1556&lt;40,W1556&gt;=45,W1556&lt;95),0.23,0)+IF(AND(V1556&gt;=20,V1556&lt;40,W1556&gt;=95,W1556&lt;=150),0.17,0)+IF(AND(V1556&gt;=20,V1556&lt;40,W1556&gt;=150),0.12,0)+IF(AND(V1556&gt;=40,V1556&lt;75,W1556&lt;35),0.3,0)+IF(AND(V1556&gt;=40,V1556&lt;75,W1556&gt;=35,W1556&lt;75),0.23,0)+IF(AND(V1556&gt;=40,V1556&lt;75,W1556&gt;=75,W1556&lt;120),0.17,0)+IF(AND(V1556&gt;=40,V1556&lt;75,W1556&gt;=120),0.12,0)+IF(AND(V1556&gt;=75,V1556&lt;175,W1556&lt;35),0.3,0)+IF(AND(V1556&gt;=75,V1556&lt;=175,W1556&gt;=35,W1556&lt;65),0.23,0)+IF(AND(V1556&gt;=75,V1556&lt;=175,W1556&gt;=65,W1556&lt;110),0.17,0)+IF(AND(V1556&gt;=75,V1556&lt;=175,W1556&gt;=110),0.12,0)+IF(AND(V1556&gt;175,W1556&lt;25),0.3,0)+IF(AND(V1556&gt;175,W1556&gt;=25,W1556&lt;55),0.23,0)+IF(AND(V1556&gt;175,W1556&gt;=55,W1556&lt;95),0.17,0)+IF(AND(V1556&gt;175,W1556&gt;=95),0.12,0),
IF(AF1556="DoEVsu",IF(AND(V1556&lt;20,W1556&lt;55),0.3,0)+IF(AND(V1556&lt;20,W1556&gt;=55,W1556&lt;105),0.23,0)+IF(AND(V1556&lt;20,W1556&gt;=105),0.17,0)+IF(AND(V1556&gt;=20,V1556&lt;40,W1556&lt;45),0.3,0)+IF(AND(V1556&gt;=20,V1556&lt;40,W1556&gt;=45,W1556&lt;95),0.23,0)+IF(AND(V1556&gt;=20,V1556&lt;40,W1556&gt;=95,W1556&lt;=250),0.17,0)+IF(AND(V1556&gt;=20,V1556&lt;40,W1556&gt;=250),0.12,0)+IF(AND(V1556&gt;=40,V1556&lt;75,W1556&lt;35),0.3,0)+IF(AND(V1556&gt;=40,V1556&lt;75,W1556&gt;=35,W1556&lt;75),0.23,0)+IF(AND(V1556&gt;=40,V1556&lt;75,W1556&gt;=75,W1556&lt;120),0.17,0)+IF(AND(V1556&gt;=40,V1556&lt;75,W1556&gt;=120),0.12,0)+IF(AND(V1556&gt;=75,V1556&lt;175,W1556&lt;35),0.3,0)+IF(AND(V1556&gt;=75,V1556&lt;=175,W1556&gt;=35,W1556&lt;65),0.23,0)+IF(AND(V1556&gt;=75,V1556&lt;=175,W1556&gt;=65,W1556&lt;110),0.17,0)+IF(AND(V1556&gt;=75,V1556&lt;=175,W1556&gt;=110),0.12,0)+IF(AND(V1556&gt;175,W1556&lt;25),0.3,0)+IF(AND(V1556&gt;175,W1556&gt;=25,W1556&lt;55),0.23,0)+IF(AND(V1556&gt;175,W1556&gt;=55,W1556&lt;95),0.17,0)+IF(AND(V1556&gt;175,W1556&gt;=95),0.12,0),
IF(AF1556="DoEVni",IF(AND(V1556&lt;20,W1556&lt;55),0.3,0)+IF(AND(V1556&lt;20,W1556&gt;=55,W1556&lt;105),0.23,0)+IF(AND(V1556&lt;20,W1556&gt;=105),0.17,0)+IF(AND(V1556&gt;=20,V1556&lt;40,W1556&lt;45),0.3,0)+IF(AND(V1556&gt;=20,V1556&lt;40,W1556&gt;=45,W1556&lt;95),0.23,0)+IF(AND(V1556&gt;=20,V1556&lt;40,W1556&gt;=95,W1556&lt;=200),0.17,0)+IF(AND(V1556&gt;=20,V1556&lt;40,W1556&gt;=200),0.12,0)+IF(AND(V1556&gt;=40,V1556&lt;75,W1556&lt;35),0.3,0)+IF(AND(V1556&gt;=40,V1556&lt;75,W1556&gt;=35,W1556&lt;75),0.23,0)+IF(AND(V1556&gt;=40,V1556&lt;75,W1556&gt;=75,W1556&lt;120),0.17,0)+IF(AND(V1556&gt;=40,V1556&lt;75,W1556&gt;=120),0.12,0)+IF(AND(V1556&gt;=75,V1556&lt;175,W1556&lt;35),0.3,0)+IF(AND(V1556&gt;=75,V1556&lt;=175,W1556&gt;=35,W1556&lt;65),0.23,0)+IF(AND(V1556&gt;=75,V1556&lt;=175,W1556&gt;=65,W1556&lt;110),0.17,0)+IF(AND(V1556&gt;=75,V1556&lt;=175,W1556&gt;=110),0.12,0)+IF(AND(V1556&gt;175,W1556&lt;25),0.3,0)+IF(AND(V1556&gt;175,W1556&gt;=25,W1556&lt;55),0.23,0)+IF(AND(V1556&gt;175,W1556&gt;=55,W1556&lt;95),0.17,0)+IF(AND(V1556&gt;175,W1556&gt;=95),0.12,0),
IF(AF1556="DoEVLo",IF(AND(V1556&lt;20,W1556&lt;55),0.25,0)+IF(AND(V1556&lt;20,W1556&gt;=55,W1556&lt;105),0.2,0)+IF(AND(V1556&lt;20,W1556&gt;=105),0.15,0)+IF(AND(V1556&gt;=20,V1556&lt;40,W1556&lt;45),0.25,0)+IF(AND(V1556&gt;=20,V1556&lt;40,W1556&gt;=45,W1556&lt;95),0.2,0)+IF(AND(V1556&gt;=20,V1556&lt;40,W1556&gt;=95),0.15,0)+IF(AND(V1556&gt;=40,V1556&lt;75,W1556&lt;35),0.25,0)+IF(AND(V1556&gt;=40,V1556&lt;75,W1556&gt;=35,W1556&lt;75),0.2,0)+IF(AND(V1556&gt;=40,V1556&lt;75,W1556&gt;=75,W1556&lt;120),0.15,0)+IF(AND(V1556&gt;=40,V1556&lt;75,W1556&gt;=120),0.1,0)+IF(AND(V1556&gt;=75,V1556&lt;175,W1556&lt;35),0.25,0)+IF(AND(V1556&gt;=75,V1556&lt;=175,W1556&gt;=35,W1556&lt;65),0.2,0)+IF(AND(V1556&gt;=75,V1556&lt;=175,W1556&gt;=65,W1556&lt;110),0.15,0)+IF(AND(V1556&gt;=75,V1556&lt;=175,W1556&gt;=110),0.1,0)+IF(AND(V1556&gt;175,W1556&lt;25),0.25,0)+IF(AND(V1556&gt;175,W1556&gt;=25,W1556&lt;55),0.2,0)+IF(AND(V1556&gt;175,W1556&gt;=55,W1556&lt;95),0.15,0)+IF(AND(V1556&gt;175,W1556&gt;=95),0.1,0))))))))))))))))))))</f>
        <v>0.3</v>
      </c>
      <c r="Y1556" s="30">
        <f>IF(AG1556="None",0,IF(AG1556="Fix5",0.05, IF(AG1556="Fix6.25",0.0625,IF(AG1556="Fix3.75",0.0375, IF(AG1556="Fix11",0.11, IF(AG1556="Fix10",0.1,IF(AG1556="Fix3",0.03,0)))))))</f>
        <v>0</v>
      </c>
      <c r="Z1556" s="35">
        <f>IF(AND(AD1556="EUR", AE1556 = "USD"), T1556*U1556-AA1556-AB1556, T1556-AA1556-AB1556)</f>
        <v>-1933.1819640000001</v>
      </c>
      <c r="AA1556" s="29">
        <f>IF(AND(AD1556="EUR", F1556="Without EV deal", AE1556="USD"), (T1556*X1556)*U1556,
IF(AND(AD1556="EUR", F1556="Without EV deal", AE1556="EUR"), (T1556*X1556),
IF(AND(AD1556="EUR",AE1556="USD"), (T1556*X1556)*U1556,
T1556*X1556)))</f>
        <v>-828.50655600000005</v>
      </c>
      <c r="AB1556" s="36">
        <f>IF(AND(AD1556="EUR", F1556="Without EV deal", AE1556="USD"), (T1556*Y1556)*U1556,
IF(AND(AD1556="EUR", F1556="Without EV deal", AE1556="EUR"), (T1556*Y1556),
IF(AND(AD1556="EUR",AE1556="USD"), (T1556*Y1556)*U1556,
T1556*Y1556)))</f>
        <v>0</v>
      </c>
      <c r="AC1556" s="37" t="b">
        <v>0</v>
      </c>
      <c r="AD1556" s="82" t="str">
        <f>IF(OR(H1556="€0.25 Flash",
H1556="€0.25(nitro) new",
H1556="€1",
H1556="€2",
H1556="€2 (bf 01.08)",
H1556="€5",
H1556="€5 (1M)",
H1556="€5 (bf 01.08)",
H1556="€5 (bf 05.05)",
H1556="€5 Nitro",
H1556="€5(wx) new",
H1556="€10",
H1556="€10 (1M)",
H1556="€10 (bf 01.08)",
H1556="€10 (bf 05.05)",
H1556="€10 (MP)",
H1556="€10 (old)",
H1556="€10 Nitro (bf 05.05)",
H1556="€10 Nitro (old)",
H1556="€10(wx) new",
H1556="€20",
H1556="€25",
H1556="€25 (bf 01.08)",
H1556="€25 (bf 05.05)",
H1556="€25 (MP)",
H1556="€25 (old)",
H1556="€25 Nitro",
H1556="€25 Nitro (bf 01.08)",
H1556="€25 Nitro (bf 05.05)",
H1556="€25(nitro) new",
H1556="€25(wx) new",
H1556="€50",
H1556="€50 (bf 01.08)",
H1556="€50 (bf 05.05)",
H1556="€50 (old)",
H1556="€50 Nitro",
H1556="€50 Nitro (bf 01.08)",
H1556="€50 Nitro (bf 05.05)",
H1556="€50(wx) new",
H1556="€100",
H1556="€100 (old)",
H1556="€100 Nitro",
H1556="€100 Nitro (old)",
H1556="€200",
H1556="€250",
H1556="€250 Nitro",
H1556="€500",
H1556="€500 Nitro"),"EUR", "USD")</f>
        <v>EUR</v>
      </c>
      <c r="AE1556" s="83" t="s">
        <v>38</v>
      </c>
      <c r="AF1556" s="83" t="str">
        <f t="array" ref="AF1556">INDEX('Deal Info'!D:D, MATCH(A1556,'Deal Info'!A:A, 0))</f>
        <v>DoEV</v>
      </c>
      <c r="AG1556" s="84" t="str">
        <f t="array" ref="AG1556">INDEX('Deal Info'!G:G, MATCH(A1556,'Deal Info'!A:A, 0))</f>
        <v>None</v>
      </c>
    </row>
    <row r="1557" spans="1:33" ht="14.25" x14ac:dyDescent="0.2">
      <c r="A1557" s="18" t="str">
        <f t="array" ref="A1557">IF(G1557='Room Info'!$B$1, INDEX('Room Info'!$A$2:$A2446, MATCH(B1557,'Room Info'!$B$2:$B2446, 0)),IF(G1557='Room Info'!$C$1, INDEX('Room Info'!$A$2:$A2446, MATCH(B1557,'Room Info'!$C$2:$C2446, 0)),IF(G1557='Room Info'!$D$1, INDEX('Room Info'!$A$2:$A2446, MATCH(B1557,'Room Info'!$D$2:$D2446, 0)),IF(G1557='Room Info'!$E$1, INDEX('Room Info'!$A$2:$A2446, MATCH(B1557,'Room Info'!$E$2:$E2446, 0)),IF(G1557='Room Info'!$F$1, INDEX('Room Info'!$A$2:$A2446, MATCH(B1557,'Room Info'!$F$2:$F2446, 0)),IF(G1557='Room Info'!$H$1, INDEX('Room Info'!$A$2:$A2446, MATCH(B1557,'Room Info'!$H$2:$H2446, 0)),IF(G1557='Room Info'!$G$1, INDEX('Room Info'!$A$2:$A2446, MATCH(B1557,'Room Info'!$G$2:$G2446, 0)))))))))</f>
        <v>Lo4io</v>
      </c>
      <c r="B1557" s="45" t="s">
        <v>103</v>
      </c>
      <c r="C1557" s="46">
        <v>44978</v>
      </c>
      <c r="D1557" s="46">
        <v>45005</v>
      </c>
      <c r="E1557" s="90">
        <v>44986</v>
      </c>
      <c r="F1557" s="48" t="s">
        <v>34</v>
      </c>
      <c r="G1557" s="129" t="s">
        <v>61</v>
      </c>
      <c r="H1557" s="81" t="s">
        <v>104</v>
      </c>
      <c r="I1557" s="100" t="s">
        <v>101</v>
      </c>
      <c r="J1557" s="154">
        <v>50</v>
      </c>
      <c r="K1557" s="51">
        <v>3228</v>
      </c>
      <c r="L1557" s="52">
        <v>5944</v>
      </c>
      <c r="M1557" s="53"/>
      <c r="N1557" s="28">
        <f>K1557*J1557</f>
        <v>161400</v>
      </c>
      <c r="O1557" s="54">
        <v>135189</v>
      </c>
      <c r="P1557" s="29">
        <v>41.88011152</v>
      </c>
      <c r="Q1557" s="55"/>
      <c r="R1557" s="31">
        <f>M1557+Q1557*J1557*K1557*0.07</f>
        <v>0</v>
      </c>
      <c r="S1557" s="56"/>
      <c r="T1557" s="32">
        <f>IF(AND(AD1557="EUR", F1557="Without EV deal"), R1557 + L1557,
IF(AND(AD1557="USD", F1557="Without EV deal"), R1557 + L1557,
IF(AND(AD1557="EUR", F1557="Steel Phoenix"), R1557 + S1557/U1557,
R1557 + S1557)))</f>
        <v>0</v>
      </c>
      <c r="U1557" s="57">
        <v>1.071</v>
      </c>
      <c r="V1557" s="58">
        <v>37.325261419922953</v>
      </c>
      <c r="W1557" s="64">
        <v>65</v>
      </c>
      <c r="X1557" s="78">
        <f>IF(AF1557="DoEV",IF(AND(V1557&lt;20,W1557&lt;55),0.3,0)+IF(AND(V1557&lt;20,W1557&gt;=55,W1557&lt;105),0.23,0)+IF(AND(V1557&lt;20,W1557&gt;=105),0.17,0)+IF(AND(V1557&gt;=20,V1557&lt;40,W1557&lt;45),0.3,0)+IF(AND(V1557&gt;=20,V1557&lt;40,W1557&gt;=45,W1557&lt;95),0.23,0)+IF(AND(V1557&gt;=20,V1557&lt;40,W1557&gt;=95),0.17,0)+IF(AND(V1557&gt;=40,V1557&lt;75,W1557&lt;35),0.3,0)+IF(AND(V1557&gt;=40,V1557&lt;75,W1557&gt;=35,W1557&lt;75),0.23,0)+IF(AND(V1557&gt;=40,V1557&lt;75,W1557&gt;=75,W1557&lt;120),0.17,0)+IF(AND(V1557&gt;=40,V1557&lt;75,W1557&gt;=120),0.12,0)+IF(AND(V1557&gt;=75,V1557&lt;175,W1557&lt;35),0.3,0)+IF(AND(V1557&gt;=75,V1557&lt;=175,W1557&gt;=35,W1557&lt;65),0.23,0)+IF(AND(V1557&gt;=75,V1557&lt;=175,W1557&gt;=65,W1557&lt;110),0.17,0)+IF(AND(V1557&gt;=75,V1557&lt;=175,W1557&gt;=110),0.12,0)+IF(AND(V1557&gt;175,W1557&lt;25),0.3,0)+IF(AND(V1557&gt;175,W1557&gt;=25,W1557&lt;55),0.23,0)+IF(AND(V1557&gt;175,W1557&gt;=55,W1557&lt;95),0.17,0)+IF(AND(V1557&gt;175,W1557&gt;=95),0.12,0),
IF(AF1557="Fix15",0.15,
IF(AF1557="Fix5",0.05,
IF(AF1557="Fix18.75",0.1875,
IF(AF1557="Fix11.25",0.1125,
IF(AF1557="Fix10",0.1,
IF(AF1557="Fix9",0.09,
IF(AF1557="Fix12",0.12,
IF(AF1557="Fix19",0.19,
IF(AF1557="DoEV2017",IF(AND(W1557&lt;74),0.2,0)+IF(AND(W1557&gt;=74),0.17,0),
IF(AF1557="SF",IF(AND(V1557&lt;20,W1557&lt;89),0.3,0)+IF(AND(V1557&lt;20,W1557&gt;=89),0.25,0)+IF(AND(V1557&gt;=20,V1557&lt;40,W1557&lt;74),0.3,0)+IF(AND(V1557&gt;=20,V1557&lt;40,W1557&gt;=75),0.22,0)+IF(AND(V1557&gt;=40,V1557&lt;75,W1557&lt;75),0.26,0)+IF(AND(V1557&gt;=40,V1557&lt;75,W1557&gt;=75),0.22,0)+IF(V1557&gt;=75,0.22,0),
IF(AF1557="DoEVold",IF(AND(V1557&lt;40,W1557&lt;35),0.35,0)+IF(AND(V1557&lt;40,W1557&gt;=35,W1557&lt;75),0.25,0)+IF(AND(V1557&lt;40,W1557&gt;=75),0.17,0)+IF(AND(V1557&gt;=40,V1557&lt;75,W1557&lt;25),0.35,0)+IF(AND(V1557&gt;=40,V1557&lt;75,W1557&gt;=25,W1557&lt;65),0.25,0)+IF(AND(V1557&gt;=40,V1557&lt;75,W1557&gt;=65,W1557&lt;100),0.17,0)+IF(AND(V1557&gt;=40,V1557&lt;75,W1557&gt;=100),0.1,0)+IF(AND(V1557&gt;=75,W1557&lt;25),0.35,0)+IF(AND(V1557&gt;=75,W1557&gt;=25,W1557&lt;60),0.25,0)+IF(AND(V1557&gt;=75,W1557&gt;=60,W1557&lt;95),0.17,0)+IF(AND(V1557&gt;=75,W1557&gt;=95),0.1,0),
IF(AF1557="DoEVold15",IF(AND(V1557&lt;=40,W1557&lt;35),0.35,0)+IF(AND(V1557&lt;=40,W1557&gt;=35,W1557&lt;75),0.25,0)+IF(AND(V1557&lt;=40,W1557&gt;=75,W1557&lt;120),0.17,0)+IF(AND(V1557&lt;=40,W1557&gt;=120),0.15,0)+IF(AND(V1557&gt;40,V1557&lt;75,W1557&lt;25),0.35,0)+IF(AND(V1557&gt;=40,V1557&lt;75,W1557&gt;=25,W1557&lt;65),0.25,0)+IF(AND(V1557&gt;=40,V1557&lt;75,W1557&gt;=65,W1557&lt;100),0.17,0)+IF(AND(V1557&gt;=40,V1557&lt;75,W1557&gt;=100),0.1,0)+IF(AND(V1557&gt;=75,W1557&lt;25),0.35,0)+IF(AND(V1557&gt;=75,W1557&gt;=25,W1557&lt;60),0.25,0)+IF(AND(V1557&gt;=75,W1557&gt;=60,W1557&lt;95),0.17,0)+IF(AND(V1557&gt;=75,W1557&gt;=95),0.1,0),
IF(AF1557="DoEVba",IF(AND(V1557&lt;20,W1557&lt;105),0.2,0)+IF(AND(V1557&lt;20,W1557&gt;=105),0.15,0)+IF(AND(V1557&gt;=20,V1557&lt;40,W1557&lt;95),0.2,0)+IF(AND(V1557&gt;=20,V1557&lt;40,W1557&gt;=95,W1557&lt;150),0.15,0)+IF(AND(V1557&gt;=20,V1557&lt;40,W1557&gt;=150),0.12,0)+IF(AND(V1557&gt;=40,V1557&lt;75,W1557&lt;75),0.2,0)+IF(AND(V1557&gt;=40,V1557&lt;75,W1557&gt;=75,W1557&lt;120),0.15,0)+IF(AND(V1557&gt;=40,V1557&lt;75,W1557&gt;=120),0.12,0)+IF(AND(V1557&gt;=75,V1557&lt;175,W1557&lt;65),0.2,0)+IF(AND(V1557&gt;=75,V1557&lt;175,W1557&gt;=65,W1557&lt;110),0.15,0)+IF(AND(V1557&gt;=75,V1557&lt;175,W1557&gt;=110),0.12,0)+IF(AND(V1557&gt;=175,W1557&lt;55),0.2,0)+IF(AND(V1557&gt;=175,W1557&gt;=55,W1557&lt;95),0.15,0)+IF(AND(V1557&gt;=175,W1557&gt;=95),0.12,0),
IF(AF1557="DoEVku",IF(AND(V1557&lt;20,W1557&lt;55),0.23,0)+IF(AND(V1557&lt;20,W1557&gt;=55,W1557&lt;105),0.2,0)+IF(AND(V1557&lt;20,W1557&gt;=105),0.17,0)+IF(AND(V1557&gt;=20,V1557&lt;40,W1557&lt;45),0.23,0)+IF(AND(V1557&gt;=20,V1557&lt;40,W1557&gt;=45,W1557&lt;95),0.2,0)+IF(AND(V1557&gt;=20,V1557&lt;40,W1557&gt;=95,W1557&lt;=150),0.17,0)+IF(AND(V1557&gt;=20,V1557&lt;40,W1557&gt;=150),0.12,0)+IF(AND(V1557&gt;=40,V1557&lt;75,W1557&lt;35),0.23,0)+IF(AND(V1557&gt;=40,V1557&lt;75,W1557&gt;=35,W1557&lt;75),0.2,0)+IF(AND(V1557&gt;=40,V1557&lt;75,W1557&gt;=75,W1557&lt;120),0.17,0)+IF(AND(V1557&gt;=40,V1557&lt;75,W1557&gt;=120),0.12,0)+IF(AND(V1557&gt;=75,V1557&lt;175,W1557&lt;35),0.23,0)+IF(AND(V1557&gt;=75,V1557&lt;=175,W1557&gt;=35,W1557&lt;65),0.2,0)+IF(AND(V1557&gt;=75,V1557&lt;=175,W1557&gt;=65,W1557&lt;110),0.17,0)+IF(AND(V1557&gt;=75,V1557&lt;=175,W1557&gt;=110),0.12,0)+IF(AND(V1557&gt;175,W1557&lt;25),0.23,0)+IF(AND(V1557&gt;175,W1557&gt;=25,W1557&lt;55),0.2,0)+IF(AND(V1557&gt;175,W1557&gt;=55,W1557&lt;95),0.17,0)+IF(AND(V1557&gt;175,W1557&gt;=95),0.12,0),
IF(AF1557="DoEVs1",IF(AND(V1557&lt;20,W1557&lt;55),0.3,0)+IF(AND(V1557&lt;20,W1557&gt;=55,W1557&lt;105),0.23,0)+IF(AND(V1557&lt;20,W1557&gt;=105),0.17,0)+IF(AND(V1557&gt;=20,V1557&lt;40,W1557&lt;45),0.3,0)+IF(AND(V1557&gt;=20,V1557&lt;40,W1557&gt;=45,W1557&lt;95),0.23,0)+IF(AND(V1557&gt;=20,V1557&lt;40,W1557&gt;=95,W1557&lt;=150),0.17,0)+IF(AND(V1557&gt;=20,V1557&lt;40,W1557&gt;=150),0.12,0)+IF(AND(V1557&gt;=40,V1557&lt;75,W1557&lt;35),0.3,0)+IF(AND(V1557&gt;=40,V1557&lt;75,W1557&gt;=35,W1557&lt;75),0.23,0)+IF(AND(V1557&gt;=40,V1557&lt;75,W1557&gt;=75,W1557&lt;120),0.17,0)+IF(AND(V1557&gt;=40,V1557&lt;75,W1557&gt;=120),0.12,0)+IF(AND(V1557&gt;=75,V1557&lt;175,W1557&lt;35),0.3,0)+IF(AND(V1557&gt;=75,V1557&lt;=175,W1557&gt;=35,W1557&lt;65),0.23,0)+IF(AND(V1557&gt;=75,V1557&lt;=175,W1557&gt;=65,W1557&lt;110),0.17,0)+IF(AND(V1557&gt;=75,V1557&lt;=175,W1557&gt;=110),0.12,0)+IF(AND(V1557&gt;175,W1557&lt;25),0.3,0)+IF(AND(V1557&gt;175,W1557&gt;=25,W1557&lt;55),0.23,0)+IF(AND(V1557&gt;175,W1557&gt;=55,W1557&lt;95),0.17,0)+IF(AND(V1557&gt;175,W1557&gt;=95),0.12,0),
IF(AF1557="DoEVsu",IF(AND(V1557&lt;20,W1557&lt;55),0.3,0)+IF(AND(V1557&lt;20,W1557&gt;=55,W1557&lt;105),0.23,0)+IF(AND(V1557&lt;20,W1557&gt;=105),0.17,0)+IF(AND(V1557&gt;=20,V1557&lt;40,W1557&lt;45),0.3,0)+IF(AND(V1557&gt;=20,V1557&lt;40,W1557&gt;=45,W1557&lt;95),0.23,0)+IF(AND(V1557&gt;=20,V1557&lt;40,W1557&gt;=95,W1557&lt;=250),0.17,0)+IF(AND(V1557&gt;=20,V1557&lt;40,W1557&gt;=250),0.12,0)+IF(AND(V1557&gt;=40,V1557&lt;75,W1557&lt;35),0.3,0)+IF(AND(V1557&gt;=40,V1557&lt;75,W1557&gt;=35,W1557&lt;75),0.23,0)+IF(AND(V1557&gt;=40,V1557&lt;75,W1557&gt;=75,W1557&lt;120),0.17,0)+IF(AND(V1557&gt;=40,V1557&lt;75,W1557&gt;=120),0.12,0)+IF(AND(V1557&gt;=75,V1557&lt;175,W1557&lt;35),0.3,0)+IF(AND(V1557&gt;=75,V1557&lt;=175,W1557&gt;=35,W1557&lt;65),0.23,0)+IF(AND(V1557&gt;=75,V1557&lt;=175,W1557&gt;=65,W1557&lt;110),0.17,0)+IF(AND(V1557&gt;=75,V1557&lt;=175,W1557&gt;=110),0.12,0)+IF(AND(V1557&gt;175,W1557&lt;25),0.3,0)+IF(AND(V1557&gt;175,W1557&gt;=25,W1557&lt;55),0.23,0)+IF(AND(V1557&gt;175,W1557&gt;=55,W1557&lt;95),0.17,0)+IF(AND(V1557&gt;175,W1557&gt;=95),0.12,0),
IF(AF1557="DoEVni",IF(AND(V1557&lt;20,W1557&lt;55),0.3,0)+IF(AND(V1557&lt;20,W1557&gt;=55,W1557&lt;105),0.23,0)+IF(AND(V1557&lt;20,W1557&gt;=105),0.17,0)+IF(AND(V1557&gt;=20,V1557&lt;40,W1557&lt;45),0.3,0)+IF(AND(V1557&gt;=20,V1557&lt;40,W1557&gt;=45,W1557&lt;95),0.23,0)+IF(AND(V1557&gt;=20,V1557&lt;40,W1557&gt;=95,W1557&lt;=200),0.17,0)+IF(AND(V1557&gt;=20,V1557&lt;40,W1557&gt;=200),0.12,0)+IF(AND(V1557&gt;=40,V1557&lt;75,W1557&lt;35),0.3,0)+IF(AND(V1557&gt;=40,V1557&lt;75,W1557&gt;=35,W1557&lt;75),0.23,0)+IF(AND(V1557&gt;=40,V1557&lt;75,W1557&gt;=75,W1557&lt;120),0.17,0)+IF(AND(V1557&gt;=40,V1557&lt;75,W1557&gt;=120),0.12,0)+IF(AND(V1557&gt;=75,V1557&lt;175,W1557&lt;35),0.3,0)+IF(AND(V1557&gt;=75,V1557&lt;=175,W1557&gt;=35,W1557&lt;65),0.23,0)+IF(AND(V1557&gt;=75,V1557&lt;=175,W1557&gt;=65,W1557&lt;110),0.17,0)+IF(AND(V1557&gt;=75,V1557&lt;=175,W1557&gt;=110),0.12,0)+IF(AND(V1557&gt;175,W1557&lt;25),0.3,0)+IF(AND(V1557&gt;175,W1557&gt;=25,W1557&lt;55),0.23,0)+IF(AND(V1557&gt;175,W1557&gt;=55,W1557&lt;95),0.17,0)+IF(AND(V1557&gt;175,W1557&gt;=95),0.12,0),
IF(AF1557="DoEVLo",IF(AND(V1557&lt;20,W1557&lt;55),0.25,0)+IF(AND(V1557&lt;20,W1557&gt;=55,W1557&lt;105),0.2,0)+IF(AND(V1557&lt;20,W1557&gt;=105),0.15,0)+IF(AND(V1557&gt;=20,V1557&lt;40,W1557&lt;45),0.25,0)+IF(AND(V1557&gt;=20,V1557&lt;40,W1557&gt;=45,W1557&lt;95),0.2,0)+IF(AND(V1557&gt;=20,V1557&lt;40,W1557&gt;=95),0.15,0)+IF(AND(V1557&gt;=40,V1557&lt;75,W1557&lt;35),0.25,0)+IF(AND(V1557&gt;=40,V1557&lt;75,W1557&gt;=35,W1557&lt;75),0.2,0)+IF(AND(V1557&gt;=40,V1557&lt;75,W1557&gt;=75,W1557&lt;120),0.15,0)+IF(AND(V1557&gt;=40,V1557&lt;75,W1557&gt;=120),0.1,0)+IF(AND(V1557&gt;=75,V1557&lt;175,W1557&lt;35),0.25,0)+IF(AND(V1557&gt;=75,V1557&lt;=175,W1557&gt;=35,W1557&lt;65),0.2,0)+IF(AND(V1557&gt;=75,V1557&lt;=175,W1557&gt;=65,W1557&lt;110),0.15,0)+IF(AND(V1557&gt;=75,V1557&lt;=175,W1557&gt;=110),0.1,0)+IF(AND(V1557&gt;175,W1557&lt;25),0.25,0)+IF(AND(V1557&gt;175,W1557&gt;=25,W1557&lt;55),0.2,0)+IF(AND(V1557&gt;175,W1557&gt;=55,W1557&lt;95),0.15,0)+IF(AND(V1557&gt;175,W1557&gt;=95),0.1,0))))))))))))))))))))</f>
        <v>0.2</v>
      </c>
      <c r="Y1557" s="30">
        <f>IF(AG1557="None",0,IF(AG1557="Fix5",0.05, IF(AG1557="Fix6.25",0.0625,IF(AG1557="Fix3.75",0.0375, IF(AG1557="Fix11",0.11, IF(AG1557="Fix10",0.1,IF(AG1557="Fix3",0.03,0)))))))</f>
        <v>0</v>
      </c>
      <c r="Z1557" s="35">
        <f>IF(AND(AD1557="EUR", AE1557 = "USD"), T1557*U1557-AA1557-AB1557, T1557-AA1557-AB1557)</f>
        <v>0</v>
      </c>
      <c r="AA1557" s="60">
        <f>IF(AND(AD1557="EUR", F1557="Without EV deal", AE1557="USD"), (T1557*X1557)*U1557,
IF(AND(AD1557="EUR", F1557="Without EV deal", AE1557="EUR"), (T1557*X1557),
IF(AND(AD1557="EUR",AE1557="USD"), (T1557*X1557)*U1557,
T1557*X1557)))</f>
        <v>0</v>
      </c>
      <c r="AB1557" s="36">
        <f>IF(AND(AD1557="EUR", F1557="Without EV deal", AE1557="USD"), (T1557*Y1557)*U1557,
IF(AND(AD1557="EUR", F1557="Without EV deal", AE1557="EUR"), (T1557*Y1557),
IF(AND(AD1557="EUR",AE1557="USD"), (T1557*Y1557)*U1557,
T1557*Y1557)))</f>
        <v>0</v>
      </c>
      <c r="AC1557" s="37" t="b">
        <v>1</v>
      </c>
      <c r="AD1557" s="37" t="str">
        <f>IF(OR(H1557="€0.25 Flash",
H1557="€0.25(nitro) new",
H1557="€1",
H1557="€2",
H1557="€2 (bf 01.08)",
H1557="€5",
H1557="€5 (1M)",
H1557="€5 (bf 01.08)",
H1557="€5 (bf 05.05)",
H1557="€5 Nitro",
H1557="€5(wx) new",
H1557="€10",
H1557="€10 (1M)",
H1557="€10 (bf 01.08)",
H1557="€10 (bf 05.05)",
H1557="€10 (MP)",
H1557="€10 (old)",
H1557="€10 Nitro (bf 05.05)",
H1557="€10 Nitro (old)",
H1557="€10(wx) new",
H1557="€20",
H1557="€25",
H1557="€25 (bf 01.08)",
H1557="€25 (bf 05.05)",
H1557="€25 (MP)",
H1557="€25 (old)",
H1557="€25 Nitro",
H1557="€25 Nitro (bf 01.08)",
H1557="€25 Nitro (bf 05.05)",
H1557="€25(nitro) new",
H1557="€25(wx) new",
H1557="€50",
H1557="€50 (bf 01.08)",
H1557="€50 (bf 05.05)",
H1557="€50 (old)",
H1557="€50 Nitro",
H1557="€50 Nitro (bf 01.08)",
H1557="€50 Nitro (bf 05.05)",
H1557="€50(wx) new",
H1557="€100",
H1557="€100 (old)",
H1557="€100 Nitro",
H1557="€100 Nitro (old)",
H1557="€200",
H1557="€250",
H1557="€250 Nitro",
H1557="€500",
H1557="€500 Nitro"),"EUR", "USD")</f>
        <v>EUR</v>
      </c>
      <c r="AE1557" s="37" t="s">
        <v>38</v>
      </c>
      <c r="AF1557" s="37" t="str">
        <f t="array" ref="AF1557">INDEX('Deal Info'!D:D, MATCH(A1557,'Deal Info'!A:A, 0))</f>
        <v>DoEVLo</v>
      </c>
      <c r="AG1557" s="38" t="str">
        <f t="array" ref="AG1557">INDEX('Deal Info'!G:G, MATCH(A1557,'Deal Info'!A:A, 0))</f>
        <v>None</v>
      </c>
    </row>
    <row r="1558" spans="1:33" ht="14.25" x14ac:dyDescent="0.2">
      <c r="A1558" s="18" t="str">
        <f t="array" ref="A1558">IF(G1558='Room Info'!$B$1, INDEX('Room Info'!$A$2:$A2446, MATCH(B1558,'Room Info'!$B$2:$B2446, 0)),IF(G1558='Room Info'!$C$1, INDEX('Room Info'!$A$2:$A2446, MATCH(B1558,'Room Info'!$C$2:$C2446, 0)),IF(G1558='Room Info'!$D$1, INDEX('Room Info'!$A$2:$A2446, MATCH(B1558,'Room Info'!$D$2:$D2446, 0)),IF(G1558='Room Info'!$E$1, INDEX('Room Info'!$A$2:$A2446, MATCH(B1558,'Room Info'!$E$2:$E2446, 0)),IF(G1558='Room Info'!$F$1, INDEX('Room Info'!$A$2:$A2446, MATCH(B1558,'Room Info'!$F$2:$F2446, 0)),IF(G1558='Room Info'!$H$1, INDEX('Room Info'!$A$2:$A2446, MATCH(B1558,'Room Info'!$H$2:$H2446, 0)),IF(G1558='Room Info'!$G$1, INDEX('Room Info'!$A$2:$A2446, MATCH(B1558,'Room Info'!$G$2:$G2446, 0)))))))))</f>
        <v>Lo4io</v>
      </c>
      <c r="B1558" s="45" t="s">
        <v>103</v>
      </c>
      <c r="C1558" s="46">
        <v>44978</v>
      </c>
      <c r="D1558" s="46">
        <v>45005</v>
      </c>
      <c r="E1558" s="90">
        <v>44986</v>
      </c>
      <c r="F1558" s="48" t="s">
        <v>34</v>
      </c>
      <c r="G1558" s="129" t="s">
        <v>61</v>
      </c>
      <c r="H1558" s="81" t="s">
        <v>136</v>
      </c>
      <c r="I1558" s="100" t="s">
        <v>101</v>
      </c>
      <c r="J1558" s="154">
        <v>25</v>
      </c>
      <c r="K1558" s="51">
        <v>573</v>
      </c>
      <c r="L1558" s="52">
        <v>27</v>
      </c>
      <c r="M1558" s="53">
        <v>6090</v>
      </c>
      <c r="N1558" s="28">
        <f>K1558*J1558</f>
        <v>14325</v>
      </c>
      <c r="O1558" s="54">
        <v>40347</v>
      </c>
      <c r="P1558" s="29">
        <v>70.413612569999998</v>
      </c>
      <c r="Q1558" s="55"/>
      <c r="R1558" s="31">
        <f>M1558+Q1558*J1558*K1558*0.07</f>
        <v>6090</v>
      </c>
      <c r="S1558" s="56">
        <v>-371</v>
      </c>
      <c r="T1558" s="32">
        <f>IF(AND(AD1558="EUR", F1558="Without EV deal"), R1558 + L1558,
IF(AND(AD1558="USD", F1558="Without EV deal"), R1558 + L1558,
IF(AND(AD1558="EUR", F1558="Steel Phoenix"), R1558 + S1558/U1558,
R1558 + S1558)))</f>
        <v>5743.5947712418301</v>
      </c>
      <c r="U1558" s="57">
        <v>1.071</v>
      </c>
      <c r="V1558" s="58">
        <v>37.325261419922953</v>
      </c>
      <c r="W1558" s="64">
        <v>65</v>
      </c>
      <c r="X1558" s="78">
        <f>IF(AF1558="DoEV",IF(AND(V1558&lt;20,W1558&lt;55),0.3,0)+IF(AND(V1558&lt;20,W1558&gt;=55,W1558&lt;105),0.23,0)+IF(AND(V1558&lt;20,W1558&gt;=105),0.17,0)+IF(AND(V1558&gt;=20,V1558&lt;40,W1558&lt;45),0.3,0)+IF(AND(V1558&gt;=20,V1558&lt;40,W1558&gt;=45,W1558&lt;95),0.23,0)+IF(AND(V1558&gt;=20,V1558&lt;40,W1558&gt;=95),0.17,0)+IF(AND(V1558&gt;=40,V1558&lt;75,W1558&lt;35),0.3,0)+IF(AND(V1558&gt;=40,V1558&lt;75,W1558&gt;=35,W1558&lt;75),0.23,0)+IF(AND(V1558&gt;=40,V1558&lt;75,W1558&gt;=75,W1558&lt;120),0.17,0)+IF(AND(V1558&gt;=40,V1558&lt;75,W1558&gt;=120),0.12,0)+IF(AND(V1558&gt;=75,V1558&lt;175,W1558&lt;35),0.3,0)+IF(AND(V1558&gt;=75,V1558&lt;=175,W1558&gt;=35,W1558&lt;65),0.23,0)+IF(AND(V1558&gt;=75,V1558&lt;=175,W1558&gt;=65,W1558&lt;110),0.17,0)+IF(AND(V1558&gt;=75,V1558&lt;=175,W1558&gt;=110),0.12,0)+IF(AND(V1558&gt;175,W1558&lt;25),0.3,0)+IF(AND(V1558&gt;175,W1558&gt;=25,W1558&lt;55),0.23,0)+IF(AND(V1558&gt;175,W1558&gt;=55,W1558&lt;95),0.17,0)+IF(AND(V1558&gt;175,W1558&gt;=95),0.12,0),
IF(AF1558="Fix15",0.15,
IF(AF1558="Fix5",0.05,
IF(AF1558="Fix18.75",0.1875,
IF(AF1558="Fix11.25",0.1125,
IF(AF1558="Fix10",0.1,
IF(AF1558="Fix9",0.09,
IF(AF1558="Fix12",0.12,
IF(AF1558="Fix19",0.19,
IF(AF1558="DoEV2017",IF(AND(W1558&lt;74),0.2,0)+IF(AND(W1558&gt;=74),0.17,0),
IF(AF1558="SF",IF(AND(V1558&lt;20,W1558&lt;89),0.3,0)+IF(AND(V1558&lt;20,W1558&gt;=89),0.25,0)+IF(AND(V1558&gt;=20,V1558&lt;40,W1558&lt;74),0.3,0)+IF(AND(V1558&gt;=20,V1558&lt;40,W1558&gt;=75),0.22,0)+IF(AND(V1558&gt;=40,V1558&lt;75,W1558&lt;75),0.26,0)+IF(AND(V1558&gt;=40,V1558&lt;75,W1558&gt;=75),0.22,0)+IF(V1558&gt;=75,0.22,0),
IF(AF1558="DoEVold",IF(AND(V1558&lt;40,W1558&lt;35),0.35,0)+IF(AND(V1558&lt;40,W1558&gt;=35,W1558&lt;75),0.25,0)+IF(AND(V1558&lt;40,W1558&gt;=75),0.17,0)+IF(AND(V1558&gt;=40,V1558&lt;75,W1558&lt;25),0.35,0)+IF(AND(V1558&gt;=40,V1558&lt;75,W1558&gt;=25,W1558&lt;65),0.25,0)+IF(AND(V1558&gt;=40,V1558&lt;75,W1558&gt;=65,W1558&lt;100),0.17,0)+IF(AND(V1558&gt;=40,V1558&lt;75,W1558&gt;=100),0.1,0)+IF(AND(V1558&gt;=75,W1558&lt;25),0.35,0)+IF(AND(V1558&gt;=75,W1558&gt;=25,W1558&lt;60),0.25,0)+IF(AND(V1558&gt;=75,W1558&gt;=60,W1558&lt;95),0.17,0)+IF(AND(V1558&gt;=75,W1558&gt;=95),0.1,0),
IF(AF1558="DoEVold15",IF(AND(V1558&lt;=40,W1558&lt;35),0.35,0)+IF(AND(V1558&lt;=40,W1558&gt;=35,W1558&lt;75),0.25,0)+IF(AND(V1558&lt;=40,W1558&gt;=75,W1558&lt;120),0.17,0)+IF(AND(V1558&lt;=40,W1558&gt;=120),0.15,0)+IF(AND(V1558&gt;40,V1558&lt;75,W1558&lt;25),0.35,0)+IF(AND(V1558&gt;=40,V1558&lt;75,W1558&gt;=25,W1558&lt;65),0.25,0)+IF(AND(V1558&gt;=40,V1558&lt;75,W1558&gt;=65,W1558&lt;100),0.17,0)+IF(AND(V1558&gt;=40,V1558&lt;75,W1558&gt;=100),0.1,0)+IF(AND(V1558&gt;=75,W1558&lt;25),0.35,0)+IF(AND(V1558&gt;=75,W1558&gt;=25,W1558&lt;60),0.25,0)+IF(AND(V1558&gt;=75,W1558&gt;=60,W1558&lt;95),0.17,0)+IF(AND(V1558&gt;=75,W1558&gt;=95),0.1,0),
IF(AF1558="DoEVba",IF(AND(V1558&lt;20,W1558&lt;105),0.2,0)+IF(AND(V1558&lt;20,W1558&gt;=105),0.15,0)+IF(AND(V1558&gt;=20,V1558&lt;40,W1558&lt;95),0.2,0)+IF(AND(V1558&gt;=20,V1558&lt;40,W1558&gt;=95,W1558&lt;150),0.15,0)+IF(AND(V1558&gt;=20,V1558&lt;40,W1558&gt;=150),0.12,0)+IF(AND(V1558&gt;=40,V1558&lt;75,W1558&lt;75),0.2,0)+IF(AND(V1558&gt;=40,V1558&lt;75,W1558&gt;=75,W1558&lt;120),0.15,0)+IF(AND(V1558&gt;=40,V1558&lt;75,W1558&gt;=120),0.12,0)+IF(AND(V1558&gt;=75,V1558&lt;175,W1558&lt;65),0.2,0)+IF(AND(V1558&gt;=75,V1558&lt;175,W1558&gt;=65,W1558&lt;110),0.15,0)+IF(AND(V1558&gt;=75,V1558&lt;175,W1558&gt;=110),0.12,0)+IF(AND(V1558&gt;=175,W1558&lt;55),0.2,0)+IF(AND(V1558&gt;=175,W1558&gt;=55,W1558&lt;95),0.15,0)+IF(AND(V1558&gt;=175,W1558&gt;=95),0.12,0),
IF(AF1558="DoEVku",IF(AND(V1558&lt;20,W1558&lt;55),0.23,0)+IF(AND(V1558&lt;20,W1558&gt;=55,W1558&lt;105),0.2,0)+IF(AND(V1558&lt;20,W1558&gt;=105),0.17,0)+IF(AND(V1558&gt;=20,V1558&lt;40,W1558&lt;45),0.23,0)+IF(AND(V1558&gt;=20,V1558&lt;40,W1558&gt;=45,W1558&lt;95),0.2,0)+IF(AND(V1558&gt;=20,V1558&lt;40,W1558&gt;=95,W1558&lt;=150),0.17,0)+IF(AND(V1558&gt;=20,V1558&lt;40,W1558&gt;=150),0.12,0)+IF(AND(V1558&gt;=40,V1558&lt;75,W1558&lt;35),0.23,0)+IF(AND(V1558&gt;=40,V1558&lt;75,W1558&gt;=35,W1558&lt;75),0.2,0)+IF(AND(V1558&gt;=40,V1558&lt;75,W1558&gt;=75,W1558&lt;120),0.17,0)+IF(AND(V1558&gt;=40,V1558&lt;75,W1558&gt;=120),0.12,0)+IF(AND(V1558&gt;=75,V1558&lt;175,W1558&lt;35),0.23,0)+IF(AND(V1558&gt;=75,V1558&lt;=175,W1558&gt;=35,W1558&lt;65),0.2,0)+IF(AND(V1558&gt;=75,V1558&lt;=175,W1558&gt;=65,W1558&lt;110),0.17,0)+IF(AND(V1558&gt;=75,V1558&lt;=175,W1558&gt;=110),0.12,0)+IF(AND(V1558&gt;175,W1558&lt;25),0.23,0)+IF(AND(V1558&gt;175,W1558&gt;=25,W1558&lt;55),0.2,0)+IF(AND(V1558&gt;175,W1558&gt;=55,W1558&lt;95),0.17,0)+IF(AND(V1558&gt;175,W1558&gt;=95),0.12,0),
IF(AF1558="DoEVs1",IF(AND(V1558&lt;20,W1558&lt;55),0.3,0)+IF(AND(V1558&lt;20,W1558&gt;=55,W1558&lt;105),0.23,0)+IF(AND(V1558&lt;20,W1558&gt;=105),0.17,0)+IF(AND(V1558&gt;=20,V1558&lt;40,W1558&lt;45),0.3,0)+IF(AND(V1558&gt;=20,V1558&lt;40,W1558&gt;=45,W1558&lt;95),0.23,0)+IF(AND(V1558&gt;=20,V1558&lt;40,W1558&gt;=95,W1558&lt;=150),0.17,0)+IF(AND(V1558&gt;=20,V1558&lt;40,W1558&gt;=150),0.12,0)+IF(AND(V1558&gt;=40,V1558&lt;75,W1558&lt;35),0.3,0)+IF(AND(V1558&gt;=40,V1558&lt;75,W1558&gt;=35,W1558&lt;75),0.23,0)+IF(AND(V1558&gt;=40,V1558&lt;75,W1558&gt;=75,W1558&lt;120),0.17,0)+IF(AND(V1558&gt;=40,V1558&lt;75,W1558&gt;=120),0.12,0)+IF(AND(V1558&gt;=75,V1558&lt;175,W1558&lt;35),0.3,0)+IF(AND(V1558&gt;=75,V1558&lt;=175,W1558&gt;=35,W1558&lt;65),0.23,0)+IF(AND(V1558&gt;=75,V1558&lt;=175,W1558&gt;=65,W1558&lt;110),0.17,0)+IF(AND(V1558&gt;=75,V1558&lt;=175,W1558&gt;=110),0.12,0)+IF(AND(V1558&gt;175,W1558&lt;25),0.3,0)+IF(AND(V1558&gt;175,W1558&gt;=25,W1558&lt;55),0.23,0)+IF(AND(V1558&gt;175,W1558&gt;=55,W1558&lt;95),0.17,0)+IF(AND(V1558&gt;175,W1558&gt;=95),0.12,0),
IF(AF1558="DoEVsu",IF(AND(V1558&lt;20,W1558&lt;55),0.3,0)+IF(AND(V1558&lt;20,W1558&gt;=55,W1558&lt;105),0.23,0)+IF(AND(V1558&lt;20,W1558&gt;=105),0.17,0)+IF(AND(V1558&gt;=20,V1558&lt;40,W1558&lt;45),0.3,0)+IF(AND(V1558&gt;=20,V1558&lt;40,W1558&gt;=45,W1558&lt;95),0.23,0)+IF(AND(V1558&gt;=20,V1558&lt;40,W1558&gt;=95,W1558&lt;=250),0.17,0)+IF(AND(V1558&gt;=20,V1558&lt;40,W1558&gt;=250),0.12,0)+IF(AND(V1558&gt;=40,V1558&lt;75,W1558&lt;35),0.3,0)+IF(AND(V1558&gt;=40,V1558&lt;75,W1558&gt;=35,W1558&lt;75),0.23,0)+IF(AND(V1558&gt;=40,V1558&lt;75,W1558&gt;=75,W1558&lt;120),0.17,0)+IF(AND(V1558&gt;=40,V1558&lt;75,W1558&gt;=120),0.12,0)+IF(AND(V1558&gt;=75,V1558&lt;175,W1558&lt;35),0.3,0)+IF(AND(V1558&gt;=75,V1558&lt;=175,W1558&gt;=35,W1558&lt;65),0.23,0)+IF(AND(V1558&gt;=75,V1558&lt;=175,W1558&gt;=65,W1558&lt;110),0.17,0)+IF(AND(V1558&gt;=75,V1558&lt;=175,W1558&gt;=110),0.12,0)+IF(AND(V1558&gt;175,W1558&lt;25),0.3,0)+IF(AND(V1558&gt;175,W1558&gt;=25,W1558&lt;55),0.23,0)+IF(AND(V1558&gt;175,W1558&gt;=55,W1558&lt;95),0.17,0)+IF(AND(V1558&gt;175,W1558&gt;=95),0.12,0),
IF(AF1558="DoEVni",IF(AND(V1558&lt;20,W1558&lt;55),0.3,0)+IF(AND(V1558&lt;20,W1558&gt;=55,W1558&lt;105),0.23,0)+IF(AND(V1558&lt;20,W1558&gt;=105),0.17,0)+IF(AND(V1558&gt;=20,V1558&lt;40,W1558&lt;45),0.3,0)+IF(AND(V1558&gt;=20,V1558&lt;40,W1558&gt;=45,W1558&lt;95),0.23,0)+IF(AND(V1558&gt;=20,V1558&lt;40,W1558&gt;=95,W1558&lt;=200),0.17,0)+IF(AND(V1558&gt;=20,V1558&lt;40,W1558&gt;=200),0.12,0)+IF(AND(V1558&gt;=40,V1558&lt;75,W1558&lt;35),0.3,0)+IF(AND(V1558&gt;=40,V1558&lt;75,W1558&gt;=35,W1558&lt;75),0.23,0)+IF(AND(V1558&gt;=40,V1558&lt;75,W1558&gt;=75,W1558&lt;120),0.17,0)+IF(AND(V1558&gt;=40,V1558&lt;75,W1558&gt;=120),0.12,0)+IF(AND(V1558&gt;=75,V1558&lt;175,W1558&lt;35),0.3,0)+IF(AND(V1558&gt;=75,V1558&lt;=175,W1558&gt;=35,W1558&lt;65),0.23,0)+IF(AND(V1558&gt;=75,V1558&lt;=175,W1558&gt;=65,W1558&lt;110),0.17,0)+IF(AND(V1558&gt;=75,V1558&lt;=175,W1558&gt;=110),0.12,0)+IF(AND(V1558&gt;175,W1558&lt;25),0.3,0)+IF(AND(V1558&gt;175,W1558&gt;=25,W1558&lt;55),0.23,0)+IF(AND(V1558&gt;175,W1558&gt;=55,W1558&lt;95),0.17,0)+IF(AND(V1558&gt;175,W1558&gt;=95),0.12,0),
IF(AF1558="DoEVLo",IF(AND(V1558&lt;20,W1558&lt;55),0.25,0)+IF(AND(V1558&lt;20,W1558&gt;=55,W1558&lt;105),0.2,0)+IF(AND(V1558&lt;20,W1558&gt;=105),0.15,0)+IF(AND(V1558&gt;=20,V1558&lt;40,W1558&lt;45),0.25,0)+IF(AND(V1558&gt;=20,V1558&lt;40,W1558&gt;=45,W1558&lt;95),0.2,0)+IF(AND(V1558&gt;=20,V1558&lt;40,W1558&gt;=95),0.15,0)+IF(AND(V1558&gt;=40,V1558&lt;75,W1558&lt;35),0.25,0)+IF(AND(V1558&gt;=40,V1558&lt;75,W1558&gt;=35,W1558&lt;75),0.2,0)+IF(AND(V1558&gt;=40,V1558&lt;75,W1558&gt;=75,W1558&lt;120),0.15,0)+IF(AND(V1558&gt;=40,V1558&lt;75,W1558&gt;=120),0.1,0)+IF(AND(V1558&gt;=75,V1558&lt;175,W1558&lt;35),0.25,0)+IF(AND(V1558&gt;=75,V1558&lt;=175,W1558&gt;=35,W1558&lt;65),0.2,0)+IF(AND(V1558&gt;=75,V1558&lt;=175,W1558&gt;=65,W1558&lt;110),0.15,0)+IF(AND(V1558&gt;=75,V1558&lt;=175,W1558&gt;=110),0.1,0)+IF(AND(V1558&gt;175,W1558&lt;25),0.25,0)+IF(AND(V1558&gt;175,W1558&gt;=25,W1558&lt;55),0.2,0)+IF(AND(V1558&gt;175,W1558&gt;=55,W1558&lt;95),0.15,0)+IF(AND(V1558&gt;175,W1558&gt;=95),0.1,0))))))))))))))))))))</f>
        <v>0.2</v>
      </c>
      <c r="Y1558" s="30">
        <f>IF(AG1558="None",0,IF(AG1558="Fix5",0.05, IF(AG1558="Fix6.25",0.0625,IF(AG1558="Fix3.75",0.0375, IF(AG1558="Fix11",0.11, IF(AG1558="Fix10",0.1,IF(AG1558="Fix3",0.03,0)))))))</f>
        <v>0</v>
      </c>
      <c r="Z1558" s="35">
        <f>IF(AND(AD1558="EUR", AE1558 = "USD"), T1558*U1558-AA1558-AB1558, T1558-AA1558-AB1558)</f>
        <v>4921.1119999999992</v>
      </c>
      <c r="AA1558" s="60">
        <f>IF(AND(AD1558="EUR", F1558="Without EV deal", AE1558="USD"), (T1558*X1558)*U1558,
IF(AND(AD1558="EUR", F1558="Without EV deal", AE1558="EUR"), (T1558*X1558),
IF(AND(AD1558="EUR",AE1558="USD"), (T1558*X1558)*U1558,
T1558*X1558)))</f>
        <v>1230.278</v>
      </c>
      <c r="AB1558" s="36">
        <f>IF(AND(AD1558="EUR", F1558="Without EV deal", AE1558="USD"), (T1558*Y1558)*U1558,
IF(AND(AD1558="EUR", F1558="Without EV deal", AE1558="EUR"), (T1558*Y1558),
IF(AND(AD1558="EUR",AE1558="USD"), (T1558*Y1558)*U1558,
T1558*Y1558)))</f>
        <v>0</v>
      </c>
      <c r="AC1558" s="37" t="b">
        <v>1</v>
      </c>
      <c r="AD1558" s="37" t="str">
        <f>IF(OR(H1558="€0.25 Flash",
H1558="€0.25(nitro) new",
H1558="€1",
H1558="€2",
H1558="€2 (bf 01.08)",
H1558="€5",
H1558="€5 (1M)",
H1558="€5 (bf 01.08)",
H1558="€5 (bf 05.05)",
H1558="€5 Nitro",
H1558="€5(wx) new",
H1558="€10",
H1558="€10 (1M)",
H1558="€10 (bf 01.08)",
H1558="€10 (bf 05.05)",
H1558="€10 (MP)",
H1558="€10 (old)",
H1558="€10 Nitro (bf 05.05)",
H1558="€10 Nitro (old)",
H1558="€10(wx) new",
H1558="€20",
H1558="€25",
H1558="€25 (bf 01.08)",
H1558="€25 (bf 05.05)",
H1558="€25 (MP)",
H1558="€25 (old)",
H1558="€25 Nitro",
H1558="€25 Nitro (bf 01.08)",
H1558="€25 Nitro (bf 05.05)",
H1558="€25(nitro) new",
H1558="€25(wx) new",
H1558="€50",
H1558="€50 (bf 01.08)",
H1558="€50 (bf 05.05)",
H1558="€50 (old)",
H1558="€50 Nitro",
H1558="€50 Nitro (bf 01.08)",
H1558="€50 Nitro (bf 05.05)",
H1558="€50(wx) new",
H1558="€100",
H1558="€100 (old)",
H1558="€100 Nitro",
H1558="€100 Nitro (old)",
H1558="€200",
H1558="€250",
H1558="€250 Nitro",
H1558="€500",
H1558="€500 Nitro"),"EUR", "USD")</f>
        <v>EUR</v>
      </c>
      <c r="AE1558" s="37" t="s">
        <v>38</v>
      </c>
      <c r="AF1558" s="37" t="str">
        <f t="array" ref="AF1558">INDEX('Deal Info'!D:D, MATCH(A1558,'Deal Info'!A:A, 0))</f>
        <v>DoEVLo</v>
      </c>
      <c r="AG1558" s="38" t="str">
        <f t="array" ref="AG1558">INDEX('Deal Info'!G:G, MATCH(A1558,'Deal Info'!A:A, 0))</f>
        <v>None</v>
      </c>
    </row>
    <row r="1559" spans="1:33" ht="14.25" hidden="1" x14ac:dyDescent="0.2">
      <c r="A1559" s="130" t="s">
        <v>195</v>
      </c>
      <c r="B1559" s="45" t="s">
        <v>195</v>
      </c>
      <c r="C1559" s="111">
        <v>44958</v>
      </c>
      <c r="D1559" s="111">
        <v>44985</v>
      </c>
      <c r="E1559" s="80">
        <v>44958</v>
      </c>
      <c r="F1559" s="48" t="s">
        <v>34</v>
      </c>
      <c r="G1559" s="65"/>
      <c r="H1559" s="131"/>
      <c r="I1559" s="110"/>
      <c r="J1559" s="39" t="s">
        <v>334</v>
      </c>
      <c r="K1559" s="112"/>
      <c r="L1559" s="113"/>
      <c r="M1559" s="62"/>
      <c r="N1559" s="28" t="e">
        <f>K1559*J1559</f>
        <v>#VALUE!</v>
      </c>
      <c r="O1559" s="65"/>
      <c r="P1559" s="29" t="s">
        <v>334</v>
      </c>
      <c r="Q1559" s="55"/>
      <c r="R1559" s="31" t="e">
        <f>M1559+Q1559*J1559*K1559*0.07</f>
        <v>#VALUE!</v>
      </c>
      <c r="S1559" s="66"/>
      <c r="T1559" s="32" t="e">
        <f>IF(AND(AD1559="EUR", F1559="Without EV deal"), R1559 + L1559,
IF(AND(AD1559="USD", F1559="Without EV deal"), R1559 + L1559,
IF(AND(AD1559="EUR", F1559="Steel Phoenix"), R1559 + S1559/U1559,
R1559 + S1559)))</f>
        <v>#VALUE!</v>
      </c>
      <c r="U1559" s="57">
        <v>1.0617000000000001</v>
      </c>
      <c r="V1559" s="58"/>
      <c r="W1559" s="58"/>
      <c r="X1559" s="30">
        <f>IF(AF1559="DoEV",IF(AND(V1559&lt;20,W1559&lt;55),0.3,0)+IF(AND(V1559&lt;20,W1559&gt;=55,W1559&lt;105),0.23,0)+IF(AND(V1559&lt;20,W1559&gt;=105),0.17,0)+IF(AND(V1559&gt;=20,V1559&lt;40,W1559&lt;45),0.3,0)+IF(AND(V1559&gt;=20,V1559&lt;40,W1559&gt;=45,W1559&lt;95),0.23,0)+IF(AND(V1559&gt;=20,V1559&lt;40,W1559&gt;=95),0.17,0)+IF(AND(V1559&gt;=40,V1559&lt;75,W1559&lt;35),0.3,0)+IF(AND(V1559&gt;=40,V1559&lt;75,W1559&gt;=35,W1559&lt;75),0.23,0)+IF(AND(V1559&gt;=40,V1559&lt;75,W1559&gt;=75,W1559&lt;120),0.17,0)+IF(AND(V1559&gt;=40,V1559&lt;75,W1559&gt;=120),0.12,0)+IF(AND(V1559&gt;=75,V1559&lt;175,W1559&lt;35),0.3,0)+IF(AND(V1559&gt;=75,V1559&lt;=175,W1559&gt;=35,W1559&lt;65),0.23,0)+IF(AND(V1559&gt;=75,V1559&lt;=175,W1559&gt;=65,W1559&lt;110),0.17,0)+IF(AND(V1559&gt;=75,V1559&lt;=175,W1559&gt;=110),0.12,0)+IF(AND(V1559&gt;175,W1559&lt;25),0.3,0)+IF(AND(V1559&gt;175,W1559&gt;=25,W1559&lt;55),0.23,0)+IF(AND(V1559&gt;175,W1559&gt;=55,W1559&lt;95),0.17,0)+IF(AND(V1559&gt;175,W1559&gt;=95),0.12,0),
IF(AF1559="Fix15",0.15,
IF(AF1559="Fix5",0.05,
IF(AF1559="Fix18.75",0.1875,
IF(AF1559="Fix11.25",0.1125,
IF(AF1559="Fix10",0.1,
IF(AF1559="Fix9",0.09,
IF(AF1559="Fix12",0.12,
IF(AF1559="Fix19",0.19,
IF(AF1559="DoEV2017",IF(AND(W1559&lt;74),0.2,0)+IF(AND(W1559&gt;=74),0.17,0),
IF(AF1559="SF",IF(AND(V1559&lt;20,W1559&lt;89),0.3,0)+IF(AND(V1559&lt;20,W1559&gt;=89),0.25,0)+IF(AND(V1559&gt;=20,V1559&lt;40,W1559&lt;74),0.3,0)+IF(AND(V1559&gt;=20,V1559&lt;40,W1559&gt;=75),0.22,0)+IF(AND(V1559&gt;=40,V1559&lt;75,W1559&lt;75),0.26,0)+IF(AND(V1559&gt;=40,V1559&lt;75,W1559&gt;=75),0.22,0)+IF(V1559&gt;=75,0.22,0),
IF(AF1559="DoEVold",IF(AND(V1559&lt;40,W1559&lt;35),0.35,0)+IF(AND(V1559&lt;40,W1559&gt;=35,W1559&lt;75),0.25,0)+IF(AND(V1559&lt;40,W1559&gt;=75),0.17,0)+IF(AND(V1559&gt;=40,V1559&lt;75,W1559&lt;25),0.35,0)+IF(AND(V1559&gt;=40,V1559&lt;75,W1559&gt;=25,W1559&lt;65),0.25,0)+IF(AND(V1559&gt;=40,V1559&lt;75,W1559&gt;=65,W1559&lt;100),0.17,0)+IF(AND(V1559&gt;=40,V1559&lt;75,W1559&gt;=100),0.1,0)+IF(AND(V1559&gt;=75,W1559&lt;25),0.35,0)+IF(AND(V1559&gt;=75,W1559&gt;=25,W1559&lt;60),0.25,0)+IF(AND(V1559&gt;=75,W1559&gt;=60,W1559&lt;95),0.17,0)+IF(AND(V1559&gt;=75,W1559&gt;=95),0.1,0),
IF(AF1559="DoEVold15",IF(AND(V1559&lt;=40,W1559&lt;35),0.35,0)+IF(AND(V1559&lt;=40,W1559&gt;=35,W1559&lt;75),0.25,0)+IF(AND(V1559&lt;=40,W1559&gt;=75,W1559&lt;120),0.17,0)+IF(AND(V1559&lt;=40,W1559&gt;=120),0.15,0)+IF(AND(V1559&gt;40,V1559&lt;75,W1559&lt;25),0.35,0)+IF(AND(V1559&gt;=40,V1559&lt;75,W1559&gt;=25,W1559&lt;65),0.25,0)+IF(AND(V1559&gt;=40,V1559&lt;75,W1559&gt;=65,W1559&lt;100),0.17,0)+IF(AND(V1559&gt;=40,V1559&lt;75,W1559&gt;=100),0.1,0)+IF(AND(V1559&gt;=75,W1559&lt;25),0.35,0)+IF(AND(V1559&gt;=75,W1559&gt;=25,W1559&lt;60),0.25,0)+IF(AND(V1559&gt;=75,W1559&gt;=60,W1559&lt;95),0.17,0)+IF(AND(V1559&gt;=75,W1559&gt;=95),0.1,0),
IF(AF1559="DoEVba",IF(AND(V1559&lt;20,W1559&lt;105),0.2,0)+IF(AND(V1559&lt;20,W1559&gt;=105),0.15,0)+IF(AND(V1559&gt;=20,V1559&lt;40,W1559&lt;95),0.2,0)+IF(AND(V1559&gt;=20,V1559&lt;40,W1559&gt;=95,W1559&lt;150),0.15,0)+IF(AND(V1559&gt;=20,V1559&lt;40,W1559&gt;=150),0.12,0)+IF(AND(V1559&gt;=40,V1559&lt;75,W1559&lt;75),0.2,0)+IF(AND(V1559&gt;=40,V1559&lt;75,W1559&gt;=75,W1559&lt;120),0.15,0)+IF(AND(V1559&gt;=40,V1559&lt;75,W1559&gt;=120),0.12,0)+IF(AND(V1559&gt;=75,V1559&lt;175,W1559&lt;65),0.2,0)+IF(AND(V1559&gt;=75,V1559&lt;175,W1559&gt;=65,W1559&lt;110),0.15,0)+IF(AND(V1559&gt;=75,V1559&lt;175,W1559&gt;=110),0.12,0)+IF(AND(V1559&gt;=175,W1559&lt;55),0.2,0)+IF(AND(V1559&gt;=175,W1559&gt;=55,W1559&lt;95),0.15,0)+IF(AND(V1559&gt;=175,W1559&gt;=95),0.12,0),
IF(AF1559="DoEVku",IF(AND(V1559&lt;20,W1559&lt;55),0.23,0)+IF(AND(V1559&lt;20,W1559&gt;=55,W1559&lt;105),0.2,0)+IF(AND(V1559&lt;20,W1559&gt;=105),0.17,0)+IF(AND(V1559&gt;=20,V1559&lt;40,W1559&lt;45),0.23,0)+IF(AND(V1559&gt;=20,V1559&lt;40,W1559&gt;=45,W1559&lt;95),0.2,0)+IF(AND(V1559&gt;=20,V1559&lt;40,W1559&gt;=95,W1559&lt;=150),0.17,0)+IF(AND(V1559&gt;=20,V1559&lt;40,W1559&gt;=150),0.12,0)+IF(AND(V1559&gt;=40,V1559&lt;75,W1559&lt;35),0.23,0)+IF(AND(V1559&gt;=40,V1559&lt;75,W1559&gt;=35,W1559&lt;75),0.2,0)+IF(AND(V1559&gt;=40,V1559&lt;75,W1559&gt;=75,W1559&lt;120),0.17,0)+IF(AND(V1559&gt;=40,V1559&lt;75,W1559&gt;=120),0.12,0)+IF(AND(V1559&gt;=75,V1559&lt;175,W1559&lt;35),0.23,0)+IF(AND(V1559&gt;=75,V1559&lt;=175,W1559&gt;=35,W1559&lt;65),0.2,0)+IF(AND(V1559&gt;=75,V1559&lt;=175,W1559&gt;=65,W1559&lt;110),0.17,0)+IF(AND(V1559&gt;=75,V1559&lt;=175,W1559&gt;=110),0.12,0)+IF(AND(V1559&gt;175,W1559&lt;25),0.23,0)+IF(AND(V1559&gt;175,W1559&gt;=25,W1559&lt;55),0.2,0)+IF(AND(V1559&gt;175,W1559&gt;=55,W1559&lt;95),0.17,0)+IF(AND(V1559&gt;175,W1559&gt;=95),0.12,0),
IF(AF1559="DoEVs1",IF(AND(V1559&lt;20,W1559&lt;55),0.3,0)+IF(AND(V1559&lt;20,W1559&gt;=55,W1559&lt;105),0.23,0)+IF(AND(V1559&lt;20,W1559&gt;=105),0.17,0)+IF(AND(V1559&gt;=20,V1559&lt;40,W1559&lt;45),0.3,0)+IF(AND(V1559&gt;=20,V1559&lt;40,W1559&gt;=45,W1559&lt;95),0.23,0)+IF(AND(V1559&gt;=20,V1559&lt;40,W1559&gt;=95,W1559&lt;=150),0.17,0)+IF(AND(V1559&gt;=20,V1559&lt;40,W1559&gt;=150),0.12,0)+IF(AND(V1559&gt;=40,V1559&lt;75,W1559&lt;35),0.3,0)+IF(AND(V1559&gt;=40,V1559&lt;75,W1559&gt;=35,W1559&lt;75),0.23,0)+IF(AND(V1559&gt;=40,V1559&lt;75,W1559&gt;=75,W1559&lt;120),0.17,0)+IF(AND(V1559&gt;=40,V1559&lt;75,W1559&gt;=120),0.12,0)+IF(AND(V1559&gt;=75,V1559&lt;175,W1559&lt;35),0.3,0)+IF(AND(V1559&gt;=75,V1559&lt;=175,W1559&gt;=35,W1559&lt;65),0.23,0)+IF(AND(V1559&gt;=75,V1559&lt;=175,W1559&gt;=65,W1559&lt;110),0.17,0)+IF(AND(V1559&gt;=75,V1559&lt;=175,W1559&gt;=110),0.12,0)+IF(AND(V1559&gt;175,W1559&lt;25),0.3,0)+IF(AND(V1559&gt;175,W1559&gt;=25,W1559&lt;55),0.23,0)+IF(AND(V1559&gt;175,W1559&gt;=55,W1559&lt;95),0.17,0)+IF(AND(V1559&gt;175,W1559&gt;=95),0.12,0),
IF(AF1559="DoEVsu",IF(AND(V1559&lt;20,W1559&lt;55),0.3,0)+IF(AND(V1559&lt;20,W1559&gt;=55,W1559&lt;105),0.23,0)+IF(AND(V1559&lt;20,W1559&gt;=105),0.17,0)+IF(AND(V1559&gt;=20,V1559&lt;40,W1559&lt;45),0.3,0)+IF(AND(V1559&gt;=20,V1559&lt;40,W1559&gt;=45,W1559&lt;95),0.23,0)+IF(AND(V1559&gt;=20,V1559&lt;40,W1559&gt;=95,W1559&lt;=250),0.17,0)+IF(AND(V1559&gt;=20,V1559&lt;40,W1559&gt;=250),0.12,0)+IF(AND(V1559&gt;=40,V1559&lt;75,W1559&lt;35),0.3,0)+IF(AND(V1559&gt;=40,V1559&lt;75,W1559&gt;=35,W1559&lt;75),0.23,0)+IF(AND(V1559&gt;=40,V1559&lt;75,W1559&gt;=75,W1559&lt;120),0.17,0)+IF(AND(V1559&gt;=40,V1559&lt;75,W1559&gt;=120),0.12,0)+IF(AND(V1559&gt;=75,V1559&lt;175,W1559&lt;35),0.3,0)+IF(AND(V1559&gt;=75,V1559&lt;=175,W1559&gt;=35,W1559&lt;65),0.23,0)+IF(AND(V1559&gt;=75,V1559&lt;=175,W1559&gt;=65,W1559&lt;110),0.17,0)+IF(AND(V1559&gt;=75,V1559&lt;=175,W1559&gt;=110),0.12,0)+IF(AND(V1559&gt;175,W1559&lt;25),0.3,0)+IF(AND(V1559&gt;175,W1559&gt;=25,W1559&lt;55),0.23,0)+IF(AND(V1559&gt;175,W1559&gt;=55,W1559&lt;95),0.17,0)+IF(AND(V1559&gt;175,W1559&gt;=95),0.12,0),
IF(AF1559="DoEVni",IF(AND(V1559&lt;20,W1559&lt;55),0.3,0)+IF(AND(V1559&lt;20,W1559&gt;=55,W1559&lt;105),0.23,0)+IF(AND(V1559&lt;20,W1559&gt;=105),0.17,0)+IF(AND(V1559&gt;=20,V1559&lt;40,W1559&lt;45),0.3,0)+IF(AND(V1559&gt;=20,V1559&lt;40,W1559&gt;=45,W1559&lt;95),0.23,0)+IF(AND(V1559&gt;=20,V1559&lt;40,W1559&gt;=95,W1559&lt;=200),0.17,0)+IF(AND(V1559&gt;=20,V1559&lt;40,W1559&gt;=200),0.12,0)+IF(AND(V1559&gt;=40,V1559&lt;75,W1559&lt;35),0.3,0)+IF(AND(V1559&gt;=40,V1559&lt;75,W1559&gt;=35,W1559&lt;75),0.23,0)+IF(AND(V1559&gt;=40,V1559&lt;75,W1559&gt;=75,W1559&lt;120),0.17,0)+IF(AND(V1559&gt;=40,V1559&lt;75,W1559&gt;=120),0.12,0)+IF(AND(V1559&gt;=75,V1559&lt;175,W1559&lt;35),0.3,0)+IF(AND(V1559&gt;=75,V1559&lt;=175,W1559&gt;=35,W1559&lt;65),0.23,0)+IF(AND(V1559&gt;=75,V1559&lt;=175,W1559&gt;=65,W1559&lt;110),0.17,0)+IF(AND(V1559&gt;=75,V1559&lt;=175,W1559&gt;=110),0.12,0)+IF(AND(V1559&gt;175,W1559&lt;25),0.3,0)+IF(AND(V1559&gt;175,W1559&gt;=25,W1559&lt;55),0.23,0)+IF(AND(V1559&gt;175,W1559&gt;=55,W1559&lt;95),0.17,0)+IF(AND(V1559&gt;175,W1559&gt;=95),0.12,0),
IF(AF1559="DoEVLo",IF(AND(V1559&lt;20,W1559&lt;55),0.25,0)+IF(AND(V1559&lt;20,W1559&gt;=55,W1559&lt;105),0.2,0)+IF(AND(V1559&lt;20,W1559&gt;=105),0.15,0)+IF(AND(V1559&gt;=20,V1559&lt;40,W1559&lt;45),0.25,0)+IF(AND(V1559&gt;=20,V1559&lt;40,W1559&gt;=45,W1559&lt;95),0.2,0)+IF(AND(V1559&gt;=20,V1559&lt;40,W1559&gt;=95),0.15,0)+IF(AND(V1559&gt;=40,V1559&lt;75,W1559&lt;35),0.25,0)+IF(AND(V1559&gt;=40,V1559&lt;75,W1559&gt;=35,W1559&lt;75),0.2,0)+IF(AND(V1559&gt;=40,V1559&lt;75,W1559&gt;=75,W1559&lt;120),0.15,0)+IF(AND(V1559&gt;=40,V1559&lt;75,W1559&gt;=120),0.1,0)+IF(AND(V1559&gt;=75,V1559&lt;175,W1559&lt;35),0.25,0)+IF(AND(V1559&gt;=75,V1559&lt;=175,W1559&gt;=35,W1559&lt;65),0.2,0)+IF(AND(V1559&gt;=75,V1559&lt;=175,W1559&gt;=65,W1559&lt;110),0.15,0)+IF(AND(V1559&gt;=75,V1559&lt;=175,W1559&gt;=110),0.1,0)+IF(AND(V1559&gt;175,W1559&lt;25),0.25,0)+IF(AND(V1559&gt;175,W1559&gt;=25,W1559&lt;55),0.2,0)+IF(AND(V1559&gt;175,W1559&gt;=55,W1559&lt;95),0.15,0)+IF(AND(V1559&gt;175,W1559&gt;=95),0.1,0))))))))))))))))))))</f>
        <v>0.3</v>
      </c>
      <c r="Y1559" s="30">
        <f>IF(AG1559="None",0,IF(AG1559="Fix5",0.05, IF(AG1559="Fix6.25",0.0625,IF(AG1559="Fix3.75",0.0375, IF(AG1559="Fix11",0.11, IF(AG1559="Fix10",0.1,IF(AG1559="Fix3",0.03,0)))))))</f>
        <v>0</v>
      </c>
      <c r="Z1559" s="59">
        <v>0</v>
      </c>
      <c r="AA1559" s="60">
        <v>-164.2</v>
      </c>
      <c r="AB1559" s="36" t="e">
        <f>IF(AND(AD1559="EUR", F1559="Without EV deal"), (T1559*Y1559)*U1559, IF(AD1559="EUR", ((R1559*Y1559)/U1559+S1559*Y1559), T1559*Y1559)
)</f>
        <v>#VALUE!</v>
      </c>
      <c r="AC1559" s="61" t="b">
        <v>1</v>
      </c>
      <c r="AD1559" s="82" t="str">
        <f>IF(OR(H1559="€0.25 Flash",
H1559="€0.25(nitro) new",
H1559="€1",
H1559="€2",
H1559="€2 (bf 01.08)",
H1559="€5",
H1559="€5 (1M)",
H1559="€5 (bf 01.08)",
H1559="€5 (bf 05.05)",
H1559="€5 Nitro",
H1559="€5(wx) new",
H1559="€10",
H1559="€10 (1M)",
H1559="€10 (bf 01.08)",
H1559="€10 (bf 05.05)",
H1559="€10 (MP)",
H1559="€10 (old)",
H1559="€10 Nitro (bf 05.05)",
H1559="€10 Nitro (old)",
H1559="€10(wx) new",
H1559="€20",
H1559="€25",
H1559="€25 (bf 01.08)",
H1559="€25 (bf 05.05)",
H1559="€25 (MP)",
H1559="€25 (old)",
H1559="€25 Nitro",
H1559="€25 Nitro (bf 01.08)",
H1559="€25 Nitro (bf 05.05)",
H1559="€25(nitro) new",
H1559="€25(wx) new",
H1559="€50",
H1559="€50 (bf 01.08)",
H1559="€50 (bf 05.05)",
H1559="€50 (old)",
H1559="€50 Nitro",
H1559="€50 Nitro (bf 01.08)",
H1559="€50 Nitro (bf 05.05)",
H1559="€50(wx) new",
H1559="€100",
H1559="€100 (old)",
H1559="€100 Nitro",
H1559="€100 Nitro (old)",
H1559="€200",
H1559="€250",
H1559="€250 Nitro",
H1559="€500",
H1559="€500 Nitro"),"EUR", "USD")</f>
        <v>USD</v>
      </c>
      <c r="AE1559" s="83" t="s">
        <v>38</v>
      </c>
      <c r="AF1559" s="83" t="str">
        <f t="array" ref="AF1559">INDEX('Deal Info'!D:D, MATCH(A1559,'Deal Info'!A:A, 0))</f>
        <v>DoEV</v>
      </c>
      <c r="AG1559" s="84" t="str">
        <f t="array" ref="AG1559">INDEX('Deal Info'!G:G, MATCH(A1559,'Deal Info'!A:A, 0))</f>
        <v>None</v>
      </c>
    </row>
    <row r="1560" spans="1:33" ht="14.25" hidden="1" x14ac:dyDescent="0.2">
      <c r="A1560" s="18" t="str">
        <f t="array" ref="A1560">IF(G1560='Room Info'!$B$1, INDEX('Room Info'!$A$2:$A2446, MATCH(B1560,'Room Info'!$B$2:$B2446, 0)),IF(G1560='Room Info'!$C$1, INDEX('Room Info'!$A$2:$A2446, MATCH(B1560,'Room Info'!$C$2:$C2446, 0)),IF(G1560='Room Info'!$D$1, INDEX('Room Info'!$A$2:$A2446, MATCH(B1560,'Room Info'!$D$2:$D2446, 0)),IF(G1560='Room Info'!$E$1, INDEX('Room Info'!$A$2:$A2446, MATCH(B1560,'Room Info'!$E$2:$E2446, 0)),IF(G1560='Room Info'!$F$1, INDEX('Room Info'!$A$2:$A2446, MATCH(B1560,'Room Info'!$F$2:$F2446, 0)),IF(G1560='Room Info'!$H$1, INDEX('Room Info'!$A$2:$A2446, MATCH(B1560,'Room Info'!$H$2:$H2446, 0)),IF(G1560='Room Info'!$G$1, INDEX('Room Info'!$A$2:$A2446, MATCH(B1560,'Room Info'!$G$2:$G2446, 0)))))))))</f>
        <v>guilexperi</v>
      </c>
      <c r="B1560" s="54" t="s">
        <v>208</v>
      </c>
      <c r="C1560" s="111">
        <v>44958</v>
      </c>
      <c r="D1560" s="111">
        <v>44985</v>
      </c>
      <c r="E1560" s="80">
        <v>44958</v>
      </c>
      <c r="F1560" s="96" t="s">
        <v>49</v>
      </c>
      <c r="G1560" s="65" t="s">
        <v>35</v>
      </c>
      <c r="H1560" s="49" t="s">
        <v>70</v>
      </c>
      <c r="I1560" s="100" t="s">
        <v>37</v>
      </c>
      <c r="J1560" s="39">
        <v>100</v>
      </c>
      <c r="K1560" s="51">
        <v>5</v>
      </c>
      <c r="L1560" s="52">
        <v>-200</v>
      </c>
      <c r="M1560" s="62">
        <v>17.377841436276356</v>
      </c>
      <c r="N1560" s="28">
        <f>K1560*J1560</f>
        <v>500</v>
      </c>
      <c r="O1560" s="54">
        <v>894</v>
      </c>
      <c r="P1560" s="29">
        <v>178.8</v>
      </c>
      <c r="Q1560" s="55"/>
      <c r="R1560" s="31">
        <f>M1560+Q1560*J1560*K1560*0.07</f>
        <v>17.377841436276356</v>
      </c>
      <c r="S1560" s="56">
        <v>144</v>
      </c>
      <c r="T1560" s="32">
        <f>IF(AND(AD1560="EUR", F1560="Without EV deal"), R1560 + L1560,
IF(AND(AD1560="USD", F1560="Without EV deal"), R1560 + L1560,
IF(AND(AD1560="EUR", F1560="Steel Phoenix"), R1560 + S1560/U1560,
R1560 + S1560)))</f>
        <v>161.37784143627636</v>
      </c>
      <c r="U1560" s="57">
        <v>1.0617000000000001</v>
      </c>
      <c r="V1560" s="69"/>
      <c r="W1560" s="69"/>
      <c r="X1560" s="30" t="b">
        <f>IF(AF1560="DoEV",IF(AND(V1560&lt;20,W1560&lt;55),0.3,0)+IF(AND(V1560&lt;20,W1560&gt;=55,W1560&lt;105),0.23,0)+IF(AND(V1560&lt;20,W1560&gt;=105),0.17,0)+IF(AND(V1560&gt;=20,V1560&lt;40,W1560&lt;45),0.3,0)+IF(AND(V1560&gt;=20,V1560&lt;40,W1560&gt;=45,W1560&lt;95),0.23,0)+IF(AND(V1560&gt;=20,V1560&lt;40,W1560&gt;=95),0.17,0)+IF(AND(V1560&gt;=40,V1560&lt;75,W1560&lt;35),0.3,0)+IF(AND(V1560&gt;=40,V1560&lt;75,W1560&gt;=35,W1560&lt;75),0.23,0)+IF(AND(V1560&gt;=40,V1560&lt;75,W1560&gt;=75,W1560&lt;120),0.17,0)+IF(AND(V1560&gt;=40,V1560&lt;75,W1560&gt;=120),0.12,0)+IF(AND(V1560&gt;=75,V1560&lt;175,W1560&lt;35),0.3,0)+IF(AND(V1560&gt;=75,V1560&lt;=175,W1560&gt;=35,W1560&lt;65),0.23,0)+IF(AND(V1560&gt;=75,V1560&lt;=175,W1560&gt;=65,W1560&lt;110),0.17,0)+IF(AND(V1560&gt;=75,V1560&lt;=175,W1560&gt;=110),0.12,0)+IF(AND(V1560&gt;175,W1560&lt;25),0.3,0)+IF(AND(V1560&gt;175,W1560&gt;=25,W1560&lt;55),0.23,0)+IF(AND(V1560&gt;175,W1560&gt;=55,W1560&lt;95),0.17,0)+IF(AND(V1560&gt;175,W1560&gt;=95),0.12,0),
IF(AF1560="Fix15",0.15,
IF(AF1560="Fix5",0.05,
IF(AF1560="Fix18.75",0.1875,
IF(AF1560="Fix11.25",0.1125,
IF(AF1560="Fix10",0.1,
IF(AF1560="Fix9",0.09,
IF(AF1560="Fix12",0.12,
IF(AF1560="Fix19",0.19,
IF(AF1560="DoEV2017",IF(AND(W1560&lt;74),0.2,0)+IF(AND(W1560&gt;=74),0.17,0),
IF(AF1560="SF",IF(AND(V1560&lt;20,W1560&lt;89),0.3,0)+IF(AND(V1560&lt;20,W1560&gt;=89),0.25,0)+IF(AND(V1560&gt;=20,V1560&lt;40,W1560&lt;74),0.3,0)+IF(AND(V1560&gt;=20,V1560&lt;40,W1560&gt;=75),0.22,0)+IF(AND(V1560&gt;=40,V1560&lt;75,W1560&lt;75),0.26,0)+IF(AND(V1560&gt;=40,V1560&lt;75,W1560&gt;=75),0.22,0)+IF(V1560&gt;=75,0.22,0),
IF(AF1560="DoEVold",IF(AND(V1560&lt;40,W1560&lt;35),0.35,0)+IF(AND(V1560&lt;40,W1560&gt;=35,W1560&lt;75),0.25,0)+IF(AND(V1560&lt;40,W1560&gt;=75),0.17,0)+IF(AND(V1560&gt;=40,V1560&lt;75,W1560&lt;25),0.35,0)+IF(AND(V1560&gt;=40,V1560&lt;75,W1560&gt;=25,W1560&lt;65),0.25,0)+IF(AND(V1560&gt;=40,V1560&lt;75,W1560&gt;=65,W1560&lt;100),0.17,0)+IF(AND(V1560&gt;=40,V1560&lt;75,W1560&gt;=100),0.1,0)+IF(AND(V1560&gt;=75,W1560&lt;25),0.35,0)+IF(AND(V1560&gt;=75,W1560&gt;=25,W1560&lt;60),0.25,0)+IF(AND(V1560&gt;=75,W1560&gt;=60,W1560&lt;95),0.17,0)+IF(AND(V1560&gt;=75,W1560&gt;=95),0.1,0),
IF(AF1560="DoEVold15",IF(AND(V1560&lt;=40,W1560&lt;35),0.35,0)+IF(AND(V1560&lt;=40,W1560&gt;=35,W1560&lt;75),0.25,0)+IF(AND(V1560&lt;=40,W1560&gt;=75,W1560&lt;120),0.17,0)+IF(AND(V1560&lt;=40,W1560&gt;=120),0.15,0)+IF(AND(V1560&gt;40,V1560&lt;75,W1560&lt;25),0.35,0)+IF(AND(V1560&gt;=40,V1560&lt;75,W1560&gt;=25,W1560&lt;65),0.25,0)+IF(AND(V1560&gt;=40,V1560&lt;75,W1560&gt;=65,W1560&lt;100),0.17,0)+IF(AND(V1560&gt;=40,V1560&lt;75,W1560&gt;=100),0.1,0)+IF(AND(V1560&gt;=75,W1560&lt;25),0.35,0)+IF(AND(V1560&gt;=75,W1560&gt;=25,W1560&lt;60),0.25,0)+IF(AND(V1560&gt;=75,W1560&gt;=60,W1560&lt;95),0.17,0)+IF(AND(V1560&gt;=75,W1560&gt;=95),0.1,0),
IF(AF1560="DoEVba",IF(AND(V1560&lt;20,W1560&lt;105),0.2,0)+IF(AND(V1560&lt;20,W1560&gt;=105),0.15,0)+IF(AND(V1560&gt;=20,V1560&lt;40,W1560&lt;95),0.2,0)+IF(AND(V1560&gt;=20,V1560&lt;40,W1560&gt;=95,W1560&lt;150),0.15,0)+IF(AND(V1560&gt;=20,V1560&lt;40,W1560&gt;=150),0.12,0)+IF(AND(V1560&gt;=40,V1560&lt;75,W1560&lt;75),0.2,0)+IF(AND(V1560&gt;=40,V1560&lt;75,W1560&gt;=75,W1560&lt;120),0.15,0)+IF(AND(V1560&gt;=40,V1560&lt;75,W1560&gt;=120),0.12,0)+IF(AND(V1560&gt;=75,V1560&lt;175,W1560&lt;65),0.2,0)+IF(AND(V1560&gt;=75,V1560&lt;175,W1560&gt;=65,W1560&lt;110),0.15,0)+IF(AND(V1560&gt;=75,V1560&lt;175,W1560&gt;=110),0.12,0)+IF(AND(V1560&gt;=175,W1560&lt;55),0.2,0)+IF(AND(V1560&gt;=175,W1560&gt;=55,W1560&lt;95),0.15,0)+IF(AND(V1560&gt;=175,W1560&gt;=95),0.12,0),
IF(AF1560="DoEVku",IF(AND(V1560&lt;20,W1560&lt;55),0.23,0)+IF(AND(V1560&lt;20,W1560&gt;=55,W1560&lt;105),0.2,0)+IF(AND(V1560&lt;20,W1560&gt;=105),0.17,0)+IF(AND(V1560&gt;=20,V1560&lt;40,W1560&lt;45),0.23,0)+IF(AND(V1560&gt;=20,V1560&lt;40,W1560&gt;=45,W1560&lt;95),0.2,0)+IF(AND(V1560&gt;=20,V1560&lt;40,W1560&gt;=95,W1560&lt;=150),0.17,0)+IF(AND(V1560&gt;=20,V1560&lt;40,W1560&gt;=150),0.12,0)+IF(AND(V1560&gt;=40,V1560&lt;75,W1560&lt;35),0.23,0)+IF(AND(V1560&gt;=40,V1560&lt;75,W1560&gt;=35,W1560&lt;75),0.2,0)+IF(AND(V1560&gt;=40,V1560&lt;75,W1560&gt;=75,W1560&lt;120),0.17,0)+IF(AND(V1560&gt;=40,V1560&lt;75,W1560&gt;=120),0.12,0)+IF(AND(V1560&gt;=75,V1560&lt;175,W1560&lt;35),0.23,0)+IF(AND(V1560&gt;=75,V1560&lt;=175,W1560&gt;=35,W1560&lt;65),0.2,0)+IF(AND(V1560&gt;=75,V1560&lt;=175,W1560&gt;=65,W1560&lt;110),0.17,0)+IF(AND(V1560&gt;=75,V1560&lt;=175,W1560&gt;=110),0.12,0)+IF(AND(V1560&gt;175,W1560&lt;25),0.23,0)+IF(AND(V1560&gt;175,W1560&gt;=25,W1560&lt;55),0.2,0)+IF(AND(V1560&gt;175,W1560&gt;=55,W1560&lt;95),0.17,0)+IF(AND(V1560&gt;175,W1560&gt;=95),0.12,0),
IF(AF1560="DoEVs1",IF(AND(V1560&lt;20,W1560&lt;55),0.3,0)+IF(AND(V1560&lt;20,W1560&gt;=55,W1560&lt;105),0.23,0)+IF(AND(V1560&lt;20,W1560&gt;=105),0.17,0)+IF(AND(V1560&gt;=20,V1560&lt;40,W1560&lt;45),0.3,0)+IF(AND(V1560&gt;=20,V1560&lt;40,W1560&gt;=45,W1560&lt;95),0.23,0)+IF(AND(V1560&gt;=20,V1560&lt;40,W1560&gt;=95,W1560&lt;=150),0.17,0)+IF(AND(V1560&gt;=20,V1560&lt;40,W1560&gt;=150),0.12,0)+IF(AND(V1560&gt;=40,V1560&lt;75,W1560&lt;35),0.3,0)+IF(AND(V1560&gt;=40,V1560&lt;75,W1560&gt;=35,W1560&lt;75),0.23,0)+IF(AND(V1560&gt;=40,V1560&lt;75,W1560&gt;=75,W1560&lt;120),0.17,0)+IF(AND(V1560&gt;=40,V1560&lt;75,W1560&gt;=120),0.12,0)+IF(AND(V1560&gt;=75,V1560&lt;175,W1560&lt;35),0.3,0)+IF(AND(V1560&gt;=75,V1560&lt;=175,W1560&gt;=35,W1560&lt;65),0.23,0)+IF(AND(V1560&gt;=75,V1560&lt;=175,W1560&gt;=65,W1560&lt;110),0.17,0)+IF(AND(V1560&gt;=75,V1560&lt;=175,W1560&gt;=110),0.12,0)+IF(AND(V1560&gt;175,W1560&lt;25),0.3,0)+IF(AND(V1560&gt;175,W1560&gt;=25,W1560&lt;55),0.23,0)+IF(AND(V1560&gt;175,W1560&gt;=55,W1560&lt;95),0.17,0)+IF(AND(V1560&gt;175,W1560&gt;=95),0.12,0),
IF(AF1560="DoEVsu",IF(AND(V1560&lt;20,W1560&lt;55),0.3,0)+IF(AND(V1560&lt;20,W1560&gt;=55,W1560&lt;105),0.23,0)+IF(AND(V1560&lt;20,W1560&gt;=105),0.17,0)+IF(AND(V1560&gt;=20,V1560&lt;40,W1560&lt;45),0.3,0)+IF(AND(V1560&gt;=20,V1560&lt;40,W1560&gt;=45,W1560&lt;95),0.23,0)+IF(AND(V1560&gt;=20,V1560&lt;40,W1560&gt;=95,W1560&lt;=250),0.17,0)+IF(AND(V1560&gt;=20,V1560&lt;40,W1560&gt;=250),0.12,0)+IF(AND(V1560&gt;=40,V1560&lt;75,W1560&lt;35),0.3,0)+IF(AND(V1560&gt;=40,V1560&lt;75,W1560&gt;=35,W1560&lt;75),0.23,0)+IF(AND(V1560&gt;=40,V1560&lt;75,W1560&gt;=75,W1560&lt;120),0.17,0)+IF(AND(V1560&gt;=40,V1560&lt;75,W1560&gt;=120),0.12,0)+IF(AND(V1560&gt;=75,V1560&lt;175,W1560&lt;35),0.3,0)+IF(AND(V1560&gt;=75,V1560&lt;=175,W1560&gt;=35,W1560&lt;65),0.23,0)+IF(AND(V1560&gt;=75,V1560&lt;=175,W1560&gt;=65,W1560&lt;110),0.17,0)+IF(AND(V1560&gt;=75,V1560&lt;=175,W1560&gt;=110),0.12,0)+IF(AND(V1560&gt;175,W1560&lt;25),0.3,0)+IF(AND(V1560&gt;175,W1560&gt;=25,W1560&lt;55),0.23,0)+IF(AND(V1560&gt;175,W1560&gt;=55,W1560&lt;95),0.17,0)+IF(AND(V1560&gt;175,W1560&gt;=95),0.12,0),
IF(AF1560="DoEVni",IF(AND(V1560&lt;20,W1560&lt;55),0.3,0)+IF(AND(V1560&lt;20,W1560&gt;=55,W1560&lt;105),0.23,0)+IF(AND(V1560&lt;20,W1560&gt;=105),0.17,0)+IF(AND(V1560&gt;=20,V1560&lt;40,W1560&lt;45),0.3,0)+IF(AND(V1560&gt;=20,V1560&lt;40,W1560&gt;=45,W1560&lt;95),0.23,0)+IF(AND(V1560&gt;=20,V1560&lt;40,W1560&gt;=95,W1560&lt;=200),0.17,0)+IF(AND(V1560&gt;=20,V1560&lt;40,W1560&gt;=200),0.12,0)+IF(AND(V1560&gt;=40,V1560&lt;75,W1560&lt;35),0.3,0)+IF(AND(V1560&gt;=40,V1560&lt;75,W1560&gt;=35,W1560&lt;75),0.23,0)+IF(AND(V1560&gt;=40,V1560&lt;75,W1560&gt;=75,W1560&lt;120),0.17,0)+IF(AND(V1560&gt;=40,V1560&lt;75,W1560&gt;=120),0.12,0)+IF(AND(V1560&gt;=75,V1560&lt;175,W1560&lt;35),0.3,0)+IF(AND(V1560&gt;=75,V1560&lt;=175,W1560&gt;=35,W1560&lt;65),0.23,0)+IF(AND(V1560&gt;=75,V1560&lt;=175,W1560&gt;=65,W1560&lt;110),0.17,0)+IF(AND(V1560&gt;=75,V1560&lt;=175,W1560&gt;=110),0.12,0)+IF(AND(V1560&gt;175,W1560&lt;25),0.3,0)+IF(AND(V1560&gt;175,W1560&gt;=25,W1560&lt;55),0.23,0)+IF(AND(V1560&gt;175,W1560&gt;=55,W1560&lt;95),0.17,0)+IF(AND(V1560&gt;175,W1560&gt;=95),0.12,0),
IF(AF1560="DoEVLo",IF(AND(V1560&lt;20,W1560&lt;55),0.25,0)+IF(AND(V1560&lt;20,W1560&gt;=55,W1560&lt;105),0.2,0)+IF(AND(V1560&lt;20,W1560&gt;=105),0.15,0)+IF(AND(V1560&gt;=20,V1560&lt;40,W1560&lt;45),0.25,0)+IF(AND(V1560&gt;=20,V1560&lt;40,W1560&gt;=45,W1560&lt;95),0.2,0)+IF(AND(V1560&gt;=20,V1560&lt;40,W1560&gt;=95),0.15,0)+IF(AND(V1560&gt;=40,V1560&lt;75,W1560&lt;35),0.25,0)+IF(AND(V1560&gt;=40,V1560&lt;75,W1560&gt;=35,W1560&lt;75),0.2,0)+IF(AND(V1560&gt;=40,V1560&lt;75,W1560&gt;=75,W1560&lt;120),0.15,0)+IF(AND(V1560&gt;=40,V1560&lt;75,W1560&gt;=120),0.1,0)+IF(AND(V1560&gt;=75,V1560&lt;175,W1560&lt;35),0.25,0)+IF(AND(V1560&gt;=75,V1560&lt;=175,W1560&gt;=35,W1560&lt;65),0.2,0)+IF(AND(V1560&gt;=75,V1560&lt;=175,W1560&gt;=65,W1560&lt;110),0.15,0)+IF(AND(V1560&gt;=75,V1560&lt;=175,W1560&gt;=110),0.1,0)+IF(AND(V1560&gt;175,W1560&lt;25),0.25,0)+IF(AND(V1560&gt;175,W1560&gt;=25,W1560&lt;55),0.2,0)+IF(AND(V1560&gt;175,W1560&gt;=55,W1560&lt;95),0.15,0)+IF(AND(V1560&gt;175,W1560&gt;=95),0.1,0))))))))))))))))))))</f>
        <v>0</v>
      </c>
      <c r="Y1560" s="30">
        <f>IF(AG1560="None",0,IF(AG1560="Fix5",0.05, IF(AG1560="Fix6.25",0.0625,IF(AG1560="Fix3.75",0.0375, IF(AG1560="Fix11",0.11, IF(AG1560="Fix10",0.1,IF(AG1560="Fix3",0.03,0)))))))</f>
        <v>0</v>
      </c>
      <c r="Z1560" s="35">
        <f>IF(AND(AD1560="EUR", AE1560 = "USD"), T1560*U1560-AA1560-AB1560, T1560-AA1560-AB1560)</f>
        <v>161.37784143627636</v>
      </c>
      <c r="AA1560" s="29">
        <f>IF(AND(AD1560="EUR", F1560="Without EV deal", AE1560="USD"), (T1560*X1560)*U1560,
IF(AND(AD1560="EUR", F1560="Without EV deal", AE1560="EUR"), (T1560*X1560),
IF(AND(AD1560="EUR",AE1560="USD"), (T1560*X1560)*U1560,
T1560*X1560)))</f>
        <v>0</v>
      </c>
      <c r="AB1560" s="36">
        <f>IF(AND(AD1560="EUR", F1560="Without EV deal", AE1560="USD"), (T1560*Y1560)*U1560,
IF(AND(AD1560="EUR", F1560="Without EV deal", AE1560="EUR"), (T1560*Y1560),
IF(AND(AD1560="EUR",AE1560="USD"), (T1560*Y1560)*U1560,
T1560*Y1560)))</f>
        <v>0</v>
      </c>
      <c r="AC1560" s="37" t="b">
        <v>0</v>
      </c>
      <c r="AD1560" s="82" t="str">
        <f>IF(OR(H1560="€0.25 Flash",
H1560="€0.25(nitro) new",
H1560="€1",
H1560="€2",
H1560="€2 (bf 01.08)",
H1560="€5",
H1560="€5 (1M)",
H1560="€5 (bf 01.08)",
H1560="€5 (bf 05.05)",
H1560="€5 Nitro",
H1560="€5(wx) new",
H1560="€10",
H1560="€10 (1M)",
H1560="€10 (bf 01.08)",
H1560="€10 (bf 05.05)",
H1560="€10 (MP)",
H1560="€10 (old)",
H1560="€10 Nitro (bf 05.05)",
H1560="€10 Nitro (old)",
H1560="€10(wx) new",
H1560="€20",
H1560="€25",
H1560="€25 (bf 01.08)",
H1560="€25 (bf 05.05)",
H1560="€25 (MP)",
H1560="€25 (old)",
H1560="€25 Nitro",
H1560="€25 Nitro (bf 01.08)",
H1560="€25 Nitro (bf 05.05)",
H1560="€25(nitro) new",
H1560="€25(wx) new",
H1560="€50",
H1560="€50 (bf 01.08)",
H1560="€50 (bf 05.05)",
H1560="€50 (old)",
H1560="€50 Nitro",
H1560="€50 Nitro (bf 01.08)",
H1560="€50 Nitro (bf 05.05)",
H1560="€50(wx) new",
H1560="€100",
H1560="€100 (old)",
H1560="€100 Nitro",
H1560="€100 Nitro (old)",
H1560="€200",
H1560="€250",
H1560="€250 Nitro",
H1560="€500",
H1560="€500 Nitro"),"EUR", "USD")</f>
        <v>USD</v>
      </c>
      <c r="AE1560" s="83" t="s">
        <v>38</v>
      </c>
      <c r="AF1560" s="83" t="str">
        <f t="array" ref="AF1560">INDEX('Deal Info'!D:D, MATCH(A1560,'Deal Info'!A:A, 0))</f>
        <v>None</v>
      </c>
      <c r="AG1560" s="84" t="str">
        <f t="array" ref="AG1560">INDEX('Deal Info'!G:G, MATCH(A1560,'Deal Info'!A:A, 0))</f>
        <v>guilexperi</v>
      </c>
    </row>
    <row r="1561" spans="1:33" ht="14.25" hidden="1" x14ac:dyDescent="0.2">
      <c r="A1561" s="18" t="str">
        <f t="array" ref="A1561">IF(G1561='Room Info'!$B$1, INDEX('Room Info'!$A$2:$A2446, MATCH(B1561,'Room Info'!$B$2:$B2446, 0)),IF(G1561='Room Info'!$C$1, INDEX('Room Info'!$A$2:$A2446, MATCH(B1561,'Room Info'!$C$2:$C2446, 0)),IF(G1561='Room Info'!$D$1, INDEX('Room Info'!$A$2:$A2446, MATCH(B1561,'Room Info'!$D$2:$D2446, 0)),IF(G1561='Room Info'!$E$1, INDEX('Room Info'!$A$2:$A2446, MATCH(B1561,'Room Info'!$E$2:$E2446, 0)),IF(G1561='Room Info'!$F$1, INDEX('Room Info'!$A$2:$A2446, MATCH(B1561,'Room Info'!$F$2:$F2446, 0)),IF(G1561='Room Info'!$H$1, INDEX('Room Info'!$A$2:$A2446, MATCH(B1561,'Room Info'!$H$2:$H2446, 0)),IF(G1561='Room Info'!$G$1, INDEX('Room Info'!$A$2:$A2446, MATCH(B1561,'Room Info'!$G$2:$G2446, 0)))))))))</f>
        <v>guilexperi</v>
      </c>
      <c r="B1561" s="54" t="s">
        <v>208</v>
      </c>
      <c r="C1561" s="111">
        <v>44958</v>
      </c>
      <c r="D1561" s="111">
        <v>44985</v>
      </c>
      <c r="E1561" s="80">
        <v>44958</v>
      </c>
      <c r="F1561" s="96" t="s">
        <v>49</v>
      </c>
      <c r="G1561" s="65" t="s">
        <v>35</v>
      </c>
      <c r="H1561" s="49" t="s">
        <v>213</v>
      </c>
      <c r="I1561" s="91" t="s">
        <v>174</v>
      </c>
      <c r="J1561" s="39">
        <v>100</v>
      </c>
      <c r="K1561" s="51">
        <v>11</v>
      </c>
      <c r="L1561" s="52">
        <v>77</v>
      </c>
      <c r="M1561" s="62">
        <v>14.374950436087802</v>
      </c>
      <c r="N1561" s="28">
        <f>K1561*J1561</f>
        <v>1100</v>
      </c>
      <c r="O1561" s="54">
        <v>-168</v>
      </c>
      <c r="P1561" s="29">
        <v>-15.272727270000001</v>
      </c>
      <c r="Q1561" s="55"/>
      <c r="R1561" s="31">
        <f>M1561+Q1561*J1561*K1561*0.07</f>
        <v>14.374950436087802</v>
      </c>
      <c r="S1561" s="56">
        <v>-45</v>
      </c>
      <c r="T1561" s="32">
        <f>IF(AND(AD1561="EUR", F1561="Without EV deal"), R1561 + L1561,
IF(AND(AD1561="USD", F1561="Without EV deal"), R1561 + L1561,
IF(AND(AD1561="EUR", F1561="Steel Phoenix"), R1561 + S1561/U1561,
R1561 + S1561)))</f>
        <v>-30.625049563912199</v>
      </c>
      <c r="U1561" s="57">
        <v>1.0617000000000001</v>
      </c>
      <c r="V1561" s="69"/>
      <c r="W1561" s="69"/>
      <c r="X1561" s="30" t="b">
        <f>IF(AF1561="DoEV",IF(AND(V1561&lt;20,W1561&lt;55),0.3,0)+IF(AND(V1561&lt;20,W1561&gt;=55,W1561&lt;105),0.23,0)+IF(AND(V1561&lt;20,W1561&gt;=105),0.17,0)+IF(AND(V1561&gt;=20,V1561&lt;40,W1561&lt;45),0.3,0)+IF(AND(V1561&gt;=20,V1561&lt;40,W1561&gt;=45,W1561&lt;95),0.23,0)+IF(AND(V1561&gt;=20,V1561&lt;40,W1561&gt;=95),0.17,0)+IF(AND(V1561&gt;=40,V1561&lt;75,W1561&lt;35),0.3,0)+IF(AND(V1561&gt;=40,V1561&lt;75,W1561&gt;=35,W1561&lt;75),0.23,0)+IF(AND(V1561&gt;=40,V1561&lt;75,W1561&gt;=75,W1561&lt;120),0.17,0)+IF(AND(V1561&gt;=40,V1561&lt;75,W1561&gt;=120),0.12,0)+IF(AND(V1561&gt;=75,V1561&lt;175,W1561&lt;35),0.3,0)+IF(AND(V1561&gt;=75,V1561&lt;=175,W1561&gt;=35,W1561&lt;65),0.23,0)+IF(AND(V1561&gt;=75,V1561&lt;=175,W1561&gt;=65,W1561&lt;110),0.17,0)+IF(AND(V1561&gt;=75,V1561&lt;=175,W1561&gt;=110),0.12,0)+IF(AND(V1561&gt;175,W1561&lt;25),0.3,0)+IF(AND(V1561&gt;175,W1561&gt;=25,W1561&lt;55),0.23,0)+IF(AND(V1561&gt;175,W1561&gt;=55,W1561&lt;95),0.17,0)+IF(AND(V1561&gt;175,W1561&gt;=95),0.12,0),
IF(AF1561="Fix15",0.15,
IF(AF1561="Fix5",0.05,
IF(AF1561="Fix18.75",0.1875,
IF(AF1561="Fix11.25",0.1125,
IF(AF1561="Fix10",0.1,
IF(AF1561="Fix9",0.09,
IF(AF1561="Fix12",0.12,
IF(AF1561="Fix19",0.19,
IF(AF1561="DoEV2017",IF(AND(W1561&lt;74),0.2,0)+IF(AND(W1561&gt;=74),0.17,0),
IF(AF1561="SF",IF(AND(V1561&lt;20,W1561&lt;89),0.3,0)+IF(AND(V1561&lt;20,W1561&gt;=89),0.25,0)+IF(AND(V1561&gt;=20,V1561&lt;40,W1561&lt;74),0.3,0)+IF(AND(V1561&gt;=20,V1561&lt;40,W1561&gt;=75),0.22,0)+IF(AND(V1561&gt;=40,V1561&lt;75,W1561&lt;75),0.26,0)+IF(AND(V1561&gt;=40,V1561&lt;75,W1561&gt;=75),0.22,0)+IF(V1561&gt;=75,0.22,0),
IF(AF1561="DoEVold",IF(AND(V1561&lt;40,W1561&lt;35),0.35,0)+IF(AND(V1561&lt;40,W1561&gt;=35,W1561&lt;75),0.25,0)+IF(AND(V1561&lt;40,W1561&gt;=75),0.17,0)+IF(AND(V1561&gt;=40,V1561&lt;75,W1561&lt;25),0.35,0)+IF(AND(V1561&gt;=40,V1561&lt;75,W1561&gt;=25,W1561&lt;65),0.25,0)+IF(AND(V1561&gt;=40,V1561&lt;75,W1561&gt;=65,W1561&lt;100),0.17,0)+IF(AND(V1561&gt;=40,V1561&lt;75,W1561&gt;=100),0.1,0)+IF(AND(V1561&gt;=75,W1561&lt;25),0.35,0)+IF(AND(V1561&gt;=75,W1561&gt;=25,W1561&lt;60),0.25,0)+IF(AND(V1561&gt;=75,W1561&gt;=60,W1561&lt;95),0.17,0)+IF(AND(V1561&gt;=75,W1561&gt;=95),0.1,0),
IF(AF1561="DoEVold15",IF(AND(V1561&lt;=40,W1561&lt;35),0.35,0)+IF(AND(V1561&lt;=40,W1561&gt;=35,W1561&lt;75),0.25,0)+IF(AND(V1561&lt;=40,W1561&gt;=75,W1561&lt;120),0.17,0)+IF(AND(V1561&lt;=40,W1561&gt;=120),0.15,0)+IF(AND(V1561&gt;40,V1561&lt;75,W1561&lt;25),0.35,0)+IF(AND(V1561&gt;=40,V1561&lt;75,W1561&gt;=25,W1561&lt;65),0.25,0)+IF(AND(V1561&gt;=40,V1561&lt;75,W1561&gt;=65,W1561&lt;100),0.17,0)+IF(AND(V1561&gt;=40,V1561&lt;75,W1561&gt;=100),0.1,0)+IF(AND(V1561&gt;=75,W1561&lt;25),0.35,0)+IF(AND(V1561&gt;=75,W1561&gt;=25,W1561&lt;60),0.25,0)+IF(AND(V1561&gt;=75,W1561&gt;=60,W1561&lt;95),0.17,0)+IF(AND(V1561&gt;=75,W1561&gt;=95),0.1,0),
IF(AF1561="DoEVba",IF(AND(V1561&lt;20,W1561&lt;105),0.2,0)+IF(AND(V1561&lt;20,W1561&gt;=105),0.15,0)+IF(AND(V1561&gt;=20,V1561&lt;40,W1561&lt;95),0.2,0)+IF(AND(V1561&gt;=20,V1561&lt;40,W1561&gt;=95,W1561&lt;150),0.15,0)+IF(AND(V1561&gt;=20,V1561&lt;40,W1561&gt;=150),0.12,0)+IF(AND(V1561&gt;=40,V1561&lt;75,W1561&lt;75),0.2,0)+IF(AND(V1561&gt;=40,V1561&lt;75,W1561&gt;=75,W1561&lt;120),0.15,0)+IF(AND(V1561&gt;=40,V1561&lt;75,W1561&gt;=120),0.12,0)+IF(AND(V1561&gt;=75,V1561&lt;175,W1561&lt;65),0.2,0)+IF(AND(V1561&gt;=75,V1561&lt;175,W1561&gt;=65,W1561&lt;110),0.15,0)+IF(AND(V1561&gt;=75,V1561&lt;175,W1561&gt;=110),0.12,0)+IF(AND(V1561&gt;=175,W1561&lt;55),0.2,0)+IF(AND(V1561&gt;=175,W1561&gt;=55,W1561&lt;95),0.15,0)+IF(AND(V1561&gt;=175,W1561&gt;=95),0.12,0),
IF(AF1561="DoEVku",IF(AND(V1561&lt;20,W1561&lt;55),0.23,0)+IF(AND(V1561&lt;20,W1561&gt;=55,W1561&lt;105),0.2,0)+IF(AND(V1561&lt;20,W1561&gt;=105),0.17,0)+IF(AND(V1561&gt;=20,V1561&lt;40,W1561&lt;45),0.23,0)+IF(AND(V1561&gt;=20,V1561&lt;40,W1561&gt;=45,W1561&lt;95),0.2,0)+IF(AND(V1561&gt;=20,V1561&lt;40,W1561&gt;=95,W1561&lt;=150),0.17,0)+IF(AND(V1561&gt;=20,V1561&lt;40,W1561&gt;=150),0.12,0)+IF(AND(V1561&gt;=40,V1561&lt;75,W1561&lt;35),0.23,0)+IF(AND(V1561&gt;=40,V1561&lt;75,W1561&gt;=35,W1561&lt;75),0.2,0)+IF(AND(V1561&gt;=40,V1561&lt;75,W1561&gt;=75,W1561&lt;120),0.17,0)+IF(AND(V1561&gt;=40,V1561&lt;75,W1561&gt;=120),0.12,0)+IF(AND(V1561&gt;=75,V1561&lt;175,W1561&lt;35),0.23,0)+IF(AND(V1561&gt;=75,V1561&lt;=175,W1561&gt;=35,W1561&lt;65),0.2,0)+IF(AND(V1561&gt;=75,V1561&lt;=175,W1561&gt;=65,W1561&lt;110),0.17,0)+IF(AND(V1561&gt;=75,V1561&lt;=175,W1561&gt;=110),0.12,0)+IF(AND(V1561&gt;175,W1561&lt;25),0.23,0)+IF(AND(V1561&gt;175,W1561&gt;=25,W1561&lt;55),0.2,0)+IF(AND(V1561&gt;175,W1561&gt;=55,W1561&lt;95),0.17,0)+IF(AND(V1561&gt;175,W1561&gt;=95),0.12,0),
IF(AF1561="DoEVs1",IF(AND(V1561&lt;20,W1561&lt;55),0.3,0)+IF(AND(V1561&lt;20,W1561&gt;=55,W1561&lt;105),0.23,0)+IF(AND(V1561&lt;20,W1561&gt;=105),0.17,0)+IF(AND(V1561&gt;=20,V1561&lt;40,W1561&lt;45),0.3,0)+IF(AND(V1561&gt;=20,V1561&lt;40,W1561&gt;=45,W1561&lt;95),0.23,0)+IF(AND(V1561&gt;=20,V1561&lt;40,W1561&gt;=95,W1561&lt;=150),0.17,0)+IF(AND(V1561&gt;=20,V1561&lt;40,W1561&gt;=150),0.12,0)+IF(AND(V1561&gt;=40,V1561&lt;75,W1561&lt;35),0.3,0)+IF(AND(V1561&gt;=40,V1561&lt;75,W1561&gt;=35,W1561&lt;75),0.23,0)+IF(AND(V1561&gt;=40,V1561&lt;75,W1561&gt;=75,W1561&lt;120),0.17,0)+IF(AND(V1561&gt;=40,V1561&lt;75,W1561&gt;=120),0.12,0)+IF(AND(V1561&gt;=75,V1561&lt;175,W1561&lt;35),0.3,0)+IF(AND(V1561&gt;=75,V1561&lt;=175,W1561&gt;=35,W1561&lt;65),0.23,0)+IF(AND(V1561&gt;=75,V1561&lt;=175,W1561&gt;=65,W1561&lt;110),0.17,0)+IF(AND(V1561&gt;=75,V1561&lt;=175,W1561&gt;=110),0.12,0)+IF(AND(V1561&gt;175,W1561&lt;25),0.3,0)+IF(AND(V1561&gt;175,W1561&gt;=25,W1561&lt;55),0.23,0)+IF(AND(V1561&gt;175,W1561&gt;=55,W1561&lt;95),0.17,0)+IF(AND(V1561&gt;175,W1561&gt;=95),0.12,0),
IF(AF1561="DoEVsu",IF(AND(V1561&lt;20,W1561&lt;55),0.3,0)+IF(AND(V1561&lt;20,W1561&gt;=55,W1561&lt;105),0.23,0)+IF(AND(V1561&lt;20,W1561&gt;=105),0.17,0)+IF(AND(V1561&gt;=20,V1561&lt;40,W1561&lt;45),0.3,0)+IF(AND(V1561&gt;=20,V1561&lt;40,W1561&gt;=45,W1561&lt;95),0.23,0)+IF(AND(V1561&gt;=20,V1561&lt;40,W1561&gt;=95,W1561&lt;=250),0.17,0)+IF(AND(V1561&gt;=20,V1561&lt;40,W1561&gt;=250),0.12,0)+IF(AND(V1561&gt;=40,V1561&lt;75,W1561&lt;35),0.3,0)+IF(AND(V1561&gt;=40,V1561&lt;75,W1561&gt;=35,W1561&lt;75),0.23,0)+IF(AND(V1561&gt;=40,V1561&lt;75,W1561&gt;=75,W1561&lt;120),0.17,0)+IF(AND(V1561&gt;=40,V1561&lt;75,W1561&gt;=120),0.12,0)+IF(AND(V1561&gt;=75,V1561&lt;175,W1561&lt;35),0.3,0)+IF(AND(V1561&gt;=75,V1561&lt;=175,W1561&gt;=35,W1561&lt;65),0.23,0)+IF(AND(V1561&gt;=75,V1561&lt;=175,W1561&gt;=65,W1561&lt;110),0.17,0)+IF(AND(V1561&gt;=75,V1561&lt;=175,W1561&gt;=110),0.12,0)+IF(AND(V1561&gt;175,W1561&lt;25),0.3,0)+IF(AND(V1561&gt;175,W1561&gt;=25,W1561&lt;55),0.23,0)+IF(AND(V1561&gt;175,W1561&gt;=55,W1561&lt;95),0.17,0)+IF(AND(V1561&gt;175,W1561&gt;=95),0.12,0),
IF(AF1561="DoEVni",IF(AND(V1561&lt;20,W1561&lt;55),0.3,0)+IF(AND(V1561&lt;20,W1561&gt;=55,W1561&lt;105),0.23,0)+IF(AND(V1561&lt;20,W1561&gt;=105),0.17,0)+IF(AND(V1561&gt;=20,V1561&lt;40,W1561&lt;45),0.3,0)+IF(AND(V1561&gt;=20,V1561&lt;40,W1561&gt;=45,W1561&lt;95),0.23,0)+IF(AND(V1561&gt;=20,V1561&lt;40,W1561&gt;=95,W1561&lt;=200),0.17,0)+IF(AND(V1561&gt;=20,V1561&lt;40,W1561&gt;=200),0.12,0)+IF(AND(V1561&gt;=40,V1561&lt;75,W1561&lt;35),0.3,0)+IF(AND(V1561&gt;=40,V1561&lt;75,W1561&gt;=35,W1561&lt;75),0.23,0)+IF(AND(V1561&gt;=40,V1561&lt;75,W1561&gt;=75,W1561&lt;120),0.17,0)+IF(AND(V1561&gt;=40,V1561&lt;75,W1561&gt;=120),0.12,0)+IF(AND(V1561&gt;=75,V1561&lt;175,W1561&lt;35),0.3,0)+IF(AND(V1561&gt;=75,V1561&lt;=175,W1561&gt;=35,W1561&lt;65),0.23,0)+IF(AND(V1561&gt;=75,V1561&lt;=175,W1561&gt;=65,W1561&lt;110),0.17,0)+IF(AND(V1561&gt;=75,V1561&lt;=175,W1561&gt;=110),0.12,0)+IF(AND(V1561&gt;175,W1561&lt;25),0.3,0)+IF(AND(V1561&gt;175,W1561&gt;=25,W1561&lt;55),0.23,0)+IF(AND(V1561&gt;175,W1561&gt;=55,W1561&lt;95),0.17,0)+IF(AND(V1561&gt;175,W1561&gt;=95),0.12,0),
IF(AF1561="DoEVLo",IF(AND(V1561&lt;20,W1561&lt;55),0.25,0)+IF(AND(V1561&lt;20,W1561&gt;=55,W1561&lt;105),0.2,0)+IF(AND(V1561&lt;20,W1561&gt;=105),0.15,0)+IF(AND(V1561&gt;=20,V1561&lt;40,W1561&lt;45),0.25,0)+IF(AND(V1561&gt;=20,V1561&lt;40,W1561&gt;=45,W1561&lt;95),0.2,0)+IF(AND(V1561&gt;=20,V1561&lt;40,W1561&gt;=95),0.15,0)+IF(AND(V1561&gt;=40,V1561&lt;75,W1561&lt;35),0.25,0)+IF(AND(V1561&gt;=40,V1561&lt;75,W1561&gt;=35,W1561&lt;75),0.2,0)+IF(AND(V1561&gt;=40,V1561&lt;75,W1561&gt;=75,W1561&lt;120),0.15,0)+IF(AND(V1561&gt;=40,V1561&lt;75,W1561&gt;=120),0.1,0)+IF(AND(V1561&gt;=75,V1561&lt;175,W1561&lt;35),0.25,0)+IF(AND(V1561&gt;=75,V1561&lt;=175,W1561&gt;=35,W1561&lt;65),0.2,0)+IF(AND(V1561&gt;=75,V1561&lt;=175,W1561&gt;=65,W1561&lt;110),0.15,0)+IF(AND(V1561&gt;=75,V1561&lt;=175,W1561&gt;=110),0.1,0)+IF(AND(V1561&gt;175,W1561&lt;25),0.25,0)+IF(AND(V1561&gt;175,W1561&gt;=25,W1561&lt;55),0.2,0)+IF(AND(V1561&gt;175,W1561&gt;=55,W1561&lt;95),0.15,0)+IF(AND(V1561&gt;175,W1561&gt;=95),0.1,0))))))))))))))))))))</f>
        <v>0</v>
      </c>
      <c r="Y1561" s="30">
        <f>IF(AG1561="None",0,IF(AG1561="Fix5",0.05, IF(AG1561="Fix6.25",0.0625,IF(AG1561="Fix3.75",0.0375, IF(AG1561="Fix11",0.11, IF(AG1561="Fix10",0.1,IF(AG1561="Fix3",0.03,0)))))))</f>
        <v>0</v>
      </c>
      <c r="Z1561" s="35">
        <f>IF(AND(AD1561="EUR", AE1561 = "USD"), T1561*U1561-AA1561-AB1561, T1561-AA1561-AB1561)</f>
        <v>-30.625049563912199</v>
      </c>
      <c r="AA1561" s="29">
        <f>IF(AND(AD1561="EUR", F1561="Without EV deal", AE1561="USD"), (T1561*X1561)*U1561,
IF(AND(AD1561="EUR", F1561="Without EV deal", AE1561="EUR"), (T1561*X1561),
IF(AND(AD1561="EUR",AE1561="USD"), (T1561*X1561)*U1561,
T1561*X1561)))</f>
        <v>0</v>
      </c>
      <c r="AB1561" s="36">
        <f>IF(AND(AD1561="EUR", F1561="Without EV deal", AE1561="USD"), (T1561*Y1561)*U1561,
IF(AND(AD1561="EUR", F1561="Without EV deal", AE1561="EUR"), (T1561*Y1561),
IF(AND(AD1561="EUR",AE1561="USD"), (T1561*Y1561)*U1561,
T1561*Y1561)))</f>
        <v>0</v>
      </c>
      <c r="AC1561" s="37" t="b">
        <v>0</v>
      </c>
      <c r="AD1561" s="82" t="str">
        <f>IF(OR(H1561="€0.25 Flash",
H1561="€0.25(nitro) new",
H1561="€1",
H1561="€2",
H1561="€2 (bf 01.08)",
H1561="€5",
H1561="€5 (1M)",
H1561="€5 (bf 01.08)",
H1561="€5 (bf 05.05)",
H1561="€5 Nitro",
H1561="€5(wx) new",
H1561="€10",
H1561="€10 (1M)",
H1561="€10 (bf 01.08)",
H1561="€10 (bf 05.05)",
H1561="€10 (MP)",
H1561="€10 (old)",
H1561="€10 Nitro (bf 05.05)",
H1561="€10 Nitro (old)",
H1561="€10(wx) new",
H1561="€20",
H1561="€25",
H1561="€25 (bf 01.08)",
H1561="€25 (bf 05.05)",
H1561="€25 (MP)",
H1561="€25 (old)",
H1561="€25 Nitro",
H1561="€25 Nitro (bf 01.08)",
H1561="€25 Nitro (bf 05.05)",
H1561="€25(nitro) new",
H1561="€25(wx) new",
H1561="€50",
H1561="€50 (bf 01.08)",
H1561="€50 (bf 05.05)",
H1561="€50 (old)",
H1561="€50 Nitro",
H1561="€50 Nitro (bf 01.08)",
H1561="€50 Nitro (bf 05.05)",
H1561="€50(wx) new",
H1561="€100",
H1561="€100 (old)",
H1561="€100 Nitro",
H1561="€100 Nitro (old)",
H1561="€200",
H1561="€250",
H1561="€250 Nitro",
H1561="€500",
H1561="€500 Nitro"),"EUR", "USD")</f>
        <v>USD</v>
      </c>
      <c r="AE1561" s="83" t="s">
        <v>38</v>
      </c>
      <c r="AF1561" s="83" t="str">
        <f t="array" ref="AF1561">INDEX('Deal Info'!D:D, MATCH(A1561,'Deal Info'!A:A, 0))</f>
        <v>None</v>
      </c>
      <c r="AG1561" s="84" t="str">
        <f t="array" ref="AG1561">INDEX('Deal Info'!G:G, MATCH(A1561,'Deal Info'!A:A, 0))</f>
        <v>guilexperi</v>
      </c>
    </row>
    <row r="1562" spans="1:33" ht="14.25" hidden="1" x14ac:dyDescent="0.2">
      <c r="A1562" s="18" t="str">
        <f t="array" ref="A1562">IF(G1562='Room Info'!$B$1, INDEX('Room Info'!$A$2:$A2446, MATCH(B1562,'Room Info'!$B$2:$B2446, 0)),IF(G1562='Room Info'!$C$1, INDEX('Room Info'!$A$2:$A2446, MATCH(B1562,'Room Info'!$C$2:$C2446, 0)),IF(G1562='Room Info'!$D$1, INDEX('Room Info'!$A$2:$A2446, MATCH(B1562,'Room Info'!$D$2:$D2446, 0)),IF(G1562='Room Info'!$E$1, INDEX('Room Info'!$A$2:$A2446, MATCH(B1562,'Room Info'!$E$2:$E2446, 0)),IF(G1562='Room Info'!$F$1, INDEX('Room Info'!$A$2:$A2446, MATCH(B1562,'Room Info'!$F$2:$F2446, 0)),IF(G1562='Room Info'!$H$1, INDEX('Room Info'!$A$2:$A2446, MATCH(B1562,'Room Info'!$H$2:$H2446, 0)),IF(G1562='Room Info'!$G$1, INDEX('Room Info'!$A$2:$A2446, MATCH(B1562,'Room Info'!$G$2:$G2446, 0)))))))))</f>
        <v>guilexperi</v>
      </c>
      <c r="B1562" s="54" t="s">
        <v>208</v>
      </c>
      <c r="C1562" s="111">
        <v>44958</v>
      </c>
      <c r="D1562" s="111">
        <v>44985</v>
      </c>
      <c r="E1562" s="80">
        <v>44958</v>
      </c>
      <c r="F1562" s="96" t="s">
        <v>49</v>
      </c>
      <c r="G1562" s="65" t="s">
        <v>35</v>
      </c>
      <c r="H1562" s="54" t="s">
        <v>84</v>
      </c>
      <c r="I1562" s="91" t="s">
        <v>44</v>
      </c>
      <c r="J1562" s="39">
        <v>100</v>
      </c>
      <c r="K1562" s="51">
        <v>35</v>
      </c>
      <c r="L1562" s="52">
        <v>1000</v>
      </c>
      <c r="M1562" s="62">
        <v>121.64489005393449</v>
      </c>
      <c r="N1562" s="28">
        <f>K1562*J1562</f>
        <v>3500</v>
      </c>
      <c r="O1562" s="54">
        <v>-947</v>
      </c>
      <c r="P1562" s="29">
        <v>-27.057142859999999</v>
      </c>
      <c r="Q1562" s="55"/>
      <c r="R1562" s="31">
        <f>M1562+Q1562*J1562*K1562*0.07</f>
        <v>121.64489005393449</v>
      </c>
      <c r="S1562" s="56">
        <v>-458</v>
      </c>
      <c r="T1562" s="32">
        <f>IF(AND(AD1562="EUR", F1562="Without EV deal"), R1562 + L1562,
IF(AND(AD1562="USD", F1562="Without EV deal"), R1562 + L1562,
IF(AND(AD1562="EUR", F1562="Steel Phoenix"), R1562 + S1562/U1562,
R1562 + S1562)))</f>
        <v>-336.35510994606551</v>
      </c>
      <c r="U1562" s="57">
        <v>1.0617000000000001</v>
      </c>
      <c r="V1562" s="69"/>
      <c r="W1562" s="69"/>
      <c r="X1562" s="30" t="b">
        <f>IF(AF1562="DoEV",IF(AND(V1562&lt;20,W1562&lt;55),0.3,0)+IF(AND(V1562&lt;20,W1562&gt;=55,W1562&lt;105),0.23,0)+IF(AND(V1562&lt;20,W1562&gt;=105),0.17,0)+IF(AND(V1562&gt;=20,V1562&lt;40,W1562&lt;45),0.3,0)+IF(AND(V1562&gt;=20,V1562&lt;40,W1562&gt;=45,W1562&lt;95),0.23,0)+IF(AND(V1562&gt;=20,V1562&lt;40,W1562&gt;=95),0.17,0)+IF(AND(V1562&gt;=40,V1562&lt;75,W1562&lt;35),0.3,0)+IF(AND(V1562&gt;=40,V1562&lt;75,W1562&gt;=35,W1562&lt;75),0.23,0)+IF(AND(V1562&gt;=40,V1562&lt;75,W1562&gt;=75,W1562&lt;120),0.17,0)+IF(AND(V1562&gt;=40,V1562&lt;75,W1562&gt;=120),0.12,0)+IF(AND(V1562&gt;=75,V1562&lt;175,W1562&lt;35),0.3,0)+IF(AND(V1562&gt;=75,V1562&lt;=175,W1562&gt;=35,W1562&lt;65),0.23,0)+IF(AND(V1562&gt;=75,V1562&lt;=175,W1562&gt;=65,W1562&lt;110),0.17,0)+IF(AND(V1562&gt;=75,V1562&lt;=175,W1562&gt;=110),0.12,0)+IF(AND(V1562&gt;175,W1562&lt;25),0.3,0)+IF(AND(V1562&gt;175,W1562&gt;=25,W1562&lt;55),0.23,0)+IF(AND(V1562&gt;175,W1562&gt;=55,W1562&lt;95),0.17,0)+IF(AND(V1562&gt;175,W1562&gt;=95),0.12,0),
IF(AF1562="Fix15",0.15,
IF(AF1562="Fix5",0.05,
IF(AF1562="Fix18.75",0.1875,
IF(AF1562="Fix11.25",0.1125,
IF(AF1562="Fix10",0.1,
IF(AF1562="Fix9",0.09,
IF(AF1562="Fix12",0.12,
IF(AF1562="Fix19",0.19,
IF(AF1562="DoEV2017",IF(AND(W1562&lt;74),0.2,0)+IF(AND(W1562&gt;=74),0.17,0),
IF(AF1562="SF",IF(AND(V1562&lt;20,W1562&lt;89),0.3,0)+IF(AND(V1562&lt;20,W1562&gt;=89),0.25,0)+IF(AND(V1562&gt;=20,V1562&lt;40,W1562&lt;74),0.3,0)+IF(AND(V1562&gt;=20,V1562&lt;40,W1562&gt;=75),0.22,0)+IF(AND(V1562&gt;=40,V1562&lt;75,W1562&lt;75),0.26,0)+IF(AND(V1562&gt;=40,V1562&lt;75,W1562&gt;=75),0.22,0)+IF(V1562&gt;=75,0.22,0),
IF(AF1562="DoEVold",IF(AND(V1562&lt;40,W1562&lt;35),0.35,0)+IF(AND(V1562&lt;40,W1562&gt;=35,W1562&lt;75),0.25,0)+IF(AND(V1562&lt;40,W1562&gt;=75),0.17,0)+IF(AND(V1562&gt;=40,V1562&lt;75,W1562&lt;25),0.35,0)+IF(AND(V1562&gt;=40,V1562&lt;75,W1562&gt;=25,W1562&lt;65),0.25,0)+IF(AND(V1562&gt;=40,V1562&lt;75,W1562&gt;=65,W1562&lt;100),0.17,0)+IF(AND(V1562&gt;=40,V1562&lt;75,W1562&gt;=100),0.1,0)+IF(AND(V1562&gt;=75,W1562&lt;25),0.35,0)+IF(AND(V1562&gt;=75,W1562&gt;=25,W1562&lt;60),0.25,0)+IF(AND(V1562&gt;=75,W1562&gt;=60,W1562&lt;95),0.17,0)+IF(AND(V1562&gt;=75,W1562&gt;=95),0.1,0),
IF(AF1562="DoEVold15",IF(AND(V1562&lt;=40,W1562&lt;35),0.35,0)+IF(AND(V1562&lt;=40,W1562&gt;=35,W1562&lt;75),0.25,0)+IF(AND(V1562&lt;=40,W1562&gt;=75,W1562&lt;120),0.17,0)+IF(AND(V1562&lt;=40,W1562&gt;=120),0.15,0)+IF(AND(V1562&gt;40,V1562&lt;75,W1562&lt;25),0.35,0)+IF(AND(V1562&gt;=40,V1562&lt;75,W1562&gt;=25,W1562&lt;65),0.25,0)+IF(AND(V1562&gt;=40,V1562&lt;75,W1562&gt;=65,W1562&lt;100),0.17,0)+IF(AND(V1562&gt;=40,V1562&lt;75,W1562&gt;=100),0.1,0)+IF(AND(V1562&gt;=75,W1562&lt;25),0.35,0)+IF(AND(V1562&gt;=75,W1562&gt;=25,W1562&lt;60),0.25,0)+IF(AND(V1562&gt;=75,W1562&gt;=60,W1562&lt;95),0.17,0)+IF(AND(V1562&gt;=75,W1562&gt;=95),0.1,0),
IF(AF1562="DoEVba",IF(AND(V1562&lt;20,W1562&lt;105),0.2,0)+IF(AND(V1562&lt;20,W1562&gt;=105),0.15,0)+IF(AND(V1562&gt;=20,V1562&lt;40,W1562&lt;95),0.2,0)+IF(AND(V1562&gt;=20,V1562&lt;40,W1562&gt;=95,W1562&lt;150),0.15,0)+IF(AND(V1562&gt;=20,V1562&lt;40,W1562&gt;=150),0.12,0)+IF(AND(V1562&gt;=40,V1562&lt;75,W1562&lt;75),0.2,0)+IF(AND(V1562&gt;=40,V1562&lt;75,W1562&gt;=75,W1562&lt;120),0.15,0)+IF(AND(V1562&gt;=40,V1562&lt;75,W1562&gt;=120),0.12,0)+IF(AND(V1562&gt;=75,V1562&lt;175,W1562&lt;65),0.2,0)+IF(AND(V1562&gt;=75,V1562&lt;175,W1562&gt;=65,W1562&lt;110),0.15,0)+IF(AND(V1562&gt;=75,V1562&lt;175,W1562&gt;=110),0.12,0)+IF(AND(V1562&gt;=175,W1562&lt;55),0.2,0)+IF(AND(V1562&gt;=175,W1562&gt;=55,W1562&lt;95),0.15,0)+IF(AND(V1562&gt;=175,W1562&gt;=95),0.12,0),
IF(AF1562="DoEVku",IF(AND(V1562&lt;20,W1562&lt;55),0.23,0)+IF(AND(V1562&lt;20,W1562&gt;=55,W1562&lt;105),0.2,0)+IF(AND(V1562&lt;20,W1562&gt;=105),0.17,0)+IF(AND(V1562&gt;=20,V1562&lt;40,W1562&lt;45),0.23,0)+IF(AND(V1562&gt;=20,V1562&lt;40,W1562&gt;=45,W1562&lt;95),0.2,0)+IF(AND(V1562&gt;=20,V1562&lt;40,W1562&gt;=95,W1562&lt;=150),0.17,0)+IF(AND(V1562&gt;=20,V1562&lt;40,W1562&gt;=150),0.12,0)+IF(AND(V1562&gt;=40,V1562&lt;75,W1562&lt;35),0.23,0)+IF(AND(V1562&gt;=40,V1562&lt;75,W1562&gt;=35,W1562&lt;75),0.2,0)+IF(AND(V1562&gt;=40,V1562&lt;75,W1562&gt;=75,W1562&lt;120),0.17,0)+IF(AND(V1562&gt;=40,V1562&lt;75,W1562&gt;=120),0.12,0)+IF(AND(V1562&gt;=75,V1562&lt;175,W1562&lt;35),0.23,0)+IF(AND(V1562&gt;=75,V1562&lt;=175,W1562&gt;=35,W1562&lt;65),0.2,0)+IF(AND(V1562&gt;=75,V1562&lt;=175,W1562&gt;=65,W1562&lt;110),0.17,0)+IF(AND(V1562&gt;=75,V1562&lt;=175,W1562&gt;=110),0.12,0)+IF(AND(V1562&gt;175,W1562&lt;25),0.23,0)+IF(AND(V1562&gt;175,W1562&gt;=25,W1562&lt;55),0.2,0)+IF(AND(V1562&gt;175,W1562&gt;=55,W1562&lt;95),0.17,0)+IF(AND(V1562&gt;175,W1562&gt;=95),0.12,0),
IF(AF1562="DoEVs1",IF(AND(V1562&lt;20,W1562&lt;55),0.3,0)+IF(AND(V1562&lt;20,W1562&gt;=55,W1562&lt;105),0.23,0)+IF(AND(V1562&lt;20,W1562&gt;=105),0.17,0)+IF(AND(V1562&gt;=20,V1562&lt;40,W1562&lt;45),0.3,0)+IF(AND(V1562&gt;=20,V1562&lt;40,W1562&gt;=45,W1562&lt;95),0.23,0)+IF(AND(V1562&gt;=20,V1562&lt;40,W1562&gt;=95,W1562&lt;=150),0.17,0)+IF(AND(V1562&gt;=20,V1562&lt;40,W1562&gt;=150),0.12,0)+IF(AND(V1562&gt;=40,V1562&lt;75,W1562&lt;35),0.3,0)+IF(AND(V1562&gt;=40,V1562&lt;75,W1562&gt;=35,W1562&lt;75),0.23,0)+IF(AND(V1562&gt;=40,V1562&lt;75,W1562&gt;=75,W1562&lt;120),0.17,0)+IF(AND(V1562&gt;=40,V1562&lt;75,W1562&gt;=120),0.12,0)+IF(AND(V1562&gt;=75,V1562&lt;175,W1562&lt;35),0.3,0)+IF(AND(V1562&gt;=75,V1562&lt;=175,W1562&gt;=35,W1562&lt;65),0.23,0)+IF(AND(V1562&gt;=75,V1562&lt;=175,W1562&gt;=65,W1562&lt;110),0.17,0)+IF(AND(V1562&gt;=75,V1562&lt;=175,W1562&gt;=110),0.12,0)+IF(AND(V1562&gt;175,W1562&lt;25),0.3,0)+IF(AND(V1562&gt;175,W1562&gt;=25,W1562&lt;55),0.23,0)+IF(AND(V1562&gt;175,W1562&gt;=55,W1562&lt;95),0.17,0)+IF(AND(V1562&gt;175,W1562&gt;=95),0.12,0),
IF(AF1562="DoEVsu",IF(AND(V1562&lt;20,W1562&lt;55),0.3,0)+IF(AND(V1562&lt;20,W1562&gt;=55,W1562&lt;105),0.23,0)+IF(AND(V1562&lt;20,W1562&gt;=105),0.17,0)+IF(AND(V1562&gt;=20,V1562&lt;40,W1562&lt;45),0.3,0)+IF(AND(V1562&gt;=20,V1562&lt;40,W1562&gt;=45,W1562&lt;95),0.23,0)+IF(AND(V1562&gt;=20,V1562&lt;40,W1562&gt;=95,W1562&lt;=250),0.17,0)+IF(AND(V1562&gt;=20,V1562&lt;40,W1562&gt;=250),0.12,0)+IF(AND(V1562&gt;=40,V1562&lt;75,W1562&lt;35),0.3,0)+IF(AND(V1562&gt;=40,V1562&lt;75,W1562&gt;=35,W1562&lt;75),0.23,0)+IF(AND(V1562&gt;=40,V1562&lt;75,W1562&gt;=75,W1562&lt;120),0.17,0)+IF(AND(V1562&gt;=40,V1562&lt;75,W1562&gt;=120),0.12,0)+IF(AND(V1562&gt;=75,V1562&lt;175,W1562&lt;35),0.3,0)+IF(AND(V1562&gt;=75,V1562&lt;=175,W1562&gt;=35,W1562&lt;65),0.23,0)+IF(AND(V1562&gt;=75,V1562&lt;=175,W1562&gt;=65,W1562&lt;110),0.17,0)+IF(AND(V1562&gt;=75,V1562&lt;=175,W1562&gt;=110),0.12,0)+IF(AND(V1562&gt;175,W1562&lt;25),0.3,0)+IF(AND(V1562&gt;175,W1562&gt;=25,W1562&lt;55),0.23,0)+IF(AND(V1562&gt;175,W1562&gt;=55,W1562&lt;95),0.17,0)+IF(AND(V1562&gt;175,W1562&gt;=95),0.12,0),
IF(AF1562="DoEVni",IF(AND(V1562&lt;20,W1562&lt;55),0.3,0)+IF(AND(V1562&lt;20,W1562&gt;=55,W1562&lt;105),0.23,0)+IF(AND(V1562&lt;20,W1562&gt;=105),0.17,0)+IF(AND(V1562&gt;=20,V1562&lt;40,W1562&lt;45),0.3,0)+IF(AND(V1562&gt;=20,V1562&lt;40,W1562&gt;=45,W1562&lt;95),0.23,0)+IF(AND(V1562&gt;=20,V1562&lt;40,W1562&gt;=95,W1562&lt;=200),0.17,0)+IF(AND(V1562&gt;=20,V1562&lt;40,W1562&gt;=200),0.12,0)+IF(AND(V1562&gt;=40,V1562&lt;75,W1562&lt;35),0.3,0)+IF(AND(V1562&gt;=40,V1562&lt;75,W1562&gt;=35,W1562&lt;75),0.23,0)+IF(AND(V1562&gt;=40,V1562&lt;75,W1562&gt;=75,W1562&lt;120),0.17,0)+IF(AND(V1562&gt;=40,V1562&lt;75,W1562&gt;=120),0.12,0)+IF(AND(V1562&gt;=75,V1562&lt;175,W1562&lt;35),0.3,0)+IF(AND(V1562&gt;=75,V1562&lt;=175,W1562&gt;=35,W1562&lt;65),0.23,0)+IF(AND(V1562&gt;=75,V1562&lt;=175,W1562&gt;=65,W1562&lt;110),0.17,0)+IF(AND(V1562&gt;=75,V1562&lt;=175,W1562&gt;=110),0.12,0)+IF(AND(V1562&gt;175,W1562&lt;25),0.3,0)+IF(AND(V1562&gt;175,W1562&gt;=25,W1562&lt;55),0.23,0)+IF(AND(V1562&gt;175,W1562&gt;=55,W1562&lt;95),0.17,0)+IF(AND(V1562&gt;175,W1562&gt;=95),0.12,0),
IF(AF1562="DoEVLo",IF(AND(V1562&lt;20,W1562&lt;55),0.25,0)+IF(AND(V1562&lt;20,W1562&gt;=55,W1562&lt;105),0.2,0)+IF(AND(V1562&lt;20,W1562&gt;=105),0.15,0)+IF(AND(V1562&gt;=20,V1562&lt;40,W1562&lt;45),0.25,0)+IF(AND(V1562&gt;=20,V1562&lt;40,W1562&gt;=45,W1562&lt;95),0.2,0)+IF(AND(V1562&gt;=20,V1562&lt;40,W1562&gt;=95),0.15,0)+IF(AND(V1562&gt;=40,V1562&lt;75,W1562&lt;35),0.25,0)+IF(AND(V1562&gt;=40,V1562&lt;75,W1562&gt;=35,W1562&lt;75),0.2,0)+IF(AND(V1562&gt;=40,V1562&lt;75,W1562&gt;=75,W1562&lt;120),0.15,0)+IF(AND(V1562&gt;=40,V1562&lt;75,W1562&gt;=120),0.1,0)+IF(AND(V1562&gt;=75,V1562&lt;175,W1562&lt;35),0.25,0)+IF(AND(V1562&gt;=75,V1562&lt;=175,W1562&gt;=35,W1562&lt;65),0.2,0)+IF(AND(V1562&gt;=75,V1562&lt;=175,W1562&gt;=65,W1562&lt;110),0.15,0)+IF(AND(V1562&gt;=75,V1562&lt;=175,W1562&gt;=110),0.1,0)+IF(AND(V1562&gt;175,W1562&lt;25),0.25,0)+IF(AND(V1562&gt;175,W1562&gt;=25,W1562&lt;55),0.2,0)+IF(AND(V1562&gt;175,W1562&gt;=55,W1562&lt;95),0.15,0)+IF(AND(V1562&gt;175,W1562&gt;=95),0.1,0))))))))))))))))))))</f>
        <v>0</v>
      </c>
      <c r="Y1562" s="30">
        <f>IF(AG1562="None",0,IF(AG1562="Fix5",0.05, IF(AG1562="Fix6.25",0.0625,IF(AG1562="Fix3.75",0.0375, IF(AG1562="Fix11",0.11, IF(AG1562="Fix10",0.1,IF(AG1562="Fix3",0.03,0)))))))</f>
        <v>0</v>
      </c>
      <c r="Z1562" s="35">
        <f>IF(AND(AD1562="EUR", AE1562 = "USD"), T1562*U1562-AA1562-AB1562, T1562-AA1562-AB1562)</f>
        <v>-336.35510994606551</v>
      </c>
      <c r="AA1562" s="29">
        <f>IF(AND(AD1562="EUR", F1562="Without EV deal", AE1562="USD"), (T1562*X1562)*U1562,
IF(AND(AD1562="EUR", F1562="Without EV deal", AE1562="EUR"), (T1562*X1562),
IF(AND(AD1562="EUR",AE1562="USD"), (T1562*X1562)*U1562,
T1562*X1562)))</f>
        <v>0</v>
      </c>
      <c r="AB1562" s="36">
        <f>IF(AND(AD1562="EUR", F1562="Without EV deal", AE1562="USD"), (T1562*Y1562)*U1562,
IF(AND(AD1562="EUR", F1562="Without EV deal", AE1562="EUR"), (T1562*Y1562),
IF(AND(AD1562="EUR",AE1562="USD"), (T1562*Y1562)*U1562,
T1562*Y1562)))</f>
        <v>0</v>
      </c>
      <c r="AC1562" s="37" t="b">
        <v>0</v>
      </c>
      <c r="AD1562" s="82" t="str">
        <f>IF(OR(H1562="€0.25 Flash",
H1562="€0.25(nitro) new",
H1562="€1",
H1562="€2",
H1562="€2 (bf 01.08)",
H1562="€5",
H1562="€5 (1M)",
H1562="€5 (bf 01.08)",
H1562="€5 (bf 05.05)",
H1562="€5 Nitro",
H1562="€5(wx) new",
H1562="€10",
H1562="€10 (1M)",
H1562="€10 (bf 01.08)",
H1562="€10 (bf 05.05)",
H1562="€10 (MP)",
H1562="€10 (old)",
H1562="€10 Nitro (bf 05.05)",
H1562="€10 Nitro (old)",
H1562="€10(wx) new",
H1562="€20",
H1562="€25",
H1562="€25 (bf 01.08)",
H1562="€25 (bf 05.05)",
H1562="€25 (MP)",
H1562="€25 (old)",
H1562="€25 Nitro",
H1562="€25 Nitro (bf 01.08)",
H1562="€25 Nitro (bf 05.05)",
H1562="€25(nitro) new",
H1562="€25(wx) new",
H1562="€50",
H1562="€50 (bf 01.08)",
H1562="€50 (bf 05.05)",
H1562="€50 (old)",
H1562="€50 Nitro",
H1562="€50 Nitro (bf 01.08)",
H1562="€50 Nitro (bf 05.05)",
H1562="€50(wx) new",
H1562="€100",
H1562="€100 (old)",
H1562="€100 Nitro",
H1562="€100 Nitro (old)",
H1562="€200",
H1562="€250",
H1562="€250 Nitro",
H1562="€500",
H1562="€500 Nitro"),"EUR", "USD")</f>
        <v>USD</v>
      </c>
      <c r="AE1562" s="83" t="s">
        <v>38</v>
      </c>
      <c r="AF1562" s="83" t="str">
        <f t="array" ref="AF1562">INDEX('Deal Info'!D:D, MATCH(A1562,'Deal Info'!A:A, 0))</f>
        <v>None</v>
      </c>
      <c r="AG1562" s="84" t="str">
        <f t="array" ref="AG1562">INDEX('Deal Info'!G:G, MATCH(A1562,'Deal Info'!A:A, 0))</f>
        <v>guilexperi</v>
      </c>
    </row>
    <row r="1563" spans="1:33" ht="14.25" hidden="1" x14ac:dyDescent="0.2">
      <c r="A1563" s="18" t="str">
        <f t="array" ref="A1563">IF(G1563='Room Info'!$B$1, INDEX('Room Info'!$A$2:$A2446, MATCH(B1563,'Room Info'!$B$2:$B2446, 0)),IF(G1563='Room Info'!$C$1, INDEX('Room Info'!$A$2:$A2446, MATCH(B1563,'Room Info'!$C$2:$C2446, 0)),IF(G1563='Room Info'!$D$1, INDEX('Room Info'!$A$2:$A2446, MATCH(B1563,'Room Info'!$D$2:$D2446, 0)),IF(G1563='Room Info'!$E$1, INDEX('Room Info'!$A$2:$A2446, MATCH(B1563,'Room Info'!$E$2:$E2446, 0)),IF(G1563='Room Info'!$F$1, INDEX('Room Info'!$A$2:$A2446, MATCH(B1563,'Room Info'!$F$2:$F2446, 0)),IF(G1563='Room Info'!$H$1, INDEX('Room Info'!$A$2:$A2446, MATCH(B1563,'Room Info'!$H$2:$H2446, 0)),IF(G1563='Room Info'!$G$1, INDEX('Room Info'!$A$2:$A2446, MATCH(B1563,'Room Info'!$G$2:$G2446, 0)))))))))</f>
        <v>guilexperi</v>
      </c>
      <c r="B1563" s="54" t="s">
        <v>208</v>
      </c>
      <c r="C1563" s="111">
        <v>44958</v>
      </c>
      <c r="D1563" s="111">
        <v>44985</v>
      </c>
      <c r="E1563" s="80">
        <v>44958</v>
      </c>
      <c r="F1563" s="96" t="s">
        <v>49</v>
      </c>
      <c r="G1563" s="65" t="s">
        <v>35</v>
      </c>
      <c r="H1563" s="49" t="s">
        <v>211</v>
      </c>
      <c r="I1563" s="91" t="s">
        <v>174</v>
      </c>
      <c r="J1563" s="39">
        <v>200</v>
      </c>
      <c r="K1563" s="51">
        <v>46</v>
      </c>
      <c r="L1563" s="52">
        <v>-1727</v>
      </c>
      <c r="M1563" s="62">
        <v>106.79726233077996</v>
      </c>
      <c r="N1563" s="28">
        <f>K1563*J1563</f>
        <v>9200</v>
      </c>
      <c r="O1563" s="54">
        <v>189</v>
      </c>
      <c r="P1563" s="29">
        <v>4.1086956519999998</v>
      </c>
      <c r="Q1563" s="55"/>
      <c r="R1563" s="31">
        <f>M1563+Q1563*J1563*K1563*0.07</f>
        <v>106.79726233077996</v>
      </c>
      <c r="S1563" s="56">
        <v>-8</v>
      </c>
      <c r="T1563" s="32">
        <f>IF(AND(AD1563="EUR", F1563="Without EV deal"), R1563 + L1563,
IF(AND(AD1563="USD", F1563="Without EV deal"), R1563 + L1563,
IF(AND(AD1563="EUR", F1563="Steel Phoenix"), R1563 + S1563/U1563,
R1563 + S1563)))</f>
        <v>98.797262330779958</v>
      </c>
      <c r="U1563" s="57">
        <v>1.0617000000000001</v>
      </c>
      <c r="V1563" s="69"/>
      <c r="W1563" s="69"/>
      <c r="X1563" s="30" t="b">
        <f>IF(AF1563="DoEV",IF(AND(V1563&lt;20,W1563&lt;55),0.3,0)+IF(AND(V1563&lt;20,W1563&gt;=55,W1563&lt;105),0.23,0)+IF(AND(V1563&lt;20,W1563&gt;=105),0.17,0)+IF(AND(V1563&gt;=20,V1563&lt;40,W1563&lt;45),0.3,0)+IF(AND(V1563&gt;=20,V1563&lt;40,W1563&gt;=45,W1563&lt;95),0.23,0)+IF(AND(V1563&gt;=20,V1563&lt;40,W1563&gt;=95),0.17,0)+IF(AND(V1563&gt;=40,V1563&lt;75,W1563&lt;35),0.3,0)+IF(AND(V1563&gt;=40,V1563&lt;75,W1563&gt;=35,W1563&lt;75),0.23,0)+IF(AND(V1563&gt;=40,V1563&lt;75,W1563&gt;=75,W1563&lt;120),0.17,0)+IF(AND(V1563&gt;=40,V1563&lt;75,W1563&gt;=120),0.12,0)+IF(AND(V1563&gt;=75,V1563&lt;175,W1563&lt;35),0.3,0)+IF(AND(V1563&gt;=75,V1563&lt;=175,W1563&gt;=35,W1563&lt;65),0.23,0)+IF(AND(V1563&gt;=75,V1563&lt;=175,W1563&gt;=65,W1563&lt;110),0.17,0)+IF(AND(V1563&gt;=75,V1563&lt;=175,W1563&gt;=110),0.12,0)+IF(AND(V1563&gt;175,W1563&lt;25),0.3,0)+IF(AND(V1563&gt;175,W1563&gt;=25,W1563&lt;55),0.23,0)+IF(AND(V1563&gt;175,W1563&gt;=55,W1563&lt;95),0.17,0)+IF(AND(V1563&gt;175,W1563&gt;=95),0.12,0),
IF(AF1563="Fix15",0.15,
IF(AF1563="Fix5",0.05,
IF(AF1563="Fix18.75",0.1875,
IF(AF1563="Fix11.25",0.1125,
IF(AF1563="Fix10",0.1,
IF(AF1563="Fix9",0.09,
IF(AF1563="Fix12",0.12,
IF(AF1563="Fix19",0.19,
IF(AF1563="DoEV2017",IF(AND(W1563&lt;74),0.2,0)+IF(AND(W1563&gt;=74),0.17,0),
IF(AF1563="SF",IF(AND(V1563&lt;20,W1563&lt;89),0.3,0)+IF(AND(V1563&lt;20,W1563&gt;=89),0.25,0)+IF(AND(V1563&gt;=20,V1563&lt;40,W1563&lt;74),0.3,0)+IF(AND(V1563&gt;=20,V1563&lt;40,W1563&gt;=75),0.22,0)+IF(AND(V1563&gt;=40,V1563&lt;75,W1563&lt;75),0.26,0)+IF(AND(V1563&gt;=40,V1563&lt;75,W1563&gt;=75),0.22,0)+IF(V1563&gt;=75,0.22,0),
IF(AF1563="DoEVold",IF(AND(V1563&lt;40,W1563&lt;35),0.35,0)+IF(AND(V1563&lt;40,W1563&gt;=35,W1563&lt;75),0.25,0)+IF(AND(V1563&lt;40,W1563&gt;=75),0.17,0)+IF(AND(V1563&gt;=40,V1563&lt;75,W1563&lt;25),0.35,0)+IF(AND(V1563&gt;=40,V1563&lt;75,W1563&gt;=25,W1563&lt;65),0.25,0)+IF(AND(V1563&gt;=40,V1563&lt;75,W1563&gt;=65,W1563&lt;100),0.17,0)+IF(AND(V1563&gt;=40,V1563&lt;75,W1563&gt;=100),0.1,0)+IF(AND(V1563&gt;=75,W1563&lt;25),0.35,0)+IF(AND(V1563&gt;=75,W1563&gt;=25,W1563&lt;60),0.25,0)+IF(AND(V1563&gt;=75,W1563&gt;=60,W1563&lt;95),0.17,0)+IF(AND(V1563&gt;=75,W1563&gt;=95),0.1,0),
IF(AF1563="DoEVold15",IF(AND(V1563&lt;=40,W1563&lt;35),0.35,0)+IF(AND(V1563&lt;=40,W1563&gt;=35,W1563&lt;75),0.25,0)+IF(AND(V1563&lt;=40,W1563&gt;=75,W1563&lt;120),0.17,0)+IF(AND(V1563&lt;=40,W1563&gt;=120),0.15,0)+IF(AND(V1563&gt;40,V1563&lt;75,W1563&lt;25),0.35,0)+IF(AND(V1563&gt;=40,V1563&lt;75,W1563&gt;=25,W1563&lt;65),0.25,0)+IF(AND(V1563&gt;=40,V1563&lt;75,W1563&gt;=65,W1563&lt;100),0.17,0)+IF(AND(V1563&gt;=40,V1563&lt;75,W1563&gt;=100),0.1,0)+IF(AND(V1563&gt;=75,W1563&lt;25),0.35,0)+IF(AND(V1563&gt;=75,W1563&gt;=25,W1563&lt;60),0.25,0)+IF(AND(V1563&gt;=75,W1563&gt;=60,W1563&lt;95),0.17,0)+IF(AND(V1563&gt;=75,W1563&gt;=95),0.1,0),
IF(AF1563="DoEVba",IF(AND(V1563&lt;20,W1563&lt;105),0.2,0)+IF(AND(V1563&lt;20,W1563&gt;=105),0.15,0)+IF(AND(V1563&gt;=20,V1563&lt;40,W1563&lt;95),0.2,0)+IF(AND(V1563&gt;=20,V1563&lt;40,W1563&gt;=95,W1563&lt;150),0.15,0)+IF(AND(V1563&gt;=20,V1563&lt;40,W1563&gt;=150),0.12,0)+IF(AND(V1563&gt;=40,V1563&lt;75,W1563&lt;75),0.2,0)+IF(AND(V1563&gt;=40,V1563&lt;75,W1563&gt;=75,W1563&lt;120),0.15,0)+IF(AND(V1563&gt;=40,V1563&lt;75,W1563&gt;=120),0.12,0)+IF(AND(V1563&gt;=75,V1563&lt;175,W1563&lt;65),0.2,0)+IF(AND(V1563&gt;=75,V1563&lt;175,W1563&gt;=65,W1563&lt;110),0.15,0)+IF(AND(V1563&gt;=75,V1563&lt;175,W1563&gt;=110),0.12,0)+IF(AND(V1563&gt;=175,W1563&lt;55),0.2,0)+IF(AND(V1563&gt;=175,W1563&gt;=55,W1563&lt;95),0.15,0)+IF(AND(V1563&gt;=175,W1563&gt;=95),0.12,0),
IF(AF1563="DoEVku",IF(AND(V1563&lt;20,W1563&lt;55),0.23,0)+IF(AND(V1563&lt;20,W1563&gt;=55,W1563&lt;105),0.2,0)+IF(AND(V1563&lt;20,W1563&gt;=105),0.17,0)+IF(AND(V1563&gt;=20,V1563&lt;40,W1563&lt;45),0.23,0)+IF(AND(V1563&gt;=20,V1563&lt;40,W1563&gt;=45,W1563&lt;95),0.2,0)+IF(AND(V1563&gt;=20,V1563&lt;40,W1563&gt;=95,W1563&lt;=150),0.17,0)+IF(AND(V1563&gt;=20,V1563&lt;40,W1563&gt;=150),0.12,0)+IF(AND(V1563&gt;=40,V1563&lt;75,W1563&lt;35),0.23,0)+IF(AND(V1563&gt;=40,V1563&lt;75,W1563&gt;=35,W1563&lt;75),0.2,0)+IF(AND(V1563&gt;=40,V1563&lt;75,W1563&gt;=75,W1563&lt;120),0.17,0)+IF(AND(V1563&gt;=40,V1563&lt;75,W1563&gt;=120),0.12,0)+IF(AND(V1563&gt;=75,V1563&lt;175,W1563&lt;35),0.23,0)+IF(AND(V1563&gt;=75,V1563&lt;=175,W1563&gt;=35,W1563&lt;65),0.2,0)+IF(AND(V1563&gt;=75,V1563&lt;=175,W1563&gt;=65,W1563&lt;110),0.17,0)+IF(AND(V1563&gt;=75,V1563&lt;=175,W1563&gt;=110),0.12,0)+IF(AND(V1563&gt;175,W1563&lt;25),0.23,0)+IF(AND(V1563&gt;175,W1563&gt;=25,W1563&lt;55),0.2,0)+IF(AND(V1563&gt;175,W1563&gt;=55,W1563&lt;95),0.17,0)+IF(AND(V1563&gt;175,W1563&gt;=95),0.12,0),
IF(AF1563="DoEVs1",IF(AND(V1563&lt;20,W1563&lt;55),0.3,0)+IF(AND(V1563&lt;20,W1563&gt;=55,W1563&lt;105),0.23,0)+IF(AND(V1563&lt;20,W1563&gt;=105),0.17,0)+IF(AND(V1563&gt;=20,V1563&lt;40,W1563&lt;45),0.3,0)+IF(AND(V1563&gt;=20,V1563&lt;40,W1563&gt;=45,W1563&lt;95),0.23,0)+IF(AND(V1563&gt;=20,V1563&lt;40,W1563&gt;=95,W1563&lt;=150),0.17,0)+IF(AND(V1563&gt;=20,V1563&lt;40,W1563&gt;=150),0.12,0)+IF(AND(V1563&gt;=40,V1563&lt;75,W1563&lt;35),0.3,0)+IF(AND(V1563&gt;=40,V1563&lt;75,W1563&gt;=35,W1563&lt;75),0.23,0)+IF(AND(V1563&gt;=40,V1563&lt;75,W1563&gt;=75,W1563&lt;120),0.17,0)+IF(AND(V1563&gt;=40,V1563&lt;75,W1563&gt;=120),0.12,0)+IF(AND(V1563&gt;=75,V1563&lt;175,W1563&lt;35),0.3,0)+IF(AND(V1563&gt;=75,V1563&lt;=175,W1563&gt;=35,W1563&lt;65),0.23,0)+IF(AND(V1563&gt;=75,V1563&lt;=175,W1563&gt;=65,W1563&lt;110),0.17,0)+IF(AND(V1563&gt;=75,V1563&lt;=175,W1563&gt;=110),0.12,0)+IF(AND(V1563&gt;175,W1563&lt;25),0.3,0)+IF(AND(V1563&gt;175,W1563&gt;=25,W1563&lt;55),0.23,0)+IF(AND(V1563&gt;175,W1563&gt;=55,W1563&lt;95),0.17,0)+IF(AND(V1563&gt;175,W1563&gt;=95),0.12,0),
IF(AF1563="DoEVsu",IF(AND(V1563&lt;20,W1563&lt;55),0.3,0)+IF(AND(V1563&lt;20,W1563&gt;=55,W1563&lt;105),0.23,0)+IF(AND(V1563&lt;20,W1563&gt;=105),0.17,0)+IF(AND(V1563&gt;=20,V1563&lt;40,W1563&lt;45),0.3,0)+IF(AND(V1563&gt;=20,V1563&lt;40,W1563&gt;=45,W1563&lt;95),0.23,0)+IF(AND(V1563&gt;=20,V1563&lt;40,W1563&gt;=95,W1563&lt;=250),0.17,0)+IF(AND(V1563&gt;=20,V1563&lt;40,W1563&gt;=250),0.12,0)+IF(AND(V1563&gt;=40,V1563&lt;75,W1563&lt;35),0.3,0)+IF(AND(V1563&gt;=40,V1563&lt;75,W1563&gt;=35,W1563&lt;75),0.23,0)+IF(AND(V1563&gt;=40,V1563&lt;75,W1563&gt;=75,W1563&lt;120),0.17,0)+IF(AND(V1563&gt;=40,V1563&lt;75,W1563&gt;=120),0.12,0)+IF(AND(V1563&gt;=75,V1563&lt;175,W1563&lt;35),0.3,0)+IF(AND(V1563&gt;=75,V1563&lt;=175,W1563&gt;=35,W1563&lt;65),0.23,0)+IF(AND(V1563&gt;=75,V1563&lt;=175,W1563&gt;=65,W1563&lt;110),0.17,0)+IF(AND(V1563&gt;=75,V1563&lt;=175,W1563&gt;=110),0.12,0)+IF(AND(V1563&gt;175,W1563&lt;25),0.3,0)+IF(AND(V1563&gt;175,W1563&gt;=25,W1563&lt;55),0.23,0)+IF(AND(V1563&gt;175,W1563&gt;=55,W1563&lt;95),0.17,0)+IF(AND(V1563&gt;175,W1563&gt;=95),0.12,0),
IF(AF1563="DoEVni",IF(AND(V1563&lt;20,W1563&lt;55),0.3,0)+IF(AND(V1563&lt;20,W1563&gt;=55,W1563&lt;105),0.23,0)+IF(AND(V1563&lt;20,W1563&gt;=105),0.17,0)+IF(AND(V1563&gt;=20,V1563&lt;40,W1563&lt;45),0.3,0)+IF(AND(V1563&gt;=20,V1563&lt;40,W1563&gt;=45,W1563&lt;95),0.23,0)+IF(AND(V1563&gt;=20,V1563&lt;40,W1563&gt;=95,W1563&lt;=200),0.17,0)+IF(AND(V1563&gt;=20,V1563&lt;40,W1563&gt;=200),0.12,0)+IF(AND(V1563&gt;=40,V1563&lt;75,W1563&lt;35),0.3,0)+IF(AND(V1563&gt;=40,V1563&lt;75,W1563&gt;=35,W1563&lt;75),0.23,0)+IF(AND(V1563&gt;=40,V1563&lt;75,W1563&gt;=75,W1563&lt;120),0.17,0)+IF(AND(V1563&gt;=40,V1563&lt;75,W1563&gt;=120),0.12,0)+IF(AND(V1563&gt;=75,V1563&lt;175,W1563&lt;35),0.3,0)+IF(AND(V1563&gt;=75,V1563&lt;=175,W1563&gt;=35,W1563&lt;65),0.23,0)+IF(AND(V1563&gt;=75,V1563&lt;=175,W1563&gt;=65,W1563&lt;110),0.17,0)+IF(AND(V1563&gt;=75,V1563&lt;=175,W1563&gt;=110),0.12,0)+IF(AND(V1563&gt;175,W1563&lt;25),0.3,0)+IF(AND(V1563&gt;175,W1563&gt;=25,W1563&lt;55),0.23,0)+IF(AND(V1563&gt;175,W1563&gt;=55,W1563&lt;95),0.17,0)+IF(AND(V1563&gt;175,W1563&gt;=95),0.12,0),
IF(AF1563="DoEVLo",IF(AND(V1563&lt;20,W1563&lt;55),0.25,0)+IF(AND(V1563&lt;20,W1563&gt;=55,W1563&lt;105),0.2,0)+IF(AND(V1563&lt;20,W1563&gt;=105),0.15,0)+IF(AND(V1563&gt;=20,V1563&lt;40,W1563&lt;45),0.25,0)+IF(AND(V1563&gt;=20,V1563&lt;40,W1563&gt;=45,W1563&lt;95),0.2,0)+IF(AND(V1563&gt;=20,V1563&lt;40,W1563&gt;=95),0.15,0)+IF(AND(V1563&gt;=40,V1563&lt;75,W1563&lt;35),0.25,0)+IF(AND(V1563&gt;=40,V1563&lt;75,W1563&gt;=35,W1563&lt;75),0.2,0)+IF(AND(V1563&gt;=40,V1563&lt;75,W1563&gt;=75,W1563&lt;120),0.15,0)+IF(AND(V1563&gt;=40,V1563&lt;75,W1563&gt;=120),0.1,0)+IF(AND(V1563&gt;=75,V1563&lt;175,W1563&lt;35),0.25,0)+IF(AND(V1563&gt;=75,V1563&lt;=175,W1563&gt;=35,W1563&lt;65),0.2,0)+IF(AND(V1563&gt;=75,V1563&lt;=175,W1563&gt;=65,W1563&lt;110),0.15,0)+IF(AND(V1563&gt;=75,V1563&lt;=175,W1563&gt;=110),0.1,0)+IF(AND(V1563&gt;175,W1563&lt;25),0.25,0)+IF(AND(V1563&gt;175,W1563&gt;=25,W1563&lt;55),0.2,0)+IF(AND(V1563&gt;175,W1563&gt;=55,W1563&lt;95),0.15,0)+IF(AND(V1563&gt;175,W1563&gt;=95),0.1,0))))))))))))))))))))</f>
        <v>0</v>
      </c>
      <c r="Y1563" s="30">
        <f>IF(AG1563="None",0,IF(AG1563="Fix5",0.05, IF(AG1563="Fix6.25",0.0625,IF(AG1563="Fix3.75",0.0375, IF(AG1563="Fix11",0.11, IF(AG1563="Fix10",0.1,IF(AG1563="Fix3",0.03,0)))))))</f>
        <v>0</v>
      </c>
      <c r="Z1563" s="35">
        <f>IF(AND(AD1563="EUR", AE1563 = "USD"), T1563*U1563-AA1563-AB1563, T1563-AA1563-AB1563)</f>
        <v>98.797262330779958</v>
      </c>
      <c r="AA1563" s="29">
        <f>IF(AND(AD1563="EUR", F1563="Without EV deal", AE1563="USD"), (T1563*X1563)*U1563,
IF(AND(AD1563="EUR", F1563="Without EV deal", AE1563="EUR"), (T1563*X1563),
IF(AND(AD1563="EUR",AE1563="USD"), (T1563*X1563)*U1563,
T1563*X1563)))</f>
        <v>0</v>
      </c>
      <c r="AB1563" s="36">
        <f>IF(AND(AD1563="EUR", F1563="Without EV deal", AE1563="USD"), (T1563*Y1563)*U1563,
IF(AND(AD1563="EUR", F1563="Without EV deal", AE1563="EUR"), (T1563*Y1563),
IF(AND(AD1563="EUR",AE1563="USD"), (T1563*Y1563)*U1563,
T1563*Y1563)))</f>
        <v>0</v>
      </c>
      <c r="AC1563" s="37" t="b">
        <v>0</v>
      </c>
      <c r="AD1563" s="82" t="str">
        <f>IF(OR(H1563="€0.25 Flash",
H1563="€0.25(nitro) new",
H1563="€1",
H1563="€2",
H1563="€2 (bf 01.08)",
H1563="€5",
H1563="€5 (1M)",
H1563="€5 (bf 01.08)",
H1563="€5 (bf 05.05)",
H1563="€5 Nitro",
H1563="€5(wx) new",
H1563="€10",
H1563="€10 (1M)",
H1563="€10 (bf 01.08)",
H1563="€10 (bf 05.05)",
H1563="€10 (MP)",
H1563="€10 (old)",
H1563="€10 Nitro (bf 05.05)",
H1563="€10 Nitro (old)",
H1563="€10(wx) new",
H1563="€20",
H1563="€25",
H1563="€25 (bf 01.08)",
H1563="€25 (bf 05.05)",
H1563="€25 (MP)",
H1563="€25 (old)",
H1563="€25 Nitro",
H1563="€25 Nitro (bf 01.08)",
H1563="€25 Nitro (bf 05.05)",
H1563="€25(nitro) new",
H1563="€25(wx) new",
H1563="€50",
H1563="€50 (bf 01.08)",
H1563="€50 (bf 05.05)",
H1563="€50 (old)",
H1563="€50 Nitro",
H1563="€50 Nitro (bf 01.08)",
H1563="€50 Nitro (bf 05.05)",
H1563="€50(wx) new",
H1563="€100",
H1563="€100 (old)",
H1563="€100 Nitro",
H1563="€100 Nitro (old)",
H1563="€200",
H1563="€250",
H1563="€250 Nitro",
H1563="€500",
H1563="€500 Nitro"),"EUR", "USD")</f>
        <v>USD</v>
      </c>
      <c r="AE1563" s="83" t="s">
        <v>38</v>
      </c>
      <c r="AF1563" s="83" t="str">
        <f t="array" ref="AF1563">INDEX('Deal Info'!D:D, MATCH(A1563,'Deal Info'!A:A, 0))</f>
        <v>None</v>
      </c>
      <c r="AG1563" s="84" t="str">
        <f t="array" ref="AG1563">INDEX('Deal Info'!G:G, MATCH(A1563,'Deal Info'!A:A, 0))</f>
        <v>guilexperi</v>
      </c>
    </row>
    <row r="1564" spans="1:33" ht="14.25" hidden="1" x14ac:dyDescent="0.2">
      <c r="A1564" s="18" t="str">
        <f t="array" ref="A1564">IF(G1564='Room Info'!$B$1, INDEX('Room Info'!$A$2:$A2446, MATCH(B1564,'Room Info'!$B$2:$B2446, 0)),IF(G1564='Room Info'!$C$1, INDEX('Room Info'!$A$2:$A2446, MATCH(B1564,'Room Info'!$C$2:$C2446, 0)),IF(G1564='Room Info'!$D$1, INDEX('Room Info'!$A$2:$A2446, MATCH(B1564,'Room Info'!$D$2:$D2446, 0)),IF(G1564='Room Info'!$E$1, INDEX('Room Info'!$A$2:$A2446, MATCH(B1564,'Room Info'!$E$2:$E2446, 0)),IF(G1564='Room Info'!$F$1, INDEX('Room Info'!$A$2:$A2446, MATCH(B1564,'Room Info'!$F$2:$F2446, 0)),IF(G1564='Room Info'!$H$1, INDEX('Room Info'!$A$2:$A2446, MATCH(B1564,'Room Info'!$H$2:$H2446, 0)),IF(G1564='Room Info'!$G$1, INDEX('Room Info'!$A$2:$A2446, MATCH(B1564,'Room Info'!$G$2:$G2446, 0)))))))))</f>
        <v>guilexperi</v>
      </c>
      <c r="B1564" s="54" t="s">
        <v>208</v>
      </c>
      <c r="C1564" s="111">
        <v>44958</v>
      </c>
      <c r="D1564" s="111">
        <v>44985</v>
      </c>
      <c r="E1564" s="80">
        <v>44958</v>
      </c>
      <c r="F1564" s="96" t="s">
        <v>49</v>
      </c>
      <c r="G1564" s="65" t="s">
        <v>35</v>
      </c>
      <c r="H1564" s="54" t="s">
        <v>88</v>
      </c>
      <c r="I1564" s="100" t="s">
        <v>37</v>
      </c>
      <c r="J1564" s="39">
        <v>250</v>
      </c>
      <c r="K1564" s="51">
        <v>760</v>
      </c>
      <c r="L1564" s="52">
        <v>-12750</v>
      </c>
      <c r="M1564" s="62">
        <v>6603.5797457850149</v>
      </c>
      <c r="N1564" s="28">
        <f>K1564*J1564</f>
        <v>190000</v>
      </c>
      <c r="O1564" s="54">
        <v>-3846</v>
      </c>
      <c r="P1564" s="29">
        <v>-5.0605263159999998</v>
      </c>
      <c r="Q1564" s="55"/>
      <c r="R1564" s="31">
        <f>M1564+Q1564*J1564*K1564*0.07</f>
        <v>6603.5797457850149</v>
      </c>
      <c r="S1564" s="56">
        <v>-10150</v>
      </c>
      <c r="T1564" s="32">
        <f>IF(AND(AD1564="EUR", F1564="Without EV deal"), R1564 + L1564,
IF(AND(AD1564="USD", F1564="Without EV deal"), R1564 + L1564,
IF(AND(AD1564="EUR", F1564="Steel Phoenix"), R1564 + S1564/U1564,
R1564 + S1564)))</f>
        <v>-3546.4202542149851</v>
      </c>
      <c r="U1564" s="57">
        <v>1.0617000000000001</v>
      </c>
      <c r="V1564" s="69"/>
      <c r="W1564" s="69"/>
      <c r="X1564" s="30" t="b">
        <f>IF(AF1564="DoEV",IF(AND(V1564&lt;20,W1564&lt;55),0.3,0)+IF(AND(V1564&lt;20,W1564&gt;=55,W1564&lt;105),0.23,0)+IF(AND(V1564&lt;20,W1564&gt;=105),0.17,0)+IF(AND(V1564&gt;=20,V1564&lt;40,W1564&lt;45),0.3,0)+IF(AND(V1564&gt;=20,V1564&lt;40,W1564&gt;=45,W1564&lt;95),0.23,0)+IF(AND(V1564&gt;=20,V1564&lt;40,W1564&gt;=95),0.17,0)+IF(AND(V1564&gt;=40,V1564&lt;75,W1564&lt;35),0.3,0)+IF(AND(V1564&gt;=40,V1564&lt;75,W1564&gt;=35,W1564&lt;75),0.23,0)+IF(AND(V1564&gt;=40,V1564&lt;75,W1564&gt;=75,W1564&lt;120),0.17,0)+IF(AND(V1564&gt;=40,V1564&lt;75,W1564&gt;=120),0.12,0)+IF(AND(V1564&gt;=75,V1564&lt;175,W1564&lt;35),0.3,0)+IF(AND(V1564&gt;=75,V1564&lt;=175,W1564&gt;=35,W1564&lt;65),0.23,0)+IF(AND(V1564&gt;=75,V1564&lt;=175,W1564&gt;=65,W1564&lt;110),0.17,0)+IF(AND(V1564&gt;=75,V1564&lt;=175,W1564&gt;=110),0.12,0)+IF(AND(V1564&gt;175,W1564&lt;25),0.3,0)+IF(AND(V1564&gt;175,W1564&gt;=25,W1564&lt;55),0.23,0)+IF(AND(V1564&gt;175,W1564&gt;=55,W1564&lt;95),0.17,0)+IF(AND(V1564&gt;175,W1564&gt;=95),0.12,0),
IF(AF1564="Fix15",0.15,
IF(AF1564="Fix5",0.05,
IF(AF1564="Fix18.75",0.1875,
IF(AF1564="Fix11.25",0.1125,
IF(AF1564="Fix10",0.1,
IF(AF1564="Fix9",0.09,
IF(AF1564="Fix12",0.12,
IF(AF1564="Fix19",0.19,
IF(AF1564="DoEV2017",IF(AND(W1564&lt;74),0.2,0)+IF(AND(W1564&gt;=74),0.17,0),
IF(AF1564="SF",IF(AND(V1564&lt;20,W1564&lt;89),0.3,0)+IF(AND(V1564&lt;20,W1564&gt;=89),0.25,0)+IF(AND(V1564&gt;=20,V1564&lt;40,W1564&lt;74),0.3,0)+IF(AND(V1564&gt;=20,V1564&lt;40,W1564&gt;=75),0.22,0)+IF(AND(V1564&gt;=40,V1564&lt;75,W1564&lt;75),0.26,0)+IF(AND(V1564&gt;=40,V1564&lt;75,W1564&gt;=75),0.22,0)+IF(V1564&gt;=75,0.22,0),
IF(AF1564="DoEVold",IF(AND(V1564&lt;40,W1564&lt;35),0.35,0)+IF(AND(V1564&lt;40,W1564&gt;=35,W1564&lt;75),0.25,0)+IF(AND(V1564&lt;40,W1564&gt;=75),0.17,0)+IF(AND(V1564&gt;=40,V1564&lt;75,W1564&lt;25),0.35,0)+IF(AND(V1564&gt;=40,V1564&lt;75,W1564&gt;=25,W1564&lt;65),0.25,0)+IF(AND(V1564&gt;=40,V1564&lt;75,W1564&gt;=65,W1564&lt;100),0.17,0)+IF(AND(V1564&gt;=40,V1564&lt;75,W1564&gt;=100),0.1,0)+IF(AND(V1564&gt;=75,W1564&lt;25),0.35,0)+IF(AND(V1564&gt;=75,W1564&gt;=25,W1564&lt;60),0.25,0)+IF(AND(V1564&gt;=75,W1564&gt;=60,W1564&lt;95),0.17,0)+IF(AND(V1564&gt;=75,W1564&gt;=95),0.1,0),
IF(AF1564="DoEVold15",IF(AND(V1564&lt;=40,W1564&lt;35),0.35,0)+IF(AND(V1564&lt;=40,W1564&gt;=35,W1564&lt;75),0.25,0)+IF(AND(V1564&lt;=40,W1564&gt;=75,W1564&lt;120),0.17,0)+IF(AND(V1564&lt;=40,W1564&gt;=120),0.15,0)+IF(AND(V1564&gt;40,V1564&lt;75,W1564&lt;25),0.35,0)+IF(AND(V1564&gt;=40,V1564&lt;75,W1564&gt;=25,W1564&lt;65),0.25,0)+IF(AND(V1564&gt;=40,V1564&lt;75,W1564&gt;=65,W1564&lt;100),0.17,0)+IF(AND(V1564&gt;=40,V1564&lt;75,W1564&gt;=100),0.1,0)+IF(AND(V1564&gt;=75,W1564&lt;25),0.35,0)+IF(AND(V1564&gt;=75,W1564&gt;=25,W1564&lt;60),0.25,0)+IF(AND(V1564&gt;=75,W1564&gt;=60,W1564&lt;95),0.17,0)+IF(AND(V1564&gt;=75,W1564&gt;=95),0.1,0),
IF(AF1564="DoEVba",IF(AND(V1564&lt;20,W1564&lt;105),0.2,0)+IF(AND(V1564&lt;20,W1564&gt;=105),0.15,0)+IF(AND(V1564&gt;=20,V1564&lt;40,W1564&lt;95),0.2,0)+IF(AND(V1564&gt;=20,V1564&lt;40,W1564&gt;=95,W1564&lt;150),0.15,0)+IF(AND(V1564&gt;=20,V1564&lt;40,W1564&gt;=150),0.12,0)+IF(AND(V1564&gt;=40,V1564&lt;75,W1564&lt;75),0.2,0)+IF(AND(V1564&gt;=40,V1564&lt;75,W1564&gt;=75,W1564&lt;120),0.15,0)+IF(AND(V1564&gt;=40,V1564&lt;75,W1564&gt;=120),0.12,0)+IF(AND(V1564&gt;=75,V1564&lt;175,W1564&lt;65),0.2,0)+IF(AND(V1564&gt;=75,V1564&lt;175,W1564&gt;=65,W1564&lt;110),0.15,0)+IF(AND(V1564&gt;=75,V1564&lt;175,W1564&gt;=110),0.12,0)+IF(AND(V1564&gt;=175,W1564&lt;55),0.2,0)+IF(AND(V1564&gt;=175,W1564&gt;=55,W1564&lt;95),0.15,0)+IF(AND(V1564&gt;=175,W1564&gt;=95),0.12,0),
IF(AF1564="DoEVku",IF(AND(V1564&lt;20,W1564&lt;55),0.23,0)+IF(AND(V1564&lt;20,W1564&gt;=55,W1564&lt;105),0.2,0)+IF(AND(V1564&lt;20,W1564&gt;=105),0.17,0)+IF(AND(V1564&gt;=20,V1564&lt;40,W1564&lt;45),0.23,0)+IF(AND(V1564&gt;=20,V1564&lt;40,W1564&gt;=45,W1564&lt;95),0.2,0)+IF(AND(V1564&gt;=20,V1564&lt;40,W1564&gt;=95,W1564&lt;=150),0.17,0)+IF(AND(V1564&gt;=20,V1564&lt;40,W1564&gt;=150),0.12,0)+IF(AND(V1564&gt;=40,V1564&lt;75,W1564&lt;35),0.23,0)+IF(AND(V1564&gt;=40,V1564&lt;75,W1564&gt;=35,W1564&lt;75),0.2,0)+IF(AND(V1564&gt;=40,V1564&lt;75,W1564&gt;=75,W1564&lt;120),0.17,0)+IF(AND(V1564&gt;=40,V1564&lt;75,W1564&gt;=120),0.12,0)+IF(AND(V1564&gt;=75,V1564&lt;175,W1564&lt;35),0.23,0)+IF(AND(V1564&gt;=75,V1564&lt;=175,W1564&gt;=35,W1564&lt;65),0.2,0)+IF(AND(V1564&gt;=75,V1564&lt;=175,W1564&gt;=65,W1564&lt;110),0.17,0)+IF(AND(V1564&gt;=75,V1564&lt;=175,W1564&gt;=110),0.12,0)+IF(AND(V1564&gt;175,W1564&lt;25),0.23,0)+IF(AND(V1564&gt;175,W1564&gt;=25,W1564&lt;55),0.2,0)+IF(AND(V1564&gt;175,W1564&gt;=55,W1564&lt;95),0.17,0)+IF(AND(V1564&gt;175,W1564&gt;=95),0.12,0),
IF(AF1564="DoEVs1",IF(AND(V1564&lt;20,W1564&lt;55),0.3,0)+IF(AND(V1564&lt;20,W1564&gt;=55,W1564&lt;105),0.23,0)+IF(AND(V1564&lt;20,W1564&gt;=105),0.17,0)+IF(AND(V1564&gt;=20,V1564&lt;40,W1564&lt;45),0.3,0)+IF(AND(V1564&gt;=20,V1564&lt;40,W1564&gt;=45,W1564&lt;95),0.23,0)+IF(AND(V1564&gt;=20,V1564&lt;40,W1564&gt;=95,W1564&lt;=150),0.17,0)+IF(AND(V1564&gt;=20,V1564&lt;40,W1564&gt;=150),0.12,0)+IF(AND(V1564&gt;=40,V1564&lt;75,W1564&lt;35),0.3,0)+IF(AND(V1564&gt;=40,V1564&lt;75,W1564&gt;=35,W1564&lt;75),0.23,0)+IF(AND(V1564&gt;=40,V1564&lt;75,W1564&gt;=75,W1564&lt;120),0.17,0)+IF(AND(V1564&gt;=40,V1564&lt;75,W1564&gt;=120),0.12,0)+IF(AND(V1564&gt;=75,V1564&lt;175,W1564&lt;35),0.3,0)+IF(AND(V1564&gt;=75,V1564&lt;=175,W1564&gt;=35,W1564&lt;65),0.23,0)+IF(AND(V1564&gt;=75,V1564&lt;=175,W1564&gt;=65,W1564&lt;110),0.17,0)+IF(AND(V1564&gt;=75,V1564&lt;=175,W1564&gt;=110),0.12,0)+IF(AND(V1564&gt;175,W1564&lt;25),0.3,0)+IF(AND(V1564&gt;175,W1564&gt;=25,W1564&lt;55),0.23,0)+IF(AND(V1564&gt;175,W1564&gt;=55,W1564&lt;95),0.17,0)+IF(AND(V1564&gt;175,W1564&gt;=95),0.12,0),
IF(AF1564="DoEVsu",IF(AND(V1564&lt;20,W1564&lt;55),0.3,0)+IF(AND(V1564&lt;20,W1564&gt;=55,W1564&lt;105),0.23,0)+IF(AND(V1564&lt;20,W1564&gt;=105),0.17,0)+IF(AND(V1564&gt;=20,V1564&lt;40,W1564&lt;45),0.3,0)+IF(AND(V1564&gt;=20,V1564&lt;40,W1564&gt;=45,W1564&lt;95),0.23,0)+IF(AND(V1564&gt;=20,V1564&lt;40,W1564&gt;=95,W1564&lt;=250),0.17,0)+IF(AND(V1564&gt;=20,V1564&lt;40,W1564&gt;=250),0.12,0)+IF(AND(V1564&gt;=40,V1564&lt;75,W1564&lt;35),0.3,0)+IF(AND(V1564&gt;=40,V1564&lt;75,W1564&gt;=35,W1564&lt;75),0.23,0)+IF(AND(V1564&gt;=40,V1564&lt;75,W1564&gt;=75,W1564&lt;120),0.17,0)+IF(AND(V1564&gt;=40,V1564&lt;75,W1564&gt;=120),0.12,0)+IF(AND(V1564&gt;=75,V1564&lt;175,W1564&lt;35),0.3,0)+IF(AND(V1564&gt;=75,V1564&lt;=175,W1564&gt;=35,W1564&lt;65),0.23,0)+IF(AND(V1564&gt;=75,V1564&lt;=175,W1564&gt;=65,W1564&lt;110),0.17,0)+IF(AND(V1564&gt;=75,V1564&lt;=175,W1564&gt;=110),0.12,0)+IF(AND(V1564&gt;175,W1564&lt;25),0.3,0)+IF(AND(V1564&gt;175,W1564&gt;=25,W1564&lt;55),0.23,0)+IF(AND(V1564&gt;175,W1564&gt;=55,W1564&lt;95),0.17,0)+IF(AND(V1564&gt;175,W1564&gt;=95),0.12,0),
IF(AF1564="DoEVni",IF(AND(V1564&lt;20,W1564&lt;55),0.3,0)+IF(AND(V1564&lt;20,W1564&gt;=55,W1564&lt;105),0.23,0)+IF(AND(V1564&lt;20,W1564&gt;=105),0.17,0)+IF(AND(V1564&gt;=20,V1564&lt;40,W1564&lt;45),0.3,0)+IF(AND(V1564&gt;=20,V1564&lt;40,W1564&gt;=45,W1564&lt;95),0.23,0)+IF(AND(V1564&gt;=20,V1564&lt;40,W1564&gt;=95,W1564&lt;=200),0.17,0)+IF(AND(V1564&gt;=20,V1564&lt;40,W1564&gt;=200),0.12,0)+IF(AND(V1564&gt;=40,V1564&lt;75,W1564&lt;35),0.3,0)+IF(AND(V1564&gt;=40,V1564&lt;75,W1564&gt;=35,W1564&lt;75),0.23,0)+IF(AND(V1564&gt;=40,V1564&lt;75,W1564&gt;=75,W1564&lt;120),0.17,0)+IF(AND(V1564&gt;=40,V1564&lt;75,W1564&gt;=120),0.12,0)+IF(AND(V1564&gt;=75,V1564&lt;175,W1564&lt;35),0.3,0)+IF(AND(V1564&gt;=75,V1564&lt;=175,W1564&gt;=35,W1564&lt;65),0.23,0)+IF(AND(V1564&gt;=75,V1564&lt;=175,W1564&gt;=65,W1564&lt;110),0.17,0)+IF(AND(V1564&gt;=75,V1564&lt;=175,W1564&gt;=110),0.12,0)+IF(AND(V1564&gt;175,W1564&lt;25),0.3,0)+IF(AND(V1564&gt;175,W1564&gt;=25,W1564&lt;55),0.23,0)+IF(AND(V1564&gt;175,W1564&gt;=55,W1564&lt;95),0.17,0)+IF(AND(V1564&gt;175,W1564&gt;=95),0.12,0),
IF(AF1564="DoEVLo",IF(AND(V1564&lt;20,W1564&lt;55),0.25,0)+IF(AND(V1564&lt;20,W1564&gt;=55,W1564&lt;105),0.2,0)+IF(AND(V1564&lt;20,W1564&gt;=105),0.15,0)+IF(AND(V1564&gt;=20,V1564&lt;40,W1564&lt;45),0.25,0)+IF(AND(V1564&gt;=20,V1564&lt;40,W1564&gt;=45,W1564&lt;95),0.2,0)+IF(AND(V1564&gt;=20,V1564&lt;40,W1564&gt;=95),0.15,0)+IF(AND(V1564&gt;=40,V1564&lt;75,W1564&lt;35),0.25,0)+IF(AND(V1564&gt;=40,V1564&lt;75,W1564&gt;=35,W1564&lt;75),0.2,0)+IF(AND(V1564&gt;=40,V1564&lt;75,W1564&gt;=75,W1564&lt;120),0.15,0)+IF(AND(V1564&gt;=40,V1564&lt;75,W1564&gt;=120),0.1,0)+IF(AND(V1564&gt;=75,V1564&lt;175,W1564&lt;35),0.25,0)+IF(AND(V1564&gt;=75,V1564&lt;=175,W1564&gt;=35,W1564&lt;65),0.2,0)+IF(AND(V1564&gt;=75,V1564&lt;=175,W1564&gt;=65,W1564&lt;110),0.15,0)+IF(AND(V1564&gt;=75,V1564&lt;=175,W1564&gt;=110),0.1,0)+IF(AND(V1564&gt;175,W1564&lt;25),0.25,0)+IF(AND(V1564&gt;175,W1564&gt;=25,W1564&lt;55),0.2,0)+IF(AND(V1564&gt;175,W1564&gt;=55,W1564&lt;95),0.15,0)+IF(AND(V1564&gt;175,W1564&gt;=95),0.1,0))))))))))))))))))))</f>
        <v>0</v>
      </c>
      <c r="Y1564" s="30">
        <f>IF(AG1564="None",0,IF(AG1564="Fix5",0.05, IF(AG1564="Fix6.25",0.0625,IF(AG1564="Fix3.75",0.0375, IF(AG1564="Fix11",0.11, IF(AG1564="Fix10",0.1,IF(AG1564="Fix3",0.03,0)))))))</f>
        <v>0</v>
      </c>
      <c r="Z1564" s="35">
        <f>IF(AND(AD1564="EUR", AE1564 = "USD"), T1564*U1564-AA1564-AB1564, T1564-AA1564-AB1564)</f>
        <v>-3546.4202542149851</v>
      </c>
      <c r="AA1564" s="29">
        <f>IF(AND(AD1564="EUR", F1564="Without EV deal", AE1564="USD"), (T1564*X1564)*U1564,
IF(AND(AD1564="EUR", F1564="Without EV deal", AE1564="EUR"), (T1564*X1564),
IF(AND(AD1564="EUR",AE1564="USD"), (T1564*X1564)*U1564,
T1564*X1564)))</f>
        <v>0</v>
      </c>
      <c r="AB1564" s="36">
        <f>IF(AND(AD1564="EUR", F1564="Without EV deal", AE1564="USD"), (T1564*Y1564)*U1564,
IF(AND(AD1564="EUR", F1564="Without EV deal", AE1564="EUR"), (T1564*Y1564),
IF(AND(AD1564="EUR",AE1564="USD"), (T1564*Y1564)*U1564,
T1564*Y1564)))</f>
        <v>0</v>
      </c>
      <c r="AC1564" s="37" t="b">
        <v>0</v>
      </c>
      <c r="AD1564" s="82" t="str">
        <f>IF(OR(H1564="€0.25 Flash",
H1564="€0.25(nitro) new",
H1564="€1",
H1564="€2",
H1564="€2 (bf 01.08)",
H1564="€5",
H1564="€5 (1M)",
H1564="€5 (bf 01.08)",
H1564="€5 (bf 05.05)",
H1564="€5 Nitro",
H1564="€5(wx) new",
H1564="€10",
H1564="€10 (1M)",
H1564="€10 (bf 01.08)",
H1564="€10 (bf 05.05)",
H1564="€10 (MP)",
H1564="€10 (old)",
H1564="€10 Nitro (bf 05.05)",
H1564="€10 Nitro (old)",
H1564="€10(wx) new",
H1564="€20",
H1564="€25",
H1564="€25 (bf 01.08)",
H1564="€25 (bf 05.05)",
H1564="€25 (MP)",
H1564="€25 (old)",
H1564="€25 Nitro",
H1564="€25 Nitro (bf 01.08)",
H1564="€25 Nitro (bf 05.05)",
H1564="€25(nitro) new",
H1564="€25(wx) new",
H1564="€50",
H1564="€50 (bf 01.08)",
H1564="€50 (bf 05.05)",
H1564="€50 (old)",
H1564="€50 Nitro",
H1564="€50 Nitro (bf 01.08)",
H1564="€50 Nitro (bf 05.05)",
H1564="€50(wx) new",
H1564="€100",
H1564="€100 (old)",
H1564="€100 Nitro",
H1564="€100 Nitro (old)",
H1564="€200",
H1564="€250",
H1564="€250 Nitro",
H1564="€500",
H1564="€500 Nitro"),"EUR", "USD")</f>
        <v>USD</v>
      </c>
      <c r="AE1564" s="83" t="s">
        <v>38</v>
      </c>
      <c r="AF1564" s="83" t="str">
        <f t="array" ref="AF1564">INDEX('Deal Info'!D:D, MATCH(A1564,'Deal Info'!A:A, 0))</f>
        <v>None</v>
      </c>
      <c r="AG1564" s="84" t="str">
        <f t="array" ref="AG1564">INDEX('Deal Info'!G:G, MATCH(A1564,'Deal Info'!A:A, 0))</f>
        <v>guilexperi</v>
      </c>
    </row>
    <row r="1565" spans="1:33" ht="14.25" hidden="1" x14ac:dyDescent="0.2">
      <c r="A1565" s="18" t="str">
        <f t="array" ref="A1565">IF(G1565='Room Info'!$B$1, INDEX('Room Info'!$A$2:$A2446, MATCH(B1565,'Room Info'!$B$2:$B2446, 0)),IF(G1565='Room Info'!$C$1, INDEX('Room Info'!$A$2:$A2446, MATCH(B1565,'Room Info'!$C$2:$C2446, 0)),IF(G1565='Room Info'!$D$1, INDEX('Room Info'!$A$2:$A2446, MATCH(B1565,'Room Info'!$D$2:$D2446, 0)),IF(G1565='Room Info'!$E$1, INDEX('Room Info'!$A$2:$A2446, MATCH(B1565,'Room Info'!$E$2:$E2446, 0)),IF(G1565='Room Info'!$F$1, INDEX('Room Info'!$A$2:$A2446, MATCH(B1565,'Room Info'!$F$2:$F2446, 0)),IF(G1565='Room Info'!$H$1, INDEX('Room Info'!$A$2:$A2446, MATCH(B1565,'Room Info'!$H$2:$H2446, 0)),IF(G1565='Room Info'!$G$1, INDEX('Room Info'!$A$2:$A2446, MATCH(B1565,'Room Info'!$G$2:$G2446, 0)))))))))</f>
        <v>guilexperi</v>
      </c>
      <c r="B1565" s="54" t="s">
        <v>208</v>
      </c>
      <c r="C1565" s="111">
        <v>44958</v>
      </c>
      <c r="D1565" s="111">
        <v>44985</v>
      </c>
      <c r="E1565" s="80">
        <v>44958</v>
      </c>
      <c r="F1565" s="96" t="s">
        <v>49</v>
      </c>
      <c r="G1565" s="65" t="s">
        <v>35</v>
      </c>
      <c r="H1565" s="54" t="s">
        <v>148</v>
      </c>
      <c r="I1565" s="91" t="s">
        <v>44</v>
      </c>
      <c r="J1565" s="39">
        <v>250</v>
      </c>
      <c r="K1565" s="51">
        <v>333</v>
      </c>
      <c r="L1565" s="52">
        <v>-4500</v>
      </c>
      <c r="M1565" s="62">
        <v>2893.4105991400133</v>
      </c>
      <c r="N1565" s="28">
        <f>K1565*J1565</f>
        <v>83250</v>
      </c>
      <c r="O1565" s="54">
        <v>-2644</v>
      </c>
      <c r="P1565" s="29">
        <v>-7.9399399400000004</v>
      </c>
      <c r="Q1565" s="55"/>
      <c r="R1565" s="31">
        <f>M1565+Q1565*J1565*K1565*0.07</f>
        <v>2893.4105991400133</v>
      </c>
      <c r="S1565" s="56">
        <v>-5726</v>
      </c>
      <c r="T1565" s="32">
        <f>IF(AND(AD1565="EUR", F1565="Without EV deal"), R1565 + L1565,
IF(AND(AD1565="USD", F1565="Without EV deal"), R1565 + L1565,
IF(AND(AD1565="EUR", F1565="Steel Phoenix"), R1565 + S1565/U1565,
R1565 + S1565)))</f>
        <v>-2832.5894008599867</v>
      </c>
      <c r="U1565" s="57">
        <v>1.0617000000000001</v>
      </c>
      <c r="V1565" s="69"/>
      <c r="W1565" s="69"/>
      <c r="X1565" s="30" t="b">
        <f>IF(AF1565="DoEV",IF(AND(V1565&lt;20,W1565&lt;55),0.3,0)+IF(AND(V1565&lt;20,W1565&gt;=55,W1565&lt;105),0.23,0)+IF(AND(V1565&lt;20,W1565&gt;=105),0.17,0)+IF(AND(V1565&gt;=20,V1565&lt;40,W1565&lt;45),0.3,0)+IF(AND(V1565&gt;=20,V1565&lt;40,W1565&gt;=45,W1565&lt;95),0.23,0)+IF(AND(V1565&gt;=20,V1565&lt;40,W1565&gt;=95),0.17,0)+IF(AND(V1565&gt;=40,V1565&lt;75,W1565&lt;35),0.3,0)+IF(AND(V1565&gt;=40,V1565&lt;75,W1565&gt;=35,W1565&lt;75),0.23,0)+IF(AND(V1565&gt;=40,V1565&lt;75,W1565&gt;=75,W1565&lt;120),0.17,0)+IF(AND(V1565&gt;=40,V1565&lt;75,W1565&gt;=120),0.12,0)+IF(AND(V1565&gt;=75,V1565&lt;175,W1565&lt;35),0.3,0)+IF(AND(V1565&gt;=75,V1565&lt;=175,W1565&gt;=35,W1565&lt;65),0.23,0)+IF(AND(V1565&gt;=75,V1565&lt;=175,W1565&gt;=65,W1565&lt;110),0.17,0)+IF(AND(V1565&gt;=75,V1565&lt;=175,W1565&gt;=110),0.12,0)+IF(AND(V1565&gt;175,W1565&lt;25),0.3,0)+IF(AND(V1565&gt;175,W1565&gt;=25,W1565&lt;55),0.23,0)+IF(AND(V1565&gt;175,W1565&gt;=55,W1565&lt;95),0.17,0)+IF(AND(V1565&gt;175,W1565&gt;=95),0.12,0),
IF(AF1565="Fix15",0.15,
IF(AF1565="Fix5",0.05,
IF(AF1565="Fix18.75",0.1875,
IF(AF1565="Fix11.25",0.1125,
IF(AF1565="Fix10",0.1,
IF(AF1565="Fix9",0.09,
IF(AF1565="Fix12",0.12,
IF(AF1565="Fix19",0.19,
IF(AF1565="DoEV2017",IF(AND(W1565&lt;74),0.2,0)+IF(AND(W1565&gt;=74),0.17,0),
IF(AF1565="SF",IF(AND(V1565&lt;20,W1565&lt;89),0.3,0)+IF(AND(V1565&lt;20,W1565&gt;=89),0.25,0)+IF(AND(V1565&gt;=20,V1565&lt;40,W1565&lt;74),0.3,0)+IF(AND(V1565&gt;=20,V1565&lt;40,W1565&gt;=75),0.22,0)+IF(AND(V1565&gt;=40,V1565&lt;75,W1565&lt;75),0.26,0)+IF(AND(V1565&gt;=40,V1565&lt;75,W1565&gt;=75),0.22,0)+IF(V1565&gt;=75,0.22,0),
IF(AF1565="DoEVold",IF(AND(V1565&lt;40,W1565&lt;35),0.35,0)+IF(AND(V1565&lt;40,W1565&gt;=35,W1565&lt;75),0.25,0)+IF(AND(V1565&lt;40,W1565&gt;=75),0.17,0)+IF(AND(V1565&gt;=40,V1565&lt;75,W1565&lt;25),0.35,0)+IF(AND(V1565&gt;=40,V1565&lt;75,W1565&gt;=25,W1565&lt;65),0.25,0)+IF(AND(V1565&gt;=40,V1565&lt;75,W1565&gt;=65,W1565&lt;100),0.17,0)+IF(AND(V1565&gt;=40,V1565&lt;75,W1565&gt;=100),0.1,0)+IF(AND(V1565&gt;=75,W1565&lt;25),0.35,0)+IF(AND(V1565&gt;=75,W1565&gt;=25,W1565&lt;60),0.25,0)+IF(AND(V1565&gt;=75,W1565&gt;=60,W1565&lt;95),0.17,0)+IF(AND(V1565&gt;=75,W1565&gt;=95),0.1,0),
IF(AF1565="DoEVold15",IF(AND(V1565&lt;=40,W1565&lt;35),0.35,0)+IF(AND(V1565&lt;=40,W1565&gt;=35,W1565&lt;75),0.25,0)+IF(AND(V1565&lt;=40,W1565&gt;=75,W1565&lt;120),0.17,0)+IF(AND(V1565&lt;=40,W1565&gt;=120),0.15,0)+IF(AND(V1565&gt;40,V1565&lt;75,W1565&lt;25),0.35,0)+IF(AND(V1565&gt;=40,V1565&lt;75,W1565&gt;=25,W1565&lt;65),0.25,0)+IF(AND(V1565&gt;=40,V1565&lt;75,W1565&gt;=65,W1565&lt;100),0.17,0)+IF(AND(V1565&gt;=40,V1565&lt;75,W1565&gt;=100),0.1,0)+IF(AND(V1565&gt;=75,W1565&lt;25),0.35,0)+IF(AND(V1565&gt;=75,W1565&gt;=25,W1565&lt;60),0.25,0)+IF(AND(V1565&gt;=75,W1565&gt;=60,W1565&lt;95),0.17,0)+IF(AND(V1565&gt;=75,W1565&gt;=95),0.1,0),
IF(AF1565="DoEVba",IF(AND(V1565&lt;20,W1565&lt;105),0.2,0)+IF(AND(V1565&lt;20,W1565&gt;=105),0.15,0)+IF(AND(V1565&gt;=20,V1565&lt;40,W1565&lt;95),0.2,0)+IF(AND(V1565&gt;=20,V1565&lt;40,W1565&gt;=95,W1565&lt;150),0.15,0)+IF(AND(V1565&gt;=20,V1565&lt;40,W1565&gt;=150),0.12,0)+IF(AND(V1565&gt;=40,V1565&lt;75,W1565&lt;75),0.2,0)+IF(AND(V1565&gt;=40,V1565&lt;75,W1565&gt;=75,W1565&lt;120),0.15,0)+IF(AND(V1565&gt;=40,V1565&lt;75,W1565&gt;=120),0.12,0)+IF(AND(V1565&gt;=75,V1565&lt;175,W1565&lt;65),0.2,0)+IF(AND(V1565&gt;=75,V1565&lt;175,W1565&gt;=65,W1565&lt;110),0.15,0)+IF(AND(V1565&gt;=75,V1565&lt;175,W1565&gt;=110),0.12,0)+IF(AND(V1565&gt;=175,W1565&lt;55),0.2,0)+IF(AND(V1565&gt;=175,W1565&gt;=55,W1565&lt;95),0.15,0)+IF(AND(V1565&gt;=175,W1565&gt;=95),0.12,0),
IF(AF1565="DoEVku",IF(AND(V1565&lt;20,W1565&lt;55),0.23,0)+IF(AND(V1565&lt;20,W1565&gt;=55,W1565&lt;105),0.2,0)+IF(AND(V1565&lt;20,W1565&gt;=105),0.17,0)+IF(AND(V1565&gt;=20,V1565&lt;40,W1565&lt;45),0.23,0)+IF(AND(V1565&gt;=20,V1565&lt;40,W1565&gt;=45,W1565&lt;95),0.2,0)+IF(AND(V1565&gt;=20,V1565&lt;40,W1565&gt;=95,W1565&lt;=150),0.17,0)+IF(AND(V1565&gt;=20,V1565&lt;40,W1565&gt;=150),0.12,0)+IF(AND(V1565&gt;=40,V1565&lt;75,W1565&lt;35),0.23,0)+IF(AND(V1565&gt;=40,V1565&lt;75,W1565&gt;=35,W1565&lt;75),0.2,0)+IF(AND(V1565&gt;=40,V1565&lt;75,W1565&gt;=75,W1565&lt;120),0.17,0)+IF(AND(V1565&gt;=40,V1565&lt;75,W1565&gt;=120),0.12,0)+IF(AND(V1565&gt;=75,V1565&lt;175,W1565&lt;35),0.23,0)+IF(AND(V1565&gt;=75,V1565&lt;=175,W1565&gt;=35,W1565&lt;65),0.2,0)+IF(AND(V1565&gt;=75,V1565&lt;=175,W1565&gt;=65,W1565&lt;110),0.17,0)+IF(AND(V1565&gt;=75,V1565&lt;=175,W1565&gt;=110),0.12,0)+IF(AND(V1565&gt;175,W1565&lt;25),0.23,0)+IF(AND(V1565&gt;175,W1565&gt;=25,W1565&lt;55),0.2,0)+IF(AND(V1565&gt;175,W1565&gt;=55,W1565&lt;95),0.17,0)+IF(AND(V1565&gt;175,W1565&gt;=95),0.12,0),
IF(AF1565="DoEVs1",IF(AND(V1565&lt;20,W1565&lt;55),0.3,0)+IF(AND(V1565&lt;20,W1565&gt;=55,W1565&lt;105),0.23,0)+IF(AND(V1565&lt;20,W1565&gt;=105),0.17,0)+IF(AND(V1565&gt;=20,V1565&lt;40,W1565&lt;45),0.3,0)+IF(AND(V1565&gt;=20,V1565&lt;40,W1565&gt;=45,W1565&lt;95),0.23,0)+IF(AND(V1565&gt;=20,V1565&lt;40,W1565&gt;=95,W1565&lt;=150),0.17,0)+IF(AND(V1565&gt;=20,V1565&lt;40,W1565&gt;=150),0.12,0)+IF(AND(V1565&gt;=40,V1565&lt;75,W1565&lt;35),0.3,0)+IF(AND(V1565&gt;=40,V1565&lt;75,W1565&gt;=35,W1565&lt;75),0.23,0)+IF(AND(V1565&gt;=40,V1565&lt;75,W1565&gt;=75,W1565&lt;120),0.17,0)+IF(AND(V1565&gt;=40,V1565&lt;75,W1565&gt;=120),0.12,0)+IF(AND(V1565&gt;=75,V1565&lt;175,W1565&lt;35),0.3,0)+IF(AND(V1565&gt;=75,V1565&lt;=175,W1565&gt;=35,W1565&lt;65),0.23,0)+IF(AND(V1565&gt;=75,V1565&lt;=175,W1565&gt;=65,W1565&lt;110),0.17,0)+IF(AND(V1565&gt;=75,V1565&lt;=175,W1565&gt;=110),0.12,0)+IF(AND(V1565&gt;175,W1565&lt;25),0.3,0)+IF(AND(V1565&gt;175,W1565&gt;=25,W1565&lt;55),0.23,0)+IF(AND(V1565&gt;175,W1565&gt;=55,W1565&lt;95),0.17,0)+IF(AND(V1565&gt;175,W1565&gt;=95),0.12,0),
IF(AF1565="DoEVsu",IF(AND(V1565&lt;20,W1565&lt;55),0.3,0)+IF(AND(V1565&lt;20,W1565&gt;=55,W1565&lt;105),0.23,0)+IF(AND(V1565&lt;20,W1565&gt;=105),0.17,0)+IF(AND(V1565&gt;=20,V1565&lt;40,W1565&lt;45),0.3,0)+IF(AND(V1565&gt;=20,V1565&lt;40,W1565&gt;=45,W1565&lt;95),0.23,0)+IF(AND(V1565&gt;=20,V1565&lt;40,W1565&gt;=95,W1565&lt;=250),0.17,0)+IF(AND(V1565&gt;=20,V1565&lt;40,W1565&gt;=250),0.12,0)+IF(AND(V1565&gt;=40,V1565&lt;75,W1565&lt;35),0.3,0)+IF(AND(V1565&gt;=40,V1565&lt;75,W1565&gt;=35,W1565&lt;75),0.23,0)+IF(AND(V1565&gt;=40,V1565&lt;75,W1565&gt;=75,W1565&lt;120),0.17,0)+IF(AND(V1565&gt;=40,V1565&lt;75,W1565&gt;=120),0.12,0)+IF(AND(V1565&gt;=75,V1565&lt;175,W1565&lt;35),0.3,0)+IF(AND(V1565&gt;=75,V1565&lt;=175,W1565&gt;=35,W1565&lt;65),0.23,0)+IF(AND(V1565&gt;=75,V1565&lt;=175,W1565&gt;=65,W1565&lt;110),0.17,0)+IF(AND(V1565&gt;=75,V1565&lt;=175,W1565&gt;=110),0.12,0)+IF(AND(V1565&gt;175,W1565&lt;25),0.3,0)+IF(AND(V1565&gt;175,W1565&gt;=25,W1565&lt;55),0.23,0)+IF(AND(V1565&gt;175,W1565&gt;=55,W1565&lt;95),0.17,0)+IF(AND(V1565&gt;175,W1565&gt;=95),0.12,0),
IF(AF1565="DoEVni",IF(AND(V1565&lt;20,W1565&lt;55),0.3,0)+IF(AND(V1565&lt;20,W1565&gt;=55,W1565&lt;105),0.23,0)+IF(AND(V1565&lt;20,W1565&gt;=105),0.17,0)+IF(AND(V1565&gt;=20,V1565&lt;40,W1565&lt;45),0.3,0)+IF(AND(V1565&gt;=20,V1565&lt;40,W1565&gt;=45,W1565&lt;95),0.23,0)+IF(AND(V1565&gt;=20,V1565&lt;40,W1565&gt;=95,W1565&lt;=200),0.17,0)+IF(AND(V1565&gt;=20,V1565&lt;40,W1565&gt;=200),0.12,0)+IF(AND(V1565&gt;=40,V1565&lt;75,W1565&lt;35),0.3,0)+IF(AND(V1565&gt;=40,V1565&lt;75,W1565&gt;=35,W1565&lt;75),0.23,0)+IF(AND(V1565&gt;=40,V1565&lt;75,W1565&gt;=75,W1565&lt;120),0.17,0)+IF(AND(V1565&gt;=40,V1565&lt;75,W1565&gt;=120),0.12,0)+IF(AND(V1565&gt;=75,V1565&lt;175,W1565&lt;35),0.3,0)+IF(AND(V1565&gt;=75,V1565&lt;=175,W1565&gt;=35,W1565&lt;65),0.23,0)+IF(AND(V1565&gt;=75,V1565&lt;=175,W1565&gt;=65,W1565&lt;110),0.17,0)+IF(AND(V1565&gt;=75,V1565&lt;=175,W1565&gt;=110),0.12,0)+IF(AND(V1565&gt;175,W1565&lt;25),0.3,0)+IF(AND(V1565&gt;175,W1565&gt;=25,W1565&lt;55),0.23,0)+IF(AND(V1565&gt;175,W1565&gt;=55,W1565&lt;95),0.17,0)+IF(AND(V1565&gt;175,W1565&gt;=95),0.12,0),
IF(AF1565="DoEVLo",IF(AND(V1565&lt;20,W1565&lt;55),0.25,0)+IF(AND(V1565&lt;20,W1565&gt;=55,W1565&lt;105),0.2,0)+IF(AND(V1565&lt;20,W1565&gt;=105),0.15,0)+IF(AND(V1565&gt;=20,V1565&lt;40,W1565&lt;45),0.25,0)+IF(AND(V1565&gt;=20,V1565&lt;40,W1565&gt;=45,W1565&lt;95),0.2,0)+IF(AND(V1565&gt;=20,V1565&lt;40,W1565&gt;=95),0.15,0)+IF(AND(V1565&gt;=40,V1565&lt;75,W1565&lt;35),0.25,0)+IF(AND(V1565&gt;=40,V1565&lt;75,W1565&gt;=35,W1565&lt;75),0.2,0)+IF(AND(V1565&gt;=40,V1565&lt;75,W1565&gt;=75,W1565&lt;120),0.15,0)+IF(AND(V1565&gt;=40,V1565&lt;75,W1565&gt;=120),0.1,0)+IF(AND(V1565&gt;=75,V1565&lt;175,W1565&lt;35),0.25,0)+IF(AND(V1565&gt;=75,V1565&lt;=175,W1565&gt;=35,W1565&lt;65),0.2,0)+IF(AND(V1565&gt;=75,V1565&lt;=175,W1565&gt;=65,W1565&lt;110),0.15,0)+IF(AND(V1565&gt;=75,V1565&lt;=175,W1565&gt;=110),0.1,0)+IF(AND(V1565&gt;175,W1565&lt;25),0.25,0)+IF(AND(V1565&gt;175,W1565&gt;=25,W1565&lt;55),0.2,0)+IF(AND(V1565&gt;175,W1565&gt;=55,W1565&lt;95),0.15,0)+IF(AND(V1565&gt;175,W1565&gt;=95),0.1,0))))))))))))))))))))</f>
        <v>0</v>
      </c>
      <c r="Y1565" s="30">
        <f>IF(AG1565="None",0,IF(AG1565="Fix5",0.05, IF(AG1565="Fix6.25",0.0625,IF(AG1565="Fix3.75",0.0375, IF(AG1565="Fix11",0.11, IF(AG1565="Fix10",0.1,IF(AG1565="Fix3",0.03,0)))))))</f>
        <v>0</v>
      </c>
      <c r="Z1565" s="35">
        <f>IF(AND(AD1565="EUR", AE1565 = "USD"), T1565*U1565-AA1565-AB1565, T1565-AA1565-AB1565)</f>
        <v>-2832.5894008599867</v>
      </c>
      <c r="AA1565" s="29">
        <f>IF(AND(AD1565="EUR", F1565="Without EV deal", AE1565="USD"), (T1565*X1565)*U1565,
IF(AND(AD1565="EUR", F1565="Without EV deal", AE1565="EUR"), (T1565*X1565),
IF(AND(AD1565="EUR",AE1565="USD"), (T1565*X1565)*U1565,
T1565*X1565)))</f>
        <v>0</v>
      </c>
      <c r="AB1565" s="36">
        <f>IF(AND(AD1565="EUR", F1565="Without EV deal", AE1565="USD"), (T1565*Y1565)*U1565,
IF(AND(AD1565="EUR", F1565="Without EV deal", AE1565="EUR"), (T1565*Y1565),
IF(AND(AD1565="EUR",AE1565="USD"), (T1565*Y1565)*U1565,
T1565*Y1565)))</f>
        <v>0</v>
      </c>
      <c r="AC1565" s="37" t="b">
        <v>0</v>
      </c>
      <c r="AD1565" s="82" t="str">
        <f>IF(OR(H1565="€0.25 Flash",
H1565="€0.25(nitro) new",
H1565="€1",
H1565="€2",
H1565="€2 (bf 01.08)",
H1565="€5",
H1565="€5 (1M)",
H1565="€5 (bf 01.08)",
H1565="€5 (bf 05.05)",
H1565="€5 Nitro",
H1565="€5(wx) new",
H1565="€10",
H1565="€10 (1M)",
H1565="€10 (bf 01.08)",
H1565="€10 (bf 05.05)",
H1565="€10 (MP)",
H1565="€10 (old)",
H1565="€10 Nitro (bf 05.05)",
H1565="€10 Nitro (old)",
H1565="€10(wx) new",
H1565="€20",
H1565="€25",
H1565="€25 (bf 01.08)",
H1565="€25 (bf 05.05)",
H1565="€25 (MP)",
H1565="€25 (old)",
H1565="€25 Nitro",
H1565="€25 Nitro (bf 01.08)",
H1565="€25 Nitro (bf 05.05)",
H1565="€25(nitro) new",
H1565="€25(wx) new",
H1565="€50",
H1565="€50 (bf 01.08)",
H1565="€50 (bf 05.05)",
H1565="€50 (old)",
H1565="€50 Nitro",
H1565="€50 Nitro (bf 01.08)",
H1565="€50 Nitro (bf 05.05)",
H1565="€50(wx) new",
H1565="€100",
H1565="€100 (old)",
H1565="€100 Nitro",
H1565="€100 Nitro (old)",
H1565="€200",
H1565="€250",
H1565="€250 Nitro",
H1565="€500",
H1565="€500 Nitro"),"EUR", "USD")</f>
        <v>USD</v>
      </c>
      <c r="AE1565" s="83" t="s">
        <v>38</v>
      </c>
      <c r="AF1565" s="83" t="str">
        <f t="array" ref="AF1565">INDEX('Deal Info'!D:D, MATCH(A1565,'Deal Info'!A:A, 0))</f>
        <v>None</v>
      </c>
      <c r="AG1565" s="84" t="str">
        <f t="array" ref="AG1565">INDEX('Deal Info'!G:G, MATCH(A1565,'Deal Info'!A:A, 0))</f>
        <v>guilexperi</v>
      </c>
    </row>
    <row r="1566" spans="1:33" ht="14.25" hidden="1" x14ac:dyDescent="0.2">
      <c r="A1566" s="18" t="str">
        <f t="array" ref="A1566">IF(G1566='Room Info'!$B$1, INDEX('Room Info'!$A$2:$A2446, MATCH(B1566,'Room Info'!$B$2:$B2446, 0)),IF(G1566='Room Info'!$C$1, INDEX('Room Info'!$A$2:$A2446, MATCH(B1566,'Room Info'!$C$2:$C2446, 0)),IF(G1566='Room Info'!$D$1, INDEX('Room Info'!$A$2:$A2446, MATCH(B1566,'Room Info'!$D$2:$D2446, 0)),IF(G1566='Room Info'!$E$1, INDEX('Room Info'!$A$2:$A2446, MATCH(B1566,'Room Info'!$E$2:$E2446, 0)),IF(G1566='Room Info'!$F$1, INDEX('Room Info'!$A$2:$A2446, MATCH(B1566,'Room Info'!$F$2:$F2446, 0)),IF(G1566='Room Info'!$H$1, INDEX('Room Info'!$A$2:$A2446, MATCH(B1566,'Room Info'!$H$2:$H2446, 0)),IF(G1566='Room Info'!$G$1, INDEX('Room Info'!$A$2:$A2446, MATCH(B1566,'Room Info'!$G$2:$G2446, 0)))))))))</f>
        <v>guilexperi</v>
      </c>
      <c r="B1566" s="54" t="s">
        <v>208</v>
      </c>
      <c r="C1566" s="111">
        <v>44958</v>
      </c>
      <c r="D1566" s="111">
        <v>44985</v>
      </c>
      <c r="E1566" s="80">
        <v>44958</v>
      </c>
      <c r="F1566" s="96" t="s">
        <v>49</v>
      </c>
      <c r="G1566" s="65" t="s">
        <v>35</v>
      </c>
      <c r="H1566" s="49" t="s">
        <v>212</v>
      </c>
      <c r="I1566" s="91" t="s">
        <v>174</v>
      </c>
      <c r="J1566" s="39">
        <v>300</v>
      </c>
      <c r="K1566" s="51">
        <v>1845</v>
      </c>
      <c r="L1566" s="52">
        <v>-28083</v>
      </c>
      <c r="M1566" s="62">
        <v>5758.3562940074071</v>
      </c>
      <c r="N1566" s="28">
        <f>K1566*J1566</f>
        <v>553500</v>
      </c>
      <c r="O1566" s="54">
        <v>-23389</v>
      </c>
      <c r="P1566" s="29">
        <v>-12.67696477</v>
      </c>
      <c r="Q1566" s="55"/>
      <c r="R1566" s="31">
        <f>M1566+Q1566*J1566*K1566*0.07</f>
        <v>5758.3562940074071</v>
      </c>
      <c r="S1566" s="56">
        <v>-17851</v>
      </c>
      <c r="T1566" s="32">
        <f>IF(AND(AD1566="EUR", F1566="Without EV deal"), R1566 + L1566,
IF(AND(AD1566="USD", F1566="Without EV deal"), R1566 + L1566,
IF(AND(AD1566="EUR", F1566="Steel Phoenix"), R1566 + S1566/U1566,
R1566 + S1566)))</f>
        <v>-12092.643705992592</v>
      </c>
      <c r="U1566" s="57">
        <v>1.0617000000000001</v>
      </c>
      <c r="V1566" s="69"/>
      <c r="W1566" s="69"/>
      <c r="X1566" s="30" t="b">
        <f>IF(AF1566="DoEV",IF(AND(V1566&lt;20,W1566&lt;55),0.3,0)+IF(AND(V1566&lt;20,W1566&gt;=55,W1566&lt;105),0.23,0)+IF(AND(V1566&lt;20,W1566&gt;=105),0.17,0)+IF(AND(V1566&gt;=20,V1566&lt;40,W1566&lt;45),0.3,0)+IF(AND(V1566&gt;=20,V1566&lt;40,W1566&gt;=45,W1566&lt;95),0.23,0)+IF(AND(V1566&gt;=20,V1566&lt;40,W1566&gt;=95),0.17,0)+IF(AND(V1566&gt;=40,V1566&lt;75,W1566&lt;35),0.3,0)+IF(AND(V1566&gt;=40,V1566&lt;75,W1566&gt;=35,W1566&lt;75),0.23,0)+IF(AND(V1566&gt;=40,V1566&lt;75,W1566&gt;=75,W1566&lt;120),0.17,0)+IF(AND(V1566&gt;=40,V1566&lt;75,W1566&gt;=120),0.12,0)+IF(AND(V1566&gt;=75,V1566&lt;175,W1566&lt;35),0.3,0)+IF(AND(V1566&gt;=75,V1566&lt;=175,W1566&gt;=35,W1566&lt;65),0.23,0)+IF(AND(V1566&gt;=75,V1566&lt;=175,W1566&gt;=65,W1566&lt;110),0.17,0)+IF(AND(V1566&gt;=75,V1566&lt;=175,W1566&gt;=110),0.12,0)+IF(AND(V1566&gt;175,W1566&lt;25),0.3,0)+IF(AND(V1566&gt;175,W1566&gt;=25,W1566&lt;55),0.23,0)+IF(AND(V1566&gt;175,W1566&gt;=55,W1566&lt;95),0.17,0)+IF(AND(V1566&gt;175,W1566&gt;=95),0.12,0),
IF(AF1566="Fix15",0.15,
IF(AF1566="Fix5",0.05,
IF(AF1566="Fix18.75",0.1875,
IF(AF1566="Fix11.25",0.1125,
IF(AF1566="Fix10",0.1,
IF(AF1566="Fix9",0.09,
IF(AF1566="Fix12",0.12,
IF(AF1566="Fix19",0.19,
IF(AF1566="DoEV2017",IF(AND(W1566&lt;74),0.2,0)+IF(AND(W1566&gt;=74),0.17,0),
IF(AF1566="SF",IF(AND(V1566&lt;20,W1566&lt;89),0.3,0)+IF(AND(V1566&lt;20,W1566&gt;=89),0.25,0)+IF(AND(V1566&gt;=20,V1566&lt;40,W1566&lt;74),0.3,0)+IF(AND(V1566&gt;=20,V1566&lt;40,W1566&gt;=75),0.22,0)+IF(AND(V1566&gt;=40,V1566&lt;75,W1566&lt;75),0.26,0)+IF(AND(V1566&gt;=40,V1566&lt;75,W1566&gt;=75),0.22,0)+IF(V1566&gt;=75,0.22,0),
IF(AF1566="DoEVold",IF(AND(V1566&lt;40,W1566&lt;35),0.35,0)+IF(AND(V1566&lt;40,W1566&gt;=35,W1566&lt;75),0.25,0)+IF(AND(V1566&lt;40,W1566&gt;=75),0.17,0)+IF(AND(V1566&gt;=40,V1566&lt;75,W1566&lt;25),0.35,0)+IF(AND(V1566&gt;=40,V1566&lt;75,W1566&gt;=25,W1566&lt;65),0.25,0)+IF(AND(V1566&gt;=40,V1566&lt;75,W1566&gt;=65,W1566&lt;100),0.17,0)+IF(AND(V1566&gt;=40,V1566&lt;75,W1566&gt;=100),0.1,0)+IF(AND(V1566&gt;=75,W1566&lt;25),0.35,0)+IF(AND(V1566&gt;=75,W1566&gt;=25,W1566&lt;60),0.25,0)+IF(AND(V1566&gt;=75,W1566&gt;=60,W1566&lt;95),0.17,0)+IF(AND(V1566&gt;=75,W1566&gt;=95),0.1,0),
IF(AF1566="DoEVold15",IF(AND(V1566&lt;=40,W1566&lt;35),0.35,0)+IF(AND(V1566&lt;=40,W1566&gt;=35,W1566&lt;75),0.25,0)+IF(AND(V1566&lt;=40,W1566&gt;=75,W1566&lt;120),0.17,0)+IF(AND(V1566&lt;=40,W1566&gt;=120),0.15,0)+IF(AND(V1566&gt;40,V1566&lt;75,W1566&lt;25),0.35,0)+IF(AND(V1566&gt;=40,V1566&lt;75,W1566&gt;=25,W1566&lt;65),0.25,0)+IF(AND(V1566&gt;=40,V1566&lt;75,W1566&gt;=65,W1566&lt;100),0.17,0)+IF(AND(V1566&gt;=40,V1566&lt;75,W1566&gt;=100),0.1,0)+IF(AND(V1566&gt;=75,W1566&lt;25),0.35,0)+IF(AND(V1566&gt;=75,W1566&gt;=25,W1566&lt;60),0.25,0)+IF(AND(V1566&gt;=75,W1566&gt;=60,W1566&lt;95),0.17,0)+IF(AND(V1566&gt;=75,W1566&gt;=95),0.1,0),
IF(AF1566="DoEVba",IF(AND(V1566&lt;20,W1566&lt;105),0.2,0)+IF(AND(V1566&lt;20,W1566&gt;=105),0.15,0)+IF(AND(V1566&gt;=20,V1566&lt;40,W1566&lt;95),0.2,0)+IF(AND(V1566&gt;=20,V1566&lt;40,W1566&gt;=95,W1566&lt;150),0.15,0)+IF(AND(V1566&gt;=20,V1566&lt;40,W1566&gt;=150),0.12,0)+IF(AND(V1566&gt;=40,V1566&lt;75,W1566&lt;75),0.2,0)+IF(AND(V1566&gt;=40,V1566&lt;75,W1566&gt;=75,W1566&lt;120),0.15,0)+IF(AND(V1566&gt;=40,V1566&lt;75,W1566&gt;=120),0.12,0)+IF(AND(V1566&gt;=75,V1566&lt;175,W1566&lt;65),0.2,0)+IF(AND(V1566&gt;=75,V1566&lt;175,W1566&gt;=65,W1566&lt;110),0.15,0)+IF(AND(V1566&gt;=75,V1566&lt;175,W1566&gt;=110),0.12,0)+IF(AND(V1566&gt;=175,W1566&lt;55),0.2,0)+IF(AND(V1566&gt;=175,W1566&gt;=55,W1566&lt;95),0.15,0)+IF(AND(V1566&gt;=175,W1566&gt;=95),0.12,0),
IF(AF1566="DoEVku",IF(AND(V1566&lt;20,W1566&lt;55),0.23,0)+IF(AND(V1566&lt;20,W1566&gt;=55,W1566&lt;105),0.2,0)+IF(AND(V1566&lt;20,W1566&gt;=105),0.17,0)+IF(AND(V1566&gt;=20,V1566&lt;40,W1566&lt;45),0.23,0)+IF(AND(V1566&gt;=20,V1566&lt;40,W1566&gt;=45,W1566&lt;95),0.2,0)+IF(AND(V1566&gt;=20,V1566&lt;40,W1566&gt;=95,W1566&lt;=150),0.17,0)+IF(AND(V1566&gt;=20,V1566&lt;40,W1566&gt;=150),0.12,0)+IF(AND(V1566&gt;=40,V1566&lt;75,W1566&lt;35),0.23,0)+IF(AND(V1566&gt;=40,V1566&lt;75,W1566&gt;=35,W1566&lt;75),0.2,0)+IF(AND(V1566&gt;=40,V1566&lt;75,W1566&gt;=75,W1566&lt;120),0.17,0)+IF(AND(V1566&gt;=40,V1566&lt;75,W1566&gt;=120),0.12,0)+IF(AND(V1566&gt;=75,V1566&lt;175,W1566&lt;35),0.23,0)+IF(AND(V1566&gt;=75,V1566&lt;=175,W1566&gt;=35,W1566&lt;65),0.2,0)+IF(AND(V1566&gt;=75,V1566&lt;=175,W1566&gt;=65,W1566&lt;110),0.17,0)+IF(AND(V1566&gt;=75,V1566&lt;=175,W1566&gt;=110),0.12,0)+IF(AND(V1566&gt;175,W1566&lt;25),0.23,0)+IF(AND(V1566&gt;175,W1566&gt;=25,W1566&lt;55),0.2,0)+IF(AND(V1566&gt;175,W1566&gt;=55,W1566&lt;95),0.17,0)+IF(AND(V1566&gt;175,W1566&gt;=95),0.12,0),
IF(AF1566="DoEVs1",IF(AND(V1566&lt;20,W1566&lt;55),0.3,0)+IF(AND(V1566&lt;20,W1566&gt;=55,W1566&lt;105),0.23,0)+IF(AND(V1566&lt;20,W1566&gt;=105),0.17,0)+IF(AND(V1566&gt;=20,V1566&lt;40,W1566&lt;45),0.3,0)+IF(AND(V1566&gt;=20,V1566&lt;40,W1566&gt;=45,W1566&lt;95),0.23,0)+IF(AND(V1566&gt;=20,V1566&lt;40,W1566&gt;=95,W1566&lt;=150),0.17,0)+IF(AND(V1566&gt;=20,V1566&lt;40,W1566&gt;=150),0.12,0)+IF(AND(V1566&gt;=40,V1566&lt;75,W1566&lt;35),0.3,0)+IF(AND(V1566&gt;=40,V1566&lt;75,W1566&gt;=35,W1566&lt;75),0.23,0)+IF(AND(V1566&gt;=40,V1566&lt;75,W1566&gt;=75,W1566&lt;120),0.17,0)+IF(AND(V1566&gt;=40,V1566&lt;75,W1566&gt;=120),0.12,0)+IF(AND(V1566&gt;=75,V1566&lt;175,W1566&lt;35),0.3,0)+IF(AND(V1566&gt;=75,V1566&lt;=175,W1566&gt;=35,W1566&lt;65),0.23,0)+IF(AND(V1566&gt;=75,V1566&lt;=175,W1566&gt;=65,W1566&lt;110),0.17,0)+IF(AND(V1566&gt;=75,V1566&lt;=175,W1566&gt;=110),0.12,0)+IF(AND(V1566&gt;175,W1566&lt;25),0.3,0)+IF(AND(V1566&gt;175,W1566&gt;=25,W1566&lt;55),0.23,0)+IF(AND(V1566&gt;175,W1566&gt;=55,W1566&lt;95),0.17,0)+IF(AND(V1566&gt;175,W1566&gt;=95),0.12,0),
IF(AF1566="DoEVsu",IF(AND(V1566&lt;20,W1566&lt;55),0.3,0)+IF(AND(V1566&lt;20,W1566&gt;=55,W1566&lt;105),0.23,0)+IF(AND(V1566&lt;20,W1566&gt;=105),0.17,0)+IF(AND(V1566&gt;=20,V1566&lt;40,W1566&lt;45),0.3,0)+IF(AND(V1566&gt;=20,V1566&lt;40,W1566&gt;=45,W1566&lt;95),0.23,0)+IF(AND(V1566&gt;=20,V1566&lt;40,W1566&gt;=95,W1566&lt;=250),0.17,0)+IF(AND(V1566&gt;=20,V1566&lt;40,W1566&gt;=250),0.12,0)+IF(AND(V1566&gt;=40,V1566&lt;75,W1566&lt;35),0.3,0)+IF(AND(V1566&gt;=40,V1566&lt;75,W1566&gt;=35,W1566&lt;75),0.23,0)+IF(AND(V1566&gt;=40,V1566&lt;75,W1566&gt;=75,W1566&lt;120),0.17,0)+IF(AND(V1566&gt;=40,V1566&lt;75,W1566&gt;=120),0.12,0)+IF(AND(V1566&gt;=75,V1566&lt;175,W1566&lt;35),0.3,0)+IF(AND(V1566&gt;=75,V1566&lt;=175,W1566&gt;=35,W1566&lt;65),0.23,0)+IF(AND(V1566&gt;=75,V1566&lt;=175,W1566&gt;=65,W1566&lt;110),0.17,0)+IF(AND(V1566&gt;=75,V1566&lt;=175,W1566&gt;=110),0.12,0)+IF(AND(V1566&gt;175,W1566&lt;25),0.3,0)+IF(AND(V1566&gt;175,W1566&gt;=25,W1566&lt;55),0.23,0)+IF(AND(V1566&gt;175,W1566&gt;=55,W1566&lt;95),0.17,0)+IF(AND(V1566&gt;175,W1566&gt;=95),0.12,0),
IF(AF1566="DoEVni",IF(AND(V1566&lt;20,W1566&lt;55),0.3,0)+IF(AND(V1566&lt;20,W1566&gt;=55,W1566&lt;105),0.23,0)+IF(AND(V1566&lt;20,W1566&gt;=105),0.17,0)+IF(AND(V1566&gt;=20,V1566&lt;40,W1566&lt;45),0.3,0)+IF(AND(V1566&gt;=20,V1566&lt;40,W1566&gt;=45,W1566&lt;95),0.23,0)+IF(AND(V1566&gt;=20,V1566&lt;40,W1566&gt;=95,W1566&lt;=200),0.17,0)+IF(AND(V1566&gt;=20,V1566&lt;40,W1566&gt;=200),0.12,0)+IF(AND(V1566&gt;=40,V1566&lt;75,W1566&lt;35),0.3,0)+IF(AND(V1566&gt;=40,V1566&lt;75,W1566&gt;=35,W1566&lt;75),0.23,0)+IF(AND(V1566&gt;=40,V1566&lt;75,W1566&gt;=75,W1566&lt;120),0.17,0)+IF(AND(V1566&gt;=40,V1566&lt;75,W1566&gt;=120),0.12,0)+IF(AND(V1566&gt;=75,V1566&lt;175,W1566&lt;35),0.3,0)+IF(AND(V1566&gt;=75,V1566&lt;=175,W1566&gt;=35,W1566&lt;65),0.23,0)+IF(AND(V1566&gt;=75,V1566&lt;=175,W1566&gt;=65,W1566&lt;110),0.17,0)+IF(AND(V1566&gt;=75,V1566&lt;=175,W1566&gt;=110),0.12,0)+IF(AND(V1566&gt;175,W1566&lt;25),0.3,0)+IF(AND(V1566&gt;175,W1566&gt;=25,W1566&lt;55),0.23,0)+IF(AND(V1566&gt;175,W1566&gt;=55,W1566&lt;95),0.17,0)+IF(AND(V1566&gt;175,W1566&gt;=95),0.12,0),
IF(AF1566="DoEVLo",IF(AND(V1566&lt;20,W1566&lt;55),0.25,0)+IF(AND(V1566&lt;20,W1566&gt;=55,W1566&lt;105),0.2,0)+IF(AND(V1566&lt;20,W1566&gt;=105),0.15,0)+IF(AND(V1566&gt;=20,V1566&lt;40,W1566&lt;45),0.25,0)+IF(AND(V1566&gt;=20,V1566&lt;40,W1566&gt;=45,W1566&lt;95),0.2,0)+IF(AND(V1566&gt;=20,V1566&lt;40,W1566&gt;=95),0.15,0)+IF(AND(V1566&gt;=40,V1566&lt;75,W1566&lt;35),0.25,0)+IF(AND(V1566&gt;=40,V1566&lt;75,W1566&gt;=35,W1566&lt;75),0.2,0)+IF(AND(V1566&gt;=40,V1566&lt;75,W1566&gt;=75,W1566&lt;120),0.15,0)+IF(AND(V1566&gt;=40,V1566&lt;75,W1566&gt;=120),0.1,0)+IF(AND(V1566&gt;=75,V1566&lt;175,W1566&lt;35),0.25,0)+IF(AND(V1566&gt;=75,V1566&lt;=175,W1566&gt;=35,W1566&lt;65),0.2,0)+IF(AND(V1566&gt;=75,V1566&lt;=175,W1566&gt;=65,W1566&lt;110),0.15,0)+IF(AND(V1566&gt;=75,V1566&lt;=175,W1566&gt;=110),0.1,0)+IF(AND(V1566&gt;175,W1566&lt;25),0.25,0)+IF(AND(V1566&gt;175,W1566&gt;=25,W1566&lt;55),0.2,0)+IF(AND(V1566&gt;175,W1566&gt;=55,W1566&lt;95),0.15,0)+IF(AND(V1566&gt;175,W1566&gt;=95),0.1,0))))))))))))))))))))</f>
        <v>0</v>
      </c>
      <c r="Y1566" s="30">
        <f>IF(AG1566="None",0,IF(AG1566="Fix5",0.05, IF(AG1566="Fix6.25",0.0625,IF(AG1566="Fix3.75",0.0375, IF(AG1566="Fix11",0.11, IF(AG1566="Fix10",0.1,IF(AG1566="Fix3",0.03,0)))))))</f>
        <v>0</v>
      </c>
      <c r="Z1566" s="35">
        <f>IF(AND(AD1566="EUR", AE1566 = "USD"), T1566*U1566-AA1566-AB1566, T1566-AA1566-AB1566)</f>
        <v>-12092.643705992592</v>
      </c>
      <c r="AA1566" s="29">
        <f>IF(AND(AD1566="EUR", F1566="Without EV deal", AE1566="USD"), (T1566*X1566)*U1566,
IF(AND(AD1566="EUR", F1566="Without EV deal", AE1566="EUR"), (T1566*X1566),
IF(AND(AD1566="EUR",AE1566="USD"), (T1566*X1566)*U1566,
T1566*X1566)))</f>
        <v>0</v>
      </c>
      <c r="AB1566" s="36">
        <f>IF(AND(AD1566="EUR", F1566="Without EV deal", AE1566="USD"), (T1566*Y1566)*U1566,
IF(AND(AD1566="EUR", F1566="Without EV deal", AE1566="EUR"), (T1566*Y1566),
IF(AND(AD1566="EUR",AE1566="USD"), (T1566*Y1566)*U1566,
T1566*Y1566)))</f>
        <v>0</v>
      </c>
      <c r="AC1566" s="37" t="b">
        <v>0</v>
      </c>
      <c r="AD1566" s="82" t="str">
        <f>IF(OR(H1566="€0.25 Flash",
H1566="€0.25(nitro) new",
H1566="€1",
H1566="€2",
H1566="€2 (bf 01.08)",
H1566="€5",
H1566="€5 (1M)",
H1566="€5 (bf 01.08)",
H1566="€5 (bf 05.05)",
H1566="€5 Nitro",
H1566="€5(wx) new",
H1566="€10",
H1566="€10 (1M)",
H1566="€10 (bf 01.08)",
H1566="€10 (bf 05.05)",
H1566="€10 (MP)",
H1566="€10 (old)",
H1566="€10 Nitro (bf 05.05)",
H1566="€10 Nitro (old)",
H1566="€10(wx) new",
H1566="€20",
H1566="€25",
H1566="€25 (bf 01.08)",
H1566="€25 (bf 05.05)",
H1566="€25 (MP)",
H1566="€25 (old)",
H1566="€25 Nitro",
H1566="€25 Nitro (bf 01.08)",
H1566="€25 Nitro (bf 05.05)",
H1566="€25(nitro) new",
H1566="€25(wx) new",
H1566="€50",
H1566="€50 (bf 01.08)",
H1566="€50 (bf 05.05)",
H1566="€50 (old)",
H1566="€50 Nitro",
H1566="€50 Nitro (bf 01.08)",
H1566="€50 Nitro (bf 05.05)",
H1566="€50(wx) new",
H1566="€100",
H1566="€100 (old)",
H1566="€100 Nitro",
H1566="€100 Nitro (old)",
H1566="€200",
H1566="€250",
H1566="€250 Nitro",
H1566="€500",
H1566="€500 Nitro"),"EUR", "USD")</f>
        <v>USD</v>
      </c>
      <c r="AE1566" s="83" t="s">
        <v>38</v>
      </c>
      <c r="AF1566" s="83" t="str">
        <f t="array" ref="AF1566">INDEX('Deal Info'!D:D, MATCH(A1566,'Deal Info'!A:A, 0))</f>
        <v>None</v>
      </c>
      <c r="AG1566" s="84" t="str">
        <f t="array" ref="AG1566">INDEX('Deal Info'!G:G, MATCH(A1566,'Deal Info'!A:A, 0))</f>
        <v>guilexperi</v>
      </c>
    </row>
    <row r="1567" spans="1:33" ht="14.25" hidden="1" x14ac:dyDescent="0.2">
      <c r="A1567" s="18" t="str">
        <f t="array" ref="A1567">IF(G1567='Room Info'!$B$1, INDEX('Room Info'!$A$2:$A2446, MATCH(B1567,'Room Info'!$B$2:$B2446, 0)),IF(G1567='Room Info'!$C$1, INDEX('Room Info'!$A$2:$A2446, MATCH(B1567,'Room Info'!$C$2:$C2446, 0)),IF(G1567='Room Info'!$D$1, INDEX('Room Info'!$A$2:$A2446, MATCH(B1567,'Room Info'!$D$2:$D2446, 0)),IF(G1567='Room Info'!$E$1, INDEX('Room Info'!$A$2:$A2446, MATCH(B1567,'Room Info'!$E$2:$E2446, 0)),IF(G1567='Room Info'!$F$1, INDEX('Room Info'!$A$2:$A2446, MATCH(B1567,'Room Info'!$F$2:$F2446, 0)),IF(G1567='Room Info'!$H$1, INDEX('Room Info'!$A$2:$A2446, MATCH(B1567,'Room Info'!$H$2:$H2446, 0)),IF(G1567='Room Info'!$G$1, INDEX('Room Info'!$A$2:$A2446, MATCH(B1567,'Room Info'!$G$2:$G2446, 0)))))))))</f>
        <v>guilexperi</v>
      </c>
      <c r="B1567" s="54" t="s">
        <v>208</v>
      </c>
      <c r="C1567" s="111">
        <v>44958</v>
      </c>
      <c r="D1567" s="111">
        <v>44985</v>
      </c>
      <c r="E1567" s="80">
        <v>44958</v>
      </c>
      <c r="F1567" s="96" t="s">
        <v>49</v>
      </c>
      <c r="G1567" s="65" t="s">
        <v>35</v>
      </c>
      <c r="H1567" s="91" t="s">
        <v>142</v>
      </c>
      <c r="I1567" s="100" t="s">
        <v>37</v>
      </c>
      <c r="J1567" s="39">
        <v>500</v>
      </c>
      <c r="K1567" s="51">
        <v>372</v>
      </c>
      <c r="L1567" s="52">
        <v>4500</v>
      </c>
      <c r="M1567" s="62">
        <v>6464.5570142948045</v>
      </c>
      <c r="N1567" s="28">
        <f>K1567*J1567</f>
        <v>186000</v>
      </c>
      <c r="O1567" s="54">
        <v>3662</v>
      </c>
      <c r="P1567" s="29">
        <v>9.8440860220000008</v>
      </c>
      <c r="Q1567" s="55"/>
      <c r="R1567" s="31">
        <f>M1567+Q1567*J1567*K1567*0.07</f>
        <v>6464.5570142948045</v>
      </c>
      <c r="S1567" s="56">
        <v>-4575</v>
      </c>
      <c r="T1567" s="32">
        <f>IF(AND(AD1567="EUR", F1567="Without EV deal"), R1567 + L1567,
IF(AND(AD1567="USD", F1567="Without EV deal"), R1567 + L1567,
IF(AND(AD1567="EUR", F1567="Steel Phoenix"), R1567 + S1567/U1567,
R1567 + S1567)))</f>
        <v>1889.5570142948045</v>
      </c>
      <c r="U1567" s="57">
        <v>1.0617000000000001</v>
      </c>
      <c r="V1567" s="69"/>
      <c r="W1567" s="69"/>
      <c r="X1567" s="30" t="b">
        <f>IF(AF1567="DoEV",IF(AND(V1567&lt;20,W1567&lt;55),0.3,0)+IF(AND(V1567&lt;20,W1567&gt;=55,W1567&lt;105),0.23,0)+IF(AND(V1567&lt;20,W1567&gt;=105),0.17,0)+IF(AND(V1567&gt;=20,V1567&lt;40,W1567&lt;45),0.3,0)+IF(AND(V1567&gt;=20,V1567&lt;40,W1567&gt;=45,W1567&lt;95),0.23,0)+IF(AND(V1567&gt;=20,V1567&lt;40,W1567&gt;=95),0.17,0)+IF(AND(V1567&gt;=40,V1567&lt;75,W1567&lt;35),0.3,0)+IF(AND(V1567&gt;=40,V1567&lt;75,W1567&gt;=35,W1567&lt;75),0.23,0)+IF(AND(V1567&gt;=40,V1567&lt;75,W1567&gt;=75,W1567&lt;120),0.17,0)+IF(AND(V1567&gt;=40,V1567&lt;75,W1567&gt;=120),0.12,0)+IF(AND(V1567&gt;=75,V1567&lt;175,W1567&lt;35),0.3,0)+IF(AND(V1567&gt;=75,V1567&lt;=175,W1567&gt;=35,W1567&lt;65),0.23,0)+IF(AND(V1567&gt;=75,V1567&lt;=175,W1567&gt;=65,W1567&lt;110),0.17,0)+IF(AND(V1567&gt;=75,V1567&lt;=175,W1567&gt;=110),0.12,0)+IF(AND(V1567&gt;175,W1567&lt;25),0.3,0)+IF(AND(V1567&gt;175,W1567&gt;=25,W1567&lt;55),0.23,0)+IF(AND(V1567&gt;175,W1567&gt;=55,W1567&lt;95),0.17,0)+IF(AND(V1567&gt;175,W1567&gt;=95),0.12,0),
IF(AF1567="Fix15",0.15,
IF(AF1567="Fix5",0.05,
IF(AF1567="Fix18.75",0.1875,
IF(AF1567="Fix11.25",0.1125,
IF(AF1567="Fix10",0.1,
IF(AF1567="Fix9",0.09,
IF(AF1567="Fix12",0.12,
IF(AF1567="Fix19",0.19,
IF(AF1567="DoEV2017",IF(AND(W1567&lt;74),0.2,0)+IF(AND(W1567&gt;=74),0.17,0),
IF(AF1567="SF",IF(AND(V1567&lt;20,W1567&lt;89),0.3,0)+IF(AND(V1567&lt;20,W1567&gt;=89),0.25,0)+IF(AND(V1567&gt;=20,V1567&lt;40,W1567&lt;74),0.3,0)+IF(AND(V1567&gt;=20,V1567&lt;40,W1567&gt;=75),0.22,0)+IF(AND(V1567&gt;=40,V1567&lt;75,W1567&lt;75),0.26,0)+IF(AND(V1567&gt;=40,V1567&lt;75,W1567&gt;=75),0.22,0)+IF(V1567&gt;=75,0.22,0),
IF(AF1567="DoEVold",IF(AND(V1567&lt;40,W1567&lt;35),0.35,0)+IF(AND(V1567&lt;40,W1567&gt;=35,W1567&lt;75),0.25,0)+IF(AND(V1567&lt;40,W1567&gt;=75),0.17,0)+IF(AND(V1567&gt;=40,V1567&lt;75,W1567&lt;25),0.35,0)+IF(AND(V1567&gt;=40,V1567&lt;75,W1567&gt;=25,W1567&lt;65),0.25,0)+IF(AND(V1567&gt;=40,V1567&lt;75,W1567&gt;=65,W1567&lt;100),0.17,0)+IF(AND(V1567&gt;=40,V1567&lt;75,W1567&gt;=100),0.1,0)+IF(AND(V1567&gt;=75,W1567&lt;25),0.35,0)+IF(AND(V1567&gt;=75,W1567&gt;=25,W1567&lt;60),0.25,0)+IF(AND(V1567&gt;=75,W1567&gt;=60,W1567&lt;95),0.17,0)+IF(AND(V1567&gt;=75,W1567&gt;=95),0.1,0),
IF(AF1567="DoEVold15",IF(AND(V1567&lt;=40,W1567&lt;35),0.35,0)+IF(AND(V1567&lt;=40,W1567&gt;=35,W1567&lt;75),0.25,0)+IF(AND(V1567&lt;=40,W1567&gt;=75,W1567&lt;120),0.17,0)+IF(AND(V1567&lt;=40,W1567&gt;=120),0.15,0)+IF(AND(V1567&gt;40,V1567&lt;75,W1567&lt;25),0.35,0)+IF(AND(V1567&gt;=40,V1567&lt;75,W1567&gt;=25,W1567&lt;65),0.25,0)+IF(AND(V1567&gt;=40,V1567&lt;75,W1567&gt;=65,W1567&lt;100),0.17,0)+IF(AND(V1567&gt;=40,V1567&lt;75,W1567&gt;=100),0.1,0)+IF(AND(V1567&gt;=75,W1567&lt;25),0.35,0)+IF(AND(V1567&gt;=75,W1567&gt;=25,W1567&lt;60),0.25,0)+IF(AND(V1567&gt;=75,W1567&gt;=60,W1567&lt;95),0.17,0)+IF(AND(V1567&gt;=75,W1567&gt;=95),0.1,0),
IF(AF1567="DoEVba",IF(AND(V1567&lt;20,W1567&lt;105),0.2,0)+IF(AND(V1567&lt;20,W1567&gt;=105),0.15,0)+IF(AND(V1567&gt;=20,V1567&lt;40,W1567&lt;95),0.2,0)+IF(AND(V1567&gt;=20,V1567&lt;40,W1567&gt;=95,W1567&lt;150),0.15,0)+IF(AND(V1567&gt;=20,V1567&lt;40,W1567&gt;=150),0.12,0)+IF(AND(V1567&gt;=40,V1567&lt;75,W1567&lt;75),0.2,0)+IF(AND(V1567&gt;=40,V1567&lt;75,W1567&gt;=75,W1567&lt;120),0.15,0)+IF(AND(V1567&gt;=40,V1567&lt;75,W1567&gt;=120),0.12,0)+IF(AND(V1567&gt;=75,V1567&lt;175,W1567&lt;65),0.2,0)+IF(AND(V1567&gt;=75,V1567&lt;175,W1567&gt;=65,W1567&lt;110),0.15,0)+IF(AND(V1567&gt;=75,V1567&lt;175,W1567&gt;=110),0.12,0)+IF(AND(V1567&gt;=175,W1567&lt;55),0.2,0)+IF(AND(V1567&gt;=175,W1567&gt;=55,W1567&lt;95),0.15,0)+IF(AND(V1567&gt;=175,W1567&gt;=95),0.12,0),
IF(AF1567="DoEVku",IF(AND(V1567&lt;20,W1567&lt;55),0.23,0)+IF(AND(V1567&lt;20,W1567&gt;=55,W1567&lt;105),0.2,0)+IF(AND(V1567&lt;20,W1567&gt;=105),0.17,0)+IF(AND(V1567&gt;=20,V1567&lt;40,W1567&lt;45),0.23,0)+IF(AND(V1567&gt;=20,V1567&lt;40,W1567&gt;=45,W1567&lt;95),0.2,0)+IF(AND(V1567&gt;=20,V1567&lt;40,W1567&gt;=95,W1567&lt;=150),0.17,0)+IF(AND(V1567&gt;=20,V1567&lt;40,W1567&gt;=150),0.12,0)+IF(AND(V1567&gt;=40,V1567&lt;75,W1567&lt;35),0.23,0)+IF(AND(V1567&gt;=40,V1567&lt;75,W1567&gt;=35,W1567&lt;75),0.2,0)+IF(AND(V1567&gt;=40,V1567&lt;75,W1567&gt;=75,W1567&lt;120),0.17,0)+IF(AND(V1567&gt;=40,V1567&lt;75,W1567&gt;=120),0.12,0)+IF(AND(V1567&gt;=75,V1567&lt;175,W1567&lt;35),0.23,0)+IF(AND(V1567&gt;=75,V1567&lt;=175,W1567&gt;=35,W1567&lt;65),0.2,0)+IF(AND(V1567&gt;=75,V1567&lt;=175,W1567&gt;=65,W1567&lt;110),0.17,0)+IF(AND(V1567&gt;=75,V1567&lt;=175,W1567&gt;=110),0.12,0)+IF(AND(V1567&gt;175,W1567&lt;25),0.23,0)+IF(AND(V1567&gt;175,W1567&gt;=25,W1567&lt;55),0.2,0)+IF(AND(V1567&gt;175,W1567&gt;=55,W1567&lt;95),0.17,0)+IF(AND(V1567&gt;175,W1567&gt;=95),0.12,0),
IF(AF1567="DoEVs1",IF(AND(V1567&lt;20,W1567&lt;55),0.3,0)+IF(AND(V1567&lt;20,W1567&gt;=55,W1567&lt;105),0.23,0)+IF(AND(V1567&lt;20,W1567&gt;=105),0.17,0)+IF(AND(V1567&gt;=20,V1567&lt;40,W1567&lt;45),0.3,0)+IF(AND(V1567&gt;=20,V1567&lt;40,W1567&gt;=45,W1567&lt;95),0.23,0)+IF(AND(V1567&gt;=20,V1567&lt;40,W1567&gt;=95,W1567&lt;=150),0.17,0)+IF(AND(V1567&gt;=20,V1567&lt;40,W1567&gt;=150),0.12,0)+IF(AND(V1567&gt;=40,V1567&lt;75,W1567&lt;35),0.3,0)+IF(AND(V1567&gt;=40,V1567&lt;75,W1567&gt;=35,W1567&lt;75),0.23,0)+IF(AND(V1567&gt;=40,V1567&lt;75,W1567&gt;=75,W1567&lt;120),0.17,0)+IF(AND(V1567&gt;=40,V1567&lt;75,W1567&gt;=120),0.12,0)+IF(AND(V1567&gt;=75,V1567&lt;175,W1567&lt;35),0.3,0)+IF(AND(V1567&gt;=75,V1567&lt;=175,W1567&gt;=35,W1567&lt;65),0.23,0)+IF(AND(V1567&gt;=75,V1567&lt;=175,W1567&gt;=65,W1567&lt;110),0.17,0)+IF(AND(V1567&gt;=75,V1567&lt;=175,W1567&gt;=110),0.12,0)+IF(AND(V1567&gt;175,W1567&lt;25),0.3,0)+IF(AND(V1567&gt;175,W1567&gt;=25,W1567&lt;55),0.23,0)+IF(AND(V1567&gt;175,W1567&gt;=55,W1567&lt;95),0.17,0)+IF(AND(V1567&gt;175,W1567&gt;=95),0.12,0),
IF(AF1567="DoEVsu",IF(AND(V1567&lt;20,W1567&lt;55),0.3,0)+IF(AND(V1567&lt;20,W1567&gt;=55,W1567&lt;105),0.23,0)+IF(AND(V1567&lt;20,W1567&gt;=105),0.17,0)+IF(AND(V1567&gt;=20,V1567&lt;40,W1567&lt;45),0.3,0)+IF(AND(V1567&gt;=20,V1567&lt;40,W1567&gt;=45,W1567&lt;95),0.23,0)+IF(AND(V1567&gt;=20,V1567&lt;40,W1567&gt;=95,W1567&lt;=250),0.17,0)+IF(AND(V1567&gt;=20,V1567&lt;40,W1567&gt;=250),0.12,0)+IF(AND(V1567&gt;=40,V1567&lt;75,W1567&lt;35),0.3,0)+IF(AND(V1567&gt;=40,V1567&lt;75,W1567&gt;=35,W1567&lt;75),0.23,0)+IF(AND(V1567&gt;=40,V1567&lt;75,W1567&gt;=75,W1567&lt;120),0.17,0)+IF(AND(V1567&gt;=40,V1567&lt;75,W1567&gt;=120),0.12,0)+IF(AND(V1567&gt;=75,V1567&lt;175,W1567&lt;35),0.3,0)+IF(AND(V1567&gt;=75,V1567&lt;=175,W1567&gt;=35,W1567&lt;65),0.23,0)+IF(AND(V1567&gt;=75,V1567&lt;=175,W1567&gt;=65,W1567&lt;110),0.17,0)+IF(AND(V1567&gt;=75,V1567&lt;=175,W1567&gt;=110),0.12,0)+IF(AND(V1567&gt;175,W1567&lt;25),0.3,0)+IF(AND(V1567&gt;175,W1567&gt;=25,W1567&lt;55),0.23,0)+IF(AND(V1567&gt;175,W1567&gt;=55,W1567&lt;95),0.17,0)+IF(AND(V1567&gt;175,W1567&gt;=95),0.12,0),
IF(AF1567="DoEVni",IF(AND(V1567&lt;20,W1567&lt;55),0.3,0)+IF(AND(V1567&lt;20,W1567&gt;=55,W1567&lt;105),0.23,0)+IF(AND(V1567&lt;20,W1567&gt;=105),0.17,0)+IF(AND(V1567&gt;=20,V1567&lt;40,W1567&lt;45),0.3,0)+IF(AND(V1567&gt;=20,V1567&lt;40,W1567&gt;=45,W1567&lt;95),0.23,0)+IF(AND(V1567&gt;=20,V1567&lt;40,W1567&gt;=95,W1567&lt;=200),0.17,0)+IF(AND(V1567&gt;=20,V1567&lt;40,W1567&gt;=200),0.12,0)+IF(AND(V1567&gt;=40,V1567&lt;75,W1567&lt;35),0.3,0)+IF(AND(V1567&gt;=40,V1567&lt;75,W1567&gt;=35,W1567&lt;75),0.23,0)+IF(AND(V1567&gt;=40,V1567&lt;75,W1567&gt;=75,W1567&lt;120),0.17,0)+IF(AND(V1567&gt;=40,V1567&lt;75,W1567&gt;=120),0.12,0)+IF(AND(V1567&gt;=75,V1567&lt;175,W1567&lt;35),0.3,0)+IF(AND(V1567&gt;=75,V1567&lt;=175,W1567&gt;=35,W1567&lt;65),0.23,0)+IF(AND(V1567&gt;=75,V1567&lt;=175,W1567&gt;=65,W1567&lt;110),0.17,0)+IF(AND(V1567&gt;=75,V1567&lt;=175,W1567&gt;=110),0.12,0)+IF(AND(V1567&gt;175,W1567&lt;25),0.3,0)+IF(AND(V1567&gt;175,W1567&gt;=25,W1567&lt;55),0.23,0)+IF(AND(V1567&gt;175,W1567&gt;=55,W1567&lt;95),0.17,0)+IF(AND(V1567&gt;175,W1567&gt;=95),0.12,0),
IF(AF1567="DoEVLo",IF(AND(V1567&lt;20,W1567&lt;55),0.25,0)+IF(AND(V1567&lt;20,W1567&gt;=55,W1567&lt;105),0.2,0)+IF(AND(V1567&lt;20,W1567&gt;=105),0.15,0)+IF(AND(V1567&gt;=20,V1567&lt;40,W1567&lt;45),0.25,0)+IF(AND(V1567&gt;=20,V1567&lt;40,W1567&gt;=45,W1567&lt;95),0.2,0)+IF(AND(V1567&gt;=20,V1567&lt;40,W1567&gt;=95),0.15,0)+IF(AND(V1567&gt;=40,V1567&lt;75,W1567&lt;35),0.25,0)+IF(AND(V1567&gt;=40,V1567&lt;75,W1567&gt;=35,W1567&lt;75),0.2,0)+IF(AND(V1567&gt;=40,V1567&lt;75,W1567&gt;=75,W1567&lt;120),0.15,0)+IF(AND(V1567&gt;=40,V1567&lt;75,W1567&gt;=120),0.1,0)+IF(AND(V1567&gt;=75,V1567&lt;175,W1567&lt;35),0.25,0)+IF(AND(V1567&gt;=75,V1567&lt;=175,W1567&gt;=35,W1567&lt;65),0.2,0)+IF(AND(V1567&gt;=75,V1567&lt;=175,W1567&gt;=65,W1567&lt;110),0.15,0)+IF(AND(V1567&gt;=75,V1567&lt;=175,W1567&gt;=110),0.1,0)+IF(AND(V1567&gt;175,W1567&lt;25),0.25,0)+IF(AND(V1567&gt;175,W1567&gt;=25,W1567&lt;55),0.2,0)+IF(AND(V1567&gt;175,W1567&gt;=55,W1567&lt;95),0.15,0)+IF(AND(V1567&gt;175,W1567&gt;=95),0.1,0))))))))))))))))))))</f>
        <v>0</v>
      </c>
      <c r="Y1567" s="30">
        <f>IF(AG1567="None",0,IF(AG1567="Fix5",0.05, IF(AG1567="Fix6.25",0.0625,IF(AG1567="Fix3.75",0.0375, IF(AG1567="Fix11",0.11, IF(AG1567="Fix10",0.1,IF(AG1567="Fix3",0.03,0)))))))</f>
        <v>0</v>
      </c>
      <c r="Z1567" s="35">
        <f>IF(AND(AD1567="EUR", AE1567 = "USD"), T1567*U1567-AA1567-AB1567, T1567-AA1567-AB1567)</f>
        <v>1889.5570142948045</v>
      </c>
      <c r="AA1567" s="29">
        <f>IF(AND(AD1567="EUR", F1567="Without EV deal", AE1567="USD"), (T1567*X1567)*U1567,
IF(AND(AD1567="EUR", F1567="Without EV deal", AE1567="EUR"), (T1567*X1567),
IF(AND(AD1567="EUR",AE1567="USD"), (T1567*X1567)*U1567,
T1567*X1567)))</f>
        <v>0</v>
      </c>
      <c r="AB1567" s="36">
        <f>IF(AND(AD1567="EUR", F1567="Without EV deal", AE1567="USD"), (T1567*Y1567)*U1567,
IF(AND(AD1567="EUR", F1567="Without EV deal", AE1567="EUR"), (T1567*Y1567),
IF(AND(AD1567="EUR",AE1567="USD"), (T1567*Y1567)*U1567,
T1567*Y1567)))</f>
        <v>0</v>
      </c>
      <c r="AC1567" s="37" t="b">
        <v>0</v>
      </c>
      <c r="AD1567" s="82" t="str">
        <f>IF(OR(H1567="€0.25 Flash",
H1567="€0.25(nitro) new",
H1567="€1",
H1567="€2",
H1567="€2 (bf 01.08)",
H1567="€5",
H1567="€5 (1M)",
H1567="€5 (bf 01.08)",
H1567="€5 (bf 05.05)",
H1567="€5 Nitro",
H1567="€5(wx) new",
H1567="€10",
H1567="€10 (1M)",
H1567="€10 (bf 01.08)",
H1567="€10 (bf 05.05)",
H1567="€10 (MP)",
H1567="€10 (old)",
H1567="€10 Nitro (bf 05.05)",
H1567="€10 Nitro (old)",
H1567="€10(wx) new",
H1567="€20",
H1567="€25",
H1567="€25 (bf 01.08)",
H1567="€25 (bf 05.05)",
H1567="€25 (MP)",
H1567="€25 (old)",
H1567="€25 Nitro",
H1567="€25 Nitro (bf 01.08)",
H1567="€25 Nitro (bf 05.05)",
H1567="€25(nitro) new",
H1567="€25(wx) new",
H1567="€50",
H1567="€50 (bf 01.08)",
H1567="€50 (bf 05.05)",
H1567="€50 (old)",
H1567="€50 Nitro",
H1567="€50 Nitro (bf 01.08)",
H1567="€50 Nitro (bf 05.05)",
H1567="€50(wx) new",
H1567="€100",
H1567="€100 (old)",
H1567="€100 Nitro",
H1567="€100 Nitro (old)",
H1567="€200",
H1567="€250",
H1567="€250 Nitro",
H1567="€500",
H1567="€500 Nitro"),"EUR", "USD")</f>
        <v>USD</v>
      </c>
      <c r="AE1567" s="83" t="s">
        <v>38</v>
      </c>
      <c r="AF1567" s="83" t="str">
        <f t="array" ref="AF1567">INDEX('Deal Info'!D:D, MATCH(A1567,'Deal Info'!A:A, 0))</f>
        <v>None</v>
      </c>
      <c r="AG1567" s="84" t="str">
        <f t="array" ref="AG1567">INDEX('Deal Info'!G:G, MATCH(A1567,'Deal Info'!A:A, 0))</f>
        <v>guilexperi</v>
      </c>
    </row>
    <row r="1568" spans="1:33" ht="14.25" hidden="1" x14ac:dyDescent="0.2">
      <c r="A1568" s="18" t="str">
        <f t="array" ref="A1568">IF(G1568='Room Info'!$B$1, INDEX('Room Info'!$A$2:$A2446, MATCH(B1568,'Room Info'!$B$2:$B2446, 0)),IF(G1568='Room Info'!$C$1, INDEX('Room Info'!$A$2:$A2446, MATCH(B1568,'Room Info'!$C$2:$C2446, 0)),IF(G1568='Room Info'!$D$1, INDEX('Room Info'!$A$2:$A2446, MATCH(B1568,'Room Info'!$D$2:$D2446, 0)),IF(G1568='Room Info'!$E$1, INDEX('Room Info'!$A$2:$A2446, MATCH(B1568,'Room Info'!$E$2:$E2446, 0)),IF(G1568='Room Info'!$F$1, INDEX('Room Info'!$A$2:$A2446, MATCH(B1568,'Room Info'!$F$2:$F2446, 0)),IF(G1568='Room Info'!$H$1, INDEX('Room Info'!$A$2:$A2446, MATCH(B1568,'Room Info'!$H$2:$H2446, 0)),IF(G1568='Room Info'!$G$1, INDEX('Room Info'!$A$2:$A2446, MATCH(B1568,'Room Info'!$G$2:$G2446, 0)))))))))</f>
        <v>guilexperi</v>
      </c>
      <c r="B1568" s="54" t="s">
        <v>208</v>
      </c>
      <c r="C1568" s="111">
        <v>44958</v>
      </c>
      <c r="D1568" s="111">
        <v>44985</v>
      </c>
      <c r="E1568" s="80">
        <v>44958</v>
      </c>
      <c r="F1568" s="96" t="s">
        <v>49</v>
      </c>
      <c r="G1568" s="65" t="s">
        <v>35</v>
      </c>
      <c r="H1568" s="49" t="s">
        <v>210</v>
      </c>
      <c r="I1568" s="91" t="s">
        <v>174</v>
      </c>
      <c r="J1568" s="39">
        <v>500</v>
      </c>
      <c r="K1568" s="51">
        <v>21</v>
      </c>
      <c r="L1568" s="52">
        <v>-1620</v>
      </c>
      <c r="M1568" s="62">
        <v>97.218596131104462</v>
      </c>
      <c r="N1568" s="28">
        <f>K1568*J1568</f>
        <v>10500</v>
      </c>
      <c r="O1568" s="54">
        <v>-474</v>
      </c>
      <c r="P1568" s="29">
        <v>-22.571428569999998</v>
      </c>
      <c r="Q1568" s="55"/>
      <c r="R1568" s="31">
        <f>M1568+Q1568*J1568*K1568*0.07</f>
        <v>97.218596131104462</v>
      </c>
      <c r="S1568" s="56">
        <v>-526</v>
      </c>
      <c r="T1568" s="32">
        <f>IF(AND(AD1568="EUR", F1568="Without EV deal"), R1568 + L1568,
IF(AND(AD1568="USD", F1568="Without EV deal"), R1568 + L1568,
IF(AND(AD1568="EUR", F1568="Steel Phoenix"), R1568 + S1568/U1568,
R1568 + S1568)))</f>
        <v>-428.78140386889555</v>
      </c>
      <c r="U1568" s="57">
        <v>1.0617000000000001</v>
      </c>
      <c r="V1568" s="69"/>
      <c r="W1568" s="69"/>
      <c r="X1568" s="30" t="b">
        <f>IF(AF1568="DoEV",IF(AND(V1568&lt;20,W1568&lt;55),0.3,0)+IF(AND(V1568&lt;20,W1568&gt;=55,W1568&lt;105),0.23,0)+IF(AND(V1568&lt;20,W1568&gt;=105),0.17,0)+IF(AND(V1568&gt;=20,V1568&lt;40,W1568&lt;45),0.3,0)+IF(AND(V1568&gt;=20,V1568&lt;40,W1568&gt;=45,W1568&lt;95),0.23,0)+IF(AND(V1568&gt;=20,V1568&lt;40,W1568&gt;=95),0.17,0)+IF(AND(V1568&gt;=40,V1568&lt;75,W1568&lt;35),0.3,0)+IF(AND(V1568&gt;=40,V1568&lt;75,W1568&gt;=35,W1568&lt;75),0.23,0)+IF(AND(V1568&gt;=40,V1568&lt;75,W1568&gt;=75,W1568&lt;120),0.17,0)+IF(AND(V1568&gt;=40,V1568&lt;75,W1568&gt;=120),0.12,0)+IF(AND(V1568&gt;=75,V1568&lt;175,W1568&lt;35),0.3,0)+IF(AND(V1568&gt;=75,V1568&lt;=175,W1568&gt;=35,W1568&lt;65),0.23,0)+IF(AND(V1568&gt;=75,V1568&lt;=175,W1568&gt;=65,W1568&lt;110),0.17,0)+IF(AND(V1568&gt;=75,V1568&lt;=175,W1568&gt;=110),0.12,0)+IF(AND(V1568&gt;175,W1568&lt;25),0.3,0)+IF(AND(V1568&gt;175,W1568&gt;=25,W1568&lt;55),0.23,0)+IF(AND(V1568&gt;175,W1568&gt;=55,W1568&lt;95),0.17,0)+IF(AND(V1568&gt;175,W1568&gt;=95),0.12,0),
IF(AF1568="Fix15",0.15,
IF(AF1568="Fix5",0.05,
IF(AF1568="Fix18.75",0.1875,
IF(AF1568="Fix11.25",0.1125,
IF(AF1568="Fix10",0.1,
IF(AF1568="Fix9",0.09,
IF(AF1568="Fix12",0.12,
IF(AF1568="Fix19",0.19,
IF(AF1568="DoEV2017",IF(AND(W1568&lt;74),0.2,0)+IF(AND(W1568&gt;=74),0.17,0),
IF(AF1568="SF",IF(AND(V1568&lt;20,W1568&lt;89),0.3,0)+IF(AND(V1568&lt;20,W1568&gt;=89),0.25,0)+IF(AND(V1568&gt;=20,V1568&lt;40,W1568&lt;74),0.3,0)+IF(AND(V1568&gt;=20,V1568&lt;40,W1568&gt;=75),0.22,0)+IF(AND(V1568&gt;=40,V1568&lt;75,W1568&lt;75),0.26,0)+IF(AND(V1568&gt;=40,V1568&lt;75,W1568&gt;=75),0.22,0)+IF(V1568&gt;=75,0.22,0),
IF(AF1568="DoEVold",IF(AND(V1568&lt;40,W1568&lt;35),0.35,0)+IF(AND(V1568&lt;40,W1568&gt;=35,W1568&lt;75),0.25,0)+IF(AND(V1568&lt;40,W1568&gt;=75),0.17,0)+IF(AND(V1568&gt;=40,V1568&lt;75,W1568&lt;25),0.35,0)+IF(AND(V1568&gt;=40,V1568&lt;75,W1568&gt;=25,W1568&lt;65),0.25,0)+IF(AND(V1568&gt;=40,V1568&lt;75,W1568&gt;=65,W1568&lt;100),0.17,0)+IF(AND(V1568&gt;=40,V1568&lt;75,W1568&gt;=100),0.1,0)+IF(AND(V1568&gt;=75,W1568&lt;25),0.35,0)+IF(AND(V1568&gt;=75,W1568&gt;=25,W1568&lt;60),0.25,0)+IF(AND(V1568&gt;=75,W1568&gt;=60,W1568&lt;95),0.17,0)+IF(AND(V1568&gt;=75,W1568&gt;=95),0.1,0),
IF(AF1568="DoEVold15",IF(AND(V1568&lt;=40,W1568&lt;35),0.35,0)+IF(AND(V1568&lt;=40,W1568&gt;=35,W1568&lt;75),0.25,0)+IF(AND(V1568&lt;=40,W1568&gt;=75,W1568&lt;120),0.17,0)+IF(AND(V1568&lt;=40,W1568&gt;=120),0.15,0)+IF(AND(V1568&gt;40,V1568&lt;75,W1568&lt;25),0.35,0)+IF(AND(V1568&gt;=40,V1568&lt;75,W1568&gt;=25,W1568&lt;65),0.25,0)+IF(AND(V1568&gt;=40,V1568&lt;75,W1568&gt;=65,W1568&lt;100),0.17,0)+IF(AND(V1568&gt;=40,V1568&lt;75,W1568&gt;=100),0.1,0)+IF(AND(V1568&gt;=75,W1568&lt;25),0.35,0)+IF(AND(V1568&gt;=75,W1568&gt;=25,W1568&lt;60),0.25,0)+IF(AND(V1568&gt;=75,W1568&gt;=60,W1568&lt;95),0.17,0)+IF(AND(V1568&gt;=75,W1568&gt;=95),0.1,0),
IF(AF1568="DoEVba",IF(AND(V1568&lt;20,W1568&lt;105),0.2,0)+IF(AND(V1568&lt;20,W1568&gt;=105),0.15,0)+IF(AND(V1568&gt;=20,V1568&lt;40,W1568&lt;95),0.2,0)+IF(AND(V1568&gt;=20,V1568&lt;40,W1568&gt;=95,W1568&lt;150),0.15,0)+IF(AND(V1568&gt;=20,V1568&lt;40,W1568&gt;=150),0.12,0)+IF(AND(V1568&gt;=40,V1568&lt;75,W1568&lt;75),0.2,0)+IF(AND(V1568&gt;=40,V1568&lt;75,W1568&gt;=75,W1568&lt;120),0.15,0)+IF(AND(V1568&gt;=40,V1568&lt;75,W1568&gt;=120),0.12,0)+IF(AND(V1568&gt;=75,V1568&lt;175,W1568&lt;65),0.2,0)+IF(AND(V1568&gt;=75,V1568&lt;175,W1568&gt;=65,W1568&lt;110),0.15,0)+IF(AND(V1568&gt;=75,V1568&lt;175,W1568&gt;=110),0.12,0)+IF(AND(V1568&gt;=175,W1568&lt;55),0.2,0)+IF(AND(V1568&gt;=175,W1568&gt;=55,W1568&lt;95),0.15,0)+IF(AND(V1568&gt;=175,W1568&gt;=95),0.12,0),
IF(AF1568="DoEVku",IF(AND(V1568&lt;20,W1568&lt;55),0.23,0)+IF(AND(V1568&lt;20,W1568&gt;=55,W1568&lt;105),0.2,0)+IF(AND(V1568&lt;20,W1568&gt;=105),0.17,0)+IF(AND(V1568&gt;=20,V1568&lt;40,W1568&lt;45),0.23,0)+IF(AND(V1568&gt;=20,V1568&lt;40,W1568&gt;=45,W1568&lt;95),0.2,0)+IF(AND(V1568&gt;=20,V1568&lt;40,W1568&gt;=95,W1568&lt;=150),0.17,0)+IF(AND(V1568&gt;=20,V1568&lt;40,W1568&gt;=150),0.12,0)+IF(AND(V1568&gt;=40,V1568&lt;75,W1568&lt;35),0.23,0)+IF(AND(V1568&gt;=40,V1568&lt;75,W1568&gt;=35,W1568&lt;75),0.2,0)+IF(AND(V1568&gt;=40,V1568&lt;75,W1568&gt;=75,W1568&lt;120),0.17,0)+IF(AND(V1568&gt;=40,V1568&lt;75,W1568&gt;=120),0.12,0)+IF(AND(V1568&gt;=75,V1568&lt;175,W1568&lt;35),0.23,0)+IF(AND(V1568&gt;=75,V1568&lt;=175,W1568&gt;=35,W1568&lt;65),0.2,0)+IF(AND(V1568&gt;=75,V1568&lt;=175,W1568&gt;=65,W1568&lt;110),0.17,0)+IF(AND(V1568&gt;=75,V1568&lt;=175,W1568&gt;=110),0.12,0)+IF(AND(V1568&gt;175,W1568&lt;25),0.23,0)+IF(AND(V1568&gt;175,W1568&gt;=25,W1568&lt;55),0.2,0)+IF(AND(V1568&gt;175,W1568&gt;=55,W1568&lt;95),0.17,0)+IF(AND(V1568&gt;175,W1568&gt;=95),0.12,0),
IF(AF1568="DoEVs1",IF(AND(V1568&lt;20,W1568&lt;55),0.3,0)+IF(AND(V1568&lt;20,W1568&gt;=55,W1568&lt;105),0.23,0)+IF(AND(V1568&lt;20,W1568&gt;=105),0.17,0)+IF(AND(V1568&gt;=20,V1568&lt;40,W1568&lt;45),0.3,0)+IF(AND(V1568&gt;=20,V1568&lt;40,W1568&gt;=45,W1568&lt;95),0.23,0)+IF(AND(V1568&gt;=20,V1568&lt;40,W1568&gt;=95,W1568&lt;=150),0.17,0)+IF(AND(V1568&gt;=20,V1568&lt;40,W1568&gt;=150),0.12,0)+IF(AND(V1568&gt;=40,V1568&lt;75,W1568&lt;35),0.3,0)+IF(AND(V1568&gt;=40,V1568&lt;75,W1568&gt;=35,W1568&lt;75),0.23,0)+IF(AND(V1568&gt;=40,V1568&lt;75,W1568&gt;=75,W1568&lt;120),0.17,0)+IF(AND(V1568&gt;=40,V1568&lt;75,W1568&gt;=120),0.12,0)+IF(AND(V1568&gt;=75,V1568&lt;175,W1568&lt;35),0.3,0)+IF(AND(V1568&gt;=75,V1568&lt;=175,W1568&gt;=35,W1568&lt;65),0.23,0)+IF(AND(V1568&gt;=75,V1568&lt;=175,W1568&gt;=65,W1568&lt;110),0.17,0)+IF(AND(V1568&gt;=75,V1568&lt;=175,W1568&gt;=110),0.12,0)+IF(AND(V1568&gt;175,W1568&lt;25),0.3,0)+IF(AND(V1568&gt;175,W1568&gt;=25,W1568&lt;55),0.23,0)+IF(AND(V1568&gt;175,W1568&gt;=55,W1568&lt;95),0.17,0)+IF(AND(V1568&gt;175,W1568&gt;=95),0.12,0),
IF(AF1568="DoEVsu",IF(AND(V1568&lt;20,W1568&lt;55),0.3,0)+IF(AND(V1568&lt;20,W1568&gt;=55,W1568&lt;105),0.23,0)+IF(AND(V1568&lt;20,W1568&gt;=105),0.17,0)+IF(AND(V1568&gt;=20,V1568&lt;40,W1568&lt;45),0.3,0)+IF(AND(V1568&gt;=20,V1568&lt;40,W1568&gt;=45,W1568&lt;95),0.23,0)+IF(AND(V1568&gt;=20,V1568&lt;40,W1568&gt;=95,W1568&lt;=250),0.17,0)+IF(AND(V1568&gt;=20,V1568&lt;40,W1568&gt;=250),0.12,0)+IF(AND(V1568&gt;=40,V1568&lt;75,W1568&lt;35),0.3,0)+IF(AND(V1568&gt;=40,V1568&lt;75,W1568&gt;=35,W1568&lt;75),0.23,0)+IF(AND(V1568&gt;=40,V1568&lt;75,W1568&gt;=75,W1568&lt;120),0.17,0)+IF(AND(V1568&gt;=40,V1568&lt;75,W1568&gt;=120),0.12,0)+IF(AND(V1568&gt;=75,V1568&lt;175,W1568&lt;35),0.3,0)+IF(AND(V1568&gt;=75,V1568&lt;=175,W1568&gt;=35,W1568&lt;65),0.23,0)+IF(AND(V1568&gt;=75,V1568&lt;=175,W1568&gt;=65,W1568&lt;110),0.17,0)+IF(AND(V1568&gt;=75,V1568&lt;=175,W1568&gt;=110),0.12,0)+IF(AND(V1568&gt;175,W1568&lt;25),0.3,0)+IF(AND(V1568&gt;175,W1568&gt;=25,W1568&lt;55),0.23,0)+IF(AND(V1568&gt;175,W1568&gt;=55,W1568&lt;95),0.17,0)+IF(AND(V1568&gt;175,W1568&gt;=95),0.12,0),
IF(AF1568="DoEVni",IF(AND(V1568&lt;20,W1568&lt;55),0.3,0)+IF(AND(V1568&lt;20,W1568&gt;=55,W1568&lt;105),0.23,0)+IF(AND(V1568&lt;20,W1568&gt;=105),0.17,0)+IF(AND(V1568&gt;=20,V1568&lt;40,W1568&lt;45),0.3,0)+IF(AND(V1568&gt;=20,V1568&lt;40,W1568&gt;=45,W1568&lt;95),0.23,0)+IF(AND(V1568&gt;=20,V1568&lt;40,W1568&gt;=95,W1568&lt;=200),0.17,0)+IF(AND(V1568&gt;=20,V1568&lt;40,W1568&gt;=200),0.12,0)+IF(AND(V1568&gt;=40,V1568&lt;75,W1568&lt;35),0.3,0)+IF(AND(V1568&gt;=40,V1568&lt;75,W1568&gt;=35,W1568&lt;75),0.23,0)+IF(AND(V1568&gt;=40,V1568&lt;75,W1568&gt;=75,W1568&lt;120),0.17,0)+IF(AND(V1568&gt;=40,V1568&lt;75,W1568&gt;=120),0.12,0)+IF(AND(V1568&gt;=75,V1568&lt;175,W1568&lt;35),0.3,0)+IF(AND(V1568&gt;=75,V1568&lt;=175,W1568&gt;=35,W1568&lt;65),0.23,0)+IF(AND(V1568&gt;=75,V1568&lt;=175,W1568&gt;=65,W1568&lt;110),0.17,0)+IF(AND(V1568&gt;=75,V1568&lt;=175,W1568&gt;=110),0.12,0)+IF(AND(V1568&gt;175,W1568&lt;25),0.3,0)+IF(AND(V1568&gt;175,W1568&gt;=25,W1568&lt;55),0.23,0)+IF(AND(V1568&gt;175,W1568&gt;=55,W1568&lt;95),0.17,0)+IF(AND(V1568&gt;175,W1568&gt;=95),0.12,0),
IF(AF1568="DoEVLo",IF(AND(V1568&lt;20,W1568&lt;55),0.25,0)+IF(AND(V1568&lt;20,W1568&gt;=55,W1568&lt;105),0.2,0)+IF(AND(V1568&lt;20,W1568&gt;=105),0.15,0)+IF(AND(V1568&gt;=20,V1568&lt;40,W1568&lt;45),0.25,0)+IF(AND(V1568&gt;=20,V1568&lt;40,W1568&gt;=45,W1568&lt;95),0.2,0)+IF(AND(V1568&gt;=20,V1568&lt;40,W1568&gt;=95),0.15,0)+IF(AND(V1568&gt;=40,V1568&lt;75,W1568&lt;35),0.25,0)+IF(AND(V1568&gt;=40,V1568&lt;75,W1568&gt;=35,W1568&lt;75),0.2,0)+IF(AND(V1568&gt;=40,V1568&lt;75,W1568&gt;=75,W1568&lt;120),0.15,0)+IF(AND(V1568&gt;=40,V1568&lt;75,W1568&gt;=120),0.1,0)+IF(AND(V1568&gt;=75,V1568&lt;175,W1568&lt;35),0.25,0)+IF(AND(V1568&gt;=75,V1568&lt;=175,W1568&gt;=35,W1568&lt;65),0.2,0)+IF(AND(V1568&gt;=75,V1568&lt;=175,W1568&gt;=65,W1568&lt;110),0.15,0)+IF(AND(V1568&gt;=75,V1568&lt;=175,W1568&gt;=110),0.1,0)+IF(AND(V1568&gt;175,W1568&lt;25),0.25,0)+IF(AND(V1568&gt;175,W1568&gt;=25,W1568&lt;55),0.2,0)+IF(AND(V1568&gt;175,W1568&gt;=55,W1568&lt;95),0.15,0)+IF(AND(V1568&gt;175,W1568&gt;=95),0.1,0))))))))))))))))))))</f>
        <v>0</v>
      </c>
      <c r="Y1568" s="30">
        <f>IF(AG1568="None",0,IF(AG1568="Fix5",0.05, IF(AG1568="Fix6.25",0.0625,IF(AG1568="Fix3.75",0.0375, IF(AG1568="Fix11",0.11, IF(AG1568="Fix10",0.1,IF(AG1568="Fix3",0.03,0)))))))</f>
        <v>0</v>
      </c>
      <c r="Z1568" s="35">
        <f>IF(AND(AD1568="EUR", AE1568 = "USD"), T1568*U1568-AA1568-AB1568, T1568-AA1568-AB1568)</f>
        <v>-428.78140386889555</v>
      </c>
      <c r="AA1568" s="29">
        <f>IF(AND(AD1568="EUR", F1568="Without EV deal", AE1568="USD"), (T1568*X1568)*U1568,
IF(AND(AD1568="EUR", F1568="Without EV deal", AE1568="EUR"), (T1568*X1568),
IF(AND(AD1568="EUR",AE1568="USD"), (T1568*X1568)*U1568,
T1568*X1568)))</f>
        <v>0</v>
      </c>
      <c r="AB1568" s="36">
        <f>IF(AND(AD1568="EUR", F1568="Without EV deal", AE1568="USD"), (T1568*Y1568)*U1568,
IF(AND(AD1568="EUR", F1568="Without EV deal", AE1568="EUR"), (T1568*Y1568),
IF(AND(AD1568="EUR",AE1568="USD"), (T1568*Y1568)*U1568,
T1568*Y1568)))</f>
        <v>0</v>
      </c>
      <c r="AC1568" s="37" t="b">
        <v>0</v>
      </c>
      <c r="AD1568" s="82" t="str">
        <f>IF(OR(H1568="€0.25 Flash",
H1568="€0.25(nitro) new",
H1568="€1",
H1568="€2",
H1568="€2 (bf 01.08)",
H1568="€5",
H1568="€5 (1M)",
H1568="€5 (bf 01.08)",
H1568="€5 (bf 05.05)",
H1568="€5 Nitro",
H1568="€5(wx) new",
H1568="€10",
H1568="€10 (1M)",
H1568="€10 (bf 01.08)",
H1568="€10 (bf 05.05)",
H1568="€10 (MP)",
H1568="€10 (old)",
H1568="€10 Nitro (bf 05.05)",
H1568="€10 Nitro (old)",
H1568="€10(wx) new",
H1568="€20",
H1568="€25",
H1568="€25 (bf 01.08)",
H1568="€25 (bf 05.05)",
H1568="€25 (MP)",
H1568="€25 (old)",
H1568="€25 Nitro",
H1568="€25 Nitro (bf 01.08)",
H1568="€25 Nitro (bf 05.05)",
H1568="€25(nitro) new",
H1568="€25(wx) new",
H1568="€50",
H1568="€50 (bf 01.08)",
H1568="€50 (bf 05.05)",
H1568="€50 (old)",
H1568="€50 Nitro",
H1568="€50 Nitro (bf 01.08)",
H1568="€50 Nitro (bf 05.05)",
H1568="€50(wx) new",
H1568="€100",
H1568="€100 (old)",
H1568="€100 Nitro",
H1568="€100 Nitro (old)",
H1568="€200",
H1568="€250",
H1568="€250 Nitro",
H1568="€500",
H1568="€500 Nitro"),"EUR", "USD")</f>
        <v>USD</v>
      </c>
      <c r="AE1568" s="83" t="s">
        <v>38</v>
      </c>
      <c r="AF1568" s="83" t="str">
        <f t="array" ref="AF1568">INDEX('Deal Info'!D:D, MATCH(A1568,'Deal Info'!A:A, 0))</f>
        <v>None</v>
      </c>
      <c r="AG1568" s="84" t="str">
        <f t="array" ref="AG1568">INDEX('Deal Info'!G:G, MATCH(A1568,'Deal Info'!A:A, 0))</f>
        <v>guilexperi</v>
      </c>
    </row>
    <row r="1569" spans="1:33" ht="14.25" hidden="1" x14ac:dyDescent="0.2">
      <c r="A1569" s="18" t="str">
        <f t="array" ref="A1569">IF(G1569='Room Info'!$B$1, INDEX('Room Info'!$A$2:$A2446, MATCH(B1569,'Room Info'!$B$2:$B2446, 0)),IF(G1569='Room Info'!$C$1, INDEX('Room Info'!$A$2:$A2446, MATCH(B1569,'Room Info'!$C$2:$C2446, 0)),IF(G1569='Room Info'!$D$1, INDEX('Room Info'!$A$2:$A2446, MATCH(B1569,'Room Info'!$D$2:$D2446, 0)),IF(G1569='Room Info'!$E$1, INDEX('Room Info'!$A$2:$A2446, MATCH(B1569,'Room Info'!$E$2:$E2446, 0)),IF(G1569='Room Info'!$F$1, INDEX('Room Info'!$A$2:$A2446, MATCH(B1569,'Room Info'!$F$2:$F2446, 0)),IF(G1569='Room Info'!$H$1, INDEX('Room Info'!$A$2:$A2446, MATCH(B1569,'Room Info'!$H$2:$H2446, 0)),IF(G1569='Room Info'!$G$1, INDEX('Room Info'!$A$2:$A2446, MATCH(B1569,'Room Info'!$G$2:$G2446, 0)))))))))</f>
        <v>guilexperi</v>
      </c>
      <c r="B1569" s="54" t="s">
        <v>208</v>
      </c>
      <c r="C1569" s="111">
        <v>44958</v>
      </c>
      <c r="D1569" s="111">
        <v>44985</v>
      </c>
      <c r="E1569" s="80">
        <v>44958</v>
      </c>
      <c r="F1569" s="96" t="s">
        <v>49</v>
      </c>
      <c r="G1569" s="65" t="s">
        <v>35</v>
      </c>
      <c r="H1569" s="49" t="s">
        <v>209</v>
      </c>
      <c r="I1569" s="91" t="s">
        <v>174</v>
      </c>
      <c r="J1569" s="39">
        <v>1000</v>
      </c>
      <c r="K1569" s="51">
        <v>17</v>
      </c>
      <c r="L1569" s="52">
        <v>799</v>
      </c>
      <c r="M1569" s="62">
        <v>131.99513241338067</v>
      </c>
      <c r="N1569" s="28">
        <f>K1569*J1569</f>
        <v>17000</v>
      </c>
      <c r="O1569" s="54">
        <v>-66</v>
      </c>
      <c r="P1569" s="29">
        <v>-3.8823529410000002</v>
      </c>
      <c r="Q1569" s="55"/>
      <c r="R1569" s="31">
        <f>M1569+Q1569*J1569*K1569*0.07</f>
        <v>131.99513241338067</v>
      </c>
      <c r="S1569" s="56">
        <v>-189</v>
      </c>
      <c r="T1569" s="32">
        <f>IF(AND(AD1569="EUR", F1569="Without EV deal"), R1569 + L1569,
IF(AND(AD1569="USD", F1569="Without EV deal"), R1569 + L1569,
IF(AND(AD1569="EUR", F1569="Steel Phoenix"), R1569 + S1569/U1569,
R1569 + S1569)))</f>
        <v>-57.004867586619326</v>
      </c>
      <c r="U1569" s="57">
        <v>1.0617000000000001</v>
      </c>
      <c r="V1569" s="69"/>
      <c r="W1569" s="69"/>
      <c r="X1569" s="30" t="b">
        <f>IF(AF1569="DoEV",IF(AND(V1569&lt;20,W1569&lt;55),0.3,0)+IF(AND(V1569&lt;20,W1569&gt;=55,W1569&lt;105),0.23,0)+IF(AND(V1569&lt;20,W1569&gt;=105),0.17,0)+IF(AND(V1569&gt;=20,V1569&lt;40,W1569&lt;45),0.3,0)+IF(AND(V1569&gt;=20,V1569&lt;40,W1569&gt;=45,W1569&lt;95),0.23,0)+IF(AND(V1569&gt;=20,V1569&lt;40,W1569&gt;=95),0.17,0)+IF(AND(V1569&gt;=40,V1569&lt;75,W1569&lt;35),0.3,0)+IF(AND(V1569&gt;=40,V1569&lt;75,W1569&gt;=35,W1569&lt;75),0.23,0)+IF(AND(V1569&gt;=40,V1569&lt;75,W1569&gt;=75,W1569&lt;120),0.17,0)+IF(AND(V1569&gt;=40,V1569&lt;75,W1569&gt;=120),0.12,0)+IF(AND(V1569&gt;=75,V1569&lt;175,W1569&lt;35),0.3,0)+IF(AND(V1569&gt;=75,V1569&lt;=175,W1569&gt;=35,W1569&lt;65),0.23,0)+IF(AND(V1569&gt;=75,V1569&lt;=175,W1569&gt;=65,W1569&lt;110),0.17,0)+IF(AND(V1569&gt;=75,V1569&lt;=175,W1569&gt;=110),0.12,0)+IF(AND(V1569&gt;175,W1569&lt;25),0.3,0)+IF(AND(V1569&gt;175,W1569&gt;=25,W1569&lt;55),0.23,0)+IF(AND(V1569&gt;175,W1569&gt;=55,W1569&lt;95),0.17,0)+IF(AND(V1569&gt;175,W1569&gt;=95),0.12,0),
IF(AF1569="Fix15",0.15,
IF(AF1569="Fix5",0.05,
IF(AF1569="Fix18.75",0.1875,
IF(AF1569="Fix11.25",0.1125,
IF(AF1569="Fix10",0.1,
IF(AF1569="Fix9",0.09,
IF(AF1569="Fix12",0.12,
IF(AF1569="Fix19",0.19,
IF(AF1569="DoEV2017",IF(AND(W1569&lt;74),0.2,0)+IF(AND(W1569&gt;=74),0.17,0),
IF(AF1569="SF",IF(AND(V1569&lt;20,W1569&lt;89),0.3,0)+IF(AND(V1569&lt;20,W1569&gt;=89),0.25,0)+IF(AND(V1569&gt;=20,V1569&lt;40,W1569&lt;74),0.3,0)+IF(AND(V1569&gt;=20,V1569&lt;40,W1569&gt;=75),0.22,0)+IF(AND(V1569&gt;=40,V1569&lt;75,W1569&lt;75),0.26,0)+IF(AND(V1569&gt;=40,V1569&lt;75,W1569&gt;=75),0.22,0)+IF(V1569&gt;=75,0.22,0),
IF(AF1569="DoEVold",IF(AND(V1569&lt;40,W1569&lt;35),0.35,0)+IF(AND(V1569&lt;40,W1569&gt;=35,W1569&lt;75),0.25,0)+IF(AND(V1569&lt;40,W1569&gt;=75),0.17,0)+IF(AND(V1569&gt;=40,V1569&lt;75,W1569&lt;25),0.35,0)+IF(AND(V1569&gt;=40,V1569&lt;75,W1569&gt;=25,W1569&lt;65),0.25,0)+IF(AND(V1569&gt;=40,V1569&lt;75,W1569&gt;=65,W1569&lt;100),0.17,0)+IF(AND(V1569&gt;=40,V1569&lt;75,W1569&gt;=100),0.1,0)+IF(AND(V1569&gt;=75,W1569&lt;25),0.35,0)+IF(AND(V1569&gt;=75,W1569&gt;=25,W1569&lt;60),0.25,0)+IF(AND(V1569&gt;=75,W1569&gt;=60,W1569&lt;95),0.17,0)+IF(AND(V1569&gt;=75,W1569&gt;=95),0.1,0),
IF(AF1569="DoEVold15",IF(AND(V1569&lt;=40,W1569&lt;35),0.35,0)+IF(AND(V1569&lt;=40,W1569&gt;=35,W1569&lt;75),0.25,0)+IF(AND(V1569&lt;=40,W1569&gt;=75,W1569&lt;120),0.17,0)+IF(AND(V1569&lt;=40,W1569&gt;=120),0.15,0)+IF(AND(V1569&gt;40,V1569&lt;75,W1569&lt;25),0.35,0)+IF(AND(V1569&gt;=40,V1569&lt;75,W1569&gt;=25,W1569&lt;65),0.25,0)+IF(AND(V1569&gt;=40,V1569&lt;75,W1569&gt;=65,W1569&lt;100),0.17,0)+IF(AND(V1569&gt;=40,V1569&lt;75,W1569&gt;=100),0.1,0)+IF(AND(V1569&gt;=75,W1569&lt;25),0.35,0)+IF(AND(V1569&gt;=75,W1569&gt;=25,W1569&lt;60),0.25,0)+IF(AND(V1569&gt;=75,W1569&gt;=60,W1569&lt;95),0.17,0)+IF(AND(V1569&gt;=75,W1569&gt;=95),0.1,0),
IF(AF1569="DoEVba",IF(AND(V1569&lt;20,W1569&lt;105),0.2,0)+IF(AND(V1569&lt;20,W1569&gt;=105),0.15,0)+IF(AND(V1569&gt;=20,V1569&lt;40,W1569&lt;95),0.2,0)+IF(AND(V1569&gt;=20,V1569&lt;40,W1569&gt;=95,W1569&lt;150),0.15,0)+IF(AND(V1569&gt;=20,V1569&lt;40,W1569&gt;=150),0.12,0)+IF(AND(V1569&gt;=40,V1569&lt;75,W1569&lt;75),0.2,0)+IF(AND(V1569&gt;=40,V1569&lt;75,W1569&gt;=75,W1569&lt;120),0.15,0)+IF(AND(V1569&gt;=40,V1569&lt;75,W1569&gt;=120),0.12,0)+IF(AND(V1569&gt;=75,V1569&lt;175,W1569&lt;65),0.2,0)+IF(AND(V1569&gt;=75,V1569&lt;175,W1569&gt;=65,W1569&lt;110),0.15,0)+IF(AND(V1569&gt;=75,V1569&lt;175,W1569&gt;=110),0.12,0)+IF(AND(V1569&gt;=175,W1569&lt;55),0.2,0)+IF(AND(V1569&gt;=175,W1569&gt;=55,W1569&lt;95),0.15,0)+IF(AND(V1569&gt;=175,W1569&gt;=95),0.12,0),
IF(AF1569="DoEVku",IF(AND(V1569&lt;20,W1569&lt;55),0.23,0)+IF(AND(V1569&lt;20,W1569&gt;=55,W1569&lt;105),0.2,0)+IF(AND(V1569&lt;20,W1569&gt;=105),0.17,0)+IF(AND(V1569&gt;=20,V1569&lt;40,W1569&lt;45),0.23,0)+IF(AND(V1569&gt;=20,V1569&lt;40,W1569&gt;=45,W1569&lt;95),0.2,0)+IF(AND(V1569&gt;=20,V1569&lt;40,W1569&gt;=95,W1569&lt;=150),0.17,0)+IF(AND(V1569&gt;=20,V1569&lt;40,W1569&gt;=150),0.12,0)+IF(AND(V1569&gt;=40,V1569&lt;75,W1569&lt;35),0.23,0)+IF(AND(V1569&gt;=40,V1569&lt;75,W1569&gt;=35,W1569&lt;75),0.2,0)+IF(AND(V1569&gt;=40,V1569&lt;75,W1569&gt;=75,W1569&lt;120),0.17,0)+IF(AND(V1569&gt;=40,V1569&lt;75,W1569&gt;=120),0.12,0)+IF(AND(V1569&gt;=75,V1569&lt;175,W1569&lt;35),0.23,0)+IF(AND(V1569&gt;=75,V1569&lt;=175,W1569&gt;=35,W1569&lt;65),0.2,0)+IF(AND(V1569&gt;=75,V1569&lt;=175,W1569&gt;=65,W1569&lt;110),0.17,0)+IF(AND(V1569&gt;=75,V1569&lt;=175,W1569&gt;=110),0.12,0)+IF(AND(V1569&gt;175,W1569&lt;25),0.23,0)+IF(AND(V1569&gt;175,W1569&gt;=25,W1569&lt;55),0.2,0)+IF(AND(V1569&gt;175,W1569&gt;=55,W1569&lt;95),0.17,0)+IF(AND(V1569&gt;175,W1569&gt;=95),0.12,0),
IF(AF1569="DoEVs1",IF(AND(V1569&lt;20,W1569&lt;55),0.3,0)+IF(AND(V1569&lt;20,W1569&gt;=55,W1569&lt;105),0.23,0)+IF(AND(V1569&lt;20,W1569&gt;=105),0.17,0)+IF(AND(V1569&gt;=20,V1569&lt;40,W1569&lt;45),0.3,0)+IF(AND(V1569&gt;=20,V1569&lt;40,W1569&gt;=45,W1569&lt;95),0.23,0)+IF(AND(V1569&gt;=20,V1569&lt;40,W1569&gt;=95,W1569&lt;=150),0.17,0)+IF(AND(V1569&gt;=20,V1569&lt;40,W1569&gt;=150),0.12,0)+IF(AND(V1569&gt;=40,V1569&lt;75,W1569&lt;35),0.3,0)+IF(AND(V1569&gt;=40,V1569&lt;75,W1569&gt;=35,W1569&lt;75),0.23,0)+IF(AND(V1569&gt;=40,V1569&lt;75,W1569&gt;=75,W1569&lt;120),0.17,0)+IF(AND(V1569&gt;=40,V1569&lt;75,W1569&gt;=120),0.12,0)+IF(AND(V1569&gt;=75,V1569&lt;175,W1569&lt;35),0.3,0)+IF(AND(V1569&gt;=75,V1569&lt;=175,W1569&gt;=35,W1569&lt;65),0.23,0)+IF(AND(V1569&gt;=75,V1569&lt;=175,W1569&gt;=65,W1569&lt;110),0.17,0)+IF(AND(V1569&gt;=75,V1569&lt;=175,W1569&gt;=110),0.12,0)+IF(AND(V1569&gt;175,W1569&lt;25),0.3,0)+IF(AND(V1569&gt;175,W1569&gt;=25,W1569&lt;55),0.23,0)+IF(AND(V1569&gt;175,W1569&gt;=55,W1569&lt;95),0.17,0)+IF(AND(V1569&gt;175,W1569&gt;=95),0.12,0),
IF(AF1569="DoEVsu",IF(AND(V1569&lt;20,W1569&lt;55),0.3,0)+IF(AND(V1569&lt;20,W1569&gt;=55,W1569&lt;105),0.23,0)+IF(AND(V1569&lt;20,W1569&gt;=105),0.17,0)+IF(AND(V1569&gt;=20,V1569&lt;40,W1569&lt;45),0.3,0)+IF(AND(V1569&gt;=20,V1569&lt;40,W1569&gt;=45,W1569&lt;95),0.23,0)+IF(AND(V1569&gt;=20,V1569&lt;40,W1569&gt;=95,W1569&lt;=250),0.17,0)+IF(AND(V1569&gt;=20,V1569&lt;40,W1569&gt;=250),0.12,0)+IF(AND(V1569&gt;=40,V1569&lt;75,W1569&lt;35),0.3,0)+IF(AND(V1569&gt;=40,V1569&lt;75,W1569&gt;=35,W1569&lt;75),0.23,0)+IF(AND(V1569&gt;=40,V1569&lt;75,W1569&gt;=75,W1569&lt;120),0.17,0)+IF(AND(V1569&gt;=40,V1569&lt;75,W1569&gt;=120),0.12,0)+IF(AND(V1569&gt;=75,V1569&lt;175,W1569&lt;35),0.3,0)+IF(AND(V1569&gt;=75,V1569&lt;=175,W1569&gt;=35,W1569&lt;65),0.23,0)+IF(AND(V1569&gt;=75,V1569&lt;=175,W1569&gt;=65,W1569&lt;110),0.17,0)+IF(AND(V1569&gt;=75,V1569&lt;=175,W1569&gt;=110),0.12,0)+IF(AND(V1569&gt;175,W1569&lt;25),0.3,0)+IF(AND(V1569&gt;175,W1569&gt;=25,W1569&lt;55),0.23,0)+IF(AND(V1569&gt;175,W1569&gt;=55,W1569&lt;95),0.17,0)+IF(AND(V1569&gt;175,W1569&gt;=95),0.12,0),
IF(AF1569="DoEVni",IF(AND(V1569&lt;20,W1569&lt;55),0.3,0)+IF(AND(V1569&lt;20,W1569&gt;=55,W1569&lt;105),0.23,0)+IF(AND(V1569&lt;20,W1569&gt;=105),0.17,0)+IF(AND(V1569&gt;=20,V1569&lt;40,W1569&lt;45),0.3,0)+IF(AND(V1569&gt;=20,V1569&lt;40,W1569&gt;=45,W1569&lt;95),0.23,0)+IF(AND(V1569&gt;=20,V1569&lt;40,W1569&gt;=95,W1569&lt;=200),0.17,0)+IF(AND(V1569&gt;=20,V1569&lt;40,W1569&gt;=200),0.12,0)+IF(AND(V1569&gt;=40,V1569&lt;75,W1569&lt;35),0.3,0)+IF(AND(V1569&gt;=40,V1569&lt;75,W1569&gt;=35,W1569&lt;75),0.23,0)+IF(AND(V1569&gt;=40,V1569&lt;75,W1569&gt;=75,W1569&lt;120),0.17,0)+IF(AND(V1569&gt;=40,V1569&lt;75,W1569&gt;=120),0.12,0)+IF(AND(V1569&gt;=75,V1569&lt;175,W1569&lt;35),0.3,0)+IF(AND(V1569&gt;=75,V1569&lt;=175,W1569&gt;=35,W1569&lt;65),0.23,0)+IF(AND(V1569&gt;=75,V1569&lt;=175,W1569&gt;=65,W1569&lt;110),0.17,0)+IF(AND(V1569&gt;=75,V1569&lt;=175,W1569&gt;=110),0.12,0)+IF(AND(V1569&gt;175,W1569&lt;25),0.3,0)+IF(AND(V1569&gt;175,W1569&gt;=25,W1569&lt;55),0.23,0)+IF(AND(V1569&gt;175,W1569&gt;=55,W1569&lt;95),0.17,0)+IF(AND(V1569&gt;175,W1569&gt;=95),0.12,0),
IF(AF1569="DoEVLo",IF(AND(V1569&lt;20,W1569&lt;55),0.25,0)+IF(AND(V1569&lt;20,W1569&gt;=55,W1569&lt;105),0.2,0)+IF(AND(V1569&lt;20,W1569&gt;=105),0.15,0)+IF(AND(V1569&gt;=20,V1569&lt;40,W1569&lt;45),0.25,0)+IF(AND(V1569&gt;=20,V1569&lt;40,W1569&gt;=45,W1569&lt;95),0.2,0)+IF(AND(V1569&gt;=20,V1569&lt;40,W1569&gt;=95),0.15,0)+IF(AND(V1569&gt;=40,V1569&lt;75,W1569&lt;35),0.25,0)+IF(AND(V1569&gt;=40,V1569&lt;75,W1569&gt;=35,W1569&lt;75),0.2,0)+IF(AND(V1569&gt;=40,V1569&lt;75,W1569&gt;=75,W1569&lt;120),0.15,0)+IF(AND(V1569&gt;=40,V1569&lt;75,W1569&gt;=120),0.1,0)+IF(AND(V1569&gt;=75,V1569&lt;175,W1569&lt;35),0.25,0)+IF(AND(V1569&gt;=75,V1569&lt;=175,W1569&gt;=35,W1569&lt;65),0.2,0)+IF(AND(V1569&gt;=75,V1569&lt;=175,W1569&gt;=65,W1569&lt;110),0.15,0)+IF(AND(V1569&gt;=75,V1569&lt;=175,W1569&gt;=110),0.1,0)+IF(AND(V1569&gt;175,W1569&lt;25),0.25,0)+IF(AND(V1569&gt;175,W1569&gt;=25,W1569&lt;55),0.2,0)+IF(AND(V1569&gt;175,W1569&gt;=55,W1569&lt;95),0.15,0)+IF(AND(V1569&gt;175,W1569&gt;=95),0.1,0))))))))))))))))))))</f>
        <v>0</v>
      </c>
      <c r="Y1569" s="30">
        <f>IF(AG1569="None",0,IF(AG1569="Fix5",0.05, IF(AG1569="Fix6.25",0.0625,IF(AG1569="Fix3.75",0.0375, IF(AG1569="Fix11",0.11, IF(AG1569="Fix10",0.1,IF(AG1569="Fix3",0.03,0)))))))</f>
        <v>0</v>
      </c>
      <c r="Z1569" s="35">
        <f>IF(AND(AD1569="EUR", AE1569 = "USD"), T1569*U1569-AA1569-AB1569, T1569-AA1569-AB1569)</f>
        <v>-57.004867586619326</v>
      </c>
      <c r="AA1569" s="29">
        <f>IF(AND(AD1569="EUR", F1569="Without EV deal", AE1569="USD"), (T1569*X1569)*U1569,
IF(AND(AD1569="EUR", F1569="Without EV deal", AE1569="EUR"), (T1569*X1569),
IF(AND(AD1569="EUR",AE1569="USD"), (T1569*X1569)*U1569,
T1569*X1569)))</f>
        <v>0</v>
      </c>
      <c r="AB1569" s="36">
        <f>IF(AND(AD1569="EUR", F1569="Without EV deal", AE1569="USD"), (T1569*Y1569)*U1569,
IF(AND(AD1569="EUR", F1569="Without EV deal", AE1569="EUR"), (T1569*Y1569),
IF(AND(AD1569="EUR",AE1569="USD"), (T1569*Y1569)*U1569,
T1569*Y1569)))</f>
        <v>0</v>
      </c>
      <c r="AC1569" s="37" t="b">
        <v>0</v>
      </c>
      <c r="AD1569" s="82" t="str">
        <f>IF(OR(H1569="€0.25 Flash",
H1569="€0.25(nitro) new",
H1569="€1",
H1569="€2",
H1569="€2 (bf 01.08)",
H1569="€5",
H1569="€5 (1M)",
H1569="€5 (bf 01.08)",
H1569="€5 (bf 05.05)",
H1569="€5 Nitro",
H1569="€5(wx) new",
H1569="€10",
H1569="€10 (1M)",
H1569="€10 (bf 01.08)",
H1569="€10 (bf 05.05)",
H1569="€10 (MP)",
H1569="€10 (old)",
H1569="€10 Nitro (bf 05.05)",
H1569="€10 Nitro (old)",
H1569="€10(wx) new",
H1569="€20",
H1569="€25",
H1569="€25 (bf 01.08)",
H1569="€25 (bf 05.05)",
H1569="€25 (MP)",
H1569="€25 (old)",
H1569="€25 Nitro",
H1569="€25 Nitro (bf 01.08)",
H1569="€25 Nitro (bf 05.05)",
H1569="€25(nitro) new",
H1569="€25(wx) new",
H1569="€50",
H1569="€50 (bf 01.08)",
H1569="€50 (bf 05.05)",
H1569="€50 (old)",
H1569="€50 Nitro",
H1569="€50 Nitro (bf 01.08)",
H1569="€50 Nitro (bf 05.05)",
H1569="€50(wx) new",
H1569="€100",
H1569="€100 (old)",
H1569="€100 Nitro",
H1569="€100 Nitro (old)",
H1569="€200",
H1569="€250",
H1569="€250 Nitro",
H1569="€500",
H1569="€500 Nitro"),"EUR", "USD")</f>
        <v>USD</v>
      </c>
      <c r="AE1569" s="83" t="s">
        <v>38</v>
      </c>
      <c r="AF1569" s="83" t="str">
        <f t="array" ref="AF1569">INDEX('Deal Info'!D:D, MATCH(A1569,'Deal Info'!A:A, 0))</f>
        <v>None</v>
      </c>
      <c r="AG1569" s="84" t="str">
        <f t="array" ref="AG1569">INDEX('Deal Info'!G:G, MATCH(A1569,'Deal Info'!A:A, 0))</f>
        <v>guilexperi</v>
      </c>
    </row>
    <row r="1570" spans="1:33" ht="14.25" hidden="1" x14ac:dyDescent="0.2">
      <c r="A1570" s="18" t="str">
        <f t="array" ref="A1570">IF(G1570='Room Info'!$B$1, INDEX('Room Info'!$A$2:$A2446, MATCH(B1570,'Room Info'!$B$2:$B2446, 0)),IF(G1570='Room Info'!$C$1, INDEX('Room Info'!$A$2:$A2446, MATCH(B1570,'Room Info'!$C$2:$C2446, 0)),IF(G1570='Room Info'!$D$1, INDEX('Room Info'!$A$2:$A2446, MATCH(B1570,'Room Info'!$D$2:$D2446, 0)),IF(G1570='Room Info'!$E$1, INDEX('Room Info'!$A$2:$A2446, MATCH(B1570,'Room Info'!$E$2:$E2446, 0)),IF(G1570='Room Info'!$F$1, INDEX('Room Info'!$A$2:$A2446, MATCH(B1570,'Room Info'!$F$2:$F2446, 0)),IF(G1570='Room Info'!$H$1, INDEX('Room Info'!$A$2:$A2446, MATCH(B1570,'Room Info'!$H$2:$H2446, 0)),IF(G1570='Room Info'!$G$1, INDEX('Room Info'!$A$2:$A2446, MATCH(B1570,'Room Info'!$G$2:$G2446, 0)))))))))</f>
        <v>guilexperi</v>
      </c>
      <c r="B1570" s="54" t="s">
        <v>208</v>
      </c>
      <c r="C1570" s="111">
        <v>44958</v>
      </c>
      <c r="D1570" s="111">
        <v>44985</v>
      </c>
      <c r="E1570" s="80">
        <v>44958</v>
      </c>
      <c r="F1570" s="96" t="s">
        <v>49</v>
      </c>
      <c r="G1570" s="65" t="s">
        <v>35</v>
      </c>
      <c r="H1570" s="54" t="s">
        <v>143</v>
      </c>
      <c r="I1570" s="100" t="s">
        <v>37</v>
      </c>
      <c r="J1570" s="39">
        <v>1000</v>
      </c>
      <c r="K1570" s="51">
        <v>165</v>
      </c>
      <c r="L1570" s="52">
        <v>4000</v>
      </c>
      <c r="M1570" s="62">
        <v>5734.6876739711979</v>
      </c>
      <c r="N1570" s="28">
        <f>K1570*J1570</f>
        <v>165000</v>
      </c>
      <c r="O1570" s="54">
        <v>9330</v>
      </c>
      <c r="P1570" s="29">
        <v>56.545454550000002</v>
      </c>
      <c r="Q1570" s="55"/>
      <c r="R1570" s="31">
        <f>M1570+Q1570*J1570*K1570*0.07</f>
        <v>5734.6876739711979</v>
      </c>
      <c r="S1570" s="56">
        <v>10508</v>
      </c>
      <c r="T1570" s="32">
        <f>IF(AND(AD1570="EUR", F1570="Without EV deal"), R1570 + L1570,
IF(AND(AD1570="USD", F1570="Without EV deal"), R1570 + L1570,
IF(AND(AD1570="EUR", F1570="Steel Phoenix"), R1570 + S1570/U1570,
R1570 + S1570)))</f>
        <v>16242.687673971199</v>
      </c>
      <c r="U1570" s="57">
        <v>1.0617000000000001</v>
      </c>
      <c r="V1570" s="69"/>
      <c r="W1570" s="69"/>
      <c r="X1570" s="30" t="b">
        <f>IF(AF1570="DoEV",IF(AND(V1570&lt;20,W1570&lt;55),0.3,0)+IF(AND(V1570&lt;20,W1570&gt;=55,W1570&lt;105),0.23,0)+IF(AND(V1570&lt;20,W1570&gt;=105),0.17,0)+IF(AND(V1570&gt;=20,V1570&lt;40,W1570&lt;45),0.3,0)+IF(AND(V1570&gt;=20,V1570&lt;40,W1570&gt;=45,W1570&lt;95),0.23,0)+IF(AND(V1570&gt;=20,V1570&lt;40,W1570&gt;=95),0.17,0)+IF(AND(V1570&gt;=40,V1570&lt;75,W1570&lt;35),0.3,0)+IF(AND(V1570&gt;=40,V1570&lt;75,W1570&gt;=35,W1570&lt;75),0.23,0)+IF(AND(V1570&gt;=40,V1570&lt;75,W1570&gt;=75,W1570&lt;120),0.17,0)+IF(AND(V1570&gt;=40,V1570&lt;75,W1570&gt;=120),0.12,0)+IF(AND(V1570&gt;=75,V1570&lt;175,W1570&lt;35),0.3,0)+IF(AND(V1570&gt;=75,V1570&lt;=175,W1570&gt;=35,W1570&lt;65),0.23,0)+IF(AND(V1570&gt;=75,V1570&lt;=175,W1570&gt;=65,W1570&lt;110),0.17,0)+IF(AND(V1570&gt;=75,V1570&lt;=175,W1570&gt;=110),0.12,0)+IF(AND(V1570&gt;175,W1570&lt;25),0.3,0)+IF(AND(V1570&gt;175,W1570&gt;=25,W1570&lt;55),0.23,0)+IF(AND(V1570&gt;175,W1570&gt;=55,W1570&lt;95),0.17,0)+IF(AND(V1570&gt;175,W1570&gt;=95),0.12,0),
IF(AF1570="Fix15",0.15,
IF(AF1570="Fix5",0.05,
IF(AF1570="Fix18.75",0.1875,
IF(AF1570="Fix11.25",0.1125,
IF(AF1570="Fix10",0.1,
IF(AF1570="Fix9",0.09,
IF(AF1570="Fix12",0.12,
IF(AF1570="Fix19",0.19,
IF(AF1570="DoEV2017",IF(AND(W1570&lt;74),0.2,0)+IF(AND(W1570&gt;=74),0.17,0),
IF(AF1570="SF",IF(AND(V1570&lt;20,W1570&lt;89),0.3,0)+IF(AND(V1570&lt;20,W1570&gt;=89),0.25,0)+IF(AND(V1570&gt;=20,V1570&lt;40,W1570&lt;74),0.3,0)+IF(AND(V1570&gt;=20,V1570&lt;40,W1570&gt;=75),0.22,0)+IF(AND(V1570&gt;=40,V1570&lt;75,W1570&lt;75),0.26,0)+IF(AND(V1570&gt;=40,V1570&lt;75,W1570&gt;=75),0.22,0)+IF(V1570&gt;=75,0.22,0),
IF(AF1570="DoEVold",IF(AND(V1570&lt;40,W1570&lt;35),0.35,0)+IF(AND(V1570&lt;40,W1570&gt;=35,W1570&lt;75),0.25,0)+IF(AND(V1570&lt;40,W1570&gt;=75),0.17,0)+IF(AND(V1570&gt;=40,V1570&lt;75,W1570&lt;25),0.35,0)+IF(AND(V1570&gt;=40,V1570&lt;75,W1570&gt;=25,W1570&lt;65),0.25,0)+IF(AND(V1570&gt;=40,V1570&lt;75,W1570&gt;=65,W1570&lt;100),0.17,0)+IF(AND(V1570&gt;=40,V1570&lt;75,W1570&gt;=100),0.1,0)+IF(AND(V1570&gt;=75,W1570&lt;25),0.35,0)+IF(AND(V1570&gt;=75,W1570&gt;=25,W1570&lt;60),0.25,0)+IF(AND(V1570&gt;=75,W1570&gt;=60,W1570&lt;95),0.17,0)+IF(AND(V1570&gt;=75,W1570&gt;=95),0.1,0),
IF(AF1570="DoEVold15",IF(AND(V1570&lt;=40,W1570&lt;35),0.35,0)+IF(AND(V1570&lt;=40,W1570&gt;=35,W1570&lt;75),0.25,0)+IF(AND(V1570&lt;=40,W1570&gt;=75,W1570&lt;120),0.17,0)+IF(AND(V1570&lt;=40,W1570&gt;=120),0.15,0)+IF(AND(V1570&gt;40,V1570&lt;75,W1570&lt;25),0.35,0)+IF(AND(V1570&gt;=40,V1570&lt;75,W1570&gt;=25,W1570&lt;65),0.25,0)+IF(AND(V1570&gt;=40,V1570&lt;75,W1570&gt;=65,W1570&lt;100),0.17,0)+IF(AND(V1570&gt;=40,V1570&lt;75,W1570&gt;=100),0.1,0)+IF(AND(V1570&gt;=75,W1570&lt;25),0.35,0)+IF(AND(V1570&gt;=75,W1570&gt;=25,W1570&lt;60),0.25,0)+IF(AND(V1570&gt;=75,W1570&gt;=60,W1570&lt;95),0.17,0)+IF(AND(V1570&gt;=75,W1570&gt;=95),0.1,0),
IF(AF1570="DoEVba",IF(AND(V1570&lt;20,W1570&lt;105),0.2,0)+IF(AND(V1570&lt;20,W1570&gt;=105),0.15,0)+IF(AND(V1570&gt;=20,V1570&lt;40,W1570&lt;95),0.2,0)+IF(AND(V1570&gt;=20,V1570&lt;40,W1570&gt;=95,W1570&lt;150),0.15,0)+IF(AND(V1570&gt;=20,V1570&lt;40,W1570&gt;=150),0.12,0)+IF(AND(V1570&gt;=40,V1570&lt;75,W1570&lt;75),0.2,0)+IF(AND(V1570&gt;=40,V1570&lt;75,W1570&gt;=75,W1570&lt;120),0.15,0)+IF(AND(V1570&gt;=40,V1570&lt;75,W1570&gt;=120),0.12,0)+IF(AND(V1570&gt;=75,V1570&lt;175,W1570&lt;65),0.2,0)+IF(AND(V1570&gt;=75,V1570&lt;175,W1570&gt;=65,W1570&lt;110),0.15,0)+IF(AND(V1570&gt;=75,V1570&lt;175,W1570&gt;=110),0.12,0)+IF(AND(V1570&gt;=175,W1570&lt;55),0.2,0)+IF(AND(V1570&gt;=175,W1570&gt;=55,W1570&lt;95),0.15,0)+IF(AND(V1570&gt;=175,W1570&gt;=95),0.12,0),
IF(AF1570="DoEVku",IF(AND(V1570&lt;20,W1570&lt;55),0.23,0)+IF(AND(V1570&lt;20,W1570&gt;=55,W1570&lt;105),0.2,0)+IF(AND(V1570&lt;20,W1570&gt;=105),0.17,0)+IF(AND(V1570&gt;=20,V1570&lt;40,W1570&lt;45),0.23,0)+IF(AND(V1570&gt;=20,V1570&lt;40,W1570&gt;=45,W1570&lt;95),0.2,0)+IF(AND(V1570&gt;=20,V1570&lt;40,W1570&gt;=95,W1570&lt;=150),0.17,0)+IF(AND(V1570&gt;=20,V1570&lt;40,W1570&gt;=150),0.12,0)+IF(AND(V1570&gt;=40,V1570&lt;75,W1570&lt;35),0.23,0)+IF(AND(V1570&gt;=40,V1570&lt;75,W1570&gt;=35,W1570&lt;75),0.2,0)+IF(AND(V1570&gt;=40,V1570&lt;75,W1570&gt;=75,W1570&lt;120),0.17,0)+IF(AND(V1570&gt;=40,V1570&lt;75,W1570&gt;=120),0.12,0)+IF(AND(V1570&gt;=75,V1570&lt;175,W1570&lt;35),0.23,0)+IF(AND(V1570&gt;=75,V1570&lt;=175,W1570&gt;=35,W1570&lt;65),0.2,0)+IF(AND(V1570&gt;=75,V1570&lt;=175,W1570&gt;=65,W1570&lt;110),0.17,0)+IF(AND(V1570&gt;=75,V1570&lt;=175,W1570&gt;=110),0.12,0)+IF(AND(V1570&gt;175,W1570&lt;25),0.23,0)+IF(AND(V1570&gt;175,W1570&gt;=25,W1570&lt;55),0.2,0)+IF(AND(V1570&gt;175,W1570&gt;=55,W1570&lt;95),0.17,0)+IF(AND(V1570&gt;175,W1570&gt;=95),0.12,0),
IF(AF1570="DoEVs1",IF(AND(V1570&lt;20,W1570&lt;55),0.3,0)+IF(AND(V1570&lt;20,W1570&gt;=55,W1570&lt;105),0.23,0)+IF(AND(V1570&lt;20,W1570&gt;=105),0.17,0)+IF(AND(V1570&gt;=20,V1570&lt;40,W1570&lt;45),0.3,0)+IF(AND(V1570&gt;=20,V1570&lt;40,W1570&gt;=45,W1570&lt;95),0.23,0)+IF(AND(V1570&gt;=20,V1570&lt;40,W1570&gt;=95,W1570&lt;=150),0.17,0)+IF(AND(V1570&gt;=20,V1570&lt;40,W1570&gt;=150),0.12,0)+IF(AND(V1570&gt;=40,V1570&lt;75,W1570&lt;35),0.3,0)+IF(AND(V1570&gt;=40,V1570&lt;75,W1570&gt;=35,W1570&lt;75),0.23,0)+IF(AND(V1570&gt;=40,V1570&lt;75,W1570&gt;=75,W1570&lt;120),0.17,0)+IF(AND(V1570&gt;=40,V1570&lt;75,W1570&gt;=120),0.12,0)+IF(AND(V1570&gt;=75,V1570&lt;175,W1570&lt;35),0.3,0)+IF(AND(V1570&gt;=75,V1570&lt;=175,W1570&gt;=35,W1570&lt;65),0.23,0)+IF(AND(V1570&gt;=75,V1570&lt;=175,W1570&gt;=65,W1570&lt;110),0.17,0)+IF(AND(V1570&gt;=75,V1570&lt;=175,W1570&gt;=110),0.12,0)+IF(AND(V1570&gt;175,W1570&lt;25),0.3,0)+IF(AND(V1570&gt;175,W1570&gt;=25,W1570&lt;55),0.23,0)+IF(AND(V1570&gt;175,W1570&gt;=55,W1570&lt;95),0.17,0)+IF(AND(V1570&gt;175,W1570&gt;=95),0.12,0),
IF(AF1570="DoEVsu",IF(AND(V1570&lt;20,W1570&lt;55),0.3,0)+IF(AND(V1570&lt;20,W1570&gt;=55,W1570&lt;105),0.23,0)+IF(AND(V1570&lt;20,W1570&gt;=105),0.17,0)+IF(AND(V1570&gt;=20,V1570&lt;40,W1570&lt;45),0.3,0)+IF(AND(V1570&gt;=20,V1570&lt;40,W1570&gt;=45,W1570&lt;95),0.23,0)+IF(AND(V1570&gt;=20,V1570&lt;40,W1570&gt;=95,W1570&lt;=250),0.17,0)+IF(AND(V1570&gt;=20,V1570&lt;40,W1570&gt;=250),0.12,0)+IF(AND(V1570&gt;=40,V1570&lt;75,W1570&lt;35),0.3,0)+IF(AND(V1570&gt;=40,V1570&lt;75,W1570&gt;=35,W1570&lt;75),0.23,0)+IF(AND(V1570&gt;=40,V1570&lt;75,W1570&gt;=75,W1570&lt;120),0.17,0)+IF(AND(V1570&gt;=40,V1570&lt;75,W1570&gt;=120),0.12,0)+IF(AND(V1570&gt;=75,V1570&lt;175,W1570&lt;35),0.3,0)+IF(AND(V1570&gt;=75,V1570&lt;=175,W1570&gt;=35,W1570&lt;65),0.23,0)+IF(AND(V1570&gt;=75,V1570&lt;=175,W1570&gt;=65,W1570&lt;110),0.17,0)+IF(AND(V1570&gt;=75,V1570&lt;=175,W1570&gt;=110),0.12,0)+IF(AND(V1570&gt;175,W1570&lt;25),0.3,0)+IF(AND(V1570&gt;175,W1570&gt;=25,W1570&lt;55),0.23,0)+IF(AND(V1570&gt;175,W1570&gt;=55,W1570&lt;95),0.17,0)+IF(AND(V1570&gt;175,W1570&gt;=95),0.12,0),
IF(AF1570="DoEVni",IF(AND(V1570&lt;20,W1570&lt;55),0.3,0)+IF(AND(V1570&lt;20,W1570&gt;=55,W1570&lt;105),0.23,0)+IF(AND(V1570&lt;20,W1570&gt;=105),0.17,0)+IF(AND(V1570&gt;=20,V1570&lt;40,W1570&lt;45),0.3,0)+IF(AND(V1570&gt;=20,V1570&lt;40,W1570&gt;=45,W1570&lt;95),0.23,0)+IF(AND(V1570&gt;=20,V1570&lt;40,W1570&gt;=95,W1570&lt;=200),0.17,0)+IF(AND(V1570&gt;=20,V1570&lt;40,W1570&gt;=200),0.12,0)+IF(AND(V1570&gt;=40,V1570&lt;75,W1570&lt;35),0.3,0)+IF(AND(V1570&gt;=40,V1570&lt;75,W1570&gt;=35,W1570&lt;75),0.23,0)+IF(AND(V1570&gt;=40,V1570&lt;75,W1570&gt;=75,W1570&lt;120),0.17,0)+IF(AND(V1570&gt;=40,V1570&lt;75,W1570&gt;=120),0.12,0)+IF(AND(V1570&gt;=75,V1570&lt;175,W1570&lt;35),0.3,0)+IF(AND(V1570&gt;=75,V1570&lt;=175,W1570&gt;=35,W1570&lt;65),0.23,0)+IF(AND(V1570&gt;=75,V1570&lt;=175,W1570&gt;=65,W1570&lt;110),0.17,0)+IF(AND(V1570&gt;=75,V1570&lt;=175,W1570&gt;=110),0.12,0)+IF(AND(V1570&gt;175,W1570&lt;25),0.3,0)+IF(AND(V1570&gt;175,W1570&gt;=25,W1570&lt;55),0.23,0)+IF(AND(V1570&gt;175,W1570&gt;=55,W1570&lt;95),0.17,0)+IF(AND(V1570&gt;175,W1570&gt;=95),0.12,0),
IF(AF1570="DoEVLo",IF(AND(V1570&lt;20,W1570&lt;55),0.25,0)+IF(AND(V1570&lt;20,W1570&gt;=55,W1570&lt;105),0.2,0)+IF(AND(V1570&lt;20,W1570&gt;=105),0.15,0)+IF(AND(V1570&gt;=20,V1570&lt;40,W1570&lt;45),0.25,0)+IF(AND(V1570&gt;=20,V1570&lt;40,W1570&gt;=45,W1570&lt;95),0.2,0)+IF(AND(V1570&gt;=20,V1570&lt;40,W1570&gt;=95),0.15,0)+IF(AND(V1570&gt;=40,V1570&lt;75,W1570&lt;35),0.25,0)+IF(AND(V1570&gt;=40,V1570&lt;75,W1570&gt;=35,W1570&lt;75),0.2,0)+IF(AND(V1570&gt;=40,V1570&lt;75,W1570&gt;=75,W1570&lt;120),0.15,0)+IF(AND(V1570&gt;=40,V1570&lt;75,W1570&gt;=120),0.1,0)+IF(AND(V1570&gt;=75,V1570&lt;175,W1570&lt;35),0.25,0)+IF(AND(V1570&gt;=75,V1570&lt;=175,W1570&gt;=35,W1570&lt;65),0.2,0)+IF(AND(V1570&gt;=75,V1570&lt;=175,W1570&gt;=65,W1570&lt;110),0.15,0)+IF(AND(V1570&gt;=75,V1570&lt;=175,W1570&gt;=110),0.1,0)+IF(AND(V1570&gt;175,W1570&lt;25),0.25,0)+IF(AND(V1570&gt;175,W1570&gt;=25,W1570&lt;55),0.2,0)+IF(AND(V1570&gt;175,W1570&gt;=55,W1570&lt;95),0.15,0)+IF(AND(V1570&gt;175,W1570&gt;=95),0.1,0))))))))))))))))))))</f>
        <v>0</v>
      </c>
      <c r="Y1570" s="30">
        <f>IF(AG1570="None",0,IF(AG1570="Fix5",0.05, IF(AG1570="Fix6.25",0.0625,IF(AG1570="Fix3.75",0.0375, IF(AG1570="Fix11",0.11, IF(AG1570="Fix10",0.1,IF(AG1570="Fix3",0.03,0)))))))</f>
        <v>0</v>
      </c>
      <c r="Z1570" s="35">
        <f>IF(AND(AD1570="EUR", AE1570 = "USD"), T1570*U1570-AA1570-AB1570, T1570-AA1570-AB1570)</f>
        <v>16242.687673971199</v>
      </c>
      <c r="AA1570" s="29">
        <f>IF(AND(AD1570="EUR", F1570="Without EV deal", AE1570="USD"), (T1570*X1570)*U1570,
IF(AND(AD1570="EUR", F1570="Without EV deal", AE1570="EUR"), (T1570*X1570),
IF(AND(AD1570="EUR",AE1570="USD"), (T1570*X1570)*U1570,
T1570*X1570)))</f>
        <v>0</v>
      </c>
      <c r="AB1570" s="36">
        <f>IF(AND(AD1570="EUR", F1570="Without EV deal", AE1570="USD"), (T1570*Y1570)*U1570,
IF(AND(AD1570="EUR", F1570="Without EV deal", AE1570="EUR"), (T1570*Y1570),
IF(AND(AD1570="EUR",AE1570="USD"), (T1570*Y1570)*U1570,
T1570*Y1570)))</f>
        <v>0</v>
      </c>
      <c r="AC1570" s="37" t="b">
        <v>0</v>
      </c>
      <c r="AD1570" s="82" t="str">
        <f>IF(OR(H1570="€0.25 Flash",
H1570="€0.25(nitro) new",
H1570="€1",
H1570="€2",
H1570="€2 (bf 01.08)",
H1570="€5",
H1570="€5 (1M)",
H1570="€5 (bf 01.08)",
H1570="€5 (bf 05.05)",
H1570="€5 Nitro",
H1570="€5(wx) new",
H1570="€10",
H1570="€10 (1M)",
H1570="€10 (bf 01.08)",
H1570="€10 (bf 05.05)",
H1570="€10 (MP)",
H1570="€10 (old)",
H1570="€10 Nitro (bf 05.05)",
H1570="€10 Nitro (old)",
H1570="€10(wx) new",
H1570="€20",
H1570="€25",
H1570="€25 (bf 01.08)",
H1570="€25 (bf 05.05)",
H1570="€25 (MP)",
H1570="€25 (old)",
H1570="€25 Nitro",
H1570="€25 Nitro (bf 01.08)",
H1570="€25 Nitro (bf 05.05)",
H1570="€25(nitro) new",
H1570="€25(wx) new",
H1570="€50",
H1570="€50 (bf 01.08)",
H1570="€50 (bf 05.05)",
H1570="€50 (old)",
H1570="€50 Nitro",
H1570="€50 Nitro (bf 01.08)",
H1570="€50 Nitro (bf 05.05)",
H1570="€50(wx) new",
H1570="€100",
H1570="€100 (old)",
H1570="€100 Nitro",
H1570="€100 Nitro (old)",
H1570="€200",
H1570="€250",
H1570="€250 Nitro",
H1570="€500",
H1570="€500 Nitro"),"EUR", "USD")</f>
        <v>USD</v>
      </c>
      <c r="AE1570" s="83" t="s">
        <v>38</v>
      </c>
      <c r="AF1570" s="83" t="str">
        <f t="array" ref="AF1570">INDEX('Deal Info'!D:D, MATCH(A1570,'Deal Info'!A:A, 0))</f>
        <v>None</v>
      </c>
      <c r="AG1570" s="84" t="str">
        <f t="array" ref="AG1570">INDEX('Deal Info'!G:G, MATCH(A1570,'Deal Info'!A:A, 0))</f>
        <v>guilexperi</v>
      </c>
    </row>
    <row r="1571" spans="1:33" ht="14.25" hidden="1" x14ac:dyDescent="0.2">
      <c r="A1571" s="18" t="str">
        <f t="array" ref="A1571">IF(G1571='Room Info'!$B$1, INDEX('Room Info'!$A$2:$A2446, MATCH(B1571,'Room Info'!$B$2:$B2446, 0)),IF(G1571='Room Info'!$C$1, INDEX('Room Info'!$A$2:$A2446, MATCH(B1571,'Room Info'!$C$2:$C2446, 0)),IF(G1571='Room Info'!$D$1, INDEX('Room Info'!$A$2:$A2446, MATCH(B1571,'Room Info'!$D$2:$D2446, 0)),IF(G1571='Room Info'!$E$1, INDEX('Room Info'!$A$2:$A2446, MATCH(B1571,'Room Info'!$E$2:$E2446, 0)),IF(G1571='Room Info'!$F$1, INDEX('Room Info'!$A$2:$A2446, MATCH(B1571,'Room Info'!$F$2:$F2446, 0)),IF(G1571='Room Info'!$H$1, INDEX('Room Info'!$A$2:$A2446, MATCH(B1571,'Room Info'!$H$2:$H2446, 0)),IF(G1571='Room Info'!$G$1, INDEX('Room Info'!$A$2:$A2446, MATCH(B1571,'Room Info'!$G$2:$G2446, 0)))))))))</f>
        <v>volkovsky</v>
      </c>
      <c r="B1571" s="54" t="s">
        <v>206</v>
      </c>
      <c r="C1571" s="46">
        <v>44978</v>
      </c>
      <c r="D1571" s="46">
        <v>45005</v>
      </c>
      <c r="E1571" s="90">
        <v>44986</v>
      </c>
      <c r="F1571" s="48" t="s">
        <v>34</v>
      </c>
      <c r="G1571" s="65" t="s">
        <v>35</v>
      </c>
      <c r="H1571" s="49" t="s">
        <v>70</v>
      </c>
      <c r="I1571" s="100" t="s">
        <v>37</v>
      </c>
      <c r="J1571" s="39">
        <v>100</v>
      </c>
      <c r="K1571" s="51">
        <v>442</v>
      </c>
      <c r="L1571" s="52">
        <v>100</v>
      </c>
      <c r="M1571" s="53">
        <v>9600</v>
      </c>
      <c r="N1571" s="28">
        <f>K1571*J1571</f>
        <v>44200</v>
      </c>
      <c r="O1571" s="54">
        <v>5586</v>
      </c>
      <c r="P1571" s="29">
        <v>12.638009050000001</v>
      </c>
      <c r="Q1571" s="55"/>
      <c r="R1571" s="31">
        <f>M1571+Q1571*J1571*K1571*0.07</f>
        <v>9600</v>
      </c>
      <c r="S1571" s="56">
        <v>-1651</v>
      </c>
      <c r="T1571" s="32">
        <f>IF(AND(AD1571="EUR", F1571="Without EV deal"), R1571 + L1571,
IF(AND(AD1571="USD", F1571="Without EV deal"), R1571 + L1571,
IF(AND(AD1571="EUR", F1571="Steel Phoenix"), R1571 + S1571/U1571,
R1571 + S1571)))</f>
        <v>7949</v>
      </c>
      <c r="U1571" s="57">
        <v>1.071</v>
      </c>
      <c r="V1571" s="69">
        <v>146.82203389830508</v>
      </c>
      <c r="W1571" s="69">
        <v>54.14037518037518</v>
      </c>
      <c r="X1571" s="30">
        <f>IF(AF1571="DoEV",IF(AND(V1571&lt;20,W1571&lt;55),0.3,0)+IF(AND(V1571&lt;20,W1571&gt;=55,W1571&lt;105),0.23,0)+IF(AND(V1571&lt;20,W1571&gt;=105),0.17,0)+IF(AND(V1571&gt;=20,V1571&lt;40,W1571&lt;45),0.3,0)+IF(AND(V1571&gt;=20,V1571&lt;40,W1571&gt;=45,W1571&lt;95),0.23,0)+IF(AND(V1571&gt;=20,V1571&lt;40,W1571&gt;=95),0.17,0)+IF(AND(V1571&gt;=40,V1571&lt;75,W1571&lt;35),0.3,0)+IF(AND(V1571&gt;=40,V1571&lt;75,W1571&gt;=35,W1571&lt;75),0.23,0)+IF(AND(V1571&gt;=40,V1571&lt;75,W1571&gt;=75,W1571&lt;120),0.17,0)+IF(AND(V1571&gt;=40,V1571&lt;75,W1571&gt;=120),0.12,0)+IF(AND(V1571&gt;=75,V1571&lt;175,W1571&lt;35),0.3,0)+IF(AND(V1571&gt;=75,V1571&lt;=175,W1571&gt;=35,W1571&lt;65),0.23,0)+IF(AND(V1571&gt;=75,V1571&lt;=175,W1571&gt;=65,W1571&lt;110),0.17,0)+IF(AND(V1571&gt;=75,V1571&lt;=175,W1571&gt;=110),0.12,0)+IF(AND(V1571&gt;175,W1571&lt;25),0.3,0)+IF(AND(V1571&gt;175,W1571&gt;=25,W1571&lt;55),0.23,0)+IF(AND(V1571&gt;175,W1571&gt;=55,W1571&lt;95),0.17,0)+IF(AND(V1571&gt;175,W1571&gt;=95),0.12,0),
IF(AF1571="Fix15",0.15,
IF(AF1571="Fix5",0.05,
IF(AF1571="Fix18.75",0.1875,
IF(AF1571="Fix11.25",0.1125,
IF(AF1571="Fix10",0.1,
IF(AF1571="Fix9",0.09,
IF(AF1571="Fix12",0.12,
IF(AF1571="Fix19",0.19,
IF(AF1571="DoEV2017",IF(AND(W1571&lt;74),0.2,0)+IF(AND(W1571&gt;=74),0.17,0),
IF(AF1571="SF",IF(AND(V1571&lt;20,W1571&lt;89),0.3,0)+IF(AND(V1571&lt;20,W1571&gt;=89),0.25,0)+IF(AND(V1571&gt;=20,V1571&lt;40,W1571&lt;74),0.3,0)+IF(AND(V1571&gt;=20,V1571&lt;40,W1571&gt;=75),0.22,0)+IF(AND(V1571&gt;=40,V1571&lt;75,W1571&lt;75),0.26,0)+IF(AND(V1571&gt;=40,V1571&lt;75,W1571&gt;=75),0.22,0)+IF(V1571&gt;=75,0.22,0),
IF(AF1571="DoEVold",IF(AND(V1571&lt;40,W1571&lt;35),0.35,0)+IF(AND(V1571&lt;40,W1571&gt;=35,W1571&lt;75),0.25,0)+IF(AND(V1571&lt;40,W1571&gt;=75),0.17,0)+IF(AND(V1571&gt;=40,V1571&lt;75,W1571&lt;25),0.35,0)+IF(AND(V1571&gt;=40,V1571&lt;75,W1571&gt;=25,W1571&lt;65),0.25,0)+IF(AND(V1571&gt;=40,V1571&lt;75,W1571&gt;=65,W1571&lt;100),0.17,0)+IF(AND(V1571&gt;=40,V1571&lt;75,W1571&gt;=100),0.1,0)+IF(AND(V1571&gt;=75,W1571&lt;25),0.35,0)+IF(AND(V1571&gt;=75,W1571&gt;=25,W1571&lt;60),0.25,0)+IF(AND(V1571&gt;=75,W1571&gt;=60,W1571&lt;95),0.17,0)+IF(AND(V1571&gt;=75,W1571&gt;=95),0.1,0),
IF(AF1571="DoEVold15",IF(AND(V1571&lt;=40,W1571&lt;35),0.35,0)+IF(AND(V1571&lt;=40,W1571&gt;=35,W1571&lt;75),0.25,0)+IF(AND(V1571&lt;=40,W1571&gt;=75,W1571&lt;120),0.17,0)+IF(AND(V1571&lt;=40,W1571&gt;=120),0.15,0)+IF(AND(V1571&gt;40,V1571&lt;75,W1571&lt;25),0.35,0)+IF(AND(V1571&gt;=40,V1571&lt;75,W1571&gt;=25,W1571&lt;65),0.25,0)+IF(AND(V1571&gt;=40,V1571&lt;75,W1571&gt;=65,W1571&lt;100),0.17,0)+IF(AND(V1571&gt;=40,V1571&lt;75,W1571&gt;=100),0.1,0)+IF(AND(V1571&gt;=75,W1571&lt;25),0.35,0)+IF(AND(V1571&gt;=75,W1571&gt;=25,W1571&lt;60),0.25,0)+IF(AND(V1571&gt;=75,W1571&gt;=60,W1571&lt;95),0.17,0)+IF(AND(V1571&gt;=75,W1571&gt;=95),0.1,0),
IF(AF1571="DoEVba",IF(AND(V1571&lt;20,W1571&lt;105),0.2,0)+IF(AND(V1571&lt;20,W1571&gt;=105),0.15,0)+IF(AND(V1571&gt;=20,V1571&lt;40,W1571&lt;95),0.2,0)+IF(AND(V1571&gt;=20,V1571&lt;40,W1571&gt;=95,W1571&lt;150),0.15,0)+IF(AND(V1571&gt;=20,V1571&lt;40,W1571&gt;=150),0.12,0)+IF(AND(V1571&gt;=40,V1571&lt;75,W1571&lt;75),0.2,0)+IF(AND(V1571&gt;=40,V1571&lt;75,W1571&gt;=75,W1571&lt;120),0.15,0)+IF(AND(V1571&gt;=40,V1571&lt;75,W1571&gt;=120),0.12,0)+IF(AND(V1571&gt;=75,V1571&lt;175,W1571&lt;65),0.2,0)+IF(AND(V1571&gt;=75,V1571&lt;175,W1571&gt;=65,W1571&lt;110),0.15,0)+IF(AND(V1571&gt;=75,V1571&lt;175,W1571&gt;=110),0.12,0)+IF(AND(V1571&gt;=175,W1571&lt;55),0.2,0)+IF(AND(V1571&gt;=175,W1571&gt;=55,W1571&lt;95),0.15,0)+IF(AND(V1571&gt;=175,W1571&gt;=95),0.12,0),
IF(AF1571="DoEVku",IF(AND(V1571&lt;20,W1571&lt;55),0.23,0)+IF(AND(V1571&lt;20,W1571&gt;=55,W1571&lt;105),0.2,0)+IF(AND(V1571&lt;20,W1571&gt;=105),0.17,0)+IF(AND(V1571&gt;=20,V1571&lt;40,W1571&lt;45),0.23,0)+IF(AND(V1571&gt;=20,V1571&lt;40,W1571&gt;=45,W1571&lt;95),0.2,0)+IF(AND(V1571&gt;=20,V1571&lt;40,W1571&gt;=95,W1571&lt;=150),0.17,0)+IF(AND(V1571&gt;=20,V1571&lt;40,W1571&gt;=150),0.12,0)+IF(AND(V1571&gt;=40,V1571&lt;75,W1571&lt;35),0.23,0)+IF(AND(V1571&gt;=40,V1571&lt;75,W1571&gt;=35,W1571&lt;75),0.2,0)+IF(AND(V1571&gt;=40,V1571&lt;75,W1571&gt;=75,W1571&lt;120),0.17,0)+IF(AND(V1571&gt;=40,V1571&lt;75,W1571&gt;=120),0.12,0)+IF(AND(V1571&gt;=75,V1571&lt;175,W1571&lt;35),0.23,0)+IF(AND(V1571&gt;=75,V1571&lt;=175,W1571&gt;=35,W1571&lt;65),0.2,0)+IF(AND(V1571&gt;=75,V1571&lt;=175,W1571&gt;=65,W1571&lt;110),0.17,0)+IF(AND(V1571&gt;=75,V1571&lt;=175,W1571&gt;=110),0.12,0)+IF(AND(V1571&gt;175,W1571&lt;25),0.23,0)+IF(AND(V1571&gt;175,W1571&gt;=25,W1571&lt;55),0.2,0)+IF(AND(V1571&gt;175,W1571&gt;=55,W1571&lt;95),0.17,0)+IF(AND(V1571&gt;175,W1571&gt;=95),0.12,0),
IF(AF1571="DoEVs1",IF(AND(V1571&lt;20,W1571&lt;55),0.3,0)+IF(AND(V1571&lt;20,W1571&gt;=55,W1571&lt;105),0.23,0)+IF(AND(V1571&lt;20,W1571&gt;=105),0.17,0)+IF(AND(V1571&gt;=20,V1571&lt;40,W1571&lt;45),0.3,0)+IF(AND(V1571&gt;=20,V1571&lt;40,W1571&gt;=45,W1571&lt;95),0.23,0)+IF(AND(V1571&gt;=20,V1571&lt;40,W1571&gt;=95,W1571&lt;=150),0.17,0)+IF(AND(V1571&gt;=20,V1571&lt;40,W1571&gt;=150),0.12,0)+IF(AND(V1571&gt;=40,V1571&lt;75,W1571&lt;35),0.3,0)+IF(AND(V1571&gt;=40,V1571&lt;75,W1571&gt;=35,W1571&lt;75),0.23,0)+IF(AND(V1571&gt;=40,V1571&lt;75,W1571&gt;=75,W1571&lt;120),0.17,0)+IF(AND(V1571&gt;=40,V1571&lt;75,W1571&gt;=120),0.12,0)+IF(AND(V1571&gt;=75,V1571&lt;175,W1571&lt;35),0.3,0)+IF(AND(V1571&gt;=75,V1571&lt;=175,W1571&gt;=35,W1571&lt;65),0.23,0)+IF(AND(V1571&gt;=75,V1571&lt;=175,W1571&gt;=65,W1571&lt;110),0.17,0)+IF(AND(V1571&gt;=75,V1571&lt;=175,W1571&gt;=110),0.12,0)+IF(AND(V1571&gt;175,W1571&lt;25),0.3,0)+IF(AND(V1571&gt;175,W1571&gt;=25,W1571&lt;55),0.23,0)+IF(AND(V1571&gt;175,W1571&gt;=55,W1571&lt;95),0.17,0)+IF(AND(V1571&gt;175,W1571&gt;=95),0.12,0),
IF(AF1571="DoEVsu",IF(AND(V1571&lt;20,W1571&lt;55),0.3,0)+IF(AND(V1571&lt;20,W1571&gt;=55,W1571&lt;105),0.23,0)+IF(AND(V1571&lt;20,W1571&gt;=105),0.17,0)+IF(AND(V1571&gt;=20,V1571&lt;40,W1571&lt;45),0.3,0)+IF(AND(V1571&gt;=20,V1571&lt;40,W1571&gt;=45,W1571&lt;95),0.23,0)+IF(AND(V1571&gt;=20,V1571&lt;40,W1571&gt;=95,W1571&lt;=250),0.17,0)+IF(AND(V1571&gt;=20,V1571&lt;40,W1571&gt;=250),0.12,0)+IF(AND(V1571&gt;=40,V1571&lt;75,W1571&lt;35),0.3,0)+IF(AND(V1571&gt;=40,V1571&lt;75,W1571&gt;=35,W1571&lt;75),0.23,0)+IF(AND(V1571&gt;=40,V1571&lt;75,W1571&gt;=75,W1571&lt;120),0.17,0)+IF(AND(V1571&gt;=40,V1571&lt;75,W1571&gt;=120),0.12,0)+IF(AND(V1571&gt;=75,V1571&lt;175,W1571&lt;35),0.3,0)+IF(AND(V1571&gt;=75,V1571&lt;=175,W1571&gt;=35,W1571&lt;65),0.23,0)+IF(AND(V1571&gt;=75,V1571&lt;=175,W1571&gt;=65,W1571&lt;110),0.17,0)+IF(AND(V1571&gt;=75,V1571&lt;=175,W1571&gt;=110),0.12,0)+IF(AND(V1571&gt;175,W1571&lt;25),0.3,0)+IF(AND(V1571&gt;175,W1571&gt;=25,W1571&lt;55),0.23,0)+IF(AND(V1571&gt;175,W1571&gt;=55,W1571&lt;95),0.17,0)+IF(AND(V1571&gt;175,W1571&gt;=95),0.12,0),
IF(AF1571="DoEVni",IF(AND(V1571&lt;20,W1571&lt;55),0.3,0)+IF(AND(V1571&lt;20,W1571&gt;=55,W1571&lt;105),0.23,0)+IF(AND(V1571&lt;20,W1571&gt;=105),0.17,0)+IF(AND(V1571&gt;=20,V1571&lt;40,W1571&lt;45),0.3,0)+IF(AND(V1571&gt;=20,V1571&lt;40,W1571&gt;=45,W1571&lt;95),0.23,0)+IF(AND(V1571&gt;=20,V1571&lt;40,W1571&gt;=95,W1571&lt;=200),0.17,0)+IF(AND(V1571&gt;=20,V1571&lt;40,W1571&gt;=200),0.12,0)+IF(AND(V1571&gt;=40,V1571&lt;75,W1571&lt;35),0.3,0)+IF(AND(V1571&gt;=40,V1571&lt;75,W1571&gt;=35,W1571&lt;75),0.23,0)+IF(AND(V1571&gt;=40,V1571&lt;75,W1571&gt;=75,W1571&lt;120),0.17,0)+IF(AND(V1571&gt;=40,V1571&lt;75,W1571&gt;=120),0.12,0)+IF(AND(V1571&gt;=75,V1571&lt;175,W1571&lt;35),0.3,0)+IF(AND(V1571&gt;=75,V1571&lt;=175,W1571&gt;=35,W1571&lt;65),0.23,0)+IF(AND(V1571&gt;=75,V1571&lt;=175,W1571&gt;=65,W1571&lt;110),0.17,0)+IF(AND(V1571&gt;=75,V1571&lt;=175,W1571&gt;=110),0.12,0)+IF(AND(V1571&gt;175,W1571&lt;25),0.3,0)+IF(AND(V1571&gt;175,W1571&gt;=25,W1571&lt;55),0.23,0)+IF(AND(V1571&gt;175,W1571&gt;=55,W1571&lt;95),0.17,0)+IF(AND(V1571&gt;175,W1571&gt;=95),0.12,0),
IF(AF1571="DoEVLo",IF(AND(V1571&lt;20,W1571&lt;55),0.25,0)+IF(AND(V1571&lt;20,W1571&gt;=55,W1571&lt;105),0.2,0)+IF(AND(V1571&lt;20,W1571&gt;=105),0.15,0)+IF(AND(V1571&gt;=20,V1571&lt;40,W1571&lt;45),0.25,0)+IF(AND(V1571&gt;=20,V1571&lt;40,W1571&gt;=45,W1571&lt;95),0.2,0)+IF(AND(V1571&gt;=20,V1571&lt;40,W1571&gt;=95),0.15,0)+IF(AND(V1571&gt;=40,V1571&lt;75,W1571&lt;35),0.25,0)+IF(AND(V1571&gt;=40,V1571&lt;75,W1571&gt;=35,W1571&lt;75),0.2,0)+IF(AND(V1571&gt;=40,V1571&lt;75,W1571&gt;=75,W1571&lt;120),0.15,0)+IF(AND(V1571&gt;=40,V1571&lt;75,W1571&gt;=120),0.1,0)+IF(AND(V1571&gt;=75,V1571&lt;175,W1571&lt;35),0.25,0)+IF(AND(V1571&gt;=75,V1571&lt;=175,W1571&gt;=35,W1571&lt;65),0.2,0)+IF(AND(V1571&gt;=75,V1571&lt;=175,W1571&gt;=65,W1571&lt;110),0.15,0)+IF(AND(V1571&gt;=75,V1571&lt;=175,W1571&gt;=110),0.1,0)+IF(AND(V1571&gt;175,W1571&lt;25),0.25,0)+IF(AND(V1571&gt;175,W1571&gt;=25,W1571&lt;55),0.2,0)+IF(AND(V1571&gt;175,W1571&gt;=55,W1571&lt;95),0.15,0)+IF(AND(V1571&gt;175,W1571&gt;=95),0.1,0))))))))))))))))))))</f>
        <v>0.1</v>
      </c>
      <c r="Y1571" s="30">
        <f>IF(AG1571="None",0,IF(AG1571="Fix5",0.05, IF(AG1571="Fix6.25",0.0625,IF(AG1571="Fix3.75",0.0375, IF(AG1571="Fix11",0.11, IF(AG1571="Fix10",0.1,IF(AG1571="Fix3",0.03,0)))))))</f>
        <v>0</v>
      </c>
      <c r="Z1571" s="35">
        <f>IF(AND(AD1571="EUR", AE1571 = "USD"), T1571*U1571-AA1571-AB1571, T1571-AA1571-AB1571)</f>
        <v>7154.1</v>
      </c>
      <c r="AA1571" s="29">
        <f>IF(AND(AD1571="EUR", F1571="Without EV deal", AE1571="USD"), (T1571*X1571)*U1571,
IF(AND(AD1571="EUR", F1571="Without EV deal", AE1571="EUR"), (T1571*X1571),
IF(AND(AD1571="EUR",AE1571="USD"), (T1571*X1571)*U1571,
T1571*X1571)))</f>
        <v>794.90000000000009</v>
      </c>
      <c r="AB1571" s="36">
        <f>IF(AND(AD1571="EUR", F1571="Without EV deal", AE1571="USD"), (T1571*Y1571)*U1571,
IF(AND(AD1571="EUR", F1571="Without EV deal", AE1571="EUR"), (T1571*Y1571),
IF(AND(AD1571="EUR",AE1571="USD"), (T1571*Y1571)*U1571,
T1571*Y1571)))</f>
        <v>0</v>
      </c>
      <c r="AC1571" s="61" t="b">
        <v>1</v>
      </c>
      <c r="AD1571" s="82" t="str">
        <f>IF(OR(H1571="€0.25 Flash",
H1571="€0.25(nitro) new",
H1571="€1",
H1571="€2",
H1571="€2 (bf 01.08)",
H1571="€5",
H1571="€5 (1M)",
H1571="€5 (bf 01.08)",
H1571="€5 (bf 05.05)",
H1571="€5 Nitro",
H1571="€5(wx) new",
H1571="€10",
H1571="€10 (1M)",
H1571="€10 (bf 01.08)",
H1571="€10 (bf 05.05)",
H1571="€10 (MP)",
H1571="€10 (old)",
H1571="€10 Nitro (bf 05.05)",
H1571="€10 Nitro (old)",
H1571="€10(wx) new",
H1571="€20",
H1571="€25",
H1571="€25 (bf 01.08)",
H1571="€25 (bf 05.05)",
H1571="€25 (MP)",
H1571="€25 (old)",
H1571="€25 Nitro",
H1571="€25 Nitro (bf 01.08)",
H1571="€25 Nitro (bf 05.05)",
H1571="€25(nitro) new",
H1571="€25(wx) new",
H1571="€50",
H1571="€50 (bf 01.08)",
H1571="€50 (bf 05.05)",
H1571="€50 (old)",
H1571="€50 Nitro",
H1571="€50 Nitro (bf 01.08)",
H1571="€50 Nitro (bf 05.05)",
H1571="€50(wx) new",
H1571="€100",
H1571="€100 (old)",
H1571="€100 Nitro",
H1571="€100 Nitro (old)",
H1571="€200",
H1571="€250",
H1571="€250 Nitro",
H1571="€500",
H1571="€500 Nitro"),"EUR", "USD")</f>
        <v>USD</v>
      </c>
      <c r="AE1571" s="83" t="s">
        <v>38</v>
      </c>
      <c r="AF1571" s="83" t="str">
        <f t="array" ref="AF1571">INDEX('Deal Info'!D:D, MATCH(A1571,'Deal Info'!A:A, 0))</f>
        <v>Fix10</v>
      </c>
      <c r="AG1571" s="84" t="str">
        <f t="array" ref="AG1571">INDEX('Deal Info'!G:G, MATCH(A1571,'Deal Info'!A:A, 0))</f>
        <v>None</v>
      </c>
    </row>
    <row r="1572" spans="1:33" ht="14.25" hidden="1" x14ac:dyDescent="0.2">
      <c r="A1572" s="18" t="str">
        <f t="array" ref="A1572">IF(G1572='Room Info'!$B$1, INDEX('Room Info'!$A$2:$A2446, MATCH(B1572,'Room Info'!$B$2:$B2446, 0)),IF(G1572='Room Info'!$C$1, INDEX('Room Info'!$A$2:$A2446, MATCH(B1572,'Room Info'!$C$2:$C2446, 0)),IF(G1572='Room Info'!$D$1, INDEX('Room Info'!$A$2:$A2446, MATCH(B1572,'Room Info'!$D$2:$D2446, 0)),IF(G1572='Room Info'!$E$1, INDEX('Room Info'!$A$2:$A2446, MATCH(B1572,'Room Info'!$E$2:$E2446, 0)),IF(G1572='Room Info'!$F$1, INDEX('Room Info'!$A$2:$A2446, MATCH(B1572,'Room Info'!$F$2:$F2446, 0)),IF(G1572='Room Info'!$H$1, INDEX('Room Info'!$A$2:$A2446, MATCH(B1572,'Room Info'!$H$2:$H2446, 0)),IF(G1572='Room Info'!$G$1, INDEX('Room Info'!$A$2:$A2446, MATCH(B1572,'Room Info'!$G$2:$G2446, 0)))))))))</f>
        <v>volkovsky</v>
      </c>
      <c r="B1572" s="54" t="s">
        <v>206</v>
      </c>
      <c r="C1572" s="46">
        <v>44978</v>
      </c>
      <c r="D1572" s="46">
        <v>45005</v>
      </c>
      <c r="E1572" s="90">
        <v>44986</v>
      </c>
      <c r="F1572" s="48" t="s">
        <v>34</v>
      </c>
      <c r="G1572" s="65" t="s">
        <v>35</v>
      </c>
      <c r="H1572" s="54" t="s">
        <v>84</v>
      </c>
      <c r="I1572" s="54" t="s">
        <v>44</v>
      </c>
      <c r="J1572" s="39">
        <v>100</v>
      </c>
      <c r="K1572" s="51">
        <v>45</v>
      </c>
      <c r="L1572" s="52">
        <v>700</v>
      </c>
      <c r="M1572" s="62"/>
      <c r="N1572" s="28">
        <f>K1572*J1572</f>
        <v>4500</v>
      </c>
      <c r="O1572" s="54">
        <v>-1249</v>
      </c>
      <c r="P1572" s="29">
        <v>-27.755555560000001</v>
      </c>
      <c r="Q1572" s="55"/>
      <c r="R1572" s="31">
        <f>M1572+Q1572*J1572*K1572*0.07</f>
        <v>0</v>
      </c>
      <c r="S1572" s="66"/>
      <c r="T1572" s="32">
        <f>IF(AND(AD1572="EUR", F1572="Without EV deal"), R1572 + L1572,
IF(AND(AD1572="USD", F1572="Without EV deal"), R1572 + L1572,
IF(AND(AD1572="EUR", F1572="Steel Phoenix"), R1572 + S1572/U1572,
R1572 + S1572)))</f>
        <v>0</v>
      </c>
      <c r="U1572" s="57">
        <v>1.071</v>
      </c>
      <c r="V1572" s="69">
        <v>146.82203389830508</v>
      </c>
      <c r="W1572" s="69">
        <v>54.14037518037518</v>
      </c>
      <c r="X1572" s="30">
        <f>IF(AF1572="DoEV",IF(AND(V1572&lt;20,W1572&lt;55),0.3,0)+IF(AND(V1572&lt;20,W1572&gt;=55,W1572&lt;105),0.23,0)+IF(AND(V1572&lt;20,W1572&gt;=105),0.17,0)+IF(AND(V1572&gt;=20,V1572&lt;40,W1572&lt;45),0.3,0)+IF(AND(V1572&gt;=20,V1572&lt;40,W1572&gt;=45,W1572&lt;95),0.23,0)+IF(AND(V1572&gt;=20,V1572&lt;40,W1572&gt;=95),0.17,0)+IF(AND(V1572&gt;=40,V1572&lt;75,W1572&lt;35),0.3,0)+IF(AND(V1572&gt;=40,V1572&lt;75,W1572&gt;=35,W1572&lt;75),0.23,0)+IF(AND(V1572&gt;=40,V1572&lt;75,W1572&gt;=75,W1572&lt;120),0.17,0)+IF(AND(V1572&gt;=40,V1572&lt;75,W1572&gt;=120),0.12,0)+IF(AND(V1572&gt;=75,V1572&lt;175,W1572&lt;35),0.3,0)+IF(AND(V1572&gt;=75,V1572&lt;=175,W1572&gt;=35,W1572&lt;65),0.23,0)+IF(AND(V1572&gt;=75,V1572&lt;=175,W1572&gt;=65,W1572&lt;110),0.17,0)+IF(AND(V1572&gt;=75,V1572&lt;=175,W1572&gt;=110),0.12,0)+IF(AND(V1572&gt;175,W1572&lt;25),0.3,0)+IF(AND(V1572&gt;175,W1572&gt;=25,W1572&lt;55),0.23,0)+IF(AND(V1572&gt;175,W1572&gt;=55,W1572&lt;95),0.17,0)+IF(AND(V1572&gt;175,W1572&gt;=95),0.12,0),
IF(AF1572="Fix15",0.15,
IF(AF1572="Fix5",0.05,
IF(AF1572="Fix18.75",0.1875,
IF(AF1572="Fix11.25",0.1125,
IF(AF1572="Fix10",0.1,
IF(AF1572="Fix9",0.09,
IF(AF1572="Fix12",0.12,
IF(AF1572="Fix19",0.19,
IF(AF1572="DoEV2017",IF(AND(W1572&lt;74),0.2,0)+IF(AND(W1572&gt;=74),0.17,0),
IF(AF1572="SF",IF(AND(V1572&lt;20,W1572&lt;89),0.3,0)+IF(AND(V1572&lt;20,W1572&gt;=89),0.25,0)+IF(AND(V1572&gt;=20,V1572&lt;40,W1572&lt;74),0.3,0)+IF(AND(V1572&gt;=20,V1572&lt;40,W1572&gt;=75),0.22,0)+IF(AND(V1572&gt;=40,V1572&lt;75,W1572&lt;75),0.26,0)+IF(AND(V1572&gt;=40,V1572&lt;75,W1572&gt;=75),0.22,0)+IF(V1572&gt;=75,0.22,0),
IF(AF1572="DoEVold",IF(AND(V1572&lt;40,W1572&lt;35),0.35,0)+IF(AND(V1572&lt;40,W1572&gt;=35,W1572&lt;75),0.25,0)+IF(AND(V1572&lt;40,W1572&gt;=75),0.17,0)+IF(AND(V1572&gt;=40,V1572&lt;75,W1572&lt;25),0.35,0)+IF(AND(V1572&gt;=40,V1572&lt;75,W1572&gt;=25,W1572&lt;65),0.25,0)+IF(AND(V1572&gt;=40,V1572&lt;75,W1572&gt;=65,W1572&lt;100),0.17,0)+IF(AND(V1572&gt;=40,V1572&lt;75,W1572&gt;=100),0.1,0)+IF(AND(V1572&gt;=75,W1572&lt;25),0.35,0)+IF(AND(V1572&gt;=75,W1572&gt;=25,W1572&lt;60),0.25,0)+IF(AND(V1572&gt;=75,W1572&gt;=60,W1572&lt;95),0.17,0)+IF(AND(V1572&gt;=75,W1572&gt;=95),0.1,0),
IF(AF1572="DoEVold15",IF(AND(V1572&lt;=40,W1572&lt;35),0.35,0)+IF(AND(V1572&lt;=40,W1572&gt;=35,W1572&lt;75),0.25,0)+IF(AND(V1572&lt;=40,W1572&gt;=75,W1572&lt;120),0.17,0)+IF(AND(V1572&lt;=40,W1572&gt;=120),0.15,0)+IF(AND(V1572&gt;40,V1572&lt;75,W1572&lt;25),0.35,0)+IF(AND(V1572&gt;=40,V1572&lt;75,W1572&gt;=25,W1572&lt;65),0.25,0)+IF(AND(V1572&gt;=40,V1572&lt;75,W1572&gt;=65,W1572&lt;100),0.17,0)+IF(AND(V1572&gt;=40,V1572&lt;75,W1572&gt;=100),0.1,0)+IF(AND(V1572&gt;=75,W1572&lt;25),0.35,0)+IF(AND(V1572&gt;=75,W1572&gt;=25,W1572&lt;60),0.25,0)+IF(AND(V1572&gt;=75,W1572&gt;=60,W1572&lt;95),0.17,0)+IF(AND(V1572&gt;=75,W1572&gt;=95),0.1,0),
IF(AF1572="DoEVba",IF(AND(V1572&lt;20,W1572&lt;105),0.2,0)+IF(AND(V1572&lt;20,W1572&gt;=105),0.15,0)+IF(AND(V1572&gt;=20,V1572&lt;40,W1572&lt;95),0.2,0)+IF(AND(V1572&gt;=20,V1572&lt;40,W1572&gt;=95,W1572&lt;150),0.15,0)+IF(AND(V1572&gt;=20,V1572&lt;40,W1572&gt;=150),0.12,0)+IF(AND(V1572&gt;=40,V1572&lt;75,W1572&lt;75),0.2,0)+IF(AND(V1572&gt;=40,V1572&lt;75,W1572&gt;=75,W1572&lt;120),0.15,0)+IF(AND(V1572&gt;=40,V1572&lt;75,W1572&gt;=120),0.12,0)+IF(AND(V1572&gt;=75,V1572&lt;175,W1572&lt;65),0.2,0)+IF(AND(V1572&gt;=75,V1572&lt;175,W1572&gt;=65,W1572&lt;110),0.15,0)+IF(AND(V1572&gt;=75,V1572&lt;175,W1572&gt;=110),0.12,0)+IF(AND(V1572&gt;=175,W1572&lt;55),0.2,0)+IF(AND(V1572&gt;=175,W1572&gt;=55,W1572&lt;95),0.15,0)+IF(AND(V1572&gt;=175,W1572&gt;=95),0.12,0),
IF(AF1572="DoEVku",IF(AND(V1572&lt;20,W1572&lt;55),0.23,0)+IF(AND(V1572&lt;20,W1572&gt;=55,W1572&lt;105),0.2,0)+IF(AND(V1572&lt;20,W1572&gt;=105),0.17,0)+IF(AND(V1572&gt;=20,V1572&lt;40,W1572&lt;45),0.23,0)+IF(AND(V1572&gt;=20,V1572&lt;40,W1572&gt;=45,W1572&lt;95),0.2,0)+IF(AND(V1572&gt;=20,V1572&lt;40,W1572&gt;=95,W1572&lt;=150),0.17,0)+IF(AND(V1572&gt;=20,V1572&lt;40,W1572&gt;=150),0.12,0)+IF(AND(V1572&gt;=40,V1572&lt;75,W1572&lt;35),0.23,0)+IF(AND(V1572&gt;=40,V1572&lt;75,W1572&gt;=35,W1572&lt;75),0.2,0)+IF(AND(V1572&gt;=40,V1572&lt;75,W1572&gt;=75,W1572&lt;120),0.17,0)+IF(AND(V1572&gt;=40,V1572&lt;75,W1572&gt;=120),0.12,0)+IF(AND(V1572&gt;=75,V1572&lt;175,W1572&lt;35),0.23,0)+IF(AND(V1572&gt;=75,V1572&lt;=175,W1572&gt;=35,W1572&lt;65),0.2,0)+IF(AND(V1572&gt;=75,V1572&lt;=175,W1572&gt;=65,W1572&lt;110),0.17,0)+IF(AND(V1572&gt;=75,V1572&lt;=175,W1572&gt;=110),0.12,0)+IF(AND(V1572&gt;175,W1572&lt;25),0.23,0)+IF(AND(V1572&gt;175,W1572&gt;=25,W1572&lt;55),0.2,0)+IF(AND(V1572&gt;175,W1572&gt;=55,W1572&lt;95),0.17,0)+IF(AND(V1572&gt;175,W1572&gt;=95),0.12,0),
IF(AF1572="DoEVs1",IF(AND(V1572&lt;20,W1572&lt;55),0.3,0)+IF(AND(V1572&lt;20,W1572&gt;=55,W1572&lt;105),0.23,0)+IF(AND(V1572&lt;20,W1572&gt;=105),0.17,0)+IF(AND(V1572&gt;=20,V1572&lt;40,W1572&lt;45),0.3,0)+IF(AND(V1572&gt;=20,V1572&lt;40,W1572&gt;=45,W1572&lt;95),0.23,0)+IF(AND(V1572&gt;=20,V1572&lt;40,W1572&gt;=95,W1572&lt;=150),0.17,0)+IF(AND(V1572&gt;=20,V1572&lt;40,W1572&gt;=150),0.12,0)+IF(AND(V1572&gt;=40,V1572&lt;75,W1572&lt;35),0.3,0)+IF(AND(V1572&gt;=40,V1572&lt;75,W1572&gt;=35,W1572&lt;75),0.23,0)+IF(AND(V1572&gt;=40,V1572&lt;75,W1572&gt;=75,W1572&lt;120),0.17,0)+IF(AND(V1572&gt;=40,V1572&lt;75,W1572&gt;=120),0.12,0)+IF(AND(V1572&gt;=75,V1572&lt;175,W1572&lt;35),0.3,0)+IF(AND(V1572&gt;=75,V1572&lt;=175,W1572&gt;=35,W1572&lt;65),0.23,0)+IF(AND(V1572&gt;=75,V1572&lt;=175,W1572&gt;=65,W1572&lt;110),0.17,0)+IF(AND(V1572&gt;=75,V1572&lt;=175,W1572&gt;=110),0.12,0)+IF(AND(V1572&gt;175,W1572&lt;25),0.3,0)+IF(AND(V1572&gt;175,W1572&gt;=25,W1572&lt;55),0.23,0)+IF(AND(V1572&gt;175,W1572&gt;=55,W1572&lt;95),0.17,0)+IF(AND(V1572&gt;175,W1572&gt;=95),0.12,0),
IF(AF1572="DoEVsu",IF(AND(V1572&lt;20,W1572&lt;55),0.3,0)+IF(AND(V1572&lt;20,W1572&gt;=55,W1572&lt;105),0.23,0)+IF(AND(V1572&lt;20,W1572&gt;=105),0.17,0)+IF(AND(V1572&gt;=20,V1572&lt;40,W1572&lt;45),0.3,0)+IF(AND(V1572&gt;=20,V1572&lt;40,W1572&gt;=45,W1572&lt;95),0.23,0)+IF(AND(V1572&gt;=20,V1572&lt;40,W1572&gt;=95,W1572&lt;=250),0.17,0)+IF(AND(V1572&gt;=20,V1572&lt;40,W1572&gt;=250),0.12,0)+IF(AND(V1572&gt;=40,V1572&lt;75,W1572&lt;35),0.3,0)+IF(AND(V1572&gt;=40,V1572&lt;75,W1572&gt;=35,W1572&lt;75),0.23,0)+IF(AND(V1572&gt;=40,V1572&lt;75,W1572&gt;=75,W1572&lt;120),0.17,0)+IF(AND(V1572&gt;=40,V1572&lt;75,W1572&gt;=120),0.12,0)+IF(AND(V1572&gt;=75,V1572&lt;175,W1572&lt;35),0.3,0)+IF(AND(V1572&gt;=75,V1572&lt;=175,W1572&gt;=35,W1572&lt;65),0.23,0)+IF(AND(V1572&gt;=75,V1572&lt;=175,W1572&gt;=65,W1572&lt;110),0.17,0)+IF(AND(V1572&gt;=75,V1572&lt;=175,W1572&gt;=110),0.12,0)+IF(AND(V1572&gt;175,W1572&lt;25),0.3,0)+IF(AND(V1572&gt;175,W1572&gt;=25,W1572&lt;55),0.23,0)+IF(AND(V1572&gt;175,W1572&gt;=55,W1572&lt;95),0.17,0)+IF(AND(V1572&gt;175,W1572&gt;=95),0.12,0),
IF(AF1572="DoEVni",IF(AND(V1572&lt;20,W1572&lt;55),0.3,0)+IF(AND(V1572&lt;20,W1572&gt;=55,W1572&lt;105),0.23,0)+IF(AND(V1572&lt;20,W1572&gt;=105),0.17,0)+IF(AND(V1572&gt;=20,V1572&lt;40,W1572&lt;45),0.3,0)+IF(AND(V1572&gt;=20,V1572&lt;40,W1572&gt;=45,W1572&lt;95),0.23,0)+IF(AND(V1572&gt;=20,V1572&lt;40,W1572&gt;=95,W1572&lt;=200),0.17,0)+IF(AND(V1572&gt;=20,V1572&lt;40,W1572&gt;=200),0.12,0)+IF(AND(V1572&gt;=40,V1572&lt;75,W1572&lt;35),0.3,0)+IF(AND(V1572&gt;=40,V1572&lt;75,W1572&gt;=35,W1572&lt;75),0.23,0)+IF(AND(V1572&gt;=40,V1572&lt;75,W1572&gt;=75,W1572&lt;120),0.17,0)+IF(AND(V1572&gt;=40,V1572&lt;75,W1572&gt;=120),0.12,0)+IF(AND(V1572&gt;=75,V1572&lt;175,W1572&lt;35),0.3,0)+IF(AND(V1572&gt;=75,V1572&lt;=175,W1572&gt;=35,W1572&lt;65),0.23,0)+IF(AND(V1572&gt;=75,V1572&lt;=175,W1572&gt;=65,W1572&lt;110),0.17,0)+IF(AND(V1572&gt;=75,V1572&lt;=175,W1572&gt;=110),0.12,0)+IF(AND(V1572&gt;175,W1572&lt;25),0.3,0)+IF(AND(V1572&gt;175,W1572&gt;=25,W1572&lt;55),0.23,0)+IF(AND(V1572&gt;175,W1572&gt;=55,W1572&lt;95),0.17,0)+IF(AND(V1572&gt;175,W1572&gt;=95),0.12,0),
IF(AF1572="DoEVLo",IF(AND(V1572&lt;20,W1572&lt;55),0.25,0)+IF(AND(V1572&lt;20,W1572&gt;=55,W1572&lt;105),0.2,0)+IF(AND(V1572&lt;20,W1572&gt;=105),0.15,0)+IF(AND(V1572&gt;=20,V1572&lt;40,W1572&lt;45),0.25,0)+IF(AND(V1572&gt;=20,V1572&lt;40,W1572&gt;=45,W1572&lt;95),0.2,0)+IF(AND(V1572&gt;=20,V1572&lt;40,W1572&gt;=95),0.15,0)+IF(AND(V1572&gt;=40,V1572&lt;75,W1572&lt;35),0.25,0)+IF(AND(V1572&gt;=40,V1572&lt;75,W1572&gt;=35,W1572&lt;75),0.2,0)+IF(AND(V1572&gt;=40,V1572&lt;75,W1572&gt;=75,W1572&lt;120),0.15,0)+IF(AND(V1572&gt;=40,V1572&lt;75,W1572&gt;=120),0.1,0)+IF(AND(V1572&gt;=75,V1572&lt;175,W1572&lt;35),0.25,0)+IF(AND(V1572&gt;=75,V1572&lt;=175,W1572&gt;=35,W1572&lt;65),0.2,0)+IF(AND(V1572&gt;=75,V1572&lt;=175,W1572&gt;=65,W1572&lt;110),0.15,0)+IF(AND(V1572&gt;=75,V1572&lt;=175,W1572&gt;=110),0.1,0)+IF(AND(V1572&gt;175,W1572&lt;25),0.25,0)+IF(AND(V1572&gt;175,W1572&gt;=25,W1572&lt;55),0.2,0)+IF(AND(V1572&gt;175,W1572&gt;=55,W1572&lt;95),0.15,0)+IF(AND(V1572&gt;175,W1572&gt;=95),0.1,0))))))))))))))))))))</f>
        <v>0.1</v>
      </c>
      <c r="Y1572" s="30">
        <f>IF(AG1572="None",0,IF(AG1572="Fix5",0.05, IF(AG1572="Fix6.25",0.0625,IF(AG1572="Fix3.75",0.0375, IF(AG1572="Fix11",0.11, IF(AG1572="Fix10",0.1,IF(AG1572="Fix3",0.03,0)))))))</f>
        <v>0</v>
      </c>
      <c r="Z1572" s="35">
        <f>IF(AND(AD1572="EUR", AE1572 = "USD"), T1572*U1572-AA1572-AB1572, T1572-AA1572-AB1572)</f>
        <v>0</v>
      </c>
      <c r="AA1572" s="29">
        <f>IF(AND(AD1572="EUR", F1572="Without EV deal", AE1572="USD"), (T1572*X1572)*U1572,
IF(AND(AD1572="EUR", F1572="Without EV deal", AE1572="EUR"), (T1572*X1572),
IF(AND(AD1572="EUR",AE1572="USD"), (T1572*X1572)*U1572,
T1572*X1572)))</f>
        <v>0</v>
      </c>
      <c r="AB1572" s="36">
        <f>IF(AND(AD1572="EUR", F1572="Without EV deal", AE1572="USD"), (T1572*Y1572)*U1572,
IF(AND(AD1572="EUR", F1572="Without EV deal", AE1572="EUR"), (T1572*Y1572),
IF(AND(AD1572="EUR",AE1572="USD"), (T1572*Y1572)*U1572,
T1572*Y1572)))</f>
        <v>0</v>
      </c>
      <c r="AC1572" s="61" t="b">
        <v>1</v>
      </c>
      <c r="AD1572" s="82" t="str">
        <f>IF(OR(H1572="€0.25 Flash",
H1572="€0.25(nitro) new",
H1572="€1",
H1572="€2",
H1572="€2 (bf 01.08)",
H1572="€5",
H1572="€5 (1M)",
H1572="€5 (bf 01.08)",
H1572="€5 (bf 05.05)",
H1572="€5 Nitro",
H1572="€5(wx) new",
H1572="€10",
H1572="€10 (1M)",
H1572="€10 (bf 01.08)",
H1572="€10 (bf 05.05)",
H1572="€10 (MP)",
H1572="€10 (old)",
H1572="€10 Nitro (bf 05.05)",
H1572="€10 Nitro (old)",
H1572="€10(wx) new",
H1572="€20",
H1572="€25",
H1572="€25 (bf 01.08)",
H1572="€25 (bf 05.05)",
H1572="€25 (MP)",
H1572="€25 (old)",
H1572="€25 Nitro",
H1572="€25 Nitro (bf 01.08)",
H1572="€25 Nitro (bf 05.05)",
H1572="€25(nitro) new",
H1572="€25(wx) new",
H1572="€50",
H1572="€50 (bf 01.08)",
H1572="€50 (bf 05.05)",
H1572="€50 (old)",
H1572="€50 Nitro",
H1572="€50 Nitro (bf 01.08)",
H1572="€50 Nitro (bf 05.05)",
H1572="€50(wx) new",
H1572="€100",
H1572="€100 (old)",
H1572="€100 Nitro",
H1572="€100 Nitro (old)",
H1572="€200",
H1572="€250",
H1572="€250 Nitro",
H1572="€500",
H1572="€500 Nitro"),"EUR", "USD")</f>
        <v>USD</v>
      </c>
      <c r="AE1572" s="83" t="s">
        <v>38</v>
      </c>
      <c r="AF1572" s="83" t="str">
        <f t="array" ref="AF1572">INDEX('Deal Info'!D:D, MATCH(A1572,'Deal Info'!A:A, 0))</f>
        <v>Fix10</v>
      </c>
      <c r="AG1572" s="84" t="str">
        <f t="array" ref="AG1572">INDEX('Deal Info'!G:G, MATCH(A1572,'Deal Info'!A:A, 0))</f>
        <v>None</v>
      </c>
    </row>
    <row r="1573" spans="1:33" ht="14.25" hidden="1" x14ac:dyDescent="0.2">
      <c r="A1573" s="18" t="str">
        <f t="array" ref="A1573">IF(G1573='Room Info'!$B$1, INDEX('Room Info'!$A$2:$A2446, MATCH(B1573,'Room Info'!$B$2:$B2446, 0)),IF(G1573='Room Info'!$C$1, INDEX('Room Info'!$A$2:$A2446, MATCH(B1573,'Room Info'!$C$2:$C2446, 0)),IF(G1573='Room Info'!$D$1, INDEX('Room Info'!$A$2:$A2446, MATCH(B1573,'Room Info'!$D$2:$D2446, 0)),IF(G1573='Room Info'!$E$1, INDEX('Room Info'!$A$2:$A2446, MATCH(B1573,'Room Info'!$E$2:$E2446, 0)),IF(G1573='Room Info'!$F$1, INDEX('Room Info'!$A$2:$A2446, MATCH(B1573,'Room Info'!$F$2:$F2446, 0)),IF(G1573='Room Info'!$H$1, INDEX('Room Info'!$A$2:$A2446, MATCH(B1573,'Room Info'!$H$2:$H2446, 0)),IF(G1573='Room Info'!$G$1, INDEX('Room Info'!$A$2:$A2446, MATCH(B1573,'Room Info'!$G$2:$G2446, 0)))))))))</f>
        <v>volkovsky</v>
      </c>
      <c r="B1573" s="54" t="s">
        <v>206</v>
      </c>
      <c r="C1573" s="46">
        <v>44978</v>
      </c>
      <c r="D1573" s="46">
        <v>45005</v>
      </c>
      <c r="E1573" s="90">
        <v>44986</v>
      </c>
      <c r="F1573" s="48" t="s">
        <v>34</v>
      </c>
      <c r="G1573" s="65" t="s">
        <v>35</v>
      </c>
      <c r="H1573" s="54" t="s">
        <v>88</v>
      </c>
      <c r="I1573" s="100" t="s">
        <v>37</v>
      </c>
      <c r="J1573" s="39">
        <v>250</v>
      </c>
      <c r="K1573" s="51">
        <v>87</v>
      </c>
      <c r="L1573" s="52">
        <v>2750</v>
      </c>
      <c r="M1573" s="62"/>
      <c r="N1573" s="28">
        <f>K1573*J1573</f>
        <v>21750</v>
      </c>
      <c r="O1573" s="54">
        <v>5616</v>
      </c>
      <c r="P1573" s="29">
        <v>64.551724140000005</v>
      </c>
      <c r="Q1573" s="55"/>
      <c r="R1573" s="31">
        <f>M1573+Q1573*J1573*K1573*0.07</f>
        <v>0</v>
      </c>
      <c r="S1573" s="66"/>
      <c r="T1573" s="32">
        <f>IF(AND(AD1573="EUR", F1573="Without EV deal"), R1573 + L1573,
IF(AND(AD1573="USD", F1573="Without EV deal"), R1573 + L1573,
IF(AND(AD1573="EUR", F1573="Steel Phoenix"), R1573 + S1573/U1573,
R1573 + S1573)))</f>
        <v>0</v>
      </c>
      <c r="U1573" s="57">
        <v>1.071</v>
      </c>
      <c r="V1573" s="69">
        <v>146.82203389830508</v>
      </c>
      <c r="W1573" s="69">
        <v>54.14037518037518</v>
      </c>
      <c r="X1573" s="30">
        <f>IF(AF1573="DoEV",IF(AND(V1573&lt;20,W1573&lt;55),0.3,0)+IF(AND(V1573&lt;20,W1573&gt;=55,W1573&lt;105),0.23,0)+IF(AND(V1573&lt;20,W1573&gt;=105),0.17,0)+IF(AND(V1573&gt;=20,V1573&lt;40,W1573&lt;45),0.3,0)+IF(AND(V1573&gt;=20,V1573&lt;40,W1573&gt;=45,W1573&lt;95),0.23,0)+IF(AND(V1573&gt;=20,V1573&lt;40,W1573&gt;=95),0.17,0)+IF(AND(V1573&gt;=40,V1573&lt;75,W1573&lt;35),0.3,0)+IF(AND(V1573&gt;=40,V1573&lt;75,W1573&gt;=35,W1573&lt;75),0.23,0)+IF(AND(V1573&gt;=40,V1573&lt;75,W1573&gt;=75,W1573&lt;120),0.17,0)+IF(AND(V1573&gt;=40,V1573&lt;75,W1573&gt;=120),0.12,0)+IF(AND(V1573&gt;=75,V1573&lt;175,W1573&lt;35),0.3,0)+IF(AND(V1573&gt;=75,V1573&lt;=175,W1573&gt;=35,W1573&lt;65),0.23,0)+IF(AND(V1573&gt;=75,V1573&lt;=175,W1573&gt;=65,W1573&lt;110),0.17,0)+IF(AND(V1573&gt;=75,V1573&lt;=175,W1573&gt;=110),0.12,0)+IF(AND(V1573&gt;175,W1573&lt;25),0.3,0)+IF(AND(V1573&gt;175,W1573&gt;=25,W1573&lt;55),0.23,0)+IF(AND(V1573&gt;175,W1573&gt;=55,W1573&lt;95),0.17,0)+IF(AND(V1573&gt;175,W1573&gt;=95),0.12,0),
IF(AF1573="Fix15",0.15,
IF(AF1573="Fix5",0.05,
IF(AF1573="Fix18.75",0.1875,
IF(AF1573="Fix11.25",0.1125,
IF(AF1573="Fix10",0.1,
IF(AF1573="Fix9",0.09,
IF(AF1573="Fix12",0.12,
IF(AF1573="Fix19",0.19,
IF(AF1573="DoEV2017",IF(AND(W1573&lt;74),0.2,0)+IF(AND(W1573&gt;=74),0.17,0),
IF(AF1573="SF",IF(AND(V1573&lt;20,W1573&lt;89),0.3,0)+IF(AND(V1573&lt;20,W1573&gt;=89),0.25,0)+IF(AND(V1573&gt;=20,V1573&lt;40,W1573&lt;74),0.3,0)+IF(AND(V1573&gt;=20,V1573&lt;40,W1573&gt;=75),0.22,0)+IF(AND(V1573&gt;=40,V1573&lt;75,W1573&lt;75),0.26,0)+IF(AND(V1573&gt;=40,V1573&lt;75,W1573&gt;=75),0.22,0)+IF(V1573&gt;=75,0.22,0),
IF(AF1573="DoEVold",IF(AND(V1573&lt;40,W1573&lt;35),0.35,0)+IF(AND(V1573&lt;40,W1573&gt;=35,W1573&lt;75),0.25,0)+IF(AND(V1573&lt;40,W1573&gt;=75),0.17,0)+IF(AND(V1573&gt;=40,V1573&lt;75,W1573&lt;25),0.35,0)+IF(AND(V1573&gt;=40,V1573&lt;75,W1573&gt;=25,W1573&lt;65),0.25,0)+IF(AND(V1573&gt;=40,V1573&lt;75,W1573&gt;=65,W1573&lt;100),0.17,0)+IF(AND(V1573&gt;=40,V1573&lt;75,W1573&gt;=100),0.1,0)+IF(AND(V1573&gt;=75,W1573&lt;25),0.35,0)+IF(AND(V1573&gt;=75,W1573&gt;=25,W1573&lt;60),0.25,0)+IF(AND(V1573&gt;=75,W1573&gt;=60,W1573&lt;95),0.17,0)+IF(AND(V1573&gt;=75,W1573&gt;=95),0.1,0),
IF(AF1573="DoEVold15",IF(AND(V1573&lt;=40,W1573&lt;35),0.35,0)+IF(AND(V1573&lt;=40,W1573&gt;=35,W1573&lt;75),0.25,0)+IF(AND(V1573&lt;=40,W1573&gt;=75,W1573&lt;120),0.17,0)+IF(AND(V1573&lt;=40,W1573&gt;=120),0.15,0)+IF(AND(V1573&gt;40,V1573&lt;75,W1573&lt;25),0.35,0)+IF(AND(V1573&gt;=40,V1573&lt;75,W1573&gt;=25,W1573&lt;65),0.25,0)+IF(AND(V1573&gt;=40,V1573&lt;75,W1573&gt;=65,W1573&lt;100),0.17,0)+IF(AND(V1573&gt;=40,V1573&lt;75,W1573&gt;=100),0.1,0)+IF(AND(V1573&gt;=75,W1573&lt;25),0.35,0)+IF(AND(V1573&gt;=75,W1573&gt;=25,W1573&lt;60),0.25,0)+IF(AND(V1573&gt;=75,W1573&gt;=60,W1573&lt;95),0.17,0)+IF(AND(V1573&gt;=75,W1573&gt;=95),0.1,0),
IF(AF1573="DoEVba",IF(AND(V1573&lt;20,W1573&lt;105),0.2,0)+IF(AND(V1573&lt;20,W1573&gt;=105),0.15,0)+IF(AND(V1573&gt;=20,V1573&lt;40,W1573&lt;95),0.2,0)+IF(AND(V1573&gt;=20,V1573&lt;40,W1573&gt;=95,W1573&lt;150),0.15,0)+IF(AND(V1573&gt;=20,V1573&lt;40,W1573&gt;=150),0.12,0)+IF(AND(V1573&gt;=40,V1573&lt;75,W1573&lt;75),0.2,0)+IF(AND(V1573&gt;=40,V1573&lt;75,W1573&gt;=75,W1573&lt;120),0.15,0)+IF(AND(V1573&gt;=40,V1573&lt;75,W1573&gt;=120),0.12,0)+IF(AND(V1573&gt;=75,V1573&lt;175,W1573&lt;65),0.2,0)+IF(AND(V1573&gt;=75,V1573&lt;175,W1573&gt;=65,W1573&lt;110),0.15,0)+IF(AND(V1573&gt;=75,V1573&lt;175,W1573&gt;=110),0.12,0)+IF(AND(V1573&gt;=175,W1573&lt;55),0.2,0)+IF(AND(V1573&gt;=175,W1573&gt;=55,W1573&lt;95),0.15,0)+IF(AND(V1573&gt;=175,W1573&gt;=95),0.12,0),
IF(AF1573="DoEVku",IF(AND(V1573&lt;20,W1573&lt;55),0.23,0)+IF(AND(V1573&lt;20,W1573&gt;=55,W1573&lt;105),0.2,0)+IF(AND(V1573&lt;20,W1573&gt;=105),0.17,0)+IF(AND(V1573&gt;=20,V1573&lt;40,W1573&lt;45),0.23,0)+IF(AND(V1573&gt;=20,V1573&lt;40,W1573&gt;=45,W1573&lt;95),0.2,0)+IF(AND(V1573&gt;=20,V1573&lt;40,W1573&gt;=95,W1573&lt;=150),0.17,0)+IF(AND(V1573&gt;=20,V1573&lt;40,W1573&gt;=150),0.12,0)+IF(AND(V1573&gt;=40,V1573&lt;75,W1573&lt;35),0.23,0)+IF(AND(V1573&gt;=40,V1573&lt;75,W1573&gt;=35,W1573&lt;75),0.2,0)+IF(AND(V1573&gt;=40,V1573&lt;75,W1573&gt;=75,W1573&lt;120),0.17,0)+IF(AND(V1573&gt;=40,V1573&lt;75,W1573&gt;=120),0.12,0)+IF(AND(V1573&gt;=75,V1573&lt;175,W1573&lt;35),0.23,0)+IF(AND(V1573&gt;=75,V1573&lt;=175,W1573&gt;=35,W1573&lt;65),0.2,0)+IF(AND(V1573&gt;=75,V1573&lt;=175,W1573&gt;=65,W1573&lt;110),0.17,0)+IF(AND(V1573&gt;=75,V1573&lt;=175,W1573&gt;=110),0.12,0)+IF(AND(V1573&gt;175,W1573&lt;25),0.23,0)+IF(AND(V1573&gt;175,W1573&gt;=25,W1573&lt;55),0.2,0)+IF(AND(V1573&gt;175,W1573&gt;=55,W1573&lt;95),0.17,0)+IF(AND(V1573&gt;175,W1573&gt;=95),0.12,0),
IF(AF1573="DoEVs1",IF(AND(V1573&lt;20,W1573&lt;55),0.3,0)+IF(AND(V1573&lt;20,W1573&gt;=55,W1573&lt;105),0.23,0)+IF(AND(V1573&lt;20,W1573&gt;=105),0.17,0)+IF(AND(V1573&gt;=20,V1573&lt;40,W1573&lt;45),0.3,0)+IF(AND(V1573&gt;=20,V1573&lt;40,W1573&gt;=45,W1573&lt;95),0.23,0)+IF(AND(V1573&gt;=20,V1573&lt;40,W1573&gt;=95,W1573&lt;=150),0.17,0)+IF(AND(V1573&gt;=20,V1573&lt;40,W1573&gt;=150),0.12,0)+IF(AND(V1573&gt;=40,V1573&lt;75,W1573&lt;35),0.3,0)+IF(AND(V1573&gt;=40,V1573&lt;75,W1573&gt;=35,W1573&lt;75),0.23,0)+IF(AND(V1573&gt;=40,V1573&lt;75,W1573&gt;=75,W1573&lt;120),0.17,0)+IF(AND(V1573&gt;=40,V1573&lt;75,W1573&gt;=120),0.12,0)+IF(AND(V1573&gt;=75,V1573&lt;175,W1573&lt;35),0.3,0)+IF(AND(V1573&gt;=75,V1573&lt;=175,W1573&gt;=35,W1573&lt;65),0.23,0)+IF(AND(V1573&gt;=75,V1573&lt;=175,W1573&gt;=65,W1573&lt;110),0.17,0)+IF(AND(V1573&gt;=75,V1573&lt;=175,W1573&gt;=110),0.12,0)+IF(AND(V1573&gt;175,W1573&lt;25),0.3,0)+IF(AND(V1573&gt;175,W1573&gt;=25,W1573&lt;55),0.23,0)+IF(AND(V1573&gt;175,W1573&gt;=55,W1573&lt;95),0.17,0)+IF(AND(V1573&gt;175,W1573&gt;=95),0.12,0),
IF(AF1573="DoEVsu",IF(AND(V1573&lt;20,W1573&lt;55),0.3,0)+IF(AND(V1573&lt;20,W1573&gt;=55,W1573&lt;105),0.23,0)+IF(AND(V1573&lt;20,W1573&gt;=105),0.17,0)+IF(AND(V1573&gt;=20,V1573&lt;40,W1573&lt;45),0.3,0)+IF(AND(V1573&gt;=20,V1573&lt;40,W1573&gt;=45,W1573&lt;95),0.23,0)+IF(AND(V1573&gt;=20,V1573&lt;40,W1573&gt;=95,W1573&lt;=250),0.17,0)+IF(AND(V1573&gt;=20,V1573&lt;40,W1573&gt;=250),0.12,0)+IF(AND(V1573&gt;=40,V1573&lt;75,W1573&lt;35),0.3,0)+IF(AND(V1573&gt;=40,V1573&lt;75,W1573&gt;=35,W1573&lt;75),0.23,0)+IF(AND(V1573&gt;=40,V1573&lt;75,W1573&gt;=75,W1573&lt;120),0.17,0)+IF(AND(V1573&gt;=40,V1573&lt;75,W1573&gt;=120),0.12,0)+IF(AND(V1573&gt;=75,V1573&lt;175,W1573&lt;35),0.3,0)+IF(AND(V1573&gt;=75,V1573&lt;=175,W1573&gt;=35,W1573&lt;65),0.23,0)+IF(AND(V1573&gt;=75,V1573&lt;=175,W1573&gt;=65,W1573&lt;110),0.17,0)+IF(AND(V1573&gt;=75,V1573&lt;=175,W1573&gt;=110),0.12,0)+IF(AND(V1573&gt;175,W1573&lt;25),0.3,0)+IF(AND(V1573&gt;175,W1573&gt;=25,W1573&lt;55),0.23,0)+IF(AND(V1573&gt;175,W1573&gt;=55,W1573&lt;95),0.17,0)+IF(AND(V1573&gt;175,W1573&gt;=95),0.12,0),
IF(AF1573="DoEVni",IF(AND(V1573&lt;20,W1573&lt;55),0.3,0)+IF(AND(V1573&lt;20,W1573&gt;=55,W1573&lt;105),0.23,0)+IF(AND(V1573&lt;20,W1573&gt;=105),0.17,0)+IF(AND(V1573&gt;=20,V1573&lt;40,W1573&lt;45),0.3,0)+IF(AND(V1573&gt;=20,V1573&lt;40,W1573&gt;=45,W1573&lt;95),0.23,0)+IF(AND(V1573&gt;=20,V1573&lt;40,W1573&gt;=95,W1573&lt;=200),0.17,0)+IF(AND(V1573&gt;=20,V1573&lt;40,W1573&gt;=200),0.12,0)+IF(AND(V1573&gt;=40,V1573&lt;75,W1573&lt;35),0.3,0)+IF(AND(V1573&gt;=40,V1573&lt;75,W1573&gt;=35,W1573&lt;75),0.23,0)+IF(AND(V1573&gt;=40,V1573&lt;75,W1573&gt;=75,W1573&lt;120),0.17,0)+IF(AND(V1573&gt;=40,V1573&lt;75,W1573&gt;=120),0.12,0)+IF(AND(V1573&gt;=75,V1573&lt;175,W1573&lt;35),0.3,0)+IF(AND(V1573&gt;=75,V1573&lt;=175,W1573&gt;=35,W1573&lt;65),0.23,0)+IF(AND(V1573&gt;=75,V1573&lt;=175,W1573&gt;=65,W1573&lt;110),0.17,0)+IF(AND(V1573&gt;=75,V1573&lt;=175,W1573&gt;=110),0.12,0)+IF(AND(V1573&gt;175,W1573&lt;25),0.3,0)+IF(AND(V1573&gt;175,W1573&gt;=25,W1573&lt;55),0.23,0)+IF(AND(V1573&gt;175,W1573&gt;=55,W1573&lt;95),0.17,0)+IF(AND(V1573&gt;175,W1573&gt;=95),0.12,0),
IF(AF1573="DoEVLo",IF(AND(V1573&lt;20,W1573&lt;55),0.25,0)+IF(AND(V1573&lt;20,W1573&gt;=55,W1573&lt;105),0.2,0)+IF(AND(V1573&lt;20,W1573&gt;=105),0.15,0)+IF(AND(V1573&gt;=20,V1573&lt;40,W1573&lt;45),0.25,0)+IF(AND(V1573&gt;=20,V1573&lt;40,W1573&gt;=45,W1573&lt;95),0.2,0)+IF(AND(V1573&gt;=20,V1573&lt;40,W1573&gt;=95),0.15,0)+IF(AND(V1573&gt;=40,V1573&lt;75,W1573&lt;35),0.25,0)+IF(AND(V1573&gt;=40,V1573&lt;75,W1573&gt;=35,W1573&lt;75),0.2,0)+IF(AND(V1573&gt;=40,V1573&lt;75,W1573&gt;=75,W1573&lt;120),0.15,0)+IF(AND(V1573&gt;=40,V1573&lt;75,W1573&gt;=120),0.1,0)+IF(AND(V1573&gt;=75,V1573&lt;175,W1573&lt;35),0.25,0)+IF(AND(V1573&gt;=75,V1573&lt;=175,W1573&gt;=35,W1573&lt;65),0.2,0)+IF(AND(V1573&gt;=75,V1573&lt;=175,W1573&gt;=65,W1573&lt;110),0.15,0)+IF(AND(V1573&gt;=75,V1573&lt;=175,W1573&gt;=110),0.1,0)+IF(AND(V1573&gt;175,W1573&lt;25),0.25,0)+IF(AND(V1573&gt;175,W1573&gt;=25,W1573&lt;55),0.2,0)+IF(AND(V1573&gt;175,W1573&gt;=55,W1573&lt;95),0.15,0)+IF(AND(V1573&gt;175,W1573&gt;=95),0.1,0))))))))))))))))))))</f>
        <v>0.1</v>
      </c>
      <c r="Y1573" s="30">
        <f>IF(AG1573="None",0,IF(AG1573="Fix5",0.05, IF(AG1573="Fix6.25",0.0625,IF(AG1573="Fix3.75",0.0375, IF(AG1573="Fix11",0.11, IF(AG1573="Fix10",0.1,IF(AG1573="Fix3",0.03,0)))))))</f>
        <v>0</v>
      </c>
      <c r="Z1573" s="35">
        <f>IF(AND(AD1573="EUR", AE1573 = "USD"), T1573*U1573-AA1573-AB1573, T1573-AA1573-AB1573)</f>
        <v>0</v>
      </c>
      <c r="AA1573" s="29">
        <f>IF(AND(AD1573="EUR", F1573="Without EV deal", AE1573="USD"), (T1573*X1573)*U1573,
IF(AND(AD1573="EUR", F1573="Without EV deal", AE1573="EUR"), (T1573*X1573),
IF(AND(AD1573="EUR",AE1573="USD"), (T1573*X1573)*U1573,
T1573*X1573)))</f>
        <v>0</v>
      </c>
      <c r="AB1573" s="36">
        <f>IF(AND(AD1573="EUR", F1573="Without EV deal", AE1573="USD"), (T1573*Y1573)*U1573,
IF(AND(AD1573="EUR", F1573="Without EV deal", AE1573="EUR"), (T1573*Y1573),
IF(AND(AD1573="EUR",AE1573="USD"), (T1573*Y1573)*U1573,
T1573*Y1573)))</f>
        <v>0</v>
      </c>
      <c r="AC1573" s="61" t="b">
        <v>1</v>
      </c>
      <c r="AD1573" s="82" t="str">
        <f>IF(OR(H1573="€0.25 Flash",
H1573="€0.25(nitro) new",
H1573="€1",
H1573="€2",
H1573="€2 (bf 01.08)",
H1573="€5",
H1573="€5 (1M)",
H1573="€5 (bf 01.08)",
H1573="€5 (bf 05.05)",
H1573="€5 Nitro",
H1573="€5(wx) new",
H1573="€10",
H1573="€10 (1M)",
H1573="€10 (bf 01.08)",
H1573="€10 (bf 05.05)",
H1573="€10 (MP)",
H1573="€10 (old)",
H1573="€10 Nitro (bf 05.05)",
H1573="€10 Nitro (old)",
H1573="€10(wx) new",
H1573="€20",
H1573="€25",
H1573="€25 (bf 01.08)",
H1573="€25 (bf 05.05)",
H1573="€25 (MP)",
H1573="€25 (old)",
H1573="€25 Nitro",
H1573="€25 Nitro (bf 01.08)",
H1573="€25 Nitro (bf 05.05)",
H1573="€25(nitro) new",
H1573="€25(wx) new",
H1573="€50",
H1573="€50 (bf 01.08)",
H1573="€50 (bf 05.05)",
H1573="€50 (old)",
H1573="€50 Nitro",
H1573="€50 Nitro (bf 01.08)",
H1573="€50 Nitro (bf 05.05)",
H1573="€50(wx) new",
H1573="€100",
H1573="€100 (old)",
H1573="€100 Nitro",
H1573="€100 Nitro (old)",
H1573="€200",
H1573="€250",
H1573="€250 Nitro",
H1573="€500",
H1573="€500 Nitro"),"EUR", "USD")</f>
        <v>USD</v>
      </c>
      <c r="AE1573" s="83" t="s">
        <v>38</v>
      </c>
      <c r="AF1573" s="83" t="str">
        <f t="array" ref="AF1573">INDEX('Deal Info'!D:D, MATCH(A1573,'Deal Info'!A:A, 0))</f>
        <v>Fix10</v>
      </c>
      <c r="AG1573" s="84" t="str">
        <f t="array" ref="AG1573">INDEX('Deal Info'!G:G, MATCH(A1573,'Deal Info'!A:A, 0))</f>
        <v>None</v>
      </c>
    </row>
    <row r="1574" spans="1:33" ht="14.25" hidden="1" x14ac:dyDescent="0.2">
      <c r="A1574" s="18" t="str">
        <f t="array" ref="A1574">IF(G1574='Room Info'!$B$1, INDEX('Room Info'!$A$2:$A2446, MATCH(B1574,'Room Info'!$B$2:$B2446, 0)),IF(G1574='Room Info'!$C$1, INDEX('Room Info'!$A$2:$A2446, MATCH(B1574,'Room Info'!$C$2:$C2446, 0)),IF(G1574='Room Info'!$D$1, INDEX('Room Info'!$A$2:$A2446, MATCH(B1574,'Room Info'!$D$2:$D2446, 0)),IF(G1574='Room Info'!$E$1, INDEX('Room Info'!$A$2:$A2446, MATCH(B1574,'Room Info'!$E$2:$E2446, 0)),IF(G1574='Room Info'!$F$1, INDEX('Room Info'!$A$2:$A2446, MATCH(B1574,'Room Info'!$F$2:$F2446, 0)),IF(G1574='Room Info'!$H$1, INDEX('Room Info'!$A$2:$A2446, MATCH(B1574,'Room Info'!$H$2:$H2446, 0)),IF(G1574='Room Info'!$G$1, INDEX('Room Info'!$A$2:$A2446, MATCH(B1574,'Room Info'!$G$2:$G2446, 0)))))))))</f>
        <v>volkovsky</v>
      </c>
      <c r="B1574" s="54" t="s">
        <v>206</v>
      </c>
      <c r="C1574" s="46">
        <v>44978</v>
      </c>
      <c r="D1574" s="46">
        <v>45005</v>
      </c>
      <c r="E1574" s="90">
        <v>44986</v>
      </c>
      <c r="F1574" s="48" t="s">
        <v>34</v>
      </c>
      <c r="G1574" s="65" t="s">
        <v>35</v>
      </c>
      <c r="H1574" s="54" t="s">
        <v>148</v>
      </c>
      <c r="I1574" s="54" t="s">
        <v>44</v>
      </c>
      <c r="J1574" s="39">
        <v>250</v>
      </c>
      <c r="K1574" s="51">
        <v>134</v>
      </c>
      <c r="L1574" s="52">
        <v>-5750</v>
      </c>
      <c r="M1574" s="62"/>
      <c r="N1574" s="28">
        <f>K1574*J1574</f>
        <v>33500</v>
      </c>
      <c r="O1574" s="54">
        <v>898</v>
      </c>
      <c r="P1574" s="29">
        <v>6.701492537</v>
      </c>
      <c r="Q1574" s="55"/>
      <c r="R1574" s="31">
        <f>M1574+Q1574*J1574*K1574*0.07</f>
        <v>0</v>
      </c>
      <c r="S1574" s="66"/>
      <c r="T1574" s="32">
        <f>IF(AND(AD1574="EUR", F1574="Without EV deal"), R1574 + L1574,
IF(AND(AD1574="USD", F1574="Without EV deal"), R1574 + L1574,
IF(AND(AD1574="EUR", F1574="Steel Phoenix"), R1574 + S1574/U1574,
R1574 + S1574)))</f>
        <v>0</v>
      </c>
      <c r="U1574" s="57">
        <v>1.071</v>
      </c>
      <c r="V1574" s="69">
        <v>146.82203389830508</v>
      </c>
      <c r="W1574" s="69">
        <v>54.14037518037518</v>
      </c>
      <c r="X1574" s="30">
        <f>IF(AF1574="DoEV",IF(AND(V1574&lt;20,W1574&lt;55),0.3,0)+IF(AND(V1574&lt;20,W1574&gt;=55,W1574&lt;105),0.23,0)+IF(AND(V1574&lt;20,W1574&gt;=105),0.17,0)+IF(AND(V1574&gt;=20,V1574&lt;40,W1574&lt;45),0.3,0)+IF(AND(V1574&gt;=20,V1574&lt;40,W1574&gt;=45,W1574&lt;95),0.23,0)+IF(AND(V1574&gt;=20,V1574&lt;40,W1574&gt;=95),0.17,0)+IF(AND(V1574&gt;=40,V1574&lt;75,W1574&lt;35),0.3,0)+IF(AND(V1574&gt;=40,V1574&lt;75,W1574&gt;=35,W1574&lt;75),0.23,0)+IF(AND(V1574&gt;=40,V1574&lt;75,W1574&gt;=75,W1574&lt;120),0.17,0)+IF(AND(V1574&gt;=40,V1574&lt;75,W1574&gt;=120),0.12,0)+IF(AND(V1574&gt;=75,V1574&lt;175,W1574&lt;35),0.3,0)+IF(AND(V1574&gt;=75,V1574&lt;=175,W1574&gt;=35,W1574&lt;65),0.23,0)+IF(AND(V1574&gt;=75,V1574&lt;=175,W1574&gt;=65,W1574&lt;110),0.17,0)+IF(AND(V1574&gt;=75,V1574&lt;=175,W1574&gt;=110),0.12,0)+IF(AND(V1574&gt;175,W1574&lt;25),0.3,0)+IF(AND(V1574&gt;175,W1574&gt;=25,W1574&lt;55),0.23,0)+IF(AND(V1574&gt;175,W1574&gt;=55,W1574&lt;95),0.17,0)+IF(AND(V1574&gt;175,W1574&gt;=95),0.12,0),
IF(AF1574="Fix15",0.15,
IF(AF1574="Fix5",0.05,
IF(AF1574="Fix18.75",0.1875,
IF(AF1574="Fix11.25",0.1125,
IF(AF1574="Fix10",0.1,
IF(AF1574="Fix9",0.09,
IF(AF1574="Fix12",0.12,
IF(AF1574="Fix19",0.19,
IF(AF1574="DoEV2017",IF(AND(W1574&lt;74),0.2,0)+IF(AND(W1574&gt;=74),0.17,0),
IF(AF1574="SF",IF(AND(V1574&lt;20,W1574&lt;89),0.3,0)+IF(AND(V1574&lt;20,W1574&gt;=89),0.25,0)+IF(AND(V1574&gt;=20,V1574&lt;40,W1574&lt;74),0.3,0)+IF(AND(V1574&gt;=20,V1574&lt;40,W1574&gt;=75),0.22,0)+IF(AND(V1574&gt;=40,V1574&lt;75,W1574&lt;75),0.26,0)+IF(AND(V1574&gt;=40,V1574&lt;75,W1574&gt;=75),0.22,0)+IF(V1574&gt;=75,0.22,0),
IF(AF1574="DoEVold",IF(AND(V1574&lt;40,W1574&lt;35),0.35,0)+IF(AND(V1574&lt;40,W1574&gt;=35,W1574&lt;75),0.25,0)+IF(AND(V1574&lt;40,W1574&gt;=75),0.17,0)+IF(AND(V1574&gt;=40,V1574&lt;75,W1574&lt;25),0.35,0)+IF(AND(V1574&gt;=40,V1574&lt;75,W1574&gt;=25,W1574&lt;65),0.25,0)+IF(AND(V1574&gt;=40,V1574&lt;75,W1574&gt;=65,W1574&lt;100),0.17,0)+IF(AND(V1574&gt;=40,V1574&lt;75,W1574&gt;=100),0.1,0)+IF(AND(V1574&gt;=75,W1574&lt;25),0.35,0)+IF(AND(V1574&gt;=75,W1574&gt;=25,W1574&lt;60),0.25,0)+IF(AND(V1574&gt;=75,W1574&gt;=60,W1574&lt;95),0.17,0)+IF(AND(V1574&gt;=75,W1574&gt;=95),0.1,0),
IF(AF1574="DoEVold15",IF(AND(V1574&lt;=40,W1574&lt;35),0.35,0)+IF(AND(V1574&lt;=40,W1574&gt;=35,W1574&lt;75),0.25,0)+IF(AND(V1574&lt;=40,W1574&gt;=75,W1574&lt;120),0.17,0)+IF(AND(V1574&lt;=40,W1574&gt;=120),0.15,0)+IF(AND(V1574&gt;40,V1574&lt;75,W1574&lt;25),0.35,0)+IF(AND(V1574&gt;=40,V1574&lt;75,W1574&gt;=25,W1574&lt;65),0.25,0)+IF(AND(V1574&gt;=40,V1574&lt;75,W1574&gt;=65,W1574&lt;100),0.17,0)+IF(AND(V1574&gt;=40,V1574&lt;75,W1574&gt;=100),0.1,0)+IF(AND(V1574&gt;=75,W1574&lt;25),0.35,0)+IF(AND(V1574&gt;=75,W1574&gt;=25,W1574&lt;60),0.25,0)+IF(AND(V1574&gt;=75,W1574&gt;=60,W1574&lt;95),0.17,0)+IF(AND(V1574&gt;=75,W1574&gt;=95),0.1,0),
IF(AF1574="DoEVba",IF(AND(V1574&lt;20,W1574&lt;105),0.2,0)+IF(AND(V1574&lt;20,W1574&gt;=105),0.15,0)+IF(AND(V1574&gt;=20,V1574&lt;40,W1574&lt;95),0.2,0)+IF(AND(V1574&gt;=20,V1574&lt;40,W1574&gt;=95,W1574&lt;150),0.15,0)+IF(AND(V1574&gt;=20,V1574&lt;40,W1574&gt;=150),0.12,0)+IF(AND(V1574&gt;=40,V1574&lt;75,W1574&lt;75),0.2,0)+IF(AND(V1574&gt;=40,V1574&lt;75,W1574&gt;=75,W1574&lt;120),0.15,0)+IF(AND(V1574&gt;=40,V1574&lt;75,W1574&gt;=120),0.12,0)+IF(AND(V1574&gt;=75,V1574&lt;175,W1574&lt;65),0.2,0)+IF(AND(V1574&gt;=75,V1574&lt;175,W1574&gt;=65,W1574&lt;110),0.15,0)+IF(AND(V1574&gt;=75,V1574&lt;175,W1574&gt;=110),0.12,0)+IF(AND(V1574&gt;=175,W1574&lt;55),0.2,0)+IF(AND(V1574&gt;=175,W1574&gt;=55,W1574&lt;95),0.15,0)+IF(AND(V1574&gt;=175,W1574&gt;=95),0.12,0),
IF(AF1574="DoEVku",IF(AND(V1574&lt;20,W1574&lt;55),0.23,0)+IF(AND(V1574&lt;20,W1574&gt;=55,W1574&lt;105),0.2,0)+IF(AND(V1574&lt;20,W1574&gt;=105),0.17,0)+IF(AND(V1574&gt;=20,V1574&lt;40,W1574&lt;45),0.23,0)+IF(AND(V1574&gt;=20,V1574&lt;40,W1574&gt;=45,W1574&lt;95),0.2,0)+IF(AND(V1574&gt;=20,V1574&lt;40,W1574&gt;=95,W1574&lt;=150),0.17,0)+IF(AND(V1574&gt;=20,V1574&lt;40,W1574&gt;=150),0.12,0)+IF(AND(V1574&gt;=40,V1574&lt;75,W1574&lt;35),0.23,0)+IF(AND(V1574&gt;=40,V1574&lt;75,W1574&gt;=35,W1574&lt;75),0.2,0)+IF(AND(V1574&gt;=40,V1574&lt;75,W1574&gt;=75,W1574&lt;120),0.17,0)+IF(AND(V1574&gt;=40,V1574&lt;75,W1574&gt;=120),0.12,0)+IF(AND(V1574&gt;=75,V1574&lt;175,W1574&lt;35),0.23,0)+IF(AND(V1574&gt;=75,V1574&lt;=175,W1574&gt;=35,W1574&lt;65),0.2,0)+IF(AND(V1574&gt;=75,V1574&lt;=175,W1574&gt;=65,W1574&lt;110),0.17,0)+IF(AND(V1574&gt;=75,V1574&lt;=175,W1574&gt;=110),0.12,0)+IF(AND(V1574&gt;175,W1574&lt;25),0.23,0)+IF(AND(V1574&gt;175,W1574&gt;=25,W1574&lt;55),0.2,0)+IF(AND(V1574&gt;175,W1574&gt;=55,W1574&lt;95),0.17,0)+IF(AND(V1574&gt;175,W1574&gt;=95),0.12,0),
IF(AF1574="DoEVs1",IF(AND(V1574&lt;20,W1574&lt;55),0.3,0)+IF(AND(V1574&lt;20,W1574&gt;=55,W1574&lt;105),0.23,0)+IF(AND(V1574&lt;20,W1574&gt;=105),0.17,0)+IF(AND(V1574&gt;=20,V1574&lt;40,W1574&lt;45),0.3,0)+IF(AND(V1574&gt;=20,V1574&lt;40,W1574&gt;=45,W1574&lt;95),0.23,0)+IF(AND(V1574&gt;=20,V1574&lt;40,W1574&gt;=95,W1574&lt;=150),0.17,0)+IF(AND(V1574&gt;=20,V1574&lt;40,W1574&gt;=150),0.12,0)+IF(AND(V1574&gt;=40,V1574&lt;75,W1574&lt;35),0.3,0)+IF(AND(V1574&gt;=40,V1574&lt;75,W1574&gt;=35,W1574&lt;75),0.23,0)+IF(AND(V1574&gt;=40,V1574&lt;75,W1574&gt;=75,W1574&lt;120),0.17,0)+IF(AND(V1574&gt;=40,V1574&lt;75,W1574&gt;=120),0.12,0)+IF(AND(V1574&gt;=75,V1574&lt;175,W1574&lt;35),0.3,0)+IF(AND(V1574&gt;=75,V1574&lt;=175,W1574&gt;=35,W1574&lt;65),0.23,0)+IF(AND(V1574&gt;=75,V1574&lt;=175,W1574&gt;=65,W1574&lt;110),0.17,0)+IF(AND(V1574&gt;=75,V1574&lt;=175,W1574&gt;=110),0.12,0)+IF(AND(V1574&gt;175,W1574&lt;25),0.3,0)+IF(AND(V1574&gt;175,W1574&gt;=25,W1574&lt;55),0.23,0)+IF(AND(V1574&gt;175,W1574&gt;=55,W1574&lt;95),0.17,0)+IF(AND(V1574&gt;175,W1574&gt;=95),0.12,0),
IF(AF1574="DoEVsu",IF(AND(V1574&lt;20,W1574&lt;55),0.3,0)+IF(AND(V1574&lt;20,W1574&gt;=55,W1574&lt;105),0.23,0)+IF(AND(V1574&lt;20,W1574&gt;=105),0.17,0)+IF(AND(V1574&gt;=20,V1574&lt;40,W1574&lt;45),0.3,0)+IF(AND(V1574&gt;=20,V1574&lt;40,W1574&gt;=45,W1574&lt;95),0.23,0)+IF(AND(V1574&gt;=20,V1574&lt;40,W1574&gt;=95,W1574&lt;=250),0.17,0)+IF(AND(V1574&gt;=20,V1574&lt;40,W1574&gt;=250),0.12,0)+IF(AND(V1574&gt;=40,V1574&lt;75,W1574&lt;35),0.3,0)+IF(AND(V1574&gt;=40,V1574&lt;75,W1574&gt;=35,W1574&lt;75),0.23,0)+IF(AND(V1574&gt;=40,V1574&lt;75,W1574&gt;=75,W1574&lt;120),0.17,0)+IF(AND(V1574&gt;=40,V1574&lt;75,W1574&gt;=120),0.12,0)+IF(AND(V1574&gt;=75,V1574&lt;175,W1574&lt;35),0.3,0)+IF(AND(V1574&gt;=75,V1574&lt;=175,W1574&gt;=35,W1574&lt;65),0.23,0)+IF(AND(V1574&gt;=75,V1574&lt;=175,W1574&gt;=65,W1574&lt;110),0.17,0)+IF(AND(V1574&gt;=75,V1574&lt;=175,W1574&gt;=110),0.12,0)+IF(AND(V1574&gt;175,W1574&lt;25),0.3,0)+IF(AND(V1574&gt;175,W1574&gt;=25,W1574&lt;55),0.23,0)+IF(AND(V1574&gt;175,W1574&gt;=55,W1574&lt;95),0.17,0)+IF(AND(V1574&gt;175,W1574&gt;=95),0.12,0),
IF(AF1574="DoEVni",IF(AND(V1574&lt;20,W1574&lt;55),0.3,0)+IF(AND(V1574&lt;20,W1574&gt;=55,W1574&lt;105),0.23,0)+IF(AND(V1574&lt;20,W1574&gt;=105),0.17,0)+IF(AND(V1574&gt;=20,V1574&lt;40,W1574&lt;45),0.3,0)+IF(AND(V1574&gt;=20,V1574&lt;40,W1574&gt;=45,W1574&lt;95),0.23,0)+IF(AND(V1574&gt;=20,V1574&lt;40,W1574&gt;=95,W1574&lt;=200),0.17,0)+IF(AND(V1574&gt;=20,V1574&lt;40,W1574&gt;=200),0.12,0)+IF(AND(V1574&gt;=40,V1574&lt;75,W1574&lt;35),0.3,0)+IF(AND(V1574&gt;=40,V1574&lt;75,W1574&gt;=35,W1574&lt;75),0.23,0)+IF(AND(V1574&gt;=40,V1574&lt;75,W1574&gt;=75,W1574&lt;120),0.17,0)+IF(AND(V1574&gt;=40,V1574&lt;75,W1574&gt;=120),0.12,0)+IF(AND(V1574&gt;=75,V1574&lt;175,W1574&lt;35),0.3,0)+IF(AND(V1574&gt;=75,V1574&lt;=175,W1574&gt;=35,W1574&lt;65),0.23,0)+IF(AND(V1574&gt;=75,V1574&lt;=175,W1574&gt;=65,W1574&lt;110),0.17,0)+IF(AND(V1574&gt;=75,V1574&lt;=175,W1574&gt;=110),0.12,0)+IF(AND(V1574&gt;175,W1574&lt;25),0.3,0)+IF(AND(V1574&gt;175,W1574&gt;=25,W1574&lt;55),0.23,0)+IF(AND(V1574&gt;175,W1574&gt;=55,W1574&lt;95),0.17,0)+IF(AND(V1574&gt;175,W1574&gt;=95),0.12,0),
IF(AF1574="DoEVLo",IF(AND(V1574&lt;20,W1574&lt;55),0.25,0)+IF(AND(V1574&lt;20,W1574&gt;=55,W1574&lt;105),0.2,0)+IF(AND(V1574&lt;20,W1574&gt;=105),0.15,0)+IF(AND(V1574&gt;=20,V1574&lt;40,W1574&lt;45),0.25,0)+IF(AND(V1574&gt;=20,V1574&lt;40,W1574&gt;=45,W1574&lt;95),0.2,0)+IF(AND(V1574&gt;=20,V1574&lt;40,W1574&gt;=95),0.15,0)+IF(AND(V1574&gt;=40,V1574&lt;75,W1574&lt;35),0.25,0)+IF(AND(V1574&gt;=40,V1574&lt;75,W1574&gt;=35,W1574&lt;75),0.2,0)+IF(AND(V1574&gt;=40,V1574&lt;75,W1574&gt;=75,W1574&lt;120),0.15,0)+IF(AND(V1574&gt;=40,V1574&lt;75,W1574&gt;=120),0.1,0)+IF(AND(V1574&gt;=75,V1574&lt;175,W1574&lt;35),0.25,0)+IF(AND(V1574&gt;=75,V1574&lt;=175,W1574&gt;=35,W1574&lt;65),0.2,0)+IF(AND(V1574&gt;=75,V1574&lt;=175,W1574&gt;=65,W1574&lt;110),0.15,0)+IF(AND(V1574&gt;=75,V1574&lt;=175,W1574&gt;=110),0.1,0)+IF(AND(V1574&gt;175,W1574&lt;25),0.25,0)+IF(AND(V1574&gt;175,W1574&gt;=25,W1574&lt;55),0.2,0)+IF(AND(V1574&gt;175,W1574&gt;=55,W1574&lt;95),0.15,0)+IF(AND(V1574&gt;175,W1574&gt;=95),0.1,0))))))))))))))))))))</f>
        <v>0.1</v>
      </c>
      <c r="Y1574" s="30">
        <f>IF(AG1574="None",0,IF(AG1574="Fix5",0.05, IF(AG1574="Fix6.25",0.0625,IF(AG1574="Fix3.75",0.0375, IF(AG1574="Fix11",0.11, IF(AG1574="Fix10",0.1,IF(AG1574="Fix3",0.03,0)))))))</f>
        <v>0</v>
      </c>
      <c r="Z1574" s="35">
        <f>IF(AND(AD1574="EUR", AE1574 = "USD"), T1574*U1574-AA1574-AB1574, T1574-AA1574-AB1574)</f>
        <v>0</v>
      </c>
      <c r="AA1574" s="29">
        <f>IF(AND(AD1574="EUR", F1574="Without EV deal", AE1574="USD"), (T1574*X1574)*U1574,
IF(AND(AD1574="EUR", F1574="Without EV deal", AE1574="EUR"), (T1574*X1574),
IF(AND(AD1574="EUR",AE1574="USD"), (T1574*X1574)*U1574,
T1574*X1574)))</f>
        <v>0</v>
      </c>
      <c r="AB1574" s="36">
        <f>IF(AND(AD1574="EUR", F1574="Without EV deal", AE1574="USD"), (T1574*Y1574)*U1574,
IF(AND(AD1574="EUR", F1574="Without EV deal", AE1574="EUR"), (T1574*Y1574),
IF(AND(AD1574="EUR",AE1574="USD"), (T1574*Y1574)*U1574,
T1574*Y1574)))</f>
        <v>0</v>
      </c>
      <c r="AC1574" s="61" t="b">
        <v>1</v>
      </c>
      <c r="AD1574" s="82" t="str">
        <f>IF(OR(H1574="€0.25 Flash",
H1574="€0.25(nitro) new",
H1574="€1",
H1574="€2",
H1574="€2 (bf 01.08)",
H1574="€5",
H1574="€5 (1M)",
H1574="€5 (bf 01.08)",
H1574="€5 (bf 05.05)",
H1574="€5 Nitro",
H1574="€5(wx) new",
H1574="€10",
H1574="€10 (1M)",
H1574="€10 (bf 01.08)",
H1574="€10 (bf 05.05)",
H1574="€10 (MP)",
H1574="€10 (old)",
H1574="€10 Nitro (bf 05.05)",
H1574="€10 Nitro (old)",
H1574="€10(wx) new",
H1574="€20",
H1574="€25",
H1574="€25 (bf 01.08)",
H1574="€25 (bf 05.05)",
H1574="€25 (MP)",
H1574="€25 (old)",
H1574="€25 Nitro",
H1574="€25 Nitro (bf 01.08)",
H1574="€25 Nitro (bf 05.05)",
H1574="€25(nitro) new",
H1574="€25(wx) new",
H1574="€50",
H1574="€50 (bf 01.08)",
H1574="€50 (bf 05.05)",
H1574="€50 (old)",
H1574="€50 Nitro",
H1574="€50 Nitro (bf 01.08)",
H1574="€50 Nitro (bf 05.05)",
H1574="€50(wx) new",
H1574="€100",
H1574="€100 (old)",
H1574="€100 Nitro",
H1574="€100 Nitro (old)",
H1574="€200",
H1574="€250",
H1574="€250 Nitro",
H1574="€500",
H1574="€500 Nitro"),"EUR", "USD")</f>
        <v>USD</v>
      </c>
      <c r="AE1574" s="83" t="s">
        <v>38</v>
      </c>
      <c r="AF1574" s="83" t="str">
        <f t="array" ref="AF1574">INDEX('Deal Info'!D:D, MATCH(A1574,'Deal Info'!A:A, 0))</f>
        <v>Fix10</v>
      </c>
      <c r="AG1574" s="84" t="str">
        <f t="array" ref="AG1574">INDEX('Deal Info'!G:G, MATCH(A1574,'Deal Info'!A:A, 0))</f>
        <v>None</v>
      </c>
    </row>
    <row r="1575" spans="1:33" ht="14.25" hidden="1" x14ac:dyDescent="0.2">
      <c r="A1575" s="18" t="str">
        <f t="array" ref="A1575">IF(G1575='Room Info'!$B$1, INDEX('Room Info'!$A$2:$A2446, MATCH(B1575,'Room Info'!$B$2:$B2446, 0)),IF(G1575='Room Info'!$C$1, INDEX('Room Info'!$A$2:$A2446, MATCH(B1575,'Room Info'!$C$2:$C2446, 0)),IF(G1575='Room Info'!$D$1, INDEX('Room Info'!$A$2:$A2446, MATCH(B1575,'Room Info'!$D$2:$D2446, 0)),IF(G1575='Room Info'!$E$1, INDEX('Room Info'!$A$2:$A2446, MATCH(B1575,'Room Info'!$E$2:$E2446, 0)),IF(G1575='Room Info'!$F$1, INDEX('Room Info'!$A$2:$A2446, MATCH(B1575,'Room Info'!$F$2:$F2446, 0)),IF(G1575='Room Info'!$H$1, INDEX('Room Info'!$A$2:$A2446, MATCH(B1575,'Room Info'!$H$2:$H2446, 0)),IF(G1575='Room Info'!$G$1, INDEX('Room Info'!$A$2:$A2446, MATCH(B1575,'Room Info'!$G$2:$G2446, 0)))))))))</f>
        <v>Farodit</v>
      </c>
      <c r="B1575" s="45" t="s">
        <v>170</v>
      </c>
      <c r="C1575" s="46">
        <v>44978</v>
      </c>
      <c r="D1575" s="46">
        <v>45005</v>
      </c>
      <c r="E1575" s="90">
        <v>44986</v>
      </c>
      <c r="F1575" s="48" t="s">
        <v>34</v>
      </c>
      <c r="G1575" s="65" t="s">
        <v>35</v>
      </c>
      <c r="H1575" s="49" t="s">
        <v>40</v>
      </c>
      <c r="I1575" s="100" t="s">
        <v>37</v>
      </c>
      <c r="J1575" s="39">
        <v>10</v>
      </c>
      <c r="K1575" s="51">
        <v>48</v>
      </c>
      <c r="L1575" s="52">
        <v>-20</v>
      </c>
      <c r="M1575" s="53">
        <v>10</v>
      </c>
      <c r="N1575" s="28">
        <f>K1575*J1575</f>
        <v>480</v>
      </c>
      <c r="O1575" s="54">
        <v>2717</v>
      </c>
      <c r="P1575" s="29">
        <v>56.604166669999998</v>
      </c>
      <c r="Q1575" s="55"/>
      <c r="R1575" s="31">
        <f>M1575+Q1575*J1575*K1575*0.07</f>
        <v>10</v>
      </c>
      <c r="S1575" s="56">
        <v>2352</v>
      </c>
      <c r="T1575" s="32">
        <f>IF(AND(AD1575="EUR", F1575="Without EV deal"), R1575 + L1575,
IF(AND(AD1575="USD", F1575="Without EV deal"), R1575 + L1575,
IF(AND(AD1575="EUR", F1575="Steel Phoenix"), R1575 + S1575/U1575,
R1575 + S1575)))</f>
        <v>2362</v>
      </c>
      <c r="U1575" s="57">
        <v>1.071</v>
      </c>
      <c r="V1575" s="69">
        <v>18.475536992840095</v>
      </c>
      <c r="W1575" s="69">
        <v>127.84472791861781</v>
      </c>
      <c r="X1575" s="30">
        <f>IF(AF1575="DoEV",IF(AND(V1575&lt;20,W1575&lt;55),0.3,0)+IF(AND(V1575&lt;20,W1575&gt;=55,W1575&lt;105),0.23,0)+IF(AND(V1575&lt;20,W1575&gt;=105),0.17,0)+IF(AND(V1575&gt;=20,V1575&lt;40,W1575&lt;45),0.3,0)+IF(AND(V1575&gt;=20,V1575&lt;40,W1575&gt;=45,W1575&lt;95),0.23,0)+IF(AND(V1575&gt;=20,V1575&lt;40,W1575&gt;=95),0.17,0)+IF(AND(V1575&gt;=40,V1575&lt;75,W1575&lt;35),0.3,0)+IF(AND(V1575&gt;=40,V1575&lt;75,W1575&gt;=35,W1575&lt;75),0.23,0)+IF(AND(V1575&gt;=40,V1575&lt;75,W1575&gt;=75,W1575&lt;120),0.17,0)+IF(AND(V1575&gt;=40,V1575&lt;75,W1575&gt;=120),0.12,0)+IF(AND(V1575&gt;=75,V1575&lt;175,W1575&lt;35),0.3,0)+IF(AND(V1575&gt;=75,V1575&lt;=175,W1575&gt;=35,W1575&lt;65),0.23,0)+IF(AND(V1575&gt;=75,V1575&lt;=175,W1575&gt;=65,W1575&lt;110),0.17,0)+IF(AND(V1575&gt;=75,V1575&lt;=175,W1575&gt;=110),0.12,0)+IF(AND(V1575&gt;175,W1575&lt;25),0.3,0)+IF(AND(V1575&gt;175,W1575&gt;=25,W1575&lt;55),0.23,0)+IF(AND(V1575&gt;175,W1575&gt;=55,W1575&lt;95),0.17,0)+IF(AND(V1575&gt;175,W1575&gt;=95),0.12,0),
IF(AF1575="Fix15",0.15,
IF(AF1575="Fix5",0.05,
IF(AF1575="Fix18.75",0.1875,
IF(AF1575="Fix11.25",0.1125,
IF(AF1575="Fix10",0.1,
IF(AF1575="Fix9",0.09,
IF(AF1575="Fix12",0.12,
IF(AF1575="Fix19",0.19,
IF(AF1575="DoEV2017",IF(AND(W1575&lt;74),0.2,0)+IF(AND(W1575&gt;=74),0.17,0),
IF(AF1575="SF",IF(AND(V1575&lt;20,W1575&lt;89),0.3,0)+IF(AND(V1575&lt;20,W1575&gt;=89),0.25,0)+IF(AND(V1575&gt;=20,V1575&lt;40,W1575&lt;74),0.3,0)+IF(AND(V1575&gt;=20,V1575&lt;40,W1575&gt;=75),0.22,0)+IF(AND(V1575&gt;=40,V1575&lt;75,W1575&lt;75),0.26,0)+IF(AND(V1575&gt;=40,V1575&lt;75,W1575&gt;=75),0.22,0)+IF(V1575&gt;=75,0.22,0),
IF(AF1575="DoEVold",IF(AND(V1575&lt;40,W1575&lt;35),0.35,0)+IF(AND(V1575&lt;40,W1575&gt;=35,W1575&lt;75),0.25,0)+IF(AND(V1575&lt;40,W1575&gt;=75),0.17,0)+IF(AND(V1575&gt;=40,V1575&lt;75,W1575&lt;25),0.35,0)+IF(AND(V1575&gt;=40,V1575&lt;75,W1575&gt;=25,W1575&lt;65),0.25,0)+IF(AND(V1575&gt;=40,V1575&lt;75,W1575&gt;=65,W1575&lt;100),0.17,0)+IF(AND(V1575&gt;=40,V1575&lt;75,W1575&gt;=100),0.1,0)+IF(AND(V1575&gt;=75,W1575&lt;25),0.35,0)+IF(AND(V1575&gt;=75,W1575&gt;=25,W1575&lt;60),0.25,0)+IF(AND(V1575&gt;=75,W1575&gt;=60,W1575&lt;95),0.17,0)+IF(AND(V1575&gt;=75,W1575&gt;=95),0.1,0),
IF(AF1575="DoEVold15",IF(AND(V1575&lt;=40,W1575&lt;35),0.35,0)+IF(AND(V1575&lt;=40,W1575&gt;=35,W1575&lt;75),0.25,0)+IF(AND(V1575&lt;=40,W1575&gt;=75,W1575&lt;120),0.17,0)+IF(AND(V1575&lt;=40,W1575&gt;=120),0.15,0)+IF(AND(V1575&gt;40,V1575&lt;75,W1575&lt;25),0.35,0)+IF(AND(V1575&gt;=40,V1575&lt;75,W1575&gt;=25,W1575&lt;65),0.25,0)+IF(AND(V1575&gt;=40,V1575&lt;75,W1575&gt;=65,W1575&lt;100),0.17,0)+IF(AND(V1575&gt;=40,V1575&lt;75,W1575&gt;=100),0.1,0)+IF(AND(V1575&gt;=75,W1575&lt;25),0.35,0)+IF(AND(V1575&gt;=75,W1575&gt;=25,W1575&lt;60),0.25,0)+IF(AND(V1575&gt;=75,W1575&gt;=60,W1575&lt;95),0.17,0)+IF(AND(V1575&gt;=75,W1575&gt;=95),0.1,0),
IF(AF1575="DoEVba",IF(AND(V1575&lt;20,W1575&lt;105),0.2,0)+IF(AND(V1575&lt;20,W1575&gt;=105),0.15,0)+IF(AND(V1575&gt;=20,V1575&lt;40,W1575&lt;95),0.2,0)+IF(AND(V1575&gt;=20,V1575&lt;40,W1575&gt;=95,W1575&lt;150),0.15,0)+IF(AND(V1575&gt;=20,V1575&lt;40,W1575&gt;=150),0.12,0)+IF(AND(V1575&gt;=40,V1575&lt;75,W1575&lt;75),0.2,0)+IF(AND(V1575&gt;=40,V1575&lt;75,W1575&gt;=75,W1575&lt;120),0.15,0)+IF(AND(V1575&gt;=40,V1575&lt;75,W1575&gt;=120),0.12,0)+IF(AND(V1575&gt;=75,V1575&lt;175,W1575&lt;65),0.2,0)+IF(AND(V1575&gt;=75,V1575&lt;175,W1575&gt;=65,W1575&lt;110),0.15,0)+IF(AND(V1575&gt;=75,V1575&lt;175,W1575&gt;=110),0.12,0)+IF(AND(V1575&gt;=175,W1575&lt;55),0.2,0)+IF(AND(V1575&gt;=175,W1575&gt;=55,W1575&lt;95),0.15,0)+IF(AND(V1575&gt;=175,W1575&gt;=95),0.12,0),
IF(AF1575="DoEVku",IF(AND(V1575&lt;20,W1575&lt;55),0.23,0)+IF(AND(V1575&lt;20,W1575&gt;=55,W1575&lt;105),0.2,0)+IF(AND(V1575&lt;20,W1575&gt;=105),0.17,0)+IF(AND(V1575&gt;=20,V1575&lt;40,W1575&lt;45),0.23,0)+IF(AND(V1575&gt;=20,V1575&lt;40,W1575&gt;=45,W1575&lt;95),0.2,0)+IF(AND(V1575&gt;=20,V1575&lt;40,W1575&gt;=95,W1575&lt;=150),0.17,0)+IF(AND(V1575&gt;=20,V1575&lt;40,W1575&gt;=150),0.12,0)+IF(AND(V1575&gt;=40,V1575&lt;75,W1575&lt;35),0.23,0)+IF(AND(V1575&gt;=40,V1575&lt;75,W1575&gt;=35,W1575&lt;75),0.2,0)+IF(AND(V1575&gt;=40,V1575&lt;75,W1575&gt;=75,W1575&lt;120),0.17,0)+IF(AND(V1575&gt;=40,V1575&lt;75,W1575&gt;=120),0.12,0)+IF(AND(V1575&gt;=75,V1575&lt;175,W1575&lt;35),0.23,0)+IF(AND(V1575&gt;=75,V1575&lt;=175,W1575&gt;=35,W1575&lt;65),0.2,0)+IF(AND(V1575&gt;=75,V1575&lt;=175,W1575&gt;=65,W1575&lt;110),0.17,0)+IF(AND(V1575&gt;=75,V1575&lt;=175,W1575&gt;=110),0.12,0)+IF(AND(V1575&gt;175,W1575&lt;25),0.23,0)+IF(AND(V1575&gt;175,W1575&gt;=25,W1575&lt;55),0.2,0)+IF(AND(V1575&gt;175,W1575&gt;=55,W1575&lt;95),0.17,0)+IF(AND(V1575&gt;175,W1575&gt;=95),0.12,0),
IF(AF1575="DoEVs1",IF(AND(V1575&lt;20,W1575&lt;55),0.3,0)+IF(AND(V1575&lt;20,W1575&gt;=55,W1575&lt;105),0.23,0)+IF(AND(V1575&lt;20,W1575&gt;=105),0.17,0)+IF(AND(V1575&gt;=20,V1575&lt;40,W1575&lt;45),0.3,0)+IF(AND(V1575&gt;=20,V1575&lt;40,W1575&gt;=45,W1575&lt;95),0.23,0)+IF(AND(V1575&gt;=20,V1575&lt;40,W1575&gt;=95,W1575&lt;=150),0.17,0)+IF(AND(V1575&gt;=20,V1575&lt;40,W1575&gt;=150),0.12,0)+IF(AND(V1575&gt;=40,V1575&lt;75,W1575&lt;35),0.3,0)+IF(AND(V1575&gt;=40,V1575&lt;75,W1575&gt;=35,W1575&lt;75),0.23,0)+IF(AND(V1575&gt;=40,V1575&lt;75,W1575&gt;=75,W1575&lt;120),0.17,0)+IF(AND(V1575&gt;=40,V1575&lt;75,W1575&gt;=120),0.12,0)+IF(AND(V1575&gt;=75,V1575&lt;175,W1575&lt;35),0.3,0)+IF(AND(V1575&gt;=75,V1575&lt;=175,W1575&gt;=35,W1575&lt;65),0.23,0)+IF(AND(V1575&gt;=75,V1575&lt;=175,W1575&gt;=65,W1575&lt;110),0.17,0)+IF(AND(V1575&gt;=75,V1575&lt;=175,W1575&gt;=110),0.12,0)+IF(AND(V1575&gt;175,W1575&lt;25),0.3,0)+IF(AND(V1575&gt;175,W1575&gt;=25,W1575&lt;55),0.23,0)+IF(AND(V1575&gt;175,W1575&gt;=55,W1575&lt;95),0.17,0)+IF(AND(V1575&gt;175,W1575&gt;=95),0.12,0),
IF(AF1575="DoEVsu",IF(AND(V1575&lt;20,W1575&lt;55),0.3,0)+IF(AND(V1575&lt;20,W1575&gt;=55,W1575&lt;105),0.23,0)+IF(AND(V1575&lt;20,W1575&gt;=105),0.17,0)+IF(AND(V1575&gt;=20,V1575&lt;40,W1575&lt;45),0.3,0)+IF(AND(V1575&gt;=20,V1575&lt;40,W1575&gt;=45,W1575&lt;95),0.23,0)+IF(AND(V1575&gt;=20,V1575&lt;40,W1575&gt;=95,W1575&lt;=250),0.17,0)+IF(AND(V1575&gt;=20,V1575&lt;40,W1575&gt;=250),0.12,0)+IF(AND(V1575&gt;=40,V1575&lt;75,W1575&lt;35),0.3,0)+IF(AND(V1575&gt;=40,V1575&lt;75,W1575&gt;=35,W1575&lt;75),0.23,0)+IF(AND(V1575&gt;=40,V1575&lt;75,W1575&gt;=75,W1575&lt;120),0.17,0)+IF(AND(V1575&gt;=40,V1575&lt;75,W1575&gt;=120),0.12,0)+IF(AND(V1575&gt;=75,V1575&lt;175,W1575&lt;35),0.3,0)+IF(AND(V1575&gt;=75,V1575&lt;=175,W1575&gt;=35,W1575&lt;65),0.23,0)+IF(AND(V1575&gt;=75,V1575&lt;=175,W1575&gt;=65,W1575&lt;110),0.17,0)+IF(AND(V1575&gt;=75,V1575&lt;=175,W1575&gt;=110),0.12,0)+IF(AND(V1575&gt;175,W1575&lt;25),0.3,0)+IF(AND(V1575&gt;175,W1575&gt;=25,W1575&lt;55),0.23,0)+IF(AND(V1575&gt;175,W1575&gt;=55,W1575&lt;95),0.17,0)+IF(AND(V1575&gt;175,W1575&gt;=95),0.12,0),
IF(AF1575="DoEVni",IF(AND(V1575&lt;20,W1575&lt;55),0.3,0)+IF(AND(V1575&lt;20,W1575&gt;=55,W1575&lt;105),0.23,0)+IF(AND(V1575&lt;20,W1575&gt;=105),0.17,0)+IF(AND(V1575&gt;=20,V1575&lt;40,W1575&lt;45),0.3,0)+IF(AND(V1575&gt;=20,V1575&lt;40,W1575&gt;=45,W1575&lt;95),0.23,0)+IF(AND(V1575&gt;=20,V1575&lt;40,W1575&gt;=95,W1575&lt;=200),0.17,0)+IF(AND(V1575&gt;=20,V1575&lt;40,W1575&gt;=200),0.12,0)+IF(AND(V1575&gt;=40,V1575&lt;75,W1575&lt;35),0.3,0)+IF(AND(V1575&gt;=40,V1575&lt;75,W1575&gt;=35,W1575&lt;75),0.23,0)+IF(AND(V1575&gt;=40,V1575&lt;75,W1575&gt;=75,W1575&lt;120),0.17,0)+IF(AND(V1575&gt;=40,V1575&lt;75,W1575&gt;=120),0.12,0)+IF(AND(V1575&gt;=75,V1575&lt;175,W1575&lt;35),0.3,0)+IF(AND(V1575&gt;=75,V1575&lt;=175,W1575&gt;=35,W1575&lt;65),0.23,0)+IF(AND(V1575&gt;=75,V1575&lt;=175,W1575&gt;=65,W1575&lt;110),0.17,0)+IF(AND(V1575&gt;=75,V1575&lt;=175,W1575&gt;=110),0.12,0)+IF(AND(V1575&gt;175,W1575&lt;25),0.3,0)+IF(AND(V1575&gt;175,W1575&gt;=25,W1575&lt;55),0.23,0)+IF(AND(V1575&gt;175,W1575&gt;=55,W1575&lt;95),0.17,0)+IF(AND(V1575&gt;175,W1575&gt;=95),0.12,0),
IF(AF1575="DoEVLo",IF(AND(V1575&lt;20,W1575&lt;55),0.25,0)+IF(AND(V1575&lt;20,W1575&gt;=55,W1575&lt;105),0.2,0)+IF(AND(V1575&lt;20,W1575&gt;=105),0.15,0)+IF(AND(V1575&gt;=20,V1575&lt;40,W1575&lt;45),0.25,0)+IF(AND(V1575&gt;=20,V1575&lt;40,W1575&gt;=45,W1575&lt;95),0.2,0)+IF(AND(V1575&gt;=20,V1575&lt;40,W1575&gt;=95),0.15,0)+IF(AND(V1575&gt;=40,V1575&lt;75,W1575&lt;35),0.25,0)+IF(AND(V1575&gt;=40,V1575&lt;75,W1575&gt;=35,W1575&lt;75),0.2,0)+IF(AND(V1575&gt;=40,V1575&lt;75,W1575&gt;=75,W1575&lt;120),0.15,0)+IF(AND(V1575&gt;=40,V1575&lt;75,W1575&gt;=120),0.1,0)+IF(AND(V1575&gt;=75,V1575&lt;175,W1575&lt;35),0.25,0)+IF(AND(V1575&gt;=75,V1575&lt;=175,W1575&gt;=35,W1575&lt;65),0.2,0)+IF(AND(V1575&gt;=75,V1575&lt;=175,W1575&gt;=65,W1575&lt;110),0.15,0)+IF(AND(V1575&gt;=75,V1575&lt;=175,W1575&gt;=110),0.1,0)+IF(AND(V1575&gt;175,W1575&lt;25),0.25,0)+IF(AND(V1575&gt;175,W1575&gt;=25,W1575&lt;55),0.2,0)+IF(AND(V1575&gt;175,W1575&gt;=55,W1575&lt;95),0.15,0)+IF(AND(V1575&gt;175,W1575&gt;=95),0.1,0))))))))))))))))))))</f>
        <v>0.17</v>
      </c>
      <c r="Y1575" s="30">
        <f>IF(AG1575="None",0,IF(AG1575="Fix5",0.05, IF(AG1575="Fix6.25",0.0625,IF(AG1575="Fix3.75",0.0375, IF(AG1575="Fix11",0.11, IF(AG1575="Fix10",0.1,IF(AG1575="Fix3",0.03,0)))))))</f>
        <v>0</v>
      </c>
      <c r="Z1575" s="35">
        <f>IF(AND(AD1575="EUR", AE1575 = "USD"), T1575*U1575-AA1575-AB1575, T1575-AA1575-AB1575)</f>
        <v>1960.46</v>
      </c>
      <c r="AA1575" s="29">
        <f>IF(AND(AD1575="EUR", F1575="Without EV deal", AE1575="USD"), (T1575*X1575)*U1575,
IF(AND(AD1575="EUR", F1575="Without EV deal", AE1575="EUR"), (T1575*X1575),
IF(AND(AD1575="EUR",AE1575="USD"), (T1575*X1575)*U1575,
T1575*X1575)))</f>
        <v>401.54</v>
      </c>
      <c r="AB1575" s="36">
        <f>IF(AND(AD1575="EUR", F1575="Without EV deal", AE1575="USD"), (T1575*Y1575)*U1575,
IF(AND(AD1575="EUR", F1575="Without EV deal", AE1575="EUR"), (T1575*Y1575),
IF(AND(AD1575="EUR",AE1575="USD"), (T1575*Y1575)*U1575,
T1575*Y1575)))</f>
        <v>0</v>
      </c>
      <c r="AC1575" s="37" t="b">
        <v>0</v>
      </c>
      <c r="AD1575" s="82" t="str">
        <f>IF(OR(H1575="€0.25 Flash",
H1575="€0.25(nitro) new",
H1575="€1",
H1575="€2",
H1575="€2 (bf 01.08)",
H1575="€5",
H1575="€5 (1M)",
H1575="€5 (bf 01.08)",
H1575="€5 (bf 05.05)",
H1575="€5 Nitro",
H1575="€5(wx) new",
H1575="€10",
H1575="€10 (1M)",
H1575="€10 (bf 01.08)",
H1575="€10 (bf 05.05)",
H1575="€10 (MP)",
H1575="€10 (old)",
H1575="€10 Nitro (bf 05.05)",
H1575="€10 Nitro (old)",
H1575="€10(wx) new",
H1575="€20",
H1575="€25",
H1575="€25 (bf 01.08)",
H1575="€25 (bf 05.05)",
H1575="€25 (MP)",
H1575="€25 (old)",
H1575="€25 Nitro",
H1575="€25 Nitro (bf 01.08)",
H1575="€25 Nitro (bf 05.05)",
H1575="€25(nitro) new",
H1575="€25(wx) new",
H1575="€50",
H1575="€50 (bf 01.08)",
H1575="€50 (bf 05.05)",
H1575="€50 (old)",
H1575="€50 Nitro",
H1575="€50 Nitro (bf 01.08)",
H1575="€50 Nitro (bf 05.05)",
H1575="€50(wx) new",
H1575="€100",
H1575="€100 (old)",
H1575="€100 Nitro",
H1575="€100 Nitro (old)",
H1575="€200",
H1575="€250",
H1575="€250 Nitro",
H1575="€500",
H1575="€500 Nitro"),"EUR", "USD")</f>
        <v>USD</v>
      </c>
      <c r="AE1575" s="83" t="s">
        <v>38</v>
      </c>
      <c r="AF1575" s="83" t="str">
        <f t="array" ref="AF1575">INDEX('Deal Info'!D:D, MATCH(A1575,'Deal Info'!A:A, 0))</f>
        <v>DoEV</v>
      </c>
      <c r="AG1575" s="84" t="str">
        <f t="array" ref="AG1575">INDEX('Deal Info'!G:G, MATCH(A1575,'Deal Info'!A:A, 0))</f>
        <v>None</v>
      </c>
    </row>
    <row r="1576" spans="1:33" ht="14.25" hidden="1" x14ac:dyDescent="0.2">
      <c r="A1576" s="18" t="str">
        <f t="array" ref="A1576">IF(G1576='Room Info'!$B$1, INDEX('Room Info'!$A$2:$A2446, MATCH(B1576,'Room Info'!$B$2:$B2446, 0)),IF(G1576='Room Info'!$C$1, INDEX('Room Info'!$A$2:$A2446, MATCH(B1576,'Room Info'!$C$2:$C2446, 0)),IF(G1576='Room Info'!$D$1, INDEX('Room Info'!$A$2:$A2446, MATCH(B1576,'Room Info'!$D$2:$D2446, 0)),IF(G1576='Room Info'!$E$1, INDEX('Room Info'!$A$2:$A2446, MATCH(B1576,'Room Info'!$E$2:$E2446, 0)),IF(G1576='Room Info'!$F$1, INDEX('Room Info'!$A$2:$A2446, MATCH(B1576,'Room Info'!$F$2:$F2446, 0)),IF(G1576='Room Info'!$H$1, INDEX('Room Info'!$A$2:$A2446, MATCH(B1576,'Room Info'!$H$2:$H2446, 0)),IF(G1576='Room Info'!$G$1, INDEX('Room Info'!$A$2:$A2446, MATCH(B1576,'Room Info'!$G$2:$G2446, 0)))))))))</f>
        <v>Farodit</v>
      </c>
      <c r="B1576" s="45" t="s">
        <v>171</v>
      </c>
      <c r="C1576" s="46">
        <v>44978</v>
      </c>
      <c r="D1576" s="46">
        <v>45005</v>
      </c>
      <c r="E1576" s="90">
        <v>44986</v>
      </c>
      <c r="F1576" s="48" t="s">
        <v>34</v>
      </c>
      <c r="G1576" s="96" t="s">
        <v>165</v>
      </c>
      <c r="H1576" s="120" t="s">
        <v>166</v>
      </c>
      <c r="I1576" s="100" t="s">
        <v>37</v>
      </c>
      <c r="J1576" s="39">
        <v>10</v>
      </c>
      <c r="K1576" s="51">
        <v>681</v>
      </c>
      <c r="L1576" s="52">
        <v>310</v>
      </c>
      <c r="M1576" s="62"/>
      <c r="N1576" s="28">
        <f>K1576*J1576</f>
        <v>6810</v>
      </c>
      <c r="O1576" s="54">
        <v>51460</v>
      </c>
      <c r="P1576" s="29">
        <v>75.56534508</v>
      </c>
      <c r="Q1576" s="55"/>
      <c r="R1576" s="31">
        <f>M1576+Q1576*J1576*K1576*0.07</f>
        <v>0</v>
      </c>
      <c r="S1576" s="66"/>
      <c r="T1576" s="32">
        <f>IF(AND(AD1576="EUR", F1576="Without EV deal"), R1576 + L1576,
IF(AND(AD1576="USD", F1576="Without EV deal"), R1576 + L1576,
IF(AND(AD1576="EUR", F1576="Steel Phoenix"), R1576 + S1576/U1576,
R1576 + S1576)))</f>
        <v>0</v>
      </c>
      <c r="U1576" s="57">
        <v>1.071</v>
      </c>
      <c r="V1576" s="69">
        <v>18.475536992840095</v>
      </c>
      <c r="W1576" s="69">
        <v>127.84472791861781</v>
      </c>
      <c r="X1576" s="30">
        <f>IF(AF1576="DoEV",IF(AND(V1576&lt;20,W1576&lt;55),0.3,0)+IF(AND(V1576&lt;20,W1576&gt;=55,W1576&lt;105),0.23,0)+IF(AND(V1576&lt;20,W1576&gt;=105),0.17,0)+IF(AND(V1576&gt;=20,V1576&lt;40,W1576&lt;45),0.3,0)+IF(AND(V1576&gt;=20,V1576&lt;40,W1576&gt;=45,W1576&lt;95),0.23,0)+IF(AND(V1576&gt;=20,V1576&lt;40,W1576&gt;=95),0.17,0)+IF(AND(V1576&gt;=40,V1576&lt;75,W1576&lt;35),0.3,0)+IF(AND(V1576&gt;=40,V1576&lt;75,W1576&gt;=35,W1576&lt;75),0.23,0)+IF(AND(V1576&gt;=40,V1576&lt;75,W1576&gt;=75,W1576&lt;120),0.17,0)+IF(AND(V1576&gt;=40,V1576&lt;75,W1576&gt;=120),0.12,0)+IF(AND(V1576&gt;=75,V1576&lt;175,W1576&lt;35),0.3,0)+IF(AND(V1576&gt;=75,V1576&lt;=175,W1576&gt;=35,W1576&lt;65),0.23,0)+IF(AND(V1576&gt;=75,V1576&lt;=175,W1576&gt;=65,W1576&lt;110),0.17,0)+IF(AND(V1576&gt;=75,V1576&lt;=175,W1576&gt;=110),0.12,0)+IF(AND(V1576&gt;175,W1576&lt;25),0.3,0)+IF(AND(V1576&gt;175,W1576&gt;=25,W1576&lt;55),0.23,0)+IF(AND(V1576&gt;175,W1576&gt;=55,W1576&lt;95),0.17,0)+IF(AND(V1576&gt;175,W1576&gt;=95),0.12,0),
IF(AF1576="Fix15",0.15,
IF(AF1576="Fix5",0.05,
IF(AF1576="Fix18.75",0.1875,
IF(AF1576="Fix11.25",0.1125,
IF(AF1576="Fix10",0.1,
IF(AF1576="Fix9",0.09,
IF(AF1576="Fix12",0.12,
IF(AF1576="Fix19",0.19,
IF(AF1576="DoEV2017",IF(AND(W1576&lt;74),0.2,0)+IF(AND(W1576&gt;=74),0.17,0),
IF(AF1576="SF",IF(AND(V1576&lt;20,W1576&lt;89),0.3,0)+IF(AND(V1576&lt;20,W1576&gt;=89),0.25,0)+IF(AND(V1576&gt;=20,V1576&lt;40,W1576&lt;74),0.3,0)+IF(AND(V1576&gt;=20,V1576&lt;40,W1576&gt;=75),0.22,0)+IF(AND(V1576&gt;=40,V1576&lt;75,W1576&lt;75),0.26,0)+IF(AND(V1576&gt;=40,V1576&lt;75,W1576&gt;=75),0.22,0)+IF(V1576&gt;=75,0.22,0),
IF(AF1576="DoEVold",IF(AND(V1576&lt;40,W1576&lt;35),0.35,0)+IF(AND(V1576&lt;40,W1576&gt;=35,W1576&lt;75),0.25,0)+IF(AND(V1576&lt;40,W1576&gt;=75),0.17,0)+IF(AND(V1576&gt;=40,V1576&lt;75,W1576&lt;25),0.35,0)+IF(AND(V1576&gt;=40,V1576&lt;75,W1576&gt;=25,W1576&lt;65),0.25,0)+IF(AND(V1576&gt;=40,V1576&lt;75,W1576&gt;=65,W1576&lt;100),0.17,0)+IF(AND(V1576&gt;=40,V1576&lt;75,W1576&gt;=100),0.1,0)+IF(AND(V1576&gt;=75,W1576&lt;25),0.35,0)+IF(AND(V1576&gt;=75,W1576&gt;=25,W1576&lt;60),0.25,0)+IF(AND(V1576&gt;=75,W1576&gt;=60,W1576&lt;95),0.17,0)+IF(AND(V1576&gt;=75,W1576&gt;=95),0.1,0),
IF(AF1576="DoEVold15",IF(AND(V1576&lt;=40,W1576&lt;35),0.35,0)+IF(AND(V1576&lt;=40,W1576&gt;=35,W1576&lt;75),0.25,0)+IF(AND(V1576&lt;=40,W1576&gt;=75,W1576&lt;120),0.17,0)+IF(AND(V1576&lt;=40,W1576&gt;=120),0.15,0)+IF(AND(V1576&gt;40,V1576&lt;75,W1576&lt;25),0.35,0)+IF(AND(V1576&gt;=40,V1576&lt;75,W1576&gt;=25,W1576&lt;65),0.25,0)+IF(AND(V1576&gt;=40,V1576&lt;75,W1576&gt;=65,W1576&lt;100),0.17,0)+IF(AND(V1576&gt;=40,V1576&lt;75,W1576&gt;=100),0.1,0)+IF(AND(V1576&gt;=75,W1576&lt;25),0.35,0)+IF(AND(V1576&gt;=75,W1576&gt;=25,W1576&lt;60),0.25,0)+IF(AND(V1576&gt;=75,W1576&gt;=60,W1576&lt;95),0.17,0)+IF(AND(V1576&gt;=75,W1576&gt;=95),0.1,0),
IF(AF1576="DoEVba",IF(AND(V1576&lt;20,W1576&lt;105),0.2,0)+IF(AND(V1576&lt;20,W1576&gt;=105),0.15,0)+IF(AND(V1576&gt;=20,V1576&lt;40,W1576&lt;95),0.2,0)+IF(AND(V1576&gt;=20,V1576&lt;40,W1576&gt;=95,W1576&lt;150),0.15,0)+IF(AND(V1576&gt;=20,V1576&lt;40,W1576&gt;=150),0.12,0)+IF(AND(V1576&gt;=40,V1576&lt;75,W1576&lt;75),0.2,0)+IF(AND(V1576&gt;=40,V1576&lt;75,W1576&gt;=75,W1576&lt;120),0.15,0)+IF(AND(V1576&gt;=40,V1576&lt;75,W1576&gt;=120),0.12,0)+IF(AND(V1576&gt;=75,V1576&lt;175,W1576&lt;65),0.2,0)+IF(AND(V1576&gt;=75,V1576&lt;175,W1576&gt;=65,W1576&lt;110),0.15,0)+IF(AND(V1576&gt;=75,V1576&lt;175,W1576&gt;=110),0.12,0)+IF(AND(V1576&gt;=175,W1576&lt;55),0.2,0)+IF(AND(V1576&gt;=175,W1576&gt;=55,W1576&lt;95),0.15,0)+IF(AND(V1576&gt;=175,W1576&gt;=95),0.12,0),
IF(AF1576="DoEVku",IF(AND(V1576&lt;20,W1576&lt;55),0.23,0)+IF(AND(V1576&lt;20,W1576&gt;=55,W1576&lt;105),0.2,0)+IF(AND(V1576&lt;20,W1576&gt;=105),0.17,0)+IF(AND(V1576&gt;=20,V1576&lt;40,W1576&lt;45),0.23,0)+IF(AND(V1576&gt;=20,V1576&lt;40,W1576&gt;=45,W1576&lt;95),0.2,0)+IF(AND(V1576&gt;=20,V1576&lt;40,W1576&gt;=95,W1576&lt;=150),0.17,0)+IF(AND(V1576&gt;=20,V1576&lt;40,W1576&gt;=150),0.12,0)+IF(AND(V1576&gt;=40,V1576&lt;75,W1576&lt;35),0.23,0)+IF(AND(V1576&gt;=40,V1576&lt;75,W1576&gt;=35,W1576&lt;75),0.2,0)+IF(AND(V1576&gt;=40,V1576&lt;75,W1576&gt;=75,W1576&lt;120),0.17,0)+IF(AND(V1576&gt;=40,V1576&lt;75,W1576&gt;=120),0.12,0)+IF(AND(V1576&gt;=75,V1576&lt;175,W1576&lt;35),0.23,0)+IF(AND(V1576&gt;=75,V1576&lt;=175,W1576&gt;=35,W1576&lt;65),0.2,0)+IF(AND(V1576&gt;=75,V1576&lt;=175,W1576&gt;=65,W1576&lt;110),0.17,0)+IF(AND(V1576&gt;=75,V1576&lt;=175,W1576&gt;=110),0.12,0)+IF(AND(V1576&gt;175,W1576&lt;25),0.23,0)+IF(AND(V1576&gt;175,W1576&gt;=25,W1576&lt;55),0.2,0)+IF(AND(V1576&gt;175,W1576&gt;=55,W1576&lt;95),0.17,0)+IF(AND(V1576&gt;175,W1576&gt;=95),0.12,0),
IF(AF1576="DoEVs1",IF(AND(V1576&lt;20,W1576&lt;55),0.3,0)+IF(AND(V1576&lt;20,W1576&gt;=55,W1576&lt;105),0.23,0)+IF(AND(V1576&lt;20,W1576&gt;=105),0.17,0)+IF(AND(V1576&gt;=20,V1576&lt;40,W1576&lt;45),0.3,0)+IF(AND(V1576&gt;=20,V1576&lt;40,W1576&gt;=45,W1576&lt;95),0.23,0)+IF(AND(V1576&gt;=20,V1576&lt;40,W1576&gt;=95,W1576&lt;=150),0.17,0)+IF(AND(V1576&gt;=20,V1576&lt;40,W1576&gt;=150),0.12,0)+IF(AND(V1576&gt;=40,V1576&lt;75,W1576&lt;35),0.3,0)+IF(AND(V1576&gt;=40,V1576&lt;75,W1576&gt;=35,W1576&lt;75),0.23,0)+IF(AND(V1576&gt;=40,V1576&lt;75,W1576&gt;=75,W1576&lt;120),0.17,0)+IF(AND(V1576&gt;=40,V1576&lt;75,W1576&gt;=120),0.12,0)+IF(AND(V1576&gt;=75,V1576&lt;175,W1576&lt;35),0.3,0)+IF(AND(V1576&gt;=75,V1576&lt;=175,W1576&gt;=35,W1576&lt;65),0.23,0)+IF(AND(V1576&gt;=75,V1576&lt;=175,W1576&gt;=65,W1576&lt;110),0.17,0)+IF(AND(V1576&gt;=75,V1576&lt;=175,W1576&gt;=110),0.12,0)+IF(AND(V1576&gt;175,W1576&lt;25),0.3,0)+IF(AND(V1576&gt;175,W1576&gt;=25,W1576&lt;55),0.23,0)+IF(AND(V1576&gt;175,W1576&gt;=55,W1576&lt;95),0.17,0)+IF(AND(V1576&gt;175,W1576&gt;=95),0.12,0),
IF(AF1576="DoEVsu",IF(AND(V1576&lt;20,W1576&lt;55),0.3,0)+IF(AND(V1576&lt;20,W1576&gt;=55,W1576&lt;105),0.23,0)+IF(AND(V1576&lt;20,W1576&gt;=105),0.17,0)+IF(AND(V1576&gt;=20,V1576&lt;40,W1576&lt;45),0.3,0)+IF(AND(V1576&gt;=20,V1576&lt;40,W1576&gt;=45,W1576&lt;95),0.23,0)+IF(AND(V1576&gt;=20,V1576&lt;40,W1576&gt;=95,W1576&lt;=250),0.17,0)+IF(AND(V1576&gt;=20,V1576&lt;40,W1576&gt;=250),0.12,0)+IF(AND(V1576&gt;=40,V1576&lt;75,W1576&lt;35),0.3,0)+IF(AND(V1576&gt;=40,V1576&lt;75,W1576&gt;=35,W1576&lt;75),0.23,0)+IF(AND(V1576&gt;=40,V1576&lt;75,W1576&gt;=75,W1576&lt;120),0.17,0)+IF(AND(V1576&gt;=40,V1576&lt;75,W1576&gt;=120),0.12,0)+IF(AND(V1576&gt;=75,V1576&lt;175,W1576&lt;35),0.3,0)+IF(AND(V1576&gt;=75,V1576&lt;=175,W1576&gt;=35,W1576&lt;65),0.23,0)+IF(AND(V1576&gt;=75,V1576&lt;=175,W1576&gt;=65,W1576&lt;110),0.17,0)+IF(AND(V1576&gt;=75,V1576&lt;=175,W1576&gt;=110),0.12,0)+IF(AND(V1576&gt;175,W1576&lt;25),0.3,0)+IF(AND(V1576&gt;175,W1576&gt;=25,W1576&lt;55),0.23,0)+IF(AND(V1576&gt;175,W1576&gt;=55,W1576&lt;95),0.17,0)+IF(AND(V1576&gt;175,W1576&gt;=95),0.12,0),
IF(AF1576="DoEVni",IF(AND(V1576&lt;20,W1576&lt;55),0.3,0)+IF(AND(V1576&lt;20,W1576&gt;=55,W1576&lt;105),0.23,0)+IF(AND(V1576&lt;20,W1576&gt;=105),0.17,0)+IF(AND(V1576&gt;=20,V1576&lt;40,W1576&lt;45),0.3,0)+IF(AND(V1576&gt;=20,V1576&lt;40,W1576&gt;=45,W1576&lt;95),0.23,0)+IF(AND(V1576&gt;=20,V1576&lt;40,W1576&gt;=95,W1576&lt;=200),0.17,0)+IF(AND(V1576&gt;=20,V1576&lt;40,W1576&gt;=200),0.12,0)+IF(AND(V1576&gt;=40,V1576&lt;75,W1576&lt;35),0.3,0)+IF(AND(V1576&gt;=40,V1576&lt;75,W1576&gt;=35,W1576&lt;75),0.23,0)+IF(AND(V1576&gt;=40,V1576&lt;75,W1576&gt;=75,W1576&lt;120),0.17,0)+IF(AND(V1576&gt;=40,V1576&lt;75,W1576&gt;=120),0.12,0)+IF(AND(V1576&gt;=75,V1576&lt;175,W1576&lt;35),0.3,0)+IF(AND(V1576&gt;=75,V1576&lt;=175,W1576&gt;=35,W1576&lt;65),0.23,0)+IF(AND(V1576&gt;=75,V1576&lt;=175,W1576&gt;=65,W1576&lt;110),0.17,0)+IF(AND(V1576&gt;=75,V1576&lt;=175,W1576&gt;=110),0.12,0)+IF(AND(V1576&gt;175,W1576&lt;25),0.3,0)+IF(AND(V1576&gt;175,W1576&gt;=25,W1576&lt;55),0.23,0)+IF(AND(V1576&gt;175,W1576&gt;=55,W1576&lt;95),0.17,0)+IF(AND(V1576&gt;175,W1576&gt;=95),0.12,0),
IF(AF1576="DoEVLo",IF(AND(V1576&lt;20,W1576&lt;55),0.25,0)+IF(AND(V1576&lt;20,W1576&gt;=55,W1576&lt;105),0.2,0)+IF(AND(V1576&lt;20,W1576&gt;=105),0.15,0)+IF(AND(V1576&gt;=20,V1576&lt;40,W1576&lt;45),0.25,0)+IF(AND(V1576&gt;=20,V1576&lt;40,W1576&gt;=45,W1576&lt;95),0.2,0)+IF(AND(V1576&gt;=20,V1576&lt;40,W1576&gt;=95),0.15,0)+IF(AND(V1576&gt;=40,V1576&lt;75,W1576&lt;35),0.25,0)+IF(AND(V1576&gt;=40,V1576&lt;75,W1576&gt;=35,W1576&lt;75),0.2,0)+IF(AND(V1576&gt;=40,V1576&lt;75,W1576&gt;=75,W1576&lt;120),0.15,0)+IF(AND(V1576&gt;=40,V1576&lt;75,W1576&gt;=120),0.1,0)+IF(AND(V1576&gt;=75,V1576&lt;175,W1576&lt;35),0.25,0)+IF(AND(V1576&gt;=75,V1576&lt;=175,W1576&gt;=35,W1576&lt;65),0.2,0)+IF(AND(V1576&gt;=75,V1576&lt;=175,W1576&gt;=65,W1576&lt;110),0.15,0)+IF(AND(V1576&gt;=75,V1576&lt;=175,W1576&gt;=110),0.1,0)+IF(AND(V1576&gt;175,W1576&lt;25),0.25,0)+IF(AND(V1576&gt;175,W1576&gt;=25,W1576&lt;55),0.2,0)+IF(AND(V1576&gt;175,W1576&gt;=55,W1576&lt;95),0.15,0)+IF(AND(V1576&gt;175,W1576&gt;=95),0.1,0))))))))))))))))))))</f>
        <v>0.17</v>
      </c>
      <c r="Y1576" s="30">
        <f>IF(AG1576="None",0,IF(AG1576="Fix5",0.05, IF(AG1576="Fix6.25",0.0625,IF(AG1576="Fix3.75",0.0375, IF(AG1576="Fix11",0.11, IF(AG1576="Fix10",0.1,IF(AG1576="Fix3",0.03,0)))))))</f>
        <v>0</v>
      </c>
      <c r="Z1576" s="35">
        <f>IF(AND(AD1576="EUR", AE1576 = "USD"), T1576*U1576-AA1576-AB1576, T1576-AA1576-AB1576)</f>
        <v>0</v>
      </c>
      <c r="AA1576" s="29">
        <f>IF(AND(AD1576="EUR", F1576="Without EV deal", AE1576="USD"), (T1576*X1576)*U1576,
IF(AND(AD1576="EUR", F1576="Without EV deal", AE1576="EUR"), (T1576*X1576),
IF(AND(AD1576="EUR",AE1576="USD"), (T1576*X1576)*U1576,
T1576*X1576)))</f>
        <v>0</v>
      </c>
      <c r="AB1576" s="36">
        <f>IF(AND(AD1576="EUR", F1576="Without EV deal", AE1576="USD"), (T1576*Y1576)*U1576,
IF(AND(AD1576="EUR", F1576="Without EV deal", AE1576="EUR"), (T1576*Y1576),
IF(AND(AD1576="EUR",AE1576="USD"), (T1576*Y1576)*U1576,
T1576*Y1576)))</f>
        <v>0</v>
      </c>
      <c r="AC1576" s="37" t="b">
        <v>0</v>
      </c>
      <c r="AD1576" s="82" t="str">
        <f>IF(OR(H1576="€0.25 Flash",
H1576="€0.25(nitro) new",
H1576="€1",
H1576="€2",
H1576="€2 (bf 01.08)",
H1576="€5",
H1576="€5 (1M)",
H1576="€5 (bf 01.08)",
H1576="€5 (bf 05.05)",
H1576="€5 Nitro",
H1576="€5(wx) new",
H1576="€10",
H1576="€10 (1M)",
H1576="€10 (bf 01.08)",
H1576="€10 (bf 05.05)",
H1576="€10 (MP)",
H1576="€10 (old)",
H1576="€10 Nitro (bf 05.05)",
H1576="€10 Nitro (old)",
H1576="€10(wx) new",
H1576="€20",
H1576="€25",
H1576="€25 (bf 01.08)",
H1576="€25 (bf 05.05)",
H1576="€25 (MP)",
H1576="€25 (old)",
H1576="€25 Nitro",
H1576="€25 Nitro (bf 01.08)",
H1576="€25 Nitro (bf 05.05)",
H1576="€25(nitro) new",
H1576="€25(wx) new",
H1576="€50",
H1576="€50 (bf 01.08)",
H1576="€50 (bf 05.05)",
H1576="€50 (old)",
H1576="€50 Nitro",
H1576="€50 Nitro (bf 01.08)",
H1576="€50 Nitro (bf 05.05)",
H1576="€50(wx) new",
H1576="€100",
H1576="€100 (old)",
H1576="€100 Nitro",
H1576="€100 Nitro (old)",
H1576="€200",
H1576="€250",
H1576="€250 Nitro",
H1576="€500",
H1576="€500 Nitro"),"EUR", "USD")</f>
        <v>EUR</v>
      </c>
      <c r="AE1576" s="83" t="s">
        <v>38</v>
      </c>
      <c r="AF1576" s="83" t="str">
        <f t="array" ref="AF1576">INDEX('Deal Info'!D:D, MATCH(A1576,'Deal Info'!A:A, 0))</f>
        <v>DoEV</v>
      </c>
      <c r="AG1576" s="84" t="str">
        <f t="array" ref="AG1576">INDEX('Deal Info'!G:G, MATCH(A1576,'Deal Info'!A:A, 0))</f>
        <v>None</v>
      </c>
    </row>
    <row r="1577" spans="1:33" ht="14.25" hidden="1" x14ac:dyDescent="0.2">
      <c r="A1577" s="18" t="str">
        <f t="array" ref="A1577">IF(G1577='Room Info'!$B$1, INDEX('Room Info'!$A$2:$A2446, MATCH(B1577,'Room Info'!$B$2:$B2446, 0)),IF(G1577='Room Info'!$C$1, INDEX('Room Info'!$A$2:$A2446, MATCH(B1577,'Room Info'!$C$2:$C2446, 0)),IF(G1577='Room Info'!$D$1, INDEX('Room Info'!$A$2:$A2446, MATCH(B1577,'Room Info'!$D$2:$D2446, 0)),IF(G1577='Room Info'!$E$1, INDEX('Room Info'!$A$2:$A2446, MATCH(B1577,'Room Info'!$E$2:$E2446, 0)),IF(G1577='Room Info'!$F$1, INDEX('Room Info'!$A$2:$A2446, MATCH(B1577,'Room Info'!$F$2:$F2446, 0)),IF(G1577='Room Info'!$H$1, INDEX('Room Info'!$A$2:$A2446, MATCH(B1577,'Room Info'!$H$2:$H2446, 0)),IF(G1577='Room Info'!$G$1, INDEX('Room Info'!$A$2:$A2446, MATCH(B1577,'Room Info'!$G$2:$G2446, 0)))))))))</f>
        <v>Farodit</v>
      </c>
      <c r="B1577" s="45" t="s">
        <v>171</v>
      </c>
      <c r="C1577" s="46">
        <v>44978</v>
      </c>
      <c r="D1577" s="46">
        <v>45005</v>
      </c>
      <c r="E1577" s="90">
        <v>44986</v>
      </c>
      <c r="F1577" s="48" t="s">
        <v>34</v>
      </c>
      <c r="G1577" s="96" t="s">
        <v>165</v>
      </c>
      <c r="H1577" s="110" t="s">
        <v>167</v>
      </c>
      <c r="I1577" s="100" t="s">
        <v>37</v>
      </c>
      <c r="J1577" s="39">
        <v>25</v>
      </c>
      <c r="K1577" s="51">
        <v>947</v>
      </c>
      <c r="L1577" s="52">
        <v>2025</v>
      </c>
      <c r="M1577" s="62"/>
      <c r="N1577" s="28">
        <f>K1577*J1577</f>
        <v>23675</v>
      </c>
      <c r="O1577" s="54">
        <v>74048</v>
      </c>
      <c r="P1577" s="29">
        <v>78.192185850000001</v>
      </c>
      <c r="Q1577" s="55"/>
      <c r="R1577" s="31">
        <f>M1577+Q1577*J1577*K1577*0.07</f>
        <v>0</v>
      </c>
      <c r="S1577" s="66"/>
      <c r="T1577" s="32">
        <f>IF(AND(AD1577="EUR", F1577="Without EV deal"), R1577 + L1577,
IF(AND(AD1577="USD", F1577="Without EV deal"), R1577 + L1577,
IF(AND(AD1577="EUR", F1577="Steel Phoenix"), R1577 + S1577/U1577,
R1577 + S1577)))</f>
        <v>0</v>
      </c>
      <c r="U1577" s="57">
        <v>1.071</v>
      </c>
      <c r="V1577" s="69">
        <v>18.475536992840095</v>
      </c>
      <c r="W1577" s="69">
        <v>127.84472791861781</v>
      </c>
      <c r="X1577" s="30">
        <f>IF(AF1577="DoEV",IF(AND(V1577&lt;20,W1577&lt;55),0.3,0)+IF(AND(V1577&lt;20,W1577&gt;=55,W1577&lt;105),0.23,0)+IF(AND(V1577&lt;20,W1577&gt;=105),0.17,0)+IF(AND(V1577&gt;=20,V1577&lt;40,W1577&lt;45),0.3,0)+IF(AND(V1577&gt;=20,V1577&lt;40,W1577&gt;=45,W1577&lt;95),0.23,0)+IF(AND(V1577&gt;=20,V1577&lt;40,W1577&gt;=95),0.17,0)+IF(AND(V1577&gt;=40,V1577&lt;75,W1577&lt;35),0.3,0)+IF(AND(V1577&gt;=40,V1577&lt;75,W1577&gt;=35,W1577&lt;75),0.23,0)+IF(AND(V1577&gt;=40,V1577&lt;75,W1577&gt;=75,W1577&lt;120),0.17,0)+IF(AND(V1577&gt;=40,V1577&lt;75,W1577&gt;=120),0.12,0)+IF(AND(V1577&gt;=75,V1577&lt;175,W1577&lt;35),0.3,0)+IF(AND(V1577&gt;=75,V1577&lt;=175,W1577&gt;=35,W1577&lt;65),0.23,0)+IF(AND(V1577&gt;=75,V1577&lt;=175,W1577&gt;=65,W1577&lt;110),0.17,0)+IF(AND(V1577&gt;=75,V1577&lt;=175,W1577&gt;=110),0.12,0)+IF(AND(V1577&gt;175,W1577&lt;25),0.3,0)+IF(AND(V1577&gt;175,W1577&gt;=25,W1577&lt;55),0.23,0)+IF(AND(V1577&gt;175,W1577&gt;=55,W1577&lt;95),0.17,0)+IF(AND(V1577&gt;175,W1577&gt;=95),0.12,0),
IF(AF1577="Fix15",0.15,
IF(AF1577="Fix5",0.05,
IF(AF1577="Fix18.75",0.1875,
IF(AF1577="Fix11.25",0.1125,
IF(AF1577="Fix10",0.1,
IF(AF1577="Fix9",0.09,
IF(AF1577="Fix12",0.12,
IF(AF1577="Fix19",0.19,
IF(AF1577="DoEV2017",IF(AND(W1577&lt;74),0.2,0)+IF(AND(W1577&gt;=74),0.17,0),
IF(AF1577="SF",IF(AND(V1577&lt;20,W1577&lt;89),0.3,0)+IF(AND(V1577&lt;20,W1577&gt;=89),0.25,0)+IF(AND(V1577&gt;=20,V1577&lt;40,W1577&lt;74),0.3,0)+IF(AND(V1577&gt;=20,V1577&lt;40,W1577&gt;=75),0.22,0)+IF(AND(V1577&gt;=40,V1577&lt;75,W1577&lt;75),0.26,0)+IF(AND(V1577&gt;=40,V1577&lt;75,W1577&gt;=75),0.22,0)+IF(V1577&gt;=75,0.22,0),
IF(AF1577="DoEVold",IF(AND(V1577&lt;40,W1577&lt;35),0.35,0)+IF(AND(V1577&lt;40,W1577&gt;=35,W1577&lt;75),0.25,0)+IF(AND(V1577&lt;40,W1577&gt;=75),0.17,0)+IF(AND(V1577&gt;=40,V1577&lt;75,W1577&lt;25),0.35,0)+IF(AND(V1577&gt;=40,V1577&lt;75,W1577&gt;=25,W1577&lt;65),0.25,0)+IF(AND(V1577&gt;=40,V1577&lt;75,W1577&gt;=65,W1577&lt;100),0.17,0)+IF(AND(V1577&gt;=40,V1577&lt;75,W1577&gt;=100),0.1,0)+IF(AND(V1577&gt;=75,W1577&lt;25),0.35,0)+IF(AND(V1577&gt;=75,W1577&gt;=25,W1577&lt;60),0.25,0)+IF(AND(V1577&gt;=75,W1577&gt;=60,W1577&lt;95),0.17,0)+IF(AND(V1577&gt;=75,W1577&gt;=95),0.1,0),
IF(AF1577="DoEVold15",IF(AND(V1577&lt;=40,W1577&lt;35),0.35,0)+IF(AND(V1577&lt;=40,W1577&gt;=35,W1577&lt;75),0.25,0)+IF(AND(V1577&lt;=40,W1577&gt;=75,W1577&lt;120),0.17,0)+IF(AND(V1577&lt;=40,W1577&gt;=120),0.15,0)+IF(AND(V1577&gt;40,V1577&lt;75,W1577&lt;25),0.35,0)+IF(AND(V1577&gt;=40,V1577&lt;75,W1577&gt;=25,W1577&lt;65),0.25,0)+IF(AND(V1577&gt;=40,V1577&lt;75,W1577&gt;=65,W1577&lt;100),0.17,0)+IF(AND(V1577&gt;=40,V1577&lt;75,W1577&gt;=100),0.1,0)+IF(AND(V1577&gt;=75,W1577&lt;25),0.35,0)+IF(AND(V1577&gt;=75,W1577&gt;=25,W1577&lt;60),0.25,0)+IF(AND(V1577&gt;=75,W1577&gt;=60,W1577&lt;95),0.17,0)+IF(AND(V1577&gt;=75,W1577&gt;=95),0.1,0),
IF(AF1577="DoEVba",IF(AND(V1577&lt;20,W1577&lt;105),0.2,0)+IF(AND(V1577&lt;20,W1577&gt;=105),0.15,0)+IF(AND(V1577&gt;=20,V1577&lt;40,W1577&lt;95),0.2,0)+IF(AND(V1577&gt;=20,V1577&lt;40,W1577&gt;=95,W1577&lt;150),0.15,0)+IF(AND(V1577&gt;=20,V1577&lt;40,W1577&gt;=150),0.12,0)+IF(AND(V1577&gt;=40,V1577&lt;75,W1577&lt;75),0.2,0)+IF(AND(V1577&gt;=40,V1577&lt;75,W1577&gt;=75,W1577&lt;120),0.15,0)+IF(AND(V1577&gt;=40,V1577&lt;75,W1577&gt;=120),0.12,0)+IF(AND(V1577&gt;=75,V1577&lt;175,W1577&lt;65),0.2,0)+IF(AND(V1577&gt;=75,V1577&lt;175,W1577&gt;=65,W1577&lt;110),0.15,0)+IF(AND(V1577&gt;=75,V1577&lt;175,W1577&gt;=110),0.12,0)+IF(AND(V1577&gt;=175,W1577&lt;55),0.2,0)+IF(AND(V1577&gt;=175,W1577&gt;=55,W1577&lt;95),0.15,0)+IF(AND(V1577&gt;=175,W1577&gt;=95),0.12,0),
IF(AF1577="DoEVku",IF(AND(V1577&lt;20,W1577&lt;55),0.23,0)+IF(AND(V1577&lt;20,W1577&gt;=55,W1577&lt;105),0.2,0)+IF(AND(V1577&lt;20,W1577&gt;=105),0.17,0)+IF(AND(V1577&gt;=20,V1577&lt;40,W1577&lt;45),0.23,0)+IF(AND(V1577&gt;=20,V1577&lt;40,W1577&gt;=45,W1577&lt;95),0.2,0)+IF(AND(V1577&gt;=20,V1577&lt;40,W1577&gt;=95,W1577&lt;=150),0.17,0)+IF(AND(V1577&gt;=20,V1577&lt;40,W1577&gt;=150),0.12,0)+IF(AND(V1577&gt;=40,V1577&lt;75,W1577&lt;35),0.23,0)+IF(AND(V1577&gt;=40,V1577&lt;75,W1577&gt;=35,W1577&lt;75),0.2,0)+IF(AND(V1577&gt;=40,V1577&lt;75,W1577&gt;=75,W1577&lt;120),0.17,0)+IF(AND(V1577&gt;=40,V1577&lt;75,W1577&gt;=120),0.12,0)+IF(AND(V1577&gt;=75,V1577&lt;175,W1577&lt;35),0.23,0)+IF(AND(V1577&gt;=75,V1577&lt;=175,W1577&gt;=35,W1577&lt;65),0.2,0)+IF(AND(V1577&gt;=75,V1577&lt;=175,W1577&gt;=65,W1577&lt;110),0.17,0)+IF(AND(V1577&gt;=75,V1577&lt;=175,W1577&gt;=110),0.12,0)+IF(AND(V1577&gt;175,W1577&lt;25),0.23,0)+IF(AND(V1577&gt;175,W1577&gt;=25,W1577&lt;55),0.2,0)+IF(AND(V1577&gt;175,W1577&gt;=55,W1577&lt;95),0.17,0)+IF(AND(V1577&gt;175,W1577&gt;=95),0.12,0),
IF(AF1577="DoEVs1",IF(AND(V1577&lt;20,W1577&lt;55),0.3,0)+IF(AND(V1577&lt;20,W1577&gt;=55,W1577&lt;105),0.23,0)+IF(AND(V1577&lt;20,W1577&gt;=105),0.17,0)+IF(AND(V1577&gt;=20,V1577&lt;40,W1577&lt;45),0.3,0)+IF(AND(V1577&gt;=20,V1577&lt;40,W1577&gt;=45,W1577&lt;95),0.23,0)+IF(AND(V1577&gt;=20,V1577&lt;40,W1577&gt;=95,W1577&lt;=150),0.17,0)+IF(AND(V1577&gt;=20,V1577&lt;40,W1577&gt;=150),0.12,0)+IF(AND(V1577&gt;=40,V1577&lt;75,W1577&lt;35),0.3,0)+IF(AND(V1577&gt;=40,V1577&lt;75,W1577&gt;=35,W1577&lt;75),0.23,0)+IF(AND(V1577&gt;=40,V1577&lt;75,W1577&gt;=75,W1577&lt;120),0.17,0)+IF(AND(V1577&gt;=40,V1577&lt;75,W1577&gt;=120),0.12,0)+IF(AND(V1577&gt;=75,V1577&lt;175,W1577&lt;35),0.3,0)+IF(AND(V1577&gt;=75,V1577&lt;=175,W1577&gt;=35,W1577&lt;65),0.23,0)+IF(AND(V1577&gt;=75,V1577&lt;=175,W1577&gt;=65,W1577&lt;110),0.17,0)+IF(AND(V1577&gt;=75,V1577&lt;=175,W1577&gt;=110),0.12,0)+IF(AND(V1577&gt;175,W1577&lt;25),0.3,0)+IF(AND(V1577&gt;175,W1577&gt;=25,W1577&lt;55),0.23,0)+IF(AND(V1577&gt;175,W1577&gt;=55,W1577&lt;95),0.17,0)+IF(AND(V1577&gt;175,W1577&gt;=95),0.12,0),
IF(AF1577="DoEVsu",IF(AND(V1577&lt;20,W1577&lt;55),0.3,0)+IF(AND(V1577&lt;20,W1577&gt;=55,W1577&lt;105),0.23,0)+IF(AND(V1577&lt;20,W1577&gt;=105),0.17,0)+IF(AND(V1577&gt;=20,V1577&lt;40,W1577&lt;45),0.3,0)+IF(AND(V1577&gt;=20,V1577&lt;40,W1577&gt;=45,W1577&lt;95),0.23,0)+IF(AND(V1577&gt;=20,V1577&lt;40,W1577&gt;=95,W1577&lt;=250),0.17,0)+IF(AND(V1577&gt;=20,V1577&lt;40,W1577&gt;=250),0.12,0)+IF(AND(V1577&gt;=40,V1577&lt;75,W1577&lt;35),0.3,0)+IF(AND(V1577&gt;=40,V1577&lt;75,W1577&gt;=35,W1577&lt;75),0.23,0)+IF(AND(V1577&gt;=40,V1577&lt;75,W1577&gt;=75,W1577&lt;120),0.17,0)+IF(AND(V1577&gt;=40,V1577&lt;75,W1577&gt;=120),0.12,0)+IF(AND(V1577&gt;=75,V1577&lt;175,W1577&lt;35),0.3,0)+IF(AND(V1577&gt;=75,V1577&lt;=175,W1577&gt;=35,W1577&lt;65),0.23,0)+IF(AND(V1577&gt;=75,V1577&lt;=175,W1577&gt;=65,W1577&lt;110),0.17,0)+IF(AND(V1577&gt;=75,V1577&lt;=175,W1577&gt;=110),0.12,0)+IF(AND(V1577&gt;175,W1577&lt;25),0.3,0)+IF(AND(V1577&gt;175,W1577&gt;=25,W1577&lt;55),0.23,0)+IF(AND(V1577&gt;175,W1577&gt;=55,W1577&lt;95),0.17,0)+IF(AND(V1577&gt;175,W1577&gt;=95),0.12,0),
IF(AF1577="DoEVni",IF(AND(V1577&lt;20,W1577&lt;55),0.3,0)+IF(AND(V1577&lt;20,W1577&gt;=55,W1577&lt;105),0.23,0)+IF(AND(V1577&lt;20,W1577&gt;=105),0.17,0)+IF(AND(V1577&gt;=20,V1577&lt;40,W1577&lt;45),0.3,0)+IF(AND(V1577&gt;=20,V1577&lt;40,W1577&gt;=45,W1577&lt;95),0.23,0)+IF(AND(V1577&gt;=20,V1577&lt;40,W1577&gt;=95,W1577&lt;=200),0.17,0)+IF(AND(V1577&gt;=20,V1577&lt;40,W1577&gt;=200),0.12,0)+IF(AND(V1577&gt;=40,V1577&lt;75,W1577&lt;35),0.3,0)+IF(AND(V1577&gt;=40,V1577&lt;75,W1577&gt;=35,W1577&lt;75),0.23,0)+IF(AND(V1577&gt;=40,V1577&lt;75,W1577&gt;=75,W1577&lt;120),0.17,0)+IF(AND(V1577&gt;=40,V1577&lt;75,W1577&gt;=120),0.12,0)+IF(AND(V1577&gt;=75,V1577&lt;175,W1577&lt;35),0.3,0)+IF(AND(V1577&gt;=75,V1577&lt;=175,W1577&gt;=35,W1577&lt;65),0.23,0)+IF(AND(V1577&gt;=75,V1577&lt;=175,W1577&gt;=65,W1577&lt;110),0.17,0)+IF(AND(V1577&gt;=75,V1577&lt;=175,W1577&gt;=110),0.12,0)+IF(AND(V1577&gt;175,W1577&lt;25),0.3,0)+IF(AND(V1577&gt;175,W1577&gt;=25,W1577&lt;55),0.23,0)+IF(AND(V1577&gt;175,W1577&gt;=55,W1577&lt;95),0.17,0)+IF(AND(V1577&gt;175,W1577&gt;=95),0.12,0),
IF(AF1577="DoEVLo",IF(AND(V1577&lt;20,W1577&lt;55),0.25,0)+IF(AND(V1577&lt;20,W1577&gt;=55,W1577&lt;105),0.2,0)+IF(AND(V1577&lt;20,W1577&gt;=105),0.15,0)+IF(AND(V1577&gt;=20,V1577&lt;40,W1577&lt;45),0.25,0)+IF(AND(V1577&gt;=20,V1577&lt;40,W1577&gt;=45,W1577&lt;95),0.2,0)+IF(AND(V1577&gt;=20,V1577&lt;40,W1577&gt;=95),0.15,0)+IF(AND(V1577&gt;=40,V1577&lt;75,W1577&lt;35),0.25,0)+IF(AND(V1577&gt;=40,V1577&lt;75,W1577&gt;=35,W1577&lt;75),0.2,0)+IF(AND(V1577&gt;=40,V1577&lt;75,W1577&gt;=75,W1577&lt;120),0.15,0)+IF(AND(V1577&gt;=40,V1577&lt;75,W1577&gt;=120),0.1,0)+IF(AND(V1577&gt;=75,V1577&lt;175,W1577&lt;35),0.25,0)+IF(AND(V1577&gt;=75,V1577&lt;=175,W1577&gt;=35,W1577&lt;65),0.2,0)+IF(AND(V1577&gt;=75,V1577&lt;=175,W1577&gt;=65,W1577&lt;110),0.15,0)+IF(AND(V1577&gt;=75,V1577&lt;=175,W1577&gt;=110),0.1,0)+IF(AND(V1577&gt;175,W1577&lt;25),0.25,0)+IF(AND(V1577&gt;175,W1577&gt;=25,W1577&lt;55),0.2,0)+IF(AND(V1577&gt;175,W1577&gt;=55,W1577&lt;95),0.15,0)+IF(AND(V1577&gt;175,W1577&gt;=95),0.1,0))))))))))))))))))))</f>
        <v>0.17</v>
      </c>
      <c r="Y1577" s="30">
        <f>IF(AG1577="None",0,IF(AG1577="Fix5",0.05, IF(AG1577="Fix6.25",0.0625,IF(AG1577="Fix3.75",0.0375, IF(AG1577="Fix11",0.11, IF(AG1577="Fix10",0.1,IF(AG1577="Fix3",0.03,0)))))))</f>
        <v>0</v>
      </c>
      <c r="Z1577" s="35">
        <f>IF(AND(AD1577="EUR", AE1577 = "USD"), T1577*U1577-AA1577-AB1577, T1577-AA1577-AB1577)</f>
        <v>0</v>
      </c>
      <c r="AA1577" s="29">
        <f>IF(AND(AD1577="EUR", F1577="Without EV deal", AE1577="USD"), (T1577*X1577)*U1577,
IF(AND(AD1577="EUR", F1577="Without EV deal", AE1577="EUR"), (T1577*X1577),
IF(AND(AD1577="EUR",AE1577="USD"), (T1577*X1577)*U1577,
T1577*X1577)))</f>
        <v>0</v>
      </c>
      <c r="AB1577" s="36">
        <f>IF(AND(AD1577="EUR", F1577="Without EV deal", AE1577="USD"), (T1577*Y1577)*U1577,
IF(AND(AD1577="EUR", F1577="Without EV deal", AE1577="EUR"), (T1577*Y1577),
IF(AND(AD1577="EUR",AE1577="USD"), (T1577*Y1577)*U1577,
T1577*Y1577)))</f>
        <v>0</v>
      </c>
      <c r="AC1577" s="37" t="b">
        <v>0</v>
      </c>
      <c r="AD1577" s="82" t="str">
        <f>IF(OR(H1577="€0.25 Flash",
H1577="€0.25(nitro) new",
H1577="€1",
H1577="€2",
H1577="€2 (bf 01.08)",
H1577="€5",
H1577="€5 (1M)",
H1577="€5 (bf 01.08)",
H1577="€5 (bf 05.05)",
H1577="€5 Nitro",
H1577="€5(wx) new",
H1577="€10",
H1577="€10 (1M)",
H1577="€10 (bf 01.08)",
H1577="€10 (bf 05.05)",
H1577="€10 (MP)",
H1577="€10 (old)",
H1577="€10 Nitro (bf 05.05)",
H1577="€10 Nitro (old)",
H1577="€10(wx) new",
H1577="€20",
H1577="€25",
H1577="€25 (bf 01.08)",
H1577="€25 (bf 05.05)",
H1577="€25 (MP)",
H1577="€25 (old)",
H1577="€25 Nitro",
H1577="€25 Nitro (bf 01.08)",
H1577="€25 Nitro (bf 05.05)",
H1577="€25(nitro) new",
H1577="€25(wx) new",
H1577="€50",
H1577="€50 (bf 01.08)",
H1577="€50 (bf 05.05)",
H1577="€50 (old)",
H1577="€50 Nitro",
H1577="€50 Nitro (bf 01.08)",
H1577="€50 Nitro (bf 05.05)",
H1577="€50(wx) new",
H1577="€100",
H1577="€100 (old)",
H1577="€100 Nitro",
H1577="€100 Nitro (old)",
H1577="€200",
H1577="€250",
H1577="€250 Nitro",
H1577="€500",
H1577="€500 Nitro"),"EUR", "USD")</f>
        <v>EUR</v>
      </c>
      <c r="AE1577" s="83" t="s">
        <v>38</v>
      </c>
      <c r="AF1577" s="83" t="str">
        <f t="array" ref="AF1577">INDEX('Deal Info'!D:D, MATCH(A1577,'Deal Info'!A:A, 0))</f>
        <v>DoEV</v>
      </c>
      <c r="AG1577" s="84" t="str">
        <f t="array" ref="AG1577">INDEX('Deal Info'!G:G, MATCH(A1577,'Deal Info'!A:A, 0))</f>
        <v>None</v>
      </c>
    </row>
    <row r="1578" spans="1:33" ht="14.25" hidden="1" x14ac:dyDescent="0.2">
      <c r="A1578" s="18" t="str">
        <f t="array" ref="A1578">IF(G1578='Room Info'!$B$1, INDEX('Room Info'!$A$2:$A2446, MATCH(B1578,'Room Info'!$B$2:$B2446, 0)),IF(G1578='Room Info'!$C$1, INDEX('Room Info'!$A$2:$A2446, MATCH(B1578,'Room Info'!$C$2:$C2446, 0)),IF(G1578='Room Info'!$D$1, INDEX('Room Info'!$A$2:$A2446, MATCH(B1578,'Room Info'!$D$2:$D2446, 0)),IF(G1578='Room Info'!$E$1, INDEX('Room Info'!$A$2:$A2446, MATCH(B1578,'Room Info'!$E$2:$E2446, 0)),IF(G1578='Room Info'!$F$1, INDEX('Room Info'!$A$2:$A2446, MATCH(B1578,'Room Info'!$F$2:$F2446, 0)),IF(G1578='Room Info'!$H$1, INDEX('Room Info'!$A$2:$A2446, MATCH(B1578,'Room Info'!$H$2:$H2446, 0)),IF(G1578='Room Info'!$G$1, INDEX('Room Info'!$A$2:$A2446, MATCH(B1578,'Room Info'!$G$2:$G2446, 0)))))))))</f>
        <v>fig6</v>
      </c>
      <c r="B1578" s="45" t="s">
        <v>172</v>
      </c>
      <c r="C1578" s="46">
        <v>44978</v>
      </c>
      <c r="D1578" s="46">
        <v>45005</v>
      </c>
      <c r="E1578" s="90">
        <v>44986</v>
      </c>
      <c r="F1578" s="48" t="s">
        <v>34</v>
      </c>
      <c r="G1578" s="65" t="s">
        <v>35</v>
      </c>
      <c r="H1578" s="49" t="s">
        <v>70</v>
      </c>
      <c r="I1578" s="100" t="s">
        <v>37</v>
      </c>
      <c r="J1578" s="39">
        <v>100</v>
      </c>
      <c r="K1578" s="51">
        <v>1118</v>
      </c>
      <c r="L1578" s="52">
        <v>-700</v>
      </c>
      <c r="M1578" s="53">
        <v>31700</v>
      </c>
      <c r="N1578" s="28">
        <f>K1578*J1578</f>
        <v>111800</v>
      </c>
      <c r="O1578" s="54">
        <v>35050</v>
      </c>
      <c r="P1578" s="29">
        <v>31.350626120000001</v>
      </c>
      <c r="Q1578" s="55"/>
      <c r="R1578" s="31">
        <f>M1578+Q1578*J1578*K1578*0.07</f>
        <v>31700</v>
      </c>
      <c r="S1578" s="56">
        <v>-4916</v>
      </c>
      <c r="T1578" s="32">
        <f>IF(AND(AD1578="EUR", F1578="Without EV deal"), R1578 + L1578,
IF(AND(AD1578="USD", F1578="Without EV deal"), R1578 + L1578,
IF(AND(AD1578="EUR", F1578="Steel Phoenix"), R1578 + S1578/U1578,
R1578 + S1578)))</f>
        <v>26784</v>
      </c>
      <c r="U1578" s="57">
        <v>1.071</v>
      </c>
      <c r="V1578" s="58"/>
      <c r="W1578" s="58"/>
      <c r="X1578" s="30">
        <f>IF(AF1578="DoEV",IF(AND(V1578&lt;20,W1578&lt;55),0.3,0)+IF(AND(V1578&lt;20,W1578&gt;=55,W1578&lt;105),0.23,0)+IF(AND(V1578&lt;20,W1578&gt;=105),0.17,0)+IF(AND(V1578&gt;=20,V1578&lt;40,W1578&lt;45),0.3,0)+IF(AND(V1578&gt;=20,V1578&lt;40,W1578&gt;=45,W1578&lt;95),0.23,0)+IF(AND(V1578&gt;=20,V1578&lt;40,W1578&gt;=95),0.17,0)+IF(AND(V1578&gt;=40,V1578&lt;75,W1578&lt;35),0.3,0)+IF(AND(V1578&gt;=40,V1578&lt;75,W1578&gt;=35,W1578&lt;75),0.23,0)+IF(AND(V1578&gt;=40,V1578&lt;75,W1578&gt;=75,W1578&lt;120),0.17,0)+IF(AND(V1578&gt;=40,V1578&lt;75,W1578&gt;=120),0.12,0)+IF(AND(V1578&gt;=75,V1578&lt;175,W1578&lt;35),0.3,0)+IF(AND(V1578&gt;=75,V1578&lt;=175,W1578&gt;=35,W1578&lt;65),0.23,0)+IF(AND(V1578&gt;=75,V1578&lt;=175,W1578&gt;=65,W1578&lt;110),0.17,0)+IF(AND(V1578&gt;=75,V1578&lt;=175,W1578&gt;=110),0.12,0)+IF(AND(V1578&gt;175,W1578&lt;25),0.3,0)+IF(AND(V1578&gt;175,W1578&gt;=25,W1578&lt;55),0.23,0)+IF(AND(V1578&gt;175,W1578&gt;=55,W1578&lt;95),0.17,0)+IF(AND(V1578&gt;175,W1578&gt;=95),0.12,0),
IF(AF1578="Fix15",0.15,
IF(AF1578="Fix5",0.05,
IF(AF1578="Fix18.75",0.1875,
IF(AF1578="Fix11.25",0.1125,
IF(AF1578="Fix10",0.1,
IF(AF1578="Fix9",0.09,
IF(AF1578="Fix12",0.12,
IF(AF1578="Fix19",0.19,
IF(AF1578="DoEV2017",IF(AND(W1578&lt;74),0.2,0)+IF(AND(W1578&gt;=74),0.17,0),
IF(AF1578="SF",IF(AND(V1578&lt;20,W1578&lt;89),0.3,0)+IF(AND(V1578&lt;20,W1578&gt;=89),0.25,0)+IF(AND(V1578&gt;=20,V1578&lt;40,W1578&lt;74),0.3,0)+IF(AND(V1578&gt;=20,V1578&lt;40,W1578&gt;=75),0.22,0)+IF(AND(V1578&gt;=40,V1578&lt;75,W1578&lt;75),0.26,0)+IF(AND(V1578&gt;=40,V1578&lt;75,W1578&gt;=75),0.22,0)+IF(V1578&gt;=75,0.22,0),
IF(AF1578="DoEVold",IF(AND(V1578&lt;40,W1578&lt;35),0.35,0)+IF(AND(V1578&lt;40,W1578&gt;=35,W1578&lt;75),0.25,0)+IF(AND(V1578&lt;40,W1578&gt;=75),0.17,0)+IF(AND(V1578&gt;=40,V1578&lt;75,W1578&lt;25),0.35,0)+IF(AND(V1578&gt;=40,V1578&lt;75,W1578&gt;=25,W1578&lt;65),0.25,0)+IF(AND(V1578&gt;=40,V1578&lt;75,W1578&gt;=65,W1578&lt;100),0.17,0)+IF(AND(V1578&gt;=40,V1578&lt;75,W1578&gt;=100),0.1,0)+IF(AND(V1578&gt;=75,W1578&lt;25),0.35,0)+IF(AND(V1578&gt;=75,W1578&gt;=25,W1578&lt;60),0.25,0)+IF(AND(V1578&gt;=75,W1578&gt;=60,W1578&lt;95),0.17,0)+IF(AND(V1578&gt;=75,W1578&gt;=95),0.1,0),
IF(AF1578="DoEVold15",IF(AND(V1578&lt;=40,W1578&lt;35),0.35,0)+IF(AND(V1578&lt;=40,W1578&gt;=35,W1578&lt;75),0.25,0)+IF(AND(V1578&lt;=40,W1578&gt;=75,W1578&lt;120),0.17,0)+IF(AND(V1578&lt;=40,W1578&gt;=120),0.15,0)+IF(AND(V1578&gt;40,V1578&lt;75,W1578&lt;25),0.35,0)+IF(AND(V1578&gt;=40,V1578&lt;75,W1578&gt;=25,W1578&lt;65),0.25,0)+IF(AND(V1578&gt;=40,V1578&lt;75,W1578&gt;=65,W1578&lt;100),0.17,0)+IF(AND(V1578&gt;=40,V1578&lt;75,W1578&gt;=100),0.1,0)+IF(AND(V1578&gt;=75,W1578&lt;25),0.35,0)+IF(AND(V1578&gt;=75,W1578&gt;=25,W1578&lt;60),0.25,0)+IF(AND(V1578&gt;=75,W1578&gt;=60,W1578&lt;95),0.17,0)+IF(AND(V1578&gt;=75,W1578&gt;=95),0.1,0),
IF(AF1578="DoEVba",IF(AND(V1578&lt;20,W1578&lt;105),0.2,0)+IF(AND(V1578&lt;20,W1578&gt;=105),0.15,0)+IF(AND(V1578&gt;=20,V1578&lt;40,W1578&lt;95),0.2,0)+IF(AND(V1578&gt;=20,V1578&lt;40,W1578&gt;=95,W1578&lt;150),0.15,0)+IF(AND(V1578&gt;=20,V1578&lt;40,W1578&gt;=150),0.12,0)+IF(AND(V1578&gt;=40,V1578&lt;75,W1578&lt;75),0.2,0)+IF(AND(V1578&gt;=40,V1578&lt;75,W1578&gt;=75,W1578&lt;120),0.15,0)+IF(AND(V1578&gt;=40,V1578&lt;75,W1578&gt;=120),0.12,0)+IF(AND(V1578&gt;=75,V1578&lt;175,W1578&lt;65),0.2,0)+IF(AND(V1578&gt;=75,V1578&lt;175,W1578&gt;=65,W1578&lt;110),0.15,0)+IF(AND(V1578&gt;=75,V1578&lt;175,W1578&gt;=110),0.12,0)+IF(AND(V1578&gt;=175,W1578&lt;55),0.2,0)+IF(AND(V1578&gt;=175,W1578&gt;=55,W1578&lt;95),0.15,0)+IF(AND(V1578&gt;=175,W1578&gt;=95),0.12,0),
IF(AF1578="DoEVku",IF(AND(V1578&lt;20,W1578&lt;55),0.23,0)+IF(AND(V1578&lt;20,W1578&gt;=55,W1578&lt;105),0.2,0)+IF(AND(V1578&lt;20,W1578&gt;=105),0.17,0)+IF(AND(V1578&gt;=20,V1578&lt;40,W1578&lt;45),0.23,0)+IF(AND(V1578&gt;=20,V1578&lt;40,W1578&gt;=45,W1578&lt;95),0.2,0)+IF(AND(V1578&gt;=20,V1578&lt;40,W1578&gt;=95,W1578&lt;=150),0.17,0)+IF(AND(V1578&gt;=20,V1578&lt;40,W1578&gt;=150),0.12,0)+IF(AND(V1578&gt;=40,V1578&lt;75,W1578&lt;35),0.23,0)+IF(AND(V1578&gt;=40,V1578&lt;75,W1578&gt;=35,W1578&lt;75),0.2,0)+IF(AND(V1578&gt;=40,V1578&lt;75,W1578&gt;=75,W1578&lt;120),0.17,0)+IF(AND(V1578&gt;=40,V1578&lt;75,W1578&gt;=120),0.12,0)+IF(AND(V1578&gt;=75,V1578&lt;175,W1578&lt;35),0.23,0)+IF(AND(V1578&gt;=75,V1578&lt;=175,W1578&gt;=35,W1578&lt;65),0.2,0)+IF(AND(V1578&gt;=75,V1578&lt;=175,W1578&gt;=65,W1578&lt;110),0.17,0)+IF(AND(V1578&gt;=75,V1578&lt;=175,W1578&gt;=110),0.12,0)+IF(AND(V1578&gt;175,W1578&lt;25),0.23,0)+IF(AND(V1578&gt;175,W1578&gt;=25,W1578&lt;55),0.2,0)+IF(AND(V1578&gt;175,W1578&gt;=55,W1578&lt;95),0.17,0)+IF(AND(V1578&gt;175,W1578&gt;=95),0.12,0),
IF(AF1578="DoEVs1",IF(AND(V1578&lt;20,W1578&lt;55),0.3,0)+IF(AND(V1578&lt;20,W1578&gt;=55,W1578&lt;105),0.23,0)+IF(AND(V1578&lt;20,W1578&gt;=105),0.17,0)+IF(AND(V1578&gt;=20,V1578&lt;40,W1578&lt;45),0.3,0)+IF(AND(V1578&gt;=20,V1578&lt;40,W1578&gt;=45,W1578&lt;95),0.23,0)+IF(AND(V1578&gt;=20,V1578&lt;40,W1578&gt;=95,W1578&lt;=150),0.17,0)+IF(AND(V1578&gt;=20,V1578&lt;40,W1578&gt;=150),0.12,0)+IF(AND(V1578&gt;=40,V1578&lt;75,W1578&lt;35),0.3,0)+IF(AND(V1578&gt;=40,V1578&lt;75,W1578&gt;=35,W1578&lt;75),0.23,0)+IF(AND(V1578&gt;=40,V1578&lt;75,W1578&gt;=75,W1578&lt;120),0.17,0)+IF(AND(V1578&gt;=40,V1578&lt;75,W1578&gt;=120),0.12,0)+IF(AND(V1578&gt;=75,V1578&lt;175,W1578&lt;35),0.3,0)+IF(AND(V1578&gt;=75,V1578&lt;=175,W1578&gt;=35,W1578&lt;65),0.23,0)+IF(AND(V1578&gt;=75,V1578&lt;=175,W1578&gt;=65,W1578&lt;110),0.17,0)+IF(AND(V1578&gt;=75,V1578&lt;=175,W1578&gt;=110),0.12,0)+IF(AND(V1578&gt;175,W1578&lt;25),0.3,0)+IF(AND(V1578&gt;175,W1578&gt;=25,W1578&lt;55),0.23,0)+IF(AND(V1578&gt;175,W1578&gt;=55,W1578&lt;95),0.17,0)+IF(AND(V1578&gt;175,W1578&gt;=95),0.12,0),
IF(AF1578="DoEVsu",IF(AND(V1578&lt;20,W1578&lt;55),0.3,0)+IF(AND(V1578&lt;20,W1578&gt;=55,W1578&lt;105),0.23,0)+IF(AND(V1578&lt;20,W1578&gt;=105),0.17,0)+IF(AND(V1578&gt;=20,V1578&lt;40,W1578&lt;45),0.3,0)+IF(AND(V1578&gt;=20,V1578&lt;40,W1578&gt;=45,W1578&lt;95),0.23,0)+IF(AND(V1578&gt;=20,V1578&lt;40,W1578&gt;=95,W1578&lt;=250),0.17,0)+IF(AND(V1578&gt;=20,V1578&lt;40,W1578&gt;=250),0.12,0)+IF(AND(V1578&gt;=40,V1578&lt;75,W1578&lt;35),0.3,0)+IF(AND(V1578&gt;=40,V1578&lt;75,W1578&gt;=35,W1578&lt;75),0.23,0)+IF(AND(V1578&gt;=40,V1578&lt;75,W1578&gt;=75,W1578&lt;120),0.17,0)+IF(AND(V1578&gt;=40,V1578&lt;75,W1578&gt;=120),0.12,0)+IF(AND(V1578&gt;=75,V1578&lt;175,W1578&lt;35),0.3,0)+IF(AND(V1578&gt;=75,V1578&lt;=175,W1578&gt;=35,W1578&lt;65),0.23,0)+IF(AND(V1578&gt;=75,V1578&lt;=175,W1578&gt;=65,W1578&lt;110),0.17,0)+IF(AND(V1578&gt;=75,V1578&lt;=175,W1578&gt;=110),0.12,0)+IF(AND(V1578&gt;175,W1578&lt;25),0.3,0)+IF(AND(V1578&gt;175,W1578&gt;=25,W1578&lt;55),0.23,0)+IF(AND(V1578&gt;175,W1578&gt;=55,W1578&lt;95),0.17,0)+IF(AND(V1578&gt;175,W1578&gt;=95),0.12,0),
IF(AF1578="DoEVni",IF(AND(V1578&lt;20,W1578&lt;55),0.3,0)+IF(AND(V1578&lt;20,W1578&gt;=55,W1578&lt;105),0.23,0)+IF(AND(V1578&lt;20,W1578&gt;=105),0.17,0)+IF(AND(V1578&gt;=20,V1578&lt;40,W1578&lt;45),0.3,0)+IF(AND(V1578&gt;=20,V1578&lt;40,W1578&gt;=45,W1578&lt;95),0.23,0)+IF(AND(V1578&gt;=20,V1578&lt;40,W1578&gt;=95,W1578&lt;=200),0.17,0)+IF(AND(V1578&gt;=20,V1578&lt;40,W1578&gt;=200),0.12,0)+IF(AND(V1578&gt;=40,V1578&lt;75,W1578&lt;35),0.3,0)+IF(AND(V1578&gt;=40,V1578&lt;75,W1578&gt;=35,W1578&lt;75),0.23,0)+IF(AND(V1578&gt;=40,V1578&lt;75,W1578&gt;=75,W1578&lt;120),0.17,0)+IF(AND(V1578&gt;=40,V1578&lt;75,W1578&gt;=120),0.12,0)+IF(AND(V1578&gt;=75,V1578&lt;175,W1578&lt;35),0.3,0)+IF(AND(V1578&gt;=75,V1578&lt;=175,W1578&gt;=35,W1578&lt;65),0.23,0)+IF(AND(V1578&gt;=75,V1578&lt;=175,W1578&gt;=65,W1578&lt;110),0.17,0)+IF(AND(V1578&gt;=75,V1578&lt;=175,W1578&gt;=110),0.12,0)+IF(AND(V1578&gt;175,W1578&lt;25),0.3,0)+IF(AND(V1578&gt;175,W1578&gt;=25,W1578&lt;55),0.23,0)+IF(AND(V1578&gt;175,W1578&gt;=55,W1578&lt;95),0.17,0)+IF(AND(V1578&gt;175,W1578&gt;=95),0.12,0),
IF(AF1578="DoEVLo",IF(AND(V1578&lt;20,W1578&lt;55),0.25,0)+IF(AND(V1578&lt;20,W1578&gt;=55,W1578&lt;105),0.2,0)+IF(AND(V1578&lt;20,W1578&gt;=105),0.15,0)+IF(AND(V1578&gt;=20,V1578&lt;40,W1578&lt;45),0.25,0)+IF(AND(V1578&gt;=20,V1578&lt;40,W1578&gt;=45,W1578&lt;95),0.2,0)+IF(AND(V1578&gt;=20,V1578&lt;40,W1578&gt;=95),0.15,0)+IF(AND(V1578&gt;=40,V1578&lt;75,W1578&lt;35),0.25,0)+IF(AND(V1578&gt;=40,V1578&lt;75,W1578&gt;=35,W1578&lt;75),0.2,0)+IF(AND(V1578&gt;=40,V1578&lt;75,W1578&gt;=75,W1578&lt;120),0.15,0)+IF(AND(V1578&gt;=40,V1578&lt;75,W1578&gt;=120),0.1,0)+IF(AND(V1578&gt;=75,V1578&lt;175,W1578&lt;35),0.25,0)+IF(AND(V1578&gt;=75,V1578&lt;=175,W1578&gt;=35,W1578&lt;65),0.2,0)+IF(AND(V1578&gt;=75,V1578&lt;=175,W1578&gt;=65,W1578&lt;110),0.15,0)+IF(AND(V1578&gt;=75,V1578&lt;=175,W1578&gt;=110),0.1,0)+IF(AND(V1578&gt;175,W1578&lt;25),0.25,0)+IF(AND(V1578&gt;175,W1578&gt;=25,W1578&lt;55),0.2,0)+IF(AND(V1578&gt;175,W1578&gt;=55,W1578&lt;95),0.15,0)+IF(AND(V1578&gt;175,W1578&gt;=95),0.1,0))))))))))))))))))))</f>
        <v>0.1125</v>
      </c>
      <c r="Y1578" s="30">
        <f>IF(AG1578="None",0,IF(AG1578="Fix5",0.05, IF(AG1578="Fix6.25",0.0625,IF(AG1578="Fix3.75",0.0375, IF(AG1578="Fix11",0.11, IF(AG1578="Fix10",0.1,IF(AG1578="Fix3",0.03,0)))))))</f>
        <v>3.7499999999999999E-2</v>
      </c>
      <c r="Z1578" s="35">
        <f>IF(AND(AD1578="EUR", AE1578 = "USD"), T1578*U1578-AA1578-AB1578, T1578-AA1578-AB1578)</f>
        <v>22766.399999999998</v>
      </c>
      <c r="AA1578" s="29">
        <f>IF(AND(AD1578="EUR", F1578="Without EV deal", AE1578="USD"), (T1578*X1578)*U1578,
IF(AND(AD1578="EUR", F1578="Without EV deal", AE1578="EUR"), (T1578*X1578),
IF(AND(AD1578="EUR",AE1578="USD"), (T1578*X1578)*U1578,
T1578*X1578)))</f>
        <v>3013.2000000000003</v>
      </c>
      <c r="AB1578" s="36">
        <f>IF(AND(AD1578="EUR", F1578="Without EV deal", AE1578="USD"), (T1578*Y1578)*U1578,
IF(AND(AD1578="EUR", F1578="Without EV deal", AE1578="EUR"), (T1578*Y1578),
IF(AND(AD1578="EUR",AE1578="USD"), (T1578*Y1578)*U1578,
T1578*Y1578)))</f>
        <v>1004.4</v>
      </c>
      <c r="AC1578" s="37" t="b">
        <v>0</v>
      </c>
      <c r="AD1578" s="82" t="str">
        <f>IF(OR(H1578="€0.25 Flash",
H1578="€0.25(nitro) new",
H1578="€1",
H1578="€2",
H1578="€2 (bf 01.08)",
H1578="€5",
H1578="€5 (1M)",
H1578="€5 (bf 01.08)",
H1578="€5 (bf 05.05)",
H1578="€5 Nitro",
H1578="€5(wx) new",
H1578="€10",
H1578="€10 (1M)",
H1578="€10 (bf 01.08)",
H1578="€10 (bf 05.05)",
H1578="€10 (MP)",
H1578="€10 (old)",
H1578="€10 Nitro (bf 05.05)",
H1578="€10 Nitro (old)",
H1578="€10(wx) new",
H1578="€20",
H1578="€25",
H1578="€25 (bf 01.08)",
H1578="€25 (bf 05.05)",
H1578="€25 (MP)",
H1578="€25 (old)",
H1578="€25 Nitro",
H1578="€25 Nitro (bf 01.08)",
H1578="€25 Nitro (bf 05.05)",
H1578="€25(nitro) new",
H1578="€25(wx) new",
H1578="€50",
H1578="€50 (bf 01.08)",
H1578="€50 (bf 05.05)",
H1578="€50 (old)",
H1578="€50 Nitro",
H1578="€50 Nitro (bf 01.08)",
H1578="€50 Nitro (bf 05.05)",
H1578="€50(wx) new",
H1578="€100",
H1578="€100 (old)",
H1578="€100 Nitro",
H1578="€100 Nitro (old)",
H1578="€200",
H1578="€250",
H1578="€250 Nitro",
H1578="€500",
H1578="€500 Nitro"),"EUR", "USD")</f>
        <v>USD</v>
      </c>
      <c r="AE1578" s="83" t="s">
        <v>38</v>
      </c>
      <c r="AF1578" s="83" t="str">
        <f t="array" ref="AF1578">INDEX('Deal Info'!D:D, MATCH(A1578,'Deal Info'!A:A, 0))</f>
        <v>Fix11.25</v>
      </c>
      <c r="AG1578" s="84" t="str">
        <f t="array" ref="AG1578">INDEX('Deal Info'!G:G, MATCH(A1578,'Deal Info'!A:A, 0))</f>
        <v>Fix3.75</v>
      </c>
    </row>
    <row r="1579" spans="1:33" ht="14.25" hidden="1" x14ac:dyDescent="0.2">
      <c r="A1579" s="18" t="str">
        <f t="array" ref="A1579">IF(G1579='Room Info'!$B$1, INDEX('Room Info'!$A$2:$A2446, MATCH(B1579,'Room Info'!$B$2:$B2446, 0)),IF(G1579='Room Info'!$C$1, INDEX('Room Info'!$A$2:$A2446, MATCH(B1579,'Room Info'!$C$2:$C2446, 0)),IF(G1579='Room Info'!$D$1, INDEX('Room Info'!$A$2:$A2446, MATCH(B1579,'Room Info'!$D$2:$D2446, 0)),IF(G1579='Room Info'!$E$1, INDEX('Room Info'!$A$2:$A2446, MATCH(B1579,'Room Info'!$E$2:$E2446, 0)),IF(G1579='Room Info'!$F$1, INDEX('Room Info'!$A$2:$A2446, MATCH(B1579,'Room Info'!$F$2:$F2446, 0)),IF(G1579='Room Info'!$H$1, INDEX('Room Info'!$A$2:$A2446, MATCH(B1579,'Room Info'!$H$2:$H2446, 0)),IF(G1579='Room Info'!$G$1, INDEX('Room Info'!$A$2:$A2446, MATCH(B1579,'Room Info'!$G$2:$G2446, 0)))))))))</f>
        <v>fig6</v>
      </c>
      <c r="B1579" s="45" t="s">
        <v>172</v>
      </c>
      <c r="C1579" s="46">
        <v>44978</v>
      </c>
      <c r="D1579" s="46">
        <v>45005</v>
      </c>
      <c r="E1579" s="90">
        <v>44986</v>
      </c>
      <c r="F1579" s="96" t="s">
        <v>41</v>
      </c>
      <c r="G1579" s="65" t="s">
        <v>35</v>
      </c>
      <c r="H1579" s="49" t="s">
        <v>213</v>
      </c>
      <c r="I1579" s="23" t="s">
        <v>174</v>
      </c>
      <c r="J1579" s="39">
        <v>100</v>
      </c>
      <c r="K1579" s="51">
        <v>70</v>
      </c>
      <c r="L1579" s="52">
        <v>-1309</v>
      </c>
      <c r="M1579" s="62"/>
      <c r="N1579" s="28">
        <f>K1579*J1579</f>
        <v>7000</v>
      </c>
      <c r="O1579" s="65"/>
      <c r="P1579" s="29">
        <v>0</v>
      </c>
      <c r="Q1579" s="55"/>
      <c r="R1579" s="31">
        <f>M1579+Q1579*J1579*K1579*0.07</f>
        <v>0</v>
      </c>
      <c r="S1579" s="66"/>
      <c r="T1579" s="32">
        <f>IF(AND(AD1579="EUR", F1579="Without EV deal"), R1579 + L1579,
IF(AND(AD1579="USD", F1579="Without EV deal"), R1579 + L1579,
IF(AND(AD1579="EUR", F1579="Steel Phoenix"), R1579 + S1579/U1579,
R1579 + S1579)))</f>
        <v>-1309</v>
      </c>
      <c r="U1579" s="57">
        <v>1.071</v>
      </c>
      <c r="V1579" s="58"/>
      <c r="W1579" s="58"/>
      <c r="X1579" s="30">
        <f>IF(AF1579="DoEV",IF(AND(V1579&lt;20,W1579&lt;55),0.3,0)+IF(AND(V1579&lt;20,W1579&gt;=55,W1579&lt;105),0.23,0)+IF(AND(V1579&lt;20,W1579&gt;=105),0.17,0)+IF(AND(V1579&gt;=20,V1579&lt;40,W1579&lt;45),0.3,0)+IF(AND(V1579&gt;=20,V1579&lt;40,W1579&gt;=45,W1579&lt;95),0.23,0)+IF(AND(V1579&gt;=20,V1579&lt;40,W1579&gt;=95),0.17,0)+IF(AND(V1579&gt;=40,V1579&lt;75,W1579&lt;35),0.3,0)+IF(AND(V1579&gt;=40,V1579&lt;75,W1579&gt;=35,W1579&lt;75),0.23,0)+IF(AND(V1579&gt;=40,V1579&lt;75,W1579&gt;=75,W1579&lt;120),0.17,0)+IF(AND(V1579&gt;=40,V1579&lt;75,W1579&gt;=120),0.12,0)+IF(AND(V1579&gt;=75,V1579&lt;175,W1579&lt;35),0.3,0)+IF(AND(V1579&gt;=75,V1579&lt;=175,W1579&gt;=35,W1579&lt;65),0.23,0)+IF(AND(V1579&gt;=75,V1579&lt;=175,W1579&gt;=65,W1579&lt;110),0.17,0)+IF(AND(V1579&gt;=75,V1579&lt;=175,W1579&gt;=110),0.12,0)+IF(AND(V1579&gt;175,W1579&lt;25),0.3,0)+IF(AND(V1579&gt;175,W1579&gt;=25,W1579&lt;55),0.23,0)+IF(AND(V1579&gt;175,W1579&gt;=55,W1579&lt;95),0.17,0)+IF(AND(V1579&gt;175,W1579&gt;=95),0.12,0),
IF(AF1579="Fix15",0.15,
IF(AF1579="Fix5",0.05,
IF(AF1579="Fix18.75",0.1875,
IF(AF1579="Fix11.25",0.1125,
IF(AF1579="Fix10",0.1,
IF(AF1579="Fix9",0.09,
IF(AF1579="Fix12",0.12,
IF(AF1579="Fix19",0.19,
IF(AF1579="DoEV2017",IF(AND(W1579&lt;74),0.2,0)+IF(AND(W1579&gt;=74),0.17,0),
IF(AF1579="SF",IF(AND(V1579&lt;20,W1579&lt;89),0.3,0)+IF(AND(V1579&lt;20,W1579&gt;=89),0.25,0)+IF(AND(V1579&gt;=20,V1579&lt;40,W1579&lt;74),0.3,0)+IF(AND(V1579&gt;=20,V1579&lt;40,W1579&gt;=75),0.22,0)+IF(AND(V1579&gt;=40,V1579&lt;75,W1579&lt;75),0.26,0)+IF(AND(V1579&gt;=40,V1579&lt;75,W1579&gt;=75),0.22,0)+IF(V1579&gt;=75,0.22,0),
IF(AF1579="DoEVold",IF(AND(V1579&lt;40,W1579&lt;35),0.35,0)+IF(AND(V1579&lt;40,W1579&gt;=35,W1579&lt;75),0.25,0)+IF(AND(V1579&lt;40,W1579&gt;=75),0.17,0)+IF(AND(V1579&gt;=40,V1579&lt;75,W1579&lt;25),0.35,0)+IF(AND(V1579&gt;=40,V1579&lt;75,W1579&gt;=25,W1579&lt;65),0.25,0)+IF(AND(V1579&gt;=40,V1579&lt;75,W1579&gt;=65,W1579&lt;100),0.17,0)+IF(AND(V1579&gt;=40,V1579&lt;75,W1579&gt;=100),0.1,0)+IF(AND(V1579&gt;=75,W1579&lt;25),0.35,0)+IF(AND(V1579&gt;=75,W1579&gt;=25,W1579&lt;60),0.25,0)+IF(AND(V1579&gt;=75,W1579&gt;=60,W1579&lt;95),0.17,0)+IF(AND(V1579&gt;=75,W1579&gt;=95),0.1,0),
IF(AF1579="DoEVold15",IF(AND(V1579&lt;=40,W1579&lt;35),0.35,0)+IF(AND(V1579&lt;=40,W1579&gt;=35,W1579&lt;75),0.25,0)+IF(AND(V1579&lt;=40,W1579&gt;=75,W1579&lt;120),0.17,0)+IF(AND(V1579&lt;=40,W1579&gt;=120),0.15,0)+IF(AND(V1579&gt;40,V1579&lt;75,W1579&lt;25),0.35,0)+IF(AND(V1579&gt;=40,V1579&lt;75,W1579&gt;=25,W1579&lt;65),0.25,0)+IF(AND(V1579&gt;=40,V1579&lt;75,W1579&gt;=65,W1579&lt;100),0.17,0)+IF(AND(V1579&gt;=40,V1579&lt;75,W1579&gt;=100),0.1,0)+IF(AND(V1579&gt;=75,W1579&lt;25),0.35,0)+IF(AND(V1579&gt;=75,W1579&gt;=25,W1579&lt;60),0.25,0)+IF(AND(V1579&gt;=75,W1579&gt;=60,W1579&lt;95),0.17,0)+IF(AND(V1579&gt;=75,W1579&gt;=95),0.1,0),
IF(AF1579="DoEVba",IF(AND(V1579&lt;20,W1579&lt;105),0.2,0)+IF(AND(V1579&lt;20,W1579&gt;=105),0.15,0)+IF(AND(V1579&gt;=20,V1579&lt;40,W1579&lt;95),0.2,0)+IF(AND(V1579&gt;=20,V1579&lt;40,W1579&gt;=95,W1579&lt;150),0.15,0)+IF(AND(V1579&gt;=20,V1579&lt;40,W1579&gt;=150),0.12,0)+IF(AND(V1579&gt;=40,V1579&lt;75,W1579&lt;75),0.2,0)+IF(AND(V1579&gt;=40,V1579&lt;75,W1579&gt;=75,W1579&lt;120),0.15,0)+IF(AND(V1579&gt;=40,V1579&lt;75,W1579&gt;=120),0.12,0)+IF(AND(V1579&gt;=75,V1579&lt;175,W1579&lt;65),0.2,0)+IF(AND(V1579&gt;=75,V1579&lt;175,W1579&gt;=65,W1579&lt;110),0.15,0)+IF(AND(V1579&gt;=75,V1579&lt;175,W1579&gt;=110),0.12,0)+IF(AND(V1579&gt;=175,W1579&lt;55),0.2,0)+IF(AND(V1579&gt;=175,W1579&gt;=55,W1579&lt;95),0.15,0)+IF(AND(V1579&gt;=175,W1579&gt;=95),0.12,0),
IF(AF1579="DoEVku",IF(AND(V1579&lt;20,W1579&lt;55),0.23,0)+IF(AND(V1579&lt;20,W1579&gt;=55,W1579&lt;105),0.2,0)+IF(AND(V1579&lt;20,W1579&gt;=105),0.17,0)+IF(AND(V1579&gt;=20,V1579&lt;40,W1579&lt;45),0.23,0)+IF(AND(V1579&gt;=20,V1579&lt;40,W1579&gt;=45,W1579&lt;95),0.2,0)+IF(AND(V1579&gt;=20,V1579&lt;40,W1579&gt;=95,W1579&lt;=150),0.17,0)+IF(AND(V1579&gt;=20,V1579&lt;40,W1579&gt;=150),0.12,0)+IF(AND(V1579&gt;=40,V1579&lt;75,W1579&lt;35),0.23,0)+IF(AND(V1579&gt;=40,V1579&lt;75,W1579&gt;=35,W1579&lt;75),0.2,0)+IF(AND(V1579&gt;=40,V1579&lt;75,W1579&gt;=75,W1579&lt;120),0.17,0)+IF(AND(V1579&gt;=40,V1579&lt;75,W1579&gt;=120),0.12,0)+IF(AND(V1579&gt;=75,V1579&lt;175,W1579&lt;35),0.23,0)+IF(AND(V1579&gt;=75,V1579&lt;=175,W1579&gt;=35,W1579&lt;65),0.2,0)+IF(AND(V1579&gt;=75,V1579&lt;=175,W1579&gt;=65,W1579&lt;110),0.17,0)+IF(AND(V1579&gt;=75,V1579&lt;=175,W1579&gt;=110),0.12,0)+IF(AND(V1579&gt;175,W1579&lt;25),0.23,0)+IF(AND(V1579&gt;175,W1579&gt;=25,W1579&lt;55),0.2,0)+IF(AND(V1579&gt;175,W1579&gt;=55,W1579&lt;95),0.17,0)+IF(AND(V1579&gt;175,W1579&gt;=95),0.12,0),
IF(AF1579="DoEVs1",IF(AND(V1579&lt;20,W1579&lt;55),0.3,0)+IF(AND(V1579&lt;20,W1579&gt;=55,W1579&lt;105),0.23,0)+IF(AND(V1579&lt;20,W1579&gt;=105),0.17,0)+IF(AND(V1579&gt;=20,V1579&lt;40,W1579&lt;45),0.3,0)+IF(AND(V1579&gt;=20,V1579&lt;40,W1579&gt;=45,W1579&lt;95),0.23,0)+IF(AND(V1579&gt;=20,V1579&lt;40,W1579&gt;=95,W1579&lt;=150),0.17,0)+IF(AND(V1579&gt;=20,V1579&lt;40,W1579&gt;=150),0.12,0)+IF(AND(V1579&gt;=40,V1579&lt;75,W1579&lt;35),0.3,0)+IF(AND(V1579&gt;=40,V1579&lt;75,W1579&gt;=35,W1579&lt;75),0.23,0)+IF(AND(V1579&gt;=40,V1579&lt;75,W1579&gt;=75,W1579&lt;120),0.17,0)+IF(AND(V1579&gt;=40,V1579&lt;75,W1579&gt;=120),0.12,0)+IF(AND(V1579&gt;=75,V1579&lt;175,W1579&lt;35),0.3,0)+IF(AND(V1579&gt;=75,V1579&lt;=175,W1579&gt;=35,W1579&lt;65),0.23,0)+IF(AND(V1579&gt;=75,V1579&lt;=175,W1579&gt;=65,W1579&lt;110),0.17,0)+IF(AND(V1579&gt;=75,V1579&lt;=175,W1579&gt;=110),0.12,0)+IF(AND(V1579&gt;175,W1579&lt;25),0.3,0)+IF(AND(V1579&gt;175,W1579&gt;=25,W1579&lt;55),0.23,0)+IF(AND(V1579&gt;175,W1579&gt;=55,W1579&lt;95),0.17,0)+IF(AND(V1579&gt;175,W1579&gt;=95),0.12,0),
IF(AF1579="DoEVsu",IF(AND(V1579&lt;20,W1579&lt;55),0.3,0)+IF(AND(V1579&lt;20,W1579&gt;=55,W1579&lt;105),0.23,0)+IF(AND(V1579&lt;20,W1579&gt;=105),0.17,0)+IF(AND(V1579&gt;=20,V1579&lt;40,W1579&lt;45),0.3,0)+IF(AND(V1579&gt;=20,V1579&lt;40,W1579&gt;=45,W1579&lt;95),0.23,0)+IF(AND(V1579&gt;=20,V1579&lt;40,W1579&gt;=95,W1579&lt;=250),0.17,0)+IF(AND(V1579&gt;=20,V1579&lt;40,W1579&gt;=250),0.12,0)+IF(AND(V1579&gt;=40,V1579&lt;75,W1579&lt;35),0.3,0)+IF(AND(V1579&gt;=40,V1579&lt;75,W1579&gt;=35,W1579&lt;75),0.23,0)+IF(AND(V1579&gt;=40,V1579&lt;75,W1579&gt;=75,W1579&lt;120),0.17,0)+IF(AND(V1579&gt;=40,V1579&lt;75,W1579&gt;=120),0.12,0)+IF(AND(V1579&gt;=75,V1579&lt;175,W1579&lt;35),0.3,0)+IF(AND(V1579&gt;=75,V1579&lt;=175,W1579&gt;=35,W1579&lt;65),0.23,0)+IF(AND(V1579&gt;=75,V1579&lt;=175,W1579&gt;=65,W1579&lt;110),0.17,0)+IF(AND(V1579&gt;=75,V1579&lt;=175,W1579&gt;=110),0.12,0)+IF(AND(V1579&gt;175,W1579&lt;25),0.3,0)+IF(AND(V1579&gt;175,W1579&gt;=25,W1579&lt;55),0.23,0)+IF(AND(V1579&gt;175,W1579&gt;=55,W1579&lt;95),0.17,0)+IF(AND(V1579&gt;175,W1579&gt;=95),0.12,0),
IF(AF1579="DoEVni",IF(AND(V1579&lt;20,W1579&lt;55),0.3,0)+IF(AND(V1579&lt;20,W1579&gt;=55,W1579&lt;105),0.23,0)+IF(AND(V1579&lt;20,W1579&gt;=105),0.17,0)+IF(AND(V1579&gt;=20,V1579&lt;40,W1579&lt;45),0.3,0)+IF(AND(V1579&gt;=20,V1579&lt;40,W1579&gt;=45,W1579&lt;95),0.23,0)+IF(AND(V1579&gt;=20,V1579&lt;40,W1579&gt;=95,W1579&lt;=200),0.17,0)+IF(AND(V1579&gt;=20,V1579&lt;40,W1579&gt;=200),0.12,0)+IF(AND(V1579&gt;=40,V1579&lt;75,W1579&lt;35),0.3,0)+IF(AND(V1579&gt;=40,V1579&lt;75,W1579&gt;=35,W1579&lt;75),0.23,0)+IF(AND(V1579&gt;=40,V1579&lt;75,W1579&gt;=75,W1579&lt;120),0.17,0)+IF(AND(V1579&gt;=40,V1579&lt;75,W1579&gt;=120),0.12,0)+IF(AND(V1579&gt;=75,V1579&lt;175,W1579&lt;35),0.3,0)+IF(AND(V1579&gt;=75,V1579&lt;=175,W1579&gt;=35,W1579&lt;65),0.23,0)+IF(AND(V1579&gt;=75,V1579&lt;=175,W1579&gt;=65,W1579&lt;110),0.17,0)+IF(AND(V1579&gt;=75,V1579&lt;=175,W1579&gt;=110),0.12,0)+IF(AND(V1579&gt;175,W1579&lt;25),0.3,0)+IF(AND(V1579&gt;175,W1579&gt;=25,W1579&lt;55),0.23,0)+IF(AND(V1579&gt;175,W1579&gt;=55,W1579&lt;95),0.17,0)+IF(AND(V1579&gt;175,W1579&gt;=95),0.12,0),
IF(AF1579="DoEVLo",IF(AND(V1579&lt;20,W1579&lt;55),0.25,0)+IF(AND(V1579&lt;20,W1579&gt;=55,W1579&lt;105),0.2,0)+IF(AND(V1579&lt;20,W1579&gt;=105),0.15,0)+IF(AND(V1579&gt;=20,V1579&lt;40,W1579&lt;45),0.25,0)+IF(AND(V1579&gt;=20,V1579&lt;40,W1579&gt;=45,W1579&lt;95),0.2,0)+IF(AND(V1579&gt;=20,V1579&lt;40,W1579&gt;=95),0.15,0)+IF(AND(V1579&gt;=40,V1579&lt;75,W1579&lt;35),0.25,0)+IF(AND(V1579&gt;=40,V1579&lt;75,W1579&gt;=35,W1579&lt;75),0.2,0)+IF(AND(V1579&gt;=40,V1579&lt;75,W1579&gt;=75,W1579&lt;120),0.15,0)+IF(AND(V1579&gt;=40,V1579&lt;75,W1579&gt;=120),0.1,0)+IF(AND(V1579&gt;=75,V1579&lt;175,W1579&lt;35),0.25,0)+IF(AND(V1579&gt;=75,V1579&lt;=175,W1579&gt;=35,W1579&lt;65),0.2,0)+IF(AND(V1579&gt;=75,V1579&lt;=175,W1579&gt;=65,W1579&lt;110),0.15,0)+IF(AND(V1579&gt;=75,V1579&lt;=175,W1579&gt;=110),0.1,0)+IF(AND(V1579&gt;175,W1579&lt;25),0.25,0)+IF(AND(V1579&gt;175,W1579&gt;=25,W1579&lt;55),0.2,0)+IF(AND(V1579&gt;175,W1579&gt;=55,W1579&lt;95),0.15,0)+IF(AND(V1579&gt;175,W1579&gt;=95),0.1,0))))))))))))))))))))</f>
        <v>0.1125</v>
      </c>
      <c r="Y1579" s="30">
        <f>IF(AG1579="None",0,IF(AG1579="Fix5",0.05, IF(AG1579="Fix6.25",0.0625,IF(AG1579="Fix3.75",0.0375, IF(AG1579="Fix11",0.11, IF(AG1579="Fix10",0.1,IF(AG1579="Fix3",0.03,0)))))))</f>
        <v>3.7499999999999999E-2</v>
      </c>
      <c r="Z1579" s="35">
        <f>IF(AND(AD1579="EUR", AE1579 = "USD"), T1579*U1579-AA1579-AB1579, T1579-AA1579-AB1579)</f>
        <v>-1112.6499999999999</v>
      </c>
      <c r="AA1579" s="29">
        <f>IF(AND(AD1579="EUR", F1579="Without EV deal", AE1579="USD"), (T1579*X1579)*U1579,
IF(AND(AD1579="EUR", F1579="Without EV deal", AE1579="EUR"), (T1579*X1579),
IF(AND(AD1579="EUR",AE1579="USD"), (T1579*X1579)*U1579,
T1579*X1579)))</f>
        <v>-147.26250000000002</v>
      </c>
      <c r="AB1579" s="36">
        <f>IF(AND(AD1579="EUR", F1579="Without EV deal", AE1579="USD"), (T1579*Y1579)*U1579,
IF(AND(AD1579="EUR", F1579="Without EV deal", AE1579="EUR"), (T1579*Y1579),
IF(AND(AD1579="EUR",AE1579="USD"), (T1579*Y1579)*U1579,
T1579*Y1579)))</f>
        <v>-49.087499999999999</v>
      </c>
      <c r="AC1579" s="37" t="b">
        <v>0</v>
      </c>
      <c r="AD1579" s="82" t="str">
        <f>IF(OR(H1579="€0.25 Flash",
H1579="€0.25(nitro) new",
H1579="€1",
H1579="€2",
H1579="€2 (bf 01.08)",
H1579="€5",
H1579="€5 (1M)",
H1579="€5 (bf 01.08)",
H1579="€5 (bf 05.05)",
H1579="€5 Nitro",
H1579="€5(wx) new",
H1579="€10",
H1579="€10 (1M)",
H1579="€10 (bf 01.08)",
H1579="€10 (bf 05.05)",
H1579="€10 (MP)",
H1579="€10 (old)",
H1579="€10 Nitro (bf 05.05)",
H1579="€10 Nitro (old)",
H1579="€10(wx) new",
H1579="€20",
H1579="€25",
H1579="€25 (bf 01.08)",
H1579="€25 (bf 05.05)",
H1579="€25 (MP)",
H1579="€25 (old)",
H1579="€25 Nitro",
H1579="€25 Nitro (bf 01.08)",
H1579="€25 Nitro (bf 05.05)",
H1579="€25(nitro) new",
H1579="€25(wx) new",
H1579="€50",
H1579="€50 (bf 01.08)",
H1579="€50 (bf 05.05)",
H1579="€50 (old)",
H1579="€50 Nitro",
H1579="€50 Nitro (bf 01.08)",
H1579="€50 Nitro (bf 05.05)",
H1579="€50(wx) new",
H1579="€100",
H1579="€100 (old)",
H1579="€100 Nitro",
H1579="€100 Nitro (old)",
H1579="€200",
H1579="€250",
H1579="€250 Nitro",
H1579="€500",
H1579="€500 Nitro"),"EUR", "USD")</f>
        <v>USD</v>
      </c>
      <c r="AE1579" s="83" t="s">
        <v>38</v>
      </c>
      <c r="AF1579" s="83" t="str">
        <f t="array" ref="AF1579">INDEX('Deal Info'!D:D, MATCH(A1579,'Deal Info'!A:A, 0))</f>
        <v>Fix11.25</v>
      </c>
      <c r="AG1579" s="84" t="str">
        <f t="array" ref="AG1579">INDEX('Deal Info'!G:G, MATCH(A1579,'Deal Info'!A:A, 0))</f>
        <v>Fix3.75</v>
      </c>
    </row>
    <row r="1580" spans="1:33" ht="14.25" hidden="1" x14ac:dyDescent="0.2">
      <c r="A1580" s="18" t="str">
        <f t="array" ref="A1580">IF(G1580='Room Info'!$B$1, INDEX('Room Info'!$A$2:$A2446, MATCH(B1580,'Room Info'!$B$2:$B2446, 0)),IF(G1580='Room Info'!$C$1, INDEX('Room Info'!$A$2:$A2446, MATCH(B1580,'Room Info'!$C$2:$C2446, 0)),IF(G1580='Room Info'!$D$1, INDEX('Room Info'!$A$2:$A2446, MATCH(B1580,'Room Info'!$D$2:$D2446, 0)),IF(G1580='Room Info'!$E$1, INDEX('Room Info'!$A$2:$A2446, MATCH(B1580,'Room Info'!$E$2:$E2446, 0)),IF(G1580='Room Info'!$F$1, INDEX('Room Info'!$A$2:$A2446, MATCH(B1580,'Room Info'!$F$2:$F2446, 0)),IF(G1580='Room Info'!$H$1, INDEX('Room Info'!$A$2:$A2446, MATCH(B1580,'Room Info'!$H$2:$H2446, 0)),IF(G1580='Room Info'!$G$1, INDEX('Room Info'!$A$2:$A2446, MATCH(B1580,'Room Info'!$G$2:$G2446, 0)))))))))</f>
        <v>fig6</v>
      </c>
      <c r="B1580" s="45" t="s">
        <v>172</v>
      </c>
      <c r="C1580" s="46">
        <v>44978</v>
      </c>
      <c r="D1580" s="46">
        <v>45005</v>
      </c>
      <c r="E1580" s="90">
        <v>44986</v>
      </c>
      <c r="F1580" s="48" t="s">
        <v>34</v>
      </c>
      <c r="G1580" s="65" t="s">
        <v>35</v>
      </c>
      <c r="H1580" s="49" t="s">
        <v>88</v>
      </c>
      <c r="I1580" s="100" t="s">
        <v>37</v>
      </c>
      <c r="J1580" s="39">
        <v>250</v>
      </c>
      <c r="K1580" s="51">
        <v>767</v>
      </c>
      <c r="L1580" s="52">
        <v>2000</v>
      </c>
      <c r="M1580" s="62"/>
      <c r="N1580" s="28">
        <f>K1580*J1580</f>
        <v>191750</v>
      </c>
      <c r="O1580" s="54">
        <v>28830</v>
      </c>
      <c r="P1580" s="29">
        <v>37.588005219999999</v>
      </c>
      <c r="Q1580" s="55"/>
      <c r="R1580" s="31">
        <f>M1580+Q1580*J1580*K1580*0.07</f>
        <v>0</v>
      </c>
      <c r="S1580" s="66"/>
      <c r="T1580" s="32">
        <f>IF(AND(AD1580="EUR", F1580="Without EV deal"), R1580 + L1580,
IF(AND(AD1580="USD", F1580="Without EV deal"), R1580 + L1580,
IF(AND(AD1580="EUR", F1580="Steel Phoenix"), R1580 + S1580/U1580,
R1580 + S1580)))</f>
        <v>0</v>
      </c>
      <c r="U1580" s="57">
        <v>1.071</v>
      </c>
      <c r="V1580" s="58"/>
      <c r="W1580" s="58"/>
      <c r="X1580" s="30">
        <f>IF(AF1580="DoEV",IF(AND(V1580&lt;20,W1580&lt;55),0.3,0)+IF(AND(V1580&lt;20,W1580&gt;=55,W1580&lt;105),0.23,0)+IF(AND(V1580&lt;20,W1580&gt;=105),0.17,0)+IF(AND(V1580&gt;=20,V1580&lt;40,W1580&lt;45),0.3,0)+IF(AND(V1580&gt;=20,V1580&lt;40,W1580&gt;=45,W1580&lt;95),0.23,0)+IF(AND(V1580&gt;=20,V1580&lt;40,W1580&gt;=95),0.17,0)+IF(AND(V1580&gt;=40,V1580&lt;75,W1580&lt;35),0.3,0)+IF(AND(V1580&gt;=40,V1580&lt;75,W1580&gt;=35,W1580&lt;75),0.23,0)+IF(AND(V1580&gt;=40,V1580&lt;75,W1580&gt;=75,W1580&lt;120),0.17,0)+IF(AND(V1580&gt;=40,V1580&lt;75,W1580&gt;=120),0.12,0)+IF(AND(V1580&gt;=75,V1580&lt;175,W1580&lt;35),0.3,0)+IF(AND(V1580&gt;=75,V1580&lt;=175,W1580&gt;=35,W1580&lt;65),0.23,0)+IF(AND(V1580&gt;=75,V1580&lt;=175,W1580&gt;=65,W1580&lt;110),0.17,0)+IF(AND(V1580&gt;=75,V1580&lt;=175,W1580&gt;=110),0.12,0)+IF(AND(V1580&gt;175,W1580&lt;25),0.3,0)+IF(AND(V1580&gt;175,W1580&gt;=25,W1580&lt;55),0.23,0)+IF(AND(V1580&gt;175,W1580&gt;=55,W1580&lt;95),0.17,0)+IF(AND(V1580&gt;175,W1580&gt;=95),0.12,0),
IF(AF1580="Fix15",0.15,
IF(AF1580="Fix5",0.05,
IF(AF1580="Fix18.75",0.1875,
IF(AF1580="Fix11.25",0.1125,
IF(AF1580="Fix10",0.1,
IF(AF1580="Fix9",0.09,
IF(AF1580="Fix12",0.12,
IF(AF1580="Fix19",0.19,
IF(AF1580="DoEV2017",IF(AND(W1580&lt;74),0.2,0)+IF(AND(W1580&gt;=74),0.17,0),
IF(AF1580="SF",IF(AND(V1580&lt;20,W1580&lt;89),0.3,0)+IF(AND(V1580&lt;20,W1580&gt;=89),0.25,0)+IF(AND(V1580&gt;=20,V1580&lt;40,W1580&lt;74),0.3,0)+IF(AND(V1580&gt;=20,V1580&lt;40,W1580&gt;=75),0.22,0)+IF(AND(V1580&gt;=40,V1580&lt;75,W1580&lt;75),0.26,0)+IF(AND(V1580&gt;=40,V1580&lt;75,W1580&gt;=75),0.22,0)+IF(V1580&gt;=75,0.22,0),
IF(AF1580="DoEVold",IF(AND(V1580&lt;40,W1580&lt;35),0.35,0)+IF(AND(V1580&lt;40,W1580&gt;=35,W1580&lt;75),0.25,0)+IF(AND(V1580&lt;40,W1580&gt;=75),0.17,0)+IF(AND(V1580&gt;=40,V1580&lt;75,W1580&lt;25),0.35,0)+IF(AND(V1580&gt;=40,V1580&lt;75,W1580&gt;=25,W1580&lt;65),0.25,0)+IF(AND(V1580&gt;=40,V1580&lt;75,W1580&gt;=65,W1580&lt;100),0.17,0)+IF(AND(V1580&gt;=40,V1580&lt;75,W1580&gt;=100),0.1,0)+IF(AND(V1580&gt;=75,W1580&lt;25),0.35,0)+IF(AND(V1580&gt;=75,W1580&gt;=25,W1580&lt;60),0.25,0)+IF(AND(V1580&gt;=75,W1580&gt;=60,W1580&lt;95),0.17,0)+IF(AND(V1580&gt;=75,W1580&gt;=95),0.1,0),
IF(AF1580="DoEVold15",IF(AND(V1580&lt;=40,W1580&lt;35),0.35,0)+IF(AND(V1580&lt;=40,W1580&gt;=35,W1580&lt;75),0.25,0)+IF(AND(V1580&lt;=40,W1580&gt;=75,W1580&lt;120),0.17,0)+IF(AND(V1580&lt;=40,W1580&gt;=120),0.15,0)+IF(AND(V1580&gt;40,V1580&lt;75,W1580&lt;25),0.35,0)+IF(AND(V1580&gt;=40,V1580&lt;75,W1580&gt;=25,W1580&lt;65),0.25,0)+IF(AND(V1580&gt;=40,V1580&lt;75,W1580&gt;=65,W1580&lt;100),0.17,0)+IF(AND(V1580&gt;=40,V1580&lt;75,W1580&gt;=100),0.1,0)+IF(AND(V1580&gt;=75,W1580&lt;25),0.35,0)+IF(AND(V1580&gt;=75,W1580&gt;=25,W1580&lt;60),0.25,0)+IF(AND(V1580&gt;=75,W1580&gt;=60,W1580&lt;95),0.17,0)+IF(AND(V1580&gt;=75,W1580&gt;=95),0.1,0),
IF(AF1580="DoEVba",IF(AND(V1580&lt;20,W1580&lt;105),0.2,0)+IF(AND(V1580&lt;20,W1580&gt;=105),0.15,0)+IF(AND(V1580&gt;=20,V1580&lt;40,W1580&lt;95),0.2,0)+IF(AND(V1580&gt;=20,V1580&lt;40,W1580&gt;=95,W1580&lt;150),0.15,0)+IF(AND(V1580&gt;=20,V1580&lt;40,W1580&gt;=150),0.12,0)+IF(AND(V1580&gt;=40,V1580&lt;75,W1580&lt;75),0.2,0)+IF(AND(V1580&gt;=40,V1580&lt;75,W1580&gt;=75,W1580&lt;120),0.15,0)+IF(AND(V1580&gt;=40,V1580&lt;75,W1580&gt;=120),0.12,0)+IF(AND(V1580&gt;=75,V1580&lt;175,W1580&lt;65),0.2,0)+IF(AND(V1580&gt;=75,V1580&lt;175,W1580&gt;=65,W1580&lt;110),0.15,0)+IF(AND(V1580&gt;=75,V1580&lt;175,W1580&gt;=110),0.12,0)+IF(AND(V1580&gt;=175,W1580&lt;55),0.2,0)+IF(AND(V1580&gt;=175,W1580&gt;=55,W1580&lt;95),0.15,0)+IF(AND(V1580&gt;=175,W1580&gt;=95),0.12,0),
IF(AF1580="DoEVku",IF(AND(V1580&lt;20,W1580&lt;55),0.23,0)+IF(AND(V1580&lt;20,W1580&gt;=55,W1580&lt;105),0.2,0)+IF(AND(V1580&lt;20,W1580&gt;=105),0.17,0)+IF(AND(V1580&gt;=20,V1580&lt;40,W1580&lt;45),0.23,0)+IF(AND(V1580&gt;=20,V1580&lt;40,W1580&gt;=45,W1580&lt;95),0.2,0)+IF(AND(V1580&gt;=20,V1580&lt;40,W1580&gt;=95,W1580&lt;=150),0.17,0)+IF(AND(V1580&gt;=20,V1580&lt;40,W1580&gt;=150),0.12,0)+IF(AND(V1580&gt;=40,V1580&lt;75,W1580&lt;35),0.23,0)+IF(AND(V1580&gt;=40,V1580&lt;75,W1580&gt;=35,W1580&lt;75),0.2,0)+IF(AND(V1580&gt;=40,V1580&lt;75,W1580&gt;=75,W1580&lt;120),0.17,0)+IF(AND(V1580&gt;=40,V1580&lt;75,W1580&gt;=120),0.12,0)+IF(AND(V1580&gt;=75,V1580&lt;175,W1580&lt;35),0.23,0)+IF(AND(V1580&gt;=75,V1580&lt;=175,W1580&gt;=35,W1580&lt;65),0.2,0)+IF(AND(V1580&gt;=75,V1580&lt;=175,W1580&gt;=65,W1580&lt;110),0.17,0)+IF(AND(V1580&gt;=75,V1580&lt;=175,W1580&gt;=110),0.12,0)+IF(AND(V1580&gt;175,W1580&lt;25),0.23,0)+IF(AND(V1580&gt;175,W1580&gt;=25,W1580&lt;55),0.2,0)+IF(AND(V1580&gt;175,W1580&gt;=55,W1580&lt;95),0.17,0)+IF(AND(V1580&gt;175,W1580&gt;=95),0.12,0),
IF(AF1580="DoEVs1",IF(AND(V1580&lt;20,W1580&lt;55),0.3,0)+IF(AND(V1580&lt;20,W1580&gt;=55,W1580&lt;105),0.23,0)+IF(AND(V1580&lt;20,W1580&gt;=105),0.17,0)+IF(AND(V1580&gt;=20,V1580&lt;40,W1580&lt;45),0.3,0)+IF(AND(V1580&gt;=20,V1580&lt;40,W1580&gt;=45,W1580&lt;95),0.23,0)+IF(AND(V1580&gt;=20,V1580&lt;40,W1580&gt;=95,W1580&lt;=150),0.17,0)+IF(AND(V1580&gt;=20,V1580&lt;40,W1580&gt;=150),0.12,0)+IF(AND(V1580&gt;=40,V1580&lt;75,W1580&lt;35),0.3,0)+IF(AND(V1580&gt;=40,V1580&lt;75,W1580&gt;=35,W1580&lt;75),0.23,0)+IF(AND(V1580&gt;=40,V1580&lt;75,W1580&gt;=75,W1580&lt;120),0.17,0)+IF(AND(V1580&gt;=40,V1580&lt;75,W1580&gt;=120),0.12,0)+IF(AND(V1580&gt;=75,V1580&lt;175,W1580&lt;35),0.3,0)+IF(AND(V1580&gt;=75,V1580&lt;=175,W1580&gt;=35,W1580&lt;65),0.23,0)+IF(AND(V1580&gt;=75,V1580&lt;=175,W1580&gt;=65,W1580&lt;110),0.17,0)+IF(AND(V1580&gt;=75,V1580&lt;=175,W1580&gt;=110),0.12,0)+IF(AND(V1580&gt;175,W1580&lt;25),0.3,0)+IF(AND(V1580&gt;175,W1580&gt;=25,W1580&lt;55),0.23,0)+IF(AND(V1580&gt;175,W1580&gt;=55,W1580&lt;95),0.17,0)+IF(AND(V1580&gt;175,W1580&gt;=95),0.12,0),
IF(AF1580="DoEVsu",IF(AND(V1580&lt;20,W1580&lt;55),0.3,0)+IF(AND(V1580&lt;20,W1580&gt;=55,W1580&lt;105),0.23,0)+IF(AND(V1580&lt;20,W1580&gt;=105),0.17,0)+IF(AND(V1580&gt;=20,V1580&lt;40,W1580&lt;45),0.3,0)+IF(AND(V1580&gt;=20,V1580&lt;40,W1580&gt;=45,W1580&lt;95),0.23,0)+IF(AND(V1580&gt;=20,V1580&lt;40,W1580&gt;=95,W1580&lt;=250),0.17,0)+IF(AND(V1580&gt;=20,V1580&lt;40,W1580&gt;=250),0.12,0)+IF(AND(V1580&gt;=40,V1580&lt;75,W1580&lt;35),0.3,0)+IF(AND(V1580&gt;=40,V1580&lt;75,W1580&gt;=35,W1580&lt;75),0.23,0)+IF(AND(V1580&gt;=40,V1580&lt;75,W1580&gt;=75,W1580&lt;120),0.17,0)+IF(AND(V1580&gt;=40,V1580&lt;75,W1580&gt;=120),0.12,0)+IF(AND(V1580&gt;=75,V1580&lt;175,W1580&lt;35),0.3,0)+IF(AND(V1580&gt;=75,V1580&lt;=175,W1580&gt;=35,W1580&lt;65),0.23,0)+IF(AND(V1580&gt;=75,V1580&lt;=175,W1580&gt;=65,W1580&lt;110),0.17,0)+IF(AND(V1580&gt;=75,V1580&lt;=175,W1580&gt;=110),0.12,0)+IF(AND(V1580&gt;175,W1580&lt;25),0.3,0)+IF(AND(V1580&gt;175,W1580&gt;=25,W1580&lt;55),0.23,0)+IF(AND(V1580&gt;175,W1580&gt;=55,W1580&lt;95),0.17,0)+IF(AND(V1580&gt;175,W1580&gt;=95),0.12,0),
IF(AF1580="DoEVni",IF(AND(V1580&lt;20,W1580&lt;55),0.3,0)+IF(AND(V1580&lt;20,W1580&gt;=55,W1580&lt;105),0.23,0)+IF(AND(V1580&lt;20,W1580&gt;=105),0.17,0)+IF(AND(V1580&gt;=20,V1580&lt;40,W1580&lt;45),0.3,0)+IF(AND(V1580&gt;=20,V1580&lt;40,W1580&gt;=45,W1580&lt;95),0.23,0)+IF(AND(V1580&gt;=20,V1580&lt;40,W1580&gt;=95,W1580&lt;=200),0.17,0)+IF(AND(V1580&gt;=20,V1580&lt;40,W1580&gt;=200),0.12,0)+IF(AND(V1580&gt;=40,V1580&lt;75,W1580&lt;35),0.3,0)+IF(AND(V1580&gt;=40,V1580&lt;75,W1580&gt;=35,W1580&lt;75),0.23,0)+IF(AND(V1580&gt;=40,V1580&lt;75,W1580&gt;=75,W1580&lt;120),0.17,0)+IF(AND(V1580&gt;=40,V1580&lt;75,W1580&gt;=120),0.12,0)+IF(AND(V1580&gt;=75,V1580&lt;175,W1580&lt;35),0.3,0)+IF(AND(V1580&gt;=75,V1580&lt;=175,W1580&gt;=35,W1580&lt;65),0.23,0)+IF(AND(V1580&gt;=75,V1580&lt;=175,W1580&gt;=65,W1580&lt;110),0.17,0)+IF(AND(V1580&gt;=75,V1580&lt;=175,W1580&gt;=110),0.12,0)+IF(AND(V1580&gt;175,W1580&lt;25),0.3,0)+IF(AND(V1580&gt;175,W1580&gt;=25,W1580&lt;55),0.23,0)+IF(AND(V1580&gt;175,W1580&gt;=55,W1580&lt;95),0.17,0)+IF(AND(V1580&gt;175,W1580&gt;=95),0.12,0),
IF(AF1580="DoEVLo",IF(AND(V1580&lt;20,W1580&lt;55),0.25,0)+IF(AND(V1580&lt;20,W1580&gt;=55,W1580&lt;105),0.2,0)+IF(AND(V1580&lt;20,W1580&gt;=105),0.15,0)+IF(AND(V1580&gt;=20,V1580&lt;40,W1580&lt;45),0.25,0)+IF(AND(V1580&gt;=20,V1580&lt;40,W1580&gt;=45,W1580&lt;95),0.2,0)+IF(AND(V1580&gt;=20,V1580&lt;40,W1580&gt;=95),0.15,0)+IF(AND(V1580&gt;=40,V1580&lt;75,W1580&lt;35),0.25,0)+IF(AND(V1580&gt;=40,V1580&lt;75,W1580&gt;=35,W1580&lt;75),0.2,0)+IF(AND(V1580&gt;=40,V1580&lt;75,W1580&gt;=75,W1580&lt;120),0.15,0)+IF(AND(V1580&gt;=40,V1580&lt;75,W1580&gt;=120),0.1,0)+IF(AND(V1580&gt;=75,V1580&lt;175,W1580&lt;35),0.25,0)+IF(AND(V1580&gt;=75,V1580&lt;=175,W1580&gt;=35,W1580&lt;65),0.2,0)+IF(AND(V1580&gt;=75,V1580&lt;=175,W1580&gt;=65,W1580&lt;110),0.15,0)+IF(AND(V1580&gt;=75,V1580&lt;=175,W1580&gt;=110),0.1,0)+IF(AND(V1580&gt;175,W1580&lt;25),0.25,0)+IF(AND(V1580&gt;175,W1580&gt;=25,W1580&lt;55),0.2,0)+IF(AND(V1580&gt;175,W1580&gt;=55,W1580&lt;95),0.15,0)+IF(AND(V1580&gt;175,W1580&gt;=95),0.1,0))))))))))))))))))))</f>
        <v>0.1125</v>
      </c>
      <c r="Y1580" s="30">
        <f>IF(AG1580="None",0,IF(AG1580="Fix5",0.05, IF(AG1580="Fix6.25",0.0625,IF(AG1580="Fix3.75",0.0375, IF(AG1580="Fix11",0.11, IF(AG1580="Fix10",0.1,IF(AG1580="Fix3",0.03,0)))))))</f>
        <v>3.7499999999999999E-2</v>
      </c>
      <c r="Z1580" s="35">
        <f>IF(AND(AD1580="EUR", AE1580 = "USD"), T1580*U1580-AA1580-AB1580, T1580-AA1580-AB1580)</f>
        <v>0</v>
      </c>
      <c r="AA1580" s="29">
        <f>IF(AND(AD1580="EUR", F1580="Without EV deal", AE1580="USD"), (T1580*X1580)*U1580,
IF(AND(AD1580="EUR", F1580="Without EV deal", AE1580="EUR"), (T1580*X1580),
IF(AND(AD1580="EUR",AE1580="USD"), (T1580*X1580)*U1580,
T1580*X1580)))</f>
        <v>0</v>
      </c>
      <c r="AB1580" s="36">
        <f>IF(AND(AD1580="EUR", F1580="Without EV deal", AE1580="USD"), (T1580*Y1580)*U1580,
IF(AND(AD1580="EUR", F1580="Without EV deal", AE1580="EUR"), (T1580*Y1580),
IF(AND(AD1580="EUR",AE1580="USD"), (T1580*Y1580)*U1580,
T1580*Y1580)))</f>
        <v>0</v>
      </c>
      <c r="AC1580" s="37" t="b">
        <v>0</v>
      </c>
      <c r="AD1580" s="82" t="str">
        <f>IF(OR(H1580="€0.25 Flash",
H1580="€0.25(nitro) new",
H1580="€1",
H1580="€2",
H1580="€2 (bf 01.08)",
H1580="€5",
H1580="€5 (1M)",
H1580="€5 (bf 01.08)",
H1580="€5 (bf 05.05)",
H1580="€5 Nitro",
H1580="€5(wx) new",
H1580="€10",
H1580="€10 (1M)",
H1580="€10 (bf 01.08)",
H1580="€10 (bf 05.05)",
H1580="€10 (MP)",
H1580="€10 (old)",
H1580="€10 Nitro (bf 05.05)",
H1580="€10 Nitro (old)",
H1580="€10(wx) new",
H1580="€20",
H1580="€25",
H1580="€25 (bf 01.08)",
H1580="€25 (bf 05.05)",
H1580="€25 (MP)",
H1580="€25 (old)",
H1580="€25 Nitro",
H1580="€25 Nitro (bf 01.08)",
H1580="€25 Nitro (bf 05.05)",
H1580="€25(nitro) new",
H1580="€25(wx) new",
H1580="€50",
H1580="€50 (bf 01.08)",
H1580="€50 (bf 05.05)",
H1580="€50 (old)",
H1580="€50 Nitro",
H1580="€50 Nitro (bf 01.08)",
H1580="€50 Nitro (bf 05.05)",
H1580="€50(wx) new",
H1580="€100",
H1580="€100 (old)",
H1580="€100 Nitro",
H1580="€100 Nitro (old)",
H1580="€200",
H1580="€250",
H1580="€250 Nitro",
H1580="€500",
H1580="€500 Nitro"),"EUR", "USD")</f>
        <v>USD</v>
      </c>
      <c r="AE1580" s="83" t="s">
        <v>38</v>
      </c>
      <c r="AF1580" s="83" t="str">
        <f t="array" ref="AF1580">INDEX('Deal Info'!D:D, MATCH(A1580,'Deal Info'!A:A, 0))</f>
        <v>Fix11.25</v>
      </c>
      <c r="AG1580" s="84" t="str">
        <f t="array" ref="AG1580">INDEX('Deal Info'!G:G, MATCH(A1580,'Deal Info'!A:A, 0))</f>
        <v>Fix3.75</v>
      </c>
    </row>
    <row r="1581" spans="1:33" ht="14.25" hidden="1" x14ac:dyDescent="0.2">
      <c r="A1581" s="18" t="str">
        <f t="array" ref="A1581">IF(G1581='Room Info'!$B$1, INDEX('Room Info'!$A$2:$A2446, MATCH(B1581,'Room Info'!$B$2:$B2446, 0)),IF(G1581='Room Info'!$C$1, INDEX('Room Info'!$A$2:$A2446, MATCH(B1581,'Room Info'!$C$2:$C2446, 0)),IF(G1581='Room Info'!$D$1, INDEX('Room Info'!$A$2:$A2446, MATCH(B1581,'Room Info'!$D$2:$D2446, 0)),IF(G1581='Room Info'!$E$1, INDEX('Room Info'!$A$2:$A2446, MATCH(B1581,'Room Info'!$E$2:$E2446, 0)),IF(G1581='Room Info'!$F$1, INDEX('Room Info'!$A$2:$A2446, MATCH(B1581,'Room Info'!$F$2:$F2446, 0)),IF(G1581='Room Info'!$H$1, INDEX('Room Info'!$A$2:$A2446, MATCH(B1581,'Room Info'!$H$2:$H2446, 0)),IF(G1581='Room Info'!$G$1, INDEX('Room Info'!$A$2:$A2446, MATCH(B1581,'Room Info'!$G$2:$G2446, 0)))))))))</f>
        <v>fig6</v>
      </c>
      <c r="B1581" s="45" t="s">
        <v>172</v>
      </c>
      <c r="C1581" s="46">
        <v>44978</v>
      </c>
      <c r="D1581" s="46">
        <v>45005</v>
      </c>
      <c r="E1581" s="90">
        <v>44986</v>
      </c>
      <c r="F1581" s="48" t="s">
        <v>34</v>
      </c>
      <c r="G1581" s="65" t="s">
        <v>35</v>
      </c>
      <c r="H1581" s="91" t="s">
        <v>142</v>
      </c>
      <c r="I1581" s="100" t="s">
        <v>37</v>
      </c>
      <c r="J1581" s="39">
        <v>500</v>
      </c>
      <c r="K1581" s="51">
        <v>206</v>
      </c>
      <c r="L1581" s="52">
        <v>-500</v>
      </c>
      <c r="M1581" s="62"/>
      <c r="N1581" s="28">
        <f>K1581*J1581</f>
        <v>103000</v>
      </c>
      <c r="O1581" s="54">
        <v>-2560</v>
      </c>
      <c r="P1581" s="29">
        <v>-12.42718447</v>
      </c>
      <c r="Q1581" s="55"/>
      <c r="R1581" s="31">
        <f>M1581+Q1581*J1581*K1581*0.07</f>
        <v>0</v>
      </c>
      <c r="S1581" s="66"/>
      <c r="T1581" s="32">
        <f>IF(AND(AD1581="EUR", F1581="Without EV deal"), R1581 + L1581,
IF(AND(AD1581="USD", F1581="Without EV deal"), R1581 + L1581,
IF(AND(AD1581="EUR", F1581="Steel Phoenix"), R1581 + S1581/U1581,
R1581 + S1581)))</f>
        <v>0</v>
      </c>
      <c r="U1581" s="57">
        <v>1.071</v>
      </c>
      <c r="V1581" s="58"/>
      <c r="W1581" s="58"/>
      <c r="X1581" s="30">
        <f>IF(AF1581="DoEV",IF(AND(V1581&lt;20,W1581&lt;55),0.3,0)+IF(AND(V1581&lt;20,W1581&gt;=55,W1581&lt;105),0.23,0)+IF(AND(V1581&lt;20,W1581&gt;=105),0.17,0)+IF(AND(V1581&gt;=20,V1581&lt;40,W1581&lt;45),0.3,0)+IF(AND(V1581&gt;=20,V1581&lt;40,W1581&gt;=45,W1581&lt;95),0.23,0)+IF(AND(V1581&gt;=20,V1581&lt;40,W1581&gt;=95),0.17,0)+IF(AND(V1581&gt;=40,V1581&lt;75,W1581&lt;35),0.3,0)+IF(AND(V1581&gt;=40,V1581&lt;75,W1581&gt;=35,W1581&lt;75),0.23,0)+IF(AND(V1581&gt;=40,V1581&lt;75,W1581&gt;=75,W1581&lt;120),0.17,0)+IF(AND(V1581&gt;=40,V1581&lt;75,W1581&gt;=120),0.12,0)+IF(AND(V1581&gt;=75,V1581&lt;175,W1581&lt;35),0.3,0)+IF(AND(V1581&gt;=75,V1581&lt;=175,W1581&gt;=35,W1581&lt;65),0.23,0)+IF(AND(V1581&gt;=75,V1581&lt;=175,W1581&gt;=65,W1581&lt;110),0.17,0)+IF(AND(V1581&gt;=75,V1581&lt;=175,W1581&gt;=110),0.12,0)+IF(AND(V1581&gt;175,W1581&lt;25),0.3,0)+IF(AND(V1581&gt;175,W1581&gt;=25,W1581&lt;55),0.23,0)+IF(AND(V1581&gt;175,W1581&gt;=55,W1581&lt;95),0.17,0)+IF(AND(V1581&gt;175,W1581&gt;=95),0.12,0),
IF(AF1581="Fix15",0.15,
IF(AF1581="Fix5",0.05,
IF(AF1581="Fix18.75",0.1875,
IF(AF1581="Fix11.25",0.1125,
IF(AF1581="Fix10",0.1,
IF(AF1581="Fix9",0.09,
IF(AF1581="Fix12",0.12,
IF(AF1581="Fix19",0.19,
IF(AF1581="DoEV2017",IF(AND(W1581&lt;74),0.2,0)+IF(AND(W1581&gt;=74),0.17,0),
IF(AF1581="SF",IF(AND(V1581&lt;20,W1581&lt;89),0.3,0)+IF(AND(V1581&lt;20,W1581&gt;=89),0.25,0)+IF(AND(V1581&gt;=20,V1581&lt;40,W1581&lt;74),0.3,0)+IF(AND(V1581&gt;=20,V1581&lt;40,W1581&gt;=75),0.22,0)+IF(AND(V1581&gt;=40,V1581&lt;75,W1581&lt;75),0.26,0)+IF(AND(V1581&gt;=40,V1581&lt;75,W1581&gt;=75),0.22,0)+IF(V1581&gt;=75,0.22,0),
IF(AF1581="DoEVold",IF(AND(V1581&lt;40,W1581&lt;35),0.35,0)+IF(AND(V1581&lt;40,W1581&gt;=35,W1581&lt;75),0.25,0)+IF(AND(V1581&lt;40,W1581&gt;=75),0.17,0)+IF(AND(V1581&gt;=40,V1581&lt;75,W1581&lt;25),0.35,0)+IF(AND(V1581&gt;=40,V1581&lt;75,W1581&gt;=25,W1581&lt;65),0.25,0)+IF(AND(V1581&gt;=40,V1581&lt;75,W1581&gt;=65,W1581&lt;100),0.17,0)+IF(AND(V1581&gt;=40,V1581&lt;75,W1581&gt;=100),0.1,0)+IF(AND(V1581&gt;=75,W1581&lt;25),0.35,0)+IF(AND(V1581&gt;=75,W1581&gt;=25,W1581&lt;60),0.25,0)+IF(AND(V1581&gt;=75,W1581&gt;=60,W1581&lt;95),0.17,0)+IF(AND(V1581&gt;=75,W1581&gt;=95),0.1,0),
IF(AF1581="DoEVold15",IF(AND(V1581&lt;=40,W1581&lt;35),0.35,0)+IF(AND(V1581&lt;=40,W1581&gt;=35,W1581&lt;75),0.25,0)+IF(AND(V1581&lt;=40,W1581&gt;=75,W1581&lt;120),0.17,0)+IF(AND(V1581&lt;=40,W1581&gt;=120),0.15,0)+IF(AND(V1581&gt;40,V1581&lt;75,W1581&lt;25),0.35,0)+IF(AND(V1581&gt;=40,V1581&lt;75,W1581&gt;=25,W1581&lt;65),0.25,0)+IF(AND(V1581&gt;=40,V1581&lt;75,W1581&gt;=65,W1581&lt;100),0.17,0)+IF(AND(V1581&gt;=40,V1581&lt;75,W1581&gt;=100),0.1,0)+IF(AND(V1581&gt;=75,W1581&lt;25),0.35,0)+IF(AND(V1581&gt;=75,W1581&gt;=25,W1581&lt;60),0.25,0)+IF(AND(V1581&gt;=75,W1581&gt;=60,W1581&lt;95),0.17,0)+IF(AND(V1581&gt;=75,W1581&gt;=95),0.1,0),
IF(AF1581="DoEVba",IF(AND(V1581&lt;20,W1581&lt;105),0.2,0)+IF(AND(V1581&lt;20,W1581&gt;=105),0.15,0)+IF(AND(V1581&gt;=20,V1581&lt;40,W1581&lt;95),0.2,0)+IF(AND(V1581&gt;=20,V1581&lt;40,W1581&gt;=95,W1581&lt;150),0.15,0)+IF(AND(V1581&gt;=20,V1581&lt;40,W1581&gt;=150),0.12,0)+IF(AND(V1581&gt;=40,V1581&lt;75,W1581&lt;75),0.2,0)+IF(AND(V1581&gt;=40,V1581&lt;75,W1581&gt;=75,W1581&lt;120),0.15,0)+IF(AND(V1581&gt;=40,V1581&lt;75,W1581&gt;=120),0.12,0)+IF(AND(V1581&gt;=75,V1581&lt;175,W1581&lt;65),0.2,0)+IF(AND(V1581&gt;=75,V1581&lt;175,W1581&gt;=65,W1581&lt;110),0.15,0)+IF(AND(V1581&gt;=75,V1581&lt;175,W1581&gt;=110),0.12,0)+IF(AND(V1581&gt;=175,W1581&lt;55),0.2,0)+IF(AND(V1581&gt;=175,W1581&gt;=55,W1581&lt;95),0.15,0)+IF(AND(V1581&gt;=175,W1581&gt;=95),0.12,0),
IF(AF1581="DoEVku",IF(AND(V1581&lt;20,W1581&lt;55),0.23,0)+IF(AND(V1581&lt;20,W1581&gt;=55,W1581&lt;105),0.2,0)+IF(AND(V1581&lt;20,W1581&gt;=105),0.17,0)+IF(AND(V1581&gt;=20,V1581&lt;40,W1581&lt;45),0.23,0)+IF(AND(V1581&gt;=20,V1581&lt;40,W1581&gt;=45,W1581&lt;95),0.2,0)+IF(AND(V1581&gt;=20,V1581&lt;40,W1581&gt;=95,W1581&lt;=150),0.17,0)+IF(AND(V1581&gt;=20,V1581&lt;40,W1581&gt;=150),0.12,0)+IF(AND(V1581&gt;=40,V1581&lt;75,W1581&lt;35),0.23,0)+IF(AND(V1581&gt;=40,V1581&lt;75,W1581&gt;=35,W1581&lt;75),0.2,0)+IF(AND(V1581&gt;=40,V1581&lt;75,W1581&gt;=75,W1581&lt;120),0.17,0)+IF(AND(V1581&gt;=40,V1581&lt;75,W1581&gt;=120),0.12,0)+IF(AND(V1581&gt;=75,V1581&lt;175,W1581&lt;35),0.23,0)+IF(AND(V1581&gt;=75,V1581&lt;=175,W1581&gt;=35,W1581&lt;65),0.2,0)+IF(AND(V1581&gt;=75,V1581&lt;=175,W1581&gt;=65,W1581&lt;110),0.17,0)+IF(AND(V1581&gt;=75,V1581&lt;=175,W1581&gt;=110),0.12,0)+IF(AND(V1581&gt;175,W1581&lt;25),0.23,0)+IF(AND(V1581&gt;175,W1581&gt;=25,W1581&lt;55),0.2,0)+IF(AND(V1581&gt;175,W1581&gt;=55,W1581&lt;95),0.17,0)+IF(AND(V1581&gt;175,W1581&gt;=95),0.12,0),
IF(AF1581="DoEVs1",IF(AND(V1581&lt;20,W1581&lt;55),0.3,0)+IF(AND(V1581&lt;20,W1581&gt;=55,W1581&lt;105),0.23,0)+IF(AND(V1581&lt;20,W1581&gt;=105),0.17,0)+IF(AND(V1581&gt;=20,V1581&lt;40,W1581&lt;45),0.3,0)+IF(AND(V1581&gt;=20,V1581&lt;40,W1581&gt;=45,W1581&lt;95),0.23,0)+IF(AND(V1581&gt;=20,V1581&lt;40,W1581&gt;=95,W1581&lt;=150),0.17,0)+IF(AND(V1581&gt;=20,V1581&lt;40,W1581&gt;=150),0.12,0)+IF(AND(V1581&gt;=40,V1581&lt;75,W1581&lt;35),0.3,0)+IF(AND(V1581&gt;=40,V1581&lt;75,W1581&gt;=35,W1581&lt;75),0.23,0)+IF(AND(V1581&gt;=40,V1581&lt;75,W1581&gt;=75,W1581&lt;120),0.17,0)+IF(AND(V1581&gt;=40,V1581&lt;75,W1581&gt;=120),0.12,0)+IF(AND(V1581&gt;=75,V1581&lt;175,W1581&lt;35),0.3,0)+IF(AND(V1581&gt;=75,V1581&lt;=175,W1581&gt;=35,W1581&lt;65),0.23,0)+IF(AND(V1581&gt;=75,V1581&lt;=175,W1581&gt;=65,W1581&lt;110),0.17,0)+IF(AND(V1581&gt;=75,V1581&lt;=175,W1581&gt;=110),0.12,0)+IF(AND(V1581&gt;175,W1581&lt;25),0.3,0)+IF(AND(V1581&gt;175,W1581&gt;=25,W1581&lt;55),0.23,0)+IF(AND(V1581&gt;175,W1581&gt;=55,W1581&lt;95),0.17,0)+IF(AND(V1581&gt;175,W1581&gt;=95),0.12,0),
IF(AF1581="DoEVsu",IF(AND(V1581&lt;20,W1581&lt;55),0.3,0)+IF(AND(V1581&lt;20,W1581&gt;=55,W1581&lt;105),0.23,0)+IF(AND(V1581&lt;20,W1581&gt;=105),0.17,0)+IF(AND(V1581&gt;=20,V1581&lt;40,W1581&lt;45),0.3,0)+IF(AND(V1581&gt;=20,V1581&lt;40,W1581&gt;=45,W1581&lt;95),0.23,0)+IF(AND(V1581&gt;=20,V1581&lt;40,W1581&gt;=95,W1581&lt;=250),0.17,0)+IF(AND(V1581&gt;=20,V1581&lt;40,W1581&gt;=250),0.12,0)+IF(AND(V1581&gt;=40,V1581&lt;75,W1581&lt;35),0.3,0)+IF(AND(V1581&gt;=40,V1581&lt;75,W1581&gt;=35,W1581&lt;75),0.23,0)+IF(AND(V1581&gt;=40,V1581&lt;75,W1581&gt;=75,W1581&lt;120),0.17,0)+IF(AND(V1581&gt;=40,V1581&lt;75,W1581&gt;=120),0.12,0)+IF(AND(V1581&gt;=75,V1581&lt;175,W1581&lt;35),0.3,0)+IF(AND(V1581&gt;=75,V1581&lt;=175,W1581&gt;=35,W1581&lt;65),0.23,0)+IF(AND(V1581&gt;=75,V1581&lt;=175,W1581&gt;=65,W1581&lt;110),0.17,0)+IF(AND(V1581&gt;=75,V1581&lt;=175,W1581&gt;=110),0.12,0)+IF(AND(V1581&gt;175,W1581&lt;25),0.3,0)+IF(AND(V1581&gt;175,W1581&gt;=25,W1581&lt;55),0.23,0)+IF(AND(V1581&gt;175,W1581&gt;=55,W1581&lt;95),0.17,0)+IF(AND(V1581&gt;175,W1581&gt;=95),0.12,0),
IF(AF1581="DoEVni",IF(AND(V1581&lt;20,W1581&lt;55),0.3,0)+IF(AND(V1581&lt;20,W1581&gt;=55,W1581&lt;105),0.23,0)+IF(AND(V1581&lt;20,W1581&gt;=105),0.17,0)+IF(AND(V1581&gt;=20,V1581&lt;40,W1581&lt;45),0.3,0)+IF(AND(V1581&gt;=20,V1581&lt;40,W1581&gt;=45,W1581&lt;95),0.23,0)+IF(AND(V1581&gt;=20,V1581&lt;40,W1581&gt;=95,W1581&lt;=200),0.17,0)+IF(AND(V1581&gt;=20,V1581&lt;40,W1581&gt;=200),0.12,0)+IF(AND(V1581&gt;=40,V1581&lt;75,W1581&lt;35),0.3,0)+IF(AND(V1581&gt;=40,V1581&lt;75,W1581&gt;=35,W1581&lt;75),0.23,0)+IF(AND(V1581&gt;=40,V1581&lt;75,W1581&gt;=75,W1581&lt;120),0.17,0)+IF(AND(V1581&gt;=40,V1581&lt;75,W1581&gt;=120),0.12,0)+IF(AND(V1581&gt;=75,V1581&lt;175,W1581&lt;35),0.3,0)+IF(AND(V1581&gt;=75,V1581&lt;=175,W1581&gt;=35,W1581&lt;65),0.23,0)+IF(AND(V1581&gt;=75,V1581&lt;=175,W1581&gt;=65,W1581&lt;110),0.17,0)+IF(AND(V1581&gt;=75,V1581&lt;=175,W1581&gt;=110),0.12,0)+IF(AND(V1581&gt;175,W1581&lt;25),0.3,0)+IF(AND(V1581&gt;175,W1581&gt;=25,W1581&lt;55),0.23,0)+IF(AND(V1581&gt;175,W1581&gt;=55,W1581&lt;95),0.17,0)+IF(AND(V1581&gt;175,W1581&gt;=95),0.12,0),
IF(AF1581="DoEVLo",IF(AND(V1581&lt;20,W1581&lt;55),0.25,0)+IF(AND(V1581&lt;20,W1581&gt;=55,W1581&lt;105),0.2,0)+IF(AND(V1581&lt;20,W1581&gt;=105),0.15,0)+IF(AND(V1581&gt;=20,V1581&lt;40,W1581&lt;45),0.25,0)+IF(AND(V1581&gt;=20,V1581&lt;40,W1581&gt;=45,W1581&lt;95),0.2,0)+IF(AND(V1581&gt;=20,V1581&lt;40,W1581&gt;=95),0.15,0)+IF(AND(V1581&gt;=40,V1581&lt;75,W1581&lt;35),0.25,0)+IF(AND(V1581&gt;=40,V1581&lt;75,W1581&gt;=35,W1581&lt;75),0.2,0)+IF(AND(V1581&gt;=40,V1581&lt;75,W1581&gt;=75,W1581&lt;120),0.15,0)+IF(AND(V1581&gt;=40,V1581&lt;75,W1581&gt;=120),0.1,0)+IF(AND(V1581&gt;=75,V1581&lt;175,W1581&lt;35),0.25,0)+IF(AND(V1581&gt;=75,V1581&lt;=175,W1581&gt;=35,W1581&lt;65),0.2,0)+IF(AND(V1581&gt;=75,V1581&lt;=175,W1581&gt;=65,W1581&lt;110),0.15,0)+IF(AND(V1581&gt;=75,V1581&lt;=175,W1581&gt;=110),0.1,0)+IF(AND(V1581&gt;175,W1581&lt;25),0.25,0)+IF(AND(V1581&gt;175,W1581&gt;=25,W1581&lt;55),0.2,0)+IF(AND(V1581&gt;175,W1581&gt;=55,W1581&lt;95),0.15,0)+IF(AND(V1581&gt;175,W1581&gt;=95),0.1,0))))))))))))))))))))</f>
        <v>0.1125</v>
      </c>
      <c r="Y1581" s="30">
        <f>IF(AG1581="None",0,IF(AG1581="Fix5",0.05, IF(AG1581="Fix6.25",0.0625,IF(AG1581="Fix3.75",0.0375, IF(AG1581="Fix11",0.11, IF(AG1581="Fix10",0.1,IF(AG1581="Fix3",0.03,0)))))))</f>
        <v>3.7499999999999999E-2</v>
      </c>
      <c r="Z1581" s="35">
        <f>IF(AND(AD1581="EUR", AE1581 = "USD"), T1581*U1581-AA1581-AB1581, T1581-AA1581-AB1581)</f>
        <v>0</v>
      </c>
      <c r="AA1581" s="29">
        <f>IF(AND(AD1581="EUR", F1581="Without EV deal", AE1581="USD"), (T1581*X1581)*U1581,
IF(AND(AD1581="EUR", F1581="Without EV deal", AE1581="EUR"), (T1581*X1581),
IF(AND(AD1581="EUR",AE1581="USD"), (T1581*X1581)*U1581,
T1581*X1581)))</f>
        <v>0</v>
      </c>
      <c r="AB1581" s="36">
        <f>IF(AND(AD1581="EUR", F1581="Without EV deal", AE1581="USD"), (T1581*Y1581)*U1581,
IF(AND(AD1581="EUR", F1581="Without EV deal", AE1581="EUR"), (T1581*Y1581),
IF(AND(AD1581="EUR",AE1581="USD"), (T1581*Y1581)*U1581,
T1581*Y1581)))</f>
        <v>0</v>
      </c>
      <c r="AC1581" s="37" t="b">
        <v>0</v>
      </c>
      <c r="AD1581" s="82" t="str">
        <f>IF(OR(H1581="€0.25 Flash",
H1581="€0.25(nitro) new",
H1581="€1",
H1581="€2",
H1581="€2 (bf 01.08)",
H1581="€5",
H1581="€5 (1M)",
H1581="€5 (bf 01.08)",
H1581="€5 (bf 05.05)",
H1581="€5 Nitro",
H1581="€5(wx) new",
H1581="€10",
H1581="€10 (1M)",
H1581="€10 (bf 01.08)",
H1581="€10 (bf 05.05)",
H1581="€10 (MP)",
H1581="€10 (old)",
H1581="€10 Nitro (bf 05.05)",
H1581="€10 Nitro (old)",
H1581="€10(wx) new",
H1581="€20",
H1581="€25",
H1581="€25 (bf 01.08)",
H1581="€25 (bf 05.05)",
H1581="€25 (MP)",
H1581="€25 (old)",
H1581="€25 Nitro",
H1581="€25 Nitro (bf 01.08)",
H1581="€25 Nitro (bf 05.05)",
H1581="€25(nitro) new",
H1581="€25(wx) new",
H1581="€50",
H1581="€50 (bf 01.08)",
H1581="€50 (bf 05.05)",
H1581="€50 (old)",
H1581="€50 Nitro",
H1581="€50 Nitro (bf 01.08)",
H1581="€50 Nitro (bf 05.05)",
H1581="€50(wx) new",
H1581="€100",
H1581="€100 (old)",
H1581="€100 Nitro",
H1581="€100 Nitro (old)",
H1581="€200",
H1581="€250",
H1581="€250 Nitro",
H1581="€500",
H1581="€500 Nitro"),"EUR", "USD")</f>
        <v>USD</v>
      </c>
      <c r="AE1581" s="83" t="s">
        <v>38</v>
      </c>
      <c r="AF1581" s="83" t="str">
        <f t="array" ref="AF1581">INDEX('Deal Info'!D:D, MATCH(A1581,'Deal Info'!A:A, 0))</f>
        <v>Fix11.25</v>
      </c>
      <c r="AG1581" s="84" t="str">
        <f t="array" ref="AG1581">INDEX('Deal Info'!G:G, MATCH(A1581,'Deal Info'!A:A, 0))</f>
        <v>Fix3.75</v>
      </c>
    </row>
    <row r="1582" spans="1:33" ht="14.25" hidden="1" x14ac:dyDescent="0.2">
      <c r="A1582" s="18" t="str">
        <f t="array" ref="A1582">IF(G1582='Room Info'!$B$1, INDEX('Room Info'!$A$2:$A2446, MATCH(B1582,'Room Info'!$B$2:$B2446, 0)),IF(G1582='Room Info'!$C$1, INDEX('Room Info'!$A$2:$A2446, MATCH(B1582,'Room Info'!$C$2:$C2446, 0)),IF(G1582='Room Info'!$D$1, INDEX('Room Info'!$A$2:$A2446, MATCH(B1582,'Room Info'!$D$2:$D2446, 0)),IF(G1582='Room Info'!$E$1, INDEX('Room Info'!$A$2:$A2446, MATCH(B1582,'Room Info'!$E$2:$E2446, 0)),IF(G1582='Room Info'!$F$1, INDEX('Room Info'!$A$2:$A2446, MATCH(B1582,'Room Info'!$F$2:$F2446, 0)),IF(G1582='Room Info'!$H$1, INDEX('Room Info'!$A$2:$A2446, MATCH(B1582,'Room Info'!$H$2:$H2446, 0)),IF(G1582='Room Info'!$G$1, INDEX('Room Info'!$A$2:$A2446, MATCH(B1582,'Room Info'!$G$2:$G2446, 0)))))))))</f>
        <v>fig6</v>
      </c>
      <c r="B1582" s="45" t="s">
        <v>172</v>
      </c>
      <c r="C1582" s="46">
        <v>44978</v>
      </c>
      <c r="D1582" s="46">
        <v>45005</v>
      </c>
      <c r="E1582" s="90">
        <v>44986</v>
      </c>
      <c r="F1582" s="96" t="s">
        <v>41</v>
      </c>
      <c r="G1582" s="65" t="s">
        <v>35</v>
      </c>
      <c r="H1582" s="91" t="s">
        <v>210</v>
      </c>
      <c r="I1582" s="23" t="s">
        <v>174</v>
      </c>
      <c r="J1582" s="39">
        <v>500</v>
      </c>
      <c r="K1582" s="51">
        <v>6</v>
      </c>
      <c r="L1582" s="52">
        <v>-1027</v>
      </c>
      <c r="M1582" s="62"/>
      <c r="N1582" s="28">
        <f>K1582*J1582</f>
        <v>3000</v>
      </c>
      <c r="O1582" s="65"/>
      <c r="P1582" s="29">
        <v>0</v>
      </c>
      <c r="Q1582" s="55"/>
      <c r="R1582" s="31">
        <f>M1582+Q1582*J1582*K1582*0.07</f>
        <v>0</v>
      </c>
      <c r="S1582" s="66"/>
      <c r="T1582" s="32">
        <f>IF(AND(AD1582="EUR", F1582="Without EV deal"), R1582 + L1582,
IF(AND(AD1582="USD", F1582="Without EV deal"), R1582 + L1582,
IF(AND(AD1582="EUR", F1582="Steel Phoenix"), R1582 + S1582/U1582,
R1582 + S1582)))</f>
        <v>-1027</v>
      </c>
      <c r="U1582" s="57">
        <v>1.071</v>
      </c>
      <c r="V1582" s="58"/>
      <c r="W1582" s="58"/>
      <c r="X1582" s="30">
        <f>IF(AF1582="DoEV",IF(AND(V1582&lt;20,W1582&lt;55),0.3,0)+IF(AND(V1582&lt;20,W1582&gt;=55,W1582&lt;105),0.23,0)+IF(AND(V1582&lt;20,W1582&gt;=105),0.17,0)+IF(AND(V1582&gt;=20,V1582&lt;40,W1582&lt;45),0.3,0)+IF(AND(V1582&gt;=20,V1582&lt;40,W1582&gt;=45,W1582&lt;95),0.23,0)+IF(AND(V1582&gt;=20,V1582&lt;40,W1582&gt;=95),0.17,0)+IF(AND(V1582&gt;=40,V1582&lt;75,W1582&lt;35),0.3,0)+IF(AND(V1582&gt;=40,V1582&lt;75,W1582&gt;=35,W1582&lt;75),0.23,0)+IF(AND(V1582&gt;=40,V1582&lt;75,W1582&gt;=75,W1582&lt;120),0.17,0)+IF(AND(V1582&gt;=40,V1582&lt;75,W1582&gt;=120),0.12,0)+IF(AND(V1582&gt;=75,V1582&lt;175,W1582&lt;35),0.3,0)+IF(AND(V1582&gt;=75,V1582&lt;=175,W1582&gt;=35,W1582&lt;65),0.23,0)+IF(AND(V1582&gt;=75,V1582&lt;=175,W1582&gt;=65,W1582&lt;110),0.17,0)+IF(AND(V1582&gt;=75,V1582&lt;=175,W1582&gt;=110),0.12,0)+IF(AND(V1582&gt;175,W1582&lt;25),0.3,0)+IF(AND(V1582&gt;175,W1582&gt;=25,W1582&lt;55),0.23,0)+IF(AND(V1582&gt;175,W1582&gt;=55,W1582&lt;95),0.17,0)+IF(AND(V1582&gt;175,W1582&gt;=95),0.12,0),
IF(AF1582="Fix15",0.15,
IF(AF1582="Fix5",0.05,
IF(AF1582="Fix18.75",0.1875,
IF(AF1582="Fix11.25",0.1125,
IF(AF1582="Fix10",0.1,
IF(AF1582="Fix9",0.09,
IF(AF1582="Fix12",0.12,
IF(AF1582="Fix19",0.19,
IF(AF1582="DoEV2017",IF(AND(W1582&lt;74),0.2,0)+IF(AND(W1582&gt;=74),0.17,0),
IF(AF1582="SF",IF(AND(V1582&lt;20,W1582&lt;89),0.3,0)+IF(AND(V1582&lt;20,W1582&gt;=89),0.25,0)+IF(AND(V1582&gt;=20,V1582&lt;40,W1582&lt;74),0.3,0)+IF(AND(V1582&gt;=20,V1582&lt;40,W1582&gt;=75),0.22,0)+IF(AND(V1582&gt;=40,V1582&lt;75,W1582&lt;75),0.26,0)+IF(AND(V1582&gt;=40,V1582&lt;75,W1582&gt;=75),0.22,0)+IF(V1582&gt;=75,0.22,0),
IF(AF1582="DoEVold",IF(AND(V1582&lt;40,W1582&lt;35),0.35,0)+IF(AND(V1582&lt;40,W1582&gt;=35,W1582&lt;75),0.25,0)+IF(AND(V1582&lt;40,W1582&gt;=75),0.17,0)+IF(AND(V1582&gt;=40,V1582&lt;75,W1582&lt;25),0.35,0)+IF(AND(V1582&gt;=40,V1582&lt;75,W1582&gt;=25,W1582&lt;65),0.25,0)+IF(AND(V1582&gt;=40,V1582&lt;75,W1582&gt;=65,W1582&lt;100),0.17,0)+IF(AND(V1582&gt;=40,V1582&lt;75,W1582&gt;=100),0.1,0)+IF(AND(V1582&gt;=75,W1582&lt;25),0.35,0)+IF(AND(V1582&gt;=75,W1582&gt;=25,W1582&lt;60),0.25,0)+IF(AND(V1582&gt;=75,W1582&gt;=60,W1582&lt;95),0.17,0)+IF(AND(V1582&gt;=75,W1582&gt;=95),0.1,0),
IF(AF1582="DoEVold15",IF(AND(V1582&lt;=40,W1582&lt;35),0.35,0)+IF(AND(V1582&lt;=40,W1582&gt;=35,W1582&lt;75),0.25,0)+IF(AND(V1582&lt;=40,W1582&gt;=75,W1582&lt;120),0.17,0)+IF(AND(V1582&lt;=40,W1582&gt;=120),0.15,0)+IF(AND(V1582&gt;40,V1582&lt;75,W1582&lt;25),0.35,0)+IF(AND(V1582&gt;=40,V1582&lt;75,W1582&gt;=25,W1582&lt;65),0.25,0)+IF(AND(V1582&gt;=40,V1582&lt;75,W1582&gt;=65,W1582&lt;100),0.17,0)+IF(AND(V1582&gt;=40,V1582&lt;75,W1582&gt;=100),0.1,0)+IF(AND(V1582&gt;=75,W1582&lt;25),0.35,0)+IF(AND(V1582&gt;=75,W1582&gt;=25,W1582&lt;60),0.25,0)+IF(AND(V1582&gt;=75,W1582&gt;=60,W1582&lt;95),0.17,0)+IF(AND(V1582&gt;=75,W1582&gt;=95),0.1,0),
IF(AF1582="DoEVba",IF(AND(V1582&lt;20,W1582&lt;105),0.2,0)+IF(AND(V1582&lt;20,W1582&gt;=105),0.15,0)+IF(AND(V1582&gt;=20,V1582&lt;40,W1582&lt;95),0.2,0)+IF(AND(V1582&gt;=20,V1582&lt;40,W1582&gt;=95,W1582&lt;150),0.15,0)+IF(AND(V1582&gt;=20,V1582&lt;40,W1582&gt;=150),0.12,0)+IF(AND(V1582&gt;=40,V1582&lt;75,W1582&lt;75),0.2,0)+IF(AND(V1582&gt;=40,V1582&lt;75,W1582&gt;=75,W1582&lt;120),0.15,0)+IF(AND(V1582&gt;=40,V1582&lt;75,W1582&gt;=120),0.12,0)+IF(AND(V1582&gt;=75,V1582&lt;175,W1582&lt;65),0.2,0)+IF(AND(V1582&gt;=75,V1582&lt;175,W1582&gt;=65,W1582&lt;110),0.15,0)+IF(AND(V1582&gt;=75,V1582&lt;175,W1582&gt;=110),0.12,0)+IF(AND(V1582&gt;=175,W1582&lt;55),0.2,0)+IF(AND(V1582&gt;=175,W1582&gt;=55,W1582&lt;95),0.15,0)+IF(AND(V1582&gt;=175,W1582&gt;=95),0.12,0),
IF(AF1582="DoEVku",IF(AND(V1582&lt;20,W1582&lt;55),0.23,0)+IF(AND(V1582&lt;20,W1582&gt;=55,W1582&lt;105),0.2,0)+IF(AND(V1582&lt;20,W1582&gt;=105),0.17,0)+IF(AND(V1582&gt;=20,V1582&lt;40,W1582&lt;45),0.23,0)+IF(AND(V1582&gt;=20,V1582&lt;40,W1582&gt;=45,W1582&lt;95),0.2,0)+IF(AND(V1582&gt;=20,V1582&lt;40,W1582&gt;=95,W1582&lt;=150),0.17,0)+IF(AND(V1582&gt;=20,V1582&lt;40,W1582&gt;=150),0.12,0)+IF(AND(V1582&gt;=40,V1582&lt;75,W1582&lt;35),0.23,0)+IF(AND(V1582&gt;=40,V1582&lt;75,W1582&gt;=35,W1582&lt;75),0.2,0)+IF(AND(V1582&gt;=40,V1582&lt;75,W1582&gt;=75,W1582&lt;120),0.17,0)+IF(AND(V1582&gt;=40,V1582&lt;75,W1582&gt;=120),0.12,0)+IF(AND(V1582&gt;=75,V1582&lt;175,W1582&lt;35),0.23,0)+IF(AND(V1582&gt;=75,V1582&lt;=175,W1582&gt;=35,W1582&lt;65),0.2,0)+IF(AND(V1582&gt;=75,V1582&lt;=175,W1582&gt;=65,W1582&lt;110),0.17,0)+IF(AND(V1582&gt;=75,V1582&lt;=175,W1582&gt;=110),0.12,0)+IF(AND(V1582&gt;175,W1582&lt;25),0.23,0)+IF(AND(V1582&gt;175,W1582&gt;=25,W1582&lt;55),0.2,0)+IF(AND(V1582&gt;175,W1582&gt;=55,W1582&lt;95),0.17,0)+IF(AND(V1582&gt;175,W1582&gt;=95),0.12,0),
IF(AF1582="DoEVs1",IF(AND(V1582&lt;20,W1582&lt;55),0.3,0)+IF(AND(V1582&lt;20,W1582&gt;=55,W1582&lt;105),0.23,0)+IF(AND(V1582&lt;20,W1582&gt;=105),0.17,0)+IF(AND(V1582&gt;=20,V1582&lt;40,W1582&lt;45),0.3,0)+IF(AND(V1582&gt;=20,V1582&lt;40,W1582&gt;=45,W1582&lt;95),0.23,0)+IF(AND(V1582&gt;=20,V1582&lt;40,W1582&gt;=95,W1582&lt;=150),0.17,0)+IF(AND(V1582&gt;=20,V1582&lt;40,W1582&gt;=150),0.12,0)+IF(AND(V1582&gt;=40,V1582&lt;75,W1582&lt;35),0.3,0)+IF(AND(V1582&gt;=40,V1582&lt;75,W1582&gt;=35,W1582&lt;75),0.23,0)+IF(AND(V1582&gt;=40,V1582&lt;75,W1582&gt;=75,W1582&lt;120),0.17,0)+IF(AND(V1582&gt;=40,V1582&lt;75,W1582&gt;=120),0.12,0)+IF(AND(V1582&gt;=75,V1582&lt;175,W1582&lt;35),0.3,0)+IF(AND(V1582&gt;=75,V1582&lt;=175,W1582&gt;=35,W1582&lt;65),0.23,0)+IF(AND(V1582&gt;=75,V1582&lt;=175,W1582&gt;=65,W1582&lt;110),0.17,0)+IF(AND(V1582&gt;=75,V1582&lt;=175,W1582&gt;=110),0.12,0)+IF(AND(V1582&gt;175,W1582&lt;25),0.3,0)+IF(AND(V1582&gt;175,W1582&gt;=25,W1582&lt;55),0.23,0)+IF(AND(V1582&gt;175,W1582&gt;=55,W1582&lt;95),0.17,0)+IF(AND(V1582&gt;175,W1582&gt;=95),0.12,0),
IF(AF1582="DoEVsu",IF(AND(V1582&lt;20,W1582&lt;55),0.3,0)+IF(AND(V1582&lt;20,W1582&gt;=55,W1582&lt;105),0.23,0)+IF(AND(V1582&lt;20,W1582&gt;=105),0.17,0)+IF(AND(V1582&gt;=20,V1582&lt;40,W1582&lt;45),0.3,0)+IF(AND(V1582&gt;=20,V1582&lt;40,W1582&gt;=45,W1582&lt;95),0.23,0)+IF(AND(V1582&gt;=20,V1582&lt;40,W1582&gt;=95,W1582&lt;=250),0.17,0)+IF(AND(V1582&gt;=20,V1582&lt;40,W1582&gt;=250),0.12,0)+IF(AND(V1582&gt;=40,V1582&lt;75,W1582&lt;35),0.3,0)+IF(AND(V1582&gt;=40,V1582&lt;75,W1582&gt;=35,W1582&lt;75),0.23,0)+IF(AND(V1582&gt;=40,V1582&lt;75,W1582&gt;=75,W1582&lt;120),0.17,0)+IF(AND(V1582&gt;=40,V1582&lt;75,W1582&gt;=120),0.12,0)+IF(AND(V1582&gt;=75,V1582&lt;175,W1582&lt;35),0.3,0)+IF(AND(V1582&gt;=75,V1582&lt;=175,W1582&gt;=35,W1582&lt;65),0.23,0)+IF(AND(V1582&gt;=75,V1582&lt;=175,W1582&gt;=65,W1582&lt;110),0.17,0)+IF(AND(V1582&gt;=75,V1582&lt;=175,W1582&gt;=110),0.12,0)+IF(AND(V1582&gt;175,W1582&lt;25),0.3,0)+IF(AND(V1582&gt;175,W1582&gt;=25,W1582&lt;55),0.23,0)+IF(AND(V1582&gt;175,W1582&gt;=55,W1582&lt;95),0.17,0)+IF(AND(V1582&gt;175,W1582&gt;=95),0.12,0),
IF(AF1582="DoEVni",IF(AND(V1582&lt;20,W1582&lt;55),0.3,0)+IF(AND(V1582&lt;20,W1582&gt;=55,W1582&lt;105),0.23,0)+IF(AND(V1582&lt;20,W1582&gt;=105),0.17,0)+IF(AND(V1582&gt;=20,V1582&lt;40,W1582&lt;45),0.3,0)+IF(AND(V1582&gt;=20,V1582&lt;40,W1582&gt;=45,W1582&lt;95),0.23,0)+IF(AND(V1582&gt;=20,V1582&lt;40,W1582&gt;=95,W1582&lt;=200),0.17,0)+IF(AND(V1582&gt;=20,V1582&lt;40,W1582&gt;=200),0.12,0)+IF(AND(V1582&gt;=40,V1582&lt;75,W1582&lt;35),0.3,0)+IF(AND(V1582&gt;=40,V1582&lt;75,W1582&gt;=35,W1582&lt;75),0.23,0)+IF(AND(V1582&gt;=40,V1582&lt;75,W1582&gt;=75,W1582&lt;120),0.17,0)+IF(AND(V1582&gt;=40,V1582&lt;75,W1582&gt;=120),0.12,0)+IF(AND(V1582&gt;=75,V1582&lt;175,W1582&lt;35),0.3,0)+IF(AND(V1582&gt;=75,V1582&lt;=175,W1582&gt;=35,W1582&lt;65),0.23,0)+IF(AND(V1582&gt;=75,V1582&lt;=175,W1582&gt;=65,W1582&lt;110),0.17,0)+IF(AND(V1582&gt;=75,V1582&lt;=175,W1582&gt;=110),0.12,0)+IF(AND(V1582&gt;175,W1582&lt;25),0.3,0)+IF(AND(V1582&gt;175,W1582&gt;=25,W1582&lt;55),0.23,0)+IF(AND(V1582&gt;175,W1582&gt;=55,W1582&lt;95),0.17,0)+IF(AND(V1582&gt;175,W1582&gt;=95),0.12,0),
IF(AF1582="DoEVLo",IF(AND(V1582&lt;20,W1582&lt;55),0.25,0)+IF(AND(V1582&lt;20,W1582&gt;=55,W1582&lt;105),0.2,0)+IF(AND(V1582&lt;20,W1582&gt;=105),0.15,0)+IF(AND(V1582&gt;=20,V1582&lt;40,W1582&lt;45),0.25,0)+IF(AND(V1582&gt;=20,V1582&lt;40,W1582&gt;=45,W1582&lt;95),0.2,0)+IF(AND(V1582&gt;=20,V1582&lt;40,W1582&gt;=95),0.15,0)+IF(AND(V1582&gt;=40,V1582&lt;75,W1582&lt;35),0.25,0)+IF(AND(V1582&gt;=40,V1582&lt;75,W1582&gt;=35,W1582&lt;75),0.2,0)+IF(AND(V1582&gt;=40,V1582&lt;75,W1582&gt;=75,W1582&lt;120),0.15,0)+IF(AND(V1582&gt;=40,V1582&lt;75,W1582&gt;=120),0.1,0)+IF(AND(V1582&gt;=75,V1582&lt;175,W1582&lt;35),0.25,0)+IF(AND(V1582&gt;=75,V1582&lt;=175,W1582&gt;=35,W1582&lt;65),0.2,0)+IF(AND(V1582&gt;=75,V1582&lt;=175,W1582&gt;=65,W1582&lt;110),0.15,0)+IF(AND(V1582&gt;=75,V1582&lt;=175,W1582&gt;=110),0.1,0)+IF(AND(V1582&gt;175,W1582&lt;25),0.25,0)+IF(AND(V1582&gt;175,W1582&gt;=25,W1582&lt;55),0.2,0)+IF(AND(V1582&gt;175,W1582&gt;=55,W1582&lt;95),0.15,0)+IF(AND(V1582&gt;175,W1582&gt;=95),0.1,0))))))))))))))))))))</f>
        <v>0.1125</v>
      </c>
      <c r="Y1582" s="30">
        <f>IF(AG1582="None",0,IF(AG1582="Fix5",0.05, IF(AG1582="Fix6.25",0.0625,IF(AG1582="Fix3.75",0.0375, IF(AG1582="Fix11",0.11, IF(AG1582="Fix10",0.1,IF(AG1582="Fix3",0.03,0)))))))</f>
        <v>3.7499999999999999E-2</v>
      </c>
      <c r="Z1582" s="35">
        <f>IF(AND(AD1582="EUR", AE1582 = "USD"), T1582*U1582-AA1582-AB1582, T1582-AA1582-AB1582)</f>
        <v>-872.94999999999993</v>
      </c>
      <c r="AA1582" s="29">
        <f>IF(AND(AD1582="EUR", F1582="Without EV deal", AE1582="USD"), (T1582*X1582)*U1582,
IF(AND(AD1582="EUR", F1582="Without EV deal", AE1582="EUR"), (T1582*X1582),
IF(AND(AD1582="EUR",AE1582="USD"), (T1582*X1582)*U1582,
T1582*X1582)))</f>
        <v>-115.53750000000001</v>
      </c>
      <c r="AB1582" s="36">
        <f>IF(AND(AD1582="EUR", F1582="Without EV deal", AE1582="USD"), (T1582*Y1582)*U1582,
IF(AND(AD1582="EUR", F1582="Without EV deal", AE1582="EUR"), (T1582*Y1582),
IF(AND(AD1582="EUR",AE1582="USD"), (T1582*Y1582)*U1582,
T1582*Y1582)))</f>
        <v>-38.512499999999996</v>
      </c>
      <c r="AC1582" s="37" t="b">
        <v>0</v>
      </c>
      <c r="AD1582" s="82" t="str">
        <f>IF(OR(H1582="€0.25 Flash",
H1582="€0.25(nitro) new",
H1582="€1",
H1582="€2",
H1582="€2 (bf 01.08)",
H1582="€5",
H1582="€5 (1M)",
H1582="€5 (bf 01.08)",
H1582="€5 (bf 05.05)",
H1582="€5 Nitro",
H1582="€5(wx) new",
H1582="€10",
H1582="€10 (1M)",
H1582="€10 (bf 01.08)",
H1582="€10 (bf 05.05)",
H1582="€10 (MP)",
H1582="€10 (old)",
H1582="€10 Nitro (bf 05.05)",
H1582="€10 Nitro (old)",
H1582="€10(wx) new",
H1582="€20",
H1582="€25",
H1582="€25 (bf 01.08)",
H1582="€25 (bf 05.05)",
H1582="€25 (MP)",
H1582="€25 (old)",
H1582="€25 Nitro",
H1582="€25 Nitro (bf 01.08)",
H1582="€25 Nitro (bf 05.05)",
H1582="€25(nitro) new",
H1582="€25(wx) new",
H1582="€50",
H1582="€50 (bf 01.08)",
H1582="€50 (bf 05.05)",
H1582="€50 (old)",
H1582="€50 Nitro",
H1582="€50 Nitro (bf 01.08)",
H1582="€50 Nitro (bf 05.05)",
H1582="€50(wx) new",
H1582="€100",
H1582="€100 (old)",
H1582="€100 Nitro",
H1582="€100 Nitro (old)",
H1582="€200",
H1582="€250",
H1582="€250 Nitro",
H1582="€500",
H1582="€500 Nitro"),"EUR", "USD")</f>
        <v>USD</v>
      </c>
      <c r="AE1582" s="83" t="s">
        <v>38</v>
      </c>
      <c r="AF1582" s="83" t="str">
        <f t="array" ref="AF1582">INDEX('Deal Info'!D:D, MATCH(A1582,'Deal Info'!A:A, 0))</f>
        <v>Fix11.25</v>
      </c>
      <c r="AG1582" s="84" t="str">
        <f t="array" ref="AG1582">INDEX('Deal Info'!G:G, MATCH(A1582,'Deal Info'!A:A, 0))</f>
        <v>Fix3.75</v>
      </c>
    </row>
    <row r="1583" spans="1:33" ht="14.25" hidden="1" x14ac:dyDescent="0.2">
      <c r="A1583" s="18" t="str">
        <f t="array" ref="A1583">IF(G1583='Room Info'!$B$1, INDEX('Room Info'!$A$2:$A2446, MATCH(B1583,'Room Info'!$B$2:$B2446, 0)),IF(G1583='Room Info'!$C$1, INDEX('Room Info'!$A$2:$A2446, MATCH(B1583,'Room Info'!$C$2:$C2446, 0)),IF(G1583='Room Info'!$D$1, INDEX('Room Info'!$A$2:$A2446, MATCH(B1583,'Room Info'!$D$2:$D2446, 0)),IF(G1583='Room Info'!$E$1, INDEX('Room Info'!$A$2:$A2446, MATCH(B1583,'Room Info'!$E$2:$E2446, 0)),IF(G1583='Room Info'!$F$1, INDEX('Room Info'!$A$2:$A2446, MATCH(B1583,'Room Info'!$F$2:$F2446, 0)),IF(G1583='Room Info'!$H$1, INDEX('Room Info'!$A$2:$A2446, MATCH(B1583,'Room Info'!$H$2:$H2446, 0)),IF(G1583='Room Info'!$G$1, INDEX('Room Info'!$A$2:$A2446, MATCH(B1583,'Room Info'!$G$2:$G2446, 0)))))))))</f>
        <v>fig6</v>
      </c>
      <c r="B1583" s="45" t="s">
        <v>172</v>
      </c>
      <c r="C1583" s="46">
        <v>44978</v>
      </c>
      <c r="D1583" s="46">
        <v>45005</v>
      </c>
      <c r="E1583" s="90">
        <v>44986</v>
      </c>
      <c r="F1583" s="96" t="s">
        <v>41</v>
      </c>
      <c r="G1583" s="65" t="s">
        <v>35</v>
      </c>
      <c r="H1583" s="91" t="s">
        <v>211</v>
      </c>
      <c r="I1583" s="23" t="s">
        <v>174</v>
      </c>
      <c r="J1583" s="39">
        <v>200</v>
      </c>
      <c r="K1583" s="51">
        <v>105</v>
      </c>
      <c r="L1583" s="52">
        <v>-3301</v>
      </c>
      <c r="M1583" s="62"/>
      <c r="N1583" s="28">
        <f>K1583*J1583</f>
        <v>21000</v>
      </c>
      <c r="O1583" s="65"/>
      <c r="P1583" s="29">
        <v>0</v>
      </c>
      <c r="Q1583" s="55"/>
      <c r="R1583" s="31">
        <f>M1583+Q1583*J1583*K1583*0.07</f>
        <v>0</v>
      </c>
      <c r="S1583" s="66"/>
      <c r="T1583" s="32">
        <f>IF(AND(AD1583="EUR", F1583="Without EV deal"), R1583 + L1583,
IF(AND(AD1583="USD", F1583="Without EV deal"), R1583 + L1583,
IF(AND(AD1583="EUR", F1583="Steel Phoenix"), R1583 + S1583/U1583,
R1583 + S1583)))</f>
        <v>-3301</v>
      </c>
      <c r="U1583" s="57">
        <v>1.071</v>
      </c>
      <c r="V1583" s="58"/>
      <c r="W1583" s="58"/>
      <c r="X1583" s="30">
        <f>IF(AF1583="DoEV",IF(AND(V1583&lt;20,W1583&lt;55),0.3,0)+IF(AND(V1583&lt;20,W1583&gt;=55,W1583&lt;105),0.23,0)+IF(AND(V1583&lt;20,W1583&gt;=105),0.17,0)+IF(AND(V1583&gt;=20,V1583&lt;40,W1583&lt;45),0.3,0)+IF(AND(V1583&gt;=20,V1583&lt;40,W1583&gt;=45,W1583&lt;95),0.23,0)+IF(AND(V1583&gt;=20,V1583&lt;40,W1583&gt;=95),0.17,0)+IF(AND(V1583&gt;=40,V1583&lt;75,W1583&lt;35),0.3,0)+IF(AND(V1583&gt;=40,V1583&lt;75,W1583&gt;=35,W1583&lt;75),0.23,0)+IF(AND(V1583&gt;=40,V1583&lt;75,W1583&gt;=75,W1583&lt;120),0.17,0)+IF(AND(V1583&gt;=40,V1583&lt;75,W1583&gt;=120),0.12,0)+IF(AND(V1583&gt;=75,V1583&lt;175,W1583&lt;35),0.3,0)+IF(AND(V1583&gt;=75,V1583&lt;=175,W1583&gt;=35,W1583&lt;65),0.23,0)+IF(AND(V1583&gt;=75,V1583&lt;=175,W1583&gt;=65,W1583&lt;110),0.17,0)+IF(AND(V1583&gt;=75,V1583&lt;=175,W1583&gt;=110),0.12,0)+IF(AND(V1583&gt;175,W1583&lt;25),0.3,0)+IF(AND(V1583&gt;175,W1583&gt;=25,W1583&lt;55),0.23,0)+IF(AND(V1583&gt;175,W1583&gt;=55,W1583&lt;95),0.17,0)+IF(AND(V1583&gt;175,W1583&gt;=95),0.12,0),
IF(AF1583="Fix15",0.15,
IF(AF1583="Fix5",0.05,
IF(AF1583="Fix18.75",0.1875,
IF(AF1583="Fix11.25",0.1125,
IF(AF1583="Fix10",0.1,
IF(AF1583="Fix9",0.09,
IF(AF1583="Fix12",0.12,
IF(AF1583="Fix19",0.19,
IF(AF1583="DoEV2017",IF(AND(W1583&lt;74),0.2,0)+IF(AND(W1583&gt;=74),0.17,0),
IF(AF1583="SF",IF(AND(V1583&lt;20,W1583&lt;89),0.3,0)+IF(AND(V1583&lt;20,W1583&gt;=89),0.25,0)+IF(AND(V1583&gt;=20,V1583&lt;40,W1583&lt;74),0.3,0)+IF(AND(V1583&gt;=20,V1583&lt;40,W1583&gt;=75),0.22,0)+IF(AND(V1583&gt;=40,V1583&lt;75,W1583&lt;75),0.26,0)+IF(AND(V1583&gt;=40,V1583&lt;75,W1583&gt;=75),0.22,0)+IF(V1583&gt;=75,0.22,0),
IF(AF1583="DoEVold",IF(AND(V1583&lt;40,W1583&lt;35),0.35,0)+IF(AND(V1583&lt;40,W1583&gt;=35,W1583&lt;75),0.25,0)+IF(AND(V1583&lt;40,W1583&gt;=75),0.17,0)+IF(AND(V1583&gt;=40,V1583&lt;75,W1583&lt;25),0.35,0)+IF(AND(V1583&gt;=40,V1583&lt;75,W1583&gt;=25,W1583&lt;65),0.25,0)+IF(AND(V1583&gt;=40,V1583&lt;75,W1583&gt;=65,W1583&lt;100),0.17,0)+IF(AND(V1583&gt;=40,V1583&lt;75,W1583&gt;=100),0.1,0)+IF(AND(V1583&gt;=75,W1583&lt;25),0.35,0)+IF(AND(V1583&gt;=75,W1583&gt;=25,W1583&lt;60),0.25,0)+IF(AND(V1583&gt;=75,W1583&gt;=60,W1583&lt;95),0.17,0)+IF(AND(V1583&gt;=75,W1583&gt;=95),0.1,0),
IF(AF1583="DoEVold15",IF(AND(V1583&lt;=40,W1583&lt;35),0.35,0)+IF(AND(V1583&lt;=40,W1583&gt;=35,W1583&lt;75),0.25,0)+IF(AND(V1583&lt;=40,W1583&gt;=75,W1583&lt;120),0.17,0)+IF(AND(V1583&lt;=40,W1583&gt;=120),0.15,0)+IF(AND(V1583&gt;40,V1583&lt;75,W1583&lt;25),0.35,0)+IF(AND(V1583&gt;=40,V1583&lt;75,W1583&gt;=25,W1583&lt;65),0.25,0)+IF(AND(V1583&gt;=40,V1583&lt;75,W1583&gt;=65,W1583&lt;100),0.17,0)+IF(AND(V1583&gt;=40,V1583&lt;75,W1583&gt;=100),0.1,0)+IF(AND(V1583&gt;=75,W1583&lt;25),0.35,0)+IF(AND(V1583&gt;=75,W1583&gt;=25,W1583&lt;60),0.25,0)+IF(AND(V1583&gt;=75,W1583&gt;=60,W1583&lt;95),0.17,0)+IF(AND(V1583&gt;=75,W1583&gt;=95),0.1,0),
IF(AF1583="DoEVba",IF(AND(V1583&lt;20,W1583&lt;105),0.2,0)+IF(AND(V1583&lt;20,W1583&gt;=105),0.15,0)+IF(AND(V1583&gt;=20,V1583&lt;40,W1583&lt;95),0.2,0)+IF(AND(V1583&gt;=20,V1583&lt;40,W1583&gt;=95,W1583&lt;150),0.15,0)+IF(AND(V1583&gt;=20,V1583&lt;40,W1583&gt;=150),0.12,0)+IF(AND(V1583&gt;=40,V1583&lt;75,W1583&lt;75),0.2,0)+IF(AND(V1583&gt;=40,V1583&lt;75,W1583&gt;=75,W1583&lt;120),0.15,0)+IF(AND(V1583&gt;=40,V1583&lt;75,W1583&gt;=120),0.12,0)+IF(AND(V1583&gt;=75,V1583&lt;175,W1583&lt;65),0.2,0)+IF(AND(V1583&gt;=75,V1583&lt;175,W1583&gt;=65,W1583&lt;110),0.15,0)+IF(AND(V1583&gt;=75,V1583&lt;175,W1583&gt;=110),0.12,0)+IF(AND(V1583&gt;=175,W1583&lt;55),0.2,0)+IF(AND(V1583&gt;=175,W1583&gt;=55,W1583&lt;95),0.15,0)+IF(AND(V1583&gt;=175,W1583&gt;=95),0.12,0),
IF(AF1583="DoEVku",IF(AND(V1583&lt;20,W1583&lt;55),0.23,0)+IF(AND(V1583&lt;20,W1583&gt;=55,W1583&lt;105),0.2,0)+IF(AND(V1583&lt;20,W1583&gt;=105),0.17,0)+IF(AND(V1583&gt;=20,V1583&lt;40,W1583&lt;45),0.23,0)+IF(AND(V1583&gt;=20,V1583&lt;40,W1583&gt;=45,W1583&lt;95),0.2,0)+IF(AND(V1583&gt;=20,V1583&lt;40,W1583&gt;=95,W1583&lt;=150),0.17,0)+IF(AND(V1583&gt;=20,V1583&lt;40,W1583&gt;=150),0.12,0)+IF(AND(V1583&gt;=40,V1583&lt;75,W1583&lt;35),0.23,0)+IF(AND(V1583&gt;=40,V1583&lt;75,W1583&gt;=35,W1583&lt;75),0.2,0)+IF(AND(V1583&gt;=40,V1583&lt;75,W1583&gt;=75,W1583&lt;120),0.17,0)+IF(AND(V1583&gt;=40,V1583&lt;75,W1583&gt;=120),0.12,0)+IF(AND(V1583&gt;=75,V1583&lt;175,W1583&lt;35),0.23,0)+IF(AND(V1583&gt;=75,V1583&lt;=175,W1583&gt;=35,W1583&lt;65),0.2,0)+IF(AND(V1583&gt;=75,V1583&lt;=175,W1583&gt;=65,W1583&lt;110),0.17,0)+IF(AND(V1583&gt;=75,V1583&lt;=175,W1583&gt;=110),0.12,0)+IF(AND(V1583&gt;175,W1583&lt;25),0.23,0)+IF(AND(V1583&gt;175,W1583&gt;=25,W1583&lt;55),0.2,0)+IF(AND(V1583&gt;175,W1583&gt;=55,W1583&lt;95),0.17,0)+IF(AND(V1583&gt;175,W1583&gt;=95),0.12,0),
IF(AF1583="DoEVs1",IF(AND(V1583&lt;20,W1583&lt;55),0.3,0)+IF(AND(V1583&lt;20,W1583&gt;=55,W1583&lt;105),0.23,0)+IF(AND(V1583&lt;20,W1583&gt;=105),0.17,0)+IF(AND(V1583&gt;=20,V1583&lt;40,W1583&lt;45),0.3,0)+IF(AND(V1583&gt;=20,V1583&lt;40,W1583&gt;=45,W1583&lt;95),0.23,0)+IF(AND(V1583&gt;=20,V1583&lt;40,W1583&gt;=95,W1583&lt;=150),0.17,0)+IF(AND(V1583&gt;=20,V1583&lt;40,W1583&gt;=150),0.12,0)+IF(AND(V1583&gt;=40,V1583&lt;75,W1583&lt;35),0.3,0)+IF(AND(V1583&gt;=40,V1583&lt;75,W1583&gt;=35,W1583&lt;75),0.23,0)+IF(AND(V1583&gt;=40,V1583&lt;75,W1583&gt;=75,W1583&lt;120),0.17,0)+IF(AND(V1583&gt;=40,V1583&lt;75,W1583&gt;=120),0.12,0)+IF(AND(V1583&gt;=75,V1583&lt;175,W1583&lt;35),0.3,0)+IF(AND(V1583&gt;=75,V1583&lt;=175,W1583&gt;=35,W1583&lt;65),0.23,0)+IF(AND(V1583&gt;=75,V1583&lt;=175,W1583&gt;=65,W1583&lt;110),0.17,0)+IF(AND(V1583&gt;=75,V1583&lt;=175,W1583&gt;=110),0.12,0)+IF(AND(V1583&gt;175,W1583&lt;25),0.3,0)+IF(AND(V1583&gt;175,W1583&gt;=25,W1583&lt;55),0.23,0)+IF(AND(V1583&gt;175,W1583&gt;=55,W1583&lt;95),0.17,0)+IF(AND(V1583&gt;175,W1583&gt;=95),0.12,0),
IF(AF1583="DoEVsu",IF(AND(V1583&lt;20,W1583&lt;55),0.3,0)+IF(AND(V1583&lt;20,W1583&gt;=55,W1583&lt;105),0.23,0)+IF(AND(V1583&lt;20,W1583&gt;=105),0.17,0)+IF(AND(V1583&gt;=20,V1583&lt;40,W1583&lt;45),0.3,0)+IF(AND(V1583&gt;=20,V1583&lt;40,W1583&gt;=45,W1583&lt;95),0.23,0)+IF(AND(V1583&gt;=20,V1583&lt;40,W1583&gt;=95,W1583&lt;=250),0.17,0)+IF(AND(V1583&gt;=20,V1583&lt;40,W1583&gt;=250),0.12,0)+IF(AND(V1583&gt;=40,V1583&lt;75,W1583&lt;35),0.3,0)+IF(AND(V1583&gt;=40,V1583&lt;75,W1583&gt;=35,W1583&lt;75),0.23,0)+IF(AND(V1583&gt;=40,V1583&lt;75,W1583&gt;=75,W1583&lt;120),0.17,0)+IF(AND(V1583&gt;=40,V1583&lt;75,W1583&gt;=120),0.12,0)+IF(AND(V1583&gt;=75,V1583&lt;175,W1583&lt;35),0.3,0)+IF(AND(V1583&gt;=75,V1583&lt;=175,W1583&gt;=35,W1583&lt;65),0.23,0)+IF(AND(V1583&gt;=75,V1583&lt;=175,W1583&gt;=65,W1583&lt;110),0.17,0)+IF(AND(V1583&gt;=75,V1583&lt;=175,W1583&gt;=110),0.12,0)+IF(AND(V1583&gt;175,W1583&lt;25),0.3,0)+IF(AND(V1583&gt;175,W1583&gt;=25,W1583&lt;55),0.23,0)+IF(AND(V1583&gt;175,W1583&gt;=55,W1583&lt;95),0.17,0)+IF(AND(V1583&gt;175,W1583&gt;=95),0.12,0),
IF(AF1583="DoEVni",IF(AND(V1583&lt;20,W1583&lt;55),0.3,0)+IF(AND(V1583&lt;20,W1583&gt;=55,W1583&lt;105),0.23,0)+IF(AND(V1583&lt;20,W1583&gt;=105),0.17,0)+IF(AND(V1583&gt;=20,V1583&lt;40,W1583&lt;45),0.3,0)+IF(AND(V1583&gt;=20,V1583&lt;40,W1583&gt;=45,W1583&lt;95),0.23,0)+IF(AND(V1583&gt;=20,V1583&lt;40,W1583&gt;=95,W1583&lt;=200),0.17,0)+IF(AND(V1583&gt;=20,V1583&lt;40,W1583&gt;=200),0.12,0)+IF(AND(V1583&gt;=40,V1583&lt;75,W1583&lt;35),0.3,0)+IF(AND(V1583&gt;=40,V1583&lt;75,W1583&gt;=35,W1583&lt;75),0.23,0)+IF(AND(V1583&gt;=40,V1583&lt;75,W1583&gt;=75,W1583&lt;120),0.17,0)+IF(AND(V1583&gt;=40,V1583&lt;75,W1583&gt;=120),0.12,0)+IF(AND(V1583&gt;=75,V1583&lt;175,W1583&lt;35),0.3,0)+IF(AND(V1583&gt;=75,V1583&lt;=175,W1583&gt;=35,W1583&lt;65),0.23,0)+IF(AND(V1583&gt;=75,V1583&lt;=175,W1583&gt;=65,W1583&lt;110),0.17,0)+IF(AND(V1583&gt;=75,V1583&lt;=175,W1583&gt;=110),0.12,0)+IF(AND(V1583&gt;175,W1583&lt;25),0.3,0)+IF(AND(V1583&gt;175,W1583&gt;=25,W1583&lt;55),0.23,0)+IF(AND(V1583&gt;175,W1583&gt;=55,W1583&lt;95),0.17,0)+IF(AND(V1583&gt;175,W1583&gt;=95),0.12,0),
IF(AF1583="DoEVLo",IF(AND(V1583&lt;20,W1583&lt;55),0.25,0)+IF(AND(V1583&lt;20,W1583&gt;=55,W1583&lt;105),0.2,0)+IF(AND(V1583&lt;20,W1583&gt;=105),0.15,0)+IF(AND(V1583&gt;=20,V1583&lt;40,W1583&lt;45),0.25,0)+IF(AND(V1583&gt;=20,V1583&lt;40,W1583&gt;=45,W1583&lt;95),0.2,0)+IF(AND(V1583&gt;=20,V1583&lt;40,W1583&gt;=95),0.15,0)+IF(AND(V1583&gt;=40,V1583&lt;75,W1583&lt;35),0.25,0)+IF(AND(V1583&gt;=40,V1583&lt;75,W1583&gt;=35,W1583&lt;75),0.2,0)+IF(AND(V1583&gt;=40,V1583&lt;75,W1583&gt;=75,W1583&lt;120),0.15,0)+IF(AND(V1583&gt;=40,V1583&lt;75,W1583&gt;=120),0.1,0)+IF(AND(V1583&gt;=75,V1583&lt;175,W1583&lt;35),0.25,0)+IF(AND(V1583&gt;=75,V1583&lt;=175,W1583&gt;=35,W1583&lt;65),0.2,0)+IF(AND(V1583&gt;=75,V1583&lt;=175,W1583&gt;=65,W1583&lt;110),0.15,0)+IF(AND(V1583&gt;=75,V1583&lt;=175,W1583&gt;=110),0.1,0)+IF(AND(V1583&gt;175,W1583&lt;25),0.25,0)+IF(AND(V1583&gt;175,W1583&gt;=25,W1583&lt;55),0.2,0)+IF(AND(V1583&gt;175,W1583&gt;=55,W1583&lt;95),0.15,0)+IF(AND(V1583&gt;175,W1583&gt;=95),0.1,0))))))))))))))))))))</f>
        <v>0.1125</v>
      </c>
      <c r="Y1583" s="30">
        <f>IF(AG1583="None",0,IF(AG1583="Fix5",0.05, IF(AG1583="Fix6.25",0.0625,IF(AG1583="Fix3.75",0.0375, IF(AG1583="Fix11",0.11, IF(AG1583="Fix10",0.1,IF(AG1583="Fix3",0.03,0)))))))</f>
        <v>3.7499999999999999E-2</v>
      </c>
      <c r="Z1583" s="35">
        <f>IF(AND(AD1583="EUR", AE1583 = "USD"), T1583*U1583-AA1583-AB1583, T1583-AA1583-AB1583)</f>
        <v>-2805.85</v>
      </c>
      <c r="AA1583" s="29">
        <f>IF(AND(AD1583="EUR", F1583="Without EV deal", AE1583="USD"), (T1583*X1583)*U1583,
IF(AND(AD1583="EUR", F1583="Without EV deal", AE1583="EUR"), (T1583*X1583),
IF(AND(AD1583="EUR",AE1583="USD"), (T1583*X1583)*U1583,
T1583*X1583)))</f>
        <v>-371.36250000000001</v>
      </c>
      <c r="AB1583" s="36">
        <f>IF(AND(AD1583="EUR", F1583="Without EV deal", AE1583="USD"), (T1583*Y1583)*U1583,
IF(AND(AD1583="EUR", F1583="Without EV deal", AE1583="EUR"), (T1583*Y1583),
IF(AND(AD1583="EUR",AE1583="USD"), (T1583*Y1583)*U1583,
T1583*Y1583)))</f>
        <v>-123.78749999999999</v>
      </c>
      <c r="AC1583" s="37" t="b">
        <v>0</v>
      </c>
      <c r="AD1583" s="82" t="str">
        <f>IF(OR(H1583="€0.25 Flash",
H1583="€0.25(nitro) new",
H1583="€1",
H1583="€2",
H1583="€2 (bf 01.08)",
H1583="€5",
H1583="€5 (1M)",
H1583="€5 (bf 01.08)",
H1583="€5 (bf 05.05)",
H1583="€5 Nitro",
H1583="€5(wx) new",
H1583="€10",
H1583="€10 (1M)",
H1583="€10 (bf 01.08)",
H1583="€10 (bf 05.05)",
H1583="€10 (MP)",
H1583="€10 (old)",
H1583="€10 Nitro (bf 05.05)",
H1583="€10 Nitro (old)",
H1583="€10(wx) new",
H1583="€20",
H1583="€25",
H1583="€25 (bf 01.08)",
H1583="€25 (bf 05.05)",
H1583="€25 (MP)",
H1583="€25 (old)",
H1583="€25 Nitro",
H1583="€25 Nitro (bf 01.08)",
H1583="€25 Nitro (bf 05.05)",
H1583="€25(nitro) new",
H1583="€25(wx) new",
H1583="€50",
H1583="€50 (bf 01.08)",
H1583="€50 (bf 05.05)",
H1583="€50 (old)",
H1583="€50 Nitro",
H1583="€50 Nitro (bf 01.08)",
H1583="€50 Nitro (bf 05.05)",
H1583="€50(wx) new",
H1583="€100",
H1583="€100 (old)",
H1583="€100 Nitro",
H1583="€100 Nitro (old)",
H1583="€200",
H1583="€250",
H1583="€250 Nitro",
H1583="€500",
H1583="€500 Nitro"),"EUR", "USD")</f>
        <v>USD</v>
      </c>
      <c r="AE1583" s="83" t="s">
        <v>38</v>
      </c>
      <c r="AF1583" s="83" t="str">
        <f t="array" ref="AF1583">INDEX('Deal Info'!D:D, MATCH(A1583,'Deal Info'!A:A, 0))</f>
        <v>Fix11.25</v>
      </c>
      <c r="AG1583" s="84" t="str">
        <f t="array" ref="AG1583">INDEX('Deal Info'!G:G, MATCH(A1583,'Deal Info'!A:A, 0))</f>
        <v>Fix3.75</v>
      </c>
    </row>
    <row r="1584" spans="1:33" ht="14.25" hidden="1" x14ac:dyDescent="0.2">
      <c r="A1584" s="18" t="str">
        <f t="array" ref="A1584">IF(G1584='Room Info'!$B$1, INDEX('Room Info'!$A$2:$A2446, MATCH(B1584,'Room Info'!$B$2:$B2446, 0)),IF(G1584='Room Info'!$C$1, INDEX('Room Info'!$A$2:$A2446, MATCH(B1584,'Room Info'!$C$2:$C2446, 0)),IF(G1584='Room Info'!$D$1, INDEX('Room Info'!$A$2:$A2446, MATCH(B1584,'Room Info'!$D$2:$D2446, 0)),IF(G1584='Room Info'!$E$1, INDEX('Room Info'!$A$2:$A2446, MATCH(B1584,'Room Info'!$E$2:$E2446, 0)),IF(G1584='Room Info'!$F$1, INDEX('Room Info'!$A$2:$A2446, MATCH(B1584,'Room Info'!$F$2:$F2446, 0)),IF(G1584='Room Info'!$H$1, INDEX('Room Info'!$A$2:$A2446, MATCH(B1584,'Room Info'!$H$2:$H2446, 0)),IF(G1584='Room Info'!$G$1, INDEX('Room Info'!$A$2:$A2446, MATCH(B1584,'Room Info'!$G$2:$G2446, 0)))))))))</f>
        <v>fig6</v>
      </c>
      <c r="B1584" s="45" t="s">
        <v>172</v>
      </c>
      <c r="C1584" s="46">
        <v>44978</v>
      </c>
      <c r="D1584" s="46">
        <v>45005</v>
      </c>
      <c r="E1584" s="90">
        <v>44986</v>
      </c>
      <c r="F1584" s="48" t="s">
        <v>34</v>
      </c>
      <c r="G1584" s="65" t="s">
        <v>35</v>
      </c>
      <c r="H1584" s="91" t="s">
        <v>149</v>
      </c>
      <c r="I1584" s="54" t="s">
        <v>44</v>
      </c>
      <c r="J1584" s="39">
        <v>500</v>
      </c>
      <c r="K1584" s="51">
        <v>133</v>
      </c>
      <c r="L1584" s="52">
        <v>-11500</v>
      </c>
      <c r="M1584" s="62"/>
      <c r="N1584" s="28">
        <f>K1584*J1584</f>
        <v>66500</v>
      </c>
      <c r="O1584" s="54">
        <v>-2265</v>
      </c>
      <c r="P1584" s="29">
        <v>-17.030075190000002</v>
      </c>
      <c r="Q1584" s="55"/>
      <c r="R1584" s="31">
        <f>M1584+Q1584*J1584*K1584*0.07</f>
        <v>0</v>
      </c>
      <c r="S1584" s="66"/>
      <c r="T1584" s="32">
        <f>IF(AND(AD1584="EUR", F1584="Without EV deal"), R1584 + L1584,
IF(AND(AD1584="USD", F1584="Without EV deal"), R1584 + L1584,
IF(AND(AD1584="EUR", F1584="Steel Phoenix"), R1584 + S1584/U1584,
R1584 + S1584)))</f>
        <v>0</v>
      </c>
      <c r="U1584" s="57">
        <v>1.071</v>
      </c>
      <c r="V1584" s="58"/>
      <c r="W1584" s="58"/>
      <c r="X1584" s="30">
        <f>IF(AF1584="DoEV",IF(AND(V1584&lt;20,W1584&lt;55),0.3,0)+IF(AND(V1584&lt;20,W1584&gt;=55,W1584&lt;105),0.23,0)+IF(AND(V1584&lt;20,W1584&gt;=105),0.17,0)+IF(AND(V1584&gt;=20,V1584&lt;40,W1584&lt;45),0.3,0)+IF(AND(V1584&gt;=20,V1584&lt;40,W1584&gt;=45,W1584&lt;95),0.23,0)+IF(AND(V1584&gt;=20,V1584&lt;40,W1584&gt;=95),0.17,0)+IF(AND(V1584&gt;=40,V1584&lt;75,W1584&lt;35),0.3,0)+IF(AND(V1584&gt;=40,V1584&lt;75,W1584&gt;=35,W1584&lt;75),0.23,0)+IF(AND(V1584&gt;=40,V1584&lt;75,W1584&gt;=75,W1584&lt;120),0.17,0)+IF(AND(V1584&gt;=40,V1584&lt;75,W1584&gt;=120),0.12,0)+IF(AND(V1584&gt;=75,V1584&lt;175,W1584&lt;35),0.3,0)+IF(AND(V1584&gt;=75,V1584&lt;=175,W1584&gt;=35,W1584&lt;65),0.23,0)+IF(AND(V1584&gt;=75,V1584&lt;=175,W1584&gt;=65,W1584&lt;110),0.17,0)+IF(AND(V1584&gt;=75,V1584&lt;=175,W1584&gt;=110),0.12,0)+IF(AND(V1584&gt;175,W1584&lt;25),0.3,0)+IF(AND(V1584&gt;175,W1584&gt;=25,W1584&lt;55),0.23,0)+IF(AND(V1584&gt;175,W1584&gt;=55,W1584&lt;95),0.17,0)+IF(AND(V1584&gt;175,W1584&gt;=95),0.12,0),
IF(AF1584="Fix15",0.15,
IF(AF1584="Fix5",0.05,
IF(AF1584="Fix18.75",0.1875,
IF(AF1584="Fix11.25",0.1125,
IF(AF1584="Fix10",0.1,
IF(AF1584="Fix9",0.09,
IF(AF1584="Fix12",0.12,
IF(AF1584="Fix19",0.19,
IF(AF1584="DoEV2017",IF(AND(W1584&lt;74),0.2,0)+IF(AND(W1584&gt;=74),0.17,0),
IF(AF1584="SF",IF(AND(V1584&lt;20,W1584&lt;89),0.3,0)+IF(AND(V1584&lt;20,W1584&gt;=89),0.25,0)+IF(AND(V1584&gt;=20,V1584&lt;40,W1584&lt;74),0.3,0)+IF(AND(V1584&gt;=20,V1584&lt;40,W1584&gt;=75),0.22,0)+IF(AND(V1584&gt;=40,V1584&lt;75,W1584&lt;75),0.26,0)+IF(AND(V1584&gt;=40,V1584&lt;75,W1584&gt;=75),0.22,0)+IF(V1584&gt;=75,0.22,0),
IF(AF1584="DoEVold",IF(AND(V1584&lt;40,W1584&lt;35),0.35,0)+IF(AND(V1584&lt;40,W1584&gt;=35,W1584&lt;75),0.25,0)+IF(AND(V1584&lt;40,W1584&gt;=75),0.17,0)+IF(AND(V1584&gt;=40,V1584&lt;75,W1584&lt;25),0.35,0)+IF(AND(V1584&gt;=40,V1584&lt;75,W1584&gt;=25,W1584&lt;65),0.25,0)+IF(AND(V1584&gt;=40,V1584&lt;75,W1584&gt;=65,W1584&lt;100),0.17,0)+IF(AND(V1584&gt;=40,V1584&lt;75,W1584&gt;=100),0.1,0)+IF(AND(V1584&gt;=75,W1584&lt;25),0.35,0)+IF(AND(V1584&gt;=75,W1584&gt;=25,W1584&lt;60),0.25,0)+IF(AND(V1584&gt;=75,W1584&gt;=60,W1584&lt;95),0.17,0)+IF(AND(V1584&gt;=75,W1584&gt;=95),0.1,0),
IF(AF1584="DoEVold15",IF(AND(V1584&lt;=40,W1584&lt;35),0.35,0)+IF(AND(V1584&lt;=40,W1584&gt;=35,W1584&lt;75),0.25,0)+IF(AND(V1584&lt;=40,W1584&gt;=75,W1584&lt;120),0.17,0)+IF(AND(V1584&lt;=40,W1584&gt;=120),0.15,0)+IF(AND(V1584&gt;40,V1584&lt;75,W1584&lt;25),0.35,0)+IF(AND(V1584&gt;=40,V1584&lt;75,W1584&gt;=25,W1584&lt;65),0.25,0)+IF(AND(V1584&gt;=40,V1584&lt;75,W1584&gt;=65,W1584&lt;100),0.17,0)+IF(AND(V1584&gt;=40,V1584&lt;75,W1584&gt;=100),0.1,0)+IF(AND(V1584&gt;=75,W1584&lt;25),0.35,0)+IF(AND(V1584&gt;=75,W1584&gt;=25,W1584&lt;60),0.25,0)+IF(AND(V1584&gt;=75,W1584&gt;=60,W1584&lt;95),0.17,0)+IF(AND(V1584&gt;=75,W1584&gt;=95),0.1,0),
IF(AF1584="DoEVba",IF(AND(V1584&lt;20,W1584&lt;105),0.2,0)+IF(AND(V1584&lt;20,W1584&gt;=105),0.15,0)+IF(AND(V1584&gt;=20,V1584&lt;40,W1584&lt;95),0.2,0)+IF(AND(V1584&gt;=20,V1584&lt;40,W1584&gt;=95,W1584&lt;150),0.15,0)+IF(AND(V1584&gt;=20,V1584&lt;40,W1584&gt;=150),0.12,0)+IF(AND(V1584&gt;=40,V1584&lt;75,W1584&lt;75),0.2,0)+IF(AND(V1584&gt;=40,V1584&lt;75,W1584&gt;=75,W1584&lt;120),0.15,0)+IF(AND(V1584&gt;=40,V1584&lt;75,W1584&gt;=120),0.12,0)+IF(AND(V1584&gt;=75,V1584&lt;175,W1584&lt;65),0.2,0)+IF(AND(V1584&gt;=75,V1584&lt;175,W1584&gt;=65,W1584&lt;110),0.15,0)+IF(AND(V1584&gt;=75,V1584&lt;175,W1584&gt;=110),0.12,0)+IF(AND(V1584&gt;=175,W1584&lt;55),0.2,0)+IF(AND(V1584&gt;=175,W1584&gt;=55,W1584&lt;95),0.15,0)+IF(AND(V1584&gt;=175,W1584&gt;=95),0.12,0),
IF(AF1584="DoEVku",IF(AND(V1584&lt;20,W1584&lt;55),0.23,0)+IF(AND(V1584&lt;20,W1584&gt;=55,W1584&lt;105),0.2,0)+IF(AND(V1584&lt;20,W1584&gt;=105),0.17,0)+IF(AND(V1584&gt;=20,V1584&lt;40,W1584&lt;45),0.23,0)+IF(AND(V1584&gt;=20,V1584&lt;40,W1584&gt;=45,W1584&lt;95),0.2,0)+IF(AND(V1584&gt;=20,V1584&lt;40,W1584&gt;=95,W1584&lt;=150),0.17,0)+IF(AND(V1584&gt;=20,V1584&lt;40,W1584&gt;=150),0.12,0)+IF(AND(V1584&gt;=40,V1584&lt;75,W1584&lt;35),0.23,0)+IF(AND(V1584&gt;=40,V1584&lt;75,W1584&gt;=35,W1584&lt;75),0.2,0)+IF(AND(V1584&gt;=40,V1584&lt;75,W1584&gt;=75,W1584&lt;120),0.17,0)+IF(AND(V1584&gt;=40,V1584&lt;75,W1584&gt;=120),0.12,0)+IF(AND(V1584&gt;=75,V1584&lt;175,W1584&lt;35),0.23,0)+IF(AND(V1584&gt;=75,V1584&lt;=175,W1584&gt;=35,W1584&lt;65),0.2,0)+IF(AND(V1584&gt;=75,V1584&lt;=175,W1584&gt;=65,W1584&lt;110),0.17,0)+IF(AND(V1584&gt;=75,V1584&lt;=175,W1584&gt;=110),0.12,0)+IF(AND(V1584&gt;175,W1584&lt;25),0.23,0)+IF(AND(V1584&gt;175,W1584&gt;=25,W1584&lt;55),0.2,0)+IF(AND(V1584&gt;175,W1584&gt;=55,W1584&lt;95),0.17,0)+IF(AND(V1584&gt;175,W1584&gt;=95),0.12,0),
IF(AF1584="DoEVs1",IF(AND(V1584&lt;20,W1584&lt;55),0.3,0)+IF(AND(V1584&lt;20,W1584&gt;=55,W1584&lt;105),0.23,0)+IF(AND(V1584&lt;20,W1584&gt;=105),0.17,0)+IF(AND(V1584&gt;=20,V1584&lt;40,W1584&lt;45),0.3,0)+IF(AND(V1584&gt;=20,V1584&lt;40,W1584&gt;=45,W1584&lt;95),0.23,0)+IF(AND(V1584&gt;=20,V1584&lt;40,W1584&gt;=95,W1584&lt;=150),0.17,0)+IF(AND(V1584&gt;=20,V1584&lt;40,W1584&gt;=150),0.12,0)+IF(AND(V1584&gt;=40,V1584&lt;75,W1584&lt;35),0.3,0)+IF(AND(V1584&gt;=40,V1584&lt;75,W1584&gt;=35,W1584&lt;75),0.23,0)+IF(AND(V1584&gt;=40,V1584&lt;75,W1584&gt;=75,W1584&lt;120),0.17,0)+IF(AND(V1584&gt;=40,V1584&lt;75,W1584&gt;=120),0.12,0)+IF(AND(V1584&gt;=75,V1584&lt;175,W1584&lt;35),0.3,0)+IF(AND(V1584&gt;=75,V1584&lt;=175,W1584&gt;=35,W1584&lt;65),0.23,0)+IF(AND(V1584&gt;=75,V1584&lt;=175,W1584&gt;=65,W1584&lt;110),0.17,0)+IF(AND(V1584&gt;=75,V1584&lt;=175,W1584&gt;=110),0.12,0)+IF(AND(V1584&gt;175,W1584&lt;25),0.3,0)+IF(AND(V1584&gt;175,W1584&gt;=25,W1584&lt;55),0.23,0)+IF(AND(V1584&gt;175,W1584&gt;=55,W1584&lt;95),0.17,0)+IF(AND(V1584&gt;175,W1584&gt;=95),0.12,0),
IF(AF1584="DoEVsu",IF(AND(V1584&lt;20,W1584&lt;55),0.3,0)+IF(AND(V1584&lt;20,W1584&gt;=55,W1584&lt;105),0.23,0)+IF(AND(V1584&lt;20,W1584&gt;=105),0.17,0)+IF(AND(V1584&gt;=20,V1584&lt;40,W1584&lt;45),0.3,0)+IF(AND(V1584&gt;=20,V1584&lt;40,W1584&gt;=45,W1584&lt;95),0.23,0)+IF(AND(V1584&gt;=20,V1584&lt;40,W1584&gt;=95,W1584&lt;=250),0.17,0)+IF(AND(V1584&gt;=20,V1584&lt;40,W1584&gt;=250),0.12,0)+IF(AND(V1584&gt;=40,V1584&lt;75,W1584&lt;35),0.3,0)+IF(AND(V1584&gt;=40,V1584&lt;75,W1584&gt;=35,W1584&lt;75),0.23,0)+IF(AND(V1584&gt;=40,V1584&lt;75,W1584&gt;=75,W1584&lt;120),0.17,0)+IF(AND(V1584&gt;=40,V1584&lt;75,W1584&gt;=120),0.12,0)+IF(AND(V1584&gt;=75,V1584&lt;175,W1584&lt;35),0.3,0)+IF(AND(V1584&gt;=75,V1584&lt;=175,W1584&gt;=35,W1584&lt;65),0.23,0)+IF(AND(V1584&gt;=75,V1584&lt;=175,W1584&gt;=65,W1584&lt;110),0.17,0)+IF(AND(V1584&gt;=75,V1584&lt;=175,W1584&gt;=110),0.12,0)+IF(AND(V1584&gt;175,W1584&lt;25),0.3,0)+IF(AND(V1584&gt;175,W1584&gt;=25,W1584&lt;55),0.23,0)+IF(AND(V1584&gt;175,W1584&gt;=55,W1584&lt;95),0.17,0)+IF(AND(V1584&gt;175,W1584&gt;=95),0.12,0),
IF(AF1584="DoEVni",IF(AND(V1584&lt;20,W1584&lt;55),0.3,0)+IF(AND(V1584&lt;20,W1584&gt;=55,W1584&lt;105),0.23,0)+IF(AND(V1584&lt;20,W1584&gt;=105),0.17,0)+IF(AND(V1584&gt;=20,V1584&lt;40,W1584&lt;45),0.3,0)+IF(AND(V1584&gt;=20,V1584&lt;40,W1584&gt;=45,W1584&lt;95),0.23,0)+IF(AND(V1584&gt;=20,V1584&lt;40,W1584&gt;=95,W1584&lt;=200),0.17,0)+IF(AND(V1584&gt;=20,V1584&lt;40,W1584&gt;=200),0.12,0)+IF(AND(V1584&gt;=40,V1584&lt;75,W1584&lt;35),0.3,0)+IF(AND(V1584&gt;=40,V1584&lt;75,W1584&gt;=35,W1584&lt;75),0.23,0)+IF(AND(V1584&gt;=40,V1584&lt;75,W1584&gt;=75,W1584&lt;120),0.17,0)+IF(AND(V1584&gt;=40,V1584&lt;75,W1584&gt;=120),0.12,0)+IF(AND(V1584&gt;=75,V1584&lt;175,W1584&lt;35),0.3,0)+IF(AND(V1584&gt;=75,V1584&lt;=175,W1584&gt;=35,W1584&lt;65),0.23,0)+IF(AND(V1584&gt;=75,V1584&lt;=175,W1584&gt;=65,W1584&lt;110),0.17,0)+IF(AND(V1584&gt;=75,V1584&lt;=175,W1584&gt;=110),0.12,0)+IF(AND(V1584&gt;175,W1584&lt;25),0.3,0)+IF(AND(V1584&gt;175,W1584&gt;=25,W1584&lt;55),0.23,0)+IF(AND(V1584&gt;175,W1584&gt;=55,W1584&lt;95),0.17,0)+IF(AND(V1584&gt;175,W1584&gt;=95),0.12,0),
IF(AF1584="DoEVLo",IF(AND(V1584&lt;20,W1584&lt;55),0.25,0)+IF(AND(V1584&lt;20,W1584&gt;=55,W1584&lt;105),0.2,0)+IF(AND(V1584&lt;20,W1584&gt;=105),0.15,0)+IF(AND(V1584&gt;=20,V1584&lt;40,W1584&lt;45),0.25,0)+IF(AND(V1584&gt;=20,V1584&lt;40,W1584&gt;=45,W1584&lt;95),0.2,0)+IF(AND(V1584&gt;=20,V1584&lt;40,W1584&gt;=95),0.15,0)+IF(AND(V1584&gt;=40,V1584&lt;75,W1584&lt;35),0.25,0)+IF(AND(V1584&gt;=40,V1584&lt;75,W1584&gt;=35,W1584&lt;75),0.2,0)+IF(AND(V1584&gt;=40,V1584&lt;75,W1584&gt;=75,W1584&lt;120),0.15,0)+IF(AND(V1584&gt;=40,V1584&lt;75,W1584&gt;=120),0.1,0)+IF(AND(V1584&gt;=75,V1584&lt;175,W1584&lt;35),0.25,0)+IF(AND(V1584&gt;=75,V1584&lt;=175,W1584&gt;=35,W1584&lt;65),0.2,0)+IF(AND(V1584&gt;=75,V1584&lt;=175,W1584&gt;=65,W1584&lt;110),0.15,0)+IF(AND(V1584&gt;=75,V1584&lt;=175,W1584&gt;=110),0.1,0)+IF(AND(V1584&gt;175,W1584&lt;25),0.25,0)+IF(AND(V1584&gt;175,W1584&gt;=25,W1584&lt;55),0.2,0)+IF(AND(V1584&gt;175,W1584&gt;=55,W1584&lt;95),0.15,0)+IF(AND(V1584&gt;175,W1584&gt;=95),0.1,0))))))))))))))))))))</f>
        <v>0.1125</v>
      </c>
      <c r="Y1584" s="30">
        <f>IF(AG1584="None",0,IF(AG1584="Fix5",0.05, IF(AG1584="Fix6.25",0.0625,IF(AG1584="Fix3.75",0.0375, IF(AG1584="Fix11",0.11, IF(AG1584="Fix10",0.1,IF(AG1584="Fix3",0.03,0)))))))</f>
        <v>3.7499999999999999E-2</v>
      </c>
      <c r="Z1584" s="35">
        <f>IF(AND(AD1584="EUR", AE1584 = "USD"), T1584*U1584-AA1584-AB1584, T1584-AA1584-AB1584)</f>
        <v>0</v>
      </c>
      <c r="AA1584" s="29">
        <f>IF(AND(AD1584="EUR", F1584="Without EV deal", AE1584="USD"), (T1584*X1584)*U1584,
IF(AND(AD1584="EUR", F1584="Without EV deal", AE1584="EUR"), (T1584*X1584),
IF(AND(AD1584="EUR",AE1584="USD"), (T1584*X1584)*U1584,
T1584*X1584)))</f>
        <v>0</v>
      </c>
      <c r="AB1584" s="36">
        <f>IF(AND(AD1584="EUR", F1584="Without EV deal", AE1584="USD"), (T1584*Y1584)*U1584,
IF(AND(AD1584="EUR", F1584="Without EV deal", AE1584="EUR"), (T1584*Y1584),
IF(AND(AD1584="EUR",AE1584="USD"), (T1584*Y1584)*U1584,
T1584*Y1584)))</f>
        <v>0</v>
      </c>
      <c r="AC1584" s="37" t="b">
        <v>0</v>
      </c>
      <c r="AD1584" s="82" t="str">
        <f>IF(OR(H1584="€0.25 Flash",
H1584="€0.25(nitro) new",
H1584="€1",
H1584="€2",
H1584="€2 (bf 01.08)",
H1584="€5",
H1584="€5 (1M)",
H1584="€5 (bf 01.08)",
H1584="€5 (bf 05.05)",
H1584="€5 Nitro",
H1584="€5(wx) new",
H1584="€10",
H1584="€10 (1M)",
H1584="€10 (bf 01.08)",
H1584="€10 (bf 05.05)",
H1584="€10 (MP)",
H1584="€10 (old)",
H1584="€10 Nitro (bf 05.05)",
H1584="€10 Nitro (old)",
H1584="€10(wx) new",
H1584="€20",
H1584="€25",
H1584="€25 (bf 01.08)",
H1584="€25 (bf 05.05)",
H1584="€25 (MP)",
H1584="€25 (old)",
H1584="€25 Nitro",
H1584="€25 Nitro (bf 01.08)",
H1584="€25 Nitro (bf 05.05)",
H1584="€25(nitro) new",
H1584="€25(wx) new",
H1584="€50",
H1584="€50 (bf 01.08)",
H1584="€50 (bf 05.05)",
H1584="€50 (old)",
H1584="€50 Nitro",
H1584="€50 Nitro (bf 01.08)",
H1584="€50 Nitro (bf 05.05)",
H1584="€50(wx) new",
H1584="€100",
H1584="€100 (old)",
H1584="€100 Nitro",
H1584="€100 Nitro (old)",
H1584="€200",
H1584="€250",
H1584="€250 Nitro",
H1584="€500",
H1584="€500 Nitro"),"EUR", "USD")</f>
        <v>USD</v>
      </c>
      <c r="AE1584" s="83" t="s">
        <v>38</v>
      </c>
      <c r="AF1584" s="83" t="str">
        <f t="array" ref="AF1584">INDEX('Deal Info'!D:D, MATCH(A1584,'Deal Info'!A:A, 0))</f>
        <v>Fix11.25</v>
      </c>
      <c r="AG1584" s="84" t="str">
        <f t="array" ref="AG1584">INDEX('Deal Info'!G:G, MATCH(A1584,'Deal Info'!A:A, 0))</f>
        <v>Fix3.75</v>
      </c>
    </row>
    <row r="1585" spans="1:33" ht="14.25" hidden="1" x14ac:dyDescent="0.2">
      <c r="A1585" s="18" t="str">
        <f t="array" ref="A1585">IF(G1585='Room Info'!$B$1, INDEX('Room Info'!$A$2:$A2446, MATCH(B1585,'Room Info'!$B$2:$B2446, 0)),IF(G1585='Room Info'!$C$1, INDEX('Room Info'!$A$2:$A2446, MATCH(B1585,'Room Info'!$C$2:$C2446, 0)),IF(G1585='Room Info'!$D$1, INDEX('Room Info'!$A$2:$A2446, MATCH(B1585,'Room Info'!$D$2:$D2446, 0)),IF(G1585='Room Info'!$E$1, INDEX('Room Info'!$A$2:$A2446, MATCH(B1585,'Room Info'!$E$2:$E2446, 0)),IF(G1585='Room Info'!$F$1, INDEX('Room Info'!$A$2:$A2446, MATCH(B1585,'Room Info'!$F$2:$F2446, 0)),IF(G1585='Room Info'!$H$1, INDEX('Room Info'!$A$2:$A2446, MATCH(B1585,'Room Info'!$H$2:$H2446, 0)),IF(G1585='Room Info'!$G$1, INDEX('Room Info'!$A$2:$A2446, MATCH(B1585,'Room Info'!$G$2:$G2446, 0)))))))))</f>
        <v>fig6</v>
      </c>
      <c r="B1585" s="45" t="s">
        <v>172</v>
      </c>
      <c r="C1585" s="46">
        <v>44978</v>
      </c>
      <c r="D1585" s="46">
        <v>45005</v>
      </c>
      <c r="E1585" s="90">
        <v>44986</v>
      </c>
      <c r="F1585" s="48" t="s">
        <v>34</v>
      </c>
      <c r="G1585" s="65" t="s">
        <v>35</v>
      </c>
      <c r="H1585" s="91" t="s">
        <v>143</v>
      </c>
      <c r="I1585" s="100" t="s">
        <v>37</v>
      </c>
      <c r="J1585" s="39">
        <v>1000</v>
      </c>
      <c r="K1585" s="75">
        <v>32</v>
      </c>
      <c r="L1585" s="72">
        <v>2000</v>
      </c>
      <c r="M1585" s="79"/>
      <c r="N1585" s="28">
        <f>K1585*J1585</f>
        <v>32000</v>
      </c>
      <c r="O1585" s="45">
        <v>4406</v>
      </c>
      <c r="P1585" s="29">
        <v>137.6875</v>
      </c>
      <c r="Q1585" s="55"/>
      <c r="R1585" s="31">
        <f>M1585+Q1585*J1585*K1585*0.07</f>
        <v>0</v>
      </c>
      <c r="S1585" s="97"/>
      <c r="T1585" s="32">
        <f>IF(AND(AD1585="EUR", F1585="Without EV deal"), R1585 + L1585,
IF(AND(AD1585="USD", F1585="Without EV deal"), R1585 + L1585,
IF(AND(AD1585="EUR", F1585="Steel Phoenix"), R1585 + S1585/U1585,
R1585 + S1585)))</f>
        <v>0</v>
      </c>
      <c r="U1585" s="57">
        <v>1.071</v>
      </c>
      <c r="V1585" s="58"/>
      <c r="W1585" s="58"/>
      <c r="X1585" s="30">
        <f>IF(AF1585="DoEV",IF(AND(V1585&lt;20,W1585&lt;55),0.3,0)+IF(AND(V1585&lt;20,W1585&gt;=55,W1585&lt;105),0.23,0)+IF(AND(V1585&lt;20,W1585&gt;=105),0.17,0)+IF(AND(V1585&gt;=20,V1585&lt;40,W1585&lt;45),0.3,0)+IF(AND(V1585&gt;=20,V1585&lt;40,W1585&gt;=45,W1585&lt;95),0.23,0)+IF(AND(V1585&gt;=20,V1585&lt;40,W1585&gt;=95),0.17,0)+IF(AND(V1585&gt;=40,V1585&lt;75,W1585&lt;35),0.3,0)+IF(AND(V1585&gt;=40,V1585&lt;75,W1585&gt;=35,W1585&lt;75),0.23,0)+IF(AND(V1585&gt;=40,V1585&lt;75,W1585&gt;=75,W1585&lt;120),0.17,0)+IF(AND(V1585&gt;=40,V1585&lt;75,W1585&gt;=120),0.12,0)+IF(AND(V1585&gt;=75,V1585&lt;175,W1585&lt;35),0.3,0)+IF(AND(V1585&gt;=75,V1585&lt;=175,W1585&gt;=35,W1585&lt;65),0.23,0)+IF(AND(V1585&gt;=75,V1585&lt;=175,W1585&gt;=65,W1585&lt;110),0.17,0)+IF(AND(V1585&gt;=75,V1585&lt;=175,W1585&gt;=110),0.12,0)+IF(AND(V1585&gt;175,W1585&lt;25),0.3,0)+IF(AND(V1585&gt;175,W1585&gt;=25,W1585&lt;55),0.23,0)+IF(AND(V1585&gt;175,W1585&gt;=55,W1585&lt;95),0.17,0)+IF(AND(V1585&gt;175,W1585&gt;=95),0.12,0),
IF(AF1585="Fix15",0.15,
IF(AF1585="Fix5",0.05,
IF(AF1585="Fix18.75",0.1875,
IF(AF1585="Fix11.25",0.1125,
IF(AF1585="Fix10",0.1,
IF(AF1585="Fix9",0.09,
IF(AF1585="Fix12",0.12,
IF(AF1585="Fix19",0.19,
IF(AF1585="DoEV2017",IF(AND(W1585&lt;74),0.2,0)+IF(AND(W1585&gt;=74),0.17,0),
IF(AF1585="SF",IF(AND(V1585&lt;20,W1585&lt;89),0.3,0)+IF(AND(V1585&lt;20,W1585&gt;=89),0.25,0)+IF(AND(V1585&gt;=20,V1585&lt;40,W1585&lt;74),0.3,0)+IF(AND(V1585&gt;=20,V1585&lt;40,W1585&gt;=75),0.22,0)+IF(AND(V1585&gt;=40,V1585&lt;75,W1585&lt;75),0.26,0)+IF(AND(V1585&gt;=40,V1585&lt;75,W1585&gt;=75),0.22,0)+IF(V1585&gt;=75,0.22,0),
IF(AF1585="DoEVold",IF(AND(V1585&lt;40,W1585&lt;35),0.35,0)+IF(AND(V1585&lt;40,W1585&gt;=35,W1585&lt;75),0.25,0)+IF(AND(V1585&lt;40,W1585&gt;=75),0.17,0)+IF(AND(V1585&gt;=40,V1585&lt;75,W1585&lt;25),0.35,0)+IF(AND(V1585&gt;=40,V1585&lt;75,W1585&gt;=25,W1585&lt;65),0.25,0)+IF(AND(V1585&gt;=40,V1585&lt;75,W1585&gt;=65,W1585&lt;100),0.17,0)+IF(AND(V1585&gt;=40,V1585&lt;75,W1585&gt;=100),0.1,0)+IF(AND(V1585&gt;=75,W1585&lt;25),0.35,0)+IF(AND(V1585&gt;=75,W1585&gt;=25,W1585&lt;60),0.25,0)+IF(AND(V1585&gt;=75,W1585&gt;=60,W1585&lt;95),0.17,0)+IF(AND(V1585&gt;=75,W1585&gt;=95),0.1,0),
IF(AF1585="DoEVold15",IF(AND(V1585&lt;=40,W1585&lt;35),0.35,0)+IF(AND(V1585&lt;=40,W1585&gt;=35,W1585&lt;75),0.25,0)+IF(AND(V1585&lt;=40,W1585&gt;=75,W1585&lt;120),0.17,0)+IF(AND(V1585&lt;=40,W1585&gt;=120),0.15,0)+IF(AND(V1585&gt;40,V1585&lt;75,W1585&lt;25),0.35,0)+IF(AND(V1585&gt;=40,V1585&lt;75,W1585&gt;=25,W1585&lt;65),0.25,0)+IF(AND(V1585&gt;=40,V1585&lt;75,W1585&gt;=65,W1585&lt;100),0.17,0)+IF(AND(V1585&gt;=40,V1585&lt;75,W1585&gt;=100),0.1,0)+IF(AND(V1585&gt;=75,W1585&lt;25),0.35,0)+IF(AND(V1585&gt;=75,W1585&gt;=25,W1585&lt;60),0.25,0)+IF(AND(V1585&gt;=75,W1585&gt;=60,W1585&lt;95),0.17,0)+IF(AND(V1585&gt;=75,W1585&gt;=95),0.1,0),
IF(AF1585="DoEVba",IF(AND(V1585&lt;20,W1585&lt;105),0.2,0)+IF(AND(V1585&lt;20,W1585&gt;=105),0.15,0)+IF(AND(V1585&gt;=20,V1585&lt;40,W1585&lt;95),0.2,0)+IF(AND(V1585&gt;=20,V1585&lt;40,W1585&gt;=95,W1585&lt;150),0.15,0)+IF(AND(V1585&gt;=20,V1585&lt;40,W1585&gt;=150),0.12,0)+IF(AND(V1585&gt;=40,V1585&lt;75,W1585&lt;75),0.2,0)+IF(AND(V1585&gt;=40,V1585&lt;75,W1585&gt;=75,W1585&lt;120),0.15,0)+IF(AND(V1585&gt;=40,V1585&lt;75,W1585&gt;=120),0.12,0)+IF(AND(V1585&gt;=75,V1585&lt;175,W1585&lt;65),0.2,0)+IF(AND(V1585&gt;=75,V1585&lt;175,W1585&gt;=65,W1585&lt;110),0.15,0)+IF(AND(V1585&gt;=75,V1585&lt;175,W1585&gt;=110),0.12,0)+IF(AND(V1585&gt;=175,W1585&lt;55),0.2,0)+IF(AND(V1585&gt;=175,W1585&gt;=55,W1585&lt;95),0.15,0)+IF(AND(V1585&gt;=175,W1585&gt;=95),0.12,0),
IF(AF1585="DoEVku",IF(AND(V1585&lt;20,W1585&lt;55),0.23,0)+IF(AND(V1585&lt;20,W1585&gt;=55,W1585&lt;105),0.2,0)+IF(AND(V1585&lt;20,W1585&gt;=105),0.17,0)+IF(AND(V1585&gt;=20,V1585&lt;40,W1585&lt;45),0.23,0)+IF(AND(V1585&gt;=20,V1585&lt;40,W1585&gt;=45,W1585&lt;95),0.2,0)+IF(AND(V1585&gt;=20,V1585&lt;40,W1585&gt;=95,W1585&lt;=150),0.17,0)+IF(AND(V1585&gt;=20,V1585&lt;40,W1585&gt;=150),0.12,0)+IF(AND(V1585&gt;=40,V1585&lt;75,W1585&lt;35),0.23,0)+IF(AND(V1585&gt;=40,V1585&lt;75,W1585&gt;=35,W1585&lt;75),0.2,0)+IF(AND(V1585&gt;=40,V1585&lt;75,W1585&gt;=75,W1585&lt;120),0.17,0)+IF(AND(V1585&gt;=40,V1585&lt;75,W1585&gt;=120),0.12,0)+IF(AND(V1585&gt;=75,V1585&lt;175,W1585&lt;35),0.23,0)+IF(AND(V1585&gt;=75,V1585&lt;=175,W1585&gt;=35,W1585&lt;65),0.2,0)+IF(AND(V1585&gt;=75,V1585&lt;=175,W1585&gt;=65,W1585&lt;110),0.17,0)+IF(AND(V1585&gt;=75,V1585&lt;=175,W1585&gt;=110),0.12,0)+IF(AND(V1585&gt;175,W1585&lt;25),0.23,0)+IF(AND(V1585&gt;175,W1585&gt;=25,W1585&lt;55),0.2,0)+IF(AND(V1585&gt;175,W1585&gt;=55,W1585&lt;95),0.17,0)+IF(AND(V1585&gt;175,W1585&gt;=95),0.12,0),
IF(AF1585="DoEVs1",IF(AND(V1585&lt;20,W1585&lt;55),0.3,0)+IF(AND(V1585&lt;20,W1585&gt;=55,W1585&lt;105),0.23,0)+IF(AND(V1585&lt;20,W1585&gt;=105),0.17,0)+IF(AND(V1585&gt;=20,V1585&lt;40,W1585&lt;45),0.3,0)+IF(AND(V1585&gt;=20,V1585&lt;40,W1585&gt;=45,W1585&lt;95),0.23,0)+IF(AND(V1585&gt;=20,V1585&lt;40,W1585&gt;=95,W1585&lt;=150),0.17,0)+IF(AND(V1585&gt;=20,V1585&lt;40,W1585&gt;=150),0.12,0)+IF(AND(V1585&gt;=40,V1585&lt;75,W1585&lt;35),0.3,0)+IF(AND(V1585&gt;=40,V1585&lt;75,W1585&gt;=35,W1585&lt;75),0.23,0)+IF(AND(V1585&gt;=40,V1585&lt;75,W1585&gt;=75,W1585&lt;120),0.17,0)+IF(AND(V1585&gt;=40,V1585&lt;75,W1585&gt;=120),0.12,0)+IF(AND(V1585&gt;=75,V1585&lt;175,W1585&lt;35),0.3,0)+IF(AND(V1585&gt;=75,V1585&lt;=175,W1585&gt;=35,W1585&lt;65),0.23,0)+IF(AND(V1585&gt;=75,V1585&lt;=175,W1585&gt;=65,W1585&lt;110),0.17,0)+IF(AND(V1585&gt;=75,V1585&lt;=175,W1585&gt;=110),0.12,0)+IF(AND(V1585&gt;175,W1585&lt;25),0.3,0)+IF(AND(V1585&gt;175,W1585&gt;=25,W1585&lt;55),0.23,0)+IF(AND(V1585&gt;175,W1585&gt;=55,W1585&lt;95),0.17,0)+IF(AND(V1585&gt;175,W1585&gt;=95),0.12,0),
IF(AF1585="DoEVsu",IF(AND(V1585&lt;20,W1585&lt;55),0.3,0)+IF(AND(V1585&lt;20,W1585&gt;=55,W1585&lt;105),0.23,0)+IF(AND(V1585&lt;20,W1585&gt;=105),0.17,0)+IF(AND(V1585&gt;=20,V1585&lt;40,W1585&lt;45),0.3,0)+IF(AND(V1585&gt;=20,V1585&lt;40,W1585&gt;=45,W1585&lt;95),0.23,0)+IF(AND(V1585&gt;=20,V1585&lt;40,W1585&gt;=95,W1585&lt;=250),0.17,0)+IF(AND(V1585&gt;=20,V1585&lt;40,W1585&gt;=250),0.12,0)+IF(AND(V1585&gt;=40,V1585&lt;75,W1585&lt;35),0.3,0)+IF(AND(V1585&gt;=40,V1585&lt;75,W1585&gt;=35,W1585&lt;75),0.23,0)+IF(AND(V1585&gt;=40,V1585&lt;75,W1585&gt;=75,W1585&lt;120),0.17,0)+IF(AND(V1585&gt;=40,V1585&lt;75,W1585&gt;=120),0.12,0)+IF(AND(V1585&gt;=75,V1585&lt;175,W1585&lt;35),0.3,0)+IF(AND(V1585&gt;=75,V1585&lt;=175,W1585&gt;=35,W1585&lt;65),0.23,0)+IF(AND(V1585&gt;=75,V1585&lt;=175,W1585&gt;=65,W1585&lt;110),0.17,0)+IF(AND(V1585&gt;=75,V1585&lt;=175,W1585&gt;=110),0.12,0)+IF(AND(V1585&gt;175,W1585&lt;25),0.3,0)+IF(AND(V1585&gt;175,W1585&gt;=25,W1585&lt;55),0.23,0)+IF(AND(V1585&gt;175,W1585&gt;=55,W1585&lt;95),0.17,0)+IF(AND(V1585&gt;175,W1585&gt;=95),0.12,0),
IF(AF1585="DoEVni",IF(AND(V1585&lt;20,W1585&lt;55),0.3,0)+IF(AND(V1585&lt;20,W1585&gt;=55,W1585&lt;105),0.23,0)+IF(AND(V1585&lt;20,W1585&gt;=105),0.17,0)+IF(AND(V1585&gt;=20,V1585&lt;40,W1585&lt;45),0.3,0)+IF(AND(V1585&gt;=20,V1585&lt;40,W1585&gt;=45,W1585&lt;95),0.23,0)+IF(AND(V1585&gt;=20,V1585&lt;40,W1585&gt;=95,W1585&lt;=200),0.17,0)+IF(AND(V1585&gt;=20,V1585&lt;40,W1585&gt;=200),0.12,0)+IF(AND(V1585&gt;=40,V1585&lt;75,W1585&lt;35),0.3,0)+IF(AND(V1585&gt;=40,V1585&lt;75,W1585&gt;=35,W1585&lt;75),0.23,0)+IF(AND(V1585&gt;=40,V1585&lt;75,W1585&gt;=75,W1585&lt;120),0.17,0)+IF(AND(V1585&gt;=40,V1585&lt;75,W1585&gt;=120),0.12,0)+IF(AND(V1585&gt;=75,V1585&lt;175,W1585&lt;35),0.3,0)+IF(AND(V1585&gt;=75,V1585&lt;=175,W1585&gt;=35,W1585&lt;65),0.23,0)+IF(AND(V1585&gt;=75,V1585&lt;=175,W1585&gt;=65,W1585&lt;110),0.17,0)+IF(AND(V1585&gt;=75,V1585&lt;=175,W1585&gt;=110),0.12,0)+IF(AND(V1585&gt;175,W1585&lt;25),0.3,0)+IF(AND(V1585&gt;175,W1585&gt;=25,W1585&lt;55),0.23,0)+IF(AND(V1585&gt;175,W1585&gt;=55,W1585&lt;95),0.17,0)+IF(AND(V1585&gt;175,W1585&gt;=95),0.12,0),
IF(AF1585="DoEVLo",IF(AND(V1585&lt;20,W1585&lt;55),0.25,0)+IF(AND(V1585&lt;20,W1585&gt;=55,W1585&lt;105),0.2,0)+IF(AND(V1585&lt;20,W1585&gt;=105),0.15,0)+IF(AND(V1585&gt;=20,V1585&lt;40,W1585&lt;45),0.25,0)+IF(AND(V1585&gt;=20,V1585&lt;40,W1585&gt;=45,W1585&lt;95),0.2,0)+IF(AND(V1585&gt;=20,V1585&lt;40,W1585&gt;=95),0.15,0)+IF(AND(V1585&gt;=40,V1585&lt;75,W1585&lt;35),0.25,0)+IF(AND(V1585&gt;=40,V1585&lt;75,W1585&gt;=35,W1585&lt;75),0.2,0)+IF(AND(V1585&gt;=40,V1585&lt;75,W1585&gt;=75,W1585&lt;120),0.15,0)+IF(AND(V1585&gt;=40,V1585&lt;75,W1585&gt;=120),0.1,0)+IF(AND(V1585&gt;=75,V1585&lt;175,W1585&lt;35),0.25,0)+IF(AND(V1585&gt;=75,V1585&lt;=175,W1585&gt;=35,W1585&lt;65),0.2,0)+IF(AND(V1585&gt;=75,V1585&lt;=175,W1585&gt;=65,W1585&lt;110),0.15,0)+IF(AND(V1585&gt;=75,V1585&lt;=175,W1585&gt;=110),0.1,0)+IF(AND(V1585&gt;175,W1585&lt;25),0.25,0)+IF(AND(V1585&gt;175,W1585&gt;=25,W1585&lt;55),0.2,0)+IF(AND(V1585&gt;175,W1585&gt;=55,W1585&lt;95),0.15,0)+IF(AND(V1585&gt;175,W1585&gt;=95),0.1,0))))))))))))))))))))</f>
        <v>0.1125</v>
      </c>
      <c r="Y1585" s="30">
        <f>IF(AG1585="None",0,IF(AG1585="Fix5",0.05, IF(AG1585="Fix6.25",0.0625,IF(AG1585="Fix3.75",0.0375, IF(AG1585="Fix11",0.11, IF(AG1585="Fix10",0.1,IF(AG1585="Fix3",0.03,0)))))))</f>
        <v>3.7499999999999999E-2</v>
      </c>
      <c r="Z1585" s="35">
        <f>IF(AND(AD1585="EUR", AE1585 = "USD"), T1585*U1585-AA1585-AB1585, T1585-AA1585-AB1585)</f>
        <v>0</v>
      </c>
      <c r="AA1585" s="29">
        <f>IF(AND(AD1585="EUR", F1585="Without EV deal", AE1585="USD"), (T1585*X1585)*U1585,
IF(AND(AD1585="EUR", F1585="Without EV deal", AE1585="EUR"), (T1585*X1585),
IF(AND(AD1585="EUR",AE1585="USD"), (T1585*X1585)*U1585,
T1585*X1585)))</f>
        <v>0</v>
      </c>
      <c r="AB1585" s="36">
        <f>IF(AND(AD1585="EUR", F1585="Without EV deal", AE1585="USD"), (T1585*Y1585)*U1585,
IF(AND(AD1585="EUR", F1585="Without EV deal", AE1585="EUR"), (T1585*Y1585),
IF(AND(AD1585="EUR",AE1585="USD"), (T1585*Y1585)*U1585,
T1585*Y1585)))</f>
        <v>0</v>
      </c>
      <c r="AC1585" s="37" t="b">
        <v>0</v>
      </c>
      <c r="AD1585" s="82" t="str">
        <f>IF(OR(H1585="€0.25 Flash",
H1585="€0.25(nitro) new",
H1585="€1",
H1585="€2",
H1585="€2 (bf 01.08)",
H1585="€5",
H1585="€5 (1M)",
H1585="€5 (bf 01.08)",
H1585="€5 (bf 05.05)",
H1585="€5 Nitro",
H1585="€5(wx) new",
H1585="€10",
H1585="€10 (1M)",
H1585="€10 (bf 01.08)",
H1585="€10 (bf 05.05)",
H1585="€10 (MP)",
H1585="€10 (old)",
H1585="€10 Nitro (bf 05.05)",
H1585="€10 Nitro (old)",
H1585="€10(wx) new",
H1585="€20",
H1585="€25",
H1585="€25 (bf 01.08)",
H1585="€25 (bf 05.05)",
H1585="€25 (MP)",
H1585="€25 (old)",
H1585="€25 Nitro",
H1585="€25 Nitro (bf 01.08)",
H1585="€25 Nitro (bf 05.05)",
H1585="€25(nitro) new",
H1585="€25(wx) new",
H1585="€50",
H1585="€50 (bf 01.08)",
H1585="€50 (bf 05.05)",
H1585="€50 (old)",
H1585="€50 Nitro",
H1585="€50 Nitro (bf 01.08)",
H1585="€50 Nitro (bf 05.05)",
H1585="€50(wx) new",
H1585="€100",
H1585="€100 (old)",
H1585="€100 Nitro",
H1585="€100 Nitro (old)",
H1585="€200",
H1585="€250",
H1585="€250 Nitro",
H1585="€500",
H1585="€500 Nitro"),"EUR", "USD")</f>
        <v>USD</v>
      </c>
      <c r="AE1585" s="83" t="s">
        <v>38</v>
      </c>
      <c r="AF1585" s="83" t="str">
        <f t="array" ref="AF1585">INDEX('Deal Info'!D:D, MATCH(A1585,'Deal Info'!A:A, 0))</f>
        <v>Fix11.25</v>
      </c>
      <c r="AG1585" s="84" t="str">
        <f t="array" ref="AG1585">INDEX('Deal Info'!G:G, MATCH(A1585,'Deal Info'!A:A, 0))</f>
        <v>Fix3.75</v>
      </c>
    </row>
    <row r="1586" spans="1:33" ht="14.25" hidden="1" x14ac:dyDescent="0.2">
      <c r="A1586" s="18" t="str">
        <f t="array" ref="A1586">IF(G1586='Room Info'!$B$1, INDEX('Room Info'!$A$2:$A2446, MATCH(B1586,'Room Info'!$B$2:$B2446, 0)),IF(G1586='Room Info'!$C$1, INDEX('Room Info'!$A$2:$A2446, MATCH(B1586,'Room Info'!$C$2:$C2446, 0)),IF(G1586='Room Info'!$D$1, INDEX('Room Info'!$A$2:$A2446, MATCH(B1586,'Room Info'!$D$2:$D2446, 0)),IF(G1586='Room Info'!$E$1, INDEX('Room Info'!$A$2:$A2446, MATCH(B1586,'Room Info'!$E$2:$E2446, 0)),IF(G1586='Room Info'!$F$1, INDEX('Room Info'!$A$2:$A2446, MATCH(B1586,'Room Info'!$F$2:$F2446, 0)),IF(G1586='Room Info'!$H$1, INDEX('Room Info'!$A$2:$A2446, MATCH(B1586,'Room Info'!$H$2:$H2446, 0)),IF(G1586='Room Info'!$G$1, INDEX('Room Info'!$A$2:$A2446, MATCH(B1586,'Room Info'!$G$2:$G2446, 0)))))))))</f>
        <v>CrippledMind</v>
      </c>
      <c r="B1586" s="45" t="s">
        <v>125</v>
      </c>
      <c r="C1586" s="46">
        <v>44978</v>
      </c>
      <c r="D1586" s="46">
        <v>45005</v>
      </c>
      <c r="E1586" s="90">
        <v>44986</v>
      </c>
      <c r="F1586" s="48" t="s">
        <v>34</v>
      </c>
      <c r="G1586" s="65" t="s">
        <v>35</v>
      </c>
      <c r="H1586" s="49" t="s">
        <v>40</v>
      </c>
      <c r="I1586" s="100" t="s">
        <v>37</v>
      </c>
      <c r="J1586" s="39">
        <v>10</v>
      </c>
      <c r="K1586" s="75">
        <v>1781</v>
      </c>
      <c r="L1586" s="72">
        <v>280</v>
      </c>
      <c r="M1586" s="76">
        <v>890</v>
      </c>
      <c r="N1586" s="28">
        <f>K1586*J1586</f>
        <v>17810</v>
      </c>
      <c r="O1586" s="45">
        <v>93775</v>
      </c>
      <c r="P1586" s="29">
        <v>52.653003929999997</v>
      </c>
      <c r="Q1586" s="55"/>
      <c r="R1586" s="31">
        <f>M1586+Q1586*J1586*K1586*0.07</f>
        <v>890</v>
      </c>
      <c r="S1586" s="73">
        <v>442</v>
      </c>
      <c r="T1586" s="32">
        <f>IF(AND(AD1586="EUR", F1586="Without EV deal"), R1586 + L1586,
IF(AND(AD1586="USD", F1586="Without EV deal"), R1586 + L1586,
IF(AND(AD1586="EUR", F1586="Steel Phoenix"), R1586 + S1586/U1586,
R1586 + S1586)))</f>
        <v>1332</v>
      </c>
      <c r="U1586" s="57">
        <v>1.071</v>
      </c>
      <c r="V1586" s="69">
        <v>10</v>
      </c>
      <c r="W1586" s="69">
        <v>133.19999999999999</v>
      </c>
      <c r="X1586" s="30">
        <f>IF(AF1586="DoEV",IF(AND(V1586&lt;20,W1586&lt;55),0.3,0)+IF(AND(V1586&lt;20,W1586&gt;=55,W1586&lt;105),0.23,0)+IF(AND(V1586&lt;20,W1586&gt;=105),0.17,0)+IF(AND(V1586&gt;=20,V1586&lt;40,W1586&lt;45),0.3,0)+IF(AND(V1586&gt;=20,V1586&lt;40,W1586&gt;=45,W1586&lt;95),0.23,0)+IF(AND(V1586&gt;=20,V1586&lt;40,W1586&gt;=95),0.17,0)+IF(AND(V1586&gt;=40,V1586&lt;75,W1586&lt;35),0.3,0)+IF(AND(V1586&gt;=40,V1586&lt;75,W1586&gt;=35,W1586&lt;75),0.23,0)+IF(AND(V1586&gt;=40,V1586&lt;75,W1586&gt;=75,W1586&lt;120),0.17,0)+IF(AND(V1586&gt;=40,V1586&lt;75,W1586&gt;=120),0.12,0)+IF(AND(V1586&gt;=75,V1586&lt;175,W1586&lt;35),0.3,0)+IF(AND(V1586&gt;=75,V1586&lt;=175,W1586&gt;=35,W1586&lt;65),0.23,0)+IF(AND(V1586&gt;=75,V1586&lt;=175,W1586&gt;=65,W1586&lt;110),0.17,0)+IF(AND(V1586&gt;=75,V1586&lt;=175,W1586&gt;=110),0.12,0)+IF(AND(V1586&gt;175,W1586&lt;25),0.3,0)+IF(AND(V1586&gt;175,W1586&gt;=25,W1586&lt;55),0.23,0)+IF(AND(V1586&gt;175,W1586&gt;=55,W1586&lt;95),0.17,0)+IF(AND(V1586&gt;175,W1586&gt;=95),0.12,0),
IF(AF1586="Fix15",0.15,
IF(AF1586="Fix5",0.05,
IF(AF1586="Fix18.75",0.1875,
IF(AF1586="Fix11.25",0.1125,
IF(AF1586="Fix10",0.1,
IF(AF1586="Fix9",0.09,
IF(AF1586="Fix12",0.12,
IF(AF1586="Fix19",0.19,
IF(AF1586="DoEV2017",IF(AND(W1586&lt;74),0.2,0)+IF(AND(W1586&gt;=74),0.17,0),
IF(AF1586="SF",IF(AND(V1586&lt;20,W1586&lt;89),0.3,0)+IF(AND(V1586&lt;20,W1586&gt;=89),0.25,0)+IF(AND(V1586&gt;=20,V1586&lt;40,W1586&lt;74),0.3,0)+IF(AND(V1586&gt;=20,V1586&lt;40,W1586&gt;=75),0.22,0)+IF(AND(V1586&gt;=40,V1586&lt;75,W1586&lt;75),0.26,0)+IF(AND(V1586&gt;=40,V1586&lt;75,W1586&gt;=75),0.22,0)+IF(V1586&gt;=75,0.22,0),
IF(AF1586="DoEVold",IF(AND(V1586&lt;40,W1586&lt;35),0.35,0)+IF(AND(V1586&lt;40,W1586&gt;=35,W1586&lt;75),0.25,0)+IF(AND(V1586&lt;40,W1586&gt;=75),0.17,0)+IF(AND(V1586&gt;=40,V1586&lt;75,W1586&lt;25),0.35,0)+IF(AND(V1586&gt;=40,V1586&lt;75,W1586&gt;=25,W1586&lt;65),0.25,0)+IF(AND(V1586&gt;=40,V1586&lt;75,W1586&gt;=65,W1586&lt;100),0.17,0)+IF(AND(V1586&gt;=40,V1586&lt;75,W1586&gt;=100),0.1,0)+IF(AND(V1586&gt;=75,W1586&lt;25),0.35,0)+IF(AND(V1586&gt;=75,W1586&gt;=25,W1586&lt;60),0.25,0)+IF(AND(V1586&gt;=75,W1586&gt;=60,W1586&lt;95),0.17,0)+IF(AND(V1586&gt;=75,W1586&gt;=95),0.1,0),
IF(AF1586="DoEVold15",IF(AND(V1586&lt;=40,W1586&lt;35),0.35,0)+IF(AND(V1586&lt;=40,W1586&gt;=35,W1586&lt;75),0.25,0)+IF(AND(V1586&lt;=40,W1586&gt;=75,W1586&lt;120),0.17,0)+IF(AND(V1586&lt;=40,W1586&gt;=120),0.15,0)+IF(AND(V1586&gt;40,V1586&lt;75,W1586&lt;25),0.35,0)+IF(AND(V1586&gt;=40,V1586&lt;75,W1586&gt;=25,W1586&lt;65),0.25,0)+IF(AND(V1586&gt;=40,V1586&lt;75,W1586&gt;=65,W1586&lt;100),0.17,0)+IF(AND(V1586&gt;=40,V1586&lt;75,W1586&gt;=100),0.1,0)+IF(AND(V1586&gt;=75,W1586&lt;25),0.35,0)+IF(AND(V1586&gt;=75,W1586&gt;=25,W1586&lt;60),0.25,0)+IF(AND(V1586&gt;=75,W1586&gt;=60,W1586&lt;95),0.17,0)+IF(AND(V1586&gt;=75,W1586&gt;=95),0.1,0),
IF(AF1586="DoEVba",IF(AND(V1586&lt;20,W1586&lt;105),0.2,0)+IF(AND(V1586&lt;20,W1586&gt;=105),0.15,0)+IF(AND(V1586&gt;=20,V1586&lt;40,W1586&lt;95),0.2,0)+IF(AND(V1586&gt;=20,V1586&lt;40,W1586&gt;=95,W1586&lt;150),0.15,0)+IF(AND(V1586&gt;=20,V1586&lt;40,W1586&gt;=150),0.12,0)+IF(AND(V1586&gt;=40,V1586&lt;75,W1586&lt;75),0.2,0)+IF(AND(V1586&gt;=40,V1586&lt;75,W1586&gt;=75,W1586&lt;120),0.15,0)+IF(AND(V1586&gt;=40,V1586&lt;75,W1586&gt;=120),0.12,0)+IF(AND(V1586&gt;=75,V1586&lt;175,W1586&lt;65),0.2,0)+IF(AND(V1586&gt;=75,V1586&lt;175,W1586&gt;=65,W1586&lt;110),0.15,0)+IF(AND(V1586&gt;=75,V1586&lt;175,W1586&gt;=110),0.12,0)+IF(AND(V1586&gt;=175,W1586&lt;55),0.2,0)+IF(AND(V1586&gt;=175,W1586&gt;=55,W1586&lt;95),0.15,0)+IF(AND(V1586&gt;=175,W1586&gt;=95),0.12,0),
IF(AF1586="DoEVku",IF(AND(V1586&lt;20,W1586&lt;55),0.23,0)+IF(AND(V1586&lt;20,W1586&gt;=55,W1586&lt;105),0.2,0)+IF(AND(V1586&lt;20,W1586&gt;=105),0.17,0)+IF(AND(V1586&gt;=20,V1586&lt;40,W1586&lt;45),0.23,0)+IF(AND(V1586&gt;=20,V1586&lt;40,W1586&gt;=45,W1586&lt;95),0.2,0)+IF(AND(V1586&gt;=20,V1586&lt;40,W1586&gt;=95,W1586&lt;=150),0.17,0)+IF(AND(V1586&gt;=20,V1586&lt;40,W1586&gt;=150),0.12,0)+IF(AND(V1586&gt;=40,V1586&lt;75,W1586&lt;35),0.23,0)+IF(AND(V1586&gt;=40,V1586&lt;75,W1586&gt;=35,W1586&lt;75),0.2,0)+IF(AND(V1586&gt;=40,V1586&lt;75,W1586&gt;=75,W1586&lt;120),0.17,0)+IF(AND(V1586&gt;=40,V1586&lt;75,W1586&gt;=120),0.12,0)+IF(AND(V1586&gt;=75,V1586&lt;175,W1586&lt;35),0.23,0)+IF(AND(V1586&gt;=75,V1586&lt;=175,W1586&gt;=35,W1586&lt;65),0.2,0)+IF(AND(V1586&gt;=75,V1586&lt;=175,W1586&gt;=65,W1586&lt;110),0.17,0)+IF(AND(V1586&gt;=75,V1586&lt;=175,W1586&gt;=110),0.12,0)+IF(AND(V1586&gt;175,W1586&lt;25),0.23,0)+IF(AND(V1586&gt;175,W1586&gt;=25,W1586&lt;55),0.2,0)+IF(AND(V1586&gt;175,W1586&gt;=55,W1586&lt;95),0.17,0)+IF(AND(V1586&gt;175,W1586&gt;=95),0.12,0),
IF(AF1586="DoEVs1",IF(AND(V1586&lt;20,W1586&lt;55),0.3,0)+IF(AND(V1586&lt;20,W1586&gt;=55,W1586&lt;105),0.23,0)+IF(AND(V1586&lt;20,W1586&gt;=105),0.17,0)+IF(AND(V1586&gt;=20,V1586&lt;40,W1586&lt;45),0.3,0)+IF(AND(V1586&gt;=20,V1586&lt;40,W1586&gt;=45,W1586&lt;95),0.23,0)+IF(AND(V1586&gt;=20,V1586&lt;40,W1586&gt;=95,W1586&lt;=150),0.17,0)+IF(AND(V1586&gt;=20,V1586&lt;40,W1586&gt;=150),0.12,0)+IF(AND(V1586&gt;=40,V1586&lt;75,W1586&lt;35),0.3,0)+IF(AND(V1586&gt;=40,V1586&lt;75,W1586&gt;=35,W1586&lt;75),0.23,0)+IF(AND(V1586&gt;=40,V1586&lt;75,W1586&gt;=75,W1586&lt;120),0.17,0)+IF(AND(V1586&gt;=40,V1586&lt;75,W1586&gt;=120),0.12,0)+IF(AND(V1586&gt;=75,V1586&lt;175,W1586&lt;35),0.3,0)+IF(AND(V1586&gt;=75,V1586&lt;=175,W1586&gt;=35,W1586&lt;65),0.23,0)+IF(AND(V1586&gt;=75,V1586&lt;=175,W1586&gt;=65,W1586&lt;110),0.17,0)+IF(AND(V1586&gt;=75,V1586&lt;=175,W1586&gt;=110),0.12,0)+IF(AND(V1586&gt;175,W1586&lt;25),0.3,0)+IF(AND(V1586&gt;175,W1586&gt;=25,W1586&lt;55),0.23,0)+IF(AND(V1586&gt;175,W1586&gt;=55,W1586&lt;95),0.17,0)+IF(AND(V1586&gt;175,W1586&gt;=95),0.12,0),
IF(AF1586="DoEVsu",IF(AND(V1586&lt;20,W1586&lt;55),0.3,0)+IF(AND(V1586&lt;20,W1586&gt;=55,W1586&lt;105),0.23,0)+IF(AND(V1586&lt;20,W1586&gt;=105),0.17,0)+IF(AND(V1586&gt;=20,V1586&lt;40,W1586&lt;45),0.3,0)+IF(AND(V1586&gt;=20,V1586&lt;40,W1586&gt;=45,W1586&lt;95),0.23,0)+IF(AND(V1586&gt;=20,V1586&lt;40,W1586&gt;=95,W1586&lt;=250),0.17,0)+IF(AND(V1586&gt;=20,V1586&lt;40,W1586&gt;=250),0.12,0)+IF(AND(V1586&gt;=40,V1586&lt;75,W1586&lt;35),0.3,0)+IF(AND(V1586&gt;=40,V1586&lt;75,W1586&gt;=35,W1586&lt;75),0.23,0)+IF(AND(V1586&gt;=40,V1586&lt;75,W1586&gt;=75,W1586&lt;120),0.17,0)+IF(AND(V1586&gt;=40,V1586&lt;75,W1586&gt;=120),0.12,0)+IF(AND(V1586&gt;=75,V1586&lt;175,W1586&lt;35),0.3,0)+IF(AND(V1586&gt;=75,V1586&lt;=175,W1586&gt;=35,W1586&lt;65),0.23,0)+IF(AND(V1586&gt;=75,V1586&lt;=175,W1586&gt;=65,W1586&lt;110),0.17,0)+IF(AND(V1586&gt;=75,V1586&lt;=175,W1586&gt;=110),0.12,0)+IF(AND(V1586&gt;175,W1586&lt;25),0.3,0)+IF(AND(V1586&gt;175,W1586&gt;=25,W1586&lt;55),0.23,0)+IF(AND(V1586&gt;175,W1586&gt;=55,W1586&lt;95),0.17,0)+IF(AND(V1586&gt;175,W1586&gt;=95),0.12,0),
IF(AF1586="DoEVni",IF(AND(V1586&lt;20,W1586&lt;55),0.3,0)+IF(AND(V1586&lt;20,W1586&gt;=55,W1586&lt;105),0.23,0)+IF(AND(V1586&lt;20,W1586&gt;=105),0.17,0)+IF(AND(V1586&gt;=20,V1586&lt;40,W1586&lt;45),0.3,0)+IF(AND(V1586&gt;=20,V1586&lt;40,W1586&gt;=45,W1586&lt;95),0.23,0)+IF(AND(V1586&gt;=20,V1586&lt;40,W1586&gt;=95,W1586&lt;=200),0.17,0)+IF(AND(V1586&gt;=20,V1586&lt;40,W1586&gt;=200),0.12,0)+IF(AND(V1586&gt;=40,V1586&lt;75,W1586&lt;35),0.3,0)+IF(AND(V1586&gt;=40,V1586&lt;75,W1586&gt;=35,W1586&lt;75),0.23,0)+IF(AND(V1586&gt;=40,V1586&lt;75,W1586&gt;=75,W1586&lt;120),0.17,0)+IF(AND(V1586&gt;=40,V1586&lt;75,W1586&gt;=120),0.12,0)+IF(AND(V1586&gt;=75,V1586&lt;175,W1586&lt;35),0.3,0)+IF(AND(V1586&gt;=75,V1586&lt;=175,W1586&gt;=35,W1586&lt;65),0.23,0)+IF(AND(V1586&gt;=75,V1586&lt;=175,W1586&gt;=65,W1586&lt;110),0.17,0)+IF(AND(V1586&gt;=75,V1586&lt;=175,W1586&gt;=110),0.12,0)+IF(AND(V1586&gt;175,W1586&lt;25),0.3,0)+IF(AND(V1586&gt;175,W1586&gt;=25,W1586&lt;55),0.23,0)+IF(AND(V1586&gt;175,W1586&gt;=55,W1586&lt;95),0.17,0)+IF(AND(V1586&gt;175,W1586&gt;=95),0.12,0),
IF(AF1586="DoEVLo",IF(AND(V1586&lt;20,W1586&lt;55),0.25,0)+IF(AND(V1586&lt;20,W1586&gt;=55,W1586&lt;105),0.2,0)+IF(AND(V1586&lt;20,W1586&gt;=105),0.15,0)+IF(AND(V1586&gt;=20,V1586&lt;40,W1586&lt;45),0.25,0)+IF(AND(V1586&gt;=20,V1586&lt;40,W1586&gt;=45,W1586&lt;95),0.2,0)+IF(AND(V1586&gt;=20,V1586&lt;40,W1586&gt;=95),0.15,0)+IF(AND(V1586&gt;=40,V1586&lt;75,W1586&lt;35),0.25,0)+IF(AND(V1586&gt;=40,V1586&lt;75,W1586&gt;=35,W1586&lt;75),0.2,0)+IF(AND(V1586&gt;=40,V1586&lt;75,W1586&gt;=75,W1586&lt;120),0.15,0)+IF(AND(V1586&gt;=40,V1586&lt;75,W1586&gt;=120),0.1,0)+IF(AND(V1586&gt;=75,V1586&lt;175,W1586&lt;35),0.25,0)+IF(AND(V1586&gt;=75,V1586&lt;=175,W1586&gt;=35,W1586&lt;65),0.2,0)+IF(AND(V1586&gt;=75,V1586&lt;=175,W1586&gt;=65,W1586&lt;110),0.15,0)+IF(AND(V1586&gt;=75,V1586&lt;=175,W1586&gt;=110),0.1,0)+IF(AND(V1586&gt;175,W1586&lt;25),0.25,0)+IF(AND(V1586&gt;175,W1586&gt;=25,W1586&lt;55),0.2,0)+IF(AND(V1586&gt;175,W1586&gt;=55,W1586&lt;95),0.15,0)+IF(AND(V1586&gt;175,W1586&gt;=95),0.1,0))))))))))))))))))))</f>
        <v>0.17</v>
      </c>
      <c r="Y1586" s="30">
        <f>IF(AG1586="None",0,IF(AG1586="Fix5",0.05, IF(AG1586="Fix6.25",0.0625,IF(AG1586="Fix3.75",0.0375, IF(AG1586="Fix11",0.11, IF(AG1586="Fix10",0.1,IF(AG1586="Fix3",0.03,0)))))))</f>
        <v>0</v>
      </c>
      <c r="Z1586" s="35">
        <f>IF(AND(AD1586="EUR", AE1586 = "USD"), T1586*U1586-AA1586-AB1586, T1586-AA1586-AB1586)</f>
        <v>1105.56</v>
      </c>
      <c r="AA1586" s="29">
        <f>IF(AND(AD1586="EUR", F1586="Without EV deal", AE1586="USD"), (T1586*X1586)*U1586,
IF(AND(AD1586="EUR", F1586="Without EV deal", AE1586="EUR"), (T1586*X1586),
IF(AND(AD1586="EUR",AE1586="USD"), (T1586*X1586)*U1586,
T1586*X1586)))</f>
        <v>226.44000000000003</v>
      </c>
      <c r="AB1586" s="36">
        <f>IF(AND(AD1586="EUR", F1586="Without EV deal", AE1586="USD"), (T1586*Y1586)*U1586,
IF(AND(AD1586="EUR", F1586="Without EV deal", AE1586="EUR"), (T1586*Y1586),
IF(AND(AD1586="EUR",AE1586="USD"), (T1586*Y1586)*U1586,
T1586*Y1586)))</f>
        <v>0</v>
      </c>
      <c r="AC1586" s="37" t="b">
        <v>0</v>
      </c>
      <c r="AD1586" s="82" t="str">
        <f>IF(OR(H1586="€0.25 Flash",
H1586="€0.25(nitro) new",
H1586="€1",
H1586="€2",
H1586="€2 (bf 01.08)",
H1586="€5",
H1586="€5 (1M)",
H1586="€5 (bf 01.08)",
H1586="€5 (bf 05.05)",
H1586="€5 Nitro",
H1586="€5(wx) new",
H1586="€10",
H1586="€10 (1M)",
H1586="€10 (bf 01.08)",
H1586="€10 (bf 05.05)",
H1586="€10 (MP)",
H1586="€10 (old)",
H1586="€10 Nitro (bf 05.05)",
H1586="€10 Nitro (old)",
H1586="€10(wx) new",
H1586="€20",
H1586="€25",
H1586="€25 (bf 01.08)",
H1586="€25 (bf 05.05)",
H1586="€25 (MP)",
H1586="€25 (old)",
H1586="€25 Nitro",
H1586="€25 Nitro (bf 01.08)",
H1586="€25 Nitro (bf 05.05)",
H1586="€25(nitro) new",
H1586="€25(wx) new",
H1586="€50",
H1586="€50 (bf 01.08)",
H1586="€50 (bf 05.05)",
H1586="€50 (old)",
H1586="€50 Nitro",
H1586="€50 Nitro (bf 01.08)",
H1586="€50 Nitro (bf 05.05)",
H1586="€50(wx) new",
H1586="€100",
H1586="€100 (old)",
H1586="€100 Nitro",
H1586="€100 Nitro (old)",
H1586="€200",
H1586="€250",
H1586="€250 Nitro",
H1586="€500",
H1586="€500 Nitro"),"EUR", "USD")</f>
        <v>USD</v>
      </c>
      <c r="AE1586" s="83" t="s">
        <v>38</v>
      </c>
      <c r="AF1586" s="83" t="str">
        <f t="array" ref="AF1586">INDEX('Deal Info'!D:D, MATCH(A1586,'Deal Info'!A:A, 0))</f>
        <v>DoEV</v>
      </c>
      <c r="AG1586" s="84" t="str">
        <f t="array" ref="AG1586">INDEX('Deal Info'!G:G, MATCH(A1586,'Deal Info'!A:A, 0))</f>
        <v>None</v>
      </c>
    </row>
    <row r="1587" spans="1:33" ht="14.25" hidden="1" x14ac:dyDescent="0.2">
      <c r="A1587" s="18" t="str">
        <f t="array" ref="A1587">IF(G1587='Room Info'!$B$1, INDEX('Room Info'!$A$2:$A2446, MATCH(B1587,'Room Info'!$B$2:$B2446, 0)),IF(G1587='Room Info'!$C$1, INDEX('Room Info'!$A$2:$A2446, MATCH(B1587,'Room Info'!$C$2:$C2446, 0)),IF(G1587='Room Info'!$D$1, INDEX('Room Info'!$A$2:$A2446, MATCH(B1587,'Room Info'!$D$2:$D2446, 0)),IF(G1587='Room Info'!$E$1, INDEX('Room Info'!$A$2:$A2446, MATCH(B1587,'Room Info'!$E$2:$E2446, 0)),IF(G1587='Room Info'!$F$1, INDEX('Room Info'!$A$2:$A2446, MATCH(B1587,'Room Info'!$F$2:$F2446, 0)),IF(G1587='Room Info'!$H$1, INDEX('Room Info'!$A$2:$A2446, MATCH(B1587,'Room Info'!$H$2:$H2446, 0)),IF(G1587='Room Info'!$G$1, INDEX('Room Info'!$A$2:$A2446, MATCH(B1587,'Room Info'!$G$2:$G2446, 0)))))))))</f>
        <v>CrippledMind</v>
      </c>
      <c r="B1587" s="45" t="s">
        <v>125</v>
      </c>
      <c r="C1587" s="46">
        <v>44978</v>
      </c>
      <c r="D1587" s="46">
        <v>45005</v>
      </c>
      <c r="E1587" s="90">
        <v>44986</v>
      </c>
      <c r="F1587" s="48" t="s">
        <v>34</v>
      </c>
      <c r="G1587" s="65" t="s">
        <v>35</v>
      </c>
      <c r="H1587" s="91" t="s">
        <v>115</v>
      </c>
      <c r="I1587" s="54" t="s">
        <v>44</v>
      </c>
      <c r="J1587" s="39">
        <v>10</v>
      </c>
      <c r="K1587" s="75">
        <v>1</v>
      </c>
      <c r="L1587" s="72">
        <v>-10</v>
      </c>
      <c r="M1587" s="79"/>
      <c r="N1587" s="28">
        <f>K1587*J1587</f>
        <v>10</v>
      </c>
      <c r="O1587" s="45">
        <v>-109</v>
      </c>
      <c r="P1587" s="29">
        <v>-109</v>
      </c>
      <c r="Q1587" s="55"/>
      <c r="R1587" s="31">
        <f>M1587+Q1587*J1587*K1587*0.07</f>
        <v>0</v>
      </c>
      <c r="S1587" s="97"/>
      <c r="T1587" s="32">
        <f>IF(AND(AD1587="EUR", F1587="Without EV deal"), R1587 + L1587,
IF(AND(AD1587="USD", F1587="Without EV deal"), R1587 + L1587,
IF(AND(AD1587="EUR", F1587="Steel Phoenix"), R1587 + S1587/U1587,
R1587 + S1587)))</f>
        <v>0</v>
      </c>
      <c r="U1587" s="57">
        <v>1.071</v>
      </c>
      <c r="V1587" s="69">
        <v>10</v>
      </c>
      <c r="W1587" s="69">
        <v>133.19999999999999</v>
      </c>
      <c r="X1587" s="30">
        <f>IF(AF1587="DoEV",IF(AND(V1587&lt;20,W1587&lt;55),0.3,0)+IF(AND(V1587&lt;20,W1587&gt;=55,W1587&lt;105),0.23,0)+IF(AND(V1587&lt;20,W1587&gt;=105),0.17,0)+IF(AND(V1587&gt;=20,V1587&lt;40,W1587&lt;45),0.3,0)+IF(AND(V1587&gt;=20,V1587&lt;40,W1587&gt;=45,W1587&lt;95),0.23,0)+IF(AND(V1587&gt;=20,V1587&lt;40,W1587&gt;=95),0.17,0)+IF(AND(V1587&gt;=40,V1587&lt;75,W1587&lt;35),0.3,0)+IF(AND(V1587&gt;=40,V1587&lt;75,W1587&gt;=35,W1587&lt;75),0.23,0)+IF(AND(V1587&gt;=40,V1587&lt;75,W1587&gt;=75,W1587&lt;120),0.17,0)+IF(AND(V1587&gt;=40,V1587&lt;75,W1587&gt;=120),0.12,0)+IF(AND(V1587&gt;=75,V1587&lt;175,W1587&lt;35),0.3,0)+IF(AND(V1587&gt;=75,V1587&lt;=175,W1587&gt;=35,W1587&lt;65),0.23,0)+IF(AND(V1587&gt;=75,V1587&lt;=175,W1587&gt;=65,W1587&lt;110),0.17,0)+IF(AND(V1587&gt;=75,V1587&lt;=175,W1587&gt;=110),0.12,0)+IF(AND(V1587&gt;175,W1587&lt;25),0.3,0)+IF(AND(V1587&gt;175,W1587&gt;=25,W1587&lt;55),0.23,0)+IF(AND(V1587&gt;175,W1587&gt;=55,W1587&lt;95),0.17,0)+IF(AND(V1587&gt;175,W1587&gt;=95),0.12,0),
IF(AF1587="Fix15",0.15,
IF(AF1587="Fix5",0.05,
IF(AF1587="Fix18.75",0.1875,
IF(AF1587="Fix11.25",0.1125,
IF(AF1587="Fix10",0.1,
IF(AF1587="Fix9",0.09,
IF(AF1587="Fix12",0.12,
IF(AF1587="Fix19",0.19,
IF(AF1587="DoEV2017",IF(AND(W1587&lt;74),0.2,0)+IF(AND(W1587&gt;=74),0.17,0),
IF(AF1587="SF",IF(AND(V1587&lt;20,W1587&lt;89),0.3,0)+IF(AND(V1587&lt;20,W1587&gt;=89),0.25,0)+IF(AND(V1587&gt;=20,V1587&lt;40,W1587&lt;74),0.3,0)+IF(AND(V1587&gt;=20,V1587&lt;40,W1587&gt;=75),0.22,0)+IF(AND(V1587&gt;=40,V1587&lt;75,W1587&lt;75),0.26,0)+IF(AND(V1587&gt;=40,V1587&lt;75,W1587&gt;=75),0.22,0)+IF(V1587&gt;=75,0.22,0),
IF(AF1587="DoEVold",IF(AND(V1587&lt;40,W1587&lt;35),0.35,0)+IF(AND(V1587&lt;40,W1587&gt;=35,W1587&lt;75),0.25,0)+IF(AND(V1587&lt;40,W1587&gt;=75),0.17,0)+IF(AND(V1587&gt;=40,V1587&lt;75,W1587&lt;25),0.35,0)+IF(AND(V1587&gt;=40,V1587&lt;75,W1587&gt;=25,W1587&lt;65),0.25,0)+IF(AND(V1587&gt;=40,V1587&lt;75,W1587&gt;=65,W1587&lt;100),0.17,0)+IF(AND(V1587&gt;=40,V1587&lt;75,W1587&gt;=100),0.1,0)+IF(AND(V1587&gt;=75,W1587&lt;25),0.35,0)+IF(AND(V1587&gt;=75,W1587&gt;=25,W1587&lt;60),0.25,0)+IF(AND(V1587&gt;=75,W1587&gt;=60,W1587&lt;95),0.17,0)+IF(AND(V1587&gt;=75,W1587&gt;=95),0.1,0),
IF(AF1587="DoEVold15",IF(AND(V1587&lt;=40,W1587&lt;35),0.35,0)+IF(AND(V1587&lt;=40,W1587&gt;=35,W1587&lt;75),0.25,0)+IF(AND(V1587&lt;=40,W1587&gt;=75,W1587&lt;120),0.17,0)+IF(AND(V1587&lt;=40,W1587&gt;=120),0.15,0)+IF(AND(V1587&gt;40,V1587&lt;75,W1587&lt;25),0.35,0)+IF(AND(V1587&gt;=40,V1587&lt;75,W1587&gt;=25,W1587&lt;65),0.25,0)+IF(AND(V1587&gt;=40,V1587&lt;75,W1587&gt;=65,W1587&lt;100),0.17,0)+IF(AND(V1587&gt;=40,V1587&lt;75,W1587&gt;=100),0.1,0)+IF(AND(V1587&gt;=75,W1587&lt;25),0.35,0)+IF(AND(V1587&gt;=75,W1587&gt;=25,W1587&lt;60),0.25,0)+IF(AND(V1587&gt;=75,W1587&gt;=60,W1587&lt;95),0.17,0)+IF(AND(V1587&gt;=75,W1587&gt;=95),0.1,0),
IF(AF1587="DoEVba",IF(AND(V1587&lt;20,W1587&lt;105),0.2,0)+IF(AND(V1587&lt;20,W1587&gt;=105),0.15,0)+IF(AND(V1587&gt;=20,V1587&lt;40,W1587&lt;95),0.2,0)+IF(AND(V1587&gt;=20,V1587&lt;40,W1587&gt;=95,W1587&lt;150),0.15,0)+IF(AND(V1587&gt;=20,V1587&lt;40,W1587&gt;=150),0.12,0)+IF(AND(V1587&gt;=40,V1587&lt;75,W1587&lt;75),0.2,0)+IF(AND(V1587&gt;=40,V1587&lt;75,W1587&gt;=75,W1587&lt;120),0.15,0)+IF(AND(V1587&gt;=40,V1587&lt;75,W1587&gt;=120),0.12,0)+IF(AND(V1587&gt;=75,V1587&lt;175,W1587&lt;65),0.2,0)+IF(AND(V1587&gt;=75,V1587&lt;175,W1587&gt;=65,W1587&lt;110),0.15,0)+IF(AND(V1587&gt;=75,V1587&lt;175,W1587&gt;=110),0.12,0)+IF(AND(V1587&gt;=175,W1587&lt;55),0.2,0)+IF(AND(V1587&gt;=175,W1587&gt;=55,W1587&lt;95),0.15,0)+IF(AND(V1587&gt;=175,W1587&gt;=95),0.12,0),
IF(AF1587="DoEVku",IF(AND(V1587&lt;20,W1587&lt;55),0.23,0)+IF(AND(V1587&lt;20,W1587&gt;=55,W1587&lt;105),0.2,0)+IF(AND(V1587&lt;20,W1587&gt;=105),0.17,0)+IF(AND(V1587&gt;=20,V1587&lt;40,W1587&lt;45),0.23,0)+IF(AND(V1587&gt;=20,V1587&lt;40,W1587&gt;=45,W1587&lt;95),0.2,0)+IF(AND(V1587&gt;=20,V1587&lt;40,W1587&gt;=95,W1587&lt;=150),0.17,0)+IF(AND(V1587&gt;=20,V1587&lt;40,W1587&gt;=150),0.12,0)+IF(AND(V1587&gt;=40,V1587&lt;75,W1587&lt;35),0.23,0)+IF(AND(V1587&gt;=40,V1587&lt;75,W1587&gt;=35,W1587&lt;75),0.2,0)+IF(AND(V1587&gt;=40,V1587&lt;75,W1587&gt;=75,W1587&lt;120),0.17,0)+IF(AND(V1587&gt;=40,V1587&lt;75,W1587&gt;=120),0.12,0)+IF(AND(V1587&gt;=75,V1587&lt;175,W1587&lt;35),0.23,0)+IF(AND(V1587&gt;=75,V1587&lt;=175,W1587&gt;=35,W1587&lt;65),0.2,0)+IF(AND(V1587&gt;=75,V1587&lt;=175,W1587&gt;=65,W1587&lt;110),0.17,0)+IF(AND(V1587&gt;=75,V1587&lt;=175,W1587&gt;=110),0.12,0)+IF(AND(V1587&gt;175,W1587&lt;25),0.23,0)+IF(AND(V1587&gt;175,W1587&gt;=25,W1587&lt;55),0.2,0)+IF(AND(V1587&gt;175,W1587&gt;=55,W1587&lt;95),0.17,0)+IF(AND(V1587&gt;175,W1587&gt;=95),0.12,0),
IF(AF1587="DoEVs1",IF(AND(V1587&lt;20,W1587&lt;55),0.3,0)+IF(AND(V1587&lt;20,W1587&gt;=55,W1587&lt;105),0.23,0)+IF(AND(V1587&lt;20,W1587&gt;=105),0.17,0)+IF(AND(V1587&gt;=20,V1587&lt;40,W1587&lt;45),0.3,0)+IF(AND(V1587&gt;=20,V1587&lt;40,W1587&gt;=45,W1587&lt;95),0.23,0)+IF(AND(V1587&gt;=20,V1587&lt;40,W1587&gt;=95,W1587&lt;=150),0.17,0)+IF(AND(V1587&gt;=20,V1587&lt;40,W1587&gt;=150),0.12,0)+IF(AND(V1587&gt;=40,V1587&lt;75,W1587&lt;35),0.3,0)+IF(AND(V1587&gt;=40,V1587&lt;75,W1587&gt;=35,W1587&lt;75),0.23,0)+IF(AND(V1587&gt;=40,V1587&lt;75,W1587&gt;=75,W1587&lt;120),0.17,0)+IF(AND(V1587&gt;=40,V1587&lt;75,W1587&gt;=120),0.12,0)+IF(AND(V1587&gt;=75,V1587&lt;175,W1587&lt;35),0.3,0)+IF(AND(V1587&gt;=75,V1587&lt;=175,W1587&gt;=35,W1587&lt;65),0.23,0)+IF(AND(V1587&gt;=75,V1587&lt;=175,W1587&gt;=65,W1587&lt;110),0.17,0)+IF(AND(V1587&gt;=75,V1587&lt;=175,W1587&gt;=110),0.12,0)+IF(AND(V1587&gt;175,W1587&lt;25),0.3,0)+IF(AND(V1587&gt;175,W1587&gt;=25,W1587&lt;55),0.23,0)+IF(AND(V1587&gt;175,W1587&gt;=55,W1587&lt;95),0.17,0)+IF(AND(V1587&gt;175,W1587&gt;=95),0.12,0),
IF(AF1587="DoEVsu",IF(AND(V1587&lt;20,W1587&lt;55),0.3,0)+IF(AND(V1587&lt;20,W1587&gt;=55,W1587&lt;105),0.23,0)+IF(AND(V1587&lt;20,W1587&gt;=105),0.17,0)+IF(AND(V1587&gt;=20,V1587&lt;40,W1587&lt;45),0.3,0)+IF(AND(V1587&gt;=20,V1587&lt;40,W1587&gt;=45,W1587&lt;95),0.23,0)+IF(AND(V1587&gt;=20,V1587&lt;40,W1587&gt;=95,W1587&lt;=250),0.17,0)+IF(AND(V1587&gt;=20,V1587&lt;40,W1587&gt;=250),0.12,0)+IF(AND(V1587&gt;=40,V1587&lt;75,W1587&lt;35),0.3,0)+IF(AND(V1587&gt;=40,V1587&lt;75,W1587&gt;=35,W1587&lt;75),0.23,0)+IF(AND(V1587&gt;=40,V1587&lt;75,W1587&gt;=75,W1587&lt;120),0.17,0)+IF(AND(V1587&gt;=40,V1587&lt;75,W1587&gt;=120),0.12,0)+IF(AND(V1587&gt;=75,V1587&lt;175,W1587&lt;35),0.3,0)+IF(AND(V1587&gt;=75,V1587&lt;=175,W1587&gt;=35,W1587&lt;65),0.23,0)+IF(AND(V1587&gt;=75,V1587&lt;=175,W1587&gt;=65,W1587&lt;110),0.17,0)+IF(AND(V1587&gt;=75,V1587&lt;=175,W1587&gt;=110),0.12,0)+IF(AND(V1587&gt;175,W1587&lt;25),0.3,0)+IF(AND(V1587&gt;175,W1587&gt;=25,W1587&lt;55),0.23,0)+IF(AND(V1587&gt;175,W1587&gt;=55,W1587&lt;95),0.17,0)+IF(AND(V1587&gt;175,W1587&gt;=95),0.12,0),
IF(AF1587="DoEVni",IF(AND(V1587&lt;20,W1587&lt;55),0.3,0)+IF(AND(V1587&lt;20,W1587&gt;=55,W1587&lt;105),0.23,0)+IF(AND(V1587&lt;20,W1587&gt;=105),0.17,0)+IF(AND(V1587&gt;=20,V1587&lt;40,W1587&lt;45),0.3,0)+IF(AND(V1587&gt;=20,V1587&lt;40,W1587&gt;=45,W1587&lt;95),0.23,0)+IF(AND(V1587&gt;=20,V1587&lt;40,W1587&gt;=95,W1587&lt;=200),0.17,0)+IF(AND(V1587&gt;=20,V1587&lt;40,W1587&gt;=200),0.12,0)+IF(AND(V1587&gt;=40,V1587&lt;75,W1587&lt;35),0.3,0)+IF(AND(V1587&gt;=40,V1587&lt;75,W1587&gt;=35,W1587&lt;75),0.23,0)+IF(AND(V1587&gt;=40,V1587&lt;75,W1587&gt;=75,W1587&lt;120),0.17,0)+IF(AND(V1587&gt;=40,V1587&lt;75,W1587&gt;=120),0.12,0)+IF(AND(V1587&gt;=75,V1587&lt;175,W1587&lt;35),0.3,0)+IF(AND(V1587&gt;=75,V1587&lt;=175,W1587&gt;=35,W1587&lt;65),0.23,0)+IF(AND(V1587&gt;=75,V1587&lt;=175,W1587&gt;=65,W1587&lt;110),0.17,0)+IF(AND(V1587&gt;=75,V1587&lt;=175,W1587&gt;=110),0.12,0)+IF(AND(V1587&gt;175,W1587&lt;25),0.3,0)+IF(AND(V1587&gt;175,W1587&gt;=25,W1587&lt;55),0.23,0)+IF(AND(V1587&gt;175,W1587&gt;=55,W1587&lt;95),0.17,0)+IF(AND(V1587&gt;175,W1587&gt;=95),0.12,0),
IF(AF1587="DoEVLo",IF(AND(V1587&lt;20,W1587&lt;55),0.25,0)+IF(AND(V1587&lt;20,W1587&gt;=55,W1587&lt;105),0.2,0)+IF(AND(V1587&lt;20,W1587&gt;=105),0.15,0)+IF(AND(V1587&gt;=20,V1587&lt;40,W1587&lt;45),0.25,0)+IF(AND(V1587&gt;=20,V1587&lt;40,W1587&gt;=45,W1587&lt;95),0.2,0)+IF(AND(V1587&gt;=20,V1587&lt;40,W1587&gt;=95),0.15,0)+IF(AND(V1587&gt;=40,V1587&lt;75,W1587&lt;35),0.25,0)+IF(AND(V1587&gt;=40,V1587&lt;75,W1587&gt;=35,W1587&lt;75),0.2,0)+IF(AND(V1587&gt;=40,V1587&lt;75,W1587&gt;=75,W1587&lt;120),0.15,0)+IF(AND(V1587&gt;=40,V1587&lt;75,W1587&gt;=120),0.1,0)+IF(AND(V1587&gt;=75,V1587&lt;175,W1587&lt;35),0.25,0)+IF(AND(V1587&gt;=75,V1587&lt;=175,W1587&gt;=35,W1587&lt;65),0.2,0)+IF(AND(V1587&gt;=75,V1587&lt;=175,W1587&gt;=65,W1587&lt;110),0.15,0)+IF(AND(V1587&gt;=75,V1587&lt;=175,W1587&gt;=110),0.1,0)+IF(AND(V1587&gt;175,W1587&lt;25),0.25,0)+IF(AND(V1587&gt;175,W1587&gt;=25,W1587&lt;55),0.2,0)+IF(AND(V1587&gt;175,W1587&gt;=55,W1587&lt;95),0.15,0)+IF(AND(V1587&gt;175,W1587&gt;=95),0.1,0))))))))))))))))))))</f>
        <v>0.17</v>
      </c>
      <c r="Y1587" s="30">
        <f>IF(AG1587="None",0,IF(AG1587="Fix5",0.05, IF(AG1587="Fix6.25",0.0625,IF(AG1587="Fix3.75",0.0375, IF(AG1587="Fix11",0.11, IF(AG1587="Fix10",0.1,IF(AG1587="Fix3",0.03,0)))))))</f>
        <v>0</v>
      </c>
      <c r="Z1587" s="35">
        <f>IF(AND(AD1587="EUR", AE1587 = "USD"), T1587*U1587-AA1587-AB1587, T1587-AA1587-AB1587)</f>
        <v>0</v>
      </c>
      <c r="AA1587" s="29">
        <f>IF(AND(AD1587="EUR", F1587="Without EV deal", AE1587="USD"), (T1587*X1587)*U1587,
IF(AND(AD1587="EUR", F1587="Without EV deal", AE1587="EUR"), (T1587*X1587),
IF(AND(AD1587="EUR",AE1587="USD"), (T1587*X1587)*U1587,
T1587*X1587)))</f>
        <v>0</v>
      </c>
      <c r="AB1587" s="36">
        <f>IF(AND(AD1587="EUR", F1587="Without EV deal", AE1587="USD"), (T1587*Y1587)*U1587,
IF(AND(AD1587="EUR", F1587="Without EV deal", AE1587="EUR"), (T1587*Y1587),
IF(AND(AD1587="EUR",AE1587="USD"), (T1587*Y1587)*U1587,
T1587*Y1587)))</f>
        <v>0</v>
      </c>
      <c r="AC1587" s="37" t="b">
        <v>0</v>
      </c>
      <c r="AD1587" s="82" t="str">
        <f>IF(OR(H1587="€0.25 Flash",
H1587="€0.25(nitro) new",
H1587="€1",
H1587="€2",
H1587="€2 (bf 01.08)",
H1587="€5",
H1587="€5 (1M)",
H1587="€5 (bf 01.08)",
H1587="€5 (bf 05.05)",
H1587="€5 Nitro",
H1587="€5(wx) new",
H1587="€10",
H1587="€10 (1M)",
H1587="€10 (bf 01.08)",
H1587="€10 (bf 05.05)",
H1587="€10 (MP)",
H1587="€10 (old)",
H1587="€10 Nitro (bf 05.05)",
H1587="€10 Nitro (old)",
H1587="€10(wx) new",
H1587="€20",
H1587="€25",
H1587="€25 (bf 01.08)",
H1587="€25 (bf 05.05)",
H1587="€25 (MP)",
H1587="€25 (old)",
H1587="€25 Nitro",
H1587="€25 Nitro (bf 01.08)",
H1587="€25 Nitro (bf 05.05)",
H1587="€25(nitro) new",
H1587="€25(wx) new",
H1587="€50",
H1587="€50 (bf 01.08)",
H1587="€50 (bf 05.05)",
H1587="€50 (old)",
H1587="€50 Nitro",
H1587="€50 Nitro (bf 01.08)",
H1587="€50 Nitro (bf 05.05)",
H1587="€50(wx) new",
H1587="€100",
H1587="€100 (old)",
H1587="€100 Nitro",
H1587="€100 Nitro (old)",
H1587="€200",
H1587="€250",
H1587="€250 Nitro",
H1587="€500",
H1587="€500 Nitro"),"EUR", "USD")</f>
        <v>USD</v>
      </c>
      <c r="AE1587" s="83" t="s">
        <v>38</v>
      </c>
      <c r="AF1587" s="83" t="str">
        <f t="array" ref="AF1587">INDEX('Deal Info'!D:D, MATCH(A1587,'Deal Info'!A:A, 0))</f>
        <v>DoEV</v>
      </c>
      <c r="AG1587" s="84" t="str">
        <f t="array" ref="AG1587">INDEX('Deal Info'!G:G, MATCH(A1587,'Deal Info'!A:A, 0))</f>
        <v>None</v>
      </c>
    </row>
    <row r="1588" spans="1:33" ht="14.25" hidden="1" x14ac:dyDescent="0.2">
      <c r="A1588" s="18" t="str">
        <f t="array" ref="A1588">IF(G1588='Room Info'!$B$1, INDEX('Room Info'!$A$2:$A2446, MATCH(B1588,'Room Info'!$B$2:$B2446, 0)),IF(G1588='Room Info'!$C$1, INDEX('Room Info'!$A$2:$A2446, MATCH(B1588,'Room Info'!$C$2:$C2446, 0)),IF(G1588='Room Info'!$D$1, INDEX('Room Info'!$A$2:$A2446, MATCH(B1588,'Room Info'!$D$2:$D2446, 0)),IF(G1588='Room Info'!$E$1, INDEX('Room Info'!$A$2:$A2446, MATCH(B1588,'Room Info'!$E$2:$E2446, 0)),IF(G1588='Room Info'!$F$1, INDEX('Room Info'!$A$2:$A2446, MATCH(B1588,'Room Info'!$F$2:$F2446, 0)),IF(G1588='Room Info'!$H$1, INDEX('Room Info'!$A$2:$A2446, MATCH(B1588,'Room Info'!$H$2:$H2446, 0)),IF(G1588='Room Info'!$G$1, INDEX('Room Info'!$A$2:$A2446, MATCH(B1588,'Room Info'!$G$2:$G2446, 0)))))))))</f>
        <v>Ekx444</v>
      </c>
      <c r="B1588" s="45" t="s">
        <v>169</v>
      </c>
      <c r="C1588" s="46">
        <v>44978</v>
      </c>
      <c r="D1588" s="46">
        <v>45005</v>
      </c>
      <c r="E1588" s="90">
        <v>44986</v>
      </c>
      <c r="F1588" s="48" t="s">
        <v>34</v>
      </c>
      <c r="G1588" s="65" t="s">
        <v>35</v>
      </c>
      <c r="H1588" s="49" t="s">
        <v>40</v>
      </c>
      <c r="I1588" s="100" t="s">
        <v>37</v>
      </c>
      <c r="J1588" s="39">
        <v>10</v>
      </c>
      <c r="K1588" s="75">
        <v>23</v>
      </c>
      <c r="L1588" s="72">
        <v>20</v>
      </c>
      <c r="M1588" s="76">
        <v>5975</v>
      </c>
      <c r="N1588" s="28">
        <f>K1588*J1588</f>
        <v>230</v>
      </c>
      <c r="O1588" s="45">
        <v>1500</v>
      </c>
      <c r="P1588" s="29">
        <v>65.217391300000003</v>
      </c>
      <c r="Q1588" s="55"/>
      <c r="R1588" s="31">
        <f>M1588+Q1588*J1588*K1588*0.07</f>
        <v>5975</v>
      </c>
      <c r="S1588" s="73">
        <v>-1365</v>
      </c>
      <c r="T1588" s="32">
        <f>IF(AND(AD1588="EUR", F1588="Without EV deal"), R1588 + L1588,
IF(AND(AD1588="USD", F1588="Without EV deal"), R1588 + L1588,
IF(AND(AD1588="EUR", F1588="Steel Phoenix"), R1588 + S1588/U1588,
R1588 + S1588)))</f>
        <v>4610</v>
      </c>
      <c r="U1588" s="57">
        <v>1.071</v>
      </c>
      <c r="V1588" s="69">
        <v>36.575246132208157</v>
      </c>
      <c r="W1588" s="69">
        <v>126.04153047490867</v>
      </c>
      <c r="X1588" s="30">
        <f>IF(AF1588="DoEV",IF(AND(V1588&lt;20,W1588&lt;55),0.3,0)+IF(AND(V1588&lt;20,W1588&gt;=55,W1588&lt;105),0.23,0)+IF(AND(V1588&lt;20,W1588&gt;=105),0.17,0)+IF(AND(V1588&gt;=20,V1588&lt;40,W1588&lt;45),0.3,0)+IF(AND(V1588&gt;=20,V1588&lt;40,W1588&gt;=45,W1588&lt;95),0.23,0)+IF(AND(V1588&gt;=20,V1588&lt;40,W1588&gt;=95),0.17,0)+IF(AND(V1588&gt;=40,V1588&lt;75,W1588&lt;35),0.3,0)+IF(AND(V1588&gt;=40,V1588&lt;75,W1588&gt;=35,W1588&lt;75),0.23,0)+IF(AND(V1588&gt;=40,V1588&lt;75,W1588&gt;=75,W1588&lt;120),0.17,0)+IF(AND(V1588&gt;=40,V1588&lt;75,W1588&gt;=120),0.12,0)+IF(AND(V1588&gt;=75,V1588&lt;175,W1588&lt;35),0.3,0)+IF(AND(V1588&gt;=75,V1588&lt;=175,W1588&gt;=35,W1588&lt;65),0.23,0)+IF(AND(V1588&gt;=75,V1588&lt;=175,W1588&gt;=65,W1588&lt;110),0.17,0)+IF(AND(V1588&gt;=75,V1588&lt;=175,W1588&gt;=110),0.12,0)+IF(AND(V1588&gt;175,W1588&lt;25),0.3,0)+IF(AND(V1588&gt;175,W1588&gt;=25,W1588&lt;55),0.23,0)+IF(AND(V1588&gt;175,W1588&gt;=55,W1588&lt;95),0.17,0)+IF(AND(V1588&gt;175,W1588&gt;=95),0.12,0),
IF(AF1588="Fix15",0.15,
IF(AF1588="Fix5",0.05,
IF(AF1588="Fix18.75",0.1875,
IF(AF1588="Fix11.25",0.1125,
IF(AF1588="Fix10",0.1,
IF(AF1588="Fix9",0.09,
IF(AF1588="Fix12",0.12,
IF(AF1588="Fix19",0.19,
IF(AF1588="DoEV2017",IF(AND(W1588&lt;74),0.2,0)+IF(AND(W1588&gt;=74),0.17,0),
IF(AF1588="SF",IF(AND(V1588&lt;20,W1588&lt;89),0.3,0)+IF(AND(V1588&lt;20,W1588&gt;=89),0.25,0)+IF(AND(V1588&gt;=20,V1588&lt;40,W1588&lt;74),0.3,0)+IF(AND(V1588&gt;=20,V1588&lt;40,W1588&gt;=75),0.22,0)+IF(AND(V1588&gt;=40,V1588&lt;75,W1588&lt;75),0.26,0)+IF(AND(V1588&gt;=40,V1588&lt;75,W1588&gt;=75),0.22,0)+IF(V1588&gt;=75,0.22,0),
IF(AF1588="DoEVold",IF(AND(V1588&lt;40,W1588&lt;35),0.35,0)+IF(AND(V1588&lt;40,W1588&gt;=35,W1588&lt;75),0.25,0)+IF(AND(V1588&lt;40,W1588&gt;=75),0.17,0)+IF(AND(V1588&gt;=40,V1588&lt;75,W1588&lt;25),0.35,0)+IF(AND(V1588&gt;=40,V1588&lt;75,W1588&gt;=25,W1588&lt;65),0.25,0)+IF(AND(V1588&gt;=40,V1588&lt;75,W1588&gt;=65,W1588&lt;100),0.17,0)+IF(AND(V1588&gt;=40,V1588&lt;75,W1588&gt;=100),0.1,0)+IF(AND(V1588&gt;=75,W1588&lt;25),0.35,0)+IF(AND(V1588&gt;=75,W1588&gt;=25,W1588&lt;60),0.25,0)+IF(AND(V1588&gt;=75,W1588&gt;=60,W1588&lt;95),0.17,0)+IF(AND(V1588&gt;=75,W1588&gt;=95),0.1,0),
IF(AF1588="DoEVold15",IF(AND(V1588&lt;=40,W1588&lt;35),0.35,0)+IF(AND(V1588&lt;=40,W1588&gt;=35,W1588&lt;75),0.25,0)+IF(AND(V1588&lt;=40,W1588&gt;=75,W1588&lt;120),0.17,0)+IF(AND(V1588&lt;=40,W1588&gt;=120),0.15,0)+IF(AND(V1588&gt;40,V1588&lt;75,W1588&lt;25),0.35,0)+IF(AND(V1588&gt;=40,V1588&lt;75,W1588&gt;=25,W1588&lt;65),0.25,0)+IF(AND(V1588&gt;=40,V1588&lt;75,W1588&gt;=65,W1588&lt;100),0.17,0)+IF(AND(V1588&gt;=40,V1588&lt;75,W1588&gt;=100),0.1,0)+IF(AND(V1588&gt;=75,W1588&lt;25),0.35,0)+IF(AND(V1588&gt;=75,W1588&gt;=25,W1588&lt;60),0.25,0)+IF(AND(V1588&gt;=75,W1588&gt;=60,W1588&lt;95),0.17,0)+IF(AND(V1588&gt;=75,W1588&gt;=95),0.1,0),
IF(AF1588="DoEVba",IF(AND(V1588&lt;20,W1588&lt;105),0.2,0)+IF(AND(V1588&lt;20,W1588&gt;=105),0.15,0)+IF(AND(V1588&gt;=20,V1588&lt;40,W1588&lt;95),0.2,0)+IF(AND(V1588&gt;=20,V1588&lt;40,W1588&gt;=95,W1588&lt;150),0.15,0)+IF(AND(V1588&gt;=20,V1588&lt;40,W1588&gt;=150),0.12,0)+IF(AND(V1588&gt;=40,V1588&lt;75,W1588&lt;75),0.2,0)+IF(AND(V1588&gt;=40,V1588&lt;75,W1588&gt;=75,W1588&lt;120),0.15,0)+IF(AND(V1588&gt;=40,V1588&lt;75,W1588&gt;=120),0.12,0)+IF(AND(V1588&gt;=75,V1588&lt;175,W1588&lt;65),0.2,0)+IF(AND(V1588&gt;=75,V1588&lt;175,W1588&gt;=65,W1588&lt;110),0.15,0)+IF(AND(V1588&gt;=75,V1588&lt;175,W1588&gt;=110),0.12,0)+IF(AND(V1588&gt;=175,W1588&lt;55),0.2,0)+IF(AND(V1588&gt;=175,W1588&gt;=55,W1588&lt;95),0.15,0)+IF(AND(V1588&gt;=175,W1588&gt;=95),0.12,0),
IF(AF1588="DoEVku",IF(AND(V1588&lt;20,W1588&lt;55),0.23,0)+IF(AND(V1588&lt;20,W1588&gt;=55,W1588&lt;105),0.2,0)+IF(AND(V1588&lt;20,W1588&gt;=105),0.17,0)+IF(AND(V1588&gt;=20,V1588&lt;40,W1588&lt;45),0.23,0)+IF(AND(V1588&gt;=20,V1588&lt;40,W1588&gt;=45,W1588&lt;95),0.2,0)+IF(AND(V1588&gt;=20,V1588&lt;40,W1588&gt;=95,W1588&lt;=150),0.17,0)+IF(AND(V1588&gt;=20,V1588&lt;40,W1588&gt;=150),0.12,0)+IF(AND(V1588&gt;=40,V1588&lt;75,W1588&lt;35),0.23,0)+IF(AND(V1588&gt;=40,V1588&lt;75,W1588&gt;=35,W1588&lt;75),0.2,0)+IF(AND(V1588&gt;=40,V1588&lt;75,W1588&gt;=75,W1588&lt;120),0.17,0)+IF(AND(V1588&gt;=40,V1588&lt;75,W1588&gt;=120),0.12,0)+IF(AND(V1588&gt;=75,V1588&lt;175,W1588&lt;35),0.23,0)+IF(AND(V1588&gt;=75,V1588&lt;=175,W1588&gt;=35,W1588&lt;65),0.2,0)+IF(AND(V1588&gt;=75,V1588&lt;=175,W1588&gt;=65,W1588&lt;110),0.17,0)+IF(AND(V1588&gt;=75,V1588&lt;=175,W1588&gt;=110),0.12,0)+IF(AND(V1588&gt;175,W1588&lt;25),0.23,0)+IF(AND(V1588&gt;175,W1588&gt;=25,W1588&lt;55),0.2,0)+IF(AND(V1588&gt;175,W1588&gt;=55,W1588&lt;95),0.17,0)+IF(AND(V1588&gt;175,W1588&gt;=95),0.12,0),
IF(AF1588="DoEVs1",IF(AND(V1588&lt;20,W1588&lt;55),0.3,0)+IF(AND(V1588&lt;20,W1588&gt;=55,W1588&lt;105),0.23,0)+IF(AND(V1588&lt;20,W1588&gt;=105),0.17,0)+IF(AND(V1588&gt;=20,V1588&lt;40,W1588&lt;45),0.3,0)+IF(AND(V1588&gt;=20,V1588&lt;40,W1588&gt;=45,W1588&lt;95),0.23,0)+IF(AND(V1588&gt;=20,V1588&lt;40,W1588&gt;=95,W1588&lt;=150),0.17,0)+IF(AND(V1588&gt;=20,V1588&lt;40,W1588&gt;=150),0.12,0)+IF(AND(V1588&gt;=40,V1588&lt;75,W1588&lt;35),0.3,0)+IF(AND(V1588&gt;=40,V1588&lt;75,W1588&gt;=35,W1588&lt;75),0.23,0)+IF(AND(V1588&gt;=40,V1588&lt;75,W1588&gt;=75,W1588&lt;120),0.17,0)+IF(AND(V1588&gt;=40,V1588&lt;75,W1588&gt;=120),0.12,0)+IF(AND(V1588&gt;=75,V1588&lt;175,W1588&lt;35),0.3,0)+IF(AND(V1588&gt;=75,V1588&lt;=175,W1588&gt;=35,W1588&lt;65),0.23,0)+IF(AND(V1588&gt;=75,V1588&lt;=175,W1588&gt;=65,W1588&lt;110),0.17,0)+IF(AND(V1588&gt;=75,V1588&lt;=175,W1588&gt;=110),0.12,0)+IF(AND(V1588&gt;175,W1588&lt;25),0.3,0)+IF(AND(V1588&gt;175,W1588&gt;=25,W1588&lt;55),0.23,0)+IF(AND(V1588&gt;175,W1588&gt;=55,W1588&lt;95),0.17,0)+IF(AND(V1588&gt;175,W1588&gt;=95),0.12,0),
IF(AF1588="DoEVsu",IF(AND(V1588&lt;20,W1588&lt;55),0.3,0)+IF(AND(V1588&lt;20,W1588&gt;=55,W1588&lt;105),0.23,0)+IF(AND(V1588&lt;20,W1588&gt;=105),0.17,0)+IF(AND(V1588&gt;=20,V1588&lt;40,W1588&lt;45),0.3,0)+IF(AND(V1588&gt;=20,V1588&lt;40,W1588&gt;=45,W1588&lt;95),0.23,0)+IF(AND(V1588&gt;=20,V1588&lt;40,W1588&gt;=95,W1588&lt;=250),0.17,0)+IF(AND(V1588&gt;=20,V1588&lt;40,W1588&gt;=250),0.12,0)+IF(AND(V1588&gt;=40,V1588&lt;75,W1588&lt;35),0.3,0)+IF(AND(V1588&gt;=40,V1588&lt;75,W1588&gt;=35,W1588&lt;75),0.23,0)+IF(AND(V1588&gt;=40,V1588&lt;75,W1588&gt;=75,W1588&lt;120),0.17,0)+IF(AND(V1588&gt;=40,V1588&lt;75,W1588&gt;=120),0.12,0)+IF(AND(V1588&gt;=75,V1588&lt;175,W1588&lt;35),0.3,0)+IF(AND(V1588&gt;=75,V1588&lt;=175,W1588&gt;=35,W1588&lt;65),0.23,0)+IF(AND(V1588&gt;=75,V1588&lt;=175,W1588&gt;=65,W1588&lt;110),0.17,0)+IF(AND(V1588&gt;=75,V1588&lt;=175,W1588&gt;=110),0.12,0)+IF(AND(V1588&gt;175,W1588&lt;25),0.3,0)+IF(AND(V1588&gt;175,W1588&gt;=25,W1588&lt;55),0.23,0)+IF(AND(V1588&gt;175,W1588&gt;=55,W1588&lt;95),0.17,0)+IF(AND(V1588&gt;175,W1588&gt;=95),0.12,0),
IF(AF1588="DoEVni",IF(AND(V1588&lt;20,W1588&lt;55),0.3,0)+IF(AND(V1588&lt;20,W1588&gt;=55,W1588&lt;105),0.23,0)+IF(AND(V1588&lt;20,W1588&gt;=105),0.17,0)+IF(AND(V1588&gt;=20,V1588&lt;40,W1588&lt;45),0.3,0)+IF(AND(V1588&gt;=20,V1588&lt;40,W1588&gt;=45,W1588&lt;95),0.23,0)+IF(AND(V1588&gt;=20,V1588&lt;40,W1588&gt;=95,W1588&lt;=200),0.17,0)+IF(AND(V1588&gt;=20,V1588&lt;40,W1588&gt;=200),0.12,0)+IF(AND(V1588&gt;=40,V1588&lt;75,W1588&lt;35),0.3,0)+IF(AND(V1588&gt;=40,V1588&lt;75,W1588&gt;=35,W1588&lt;75),0.23,0)+IF(AND(V1588&gt;=40,V1588&lt;75,W1588&gt;=75,W1588&lt;120),0.17,0)+IF(AND(V1588&gt;=40,V1588&lt;75,W1588&gt;=120),0.12,0)+IF(AND(V1588&gt;=75,V1588&lt;175,W1588&lt;35),0.3,0)+IF(AND(V1588&gt;=75,V1588&lt;=175,W1588&gt;=35,W1588&lt;65),0.23,0)+IF(AND(V1588&gt;=75,V1588&lt;=175,W1588&gt;=65,W1588&lt;110),0.17,0)+IF(AND(V1588&gt;=75,V1588&lt;=175,W1588&gt;=110),0.12,0)+IF(AND(V1588&gt;175,W1588&lt;25),0.3,0)+IF(AND(V1588&gt;175,W1588&gt;=25,W1588&lt;55),0.23,0)+IF(AND(V1588&gt;175,W1588&gt;=55,W1588&lt;95),0.17,0)+IF(AND(V1588&gt;175,W1588&gt;=95),0.12,0),
IF(AF1588="DoEVLo",IF(AND(V1588&lt;20,W1588&lt;55),0.25,0)+IF(AND(V1588&lt;20,W1588&gt;=55,W1588&lt;105),0.2,0)+IF(AND(V1588&lt;20,W1588&gt;=105),0.15,0)+IF(AND(V1588&gt;=20,V1588&lt;40,W1588&lt;45),0.25,0)+IF(AND(V1588&gt;=20,V1588&lt;40,W1588&gt;=45,W1588&lt;95),0.2,0)+IF(AND(V1588&gt;=20,V1588&lt;40,W1588&gt;=95),0.15,0)+IF(AND(V1588&gt;=40,V1588&lt;75,W1588&lt;35),0.25,0)+IF(AND(V1588&gt;=40,V1588&lt;75,W1588&gt;=35,W1588&lt;75),0.2,0)+IF(AND(V1588&gt;=40,V1588&lt;75,W1588&gt;=75,W1588&lt;120),0.15,0)+IF(AND(V1588&gt;=40,V1588&lt;75,W1588&gt;=120),0.1,0)+IF(AND(V1588&gt;=75,V1588&lt;175,W1588&lt;35),0.25,0)+IF(AND(V1588&gt;=75,V1588&lt;=175,W1588&gt;=35,W1588&lt;65),0.2,0)+IF(AND(V1588&gt;=75,V1588&lt;=175,W1588&gt;=65,W1588&lt;110),0.15,0)+IF(AND(V1588&gt;=75,V1588&lt;=175,W1588&gt;=110),0.1,0)+IF(AND(V1588&gt;175,W1588&lt;25),0.25,0)+IF(AND(V1588&gt;175,W1588&gt;=25,W1588&lt;55),0.2,0)+IF(AND(V1588&gt;175,W1588&gt;=55,W1588&lt;95),0.15,0)+IF(AND(V1588&gt;175,W1588&gt;=95),0.1,0))))))))))))))))))))</f>
        <v>0.17</v>
      </c>
      <c r="Y1588" s="30">
        <f>IF(AG1588="None",0,IF(AG1588="Fix5",0.05, IF(AG1588="Fix6.25",0.0625,IF(AG1588="Fix3.75",0.0375, IF(AG1588="Fix11",0.11, IF(AG1588="Fix10",0.1,IF(AG1588="Fix3",0.03,0)))))))</f>
        <v>0</v>
      </c>
      <c r="Z1588" s="35">
        <f>IF(AND(AD1588="EUR", AE1588 = "USD"), T1588*U1588-AA1588-AB1588, T1588-AA1588-AB1588)</f>
        <v>3826.3</v>
      </c>
      <c r="AA1588" s="29">
        <f>IF(AND(AD1588="EUR", F1588="Without EV deal", AE1588="USD"), (T1588*X1588)*U1588,
IF(AND(AD1588="EUR", F1588="Without EV deal", AE1588="EUR"), (T1588*X1588),
IF(AND(AD1588="EUR",AE1588="USD"), (T1588*X1588)*U1588,
T1588*X1588)))</f>
        <v>783.7</v>
      </c>
      <c r="AB1588" s="36">
        <f>IF(AND(AD1588="EUR", F1588="Without EV deal", AE1588="USD"), (T1588*Y1588)*U1588,
IF(AND(AD1588="EUR", F1588="Without EV deal", AE1588="EUR"), (T1588*Y1588),
IF(AND(AD1588="EUR",AE1588="USD"), (T1588*Y1588)*U1588,
T1588*Y1588)))</f>
        <v>0</v>
      </c>
      <c r="AC1588" s="37" t="b">
        <v>0</v>
      </c>
      <c r="AD1588" s="82" t="str">
        <f>IF(OR(H1588="€0.25 Flash",
H1588="€0.25(nitro) new",
H1588="€1",
H1588="€2",
H1588="€2 (bf 01.08)",
H1588="€5",
H1588="€5 (1M)",
H1588="€5 (bf 01.08)",
H1588="€5 (bf 05.05)",
H1588="€5 Nitro",
H1588="€5(wx) new",
H1588="€10",
H1588="€10 (1M)",
H1588="€10 (bf 01.08)",
H1588="€10 (bf 05.05)",
H1588="€10 (MP)",
H1588="€10 (old)",
H1588="€10 Nitro (bf 05.05)",
H1588="€10 Nitro (old)",
H1588="€10(wx) new",
H1588="€20",
H1588="€25",
H1588="€25 (bf 01.08)",
H1588="€25 (bf 05.05)",
H1588="€25 (MP)",
H1588="€25 (old)",
H1588="€25 Nitro",
H1588="€25 Nitro (bf 01.08)",
H1588="€25 Nitro (bf 05.05)",
H1588="€25(nitro) new",
H1588="€25(wx) new",
H1588="€50",
H1588="€50 (bf 01.08)",
H1588="€50 (bf 05.05)",
H1588="€50 (old)",
H1588="€50 Nitro",
H1588="€50 Nitro (bf 01.08)",
H1588="€50 Nitro (bf 05.05)",
H1588="€50(wx) new",
H1588="€100",
H1588="€100 (old)",
H1588="€100 Nitro",
H1588="€100 Nitro (old)",
H1588="€200",
H1588="€250",
H1588="€250 Nitro",
H1588="€500",
H1588="€500 Nitro"),"EUR", "USD")</f>
        <v>USD</v>
      </c>
      <c r="AE1588" s="83" t="s">
        <v>38</v>
      </c>
      <c r="AF1588" s="83" t="str">
        <f t="array" ref="AF1588">INDEX('Deal Info'!D:D, MATCH(A1588,'Deal Info'!A:A, 0))</f>
        <v>DoEV</v>
      </c>
      <c r="AG1588" s="84" t="str">
        <f t="array" ref="AG1588">INDEX('Deal Info'!G:G, MATCH(A1588,'Deal Info'!A:A, 0))</f>
        <v>None</v>
      </c>
    </row>
    <row r="1589" spans="1:33" ht="14.25" hidden="1" x14ac:dyDescent="0.2">
      <c r="A1589" s="18" t="str">
        <f t="array" ref="A1589">IF(G1589='Room Info'!$B$1, INDEX('Room Info'!$A$2:$A2446, MATCH(B1589,'Room Info'!$B$2:$B2446, 0)),IF(G1589='Room Info'!$C$1, INDEX('Room Info'!$A$2:$A2446, MATCH(B1589,'Room Info'!$C$2:$C2446, 0)),IF(G1589='Room Info'!$D$1, INDEX('Room Info'!$A$2:$A2446, MATCH(B1589,'Room Info'!$D$2:$D2446, 0)),IF(G1589='Room Info'!$E$1, INDEX('Room Info'!$A$2:$A2446, MATCH(B1589,'Room Info'!$E$2:$E2446, 0)),IF(G1589='Room Info'!$F$1, INDEX('Room Info'!$A$2:$A2446, MATCH(B1589,'Room Info'!$F$2:$F2446, 0)),IF(G1589='Room Info'!$H$1, INDEX('Room Info'!$A$2:$A2446, MATCH(B1589,'Room Info'!$H$2:$H2446, 0)),IF(G1589='Room Info'!$G$1, INDEX('Room Info'!$A$2:$A2446, MATCH(B1589,'Room Info'!$G$2:$G2446, 0)))))))))</f>
        <v>Ekx444</v>
      </c>
      <c r="B1589" s="45" t="s">
        <v>169</v>
      </c>
      <c r="C1589" s="46">
        <v>44978</v>
      </c>
      <c r="D1589" s="46">
        <v>45005</v>
      </c>
      <c r="E1589" s="90">
        <v>44986</v>
      </c>
      <c r="F1589" s="48" t="s">
        <v>34</v>
      </c>
      <c r="G1589" s="65" t="s">
        <v>35</v>
      </c>
      <c r="H1589" s="91" t="s">
        <v>46</v>
      </c>
      <c r="I1589" s="100" t="s">
        <v>37</v>
      </c>
      <c r="J1589" s="39">
        <v>25</v>
      </c>
      <c r="K1589" s="75">
        <v>2254</v>
      </c>
      <c r="L1589" s="72">
        <v>1275</v>
      </c>
      <c r="M1589" s="79"/>
      <c r="N1589" s="28">
        <f>K1589*J1589</f>
        <v>56350</v>
      </c>
      <c r="O1589" s="45">
        <v>85000</v>
      </c>
      <c r="P1589" s="29">
        <v>37.710736470000001</v>
      </c>
      <c r="Q1589" s="55"/>
      <c r="R1589" s="31">
        <f>M1589+Q1589*J1589*K1589*0.07</f>
        <v>0</v>
      </c>
      <c r="S1589" s="97"/>
      <c r="T1589" s="32">
        <f>IF(AND(AD1589="EUR", F1589="Without EV deal"), R1589 + L1589,
IF(AND(AD1589="USD", F1589="Without EV deal"), R1589 + L1589,
IF(AND(AD1589="EUR", F1589="Steel Phoenix"), R1589 + S1589/U1589,
R1589 + S1589)))</f>
        <v>0</v>
      </c>
      <c r="U1589" s="57">
        <v>1.071</v>
      </c>
      <c r="V1589" s="69">
        <v>36.575246132208157</v>
      </c>
      <c r="W1589" s="69">
        <v>126.04153047490867</v>
      </c>
      <c r="X1589" s="30">
        <f>IF(AF1589="DoEV",IF(AND(V1589&lt;20,W1589&lt;55),0.3,0)+IF(AND(V1589&lt;20,W1589&gt;=55,W1589&lt;105),0.23,0)+IF(AND(V1589&lt;20,W1589&gt;=105),0.17,0)+IF(AND(V1589&gt;=20,V1589&lt;40,W1589&lt;45),0.3,0)+IF(AND(V1589&gt;=20,V1589&lt;40,W1589&gt;=45,W1589&lt;95),0.23,0)+IF(AND(V1589&gt;=20,V1589&lt;40,W1589&gt;=95),0.17,0)+IF(AND(V1589&gt;=40,V1589&lt;75,W1589&lt;35),0.3,0)+IF(AND(V1589&gt;=40,V1589&lt;75,W1589&gt;=35,W1589&lt;75),0.23,0)+IF(AND(V1589&gt;=40,V1589&lt;75,W1589&gt;=75,W1589&lt;120),0.17,0)+IF(AND(V1589&gt;=40,V1589&lt;75,W1589&gt;=120),0.12,0)+IF(AND(V1589&gt;=75,V1589&lt;175,W1589&lt;35),0.3,0)+IF(AND(V1589&gt;=75,V1589&lt;=175,W1589&gt;=35,W1589&lt;65),0.23,0)+IF(AND(V1589&gt;=75,V1589&lt;=175,W1589&gt;=65,W1589&lt;110),0.17,0)+IF(AND(V1589&gt;=75,V1589&lt;=175,W1589&gt;=110),0.12,0)+IF(AND(V1589&gt;175,W1589&lt;25),0.3,0)+IF(AND(V1589&gt;175,W1589&gt;=25,W1589&lt;55),0.23,0)+IF(AND(V1589&gt;175,W1589&gt;=55,W1589&lt;95),0.17,0)+IF(AND(V1589&gt;175,W1589&gt;=95),0.12,0),
IF(AF1589="Fix15",0.15,
IF(AF1589="Fix5",0.05,
IF(AF1589="Fix18.75",0.1875,
IF(AF1589="Fix11.25",0.1125,
IF(AF1589="Fix10",0.1,
IF(AF1589="Fix9",0.09,
IF(AF1589="Fix12",0.12,
IF(AF1589="Fix19",0.19,
IF(AF1589="DoEV2017",IF(AND(W1589&lt;74),0.2,0)+IF(AND(W1589&gt;=74),0.17,0),
IF(AF1589="SF",IF(AND(V1589&lt;20,W1589&lt;89),0.3,0)+IF(AND(V1589&lt;20,W1589&gt;=89),0.25,0)+IF(AND(V1589&gt;=20,V1589&lt;40,W1589&lt;74),0.3,0)+IF(AND(V1589&gt;=20,V1589&lt;40,W1589&gt;=75),0.22,0)+IF(AND(V1589&gt;=40,V1589&lt;75,W1589&lt;75),0.26,0)+IF(AND(V1589&gt;=40,V1589&lt;75,W1589&gt;=75),0.22,0)+IF(V1589&gt;=75,0.22,0),
IF(AF1589="DoEVold",IF(AND(V1589&lt;40,W1589&lt;35),0.35,0)+IF(AND(V1589&lt;40,W1589&gt;=35,W1589&lt;75),0.25,0)+IF(AND(V1589&lt;40,W1589&gt;=75),0.17,0)+IF(AND(V1589&gt;=40,V1589&lt;75,W1589&lt;25),0.35,0)+IF(AND(V1589&gt;=40,V1589&lt;75,W1589&gt;=25,W1589&lt;65),0.25,0)+IF(AND(V1589&gt;=40,V1589&lt;75,W1589&gt;=65,W1589&lt;100),0.17,0)+IF(AND(V1589&gt;=40,V1589&lt;75,W1589&gt;=100),0.1,0)+IF(AND(V1589&gt;=75,W1589&lt;25),0.35,0)+IF(AND(V1589&gt;=75,W1589&gt;=25,W1589&lt;60),0.25,0)+IF(AND(V1589&gt;=75,W1589&gt;=60,W1589&lt;95),0.17,0)+IF(AND(V1589&gt;=75,W1589&gt;=95),0.1,0),
IF(AF1589="DoEVold15",IF(AND(V1589&lt;=40,W1589&lt;35),0.35,0)+IF(AND(V1589&lt;=40,W1589&gt;=35,W1589&lt;75),0.25,0)+IF(AND(V1589&lt;=40,W1589&gt;=75,W1589&lt;120),0.17,0)+IF(AND(V1589&lt;=40,W1589&gt;=120),0.15,0)+IF(AND(V1589&gt;40,V1589&lt;75,W1589&lt;25),0.35,0)+IF(AND(V1589&gt;=40,V1589&lt;75,W1589&gt;=25,W1589&lt;65),0.25,0)+IF(AND(V1589&gt;=40,V1589&lt;75,W1589&gt;=65,W1589&lt;100),0.17,0)+IF(AND(V1589&gt;=40,V1589&lt;75,W1589&gt;=100),0.1,0)+IF(AND(V1589&gt;=75,W1589&lt;25),0.35,0)+IF(AND(V1589&gt;=75,W1589&gt;=25,W1589&lt;60),0.25,0)+IF(AND(V1589&gt;=75,W1589&gt;=60,W1589&lt;95),0.17,0)+IF(AND(V1589&gt;=75,W1589&gt;=95),0.1,0),
IF(AF1589="DoEVba",IF(AND(V1589&lt;20,W1589&lt;105),0.2,0)+IF(AND(V1589&lt;20,W1589&gt;=105),0.15,0)+IF(AND(V1589&gt;=20,V1589&lt;40,W1589&lt;95),0.2,0)+IF(AND(V1589&gt;=20,V1589&lt;40,W1589&gt;=95,W1589&lt;150),0.15,0)+IF(AND(V1589&gt;=20,V1589&lt;40,W1589&gt;=150),0.12,0)+IF(AND(V1589&gt;=40,V1589&lt;75,W1589&lt;75),0.2,0)+IF(AND(V1589&gt;=40,V1589&lt;75,W1589&gt;=75,W1589&lt;120),0.15,0)+IF(AND(V1589&gt;=40,V1589&lt;75,W1589&gt;=120),0.12,0)+IF(AND(V1589&gt;=75,V1589&lt;175,W1589&lt;65),0.2,0)+IF(AND(V1589&gt;=75,V1589&lt;175,W1589&gt;=65,W1589&lt;110),0.15,0)+IF(AND(V1589&gt;=75,V1589&lt;175,W1589&gt;=110),0.12,0)+IF(AND(V1589&gt;=175,W1589&lt;55),0.2,0)+IF(AND(V1589&gt;=175,W1589&gt;=55,W1589&lt;95),0.15,0)+IF(AND(V1589&gt;=175,W1589&gt;=95),0.12,0),
IF(AF1589="DoEVku",IF(AND(V1589&lt;20,W1589&lt;55),0.23,0)+IF(AND(V1589&lt;20,W1589&gt;=55,W1589&lt;105),0.2,0)+IF(AND(V1589&lt;20,W1589&gt;=105),0.17,0)+IF(AND(V1589&gt;=20,V1589&lt;40,W1589&lt;45),0.23,0)+IF(AND(V1589&gt;=20,V1589&lt;40,W1589&gt;=45,W1589&lt;95),0.2,0)+IF(AND(V1589&gt;=20,V1589&lt;40,W1589&gt;=95,W1589&lt;=150),0.17,0)+IF(AND(V1589&gt;=20,V1589&lt;40,W1589&gt;=150),0.12,0)+IF(AND(V1589&gt;=40,V1589&lt;75,W1589&lt;35),0.23,0)+IF(AND(V1589&gt;=40,V1589&lt;75,W1589&gt;=35,W1589&lt;75),0.2,0)+IF(AND(V1589&gt;=40,V1589&lt;75,W1589&gt;=75,W1589&lt;120),0.17,0)+IF(AND(V1589&gt;=40,V1589&lt;75,W1589&gt;=120),0.12,0)+IF(AND(V1589&gt;=75,V1589&lt;175,W1589&lt;35),0.23,0)+IF(AND(V1589&gt;=75,V1589&lt;=175,W1589&gt;=35,W1589&lt;65),0.2,0)+IF(AND(V1589&gt;=75,V1589&lt;=175,W1589&gt;=65,W1589&lt;110),0.17,0)+IF(AND(V1589&gt;=75,V1589&lt;=175,W1589&gt;=110),0.12,0)+IF(AND(V1589&gt;175,W1589&lt;25),0.23,0)+IF(AND(V1589&gt;175,W1589&gt;=25,W1589&lt;55),0.2,0)+IF(AND(V1589&gt;175,W1589&gt;=55,W1589&lt;95),0.17,0)+IF(AND(V1589&gt;175,W1589&gt;=95),0.12,0),
IF(AF1589="DoEVs1",IF(AND(V1589&lt;20,W1589&lt;55),0.3,0)+IF(AND(V1589&lt;20,W1589&gt;=55,W1589&lt;105),0.23,0)+IF(AND(V1589&lt;20,W1589&gt;=105),0.17,0)+IF(AND(V1589&gt;=20,V1589&lt;40,W1589&lt;45),0.3,0)+IF(AND(V1589&gt;=20,V1589&lt;40,W1589&gt;=45,W1589&lt;95),0.23,0)+IF(AND(V1589&gt;=20,V1589&lt;40,W1589&gt;=95,W1589&lt;=150),0.17,0)+IF(AND(V1589&gt;=20,V1589&lt;40,W1589&gt;=150),0.12,0)+IF(AND(V1589&gt;=40,V1589&lt;75,W1589&lt;35),0.3,0)+IF(AND(V1589&gt;=40,V1589&lt;75,W1589&gt;=35,W1589&lt;75),0.23,0)+IF(AND(V1589&gt;=40,V1589&lt;75,W1589&gt;=75,W1589&lt;120),0.17,0)+IF(AND(V1589&gt;=40,V1589&lt;75,W1589&gt;=120),0.12,0)+IF(AND(V1589&gt;=75,V1589&lt;175,W1589&lt;35),0.3,0)+IF(AND(V1589&gt;=75,V1589&lt;=175,W1589&gt;=35,W1589&lt;65),0.23,0)+IF(AND(V1589&gt;=75,V1589&lt;=175,W1589&gt;=65,W1589&lt;110),0.17,0)+IF(AND(V1589&gt;=75,V1589&lt;=175,W1589&gt;=110),0.12,0)+IF(AND(V1589&gt;175,W1589&lt;25),0.3,0)+IF(AND(V1589&gt;175,W1589&gt;=25,W1589&lt;55),0.23,0)+IF(AND(V1589&gt;175,W1589&gt;=55,W1589&lt;95),0.17,0)+IF(AND(V1589&gt;175,W1589&gt;=95),0.12,0),
IF(AF1589="DoEVsu",IF(AND(V1589&lt;20,W1589&lt;55),0.3,0)+IF(AND(V1589&lt;20,W1589&gt;=55,W1589&lt;105),0.23,0)+IF(AND(V1589&lt;20,W1589&gt;=105),0.17,0)+IF(AND(V1589&gt;=20,V1589&lt;40,W1589&lt;45),0.3,0)+IF(AND(V1589&gt;=20,V1589&lt;40,W1589&gt;=45,W1589&lt;95),0.23,0)+IF(AND(V1589&gt;=20,V1589&lt;40,W1589&gt;=95,W1589&lt;=250),0.17,0)+IF(AND(V1589&gt;=20,V1589&lt;40,W1589&gt;=250),0.12,0)+IF(AND(V1589&gt;=40,V1589&lt;75,W1589&lt;35),0.3,0)+IF(AND(V1589&gt;=40,V1589&lt;75,W1589&gt;=35,W1589&lt;75),0.23,0)+IF(AND(V1589&gt;=40,V1589&lt;75,W1589&gt;=75,W1589&lt;120),0.17,0)+IF(AND(V1589&gt;=40,V1589&lt;75,W1589&gt;=120),0.12,0)+IF(AND(V1589&gt;=75,V1589&lt;175,W1589&lt;35),0.3,0)+IF(AND(V1589&gt;=75,V1589&lt;=175,W1589&gt;=35,W1589&lt;65),0.23,0)+IF(AND(V1589&gt;=75,V1589&lt;=175,W1589&gt;=65,W1589&lt;110),0.17,0)+IF(AND(V1589&gt;=75,V1589&lt;=175,W1589&gt;=110),0.12,0)+IF(AND(V1589&gt;175,W1589&lt;25),0.3,0)+IF(AND(V1589&gt;175,W1589&gt;=25,W1589&lt;55),0.23,0)+IF(AND(V1589&gt;175,W1589&gt;=55,W1589&lt;95),0.17,0)+IF(AND(V1589&gt;175,W1589&gt;=95),0.12,0),
IF(AF1589="DoEVni",IF(AND(V1589&lt;20,W1589&lt;55),0.3,0)+IF(AND(V1589&lt;20,W1589&gt;=55,W1589&lt;105),0.23,0)+IF(AND(V1589&lt;20,W1589&gt;=105),0.17,0)+IF(AND(V1589&gt;=20,V1589&lt;40,W1589&lt;45),0.3,0)+IF(AND(V1589&gt;=20,V1589&lt;40,W1589&gt;=45,W1589&lt;95),0.23,0)+IF(AND(V1589&gt;=20,V1589&lt;40,W1589&gt;=95,W1589&lt;=200),0.17,0)+IF(AND(V1589&gt;=20,V1589&lt;40,W1589&gt;=200),0.12,0)+IF(AND(V1589&gt;=40,V1589&lt;75,W1589&lt;35),0.3,0)+IF(AND(V1589&gt;=40,V1589&lt;75,W1589&gt;=35,W1589&lt;75),0.23,0)+IF(AND(V1589&gt;=40,V1589&lt;75,W1589&gt;=75,W1589&lt;120),0.17,0)+IF(AND(V1589&gt;=40,V1589&lt;75,W1589&gt;=120),0.12,0)+IF(AND(V1589&gt;=75,V1589&lt;175,W1589&lt;35),0.3,0)+IF(AND(V1589&gt;=75,V1589&lt;=175,W1589&gt;=35,W1589&lt;65),0.23,0)+IF(AND(V1589&gt;=75,V1589&lt;=175,W1589&gt;=65,W1589&lt;110),0.17,0)+IF(AND(V1589&gt;=75,V1589&lt;=175,W1589&gt;=110),0.12,0)+IF(AND(V1589&gt;175,W1589&lt;25),0.3,0)+IF(AND(V1589&gt;175,W1589&gt;=25,W1589&lt;55),0.23,0)+IF(AND(V1589&gt;175,W1589&gt;=55,W1589&lt;95),0.17,0)+IF(AND(V1589&gt;175,W1589&gt;=95),0.12,0),
IF(AF1589="DoEVLo",IF(AND(V1589&lt;20,W1589&lt;55),0.25,0)+IF(AND(V1589&lt;20,W1589&gt;=55,W1589&lt;105),0.2,0)+IF(AND(V1589&lt;20,W1589&gt;=105),0.15,0)+IF(AND(V1589&gt;=20,V1589&lt;40,W1589&lt;45),0.25,0)+IF(AND(V1589&gt;=20,V1589&lt;40,W1589&gt;=45,W1589&lt;95),0.2,0)+IF(AND(V1589&gt;=20,V1589&lt;40,W1589&gt;=95),0.15,0)+IF(AND(V1589&gt;=40,V1589&lt;75,W1589&lt;35),0.25,0)+IF(AND(V1589&gt;=40,V1589&lt;75,W1589&gt;=35,W1589&lt;75),0.2,0)+IF(AND(V1589&gt;=40,V1589&lt;75,W1589&gt;=75,W1589&lt;120),0.15,0)+IF(AND(V1589&gt;=40,V1589&lt;75,W1589&gt;=120),0.1,0)+IF(AND(V1589&gt;=75,V1589&lt;175,W1589&lt;35),0.25,0)+IF(AND(V1589&gt;=75,V1589&lt;=175,W1589&gt;=35,W1589&lt;65),0.2,0)+IF(AND(V1589&gt;=75,V1589&lt;=175,W1589&gt;=65,W1589&lt;110),0.15,0)+IF(AND(V1589&gt;=75,V1589&lt;=175,W1589&gt;=110),0.1,0)+IF(AND(V1589&gt;175,W1589&lt;25),0.25,0)+IF(AND(V1589&gt;175,W1589&gt;=25,W1589&lt;55),0.2,0)+IF(AND(V1589&gt;175,W1589&gt;=55,W1589&lt;95),0.15,0)+IF(AND(V1589&gt;175,W1589&gt;=95),0.1,0))))))))))))))))))))</f>
        <v>0.17</v>
      </c>
      <c r="Y1589" s="30">
        <f>IF(AG1589="None",0,IF(AG1589="Fix5",0.05, IF(AG1589="Fix6.25",0.0625,IF(AG1589="Fix3.75",0.0375, IF(AG1589="Fix11",0.11, IF(AG1589="Fix10",0.1,IF(AG1589="Fix3",0.03,0)))))))</f>
        <v>0</v>
      </c>
      <c r="Z1589" s="35">
        <f>IF(AND(AD1589="EUR", AE1589 = "USD"), T1589*U1589-AA1589-AB1589, T1589-AA1589-AB1589)</f>
        <v>0</v>
      </c>
      <c r="AA1589" s="29">
        <f>IF(AND(AD1589="EUR", F1589="Without EV deal", AE1589="USD"), (T1589*X1589)*U1589,
IF(AND(AD1589="EUR", F1589="Without EV deal", AE1589="EUR"), (T1589*X1589),
IF(AND(AD1589="EUR",AE1589="USD"), (T1589*X1589)*U1589,
T1589*X1589)))</f>
        <v>0</v>
      </c>
      <c r="AB1589" s="36">
        <f>IF(AND(AD1589="EUR", F1589="Without EV deal", AE1589="USD"), (T1589*Y1589)*U1589,
IF(AND(AD1589="EUR", F1589="Without EV deal", AE1589="EUR"), (T1589*Y1589),
IF(AND(AD1589="EUR",AE1589="USD"), (T1589*Y1589)*U1589,
T1589*Y1589)))</f>
        <v>0</v>
      </c>
      <c r="AC1589" s="37" t="b">
        <v>0</v>
      </c>
      <c r="AD1589" s="82" t="str">
        <f>IF(OR(H1589="€0.25 Flash",
H1589="€0.25(nitro) new",
H1589="€1",
H1589="€2",
H1589="€2 (bf 01.08)",
H1589="€5",
H1589="€5 (1M)",
H1589="€5 (bf 01.08)",
H1589="€5 (bf 05.05)",
H1589="€5 Nitro",
H1589="€5(wx) new",
H1589="€10",
H1589="€10 (1M)",
H1589="€10 (bf 01.08)",
H1589="€10 (bf 05.05)",
H1589="€10 (MP)",
H1589="€10 (old)",
H1589="€10 Nitro (bf 05.05)",
H1589="€10 Nitro (old)",
H1589="€10(wx) new",
H1589="€20",
H1589="€25",
H1589="€25 (bf 01.08)",
H1589="€25 (bf 05.05)",
H1589="€25 (MP)",
H1589="€25 (old)",
H1589="€25 Nitro",
H1589="€25 Nitro (bf 01.08)",
H1589="€25 Nitro (bf 05.05)",
H1589="€25(nitro) new",
H1589="€25(wx) new",
H1589="€50",
H1589="€50 (bf 01.08)",
H1589="€50 (bf 05.05)",
H1589="€50 (old)",
H1589="€50 Nitro",
H1589="€50 Nitro (bf 01.08)",
H1589="€50 Nitro (bf 05.05)",
H1589="€50(wx) new",
H1589="€100",
H1589="€100 (old)",
H1589="€100 Nitro",
H1589="€100 Nitro (old)",
H1589="€200",
H1589="€250",
H1589="€250 Nitro",
H1589="€500",
H1589="€500 Nitro"),"EUR", "USD")</f>
        <v>USD</v>
      </c>
      <c r="AE1589" s="83" t="s">
        <v>38</v>
      </c>
      <c r="AF1589" s="83" t="str">
        <f t="array" ref="AF1589">INDEX('Deal Info'!D:D, MATCH(A1589,'Deal Info'!A:A, 0))</f>
        <v>DoEV</v>
      </c>
      <c r="AG1589" s="84" t="str">
        <f t="array" ref="AG1589">INDEX('Deal Info'!G:G, MATCH(A1589,'Deal Info'!A:A, 0))</f>
        <v>None</v>
      </c>
    </row>
    <row r="1590" spans="1:33" ht="14.25" hidden="1" x14ac:dyDescent="0.2">
      <c r="A1590" s="18" t="str">
        <f t="array" ref="A1590">IF(G1590='Room Info'!$B$1, INDEX('Room Info'!$A$2:$A2446, MATCH(B1590,'Room Info'!$B$2:$B2446, 0)),IF(G1590='Room Info'!$C$1, INDEX('Room Info'!$A$2:$A2446, MATCH(B1590,'Room Info'!$C$2:$C2446, 0)),IF(G1590='Room Info'!$D$1, INDEX('Room Info'!$A$2:$A2446, MATCH(B1590,'Room Info'!$D$2:$D2446, 0)),IF(G1590='Room Info'!$E$1, INDEX('Room Info'!$A$2:$A2446, MATCH(B1590,'Room Info'!$E$2:$E2446, 0)),IF(G1590='Room Info'!$F$1, INDEX('Room Info'!$A$2:$A2446, MATCH(B1590,'Room Info'!$F$2:$F2446, 0)),IF(G1590='Room Info'!$H$1, INDEX('Room Info'!$A$2:$A2446, MATCH(B1590,'Room Info'!$H$2:$H2446, 0)),IF(G1590='Room Info'!$G$1, INDEX('Room Info'!$A$2:$A2446, MATCH(B1590,'Room Info'!$G$2:$G2446, 0)))))))))</f>
        <v>Ekx444</v>
      </c>
      <c r="B1590" s="45" t="s">
        <v>169</v>
      </c>
      <c r="C1590" s="46">
        <v>44978</v>
      </c>
      <c r="D1590" s="46">
        <v>45005</v>
      </c>
      <c r="E1590" s="90">
        <v>44986</v>
      </c>
      <c r="F1590" s="48" t="s">
        <v>34</v>
      </c>
      <c r="G1590" s="65" t="s">
        <v>35</v>
      </c>
      <c r="H1590" s="91" t="s">
        <v>72</v>
      </c>
      <c r="I1590" s="100" t="s">
        <v>37</v>
      </c>
      <c r="J1590" s="39">
        <v>50</v>
      </c>
      <c r="K1590" s="75">
        <v>1989</v>
      </c>
      <c r="L1590" s="72">
        <v>1950</v>
      </c>
      <c r="M1590" s="79"/>
      <c r="N1590" s="28">
        <f>K1590*J1590</f>
        <v>99450</v>
      </c>
      <c r="O1590" s="45">
        <v>37000</v>
      </c>
      <c r="P1590" s="29">
        <v>18.60231272</v>
      </c>
      <c r="Q1590" s="55"/>
      <c r="R1590" s="31">
        <f>M1590+Q1590*J1590*K1590*0.07</f>
        <v>0</v>
      </c>
      <c r="S1590" s="97"/>
      <c r="T1590" s="32">
        <f>IF(AND(AD1590="EUR", F1590="Without EV deal"), R1590 + L1590,
IF(AND(AD1590="USD", F1590="Without EV deal"), R1590 + L1590,
IF(AND(AD1590="EUR", F1590="Steel Phoenix"), R1590 + S1590/U1590,
R1590 + S1590)))</f>
        <v>0</v>
      </c>
      <c r="U1590" s="57">
        <v>1.071</v>
      </c>
      <c r="V1590" s="69">
        <v>36.575246132208157</v>
      </c>
      <c r="W1590" s="69">
        <v>126.04153047490867</v>
      </c>
      <c r="X1590" s="30">
        <f>IF(AF1590="DoEV",IF(AND(V1590&lt;20,W1590&lt;55),0.3,0)+IF(AND(V1590&lt;20,W1590&gt;=55,W1590&lt;105),0.23,0)+IF(AND(V1590&lt;20,W1590&gt;=105),0.17,0)+IF(AND(V1590&gt;=20,V1590&lt;40,W1590&lt;45),0.3,0)+IF(AND(V1590&gt;=20,V1590&lt;40,W1590&gt;=45,W1590&lt;95),0.23,0)+IF(AND(V1590&gt;=20,V1590&lt;40,W1590&gt;=95),0.17,0)+IF(AND(V1590&gt;=40,V1590&lt;75,W1590&lt;35),0.3,0)+IF(AND(V1590&gt;=40,V1590&lt;75,W1590&gt;=35,W1590&lt;75),0.23,0)+IF(AND(V1590&gt;=40,V1590&lt;75,W1590&gt;=75,W1590&lt;120),0.17,0)+IF(AND(V1590&gt;=40,V1590&lt;75,W1590&gt;=120),0.12,0)+IF(AND(V1590&gt;=75,V1590&lt;175,W1590&lt;35),0.3,0)+IF(AND(V1590&gt;=75,V1590&lt;=175,W1590&gt;=35,W1590&lt;65),0.23,0)+IF(AND(V1590&gt;=75,V1590&lt;=175,W1590&gt;=65,W1590&lt;110),0.17,0)+IF(AND(V1590&gt;=75,V1590&lt;=175,W1590&gt;=110),0.12,0)+IF(AND(V1590&gt;175,W1590&lt;25),0.3,0)+IF(AND(V1590&gt;175,W1590&gt;=25,W1590&lt;55),0.23,0)+IF(AND(V1590&gt;175,W1590&gt;=55,W1590&lt;95),0.17,0)+IF(AND(V1590&gt;175,W1590&gt;=95),0.12,0),
IF(AF1590="Fix15",0.15,
IF(AF1590="Fix5",0.05,
IF(AF1590="Fix18.75",0.1875,
IF(AF1590="Fix11.25",0.1125,
IF(AF1590="Fix10",0.1,
IF(AF1590="Fix9",0.09,
IF(AF1590="Fix12",0.12,
IF(AF1590="Fix19",0.19,
IF(AF1590="DoEV2017",IF(AND(W1590&lt;74),0.2,0)+IF(AND(W1590&gt;=74),0.17,0),
IF(AF1590="SF",IF(AND(V1590&lt;20,W1590&lt;89),0.3,0)+IF(AND(V1590&lt;20,W1590&gt;=89),0.25,0)+IF(AND(V1590&gt;=20,V1590&lt;40,W1590&lt;74),0.3,0)+IF(AND(V1590&gt;=20,V1590&lt;40,W1590&gt;=75),0.22,0)+IF(AND(V1590&gt;=40,V1590&lt;75,W1590&lt;75),0.26,0)+IF(AND(V1590&gt;=40,V1590&lt;75,W1590&gt;=75),0.22,0)+IF(V1590&gt;=75,0.22,0),
IF(AF1590="DoEVold",IF(AND(V1590&lt;40,W1590&lt;35),0.35,0)+IF(AND(V1590&lt;40,W1590&gt;=35,W1590&lt;75),0.25,0)+IF(AND(V1590&lt;40,W1590&gt;=75),0.17,0)+IF(AND(V1590&gt;=40,V1590&lt;75,W1590&lt;25),0.35,0)+IF(AND(V1590&gt;=40,V1590&lt;75,W1590&gt;=25,W1590&lt;65),0.25,0)+IF(AND(V1590&gt;=40,V1590&lt;75,W1590&gt;=65,W1590&lt;100),0.17,0)+IF(AND(V1590&gt;=40,V1590&lt;75,W1590&gt;=100),0.1,0)+IF(AND(V1590&gt;=75,W1590&lt;25),0.35,0)+IF(AND(V1590&gt;=75,W1590&gt;=25,W1590&lt;60),0.25,0)+IF(AND(V1590&gt;=75,W1590&gt;=60,W1590&lt;95),0.17,0)+IF(AND(V1590&gt;=75,W1590&gt;=95),0.1,0),
IF(AF1590="DoEVold15",IF(AND(V1590&lt;=40,W1590&lt;35),0.35,0)+IF(AND(V1590&lt;=40,W1590&gt;=35,W1590&lt;75),0.25,0)+IF(AND(V1590&lt;=40,W1590&gt;=75,W1590&lt;120),0.17,0)+IF(AND(V1590&lt;=40,W1590&gt;=120),0.15,0)+IF(AND(V1590&gt;40,V1590&lt;75,W1590&lt;25),0.35,0)+IF(AND(V1590&gt;=40,V1590&lt;75,W1590&gt;=25,W1590&lt;65),0.25,0)+IF(AND(V1590&gt;=40,V1590&lt;75,W1590&gt;=65,W1590&lt;100),0.17,0)+IF(AND(V1590&gt;=40,V1590&lt;75,W1590&gt;=100),0.1,0)+IF(AND(V1590&gt;=75,W1590&lt;25),0.35,0)+IF(AND(V1590&gt;=75,W1590&gt;=25,W1590&lt;60),0.25,0)+IF(AND(V1590&gt;=75,W1590&gt;=60,W1590&lt;95),0.17,0)+IF(AND(V1590&gt;=75,W1590&gt;=95),0.1,0),
IF(AF1590="DoEVba",IF(AND(V1590&lt;20,W1590&lt;105),0.2,0)+IF(AND(V1590&lt;20,W1590&gt;=105),0.15,0)+IF(AND(V1590&gt;=20,V1590&lt;40,W1590&lt;95),0.2,0)+IF(AND(V1590&gt;=20,V1590&lt;40,W1590&gt;=95,W1590&lt;150),0.15,0)+IF(AND(V1590&gt;=20,V1590&lt;40,W1590&gt;=150),0.12,0)+IF(AND(V1590&gt;=40,V1590&lt;75,W1590&lt;75),0.2,0)+IF(AND(V1590&gt;=40,V1590&lt;75,W1590&gt;=75,W1590&lt;120),0.15,0)+IF(AND(V1590&gt;=40,V1590&lt;75,W1590&gt;=120),0.12,0)+IF(AND(V1590&gt;=75,V1590&lt;175,W1590&lt;65),0.2,0)+IF(AND(V1590&gt;=75,V1590&lt;175,W1590&gt;=65,W1590&lt;110),0.15,0)+IF(AND(V1590&gt;=75,V1590&lt;175,W1590&gt;=110),0.12,0)+IF(AND(V1590&gt;=175,W1590&lt;55),0.2,0)+IF(AND(V1590&gt;=175,W1590&gt;=55,W1590&lt;95),0.15,0)+IF(AND(V1590&gt;=175,W1590&gt;=95),0.12,0),
IF(AF1590="DoEVku",IF(AND(V1590&lt;20,W1590&lt;55),0.23,0)+IF(AND(V1590&lt;20,W1590&gt;=55,W1590&lt;105),0.2,0)+IF(AND(V1590&lt;20,W1590&gt;=105),0.17,0)+IF(AND(V1590&gt;=20,V1590&lt;40,W1590&lt;45),0.23,0)+IF(AND(V1590&gt;=20,V1590&lt;40,W1590&gt;=45,W1590&lt;95),0.2,0)+IF(AND(V1590&gt;=20,V1590&lt;40,W1590&gt;=95,W1590&lt;=150),0.17,0)+IF(AND(V1590&gt;=20,V1590&lt;40,W1590&gt;=150),0.12,0)+IF(AND(V1590&gt;=40,V1590&lt;75,W1590&lt;35),0.23,0)+IF(AND(V1590&gt;=40,V1590&lt;75,W1590&gt;=35,W1590&lt;75),0.2,0)+IF(AND(V1590&gt;=40,V1590&lt;75,W1590&gt;=75,W1590&lt;120),0.17,0)+IF(AND(V1590&gt;=40,V1590&lt;75,W1590&gt;=120),0.12,0)+IF(AND(V1590&gt;=75,V1590&lt;175,W1590&lt;35),0.23,0)+IF(AND(V1590&gt;=75,V1590&lt;=175,W1590&gt;=35,W1590&lt;65),0.2,0)+IF(AND(V1590&gt;=75,V1590&lt;=175,W1590&gt;=65,W1590&lt;110),0.17,0)+IF(AND(V1590&gt;=75,V1590&lt;=175,W1590&gt;=110),0.12,0)+IF(AND(V1590&gt;175,W1590&lt;25),0.23,0)+IF(AND(V1590&gt;175,W1590&gt;=25,W1590&lt;55),0.2,0)+IF(AND(V1590&gt;175,W1590&gt;=55,W1590&lt;95),0.17,0)+IF(AND(V1590&gt;175,W1590&gt;=95),0.12,0),
IF(AF1590="DoEVs1",IF(AND(V1590&lt;20,W1590&lt;55),0.3,0)+IF(AND(V1590&lt;20,W1590&gt;=55,W1590&lt;105),0.23,0)+IF(AND(V1590&lt;20,W1590&gt;=105),0.17,0)+IF(AND(V1590&gt;=20,V1590&lt;40,W1590&lt;45),0.3,0)+IF(AND(V1590&gt;=20,V1590&lt;40,W1590&gt;=45,W1590&lt;95),0.23,0)+IF(AND(V1590&gt;=20,V1590&lt;40,W1590&gt;=95,W1590&lt;=150),0.17,0)+IF(AND(V1590&gt;=20,V1590&lt;40,W1590&gt;=150),0.12,0)+IF(AND(V1590&gt;=40,V1590&lt;75,W1590&lt;35),0.3,0)+IF(AND(V1590&gt;=40,V1590&lt;75,W1590&gt;=35,W1590&lt;75),0.23,0)+IF(AND(V1590&gt;=40,V1590&lt;75,W1590&gt;=75,W1590&lt;120),0.17,0)+IF(AND(V1590&gt;=40,V1590&lt;75,W1590&gt;=120),0.12,0)+IF(AND(V1590&gt;=75,V1590&lt;175,W1590&lt;35),0.3,0)+IF(AND(V1590&gt;=75,V1590&lt;=175,W1590&gt;=35,W1590&lt;65),0.23,0)+IF(AND(V1590&gt;=75,V1590&lt;=175,W1590&gt;=65,W1590&lt;110),0.17,0)+IF(AND(V1590&gt;=75,V1590&lt;=175,W1590&gt;=110),0.12,0)+IF(AND(V1590&gt;175,W1590&lt;25),0.3,0)+IF(AND(V1590&gt;175,W1590&gt;=25,W1590&lt;55),0.23,0)+IF(AND(V1590&gt;175,W1590&gt;=55,W1590&lt;95),0.17,0)+IF(AND(V1590&gt;175,W1590&gt;=95),0.12,0),
IF(AF1590="DoEVsu",IF(AND(V1590&lt;20,W1590&lt;55),0.3,0)+IF(AND(V1590&lt;20,W1590&gt;=55,W1590&lt;105),0.23,0)+IF(AND(V1590&lt;20,W1590&gt;=105),0.17,0)+IF(AND(V1590&gt;=20,V1590&lt;40,W1590&lt;45),0.3,0)+IF(AND(V1590&gt;=20,V1590&lt;40,W1590&gt;=45,W1590&lt;95),0.23,0)+IF(AND(V1590&gt;=20,V1590&lt;40,W1590&gt;=95,W1590&lt;=250),0.17,0)+IF(AND(V1590&gt;=20,V1590&lt;40,W1590&gt;=250),0.12,0)+IF(AND(V1590&gt;=40,V1590&lt;75,W1590&lt;35),0.3,0)+IF(AND(V1590&gt;=40,V1590&lt;75,W1590&gt;=35,W1590&lt;75),0.23,0)+IF(AND(V1590&gt;=40,V1590&lt;75,W1590&gt;=75,W1590&lt;120),0.17,0)+IF(AND(V1590&gt;=40,V1590&lt;75,W1590&gt;=120),0.12,0)+IF(AND(V1590&gt;=75,V1590&lt;175,W1590&lt;35),0.3,0)+IF(AND(V1590&gt;=75,V1590&lt;=175,W1590&gt;=35,W1590&lt;65),0.23,0)+IF(AND(V1590&gt;=75,V1590&lt;=175,W1590&gt;=65,W1590&lt;110),0.17,0)+IF(AND(V1590&gt;=75,V1590&lt;=175,W1590&gt;=110),0.12,0)+IF(AND(V1590&gt;175,W1590&lt;25),0.3,0)+IF(AND(V1590&gt;175,W1590&gt;=25,W1590&lt;55),0.23,0)+IF(AND(V1590&gt;175,W1590&gt;=55,W1590&lt;95),0.17,0)+IF(AND(V1590&gt;175,W1590&gt;=95),0.12,0),
IF(AF1590="DoEVni",IF(AND(V1590&lt;20,W1590&lt;55),0.3,0)+IF(AND(V1590&lt;20,W1590&gt;=55,W1590&lt;105),0.23,0)+IF(AND(V1590&lt;20,W1590&gt;=105),0.17,0)+IF(AND(V1590&gt;=20,V1590&lt;40,W1590&lt;45),0.3,0)+IF(AND(V1590&gt;=20,V1590&lt;40,W1590&gt;=45,W1590&lt;95),0.23,0)+IF(AND(V1590&gt;=20,V1590&lt;40,W1590&gt;=95,W1590&lt;=200),0.17,0)+IF(AND(V1590&gt;=20,V1590&lt;40,W1590&gt;=200),0.12,0)+IF(AND(V1590&gt;=40,V1590&lt;75,W1590&lt;35),0.3,0)+IF(AND(V1590&gt;=40,V1590&lt;75,W1590&gt;=35,W1590&lt;75),0.23,0)+IF(AND(V1590&gt;=40,V1590&lt;75,W1590&gt;=75,W1590&lt;120),0.17,0)+IF(AND(V1590&gt;=40,V1590&lt;75,W1590&gt;=120),0.12,0)+IF(AND(V1590&gt;=75,V1590&lt;175,W1590&lt;35),0.3,0)+IF(AND(V1590&gt;=75,V1590&lt;=175,W1590&gt;=35,W1590&lt;65),0.23,0)+IF(AND(V1590&gt;=75,V1590&lt;=175,W1590&gt;=65,W1590&lt;110),0.17,0)+IF(AND(V1590&gt;=75,V1590&lt;=175,W1590&gt;=110),0.12,0)+IF(AND(V1590&gt;175,W1590&lt;25),0.3,0)+IF(AND(V1590&gt;175,W1590&gt;=25,W1590&lt;55),0.23,0)+IF(AND(V1590&gt;175,W1590&gt;=55,W1590&lt;95),0.17,0)+IF(AND(V1590&gt;175,W1590&gt;=95),0.12,0),
IF(AF1590="DoEVLo",IF(AND(V1590&lt;20,W1590&lt;55),0.25,0)+IF(AND(V1590&lt;20,W1590&gt;=55,W1590&lt;105),0.2,0)+IF(AND(V1590&lt;20,W1590&gt;=105),0.15,0)+IF(AND(V1590&gt;=20,V1590&lt;40,W1590&lt;45),0.25,0)+IF(AND(V1590&gt;=20,V1590&lt;40,W1590&gt;=45,W1590&lt;95),0.2,0)+IF(AND(V1590&gt;=20,V1590&lt;40,W1590&gt;=95),0.15,0)+IF(AND(V1590&gt;=40,V1590&lt;75,W1590&lt;35),0.25,0)+IF(AND(V1590&gt;=40,V1590&lt;75,W1590&gt;=35,W1590&lt;75),0.2,0)+IF(AND(V1590&gt;=40,V1590&lt;75,W1590&gt;=75,W1590&lt;120),0.15,0)+IF(AND(V1590&gt;=40,V1590&lt;75,W1590&gt;=120),0.1,0)+IF(AND(V1590&gt;=75,V1590&lt;175,W1590&lt;35),0.25,0)+IF(AND(V1590&gt;=75,V1590&lt;=175,W1590&gt;=35,W1590&lt;65),0.2,0)+IF(AND(V1590&gt;=75,V1590&lt;=175,W1590&gt;=65,W1590&lt;110),0.15,0)+IF(AND(V1590&gt;=75,V1590&lt;=175,W1590&gt;=110),0.1,0)+IF(AND(V1590&gt;175,W1590&lt;25),0.25,0)+IF(AND(V1590&gt;175,W1590&gt;=25,W1590&lt;55),0.2,0)+IF(AND(V1590&gt;175,W1590&gt;=55,W1590&lt;95),0.15,0)+IF(AND(V1590&gt;175,W1590&gt;=95),0.1,0))))))))))))))))))))</f>
        <v>0.17</v>
      </c>
      <c r="Y1590" s="30">
        <f>IF(AG1590="None",0,IF(AG1590="Fix5",0.05, IF(AG1590="Fix6.25",0.0625,IF(AG1590="Fix3.75",0.0375, IF(AG1590="Fix11",0.11, IF(AG1590="Fix10",0.1,IF(AG1590="Fix3",0.03,0)))))))</f>
        <v>0</v>
      </c>
      <c r="Z1590" s="35">
        <f>IF(AND(AD1590="EUR", AE1590 = "USD"), T1590*U1590-AA1590-AB1590, T1590-AA1590-AB1590)</f>
        <v>0</v>
      </c>
      <c r="AA1590" s="29">
        <f>IF(AND(AD1590="EUR", F1590="Without EV deal", AE1590="USD"), (T1590*X1590)*U1590,
IF(AND(AD1590="EUR", F1590="Without EV deal", AE1590="EUR"), (T1590*X1590),
IF(AND(AD1590="EUR",AE1590="USD"), (T1590*X1590)*U1590,
T1590*X1590)))</f>
        <v>0</v>
      </c>
      <c r="AB1590" s="36">
        <f>IF(AND(AD1590="EUR", F1590="Without EV deal", AE1590="USD"), (T1590*Y1590)*U1590,
IF(AND(AD1590="EUR", F1590="Without EV deal", AE1590="EUR"), (T1590*Y1590),
IF(AND(AD1590="EUR",AE1590="USD"), (T1590*Y1590)*U1590,
T1590*Y1590)))</f>
        <v>0</v>
      </c>
      <c r="AC1590" s="37" t="b">
        <v>0</v>
      </c>
      <c r="AD1590" s="82" t="str">
        <f>IF(OR(H1590="€0.25 Flash",
H1590="€0.25(nitro) new",
H1590="€1",
H1590="€2",
H1590="€2 (bf 01.08)",
H1590="€5",
H1590="€5 (1M)",
H1590="€5 (bf 01.08)",
H1590="€5 (bf 05.05)",
H1590="€5 Nitro",
H1590="€5(wx) new",
H1590="€10",
H1590="€10 (1M)",
H1590="€10 (bf 01.08)",
H1590="€10 (bf 05.05)",
H1590="€10 (MP)",
H1590="€10 (old)",
H1590="€10 Nitro (bf 05.05)",
H1590="€10 Nitro (old)",
H1590="€10(wx) new",
H1590="€20",
H1590="€25",
H1590="€25 (bf 01.08)",
H1590="€25 (bf 05.05)",
H1590="€25 (MP)",
H1590="€25 (old)",
H1590="€25 Nitro",
H1590="€25 Nitro (bf 01.08)",
H1590="€25 Nitro (bf 05.05)",
H1590="€25(nitro) new",
H1590="€25(wx) new",
H1590="€50",
H1590="€50 (bf 01.08)",
H1590="€50 (bf 05.05)",
H1590="€50 (old)",
H1590="€50 Nitro",
H1590="€50 Nitro (bf 01.08)",
H1590="€50 Nitro (bf 05.05)",
H1590="€50(wx) new",
H1590="€100",
H1590="€100 (old)",
H1590="€100 Nitro",
H1590="€100 Nitro (old)",
H1590="€200",
H1590="€250",
H1590="€250 Nitro",
H1590="€500",
H1590="€500 Nitro"),"EUR", "USD")</f>
        <v>USD</v>
      </c>
      <c r="AE1590" s="83" t="s">
        <v>38</v>
      </c>
      <c r="AF1590" s="83" t="str">
        <f t="array" ref="AF1590">INDEX('Deal Info'!D:D, MATCH(A1590,'Deal Info'!A:A, 0))</f>
        <v>DoEV</v>
      </c>
      <c r="AG1590" s="84" t="str">
        <f t="array" ref="AG1590">INDEX('Deal Info'!G:G, MATCH(A1590,'Deal Info'!A:A, 0))</f>
        <v>None</v>
      </c>
    </row>
    <row r="1591" spans="1:33" ht="14.25" hidden="1" x14ac:dyDescent="0.2">
      <c r="A1591" s="18" t="str">
        <f t="array" ref="A1591">IF(G1591='Room Info'!$B$1, INDEX('Room Info'!$A$2:$A2446, MATCH(B1591,'Room Info'!$B$2:$B2446, 0)),IF(G1591='Room Info'!$C$1, INDEX('Room Info'!$A$2:$A2446, MATCH(B1591,'Room Info'!$C$2:$C2446, 0)),IF(G1591='Room Info'!$D$1, INDEX('Room Info'!$A$2:$A2446, MATCH(B1591,'Room Info'!$D$2:$D2446, 0)),IF(G1591='Room Info'!$E$1, INDEX('Room Info'!$A$2:$A2446, MATCH(B1591,'Room Info'!$E$2:$E2446, 0)),IF(G1591='Room Info'!$F$1, INDEX('Room Info'!$A$2:$A2446, MATCH(B1591,'Room Info'!$F$2:$F2446, 0)),IF(G1591='Room Info'!$H$1, INDEX('Room Info'!$A$2:$A2446, MATCH(B1591,'Room Info'!$H$2:$H2446, 0)),IF(G1591='Room Info'!$G$1, INDEX('Room Info'!$A$2:$A2446, MATCH(B1591,'Room Info'!$G$2:$G2446, 0)))))))))</f>
        <v>KuCoH</v>
      </c>
      <c r="B1591" s="45" t="s">
        <v>178</v>
      </c>
      <c r="C1591" s="46">
        <v>44978</v>
      </c>
      <c r="D1591" s="46">
        <v>45005</v>
      </c>
      <c r="E1591" s="90">
        <v>44986</v>
      </c>
      <c r="F1591" s="48" t="s">
        <v>34</v>
      </c>
      <c r="G1591" s="65" t="s">
        <v>35</v>
      </c>
      <c r="H1591" s="91" t="s">
        <v>46</v>
      </c>
      <c r="I1591" s="100" t="s">
        <v>37</v>
      </c>
      <c r="J1591" s="39">
        <v>25</v>
      </c>
      <c r="K1591" s="75">
        <v>1556</v>
      </c>
      <c r="L1591" s="72">
        <v>-2650</v>
      </c>
      <c r="M1591" s="76">
        <v>1675</v>
      </c>
      <c r="N1591" s="28">
        <f>K1591*J1591</f>
        <v>38900</v>
      </c>
      <c r="O1591" s="45">
        <v>28389</v>
      </c>
      <c r="P1591" s="29">
        <v>18.244858610000001</v>
      </c>
      <c r="Q1591" s="55"/>
      <c r="R1591" s="31">
        <f>M1591+Q1591*J1591*K1591*0.07</f>
        <v>1675</v>
      </c>
      <c r="S1591" s="73">
        <v>-1077</v>
      </c>
      <c r="T1591" s="32">
        <f>IF(AND(AD1591="EUR", F1591="Without EV deal"), R1591 + L1591,
IF(AND(AD1591="USD", F1591="Without EV deal"), R1591 + L1591,
IF(AND(AD1591="EUR", F1591="Steel Phoenix"), R1591 + S1591/U1591,
R1591 + S1591)))</f>
        <v>598</v>
      </c>
      <c r="U1591" s="57">
        <v>1.071</v>
      </c>
      <c r="V1591" s="69">
        <v>25</v>
      </c>
      <c r="W1591" s="69">
        <v>23.92</v>
      </c>
      <c r="X1591" s="30">
        <f>IF(AF1591="DoEV",IF(AND(V1591&lt;20,W1591&lt;55),0.3,0)+IF(AND(V1591&lt;20,W1591&gt;=55,W1591&lt;105),0.23,0)+IF(AND(V1591&lt;20,W1591&gt;=105),0.17,0)+IF(AND(V1591&gt;=20,V1591&lt;40,W1591&lt;45),0.3,0)+IF(AND(V1591&gt;=20,V1591&lt;40,W1591&gt;=45,W1591&lt;95),0.23,0)+IF(AND(V1591&gt;=20,V1591&lt;40,W1591&gt;=95),0.17,0)+IF(AND(V1591&gt;=40,V1591&lt;75,W1591&lt;35),0.3,0)+IF(AND(V1591&gt;=40,V1591&lt;75,W1591&gt;=35,W1591&lt;75),0.23,0)+IF(AND(V1591&gt;=40,V1591&lt;75,W1591&gt;=75,W1591&lt;120),0.17,0)+IF(AND(V1591&gt;=40,V1591&lt;75,W1591&gt;=120),0.12,0)+IF(AND(V1591&gt;=75,V1591&lt;175,W1591&lt;35),0.3,0)+IF(AND(V1591&gt;=75,V1591&lt;=175,W1591&gt;=35,W1591&lt;65),0.23,0)+IF(AND(V1591&gt;=75,V1591&lt;=175,W1591&gt;=65,W1591&lt;110),0.17,0)+IF(AND(V1591&gt;=75,V1591&lt;=175,W1591&gt;=110),0.12,0)+IF(AND(V1591&gt;175,W1591&lt;25),0.3,0)+IF(AND(V1591&gt;175,W1591&gt;=25,W1591&lt;55),0.23,0)+IF(AND(V1591&gt;175,W1591&gt;=55,W1591&lt;95),0.17,0)+IF(AND(V1591&gt;175,W1591&gt;=95),0.12,0),
IF(AF1591="Fix15",0.15,
IF(AF1591="Fix5",0.05,
IF(AF1591="Fix18.75",0.1875,
IF(AF1591="Fix11.25",0.1125,
IF(AF1591="Fix10",0.1,
IF(AF1591="Fix9",0.09,
IF(AF1591="Fix12",0.12,
IF(AF1591="Fix19",0.19,
IF(AF1591="DoEV2017",IF(AND(W1591&lt;74),0.2,0)+IF(AND(W1591&gt;=74),0.17,0),
IF(AF1591="SF",IF(AND(V1591&lt;20,W1591&lt;89),0.3,0)+IF(AND(V1591&lt;20,W1591&gt;=89),0.25,0)+IF(AND(V1591&gt;=20,V1591&lt;40,W1591&lt;74),0.3,0)+IF(AND(V1591&gt;=20,V1591&lt;40,W1591&gt;=75),0.22,0)+IF(AND(V1591&gt;=40,V1591&lt;75,W1591&lt;75),0.26,0)+IF(AND(V1591&gt;=40,V1591&lt;75,W1591&gt;=75),0.22,0)+IF(V1591&gt;=75,0.22,0),
IF(AF1591="DoEVold",IF(AND(V1591&lt;40,W1591&lt;35),0.35,0)+IF(AND(V1591&lt;40,W1591&gt;=35,W1591&lt;75),0.25,0)+IF(AND(V1591&lt;40,W1591&gt;=75),0.17,0)+IF(AND(V1591&gt;=40,V1591&lt;75,W1591&lt;25),0.35,0)+IF(AND(V1591&gt;=40,V1591&lt;75,W1591&gt;=25,W1591&lt;65),0.25,0)+IF(AND(V1591&gt;=40,V1591&lt;75,W1591&gt;=65,W1591&lt;100),0.17,0)+IF(AND(V1591&gt;=40,V1591&lt;75,W1591&gt;=100),0.1,0)+IF(AND(V1591&gt;=75,W1591&lt;25),0.35,0)+IF(AND(V1591&gt;=75,W1591&gt;=25,W1591&lt;60),0.25,0)+IF(AND(V1591&gt;=75,W1591&gt;=60,W1591&lt;95),0.17,0)+IF(AND(V1591&gt;=75,W1591&gt;=95),0.1,0),
IF(AF1591="DoEVold15",IF(AND(V1591&lt;=40,W1591&lt;35),0.35,0)+IF(AND(V1591&lt;=40,W1591&gt;=35,W1591&lt;75),0.25,0)+IF(AND(V1591&lt;=40,W1591&gt;=75,W1591&lt;120),0.17,0)+IF(AND(V1591&lt;=40,W1591&gt;=120),0.15,0)+IF(AND(V1591&gt;40,V1591&lt;75,W1591&lt;25),0.35,0)+IF(AND(V1591&gt;=40,V1591&lt;75,W1591&gt;=25,W1591&lt;65),0.25,0)+IF(AND(V1591&gt;=40,V1591&lt;75,W1591&gt;=65,W1591&lt;100),0.17,0)+IF(AND(V1591&gt;=40,V1591&lt;75,W1591&gt;=100),0.1,0)+IF(AND(V1591&gt;=75,W1591&lt;25),0.35,0)+IF(AND(V1591&gt;=75,W1591&gt;=25,W1591&lt;60),0.25,0)+IF(AND(V1591&gt;=75,W1591&gt;=60,W1591&lt;95),0.17,0)+IF(AND(V1591&gt;=75,W1591&gt;=95),0.1,0),
IF(AF1591="DoEVba",IF(AND(V1591&lt;20,W1591&lt;105),0.2,0)+IF(AND(V1591&lt;20,W1591&gt;=105),0.15,0)+IF(AND(V1591&gt;=20,V1591&lt;40,W1591&lt;95),0.2,0)+IF(AND(V1591&gt;=20,V1591&lt;40,W1591&gt;=95,W1591&lt;150),0.15,0)+IF(AND(V1591&gt;=20,V1591&lt;40,W1591&gt;=150),0.12,0)+IF(AND(V1591&gt;=40,V1591&lt;75,W1591&lt;75),0.2,0)+IF(AND(V1591&gt;=40,V1591&lt;75,W1591&gt;=75,W1591&lt;120),0.15,0)+IF(AND(V1591&gt;=40,V1591&lt;75,W1591&gt;=120),0.12,0)+IF(AND(V1591&gt;=75,V1591&lt;175,W1591&lt;65),0.2,0)+IF(AND(V1591&gt;=75,V1591&lt;175,W1591&gt;=65,W1591&lt;110),0.15,0)+IF(AND(V1591&gt;=75,V1591&lt;175,W1591&gt;=110),0.12,0)+IF(AND(V1591&gt;=175,W1591&lt;55),0.2,0)+IF(AND(V1591&gt;=175,W1591&gt;=55,W1591&lt;95),0.15,0)+IF(AND(V1591&gt;=175,W1591&gt;=95),0.12,0),
IF(AF1591="DoEVku",IF(AND(V1591&lt;20,W1591&lt;55),0.23,0)+IF(AND(V1591&lt;20,W1591&gt;=55,W1591&lt;105),0.2,0)+IF(AND(V1591&lt;20,W1591&gt;=105),0.17,0)+IF(AND(V1591&gt;=20,V1591&lt;40,W1591&lt;45),0.23,0)+IF(AND(V1591&gt;=20,V1591&lt;40,W1591&gt;=45,W1591&lt;95),0.2,0)+IF(AND(V1591&gt;=20,V1591&lt;40,W1591&gt;=95,W1591&lt;=150),0.17,0)+IF(AND(V1591&gt;=20,V1591&lt;40,W1591&gt;=150),0.12,0)+IF(AND(V1591&gt;=40,V1591&lt;75,W1591&lt;35),0.23,0)+IF(AND(V1591&gt;=40,V1591&lt;75,W1591&gt;=35,W1591&lt;75),0.2,0)+IF(AND(V1591&gt;=40,V1591&lt;75,W1591&gt;=75,W1591&lt;120),0.17,0)+IF(AND(V1591&gt;=40,V1591&lt;75,W1591&gt;=120),0.12,0)+IF(AND(V1591&gt;=75,V1591&lt;175,W1591&lt;35),0.23,0)+IF(AND(V1591&gt;=75,V1591&lt;=175,W1591&gt;=35,W1591&lt;65),0.2,0)+IF(AND(V1591&gt;=75,V1591&lt;=175,W1591&gt;=65,W1591&lt;110),0.17,0)+IF(AND(V1591&gt;=75,V1591&lt;=175,W1591&gt;=110),0.12,0)+IF(AND(V1591&gt;175,W1591&lt;25),0.23,0)+IF(AND(V1591&gt;175,W1591&gt;=25,W1591&lt;55),0.2,0)+IF(AND(V1591&gt;175,W1591&gt;=55,W1591&lt;95),0.17,0)+IF(AND(V1591&gt;175,W1591&gt;=95),0.12,0),
IF(AF1591="DoEVs1",IF(AND(V1591&lt;20,W1591&lt;55),0.3,0)+IF(AND(V1591&lt;20,W1591&gt;=55,W1591&lt;105),0.23,0)+IF(AND(V1591&lt;20,W1591&gt;=105),0.17,0)+IF(AND(V1591&gt;=20,V1591&lt;40,W1591&lt;45),0.3,0)+IF(AND(V1591&gt;=20,V1591&lt;40,W1591&gt;=45,W1591&lt;95),0.23,0)+IF(AND(V1591&gt;=20,V1591&lt;40,W1591&gt;=95,W1591&lt;=150),0.17,0)+IF(AND(V1591&gt;=20,V1591&lt;40,W1591&gt;=150),0.12,0)+IF(AND(V1591&gt;=40,V1591&lt;75,W1591&lt;35),0.3,0)+IF(AND(V1591&gt;=40,V1591&lt;75,W1591&gt;=35,W1591&lt;75),0.23,0)+IF(AND(V1591&gt;=40,V1591&lt;75,W1591&gt;=75,W1591&lt;120),0.17,0)+IF(AND(V1591&gt;=40,V1591&lt;75,W1591&gt;=120),0.12,0)+IF(AND(V1591&gt;=75,V1591&lt;175,W1591&lt;35),0.3,0)+IF(AND(V1591&gt;=75,V1591&lt;=175,W1591&gt;=35,W1591&lt;65),0.23,0)+IF(AND(V1591&gt;=75,V1591&lt;=175,W1591&gt;=65,W1591&lt;110),0.17,0)+IF(AND(V1591&gt;=75,V1591&lt;=175,W1591&gt;=110),0.12,0)+IF(AND(V1591&gt;175,W1591&lt;25),0.3,0)+IF(AND(V1591&gt;175,W1591&gt;=25,W1591&lt;55),0.23,0)+IF(AND(V1591&gt;175,W1591&gt;=55,W1591&lt;95),0.17,0)+IF(AND(V1591&gt;175,W1591&gt;=95),0.12,0),
IF(AF1591="DoEVsu",IF(AND(V1591&lt;20,W1591&lt;55),0.3,0)+IF(AND(V1591&lt;20,W1591&gt;=55,W1591&lt;105),0.23,0)+IF(AND(V1591&lt;20,W1591&gt;=105),0.17,0)+IF(AND(V1591&gt;=20,V1591&lt;40,W1591&lt;45),0.3,0)+IF(AND(V1591&gt;=20,V1591&lt;40,W1591&gt;=45,W1591&lt;95),0.23,0)+IF(AND(V1591&gt;=20,V1591&lt;40,W1591&gt;=95,W1591&lt;=250),0.17,0)+IF(AND(V1591&gt;=20,V1591&lt;40,W1591&gt;=250),0.12,0)+IF(AND(V1591&gt;=40,V1591&lt;75,W1591&lt;35),0.3,0)+IF(AND(V1591&gt;=40,V1591&lt;75,W1591&gt;=35,W1591&lt;75),0.23,0)+IF(AND(V1591&gt;=40,V1591&lt;75,W1591&gt;=75,W1591&lt;120),0.17,0)+IF(AND(V1591&gt;=40,V1591&lt;75,W1591&gt;=120),0.12,0)+IF(AND(V1591&gt;=75,V1591&lt;175,W1591&lt;35),0.3,0)+IF(AND(V1591&gt;=75,V1591&lt;=175,W1591&gt;=35,W1591&lt;65),0.23,0)+IF(AND(V1591&gt;=75,V1591&lt;=175,W1591&gt;=65,W1591&lt;110),0.17,0)+IF(AND(V1591&gt;=75,V1591&lt;=175,W1591&gt;=110),0.12,0)+IF(AND(V1591&gt;175,W1591&lt;25),0.3,0)+IF(AND(V1591&gt;175,W1591&gt;=25,W1591&lt;55),0.23,0)+IF(AND(V1591&gt;175,W1591&gt;=55,W1591&lt;95),0.17,0)+IF(AND(V1591&gt;175,W1591&gt;=95),0.12,0),
IF(AF1591="DoEVni",IF(AND(V1591&lt;20,W1591&lt;55),0.3,0)+IF(AND(V1591&lt;20,W1591&gt;=55,W1591&lt;105),0.23,0)+IF(AND(V1591&lt;20,W1591&gt;=105),0.17,0)+IF(AND(V1591&gt;=20,V1591&lt;40,W1591&lt;45),0.3,0)+IF(AND(V1591&gt;=20,V1591&lt;40,W1591&gt;=45,W1591&lt;95),0.23,0)+IF(AND(V1591&gt;=20,V1591&lt;40,W1591&gt;=95,W1591&lt;=200),0.17,0)+IF(AND(V1591&gt;=20,V1591&lt;40,W1591&gt;=200),0.12,0)+IF(AND(V1591&gt;=40,V1591&lt;75,W1591&lt;35),0.3,0)+IF(AND(V1591&gt;=40,V1591&lt;75,W1591&gt;=35,W1591&lt;75),0.23,0)+IF(AND(V1591&gt;=40,V1591&lt;75,W1591&gt;=75,W1591&lt;120),0.17,0)+IF(AND(V1591&gt;=40,V1591&lt;75,W1591&gt;=120),0.12,0)+IF(AND(V1591&gt;=75,V1591&lt;175,W1591&lt;35),0.3,0)+IF(AND(V1591&gt;=75,V1591&lt;=175,W1591&gt;=35,W1591&lt;65),0.23,0)+IF(AND(V1591&gt;=75,V1591&lt;=175,W1591&gt;=65,W1591&lt;110),0.17,0)+IF(AND(V1591&gt;=75,V1591&lt;=175,W1591&gt;=110),0.12,0)+IF(AND(V1591&gt;175,W1591&lt;25),0.3,0)+IF(AND(V1591&gt;175,W1591&gt;=25,W1591&lt;55),0.23,0)+IF(AND(V1591&gt;175,W1591&gt;=55,W1591&lt;95),0.17,0)+IF(AND(V1591&gt;175,W1591&gt;=95),0.12,0),
IF(AF1591="DoEVLo",IF(AND(V1591&lt;20,W1591&lt;55),0.25,0)+IF(AND(V1591&lt;20,W1591&gt;=55,W1591&lt;105),0.2,0)+IF(AND(V1591&lt;20,W1591&gt;=105),0.15,0)+IF(AND(V1591&gt;=20,V1591&lt;40,W1591&lt;45),0.25,0)+IF(AND(V1591&gt;=20,V1591&lt;40,W1591&gt;=45,W1591&lt;95),0.2,0)+IF(AND(V1591&gt;=20,V1591&lt;40,W1591&gt;=95),0.15,0)+IF(AND(V1591&gt;=40,V1591&lt;75,W1591&lt;35),0.25,0)+IF(AND(V1591&gt;=40,V1591&lt;75,W1591&gt;=35,W1591&lt;75),0.2,0)+IF(AND(V1591&gt;=40,V1591&lt;75,W1591&gt;=75,W1591&lt;120),0.15,0)+IF(AND(V1591&gt;=40,V1591&lt;75,W1591&gt;=120),0.1,0)+IF(AND(V1591&gt;=75,V1591&lt;175,W1591&lt;35),0.25,0)+IF(AND(V1591&gt;=75,V1591&lt;=175,W1591&gt;=35,W1591&lt;65),0.2,0)+IF(AND(V1591&gt;=75,V1591&lt;=175,W1591&gt;=65,W1591&lt;110),0.15,0)+IF(AND(V1591&gt;=75,V1591&lt;=175,W1591&gt;=110),0.1,0)+IF(AND(V1591&gt;175,W1591&lt;25),0.25,0)+IF(AND(V1591&gt;175,W1591&gt;=25,W1591&lt;55),0.2,0)+IF(AND(V1591&gt;175,W1591&gt;=55,W1591&lt;95),0.15,0)+IF(AND(V1591&gt;175,W1591&gt;=95),0.1,0))))))))))))))))))))</f>
        <v>0.23</v>
      </c>
      <c r="Y1591" s="30">
        <f>IF(AG1591="None",0,IF(AG1591="Fix5",0.05, IF(AG1591="Fix6.25",0.0625,IF(AG1591="Fix3.75",0.0375, IF(AG1591="Fix11",0.11, IF(AG1591="Fix10",0.1,IF(AG1591="Fix3",0.03,0)))))))</f>
        <v>0.1</v>
      </c>
      <c r="Z1591" s="35">
        <f>IF(AND(AD1591="EUR", AE1591 = "USD"), T1591*U1591-AA1591-AB1591, T1591-AA1591-AB1591)</f>
        <v>400.66</v>
      </c>
      <c r="AA1591" s="29">
        <f>IF(AND(AD1591="EUR", F1591="Without EV deal", AE1591="USD"), (T1591*X1591)*U1591,
IF(AND(AD1591="EUR", F1591="Without EV deal", AE1591="EUR"), (T1591*X1591),
IF(AND(AD1591="EUR",AE1591="USD"), (T1591*X1591)*U1591,
T1591*X1591)))</f>
        <v>137.54</v>
      </c>
      <c r="AB1591" s="36">
        <f>IF(AND(AD1591="EUR", F1591="Without EV deal", AE1591="USD"), (T1591*Y1591)*U1591,
IF(AND(AD1591="EUR", F1591="Without EV deal", AE1591="EUR"), (T1591*Y1591),
IF(AND(AD1591="EUR",AE1591="USD"), (T1591*Y1591)*U1591,
T1591*Y1591)))</f>
        <v>59.800000000000004</v>
      </c>
      <c r="AC1591" s="37" t="b">
        <v>0</v>
      </c>
      <c r="AD1591" s="82" t="str">
        <f>IF(OR(H1591="€0.25 Flash",
H1591="€0.25(nitro) new",
H1591="€1",
H1591="€2",
H1591="€2 (bf 01.08)",
H1591="€5",
H1591="€5 (1M)",
H1591="€5 (bf 01.08)",
H1591="€5 (bf 05.05)",
H1591="€5 Nitro",
H1591="€5(wx) new",
H1591="€10",
H1591="€10 (1M)",
H1591="€10 (bf 01.08)",
H1591="€10 (bf 05.05)",
H1591="€10 (MP)",
H1591="€10 (old)",
H1591="€10 Nitro (bf 05.05)",
H1591="€10 Nitro (old)",
H1591="€10(wx) new",
H1591="€20",
H1591="€25",
H1591="€25 (bf 01.08)",
H1591="€25 (bf 05.05)",
H1591="€25 (MP)",
H1591="€25 (old)",
H1591="€25 Nitro",
H1591="€25 Nitro (bf 01.08)",
H1591="€25 Nitro (bf 05.05)",
H1591="€25(nitro) new",
H1591="€25(wx) new",
H1591="€50",
H1591="€50 (bf 01.08)",
H1591="€50 (bf 05.05)",
H1591="€50 (old)",
H1591="€50 Nitro",
H1591="€50 Nitro (bf 01.08)",
H1591="€50 Nitro (bf 05.05)",
H1591="€50(wx) new",
H1591="€100",
H1591="€100 (old)",
H1591="€100 Nitro",
H1591="€100 Nitro (old)",
H1591="€200",
H1591="€250",
H1591="€250 Nitro",
H1591="€500",
H1591="€500 Nitro"),"EUR", "USD")</f>
        <v>USD</v>
      </c>
      <c r="AE1591" s="83" t="s">
        <v>38</v>
      </c>
      <c r="AF1591" s="83" t="str">
        <f t="array" ref="AF1591">INDEX('Deal Info'!D:D, MATCH(A1591,'Deal Info'!A:A, 0))</f>
        <v>DoEVku</v>
      </c>
      <c r="AG1591" s="84" t="str">
        <f t="array" ref="AG1591">INDEX('Deal Info'!G:G, MATCH(A1591,'Deal Info'!A:A, 0))</f>
        <v>Fix10</v>
      </c>
    </row>
    <row r="1592" spans="1:33" ht="14.25" hidden="1" x14ac:dyDescent="0.2">
      <c r="A1592" s="18" t="str">
        <f t="array" ref="A1592">IF(G1592='Room Info'!$B$1, INDEX('Room Info'!$A$2:$A2446, MATCH(B1592,'Room Info'!$B$2:$B2446, 0)),IF(G1592='Room Info'!$C$1, INDEX('Room Info'!$A$2:$A2446, MATCH(B1592,'Room Info'!$C$2:$C2446, 0)),IF(G1592='Room Info'!$D$1, INDEX('Room Info'!$A$2:$A2446, MATCH(B1592,'Room Info'!$D$2:$D2446, 0)),IF(G1592='Room Info'!$E$1, INDEX('Room Info'!$A$2:$A2446, MATCH(B1592,'Room Info'!$E$2:$E2446, 0)),IF(G1592='Room Info'!$F$1, INDEX('Room Info'!$A$2:$A2446, MATCH(B1592,'Room Info'!$F$2:$F2446, 0)),IF(G1592='Room Info'!$H$1, INDEX('Room Info'!$A$2:$A2446, MATCH(B1592,'Room Info'!$H$2:$H2446, 0)),IF(G1592='Room Info'!$G$1, INDEX('Room Info'!$A$2:$A2446, MATCH(B1592,'Room Info'!$G$2:$G2446, 0)))))))))</f>
        <v>AlexanderDSL</v>
      </c>
      <c r="B1592" s="45" t="s">
        <v>82</v>
      </c>
      <c r="C1592" s="46">
        <v>44978</v>
      </c>
      <c r="D1592" s="46">
        <v>45005</v>
      </c>
      <c r="E1592" s="90">
        <v>44986</v>
      </c>
      <c r="F1592" s="48" t="s">
        <v>34</v>
      </c>
      <c r="G1592" s="65" t="s">
        <v>35</v>
      </c>
      <c r="H1592" s="91" t="s">
        <v>72</v>
      </c>
      <c r="I1592" s="100" t="s">
        <v>37</v>
      </c>
      <c r="J1592" s="39">
        <v>50</v>
      </c>
      <c r="K1592" s="75">
        <v>75</v>
      </c>
      <c r="L1592" s="72">
        <v>-150</v>
      </c>
      <c r="M1592" s="76">
        <v>19250</v>
      </c>
      <c r="N1592" s="28">
        <f>K1592*J1592</f>
        <v>3750</v>
      </c>
      <c r="O1592" s="45">
        <v>6166</v>
      </c>
      <c r="P1592" s="29">
        <v>82.213333329999998</v>
      </c>
      <c r="Q1592" s="55"/>
      <c r="R1592" s="31">
        <f>M1592+Q1592*J1592*K1592*0.07</f>
        <v>19250</v>
      </c>
      <c r="S1592" s="73">
        <v>-12707</v>
      </c>
      <c r="T1592" s="32">
        <f>IF(AND(AD1592="EUR", F1592="Without EV deal"), R1592 + L1592,
IF(AND(AD1592="USD", F1592="Without EV deal"), R1592 + L1592,
IF(AND(AD1592="EUR", F1592="Steel Phoenix"), R1592 + S1592/U1592,
R1592 + S1592)))</f>
        <v>6543</v>
      </c>
      <c r="U1592" s="57">
        <v>1.071</v>
      </c>
      <c r="V1592" s="58"/>
      <c r="W1592" s="58"/>
      <c r="X1592" s="30">
        <f>IF(AF1592="DoEV",IF(AND(V1592&lt;20,W1592&lt;55),0.3,0)+IF(AND(V1592&lt;20,W1592&gt;=55,W1592&lt;105),0.23,0)+IF(AND(V1592&lt;20,W1592&gt;=105),0.17,0)+IF(AND(V1592&gt;=20,V1592&lt;40,W1592&lt;45),0.3,0)+IF(AND(V1592&gt;=20,V1592&lt;40,W1592&gt;=45,W1592&lt;95),0.23,0)+IF(AND(V1592&gt;=20,V1592&lt;40,W1592&gt;=95),0.17,0)+IF(AND(V1592&gt;=40,V1592&lt;75,W1592&lt;35),0.3,0)+IF(AND(V1592&gt;=40,V1592&lt;75,W1592&gt;=35,W1592&lt;75),0.23,0)+IF(AND(V1592&gt;=40,V1592&lt;75,W1592&gt;=75,W1592&lt;120),0.17,0)+IF(AND(V1592&gt;=40,V1592&lt;75,W1592&gt;=120),0.12,0)+IF(AND(V1592&gt;=75,V1592&lt;175,W1592&lt;35),0.3,0)+IF(AND(V1592&gt;=75,V1592&lt;=175,W1592&gt;=35,W1592&lt;65),0.23,0)+IF(AND(V1592&gt;=75,V1592&lt;=175,W1592&gt;=65,W1592&lt;110),0.17,0)+IF(AND(V1592&gt;=75,V1592&lt;=175,W1592&gt;=110),0.12,0)+IF(AND(V1592&gt;175,W1592&lt;25),0.3,0)+IF(AND(V1592&gt;175,W1592&gt;=25,W1592&lt;55),0.23,0)+IF(AND(V1592&gt;175,W1592&gt;=55,W1592&lt;95),0.17,0)+IF(AND(V1592&gt;175,W1592&gt;=95),0.12,0),
IF(AF1592="Fix15",0.15,
IF(AF1592="Fix5",0.05,
IF(AF1592="Fix18.75",0.1875,
IF(AF1592="Fix11.25",0.1125,
IF(AF1592="Fix10",0.1,
IF(AF1592="Fix9",0.09,
IF(AF1592="Fix12",0.12,
IF(AF1592="Fix19",0.19,
IF(AF1592="DoEV2017",IF(AND(W1592&lt;74),0.2,0)+IF(AND(W1592&gt;=74),0.17,0),
IF(AF1592="SF",IF(AND(V1592&lt;20,W1592&lt;89),0.3,0)+IF(AND(V1592&lt;20,W1592&gt;=89),0.25,0)+IF(AND(V1592&gt;=20,V1592&lt;40,W1592&lt;74),0.3,0)+IF(AND(V1592&gt;=20,V1592&lt;40,W1592&gt;=75),0.22,0)+IF(AND(V1592&gt;=40,V1592&lt;75,W1592&lt;75),0.26,0)+IF(AND(V1592&gt;=40,V1592&lt;75,W1592&gt;=75),0.22,0)+IF(V1592&gt;=75,0.22,0),
IF(AF1592="DoEVold",IF(AND(V1592&lt;40,W1592&lt;35),0.35,0)+IF(AND(V1592&lt;40,W1592&gt;=35,W1592&lt;75),0.25,0)+IF(AND(V1592&lt;40,W1592&gt;=75),0.17,0)+IF(AND(V1592&gt;=40,V1592&lt;75,W1592&lt;25),0.35,0)+IF(AND(V1592&gt;=40,V1592&lt;75,W1592&gt;=25,W1592&lt;65),0.25,0)+IF(AND(V1592&gt;=40,V1592&lt;75,W1592&gt;=65,W1592&lt;100),0.17,0)+IF(AND(V1592&gt;=40,V1592&lt;75,W1592&gt;=100),0.1,0)+IF(AND(V1592&gt;=75,W1592&lt;25),0.35,0)+IF(AND(V1592&gt;=75,W1592&gt;=25,W1592&lt;60),0.25,0)+IF(AND(V1592&gt;=75,W1592&gt;=60,W1592&lt;95),0.17,0)+IF(AND(V1592&gt;=75,W1592&gt;=95),0.1,0),
IF(AF1592="DoEVold15",IF(AND(V1592&lt;=40,W1592&lt;35),0.35,0)+IF(AND(V1592&lt;=40,W1592&gt;=35,W1592&lt;75),0.25,0)+IF(AND(V1592&lt;=40,W1592&gt;=75,W1592&lt;120),0.17,0)+IF(AND(V1592&lt;=40,W1592&gt;=120),0.15,0)+IF(AND(V1592&gt;40,V1592&lt;75,W1592&lt;25),0.35,0)+IF(AND(V1592&gt;=40,V1592&lt;75,W1592&gt;=25,W1592&lt;65),0.25,0)+IF(AND(V1592&gt;=40,V1592&lt;75,W1592&gt;=65,W1592&lt;100),0.17,0)+IF(AND(V1592&gt;=40,V1592&lt;75,W1592&gt;=100),0.1,0)+IF(AND(V1592&gt;=75,W1592&lt;25),0.35,0)+IF(AND(V1592&gt;=75,W1592&gt;=25,W1592&lt;60),0.25,0)+IF(AND(V1592&gt;=75,W1592&gt;=60,W1592&lt;95),0.17,0)+IF(AND(V1592&gt;=75,W1592&gt;=95),0.1,0),
IF(AF1592="DoEVba",IF(AND(V1592&lt;20,W1592&lt;105),0.2,0)+IF(AND(V1592&lt;20,W1592&gt;=105),0.15,0)+IF(AND(V1592&gt;=20,V1592&lt;40,W1592&lt;95),0.2,0)+IF(AND(V1592&gt;=20,V1592&lt;40,W1592&gt;=95,W1592&lt;150),0.15,0)+IF(AND(V1592&gt;=20,V1592&lt;40,W1592&gt;=150),0.12,0)+IF(AND(V1592&gt;=40,V1592&lt;75,W1592&lt;75),0.2,0)+IF(AND(V1592&gt;=40,V1592&lt;75,W1592&gt;=75,W1592&lt;120),0.15,0)+IF(AND(V1592&gt;=40,V1592&lt;75,W1592&gt;=120),0.12,0)+IF(AND(V1592&gt;=75,V1592&lt;175,W1592&lt;65),0.2,0)+IF(AND(V1592&gt;=75,V1592&lt;175,W1592&gt;=65,W1592&lt;110),0.15,0)+IF(AND(V1592&gt;=75,V1592&lt;175,W1592&gt;=110),0.12,0)+IF(AND(V1592&gt;=175,W1592&lt;55),0.2,0)+IF(AND(V1592&gt;=175,W1592&gt;=55,W1592&lt;95),0.15,0)+IF(AND(V1592&gt;=175,W1592&gt;=95),0.12,0),
IF(AF1592="DoEVku",IF(AND(V1592&lt;20,W1592&lt;55),0.23,0)+IF(AND(V1592&lt;20,W1592&gt;=55,W1592&lt;105),0.2,0)+IF(AND(V1592&lt;20,W1592&gt;=105),0.17,0)+IF(AND(V1592&gt;=20,V1592&lt;40,W1592&lt;45),0.23,0)+IF(AND(V1592&gt;=20,V1592&lt;40,W1592&gt;=45,W1592&lt;95),0.2,0)+IF(AND(V1592&gt;=20,V1592&lt;40,W1592&gt;=95,W1592&lt;=150),0.17,0)+IF(AND(V1592&gt;=20,V1592&lt;40,W1592&gt;=150),0.12,0)+IF(AND(V1592&gt;=40,V1592&lt;75,W1592&lt;35),0.23,0)+IF(AND(V1592&gt;=40,V1592&lt;75,W1592&gt;=35,W1592&lt;75),0.2,0)+IF(AND(V1592&gt;=40,V1592&lt;75,W1592&gt;=75,W1592&lt;120),0.17,0)+IF(AND(V1592&gt;=40,V1592&lt;75,W1592&gt;=120),0.12,0)+IF(AND(V1592&gt;=75,V1592&lt;175,W1592&lt;35),0.23,0)+IF(AND(V1592&gt;=75,V1592&lt;=175,W1592&gt;=35,W1592&lt;65),0.2,0)+IF(AND(V1592&gt;=75,V1592&lt;=175,W1592&gt;=65,W1592&lt;110),0.17,0)+IF(AND(V1592&gt;=75,V1592&lt;=175,W1592&gt;=110),0.12,0)+IF(AND(V1592&gt;175,W1592&lt;25),0.23,0)+IF(AND(V1592&gt;175,W1592&gt;=25,W1592&lt;55),0.2,0)+IF(AND(V1592&gt;175,W1592&gt;=55,W1592&lt;95),0.17,0)+IF(AND(V1592&gt;175,W1592&gt;=95),0.12,0),
IF(AF1592="DoEVs1",IF(AND(V1592&lt;20,W1592&lt;55),0.3,0)+IF(AND(V1592&lt;20,W1592&gt;=55,W1592&lt;105),0.23,0)+IF(AND(V1592&lt;20,W1592&gt;=105),0.17,0)+IF(AND(V1592&gt;=20,V1592&lt;40,W1592&lt;45),0.3,0)+IF(AND(V1592&gt;=20,V1592&lt;40,W1592&gt;=45,W1592&lt;95),0.23,0)+IF(AND(V1592&gt;=20,V1592&lt;40,W1592&gt;=95,W1592&lt;=150),0.17,0)+IF(AND(V1592&gt;=20,V1592&lt;40,W1592&gt;=150),0.12,0)+IF(AND(V1592&gt;=40,V1592&lt;75,W1592&lt;35),0.3,0)+IF(AND(V1592&gt;=40,V1592&lt;75,W1592&gt;=35,W1592&lt;75),0.23,0)+IF(AND(V1592&gt;=40,V1592&lt;75,W1592&gt;=75,W1592&lt;120),0.17,0)+IF(AND(V1592&gt;=40,V1592&lt;75,W1592&gt;=120),0.12,0)+IF(AND(V1592&gt;=75,V1592&lt;175,W1592&lt;35),0.3,0)+IF(AND(V1592&gt;=75,V1592&lt;=175,W1592&gt;=35,W1592&lt;65),0.23,0)+IF(AND(V1592&gt;=75,V1592&lt;=175,W1592&gt;=65,W1592&lt;110),0.17,0)+IF(AND(V1592&gt;=75,V1592&lt;=175,W1592&gt;=110),0.12,0)+IF(AND(V1592&gt;175,W1592&lt;25),0.3,0)+IF(AND(V1592&gt;175,W1592&gt;=25,W1592&lt;55),0.23,0)+IF(AND(V1592&gt;175,W1592&gt;=55,W1592&lt;95),0.17,0)+IF(AND(V1592&gt;175,W1592&gt;=95),0.12,0),
IF(AF1592="DoEVsu",IF(AND(V1592&lt;20,W1592&lt;55),0.3,0)+IF(AND(V1592&lt;20,W1592&gt;=55,W1592&lt;105),0.23,0)+IF(AND(V1592&lt;20,W1592&gt;=105),0.17,0)+IF(AND(V1592&gt;=20,V1592&lt;40,W1592&lt;45),0.3,0)+IF(AND(V1592&gt;=20,V1592&lt;40,W1592&gt;=45,W1592&lt;95),0.23,0)+IF(AND(V1592&gt;=20,V1592&lt;40,W1592&gt;=95,W1592&lt;=250),0.17,0)+IF(AND(V1592&gt;=20,V1592&lt;40,W1592&gt;=250),0.12,0)+IF(AND(V1592&gt;=40,V1592&lt;75,W1592&lt;35),0.3,0)+IF(AND(V1592&gt;=40,V1592&lt;75,W1592&gt;=35,W1592&lt;75),0.23,0)+IF(AND(V1592&gt;=40,V1592&lt;75,W1592&gt;=75,W1592&lt;120),0.17,0)+IF(AND(V1592&gt;=40,V1592&lt;75,W1592&gt;=120),0.12,0)+IF(AND(V1592&gt;=75,V1592&lt;175,W1592&lt;35),0.3,0)+IF(AND(V1592&gt;=75,V1592&lt;=175,W1592&gt;=35,W1592&lt;65),0.23,0)+IF(AND(V1592&gt;=75,V1592&lt;=175,W1592&gt;=65,W1592&lt;110),0.17,0)+IF(AND(V1592&gt;=75,V1592&lt;=175,W1592&gt;=110),0.12,0)+IF(AND(V1592&gt;175,W1592&lt;25),0.3,0)+IF(AND(V1592&gt;175,W1592&gt;=25,W1592&lt;55),0.23,0)+IF(AND(V1592&gt;175,W1592&gt;=55,W1592&lt;95),0.17,0)+IF(AND(V1592&gt;175,W1592&gt;=95),0.12,0),
IF(AF1592="DoEVni",IF(AND(V1592&lt;20,W1592&lt;55),0.3,0)+IF(AND(V1592&lt;20,W1592&gt;=55,W1592&lt;105),0.23,0)+IF(AND(V1592&lt;20,W1592&gt;=105),0.17,0)+IF(AND(V1592&gt;=20,V1592&lt;40,W1592&lt;45),0.3,0)+IF(AND(V1592&gt;=20,V1592&lt;40,W1592&gt;=45,W1592&lt;95),0.23,0)+IF(AND(V1592&gt;=20,V1592&lt;40,W1592&gt;=95,W1592&lt;=200),0.17,0)+IF(AND(V1592&gt;=20,V1592&lt;40,W1592&gt;=200),0.12,0)+IF(AND(V1592&gt;=40,V1592&lt;75,W1592&lt;35),0.3,0)+IF(AND(V1592&gt;=40,V1592&lt;75,W1592&gt;=35,W1592&lt;75),0.23,0)+IF(AND(V1592&gt;=40,V1592&lt;75,W1592&gt;=75,W1592&lt;120),0.17,0)+IF(AND(V1592&gt;=40,V1592&lt;75,W1592&gt;=120),0.12,0)+IF(AND(V1592&gt;=75,V1592&lt;175,W1592&lt;35),0.3,0)+IF(AND(V1592&gt;=75,V1592&lt;=175,W1592&gt;=35,W1592&lt;65),0.23,0)+IF(AND(V1592&gt;=75,V1592&lt;=175,W1592&gt;=65,W1592&lt;110),0.17,0)+IF(AND(V1592&gt;=75,V1592&lt;=175,W1592&gt;=110),0.12,0)+IF(AND(V1592&gt;175,W1592&lt;25),0.3,0)+IF(AND(V1592&gt;175,W1592&gt;=25,W1592&lt;55),0.23,0)+IF(AND(V1592&gt;175,W1592&gt;=55,W1592&lt;95),0.17,0)+IF(AND(V1592&gt;175,W1592&gt;=95),0.12,0),
IF(AF1592="DoEVLo",IF(AND(V1592&lt;20,W1592&lt;55),0.25,0)+IF(AND(V1592&lt;20,W1592&gt;=55,W1592&lt;105),0.2,0)+IF(AND(V1592&lt;20,W1592&gt;=105),0.15,0)+IF(AND(V1592&gt;=20,V1592&lt;40,W1592&lt;45),0.25,0)+IF(AND(V1592&gt;=20,V1592&lt;40,W1592&gt;=45,W1592&lt;95),0.2,0)+IF(AND(V1592&gt;=20,V1592&lt;40,W1592&gt;=95),0.15,0)+IF(AND(V1592&gt;=40,V1592&lt;75,W1592&lt;35),0.25,0)+IF(AND(V1592&gt;=40,V1592&lt;75,W1592&gt;=35,W1592&lt;75),0.2,0)+IF(AND(V1592&gt;=40,V1592&lt;75,W1592&gt;=75,W1592&lt;120),0.15,0)+IF(AND(V1592&gt;=40,V1592&lt;75,W1592&gt;=120),0.1,0)+IF(AND(V1592&gt;=75,V1592&lt;175,W1592&lt;35),0.25,0)+IF(AND(V1592&gt;=75,V1592&lt;=175,W1592&gt;=35,W1592&lt;65),0.2,0)+IF(AND(V1592&gt;=75,V1592&lt;=175,W1592&gt;=65,W1592&lt;110),0.15,0)+IF(AND(V1592&gt;=75,V1592&lt;=175,W1592&gt;=110),0.1,0)+IF(AND(V1592&gt;175,W1592&lt;25),0.25,0)+IF(AND(V1592&gt;175,W1592&gt;=25,W1592&lt;55),0.2,0)+IF(AND(V1592&gt;175,W1592&gt;=55,W1592&lt;95),0.15,0)+IF(AND(V1592&gt;175,W1592&gt;=95),0.1,0))))))))))))))))))))</f>
        <v>0.15</v>
      </c>
      <c r="Y1592" s="30">
        <f>IF(AG1592="None",0,IF(AG1592="Fix5",0.05, IF(AG1592="Fix6.25",0.0625,IF(AG1592="Fix3.75",0.0375, IF(AG1592="Fix11",0.11, IF(AG1592="Fix10",0.1,IF(AG1592="Fix3",0.03,0)))))))</f>
        <v>0.05</v>
      </c>
      <c r="Z1592" s="35">
        <f>IF(AND(AD1592="EUR", AE1592 = "USD"), T1592*U1592-AA1592-AB1592, T1592-AA1592-AB1592)</f>
        <v>5234.4000000000005</v>
      </c>
      <c r="AA1592" s="29">
        <f>IF(AND(AD1592="EUR", F1592="Without EV deal", AE1592="USD"), (T1592*X1592)*U1592,
IF(AND(AD1592="EUR", F1592="Without EV deal", AE1592="EUR"), (T1592*X1592),
IF(AND(AD1592="EUR",AE1592="USD"), (T1592*X1592)*U1592,
T1592*X1592)))</f>
        <v>981.44999999999993</v>
      </c>
      <c r="AB1592" s="36">
        <f>IF(AND(AD1592="EUR", F1592="Without EV deal", AE1592="USD"), (T1592*Y1592)*U1592,
IF(AND(AD1592="EUR", F1592="Without EV deal", AE1592="EUR"), (T1592*Y1592),
IF(AND(AD1592="EUR",AE1592="USD"), (T1592*Y1592)*U1592,
T1592*Y1592)))</f>
        <v>327.15000000000003</v>
      </c>
      <c r="AC1592" s="61" t="b">
        <v>1</v>
      </c>
      <c r="AD1592" s="82" t="str">
        <f>IF(OR(H1592="€0.25 Flash",
H1592="€0.25(nitro) new",
H1592="€1",
H1592="€2",
H1592="€2 (bf 01.08)",
H1592="€5",
H1592="€5 (1M)",
H1592="€5 (bf 01.08)",
H1592="€5 (bf 05.05)",
H1592="€5 Nitro",
H1592="€5(wx) new",
H1592="€10",
H1592="€10 (1M)",
H1592="€10 (bf 01.08)",
H1592="€10 (bf 05.05)",
H1592="€10 (MP)",
H1592="€10 (old)",
H1592="€10 Nitro (bf 05.05)",
H1592="€10 Nitro (old)",
H1592="€10(wx) new",
H1592="€20",
H1592="€25",
H1592="€25 (bf 01.08)",
H1592="€25 (bf 05.05)",
H1592="€25 (MP)",
H1592="€25 (old)",
H1592="€25 Nitro",
H1592="€25 Nitro (bf 01.08)",
H1592="€25 Nitro (bf 05.05)",
H1592="€25(nitro) new",
H1592="€25(wx) new",
H1592="€50",
H1592="€50 (bf 01.08)",
H1592="€50 (bf 05.05)",
H1592="€50 (old)",
H1592="€50 Nitro",
H1592="€50 Nitro (bf 01.08)",
H1592="€50 Nitro (bf 05.05)",
H1592="€50(wx) new",
H1592="€100",
H1592="€100 (old)",
H1592="€100 Nitro",
H1592="€100 Nitro (old)",
H1592="€200",
H1592="€250",
H1592="€250 Nitro",
H1592="€500",
H1592="€500 Nitro"),"EUR", "USD")</f>
        <v>USD</v>
      </c>
      <c r="AE1592" s="83" t="s">
        <v>38</v>
      </c>
      <c r="AF1592" s="83" t="str">
        <f t="array" ref="AF1592">INDEX('Deal Info'!D:D, MATCH(A1592,'Deal Info'!A:A, 0))</f>
        <v>Fix15</v>
      </c>
      <c r="AG1592" s="84" t="str">
        <f t="array" ref="AG1592">INDEX('Deal Info'!G:G, MATCH(A1592,'Deal Info'!A:A, 0))</f>
        <v>Fix5</v>
      </c>
    </row>
    <row r="1593" spans="1:33" ht="14.25" hidden="1" x14ac:dyDescent="0.2">
      <c r="A1593" s="18" t="str">
        <f t="array" ref="A1593">IF(G1593='Room Info'!$B$1, INDEX('Room Info'!$A$2:$A2446, MATCH(B1593,'Room Info'!$B$2:$B2446, 0)),IF(G1593='Room Info'!$C$1, INDEX('Room Info'!$A$2:$A2446, MATCH(B1593,'Room Info'!$C$2:$C2446, 0)),IF(G1593='Room Info'!$D$1, INDEX('Room Info'!$A$2:$A2446, MATCH(B1593,'Room Info'!$D$2:$D2446, 0)),IF(G1593='Room Info'!$E$1, INDEX('Room Info'!$A$2:$A2446, MATCH(B1593,'Room Info'!$E$2:$E2446, 0)),IF(G1593='Room Info'!$F$1, INDEX('Room Info'!$A$2:$A2446, MATCH(B1593,'Room Info'!$F$2:$F2446, 0)),IF(G1593='Room Info'!$H$1, INDEX('Room Info'!$A$2:$A2446, MATCH(B1593,'Room Info'!$H$2:$H2446, 0)),IF(G1593='Room Info'!$G$1, INDEX('Room Info'!$A$2:$A2446, MATCH(B1593,'Room Info'!$G$2:$G2446, 0)))))))))</f>
        <v>AlexanderDSL</v>
      </c>
      <c r="B1593" s="45" t="s">
        <v>82</v>
      </c>
      <c r="C1593" s="46">
        <v>44978</v>
      </c>
      <c r="D1593" s="46">
        <v>45005</v>
      </c>
      <c r="E1593" s="90">
        <v>44986</v>
      </c>
      <c r="F1593" s="48" t="s">
        <v>34</v>
      </c>
      <c r="G1593" s="65" t="s">
        <v>35</v>
      </c>
      <c r="H1593" s="49" t="s">
        <v>70</v>
      </c>
      <c r="I1593" s="100" t="s">
        <v>37</v>
      </c>
      <c r="J1593" s="39">
        <v>100</v>
      </c>
      <c r="K1593" s="51">
        <v>4198</v>
      </c>
      <c r="L1593" s="52">
        <v>-8600</v>
      </c>
      <c r="M1593" s="62"/>
      <c r="N1593" s="28">
        <f>K1593*J1593</f>
        <v>419800</v>
      </c>
      <c r="O1593" s="54">
        <v>42066</v>
      </c>
      <c r="P1593" s="29">
        <v>10.020485949999999</v>
      </c>
      <c r="Q1593" s="55"/>
      <c r="R1593" s="31">
        <f>M1593+Q1593*J1593*K1593*0.07</f>
        <v>0</v>
      </c>
      <c r="S1593" s="66"/>
      <c r="T1593" s="32">
        <f>IF(AND(AD1593="EUR", F1593="Without EV deal"), R1593 + L1593,
IF(AND(AD1593="USD", F1593="Without EV deal"), R1593 + L1593,
IF(AND(AD1593="EUR", F1593="Steel Phoenix"), R1593 + S1593/U1593,
R1593 + S1593)))</f>
        <v>0</v>
      </c>
      <c r="U1593" s="57">
        <v>1.071</v>
      </c>
      <c r="V1593" s="58"/>
      <c r="W1593" s="58"/>
      <c r="X1593" s="30">
        <f>IF(AF1593="DoEV",IF(AND(V1593&lt;20,W1593&lt;55),0.3,0)+IF(AND(V1593&lt;20,W1593&gt;=55,W1593&lt;105),0.23,0)+IF(AND(V1593&lt;20,W1593&gt;=105),0.17,0)+IF(AND(V1593&gt;=20,V1593&lt;40,W1593&lt;45),0.3,0)+IF(AND(V1593&gt;=20,V1593&lt;40,W1593&gt;=45,W1593&lt;95),0.23,0)+IF(AND(V1593&gt;=20,V1593&lt;40,W1593&gt;=95),0.17,0)+IF(AND(V1593&gt;=40,V1593&lt;75,W1593&lt;35),0.3,0)+IF(AND(V1593&gt;=40,V1593&lt;75,W1593&gt;=35,W1593&lt;75),0.23,0)+IF(AND(V1593&gt;=40,V1593&lt;75,W1593&gt;=75,W1593&lt;120),0.17,0)+IF(AND(V1593&gt;=40,V1593&lt;75,W1593&gt;=120),0.12,0)+IF(AND(V1593&gt;=75,V1593&lt;175,W1593&lt;35),0.3,0)+IF(AND(V1593&gt;=75,V1593&lt;=175,W1593&gt;=35,W1593&lt;65),0.23,0)+IF(AND(V1593&gt;=75,V1593&lt;=175,W1593&gt;=65,W1593&lt;110),0.17,0)+IF(AND(V1593&gt;=75,V1593&lt;=175,W1593&gt;=110),0.12,0)+IF(AND(V1593&gt;175,W1593&lt;25),0.3,0)+IF(AND(V1593&gt;175,W1593&gt;=25,W1593&lt;55),0.23,0)+IF(AND(V1593&gt;175,W1593&gt;=55,W1593&lt;95),0.17,0)+IF(AND(V1593&gt;175,W1593&gt;=95),0.12,0),
IF(AF1593="Fix15",0.15,
IF(AF1593="Fix5",0.05,
IF(AF1593="Fix18.75",0.1875,
IF(AF1593="Fix11.25",0.1125,
IF(AF1593="Fix10",0.1,
IF(AF1593="Fix9",0.09,
IF(AF1593="Fix12",0.12,
IF(AF1593="Fix19",0.19,
IF(AF1593="DoEV2017",IF(AND(W1593&lt;74),0.2,0)+IF(AND(W1593&gt;=74),0.17,0),
IF(AF1593="SF",IF(AND(V1593&lt;20,W1593&lt;89),0.3,0)+IF(AND(V1593&lt;20,W1593&gt;=89),0.25,0)+IF(AND(V1593&gt;=20,V1593&lt;40,W1593&lt;74),0.3,0)+IF(AND(V1593&gt;=20,V1593&lt;40,W1593&gt;=75),0.22,0)+IF(AND(V1593&gt;=40,V1593&lt;75,W1593&lt;75),0.26,0)+IF(AND(V1593&gt;=40,V1593&lt;75,W1593&gt;=75),0.22,0)+IF(V1593&gt;=75,0.22,0),
IF(AF1593="DoEVold",IF(AND(V1593&lt;40,W1593&lt;35),0.35,0)+IF(AND(V1593&lt;40,W1593&gt;=35,W1593&lt;75),0.25,0)+IF(AND(V1593&lt;40,W1593&gt;=75),0.17,0)+IF(AND(V1593&gt;=40,V1593&lt;75,W1593&lt;25),0.35,0)+IF(AND(V1593&gt;=40,V1593&lt;75,W1593&gt;=25,W1593&lt;65),0.25,0)+IF(AND(V1593&gt;=40,V1593&lt;75,W1593&gt;=65,W1593&lt;100),0.17,0)+IF(AND(V1593&gt;=40,V1593&lt;75,W1593&gt;=100),0.1,0)+IF(AND(V1593&gt;=75,W1593&lt;25),0.35,0)+IF(AND(V1593&gt;=75,W1593&gt;=25,W1593&lt;60),0.25,0)+IF(AND(V1593&gt;=75,W1593&gt;=60,W1593&lt;95),0.17,0)+IF(AND(V1593&gt;=75,W1593&gt;=95),0.1,0),
IF(AF1593="DoEVold15",IF(AND(V1593&lt;=40,W1593&lt;35),0.35,0)+IF(AND(V1593&lt;=40,W1593&gt;=35,W1593&lt;75),0.25,0)+IF(AND(V1593&lt;=40,W1593&gt;=75,W1593&lt;120),0.17,0)+IF(AND(V1593&lt;=40,W1593&gt;=120),0.15,0)+IF(AND(V1593&gt;40,V1593&lt;75,W1593&lt;25),0.35,0)+IF(AND(V1593&gt;=40,V1593&lt;75,W1593&gt;=25,W1593&lt;65),0.25,0)+IF(AND(V1593&gt;=40,V1593&lt;75,W1593&gt;=65,W1593&lt;100),0.17,0)+IF(AND(V1593&gt;=40,V1593&lt;75,W1593&gt;=100),0.1,0)+IF(AND(V1593&gt;=75,W1593&lt;25),0.35,0)+IF(AND(V1593&gt;=75,W1593&gt;=25,W1593&lt;60),0.25,0)+IF(AND(V1593&gt;=75,W1593&gt;=60,W1593&lt;95),0.17,0)+IF(AND(V1593&gt;=75,W1593&gt;=95),0.1,0),
IF(AF1593="DoEVba",IF(AND(V1593&lt;20,W1593&lt;105),0.2,0)+IF(AND(V1593&lt;20,W1593&gt;=105),0.15,0)+IF(AND(V1593&gt;=20,V1593&lt;40,W1593&lt;95),0.2,0)+IF(AND(V1593&gt;=20,V1593&lt;40,W1593&gt;=95,W1593&lt;150),0.15,0)+IF(AND(V1593&gt;=20,V1593&lt;40,W1593&gt;=150),0.12,0)+IF(AND(V1593&gt;=40,V1593&lt;75,W1593&lt;75),0.2,0)+IF(AND(V1593&gt;=40,V1593&lt;75,W1593&gt;=75,W1593&lt;120),0.15,0)+IF(AND(V1593&gt;=40,V1593&lt;75,W1593&gt;=120),0.12,0)+IF(AND(V1593&gt;=75,V1593&lt;175,W1593&lt;65),0.2,0)+IF(AND(V1593&gt;=75,V1593&lt;175,W1593&gt;=65,W1593&lt;110),0.15,0)+IF(AND(V1593&gt;=75,V1593&lt;175,W1593&gt;=110),0.12,0)+IF(AND(V1593&gt;=175,W1593&lt;55),0.2,0)+IF(AND(V1593&gt;=175,W1593&gt;=55,W1593&lt;95),0.15,0)+IF(AND(V1593&gt;=175,W1593&gt;=95),0.12,0),
IF(AF1593="DoEVku",IF(AND(V1593&lt;20,W1593&lt;55),0.23,0)+IF(AND(V1593&lt;20,W1593&gt;=55,W1593&lt;105),0.2,0)+IF(AND(V1593&lt;20,W1593&gt;=105),0.17,0)+IF(AND(V1593&gt;=20,V1593&lt;40,W1593&lt;45),0.23,0)+IF(AND(V1593&gt;=20,V1593&lt;40,W1593&gt;=45,W1593&lt;95),0.2,0)+IF(AND(V1593&gt;=20,V1593&lt;40,W1593&gt;=95,W1593&lt;=150),0.17,0)+IF(AND(V1593&gt;=20,V1593&lt;40,W1593&gt;=150),0.12,0)+IF(AND(V1593&gt;=40,V1593&lt;75,W1593&lt;35),0.23,0)+IF(AND(V1593&gt;=40,V1593&lt;75,W1593&gt;=35,W1593&lt;75),0.2,0)+IF(AND(V1593&gt;=40,V1593&lt;75,W1593&gt;=75,W1593&lt;120),0.17,0)+IF(AND(V1593&gt;=40,V1593&lt;75,W1593&gt;=120),0.12,0)+IF(AND(V1593&gt;=75,V1593&lt;175,W1593&lt;35),0.23,0)+IF(AND(V1593&gt;=75,V1593&lt;=175,W1593&gt;=35,W1593&lt;65),0.2,0)+IF(AND(V1593&gt;=75,V1593&lt;=175,W1593&gt;=65,W1593&lt;110),0.17,0)+IF(AND(V1593&gt;=75,V1593&lt;=175,W1593&gt;=110),0.12,0)+IF(AND(V1593&gt;175,W1593&lt;25),0.23,0)+IF(AND(V1593&gt;175,W1593&gt;=25,W1593&lt;55),0.2,0)+IF(AND(V1593&gt;175,W1593&gt;=55,W1593&lt;95),0.17,0)+IF(AND(V1593&gt;175,W1593&gt;=95),0.12,0),
IF(AF1593="DoEVs1",IF(AND(V1593&lt;20,W1593&lt;55),0.3,0)+IF(AND(V1593&lt;20,W1593&gt;=55,W1593&lt;105),0.23,0)+IF(AND(V1593&lt;20,W1593&gt;=105),0.17,0)+IF(AND(V1593&gt;=20,V1593&lt;40,W1593&lt;45),0.3,0)+IF(AND(V1593&gt;=20,V1593&lt;40,W1593&gt;=45,W1593&lt;95),0.23,0)+IF(AND(V1593&gt;=20,V1593&lt;40,W1593&gt;=95,W1593&lt;=150),0.17,0)+IF(AND(V1593&gt;=20,V1593&lt;40,W1593&gt;=150),0.12,0)+IF(AND(V1593&gt;=40,V1593&lt;75,W1593&lt;35),0.3,0)+IF(AND(V1593&gt;=40,V1593&lt;75,W1593&gt;=35,W1593&lt;75),0.23,0)+IF(AND(V1593&gt;=40,V1593&lt;75,W1593&gt;=75,W1593&lt;120),0.17,0)+IF(AND(V1593&gt;=40,V1593&lt;75,W1593&gt;=120),0.12,0)+IF(AND(V1593&gt;=75,V1593&lt;175,W1593&lt;35),0.3,0)+IF(AND(V1593&gt;=75,V1593&lt;=175,W1593&gt;=35,W1593&lt;65),0.23,0)+IF(AND(V1593&gt;=75,V1593&lt;=175,W1593&gt;=65,W1593&lt;110),0.17,0)+IF(AND(V1593&gt;=75,V1593&lt;=175,W1593&gt;=110),0.12,0)+IF(AND(V1593&gt;175,W1593&lt;25),0.3,0)+IF(AND(V1593&gt;175,W1593&gt;=25,W1593&lt;55),0.23,0)+IF(AND(V1593&gt;175,W1593&gt;=55,W1593&lt;95),0.17,0)+IF(AND(V1593&gt;175,W1593&gt;=95),0.12,0),
IF(AF1593="DoEVsu",IF(AND(V1593&lt;20,W1593&lt;55),0.3,0)+IF(AND(V1593&lt;20,W1593&gt;=55,W1593&lt;105),0.23,0)+IF(AND(V1593&lt;20,W1593&gt;=105),0.17,0)+IF(AND(V1593&gt;=20,V1593&lt;40,W1593&lt;45),0.3,0)+IF(AND(V1593&gt;=20,V1593&lt;40,W1593&gt;=45,W1593&lt;95),0.23,0)+IF(AND(V1593&gt;=20,V1593&lt;40,W1593&gt;=95,W1593&lt;=250),0.17,0)+IF(AND(V1593&gt;=20,V1593&lt;40,W1593&gt;=250),0.12,0)+IF(AND(V1593&gt;=40,V1593&lt;75,W1593&lt;35),0.3,0)+IF(AND(V1593&gt;=40,V1593&lt;75,W1593&gt;=35,W1593&lt;75),0.23,0)+IF(AND(V1593&gt;=40,V1593&lt;75,W1593&gt;=75,W1593&lt;120),0.17,0)+IF(AND(V1593&gt;=40,V1593&lt;75,W1593&gt;=120),0.12,0)+IF(AND(V1593&gt;=75,V1593&lt;175,W1593&lt;35),0.3,0)+IF(AND(V1593&gt;=75,V1593&lt;=175,W1593&gt;=35,W1593&lt;65),0.23,0)+IF(AND(V1593&gt;=75,V1593&lt;=175,W1593&gt;=65,W1593&lt;110),0.17,0)+IF(AND(V1593&gt;=75,V1593&lt;=175,W1593&gt;=110),0.12,0)+IF(AND(V1593&gt;175,W1593&lt;25),0.3,0)+IF(AND(V1593&gt;175,W1593&gt;=25,W1593&lt;55),0.23,0)+IF(AND(V1593&gt;175,W1593&gt;=55,W1593&lt;95),0.17,0)+IF(AND(V1593&gt;175,W1593&gt;=95),0.12,0),
IF(AF1593="DoEVni",IF(AND(V1593&lt;20,W1593&lt;55),0.3,0)+IF(AND(V1593&lt;20,W1593&gt;=55,W1593&lt;105),0.23,0)+IF(AND(V1593&lt;20,W1593&gt;=105),0.17,0)+IF(AND(V1593&gt;=20,V1593&lt;40,W1593&lt;45),0.3,0)+IF(AND(V1593&gt;=20,V1593&lt;40,W1593&gt;=45,W1593&lt;95),0.23,0)+IF(AND(V1593&gt;=20,V1593&lt;40,W1593&gt;=95,W1593&lt;=200),0.17,0)+IF(AND(V1593&gt;=20,V1593&lt;40,W1593&gt;=200),0.12,0)+IF(AND(V1593&gt;=40,V1593&lt;75,W1593&lt;35),0.3,0)+IF(AND(V1593&gt;=40,V1593&lt;75,W1593&gt;=35,W1593&lt;75),0.23,0)+IF(AND(V1593&gt;=40,V1593&lt;75,W1593&gt;=75,W1593&lt;120),0.17,0)+IF(AND(V1593&gt;=40,V1593&lt;75,W1593&gt;=120),0.12,0)+IF(AND(V1593&gt;=75,V1593&lt;175,W1593&lt;35),0.3,0)+IF(AND(V1593&gt;=75,V1593&lt;=175,W1593&gt;=35,W1593&lt;65),0.23,0)+IF(AND(V1593&gt;=75,V1593&lt;=175,W1593&gt;=65,W1593&lt;110),0.17,0)+IF(AND(V1593&gt;=75,V1593&lt;=175,W1593&gt;=110),0.12,0)+IF(AND(V1593&gt;175,W1593&lt;25),0.3,0)+IF(AND(V1593&gt;175,W1593&gt;=25,W1593&lt;55),0.23,0)+IF(AND(V1593&gt;175,W1593&gt;=55,W1593&lt;95),0.17,0)+IF(AND(V1593&gt;175,W1593&gt;=95),0.12,0),
IF(AF1593="DoEVLo",IF(AND(V1593&lt;20,W1593&lt;55),0.25,0)+IF(AND(V1593&lt;20,W1593&gt;=55,W1593&lt;105),0.2,0)+IF(AND(V1593&lt;20,W1593&gt;=105),0.15,0)+IF(AND(V1593&gt;=20,V1593&lt;40,W1593&lt;45),0.25,0)+IF(AND(V1593&gt;=20,V1593&lt;40,W1593&gt;=45,W1593&lt;95),0.2,0)+IF(AND(V1593&gt;=20,V1593&lt;40,W1593&gt;=95),0.15,0)+IF(AND(V1593&gt;=40,V1593&lt;75,W1593&lt;35),0.25,0)+IF(AND(V1593&gt;=40,V1593&lt;75,W1593&gt;=35,W1593&lt;75),0.2,0)+IF(AND(V1593&gt;=40,V1593&lt;75,W1593&gt;=75,W1593&lt;120),0.15,0)+IF(AND(V1593&gt;=40,V1593&lt;75,W1593&gt;=120),0.1,0)+IF(AND(V1593&gt;=75,V1593&lt;175,W1593&lt;35),0.25,0)+IF(AND(V1593&gt;=75,V1593&lt;=175,W1593&gt;=35,W1593&lt;65),0.2,0)+IF(AND(V1593&gt;=75,V1593&lt;=175,W1593&gt;=65,W1593&lt;110),0.15,0)+IF(AND(V1593&gt;=75,V1593&lt;=175,W1593&gt;=110),0.1,0)+IF(AND(V1593&gt;175,W1593&lt;25),0.25,0)+IF(AND(V1593&gt;175,W1593&gt;=25,W1593&lt;55),0.2,0)+IF(AND(V1593&gt;175,W1593&gt;=55,W1593&lt;95),0.15,0)+IF(AND(V1593&gt;175,W1593&gt;=95),0.1,0))))))))))))))))))))</f>
        <v>0.15</v>
      </c>
      <c r="Y1593" s="30">
        <f>IF(AG1593="None",0,IF(AG1593="Fix5",0.05, IF(AG1593="Fix6.25",0.0625,IF(AG1593="Fix3.75",0.0375, IF(AG1593="Fix11",0.11, IF(AG1593="Fix10",0.1,IF(AG1593="Fix3",0.03,0)))))))</f>
        <v>0.05</v>
      </c>
      <c r="Z1593" s="35">
        <f>IF(AND(AD1593="EUR", AE1593 = "USD"), T1593*U1593-AA1593-AB1593, T1593-AA1593-AB1593)</f>
        <v>0</v>
      </c>
      <c r="AA1593" s="29">
        <f>IF(AND(AD1593="EUR", F1593="Without EV deal", AE1593="USD"), (T1593*X1593)*U1593,
IF(AND(AD1593="EUR", F1593="Without EV deal", AE1593="EUR"), (T1593*X1593),
IF(AND(AD1593="EUR",AE1593="USD"), (T1593*X1593)*U1593,
T1593*X1593)))</f>
        <v>0</v>
      </c>
      <c r="AB1593" s="36">
        <f>IF(AND(AD1593="EUR", F1593="Without EV deal", AE1593="USD"), (T1593*Y1593)*U1593,
IF(AND(AD1593="EUR", F1593="Without EV deal", AE1593="EUR"), (T1593*Y1593),
IF(AND(AD1593="EUR",AE1593="USD"), (T1593*Y1593)*U1593,
T1593*Y1593)))</f>
        <v>0</v>
      </c>
      <c r="AC1593" s="61" t="b">
        <v>1</v>
      </c>
      <c r="AD1593" s="82" t="str">
        <f>IF(OR(H1593="€0.25 Flash",
H1593="€0.25(nitro) new",
H1593="€1",
H1593="€2",
H1593="€2 (bf 01.08)",
H1593="€5",
H1593="€5 (1M)",
H1593="€5 (bf 01.08)",
H1593="€5 (bf 05.05)",
H1593="€5 Nitro",
H1593="€5(wx) new",
H1593="€10",
H1593="€10 (1M)",
H1593="€10 (bf 01.08)",
H1593="€10 (bf 05.05)",
H1593="€10 (MP)",
H1593="€10 (old)",
H1593="€10 Nitro (bf 05.05)",
H1593="€10 Nitro (old)",
H1593="€10(wx) new",
H1593="€20",
H1593="€25",
H1593="€25 (bf 01.08)",
H1593="€25 (bf 05.05)",
H1593="€25 (MP)",
H1593="€25 (old)",
H1593="€25 Nitro",
H1593="€25 Nitro (bf 01.08)",
H1593="€25 Nitro (bf 05.05)",
H1593="€25(nitro) new",
H1593="€25(wx) new",
H1593="€50",
H1593="€50 (bf 01.08)",
H1593="€50 (bf 05.05)",
H1593="€50 (old)",
H1593="€50 Nitro",
H1593="€50 Nitro (bf 01.08)",
H1593="€50 Nitro (bf 05.05)",
H1593="€50(wx) new",
H1593="€100",
H1593="€100 (old)",
H1593="€100 Nitro",
H1593="€100 Nitro (old)",
H1593="€200",
H1593="€250",
H1593="€250 Nitro",
H1593="€500",
H1593="€500 Nitro"),"EUR", "USD")</f>
        <v>USD</v>
      </c>
      <c r="AE1593" s="83" t="s">
        <v>38</v>
      </c>
      <c r="AF1593" s="83" t="str">
        <f t="array" ref="AF1593">INDEX('Deal Info'!D:D, MATCH(A1593,'Deal Info'!A:A, 0))</f>
        <v>Fix15</v>
      </c>
      <c r="AG1593" s="84" t="str">
        <f t="array" ref="AG1593">INDEX('Deal Info'!G:G, MATCH(A1593,'Deal Info'!A:A, 0))</f>
        <v>Fix5</v>
      </c>
    </row>
    <row r="1594" spans="1:33" ht="14.25" hidden="1" x14ac:dyDescent="0.2">
      <c r="A1594" s="18" t="str">
        <f t="array" ref="A1594">IF(G1594='Room Info'!$B$1, INDEX('Room Info'!$A$2:$A2446, MATCH(B1594,'Room Info'!$B$2:$B2446, 0)),IF(G1594='Room Info'!$C$1, INDEX('Room Info'!$A$2:$A2446, MATCH(B1594,'Room Info'!$C$2:$C2446, 0)),IF(G1594='Room Info'!$D$1, INDEX('Room Info'!$A$2:$A2446, MATCH(B1594,'Room Info'!$D$2:$D2446, 0)),IF(G1594='Room Info'!$E$1, INDEX('Room Info'!$A$2:$A2446, MATCH(B1594,'Room Info'!$E$2:$E2446, 0)),IF(G1594='Room Info'!$F$1, INDEX('Room Info'!$A$2:$A2446, MATCH(B1594,'Room Info'!$F$2:$F2446, 0)),IF(G1594='Room Info'!$H$1, INDEX('Room Info'!$A$2:$A2446, MATCH(B1594,'Room Info'!$H$2:$H2446, 0)),IF(G1594='Room Info'!$G$1, INDEX('Room Info'!$A$2:$A2446, MATCH(B1594,'Room Info'!$G$2:$G2446, 0)))))))))</f>
        <v>AlexanderDSL</v>
      </c>
      <c r="B1594" s="45" t="s">
        <v>82</v>
      </c>
      <c r="C1594" s="46">
        <v>44978</v>
      </c>
      <c r="D1594" s="46">
        <v>45005</v>
      </c>
      <c r="E1594" s="90">
        <v>44986</v>
      </c>
      <c r="F1594" s="96" t="s">
        <v>41</v>
      </c>
      <c r="G1594" s="65" t="s">
        <v>35</v>
      </c>
      <c r="H1594" s="49" t="s">
        <v>88</v>
      </c>
      <c r="I1594" s="100" t="s">
        <v>37</v>
      </c>
      <c r="J1594" s="39">
        <v>250</v>
      </c>
      <c r="K1594" s="75">
        <v>1</v>
      </c>
      <c r="L1594" s="94">
        <v>250</v>
      </c>
      <c r="M1594" s="79"/>
      <c r="N1594" s="28">
        <f>K1594*J1594</f>
        <v>250</v>
      </c>
      <c r="O1594" s="58">
        <v>610</v>
      </c>
      <c r="P1594" s="29">
        <v>610</v>
      </c>
      <c r="Q1594" s="55"/>
      <c r="R1594" s="31">
        <f>M1594+Q1594*J1594*K1594*0.07</f>
        <v>0</v>
      </c>
      <c r="S1594" s="132"/>
      <c r="T1594" s="32">
        <f>IF(AND(AD1594="EUR", F1594="Without EV deal"), R1594 + L1594,
IF(AND(AD1594="USD", F1594="Without EV deal"), R1594 + L1594,
IF(AND(AD1594="EUR", F1594="Steel Phoenix"), R1594 + S1594/U1594,
R1594 + S1594)))</f>
        <v>250</v>
      </c>
      <c r="U1594" s="57">
        <v>1.071</v>
      </c>
      <c r="V1594" s="58"/>
      <c r="W1594" s="58"/>
      <c r="X1594" s="30">
        <f>IF(AF1594="DoEV",IF(AND(V1594&lt;20,W1594&lt;55),0.3,0)+IF(AND(V1594&lt;20,W1594&gt;=55,W1594&lt;105),0.23,0)+IF(AND(V1594&lt;20,W1594&gt;=105),0.17,0)+IF(AND(V1594&gt;=20,V1594&lt;40,W1594&lt;45),0.3,0)+IF(AND(V1594&gt;=20,V1594&lt;40,W1594&gt;=45,W1594&lt;95),0.23,0)+IF(AND(V1594&gt;=20,V1594&lt;40,W1594&gt;=95),0.17,0)+IF(AND(V1594&gt;=40,V1594&lt;75,W1594&lt;35),0.3,0)+IF(AND(V1594&gt;=40,V1594&lt;75,W1594&gt;=35,W1594&lt;75),0.23,0)+IF(AND(V1594&gt;=40,V1594&lt;75,W1594&gt;=75,W1594&lt;120),0.17,0)+IF(AND(V1594&gt;=40,V1594&lt;75,W1594&gt;=120),0.12,0)+IF(AND(V1594&gt;=75,V1594&lt;175,W1594&lt;35),0.3,0)+IF(AND(V1594&gt;=75,V1594&lt;=175,W1594&gt;=35,W1594&lt;65),0.23,0)+IF(AND(V1594&gt;=75,V1594&lt;=175,W1594&gt;=65,W1594&lt;110),0.17,0)+IF(AND(V1594&gt;=75,V1594&lt;=175,W1594&gt;=110),0.12,0)+IF(AND(V1594&gt;175,W1594&lt;25),0.3,0)+IF(AND(V1594&gt;175,W1594&gt;=25,W1594&lt;55),0.23,0)+IF(AND(V1594&gt;175,W1594&gt;=55,W1594&lt;95),0.17,0)+IF(AND(V1594&gt;175,W1594&gt;=95),0.12,0),
IF(AF1594="Fix15",0.15,
IF(AF1594="Fix5",0.05,
IF(AF1594="Fix18.75",0.1875,
IF(AF1594="Fix11.25",0.1125,
IF(AF1594="Fix10",0.1,
IF(AF1594="Fix9",0.09,
IF(AF1594="Fix12",0.12,
IF(AF1594="Fix19",0.19,
IF(AF1594="DoEV2017",IF(AND(W1594&lt;74),0.2,0)+IF(AND(W1594&gt;=74),0.17,0),
IF(AF1594="SF",IF(AND(V1594&lt;20,W1594&lt;89),0.3,0)+IF(AND(V1594&lt;20,W1594&gt;=89),0.25,0)+IF(AND(V1594&gt;=20,V1594&lt;40,W1594&lt;74),0.3,0)+IF(AND(V1594&gt;=20,V1594&lt;40,W1594&gt;=75),0.22,0)+IF(AND(V1594&gt;=40,V1594&lt;75,W1594&lt;75),0.26,0)+IF(AND(V1594&gt;=40,V1594&lt;75,W1594&gt;=75),0.22,0)+IF(V1594&gt;=75,0.22,0),
IF(AF1594="DoEVold",IF(AND(V1594&lt;40,W1594&lt;35),0.35,0)+IF(AND(V1594&lt;40,W1594&gt;=35,W1594&lt;75),0.25,0)+IF(AND(V1594&lt;40,W1594&gt;=75),0.17,0)+IF(AND(V1594&gt;=40,V1594&lt;75,W1594&lt;25),0.35,0)+IF(AND(V1594&gt;=40,V1594&lt;75,W1594&gt;=25,W1594&lt;65),0.25,0)+IF(AND(V1594&gt;=40,V1594&lt;75,W1594&gt;=65,W1594&lt;100),0.17,0)+IF(AND(V1594&gt;=40,V1594&lt;75,W1594&gt;=100),0.1,0)+IF(AND(V1594&gt;=75,W1594&lt;25),0.35,0)+IF(AND(V1594&gt;=75,W1594&gt;=25,W1594&lt;60),0.25,0)+IF(AND(V1594&gt;=75,W1594&gt;=60,W1594&lt;95),0.17,0)+IF(AND(V1594&gt;=75,W1594&gt;=95),0.1,0),
IF(AF1594="DoEVold15",IF(AND(V1594&lt;=40,W1594&lt;35),0.35,0)+IF(AND(V1594&lt;=40,W1594&gt;=35,W1594&lt;75),0.25,0)+IF(AND(V1594&lt;=40,W1594&gt;=75,W1594&lt;120),0.17,0)+IF(AND(V1594&lt;=40,W1594&gt;=120),0.15,0)+IF(AND(V1594&gt;40,V1594&lt;75,W1594&lt;25),0.35,0)+IF(AND(V1594&gt;=40,V1594&lt;75,W1594&gt;=25,W1594&lt;65),0.25,0)+IF(AND(V1594&gt;=40,V1594&lt;75,W1594&gt;=65,W1594&lt;100),0.17,0)+IF(AND(V1594&gt;=40,V1594&lt;75,W1594&gt;=100),0.1,0)+IF(AND(V1594&gt;=75,W1594&lt;25),0.35,0)+IF(AND(V1594&gt;=75,W1594&gt;=25,W1594&lt;60),0.25,0)+IF(AND(V1594&gt;=75,W1594&gt;=60,W1594&lt;95),0.17,0)+IF(AND(V1594&gt;=75,W1594&gt;=95),0.1,0),
IF(AF1594="DoEVba",IF(AND(V1594&lt;20,W1594&lt;105),0.2,0)+IF(AND(V1594&lt;20,W1594&gt;=105),0.15,0)+IF(AND(V1594&gt;=20,V1594&lt;40,W1594&lt;95),0.2,0)+IF(AND(V1594&gt;=20,V1594&lt;40,W1594&gt;=95,W1594&lt;150),0.15,0)+IF(AND(V1594&gt;=20,V1594&lt;40,W1594&gt;=150),0.12,0)+IF(AND(V1594&gt;=40,V1594&lt;75,W1594&lt;75),0.2,0)+IF(AND(V1594&gt;=40,V1594&lt;75,W1594&gt;=75,W1594&lt;120),0.15,0)+IF(AND(V1594&gt;=40,V1594&lt;75,W1594&gt;=120),0.12,0)+IF(AND(V1594&gt;=75,V1594&lt;175,W1594&lt;65),0.2,0)+IF(AND(V1594&gt;=75,V1594&lt;175,W1594&gt;=65,W1594&lt;110),0.15,0)+IF(AND(V1594&gt;=75,V1594&lt;175,W1594&gt;=110),0.12,0)+IF(AND(V1594&gt;=175,W1594&lt;55),0.2,0)+IF(AND(V1594&gt;=175,W1594&gt;=55,W1594&lt;95),0.15,0)+IF(AND(V1594&gt;=175,W1594&gt;=95),0.12,0),
IF(AF1594="DoEVku",IF(AND(V1594&lt;20,W1594&lt;55),0.23,0)+IF(AND(V1594&lt;20,W1594&gt;=55,W1594&lt;105),0.2,0)+IF(AND(V1594&lt;20,W1594&gt;=105),0.17,0)+IF(AND(V1594&gt;=20,V1594&lt;40,W1594&lt;45),0.23,0)+IF(AND(V1594&gt;=20,V1594&lt;40,W1594&gt;=45,W1594&lt;95),0.2,0)+IF(AND(V1594&gt;=20,V1594&lt;40,W1594&gt;=95,W1594&lt;=150),0.17,0)+IF(AND(V1594&gt;=20,V1594&lt;40,W1594&gt;=150),0.12,0)+IF(AND(V1594&gt;=40,V1594&lt;75,W1594&lt;35),0.23,0)+IF(AND(V1594&gt;=40,V1594&lt;75,W1594&gt;=35,W1594&lt;75),0.2,0)+IF(AND(V1594&gt;=40,V1594&lt;75,W1594&gt;=75,W1594&lt;120),0.17,0)+IF(AND(V1594&gt;=40,V1594&lt;75,W1594&gt;=120),0.12,0)+IF(AND(V1594&gt;=75,V1594&lt;175,W1594&lt;35),0.23,0)+IF(AND(V1594&gt;=75,V1594&lt;=175,W1594&gt;=35,W1594&lt;65),0.2,0)+IF(AND(V1594&gt;=75,V1594&lt;=175,W1594&gt;=65,W1594&lt;110),0.17,0)+IF(AND(V1594&gt;=75,V1594&lt;=175,W1594&gt;=110),0.12,0)+IF(AND(V1594&gt;175,W1594&lt;25),0.23,0)+IF(AND(V1594&gt;175,W1594&gt;=25,W1594&lt;55),0.2,0)+IF(AND(V1594&gt;175,W1594&gt;=55,W1594&lt;95),0.17,0)+IF(AND(V1594&gt;175,W1594&gt;=95),0.12,0),
IF(AF1594="DoEVs1",IF(AND(V1594&lt;20,W1594&lt;55),0.3,0)+IF(AND(V1594&lt;20,W1594&gt;=55,W1594&lt;105),0.23,0)+IF(AND(V1594&lt;20,W1594&gt;=105),0.17,0)+IF(AND(V1594&gt;=20,V1594&lt;40,W1594&lt;45),0.3,0)+IF(AND(V1594&gt;=20,V1594&lt;40,W1594&gt;=45,W1594&lt;95),0.23,0)+IF(AND(V1594&gt;=20,V1594&lt;40,W1594&gt;=95,W1594&lt;=150),0.17,0)+IF(AND(V1594&gt;=20,V1594&lt;40,W1594&gt;=150),0.12,0)+IF(AND(V1594&gt;=40,V1594&lt;75,W1594&lt;35),0.3,0)+IF(AND(V1594&gt;=40,V1594&lt;75,W1594&gt;=35,W1594&lt;75),0.23,0)+IF(AND(V1594&gt;=40,V1594&lt;75,W1594&gt;=75,W1594&lt;120),0.17,0)+IF(AND(V1594&gt;=40,V1594&lt;75,W1594&gt;=120),0.12,0)+IF(AND(V1594&gt;=75,V1594&lt;175,W1594&lt;35),0.3,0)+IF(AND(V1594&gt;=75,V1594&lt;=175,W1594&gt;=35,W1594&lt;65),0.23,0)+IF(AND(V1594&gt;=75,V1594&lt;=175,W1594&gt;=65,W1594&lt;110),0.17,0)+IF(AND(V1594&gt;=75,V1594&lt;=175,W1594&gt;=110),0.12,0)+IF(AND(V1594&gt;175,W1594&lt;25),0.3,0)+IF(AND(V1594&gt;175,W1594&gt;=25,W1594&lt;55),0.23,0)+IF(AND(V1594&gt;175,W1594&gt;=55,W1594&lt;95),0.17,0)+IF(AND(V1594&gt;175,W1594&gt;=95),0.12,0),
IF(AF1594="DoEVsu",IF(AND(V1594&lt;20,W1594&lt;55),0.3,0)+IF(AND(V1594&lt;20,W1594&gt;=55,W1594&lt;105),0.23,0)+IF(AND(V1594&lt;20,W1594&gt;=105),0.17,0)+IF(AND(V1594&gt;=20,V1594&lt;40,W1594&lt;45),0.3,0)+IF(AND(V1594&gt;=20,V1594&lt;40,W1594&gt;=45,W1594&lt;95),0.23,0)+IF(AND(V1594&gt;=20,V1594&lt;40,W1594&gt;=95,W1594&lt;=250),0.17,0)+IF(AND(V1594&gt;=20,V1594&lt;40,W1594&gt;=250),0.12,0)+IF(AND(V1594&gt;=40,V1594&lt;75,W1594&lt;35),0.3,0)+IF(AND(V1594&gt;=40,V1594&lt;75,W1594&gt;=35,W1594&lt;75),0.23,0)+IF(AND(V1594&gt;=40,V1594&lt;75,W1594&gt;=75,W1594&lt;120),0.17,0)+IF(AND(V1594&gt;=40,V1594&lt;75,W1594&gt;=120),0.12,0)+IF(AND(V1594&gt;=75,V1594&lt;175,W1594&lt;35),0.3,0)+IF(AND(V1594&gt;=75,V1594&lt;=175,W1594&gt;=35,W1594&lt;65),0.23,0)+IF(AND(V1594&gt;=75,V1594&lt;=175,W1594&gt;=65,W1594&lt;110),0.17,0)+IF(AND(V1594&gt;=75,V1594&lt;=175,W1594&gt;=110),0.12,0)+IF(AND(V1594&gt;175,W1594&lt;25),0.3,0)+IF(AND(V1594&gt;175,W1594&gt;=25,W1594&lt;55),0.23,0)+IF(AND(V1594&gt;175,W1594&gt;=55,W1594&lt;95),0.17,0)+IF(AND(V1594&gt;175,W1594&gt;=95),0.12,0),
IF(AF1594="DoEVni",IF(AND(V1594&lt;20,W1594&lt;55),0.3,0)+IF(AND(V1594&lt;20,W1594&gt;=55,W1594&lt;105),0.23,0)+IF(AND(V1594&lt;20,W1594&gt;=105),0.17,0)+IF(AND(V1594&gt;=20,V1594&lt;40,W1594&lt;45),0.3,0)+IF(AND(V1594&gt;=20,V1594&lt;40,W1594&gt;=45,W1594&lt;95),0.23,0)+IF(AND(V1594&gt;=20,V1594&lt;40,W1594&gt;=95,W1594&lt;=200),0.17,0)+IF(AND(V1594&gt;=20,V1594&lt;40,W1594&gt;=200),0.12,0)+IF(AND(V1594&gt;=40,V1594&lt;75,W1594&lt;35),0.3,0)+IF(AND(V1594&gt;=40,V1594&lt;75,W1594&gt;=35,W1594&lt;75),0.23,0)+IF(AND(V1594&gt;=40,V1594&lt;75,W1594&gt;=75,W1594&lt;120),0.17,0)+IF(AND(V1594&gt;=40,V1594&lt;75,W1594&gt;=120),0.12,0)+IF(AND(V1594&gt;=75,V1594&lt;175,W1594&lt;35),0.3,0)+IF(AND(V1594&gt;=75,V1594&lt;=175,W1594&gt;=35,W1594&lt;65),0.23,0)+IF(AND(V1594&gt;=75,V1594&lt;=175,W1594&gt;=65,W1594&lt;110),0.17,0)+IF(AND(V1594&gt;=75,V1594&lt;=175,W1594&gt;=110),0.12,0)+IF(AND(V1594&gt;175,W1594&lt;25),0.3,0)+IF(AND(V1594&gt;175,W1594&gt;=25,W1594&lt;55),0.23,0)+IF(AND(V1594&gt;175,W1594&gt;=55,W1594&lt;95),0.17,0)+IF(AND(V1594&gt;175,W1594&gt;=95),0.12,0),
IF(AF1594="DoEVLo",IF(AND(V1594&lt;20,W1594&lt;55),0.25,0)+IF(AND(V1594&lt;20,W1594&gt;=55,W1594&lt;105),0.2,0)+IF(AND(V1594&lt;20,W1594&gt;=105),0.15,0)+IF(AND(V1594&gt;=20,V1594&lt;40,W1594&lt;45),0.25,0)+IF(AND(V1594&gt;=20,V1594&lt;40,W1594&gt;=45,W1594&lt;95),0.2,0)+IF(AND(V1594&gt;=20,V1594&lt;40,W1594&gt;=95),0.15,0)+IF(AND(V1594&gt;=40,V1594&lt;75,W1594&lt;35),0.25,0)+IF(AND(V1594&gt;=40,V1594&lt;75,W1594&gt;=35,W1594&lt;75),0.2,0)+IF(AND(V1594&gt;=40,V1594&lt;75,W1594&gt;=75,W1594&lt;120),0.15,0)+IF(AND(V1594&gt;=40,V1594&lt;75,W1594&gt;=120),0.1,0)+IF(AND(V1594&gt;=75,V1594&lt;175,W1594&lt;35),0.25,0)+IF(AND(V1594&gt;=75,V1594&lt;=175,W1594&gt;=35,W1594&lt;65),0.2,0)+IF(AND(V1594&gt;=75,V1594&lt;=175,W1594&gt;=65,W1594&lt;110),0.15,0)+IF(AND(V1594&gt;=75,V1594&lt;=175,W1594&gt;=110),0.1,0)+IF(AND(V1594&gt;175,W1594&lt;25),0.25,0)+IF(AND(V1594&gt;175,W1594&gt;=25,W1594&lt;55),0.2,0)+IF(AND(V1594&gt;175,W1594&gt;=55,W1594&lt;95),0.15,0)+IF(AND(V1594&gt;175,W1594&gt;=95),0.1,0))))))))))))))))))))</f>
        <v>0.15</v>
      </c>
      <c r="Y1594" s="30">
        <f>IF(AG1594="None",0,IF(AG1594="Fix5",0.05, IF(AG1594="Fix6.25",0.0625,IF(AG1594="Fix3.75",0.0375, IF(AG1594="Fix11",0.11, IF(AG1594="Fix10",0.1,IF(AG1594="Fix3",0.03,0)))))))</f>
        <v>0.05</v>
      </c>
      <c r="Z1594" s="35">
        <f>IF(AND(AD1594="EUR", AE1594 = "USD"), T1594*U1594-AA1594-AB1594, T1594-AA1594-AB1594)</f>
        <v>200</v>
      </c>
      <c r="AA1594" s="29">
        <f>IF(AND(AD1594="EUR", F1594="Without EV deal", AE1594="USD"), (T1594*X1594)*U1594,
IF(AND(AD1594="EUR", F1594="Without EV deal", AE1594="EUR"), (T1594*X1594),
IF(AND(AD1594="EUR",AE1594="USD"), (T1594*X1594)*U1594,
T1594*X1594)))</f>
        <v>37.5</v>
      </c>
      <c r="AB1594" s="36">
        <f>IF(AND(AD1594="EUR", F1594="Without EV deal", AE1594="USD"), (T1594*Y1594)*U1594,
IF(AND(AD1594="EUR", F1594="Without EV deal", AE1594="EUR"), (T1594*Y1594),
IF(AND(AD1594="EUR",AE1594="USD"), (T1594*Y1594)*U1594,
T1594*Y1594)))</f>
        <v>12.5</v>
      </c>
      <c r="AC1594" s="61" t="b">
        <v>1</v>
      </c>
      <c r="AD1594" s="82" t="str">
        <f>IF(OR(H1594="€0.25 Flash",
H1594="€0.25(nitro) new",
H1594="€1",
H1594="€2",
H1594="€2 (bf 01.08)",
H1594="€5",
H1594="€5 (1M)",
H1594="€5 (bf 01.08)",
H1594="€5 (bf 05.05)",
H1594="€5 Nitro",
H1594="€5(wx) new",
H1594="€10",
H1594="€10 (1M)",
H1594="€10 (bf 01.08)",
H1594="€10 (bf 05.05)",
H1594="€10 (MP)",
H1594="€10 (old)",
H1594="€10 Nitro (bf 05.05)",
H1594="€10 Nitro (old)",
H1594="€10(wx) new",
H1594="€20",
H1594="€25",
H1594="€25 (bf 01.08)",
H1594="€25 (bf 05.05)",
H1594="€25 (MP)",
H1594="€25 (old)",
H1594="€25 Nitro",
H1594="€25 Nitro (bf 01.08)",
H1594="€25 Nitro (bf 05.05)",
H1594="€25(nitro) new",
H1594="€25(wx) new",
H1594="€50",
H1594="€50 (bf 01.08)",
H1594="€50 (bf 05.05)",
H1594="€50 (old)",
H1594="€50 Nitro",
H1594="€50 Nitro (bf 01.08)",
H1594="€50 Nitro (bf 05.05)",
H1594="€50(wx) new",
H1594="€100",
H1594="€100 (old)",
H1594="€100 Nitro",
H1594="€100 Nitro (old)",
H1594="€200",
H1594="€250",
H1594="€250 Nitro",
H1594="€500",
H1594="€500 Nitro"),"EUR", "USD")</f>
        <v>USD</v>
      </c>
      <c r="AE1594" s="83" t="s">
        <v>38</v>
      </c>
      <c r="AF1594" s="83" t="str">
        <f t="array" ref="AF1594">INDEX('Deal Info'!D:D, MATCH(A1594,'Deal Info'!A:A, 0))</f>
        <v>Fix15</v>
      </c>
      <c r="AG1594" s="84" t="str">
        <f t="array" ref="AG1594">INDEX('Deal Info'!G:G, MATCH(A1594,'Deal Info'!A:A, 0))</f>
        <v>Fix5</v>
      </c>
    </row>
    <row r="1595" spans="1:33" ht="14.25" hidden="1" x14ac:dyDescent="0.2">
      <c r="A1595" s="18" t="str">
        <f t="array" ref="A1595">IF(G1595='Room Info'!$B$1, INDEX('Room Info'!$A$2:$A2446, MATCH(B1595,'Room Info'!$B$2:$B2446, 0)),IF(G1595='Room Info'!$C$1, INDEX('Room Info'!$A$2:$A2446, MATCH(B1595,'Room Info'!$C$2:$C2446, 0)),IF(G1595='Room Info'!$D$1, INDEX('Room Info'!$A$2:$A2446, MATCH(B1595,'Room Info'!$D$2:$D2446, 0)),IF(G1595='Room Info'!$E$1, INDEX('Room Info'!$A$2:$A2446, MATCH(B1595,'Room Info'!$E$2:$E2446, 0)),IF(G1595='Room Info'!$F$1, INDEX('Room Info'!$A$2:$A2446, MATCH(B1595,'Room Info'!$F$2:$F2446, 0)),IF(G1595='Room Info'!$H$1, INDEX('Room Info'!$A$2:$A2446, MATCH(B1595,'Room Info'!$H$2:$H2446, 0)),IF(G1595='Room Info'!$G$1, INDEX('Room Info'!$A$2:$A2446, MATCH(B1595,'Room Info'!$G$2:$G2446, 0)))))))))</f>
        <v>007x2</v>
      </c>
      <c r="B1595" s="45" t="s">
        <v>33</v>
      </c>
      <c r="C1595" s="46">
        <v>44978</v>
      </c>
      <c r="D1595" s="46">
        <v>45005</v>
      </c>
      <c r="E1595" s="90">
        <v>44986</v>
      </c>
      <c r="F1595" s="48" t="s">
        <v>34</v>
      </c>
      <c r="G1595" s="65" t="s">
        <v>35</v>
      </c>
      <c r="H1595" s="49" t="s">
        <v>39</v>
      </c>
      <c r="I1595" s="100" t="s">
        <v>37</v>
      </c>
      <c r="J1595" s="39">
        <v>5</v>
      </c>
      <c r="K1595" s="51">
        <v>125</v>
      </c>
      <c r="L1595" s="52">
        <v>-50</v>
      </c>
      <c r="M1595" s="53">
        <v>690</v>
      </c>
      <c r="N1595" s="28">
        <f>K1595*J1595</f>
        <v>625</v>
      </c>
      <c r="O1595" s="54">
        <v>4174</v>
      </c>
      <c r="P1595" s="29">
        <v>33.392000000000003</v>
      </c>
      <c r="Q1595" s="55"/>
      <c r="R1595" s="31">
        <f>M1595+Q1595*J1595*K1595*0.07</f>
        <v>690</v>
      </c>
      <c r="S1595" s="56">
        <v>-401</v>
      </c>
      <c r="T1595" s="32">
        <f>IF(AND(AD1595="EUR", F1595="Without EV deal"), R1595 + L1595,
IF(AND(AD1595="USD", F1595="Without EV deal"), R1595 + L1595,
IF(AND(AD1595="EUR", F1595="Steel Phoenix"), R1595 + S1595/U1595,
R1595 + S1595)))</f>
        <v>289</v>
      </c>
      <c r="U1595" s="57">
        <v>1.071</v>
      </c>
      <c r="V1595" s="69">
        <v>9.7441415590626494</v>
      </c>
      <c r="W1595" s="69">
        <v>10.159950920245398</v>
      </c>
      <c r="X1595" s="30">
        <f>IF(AF1595="DoEV",IF(AND(V1595&lt;20,W1595&lt;55),0.3,0)+IF(AND(V1595&lt;20,W1595&gt;=55,W1595&lt;105),0.23,0)+IF(AND(V1595&lt;20,W1595&gt;=105),0.17,0)+IF(AND(V1595&gt;=20,V1595&lt;40,W1595&lt;45),0.3,0)+IF(AND(V1595&gt;=20,V1595&lt;40,W1595&gt;=45,W1595&lt;95),0.23,0)+IF(AND(V1595&gt;=20,V1595&lt;40,W1595&gt;=95),0.17,0)+IF(AND(V1595&gt;=40,V1595&lt;75,W1595&lt;35),0.3,0)+IF(AND(V1595&gt;=40,V1595&lt;75,W1595&gt;=35,W1595&lt;75),0.23,0)+IF(AND(V1595&gt;=40,V1595&lt;75,W1595&gt;=75,W1595&lt;120),0.17,0)+IF(AND(V1595&gt;=40,V1595&lt;75,W1595&gt;=120),0.12,0)+IF(AND(V1595&gt;=75,V1595&lt;175,W1595&lt;35),0.3,0)+IF(AND(V1595&gt;=75,V1595&lt;=175,W1595&gt;=35,W1595&lt;65),0.23,0)+IF(AND(V1595&gt;=75,V1595&lt;=175,W1595&gt;=65,W1595&lt;110),0.17,0)+IF(AND(V1595&gt;=75,V1595&lt;=175,W1595&gt;=110),0.12,0)+IF(AND(V1595&gt;175,W1595&lt;25),0.3,0)+IF(AND(V1595&gt;175,W1595&gt;=25,W1595&lt;55),0.23,0)+IF(AND(V1595&gt;175,W1595&gt;=55,W1595&lt;95),0.17,0)+IF(AND(V1595&gt;175,W1595&gt;=95),0.12,0),
IF(AF1595="Fix15",0.15,
IF(AF1595="Fix5",0.05,
IF(AF1595="Fix18.75",0.1875,
IF(AF1595="Fix11.25",0.1125,
IF(AF1595="Fix10",0.1,
IF(AF1595="Fix9",0.09,
IF(AF1595="Fix12",0.12,
IF(AF1595="Fix19",0.19,
IF(AF1595="DoEV2017",IF(AND(W1595&lt;74),0.2,0)+IF(AND(W1595&gt;=74),0.17,0),
IF(AF1595="SF",IF(AND(V1595&lt;20,W1595&lt;89),0.3,0)+IF(AND(V1595&lt;20,W1595&gt;=89),0.25,0)+IF(AND(V1595&gt;=20,V1595&lt;40,W1595&lt;74),0.3,0)+IF(AND(V1595&gt;=20,V1595&lt;40,W1595&gt;=75),0.22,0)+IF(AND(V1595&gt;=40,V1595&lt;75,W1595&lt;75),0.26,0)+IF(AND(V1595&gt;=40,V1595&lt;75,W1595&gt;=75),0.22,0)+IF(V1595&gt;=75,0.22,0),
IF(AF1595="DoEVold",IF(AND(V1595&lt;40,W1595&lt;35),0.35,0)+IF(AND(V1595&lt;40,W1595&gt;=35,W1595&lt;75),0.25,0)+IF(AND(V1595&lt;40,W1595&gt;=75),0.17,0)+IF(AND(V1595&gt;=40,V1595&lt;75,W1595&lt;25),0.35,0)+IF(AND(V1595&gt;=40,V1595&lt;75,W1595&gt;=25,W1595&lt;65),0.25,0)+IF(AND(V1595&gt;=40,V1595&lt;75,W1595&gt;=65,W1595&lt;100),0.17,0)+IF(AND(V1595&gt;=40,V1595&lt;75,W1595&gt;=100),0.1,0)+IF(AND(V1595&gt;=75,W1595&lt;25),0.35,0)+IF(AND(V1595&gt;=75,W1595&gt;=25,W1595&lt;60),0.25,0)+IF(AND(V1595&gt;=75,W1595&gt;=60,W1595&lt;95),0.17,0)+IF(AND(V1595&gt;=75,W1595&gt;=95),0.1,0),
IF(AF1595="DoEVold15",IF(AND(V1595&lt;=40,W1595&lt;35),0.35,0)+IF(AND(V1595&lt;=40,W1595&gt;=35,W1595&lt;75),0.25,0)+IF(AND(V1595&lt;=40,W1595&gt;=75,W1595&lt;120),0.17,0)+IF(AND(V1595&lt;=40,W1595&gt;=120),0.15,0)+IF(AND(V1595&gt;40,V1595&lt;75,W1595&lt;25),0.35,0)+IF(AND(V1595&gt;=40,V1595&lt;75,W1595&gt;=25,W1595&lt;65),0.25,0)+IF(AND(V1595&gt;=40,V1595&lt;75,W1595&gt;=65,W1595&lt;100),0.17,0)+IF(AND(V1595&gt;=40,V1595&lt;75,W1595&gt;=100),0.1,0)+IF(AND(V1595&gt;=75,W1595&lt;25),0.35,0)+IF(AND(V1595&gt;=75,W1595&gt;=25,W1595&lt;60),0.25,0)+IF(AND(V1595&gt;=75,W1595&gt;=60,W1595&lt;95),0.17,0)+IF(AND(V1595&gt;=75,W1595&gt;=95),0.1,0),
IF(AF1595="DoEVba",IF(AND(V1595&lt;20,W1595&lt;105),0.2,0)+IF(AND(V1595&lt;20,W1595&gt;=105),0.15,0)+IF(AND(V1595&gt;=20,V1595&lt;40,W1595&lt;95),0.2,0)+IF(AND(V1595&gt;=20,V1595&lt;40,W1595&gt;=95,W1595&lt;150),0.15,0)+IF(AND(V1595&gt;=20,V1595&lt;40,W1595&gt;=150),0.12,0)+IF(AND(V1595&gt;=40,V1595&lt;75,W1595&lt;75),0.2,0)+IF(AND(V1595&gt;=40,V1595&lt;75,W1595&gt;=75,W1595&lt;120),0.15,0)+IF(AND(V1595&gt;=40,V1595&lt;75,W1595&gt;=120),0.12,0)+IF(AND(V1595&gt;=75,V1595&lt;175,W1595&lt;65),0.2,0)+IF(AND(V1595&gt;=75,V1595&lt;175,W1595&gt;=65,W1595&lt;110),0.15,0)+IF(AND(V1595&gt;=75,V1595&lt;175,W1595&gt;=110),0.12,0)+IF(AND(V1595&gt;=175,W1595&lt;55),0.2,0)+IF(AND(V1595&gt;=175,W1595&gt;=55,W1595&lt;95),0.15,0)+IF(AND(V1595&gt;=175,W1595&gt;=95),0.12,0),
IF(AF1595="DoEVku",IF(AND(V1595&lt;20,W1595&lt;55),0.23,0)+IF(AND(V1595&lt;20,W1595&gt;=55,W1595&lt;105),0.2,0)+IF(AND(V1595&lt;20,W1595&gt;=105),0.17,0)+IF(AND(V1595&gt;=20,V1595&lt;40,W1595&lt;45),0.23,0)+IF(AND(V1595&gt;=20,V1595&lt;40,W1595&gt;=45,W1595&lt;95),0.2,0)+IF(AND(V1595&gt;=20,V1595&lt;40,W1595&gt;=95,W1595&lt;=150),0.17,0)+IF(AND(V1595&gt;=20,V1595&lt;40,W1595&gt;=150),0.12,0)+IF(AND(V1595&gt;=40,V1595&lt;75,W1595&lt;35),0.23,0)+IF(AND(V1595&gt;=40,V1595&lt;75,W1595&gt;=35,W1595&lt;75),0.2,0)+IF(AND(V1595&gt;=40,V1595&lt;75,W1595&gt;=75,W1595&lt;120),0.17,0)+IF(AND(V1595&gt;=40,V1595&lt;75,W1595&gt;=120),0.12,0)+IF(AND(V1595&gt;=75,V1595&lt;175,W1595&lt;35),0.23,0)+IF(AND(V1595&gt;=75,V1595&lt;=175,W1595&gt;=35,W1595&lt;65),0.2,0)+IF(AND(V1595&gt;=75,V1595&lt;=175,W1595&gt;=65,W1595&lt;110),0.17,0)+IF(AND(V1595&gt;=75,V1595&lt;=175,W1595&gt;=110),0.12,0)+IF(AND(V1595&gt;175,W1595&lt;25),0.23,0)+IF(AND(V1595&gt;175,W1595&gt;=25,W1595&lt;55),0.2,0)+IF(AND(V1595&gt;175,W1595&gt;=55,W1595&lt;95),0.17,0)+IF(AND(V1595&gt;175,W1595&gt;=95),0.12,0),
IF(AF1595="DoEVs1",IF(AND(V1595&lt;20,W1595&lt;55),0.3,0)+IF(AND(V1595&lt;20,W1595&gt;=55,W1595&lt;105),0.23,0)+IF(AND(V1595&lt;20,W1595&gt;=105),0.17,0)+IF(AND(V1595&gt;=20,V1595&lt;40,W1595&lt;45),0.3,0)+IF(AND(V1595&gt;=20,V1595&lt;40,W1595&gt;=45,W1595&lt;95),0.23,0)+IF(AND(V1595&gt;=20,V1595&lt;40,W1595&gt;=95,W1595&lt;=150),0.17,0)+IF(AND(V1595&gt;=20,V1595&lt;40,W1595&gt;=150),0.12,0)+IF(AND(V1595&gt;=40,V1595&lt;75,W1595&lt;35),0.3,0)+IF(AND(V1595&gt;=40,V1595&lt;75,W1595&gt;=35,W1595&lt;75),0.23,0)+IF(AND(V1595&gt;=40,V1595&lt;75,W1595&gt;=75,W1595&lt;120),0.17,0)+IF(AND(V1595&gt;=40,V1595&lt;75,W1595&gt;=120),0.12,0)+IF(AND(V1595&gt;=75,V1595&lt;175,W1595&lt;35),0.3,0)+IF(AND(V1595&gt;=75,V1595&lt;=175,W1595&gt;=35,W1595&lt;65),0.23,0)+IF(AND(V1595&gt;=75,V1595&lt;=175,W1595&gt;=65,W1595&lt;110),0.17,0)+IF(AND(V1595&gt;=75,V1595&lt;=175,W1595&gt;=110),0.12,0)+IF(AND(V1595&gt;175,W1595&lt;25),0.3,0)+IF(AND(V1595&gt;175,W1595&gt;=25,W1595&lt;55),0.23,0)+IF(AND(V1595&gt;175,W1595&gt;=55,W1595&lt;95),0.17,0)+IF(AND(V1595&gt;175,W1595&gt;=95),0.12,0),
IF(AF1595="DoEVsu",IF(AND(V1595&lt;20,W1595&lt;55),0.3,0)+IF(AND(V1595&lt;20,W1595&gt;=55,W1595&lt;105),0.23,0)+IF(AND(V1595&lt;20,W1595&gt;=105),0.17,0)+IF(AND(V1595&gt;=20,V1595&lt;40,W1595&lt;45),0.3,0)+IF(AND(V1595&gt;=20,V1595&lt;40,W1595&gt;=45,W1595&lt;95),0.23,0)+IF(AND(V1595&gt;=20,V1595&lt;40,W1595&gt;=95,W1595&lt;=250),0.17,0)+IF(AND(V1595&gt;=20,V1595&lt;40,W1595&gt;=250),0.12,0)+IF(AND(V1595&gt;=40,V1595&lt;75,W1595&lt;35),0.3,0)+IF(AND(V1595&gt;=40,V1595&lt;75,W1595&gt;=35,W1595&lt;75),0.23,0)+IF(AND(V1595&gt;=40,V1595&lt;75,W1595&gt;=75,W1595&lt;120),0.17,0)+IF(AND(V1595&gt;=40,V1595&lt;75,W1595&gt;=120),0.12,0)+IF(AND(V1595&gt;=75,V1595&lt;175,W1595&lt;35),0.3,0)+IF(AND(V1595&gt;=75,V1595&lt;=175,W1595&gt;=35,W1595&lt;65),0.23,0)+IF(AND(V1595&gt;=75,V1595&lt;=175,W1595&gt;=65,W1595&lt;110),0.17,0)+IF(AND(V1595&gt;=75,V1595&lt;=175,W1595&gt;=110),0.12,0)+IF(AND(V1595&gt;175,W1595&lt;25),0.3,0)+IF(AND(V1595&gt;175,W1595&gt;=25,W1595&lt;55),0.23,0)+IF(AND(V1595&gt;175,W1595&gt;=55,W1595&lt;95),0.17,0)+IF(AND(V1595&gt;175,W1595&gt;=95),0.12,0),
IF(AF1595="DoEVni",IF(AND(V1595&lt;20,W1595&lt;55),0.3,0)+IF(AND(V1595&lt;20,W1595&gt;=55,W1595&lt;105),0.23,0)+IF(AND(V1595&lt;20,W1595&gt;=105),0.17,0)+IF(AND(V1595&gt;=20,V1595&lt;40,W1595&lt;45),0.3,0)+IF(AND(V1595&gt;=20,V1595&lt;40,W1595&gt;=45,W1595&lt;95),0.23,0)+IF(AND(V1595&gt;=20,V1595&lt;40,W1595&gt;=95,W1595&lt;=200),0.17,0)+IF(AND(V1595&gt;=20,V1595&lt;40,W1595&gt;=200),0.12,0)+IF(AND(V1595&gt;=40,V1595&lt;75,W1595&lt;35),0.3,0)+IF(AND(V1595&gt;=40,V1595&lt;75,W1595&gt;=35,W1595&lt;75),0.23,0)+IF(AND(V1595&gt;=40,V1595&lt;75,W1595&gt;=75,W1595&lt;120),0.17,0)+IF(AND(V1595&gt;=40,V1595&lt;75,W1595&gt;=120),0.12,0)+IF(AND(V1595&gt;=75,V1595&lt;175,W1595&lt;35),0.3,0)+IF(AND(V1595&gt;=75,V1595&lt;=175,W1595&gt;=35,W1595&lt;65),0.23,0)+IF(AND(V1595&gt;=75,V1595&lt;=175,W1595&gt;=65,W1595&lt;110),0.17,0)+IF(AND(V1595&gt;=75,V1595&lt;=175,W1595&gt;=110),0.12,0)+IF(AND(V1595&gt;175,W1595&lt;25),0.3,0)+IF(AND(V1595&gt;175,W1595&gt;=25,W1595&lt;55),0.23,0)+IF(AND(V1595&gt;175,W1595&gt;=55,W1595&lt;95),0.17,0)+IF(AND(V1595&gt;175,W1595&gt;=95),0.12,0),
IF(AF1595="DoEVLo",IF(AND(V1595&lt;20,W1595&lt;55),0.25,0)+IF(AND(V1595&lt;20,W1595&gt;=55,W1595&lt;105),0.2,0)+IF(AND(V1595&lt;20,W1595&gt;=105),0.15,0)+IF(AND(V1595&gt;=20,V1595&lt;40,W1595&lt;45),0.25,0)+IF(AND(V1595&gt;=20,V1595&lt;40,W1595&gt;=45,W1595&lt;95),0.2,0)+IF(AND(V1595&gt;=20,V1595&lt;40,W1595&gt;=95),0.15,0)+IF(AND(V1595&gt;=40,V1595&lt;75,W1595&lt;35),0.25,0)+IF(AND(V1595&gt;=40,V1595&lt;75,W1595&gt;=35,W1595&lt;75),0.2,0)+IF(AND(V1595&gt;=40,V1595&lt;75,W1595&gt;=75,W1595&lt;120),0.15,0)+IF(AND(V1595&gt;=40,V1595&lt;75,W1595&gt;=120),0.1,0)+IF(AND(V1595&gt;=75,V1595&lt;175,W1595&lt;35),0.25,0)+IF(AND(V1595&gt;=75,V1595&lt;=175,W1595&gt;=35,W1595&lt;65),0.2,0)+IF(AND(V1595&gt;=75,V1595&lt;=175,W1595&gt;=65,W1595&lt;110),0.15,0)+IF(AND(V1595&gt;=75,V1595&lt;=175,W1595&gt;=110),0.1,0)+IF(AND(V1595&gt;175,W1595&lt;25),0.25,0)+IF(AND(V1595&gt;175,W1595&gt;=25,W1595&lt;55),0.2,0)+IF(AND(V1595&gt;175,W1595&gt;=55,W1595&lt;95),0.15,0)+IF(AND(V1595&gt;175,W1595&gt;=95),0.1,0))))))))))))))))))))</f>
        <v>0.3</v>
      </c>
      <c r="Y1595" s="30">
        <f>IF(AG1595="None",0,IF(AG1595="Fix5",0.05, IF(AG1595="Fix6.25",0.0625,IF(AG1595="Fix3.75",0.0375, IF(AG1595="Fix11",0.11, IF(AG1595="Fix10",0.1,IF(AG1595="Fix3",0.03,0)))))))</f>
        <v>0</v>
      </c>
      <c r="Z1595" s="35">
        <f>IF(AND(AD1595="EUR", AE1595 = "USD"), T1595*U1595-AA1595-AB1595, T1595-AA1595-AB1595)</f>
        <v>202.3</v>
      </c>
      <c r="AA1595" s="29">
        <f>IF(AND(AD1595="EUR", F1595="Without EV deal", AE1595="USD"), (T1595*X1595)*U1595,
IF(AND(AD1595="EUR", F1595="Without EV deal", AE1595="EUR"), (T1595*X1595),
IF(AND(AD1595="EUR",AE1595="USD"), (T1595*X1595)*U1595,
T1595*X1595)))</f>
        <v>86.7</v>
      </c>
      <c r="AB1595" s="36">
        <f>IF(AND(AD1595="EUR", F1595="Without EV deal", AE1595="USD"), (T1595*Y1595)*U1595,
IF(AND(AD1595="EUR", F1595="Without EV deal", AE1595="EUR"), (T1595*Y1595),
IF(AND(AD1595="EUR",AE1595="USD"), (T1595*Y1595)*U1595,
T1595*Y1595)))</f>
        <v>0</v>
      </c>
      <c r="AC1595" s="61" t="b">
        <v>1</v>
      </c>
      <c r="AD1595" s="82" t="str">
        <f>IF(OR(H1595="€0.25 Flash",
H1595="€0.25(nitro) new",
H1595="€1",
H1595="€2",
H1595="€2 (bf 01.08)",
H1595="€5",
H1595="€5 (1M)",
H1595="€5 (bf 01.08)",
H1595="€5 (bf 05.05)",
H1595="€5 Nitro",
H1595="€5(wx) new",
H1595="€10",
H1595="€10 (1M)",
H1595="€10 (bf 01.08)",
H1595="€10 (bf 05.05)",
H1595="€10 (MP)",
H1595="€10 (old)",
H1595="€10 Nitro (bf 05.05)",
H1595="€10 Nitro (old)",
H1595="€10(wx) new",
H1595="€20",
H1595="€25",
H1595="€25 (bf 01.08)",
H1595="€25 (bf 05.05)",
H1595="€25 (MP)",
H1595="€25 (old)",
H1595="€25 Nitro",
H1595="€25 Nitro (bf 01.08)",
H1595="€25 Nitro (bf 05.05)",
H1595="€25(nitro) new",
H1595="€25(wx) new",
H1595="€50",
H1595="€50 (bf 01.08)",
H1595="€50 (bf 05.05)",
H1595="€50 (old)",
H1595="€50 Nitro",
H1595="€50 Nitro (bf 01.08)",
H1595="€50 Nitro (bf 05.05)",
H1595="€50(wx) new",
H1595="€100",
H1595="€100 (old)",
H1595="€100 Nitro",
H1595="€100 Nitro (old)",
H1595="€200",
H1595="€250",
H1595="€250 Nitro",
H1595="€500",
H1595="€500 Nitro"),"EUR", "USD")</f>
        <v>USD</v>
      </c>
      <c r="AE1595" s="83" t="s">
        <v>38</v>
      </c>
      <c r="AF1595" s="83" t="str">
        <f t="array" ref="AF1595">INDEX('Deal Info'!D:D, MATCH(A1595,'Deal Info'!A:A, 0))</f>
        <v>DoEV</v>
      </c>
      <c r="AG1595" s="84" t="str">
        <f t="array" ref="AG1595">INDEX('Deal Info'!G:G, MATCH(A1595,'Deal Info'!A:A, 0))</f>
        <v>None</v>
      </c>
    </row>
    <row r="1596" spans="1:33" ht="14.25" hidden="1" x14ac:dyDescent="0.2">
      <c r="A1596" s="18" t="str">
        <f t="array" ref="A1596">IF(G1596='Room Info'!$B$1, INDEX('Room Info'!$A$2:$A2446, MATCH(B1596,'Room Info'!$B$2:$B2446, 0)),IF(G1596='Room Info'!$C$1, INDEX('Room Info'!$A$2:$A2446, MATCH(B1596,'Room Info'!$C$2:$C2446, 0)),IF(G1596='Room Info'!$D$1, INDEX('Room Info'!$A$2:$A2446, MATCH(B1596,'Room Info'!$D$2:$D2446, 0)),IF(G1596='Room Info'!$E$1, INDEX('Room Info'!$A$2:$A2446, MATCH(B1596,'Room Info'!$E$2:$E2446, 0)),IF(G1596='Room Info'!$F$1, INDEX('Room Info'!$A$2:$A2446, MATCH(B1596,'Room Info'!$F$2:$F2446, 0)),IF(G1596='Room Info'!$H$1, INDEX('Room Info'!$A$2:$A2446, MATCH(B1596,'Room Info'!$H$2:$H2446, 0)),IF(G1596='Room Info'!$G$1, INDEX('Room Info'!$A$2:$A2446, MATCH(B1596,'Room Info'!$G$2:$G2446, 0)))))))))</f>
        <v>007x2</v>
      </c>
      <c r="B1596" s="45" t="s">
        <v>33</v>
      </c>
      <c r="C1596" s="46">
        <v>44978</v>
      </c>
      <c r="D1596" s="46">
        <v>45005</v>
      </c>
      <c r="E1596" s="90">
        <v>44986</v>
      </c>
      <c r="F1596" s="48" t="s">
        <v>34</v>
      </c>
      <c r="G1596" s="65" t="s">
        <v>35</v>
      </c>
      <c r="H1596" s="49" t="s">
        <v>40</v>
      </c>
      <c r="I1596" s="100" t="s">
        <v>37</v>
      </c>
      <c r="J1596" s="39">
        <v>10</v>
      </c>
      <c r="K1596" s="51">
        <v>1956</v>
      </c>
      <c r="L1596" s="52">
        <v>-1400</v>
      </c>
      <c r="M1596" s="62"/>
      <c r="N1596" s="28">
        <f>K1596*J1596</f>
        <v>19560</v>
      </c>
      <c r="O1596" s="54">
        <v>55272</v>
      </c>
      <c r="P1596" s="29">
        <v>28.257668710000001</v>
      </c>
      <c r="Q1596" s="55"/>
      <c r="R1596" s="31">
        <f>M1596+Q1596*J1596*K1596*0.07</f>
        <v>0</v>
      </c>
      <c r="S1596" s="66"/>
      <c r="T1596" s="32">
        <f>IF(AND(AD1596="EUR", F1596="Without EV deal"), R1596 + L1596,
IF(AND(AD1596="USD", F1596="Without EV deal"), R1596 + L1596,
IF(AND(AD1596="EUR", F1596="Steel Phoenix"), R1596 + S1596/U1596,
R1596 + S1596)))</f>
        <v>0</v>
      </c>
      <c r="U1596" s="57">
        <v>1.071</v>
      </c>
      <c r="V1596" s="69">
        <v>9.7441415590626494</v>
      </c>
      <c r="W1596" s="69">
        <v>10.159950920245398</v>
      </c>
      <c r="X1596" s="30">
        <f>IF(AF1596="DoEV",IF(AND(V1596&lt;20,W1596&lt;55),0.3,0)+IF(AND(V1596&lt;20,W1596&gt;=55,W1596&lt;105),0.23,0)+IF(AND(V1596&lt;20,W1596&gt;=105),0.17,0)+IF(AND(V1596&gt;=20,V1596&lt;40,W1596&lt;45),0.3,0)+IF(AND(V1596&gt;=20,V1596&lt;40,W1596&gt;=45,W1596&lt;95),0.23,0)+IF(AND(V1596&gt;=20,V1596&lt;40,W1596&gt;=95),0.17,0)+IF(AND(V1596&gt;=40,V1596&lt;75,W1596&lt;35),0.3,0)+IF(AND(V1596&gt;=40,V1596&lt;75,W1596&gt;=35,W1596&lt;75),0.23,0)+IF(AND(V1596&gt;=40,V1596&lt;75,W1596&gt;=75,W1596&lt;120),0.17,0)+IF(AND(V1596&gt;=40,V1596&lt;75,W1596&gt;=120),0.12,0)+IF(AND(V1596&gt;=75,V1596&lt;175,W1596&lt;35),0.3,0)+IF(AND(V1596&gt;=75,V1596&lt;=175,W1596&gt;=35,W1596&lt;65),0.23,0)+IF(AND(V1596&gt;=75,V1596&lt;=175,W1596&gt;=65,W1596&lt;110),0.17,0)+IF(AND(V1596&gt;=75,V1596&lt;=175,W1596&gt;=110),0.12,0)+IF(AND(V1596&gt;175,W1596&lt;25),0.3,0)+IF(AND(V1596&gt;175,W1596&gt;=25,W1596&lt;55),0.23,0)+IF(AND(V1596&gt;175,W1596&gt;=55,W1596&lt;95),0.17,0)+IF(AND(V1596&gt;175,W1596&gt;=95),0.12,0),
IF(AF1596="Fix15",0.15,
IF(AF1596="Fix5",0.05,
IF(AF1596="Fix18.75",0.1875,
IF(AF1596="Fix11.25",0.1125,
IF(AF1596="Fix10",0.1,
IF(AF1596="Fix9",0.09,
IF(AF1596="Fix12",0.12,
IF(AF1596="Fix19",0.19,
IF(AF1596="DoEV2017",IF(AND(W1596&lt;74),0.2,0)+IF(AND(W1596&gt;=74),0.17,0),
IF(AF1596="SF",IF(AND(V1596&lt;20,W1596&lt;89),0.3,0)+IF(AND(V1596&lt;20,W1596&gt;=89),0.25,0)+IF(AND(V1596&gt;=20,V1596&lt;40,W1596&lt;74),0.3,0)+IF(AND(V1596&gt;=20,V1596&lt;40,W1596&gt;=75),0.22,0)+IF(AND(V1596&gt;=40,V1596&lt;75,W1596&lt;75),0.26,0)+IF(AND(V1596&gt;=40,V1596&lt;75,W1596&gt;=75),0.22,0)+IF(V1596&gt;=75,0.22,0),
IF(AF1596="DoEVold",IF(AND(V1596&lt;40,W1596&lt;35),0.35,0)+IF(AND(V1596&lt;40,W1596&gt;=35,W1596&lt;75),0.25,0)+IF(AND(V1596&lt;40,W1596&gt;=75),0.17,0)+IF(AND(V1596&gt;=40,V1596&lt;75,W1596&lt;25),0.35,0)+IF(AND(V1596&gt;=40,V1596&lt;75,W1596&gt;=25,W1596&lt;65),0.25,0)+IF(AND(V1596&gt;=40,V1596&lt;75,W1596&gt;=65,W1596&lt;100),0.17,0)+IF(AND(V1596&gt;=40,V1596&lt;75,W1596&gt;=100),0.1,0)+IF(AND(V1596&gt;=75,W1596&lt;25),0.35,0)+IF(AND(V1596&gt;=75,W1596&gt;=25,W1596&lt;60),0.25,0)+IF(AND(V1596&gt;=75,W1596&gt;=60,W1596&lt;95),0.17,0)+IF(AND(V1596&gt;=75,W1596&gt;=95),0.1,0),
IF(AF1596="DoEVold15",IF(AND(V1596&lt;=40,W1596&lt;35),0.35,0)+IF(AND(V1596&lt;=40,W1596&gt;=35,W1596&lt;75),0.25,0)+IF(AND(V1596&lt;=40,W1596&gt;=75,W1596&lt;120),0.17,0)+IF(AND(V1596&lt;=40,W1596&gt;=120),0.15,0)+IF(AND(V1596&gt;40,V1596&lt;75,W1596&lt;25),0.35,0)+IF(AND(V1596&gt;=40,V1596&lt;75,W1596&gt;=25,W1596&lt;65),0.25,0)+IF(AND(V1596&gt;=40,V1596&lt;75,W1596&gt;=65,W1596&lt;100),0.17,0)+IF(AND(V1596&gt;=40,V1596&lt;75,W1596&gt;=100),0.1,0)+IF(AND(V1596&gt;=75,W1596&lt;25),0.35,0)+IF(AND(V1596&gt;=75,W1596&gt;=25,W1596&lt;60),0.25,0)+IF(AND(V1596&gt;=75,W1596&gt;=60,W1596&lt;95),0.17,0)+IF(AND(V1596&gt;=75,W1596&gt;=95),0.1,0),
IF(AF1596="DoEVba",IF(AND(V1596&lt;20,W1596&lt;105),0.2,0)+IF(AND(V1596&lt;20,W1596&gt;=105),0.15,0)+IF(AND(V1596&gt;=20,V1596&lt;40,W1596&lt;95),0.2,0)+IF(AND(V1596&gt;=20,V1596&lt;40,W1596&gt;=95,W1596&lt;150),0.15,0)+IF(AND(V1596&gt;=20,V1596&lt;40,W1596&gt;=150),0.12,0)+IF(AND(V1596&gt;=40,V1596&lt;75,W1596&lt;75),0.2,0)+IF(AND(V1596&gt;=40,V1596&lt;75,W1596&gt;=75,W1596&lt;120),0.15,0)+IF(AND(V1596&gt;=40,V1596&lt;75,W1596&gt;=120),0.12,0)+IF(AND(V1596&gt;=75,V1596&lt;175,W1596&lt;65),0.2,0)+IF(AND(V1596&gt;=75,V1596&lt;175,W1596&gt;=65,W1596&lt;110),0.15,0)+IF(AND(V1596&gt;=75,V1596&lt;175,W1596&gt;=110),0.12,0)+IF(AND(V1596&gt;=175,W1596&lt;55),0.2,0)+IF(AND(V1596&gt;=175,W1596&gt;=55,W1596&lt;95),0.15,0)+IF(AND(V1596&gt;=175,W1596&gt;=95),0.12,0),
IF(AF1596="DoEVku",IF(AND(V1596&lt;20,W1596&lt;55),0.23,0)+IF(AND(V1596&lt;20,W1596&gt;=55,W1596&lt;105),0.2,0)+IF(AND(V1596&lt;20,W1596&gt;=105),0.17,0)+IF(AND(V1596&gt;=20,V1596&lt;40,W1596&lt;45),0.23,0)+IF(AND(V1596&gt;=20,V1596&lt;40,W1596&gt;=45,W1596&lt;95),0.2,0)+IF(AND(V1596&gt;=20,V1596&lt;40,W1596&gt;=95,W1596&lt;=150),0.17,0)+IF(AND(V1596&gt;=20,V1596&lt;40,W1596&gt;=150),0.12,0)+IF(AND(V1596&gt;=40,V1596&lt;75,W1596&lt;35),0.23,0)+IF(AND(V1596&gt;=40,V1596&lt;75,W1596&gt;=35,W1596&lt;75),0.2,0)+IF(AND(V1596&gt;=40,V1596&lt;75,W1596&gt;=75,W1596&lt;120),0.17,0)+IF(AND(V1596&gt;=40,V1596&lt;75,W1596&gt;=120),0.12,0)+IF(AND(V1596&gt;=75,V1596&lt;175,W1596&lt;35),0.23,0)+IF(AND(V1596&gt;=75,V1596&lt;=175,W1596&gt;=35,W1596&lt;65),0.2,0)+IF(AND(V1596&gt;=75,V1596&lt;=175,W1596&gt;=65,W1596&lt;110),0.17,0)+IF(AND(V1596&gt;=75,V1596&lt;=175,W1596&gt;=110),0.12,0)+IF(AND(V1596&gt;175,W1596&lt;25),0.23,0)+IF(AND(V1596&gt;175,W1596&gt;=25,W1596&lt;55),0.2,0)+IF(AND(V1596&gt;175,W1596&gt;=55,W1596&lt;95),0.17,0)+IF(AND(V1596&gt;175,W1596&gt;=95),0.12,0),
IF(AF1596="DoEVs1",IF(AND(V1596&lt;20,W1596&lt;55),0.3,0)+IF(AND(V1596&lt;20,W1596&gt;=55,W1596&lt;105),0.23,0)+IF(AND(V1596&lt;20,W1596&gt;=105),0.17,0)+IF(AND(V1596&gt;=20,V1596&lt;40,W1596&lt;45),0.3,0)+IF(AND(V1596&gt;=20,V1596&lt;40,W1596&gt;=45,W1596&lt;95),0.23,0)+IF(AND(V1596&gt;=20,V1596&lt;40,W1596&gt;=95,W1596&lt;=150),0.17,0)+IF(AND(V1596&gt;=20,V1596&lt;40,W1596&gt;=150),0.12,0)+IF(AND(V1596&gt;=40,V1596&lt;75,W1596&lt;35),0.3,0)+IF(AND(V1596&gt;=40,V1596&lt;75,W1596&gt;=35,W1596&lt;75),0.23,0)+IF(AND(V1596&gt;=40,V1596&lt;75,W1596&gt;=75,W1596&lt;120),0.17,0)+IF(AND(V1596&gt;=40,V1596&lt;75,W1596&gt;=120),0.12,0)+IF(AND(V1596&gt;=75,V1596&lt;175,W1596&lt;35),0.3,0)+IF(AND(V1596&gt;=75,V1596&lt;=175,W1596&gt;=35,W1596&lt;65),0.23,0)+IF(AND(V1596&gt;=75,V1596&lt;=175,W1596&gt;=65,W1596&lt;110),0.17,0)+IF(AND(V1596&gt;=75,V1596&lt;=175,W1596&gt;=110),0.12,0)+IF(AND(V1596&gt;175,W1596&lt;25),0.3,0)+IF(AND(V1596&gt;175,W1596&gt;=25,W1596&lt;55),0.23,0)+IF(AND(V1596&gt;175,W1596&gt;=55,W1596&lt;95),0.17,0)+IF(AND(V1596&gt;175,W1596&gt;=95),0.12,0),
IF(AF1596="DoEVsu",IF(AND(V1596&lt;20,W1596&lt;55),0.3,0)+IF(AND(V1596&lt;20,W1596&gt;=55,W1596&lt;105),0.23,0)+IF(AND(V1596&lt;20,W1596&gt;=105),0.17,0)+IF(AND(V1596&gt;=20,V1596&lt;40,W1596&lt;45),0.3,0)+IF(AND(V1596&gt;=20,V1596&lt;40,W1596&gt;=45,W1596&lt;95),0.23,0)+IF(AND(V1596&gt;=20,V1596&lt;40,W1596&gt;=95,W1596&lt;=250),0.17,0)+IF(AND(V1596&gt;=20,V1596&lt;40,W1596&gt;=250),0.12,0)+IF(AND(V1596&gt;=40,V1596&lt;75,W1596&lt;35),0.3,0)+IF(AND(V1596&gt;=40,V1596&lt;75,W1596&gt;=35,W1596&lt;75),0.23,0)+IF(AND(V1596&gt;=40,V1596&lt;75,W1596&gt;=75,W1596&lt;120),0.17,0)+IF(AND(V1596&gt;=40,V1596&lt;75,W1596&gt;=120),0.12,0)+IF(AND(V1596&gt;=75,V1596&lt;175,W1596&lt;35),0.3,0)+IF(AND(V1596&gt;=75,V1596&lt;=175,W1596&gt;=35,W1596&lt;65),0.23,0)+IF(AND(V1596&gt;=75,V1596&lt;=175,W1596&gt;=65,W1596&lt;110),0.17,0)+IF(AND(V1596&gt;=75,V1596&lt;=175,W1596&gt;=110),0.12,0)+IF(AND(V1596&gt;175,W1596&lt;25),0.3,0)+IF(AND(V1596&gt;175,W1596&gt;=25,W1596&lt;55),0.23,0)+IF(AND(V1596&gt;175,W1596&gt;=55,W1596&lt;95),0.17,0)+IF(AND(V1596&gt;175,W1596&gt;=95),0.12,0),
IF(AF1596="DoEVni",IF(AND(V1596&lt;20,W1596&lt;55),0.3,0)+IF(AND(V1596&lt;20,W1596&gt;=55,W1596&lt;105),0.23,0)+IF(AND(V1596&lt;20,W1596&gt;=105),0.17,0)+IF(AND(V1596&gt;=20,V1596&lt;40,W1596&lt;45),0.3,0)+IF(AND(V1596&gt;=20,V1596&lt;40,W1596&gt;=45,W1596&lt;95),0.23,0)+IF(AND(V1596&gt;=20,V1596&lt;40,W1596&gt;=95,W1596&lt;=200),0.17,0)+IF(AND(V1596&gt;=20,V1596&lt;40,W1596&gt;=200),0.12,0)+IF(AND(V1596&gt;=40,V1596&lt;75,W1596&lt;35),0.3,0)+IF(AND(V1596&gt;=40,V1596&lt;75,W1596&gt;=35,W1596&lt;75),0.23,0)+IF(AND(V1596&gt;=40,V1596&lt;75,W1596&gt;=75,W1596&lt;120),0.17,0)+IF(AND(V1596&gt;=40,V1596&lt;75,W1596&gt;=120),0.12,0)+IF(AND(V1596&gt;=75,V1596&lt;175,W1596&lt;35),0.3,0)+IF(AND(V1596&gt;=75,V1596&lt;=175,W1596&gt;=35,W1596&lt;65),0.23,0)+IF(AND(V1596&gt;=75,V1596&lt;=175,W1596&gt;=65,W1596&lt;110),0.17,0)+IF(AND(V1596&gt;=75,V1596&lt;=175,W1596&gt;=110),0.12,0)+IF(AND(V1596&gt;175,W1596&lt;25),0.3,0)+IF(AND(V1596&gt;175,W1596&gt;=25,W1596&lt;55),0.23,0)+IF(AND(V1596&gt;175,W1596&gt;=55,W1596&lt;95),0.17,0)+IF(AND(V1596&gt;175,W1596&gt;=95),0.12,0),
IF(AF1596="DoEVLo",IF(AND(V1596&lt;20,W1596&lt;55),0.25,0)+IF(AND(V1596&lt;20,W1596&gt;=55,W1596&lt;105),0.2,0)+IF(AND(V1596&lt;20,W1596&gt;=105),0.15,0)+IF(AND(V1596&gt;=20,V1596&lt;40,W1596&lt;45),0.25,0)+IF(AND(V1596&gt;=20,V1596&lt;40,W1596&gt;=45,W1596&lt;95),0.2,0)+IF(AND(V1596&gt;=20,V1596&lt;40,W1596&gt;=95),0.15,0)+IF(AND(V1596&gt;=40,V1596&lt;75,W1596&lt;35),0.25,0)+IF(AND(V1596&gt;=40,V1596&lt;75,W1596&gt;=35,W1596&lt;75),0.2,0)+IF(AND(V1596&gt;=40,V1596&lt;75,W1596&gt;=75,W1596&lt;120),0.15,0)+IF(AND(V1596&gt;=40,V1596&lt;75,W1596&gt;=120),0.1,0)+IF(AND(V1596&gt;=75,V1596&lt;175,W1596&lt;35),0.25,0)+IF(AND(V1596&gt;=75,V1596&lt;=175,W1596&gt;=35,W1596&lt;65),0.2,0)+IF(AND(V1596&gt;=75,V1596&lt;=175,W1596&gt;=65,W1596&lt;110),0.15,0)+IF(AND(V1596&gt;=75,V1596&lt;=175,W1596&gt;=110),0.1,0)+IF(AND(V1596&gt;175,W1596&lt;25),0.25,0)+IF(AND(V1596&gt;175,W1596&gt;=25,W1596&lt;55),0.2,0)+IF(AND(V1596&gt;175,W1596&gt;=55,W1596&lt;95),0.15,0)+IF(AND(V1596&gt;175,W1596&gt;=95),0.1,0))))))))))))))))))))</f>
        <v>0.3</v>
      </c>
      <c r="Y1596" s="30">
        <f>IF(AG1596="None",0,IF(AG1596="Fix5",0.05, IF(AG1596="Fix6.25",0.0625,IF(AG1596="Fix3.75",0.0375, IF(AG1596="Fix11",0.11, IF(AG1596="Fix10",0.1,IF(AG1596="Fix3",0.03,0)))))))</f>
        <v>0</v>
      </c>
      <c r="Z1596" s="35">
        <f>IF(AND(AD1596="EUR", AE1596 = "USD"), T1596*U1596-AA1596-AB1596, T1596-AA1596-AB1596)</f>
        <v>0</v>
      </c>
      <c r="AA1596" s="29">
        <f>IF(AND(AD1596="EUR", F1596="Without EV deal", AE1596="USD"), (T1596*X1596)*U1596,
IF(AND(AD1596="EUR", F1596="Without EV deal", AE1596="EUR"), (T1596*X1596),
IF(AND(AD1596="EUR",AE1596="USD"), (T1596*X1596)*U1596,
T1596*X1596)))</f>
        <v>0</v>
      </c>
      <c r="AB1596" s="36">
        <f>IF(AND(AD1596="EUR", F1596="Without EV deal", AE1596="USD"), (T1596*Y1596)*U1596,
IF(AND(AD1596="EUR", F1596="Without EV deal", AE1596="EUR"), (T1596*Y1596),
IF(AND(AD1596="EUR",AE1596="USD"), (T1596*Y1596)*U1596,
T1596*Y1596)))</f>
        <v>0</v>
      </c>
      <c r="AC1596" s="61" t="b">
        <v>1</v>
      </c>
      <c r="AD1596" s="82" t="str">
        <f>IF(OR(H1596="€0.25 Flash",
H1596="€0.25(nitro) new",
H1596="€1",
H1596="€2",
H1596="€2 (bf 01.08)",
H1596="€5",
H1596="€5 (1M)",
H1596="€5 (bf 01.08)",
H1596="€5 (bf 05.05)",
H1596="€5 Nitro",
H1596="€5(wx) new",
H1596="€10",
H1596="€10 (1M)",
H1596="€10 (bf 01.08)",
H1596="€10 (bf 05.05)",
H1596="€10 (MP)",
H1596="€10 (old)",
H1596="€10 Nitro (bf 05.05)",
H1596="€10 Nitro (old)",
H1596="€10(wx) new",
H1596="€20",
H1596="€25",
H1596="€25 (bf 01.08)",
H1596="€25 (bf 05.05)",
H1596="€25 (MP)",
H1596="€25 (old)",
H1596="€25 Nitro",
H1596="€25 Nitro (bf 01.08)",
H1596="€25 Nitro (bf 05.05)",
H1596="€25(nitro) new",
H1596="€25(wx) new",
H1596="€50",
H1596="€50 (bf 01.08)",
H1596="€50 (bf 05.05)",
H1596="€50 (old)",
H1596="€50 Nitro",
H1596="€50 Nitro (bf 01.08)",
H1596="€50 Nitro (bf 05.05)",
H1596="€50(wx) new",
H1596="€100",
H1596="€100 (old)",
H1596="€100 Nitro",
H1596="€100 Nitro (old)",
H1596="€200",
H1596="€250",
H1596="€250 Nitro",
H1596="€500",
H1596="€500 Nitro"),"EUR", "USD")</f>
        <v>USD</v>
      </c>
      <c r="AE1596" s="83" t="s">
        <v>38</v>
      </c>
      <c r="AF1596" s="83" t="str">
        <f t="array" ref="AF1596">INDEX('Deal Info'!D:D, MATCH(A1596,'Deal Info'!A:A, 0))</f>
        <v>DoEV</v>
      </c>
      <c r="AG1596" s="84" t="str">
        <f t="array" ref="AG1596">INDEX('Deal Info'!G:G, MATCH(A1596,'Deal Info'!A:A, 0))</f>
        <v>None</v>
      </c>
    </row>
    <row r="1597" spans="1:33" ht="14.25" hidden="1" x14ac:dyDescent="0.2">
      <c r="A1597" s="18" t="str">
        <f t="array" ref="A1597">IF(G1597='Room Info'!$B$1, INDEX('Room Info'!$A$2:$A2446, MATCH(B1597,'Room Info'!$B$2:$B2446, 0)),IF(G1597='Room Info'!$C$1, INDEX('Room Info'!$A$2:$A2446, MATCH(B1597,'Room Info'!$C$2:$C2446, 0)),IF(G1597='Room Info'!$D$1, INDEX('Room Info'!$A$2:$A2446, MATCH(B1597,'Room Info'!$D$2:$D2446, 0)),IF(G1597='Room Info'!$E$1, INDEX('Room Info'!$A$2:$A2446, MATCH(B1597,'Room Info'!$E$2:$E2446, 0)),IF(G1597='Room Info'!$F$1, INDEX('Room Info'!$A$2:$A2446, MATCH(B1597,'Room Info'!$F$2:$F2446, 0)),IF(G1597='Room Info'!$H$1, INDEX('Room Info'!$A$2:$A2446, MATCH(B1597,'Room Info'!$H$2:$H2446, 0)),IF(G1597='Room Info'!$G$1, INDEX('Room Info'!$A$2:$A2446, MATCH(B1597,'Room Info'!$G$2:$G2446, 0)))))))))</f>
        <v>007x2</v>
      </c>
      <c r="B1597" s="45" t="s">
        <v>33</v>
      </c>
      <c r="C1597" s="46">
        <v>44978</v>
      </c>
      <c r="D1597" s="46">
        <v>45005</v>
      </c>
      <c r="E1597" s="90">
        <v>44986</v>
      </c>
      <c r="F1597" s="96" t="s">
        <v>41</v>
      </c>
      <c r="G1597" s="65" t="s">
        <v>35</v>
      </c>
      <c r="H1597" s="91" t="s">
        <v>115</v>
      </c>
      <c r="I1597" s="54" t="s">
        <v>44</v>
      </c>
      <c r="J1597" s="39">
        <v>10</v>
      </c>
      <c r="K1597" s="51">
        <v>4</v>
      </c>
      <c r="L1597" s="52">
        <v>-40</v>
      </c>
      <c r="M1597" s="62"/>
      <c r="N1597" s="28">
        <f>K1597*J1597</f>
        <v>40</v>
      </c>
      <c r="O1597" s="65"/>
      <c r="P1597" s="29">
        <v>0</v>
      </c>
      <c r="Q1597" s="55"/>
      <c r="R1597" s="31">
        <f>M1597+Q1597*J1597*K1597*0.07</f>
        <v>0</v>
      </c>
      <c r="S1597" s="66"/>
      <c r="T1597" s="32">
        <f>IF(AND(AD1597="EUR", F1597="Without EV deal"), R1597 + L1597,
IF(AND(AD1597="USD", F1597="Without EV deal"), R1597 + L1597,
IF(AND(AD1597="EUR", F1597="Steel Phoenix"), R1597 + S1597/U1597,
R1597 + S1597)))</f>
        <v>-40</v>
      </c>
      <c r="U1597" s="57">
        <v>1.071</v>
      </c>
      <c r="V1597" s="69">
        <v>9.7441415590626494</v>
      </c>
      <c r="W1597" s="69">
        <v>10.159950920245398</v>
      </c>
      <c r="X1597" s="30">
        <f>IF(AF1597="DoEV",IF(AND(V1597&lt;20,W1597&lt;55),0.3,0)+IF(AND(V1597&lt;20,W1597&gt;=55,W1597&lt;105),0.23,0)+IF(AND(V1597&lt;20,W1597&gt;=105),0.17,0)+IF(AND(V1597&gt;=20,V1597&lt;40,W1597&lt;45),0.3,0)+IF(AND(V1597&gt;=20,V1597&lt;40,W1597&gt;=45,W1597&lt;95),0.23,0)+IF(AND(V1597&gt;=20,V1597&lt;40,W1597&gt;=95),0.17,0)+IF(AND(V1597&gt;=40,V1597&lt;75,W1597&lt;35),0.3,0)+IF(AND(V1597&gt;=40,V1597&lt;75,W1597&gt;=35,W1597&lt;75),0.23,0)+IF(AND(V1597&gt;=40,V1597&lt;75,W1597&gt;=75,W1597&lt;120),0.17,0)+IF(AND(V1597&gt;=40,V1597&lt;75,W1597&gt;=120),0.12,0)+IF(AND(V1597&gt;=75,V1597&lt;175,W1597&lt;35),0.3,0)+IF(AND(V1597&gt;=75,V1597&lt;=175,W1597&gt;=35,W1597&lt;65),0.23,0)+IF(AND(V1597&gt;=75,V1597&lt;=175,W1597&gt;=65,W1597&lt;110),0.17,0)+IF(AND(V1597&gt;=75,V1597&lt;=175,W1597&gt;=110),0.12,0)+IF(AND(V1597&gt;175,W1597&lt;25),0.3,0)+IF(AND(V1597&gt;175,W1597&gt;=25,W1597&lt;55),0.23,0)+IF(AND(V1597&gt;175,W1597&gt;=55,W1597&lt;95),0.17,0)+IF(AND(V1597&gt;175,W1597&gt;=95),0.12,0),
IF(AF1597="Fix15",0.15,
IF(AF1597="Fix5",0.05,
IF(AF1597="Fix18.75",0.1875,
IF(AF1597="Fix11.25",0.1125,
IF(AF1597="Fix10",0.1,
IF(AF1597="Fix9",0.09,
IF(AF1597="Fix12",0.12,
IF(AF1597="Fix19",0.19,
IF(AF1597="DoEV2017",IF(AND(W1597&lt;74),0.2,0)+IF(AND(W1597&gt;=74),0.17,0),
IF(AF1597="SF",IF(AND(V1597&lt;20,W1597&lt;89),0.3,0)+IF(AND(V1597&lt;20,W1597&gt;=89),0.25,0)+IF(AND(V1597&gt;=20,V1597&lt;40,W1597&lt;74),0.3,0)+IF(AND(V1597&gt;=20,V1597&lt;40,W1597&gt;=75),0.22,0)+IF(AND(V1597&gt;=40,V1597&lt;75,W1597&lt;75),0.26,0)+IF(AND(V1597&gt;=40,V1597&lt;75,W1597&gt;=75),0.22,0)+IF(V1597&gt;=75,0.22,0),
IF(AF1597="DoEVold",IF(AND(V1597&lt;40,W1597&lt;35),0.35,0)+IF(AND(V1597&lt;40,W1597&gt;=35,W1597&lt;75),0.25,0)+IF(AND(V1597&lt;40,W1597&gt;=75),0.17,0)+IF(AND(V1597&gt;=40,V1597&lt;75,W1597&lt;25),0.35,0)+IF(AND(V1597&gt;=40,V1597&lt;75,W1597&gt;=25,W1597&lt;65),0.25,0)+IF(AND(V1597&gt;=40,V1597&lt;75,W1597&gt;=65,W1597&lt;100),0.17,0)+IF(AND(V1597&gt;=40,V1597&lt;75,W1597&gt;=100),0.1,0)+IF(AND(V1597&gt;=75,W1597&lt;25),0.35,0)+IF(AND(V1597&gt;=75,W1597&gt;=25,W1597&lt;60),0.25,0)+IF(AND(V1597&gt;=75,W1597&gt;=60,W1597&lt;95),0.17,0)+IF(AND(V1597&gt;=75,W1597&gt;=95),0.1,0),
IF(AF1597="DoEVold15",IF(AND(V1597&lt;=40,W1597&lt;35),0.35,0)+IF(AND(V1597&lt;=40,W1597&gt;=35,W1597&lt;75),0.25,0)+IF(AND(V1597&lt;=40,W1597&gt;=75,W1597&lt;120),0.17,0)+IF(AND(V1597&lt;=40,W1597&gt;=120),0.15,0)+IF(AND(V1597&gt;40,V1597&lt;75,W1597&lt;25),0.35,0)+IF(AND(V1597&gt;=40,V1597&lt;75,W1597&gt;=25,W1597&lt;65),0.25,0)+IF(AND(V1597&gt;=40,V1597&lt;75,W1597&gt;=65,W1597&lt;100),0.17,0)+IF(AND(V1597&gt;=40,V1597&lt;75,W1597&gt;=100),0.1,0)+IF(AND(V1597&gt;=75,W1597&lt;25),0.35,0)+IF(AND(V1597&gt;=75,W1597&gt;=25,W1597&lt;60),0.25,0)+IF(AND(V1597&gt;=75,W1597&gt;=60,W1597&lt;95),0.17,0)+IF(AND(V1597&gt;=75,W1597&gt;=95),0.1,0),
IF(AF1597="DoEVba",IF(AND(V1597&lt;20,W1597&lt;105),0.2,0)+IF(AND(V1597&lt;20,W1597&gt;=105),0.15,0)+IF(AND(V1597&gt;=20,V1597&lt;40,W1597&lt;95),0.2,0)+IF(AND(V1597&gt;=20,V1597&lt;40,W1597&gt;=95,W1597&lt;150),0.15,0)+IF(AND(V1597&gt;=20,V1597&lt;40,W1597&gt;=150),0.12,0)+IF(AND(V1597&gt;=40,V1597&lt;75,W1597&lt;75),0.2,0)+IF(AND(V1597&gt;=40,V1597&lt;75,W1597&gt;=75,W1597&lt;120),0.15,0)+IF(AND(V1597&gt;=40,V1597&lt;75,W1597&gt;=120),0.12,0)+IF(AND(V1597&gt;=75,V1597&lt;175,W1597&lt;65),0.2,0)+IF(AND(V1597&gt;=75,V1597&lt;175,W1597&gt;=65,W1597&lt;110),0.15,0)+IF(AND(V1597&gt;=75,V1597&lt;175,W1597&gt;=110),0.12,0)+IF(AND(V1597&gt;=175,W1597&lt;55),0.2,0)+IF(AND(V1597&gt;=175,W1597&gt;=55,W1597&lt;95),0.15,0)+IF(AND(V1597&gt;=175,W1597&gt;=95),0.12,0),
IF(AF1597="DoEVku",IF(AND(V1597&lt;20,W1597&lt;55),0.23,0)+IF(AND(V1597&lt;20,W1597&gt;=55,W1597&lt;105),0.2,0)+IF(AND(V1597&lt;20,W1597&gt;=105),0.17,0)+IF(AND(V1597&gt;=20,V1597&lt;40,W1597&lt;45),0.23,0)+IF(AND(V1597&gt;=20,V1597&lt;40,W1597&gt;=45,W1597&lt;95),0.2,0)+IF(AND(V1597&gt;=20,V1597&lt;40,W1597&gt;=95,W1597&lt;=150),0.17,0)+IF(AND(V1597&gt;=20,V1597&lt;40,W1597&gt;=150),0.12,0)+IF(AND(V1597&gt;=40,V1597&lt;75,W1597&lt;35),0.23,0)+IF(AND(V1597&gt;=40,V1597&lt;75,W1597&gt;=35,W1597&lt;75),0.2,0)+IF(AND(V1597&gt;=40,V1597&lt;75,W1597&gt;=75,W1597&lt;120),0.17,0)+IF(AND(V1597&gt;=40,V1597&lt;75,W1597&gt;=120),0.12,0)+IF(AND(V1597&gt;=75,V1597&lt;175,W1597&lt;35),0.23,0)+IF(AND(V1597&gt;=75,V1597&lt;=175,W1597&gt;=35,W1597&lt;65),0.2,0)+IF(AND(V1597&gt;=75,V1597&lt;=175,W1597&gt;=65,W1597&lt;110),0.17,0)+IF(AND(V1597&gt;=75,V1597&lt;=175,W1597&gt;=110),0.12,0)+IF(AND(V1597&gt;175,W1597&lt;25),0.23,0)+IF(AND(V1597&gt;175,W1597&gt;=25,W1597&lt;55),0.2,0)+IF(AND(V1597&gt;175,W1597&gt;=55,W1597&lt;95),0.17,0)+IF(AND(V1597&gt;175,W1597&gt;=95),0.12,0),
IF(AF1597="DoEVs1",IF(AND(V1597&lt;20,W1597&lt;55),0.3,0)+IF(AND(V1597&lt;20,W1597&gt;=55,W1597&lt;105),0.23,0)+IF(AND(V1597&lt;20,W1597&gt;=105),0.17,0)+IF(AND(V1597&gt;=20,V1597&lt;40,W1597&lt;45),0.3,0)+IF(AND(V1597&gt;=20,V1597&lt;40,W1597&gt;=45,W1597&lt;95),0.23,0)+IF(AND(V1597&gt;=20,V1597&lt;40,W1597&gt;=95,W1597&lt;=150),0.17,0)+IF(AND(V1597&gt;=20,V1597&lt;40,W1597&gt;=150),0.12,0)+IF(AND(V1597&gt;=40,V1597&lt;75,W1597&lt;35),0.3,0)+IF(AND(V1597&gt;=40,V1597&lt;75,W1597&gt;=35,W1597&lt;75),0.23,0)+IF(AND(V1597&gt;=40,V1597&lt;75,W1597&gt;=75,W1597&lt;120),0.17,0)+IF(AND(V1597&gt;=40,V1597&lt;75,W1597&gt;=120),0.12,0)+IF(AND(V1597&gt;=75,V1597&lt;175,W1597&lt;35),0.3,0)+IF(AND(V1597&gt;=75,V1597&lt;=175,W1597&gt;=35,W1597&lt;65),0.23,0)+IF(AND(V1597&gt;=75,V1597&lt;=175,W1597&gt;=65,W1597&lt;110),0.17,0)+IF(AND(V1597&gt;=75,V1597&lt;=175,W1597&gt;=110),0.12,0)+IF(AND(V1597&gt;175,W1597&lt;25),0.3,0)+IF(AND(V1597&gt;175,W1597&gt;=25,W1597&lt;55),0.23,0)+IF(AND(V1597&gt;175,W1597&gt;=55,W1597&lt;95),0.17,0)+IF(AND(V1597&gt;175,W1597&gt;=95),0.12,0),
IF(AF1597="DoEVsu",IF(AND(V1597&lt;20,W1597&lt;55),0.3,0)+IF(AND(V1597&lt;20,W1597&gt;=55,W1597&lt;105),0.23,0)+IF(AND(V1597&lt;20,W1597&gt;=105),0.17,0)+IF(AND(V1597&gt;=20,V1597&lt;40,W1597&lt;45),0.3,0)+IF(AND(V1597&gt;=20,V1597&lt;40,W1597&gt;=45,W1597&lt;95),0.23,0)+IF(AND(V1597&gt;=20,V1597&lt;40,W1597&gt;=95,W1597&lt;=250),0.17,0)+IF(AND(V1597&gt;=20,V1597&lt;40,W1597&gt;=250),0.12,0)+IF(AND(V1597&gt;=40,V1597&lt;75,W1597&lt;35),0.3,0)+IF(AND(V1597&gt;=40,V1597&lt;75,W1597&gt;=35,W1597&lt;75),0.23,0)+IF(AND(V1597&gt;=40,V1597&lt;75,W1597&gt;=75,W1597&lt;120),0.17,0)+IF(AND(V1597&gt;=40,V1597&lt;75,W1597&gt;=120),0.12,0)+IF(AND(V1597&gt;=75,V1597&lt;175,W1597&lt;35),0.3,0)+IF(AND(V1597&gt;=75,V1597&lt;=175,W1597&gt;=35,W1597&lt;65),0.23,0)+IF(AND(V1597&gt;=75,V1597&lt;=175,W1597&gt;=65,W1597&lt;110),0.17,0)+IF(AND(V1597&gt;=75,V1597&lt;=175,W1597&gt;=110),0.12,0)+IF(AND(V1597&gt;175,W1597&lt;25),0.3,0)+IF(AND(V1597&gt;175,W1597&gt;=25,W1597&lt;55),0.23,0)+IF(AND(V1597&gt;175,W1597&gt;=55,W1597&lt;95),0.17,0)+IF(AND(V1597&gt;175,W1597&gt;=95),0.12,0),
IF(AF1597="DoEVni",IF(AND(V1597&lt;20,W1597&lt;55),0.3,0)+IF(AND(V1597&lt;20,W1597&gt;=55,W1597&lt;105),0.23,0)+IF(AND(V1597&lt;20,W1597&gt;=105),0.17,0)+IF(AND(V1597&gt;=20,V1597&lt;40,W1597&lt;45),0.3,0)+IF(AND(V1597&gt;=20,V1597&lt;40,W1597&gt;=45,W1597&lt;95),0.23,0)+IF(AND(V1597&gt;=20,V1597&lt;40,W1597&gt;=95,W1597&lt;=200),0.17,0)+IF(AND(V1597&gt;=20,V1597&lt;40,W1597&gt;=200),0.12,0)+IF(AND(V1597&gt;=40,V1597&lt;75,W1597&lt;35),0.3,0)+IF(AND(V1597&gt;=40,V1597&lt;75,W1597&gt;=35,W1597&lt;75),0.23,0)+IF(AND(V1597&gt;=40,V1597&lt;75,W1597&gt;=75,W1597&lt;120),0.17,0)+IF(AND(V1597&gt;=40,V1597&lt;75,W1597&gt;=120),0.12,0)+IF(AND(V1597&gt;=75,V1597&lt;175,W1597&lt;35),0.3,0)+IF(AND(V1597&gt;=75,V1597&lt;=175,W1597&gt;=35,W1597&lt;65),0.23,0)+IF(AND(V1597&gt;=75,V1597&lt;=175,W1597&gt;=65,W1597&lt;110),0.17,0)+IF(AND(V1597&gt;=75,V1597&lt;=175,W1597&gt;=110),0.12,0)+IF(AND(V1597&gt;175,W1597&lt;25),0.3,0)+IF(AND(V1597&gt;175,W1597&gt;=25,W1597&lt;55),0.23,0)+IF(AND(V1597&gt;175,W1597&gt;=55,W1597&lt;95),0.17,0)+IF(AND(V1597&gt;175,W1597&gt;=95),0.12,0),
IF(AF1597="DoEVLo",IF(AND(V1597&lt;20,W1597&lt;55),0.25,0)+IF(AND(V1597&lt;20,W1597&gt;=55,W1597&lt;105),0.2,0)+IF(AND(V1597&lt;20,W1597&gt;=105),0.15,0)+IF(AND(V1597&gt;=20,V1597&lt;40,W1597&lt;45),0.25,0)+IF(AND(V1597&gt;=20,V1597&lt;40,W1597&gt;=45,W1597&lt;95),0.2,0)+IF(AND(V1597&gt;=20,V1597&lt;40,W1597&gt;=95),0.15,0)+IF(AND(V1597&gt;=40,V1597&lt;75,W1597&lt;35),0.25,0)+IF(AND(V1597&gt;=40,V1597&lt;75,W1597&gt;=35,W1597&lt;75),0.2,0)+IF(AND(V1597&gt;=40,V1597&lt;75,W1597&gt;=75,W1597&lt;120),0.15,0)+IF(AND(V1597&gt;=40,V1597&lt;75,W1597&gt;=120),0.1,0)+IF(AND(V1597&gt;=75,V1597&lt;175,W1597&lt;35),0.25,0)+IF(AND(V1597&gt;=75,V1597&lt;=175,W1597&gt;=35,W1597&lt;65),0.2,0)+IF(AND(V1597&gt;=75,V1597&lt;=175,W1597&gt;=65,W1597&lt;110),0.15,0)+IF(AND(V1597&gt;=75,V1597&lt;=175,W1597&gt;=110),0.1,0)+IF(AND(V1597&gt;175,W1597&lt;25),0.25,0)+IF(AND(V1597&gt;175,W1597&gt;=25,W1597&lt;55),0.2,0)+IF(AND(V1597&gt;175,W1597&gt;=55,W1597&lt;95),0.15,0)+IF(AND(V1597&gt;175,W1597&gt;=95),0.1,0))))))))))))))))))))</f>
        <v>0.3</v>
      </c>
      <c r="Y1597" s="30">
        <f>IF(AG1597="None",0,IF(AG1597="Fix5",0.05, IF(AG1597="Fix6.25",0.0625,IF(AG1597="Fix3.75",0.0375, IF(AG1597="Fix11",0.11, IF(AG1597="Fix10",0.1,IF(AG1597="Fix3",0.03,0)))))))</f>
        <v>0</v>
      </c>
      <c r="Z1597" s="35">
        <f>IF(AND(AD1597="EUR", AE1597 = "USD"), T1597*U1597-AA1597-AB1597, T1597-AA1597-AB1597)</f>
        <v>-28</v>
      </c>
      <c r="AA1597" s="29">
        <f>IF(AND(AD1597="EUR", F1597="Without EV deal", AE1597="USD"), (T1597*X1597)*U1597,
IF(AND(AD1597="EUR", F1597="Without EV deal", AE1597="EUR"), (T1597*X1597),
IF(AND(AD1597="EUR",AE1597="USD"), (T1597*X1597)*U1597,
T1597*X1597)))</f>
        <v>-12</v>
      </c>
      <c r="AB1597" s="36">
        <f>IF(AND(AD1597="EUR", F1597="Without EV deal", AE1597="USD"), (T1597*Y1597)*U1597,
IF(AND(AD1597="EUR", F1597="Without EV deal", AE1597="EUR"), (T1597*Y1597),
IF(AND(AD1597="EUR",AE1597="USD"), (T1597*Y1597)*U1597,
T1597*Y1597)))</f>
        <v>0</v>
      </c>
      <c r="AC1597" s="61" t="b">
        <v>1</v>
      </c>
      <c r="AD1597" s="82" t="str">
        <f>IF(OR(H1597="€0.25 Flash",
H1597="€0.25(nitro) new",
H1597="€1",
H1597="€2",
H1597="€2 (bf 01.08)",
H1597="€5",
H1597="€5 (1M)",
H1597="€5 (bf 01.08)",
H1597="€5 (bf 05.05)",
H1597="€5 Nitro",
H1597="€5(wx) new",
H1597="€10",
H1597="€10 (1M)",
H1597="€10 (bf 01.08)",
H1597="€10 (bf 05.05)",
H1597="€10 (MP)",
H1597="€10 (old)",
H1597="€10 Nitro (bf 05.05)",
H1597="€10 Nitro (old)",
H1597="€10(wx) new",
H1597="€20",
H1597="€25",
H1597="€25 (bf 01.08)",
H1597="€25 (bf 05.05)",
H1597="€25 (MP)",
H1597="€25 (old)",
H1597="€25 Nitro",
H1597="€25 Nitro (bf 01.08)",
H1597="€25 Nitro (bf 05.05)",
H1597="€25(nitro) new",
H1597="€25(wx) new",
H1597="€50",
H1597="€50 (bf 01.08)",
H1597="€50 (bf 05.05)",
H1597="€50 (old)",
H1597="€50 Nitro",
H1597="€50 Nitro (bf 01.08)",
H1597="€50 Nitro (bf 05.05)",
H1597="€50(wx) new",
H1597="€100",
H1597="€100 (old)",
H1597="€100 Nitro",
H1597="€100 Nitro (old)",
H1597="€200",
H1597="€250",
H1597="€250 Nitro",
H1597="€500",
H1597="€500 Nitro"),"EUR", "USD")</f>
        <v>USD</v>
      </c>
      <c r="AE1597" s="83" t="s">
        <v>38</v>
      </c>
      <c r="AF1597" s="83" t="str">
        <f t="array" ref="AF1597">INDEX('Deal Info'!D:D, MATCH(A1597,'Deal Info'!A:A, 0))</f>
        <v>DoEV</v>
      </c>
      <c r="AG1597" s="84" t="str">
        <f t="array" ref="AG1597">INDEX('Deal Info'!G:G, MATCH(A1597,'Deal Info'!A:A, 0))</f>
        <v>None</v>
      </c>
    </row>
    <row r="1598" spans="1:33" ht="14.25" hidden="1" x14ac:dyDescent="0.2">
      <c r="A1598" s="18" t="str">
        <f t="array" ref="A1598">IF(G1598='Room Info'!$B$1, INDEX('Room Info'!$A$2:$A2446, MATCH(B1598,'Room Info'!$B$2:$B2446, 0)),IF(G1598='Room Info'!$C$1, INDEX('Room Info'!$A$2:$A2446, MATCH(B1598,'Room Info'!$C$2:$C2446, 0)),IF(G1598='Room Info'!$D$1, INDEX('Room Info'!$A$2:$A2446, MATCH(B1598,'Room Info'!$D$2:$D2446, 0)),IF(G1598='Room Info'!$E$1, INDEX('Room Info'!$A$2:$A2446, MATCH(B1598,'Room Info'!$E$2:$E2446, 0)),IF(G1598='Room Info'!$F$1, INDEX('Room Info'!$A$2:$A2446, MATCH(B1598,'Room Info'!$F$2:$F2446, 0)),IF(G1598='Room Info'!$H$1, INDEX('Room Info'!$A$2:$A2446, MATCH(B1598,'Room Info'!$H$2:$H2446, 0)),IF(G1598='Room Info'!$G$1, INDEX('Room Info'!$A$2:$A2446, MATCH(B1598,'Room Info'!$G$2:$G2446, 0)))))))))</f>
        <v>007x2</v>
      </c>
      <c r="B1598" s="45" t="s">
        <v>33</v>
      </c>
      <c r="C1598" s="46">
        <v>44978</v>
      </c>
      <c r="D1598" s="46">
        <v>45005</v>
      </c>
      <c r="E1598" s="90">
        <v>44986</v>
      </c>
      <c r="F1598" s="96" t="s">
        <v>41</v>
      </c>
      <c r="G1598" s="65" t="s">
        <v>35</v>
      </c>
      <c r="H1598" s="91" t="s">
        <v>46</v>
      </c>
      <c r="I1598" s="100" t="s">
        <v>37</v>
      </c>
      <c r="J1598" s="39">
        <v>25</v>
      </c>
      <c r="K1598" s="51">
        <v>6</v>
      </c>
      <c r="L1598" s="52">
        <v>-150</v>
      </c>
      <c r="M1598" s="62"/>
      <c r="N1598" s="28">
        <f>K1598*J1598</f>
        <v>150</v>
      </c>
      <c r="O1598" s="65"/>
      <c r="P1598" s="29">
        <v>0</v>
      </c>
      <c r="Q1598" s="55"/>
      <c r="R1598" s="31">
        <f>M1598+Q1598*J1598*K1598*0.07</f>
        <v>0</v>
      </c>
      <c r="S1598" s="66"/>
      <c r="T1598" s="32">
        <f>IF(AND(AD1598="EUR", F1598="Without EV deal"), R1598 + L1598,
IF(AND(AD1598="USD", F1598="Without EV deal"), R1598 + L1598,
IF(AND(AD1598="EUR", F1598="Steel Phoenix"), R1598 + S1598/U1598,
R1598 + S1598)))</f>
        <v>-150</v>
      </c>
      <c r="U1598" s="57">
        <v>1.071</v>
      </c>
      <c r="V1598" s="69">
        <v>9.7441415590626494</v>
      </c>
      <c r="W1598" s="69">
        <v>10.159950920245398</v>
      </c>
      <c r="X1598" s="30">
        <f>IF(AF1598="DoEV",IF(AND(V1598&lt;20,W1598&lt;55),0.3,0)+IF(AND(V1598&lt;20,W1598&gt;=55,W1598&lt;105),0.23,0)+IF(AND(V1598&lt;20,W1598&gt;=105),0.17,0)+IF(AND(V1598&gt;=20,V1598&lt;40,W1598&lt;45),0.3,0)+IF(AND(V1598&gt;=20,V1598&lt;40,W1598&gt;=45,W1598&lt;95),0.23,0)+IF(AND(V1598&gt;=20,V1598&lt;40,W1598&gt;=95),0.17,0)+IF(AND(V1598&gt;=40,V1598&lt;75,W1598&lt;35),0.3,0)+IF(AND(V1598&gt;=40,V1598&lt;75,W1598&gt;=35,W1598&lt;75),0.23,0)+IF(AND(V1598&gt;=40,V1598&lt;75,W1598&gt;=75,W1598&lt;120),0.17,0)+IF(AND(V1598&gt;=40,V1598&lt;75,W1598&gt;=120),0.12,0)+IF(AND(V1598&gt;=75,V1598&lt;175,W1598&lt;35),0.3,0)+IF(AND(V1598&gt;=75,V1598&lt;=175,W1598&gt;=35,W1598&lt;65),0.23,0)+IF(AND(V1598&gt;=75,V1598&lt;=175,W1598&gt;=65,W1598&lt;110),0.17,0)+IF(AND(V1598&gt;=75,V1598&lt;=175,W1598&gt;=110),0.12,0)+IF(AND(V1598&gt;175,W1598&lt;25),0.3,0)+IF(AND(V1598&gt;175,W1598&gt;=25,W1598&lt;55),0.23,0)+IF(AND(V1598&gt;175,W1598&gt;=55,W1598&lt;95),0.17,0)+IF(AND(V1598&gt;175,W1598&gt;=95),0.12,0),
IF(AF1598="Fix15",0.15,
IF(AF1598="Fix5",0.05,
IF(AF1598="Fix18.75",0.1875,
IF(AF1598="Fix11.25",0.1125,
IF(AF1598="Fix10",0.1,
IF(AF1598="Fix9",0.09,
IF(AF1598="Fix12",0.12,
IF(AF1598="Fix19",0.19,
IF(AF1598="DoEV2017",IF(AND(W1598&lt;74),0.2,0)+IF(AND(W1598&gt;=74),0.17,0),
IF(AF1598="SF",IF(AND(V1598&lt;20,W1598&lt;89),0.3,0)+IF(AND(V1598&lt;20,W1598&gt;=89),0.25,0)+IF(AND(V1598&gt;=20,V1598&lt;40,W1598&lt;74),0.3,0)+IF(AND(V1598&gt;=20,V1598&lt;40,W1598&gt;=75),0.22,0)+IF(AND(V1598&gt;=40,V1598&lt;75,W1598&lt;75),0.26,0)+IF(AND(V1598&gt;=40,V1598&lt;75,W1598&gt;=75),0.22,0)+IF(V1598&gt;=75,0.22,0),
IF(AF1598="DoEVold",IF(AND(V1598&lt;40,W1598&lt;35),0.35,0)+IF(AND(V1598&lt;40,W1598&gt;=35,W1598&lt;75),0.25,0)+IF(AND(V1598&lt;40,W1598&gt;=75),0.17,0)+IF(AND(V1598&gt;=40,V1598&lt;75,W1598&lt;25),0.35,0)+IF(AND(V1598&gt;=40,V1598&lt;75,W1598&gt;=25,W1598&lt;65),0.25,0)+IF(AND(V1598&gt;=40,V1598&lt;75,W1598&gt;=65,W1598&lt;100),0.17,0)+IF(AND(V1598&gt;=40,V1598&lt;75,W1598&gt;=100),0.1,0)+IF(AND(V1598&gt;=75,W1598&lt;25),0.35,0)+IF(AND(V1598&gt;=75,W1598&gt;=25,W1598&lt;60),0.25,0)+IF(AND(V1598&gt;=75,W1598&gt;=60,W1598&lt;95),0.17,0)+IF(AND(V1598&gt;=75,W1598&gt;=95),0.1,0),
IF(AF1598="DoEVold15",IF(AND(V1598&lt;=40,W1598&lt;35),0.35,0)+IF(AND(V1598&lt;=40,W1598&gt;=35,W1598&lt;75),0.25,0)+IF(AND(V1598&lt;=40,W1598&gt;=75,W1598&lt;120),0.17,0)+IF(AND(V1598&lt;=40,W1598&gt;=120),0.15,0)+IF(AND(V1598&gt;40,V1598&lt;75,W1598&lt;25),0.35,0)+IF(AND(V1598&gt;=40,V1598&lt;75,W1598&gt;=25,W1598&lt;65),0.25,0)+IF(AND(V1598&gt;=40,V1598&lt;75,W1598&gt;=65,W1598&lt;100),0.17,0)+IF(AND(V1598&gt;=40,V1598&lt;75,W1598&gt;=100),0.1,0)+IF(AND(V1598&gt;=75,W1598&lt;25),0.35,0)+IF(AND(V1598&gt;=75,W1598&gt;=25,W1598&lt;60),0.25,0)+IF(AND(V1598&gt;=75,W1598&gt;=60,W1598&lt;95),0.17,0)+IF(AND(V1598&gt;=75,W1598&gt;=95),0.1,0),
IF(AF1598="DoEVba",IF(AND(V1598&lt;20,W1598&lt;105),0.2,0)+IF(AND(V1598&lt;20,W1598&gt;=105),0.15,0)+IF(AND(V1598&gt;=20,V1598&lt;40,W1598&lt;95),0.2,0)+IF(AND(V1598&gt;=20,V1598&lt;40,W1598&gt;=95,W1598&lt;150),0.15,0)+IF(AND(V1598&gt;=20,V1598&lt;40,W1598&gt;=150),0.12,0)+IF(AND(V1598&gt;=40,V1598&lt;75,W1598&lt;75),0.2,0)+IF(AND(V1598&gt;=40,V1598&lt;75,W1598&gt;=75,W1598&lt;120),0.15,0)+IF(AND(V1598&gt;=40,V1598&lt;75,W1598&gt;=120),0.12,0)+IF(AND(V1598&gt;=75,V1598&lt;175,W1598&lt;65),0.2,0)+IF(AND(V1598&gt;=75,V1598&lt;175,W1598&gt;=65,W1598&lt;110),0.15,0)+IF(AND(V1598&gt;=75,V1598&lt;175,W1598&gt;=110),0.12,0)+IF(AND(V1598&gt;=175,W1598&lt;55),0.2,0)+IF(AND(V1598&gt;=175,W1598&gt;=55,W1598&lt;95),0.15,0)+IF(AND(V1598&gt;=175,W1598&gt;=95),0.12,0),
IF(AF1598="DoEVku",IF(AND(V1598&lt;20,W1598&lt;55),0.23,0)+IF(AND(V1598&lt;20,W1598&gt;=55,W1598&lt;105),0.2,0)+IF(AND(V1598&lt;20,W1598&gt;=105),0.17,0)+IF(AND(V1598&gt;=20,V1598&lt;40,W1598&lt;45),0.23,0)+IF(AND(V1598&gt;=20,V1598&lt;40,W1598&gt;=45,W1598&lt;95),0.2,0)+IF(AND(V1598&gt;=20,V1598&lt;40,W1598&gt;=95,W1598&lt;=150),0.17,0)+IF(AND(V1598&gt;=20,V1598&lt;40,W1598&gt;=150),0.12,0)+IF(AND(V1598&gt;=40,V1598&lt;75,W1598&lt;35),0.23,0)+IF(AND(V1598&gt;=40,V1598&lt;75,W1598&gt;=35,W1598&lt;75),0.2,0)+IF(AND(V1598&gt;=40,V1598&lt;75,W1598&gt;=75,W1598&lt;120),0.17,0)+IF(AND(V1598&gt;=40,V1598&lt;75,W1598&gt;=120),0.12,0)+IF(AND(V1598&gt;=75,V1598&lt;175,W1598&lt;35),0.23,0)+IF(AND(V1598&gt;=75,V1598&lt;=175,W1598&gt;=35,W1598&lt;65),0.2,0)+IF(AND(V1598&gt;=75,V1598&lt;=175,W1598&gt;=65,W1598&lt;110),0.17,0)+IF(AND(V1598&gt;=75,V1598&lt;=175,W1598&gt;=110),0.12,0)+IF(AND(V1598&gt;175,W1598&lt;25),0.23,0)+IF(AND(V1598&gt;175,W1598&gt;=25,W1598&lt;55),0.2,0)+IF(AND(V1598&gt;175,W1598&gt;=55,W1598&lt;95),0.17,0)+IF(AND(V1598&gt;175,W1598&gt;=95),0.12,0),
IF(AF1598="DoEVs1",IF(AND(V1598&lt;20,W1598&lt;55),0.3,0)+IF(AND(V1598&lt;20,W1598&gt;=55,W1598&lt;105),0.23,0)+IF(AND(V1598&lt;20,W1598&gt;=105),0.17,0)+IF(AND(V1598&gt;=20,V1598&lt;40,W1598&lt;45),0.3,0)+IF(AND(V1598&gt;=20,V1598&lt;40,W1598&gt;=45,W1598&lt;95),0.23,0)+IF(AND(V1598&gt;=20,V1598&lt;40,W1598&gt;=95,W1598&lt;=150),0.17,0)+IF(AND(V1598&gt;=20,V1598&lt;40,W1598&gt;=150),0.12,0)+IF(AND(V1598&gt;=40,V1598&lt;75,W1598&lt;35),0.3,0)+IF(AND(V1598&gt;=40,V1598&lt;75,W1598&gt;=35,W1598&lt;75),0.23,0)+IF(AND(V1598&gt;=40,V1598&lt;75,W1598&gt;=75,W1598&lt;120),0.17,0)+IF(AND(V1598&gt;=40,V1598&lt;75,W1598&gt;=120),0.12,0)+IF(AND(V1598&gt;=75,V1598&lt;175,W1598&lt;35),0.3,0)+IF(AND(V1598&gt;=75,V1598&lt;=175,W1598&gt;=35,W1598&lt;65),0.23,0)+IF(AND(V1598&gt;=75,V1598&lt;=175,W1598&gt;=65,W1598&lt;110),0.17,0)+IF(AND(V1598&gt;=75,V1598&lt;=175,W1598&gt;=110),0.12,0)+IF(AND(V1598&gt;175,W1598&lt;25),0.3,0)+IF(AND(V1598&gt;175,W1598&gt;=25,W1598&lt;55),0.23,0)+IF(AND(V1598&gt;175,W1598&gt;=55,W1598&lt;95),0.17,0)+IF(AND(V1598&gt;175,W1598&gt;=95),0.12,0),
IF(AF1598="DoEVsu",IF(AND(V1598&lt;20,W1598&lt;55),0.3,0)+IF(AND(V1598&lt;20,W1598&gt;=55,W1598&lt;105),0.23,0)+IF(AND(V1598&lt;20,W1598&gt;=105),0.17,0)+IF(AND(V1598&gt;=20,V1598&lt;40,W1598&lt;45),0.3,0)+IF(AND(V1598&gt;=20,V1598&lt;40,W1598&gt;=45,W1598&lt;95),0.23,0)+IF(AND(V1598&gt;=20,V1598&lt;40,W1598&gt;=95,W1598&lt;=250),0.17,0)+IF(AND(V1598&gt;=20,V1598&lt;40,W1598&gt;=250),0.12,0)+IF(AND(V1598&gt;=40,V1598&lt;75,W1598&lt;35),0.3,0)+IF(AND(V1598&gt;=40,V1598&lt;75,W1598&gt;=35,W1598&lt;75),0.23,0)+IF(AND(V1598&gt;=40,V1598&lt;75,W1598&gt;=75,W1598&lt;120),0.17,0)+IF(AND(V1598&gt;=40,V1598&lt;75,W1598&gt;=120),0.12,0)+IF(AND(V1598&gt;=75,V1598&lt;175,W1598&lt;35),0.3,0)+IF(AND(V1598&gt;=75,V1598&lt;=175,W1598&gt;=35,W1598&lt;65),0.23,0)+IF(AND(V1598&gt;=75,V1598&lt;=175,W1598&gt;=65,W1598&lt;110),0.17,0)+IF(AND(V1598&gt;=75,V1598&lt;=175,W1598&gt;=110),0.12,0)+IF(AND(V1598&gt;175,W1598&lt;25),0.3,0)+IF(AND(V1598&gt;175,W1598&gt;=25,W1598&lt;55),0.23,0)+IF(AND(V1598&gt;175,W1598&gt;=55,W1598&lt;95),0.17,0)+IF(AND(V1598&gt;175,W1598&gt;=95),0.12,0),
IF(AF1598="DoEVni",IF(AND(V1598&lt;20,W1598&lt;55),0.3,0)+IF(AND(V1598&lt;20,W1598&gt;=55,W1598&lt;105),0.23,0)+IF(AND(V1598&lt;20,W1598&gt;=105),0.17,0)+IF(AND(V1598&gt;=20,V1598&lt;40,W1598&lt;45),0.3,0)+IF(AND(V1598&gt;=20,V1598&lt;40,W1598&gt;=45,W1598&lt;95),0.23,0)+IF(AND(V1598&gt;=20,V1598&lt;40,W1598&gt;=95,W1598&lt;=200),0.17,0)+IF(AND(V1598&gt;=20,V1598&lt;40,W1598&gt;=200),0.12,0)+IF(AND(V1598&gt;=40,V1598&lt;75,W1598&lt;35),0.3,0)+IF(AND(V1598&gt;=40,V1598&lt;75,W1598&gt;=35,W1598&lt;75),0.23,0)+IF(AND(V1598&gt;=40,V1598&lt;75,W1598&gt;=75,W1598&lt;120),0.17,0)+IF(AND(V1598&gt;=40,V1598&lt;75,W1598&gt;=120),0.12,0)+IF(AND(V1598&gt;=75,V1598&lt;175,W1598&lt;35),0.3,0)+IF(AND(V1598&gt;=75,V1598&lt;=175,W1598&gt;=35,W1598&lt;65),0.23,0)+IF(AND(V1598&gt;=75,V1598&lt;=175,W1598&gt;=65,W1598&lt;110),0.17,0)+IF(AND(V1598&gt;=75,V1598&lt;=175,W1598&gt;=110),0.12,0)+IF(AND(V1598&gt;175,W1598&lt;25),0.3,0)+IF(AND(V1598&gt;175,W1598&gt;=25,W1598&lt;55),0.23,0)+IF(AND(V1598&gt;175,W1598&gt;=55,W1598&lt;95),0.17,0)+IF(AND(V1598&gt;175,W1598&gt;=95),0.12,0),
IF(AF1598="DoEVLo",IF(AND(V1598&lt;20,W1598&lt;55),0.25,0)+IF(AND(V1598&lt;20,W1598&gt;=55,W1598&lt;105),0.2,0)+IF(AND(V1598&lt;20,W1598&gt;=105),0.15,0)+IF(AND(V1598&gt;=20,V1598&lt;40,W1598&lt;45),0.25,0)+IF(AND(V1598&gt;=20,V1598&lt;40,W1598&gt;=45,W1598&lt;95),0.2,0)+IF(AND(V1598&gt;=20,V1598&lt;40,W1598&gt;=95),0.15,0)+IF(AND(V1598&gt;=40,V1598&lt;75,W1598&lt;35),0.25,0)+IF(AND(V1598&gt;=40,V1598&lt;75,W1598&gt;=35,W1598&lt;75),0.2,0)+IF(AND(V1598&gt;=40,V1598&lt;75,W1598&gt;=75,W1598&lt;120),0.15,0)+IF(AND(V1598&gt;=40,V1598&lt;75,W1598&gt;=120),0.1,0)+IF(AND(V1598&gt;=75,V1598&lt;175,W1598&lt;35),0.25,0)+IF(AND(V1598&gt;=75,V1598&lt;=175,W1598&gt;=35,W1598&lt;65),0.2,0)+IF(AND(V1598&gt;=75,V1598&lt;=175,W1598&gt;=65,W1598&lt;110),0.15,0)+IF(AND(V1598&gt;=75,V1598&lt;=175,W1598&gt;=110),0.1,0)+IF(AND(V1598&gt;175,W1598&lt;25),0.25,0)+IF(AND(V1598&gt;175,W1598&gt;=25,W1598&lt;55),0.2,0)+IF(AND(V1598&gt;175,W1598&gt;=55,W1598&lt;95),0.15,0)+IF(AND(V1598&gt;175,W1598&gt;=95),0.1,0))))))))))))))))))))</f>
        <v>0.3</v>
      </c>
      <c r="Y1598" s="30">
        <f>IF(AG1598="None",0,IF(AG1598="Fix5",0.05, IF(AG1598="Fix6.25",0.0625,IF(AG1598="Fix3.75",0.0375, IF(AG1598="Fix11",0.11, IF(AG1598="Fix10",0.1,IF(AG1598="Fix3",0.03,0)))))))</f>
        <v>0</v>
      </c>
      <c r="Z1598" s="35">
        <f>IF(AND(AD1598="EUR", AE1598 = "USD"), T1598*U1598-AA1598-AB1598, T1598-AA1598-AB1598)</f>
        <v>-105</v>
      </c>
      <c r="AA1598" s="29">
        <f>IF(AND(AD1598="EUR", F1598="Without EV deal", AE1598="USD"), (T1598*X1598)*U1598,
IF(AND(AD1598="EUR", F1598="Without EV deal", AE1598="EUR"), (T1598*X1598),
IF(AND(AD1598="EUR",AE1598="USD"), (T1598*X1598)*U1598,
T1598*X1598)))</f>
        <v>-45</v>
      </c>
      <c r="AB1598" s="36">
        <f>IF(AND(AD1598="EUR", F1598="Without EV deal", AE1598="USD"), (T1598*Y1598)*U1598,
IF(AND(AD1598="EUR", F1598="Without EV deal", AE1598="EUR"), (T1598*Y1598),
IF(AND(AD1598="EUR",AE1598="USD"), (T1598*Y1598)*U1598,
T1598*Y1598)))</f>
        <v>0</v>
      </c>
      <c r="AC1598" s="61" t="b">
        <v>1</v>
      </c>
      <c r="AD1598" s="82" t="str">
        <f>IF(OR(H1598="€0.25 Flash",
H1598="€0.25(nitro) new",
H1598="€1",
H1598="€2",
H1598="€2 (bf 01.08)",
H1598="€5",
H1598="€5 (1M)",
H1598="€5 (bf 01.08)",
H1598="€5 (bf 05.05)",
H1598="€5 Nitro",
H1598="€5(wx) new",
H1598="€10",
H1598="€10 (1M)",
H1598="€10 (bf 01.08)",
H1598="€10 (bf 05.05)",
H1598="€10 (MP)",
H1598="€10 (old)",
H1598="€10 Nitro (bf 05.05)",
H1598="€10 Nitro (old)",
H1598="€10(wx) new",
H1598="€20",
H1598="€25",
H1598="€25 (bf 01.08)",
H1598="€25 (bf 05.05)",
H1598="€25 (MP)",
H1598="€25 (old)",
H1598="€25 Nitro",
H1598="€25 Nitro (bf 01.08)",
H1598="€25 Nitro (bf 05.05)",
H1598="€25(nitro) new",
H1598="€25(wx) new",
H1598="€50",
H1598="€50 (bf 01.08)",
H1598="€50 (bf 05.05)",
H1598="€50 (old)",
H1598="€50 Nitro",
H1598="€50 Nitro (bf 01.08)",
H1598="€50 Nitro (bf 05.05)",
H1598="€50(wx) new",
H1598="€100",
H1598="€100 (old)",
H1598="€100 Nitro",
H1598="€100 Nitro (old)",
H1598="€200",
H1598="€250",
H1598="€250 Nitro",
H1598="€500",
H1598="€500 Nitro"),"EUR", "USD")</f>
        <v>USD</v>
      </c>
      <c r="AE1598" s="83" t="s">
        <v>38</v>
      </c>
      <c r="AF1598" s="83" t="str">
        <f t="array" ref="AF1598">INDEX('Deal Info'!D:D, MATCH(A1598,'Deal Info'!A:A, 0))</f>
        <v>DoEV</v>
      </c>
      <c r="AG1598" s="84" t="str">
        <f t="array" ref="AG1598">INDEX('Deal Info'!G:G, MATCH(A1598,'Deal Info'!A:A, 0))</f>
        <v>None</v>
      </c>
    </row>
    <row r="1599" spans="1:33" ht="14.25" hidden="1" x14ac:dyDescent="0.2">
      <c r="A1599" s="18" t="str">
        <f t="array" ref="A1599">IF(G1599='Room Info'!$B$1, INDEX('Room Info'!$A$2:$A2446, MATCH(B1599,'Room Info'!$B$2:$B2446, 0)),IF(G1599='Room Info'!$C$1, INDEX('Room Info'!$A$2:$A2446, MATCH(B1599,'Room Info'!$C$2:$C2446, 0)),IF(G1599='Room Info'!$D$1, INDEX('Room Info'!$A$2:$A2446, MATCH(B1599,'Room Info'!$D$2:$D2446, 0)),IF(G1599='Room Info'!$E$1, INDEX('Room Info'!$A$2:$A2446, MATCH(B1599,'Room Info'!$E$2:$E2446, 0)),IF(G1599='Room Info'!$F$1, INDEX('Room Info'!$A$2:$A2446, MATCH(B1599,'Room Info'!$F$2:$F2446, 0)),IF(G1599='Room Info'!$H$1, INDEX('Room Info'!$A$2:$A2446, MATCH(B1599,'Room Info'!$H$2:$H2446, 0)),IF(G1599='Room Info'!$G$1, INDEX('Room Info'!$A$2:$A2446, MATCH(B1599,'Room Info'!$G$2:$G2446, 0)))))))))</f>
        <v>Fedorovi4</v>
      </c>
      <c r="B1599" s="45" t="s">
        <v>96</v>
      </c>
      <c r="C1599" s="46">
        <v>44978</v>
      </c>
      <c r="D1599" s="46">
        <v>45005</v>
      </c>
      <c r="E1599" s="90">
        <v>44986</v>
      </c>
      <c r="F1599" s="48" t="s">
        <v>34</v>
      </c>
      <c r="G1599" s="65" t="s">
        <v>35</v>
      </c>
      <c r="H1599" s="91" t="s">
        <v>46</v>
      </c>
      <c r="I1599" s="100" t="s">
        <v>37</v>
      </c>
      <c r="J1599" s="39">
        <v>25</v>
      </c>
      <c r="K1599" s="51">
        <v>880</v>
      </c>
      <c r="L1599" s="52">
        <v>-350</v>
      </c>
      <c r="M1599" s="53">
        <v>1595</v>
      </c>
      <c r="N1599" s="28">
        <f>K1599*J1599</f>
        <v>22000</v>
      </c>
      <c r="O1599" s="54">
        <v>-8085</v>
      </c>
      <c r="P1599" s="29">
        <v>-9.1875</v>
      </c>
      <c r="Q1599" s="55"/>
      <c r="R1599" s="31">
        <f>M1599+Q1599*J1599*K1599*0.07</f>
        <v>1595</v>
      </c>
      <c r="S1599" s="56">
        <v>-1744</v>
      </c>
      <c r="T1599" s="32">
        <f>IF(AND(AD1599="EUR", F1599="Without EV deal"), R1599 + L1599,
IF(AND(AD1599="USD", F1599="Without EV deal"), R1599 + L1599,
IF(AND(AD1599="EUR", F1599="Steel Phoenix"), R1599 + S1599/U1599,
R1599 + S1599)))</f>
        <v>-149</v>
      </c>
      <c r="U1599" s="57">
        <v>1.071</v>
      </c>
      <c r="V1599" s="58"/>
      <c r="W1599" s="58"/>
      <c r="X1599" s="30">
        <f>IF(AF1599="DoEV",IF(AND(V1599&lt;20,W1599&lt;55),0.3,0)+IF(AND(V1599&lt;20,W1599&gt;=55,W1599&lt;105),0.23,0)+IF(AND(V1599&lt;20,W1599&gt;=105),0.17,0)+IF(AND(V1599&gt;=20,V1599&lt;40,W1599&lt;45),0.3,0)+IF(AND(V1599&gt;=20,V1599&lt;40,W1599&gt;=45,W1599&lt;95),0.23,0)+IF(AND(V1599&gt;=20,V1599&lt;40,W1599&gt;=95),0.17,0)+IF(AND(V1599&gt;=40,V1599&lt;75,W1599&lt;35),0.3,0)+IF(AND(V1599&gt;=40,V1599&lt;75,W1599&gt;=35,W1599&lt;75),0.23,0)+IF(AND(V1599&gt;=40,V1599&lt;75,W1599&gt;=75,W1599&lt;120),0.17,0)+IF(AND(V1599&gt;=40,V1599&lt;75,W1599&gt;=120),0.12,0)+IF(AND(V1599&gt;=75,V1599&lt;175,W1599&lt;35),0.3,0)+IF(AND(V1599&gt;=75,V1599&lt;=175,W1599&gt;=35,W1599&lt;65),0.23,0)+IF(AND(V1599&gt;=75,V1599&lt;=175,W1599&gt;=65,W1599&lt;110),0.17,0)+IF(AND(V1599&gt;=75,V1599&lt;=175,W1599&gt;=110),0.12,0)+IF(AND(V1599&gt;175,W1599&lt;25),0.3,0)+IF(AND(V1599&gt;175,W1599&gt;=25,W1599&lt;55),0.23,0)+IF(AND(V1599&gt;175,W1599&gt;=55,W1599&lt;95),0.17,0)+IF(AND(V1599&gt;175,W1599&gt;=95),0.12,0),
IF(AF1599="Fix15",0.15,
IF(AF1599="Fix5",0.05,
IF(AF1599="Fix18.75",0.1875,
IF(AF1599="Fix11.25",0.1125,
IF(AF1599="Fix10",0.1,
IF(AF1599="Fix9",0.09,
IF(AF1599="Fix12",0.12,
IF(AF1599="Fix19",0.19,
IF(AF1599="DoEV2017",IF(AND(W1599&lt;74),0.2,0)+IF(AND(W1599&gt;=74),0.17,0),
IF(AF1599="SF",IF(AND(V1599&lt;20,W1599&lt;89),0.3,0)+IF(AND(V1599&lt;20,W1599&gt;=89),0.25,0)+IF(AND(V1599&gt;=20,V1599&lt;40,W1599&lt;74),0.3,0)+IF(AND(V1599&gt;=20,V1599&lt;40,W1599&gt;=75),0.22,0)+IF(AND(V1599&gt;=40,V1599&lt;75,W1599&lt;75),0.26,0)+IF(AND(V1599&gt;=40,V1599&lt;75,W1599&gt;=75),0.22,0)+IF(V1599&gt;=75,0.22,0),
IF(AF1599="DoEVold",IF(AND(V1599&lt;40,W1599&lt;35),0.35,0)+IF(AND(V1599&lt;40,W1599&gt;=35,W1599&lt;75),0.25,0)+IF(AND(V1599&lt;40,W1599&gt;=75),0.17,0)+IF(AND(V1599&gt;=40,V1599&lt;75,W1599&lt;25),0.35,0)+IF(AND(V1599&gt;=40,V1599&lt;75,W1599&gt;=25,W1599&lt;65),0.25,0)+IF(AND(V1599&gt;=40,V1599&lt;75,W1599&gt;=65,W1599&lt;100),0.17,0)+IF(AND(V1599&gt;=40,V1599&lt;75,W1599&gt;=100),0.1,0)+IF(AND(V1599&gt;=75,W1599&lt;25),0.35,0)+IF(AND(V1599&gt;=75,W1599&gt;=25,W1599&lt;60),0.25,0)+IF(AND(V1599&gt;=75,W1599&gt;=60,W1599&lt;95),0.17,0)+IF(AND(V1599&gt;=75,W1599&gt;=95),0.1,0),
IF(AF1599="DoEVold15",IF(AND(V1599&lt;=40,W1599&lt;35),0.35,0)+IF(AND(V1599&lt;=40,W1599&gt;=35,W1599&lt;75),0.25,0)+IF(AND(V1599&lt;=40,W1599&gt;=75,W1599&lt;120),0.17,0)+IF(AND(V1599&lt;=40,W1599&gt;=120),0.15,0)+IF(AND(V1599&gt;40,V1599&lt;75,W1599&lt;25),0.35,0)+IF(AND(V1599&gt;=40,V1599&lt;75,W1599&gt;=25,W1599&lt;65),0.25,0)+IF(AND(V1599&gt;=40,V1599&lt;75,W1599&gt;=65,W1599&lt;100),0.17,0)+IF(AND(V1599&gt;=40,V1599&lt;75,W1599&gt;=100),0.1,0)+IF(AND(V1599&gt;=75,W1599&lt;25),0.35,0)+IF(AND(V1599&gt;=75,W1599&gt;=25,W1599&lt;60),0.25,0)+IF(AND(V1599&gt;=75,W1599&gt;=60,W1599&lt;95),0.17,0)+IF(AND(V1599&gt;=75,W1599&gt;=95),0.1,0),
IF(AF1599="DoEVba",IF(AND(V1599&lt;20,W1599&lt;105),0.2,0)+IF(AND(V1599&lt;20,W1599&gt;=105),0.15,0)+IF(AND(V1599&gt;=20,V1599&lt;40,W1599&lt;95),0.2,0)+IF(AND(V1599&gt;=20,V1599&lt;40,W1599&gt;=95,W1599&lt;150),0.15,0)+IF(AND(V1599&gt;=20,V1599&lt;40,W1599&gt;=150),0.12,0)+IF(AND(V1599&gt;=40,V1599&lt;75,W1599&lt;75),0.2,0)+IF(AND(V1599&gt;=40,V1599&lt;75,W1599&gt;=75,W1599&lt;120),0.15,0)+IF(AND(V1599&gt;=40,V1599&lt;75,W1599&gt;=120),0.12,0)+IF(AND(V1599&gt;=75,V1599&lt;175,W1599&lt;65),0.2,0)+IF(AND(V1599&gt;=75,V1599&lt;175,W1599&gt;=65,W1599&lt;110),0.15,0)+IF(AND(V1599&gt;=75,V1599&lt;175,W1599&gt;=110),0.12,0)+IF(AND(V1599&gt;=175,W1599&lt;55),0.2,0)+IF(AND(V1599&gt;=175,W1599&gt;=55,W1599&lt;95),0.15,0)+IF(AND(V1599&gt;=175,W1599&gt;=95),0.12,0),
IF(AF1599="DoEVku",IF(AND(V1599&lt;20,W1599&lt;55),0.23,0)+IF(AND(V1599&lt;20,W1599&gt;=55,W1599&lt;105),0.2,0)+IF(AND(V1599&lt;20,W1599&gt;=105),0.17,0)+IF(AND(V1599&gt;=20,V1599&lt;40,W1599&lt;45),0.23,0)+IF(AND(V1599&gt;=20,V1599&lt;40,W1599&gt;=45,W1599&lt;95),0.2,0)+IF(AND(V1599&gt;=20,V1599&lt;40,W1599&gt;=95,W1599&lt;=150),0.17,0)+IF(AND(V1599&gt;=20,V1599&lt;40,W1599&gt;=150),0.12,0)+IF(AND(V1599&gt;=40,V1599&lt;75,W1599&lt;35),0.23,0)+IF(AND(V1599&gt;=40,V1599&lt;75,W1599&gt;=35,W1599&lt;75),0.2,0)+IF(AND(V1599&gt;=40,V1599&lt;75,W1599&gt;=75,W1599&lt;120),0.17,0)+IF(AND(V1599&gt;=40,V1599&lt;75,W1599&gt;=120),0.12,0)+IF(AND(V1599&gt;=75,V1599&lt;175,W1599&lt;35),0.23,0)+IF(AND(V1599&gt;=75,V1599&lt;=175,W1599&gt;=35,W1599&lt;65),0.2,0)+IF(AND(V1599&gt;=75,V1599&lt;=175,W1599&gt;=65,W1599&lt;110),0.17,0)+IF(AND(V1599&gt;=75,V1599&lt;=175,W1599&gt;=110),0.12,0)+IF(AND(V1599&gt;175,W1599&lt;25),0.23,0)+IF(AND(V1599&gt;175,W1599&gt;=25,W1599&lt;55),0.2,0)+IF(AND(V1599&gt;175,W1599&gt;=55,W1599&lt;95),0.17,0)+IF(AND(V1599&gt;175,W1599&gt;=95),0.12,0),
IF(AF1599="DoEVs1",IF(AND(V1599&lt;20,W1599&lt;55),0.3,0)+IF(AND(V1599&lt;20,W1599&gt;=55,W1599&lt;105),0.23,0)+IF(AND(V1599&lt;20,W1599&gt;=105),0.17,0)+IF(AND(V1599&gt;=20,V1599&lt;40,W1599&lt;45),0.3,0)+IF(AND(V1599&gt;=20,V1599&lt;40,W1599&gt;=45,W1599&lt;95),0.23,0)+IF(AND(V1599&gt;=20,V1599&lt;40,W1599&gt;=95,W1599&lt;=150),0.17,0)+IF(AND(V1599&gt;=20,V1599&lt;40,W1599&gt;=150),0.12,0)+IF(AND(V1599&gt;=40,V1599&lt;75,W1599&lt;35),0.3,0)+IF(AND(V1599&gt;=40,V1599&lt;75,W1599&gt;=35,W1599&lt;75),0.23,0)+IF(AND(V1599&gt;=40,V1599&lt;75,W1599&gt;=75,W1599&lt;120),0.17,0)+IF(AND(V1599&gt;=40,V1599&lt;75,W1599&gt;=120),0.12,0)+IF(AND(V1599&gt;=75,V1599&lt;175,W1599&lt;35),0.3,0)+IF(AND(V1599&gt;=75,V1599&lt;=175,W1599&gt;=35,W1599&lt;65),0.23,0)+IF(AND(V1599&gt;=75,V1599&lt;=175,W1599&gt;=65,W1599&lt;110),0.17,0)+IF(AND(V1599&gt;=75,V1599&lt;=175,W1599&gt;=110),0.12,0)+IF(AND(V1599&gt;175,W1599&lt;25),0.3,0)+IF(AND(V1599&gt;175,W1599&gt;=25,W1599&lt;55),0.23,0)+IF(AND(V1599&gt;175,W1599&gt;=55,W1599&lt;95),0.17,0)+IF(AND(V1599&gt;175,W1599&gt;=95),0.12,0),
IF(AF1599="DoEVsu",IF(AND(V1599&lt;20,W1599&lt;55),0.3,0)+IF(AND(V1599&lt;20,W1599&gt;=55,W1599&lt;105),0.23,0)+IF(AND(V1599&lt;20,W1599&gt;=105),0.17,0)+IF(AND(V1599&gt;=20,V1599&lt;40,W1599&lt;45),0.3,0)+IF(AND(V1599&gt;=20,V1599&lt;40,W1599&gt;=45,W1599&lt;95),0.23,0)+IF(AND(V1599&gt;=20,V1599&lt;40,W1599&gt;=95,W1599&lt;=250),0.17,0)+IF(AND(V1599&gt;=20,V1599&lt;40,W1599&gt;=250),0.12,0)+IF(AND(V1599&gt;=40,V1599&lt;75,W1599&lt;35),0.3,0)+IF(AND(V1599&gt;=40,V1599&lt;75,W1599&gt;=35,W1599&lt;75),0.23,0)+IF(AND(V1599&gt;=40,V1599&lt;75,W1599&gt;=75,W1599&lt;120),0.17,0)+IF(AND(V1599&gt;=40,V1599&lt;75,W1599&gt;=120),0.12,0)+IF(AND(V1599&gt;=75,V1599&lt;175,W1599&lt;35),0.3,0)+IF(AND(V1599&gt;=75,V1599&lt;=175,W1599&gt;=35,W1599&lt;65),0.23,0)+IF(AND(V1599&gt;=75,V1599&lt;=175,W1599&gt;=65,W1599&lt;110),0.17,0)+IF(AND(V1599&gt;=75,V1599&lt;=175,W1599&gt;=110),0.12,0)+IF(AND(V1599&gt;175,W1599&lt;25),0.3,0)+IF(AND(V1599&gt;175,W1599&gt;=25,W1599&lt;55),0.23,0)+IF(AND(V1599&gt;175,W1599&gt;=55,W1599&lt;95),0.17,0)+IF(AND(V1599&gt;175,W1599&gt;=95),0.12,0),
IF(AF1599="DoEVni",IF(AND(V1599&lt;20,W1599&lt;55),0.3,0)+IF(AND(V1599&lt;20,W1599&gt;=55,W1599&lt;105),0.23,0)+IF(AND(V1599&lt;20,W1599&gt;=105),0.17,0)+IF(AND(V1599&gt;=20,V1599&lt;40,W1599&lt;45),0.3,0)+IF(AND(V1599&gt;=20,V1599&lt;40,W1599&gt;=45,W1599&lt;95),0.23,0)+IF(AND(V1599&gt;=20,V1599&lt;40,W1599&gt;=95,W1599&lt;=200),0.17,0)+IF(AND(V1599&gt;=20,V1599&lt;40,W1599&gt;=200),0.12,0)+IF(AND(V1599&gt;=40,V1599&lt;75,W1599&lt;35),0.3,0)+IF(AND(V1599&gt;=40,V1599&lt;75,W1599&gt;=35,W1599&lt;75),0.23,0)+IF(AND(V1599&gt;=40,V1599&lt;75,W1599&gt;=75,W1599&lt;120),0.17,0)+IF(AND(V1599&gt;=40,V1599&lt;75,W1599&gt;=120),0.12,0)+IF(AND(V1599&gt;=75,V1599&lt;175,W1599&lt;35),0.3,0)+IF(AND(V1599&gt;=75,V1599&lt;=175,W1599&gt;=35,W1599&lt;65),0.23,0)+IF(AND(V1599&gt;=75,V1599&lt;=175,W1599&gt;=65,W1599&lt;110),0.17,0)+IF(AND(V1599&gt;=75,V1599&lt;=175,W1599&gt;=110),0.12,0)+IF(AND(V1599&gt;175,W1599&lt;25),0.3,0)+IF(AND(V1599&gt;175,W1599&gt;=25,W1599&lt;55),0.23,0)+IF(AND(V1599&gt;175,W1599&gt;=55,W1599&lt;95),0.17,0)+IF(AND(V1599&gt;175,W1599&gt;=95),0.12,0),
IF(AF1599="DoEVLo",IF(AND(V1599&lt;20,W1599&lt;55),0.25,0)+IF(AND(V1599&lt;20,W1599&gt;=55,W1599&lt;105),0.2,0)+IF(AND(V1599&lt;20,W1599&gt;=105),0.15,0)+IF(AND(V1599&gt;=20,V1599&lt;40,W1599&lt;45),0.25,0)+IF(AND(V1599&gt;=20,V1599&lt;40,W1599&gt;=45,W1599&lt;95),0.2,0)+IF(AND(V1599&gt;=20,V1599&lt;40,W1599&gt;=95),0.15,0)+IF(AND(V1599&gt;=40,V1599&lt;75,W1599&lt;35),0.25,0)+IF(AND(V1599&gt;=40,V1599&lt;75,W1599&gt;=35,W1599&lt;75),0.2,0)+IF(AND(V1599&gt;=40,V1599&lt;75,W1599&gt;=75,W1599&lt;120),0.15,0)+IF(AND(V1599&gt;=40,V1599&lt;75,W1599&gt;=120),0.1,0)+IF(AND(V1599&gt;=75,V1599&lt;175,W1599&lt;35),0.25,0)+IF(AND(V1599&gt;=75,V1599&lt;=175,W1599&gt;=35,W1599&lt;65),0.2,0)+IF(AND(V1599&gt;=75,V1599&lt;=175,W1599&gt;=65,W1599&lt;110),0.15,0)+IF(AND(V1599&gt;=75,V1599&lt;=175,W1599&gt;=110),0.1,0)+IF(AND(V1599&gt;175,W1599&lt;25),0.25,0)+IF(AND(V1599&gt;175,W1599&gt;=25,W1599&lt;55),0.2,0)+IF(AND(V1599&gt;175,W1599&gt;=55,W1599&lt;95),0.15,0)+IF(AND(V1599&gt;175,W1599&gt;=95),0.1,0))))))))))))))))))))</f>
        <v>0.3</v>
      </c>
      <c r="Y1599" s="30">
        <f>IF(AG1599="None",0,IF(AG1599="Fix5",0.05, IF(AG1599="Fix6.25",0.0625,IF(AG1599="Fix3.75",0.0375, IF(AG1599="Fix11",0.11, IF(AG1599="Fix10",0.1,IF(AG1599="Fix3",0.03,0)))))))</f>
        <v>0</v>
      </c>
      <c r="Z1599" s="35">
        <f>IF(AND(AD1599="EUR", AE1599 = "USD"), T1599*U1599-AA1599-AB1599, T1599-AA1599-AB1599)</f>
        <v>-104.30000000000001</v>
      </c>
      <c r="AA1599" s="29">
        <f>IF(AND(AD1599="EUR", F1599="Without EV deal", AE1599="USD"), (T1599*X1599)*U1599,
IF(AND(AD1599="EUR", F1599="Without EV deal", AE1599="EUR"), (T1599*X1599),
IF(AND(AD1599="EUR",AE1599="USD"), (T1599*X1599)*U1599,
T1599*X1599)))</f>
        <v>-44.699999999999996</v>
      </c>
      <c r="AB1599" s="36">
        <f>IF(AND(AD1599="EUR", F1599="Without EV deal", AE1599="USD"), (T1599*Y1599)*U1599,
IF(AND(AD1599="EUR", F1599="Without EV deal", AE1599="EUR"), (T1599*Y1599),
IF(AND(AD1599="EUR",AE1599="USD"), (T1599*Y1599)*U1599,
T1599*Y1599)))</f>
        <v>0</v>
      </c>
      <c r="AC1599" s="37" t="b">
        <v>0</v>
      </c>
      <c r="AD1599" s="82" t="str">
        <f>IF(OR(H1599="€0.25 Flash",
H1599="€0.25(nitro) new",
H1599="€1",
H1599="€2",
H1599="€2 (bf 01.08)",
H1599="€5",
H1599="€5 (1M)",
H1599="€5 (bf 01.08)",
H1599="€5 (bf 05.05)",
H1599="€5 Nitro",
H1599="€5(wx) new",
H1599="€10",
H1599="€10 (1M)",
H1599="€10 (bf 01.08)",
H1599="€10 (bf 05.05)",
H1599="€10 (MP)",
H1599="€10 (old)",
H1599="€10 Nitro (bf 05.05)",
H1599="€10 Nitro (old)",
H1599="€10(wx) new",
H1599="€20",
H1599="€25",
H1599="€25 (bf 01.08)",
H1599="€25 (bf 05.05)",
H1599="€25 (MP)",
H1599="€25 (old)",
H1599="€25 Nitro",
H1599="€25 Nitro (bf 01.08)",
H1599="€25 Nitro (bf 05.05)",
H1599="€25(nitro) new",
H1599="€25(wx) new",
H1599="€50",
H1599="€50 (bf 01.08)",
H1599="€50 (bf 05.05)",
H1599="€50 (old)",
H1599="€50 Nitro",
H1599="€50 Nitro (bf 01.08)",
H1599="€50 Nitro (bf 05.05)",
H1599="€50(wx) new",
H1599="€100",
H1599="€100 (old)",
H1599="€100 Nitro",
H1599="€100 Nitro (old)",
H1599="€200",
H1599="€250",
H1599="€250 Nitro",
H1599="€500",
H1599="€500 Nitro"),"EUR", "USD")</f>
        <v>USD</v>
      </c>
      <c r="AE1599" s="83" t="s">
        <v>38</v>
      </c>
      <c r="AF1599" s="83" t="str">
        <f t="array" ref="AF1599">INDEX('Deal Info'!D:D, MATCH(A1599,'Deal Info'!A:A, 0))</f>
        <v>SF</v>
      </c>
      <c r="AG1599" s="84" t="str">
        <f t="array" ref="AG1599">INDEX('Deal Info'!G:G, MATCH(A1599,'Deal Info'!A:A, 0))</f>
        <v>None</v>
      </c>
    </row>
    <row r="1600" spans="1:33" ht="14.25" hidden="1" x14ac:dyDescent="0.2">
      <c r="A1600" s="18" t="str">
        <f t="array" ref="A1600">IF(G1600='Room Info'!$B$1, INDEX('Room Info'!$A$2:$A2446, MATCH(B1600,'Room Info'!$B$2:$B2446, 0)),IF(G1600='Room Info'!$C$1, INDEX('Room Info'!$A$2:$A2446, MATCH(B1600,'Room Info'!$C$2:$C2446, 0)),IF(G1600='Room Info'!$D$1, INDEX('Room Info'!$A$2:$A2446, MATCH(B1600,'Room Info'!$D$2:$D2446, 0)),IF(G1600='Room Info'!$E$1, INDEX('Room Info'!$A$2:$A2446, MATCH(B1600,'Room Info'!$E$2:$E2446, 0)),IF(G1600='Room Info'!$F$1, INDEX('Room Info'!$A$2:$A2446, MATCH(B1600,'Room Info'!$F$2:$F2446, 0)),IF(G1600='Room Info'!$H$1, INDEX('Room Info'!$A$2:$A2446, MATCH(B1600,'Room Info'!$H$2:$H2446, 0)),IF(G1600='Room Info'!$G$1, INDEX('Room Info'!$A$2:$A2446, MATCH(B1600,'Room Info'!$G$2:$G2446, 0)))))))))</f>
        <v>Fedorovi4</v>
      </c>
      <c r="B1600" s="45" t="s">
        <v>96</v>
      </c>
      <c r="C1600" s="46">
        <v>44978</v>
      </c>
      <c r="D1600" s="46">
        <v>45005</v>
      </c>
      <c r="E1600" s="90">
        <v>44986</v>
      </c>
      <c r="F1600" s="48" t="s">
        <v>34</v>
      </c>
      <c r="G1600" s="65" t="s">
        <v>35</v>
      </c>
      <c r="H1600" s="91" t="s">
        <v>72</v>
      </c>
      <c r="I1600" s="100" t="s">
        <v>37</v>
      </c>
      <c r="J1600" s="39">
        <v>50</v>
      </c>
      <c r="K1600" s="51">
        <v>356</v>
      </c>
      <c r="L1600" s="52">
        <v>550</v>
      </c>
      <c r="M1600" s="62"/>
      <c r="N1600" s="28">
        <f>K1600*J1600</f>
        <v>17800</v>
      </c>
      <c r="O1600" s="54">
        <v>11642</v>
      </c>
      <c r="P1600" s="29">
        <v>32.702247190000001</v>
      </c>
      <c r="Q1600" s="55"/>
      <c r="R1600" s="31">
        <f>M1600+Q1600*J1600*K1600*0.07</f>
        <v>0</v>
      </c>
      <c r="S1600" s="66"/>
      <c r="T1600" s="32">
        <f>IF(AND(AD1600="EUR", F1600="Without EV deal"), R1600 + L1600,
IF(AND(AD1600="USD", F1600="Without EV deal"), R1600 + L1600,
IF(AND(AD1600="EUR", F1600="Steel Phoenix"), R1600 + S1600/U1600,
R1600 + S1600)))</f>
        <v>0</v>
      </c>
      <c r="U1600" s="57">
        <v>1.071</v>
      </c>
      <c r="V1600" s="58"/>
      <c r="W1600" s="58"/>
      <c r="X1600" s="30">
        <f>IF(AF1600="DoEV",IF(AND(V1600&lt;20,W1600&lt;55),0.3,0)+IF(AND(V1600&lt;20,W1600&gt;=55,W1600&lt;105),0.23,0)+IF(AND(V1600&lt;20,W1600&gt;=105),0.17,0)+IF(AND(V1600&gt;=20,V1600&lt;40,W1600&lt;45),0.3,0)+IF(AND(V1600&gt;=20,V1600&lt;40,W1600&gt;=45,W1600&lt;95),0.23,0)+IF(AND(V1600&gt;=20,V1600&lt;40,W1600&gt;=95),0.17,0)+IF(AND(V1600&gt;=40,V1600&lt;75,W1600&lt;35),0.3,0)+IF(AND(V1600&gt;=40,V1600&lt;75,W1600&gt;=35,W1600&lt;75),0.23,0)+IF(AND(V1600&gt;=40,V1600&lt;75,W1600&gt;=75,W1600&lt;120),0.17,0)+IF(AND(V1600&gt;=40,V1600&lt;75,W1600&gt;=120),0.12,0)+IF(AND(V1600&gt;=75,V1600&lt;175,W1600&lt;35),0.3,0)+IF(AND(V1600&gt;=75,V1600&lt;=175,W1600&gt;=35,W1600&lt;65),0.23,0)+IF(AND(V1600&gt;=75,V1600&lt;=175,W1600&gt;=65,W1600&lt;110),0.17,0)+IF(AND(V1600&gt;=75,V1600&lt;=175,W1600&gt;=110),0.12,0)+IF(AND(V1600&gt;175,W1600&lt;25),0.3,0)+IF(AND(V1600&gt;175,W1600&gt;=25,W1600&lt;55),0.23,0)+IF(AND(V1600&gt;175,W1600&gt;=55,W1600&lt;95),0.17,0)+IF(AND(V1600&gt;175,W1600&gt;=95),0.12,0),
IF(AF1600="Fix15",0.15,
IF(AF1600="Fix5",0.05,
IF(AF1600="Fix18.75",0.1875,
IF(AF1600="Fix11.25",0.1125,
IF(AF1600="Fix10",0.1,
IF(AF1600="Fix9",0.09,
IF(AF1600="Fix12",0.12,
IF(AF1600="Fix19",0.19,
IF(AF1600="DoEV2017",IF(AND(W1600&lt;74),0.2,0)+IF(AND(W1600&gt;=74),0.17,0),
IF(AF1600="SF",IF(AND(V1600&lt;20,W1600&lt;89),0.3,0)+IF(AND(V1600&lt;20,W1600&gt;=89),0.25,0)+IF(AND(V1600&gt;=20,V1600&lt;40,W1600&lt;74),0.3,0)+IF(AND(V1600&gt;=20,V1600&lt;40,W1600&gt;=75),0.22,0)+IF(AND(V1600&gt;=40,V1600&lt;75,W1600&lt;75),0.26,0)+IF(AND(V1600&gt;=40,V1600&lt;75,W1600&gt;=75),0.22,0)+IF(V1600&gt;=75,0.22,0),
IF(AF1600="DoEVold",IF(AND(V1600&lt;40,W1600&lt;35),0.35,0)+IF(AND(V1600&lt;40,W1600&gt;=35,W1600&lt;75),0.25,0)+IF(AND(V1600&lt;40,W1600&gt;=75),0.17,0)+IF(AND(V1600&gt;=40,V1600&lt;75,W1600&lt;25),0.35,0)+IF(AND(V1600&gt;=40,V1600&lt;75,W1600&gt;=25,W1600&lt;65),0.25,0)+IF(AND(V1600&gt;=40,V1600&lt;75,W1600&gt;=65,W1600&lt;100),0.17,0)+IF(AND(V1600&gt;=40,V1600&lt;75,W1600&gt;=100),0.1,0)+IF(AND(V1600&gt;=75,W1600&lt;25),0.35,0)+IF(AND(V1600&gt;=75,W1600&gt;=25,W1600&lt;60),0.25,0)+IF(AND(V1600&gt;=75,W1600&gt;=60,W1600&lt;95),0.17,0)+IF(AND(V1600&gt;=75,W1600&gt;=95),0.1,0),
IF(AF1600="DoEVold15",IF(AND(V1600&lt;=40,W1600&lt;35),0.35,0)+IF(AND(V1600&lt;=40,W1600&gt;=35,W1600&lt;75),0.25,0)+IF(AND(V1600&lt;=40,W1600&gt;=75,W1600&lt;120),0.17,0)+IF(AND(V1600&lt;=40,W1600&gt;=120),0.15,0)+IF(AND(V1600&gt;40,V1600&lt;75,W1600&lt;25),0.35,0)+IF(AND(V1600&gt;=40,V1600&lt;75,W1600&gt;=25,W1600&lt;65),0.25,0)+IF(AND(V1600&gt;=40,V1600&lt;75,W1600&gt;=65,W1600&lt;100),0.17,0)+IF(AND(V1600&gt;=40,V1600&lt;75,W1600&gt;=100),0.1,0)+IF(AND(V1600&gt;=75,W1600&lt;25),0.35,0)+IF(AND(V1600&gt;=75,W1600&gt;=25,W1600&lt;60),0.25,0)+IF(AND(V1600&gt;=75,W1600&gt;=60,W1600&lt;95),0.17,0)+IF(AND(V1600&gt;=75,W1600&gt;=95),0.1,0),
IF(AF1600="DoEVba",IF(AND(V1600&lt;20,W1600&lt;105),0.2,0)+IF(AND(V1600&lt;20,W1600&gt;=105),0.15,0)+IF(AND(V1600&gt;=20,V1600&lt;40,W1600&lt;95),0.2,0)+IF(AND(V1600&gt;=20,V1600&lt;40,W1600&gt;=95,W1600&lt;150),0.15,0)+IF(AND(V1600&gt;=20,V1600&lt;40,W1600&gt;=150),0.12,0)+IF(AND(V1600&gt;=40,V1600&lt;75,W1600&lt;75),0.2,0)+IF(AND(V1600&gt;=40,V1600&lt;75,W1600&gt;=75,W1600&lt;120),0.15,0)+IF(AND(V1600&gt;=40,V1600&lt;75,W1600&gt;=120),0.12,0)+IF(AND(V1600&gt;=75,V1600&lt;175,W1600&lt;65),0.2,0)+IF(AND(V1600&gt;=75,V1600&lt;175,W1600&gt;=65,W1600&lt;110),0.15,0)+IF(AND(V1600&gt;=75,V1600&lt;175,W1600&gt;=110),0.12,0)+IF(AND(V1600&gt;=175,W1600&lt;55),0.2,0)+IF(AND(V1600&gt;=175,W1600&gt;=55,W1600&lt;95),0.15,0)+IF(AND(V1600&gt;=175,W1600&gt;=95),0.12,0),
IF(AF1600="DoEVku",IF(AND(V1600&lt;20,W1600&lt;55),0.23,0)+IF(AND(V1600&lt;20,W1600&gt;=55,W1600&lt;105),0.2,0)+IF(AND(V1600&lt;20,W1600&gt;=105),0.17,0)+IF(AND(V1600&gt;=20,V1600&lt;40,W1600&lt;45),0.23,0)+IF(AND(V1600&gt;=20,V1600&lt;40,W1600&gt;=45,W1600&lt;95),0.2,0)+IF(AND(V1600&gt;=20,V1600&lt;40,W1600&gt;=95,W1600&lt;=150),0.17,0)+IF(AND(V1600&gt;=20,V1600&lt;40,W1600&gt;=150),0.12,0)+IF(AND(V1600&gt;=40,V1600&lt;75,W1600&lt;35),0.23,0)+IF(AND(V1600&gt;=40,V1600&lt;75,W1600&gt;=35,W1600&lt;75),0.2,0)+IF(AND(V1600&gt;=40,V1600&lt;75,W1600&gt;=75,W1600&lt;120),0.17,0)+IF(AND(V1600&gt;=40,V1600&lt;75,W1600&gt;=120),0.12,0)+IF(AND(V1600&gt;=75,V1600&lt;175,W1600&lt;35),0.23,0)+IF(AND(V1600&gt;=75,V1600&lt;=175,W1600&gt;=35,W1600&lt;65),0.2,0)+IF(AND(V1600&gt;=75,V1600&lt;=175,W1600&gt;=65,W1600&lt;110),0.17,0)+IF(AND(V1600&gt;=75,V1600&lt;=175,W1600&gt;=110),0.12,0)+IF(AND(V1600&gt;175,W1600&lt;25),0.23,0)+IF(AND(V1600&gt;175,W1600&gt;=25,W1600&lt;55),0.2,0)+IF(AND(V1600&gt;175,W1600&gt;=55,W1600&lt;95),0.17,0)+IF(AND(V1600&gt;175,W1600&gt;=95),0.12,0),
IF(AF1600="DoEVs1",IF(AND(V1600&lt;20,W1600&lt;55),0.3,0)+IF(AND(V1600&lt;20,W1600&gt;=55,W1600&lt;105),0.23,0)+IF(AND(V1600&lt;20,W1600&gt;=105),0.17,0)+IF(AND(V1600&gt;=20,V1600&lt;40,W1600&lt;45),0.3,0)+IF(AND(V1600&gt;=20,V1600&lt;40,W1600&gt;=45,W1600&lt;95),0.23,0)+IF(AND(V1600&gt;=20,V1600&lt;40,W1600&gt;=95,W1600&lt;=150),0.17,0)+IF(AND(V1600&gt;=20,V1600&lt;40,W1600&gt;=150),0.12,0)+IF(AND(V1600&gt;=40,V1600&lt;75,W1600&lt;35),0.3,0)+IF(AND(V1600&gt;=40,V1600&lt;75,W1600&gt;=35,W1600&lt;75),0.23,0)+IF(AND(V1600&gt;=40,V1600&lt;75,W1600&gt;=75,W1600&lt;120),0.17,0)+IF(AND(V1600&gt;=40,V1600&lt;75,W1600&gt;=120),0.12,0)+IF(AND(V1600&gt;=75,V1600&lt;175,W1600&lt;35),0.3,0)+IF(AND(V1600&gt;=75,V1600&lt;=175,W1600&gt;=35,W1600&lt;65),0.23,0)+IF(AND(V1600&gt;=75,V1600&lt;=175,W1600&gt;=65,W1600&lt;110),0.17,0)+IF(AND(V1600&gt;=75,V1600&lt;=175,W1600&gt;=110),0.12,0)+IF(AND(V1600&gt;175,W1600&lt;25),0.3,0)+IF(AND(V1600&gt;175,W1600&gt;=25,W1600&lt;55),0.23,0)+IF(AND(V1600&gt;175,W1600&gt;=55,W1600&lt;95),0.17,0)+IF(AND(V1600&gt;175,W1600&gt;=95),0.12,0),
IF(AF1600="DoEVsu",IF(AND(V1600&lt;20,W1600&lt;55),0.3,0)+IF(AND(V1600&lt;20,W1600&gt;=55,W1600&lt;105),0.23,0)+IF(AND(V1600&lt;20,W1600&gt;=105),0.17,0)+IF(AND(V1600&gt;=20,V1600&lt;40,W1600&lt;45),0.3,0)+IF(AND(V1600&gt;=20,V1600&lt;40,W1600&gt;=45,W1600&lt;95),0.23,0)+IF(AND(V1600&gt;=20,V1600&lt;40,W1600&gt;=95,W1600&lt;=250),0.17,0)+IF(AND(V1600&gt;=20,V1600&lt;40,W1600&gt;=250),0.12,0)+IF(AND(V1600&gt;=40,V1600&lt;75,W1600&lt;35),0.3,0)+IF(AND(V1600&gt;=40,V1600&lt;75,W1600&gt;=35,W1600&lt;75),0.23,0)+IF(AND(V1600&gt;=40,V1600&lt;75,W1600&gt;=75,W1600&lt;120),0.17,0)+IF(AND(V1600&gt;=40,V1600&lt;75,W1600&gt;=120),0.12,0)+IF(AND(V1600&gt;=75,V1600&lt;175,W1600&lt;35),0.3,0)+IF(AND(V1600&gt;=75,V1600&lt;=175,W1600&gt;=35,W1600&lt;65),0.23,0)+IF(AND(V1600&gt;=75,V1600&lt;=175,W1600&gt;=65,W1600&lt;110),0.17,0)+IF(AND(V1600&gt;=75,V1600&lt;=175,W1600&gt;=110),0.12,0)+IF(AND(V1600&gt;175,W1600&lt;25),0.3,0)+IF(AND(V1600&gt;175,W1600&gt;=25,W1600&lt;55),0.23,0)+IF(AND(V1600&gt;175,W1600&gt;=55,W1600&lt;95),0.17,0)+IF(AND(V1600&gt;175,W1600&gt;=95),0.12,0),
IF(AF1600="DoEVni",IF(AND(V1600&lt;20,W1600&lt;55),0.3,0)+IF(AND(V1600&lt;20,W1600&gt;=55,W1600&lt;105),0.23,0)+IF(AND(V1600&lt;20,W1600&gt;=105),0.17,0)+IF(AND(V1600&gt;=20,V1600&lt;40,W1600&lt;45),0.3,0)+IF(AND(V1600&gt;=20,V1600&lt;40,W1600&gt;=45,W1600&lt;95),0.23,0)+IF(AND(V1600&gt;=20,V1600&lt;40,W1600&gt;=95,W1600&lt;=200),0.17,0)+IF(AND(V1600&gt;=20,V1600&lt;40,W1600&gt;=200),0.12,0)+IF(AND(V1600&gt;=40,V1600&lt;75,W1600&lt;35),0.3,0)+IF(AND(V1600&gt;=40,V1600&lt;75,W1600&gt;=35,W1600&lt;75),0.23,0)+IF(AND(V1600&gt;=40,V1600&lt;75,W1600&gt;=75,W1600&lt;120),0.17,0)+IF(AND(V1600&gt;=40,V1600&lt;75,W1600&gt;=120),0.12,0)+IF(AND(V1600&gt;=75,V1600&lt;175,W1600&lt;35),0.3,0)+IF(AND(V1600&gt;=75,V1600&lt;=175,W1600&gt;=35,W1600&lt;65),0.23,0)+IF(AND(V1600&gt;=75,V1600&lt;=175,W1600&gt;=65,W1600&lt;110),0.17,0)+IF(AND(V1600&gt;=75,V1600&lt;=175,W1600&gt;=110),0.12,0)+IF(AND(V1600&gt;175,W1600&lt;25),0.3,0)+IF(AND(V1600&gt;175,W1600&gt;=25,W1600&lt;55),0.23,0)+IF(AND(V1600&gt;175,W1600&gt;=55,W1600&lt;95),0.17,0)+IF(AND(V1600&gt;175,W1600&gt;=95),0.12,0),
IF(AF1600="DoEVLo",IF(AND(V1600&lt;20,W1600&lt;55),0.25,0)+IF(AND(V1600&lt;20,W1600&gt;=55,W1600&lt;105),0.2,0)+IF(AND(V1600&lt;20,W1600&gt;=105),0.15,0)+IF(AND(V1600&gt;=20,V1600&lt;40,W1600&lt;45),0.25,0)+IF(AND(V1600&gt;=20,V1600&lt;40,W1600&gt;=45,W1600&lt;95),0.2,0)+IF(AND(V1600&gt;=20,V1600&lt;40,W1600&gt;=95),0.15,0)+IF(AND(V1600&gt;=40,V1600&lt;75,W1600&lt;35),0.25,0)+IF(AND(V1600&gt;=40,V1600&lt;75,W1600&gt;=35,W1600&lt;75),0.2,0)+IF(AND(V1600&gt;=40,V1600&lt;75,W1600&gt;=75,W1600&lt;120),0.15,0)+IF(AND(V1600&gt;=40,V1600&lt;75,W1600&gt;=120),0.1,0)+IF(AND(V1600&gt;=75,V1600&lt;175,W1600&lt;35),0.25,0)+IF(AND(V1600&gt;=75,V1600&lt;=175,W1600&gt;=35,W1600&lt;65),0.2,0)+IF(AND(V1600&gt;=75,V1600&lt;=175,W1600&gt;=65,W1600&lt;110),0.15,0)+IF(AND(V1600&gt;=75,V1600&lt;=175,W1600&gt;=110),0.1,0)+IF(AND(V1600&gt;175,W1600&lt;25),0.25,0)+IF(AND(V1600&gt;175,W1600&gt;=25,W1600&lt;55),0.2,0)+IF(AND(V1600&gt;175,W1600&gt;=55,W1600&lt;95),0.15,0)+IF(AND(V1600&gt;175,W1600&gt;=95),0.1,0))))))))))))))))))))</f>
        <v>0.3</v>
      </c>
      <c r="Y1600" s="30">
        <f>IF(AG1600="None",0,IF(AG1600="Fix5",0.05, IF(AG1600="Fix6.25",0.0625,IF(AG1600="Fix3.75",0.0375, IF(AG1600="Fix11",0.11, IF(AG1600="Fix10",0.1,IF(AG1600="Fix3",0.03,0)))))))</f>
        <v>0</v>
      </c>
      <c r="Z1600" s="35">
        <f>IF(AND(AD1600="EUR", AE1600 = "USD"), T1600*U1600-AA1600-AB1600, T1600-AA1600-AB1600)</f>
        <v>0</v>
      </c>
      <c r="AA1600" s="29">
        <f>IF(AND(AD1600="EUR", F1600="Without EV deal", AE1600="USD"), (T1600*X1600)*U1600,
IF(AND(AD1600="EUR", F1600="Without EV deal", AE1600="EUR"), (T1600*X1600),
IF(AND(AD1600="EUR",AE1600="USD"), (T1600*X1600)*U1600,
T1600*X1600)))</f>
        <v>0</v>
      </c>
      <c r="AB1600" s="36">
        <f>IF(AND(AD1600="EUR", F1600="Without EV deal", AE1600="USD"), (T1600*Y1600)*U1600,
IF(AND(AD1600="EUR", F1600="Without EV deal", AE1600="EUR"), (T1600*Y1600),
IF(AND(AD1600="EUR",AE1600="USD"), (T1600*Y1600)*U1600,
T1600*Y1600)))</f>
        <v>0</v>
      </c>
      <c r="AC1600" s="37" t="b">
        <v>0</v>
      </c>
      <c r="AD1600" s="82" t="str">
        <f>IF(OR(H1600="€0.25 Flash",
H1600="€0.25(nitro) new",
H1600="€1",
H1600="€2",
H1600="€2 (bf 01.08)",
H1600="€5",
H1600="€5 (1M)",
H1600="€5 (bf 01.08)",
H1600="€5 (bf 05.05)",
H1600="€5 Nitro",
H1600="€5(wx) new",
H1600="€10",
H1600="€10 (1M)",
H1600="€10 (bf 01.08)",
H1600="€10 (bf 05.05)",
H1600="€10 (MP)",
H1600="€10 (old)",
H1600="€10 Nitro (bf 05.05)",
H1600="€10 Nitro (old)",
H1600="€10(wx) new",
H1600="€20",
H1600="€25",
H1600="€25 (bf 01.08)",
H1600="€25 (bf 05.05)",
H1600="€25 (MP)",
H1600="€25 (old)",
H1600="€25 Nitro",
H1600="€25 Nitro (bf 01.08)",
H1600="€25 Nitro (bf 05.05)",
H1600="€25(nitro) new",
H1600="€25(wx) new",
H1600="€50",
H1600="€50 (bf 01.08)",
H1600="€50 (bf 05.05)",
H1600="€50 (old)",
H1600="€50 Nitro",
H1600="€50 Nitro (bf 01.08)",
H1600="€50 Nitro (bf 05.05)",
H1600="€50(wx) new",
H1600="€100",
H1600="€100 (old)",
H1600="€100 Nitro",
H1600="€100 Nitro (old)",
H1600="€200",
H1600="€250",
H1600="€250 Nitro",
H1600="€500",
H1600="€500 Nitro"),"EUR", "USD")</f>
        <v>USD</v>
      </c>
      <c r="AE1600" s="83" t="s">
        <v>38</v>
      </c>
      <c r="AF1600" s="83" t="str">
        <f t="array" ref="AF1600">INDEX('Deal Info'!D:D, MATCH(A1600,'Deal Info'!A:A, 0))</f>
        <v>SF</v>
      </c>
      <c r="AG1600" s="84" t="str">
        <f t="array" ref="AG1600">INDEX('Deal Info'!G:G, MATCH(A1600,'Deal Info'!A:A, 0))</f>
        <v>None</v>
      </c>
    </row>
    <row r="1601" spans="1:33" ht="14.25" hidden="1" x14ac:dyDescent="0.2">
      <c r="A1601" s="18" t="str">
        <f t="array" ref="A1601">IF(G1601='Room Info'!$B$1, INDEX('Room Info'!$A$2:$A2446, MATCH(B1601,'Room Info'!$B$2:$B2446, 0)),IF(G1601='Room Info'!$C$1, INDEX('Room Info'!$A$2:$A2446, MATCH(B1601,'Room Info'!$C$2:$C2446, 0)),IF(G1601='Room Info'!$D$1, INDEX('Room Info'!$A$2:$A2446, MATCH(B1601,'Room Info'!$D$2:$D2446, 0)),IF(G1601='Room Info'!$E$1, INDEX('Room Info'!$A$2:$A2446, MATCH(B1601,'Room Info'!$E$2:$E2446, 0)),IF(G1601='Room Info'!$F$1, INDEX('Room Info'!$A$2:$A2446, MATCH(B1601,'Room Info'!$F$2:$F2446, 0)),IF(G1601='Room Info'!$H$1, INDEX('Room Info'!$A$2:$A2446, MATCH(B1601,'Room Info'!$H$2:$H2446, 0)),IF(G1601='Room Info'!$G$1, INDEX('Room Info'!$A$2:$A2446, MATCH(B1601,'Room Info'!$G$2:$G2446, 0)))))))))</f>
        <v>bbaltqq</v>
      </c>
      <c r="B1601" s="45" t="s">
        <v>89</v>
      </c>
      <c r="C1601" s="46">
        <v>44978</v>
      </c>
      <c r="D1601" s="46">
        <v>45005</v>
      </c>
      <c r="E1601" s="90">
        <v>44986</v>
      </c>
      <c r="F1601" s="48" t="s">
        <v>34</v>
      </c>
      <c r="G1601" s="65" t="s">
        <v>35</v>
      </c>
      <c r="H1601" s="91" t="s">
        <v>72</v>
      </c>
      <c r="I1601" s="100" t="s">
        <v>37</v>
      </c>
      <c r="J1601" s="39">
        <v>50</v>
      </c>
      <c r="K1601" s="51">
        <v>573</v>
      </c>
      <c r="L1601" s="52">
        <v>-1000</v>
      </c>
      <c r="M1601" s="53">
        <v>4600</v>
      </c>
      <c r="N1601" s="28">
        <f>K1601*J1601</f>
        <v>28650</v>
      </c>
      <c r="O1601" s="54">
        <v>21000</v>
      </c>
      <c r="P1601" s="29">
        <v>36.649214659999998</v>
      </c>
      <c r="Q1601" s="55"/>
      <c r="R1601" s="31">
        <f>M1601+Q1601*J1601*K1601*0.07</f>
        <v>4600</v>
      </c>
      <c r="S1601" s="56">
        <v>819</v>
      </c>
      <c r="T1601" s="32">
        <f>IF(AND(AD1601="EUR", F1601="Without EV deal"), R1601 + L1601,
IF(AND(AD1601="USD", F1601="Without EV deal"), R1601 + L1601,
IF(AND(AD1601="EUR", F1601="Steel Phoenix"), R1601 + S1601/U1601,
R1601 + S1601)))</f>
        <v>5419</v>
      </c>
      <c r="U1601" s="57">
        <v>1.071</v>
      </c>
      <c r="V1601" s="58"/>
      <c r="W1601" s="58"/>
      <c r="X1601" s="30">
        <f>IF(AF1601="DoEV",IF(AND(V1601&lt;20,W1601&lt;55),0.3,0)+IF(AND(V1601&lt;20,W1601&gt;=55,W1601&lt;105),0.23,0)+IF(AND(V1601&lt;20,W1601&gt;=105),0.17,0)+IF(AND(V1601&gt;=20,V1601&lt;40,W1601&lt;45),0.3,0)+IF(AND(V1601&gt;=20,V1601&lt;40,W1601&gt;=45,W1601&lt;95),0.23,0)+IF(AND(V1601&gt;=20,V1601&lt;40,W1601&gt;=95),0.17,0)+IF(AND(V1601&gt;=40,V1601&lt;75,W1601&lt;35),0.3,0)+IF(AND(V1601&gt;=40,V1601&lt;75,W1601&gt;=35,W1601&lt;75),0.23,0)+IF(AND(V1601&gt;=40,V1601&lt;75,W1601&gt;=75,W1601&lt;120),0.17,0)+IF(AND(V1601&gt;=40,V1601&lt;75,W1601&gt;=120),0.12,0)+IF(AND(V1601&gt;=75,V1601&lt;175,W1601&lt;35),0.3,0)+IF(AND(V1601&gt;=75,V1601&lt;=175,W1601&gt;=35,W1601&lt;65),0.23,0)+IF(AND(V1601&gt;=75,V1601&lt;=175,W1601&gt;=65,W1601&lt;110),0.17,0)+IF(AND(V1601&gt;=75,V1601&lt;=175,W1601&gt;=110),0.12,0)+IF(AND(V1601&gt;175,W1601&lt;25),0.3,0)+IF(AND(V1601&gt;175,W1601&gt;=25,W1601&lt;55),0.23,0)+IF(AND(V1601&gt;175,W1601&gt;=55,W1601&lt;95),0.17,0)+IF(AND(V1601&gt;175,W1601&gt;=95),0.12,0),
IF(AF1601="Fix15",0.15,
IF(AF1601="Fix5",0.05,
IF(AF1601="Fix18.75",0.1875,
IF(AF1601="Fix11.25",0.1125,
IF(AF1601="Fix10",0.1,
IF(AF1601="Fix9",0.09,
IF(AF1601="Fix12",0.12,
IF(AF1601="Fix19",0.19,
IF(AF1601="DoEV2017",IF(AND(W1601&lt;74),0.2,0)+IF(AND(W1601&gt;=74),0.17,0),
IF(AF1601="SF",IF(AND(V1601&lt;20,W1601&lt;89),0.3,0)+IF(AND(V1601&lt;20,W1601&gt;=89),0.25,0)+IF(AND(V1601&gt;=20,V1601&lt;40,W1601&lt;74),0.3,0)+IF(AND(V1601&gt;=20,V1601&lt;40,W1601&gt;=75),0.22,0)+IF(AND(V1601&gt;=40,V1601&lt;75,W1601&lt;75),0.26,0)+IF(AND(V1601&gt;=40,V1601&lt;75,W1601&gt;=75),0.22,0)+IF(V1601&gt;=75,0.22,0),
IF(AF1601="DoEVold",IF(AND(V1601&lt;40,W1601&lt;35),0.35,0)+IF(AND(V1601&lt;40,W1601&gt;=35,W1601&lt;75),0.25,0)+IF(AND(V1601&lt;40,W1601&gt;=75),0.17,0)+IF(AND(V1601&gt;=40,V1601&lt;75,W1601&lt;25),0.35,0)+IF(AND(V1601&gt;=40,V1601&lt;75,W1601&gt;=25,W1601&lt;65),0.25,0)+IF(AND(V1601&gt;=40,V1601&lt;75,W1601&gt;=65,W1601&lt;100),0.17,0)+IF(AND(V1601&gt;=40,V1601&lt;75,W1601&gt;=100),0.1,0)+IF(AND(V1601&gt;=75,W1601&lt;25),0.35,0)+IF(AND(V1601&gt;=75,W1601&gt;=25,W1601&lt;60),0.25,0)+IF(AND(V1601&gt;=75,W1601&gt;=60,W1601&lt;95),0.17,0)+IF(AND(V1601&gt;=75,W1601&gt;=95),0.1,0),
IF(AF1601="DoEVold15",IF(AND(V1601&lt;=40,W1601&lt;35),0.35,0)+IF(AND(V1601&lt;=40,W1601&gt;=35,W1601&lt;75),0.25,0)+IF(AND(V1601&lt;=40,W1601&gt;=75,W1601&lt;120),0.17,0)+IF(AND(V1601&lt;=40,W1601&gt;=120),0.15,0)+IF(AND(V1601&gt;40,V1601&lt;75,W1601&lt;25),0.35,0)+IF(AND(V1601&gt;=40,V1601&lt;75,W1601&gt;=25,W1601&lt;65),0.25,0)+IF(AND(V1601&gt;=40,V1601&lt;75,W1601&gt;=65,W1601&lt;100),0.17,0)+IF(AND(V1601&gt;=40,V1601&lt;75,W1601&gt;=100),0.1,0)+IF(AND(V1601&gt;=75,W1601&lt;25),0.35,0)+IF(AND(V1601&gt;=75,W1601&gt;=25,W1601&lt;60),0.25,0)+IF(AND(V1601&gt;=75,W1601&gt;=60,W1601&lt;95),0.17,0)+IF(AND(V1601&gt;=75,W1601&gt;=95),0.1,0),
IF(AF1601="DoEVba",IF(AND(V1601&lt;20,W1601&lt;105),0.2,0)+IF(AND(V1601&lt;20,W1601&gt;=105),0.15,0)+IF(AND(V1601&gt;=20,V1601&lt;40,W1601&lt;95),0.2,0)+IF(AND(V1601&gt;=20,V1601&lt;40,W1601&gt;=95,W1601&lt;150),0.15,0)+IF(AND(V1601&gt;=20,V1601&lt;40,W1601&gt;=150),0.12,0)+IF(AND(V1601&gt;=40,V1601&lt;75,W1601&lt;75),0.2,0)+IF(AND(V1601&gt;=40,V1601&lt;75,W1601&gt;=75,W1601&lt;120),0.15,0)+IF(AND(V1601&gt;=40,V1601&lt;75,W1601&gt;=120),0.12,0)+IF(AND(V1601&gt;=75,V1601&lt;175,W1601&lt;65),0.2,0)+IF(AND(V1601&gt;=75,V1601&lt;175,W1601&gt;=65,W1601&lt;110),0.15,0)+IF(AND(V1601&gt;=75,V1601&lt;175,W1601&gt;=110),0.12,0)+IF(AND(V1601&gt;=175,W1601&lt;55),0.2,0)+IF(AND(V1601&gt;=175,W1601&gt;=55,W1601&lt;95),0.15,0)+IF(AND(V1601&gt;=175,W1601&gt;=95),0.12,0),
IF(AF1601="DoEVku",IF(AND(V1601&lt;20,W1601&lt;55),0.23,0)+IF(AND(V1601&lt;20,W1601&gt;=55,W1601&lt;105),0.2,0)+IF(AND(V1601&lt;20,W1601&gt;=105),0.17,0)+IF(AND(V1601&gt;=20,V1601&lt;40,W1601&lt;45),0.23,0)+IF(AND(V1601&gt;=20,V1601&lt;40,W1601&gt;=45,W1601&lt;95),0.2,0)+IF(AND(V1601&gt;=20,V1601&lt;40,W1601&gt;=95,W1601&lt;=150),0.17,0)+IF(AND(V1601&gt;=20,V1601&lt;40,W1601&gt;=150),0.12,0)+IF(AND(V1601&gt;=40,V1601&lt;75,W1601&lt;35),0.23,0)+IF(AND(V1601&gt;=40,V1601&lt;75,W1601&gt;=35,W1601&lt;75),0.2,0)+IF(AND(V1601&gt;=40,V1601&lt;75,W1601&gt;=75,W1601&lt;120),0.17,0)+IF(AND(V1601&gt;=40,V1601&lt;75,W1601&gt;=120),0.12,0)+IF(AND(V1601&gt;=75,V1601&lt;175,W1601&lt;35),0.23,0)+IF(AND(V1601&gt;=75,V1601&lt;=175,W1601&gt;=35,W1601&lt;65),0.2,0)+IF(AND(V1601&gt;=75,V1601&lt;=175,W1601&gt;=65,W1601&lt;110),0.17,0)+IF(AND(V1601&gt;=75,V1601&lt;=175,W1601&gt;=110),0.12,0)+IF(AND(V1601&gt;175,W1601&lt;25),0.23,0)+IF(AND(V1601&gt;175,W1601&gt;=25,W1601&lt;55),0.2,0)+IF(AND(V1601&gt;175,W1601&gt;=55,W1601&lt;95),0.17,0)+IF(AND(V1601&gt;175,W1601&gt;=95),0.12,0),
IF(AF1601="DoEVs1",IF(AND(V1601&lt;20,W1601&lt;55),0.3,0)+IF(AND(V1601&lt;20,W1601&gt;=55,W1601&lt;105),0.23,0)+IF(AND(V1601&lt;20,W1601&gt;=105),0.17,0)+IF(AND(V1601&gt;=20,V1601&lt;40,W1601&lt;45),0.3,0)+IF(AND(V1601&gt;=20,V1601&lt;40,W1601&gt;=45,W1601&lt;95),0.23,0)+IF(AND(V1601&gt;=20,V1601&lt;40,W1601&gt;=95,W1601&lt;=150),0.17,0)+IF(AND(V1601&gt;=20,V1601&lt;40,W1601&gt;=150),0.12,0)+IF(AND(V1601&gt;=40,V1601&lt;75,W1601&lt;35),0.3,0)+IF(AND(V1601&gt;=40,V1601&lt;75,W1601&gt;=35,W1601&lt;75),0.23,0)+IF(AND(V1601&gt;=40,V1601&lt;75,W1601&gt;=75,W1601&lt;120),0.17,0)+IF(AND(V1601&gt;=40,V1601&lt;75,W1601&gt;=120),0.12,0)+IF(AND(V1601&gt;=75,V1601&lt;175,W1601&lt;35),0.3,0)+IF(AND(V1601&gt;=75,V1601&lt;=175,W1601&gt;=35,W1601&lt;65),0.23,0)+IF(AND(V1601&gt;=75,V1601&lt;=175,W1601&gt;=65,W1601&lt;110),0.17,0)+IF(AND(V1601&gt;=75,V1601&lt;=175,W1601&gt;=110),0.12,0)+IF(AND(V1601&gt;175,W1601&lt;25),0.3,0)+IF(AND(V1601&gt;175,W1601&gt;=25,W1601&lt;55),0.23,0)+IF(AND(V1601&gt;175,W1601&gt;=55,W1601&lt;95),0.17,0)+IF(AND(V1601&gt;175,W1601&gt;=95),0.12,0),
IF(AF1601="DoEVsu",IF(AND(V1601&lt;20,W1601&lt;55),0.3,0)+IF(AND(V1601&lt;20,W1601&gt;=55,W1601&lt;105),0.23,0)+IF(AND(V1601&lt;20,W1601&gt;=105),0.17,0)+IF(AND(V1601&gt;=20,V1601&lt;40,W1601&lt;45),0.3,0)+IF(AND(V1601&gt;=20,V1601&lt;40,W1601&gt;=45,W1601&lt;95),0.23,0)+IF(AND(V1601&gt;=20,V1601&lt;40,W1601&gt;=95,W1601&lt;=250),0.17,0)+IF(AND(V1601&gt;=20,V1601&lt;40,W1601&gt;=250),0.12,0)+IF(AND(V1601&gt;=40,V1601&lt;75,W1601&lt;35),0.3,0)+IF(AND(V1601&gt;=40,V1601&lt;75,W1601&gt;=35,W1601&lt;75),0.23,0)+IF(AND(V1601&gt;=40,V1601&lt;75,W1601&gt;=75,W1601&lt;120),0.17,0)+IF(AND(V1601&gt;=40,V1601&lt;75,W1601&gt;=120),0.12,0)+IF(AND(V1601&gt;=75,V1601&lt;175,W1601&lt;35),0.3,0)+IF(AND(V1601&gt;=75,V1601&lt;=175,W1601&gt;=35,W1601&lt;65),0.23,0)+IF(AND(V1601&gt;=75,V1601&lt;=175,W1601&gt;=65,W1601&lt;110),0.17,0)+IF(AND(V1601&gt;=75,V1601&lt;=175,W1601&gt;=110),0.12,0)+IF(AND(V1601&gt;175,W1601&lt;25),0.3,0)+IF(AND(V1601&gt;175,W1601&gt;=25,W1601&lt;55),0.23,0)+IF(AND(V1601&gt;175,W1601&gt;=55,W1601&lt;95),0.17,0)+IF(AND(V1601&gt;175,W1601&gt;=95),0.12,0),
IF(AF1601="DoEVni",IF(AND(V1601&lt;20,W1601&lt;55),0.3,0)+IF(AND(V1601&lt;20,W1601&gt;=55,W1601&lt;105),0.23,0)+IF(AND(V1601&lt;20,W1601&gt;=105),0.17,0)+IF(AND(V1601&gt;=20,V1601&lt;40,W1601&lt;45),0.3,0)+IF(AND(V1601&gt;=20,V1601&lt;40,W1601&gt;=45,W1601&lt;95),0.23,0)+IF(AND(V1601&gt;=20,V1601&lt;40,W1601&gt;=95,W1601&lt;=200),0.17,0)+IF(AND(V1601&gt;=20,V1601&lt;40,W1601&gt;=200),0.12,0)+IF(AND(V1601&gt;=40,V1601&lt;75,W1601&lt;35),0.3,0)+IF(AND(V1601&gt;=40,V1601&lt;75,W1601&gt;=35,W1601&lt;75),0.23,0)+IF(AND(V1601&gt;=40,V1601&lt;75,W1601&gt;=75,W1601&lt;120),0.17,0)+IF(AND(V1601&gt;=40,V1601&lt;75,W1601&gt;=120),0.12,0)+IF(AND(V1601&gt;=75,V1601&lt;175,W1601&lt;35),0.3,0)+IF(AND(V1601&gt;=75,V1601&lt;=175,W1601&gt;=35,W1601&lt;65),0.23,0)+IF(AND(V1601&gt;=75,V1601&lt;=175,W1601&gt;=65,W1601&lt;110),0.17,0)+IF(AND(V1601&gt;=75,V1601&lt;=175,W1601&gt;=110),0.12,0)+IF(AND(V1601&gt;175,W1601&lt;25),0.3,0)+IF(AND(V1601&gt;175,W1601&gt;=25,W1601&lt;55),0.23,0)+IF(AND(V1601&gt;175,W1601&gt;=55,W1601&lt;95),0.17,0)+IF(AND(V1601&gt;175,W1601&gt;=95),0.12,0),
IF(AF1601="DoEVLo",IF(AND(V1601&lt;20,W1601&lt;55),0.25,0)+IF(AND(V1601&lt;20,W1601&gt;=55,W1601&lt;105),0.2,0)+IF(AND(V1601&lt;20,W1601&gt;=105),0.15,0)+IF(AND(V1601&gt;=20,V1601&lt;40,W1601&lt;45),0.25,0)+IF(AND(V1601&gt;=20,V1601&lt;40,W1601&gt;=45,W1601&lt;95),0.2,0)+IF(AND(V1601&gt;=20,V1601&lt;40,W1601&gt;=95),0.15,0)+IF(AND(V1601&gt;=40,V1601&lt;75,W1601&lt;35),0.25,0)+IF(AND(V1601&gt;=40,V1601&lt;75,W1601&gt;=35,W1601&lt;75),0.2,0)+IF(AND(V1601&gt;=40,V1601&lt;75,W1601&gt;=75,W1601&lt;120),0.15,0)+IF(AND(V1601&gt;=40,V1601&lt;75,W1601&gt;=120),0.1,0)+IF(AND(V1601&gt;=75,V1601&lt;175,W1601&lt;35),0.25,0)+IF(AND(V1601&gt;=75,V1601&lt;=175,W1601&gt;=35,W1601&lt;65),0.2,0)+IF(AND(V1601&gt;=75,V1601&lt;=175,W1601&gt;=65,W1601&lt;110),0.15,0)+IF(AND(V1601&gt;=75,V1601&lt;=175,W1601&gt;=110),0.1,0)+IF(AND(V1601&gt;175,W1601&lt;25),0.25,0)+IF(AND(V1601&gt;175,W1601&gt;=25,W1601&lt;55),0.2,0)+IF(AND(V1601&gt;175,W1601&gt;=55,W1601&lt;95),0.15,0)+IF(AND(V1601&gt;175,W1601&gt;=95),0.1,0))))))))))))))))))))</f>
        <v>0.3</v>
      </c>
      <c r="Y1601" s="30">
        <f>IF(AG1601="None",0,IF(AG1601="Fix5",0.05, IF(AG1601="Fix6.25",0.0625,IF(AG1601="Fix3.75",0.0375, IF(AG1601="Fix11",0.11, IF(AG1601="Fix10",0.1,IF(AG1601="Fix3",0.03,0)))))))</f>
        <v>0</v>
      </c>
      <c r="Z1601" s="35">
        <f>IF(AND(AD1601="EUR", AE1601 = "USD"), T1601*U1601-AA1601-AB1601, T1601-AA1601-AB1601)</f>
        <v>3793.3</v>
      </c>
      <c r="AA1601" s="29">
        <f>IF(AND(AD1601="EUR", F1601="Without EV deal", AE1601="USD"), (T1601*X1601)*U1601,
IF(AND(AD1601="EUR", F1601="Without EV deal", AE1601="EUR"), (T1601*X1601),
IF(AND(AD1601="EUR",AE1601="USD"), (T1601*X1601)*U1601,
T1601*X1601)))</f>
        <v>1625.7</v>
      </c>
      <c r="AB1601" s="36">
        <f>IF(AND(AD1601="EUR", F1601="Without EV deal", AE1601="USD"), (T1601*Y1601)*U1601,
IF(AND(AD1601="EUR", F1601="Without EV deal", AE1601="EUR"), (T1601*Y1601),
IF(AND(AD1601="EUR",AE1601="USD"), (T1601*Y1601)*U1601,
T1601*Y1601)))</f>
        <v>0</v>
      </c>
      <c r="AC1601" s="37" t="b">
        <v>0</v>
      </c>
      <c r="AD1601" s="82" t="str">
        <f>IF(OR(H1601="€0.25 Flash",
H1601="€0.25(nitro) new",
H1601="€1",
H1601="€2",
H1601="€2 (bf 01.08)",
H1601="€5",
H1601="€5 (1M)",
H1601="€5 (bf 01.08)",
H1601="€5 (bf 05.05)",
H1601="€5 Nitro",
H1601="€5(wx) new",
H1601="€10",
H1601="€10 (1M)",
H1601="€10 (bf 01.08)",
H1601="€10 (bf 05.05)",
H1601="€10 (MP)",
H1601="€10 (old)",
H1601="€10 Nitro (bf 05.05)",
H1601="€10 Nitro (old)",
H1601="€10(wx) new",
H1601="€20",
H1601="€25",
H1601="€25 (bf 01.08)",
H1601="€25 (bf 05.05)",
H1601="€25 (MP)",
H1601="€25 (old)",
H1601="€25 Nitro",
H1601="€25 Nitro (bf 01.08)",
H1601="€25 Nitro (bf 05.05)",
H1601="€25(nitro) new",
H1601="€25(wx) new",
H1601="€50",
H1601="€50 (bf 01.08)",
H1601="€50 (bf 05.05)",
H1601="€50 (old)",
H1601="€50 Nitro",
H1601="€50 Nitro (bf 01.08)",
H1601="€50 Nitro (bf 05.05)",
H1601="€50(wx) new",
H1601="€100",
H1601="€100 (old)",
H1601="€100 Nitro",
H1601="€100 Nitro (old)",
H1601="€200",
H1601="€250",
H1601="€250 Nitro",
H1601="€500",
H1601="€500 Nitro"),"EUR", "USD")</f>
        <v>USD</v>
      </c>
      <c r="AE1601" s="83" t="s">
        <v>38</v>
      </c>
      <c r="AF1601" s="83" t="str">
        <f t="array" ref="AF1601">INDEX('Deal Info'!D:D, MATCH(A1601,'Deal Info'!A:A, 0))</f>
        <v>SF</v>
      </c>
      <c r="AG1601" s="84" t="str">
        <f t="array" ref="AG1601">INDEX('Deal Info'!G:G, MATCH(A1601,'Deal Info'!A:A, 0))</f>
        <v>None</v>
      </c>
    </row>
    <row r="1602" spans="1:33" ht="14.25" x14ac:dyDescent="0.2">
      <c r="A1602" s="18" t="str">
        <f t="array" ref="A1602">IF(G1602='Room Info'!$B$1, INDEX('Room Info'!$A$2:$A2446, MATCH(B1602,'Room Info'!$B$2:$B2446, 0)),IF(G1602='Room Info'!$C$1, INDEX('Room Info'!$A$2:$A2446, MATCH(B1602,'Room Info'!$C$2:$C2446, 0)),IF(G1602='Room Info'!$D$1, INDEX('Room Info'!$A$2:$A2446, MATCH(B1602,'Room Info'!$D$2:$D2446, 0)),IF(G1602='Room Info'!$E$1, INDEX('Room Info'!$A$2:$A2446, MATCH(B1602,'Room Info'!$E$2:$E2446, 0)),IF(G1602='Room Info'!$F$1, INDEX('Room Info'!$A$2:$A2446, MATCH(B1602,'Room Info'!$F$2:$F2446, 0)),IF(G1602='Room Info'!$H$1, INDEX('Room Info'!$A$2:$A2446, MATCH(B1602,'Room Info'!$H$2:$H2446, 0)),IF(G1602='Room Info'!$G$1, INDEX('Room Info'!$A$2:$A2446, MATCH(B1602,'Room Info'!$G$2:$G2446, 0)))))))))</f>
        <v>Immelstoran</v>
      </c>
      <c r="B1602" s="45" t="s">
        <v>137</v>
      </c>
      <c r="C1602" s="46">
        <v>44963</v>
      </c>
      <c r="D1602" s="46">
        <v>45005</v>
      </c>
      <c r="E1602" s="90">
        <v>44986</v>
      </c>
      <c r="F1602" s="48" t="s">
        <v>34</v>
      </c>
      <c r="G1602" s="45" t="s">
        <v>61</v>
      </c>
      <c r="H1602" s="81" t="s">
        <v>136</v>
      </c>
      <c r="I1602" s="100" t="s">
        <v>101</v>
      </c>
      <c r="J1602" s="154">
        <v>25</v>
      </c>
      <c r="K1602" s="134">
        <v>2203</v>
      </c>
      <c r="L1602" s="135">
        <v>3525</v>
      </c>
      <c r="M1602" s="53">
        <f>2390-150+117.21-2000+617</f>
        <v>974.21</v>
      </c>
      <c r="N1602" s="28">
        <f>K1602*J1602</f>
        <v>55075</v>
      </c>
      <c r="O1602" s="129">
        <v>106076</v>
      </c>
      <c r="P1602" s="29">
        <v>48.150703589999999</v>
      </c>
      <c r="Q1602" s="55"/>
      <c r="R1602" s="31">
        <f>M1602+Q1602*J1602*K1602*0.07</f>
        <v>974.21</v>
      </c>
      <c r="S1602" s="132">
        <f>1090</f>
        <v>1090</v>
      </c>
      <c r="T1602" s="32">
        <f>IF(AND(AD1602="EUR", F1602="Without EV deal"), R1602 + L1602,
IF(AND(AD1602="USD", F1602="Without EV deal"), R1602 + L1602,
IF(AND(AD1602="EUR", F1602="Steel Phoenix"), R1602 + S1602/U1602,
R1602 + S1602)))</f>
        <v>1991.9504295051356</v>
      </c>
      <c r="U1602" s="57">
        <v>1.071</v>
      </c>
      <c r="V1602" s="58">
        <v>25</v>
      </c>
      <c r="W1602" s="58">
        <v>79.67801718020543</v>
      </c>
      <c r="X1602" s="78">
        <f>IF(AF1602="DoEV",IF(AND(V1602&lt;20,W1602&lt;55),0.3,0)+IF(AND(V1602&lt;20,W1602&gt;=55,W1602&lt;105),0.23,0)+IF(AND(V1602&lt;20,W1602&gt;=105),0.17,0)+IF(AND(V1602&gt;=20,V1602&lt;40,W1602&lt;45),0.3,0)+IF(AND(V1602&gt;=20,V1602&lt;40,W1602&gt;=45,W1602&lt;95),0.23,0)+IF(AND(V1602&gt;=20,V1602&lt;40,W1602&gt;=95),0.17,0)+IF(AND(V1602&gt;=40,V1602&lt;75,W1602&lt;35),0.3,0)+IF(AND(V1602&gt;=40,V1602&lt;75,W1602&gt;=35,W1602&lt;75),0.23,0)+IF(AND(V1602&gt;=40,V1602&lt;75,W1602&gt;=75,W1602&lt;120),0.17,0)+IF(AND(V1602&gt;=40,V1602&lt;75,W1602&gt;=120),0.12,0)+IF(AND(V1602&gt;=75,V1602&lt;175,W1602&lt;35),0.3,0)+IF(AND(V1602&gt;=75,V1602&lt;=175,W1602&gt;=35,W1602&lt;65),0.23,0)+IF(AND(V1602&gt;=75,V1602&lt;=175,W1602&gt;=65,W1602&lt;110),0.17,0)+IF(AND(V1602&gt;=75,V1602&lt;=175,W1602&gt;=110),0.12,0)+IF(AND(V1602&gt;175,W1602&lt;25),0.3,0)+IF(AND(V1602&gt;175,W1602&gt;=25,W1602&lt;55),0.23,0)+IF(AND(V1602&gt;175,W1602&gt;=55,W1602&lt;95),0.17,0)+IF(AND(V1602&gt;175,W1602&gt;=95),0.12,0),
IF(AF1602="Fix15",0.15,
IF(AF1602="Fix5",0.05,
IF(AF1602="Fix18.75",0.1875,
IF(AF1602="Fix11.25",0.1125,
IF(AF1602="Fix10",0.1,
IF(AF1602="Fix9",0.09,
IF(AF1602="Fix12",0.12,
IF(AF1602="Fix19",0.19,
IF(AF1602="DoEV2017",IF(AND(W1602&lt;74),0.2,0)+IF(AND(W1602&gt;=74),0.17,0),
IF(AF1602="SF",IF(AND(V1602&lt;20,W1602&lt;89),0.3,0)+IF(AND(V1602&lt;20,W1602&gt;=89),0.25,0)+IF(AND(V1602&gt;=20,V1602&lt;40,W1602&lt;74),0.3,0)+IF(AND(V1602&gt;=20,V1602&lt;40,W1602&gt;=75),0.22,0)+IF(AND(V1602&gt;=40,V1602&lt;75,W1602&lt;75),0.26,0)+IF(AND(V1602&gt;=40,V1602&lt;75,W1602&gt;=75),0.22,0)+IF(V1602&gt;=75,0.22,0),
IF(AF1602="DoEVold",IF(AND(V1602&lt;40,W1602&lt;35),0.35,0)+IF(AND(V1602&lt;40,W1602&gt;=35,W1602&lt;75),0.25,0)+IF(AND(V1602&lt;40,W1602&gt;=75),0.17,0)+IF(AND(V1602&gt;=40,V1602&lt;75,W1602&lt;25),0.35,0)+IF(AND(V1602&gt;=40,V1602&lt;75,W1602&gt;=25,W1602&lt;65),0.25,0)+IF(AND(V1602&gt;=40,V1602&lt;75,W1602&gt;=65,W1602&lt;100),0.17,0)+IF(AND(V1602&gt;=40,V1602&lt;75,W1602&gt;=100),0.1,0)+IF(AND(V1602&gt;=75,W1602&lt;25),0.35,0)+IF(AND(V1602&gt;=75,W1602&gt;=25,W1602&lt;60),0.25,0)+IF(AND(V1602&gt;=75,W1602&gt;=60,W1602&lt;95),0.17,0)+IF(AND(V1602&gt;=75,W1602&gt;=95),0.1,0),
IF(AF1602="DoEVold15",IF(AND(V1602&lt;=40,W1602&lt;35),0.35,0)+IF(AND(V1602&lt;=40,W1602&gt;=35,W1602&lt;75),0.25,0)+IF(AND(V1602&lt;=40,W1602&gt;=75,W1602&lt;120),0.17,0)+IF(AND(V1602&lt;=40,W1602&gt;=120),0.15,0)+IF(AND(V1602&gt;40,V1602&lt;75,W1602&lt;25),0.35,0)+IF(AND(V1602&gt;=40,V1602&lt;75,W1602&gt;=25,W1602&lt;65),0.25,0)+IF(AND(V1602&gt;=40,V1602&lt;75,W1602&gt;=65,W1602&lt;100),0.17,0)+IF(AND(V1602&gt;=40,V1602&lt;75,W1602&gt;=100),0.1,0)+IF(AND(V1602&gt;=75,W1602&lt;25),0.35,0)+IF(AND(V1602&gt;=75,W1602&gt;=25,W1602&lt;60),0.25,0)+IF(AND(V1602&gt;=75,W1602&gt;=60,W1602&lt;95),0.17,0)+IF(AND(V1602&gt;=75,W1602&gt;=95),0.1,0),
IF(AF1602="DoEVba",IF(AND(V1602&lt;20,W1602&lt;105),0.2,0)+IF(AND(V1602&lt;20,W1602&gt;=105),0.15,0)+IF(AND(V1602&gt;=20,V1602&lt;40,W1602&lt;95),0.2,0)+IF(AND(V1602&gt;=20,V1602&lt;40,W1602&gt;=95,W1602&lt;150),0.15,0)+IF(AND(V1602&gt;=20,V1602&lt;40,W1602&gt;=150),0.12,0)+IF(AND(V1602&gt;=40,V1602&lt;75,W1602&lt;75),0.2,0)+IF(AND(V1602&gt;=40,V1602&lt;75,W1602&gt;=75,W1602&lt;120),0.15,0)+IF(AND(V1602&gt;=40,V1602&lt;75,W1602&gt;=120),0.12,0)+IF(AND(V1602&gt;=75,V1602&lt;175,W1602&lt;65),0.2,0)+IF(AND(V1602&gt;=75,V1602&lt;175,W1602&gt;=65,W1602&lt;110),0.15,0)+IF(AND(V1602&gt;=75,V1602&lt;175,W1602&gt;=110),0.12,0)+IF(AND(V1602&gt;=175,W1602&lt;55),0.2,0)+IF(AND(V1602&gt;=175,W1602&gt;=55,W1602&lt;95),0.15,0)+IF(AND(V1602&gt;=175,W1602&gt;=95),0.12,0),
IF(AF1602="DoEVku",IF(AND(V1602&lt;20,W1602&lt;55),0.23,0)+IF(AND(V1602&lt;20,W1602&gt;=55,W1602&lt;105),0.2,0)+IF(AND(V1602&lt;20,W1602&gt;=105),0.17,0)+IF(AND(V1602&gt;=20,V1602&lt;40,W1602&lt;45),0.23,0)+IF(AND(V1602&gt;=20,V1602&lt;40,W1602&gt;=45,W1602&lt;95),0.2,0)+IF(AND(V1602&gt;=20,V1602&lt;40,W1602&gt;=95,W1602&lt;=150),0.17,0)+IF(AND(V1602&gt;=20,V1602&lt;40,W1602&gt;=150),0.12,0)+IF(AND(V1602&gt;=40,V1602&lt;75,W1602&lt;35),0.23,0)+IF(AND(V1602&gt;=40,V1602&lt;75,W1602&gt;=35,W1602&lt;75),0.2,0)+IF(AND(V1602&gt;=40,V1602&lt;75,W1602&gt;=75,W1602&lt;120),0.17,0)+IF(AND(V1602&gt;=40,V1602&lt;75,W1602&gt;=120),0.12,0)+IF(AND(V1602&gt;=75,V1602&lt;175,W1602&lt;35),0.23,0)+IF(AND(V1602&gt;=75,V1602&lt;=175,W1602&gt;=35,W1602&lt;65),0.2,0)+IF(AND(V1602&gt;=75,V1602&lt;=175,W1602&gt;=65,W1602&lt;110),0.17,0)+IF(AND(V1602&gt;=75,V1602&lt;=175,W1602&gt;=110),0.12,0)+IF(AND(V1602&gt;175,W1602&lt;25),0.23,0)+IF(AND(V1602&gt;175,W1602&gt;=25,W1602&lt;55),0.2,0)+IF(AND(V1602&gt;175,W1602&gt;=55,W1602&lt;95),0.17,0)+IF(AND(V1602&gt;175,W1602&gt;=95),0.12,0),
IF(AF1602="DoEVs1",IF(AND(V1602&lt;20,W1602&lt;55),0.3,0)+IF(AND(V1602&lt;20,W1602&gt;=55,W1602&lt;105),0.23,0)+IF(AND(V1602&lt;20,W1602&gt;=105),0.17,0)+IF(AND(V1602&gt;=20,V1602&lt;40,W1602&lt;45),0.3,0)+IF(AND(V1602&gt;=20,V1602&lt;40,W1602&gt;=45,W1602&lt;95),0.23,0)+IF(AND(V1602&gt;=20,V1602&lt;40,W1602&gt;=95,W1602&lt;=150),0.17,0)+IF(AND(V1602&gt;=20,V1602&lt;40,W1602&gt;=150),0.12,0)+IF(AND(V1602&gt;=40,V1602&lt;75,W1602&lt;35),0.3,0)+IF(AND(V1602&gt;=40,V1602&lt;75,W1602&gt;=35,W1602&lt;75),0.23,0)+IF(AND(V1602&gt;=40,V1602&lt;75,W1602&gt;=75,W1602&lt;120),0.17,0)+IF(AND(V1602&gt;=40,V1602&lt;75,W1602&gt;=120),0.12,0)+IF(AND(V1602&gt;=75,V1602&lt;175,W1602&lt;35),0.3,0)+IF(AND(V1602&gt;=75,V1602&lt;=175,W1602&gt;=35,W1602&lt;65),0.23,0)+IF(AND(V1602&gt;=75,V1602&lt;=175,W1602&gt;=65,W1602&lt;110),0.17,0)+IF(AND(V1602&gt;=75,V1602&lt;=175,W1602&gt;=110),0.12,0)+IF(AND(V1602&gt;175,W1602&lt;25),0.3,0)+IF(AND(V1602&gt;175,W1602&gt;=25,W1602&lt;55),0.23,0)+IF(AND(V1602&gt;175,W1602&gt;=55,W1602&lt;95),0.17,0)+IF(AND(V1602&gt;175,W1602&gt;=95),0.12,0),
IF(AF1602="DoEVsu",IF(AND(V1602&lt;20,W1602&lt;55),0.3,0)+IF(AND(V1602&lt;20,W1602&gt;=55,W1602&lt;105),0.23,0)+IF(AND(V1602&lt;20,W1602&gt;=105),0.17,0)+IF(AND(V1602&gt;=20,V1602&lt;40,W1602&lt;45),0.3,0)+IF(AND(V1602&gt;=20,V1602&lt;40,W1602&gt;=45,W1602&lt;95),0.23,0)+IF(AND(V1602&gt;=20,V1602&lt;40,W1602&gt;=95,W1602&lt;=250),0.17,0)+IF(AND(V1602&gt;=20,V1602&lt;40,W1602&gt;=250),0.12,0)+IF(AND(V1602&gt;=40,V1602&lt;75,W1602&lt;35),0.3,0)+IF(AND(V1602&gt;=40,V1602&lt;75,W1602&gt;=35,W1602&lt;75),0.23,0)+IF(AND(V1602&gt;=40,V1602&lt;75,W1602&gt;=75,W1602&lt;120),0.17,0)+IF(AND(V1602&gt;=40,V1602&lt;75,W1602&gt;=120),0.12,0)+IF(AND(V1602&gt;=75,V1602&lt;175,W1602&lt;35),0.3,0)+IF(AND(V1602&gt;=75,V1602&lt;=175,W1602&gt;=35,W1602&lt;65),0.23,0)+IF(AND(V1602&gt;=75,V1602&lt;=175,W1602&gt;=65,W1602&lt;110),0.17,0)+IF(AND(V1602&gt;=75,V1602&lt;=175,W1602&gt;=110),0.12,0)+IF(AND(V1602&gt;175,W1602&lt;25),0.3,0)+IF(AND(V1602&gt;175,W1602&gt;=25,W1602&lt;55),0.23,0)+IF(AND(V1602&gt;175,W1602&gt;=55,W1602&lt;95),0.17,0)+IF(AND(V1602&gt;175,W1602&gt;=95),0.12,0),
IF(AF1602="DoEVni",IF(AND(V1602&lt;20,W1602&lt;55),0.3,0)+IF(AND(V1602&lt;20,W1602&gt;=55,W1602&lt;105),0.23,0)+IF(AND(V1602&lt;20,W1602&gt;=105),0.17,0)+IF(AND(V1602&gt;=20,V1602&lt;40,W1602&lt;45),0.3,0)+IF(AND(V1602&gt;=20,V1602&lt;40,W1602&gt;=45,W1602&lt;95),0.23,0)+IF(AND(V1602&gt;=20,V1602&lt;40,W1602&gt;=95,W1602&lt;=200),0.17,0)+IF(AND(V1602&gt;=20,V1602&lt;40,W1602&gt;=200),0.12,0)+IF(AND(V1602&gt;=40,V1602&lt;75,W1602&lt;35),0.3,0)+IF(AND(V1602&gt;=40,V1602&lt;75,W1602&gt;=35,W1602&lt;75),0.23,0)+IF(AND(V1602&gt;=40,V1602&lt;75,W1602&gt;=75,W1602&lt;120),0.17,0)+IF(AND(V1602&gt;=40,V1602&lt;75,W1602&gt;=120),0.12,0)+IF(AND(V1602&gt;=75,V1602&lt;175,W1602&lt;35),0.3,0)+IF(AND(V1602&gt;=75,V1602&lt;=175,W1602&gt;=35,W1602&lt;65),0.23,0)+IF(AND(V1602&gt;=75,V1602&lt;=175,W1602&gt;=65,W1602&lt;110),0.17,0)+IF(AND(V1602&gt;=75,V1602&lt;=175,W1602&gt;=110),0.12,0)+IF(AND(V1602&gt;175,W1602&lt;25),0.3,0)+IF(AND(V1602&gt;175,W1602&gt;=25,W1602&lt;55),0.23,0)+IF(AND(V1602&gt;175,W1602&gt;=55,W1602&lt;95),0.17,0)+IF(AND(V1602&gt;175,W1602&gt;=95),0.12,0),
IF(AF1602="DoEVLo",IF(AND(V1602&lt;20,W1602&lt;55),0.25,0)+IF(AND(V1602&lt;20,W1602&gt;=55,W1602&lt;105),0.2,0)+IF(AND(V1602&lt;20,W1602&gt;=105),0.15,0)+IF(AND(V1602&gt;=20,V1602&lt;40,W1602&lt;45),0.25,0)+IF(AND(V1602&gt;=20,V1602&lt;40,W1602&gt;=45,W1602&lt;95),0.2,0)+IF(AND(V1602&gt;=20,V1602&lt;40,W1602&gt;=95),0.15,0)+IF(AND(V1602&gt;=40,V1602&lt;75,W1602&lt;35),0.25,0)+IF(AND(V1602&gt;=40,V1602&lt;75,W1602&gt;=35,W1602&lt;75),0.2,0)+IF(AND(V1602&gt;=40,V1602&lt;75,W1602&gt;=75,W1602&lt;120),0.15,0)+IF(AND(V1602&gt;=40,V1602&lt;75,W1602&gt;=120),0.1,0)+IF(AND(V1602&gt;=75,V1602&lt;175,W1602&lt;35),0.25,0)+IF(AND(V1602&gt;=75,V1602&lt;=175,W1602&gt;=35,W1602&lt;65),0.2,0)+IF(AND(V1602&gt;=75,V1602&lt;=175,W1602&gt;=65,W1602&lt;110),0.15,0)+IF(AND(V1602&gt;=75,V1602&lt;=175,W1602&gt;=110),0.1,0)+IF(AND(V1602&gt;175,W1602&lt;25),0.25,0)+IF(AND(V1602&gt;175,W1602&gt;=25,W1602&lt;55),0.2,0)+IF(AND(V1602&gt;175,W1602&gt;=55,W1602&lt;95),0.15,0)+IF(AND(V1602&gt;175,W1602&gt;=95),0.1,0))))))))))))))))))))</f>
        <v>0.23</v>
      </c>
      <c r="Y1602" s="30">
        <f>IF(AG1602="None",0,IF(AG1602="Fix5",0.05, IF(AG1602="Fix6.25",0.0625,IF(AG1602="Fix3.75",0.0375, IF(AG1602="Fix11",0.11, IF(AG1602="Fix10",0.1,IF(AG1602="Fix3",0.03,0)))))))</f>
        <v>0</v>
      </c>
      <c r="Z1602" s="35">
        <f>IF(AND(AD1602="EUR", AE1602 = "USD"), T1602*U1602-AA1602-AB1602, T1602-AA1602-AB1602)</f>
        <v>1533.8018307189545</v>
      </c>
      <c r="AA1602" s="60">
        <f>IF(AND(AD1602="EUR", F1602="Without EV deal", AE1602="USD"), (T1602*X1602)*U1602,
IF(AND(AD1602="EUR", F1602="Without EV deal", AE1602="EUR"), (T1602*X1602),
IF(AND(AD1602="EUR",AE1602="USD"), (T1602*X1602)*U1602,
T1602*X1602)))</f>
        <v>458.1485987861812</v>
      </c>
      <c r="AB1602" s="36">
        <f>IF(AND(AD1602="EUR", F1602="Without EV deal", AE1602="USD"), (T1602*Y1602)*U1602,
IF(AND(AD1602="EUR", F1602="Without EV deal", AE1602="EUR"), (T1602*Y1602),
IF(AND(AD1602="EUR",AE1602="USD"), (T1602*Y1602)*U1602,
T1602*Y1602)))</f>
        <v>0</v>
      </c>
      <c r="AC1602" s="37" t="b">
        <v>1</v>
      </c>
      <c r="AD1602" s="37" t="str">
        <f>IF(OR(H1602="€0.25 Flash",
H1602="€0.25(nitro) new",
H1602="€1",
H1602="€2",
H1602="€2 (bf 01.08)",
H1602="€5",
H1602="€5 (1M)",
H1602="€5 (bf 01.08)",
H1602="€5 (bf 05.05)",
H1602="€5 Nitro",
H1602="€5(wx) new",
H1602="€10",
H1602="€10 (1M)",
H1602="€10 (bf 01.08)",
H1602="€10 (bf 05.05)",
H1602="€10 (MP)",
H1602="€10 (old)",
H1602="€10 Nitro (bf 05.05)",
H1602="€10 Nitro (old)",
H1602="€10(wx) new",
H1602="€20",
H1602="€25",
H1602="€25 (bf 01.08)",
H1602="€25 (bf 05.05)",
H1602="€25 (MP)",
H1602="€25 (old)",
H1602="€25 Nitro",
H1602="€25 Nitro (bf 01.08)",
H1602="€25 Nitro (bf 05.05)",
H1602="€25(nitro) new",
H1602="€25(wx) new",
H1602="€50",
H1602="€50 (bf 01.08)",
H1602="€50 (bf 05.05)",
H1602="€50 (old)",
H1602="€50 Nitro",
H1602="€50 Nitro (bf 01.08)",
H1602="€50 Nitro (bf 05.05)",
H1602="€50(wx) new",
H1602="€100",
H1602="€100 (old)",
H1602="€100 Nitro",
H1602="€100 Nitro (old)",
H1602="€200",
H1602="€250",
H1602="€250 Nitro",
H1602="€500",
H1602="€500 Nitro"),"EUR", "USD")</f>
        <v>EUR</v>
      </c>
      <c r="AE1602" s="37" t="s">
        <v>50</v>
      </c>
      <c r="AF1602" s="37" t="str">
        <f t="array" ref="AF1602">INDEX('Deal Info'!D:D, MATCH(A1602,'Deal Info'!A:A, 0))</f>
        <v>DoEV</v>
      </c>
      <c r="AG1602" s="38" t="str">
        <f t="array" ref="AG1602">INDEX('Deal Info'!G:G, MATCH(A1602,'Deal Info'!A:A, 0))</f>
        <v>None</v>
      </c>
    </row>
    <row r="1603" spans="1:33" ht="14.25" hidden="1" x14ac:dyDescent="0.2">
      <c r="A1603" s="18" t="str">
        <f t="array" ref="A1603">IF(G1603='Room Info'!$B$1, INDEX('Room Info'!$A$2:$A2446, MATCH(B1603,'Room Info'!$B$2:$B2446, 0)),IF(G1603='Room Info'!$C$1, INDEX('Room Info'!$A$2:$A2446, MATCH(B1603,'Room Info'!$C$2:$C2446, 0)),IF(G1603='Room Info'!$D$1, INDEX('Room Info'!$A$2:$A2446, MATCH(B1603,'Room Info'!$D$2:$D2446, 0)),IF(G1603='Room Info'!$E$1, INDEX('Room Info'!$A$2:$A2446, MATCH(B1603,'Room Info'!$E$2:$E2446, 0)),IF(G1603='Room Info'!$F$1, INDEX('Room Info'!$A$2:$A2446, MATCH(B1603,'Room Info'!$F$2:$F2446, 0)),IF(G1603='Room Info'!$H$1, INDEX('Room Info'!$A$2:$A2446, MATCH(B1603,'Room Info'!$H$2:$H2446, 0)),IF(G1603='Room Info'!$G$1, INDEX('Room Info'!$A$2:$A2446, MATCH(B1603,'Room Info'!$G$2:$G2446, 0)))))))))</f>
        <v>barabashOva</v>
      </c>
      <c r="B1603" s="45" t="s">
        <v>214</v>
      </c>
      <c r="C1603" s="46">
        <v>44978</v>
      </c>
      <c r="D1603" s="46">
        <v>45005</v>
      </c>
      <c r="E1603" s="90">
        <v>44986</v>
      </c>
      <c r="F1603" s="48" t="s">
        <v>34</v>
      </c>
      <c r="G1603" s="65" t="s">
        <v>35</v>
      </c>
      <c r="H1603" s="49" t="s">
        <v>40</v>
      </c>
      <c r="I1603" s="100" t="s">
        <v>37</v>
      </c>
      <c r="J1603" s="39">
        <v>10</v>
      </c>
      <c r="K1603" s="51">
        <v>4008</v>
      </c>
      <c r="L1603" s="52">
        <v>-1120</v>
      </c>
      <c r="M1603" s="53">
        <v>1885</v>
      </c>
      <c r="N1603" s="28">
        <f>K1603*J1603</f>
        <v>40080</v>
      </c>
      <c r="O1603" s="54">
        <v>101159</v>
      </c>
      <c r="P1603" s="29">
        <v>25.239271460000001</v>
      </c>
      <c r="Q1603" s="55"/>
      <c r="R1603" s="31">
        <f>M1603+Q1603*J1603*K1603*0.07</f>
        <v>1885</v>
      </c>
      <c r="S1603" s="56">
        <v>-1032</v>
      </c>
      <c r="T1603" s="32">
        <f>IF(AND(AD1603="EUR", F1603="Without EV deal"), R1603 + L1603,
IF(AND(AD1603="USD", F1603="Without EV deal"), R1603 + L1603,
IF(AND(AD1603="EUR", F1603="Steel Phoenix"), R1603 + S1603/U1603,
R1603 + S1603)))</f>
        <v>853</v>
      </c>
      <c r="U1603" s="57">
        <v>1.071</v>
      </c>
      <c r="V1603" s="69">
        <v>11.483812949640289</v>
      </c>
      <c r="W1603" s="69">
        <v>74.278465152701642</v>
      </c>
      <c r="X1603" s="30">
        <f>IF(AF1603="DoEV",IF(AND(V1603&lt;20,W1603&lt;55),0.3,0)+IF(AND(V1603&lt;20,W1603&gt;=55,W1603&lt;105),0.23,0)+IF(AND(V1603&lt;20,W1603&gt;=105),0.17,0)+IF(AND(V1603&gt;=20,V1603&lt;40,W1603&lt;45),0.3,0)+IF(AND(V1603&gt;=20,V1603&lt;40,W1603&gt;=45,W1603&lt;95),0.23,0)+IF(AND(V1603&gt;=20,V1603&lt;40,W1603&gt;=95),0.17,0)+IF(AND(V1603&gt;=40,V1603&lt;75,W1603&lt;35),0.3,0)+IF(AND(V1603&gt;=40,V1603&lt;75,W1603&gt;=35,W1603&lt;75),0.23,0)+IF(AND(V1603&gt;=40,V1603&lt;75,W1603&gt;=75,W1603&lt;120),0.17,0)+IF(AND(V1603&gt;=40,V1603&lt;75,W1603&gt;=120),0.12,0)+IF(AND(V1603&gt;=75,V1603&lt;175,W1603&lt;35),0.3,0)+IF(AND(V1603&gt;=75,V1603&lt;=175,W1603&gt;=35,W1603&lt;65),0.23,0)+IF(AND(V1603&gt;=75,V1603&lt;=175,W1603&gt;=65,W1603&lt;110),0.17,0)+IF(AND(V1603&gt;=75,V1603&lt;=175,W1603&gt;=110),0.12,0)+IF(AND(V1603&gt;175,W1603&lt;25),0.3,0)+IF(AND(V1603&gt;175,W1603&gt;=25,W1603&lt;55),0.23,0)+IF(AND(V1603&gt;175,W1603&gt;=55,W1603&lt;95),0.17,0)+IF(AND(V1603&gt;175,W1603&gt;=95),0.12,0),
IF(AF1603="Fix15",0.15,
IF(AF1603="Fix5",0.05,
IF(AF1603="Fix18.75",0.1875,
IF(AF1603="Fix11.25",0.1125,
IF(AF1603="Fix10",0.1,
IF(AF1603="Fix9",0.09,
IF(AF1603="Fix12",0.12,
IF(AF1603="Fix19",0.19,
IF(AF1603="DoEV2017",IF(AND(W1603&lt;74),0.2,0)+IF(AND(W1603&gt;=74),0.17,0),
IF(AF1603="SF",IF(AND(V1603&lt;20,W1603&lt;89),0.3,0)+IF(AND(V1603&lt;20,W1603&gt;=89),0.25,0)+IF(AND(V1603&gt;=20,V1603&lt;40,W1603&lt;74),0.3,0)+IF(AND(V1603&gt;=20,V1603&lt;40,W1603&gt;=75),0.22,0)+IF(AND(V1603&gt;=40,V1603&lt;75,W1603&lt;75),0.26,0)+IF(AND(V1603&gt;=40,V1603&lt;75,W1603&gt;=75),0.22,0)+IF(V1603&gt;=75,0.22,0),
IF(AF1603="DoEVold",IF(AND(V1603&lt;40,W1603&lt;35),0.35,0)+IF(AND(V1603&lt;40,W1603&gt;=35,W1603&lt;75),0.25,0)+IF(AND(V1603&lt;40,W1603&gt;=75),0.17,0)+IF(AND(V1603&gt;=40,V1603&lt;75,W1603&lt;25),0.35,0)+IF(AND(V1603&gt;=40,V1603&lt;75,W1603&gt;=25,W1603&lt;65),0.25,0)+IF(AND(V1603&gt;=40,V1603&lt;75,W1603&gt;=65,W1603&lt;100),0.17,0)+IF(AND(V1603&gt;=40,V1603&lt;75,W1603&gt;=100),0.1,0)+IF(AND(V1603&gt;=75,W1603&lt;25),0.35,0)+IF(AND(V1603&gt;=75,W1603&gt;=25,W1603&lt;60),0.25,0)+IF(AND(V1603&gt;=75,W1603&gt;=60,W1603&lt;95),0.17,0)+IF(AND(V1603&gt;=75,W1603&gt;=95),0.1,0),
IF(AF1603="DoEVold15",IF(AND(V1603&lt;=40,W1603&lt;35),0.35,0)+IF(AND(V1603&lt;=40,W1603&gt;=35,W1603&lt;75),0.25,0)+IF(AND(V1603&lt;=40,W1603&gt;=75,W1603&lt;120),0.17,0)+IF(AND(V1603&lt;=40,W1603&gt;=120),0.15,0)+IF(AND(V1603&gt;40,V1603&lt;75,W1603&lt;25),0.35,0)+IF(AND(V1603&gt;=40,V1603&lt;75,W1603&gt;=25,W1603&lt;65),0.25,0)+IF(AND(V1603&gt;=40,V1603&lt;75,W1603&gt;=65,W1603&lt;100),0.17,0)+IF(AND(V1603&gt;=40,V1603&lt;75,W1603&gt;=100),0.1,0)+IF(AND(V1603&gt;=75,W1603&lt;25),0.35,0)+IF(AND(V1603&gt;=75,W1603&gt;=25,W1603&lt;60),0.25,0)+IF(AND(V1603&gt;=75,W1603&gt;=60,W1603&lt;95),0.17,0)+IF(AND(V1603&gt;=75,W1603&gt;=95),0.1,0),
IF(AF1603="DoEVba",IF(AND(V1603&lt;20,W1603&lt;105),0.2,0)+IF(AND(V1603&lt;20,W1603&gt;=105),0.15,0)+IF(AND(V1603&gt;=20,V1603&lt;40,W1603&lt;95),0.2,0)+IF(AND(V1603&gt;=20,V1603&lt;40,W1603&gt;=95,W1603&lt;150),0.15,0)+IF(AND(V1603&gt;=20,V1603&lt;40,W1603&gt;=150),0.12,0)+IF(AND(V1603&gt;=40,V1603&lt;75,W1603&lt;75),0.2,0)+IF(AND(V1603&gt;=40,V1603&lt;75,W1603&gt;=75,W1603&lt;120),0.15,0)+IF(AND(V1603&gt;=40,V1603&lt;75,W1603&gt;=120),0.12,0)+IF(AND(V1603&gt;=75,V1603&lt;175,W1603&lt;65),0.2,0)+IF(AND(V1603&gt;=75,V1603&lt;175,W1603&gt;=65,W1603&lt;110),0.15,0)+IF(AND(V1603&gt;=75,V1603&lt;175,W1603&gt;=110),0.12,0)+IF(AND(V1603&gt;=175,W1603&lt;55),0.2,0)+IF(AND(V1603&gt;=175,W1603&gt;=55,W1603&lt;95),0.15,0)+IF(AND(V1603&gt;=175,W1603&gt;=95),0.12,0),
IF(AF1603="DoEVku",IF(AND(V1603&lt;20,W1603&lt;55),0.23,0)+IF(AND(V1603&lt;20,W1603&gt;=55,W1603&lt;105),0.2,0)+IF(AND(V1603&lt;20,W1603&gt;=105),0.17,0)+IF(AND(V1603&gt;=20,V1603&lt;40,W1603&lt;45),0.23,0)+IF(AND(V1603&gt;=20,V1603&lt;40,W1603&gt;=45,W1603&lt;95),0.2,0)+IF(AND(V1603&gt;=20,V1603&lt;40,W1603&gt;=95,W1603&lt;=150),0.17,0)+IF(AND(V1603&gt;=20,V1603&lt;40,W1603&gt;=150),0.12,0)+IF(AND(V1603&gt;=40,V1603&lt;75,W1603&lt;35),0.23,0)+IF(AND(V1603&gt;=40,V1603&lt;75,W1603&gt;=35,W1603&lt;75),0.2,0)+IF(AND(V1603&gt;=40,V1603&lt;75,W1603&gt;=75,W1603&lt;120),0.17,0)+IF(AND(V1603&gt;=40,V1603&lt;75,W1603&gt;=120),0.12,0)+IF(AND(V1603&gt;=75,V1603&lt;175,W1603&lt;35),0.23,0)+IF(AND(V1603&gt;=75,V1603&lt;=175,W1603&gt;=35,W1603&lt;65),0.2,0)+IF(AND(V1603&gt;=75,V1603&lt;=175,W1603&gt;=65,W1603&lt;110),0.17,0)+IF(AND(V1603&gt;=75,V1603&lt;=175,W1603&gt;=110),0.12,0)+IF(AND(V1603&gt;175,W1603&lt;25),0.23,0)+IF(AND(V1603&gt;175,W1603&gt;=25,W1603&lt;55),0.2,0)+IF(AND(V1603&gt;175,W1603&gt;=55,W1603&lt;95),0.17,0)+IF(AND(V1603&gt;175,W1603&gt;=95),0.12,0),
IF(AF1603="DoEVs1",IF(AND(V1603&lt;20,W1603&lt;55),0.3,0)+IF(AND(V1603&lt;20,W1603&gt;=55,W1603&lt;105),0.23,0)+IF(AND(V1603&lt;20,W1603&gt;=105),0.17,0)+IF(AND(V1603&gt;=20,V1603&lt;40,W1603&lt;45),0.3,0)+IF(AND(V1603&gt;=20,V1603&lt;40,W1603&gt;=45,W1603&lt;95),0.23,0)+IF(AND(V1603&gt;=20,V1603&lt;40,W1603&gt;=95,W1603&lt;=150),0.17,0)+IF(AND(V1603&gt;=20,V1603&lt;40,W1603&gt;=150),0.12,0)+IF(AND(V1603&gt;=40,V1603&lt;75,W1603&lt;35),0.3,0)+IF(AND(V1603&gt;=40,V1603&lt;75,W1603&gt;=35,W1603&lt;75),0.23,0)+IF(AND(V1603&gt;=40,V1603&lt;75,W1603&gt;=75,W1603&lt;120),0.17,0)+IF(AND(V1603&gt;=40,V1603&lt;75,W1603&gt;=120),0.12,0)+IF(AND(V1603&gt;=75,V1603&lt;175,W1603&lt;35),0.3,0)+IF(AND(V1603&gt;=75,V1603&lt;=175,W1603&gt;=35,W1603&lt;65),0.23,0)+IF(AND(V1603&gt;=75,V1603&lt;=175,W1603&gt;=65,W1603&lt;110),0.17,0)+IF(AND(V1603&gt;=75,V1603&lt;=175,W1603&gt;=110),0.12,0)+IF(AND(V1603&gt;175,W1603&lt;25),0.3,0)+IF(AND(V1603&gt;175,W1603&gt;=25,W1603&lt;55),0.23,0)+IF(AND(V1603&gt;175,W1603&gt;=55,W1603&lt;95),0.17,0)+IF(AND(V1603&gt;175,W1603&gt;=95),0.12,0),
IF(AF1603="DoEVsu",IF(AND(V1603&lt;20,W1603&lt;55),0.3,0)+IF(AND(V1603&lt;20,W1603&gt;=55,W1603&lt;105),0.23,0)+IF(AND(V1603&lt;20,W1603&gt;=105),0.17,0)+IF(AND(V1603&gt;=20,V1603&lt;40,W1603&lt;45),0.3,0)+IF(AND(V1603&gt;=20,V1603&lt;40,W1603&gt;=45,W1603&lt;95),0.23,0)+IF(AND(V1603&gt;=20,V1603&lt;40,W1603&gt;=95,W1603&lt;=250),0.17,0)+IF(AND(V1603&gt;=20,V1603&lt;40,W1603&gt;=250),0.12,0)+IF(AND(V1603&gt;=40,V1603&lt;75,W1603&lt;35),0.3,0)+IF(AND(V1603&gt;=40,V1603&lt;75,W1603&gt;=35,W1603&lt;75),0.23,0)+IF(AND(V1603&gt;=40,V1603&lt;75,W1603&gt;=75,W1603&lt;120),0.17,0)+IF(AND(V1603&gt;=40,V1603&lt;75,W1603&gt;=120),0.12,0)+IF(AND(V1603&gt;=75,V1603&lt;175,W1603&lt;35),0.3,0)+IF(AND(V1603&gt;=75,V1603&lt;=175,W1603&gt;=35,W1603&lt;65),0.23,0)+IF(AND(V1603&gt;=75,V1603&lt;=175,W1603&gt;=65,W1603&lt;110),0.17,0)+IF(AND(V1603&gt;=75,V1603&lt;=175,W1603&gt;=110),0.12,0)+IF(AND(V1603&gt;175,W1603&lt;25),0.3,0)+IF(AND(V1603&gt;175,W1603&gt;=25,W1603&lt;55),0.23,0)+IF(AND(V1603&gt;175,W1603&gt;=55,W1603&lt;95),0.17,0)+IF(AND(V1603&gt;175,W1603&gt;=95),0.12,0),
IF(AF1603="DoEVni",IF(AND(V1603&lt;20,W1603&lt;55),0.3,0)+IF(AND(V1603&lt;20,W1603&gt;=55,W1603&lt;105),0.23,0)+IF(AND(V1603&lt;20,W1603&gt;=105),0.17,0)+IF(AND(V1603&gt;=20,V1603&lt;40,W1603&lt;45),0.3,0)+IF(AND(V1603&gt;=20,V1603&lt;40,W1603&gt;=45,W1603&lt;95),0.23,0)+IF(AND(V1603&gt;=20,V1603&lt;40,W1603&gt;=95,W1603&lt;=200),0.17,0)+IF(AND(V1603&gt;=20,V1603&lt;40,W1603&gt;=200),0.12,0)+IF(AND(V1603&gt;=40,V1603&lt;75,W1603&lt;35),0.3,0)+IF(AND(V1603&gt;=40,V1603&lt;75,W1603&gt;=35,W1603&lt;75),0.23,0)+IF(AND(V1603&gt;=40,V1603&lt;75,W1603&gt;=75,W1603&lt;120),0.17,0)+IF(AND(V1603&gt;=40,V1603&lt;75,W1603&gt;=120),0.12,0)+IF(AND(V1603&gt;=75,V1603&lt;175,W1603&lt;35),0.3,0)+IF(AND(V1603&gt;=75,V1603&lt;=175,W1603&gt;=35,W1603&lt;65),0.23,0)+IF(AND(V1603&gt;=75,V1603&lt;=175,W1603&gt;=65,W1603&lt;110),0.17,0)+IF(AND(V1603&gt;=75,V1603&lt;=175,W1603&gt;=110),0.12,0)+IF(AND(V1603&gt;175,W1603&lt;25),0.3,0)+IF(AND(V1603&gt;175,W1603&gt;=25,W1603&lt;55),0.23,0)+IF(AND(V1603&gt;175,W1603&gt;=55,W1603&lt;95),0.17,0)+IF(AND(V1603&gt;175,W1603&gt;=95),0.12,0),
IF(AF1603="DoEVLo",IF(AND(V1603&lt;20,W1603&lt;55),0.25,0)+IF(AND(V1603&lt;20,W1603&gt;=55,W1603&lt;105),0.2,0)+IF(AND(V1603&lt;20,W1603&gt;=105),0.15,0)+IF(AND(V1603&gt;=20,V1603&lt;40,W1603&lt;45),0.25,0)+IF(AND(V1603&gt;=20,V1603&lt;40,W1603&gt;=45,W1603&lt;95),0.2,0)+IF(AND(V1603&gt;=20,V1603&lt;40,W1603&gt;=95),0.15,0)+IF(AND(V1603&gt;=40,V1603&lt;75,W1603&lt;35),0.25,0)+IF(AND(V1603&gt;=40,V1603&lt;75,W1603&gt;=35,W1603&lt;75),0.2,0)+IF(AND(V1603&gt;=40,V1603&lt;75,W1603&gt;=75,W1603&lt;120),0.15,0)+IF(AND(V1603&gt;=40,V1603&lt;75,W1603&gt;=120),0.1,0)+IF(AND(V1603&gt;=75,V1603&lt;175,W1603&lt;35),0.25,0)+IF(AND(V1603&gt;=75,V1603&lt;=175,W1603&gt;=35,W1603&lt;65),0.2,0)+IF(AND(V1603&gt;=75,V1603&lt;=175,W1603&gt;=65,W1603&lt;110),0.15,0)+IF(AND(V1603&gt;=75,V1603&lt;=175,W1603&gt;=110),0.1,0)+IF(AND(V1603&gt;175,W1603&lt;25),0.25,0)+IF(AND(V1603&gt;175,W1603&gt;=25,W1603&lt;55),0.2,0)+IF(AND(V1603&gt;175,W1603&gt;=55,W1603&lt;95),0.15,0)+IF(AND(V1603&gt;175,W1603&gt;=95),0.1,0))))))))))))))))))))</f>
        <v>0.2</v>
      </c>
      <c r="Y1603" s="30">
        <f>IF(AG1603="None",0,IF(AG1603="Fix5",0.05, IF(AG1603="Fix6.25",0.0625,IF(AG1603="Fix3.75",0.0375, IF(AG1603="Fix11",0.11, IF(AG1603="Fix10",0.1,IF(AG1603="Fix3",0.03,0)))))))</f>
        <v>0</v>
      </c>
      <c r="Z1603" s="35">
        <f>IF(AND(AD1603="EUR", AE1603 = "USD"), T1603*U1603-AA1603-AB1603, T1603-AA1603-AB1603)</f>
        <v>682.4</v>
      </c>
      <c r="AA1603" s="29">
        <f>IF(AND(AD1603="EUR", F1603="Without EV deal", AE1603="USD"), (T1603*X1603)*U1603,
IF(AND(AD1603="EUR", F1603="Without EV deal", AE1603="EUR"), (T1603*X1603),
IF(AND(AD1603="EUR",AE1603="USD"), (T1603*X1603)*U1603,
T1603*X1603)))</f>
        <v>170.60000000000002</v>
      </c>
      <c r="AB1603" s="36">
        <f>IF(AND(AD1603="EUR", F1603="Without EV deal", AE1603="USD"), (T1603*Y1603)*U1603,
IF(AND(AD1603="EUR", F1603="Without EV deal", AE1603="EUR"), (T1603*Y1603),
IF(AND(AD1603="EUR",AE1603="USD"), (T1603*Y1603)*U1603,
T1603*Y1603)))</f>
        <v>0</v>
      </c>
      <c r="AC1603" s="61" t="b">
        <v>1</v>
      </c>
      <c r="AD1603" s="82" t="str">
        <f>IF(OR(H1603="€0.25 Flash",
H1603="€0.25(nitro) new",
H1603="€1",
H1603="€2",
H1603="€2 (bf 01.08)",
H1603="€5",
H1603="€5 (1M)",
H1603="€5 (bf 01.08)",
H1603="€5 (bf 05.05)",
H1603="€5 Nitro",
H1603="€5(wx) new",
H1603="€10",
H1603="€10 (1M)",
H1603="€10 (bf 01.08)",
H1603="€10 (bf 05.05)",
H1603="€10 (MP)",
H1603="€10 (old)",
H1603="€10 Nitro (bf 05.05)",
H1603="€10 Nitro (old)",
H1603="€10(wx) new",
H1603="€20",
H1603="€25",
H1603="€25 (bf 01.08)",
H1603="€25 (bf 05.05)",
H1603="€25 (MP)",
H1603="€25 (old)",
H1603="€25 Nitro",
H1603="€25 Nitro (bf 01.08)",
H1603="€25 Nitro (bf 05.05)",
H1603="€25(nitro) new",
H1603="€25(wx) new",
H1603="€50",
H1603="€50 (bf 01.08)",
H1603="€50 (bf 05.05)",
H1603="€50 (old)",
H1603="€50 Nitro",
H1603="€50 Nitro (bf 01.08)",
H1603="€50 Nitro (bf 05.05)",
H1603="€50(wx) new",
H1603="€100",
H1603="€100 (old)",
H1603="€100 Nitro",
H1603="€100 Nitro (old)",
H1603="€200",
H1603="€250",
H1603="€250 Nitro",
H1603="€500",
H1603="€500 Nitro"),"EUR", "USD")</f>
        <v>USD</v>
      </c>
      <c r="AE1603" s="83" t="s">
        <v>38</v>
      </c>
      <c r="AF1603" s="83" t="str">
        <f t="array" ref="AF1603">INDEX('Deal Info'!D:D, MATCH(A1603,'Deal Info'!A:A, 0))</f>
        <v>DoEVba</v>
      </c>
      <c r="AG1603" s="84" t="str">
        <f t="array" ref="AG1603">INDEX('Deal Info'!G:G, MATCH(A1603,'Deal Info'!A:A, 0))</f>
        <v>None</v>
      </c>
    </row>
    <row r="1604" spans="1:33" ht="14.25" hidden="1" x14ac:dyDescent="0.2">
      <c r="A1604" s="18" t="str">
        <f t="array" ref="A1604">IF(G1604='Room Info'!$B$1, INDEX('Room Info'!$A$2:$A2446, MATCH(B1604,'Room Info'!$B$2:$B2446, 0)),IF(G1604='Room Info'!$C$1, INDEX('Room Info'!$A$2:$A2446, MATCH(B1604,'Room Info'!$C$2:$C2446, 0)),IF(G1604='Room Info'!$D$1, INDEX('Room Info'!$A$2:$A2446, MATCH(B1604,'Room Info'!$D$2:$D2446, 0)),IF(G1604='Room Info'!$E$1, INDEX('Room Info'!$A$2:$A2446, MATCH(B1604,'Room Info'!$E$2:$E2446, 0)),IF(G1604='Room Info'!$F$1, INDEX('Room Info'!$A$2:$A2446, MATCH(B1604,'Room Info'!$F$2:$F2446, 0)),IF(G1604='Room Info'!$H$1, INDEX('Room Info'!$A$2:$A2446, MATCH(B1604,'Room Info'!$H$2:$H2446, 0)),IF(G1604='Room Info'!$G$1, INDEX('Room Info'!$A$2:$A2446, MATCH(B1604,'Room Info'!$G$2:$G2446, 0)))))))))</f>
        <v>barabashOva</v>
      </c>
      <c r="B1604" s="45" t="s">
        <v>214</v>
      </c>
      <c r="C1604" s="46">
        <v>44978</v>
      </c>
      <c r="D1604" s="46">
        <v>45005</v>
      </c>
      <c r="E1604" s="90">
        <v>44986</v>
      </c>
      <c r="F1604" s="48" t="s">
        <v>34</v>
      </c>
      <c r="G1604" s="65" t="s">
        <v>35</v>
      </c>
      <c r="H1604" s="91" t="s">
        <v>46</v>
      </c>
      <c r="I1604" s="100" t="s">
        <v>37</v>
      </c>
      <c r="J1604" s="39">
        <v>25</v>
      </c>
      <c r="K1604" s="51">
        <v>440</v>
      </c>
      <c r="L1604" s="52">
        <v>-150</v>
      </c>
      <c r="M1604" s="62"/>
      <c r="N1604" s="28">
        <f>K1604*J1604</f>
        <v>11000</v>
      </c>
      <c r="O1604" s="54">
        <v>14162</v>
      </c>
      <c r="P1604" s="29">
        <v>32.186363640000003</v>
      </c>
      <c r="Q1604" s="55"/>
      <c r="R1604" s="31">
        <f>M1604+Q1604*J1604*K1604*0.07</f>
        <v>0</v>
      </c>
      <c r="S1604" s="66"/>
      <c r="T1604" s="32">
        <f>IF(AND(AD1604="EUR", F1604="Without EV deal"), R1604 + L1604,
IF(AND(AD1604="USD", F1604="Without EV deal"), R1604 + L1604,
IF(AND(AD1604="EUR", F1604="Steel Phoenix"), R1604 + S1604/U1604,
R1604 + S1604)))</f>
        <v>0</v>
      </c>
      <c r="U1604" s="57">
        <v>1.071</v>
      </c>
      <c r="V1604" s="69">
        <v>11.483812949640289</v>
      </c>
      <c r="W1604" s="69">
        <v>74.278465152701642</v>
      </c>
      <c r="X1604" s="30">
        <f>IF(AF1604="DoEV",IF(AND(V1604&lt;20,W1604&lt;55),0.3,0)+IF(AND(V1604&lt;20,W1604&gt;=55,W1604&lt;105),0.23,0)+IF(AND(V1604&lt;20,W1604&gt;=105),0.17,0)+IF(AND(V1604&gt;=20,V1604&lt;40,W1604&lt;45),0.3,0)+IF(AND(V1604&gt;=20,V1604&lt;40,W1604&gt;=45,W1604&lt;95),0.23,0)+IF(AND(V1604&gt;=20,V1604&lt;40,W1604&gt;=95),0.17,0)+IF(AND(V1604&gt;=40,V1604&lt;75,W1604&lt;35),0.3,0)+IF(AND(V1604&gt;=40,V1604&lt;75,W1604&gt;=35,W1604&lt;75),0.23,0)+IF(AND(V1604&gt;=40,V1604&lt;75,W1604&gt;=75,W1604&lt;120),0.17,0)+IF(AND(V1604&gt;=40,V1604&lt;75,W1604&gt;=120),0.12,0)+IF(AND(V1604&gt;=75,V1604&lt;175,W1604&lt;35),0.3,0)+IF(AND(V1604&gt;=75,V1604&lt;=175,W1604&gt;=35,W1604&lt;65),0.23,0)+IF(AND(V1604&gt;=75,V1604&lt;=175,W1604&gt;=65,W1604&lt;110),0.17,0)+IF(AND(V1604&gt;=75,V1604&lt;=175,W1604&gt;=110),0.12,0)+IF(AND(V1604&gt;175,W1604&lt;25),0.3,0)+IF(AND(V1604&gt;175,W1604&gt;=25,W1604&lt;55),0.23,0)+IF(AND(V1604&gt;175,W1604&gt;=55,W1604&lt;95),0.17,0)+IF(AND(V1604&gt;175,W1604&gt;=95),0.12,0),
IF(AF1604="Fix15",0.15,
IF(AF1604="Fix5",0.05,
IF(AF1604="Fix18.75",0.1875,
IF(AF1604="Fix11.25",0.1125,
IF(AF1604="Fix10",0.1,
IF(AF1604="Fix9",0.09,
IF(AF1604="Fix12",0.12,
IF(AF1604="Fix19",0.19,
IF(AF1604="DoEV2017",IF(AND(W1604&lt;74),0.2,0)+IF(AND(W1604&gt;=74),0.17,0),
IF(AF1604="SF",IF(AND(V1604&lt;20,W1604&lt;89),0.3,0)+IF(AND(V1604&lt;20,W1604&gt;=89),0.25,0)+IF(AND(V1604&gt;=20,V1604&lt;40,W1604&lt;74),0.3,0)+IF(AND(V1604&gt;=20,V1604&lt;40,W1604&gt;=75),0.22,0)+IF(AND(V1604&gt;=40,V1604&lt;75,W1604&lt;75),0.26,0)+IF(AND(V1604&gt;=40,V1604&lt;75,W1604&gt;=75),0.22,0)+IF(V1604&gt;=75,0.22,0),
IF(AF1604="DoEVold",IF(AND(V1604&lt;40,W1604&lt;35),0.35,0)+IF(AND(V1604&lt;40,W1604&gt;=35,W1604&lt;75),0.25,0)+IF(AND(V1604&lt;40,W1604&gt;=75),0.17,0)+IF(AND(V1604&gt;=40,V1604&lt;75,W1604&lt;25),0.35,0)+IF(AND(V1604&gt;=40,V1604&lt;75,W1604&gt;=25,W1604&lt;65),0.25,0)+IF(AND(V1604&gt;=40,V1604&lt;75,W1604&gt;=65,W1604&lt;100),0.17,0)+IF(AND(V1604&gt;=40,V1604&lt;75,W1604&gt;=100),0.1,0)+IF(AND(V1604&gt;=75,W1604&lt;25),0.35,0)+IF(AND(V1604&gt;=75,W1604&gt;=25,W1604&lt;60),0.25,0)+IF(AND(V1604&gt;=75,W1604&gt;=60,W1604&lt;95),0.17,0)+IF(AND(V1604&gt;=75,W1604&gt;=95),0.1,0),
IF(AF1604="DoEVold15",IF(AND(V1604&lt;=40,W1604&lt;35),0.35,0)+IF(AND(V1604&lt;=40,W1604&gt;=35,W1604&lt;75),0.25,0)+IF(AND(V1604&lt;=40,W1604&gt;=75,W1604&lt;120),0.17,0)+IF(AND(V1604&lt;=40,W1604&gt;=120),0.15,0)+IF(AND(V1604&gt;40,V1604&lt;75,W1604&lt;25),0.35,0)+IF(AND(V1604&gt;=40,V1604&lt;75,W1604&gt;=25,W1604&lt;65),0.25,0)+IF(AND(V1604&gt;=40,V1604&lt;75,W1604&gt;=65,W1604&lt;100),0.17,0)+IF(AND(V1604&gt;=40,V1604&lt;75,W1604&gt;=100),0.1,0)+IF(AND(V1604&gt;=75,W1604&lt;25),0.35,0)+IF(AND(V1604&gt;=75,W1604&gt;=25,W1604&lt;60),0.25,0)+IF(AND(V1604&gt;=75,W1604&gt;=60,W1604&lt;95),0.17,0)+IF(AND(V1604&gt;=75,W1604&gt;=95),0.1,0),
IF(AF1604="DoEVba",IF(AND(V1604&lt;20,W1604&lt;105),0.2,0)+IF(AND(V1604&lt;20,W1604&gt;=105),0.15,0)+IF(AND(V1604&gt;=20,V1604&lt;40,W1604&lt;95),0.2,0)+IF(AND(V1604&gt;=20,V1604&lt;40,W1604&gt;=95,W1604&lt;150),0.15,0)+IF(AND(V1604&gt;=20,V1604&lt;40,W1604&gt;=150),0.12,0)+IF(AND(V1604&gt;=40,V1604&lt;75,W1604&lt;75),0.2,0)+IF(AND(V1604&gt;=40,V1604&lt;75,W1604&gt;=75,W1604&lt;120),0.15,0)+IF(AND(V1604&gt;=40,V1604&lt;75,W1604&gt;=120),0.12,0)+IF(AND(V1604&gt;=75,V1604&lt;175,W1604&lt;65),0.2,0)+IF(AND(V1604&gt;=75,V1604&lt;175,W1604&gt;=65,W1604&lt;110),0.15,0)+IF(AND(V1604&gt;=75,V1604&lt;175,W1604&gt;=110),0.12,0)+IF(AND(V1604&gt;=175,W1604&lt;55),0.2,0)+IF(AND(V1604&gt;=175,W1604&gt;=55,W1604&lt;95),0.15,0)+IF(AND(V1604&gt;=175,W1604&gt;=95),0.12,0),
IF(AF1604="DoEVku",IF(AND(V1604&lt;20,W1604&lt;55),0.23,0)+IF(AND(V1604&lt;20,W1604&gt;=55,W1604&lt;105),0.2,0)+IF(AND(V1604&lt;20,W1604&gt;=105),0.17,0)+IF(AND(V1604&gt;=20,V1604&lt;40,W1604&lt;45),0.23,0)+IF(AND(V1604&gt;=20,V1604&lt;40,W1604&gt;=45,W1604&lt;95),0.2,0)+IF(AND(V1604&gt;=20,V1604&lt;40,W1604&gt;=95,W1604&lt;=150),0.17,0)+IF(AND(V1604&gt;=20,V1604&lt;40,W1604&gt;=150),0.12,0)+IF(AND(V1604&gt;=40,V1604&lt;75,W1604&lt;35),0.23,0)+IF(AND(V1604&gt;=40,V1604&lt;75,W1604&gt;=35,W1604&lt;75),0.2,0)+IF(AND(V1604&gt;=40,V1604&lt;75,W1604&gt;=75,W1604&lt;120),0.17,0)+IF(AND(V1604&gt;=40,V1604&lt;75,W1604&gt;=120),0.12,0)+IF(AND(V1604&gt;=75,V1604&lt;175,W1604&lt;35),0.23,0)+IF(AND(V1604&gt;=75,V1604&lt;=175,W1604&gt;=35,W1604&lt;65),0.2,0)+IF(AND(V1604&gt;=75,V1604&lt;=175,W1604&gt;=65,W1604&lt;110),0.17,0)+IF(AND(V1604&gt;=75,V1604&lt;=175,W1604&gt;=110),0.12,0)+IF(AND(V1604&gt;175,W1604&lt;25),0.23,0)+IF(AND(V1604&gt;175,W1604&gt;=25,W1604&lt;55),0.2,0)+IF(AND(V1604&gt;175,W1604&gt;=55,W1604&lt;95),0.17,0)+IF(AND(V1604&gt;175,W1604&gt;=95),0.12,0),
IF(AF1604="DoEVs1",IF(AND(V1604&lt;20,W1604&lt;55),0.3,0)+IF(AND(V1604&lt;20,W1604&gt;=55,W1604&lt;105),0.23,0)+IF(AND(V1604&lt;20,W1604&gt;=105),0.17,0)+IF(AND(V1604&gt;=20,V1604&lt;40,W1604&lt;45),0.3,0)+IF(AND(V1604&gt;=20,V1604&lt;40,W1604&gt;=45,W1604&lt;95),0.23,0)+IF(AND(V1604&gt;=20,V1604&lt;40,W1604&gt;=95,W1604&lt;=150),0.17,0)+IF(AND(V1604&gt;=20,V1604&lt;40,W1604&gt;=150),0.12,0)+IF(AND(V1604&gt;=40,V1604&lt;75,W1604&lt;35),0.3,0)+IF(AND(V1604&gt;=40,V1604&lt;75,W1604&gt;=35,W1604&lt;75),0.23,0)+IF(AND(V1604&gt;=40,V1604&lt;75,W1604&gt;=75,W1604&lt;120),0.17,0)+IF(AND(V1604&gt;=40,V1604&lt;75,W1604&gt;=120),0.12,0)+IF(AND(V1604&gt;=75,V1604&lt;175,W1604&lt;35),0.3,0)+IF(AND(V1604&gt;=75,V1604&lt;=175,W1604&gt;=35,W1604&lt;65),0.23,0)+IF(AND(V1604&gt;=75,V1604&lt;=175,W1604&gt;=65,W1604&lt;110),0.17,0)+IF(AND(V1604&gt;=75,V1604&lt;=175,W1604&gt;=110),0.12,0)+IF(AND(V1604&gt;175,W1604&lt;25),0.3,0)+IF(AND(V1604&gt;175,W1604&gt;=25,W1604&lt;55),0.23,0)+IF(AND(V1604&gt;175,W1604&gt;=55,W1604&lt;95),0.17,0)+IF(AND(V1604&gt;175,W1604&gt;=95),0.12,0),
IF(AF1604="DoEVsu",IF(AND(V1604&lt;20,W1604&lt;55),0.3,0)+IF(AND(V1604&lt;20,W1604&gt;=55,W1604&lt;105),0.23,0)+IF(AND(V1604&lt;20,W1604&gt;=105),0.17,0)+IF(AND(V1604&gt;=20,V1604&lt;40,W1604&lt;45),0.3,0)+IF(AND(V1604&gt;=20,V1604&lt;40,W1604&gt;=45,W1604&lt;95),0.23,0)+IF(AND(V1604&gt;=20,V1604&lt;40,W1604&gt;=95,W1604&lt;=250),0.17,0)+IF(AND(V1604&gt;=20,V1604&lt;40,W1604&gt;=250),0.12,0)+IF(AND(V1604&gt;=40,V1604&lt;75,W1604&lt;35),0.3,0)+IF(AND(V1604&gt;=40,V1604&lt;75,W1604&gt;=35,W1604&lt;75),0.23,0)+IF(AND(V1604&gt;=40,V1604&lt;75,W1604&gt;=75,W1604&lt;120),0.17,0)+IF(AND(V1604&gt;=40,V1604&lt;75,W1604&gt;=120),0.12,0)+IF(AND(V1604&gt;=75,V1604&lt;175,W1604&lt;35),0.3,0)+IF(AND(V1604&gt;=75,V1604&lt;=175,W1604&gt;=35,W1604&lt;65),0.23,0)+IF(AND(V1604&gt;=75,V1604&lt;=175,W1604&gt;=65,W1604&lt;110),0.17,0)+IF(AND(V1604&gt;=75,V1604&lt;=175,W1604&gt;=110),0.12,0)+IF(AND(V1604&gt;175,W1604&lt;25),0.3,0)+IF(AND(V1604&gt;175,W1604&gt;=25,W1604&lt;55),0.23,0)+IF(AND(V1604&gt;175,W1604&gt;=55,W1604&lt;95),0.17,0)+IF(AND(V1604&gt;175,W1604&gt;=95),0.12,0),
IF(AF1604="DoEVni",IF(AND(V1604&lt;20,W1604&lt;55),0.3,0)+IF(AND(V1604&lt;20,W1604&gt;=55,W1604&lt;105),0.23,0)+IF(AND(V1604&lt;20,W1604&gt;=105),0.17,0)+IF(AND(V1604&gt;=20,V1604&lt;40,W1604&lt;45),0.3,0)+IF(AND(V1604&gt;=20,V1604&lt;40,W1604&gt;=45,W1604&lt;95),0.23,0)+IF(AND(V1604&gt;=20,V1604&lt;40,W1604&gt;=95,W1604&lt;=200),0.17,0)+IF(AND(V1604&gt;=20,V1604&lt;40,W1604&gt;=200),0.12,0)+IF(AND(V1604&gt;=40,V1604&lt;75,W1604&lt;35),0.3,0)+IF(AND(V1604&gt;=40,V1604&lt;75,W1604&gt;=35,W1604&lt;75),0.23,0)+IF(AND(V1604&gt;=40,V1604&lt;75,W1604&gt;=75,W1604&lt;120),0.17,0)+IF(AND(V1604&gt;=40,V1604&lt;75,W1604&gt;=120),0.12,0)+IF(AND(V1604&gt;=75,V1604&lt;175,W1604&lt;35),0.3,0)+IF(AND(V1604&gt;=75,V1604&lt;=175,W1604&gt;=35,W1604&lt;65),0.23,0)+IF(AND(V1604&gt;=75,V1604&lt;=175,W1604&gt;=65,W1604&lt;110),0.17,0)+IF(AND(V1604&gt;=75,V1604&lt;=175,W1604&gt;=110),0.12,0)+IF(AND(V1604&gt;175,W1604&lt;25),0.3,0)+IF(AND(V1604&gt;175,W1604&gt;=25,W1604&lt;55),0.23,0)+IF(AND(V1604&gt;175,W1604&gt;=55,W1604&lt;95),0.17,0)+IF(AND(V1604&gt;175,W1604&gt;=95),0.12,0),
IF(AF1604="DoEVLo",IF(AND(V1604&lt;20,W1604&lt;55),0.25,0)+IF(AND(V1604&lt;20,W1604&gt;=55,W1604&lt;105),0.2,0)+IF(AND(V1604&lt;20,W1604&gt;=105),0.15,0)+IF(AND(V1604&gt;=20,V1604&lt;40,W1604&lt;45),0.25,0)+IF(AND(V1604&gt;=20,V1604&lt;40,W1604&gt;=45,W1604&lt;95),0.2,0)+IF(AND(V1604&gt;=20,V1604&lt;40,W1604&gt;=95),0.15,0)+IF(AND(V1604&gt;=40,V1604&lt;75,W1604&lt;35),0.25,0)+IF(AND(V1604&gt;=40,V1604&lt;75,W1604&gt;=35,W1604&lt;75),0.2,0)+IF(AND(V1604&gt;=40,V1604&lt;75,W1604&gt;=75,W1604&lt;120),0.15,0)+IF(AND(V1604&gt;=40,V1604&lt;75,W1604&gt;=120),0.1,0)+IF(AND(V1604&gt;=75,V1604&lt;175,W1604&lt;35),0.25,0)+IF(AND(V1604&gt;=75,V1604&lt;=175,W1604&gt;=35,W1604&lt;65),0.2,0)+IF(AND(V1604&gt;=75,V1604&lt;=175,W1604&gt;=65,W1604&lt;110),0.15,0)+IF(AND(V1604&gt;=75,V1604&lt;=175,W1604&gt;=110),0.1,0)+IF(AND(V1604&gt;175,W1604&lt;25),0.25,0)+IF(AND(V1604&gt;175,W1604&gt;=25,W1604&lt;55),0.2,0)+IF(AND(V1604&gt;175,W1604&gt;=55,W1604&lt;95),0.15,0)+IF(AND(V1604&gt;175,W1604&gt;=95),0.1,0))))))))))))))))))))</f>
        <v>0.2</v>
      </c>
      <c r="Y1604" s="30">
        <f>IF(AG1604="None",0,IF(AG1604="Fix5",0.05, IF(AG1604="Fix6.25",0.0625,IF(AG1604="Fix3.75",0.0375, IF(AG1604="Fix11",0.11, IF(AG1604="Fix10",0.1,IF(AG1604="Fix3",0.03,0)))))))</f>
        <v>0</v>
      </c>
      <c r="Z1604" s="35">
        <f>IF(AND(AD1604="EUR", AE1604 = "USD"), T1604*U1604-AA1604-AB1604, T1604-AA1604-AB1604)</f>
        <v>0</v>
      </c>
      <c r="AA1604" s="29">
        <f>IF(AND(AD1604="EUR", F1604="Without EV deal", AE1604="USD"), (T1604*X1604)*U1604,
IF(AND(AD1604="EUR", F1604="Without EV deal", AE1604="EUR"), (T1604*X1604),
IF(AND(AD1604="EUR",AE1604="USD"), (T1604*X1604)*U1604,
T1604*X1604)))</f>
        <v>0</v>
      </c>
      <c r="AB1604" s="36">
        <f>IF(AND(AD1604="EUR", F1604="Without EV deal", AE1604="USD"), (T1604*Y1604)*U1604,
IF(AND(AD1604="EUR", F1604="Without EV deal", AE1604="EUR"), (T1604*Y1604),
IF(AND(AD1604="EUR",AE1604="USD"), (T1604*Y1604)*U1604,
T1604*Y1604)))</f>
        <v>0</v>
      </c>
      <c r="AC1604" s="61" t="b">
        <v>1</v>
      </c>
      <c r="AD1604" s="82" t="str">
        <f>IF(OR(H1604="€0.25 Flash",
H1604="€0.25(nitro) new",
H1604="€1",
H1604="€2",
H1604="€2 (bf 01.08)",
H1604="€5",
H1604="€5 (1M)",
H1604="€5 (bf 01.08)",
H1604="€5 (bf 05.05)",
H1604="€5 Nitro",
H1604="€5(wx) new",
H1604="€10",
H1604="€10 (1M)",
H1604="€10 (bf 01.08)",
H1604="€10 (bf 05.05)",
H1604="€10 (MP)",
H1604="€10 (old)",
H1604="€10 Nitro (bf 05.05)",
H1604="€10 Nitro (old)",
H1604="€10(wx) new",
H1604="€20",
H1604="€25",
H1604="€25 (bf 01.08)",
H1604="€25 (bf 05.05)",
H1604="€25 (MP)",
H1604="€25 (old)",
H1604="€25 Nitro",
H1604="€25 Nitro (bf 01.08)",
H1604="€25 Nitro (bf 05.05)",
H1604="€25(nitro) new",
H1604="€25(wx) new",
H1604="€50",
H1604="€50 (bf 01.08)",
H1604="€50 (bf 05.05)",
H1604="€50 (old)",
H1604="€50 Nitro",
H1604="€50 Nitro (bf 01.08)",
H1604="€50 Nitro (bf 05.05)",
H1604="€50(wx) new",
H1604="€100",
H1604="€100 (old)",
H1604="€100 Nitro",
H1604="€100 Nitro (old)",
H1604="€200",
H1604="€250",
H1604="€250 Nitro",
H1604="€500",
H1604="€500 Nitro"),"EUR", "USD")</f>
        <v>USD</v>
      </c>
      <c r="AE1604" s="83" t="s">
        <v>38</v>
      </c>
      <c r="AF1604" s="83" t="str">
        <f t="array" ref="AF1604">INDEX('Deal Info'!D:D, MATCH(A1604,'Deal Info'!A:A, 0))</f>
        <v>DoEVba</v>
      </c>
      <c r="AG1604" s="84" t="str">
        <f t="array" ref="AG1604">INDEX('Deal Info'!G:G, MATCH(A1604,'Deal Info'!A:A, 0))</f>
        <v>None</v>
      </c>
    </row>
    <row r="1605" spans="1:33" ht="14.25" hidden="1" x14ac:dyDescent="0.2">
      <c r="A1605" s="18" t="str">
        <f t="array" ref="A1605">IF(G1605='Room Info'!$B$1, INDEX('Room Info'!$A$2:$A2446, MATCH(B1605,'Room Info'!$B$2:$B2446, 0)),IF(G1605='Room Info'!$C$1, INDEX('Room Info'!$A$2:$A2446, MATCH(B1605,'Room Info'!$C$2:$C2446, 0)),IF(G1605='Room Info'!$D$1, INDEX('Room Info'!$A$2:$A2446, MATCH(B1605,'Room Info'!$D$2:$D2446, 0)),IF(G1605='Room Info'!$E$1, INDEX('Room Info'!$A$2:$A2446, MATCH(B1605,'Room Info'!$E$2:$E2446, 0)),IF(G1605='Room Info'!$F$1, INDEX('Room Info'!$A$2:$A2446, MATCH(B1605,'Room Info'!$F$2:$F2446, 0)),IF(G1605='Room Info'!$H$1, INDEX('Room Info'!$A$2:$A2446, MATCH(B1605,'Room Info'!$H$2:$H2446, 0)),IF(G1605='Room Info'!$G$1, INDEX('Room Info'!$A$2:$A2446, MATCH(B1605,'Room Info'!$G$2:$G2446, 0)))))))))</f>
        <v>ekomlev98</v>
      </c>
      <c r="B1605" s="45" t="s">
        <v>163</v>
      </c>
      <c r="C1605" s="46">
        <v>44978</v>
      </c>
      <c r="D1605" s="46">
        <v>45005</v>
      </c>
      <c r="E1605" s="90">
        <v>44986</v>
      </c>
      <c r="F1605" s="48" t="s">
        <v>34</v>
      </c>
      <c r="G1605" s="65" t="s">
        <v>35</v>
      </c>
      <c r="H1605" s="91" t="s">
        <v>46</v>
      </c>
      <c r="I1605" s="100" t="s">
        <v>37</v>
      </c>
      <c r="J1605" s="39">
        <v>25</v>
      </c>
      <c r="K1605" s="75">
        <v>2757</v>
      </c>
      <c r="L1605" s="72">
        <v>-1375</v>
      </c>
      <c r="M1605" s="76">
        <v>2350</v>
      </c>
      <c r="N1605" s="28">
        <f>K1605*J1605</f>
        <v>68925</v>
      </c>
      <c r="O1605" s="45">
        <v>77924</v>
      </c>
      <c r="P1605" s="29">
        <v>28.264055129999999</v>
      </c>
      <c r="Q1605" s="55"/>
      <c r="R1605" s="31">
        <f>M1605+Q1605*J1605*K1605*0.07</f>
        <v>2350</v>
      </c>
      <c r="S1605" s="73">
        <v>-682</v>
      </c>
      <c r="T1605" s="32">
        <f>IF(AND(AD1605="EUR", F1605="Without EV deal"), R1605 + L1605,
IF(AND(AD1605="USD", F1605="Without EV deal"), R1605 + L1605,
IF(AND(AD1605="EUR", F1605="Steel Phoenix"), R1605 + S1605/U1605,
R1605 + S1605)))</f>
        <v>1668</v>
      </c>
      <c r="U1605" s="57">
        <v>1.071</v>
      </c>
      <c r="V1605" s="69">
        <v>25</v>
      </c>
      <c r="W1605" s="69">
        <v>66.72</v>
      </c>
      <c r="X1605" s="30">
        <f>IF(AF1605="DoEV",IF(AND(V1605&lt;20,W1605&lt;55),0.3,0)+IF(AND(V1605&lt;20,W1605&gt;=55,W1605&lt;105),0.23,0)+IF(AND(V1605&lt;20,W1605&gt;=105),0.17,0)+IF(AND(V1605&gt;=20,V1605&lt;40,W1605&lt;45),0.3,0)+IF(AND(V1605&gt;=20,V1605&lt;40,W1605&gt;=45,W1605&lt;95),0.23,0)+IF(AND(V1605&gt;=20,V1605&lt;40,W1605&gt;=95),0.17,0)+IF(AND(V1605&gt;=40,V1605&lt;75,W1605&lt;35),0.3,0)+IF(AND(V1605&gt;=40,V1605&lt;75,W1605&gt;=35,W1605&lt;75),0.23,0)+IF(AND(V1605&gt;=40,V1605&lt;75,W1605&gt;=75,W1605&lt;120),0.17,0)+IF(AND(V1605&gt;=40,V1605&lt;75,W1605&gt;=120),0.12,0)+IF(AND(V1605&gt;=75,V1605&lt;175,W1605&lt;35),0.3,0)+IF(AND(V1605&gt;=75,V1605&lt;=175,W1605&gt;=35,W1605&lt;65),0.23,0)+IF(AND(V1605&gt;=75,V1605&lt;=175,W1605&gt;=65,W1605&lt;110),0.17,0)+IF(AND(V1605&gt;=75,V1605&lt;=175,W1605&gt;=110),0.12,0)+IF(AND(V1605&gt;175,W1605&lt;25),0.3,0)+IF(AND(V1605&gt;175,W1605&gt;=25,W1605&lt;55),0.23,0)+IF(AND(V1605&gt;175,W1605&gt;=55,W1605&lt;95),0.17,0)+IF(AND(V1605&gt;175,W1605&gt;=95),0.12,0),
IF(AF1605="Fix15",0.15,
IF(AF1605="Fix5",0.05,
IF(AF1605="Fix18.75",0.1875,
IF(AF1605="Fix11.25",0.1125,
IF(AF1605="Fix10",0.1,
IF(AF1605="Fix9",0.09,
IF(AF1605="Fix12",0.12,
IF(AF1605="Fix19",0.19,
IF(AF1605="DoEV2017",IF(AND(W1605&lt;74),0.2,0)+IF(AND(W1605&gt;=74),0.17,0),
IF(AF1605="SF",IF(AND(V1605&lt;20,W1605&lt;89),0.3,0)+IF(AND(V1605&lt;20,W1605&gt;=89),0.25,0)+IF(AND(V1605&gt;=20,V1605&lt;40,W1605&lt;74),0.3,0)+IF(AND(V1605&gt;=20,V1605&lt;40,W1605&gt;=75),0.22,0)+IF(AND(V1605&gt;=40,V1605&lt;75,W1605&lt;75),0.26,0)+IF(AND(V1605&gt;=40,V1605&lt;75,W1605&gt;=75),0.22,0)+IF(V1605&gt;=75,0.22,0),
IF(AF1605="DoEVold",IF(AND(V1605&lt;40,W1605&lt;35),0.35,0)+IF(AND(V1605&lt;40,W1605&gt;=35,W1605&lt;75),0.25,0)+IF(AND(V1605&lt;40,W1605&gt;=75),0.17,0)+IF(AND(V1605&gt;=40,V1605&lt;75,W1605&lt;25),0.35,0)+IF(AND(V1605&gt;=40,V1605&lt;75,W1605&gt;=25,W1605&lt;65),0.25,0)+IF(AND(V1605&gt;=40,V1605&lt;75,W1605&gt;=65,W1605&lt;100),0.17,0)+IF(AND(V1605&gt;=40,V1605&lt;75,W1605&gt;=100),0.1,0)+IF(AND(V1605&gt;=75,W1605&lt;25),0.35,0)+IF(AND(V1605&gt;=75,W1605&gt;=25,W1605&lt;60),0.25,0)+IF(AND(V1605&gt;=75,W1605&gt;=60,W1605&lt;95),0.17,0)+IF(AND(V1605&gt;=75,W1605&gt;=95),0.1,0),
IF(AF1605="DoEVold15",IF(AND(V1605&lt;=40,W1605&lt;35),0.35,0)+IF(AND(V1605&lt;=40,W1605&gt;=35,W1605&lt;75),0.25,0)+IF(AND(V1605&lt;=40,W1605&gt;=75,W1605&lt;120),0.17,0)+IF(AND(V1605&lt;=40,W1605&gt;=120),0.15,0)+IF(AND(V1605&gt;40,V1605&lt;75,W1605&lt;25),0.35,0)+IF(AND(V1605&gt;=40,V1605&lt;75,W1605&gt;=25,W1605&lt;65),0.25,0)+IF(AND(V1605&gt;=40,V1605&lt;75,W1605&gt;=65,W1605&lt;100),0.17,0)+IF(AND(V1605&gt;=40,V1605&lt;75,W1605&gt;=100),0.1,0)+IF(AND(V1605&gt;=75,W1605&lt;25),0.35,0)+IF(AND(V1605&gt;=75,W1605&gt;=25,W1605&lt;60),0.25,0)+IF(AND(V1605&gt;=75,W1605&gt;=60,W1605&lt;95),0.17,0)+IF(AND(V1605&gt;=75,W1605&gt;=95),0.1,0),
IF(AF1605="DoEVba",IF(AND(V1605&lt;20,W1605&lt;105),0.2,0)+IF(AND(V1605&lt;20,W1605&gt;=105),0.15,0)+IF(AND(V1605&gt;=20,V1605&lt;40,W1605&lt;95),0.2,0)+IF(AND(V1605&gt;=20,V1605&lt;40,W1605&gt;=95,W1605&lt;150),0.15,0)+IF(AND(V1605&gt;=20,V1605&lt;40,W1605&gt;=150),0.12,0)+IF(AND(V1605&gt;=40,V1605&lt;75,W1605&lt;75),0.2,0)+IF(AND(V1605&gt;=40,V1605&lt;75,W1605&gt;=75,W1605&lt;120),0.15,0)+IF(AND(V1605&gt;=40,V1605&lt;75,W1605&gt;=120),0.12,0)+IF(AND(V1605&gt;=75,V1605&lt;175,W1605&lt;65),0.2,0)+IF(AND(V1605&gt;=75,V1605&lt;175,W1605&gt;=65,W1605&lt;110),0.15,0)+IF(AND(V1605&gt;=75,V1605&lt;175,W1605&gt;=110),0.12,0)+IF(AND(V1605&gt;=175,W1605&lt;55),0.2,0)+IF(AND(V1605&gt;=175,W1605&gt;=55,W1605&lt;95),0.15,0)+IF(AND(V1605&gt;=175,W1605&gt;=95),0.12,0),
IF(AF1605="DoEVku",IF(AND(V1605&lt;20,W1605&lt;55),0.23,0)+IF(AND(V1605&lt;20,W1605&gt;=55,W1605&lt;105),0.2,0)+IF(AND(V1605&lt;20,W1605&gt;=105),0.17,0)+IF(AND(V1605&gt;=20,V1605&lt;40,W1605&lt;45),0.23,0)+IF(AND(V1605&gt;=20,V1605&lt;40,W1605&gt;=45,W1605&lt;95),0.2,0)+IF(AND(V1605&gt;=20,V1605&lt;40,W1605&gt;=95,W1605&lt;=150),0.17,0)+IF(AND(V1605&gt;=20,V1605&lt;40,W1605&gt;=150),0.12,0)+IF(AND(V1605&gt;=40,V1605&lt;75,W1605&lt;35),0.23,0)+IF(AND(V1605&gt;=40,V1605&lt;75,W1605&gt;=35,W1605&lt;75),0.2,0)+IF(AND(V1605&gt;=40,V1605&lt;75,W1605&gt;=75,W1605&lt;120),0.17,0)+IF(AND(V1605&gt;=40,V1605&lt;75,W1605&gt;=120),0.12,0)+IF(AND(V1605&gt;=75,V1605&lt;175,W1605&lt;35),0.23,0)+IF(AND(V1605&gt;=75,V1605&lt;=175,W1605&gt;=35,W1605&lt;65),0.2,0)+IF(AND(V1605&gt;=75,V1605&lt;=175,W1605&gt;=65,W1605&lt;110),0.17,0)+IF(AND(V1605&gt;=75,V1605&lt;=175,W1605&gt;=110),0.12,0)+IF(AND(V1605&gt;175,W1605&lt;25),0.23,0)+IF(AND(V1605&gt;175,W1605&gt;=25,W1605&lt;55),0.2,0)+IF(AND(V1605&gt;175,W1605&gt;=55,W1605&lt;95),0.17,0)+IF(AND(V1605&gt;175,W1605&gt;=95),0.12,0),
IF(AF1605="DoEVs1",IF(AND(V1605&lt;20,W1605&lt;55),0.3,0)+IF(AND(V1605&lt;20,W1605&gt;=55,W1605&lt;105),0.23,0)+IF(AND(V1605&lt;20,W1605&gt;=105),0.17,0)+IF(AND(V1605&gt;=20,V1605&lt;40,W1605&lt;45),0.3,0)+IF(AND(V1605&gt;=20,V1605&lt;40,W1605&gt;=45,W1605&lt;95),0.23,0)+IF(AND(V1605&gt;=20,V1605&lt;40,W1605&gt;=95,W1605&lt;=150),0.17,0)+IF(AND(V1605&gt;=20,V1605&lt;40,W1605&gt;=150),0.12,0)+IF(AND(V1605&gt;=40,V1605&lt;75,W1605&lt;35),0.3,0)+IF(AND(V1605&gt;=40,V1605&lt;75,W1605&gt;=35,W1605&lt;75),0.23,0)+IF(AND(V1605&gt;=40,V1605&lt;75,W1605&gt;=75,W1605&lt;120),0.17,0)+IF(AND(V1605&gt;=40,V1605&lt;75,W1605&gt;=120),0.12,0)+IF(AND(V1605&gt;=75,V1605&lt;175,W1605&lt;35),0.3,0)+IF(AND(V1605&gt;=75,V1605&lt;=175,W1605&gt;=35,W1605&lt;65),0.23,0)+IF(AND(V1605&gt;=75,V1605&lt;=175,W1605&gt;=65,W1605&lt;110),0.17,0)+IF(AND(V1605&gt;=75,V1605&lt;=175,W1605&gt;=110),0.12,0)+IF(AND(V1605&gt;175,W1605&lt;25),0.3,0)+IF(AND(V1605&gt;175,W1605&gt;=25,W1605&lt;55),0.23,0)+IF(AND(V1605&gt;175,W1605&gt;=55,W1605&lt;95),0.17,0)+IF(AND(V1605&gt;175,W1605&gt;=95),0.12,0),
IF(AF1605="DoEVsu",IF(AND(V1605&lt;20,W1605&lt;55),0.3,0)+IF(AND(V1605&lt;20,W1605&gt;=55,W1605&lt;105),0.23,0)+IF(AND(V1605&lt;20,W1605&gt;=105),0.17,0)+IF(AND(V1605&gt;=20,V1605&lt;40,W1605&lt;45),0.3,0)+IF(AND(V1605&gt;=20,V1605&lt;40,W1605&gt;=45,W1605&lt;95),0.23,0)+IF(AND(V1605&gt;=20,V1605&lt;40,W1605&gt;=95,W1605&lt;=250),0.17,0)+IF(AND(V1605&gt;=20,V1605&lt;40,W1605&gt;=250),0.12,0)+IF(AND(V1605&gt;=40,V1605&lt;75,W1605&lt;35),0.3,0)+IF(AND(V1605&gt;=40,V1605&lt;75,W1605&gt;=35,W1605&lt;75),0.23,0)+IF(AND(V1605&gt;=40,V1605&lt;75,W1605&gt;=75,W1605&lt;120),0.17,0)+IF(AND(V1605&gt;=40,V1605&lt;75,W1605&gt;=120),0.12,0)+IF(AND(V1605&gt;=75,V1605&lt;175,W1605&lt;35),0.3,0)+IF(AND(V1605&gt;=75,V1605&lt;=175,W1605&gt;=35,W1605&lt;65),0.23,0)+IF(AND(V1605&gt;=75,V1605&lt;=175,W1605&gt;=65,W1605&lt;110),0.17,0)+IF(AND(V1605&gt;=75,V1605&lt;=175,W1605&gt;=110),0.12,0)+IF(AND(V1605&gt;175,W1605&lt;25),0.3,0)+IF(AND(V1605&gt;175,W1605&gt;=25,W1605&lt;55),0.23,0)+IF(AND(V1605&gt;175,W1605&gt;=55,W1605&lt;95),0.17,0)+IF(AND(V1605&gt;175,W1605&gt;=95),0.12,0),
IF(AF1605="DoEVni",IF(AND(V1605&lt;20,W1605&lt;55),0.3,0)+IF(AND(V1605&lt;20,W1605&gt;=55,W1605&lt;105),0.23,0)+IF(AND(V1605&lt;20,W1605&gt;=105),0.17,0)+IF(AND(V1605&gt;=20,V1605&lt;40,W1605&lt;45),0.3,0)+IF(AND(V1605&gt;=20,V1605&lt;40,W1605&gt;=45,W1605&lt;95),0.23,0)+IF(AND(V1605&gt;=20,V1605&lt;40,W1605&gt;=95,W1605&lt;=200),0.17,0)+IF(AND(V1605&gt;=20,V1605&lt;40,W1605&gt;=200),0.12,0)+IF(AND(V1605&gt;=40,V1605&lt;75,W1605&lt;35),0.3,0)+IF(AND(V1605&gt;=40,V1605&lt;75,W1605&gt;=35,W1605&lt;75),0.23,0)+IF(AND(V1605&gt;=40,V1605&lt;75,W1605&gt;=75,W1605&lt;120),0.17,0)+IF(AND(V1605&gt;=40,V1605&lt;75,W1605&gt;=120),0.12,0)+IF(AND(V1605&gt;=75,V1605&lt;175,W1605&lt;35),0.3,0)+IF(AND(V1605&gt;=75,V1605&lt;=175,W1605&gt;=35,W1605&lt;65),0.23,0)+IF(AND(V1605&gt;=75,V1605&lt;=175,W1605&gt;=65,W1605&lt;110),0.17,0)+IF(AND(V1605&gt;=75,V1605&lt;=175,W1605&gt;=110),0.12,0)+IF(AND(V1605&gt;175,W1605&lt;25),0.3,0)+IF(AND(V1605&gt;175,W1605&gt;=25,W1605&lt;55),0.23,0)+IF(AND(V1605&gt;175,W1605&gt;=55,W1605&lt;95),0.17,0)+IF(AND(V1605&gt;175,W1605&gt;=95),0.12,0),
IF(AF1605="DoEVLo",IF(AND(V1605&lt;20,W1605&lt;55),0.25,0)+IF(AND(V1605&lt;20,W1605&gt;=55,W1605&lt;105),0.2,0)+IF(AND(V1605&lt;20,W1605&gt;=105),0.15,0)+IF(AND(V1605&gt;=20,V1605&lt;40,W1605&lt;45),0.25,0)+IF(AND(V1605&gt;=20,V1605&lt;40,W1605&gt;=45,W1605&lt;95),0.2,0)+IF(AND(V1605&gt;=20,V1605&lt;40,W1605&gt;=95),0.15,0)+IF(AND(V1605&gt;=40,V1605&lt;75,W1605&lt;35),0.25,0)+IF(AND(V1605&gt;=40,V1605&lt;75,W1605&gt;=35,W1605&lt;75),0.2,0)+IF(AND(V1605&gt;=40,V1605&lt;75,W1605&gt;=75,W1605&lt;120),0.15,0)+IF(AND(V1605&gt;=40,V1605&lt;75,W1605&gt;=120),0.1,0)+IF(AND(V1605&gt;=75,V1605&lt;175,W1605&lt;35),0.25,0)+IF(AND(V1605&gt;=75,V1605&lt;=175,W1605&gt;=35,W1605&lt;65),0.2,0)+IF(AND(V1605&gt;=75,V1605&lt;=175,W1605&gt;=65,W1605&lt;110),0.15,0)+IF(AND(V1605&gt;=75,V1605&lt;=175,W1605&gt;=110),0.1,0)+IF(AND(V1605&gt;175,W1605&lt;25),0.25,0)+IF(AND(V1605&gt;175,W1605&gt;=25,W1605&lt;55),0.2,0)+IF(AND(V1605&gt;175,W1605&gt;=55,W1605&lt;95),0.15,0)+IF(AND(V1605&gt;175,W1605&gt;=95),0.1,0))))))))))))))))))))</f>
        <v>0.3</v>
      </c>
      <c r="Y1605" s="30">
        <f>IF(AG1605="None",0,IF(AG1605="Fix5",0.05, IF(AG1605="Fix6.25",0.0625,IF(AG1605="Fix3.75",0.0375, IF(AG1605="Fix11",0.11, IF(AG1605="Fix10",0.1,IF(AG1605="Fix3",0.03,0)))))))</f>
        <v>0</v>
      </c>
      <c r="Z1605" s="35">
        <f>IF(AND(AD1605="EUR", AE1605 = "USD"), T1605*U1605-AA1605-AB1605, T1605-AA1605-AB1605)</f>
        <v>1167.5999999999999</v>
      </c>
      <c r="AA1605" s="29">
        <f>IF(AND(AD1605="EUR", F1605="Without EV deal", AE1605="USD"), (T1605*X1605)*U1605,
IF(AND(AD1605="EUR", F1605="Without EV deal", AE1605="EUR"), (T1605*X1605),
IF(AND(AD1605="EUR",AE1605="USD"), (T1605*X1605)*U1605,
T1605*X1605)))</f>
        <v>500.4</v>
      </c>
      <c r="AB1605" s="36">
        <f>IF(AND(AD1605="EUR", F1605="Without EV deal", AE1605="USD"), (T1605*Y1605)*U1605,
IF(AND(AD1605="EUR", F1605="Without EV deal", AE1605="EUR"), (T1605*Y1605),
IF(AND(AD1605="EUR",AE1605="USD"), (T1605*Y1605)*U1605,
T1605*Y1605)))</f>
        <v>0</v>
      </c>
      <c r="AC1605" s="61" t="b">
        <v>1</v>
      </c>
      <c r="AD1605" s="82" t="str">
        <f>IF(OR(H1605="€0.25 Flash",
H1605="€0.25(nitro) new",
H1605="€1",
H1605="€2",
H1605="€2 (bf 01.08)",
H1605="€5",
H1605="€5 (1M)",
H1605="€5 (bf 01.08)",
H1605="€5 (bf 05.05)",
H1605="€5 Nitro",
H1605="€5(wx) new",
H1605="€10",
H1605="€10 (1M)",
H1605="€10 (bf 01.08)",
H1605="€10 (bf 05.05)",
H1605="€10 (MP)",
H1605="€10 (old)",
H1605="€10 Nitro (bf 05.05)",
H1605="€10 Nitro (old)",
H1605="€10(wx) new",
H1605="€20",
H1605="€25",
H1605="€25 (bf 01.08)",
H1605="€25 (bf 05.05)",
H1605="€25 (MP)",
H1605="€25 (old)",
H1605="€25 Nitro",
H1605="€25 Nitro (bf 01.08)",
H1605="€25 Nitro (bf 05.05)",
H1605="€25(nitro) new",
H1605="€25(wx) new",
H1605="€50",
H1605="€50 (bf 01.08)",
H1605="€50 (bf 05.05)",
H1605="€50 (old)",
H1605="€50 Nitro",
H1605="€50 Nitro (bf 01.08)",
H1605="€50 Nitro (bf 05.05)",
H1605="€50(wx) new",
H1605="€100",
H1605="€100 (old)",
H1605="€100 Nitro",
H1605="€100 Nitro (old)",
H1605="€200",
H1605="€250",
H1605="€250 Nitro",
H1605="€500",
H1605="€500 Nitro"),"EUR", "USD")</f>
        <v>USD</v>
      </c>
      <c r="AE1605" s="83" t="s">
        <v>38</v>
      </c>
      <c r="AF1605" s="83" t="str">
        <f t="array" ref="AF1605">INDEX('Deal Info'!D:D, MATCH(A1605,'Deal Info'!A:A, 0))</f>
        <v>SF</v>
      </c>
      <c r="AG1605" s="84" t="str">
        <f t="array" ref="AG1605">INDEX('Deal Info'!G:G, MATCH(A1605,'Deal Info'!A:A, 0))</f>
        <v>None</v>
      </c>
    </row>
    <row r="1606" spans="1:33" ht="14.25" hidden="1" x14ac:dyDescent="0.2">
      <c r="A1606" s="18" t="str">
        <f t="array" ref="A1606">IF(G1606='Room Info'!$B$1, INDEX('Room Info'!$A$2:$A2446, MATCH(B1606,'Room Info'!$B$2:$B2446, 0)),IF(G1606='Room Info'!$C$1, INDEX('Room Info'!$A$2:$A2446, MATCH(B1606,'Room Info'!$C$2:$C2446, 0)),IF(G1606='Room Info'!$D$1, INDEX('Room Info'!$A$2:$A2446, MATCH(B1606,'Room Info'!$D$2:$D2446, 0)),IF(G1606='Room Info'!$E$1, INDEX('Room Info'!$A$2:$A2446, MATCH(B1606,'Room Info'!$E$2:$E2446, 0)),IF(G1606='Room Info'!$F$1, INDEX('Room Info'!$A$2:$A2446, MATCH(B1606,'Room Info'!$F$2:$F2446, 0)),IF(G1606='Room Info'!$H$1, INDEX('Room Info'!$A$2:$A2446, MATCH(B1606,'Room Info'!$H$2:$H2446, 0)),IF(G1606='Room Info'!$G$1, INDEX('Room Info'!$A$2:$A2446, MATCH(B1606,'Room Info'!$G$2:$G2446, 0)))))))))</f>
        <v>Mexanuk_AV</v>
      </c>
      <c r="B1606" s="45" t="s">
        <v>113</v>
      </c>
      <c r="C1606" s="46">
        <v>44978</v>
      </c>
      <c r="D1606" s="46">
        <v>45005</v>
      </c>
      <c r="E1606" s="90">
        <v>44986</v>
      </c>
      <c r="F1606" s="48" t="s">
        <v>34</v>
      </c>
      <c r="G1606" s="65" t="s">
        <v>35</v>
      </c>
      <c r="H1606" s="91" t="s">
        <v>115</v>
      </c>
      <c r="I1606" s="54" t="s">
        <v>44</v>
      </c>
      <c r="J1606" s="39">
        <v>10</v>
      </c>
      <c r="K1606" s="75">
        <v>6290</v>
      </c>
      <c r="L1606" s="72">
        <v>-4470</v>
      </c>
      <c r="M1606" s="76"/>
      <c r="N1606" s="28">
        <f>K1606*J1606</f>
        <v>62900</v>
      </c>
      <c r="O1606" s="45">
        <v>95900</v>
      </c>
      <c r="P1606" s="29">
        <v>15.24642289</v>
      </c>
      <c r="Q1606" s="55"/>
      <c r="R1606" s="31">
        <f>M1606+Q1606*J1606*K1606*0.07</f>
        <v>0</v>
      </c>
      <c r="S1606" s="73">
        <v>-1591</v>
      </c>
      <c r="T1606" s="32">
        <f>IF(AND(AD1606="EUR", F1606="Without EV deal"), R1606 + L1606,
IF(AND(AD1606="USD", F1606="Without EV deal"), R1606 + L1606,
IF(AND(AD1606="EUR", F1606="Steel Phoenix"), R1606 + S1606/U1606,
R1606 + S1606)))</f>
        <v>-1591</v>
      </c>
      <c r="U1606" s="57">
        <v>1.071</v>
      </c>
      <c r="V1606" s="64">
        <v>10</v>
      </c>
      <c r="W1606" s="64">
        <v>29</v>
      </c>
      <c r="X1606" s="30">
        <f>IF(AF1606="DoEV",IF(AND(V1606&lt;20,W1606&lt;55),0.3,0)+IF(AND(V1606&lt;20,W1606&gt;=55,W1606&lt;105),0.23,0)+IF(AND(V1606&lt;20,W1606&gt;=105),0.17,0)+IF(AND(V1606&gt;=20,V1606&lt;40,W1606&lt;45),0.3,0)+IF(AND(V1606&gt;=20,V1606&lt;40,W1606&gt;=45,W1606&lt;95),0.23,0)+IF(AND(V1606&gt;=20,V1606&lt;40,W1606&gt;=95),0.17,0)+IF(AND(V1606&gt;=40,V1606&lt;75,W1606&lt;35),0.3,0)+IF(AND(V1606&gt;=40,V1606&lt;75,W1606&gt;=35,W1606&lt;75),0.23,0)+IF(AND(V1606&gt;=40,V1606&lt;75,W1606&gt;=75,W1606&lt;120),0.17,0)+IF(AND(V1606&gt;=40,V1606&lt;75,W1606&gt;=120),0.12,0)+IF(AND(V1606&gt;=75,V1606&lt;175,W1606&lt;35),0.3,0)+IF(AND(V1606&gt;=75,V1606&lt;=175,W1606&gt;=35,W1606&lt;65),0.23,0)+IF(AND(V1606&gt;=75,V1606&lt;=175,W1606&gt;=65,W1606&lt;110),0.17,0)+IF(AND(V1606&gt;=75,V1606&lt;=175,W1606&gt;=110),0.12,0)+IF(AND(V1606&gt;175,W1606&lt;25),0.3,0)+IF(AND(V1606&gt;175,W1606&gt;=25,W1606&lt;55),0.23,0)+IF(AND(V1606&gt;175,W1606&gt;=55,W1606&lt;95),0.17,0)+IF(AND(V1606&gt;175,W1606&gt;=95),0.12,0),
IF(AF1606="Fix15",0.15,
IF(AF1606="Fix5",0.05,
IF(AF1606="Fix18.75",0.1875,
IF(AF1606="Fix11.25",0.1125,
IF(AF1606="Fix10",0.1,
IF(AF1606="Fix9",0.09,
IF(AF1606="Fix12",0.12,
IF(AF1606="Fix19",0.19,
IF(AF1606="DoEV2017",IF(AND(W1606&lt;74),0.2,0)+IF(AND(W1606&gt;=74),0.17,0),
IF(AF1606="SF",IF(AND(V1606&lt;20,W1606&lt;89),0.3,0)+IF(AND(V1606&lt;20,W1606&gt;=89),0.25,0)+IF(AND(V1606&gt;=20,V1606&lt;40,W1606&lt;74),0.3,0)+IF(AND(V1606&gt;=20,V1606&lt;40,W1606&gt;=75),0.22,0)+IF(AND(V1606&gt;=40,V1606&lt;75,W1606&lt;75),0.26,0)+IF(AND(V1606&gt;=40,V1606&lt;75,W1606&gt;=75),0.22,0)+IF(V1606&gt;=75,0.22,0),
IF(AF1606="DoEVold",IF(AND(V1606&lt;40,W1606&lt;35),0.35,0)+IF(AND(V1606&lt;40,W1606&gt;=35,W1606&lt;75),0.25,0)+IF(AND(V1606&lt;40,W1606&gt;=75),0.17,0)+IF(AND(V1606&gt;=40,V1606&lt;75,W1606&lt;25),0.35,0)+IF(AND(V1606&gt;=40,V1606&lt;75,W1606&gt;=25,W1606&lt;65),0.25,0)+IF(AND(V1606&gt;=40,V1606&lt;75,W1606&gt;=65,W1606&lt;100),0.17,0)+IF(AND(V1606&gt;=40,V1606&lt;75,W1606&gt;=100),0.1,0)+IF(AND(V1606&gt;=75,W1606&lt;25),0.35,0)+IF(AND(V1606&gt;=75,W1606&gt;=25,W1606&lt;60),0.25,0)+IF(AND(V1606&gt;=75,W1606&gt;=60,W1606&lt;95),0.17,0)+IF(AND(V1606&gt;=75,W1606&gt;=95),0.1,0),
IF(AF1606="DoEVold15",IF(AND(V1606&lt;=40,W1606&lt;35),0.35,0)+IF(AND(V1606&lt;=40,W1606&gt;=35,W1606&lt;75),0.25,0)+IF(AND(V1606&lt;=40,W1606&gt;=75,W1606&lt;120),0.17,0)+IF(AND(V1606&lt;=40,W1606&gt;=120),0.15,0)+IF(AND(V1606&gt;40,V1606&lt;75,W1606&lt;25),0.35,0)+IF(AND(V1606&gt;=40,V1606&lt;75,W1606&gt;=25,W1606&lt;65),0.25,0)+IF(AND(V1606&gt;=40,V1606&lt;75,W1606&gt;=65,W1606&lt;100),0.17,0)+IF(AND(V1606&gt;=40,V1606&lt;75,W1606&gt;=100),0.1,0)+IF(AND(V1606&gt;=75,W1606&lt;25),0.35,0)+IF(AND(V1606&gt;=75,W1606&gt;=25,W1606&lt;60),0.25,0)+IF(AND(V1606&gt;=75,W1606&gt;=60,W1606&lt;95),0.17,0)+IF(AND(V1606&gt;=75,W1606&gt;=95),0.1,0),
IF(AF1606="DoEVba",IF(AND(V1606&lt;20,W1606&lt;105),0.2,0)+IF(AND(V1606&lt;20,W1606&gt;=105),0.15,0)+IF(AND(V1606&gt;=20,V1606&lt;40,W1606&lt;95),0.2,0)+IF(AND(V1606&gt;=20,V1606&lt;40,W1606&gt;=95,W1606&lt;150),0.15,0)+IF(AND(V1606&gt;=20,V1606&lt;40,W1606&gt;=150),0.12,0)+IF(AND(V1606&gt;=40,V1606&lt;75,W1606&lt;75),0.2,0)+IF(AND(V1606&gt;=40,V1606&lt;75,W1606&gt;=75,W1606&lt;120),0.15,0)+IF(AND(V1606&gt;=40,V1606&lt;75,W1606&gt;=120),0.12,0)+IF(AND(V1606&gt;=75,V1606&lt;175,W1606&lt;65),0.2,0)+IF(AND(V1606&gt;=75,V1606&lt;175,W1606&gt;=65,W1606&lt;110),0.15,0)+IF(AND(V1606&gt;=75,V1606&lt;175,W1606&gt;=110),0.12,0)+IF(AND(V1606&gt;=175,W1606&lt;55),0.2,0)+IF(AND(V1606&gt;=175,W1606&gt;=55,W1606&lt;95),0.15,0)+IF(AND(V1606&gt;=175,W1606&gt;=95),0.12,0),
IF(AF1606="DoEVku",IF(AND(V1606&lt;20,W1606&lt;55),0.23,0)+IF(AND(V1606&lt;20,W1606&gt;=55,W1606&lt;105),0.2,0)+IF(AND(V1606&lt;20,W1606&gt;=105),0.17,0)+IF(AND(V1606&gt;=20,V1606&lt;40,W1606&lt;45),0.23,0)+IF(AND(V1606&gt;=20,V1606&lt;40,W1606&gt;=45,W1606&lt;95),0.2,0)+IF(AND(V1606&gt;=20,V1606&lt;40,W1606&gt;=95,W1606&lt;=150),0.17,0)+IF(AND(V1606&gt;=20,V1606&lt;40,W1606&gt;=150),0.12,0)+IF(AND(V1606&gt;=40,V1606&lt;75,W1606&lt;35),0.23,0)+IF(AND(V1606&gt;=40,V1606&lt;75,W1606&gt;=35,W1606&lt;75),0.2,0)+IF(AND(V1606&gt;=40,V1606&lt;75,W1606&gt;=75,W1606&lt;120),0.17,0)+IF(AND(V1606&gt;=40,V1606&lt;75,W1606&gt;=120),0.12,0)+IF(AND(V1606&gt;=75,V1606&lt;175,W1606&lt;35),0.23,0)+IF(AND(V1606&gt;=75,V1606&lt;=175,W1606&gt;=35,W1606&lt;65),0.2,0)+IF(AND(V1606&gt;=75,V1606&lt;=175,W1606&gt;=65,W1606&lt;110),0.17,0)+IF(AND(V1606&gt;=75,V1606&lt;=175,W1606&gt;=110),0.12,0)+IF(AND(V1606&gt;175,W1606&lt;25),0.23,0)+IF(AND(V1606&gt;175,W1606&gt;=25,W1606&lt;55),0.2,0)+IF(AND(V1606&gt;175,W1606&gt;=55,W1606&lt;95),0.17,0)+IF(AND(V1606&gt;175,W1606&gt;=95),0.12,0),
IF(AF1606="DoEVs1",IF(AND(V1606&lt;20,W1606&lt;55),0.3,0)+IF(AND(V1606&lt;20,W1606&gt;=55,W1606&lt;105),0.23,0)+IF(AND(V1606&lt;20,W1606&gt;=105),0.17,0)+IF(AND(V1606&gt;=20,V1606&lt;40,W1606&lt;45),0.3,0)+IF(AND(V1606&gt;=20,V1606&lt;40,W1606&gt;=45,W1606&lt;95),0.23,0)+IF(AND(V1606&gt;=20,V1606&lt;40,W1606&gt;=95,W1606&lt;=150),0.17,0)+IF(AND(V1606&gt;=20,V1606&lt;40,W1606&gt;=150),0.12,0)+IF(AND(V1606&gt;=40,V1606&lt;75,W1606&lt;35),0.3,0)+IF(AND(V1606&gt;=40,V1606&lt;75,W1606&gt;=35,W1606&lt;75),0.23,0)+IF(AND(V1606&gt;=40,V1606&lt;75,W1606&gt;=75,W1606&lt;120),0.17,0)+IF(AND(V1606&gt;=40,V1606&lt;75,W1606&gt;=120),0.12,0)+IF(AND(V1606&gt;=75,V1606&lt;175,W1606&lt;35),0.3,0)+IF(AND(V1606&gt;=75,V1606&lt;=175,W1606&gt;=35,W1606&lt;65),0.23,0)+IF(AND(V1606&gt;=75,V1606&lt;=175,W1606&gt;=65,W1606&lt;110),0.17,0)+IF(AND(V1606&gt;=75,V1606&lt;=175,W1606&gt;=110),0.12,0)+IF(AND(V1606&gt;175,W1606&lt;25),0.3,0)+IF(AND(V1606&gt;175,W1606&gt;=25,W1606&lt;55),0.23,0)+IF(AND(V1606&gt;175,W1606&gt;=55,W1606&lt;95),0.17,0)+IF(AND(V1606&gt;175,W1606&gt;=95),0.12,0),
IF(AF1606="DoEVsu",IF(AND(V1606&lt;20,W1606&lt;55),0.3,0)+IF(AND(V1606&lt;20,W1606&gt;=55,W1606&lt;105),0.23,0)+IF(AND(V1606&lt;20,W1606&gt;=105),0.17,0)+IF(AND(V1606&gt;=20,V1606&lt;40,W1606&lt;45),0.3,0)+IF(AND(V1606&gt;=20,V1606&lt;40,W1606&gt;=45,W1606&lt;95),0.23,0)+IF(AND(V1606&gt;=20,V1606&lt;40,W1606&gt;=95,W1606&lt;=250),0.17,0)+IF(AND(V1606&gt;=20,V1606&lt;40,W1606&gt;=250),0.12,0)+IF(AND(V1606&gt;=40,V1606&lt;75,W1606&lt;35),0.3,0)+IF(AND(V1606&gt;=40,V1606&lt;75,W1606&gt;=35,W1606&lt;75),0.23,0)+IF(AND(V1606&gt;=40,V1606&lt;75,W1606&gt;=75,W1606&lt;120),0.17,0)+IF(AND(V1606&gt;=40,V1606&lt;75,W1606&gt;=120),0.12,0)+IF(AND(V1606&gt;=75,V1606&lt;175,W1606&lt;35),0.3,0)+IF(AND(V1606&gt;=75,V1606&lt;=175,W1606&gt;=35,W1606&lt;65),0.23,0)+IF(AND(V1606&gt;=75,V1606&lt;=175,W1606&gt;=65,W1606&lt;110),0.17,0)+IF(AND(V1606&gt;=75,V1606&lt;=175,W1606&gt;=110),0.12,0)+IF(AND(V1606&gt;175,W1606&lt;25),0.3,0)+IF(AND(V1606&gt;175,W1606&gt;=25,W1606&lt;55),0.23,0)+IF(AND(V1606&gt;175,W1606&gt;=55,W1606&lt;95),0.17,0)+IF(AND(V1606&gt;175,W1606&gt;=95),0.12,0),
IF(AF1606="DoEVni",IF(AND(V1606&lt;20,W1606&lt;55),0.3,0)+IF(AND(V1606&lt;20,W1606&gt;=55,W1606&lt;105),0.23,0)+IF(AND(V1606&lt;20,W1606&gt;=105),0.17,0)+IF(AND(V1606&gt;=20,V1606&lt;40,W1606&lt;45),0.3,0)+IF(AND(V1606&gt;=20,V1606&lt;40,W1606&gt;=45,W1606&lt;95),0.23,0)+IF(AND(V1606&gt;=20,V1606&lt;40,W1606&gt;=95,W1606&lt;=200),0.17,0)+IF(AND(V1606&gt;=20,V1606&lt;40,W1606&gt;=200),0.12,0)+IF(AND(V1606&gt;=40,V1606&lt;75,W1606&lt;35),0.3,0)+IF(AND(V1606&gt;=40,V1606&lt;75,W1606&gt;=35,W1606&lt;75),0.23,0)+IF(AND(V1606&gt;=40,V1606&lt;75,W1606&gt;=75,W1606&lt;120),0.17,0)+IF(AND(V1606&gt;=40,V1606&lt;75,W1606&gt;=120),0.12,0)+IF(AND(V1606&gt;=75,V1606&lt;175,W1606&lt;35),0.3,0)+IF(AND(V1606&gt;=75,V1606&lt;=175,W1606&gt;=35,W1606&lt;65),0.23,0)+IF(AND(V1606&gt;=75,V1606&lt;=175,W1606&gt;=65,W1606&lt;110),0.17,0)+IF(AND(V1606&gt;=75,V1606&lt;=175,W1606&gt;=110),0.12,0)+IF(AND(V1606&gt;175,W1606&lt;25),0.3,0)+IF(AND(V1606&gt;175,W1606&gt;=25,W1606&lt;55),0.23,0)+IF(AND(V1606&gt;175,W1606&gt;=55,W1606&lt;95),0.17,0)+IF(AND(V1606&gt;175,W1606&gt;=95),0.12,0),
IF(AF1606="DoEVLo",IF(AND(V1606&lt;20,W1606&lt;55),0.25,0)+IF(AND(V1606&lt;20,W1606&gt;=55,W1606&lt;105),0.2,0)+IF(AND(V1606&lt;20,W1606&gt;=105),0.15,0)+IF(AND(V1606&gt;=20,V1606&lt;40,W1606&lt;45),0.25,0)+IF(AND(V1606&gt;=20,V1606&lt;40,W1606&gt;=45,W1606&lt;95),0.2,0)+IF(AND(V1606&gt;=20,V1606&lt;40,W1606&gt;=95),0.15,0)+IF(AND(V1606&gt;=40,V1606&lt;75,W1606&lt;35),0.25,0)+IF(AND(V1606&gt;=40,V1606&lt;75,W1606&gt;=35,W1606&lt;75),0.2,0)+IF(AND(V1606&gt;=40,V1606&lt;75,W1606&gt;=75,W1606&lt;120),0.15,0)+IF(AND(V1606&gt;=40,V1606&lt;75,W1606&gt;=120),0.1,0)+IF(AND(V1606&gt;=75,V1606&lt;175,W1606&lt;35),0.25,0)+IF(AND(V1606&gt;=75,V1606&lt;=175,W1606&gt;=35,W1606&lt;65),0.2,0)+IF(AND(V1606&gt;=75,V1606&lt;=175,W1606&gt;=65,W1606&lt;110),0.15,0)+IF(AND(V1606&gt;=75,V1606&lt;=175,W1606&gt;=110),0.1,0)+IF(AND(V1606&gt;175,W1606&lt;25),0.25,0)+IF(AND(V1606&gt;175,W1606&gt;=25,W1606&lt;55),0.2,0)+IF(AND(V1606&gt;175,W1606&gt;=55,W1606&lt;95),0.15,0)+IF(AND(V1606&gt;175,W1606&gt;=95),0.1,0))))))))))))))))))))</f>
        <v>0.3</v>
      </c>
      <c r="Y1606" s="30">
        <f>IF(AG1606="None",0,IF(AG1606="Fix5",0.05, IF(AG1606="Fix6.25",0.0625,IF(AG1606="Fix3.75",0.0375, IF(AG1606="Fix11",0.11, IF(AG1606="Fix10",0.1,IF(AG1606="Fix3",0.03,0)))))))</f>
        <v>0</v>
      </c>
      <c r="Z1606" s="35">
        <f>IF(AND(AD1606="EUR", AE1606 = "USD"), T1606*U1606-AA1606-AB1606, T1606-AA1606-AB1606)</f>
        <v>-1113.7</v>
      </c>
      <c r="AA1606" s="29">
        <f>IF(AND(AD1606="EUR", F1606="Without EV deal", AE1606="USD"), (T1606*X1606)*U1606,
IF(AND(AD1606="EUR", F1606="Without EV deal", AE1606="EUR"), (T1606*X1606),
IF(AND(AD1606="EUR",AE1606="USD"), (T1606*X1606)*U1606,
T1606*X1606)))</f>
        <v>-477.29999999999995</v>
      </c>
      <c r="AB1606" s="36">
        <f>IF(AND(AD1606="EUR", F1606="Without EV deal", AE1606="USD"), (T1606*Y1606)*U1606,
IF(AND(AD1606="EUR", F1606="Without EV deal", AE1606="EUR"), (T1606*Y1606),
IF(AND(AD1606="EUR",AE1606="USD"), (T1606*Y1606)*U1606,
T1606*Y1606)))</f>
        <v>0</v>
      </c>
      <c r="AC1606" s="37" t="b">
        <v>0</v>
      </c>
      <c r="AD1606" s="82" t="str">
        <f>IF(OR(H1606="€0.25 Flash",
H1606="€0.25(nitro) new",
H1606="€1",
H1606="€2",
H1606="€2 (bf 01.08)",
H1606="€5",
H1606="€5 (1M)",
H1606="€5 (bf 01.08)",
H1606="€5 (bf 05.05)",
H1606="€5 Nitro",
H1606="€5(wx) new",
H1606="€10",
H1606="€10 (1M)",
H1606="€10 (bf 01.08)",
H1606="€10 (bf 05.05)",
H1606="€10 (MP)",
H1606="€10 (old)",
H1606="€10 Nitro (bf 05.05)",
H1606="€10 Nitro (old)",
H1606="€10(wx) new",
H1606="€20",
H1606="€25",
H1606="€25 (bf 01.08)",
H1606="€25 (bf 05.05)",
H1606="€25 (MP)",
H1606="€25 (old)",
H1606="€25 Nitro",
H1606="€25 Nitro (bf 01.08)",
H1606="€25 Nitro (bf 05.05)",
H1606="€25(nitro) new",
H1606="€25(wx) new",
H1606="€50",
H1606="€50 (bf 01.08)",
H1606="€50 (bf 05.05)",
H1606="€50 (old)",
H1606="€50 Nitro",
H1606="€50 Nitro (bf 01.08)",
H1606="€50 Nitro (bf 05.05)",
H1606="€50(wx) new",
H1606="€100",
H1606="€100 (old)",
H1606="€100 Nitro",
H1606="€100 Nitro (old)",
H1606="€200",
H1606="€250",
H1606="€250 Nitro",
H1606="€500",
H1606="€500 Nitro"),"EUR", "USD")</f>
        <v>USD</v>
      </c>
      <c r="AE1606" s="83" t="s">
        <v>38</v>
      </c>
      <c r="AF1606" s="83" t="str">
        <f t="array" ref="AF1606">INDEX('Deal Info'!D:D, MATCH(A1606,'Deal Info'!A:A, 0))</f>
        <v>SF</v>
      </c>
      <c r="AG1606" s="84" t="str">
        <f t="array" ref="AG1606">INDEX('Deal Info'!G:G, MATCH(A1606,'Deal Info'!A:A, 0))</f>
        <v>None</v>
      </c>
    </row>
    <row r="1607" spans="1:33" ht="14.25" hidden="1" x14ac:dyDescent="0.2">
      <c r="A1607" s="18" t="str">
        <f t="array" ref="A1607">IF(G1607='Room Info'!$B$1, INDEX('Room Info'!$A$2:$A2446, MATCH(B1607,'Room Info'!$B$2:$B2446, 0)),IF(G1607='Room Info'!$C$1, INDEX('Room Info'!$A$2:$A2446, MATCH(B1607,'Room Info'!$C$2:$C2446, 0)),IF(G1607='Room Info'!$D$1, INDEX('Room Info'!$A$2:$A2446, MATCH(B1607,'Room Info'!$D$2:$D2446, 0)),IF(G1607='Room Info'!$E$1, INDEX('Room Info'!$A$2:$A2446, MATCH(B1607,'Room Info'!$E$2:$E2446, 0)),IF(G1607='Room Info'!$F$1, INDEX('Room Info'!$A$2:$A2446, MATCH(B1607,'Room Info'!$F$2:$F2446, 0)),IF(G1607='Room Info'!$H$1, INDEX('Room Info'!$A$2:$A2446, MATCH(B1607,'Room Info'!$H$2:$H2446, 0)),IF(G1607='Room Info'!$G$1, INDEX('Room Info'!$A$2:$A2446, MATCH(B1607,'Room Info'!$G$2:$G2446, 0)))))))))</f>
        <v>Mexanuk_AV</v>
      </c>
      <c r="B1607" s="45" t="s">
        <v>113</v>
      </c>
      <c r="C1607" s="46">
        <v>44978</v>
      </c>
      <c r="D1607" s="46">
        <v>45005</v>
      </c>
      <c r="E1607" s="90">
        <v>44986</v>
      </c>
      <c r="F1607" s="48" t="s">
        <v>34</v>
      </c>
      <c r="G1607" s="65" t="s">
        <v>35</v>
      </c>
      <c r="H1607" s="91" t="s">
        <v>87</v>
      </c>
      <c r="I1607" s="54" t="s">
        <v>44</v>
      </c>
      <c r="J1607" s="39">
        <v>25</v>
      </c>
      <c r="K1607" s="75">
        <v>7</v>
      </c>
      <c r="L1607" s="72">
        <v>0</v>
      </c>
      <c r="M1607" s="79"/>
      <c r="N1607" s="28">
        <f>K1607*J1607</f>
        <v>175</v>
      </c>
      <c r="O1607" s="45">
        <v>-172</v>
      </c>
      <c r="P1607" s="29">
        <v>-24.571428569999998</v>
      </c>
      <c r="Q1607" s="55"/>
      <c r="R1607" s="31">
        <f>M1607+Q1607*J1607*K1607*0.07</f>
        <v>0</v>
      </c>
      <c r="S1607" s="97"/>
      <c r="T1607" s="32">
        <f>IF(AND(AD1607="EUR", F1607="Without EV deal"), R1607 + L1607,
IF(AND(AD1607="USD", F1607="Without EV deal"), R1607 + L1607,
IF(AND(AD1607="EUR", F1607="Steel Phoenix"), R1607 + S1607/U1607,
R1607 + S1607)))</f>
        <v>0</v>
      </c>
      <c r="U1607" s="57">
        <v>1.071</v>
      </c>
      <c r="V1607" s="64">
        <v>10</v>
      </c>
      <c r="W1607" s="64">
        <v>29</v>
      </c>
      <c r="X1607" s="30">
        <f>IF(AF1607="DoEV",IF(AND(V1607&lt;20,W1607&lt;55),0.3,0)+IF(AND(V1607&lt;20,W1607&gt;=55,W1607&lt;105),0.23,0)+IF(AND(V1607&lt;20,W1607&gt;=105),0.17,0)+IF(AND(V1607&gt;=20,V1607&lt;40,W1607&lt;45),0.3,0)+IF(AND(V1607&gt;=20,V1607&lt;40,W1607&gt;=45,W1607&lt;95),0.23,0)+IF(AND(V1607&gt;=20,V1607&lt;40,W1607&gt;=95),0.17,0)+IF(AND(V1607&gt;=40,V1607&lt;75,W1607&lt;35),0.3,0)+IF(AND(V1607&gt;=40,V1607&lt;75,W1607&gt;=35,W1607&lt;75),0.23,0)+IF(AND(V1607&gt;=40,V1607&lt;75,W1607&gt;=75,W1607&lt;120),0.17,0)+IF(AND(V1607&gt;=40,V1607&lt;75,W1607&gt;=120),0.12,0)+IF(AND(V1607&gt;=75,V1607&lt;175,W1607&lt;35),0.3,0)+IF(AND(V1607&gt;=75,V1607&lt;=175,W1607&gt;=35,W1607&lt;65),0.23,0)+IF(AND(V1607&gt;=75,V1607&lt;=175,W1607&gt;=65,W1607&lt;110),0.17,0)+IF(AND(V1607&gt;=75,V1607&lt;=175,W1607&gt;=110),0.12,0)+IF(AND(V1607&gt;175,W1607&lt;25),0.3,0)+IF(AND(V1607&gt;175,W1607&gt;=25,W1607&lt;55),0.23,0)+IF(AND(V1607&gt;175,W1607&gt;=55,W1607&lt;95),0.17,0)+IF(AND(V1607&gt;175,W1607&gt;=95),0.12,0),
IF(AF1607="Fix15",0.15,
IF(AF1607="Fix5",0.05,
IF(AF1607="Fix18.75",0.1875,
IF(AF1607="Fix11.25",0.1125,
IF(AF1607="Fix10",0.1,
IF(AF1607="Fix9",0.09,
IF(AF1607="Fix12",0.12,
IF(AF1607="Fix19",0.19,
IF(AF1607="DoEV2017",IF(AND(W1607&lt;74),0.2,0)+IF(AND(W1607&gt;=74),0.17,0),
IF(AF1607="SF",IF(AND(V1607&lt;20,W1607&lt;89),0.3,0)+IF(AND(V1607&lt;20,W1607&gt;=89),0.25,0)+IF(AND(V1607&gt;=20,V1607&lt;40,W1607&lt;74),0.3,0)+IF(AND(V1607&gt;=20,V1607&lt;40,W1607&gt;=75),0.22,0)+IF(AND(V1607&gt;=40,V1607&lt;75,W1607&lt;75),0.26,0)+IF(AND(V1607&gt;=40,V1607&lt;75,W1607&gt;=75),0.22,0)+IF(V1607&gt;=75,0.22,0),
IF(AF1607="DoEVold",IF(AND(V1607&lt;40,W1607&lt;35),0.35,0)+IF(AND(V1607&lt;40,W1607&gt;=35,W1607&lt;75),0.25,0)+IF(AND(V1607&lt;40,W1607&gt;=75),0.17,0)+IF(AND(V1607&gt;=40,V1607&lt;75,W1607&lt;25),0.35,0)+IF(AND(V1607&gt;=40,V1607&lt;75,W1607&gt;=25,W1607&lt;65),0.25,0)+IF(AND(V1607&gt;=40,V1607&lt;75,W1607&gt;=65,W1607&lt;100),0.17,0)+IF(AND(V1607&gt;=40,V1607&lt;75,W1607&gt;=100),0.1,0)+IF(AND(V1607&gt;=75,W1607&lt;25),0.35,0)+IF(AND(V1607&gt;=75,W1607&gt;=25,W1607&lt;60),0.25,0)+IF(AND(V1607&gt;=75,W1607&gt;=60,W1607&lt;95),0.17,0)+IF(AND(V1607&gt;=75,W1607&gt;=95),0.1,0),
IF(AF1607="DoEVold15",IF(AND(V1607&lt;=40,W1607&lt;35),0.35,0)+IF(AND(V1607&lt;=40,W1607&gt;=35,W1607&lt;75),0.25,0)+IF(AND(V1607&lt;=40,W1607&gt;=75,W1607&lt;120),0.17,0)+IF(AND(V1607&lt;=40,W1607&gt;=120),0.15,0)+IF(AND(V1607&gt;40,V1607&lt;75,W1607&lt;25),0.35,0)+IF(AND(V1607&gt;=40,V1607&lt;75,W1607&gt;=25,W1607&lt;65),0.25,0)+IF(AND(V1607&gt;=40,V1607&lt;75,W1607&gt;=65,W1607&lt;100),0.17,0)+IF(AND(V1607&gt;=40,V1607&lt;75,W1607&gt;=100),0.1,0)+IF(AND(V1607&gt;=75,W1607&lt;25),0.35,0)+IF(AND(V1607&gt;=75,W1607&gt;=25,W1607&lt;60),0.25,0)+IF(AND(V1607&gt;=75,W1607&gt;=60,W1607&lt;95),0.17,0)+IF(AND(V1607&gt;=75,W1607&gt;=95),0.1,0),
IF(AF1607="DoEVba",IF(AND(V1607&lt;20,W1607&lt;105),0.2,0)+IF(AND(V1607&lt;20,W1607&gt;=105),0.15,0)+IF(AND(V1607&gt;=20,V1607&lt;40,W1607&lt;95),0.2,0)+IF(AND(V1607&gt;=20,V1607&lt;40,W1607&gt;=95,W1607&lt;150),0.15,0)+IF(AND(V1607&gt;=20,V1607&lt;40,W1607&gt;=150),0.12,0)+IF(AND(V1607&gt;=40,V1607&lt;75,W1607&lt;75),0.2,0)+IF(AND(V1607&gt;=40,V1607&lt;75,W1607&gt;=75,W1607&lt;120),0.15,0)+IF(AND(V1607&gt;=40,V1607&lt;75,W1607&gt;=120),0.12,0)+IF(AND(V1607&gt;=75,V1607&lt;175,W1607&lt;65),0.2,0)+IF(AND(V1607&gt;=75,V1607&lt;175,W1607&gt;=65,W1607&lt;110),0.15,0)+IF(AND(V1607&gt;=75,V1607&lt;175,W1607&gt;=110),0.12,0)+IF(AND(V1607&gt;=175,W1607&lt;55),0.2,0)+IF(AND(V1607&gt;=175,W1607&gt;=55,W1607&lt;95),0.15,0)+IF(AND(V1607&gt;=175,W1607&gt;=95),0.12,0),
IF(AF1607="DoEVku",IF(AND(V1607&lt;20,W1607&lt;55),0.23,0)+IF(AND(V1607&lt;20,W1607&gt;=55,W1607&lt;105),0.2,0)+IF(AND(V1607&lt;20,W1607&gt;=105),0.17,0)+IF(AND(V1607&gt;=20,V1607&lt;40,W1607&lt;45),0.23,0)+IF(AND(V1607&gt;=20,V1607&lt;40,W1607&gt;=45,W1607&lt;95),0.2,0)+IF(AND(V1607&gt;=20,V1607&lt;40,W1607&gt;=95,W1607&lt;=150),0.17,0)+IF(AND(V1607&gt;=20,V1607&lt;40,W1607&gt;=150),0.12,0)+IF(AND(V1607&gt;=40,V1607&lt;75,W1607&lt;35),0.23,0)+IF(AND(V1607&gt;=40,V1607&lt;75,W1607&gt;=35,W1607&lt;75),0.2,0)+IF(AND(V1607&gt;=40,V1607&lt;75,W1607&gt;=75,W1607&lt;120),0.17,0)+IF(AND(V1607&gt;=40,V1607&lt;75,W1607&gt;=120),0.12,0)+IF(AND(V1607&gt;=75,V1607&lt;175,W1607&lt;35),0.23,0)+IF(AND(V1607&gt;=75,V1607&lt;=175,W1607&gt;=35,W1607&lt;65),0.2,0)+IF(AND(V1607&gt;=75,V1607&lt;=175,W1607&gt;=65,W1607&lt;110),0.17,0)+IF(AND(V1607&gt;=75,V1607&lt;=175,W1607&gt;=110),0.12,0)+IF(AND(V1607&gt;175,W1607&lt;25),0.23,0)+IF(AND(V1607&gt;175,W1607&gt;=25,W1607&lt;55),0.2,0)+IF(AND(V1607&gt;175,W1607&gt;=55,W1607&lt;95),0.17,0)+IF(AND(V1607&gt;175,W1607&gt;=95),0.12,0),
IF(AF1607="DoEVs1",IF(AND(V1607&lt;20,W1607&lt;55),0.3,0)+IF(AND(V1607&lt;20,W1607&gt;=55,W1607&lt;105),0.23,0)+IF(AND(V1607&lt;20,W1607&gt;=105),0.17,0)+IF(AND(V1607&gt;=20,V1607&lt;40,W1607&lt;45),0.3,0)+IF(AND(V1607&gt;=20,V1607&lt;40,W1607&gt;=45,W1607&lt;95),0.23,0)+IF(AND(V1607&gt;=20,V1607&lt;40,W1607&gt;=95,W1607&lt;=150),0.17,0)+IF(AND(V1607&gt;=20,V1607&lt;40,W1607&gt;=150),0.12,0)+IF(AND(V1607&gt;=40,V1607&lt;75,W1607&lt;35),0.3,0)+IF(AND(V1607&gt;=40,V1607&lt;75,W1607&gt;=35,W1607&lt;75),0.23,0)+IF(AND(V1607&gt;=40,V1607&lt;75,W1607&gt;=75,W1607&lt;120),0.17,0)+IF(AND(V1607&gt;=40,V1607&lt;75,W1607&gt;=120),0.12,0)+IF(AND(V1607&gt;=75,V1607&lt;175,W1607&lt;35),0.3,0)+IF(AND(V1607&gt;=75,V1607&lt;=175,W1607&gt;=35,W1607&lt;65),0.23,0)+IF(AND(V1607&gt;=75,V1607&lt;=175,W1607&gt;=65,W1607&lt;110),0.17,0)+IF(AND(V1607&gt;=75,V1607&lt;=175,W1607&gt;=110),0.12,0)+IF(AND(V1607&gt;175,W1607&lt;25),0.3,0)+IF(AND(V1607&gt;175,W1607&gt;=25,W1607&lt;55),0.23,0)+IF(AND(V1607&gt;175,W1607&gt;=55,W1607&lt;95),0.17,0)+IF(AND(V1607&gt;175,W1607&gt;=95),0.12,0),
IF(AF1607="DoEVsu",IF(AND(V1607&lt;20,W1607&lt;55),0.3,0)+IF(AND(V1607&lt;20,W1607&gt;=55,W1607&lt;105),0.23,0)+IF(AND(V1607&lt;20,W1607&gt;=105),0.17,0)+IF(AND(V1607&gt;=20,V1607&lt;40,W1607&lt;45),0.3,0)+IF(AND(V1607&gt;=20,V1607&lt;40,W1607&gt;=45,W1607&lt;95),0.23,0)+IF(AND(V1607&gt;=20,V1607&lt;40,W1607&gt;=95,W1607&lt;=250),0.17,0)+IF(AND(V1607&gt;=20,V1607&lt;40,W1607&gt;=250),0.12,0)+IF(AND(V1607&gt;=40,V1607&lt;75,W1607&lt;35),0.3,0)+IF(AND(V1607&gt;=40,V1607&lt;75,W1607&gt;=35,W1607&lt;75),0.23,0)+IF(AND(V1607&gt;=40,V1607&lt;75,W1607&gt;=75,W1607&lt;120),0.17,0)+IF(AND(V1607&gt;=40,V1607&lt;75,W1607&gt;=120),0.12,0)+IF(AND(V1607&gt;=75,V1607&lt;175,W1607&lt;35),0.3,0)+IF(AND(V1607&gt;=75,V1607&lt;=175,W1607&gt;=35,W1607&lt;65),0.23,0)+IF(AND(V1607&gt;=75,V1607&lt;=175,W1607&gt;=65,W1607&lt;110),0.17,0)+IF(AND(V1607&gt;=75,V1607&lt;=175,W1607&gt;=110),0.12,0)+IF(AND(V1607&gt;175,W1607&lt;25),0.3,0)+IF(AND(V1607&gt;175,W1607&gt;=25,W1607&lt;55),0.23,0)+IF(AND(V1607&gt;175,W1607&gt;=55,W1607&lt;95),0.17,0)+IF(AND(V1607&gt;175,W1607&gt;=95),0.12,0),
IF(AF1607="DoEVni",IF(AND(V1607&lt;20,W1607&lt;55),0.3,0)+IF(AND(V1607&lt;20,W1607&gt;=55,W1607&lt;105),0.23,0)+IF(AND(V1607&lt;20,W1607&gt;=105),0.17,0)+IF(AND(V1607&gt;=20,V1607&lt;40,W1607&lt;45),0.3,0)+IF(AND(V1607&gt;=20,V1607&lt;40,W1607&gt;=45,W1607&lt;95),0.23,0)+IF(AND(V1607&gt;=20,V1607&lt;40,W1607&gt;=95,W1607&lt;=200),0.17,0)+IF(AND(V1607&gt;=20,V1607&lt;40,W1607&gt;=200),0.12,0)+IF(AND(V1607&gt;=40,V1607&lt;75,W1607&lt;35),0.3,0)+IF(AND(V1607&gt;=40,V1607&lt;75,W1607&gt;=35,W1607&lt;75),0.23,0)+IF(AND(V1607&gt;=40,V1607&lt;75,W1607&gt;=75,W1607&lt;120),0.17,0)+IF(AND(V1607&gt;=40,V1607&lt;75,W1607&gt;=120),0.12,0)+IF(AND(V1607&gt;=75,V1607&lt;175,W1607&lt;35),0.3,0)+IF(AND(V1607&gt;=75,V1607&lt;=175,W1607&gt;=35,W1607&lt;65),0.23,0)+IF(AND(V1607&gt;=75,V1607&lt;=175,W1607&gt;=65,W1607&lt;110),0.17,0)+IF(AND(V1607&gt;=75,V1607&lt;=175,W1607&gt;=110),0.12,0)+IF(AND(V1607&gt;175,W1607&lt;25),0.3,0)+IF(AND(V1607&gt;175,W1607&gt;=25,W1607&lt;55),0.23,0)+IF(AND(V1607&gt;175,W1607&gt;=55,W1607&lt;95),0.17,0)+IF(AND(V1607&gt;175,W1607&gt;=95),0.12,0),
IF(AF1607="DoEVLo",IF(AND(V1607&lt;20,W1607&lt;55),0.25,0)+IF(AND(V1607&lt;20,W1607&gt;=55,W1607&lt;105),0.2,0)+IF(AND(V1607&lt;20,W1607&gt;=105),0.15,0)+IF(AND(V1607&gt;=20,V1607&lt;40,W1607&lt;45),0.25,0)+IF(AND(V1607&gt;=20,V1607&lt;40,W1607&gt;=45,W1607&lt;95),0.2,0)+IF(AND(V1607&gt;=20,V1607&lt;40,W1607&gt;=95),0.15,0)+IF(AND(V1607&gt;=40,V1607&lt;75,W1607&lt;35),0.25,0)+IF(AND(V1607&gt;=40,V1607&lt;75,W1607&gt;=35,W1607&lt;75),0.2,0)+IF(AND(V1607&gt;=40,V1607&lt;75,W1607&gt;=75,W1607&lt;120),0.15,0)+IF(AND(V1607&gt;=40,V1607&lt;75,W1607&gt;=120),0.1,0)+IF(AND(V1607&gt;=75,V1607&lt;175,W1607&lt;35),0.25,0)+IF(AND(V1607&gt;=75,V1607&lt;=175,W1607&gt;=35,W1607&lt;65),0.2,0)+IF(AND(V1607&gt;=75,V1607&lt;=175,W1607&gt;=65,W1607&lt;110),0.15,0)+IF(AND(V1607&gt;=75,V1607&lt;=175,W1607&gt;=110),0.1,0)+IF(AND(V1607&gt;175,W1607&lt;25),0.25,0)+IF(AND(V1607&gt;175,W1607&gt;=25,W1607&lt;55),0.2,0)+IF(AND(V1607&gt;175,W1607&gt;=55,W1607&lt;95),0.15,0)+IF(AND(V1607&gt;175,W1607&gt;=95),0.1,0))))))))))))))))))))</f>
        <v>0.3</v>
      </c>
      <c r="Y1607" s="30">
        <f>IF(AG1607="None",0,IF(AG1607="Fix5",0.05, IF(AG1607="Fix6.25",0.0625,IF(AG1607="Fix3.75",0.0375, IF(AG1607="Fix11",0.11, IF(AG1607="Fix10",0.1,IF(AG1607="Fix3",0.03,0)))))))</f>
        <v>0</v>
      </c>
      <c r="Z1607" s="35">
        <f>IF(AND(AD1607="EUR", AE1607 = "USD"), T1607*U1607-AA1607-AB1607, T1607-AA1607-AB1607)</f>
        <v>0</v>
      </c>
      <c r="AA1607" s="29">
        <f>IF(AND(AD1607="EUR", F1607="Without EV deal", AE1607="USD"), (T1607*X1607)*U1607,
IF(AND(AD1607="EUR", F1607="Without EV deal", AE1607="EUR"), (T1607*X1607),
IF(AND(AD1607="EUR",AE1607="USD"), (T1607*X1607)*U1607,
T1607*X1607)))</f>
        <v>0</v>
      </c>
      <c r="AB1607" s="36">
        <f>IF(AND(AD1607="EUR", F1607="Without EV deal", AE1607="USD"), (T1607*Y1607)*U1607,
IF(AND(AD1607="EUR", F1607="Without EV deal", AE1607="EUR"), (T1607*Y1607),
IF(AND(AD1607="EUR",AE1607="USD"), (T1607*Y1607)*U1607,
T1607*Y1607)))</f>
        <v>0</v>
      </c>
      <c r="AC1607" s="37" t="b">
        <v>0</v>
      </c>
      <c r="AD1607" s="82" t="str">
        <f>IF(OR(H1607="€0.25 Flash",
H1607="€0.25(nitro) new",
H1607="€1",
H1607="€2",
H1607="€2 (bf 01.08)",
H1607="€5",
H1607="€5 (1M)",
H1607="€5 (bf 01.08)",
H1607="€5 (bf 05.05)",
H1607="€5 Nitro",
H1607="€5(wx) new",
H1607="€10",
H1607="€10 (1M)",
H1607="€10 (bf 01.08)",
H1607="€10 (bf 05.05)",
H1607="€10 (MP)",
H1607="€10 (old)",
H1607="€10 Nitro (bf 05.05)",
H1607="€10 Nitro (old)",
H1607="€10(wx) new",
H1607="€20",
H1607="€25",
H1607="€25 (bf 01.08)",
H1607="€25 (bf 05.05)",
H1607="€25 (MP)",
H1607="€25 (old)",
H1607="€25 Nitro",
H1607="€25 Nitro (bf 01.08)",
H1607="€25 Nitro (bf 05.05)",
H1607="€25(nitro) new",
H1607="€25(wx) new",
H1607="€50",
H1607="€50 (bf 01.08)",
H1607="€50 (bf 05.05)",
H1607="€50 (old)",
H1607="€50 Nitro",
H1607="€50 Nitro (bf 01.08)",
H1607="€50 Nitro (bf 05.05)",
H1607="€50(wx) new",
H1607="€100",
H1607="€100 (old)",
H1607="€100 Nitro",
H1607="€100 Nitro (old)",
H1607="€200",
H1607="€250",
H1607="€250 Nitro",
H1607="€500",
H1607="€500 Nitro"),"EUR", "USD")</f>
        <v>USD</v>
      </c>
      <c r="AE1607" s="83" t="s">
        <v>38</v>
      </c>
      <c r="AF1607" s="83" t="str">
        <f t="array" ref="AF1607">INDEX('Deal Info'!D:D, MATCH(A1607,'Deal Info'!A:A, 0))</f>
        <v>SF</v>
      </c>
      <c r="AG1607" s="84" t="str">
        <f t="array" ref="AG1607">INDEX('Deal Info'!G:G, MATCH(A1607,'Deal Info'!A:A, 0))</f>
        <v>None</v>
      </c>
    </row>
    <row r="1608" spans="1:33" ht="14.25" hidden="1" x14ac:dyDescent="0.2">
      <c r="A1608" s="18" t="str">
        <f t="array" ref="A1608">IF(G1608='Room Info'!$B$1, INDEX('Room Info'!$A$2:$A2446, MATCH(B1608,'Room Info'!$B$2:$B2446, 0)),IF(G1608='Room Info'!$C$1, INDEX('Room Info'!$A$2:$A2446, MATCH(B1608,'Room Info'!$C$2:$C2446, 0)),IF(G1608='Room Info'!$D$1, INDEX('Room Info'!$A$2:$A2446, MATCH(B1608,'Room Info'!$D$2:$D2446, 0)),IF(G1608='Room Info'!$E$1, INDEX('Room Info'!$A$2:$A2446, MATCH(B1608,'Room Info'!$E$2:$E2446, 0)),IF(G1608='Room Info'!$F$1, INDEX('Room Info'!$A$2:$A2446, MATCH(B1608,'Room Info'!$F$2:$F2446, 0)),IF(G1608='Room Info'!$H$1, INDEX('Room Info'!$A$2:$A2446, MATCH(B1608,'Room Info'!$H$2:$H2446, 0)),IF(G1608='Room Info'!$G$1, INDEX('Room Info'!$A$2:$A2446, MATCH(B1608,'Room Info'!$G$2:$G2446, 0)))))))))</f>
        <v>BodyaComUa</v>
      </c>
      <c r="B1608" s="45" t="s">
        <v>156</v>
      </c>
      <c r="C1608" s="46">
        <v>44978</v>
      </c>
      <c r="D1608" s="46">
        <v>45005</v>
      </c>
      <c r="E1608" s="90">
        <v>44986</v>
      </c>
      <c r="F1608" s="96" t="s">
        <v>41</v>
      </c>
      <c r="G1608" s="65" t="s">
        <v>35</v>
      </c>
      <c r="H1608" s="91" t="s">
        <v>42</v>
      </c>
      <c r="I1608" s="100" t="s">
        <v>37</v>
      </c>
      <c r="J1608" s="39">
        <v>1</v>
      </c>
      <c r="K1608" s="75">
        <v>1</v>
      </c>
      <c r="L1608" s="72">
        <v>-1</v>
      </c>
      <c r="M1608" s="76">
        <v>1120</v>
      </c>
      <c r="N1608" s="28">
        <f>K1608*J1608</f>
        <v>1</v>
      </c>
      <c r="O1608" s="96"/>
      <c r="P1608" s="29">
        <v>0</v>
      </c>
      <c r="Q1608" s="55"/>
      <c r="R1608" s="31">
        <f>M1608+Q1608*J1608*K1608*0.07</f>
        <v>1120</v>
      </c>
      <c r="S1608" s="73">
        <v>202</v>
      </c>
      <c r="T1608" s="32">
        <f>IF(AND(AD1608="EUR", F1608="Without EV deal"), R1608 + L1608,
IF(AND(AD1608="USD", F1608="Without EV deal"), R1608 + L1608,
IF(AND(AD1608="EUR", F1608="Steel Phoenix"), R1608 + S1608/U1608,
R1608 + S1608)))</f>
        <v>1119</v>
      </c>
      <c r="U1608" s="57">
        <v>1.071</v>
      </c>
      <c r="V1608" s="69">
        <v>7.9485414618157977</v>
      </c>
      <c r="W1608" s="69">
        <v>166.19401261803637</v>
      </c>
      <c r="X1608" s="30">
        <f>IF(AF1608="DoEV",IF(AND(V1608&lt;20,W1608&lt;55),0.3,0)+IF(AND(V1608&lt;20,W1608&gt;=55,W1608&lt;105),0.23,0)+IF(AND(V1608&lt;20,W1608&gt;=105),0.17,0)+IF(AND(V1608&gt;=20,V1608&lt;40,W1608&lt;45),0.3,0)+IF(AND(V1608&gt;=20,V1608&lt;40,W1608&gt;=45,W1608&lt;95),0.23,0)+IF(AND(V1608&gt;=20,V1608&lt;40,W1608&gt;=95),0.17,0)+IF(AND(V1608&gt;=40,V1608&lt;75,W1608&lt;35),0.3,0)+IF(AND(V1608&gt;=40,V1608&lt;75,W1608&gt;=35,W1608&lt;75),0.23,0)+IF(AND(V1608&gt;=40,V1608&lt;75,W1608&gt;=75,W1608&lt;120),0.17,0)+IF(AND(V1608&gt;=40,V1608&lt;75,W1608&gt;=120),0.12,0)+IF(AND(V1608&gt;=75,V1608&lt;175,W1608&lt;35),0.3,0)+IF(AND(V1608&gt;=75,V1608&lt;=175,W1608&gt;=35,W1608&lt;65),0.23,0)+IF(AND(V1608&gt;=75,V1608&lt;=175,W1608&gt;=65,W1608&lt;110),0.17,0)+IF(AND(V1608&gt;=75,V1608&lt;=175,W1608&gt;=110),0.12,0)+IF(AND(V1608&gt;175,W1608&lt;25),0.3,0)+IF(AND(V1608&gt;175,W1608&gt;=25,W1608&lt;55),0.23,0)+IF(AND(V1608&gt;175,W1608&gt;=55,W1608&lt;95),0.17,0)+IF(AND(V1608&gt;175,W1608&gt;=95),0.12,0),
IF(AF1608="Fix15",0.15,
IF(AF1608="Fix5",0.05,
IF(AF1608="Fix18.75",0.1875,
IF(AF1608="Fix11.25",0.1125,
IF(AF1608="Fix10",0.1,
IF(AF1608="Fix9",0.09,
IF(AF1608="Fix12",0.12,
IF(AF1608="Fix19",0.19,
IF(AF1608="DoEV2017",IF(AND(W1608&lt;74),0.2,0)+IF(AND(W1608&gt;=74),0.17,0),
IF(AF1608="SF",IF(AND(V1608&lt;20,W1608&lt;89),0.3,0)+IF(AND(V1608&lt;20,W1608&gt;=89),0.25,0)+IF(AND(V1608&gt;=20,V1608&lt;40,W1608&lt;74),0.3,0)+IF(AND(V1608&gt;=20,V1608&lt;40,W1608&gt;=75),0.22,0)+IF(AND(V1608&gt;=40,V1608&lt;75,W1608&lt;75),0.26,0)+IF(AND(V1608&gt;=40,V1608&lt;75,W1608&gt;=75),0.22,0)+IF(V1608&gt;=75,0.22,0),
IF(AF1608="DoEVold",IF(AND(V1608&lt;40,W1608&lt;35),0.35,0)+IF(AND(V1608&lt;40,W1608&gt;=35,W1608&lt;75),0.25,0)+IF(AND(V1608&lt;40,W1608&gt;=75),0.17,0)+IF(AND(V1608&gt;=40,V1608&lt;75,W1608&lt;25),0.35,0)+IF(AND(V1608&gt;=40,V1608&lt;75,W1608&gt;=25,W1608&lt;65),0.25,0)+IF(AND(V1608&gt;=40,V1608&lt;75,W1608&gt;=65,W1608&lt;100),0.17,0)+IF(AND(V1608&gt;=40,V1608&lt;75,W1608&gt;=100),0.1,0)+IF(AND(V1608&gt;=75,W1608&lt;25),0.35,0)+IF(AND(V1608&gt;=75,W1608&gt;=25,W1608&lt;60),0.25,0)+IF(AND(V1608&gt;=75,W1608&gt;=60,W1608&lt;95),0.17,0)+IF(AND(V1608&gt;=75,W1608&gt;=95),0.1,0),
IF(AF1608="DoEVold15",IF(AND(V1608&lt;=40,W1608&lt;35),0.35,0)+IF(AND(V1608&lt;=40,W1608&gt;=35,W1608&lt;75),0.25,0)+IF(AND(V1608&lt;=40,W1608&gt;=75,W1608&lt;120),0.17,0)+IF(AND(V1608&lt;=40,W1608&gt;=120),0.15,0)+IF(AND(V1608&gt;40,V1608&lt;75,W1608&lt;25),0.35,0)+IF(AND(V1608&gt;=40,V1608&lt;75,W1608&gt;=25,W1608&lt;65),0.25,0)+IF(AND(V1608&gt;=40,V1608&lt;75,W1608&gt;=65,W1608&lt;100),0.17,0)+IF(AND(V1608&gt;=40,V1608&lt;75,W1608&gt;=100),0.1,0)+IF(AND(V1608&gt;=75,W1608&lt;25),0.35,0)+IF(AND(V1608&gt;=75,W1608&gt;=25,W1608&lt;60),0.25,0)+IF(AND(V1608&gt;=75,W1608&gt;=60,W1608&lt;95),0.17,0)+IF(AND(V1608&gt;=75,W1608&gt;=95),0.1,0),
IF(AF1608="DoEVba",IF(AND(V1608&lt;20,W1608&lt;105),0.2,0)+IF(AND(V1608&lt;20,W1608&gt;=105),0.15,0)+IF(AND(V1608&gt;=20,V1608&lt;40,W1608&lt;95),0.2,0)+IF(AND(V1608&gt;=20,V1608&lt;40,W1608&gt;=95,W1608&lt;150),0.15,0)+IF(AND(V1608&gt;=20,V1608&lt;40,W1608&gt;=150),0.12,0)+IF(AND(V1608&gt;=40,V1608&lt;75,W1608&lt;75),0.2,0)+IF(AND(V1608&gt;=40,V1608&lt;75,W1608&gt;=75,W1608&lt;120),0.15,0)+IF(AND(V1608&gt;=40,V1608&lt;75,W1608&gt;=120),0.12,0)+IF(AND(V1608&gt;=75,V1608&lt;175,W1608&lt;65),0.2,0)+IF(AND(V1608&gt;=75,V1608&lt;175,W1608&gt;=65,W1608&lt;110),0.15,0)+IF(AND(V1608&gt;=75,V1608&lt;175,W1608&gt;=110),0.12,0)+IF(AND(V1608&gt;=175,W1608&lt;55),0.2,0)+IF(AND(V1608&gt;=175,W1608&gt;=55,W1608&lt;95),0.15,0)+IF(AND(V1608&gt;=175,W1608&gt;=95),0.12,0),
IF(AF1608="DoEVku",IF(AND(V1608&lt;20,W1608&lt;55),0.23,0)+IF(AND(V1608&lt;20,W1608&gt;=55,W1608&lt;105),0.2,0)+IF(AND(V1608&lt;20,W1608&gt;=105),0.17,0)+IF(AND(V1608&gt;=20,V1608&lt;40,W1608&lt;45),0.23,0)+IF(AND(V1608&gt;=20,V1608&lt;40,W1608&gt;=45,W1608&lt;95),0.2,0)+IF(AND(V1608&gt;=20,V1608&lt;40,W1608&gt;=95,W1608&lt;=150),0.17,0)+IF(AND(V1608&gt;=20,V1608&lt;40,W1608&gt;=150),0.12,0)+IF(AND(V1608&gt;=40,V1608&lt;75,W1608&lt;35),0.23,0)+IF(AND(V1608&gt;=40,V1608&lt;75,W1608&gt;=35,W1608&lt;75),0.2,0)+IF(AND(V1608&gt;=40,V1608&lt;75,W1608&gt;=75,W1608&lt;120),0.17,0)+IF(AND(V1608&gt;=40,V1608&lt;75,W1608&gt;=120),0.12,0)+IF(AND(V1608&gt;=75,V1608&lt;175,W1608&lt;35),0.23,0)+IF(AND(V1608&gt;=75,V1608&lt;=175,W1608&gt;=35,W1608&lt;65),0.2,0)+IF(AND(V1608&gt;=75,V1608&lt;=175,W1608&gt;=65,W1608&lt;110),0.17,0)+IF(AND(V1608&gt;=75,V1608&lt;=175,W1608&gt;=110),0.12,0)+IF(AND(V1608&gt;175,W1608&lt;25),0.23,0)+IF(AND(V1608&gt;175,W1608&gt;=25,W1608&lt;55),0.2,0)+IF(AND(V1608&gt;175,W1608&gt;=55,W1608&lt;95),0.17,0)+IF(AND(V1608&gt;175,W1608&gt;=95),0.12,0),
IF(AF1608="DoEVs1",IF(AND(V1608&lt;20,W1608&lt;55),0.3,0)+IF(AND(V1608&lt;20,W1608&gt;=55,W1608&lt;105),0.23,0)+IF(AND(V1608&lt;20,W1608&gt;=105),0.17,0)+IF(AND(V1608&gt;=20,V1608&lt;40,W1608&lt;45),0.3,0)+IF(AND(V1608&gt;=20,V1608&lt;40,W1608&gt;=45,W1608&lt;95),0.23,0)+IF(AND(V1608&gt;=20,V1608&lt;40,W1608&gt;=95,W1608&lt;=150),0.17,0)+IF(AND(V1608&gt;=20,V1608&lt;40,W1608&gt;=150),0.12,0)+IF(AND(V1608&gt;=40,V1608&lt;75,W1608&lt;35),0.3,0)+IF(AND(V1608&gt;=40,V1608&lt;75,W1608&gt;=35,W1608&lt;75),0.23,0)+IF(AND(V1608&gt;=40,V1608&lt;75,W1608&gt;=75,W1608&lt;120),0.17,0)+IF(AND(V1608&gt;=40,V1608&lt;75,W1608&gt;=120),0.12,0)+IF(AND(V1608&gt;=75,V1608&lt;175,W1608&lt;35),0.3,0)+IF(AND(V1608&gt;=75,V1608&lt;=175,W1608&gt;=35,W1608&lt;65),0.23,0)+IF(AND(V1608&gt;=75,V1608&lt;=175,W1608&gt;=65,W1608&lt;110),0.17,0)+IF(AND(V1608&gt;=75,V1608&lt;=175,W1608&gt;=110),0.12,0)+IF(AND(V1608&gt;175,W1608&lt;25),0.3,0)+IF(AND(V1608&gt;175,W1608&gt;=25,W1608&lt;55),0.23,0)+IF(AND(V1608&gt;175,W1608&gt;=55,W1608&lt;95),0.17,0)+IF(AND(V1608&gt;175,W1608&gt;=95),0.12,0),
IF(AF1608="DoEVsu",IF(AND(V1608&lt;20,W1608&lt;55),0.3,0)+IF(AND(V1608&lt;20,W1608&gt;=55,W1608&lt;105),0.23,0)+IF(AND(V1608&lt;20,W1608&gt;=105),0.17,0)+IF(AND(V1608&gt;=20,V1608&lt;40,W1608&lt;45),0.3,0)+IF(AND(V1608&gt;=20,V1608&lt;40,W1608&gt;=45,W1608&lt;95),0.23,0)+IF(AND(V1608&gt;=20,V1608&lt;40,W1608&gt;=95,W1608&lt;=250),0.17,0)+IF(AND(V1608&gt;=20,V1608&lt;40,W1608&gt;=250),0.12,0)+IF(AND(V1608&gt;=40,V1608&lt;75,W1608&lt;35),0.3,0)+IF(AND(V1608&gt;=40,V1608&lt;75,W1608&gt;=35,W1608&lt;75),0.23,0)+IF(AND(V1608&gt;=40,V1608&lt;75,W1608&gt;=75,W1608&lt;120),0.17,0)+IF(AND(V1608&gt;=40,V1608&lt;75,W1608&gt;=120),0.12,0)+IF(AND(V1608&gt;=75,V1608&lt;175,W1608&lt;35),0.3,0)+IF(AND(V1608&gt;=75,V1608&lt;=175,W1608&gt;=35,W1608&lt;65),0.23,0)+IF(AND(V1608&gt;=75,V1608&lt;=175,W1608&gt;=65,W1608&lt;110),0.17,0)+IF(AND(V1608&gt;=75,V1608&lt;=175,W1608&gt;=110),0.12,0)+IF(AND(V1608&gt;175,W1608&lt;25),0.3,0)+IF(AND(V1608&gt;175,W1608&gt;=25,W1608&lt;55),0.23,0)+IF(AND(V1608&gt;175,W1608&gt;=55,W1608&lt;95),0.17,0)+IF(AND(V1608&gt;175,W1608&gt;=95),0.12,0),
IF(AF1608="DoEVni",IF(AND(V1608&lt;20,W1608&lt;55),0.3,0)+IF(AND(V1608&lt;20,W1608&gt;=55,W1608&lt;105),0.23,0)+IF(AND(V1608&lt;20,W1608&gt;=105),0.17,0)+IF(AND(V1608&gt;=20,V1608&lt;40,W1608&lt;45),0.3,0)+IF(AND(V1608&gt;=20,V1608&lt;40,W1608&gt;=45,W1608&lt;95),0.23,0)+IF(AND(V1608&gt;=20,V1608&lt;40,W1608&gt;=95,W1608&lt;=200),0.17,0)+IF(AND(V1608&gt;=20,V1608&lt;40,W1608&gt;=200),0.12,0)+IF(AND(V1608&gt;=40,V1608&lt;75,W1608&lt;35),0.3,0)+IF(AND(V1608&gt;=40,V1608&lt;75,W1608&gt;=35,W1608&lt;75),0.23,0)+IF(AND(V1608&gt;=40,V1608&lt;75,W1608&gt;=75,W1608&lt;120),0.17,0)+IF(AND(V1608&gt;=40,V1608&lt;75,W1608&gt;=120),0.12,0)+IF(AND(V1608&gt;=75,V1608&lt;175,W1608&lt;35),0.3,0)+IF(AND(V1608&gt;=75,V1608&lt;=175,W1608&gt;=35,W1608&lt;65),0.23,0)+IF(AND(V1608&gt;=75,V1608&lt;=175,W1608&gt;=65,W1608&lt;110),0.17,0)+IF(AND(V1608&gt;=75,V1608&lt;=175,W1608&gt;=110),0.12,0)+IF(AND(V1608&gt;175,W1608&lt;25),0.3,0)+IF(AND(V1608&gt;175,W1608&gt;=25,W1608&lt;55),0.23,0)+IF(AND(V1608&gt;175,W1608&gt;=55,W1608&lt;95),0.17,0)+IF(AND(V1608&gt;175,W1608&gt;=95),0.12,0),
IF(AF1608="DoEVLo",IF(AND(V1608&lt;20,W1608&lt;55),0.25,0)+IF(AND(V1608&lt;20,W1608&gt;=55,W1608&lt;105),0.2,0)+IF(AND(V1608&lt;20,W1608&gt;=105),0.15,0)+IF(AND(V1608&gt;=20,V1608&lt;40,W1608&lt;45),0.25,0)+IF(AND(V1608&gt;=20,V1608&lt;40,W1608&gt;=45,W1608&lt;95),0.2,0)+IF(AND(V1608&gt;=20,V1608&lt;40,W1608&gt;=95),0.15,0)+IF(AND(V1608&gt;=40,V1608&lt;75,W1608&lt;35),0.25,0)+IF(AND(V1608&gt;=40,V1608&lt;75,W1608&gt;=35,W1608&lt;75),0.2,0)+IF(AND(V1608&gt;=40,V1608&lt;75,W1608&gt;=75,W1608&lt;120),0.15,0)+IF(AND(V1608&gt;=40,V1608&lt;75,W1608&gt;=120),0.1,0)+IF(AND(V1608&gt;=75,V1608&lt;175,W1608&lt;35),0.25,0)+IF(AND(V1608&gt;=75,V1608&lt;=175,W1608&gt;=35,W1608&lt;65),0.2,0)+IF(AND(V1608&gt;=75,V1608&lt;=175,W1608&gt;=65,W1608&lt;110),0.15,0)+IF(AND(V1608&gt;=75,V1608&lt;=175,W1608&gt;=110),0.1,0)+IF(AND(V1608&gt;175,W1608&lt;25),0.25,0)+IF(AND(V1608&gt;175,W1608&gt;=25,W1608&lt;55),0.2,0)+IF(AND(V1608&gt;175,W1608&gt;=55,W1608&lt;95),0.15,0)+IF(AND(V1608&gt;175,W1608&gt;=95),0.1,0))))))))))))))))))))</f>
        <v>0.17</v>
      </c>
      <c r="Y1608" s="30">
        <f>IF(AG1608="None",0,IF(AG1608="Fix5",0.05, IF(AG1608="Fix6.25",0.0625,IF(AG1608="Fix3.75",0.0375, IF(AG1608="Fix11",0.11, IF(AG1608="Fix10",0.1,IF(AG1608="Fix3",0.03,0)))))))</f>
        <v>0</v>
      </c>
      <c r="Z1608" s="35">
        <f>IF(AND(AD1608="EUR", AE1608 = "USD"), T1608*U1608-AA1608-AB1608, T1608-AA1608-AB1608)</f>
        <v>928.77</v>
      </c>
      <c r="AA1608" s="29">
        <f>IF(AND(AD1608="EUR", F1608="Without EV deal", AE1608="USD"), (T1608*X1608)*U1608,
IF(AND(AD1608="EUR", F1608="Without EV deal", AE1608="EUR"), (T1608*X1608),
IF(AND(AD1608="EUR",AE1608="USD"), (T1608*X1608)*U1608,
T1608*X1608)))</f>
        <v>190.23000000000002</v>
      </c>
      <c r="AB1608" s="36">
        <f>IF(AND(AD1608="EUR", F1608="Without EV deal", AE1608="USD"), (T1608*Y1608)*U1608,
IF(AND(AD1608="EUR", F1608="Without EV deal", AE1608="EUR"), (T1608*Y1608),
IF(AND(AD1608="EUR",AE1608="USD"), (T1608*Y1608)*U1608,
T1608*Y1608)))</f>
        <v>0</v>
      </c>
      <c r="AC1608" s="61" t="b">
        <v>1</v>
      </c>
      <c r="AD1608" s="82" t="str">
        <f>IF(OR(H1608="€0.25 Flash",
H1608="€0.25(nitro) new",
H1608="€1",
H1608="€2",
H1608="€2 (bf 01.08)",
H1608="€5",
H1608="€5 (1M)",
H1608="€5 (bf 01.08)",
H1608="€5 (bf 05.05)",
H1608="€5 Nitro",
H1608="€5(wx) new",
H1608="€10",
H1608="€10 (1M)",
H1608="€10 (bf 01.08)",
H1608="€10 (bf 05.05)",
H1608="€10 (MP)",
H1608="€10 (old)",
H1608="€10 Nitro (bf 05.05)",
H1608="€10 Nitro (old)",
H1608="€10(wx) new",
H1608="€20",
H1608="€25",
H1608="€25 (bf 01.08)",
H1608="€25 (bf 05.05)",
H1608="€25 (MP)",
H1608="€25 (old)",
H1608="€25 Nitro",
H1608="€25 Nitro (bf 01.08)",
H1608="€25 Nitro (bf 05.05)",
H1608="€25(nitro) new",
H1608="€25(wx) new",
H1608="€50",
H1608="€50 (bf 01.08)",
H1608="€50 (bf 05.05)",
H1608="€50 (old)",
H1608="€50 Nitro",
H1608="€50 Nitro (bf 01.08)",
H1608="€50 Nitro (bf 05.05)",
H1608="€50(wx) new",
H1608="€100",
H1608="€100 (old)",
H1608="€100 Nitro",
H1608="€100 Nitro (old)",
H1608="€200",
H1608="€250",
H1608="€250 Nitro",
H1608="€500",
H1608="€500 Nitro"),"EUR", "USD")</f>
        <v>USD</v>
      </c>
      <c r="AE1608" s="83" t="s">
        <v>38</v>
      </c>
      <c r="AF1608" s="83" t="str">
        <f t="array" ref="AF1608">INDEX('Deal Info'!D:D, MATCH(A1608,'Deal Info'!A:A, 0))</f>
        <v>DoEV</v>
      </c>
      <c r="AG1608" s="84" t="str">
        <f t="array" ref="AG1608">INDEX('Deal Info'!G:G, MATCH(A1608,'Deal Info'!A:A, 0))</f>
        <v>None</v>
      </c>
    </row>
    <row r="1609" spans="1:33" ht="14.25" hidden="1" x14ac:dyDescent="0.2">
      <c r="A1609" s="18" t="str">
        <f t="array" ref="A1609">IF(G1609='Room Info'!$B$1, INDEX('Room Info'!$A$2:$A2446, MATCH(B1609,'Room Info'!$B$2:$B2446, 0)),IF(G1609='Room Info'!$C$1, INDEX('Room Info'!$A$2:$A2446, MATCH(B1609,'Room Info'!$C$2:$C2446, 0)),IF(G1609='Room Info'!$D$1, INDEX('Room Info'!$A$2:$A2446, MATCH(B1609,'Room Info'!$D$2:$D2446, 0)),IF(G1609='Room Info'!$E$1, INDEX('Room Info'!$A$2:$A2446, MATCH(B1609,'Room Info'!$E$2:$E2446, 0)),IF(G1609='Room Info'!$F$1, INDEX('Room Info'!$A$2:$A2446, MATCH(B1609,'Room Info'!$F$2:$F2446, 0)),IF(G1609='Room Info'!$H$1, INDEX('Room Info'!$A$2:$A2446, MATCH(B1609,'Room Info'!$H$2:$H2446, 0)),IF(G1609='Room Info'!$G$1, INDEX('Room Info'!$A$2:$A2446, MATCH(B1609,'Room Info'!$G$2:$G2446, 0)))))))))</f>
        <v>BodyaComUa</v>
      </c>
      <c r="B1609" s="45" t="s">
        <v>156</v>
      </c>
      <c r="C1609" s="46">
        <v>44978</v>
      </c>
      <c r="D1609" s="46">
        <v>45005</v>
      </c>
      <c r="E1609" s="90">
        <v>44986</v>
      </c>
      <c r="F1609" s="48" t="s">
        <v>34</v>
      </c>
      <c r="G1609" s="65" t="s">
        <v>35</v>
      </c>
      <c r="H1609" s="49" t="s">
        <v>39</v>
      </c>
      <c r="I1609" s="100" t="s">
        <v>37</v>
      </c>
      <c r="J1609" s="39">
        <v>5</v>
      </c>
      <c r="K1609" s="51">
        <v>1250</v>
      </c>
      <c r="L1609" s="52">
        <v>500</v>
      </c>
      <c r="M1609" s="62"/>
      <c r="N1609" s="28">
        <f>K1609*J1609</f>
        <v>6250</v>
      </c>
      <c r="O1609" s="54">
        <v>92877</v>
      </c>
      <c r="P1609" s="29">
        <v>74.301599999999993</v>
      </c>
      <c r="Q1609" s="55"/>
      <c r="R1609" s="31">
        <f>M1609+Q1609*J1609*K1609*0.07</f>
        <v>0</v>
      </c>
      <c r="S1609" s="56"/>
      <c r="T1609" s="32">
        <f>IF(AND(AD1609="EUR", F1609="Without EV deal"), R1609 + L1609,
IF(AND(AD1609="USD", F1609="Without EV deal"), R1609 + L1609,
IF(AND(AD1609="EUR", F1609="Steel Phoenix"), R1609 + S1609/U1609,
R1609 + S1609)))</f>
        <v>0</v>
      </c>
      <c r="U1609" s="57">
        <v>1.071</v>
      </c>
      <c r="V1609" s="69">
        <v>7.9485414618157977</v>
      </c>
      <c r="W1609" s="69">
        <v>166.19401261803637</v>
      </c>
      <c r="X1609" s="30">
        <f>IF(AF1609="DoEV",IF(AND(V1609&lt;20,W1609&lt;55),0.3,0)+IF(AND(V1609&lt;20,W1609&gt;=55,W1609&lt;105),0.23,0)+IF(AND(V1609&lt;20,W1609&gt;=105),0.17,0)+IF(AND(V1609&gt;=20,V1609&lt;40,W1609&lt;45),0.3,0)+IF(AND(V1609&gt;=20,V1609&lt;40,W1609&gt;=45,W1609&lt;95),0.23,0)+IF(AND(V1609&gt;=20,V1609&lt;40,W1609&gt;=95),0.17,0)+IF(AND(V1609&gt;=40,V1609&lt;75,W1609&lt;35),0.3,0)+IF(AND(V1609&gt;=40,V1609&lt;75,W1609&gt;=35,W1609&lt;75),0.23,0)+IF(AND(V1609&gt;=40,V1609&lt;75,W1609&gt;=75,W1609&lt;120),0.17,0)+IF(AND(V1609&gt;=40,V1609&lt;75,W1609&gt;=120),0.12,0)+IF(AND(V1609&gt;=75,V1609&lt;175,W1609&lt;35),0.3,0)+IF(AND(V1609&gt;=75,V1609&lt;=175,W1609&gt;=35,W1609&lt;65),0.23,0)+IF(AND(V1609&gt;=75,V1609&lt;=175,W1609&gt;=65,W1609&lt;110),0.17,0)+IF(AND(V1609&gt;=75,V1609&lt;=175,W1609&gt;=110),0.12,0)+IF(AND(V1609&gt;175,W1609&lt;25),0.3,0)+IF(AND(V1609&gt;175,W1609&gt;=25,W1609&lt;55),0.23,0)+IF(AND(V1609&gt;175,W1609&gt;=55,W1609&lt;95),0.17,0)+IF(AND(V1609&gt;175,W1609&gt;=95),0.12,0),
IF(AF1609="Fix15",0.15,
IF(AF1609="Fix5",0.05,
IF(AF1609="Fix18.75",0.1875,
IF(AF1609="Fix11.25",0.1125,
IF(AF1609="Fix10",0.1,
IF(AF1609="Fix9",0.09,
IF(AF1609="Fix12",0.12,
IF(AF1609="Fix19",0.19,
IF(AF1609="DoEV2017",IF(AND(W1609&lt;74),0.2,0)+IF(AND(W1609&gt;=74),0.17,0),
IF(AF1609="SF",IF(AND(V1609&lt;20,W1609&lt;89),0.3,0)+IF(AND(V1609&lt;20,W1609&gt;=89),0.25,0)+IF(AND(V1609&gt;=20,V1609&lt;40,W1609&lt;74),0.3,0)+IF(AND(V1609&gt;=20,V1609&lt;40,W1609&gt;=75),0.22,0)+IF(AND(V1609&gt;=40,V1609&lt;75,W1609&lt;75),0.26,0)+IF(AND(V1609&gt;=40,V1609&lt;75,W1609&gt;=75),0.22,0)+IF(V1609&gt;=75,0.22,0),
IF(AF1609="DoEVold",IF(AND(V1609&lt;40,W1609&lt;35),0.35,0)+IF(AND(V1609&lt;40,W1609&gt;=35,W1609&lt;75),0.25,0)+IF(AND(V1609&lt;40,W1609&gt;=75),0.17,0)+IF(AND(V1609&gt;=40,V1609&lt;75,W1609&lt;25),0.35,0)+IF(AND(V1609&gt;=40,V1609&lt;75,W1609&gt;=25,W1609&lt;65),0.25,0)+IF(AND(V1609&gt;=40,V1609&lt;75,W1609&gt;=65,W1609&lt;100),0.17,0)+IF(AND(V1609&gt;=40,V1609&lt;75,W1609&gt;=100),0.1,0)+IF(AND(V1609&gt;=75,W1609&lt;25),0.35,0)+IF(AND(V1609&gt;=75,W1609&gt;=25,W1609&lt;60),0.25,0)+IF(AND(V1609&gt;=75,W1609&gt;=60,W1609&lt;95),0.17,0)+IF(AND(V1609&gt;=75,W1609&gt;=95),0.1,0),
IF(AF1609="DoEVold15",IF(AND(V1609&lt;=40,W1609&lt;35),0.35,0)+IF(AND(V1609&lt;=40,W1609&gt;=35,W1609&lt;75),0.25,0)+IF(AND(V1609&lt;=40,W1609&gt;=75,W1609&lt;120),0.17,0)+IF(AND(V1609&lt;=40,W1609&gt;=120),0.15,0)+IF(AND(V1609&gt;40,V1609&lt;75,W1609&lt;25),0.35,0)+IF(AND(V1609&gt;=40,V1609&lt;75,W1609&gt;=25,W1609&lt;65),0.25,0)+IF(AND(V1609&gt;=40,V1609&lt;75,W1609&gt;=65,W1609&lt;100),0.17,0)+IF(AND(V1609&gt;=40,V1609&lt;75,W1609&gt;=100),0.1,0)+IF(AND(V1609&gt;=75,W1609&lt;25),0.35,0)+IF(AND(V1609&gt;=75,W1609&gt;=25,W1609&lt;60),0.25,0)+IF(AND(V1609&gt;=75,W1609&gt;=60,W1609&lt;95),0.17,0)+IF(AND(V1609&gt;=75,W1609&gt;=95),0.1,0),
IF(AF1609="DoEVba",IF(AND(V1609&lt;20,W1609&lt;105),0.2,0)+IF(AND(V1609&lt;20,W1609&gt;=105),0.15,0)+IF(AND(V1609&gt;=20,V1609&lt;40,W1609&lt;95),0.2,0)+IF(AND(V1609&gt;=20,V1609&lt;40,W1609&gt;=95,W1609&lt;150),0.15,0)+IF(AND(V1609&gt;=20,V1609&lt;40,W1609&gt;=150),0.12,0)+IF(AND(V1609&gt;=40,V1609&lt;75,W1609&lt;75),0.2,0)+IF(AND(V1609&gt;=40,V1609&lt;75,W1609&gt;=75,W1609&lt;120),0.15,0)+IF(AND(V1609&gt;=40,V1609&lt;75,W1609&gt;=120),0.12,0)+IF(AND(V1609&gt;=75,V1609&lt;175,W1609&lt;65),0.2,0)+IF(AND(V1609&gt;=75,V1609&lt;175,W1609&gt;=65,W1609&lt;110),0.15,0)+IF(AND(V1609&gt;=75,V1609&lt;175,W1609&gt;=110),0.12,0)+IF(AND(V1609&gt;=175,W1609&lt;55),0.2,0)+IF(AND(V1609&gt;=175,W1609&gt;=55,W1609&lt;95),0.15,0)+IF(AND(V1609&gt;=175,W1609&gt;=95),0.12,0),
IF(AF1609="DoEVku",IF(AND(V1609&lt;20,W1609&lt;55),0.23,0)+IF(AND(V1609&lt;20,W1609&gt;=55,W1609&lt;105),0.2,0)+IF(AND(V1609&lt;20,W1609&gt;=105),0.17,0)+IF(AND(V1609&gt;=20,V1609&lt;40,W1609&lt;45),0.23,0)+IF(AND(V1609&gt;=20,V1609&lt;40,W1609&gt;=45,W1609&lt;95),0.2,0)+IF(AND(V1609&gt;=20,V1609&lt;40,W1609&gt;=95,W1609&lt;=150),0.17,0)+IF(AND(V1609&gt;=20,V1609&lt;40,W1609&gt;=150),0.12,0)+IF(AND(V1609&gt;=40,V1609&lt;75,W1609&lt;35),0.23,0)+IF(AND(V1609&gt;=40,V1609&lt;75,W1609&gt;=35,W1609&lt;75),0.2,0)+IF(AND(V1609&gt;=40,V1609&lt;75,W1609&gt;=75,W1609&lt;120),0.17,0)+IF(AND(V1609&gt;=40,V1609&lt;75,W1609&gt;=120),0.12,0)+IF(AND(V1609&gt;=75,V1609&lt;175,W1609&lt;35),0.23,0)+IF(AND(V1609&gt;=75,V1609&lt;=175,W1609&gt;=35,W1609&lt;65),0.2,0)+IF(AND(V1609&gt;=75,V1609&lt;=175,W1609&gt;=65,W1609&lt;110),0.17,0)+IF(AND(V1609&gt;=75,V1609&lt;=175,W1609&gt;=110),0.12,0)+IF(AND(V1609&gt;175,W1609&lt;25),0.23,0)+IF(AND(V1609&gt;175,W1609&gt;=25,W1609&lt;55),0.2,0)+IF(AND(V1609&gt;175,W1609&gt;=55,W1609&lt;95),0.17,0)+IF(AND(V1609&gt;175,W1609&gt;=95),0.12,0),
IF(AF1609="DoEVs1",IF(AND(V1609&lt;20,W1609&lt;55),0.3,0)+IF(AND(V1609&lt;20,W1609&gt;=55,W1609&lt;105),0.23,0)+IF(AND(V1609&lt;20,W1609&gt;=105),0.17,0)+IF(AND(V1609&gt;=20,V1609&lt;40,W1609&lt;45),0.3,0)+IF(AND(V1609&gt;=20,V1609&lt;40,W1609&gt;=45,W1609&lt;95),0.23,0)+IF(AND(V1609&gt;=20,V1609&lt;40,W1609&gt;=95,W1609&lt;=150),0.17,0)+IF(AND(V1609&gt;=20,V1609&lt;40,W1609&gt;=150),0.12,0)+IF(AND(V1609&gt;=40,V1609&lt;75,W1609&lt;35),0.3,0)+IF(AND(V1609&gt;=40,V1609&lt;75,W1609&gt;=35,W1609&lt;75),0.23,0)+IF(AND(V1609&gt;=40,V1609&lt;75,W1609&gt;=75,W1609&lt;120),0.17,0)+IF(AND(V1609&gt;=40,V1609&lt;75,W1609&gt;=120),0.12,0)+IF(AND(V1609&gt;=75,V1609&lt;175,W1609&lt;35),0.3,0)+IF(AND(V1609&gt;=75,V1609&lt;=175,W1609&gt;=35,W1609&lt;65),0.23,0)+IF(AND(V1609&gt;=75,V1609&lt;=175,W1609&gt;=65,W1609&lt;110),0.17,0)+IF(AND(V1609&gt;=75,V1609&lt;=175,W1609&gt;=110),0.12,0)+IF(AND(V1609&gt;175,W1609&lt;25),0.3,0)+IF(AND(V1609&gt;175,W1609&gt;=25,W1609&lt;55),0.23,0)+IF(AND(V1609&gt;175,W1609&gt;=55,W1609&lt;95),0.17,0)+IF(AND(V1609&gt;175,W1609&gt;=95),0.12,0),
IF(AF1609="DoEVsu",IF(AND(V1609&lt;20,W1609&lt;55),0.3,0)+IF(AND(V1609&lt;20,W1609&gt;=55,W1609&lt;105),0.23,0)+IF(AND(V1609&lt;20,W1609&gt;=105),0.17,0)+IF(AND(V1609&gt;=20,V1609&lt;40,W1609&lt;45),0.3,0)+IF(AND(V1609&gt;=20,V1609&lt;40,W1609&gt;=45,W1609&lt;95),0.23,0)+IF(AND(V1609&gt;=20,V1609&lt;40,W1609&gt;=95,W1609&lt;=250),0.17,0)+IF(AND(V1609&gt;=20,V1609&lt;40,W1609&gt;=250),0.12,0)+IF(AND(V1609&gt;=40,V1609&lt;75,W1609&lt;35),0.3,0)+IF(AND(V1609&gt;=40,V1609&lt;75,W1609&gt;=35,W1609&lt;75),0.23,0)+IF(AND(V1609&gt;=40,V1609&lt;75,W1609&gt;=75,W1609&lt;120),0.17,0)+IF(AND(V1609&gt;=40,V1609&lt;75,W1609&gt;=120),0.12,0)+IF(AND(V1609&gt;=75,V1609&lt;175,W1609&lt;35),0.3,0)+IF(AND(V1609&gt;=75,V1609&lt;=175,W1609&gt;=35,W1609&lt;65),0.23,0)+IF(AND(V1609&gt;=75,V1609&lt;=175,W1609&gt;=65,W1609&lt;110),0.17,0)+IF(AND(V1609&gt;=75,V1609&lt;=175,W1609&gt;=110),0.12,0)+IF(AND(V1609&gt;175,W1609&lt;25),0.3,0)+IF(AND(V1609&gt;175,W1609&gt;=25,W1609&lt;55),0.23,0)+IF(AND(V1609&gt;175,W1609&gt;=55,W1609&lt;95),0.17,0)+IF(AND(V1609&gt;175,W1609&gt;=95),0.12,0),
IF(AF1609="DoEVni",IF(AND(V1609&lt;20,W1609&lt;55),0.3,0)+IF(AND(V1609&lt;20,W1609&gt;=55,W1609&lt;105),0.23,0)+IF(AND(V1609&lt;20,W1609&gt;=105),0.17,0)+IF(AND(V1609&gt;=20,V1609&lt;40,W1609&lt;45),0.3,0)+IF(AND(V1609&gt;=20,V1609&lt;40,W1609&gt;=45,W1609&lt;95),0.23,0)+IF(AND(V1609&gt;=20,V1609&lt;40,W1609&gt;=95,W1609&lt;=200),0.17,0)+IF(AND(V1609&gt;=20,V1609&lt;40,W1609&gt;=200),0.12,0)+IF(AND(V1609&gt;=40,V1609&lt;75,W1609&lt;35),0.3,0)+IF(AND(V1609&gt;=40,V1609&lt;75,W1609&gt;=35,W1609&lt;75),0.23,0)+IF(AND(V1609&gt;=40,V1609&lt;75,W1609&gt;=75,W1609&lt;120),0.17,0)+IF(AND(V1609&gt;=40,V1609&lt;75,W1609&gt;=120),0.12,0)+IF(AND(V1609&gt;=75,V1609&lt;175,W1609&lt;35),0.3,0)+IF(AND(V1609&gt;=75,V1609&lt;=175,W1609&gt;=35,W1609&lt;65),0.23,0)+IF(AND(V1609&gt;=75,V1609&lt;=175,W1609&gt;=65,W1609&lt;110),0.17,0)+IF(AND(V1609&gt;=75,V1609&lt;=175,W1609&gt;=110),0.12,0)+IF(AND(V1609&gt;175,W1609&lt;25),0.3,0)+IF(AND(V1609&gt;175,W1609&gt;=25,W1609&lt;55),0.23,0)+IF(AND(V1609&gt;175,W1609&gt;=55,W1609&lt;95),0.17,0)+IF(AND(V1609&gt;175,W1609&gt;=95),0.12,0),
IF(AF1609="DoEVLo",IF(AND(V1609&lt;20,W1609&lt;55),0.25,0)+IF(AND(V1609&lt;20,W1609&gt;=55,W1609&lt;105),0.2,0)+IF(AND(V1609&lt;20,W1609&gt;=105),0.15,0)+IF(AND(V1609&gt;=20,V1609&lt;40,W1609&lt;45),0.25,0)+IF(AND(V1609&gt;=20,V1609&lt;40,W1609&gt;=45,W1609&lt;95),0.2,0)+IF(AND(V1609&gt;=20,V1609&lt;40,W1609&gt;=95),0.15,0)+IF(AND(V1609&gt;=40,V1609&lt;75,W1609&lt;35),0.25,0)+IF(AND(V1609&gt;=40,V1609&lt;75,W1609&gt;=35,W1609&lt;75),0.2,0)+IF(AND(V1609&gt;=40,V1609&lt;75,W1609&gt;=75,W1609&lt;120),0.15,0)+IF(AND(V1609&gt;=40,V1609&lt;75,W1609&gt;=120),0.1,0)+IF(AND(V1609&gt;=75,V1609&lt;175,W1609&lt;35),0.25,0)+IF(AND(V1609&gt;=75,V1609&lt;=175,W1609&gt;=35,W1609&lt;65),0.2,0)+IF(AND(V1609&gt;=75,V1609&lt;=175,W1609&gt;=65,W1609&lt;110),0.15,0)+IF(AND(V1609&gt;=75,V1609&lt;=175,W1609&gt;=110),0.1,0)+IF(AND(V1609&gt;175,W1609&lt;25),0.25,0)+IF(AND(V1609&gt;175,W1609&gt;=25,W1609&lt;55),0.2,0)+IF(AND(V1609&gt;175,W1609&gt;=55,W1609&lt;95),0.15,0)+IF(AND(V1609&gt;175,W1609&gt;=95),0.1,0))))))))))))))))))))</f>
        <v>0.17</v>
      </c>
      <c r="Y1609" s="30">
        <f>IF(AG1609="None",0,IF(AG1609="Fix5",0.05, IF(AG1609="Fix6.25",0.0625,IF(AG1609="Fix3.75",0.0375, IF(AG1609="Fix11",0.11, IF(AG1609="Fix10",0.1,IF(AG1609="Fix3",0.03,0)))))))</f>
        <v>0</v>
      </c>
      <c r="Z1609" s="35">
        <f>IF(AND(AD1609="EUR", AE1609 = "USD"), T1609*U1609-AA1609-AB1609, T1609-AA1609-AB1609)</f>
        <v>0</v>
      </c>
      <c r="AA1609" s="29">
        <f>IF(AND(AD1609="EUR", F1609="Without EV deal", AE1609="USD"), (T1609*X1609)*U1609,
IF(AND(AD1609="EUR", F1609="Without EV deal", AE1609="EUR"), (T1609*X1609),
IF(AND(AD1609="EUR",AE1609="USD"), (T1609*X1609)*U1609,
T1609*X1609)))</f>
        <v>0</v>
      </c>
      <c r="AB1609" s="36">
        <f>IF(AND(AD1609="EUR", F1609="Without EV deal", AE1609="USD"), (T1609*Y1609)*U1609,
IF(AND(AD1609="EUR", F1609="Without EV deal", AE1609="EUR"), (T1609*Y1609),
IF(AND(AD1609="EUR",AE1609="USD"), (T1609*Y1609)*U1609,
T1609*Y1609)))</f>
        <v>0</v>
      </c>
      <c r="AC1609" s="61" t="b">
        <v>1</v>
      </c>
      <c r="AD1609" s="82" t="str">
        <f>IF(OR(H1609="€0.25 Flash",
H1609="€0.25(nitro) new",
H1609="€1",
H1609="€2",
H1609="€2 (bf 01.08)",
H1609="€5",
H1609="€5 (1M)",
H1609="€5 (bf 01.08)",
H1609="€5 (bf 05.05)",
H1609="€5 Nitro",
H1609="€5(wx) new",
H1609="€10",
H1609="€10 (1M)",
H1609="€10 (bf 01.08)",
H1609="€10 (bf 05.05)",
H1609="€10 (MP)",
H1609="€10 (old)",
H1609="€10 Nitro (bf 05.05)",
H1609="€10 Nitro (old)",
H1609="€10(wx) new",
H1609="€20",
H1609="€25",
H1609="€25 (bf 01.08)",
H1609="€25 (bf 05.05)",
H1609="€25 (MP)",
H1609="€25 (old)",
H1609="€25 Nitro",
H1609="€25 Nitro (bf 01.08)",
H1609="€25 Nitro (bf 05.05)",
H1609="€25(nitro) new",
H1609="€25(wx) new",
H1609="€50",
H1609="€50 (bf 01.08)",
H1609="€50 (bf 05.05)",
H1609="€50 (old)",
H1609="€50 Nitro",
H1609="€50 Nitro (bf 01.08)",
H1609="€50 Nitro (bf 05.05)",
H1609="€50(wx) new",
H1609="€100",
H1609="€100 (old)",
H1609="€100 Nitro",
H1609="€100 Nitro (old)",
H1609="€200",
H1609="€250",
H1609="€250 Nitro",
H1609="€500",
H1609="€500 Nitro"),"EUR", "USD")</f>
        <v>USD</v>
      </c>
      <c r="AE1609" s="83" t="s">
        <v>38</v>
      </c>
      <c r="AF1609" s="83" t="str">
        <f t="array" ref="AF1609">INDEX('Deal Info'!D:D, MATCH(A1609,'Deal Info'!A:A, 0))</f>
        <v>DoEV</v>
      </c>
      <c r="AG1609" s="84" t="str">
        <f t="array" ref="AG1609">INDEX('Deal Info'!G:G, MATCH(A1609,'Deal Info'!A:A, 0))</f>
        <v>None</v>
      </c>
    </row>
    <row r="1610" spans="1:33" ht="14.25" hidden="1" x14ac:dyDescent="0.2">
      <c r="A1610" s="18" t="str">
        <f t="array" ref="A1610">IF(G1610='Room Info'!$B$1, INDEX('Room Info'!$A$2:$A2446, MATCH(B1610,'Room Info'!$B$2:$B2446, 0)),IF(G1610='Room Info'!$C$1, INDEX('Room Info'!$A$2:$A2446, MATCH(B1610,'Room Info'!$C$2:$C2446, 0)),IF(G1610='Room Info'!$D$1, INDEX('Room Info'!$A$2:$A2446, MATCH(B1610,'Room Info'!$D$2:$D2446, 0)),IF(G1610='Room Info'!$E$1, INDEX('Room Info'!$A$2:$A2446, MATCH(B1610,'Room Info'!$E$2:$E2446, 0)),IF(G1610='Room Info'!$F$1, INDEX('Room Info'!$A$2:$A2446, MATCH(B1610,'Room Info'!$F$2:$F2446, 0)),IF(G1610='Room Info'!$H$1, INDEX('Room Info'!$A$2:$A2446, MATCH(B1610,'Room Info'!$H$2:$H2446, 0)),IF(G1610='Room Info'!$G$1, INDEX('Room Info'!$A$2:$A2446, MATCH(B1610,'Room Info'!$G$2:$G2446, 0)))))))))</f>
        <v>BodyaComUa</v>
      </c>
      <c r="B1610" s="45" t="s">
        <v>156</v>
      </c>
      <c r="C1610" s="46">
        <v>44978</v>
      </c>
      <c r="D1610" s="46">
        <v>45005</v>
      </c>
      <c r="E1610" s="90">
        <v>44986</v>
      </c>
      <c r="F1610" s="48" t="s">
        <v>34</v>
      </c>
      <c r="G1610" s="65" t="s">
        <v>35</v>
      </c>
      <c r="H1610" s="49" t="s">
        <v>40</v>
      </c>
      <c r="I1610" s="100" t="s">
        <v>37</v>
      </c>
      <c r="J1610" s="39">
        <v>10</v>
      </c>
      <c r="K1610" s="75">
        <v>1800</v>
      </c>
      <c r="L1610" s="72">
        <v>520</v>
      </c>
      <c r="M1610" s="79"/>
      <c r="N1610" s="28">
        <f>K1610*J1610</f>
        <v>18000</v>
      </c>
      <c r="O1610" s="45">
        <v>66509</v>
      </c>
      <c r="P1610" s="29">
        <v>36.949444440000001</v>
      </c>
      <c r="Q1610" s="55"/>
      <c r="R1610" s="31">
        <f>M1610+Q1610*J1610*K1610*0.07</f>
        <v>0</v>
      </c>
      <c r="S1610" s="97"/>
      <c r="T1610" s="32">
        <f>IF(AND(AD1610="EUR", F1610="Without EV deal"), R1610 + L1610,
IF(AND(AD1610="USD", F1610="Without EV deal"), R1610 + L1610,
IF(AND(AD1610="EUR", F1610="Steel Phoenix"), R1610 + S1610/U1610,
R1610 + S1610)))</f>
        <v>0</v>
      </c>
      <c r="U1610" s="57">
        <v>1.071</v>
      </c>
      <c r="V1610" s="69">
        <v>7.9485414618157977</v>
      </c>
      <c r="W1610" s="69">
        <v>166.19401261803637</v>
      </c>
      <c r="X1610" s="30">
        <f>IF(AF1610="DoEV",IF(AND(V1610&lt;20,W1610&lt;55),0.3,0)+IF(AND(V1610&lt;20,W1610&gt;=55,W1610&lt;105),0.23,0)+IF(AND(V1610&lt;20,W1610&gt;=105),0.17,0)+IF(AND(V1610&gt;=20,V1610&lt;40,W1610&lt;45),0.3,0)+IF(AND(V1610&gt;=20,V1610&lt;40,W1610&gt;=45,W1610&lt;95),0.23,0)+IF(AND(V1610&gt;=20,V1610&lt;40,W1610&gt;=95),0.17,0)+IF(AND(V1610&gt;=40,V1610&lt;75,W1610&lt;35),0.3,0)+IF(AND(V1610&gt;=40,V1610&lt;75,W1610&gt;=35,W1610&lt;75),0.23,0)+IF(AND(V1610&gt;=40,V1610&lt;75,W1610&gt;=75,W1610&lt;120),0.17,0)+IF(AND(V1610&gt;=40,V1610&lt;75,W1610&gt;=120),0.12,0)+IF(AND(V1610&gt;=75,V1610&lt;175,W1610&lt;35),0.3,0)+IF(AND(V1610&gt;=75,V1610&lt;=175,W1610&gt;=35,W1610&lt;65),0.23,0)+IF(AND(V1610&gt;=75,V1610&lt;=175,W1610&gt;=65,W1610&lt;110),0.17,0)+IF(AND(V1610&gt;=75,V1610&lt;=175,W1610&gt;=110),0.12,0)+IF(AND(V1610&gt;175,W1610&lt;25),0.3,0)+IF(AND(V1610&gt;175,W1610&gt;=25,W1610&lt;55),0.23,0)+IF(AND(V1610&gt;175,W1610&gt;=55,W1610&lt;95),0.17,0)+IF(AND(V1610&gt;175,W1610&gt;=95),0.12,0),
IF(AF1610="Fix15",0.15,
IF(AF1610="Fix5",0.05,
IF(AF1610="Fix18.75",0.1875,
IF(AF1610="Fix11.25",0.1125,
IF(AF1610="Fix10",0.1,
IF(AF1610="Fix9",0.09,
IF(AF1610="Fix12",0.12,
IF(AF1610="Fix19",0.19,
IF(AF1610="DoEV2017",IF(AND(W1610&lt;74),0.2,0)+IF(AND(W1610&gt;=74),0.17,0),
IF(AF1610="SF",IF(AND(V1610&lt;20,W1610&lt;89),0.3,0)+IF(AND(V1610&lt;20,W1610&gt;=89),0.25,0)+IF(AND(V1610&gt;=20,V1610&lt;40,W1610&lt;74),0.3,0)+IF(AND(V1610&gt;=20,V1610&lt;40,W1610&gt;=75),0.22,0)+IF(AND(V1610&gt;=40,V1610&lt;75,W1610&lt;75),0.26,0)+IF(AND(V1610&gt;=40,V1610&lt;75,W1610&gt;=75),0.22,0)+IF(V1610&gt;=75,0.22,0),
IF(AF1610="DoEVold",IF(AND(V1610&lt;40,W1610&lt;35),0.35,0)+IF(AND(V1610&lt;40,W1610&gt;=35,W1610&lt;75),0.25,0)+IF(AND(V1610&lt;40,W1610&gt;=75),0.17,0)+IF(AND(V1610&gt;=40,V1610&lt;75,W1610&lt;25),0.35,0)+IF(AND(V1610&gt;=40,V1610&lt;75,W1610&gt;=25,W1610&lt;65),0.25,0)+IF(AND(V1610&gt;=40,V1610&lt;75,W1610&gt;=65,W1610&lt;100),0.17,0)+IF(AND(V1610&gt;=40,V1610&lt;75,W1610&gt;=100),0.1,0)+IF(AND(V1610&gt;=75,W1610&lt;25),0.35,0)+IF(AND(V1610&gt;=75,W1610&gt;=25,W1610&lt;60),0.25,0)+IF(AND(V1610&gt;=75,W1610&gt;=60,W1610&lt;95),0.17,0)+IF(AND(V1610&gt;=75,W1610&gt;=95),0.1,0),
IF(AF1610="DoEVold15",IF(AND(V1610&lt;=40,W1610&lt;35),0.35,0)+IF(AND(V1610&lt;=40,W1610&gt;=35,W1610&lt;75),0.25,0)+IF(AND(V1610&lt;=40,W1610&gt;=75,W1610&lt;120),0.17,0)+IF(AND(V1610&lt;=40,W1610&gt;=120),0.15,0)+IF(AND(V1610&gt;40,V1610&lt;75,W1610&lt;25),0.35,0)+IF(AND(V1610&gt;=40,V1610&lt;75,W1610&gt;=25,W1610&lt;65),0.25,0)+IF(AND(V1610&gt;=40,V1610&lt;75,W1610&gt;=65,W1610&lt;100),0.17,0)+IF(AND(V1610&gt;=40,V1610&lt;75,W1610&gt;=100),0.1,0)+IF(AND(V1610&gt;=75,W1610&lt;25),0.35,0)+IF(AND(V1610&gt;=75,W1610&gt;=25,W1610&lt;60),0.25,0)+IF(AND(V1610&gt;=75,W1610&gt;=60,W1610&lt;95),0.17,0)+IF(AND(V1610&gt;=75,W1610&gt;=95),0.1,0),
IF(AF1610="DoEVba",IF(AND(V1610&lt;20,W1610&lt;105),0.2,0)+IF(AND(V1610&lt;20,W1610&gt;=105),0.15,0)+IF(AND(V1610&gt;=20,V1610&lt;40,W1610&lt;95),0.2,0)+IF(AND(V1610&gt;=20,V1610&lt;40,W1610&gt;=95,W1610&lt;150),0.15,0)+IF(AND(V1610&gt;=20,V1610&lt;40,W1610&gt;=150),0.12,0)+IF(AND(V1610&gt;=40,V1610&lt;75,W1610&lt;75),0.2,0)+IF(AND(V1610&gt;=40,V1610&lt;75,W1610&gt;=75,W1610&lt;120),0.15,0)+IF(AND(V1610&gt;=40,V1610&lt;75,W1610&gt;=120),0.12,0)+IF(AND(V1610&gt;=75,V1610&lt;175,W1610&lt;65),0.2,0)+IF(AND(V1610&gt;=75,V1610&lt;175,W1610&gt;=65,W1610&lt;110),0.15,0)+IF(AND(V1610&gt;=75,V1610&lt;175,W1610&gt;=110),0.12,0)+IF(AND(V1610&gt;=175,W1610&lt;55),0.2,0)+IF(AND(V1610&gt;=175,W1610&gt;=55,W1610&lt;95),0.15,0)+IF(AND(V1610&gt;=175,W1610&gt;=95),0.12,0),
IF(AF1610="DoEVku",IF(AND(V1610&lt;20,W1610&lt;55),0.23,0)+IF(AND(V1610&lt;20,W1610&gt;=55,W1610&lt;105),0.2,0)+IF(AND(V1610&lt;20,W1610&gt;=105),0.17,0)+IF(AND(V1610&gt;=20,V1610&lt;40,W1610&lt;45),0.23,0)+IF(AND(V1610&gt;=20,V1610&lt;40,W1610&gt;=45,W1610&lt;95),0.2,0)+IF(AND(V1610&gt;=20,V1610&lt;40,W1610&gt;=95,W1610&lt;=150),0.17,0)+IF(AND(V1610&gt;=20,V1610&lt;40,W1610&gt;=150),0.12,0)+IF(AND(V1610&gt;=40,V1610&lt;75,W1610&lt;35),0.23,0)+IF(AND(V1610&gt;=40,V1610&lt;75,W1610&gt;=35,W1610&lt;75),0.2,0)+IF(AND(V1610&gt;=40,V1610&lt;75,W1610&gt;=75,W1610&lt;120),0.17,0)+IF(AND(V1610&gt;=40,V1610&lt;75,W1610&gt;=120),0.12,0)+IF(AND(V1610&gt;=75,V1610&lt;175,W1610&lt;35),0.23,0)+IF(AND(V1610&gt;=75,V1610&lt;=175,W1610&gt;=35,W1610&lt;65),0.2,0)+IF(AND(V1610&gt;=75,V1610&lt;=175,W1610&gt;=65,W1610&lt;110),0.17,0)+IF(AND(V1610&gt;=75,V1610&lt;=175,W1610&gt;=110),0.12,0)+IF(AND(V1610&gt;175,W1610&lt;25),0.23,0)+IF(AND(V1610&gt;175,W1610&gt;=25,W1610&lt;55),0.2,0)+IF(AND(V1610&gt;175,W1610&gt;=55,W1610&lt;95),0.17,0)+IF(AND(V1610&gt;175,W1610&gt;=95),0.12,0),
IF(AF1610="DoEVs1",IF(AND(V1610&lt;20,W1610&lt;55),0.3,0)+IF(AND(V1610&lt;20,W1610&gt;=55,W1610&lt;105),0.23,0)+IF(AND(V1610&lt;20,W1610&gt;=105),0.17,0)+IF(AND(V1610&gt;=20,V1610&lt;40,W1610&lt;45),0.3,0)+IF(AND(V1610&gt;=20,V1610&lt;40,W1610&gt;=45,W1610&lt;95),0.23,0)+IF(AND(V1610&gt;=20,V1610&lt;40,W1610&gt;=95,W1610&lt;=150),0.17,0)+IF(AND(V1610&gt;=20,V1610&lt;40,W1610&gt;=150),0.12,0)+IF(AND(V1610&gt;=40,V1610&lt;75,W1610&lt;35),0.3,0)+IF(AND(V1610&gt;=40,V1610&lt;75,W1610&gt;=35,W1610&lt;75),0.23,0)+IF(AND(V1610&gt;=40,V1610&lt;75,W1610&gt;=75,W1610&lt;120),0.17,0)+IF(AND(V1610&gt;=40,V1610&lt;75,W1610&gt;=120),0.12,0)+IF(AND(V1610&gt;=75,V1610&lt;175,W1610&lt;35),0.3,0)+IF(AND(V1610&gt;=75,V1610&lt;=175,W1610&gt;=35,W1610&lt;65),0.23,0)+IF(AND(V1610&gt;=75,V1610&lt;=175,W1610&gt;=65,W1610&lt;110),0.17,0)+IF(AND(V1610&gt;=75,V1610&lt;=175,W1610&gt;=110),0.12,0)+IF(AND(V1610&gt;175,W1610&lt;25),0.3,0)+IF(AND(V1610&gt;175,W1610&gt;=25,W1610&lt;55),0.23,0)+IF(AND(V1610&gt;175,W1610&gt;=55,W1610&lt;95),0.17,0)+IF(AND(V1610&gt;175,W1610&gt;=95),0.12,0),
IF(AF1610="DoEVsu",IF(AND(V1610&lt;20,W1610&lt;55),0.3,0)+IF(AND(V1610&lt;20,W1610&gt;=55,W1610&lt;105),0.23,0)+IF(AND(V1610&lt;20,W1610&gt;=105),0.17,0)+IF(AND(V1610&gt;=20,V1610&lt;40,W1610&lt;45),0.3,0)+IF(AND(V1610&gt;=20,V1610&lt;40,W1610&gt;=45,W1610&lt;95),0.23,0)+IF(AND(V1610&gt;=20,V1610&lt;40,W1610&gt;=95,W1610&lt;=250),0.17,0)+IF(AND(V1610&gt;=20,V1610&lt;40,W1610&gt;=250),0.12,0)+IF(AND(V1610&gt;=40,V1610&lt;75,W1610&lt;35),0.3,0)+IF(AND(V1610&gt;=40,V1610&lt;75,W1610&gt;=35,W1610&lt;75),0.23,0)+IF(AND(V1610&gt;=40,V1610&lt;75,W1610&gt;=75,W1610&lt;120),0.17,0)+IF(AND(V1610&gt;=40,V1610&lt;75,W1610&gt;=120),0.12,0)+IF(AND(V1610&gt;=75,V1610&lt;175,W1610&lt;35),0.3,0)+IF(AND(V1610&gt;=75,V1610&lt;=175,W1610&gt;=35,W1610&lt;65),0.23,0)+IF(AND(V1610&gt;=75,V1610&lt;=175,W1610&gt;=65,W1610&lt;110),0.17,0)+IF(AND(V1610&gt;=75,V1610&lt;=175,W1610&gt;=110),0.12,0)+IF(AND(V1610&gt;175,W1610&lt;25),0.3,0)+IF(AND(V1610&gt;175,W1610&gt;=25,W1610&lt;55),0.23,0)+IF(AND(V1610&gt;175,W1610&gt;=55,W1610&lt;95),0.17,0)+IF(AND(V1610&gt;175,W1610&gt;=95),0.12,0),
IF(AF1610="DoEVni",IF(AND(V1610&lt;20,W1610&lt;55),0.3,0)+IF(AND(V1610&lt;20,W1610&gt;=55,W1610&lt;105),0.23,0)+IF(AND(V1610&lt;20,W1610&gt;=105),0.17,0)+IF(AND(V1610&gt;=20,V1610&lt;40,W1610&lt;45),0.3,0)+IF(AND(V1610&gt;=20,V1610&lt;40,W1610&gt;=45,W1610&lt;95),0.23,0)+IF(AND(V1610&gt;=20,V1610&lt;40,W1610&gt;=95,W1610&lt;=200),0.17,0)+IF(AND(V1610&gt;=20,V1610&lt;40,W1610&gt;=200),0.12,0)+IF(AND(V1610&gt;=40,V1610&lt;75,W1610&lt;35),0.3,0)+IF(AND(V1610&gt;=40,V1610&lt;75,W1610&gt;=35,W1610&lt;75),0.23,0)+IF(AND(V1610&gt;=40,V1610&lt;75,W1610&gt;=75,W1610&lt;120),0.17,0)+IF(AND(V1610&gt;=40,V1610&lt;75,W1610&gt;=120),0.12,0)+IF(AND(V1610&gt;=75,V1610&lt;175,W1610&lt;35),0.3,0)+IF(AND(V1610&gt;=75,V1610&lt;=175,W1610&gt;=35,W1610&lt;65),0.23,0)+IF(AND(V1610&gt;=75,V1610&lt;=175,W1610&gt;=65,W1610&lt;110),0.17,0)+IF(AND(V1610&gt;=75,V1610&lt;=175,W1610&gt;=110),0.12,0)+IF(AND(V1610&gt;175,W1610&lt;25),0.3,0)+IF(AND(V1610&gt;175,W1610&gt;=25,W1610&lt;55),0.23,0)+IF(AND(V1610&gt;175,W1610&gt;=55,W1610&lt;95),0.17,0)+IF(AND(V1610&gt;175,W1610&gt;=95),0.12,0),
IF(AF1610="DoEVLo",IF(AND(V1610&lt;20,W1610&lt;55),0.25,0)+IF(AND(V1610&lt;20,W1610&gt;=55,W1610&lt;105),0.2,0)+IF(AND(V1610&lt;20,W1610&gt;=105),0.15,0)+IF(AND(V1610&gt;=20,V1610&lt;40,W1610&lt;45),0.25,0)+IF(AND(V1610&gt;=20,V1610&lt;40,W1610&gt;=45,W1610&lt;95),0.2,0)+IF(AND(V1610&gt;=20,V1610&lt;40,W1610&gt;=95),0.15,0)+IF(AND(V1610&gt;=40,V1610&lt;75,W1610&lt;35),0.25,0)+IF(AND(V1610&gt;=40,V1610&lt;75,W1610&gt;=35,W1610&lt;75),0.2,0)+IF(AND(V1610&gt;=40,V1610&lt;75,W1610&gt;=75,W1610&lt;120),0.15,0)+IF(AND(V1610&gt;=40,V1610&lt;75,W1610&gt;=120),0.1,0)+IF(AND(V1610&gt;=75,V1610&lt;175,W1610&lt;35),0.25,0)+IF(AND(V1610&gt;=75,V1610&lt;=175,W1610&gt;=35,W1610&lt;65),0.2,0)+IF(AND(V1610&gt;=75,V1610&lt;=175,W1610&gt;=65,W1610&lt;110),0.15,0)+IF(AND(V1610&gt;=75,V1610&lt;=175,W1610&gt;=110),0.1,0)+IF(AND(V1610&gt;175,W1610&lt;25),0.25,0)+IF(AND(V1610&gt;175,W1610&gt;=25,W1610&lt;55),0.2,0)+IF(AND(V1610&gt;175,W1610&gt;=55,W1610&lt;95),0.15,0)+IF(AND(V1610&gt;175,W1610&gt;=95),0.1,0))))))))))))))))))))</f>
        <v>0.17</v>
      </c>
      <c r="Y1610" s="30">
        <f>IF(AG1610="None",0,IF(AG1610="Fix5",0.05, IF(AG1610="Fix6.25",0.0625,IF(AG1610="Fix3.75",0.0375, IF(AG1610="Fix11",0.11, IF(AG1610="Fix10",0.1,IF(AG1610="Fix3",0.03,0)))))))</f>
        <v>0</v>
      </c>
      <c r="Z1610" s="35">
        <f>IF(AND(AD1610="EUR", AE1610 = "USD"), T1610*U1610-AA1610-AB1610, T1610-AA1610-AB1610)</f>
        <v>0</v>
      </c>
      <c r="AA1610" s="29">
        <f>IF(AND(AD1610="EUR", F1610="Without EV deal", AE1610="USD"), (T1610*X1610)*U1610,
IF(AND(AD1610="EUR", F1610="Without EV deal", AE1610="EUR"), (T1610*X1610),
IF(AND(AD1610="EUR",AE1610="USD"), (T1610*X1610)*U1610,
T1610*X1610)))</f>
        <v>0</v>
      </c>
      <c r="AB1610" s="36">
        <f>IF(AND(AD1610="EUR", F1610="Without EV deal", AE1610="USD"), (T1610*Y1610)*U1610,
IF(AND(AD1610="EUR", F1610="Without EV deal", AE1610="EUR"), (T1610*Y1610),
IF(AND(AD1610="EUR",AE1610="USD"), (T1610*Y1610)*U1610,
T1610*Y1610)))</f>
        <v>0</v>
      </c>
      <c r="AC1610" s="61" t="b">
        <v>1</v>
      </c>
      <c r="AD1610" s="82" t="str">
        <f>IF(OR(H1610="€0.25 Flash",
H1610="€0.25(nitro) new",
H1610="€1",
H1610="€2",
H1610="€2 (bf 01.08)",
H1610="€5",
H1610="€5 (1M)",
H1610="€5 (bf 01.08)",
H1610="€5 (bf 05.05)",
H1610="€5 Nitro",
H1610="€5(wx) new",
H1610="€10",
H1610="€10 (1M)",
H1610="€10 (bf 01.08)",
H1610="€10 (bf 05.05)",
H1610="€10 (MP)",
H1610="€10 (old)",
H1610="€10 Nitro (bf 05.05)",
H1610="€10 Nitro (old)",
H1610="€10(wx) new",
H1610="€20",
H1610="€25",
H1610="€25 (bf 01.08)",
H1610="€25 (bf 05.05)",
H1610="€25 (MP)",
H1610="€25 (old)",
H1610="€25 Nitro",
H1610="€25 Nitro (bf 01.08)",
H1610="€25 Nitro (bf 05.05)",
H1610="€25(nitro) new",
H1610="€25(wx) new",
H1610="€50",
H1610="€50 (bf 01.08)",
H1610="€50 (bf 05.05)",
H1610="€50 (old)",
H1610="€50 Nitro",
H1610="€50 Nitro (bf 01.08)",
H1610="€50 Nitro (bf 05.05)",
H1610="€50(wx) new",
H1610="€100",
H1610="€100 (old)",
H1610="€100 Nitro",
H1610="€100 Nitro (old)",
H1610="€200",
H1610="€250",
H1610="€250 Nitro",
H1610="€500",
H1610="€500 Nitro"),"EUR", "USD")</f>
        <v>USD</v>
      </c>
      <c r="AE1610" s="83" t="s">
        <v>38</v>
      </c>
      <c r="AF1610" s="83" t="str">
        <f t="array" ref="AF1610">INDEX('Deal Info'!D:D, MATCH(A1610,'Deal Info'!A:A, 0))</f>
        <v>DoEV</v>
      </c>
      <c r="AG1610" s="84" t="str">
        <f t="array" ref="AG1610">INDEX('Deal Info'!G:G, MATCH(A1610,'Deal Info'!A:A, 0))</f>
        <v>None</v>
      </c>
    </row>
    <row r="1611" spans="1:33" ht="14.25" hidden="1" x14ac:dyDescent="0.2">
      <c r="A1611" s="18" t="str">
        <f t="array" ref="A1611">IF(G1611='Room Info'!$B$1, INDEX('Room Info'!$A$2:$A2446, MATCH(B1611,'Room Info'!$B$2:$B2446, 0)),IF(G1611='Room Info'!$C$1, INDEX('Room Info'!$A$2:$A2446, MATCH(B1611,'Room Info'!$C$2:$C2446, 0)),IF(G1611='Room Info'!$D$1, INDEX('Room Info'!$A$2:$A2446, MATCH(B1611,'Room Info'!$D$2:$D2446, 0)),IF(G1611='Room Info'!$E$1, INDEX('Room Info'!$A$2:$A2446, MATCH(B1611,'Room Info'!$E$2:$E2446, 0)),IF(G1611='Room Info'!$F$1, INDEX('Room Info'!$A$2:$A2446, MATCH(B1611,'Room Info'!$F$2:$F2446, 0)),IF(G1611='Room Info'!$H$1, INDEX('Room Info'!$A$2:$A2446, MATCH(B1611,'Room Info'!$H$2:$H2446, 0)),IF(G1611='Room Info'!$G$1, INDEX('Room Info'!$A$2:$A2446, MATCH(B1611,'Room Info'!$G$2:$G2446, 0)))))))))</f>
        <v>QQcheliQ</v>
      </c>
      <c r="B1611" s="45" t="s">
        <v>195</v>
      </c>
      <c r="C1611" s="46">
        <v>44978</v>
      </c>
      <c r="D1611" s="46">
        <v>45005</v>
      </c>
      <c r="E1611" s="90">
        <v>44986</v>
      </c>
      <c r="F1611" s="48" t="s">
        <v>34</v>
      </c>
      <c r="G1611" s="65" t="s">
        <v>35</v>
      </c>
      <c r="H1611" s="91" t="s">
        <v>46</v>
      </c>
      <c r="I1611" s="100" t="s">
        <v>37</v>
      </c>
      <c r="J1611" s="39">
        <v>25</v>
      </c>
      <c r="K1611" s="51">
        <v>1717</v>
      </c>
      <c r="L1611" s="52">
        <v>-3400</v>
      </c>
      <c r="M1611" s="53">
        <v>1825</v>
      </c>
      <c r="N1611" s="28">
        <f>K1611*J1611</f>
        <v>42925</v>
      </c>
      <c r="O1611" s="54">
        <v>61540</v>
      </c>
      <c r="P1611" s="29">
        <v>35.841584159999996</v>
      </c>
      <c r="Q1611" s="55"/>
      <c r="R1611" s="31">
        <f>M1611+Q1611*J1611*K1611*0.07</f>
        <v>1825</v>
      </c>
      <c r="S1611" s="56">
        <v>15</v>
      </c>
      <c r="T1611" s="32">
        <f>IF(AND(AD1611="EUR", F1611="Without EV deal"), R1611 + L1611,
IF(AND(AD1611="USD", F1611="Without EV deal"), R1611 + L1611,
IF(AND(AD1611="EUR", F1611="Steel Phoenix"), R1611 + S1611/U1611,
R1611 + S1611)))</f>
        <v>1840</v>
      </c>
      <c r="U1611" s="57">
        <v>1.071</v>
      </c>
      <c r="V1611" s="69">
        <v>25</v>
      </c>
      <c r="W1611" s="69">
        <v>73.599999999999994</v>
      </c>
      <c r="X1611" s="30">
        <f>IF(AF1611="DoEV",IF(AND(V1611&lt;20,W1611&lt;55),0.3,0)+IF(AND(V1611&lt;20,W1611&gt;=55,W1611&lt;105),0.23,0)+IF(AND(V1611&lt;20,W1611&gt;=105),0.17,0)+IF(AND(V1611&gt;=20,V1611&lt;40,W1611&lt;45),0.3,0)+IF(AND(V1611&gt;=20,V1611&lt;40,W1611&gt;=45,W1611&lt;95),0.23,0)+IF(AND(V1611&gt;=20,V1611&lt;40,W1611&gt;=95),0.17,0)+IF(AND(V1611&gt;=40,V1611&lt;75,W1611&lt;35),0.3,0)+IF(AND(V1611&gt;=40,V1611&lt;75,W1611&gt;=35,W1611&lt;75),0.23,0)+IF(AND(V1611&gt;=40,V1611&lt;75,W1611&gt;=75,W1611&lt;120),0.17,0)+IF(AND(V1611&gt;=40,V1611&lt;75,W1611&gt;=120),0.12,0)+IF(AND(V1611&gt;=75,V1611&lt;175,W1611&lt;35),0.3,0)+IF(AND(V1611&gt;=75,V1611&lt;=175,W1611&gt;=35,W1611&lt;65),0.23,0)+IF(AND(V1611&gt;=75,V1611&lt;=175,W1611&gt;=65,W1611&lt;110),0.17,0)+IF(AND(V1611&gt;=75,V1611&lt;=175,W1611&gt;=110),0.12,0)+IF(AND(V1611&gt;175,W1611&lt;25),0.3,0)+IF(AND(V1611&gt;175,W1611&gt;=25,W1611&lt;55),0.23,0)+IF(AND(V1611&gt;175,W1611&gt;=55,W1611&lt;95),0.17,0)+IF(AND(V1611&gt;175,W1611&gt;=95),0.12,0),
IF(AF1611="Fix15",0.15,
IF(AF1611="Fix5",0.05,
IF(AF1611="Fix18.75",0.1875,
IF(AF1611="Fix11.25",0.1125,
IF(AF1611="Fix10",0.1,
IF(AF1611="Fix9",0.09,
IF(AF1611="Fix12",0.12,
IF(AF1611="Fix19",0.19,
IF(AF1611="DoEV2017",IF(AND(W1611&lt;74),0.2,0)+IF(AND(W1611&gt;=74),0.17,0),
IF(AF1611="SF",IF(AND(V1611&lt;20,W1611&lt;89),0.3,0)+IF(AND(V1611&lt;20,W1611&gt;=89),0.25,0)+IF(AND(V1611&gt;=20,V1611&lt;40,W1611&lt;74),0.3,0)+IF(AND(V1611&gt;=20,V1611&lt;40,W1611&gt;=75),0.22,0)+IF(AND(V1611&gt;=40,V1611&lt;75,W1611&lt;75),0.26,0)+IF(AND(V1611&gt;=40,V1611&lt;75,W1611&gt;=75),0.22,0)+IF(V1611&gt;=75,0.22,0),
IF(AF1611="DoEVold",IF(AND(V1611&lt;40,W1611&lt;35),0.35,0)+IF(AND(V1611&lt;40,W1611&gt;=35,W1611&lt;75),0.25,0)+IF(AND(V1611&lt;40,W1611&gt;=75),0.17,0)+IF(AND(V1611&gt;=40,V1611&lt;75,W1611&lt;25),0.35,0)+IF(AND(V1611&gt;=40,V1611&lt;75,W1611&gt;=25,W1611&lt;65),0.25,0)+IF(AND(V1611&gt;=40,V1611&lt;75,W1611&gt;=65,W1611&lt;100),0.17,0)+IF(AND(V1611&gt;=40,V1611&lt;75,W1611&gt;=100),0.1,0)+IF(AND(V1611&gt;=75,W1611&lt;25),0.35,0)+IF(AND(V1611&gt;=75,W1611&gt;=25,W1611&lt;60),0.25,0)+IF(AND(V1611&gt;=75,W1611&gt;=60,W1611&lt;95),0.17,0)+IF(AND(V1611&gt;=75,W1611&gt;=95),0.1,0),
IF(AF1611="DoEVold15",IF(AND(V1611&lt;=40,W1611&lt;35),0.35,0)+IF(AND(V1611&lt;=40,W1611&gt;=35,W1611&lt;75),0.25,0)+IF(AND(V1611&lt;=40,W1611&gt;=75,W1611&lt;120),0.17,0)+IF(AND(V1611&lt;=40,W1611&gt;=120),0.15,0)+IF(AND(V1611&gt;40,V1611&lt;75,W1611&lt;25),0.35,0)+IF(AND(V1611&gt;=40,V1611&lt;75,W1611&gt;=25,W1611&lt;65),0.25,0)+IF(AND(V1611&gt;=40,V1611&lt;75,W1611&gt;=65,W1611&lt;100),0.17,0)+IF(AND(V1611&gt;=40,V1611&lt;75,W1611&gt;=100),0.1,0)+IF(AND(V1611&gt;=75,W1611&lt;25),0.35,0)+IF(AND(V1611&gt;=75,W1611&gt;=25,W1611&lt;60),0.25,0)+IF(AND(V1611&gt;=75,W1611&gt;=60,W1611&lt;95),0.17,0)+IF(AND(V1611&gt;=75,W1611&gt;=95),0.1,0),
IF(AF1611="DoEVba",IF(AND(V1611&lt;20,W1611&lt;105),0.2,0)+IF(AND(V1611&lt;20,W1611&gt;=105),0.15,0)+IF(AND(V1611&gt;=20,V1611&lt;40,W1611&lt;95),0.2,0)+IF(AND(V1611&gt;=20,V1611&lt;40,W1611&gt;=95,W1611&lt;150),0.15,0)+IF(AND(V1611&gt;=20,V1611&lt;40,W1611&gt;=150),0.12,0)+IF(AND(V1611&gt;=40,V1611&lt;75,W1611&lt;75),0.2,0)+IF(AND(V1611&gt;=40,V1611&lt;75,W1611&gt;=75,W1611&lt;120),0.15,0)+IF(AND(V1611&gt;=40,V1611&lt;75,W1611&gt;=120),0.12,0)+IF(AND(V1611&gt;=75,V1611&lt;175,W1611&lt;65),0.2,0)+IF(AND(V1611&gt;=75,V1611&lt;175,W1611&gt;=65,W1611&lt;110),0.15,0)+IF(AND(V1611&gt;=75,V1611&lt;175,W1611&gt;=110),0.12,0)+IF(AND(V1611&gt;=175,W1611&lt;55),0.2,0)+IF(AND(V1611&gt;=175,W1611&gt;=55,W1611&lt;95),0.15,0)+IF(AND(V1611&gt;=175,W1611&gt;=95),0.12,0),
IF(AF1611="DoEVku",IF(AND(V1611&lt;20,W1611&lt;55),0.23,0)+IF(AND(V1611&lt;20,W1611&gt;=55,W1611&lt;105),0.2,0)+IF(AND(V1611&lt;20,W1611&gt;=105),0.17,0)+IF(AND(V1611&gt;=20,V1611&lt;40,W1611&lt;45),0.23,0)+IF(AND(V1611&gt;=20,V1611&lt;40,W1611&gt;=45,W1611&lt;95),0.2,0)+IF(AND(V1611&gt;=20,V1611&lt;40,W1611&gt;=95,W1611&lt;=150),0.17,0)+IF(AND(V1611&gt;=20,V1611&lt;40,W1611&gt;=150),0.12,0)+IF(AND(V1611&gt;=40,V1611&lt;75,W1611&lt;35),0.23,0)+IF(AND(V1611&gt;=40,V1611&lt;75,W1611&gt;=35,W1611&lt;75),0.2,0)+IF(AND(V1611&gt;=40,V1611&lt;75,W1611&gt;=75,W1611&lt;120),0.17,0)+IF(AND(V1611&gt;=40,V1611&lt;75,W1611&gt;=120),0.12,0)+IF(AND(V1611&gt;=75,V1611&lt;175,W1611&lt;35),0.23,0)+IF(AND(V1611&gt;=75,V1611&lt;=175,W1611&gt;=35,W1611&lt;65),0.2,0)+IF(AND(V1611&gt;=75,V1611&lt;=175,W1611&gt;=65,W1611&lt;110),0.17,0)+IF(AND(V1611&gt;=75,V1611&lt;=175,W1611&gt;=110),0.12,0)+IF(AND(V1611&gt;175,W1611&lt;25),0.23,0)+IF(AND(V1611&gt;175,W1611&gt;=25,W1611&lt;55),0.2,0)+IF(AND(V1611&gt;175,W1611&gt;=55,W1611&lt;95),0.17,0)+IF(AND(V1611&gt;175,W1611&gt;=95),0.12,0),
IF(AF1611="DoEVs1",IF(AND(V1611&lt;20,W1611&lt;55),0.3,0)+IF(AND(V1611&lt;20,W1611&gt;=55,W1611&lt;105),0.23,0)+IF(AND(V1611&lt;20,W1611&gt;=105),0.17,0)+IF(AND(V1611&gt;=20,V1611&lt;40,W1611&lt;45),0.3,0)+IF(AND(V1611&gt;=20,V1611&lt;40,W1611&gt;=45,W1611&lt;95),0.23,0)+IF(AND(V1611&gt;=20,V1611&lt;40,W1611&gt;=95,W1611&lt;=150),0.17,0)+IF(AND(V1611&gt;=20,V1611&lt;40,W1611&gt;=150),0.12,0)+IF(AND(V1611&gt;=40,V1611&lt;75,W1611&lt;35),0.3,0)+IF(AND(V1611&gt;=40,V1611&lt;75,W1611&gt;=35,W1611&lt;75),0.23,0)+IF(AND(V1611&gt;=40,V1611&lt;75,W1611&gt;=75,W1611&lt;120),0.17,0)+IF(AND(V1611&gt;=40,V1611&lt;75,W1611&gt;=120),0.12,0)+IF(AND(V1611&gt;=75,V1611&lt;175,W1611&lt;35),0.3,0)+IF(AND(V1611&gt;=75,V1611&lt;=175,W1611&gt;=35,W1611&lt;65),0.23,0)+IF(AND(V1611&gt;=75,V1611&lt;=175,W1611&gt;=65,W1611&lt;110),0.17,0)+IF(AND(V1611&gt;=75,V1611&lt;=175,W1611&gt;=110),0.12,0)+IF(AND(V1611&gt;175,W1611&lt;25),0.3,0)+IF(AND(V1611&gt;175,W1611&gt;=25,W1611&lt;55),0.23,0)+IF(AND(V1611&gt;175,W1611&gt;=55,W1611&lt;95),0.17,0)+IF(AND(V1611&gt;175,W1611&gt;=95),0.12,0),
IF(AF1611="DoEVsu",IF(AND(V1611&lt;20,W1611&lt;55),0.3,0)+IF(AND(V1611&lt;20,W1611&gt;=55,W1611&lt;105),0.23,0)+IF(AND(V1611&lt;20,W1611&gt;=105),0.17,0)+IF(AND(V1611&gt;=20,V1611&lt;40,W1611&lt;45),0.3,0)+IF(AND(V1611&gt;=20,V1611&lt;40,W1611&gt;=45,W1611&lt;95),0.23,0)+IF(AND(V1611&gt;=20,V1611&lt;40,W1611&gt;=95,W1611&lt;=250),0.17,0)+IF(AND(V1611&gt;=20,V1611&lt;40,W1611&gt;=250),0.12,0)+IF(AND(V1611&gt;=40,V1611&lt;75,W1611&lt;35),0.3,0)+IF(AND(V1611&gt;=40,V1611&lt;75,W1611&gt;=35,W1611&lt;75),0.23,0)+IF(AND(V1611&gt;=40,V1611&lt;75,W1611&gt;=75,W1611&lt;120),0.17,0)+IF(AND(V1611&gt;=40,V1611&lt;75,W1611&gt;=120),0.12,0)+IF(AND(V1611&gt;=75,V1611&lt;175,W1611&lt;35),0.3,0)+IF(AND(V1611&gt;=75,V1611&lt;=175,W1611&gt;=35,W1611&lt;65),0.23,0)+IF(AND(V1611&gt;=75,V1611&lt;=175,W1611&gt;=65,W1611&lt;110),0.17,0)+IF(AND(V1611&gt;=75,V1611&lt;=175,W1611&gt;=110),0.12,0)+IF(AND(V1611&gt;175,W1611&lt;25),0.3,0)+IF(AND(V1611&gt;175,W1611&gt;=25,W1611&lt;55),0.23,0)+IF(AND(V1611&gt;175,W1611&gt;=55,W1611&lt;95),0.17,0)+IF(AND(V1611&gt;175,W1611&gt;=95),0.12,0),
IF(AF1611="DoEVni",IF(AND(V1611&lt;20,W1611&lt;55),0.3,0)+IF(AND(V1611&lt;20,W1611&gt;=55,W1611&lt;105),0.23,0)+IF(AND(V1611&lt;20,W1611&gt;=105),0.17,0)+IF(AND(V1611&gt;=20,V1611&lt;40,W1611&lt;45),0.3,0)+IF(AND(V1611&gt;=20,V1611&lt;40,W1611&gt;=45,W1611&lt;95),0.23,0)+IF(AND(V1611&gt;=20,V1611&lt;40,W1611&gt;=95,W1611&lt;=200),0.17,0)+IF(AND(V1611&gt;=20,V1611&lt;40,W1611&gt;=200),0.12,0)+IF(AND(V1611&gt;=40,V1611&lt;75,W1611&lt;35),0.3,0)+IF(AND(V1611&gt;=40,V1611&lt;75,W1611&gt;=35,W1611&lt;75),0.23,0)+IF(AND(V1611&gt;=40,V1611&lt;75,W1611&gt;=75,W1611&lt;120),0.17,0)+IF(AND(V1611&gt;=40,V1611&lt;75,W1611&gt;=120),0.12,0)+IF(AND(V1611&gt;=75,V1611&lt;175,W1611&lt;35),0.3,0)+IF(AND(V1611&gt;=75,V1611&lt;=175,W1611&gt;=35,W1611&lt;65),0.23,0)+IF(AND(V1611&gt;=75,V1611&lt;=175,W1611&gt;=65,W1611&lt;110),0.17,0)+IF(AND(V1611&gt;=75,V1611&lt;=175,W1611&gt;=110),0.12,0)+IF(AND(V1611&gt;175,W1611&lt;25),0.3,0)+IF(AND(V1611&gt;175,W1611&gt;=25,W1611&lt;55),0.23,0)+IF(AND(V1611&gt;175,W1611&gt;=55,W1611&lt;95),0.17,0)+IF(AND(V1611&gt;175,W1611&gt;=95),0.12,0),
IF(AF1611="DoEVLo",IF(AND(V1611&lt;20,W1611&lt;55),0.25,0)+IF(AND(V1611&lt;20,W1611&gt;=55,W1611&lt;105),0.2,0)+IF(AND(V1611&lt;20,W1611&gt;=105),0.15,0)+IF(AND(V1611&gt;=20,V1611&lt;40,W1611&lt;45),0.25,0)+IF(AND(V1611&gt;=20,V1611&lt;40,W1611&gt;=45,W1611&lt;95),0.2,0)+IF(AND(V1611&gt;=20,V1611&lt;40,W1611&gt;=95),0.15,0)+IF(AND(V1611&gt;=40,V1611&lt;75,W1611&lt;35),0.25,0)+IF(AND(V1611&gt;=40,V1611&lt;75,W1611&gt;=35,W1611&lt;75),0.2,0)+IF(AND(V1611&gt;=40,V1611&lt;75,W1611&gt;=75,W1611&lt;120),0.15,0)+IF(AND(V1611&gt;=40,V1611&lt;75,W1611&gt;=120),0.1,0)+IF(AND(V1611&gt;=75,V1611&lt;175,W1611&lt;35),0.25,0)+IF(AND(V1611&gt;=75,V1611&lt;=175,W1611&gt;=35,W1611&lt;65),0.2,0)+IF(AND(V1611&gt;=75,V1611&lt;=175,W1611&gt;=65,W1611&lt;110),0.15,0)+IF(AND(V1611&gt;=75,V1611&lt;=175,W1611&gt;=110),0.1,0)+IF(AND(V1611&gt;175,W1611&lt;25),0.25,0)+IF(AND(V1611&gt;175,W1611&gt;=25,W1611&lt;55),0.2,0)+IF(AND(V1611&gt;175,W1611&gt;=55,W1611&lt;95),0.15,0)+IF(AND(V1611&gt;175,W1611&gt;=95),0.1,0))))))))))))))))))))</f>
        <v>0.23</v>
      </c>
      <c r="Y1611" s="30">
        <f>IF(AG1611="None",0,IF(AG1611="Fix5",0.05, IF(AG1611="Fix6.25",0.0625,IF(AG1611="Fix3.75",0.0375, IF(AG1611="Fix11",0.11, IF(AG1611="Fix10",0.1,IF(AG1611="Fix3",0.03,0)))))))</f>
        <v>0</v>
      </c>
      <c r="Z1611" s="35">
        <f>IF(AND(AD1611="EUR", AE1611 = "USD"), T1611*U1611-AA1611-AB1611, T1611-AA1611-AB1611)</f>
        <v>1416.8</v>
      </c>
      <c r="AA1611" s="29">
        <f>IF(AND(AD1611="EUR", F1611="Without EV deal", AE1611="USD"), (T1611*X1611)*U1611,
IF(AND(AD1611="EUR", F1611="Without EV deal", AE1611="EUR"), (T1611*X1611),
IF(AND(AD1611="EUR",AE1611="USD"), (T1611*X1611)*U1611,
T1611*X1611)))</f>
        <v>423.20000000000005</v>
      </c>
      <c r="AB1611" s="36">
        <f>IF(AND(AD1611="EUR", F1611="Without EV deal", AE1611="USD"), (T1611*Y1611)*U1611,
IF(AND(AD1611="EUR", F1611="Without EV deal", AE1611="EUR"), (T1611*Y1611),
IF(AND(AD1611="EUR",AE1611="USD"), (T1611*Y1611)*U1611,
T1611*Y1611)))</f>
        <v>0</v>
      </c>
      <c r="AC1611" s="61" t="b">
        <v>1</v>
      </c>
      <c r="AD1611" s="82" t="str">
        <f>IF(OR(H1611="€0.25 Flash",
H1611="€0.25(nitro) new",
H1611="€1",
H1611="€2",
H1611="€2 (bf 01.08)",
H1611="€5",
H1611="€5 (1M)",
H1611="€5 (bf 01.08)",
H1611="€5 (bf 05.05)",
H1611="€5 Nitro",
H1611="€5(wx) new",
H1611="€10",
H1611="€10 (1M)",
H1611="€10 (bf 01.08)",
H1611="€10 (bf 05.05)",
H1611="€10 (MP)",
H1611="€10 (old)",
H1611="€10 Nitro (bf 05.05)",
H1611="€10 Nitro (old)",
H1611="€10(wx) new",
H1611="€20",
H1611="€25",
H1611="€25 (bf 01.08)",
H1611="€25 (bf 05.05)",
H1611="€25 (MP)",
H1611="€25 (old)",
H1611="€25 Nitro",
H1611="€25 Nitro (bf 01.08)",
H1611="€25 Nitro (bf 05.05)",
H1611="€25(nitro) new",
H1611="€25(wx) new",
H1611="€50",
H1611="€50 (bf 01.08)",
H1611="€50 (bf 05.05)",
H1611="€50 (old)",
H1611="€50 Nitro",
H1611="€50 Nitro (bf 01.08)",
H1611="€50 Nitro (bf 05.05)",
H1611="€50(wx) new",
H1611="€100",
H1611="€100 (old)",
H1611="€100 Nitro",
H1611="€100 Nitro (old)",
H1611="€200",
H1611="€250",
H1611="€250 Nitro",
H1611="€500",
H1611="€500 Nitro"),"EUR", "USD")</f>
        <v>USD</v>
      </c>
      <c r="AE1611" s="83" t="s">
        <v>38</v>
      </c>
      <c r="AF1611" s="83" t="str">
        <f t="array" ref="AF1611">INDEX('Deal Info'!D:D, MATCH(A1611,'Deal Info'!A:A, 0))</f>
        <v>DoEV</v>
      </c>
      <c r="AG1611" s="84" t="str">
        <f t="array" ref="AG1611">INDEX('Deal Info'!G:G, MATCH(A1611,'Deal Info'!A:A, 0))</f>
        <v>None</v>
      </c>
    </row>
    <row r="1612" spans="1:33" ht="14.25" hidden="1" x14ac:dyDescent="0.2">
      <c r="A1612" s="18" t="str">
        <f t="array" ref="A1612">IF(G1612='Room Info'!$B$1, INDEX('Room Info'!$A$2:$A2446, MATCH(B1612,'Room Info'!$B$2:$B2446, 0)),IF(G1612='Room Info'!$C$1, INDEX('Room Info'!$A$2:$A2446, MATCH(B1612,'Room Info'!$C$2:$C2446, 0)),IF(G1612='Room Info'!$D$1, INDEX('Room Info'!$A$2:$A2446, MATCH(B1612,'Room Info'!$D$2:$D2446, 0)),IF(G1612='Room Info'!$E$1, INDEX('Room Info'!$A$2:$A2446, MATCH(B1612,'Room Info'!$E$2:$E2446, 0)),IF(G1612='Room Info'!$F$1, INDEX('Room Info'!$A$2:$A2446, MATCH(B1612,'Room Info'!$F$2:$F2446, 0)),IF(G1612='Room Info'!$H$1, INDEX('Room Info'!$A$2:$A2446, MATCH(B1612,'Room Info'!$H$2:$H2446, 0)),IF(G1612='Room Info'!$G$1, INDEX('Room Info'!$A$2:$A2446, MATCH(B1612,'Room Info'!$G$2:$G2446, 0)))))))))</f>
        <v>SDEBA1</v>
      </c>
      <c r="B1612" s="45" t="s">
        <v>114</v>
      </c>
      <c r="C1612" s="46">
        <v>44978</v>
      </c>
      <c r="D1612" s="46">
        <v>45005</v>
      </c>
      <c r="E1612" s="90">
        <v>44986</v>
      </c>
      <c r="F1612" s="96" t="s">
        <v>41</v>
      </c>
      <c r="G1612" s="65" t="s">
        <v>35</v>
      </c>
      <c r="H1612" s="49" t="s">
        <v>47</v>
      </c>
      <c r="I1612" s="54" t="s">
        <v>44</v>
      </c>
      <c r="J1612" s="39">
        <v>1</v>
      </c>
      <c r="K1612" s="51">
        <v>13</v>
      </c>
      <c r="L1612" s="52">
        <v>-3</v>
      </c>
      <c r="M1612" s="53">
        <v>2080</v>
      </c>
      <c r="N1612" s="28">
        <f>K1612*J1612</f>
        <v>13</v>
      </c>
      <c r="O1612" s="65"/>
      <c r="P1612" s="29">
        <v>0</v>
      </c>
      <c r="Q1612" s="55"/>
      <c r="R1612" s="31">
        <f>M1612+Q1612*J1612*K1612*0.07</f>
        <v>2080</v>
      </c>
      <c r="S1612" s="56">
        <v>-56</v>
      </c>
      <c r="T1612" s="32">
        <f>IF(AND(AD1612="EUR", F1612="Without EV deal"), R1612 + L1612,
IF(AND(AD1612="USD", F1612="Without EV deal"), R1612 + L1612,
IF(AND(AD1612="EUR", F1612="Steel Phoenix"), R1612 + S1612/U1612,
R1612 + S1612)))</f>
        <v>2077</v>
      </c>
      <c r="U1612" s="57">
        <v>1.071</v>
      </c>
      <c r="V1612" s="69">
        <v>8.8680780440414502</v>
      </c>
      <c r="W1612" s="58">
        <v>75</v>
      </c>
      <c r="X1612" s="30">
        <f>IF(AF1612="DoEV",IF(AND(V1612&lt;20,W1612&lt;55),0.3,0)+IF(AND(V1612&lt;20,W1612&gt;=55,W1612&lt;105),0.23,0)+IF(AND(V1612&lt;20,W1612&gt;=105),0.17,0)+IF(AND(V1612&gt;=20,V1612&lt;40,W1612&lt;45),0.3,0)+IF(AND(V1612&gt;=20,V1612&lt;40,W1612&gt;=45,W1612&lt;95),0.23,0)+IF(AND(V1612&gt;=20,V1612&lt;40,W1612&gt;=95),0.17,0)+IF(AND(V1612&gt;=40,V1612&lt;75,W1612&lt;35),0.3,0)+IF(AND(V1612&gt;=40,V1612&lt;75,W1612&gt;=35,W1612&lt;75),0.23,0)+IF(AND(V1612&gt;=40,V1612&lt;75,W1612&gt;=75,W1612&lt;120),0.17,0)+IF(AND(V1612&gt;=40,V1612&lt;75,W1612&gt;=120),0.12,0)+IF(AND(V1612&gt;=75,V1612&lt;175,W1612&lt;35),0.3,0)+IF(AND(V1612&gt;=75,V1612&lt;=175,W1612&gt;=35,W1612&lt;65),0.23,0)+IF(AND(V1612&gt;=75,V1612&lt;=175,W1612&gt;=65,W1612&lt;110),0.17,0)+IF(AND(V1612&gt;=75,V1612&lt;=175,W1612&gt;=110),0.12,0)+IF(AND(V1612&gt;175,W1612&lt;25),0.3,0)+IF(AND(V1612&gt;175,W1612&gt;=25,W1612&lt;55),0.23,0)+IF(AND(V1612&gt;175,W1612&gt;=55,W1612&lt;95),0.17,0)+IF(AND(V1612&gt;175,W1612&gt;=95),0.12,0),
IF(AF1612="Fix15",0.15,
IF(AF1612="Fix5",0.05,
IF(AF1612="Fix18.75",0.1875,
IF(AF1612="Fix11.25",0.1125,
IF(AF1612="Fix10",0.1,
IF(AF1612="Fix9",0.09,
IF(AF1612="Fix12",0.12,
IF(AF1612="Fix19",0.19,
IF(AF1612="DoEV2017",IF(AND(W1612&lt;74),0.2,0)+IF(AND(W1612&gt;=74),0.17,0),
IF(AF1612="SF",IF(AND(V1612&lt;20,W1612&lt;89),0.3,0)+IF(AND(V1612&lt;20,W1612&gt;=89),0.25,0)+IF(AND(V1612&gt;=20,V1612&lt;40,W1612&lt;74),0.3,0)+IF(AND(V1612&gt;=20,V1612&lt;40,W1612&gt;=75),0.22,0)+IF(AND(V1612&gt;=40,V1612&lt;75,W1612&lt;75),0.26,0)+IF(AND(V1612&gt;=40,V1612&lt;75,W1612&gt;=75),0.22,0)+IF(V1612&gt;=75,0.22,0),
IF(AF1612="DoEVold",IF(AND(V1612&lt;40,W1612&lt;35),0.35,0)+IF(AND(V1612&lt;40,W1612&gt;=35,W1612&lt;75),0.25,0)+IF(AND(V1612&lt;40,W1612&gt;=75),0.17,0)+IF(AND(V1612&gt;=40,V1612&lt;75,W1612&lt;25),0.35,0)+IF(AND(V1612&gt;=40,V1612&lt;75,W1612&gt;=25,W1612&lt;65),0.25,0)+IF(AND(V1612&gt;=40,V1612&lt;75,W1612&gt;=65,W1612&lt;100),0.17,0)+IF(AND(V1612&gt;=40,V1612&lt;75,W1612&gt;=100),0.1,0)+IF(AND(V1612&gt;=75,W1612&lt;25),0.35,0)+IF(AND(V1612&gt;=75,W1612&gt;=25,W1612&lt;60),0.25,0)+IF(AND(V1612&gt;=75,W1612&gt;=60,W1612&lt;95),0.17,0)+IF(AND(V1612&gt;=75,W1612&gt;=95),0.1,0),
IF(AF1612="DoEVold15",IF(AND(V1612&lt;=40,W1612&lt;35),0.35,0)+IF(AND(V1612&lt;=40,W1612&gt;=35,W1612&lt;75),0.25,0)+IF(AND(V1612&lt;=40,W1612&gt;=75,W1612&lt;120),0.17,0)+IF(AND(V1612&lt;=40,W1612&gt;=120),0.15,0)+IF(AND(V1612&gt;40,V1612&lt;75,W1612&lt;25),0.35,0)+IF(AND(V1612&gt;=40,V1612&lt;75,W1612&gt;=25,W1612&lt;65),0.25,0)+IF(AND(V1612&gt;=40,V1612&lt;75,W1612&gt;=65,W1612&lt;100),0.17,0)+IF(AND(V1612&gt;=40,V1612&lt;75,W1612&gt;=100),0.1,0)+IF(AND(V1612&gt;=75,W1612&lt;25),0.35,0)+IF(AND(V1612&gt;=75,W1612&gt;=25,W1612&lt;60),0.25,0)+IF(AND(V1612&gt;=75,W1612&gt;=60,W1612&lt;95),0.17,0)+IF(AND(V1612&gt;=75,W1612&gt;=95),0.1,0),
IF(AF1612="DoEVba",IF(AND(V1612&lt;20,W1612&lt;105),0.2,0)+IF(AND(V1612&lt;20,W1612&gt;=105),0.15,0)+IF(AND(V1612&gt;=20,V1612&lt;40,W1612&lt;95),0.2,0)+IF(AND(V1612&gt;=20,V1612&lt;40,W1612&gt;=95,W1612&lt;150),0.15,0)+IF(AND(V1612&gt;=20,V1612&lt;40,W1612&gt;=150),0.12,0)+IF(AND(V1612&gt;=40,V1612&lt;75,W1612&lt;75),0.2,0)+IF(AND(V1612&gt;=40,V1612&lt;75,W1612&gt;=75,W1612&lt;120),0.15,0)+IF(AND(V1612&gt;=40,V1612&lt;75,W1612&gt;=120),0.12,0)+IF(AND(V1612&gt;=75,V1612&lt;175,W1612&lt;65),0.2,0)+IF(AND(V1612&gt;=75,V1612&lt;175,W1612&gt;=65,W1612&lt;110),0.15,0)+IF(AND(V1612&gt;=75,V1612&lt;175,W1612&gt;=110),0.12,0)+IF(AND(V1612&gt;=175,W1612&lt;55),0.2,0)+IF(AND(V1612&gt;=175,W1612&gt;=55,W1612&lt;95),0.15,0)+IF(AND(V1612&gt;=175,W1612&gt;=95),0.12,0),
IF(AF1612="DoEVku",IF(AND(V1612&lt;20,W1612&lt;55),0.23,0)+IF(AND(V1612&lt;20,W1612&gt;=55,W1612&lt;105),0.2,0)+IF(AND(V1612&lt;20,W1612&gt;=105),0.17,0)+IF(AND(V1612&gt;=20,V1612&lt;40,W1612&lt;45),0.23,0)+IF(AND(V1612&gt;=20,V1612&lt;40,W1612&gt;=45,W1612&lt;95),0.2,0)+IF(AND(V1612&gt;=20,V1612&lt;40,W1612&gt;=95,W1612&lt;=150),0.17,0)+IF(AND(V1612&gt;=20,V1612&lt;40,W1612&gt;=150),0.12,0)+IF(AND(V1612&gt;=40,V1612&lt;75,W1612&lt;35),0.23,0)+IF(AND(V1612&gt;=40,V1612&lt;75,W1612&gt;=35,W1612&lt;75),0.2,0)+IF(AND(V1612&gt;=40,V1612&lt;75,W1612&gt;=75,W1612&lt;120),0.17,0)+IF(AND(V1612&gt;=40,V1612&lt;75,W1612&gt;=120),0.12,0)+IF(AND(V1612&gt;=75,V1612&lt;175,W1612&lt;35),0.23,0)+IF(AND(V1612&gt;=75,V1612&lt;=175,W1612&gt;=35,W1612&lt;65),0.2,0)+IF(AND(V1612&gt;=75,V1612&lt;=175,W1612&gt;=65,W1612&lt;110),0.17,0)+IF(AND(V1612&gt;=75,V1612&lt;=175,W1612&gt;=110),0.12,0)+IF(AND(V1612&gt;175,W1612&lt;25),0.23,0)+IF(AND(V1612&gt;175,W1612&gt;=25,W1612&lt;55),0.2,0)+IF(AND(V1612&gt;175,W1612&gt;=55,W1612&lt;95),0.17,0)+IF(AND(V1612&gt;175,W1612&gt;=95),0.12,0),
IF(AF1612="DoEVs1",IF(AND(V1612&lt;20,W1612&lt;55),0.3,0)+IF(AND(V1612&lt;20,W1612&gt;=55,W1612&lt;105),0.23,0)+IF(AND(V1612&lt;20,W1612&gt;=105),0.17,0)+IF(AND(V1612&gt;=20,V1612&lt;40,W1612&lt;45),0.3,0)+IF(AND(V1612&gt;=20,V1612&lt;40,W1612&gt;=45,W1612&lt;95),0.23,0)+IF(AND(V1612&gt;=20,V1612&lt;40,W1612&gt;=95,W1612&lt;=150),0.17,0)+IF(AND(V1612&gt;=20,V1612&lt;40,W1612&gt;=150),0.12,0)+IF(AND(V1612&gt;=40,V1612&lt;75,W1612&lt;35),0.3,0)+IF(AND(V1612&gt;=40,V1612&lt;75,W1612&gt;=35,W1612&lt;75),0.23,0)+IF(AND(V1612&gt;=40,V1612&lt;75,W1612&gt;=75,W1612&lt;120),0.17,0)+IF(AND(V1612&gt;=40,V1612&lt;75,W1612&gt;=120),0.12,0)+IF(AND(V1612&gt;=75,V1612&lt;175,W1612&lt;35),0.3,0)+IF(AND(V1612&gt;=75,V1612&lt;=175,W1612&gt;=35,W1612&lt;65),0.23,0)+IF(AND(V1612&gt;=75,V1612&lt;=175,W1612&gt;=65,W1612&lt;110),0.17,0)+IF(AND(V1612&gt;=75,V1612&lt;=175,W1612&gt;=110),0.12,0)+IF(AND(V1612&gt;175,W1612&lt;25),0.3,0)+IF(AND(V1612&gt;175,W1612&gt;=25,W1612&lt;55),0.23,0)+IF(AND(V1612&gt;175,W1612&gt;=55,W1612&lt;95),0.17,0)+IF(AND(V1612&gt;175,W1612&gt;=95),0.12,0),
IF(AF1612="DoEVsu",IF(AND(V1612&lt;20,W1612&lt;55),0.3,0)+IF(AND(V1612&lt;20,W1612&gt;=55,W1612&lt;105),0.23,0)+IF(AND(V1612&lt;20,W1612&gt;=105),0.17,0)+IF(AND(V1612&gt;=20,V1612&lt;40,W1612&lt;45),0.3,0)+IF(AND(V1612&gt;=20,V1612&lt;40,W1612&gt;=45,W1612&lt;95),0.23,0)+IF(AND(V1612&gt;=20,V1612&lt;40,W1612&gt;=95,W1612&lt;=250),0.17,0)+IF(AND(V1612&gt;=20,V1612&lt;40,W1612&gt;=250),0.12,0)+IF(AND(V1612&gt;=40,V1612&lt;75,W1612&lt;35),0.3,0)+IF(AND(V1612&gt;=40,V1612&lt;75,W1612&gt;=35,W1612&lt;75),0.23,0)+IF(AND(V1612&gt;=40,V1612&lt;75,W1612&gt;=75,W1612&lt;120),0.17,0)+IF(AND(V1612&gt;=40,V1612&lt;75,W1612&gt;=120),0.12,0)+IF(AND(V1612&gt;=75,V1612&lt;175,W1612&lt;35),0.3,0)+IF(AND(V1612&gt;=75,V1612&lt;=175,W1612&gt;=35,W1612&lt;65),0.23,0)+IF(AND(V1612&gt;=75,V1612&lt;=175,W1612&gt;=65,W1612&lt;110),0.17,0)+IF(AND(V1612&gt;=75,V1612&lt;=175,W1612&gt;=110),0.12,0)+IF(AND(V1612&gt;175,W1612&lt;25),0.3,0)+IF(AND(V1612&gt;175,W1612&gt;=25,W1612&lt;55),0.23,0)+IF(AND(V1612&gt;175,W1612&gt;=55,W1612&lt;95),0.17,0)+IF(AND(V1612&gt;175,W1612&gt;=95),0.12,0),
IF(AF1612="DoEVni",IF(AND(V1612&lt;20,W1612&lt;55),0.3,0)+IF(AND(V1612&lt;20,W1612&gt;=55,W1612&lt;105),0.23,0)+IF(AND(V1612&lt;20,W1612&gt;=105),0.17,0)+IF(AND(V1612&gt;=20,V1612&lt;40,W1612&lt;45),0.3,0)+IF(AND(V1612&gt;=20,V1612&lt;40,W1612&gt;=45,W1612&lt;95),0.23,0)+IF(AND(V1612&gt;=20,V1612&lt;40,W1612&gt;=95,W1612&lt;=200),0.17,0)+IF(AND(V1612&gt;=20,V1612&lt;40,W1612&gt;=200),0.12,0)+IF(AND(V1612&gt;=40,V1612&lt;75,W1612&lt;35),0.3,0)+IF(AND(V1612&gt;=40,V1612&lt;75,W1612&gt;=35,W1612&lt;75),0.23,0)+IF(AND(V1612&gt;=40,V1612&lt;75,W1612&gt;=75,W1612&lt;120),0.17,0)+IF(AND(V1612&gt;=40,V1612&lt;75,W1612&gt;=120),0.12,0)+IF(AND(V1612&gt;=75,V1612&lt;175,W1612&lt;35),0.3,0)+IF(AND(V1612&gt;=75,V1612&lt;=175,W1612&gt;=35,W1612&lt;65),0.23,0)+IF(AND(V1612&gt;=75,V1612&lt;=175,W1612&gt;=65,W1612&lt;110),0.17,0)+IF(AND(V1612&gt;=75,V1612&lt;=175,W1612&gt;=110),0.12,0)+IF(AND(V1612&gt;175,W1612&lt;25),0.3,0)+IF(AND(V1612&gt;175,W1612&gt;=25,W1612&lt;55),0.23,0)+IF(AND(V1612&gt;175,W1612&gt;=55,W1612&lt;95),0.17,0)+IF(AND(V1612&gt;175,W1612&gt;=95),0.12,0),
IF(AF1612="DoEVLo",IF(AND(V1612&lt;20,W1612&lt;55),0.25,0)+IF(AND(V1612&lt;20,W1612&gt;=55,W1612&lt;105),0.2,0)+IF(AND(V1612&lt;20,W1612&gt;=105),0.15,0)+IF(AND(V1612&gt;=20,V1612&lt;40,W1612&lt;45),0.25,0)+IF(AND(V1612&gt;=20,V1612&lt;40,W1612&gt;=45,W1612&lt;95),0.2,0)+IF(AND(V1612&gt;=20,V1612&lt;40,W1612&gt;=95),0.15,0)+IF(AND(V1612&gt;=40,V1612&lt;75,W1612&lt;35),0.25,0)+IF(AND(V1612&gt;=40,V1612&lt;75,W1612&gt;=35,W1612&lt;75),0.2,0)+IF(AND(V1612&gt;=40,V1612&lt;75,W1612&gt;=75,W1612&lt;120),0.15,0)+IF(AND(V1612&gt;=40,V1612&lt;75,W1612&gt;=120),0.1,0)+IF(AND(V1612&gt;=75,V1612&lt;175,W1612&lt;35),0.25,0)+IF(AND(V1612&gt;=75,V1612&lt;=175,W1612&gt;=35,W1612&lt;65),0.2,0)+IF(AND(V1612&gt;=75,V1612&lt;=175,W1612&gt;=65,W1612&lt;110),0.15,0)+IF(AND(V1612&gt;=75,V1612&lt;=175,W1612&gt;=110),0.1,0)+IF(AND(V1612&gt;175,W1612&lt;25),0.25,0)+IF(AND(V1612&gt;175,W1612&gt;=25,W1612&lt;55),0.2,0)+IF(AND(V1612&gt;175,W1612&gt;=55,W1612&lt;95),0.15,0)+IF(AND(V1612&gt;175,W1612&gt;=95),0.1,0))))))))))))))))))))</f>
        <v>0.23</v>
      </c>
      <c r="Y1612" s="30">
        <f>IF(AG1612="None",0,IF(AG1612="Fix5",0.05, IF(AG1612="Fix6.25",0.0625,IF(AG1612="Fix3.75",0.0375, IF(AG1612="Fix11",0.11, IF(AG1612="Fix10",0.1,IF(AG1612="Fix3",0.03,0)))))))</f>
        <v>0</v>
      </c>
      <c r="Z1612" s="35">
        <f>IF(AND(AD1612="EUR", AE1612 = "USD"), T1612*U1612-AA1612-AB1612, T1612-AA1612-AB1612)</f>
        <v>1599.29</v>
      </c>
      <c r="AA1612" s="29">
        <f>IF(AND(AD1612="EUR", F1612="Without EV deal", AE1612="USD"), (T1612*X1612)*U1612,
IF(AND(AD1612="EUR", F1612="Without EV deal", AE1612="EUR"), (T1612*X1612),
IF(AND(AD1612="EUR",AE1612="USD"), (T1612*X1612)*U1612,
T1612*X1612)))</f>
        <v>477.71000000000004</v>
      </c>
      <c r="AB1612" s="36">
        <f>IF(AND(AD1612="EUR", F1612="Without EV deal", AE1612="USD"), (T1612*Y1612)*U1612,
IF(AND(AD1612="EUR", F1612="Without EV deal", AE1612="EUR"), (T1612*Y1612),
IF(AND(AD1612="EUR",AE1612="USD"), (T1612*Y1612)*U1612,
T1612*Y1612)))</f>
        <v>0</v>
      </c>
      <c r="AC1612" s="61" t="b">
        <v>1</v>
      </c>
      <c r="AD1612" s="82" t="str">
        <f>IF(OR(H1612="€0.25 Flash",
H1612="€0.25(nitro) new",
H1612="€1",
H1612="€2",
H1612="€2 (bf 01.08)",
H1612="€5",
H1612="€5 (1M)",
H1612="€5 (bf 01.08)",
H1612="€5 (bf 05.05)",
H1612="€5 Nitro",
H1612="€5(wx) new",
H1612="€10",
H1612="€10 (1M)",
H1612="€10 (bf 01.08)",
H1612="€10 (bf 05.05)",
H1612="€10 (MP)",
H1612="€10 (old)",
H1612="€10 Nitro (bf 05.05)",
H1612="€10 Nitro (old)",
H1612="€10(wx) new",
H1612="€20",
H1612="€25",
H1612="€25 (bf 01.08)",
H1612="€25 (bf 05.05)",
H1612="€25 (MP)",
H1612="€25 (old)",
H1612="€25 Nitro",
H1612="€25 Nitro (bf 01.08)",
H1612="€25 Nitro (bf 05.05)",
H1612="€25(nitro) new",
H1612="€25(wx) new",
H1612="€50",
H1612="€50 (bf 01.08)",
H1612="€50 (bf 05.05)",
H1612="€50 (old)",
H1612="€50 Nitro",
H1612="€50 Nitro (bf 01.08)",
H1612="€50 Nitro (bf 05.05)",
H1612="€50(wx) new",
H1612="€100",
H1612="€100 (old)",
H1612="€100 Nitro",
H1612="€100 Nitro (old)",
H1612="€200",
H1612="€250",
H1612="€250 Nitro",
H1612="€500",
H1612="€500 Nitro"),"EUR", "USD")</f>
        <v>USD</v>
      </c>
      <c r="AE1612" s="83" t="s">
        <v>38</v>
      </c>
      <c r="AF1612" s="83" t="str">
        <f t="array" ref="AF1612">INDEX('Deal Info'!D:D, MATCH(A1612,'Deal Info'!A:A, 0))</f>
        <v>DoEV</v>
      </c>
      <c r="AG1612" s="84" t="str">
        <f t="array" ref="AG1612">INDEX('Deal Info'!G:G, MATCH(A1612,'Deal Info'!A:A, 0))</f>
        <v>None</v>
      </c>
    </row>
    <row r="1613" spans="1:33" ht="14.25" hidden="1" x14ac:dyDescent="0.2">
      <c r="A1613" s="18" t="str">
        <f t="array" ref="A1613">IF(G1613='Room Info'!$B$1, INDEX('Room Info'!$A$2:$A2446, MATCH(B1613,'Room Info'!$B$2:$B2446, 0)),IF(G1613='Room Info'!$C$1, INDEX('Room Info'!$A$2:$A2446, MATCH(B1613,'Room Info'!$C$2:$C2446, 0)),IF(G1613='Room Info'!$D$1, INDEX('Room Info'!$A$2:$A2446, MATCH(B1613,'Room Info'!$D$2:$D2446, 0)),IF(G1613='Room Info'!$E$1, INDEX('Room Info'!$A$2:$A2446, MATCH(B1613,'Room Info'!$E$2:$E2446, 0)),IF(G1613='Room Info'!$F$1, INDEX('Room Info'!$A$2:$A2446, MATCH(B1613,'Room Info'!$F$2:$F2446, 0)),IF(G1613='Room Info'!$H$1, INDEX('Room Info'!$A$2:$A2446, MATCH(B1613,'Room Info'!$H$2:$H2446, 0)),IF(G1613='Room Info'!$G$1, INDEX('Room Info'!$A$2:$A2446, MATCH(B1613,'Room Info'!$G$2:$G2446, 0)))))))))</f>
        <v>SDEBA1</v>
      </c>
      <c r="B1613" s="45" t="s">
        <v>114</v>
      </c>
      <c r="C1613" s="46">
        <v>44978</v>
      </c>
      <c r="D1613" s="46">
        <v>45005</v>
      </c>
      <c r="E1613" s="90">
        <v>44986</v>
      </c>
      <c r="F1613" s="48" t="s">
        <v>34</v>
      </c>
      <c r="G1613" s="65" t="s">
        <v>35</v>
      </c>
      <c r="H1613" s="49" t="s">
        <v>217</v>
      </c>
      <c r="I1613" s="54" t="s">
        <v>44</v>
      </c>
      <c r="J1613" s="39">
        <v>5</v>
      </c>
      <c r="K1613" s="51">
        <v>251</v>
      </c>
      <c r="L1613" s="52">
        <v>40</v>
      </c>
      <c r="M1613" s="62"/>
      <c r="N1613" s="28">
        <f>K1613*J1613</f>
        <v>1255</v>
      </c>
      <c r="O1613" s="65"/>
      <c r="P1613" s="29">
        <v>0</v>
      </c>
      <c r="Q1613" s="55"/>
      <c r="R1613" s="31">
        <f>M1613+Q1613*J1613*K1613*0.07</f>
        <v>0</v>
      </c>
      <c r="S1613" s="66"/>
      <c r="T1613" s="32">
        <f>IF(AND(AD1613="EUR", F1613="Without EV deal"), R1613 + L1613,
IF(AND(AD1613="USD", F1613="Without EV deal"), R1613 + L1613,
IF(AND(AD1613="EUR", F1613="Steel Phoenix"), R1613 + S1613/U1613,
R1613 + S1613)))</f>
        <v>0</v>
      </c>
      <c r="U1613" s="57">
        <v>1.071</v>
      </c>
      <c r="V1613" s="69">
        <v>8.8680780440414502</v>
      </c>
      <c r="W1613" s="58">
        <v>75</v>
      </c>
      <c r="X1613" s="30">
        <f>IF(AF1613="DoEV",IF(AND(V1613&lt;20,W1613&lt;55),0.3,0)+IF(AND(V1613&lt;20,W1613&gt;=55,W1613&lt;105),0.23,0)+IF(AND(V1613&lt;20,W1613&gt;=105),0.17,0)+IF(AND(V1613&gt;=20,V1613&lt;40,W1613&lt;45),0.3,0)+IF(AND(V1613&gt;=20,V1613&lt;40,W1613&gt;=45,W1613&lt;95),0.23,0)+IF(AND(V1613&gt;=20,V1613&lt;40,W1613&gt;=95),0.17,0)+IF(AND(V1613&gt;=40,V1613&lt;75,W1613&lt;35),0.3,0)+IF(AND(V1613&gt;=40,V1613&lt;75,W1613&gt;=35,W1613&lt;75),0.23,0)+IF(AND(V1613&gt;=40,V1613&lt;75,W1613&gt;=75,W1613&lt;120),0.17,0)+IF(AND(V1613&gt;=40,V1613&lt;75,W1613&gt;=120),0.12,0)+IF(AND(V1613&gt;=75,V1613&lt;175,W1613&lt;35),0.3,0)+IF(AND(V1613&gt;=75,V1613&lt;=175,W1613&gt;=35,W1613&lt;65),0.23,0)+IF(AND(V1613&gt;=75,V1613&lt;=175,W1613&gt;=65,W1613&lt;110),0.17,0)+IF(AND(V1613&gt;=75,V1613&lt;=175,W1613&gt;=110),0.12,0)+IF(AND(V1613&gt;175,W1613&lt;25),0.3,0)+IF(AND(V1613&gt;175,W1613&gt;=25,W1613&lt;55),0.23,0)+IF(AND(V1613&gt;175,W1613&gt;=55,W1613&lt;95),0.17,0)+IF(AND(V1613&gt;175,W1613&gt;=95),0.12,0),
IF(AF1613="Fix15",0.15,
IF(AF1613="Fix5",0.05,
IF(AF1613="Fix18.75",0.1875,
IF(AF1613="Fix11.25",0.1125,
IF(AF1613="Fix10",0.1,
IF(AF1613="Fix9",0.09,
IF(AF1613="Fix12",0.12,
IF(AF1613="Fix19",0.19,
IF(AF1613="DoEV2017",IF(AND(W1613&lt;74),0.2,0)+IF(AND(W1613&gt;=74),0.17,0),
IF(AF1613="SF",IF(AND(V1613&lt;20,W1613&lt;89),0.3,0)+IF(AND(V1613&lt;20,W1613&gt;=89),0.25,0)+IF(AND(V1613&gt;=20,V1613&lt;40,W1613&lt;74),0.3,0)+IF(AND(V1613&gt;=20,V1613&lt;40,W1613&gt;=75),0.22,0)+IF(AND(V1613&gt;=40,V1613&lt;75,W1613&lt;75),0.26,0)+IF(AND(V1613&gt;=40,V1613&lt;75,W1613&gt;=75),0.22,0)+IF(V1613&gt;=75,0.22,0),
IF(AF1613="DoEVold",IF(AND(V1613&lt;40,W1613&lt;35),0.35,0)+IF(AND(V1613&lt;40,W1613&gt;=35,W1613&lt;75),0.25,0)+IF(AND(V1613&lt;40,W1613&gt;=75),0.17,0)+IF(AND(V1613&gt;=40,V1613&lt;75,W1613&lt;25),0.35,0)+IF(AND(V1613&gt;=40,V1613&lt;75,W1613&gt;=25,W1613&lt;65),0.25,0)+IF(AND(V1613&gt;=40,V1613&lt;75,W1613&gt;=65,W1613&lt;100),0.17,0)+IF(AND(V1613&gt;=40,V1613&lt;75,W1613&gt;=100),0.1,0)+IF(AND(V1613&gt;=75,W1613&lt;25),0.35,0)+IF(AND(V1613&gt;=75,W1613&gt;=25,W1613&lt;60),0.25,0)+IF(AND(V1613&gt;=75,W1613&gt;=60,W1613&lt;95),0.17,0)+IF(AND(V1613&gt;=75,W1613&gt;=95),0.1,0),
IF(AF1613="DoEVold15",IF(AND(V1613&lt;=40,W1613&lt;35),0.35,0)+IF(AND(V1613&lt;=40,W1613&gt;=35,W1613&lt;75),0.25,0)+IF(AND(V1613&lt;=40,W1613&gt;=75,W1613&lt;120),0.17,0)+IF(AND(V1613&lt;=40,W1613&gt;=120),0.15,0)+IF(AND(V1613&gt;40,V1613&lt;75,W1613&lt;25),0.35,0)+IF(AND(V1613&gt;=40,V1613&lt;75,W1613&gt;=25,W1613&lt;65),0.25,0)+IF(AND(V1613&gt;=40,V1613&lt;75,W1613&gt;=65,W1613&lt;100),0.17,0)+IF(AND(V1613&gt;=40,V1613&lt;75,W1613&gt;=100),0.1,0)+IF(AND(V1613&gt;=75,W1613&lt;25),0.35,0)+IF(AND(V1613&gt;=75,W1613&gt;=25,W1613&lt;60),0.25,0)+IF(AND(V1613&gt;=75,W1613&gt;=60,W1613&lt;95),0.17,0)+IF(AND(V1613&gt;=75,W1613&gt;=95),0.1,0),
IF(AF1613="DoEVba",IF(AND(V1613&lt;20,W1613&lt;105),0.2,0)+IF(AND(V1613&lt;20,W1613&gt;=105),0.15,0)+IF(AND(V1613&gt;=20,V1613&lt;40,W1613&lt;95),0.2,0)+IF(AND(V1613&gt;=20,V1613&lt;40,W1613&gt;=95,W1613&lt;150),0.15,0)+IF(AND(V1613&gt;=20,V1613&lt;40,W1613&gt;=150),0.12,0)+IF(AND(V1613&gt;=40,V1613&lt;75,W1613&lt;75),0.2,0)+IF(AND(V1613&gt;=40,V1613&lt;75,W1613&gt;=75,W1613&lt;120),0.15,0)+IF(AND(V1613&gt;=40,V1613&lt;75,W1613&gt;=120),0.12,0)+IF(AND(V1613&gt;=75,V1613&lt;175,W1613&lt;65),0.2,0)+IF(AND(V1613&gt;=75,V1613&lt;175,W1613&gt;=65,W1613&lt;110),0.15,0)+IF(AND(V1613&gt;=75,V1613&lt;175,W1613&gt;=110),0.12,0)+IF(AND(V1613&gt;=175,W1613&lt;55),0.2,0)+IF(AND(V1613&gt;=175,W1613&gt;=55,W1613&lt;95),0.15,0)+IF(AND(V1613&gt;=175,W1613&gt;=95),0.12,0),
IF(AF1613="DoEVku",IF(AND(V1613&lt;20,W1613&lt;55),0.23,0)+IF(AND(V1613&lt;20,W1613&gt;=55,W1613&lt;105),0.2,0)+IF(AND(V1613&lt;20,W1613&gt;=105),0.17,0)+IF(AND(V1613&gt;=20,V1613&lt;40,W1613&lt;45),0.23,0)+IF(AND(V1613&gt;=20,V1613&lt;40,W1613&gt;=45,W1613&lt;95),0.2,0)+IF(AND(V1613&gt;=20,V1613&lt;40,W1613&gt;=95,W1613&lt;=150),0.17,0)+IF(AND(V1613&gt;=20,V1613&lt;40,W1613&gt;=150),0.12,0)+IF(AND(V1613&gt;=40,V1613&lt;75,W1613&lt;35),0.23,0)+IF(AND(V1613&gt;=40,V1613&lt;75,W1613&gt;=35,W1613&lt;75),0.2,0)+IF(AND(V1613&gt;=40,V1613&lt;75,W1613&gt;=75,W1613&lt;120),0.17,0)+IF(AND(V1613&gt;=40,V1613&lt;75,W1613&gt;=120),0.12,0)+IF(AND(V1613&gt;=75,V1613&lt;175,W1613&lt;35),0.23,0)+IF(AND(V1613&gt;=75,V1613&lt;=175,W1613&gt;=35,W1613&lt;65),0.2,0)+IF(AND(V1613&gt;=75,V1613&lt;=175,W1613&gt;=65,W1613&lt;110),0.17,0)+IF(AND(V1613&gt;=75,V1613&lt;=175,W1613&gt;=110),0.12,0)+IF(AND(V1613&gt;175,W1613&lt;25),0.23,0)+IF(AND(V1613&gt;175,W1613&gt;=25,W1613&lt;55),0.2,0)+IF(AND(V1613&gt;175,W1613&gt;=55,W1613&lt;95),0.17,0)+IF(AND(V1613&gt;175,W1613&gt;=95),0.12,0),
IF(AF1613="DoEVs1",IF(AND(V1613&lt;20,W1613&lt;55),0.3,0)+IF(AND(V1613&lt;20,W1613&gt;=55,W1613&lt;105),0.23,0)+IF(AND(V1613&lt;20,W1613&gt;=105),0.17,0)+IF(AND(V1613&gt;=20,V1613&lt;40,W1613&lt;45),0.3,0)+IF(AND(V1613&gt;=20,V1613&lt;40,W1613&gt;=45,W1613&lt;95),0.23,0)+IF(AND(V1613&gt;=20,V1613&lt;40,W1613&gt;=95,W1613&lt;=150),0.17,0)+IF(AND(V1613&gt;=20,V1613&lt;40,W1613&gt;=150),0.12,0)+IF(AND(V1613&gt;=40,V1613&lt;75,W1613&lt;35),0.3,0)+IF(AND(V1613&gt;=40,V1613&lt;75,W1613&gt;=35,W1613&lt;75),0.23,0)+IF(AND(V1613&gt;=40,V1613&lt;75,W1613&gt;=75,W1613&lt;120),0.17,0)+IF(AND(V1613&gt;=40,V1613&lt;75,W1613&gt;=120),0.12,0)+IF(AND(V1613&gt;=75,V1613&lt;175,W1613&lt;35),0.3,0)+IF(AND(V1613&gt;=75,V1613&lt;=175,W1613&gt;=35,W1613&lt;65),0.23,0)+IF(AND(V1613&gt;=75,V1613&lt;=175,W1613&gt;=65,W1613&lt;110),0.17,0)+IF(AND(V1613&gt;=75,V1613&lt;=175,W1613&gt;=110),0.12,0)+IF(AND(V1613&gt;175,W1613&lt;25),0.3,0)+IF(AND(V1613&gt;175,W1613&gt;=25,W1613&lt;55),0.23,0)+IF(AND(V1613&gt;175,W1613&gt;=55,W1613&lt;95),0.17,0)+IF(AND(V1613&gt;175,W1613&gt;=95),0.12,0),
IF(AF1613="DoEVsu",IF(AND(V1613&lt;20,W1613&lt;55),0.3,0)+IF(AND(V1613&lt;20,W1613&gt;=55,W1613&lt;105),0.23,0)+IF(AND(V1613&lt;20,W1613&gt;=105),0.17,0)+IF(AND(V1613&gt;=20,V1613&lt;40,W1613&lt;45),0.3,0)+IF(AND(V1613&gt;=20,V1613&lt;40,W1613&gt;=45,W1613&lt;95),0.23,0)+IF(AND(V1613&gt;=20,V1613&lt;40,W1613&gt;=95,W1613&lt;=250),0.17,0)+IF(AND(V1613&gt;=20,V1613&lt;40,W1613&gt;=250),0.12,0)+IF(AND(V1613&gt;=40,V1613&lt;75,W1613&lt;35),0.3,0)+IF(AND(V1613&gt;=40,V1613&lt;75,W1613&gt;=35,W1613&lt;75),0.23,0)+IF(AND(V1613&gt;=40,V1613&lt;75,W1613&gt;=75,W1613&lt;120),0.17,0)+IF(AND(V1613&gt;=40,V1613&lt;75,W1613&gt;=120),0.12,0)+IF(AND(V1613&gt;=75,V1613&lt;175,W1613&lt;35),0.3,0)+IF(AND(V1613&gt;=75,V1613&lt;=175,W1613&gt;=35,W1613&lt;65),0.23,0)+IF(AND(V1613&gt;=75,V1613&lt;=175,W1613&gt;=65,W1613&lt;110),0.17,0)+IF(AND(V1613&gt;=75,V1613&lt;=175,W1613&gt;=110),0.12,0)+IF(AND(V1613&gt;175,W1613&lt;25),0.3,0)+IF(AND(V1613&gt;175,W1613&gt;=25,W1613&lt;55),0.23,0)+IF(AND(V1613&gt;175,W1613&gt;=55,W1613&lt;95),0.17,0)+IF(AND(V1613&gt;175,W1613&gt;=95),0.12,0),
IF(AF1613="DoEVni",IF(AND(V1613&lt;20,W1613&lt;55),0.3,0)+IF(AND(V1613&lt;20,W1613&gt;=55,W1613&lt;105),0.23,0)+IF(AND(V1613&lt;20,W1613&gt;=105),0.17,0)+IF(AND(V1613&gt;=20,V1613&lt;40,W1613&lt;45),0.3,0)+IF(AND(V1613&gt;=20,V1613&lt;40,W1613&gt;=45,W1613&lt;95),0.23,0)+IF(AND(V1613&gt;=20,V1613&lt;40,W1613&gt;=95,W1613&lt;=200),0.17,0)+IF(AND(V1613&gt;=20,V1613&lt;40,W1613&gt;=200),0.12,0)+IF(AND(V1613&gt;=40,V1613&lt;75,W1613&lt;35),0.3,0)+IF(AND(V1613&gt;=40,V1613&lt;75,W1613&gt;=35,W1613&lt;75),0.23,0)+IF(AND(V1613&gt;=40,V1613&lt;75,W1613&gt;=75,W1613&lt;120),0.17,0)+IF(AND(V1613&gt;=40,V1613&lt;75,W1613&gt;=120),0.12,0)+IF(AND(V1613&gt;=75,V1613&lt;175,W1613&lt;35),0.3,0)+IF(AND(V1613&gt;=75,V1613&lt;=175,W1613&gt;=35,W1613&lt;65),0.23,0)+IF(AND(V1613&gt;=75,V1613&lt;=175,W1613&gt;=65,W1613&lt;110),0.17,0)+IF(AND(V1613&gt;=75,V1613&lt;=175,W1613&gt;=110),0.12,0)+IF(AND(V1613&gt;175,W1613&lt;25),0.3,0)+IF(AND(V1613&gt;175,W1613&gt;=25,W1613&lt;55),0.23,0)+IF(AND(V1613&gt;175,W1613&gt;=55,W1613&lt;95),0.17,0)+IF(AND(V1613&gt;175,W1613&gt;=95),0.12,0),
IF(AF1613="DoEVLo",IF(AND(V1613&lt;20,W1613&lt;55),0.25,0)+IF(AND(V1613&lt;20,W1613&gt;=55,W1613&lt;105),0.2,0)+IF(AND(V1613&lt;20,W1613&gt;=105),0.15,0)+IF(AND(V1613&gt;=20,V1613&lt;40,W1613&lt;45),0.25,0)+IF(AND(V1613&gt;=20,V1613&lt;40,W1613&gt;=45,W1613&lt;95),0.2,0)+IF(AND(V1613&gt;=20,V1613&lt;40,W1613&gt;=95),0.15,0)+IF(AND(V1613&gt;=40,V1613&lt;75,W1613&lt;35),0.25,0)+IF(AND(V1613&gt;=40,V1613&lt;75,W1613&gt;=35,W1613&lt;75),0.2,0)+IF(AND(V1613&gt;=40,V1613&lt;75,W1613&gt;=75,W1613&lt;120),0.15,0)+IF(AND(V1613&gt;=40,V1613&lt;75,W1613&gt;=120),0.1,0)+IF(AND(V1613&gt;=75,V1613&lt;175,W1613&lt;35),0.25,0)+IF(AND(V1613&gt;=75,V1613&lt;=175,W1613&gt;=35,W1613&lt;65),0.2,0)+IF(AND(V1613&gt;=75,V1613&lt;=175,W1613&gt;=65,W1613&lt;110),0.15,0)+IF(AND(V1613&gt;=75,V1613&lt;=175,W1613&gt;=110),0.1,0)+IF(AND(V1613&gt;175,W1613&lt;25),0.25,0)+IF(AND(V1613&gt;175,W1613&gt;=25,W1613&lt;55),0.2,0)+IF(AND(V1613&gt;175,W1613&gt;=55,W1613&lt;95),0.15,0)+IF(AND(V1613&gt;175,W1613&gt;=95),0.1,0))))))))))))))))))))</f>
        <v>0.23</v>
      </c>
      <c r="Y1613" s="30">
        <f>IF(AG1613="None",0,IF(AG1613="Fix5",0.05, IF(AG1613="Fix6.25",0.0625,IF(AG1613="Fix3.75",0.0375, IF(AG1613="Fix11",0.11, IF(AG1613="Fix10",0.1,IF(AG1613="Fix3",0.03,0)))))))</f>
        <v>0</v>
      </c>
      <c r="Z1613" s="35">
        <f>IF(AND(AD1613="EUR", AE1613 = "USD"), T1613*U1613-AA1613-AB1613, T1613-AA1613-AB1613)</f>
        <v>0</v>
      </c>
      <c r="AA1613" s="29">
        <f>IF(AND(AD1613="EUR", F1613="Without EV deal", AE1613="USD"), (T1613*X1613)*U1613,
IF(AND(AD1613="EUR", F1613="Without EV deal", AE1613="EUR"), (T1613*X1613),
IF(AND(AD1613="EUR",AE1613="USD"), (T1613*X1613)*U1613,
T1613*X1613)))</f>
        <v>0</v>
      </c>
      <c r="AB1613" s="36">
        <f>IF(AND(AD1613="EUR", F1613="Without EV deal", AE1613="USD"), (T1613*Y1613)*U1613,
IF(AND(AD1613="EUR", F1613="Without EV deal", AE1613="EUR"), (T1613*Y1613),
IF(AND(AD1613="EUR",AE1613="USD"), (T1613*Y1613)*U1613,
T1613*Y1613)))</f>
        <v>0</v>
      </c>
      <c r="AC1613" s="61" t="b">
        <v>1</v>
      </c>
      <c r="AD1613" s="82" t="str">
        <f>IF(OR(H1613="€0.25 Flash",
H1613="€0.25(nitro) new",
H1613="€1",
H1613="€2",
H1613="€2 (bf 01.08)",
H1613="€5",
H1613="€5 (1M)",
H1613="€5 (bf 01.08)",
H1613="€5 (bf 05.05)",
H1613="€5 Nitro",
H1613="€5(wx) new",
H1613="€10",
H1613="€10 (1M)",
H1613="€10 (bf 01.08)",
H1613="€10 (bf 05.05)",
H1613="€10 (MP)",
H1613="€10 (old)",
H1613="€10 Nitro (bf 05.05)",
H1613="€10 Nitro (old)",
H1613="€10(wx) new",
H1613="€20",
H1613="€25",
H1613="€25 (bf 01.08)",
H1613="€25 (bf 05.05)",
H1613="€25 (MP)",
H1613="€25 (old)",
H1613="€25 Nitro",
H1613="€25 Nitro (bf 01.08)",
H1613="€25 Nitro (bf 05.05)",
H1613="€25(nitro) new",
H1613="€25(wx) new",
H1613="€50",
H1613="€50 (bf 01.08)",
H1613="€50 (bf 05.05)",
H1613="€50 (old)",
H1613="€50 Nitro",
H1613="€50 Nitro (bf 01.08)",
H1613="€50 Nitro (bf 05.05)",
H1613="€50(wx) new",
H1613="€100",
H1613="€100 (old)",
H1613="€100 Nitro",
H1613="€100 Nitro (old)",
H1613="€200",
H1613="€250",
H1613="€250 Nitro",
H1613="€500",
H1613="€500 Nitro"),"EUR", "USD")</f>
        <v>USD</v>
      </c>
      <c r="AE1613" s="83" t="s">
        <v>38</v>
      </c>
      <c r="AF1613" s="83" t="str">
        <f t="array" ref="AF1613">INDEX('Deal Info'!D:D, MATCH(A1613,'Deal Info'!A:A, 0))</f>
        <v>DoEV</v>
      </c>
      <c r="AG1613" s="84" t="str">
        <f t="array" ref="AG1613">INDEX('Deal Info'!G:G, MATCH(A1613,'Deal Info'!A:A, 0))</f>
        <v>None</v>
      </c>
    </row>
    <row r="1614" spans="1:33" ht="14.25" hidden="1" x14ac:dyDescent="0.2">
      <c r="A1614" s="18" t="str">
        <f t="array" ref="A1614">IF(G1614='Room Info'!$B$1, INDEX('Room Info'!$A$2:$A2446, MATCH(B1614,'Room Info'!$B$2:$B2446, 0)),IF(G1614='Room Info'!$C$1, INDEX('Room Info'!$A$2:$A2446, MATCH(B1614,'Room Info'!$C$2:$C2446, 0)),IF(G1614='Room Info'!$D$1, INDEX('Room Info'!$A$2:$A2446, MATCH(B1614,'Room Info'!$D$2:$D2446, 0)),IF(G1614='Room Info'!$E$1, INDEX('Room Info'!$A$2:$A2446, MATCH(B1614,'Room Info'!$E$2:$E2446, 0)),IF(G1614='Room Info'!$F$1, INDEX('Room Info'!$A$2:$A2446, MATCH(B1614,'Room Info'!$F$2:$F2446, 0)),IF(G1614='Room Info'!$H$1, INDEX('Room Info'!$A$2:$A2446, MATCH(B1614,'Room Info'!$H$2:$H2446, 0)),IF(G1614='Room Info'!$G$1, INDEX('Room Info'!$A$2:$A2446, MATCH(B1614,'Room Info'!$G$2:$G2446, 0)))))))))</f>
        <v>SDEBA1</v>
      </c>
      <c r="B1614" s="45" t="s">
        <v>114</v>
      </c>
      <c r="C1614" s="46">
        <v>44978</v>
      </c>
      <c r="D1614" s="46">
        <v>45005</v>
      </c>
      <c r="E1614" s="90">
        <v>44986</v>
      </c>
      <c r="F1614" s="48" t="s">
        <v>34</v>
      </c>
      <c r="G1614" s="65" t="s">
        <v>35</v>
      </c>
      <c r="H1614" s="49" t="s">
        <v>40</v>
      </c>
      <c r="I1614" s="100" t="s">
        <v>37</v>
      </c>
      <c r="J1614" s="39">
        <v>10</v>
      </c>
      <c r="K1614" s="51">
        <v>1754</v>
      </c>
      <c r="L1614" s="52">
        <v>-20</v>
      </c>
      <c r="M1614" s="62"/>
      <c r="N1614" s="28">
        <f>K1614*J1614</f>
        <v>17540</v>
      </c>
      <c r="O1614" s="65"/>
      <c r="P1614" s="29">
        <v>0</v>
      </c>
      <c r="Q1614" s="55"/>
      <c r="R1614" s="31">
        <f>M1614+Q1614*J1614*K1614*0.07</f>
        <v>0</v>
      </c>
      <c r="S1614" s="66"/>
      <c r="T1614" s="32">
        <f>IF(AND(AD1614="EUR", F1614="Without EV deal"), R1614 + L1614,
IF(AND(AD1614="USD", F1614="Without EV deal"), R1614 + L1614,
IF(AND(AD1614="EUR", F1614="Steel Phoenix"), R1614 + S1614/U1614,
R1614 + S1614)))</f>
        <v>0</v>
      </c>
      <c r="U1614" s="57">
        <v>1.071</v>
      </c>
      <c r="V1614" s="69">
        <v>8.8680780440414502</v>
      </c>
      <c r="W1614" s="58">
        <v>75</v>
      </c>
      <c r="X1614" s="30">
        <f>IF(AF1614="DoEV",IF(AND(V1614&lt;20,W1614&lt;55),0.3,0)+IF(AND(V1614&lt;20,W1614&gt;=55,W1614&lt;105),0.23,0)+IF(AND(V1614&lt;20,W1614&gt;=105),0.17,0)+IF(AND(V1614&gt;=20,V1614&lt;40,W1614&lt;45),0.3,0)+IF(AND(V1614&gt;=20,V1614&lt;40,W1614&gt;=45,W1614&lt;95),0.23,0)+IF(AND(V1614&gt;=20,V1614&lt;40,W1614&gt;=95),0.17,0)+IF(AND(V1614&gt;=40,V1614&lt;75,W1614&lt;35),0.3,0)+IF(AND(V1614&gt;=40,V1614&lt;75,W1614&gt;=35,W1614&lt;75),0.23,0)+IF(AND(V1614&gt;=40,V1614&lt;75,W1614&gt;=75,W1614&lt;120),0.17,0)+IF(AND(V1614&gt;=40,V1614&lt;75,W1614&gt;=120),0.12,0)+IF(AND(V1614&gt;=75,V1614&lt;175,W1614&lt;35),0.3,0)+IF(AND(V1614&gt;=75,V1614&lt;=175,W1614&gt;=35,W1614&lt;65),0.23,0)+IF(AND(V1614&gt;=75,V1614&lt;=175,W1614&gt;=65,W1614&lt;110),0.17,0)+IF(AND(V1614&gt;=75,V1614&lt;=175,W1614&gt;=110),0.12,0)+IF(AND(V1614&gt;175,W1614&lt;25),0.3,0)+IF(AND(V1614&gt;175,W1614&gt;=25,W1614&lt;55),0.23,0)+IF(AND(V1614&gt;175,W1614&gt;=55,W1614&lt;95),0.17,0)+IF(AND(V1614&gt;175,W1614&gt;=95),0.12,0),
IF(AF1614="Fix15",0.15,
IF(AF1614="Fix5",0.05,
IF(AF1614="Fix18.75",0.1875,
IF(AF1614="Fix11.25",0.1125,
IF(AF1614="Fix10",0.1,
IF(AF1614="Fix9",0.09,
IF(AF1614="Fix12",0.12,
IF(AF1614="Fix19",0.19,
IF(AF1614="DoEV2017",IF(AND(W1614&lt;74),0.2,0)+IF(AND(W1614&gt;=74),0.17,0),
IF(AF1614="SF",IF(AND(V1614&lt;20,W1614&lt;89),0.3,0)+IF(AND(V1614&lt;20,W1614&gt;=89),0.25,0)+IF(AND(V1614&gt;=20,V1614&lt;40,W1614&lt;74),0.3,0)+IF(AND(V1614&gt;=20,V1614&lt;40,W1614&gt;=75),0.22,0)+IF(AND(V1614&gt;=40,V1614&lt;75,W1614&lt;75),0.26,0)+IF(AND(V1614&gt;=40,V1614&lt;75,W1614&gt;=75),0.22,0)+IF(V1614&gt;=75,0.22,0),
IF(AF1614="DoEVold",IF(AND(V1614&lt;40,W1614&lt;35),0.35,0)+IF(AND(V1614&lt;40,W1614&gt;=35,W1614&lt;75),0.25,0)+IF(AND(V1614&lt;40,W1614&gt;=75),0.17,0)+IF(AND(V1614&gt;=40,V1614&lt;75,W1614&lt;25),0.35,0)+IF(AND(V1614&gt;=40,V1614&lt;75,W1614&gt;=25,W1614&lt;65),0.25,0)+IF(AND(V1614&gt;=40,V1614&lt;75,W1614&gt;=65,W1614&lt;100),0.17,0)+IF(AND(V1614&gt;=40,V1614&lt;75,W1614&gt;=100),0.1,0)+IF(AND(V1614&gt;=75,W1614&lt;25),0.35,0)+IF(AND(V1614&gt;=75,W1614&gt;=25,W1614&lt;60),0.25,0)+IF(AND(V1614&gt;=75,W1614&gt;=60,W1614&lt;95),0.17,0)+IF(AND(V1614&gt;=75,W1614&gt;=95),0.1,0),
IF(AF1614="DoEVold15",IF(AND(V1614&lt;=40,W1614&lt;35),0.35,0)+IF(AND(V1614&lt;=40,W1614&gt;=35,W1614&lt;75),0.25,0)+IF(AND(V1614&lt;=40,W1614&gt;=75,W1614&lt;120),0.17,0)+IF(AND(V1614&lt;=40,W1614&gt;=120),0.15,0)+IF(AND(V1614&gt;40,V1614&lt;75,W1614&lt;25),0.35,0)+IF(AND(V1614&gt;=40,V1614&lt;75,W1614&gt;=25,W1614&lt;65),0.25,0)+IF(AND(V1614&gt;=40,V1614&lt;75,W1614&gt;=65,W1614&lt;100),0.17,0)+IF(AND(V1614&gt;=40,V1614&lt;75,W1614&gt;=100),0.1,0)+IF(AND(V1614&gt;=75,W1614&lt;25),0.35,0)+IF(AND(V1614&gt;=75,W1614&gt;=25,W1614&lt;60),0.25,0)+IF(AND(V1614&gt;=75,W1614&gt;=60,W1614&lt;95),0.17,0)+IF(AND(V1614&gt;=75,W1614&gt;=95),0.1,0),
IF(AF1614="DoEVba",IF(AND(V1614&lt;20,W1614&lt;105),0.2,0)+IF(AND(V1614&lt;20,W1614&gt;=105),0.15,0)+IF(AND(V1614&gt;=20,V1614&lt;40,W1614&lt;95),0.2,0)+IF(AND(V1614&gt;=20,V1614&lt;40,W1614&gt;=95,W1614&lt;150),0.15,0)+IF(AND(V1614&gt;=20,V1614&lt;40,W1614&gt;=150),0.12,0)+IF(AND(V1614&gt;=40,V1614&lt;75,W1614&lt;75),0.2,0)+IF(AND(V1614&gt;=40,V1614&lt;75,W1614&gt;=75,W1614&lt;120),0.15,0)+IF(AND(V1614&gt;=40,V1614&lt;75,W1614&gt;=120),0.12,0)+IF(AND(V1614&gt;=75,V1614&lt;175,W1614&lt;65),0.2,0)+IF(AND(V1614&gt;=75,V1614&lt;175,W1614&gt;=65,W1614&lt;110),0.15,0)+IF(AND(V1614&gt;=75,V1614&lt;175,W1614&gt;=110),0.12,0)+IF(AND(V1614&gt;=175,W1614&lt;55),0.2,0)+IF(AND(V1614&gt;=175,W1614&gt;=55,W1614&lt;95),0.15,0)+IF(AND(V1614&gt;=175,W1614&gt;=95),0.12,0),
IF(AF1614="DoEVku",IF(AND(V1614&lt;20,W1614&lt;55),0.23,0)+IF(AND(V1614&lt;20,W1614&gt;=55,W1614&lt;105),0.2,0)+IF(AND(V1614&lt;20,W1614&gt;=105),0.17,0)+IF(AND(V1614&gt;=20,V1614&lt;40,W1614&lt;45),0.23,0)+IF(AND(V1614&gt;=20,V1614&lt;40,W1614&gt;=45,W1614&lt;95),0.2,0)+IF(AND(V1614&gt;=20,V1614&lt;40,W1614&gt;=95,W1614&lt;=150),0.17,0)+IF(AND(V1614&gt;=20,V1614&lt;40,W1614&gt;=150),0.12,0)+IF(AND(V1614&gt;=40,V1614&lt;75,W1614&lt;35),0.23,0)+IF(AND(V1614&gt;=40,V1614&lt;75,W1614&gt;=35,W1614&lt;75),0.2,0)+IF(AND(V1614&gt;=40,V1614&lt;75,W1614&gt;=75,W1614&lt;120),0.17,0)+IF(AND(V1614&gt;=40,V1614&lt;75,W1614&gt;=120),0.12,0)+IF(AND(V1614&gt;=75,V1614&lt;175,W1614&lt;35),0.23,0)+IF(AND(V1614&gt;=75,V1614&lt;=175,W1614&gt;=35,W1614&lt;65),0.2,0)+IF(AND(V1614&gt;=75,V1614&lt;=175,W1614&gt;=65,W1614&lt;110),0.17,0)+IF(AND(V1614&gt;=75,V1614&lt;=175,W1614&gt;=110),0.12,0)+IF(AND(V1614&gt;175,W1614&lt;25),0.23,0)+IF(AND(V1614&gt;175,W1614&gt;=25,W1614&lt;55),0.2,0)+IF(AND(V1614&gt;175,W1614&gt;=55,W1614&lt;95),0.17,0)+IF(AND(V1614&gt;175,W1614&gt;=95),0.12,0),
IF(AF1614="DoEVs1",IF(AND(V1614&lt;20,W1614&lt;55),0.3,0)+IF(AND(V1614&lt;20,W1614&gt;=55,W1614&lt;105),0.23,0)+IF(AND(V1614&lt;20,W1614&gt;=105),0.17,0)+IF(AND(V1614&gt;=20,V1614&lt;40,W1614&lt;45),0.3,0)+IF(AND(V1614&gt;=20,V1614&lt;40,W1614&gt;=45,W1614&lt;95),0.23,0)+IF(AND(V1614&gt;=20,V1614&lt;40,W1614&gt;=95,W1614&lt;=150),0.17,0)+IF(AND(V1614&gt;=20,V1614&lt;40,W1614&gt;=150),0.12,0)+IF(AND(V1614&gt;=40,V1614&lt;75,W1614&lt;35),0.3,0)+IF(AND(V1614&gt;=40,V1614&lt;75,W1614&gt;=35,W1614&lt;75),0.23,0)+IF(AND(V1614&gt;=40,V1614&lt;75,W1614&gt;=75,W1614&lt;120),0.17,0)+IF(AND(V1614&gt;=40,V1614&lt;75,W1614&gt;=120),0.12,0)+IF(AND(V1614&gt;=75,V1614&lt;175,W1614&lt;35),0.3,0)+IF(AND(V1614&gt;=75,V1614&lt;=175,W1614&gt;=35,W1614&lt;65),0.23,0)+IF(AND(V1614&gt;=75,V1614&lt;=175,W1614&gt;=65,W1614&lt;110),0.17,0)+IF(AND(V1614&gt;=75,V1614&lt;=175,W1614&gt;=110),0.12,0)+IF(AND(V1614&gt;175,W1614&lt;25),0.3,0)+IF(AND(V1614&gt;175,W1614&gt;=25,W1614&lt;55),0.23,0)+IF(AND(V1614&gt;175,W1614&gt;=55,W1614&lt;95),0.17,0)+IF(AND(V1614&gt;175,W1614&gt;=95),0.12,0),
IF(AF1614="DoEVsu",IF(AND(V1614&lt;20,W1614&lt;55),0.3,0)+IF(AND(V1614&lt;20,W1614&gt;=55,W1614&lt;105),0.23,0)+IF(AND(V1614&lt;20,W1614&gt;=105),0.17,0)+IF(AND(V1614&gt;=20,V1614&lt;40,W1614&lt;45),0.3,0)+IF(AND(V1614&gt;=20,V1614&lt;40,W1614&gt;=45,W1614&lt;95),0.23,0)+IF(AND(V1614&gt;=20,V1614&lt;40,W1614&gt;=95,W1614&lt;=250),0.17,0)+IF(AND(V1614&gt;=20,V1614&lt;40,W1614&gt;=250),0.12,0)+IF(AND(V1614&gt;=40,V1614&lt;75,W1614&lt;35),0.3,0)+IF(AND(V1614&gt;=40,V1614&lt;75,W1614&gt;=35,W1614&lt;75),0.23,0)+IF(AND(V1614&gt;=40,V1614&lt;75,W1614&gt;=75,W1614&lt;120),0.17,0)+IF(AND(V1614&gt;=40,V1614&lt;75,W1614&gt;=120),0.12,0)+IF(AND(V1614&gt;=75,V1614&lt;175,W1614&lt;35),0.3,0)+IF(AND(V1614&gt;=75,V1614&lt;=175,W1614&gt;=35,W1614&lt;65),0.23,0)+IF(AND(V1614&gt;=75,V1614&lt;=175,W1614&gt;=65,W1614&lt;110),0.17,0)+IF(AND(V1614&gt;=75,V1614&lt;=175,W1614&gt;=110),0.12,0)+IF(AND(V1614&gt;175,W1614&lt;25),0.3,0)+IF(AND(V1614&gt;175,W1614&gt;=25,W1614&lt;55),0.23,0)+IF(AND(V1614&gt;175,W1614&gt;=55,W1614&lt;95),0.17,0)+IF(AND(V1614&gt;175,W1614&gt;=95),0.12,0),
IF(AF1614="DoEVni",IF(AND(V1614&lt;20,W1614&lt;55),0.3,0)+IF(AND(V1614&lt;20,W1614&gt;=55,W1614&lt;105),0.23,0)+IF(AND(V1614&lt;20,W1614&gt;=105),0.17,0)+IF(AND(V1614&gt;=20,V1614&lt;40,W1614&lt;45),0.3,0)+IF(AND(V1614&gt;=20,V1614&lt;40,W1614&gt;=45,W1614&lt;95),0.23,0)+IF(AND(V1614&gt;=20,V1614&lt;40,W1614&gt;=95,W1614&lt;=200),0.17,0)+IF(AND(V1614&gt;=20,V1614&lt;40,W1614&gt;=200),0.12,0)+IF(AND(V1614&gt;=40,V1614&lt;75,W1614&lt;35),0.3,0)+IF(AND(V1614&gt;=40,V1614&lt;75,W1614&gt;=35,W1614&lt;75),0.23,0)+IF(AND(V1614&gt;=40,V1614&lt;75,W1614&gt;=75,W1614&lt;120),0.17,0)+IF(AND(V1614&gt;=40,V1614&lt;75,W1614&gt;=120),0.12,0)+IF(AND(V1614&gt;=75,V1614&lt;175,W1614&lt;35),0.3,0)+IF(AND(V1614&gt;=75,V1614&lt;=175,W1614&gt;=35,W1614&lt;65),0.23,0)+IF(AND(V1614&gt;=75,V1614&lt;=175,W1614&gt;=65,W1614&lt;110),0.17,0)+IF(AND(V1614&gt;=75,V1614&lt;=175,W1614&gt;=110),0.12,0)+IF(AND(V1614&gt;175,W1614&lt;25),0.3,0)+IF(AND(V1614&gt;175,W1614&gt;=25,W1614&lt;55),0.23,0)+IF(AND(V1614&gt;175,W1614&gt;=55,W1614&lt;95),0.17,0)+IF(AND(V1614&gt;175,W1614&gt;=95),0.12,0),
IF(AF1614="DoEVLo",IF(AND(V1614&lt;20,W1614&lt;55),0.25,0)+IF(AND(V1614&lt;20,W1614&gt;=55,W1614&lt;105),0.2,0)+IF(AND(V1614&lt;20,W1614&gt;=105),0.15,0)+IF(AND(V1614&gt;=20,V1614&lt;40,W1614&lt;45),0.25,0)+IF(AND(V1614&gt;=20,V1614&lt;40,W1614&gt;=45,W1614&lt;95),0.2,0)+IF(AND(V1614&gt;=20,V1614&lt;40,W1614&gt;=95),0.15,0)+IF(AND(V1614&gt;=40,V1614&lt;75,W1614&lt;35),0.25,0)+IF(AND(V1614&gt;=40,V1614&lt;75,W1614&gt;=35,W1614&lt;75),0.2,0)+IF(AND(V1614&gt;=40,V1614&lt;75,W1614&gt;=75,W1614&lt;120),0.15,0)+IF(AND(V1614&gt;=40,V1614&lt;75,W1614&gt;=120),0.1,0)+IF(AND(V1614&gt;=75,V1614&lt;175,W1614&lt;35),0.25,0)+IF(AND(V1614&gt;=75,V1614&lt;=175,W1614&gt;=35,W1614&lt;65),0.2,0)+IF(AND(V1614&gt;=75,V1614&lt;=175,W1614&gt;=65,W1614&lt;110),0.15,0)+IF(AND(V1614&gt;=75,V1614&lt;=175,W1614&gt;=110),0.1,0)+IF(AND(V1614&gt;175,W1614&lt;25),0.25,0)+IF(AND(V1614&gt;175,W1614&gt;=25,W1614&lt;55),0.2,0)+IF(AND(V1614&gt;175,W1614&gt;=55,W1614&lt;95),0.15,0)+IF(AND(V1614&gt;175,W1614&gt;=95),0.1,0))))))))))))))))))))</f>
        <v>0.23</v>
      </c>
      <c r="Y1614" s="30">
        <f>IF(AG1614="None",0,IF(AG1614="Fix5",0.05, IF(AG1614="Fix6.25",0.0625,IF(AG1614="Fix3.75",0.0375, IF(AG1614="Fix11",0.11, IF(AG1614="Fix10",0.1,IF(AG1614="Fix3",0.03,0)))))))</f>
        <v>0</v>
      </c>
      <c r="Z1614" s="35">
        <f>IF(AND(AD1614="EUR", AE1614 = "USD"), T1614*U1614-AA1614-AB1614, T1614-AA1614-AB1614)</f>
        <v>0</v>
      </c>
      <c r="AA1614" s="29">
        <f>IF(AND(AD1614="EUR", F1614="Without EV deal", AE1614="USD"), (T1614*X1614)*U1614,
IF(AND(AD1614="EUR", F1614="Without EV deal", AE1614="EUR"), (T1614*X1614),
IF(AND(AD1614="EUR",AE1614="USD"), (T1614*X1614)*U1614,
T1614*X1614)))</f>
        <v>0</v>
      </c>
      <c r="AB1614" s="36">
        <f>IF(AND(AD1614="EUR", F1614="Without EV deal", AE1614="USD"), (T1614*Y1614)*U1614,
IF(AND(AD1614="EUR", F1614="Without EV deal", AE1614="EUR"), (T1614*Y1614),
IF(AND(AD1614="EUR",AE1614="USD"), (T1614*Y1614)*U1614,
T1614*Y1614)))</f>
        <v>0</v>
      </c>
      <c r="AC1614" s="61" t="b">
        <v>1</v>
      </c>
      <c r="AD1614" s="82" t="str">
        <f>IF(OR(H1614="€0.25 Flash",
H1614="€0.25(nitro) new",
H1614="€1",
H1614="€2",
H1614="€2 (bf 01.08)",
H1614="€5",
H1614="€5 (1M)",
H1614="€5 (bf 01.08)",
H1614="€5 (bf 05.05)",
H1614="€5 Nitro",
H1614="€5(wx) new",
H1614="€10",
H1614="€10 (1M)",
H1614="€10 (bf 01.08)",
H1614="€10 (bf 05.05)",
H1614="€10 (MP)",
H1614="€10 (old)",
H1614="€10 Nitro (bf 05.05)",
H1614="€10 Nitro (old)",
H1614="€10(wx) new",
H1614="€20",
H1614="€25",
H1614="€25 (bf 01.08)",
H1614="€25 (bf 05.05)",
H1614="€25 (MP)",
H1614="€25 (old)",
H1614="€25 Nitro",
H1614="€25 Nitro (bf 01.08)",
H1614="€25 Nitro (bf 05.05)",
H1614="€25(nitro) new",
H1614="€25(wx) new",
H1614="€50",
H1614="€50 (bf 01.08)",
H1614="€50 (bf 05.05)",
H1614="€50 (old)",
H1614="€50 Nitro",
H1614="€50 Nitro (bf 01.08)",
H1614="€50 Nitro (bf 05.05)",
H1614="€50(wx) new",
H1614="€100",
H1614="€100 (old)",
H1614="€100 Nitro",
H1614="€100 Nitro (old)",
H1614="€200",
H1614="€250",
H1614="€250 Nitro",
H1614="€500",
H1614="€500 Nitro"),"EUR", "USD")</f>
        <v>USD</v>
      </c>
      <c r="AE1614" s="83" t="s">
        <v>38</v>
      </c>
      <c r="AF1614" s="83" t="str">
        <f t="array" ref="AF1614">INDEX('Deal Info'!D:D, MATCH(A1614,'Deal Info'!A:A, 0))</f>
        <v>DoEV</v>
      </c>
      <c r="AG1614" s="84" t="str">
        <f t="array" ref="AG1614">INDEX('Deal Info'!G:G, MATCH(A1614,'Deal Info'!A:A, 0))</f>
        <v>None</v>
      </c>
    </row>
    <row r="1615" spans="1:33" ht="14.25" hidden="1" x14ac:dyDescent="0.2">
      <c r="A1615" s="18" t="str">
        <f t="array" ref="A1615">IF(G1615='Room Info'!$B$1, INDEX('Room Info'!$A$2:$A2446, MATCH(B1615,'Room Info'!$B$2:$B2446, 0)),IF(G1615='Room Info'!$C$1, INDEX('Room Info'!$A$2:$A2446, MATCH(B1615,'Room Info'!$C$2:$C2446, 0)),IF(G1615='Room Info'!$D$1, INDEX('Room Info'!$A$2:$A2446, MATCH(B1615,'Room Info'!$D$2:$D2446, 0)),IF(G1615='Room Info'!$E$1, INDEX('Room Info'!$A$2:$A2446, MATCH(B1615,'Room Info'!$E$2:$E2446, 0)),IF(G1615='Room Info'!$F$1, INDEX('Room Info'!$A$2:$A2446, MATCH(B1615,'Room Info'!$F$2:$F2446, 0)),IF(G1615='Room Info'!$H$1, INDEX('Room Info'!$A$2:$A2446, MATCH(B1615,'Room Info'!$H$2:$H2446, 0)),IF(G1615='Room Info'!$G$1, INDEX('Room Info'!$A$2:$A2446, MATCH(B1615,'Room Info'!$G$2:$G2446, 0)))))))))</f>
        <v>SDEBA1</v>
      </c>
      <c r="B1615" s="45" t="s">
        <v>114</v>
      </c>
      <c r="C1615" s="46">
        <v>44978</v>
      </c>
      <c r="D1615" s="46">
        <v>45005</v>
      </c>
      <c r="E1615" s="90">
        <v>44986</v>
      </c>
      <c r="F1615" s="48" t="s">
        <v>34</v>
      </c>
      <c r="G1615" s="65" t="s">
        <v>35</v>
      </c>
      <c r="H1615" s="91" t="s">
        <v>115</v>
      </c>
      <c r="I1615" s="54" t="s">
        <v>44</v>
      </c>
      <c r="J1615" s="39">
        <v>10</v>
      </c>
      <c r="K1615" s="75">
        <v>1689</v>
      </c>
      <c r="L1615" s="72">
        <v>-1390</v>
      </c>
      <c r="M1615" s="79"/>
      <c r="N1615" s="28">
        <f>K1615*J1615</f>
        <v>16890</v>
      </c>
      <c r="O1615" s="96"/>
      <c r="P1615" s="29">
        <v>0</v>
      </c>
      <c r="Q1615" s="55"/>
      <c r="R1615" s="31">
        <f>M1615+Q1615*J1615*K1615*0.07</f>
        <v>0</v>
      </c>
      <c r="S1615" s="97"/>
      <c r="T1615" s="32">
        <f>IF(AND(AD1615="EUR", F1615="Without EV deal"), R1615 + L1615,
IF(AND(AD1615="USD", F1615="Without EV deal"), R1615 + L1615,
IF(AND(AD1615="EUR", F1615="Steel Phoenix"), R1615 + S1615/U1615,
R1615 + S1615)))</f>
        <v>0</v>
      </c>
      <c r="U1615" s="57">
        <v>1.071</v>
      </c>
      <c r="V1615" s="69">
        <v>8.8680780440414502</v>
      </c>
      <c r="W1615" s="58">
        <v>75</v>
      </c>
      <c r="X1615" s="30">
        <f>IF(AF1615="DoEV",IF(AND(V1615&lt;20,W1615&lt;55),0.3,0)+IF(AND(V1615&lt;20,W1615&gt;=55,W1615&lt;105),0.23,0)+IF(AND(V1615&lt;20,W1615&gt;=105),0.17,0)+IF(AND(V1615&gt;=20,V1615&lt;40,W1615&lt;45),0.3,0)+IF(AND(V1615&gt;=20,V1615&lt;40,W1615&gt;=45,W1615&lt;95),0.23,0)+IF(AND(V1615&gt;=20,V1615&lt;40,W1615&gt;=95),0.17,0)+IF(AND(V1615&gt;=40,V1615&lt;75,W1615&lt;35),0.3,0)+IF(AND(V1615&gt;=40,V1615&lt;75,W1615&gt;=35,W1615&lt;75),0.23,0)+IF(AND(V1615&gt;=40,V1615&lt;75,W1615&gt;=75,W1615&lt;120),0.17,0)+IF(AND(V1615&gt;=40,V1615&lt;75,W1615&gt;=120),0.12,0)+IF(AND(V1615&gt;=75,V1615&lt;175,W1615&lt;35),0.3,0)+IF(AND(V1615&gt;=75,V1615&lt;=175,W1615&gt;=35,W1615&lt;65),0.23,0)+IF(AND(V1615&gt;=75,V1615&lt;=175,W1615&gt;=65,W1615&lt;110),0.17,0)+IF(AND(V1615&gt;=75,V1615&lt;=175,W1615&gt;=110),0.12,0)+IF(AND(V1615&gt;175,W1615&lt;25),0.3,0)+IF(AND(V1615&gt;175,W1615&gt;=25,W1615&lt;55),0.23,0)+IF(AND(V1615&gt;175,W1615&gt;=55,W1615&lt;95),0.17,0)+IF(AND(V1615&gt;175,W1615&gt;=95),0.12,0),
IF(AF1615="Fix15",0.15,
IF(AF1615="Fix5",0.05,
IF(AF1615="Fix18.75",0.1875,
IF(AF1615="Fix11.25",0.1125,
IF(AF1615="Fix10",0.1,
IF(AF1615="Fix9",0.09,
IF(AF1615="Fix12",0.12,
IF(AF1615="Fix19",0.19,
IF(AF1615="DoEV2017",IF(AND(W1615&lt;74),0.2,0)+IF(AND(W1615&gt;=74),0.17,0),
IF(AF1615="SF",IF(AND(V1615&lt;20,W1615&lt;89),0.3,0)+IF(AND(V1615&lt;20,W1615&gt;=89),0.25,0)+IF(AND(V1615&gt;=20,V1615&lt;40,W1615&lt;74),0.3,0)+IF(AND(V1615&gt;=20,V1615&lt;40,W1615&gt;=75),0.22,0)+IF(AND(V1615&gt;=40,V1615&lt;75,W1615&lt;75),0.26,0)+IF(AND(V1615&gt;=40,V1615&lt;75,W1615&gt;=75),0.22,0)+IF(V1615&gt;=75,0.22,0),
IF(AF1615="DoEVold",IF(AND(V1615&lt;40,W1615&lt;35),0.35,0)+IF(AND(V1615&lt;40,W1615&gt;=35,W1615&lt;75),0.25,0)+IF(AND(V1615&lt;40,W1615&gt;=75),0.17,0)+IF(AND(V1615&gt;=40,V1615&lt;75,W1615&lt;25),0.35,0)+IF(AND(V1615&gt;=40,V1615&lt;75,W1615&gt;=25,W1615&lt;65),0.25,0)+IF(AND(V1615&gt;=40,V1615&lt;75,W1615&gt;=65,W1615&lt;100),0.17,0)+IF(AND(V1615&gt;=40,V1615&lt;75,W1615&gt;=100),0.1,0)+IF(AND(V1615&gt;=75,W1615&lt;25),0.35,0)+IF(AND(V1615&gt;=75,W1615&gt;=25,W1615&lt;60),0.25,0)+IF(AND(V1615&gt;=75,W1615&gt;=60,W1615&lt;95),0.17,0)+IF(AND(V1615&gt;=75,W1615&gt;=95),0.1,0),
IF(AF1615="DoEVold15",IF(AND(V1615&lt;=40,W1615&lt;35),0.35,0)+IF(AND(V1615&lt;=40,W1615&gt;=35,W1615&lt;75),0.25,0)+IF(AND(V1615&lt;=40,W1615&gt;=75,W1615&lt;120),0.17,0)+IF(AND(V1615&lt;=40,W1615&gt;=120),0.15,0)+IF(AND(V1615&gt;40,V1615&lt;75,W1615&lt;25),0.35,0)+IF(AND(V1615&gt;=40,V1615&lt;75,W1615&gt;=25,W1615&lt;65),0.25,0)+IF(AND(V1615&gt;=40,V1615&lt;75,W1615&gt;=65,W1615&lt;100),0.17,0)+IF(AND(V1615&gt;=40,V1615&lt;75,W1615&gt;=100),0.1,0)+IF(AND(V1615&gt;=75,W1615&lt;25),0.35,0)+IF(AND(V1615&gt;=75,W1615&gt;=25,W1615&lt;60),0.25,0)+IF(AND(V1615&gt;=75,W1615&gt;=60,W1615&lt;95),0.17,0)+IF(AND(V1615&gt;=75,W1615&gt;=95),0.1,0),
IF(AF1615="DoEVba",IF(AND(V1615&lt;20,W1615&lt;105),0.2,0)+IF(AND(V1615&lt;20,W1615&gt;=105),0.15,0)+IF(AND(V1615&gt;=20,V1615&lt;40,W1615&lt;95),0.2,0)+IF(AND(V1615&gt;=20,V1615&lt;40,W1615&gt;=95,W1615&lt;150),0.15,0)+IF(AND(V1615&gt;=20,V1615&lt;40,W1615&gt;=150),0.12,0)+IF(AND(V1615&gt;=40,V1615&lt;75,W1615&lt;75),0.2,0)+IF(AND(V1615&gt;=40,V1615&lt;75,W1615&gt;=75,W1615&lt;120),0.15,0)+IF(AND(V1615&gt;=40,V1615&lt;75,W1615&gt;=120),0.12,0)+IF(AND(V1615&gt;=75,V1615&lt;175,W1615&lt;65),0.2,0)+IF(AND(V1615&gt;=75,V1615&lt;175,W1615&gt;=65,W1615&lt;110),0.15,0)+IF(AND(V1615&gt;=75,V1615&lt;175,W1615&gt;=110),0.12,0)+IF(AND(V1615&gt;=175,W1615&lt;55),0.2,0)+IF(AND(V1615&gt;=175,W1615&gt;=55,W1615&lt;95),0.15,0)+IF(AND(V1615&gt;=175,W1615&gt;=95),0.12,0),
IF(AF1615="DoEVku",IF(AND(V1615&lt;20,W1615&lt;55),0.23,0)+IF(AND(V1615&lt;20,W1615&gt;=55,W1615&lt;105),0.2,0)+IF(AND(V1615&lt;20,W1615&gt;=105),0.17,0)+IF(AND(V1615&gt;=20,V1615&lt;40,W1615&lt;45),0.23,0)+IF(AND(V1615&gt;=20,V1615&lt;40,W1615&gt;=45,W1615&lt;95),0.2,0)+IF(AND(V1615&gt;=20,V1615&lt;40,W1615&gt;=95,W1615&lt;=150),0.17,0)+IF(AND(V1615&gt;=20,V1615&lt;40,W1615&gt;=150),0.12,0)+IF(AND(V1615&gt;=40,V1615&lt;75,W1615&lt;35),0.23,0)+IF(AND(V1615&gt;=40,V1615&lt;75,W1615&gt;=35,W1615&lt;75),0.2,0)+IF(AND(V1615&gt;=40,V1615&lt;75,W1615&gt;=75,W1615&lt;120),0.17,0)+IF(AND(V1615&gt;=40,V1615&lt;75,W1615&gt;=120),0.12,0)+IF(AND(V1615&gt;=75,V1615&lt;175,W1615&lt;35),0.23,0)+IF(AND(V1615&gt;=75,V1615&lt;=175,W1615&gt;=35,W1615&lt;65),0.2,0)+IF(AND(V1615&gt;=75,V1615&lt;=175,W1615&gt;=65,W1615&lt;110),0.17,0)+IF(AND(V1615&gt;=75,V1615&lt;=175,W1615&gt;=110),0.12,0)+IF(AND(V1615&gt;175,W1615&lt;25),0.23,0)+IF(AND(V1615&gt;175,W1615&gt;=25,W1615&lt;55),0.2,0)+IF(AND(V1615&gt;175,W1615&gt;=55,W1615&lt;95),0.17,0)+IF(AND(V1615&gt;175,W1615&gt;=95),0.12,0),
IF(AF1615="DoEVs1",IF(AND(V1615&lt;20,W1615&lt;55),0.3,0)+IF(AND(V1615&lt;20,W1615&gt;=55,W1615&lt;105),0.23,0)+IF(AND(V1615&lt;20,W1615&gt;=105),0.17,0)+IF(AND(V1615&gt;=20,V1615&lt;40,W1615&lt;45),0.3,0)+IF(AND(V1615&gt;=20,V1615&lt;40,W1615&gt;=45,W1615&lt;95),0.23,0)+IF(AND(V1615&gt;=20,V1615&lt;40,W1615&gt;=95,W1615&lt;=150),0.17,0)+IF(AND(V1615&gt;=20,V1615&lt;40,W1615&gt;=150),0.12,0)+IF(AND(V1615&gt;=40,V1615&lt;75,W1615&lt;35),0.3,0)+IF(AND(V1615&gt;=40,V1615&lt;75,W1615&gt;=35,W1615&lt;75),0.23,0)+IF(AND(V1615&gt;=40,V1615&lt;75,W1615&gt;=75,W1615&lt;120),0.17,0)+IF(AND(V1615&gt;=40,V1615&lt;75,W1615&gt;=120),0.12,0)+IF(AND(V1615&gt;=75,V1615&lt;175,W1615&lt;35),0.3,0)+IF(AND(V1615&gt;=75,V1615&lt;=175,W1615&gt;=35,W1615&lt;65),0.23,0)+IF(AND(V1615&gt;=75,V1615&lt;=175,W1615&gt;=65,W1615&lt;110),0.17,0)+IF(AND(V1615&gt;=75,V1615&lt;=175,W1615&gt;=110),0.12,0)+IF(AND(V1615&gt;175,W1615&lt;25),0.3,0)+IF(AND(V1615&gt;175,W1615&gt;=25,W1615&lt;55),0.23,0)+IF(AND(V1615&gt;175,W1615&gt;=55,W1615&lt;95),0.17,0)+IF(AND(V1615&gt;175,W1615&gt;=95),0.12,0),
IF(AF1615="DoEVsu",IF(AND(V1615&lt;20,W1615&lt;55),0.3,0)+IF(AND(V1615&lt;20,W1615&gt;=55,W1615&lt;105),0.23,0)+IF(AND(V1615&lt;20,W1615&gt;=105),0.17,0)+IF(AND(V1615&gt;=20,V1615&lt;40,W1615&lt;45),0.3,0)+IF(AND(V1615&gt;=20,V1615&lt;40,W1615&gt;=45,W1615&lt;95),0.23,0)+IF(AND(V1615&gt;=20,V1615&lt;40,W1615&gt;=95,W1615&lt;=250),0.17,0)+IF(AND(V1615&gt;=20,V1615&lt;40,W1615&gt;=250),0.12,0)+IF(AND(V1615&gt;=40,V1615&lt;75,W1615&lt;35),0.3,0)+IF(AND(V1615&gt;=40,V1615&lt;75,W1615&gt;=35,W1615&lt;75),0.23,0)+IF(AND(V1615&gt;=40,V1615&lt;75,W1615&gt;=75,W1615&lt;120),0.17,0)+IF(AND(V1615&gt;=40,V1615&lt;75,W1615&gt;=120),0.12,0)+IF(AND(V1615&gt;=75,V1615&lt;175,W1615&lt;35),0.3,0)+IF(AND(V1615&gt;=75,V1615&lt;=175,W1615&gt;=35,W1615&lt;65),0.23,0)+IF(AND(V1615&gt;=75,V1615&lt;=175,W1615&gt;=65,W1615&lt;110),0.17,0)+IF(AND(V1615&gt;=75,V1615&lt;=175,W1615&gt;=110),0.12,0)+IF(AND(V1615&gt;175,W1615&lt;25),0.3,0)+IF(AND(V1615&gt;175,W1615&gt;=25,W1615&lt;55),0.23,0)+IF(AND(V1615&gt;175,W1615&gt;=55,W1615&lt;95),0.17,0)+IF(AND(V1615&gt;175,W1615&gt;=95),0.12,0),
IF(AF1615="DoEVni",IF(AND(V1615&lt;20,W1615&lt;55),0.3,0)+IF(AND(V1615&lt;20,W1615&gt;=55,W1615&lt;105),0.23,0)+IF(AND(V1615&lt;20,W1615&gt;=105),0.17,0)+IF(AND(V1615&gt;=20,V1615&lt;40,W1615&lt;45),0.3,0)+IF(AND(V1615&gt;=20,V1615&lt;40,W1615&gt;=45,W1615&lt;95),0.23,0)+IF(AND(V1615&gt;=20,V1615&lt;40,W1615&gt;=95,W1615&lt;=200),0.17,0)+IF(AND(V1615&gt;=20,V1615&lt;40,W1615&gt;=200),0.12,0)+IF(AND(V1615&gt;=40,V1615&lt;75,W1615&lt;35),0.3,0)+IF(AND(V1615&gt;=40,V1615&lt;75,W1615&gt;=35,W1615&lt;75),0.23,0)+IF(AND(V1615&gt;=40,V1615&lt;75,W1615&gt;=75,W1615&lt;120),0.17,0)+IF(AND(V1615&gt;=40,V1615&lt;75,W1615&gt;=120),0.12,0)+IF(AND(V1615&gt;=75,V1615&lt;175,W1615&lt;35),0.3,0)+IF(AND(V1615&gt;=75,V1615&lt;=175,W1615&gt;=35,W1615&lt;65),0.23,0)+IF(AND(V1615&gt;=75,V1615&lt;=175,W1615&gt;=65,W1615&lt;110),0.17,0)+IF(AND(V1615&gt;=75,V1615&lt;=175,W1615&gt;=110),0.12,0)+IF(AND(V1615&gt;175,W1615&lt;25),0.3,0)+IF(AND(V1615&gt;175,W1615&gt;=25,W1615&lt;55),0.23,0)+IF(AND(V1615&gt;175,W1615&gt;=55,W1615&lt;95),0.17,0)+IF(AND(V1615&gt;175,W1615&gt;=95),0.12,0),
IF(AF1615="DoEVLo",IF(AND(V1615&lt;20,W1615&lt;55),0.25,0)+IF(AND(V1615&lt;20,W1615&gt;=55,W1615&lt;105),0.2,0)+IF(AND(V1615&lt;20,W1615&gt;=105),0.15,0)+IF(AND(V1615&gt;=20,V1615&lt;40,W1615&lt;45),0.25,0)+IF(AND(V1615&gt;=20,V1615&lt;40,W1615&gt;=45,W1615&lt;95),0.2,0)+IF(AND(V1615&gt;=20,V1615&lt;40,W1615&gt;=95),0.15,0)+IF(AND(V1615&gt;=40,V1615&lt;75,W1615&lt;35),0.25,0)+IF(AND(V1615&gt;=40,V1615&lt;75,W1615&gt;=35,W1615&lt;75),0.2,0)+IF(AND(V1615&gt;=40,V1615&lt;75,W1615&gt;=75,W1615&lt;120),0.15,0)+IF(AND(V1615&gt;=40,V1615&lt;75,W1615&gt;=120),0.1,0)+IF(AND(V1615&gt;=75,V1615&lt;175,W1615&lt;35),0.25,0)+IF(AND(V1615&gt;=75,V1615&lt;=175,W1615&gt;=35,W1615&lt;65),0.2,0)+IF(AND(V1615&gt;=75,V1615&lt;=175,W1615&gt;=65,W1615&lt;110),0.15,0)+IF(AND(V1615&gt;=75,V1615&lt;=175,W1615&gt;=110),0.1,0)+IF(AND(V1615&gt;175,W1615&lt;25),0.25,0)+IF(AND(V1615&gt;175,W1615&gt;=25,W1615&lt;55),0.2,0)+IF(AND(V1615&gt;175,W1615&gt;=55,W1615&lt;95),0.15,0)+IF(AND(V1615&gt;175,W1615&gt;=95),0.1,0))))))))))))))))))))</f>
        <v>0.23</v>
      </c>
      <c r="Y1615" s="30">
        <f>IF(AG1615="None",0,IF(AG1615="Fix5",0.05, IF(AG1615="Fix6.25",0.0625,IF(AG1615="Fix3.75",0.0375, IF(AG1615="Fix11",0.11, IF(AG1615="Fix10",0.1,IF(AG1615="Fix3",0.03,0)))))))</f>
        <v>0</v>
      </c>
      <c r="Z1615" s="35">
        <f>IF(AND(AD1615="EUR", AE1615 = "USD"), T1615*U1615-AA1615-AB1615, T1615-AA1615-AB1615)</f>
        <v>0</v>
      </c>
      <c r="AA1615" s="29">
        <f>IF(AND(AD1615="EUR", F1615="Without EV deal", AE1615="USD"), (T1615*X1615)*U1615,
IF(AND(AD1615="EUR", F1615="Without EV deal", AE1615="EUR"), (T1615*X1615),
IF(AND(AD1615="EUR",AE1615="USD"), (T1615*X1615)*U1615,
T1615*X1615)))</f>
        <v>0</v>
      </c>
      <c r="AB1615" s="36">
        <f>IF(AND(AD1615="EUR", F1615="Without EV deal", AE1615="USD"), (T1615*Y1615)*U1615,
IF(AND(AD1615="EUR", F1615="Without EV deal", AE1615="EUR"), (T1615*Y1615),
IF(AND(AD1615="EUR",AE1615="USD"), (T1615*Y1615)*U1615,
T1615*Y1615)))</f>
        <v>0</v>
      </c>
      <c r="AC1615" s="61" t="b">
        <v>1</v>
      </c>
      <c r="AD1615" s="82" t="str">
        <f>IF(OR(H1615="€0.25 Flash",
H1615="€0.25(nitro) new",
H1615="€1",
H1615="€2",
H1615="€2 (bf 01.08)",
H1615="€5",
H1615="€5 (1M)",
H1615="€5 (bf 01.08)",
H1615="€5 (bf 05.05)",
H1615="€5 Nitro",
H1615="€5(wx) new",
H1615="€10",
H1615="€10 (1M)",
H1615="€10 (bf 01.08)",
H1615="€10 (bf 05.05)",
H1615="€10 (MP)",
H1615="€10 (old)",
H1615="€10 Nitro (bf 05.05)",
H1615="€10 Nitro (old)",
H1615="€10(wx) new",
H1615="€20",
H1615="€25",
H1615="€25 (bf 01.08)",
H1615="€25 (bf 05.05)",
H1615="€25 (MP)",
H1615="€25 (old)",
H1615="€25 Nitro",
H1615="€25 Nitro (bf 01.08)",
H1615="€25 Nitro (bf 05.05)",
H1615="€25(nitro) new",
H1615="€25(wx) new",
H1615="€50",
H1615="€50 (bf 01.08)",
H1615="€50 (bf 05.05)",
H1615="€50 (old)",
H1615="€50 Nitro",
H1615="€50 Nitro (bf 01.08)",
H1615="€50 Nitro (bf 05.05)",
H1615="€50(wx) new",
H1615="€100",
H1615="€100 (old)",
H1615="€100 Nitro",
H1615="€100 Nitro (old)",
H1615="€200",
H1615="€250",
H1615="€250 Nitro",
H1615="€500",
H1615="€500 Nitro"),"EUR", "USD")</f>
        <v>USD</v>
      </c>
      <c r="AE1615" s="83" t="s">
        <v>38</v>
      </c>
      <c r="AF1615" s="83" t="str">
        <f t="array" ref="AF1615">INDEX('Deal Info'!D:D, MATCH(A1615,'Deal Info'!A:A, 0))</f>
        <v>DoEV</v>
      </c>
      <c r="AG1615" s="84" t="str">
        <f t="array" ref="AG1615">INDEX('Deal Info'!G:G, MATCH(A1615,'Deal Info'!A:A, 0))</f>
        <v>None</v>
      </c>
    </row>
    <row r="1616" spans="1:33" ht="14.25" hidden="1" x14ac:dyDescent="0.2">
      <c r="A1616" s="18" t="str">
        <f t="array" ref="A1616">IF(G1616='Room Info'!$B$1, INDEX('Room Info'!$A$2:$A2446, MATCH(B1616,'Room Info'!$B$2:$B2446, 0)),IF(G1616='Room Info'!$C$1, INDEX('Room Info'!$A$2:$A2446, MATCH(B1616,'Room Info'!$C$2:$C2446, 0)),IF(G1616='Room Info'!$D$1, INDEX('Room Info'!$A$2:$A2446, MATCH(B1616,'Room Info'!$D$2:$D2446, 0)),IF(G1616='Room Info'!$E$1, INDEX('Room Info'!$A$2:$A2446, MATCH(B1616,'Room Info'!$E$2:$E2446, 0)),IF(G1616='Room Info'!$F$1, INDEX('Room Info'!$A$2:$A2446, MATCH(B1616,'Room Info'!$F$2:$F2446, 0)),IF(G1616='Room Info'!$H$1, INDEX('Room Info'!$A$2:$A2446, MATCH(B1616,'Room Info'!$H$2:$H2446, 0)),IF(G1616='Room Info'!$G$1, INDEX('Room Info'!$A$2:$A2446, MATCH(B1616,'Room Info'!$G$2:$G2446, 0)))))))))</f>
        <v>DeusVulter</v>
      </c>
      <c r="B1616" s="96" t="s">
        <v>234</v>
      </c>
      <c r="C1616" s="46">
        <v>44978</v>
      </c>
      <c r="D1616" s="46">
        <v>45005</v>
      </c>
      <c r="E1616" s="90">
        <v>44986</v>
      </c>
      <c r="F1616" s="48" t="s">
        <v>34</v>
      </c>
      <c r="G1616" s="45" t="s">
        <v>80</v>
      </c>
      <c r="H1616" s="91" t="s">
        <v>86</v>
      </c>
      <c r="I1616" s="91" t="s">
        <v>81</v>
      </c>
      <c r="J1616" s="39">
        <v>5</v>
      </c>
      <c r="K1616" s="75">
        <v>10154</v>
      </c>
      <c r="L1616" s="72">
        <v>-1155</v>
      </c>
      <c r="M1616" s="79">
        <f>1491.32+359+586</f>
        <v>2436.3199999999997</v>
      </c>
      <c r="N1616" s="28">
        <f>K1616*J1616</f>
        <v>50770</v>
      </c>
      <c r="O1616" s="45">
        <v>200013</v>
      </c>
      <c r="P1616" s="29">
        <v>19.697951549999999</v>
      </c>
      <c r="Q1616" s="55"/>
      <c r="R1616" s="31">
        <f>M1616+Q1616*J1616*K1616*0.07</f>
        <v>2436.3199999999997</v>
      </c>
      <c r="S1616" s="73">
        <v>-721</v>
      </c>
      <c r="T1616" s="32">
        <f>IF(AND(AD1616="EUR", F1616="Without EV deal"), R1616 + L1616,
IF(AND(AD1616="USD", F1616="Without EV deal"), R1616 + L1616,
IF(AND(AD1616="EUR", F1616="Steel Phoenix"), R1616 + S1616/U1616,
R1616 + S1616)))</f>
        <v>1715.3199999999997</v>
      </c>
      <c r="U1616" s="57">
        <v>1.071</v>
      </c>
      <c r="V1616" s="69">
        <v>5</v>
      </c>
      <c r="W1616" s="69">
        <v>343.06399999999996</v>
      </c>
      <c r="X1616" s="30">
        <f>IF(AF1616="DoEV",IF(AND(V1616&lt;20,W1616&lt;55),0.3,0)+IF(AND(V1616&lt;20,W1616&gt;=55,W1616&lt;105),0.23,0)+IF(AND(V1616&lt;20,W1616&gt;=105),0.17,0)+IF(AND(V1616&gt;=20,V1616&lt;40,W1616&lt;45),0.3,0)+IF(AND(V1616&gt;=20,V1616&lt;40,W1616&gt;=45,W1616&lt;95),0.23,0)+IF(AND(V1616&gt;=20,V1616&lt;40,W1616&gt;=95),0.17,0)+IF(AND(V1616&gt;=40,V1616&lt;75,W1616&lt;35),0.3,0)+IF(AND(V1616&gt;=40,V1616&lt;75,W1616&gt;=35,W1616&lt;75),0.23,0)+IF(AND(V1616&gt;=40,V1616&lt;75,W1616&gt;=75,W1616&lt;120),0.17,0)+IF(AND(V1616&gt;=40,V1616&lt;75,W1616&gt;=120),0.12,0)+IF(AND(V1616&gt;=75,V1616&lt;175,W1616&lt;35),0.3,0)+IF(AND(V1616&gt;=75,V1616&lt;=175,W1616&gt;=35,W1616&lt;65),0.23,0)+IF(AND(V1616&gt;=75,V1616&lt;=175,W1616&gt;=65,W1616&lt;110),0.17,0)+IF(AND(V1616&gt;=75,V1616&lt;=175,W1616&gt;=110),0.12,0)+IF(AND(V1616&gt;175,W1616&lt;25),0.3,0)+IF(AND(V1616&gt;175,W1616&gt;=25,W1616&lt;55),0.23,0)+IF(AND(V1616&gt;175,W1616&gt;=55,W1616&lt;95),0.17,0)+IF(AND(V1616&gt;175,W1616&gt;=95),0.12,0),
IF(AF1616="Fix15",0.15,
IF(AF1616="Fix5",0.05,
IF(AF1616="Fix18.75",0.1875,
IF(AF1616="Fix11.25",0.1125,
IF(AF1616="Fix10",0.1,
IF(AF1616="Fix9",0.09,
IF(AF1616="Fix12",0.12,
IF(AF1616="Fix19",0.19,
IF(AF1616="DoEV2017",IF(AND(W1616&lt;74),0.2,0)+IF(AND(W1616&gt;=74),0.17,0),
IF(AF1616="SF",IF(AND(V1616&lt;20,W1616&lt;89),0.3,0)+IF(AND(V1616&lt;20,W1616&gt;=89),0.25,0)+IF(AND(V1616&gt;=20,V1616&lt;40,W1616&lt;74),0.3,0)+IF(AND(V1616&gt;=20,V1616&lt;40,W1616&gt;=75),0.22,0)+IF(AND(V1616&gt;=40,V1616&lt;75,W1616&lt;75),0.26,0)+IF(AND(V1616&gt;=40,V1616&lt;75,W1616&gt;=75),0.22,0)+IF(V1616&gt;=75,0.22,0),
IF(AF1616="DoEVold",IF(AND(V1616&lt;40,W1616&lt;35),0.35,0)+IF(AND(V1616&lt;40,W1616&gt;=35,W1616&lt;75),0.25,0)+IF(AND(V1616&lt;40,W1616&gt;=75),0.17,0)+IF(AND(V1616&gt;=40,V1616&lt;75,W1616&lt;25),0.35,0)+IF(AND(V1616&gt;=40,V1616&lt;75,W1616&gt;=25,W1616&lt;65),0.25,0)+IF(AND(V1616&gt;=40,V1616&lt;75,W1616&gt;=65,W1616&lt;100),0.17,0)+IF(AND(V1616&gt;=40,V1616&lt;75,W1616&gt;=100),0.1,0)+IF(AND(V1616&gt;=75,W1616&lt;25),0.35,0)+IF(AND(V1616&gt;=75,W1616&gt;=25,W1616&lt;60),0.25,0)+IF(AND(V1616&gt;=75,W1616&gt;=60,W1616&lt;95),0.17,0)+IF(AND(V1616&gt;=75,W1616&gt;=95),0.1,0),
IF(AF1616="DoEVold15",IF(AND(V1616&lt;=40,W1616&lt;35),0.35,0)+IF(AND(V1616&lt;=40,W1616&gt;=35,W1616&lt;75),0.25,0)+IF(AND(V1616&lt;=40,W1616&gt;=75,W1616&lt;120),0.17,0)+IF(AND(V1616&lt;=40,W1616&gt;=120),0.15,0)+IF(AND(V1616&gt;40,V1616&lt;75,W1616&lt;25),0.35,0)+IF(AND(V1616&gt;=40,V1616&lt;75,W1616&gt;=25,W1616&lt;65),0.25,0)+IF(AND(V1616&gt;=40,V1616&lt;75,W1616&gt;=65,W1616&lt;100),0.17,0)+IF(AND(V1616&gt;=40,V1616&lt;75,W1616&gt;=100),0.1,0)+IF(AND(V1616&gt;=75,W1616&lt;25),0.35,0)+IF(AND(V1616&gt;=75,W1616&gt;=25,W1616&lt;60),0.25,0)+IF(AND(V1616&gt;=75,W1616&gt;=60,W1616&lt;95),0.17,0)+IF(AND(V1616&gt;=75,W1616&gt;=95),0.1,0),
IF(AF1616="DoEVba",IF(AND(V1616&lt;20,W1616&lt;105),0.2,0)+IF(AND(V1616&lt;20,W1616&gt;=105),0.15,0)+IF(AND(V1616&gt;=20,V1616&lt;40,W1616&lt;95),0.2,0)+IF(AND(V1616&gt;=20,V1616&lt;40,W1616&gt;=95,W1616&lt;150),0.15,0)+IF(AND(V1616&gt;=20,V1616&lt;40,W1616&gt;=150),0.12,0)+IF(AND(V1616&gt;=40,V1616&lt;75,W1616&lt;75),0.2,0)+IF(AND(V1616&gt;=40,V1616&lt;75,W1616&gt;=75,W1616&lt;120),0.15,0)+IF(AND(V1616&gt;=40,V1616&lt;75,W1616&gt;=120),0.12,0)+IF(AND(V1616&gt;=75,V1616&lt;175,W1616&lt;65),0.2,0)+IF(AND(V1616&gt;=75,V1616&lt;175,W1616&gt;=65,W1616&lt;110),0.15,0)+IF(AND(V1616&gt;=75,V1616&lt;175,W1616&gt;=110),0.12,0)+IF(AND(V1616&gt;=175,W1616&lt;55),0.2,0)+IF(AND(V1616&gt;=175,W1616&gt;=55,W1616&lt;95),0.15,0)+IF(AND(V1616&gt;=175,W1616&gt;=95),0.12,0),
IF(AF1616="DoEVku",IF(AND(V1616&lt;20,W1616&lt;55),0.23,0)+IF(AND(V1616&lt;20,W1616&gt;=55,W1616&lt;105),0.2,0)+IF(AND(V1616&lt;20,W1616&gt;=105),0.17,0)+IF(AND(V1616&gt;=20,V1616&lt;40,W1616&lt;45),0.23,0)+IF(AND(V1616&gt;=20,V1616&lt;40,W1616&gt;=45,W1616&lt;95),0.2,0)+IF(AND(V1616&gt;=20,V1616&lt;40,W1616&gt;=95,W1616&lt;=150),0.17,0)+IF(AND(V1616&gt;=20,V1616&lt;40,W1616&gt;=150),0.12,0)+IF(AND(V1616&gt;=40,V1616&lt;75,W1616&lt;35),0.23,0)+IF(AND(V1616&gt;=40,V1616&lt;75,W1616&gt;=35,W1616&lt;75),0.2,0)+IF(AND(V1616&gt;=40,V1616&lt;75,W1616&gt;=75,W1616&lt;120),0.17,0)+IF(AND(V1616&gt;=40,V1616&lt;75,W1616&gt;=120),0.12,0)+IF(AND(V1616&gt;=75,V1616&lt;175,W1616&lt;35),0.23,0)+IF(AND(V1616&gt;=75,V1616&lt;=175,W1616&gt;=35,W1616&lt;65),0.2,0)+IF(AND(V1616&gt;=75,V1616&lt;=175,W1616&gt;=65,W1616&lt;110),0.17,0)+IF(AND(V1616&gt;=75,V1616&lt;=175,W1616&gt;=110),0.12,0)+IF(AND(V1616&gt;175,W1616&lt;25),0.23,0)+IF(AND(V1616&gt;175,W1616&gt;=25,W1616&lt;55),0.2,0)+IF(AND(V1616&gt;175,W1616&gt;=55,W1616&lt;95),0.17,0)+IF(AND(V1616&gt;175,W1616&gt;=95),0.12,0),
IF(AF1616="DoEVs1",IF(AND(V1616&lt;20,W1616&lt;55),0.3,0)+IF(AND(V1616&lt;20,W1616&gt;=55,W1616&lt;105),0.23,0)+IF(AND(V1616&lt;20,W1616&gt;=105),0.17,0)+IF(AND(V1616&gt;=20,V1616&lt;40,W1616&lt;45),0.3,0)+IF(AND(V1616&gt;=20,V1616&lt;40,W1616&gt;=45,W1616&lt;95),0.23,0)+IF(AND(V1616&gt;=20,V1616&lt;40,W1616&gt;=95,W1616&lt;=150),0.17,0)+IF(AND(V1616&gt;=20,V1616&lt;40,W1616&gt;=150),0.12,0)+IF(AND(V1616&gt;=40,V1616&lt;75,W1616&lt;35),0.3,0)+IF(AND(V1616&gt;=40,V1616&lt;75,W1616&gt;=35,W1616&lt;75),0.23,0)+IF(AND(V1616&gt;=40,V1616&lt;75,W1616&gt;=75,W1616&lt;120),0.17,0)+IF(AND(V1616&gt;=40,V1616&lt;75,W1616&gt;=120),0.12,0)+IF(AND(V1616&gt;=75,V1616&lt;175,W1616&lt;35),0.3,0)+IF(AND(V1616&gt;=75,V1616&lt;=175,W1616&gt;=35,W1616&lt;65),0.23,0)+IF(AND(V1616&gt;=75,V1616&lt;=175,W1616&gt;=65,W1616&lt;110),0.17,0)+IF(AND(V1616&gt;=75,V1616&lt;=175,W1616&gt;=110),0.12,0)+IF(AND(V1616&gt;175,W1616&lt;25),0.3,0)+IF(AND(V1616&gt;175,W1616&gt;=25,W1616&lt;55),0.23,0)+IF(AND(V1616&gt;175,W1616&gt;=55,W1616&lt;95),0.17,0)+IF(AND(V1616&gt;175,W1616&gt;=95),0.12,0),
IF(AF1616="DoEVsu",IF(AND(V1616&lt;20,W1616&lt;55),0.3,0)+IF(AND(V1616&lt;20,W1616&gt;=55,W1616&lt;105),0.23,0)+IF(AND(V1616&lt;20,W1616&gt;=105),0.17,0)+IF(AND(V1616&gt;=20,V1616&lt;40,W1616&lt;45),0.3,0)+IF(AND(V1616&gt;=20,V1616&lt;40,W1616&gt;=45,W1616&lt;95),0.23,0)+IF(AND(V1616&gt;=20,V1616&lt;40,W1616&gt;=95,W1616&lt;=250),0.17,0)+IF(AND(V1616&gt;=20,V1616&lt;40,W1616&gt;=250),0.12,0)+IF(AND(V1616&gt;=40,V1616&lt;75,W1616&lt;35),0.3,0)+IF(AND(V1616&gt;=40,V1616&lt;75,W1616&gt;=35,W1616&lt;75),0.23,0)+IF(AND(V1616&gt;=40,V1616&lt;75,W1616&gt;=75,W1616&lt;120),0.17,0)+IF(AND(V1616&gt;=40,V1616&lt;75,W1616&gt;=120),0.12,0)+IF(AND(V1616&gt;=75,V1616&lt;175,W1616&lt;35),0.3,0)+IF(AND(V1616&gt;=75,V1616&lt;=175,W1616&gt;=35,W1616&lt;65),0.23,0)+IF(AND(V1616&gt;=75,V1616&lt;=175,W1616&gt;=65,W1616&lt;110),0.17,0)+IF(AND(V1616&gt;=75,V1616&lt;=175,W1616&gt;=110),0.12,0)+IF(AND(V1616&gt;175,W1616&lt;25),0.3,0)+IF(AND(V1616&gt;175,W1616&gt;=25,W1616&lt;55),0.23,0)+IF(AND(V1616&gt;175,W1616&gt;=55,W1616&lt;95),0.17,0)+IF(AND(V1616&gt;175,W1616&gt;=95),0.12,0),
IF(AF1616="DoEVni",IF(AND(V1616&lt;20,W1616&lt;55),0.3,0)+IF(AND(V1616&lt;20,W1616&gt;=55,W1616&lt;105),0.23,0)+IF(AND(V1616&lt;20,W1616&gt;=105),0.17,0)+IF(AND(V1616&gt;=20,V1616&lt;40,W1616&lt;45),0.3,0)+IF(AND(V1616&gt;=20,V1616&lt;40,W1616&gt;=45,W1616&lt;95),0.23,0)+IF(AND(V1616&gt;=20,V1616&lt;40,W1616&gt;=95,W1616&lt;=200),0.17,0)+IF(AND(V1616&gt;=20,V1616&lt;40,W1616&gt;=200),0.12,0)+IF(AND(V1616&gt;=40,V1616&lt;75,W1616&lt;35),0.3,0)+IF(AND(V1616&gt;=40,V1616&lt;75,W1616&gt;=35,W1616&lt;75),0.23,0)+IF(AND(V1616&gt;=40,V1616&lt;75,W1616&gt;=75,W1616&lt;120),0.17,0)+IF(AND(V1616&gt;=40,V1616&lt;75,W1616&gt;=120),0.12,0)+IF(AND(V1616&gt;=75,V1616&lt;175,W1616&lt;35),0.3,0)+IF(AND(V1616&gt;=75,V1616&lt;=175,W1616&gt;=35,W1616&lt;65),0.23,0)+IF(AND(V1616&gt;=75,V1616&lt;=175,W1616&gt;=65,W1616&lt;110),0.17,0)+IF(AND(V1616&gt;=75,V1616&lt;=175,W1616&gt;=110),0.12,0)+IF(AND(V1616&gt;175,W1616&lt;25),0.3,0)+IF(AND(V1616&gt;175,W1616&gt;=25,W1616&lt;55),0.23,0)+IF(AND(V1616&gt;175,W1616&gt;=55,W1616&lt;95),0.17,0)+IF(AND(V1616&gt;175,W1616&gt;=95),0.12,0),
IF(AF1616="DoEVLo",IF(AND(V1616&lt;20,W1616&lt;55),0.25,0)+IF(AND(V1616&lt;20,W1616&gt;=55,W1616&lt;105),0.2,0)+IF(AND(V1616&lt;20,W1616&gt;=105),0.15,0)+IF(AND(V1616&gt;=20,V1616&lt;40,W1616&lt;45),0.25,0)+IF(AND(V1616&gt;=20,V1616&lt;40,W1616&gt;=45,W1616&lt;95),0.2,0)+IF(AND(V1616&gt;=20,V1616&lt;40,W1616&gt;=95),0.15,0)+IF(AND(V1616&gt;=40,V1616&lt;75,W1616&lt;35),0.25,0)+IF(AND(V1616&gt;=40,V1616&lt;75,W1616&gt;=35,W1616&lt;75),0.2,0)+IF(AND(V1616&gt;=40,V1616&lt;75,W1616&gt;=75,W1616&lt;120),0.15,0)+IF(AND(V1616&gt;=40,V1616&lt;75,W1616&gt;=120),0.1,0)+IF(AND(V1616&gt;=75,V1616&lt;175,W1616&lt;35),0.25,0)+IF(AND(V1616&gt;=75,V1616&lt;=175,W1616&gt;=35,W1616&lt;65),0.2,0)+IF(AND(V1616&gt;=75,V1616&lt;=175,W1616&gt;=65,W1616&lt;110),0.15,0)+IF(AND(V1616&gt;=75,V1616&lt;=175,W1616&gt;=110),0.1,0)+IF(AND(V1616&gt;175,W1616&lt;25),0.25,0)+IF(AND(V1616&gt;175,W1616&gt;=25,W1616&lt;55),0.2,0)+IF(AND(V1616&gt;175,W1616&gt;=55,W1616&lt;95),0.15,0)+IF(AND(V1616&gt;175,W1616&gt;=95),0.1,0))))))))))))))))))))</f>
        <v>0.17</v>
      </c>
      <c r="Y1616" s="30">
        <f>IF(AG1616="None",0,IF(AG1616="Fix5",0.05, IF(AG1616="Fix6.25",0.0625,IF(AG1616="Fix3.75",0.0375, IF(AG1616="Fix11",0.11, IF(AG1616="Fix10",0.1,IF(AG1616="Fix3",0.03,0)))))))</f>
        <v>0</v>
      </c>
      <c r="Z1616" s="35">
        <f>IF(AND(AD1616="EUR", AE1616 = "USD"), T1616*U1616-AA1616-AB1616, T1616-AA1616-AB1616)</f>
        <v>1423.7155999999998</v>
      </c>
      <c r="AA1616" s="29">
        <f>IF(AND(AD1616="EUR", F1616="Without EV deal", AE1616="USD"), (T1616*X1616)*U1616,
IF(AND(AD1616="EUR", F1616="Without EV deal", AE1616="EUR"), (T1616*X1616),
IF(AND(AD1616="EUR",AE1616="USD"), (T1616*X1616)*U1616,
T1616*X1616)))</f>
        <v>291.6044</v>
      </c>
      <c r="AB1616" s="36">
        <f>IF(AND(AD1616="EUR", F1616="Without EV deal", AE1616="USD"), (T1616*Y1616)*U1616,
IF(AND(AD1616="EUR", F1616="Without EV deal", AE1616="EUR"), (T1616*Y1616),
IF(AND(AD1616="EUR",AE1616="USD"), (T1616*Y1616)*U1616,
T1616*Y1616)))</f>
        <v>0</v>
      </c>
      <c r="AC1616" s="61" t="b">
        <v>1</v>
      </c>
      <c r="AD1616" s="82" t="str">
        <f>IF(OR(H1616="€0.25 Flash",
H1616="€0.25(nitro) new",
H1616="€1",
H1616="€2",
H1616="€2 (bf 01.08)",
H1616="€5",
H1616="€5 (1M)",
H1616="€5 (bf 01.08)",
H1616="€5 (bf 05.05)",
H1616="€5 Nitro",
H1616="€5(wx) new",
H1616="€10",
H1616="€10 (1M)",
H1616="€10 (bf 01.08)",
H1616="€10 (bf 05.05)",
H1616="€10 (MP)",
H1616="€10 (old)",
H1616="€10 Nitro (bf 05.05)",
H1616="€10 Nitro (old)",
H1616="€10(wx) new",
H1616="€20",
H1616="€25",
H1616="€25 (bf 01.08)",
H1616="€25 (bf 05.05)",
H1616="€25 (MP)",
H1616="€25 (old)",
H1616="€25 Nitro",
H1616="€25 Nitro (bf 01.08)",
H1616="€25 Nitro (bf 05.05)",
H1616="€25(nitro) new",
H1616="€25(wx) new",
H1616="€50",
H1616="€50 (bf 01.08)",
H1616="€50 (bf 05.05)",
H1616="€50 (old)",
H1616="€50 Nitro",
H1616="€50 Nitro (bf 01.08)",
H1616="€50 Nitro (bf 05.05)",
H1616="€50(wx) new",
H1616="€100",
H1616="€100 (old)",
H1616="€100 Nitro",
H1616="€100 Nitro (old)",
H1616="€200",
H1616="€250",
H1616="€250 Nitro",
H1616="€500",
H1616="€500 Nitro"),"EUR", "USD")</f>
        <v>USD</v>
      </c>
      <c r="AE1616" s="83" t="s">
        <v>38</v>
      </c>
      <c r="AF1616" s="83" t="str">
        <f t="array" ref="AF1616">INDEX('Deal Info'!D:D, MATCH(A1616,'Deal Info'!A:A, 0))</f>
        <v>DoEV</v>
      </c>
      <c r="AG1616" s="84" t="str">
        <f t="array" ref="AG1616">INDEX('Deal Info'!G:G, MATCH(A1616,'Deal Info'!A:A, 0))</f>
        <v>None</v>
      </c>
    </row>
    <row r="1617" spans="1:33" ht="14.25" x14ac:dyDescent="0.2">
      <c r="A1617" s="18" t="str">
        <f t="array" ref="A1617">IF(G1617='Room Info'!$B$1, INDEX('Room Info'!$A$2:$A2446, MATCH(B1617,'Room Info'!$B$2:$B2446, 0)),IF(G1617='Room Info'!$C$1, INDEX('Room Info'!$A$2:$A2446, MATCH(B1617,'Room Info'!$C$2:$C2446, 0)),IF(G1617='Room Info'!$D$1, INDEX('Room Info'!$A$2:$A2446, MATCH(B1617,'Room Info'!$D$2:$D2446, 0)),IF(G1617='Room Info'!$E$1, INDEX('Room Info'!$A$2:$A2446, MATCH(B1617,'Room Info'!$E$2:$E2446, 0)),IF(G1617='Room Info'!$F$1, INDEX('Room Info'!$A$2:$A2446, MATCH(B1617,'Room Info'!$F$2:$F2446, 0)),IF(G1617='Room Info'!$H$1, INDEX('Room Info'!$A$2:$A2446, MATCH(B1617,'Room Info'!$H$2:$H2446, 0)),IF(G1617='Room Info'!$G$1, INDEX('Room Info'!$A$2:$A2446, MATCH(B1617,'Room Info'!$G$2:$G2446, 0)))))))))</f>
        <v>Lo4io</v>
      </c>
      <c r="B1617" s="129" t="s">
        <v>103</v>
      </c>
      <c r="C1617" s="46">
        <v>44978</v>
      </c>
      <c r="D1617" s="46">
        <v>45005</v>
      </c>
      <c r="E1617" s="90">
        <v>44986</v>
      </c>
      <c r="F1617" s="48" t="s">
        <v>34</v>
      </c>
      <c r="G1617" s="129" t="s">
        <v>61</v>
      </c>
      <c r="H1617" s="81" t="s">
        <v>138</v>
      </c>
      <c r="I1617" s="100" t="s">
        <v>68</v>
      </c>
      <c r="J1617" s="154">
        <v>25</v>
      </c>
      <c r="K1617" s="51">
        <v>27</v>
      </c>
      <c r="L1617" s="113">
        <v>241</v>
      </c>
      <c r="M1617" s="53"/>
      <c r="N1617" s="28">
        <f>K1617*J1617</f>
        <v>675</v>
      </c>
      <c r="O1617" s="65">
        <v>2402</v>
      </c>
      <c r="P1617" s="29">
        <v>88.962962959999999</v>
      </c>
      <c r="Q1617" s="55"/>
      <c r="R1617" s="31">
        <f>M1617+Q1617*J1617*K1617*0.07</f>
        <v>0</v>
      </c>
      <c r="S1617" s="66"/>
      <c r="T1617" s="32">
        <f>IF(AND(AD1617="EUR", F1617="Without EV deal"), R1617 + L1617,
IF(AND(AD1617="USD", F1617="Without EV deal"), R1617 + L1617,
IF(AND(AD1617="EUR", F1617="Steel Phoenix"), R1617 + S1617/U1617,
R1617 + S1617)))</f>
        <v>0</v>
      </c>
      <c r="U1617" s="57">
        <v>1.071</v>
      </c>
      <c r="V1617" s="58">
        <v>37.325261419922953</v>
      </c>
      <c r="W1617" s="64">
        <v>65</v>
      </c>
      <c r="X1617" s="78">
        <f>IF(AF1617="DoEV",IF(AND(V1617&lt;20,W1617&lt;55),0.3,0)+IF(AND(V1617&lt;20,W1617&gt;=55,W1617&lt;105),0.23,0)+IF(AND(V1617&lt;20,W1617&gt;=105),0.17,0)+IF(AND(V1617&gt;=20,V1617&lt;40,W1617&lt;45),0.3,0)+IF(AND(V1617&gt;=20,V1617&lt;40,W1617&gt;=45,W1617&lt;95),0.23,0)+IF(AND(V1617&gt;=20,V1617&lt;40,W1617&gt;=95),0.17,0)+IF(AND(V1617&gt;=40,V1617&lt;75,W1617&lt;35),0.3,0)+IF(AND(V1617&gt;=40,V1617&lt;75,W1617&gt;=35,W1617&lt;75),0.23,0)+IF(AND(V1617&gt;=40,V1617&lt;75,W1617&gt;=75,W1617&lt;120),0.17,0)+IF(AND(V1617&gt;=40,V1617&lt;75,W1617&gt;=120),0.12,0)+IF(AND(V1617&gt;=75,V1617&lt;175,W1617&lt;35),0.3,0)+IF(AND(V1617&gt;=75,V1617&lt;=175,W1617&gt;=35,W1617&lt;65),0.23,0)+IF(AND(V1617&gt;=75,V1617&lt;=175,W1617&gt;=65,W1617&lt;110),0.17,0)+IF(AND(V1617&gt;=75,V1617&lt;=175,W1617&gt;=110),0.12,0)+IF(AND(V1617&gt;175,W1617&lt;25),0.3,0)+IF(AND(V1617&gt;175,W1617&gt;=25,W1617&lt;55),0.23,0)+IF(AND(V1617&gt;175,W1617&gt;=55,W1617&lt;95),0.17,0)+IF(AND(V1617&gt;175,W1617&gt;=95),0.12,0),
IF(AF1617="Fix15",0.15,
IF(AF1617="Fix5",0.05,
IF(AF1617="Fix18.75",0.1875,
IF(AF1617="Fix11.25",0.1125,
IF(AF1617="Fix10",0.1,
IF(AF1617="Fix9",0.09,
IF(AF1617="Fix12",0.12,
IF(AF1617="Fix19",0.19,
IF(AF1617="DoEV2017",IF(AND(W1617&lt;74),0.2,0)+IF(AND(W1617&gt;=74),0.17,0),
IF(AF1617="SF",IF(AND(V1617&lt;20,W1617&lt;89),0.3,0)+IF(AND(V1617&lt;20,W1617&gt;=89),0.25,0)+IF(AND(V1617&gt;=20,V1617&lt;40,W1617&lt;74),0.3,0)+IF(AND(V1617&gt;=20,V1617&lt;40,W1617&gt;=75),0.22,0)+IF(AND(V1617&gt;=40,V1617&lt;75,W1617&lt;75),0.26,0)+IF(AND(V1617&gt;=40,V1617&lt;75,W1617&gt;=75),0.22,0)+IF(V1617&gt;=75,0.22,0),
IF(AF1617="DoEVold",IF(AND(V1617&lt;40,W1617&lt;35),0.35,0)+IF(AND(V1617&lt;40,W1617&gt;=35,W1617&lt;75),0.25,0)+IF(AND(V1617&lt;40,W1617&gt;=75),0.17,0)+IF(AND(V1617&gt;=40,V1617&lt;75,W1617&lt;25),0.35,0)+IF(AND(V1617&gt;=40,V1617&lt;75,W1617&gt;=25,W1617&lt;65),0.25,0)+IF(AND(V1617&gt;=40,V1617&lt;75,W1617&gt;=65,W1617&lt;100),0.17,0)+IF(AND(V1617&gt;=40,V1617&lt;75,W1617&gt;=100),0.1,0)+IF(AND(V1617&gt;=75,W1617&lt;25),0.35,0)+IF(AND(V1617&gt;=75,W1617&gt;=25,W1617&lt;60),0.25,0)+IF(AND(V1617&gt;=75,W1617&gt;=60,W1617&lt;95),0.17,0)+IF(AND(V1617&gt;=75,W1617&gt;=95),0.1,0),
IF(AF1617="DoEVold15",IF(AND(V1617&lt;=40,W1617&lt;35),0.35,0)+IF(AND(V1617&lt;=40,W1617&gt;=35,W1617&lt;75),0.25,0)+IF(AND(V1617&lt;=40,W1617&gt;=75,W1617&lt;120),0.17,0)+IF(AND(V1617&lt;=40,W1617&gt;=120),0.15,0)+IF(AND(V1617&gt;40,V1617&lt;75,W1617&lt;25),0.35,0)+IF(AND(V1617&gt;=40,V1617&lt;75,W1617&gt;=25,W1617&lt;65),0.25,0)+IF(AND(V1617&gt;=40,V1617&lt;75,W1617&gt;=65,W1617&lt;100),0.17,0)+IF(AND(V1617&gt;=40,V1617&lt;75,W1617&gt;=100),0.1,0)+IF(AND(V1617&gt;=75,W1617&lt;25),0.35,0)+IF(AND(V1617&gt;=75,W1617&gt;=25,W1617&lt;60),0.25,0)+IF(AND(V1617&gt;=75,W1617&gt;=60,W1617&lt;95),0.17,0)+IF(AND(V1617&gt;=75,W1617&gt;=95),0.1,0),
IF(AF1617="DoEVba",IF(AND(V1617&lt;20,W1617&lt;105),0.2,0)+IF(AND(V1617&lt;20,W1617&gt;=105),0.15,0)+IF(AND(V1617&gt;=20,V1617&lt;40,W1617&lt;95),0.2,0)+IF(AND(V1617&gt;=20,V1617&lt;40,W1617&gt;=95,W1617&lt;150),0.15,0)+IF(AND(V1617&gt;=20,V1617&lt;40,W1617&gt;=150),0.12,0)+IF(AND(V1617&gt;=40,V1617&lt;75,W1617&lt;75),0.2,0)+IF(AND(V1617&gt;=40,V1617&lt;75,W1617&gt;=75,W1617&lt;120),0.15,0)+IF(AND(V1617&gt;=40,V1617&lt;75,W1617&gt;=120),0.12,0)+IF(AND(V1617&gt;=75,V1617&lt;175,W1617&lt;65),0.2,0)+IF(AND(V1617&gt;=75,V1617&lt;175,W1617&gt;=65,W1617&lt;110),0.15,0)+IF(AND(V1617&gt;=75,V1617&lt;175,W1617&gt;=110),0.12,0)+IF(AND(V1617&gt;=175,W1617&lt;55),0.2,0)+IF(AND(V1617&gt;=175,W1617&gt;=55,W1617&lt;95),0.15,0)+IF(AND(V1617&gt;=175,W1617&gt;=95),0.12,0),
IF(AF1617="DoEVku",IF(AND(V1617&lt;20,W1617&lt;55),0.23,0)+IF(AND(V1617&lt;20,W1617&gt;=55,W1617&lt;105),0.2,0)+IF(AND(V1617&lt;20,W1617&gt;=105),0.17,0)+IF(AND(V1617&gt;=20,V1617&lt;40,W1617&lt;45),0.23,0)+IF(AND(V1617&gt;=20,V1617&lt;40,W1617&gt;=45,W1617&lt;95),0.2,0)+IF(AND(V1617&gt;=20,V1617&lt;40,W1617&gt;=95,W1617&lt;=150),0.17,0)+IF(AND(V1617&gt;=20,V1617&lt;40,W1617&gt;=150),0.12,0)+IF(AND(V1617&gt;=40,V1617&lt;75,W1617&lt;35),0.23,0)+IF(AND(V1617&gt;=40,V1617&lt;75,W1617&gt;=35,W1617&lt;75),0.2,0)+IF(AND(V1617&gt;=40,V1617&lt;75,W1617&gt;=75,W1617&lt;120),0.17,0)+IF(AND(V1617&gt;=40,V1617&lt;75,W1617&gt;=120),0.12,0)+IF(AND(V1617&gt;=75,V1617&lt;175,W1617&lt;35),0.23,0)+IF(AND(V1617&gt;=75,V1617&lt;=175,W1617&gt;=35,W1617&lt;65),0.2,0)+IF(AND(V1617&gt;=75,V1617&lt;=175,W1617&gt;=65,W1617&lt;110),0.17,0)+IF(AND(V1617&gt;=75,V1617&lt;=175,W1617&gt;=110),0.12,0)+IF(AND(V1617&gt;175,W1617&lt;25),0.23,0)+IF(AND(V1617&gt;175,W1617&gt;=25,W1617&lt;55),0.2,0)+IF(AND(V1617&gt;175,W1617&gt;=55,W1617&lt;95),0.17,0)+IF(AND(V1617&gt;175,W1617&gt;=95),0.12,0),
IF(AF1617="DoEVs1",IF(AND(V1617&lt;20,W1617&lt;55),0.3,0)+IF(AND(V1617&lt;20,W1617&gt;=55,W1617&lt;105),0.23,0)+IF(AND(V1617&lt;20,W1617&gt;=105),0.17,0)+IF(AND(V1617&gt;=20,V1617&lt;40,W1617&lt;45),0.3,0)+IF(AND(V1617&gt;=20,V1617&lt;40,W1617&gt;=45,W1617&lt;95),0.23,0)+IF(AND(V1617&gt;=20,V1617&lt;40,W1617&gt;=95,W1617&lt;=150),0.17,0)+IF(AND(V1617&gt;=20,V1617&lt;40,W1617&gt;=150),0.12,0)+IF(AND(V1617&gt;=40,V1617&lt;75,W1617&lt;35),0.3,0)+IF(AND(V1617&gt;=40,V1617&lt;75,W1617&gt;=35,W1617&lt;75),0.23,0)+IF(AND(V1617&gt;=40,V1617&lt;75,W1617&gt;=75,W1617&lt;120),0.17,0)+IF(AND(V1617&gt;=40,V1617&lt;75,W1617&gt;=120),0.12,0)+IF(AND(V1617&gt;=75,V1617&lt;175,W1617&lt;35),0.3,0)+IF(AND(V1617&gt;=75,V1617&lt;=175,W1617&gt;=35,W1617&lt;65),0.23,0)+IF(AND(V1617&gt;=75,V1617&lt;=175,W1617&gt;=65,W1617&lt;110),0.17,0)+IF(AND(V1617&gt;=75,V1617&lt;=175,W1617&gt;=110),0.12,0)+IF(AND(V1617&gt;175,W1617&lt;25),0.3,0)+IF(AND(V1617&gt;175,W1617&gt;=25,W1617&lt;55),0.23,0)+IF(AND(V1617&gt;175,W1617&gt;=55,W1617&lt;95),0.17,0)+IF(AND(V1617&gt;175,W1617&gt;=95),0.12,0),
IF(AF1617="DoEVsu",IF(AND(V1617&lt;20,W1617&lt;55),0.3,0)+IF(AND(V1617&lt;20,W1617&gt;=55,W1617&lt;105),0.23,0)+IF(AND(V1617&lt;20,W1617&gt;=105),0.17,0)+IF(AND(V1617&gt;=20,V1617&lt;40,W1617&lt;45),0.3,0)+IF(AND(V1617&gt;=20,V1617&lt;40,W1617&gt;=45,W1617&lt;95),0.23,0)+IF(AND(V1617&gt;=20,V1617&lt;40,W1617&gt;=95,W1617&lt;=250),0.17,0)+IF(AND(V1617&gt;=20,V1617&lt;40,W1617&gt;=250),0.12,0)+IF(AND(V1617&gt;=40,V1617&lt;75,W1617&lt;35),0.3,0)+IF(AND(V1617&gt;=40,V1617&lt;75,W1617&gt;=35,W1617&lt;75),0.23,0)+IF(AND(V1617&gt;=40,V1617&lt;75,W1617&gt;=75,W1617&lt;120),0.17,0)+IF(AND(V1617&gt;=40,V1617&lt;75,W1617&gt;=120),0.12,0)+IF(AND(V1617&gt;=75,V1617&lt;175,W1617&lt;35),0.3,0)+IF(AND(V1617&gt;=75,V1617&lt;=175,W1617&gt;=35,W1617&lt;65),0.23,0)+IF(AND(V1617&gt;=75,V1617&lt;=175,W1617&gt;=65,W1617&lt;110),0.17,0)+IF(AND(V1617&gt;=75,V1617&lt;=175,W1617&gt;=110),0.12,0)+IF(AND(V1617&gt;175,W1617&lt;25),0.3,0)+IF(AND(V1617&gt;175,W1617&gt;=25,W1617&lt;55),0.23,0)+IF(AND(V1617&gt;175,W1617&gt;=55,W1617&lt;95),0.17,0)+IF(AND(V1617&gt;175,W1617&gt;=95),0.12,0),
IF(AF1617="DoEVni",IF(AND(V1617&lt;20,W1617&lt;55),0.3,0)+IF(AND(V1617&lt;20,W1617&gt;=55,W1617&lt;105),0.23,0)+IF(AND(V1617&lt;20,W1617&gt;=105),0.17,0)+IF(AND(V1617&gt;=20,V1617&lt;40,W1617&lt;45),0.3,0)+IF(AND(V1617&gt;=20,V1617&lt;40,W1617&gt;=45,W1617&lt;95),0.23,0)+IF(AND(V1617&gt;=20,V1617&lt;40,W1617&gt;=95,W1617&lt;=200),0.17,0)+IF(AND(V1617&gt;=20,V1617&lt;40,W1617&gt;=200),0.12,0)+IF(AND(V1617&gt;=40,V1617&lt;75,W1617&lt;35),0.3,0)+IF(AND(V1617&gt;=40,V1617&lt;75,W1617&gt;=35,W1617&lt;75),0.23,0)+IF(AND(V1617&gt;=40,V1617&lt;75,W1617&gt;=75,W1617&lt;120),0.17,0)+IF(AND(V1617&gt;=40,V1617&lt;75,W1617&gt;=120),0.12,0)+IF(AND(V1617&gt;=75,V1617&lt;175,W1617&lt;35),0.3,0)+IF(AND(V1617&gt;=75,V1617&lt;=175,W1617&gt;=35,W1617&lt;65),0.23,0)+IF(AND(V1617&gt;=75,V1617&lt;=175,W1617&gt;=65,W1617&lt;110),0.17,0)+IF(AND(V1617&gt;=75,V1617&lt;=175,W1617&gt;=110),0.12,0)+IF(AND(V1617&gt;175,W1617&lt;25),0.3,0)+IF(AND(V1617&gt;175,W1617&gt;=25,W1617&lt;55),0.23,0)+IF(AND(V1617&gt;175,W1617&gt;=55,W1617&lt;95),0.17,0)+IF(AND(V1617&gt;175,W1617&gt;=95),0.12,0),
IF(AF1617="DoEVLo",IF(AND(V1617&lt;20,W1617&lt;55),0.25,0)+IF(AND(V1617&lt;20,W1617&gt;=55,W1617&lt;105),0.2,0)+IF(AND(V1617&lt;20,W1617&gt;=105),0.15,0)+IF(AND(V1617&gt;=20,V1617&lt;40,W1617&lt;45),0.25,0)+IF(AND(V1617&gt;=20,V1617&lt;40,W1617&gt;=45,W1617&lt;95),0.2,0)+IF(AND(V1617&gt;=20,V1617&lt;40,W1617&gt;=95),0.15,0)+IF(AND(V1617&gt;=40,V1617&lt;75,W1617&lt;35),0.25,0)+IF(AND(V1617&gt;=40,V1617&lt;75,W1617&gt;=35,W1617&lt;75),0.2,0)+IF(AND(V1617&gt;=40,V1617&lt;75,W1617&gt;=75,W1617&lt;120),0.15,0)+IF(AND(V1617&gt;=40,V1617&lt;75,W1617&gt;=120),0.1,0)+IF(AND(V1617&gt;=75,V1617&lt;175,W1617&lt;35),0.25,0)+IF(AND(V1617&gt;=75,V1617&lt;=175,W1617&gt;=35,W1617&lt;65),0.2,0)+IF(AND(V1617&gt;=75,V1617&lt;=175,W1617&gt;=65,W1617&lt;110),0.15,0)+IF(AND(V1617&gt;=75,V1617&lt;=175,W1617&gt;=110),0.1,0)+IF(AND(V1617&gt;175,W1617&lt;25),0.25,0)+IF(AND(V1617&gt;175,W1617&gt;=25,W1617&lt;55),0.2,0)+IF(AND(V1617&gt;175,W1617&gt;=55,W1617&lt;95),0.15,0)+IF(AND(V1617&gt;175,W1617&gt;=95),0.1,0))))))))))))))))))))</f>
        <v>0.2</v>
      </c>
      <c r="Y1617" s="30">
        <f>IF(AG1617="None",0,IF(AG1617="Fix5",0.05, IF(AG1617="Fix6.25",0.0625,IF(AG1617="Fix3.75",0.0375, IF(AG1617="Fix11",0.11, IF(AG1617="Fix10",0.1,IF(AG1617="Fix3",0.03,0)))))))</f>
        <v>0</v>
      </c>
      <c r="Z1617" s="35">
        <f>IF(AND(AD1617="EUR", AE1617 = "USD"), T1617*U1617-AA1617-AB1617, T1617-AA1617-AB1617)</f>
        <v>0</v>
      </c>
      <c r="AA1617" s="29">
        <f>IF(AND(AD1617="EUR", F1617="Without EV deal", AE1617="USD"), (T1617*X1617)*U1617,
IF(AND(AD1617="EUR", F1617="Without EV deal", AE1617="EUR"), (T1617*X1617),
IF(AND(AD1617="EUR",AE1617="USD"), (T1617*X1617)*U1617,
T1617*X1617)))</f>
        <v>0</v>
      </c>
      <c r="AB1617" s="36">
        <f>IF(AND(AD1617="EUR", F1617="Without EV deal", AE1617="USD"), (T1617*Y1617)*U1617,
IF(AND(AD1617="EUR", F1617="Without EV deal", AE1617="EUR"), (T1617*Y1617),
IF(AND(AD1617="EUR",AE1617="USD"), (T1617*Y1617)*U1617,
T1617*Y1617)))</f>
        <v>0</v>
      </c>
      <c r="AC1617" s="37" t="b">
        <v>1</v>
      </c>
      <c r="AD1617" s="37" t="str">
        <f>IF(OR(H1617="€0.25 Flash",
H1617="€0.25(nitro) new",
H1617="€1",
H1617="€2",
H1617="€2 (bf 01.08)",
H1617="€5",
H1617="€5 (1M)",
H1617="€5 (bf 01.08)",
H1617="€5 (bf 05.05)",
H1617="€5 Nitro",
H1617="€5(wx) new",
H1617="€10",
H1617="€10 (1M)",
H1617="€10 (bf 01.08)",
H1617="€10 (bf 05.05)",
H1617="€10 (MP)",
H1617="€10 (old)",
H1617="€10 Nitro (bf 05.05)",
H1617="€10 Nitro (old)",
H1617="€10(wx) new",
H1617="€20",
H1617="€25",
H1617="€25 (bf 01.08)",
H1617="€25 (bf 05.05)",
H1617="€25 (MP)",
H1617="€25 (old)",
H1617="€25 Nitro",
H1617="€25 Nitro (bf 01.08)",
H1617="€25 Nitro (bf 05.05)",
H1617="€25(nitro) new",
H1617="€25(wx) new",
H1617="€50",
H1617="€50 (bf 01.08)",
H1617="€50 (bf 05.05)",
H1617="€50 (old)",
H1617="€50 Nitro",
H1617="€50 Nitro (bf 01.08)",
H1617="€50 Nitro (bf 05.05)",
H1617="€50(wx) new",
H1617="€100",
H1617="€100 (old)",
H1617="€100 Nitro",
H1617="€100 Nitro (old)",
H1617="€200",
H1617="€250",
H1617="€250 Nitro",
H1617="€500",
H1617="€500 Nitro"),"EUR", "USD")</f>
        <v>EUR</v>
      </c>
      <c r="AE1617" s="37" t="s">
        <v>38</v>
      </c>
      <c r="AF1617" s="37" t="str">
        <f t="array" ref="AF1617">INDEX('Deal Info'!D:D, MATCH(A1617,'Deal Info'!A:A, 0))</f>
        <v>DoEVLo</v>
      </c>
      <c r="AG1617" s="38" t="str">
        <f t="array" ref="AG1617">INDEX('Deal Info'!G:G, MATCH(A1617,'Deal Info'!A:A, 0))</f>
        <v>None</v>
      </c>
    </row>
    <row r="1618" spans="1:33" ht="14.25" hidden="1" x14ac:dyDescent="0.2">
      <c r="A1618" s="18" t="str">
        <f t="array" ref="A1618">IF(G1618='Room Info'!$B$1, INDEX('Room Info'!$A$2:$A2446, MATCH(B1618,'Room Info'!$B$2:$B2446, 0)),IF(G1618='Room Info'!$C$1, INDEX('Room Info'!$A$2:$A2446, MATCH(B1618,'Room Info'!$C$2:$C2446, 0)),IF(G1618='Room Info'!$D$1, INDEX('Room Info'!$A$2:$A2446, MATCH(B1618,'Room Info'!$D$2:$D2446, 0)),IF(G1618='Room Info'!$E$1, INDEX('Room Info'!$A$2:$A2446, MATCH(B1618,'Room Info'!$E$2:$E2446, 0)),IF(G1618='Room Info'!$F$1, INDEX('Room Info'!$A$2:$A2446, MATCH(B1618,'Room Info'!$F$2:$F2446, 0)),IF(G1618='Room Info'!$H$1, INDEX('Room Info'!$A$2:$A2446, MATCH(B1618,'Room Info'!$H$2:$H2446, 0)),IF(G1618='Room Info'!$G$1, INDEX('Room Info'!$A$2:$A2446, MATCH(B1618,'Room Info'!$G$2:$G2446, 0)))))))))</f>
        <v>gRRRiz</v>
      </c>
      <c r="B1618" s="96" t="s">
        <v>118</v>
      </c>
      <c r="C1618" s="46">
        <v>44978</v>
      </c>
      <c r="D1618" s="46">
        <v>45005</v>
      </c>
      <c r="E1618" s="90">
        <v>44986</v>
      </c>
      <c r="F1618" s="48" t="s">
        <v>34</v>
      </c>
      <c r="G1618" s="45" t="s">
        <v>80</v>
      </c>
      <c r="H1618" s="49" t="s">
        <v>70</v>
      </c>
      <c r="I1618" s="49" t="s">
        <v>81</v>
      </c>
      <c r="J1618" s="39">
        <v>100</v>
      </c>
      <c r="K1618" s="51">
        <v>4222</v>
      </c>
      <c r="L1618" s="52">
        <v>-12500</v>
      </c>
      <c r="M1618" s="62">
        <f>21404.66+2000</f>
        <v>23404.66</v>
      </c>
      <c r="N1618" s="28">
        <f>K1618*J1618</f>
        <v>422200</v>
      </c>
      <c r="O1618" s="54">
        <v>58196</v>
      </c>
      <c r="P1618" s="29">
        <v>13.78398863</v>
      </c>
      <c r="Q1618" s="55"/>
      <c r="R1618" s="31">
        <f>M1618+Q1618*J1618*K1618*0.07</f>
        <v>23404.66</v>
      </c>
      <c r="S1618" s="56">
        <v>-13176</v>
      </c>
      <c r="T1618" s="32">
        <f>IF(AND(AD1618="EUR", F1618="Without EV deal"), R1618 + L1618,
IF(AND(AD1618="USD", F1618="Without EV deal"), R1618 + L1618,
IF(AND(AD1618="EUR", F1618="Steel Phoenix"), R1618 + S1618/U1618,
R1618 + S1618)))</f>
        <v>10228.66</v>
      </c>
      <c r="U1618" s="57">
        <v>1.071</v>
      </c>
      <c r="V1618" s="58"/>
      <c r="W1618" s="58"/>
      <c r="X1618" s="30">
        <f>IF(AF1618="DoEV",IF(AND(V1618&lt;20,W1618&lt;55),0.3,0)+IF(AND(V1618&lt;20,W1618&gt;=55,W1618&lt;105),0.23,0)+IF(AND(V1618&lt;20,W1618&gt;=105),0.17,0)+IF(AND(V1618&gt;=20,V1618&lt;40,W1618&lt;45),0.3,0)+IF(AND(V1618&gt;=20,V1618&lt;40,W1618&gt;=45,W1618&lt;95),0.23,0)+IF(AND(V1618&gt;=20,V1618&lt;40,W1618&gt;=95),0.17,0)+IF(AND(V1618&gt;=40,V1618&lt;75,W1618&lt;35),0.3,0)+IF(AND(V1618&gt;=40,V1618&lt;75,W1618&gt;=35,W1618&lt;75),0.23,0)+IF(AND(V1618&gt;=40,V1618&lt;75,W1618&gt;=75,W1618&lt;120),0.17,0)+IF(AND(V1618&gt;=40,V1618&lt;75,W1618&gt;=120),0.12,0)+IF(AND(V1618&gt;=75,V1618&lt;175,W1618&lt;35),0.3,0)+IF(AND(V1618&gt;=75,V1618&lt;=175,W1618&gt;=35,W1618&lt;65),0.23,0)+IF(AND(V1618&gt;=75,V1618&lt;=175,W1618&gt;=65,W1618&lt;110),0.17,0)+IF(AND(V1618&gt;=75,V1618&lt;=175,W1618&gt;=110),0.12,0)+IF(AND(V1618&gt;175,W1618&lt;25),0.3,0)+IF(AND(V1618&gt;175,W1618&gt;=25,W1618&lt;55),0.23,0)+IF(AND(V1618&gt;175,W1618&gt;=55,W1618&lt;95),0.17,0)+IF(AND(V1618&gt;175,W1618&gt;=95),0.12,0),
IF(AF1618="Fix15",0.15,
IF(AF1618="Fix5",0.05,
IF(AF1618="Fix18.75",0.1875,
IF(AF1618="Fix11.25",0.1125,
IF(AF1618="Fix10",0.1,
IF(AF1618="Fix9",0.09,
IF(AF1618="Fix12",0.12,
IF(AF1618="Fix19",0.19,
IF(AF1618="DoEV2017",IF(AND(W1618&lt;74),0.2,0)+IF(AND(W1618&gt;=74),0.17,0),
IF(AF1618="SF",IF(AND(V1618&lt;20,W1618&lt;89),0.3,0)+IF(AND(V1618&lt;20,W1618&gt;=89),0.25,0)+IF(AND(V1618&gt;=20,V1618&lt;40,W1618&lt;74),0.3,0)+IF(AND(V1618&gt;=20,V1618&lt;40,W1618&gt;=75),0.22,0)+IF(AND(V1618&gt;=40,V1618&lt;75,W1618&lt;75),0.26,0)+IF(AND(V1618&gt;=40,V1618&lt;75,W1618&gt;=75),0.22,0)+IF(V1618&gt;=75,0.22,0),
IF(AF1618="DoEVold",IF(AND(V1618&lt;40,W1618&lt;35),0.35,0)+IF(AND(V1618&lt;40,W1618&gt;=35,W1618&lt;75),0.25,0)+IF(AND(V1618&lt;40,W1618&gt;=75),0.17,0)+IF(AND(V1618&gt;=40,V1618&lt;75,W1618&lt;25),0.35,0)+IF(AND(V1618&gt;=40,V1618&lt;75,W1618&gt;=25,W1618&lt;65),0.25,0)+IF(AND(V1618&gt;=40,V1618&lt;75,W1618&gt;=65,W1618&lt;100),0.17,0)+IF(AND(V1618&gt;=40,V1618&lt;75,W1618&gt;=100),0.1,0)+IF(AND(V1618&gt;=75,W1618&lt;25),0.35,0)+IF(AND(V1618&gt;=75,W1618&gt;=25,W1618&lt;60),0.25,0)+IF(AND(V1618&gt;=75,W1618&gt;=60,W1618&lt;95),0.17,0)+IF(AND(V1618&gt;=75,W1618&gt;=95),0.1,0),
IF(AF1618="DoEVold15",IF(AND(V1618&lt;=40,W1618&lt;35),0.35,0)+IF(AND(V1618&lt;=40,W1618&gt;=35,W1618&lt;75),0.25,0)+IF(AND(V1618&lt;=40,W1618&gt;=75,W1618&lt;120),0.17,0)+IF(AND(V1618&lt;=40,W1618&gt;=120),0.15,0)+IF(AND(V1618&gt;40,V1618&lt;75,W1618&lt;25),0.35,0)+IF(AND(V1618&gt;=40,V1618&lt;75,W1618&gt;=25,W1618&lt;65),0.25,0)+IF(AND(V1618&gt;=40,V1618&lt;75,W1618&gt;=65,W1618&lt;100),0.17,0)+IF(AND(V1618&gt;=40,V1618&lt;75,W1618&gt;=100),0.1,0)+IF(AND(V1618&gt;=75,W1618&lt;25),0.35,0)+IF(AND(V1618&gt;=75,W1618&gt;=25,W1618&lt;60),0.25,0)+IF(AND(V1618&gt;=75,W1618&gt;=60,W1618&lt;95),0.17,0)+IF(AND(V1618&gt;=75,W1618&gt;=95),0.1,0),
IF(AF1618="DoEVba",IF(AND(V1618&lt;20,W1618&lt;105),0.2,0)+IF(AND(V1618&lt;20,W1618&gt;=105),0.15,0)+IF(AND(V1618&gt;=20,V1618&lt;40,W1618&lt;95),0.2,0)+IF(AND(V1618&gt;=20,V1618&lt;40,W1618&gt;=95,W1618&lt;150),0.15,0)+IF(AND(V1618&gt;=20,V1618&lt;40,W1618&gt;=150),0.12,0)+IF(AND(V1618&gt;=40,V1618&lt;75,W1618&lt;75),0.2,0)+IF(AND(V1618&gt;=40,V1618&lt;75,W1618&gt;=75,W1618&lt;120),0.15,0)+IF(AND(V1618&gt;=40,V1618&lt;75,W1618&gt;=120),0.12,0)+IF(AND(V1618&gt;=75,V1618&lt;175,W1618&lt;65),0.2,0)+IF(AND(V1618&gt;=75,V1618&lt;175,W1618&gt;=65,W1618&lt;110),0.15,0)+IF(AND(V1618&gt;=75,V1618&lt;175,W1618&gt;=110),0.12,0)+IF(AND(V1618&gt;=175,W1618&lt;55),0.2,0)+IF(AND(V1618&gt;=175,W1618&gt;=55,W1618&lt;95),0.15,0)+IF(AND(V1618&gt;=175,W1618&gt;=95),0.12,0),
IF(AF1618="DoEVku",IF(AND(V1618&lt;20,W1618&lt;55),0.23,0)+IF(AND(V1618&lt;20,W1618&gt;=55,W1618&lt;105),0.2,0)+IF(AND(V1618&lt;20,W1618&gt;=105),0.17,0)+IF(AND(V1618&gt;=20,V1618&lt;40,W1618&lt;45),0.23,0)+IF(AND(V1618&gt;=20,V1618&lt;40,W1618&gt;=45,W1618&lt;95),0.2,0)+IF(AND(V1618&gt;=20,V1618&lt;40,W1618&gt;=95,W1618&lt;=150),0.17,0)+IF(AND(V1618&gt;=20,V1618&lt;40,W1618&gt;=150),0.12,0)+IF(AND(V1618&gt;=40,V1618&lt;75,W1618&lt;35),0.23,0)+IF(AND(V1618&gt;=40,V1618&lt;75,W1618&gt;=35,W1618&lt;75),0.2,0)+IF(AND(V1618&gt;=40,V1618&lt;75,W1618&gt;=75,W1618&lt;120),0.17,0)+IF(AND(V1618&gt;=40,V1618&lt;75,W1618&gt;=120),0.12,0)+IF(AND(V1618&gt;=75,V1618&lt;175,W1618&lt;35),0.23,0)+IF(AND(V1618&gt;=75,V1618&lt;=175,W1618&gt;=35,W1618&lt;65),0.2,0)+IF(AND(V1618&gt;=75,V1618&lt;=175,W1618&gt;=65,W1618&lt;110),0.17,0)+IF(AND(V1618&gt;=75,V1618&lt;=175,W1618&gt;=110),0.12,0)+IF(AND(V1618&gt;175,W1618&lt;25),0.23,0)+IF(AND(V1618&gt;175,W1618&gt;=25,W1618&lt;55),0.2,0)+IF(AND(V1618&gt;175,W1618&gt;=55,W1618&lt;95),0.17,0)+IF(AND(V1618&gt;175,W1618&gt;=95),0.12,0),
IF(AF1618="DoEVs1",IF(AND(V1618&lt;20,W1618&lt;55),0.3,0)+IF(AND(V1618&lt;20,W1618&gt;=55,W1618&lt;105),0.23,0)+IF(AND(V1618&lt;20,W1618&gt;=105),0.17,0)+IF(AND(V1618&gt;=20,V1618&lt;40,W1618&lt;45),0.3,0)+IF(AND(V1618&gt;=20,V1618&lt;40,W1618&gt;=45,W1618&lt;95),0.23,0)+IF(AND(V1618&gt;=20,V1618&lt;40,W1618&gt;=95,W1618&lt;=150),0.17,0)+IF(AND(V1618&gt;=20,V1618&lt;40,W1618&gt;=150),0.12,0)+IF(AND(V1618&gt;=40,V1618&lt;75,W1618&lt;35),0.3,0)+IF(AND(V1618&gt;=40,V1618&lt;75,W1618&gt;=35,W1618&lt;75),0.23,0)+IF(AND(V1618&gt;=40,V1618&lt;75,W1618&gt;=75,W1618&lt;120),0.17,0)+IF(AND(V1618&gt;=40,V1618&lt;75,W1618&gt;=120),0.12,0)+IF(AND(V1618&gt;=75,V1618&lt;175,W1618&lt;35),0.3,0)+IF(AND(V1618&gt;=75,V1618&lt;=175,W1618&gt;=35,W1618&lt;65),0.23,0)+IF(AND(V1618&gt;=75,V1618&lt;=175,W1618&gt;=65,W1618&lt;110),0.17,0)+IF(AND(V1618&gt;=75,V1618&lt;=175,W1618&gt;=110),0.12,0)+IF(AND(V1618&gt;175,W1618&lt;25),0.3,0)+IF(AND(V1618&gt;175,W1618&gt;=25,W1618&lt;55),0.23,0)+IF(AND(V1618&gt;175,W1618&gt;=55,W1618&lt;95),0.17,0)+IF(AND(V1618&gt;175,W1618&gt;=95),0.12,0),
IF(AF1618="DoEVsu",IF(AND(V1618&lt;20,W1618&lt;55),0.3,0)+IF(AND(V1618&lt;20,W1618&gt;=55,W1618&lt;105),0.23,0)+IF(AND(V1618&lt;20,W1618&gt;=105),0.17,0)+IF(AND(V1618&gt;=20,V1618&lt;40,W1618&lt;45),0.3,0)+IF(AND(V1618&gt;=20,V1618&lt;40,W1618&gt;=45,W1618&lt;95),0.23,0)+IF(AND(V1618&gt;=20,V1618&lt;40,W1618&gt;=95,W1618&lt;=250),0.17,0)+IF(AND(V1618&gt;=20,V1618&lt;40,W1618&gt;=250),0.12,0)+IF(AND(V1618&gt;=40,V1618&lt;75,W1618&lt;35),0.3,0)+IF(AND(V1618&gt;=40,V1618&lt;75,W1618&gt;=35,W1618&lt;75),0.23,0)+IF(AND(V1618&gt;=40,V1618&lt;75,W1618&gt;=75,W1618&lt;120),0.17,0)+IF(AND(V1618&gt;=40,V1618&lt;75,W1618&gt;=120),0.12,0)+IF(AND(V1618&gt;=75,V1618&lt;175,W1618&lt;35),0.3,0)+IF(AND(V1618&gt;=75,V1618&lt;=175,W1618&gt;=35,W1618&lt;65),0.23,0)+IF(AND(V1618&gt;=75,V1618&lt;=175,W1618&gt;=65,W1618&lt;110),0.17,0)+IF(AND(V1618&gt;=75,V1618&lt;=175,W1618&gt;=110),0.12,0)+IF(AND(V1618&gt;175,W1618&lt;25),0.3,0)+IF(AND(V1618&gt;175,W1618&gt;=25,W1618&lt;55),0.23,0)+IF(AND(V1618&gt;175,W1618&gt;=55,W1618&lt;95),0.17,0)+IF(AND(V1618&gt;175,W1618&gt;=95),0.12,0),
IF(AF1618="DoEVni",IF(AND(V1618&lt;20,W1618&lt;55),0.3,0)+IF(AND(V1618&lt;20,W1618&gt;=55,W1618&lt;105),0.23,0)+IF(AND(V1618&lt;20,W1618&gt;=105),0.17,0)+IF(AND(V1618&gt;=20,V1618&lt;40,W1618&lt;45),0.3,0)+IF(AND(V1618&gt;=20,V1618&lt;40,W1618&gt;=45,W1618&lt;95),0.23,0)+IF(AND(V1618&gt;=20,V1618&lt;40,W1618&gt;=95,W1618&lt;=200),0.17,0)+IF(AND(V1618&gt;=20,V1618&lt;40,W1618&gt;=200),0.12,0)+IF(AND(V1618&gt;=40,V1618&lt;75,W1618&lt;35),0.3,0)+IF(AND(V1618&gt;=40,V1618&lt;75,W1618&gt;=35,W1618&lt;75),0.23,0)+IF(AND(V1618&gt;=40,V1618&lt;75,W1618&gt;=75,W1618&lt;120),0.17,0)+IF(AND(V1618&gt;=40,V1618&lt;75,W1618&gt;=120),0.12,0)+IF(AND(V1618&gt;=75,V1618&lt;175,W1618&lt;35),0.3,0)+IF(AND(V1618&gt;=75,V1618&lt;=175,W1618&gt;=35,W1618&lt;65),0.23,0)+IF(AND(V1618&gt;=75,V1618&lt;=175,W1618&gt;=65,W1618&lt;110),0.17,0)+IF(AND(V1618&gt;=75,V1618&lt;=175,W1618&gt;=110),0.12,0)+IF(AND(V1618&gt;175,W1618&lt;25),0.3,0)+IF(AND(V1618&gt;175,W1618&gt;=25,W1618&lt;55),0.23,0)+IF(AND(V1618&gt;175,W1618&gt;=55,W1618&lt;95),0.17,0)+IF(AND(V1618&gt;175,W1618&gt;=95),0.12,0),
IF(AF1618="DoEVLo",IF(AND(V1618&lt;20,W1618&lt;55),0.25,0)+IF(AND(V1618&lt;20,W1618&gt;=55,W1618&lt;105),0.2,0)+IF(AND(V1618&lt;20,W1618&gt;=105),0.15,0)+IF(AND(V1618&gt;=20,V1618&lt;40,W1618&lt;45),0.25,0)+IF(AND(V1618&gt;=20,V1618&lt;40,W1618&gt;=45,W1618&lt;95),0.2,0)+IF(AND(V1618&gt;=20,V1618&lt;40,W1618&gt;=95),0.15,0)+IF(AND(V1618&gt;=40,V1618&lt;75,W1618&lt;35),0.25,0)+IF(AND(V1618&gt;=40,V1618&lt;75,W1618&gt;=35,W1618&lt;75),0.2,0)+IF(AND(V1618&gt;=40,V1618&lt;75,W1618&gt;=75,W1618&lt;120),0.15,0)+IF(AND(V1618&gt;=40,V1618&lt;75,W1618&gt;=120),0.1,0)+IF(AND(V1618&gt;=75,V1618&lt;175,W1618&lt;35),0.25,0)+IF(AND(V1618&gt;=75,V1618&lt;=175,W1618&gt;=35,W1618&lt;65),0.2,0)+IF(AND(V1618&gt;=75,V1618&lt;=175,W1618&gt;=65,W1618&lt;110),0.15,0)+IF(AND(V1618&gt;=75,V1618&lt;=175,W1618&gt;=110),0.1,0)+IF(AND(V1618&gt;175,W1618&lt;25),0.25,0)+IF(AND(V1618&gt;175,W1618&gt;=25,W1618&lt;55),0.2,0)+IF(AND(V1618&gt;175,W1618&gt;=55,W1618&lt;95),0.15,0)+IF(AND(V1618&gt;175,W1618&gt;=95),0.1,0))))))))))))))))))))</f>
        <v>0.15</v>
      </c>
      <c r="Y1618" s="30">
        <f>IF(AG1618="None",0,IF(AG1618="Fix5",0.05, IF(AG1618="Fix6.25",0.0625,IF(AG1618="Fix3.75",0.0375, IF(AG1618="Fix11",0.11, IF(AG1618="Fix10",0.1,IF(AG1618="Fix3",0.03,0)))))))</f>
        <v>0.05</v>
      </c>
      <c r="Z1618" s="35">
        <f>IF(AND(AD1618="EUR", AE1618 = "USD"), T1618*U1618-AA1618-AB1618, T1618-AA1618-AB1618)</f>
        <v>8182.9280000000008</v>
      </c>
      <c r="AA1618" s="29">
        <f>IF(AND(AD1618="EUR", F1618="Without EV deal", AE1618="USD"), (T1618*X1618)*U1618,
IF(AND(AD1618="EUR", F1618="Without EV deal", AE1618="EUR"), (T1618*X1618),
IF(AND(AD1618="EUR",AE1618="USD"), (T1618*X1618)*U1618,
T1618*X1618)))</f>
        <v>1534.299</v>
      </c>
      <c r="AB1618" s="36">
        <f>IF(AND(AD1618="EUR", F1618="Without EV deal", AE1618="USD"), (T1618*Y1618)*U1618,
IF(AND(AD1618="EUR", F1618="Without EV deal", AE1618="EUR"), (T1618*Y1618),
IF(AND(AD1618="EUR",AE1618="USD"), (T1618*Y1618)*U1618,
T1618*Y1618)))</f>
        <v>511.43299999999999</v>
      </c>
      <c r="AC1618" s="61" t="b">
        <v>1</v>
      </c>
      <c r="AD1618" s="82" t="str">
        <f>IF(OR(H1618="€0.25 Flash",
H1618="€0.25(nitro) new",
H1618="€1",
H1618="€2",
H1618="€2 (bf 01.08)",
H1618="€5",
H1618="€5 (1M)",
H1618="€5 (bf 01.08)",
H1618="€5 (bf 05.05)",
H1618="€5 Nitro",
H1618="€5(wx) new",
H1618="€10",
H1618="€10 (1M)",
H1618="€10 (bf 01.08)",
H1618="€10 (bf 05.05)",
H1618="€10 (MP)",
H1618="€10 (old)",
H1618="€10 Nitro (bf 05.05)",
H1618="€10 Nitro (old)",
H1618="€10(wx) new",
H1618="€20",
H1618="€25",
H1618="€25 (bf 01.08)",
H1618="€25 (bf 05.05)",
H1618="€25 (MP)",
H1618="€25 (old)",
H1618="€25 Nitro",
H1618="€25 Nitro (bf 01.08)",
H1618="€25 Nitro (bf 05.05)",
H1618="€25(nitro) new",
H1618="€25(wx) new",
H1618="€50",
H1618="€50 (bf 01.08)",
H1618="€50 (bf 05.05)",
H1618="€50 (old)",
H1618="€50 Nitro",
H1618="€50 Nitro (bf 01.08)",
H1618="€50 Nitro (bf 05.05)",
H1618="€50(wx) new",
H1618="€100",
H1618="€100 (old)",
H1618="€100 Nitro",
H1618="€100 Nitro (old)",
H1618="€200",
H1618="€250",
H1618="€250 Nitro",
H1618="€500",
H1618="€500 Nitro"),"EUR", "USD")</f>
        <v>USD</v>
      </c>
      <c r="AE1618" s="83" t="s">
        <v>38</v>
      </c>
      <c r="AF1618" s="83" t="str">
        <f t="array" ref="AF1618">INDEX('Deal Info'!D:D, MATCH(A1618,'Deal Info'!A:A, 0))</f>
        <v>Fix15</v>
      </c>
      <c r="AG1618" s="84" t="str">
        <f t="array" ref="AG1618">INDEX('Deal Info'!G:G, MATCH(A1618,'Deal Info'!A:A, 0))</f>
        <v>Fix5</v>
      </c>
    </row>
    <row r="1619" spans="1:33" ht="14.25" x14ac:dyDescent="0.2">
      <c r="A1619" s="18" t="str">
        <f t="array" ref="A1619">IF(G1619='Room Info'!$B$1, INDEX('Room Info'!$A$2:$A2446, MATCH(B1619,'Room Info'!$B$2:$B2446, 0)),IF(G1619='Room Info'!$C$1, INDEX('Room Info'!$A$2:$A2446, MATCH(B1619,'Room Info'!$C$2:$C2446, 0)),IF(G1619='Room Info'!$D$1, INDEX('Room Info'!$A$2:$A2446, MATCH(B1619,'Room Info'!$D$2:$D2446, 0)),IF(G1619='Room Info'!$E$1, INDEX('Room Info'!$A$2:$A2446, MATCH(B1619,'Room Info'!$E$2:$E2446, 0)),IF(G1619='Room Info'!$F$1, INDEX('Room Info'!$A$2:$A2446, MATCH(B1619,'Room Info'!$F$2:$F2446, 0)),IF(G1619='Room Info'!$H$1, INDEX('Room Info'!$A$2:$A2446, MATCH(B1619,'Room Info'!$H$2:$H2446, 0)),IF(G1619='Room Info'!$G$1, INDEX('Room Info'!$A$2:$A2446, MATCH(B1619,'Room Info'!$G$2:$G2446, 0)))))))))</f>
        <v>bbaltqq</v>
      </c>
      <c r="B1619" s="129" t="s">
        <v>202</v>
      </c>
      <c r="C1619" s="46">
        <v>44978</v>
      </c>
      <c r="D1619" s="46">
        <v>45005</v>
      </c>
      <c r="E1619" s="90">
        <v>44986</v>
      </c>
      <c r="F1619" s="48" t="s">
        <v>34</v>
      </c>
      <c r="G1619" s="129" t="s">
        <v>61</v>
      </c>
      <c r="H1619" s="81" t="s">
        <v>201</v>
      </c>
      <c r="I1619" s="100" t="s">
        <v>101</v>
      </c>
      <c r="J1619" s="154">
        <v>10</v>
      </c>
      <c r="K1619" s="51">
        <v>670</v>
      </c>
      <c r="L1619" s="113"/>
      <c r="M1619" s="53">
        <v>80</v>
      </c>
      <c r="N1619" s="28">
        <f>K1619*J1619</f>
        <v>6700</v>
      </c>
      <c r="O1619" s="54">
        <v>43550</v>
      </c>
      <c r="P1619" s="29">
        <v>65</v>
      </c>
      <c r="Q1619" s="55"/>
      <c r="R1619" s="31">
        <f>M1619+Q1619*J1619*K1619*0.07</f>
        <v>80</v>
      </c>
      <c r="S1619" s="56"/>
      <c r="T1619" s="32">
        <f>IF(AND(AD1619="EUR", F1619="Without EV deal"), R1619 + L1619,
IF(AND(AD1619="USD", F1619="Without EV deal"), R1619 + L1619,
IF(AND(AD1619="EUR", F1619="Steel Phoenix"), R1619 + S1619/U1619,
R1619 + S1619)))</f>
        <v>80</v>
      </c>
      <c r="U1619" s="57">
        <v>1.071</v>
      </c>
      <c r="V1619" s="58"/>
      <c r="W1619" s="58"/>
      <c r="X1619" s="78">
        <f>IF(AF1619="DoEV",IF(AND(V1619&lt;20,W1619&lt;55),0.3,0)+IF(AND(V1619&lt;20,W1619&gt;=55,W1619&lt;105),0.23,0)+IF(AND(V1619&lt;20,W1619&gt;=105),0.17,0)+IF(AND(V1619&gt;=20,V1619&lt;40,W1619&lt;45),0.3,0)+IF(AND(V1619&gt;=20,V1619&lt;40,W1619&gt;=45,W1619&lt;95),0.23,0)+IF(AND(V1619&gt;=20,V1619&lt;40,W1619&gt;=95),0.17,0)+IF(AND(V1619&gt;=40,V1619&lt;75,W1619&lt;35),0.3,0)+IF(AND(V1619&gt;=40,V1619&lt;75,W1619&gt;=35,W1619&lt;75),0.23,0)+IF(AND(V1619&gt;=40,V1619&lt;75,W1619&gt;=75,W1619&lt;120),0.17,0)+IF(AND(V1619&gt;=40,V1619&lt;75,W1619&gt;=120),0.12,0)+IF(AND(V1619&gt;=75,V1619&lt;175,W1619&lt;35),0.3,0)+IF(AND(V1619&gt;=75,V1619&lt;=175,W1619&gt;=35,W1619&lt;65),0.23,0)+IF(AND(V1619&gt;=75,V1619&lt;=175,W1619&gt;=65,W1619&lt;110),0.17,0)+IF(AND(V1619&gt;=75,V1619&lt;=175,W1619&gt;=110),0.12,0)+IF(AND(V1619&gt;175,W1619&lt;25),0.3,0)+IF(AND(V1619&gt;175,W1619&gt;=25,W1619&lt;55),0.23,0)+IF(AND(V1619&gt;175,W1619&gt;=55,W1619&lt;95),0.17,0)+IF(AND(V1619&gt;175,W1619&gt;=95),0.12,0),
IF(AF1619="Fix15",0.15,
IF(AF1619="Fix5",0.05,
IF(AF1619="Fix18.75",0.1875,
IF(AF1619="Fix11.25",0.1125,
IF(AF1619="Fix10",0.1,
IF(AF1619="Fix9",0.09,
IF(AF1619="Fix12",0.12,
IF(AF1619="Fix19",0.19,
IF(AF1619="DoEV2017",IF(AND(W1619&lt;74),0.2,0)+IF(AND(W1619&gt;=74),0.17,0),
IF(AF1619="SF",IF(AND(V1619&lt;20,W1619&lt;89),0.3,0)+IF(AND(V1619&lt;20,W1619&gt;=89),0.25,0)+IF(AND(V1619&gt;=20,V1619&lt;40,W1619&lt;74),0.3,0)+IF(AND(V1619&gt;=20,V1619&lt;40,W1619&gt;=75),0.22,0)+IF(AND(V1619&gt;=40,V1619&lt;75,W1619&lt;75),0.26,0)+IF(AND(V1619&gt;=40,V1619&lt;75,W1619&gt;=75),0.22,0)+IF(V1619&gt;=75,0.22,0),
IF(AF1619="DoEVold",IF(AND(V1619&lt;40,W1619&lt;35),0.35,0)+IF(AND(V1619&lt;40,W1619&gt;=35,W1619&lt;75),0.25,0)+IF(AND(V1619&lt;40,W1619&gt;=75),0.17,0)+IF(AND(V1619&gt;=40,V1619&lt;75,W1619&lt;25),0.35,0)+IF(AND(V1619&gt;=40,V1619&lt;75,W1619&gt;=25,W1619&lt;65),0.25,0)+IF(AND(V1619&gt;=40,V1619&lt;75,W1619&gt;=65,W1619&lt;100),0.17,0)+IF(AND(V1619&gt;=40,V1619&lt;75,W1619&gt;=100),0.1,0)+IF(AND(V1619&gt;=75,W1619&lt;25),0.35,0)+IF(AND(V1619&gt;=75,W1619&gt;=25,W1619&lt;60),0.25,0)+IF(AND(V1619&gt;=75,W1619&gt;=60,W1619&lt;95),0.17,0)+IF(AND(V1619&gt;=75,W1619&gt;=95),0.1,0),
IF(AF1619="DoEVold15",IF(AND(V1619&lt;=40,W1619&lt;35),0.35,0)+IF(AND(V1619&lt;=40,W1619&gt;=35,W1619&lt;75),0.25,0)+IF(AND(V1619&lt;=40,W1619&gt;=75,W1619&lt;120),0.17,0)+IF(AND(V1619&lt;=40,W1619&gt;=120),0.15,0)+IF(AND(V1619&gt;40,V1619&lt;75,W1619&lt;25),0.35,0)+IF(AND(V1619&gt;=40,V1619&lt;75,W1619&gt;=25,W1619&lt;65),0.25,0)+IF(AND(V1619&gt;=40,V1619&lt;75,W1619&gt;=65,W1619&lt;100),0.17,0)+IF(AND(V1619&gt;=40,V1619&lt;75,W1619&gt;=100),0.1,0)+IF(AND(V1619&gt;=75,W1619&lt;25),0.35,0)+IF(AND(V1619&gt;=75,W1619&gt;=25,W1619&lt;60),0.25,0)+IF(AND(V1619&gt;=75,W1619&gt;=60,W1619&lt;95),0.17,0)+IF(AND(V1619&gt;=75,W1619&gt;=95),0.1,0),
IF(AF1619="DoEVba",IF(AND(V1619&lt;20,W1619&lt;105),0.2,0)+IF(AND(V1619&lt;20,W1619&gt;=105),0.15,0)+IF(AND(V1619&gt;=20,V1619&lt;40,W1619&lt;95),0.2,0)+IF(AND(V1619&gt;=20,V1619&lt;40,W1619&gt;=95,W1619&lt;150),0.15,0)+IF(AND(V1619&gt;=20,V1619&lt;40,W1619&gt;=150),0.12,0)+IF(AND(V1619&gt;=40,V1619&lt;75,W1619&lt;75),0.2,0)+IF(AND(V1619&gt;=40,V1619&lt;75,W1619&gt;=75,W1619&lt;120),0.15,0)+IF(AND(V1619&gt;=40,V1619&lt;75,W1619&gt;=120),0.12,0)+IF(AND(V1619&gt;=75,V1619&lt;175,W1619&lt;65),0.2,0)+IF(AND(V1619&gt;=75,V1619&lt;175,W1619&gt;=65,W1619&lt;110),0.15,0)+IF(AND(V1619&gt;=75,V1619&lt;175,W1619&gt;=110),0.12,0)+IF(AND(V1619&gt;=175,W1619&lt;55),0.2,0)+IF(AND(V1619&gt;=175,W1619&gt;=55,W1619&lt;95),0.15,0)+IF(AND(V1619&gt;=175,W1619&gt;=95),0.12,0),
IF(AF1619="DoEVku",IF(AND(V1619&lt;20,W1619&lt;55),0.23,0)+IF(AND(V1619&lt;20,W1619&gt;=55,W1619&lt;105),0.2,0)+IF(AND(V1619&lt;20,W1619&gt;=105),0.17,0)+IF(AND(V1619&gt;=20,V1619&lt;40,W1619&lt;45),0.23,0)+IF(AND(V1619&gt;=20,V1619&lt;40,W1619&gt;=45,W1619&lt;95),0.2,0)+IF(AND(V1619&gt;=20,V1619&lt;40,W1619&gt;=95,W1619&lt;=150),0.17,0)+IF(AND(V1619&gt;=20,V1619&lt;40,W1619&gt;=150),0.12,0)+IF(AND(V1619&gt;=40,V1619&lt;75,W1619&lt;35),0.23,0)+IF(AND(V1619&gt;=40,V1619&lt;75,W1619&gt;=35,W1619&lt;75),0.2,0)+IF(AND(V1619&gt;=40,V1619&lt;75,W1619&gt;=75,W1619&lt;120),0.17,0)+IF(AND(V1619&gt;=40,V1619&lt;75,W1619&gt;=120),0.12,0)+IF(AND(V1619&gt;=75,V1619&lt;175,W1619&lt;35),0.23,0)+IF(AND(V1619&gt;=75,V1619&lt;=175,W1619&gt;=35,W1619&lt;65),0.2,0)+IF(AND(V1619&gt;=75,V1619&lt;=175,W1619&gt;=65,W1619&lt;110),0.17,0)+IF(AND(V1619&gt;=75,V1619&lt;=175,W1619&gt;=110),0.12,0)+IF(AND(V1619&gt;175,W1619&lt;25),0.23,0)+IF(AND(V1619&gt;175,W1619&gt;=25,W1619&lt;55),0.2,0)+IF(AND(V1619&gt;175,W1619&gt;=55,W1619&lt;95),0.17,0)+IF(AND(V1619&gt;175,W1619&gt;=95),0.12,0),
IF(AF1619="DoEVs1",IF(AND(V1619&lt;20,W1619&lt;55),0.3,0)+IF(AND(V1619&lt;20,W1619&gt;=55,W1619&lt;105),0.23,0)+IF(AND(V1619&lt;20,W1619&gt;=105),0.17,0)+IF(AND(V1619&gt;=20,V1619&lt;40,W1619&lt;45),0.3,0)+IF(AND(V1619&gt;=20,V1619&lt;40,W1619&gt;=45,W1619&lt;95),0.23,0)+IF(AND(V1619&gt;=20,V1619&lt;40,W1619&gt;=95,W1619&lt;=150),0.17,0)+IF(AND(V1619&gt;=20,V1619&lt;40,W1619&gt;=150),0.12,0)+IF(AND(V1619&gt;=40,V1619&lt;75,W1619&lt;35),0.3,0)+IF(AND(V1619&gt;=40,V1619&lt;75,W1619&gt;=35,W1619&lt;75),0.23,0)+IF(AND(V1619&gt;=40,V1619&lt;75,W1619&gt;=75,W1619&lt;120),0.17,0)+IF(AND(V1619&gt;=40,V1619&lt;75,W1619&gt;=120),0.12,0)+IF(AND(V1619&gt;=75,V1619&lt;175,W1619&lt;35),0.3,0)+IF(AND(V1619&gt;=75,V1619&lt;=175,W1619&gt;=35,W1619&lt;65),0.23,0)+IF(AND(V1619&gt;=75,V1619&lt;=175,W1619&gt;=65,W1619&lt;110),0.17,0)+IF(AND(V1619&gt;=75,V1619&lt;=175,W1619&gt;=110),0.12,0)+IF(AND(V1619&gt;175,W1619&lt;25),0.3,0)+IF(AND(V1619&gt;175,W1619&gt;=25,W1619&lt;55),0.23,0)+IF(AND(V1619&gt;175,W1619&gt;=55,W1619&lt;95),0.17,0)+IF(AND(V1619&gt;175,W1619&gt;=95),0.12,0),
IF(AF1619="DoEVsu",IF(AND(V1619&lt;20,W1619&lt;55),0.3,0)+IF(AND(V1619&lt;20,W1619&gt;=55,W1619&lt;105),0.23,0)+IF(AND(V1619&lt;20,W1619&gt;=105),0.17,0)+IF(AND(V1619&gt;=20,V1619&lt;40,W1619&lt;45),0.3,0)+IF(AND(V1619&gt;=20,V1619&lt;40,W1619&gt;=45,W1619&lt;95),0.23,0)+IF(AND(V1619&gt;=20,V1619&lt;40,W1619&gt;=95,W1619&lt;=250),0.17,0)+IF(AND(V1619&gt;=20,V1619&lt;40,W1619&gt;=250),0.12,0)+IF(AND(V1619&gt;=40,V1619&lt;75,W1619&lt;35),0.3,0)+IF(AND(V1619&gt;=40,V1619&lt;75,W1619&gt;=35,W1619&lt;75),0.23,0)+IF(AND(V1619&gt;=40,V1619&lt;75,W1619&gt;=75,W1619&lt;120),0.17,0)+IF(AND(V1619&gt;=40,V1619&lt;75,W1619&gt;=120),0.12,0)+IF(AND(V1619&gt;=75,V1619&lt;175,W1619&lt;35),0.3,0)+IF(AND(V1619&gt;=75,V1619&lt;=175,W1619&gt;=35,W1619&lt;65),0.23,0)+IF(AND(V1619&gt;=75,V1619&lt;=175,W1619&gt;=65,W1619&lt;110),0.17,0)+IF(AND(V1619&gt;=75,V1619&lt;=175,W1619&gt;=110),0.12,0)+IF(AND(V1619&gt;175,W1619&lt;25),0.3,0)+IF(AND(V1619&gt;175,W1619&gt;=25,W1619&lt;55),0.23,0)+IF(AND(V1619&gt;175,W1619&gt;=55,W1619&lt;95),0.17,0)+IF(AND(V1619&gt;175,W1619&gt;=95),0.12,0),
IF(AF1619="DoEVni",IF(AND(V1619&lt;20,W1619&lt;55),0.3,0)+IF(AND(V1619&lt;20,W1619&gt;=55,W1619&lt;105),0.23,0)+IF(AND(V1619&lt;20,W1619&gt;=105),0.17,0)+IF(AND(V1619&gt;=20,V1619&lt;40,W1619&lt;45),0.3,0)+IF(AND(V1619&gt;=20,V1619&lt;40,W1619&gt;=45,W1619&lt;95),0.23,0)+IF(AND(V1619&gt;=20,V1619&lt;40,W1619&gt;=95,W1619&lt;=200),0.17,0)+IF(AND(V1619&gt;=20,V1619&lt;40,W1619&gt;=200),0.12,0)+IF(AND(V1619&gt;=40,V1619&lt;75,W1619&lt;35),0.3,0)+IF(AND(V1619&gt;=40,V1619&lt;75,W1619&gt;=35,W1619&lt;75),0.23,0)+IF(AND(V1619&gt;=40,V1619&lt;75,W1619&gt;=75,W1619&lt;120),0.17,0)+IF(AND(V1619&gt;=40,V1619&lt;75,W1619&gt;=120),0.12,0)+IF(AND(V1619&gt;=75,V1619&lt;175,W1619&lt;35),0.3,0)+IF(AND(V1619&gt;=75,V1619&lt;=175,W1619&gt;=35,W1619&lt;65),0.23,0)+IF(AND(V1619&gt;=75,V1619&lt;=175,W1619&gt;=65,W1619&lt;110),0.17,0)+IF(AND(V1619&gt;=75,V1619&lt;=175,W1619&gt;=110),0.12,0)+IF(AND(V1619&gt;175,W1619&lt;25),0.3,0)+IF(AND(V1619&gt;175,W1619&gt;=25,W1619&lt;55),0.23,0)+IF(AND(V1619&gt;175,W1619&gt;=55,W1619&lt;95),0.17,0)+IF(AND(V1619&gt;175,W1619&gt;=95),0.12,0),
IF(AF1619="DoEVLo",IF(AND(V1619&lt;20,W1619&lt;55),0.25,0)+IF(AND(V1619&lt;20,W1619&gt;=55,W1619&lt;105),0.2,0)+IF(AND(V1619&lt;20,W1619&gt;=105),0.15,0)+IF(AND(V1619&gt;=20,V1619&lt;40,W1619&lt;45),0.25,0)+IF(AND(V1619&gt;=20,V1619&lt;40,W1619&gt;=45,W1619&lt;95),0.2,0)+IF(AND(V1619&gt;=20,V1619&lt;40,W1619&gt;=95),0.15,0)+IF(AND(V1619&gt;=40,V1619&lt;75,W1619&lt;35),0.25,0)+IF(AND(V1619&gt;=40,V1619&lt;75,W1619&gt;=35,W1619&lt;75),0.2,0)+IF(AND(V1619&gt;=40,V1619&lt;75,W1619&gt;=75,W1619&lt;120),0.15,0)+IF(AND(V1619&gt;=40,V1619&lt;75,W1619&gt;=120),0.1,0)+IF(AND(V1619&gt;=75,V1619&lt;175,W1619&lt;35),0.25,0)+IF(AND(V1619&gt;=75,V1619&lt;=175,W1619&gt;=35,W1619&lt;65),0.2,0)+IF(AND(V1619&gt;=75,V1619&lt;=175,W1619&gt;=65,W1619&lt;110),0.15,0)+IF(AND(V1619&gt;=75,V1619&lt;=175,W1619&gt;=110),0.1,0)+IF(AND(V1619&gt;175,W1619&lt;25),0.25,0)+IF(AND(V1619&gt;175,W1619&gt;=25,W1619&lt;55),0.2,0)+IF(AND(V1619&gt;175,W1619&gt;=55,W1619&lt;95),0.15,0)+IF(AND(V1619&gt;175,W1619&gt;=95),0.1,0))))))))))))))))))))</f>
        <v>0.3</v>
      </c>
      <c r="Y1619" s="30">
        <f>IF(AG1619="None",0,IF(AG1619="Fix5",0.05, IF(AG1619="Fix6.25",0.0625,IF(AG1619="Fix3.75",0.0375, IF(AG1619="Fix11",0.11, IF(AG1619="Fix10",0.1,IF(AG1619="Fix3",0.03,0)))))))</f>
        <v>0</v>
      </c>
      <c r="Z1619" s="35">
        <f>IF(AND(AD1619="EUR", AE1619 = "USD"), T1619*U1619-AA1619-AB1619, T1619-AA1619-AB1619)</f>
        <v>59.975999999999992</v>
      </c>
      <c r="AA1619" s="29">
        <f>IF(AND(AD1619="EUR", F1619="Without EV deal", AE1619="USD"), (T1619*X1619)*U1619,
IF(AND(AD1619="EUR", F1619="Without EV deal", AE1619="EUR"), (T1619*X1619),
IF(AND(AD1619="EUR",AE1619="USD"), (T1619*X1619)*U1619,
T1619*X1619)))</f>
        <v>25.704000000000001</v>
      </c>
      <c r="AB1619" s="36">
        <f>IF(AND(AD1619="EUR", F1619="Without EV deal", AE1619="USD"), (T1619*Y1619)*U1619,
IF(AND(AD1619="EUR", F1619="Without EV deal", AE1619="EUR"), (T1619*Y1619),
IF(AND(AD1619="EUR",AE1619="USD"), (T1619*Y1619)*U1619,
T1619*Y1619)))</f>
        <v>0</v>
      </c>
      <c r="AC1619" s="37" t="b">
        <v>0</v>
      </c>
      <c r="AD1619" s="37" t="str">
        <f>IF(OR(H1619="€0.25 Flash",
H1619="€0.25(nitro) new",
H1619="€1",
H1619="€2",
H1619="€2 (bf 01.08)",
H1619="€5",
H1619="€5 (1M)",
H1619="€5 (bf 01.08)",
H1619="€5 (bf 05.05)",
H1619="€5 Nitro",
H1619="€5(wx) new",
H1619="€10",
H1619="€10 (1M)",
H1619="€10 (bf 01.08)",
H1619="€10 (bf 05.05)",
H1619="€10 (MP)",
H1619="€10 (old)",
H1619="€10 Nitro (bf 05.05)",
H1619="€10 Nitro (old)",
H1619="€10(wx) new",
H1619="€20",
H1619="€25",
H1619="€25 (bf 01.08)",
H1619="€25 (bf 05.05)",
H1619="€25 (MP)",
H1619="€25 (old)",
H1619="€25 Nitro",
H1619="€25 Nitro (bf 01.08)",
H1619="€25 Nitro (bf 05.05)",
H1619="€25(nitro) new",
H1619="€25(wx) new",
H1619="€50",
H1619="€50 (bf 01.08)",
H1619="€50 (bf 05.05)",
H1619="€50 (old)",
H1619="€50 Nitro",
H1619="€50 Nitro (bf 01.08)",
H1619="€50 Nitro (bf 05.05)",
H1619="€50(wx) new",
H1619="€100",
H1619="€100 (old)",
H1619="€100 Nitro",
H1619="€100 Nitro (old)",
H1619="€200",
H1619="€250",
H1619="€250 Nitro",
H1619="€500",
H1619="€500 Nitro"),"EUR", "USD")</f>
        <v>EUR</v>
      </c>
      <c r="AE1619" s="37" t="s">
        <v>38</v>
      </c>
      <c r="AF1619" s="37" t="str">
        <f t="array" ref="AF1619">INDEX('Deal Info'!D:D, MATCH(A1619,'Deal Info'!A:A, 0))</f>
        <v>SF</v>
      </c>
      <c r="AG1619" s="38" t="str">
        <f t="array" ref="AG1619">INDEX('Deal Info'!G:G, MATCH(A1619,'Deal Info'!A:A, 0))</f>
        <v>None</v>
      </c>
    </row>
    <row r="1620" spans="1:33" ht="14.25" x14ac:dyDescent="0.2">
      <c r="A1620" s="18" t="str">
        <f t="array" ref="A1620">IF(G1620='Room Info'!$B$1, INDEX('Room Info'!$A$2:$A2446, MATCH(B1620,'Room Info'!$B$2:$B2446, 0)),IF(G1620='Room Info'!$C$1, INDEX('Room Info'!$A$2:$A2446, MATCH(B1620,'Room Info'!$C$2:$C2446, 0)),IF(G1620='Room Info'!$D$1, INDEX('Room Info'!$A$2:$A2446, MATCH(B1620,'Room Info'!$D$2:$D2446, 0)),IF(G1620='Room Info'!$E$1, INDEX('Room Info'!$A$2:$A2446, MATCH(B1620,'Room Info'!$E$2:$E2446, 0)),IF(G1620='Room Info'!$F$1, INDEX('Room Info'!$A$2:$A2446, MATCH(B1620,'Room Info'!$F$2:$F2446, 0)),IF(G1620='Room Info'!$H$1, INDEX('Room Info'!$A$2:$A2446, MATCH(B1620,'Room Info'!$H$2:$H2446, 0)),IF(G1620='Room Info'!$G$1, INDEX('Room Info'!$A$2:$A2446, MATCH(B1620,'Room Info'!$G$2:$G2446, 0)))))))))</f>
        <v>eternity1</v>
      </c>
      <c r="B1620" s="96" t="s">
        <v>180</v>
      </c>
      <c r="C1620" s="46">
        <v>44978</v>
      </c>
      <c r="D1620" s="46">
        <v>45005</v>
      </c>
      <c r="E1620" s="80">
        <v>44986</v>
      </c>
      <c r="F1620" s="133" t="s">
        <v>34</v>
      </c>
      <c r="G1620" s="129" t="s">
        <v>61</v>
      </c>
      <c r="H1620" s="81" t="s">
        <v>201</v>
      </c>
      <c r="I1620" s="100" t="s">
        <v>101</v>
      </c>
      <c r="J1620" s="39">
        <v>10</v>
      </c>
      <c r="K1620" s="51">
        <v>5063</v>
      </c>
      <c r="L1620" s="52">
        <v>2078</v>
      </c>
      <c r="M1620" s="62">
        <v>1035</v>
      </c>
      <c r="N1620" s="28">
        <f>K1620*J1620</f>
        <v>50630</v>
      </c>
      <c r="O1620" s="54">
        <v>254972</v>
      </c>
      <c r="P1620" s="29">
        <v>50.359865689999999</v>
      </c>
      <c r="Q1620" s="55"/>
      <c r="R1620" s="31">
        <f>M1620+Q1620*J1620*K1620*0.07</f>
        <v>1035</v>
      </c>
      <c r="S1620" s="118">
        <v>433</v>
      </c>
      <c r="T1620" s="32">
        <f>IF(AND(AD1620="EUR", F1620="Without EV deal"), R1620 + L1620,
IF(AND(AD1620="USD", F1620="Without EV deal"), R1620 + L1620,
IF(AND(AD1620="EUR", F1620="Steel Phoenix"), R1620 + S1620/U1620,
R1620 + S1620)))</f>
        <v>1439.2950513538749</v>
      </c>
      <c r="U1620" s="57">
        <v>1.071</v>
      </c>
      <c r="V1620" s="58">
        <v>10</v>
      </c>
      <c r="W1620" s="58">
        <v>143.9295051353875</v>
      </c>
      <c r="X1620" s="30">
        <f>IF(AF1620="DoEV",IF(AND(V1620&lt;20,W1620&lt;55),0.3,0)+IF(AND(V1620&lt;20,W1620&gt;=55,W1620&lt;105),0.23,0)+IF(AND(V1620&lt;20,W1620&gt;=105),0.17,0)+IF(AND(V1620&gt;=20,V1620&lt;40,W1620&lt;45),0.3,0)+IF(AND(V1620&gt;=20,V1620&lt;40,W1620&gt;=45,W1620&lt;95),0.23,0)+IF(AND(V1620&gt;=20,V1620&lt;40,W1620&gt;=95),0.17,0)+IF(AND(V1620&gt;=40,V1620&lt;75,W1620&lt;35),0.3,0)+IF(AND(V1620&gt;=40,V1620&lt;75,W1620&gt;=35,W1620&lt;75),0.23,0)+IF(AND(V1620&gt;=40,V1620&lt;75,W1620&gt;=75,W1620&lt;120),0.17,0)+IF(AND(V1620&gt;=40,V1620&lt;75,W1620&gt;=120),0.12,0)+IF(AND(V1620&gt;=75,V1620&lt;175,W1620&lt;35),0.3,0)+IF(AND(V1620&gt;=75,V1620&lt;=175,W1620&gt;=35,W1620&lt;65),0.23,0)+IF(AND(V1620&gt;=75,V1620&lt;=175,W1620&gt;=65,W1620&lt;110),0.17,0)+IF(AND(V1620&gt;=75,V1620&lt;=175,W1620&gt;=110),0.12,0)+IF(AND(V1620&gt;175,W1620&lt;25),0.3,0)+IF(AND(V1620&gt;175,W1620&gt;=25,W1620&lt;55),0.23,0)+IF(AND(V1620&gt;175,W1620&gt;=55,W1620&lt;95),0.17,0)+IF(AND(V1620&gt;175,W1620&gt;=95),0.12,0),
IF(AF1620="Fix15",0.15,
IF(AF1620="Fix5",0.05,
IF(AF1620="Fix18.75",0.1875,
IF(AF1620="Fix11.25",0.1125,
IF(AF1620="Fix10",0.1,
IF(AF1620="Fix9",0.09,
IF(AF1620="Fix12",0.12,
IF(AF1620="Fix19",0.19,
IF(AF1620="DoEV2017",IF(AND(W1620&lt;74),0.2,0)+IF(AND(W1620&gt;=74),0.17,0),
IF(AF1620="SF",IF(AND(V1620&lt;20,W1620&lt;89),0.3,0)+IF(AND(V1620&lt;20,W1620&gt;=89),0.25,0)+IF(AND(V1620&gt;=20,V1620&lt;40,W1620&lt;74),0.3,0)+IF(AND(V1620&gt;=20,V1620&lt;40,W1620&gt;=75),0.22,0)+IF(AND(V1620&gt;=40,V1620&lt;75,W1620&lt;75),0.26,0)+IF(AND(V1620&gt;=40,V1620&lt;75,W1620&gt;=75),0.22,0)+IF(V1620&gt;=75,0.22,0),
IF(AF1620="DoEVold",IF(AND(V1620&lt;40,W1620&lt;35),0.35,0)+IF(AND(V1620&lt;40,W1620&gt;=35,W1620&lt;75),0.25,0)+IF(AND(V1620&lt;40,W1620&gt;=75),0.17,0)+IF(AND(V1620&gt;=40,V1620&lt;75,W1620&lt;25),0.35,0)+IF(AND(V1620&gt;=40,V1620&lt;75,W1620&gt;=25,W1620&lt;65),0.25,0)+IF(AND(V1620&gt;=40,V1620&lt;75,W1620&gt;=65,W1620&lt;100),0.17,0)+IF(AND(V1620&gt;=40,V1620&lt;75,W1620&gt;=100),0.1,0)+IF(AND(V1620&gt;=75,W1620&lt;25),0.35,0)+IF(AND(V1620&gt;=75,W1620&gt;=25,W1620&lt;60),0.25,0)+IF(AND(V1620&gt;=75,W1620&gt;=60,W1620&lt;95),0.17,0)+IF(AND(V1620&gt;=75,W1620&gt;=95),0.1,0),
IF(AF1620="DoEVold15",IF(AND(V1620&lt;=40,W1620&lt;35),0.35,0)+IF(AND(V1620&lt;=40,W1620&gt;=35,W1620&lt;75),0.25,0)+IF(AND(V1620&lt;=40,W1620&gt;=75,W1620&lt;120),0.17,0)+IF(AND(V1620&lt;=40,W1620&gt;=120),0.15,0)+IF(AND(V1620&gt;40,V1620&lt;75,W1620&lt;25),0.35,0)+IF(AND(V1620&gt;=40,V1620&lt;75,W1620&gt;=25,W1620&lt;65),0.25,0)+IF(AND(V1620&gt;=40,V1620&lt;75,W1620&gt;=65,W1620&lt;100),0.17,0)+IF(AND(V1620&gt;=40,V1620&lt;75,W1620&gt;=100),0.1,0)+IF(AND(V1620&gt;=75,W1620&lt;25),0.35,0)+IF(AND(V1620&gt;=75,W1620&gt;=25,W1620&lt;60),0.25,0)+IF(AND(V1620&gt;=75,W1620&gt;=60,W1620&lt;95),0.17,0)+IF(AND(V1620&gt;=75,W1620&gt;=95),0.1,0),
IF(AF1620="DoEVba",IF(AND(V1620&lt;20,W1620&lt;105),0.2,0)+IF(AND(V1620&lt;20,W1620&gt;=105),0.15,0)+IF(AND(V1620&gt;=20,V1620&lt;40,W1620&lt;95),0.2,0)+IF(AND(V1620&gt;=20,V1620&lt;40,W1620&gt;=95,W1620&lt;150),0.15,0)+IF(AND(V1620&gt;=20,V1620&lt;40,W1620&gt;=150),0.12,0)+IF(AND(V1620&gt;=40,V1620&lt;75,W1620&lt;75),0.2,0)+IF(AND(V1620&gt;=40,V1620&lt;75,W1620&gt;=75,W1620&lt;120),0.15,0)+IF(AND(V1620&gt;=40,V1620&lt;75,W1620&gt;=120),0.12,0)+IF(AND(V1620&gt;=75,V1620&lt;175,W1620&lt;65),0.2,0)+IF(AND(V1620&gt;=75,V1620&lt;175,W1620&gt;=65,W1620&lt;110),0.15,0)+IF(AND(V1620&gt;=75,V1620&lt;175,W1620&gt;=110),0.12,0)+IF(AND(V1620&gt;=175,W1620&lt;55),0.2,0)+IF(AND(V1620&gt;=175,W1620&gt;=55,W1620&lt;95),0.15,0)+IF(AND(V1620&gt;=175,W1620&gt;=95),0.12,0),
IF(AF1620="DoEVku",IF(AND(V1620&lt;20,W1620&lt;55),0.23,0)+IF(AND(V1620&lt;20,W1620&gt;=55,W1620&lt;105),0.2,0)+IF(AND(V1620&lt;20,W1620&gt;=105),0.17,0)+IF(AND(V1620&gt;=20,V1620&lt;40,W1620&lt;45),0.23,0)+IF(AND(V1620&gt;=20,V1620&lt;40,W1620&gt;=45,W1620&lt;95),0.2,0)+IF(AND(V1620&gt;=20,V1620&lt;40,W1620&gt;=95,W1620&lt;=150),0.17,0)+IF(AND(V1620&gt;=20,V1620&lt;40,W1620&gt;=150),0.12,0)+IF(AND(V1620&gt;=40,V1620&lt;75,W1620&lt;35),0.23,0)+IF(AND(V1620&gt;=40,V1620&lt;75,W1620&gt;=35,W1620&lt;75),0.2,0)+IF(AND(V1620&gt;=40,V1620&lt;75,W1620&gt;=75,W1620&lt;120),0.17,0)+IF(AND(V1620&gt;=40,V1620&lt;75,W1620&gt;=120),0.12,0)+IF(AND(V1620&gt;=75,V1620&lt;175,W1620&lt;35),0.23,0)+IF(AND(V1620&gt;=75,V1620&lt;=175,W1620&gt;=35,W1620&lt;65),0.2,0)+IF(AND(V1620&gt;=75,V1620&lt;=175,W1620&gt;=65,W1620&lt;110),0.17,0)+IF(AND(V1620&gt;=75,V1620&lt;=175,W1620&gt;=110),0.12,0)+IF(AND(V1620&gt;175,W1620&lt;25),0.23,0)+IF(AND(V1620&gt;175,W1620&gt;=25,W1620&lt;55),0.2,0)+IF(AND(V1620&gt;175,W1620&gt;=55,W1620&lt;95),0.17,0)+IF(AND(V1620&gt;175,W1620&gt;=95),0.12,0),
IF(AF1620="DoEVs1",IF(AND(V1620&lt;20,W1620&lt;55),0.3,0)+IF(AND(V1620&lt;20,W1620&gt;=55,W1620&lt;105),0.23,0)+IF(AND(V1620&lt;20,W1620&gt;=105),0.17,0)+IF(AND(V1620&gt;=20,V1620&lt;40,W1620&lt;45),0.3,0)+IF(AND(V1620&gt;=20,V1620&lt;40,W1620&gt;=45,W1620&lt;95),0.23,0)+IF(AND(V1620&gt;=20,V1620&lt;40,W1620&gt;=95,W1620&lt;=150),0.17,0)+IF(AND(V1620&gt;=20,V1620&lt;40,W1620&gt;=150),0.12,0)+IF(AND(V1620&gt;=40,V1620&lt;75,W1620&lt;35),0.3,0)+IF(AND(V1620&gt;=40,V1620&lt;75,W1620&gt;=35,W1620&lt;75),0.23,0)+IF(AND(V1620&gt;=40,V1620&lt;75,W1620&gt;=75,W1620&lt;120),0.17,0)+IF(AND(V1620&gt;=40,V1620&lt;75,W1620&gt;=120),0.12,0)+IF(AND(V1620&gt;=75,V1620&lt;175,W1620&lt;35),0.3,0)+IF(AND(V1620&gt;=75,V1620&lt;=175,W1620&gt;=35,W1620&lt;65),0.23,0)+IF(AND(V1620&gt;=75,V1620&lt;=175,W1620&gt;=65,W1620&lt;110),0.17,0)+IF(AND(V1620&gt;=75,V1620&lt;=175,W1620&gt;=110),0.12,0)+IF(AND(V1620&gt;175,W1620&lt;25),0.3,0)+IF(AND(V1620&gt;175,W1620&gt;=25,W1620&lt;55),0.23,0)+IF(AND(V1620&gt;175,W1620&gt;=55,W1620&lt;95),0.17,0)+IF(AND(V1620&gt;175,W1620&gt;=95),0.12,0),
IF(AF1620="DoEVsu",IF(AND(V1620&lt;20,W1620&lt;55),0.3,0)+IF(AND(V1620&lt;20,W1620&gt;=55,W1620&lt;105),0.23,0)+IF(AND(V1620&lt;20,W1620&gt;=105),0.17,0)+IF(AND(V1620&gt;=20,V1620&lt;40,W1620&lt;45),0.3,0)+IF(AND(V1620&gt;=20,V1620&lt;40,W1620&gt;=45,W1620&lt;95),0.23,0)+IF(AND(V1620&gt;=20,V1620&lt;40,W1620&gt;=95,W1620&lt;=250),0.17,0)+IF(AND(V1620&gt;=20,V1620&lt;40,W1620&gt;=250),0.12,0)+IF(AND(V1620&gt;=40,V1620&lt;75,W1620&lt;35),0.3,0)+IF(AND(V1620&gt;=40,V1620&lt;75,W1620&gt;=35,W1620&lt;75),0.23,0)+IF(AND(V1620&gt;=40,V1620&lt;75,W1620&gt;=75,W1620&lt;120),0.17,0)+IF(AND(V1620&gt;=40,V1620&lt;75,W1620&gt;=120),0.12,0)+IF(AND(V1620&gt;=75,V1620&lt;175,W1620&lt;35),0.3,0)+IF(AND(V1620&gt;=75,V1620&lt;=175,W1620&gt;=35,W1620&lt;65),0.23,0)+IF(AND(V1620&gt;=75,V1620&lt;=175,W1620&gt;=65,W1620&lt;110),0.17,0)+IF(AND(V1620&gt;=75,V1620&lt;=175,W1620&gt;=110),0.12,0)+IF(AND(V1620&gt;175,W1620&lt;25),0.3,0)+IF(AND(V1620&gt;175,W1620&gt;=25,W1620&lt;55),0.23,0)+IF(AND(V1620&gt;175,W1620&gt;=55,W1620&lt;95),0.17,0)+IF(AND(V1620&gt;175,W1620&gt;=95),0.12,0),
IF(AF1620="DoEVni",IF(AND(V1620&lt;20,W1620&lt;55),0.3,0)+IF(AND(V1620&lt;20,W1620&gt;=55,W1620&lt;105),0.23,0)+IF(AND(V1620&lt;20,W1620&gt;=105),0.17,0)+IF(AND(V1620&gt;=20,V1620&lt;40,W1620&lt;45),0.3,0)+IF(AND(V1620&gt;=20,V1620&lt;40,W1620&gt;=45,W1620&lt;95),0.23,0)+IF(AND(V1620&gt;=20,V1620&lt;40,W1620&gt;=95,W1620&lt;=200),0.17,0)+IF(AND(V1620&gt;=20,V1620&lt;40,W1620&gt;=200),0.12,0)+IF(AND(V1620&gt;=40,V1620&lt;75,W1620&lt;35),0.3,0)+IF(AND(V1620&gt;=40,V1620&lt;75,W1620&gt;=35,W1620&lt;75),0.23,0)+IF(AND(V1620&gt;=40,V1620&lt;75,W1620&gt;=75,W1620&lt;120),0.17,0)+IF(AND(V1620&gt;=40,V1620&lt;75,W1620&gt;=120),0.12,0)+IF(AND(V1620&gt;=75,V1620&lt;175,W1620&lt;35),0.3,0)+IF(AND(V1620&gt;=75,V1620&lt;=175,W1620&gt;=35,W1620&lt;65),0.23,0)+IF(AND(V1620&gt;=75,V1620&lt;=175,W1620&gt;=65,W1620&lt;110),0.17,0)+IF(AND(V1620&gt;=75,V1620&lt;=175,W1620&gt;=110),0.12,0)+IF(AND(V1620&gt;175,W1620&lt;25),0.3,0)+IF(AND(V1620&gt;175,W1620&gt;=25,W1620&lt;55),0.23,0)+IF(AND(V1620&gt;175,W1620&gt;=55,W1620&lt;95),0.17,0)+IF(AND(V1620&gt;175,W1620&gt;=95),0.12,0),
IF(AF1620="DoEVLo",IF(AND(V1620&lt;20,W1620&lt;55),0.25,0)+IF(AND(V1620&lt;20,W1620&gt;=55,W1620&lt;105),0.2,0)+IF(AND(V1620&lt;20,W1620&gt;=105),0.15,0)+IF(AND(V1620&gt;=20,V1620&lt;40,W1620&lt;45),0.25,0)+IF(AND(V1620&gt;=20,V1620&lt;40,W1620&gt;=45,W1620&lt;95),0.2,0)+IF(AND(V1620&gt;=20,V1620&lt;40,W1620&gt;=95),0.15,0)+IF(AND(V1620&gt;=40,V1620&lt;75,W1620&lt;35),0.25,0)+IF(AND(V1620&gt;=40,V1620&lt;75,W1620&gt;=35,W1620&lt;75),0.2,0)+IF(AND(V1620&gt;=40,V1620&lt;75,W1620&gt;=75,W1620&lt;120),0.15,0)+IF(AND(V1620&gt;=40,V1620&lt;75,W1620&gt;=120),0.1,0)+IF(AND(V1620&gt;=75,V1620&lt;175,W1620&lt;35),0.25,0)+IF(AND(V1620&gt;=75,V1620&lt;=175,W1620&gt;=35,W1620&lt;65),0.2,0)+IF(AND(V1620&gt;=75,V1620&lt;=175,W1620&gt;=65,W1620&lt;110),0.15,0)+IF(AND(V1620&gt;=75,V1620&lt;=175,W1620&gt;=110),0.1,0)+IF(AND(V1620&gt;175,W1620&lt;25),0.25,0)+IF(AND(V1620&gt;175,W1620&gt;=25,W1620&lt;55),0.2,0)+IF(AND(V1620&gt;175,W1620&gt;=55,W1620&lt;95),0.15,0)+IF(AND(V1620&gt;175,W1620&gt;=95),0.1,0))))))))))))))))))))</f>
        <v>0.17</v>
      </c>
      <c r="Y1620" s="30">
        <f>IF(AG1620="None",0,IF(AG1620="Fix5",0.05, IF(AG1620="Fix6.25",0.0625,IF(AG1620="Fix3.75",0.0375, IF(AG1620="Fix11",0.11, IF(AG1620="Fix10",0.1,IF(AG1620="Fix3",0.03,0)))))))</f>
        <v>0</v>
      </c>
      <c r="Z1620" s="35">
        <f>IF(AND(AD1620="EUR", AE1620 = "USD"), T1620*U1620-AA1620-AB1620, T1620-AA1620-AB1620)</f>
        <v>1194.6148926237161</v>
      </c>
      <c r="AA1620" s="29">
        <f>IF(AND(AD1620="EUR", F1620="Without EV deal", AE1620="USD"), (T1620*X1620)*U1620,
IF(AND(AD1620="EUR", F1620="Without EV deal", AE1620="EUR"), (T1620*X1620),
IF(AND(AD1620="EUR",AE1620="USD"), (T1620*X1620)*U1620,
T1620*X1620)))</f>
        <v>244.68015873015875</v>
      </c>
      <c r="AB1620" s="36">
        <f>IF(AND(AD1620="EUR", F1620="Without EV deal", AE1620="USD"), (T1620*Y1620)*U1620,
IF(AND(AD1620="EUR", F1620="Without EV deal", AE1620="EUR"), (T1620*Y1620),
IF(AND(AD1620="EUR",AE1620="USD"), (T1620*Y1620)*U1620,
T1620*Y1620)))</f>
        <v>0</v>
      </c>
      <c r="AC1620" s="37" t="b">
        <v>0</v>
      </c>
      <c r="AD1620" s="82" t="str">
        <f>IF(OR(H1620="€0.25 Flash",
H1620="€0.25(nitro) new",
H1620="€1",
H1620="€2",
H1620="€2 (bf 01.08)",
H1620="€5",
H1620="€5 (1M)",
H1620="€5 (bf 01.08)",
H1620="€5 (bf 05.05)",
H1620="€5 Nitro",
H1620="€5(wx) new",
H1620="€10",
H1620="€10 (1M)",
H1620="€10 (bf 01.08)",
H1620="€10 (bf 05.05)",
H1620="€10 (MP)",
H1620="€10 (old)",
H1620="€10 Nitro (bf 05.05)",
H1620="€10 Nitro (old)",
H1620="€10(wx) new",
H1620="€20",
H1620="€25",
H1620="€25 (bf 01.08)",
H1620="€25 (bf 05.05)",
H1620="€25 (MP)",
H1620="€25 (old)",
H1620="€25 Nitro",
H1620="€25 Nitro (bf 01.08)",
H1620="€25 Nitro (bf 05.05)",
H1620="€25(nitro) new",
H1620="€25(wx) new",
H1620="€50",
H1620="€50 (bf 01.08)",
H1620="€50 (bf 05.05)",
H1620="€50 (old)",
H1620="€50 Nitro",
H1620="€50 Nitro (bf 01.08)",
H1620="€50 Nitro (bf 05.05)",
H1620="€50(wx) new",
H1620="€100",
H1620="€100 (old)",
H1620="€100 Nitro",
H1620="€100 Nitro (old)",
H1620="€200",
H1620="€250",
H1620="€250 Nitro",
H1620="€500",
H1620="€500 Nitro"),"EUR", "USD")</f>
        <v>EUR</v>
      </c>
      <c r="AE1620" s="83" t="s">
        <v>50</v>
      </c>
      <c r="AF1620" s="83" t="str">
        <f t="array" ref="AF1620">INDEX('Deal Info'!D:D, MATCH(A1620,'Deal Info'!A:A, 0))</f>
        <v>DoEV</v>
      </c>
      <c r="AG1620" s="84" t="str">
        <f t="array" ref="AG1620">INDEX('Deal Info'!G:G, MATCH(A1620,'Deal Info'!A:A, 0))</f>
        <v>None</v>
      </c>
    </row>
    <row r="1621" spans="1:33" ht="14.25" x14ac:dyDescent="0.2">
      <c r="A1621" s="18" t="str">
        <f t="array" ref="A1621">IF(G1621='Room Info'!$B$1, INDEX('Room Info'!$A$2:$A2446, MATCH(B1621,'Room Info'!$B$2:$B2446, 0)),IF(G1621='Room Info'!$C$1, INDEX('Room Info'!$A$2:$A2446, MATCH(B1621,'Room Info'!$C$2:$C2446, 0)),IF(G1621='Room Info'!$D$1, INDEX('Room Info'!$A$2:$A2446, MATCH(B1621,'Room Info'!$D$2:$D2446, 0)),IF(G1621='Room Info'!$E$1, INDEX('Room Info'!$A$2:$A2446, MATCH(B1621,'Room Info'!$E$2:$E2446, 0)),IF(G1621='Room Info'!$F$1, INDEX('Room Info'!$A$2:$A2446, MATCH(B1621,'Room Info'!$F$2:$F2446, 0)),IF(G1621='Room Info'!$H$1, INDEX('Room Info'!$A$2:$A2446, MATCH(B1621,'Room Info'!$H$2:$H2446, 0)),IF(G1621='Room Info'!$G$1, INDEX('Room Info'!$A$2:$A2446, MATCH(B1621,'Room Info'!$G$2:$G2446, 0)))))))))</f>
        <v>Freedoom</v>
      </c>
      <c r="B1621" s="101" t="s">
        <v>110</v>
      </c>
      <c r="C1621" s="111">
        <v>44593</v>
      </c>
      <c r="D1621" s="111">
        <v>44620</v>
      </c>
      <c r="E1621" s="47" t="s">
        <v>151</v>
      </c>
      <c r="F1621" s="133" t="s">
        <v>49</v>
      </c>
      <c r="G1621" s="65" t="s">
        <v>61</v>
      </c>
      <c r="H1621" s="110" t="s">
        <v>65</v>
      </c>
      <c r="I1621" s="110" t="s">
        <v>37</v>
      </c>
      <c r="J1621" s="50">
        <v>25</v>
      </c>
      <c r="K1621" s="51">
        <v>129</v>
      </c>
      <c r="L1621" s="52">
        <v>600</v>
      </c>
      <c r="M1621" s="53">
        <v>159</v>
      </c>
      <c r="N1621" s="28">
        <f>K1621*J1621</f>
        <v>3225</v>
      </c>
      <c r="O1621" s="65">
        <v>13743</v>
      </c>
      <c r="P1621" s="29">
        <v>106.53488369999999</v>
      </c>
      <c r="Q1621" s="55"/>
      <c r="R1621" s="31">
        <f>M1621+Q1621</f>
        <v>159</v>
      </c>
      <c r="S1621" s="56">
        <v>337</v>
      </c>
      <c r="T1621" s="32">
        <f>R1621+S1621+IF(F1621="Without EV deal",L1621,0)</f>
        <v>496</v>
      </c>
      <c r="U1621" s="57">
        <v>1</v>
      </c>
      <c r="V1621" s="69"/>
      <c r="W1621" s="69"/>
      <c r="X1621" s="30">
        <f>IF(AF1621="DoEV",IF(AND(V1621&lt;20,W1621&lt;55),0.3,0)+IF(AND(V1621&lt;20,W1621&gt;=55,W1621&lt;105),0.23,0)+IF(AND(V1621&lt;20,W1621&gt;=105),0.17,0)+IF(AND(V1621&gt;=20,V1621&lt;40,W1621&lt;45),0.3,0)+IF(AND(V1621&gt;=20,V1621&lt;40,W1621&gt;=45,W1621&lt;95),0.23,0)+IF(AND(V1621&gt;=20,V1621&lt;40,W1621&gt;=95),0.17,0)+IF(AND(V1621&gt;=40,V1621&lt;75,W1621&lt;35),0.3,0)+IF(AND(V1621&gt;=40,V1621&lt;75,W1621&gt;=35,W1621&lt;75),0.23,0)+IF(AND(V1621&gt;=40,V1621&lt;75,W1621&gt;=75,W1621&lt;120),0.17,0)+IF(AND(V1621&gt;=40,V1621&lt;75,W1621&gt;=120),0.12,0)+IF(AND(V1621&gt;=75,V1621&lt;175,W1621&lt;35),0.3,0)+IF(AND(V1621&gt;=75,V1621&lt;=175,W1621&gt;=35,W1621&lt;65),0.23,0)+IF(AND(V1621&gt;=75,V1621&lt;=175,W1621&gt;=65,W1621&lt;110),0.17,0)+IF(AND(V1621&gt;=75,V1621&lt;=175,W1621&gt;=110),0.12,0)+IF(AND(V1621&gt;175,W1621&lt;25),0.3,0)+IF(AND(V1621&gt;175,W1621&gt;=25,W1621&lt;55),0.23,0)+IF(AND(V1621&gt;175,W1621&gt;=55,W1621&lt;95),0.17,0)+IF(AND(V1621&gt;175,W1621&gt;=95),0.12,0),
IF(AF1621="Fix15",0.15,
IF(AF1621="Fix11.25",0.1125,
IF(AF1621="Fix10",0.1,
IF(AF1621="Fix9",0.09,
IF(AF1621="DoEV2017",IF(AND(W1621&lt;74),0.2,0)+IF(AND(W1621&gt;=74),0.17,0),
IF(AF1621="SF",IF(AND(V1621&lt;20,W1621&lt;89),0.3,0)+IF(AND(V1621&lt;20,W1621&gt;=89),0.25,0)+IF(AND(V1621&gt;=20,V1621&lt;40,W1621&lt;74),0.3,0)+IF(AND(V1621&gt;=20,V1621&lt;40,W1621&gt;=75),0.22,0)+IF(AND(V1621&gt;=40,V1621&lt;75,W1621&lt;75),0.26,0)+IF(AND(V1621&gt;=40,V1621&lt;75,W1621&gt;=75),0.22,0)+IF(V1621&gt;=75,0.22,0),
IF(AF1621="DoEVold",IF(AND(V1621&lt;40,W1621&lt;35),0.35,0)+IF(AND(V1621&lt;40,W1621&gt;=35,W1621&lt;75),0.25,0)+IF(AND(V1621&lt;40,W1621&gt;=75),0.17,0)+IF(AND(V1621&gt;=40,V1621&lt;75,W1621&lt;25),0.35,0)+IF(AND(V1621&gt;=40,V1621&lt;75,W1621&gt;=25,W1621&lt;65),0.25,0)+IF(AND(V1621&gt;=40,V1621&lt;75,W1621&gt;=65,W1621&lt;100),0.17,0)+IF(AND(V1621&gt;=40,V1621&lt;75,W1621&gt;=100),0.1,0)+IF(AND(V1621&gt;=75,W1621&lt;25),0.35,0)+IF(AND(V1621&gt;=75,W1621&gt;=25,W1621&lt;60),0.25,0)+IF(AND(V1621&gt;=75,W1621&gt;=60,W1621&lt;95),0.17,0)+IF(AND(V1621&gt;=75,W1621&gt;=95),0.1,0),
IF(AF1621="DoEVold15",IF(AND(V1621&lt;=40,W1621&lt;35),0.35,0)+IF(AND(V1621&lt;=40,W1621&gt;=35,W1621&lt;75),0.25,0)+IF(AND(V1621&lt;=40,W1621&gt;=75,W1621&lt;120),0.17,0)+IF(AND(V1621&lt;=40,W1621&gt;=120),0.15,0)+IF(AND(V1621&gt;40,V1621&lt;75,W1621&lt;25),0.35,0)+IF(AND(V1621&gt;=40,V1621&lt;75,W1621&gt;=25,W1621&lt;65),0.25,0)+IF(AND(V1621&gt;=40,V1621&lt;75,W1621&gt;=65,W1621&lt;100),0.17,0)+IF(AND(V1621&gt;=40,V1621&lt;75,W1621&gt;=100),0.1,0)+IF(AND(V1621&gt;=75,W1621&lt;25),0.35,0)+IF(AND(V1621&gt;=75,W1621&gt;=25,W1621&lt;60),0.25,0)+IF(AND(V1621&gt;=75,W1621&gt;=60,W1621&lt;95),0.17,0)+IF(AND(V1621&gt;=75,W1621&gt;=95),0.1,0),
IF(AF1621="DoEVba",IF(AND(V1621&lt;20,W1621&lt;105),0.2,0)+IF(AND(V1621&lt;20,W1621&gt;=105),0.15,0)+IF(AND(V1621&gt;=20,V1621&lt;40,W1621&lt;95),0.2,0)+IF(AND(V1621&gt;=20,V1621&lt;40,W1621&gt;=95,W1621&lt;150),0.15,0)+IF(AND(V1621&gt;=20,V1621&lt;40,W1621&gt;=150),0.12,0)+IF(AND(V1621&gt;=40,V1621&lt;75,W1621&lt;75),0.2,0)+IF(AND(V1621&gt;=40,V1621&lt;75,W1621&gt;=75,W1621&lt;120),0.15,0)+IF(AND(V1621&gt;=40,V1621&lt;75,W1621&gt;=120),0.12,0)+IF(AND(V1621&gt;=75,V1621&lt;175,W1621&lt;65),0.2,0)+IF(AND(V1621&gt;=75,V1621&lt;175,W1621&gt;=65,W1621&lt;110),0.15,0)+IF(AND(V1621&gt;=75,V1621&lt;175,W1621&gt;=110),0.12,0)+IF(AND(V1621&gt;=175,W1621&lt;55),0.2,0)+IF(AND(V1621&gt;=175,W1621&gt;=55,W1621&lt;95),0.15,0)+IF(AND(V1621&gt;=175,W1621&gt;=95),0.12,0),
IF(AF1621="DoEVku",IF(AND(V1621&lt;20,W1621&lt;55),0.23,0)+IF(AND(V1621&lt;20,W1621&gt;=55,W1621&lt;105),0.2,0)+IF(AND(V1621&lt;20,W1621&gt;=105),0.17,0)+IF(AND(V1621&gt;=20,V1621&lt;40,W1621&lt;45),0.23,0)+IF(AND(V1621&gt;=20,V1621&lt;40,W1621&gt;=45,W1621&lt;95),0.2,0)+IF(AND(V1621&gt;=20,V1621&lt;40,W1621&gt;=95,W1621&lt;=150),0.17,0)+IF(AND(V1621&gt;=20,V1621&lt;40,W1621&gt;=150),0.12,0)+IF(AND(V1621&gt;=40,V1621&lt;75,W1621&lt;35),0.23,0)+IF(AND(V1621&gt;=40,V1621&lt;75,W1621&gt;=35,W1621&lt;75),0.2,0)+IF(AND(V1621&gt;=40,V1621&lt;75,W1621&gt;=75,W1621&lt;120),0.17,0)+IF(AND(V1621&gt;=40,V1621&lt;75,W1621&gt;=120),0.12,0)+IF(AND(V1621&gt;=75,V1621&lt;175,W1621&lt;35),0.23,0)+IF(AND(V1621&gt;=75,V1621&lt;=175,W1621&gt;=35,W1621&lt;65),0.2,0)+IF(AND(V1621&gt;=75,V1621&lt;=175,W1621&gt;=65,W1621&lt;110),0.17,0)+IF(AND(V1621&gt;=75,V1621&lt;=175,W1621&gt;=110),0.12,0)+IF(AND(V1621&gt;175,W1621&lt;25),0.23,0)+IF(AND(V1621&gt;175,W1621&gt;=25,W1621&lt;55),0.2,0)+IF(AND(V1621&gt;175,W1621&gt;=55,W1621&lt;95),0.17,0)+IF(AND(V1621&gt;175,W1621&gt;=95),0.12,0),
IF(AF1621="DoEVs1",IF(AND(V1621&lt;20,W1621&lt;55),0.3,0)+IF(AND(V1621&lt;20,W1621&gt;=55,W1621&lt;105),0.23,0)+IF(AND(V1621&lt;20,W1621&gt;=105),0.17,0)+IF(AND(V1621&gt;=20,V1621&lt;40,W1621&lt;45),0.3,0)+IF(AND(V1621&gt;=20,V1621&lt;40,W1621&gt;=45,W1621&lt;95),0.23,0)+IF(AND(V1621&gt;=20,V1621&lt;40,W1621&gt;=95,W1621&lt;=150),0.17,0)+IF(AND(V1621&gt;=20,V1621&lt;40,W1621&gt;=150),0.12,0)+IF(AND(V1621&gt;=40,V1621&lt;75,W1621&lt;35),0.3,0)+IF(AND(V1621&gt;=40,V1621&lt;75,W1621&gt;=35,W1621&lt;75),0.23,0)+IF(AND(V1621&gt;=40,V1621&lt;75,W1621&gt;=75,W1621&lt;120),0.17,0)+IF(AND(V1621&gt;=40,V1621&lt;75,W1621&gt;=120),0.12,0)+IF(AND(V1621&gt;=75,V1621&lt;175,W1621&lt;35),0.3,0)+IF(AND(V1621&gt;=75,V1621&lt;=175,W1621&gt;=35,W1621&lt;65),0.23,0)+IF(AND(V1621&gt;=75,V1621&lt;=175,W1621&gt;=65,W1621&lt;110),0.17,0)+IF(AND(V1621&gt;=75,V1621&lt;=175,W1621&gt;=110),0.12,0)+IF(AND(V1621&gt;175,W1621&lt;25),0.3,0)+IF(AND(V1621&gt;175,W1621&gt;=25,W1621&lt;55),0.23,0)+IF(AND(V1621&gt;175,W1621&gt;=55,W1621&lt;95),0.17,0)+IF(AND(V1621&gt;175,W1621&gt;=95),0.12,0),
IF(AF1621="DoEVsu",IF(AND(V1621&lt;20,W1621&lt;55),0.3,0)+IF(AND(V1621&lt;20,W1621&gt;=55,W1621&lt;105),0.23,0)+IF(AND(V1621&lt;20,W1621&gt;=105),0.17,0)+IF(AND(V1621&gt;=20,V1621&lt;40,W1621&lt;45),0.3,0)+IF(AND(V1621&gt;=20,V1621&lt;40,W1621&gt;=45,W1621&lt;95),0.23,0)+IF(AND(V1621&gt;=20,V1621&lt;40,W1621&gt;=95,W1621&lt;=250),0.17,0)+IF(AND(V1621&gt;=20,V1621&lt;40,W1621&gt;=250),0.12,0)+IF(AND(V1621&gt;=40,V1621&lt;75,W1621&lt;35),0.3,0)+IF(AND(V1621&gt;=40,V1621&lt;75,W1621&gt;=35,W1621&lt;75),0.23,0)+IF(AND(V1621&gt;=40,V1621&lt;75,W1621&gt;=75,W1621&lt;120),0.17,0)+IF(AND(V1621&gt;=40,V1621&lt;75,W1621&gt;=120),0.12,0)+IF(AND(V1621&gt;=75,V1621&lt;175,W1621&lt;35),0.3,0)+IF(AND(V1621&gt;=75,V1621&lt;=175,W1621&gt;=35,W1621&lt;65),0.23,0)+IF(AND(V1621&gt;=75,V1621&lt;=175,W1621&gt;=65,W1621&lt;110),0.17,0)+IF(AND(V1621&gt;=75,V1621&lt;=175,W1621&gt;=110),0.12,0)+IF(AND(V1621&gt;175,W1621&lt;25),0.3,0)+IF(AND(V1621&gt;175,W1621&gt;=25,W1621&lt;55),0.23,0)+IF(AND(V1621&gt;175,W1621&gt;=55,W1621&lt;95),0.17,0)+IF(AND(V1621&gt;175,W1621&gt;=95),0.12,0),
IF(AF1621="DoEVni",IF(AND(V1621&lt;20,W1621&lt;55),0.3,0)+IF(AND(V1621&lt;20,W1621&gt;=55,W1621&lt;105),0.23,0)+IF(AND(V1621&lt;20,W1621&gt;=105),0.17,0)+IF(AND(V1621&gt;=20,V1621&lt;40,W1621&lt;45),0.3,0)+IF(AND(V1621&gt;=20,V1621&lt;40,W1621&gt;=45,W1621&lt;95),0.23,0)+IF(AND(V1621&gt;=20,V1621&lt;40,W1621&gt;=95,W1621&lt;=200),0.17,0)+IF(AND(V1621&gt;=20,V1621&lt;40,W1621&gt;=200),0.12,0)+IF(AND(V1621&gt;=40,V1621&lt;75,W1621&lt;35),0.3,0)+IF(AND(V1621&gt;=40,V1621&lt;75,W1621&gt;=35,W1621&lt;75),0.23,0)+IF(AND(V1621&gt;=40,V1621&lt;75,W1621&gt;=75,W1621&lt;120),0.17,0)+IF(AND(V1621&gt;=40,V1621&lt;75,W1621&gt;=120),0.12,0)+IF(AND(V1621&gt;=75,V1621&lt;175,W1621&lt;35),0.3,0)+IF(AND(V1621&gt;=75,V1621&lt;=175,W1621&gt;=35,W1621&lt;65),0.23,0)+IF(AND(V1621&gt;=75,V1621&lt;=175,W1621&gt;=65,W1621&lt;110),0.17,0)+IF(AND(V1621&gt;=75,V1621&lt;=175,W1621&gt;=110),0.12,0)+IF(AND(V1621&gt;175,W1621&lt;25),0.3,0)+IF(AND(V1621&gt;175,W1621&gt;=25,W1621&lt;55),0.23,0)+IF(AND(V1621&gt;175,W1621&gt;=55,W1621&lt;95),0.17,0)+IF(AND(V1621&gt;175,W1621&gt;=95),0.12,0),
IF(AF1621="DoEVLo",IF(AND(V1621&lt;20,W1621&lt;55),0.25,0)+IF(AND(V1621&lt;20,W1621&gt;=55,W1621&lt;105),0.2,0)+IF(AND(V1621&lt;20,W1621&gt;=105),0.15,0)+IF(AND(V1621&gt;=20,V1621&lt;40,W1621&lt;45),0.25,0)+IF(AND(V1621&gt;=20,V1621&lt;40,W1621&gt;=45,W1621&lt;95),0.2,0)+IF(AND(V1621&gt;=20,V1621&lt;40,W1621&gt;=95),0.15,0)+IF(AND(V1621&gt;=40,V1621&lt;75,W1621&lt;35),0.25,0)+IF(AND(V1621&gt;=40,V1621&lt;75,W1621&gt;=35,W1621&lt;75),0.2,0)+IF(AND(V1621&gt;=40,V1621&lt;75,W1621&gt;=75,W1621&lt;120),0.15,0)+IF(AND(V1621&gt;=40,V1621&lt;75,W1621&gt;=120),0.1,0)+IF(AND(V1621&gt;=75,V1621&lt;175,W1621&lt;35),0.25,0)+IF(AND(V1621&gt;=75,V1621&lt;=175,W1621&gt;=35,W1621&lt;65),0.2,0)+IF(AND(V1621&gt;=75,V1621&lt;=175,W1621&gt;=65,W1621&lt;110),0.15,0)+IF(AND(V1621&gt;=75,V1621&lt;=175,W1621&gt;=110),0.1,0)+IF(AND(V1621&gt;175,W1621&lt;25),0.25,0)+IF(AND(V1621&gt;175,W1621&gt;=25,W1621&lt;55),0.2,0)+IF(AND(V1621&gt;175,W1621&gt;=55,W1621&lt;95),0.15,0)+IF(AND(V1621&gt;175,W1621&gt;=95),0.1,0))))))))))))))))</f>
        <v>0.35</v>
      </c>
      <c r="Y1621" s="30">
        <f>IF(AG1621="None",0,IF(AG1621="Fix5",0.05,IF(AG1621="Fix3.75",0.0375,IF(AG1621="Fix10",0.1,IF(AG1621="Fix3",0.03,0)))))</f>
        <v>0</v>
      </c>
      <c r="Z1621" s="35">
        <v>372</v>
      </c>
      <c r="AA1621" s="29">
        <v>124</v>
      </c>
      <c r="AB1621" s="36">
        <f>IF(AD1621="EUR",((T1621-R1621)*Y1621)*U1621+(R1621*Y1621),(T1621*Y1621))</f>
        <v>0</v>
      </c>
      <c r="AC1621" s="37" t="b">
        <v>1</v>
      </c>
      <c r="AD1621" s="82" t="s">
        <v>38</v>
      </c>
      <c r="AE1621" s="82" t="s">
        <v>38</v>
      </c>
      <c r="AF1621" s="83" t="str">
        <f t="array" ref="AF1621">INDEX('Deal Info'!D:D, MATCH(A1621,'Deal Info'!A:A, 0))</f>
        <v>DoEVold</v>
      </c>
      <c r="AG1621" s="84" t="str">
        <f t="array" ref="AG1621">INDEX('Deal Info'!G:G, MATCH(A1621,'Deal Info'!A:A, 0))</f>
        <v>None</v>
      </c>
    </row>
    <row r="1622" spans="1:33" ht="14.25" hidden="1" x14ac:dyDescent="0.2">
      <c r="A1622" s="18" t="str">
        <f t="array" ref="A1622">IF(G1622='Room Info'!$B$1, INDEX('Room Info'!$A$2:$A2446, MATCH(B1622,'Room Info'!$B$2:$B2446, 0)),IF(G1622='Room Info'!$C$1, INDEX('Room Info'!$A$2:$A2446, MATCH(B1622,'Room Info'!$C$2:$C2446, 0)),IF(G1622='Room Info'!$D$1, INDEX('Room Info'!$A$2:$A2446, MATCH(B1622,'Room Info'!$D$2:$D2446, 0)),IF(G1622='Room Info'!$E$1, INDEX('Room Info'!$A$2:$A2446, MATCH(B1622,'Room Info'!$E$2:$E2446, 0)),IF(G1622='Room Info'!$F$1, INDEX('Room Info'!$A$2:$A2446, MATCH(B1622,'Room Info'!$F$2:$F2446, 0)),IF(G1622='Room Info'!$H$1, INDEX('Room Info'!$A$2:$A2446, MATCH(B1622,'Room Info'!$H$2:$H2446, 0)),IF(G1622='Room Info'!$G$1, INDEX('Room Info'!$A$2:$A2446, MATCH(B1622,'Room Info'!$G$2:$G2446, 0)))))))))</f>
        <v>DimanTT</v>
      </c>
      <c r="B1622" s="96" t="s">
        <v>236</v>
      </c>
      <c r="C1622" s="46">
        <v>44978</v>
      </c>
      <c r="D1622" s="46">
        <v>45005</v>
      </c>
      <c r="E1622" s="90">
        <v>44986</v>
      </c>
      <c r="F1622" s="48" t="s">
        <v>34</v>
      </c>
      <c r="G1622" s="45" t="s">
        <v>80</v>
      </c>
      <c r="H1622" s="49" t="s">
        <v>71</v>
      </c>
      <c r="I1622" s="49" t="s">
        <v>81</v>
      </c>
      <c r="J1622" s="39">
        <v>20</v>
      </c>
      <c r="K1622" s="51">
        <v>3955</v>
      </c>
      <c r="L1622" s="52">
        <v>-1660</v>
      </c>
      <c r="M1622" s="62">
        <f>3481.16+525</f>
        <v>4006.16</v>
      </c>
      <c r="N1622" s="28">
        <f>K1622*J1622</f>
        <v>79100</v>
      </c>
      <c r="O1622" s="54">
        <v>75811</v>
      </c>
      <c r="P1622" s="29">
        <v>19.16839444</v>
      </c>
      <c r="Q1622" s="55"/>
      <c r="R1622" s="31">
        <f>M1622+Q1622*J1622*K1622*0.07</f>
        <v>4006.16</v>
      </c>
      <c r="S1622" s="56">
        <v>-1223</v>
      </c>
      <c r="T1622" s="32">
        <f>IF(AND(AD1622="EUR", F1622="Without EV deal"), R1622 + L1622,
IF(AND(AD1622="USD", F1622="Without EV deal"), R1622 + L1622,
IF(AND(AD1622="EUR", F1622="Steel Phoenix"), R1622 + S1622/U1622,
R1622 + S1622)))</f>
        <v>2783.16</v>
      </c>
      <c r="U1622" s="57">
        <v>1.071</v>
      </c>
      <c r="V1622" s="69">
        <v>20</v>
      </c>
      <c r="W1622" s="69">
        <v>140.06799999999998</v>
      </c>
      <c r="X1622" s="30">
        <f>IF(AF1622="DoEV",IF(AND(V1622&lt;20,W1622&lt;55),0.3,0)+IF(AND(V1622&lt;20,W1622&gt;=55,W1622&lt;105),0.23,0)+IF(AND(V1622&lt;20,W1622&gt;=105),0.17,0)+IF(AND(V1622&gt;=20,V1622&lt;40,W1622&lt;45),0.3,0)+IF(AND(V1622&gt;=20,V1622&lt;40,W1622&gt;=45,W1622&lt;95),0.23,0)+IF(AND(V1622&gt;=20,V1622&lt;40,W1622&gt;=95),0.17,0)+IF(AND(V1622&gt;=40,V1622&lt;75,W1622&lt;35),0.3,0)+IF(AND(V1622&gt;=40,V1622&lt;75,W1622&gt;=35,W1622&lt;75),0.23,0)+IF(AND(V1622&gt;=40,V1622&lt;75,W1622&gt;=75,W1622&lt;120),0.17,0)+IF(AND(V1622&gt;=40,V1622&lt;75,W1622&gt;=120),0.12,0)+IF(AND(V1622&gt;=75,V1622&lt;175,W1622&lt;35),0.3,0)+IF(AND(V1622&gt;=75,V1622&lt;=175,W1622&gt;=35,W1622&lt;65),0.23,0)+IF(AND(V1622&gt;=75,V1622&lt;=175,W1622&gt;=65,W1622&lt;110),0.17,0)+IF(AND(V1622&gt;=75,V1622&lt;=175,W1622&gt;=110),0.12,0)+IF(AND(V1622&gt;175,W1622&lt;25),0.3,0)+IF(AND(V1622&gt;175,W1622&gt;=25,W1622&lt;55),0.23,0)+IF(AND(V1622&gt;175,W1622&gt;=55,W1622&lt;95),0.17,0)+IF(AND(V1622&gt;175,W1622&gt;=95),0.12,0),
IF(AF1622="Fix15",0.15,
IF(AF1622="Fix5",0.05,
IF(AF1622="Fix18.75",0.1875,
IF(AF1622="Fix11.25",0.1125,
IF(AF1622="Fix10",0.1,
IF(AF1622="Fix9",0.09,
IF(AF1622="Fix12",0.12,
IF(AF1622="Fix19",0.19,
IF(AF1622="DoEV2017",IF(AND(W1622&lt;74),0.2,0)+IF(AND(W1622&gt;=74),0.17,0),
IF(AF1622="SF",IF(AND(V1622&lt;20,W1622&lt;89),0.3,0)+IF(AND(V1622&lt;20,W1622&gt;=89),0.25,0)+IF(AND(V1622&gt;=20,V1622&lt;40,W1622&lt;74),0.3,0)+IF(AND(V1622&gt;=20,V1622&lt;40,W1622&gt;=75),0.22,0)+IF(AND(V1622&gt;=40,V1622&lt;75,W1622&lt;75),0.26,0)+IF(AND(V1622&gt;=40,V1622&lt;75,W1622&gt;=75),0.22,0)+IF(V1622&gt;=75,0.22,0),
IF(AF1622="DoEVold",IF(AND(V1622&lt;40,W1622&lt;35),0.35,0)+IF(AND(V1622&lt;40,W1622&gt;=35,W1622&lt;75),0.25,0)+IF(AND(V1622&lt;40,W1622&gt;=75),0.17,0)+IF(AND(V1622&gt;=40,V1622&lt;75,W1622&lt;25),0.35,0)+IF(AND(V1622&gt;=40,V1622&lt;75,W1622&gt;=25,W1622&lt;65),0.25,0)+IF(AND(V1622&gt;=40,V1622&lt;75,W1622&gt;=65,W1622&lt;100),0.17,0)+IF(AND(V1622&gt;=40,V1622&lt;75,W1622&gt;=100),0.1,0)+IF(AND(V1622&gt;=75,W1622&lt;25),0.35,0)+IF(AND(V1622&gt;=75,W1622&gt;=25,W1622&lt;60),0.25,0)+IF(AND(V1622&gt;=75,W1622&gt;=60,W1622&lt;95),0.17,0)+IF(AND(V1622&gt;=75,W1622&gt;=95),0.1,0),
IF(AF1622="DoEVold15",IF(AND(V1622&lt;=40,W1622&lt;35),0.35,0)+IF(AND(V1622&lt;=40,W1622&gt;=35,W1622&lt;75),0.25,0)+IF(AND(V1622&lt;=40,W1622&gt;=75,W1622&lt;120),0.17,0)+IF(AND(V1622&lt;=40,W1622&gt;=120),0.15,0)+IF(AND(V1622&gt;40,V1622&lt;75,W1622&lt;25),0.35,0)+IF(AND(V1622&gt;=40,V1622&lt;75,W1622&gt;=25,W1622&lt;65),0.25,0)+IF(AND(V1622&gt;=40,V1622&lt;75,W1622&gt;=65,W1622&lt;100),0.17,0)+IF(AND(V1622&gt;=40,V1622&lt;75,W1622&gt;=100),0.1,0)+IF(AND(V1622&gt;=75,W1622&lt;25),0.35,0)+IF(AND(V1622&gt;=75,W1622&gt;=25,W1622&lt;60),0.25,0)+IF(AND(V1622&gt;=75,W1622&gt;=60,W1622&lt;95),0.17,0)+IF(AND(V1622&gt;=75,W1622&gt;=95),0.1,0),
IF(AF1622="DoEVba",IF(AND(V1622&lt;20,W1622&lt;105),0.2,0)+IF(AND(V1622&lt;20,W1622&gt;=105),0.15,0)+IF(AND(V1622&gt;=20,V1622&lt;40,W1622&lt;95),0.2,0)+IF(AND(V1622&gt;=20,V1622&lt;40,W1622&gt;=95,W1622&lt;150),0.15,0)+IF(AND(V1622&gt;=20,V1622&lt;40,W1622&gt;=150),0.12,0)+IF(AND(V1622&gt;=40,V1622&lt;75,W1622&lt;75),0.2,0)+IF(AND(V1622&gt;=40,V1622&lt;75,W1622&gt;=75,W1622&lt;120),0.15,0)+IF(AND(V1622&gt;=40,V1622&lt;75,W1622&gt;=120),0.12,0)+IF(AND(V1622&gt;=75,V1622&lt;175,W1622&lt;65),0.2,0)+IF(AND(V1622&gt;=75,V1622&lt;175,W1622&gt;=65,W1622&lt;110),0.15,0)+IF(AND(V1622&gt;=75,V1622&lt;175,W1622&gt;=110),0.12,0)+IF(AND(V1622&gt;=175,W1622&lt;55),0.2,0)+IF(AND(V1622&gt;=175,W1622&gt;=55,W1622&lt;95),0.15,0)+IF(AND(V1622&gt;=175,W1622&gt;=95),0.12,0),
IF(AF1622="DoEVku",IF(AND(V1622&lt;20,W1622&lt;55),0.23,0)+IF(AND(V1622&lt;20,W1622&gt;=55,W1622&lt;105),0.2,0)+IF(AND(V1622&lt;20,W1622&gt;=105),0.17,0)+IF(AND(V1622&gt;=20,V1622&lt;40,W1622&lt;45),0.23,0)+IF(AND(V1622&gt;=20,V1622&lt;40,W1622&gt;=45,W1622&lt;95),0.2,0)+IF(AND(V1622&gt;=20,V1622&lt;40,W1622&gt;=95,W1622&lt;=150),0.17,0)+IF(AND(V1622&gt;=20,V1622&lt;40,W1622&gt;=150),0.12,0)+IF(AND(V1622&gt;=40,V1622&lt;75,W1622&lt;35),0.23,0)+IF(AND(V1622&gt;=40,V1622&lt;75,W1622&gt;=35,W1622&lt;75),0.2,0)+IF(AND(V1622&gt;=40,V1622&lt;75,W1622&gt;=75,W1622&lt;120),0.17,0)+IF(AND(V1622&gt;=40,V1622&lt;75,W1622&gt;=120),0.12,0)+IF(AND(V1622&gt;=75,V1622&lt;175,W1622&lt;35),0.23,0)+IF(AND(V1622&gt;=75,V1622&lt;=175,W1622&gt;=35,W1622&lt;65),0.2,0)+IF(AND(V1622&gt;=75,V1622&lt;=175,W1622&gt;=65,W1622&lt;110),0.17,0)+IF(AND(V1622&gt;=75,V1622&lt;=175,W1622&gt;=110),0.12,0)+IF(AND(V1622&gt;175,W1622&lt;25),0.23,0)+IF(AND(V1622&gt;175,W1622&gt;=25,W1622&lt;55),0.2,0)+IF(AND(V1622&gt;175,W1622&gt;=55,W1622&lt;95),0.17,0)+IF(AND(V1622&gt;175,W1622&gt;=95),0.12,0),
IF(AF1622="DoEVs1",IF(AND(V1622&lt;20,W1622&lt;55),0.3,0)+IF(AND(V1622&lt;20,W1622&gt;=55,W1622&lt;105),0.23,0)+IF(AND(V1622&lt;20,W1622&gt;=105),0.17,0)+IF(AND(V1622&gt;=20,V1622&lt;40,W1622&lt;45),0.3,0)+IF(AND(V1622&gt;=20,V1622&lt;40,W1622&gt;=45,W1622&lt;95),0.23,0)+IF(AND(V1622&gt;=20,V1622&lt;40,W1622&gt;=95,W1622&lt;=150),0.17,0)+IF(AND(V1622&gt;=20,V1622&lt;40,W1622&gt;=150),0.12,0)+IF(AND(V1622&gt;=40,V1622&lt;75,W1622&lt;35),0.3,0)+IF(AND(V1622&gt;=40,V1622&lt;75,W1622&gt;=35,W1622&lt;75),0.23,0)+IF(AND(V1622&gt;=40,V1622&lt;75,W1622&gt;=75,W1622&lt;120),0.17,0)+IF(AND(V1622&gt;=40,V1622&lt;75,W1622&gt;=120),0.12,0)+IF(AND(V1622&gt;=75,V1622&lt;175,W1622&lt;35),0.3,0)+IF(AND(V1622&gt;=75,V1622&lt;=175,W1622&gt;=35,W1622&lt;65),0.23,0)+IF(AND(V1622&gt;=75,V1622&lt;=175,W1622&gt;=65,W1622&lt;110),0.17,0)+IF(AND(V1622&gt;=75,V1622&lt;=175,W1622&gt;=110),0.12,0)+IF(AND(V1622&gt;175,W1622&lt;25),0.3,0)+IF(AND(V1622&gt;175,W1622&gt;=25,W1622&lt;55),0.23,0)+IF(AND(V1622&gt;175,W1622&gt;=55,W1622&lt;95),0.17,0)+IF(AND(V1622&gt;175,W1622&gt;=95),0.12,0),
IF(AF1622="DoEVsu",IF(AND(V1622&lt;20,W1622&lt;55),0.3,0)+IF(AND(V1622&lt;20,W1622&gt;=55,W1622&lt;105),0.23,0)+IF(AND(V1622&lt;20,W1622&gt;=105),0.17,0)+IF(AND(V1622&gt;=20,V1622&lt;40,W1622&lt;45),0.3,0)+IF(AND(V1622&gt;=20,V1622&lt;40,W1622&gt;=45,W1622&lt;95),0.23,0)+IF(AND(V1622&gt;=20,V1622&lt;40,W1622&gt;=95,W1622&lt;=250),0.17,0)+IF(AND(V1622&gt;=20,V1622&lt;40,W1622&gt;=250),0.12,0)+IF(AND(V1622&gt;=40,V1622&lt;75,W1622&lt;35),0.3,0)+IF(AND(V1622&gt;=40,V1622&lt;75,W1622&gt;=35,W1622&lt;75),0.23,0)+IF(AND(V1622&gt;=40,V1622&lt;75,W1622&gt;=75,W1622&lt;120),0.17,0)+IF(AND(V1622&gt;=40,V1622&lt;75,W1622&gt;=120),0.12,0)+IF(AND(V1622&gt;=75,V1622&lt;175,W1622&lt;35),0.3,0)+IF(AND(V1622&gt;=75,V1622&lt;=175,W1622&gt;=35,W1622&lt;65),0.23,0)+IF(AND(V1622&gt;=75,V1622&lt;=175,W1622&gt;=65,W1622&lt;110),0.17,0)+IF(AND(V1622&gt;=75,V1622&lt;=175,W1622&gt;=110),0.12,0)+IF(AND(V1622&gt;175,W1622&lt;25),0.3,0)+IF(AND(V1622&gt;175,W1622&gt;=25,W1622&lt;55),0.23,0)+IF(AND(V1622&gt;175,W1622&gt;=55,W1622&lt;95),0.17,0)+IF(AND(V1622&gt;175,W1622&gt;=95),0.12,0),
IF(AF1622="DoEVni",IF(AND(V1622&lt;20,W1622&lt;55),0.3,0)+IF(AND(V1622&lt;20,W1622&gt;=55,W1622&lt;105),0.23,0)+IF(AND(V1622&lt;20,W1622&gt;=105),0.17,0)+IF(AND(V1622&gt;=20,V1622&lt;40,W1622&lt;45),0.3,0)+IF(AND(V1622&gt;=20,V1622&lt;40,W1622&gt;=45,W1622&lt;95),0.23,0)+IF(AND(V1622&gt;=20,V1622&lt;40,W1622&gt;=95,W1622&lt;=200),0.17,0)+IF(AND(V1622&gt;=20,V1622&lt;40,W1622&gt;=200),0.12,0)+IF(AND(V1622&gt;=40,V1622&lt;75,W1622&lt;35),0.3,0)+IF(AND(V1622&gt;=40,V1622&lt;75,W1622&gt;=35,W1622&lt;75),0.23,0)+IF(AND(V1622&gt;=40,V1622&lt;75,W1622&gt;=75,W1622&lt;120),0.17,0)+IF(AND(V1622&gt;=40,V1622&lt;75,W1622&gt;=120),0.12,0)+IF(AND(V1622&gt;=75,V1622&lt;175,W1622&lt;35),0.3,0)+IF(AND(V1622&gt;=75,V1622&lt;=175,W1622&gt;=35,W1622&lt;65),0.23,0)+IF(AND(V1622&gt;=75,V1622&lt;=175,W1622&gt;=65,W1622&lt;110),0.17,0)+IF(AND(V1622&gt;=75,V1622&lt;=175,W1622&gt;=110),0.12,0)+IF(AND(V1622&gt;175,W1622&lt;25),0.3,0)+IF(AND(V1622&gt;175,W1622&gt;=25,W1622&lt;55),0.23,0)+IF(AND(V1622&gt;175,W1622&gt;=55,W1622&lt;95),0.17,0)+IF(AND(V1622&gt;175,W1622&gt;=95),0.12,0),
IF(AF1622="DoEVLo",IF(AND(V1622&lt;20,W1622&lt;55),0.25,0)+IF(AND(V1622&lt;20,W1622&gt;=55,W1622&lt;105),0.2,0)+IF(AND(V1622&lt;20,W1622&gt;=105),0.15,0)+IF(AND(V1622&gt;=20,V1622&lt;40,W1622&lt;45),0.25,0)+IF(AND(V1622&gt;=20,V1622&lt;40,W1622&gt;=45,W1622&lt;95),0.2,0)+IF(AND(V1622&gt;=20,V1622&lt;40,W1622&gt;=95),0.15,0)+IF(AND(V1622&gt;=40,V1622&lt;75,W1622&lt;35),0.25,0)+IF(AND(V1622&gt;=40,V1622&lt;75,W1622&gt;=35,W1622&lt;75),0.2,0)+IF(AND(V1622&gt;=40,V1622&lt;75,W1622&gt;=75,W1622&lt;120),0.15,0)+IF(AND(V1622&gt;=40,V1622&lt;75,W1622&gt;=120),0.1,0)+IF(AND(V1622&gt;=75,V1622&lt;175,W1622&lt;35),0.25,0)+IF(AND(V1622&gt;=75,V1622&lt;=175,W1622&gt;=35,W1622&lt;65),0.2,0)+IF(AND(V1622&gt;=75,V1622&lt;=175,W1622&gt;=65,W1622&lt;110),0.15,0)+IF(AND(V1622&gt;=75,V1622&lt;=175,W1622&gt;=110),0.1,0)+IF(AND(V1622&gt;175,W1622&lt;25),0.25,0)+IF(AND(V1622&gt;175,W1622&gt;=25,W1622&lt;55),0.2,0)+IF(AND(V1622&gt;175,W1622&gt;=55,W1622&lt;95),0.15,0)+IF(AND(V1622&gt;175,W1622&gt;=95),0.1,0))))))))))))))))))))</f>
        <v>0.17</v>
      </c>
      <c r="Y1622" s="30">
        <f>IF(AG1622="None",0,IF(AG1622="Fix5",0.05, IF(AG1622="Fix6.25",0.0625,IF(AG1622="Fix3.75",0.0375, IF(AG1622="Fix11",0.11, IF(AG1622="Fix10",0.1,IF(AG1622="Fix3",0.03,0)))))))</f>
        <v>0</v>
      </c>
      <c r="Z1622" s="35">
        <f>IF(AND(AD1622="EUR", AE1622 = "USD"), T1622*U1622-AA1622-AB1622, T1622-AA1622-AB1622)</f>
        <v>2310.0227999999997</v>
      </c>
      <c r="AA1622" s="29">
        <f>IF(AND(AD1622="EUR", F1622="Without EV deal", AE1622="USD"), (T1622*X1622)*U1622,
IF(AND(AD1622="EUR", F1622="Without EV deal", AE1622="EUR"), (T1622*X1622),
IF(AND(AD1622="EUR",AE1622="USD"), (T1622*X1622)*U1622,
T1622*X1622)))</f>
        <v>473.13720000000001</v>
      </c>
      <c r="AB1622" s="36">
        <f>IF(AND(AD1622="EUR", F1622="Without EV deal", AE1622="USD"), (T1622*Y1622)*U1622,
IF(AND(AD1622="EUR", F1622="Without EV deal", AE1622="EUR"), (T1622*Y1622),
IF(AND(AD1622="EUR",AE1622="USD"), (T1622*Y1622)*U1622,
T1622*Y1622)))</f>
        <v>0</v>
      </c>
      <c r="AC1622" s="61" t="b">
        <v>1</v>
      </c>
      <c r="AD1622" s="82" t="str">
        <f>IF(OR(H1622="€0.25 Flash",
H1622="€0.25(nitro) new",
H1622="€1",
H1622="€2",
H1622="€2 (bf 01.08)",
H1622="€5",
H1622="€5 (1M)",
H1622="€5 (bf 01.08)",
H1622="€5 (bf 05.05)",
H1622="€5 Nitro",
H1622="€5(wx) new",
H1622="€10",
H1622="€10 (1M)",
H1622="€10 (bf 01.08)",
H1622="€10 (bf 05.05)",
H1622="€10 (MP)",
H1622="€10 (old)",
H1622="€10 Nitro (bf 05.05)",
H1622="€10 Nitro (old)",
H1622="€10(wx) new",
H1622="€20",
H1622="€25",
H1622="€25 (bf 01.08)",
H1622="€25 (bf 05.05)",
H1622="€25 (MP)",
H1622="€25 (old)",
H1622="€25 Nitro",
H1622="€25 Nitro (bf 01.08)",
H1622="€25 Nitro (bf 05.05)",
H1622="€25(nitro) new",
H1622="€25(wx) new",
H1622="€50",
H1622="€50 (bf 01.08)",
H1622="€50 (bf 05.05)",
H1622="€50 (old)",
H1622="€50 Nitro",
H1622="€50 Nitro (bf 01.08)",
H1622="€50 Nitro (bf 05.05)",
H1622="€50(wx) new",
H1622="€100",
H1622="€100 (old)",
H1622="€100 Nitro",
H1622="€100 Nitro (old)",
H1622="€200",
H1622="€250",
H1622="€250 Nitro",
H1622="€500",
H1622="€500 Nitro"),"EUR", "USD")</f>
        <v>USD</v>
      </c>
      <c r="AE1622" s="83" t="s">
        <v>38</v>
      </c>
      <c r="AF1622" s="83" t="str">
        <f t="array" ref="AF1622">INDEX('Deal Info'!D:D, MATCH(A1622,'Deal Info'!A:A, 0))</f>
        <v>DoEV</v>
      </c>
      <c r="AG1622" s="84" t="str">
        <f t="array" ref="AG1622">INDEX('Deal Info'!G:G, MATCH(A1622,'Deal Info'!A:A, 0))</f>
        <v>None</v>
      </c>
    </row>
    <row r="1623" spans="1:33" ht="14.25" hidden="1" x14ac:dyDescent="0.2">
      <c r="A1623" s="18" t="str">
        <f t="array" ref="A1623">IF(G1623='Room Info'!$B$1, INDEX('Room Info'!$A$2:$A2446, MATCH(B1623,'Room Info'!$B$2:$B2446, 0)),IF(G1623='Room Info'!$C$1, INDEX('Room Info'!$A$2:$A2446, MATCH(B1623,'Room Info'!$C$2:$C2446, 0)),IF(G1623='Room Info'!$D$1, INDEX('Room Info'!$A$2:$A2446, MATCH(B1623,'Room Info'!$D$2:$D2446, 0)),IF(G1623='Room Info'!$E$1, INDEX('Room Info'!$A$2:$A2446, MATCH(B1623,'Room Info'!$E$2:$E2446, 0)),IF(G1623='Room Info'!$F$1, INDEX('Room Info'!$A$2:$A2446, MATCH(B1623,'Room Info'!$F$2:$F2446, 0)),IF(G1623='Room Info'!$H$1, INDEX('Room Info'!$A$2:$A2446, MATCH(B1623,'Room Info'!$H$2:$H2446, 0)),IF(G1623='Room Info'!$G$1, INDEX('Room Info'!$A$2:$A2446, MATCH(B1623,'Room Info'!$G$2:$G2446, 0)))))))))</f>
        <v>DimanTT</v>
      </c>
      <c r="B1623" s="101" t="s">
        <v>237</v>
      </c>
      <c r="C1623" s="46">
        <v>44978</v>
      </c>
      <c r="D1623" s="46">
        <v>45005</v>
      </c>
      <c r="E1623" s="90">
        <v>44986</v>
      </c>
      <c r="F1623" s="48" t="s">
        <v>34</v>
      </c>
      <c r="G1623" s="54" t="s">
        <v>53</v>
      </c>
      <c r="H1623" s="49" t="s">
        <v>56</v>
      </c>
      <c r="I1623" s="100" t="s">
        <v>37</v>
      </c>
      <c r="J1623" s="39">
        <v>20</v>
      </c>
      <c r="K1623" s="75">
        <v>26</v>
      </c>
      <c r="L1623" s="72">
        <v>-64</v>
      </c>
      <c r="M1623" s="62"/>
      <c r="N1623" s="28">
        <f>K1623*J1623</f>
        <v>520</v>
      </c>
      <c r="O1623" s="45">
        <v>1537</v>
      </c>
      <c r="P1623" s="29">
        <v>59.11538462</v>
      </c>
      <c r="Q1623" s="55">
        <v>0.5</v>
      </c>
      <c r="R1623" s="31">
        <f>M1623+Q1623*J1623*K1623*0.07</f>
        <v>18.200000000000003</v>
      </c>
      <c r="S1623" s="97"/>
      <c r="T1623" s="32">
        <f>IF(AND(AD1623="EUR", F1623="Without EV deal"), R1623 + L1623,
IF(AND(AD1623="USD", F1623="Without EV deal"), R1623 + L1623,
IF(AND(AD1623="EUR", F1623="Steel Phoenix"), R1623 + S1623/U1623,
R1623 + S1623)))</f>
        <v>18.200000000000003</v>
      </c>
      <c r="U1623" s="57">
        <v>1.071</v>
      </c>
      <c r="V1623" s="69">
        <v>20</v>
      </c>
      <c r="W1623" s="69">
        <v>140.06799999999998</v>
      </c>
      <c r="X1623" s="30">
        <f>IF(AF1623="DoEV",IF(AND(V1623&lt;20,W1623&lt;55),0.3,0)+IF(AND(V1623&lt;20,W1623&gt;=55,W1623&lt;105),0.23,0)+IF(AND(V1623&lt;20,W1623&gt;=105),0.17,0)+IF(AND(V1623&gt;=20,V1623&lt;40,W1623&lt;45),0.3,0)+IF(AND(V1623&gt;=20,V1623&lt;40,W1623&gt;=45,W1623&lt;95),0.23,0)+IF(AND(V1623&gt;=20,V1623&lt;40,W1623&gt;=95),0.17,0)+IF(AND(V1623&gt;=40,V1623&lt;75,W1623&lt;35),0.3,0)+IF(AND(V1623&gt;=40,V1623&lt;75,W1623&gt;=35,W1623&lt;75),0.23,0)+IF(AND(V1623&gt;=40,V1623&lt;75,W1623&gt;=75,W1623&lt;120),0.17,0)+IF(AND(V1623&gt;=40,V1623&lt;75,W1623&gt;=120),0.12,0)+IF(AND(V1623&gt;=75,V1623&lt;175,W1623&lt;35),0.3,0)+IF(AND(V1623&gt;=75,V1623&lt;=175,W1623&gt;=35,W1623&lt;65),0.23,0)+IF(AND(V1623&gt;=75,V1623&lt;=175,W1623&gt;=65,W1623&lt;110),0.17,0)+IF(AND(V1623&gt;=75,V1623&lt;=175,W1623&gt;=110),0.12,0)+IF(AND(V1623&gt;175,W1623&lt;25),0.3,0)+IF(AND(V1623&gt;175,W1623&gt;=25,W1623&lt;55),0.23,0)+IF(AND(V1623&gt;175,W1623&gt;=55,W1623&lt;95),0.17,0)+IF(AND(V1623&gt;175,W1623&gt;=95),0.12,0),
IF(AF1623="Fix15",0.15,
IF(AF1623="Fix5",0.05,
IF(AF1623="Fix18.75",0.1875,
IF(AF1623="Fix11.25",0.1125,
IF(AF1623="Fix10",0.1,
IF(AF1623="Fix9",0.09,
IF(AF1623="Fix12",0.12,
IF(AF1623="Fix19",0.19,
IF(AF1623="DoEV2017",IF(AND(W1623&lt;74),0.2,0)+IF(AND(W1623&gt;=74),0.17,0),
IF(AF1623="SF",IF(AND(V1623&lt;20,W1623&lt;89),0.3,0)+IF(AND(V1623&lt;20,W1623&gt;=89),0.25,0)+IF(AND(V1623&gt;=20,V1623&lt;40,W1623&lt;74),0.3,0)+IF(AND(V1623&gt;=20,V1623&lt;40,W1623&gt;=75),0.22,0)+IF(AND(V1623&gt;=40,V1623&lt;75,W1623&lt;75),0.26,0)+IF(AND(V1623&gt;=40,V1623&lt;75,W1623&gt;=75),0.22,0)+IF(V1623&gt;=75,0.22,0),
IF(AF1623="DoEVold",IF(AND(V1623&lt;40,W1623&lt;35),0.35,0)+IF(AND(V1623&lt;40,W1623&gt;=35,W1623&lt;75),0.25,0)+IF(AND(V1623&lt;40,W1623&gt;=75),0.17,0)+IF(AND(V1623&gt;=40,V1623&lt;75,W1623&lt;25),0.35,0)+IF(AND(V1623&gt;=40,V1623&lt;75,W1623&gt;=25,W1623&lt;65),0.25,0)+IF(AND(V1623&gt;=40,V1623&lt;75,W1623&gt;=65,W1623&lt;100),0.17,0)+IF(AND(V1623&gt;=40,V1623&lt;75,W1623&gt;=100),0.1,0)+IF(AND(V1623&gt;=75,W1623&lt;25),0.35,0)+IF(AND(V1623&gt;=75,W1623&gt;=25,W1623&lt;60),0.25,0)+IF(AND(V1623&gt;=75,W1623&gt;=60,W1623&lt;95),0.17,0)+IF(AND(V1623&gt;=75,W1623&gt;=95),0.1,0),
IF(AF1623="DoEVold15",IF(AND(V1623&lt;=40,W1623&lt;35),0.35,0)+IF(AND(V1623&lt;=40,W1623&gt;=35,W1623&lt;75),0.25,0)+IF(AND(V1623&lt;=40,W1623&gt;=75,W1623&lt;120),0.17,0)+IF(AND(V1623&lt;=40,W1623&gt;=120),0.15,0)+IF(AND(V1623&gt;40,V1623&lt;75,W1623&lt;25),0.35,0)+IF(AND(V1623&gt;=40,V1623&lt;75,W1623&gt;=25,W1623&lt;65),0.25,0)+IF(AND(V1623&gt;=40,V1623&lt;75,W1623&gt;=65,W1623&lt;100),0.17,0)+IF(AND(V1623&gt;=40,V1623&lt;75,W1623&gt;=100),0.1,0)+IF(AND(V1623&gt;=75,W1623&lt;25),0.35,0)+IF(AND(V1623&gt;=75,W1623&gt;=25,W1623&lt;60),0.25,0)+IF(AND(V1623&gt;=75,W1623&gt;=60,W1623&lt;95),0.17,0)+IF(AND(V1623&gt;=75,W1623&gt;=95),0.1,0),
IF(AF1623="DoEVba",IF(AND(V1623&lt;20,W1623&lt;105),0.2,0)+IF(AND(V1623&lt;20,W1623&gt;=105),0.15,0)+IF(AND(V1623&gt;=20,V1623&lt;40,W1623&lt;95),0.2,0)+IF(AND(V1623&gt;=20,V1623&lt;40,W1623&gt;=95,W1623&lt;150),0.15,0)+IF(AND(V1623&gt;=20,V1623&lt;40,W1623&gt;=150),0.12,0)+IF(AND(V1623&gt;=40,V1623&lt;75,W1623&lt;75),0.2,0)+IF(AND(V1623&gt;=40,V1623&lt;75,W1623&gt;=75,W1623&lt;120),0.15,0)+IF(AND(V1623&gt;=40,V1623&lt;75,W1623&gt;=120),0.12,0)+IF(AND(V1623&gt;=75,V1623&lt;175,W1623&lt;65),0.2,0)+IF(AND(V1623&gt;=75,V1623&lt;175,W1623&gt;=65,W1623&lt;110),0.15,0)+IF(AND(V1623&gt;=75,V1623&lt;175,W1623&gt;=110),0.12,0)+IF(AND(V1623&gt;=175,W1623&lt;55),0.2,0)+IF(AND(V1623&gt;=175,W1623&gt;=55,W1623&lt;95),0.15,0)+IF(AND(V1623&gt;=175,W1623&gt;=95),0.12,0),
IF(AF1623="DoEVku",IF(AND(V1623&lt;20,W1623&lt;55),0.23,0)+IF(AND(V1623&lt;20,W1623&gt;=55,W1623&lt;105),0.2,0)+IF(AND(V1623&lt;20,W1623&gt;=105),0.17,0)+IF(AND(V1623&gt;=20,V1623&lt;40,W1623&lt;45),0.23,0)+IF(AND(V1623&gt;=20,V1623&lt;40,W1623&gt;=45,W1623&lt;95),0.2,0)+IF(AND(V1623&gt;=20,V1623&lt;40,W1623&gt;=95,W1623&lt;=150),0.17,0)+IF(AND(V1623&gt;=20,V1623&lt;40,W1623&gt;=150),0.12,0)+IF(AND(V1623&gt;=40,V1623&lt;75,W1623&lt;35),0.23,0)+IF(AND(V1623&gt;=40,V1623&lt;75,W1623&gt;=35,W1623&lt;75),0.2,0)+IF(AND(V1623&gt;=40,V1623&lt;75,W1623&gt;=75,W1623&lt;120),0.17,0)+IF(AND(V1623&gt;=40,V1623&lt;75,W1623&gt;=120),0.12,0)+IF(AND(V1623&gt;=75,V1623&lt;175,W1623&lt;35),0.23,0)+IF(AND(V1623&gt;=75,V1623&lt;=175,W1623&gt;=35,W1623&lt;65),0.2,0)+IF(AND(V1623&gt;=75,V1623&lt;=175,W1623&gt;=65,W1623&lt;110),0.17,0)+IF(AND(V1623&gt;=75,V1623&lt;=175,W1623&gt;=110),0.12,0)+IF(AND(V1623&gt;175,W1623&lt;25),0.23,0)+IF(AND(V1623&gt;175,W1623&gt;=25,W1623&lt;55),0.2,0)+IF(AND(V1623&gt;175,W1623&gt;=55,W1623&lt;95),0.17,0)+IF(AND(V1623&gt;175,W1623&gt;=95),0.12,0),
IF(AF1623="DoEVs1",IF(AND(V1623&lt;20,W1623&lt;55),0.3,0)+IF(AND(V1623&lt;20,W1623&gt;=55,W1623&lt;105),0.23,0)+IF(AND(V1623&lt;20,W1623&gt;=105),0.17,0)+IF(AND(V1623&gt;=20,V1623&lt;40,W1623&lt;45),0.3,0)+IF(AND(V1623&gt;=20,V1623&lt;40,W1623&gt;=45,W1623&lt;95),0.23,0)+IF(AND(V1623&gt;=20,V1623&lt;40,W1623&gt;=95,W1623&lt;=150),0.17,0)+IF(AND(V1623&gt;=20,V1623&lt;40,W1623&gt;=150),0.12,0)+IF(AND(V1623&gt;=40,V1623&lt;75,W1623&lt;35),0.3,0)+IF(AND(V1623&gt;=40,V1623&lt;75,W1623&gt;=35,W1623&lt;75),0.23,0)+IF(AND(V1623&gt;=40,V1623&lt;75,W1623&gt;=75,W1623&lt;120),0.17,0)+IF(AND(V1623&gt;=40,V1623&lt;75,W1623&gt;=120),0.12,0)+IF(AND(V1623&gt;=75,V1623&lt;175,W1623&lt;35),0.3,0)+IF(AND(V1623&gt;=75,V1623&lt;=175,W1623&gt;=35,W1623&lt;65),0.23,0)+IF(AND(V1623&gt;=75,V1623&lt;=175,W1623&gt;=65,W1623&lt;110),0.17,0)+IF(AND(V1623&gt;=75,V1623&lt;=175,W1623&gt;=110),0.12,0)+IF(AND(V1623&gt;175,W1623&lt;25),0.3,0)+IF(AND(V1623&gt;175,W1623&gt;=25,W1623&lt;55),0.23,0)+IF(AND(V1623&gt;175,W1623&gt;=55,W1623&lt;95),0.17,0)+IF(AND(V1623&gt;175,W1623&gt;=95),0.12,0),
IF(AF1623="DoEVsu",IF(AND(V1623&lt;20,W1623&lt;55),0.3,0)+IF(AND(V1623&lt;20,W1623&gt;=55,W1623&lt;105),0.23,0)+IF(AND(V1623&lt;20,W1623&gt;=105),0.17,0)+IF(AND(V1623&gt;=20,V1623&lt;40,W1623&lt;45),0.3,0)+IF(AND(V1623&gt;=20,V1623&lt;40,W1623&gt;=45,W1623&lt;95),0.23,0)+IF(AND(V1623&gt;=20,V1623&lt;40,W1623&gt;=95,W1623&lt;=250),0.17,0)+IF(AND(V1623&gt;=20,V1623&lt;40,W1623&gt;=250),0.12,0)+IF(AND(V1623&gt;=40,V1623&lt;75,W1623&lt;35),0.3,0)+IF(AND(V1623&gt;=40,V1623&lt;75,W1623&gt;=35,W1623&lt;75),0.23,0)+IF(AND(V1623&gt;=40,V1623&lt;75,W1623&gt;=75,W1623&lt;120),0.17,0)+IF(AND(V1623&gt;=40,V1623&lt;75,W1623&gt;=120),0.12,0)+IF(AND(V1623&gt;=75,V1623&lt;175,W1623&lt;35),0.3,0)+IF(AND(V1623&gt;=75,V1623&lt;=175,W1623&gt;=35,W1623&lt;65),0.23,0)+IF(AND(V1623&gt;=75,V1623&lt;=175,W1623&gt;=65,W1623&lt;110),0.17,0)+IF(AND(V1623&gt;=75,V1623&lt;=175,W1623&gt;=110),0.12,0)+IF(AND(V1623&gt;175,W1623&lt;25),0.3,0)+IF(AND(V1623&gt;175,W1623&gt;=25,W1623&lt;55),0.23,0)+IF(AND(V1623&gt;175,W1623&gt;=55,W1623&lt;95),0.17,0)+IF(AND(V1623&gt;175,W1623&gt;=95),0.12,0),
IF(AF1623="DoEVni",IF(AND(V1623&lt;20,W1623&lt;55),0.3,0)+IF(AND(V1623&lt;20,W1623&gt;=55,W1623&lt;105),0.23,0)+IF(AND(V1623&lt;20,W1623&gt;=105),0.17,0)+IF(AND(V1623&gt;=20,V1623&lt;40,W1623&lt;45),0.3,0)+IF(AND(V1623&gt;=20,V1623&lt;40,W1623&gt;=45,W1623&lt;95),0.23,0)+IF(AND(V1623&gt;=20,V1623&lt;40,W1623&gt;=95,W1623&lt;=200),0.17,0)+IF(AND(V1623&gt;=20,V1623&lt;40,W1623&gt;=200),0.12,0)+IF(AND(V1623&gt;=40,V1623&lt;75,W1623&lt;35),0.3,0)+IF(AND(V1623&gt;=40,V1623&lt;75,W1623&gt;=35,W1623&lt;75),0.23,0)+IF(AND(V1623&gt;=40,V1623&lt;75,W1623&gt;=75,W1623&lt;120),0.17,0)+IF(AND(V1623&gt;=40,V1623&lt;75,W1623&gt;=120),0.12,0)+IF(AND(V1623&gt;=75,V1623&lt;175,W1623&lt;35),0.3,0)+IF(AND(V1623&gt;=75,V1623&lt;=175,W1623&gt;=35,W1623&lt;65),0.23,0)+IF(AND(V1623&gt;=75,V1623&lt;=175,W1623&gt;=65,W1623&lt;110),0.17,0)+IF(AND(V1623&gt;=75,V1623&lt;=175,W1623&gt;=110),0.12,0)+IF(AND(V1623&gt;175,W1623&lt;25),0.3,0)+IF(AND(V1623&gt;175,W1623&gt;=25,W1623&lt;55),0.23,0)+IF(AND(V1623&gt;175,W1623&gt;=55,W1623&lt;95),0.17,0)+IF(AND(V1623&gt;175,W1623&gt;=95),0.12,0),
IF(AF1623="DoEVLo",IF(AND(V1623&lt;20,W1623&lt;55),0.25,0)+IF(AND(V1623&lt;20,W1623&gt;=55,W1623&lt;105),0.2,0)+IF(AND(V1623&lt;20,W1623&gt;=105),0.15,0)+IF(AND(V1623&gt;=20,V1623&lt;40,W1623&lt;45),0.25,0)+IF(AND(V1623&gt;=20,V1623&lt;40,W1623&gt;=45,W1623&lt;95),0.2,0)+IF(AND(V1623&gt;=20,V1623&lt;40,W1623&gt;=95),0.15,0)+IF(AND(V1623&gt;=40,V1623&lt;75,W1623&lt;35),0.25,0)+IF(AND(V1623&gt;=40,V1623&lt;75,W1623&gt;=35,W1623&lt;75),0.2,0)+IF(AND(V1623&gt;=40,V1623&lt;75,W1623&gt;=75,W1623&lt;120),0.15,0)+IF(AND(V1623&gt;=40,V1623&lt;75,W1623&gt;=120),0.1,0)+IF(AND(V1623&gt;=75,V1623&lt;175,W1623&lt;35),0.25,0)+IF(AND(V1623&gt;=75,V1623&lt;=175,W1623&gt;=35,W1623&lt;65),0.2,0)+IF(AND(V1623&gt;=75,V1623&lt;=175,W1623&gt;=65,W1623&lt;110),0.15,0)+IF(AND(V1623&gt;=75,V1623&lt;=175,W1623&gt;=110),0.1,0)+IF(AND(V1623&gt;175,W1623&lt;25),0.25,0)+IF(AND(V1623&gt;175,W1623&gt;=25,W1623&lt;55),0.2,0)+IF(AND(V1623&gt;175,W1623&gt;=55,W1623&lt;95),0.15,0)+IF(AND(V1623&gt;175,W1623&gt;=95),0.1,0))))))))))))))))))))</f>
        <v>0.17</v>
      </c>
      <c r="Y1623" s="30">
        <f>IF(AG1623="None",0,IF(AG1623="Fix5",0.05, IF(AG1623="Fix6.25",0.0625,IF(AG1623="Fix3.75",0.0375, IF(AG1623="Fix11",0.11, IF(AG1623="Fix10",0.1,IF(AG1623="Fix3",0.03,0)))))))</f>
        <v>0</v>
      </c>
      <c r="Z1623" s="35">
        <f>IF(AND(AD1623="EUR", AE1623 = "USD"), T1623*U1623-AA1623-AB1623, T1623-AA1623-AB1623)</f>
        <v>16.178525999999998</v>
      </c>
      <c r="AA1623" s="29">
        <f>IF(AND(AD1623="EUR", F1623="Without EV deal", AE1623="USD"), (T1623*X1623)*U1623,
IF(AND(AD1623="EUR", F1623="Without EV deal", AE1623="EUR"), (T1623*X1623),
IF(AND(AD1623="EUR",AE1623="USD"), (T1623*X1623)*U1623,
T1623*X1623)))</f>
        <v>3.3136740000000007</v>
      </c>
      <c r="AB1623" s="36">
        <f>IF(AND(AD1623="EUR", F1623="Without EV deal", AE1623="USD"), (T1623*Y1623)*U1623,
IF(AND(AD1623="EUR", F1623="Without EV deal", AE1623="EUR"), (T1623*Y1623),
IF(AND(AD1623="EUR",AE1623="USD"), (T1623*Y1623)*U1623,
T1623*Y1623)))</f>
        <v>0</v>
      </c>
      <c r="AC1623" s="61" t="b">
        <v>1</v>
      </c>
      <c r="AD1623" s="82" t="str">
        <f>IF(OR(H1623="€0.25 Flash",
H1623="€0.25(nitro) new",
H1623="€1",
H1623="€2",
H1623="€2 (bf 01.08)",
H1623="€5",
H1623="€5 (1M)",
H1623="€5 (bf 01.08)",
H1623="€5 (bf 05.05)",
H1623="€5 Nitro",
H1623="€5(wx) new",
H1623="€10",
H1623="€10 (1M)",
H1623="€10 (bf 01.08)",
H1623="€10 (bf 05.05)",
H1623="€10 (MP)",
H1623="€10 (old)",
H1623="€10 Nitro (bf 05.05)",
H1623="€10 Nitro (old)",
H1623="€10(wx) new",
H1623="€20",
H1623="€25",
H1623="€25 (bf 01.08)",
H1623="€25 (bf 05.05)",
H1623="€25 (MP)",
H1623="€25 (old)",
H1623="€25 Nitro",
H1623="€25 Nitro (bf 01.08)",
H1623="€25 Nitro (bf 05.05)",
H1623="€25(nitro) new",
H1623="€25(wx) new",
H1623="€50",
H1623="€50 (bf 01.08)",
H1623="€50 (bf 05.05)",
H1623="€50 (old)",
H1623="€50 Nitro",
H1623="€50 Nitro (bf 01.08)",
H1623="€50 Nitro (bf 05.05)",
H1623="€50(wx) new",
H1623="€100",
H1623="€100 (old)",
H1623="€100 Nitro",
H1623="€100 Nitro (old)",
H1623="€200",
H1623="€250",
H1623="€250 Nitro",
H1623="€500",
H1623="€500 Nitro"),"EUR", "USD")</f>
        <v>EUR</v>
      </c>
      <c r="AE1623" s="83" t="s">
        <v>38</v>
      </c>
      <c r="AF1623" s="83" t="str">
        <f t="array" ref="AF1623">INDEX('Deal Info'!D:D, MATCH(A1623,'Deal Info'!A:A, 0))</f>
        <v>DoEV</v>
      </c>
      <c r="AG1623" s="84" t="str">
        <f t="array" ref="AG1623">INDEX('Deal Info'!G:G, MATCH(A1623,'Deal Info'!A:A, 0))</f>
        <v>None</v>
      </c>
    </row>
    <row r="1624" spans="1:33" ht="14.25" x14ac:dyDescent="0.2">
      <c r="A1624" s="18" t="str">
        <f t="array" ref="A1624">IF(G1624='Room Info'!$B$1, INDEX('Room Info'!$A$2:$A2446, MATCH(B1624,'Room Info'!$B$2:$B2446, 0)),IF(G1624='Room Info'!$C$1, INDEX('Room Info'!$A$2:$A2446, MATCH(B1624,'Room Info'!$C$2:$C2446, 0)),IF(G1624='Room Info'!$D$1, INDEX('Room Info'!$A$2:$A2446, MATCH(B1624,'Room Info'!$D$2:$D2446, 0)),IF(G1624='Room Info'!$E$1, INDEX('Room Info'!$A$2:$A2446, MATCH(B1624,'Room Info'!$E$2:$E2446, 0)),IF(G1624='Room Info'!$F$1, INDEX('Room Info'!$A$2:$A2446, MATCH(B1624,'Room Info'!$F$2:$F2446, 0)),IF(G1624='Room Info'!$H$1, INDEX('Room Info'!$A$2:$A2446, MATCH(B1624,'Room Info'!$H$2:$H2446, 0)),IF(G1624='Room Info'!$G$1, INDEX('Room Info'!$A$2:$A2446, MATCH(B1624,'Room Info'!$G$2:$G2446, 0)))))))))</f>
        <v>Freedoom</v>
      </c>
      <c r="B1624" s="129" t="s">
        <v>110</v>
      </c>
      <c r="C1624" s="111">
        <v>44593</v>
      </c>
      <c r="D1624" s="111">
        <v>44620</v>
      </c>
      <c r="E1624" s="21" t="s">
        <v>151</v>
      </c>
      <c r="F1624" s="133" t="s">
        <v>49</v>
      </c>
      <c r="G1624" s="129" t="s">
        <v>61</v>
      </c>
      <c r="H1624" s="110" t="s">
        <v>64</v>
      </c>
      <c r="I1624" s="110" t="s">
        <v>37</v>
      </c>
      <c r="J1624" s="50">
        <v>10</v>
      </c>
      <c r="K1624" s="123">
        <v>745</v>
      </c>
      <c r="L1624" s="113">
        <v>-1170</v>
      </c>
      <c r="M1624" s="62">
        <v>26</v>
      </c>
      <c r="N1624" s="28">
        <f>K1624*J1624</f>
        <v>7450</v>
      </c>
      <c r="O1624" s="65">
        <v>48749</v>
      </c>
      <c r="P1624" s="29">
        <v>65.434899329999993</v>
      </c>
      <c r="Q1624" s="103"/>
      <c r="R1624" s="31">
        <f>M1624+Q1624</f>
        <v>26</v>
      </c>
      <c r="S1624" s="66">
        <v>225</v>
      </c>
      <c r="T1624" s="32">
        <f>R1624+S1624+IF(F1624="Without EV deal",L1624,0)</f>
        <v>251</v>
      </c>
      <c r="U1624" s="114">
        <v>1</v>
      </c>
      <c r="V1624" s="58"/>
      <c r="W1624" s="58"/>
      <c r="X1624" s="30">
        <f>IF(AF1624="DoEV",IF(AND(V1624&lt;20,W1624&lt;55),0.3,0)+IF(AND(V1624&lt;20,W1624&gt;=55,W1624&lt;105),0.23,0)+IF(AND(V1624&lt;20,W1624&gt;=105),0.17,0)+IF(AND(V1624&gt;=20,V1624&lt;40,W1624&lt;45),0.3,0)+IF(AND(V1624&gt;=20,V1624&lt;40,W1624&gt;=45,W1624&lt;95),0.23,0)+IF(AND(V1624&gt;=20,V1624&lt;40,W1624&gt;=95),0.17,0)+IF(AND(V1624&gt;=40,V1624&lt;75,W1624&lt;35),0.3,0)+IF(AND(V1624&gt;=40,V1624&lt;75,W1624&gt;=35,W1624&lt;75),0.23,0)+IF(AND(V1624&gt;=40,V1624&lt;75,W1624&gt;=75,W1624&lt;120),0.17,0)+IF(AND(V1624&gt;=40,V1624&lt;75,W1624&gt;=120),0.12,0)+IF(AND(V1624&gt;=75,V1624&lt;175,W1624&lt;35),0.3,0)+IF(AND(V1624&gt;=75,V1624&lt;=175,W1624&gt;=35,W1624&lt;65),0.23,0)+IF(AND(V1624&gt;=75,V1624&lt;=175,W1624&gt;=65,W1624&lt;110),0.17,0)+IF(AND(V1624&gt;=75,V1624&lt;=175,W1624&gt;=110),0.12,0)+IF(AND(V1624&gt;175,W1624&lt;25),0.3,0)+IF(AND(V1624&gt;175,W1624&gt;=25,W1624&lt;55),0.23,0)+IF(AND(V1624&gt;175,W1624&gt;=55,W1624&lt;95),0.17,0)+IF(AND(V1624&gt;175,W1624&gt;=95),0.12,0),
IF(AF1624="Fix15",0.15,
IF(AF1624="Fix11.25",0.1125,
IF(AF1624="Fix10",0.1,
IF(AF1624="Fix9",0.09,
IF(AF1624="DoEV2017",IF(AND(W1624&lt;74),0.2,0)+IF(AND(W1624&gt;=74),0.17,0),
IF(AF1624="SF",IF(AND(V1624&lt;20,W1624&lt;89),0.3,0)+IF(AND(V1624&lt;20,W1624&gt;=89),0.25,0)+IF(AND(V1624&gt;=20,V1624&lt;40,W1624&lt;74),0.3,0)+IF(AND(V1624&gt;=20,V1624&lt;40,W1624&gt;=75),0.22,0)+IF(AND(V1624&gt;=40,V1624&lt;75,W1624&lt;75),0.26,0)+IF(AND(V1624&gt;=40,V1624&lt;75,W1624&gt;=75),0.22,0)+IF(V1624&gt;=75,0.22,0),
IF(AF1624="DoEVold",IF(AND(V1624&lt;40,W1624&lt;35),0.35,0)+IF(AND(V1624&lt;40,W1624&gt;=35,W1624&lt;75),0.25,0)+IF(AND(V1624&lt;40,W1624&gt;=75),0.17,0)+IF(AND(V1624&gt;=40,V1624&lt;75,W1624&lt;25),0.35,0)+IF(AND(V1624&gt;=40,V1624&lt;75,W1624&gt;=25,W1624&lt;65),0.25,0)+IF(AND(V1624&gt;=40,V1624&lt;75,W1624&gt;=65,W1624&lt;100),0.17,0)+IF(AND(V1624&gt;=40,V1624&lt;75,W1624&gt;=100),0.1,0)+IF(AND(V1624&gt;=75,W1624&lt;25),0.35,0)+IF(AND(V1624&gt;=75,W1624&gt;=25,W1624&lt;60),0.25,0)+IF(AND(V1624&gt;=75,W1624&gt;=60,W1624&lt;95),0.17,0)+IF(AND(V1624&gt;=75,W1624&gt;=95),0.1,0),
IF(AF1624="DoEVold15",IF(AND(V1624&lt;=40,W1624&lt;35),0.35,0)+IF(AND(V1624&lt;=40,W1624&gt;=35,W1624&lt;75),0.25,0)+IF(AND(V1624&lt;=40,W1624&gt;=75,W1624&lt;120),0.17,0)+IF(AND(V1624&lt;=40,W1624&gt;=120),0.15,0)+IF(AND(V1624&gt;40,V1624&lt;75,W1624&lt;25),0.35,0)+IF(AND(V1624&gt;=40,V1624&lt;75,W1624&gt;=25,W1624&lt;65),0.25,0)+IF(AND(V1624&gt;=40,V1624&lt;75,W1624&gt;=65,W1624&lt;100),0.17,0)+IF(AND(V1624&gt;=40,V1624&lt;75,W1624&gt;=100),0.1,0)+IF(AND(V1624&gt;=75,W1624&lt;25),0.35,0)+IF(AND(V1624&gt;=75,W1624&gt;=25,W1624&lt;60),0.25,0)+IF(AND(V1624&gt;=75,W1624&gt;=60,W1624&lt;95),0.17,0)+IF(AND(V1624&gt;=75,W1624&gt;=95),0.1,0),
IF(AF1624="DoEVba",IF(AND(V1624&lt;20,W1624&lt;105),0.2,0)+IF(AND(V1624&lt;20,W1624&gt;=105),0.15,0)+IF(AND(V1624&gt;=20,V1624&lt;40,W1624&lt;95),0.2,0)+IF(AND(V1624&gt;=20,V1624&lt;40,W1624&gt;=95,W1624&lt;150),0.15,0)+IF(AND(V1624&gt;=20,V1624&lt;40,W1624&gt;=150),0.12,0)+IF(AND(V1624&gt;=40,V1624&lt;75,W1624&lt;75),0.2,0)+IF(AND(V1624&gt;=40,V1624&lt;75,W1624&gt;=75,W1624&lt;120),0.15,0)+IF(AND(V1624&gt;=40,V1624&lt;75,W1624&gt;=120),0.12,0)+IF(AND(V1624&gt;=75,V1624&lt;175,W1624&lt;65),0.2,0)+IF(AND(V1624&gt;=75,V1624&lt;175,W1624&gt;=65,W1624&lt;110),0.15,0)+IF(AND(V1624&gt;=75,V1624&lt;175,W1624&gt;=110),0.12,0)+IF(AND(V1624&gt;=175,W1624&lt;55),0.2,0)+IF(AND(V1624&gt;=175,W1624&gt;=55,W1624&lt;95),0.15,0)+IF(AND(V1624&gt;=175,W1624&gt;=95),0.12,0),
IF(AF1624="DoEVku",IF(AND(V1624&lt;20,W1624&lt;55),0.23,0)+IF(AND(V1624&lt;20,W1624&gt;=55,W1624&lt;105),0.2,0)+IF(AND(V1624&lt;20,W1624&gt;=105),0.17,0)+IF(AND(V1624&gt;=20,V1624&lt;40,W1624&lt;45),0.23,0)+IF(AND(V1624&gt;=20,V1624&lt;40,W1624&gt;=45,W1624&lt;95),0.2,0)+IF(AND(V1624&gt;=20,V1624&lt;40,W1624&gt;=95,W1624&lt;=150),0.17,0)+IF(AND(V1624&gt;=20,V1624&lt;40,W1624&gt;=150),0.12,0)+IF(AND(V1624&gt;=40,V1624&lt;75,W1624&lt;35),0.23,0)+IF(AND(V1624&gt;=40,V1624&lt;75,W1624&gt;=35,W1624&lt;75),0.2,0)+IF(AND(V1624&gt;=40,V1624&lt;75,W1624&gt;=75,W1624&lt;120),0.17,0)+IF(AND(V1624&gt;=40,V1624&lt;75,W1624&gt;=120),0.12,0)+IF(AND(V1624&gt;=75,V1624&lt;175,W1624&lt;35),0.23,0)+IF(AND(V1624&gt;=75,V1624&lt;=175,W1624&gt;=35,W1624&lt;65),0.2,0)+IF(AND(V1624&gt;=75,V1624&lt;=175,W1624&gt;=65,W1624&lt;110),0.17,0)+IF(AND(V1624&gt;=75,V1624&lt;=175,W1624&gt;=110),0.12,0)+IF(AND(V1624&gt;175,W1624&lt;25),0.23,0)+IF(AND(V1624&gt;175,W1624&gt;=25,W1624&lt;55),0.2,0)+IF(AND(V1624&gt;175,W1624&gt;=55,W1624&lt;95),0.17,0)+IF(AND(V1624&gt;175,W1624&gt;=95),0.12,0),
IF(AF1624="DoEVs1",IF(AND(V1624&lt;20,W1624&lt;55),0.3,0)+IF(AND(V1624&lt;20,W1624&gt;=55,W1624&lt;105),0.23,0)+IF(AND(V1624&lt;20,W1624&gt;=105),0.17,0)+IF(AND(V1624&gt;=20,V1624&lt;40,W1624&lt;45),0.3,0)+IF(AND(V1624&gt;=20,V1624&lt;40,W1624&gt;=45,W1624&lt;95),0.23,0)+IF(AND(V1624&gt;=20,V1624&lt;40,W1624&gt;=95,W1624&lt;=150),0.17,0)+IF(AND(V1624&gt;=20,V1624&lt;40,W1624&gt;=150),0.12,0)+IF(AND(V1624&gt;=40,V1624&lt;75,W1624&lt;35),0.3,0)+IF(AND(V1624&gt;=40,V1624&lt;75,W1624&gt;=35,W1624&lt;75),0.23,0)+IF(AND(V1624&gt;=40,V1624&lt;75,W1624&gt;=75,W1624&lt;120),0.17,0)+IF(AND(V1624&gt;=40,V1624&lt;75,W1624&gt;=120),0.12,0)+IF(AND(V1624&gt;=75,V1624&lt;175,W1624&lt;35),0.3,0)+IF(AND(V1624&gt;=75,V1624&lt;=175,W1624&gt;=35,W1624&lt;65),0.23,0)+IF(AND(V1624&gt;=75,V1624&lt;=175,W1624&gt;=65,W1624&lt;110),0.17,0)+IF(AND(V1624&gt;=75,V1624&lt;=175,W1624&gt;=110),0.12,0)+IF(AND(V1624&gt;175,W1624&lt;25),0.3,0)+IF(AND(V1624&gt;175,W1624&gt;=25,W1624&lt;55),0.23,0)+IF(AND(V1624&gt;175,W1624&gt;=55,W1624&lt;95),0.17,0)+IF(AND(V1624&gt;175,W1624&gt;=95),0.12,0),
IF(AF1624="DoEVsu",IF(AND(V1624&lt;20,W1624&lt;55),0.3,0)+IF(AND(V1624&lt;20,W1624&gt;=55,W1624&lt;105),0.23,0)+IF(AND(V1624&lt;20,W1624&gt;=105),0.17,0)+IF(AND(V1624&gt;=20,V1624&lt;40,W1624&lt;45),0.3,0)+IF(AND(V1624&gt;=20,V1624&lt;40,W1624&gt;=45,W1624&lt;95),0.23,0)+IF(AND(V1624&gt;=20,V1624&lt;40,W1624&gt;=95,W1624&lt;=250),0.17,0)+IF(AND(V1624&gt;=20,V1624&lt;40,W1624&gt;=250),0.12,0)+IF(AND(V1624&gt;=40,V1624&lt;75,W1624&lt;35),0.3,0)+IF(AND(V1624&gt;=40,V1624&lt;75,W1624&gt;=35,W1624&lt;75),0.23,0)+IF(AND(V1624&gt;=40,V1624&lt;75,W1624&gt;=75,W1624&lt;120),0.17,0)+IF(AND(V1624&gt;=40,V1624&lt;75,W1624&gt;=120),0.12,0)+IF(AND(V1624&gt;=75,V1624&lt;175,W1624&lt;35),0.3,0)+IF(AND(V1624&gt;=75,V1624&lt;=175,W1624&gt;=35,W1624&lt;65),0.23,0)+IF(AND(V1624&gt;=75,V1624&lt;=175,W1624&gt;=65,W1624&lt;110),0.17,0)+IF(AND(V1624&gt;=75,V1624&lt;=175,W1624&gt;=110),0.12,0)+IF(AND(V1624&gt;175,W1624&lt;25),0.3,0)+IF(AND(V1624&gt;175,W1624&gt;=25,W1624&lt;55),0.23,0)+IF(AND(V1624&gt;175,W1624&gt;=55,W1624&lt;95),0.17,0)+IF(AND(V1624&gt;175,W1624&gt;=95),0.12,0),
IF(AF1624="DoEVni",IF(AND(V1624&lt;20,W1624&lt;55),0.3,0)+IF(AND(V1624&lt;20,W1624&gt;=55,W1624&lt;105),0.23,0)+IF(AND(V1624&lt;20,W1624&gt;=105),0.17,0)+IF(AND(V1624&gt;=20,V1624&lt;40,W1624&lt;45),0.3,0)+IF(AND(V1624&gt;=20,V1624&lt;40,W1624&gt;=45,W1624&lt;95),0.23,0)+IF(AND(V1624&gt;=20,V1624&lt;40,W1624&gt;=95,W1624&lt;=200),0.17,0)+IF(AND(V1624&gt;=20,V1624&lt;40,W1624&gt;=200),0.12,0)+IF(AND(V1624&gt;=40,V1624&lt;75,W1624&lt;35),0.3,0)+IF(AND(V1624&gt;=40,V1624&lt;75,W1624&gt;=35,W1624&lt;75),0.23,0)+IF(AND(V1624&gt;=40,V1624&lt;75,W1624&gt;=75,W1624&lt;120),0.17,0)+IF(AND(V1624&gt;=40,V1624&lt;75,W1624&gt;=120),0.12,0)+IF(AND(V1624&gt;=75,V1624&lt;175,W1624&lt;35),0.3,0)+IF(AND(V1624&gt;=75,V1624&lt;=175,W1624&gt;=35,W1624&lt;65),0.23,0)+IF(AND(V1624&gt;=75,V1624&lt;=175,W1624&gt;=65,W1624&lt;110),0.17,0)+IF(AND(V1624&gt;=75,V1624&lt;=175,W1624&gt;=110),0.12,0)+IF(AND(V1624&gt;175,W1624&lt;25),0.3,0)+IF(AND(V1624&gt;175,W1624&gt;=25,W1624&lt;55),0.23,0)+IF(AND(V1624&gt;175,W1624&gt;=55,W1624&lt;95),0.17,0)+IF(AND(V1624&gt;175,W1624&gt;=95),0.12,0),
IF(AF1624="DoEVLo",IF(AND(V1624&lt;20,W1624&lt;55),0.25,0)+IF(AND(V1624&lt;20,W1624&gt;=55,W1624&lt;105),0.2,0)+IF(AND(V1624&lt;20,W1624&gt;=105),0.15,0)+IF(AND(V1624&gt;=20,V1624&lt;40,W1624&lt;45),0.25,0)+IF(AND(V1624&gt;=20,V1624&lt;40,W1624&gt;=45,W1624&lt;95),0.2,0)+IF(AND(V1624&gt;=20,V1624&lt;40,W1624&gt;=95),0.15,0)+IF(AND(V1624&gt;=40,V1624&lt;75,W1624&lt;35),0.25,0)+IF(AND(V1624&gt;=40,V1624&lt;75,W1624&gt;=35,W1624&lt;75),0.2,0)+IF(AND(V1624&gt;=40,V1624&lt;75,W1624&gt;=75,W1624&lt;120),0.15,0)+IF(AND(V1624&gt;=40,V1624&lt;75,W1624&gt;=120),0.1,0)+IF(AND(V1624&gt;=75,V1624&lt;175,W1624&lt;35),0.25,0)+IF(AND(V1624&gt;=75,V1624&lt;=175,W1624&gt;=35,W1624&lt;65),0.2,0)+IF(AND(V1624&gt;=75,V1624&lt;=175,W1624&gt;=65,W1624&lt;110),0.15,0)+IF(AND(V1624&gt;=75,V1624&lt;=175,W1624&gt;=110),0.1,0)+IF(AND(V1624&gt;175,W1624&lt;25),0.25,0)+IF(AND(V1624&gt;175,W1624&gt;=25,W1624&lt;55),0.2,0)+IF(AND(V1624&gt;175,W1624&gt;=55,W1624&lt;95),0.15,0)+IF(AND(V1624&gt;175,W1624&gt;=95),0.1,0))))))))))))))))</f>
        <v>0.35</v>
      </c>
      <c r="Y1624" s="30">
        <f>IF(AG1624="None",0,IF(AG1624="Fix5",0.05,IF(AG1624="Fix3.75",0.0375,IF(AG1624="Fix10",0.1,IF(AG1624="Fix3",0.03,0)))))</f>
        <v>0</v>
      </c>
      <c r="Z1624" s="35">
        <v>188</v>
      </c>
      <c r="AA1624" s="29">
        <v>63</v>
      </c>
      <c r="AB1624" s="36">
        <f>IF(AD1624="EUR",((T1624-R1624)*Y1624)*U1624+(R1624*Y1624),(T1624*Y1624))</f>
        <v>0</v>
      </c>
      <c r="AC1624" s="37" t="b">
        <v>1</v>
      </c>
      <c r="AD1624" s="82" t="s">
        <v>38</v>
      </c>
      <c r="AE1624" s="83" t="s">
        <v>38</v>
      </c>
      <c r="AF1624" s="83" t="str">
        <f t="array" ref="AF1624">INDEX('Deal Info'!D:D, MATCH(A1624,'Deal Info'!A:A, 0))</f>
        <v>DoEVold</v>
      </c>
      <c r="AG1624" s="84" t="str">
        <f t="array" ref="AG1624">INDEX('Deal Info'!G:G, MATCH(A1624,'Deal Info'!A:A, 0))</f>
        <v>None</v>
      </c>
    </row>
    <row r="1625" spans="1:33" ht="14.25" hidden="1" x14ac:dyDescent="0.2">
      <c r="A1625" s="18" t="str">
        <f t="array" ref="A1625">IF(G1625='Room Info'!$B$1, INDEX('Room Info'!$A$2:$A2446, MATCH(B1625,'Room Info'!$B$2:$B2446, 0)),IF(G1625='Room Info'!$C$1, INDEX('Room Info'!$A$2:$A2446, MATCH(B1625,'Room Info'!$C$2:$C2446, 0)),IF(G1625='Room Info'!$D$1, INDEX('Room Info'!$A$2:$A2446, MATCH(B1625,'Room Info'!$D$2:$D2446, 0)),IF(G1625='Room Info'!$E$1, INDEX('Room Info'!$A$2:$A2446, MATCH(B1625,'Room Info'!$E$2:$E2446, 0)),IF(G1625='Room Info'!$F$1, INDEX('Room Info'!$A$2:$A2446, MATCH(B1625,'Room Info'!$F$2:$F2446, 0)),IF(G1625='Room Info'!$H$1, INDEX('Room Info'!$A$2:$A2446, MATCH(B1625,'Room Info'!$H$2:$H2446, 0)),IF(G1625='Room Info'!$G$1, INDEX('Room Info'!$A$2:$A2446, MATCH(B1625,'Room Info'!$G$2:$G2446, 0)))))))))</f>
        <v>Kiss4money99</v>
      </c>
      <c r="B1625" s="45" t="s">
        <v>120</v>
      </c>
      <c r="C1625" s="46">
        <v>44978</v>
      </c>
      <c r="D1625" s="46">
        <v>45005</v>
      </c>
      <c r="E1625" s="90">
        <v>44986</v>
      </c>
      <c r="F1625" s="48" t="s">
        <v>34</v>
      </c>
      <c r="G1625" s="65" t="s">
        <v>35</v>
      </c>
      <c r="H1625" s="49" t="s">
        <v>39</v>
      </c>
      <c r="I1625" s="100" t="s">
        <v>37</v>
      </c>
      <c r="J1625" s="39">
        <v>5</v>
      </c>
      <c r="K1625" s="75">
        <v>1</v>
      </c>
      <c r="L1625" s="72">
        <v>5</v>
      </c>
      <c r="M1625" s="53">
        <v>1315</v>
      </c>
      <c r="N1625" s="28">
        <f t="shared" ref="N1554:N2445" si="8">K1625*J1625</f>
        <v>5</v>
      </c>
      <c r="O1625" s="45">
        <v>330</v>
      </c>
      <c r="P1625" s="29">
        <v>330</v>
      </c>
      <c r="Q1625" s="55"/>
      <c r="R1625" s="31">
        <f t="shared" ref="R1625:R2446" si="9">M1625+Q1625*J1625*K1625*0.07</f>
        <v>1315</v>
      </c>
      <c r="S1625" s="73">
        <v>-334</v>
      </c>
      <c r="T1625" s="32">
        <f t="shared" ref="T1620:T2446" si="10">IF(AND(AD1625="EUR", F1625="Without EV deal"), R1625 + L1625,
IF(AND(AD1625="USD", F1625="Without EV deal"), R1625 + L1625,
IF(AND(AD1625="EUR", F1625="Steel Phoenix"), R1625 + S1625/U1625,
R1625 + S1625)))</f>
        <v>981</v>
      </c>
      <c r="U1625" s="57">
        <v>1.071</v>
      </c>
      <c r="V1625" s="58">
        <v>9.9971607040000006</v>
      </c>
      <c r="W1625" s="58">
        <v>98.1278614</v>
      </c>
      <c r="X1625" s="30">
        <f t="shared" ref="X1620:X2446" si="11">IF(AF1625="DoEV",IF(AND(V1625&lt;20,W1625&lt;55),0.3,0)+IF(AND(V1625&lt;20,W1625&gt;=55,W1625&lt;105),0.23,0)+IF(AND(V1625&lt;20,W1625&gt;=105),0.17,0)+IF(AND(V1625&gt;=20,V1625&lt;40,W1625&lt;45),0.3,0)+IF(AND(V1625&gt;=20,V1625&lt;40,W1625&gt;=45,W1625&lt;95),0.23,0)+IF(AND(V1625&gt;=20,V1625&lt;40,W1625&gt;=95),0.17,0)+IF(AND(V1625&gt;=40,V1625&lt;75,W1625&lt;35),0.3,0)+IF(AND(V1625&gt;=40,V1625&lt;75,W1625&gt;=35,W1625&lt;75),0.23,0)+IF(AND(V1625&gt;=40,V1625&lt;75,W1625&gt;=75,W1625&lt;120),0.17,0)+IF(AND(V1625&gt;=40,V1625&lt;75,W1625&gt;=120),0.12,0)+IF(AND(V1625&gt;=75,V1625&lt;175,W1625&lt;35),0.3,0)+IF(AND(V1625&gt;=75,V1625&lt;=175,W1625&gt;=35,W1625&lt;65),0.23,0)+IF(AND(V1625&gt;=75,V1625&lt;=175,W1625&gt;=65,W1625&lt;110),0.17,0)+IF(AND(V1625&gt;=75,V1625&lt;=175,W1625&gt;=110),0.12,0)+IF(AND(V1625&gt;175,W1625&lt;25),0.3,0)+IF(AND(V1625&gt;175,W1625&gt;=25,W1625&lt;55),0.23,0)+IF(AND(V1625&gt;175,W1625&gt;=55,W1625&lt;95),0.17,0)+IF(AND(V1625&gt;175,W1625&gt;=95),0.12,0),
IF(AF1625="Fix15",0.15,
IF(AF1625="Fix5",0.05,
IF(AF1625="Fix18.75",0.1875,
IF(AF1625="Fix11.25",0.1125,
IF(AF1625="Fix10",0.1,
IF(AF1625="Fix9",0.09,
IF(AF1625="Fix12",0.12,
IF(AF1625="Fix19",0.19,
IF(AF1625="DoEV2017",IF(AND(W1625&lt;74),0.2,0)+IF(AND(W1625&gt;=74),0.17,0),
IF(AF1625="SF",IF(AND(V1625&lt;20,W1625&lt;89),0.3,0)+IF(AND(V1625&lt;20,W1625&gt;=89),0.25,0)+IF(AND(V1625&gt;=20,V1625&lt;40,W1625&lt;74),0.3,0)+IF(AND(V1625&gt;=20,V1625&lt;40,W1625&gt;=75),0.22,0)+IF(AND(V1625&gt;=40,V1625&lt;75,W1625&lt;75),0.26,0)+IF(AND(V1625&gt;=40,V1625&lt;75,W1625&gt;=75),0.22,0)+IF(V1625&gt;=75,0.22,0),
IF(AF1625="DoEVold",IF(AND(V1625&lt;40,W1625&lt;35),0.35,0)+IF(AND(V1625&lt;40,W1625&gt;=35,W1625&lt;75),0.25,0)+IF(AND(V1625&lt;40,W1625&gt;=75),0.17,0)+IF(AND(V1625&gt;=40,V1625&lt;75,W1625&lt;25),0.35,0)+IF(AND(V1625&gt;=40,V1625&lt;75,W1625&gt;=25,W1625&lt;65),0.25,0)+IF(AND(V1625&gt;=40,V1625&lt;75,W1625&gt;=65,W1625&lt;100),0.17,0)+IF(AND(V1625&gt;=40,V1625&lt;75,W1625&gt;=100),0.1,0)+IF(AND(V1625&gt;=75,W1625&lt;25),0.35,0)+IF(AND(V1625&gt;=75,W1625&gt;=25,W1625&lt;60),0.25,0)+IF(AND(V1625&gt;=75,W1625&gt;=60,W1625&lt;95),0.17,0)+IF(AND(V1625&gt;=75,W1625&gt;=95),0.1,0),
IF(AF1625="DoEVold15",IF(AND(V1625&lt;=40,W1625&lt;35),0.35,0)+IF(AND(V1625&lt;=40,W1625&gt;=35,W1625&lt;75),0.25,0)+IF(AND(V1625&lt;=40,W1625&gt;=75,W1625&lt;120),0.17,0)+IF(AND(V1625&lt;=40,W1625&gt;=120),0.15,0)+IF(AND(V1625&gt;40,V1625&lt;75,W1625&lt;25),0.35,0)+IF(AND(V1625&gt;=40,V1625&lt;75,W1625&gt;=25,W1625&lt;65),0.25,0)+IF(AND(V1625&gt;=40,V1625&lt;75,W1625&gt;=65,W1625&lt;100),0.17,0)+IF(AND(V1625&gt;=40,V1625&lt;75,W1625&gt;=100),0.1,0)+IF(AND(V1625&gt;=75,W1625&lt;25),0.35,0)+IF(AND(V1625&gt;=75,W1625&gt;=25,W1625&lt;60),0.25,0)+IF(AND(V1625&gt;=75,W1625&gt;=60,W1625&lt;95),0.17,0)+IF(AND(V1625&gt;=75,W1625&gt;=95),0.1,0),
IF(AF1625="DoEVba",IF(AND(V1625&lt;20,W1625&lt;105),0.2,0)+IF(AND(V1625&lt;20,W1625&gt;=105),0.15,0)+IF(AND(V1625&gt;=20,V1625&lt;40,W1625&lt;95),0.2,0)+IF(AND(V1625&gt;=20,V1625&lt;40,W1625&gt;=95,W1625&lt;150),0.15,0)+IF(AND(V1625&gt;=20,V1625&lt;40,W1625&gt;=150),0.12,0)+IF(AND(V1625&gt;=40,V1625&lt;75,W1625&lt;75),0.2,0)+IF(AND(V1625&gt;=40,V1625&lt;75,W1625&gt;=75,W1625&lt;120),0.15,0)+IF(AND(V1625&gt;=40,V1625&lt;75,W1625&gt;=120),0.12,0)+IF(AND(V1625&gt;=75,V1625&lt;175,W1625&lt;65),0.2,0)+IF(AND(V1625&gt;=75,V1625&lt;175,W1625&gt;=65,W1625&lt;110),0.15,0)+IF(AND(V1625&gt;=75,V1625&lt;175,W1625&gt;=110),0.12,0)+IF(AND(V1625&gt;=175,W1625&lt;55),0.2,0)+IF(AND(V1625&gt;=175,W1625&gt;=55,W1625&lt;95),0.15,0)+IF(AND(V1625&gt;=175,W1625&gt;=95),0.12,0),
IF(AF1625="DoEVku",IF(AND(V1625&lt;20,W1625&lt;55),0.23,0)+IF(AND(V1625&lt;20,W1625&gt;=55,W1625&lt;105),0.2,0)+IF(AND(V1625&lt;20,W1625&gt;=105),0.17,0)+IF(AND(V1625&gt;=20,V1625&lt;40,W1625&lt;45),0.23,0)+IF(AND(V1625&gt;=20,V1625&lt;40,W1625&gt;=45,W1625&lt;95),0.2,0)+IF(AND(V1625&gt;=20,V1625&lt;40,W1625&gt;=95,W1625&lt;=150),0.17,0)+IF(AND(V1625&gt;=20,V1625&lt;40,W1625&gt;=150),0.12,0)+IF(AND(V1625&gt;=40,V1625&lt;75,W1625&lt;35),0.23,0)+IF(AND(V1625&gt;=40,V1625&lt;75,W1625&gt;=35,W1625&lt;75),0.2,0)+IF(AND(V1625&gt;=40,V1625&lt;75,W1625&gt;=75,W1625&lt;120),0.17,0)+IF(AND(V1625&gt;=40,V1625&lt;75,W1625&gt;=120),0.12,0)+IF(AND(V1625&gt;=75,V1625&lt;175,W1625&lt;35),0.23,0)+IF(AND(V1625&gt;=75,V1625&lt;=175,W1625&gt;=35,W1625&lt;65),0.2,0)+IF(AND(V1625&gt;=75,V1625&lt;=175,W1625&gt;=65,W1625&lt;110),0.17,0)+IF(AND(V1625&gt;=75,V1625&lt;=175,W1625&gt;=110),0.12,0)+IF(AND(V1625&gt;175,W1625&lt;25),0.23,0)+IF(AND(V1625&gt;175,W1625&gt;=25,W1625&lt;55),0.2,0)+IF(AND(V1625&gt;175,W1625&gt;=55,W1625&lt;95),0.17,0)+IF(AND(V1625&gt;175,W1625&gt;=95),0.12,0),
IF(AF1625="DoEVs1",IF(AND(V1625&lt;20,W1625&lt;55),0.3,0)+IF(AND(V1625&lt;20,W1625&gt;=55,W1625&lt;105),0.23,0)+IF(AND(V1625&lt;20,W1625&gt;=105),0.17,0)+IF(AND(V1625&gt;=20,V1625&lt;40,W1625&lt;45),0.3,0)+IF(AND(V1625&gt;=20,V1625&lt;40,W1625&gt;=45,W1625&lt;95),0.23,0)+IF(AND(V1625&gt;=20,V1625&lt;40,W1625&gt;=95,W1625&lt;=150),0.17,0)+IF(AND(V1625&gt;=20,V1625&lt;40,W1625&gt;=150),0.12,0)+IF(AND(V1625&gt;=40,V1625&lt;75,W1625&lt;35),0.3,0)+IF(AND(V1625&gt;=40,V1625&lt;75,W1625&gt;=35,W1625&lt;75),0.23,0)+IF(AND(V1625&gt;=40,V1625&lt;75,W1625&gt;=75,W1625&lt;120),0.17,0)+IF(AND(V1625&gt;=40,V1625&lt;75,W1625&gt;=120),0.12,0)+IF(AND(V1625&gt;=75,V1625&lt;175,W1625&lt;35),0.3,0)+IF(AND(V1625&gt;=75,V1625&lt;=175,W1625&gt;=35,W1625&lt;65),0.23,0)+IF(AND(V1625&gt;=75,V1625&lt;=175,W1625&gt;=65,W1625&lt;110),0.17,0)+IF(AND(V1625&gt;=75,V1625&lt;=175,W1625&gt;=110),0.12,0)+IF(AND(V1625&gt;175,W1625&lt;25),0.3,0)+IF(AND(V1625&gt;175,W1625&gt;=25,W1625&lt;55),0.23,0)+IF(AND(V1625&gt;175,W1625&gt;=55,W1625&lt;95),0.17,0)+IF(AND(V1625&gt;175,W1625&gt;=95),0.12,0),
IF(AF1625="DoEVsu",IF(AND(V1625&lt;20,W1625&lt;55),0.3,0)+IF(AND(V1625&lt;20,W1625&gt;=55,W1625&lt;105),0.23,0)+IF(AND(V1625&lt;20,W1625&gt;=105),0.17,0)+IF(AND(V1625&gt;=20,V1625&lt;40,W1625&lt;45),0.3,0)+IF(AND(V1625&gt;=20,V1625&lt;40,W1625&gt;=45,W1625&lt;95),0.23,0)+IF(AND(V1625&gt;=20,V1625&lt;40,W1625&gt;=95,W1625&lt;=250),0.17,0)+IF(AND(V1625&gt;=20,V1625&lt;40,W1625&gt;=250),0.12,0)+IF(AND(V1625&gt;=40,V1625&lt;75,W1625&lt;35),0.3,0)+IF(AND(V1625&gt;=40,V1625&lt;75,W1625&gt;=35,W1625&lt;75),0.23,0)+IF(AND(V1625&gt;=40,V1625&lt;75,W1625&gt;=75,W1625&lt;120),0.17,0)+IF(AND(V1625&gt;=40,V1625&lt;75,W1625&gt;=120),0.12,0)+IF(AND(V1625&gt;=75,V1625&lt;175,W1625&lt;35),0.3,0)+IF(AND(V1625&gt;=75,V1625&lt;=175,W1625&gt;=35,W1625&lt;65),0.23,0)+IF(AND(V1625&gt;=75,V1625&lt;=175,W1625&gt;=65,W1625&lt;110),0.17,0)+IF(AND(V1625&gt;=75,V1625&lt;=175,W1625&gt;=110),0.12,0)+IF(AND(V1625&gt;175,W1625&lt;25),0.3,0)+IF(AND(V1625&gt;175,W1625&gt;=25,W1625&lt;55),0.23,0)+IF(AND(V1625&gt;175,W1625&gt;=55,W1625&lt;95),0.17,0)+IF(AND(V1625&gt;175,W1625&gt;=95),0.12,0),
IF(AF1625="DoEVni",IF(AND(V1625&lt;20,W1625&lt;55),0.3,0)+IF(AND(V1625&lt;20,W1625&gt;=55,W1625&lt;105),0.23,0)+IF(AND(V1625&lt;20,W1625&gt;=105),0.17,0)+IF(AND(V1625&gt;=20,V1625&lt;40,W1625&lt;45),0.3,0)+IF(AND(V1625&gt;=20,V1625&lt;40,W1625&gt;=45,W1625&lt;95),0.23,0)+IF(AND(V1625&gt;=20,V1625&lt;40,W1625&gt;=95,W1625&lt;=200),0.17,0)+IF(AND(V1625&gt;=20,V1625&lt;40,W1625&gt;=200),0.12,0)+IF(AND(V1625&gt;=40,V1625&lt;75,W1625&lt;35),0.3,0)+IF(AND(V1625&gt;=40,V1625&lt;75,W1625&gt;=35,W1625&lt;75),0.23,0)+IF(AND(V1625&gt;=40,V1625&lt;75,W1625&gt;=75,W1625&lt;120),0.17,0)+IF(AND(V1625&gt;=40,V1625&lt;75,W1625&gt;=120),0.12,0)+IF(AND(V1625&gt;=75,V1625&lt;175,W1625&lt;35),0.3,0)+IF(AND(V1625&gt;=75,V1625&lt;=175,W1625&gt;=35,W1625&lt;65),0.23,0)+IF(AND(V1625&gt;=75,V1625&lt;=175,W1625&gt;=65,W1625&lt;110),0.17,0)+IF(AND(V1625&gt;=75,V1625&lt;=175,W1625&gt;=110),0.12,0)+IF(AND(V1625&gt;175,W1625&lt;25),0.3,0)+IF(AND(V1625&gt;175,W1625&gt;=25,W1625&lt;55),0.23,0)+IF(AND(V1625&gt;175,W1625&gt;=55,W1625&lt;95),0.17,0)+IF(AND(V1625&gt;175,W1625&gt;=95),0.12,0),
IF(AF1625="DoEVLo",IF(AND(V1625&lt;20,W1625&lt;55),0.25,0)+IF(AND(V1625&lt;20,W1625&gt;=55,W1625&lt;105),0.2,0)+IF(AND(V1625&lt;20,W1625&gt;=105),0.15,0)+IF(AND(V1625&gt;=20,V1625&lt;40,W1625&lt;45),0.25,0)+IF(AND(V1625&gt;=20,V1625&lt;40,W1625&gt;=45,W1625&lt;95),0.2,0)+IF(AND(V1625&gt;=20,V1625&lt;40,W1625&gt;=95),0.15,0)+IF(AND(V1625&gt;=40,V1625&lt;75,W1625&lt;35),0.25,0)+IF(AND(V1625&gt;=40,V1625&lt;75,W1625&gt;=35,W1625&lt;75),0.2,0)+IF(AND(V1625&gt;=40,V1625&lt;75,W1625&gt;=75,W1625&lt;120),0.15,0)+IF(AND(V1625&gt;=40,V1625&lt;75,W1625&gt;=120),0.1,0)+IF(AND(V1625&gt;=75,V1625&lt;175,W1625&lt;35),0.25,0)+IF(AND(V1625&gt;=75,V1625&lt;=175,W1625&gt;=35,W1625&lt;65),0.2,0)+IF(AND(V1625&gt;=75,V1625&lt;=175,W1625&gt;=65,W1625&lt;110),0.15,0)+IF(AND(V1625&gt;=75,V1625&lt;=175,W1625&gt;=110),0.1,0)+IF(AND(V1625&gt;175,W1625&lt;25),0.25,0)+IF(AND(V1625&gt;175,W1625&gt;=25,W1625&lt;55),0.2,0)+IF(AND(V1625&gt;175,W1625&gt;=55,W1625&lt;95),0.15,0)+IF(AND(V1625&gt;175,W1625&gt;=95),0.1,0))))))))))))))))))))</f>
        <v>0.25</v>
      </c>
      <c r="Y1625" s="30">
        <f t="shared" ref="Y1620:Y2446" si="12">IF(AG1625="None",0,IF(AG1625="Fix5",0.05, IF(AG1625="Fix6.25",0.0625,IF(AG1625="Fix3.75",0.0375, IF(AG1625="Fix11",0.11, IF(AG1625="Fix10",0.1,IF(AG1625="Fix3",0.03,0)))))))</f>
        <v>0</v>
      </c>
      <c r="Z1625" s="35">
        <f t="shared" ref="Z1620:Z2446" si="13">IF(AND(AD1625="EUR", AE1625 = "USD"), T1625*U1625-AA1625-AB1625, T1625-AA1625-AB1625)</f>
        <v>735.75</v>
      </c>
      <c r="AA1625" s="29">
        <f t="shared" ref="AA1620:AA2446" si="14">IF(AND(AD1625="EUR", F1625="Without EV deal", AE1625="USD"), (T1625*X1625)*U1625,
IF(AND(AD1625="EUR", F1625="Without EV deal", AE1625="EUR"), (T1625*X1625),
IF(AND(AD1625="EUR",AE1625="USD"), (T1625*X1625)*U1625,
T1625*X1625)))</f>
        <v>245.25</v>
      </c>
      <c r="AB1625" s="36">
        <f t="shared" ref="AB1620:AB2446" si="15">IF(AND(AD1625="EUR", F1625="Without EV deal", AE1625="USD"), (T1625*Y1625)*U1625,
IF(AND(AD1625="EUR", F1625="Without EV deal", AE1625="EUR"), (T1625*Y1625),
IF(AND(AD1625="EUR",AE1625="USD"), (T1625*Y1625)*U1625,
T1625*Y1625)))</f>
        <v>0</v>
      </c>
      <c r="AC1625" s="37" t="b">
        <v>0</v>
      </c>
      <c r="AD1625" s="82" t="str">
        <f t="shared" ref="AD1620:AD2446" si="16">IF(OR(H1625="€0.25 Flash",
H1625="€0.25(nitro) new",
H1625="€1",
H1625="€2",
H1625="€2 (bf 01.08)",
H1625="€5",
H1625="€5 (1M)",
H1625="€5 (bf 01.08)",
H1625="€5 (bf 05.05)",
H1625="€5 Nitro",
H1625="€5(wx) new",
H1625="€10",
H1625="€10 (1M)",
H1625="€10 (bf 01.08)",
H1625="€10 (bf 05.05)",
H1625="€10 (MP)",
H1625="€10 (old)",
H1625="€10 Nitro (bf 05.05)",
H1625="€10 Nitro (old)",
H1625="€10(wx) new",
H1625="€20",
H1625="€25",
H1625="€25 (bf 01.08)",
H1625="€25 (bf 05.05)",
H1625="€25 (MP)",
H1625="€25 (old)",
H1625="€25 Nitro",
H1625="€25 Nitro (bf 01.08)",
H1625="€25 Nitro (bf 05.05)",
H1625="€25(nitro) new",
H1625="€25(wx) new",
H1625="€50",
H1625="€50 (bf 01.08)",
H1625="€50 (bf 05.05)",
H1625="€50 (old)",
H1625="€50 Nitro",
H1625="€50 Nitro (bf 01.08)",
H1625="€50 Nitro (bf 05.05)",
H1625="€50(wx) new",
H1625="€100",
H1625="€100 (old)",
H1625="€100 Nitro",
H1625="€100 Nitro (old)",
H1625="€200",
H1625="€250",
H1625="€250 Nitro",
H1625="€500",
H1625="€500 Nitro"),"EUR", "USD")</f>
        <v>USD</v>
      </c>
      <c r="AE1625" s="83" t="s">
        <v>38</v>
      </c>
      <c r="AF1625" s="83" t="str">
        <f t="array" ref="AF1625">INDEX('Deal Info'!D:D, MATCH(A1625,'Deal Info'!A:A, 0))</f>
        <v>SF</v>
      </c>
      <c r="AG1625" s="84" t="str">
        <f t="array" ref="AG1625">INDEX('Deal Info'!G:G, MATCH(A1625,'Deal Info'!A:A, 0))</f>
        <v>None</v>
      </c>
    </row>
    <row r="1626" spans="1:33" ht="14.25" hidden="1" x14ac:dyDescent="0.2">
      <c r="A1626" s="18" t="str">
        <f t="array" ref="A1626">IF(G1626='Room Info'!$B$1, INDEX('Room Info'!$A$2:$A2446, MATCH(B1626,'Room Info'!$B$2:$B2446, 0)),IF(G1626='Room Info'!$C$1, INDEX('Room Info'!$A$2:$A2446, MATCH(B1626,'Room Info'!$C$2:$C2446, 0)),IF(G1626='Room Info'!$D$1, INDEX('Room Info'!$A$2:$A2446, MATCH(B1626,'Room Info'!$D$2:$D2446, 0)),IF(G1626='Room Info'!$E$1, INDEX('Room Info'!$A$2:$A2446, MATCH(B1626,'Room Info'!$E$2:$E2446, 0)),IF(G1626='Room Info'!$F$1, INDEX('Room Info'!$A$2:$A2446, MATCH(B1626,'Room Info'!$F$2:$F2446, 0)),IF(G1626='Room Info'!$H$1, INDEX('Room Info'!$A$2:$A2446, MATCH(B1626,'Room Info'!$H$2:$H2446, 0)),IF(G1626='Room Info'!$G$1, INDEX('Room Info'!$A$2:$A2446, MATCH(B1626,'Room Info'!$G$2:$G2446, 0)))))))))</f>
        <v>Kiss4money99</v>
      </c>
      <c r="B1626" s="45" t="s">
        <v>120</v>
      </c>
      <c r="C1626" s="46">
        <v>44978</v>
      </c>
      <c r="D1626" s="46">
        <v>45005</v>
      </c>
      <c r="E1626" s="90">
        <v>44986</v>
      </c>
      <c r="F1626" s="48" t="s">
        <v>34</v>
      </c>
      <c r="G1626" s="65" t="s">
        <v>35</v>
      </c>
      <c r="H1626" s="49" t="s">
        <v>40</v>
      </c>
      <c r="I1626" s="100" t="s">
        <v>37</v>
      </c>
      <c r="J1626" s="39">
        <v>10</v>
      </c>
      <c r="K1626" s="75">
        <v>1760</v>
      </c>
      <c r="L1626" s="72">
        <v>-790</v>
      </c>
      <c r="M1626" s="79"/>
      <c r="N1626" s="28">
        <f t="shared" si="8"/>
        <v>17600</v>
      </c>
      <c r="O1626" s="45">
        <v>50415</v>
      </c>
      <c r="P1626" s="29">
        <v>28.644886360000001</v>
      </c>
      <c r="Q1626" s="55"/>
      <c r="R1626" s="31">
        <f t="shared" si="9"/>
        <v>0</v>
      </c>
      <c r="S1626" s="97"/>
      <c r="T1626" s="32">
        <f t="shared" si="10"/>
        <v>0</v>
      </c>
      <c r="U1626" s="57">
        <v>1.071</v>
      </c>
      <c r="V1626" s="58">
        <v>9.9971607040000006</v>
      </c>
      <c r="W1626" s="58">
        <v>98.1278614</v>
      </c>
      <c r="X1626" s="30">
        <f t="shared" si="11"/>
        <v>0.25</v>
      </c>
      <c r="Y1626" s="30">
        <f t="shared" si="12"/>
        <v>0</v>
      </c>
      <c r="Z1626" s="35">
        <f t="shared" si="13"/>
        <v>0</v>
      </c>
      <c r="AA1626" s="29">
        <f t="shared" si="14"/>
        <v>0</v>
      </c>
      <c r="AB1626" s="36">
        <f t="shared" si="15"/>
        <v>0</v>
      </c>
      <c r="AC1626" s="37" t="b">
        <v>0</v>
      </c>
      <c r="AD1626" s="82" t="str">
        <f t="shared" si="16"/>
        <v>USD</v>
      </c>
      <c r="AE1626" s="83" t="s">
        <v>38</v>
      </c>
      <c r="AF1626" s="83" t="str">
        <f t="array" ref="AF1626">INDEX('Deal Info'!D:D, MATCH(A1626,'Deal Info'!A:A, 0))</f>
        <v>SF</v>
      </c>
      <c r="AG1626" s="84" t="str">
        <f t="array" ref="AG1626">INDEX('Deal Info'!G:G, MATCH(A1626,'Deal Info'!A:A, 0))</f>
        <v>None</v>
      </c>
    </row>
    <row r="1627" spans="1:33" ht="14.25" hidden="1" x14ac:dyDescent="0.2">
      <c r="A1627" s="18" t="str">
        <f t="array" ref="A1627">IF(G1627='Room Info'!$B$1, INDEX('Room Info'!$A$2:$A2446, MATCH(B1627,'Room Info'!$B$2:$B2446, 0)),IF(G1627='Room Info'!$C$1, INDEX('Room Info'!$A$2:$A2446, MATCH(B1627,'Room Info'!$C$2:$C2446, 0)),IF(G1627='Room Info'!$D$1, INDEX('Room Info'!$A$2:$A2446, MATCH(B1627,'Room Info'!$D$2:$D2446, 0)),IF(G1627='Room Info'!$E$1, INDEX('Room Info'!$A$2:$A2446, MATCH(B1627,'Room Info'!$E$2:$E2446, 0)),IF(G1627='Room Info'!$F$1, INDEX('Room Info'!$A$2:$A2446, MATCH(B1627,'Room Info'!$F$2:$F2446, 0)),IF(G1627='Room Info'!$H$1, INDEX('Room Info'!$A$2:$A2446, MATCH(B1627,'Room Info'!$H$2:$H2446, 0)),IF(G1627='Room Info'!$G$1, INDEX('Room Info'!$A$2:$A2446, MATCH(B1627,'Room Info'!$G$2:$G2446, 0)))))))))</f>
        <v>S1lense</v>
      </c>
      <c r="B1627" s="45" t="s">
        <v>124</v>
      </c>
      <c r="C1627" s="46">
        <v>44978</v>
      </c>
      <c r="D1627" s="46">
        <v>45005</v>
      </c>
      <c r="E1627" s="90">
        <v>44986</v>
      </c>
      <c r="F1627" s="48" t="s">
        <v>34</v>
      </c>
      <c r="G1627" s="65" t="s">
        <v>35</v>
      </c>
      <c r="H1627" s="49" t="s">
        <v>39</v>
      </c>
      <c r="I1627" s="100" t="s">
        <v>37</v>
      </c>
      <c r="J1627" s="39">
        <v>5</v>
      </c>
      <c r="K1627" s="75">
        <v>552</v>
      </c>
      <c r="L1627" s="72">
        <v>350</v>
      </c>
      <c r="M1627" s="76">
        <v>505</v>
      </c>
      <c r="N1627" s="28">
        <f t="shared" si="8"/>
        <v>2760</v>
      </c>
      <c r="O1627" s="45">
        <v>30434</v>
      </c>
      <c r="P1627" s="29">
        <v>55.134057970000001</v>
      </c>
      <c r="Q1627" s="55"/>
      <c r="R1627" s="31">
        <f t="shared" si="9"/>
        <v>505</v>
      </c>
      <c r="S1627" s="97"/>
      <c r="T1627" s="32">
        <f t="shared" si="10"/>
        <v>505</v>
      </c>
      <c r="U1627" s="57">
        <v>1.071</v>
      </c>
      <c r="V1627" s="69">
        <v>8.8168867268936761</v>
      </c>
      <c r="W1627" s="69">
        <v>57.27645320197044</v>
      </c>
      <c r="X1627" s="30">
        <f t="shared" si="11"/>
        <v>0.23</v>
      </c>
      <c r="Y1627" s="30">
        <f t="shared" si="12"/>
        <v>0</v>
      </c>
      <c r="Z1627" s="35">
        <f t="shared" si="13"/>
        <v>388.85</v>
      </c>
      <c r="AA1627" s="29">
        <f t="shared" si="14"/>
        <v>116.15</v>
      </c>
      <c r="AB1627" s="36">
        <f t="shared" si="15"/>
        <v>0</v>
      </c>
      <c r="AC1627" s="37" t="b">
        <v>0</v>
      </c>
      <c r="AD1627" s="82" t="str">
        <f t="shared" si="16"/>
        <v>USD</v>
      </c>
      <c r="AE1627" s="83" t="s">
        <v>38</v>
      </c>
      <c r="AF1627" s="83" t="str">
        <f t="array" ref="AF1627">INDEX('Deal Info'!D:D, MATCH(A1627,'Deal Info'!A:A, 0))</f>
        <v>DoEVs1</v>
      </c>
      <c r="AG1627" s="84" t="str">
        <f t="array" ref="AG1627">INDEX('Deal Info'!G:G, MATCH(A1627,'Deal Info'!A:A, 0))</f>
        <v>None</v>
      </c>
    </row>
    <row r="1628" spans="1:33" ht="14.25" hidden="1" x14ac:dyDescent="0.2">
      <c r="A1628" s="18" t="str">
        <f t="array" ref="A1628">IF(G1628='Room Info'!$B$1, INDEX('Room Info'!$A$2:$A2446, MATCH(B1628,'Room Info'!$B$2:$B2446, 0)),IF(G1628='Room Info'!$C$1, INDEX('Room Info'!$A$2:$A2446, MATCH(B1628,'Room Info'!$C$2:$C2446, 0)),IF(G1628='Room Info'!$D$1, INDEX('Room Info'!$A$2:$A2446, MATCH(B1628,'Room Info'!$D$2:$D2446, 0)),IF(G1628='Room Info'!$E$1, INDEX('Room Info'!$A$2:$A2446, MATCH(B1628,'Room Info'!$E$2:$E2446, 0)),IF(G1628='Room Info'!$F$1, INDEX('Room Info'!$A$2:$A2446, MATCH(B1628,'Room Info'!$F$2:$F2446, 0)),IF(G1628='Room Info'!$H$1, INDEX('Room Info'!$A$2:$A2446, MATCH(B1628,'Room Info'!$H$2:$H2446, 0)),IF(G1628='Room Info'!$G$1, INDEX('Room Info'!$A$2:$A2446, MATCH(B1628,'Room Info'!$G$2:$G2446, 0)))))))))</f>
        <v>S1lense</v>
      </c>
      <c r="B1628" s="45" t="s">
        <v>124</v>
      </c>
      <c r="C1628" s="46">
        <v>44978</v>
      </c>
      <c r="D1628" s="46">
        <v>45005</v>
      </c>
      <c r="E1628" s="90">
        <v>44986</v>
      </c>
      <c r="F1628" s="48" t="s">
        <v>34</v>
      </c>
      <c r="G1628" s="65" t="s">
        <v>35</v>
      </c>
      <c r="H1628" s="49" t="s">
        <v>217</v>
      </c>
      <c r="I1628" s="54" t="s">
        <v>44</v>
      </c>
      <c r="J1628" s="39">
        <v>5</v>
      </c>
      <c r="K1628" s="75">
        <v>68</v>
      </c>
      <c r="L1628" s="72">
        <v>60</v>
      </c>
      <c r="M1628" s="79"/>
      <c r="N1628" s="28">
        <f t="shared" si="8"/>
        <v>340</v>
      </c>
      <c r="O1628" s="45">
        <v>3437</v>
      </c>
      <c r="P1628" s="29">
        <v>50.544117649999997</v>
      </c>
      <c r="Q1628" s="55"/>
      <c r="R1628" s="31">
        <f t="shared" si="9"/>
        <v>0</v>
      </c>
      <c r="S1628" s="97"/>
      <c r="T1628" s="32">
        <f t="shared" si="10"/>
        <v>0</v>
      </c>
      <c r="U1628" s="57">
        <v>1.071</v>
      </c>
      <c r="V1628" s="69">
        <v>8.8168867268936761</v>
      </c>
      <c r="W1628" s="69">
        <v>57.27645320197044</v>
      </c>
      <c r="X1628" s="30">
        <f t="shared" si="11"/>
        <v>0.23</v>
      </c>
      <c r="Y1628" s="30">
        <f t="shared" si="12"/>
        <v>0</v>
      </c>
      <c r="Z1628" s="35">
        <f t="shared" si="13"/>
        <v>0</v>
      </c>
      <c r="AA1628" s="29">
        <f t="shared" si="14"/>
        <v>0</v>
      </c>
      <c r="AB1628" s="36">
        <f t="shared" si="15"/>
        <v>0</v>
      </c>
      <c r="AC1628" s="37" t="b">
        <v>0</v>
      </c>
      <c r="AD1628" s="82" t="str">
        <f t="shared" si="16"/>
        <v>USD</v>
      </c>
      <c r="AE1628" s="83" t="s">
        <v>38</v>
      </c>
      <c r="AF1628" s="83" t="str">
        <f t="array" ref="AF1628">INDEX('Deal Info'!D:D, MATCH(A1628,'Deal Info'!A:A, 0))</f>
        <v>DoEVs1</v>
      </c>
      <c r="AG1628" s="84" t="str">
        <f t="array" ref="AG1628">INDEX('Deal Info'!G:G, MATCH(A1628,'Deal Info'!A:A, 0))</f>
        <v>None</v>
      </c>
    </row>
    <row r="1629" spans="1:33" ht="14.25" hidden="1" x14ac:dyDescent="0.2">
      <c r="A1629" s="18" t="str">
        <f t="array" ref="A1629">IF(G1629='Room Info'!$B$1, INDEX('Room Info'!$A$2:$A2446, MATCH(B1629,'Room Info'!$B$2:$B2446, 0)),IF(G1629='Room Info'!$C$1, INDEX('Room Info'!$A$2:$A2446, MATCH(B1629,'Room Info'!$C$2:$C2446, 0)),IF(G1629='Room Info'!$D$1, INDEX('Room Info'!$A$2:$A2446, MATCH(B1629,'Room Info'!$D$2:$D2446, 0)),IF(G1629='Room Info'!$E$1, INDEX('Room Info'!$A$2:$A2446, MATCH(B1629,'Room Info'!$E$2:$E2446, 0)),IF(G1629='Room Info'!$F$1, INDEX('Room Info'!$A$2:$A2446, MATCH(B1629,'Room Info'!$F$2:$F2446, 0)),IF(G1629='Room Info'!$H$1, INDEX('Room Info'!$A$2:$A2446, MATCH(B1629,'Room Info'!$H$2:$H2446, 0)),IF(G1629='Room Info'!$G$1, INDEX('Room Info'!$A$2:$A2446, MATCH(B1629,'Room Info'!$G$2:$G2446, 0)))))))))</f>
        <v>S1lense</v>
      </c>
      <c r="B1629" s="45" t="s">
        <v>124</v>
      </c>
      <c r="C1629" s="46">
        <v>44978</v>
      </c>
      <c r="D1629" s="46">
        <v>45005</v>
      </c>
      <c r="E1629" s="90">
        <v>44986</v>
      </c>
      <c r="F1629" s="48" t="s">
        <v>34</v>
      </c>
      <c r="G1629" s="65" t="s">
        <v>35</v>
      </c>
      <c r="H1629" s="49" t="s">
        <v>40</v>
      </c>
      <c r="I1629" s="100" t="s">
        <v>37</v>
      </c>
      <c r="J1629" s="39">
        <v>10</v>
      </c>
      <c r="K1629" s="51">
        <v>250</v>
      </c>
      <c r="L1629" s="52">
        <v>-310</v>
      </c>
      <c r="M1629" s="62"/>
      <c r="N1629" s="28">
        <f t="shared" si="8"/>
        <v>2500</v>
      </c>
      <c r="O1629" s="54">
        <v>-4759</v>
      </c>
      <c r="P1629" s="29">
        <v>-19.036000000000001</v>
      </c>
      <c r="Q1629" s="55"/>
      <c r="R1629" s="31">
        <f t="shared" si="9"/>
        <v>0</v>
      </c>
      <c r="S1629" s="66"/>
      <c r="T1629" s="32">
        <f t="shared" si="10"/>
        <v>0</v>
      </c>
      <c r="U1629" s="57">
        <v>1.071</v>
      </c>
      <c r="V1629" s="69">
        <v>8.8168867268936761</v>
      </c>
      <c r="W1629" s="69">
        <v>57.27645320197044</v>
      </c>
      <c r="X1629" s="30">
        <f t="shared" si="11"/>
        <v>0.23</v>
      </c>
      <c r="Y1629" s="30">
        <f t="shared" si="12"/>
        <v>0</v>
      </c>
      <c r="Z1629" s="35">
        <f t="shared" si="13"/>
        <v>0</v>
      </c>
      <c r="AA1629" s="29">
        <f t="shared" si="14"/>
        <v>0</v>
      </c>
      <c r="AB1629" s="36">
        <f t="shared" si="15"/>
        <v>0</v>
      </c>
      <c r="AC1629" s="37" t="b">
        <v>0</v>
      </c>
      <c r="AD1629" s="82" t="str">
        <f t="shared" si="16"/>
        <v>USD</v>
      </c>
      <c r="AE1629" s="83" t="s">
        <v>38</v>
      </c>
      <c r="AF1629" s="83" t="str">
        <f t="array" ref="AF1629">INDEX('Deal Info'!D:D, MATCH(A1629,'Deal Info'!A:A, 0))</f>
        <v>DoEVs1</v>
      </c>
      <c r="AG1629" s="84" t="str">
        <f t="array" ref="AG1629">INDEX('Deal Info'!G:G, MATCH(A1629,'Deal Info'!A:A, 0))</f>
        <v>None</v>
      </c>
    </row>
    <row r="1630" spans="1:33" ht="14.25" hidden="1" x14ac:dyDescent="0.2">
      <c r="A1630" s="18" t="str">
        <f t="array" ref="A1630">IF(G1630='Room Info'!$B$1, INDEX('Room Info'!$A$2:$A2446, MATCH(B1630,'Room Info'!$B$2:$B2446, 0)),IF(G1630='Room Info'!$C$1, INDEX('Room Info'!$A$2:$A2446, MATCH(B1630,'Room Info'!$C$2:$C2446, 0)),IF(G1630='Room Info'!$D$1, INDEX('Room Info'!$A$2:$A2446, MATCH(B1630,'Room Info'!$D$2:$D2446, 0)),IF(G1630='Room Info'!$E$1, INDEX('Room Info'!$A$2:$A2446, MATCH(B1630,'Room Info'!$E$2:$E2446, 0)),IF(G1630='Room Info'!$F$1, INDEX('Room Info'!$A$2:$A2446, MATCH(B1630,'Room Info'!$F$2:$F2446, 0)),IF(G1630='Room Info'!$H$1, INDEX('Room Info'!$A$2:$A2446, MATCH(B1630,'Room Info'!$H$2:$H2446, 0)),IF(G1630='Room Info'!$G$1, INDEX('Room Info'!$A$2:$A2446, MATCH(B1630,'Room Info'!$G$2:$G2446, 0)))))))))</f>
        <v>S1lense</v>
      </c>
      <c r="B1630" s="45" t="s">
        <v>124</v>
      </c>
      <c r="C1630" s="46">
        <v>44978</v>
      </c>
      <c r="D1630" s="46">
        <v>45005</v>
      </c>
      <c r="E1630" s="90">
        <v>44986</v>
      </c>
      <c r="F1630" s="48" t="s">
        <v>34</v>
      </c>
      <c r="G1630" s="65" t="s">
        <v>35</v>
      </c>
      <c r="H1630" s="91" t="s">
        <v>115</v>
      </c>
      <c r="I1630" s="54" t="s">
        <v>44</v>
      </c>
      <c r="J1630" s="39">
        <v>10</v>
      </c>
      <c r="K1630" s="51">
        <v>1947</v>
      </c>
      <c r="L1630" s="52">
        <v>-780</v>
      </c>
      <c r="M1630" s="62"/>
      <c r="N1630" s="28">
        <f t="shared" si="8"/>
        <v>19470</v>
      </c>
      <c r="O1630" s="54">
        <v>16021</v>
      </c>
      <c r="P1630" s="29">
        <v>8.2285567539999995</v>
      </c>
      <c r="Q1630" s="55"/>
      <c r="R1630" s="31">
        <f t="shared" si="9"/>
        <v>0</v>
      </c>
      <c r="S1630" s="66"/>
      <c r="T1630" s="32">
        <f t="shared" si="10"/>
        <v>0</v>
      </c>
      <c r="U1630" s="57">
        <v>1.071</v>
      </c>
      <c r="V1630" s="69">
        <v>8.8168867268936761</v>
      </c>
      <c r="W1630" s="69">
        <v>57.27645320197044</v>
      </c>
      <c r="X1630" s="30">
        <f t="shared" si="11"/>
        <v>0.23</v>
      </c>
      <c r="Y1630" s="30">
        <f t="shared" si="12"/>
        <v>0</v>
      </c>
      <c r="Z1630" s="35">
        <f t="shared" si="13"/>
        <v>0</v>
      </c>
      <c r="AA1630" s="29">
        <f t="shared" si="14"/>
        <v>0</v>
      </c>
      <c r="AB1630" s="36">
        <f t="shared" si="15"/>
        <v>0</v>
      </c>
      <c r="AC1630" s="37" t="b">
        <v>0</v>
      </c>
      <c r="AD1630" s="82" t="str">
        <f t="shared" si="16"/>
        <v>USD</v>
      </c>
      <c r="AE1630" s="83" t="s">
        <v>38</v>
      </c>
      <c r="AF1630" s="83" t="str">
        <f t="array" ref="AF1630">INDEX('Deal Info'!D:D, MATCH(A1630,'Deal Info'!A:A, 0))</f>
        <v>DoEVs1</v>
      </c>
      <c r="AG1630" s="84" t="str">
        <f t="array" ref="AG1630">INDEX('Deal Info'!G:G, MATCH(A1630,'Deal Info'!A:A, 0))</f>
        <v>None</v>
      </c>
    </row>
    <row r="1631" spans="1:33" ht="14.25" hidden="1" x14ac:dyDescent="0.2">
      <c r="A1631" s="18" t="str">
        <f t="array" ref="A1631">IF(G1631='Room Info'!$B$1, INDEX('Room Info'!$A$2:$A2446, MATCH(B1631,'Room Info'!$B$2:$B2446, 0)),IF(G1631='Room Info'!$C$1, INDEX('Room Info'!$A$2:$A2446, MATCH(B1631,'Room Info'!$C$2:$C2446, 0)),IF(G1631='Room Info'!$D$1, INDEX('Room Info'!$A$2:$A2446, MATCH(B1631,'Room Info'!$D$2:$D2446, 0)),IF(G1631='Room Info'!$E$1, INDEX('Room Info'!$A$2:$A2446, MATCH(B1631,'Room Info'!$E$2:$E2446, 0)),IF(G1631='Room Info'!$F$1, INDEX('Room Info'!$A$2:$A2446, MATCH(B1631,'Room Info'!$F$2:$F2446, 0)),IF(G1631='Room Info'!$H$1, INDEX('Room Info'!$A$2:$A2446, MATCH(B1631,'Room Info'!$H$2:$H2446, 0)),IF(G1631='Room Info'!$G$1, INDEX('Room Info'!$A$2:$A2446, MATCH(B1631,'Room Info'!$G$2:$G2446, 0)))))))))</f>
        <v>S1lense</v>
      </c>
      <c r="B1631" s="45" t="s">
        <v>239</v>
      </c>
      <c r="C1631" s="46">
        <v>44978</v>
      </c>
      <c r="D1631" s="46">
        <v>45005</v>
      </c>
      <c r="E1631" s="90">
        <v>44986</v>
      </c>
      <c r="F1631" s="48" t="s">
        <v>34</v>
      </c>
      <c r="G1631" s="45" t="s">
        <v>80</v>
      </c>
      <c r="H1631" s="91" t="s">
        <v>86</v>
      </c>
      <c r="I1631" s="54" t="s">
        <v>81</v>
      </c>
      <c r="J1631" s="39">
        <v>5</v>
      </c>
      <c r="K1631" s="51">
        <v>61</v>
      </c>
      <c r="L1631" s="52">
        <v>-85</v>
      </c>
      <c r="M1631" s="62"/>
      <c r="N1631" s="28">
        <f t="shared" si="8"/>
        <v>305</v>
      </c>
      <c r="O1631" s="54">
        <v>77</v>
      </c>
      <c r="P1631" s="29">
        <v>1.2622950820000001</v>
      </c>
      <c r="Q1631" s="55"/>
      <c r="R1631" s="31">
        <f t="shared" si="9"/>
        <v>0</v>
      </c>
      <c r="S1631" s="66"/>
      <c r="T1631" s="32">
        <f t="shared" si="10"/>
        <v>0</v>
      </c>
      <c r="U1631" s="57">
        <v>1.071</v>
      </c>
      <c r="V1631" s="69">
        <v>8.8168867268936761</v>
      </c>
      <c r="W1631" s="69">
        <v>57.27645320197044</v>
      </c>
      <c r="X1631" s="30">
        <f t="shared" si="11"/>
        <v>0.23</v>
      </c>
      <c r="Y1631" s="30">
        <f t="shared" si="12"/>
        <v>0</v>
      </c>
      <c r="Z1631" s="35">
        <f t="shared" si="13"/>
        <v>0</v>
      </c>
      <c r="AA1631" s="29">
        <f t="shared" si="14"/>
        <v>0</v>
      </c>
      <c r="AB1631" s="36">
        <f t="shared" si="15"/>
        <v>0</v>
      </c>
      <c r="AC1631" s="37" t="b">
        <v>0</v>
      </c>
      <c r="AD1631" s="82" t="str">
        <f t="shared" si="16"/>
        <v>USD</v>
      </c>
      <c r="AE1631" s="83" t="s">
        <v>38</v>
      </c>
      <c r="AF1631" s="83" t="str">
        <f t="array" ref="AF1631">INDEX('Deal Info'!D:D, MATCH(A1631,'Deal Info'!A:A, 0))</f>
        <v>DoEVs1</v>
      </c>
      <c r="AG1631" s="84" t="str">
        <f t="array" ref="AG1631">INDEX('Deal Info'!G:G, MATCH(A1631,'Deal Info'!A:A, 0))</f>
        <v>None</v>
      </c>
    </row>
    <row r="1632" spans="1:33" ht="14.25" hidden="1" x14ac:dyDescent="0.2">
      <c r="A1632" s="18" t="str">
        <f t="array" ref="A1632">IF(G1632='Room Info'!$B$1, INDEX('Room Info'!$A$2:$A2446, MATCH(B1632,'Room Info'!$B$2:$B2446, 0)),IF(G1632='Room Info'!$C$1, INDEX('Room Info'!$A$2:$A2446, MATCH(B1632,'Room Info'!$C$2:$C2446, 0)),IF(G1632='Room Info'!$D$1, INDEX('Room Info'!$A$2:$A2446, MATCH(B1632,'Room Info'!$D$2:$D2446, 0)),IF(G1632='Room Info'!$E$1, INDEX('Room Info'!$A$2:$A2446, MATCH(B1632,'Room Info'!$E$2:$E2446, 0)),IF(G1632='Room Info'!$F$1, INDEX('Room Info'!$A$2:$A2446, MATCH(B1632,'Room Info'!$F$2:$F2446, 0)),IF(G1632='Room Info'!$H$1, INDEX('Room Info'!$A$2:$A2446, MATCH(B1632,'Room Info'!$H$2:$H2446, 0)),IF(G1632='Room Info'!$G$1, INDEX('Room Info'!$A$2:$A2446, MATCH(B1632,'Room Info'!$G$2:$G2446, 0)))))))))</f>
        <v>Night Kin9</v>
      </c>
      <c r="B1632" s="129" t="s">
        <v>188</v>
      </c>
      <c r="C1632" s="46">
        <v>44978</v>
      </c>
      <c r="D1632" s="46">
        <v>45005</v>
      </c>
      <c r="E1632" s="90">
        <v>44986</v>
      </c>
      <c r="F1632" s="96" t="s">
        <v>41</v>
      </c>
      <c r="G1632" s="65" t="s">
        <v>35</v>
      </c>
      <c r="H1632" s="91" t="s">
        <v>47</v>
      </c>
      <c r="I1632" s="54" t="s">
        <v>44</v>
      </c>
      <c r="J1632" s="39">
        <v>1</v>
      </c>
      <c r="K1632" s="51">
        <v>1</v>
      </c>
      <c r="L1632" s="52">
        <v>-1</v>
      </c>
      <c r="M1632" s="53">
        <v>5725</v>
      </c>
      <c r="N1632" s="28">
        <f t="shared" si="8"/>
        <v>1</v>
      </c>
      <c r="O1632" s="65"/>
      <c r="P1632" s="29">
        <v>0</v>
      </c>
      <c r="Q1632" s="55"/>
      <c r="R1632" s="31">
        <f t="shared" si="9"/>
        <v>5725</v>
      </c>
      <c r="S1632" s="56">
        <v>-7717</v>
      </c>
      <c r="T1632" s="32">
        <f t="shared" si="10"/>
        <v>5724</v>
      </c>
      <c r="U1632" s="57">
        <v>1.071</v>
      </c>
      <c r="V1632" s="69">
        <v>26.776094759511846</v>
      </c>
      <c r="W1632" s="69">
        <v>-74.43206404444075</v>
      </c>
      <c r="X1632" s="30">
        <f t="shared" si="11"/>
        <v>0.3</v>
      </c>
      <c r="Y1632" s="30">
        <f t="shared" si="12"/>
        <v>0</v>
      </c>
      <c r="Z1632" s="35">
        <f t="shared" si="13"/>
        <v>4006.8</v>
      </c>
      <c r="AA1632" s="29">
        <f t="shared" si="14"/>
        <v>1717.2</v>
      </c>
      <c r="AB1632" s="36">
        <f t="shared" si="15"/>
        <v>0</v>
      </c>
      <c r="AC1632" s="37" t="b">
        <v>0</v>
      </c>
      <c r="AD1632" s="82" t="str">
        <f t="shared" si="16"/>
        <v>USD</v>
      </c>
      <c r="AE1632" s="83" t="s">
        <v>38</v>
      </c>
      <c r="AF1632" s="83" t="str">
        <f t="array" ref="AF1632">INDEX('Deal Info'!D:D, MATCH(A1632,'Deal Info'!A:A, 0))</f>
        <v>DoEVni</v>
      </c>
      <c r="AG1632" s="84" t="str">
        <f t="array" ref="AG1632">INDEX('Deal Info'!G:G, MATCH(A1632,'Deal Info'!A:A, 0))</f>
        <v>None</v>
      </c>
    </row>
    <row r="1633" spans="1:33" ht="14.25" hidden="1" x14ac:dyDescent="0.2">
      <c r="A1633" s="18" t="str">
        <f t="array" ref="A1633">IF(G1633='Room Info'!$B$1, INDEX('Room Info'!$A$2:$A2446, MATCH(B1633,'Room Info'!$B$2:$B2446, 0)),IF(G1633='Room Info'!$C$1, INDEX('Room Info'!$A$2:$A2446, MATCH(B1633,'Room Info'!$C$2:$C2446, 0)),IF(G1633='Room Info'!$D$1, INDEX('Room Info'!$A$2:$A2446, MATCH(B1633,'Room Info'!$D$2:$D2446, 0)),IF(G1633='Room Info'!$E$1, INDEX('Room Info'!$A$2:$A2446, MATCH(B1633,'Room Info'!$E$2:$E2446, 0)),IF(G1633='Room Info'!$F$1, INDEX('Room Info'!$A$2:$A2446, MATCH(B1633,'Room Info'!$F$2:$F2446, 0)),IF(G1633='Room Info'!$H$1, INDEX('Room Info'!$A$2:$A2446, MATCH(B1633,'Room Info'!$H$2:$H2446, 0)),IF(G1633='Room Info'!$G$1, INDEX('Room Info'!$A$2:$A2446, MATCH(B1633,'Room Info'!$G$2:$G2446, 0)))))))))</f>
        <v>Night Kin9</v>
      </c>
      <c r="B1633" s="129" t="s">
        <v>188</v>
      </c>
      <c r="C1633" s="46">
        <v>44978</v>
      </c>
      <c r="D1633" s="46">
        <v>45005</v>
      </c>
      <c r="E1633" s="90">
        <v>44986</v>
      </c>
      <c r="F1633" s="48" t="s">
        <v>34</v>
      </c>
      <c r="G1633" s="65" t="s">
        <v>35</v>
      </c>
      <c r="H1633" s="91" t="s">
        <v>115</v>
      </c>
      <c r="I1633" s="54" t="s">
        <v>44</v>
      </c>
      <c r="J1633" s="39">
        <v>10</v>
      </c>
      <c r="K1633" s="51">
        <v>184</v>
      </c>
      <c r="L1633" s="52">
        <v>-390</v>
      </c>
      <c r="M1633" s="62"/>
      <c r="N1633" s="28">
        <f t="shared" si="8"/>
        <v>1840</v>
      </c>
      <c r="O1633" s="54">
        <v>1843</v>
      </c>
      <c r="P1633" s="29">
        <v>10.01630435</v>
      </c>
      <c r="Q1633" s="55"/>
      <c r="R1633" s="31">
        <f t="shared" si="9"/>
        <v>0</v>
      </c>
      <c r="S1633" s="66"/>
      <c r="T1633" s="32">
        <f t="shared" si="10"/>
        <v>0</v>
      </c>
      <c r="U1633" s="57">
        <v>1.071</v>
      </c>
      <c r="V1633" s="69">
        <v>26.776094759511846</v>
      </c>
      <c r="W1633" s="69">
        <v>-74.43206404444075</v>
      </c>
      <c r="X1633" s="30">
        <f t="shared" si="11"/>
        <v>0.3</v>
      </c>
      <c r="Y1633" s="30">
        <f t="shared" si="12"/>
        <v>0</v>
      </c>
      <c r="Z1633" s="35">
        <f t="shared" si="13"/>
        <v>0</v>
      </c>
      <c r="AA1633" s="29">
        <f t="shared" si="14"/>
        <v>0</v>
      </c>
      <c r="AB1633" s="36">
        <f t="shared" si="15"/>
        <v>0</v>
      </c>
      <c r="AC1633" s="37" t="b">
        <v>0</v>
      </c>
      <c r="AD1633" s="82" t="str">
        <f t="shared" si="16"/>
        <v>USD</v>
      </c>
      <c r="AE1633" s="83" t="s">
        <v>38</v>
      </c>
      <c r="AF1633" s="83" t="str">
        <f t="array" ref="AF1633">INDEX('Deal Info'!D:D, MATCH(A1633,'Deal Info'!A:A, 0))</f>
        <v>DoEVni</v>
      </c>
      <c r="AG1633" s="84" t="str">
        <f t="array" ref="AG1633">INDEX('Deal Info'!G:G, MATCH(A1633,'Deal Info'!A:A, 0))</f>
        <v>None</v>
      </c>
    </row>
    <row r="1634" spans="1:33" ht="14.25" hidden="1" x14ac:dyDescent="0.2">
      <c r="A1634" s="18" t="str">
        <f t="array" ref="A1634">IF(G1634='Room Info'!$B$1, INDEX('Room Info'!$A$2:$A2446, MATCH(B1634,'Room Info'!$B$2:$B2446, 0)),IF(G1634='Room Info'!$C$1, INDEX('Room Info'!$A$2:$A2446, MATCH(B1634,'Room Info'!$C$2:$C2446, 0)),IF(G1634='Room Info'!$D$1, INDEX('Room Info'!$A$2:$A2446, MATCH(B1634,'Room Info'!$D$2:$D2446, 0)),IF(G1634='Room Info'!$E$1, INDEX('Room Info'!$A$2:$A2446, MATCH(B1634,'Room Info'!$E$2:$E2446, 0)),IF(G1634='Room Info'!$F$1, INDEX('Room Info'!$A$2:$A2446, MATCH(B1634,'Room Info'!$F$2:$F2446, 0)),IF(G1634='Room Info'!$H$1, INDEX('Room Info'!$A$2:$A2446, MATCH(B1634,'Room Info'!$H$2:$H2446, 0)),IF(G1634='Room Info'!$G$1, INDEX('Room Info'!$A$2:$A2446, MATCH(B1634,'Room Info'!$G$2:$G2446, 0)))))))))</f>
        <v>Night Kin9</v>
      </c>
      <c r="B1634" s="129" t="s">
        <v>188</v>
      </c>
      <c r="C1634" s="46">
        <v>44978</v>
      </c>
      <c r="D1634" s="46">
        <v>45005</v>
      </c>
      <c r="E1634" s="90">
        <v>44986</v>
      </c>
      <c r="F1634" s="48" t="s">
        <v>34</v>
      </c>
      <c r="G1634" s="65" t="s">
        <v>35</v>
      </c>
      <c r="H1634" s="91" t="s">
        <v>87</v>
      </c>
      <c r="I1634" s="54" t="s">
        <v>44</v>
      </c>
      <c r="J1634" s="39">
        <v>25</v>
      </c>
      <c r="K1634" s="51">
        <v>12644</v>
      </c>
      <c r="L1634" s="52">
        <v>-3625</v>
      </c>
      <c r="M1634" s="62"/>
      <c r="N1634" s="28">
        <f t="shared" si="8"/>
        <v>316100</v>
      </c>
      <c r="O1634" s="54">
        <v>186550</v>
      </c>
      <c r="P1634" s="29">
        <v>14.754033529999999</v>
      </c>
      <c r="Q1634" s="55"/>
      <c r="R1634" s="31">
        <f t="shared" si="9"/>
        <v>0</v>
      </c>
      <c r="S1634" s="66"/>
      <c r="T1634" s="32">
        <f t="shared" si="10"/>
        <v>0</v>
      </c>
      <c r="U1634" s="57">
        <v>1.071</v>
      </c>
      <c r="V1634" s="69">
        <v>26.776094759511846</v>
      </c>
      <c r="W1634" s="69">
        <v>-74.43206404444075</v>
      </c>
      <c r="X1634" s="30">
        <f t="shared" si="11"/>
        <v>0.3</v>
      </c>
      <c r="Y1634" s="30">
        <f t="shared" si="12"/>
        <v>0</v>
      </c>
      <c r="Z1634" s="35">
        <f t="shared" si="13"/>
        <v>0</v>
      </c>
      <c r="AA1634" s="29">
        <f t="shared" si="14"/>
        <v>0</v>
      </c>
      <c r="AB1634" s="36">
        <f t="shared" si="15"/>
        <v>0</v>
      </c>
      <c r="AC1634" s="37" t="b">
        <v>0</v>
      </c>
      <c r="AD1634" s="82" t="str">
        <f t="shared" si="16"/>
        <v>USD</v>
      </c>
      <c r="AE1634" s="83" t="s">
        <v>38</v>
      </c>
      <c r="AF1634" s="83" t="str">
        <f t="array" ref="AF1634">INDEX('Deal Info'!D:D, MATCH(A1634,'Deal Info'!A:A, 0))</f>
        <v>DoEVni</v>
      </c>
      <c r="AG1634" s="84" t="str">
        <f t="array" ref="AG1634">INDEX('Deal Info'!G:G, MATCH(A1634,'Deal Info'!A:A, 0))</f>
        <v>None</v>
      </c>
    </row>
    <row r="1635" spans="1:33" ht="14.25" hidden="1" x14ac:dyDescent="0.2">
      <c r="A1635" s="18" t="str">
        <f t="array" ref="A1635">IF(G1635='Room Info'!$B$1, INDEX('Room Info'!$A$2:$A2446, MATCH(B1635,'Room Info'!$B$2:$B2446, 0)),IF(G1635='Room Info'!$C$1, INDEX('Room Info'!$A$2:$A2446, MATCH(B1635,'Room Info'!$C$2:$C2446, 0)),IF(G1635='Room Info'!$D$1, INDEX('Room Info'!$A$2:$A2446, MATCH(B1635,'Room Info'!$D$2:$D2446, 0)),IF(G1635='Room Info'!$E$1, INDEX('Room Info'!$A$2:$A2446, MATCH(B1635,'Room Info'!$E$2:$E2446, 0)),IF(G1635='Room Info'!$F$1, INDEX('Room Info'!$A$2:$A2446, MATCH(B1635,'Room Info'!$F$2:$F2446, 0)),IF(G1635='Room Info'!$H$1, INDEX('Room Info'!$A$2:$A2446, MATCH(B1635,'Room Info'!$H$2:$H2446, 0)),IF(G1635='Room Info'!$G$1, INDEX('Room Info'!$A$2:$A2446, MATCH(B1635,'Room Info'!$G$2:$G2446, 0)))))))))</f>
        <v>Night Kin9</v>
      </c>
      <c r="B1635" s="129" t="s">
        <v>188</v>
      </c>
      <c r="C1635" s="46">
        <v>44978</v>
      </c>
      <c r="D1635" s="46">
        <v>45005</v>
      </c>
      <c r="E1635" s="90">
        <v>44986</v>
      </c>
      <c r="F1635" s="48" t="s">
        <v>34</v>
      </c>
      <c r="G1635" s="65" t="s">
        <v>35</v>
      </c>
      <c r="H1635" s="91" t="s">
        <v>85</v>
      </c>
      <c r="I1635" s="54" t="s">
        <v>44</v>
      </c>
      <c r="J1635" s="39">
        <v>50</v>
      </c>
      <c r="K1635" s="51">
        <v>1101</v>
      </c>
      <c r="L1635" s="52">
        <v>-5200</v>
      </c>
      <c r="M1635" s="62"/>
      <c r="N1635" s="28">
        <f t="shared" si="8"/>
        <v>55050</v>
      </c>
      <c r="O1635" s="54">
        <v>5054</v>
      </c>
      <c r="P1635" s="29">
        <v>4.5903723889999997</v>
      </c>
      <c r="Q1635" s="55"/>
      <c r="R1635" s="31">
        <f t="shared" si="9"/>
        <v>0</v>
      </c>
      <c r="S1635" s="66"/>
      <c r="T1635" s="32">
        <f t="shared" si="10"/>
        <v>0</v>
      </c>
      <c r="U1635" s="57">
        <v>1.071</v>
      </c>
      <c r="V1635" s="69">
        <v>26.776094759511846</v>
      </c>
      <c r="W1635" s="69">
        <v>-74.43206404444075</v>
      </c>
      <c r="X1635" s="30">
        <f t="shared" si="11"/>
        <v>0.3</v>
      </c>
      <c r="Y1635" s="30">
        <f t="shared" si="12"/>
        <v>0</v>
      </c>
      <c r="Z1635" s="35">
        <f t="shared" si="13"/>
        <v>0</v>
      </c>
      <c r="AA1635" s="29">
        <f t="shared" si="14"/>
        <v>0</v>
      </c>
      <c r="AB1635" s="36">
        <f t="shared" si="15"/>
        <v>0</v>
      </c>
      <c r="AC1635" s="37" t="b">
        <v>0</v>
      </c>
      <c r="AD1635" s="82" t="str">
        <f t="shared" si="16"/>
        <v>USD</v>
      </c>
      <c r="AE1635" s="83" t="s">
        <v>38</v>
      </c>
      <c r="AF1635" s="83" t="str">
        <f t="array" ref="AF1635">INDEX('Deal Info'!D:D, MATCH(A1635,'Deal Info'!A:A, 0))</f>
        <v>DoEVni</v>
      </c>
      <c r="AG1635" s="84" t="str">
        <f t="array" ref="AG1635">INDEX('Deal Info'!G:G, MATCH(A1635,'Deal Info'!A:A, 0))</f>
        <v>None</v>
      </c>
    </row>
    <row r="1636" spans="1:33" ht="14.25" hidden="1" x14ac:dyDescent="0.2">
      <c r="A1636" s="18" t="b">
        <f t="array" ref="A1636">IF(G1636='Room Info'!$B$1, INDEX('Room Info'!$A$2:$A2446, MATCH(B1636,'Room Info'!$B$2:$B2446, 0)),IF(G1636='Room Info'!$C$1, INDEX('Room Info'!$A$2:$A2446, MATCH(B1636,'Room Info'!$C$2:$C2446, 0)),IF(G1636='Room Info'!$D$1, INDEX('Room Info'!$A$2:$A2446, MATCH(B1636,'Room Info'!$D$2:$D2446, 0)),IF(G1636='Room Info'!$E$1, INDEX('Room Info'!$A$2:$A2446, MATCH(B1636,'Room Info'!$E$2:$E2446, 0)),IF(G1636='Room Info'!$F$1, INDEX('Room Info'!$A$2:$A2446, MATCH(B1636,'Room Info'!$F$2:$F2446, 0)),IF(G1636='Room Info'!$H$1, INDEX('Room Info'!$A$2:$A2446, MATCH(B1636,'Room Info'!$H$2:$H2446, 0)),IF(G1636='Room Info'!$G$1, INDEX('Room Info'!$A$2:$A2446, MATCH(B1636,'Room Info'!$G$2:$G2446, 0)))))))))</f>
        <v>0</v>
      </c>
      <c r="B1636" s="96"/>
      <c r="C1636" s="111"/>
      <c r="D1636" s="111"/>
      <c r="E1636" s="80"/>
      <c r="F1636" s="133"/>
      <c r="G1636" s="96"/>
      <c r="H1636" s="110"/>
      <c r="I1636" s="110"/>
      <c r="J1636" s="39" t="s">
        <v>334</v>
      </c>
      <c r="K1636" s="112"/>
      <c r="L1636" s="113"/>
      <c r="M1636" s="62"/>
      <c r="N1636" s="28" t="e">
        <f t="shared" si="8"/>
        <v>#VALUE!</v>
      </c>
      <c r="O1636" s="65"/>
      <c r="P1636" s="29" t="s">
        <v>334</v>
      </c>
      <c r="Q1636" s="55"/>
      <c r="R1636" s="31" t="e">
        <f t="shared" si="9"/>
        <v>#VALUE!</v>
      </c>
      <c r="S1636" s="66"/>
      <c r="T1636" s="32" t="e">
        <f t="shared" si="10"/>
        <v>#VALUE!</v>
      </c>
      <c r="U1636" s="57"/>
      <c r="V1636" s="58"/>
      <c r="W1636" s="58"/>
      <c r="X1636" s="30" t="e">
        <f t="shared" si="11"/>
        <v>#N/A</v>
      </c>
      <c r="Y1636" s="30" t="e">
        <f t="shared" si="12"/>
        <v>#N/A</v>
      </c>
      <c r="Z1636" s="35" t="e">
        <f t="shared" si="13"/>
        <v>#VALUE!</v>
      </c>
      <c r="AA1636" s="29" t="e">
        <f t="shared" si="14"/>
        <v>#VALUE!</v>
      </c>
      <c r="AB1636" s="36" t="e">
        <f t="shared" si="15"/>
        <v>#VALUE!</v>
      </c>
      <c r="AC1636" s="37" t="b">
        <v>0</v>
      </c>
      <c r="AD1636" s="61" t="str">
        <f t="shared" si="16"/>
        <v>USD</v>
      </c>
      <c r="AE1636" s="37"/>
      <c r="AF1636" s="37" t="e">
        <f t="array" ref="AF1636">INDEX('Deal Info'!D:D, MATCH(A1636,'Deal Info'!A:A, 0))</f>
        <v>#N/A</v>
      </c>
      <c r="AG1636" s="38" t="e">
        <f t="array" ref="AG1636">INDEX('Deal Info'!G:G, MATCH(A1636,'Deal Info'!A:A, 0))</f>
        <v>#N/A</v>
      </c>
    </row>
    <row r="1637" spans="1:33" ht="14.25" hidden="1" x14ac:dyDescent="0.2">
      <c r="A1637" s="18" t="b">
        <f t="array" ref="A1637">IF(G1637='Room Info'!$B$1, INDEX('Room Info'!$A$2:$A2446, MATCH(B1637,'Room Info'!$B$2:$B2446, 0)),IF(G1637='Room Info'!$C$1, INDEX('Room Info'!$A$2:$A2446, MATCH(B1637,'Room Info'!$C$2:$C2446, 0)),IF(G1637='Room Info'!$D$1, INDEX('Room Info'!$A$2:$A2446, MATCH(B1637,'Room Info'!$D$2:$D2446, 0)),IF(G1637='Room Info'!$E$1, INDEX('Room Info'!$A$2:$A2446, MATCH(B1637,'Room Info'!$E$2:$E2446, 0)),IF(G1637='Room Info'!$F$1, INDEX('Room Info'!$A$2:$A2446, MATCH(B1637,'Room Info'!$F$2:$F2446, 0)),IF(G1637='Room Info'!$H$1, INDEX('Room Info'!$A$2:$A2446, MATCH(B1637,'Room Info'!$H$2:$H2446, 0)),IF(G1637='Room Info'!$G$1, INDEX('Room Info'!$A$2:$A2446, MATCH(B1637,'Room Info'!$G$2:$G2446, 0)))))))))</f>
        <v>0</v>
      </c>
      <c r="B1637" s="96"/>
      <c r="C1637" s="111"/>
      <c r="D1637" s="111"/>
      <c r="E1637" s="80"/>
      <c r="F1637" s="133"/>
      <c r="G1637" s="96"/>
      <c r="H1637" s="110"/>
      <c r="I1637" s="110"/>
      <c r="J1637" s="39" t="s">
        <v>334</v>
      </c>
      <c r="K1637" s="112"/>
      <c r="L1637" s="113"/>
      <c r="M1637" s="62"/>
      <c r="N1637" s="28" t="e">
        <f t="shared" si="8"/>
        <v>#VALUE!</v>
      </c>
      <c r="O1637" s="65"/>
      <c r="P1637" s="29" t="s">
        <v>334</v>
      </c>
      <c r="Q1637" s="55"/>
      <c r="R1637" s="31" t="e">
        <f t="shared" si="9"/>
        <v>#VALUE!</v>
      </c>
      <c r="S1637" s="66"/>
      <c r="T1637" s="32" t="e">
        <f t="shared" si="10"/>
        <v>#VALUE!</v>
      </c>
      <c r="U1637" s="57"/>
      <c r="V1637" s="58"/>
      <c r="W1637" s="58"/>
      <c r="X1637" s="30" t="e">
        <f t="shared" si="11"/>
        <v>#N/A</v>
      </c>
      <c r="Y1637" s="30" t="e">
        <f t="shared" si="12"/>
        <v>#N/A</v>
      </c>
      <c r="Z1637" s="35" t="e">
        <f t="shared" si="13"/>
        <v>#VALUE!</v>
      </c>
      <c r="AA1637" s="29" t="e">
        <f t="shared" si="14"/>
        <v>#VALUE!</v>
      </c>
      <c r="AB1637" s="36" t="e">
        <f t="shared" si="15"/>
        <v>#VALUE!</v>
      </c>
      <c r="AC1637" s="37" t="b">
        <v>0</v>
      </c>
      <c r="AD1637" s="61" t="str">
        <f t="shared" si="16"/>
        <v>USD</v>
      </c>
      <c r="AE1637" s="37"/>
      <c r="AF1637" s="37" t="e">
        <f t="array" ref="AF1637">INDEX('Deal Info'!D:D, MATCH(A1637,'Deal Info'!A:A, 0))</f>
        <v>#N/A</v>
      </c>
      <c r="AG1637" s="38" t="e">
        <f t="array" ref="AG1637">INDEX('Deal Info'!G:G, MATCH(A1637,'Deal Info'!A:A, 0))</f>
        <v>#N/A</v>
      </c>
    </row>
    <row r="1638" spans="1:33" ht="14.25" hidden="1" x14ac:dyDescent="0.2">
      <c r="A1638" s="18" t="b">
        <f t="array" ref="A1638">IF(G1638='Room Info'!$B$1, INDEX('Room Info'!$A$2:$A2446, MATCH(B1638,'Room Info'!$B$2:$B2446, 0)),IF(G1638='Room Info'!$C$1, INDEX('Room Info'!$A$2:$A2446, MATCH(B1638,'Room Info'!$C$2:$C2446, 0)),IF(G1638='Room Info'!$D$1, INDEX('Room Info'!$A$2:$A2446, MATCH(B1638,'Room Info'!$D$2:$D2446, 0)),IF(G1638='Room Info'!$E$1, INDEX('Room Info'!$A$2:$A2446, MATCH(B1638,'Room Info'!$E$2:$E2446, 0)),IF(G1638='Room Info'!$F$1, INDEX('Room Info'!$A$2:$A2446, MATCH(B1638,'Room Info'!$F$2:$F2446, 0)),IF(G1638='Room Info'!$H$1, INDEX('Room Info'!$A$2:$A2446, MATCH(B1638,'Room Info'!$H$2:$H2446, 0)),IF(G1638='Room Info'!$G$1, INDEX('Room Info'!$A$2:$A2446, MATCH(B1638,'Room Info'!$G$2:$G2446, 0)))))))))</f>
        <v>0</v>
      </c>
      <c r="B1638" s="96"/>
      <c r="C1638" s="111"/>
      <c r="D1638" s="111"/>
      <c r="E1638" s="80"/>
      <c r="F1638" s="133"/>
      <c r="G1638" s="96"/>
      <c r="H1638" s="110"/>
      <c r="I1638" s="110"/>
      <c r="J1638" s="39" t="s">
        <v>334</v>
      </c>
      <c r="K1638" s="112"/>
      <c r="L1638" s="113"/>
      <c r="M1638" s="62"/>
      <c r="N1638" s="28" t="e">
        <f t="shared" si="8"/>
        <v>#VALUE!</v>
      </c>
      <c r="O1638" s="65"/>
      <c r="P1638" s="29" t="s">
        <v>334</v>
      </c>
      <c r="Q1638" s="55"/>
      <c r="R1638" s="31" t="e">
        <f t="shared" si="9"/>
        <v>#VALUE!</v>
      </c>
      <c r="S1638" s="66"/>
      <c r="T1638" s="32" t="e">
        <f t="shared" si="10"/>
        <v>#VALUE!</v>
      </c>
      <c r="U1638" s="57"/>
      <c r="V1638" s="58"/>
      <c r="W1638" s="58"/>
      <c r="X1638" s="30" t="e">
        <f t="shared" si="11"/>
        <v>#N/A</v>
      </c>
      <c r="Y1638" s="30" t="e">
        <f t="shared" si="12"/>
        <v>#N/A</v>
      </c>
      <c r="Z1638" s="35" t="e">
        <f t="shared" si="13"/>
        <v>#VALUE!</v>
      </c>
      <c r="AA1638" s="29" t="e">
        <f t="shared" si="14"/>
        <v>#VALUE!</v>
      </c>
      <c r="AB1638" s="36" t="e">
        <f t="shared" si="15"/>
        <v>#VALUE!</v>
      </c>
      <c r="AC1638" s="37" t="b">
        <v>0</v>
      </c>
      <c r="AD1638" s="61" t="str">
        <f t="shared" si="16"/>
        <v>USD</v>
      </c>
      <c r="AE1638" s="37"/>
      <c r="AF1638" s="37" t="e">
        <f t="array" ref="AF1638">INDEX('Deal Info'!D:D, MATCH(A1638,'Deal Info'!A:A, 0))</f>
        <v>#N/A</v>
      </c>
      <c r="AG1638" s="38" t="e">
        <f t="array" ref="AG1638">INDEX('Deal Info'!G:G, MATCH(A1638,'Deal Info'!A:A, 0))</f>
        <v>#N/A</v>
      </c>
    </row>
    <row r="1639" spans="1:33" ht="14.25" hidden="1" x14ac:dyDescent="0.2">
      <c r="A1639" s="18" t="b">
        <f t="array" ref="A1639">IF(G1639='Room Info'!$B$1, INDEX('Room Info'!$A$2:$A2446, MATCH(B1639,'Room Info'!$B$2:$B2446, 0)),IF(G1639='Room Info'!$C$1, INDEX('Room Info'!$A$2:$A2446, MATCH(B1639,'Room Info'!$C$2:$C2446, 0)),IF(G1639='Room Info'!$D$1, INDEX('Room Info'!$A$2:$A2446, MATCH(B1639,'Room Info'!$D$2:$D2446, 0)),IF(G1639='Room Info'!$E$1, INDEX('Room Info'!$A$2:$A2446, MATCH(B1639,'Room Info'!$E$2:$E2446, 0)),IF(G1639='Room Info'!$F$1, INDEX('Room Info'!$A$2:$A2446, MATCH(B1639,'Room Info'!$F$2:$F2446, 0)),IF(G1639='Room Info'!$H$1, INDEX('Room Info'!$A$2:$A2446, MATCH(B1639,'Room Info'!$H$2:$H2446, 0)),IF(G1639='Room Info'!$G$1, INDEX('Room Info'!$A$2:$A2446, MATCH(B1639,'Room Info'!$G$2:$G2446, 0)))))))))</f>
        <v>0</v>
      </c>
      <c r="B1639" s="96"/>
      <c r="C1639" s="111"/>
      <c r="D1639" s="111"/>
      <c r="E1639" s="80"/>
      <c r="F1639" s="133"/>
      <c r="G1639" s="96"/>
      <c r="H1639" s="110"/>
      <c r="I1639" s="110"/>
      <c r="J1639" s="39" t="s">
        <v>334</v>
      </c>
      <c r="K1639" s="112"/>
      <c r="L1639" s="113"/>
      <c r="M1639" s="62"/>
      <c r="N1639" s="28" t="e">
        <f t="shared" si="8"/>
        <v>#VALUE!</v>
      </c>
      <c r="O1639" s="65"/>
      <c r="P1639" s="29" t="s">
        <v>334</v>
      </c>
      <c r="Q1639" s="55"/>
      <c r="R1639" s="31" t="e">
        <f t="shared" si="9"/>
        <v>#VALUE!</v>
      </c>
      <c r="S1639" s="66"/>
      <c r="T1639" s="32" t="e">
        <f t="shared" si="10"/>
        <v>#VALUE!</v>
      </c>
      <c r="U1639" s="57"/>
      <c r="V1639" s="58"/>
      <c r="W1639" s="58"/>
      <c r="X1639" s="30" t="e">
        <f t="shared" si="11"/>
        <v>#N/A</v>
      </c>
      <c r="Y1639" s="30" t="e">
        <f t="shared" si="12"/>
        <v>#N/A</v>
      </c>
      <c r="Z1639" s="35" t="e">
        <f t="shared" si="13"/>
        <v>#VALUE!</v>
      </c>
      <c r="AA1639" s="29" t="e">
        <f t="shared" si="14"/>
        <v>#VALUE!</v>
      </c>
      <c r="AB1639" s="36" t="e">
        <f t="shared" si="15"/>
        <v>#VALUE!</v>
      </c>
      <c r="AC1639" s="37" t="b">
        <v>0</v>
      </c>
      <c r="AD1639" s="61" t="str">
        <f t="shared" si="16"/>
        <v>USD</v>
      </c>
      <c r="AE1639" s="37"/>
      <c r="AF1639" s="37" t="e">
        <f t="array" ref="AF1639">INDEX('Deal Info'!D:D, MATCH(A1639,'Deal Info'!A:A, 0))</f>
        <v>#N/A</v>
      </c>
      <c r="AG1639" s="38" t="e">
        <f t="array" ref="AG1639">INDEX('Deal Info'!G:G, MATCH(A1639,'Deal Info'!A:A, 0))</f>
        <v>#N/A</v>
      </c>
    </row>
    <row r="1640" spans="1:33" ht="14.25" hidden="1" x14ac:dyDescent="0.2">
      <c r="A1640" s="18" t="b">
        <f t="array" ref="A1640">IF(G1640='Room Info'!$B$1, INDEX('Room Info'!$A$2:$A2446, MATCH(B1640,'Room Info'!$B$2:$B2446, 0)),IF(G1640='Room Info'!$C$1, INDEX('Room Info'!$A$2:$A2446, MATCH(B1640,'Room Info'!$C$2:$C2446, 0)),IF(G1640='Room Info'!$D$1, INDEX('Room Info'!$A$2:$A2446, MATCH(B1640,'Room Info'!$D$2:$D2446, 0)),IF(G1640='Room Info'!$E$1, INDEX('Room Info'!$A$2:$A2446, MATCH(B1640,'Room Info'!$E$2:$E2446, 0)),IF(G1640='Room Info'!$F$1, INDEX('Room Info'!$A$2:$A2446, MATCH(B1640,'Room Info'!$F$2:$F2446, 0)),IF(G1640='Room Info'!$H$1, INDEX('Room Info'!$A$2:$A2446, MATCH(B1640,'Room Info'!$H$2:$H2446, 0)),IF(G1640='Room Info'!$G$1, INDEX('Room Info'!$A$2:$A2446, MATCH(B1640,'Room Info'!$G$2:$G2446, 0)))))))))</f>
        <v>0</v>
      </c>
      <c r="B1640" s="96"/>
      <c r="C1640" s="111"/>
      <c r="D1640" s="111"/>
      <c r="E1640" s="80"/>
      <c r="F1640" s="133"/>
      <c r="G1640" s="96"/>
      <c r="H1640" s="110"/>
      <c r="I1640" s="110"/>
      <c r="J1640" s="39" t="s">
        <v>334</v>
      </c>
      <c r="K1640" s="112"/>
      <c r="L1640" s="113"/>
      <c r="M1640" s="62"/>
      <c r="N1640" s="28" t="e">
        <f t="shared" si="8"/>
        <v>#VALUE!</v>
      </c>
      <c r="O1640" s="65"/>
      <c r="P1640" s="29" t="s">
        <v>334</v>
      </c>
      <c r="Q1640" s="55"/>
      <c r="R1640" s="31" t="e">
        <f t="shared" si="9"/>
        <v>#VALUE!</v>
      </c>
      <c r="S1640" s="66"/>
      <c r="T1640" s="32" t="e">
        <f t="shared" si="10"/>
        <v>#VALUE!</v>
      </c>
      <c r="U1640" s="57"/>
      <c r="V1640" s="58"/>
      <c r="W1640" s="58"/>
      <c r="X1640" s="30" t="e">
        <f t="shared" si="11"/>
        <v>#N/A</v>
      </c>
      <c r="Y1640" s="30" t="e">
        <f t="shared" si="12"/>
        <v>#N/A</v>
      </c>
      <c r="Z1640" s="35" t="e">
        <f t="shared" si="13"/>
        <v>#VALUE!</v>
      </c>
      <c r="AA1640" s="29" t="e">
        <f t="shared" si="14"/>
        <v>#VALUE!</v>
      </c>
      <c r="AB1640" s="36" t="e">
        <f t="shared" si="15"/>
        <v>#VALUE!</v>
      </c>
      <c r="AC1640" s="37" t="b">
        <v>0</v>
      </c>
      <c r="AD1640" s="61" t="str">
        <f t="shared" si="16"/>
        <v>USD</v>
      </c>
      <c r="AE1640" s="37"/>
      <c r="AF1640" s="37" t="e">
        <f t="array" ref="AF1640">INDEX('Deal Info'!D:D, MATCH(A1640,'Deal Info'!A:A, 0))</f>
        <v>#N/A</v>
      </c>
      <c r="AG1640" s="38" t="e">
        <f t="array" ref="AG1640">INDEX('Deal Info'!G:G, MATCH(A1640,'Deal Info'!A:A, 0))</f>
        <v>#N/A</v>
      </c>
    </row>
    <row r="1641" spans="1:33" ht="14.25" hidden="1" x14ac:dyDescent="0.2">
      <c r="A1641" s="18" t="b">
        <f t="array" ref="A1641">IF(G1641='Room Info'!$B$1, INDEX('Room Info'!$A$2:$A2446, MATCH(B1641,'Room Info'!$B$2:$B2446, 0)),IF(G1641='Room Info'!$C$1, INDEX('Room Info'!$A$2:$A2446, MATCH(B1641,'Room Info'!$C$2:$C2446, 0)),IF(G1641='Room Info'!$D$1, INDEX('Room Info'!$A$2:$A2446, MATCH(B1641,'Room Info'!$D$2:$D2446, 0)),IF(G1641='Room Info'!$E$1, INDEX('Room Info'!$A$2:$A2446, MATCH(B1641,'Room Info'!$E$2:$E2446, 0)),IF(G1641='Room Info'!$F$1, INDEX('Room Info'!$A$2:$A2446, MATCH(B1641,'Room Info'!$F$2:$F2446, 0)),IF(G1641='Room Info'!$H$1, INDEX('Room Info'!$A$2:$A2446, MATCH(B1641,'Room Info'!$H$2:$H2446, 0)),IF(G1641='Room Info'!$G$1, INDEX('Room Info'!$A$2:$A2446, MATCH(B1641,'Room Info'!$G$2:$G2446, 0)))))))))</f>
        <v>0</v>
      </c>
      <c r="B1641" s="96"/>
      <c r="C1641" s="111"/>
      <c r="D1641" s="111"/>
      <c r="E1641" s="80"/>
      <c r="F1641" s="133"/>
      <c r="G1641" s="96"/>
      <c r="H1641" s="110"/>
      <c r="I1641" s="110"/>
      <c r="J1641" s="39" t="s">
        <v>334</v>
      </c>
      <c r="K1641" s="112"/>
      <c r="L1641" s="113"/>
      <c r="M1641" s="62"/>
      <c r="N1641" s="28" t="e">
        <f t="shared" si="8"/>
        <v>#VALUE!</v>
      </c>
      <c r="O1641" s="65"/>
      <c r="P1641" s="29" t="s">
        <v>334</v>
      </c>
      <c r="Q1641" s="55"/>
      <c r="R1641" s="31" t="e">
        <f t="shared" si="9"/>
        <v>#VALUE!</v>
      </c>
      <c r="S1641" s="66"/>
      <c r="T1641" s="32" t="e">
        <f t="shared" si="10"/>
        <v>#VALUE!</v>
      </c>
      <c r="U1641" s="57"/>
      <c r="V1641" s="58"/>
      <c r="W1641" s="58"/>
      <c r="X1641" s="30" t="e">
        <f t="shared" si="11"/>
        <v>#N/A</v>
      </c>
      <c r="Y1641" s="30" t="e">
        <f t="shared" si="12"/>
        <v>#N/A</v>
      </c>
      <c r="Z1641" s="35" t="e">
        <f t="shared" si="13"/>
        <v>#VALUE!</v>
      </c>
      <c r="AA1641" s="29" t="e">
        <f t="shared" si="14"/>
        <v>#VALUE!</v>
      </c>
      <c r="AB1641" s="36" t="e">
        <f t="shared" si="15"/>
        <v>#VALUE!</v>
      </c>
      <c r="AC1641" s="37" t="b">
        <v>0</v>
      </c>
      <c r="AD1641" s="61" t="str">
        <f t="shared" si="16"/>
        <v>USD</v>
      </c>
      <c r="AE1641" s="37"/>
      <c r="AF1641" s="37" t="e">
        <f t="array" ref="AF1641">INDEX('Deal Info'!D:D, MATCH(A1641,'Deal Info'!A:A, 0))</f>
        <v>#N/A</v>
      </c>
      <c r="AG1641" s="38" t="e">
        <f t="array" ref="AG1641">INDEX('Deal Info'!G:G, MATCH(A1641,'Deal Info'!A:A, 0))</f>
        <v>#N/A</v>
      </c>
    </row>
    <row r="1642" spans="1:33" ht="14.25" hidden="1" x14ac:dyDescent="0.2">
      <c r="A1642" s="18" t="b">
        <f t="array" ref="A1642">IF(G1642='Room Info'!$B$1, INDEX('Room Info'!$A$2:$A2446, MATCH(B1642,'Room Info'!$B$2:$B2446, 0)),IF(G1642='Room Info'!$C$1, INDEX('Room Info'!$A$2:$A2446, MATCH(B1642,'Room Info'!$C$2:$C2446, 0)),IF(G1642='Room Info'!$D$1, INDEX('Room Info'!$A$2:$A2446, MATCH(B1642,'Room Info'!$D$2:$D2446, 0)),IF(G1642='Room Info'!$E$1, INDEX('Room Info'!$A$2:$A2446, MATCH(B1642,'Room Info'!$E$2:$E2446, 0)),IF(G1642='Room Info'!$F$1, INDEX('Room Info'!$A$2:$A2446, MATCH(B1642,'Room Info'!$F$2:$F2446, 0)),IF(G1642='Room Info'!$H$1, INDEX('Room Info'!$A$2:$A2446, MATCH(B1642,'Room Info'!$H$2:$H2446, 0)),IF(G1642='Room Info'!$G$1, INDEX('Room Info'!$A$2:$A2446, MATCH(B1642,'Room Info'!$G$2:$G2446, 0)))))))))</f>
        <v>0</v>
      </c>
      <c r="B1642" s="96"/>
      <c r="C1642" s="111"/>
      <c r="D1642" s="111"/>
      <c r="E1642" s="80"/>
      <c r="F1642" s="133"/>
      <c r="G1642" s="96"/>
      <c r="H1642" s="110"/>
      <c r="I1642" s="110"/>
      <c r="J1642" s="39" t="s">
        <v>334</v>
      </c>
      <c r="K1642" s="112"/>
      <c r="L1642" s="113"/>
      <c r="M1642" s="62"/>
      <c r="N1642" s="28" t="e">
        <f t="shared" si="8"/>
        <v>#VALUE!</v>
      </c>
      <c r="O1642" s="65"/>
      <c r="P1642" s="29" t="s">
        <v>334</v>
      </c>
      <c r="Q1642" s="55"/>
      <c r="R1642" s="31" t="e">
        <f t="shared" si="9"/>
        <v>#VALUE!</v>
      </c>
      <c r="S1642" s="66"/>
      <c r="T1642" s="32" t="e">
        <f t="shared" si="10"/>
        <v>#VALUE!</v>
      </c>
      <c r="U1642" s="57"/>
      <c r="V1642" s="58"/>
      <c r="W1642" s="58"/>
      <c r="X1642" s="30" t="e">
        <f t="shared" si="11"/>
        <v>#N/A</v>
      </c>
      <c r="Y1642" s="30" t="e">
        <f t="shared" si="12"/>
        <v>#N/A</v>
      </c>
      <c r="Z1642" s="35" t="e">
        <f t="shared" si="13"/>
        <v>#VALUE!</v>
      </c>
      <c r="AA1642" s="29" t="e">
        <f t="shared" si="14"/>
        <v>#VALUE!</v>
      </c>
      <c r="AB1642" s="36" t="e">
        <f t="shared" si="15"/>
        <v>#VALUE!</v>
      </c>
      <c r="AC1642" s="37" t="b">
        <v>0</v>
      </c>
      <c r="AD1642" s="61" t="str">
        <f t="shared" si="16"/>
        <v>USD</v>
      </c>
      <c r="AE1642" s="37"/>
      <c r="AF1642" s="37" t="e">
        <f t="array" ref="AF1642">INDEX('Deal Info'!D:D, MATCH(A1642,'Deal Info'!A:A, 0))</f>
        <v>#N/A</v>
      </c>
      <c r="AG1642" s="38" t="e">
        <f t="array" ref="AG1642">INDEX('Deal Info'!G:G, MATCH(A1642,'Deal Info'!A:A, 0))</f>
        <v>#N/A</v>
      </c>
    </row>
    <row r="1643" spans="1:33" ht="14.25" hidden="1" x14ac:dyDescent="0.2">
      <c r="A1643" s="18" t="b">
        <f t="array" ref="A1643">IF(G1643='Room Info'!$B$1, INDEX('Room Info'!$A$2:$A2446, MATCH(B1643,'Room Info'!$B$2:$B2446, 0)),IF(G1643='Room Info'!$C$1, INDEX('Room Info'!$A$2:$A2446, MATCH(B1643,'Room Info'!$C$2:$C2446, 0)),IF(G1643='Room Info'!$D$1, INDEX('Room Info'!$A$2:$A2446, MATCH(B1643,'Room Info'!$D$2:$D2446, 0)),IF(G1643='Room Info'!$E$1, INDEX('Room Info'!$A$2:$A2446, MATCH(B1643,'Room Info'!$E$2:$E2446, 0)),IF(G1643='Room Info'!$F$1, INDEX('Room Info'!$A$2:$A2446, MATCH(B1643,'Room Info'!$F$2:$F2446, 0)),IF(G1643='Room Info'!$H$1, INDEX('Room Info'!$A$2:$A2446, MATCH(B1643,'Room Info'!$H$2:$H2446, 0)),IF(G1643='Room Info'!$G$1, INDEX('Room Info'!$A$2:$A2446, MATCH(B1643,'Room Info'!$G$2:$G2446, 0)))))))))</f>
        <v>0</v>
      </c>
      <c r="B1643" s="96"/>
      <c r="C1643" s="111"/>
      <c r="D1643" s="111"/>
      <c r="E1643" s="80"/>
      <c r="F1643" s="133"/>
      <c r="G1643" s="65"/>
      <c r="H1643" s="65"/>
      <c r="I1643" s="65"/>
      <c r="J1643" s="39" t="s">
        <v>334</v>
      </c>
      <c r="K1643" s="112"/>
      <c r="L1643" s="113"/>
      <c r="M1643" s="62"/>
      <c r="N1643" s="28" t="e">
        <f t="shared" si="8"/>
        <v>#VALUE!</v>
      </c>
      <c r="O1643" s="65"/>
      <c r="P1643" s="29" t="s">
        <v>334</v>
      </c>
      <c r="Q1643" s="55"/>
      <c r="R1643" s="31" t="e">
        <f t="shared" si="9"/>
        <v>#VALUE!</v>
      </c>
      <c r="S1643" s="66"/>
      <c r="T1643" s="32" t="e">
        <f t="shared" si="10"/>
        <v>#VALUE!</v>
      </c>
      <c r="U1643" s="57"/>
      <c r="V1643" s="58"/>
      <c r="W1643" s="58"/>
      <c r="X1643" s="30" t="e">
        <f t="shared" si="11"/>
        <v>#N/A</v>
      </c>
      <c r="Y1643" s="30" t="e">
        <f t="shared" si="12"/>
        <v>#N/A</v>
      </c>
      <c r="Z1643" s="35" t="e">
        <f t="shared" si="13"/>
        <v>#VALUE!</v>
      </c>
      <c r="AA1643" s="29" t="e">
        <f t="shared" si="14"/>
        <v>#VALUE!</v>
      </c>
      <c r="AB1643" s="36" t="e">
        <f t="shared" si="15"/>
        <v>#VALUE!</v>
      </c>
      <c r="AC1643" s="37" t="b">
        <v>0</v>
      </c>
      <c r="AD1643" s="61" t="str">
        <f t="shared" si="16"/>
        <v>USD</v>
      </c>
      <c r="AE1643" s="37"/>
      <c r="AF1643" s="37" t="e">
        <f t="array" ref="AF1643">INDEX('Deal Info'!D:D, MATCH(A1643,'Deal Info'!A:A, 0))</f>
        <v>#N/A</v>
      </c>
      <c r="AG1643" s="38" t="e">
        <f t="array" ref="AG1643">INDEX('Deal Info'!G:G, MATCH(A1643,'Deal Info'!A:A, 0))</f>
        <v>#N/A</v>
      </c>
    </row>
    <row r="1644" spans="1:33" ht="14.25" hidden="1" x14ac:dyDescent="0.2">
      <c r="A1644" s="18" t="b">
        <f t="array" ref="A1644">IF(G1644='Room Info'!$B$1, INDEX('Room Info'!$A$2:$A2446, MATCH(B1644,'Room Info'!$B$2:$B2446, 0)),IF(G1644='Room Info'!$C$1, INDEX('Room Info'!$A$2:$A2446, MATCH(B1644,'Room Info'!$C$2:$C2446, 0)),IF(G1644='Room Info'!$D$1, INDEX('Room Info'!$A$2:$A2446, MATCH(B1644,'Room Info'!$D$2:$D2446, 0)),IF(G1644='Room Info'!$E$1, INDEX('Room Info'!$A$2:$A2446, MATCH(B1644,'Room Info'!$E$2:$E2446, 0)),IF(G1644='Room Info'!$F$1, INDEX('Room Info'!$A$2:$A2446, MATCH(B1644,'Room Info'!$F$2:$F2446, 0)),IF(G1644='Room Info'!$H$1, INDEX('Room Info'!$A$2:$A2446, MATCH(B1644,'Room Info'!$H$2:$H2446, 0)),IF(G1644='Room Info'!$G$1, INDEX('Room Info'!$A$2:$A2446, MATCH(B1644,'Room Info'!$G$2:$G2446, 0)))))))))</f>
        <v>0</v>
      </c>
      <c r="B1644" s="96"/>
      <c r="C1644" s="111"/>
      <c r="D1644" s="111"/>
      <c r="E1644" s="80"/>
      <c r="F1644" s="133"/>
      <c r="G1644" s="65"/>
      <c r="H1644" s="65"/>
      <c r="I1644" s="65"/>
      <c r="J1644" s="39" t="s">
        <v>334</v>
      </c>
      <c r="K1644" s="112"/>
      <c r="L1644" s="113"/>
      <c r="M1644" s="62"/>
      <c r="N1644" s="28" t="e">
        <f t="shared" si="8"/>
        <v>#VALUE!</v>
      </c>
      <c r="O1644" s="65"/>
      <c r="P1644" s="29" t="s">
        <v>334</v>
      </c>
      <c r="Q1644" s="55"/>
      <c r="R1644" s="31" t="e">
        <f t="shared" si="9"/>
        <v>#VALUE!</v>
      </c>
      <c r="S1644" s="66"/>
      <c r="T1644" s="32" t="e">
        <f t="shared" si="10"/>
        <v>#VALUE!</v>
      </c>
      <c r="U1644" s="57"/>
      <c r="V1644" s="58"/>
      <c r="W1644" s="58"/>
      <c r="X1644" s="30" t="e">
        <f t="shared" si="11"/>
        <v>#N/A</v>
      </c>
      <c r="Y1644" s="30" t="e">
        <f t="shared" si="12"/>
        <v>#N/A</v>
      </c>
      <c r="Z1644" s="35" t="e">
        <f t="shared" si="13"/>
        <v>#VALUE!</v>
      </c>
      <c r="AA1644" s="29" t="e">
        <f t="shared" si="14"/>
        <v>#VALUE!</v>
      </c>
      <c r="AB1644" s="36" t="e">
        <f t="shared" si="15"/>
        <v>#VALUE!</v>
      </c>
      <c r="AC1644" s="37" t="b">
        <v>0</v>
      </c>
      <c r="AD1644" s="61" t="str">
        <f t="shared" si="16"/>
        <v>USD</v>
      </c>
      <c r="AE1644" s="37"/>
      <c r="AF1644" s="37" t="e">
        <f t="array" ref="AF1644">INDEX('Deal Info'!D:D, MATCH(A1644,'Deal Info'!A:A, 0))</f>
        <v>#N/A</v>
      </c>
      <c r="AG1644" s="38" t="e">
        <f t="array" ref="AG1644">INDEX('Deal Info'!G:G, MATCH(A1644,'Deal Info'!A:A, 0))</f>
        <v>#N/A</v>
      </c>
    </row>
    <row r="1645" spans="1:33" ht="14.25" hidden="1" x14ac:dyDescent="0.2">
      <c r="A1645" s="18" t="b">
        <f t="array" ref="A1645">IF(G1645='Room Info'!$B$1, INDEX('Room Info'!$A$2:$A2446, MATCH(B1645,'Room Info'!$B$2:$B2446, 0)),IF(G1645='Room Info'!$C$1, INDEX('Room Info'!$A$2:$A2446, MATCH(B1645,'Room Info'!$C$2:$C2446, 0)),IF(G1645='Room Info'!$D$1, INDEX('Room Info'!$A$2:$A2446, MATCH(B1645,'Room Info'!$D$2:$D2446, 0)),IF(G1645='Room Info'!$E$1, INDEX('Room Info'!$A$2:$A2446, MATCH(B1645,'Room Info'!$E$2:$E2446, 0)),IF(G1645='Room Info'!$F$1, INDEX('Room Info'!$A$2:$A2446, MATCH(B1645,'Room Info'!$F$2:$F2446, 0)),IF(G1645='Room Info'!$H$1, INDEX('Room Info'!$A$2:$A2446, MATCH(B1645,'Room Info'!$H$2:$H2446, 0)),IF(G1645='Room Info'!$G$1, INDEX('Room Info'!$A$2:$A2446, MATCH(B1645,'Room Info'!$G$2:$G2446, 0)))))))))</f>
        <v>0</v>
      </c>
      <c r="B1645" s="65"/>
      <c r="C1645" s="111"/>
      <c r="D1645" s="111"/>
      <c r="E1645" s="80"/>
      <c r="F1645" s="96"/>
      <c r="G1645" s="65"/>
      <c r="H1645" s="110"/>
      <c r="I1645" s="110"/>
      <c r="J1645" s="39" t="s">
        <v>334</v>
      </c>
      <c r="K1645" s="134"/>
      <c r="L1645" s="135"/>
      <c r="M1645" s="62"/>
      <c r="N1645" s="28" t="e">
        <f t="shared" si="8"/>
        <v>#VALUE!</v>
      </c>
      <c r="O1645" s="96"/>
      <c r="P1645" s="29" t="s">
        <v>334</v>
      </c>
      <c r="Q1645" s="55"/>
      <c r="R1645" s="31" t="e">
        <f t="shared" si="9"/>
        <v>#VALUE!</v>
      </c>
      <c r="S1645" s="97"/>
      <c r="T1645" s="32" t="e">
        <f t="shared" si="10"/>
        <v>#VALUE!</v>
      </c>
      <c r="U1645" s="57"/>
      <c r="V1645" s="58"/>
      <c r="W1645" s="58"/>
      <c r="X1645" s="30" t="e">
        <f t="shared" si="11"/>
        <v>#N/A</v>
      </c>
      <c r="Y1645" s="30" t="e">
        <f t="shared" si="12"/>
        <v>#N/A</v>
      </c>
      <c r="Z1645" s="35" t="e">
        <f t="shared" si="13"/>
        <v>#VALUE!</v>
      </c>
      <c r="AA1645" s="29" t="e">
        <f t="shared" si="14"/>
        <v>#VALUE!</v>
      </c>
      <c r="AB1645" s="36" t="e">
        <f t="shared" si="15"/>
        <v>#VALUE!</v>
      </c>
      <c r="AC1645" s="37" t="b">
        <v>0</v>
      </c>
      <c r="AD1645" s="61" t="str">
        <f t="shared" si="16"/>
        <v>USD</v>
      </c>
      <c r="AE1645" s="37"/>
      <c r="AF1645" s="37" t="e">
        <f t="array" ref="AF1645">INDEX('Deal Info'!D:D, MATCH(A1645,'Deal Info'!A:A, 0))</f>
        <v>#N/A</v>
      </c>
      <c r="AG1645" s="38" t="e">
        <f t="array" ref="AG1645">INDEX('Deal Info'!G:G, MATCH(A1645,'Deal Info'!A:A, 0))</f>
        <v>#N/A</v>
      </c>
    </row>
    <row r="1646" spans="1:33" ht="14.25" hidden="1" x14ac:dyDescent="0.2">
      <c r="A1646" s="18" t="b">
        <f t="array" ref="A1646">IF(G1646='Room Info'!$B$1, INDEX('Room Info'!$A$2:$A2446, MATCH(B1646,'Room Info'!$B$2:$B2446, 0)),IF(G1646='Room Info'!$C$1, INDEX('Room Info'!$A$2:$A2446, MATCH(B1646,'Room Info'!$C$2:$C2446, 0)),IF(G1646='Room Info'!$D$1, INDEX('Room Info'!$A$2:$A2446, MATCH(B1646,'Room Info'!$D$2:$D2446, 0)),IF(G1646='Room Info'!$E$1, INDEX('Room Info'!$A$2:$A2446, MATCH(B1646,'Room Info'!$E$2:$E2446, 0)),IF(G1646='Room Info'!$F$1, INDEX('Room Info'!$A$2:$A2446, MATCH(B1646,'Room Info'!$F$2:$F2446, 0)),IF(G1646='Room Info'!$H$1, INDEX('Room Info'!$A$2:$A2446, MATCH(B1646,'Room Info'!$H$2:$H2446, 0)),IF(G1646='Room Info'!$G$1, INDEX('Room Info'!$A$2:$A2446, MATCH(B1646,'Room Info'!$G$2:$G2446, 0)))))))))</f>
        <v>0</v>
      </c>
      <c r="B1646" s="65"/>
      <c r="C1646" s="111"/>
      <c r="D1646" s="111"/>
      <c r="E1646" s="80"/>
      <c r="F1646" s="96"/>
      <c r="G1646" s="65"/>
      <c r="H1646" s="110"/>
      <c r="I1646" s="110"/>
      <c r="J1646" s="39" t="s">
        <v>334</v>
      </c>
      <c r="K1646" s="134"/>
      <c r="L1646" s="135"/>
      <c r="M1646" s="62"/>
      <c r="N1646" s="28" t="e">
        <f t="shared" si="8"/>
        <v>#VALUE!</v>
      </c>
      <c r="O1646" s="96"/>
      <c r="P1646" s="29" t="s">
        <v>334</v>
      </c>
      <c r="Q1646" s="55"/>
      <c r="R1646" s="31" t="e">
        <f t="shared" si="9"/>
        <v>#VALUE!</v>
      </c>
      <c r="S1646" s="97"/>
      <c r="T1646" s="32" t="e">
        <f t="shared" si="10"/>
        <v>#VALUE!</v>
      </c>
      <c r="U1646" s="57"/>
      <c r="V1646" s="58"/>
      <c r="W1646" s="58"/>
      <c r="X1646" s="30" t="e">
        <f t="shared" si="11"/>
        <v>#N/A</v>
      </c>
      <c r="Y1646" s="30" t="e">
        <f t="shared" si="12"/>
        <v>#N/A</v>
      </c>
      <c r="Z1646" s="35" t="e">
        <f t="shared" si="13"/>
        <v>#VALUE!</v>
      </c>
      <c r="AA1646" s="29" t="e">
        <f t="shared" si="14"/>
        <v>#VALUE!</v>
      </c>
      <c r="AB1646" s="36" t="e">
        <f t="shared" si="15"/>
        <v>#VALUE!</v>
      </c>
      <c r="AC1646" s="37" t="b">
        <v>0</v>
      </c>
      <c r="AD1646" s="61" t="str">
        <f t="shared" si="16"/>
        <v>USD</v>
      </c>
      <c r="AE1646" s="37"/>
      <c r="AF1646" s="37" t="e">
        <f t="array" ref="AF1646">INDEX('Deal Info'!D:D, MATCH(A1646,'Deal Info'!A:A, 0))</f>
        <v>#N/A</v>
      </c>
      <c r="AG1646" s="38" t="e">
        <f t="array" ref="AG1646">INDEX('Deal Info'!G:G, MATCH(A1646,'Deal Info'!A:A, 0))</f>
        <v>#N/A</v>
      </c>
    </row>
    <row r="1647" spans="1:33" ht="14.25" hidden="1" x14ac:dyDescent="0.2">
      <c r="A1647" s="18" t="b">
        <f t="array" ref="A1647">IF(G1647='Room Info'!$B$1, INDEX('Room Info'!$A$2:$A2446, MATCH(B1647,'Room Info'!$B$2:$B2446, 0)),IF(G1647='Room Info'!$C$1, INDEX('Room Info'!$A$2:$A2446, MATCH(B1647,'Room Info'!$C$2:$C2446, 0)),IF(G1647='Room Info'!$D$1, INDEX('Room Info'!$A$2:$A2446, MATCH(B1647,'Room Info'!$D$2:$D2446, 0)),IF(G1647='Room Info'!$E$1, INDEX('Room Info'!$A$2:$A2446, MATCH(B1647,'Room Info'!$E$2:$E2446, 0)),IF(G1647='Room Info'!$F$1, INDEX('Room Info'!$A$2:$A2446, MATCH(B1647,'Room Info'!$F$2:$F2446, 0)),IF(G1647='Room Info'!$H$1, INDEX('Room Info'!$A$2:$A2446, MATCH(B1647,'Room Info'!$H$2:$H2446, 0)),IF(G1647='Room Info'!$G$1, INDEX('Room Info'!$A$2:$A2446, MATCH(B1647,'Room Info'!$G$2:$G2446, 0)))))))))</f>
        <v>0</v>
      </c>
      <c r="B1647" s="65"/>
      <c r="C1647" s="111"/>
      <c r="D1647" s="111"/>
      <c r="E1647" s="80"/>
      <c r="F1647" s="96"/>
      <c r="G1647" s="65"/>
      <c r="H1647" s="110"/>
      <c r="I1647" s="110"/>
      <c r="J1647" s="39" t="s">
        <v>334</v>
      </c>
      <c r="K1647" s="112"/>
      <c r="L1647" s="113"/>
      <c r="M1647" s="62"/>
      <c r="N1647" s="28" t="e">
        <f t="shared" si="8"/>
        <v>#VALUE!</v>
      </c>
      <c r="O1647" s="65"/>
      <c r="P1647" s="29" t="s">
        <v>334</v>
      </c>
      <c r="Q1647" s="55"/>
      <c r="R1647" s="31" t="e">
        <f t="shared" si="9"/>
        <v>#VALUE!</v>
      </c>
      <c r="S1647" s="66"/>
      <c r="T1647" s="32" t="e">
        <f t="shared" si="10"/>
        <v>#VALUE!</v>
      </c>
      <c r="U1647" s="57"/>
      <c r="V1647" s="58"/>
      <c r="W1647" s="58"/>
      <c r="X1647" s="30" t="e">
        <f t="shared" si="11"/>
        <v>#N/A</v>
      </c>
      <c r="Y1647" s="30" t="e">
        <f t="shared" si="12"/>
        <v>#N/A</v>
      </c>
      <c r="Z1647" s="35" t="e">
        <f t="shared" si="13"/>
        <v>#VALUE!</v>
      </c>
      <c r="AA1647" s="29" t="e">
        <f t="shared" si="14"/>
        <v>#VALUE!</v>
      </c>
      <c r="AB1647" s="36" t="e">
        <f t="shared" si="15"/>
        <v>#VALUE!</v>
      </c>
      <c r="AC1647" s="37" t="b">
        <v>0</v>
      </c>
      <c r="AD1647" s="61" t="str">
        <f t="shared" si="16"/>
        <v>USD</v>
      </c>
      <c r="AE1647" s="37"/>
      <c r="AF1647" s="37" t="e">
        <f t="array" ref="AF1647">INDEX('Deal Info'!D:D, MATCH(A1647,'Deal Info'!A:A, 0))</f>
        <v>#N/A</v>
      </c>
      <c r="AG1647" s="38" t="e">
        <f t="array" ref="AG1647">INDEX('Deal Info'!G:G, MATCH(A1647,'Deal Info'!A:A, 0))</f>
        <v>#N/A</v>
      </c>
    </row>
    <row r="1648" spans="1:33" ht="14.25" hidden="1" x14ac:dyDescent="0.2">
      <c r="A1648" s="18" t="b">
        <f t="array" ref="A1648">IF(G1648='Room Info'!$B$1, INDEX('Room Info'!$A$2:$A2446, MATCH(B1648,'Room Info'!$B$2:$B2446, 0)),IF(G1648='Room Info'!$C$1, INDEX('Room Info'!$A$2:$A2446, MATCH(B1648,'Room Info'!$C$2:$C2446, 0)),IF(G1648='Room Info'!$D$1, INDEX('Room Info'!$A$2:$A2446, MATCH(B1648,'Room Info'!$D$2:$D2446, 0)),IF(G1648='Room Info'!$E$1, INDEX('Room Info'!$A$2:$A2446, MATCH(B1648,'Room Info'!$E$2:$E2446, 0)),IF(G1648='Room Info'!$F$1, INDEX('Room Info'!$A$2:$A2446, MATCH(B1648,'Room Info'!$F$2:$F2446, 0)),IF(G1648='Room Info'!$H$1, INDEX('Room Info'!$A$2:$A2446, MATCH(B1648,'Room Info'!$H$2:$H2446, 0)),IF(G1648='Room Info'!$G$1, INDEX('Room Info'!$A$2:$A2446, MATCH(B1648,'Room Info'!$G$2:$G2446, 0)))))))))</f>
        <v>0</v>
      </c>
      <c r="B1648" s="96"/>
      <c r="C1648" s="111"/>
      <c r="D1648" s="111"/>
      <c r="E1648" s="80"/>
      <c r="F1648" s="133"/>
      <c r="G1648" s="65"/>
      <c r="H1648" s="110"/>
      <c r="I1648" s="110"/>
      <c r="J1648" s="39" t="s">
        <v>334</v>
      </c>
      <c r="K1648" s="134"/>
      <c r="L1648" s="135"/>
      <c r="M1648" s="62"/>
      <c r="N1648" s="28" t="e">
        <f t="shared" si="8"/>
        <v>#VALUE!</v>
      </c>
      <c r="O1648" s="96"/>
      <c r="P1648" s="29" t="s">
        <v>334</v>
      </c>
      <c r="Q1648" s="55"/>
      <c r="R1648" s="31" t="e">
        <f t="shared" si="9"/>
        <v>#VALUE!</v>
      </c>
      <c r="S1648" s="97"/>
      <c r="T1648" s="32" t="e">
        <f t="shared" si="10"/>
        <v>#VALUE!</v>
      </c>
      <c r="U1648" s="57"/>
      <c r="V1648" s="58"/>
      <c r="W1648" s="58"/>
      <c r="X1648" s="30" t="e">
        <f t="shared" si="11"/>
        <v>#N/A</v>
      </c>
      <c r="Y1648" s="30" t="e">
        <f t="shared" si="12"/>
        <v>#N/A</v>
      </c>
      <c r="Z1648" s="35" t="e">
        <f t="shared" si="13"/>
        <v>#VALUE!</v>
      </c>
      <c r="AA1648" s="29" t="e">
        <f t="shared" si="14"/>
        <v>#VALUE!</v>
      </c>
      <c r="AB1648" s="36" t="e">
        <f t="shared" si="15"/>
        <v>#VALUE!</v>
      </c>
      <c r="AC1648" s="37" t="b">
        <v>0</v>
      </c>
      <c r="AD1648" s="61" t="str">
        <f t="shared" si="16"/>
        <v>USD</v>
      </c>
      <c r="AE1648" s="37"/>
      <c r="AF1648" s="37" t="e">
        <f t="array" ref="AF1648">INDEX('Deal Info'!D:D, MATCH(A1648,'Deal Info'!A:A, 0))</f>
        <v>#N/A</v>
      </c>
      <c r="AG1648" s="38" t="e">
        <f t="array" ref="AG1648">INDEX('Deal Info'!G:G, MATCH(A1648,'Deal Info'!A:A, 0))</f>
        <v>#N/A</v>
      </c>
    </row>
    <row r="1649" spans="1:33" ht="14.25" hidden="1" x14ac:dyDescent="0.2">
      <c r="A1649" s="18" t="b">
        <f t="array" ref="A1649">IF(G1649='Room Info'!$B$1, INDEX('Room Info'!$A$2:$A2446, MATCH(B1649,'Room Info'!$B$2:$B2446, 0)),IF(G1649='Room Info'!$C$1, INDEX('Room Info'!$A$2:$A2446, MATCH(B1649,'Room Info'!$C$2:$C2446, 0)),IF(G1649='Room Info'!$D$1, INDEX('Room Info'!$A$2:$A2446, MATCH(B1649,'Room Info'!$D$2:$D2446, 0)),IF(G1649='Room Info'!$E$1, INDEX('Room Info'!$A$2:$A2446, MATCH(B1649,'Room Info'!$E$2:$E2446, 0)),IF(G1649='Room Info'!$F$1, INDEX('Room Info'!$A$2:$A2446, MATCH(B1649,'Room Info'!$F$2:$F2446, 0)),IF(G1649='Room Info'!$H$1, INDEX('Room Info'!$A$2:$A2446, MATCH(B1649,'Room Info'!$H$2:$H2446, 0)),IF(G1649='Room Info'!$G$1, INDEX('Room Info'!$A$2:$A2446, MATCH(B1649,'Room Info'!$G$2:$G2446, 0)))))))))</f>
        <v>0</v>
      </c>
      <c r="B1649" s="96"/>
      <c r="C1649" s="111"/>
      <c r="D1649" s="111"/>
      <c r="E1649" s="80"/>
      <c r="F1649" s="133"/>
      <c r="G1649" s="65"/>
      <c r="H1649" s="110"/>
      <c r="I1649" s="110"/>
      <c r="J1649" s="39" t="s">
        <v>334</v>
      </c>
      <c r="K1649" s="134"/>
      <c r="L1649" s="135"/>
      <c r="M1649" s="62"/>
      <c r="N1649" s="28" t="e">
        <f t="shared" si="8"/>
        <v>#VALUE!</v>
      </c>
      <c r="O1649" s="96"/>
      <c r="P1649" s="29" t="s">
        <v>334</v>
      </c>
      <c r="Q1649" s="55"/>
      <c r="R1649" s="31" t="e">
        <f t="shared" si="9"/>
        <v>#VALUE!</v>
      </c>
      <c r="S1649" s="97"/>
      <c r="T1649" s="32" t="e">
        <f t="shared" si="10"/>
        <v>#VALUE!</v>
      </c>
      <c r="U1649" s="57"/>
      <c r="V1649" s="58"/>
      <c r="W1649" s="58"/>
      <c r="X1649" s="30" t="e">
        <f t="shared" si="11"/>
        <v>#N/A</v>
      </c>
      <c r="Y1649" s="30" t="e">
        <f t="shared" si="12"/>
        <v>#N/A</v>
      </c>
      <c r="Z1649" s="35" t="e">
        <f t="shared" si="13"/>
        <v>#VALUE!</v>
      </c>
      <c r="AA1649" s="29" t="e">
        <f t="shared" si="14"/>
        <v>#VALUE!</v>
      </c>
      <c r="AB1649" s="36" t="e">
        <f t="shared" si="15"/>
        <v>#VALUE!</v>
      </c>
      <c r="AC1649" s="37" t="b">
        <v>0</v>
      </c>
      <c r="AD1649" s="61" t="str">
        <f t="shared" si="16"/>
        <v>USD</v>
      </c>
      <c r="AE1649" s="37"/>
      <c r="AF1649" s="37" t="e">
        <f t="array" ref="AF1649">INDEX('Deal Info'!D:D, MATCH(A1649,'Deal Info'!A:A, 0))</f>
        <v>#N/A</v>
      </c>
      <c r="AG1649" s="38" t="e">
        <f t="array" ref="AG1649">INDEX('Deal Info'!G:G, MATCH(A1649,'Deal Info'!A:A, 0))</f>
        <v>#N/A</v>
      </c>
    </row>
    <row r="1650" spans="1:33" ht="14.25" hidden="1" x14ac:dyDescent="0.2">
      <c r="A1650" s="18" t="b">
        <f t="array" ref="A1650">IF(G1650='Room Info'!$B$1, INDEX('Room Info'!$A$2:$A2446, MATCH(B1650,'Room Info'!$B$2:$B2446, 0)),IF(G1650='Room Info'!$C$1, INDEX('Room Info'!$A$2:$A2446, MATCH(B1650,'Room Info'!$C$2:$C2446, 0)),IF(G1650='Room Info'!$D$1, INDEX('Room Info'!$A$2:$A2446, MATCH(B1650,'Room Info'!$D$2:$D2446, 0)),IF(G1650='Room Info'!$E$1, INDEX('Room Info'!$A$2:$A2446, MATCH(B1650,'Room Info'!$E$2:$E2446, 0)),IF(G1650='Room Info'!$F$1, INDEX('Room Info'!$A$2:$A2446, MATCH(B1650,'Room Info'!$F$2:$F2446, 0)),IF(G1650='Room Info'!$H$1, INDEX('Room Info'!$A$2:$A2446, MATCH(B1650,'Room Info'!$H$2:$H2446, 0)),IF(G1650='Room Info'!$G$1, INDEX('Room Info'!$A$2:$A2446, MATCH(B1650,'Room Info'!$G$2:$G2446, 0)))))))))</f>
        <v>0</v>
      </c>
      <c r="B1650" s="96"/>
      <c r="C1650" s="136"/>
      <c r="D1650" s="136"/>
      <c r="E1650" s="137"/>
      <c r="F1650" s="96"/>
      <c r="G1650" s="65"/>
      <c r="H1650" s="110"/>
      <c r="I1650" s="110"/>
      <c r="J1650" s="39" t="s">
        <v>334</v>
      </c>
      <c r="K1650" s="134"/>
      <c r="L1650" s="135"/>
      <c r="M1650" s="62"/>
      <c r="N1650" s="28" t="e">
        <f t="shared" si="8"/>
        <v>#VALUE!</v>
      </c>
      <c r="O1650" s="96"/>
      <c r="P1650" s="29" t="s">
        <v>334</v>
      </c>
      <c r="Q1650" s="55"/>
      <c r="R1650" s="31" t="e">
        <f t="shared" si="9"/>
        <v>#VALUE!</v>
      </c>
      <c r="S1650" s="97"/>
      <c r="T1650" s="32" t="e">
        <f t="shared" si="10"/>
        <v>#VALUE!</v>
      </c>
      <c r="U1650" s="57"/>
      <c r="V1650" s="58"/>
      <c r="W1650" s="58"/>
      <c r="X1650" s="30" t="e">
        <f t="shared" si="11"/>
        <v>#N/A</v>
      </c>
      <c r="Y1650" s="30" t="e">
        <f t="shared" si="12"/>
        <v>#N/A</v>
      </c>
      <c r="Z1650" s="35" t="e">
        <f t="shared" si="13"/>
        <v>#VALUE!</v>
      </c>
      <c r="AA1650" s="29" t="e">
        <f t="shared" si="14"/>
        <v>#VALUE!</v>
      </c>
      <c r="AB1650" s="36" t="e">
        <f t="shared" si="15"/>
        <v>#VALUE!</v>
      </c>
      <c r="AC1650" s="37" t="b">
        <v>0</v>
      </c>
      <c r="AD1650" s="61" t="str">
        <f t="shared" si="16"/>
        <v>USD</v>
      </c>
      <c r="AE1650" s="37"/>
      <c r="AF1650" s="37" t="e">
        <f t="array" ref="AF1650">INDEX('Deal Info'!D:D, MATCH(A1650,'Deal Info'!A:A, 0))</f>
        <v>#N/A</v>
      </c>
      <c r="AG1650" s="38" t="e">
        <f t="array" ref="AG1650">INDEX('Deal Info'!G:G, MATCH(A1650,'Deal Info'!A:A, 0))</f>
        <v>#N/A</v>
      </c>
    </row>
    <row r="1651" spans="1:33" ht="14.25" hidden="1" x14ac:dyDescent="0.2">
      <c r="A1651" s="18" t="b">
        <f t="array" ref="A1651">IF(G1651='Room Info'!$B$1, INDEX('Room Info'!$A$2:$A2446, MATCH(B1651,'Room Info'!$B$2:$B2446, 0)),IF(G1651='Room Info'!$C$1, INDEX('Room Info'!$A$2:$A2446, MATCH(B1651,'Room Info'!$C$2:$C2446, 0)),IF(G1651='Room Info'!$D$1, INDEX('Room Info'!$A$2:$A2446, MATCH(B1651,'Room Info'!$D$2:$D2446, 0)),IF(G1651='Room Info'!$E$1, INDEX('Room Info'!$A$2:$A2446, MATCH(B1651,'Room Info'!$E$2:$E2446, 0)),IF(G1651='Room Info'!$F$1, INDEX('Room Info'!$A$2:$A2446, MATCH(B1651,'Room Info'!$F$2:$F2446, 0)),IF(G1651='Room Info'!$H$1, INDEX('Room Info'!$A$2:$A2446, MATCH(B1651,'Room Info'!$H$2:$H2446, 0)),IF(G1651='Room Info'!$G$1, INDEX('Room Info'!$A$2:$A2446, MATCH(B1651,'Room Info'!$G$2:$G2446, 0)))))))))</f>
        <v>0</v>
      </c>
      <c r="B1651" s="96"/>
      <c r="C1651" s="136"/>
      <c r="D1651" s="136"/>
      <c r="E1651" s="137"/>
      <c r="F1651" s="96"/>
      <c r="G1651" s="65"/>
      <c r="H1651" s="110"/>
      <c r="I1651" s="110"/>
      <c r="J1651" s="39" t="s">
        <v>334</v>
      </c>
      <c r="K1651" s="134"/>
      <c r="L1651" s="135"/>
      <c r="M1651" s="62"/>
      <c r="N1651" s="28" t="e">
        <f t="shared" si="8"/>
        <v>#VALUE!</v>
      </c>
      <c r="O1651" s="96"/>
      <c r="P1651" s="29" t="s">
        <v>334</v>
      </c>
      <c r="Q1651" s="55"/>
      <c r="R1651" s="31" t="e">
        <f t="shared" si="9"/>
        <v>#VALUE!</v>
      </c>
      <c r="S1651" s="97"/>
      <c r="T1651" s="32" t="e">
        <f t="shared" si="10"/>
        <v>#VALUE!</v>
      </c>
      <c r="U1651" s="57"/>
      <c r="V1651" s="58"/>
      <c r="W1651" s="58"/>
      <c r="X1651" s="30" t="e">
        <f t="shared" si="11"/>
        <v>#N/A</v>
      </c>
      <c r="Y1651" s="30" t="e">
        <f t="shared" si="12"/>
        <v>#N/A</v>
      </c>
      <c r="Z1651" s="35" t="e">
        <f t="shared" si="13"/>
        <v>#VALUE!</v>
      </c>
      <c r="AA1651" s="29" t="e">
        <f t="shared" si="14"/>
        <v>#VALUE!</v>
      </c>
      <c r="AB1651" s="36" t="e">
        <f t="shared" si="15"/>
        <v>#VALUE!</v>
      </c>
      <c r="AC1651" s="37" t="b">
        <v>0</v>
      </c>
      <c r="AD1651" s="61" t="str">
        <f t="shared" si="16"/>
        <v>USD</v>
      </c>
      <c r="AE1651" s="37"/>
      <c r="AF1651" s="37" t="e">
        <f t="array" ref="AF1651">INDEX('Deal Info'!D:D, MATCH(A1651,'Deal Info'!A:A, 0))</f>
        <v>#N/A</v>
      </c>
      <c r="AG1651" s="38" t="e">
        <f t="array" ref="AG1651">INDEX('Deal Info'!G:G, MATCH(A1651,'Deal Info'!A:A, 0))</f>
        <v>#N/A</v>
      </c>
    </row>
    <row r="1652" spans="1:33" ht="14.25" hidden="1" x14ac:dyDescent="0.2">
      <c r="A1652" s="18" t="b">
        <f t="array" ref="A1652">IF(G1652='Room Info'!$B$1, INDEX('Room Info'!$A$2:$A2446, MATCH(B1652,'Room Info'!$B$2:$B2446, 0)),IF(G1652='Room Info'!$C$1, INDEX('Room Info'!$A$2:$A2446, MATCH(B1652,'Room Info'!$C$2:$C2446, 0)),IF(G1652='Room Info'!$D$1, INDEX('Room Info'!$A$2:$A2446, MATCH(B1652,'Room Info'!$D$2:$D2446, 0)),IF(G1652='Room Info'!$E$1, INDEX('Room Info'!$A$2:$A2446, MATCH(B1652,'Room Info'!$E$2:$E2446, 0)),IF(G1652='Room Info'!$F$1, INDEX('Room Info'!$A$2:$A2446, MATCH(B1652,'Room Info'!$F$2:$F2446, 0)),IF(G1652='Room Info'!$H$1, INDEX('Room Info'!$A$2:$A2446, MATCH(B1652,'Room Info'!$H$2:$H2446, 0)),IF(G1652='Room Info'!$G$1, INDEX('Room Info'!$A$2:$A2446, MATCH(B1652,'Room Info'!$G$2:$G2446, 0)))))))))</f>
        <v>0</v>
      </c>
      <c r="B1652" s="96"/>
      <c r="C1652" s="136"/>
      <c r="D1652" s="136"/>
      <c r="E1652" s="137"/>
      <c r="F1652" s="133"/>
      <c r="G1652" s="96"/>
      <c r="H1652" s="100"/>
      <c r="I1652" s="100"/>
      <c r="J1652" s="39" t="s">
        <v>334</v>
      </c>
      <c r="K1652" s="134"/>
      <c r="L1652" s="135"/>
      <c r="M1652" s="79"/>
      <c r="N1652" s="28" t="e">
        <f t="shared" si="8"/>
        <v>#VALUE!</v>
      </c>
      <c r="O1652" s="96"/>
      <c r="P1652" s="29" t="s">
        <v>334</v>
      </c>
      <c r="Q1652" s="55"/>
      <c r="R1652" s="31" t="e">
        <f t="shared" si="9"/>
        <v>#VALUE!</v>
      </c>
      <c r="S1652" s="97"/>
      <c r="T1652" s="32" t="e">
        <f t="shared" si="10"/>
        <v>#VALUE!</v>
      </c>
      <c r="U1652" s="57"/>
      <c r="V1652" s="58"/>
      <c r="W1652" s="58"/>
      <c r="X1652" s="30" t="e">
        <f t="shared" si="11"/>
        <v>#N/A</v>
      </c>
      <c r="Y1652" s="30" t="e">
        <f t="shared" si="12"/>
        <v>#N/A</v>
      </c>
      <c r="Z1652" s="35" t="e">
        <f t="shared" si="13"/>
        <v>#VALUE!</v>
      </c>
      <c r="AA1652" s="29" t="e">
        <f t="shared" si="14"/>
        <v>#VALUE!</v>
      </c>
      <c r="AB1652" s="36" t="e">
        <f t="shared" si="15"/>
        <v>#VALUE!</v>
      </c>
      <c r="AC1652" s="37" t="b">
        <v>0</v>
      </c>
      <c r="AD1652" s="61" t="str">
        <f t="shared" si="16"/>
        <v>USD</v>
      </c>
      <c r="AE1652" s="37"/>
      <c r="AF1652" s="37" t="e">
        <f t="array" ref="AF1652">INDEX('Deal Info'!D:D, MATCH(A1652,'Deal Info'!A:A, 0))</f>
        <v>#N/A</v>
      </c>
      <c r="AG1652" s="38" t="e">
        <f t="array" ref="AG1652">INDEX('Deal Info'!G:G, MATCH(A1652,'Deal Info'!A:A, 0))</f>
        <v>#N/A</v>
      </c>
    </row>
    <row r="1653" spans="1:33" ht="14.25" hidden="1" x14ac:dyDescent="0.2">
      <c r="A1653" s="18" t="b">
        <f t="array" ref="A1653">IF(G1653='Room Info'!$B$1, INDEX('Room Info'!$A$2:$A2446, MATCH(B1653,'Room Info'!$B$2:$B2446, 0)),IF(G1653='Room Info'!$C$1, INDEX('Room Info'!$A$2:$A2446, MATCH(B1653,'Room Info'!$C$2:$C2446, 0)),IF(G1653='Room Info'!$D$1, INDEX('Room Info'!$A$2:$A2446, MATCH(B1653,'Room Info'!$D$2:$D2446, 0)),IF(G1653='Room Info'!$E$1, INDEX('Room Info'!$A$2:$A2446, MATCH(B1653,'Room Info'!$E$2:$E2446, 0)),IF(G1653='Room Info'!$F$1, INDEX('Room Info'!$A$2:$A2446, MATCH(B1653,'Room Info'!$F$2:$F2446, 0)),IF(G1653='Room Info'!$H$1, INDEX('Room Info'!$A$2:$A2446, MATCH(B1653,'Room Info'!$H$2:$H2446, 0)),IF(G1653='Room Info'!$G$1, INDEX('Room Info'!$A$2:$A2446, MATCH(B1653,'Room Info'!$G$2:$G2446, 0)))))))))</f>
        <v>0</v>
      </c>
      <c r="B1653" s="96"/>
      <c r="C1653" s="136"/>
      <c r="D1653" s="136"/>
      <c r="E1653" s="137"/>
      <c r="F1653" s="133"/>
      <c r="G1653" s="96"/>
      <c r="H1653" s="110"/>
      <c r="I1653" s="110"/>
      <c r="J1653" s="39" t="s">
        <v>334</v>
      </c>
      <c r="K1653" s="134"/>
      <c r="L1653" s="135"/>
      <c r="M1653" s="79"/>
      <c r="N1653" s="28" t="e">
        <f t="shared" si="8"/>
        <v>#VALUE!</v>
      </c>
      <c r="O1653" s="96"/>
      <c r="P1653" s="29" t="s">
        <v>334</v>
      </c>
      <c r="Q1653" s="55"/>
      <c r="R1653" s="31" t="e">
        <f t="shared" si="9"/>
        <v>#VALUE!</v>
      </c>
      <c r="S1653" s="97"/>
      <c r="T1653" s="32" t="e">
        <f t="shared" si="10"/>
        <v>#VALUE!</v>
      </c>
      <c r="U1653" s="57"/>
      <c r="V1653" s="58"/>
      <c r="W1653" s="58"/>
      <c r="X1653" s="30" t="e">
        <f t="shared" si="11"/>
        <v>#N/A</v>
      </c>
      <c r="Y1653" s="30" t="e">
        <f t="shared" si="12"/>
        <v>#N/A</v>
      </c>
      <c r="Z1653" s="35" t="e">
        <f t="shared" si="13"/>
        <v>#VALUE!</v>
      </c>
      <c r="AA1653" s="29" t="e">
        <f t="shared" si="14"/>
        <v>#VALUE!</v>
      </c>
      <c r="AB1653" s="36" t="e">
        <f t="shared" si="15"/>
        <v>#VALUE!</v>
      </c>
      <c r="AC1653" s="37" t="b">
        <v>0</v>
      </c>
      <c r="AD1653" s="61" t="str">
        <f t="shared" si="16"/>
        <v>USD</v>
      </c>
      <c r="AE1653" s="37"/>
      <c r="AF1653" s="37" t="e">
        <f t="array" ref="AF1653">INDEX('Deal Info'!D:D, MATCH(A1653,'Deal Info'!A:A, 0))</f>
        <v>#N/A</v>
      </c>
      <c r="AG1653" s="38" t="e">
        <f t="array" ref="AG1653">INDEX('Deal Info'!G:G, MATCH(A1653,'Deal Info'!A:A, 0))</f>
        <v>#N/A</v>
      </c>
    </row>
    <row r="1654" spans="1:33" ht="14.25" hidden="1" x14ac:dyDescent="0.2">
      <c r="A1654" s="18" t="b">
        <f t="array" ref="A1654">IF(G1654='Room Info'!$B$1, INDEX('Room Info'!$A$2:$A2446, MATCH(B1654,'Room Info'!$B$2:$B2446, 0)),IF(G1654='Room Info'!$C$1, INDEX('Room Info'!$A$2:$A2446, MATCH(B1654,'Room Info'!$C$2:$C2446, 0)),IF(G1654='Room Info'!$D$1, INDEX('Room Info'!$A$2:$A2446, MATCH(B1654,'Room Info'!$D$2:$D2446, 0)),IF(G1654='Room Info'!$E$1, INDEX('Room Info'!$A$2:$A2446, MATCH(B1654,'Room Info'!$E$2:$E2446, 0)),IF(G1654='Room Info'!$F$1, INDEX('Room Info'!$A$2:$A2446, MATCH(B1654,'Room Info'!$F$2:$F2446, 0)),IF(G1654='Room Info'!$H$1, INDEX('Room Info'!$A$2:$A2446, MATCH(B1654,'Room Info'!$H$2:$H2446, 0)),IF(G1654='Room Info'!$G$1, INDEX('Room Info'!$A$2:$A2446, MATCH(B1654,'Room Info'!$G$2:$G2446, 0)))))))))</f>
        <v>0</v>
      </c>
      <c r="B1654" s="96"/>
      <c r="C1654" s="136"/>
      <c r="D1654" s="136"/>
      <c r="E1654" s="137"/>
      <c r="F1654" s="133"/>
      <c r="G1654" s="96"/>
      <c r="H1654" s="100"/>
      <c r="I1654" s="100"/>
      <c r="J1654" s="39" t="s">
        <v>334</v>
      </c>
      <c r="K1654" s="134"/>
      <c r="L1654" s="135"/>
      <c r="M1654" s="79"/>
      <c r="N1654" s="28" t="e">
        <f t="shared" si="8"/>
        <v>#VALUE!</v>
      </c>
      <c r="O1654" s="96"/>
      <c r="P1654" s="29" t="s">
        <v>334</v>
      </c>
      <c r="Q1654" s="55"/>
      <c r="R1654" s="31" t="e">
        <f t="shared" si="9"/>
        <v>#VALUE!</v>
      </c>
      <c r="S1654" s="97"/>
      <c r="T1654" s="32" t="e">
        <f t="shared" si="10"/>
        <v>#VALUE!</v>
      </c>
      <c r="U1654" s="57"/>
      <c r="V1654" s="58"/>
      <c r="W1654" s="58"/>
      <c r="X1654" s="30" t="e">
        <f t="shared" si="11"/>
        <v>#N/A</v>
      </c>
      <c r="Y1654" s="30" t="e">
        <f t="shared" si="12"/>
        <v>#N/A</v>
      </c>
      <c r="Z1654" s="35" t="e">
        <f t="shared" si="13"/>
        <v>#VALUE!</v>
      </c>
      <c r="AA1654" s="29" t="e">
        <f t="shared" si="14"/>
        <v>#VALUE!</v>
      </c>
      <c r="AB1654" s="36" t="e">
        <f t="shared" si="15"/>
        <v>#VALUE!</v>
      </c>
      <c r="AC1654" s="37" t="b">
        <v>0</v>
      </c>
      <c r="AD1654" s="61" t="str">
        <f t="shared" si="16"/>
        <v>USD</v>
      </c>
      <c r="AE1654" s="37"/>
      <c r="AF1654" s="37" t="e">
        <f t="array" ref="AF1654">INDEX('Deal Info'!D:D, MATCH(A1654,'Deal Info'!A:A, 0))</f>
        <v>#N/A</v>
      </c>
      <c r="AG1654" s="38" t="e">
        <f t="array" ref="AG1654">INDEX('Deal Info'!G:G, MATCH(A1654,'Deal Info'!A:A, 0))</f>
        <v>#N/A</v>
      </c>
    </row>
    <row r="1655" spans="1:33" ht="14.25" hidden="1" x14ac:dyDescent="0.2">
      <c r="A1655" s="18" t="b">
        <f t="array" ref="A1655">IF(G1655='Room Info'!$B$1, INDEX('Room Info'!$A$2:$A2446, MATCH(B1655,'Room Info'!$B$2:$B2446, 0)),IF(G1655='Room Info'!$C$1, INDEX('Room Info'!$A$2:$A2446, MATCH(B1655,'Room Info'!$C$2:$C2446, 0)),IF(G1655='Room Info'!$D$1, INDEX('Room Info'!$A$2:$A2446, MATCH(B1655,'Room Info'!$D$2:$D2446, 0)),IF(G1655='Room Info'!$E$1, INDEX('Room Info'!$A$2:$A2446, MATCH(B1655,'Room Info'!$E$2:$E2446, 0)),IF(G1655='Room Info'!$F$1, INDEX('Room Info'!$A$2:$A2446, MATCH(B1655,'Room Info'!$F$2:$F2446, 0)),IF(G1655='Room Info'!$H$1, INDEX('Room Info'!$A$2:$A2446, MATCH(B1655,'Room Info'!$H$2:$H2446, 0)),IF(G1655='Room Info'!$G$1, INDEX('Room Info'!$A$2:$A2446, MATCH(B1655,'Room Info'!$G$2:$G2446, 0)))))))))</f>
        <v>0</v>
      </c>
      <c r="B1655" s="96"/>
      <c r="C1655" s="136"/>
      <c r="D1655" s="136"/>
      <c r="E1655" s="137"/>
      <c r="F1655" s="133"/>
      <c r="G1655" s="96"/>
      <c r="H1655" s="100"/>
      <c r="I1655" s="100"/>
      <c r="J1655" s="39" t="s">
        <v>334</v>
      </c>
      <c r="K1655" s="134"/>
      <c r="L1655" s="135"/>
      <c r="M1655" s="79"/>
      <c r="N1655" s="28" t="e">
        <f t="shared" si="8"/>
        <v>#VALUE!</v>
      </c>
      <c r="O1655" s="96"/>
      <c r="P1655" s="29" t="s">
        <v>334</v>
      </c>
      <c r="Q1655" s="55"/>
      <c r="R1655" s="31" t="e">
        <f t="shared" si="9"/>
        <v>#VALUE!</v>
      </c>
      <c r="S1655" s="97"/>
      <c r="T1655" s="32" t="e">
        <f t="shared" si="10"/>
        <v>#VALUE!</v>
      </c>
      <c r="U1655" s="57"/>
      <c r="V1655" s="58"/>
      <c r="W1655" s="58"/>
      <c r="X1655" s="30" t="e">
        <f t="shared" si="11"/>
        <v>#N/A</v>
      </c>
      <c r="Y1655" s="30" t="e">
        <f t="shared" si="12"/>
        <v>#N/A</v>
      </c>
      <c r="Z1655" s="35" t="e">
        <f t="shared" si="13"/>
        <v>#VALUE!</v>
      </c>
      <c r="AA1655" s="29" t="e">
        <f t="shared" si="14"/>
        <v>#VALUE!</v>
      </c>
      <c r="AB1655" s="36" t="e">
        <f t="shared" si="15"/>
        <v>#VALUE!</v>
      </c>
      <c r="AC1655" s="37" t="b">
        <v>0</v>
      </c>
      <c r="AD1655" s="61" t="str">
        <f t="shared" si="16"/>
        <v>USD</v>
      </c>
      <c r="AE1655" s="37"/>
      <c r="AF1655" s="37" t="e">
        <f t="array" ref="AF1655">INDEX('Deal Info'!D:D, MATCH(A1655,'Deal Info'!A:A, 0))</f>
        <v>#N/A</v>
      </c>
      <c r="AG1655" s="38" t="e">
        <f t="array" ref="AG1655">INDEX('Deal Info'!G:G, MATCH(A1655,'Deal Info'!A:A, 0))</f>
        <v>#N/A</v>
      </c>
    </row>
    <row r="1656" spans="1:33" ht="14.25" hidden="1" x14ac:dyDescent="0.2">
      <c r="A1656" s="18" t="b">
        <f t="array" ref="A1656">IF(G1656='Room Info'!$B$1, INDEX('Room Info'!$A$2:$A2446, MATCH(B1656,'Room Info'!$B$2:$B2446, 0)),IF(G1656='Room Info'!$C$1, INDEX('Room Info'!$A$2:$A2446, MATCH(B1656,'Room Info'!$C$2:$C2446, 0)),IF(G1656='Room Info'!$D$1, INDEX('Room Info'!$A$2:$A2446, MATCH(B1656,'Room Info'!$D$2:$D2446, 0)),IF(G1656='Room Info'!$E$1, INDEX('Room Info'!$A$2:$A2446, MATCH(B1656,'Room Info'!$E$2:$E2446, 0)),IF(G1656='Room Info'!$F$1, INDEX('Room Info'!$A$2:$A2446, MATCH(B1656,'Room Info'!$F$2:$F2446, 0)),IF(G1656='Room Info'!$H$1, INDEX('Room Info'!$A$2:$A2446, MATCH(B1656,'Room Info'!$H$2:$H2446, 0)),IF(G1656='Room Info'!$G$1, INDEX('Room Info'!$A$2:$A2446, MATCH(B1656,'Room Info'!$G$2:$G2446, 0)))))))))</f>
        <v>0</v>
      </c>
      <c r="B1656" s="96"/>
      <c r="C1656" s="111"/>
      <c r="D1656" s="111"/>
      <c r="E1656" s="80"/>
      <c r="F1656" s="133"/>
      <c r="G1656" s="65"/>
      <c r="H1656" s="110"/>
      <c r="I1656" s="110"/>
      <c r="J1656" s="39" t="s">
        <v>334</v>
      </c>
      <c r="K1656" s="112"/>
      <c r="L1656" s="113"/>
      <c r="M1656" s="62"/>
      <c r="N1656" s="28" t="e">
        <f t="shared" si="8"/>
        <v>#VALUE!</v>
      </c>
      <c r="O1656" s="65"/>
      <c r="P1656" s="29" t="s">
        <v>334</v>
      </c>
      <c r="Q1656" s="55"/>
      <c r="R1656" s="31" t="e">
        <f t="shared" si="9"/>
        <v>#VALUE!</v>
      </c>
      <c r="S1656" s="66"/>
      <c r="T1656" s="32" t="e">
        <f t="shared" si="10"/>
        <v>#VALUE!</v>
      </c>
      <c r="U1656" s="57"/>
      <c r="V1656" s="58"/>
      <c r="W1656" s="58"/>
      <c r="X1656" s="30" t="e">
        <f t="shared" si="11"/>
        <v>#N/A</v>
      </c>
      <c r="Y1656" s="30" t="e">
        <f t="shared" si="12"/>
        <v>#N/A</v>
      </c>
      <c r="Z1656" s="35" t="e">
        <f t="shared" si="13"/>
        <v>#VALUE!</v>
      </c>
      <c r="AA1656" s="29" t="e">
        <f t="shared" si="14"/>
        <v>#VALUE!</v>
      </c>
      <c r="AB1656" s="36" t="e">
        <f t="shared" si="15"/>
        <v>#VALUE!</v>
      </c>
      <c r="AC1656" s="37" t="b">
        <v>0</v>
      </c>
      <c r="AD1656" s="61" t="str">
        <f t="shared" si="16"/>
        <v>USD</v>
      </c>
      <c r="AE1656" s="37"/>
      <c r="AF1656" s="37" t="e">
        <f t="array" ref="AF1656">INDEX('Deal Info'!D:D, MATCH(A1656,'Deal Info'!A:A, 0))</f>
        <v>#N/A</v>
      </c>
      <c r="AG1656" s="38" t="e">
        <f t="array" ref="AG1656">INDEX('Deal Info'!G:G, MATCH(A1656,'Deal Info'!A:A, 0))</f>
        <v>#N/A</v>
      </c>
    </row>
    <row r="1657" spans="1:33" ht="14.25" hidden="1" x14ac:dyDescent="0.2">
      <c r="A1657" s="18" t="b">
        <f t="array" ref="A1657">IF(G1657='Room Info'!$B$1, INDEX('Room Info'!$A$2:$A2446, MATCH(B1657,'Room Info'!$B$2:$B2446, 0)),IF(G1657='Room Info'!$C$1, INDEX('Room Info'!$A$2:$A2446, MATCH(B1657,'Room Info'!$C$2:$C2446, 0)),IF(G1657='Room Info'!$D$1, INDEX('Room Info'!$A$2:$A2446, MATCH(B1657,'Room Info'!$D$2:$D2446, 0)),IF(G1657='Room Info'!$E$1, INDEX('Room Info'!$A$2:$A2446, MATCH(B1657,'Room Info'!$E$2:$E2446, 0)),IF(G1657='Room Info'!$F$1, INDEX('Room Info'!$A$2:$A2446, MATCH(B1657,'Room Info'!$F$2:$F2446, 0)),IF(G1657='Room Info'!$H$1, INDEX('Room Info'!$A$2:$A2446, MATCH(B1657,'Room Info'!$H$2:$H2446, 0)),IF(G1657='Room Info'!$G$1, INDEX('Room Info'!$A$2:$A2446, MATCH(B1657,'Room Info'!$G$2:$G2446, 0)))))))))</f>
        <v>0</v>
      </c>
      <c r="B1657" s="96"/>
      <c r="C1657" s="111"/>
      <c r="D1657" s="111"/>
      <c r="E1657" s="80"/>
      <c r="F1657" s="133"/>
      <c r="G1657" s="96"/>
      <c r="H1657" s="110"/>
      <c r="I1657" s="110"/>
      <c r="J1657" s="39" t="s">
        <v>334</v>
      </c>
      <c r="K1657" s="112"/>
      <c r="L1657" s="113"/>
      <c r="M1657" s="62"/>
      <c r="N1657" s="28" t="e">
        <f t="shared" si="8"/>
        <v>#VALUE!</v>
      </c>
      <c r="O1657" s="65"/>
      <c r="P1657" s="29" t="s">
        <v>334</v>
      </c>
      <c r="Q1657" s="55"/>
      <c r="R1657" s="31" t="e">
        <f t="shared" si="9"/>
        <v>#VALUE!</v>
      </c>
      <c r="S1657" s="66"/>
      <c r="T1657" s="32" t="e">
        <f t="shared" si="10"/>
        <v>#VALUE!</v>
      </c>
      <c r="U1657" s="57"/>
      <c r="V1657" s="58"/>
      <c r="W1657" s="58"/>
      <c r="X1657" s="30" t="e">
        <f t="shared" si="11"/>
        <v>#N/A</v>
      </c>
      <c r="Y1657" s="30" t="e">
        <f t="shared" si="12"/>
        <v>#N/A</v>
      </c>
      <c r="Z1657" s="35" t="e">
        <f t="shared" si="13"/>
        <v>#VALUE!</v>
      </c>
      <c r="AA1657" s="29" t="e">
        <f t="shared" si="14"/>
        <v>#VALUE!</v>
      </c>
      <c r="AB1657" s="36" t="e">
        <f t="shared" si="15"/>
        <v>#VALUE!</v>
      </c>
      <c r="AC1657" s="37" t="b">
        <v>0</v>
      </c>
      <c r="AD1657" s="61" t="str">
        <f t="shared" si="16"/>
        <v>USD</v>
      </c>
      <c r="AE1657" s="37"/>
      <c r="AF1657" s="37" t="e">
        <f t="array" ref="AF1657">INDEX('Deal Info'!D:D, MATCH(A1657,'Deal Info'!A:A, 0))</f>
        <v>#N/A</v>
      </c>
      <c r="AG1657" s="38" t="e">
        <f t="array" ref="AG1657">INDEX('Deal Info'!G:G, MATCH(A1657,'Deal Info'!A:A, 0))</f>
        <v>#N/A</v>
      </c>
    </row>
    <row r="1658" spans="1:33" ht="14.25" hidden="1" x14ac:dyDescent="0.2">
      <c r="A1658" s="18" t="b">
        <f t="array" ref="A1658">IF(G1658='Room Info'!$B$1, INDEX('Room Info'!$A$2:$A2446, MATCH(B1658,'Room Info'!$B$2:$B2446, 0)),IF(G1658='Room Info'!$C$1, INDEX('Room Info'!$A$2:$A2446, MATCH(B1658,'Room Info'!$C$2:$C2446, 0)),IF(G1658='Room Info'!$D$1, INDEX('Room Info'!$A$2:$A2446, MATCH(B1658,'Room Info'!$D$2:$D2446, 0)),IF(G1658='Room Info'!$E$1, INDEX('Room Info'!$A$2:$A2446, MATCH(B1658,'Room Info'!$E$2:$E2446, 0)),IF(G1658='Room Info'!$F$1, INDEX('Room Info'!$A$2:$A2446, MATCH(B1658,'Room Info'!$F$2:$F2446, 0)),IF(G1658='Room Info'!$H$1, INDEX('Room Info'!$A$2:$A2446, MATCH(B1658,'Room Info'!$H$2:$H2446, 0)),IF(G1658='Room Info'!$G$1, INDEX('Room Info'!$A$2:$A2446, MATCH(B1658,'Room Info'!$G$2:$G2446, 0)))))))))</f>
        <v>0</v>
      </c>
      <c r="B1658" s="96"/>
      <c r="C1658" s="111"/>
      <c r="D1658" s="111"/>
      <c r="E1658" s="80"/>
      <c r="F1658" s="133"/>
      <c r="G1658" s="96"/>
      <c r="H1658" s="110"/>
      <c r="I1658" s="110"/>
      <c r="J1658" s="39" t="s">
        <v>334</v>
      </c>
      <c r="K1658" s="112"/>
      <c r="L1658" s="113"/>
      <c r="M1658" s="62"/>
      <c r="N1658" s="28" t="e">
        <f t="shared" si="8"/>
        <v>#VALUE!</v>
      </c>
      <c r="O1658" s="65"/>
      <c r="P1658" s="29" t="s">
        <v>334</v>
      </c>
      <c r="Q1658" s="55"/>
      <c r="R1658" s="31" t="e">
        <f t="shared" si="9"/>
        <v>#VALUE!</v>
      </c>
      <c r="S1658" s="66"/>
      <c r="T1658" s="32" t="e">
        <f t="shared" si="10"/>
        <v>#VALUE!</v>
      </c>
      <c r="U1658" s="57"/>
      <c r="V1658" s="58"/>
      <c r="W1658" s="58"/>
      <c r="X1658" s="30" t="e">
        <f t="shared" si="11"/>
        <v>#N/A</v>
      </c>
      <c r="Y1658" s="30" t="e">
        <f t="shared" si="12"/>
        <v>#N/A</v>
      </c>
      <c r="Z1658" s="35" t="e">
        <f t="shared" si="13"/>
        <v>#VALUE!</v>
      </c>
      <c r="AA1658" s="29" t="e">
        <f t="shared" si="14"/>
        <v>#VALUE!</v>
      </c>
      <c r="AB1658" s="36" t="e">
        <f t="shared" si="15"/>
        <v>#VALUE!</v>
      </c>
      <c r="AC1658" s="37" t="b">
        <v>0</v>
      </c>
      <c r="AD1658" s="61" t="str">
        <f t="shared" si="16"/>
        <v>USD</v>
      </c>
      <c r="AE1658" s="37"/>
      <c r="AF1658" s="37" t="e">
        <f t="array" ref="AF1658">INDEX('Deal Info'!D:D, MATCH(A1658,'Deal Info'!A:A, 0))</f>
        <v>#N/A</v>
      </c>
      <c r="AG1658" s="38" t="e">
        <f t="array" ref="AG1658">INDEX('Deal Info'!G:G, MATCH(A1658,'Deal Info'!A:A, 0))</f>
        <v>#N/A</v>
      </c>
    </row>
    <row r="1659" spans="1:33" ht="14.25" hidden="1" x14ac:dyDescent="0.2">
      <c r="A1659" s="18" t="b">
        <f t="array" ref="A1659">IF(G1659='Room Info'!$B$1, INDEX('Room Info'!$A$2:$A2446, MATCH(B1659,'Room Info'!$B$2:$B2446, 0)),IF(G1659='Room Info'!$C$1, INDEX('Room Info'!$A$2:$A2446, MATCH(B1659,'Room Info'!$C$2:$C2446, 0)),IF(G1659='Room Info'!$D$1, INDEX('Room Info'!$A$2:$A2446, MATCH(B1659,'Room Info'!$D$2:$D2446, 0)),IF(G1659='Room Info'!$E$1, INDEX('Room Info'!$A$2:$A2446, MATCH(B1659,'Room Info'!$E$2:$E2446, 0)),IF(G1659='Room Info'!$F$1, INDEX('Room Info'!$A$2:$A2446, MATCH(B1659,'Room Info'!$F$2:$F2446, 0)),IF(G1659='Room Info'!$H$1, INDEX('Room Info'!$A$2:$A2446, MATCH(B1659,'Room Info'!$H$2:$H2446, 0)),IF(G1659='Room Info'!$G$1, INDEX('Room Info'!$A$2:$A2446, MATCH(B1659,'Room Info'!$G$2:$G2446, 0)))))))))</f>
        <v>0</v>
      </c>
      <c r="B1659" s="96"/>
      <c r="C1659" s="111"/>
      <c r="D1659" s="111"/>
      <c r="E1659" s="80"/>
      <c r="F1659" s="133"/>
      <c r="G1659" s="96"/>
      <c r="H1659" s="110"/>
      <c r="I1659" s="110"/>
      <c r="J1659" s="39" t="s">
        <v>334</v>
      </c>
      <c r="K1659" s="112"/>
      <c r="L1659" s="113"/>
      <c r="M1659" s="62"/>
      <c r="N1659" s="28" t="e">
        <f t="shared" si="8"/>
        <v>#VALUE!</v>
      </c>
      <c r="O1659" s="65"/>
      <c r="P1659" s="29" t="s">
        <v>334</v>
      </c>
      <c r="Q1659" s="55"/>
      <c r="R1659" s="31" t="e">
        <f t="shared" si="9"/>
        <v>#VALUE!</v>
      </c>
      <c r="S1659" s="66"/>
      <c r="T1659" s="32" t="e">
        <f t="shared" si="10"/>
        <v>#VALUE!</v>
      </c>
      <c r="U1659" s="57"/>
      <c r="V1659" s="58"/>
      <c r="W1659" s="58"/>
      <c r="X1659" s="30" t="e">
        <f t="shared" si="11"/>
        <v>#N/A</v>
      </c>
      <c r="Y1659" s="30" t="e">
        <f t="shared" si="12"/>
        <v>#N/A</v>
      </c>
      <c r="Z1659" s="35" t="e">
        <f t="shared" si="13"/>
        <v>#VALUE!</v>
      </c>
      <c r="AA1659" s="29" t="e">
        <f t="shared" si="14"/>
        <v>#VALUE!</v>
      </c>
      <c r="AB1659" s="36" t="e">
        <f t="shared" si="15"/>
        <v>#VALUE!</v>
      </c>
      <c r="AC1659" s="37" t="b">
        <v>0</v>
      </c>
      <c r="AD1659" s="61" t="str">
        <f t="shared" si="16"/>
        <v>USD</v>
      </c>
      <c r="AE1659" s="37"/>
      <c r="AF1659" s="37" t="e">
        <f t="array" ref="AF1659">INDEX('Deal Info'!D:D, MATCH(A1659,'Deal Info'!A:A, 0))</f>
        <v>#N/A</v>
      </c>
      <c r="AG1659" s="38" t="e">
        <f t="array" ref="AG1659">INDEX('Deal Info'!G:G, MATCH(A1659,'Deal Info'!A:A, 0))</f>
        <v>#N/A</v>
      </c>
    </row>
    <row r="1660" spans="1:33" ht="14.25" hidden="1" x14ac:dyDescent="0.2">
      <c r="A1660" s="18" t="b">
        <f t="array" ref="A1660">IF(G1660='Room Info'!$B$1, INDEX('Room Info'!$A$2:$A2446, MATCH(B1660,'Room Info'!$B$2:$B2446, 0)),IF(G1660='Room Info'!$C$1, INDEX('Room Info'!$A$2:$A2446, MATCH(B1660,'Room Info'!$C$2:$C2446, 0)),IF(G1660='Room Info'!$D$1, INDEX('Room Info'!$A$2:$A2446, MATCH(B1660,'Room Info'!$D$2:$D2446, 0)),IF(G1660='Room Info'!$E$1, INDEX('Room Info'!$A$2:$A2446, MATCH(B1660,'Room Info'!$E$2:$E2446, 0)),IF(G1660='Room Info'!$F$1, INDEX('Room Info'!$A$2:$A2446, MATCH(B1660,'Room Info'!$F$2:$F2446, 0)),IF(G1660='Room Info'!$H$1, INDEX('Room Info'!$A$2:$A2446, MATCH(B1660,'Room Info'!$H$2:$H2446, 0)),IF(G1660='Room Info'!$G$1, INDEX('Room Info'!$A$2:$A2446, MATCH(B1660,'Room Info'!$G$2:$G2446, 0)))))))))</f>
        <v>0</v>
      </c>
      <c r="B1660" s="96"/>
      <c r="C1660" s="111"/>
      <c r="D1660" s="111"/>
      <c r="E1660" s="80"/>
      <c r="F1660" s="133"/>
      <c r="G1660" s="96"/>
      <c r="H1660" s="110"/>
      <c r="I1660" s="110"/>
      <c r="J1660" s="39" t="s">
        <v>334</v>
      </c>
      <c r="K1660" s="112"/>
      <c r="L1660" s="113"/>
      <c r="M1660" s="62"/>
      <c r="N1660" s="28" t="e">
        <f t="shared" si="8"/>
        <v>#VALUE!</v>
      </c>
      <c r="O1660" s="65"/>
      <c r="P1660" s="29" t="s">
        <v>334</v>
      </c>
      <c r="Q1660" s="55"/>
      <c r="R1660" s="31" t="e">
        <f t="shared" si="9"/>
        <v>#VALUE!</v>
      </c>
      <c r="S1660" s="66"/>
      <c r="T1660" s="32" t="e">
        <f t="shared" si="10"/>
        <v>#VALUE!</v>
      </c>
      <c r="U1660" s="57"/>
      <c r="V1660" s="58"/>
      <c r="W1660" s="58"/>
      <c r="X1660" s="30" t="e">
        <f t="shared" si="11"/>
        <v>#N/A</v>
      </c>
      <c r="Y1660" s="30" t="e">
        <f t="shared" si="12"/>
        <v>#N/A</v>
      </c>
      <c r="Z1660" s="35" t="e">
        <f t="shared" si="13"/>
        <v>#VALUE!</v>
      </c>
      <c r="AA1660" s="29" t="e">
        <f t="shared" si="14"/>
        <v>#VALUE!</v>
      </c>
      <c r="AB1660" s="36" t="e">
        <f t="shared" si="15"/>
        <v>#VALUE!</v>
      </c>
      <c r="AC1660" s="37" t="b">
        <v>0</v>
      </c>
      <c r="AD1660" s="61" t="str">
        <f t="shared" si="16"/>
        <v>USD</v>
      </c>
      <c r="AE1660" s="37"/>
      <c r="AF1660" s="37" t="e">
        <f t="array" ref="AF1660">INDEX('Deal Info'!D:D, MATCH(A1660,'Deal Info'!A:A, 0))</f>
        <v>#N/A</v>
      </c>
      <c r="AG1660" s="38" t="e">
        <f t="array" ref="AG1660">INDEX('Deal Info'!G:G, MATCH(A1660,'Deal Info'!A:A, 0))</f>
        <v>#N/A</v>
      </c>
    </row>
    <row r="1661" spans="1:33" ht="14.25" hidden="1" x14ac:dyDescent="0.2">
      <c r="A1661" s="18" t="b">
        <f t="array" ref="A1661">IF(G1661='Room Info'!$B$1, INDEX('Room Info'!$A$2:$A2446, MATCH(B1661,'Room Info'!$B$2:$B2446, 0)),IF(G1661='Room Info'!$C$1, INDEX('Room Info'!$A$2:$A2446, MATCH(B1661,'Room Info'!$C$2:$C2446, 0)),IF(G1661='Room Info'!$D$1, INDEX('Room Info'!$A$2:$A2446, MATCH(B1661,'Room Info'!$D$2:$D2446, 0)),IF(G1661='Room Info'!$E$1, INDEX('Room Info'!$A$2:$A2446, MATCH(B1661,'Room Info'!$E$2:$E2446, 0)),IF(G1661='Room Info'!$F$1, INDEX('Room Info'!$A$2:$A2446, MATCH(B1661,'Room Info'!$F$2:$F2446, 0)),IF(G1661='Room Info'!$H$1, INDEX('Room Info'!$A$2:$A2446, MATCH(B1661,'Room Info'!$H$2:$H2446, 0)),IF(G1661='Room Info'!$G$1, INDEX('Room Info'!$A$2:$A2446, MATCH(B1661,'Room Info'!$G$2:$G2446, 0)))))))))</f>
        <v>0</v>
      </c>
      <c r="B1661" s="96"/>
      <c r="C1661" s="111"/>
      <c r="D1661" s="111"/>
      <c r="E1661" s="80"/>
      <c r="F1661" s="96"/>
      <c r="G1661" s="65"/>
      <c r="H1661" s="100"/>
      <c r="I1661" s="100"/>
      <c r="J1661" s="39" t="s">
        <v>334</v>
      </c>
      <c r="K1661" s="134"/>
      <c r="L1661" s="135"/>
      <c r="M1661" s="62"/>
      <c r="N1661" s="28" t="e">
        <f t="shared" si="8"/>
        <v>#VALUE!</v>
      </c>
      <c r="O1661" s="96"/>
      <c r="P1661" s="29" t="s">
        <v>334</v>
      </c>
      <c r="Q1661" s="55"/>
      <c r="R1661" s="31" t="e">
        <f t="shared" si="9"/>
        <v>#VALUE!</v>
      </c>
      <c r="S1661" s="97"/>
      <c r="T1661" s="32" t="e">
        <f t="shared" si="10"/>
        <v>#VALUE!</v>
      </c>
      <c r="U1661" s="57"/>
      <c r="V1661" s="58"/>
      <c r="W1661" s="58"/>
      <c r="X1661" s="30" t="e">
        <f t="shared" si="11"/>
        <v>#N/A</v>
      </c>
      <c r="Y1661" s="30" t="e">
        <f t="shared" si="12"/>
        <v>#N/A</v>
      </c>
      <c r="Z1661" s="35" t="e">
        <f t="shared" si="13"/>
        <v>#VALUE!</v>
      </c>
      <c r="AA1661" s="29" t="e">
        <f t="shared" si="14"/>
        <v>#VALUE!</v>
      </c>
      <c r="AB1661" s="36" t="e">
        <f t="shared" si="15"/>
        <v>#VALUE!</v>
      </c>
      <c r="AC1661" s="37" t="b">
        <v>0</v>
      </c>
      <c r="AD1661" s="61" t="str">
        <f t="shared" si="16"/>
        <v>USD</v>
      </c>
      <c r="AE1661" s="37"/>
      <c r="AF1661" s="37" t="e">
        <f t="array" ref="AF1661">INDEX('Deal Info'!D:D, MATCH(A1661,'Deal Info'!A:A, 0))</f>
        <v>#N/A</v>
      </c>
      <c r="AG1661" s="38" t="e">
        <f t="array" ref="AG1661">INDEX('Deal Info'!G:G, MATCH(A1661,'Deal Info'!A:A, 0))</f>
        <v>#N/A</v>
      </c>
    </row>
    <row r="1662" spans="1:33" ht="14.25" hidden="1" x14ac:dyDescent="0.2">
      <c r="A1662" s="18" t="b">
        <f t="array" ref="A1662">IF(G1662='Room Info'!$B$1, INDEX('Room Info'!$A$2:$A2446, MATCH(B1662,'Room Info'!$B$2:$B2446, 0)),IF(G1662='Room Info'!$C$1, INDEX('Room Info'!$A$2:$A2446, MATCH(B1662,'Room Info'!$C$2:$C2446, 0)),IF(G1662='Room Info'!$D$1, INDEX('Room Info'!$A$2:$A2446, MATCH(B1662,'Room Info'!$D$2:$D2446, 0)),IF(G1662='Room Info'!$E$1, INDEX('Room Info'!$A$2:$A2446, MATCH(B1662,'Room Info'!$E$2:$E2446, 0)),IF(G1662='Room Info'!$F$1, INDEX('Room Info'!$A$2:$A2446, MATCH(B1662,'Room Info'!$F$2:$F2446, 0)),IF(G1662='Room Info'!$H$1, INDEX('Room Info'!$A$2:$A2446, MATCH(B1662,'Room Info'!$H$2:$H2446, 0)),IF(G1662='Room Info'!$G$1, INDEX('Room Info'!$A$2:$A2446, MATCH(B1662,'Room Info'!$G$2:$G2446, 0)))))))))</f>
        <v>0</v>
      </c>
      <c r="B1662" s="96"/>
      <c r="C1662" s="111"/>
      <c r="D1662" s="111"/>
      <c r="E1662" s="80"/>
      <c r="F1662" s="96"/>
      <c r="G1662" s="65"/>
      <c r="H1662" s="100"/>
      <c r="I1662" s="100"/>
      <c r="J1662" s="39" t="s">
        <v>334</v>
      </c>
      <c r="K1662" s="134"/>
      <c r="L1662" s="135"/>
      <c r="M1662" s="62"/>
      <c r="N1662" s="28" t="e">
        <f t="shared" si="8"/>
        <v>#VALUE!</v>
      </c>
      <c r="O1662" s="96"/>
      <c r="P1662" s="29" t="s">
        <v>334</v>
      </c>
      <c r="Q1662" s="55"/>
      <c r="R1662" s="31" t="e">
        <f t="shared" si="9"/>
        <v>#VALUE!</v>
      </c>
      <c r="S1662" s="97"/>
      <c r="T1662" s="32" t="e">
        <f t="shared" si="10"/>
        <v>#VALUE!</v>
      </c>
      <c r="U1662" s="57"/>
      <c r="V1662" s="58"/>
      <c r="W1662" s="58"/>
      <c r="X1662" s="30" t="e">
        <f t="shared" si="11"/>
        <v>#N/A</v>
      </c>
      <c r="Y1662" s="30" t="e">
        <f t="shared" si="12"/>
        <v>#N/A</v>
      </c>
      <c r="Z1662" s="35" t="e">
        <f t="shared" si="13"/>
        <v>#VALUE!</v>
      </c>
      <c r="AA1662" s="29" t="e">
        <f t="shared" si="14"/>
        <v>#VALUE!</v>
      </c>
      <c r="AB1662" s="36" t="e">
        <f t="shared" si="15"/>
        <v>#VALUE!</v>
      </c>
      <c r="AC1662" s="37" t="b">
        <v>0</v>
      </c>
      <c r="AD1662" s="61" t="str">
        <f t="shared" si="16"/>
        <v>USD</v>
      </c>
      <c r="AE1662" s="37"/>
      <c r="AF1662" s="37" t="e">
        <f t="array" ref="AF1662">INDEX('Deal Info'!D:D, MATCH(A1662,'Deal Info'!A:A, 0))</f>
        <v>#N/A</v>
      </c>
      <c r="AG1662" s="38" t="e">
        <f t="array" ref="AG1662">INDEX('Deal Info'!G:G, MATCH(A1662,'Deal Info'!A:A, 0))</f>
        <v>#N/A</v>
      </c>
    </row>
    <row r="1663" spans="1:33" ht="14.25" hidden="1" x14ac:dyDescent="0.2">
      <c r="A1663" s="18" t="b">
        <f t="array" ref="A1663">IF(G1663='Room Info'!$B$1, INDEX('Room Info'!$A$2:$A2446, MATCH(B1663,'Room Info'!$B$2:$B2446, 0)),IF(G1663='Room Info'!$C$1, INDEX('Room Info'!$A$2:$A2446, MATCH(B1663,'Room Info'!$C$2:$C2446, 0)),IF(G1663='Room Info'!$D$1, INDEX('Room Info'!$A$2:$A2446, MATCH(B1663,'Room Info'!$D$2:$D2446, 0)),IF(G1663='Room Info'!$E$1, INDEX('Room Info'!$A$2:$A2446, MATCH(B1663,'Room Info'!$E$2:$E2446, 0)),IF(G1663='Room Info'!$F$1, INDEX('Room Info'!$A$2:$A2446, MATCH(B1663,'Room Info'!$F$2:$F2446, 0)),IF(G1663='Room Info'!$H$1, INDEX('Room Info'!$A$2:$A2446, MATCH(B1663,'Room Info'!$H$2:$H2446, 0)),IF(G1663='Room Info'!$G$1, INDEX('Room Info'!$A$2:$A2446, MATCH(B1663,'Room Info'!$G$2:$G2446, 0)))))))))</f>
        <v>0</v>
      </c>
      <c r="B1663" s="96"/>
      <c r="C1663" s="111"/>
      <c r="D1663" s="111"/>
      <c r="E1663" s="80"/>
      <c r="F1663" s="96"/>
      <c r="G1663" s="65"/>
      <c r="H1663" s="100"/>
      <c r="I1663" s="100"/>
      <c r="J1663" s="39" t="s">
        <v>334</v>
      </c>
      <c r="K1663" s="134"/>
      <c r="L1663" s="135"/>
      <c r="M1663" s="62"/>
      <c r="N1663" s="28" t="e">
        <f t="shared" si="8"/>
        <v>#VALUE!</v>
      </c>
      <c r="O1663" s="96"/>
      <c r="P1663" s="29" t="s">
        <v>334</v>
      </c>
      <c r="Q1663" s="55"/>
      <c r="R1663" s="31" t="e">
        <f t="shared" si="9"/>
        <v>#VALUE!</v>
      </c>
      <c r="S1663" s="97"/>
      <c r="T1663" s="32" t="e">
        <f t="shared" si="10"/>
        <v>#VALUE!</v>
      </c>
      <c r="U1663" s="57"/>
      <c r="V1663" s="58"/>
      <c r="W1663" s="58"/>
      <c r="X1663" s="30" t="e">
        <f t="shared" si="11"/>
        <v>#N/A</v>
      </c>
      <c r="Y1663" s="30" t="e">
        <f t="shared" si="12"/>
        <v>#N/A</v>
      </c>
      <c r="Z1663" s="35" t="e">
        <f t="shared" si="13"/>
        <v>#VALUE!</v>
      </c>
      <c r="AA1663" s="29" t="e">
        <f t="shared" si="14"/>
        <v>#VALUE!</v>
      </c>
      <c r="AB1663" s="36" t="e">
        <f t="shared" si="15"/>
        <v>#VALUE!</v>
      </c>
      <c r="AC1663" s="37" t="b">
        <v>0</v>
      </c>
      <c r="AD1663" s="61" t="str">
        <f t="shared" si="16"/>
        <v>USD</v>
      </c>
      <c r="AE1663" s="37"/>
      <c r="AF1663" s="37" t="e">
        <f t="array" ref="AF1663">INDEX('Deal Info'!D:D, MATCH(A1663,'Deal Info'!A:A, 0))</f>
        <v>#N/A</v>
      </c>
      <c r="AG1663" s="38" t="e">
        <f t="array" ref="AG1663">INDEX('Deal Info'!G:G, MATCH(A1663,'Deal Info'!A:A, 0))</f>
        <v>#N/A</v>
      </c>
    </row>
    <row r="1664" spans="1:33" ht="14.25" hidden="1" x14ac:dyDescent="0.2">
      <c r="A1664" s="18" t="b">
        <f t="array" ref="A1664">IF(G1664='Room Info'!$B$1, INDEX('Room Info'!$A$2:$A2446, MATCH(B1664,'Room Info'!$B$2:$B2446, 0)),IF(G1664='Room Info'!$C$1, INDEX('Room Info'!$A$2:$A2446, MATCH(B1664,'Room Info'!$C$2:$C2446, 0)),IF(G1664='Room Info'!$D$1, INDEX('Room Info'!$A$2:$A2446, MATCH(B1664,'Room Info'!$D$2:$D2446, 0)),IF(G1664='Room Info'!$E$1, INDEX('Room Info'!$A$2:$A2446, MATCH(B1664,'Room Info'!$E$2:$E2446, 0)),IF(G1664='Room Info'!$F$1, INDEX('Room Info'!$A$2:$A2446, MATCH(B1664,'Room Info'!$F$2:$F2446, 0)),IF(G1664='Room Info'!$H$1, INDEX('Room Info'!$A$2:$A2446, MATCH(B1664,'Room Info'!$H$2:$H2446, 0)),IF(G1664='Room Info'!$G$1, INDEX('Room Info'!$A$2:$A2446, MATCH(B1664,'Room Info'!$G$2:$G2446, 0)))))))))</f>
        <v>0</v>
      </c>
      <c r="B1664" s="96"/>
      <c r="C1664" s="111"/>
      <c r="D1664" s="111"/>
      <c r="E1664" s="80"/>
      <c r="F1664" s="96"/>
      <c r="G1664" s="65"/>
      <c r="H1664" s="100"/>
      <c r="I1664" s="100"/>
      <c r="J1664" s="39" t="s">
        <v>334</v>
      </c>
      <c r="K1664" s="112"/>
      <c r="L1664" s="113"/>
      <c r="M1664" s="62"/>
      <c r="N1664" s="28" t="e">
        <f t="shared" si="8"/>
        <v>#VALUE!</v>
      </c>
      <c r="O1664" s="65"/>
      <c r="P1664" s="29" t="s">
        <v>334</v>
      </c>
      <c r="Q1664" s="55"/>
      <c r="R1664" s="31" t="e">
        <f t="shared" si="9"/>
        <v>#VALUE!</v>
      </c>
      <c r="S1664" s="66"/>
      <c r="T1664" s="32" t="e">
        <f t="shared" si="10"/>
        <v>#VALUE!</v>
      </c>
      <c r="U1664" s="57"/>
      <c r="V1664" s="58"/>
      <c r="W1664" s="58"/>
      <c r="X1664" s="30" t="e">
        <f t="shared" si="11"/>
        <v>#N/A</v>
      </c>
      <c r="Y1664" s="30" t="e">
        <f t="shared" si="12"/>
        <v>#N/A</v>
      </c>
      <c r="Z1664" s="35" t="e">
        <f t="shared" si="13"/>
        <v>#VALUE!</v>
      </c>
      <c r="AA1664" s="29" t="e">
        <f t="shared" si="14"/>
        <v>#VALUE!</v>
      </c>
      <c r="AB1664" s="36" t="e">
        <f t="shared" si="15"/>
        <v>#VALUE!</v>
      </c>
      <c r="AC1664" s="37" t="b">
        <v>0</v>
      </c>
      <c r="AD1664" s="61" t="str">
        <f t="shared" si="16"/>
        <v>USD</v>
      </c>
      <c r="AE1664" s="37"/>
      <c r="AF1664" s="37" t="e">
        <f t="array" ref="AF1664">INDEX('Deal Info'!D:D, MATCH(A1664,'Deal Info'!A:A, 0))</f>
        <v>#N/A</v>
      </c>
      <c r="AG1664" s="38" t="e">
        <f t="array" ref="AG1664">INDEX('Deal Info'!G:G, MATCH(A1664,'Deal Info'!A:A, 0))</f>
        <v>#N/A</v>
      </c>
    </row>
    <row r="1665" spans="1:33" ht="14.25" hidden="1" x14ac:dyDescent="0.2">
      <c r="A1665" s="18" t="b">
        <f t="array" ref="A1665">IF(G1665='Room Info'!$B$1, INDEX('Room Info'!$A$2:$A2446, MATCH(B1665,'Room Info'!$B$2:$B2446, 0)),IF(G1665='Room Info'!$C$1, INDEX('Room Info'!$A$2:$A2446, MATCH(B1665,'Room Info'!$C$2:$C2446, 0)),IF(G1665='Room Info'!$D$1, INDEX('Room Info'!$A$2:$A2446, MATCH(B1665,'Room Info'!$D$2:$D2446, 0)),IF(G1665='Room Info'!$E$1, INDEX('Room Info'!$A$2:$A2446, MATCH(B1665,'Room Info'!$E$2:$E2446, 0)),IF(G1665='Room Info'!$F$1, INDEX('Room Info'!$A$2:$A2446, MATCH(B1665,'Room Info'!$F$2:$F2446, 0)),IF(G1665='Room Info'!$H$1, INDEX('Room Info'!$A$2:$A2446, MATCH(B1665,'Room Info'!$H$2:$H2446, 0)),IF(G1665='Room Info'!$G$1, INDEX('Room Info'!$A$2:$A2446, MATCH(B1665,'Room Info'!$G$2:$G2446, 0)))))))))</f>
        <v>0</v>
      </c>
      <c r="B1665" s="96"/>
      <c r="C1665" s="111"/>
      <c r="D1665" s="111"/>
      <c r="E1665" s="80"/>
      <c r="F1665" s="96"/>
      <c r="G1665" s="65"/>
      <c r="H1665" s="100"/>
      <c r="I1665" s="100"/>
      <c r="J1665" s="39" t="s">
        <v>334</v>
      </c>
      <c r="K1665" s="112"/>
      <c r="L1665" s="113"/>
      <c r="M1665" s="62"/>
      <c r="N1665" s="28" t="e">
        <f t="shared" si="8"/>
        <v>#VALUE!</v>
      </c>
      <c r="O1665" s="65"/>
      <c r="P1665" s="29" t="s">
        <v>334</v>
      </c>
      <c r="Q1665" s="55"/>
      <c r="R1665" s="31" t="e">
        <f t="shared" si="9"/>
        <v>#VALUE!</v>
      </c>
      <c r="S1665" s="66"/>
      <c r="T1665" s="32" t="e">
        <f t="shared" si="10"/>
        <v>#VALUE!</v>
      </c>
      <c r="U1665" s="57"/>
      <c r="V1665" s="58"/>
      <c r="W1665" s="58"/>
      <c r="X1665" s="30" t="e">
        <f t="shared" si="11"/>
        <v>#N/A</v>
      </c>
      <c r="Y1665" s="30" t="e">
        <f t="shared" si="12"/>
        <v>#N/A</v>
      </c>
      <c r="Z1665" s="35" t="e">
        <f t="shared" si="13"/>
        <v>#VALUE!</v>
      </c>
      <c r="AA1665" s="29" t="e">
        <f t="shared" si="14"/>
        <v>#VALUE!</v>
      </c>
      <c r="AB1665" s="36" t="e">
        <f t="shared" si="15"/>
        <v>#VALUE!</v>
      </c>
      <c r="AC1665" s="37" t="b">
        <v>0</v>
      </c>
      <c r="AD1665" s="61" t="str">
        <f t="shared" si="16"/>
        <v>USD</v>
      </c>
      <c r="AE1665" s="37"/>
      <c r="AF1665" s="37" t="e">
        <f t="array" ref="AF1665">INDEX('Deal Info'!D:D, MATCH(A1665,'Deal Info'!A:A, 0))</f>
        <v>#N/A</v>
      </c>
      <c r="AG1665" s="38" t="e">
        <f t="array" ref="AG1665">INDEX('Deal Info'!G:G, MATCH(A1665,'Deal Info'!A:A, 0))</f>
        <v>#N/A</v>
      </c>
    </row>
    <row r="1666" spans="1:33" ht="14.25" hidden="1" x14ac:dyDescent="0.2">
      <c r="A1666" s="18" t="b">
        <f t="array" ref="A1666">IF(G1666='Room Info'!$B$1, INDEX('Room Info'!$A$2:$A2446, MATCH(B1666,'Room Info'!$B$2:$B2446, 0)),IF(G1666='Room Info'!$C$1, INDEX('Room Info'!$A$2:$A2446, MATCH(B1666,'Room Info'!$C$2:$C2446, 0)),IF(G1666='Room Info'!$D$1, INDEX('Room Info'!$A$2:$A2446, MATCH(B1666,'Room Info'!$D$2:$D2446, 0)),IF(G1666='Room Info'!$E$1, INDEX('Room Info'!$A$2:$A2446, MATCH(B1666,'Room Info'!$E$2:$E2446, 0)),IF(G1666='Room Info'!$F$1, INDEX('Room Info'!$A$2:$A2446, MATCH(B1666,'Room Info'!$F$2:$F2446, 0)),IF(G1666='Room Info'!$H$1, INDEX('Room Info'!$A$2:$A2446, MATCH(B1666,'Room Info'!$H$2:$H2446, 0)),IF(G1666='Room Info'!$G$1, INDEX('Room Info'!$A$2:$A2446, MATCH(B1666,'Room Info'!$G$2:$G2446, 0)))))))))</f>
        <v>0</v>
      </c>
      <c r="B1666" s="96"/>
      <c r="C1666" s="111"/>
      <c r="D1666" s="111"/>
      <c r="E1666" s="80"/>
      <c r="F1666" s="96"/>
      <c r="G1666" s="65"/>
      <c r="H1666" s="110"/>
      <c r="I1666" s="110"/>
      <c r="J1666" s="39" t="s">
        <v>334</v>
      </c>
      <c r="K1666" s="112"/>
      <c r="L1666" s="113"/>
      <c r="M1666" s="62"/>
      <c r="N1666" s="28" t="e">
        <f t="shared" si="8"/>
        <v>#VALUE!</v>
      </c>
      <c r="O1666" s="65"/>
      <c r="P1666" s="29" t="s">
        <v>334</v>
      </c>
      <c r="Q1666" s="55"/>
      <c r="R1666" s="31" t="e">
        <f t="shared" si="9"/>
        <v>#VALUE!</v>
      </c>
      <c r="S1666" s="66"/>
      <c r="T1666" s="32" t="e">
        <f t="shared" si="10"/>
        <v>#VALUE!</v>
      </c>
      <c r="U1666" s="57"/>
      <c r="V1666" s="58"/>
      <c r="W1666" s="58"/>
      <c r="X1666" s="30" t="e">
        <f t="shared" si="11"/>
        <v>#N/A</v>
      </c>
      <c r="Y1666" s="30" t="e">
        <f t="shared" si="12"/>
        <v>#N/A</v>
      </c>
      <c r="Z1666" s="35" t="e">
        <f t="shared" si="13"/>
        <v>#VALUE!</v>
      </c>
      <c r="AA1666" s="29" t="e">
        <f t="shared" si="14"/>
        <v>#VALUE!</v>
      </c>
      <c r="AB1666" s="36" t="e">
        <f t="shared" si="15"/>
        <v>#VALUE!</v>
      </c>
      <c r="AC1666" s="37" t="b">
        <v>0</v>
      </c>
      <c r="AD1666" s="61" t="str">
        <f t="shared" si="16"/>
        <v>USD</v>
      </c>
      <c r="AE1666" s="37"/>
      <c r="AF1666" s="37" t="e">
        <f t="array" ref="AF1666">INDEX('Deal Info'!D:D, MATCH(A1666,'Deal Info'!A:A, 0))</f>
        <v>#N/A</v>
      </c>
      <c r="AG1666" s="38" t="e">
        <f t="array" ref="AG1666">INDEX('Deal Info'!G:G, MATCH(A1666,'Deal Info'!A:A, 0))</f>
        <v>#N/A</v>
      </c>
    </row>
    <row r="1667" spans="1:33" ht="14.25" hidden="1" x14ac:dyDescent="0.2">
      <c r="A1667" s="18" t="b">
        <f t="array" ref="A1667">IF(G1667='Room Info'!$B$1, INDEX('Room Info'!$A$2:$A2446, MATCH(B1667,'Room Info'!$B$2:$B2446, 0)),IF(G1667='Room Info'!$C$1, INDEX('Room Info'!$A$2:$A2446, MATCH(B1667,'Room Info'!$C$2:$C2446, 0)),IF(G1667='Room Info'!$D$1, INDEX('Room Info'!$A$2:$A2446, MATCH(B1667,'Room Info'!$D$2:$D2446, 0)),IF(G1667='Room Info'!$E$1, INDEX('Room Info'!$A$2:$A2446, MATCH(B1667,'Room Info'!$E$2:$E2446, 0)),IF(G1667='Room Info'!$F$1, INDEX('Room Info'!$A$2:$A2446, MATCH(B1667,'Room Info'!$F$2:$F2446, 0)),IF(G1667='Room Info'!$H$1, INDEX('Room Info'!$A$2:$A2446, MATCH(B1667,'Room Info'!$H$2:$H2446, 0)),IF(G1667='Room Info'!$G$1, INDEX('Room Info'!$A$2:$A2446, MATCH(B1667,'Room Info'!$G$2:$G2446, 0)))))))))</f>
        <v>0</v>
      </c>
      <c r="B1667" s="96"/>
      <c r="C1667" s="111"/>
      <c r="D1667" s="111"/>
      <c r="E1667" s="80"/>
      <c r="F1667" s="96"/>
      <c r="G1667" s="65"/>
      <c r="H1667" s="110"/>
      <c r="I1667" s="110"/>
      <c r="J1667" s="39" t="s">
        <v>334</v>
      </c>
      <c r="K1667" s="112"/>
      <c r="L1667" s="113"/>
      <c r="M1667" s="62"/>
      <c r="N1667" s="28" t="e">
        <f t="shared" si="8"/>
        <v>#VALUE!</v>
      </c>
      <c r="O1667" s="65"/>
      <c r="P1667" s="29" t="s">
        <v>334</v>
      </c>
      <c r="Q1667" s="55"/>
      <c r="R1667" s="31" t="e">
        <f t="shared" si="9"/>
        <v>#VALUE!</v>
      </c>
      <c r="S1667" s="66"/>
      <c r="T1667" s="32" t="e">
        <f t="shared" si="10"/>
        <v>#VALUE!</v>
      </c>
      <c r="U1667" s="57"/>
      <c r="V1667" s="58"/>
      <c r="W1667" s="58"/>
      <c r="X1667" s="30" t="e">
        <f t="shared" si="11"/>
        <v>#N/A</v>
      </c>
      <c r="Y1667" s="30" t="e">
        <f t="shared" si="12"/>
        <v>#N/A</v>
      </c>
      <c r="Z1667" s="35" t="e">
        <f t="shared" si="13"/>
        <v>#VALUE!</v>
      </c>
      <c r="AA1667" s="29" t="e">
        <f t="shared" si="14"/>
        <v>#VALUE!</v>
      </c>
      <c r="AB1667" s="36" t="e">
        <f t="shared" si="15"/>
        <v>#VALUE!</v>
      </c>
      <c r="AC1667" s="37" t="b">
        <v>0</v>
      </c>
      <c r="AD1667" s="61" t="str">
        <f t="shared" si="16"/>
        <v>USD</v>
      </c>
      <c r="AE1667" s="37"/>
      <c r="AF1667" s="37" t="e">
        <f t="array" ref="AF1667">INDEX('Deal Info'!D:D, MATCH(A1667,'Deal Info'!A:A, 0))</f>
        <v>#N/A</v>
      </c>
      <c r="AG1667" s="38" t="e">
        <f t="array" ref="AG1667">INDEX('Deal Info'!G:G, MATCH(A1667,'Deal Info'!A:A, 0))</f>
        <v>#N/A</v>
      </c>
    </row>
    <row r="1668" spans="1:33" ht="14.25" hidden="1" x14ac:dyDescent="0.2">
      <c r="A1668" s="18" t="b">
        <f t="array" ref="A1668">IF(G1668='Room Info'!$B$1, INDEX('Room Info'!$A$2:$A2446, MATCH(B1668,'Room Info'!$B$2:$B2446, 0)),IF(G1668='Room Info'!$C$1, INDEX('Room Info'!$A$2:$A2446, MATCH(B1668,'Room Info'!$C$2:$C2446, 0)),IF(G1668='Room Info'!$D$1, INDEX('Room Info'!$A$2:$A2446, MATCH(B1668,'Room Info'!$D$2:$D2446, 0)),IF(G1668='Room Info'!$E$1, INDEX('Room Info'!$A$2:$A2446, MATCH(B1668,'Room Info'!$E$2:$E2446, 0)),IF(G1668='Room Info'!$F$1, INDEX('Room Info'!$A$2:$A2446, MATCH(B1668,'Room Info'!$F$2:$F2446, 0)),IF(G1668='Room Info'!$H$1, INDEX('Room Info'!$A$2:$A2446, MATCH(B1668,'Room Info'!$H$2:$H2446, 0)),IF(G1668='Room Info'!$G$1, INDEX('Room Info'!$A$2:$A2446, MATCH(B1668,'Room Info'!$G$2:$G2446, 0)))))))))</f>
        <v>0</v>
      </c>
      <c r="B1668" s="96"/>
      <c r="C1668" s="111"/>
      <c r="D1668" s="111"/>
      <c r="E1668" s="80"/>
      <c r="F1668" s="96"/>
      <c r="G1668" s="65"/>
      <c r="H1668" s="110"/>
      <c r="I1668" s="110"/>
      <c r="J1668" s="39" t="s">
        <v>334</v>
      </c>
      <c r="K1668" s="112"/>
      <c r="L1668" s="113"/>
      <c r="M1668" s="62"/>
      <c r="N1668" s="28" t="e">
        <f t="shared" si="8"/>
        <v>#VALUE!</v>
      </c>
      <c r="O1668" s="65"/>
      <c r="P1668" s="29" t="s">
        <v>334</v>
      </c>
      <c r="Q1668" s="55"/>
      <c r="R1668" s="31" t="e">
        <f t="shared" si="9"/>
        <v>#VALUE!</v>
      </c>
      <c r="S1668" s="66"/>
      <c r="T1668" s="32" t="e">
        <f t="shared" si="10"/>
        <v>#VALUE!</v>
      </c>
      <c r="U1668" s="57"/>
      <c r="V1668" s="58"/>
      <c r="W1668" s="58"/>
      <c r="X1668" s="30" t="e">
        <f t="shared" si="11"/>
        <v>#N/A</v>
      </c>
      <c r="Y1668" s="30" t="e">
        <f t="shared" si="12"/>
        <v>#N/A</v>
      </c>
      <c r="Z1668" s="35" t="e">
        <f t="shared" si="13"/>
        <v>#VALUE!</v>
      </c>
      <c r="AA1668" s="29" t="e">
        <f t="shared" si="14"/>
        <v>#VALUE!</v>
      </c>
      <c r="AB1668" s="36" t="e">
        <f t="shared" si="15"/>
        <v>#VALUE!</v>
      </c>
      <c r="AC1668" s="37" t="b">
        <v>0</v>
      </c>
      <c r="AD1668" s="61" t="str">
        <f t="shared" si="16"/>
        <v>USD</v>
      </c>
      <c r="AE1668" s="37"/>
      <c r="AF1668" s="37" t="e">
        <f t="array" ref="AF1668">INDEX('Deal Info'!D:D, MATCH(A1668,'Deal Info'!A:A, 0))</f>
        <v>#N/A</v>
      </c>
      <c r="AG1668" s="38" t="e">
        <f t="array" ref="AG1668">INDEX('Deal Info'!G:G, MATCH(A1668,'Deal Info'!A:A, 0))</f>
        <v>#N/A</v>
      </c>
    </row>
    <row r="1669" spans="1:33" ht="14.25" hidden="1" x14ac:dyDescent="0.2">
      <c r="A1669" s="18" t="b">
        <f t="array" ref="A1669">IF(G1669='Room Info'!$B$1, INDEX('Room Info'!$A$2:$A2446, MATCH(B1669,'Room Info'!$B$2:$B2446, 0)),IF(G1669='Room Info'!$C$1, INDEX('Room Info'!$A$2:$A2446, MATCH(B1669,'Room Info'!$C$2:$C2446, 0)),IF(G1669='Room Info'!$D$1, INDEX('Room Info'!$A$2:$A2446, MATCH(B1669,'Room Info'!$D$2:$D2446, 0)),IF(G1669='Room Info'!$E$1, INDEX('Room Info'!$A$2:$A2446, MATCH(B1669,'Room Info'!$E$2:$E2446, 0)),IF(G1669='Room Info'!$F$1, INDEX('Room Info'!$A$2:$A2446, MATCH(B1669,'Room Info'!$F$2:$F2446, 0)),IF(G1669='Room Info'!$H$1, INDEX('Room Info'!$A$2:$A2446, MATCH(B1669,'Room Info'!$H$2:$H2446, 0)),IF(G1669='Room Info'!$G$1, INDEX('Room Info'!$A$2:$A2446, MATCH(B1669,'Room Info'!$G$2:$G2446, 0)))))))))</f>
        <v>0</v>
      </c>
      <c r="B1669" s="96"/>
      <c r="C1669" s="111"/>
      <c r="D1669" s="111"/>
      <c r="E1669" s="80"/>
      <c r="F1669" s="96"/>
      <c r="G1669" s="65"/>
      <c r="H1669" s="110"/>
      <c r="I1669" s="110"/>
      <c r="J1669" s="39" t="s">
        <v>334</v>
      </c>
      <c r="K1669" s="112"/>
      <c r="L1669" s="113"/>
      <c r="M1669" s="62"/>
      <c r="N1669" s="28" t="e">
        <f t="shared" si="8"/>
        <v>#VALUE!</v>
      </c>
      <c r="O1669" s="65"/>
      <c r="P1669" s="29" t="s">
        <v>334</v>
      </c>
      <c r="Q1669" s="55"/>
      <c r="R1669" s="31" t="e">
        <f t="shared" si="9"/>
        <v>#VALUE!</v>
      </c>
      <c r="S1669" s="66"/>
      <c r="T1669" s="32" t="e">
        <f t="shared" si="10"/>
        <v>#VALUE!</v>
      </c>
      <c r="U1669" s="57"/>
      <c r="V1669" s="58"/>
      <c r="W1669" s="58"/>
      <c r="X1669" s="30" t="e">
        <f t="shared" si="11"/>
        <v>#N/A</v>
      </c>
      <c r="Y1669" s="30" t="e">
        <f t="shared" si="12"/>
        <v>#N/A</v>
      </c>
      <c r="Z1669" s="35" t="e">
        <f t="shared" si="13"/>
        <v>#VALUE!</v>
      </c>
      <c r="AA1669" s="29" t="e">
        <f t="shared" si="14"/>
        <v>#VALUE!</v>
      </c>
      <c r="AB1669" s="36" t="e">
        <f t="shared" si="15"/>
        <v>#VALUE!</v>
      </c>
      <c r="AC1669" s="37" t="b">
        <v>0</v>
      </c>
      <c r="AD1669" s="61" t="str">
        <f t="shared" si="16"/>
        <v>USD</v>
      </c>
      <c r="AE1669" s="37"/>
      <c r="AF1669" s="37" t="e">
        <f t="array" ref="AF1669">INDEX('Deal Info'!D:D, MATCH(A1669,'Deal Info'!A:A, 0))</f>
        <v>#N/A</v>
      </c>
      <c r="AG1669" s="38" t="e">
        <f t="array" ref="AG1669">INDEX('Deal Info'!G:G, MATCH(A1669,'Deal Info'!A:A, 0))</f>
        <v>#N/A</v>
      </c>
    </row>
    <row r="1670" spans="1:33" ht="14.25" hidden="1" x14ac:dyDescent="0.2">
      <c r="A1670" s="18" t="b">
        <f t="array" ref="A1670">IF(G1670='Room Info'!$B$1, INDEX('Room Info'!$A$2:$A2446, MATCH(B1670,'Room Info'!$B$2:$B2446, 0)),IF(G1670='Room Info'!$C$1, INDEX('Room Info'!$A$2:$A2446, MATCH(B1670,'Room Info'!$C$2:$C2446, 0)),IF(G1670='Room Info'!$D$1, INDEX('Room Info'!$A$2:$A2446, MATCH(B1670,'Room Info'!$D$2:$D2446, 0)),IF(G1670='Room Info'!$E$1, INDEX('Room Info'!$A$2:$A2446, MATCH(B1670,'Room Info'!$E$2:$E2446, 0)),IF(G1670='Room Info'!$F$1, INDEX('Room Info'!$A$2:$A2446, MATCH(B1670,'Room Info'!$F$2:$F2446, 0)),IF(G1670='Room Info'!$H$1, INDEX('Room Info'!$A$2:$A2446, MATCH(B1670,'Room Info'!$H$2:$H2446, 0)),IF(G1670='Room Info'!$G$1, INDEX('Room Info'!$A$2:$A2446, MATCH(B1670,'Room Info'!$G$2:$G2446, 0)))))))))</f>
        <v>0</v>
      </c>
      <c r="B1670" s="65"/>
      <c r="C1670" s="111"/>
      <c r="D1670" s="111"/>
      <c r="E1670" s="80"/>
      <c r="F1670" s="96"/>
      <c r="G1670" s="65"/>
      <c r="H1670" s="110"/>
      <c r="I1670" s="110"/>
      <c r="J1670" s="39" t="s">
        <v>334</v>
      </c>
      <c r="K1670" s="112"/>
      <c r="L1670" s="113"/>
      <c r="M1670" s="62"/>
      <c r="N1670" s="28" t="e">
        <f t="shared" si="8"/>
        <v>#VALUE!</v>
      </c>
      <c r="O1670" s="65"/>
      <c r="P1670" s="29" t="s">
        <v>334</v>
      </c>
      <c r="Q1670" s="55"/>
      <c r="R1670" s="31" t="e">
        <f t="shared" si="9"/>
        <v>#VALUE!</v>
      </c>
      <c r="S1670" s="66"/>
      <c r="T1670" s="32" t="e">
        <f t="shared" si="10"/>
        <v>#VALUE!</v>
      </c>
      <c r="U1670" s="57"/>
      <c r="V1670" s="58"/>
      <c r="W1670" s="58"/>
      <c r="X1670" s="30" t="e">
        <f t="shared" si="11"/>
        <v>#N/A</v>
      </c>
      <c r="Y1670" s="30" t="e">
        <f t="shared" si="12"/>
        <v>#N/A</v>
      </c>
      <c r="Z1670" s="35" t="e">
        <f t="shared" si="13"/>
        <v>#VALUE!</v>
      </c>
      <c r="AA1670" s="29" t="e">
        <f t="shared" si="14"/>
        <v>#VALUE!</v>
      </c>
      <c r="AB1670" s="36" t="e">
        <f t="shared" si="15"/>
        <v>#VALUE!</v>
      </c>
      <c r="AC1670" s="37" t="b">
        <v>0</v>
      </c>
      <c r="AD1670" s="61" t="str">
        <f t="shared" si="16"/>
        <v>USD</v>
      </c>
      <c r="AE1670" s="37"/>
      <c r="AF1670" s="37" t="e">
        <f t="array" ref="AF1670">INDEX('Deal Info'!D:D, MATCH(A1670,'Deal Info'!A:A, 0))</f>
        <v>#N/A</v>
      </c>
      <c r="AG1670" s="38" t="e">
        <f t="array" ref="AG1670">INDEX('Deal Info'!G:G, MATCH(A1670,'Deal Info'!A:A, 0))</f>
        <v>#N/A</v>
      </c>
    </row>
    <row r="1671" spans="1:33" ht="14.25" hidden="1" x14ac:dyDescent="0.2">
      <c r="A1671" s="18" t="b">
        <f t="array" ref="A1671">IF(G1671='Room Info'!$B$1, INDEX('Room Info'!$A$2:$A2446, MATCH(B1671,'Room Info'!$B$2:$B2446, 0)),IF(G1671='Room Info'!$C$1, INDEX('Room Info'!$A$2:$A2446, MATCH(B1671,'Room Info'!$C$2:$C2446, 0)),IF(G1671='Room Info'!$D$1, INDEX('Room Info'!$A$2:$A2446, MATCH(B1671,'Room Info'!$D$2:$D2446, 0)),IF(G1671='Room Info'!$E$1, INDEX('Room Info'!$A$2:$A2446, MATCH(B1671,'Room Info'!$E$2:$E2446, 0)),IF(G1671='Room Info'!$F$1, INDEX('Room Info'!$A$2:$A2446, MATCH(B1671,'Room Info'!$F$2:$F2446, 0)),IF(G1671='Room Info'!$H$1, INDEX('Room Info'!$A$2:$A2446, MATCH(B1671,'Room Info'!$H$2:$H2446, 0)),IF(G1671='Room Info'!$G$1, INDEX('Room Info'!$A$2:$A2446, MATCH(B1671,'Room Info'!$G$2:$G2446, 0)))))))))</f>
        <v>0</v>
      </c>
      <c r="B1671" s="96"/>
      <c r="C1671" s="111"/>
      <c r="D1671" s="111"/>
      <c r="E1671" s="80"/>
      <c r="F1671" s="133"/>
      <c r="G1671" s="96"/>
      <c r="H1671" s="110"/>
      <c r="I1671" s="110"/>
      <c r="J1671" s="39" t="s">
        <v>334</v>
      </c>
      <c r="K1671" s="112"/>
      <c r="L1671" s="113"/>
      <c r="M1671" s="62"/>
      <c r="N1671" s="28" t="e">
        <f t="shared" si="8"/>
        <v>#VALUE!</v>
      </c>
      <c r="O1671" s="65"/>
      <c r="P1671" s="29" t="s">
        <v>334</v>
      </c>
      <c r="Q1671" s="55"/>
      <c r="R1671" s="31" t="e">
        <f t="shared" si="9"/>
        <v>#VALUE!</v>
      </c>
      <c r="S1671" s="66"/>
      <c r="T1671" s="32" t="e">
        <f t="shared" si="10"/>
        <v>#VALUE!</v>
      </c>
      <c r="U1671" s="57"/>
      <c r="V1671" s="58"/>
      <c r="W1671" s="58"/>
      <c r="X1671" s="30" t="e">
        <f t="shared" si="11"/>
        <v>#N/A</v>
      </c>
      <c r="Y1671" s="30" t="e">
        <f t="shared" si="12"/>
        <v>#N/A</v>
      </c>
      <c r="Z1671" s="35" t="e">
        <f t="shared" si="13"/>
        <v>#VALUE!</v>
      </c>
      <c r="AA1671" s="29" t="e">
        <f t="shared" si="14"/>
        <v>#VALUE!</v>
      </c>
      <c r="AB1671" s="36" t="e">
        <f t="shared" si="15"/>
        <v>#VALUE!</v>
      </c>
      <c r="AC1671" s="37" t="b">
        <v>0</v>
      </c>
      <c r="AD1671" s="61" t="str">
        <f t="shared" si="16"/>
        <v>USD</v>
      </c>
      <c r="AE1671" s="37"/>
      <c r="AF1671" s="37" t="e">
        <f t="array" ref="AF1671">INDEX('Deal Info'!D:D, MATCH(A1671,'Deal Info'!A:A, 0))</f>
        <v>#N/A</v>
      </c>
      <c r="AG1671" s="38" t="e">
        <f t="array" ref="AG1671">INDEX('Deal Info'!G:G, MATCH(A1671,'Deal Info'!A:A, 0))</f>
        <v>#N/A</v>
      </c>
    </row>
    <row r="1672" spans="1:33" ht="14.25" hidden="1" x14ac:dyDescent="0.2">
      <c r="A1672" s="18" t="b">
        <f t="array" ref="A1672">IF(G1672='Room Info'!$B$1, INDEX('Room Info'!$A$2:$A2446, MATCH(B1672,'Room Info'!$B$2:$B2446, 0)),IF(G1672='Room Info'!$C$1, INDEX('Room Info'!$A$2:$A2446, MATCH(B1672,'Room Info'!$C$2:$C2446, 0)),IF(G1672='Room Info'!$D$1, INDEX('Room Info'!$A$2:$A2446, MATCH(B1672,'Room Info'!$D$2:$D2446, 0)),IF(G1672='Room Info'!$E$1, INDEX('Room Info'!$A$2:$A2446, MATCH(B1672,'Room Info'!$E$2:$E2446, 0)),IF(G1672='Room Info'!$F$1, INDEX('Room Info'!$A$2:$A2446, MATCH(B1672,'Room Info'!$F$2:$F2446, 0)),IF(G1672='Room Info'!$H$1, INDEX('Room Info'!$A$2:$A2446, MATCH(B1672,'Room Info'!$H$2:$H2446, 0)),IF(G1672='Room Info'!$G$1, INDEX('Room Info'!$A$2:$A2446, MATCH(B1672,'Room Info'!$G$2:$G2446, 0)))))))))</f>
        <v>0</v>
      </c>
      <c r="B1672" s="96"/>
      <c r="C1672" s="111"/>
      <c r="D1672" s="111"/>
      <c r="E1672" s="80"/>
      <c r="F1672" s="133"/>
      <c r="G1672" s="96"/>
      <c r="H1672" s="110"/>
      <c r="I1672" s="110"/>
      <c r="J1672" s="39" t="s">
        <v>334</v>
      </c>
      <c r="K1672" s="112"/>
      <c r="L1672" s="113"/>
      <c r="M1672" s="62"/>
      <c r="N1672" s="28" t="e">
        <f t="shared" si="8"/>
        <v>#VALUE!</v>
      </c>
      <c r="O1672" s="65"/>
      <c r="P1672" s="29" t="s">
        <v>334</v>
      </c>
      <c r="Q1672" s="55"/>
      <c r="R1672" s="31" t="e">
        <f t="shared" si="9"/>
        <v>#VALUE!</v>
      </c>
      <c r="S1672" s="66"/>
      <c r="T1672" s="32" t="e">
        <f t="shared" si="10"/>
        <v>#VALUE!</v>
      </c>
      <c r="U1672" s="57"/>
      <c r="V1672" s="58"/>
      <c r="W1672" s="58"/>
      <c r="X1672" s="30" t="e">
        <f t="shared" si="11"/>
        <v>#N/A</v>
      </c>
      <c r="Y1672" s="30" t="e">
        <f t="shared" si="12"/>
        <v>#N/A</v>
      </c>
      <c r="Z1672" s="35" t="e">
        <f t="shared" si="13"/>
        <v>#VALUE!</v>
      </c>
      <c r="AA1672" s="29" t="e">
        <f t="shared" si="14"/>
        <v>#VALUE!</v>
      </c>
      <c r="AB1672" s="36" t="e">
        <f t="shared" si="15"/>
        <v>#VALUE!</v>
      </c>
      <c r="AC1672" s="37" t="b">
        <v>0</v>
      </c>
      <c r="AD1672" s="61" t="str">
        <f t="shared" si="16"/>
        <v>USD</v>
      </c>
      <c r="AE1672" s="37"/>
      <c r="AF1672" s="37" t="e">
        <f t="array" ref="AF1672">INDEX('Deal Info'!D:D, MATCH(A1672,'Deal Info'!A:A, 0))</f>
        <v>#N/A</v>
      </c>
      <c r="AG1672" s="38" t="e">
        <f t="array" ref="AG1672">INDEX('Deal Info'!G:G, MATCH(A1672,'Deal Info'!A:A, 0))</f>
        <v>#N/A</v>
      </c>
    </row>
    <row r="1673" spans="1:33" ht="14.25" hidden="1" x14ac:dyDescent="0.2">
      <c r="A1673" s="18" t="b">
        <f t="array" ref="A1673">IF(G1673='Room Info'!$B$1, INDEX('Room Info'!$A$2:$A2446, MATCH(B1673,'Room Info'!$B$2:$B2446, 0)),IF(G1673='Room Info'!$C$1, INDEX('Room Info'!$A$2:$A2446, MATCH(B1673,'Room Info'!$C$2:$C2446, 0)),IF(G1673='Room Info'!$D$1, INDEX('Room Info'!$A$2:$A2446, MATCH(B1673,'Room Info'!$D$2:$D2446, 0)),IF(G1673='Room Info'!$E$1, INDEX('Room Info'!$A$2:$A2446, MATCH(B1673,'Room Info'!$E$2:$E2446, 0)),IF(G1673='Room Info'!$F$1, INDEX('Room Info'!$A$2:$A2446, MATCH(B1673,'Room Info'!$F$2:$F2446, 0)),IF(G1673='Room Info'!$H$1, INDEX('Room Info'!$A$2:$A2446, MATCH(B1673,'Room Info'!$H$2:$H2446, 0)),IF(G1673='Room Info'!$G$1, INDEX('Room Info'!$A$2:$A2446, MATCH(B1673,'Room Info'!$G$2:$G2446, 0)))))))))</f>
        <v>0</v>
      </c>
      <c r="B1673" s="96"/>
      <c r="C1673" s="111"/>
      <c r="D1673" s="111"/>
      <c r="E1673" s="80"/>
      <c r="F1673" s="133"/>
      <c r="G1673" s="96"/>
      <c r="H1673" s="110"/>
      <c r="I1673" s="110"/>
      <c r="J1673" s="39" t="s">
        <v>334</v>
      </c>
      <c r="K1673" s="112"/>
      <c r="L1673" s="113"/>
      <c r="M1673" s="62"/>
      <c r="N1673" s="28" t="e">
        <f t="shared" si="8"/>
        <v>#VALUE!</v>
      </c>
      <c r="O1673" s="65"/>
      <c r="P1673" s="29" t="s">
        <v>334</v>
      </c>
      <c r="Q1673" s="55"/>
      <c r="R1673" s="31" t="e">
        <f t="shared" si="9"/>
        <v>#VALUE!</v>
      </c>
      <c r="S1673" s="66"/>
      <c r="T1673" s="32" t="e">
        <f t="shared" si="10"/>
        <v>#VALUE!</v>
      </c>
      <c r="U1673" s="57"/>
      <c r="V1673" s="58"/>
      <c r="W1673" s="58"/>
      <c r="X1673" s="30" t="e">
        <f t="shared" si="11"/>
        <v>#N/A</v>
      </c>
      <c r="Y1673" s="30" t="e">
        <f t="shared" si="12"/>
        <v>#N/A</v>
      </c>
      <c r="Z1673" s="35" t="e">
        <f t="shared" si="13"/>
        <v>#VALUE!</v>
      </c>
      <c r="AA1673" s="29" t="e">
        <f t="shared" si="14"/>
        <v>#VALUE!</v>
      </c>
      <c r="AB1673" s="36" t="e">
        <f t="shared" si="15"/>
        <v>#VALUE!</v>
      </c>
      <c r="AC1673" s="37" t="b">
        <v>0</v>
      </c>
      <c r="AD1673" s="61" t="str">
        <f t="shared" si="16"/>
        <v>USD</v>
      </c>
      <c r="AE1673" s="37"/>
      <c r="AF1673" s="37" t="e">
        <f t="array" ref="AF1673">INDEX('Deal Info'!D:D, MATCH(A1673,'Deal Info'!A:A, 0))</f>
        <v>#N/A</v>
      </c>
      <c r="AG1673" s="38" t="e">
        <f t="array" ref="AG1673">INDEX('Deal Info'!G:G, MATCH(A1673,'Deal Info'!A:A, 0))</f>
        <v>#N/A</v>
      </c>
    </row>
    <row r="1674" spans="1:33" ht="14.25" hidden="1" x14ac:dyDescent="0.2">
      <c r="A1674" s="18" t="b">
        <f t="array" ref="A1674">IF(G1674='Room Info'!$B$1, INDEX('Room Info'!$A$2:$A2446, MATCH(B1674,'Room Info'!$B$2:$B2446, 0)),IF(G1674='Room Info'!$C$1, INDEX('Room Info'!$A$2:$A2446, MATCH(B1674,'Room Info'!$C$2:$C2446, 0)),IF(G1674='Room Info'!$D$1, INDEX('Room Info'!$A$2:$A2446, MATCH(B1674,'Room Info'!$D$2:$D2446, 0)),IF(G1674='Room Info'!$E$1, INDEX('Room Info'!$A$2:$A2446, MATCH(B1674,'Room Info'!$E$2:$E2446, 0)),IF(G1674='Room Info'!$F$1, INDEX('Room Info'!$A$2:$A2446, MATCH(B1674,'Room Info'!$F$2:$F2446, 0)),IF(G1674='Room Info'!$H$1, INDEX('Room Info'!$A$2:$A2446, MATCH(B1674,'Room Info'!$H$2:$H2446, 0)),IF(G1674='Room Info'!$G$1, INDEX('Room Info'!$A$2:$A2446, MATCH(B1674,'Room Info'!$G$2:$G2446, 0)))))))))</f>
        <v>0</v>
      </c>
      <c r="B1674" s="96"/>
      <c r="C1674" s="111"/>
      <c r="D1674" s="111"/>
      <c r="E1674" s="80"/>
      <c r="F1674" s="133"/>
      <c r="G1674" s="96"/>
      <c r="H1674" s="110"/>
      <c r="I1674" s="110"/>
      <c r="J1674" s="39" t="s">
        <v>334</v>
      </c>
      <c r="K1674" s="112"/>
      <c r="L1674" s="113"/>
      <c r="M1674" s="62"/>
      <c r="N1674" s="28" t="e">
        <f t="shared" si="8"/>
        <v>#VALUE!</v>
      </c>
      <c r="O1674" s="65"/>
      <c r="P1674" s="29" t="s">
        <v>334</v>
      </c>
      <c r="Q1674" s="55"/>
      <c r="R1674" s="31" t="e">
        <f t="shared" si="9"/>
        <v>#VALUE!</v>
      </c>
      <c r="S1674" s="66"/>
      <c r="T1674" s="32" t="e">
        <f t="shared" si="10"/>
        <v>#VALUE!</v>
      </c>
      <c r="U1674" s="57"/>
      <c r="V1674" s="58"/>
      <c r="W1674" s="58"/>
      <c r="X1674" s="30" t="e">
        <f t="shared" si="11"/>
        <v>#N/A</v>
      </c>
      <c r="Y1674" s="30" t="e">
        <f t="shared" si="12"/>
        <v>#N/A</v>
      </c>
      <c r="Z1674" s="35" t="e">
        <f t="shared" si="13"/>
        <v>#VALUE!</v>
      </c>
      <c r="AA1674" s="29" t="e">
        <f t="shared" si="14"/>
        <v>#VALUE!</v>
      </c>
      <c r="AB1674" s="36" t="e">
        <f t="shared" si="15"/>
        <v>#VALUE!</v>
      </c>
      <c r="AC1674" s="37" t="b">
        <v>0</v>
      </c>
      <c r="AD1674" s="61" t="str">
        <f t="shared" si="16"/>
        <v>USD</v>
      </c>
      <c r="AE1674" s="37"/>
      <c r="AF1674" s="37" t="e">
        <f t="array" ref="AF1674">INDEX('Deal Info'!D:D, MATCH(A1674,'Deal Info'!A:A, 0))</f>
        <v>#N/A</v>
      </c>
      <c r="AG1674" s="38" t="e">
        <f t="array" ref="AG1674">INDEX('Deal Info'!G:G, MATCH(A1674,'Deal Info'!A:A, 0))</f>
        <v>#N/A</v>
      </c>
    </row>
    <row r="1675" spans="1:33" ht="14.25" hidden="1" x14ac:dyDescent="0.2">
      <c r="A1675" s="18" t="b">
        <f t="array" ref="A1675">IF(G1675='Room Info'!$B$1, INDEX('Room Info'!$A$2:$A2446, MATCH(B1675,'Room Info'!$B$2:$B2446, 0)),IF(G1675='Room Info'!$C$1, INDEX('Room Info'!$A$2:$A2446, MATCH(B1675,'Room Info'!$C$2:$C2446, 0)),IF(G1675='Room Info'!$D$1, INDEX('Room Info'!$A$2:$A2446, MATCH(B1675,'Room Info'!$D$2:$D2446, 0)),IF(G1675='Room Info'!$E$1, INDEX('Room Info'!$A$2:$A2446, MATCH(B1675,'Room Info'!$E$2:$E2446, 0)),IF(G1675='Room Info'!$F$1, INDEX('Room Info'!$A$2:$A2446, MATCH(B1675,'Room Info'!$F$2:$F2446, 0)),IF(G1675='Room Info'!$H$1, INDEX('Room Info'!$A$2:$A2446, MATCH(B1675,'Room Info'!$H$2:$H2446, 0)),IF(G1675='Room Info'!$G$1, INDEX('Room Info'!$A$2:$A2446, MATCH(B1675,'Room Info'!$G$2:$G2446, 0)))))))))</f>
        <v>0</v>
      </c>
      <c r="B1675" s="96"/>
      <c r="C1675" s="111"/>
      <c r="D1675" s="111"/>
      <c r="E1675" s="80"/>
      <c r="F1675" s="133"/>
      <c r="G1675" s="96"/>
      <c r="H1675" s="110"/>
      <c r="I1675" s="110"/>
      <c r="J1675" s="39" t="s">
        <v>334</v>
      </c>
      <c r="K1675" s="112"/>
      <c r="L1675" s="113"/>
      <c r="M1675" s="62"/>
      <c r="N1675" s="28" t="e">
        <f t="shared" si="8"/>
        <v>#VALUE!</v>
      </c>
      <c r="O1675" s="65"/>
      <c r="P1675" s="29" t="s">
        <v>334</v>
      </c>
      <c r="Q1675" s="55"/>
      <c r="R1675" s="31" t="e">
        <f t="shared" si="9"/>
        <v>#VALUE!</v>
      </c>
      <c r="S1675" s="66"/>
      <c r="T1675" s="32" t="e">
        <f t="shared" si="10"/>
        <v>#VALUE!</v>
      </c>
      <c r="U1675" s="57"/>
      <c r="V1675" s="58"/>
      <c r="W1675" s="58"/>
      <c r="X1675" s="30" t="e">
        <f t="shared" si="11"/>
        <v>#N/A</v>
      </c>
      <c r="Y1675" s="30" t="e">
        <f t="shared" si="12"/>
        <v>#N/A</v>
      </c>
      <c r="Z1675" s="35" t="e">
        <f t="shared" si="13"/>
        <v>#VALUE!</v>
      </c>
      <c r="AA1675" s="29" t="e">
        <f t="shared" si="14"/>
        <v>#VALUE!</v>
      </c>
      <c r="AB1675" s="36" t="e">
        <f t="shared" si="15"/>
        <v>#VALUE!</v>
      </c>
      <c r="AC1675" s="37" t="b">
        <v>0</v>
      </c>
      <c r="AD1675" s="61" t="str">
        <f t="shared" si="16"/>
        <v>USD</v>
      </c>
      <c r="AE1675" s="37"/>
      <c r="AF1675" s="37" t="e">
        <f t="array" ref="AF1675">INDEX('Deal Info'!D:D, MATCH(A1675,'Deal Info'!A:A, 0))</f>
        <v>#N/A</v>
      </c>
      <c r="AG1675" s="38" t="e">
        <f t="array" ref="AG1675">INDEX('Deal Info'!G:G, MATCH(A1675,'Deal Info'!A:A, 0))</f>
        <v>#N/A</v>
      </c>
    </row>
    <row r="1676" spans="1:33" ht="14.25" hidden="1" x14ac:dyDescent="0.2">
      <c r="A1676" s="18" t="b">
        <f t="array" ref="A1676">IF(G1676='Room Info'!$B$1, INDEX('Room Info'!$A$2:$A2446, MATCH(B1676,'Room Info'!$B$2:$B2446, 0)),IF(G1676='Room Info'!$C$1, INDEX('Room Info'!$A$2:$A2446, MATCH(B1676,'Room Info'!$C$2:$C2446, 0)),IF(G1676='Room Info'!$D$1, INDEX('Room Info'!$A$2:$A2446, MATCH(B1676,'Room Info'!$D$2:$D2446, 0)),IF(G1676='Room Info'!$E$1, INDEX('Room Info'!$A$2:$A2446, MATCH(B1676,'Room Info'!$E$2:$E2446, 0)),IF(G1676='Room Info'!$F$1, INDEX('Room Info'!$A$2:$A2446, MATCH(B1676,'Room Info'!$F$2:$F2446, 0)),IF(G1676='Room Info'!$H$1, INDEX('Room Info'!$A$2:$A2446, MATCH(B1676,'Room Info'!$H$2:$H2446, 0)),IF(G1676='Room Info'!$G$1, INDEX('Room Info'!$A$2:$A2446, MATCH(B1676,'Room Info'!$G$2:$G2446, 0)))))))))</f>
        <v>0</v>
      </c>
      <c r="B1676" s="65"/>
      <c r="C1676" s="111"/>
      <c r="D1676" s="111"/>
      <c r="E1676" s="80"/>
      <c r="F1676" s="133"/>
      <c r="G1676" s="65"/>
      <c r="H1676" s="65"/>
      <c r="I1676" s="65"/>
      <c r="J1676" s="39" t="s">
        <v>334</v>
      </c>
      <c r="K1676" s="112"/>
      <c r="L1676" s="113"/>
      <c r="M1676" s="62"/>
      <c r="N1676" s="28" t="e">
        <f t="shared" si="8"/>
        <v>#VALUE!</v>
      </c>
      <c r="O1676" s="65"/>
      <c r="P1676" s="29" t="s">
        <v>334</v>
      </c>
      <c r="Q1676" s="55"/>
      <c r="R1676" s="31" t="e">
        <f t="shared" si="9"/>
        <v>#VALUE!</v>
      </c>
      <c r="S1676" s="66"/>
      <c r="T1676" s="32" t="e">
        <f t="shared" si="10"/>
        <v>#VALUE!</v>
      </c>
      <c r="U1676" s="57"/>
      <c r="V1676" s="58"/>
      <c r="W1676" s="58"/>
      <c r="X1676" s="30" t="e">
        <f t="shared" si="11"/>
        <v>#N/A</v>
      </c>
      <c r="Y1676" s="30" t="e">
        <f t="shared" si="12"/>
        <v>#N/A</v>
      </c>
      <c r="Z1676" s="35" t="e">
        <f t="shared" si="13"/>
        <v>#VALUE!</v>
      </c>
      <c r="AA1676" s="29" t="e">
        <f t="shared" si="14"/>
        <v>#VALUE!</v>
      </c>
      <c r="AB1676" s="36" t="e">
        <f t="shared" si="15"/>
        <v>#VALUE!</v>
      </c>
      <c r="AC1676" s="37" t="b">
        <v>0</v>
      </c>
      <c r="AD1676" s="61" t="str">
        <f t="shared" si="16"/>
        <v>USD</v>
      </c>
      <c r="AE1676" s="37"/>
      <c r="AF1676" s="37" t="e">
        <f t="array" ref="AF1676">INDEX('Deal Info'!D:D, MATCH(A1676,'Deal Info'!A:A, 0))</f>
        <v>#N/A</v>
      </c>
      <c r="AG1676" s="38" t="e">
        <f t="array" ref="AG1676">INDEX('Deal Info'!G:G, MATCH(A1676,'Deal Info'!A:A, 0))</f>
        <v>#N/A</v>
      </c>
    </row>
    <row r="1677" spans="1:33" ht="14.25" hidden="1" x14ac:dyDescent="0.2">
      <c r="A1677" s="18" t="b">
        <f t="array" ref="A1677">IF(G1677='Room Info'!$B$1, INDEX('Room Info'!$A$2:$A2446, MATCH(B1677,'Room Info'!$B$2:$B2446, 0)),IF(G1677='Room Info'!$C$1, INDEX('Room Info'!$A$2:$A2446, MATCH(B1677,'Room Info'!$C$2:$C2446, 0)),IF(G1677='Room Info'!$D$1, INDEX('Room Info'!$A$2:$A2446, MATCH(B1677,'Room Info'!$D$2:$D2446, 0)),IF(G1677='Room Info'!$E$1, INDEX('Room Info'!$A$2:$A2446, MATCH(B1677,'Room Info'!$E$2:$E2446, 0)),IF(G1677='Room Info'!$F$1, INDEX('Room Info'!$A$2:$A2446, MATCH(B1677,'Room Info'!$F$2:$F2446, 0)),IF(G1677='Room Info'!$H$1, INDEX('Room Info'!$A$2:$A2446, MATCH(B1677,'Room Info'!$H$2:$H2446, 0)),IF(G1677='Room Info'!$G$1, INDEX('Room Info'!$A$2:$A2446, MATCH(B1677,'Room Info'!$G$2:$G2446, 0)))))))))</f>
        <v>0</v>
      </c>
      <c r="B1677" s="65"/>
      <c r="C1677" s="111"/>
      <c r="D1677" s="111"/>
      <c r="E1677" s="80"/>
      <c r="F1677" s="133"/>
      <c r="G1677" s="65"/>
      <c r="H1677" s="65"/>
      <c r="I1677" s="65"/>
      <c r="J1677" s="39" t="s">
        <v>334</v>
      </c>
      <c r="K1677" s="112"/>
      <c r="L1677" s="113"/>
      <c r="M1677" s="62"/>
      <c r="N1677" s="28" t="e">
        <f t="shared" si="8"/>
        <v>#VALUE!</v>
      </c>
      <c r="O1677" s="65"/>
      <c r="P1677" s="29" t="s">
        <v>334</v>
      </c>
      <c r="Q1677" s="55"/>
      <c r="R1677" s="31" t="e">
        <f t="shared" si="9"/>
        <v>#VALUE!</v>
      </c>
      <c r="S1677" s="66"/>
      <c r="T1677" s="32" t="e">
        <f t="shared" si="10"/>
        <v>#VALUE!</v>
      </c>
      <c r="U1677" s="57"/>
      <c r="V1677" s="58"/>
      <c r="W1677" s="58"/>
      <c r="X1677" s="30" t="e">
        <f t="shared" si="11"/>
        <v>#N/A</v>
      </c>
      <c r="Y1677" s="30" t="e">
        <f t="shared" si="12"/>
        <v>#N/A</v>
      </c>
      <c r="Z1677" s="35" t="e">
        <f t="shared" si="13"/>
        <v>#VALUE!</v>
      </c>
      <c r="AA1677" s="29" t="e">
        <f t="shared" si="14"/>
        <v>#VALUE!</v>
      </c>
      <c r="AB1677" s="36" t="e">
        <f t="shared" si="15"/>
        <v>#VALUE!</v>
      </c>
      <c r="AC1677" s="37" t="b">
        <v>0</v>
      </c>
      <c r="AD1677" s="61" t="str">
        <f t="shared" si="16"/>
        <v>USD</v>
      </c>
      <c r="AE1677" s="37"/>
      <c r="AF1677" s="37" t="e">
        <f t="array" ref="AF1677">INDEX('Deal Info'!D:D, MATCH(A1677,'Deal Info'!A:A, 0))</f>
        <v>#N/A</v>
      </c>
      <c r="AG1677" s="38" t="e">
        <f t="array" ref="AG1677">INDEX('Deal Info'!G:G, MATCH(A1677,'Deal Info'!A:A, 0))</f>
        <v>#N/A</v>
      </c>
    </row>
    <row r="1678" spans="1:33" ht="14.25" hidden="1" x14ac:dyDescent="0.2">
      <c r="A1678" s="18" t="b">
        <f t="array" ref="A1678">IF(G1678='Room Info'!$B$1, INDEX('Room Info'!$A$2:$A2446, MATCH(B1678,'Room Info'!$B$2:$B2446, 0)),IF(G1678='Room Info'!$C$1, INDEX('Room Info'!$A$2:$A2446, MATCH(B1678,'Room Info'!$C$2:$C2446, 0)),IF(G1678='Room Info'!$D$1, INDEX('Room Info'!$A$2:$A2446, MATCH(B1678,'Room Info'!$D$2:$D2446, 0)),IF(G1678='Room Info'!$E$1, INDEX('Room Info'!$A$2:$A2446, MATCH(B1678,'Room Info'!$E$2:$E2446, 0)),IF(G1678='Room Info'!$F$1, INDEX('Room Info'!$A$2:$A2446, MATCH(B1678,'Room Info'!$F$2:$F2446, 0)),IF(G1678='Room Info'!$H$1, INDEX('Room Info'!$A$2:$A2446, MATCH(B1678,'Room Info'!$H$2:$H2446, 0)),IF(G1678='Room Info'!$G$1, INDEX('Room Info'!$A$2:$A2446, MATCH(B1678,'Room Info'!$G$2:$G2446, 0)))))))))</f>
        <v>0</v>
      </c>
      <c r="B1678" s="65"/>
      <c r="C1678" s="111"/>
      <c r="D1678" s="111"/>
      <c r="E1678" s="80"/>
      <c r="F1678" s="133"/>
      <c r="G1678" s="65"/>
      <c r="H1678" s="110"/>
      <c r="I1678" s="110"/>
      <c r="J1678" s="39" t="s">
        <v>334</v>
      </c>
      <c r="K1678" s="112"/>
      <c r="L1678" s="113"/>
      <c r="M1678" s="62"/>
      <c r="N1678" s="28" t="e">
        <f t="shared" si="8"/>
        <v>#VALUE!</v>
      </c>
      <c r="O1678" s="65"/>
      <c r="P1678" s="29" t="s">
        <v>334</v>
      </c>
      <c r="Q1678" s="55"/>
      <c r="R1678" s="31" t="e">
        <f t="shared" si="9"/>
        <v>#VALUE!</v>
      </c>
      <c r="S1678" s="66"/>
      <c r="T1678" s="32" t="e">
        <f t="shared" si="10"/>
        <v>#VALUE!</v>
      </c>
      <c r="U1678" s="57"/>
      <c r="V1678" s="58"/>
      <c r="W1678" s="58"/>
      <c r="X1678" s="30" t="e">
        <f t="shared" si="11"/>
        <v>#N/A</v>
      </c>
      <c r="Y1678" s="30" t="e">
        <f t="shared" si="12"/>
        <v>#N/A</v>
      </c>
      <c r="Z1678" s="35" t="e">
        <f t="shared" si="13"/>
        <v>#VALUE!</v>
      </c>
      <c r="AA1678" s="29" t="e">
        <f t="shared" si="14"/>
        <v>#VALUE!</v>
      </c>
      <c r="AB1678" s="36" t="e">
        <f t="shared" si="15"/>
        <v>#VALUE!</v>
      </c>
      <c r="AC1678" s="37" t="b">
        <v>0</v>
      </c>
      <c r="AD1678" s="61" t="str">
        <f t="shared" si="16"/>
        <v>USD</v>
      </c>
      <c r="AE1678" s="37"/>
      <c r="AF1678" s="37" t="e">
        <f t="array" ref="AF1678">INDEX('Deal Info'!D:D, MATCH(A1678,'Deal Info'!A:A, 0))</f>
        <v>#N/A</v>
      </c>
      <c r="AG1678" s="38" t="e">
        <f t="array" ref="AG1678">INDEX('Deal Info'!G:G, MATCH(A1678,'Deal Info'!A:A, 0))</f>
        <v>#N/A</v>
      </c>
    </row>
    <row r="1679" spans="1:33" ht="14.25" hidden="1" x14ac:dyDescent="0.2">
      <c r="A1679" s="18" t="b">
        <f t="array" ref="A1679">IF(G1679='Room Info'!$B$1, INDEX('Room Info'!$A$2:$A2446, MATCH(B1679,'Room Info'!$B$2:$B2446, 0)),IF(G1679='Room Info'!$C$1, INDEX('Room Info'!$A$2:$A2446, MATCH(B1679,'Room Info'!$C$2:$C2446, 0)),IF(G1679='Room Info'!$D$1, INDEX('Room Info'!$A$2:$A2446, MATCH(B1679,'Room Info'!$D$2:$D2446, 0)),IF(G1679='Room Info'!$E$1, INDEX('Room Info'!$A$2:$A2446, MATCH(B1679,'Room Info'!$E$2:$E2446, 0)),IF(G1679='Room Info'!$F$1, INDEX('Room Info'!$A$2:$A2446, MATCH(B1679,'Room Info'!$F$2:$F2446, 0)),IF(G1679='Room Info'!$H$1, INDEX('Room Info'!$A$2:$A2446, MATCH(B1679,'Room Info'!$H$2:$H2446, 0)),IF(G1679='Room Info'!$G$1, INDEX('Room Info'!$A$2:$A2446, MATCH(B1679,'Room Info'!$G$2:$G2446, 0)))))))))</f>
        <v>0</v>
      </c>
      <c r="B1679" s="65"/>
      <c r="C1679" s="111"/>
      <c r="D1679" s="111"/>
      <c r="E1679" s="80"/>
      <c r="F1679" s="133"/>
      <c r="G1679" s="65"/>
      <c r="H1679" s="65"/>
      <c r="I1679" s="65"/>
      <c r="J1679" s="39" t="s">
        <v>334</v>
      </c>
      <c r="K1679" s="112"/>
      <c r="L1679" s="113"/>
      <c r="M1679" s="62"/>
      <c r="N1679" s="28" t="e">
        <f t="shared" si="8"/>
        <v>#VALUE!</v>
      </c>
      <c r="O1679" s="65"/>
      <c r="P1679" s="29" t="s">
        <v>334</v>
      </c>
      <c r="Q1679" s="55"/>
      <c r="R1679" s="31" t="e">
        <f t="shared" si="9"/>
        <v>#VALUE!</v>
      </c>
      <c r="S1679" s="66"/>
      <c r="T1679" s="32" t="e">
        <f t="shared" si="10"/>
        <v>#VALUE!</v>
      </c>
      <c r="U1679" s="57"/>
      <c r="V1679" s="58"/>
      <c r="W1679" s="58"/>
      <c r="X1679" s="30" t="e">
        <f t="shared" si="11"/>
        <v>#N/A</v>
      </c>
      <c r="Y1679" s="30" t="e">
        <f t="shared" si="12"/>
        <v>#N/A</v>
      </c>
      <c r="Z1679" s="35" t="e">
        <f t="shared" si="13"/>
        <v>#VALUE!</v>
      </c>
      <c r="AA1679" s="29" t="e">
        <f t="shared" si="14"/>
        <v>#VALUE!</v>
      </c>
      <c r="AB1679" s="36" t="e">
        <f t="shared" si="15"/>
        <v>#VALUE!</v>
      </c>
      <c r="AC1679" s="37" t="b">
        <v>0</v>
      </c>
      <c r="AD1679" s="61" t="str">
        <f t="shared" si="16"/>
        <v>USD</v>
      </c>
      <c r="AE1679" s="37"/>
      <c r="AF1679" s="37" t="e">
        <f t="array" ref="AF1679">INDEX('Deal Info'!D:D, MATCH(A1679,'Deal Info'!A:A, 0))</f>
        <v>#N/A</v>
      </c>
      <c r="AG1679" s="38" t="e">
        <f t="array" ref="AG1679">INDEX('Deal Info'!G:G, MATCH(A1679,'Deal Info'!A:A, 0))</f>
        <v>#N/A</v>
      </c>
    </row>
    <row r="1680" spans="1:33" ht="14.25" hidden="1" x14ac:dyDescent="0.2">
      <c r="A1680" s="18" t="b">
        <f t="array" ref="A1680">IF(G1680='Room Info'!$B$1, INDEX('Room Info'!$A$2:$A2446, MATCH(B1680,'Room Info'!$B$2:$B2446, 0)),IF(G1680='Room Info'!$C$1, INDEX('Room Info'!$A$2:$A2446, MATCH(B1680,'Room Info'!$C$2:$C2446, 0)),IF(G1680='Room Info'!$D$1, INDEX('Room Info'!$A$2:$A2446, MATCH(B1680,'Room Info'!$D$2:$D2446, 0)),IF(G1680='Room Info'!$E$1, INDEX('Room Info'!$A$2:$A2446, MATCH(B1680,'Room Info'!$E$2:$E2446, 0)),IF(G1680='Room Info'!$F$1, INDEX('Room Info'!$A$2:$A2446, MATCH(B1680,'Room Info'!$F$2:$F2446, 0)),IF(G1680='Room Info'!$H$1, INDEX('Room Info'!$A$2:$A2446, MATCH(B1680,'Room Info'!$H$2:$H2446, 0)),IF(G1680='Room Info'!$G$1, INDEX('Room Info'!$A$2:$A2446, MATCH(B1680,'Room Info'!$G$2:$G2446, 0)))))))))</f>
        <v>0</v>
      </c>
      <c r="B1680" s="65"/>
      <c r="C1680" s="111"/>
      <c r="D1680" s="111"/>
      <c r="E1680" s="80"/>
      <c r="F1680" s="133"/>
      <c r="G1680" s="65"/>
      <c r="H1680" s="110"/>
      <c r="I1680" s="110"/>
      <c r="J1680" s="39" t="s">
        <v>334</v>
      </c>
      <c r="K1680" s="112"/>
      <c r="L1680" s="113"/>
      <c r="M1680" s="62"/>
      <c r="N1680" s="28" t="e">
        <f t="shared" si="8"/>
        <v>#VALUE!</v>
      </c>
      <c r="O1680" s="65"/>
      <c r="P1680" s="29" t="s">
        <v>334</v>
      </c>
      <c r="Q1680" s="55"/>
      <c r="R1680" s="31" t="e">
        <f t="shared" si="9"/>
        <v>#VALUE!</v>
      </c>
      <c r="S1680" s="66"/>
      <c r="T1680" s="32" t="e">
        <f t="shared" si="10"/>
        <v>#VALUE!</v>
      </c>
      <c r="U1680" s="57"/>
      <c r="V1680" s="58"/>
      <c r="W1680" s="58"/>
      <c r="X1680" s="30" t="e">
        <f t="shared" si="11"/>
        <v>#N/A</v>
      </c>
      <c r="Y1680" s="30" t="e">
        <f t="shared" si="12"/>
        <v>#N/A</v>
      </c>
      <c r="Z1680" s="35" t="e">
        <f t="shared" si="13"/>
        <v>#VALUE!</v>
      </c>
      <c r="AA1680" s="29" t="e">
        <f t="shared" si="14"/>
        <v>#VALUE!</v>
      </c>
      <c r="AB1680" s="36" t="e">
        <f t="shared" si="15"/>
        <v>#VALUE!</v>
      </c>
      <c r="AC1680" s="37" t="b">
        <v>0</v>
      </c>
      <c r="AD1680" s="61" t="str">
        <f t="shared" si="16"/>
        <v>USD</v>
      </c>
      <c r="AE1680" s="37"/>
      <c r="AF1680" s="37" t="e">
        <f t="array" ref="AF1680">INDEX('Deal Info'!D:D, MATCH(A1680,'Deal Info'!A:A, 0))</f>
        <v>#N/A</v>
      </c>
      <c r="AG1680" s="38" t="e">
        <f t="array" ref="AG1680">INDEX('Deal Info'!G:G, MATCH(A1680,'Deal Info'!A:A, 0))</f>
        <v>#N/A</v>
      </c>
    </row>
    <row r="1681" spans="1:33" ht="14.25" hidden="1" x14ac:dyDescent="0.2">
      <c r="A1681" s="18" t="b">
        <f t="array" ref="A1681">IF(G1681='Room Info'!$B$1, INDEX('Room Info'!$A$2:$A2446, MATCH(B1681,'Room Info'!$B$2:$B2446, 0)),IF(G1681='Room Info'!$C$1, INDEX('Room Info'!$A$2:$A2446, MATCH(B1681,'Room Info'!$C$2:$C2446, 0)),IF(G1681='Room Info'!$D$1, INDEX('Room Info'!$A$2:$A2446, MATCH(B1681,'Room Info'!$D$2:$D2446, 0)),IF(G1681='Room Info'!$E$1, INDEX('Room Info'!$A$2:$A2446, MATCH(B1681,'Room Info'!$E$2:$E2446, 0)),IF(G1681='Room Info'!$F$1, INDEX('Room Info'!$A$2:$A2446, MATCH(B1681,'Room Info'!$F$2:$F2446, 0)),IF(G1681='Room Info'!$H$1, INDEX('Room Info'!$A$2:$A2446, MATCH(B1681,'Room Info'!$H$2:$H2446, 0)),IF(G1681='Room Info'!$G$1, INDEX('Room Info'!$A$2:$A2446, MATCH(B1681,'Room Info'!$G$2:$G2446, 0)))))))))</f>
        <v>0</v>
      </c>
      <c r="B1681" s="65"/>
      <c r="C1681" s="111"/>
      <c r="D1681" s="111"/>
      <c r="E1681" s="80"/>
      <c r="F1681" s="133"/>
      <c r="G1681" s="65"/>
      <c r="H1681" s="110"/>
      <c r="I1681" s="110"/>
      <c r="J1681" s="39" t="s">
        <v>334</v>
      </c>
      <c r="K1681" s="112"/>
      <c r="L1681" s="113"/>
      <c r="M1681" s="62"/>
      <c r="N1681" s="28" t="e">
        <f t="shared" si="8"/>
        <v>#VALUE!</v>
      </c>
      <c r="O1681" s="65"/>
      <c r="P1681" s="29" t="s">
        <v>334</v>
      </c>
      <c r="Q1681" s="55"/>
      <c r="R1681" s="31" t="e">
        <f t="shared" si="9"/>
        <v>#VALUE!</v>
      </c>
      <c r="S1681" s="66"/>
      <c r="T1681" s="32" t="e">
        <f t="shared" si="10"/>
        <v>#VALUE!</v>
      </c>
      <c r="U1681" s="57"/>
      <c r="V1681" s="58"/>
      <c r="W1681" s="58"/>
      <c r="X1681" s="30" t="e">
        <f t="shared" si="11"/>
        <v>#N/A</v>
      </c>
      <c r="Y1681" s="30" t="e">
        <f t="shared" si="12"/>
        <v>#N/A</v>
      </c>
      <c r="Z1681" s="35" t="e">
        <f t="shared" si="13"/>
        <v>#VALUE!</v>
      </c>
      <c r="AA1681" s="29" t="e">
        <f t="shared" si="14"/>
        <v>#VALUE!</v>
      </c>
      <c r="AB1681" s="36" t="e">
        <f t="shared" si="15"/>
        <v>#VALUE!</v>
      </c>
      <c r="AC1681" s="37" t="b">
        <v>0</v>
      </c>
      <c r="AD1681" s="61" t="str">
        <f t="shared" si="16"/>
        <v>USD</v>
      </c>
      <c r="AE1681" s="37"/>
      <c r="AF1681" s="37" t="e">
        <f t="array" ref="AF1681">INDEX('Deal Info'!D:D, MATCH(A1681,'Deal Info'!A:A, 0))</f>
        <v>#N/A</v>
      </c>
      <c r="AG1681" s="38" t="e">
        <f t="array" ref="AG1681">INDEX('Deal Info'!G:G, MATCH(A1681,'Deal Info'!A:A, 0))</f>
        <v>#N/A</v>
      </c>
    </row>
    <row r="1682" spans="1:33" ht="14.25" hidden="1" x14ac:dyDescent="0.2">
      <c r="A1682" s="18" t="b">
        <f t="array" ref="A1682">IF(G1682='Room Info'!$B$1, INDEX('Room Info'!$A$2:$A2446, MATCH(B1682,'Room Info'!$B$2:$B2446, 0)),IF(G1682='Room Info'!$C$1, INDEX('Room Info'!$A$2:$A2446, MATCH(B1682,'Room Info'!$C$2:$C2446, 0)),IF(G1682='Room Info'!$D$1, INDEX('Room Info'!$A$2:$A2446, MATCH(B1682,'Room Info'!$D$2:$D2446, 0)),IF(G1682='Room Info'!$E$1, INDEX('Room Info'!$A$2:$A2446, MATCH(B1682,'Room Info'!$E$2:$E2446, 0)),IF(G1682='Room Info'!$F$1, INDEX('Room Info'!$A$2:$A2446, MATCH(B1682,'Room Info'!$F$2:$F2446, 0)),IF(G1682='Room Info'!$H$1, INDEX('Room Info'!$A$2:$A2446, MATCH(B1682,'Room Info'!$H$2:$H2446, 0)),IF(G1682='Room Info'!$G$1, INDEX('Room Info'!$A$2:$A2446, MATCH(B1682,'Room Info'!$G$2:$G2446, 0)))))))))</f>
        <v>0</v>
      </c>
      <c r="B1682" s="65"/>
      <c r="C1682" s="111"/>
      <c r="D1682" s="111"/>
      <c r="E1682" s="80"/>
      <c r="F1682" s="133"/>
      <c r="G1682" s="65"/>
      <c r="H1682" s="110"/>
      <c r="I1682" s="110"/>
      <c r="J1682" s="39" t="s">
        <v>334</v>
      </c>
      <c r="K1682" s="112"/>
      <c r="L1682" s="113"/>
      <c r="M1682" s="62"/>
      <c r="N1682" s="28" t="e">
        <f t="shared" si="8"/>
        <v>#VALUE!</v>
      </c>
      <c r="O1682" s="65"/>
      <c r="P1682" s="29" t="s">
        <v>334</v>
      </c>
      <c r="Q1682" s="55"/>
      <c r="R1682" s="31" t="e">
        <f t="shared" si="9"/>
        <v>#VALUE!</v>
      </c>
      <c r="S1682" s="66"/>
      <c r="T1682" s="32" t="e">
        <f t="shared" si="10"/>
        <v>#VALUE!</v>
      </c>
      <c r="U1682" s="57"/>
      <c r="V1682" s="58"/>
      <c r="W1682" s="58"/>
      <c r="X1682" s="30" t="e">
        <f t="shared" si="11"/>
        <v>#N/A</v>
      </c>
      <c r="Y1682" s="30" t="e">
        <f t="shared" si="12"/>
        <v>#N/A</v>
      </c>
      <c r="Z1682" s="35" t="e">
        <f t="shared" si="13"/>
        <v>#VALUE!</v>
      </c>
      <c r="AA1682" s="29" t="e">
        <f t="shared" si="14"/>
        <v>#VALUE!</v>
      </c>
      <c r="AB1682" s="36" t="e">
        <f t="shared" si="15"/>
        <v>#VALUE!</v>
      </c>
      <c r="AC1682" s="37" t="b">
        <v>0</v>
      </c>
      <c r="AD1682" s="61" t="str">
        <f t="shared" si="16"/>
        <v>USD</v>
      </c>
      <c r="AE1682" s="37"/>
      <c r="AF1682" s="37" t="e">
        <f t="array" ref="AF1682">INDEX('Deal Info'!D:D, MATCH(A1682,'Deal Info'!A:A, 0))</f>
        <v>#N/A</v>
      </c>
      <c r="AG1682" s="38" t="e">
        <f t="array" ref="AG1682">INDEX('Deal Info'!G:G, MATCH(A1682,'Deal Info'!A:A, 0))</f>
        <v>#N/A</v>
      </c>
    </row>
    <row r="1683" spans="1:33" ht="14.25" hidden="1" x14ac:dyDescent="0.2">
      <c r="A1683" s="18" t="b">
        <f t="array" ref="A1683">IF(G1683='Room Info'!$B$1, INDEX('Room Info'!$A$2:$A2446, MATCH(B1683,'Room Info'!$B$2:$B2446, 0)),IF(G1683='Room Info'!$C$1, INDEX('Room Info'!$A$2:$A2446, MATCH(B1683,'Room Info'!$C$2:$C2446, 0)),IF(G1683='Room Info'!$D$1, INDEX('Room Info'!$A$2:$A2446, MATCH(B1683,'Room Info'!$D$2:$D2446, 0)),IF(G1683='Room Info'!$E$1, INDEX('Room Info'!$A$2:$A2446, MATCH(B1683,'Room Info'!$E$2:$E2446, 0)),IF(G1683='Room Info'!$F$1, INDEX('Room Info'!$A$2:$A2446, MATCH(B1683,'Room Info'!$F$2:$F2446, 0)),IF(G1683='Room Info'!$H$1, INDEX('Room Info'!$A$2:$A2446, MATCH(B1683,'Room Info'!$H$2:$H2446, 0)),IF(G1683='Room Info'!$G$1, INDEX('Room Info'!$A$2:$A2446, MATCH(B1683,'Room Info'!$G$2:$G2446, 0)))))))))</f>
        <v>0</v>
      </c>
      <c r="B1683" s="96"/>
      <c r="C1683" s="136"/>
      <c r="D1683" s="136"/>
      <c r="E1683" s="137"/>
      <c r="F1683" s="133"/>
      <c r="G1683" s="96"/>
      <c r="H1683" s="100"/>
      <c r="I1683" s="100"/>
      <c r="J1683" s="39" t="s">
        <v>334</v>
      </c>
      <c r="K1683" s="134"/>
      <c r="L1683" s="135"/>
      <c r="M1683" s="79"/>
      <c r="N1683" s="28" t="e">
        <f t="shared" si="8"/>
        <v>#VALUE!</v>
      </c>
      <c r="O1683" s="96"/>
      <c r="P1683" s="29" t="s">
        <v>334</v>
      </c>
      <c r="Q1683" s="55"/>
      <c r="R1683" s="31" t="e">
        <f t="shared" si="9"/>
        <v>#VALUE!</v>
      </c>
      <c r="S1683" s="97"/>
      <c r="T1683" s="32" t="e">
        <f t="shared" si="10"/>
        <v>#VALUE!</v>
      </c>
      <c r="U1683" s="57"/>
      <c r="V1683" s="58"/>
      <c r="W1683" s="58"/>
      <c r="X1683" s="30" t="e">
        <f t="shared" si="11"/>
        <v>#N/A</v>
      </c>
      <c r="Y1683" s="30" t="e">
        <f t="shared" si="12"/>
        <v>#N/A</v>
      </c>
      <c r="Z1683" s="35" t="e">
        <f t="shared" si="13"/>
        <v>#VALUE!</v>
      </c>
      <c r="AA1683" s="29" t="e">
        <f t="shared" si="14"/>
        <v>#VALUE!</v>
      </c>
      <c r="AB1683" s="36" t="e">
        <f t="shared" si="15"/>
        <v>#VALUE!</v>
      </c>
      <c r="AC1683" s="37" t="b">
        <v>0</v>
      </c>
      <c r="AD1683" s="61" t="str">
        <f t="shared" si="16"/>
        <v>USD</v>
      </c>
      <c r="AE1683" s="37"/>
      <c r="AF1683" s="37" t="e">
        <f t="array" ref="AF1683">INDEX('Deal Info'!D:D, MATCH(A1683,'Deal Info'!A:A, 0))</f>
        <v>#N/A</v>
      </c>
      <c r="AG1683" s="38" t="e">
        <f t="array" ref="AG1683">INDEX('Deal Info'!G:G, MATCH(A1683,'Deal Info'!A:A, 0))</f>
        <v>#N/A</v>
      </c>
    </row>
    <row r="1684" spans="1:33" ht="14.25" hidden="1" x14ac:dyDescent="0.2">
      <c r="A1684" s="18" t="b">
        <f t="array" ref="A1684">IF(G1684='Room Info'!$B$1, INDEX('Room Info'!$A$2:$A2446, MATCH(B1684,'Room Info'!$B$2:$B2446, 0)),IF(G1684='Room Info'!$C$1, INDEX('Room Info'!$A$2:$A2446, MATCH(B1684,'Room Info'!$C$2:$C2446, 0)),IF(G1684='Room Info'!$D$1, INDEX('Room Info'!$A$2:$A2446, MATCH(B1684,'Room Info'!$D$2:$D2446, 0)),IF(G1684='Room Info'!$E$1, INDEX('Room Info'!$A$2:$A2446, MATCH(B1684,'Room Info'!$E$2:$E2446, 0)),IF(G1684='Room Info'!$F$1, INDEX('Room Info'!$A$2:$A2446, MATCH(B1684,'Room Info'!$F$2:$F2446, 0)),IF(G1684='Room Info'!$H$1, INDEX('Room Info'!$A$2:$A2446, MATCH(B1684,'Room Info'!$H$2:$H2446, 0)),IF(G1684='Room Info'!$G$1, INDEX('Room Info'!$A$2:$A2446, MATCH(B1684,'Room Info'!$G$2:$G2446, 0)))))))))</f>
        <v>0</v>
      </c>
      <c r="B1684" s="96"/>
      <c r="C1684" s="136"/>
      <c r="D1684" s="136"/>
      <c r="E1684" s="137"/>
      <c r="F1684" s="133"/>
      <c r="G1684" s="96"/>
      <c r="H1684" s="100"/>
      <c r="I1684" s="100"/>
      <c r="J1684" s="39" t="s">
        <v>334</v>
      </c>
      <c r="K1684" s="134"/>
      <c r="L1684" s="135"/>
      <c r="M1684" s="79"/>
      <c r="N1684" s="28" t="e">
        <f t="shared" si="8"/>
        <v>#VALUE!</v>
      </c>
      <c r="O1684" s="96"/>
      <c r="P1684" s="29" t="s">
        <v>334</v>
      </c>
      <c r="Q1684" s="55"/>
      <c r="R1684" s="31" t="e">
        <f t="shared" si="9"/>
        <v>#VALUE!</v>
      </c>
      <c r="S1684" s="97"/>
      <c r="T1684" s="32" t="e">
        <f t="shared" si="10"/>
        <v>#VALUE!</v>
      </c>
      <c r="U1684" s="57"/>
      <c r="V1684" s="58"/>
      <c r="W1684" s="58"/>
      <c r="X1684" s="30" t="e">
        <f t="shared" si="11"/>
        <v>#N/A</v>
      </c>
      <c r="Y1684" s="30" t="e">
        <f t="shared" si="12"/>
        <v>#N/A</v>
      </c>
      <c r="Z1684" s="35" t="e">
        <f t="shared" si="13"/>
        <v>#VALUE!</v>
      </c>
      <c r="AA1684" s="29" t="e">
        <f t="shared" si="14"/>
        <v>#VALUE!</v>
      </c>
      <c r="AB1684" s="36" t="e">
        <f t="shared" si="15"/>
        <v>#VALUE!</v>
      </c>
      <c r="AC1684" s="37" t="b">
        <v>0</v>
      </c>
      <c r="AD1684" s="61" t="str">
        <f t="shared" si="16"/>
        <v>USD</v>
      </c>
      <c r="AE1684" s="37"/>
      <c r="AF1684" s="37" t="e">
        <f t="array" ref="AF1684">INDEX('Deal Info'!D:D, MATCH(A1684,'Deal Info'!A:A, 0))</f>
        <v>#N/A</v>
      </c>
      <c r="AG1684" s="38" t="e">
        <f t="array" ref="AG1684">INDEX('Deal Info'!G:G, MATCH(A1684,'Deal Info'!A:A, 0))</f>
        <v>#N/A</v>
      </c>
    </row>
    <row r="1685" spans="1:33" ht="14.25" hidden="1" x14ac:dyDescent="0.2">
      <c r="A1685" s="18" t="b">
        <f t="array" ref="A1685">IF(G1685='Room Info'!$B$1, INDEX('Room Info'!$A$2:$A2446, MATCH(B1685,'Room Info'!$B$2:$B2446, 0)),IF(G1685='Room Info'!$C$1, INDEX('Room Info'!$A$2:$A2446, MATCH(B1685,'Room Info'!$C$2:$C2446, 0)),IF(G1685='Room Info'!$D$1, INDEX('Room Info'!$A$2:$A2446, MATCH(B1685,'Room Info'!$D$2:$D2446, 0)),IF(G1685='Room Info'!$E$1, INDEX('Room Info'!$A$2:$A2446, MATCH(B1685,'Room Info'!$E$2:$E2446, 0)),IF(G1685='Room Info'!$F$1, INDEX('Room Info'!$A$2:$A2446, MATCH(B1685,'Room Info'!$F$2:$F2446, 0)),IF(G1685='Room Info'!$H$1, INDEX('Room Info'!$A$2:$A2446, MATCH(B1685,'Room Info'!$H$2:$H2446, 0)),IF(G1685='Room Info'!$G$1, INDEX('Room Info'!$A$2:$A2446, MATCH(B1685,'Room Info'!$G$2:$G2446, 0)))))))))</f>
        <v>0</v>
      </c>
      <c r="B1685" s="96"/>
      <c r="C1685" s="136"/>
      <c r="D1685" s="136"/>
      <c r="E1685" s="137"/>
      <c r="F1685" s="133"/>
      <c r="G1685" s="96"/>
      <c r="H1685" s="100"/>
      <c r="I1685" s="100"/>
      <c r="J1685" s="39" t="s">
        <v>334</v>
      </c>
      <c r="K1685" s="134"/>
      <c r="L1685" s="135"/>
      <c r="M1685" s="79"/>
      <c r="N1685" s="28" t="e">
        <f t="shared" si="8"/>
        <v>#VALUE!</v>
      </c>
      <c r="O1685" s="96"/>
      <c r="P1685" s="29" t="s">
        <v>334</v>
      </c>
      <c r="Q1685" s="55"/>
      <c r="R1685" s="31" t="e">
        <f t="shared" si="9"/>
        <v>#VALUE!</v>
      </c>
      <c r="S1685" s="97"/>
      <c r="T1685" s="32" t="e">
        <f t="shared" si="10"/>
        <v>#VALUE!</v>
      </c>
      <c r="U1685" s="57"/>
      <c r="V1685" s="58"/>
      <c r="W1685" s="58"/>
      <c r="X1685" s="30" t="e">
        <f t="shared" si="11"/>
        <v>#N/A</v>
      </c>
      <c r="Y1685" s="30" t="e">
        <f t="shared" si="12"/>
        <v>#N/A</v>
      </c>
      <c r="Z1685" s="35" t="e">
        <f t="shared" si="13"/>
        <v>#VALUE!</v>
      </c>
      <c r="AA1685" s="29" t="e">
        <f t="shared" si="14"/>
        <v>#VALUE!</v>
      </c>
      <c r="AB1685" s="36" t="e">
        <f t="shared" si="15"/>
        <v>#VALUE!</v>
      </c>
      <c r="AC1685" s="37" t="b">
        <v>0</v>
      </c>
      <c r="AD1685" s="61" t="str">
        <f t="shared" si="16"/>
        <v>USD</v>
      </c>
      <c r="AE1685" s="37"/>
      <c r="AF1685" s="37" t="e">
        <f t="array" ref="AF1685">INDEX('Deal Info'!D:D, MATCH(A1685,'Deal Info'!A:A, 0))</f>
        <v>#N/A</v>
      </c>
      <c r="AG1685" s="38" t="e">
        <f t="array" ref="AG1685">INDEX('Deal Info'!G:G, MATCH(A1685,'Deal Info'!A:A, 0))</f>
        <v>#N/A</v>
      </c>
    </row>
    <row r="1686" spans="1:33" ht="14.25" hidden="1" x14ac:dyDescent="0.2">
      <c r="A1686" s="18" t="b">
        <f t="array" ref="A1686">IF(G1686='Room Info'!$B$1, INDEX('Room Info'!$A$2:$A2446, MATCH(B1686,'Room Info'!$B$2:$B2446, 0)),IF(G1686='Room Info'!$C$1, INDEX('Room Info'!$A$2:$A2446, MATCH(B1686,'Room Info'!$C$2:$C2446, 0)),IF(G1686='Room Info'!$D$1, INDEX('Room Info'!$A$2:$A2446, MATCH(B1686,'Room Info'!$D$2:$D2446, 0)),IF(G1686='Room Info'!$E$1, INDEX('Room Info'!$A$2:$A2446, MATCH(B1686,'Room Info'!$E$2:$E2446, 0)),IF(G1686='Room Info'!$F$1, INDEX('Room Info'!$A$2:$A2446, MATCH(B1686,'Room Info'!$F$2:$F2446, 0)),IF(G1686='Room Info'!$H$1, INDEX('Room Info'!$A$2:$A2446, MATCH(B1686,'Room Info'!$H$2:$H2446, 0)),IF(G1686='Room Info'!$G$1, INDEX('Room Info'!$A$2:$A2446, MATCH(B1686,'Room Info'!$G$2:$G2446, 0)))))))))</f>
        <v>0</v>
      </c>
      <c r="B1686" s="96"/>
      <c r="C1686" s="136"/>
      <c r="D1686" s="136"/>
      <c r="E1686" s="137"/>
      <c r="F1686" s="133"/>
      <c r="G1686" s="96"/>
      <c r="H1686" s="100"/>
      <c r="I1686" s="100"/>
      <c r="J1686" s="39" t="s">
        <v>334</v>
      </c>
      <c r="K1686" s="134"/>
      <c r="L1686" s="135"/>
      <c r="M1686" s="79"/>
      <c r="N1686" s="28" t="e">
        <f t="shared" si="8"/>
        <v>#VALUE!</v>
      </c>
      <c r="O1686" s="96"/>
      <c r="P1686" s="29" t="s">
        <v>334</v>
      </c>
      <c r="Q1686" s="55"/>
      <c r="R1686" s="31" t="e">
        <f t="shared" si="9"/>
        <v>#VALUE!</v>
      </c>
      <c r="S1686" s="97"/>
      <c r="T1686" s="32" t="e">
        <f t="shared" si="10"/>
        <v>#VALUE!</v>
      </c>
      <c r="U1686" s="57"/>
      <c r="V1686" s="58"/>
      <c r="W1686" s="58"/>
      <c r="X1686" s="30" t="e">
        <f t="shared" si="11"/>
        <v>#N/A</v>
      </c>
      <c r="Y1686" s="30" t="e">
        <f t="shared" si="12"/>
        <v>#N/A</v>
      </c>
      <c r="Z1686" s="35" t="e">
        <f t="shared" si="13"/>
        <v>#VALUE!</v>
      </c>
      <c r="AA1686" s="29" t="e">
        <f t="shared" si="14"/>
        <v>#VALUE!</v>
      </c>
      <c r="AB1686" s="36" t="e">
        <f t="shared" si="15"/>
        <v>#VALUE!</v>
      </c>
      <c r="AC1686" s="37" t="b">
        <v>0</v>
      </c>
      <c r="AD1686" s="61" t="str">
        <f t="shared" si="16"/>
        <v>USD</v>
      </c>
      <c r="AE1686" s="37"/>
      <c r="AF1686" s="37" t="e">
        <f t="array" ref="AF1686">INDEX('Deal Info'!D:D, MATCH(A1686,'Deal Info'!A:A, 0))</f>
        <v>#N/A</v>
      </c>
      <c r="AG1686" s="38" t="e">
        <f t="array" ref="AG1686">INDEX('Deal Info'!G:G, MATCH(A1686,'Deal Info'!A:A, 0))</f>
        <v>#N/A</v>
      </c>
    </row>
    <row r="1687" spans="1:33" ht="14.25" hidden="1" x14ac:dyDescent="0.2">
      <c r="A1687" s="18" t="b">
        <f t="array" ref="A1687">IF(G1687='Room Info'!$B$1, INDEX('Room Info'!$A$2:$A2446, MATCH(B1687,'Room Info'!$B$2:$B2446, 0)),IF(G1687='Room Info'!$C$1, INDEX('Room Info'!$A$2:$A2446, MATCH(B1687,'Room Info'!$C$2:$C2446, 0)),IF(G1687='Room Info'!$D$1, INDEX('Room Info'!$A$2:$A2446, MATCH(B1687,'Room Info'!$D$2:$D2446, 0)),IF(G1687='Room Info'!$E$1, INDEX('Room Info'!$A$2:$A2446, MATCH(B1687,'Room Info'!$E$2:$E2446, 0)),IF(G1687='Room Info'!$F$1, INDEX('Room Info'!$A$2:$A2446, MATCH(B1687,'Room Info'!$F$2:$F2446, 0)),IF(G1687='Room Info'!$H$1, INDEX('Room Info'!$A$2:$A2446, MATCH(B1687,'Room Info'!$H$2:$H2446, 0)),IF(G1687='Room Info'!$G$1, INDEX('Room Info'!$A$2:$A2446, MATCH(B1687,'Room Info'!$G$2:$G2446, 0)))))))))</f>
        <v>0</v>
      </c>
      <c r="B1687" s="96"/>
      <c r="C1687" s="136"/>
      <c r="D1687" s="136"/>
      <c r="E1687" s="137"/>
      <c r="F1687" s="133"/>
      <c r="G1687" s="96"/>
      <c r="H1687" s="100"/>
      <c r="I1687" s="100"/>
      <c r="J1687" s="39" t="s">
        <v>334</v>
      </c>
      <c r="K1687" s="134"/>
      <c r="L1687" s="135"/>
      <c r="M1687" s="79"/>
      <c r="N1687" s="28" t="e">
        <f t="shared" si="8"/>
        <v>#VALUE!</v>
      </c>
      <c r="O1687" s="96"/>
      <c r="P1687" s="29" t="s">
        <v>334</v>
      </c>
      <c r="Q1687" s="55"/>
      <c r="R1687" s="31" t="e">
        <f t="shared" si="9"/>
        <v>#VALUE!</v>
      </c>
      <c r="S1687" s="97"/>
      <c r="T1687" s="32" t="e">
        <f t="shared" si="10"/>
        <v>#VALUE!</v>
      </c>
      <c r="U1687" s="57"/>
      <c r="V1687" s="58"/>
      <c r="W1687" s="58"/>
      <c r="X1687" s="30" t="e">
        <f t="shared" si="11"/>
        <v>#N/A</v>
      </c>
      <c r="Y1687" s="30" t="e">
        <f t="shared" si="12"/>
        <v>#N/A</v>
      </c>
      <c r="Z1687" s="35" t="e">
        <f t="shared" si="13"/>
        <v>#VALUE!</v>
      </c>
      <c r="AA1687" s="29" t="e">
        <f t="shared" si="14"/>
        <v>#VALUE!</v>
      </c>
      <c r="AB1687" s="36" t="e">
        <f t="shared" si="15"/>
        <v>#VALUE!</v>
      </c>
      <c r="AC1687" s="37" t="b">
        <v>0</v>
      </c>
      <c r="AD1687" s="61" t="str">
        <f t="shared" si="16"/>
        <v>USD</v>
      </c>
      <c r="AE1687" s="37"/>
      <c r="AF1687" s="37" t="e">
        <f t="array" ref="AF1687">INDEX('Deal Info'!D:D, MATCH(A1687,'Deal Info'!A:A, 0))</f>
        <v>#N/A</v>
      </c>
      <c r="AG1687" s="38" t="e">
        <f t="array" ref="AG1687">INDEX('Deal Info'!G:G, MATCH(A1687,'Deal Info'!A:A, 0))</f>
        <v>#N/A</v>
      </c>
    </row>
    <row r="1688" spans="1:33" ht="14.25" hidden="1" x14ac:dyDescent="0.2">
      <c r="A1688" s="18" t="b">
        <f t="array" ref="A1688">IF(G1688='Room Info'!$B$1, INDEX('Room Info'!$A$2:$A2446, MATCH(B1688,'Room Info'!$B$2:$B2446, 0)),IF(G1688='Room Info'!$C$1, INDEX('Room Info'!$A$2:$A2446, MATCH(B1688,'Room Info'!$C$2:$C2446, 0)),IF(G1688='Room Info'!$D$1, INDEX('Room Info'!$A$2:$A2446, MATCH(B1688,'Room Info'!$D$2:$D2446, 0)),IF(G1688='Room Info'!$E$1, INDEX('Room Info'!$A$2:$A2446, MATCH(B1688,'Room Info'!$E$2:$E2446, 0)),IF(G1688='Room Info'!$F$1, INDEX('Room Info'!$A$2:$A2446, MATCH(B1688,'Room Info'!$F$2:$F2446, 0)),IF(G1688='Room Info'!$H$1, INDEX('Room Info'!$A$2:$A2446, MATCH(B1688,'Room Info'!$H$2:$H2446, 0)),IF(G1688='Room Info'!$G$1, INDEX('Room Info'!$A$2:$A2446, MATCH(B1688,'Room Info'!$G$2:$G2446, 0)))))))))</f>
        <v>0</v>
      </c>
      <c r="B1688" s="96"/>
      <c r="C1688" s="111"/>
      <c r="D1688" s="111"/>
      <c r="E1688" s="80"/>
      <c r="F1688" s="133"/>
      <c r="G1688" s="96"/>
      <c r="H1688" s="110"/>
      <c r="I1688" s="110"/>
      <c r="J1688" s="39" t="s">
        <v>334</v>
      </c>
      <c r="K1688" s="112"/>
      <c r="L1688" s="113"/>
      <c r="M1688" s="62"/>
      <c r="N1688" s="28" t="e">
        <f t="shared" si="8"/>
        <v>#VALUE!</v>
      </c>
      <c r="O1688" s="65"/>
      <c r="P1688" s="29" t="s">
        <v>334</v>
      </c>
      <c r="Q1688" s="55"/>
      <c r="R1688" s="31" t="e">
        <f t="shared" si="9"/>
        <v>#VALUE!</v>
      </c>
      <c r="S1688" s="66"/>
      <c r="T1688" s="32" t="e">
        <f t="shared" si="10"/>
        <v>#VALUE!</v>
      </c>
      <c r="U1688" s="57"/>
      <c r="V1688" s="58"/>
      <c r="W1688" s="58"/>
      <c r="X1688" s="30" t="e">
        <f t="shared" si="11"/>
        <v>#N/A</v>
      </c>
      <c r="Y1688" s="30" t="e">
        <f t="shared" si="12"/>
        <v>#N/A</v>
      </c>
      <c r="Z1688" s="35" t="e">
        <f t="shared" si="13"/>
        <v>#VALUE!</v>
      </c>
      <c r="AA1688" s="29" t="e">
        <f t="shared" si="14"/>
        <v>#VALUE!</v>
      </c>
      <c r="AB1688" s="36" t="e">
        <f t="shared" si="15"/>
        <v>#VALUE!</v>
      </c>
      <c r="AC1688" s="37" t="b">
        <v>0</v>
      </c>
      <c r="AD1688" s="61" t="str">
        <f t="shared" si="16"/>
        <v>USD</v>
      </c>
      <c r="AE1688" s="37"/>
      <c r="AF1688" s="37" t="e">
        <f t="array" ref="AF1688">INDEX('Deal Info'!D:D, MATCH(A1688,'Deal Info'!A:A, 0))</f>
        <v>#N/A</v>
      </c>
      <c r="AG1688" s="38" t="e">
        <f t="array" ref="AG1688">INDEX('Deal Info'!G:G, MATCH(A1688,'Deal Info'!A:A, 0))</f>
        <v>#N/A</v>
      </c>
    </row>
    <row r="1689" spans="1:33" ht="14.25" hidden="1" x14ac:dyDescent="0.2">
      <c r="A1689" s="18" t="b">
        <f t="array" ref="A1689">IF(G1689='Room Info'!$B$1, INDEX('Room Info'!$A$2:$A2446, MATCH(B1689,'Room Info'!$B$2:$B2446, 0)),IF(G1689='Room Info'!$C$1, INDEX('Room Info'!$A$2:$A2446, MATCH(B1689,'Room Info'!$C$2:$C2446, 0)),IF(G1689='Room Info'!$D$1, INDEX('Room Info'!$A$2:$A2446, MATCH(B1689,'Room Info'!$D$2:$D2446, 0)),IF(G1689='Room Info'!$E$1, INDEX('Room Info'!$A$2:$A2446, MATCH(B1689,'Room Info'!$E$2:$E2446, 0)),IF(G1689='Room Info'!$F$1, INDEX('Room Info'!$A$2:$A2446, MATCH(B1689,'Room Info'!$F$2:$F2446, 0)),IF(G1689='Room Info'!$H$1, INDEX('Room Info'!$A$2:$A2446, MATCH(B1689,'Room Info'!$H$2:$H2446, 0)),IF(G1689='Room Info'!$G$1, INDEX('Room Info'!$A$2:$A2446, MATCH(B1689,'Room Info'!$G$2:$G2446, 0)))))))))</f>
        <v>0</v>
      </c>
      <c r="B1689" s="96"/>
      <c r="C1689" s="111"/>
      <c r="D1689" s="111"/>
      <c r="E1689" s="80"/>
      <c r="F1689" s="133"/>
      <c r="G1689" s="96"/>
      <c r="H1689" s="110"/>
      <c r="I1689" s="110"/>
      <c r="J1689" s="39" t="s">
        <v>334</v>
      </c>
      <c r="K1689" s="112"/>
      <c r="L1689" s="113"/>
      <c r="M1689" s="62"/>
      <c r="N1689" s="28" t="e">
        <f t="shared" si="8"/>
        <v>#VALUE!</v>
      </c>
      <c r="O1689" s="65"/>
      <c r="P1689" s="29" t="s">
        <v>334</v>
      </c>
      <c r="Q1689" s="55"/>
      <c r="R1689" s="31" t="e">
        <f t="shared" si="9"/>
        <v>#VALUE!</v>
      </c>
      <c r="S1689" s="66"/>
      <c r="T1689" s="32" t="e">
        <f t="shared" si="10"/>
        <v>#VALUE!</v>
      </c>
      <c r="U1689" s="57"/>
      <c r="V1689" s="58"/>
      <c r="W1689" s="58"/>
      <c r="X1689" s="30" t="e">
        <f t="shared" si="11"/>
        <v>#N/A</v>
      </c>
      <c r="Y1689" s="30" t="e">
        <f t="shared" si="12"/>
        <v>#N/A</v>
      </c>
      <c r="Z1689" s="35" t="e">
        <f t="shared" si="13"/>
        <v>#VALUE!</v>
      </c>
      <c r="AA1689" s="29" t="e">
        <f t="shared" si="14"/>
        <v>#VALUE!</v>
      </c>
      <c r="AB1689" s="36" t="e">
        <f t="shared" si="15"/>
        <v>#VALUE!</v>
      </c>
      <c r="AC1689" s="37" t="b">
        <v>0</v>
      </c>
      <c r="AD1689" s="61" t="str">
        <f t="shared" si="16"/>
        <v>USD</v>
      </c>
      <c r="AE1689" s="37"/>
      <c r="AF1689" s="37" t="e">
        <f t="array" ref="AF1689">INDEX('Deal Info'!D:D, MATCH(A1689,'Deal Info'!A:A, 0))</f>
        <v>#N/A</v>
      </c>
      <c r="AG1689" s="38" t="e">
        <f t="array" ref="AG1689">INDEX('Deal Info'!G:G, MATCH(A1689,'Deal Info'!A:A, 0))</f>
        <v>#N/A</v>
      </c>
    </row>
    <row r="1690" spans="1:33" ht="14.25" hidden="1" x14ac:dyDescent="0.2">
      <c r="A1690" s="18" t="b">
        <f t="array" ref="A1690">IF(G1690='Room Info'!$B$1, INDEX('Room Info'!$A$2:$A2446, MATCH(B1690,'Room Info'!$B$2:$B2446, 0)),IF(G1690='Room Info'!$C$1, INDEX('Room Info'!$A$2:$A2446, MATCH(B1690,'Room Info'!$C$2:$C2446, 0)),IF(G1690='Room Info'!$D$1, INDEX('Room Info'!$A$2:$A2446, MATCH(B1690,'Room Info'!$D$2:$D2446, 0)),IF(G1690='Room Info'!$E$1, INDEX('Room Info'!$A$2:$A2446, MATCH(B1690,'Room Info'!$E$2:$E2446, 0)),IF(G1690='Room Info'!$F$1, INDEX('Room Info'!$A$2:$A2446, MATCH(B1690,'Room Info'!$F$2:$F2446, 0)),IF(G1690='Room Info'!$H$1, INDEX('Room Info'!$A$2:$A2446, MATCH(B1690,'Room Info'!$H$2:$H2446, 0)),IF(G1690='Room Info'!$G$1, INDEX('Room Info'!$A$2:$A2446, MATCH(B1690,'Room Info'!$G$2:$G2446, 0)))))))))</f>
        <v>0</v>
      </c>
      <c r="B1690" s="96"/>
      <c r="C1690" s="111"/>
      <c r="D1690" s="111"/>
      <c r="E1690" s="80"/>
      <c r="F1690" s="133"/>
      <c r="G1690" s="96"/>
      <c r="H1690" s="110"/>
      <c r="I1690" s="110"/>
      <c r="J1690" s="39" t="s">
        <v>334</v>
      </c>
      <c r="K1690" s="112"/>
      <c r="L1690" s="113"/>
      <c r="M1690" s="62"/>
      <c r="N1690" s="28" t="e">
        <f t="shared" si="8"/>
        <v>#VALUE!</v>
      </c>
      <c r="O1690" s="65"/>
      <c r="P1690" s="29" t="s">
        <v>334</v>
      </c>
      <c r="Q1690" s="55"/>
      <c r="R1690" s="31" t="e">
        <f t="shared" si="9"/>
        <v>#VALUE!</v>
      </c>
      <c r="S1690" s="66"/>
      <c r="T1690" s="32" t="e">
        <f t="shared" si="10"/>
        <v>#VALUE!</v>
      </c>
      <c r="U1690" s="57"/>
      <c r="V1690" s="58"/>
      <c r="W1690" s="58"/>
      <c r="X1690" s="30" t="e">
        <f t="shared" si="11"/>
        <v>#N/A</v>
      </c>
      <c r="Y1690" s="30" t="e">
        <f t="shared" si="12"/>
        <v>#N/A</v>
      </c>
      <c r="Z1690" s="35" t="e">
        <f t="shared" si="13"/>
        <v>#VALUE!</v>
      </c>
      <c r="AA1690" s="29" t="e">
        <f t="shared" si="14"/>
        <v>#VALUE!</v>
      </c>
      <c r="AB1690" s="36" t="e">
        <f t="shared" si="15"/>
        <v>#VALUE!</v>
      </c>
      <c r="AC1690" s="37" t="b">
        <v>0</v>
      </c>
      <c r="AD1690" s="61" t="str">
        <f t="shared" si="16"/>
        <v>USD</v>
      </c>
      <c r="AE1690" s="37"/>
      <c r="AF1690" s="37" t="e">
        <f t="array" ref="AF1690">INDEX('Deal Info'!D:D, MATCH(A1690,'Deal Info'!A:A, 0))</f>
        <v>#N/A</v>
      </c>
      <c r="AG1690" s="38" t="e">
        <f t="array" ref="AG1690">INDEX('Deal Info'!G:G, MATCH(A1690,'Deal Info'!A:A, 0))</f>
        <v>#N/A</v>
      </c>
    </row>
    <row r="1691" spans="1:33" ht="14.25" hidden="1" x14ac:dyDescent="0.2">
      <c r="A1691" s="18" t="b">
        <f t="array" ref="A1691">IF(G1691='Room Info'!$B$1, INDEX('Room Info'!$A$2:$A2446, MATCH(B1691,'Room Info'!$B$2:$B2446, 0)),IF(G1691='Room Info'!$C$1, INDEX('Room Info'!$A$2:$A2446, MATCH(B1691,'Room Info'!$C$2:$C2446, 0)),IF(G1691='Room Info'!$D$1, INDEX('Room Info'!$A$2:$A2446, MATCH(B1691,'Room Info'!$D$2:$D2446, 0)),IF(G1691='Room Info'!$E$1, INDEX('Room Info'!$A$2:$A2446, MATCH(B1691,'Room Info'!$E$2:$E2446, 0)),IF(G1691='Room Info'!$F$1, INDEX('Room Info'!$A$2:$A2446, MATCH(B1691,'Room Info'!$F$2:$F2446, 0)),IF(G1691='Room Info'!$H$1, INDEX('Room Info'!$A$2:$A2446, MATCH(B1691,'Room Info'!$H$2:$H2446, 0)),IF(G1691='Room Info'!$G$1, INDEX('Room Info'!$A$2:$A2446, MATCH(B1691,'Room Info'!$G$2:$G2446, 0)))))))))</f>
        <v>0</v>
      </c>
      <c r="B1691" s="96"/>
      <c r="C1691" s="111"/>
      <c r="D1691" s="111"/>
      <c r="E1691" s="80"/>
      <c r="F1691" s="133"/>
      <c r="G1691" s="96"/>
      <c r="H1691" s="110"/>
      <c r="I1691" s="110"/>
      <c r="J1691" s="39" t="s">
        <v>334</v>
      </c>
      <c r="K1691" s="112"/>
      <c r="L1691" s="113"/>
      <c r="M1691" s="62"/>
      <c r="N1691" s="28" t="e">
        <f t="shared" si="8"/>
        <v>#VALUE!</v>
      </c>
      <c r="O1691" s="65"/>
      <c r="P1691" s="29" t="s">
        <v>334</v>
      </c>
      <c r="Q1691" s="55"/>
      <c r="R1691" s="31" t="e">
        <f t="shared" si="9"/>
        <v>#VALUE!</v>
      </c>
      <c r="S1691" s="66"/>
      <c r="T1691" s="32" t="e">
        <f t="shared" si="10"/>
        <v>#VALUE!</v>
      </c>
      <c r="U1691" s="57"/>
      <c r="V1691" s="58"/>
      <c r="W1691" s="58"/>
      <c r="X1691" s="30" t="e">
        <f t="shared" si="11"/>
        <v>#N/A</v>
      </c>
      <c r="Y1691" s="30" t="e">
        <f t="shared" si="12"/>
        <v>#N/A</v>
      </c>
      <c r="Z1691" s="35" t="e">
        <f t="shared" si="13"/>
        <v>#VALUE!</v>
      </c>
      <c r="AA1691" s="29" t="e">
        <f t="shared" si="14"/>
        <v>#VALUE!</v>
      </c>
      <c r="AB1691" s="36" t="e">
        <f t="shared" si="15"/>
        <v>#VALUE!</v>
      </c>
      <c r="AC1691" s="37" t="b">
        <v>0</v>
      </c>
      <c r="AD1691" s="61" t="str">
        <f t="shared" si="16"/>
        <v>USD</v>
      </c>
      <c r="AE1691" s="37"/>
      <c r="AF1691" s="37" t="e">
        <f t="array" ref="AF1691">INDEX('Deal Info'!D:D, MATCH(A1691,'Deal Info'!A:A, 0))</f>
        <v>#N/A</v>
      </c>
      <c r="AG1691" s="38" t="e">
        <f t="array" ref="AG1691">INDEX('Deal Info'!G:G, MATCH(A1691,'Deal Info'!A:A, 0))</f>
        <v>#N/A</v>
      </c>
    </row>
    <row r="1692" spans="1:33" ht="14.25" hidden="1" x14ac:dyDescent="0.2">
      <c r="A1692" s="18" t="b">
        <f t="array" ref="A1692">IF(G1692='Room Info'!$B$1, INDEX('Room Info'!$A$2:$A2446, MATCH(B1692,'Room Info'!$B$2:$B2446, 0)),IF(G1692='Room Info'!$C$1, INDEX('Room Info'!$A$2:$A2446, MATCH(B1692,'Room Info'!$C$2:$C2446, 0)),IF(G1692='Room Info'!$D$1, INDEX('Room Info'!$A$2:$A2446, MATCH(B1692,'Room Info'!$D$2:$D2446, 0)),IF(G1692='Room Info'!$E$1, INDEX('Room Info'!$A$2:$A2446, MATCH(B1692,'Room Info'!$E$2:$E2446, 0)),IF(G1692='Room Info'!$F$1, INDEX('Room Info'!$A$2:$A2446, MATCH(B1692,'Room Info'!$F$2:$F2446, 0)),IF(G1692='Room Info'!$H$1, INDEX('Room Info'!$A$2:$A2446, MATCH(B1692,'Room Info'!$H$2:$H2446, 0)),IF(G1692='Room Info'!$G$1, INDEX('Room Info'!$A$2:$A2446, MATCH(B1692,'Room Info'!$G$2:$G2446, 0)))))))))</f>
        <v>0</v>
      </c>
      <c r="B1692" s="96"/>
      <c r="C1692" s="111"/>
      <c r="D1692" s="111"/>
      <c r="E1692" s="80"/>
      <c r="F1692" s="133"/>
      <c r="G1692" s="96"/>
      <c r="H1692" s="110"/>
      <c r="I1692" s="110"/>
      <c r="J1692" s="39" t="s">
        <v>334</v>
      </c>
      <c r="K1692" s="112"/>
      <c r="L1692" s="113"/>
      <c r="M1692" s="62"/>
      <c r="N1692" s="28" t="e">
        <f t="shared" si="8"/>
        <v>#VALUE!</v>
      </c>
      <c r="O1692" s="65"/>
      <c r="P1692" s="29" t="s">
        <v>334</v>
      </c>
      <c r="Q1692" s="55"/>
      <c r="R1692" s="31" t="e">
        <f t="shared" si="9"/>
        <v>#VALUE!</v>
      </c>
      <c r="S1692" s="66"/>
      <c r="T1692" s="32" t="e">
        <f t="shared" si="10"/>
        <v>#VALUE!</v>
      </c>
      <c r="U1692" s="57"/>
      <c r="V1692" s="58"/>
      <c r="W1692" s="58"/>
      <c r="X1692" s="30" t="e">
        <f t="shared" si="11"/>
        <v>#N/A</v>
      </c>
      <c r="Y1692" s="30" t="e">
        <f t="shared" si="12"/>
        <v>#N/A</v>
      </c>
      <c r="Z1692" s="35" t="e">
        <f t="shared" si="13"/>
        <v>#VALUE!</v>
      </c>
      <c r="AA1692" s="29" t="e">
        <f t="shared" si="14"/>
        <v>#VALUE!</v>
      </c>
      <c r="AB1692" s="36" t="e">
        <f t="shared" si="15"/>
        <v>#VALUE!</v>
      </c>
      <c r="AC1692" s="37" t="b">
        <v>0</v>
      </c>
      <c r="AD1692" s="61" t="str">
        <f t="shared" si="16"/>
        <v>USD</v>
      </c>
      <c r="AE1692" s="37"/>
      <c r="AF1692" s="37" t="e">
        <f t="array" ref="AF1692">INDEX('Deal Info'!D:D, MATCH(A1692,'Deal Info'!A:A, 0))</f>
        <v>#N/A</v>
      </c>
      <c r="AG1692" s="38" t="e">
        <f t="array" ref="AG1692">INDEX('Deal Info'!G:G, MATCH(A1692,'Deal Info'!A:A, 0))</f>
        <v>#N/A</v>
      </c>
    </row>
    <row r="1693" spans="1:33" ht="14.25" hidden="1" x14ac:dyDescent="0.2">
      <c r="A1693" s="18" t="b">
        <f t="array" ref="A1693">IF(G1693='Room Info'!$B$1, INDEX('Room Info'!$A$2:$A2446, MATCH(B1693,'Room Info'!$B$2:$B2446, 0)),IF(G1693='Room Info'!$C$1, INDEX('Room Info'!$A$2:$A2446, MATCH(B1693,'Room Info'!$C$2:$C2446, 0)),IF(G1693='Room Info'!$D$1, INDEX('Room Info'!$A$2:$A2446, MATCH(B1693,'Room Info'!$D$2:$D2446, 0)),IF(G1693='Room Info'!$E$1, INDEX('Room Info'!$A$2:$A2446, MATCH(B1693,'Room Info'!$E$2:$E2446, 0)),IF(G1693='Room Info'!$F$1, INDEX('Room Info'!$A$2:$A2446, MATCH(B1693,'Room Info'!$F$2:$F2446, 0)),IF(G1693='Room Info'!$H$1, INDEX('Room Info'!$A$2:$A2446, MATCH(B1693,'Room Info'!$H$2:$H2446, 0)),IF(G1693='Room Info'!$G$1, INDEX('Room Info'!$A$2:$A2446, MATCH(B1693,'Room Info'!$G$2:$G2446, 0)))))))))</f>
        <v>0</v>
      </c>
      <c r="B1693" s="96"/>
      <c r="C1693" s="111"/>
      <c r="D1693" s="111"/>
      <c r="E1693" s="80"/>
      <c r="F1693" s="133"/>
      <c r="G1693" s="96"/>
      <c r="H1693" s="110"/>
      <c r="I1693" s="110"/>
      <c r="J1693" s="39" t="s">
        <v>334</v>
      </c>
      <c r="K1693" s="112"/>
      <c r="L1693" s="113"/>
      <c r="M1693" s="62"/>
      <c r="N1693" s="28" t="e">
        <f t="shared" si="8"/>
        <v>#VALUE!</v>
      </c>
      <c r="O1693" s="65"/>
      <c r="P1693" s="29" t="s">
        <v>334</v>
      </c>
      <c r="Q1693" s="55"/>
      <c r="R1693" s="31" t="e">
        <f t="shared" si="9"/>
        <v>#VALUE!</v>
      </c>
      <c r="S1693" s="66"/>
      <c r="T1693" s="32" t="e">
        <f t="shared" si="10"/>
        <v>#VALUE!</v>
      </c>
      <c r="U1693" s="57"/>
      <c r="V1693" s="58"/>
      <c r="W1693" s="58"/>
      <c r="X1693" s="30" t="e">
        <f t="shared" si="11"/>
        <v>#N/A</v>
      </c>
      <c r="Y1693" s="30" t="e">
        <f t="shared" si="12"/>
        <v>#N/A</v>
      </c>
      <c r="Z1693" s="35" t="e">
        <f t="shared" si="13"/>
        <v>#VALUE!</v>
      </c>
      <c r="AA1693" s="29" t="e">
        <f t="shared" si="14"/>
        <v>#VALUE!</v>
      </c>
      <c r="AB1693" s="36" t="e">
        <f t="shared" si="15"/>
        <v>#VALUE!</v>
      </c>
      <c r="AC1693" s="37" t="b">
        <v>0</v>
      </c>
      <c r="AD1693" s="61" t="str">
        <f t="shared" si="16"/>
        <v>USD</v>
      </c>
      <c r="AE1693" s="37"/>
      <c r="AF1693" s="37" t="e">
        <f t="array" ref="AF1693">INDEX('Deal Info'!D:D, MATCH(A1693,'Deal Info'!A:A, 0))</f>
        <v>#N/A</v>
      </c>
      <c r="AG1693" s="38" t="e">
        <f t="array" ref="AG1693">INDEX('Deal Info'!G:G, MATCH(A1693,'Deal Info'!A:A, 0))</f>
        <v>#N/A</v>
      </c>
    </row>
    <row r="1694" spans="1:33" ht="14.25" hidden="1" x14ac:dyDescent="0.2">
      <c r="A1694" s="18" t="b">
        <f t="array" ref="A1694">IF(G1694='Room Info'!$B$1, INDEX('Room Info'!$A$2:$A2446, MATCH(B1694,'Room Info'!$B$2:$B2446, 0)),IF(G1694='Room Info'!$C$1, INDEX('Room Info'!$A$2:$A2446, MATCH(B1694,'Room Info'!$C$2:$C2446, 0)),IF(G1694='Room Info'!$D$1, INDEX('Room Info'!$A$2:$A2446, MATCH(B1694,'Room Info'!$D$2:$D2446, 0)),IF(G1694='Room Info'!$E$1, INDEX('Room Info'!$A$2:$A2446, MATCH(B1694,'Room Info'!$E$2:$E2446, 0)),IF(G1694='Room Info'!$F$1, INDEX('Room Info'!$A$2:$A2446, MATCH(B1694,'Room Info'!$F$2:$F2446, 0)),IF(G1694='Room Info'!$H$1, INDEX('Room Info'!$A$2:$A2446, MATCH(B1694,'Room Info'!$H$2:$H2446, 0)),IF(G1694='Room Info'!$G$1, INDEX('Room Info'!$A$2:$A2446, MATCH(B1694,'Room Info'!$G$2:$G2446, 0)))))))))</f>
        <v>0</v>
      </c>
      <c r="B1694" s="96"/>
      <c r="C1694" s="111"/>
      <c r="D1694" s="111"/>
      <c r="E1694" s="80"/>
      <c r="F1694" s="133"/>
      <c r="G1694" s="96"/>
      <c r="H1694" s="110"/>
      <c r="I1694" s="110"/>
      <c r="J1694" s="39" t="s">
        <v>334</v>
      </c>
      <c r="K1694" s="112"/>
      <c r="L1694" s="113"/>
      <c r="M1694" s="62"/>
      <c r="N1694" s="28" t="e">
        <f t="shared" si="8"/>
        <v>#VALUE!</v>
      </c>
      <c r="O1694" s="65"/>
      <c r="P1694" s="29" t="s">
        <v>334</v>
      </c>
      <c r="Q1694" s="55"/>
      <c r="R1694" s="31" t="e">
        <f t="shared" si="9"/>
        <v>#VALUE!</v>
      </c>
      <c r="S1694" s="66"/>
      <c r="T1694" s="32" t="e">
        <f t="shared" si="10"/>
        <v>#VALUE!</v>
      </c>
      <c r="U1694" s="57"/>
      <c r="V1694" s="58"/>
      <c r="W1694" s="58"/>
      <c r="X1694" s="30" t="e">
        <f t="shared" si="11"/>
        <v>#N/A</v>
      </c>
      <c r="Y1694" s="30" t="e">
        <f t="shared" si="12"/>
        <v>#N/A</v>
      </c>
      <c r="Z1694" s="35" t="e">
        <f t="shared" si="13"/>
        <v>#VALUE!</v>
      </c>
      <c r="AA1694" s="29" t="e">
        <f t="shared" si="14"/>
        <v>#VALUE!</v>
      </c>
      <c r="AB1694" s="36" t="e">
        <f t="shared" si="15"/>
        <v>#VALUE!</v>
      </c>
      <c r="AC1694" s="37" t="b">
        <v>0</v>
      </c>
      <c r="AD1694" s="61" t="str">
        <f t="shared" si="16"/>
        <v>USD</v>
      </c>
      <c r="AE1694" s="37"/>
      <c r="AF1694" s="37" t="e">
        <f t="array" ref="AF1694">INDEX('Deal Info'!D:D, MATCH(A1694,'Deal Info'!A:A, 0))</f>
        <v>#N/A</v>
      </c>
      <c r="AG1694" s="38" t="e">
        <f t="array" ref="AG1694">INDEX('Deal Info'!G:G, MATCH(A1694,'Deal Info'!A:A, 0))</f>
        <v>#N/A</v>
      </c>
    </row>
    <row r="1695" spans="1:33" ht="14.25" hidden="1" x14ac:dyDescent="0.2">
      <c r="A1695" s="18" t="b">
        <f t="array" ref="A1695">IF(G1695='Room Info'!$B$1, INDEX('Room Info'!$A$2:$A2446, MATCH(B1695,'Room Info'!$B$2:$B2446, 0)),IF(G1695='Room Info'!$C$1, INDEX('Room Info'!$A$2:$A2446, MATCH(B1695,'Room Info'!$C$2:$C2446, 0)),IF(G1695='Room Info'!$D$1, INDEX('Room Info'!$A$2:$A2446, MATCH(B1695,'Room Info'!$D$2:$D2446, 0)),IF(G1695='Room Info'!$E$1, INDEX('Room Info'!$A$2:$A2446, MATCH(B1695,'Room Info'!$E$2:$E2446, 0)),IF(G1695='Room Info'!$F$1, INDEX('Room Info'!$A$2:$A2446, MATCH(B1695,'Room Info'!$F$2:$F2446, 0)),IF(G1695='Room Info'!$H$1, INDEX('Room Info'!$A$2:$A2446, MATCH(B1695,'Room Info'!$H$2:$H2446, 0)),IF(G1695='Room Info'!$G$1, INDEX('Room Info'!$A$2:$A2446, MATCH(B1695,'Room Info'!$G$2:$G2446, 0)))))))))</f>
        <v>0</v>
      </c>
      <c r="B1695" s="96"/>
      <c r="C1695" s="111"/>
      <c r="D1695" s="111"/>
      <c r="E1695" s="80"/>
      <c r="F1695" s="133"/>
      <c r="G1695" s="96"/>
      <c r="H1695" s="110"/>
      <c r="I1695" s="110"/>
      <c r="J1695" s="39" t="s">
        <v>334</v>
      </c>
      <c r="K1695" s="112"/>
      <c r="L1695" s="113"/>
      <c r="M1695" s="62"/>
      <c r="N1695" s="28" t="e">
        <f t="shared" si="8"/>
        <v>#VALUE!</v>
      </c>
      <c r="O1695" s="65"/>
      <c r="P1695" s="29" t="s">
        <v>334</v>
      </c>
      <c r="Q1695" s="55"/>
      <c r="R1695" s="31" t="e">
        <f t="shared" si="9"/>
        <v>#VALUE!</v>
      </c>
      <c r="S1695" s="66"/>
      <c r="T1695" s="32" t="e">
        <f t="shared" si="10"/>
        <v>#VALUE!</v>
      </c>
      <c r="U1695" s="57"/>
      <c r="V1695" s="58"/>
      <c r="W1695" s="58"/>
      <c r="X1695" s="30" t="e">
        <f t="shared" si="11"/>
        <v>#N/A</v>
      </c>
      <c r="Y1695" s="30" t="e">
        <f t="shared" si="12"/>
        <v>#N/A</v>
      </c>
      <c r="Z1695" s="35" t="e">
        <f t="shared" si="13"/>
        <v>#VALUE!</v>
      </c>
      <c r="AA1695" s="29" t="e">
        <f t="shared" si="14"/>
        <v>#VALUE!</v>
      </c>
      <c r="AB1695" s="36" t="e">
        <f t="shared" si="15"/>
        <v>#VALUE!</v>
      </c>
      <c r="AC1695" s="37" t="b">
        <v>0</v>
      </c>
      <c r="AD1695" s="61" t="str">
        <f t="shared" si="16"/>
        <v>USD</v>
      </c>
      <c r="AE1695" s="37"/>
      <c r="AF1695" s="37" t="e">
        <f t="array" ref="AF1695">INDEX('Deal Info'!D:D, MATCH(A1695,'Deal Info'!A:A, 0))</f>
        <v>#N/A</v>
      </c>
      <c r="AG1695" s="38" t="e">
        <f t="array" ref="AG1695">INDEX('Deal Info'!G:G, MATCH(A1695,'Deal Info'!A:A, 0))</f>
        <v>#N/A</v>
      </c>
    </row>
    <row r="1696" spans="1:33" ht="14.25" hidden="1" x14ac:dyDescent="0.2">
      <c r="A1696" s="18" t="b">
        <f t="array" ref="A1696">IF(G1696='Room Info'!$B$1, INDEX('Room Info'!$A$2:$A2446, MATCH(B1696,'Room Info'!$B$2:$B2446, 0)),IF(G1696='Room Info'!$C$1, INDEX('Room Info'!$A$2:$A2446, MATCH(B1696,'Room Info'!$C$2:$C2446, 0)),IF(G1696='Room Info'!$D$1, INDEX('Room Info'!$A$2:$A2446, MATCH(B1696,'Room Info'!$D$2:$D2446, 0)),IF(G1696='Room Info'!$E$1, INDEX('Room Info'!$A$2:$A2446, MATCH(B1696,'Room Info'!$E$2:$E2446, 0)),IF(G1696='Room Info'!$F$1, INDEX('Room Info'!$A$2:$A2446, MATCH(B1696,'Room Info'!$F$2:$F2446, 0)),IF(G1696='Room Info'!$H$1, INDEX('Room Info'!$A$2:$A2446, MATCH(B1696,'Room Info'!$H$2:$H2446, 0)),IF(G1696='Room Info'!$G$1, INDEX('Room Info'!$A$2:$A2446, MATCH(B1696,'Room Info'!$G$2:$G2446, 0)))))))))</f>
        <v>0</v>
      </c>
      <c r="B1696" s="96"/>
      <c r="C1696" s="111"/>
      <c r="D1696" s="111"/>
      <c r="E1696" s="80"/>
      <c r="F1696" s="133"/>
      <c r="G1696" s="96"/>
      <c r="H1696" s="110"/>
      <c r="I1696" s="110"/>
      <c r="J1696" s="39" t="s">
        <v>334</v>
      </c>
      <c r="K1696" s="112"/>
      <c r="L1696" s="113"/>
      <c r="M1696" s="62"/>
      <c r="N1696" s="28" t="e">
        <f t="shared" si="8"/>
        <v>#VALUE!</v>
      </c>
      <c r="O1696" s="65"/>
      <c r="P1696" s="29" t="s">
        <v>334</v>
      </c>
      <c r="Q1696" s="55"/>
      <c r="R1696" s="31" t="e">
        <f t="shared" si="9"/>
        <v>#VALUE!</v>
      </c>
      <c r="S1696" s="66"/>
      <c r="T1696" s="32" t="e">
        <f t="shared" si="10"/>
        <v>#VALUE!</v>
      </c>
      <c r="U1696" s="57"/>
      <c r="V1696" s="58"/>
      <c r="W1696" s="58"/>
      <c r="X1696" s="30" t="e">
        <f t="shared" si="11"/>
        <v>#N/A</v>
      </c>
      <c r="Y1696" s="30" t="e">
        <f t="shared" si="12"/>
        <v>#N/A</v>
      </c>
      <c r="Z1696" s="35" t="e">
        <f t="shared" si="13"/>
        <v>#VALUE!</v>
      </c>
      <c r="AA1696" s="29" t="e">
        <f t="shared" si="14"/>
        <v>#VALUE!</v>
      </c>
      <c r="AB1696" s="36" t="e">
        <f t="shared" si="15"/>
        <v>#VALUE!</v>
      </c>
      <c r="AC1696" s="37" t="b">
        <v>0</v>
      </c>
      <c r="AD1696" s="61" t="str">
        <f t="shared" si="16"/>
        <v>USD</v>
      </c>
      <c r="AE1696" s="37"/>
      <c r="AF1696" s="37" t="e">
        <f t="array" ref="AF1696">INDEX('Deal Info'!D:D, MATCH(A1696,'Deal Info'!A:A, 0))</f>
        <v>#N/A</v>
      </c>
      <c r="AG1696" s="38" t="e">
        <f t="array" ref="AG1696">INDEX('Deal Info'!G:G, MATCH(A1696,'Deal Info'!A:A, 0))</f>
        <v>#N/A</v>
      </c>
    </row>
    <row r="1697" spans="1:33" ht="14.25" hidden="1" x14ac:dyDescent="0.2">
      <c r="A1697" s="18" t="b">
        <f t="array" ref="A1697">IF(G1697='Room Info'!$B$1, INDEX('Room Info'!$A$2:$A2446, MATCH(B1697,'Room Info'!$B$2:$B2446, 0)),IF(G1697='Room Info'!$C$1, INDEX('Room Info'!$A$2:$A2446, MATCH(B1697,'Room Info'!$C$2:$C2446, 0)),IF(G1697='Room Info'!$D$1, INDEX('Room Info'!$A$2:$A2446, MATCH(B1697,'Room Info'!$D$2:$D2446, 0)),IF(G1697='Room Info'!$E$1, INDEX('Room Info'!$A$2:$A2446, MATCH(B1697,'Room Info'!$E$2:$E2446, 0)),IF(G1697='Room Info'!$F$1, INDEX('Room Info'!$A$2:$A2446, MATCH(B1697,'Room Info'!$F$2:$F2446, 0)),IF(G1697='Room Info'!$H$1, INDEX('Room Info'!$A$2:$A2446, MATCH(B1697,'Room Info'!$H$2:$H2446, 0)),IF(G1697='Room Info'!$G$1, INDEX('Room Info'!$A$2:$A2446, MATCH(B1697,'Room Info'!$G$2:$G2446, 0)))))))))</f>
        <v>0</v>
      </c>
      <c r="B1697" s="96"/>
      <c r="C1697" s="111"/>
      <c r="D1697" s="111"/>
      <c r="E1697" s="80"/>
      <c r="F1697" s="133"/>
      <c r="G1697" s="96"/>
      <c r="H1697" s="110"/>
      <c r="I1697" s="110"/>
      <c r="J1697" s="39" t="s">
        <v>334</v>
      </c>
      <c r="K1697" s="112"/>
      <c r="L1697" s="113"/>
      <c r="M1697" s="62"/>
      <c r="N1697" s="28" t="e">
        <f t="shared" si="8"/>
        <v>#VALUE!</v>
      </c>
      <c r="O1697" s="65"/>
      <c r="P1697" s="29" t="s">
        <v>334</v>
      </c>
      <c r="Q1697" s="55"/>
      <c r="R1697" s="31" t="e">
        <f t="shared" si="9"/>
        <v>#VALUE!</v>
      </c>
      <c r="S1697" s="66"/>
      <c r="T1697" s="32" t="e">
        <f t="shared" si="10"/>
        <v>#VALUE!</v>
      </c>
      <c r="U1697" s="57"/>
      <c r="V1697" s="58"/>
      <c r="W1697" s="58"/>
      <c r="X1697" s="30" t="e">
        <f t="shared" si="11"/>
        <v>#N/A</v>
      </c>
      <c r="Y1697" s="30" t="e">
        <f t="shared" si="12"/>
        <v>#N/A</v>
      </c>
      <c r="Z1697" s="35" t="e">
        <f t="shared" si="13"/>
        <v>#VALUE!</v>
      </c>
      <c r="AA1697" s="29" t="e">
        <f t="shared" si="14"/>
        <v>#VALUE!</v>
      </c>
      <c r="AB1697" s="36" t="e">
        <f t="shared" si="15"/>
        <v>#VALUE!</v>
      </c>
      <c r="AC1697" s="37" t="b">
        <v>0</v>
      </c>
      <c r="AD1697" s="61" t="str">
        <f t="shared" si="16"/>
        <v>USD</v>
      </c>
      <c r="AE1697" s="37"/>
      <c r="AF1697" s="37" t="e">
        <f t="array" ref="AF1697">INDEX('Deal Info'!D:D, MATCH(A1697,'Deal Info'!A:A, 0))</f>
        <v>#N/A</v>
      </c>
      <c r="AG1697" s="38" t="e">
        <f t="array" ref="AG1697">INDEX('Deal Info'!G:G, MATCH(A1697,'Deal Info'!A:A, 0))</f>
        <v>#N/A</v>
      </c>
    </row>
    <row r="1698" spans="1:33" ht="14.25" hidden="1" x14ac:dyDescent="0.2">
      <c r="A1698" s="18" t="b">
        <f t="array" ref="A1698">IF(G1698='Room Info'!$B$1, INDEX('Room Info'!$A$2:$A2446, MATCH(B1698,'Room Info'!$B$2:$B2446, 0)),IF(G1698='Room Info'!$C$1, INDEX('Room Info'!$A$2:$A2446, MATCH(B1698,'Room Info'!$C$2:$C2446, 0)),IF(G1698='Room Info'!$D$1, INDEX('Room Info'!$A$2:$A2446, MATCH(B1698,'Room Info'!$D$2:$D2446, 0)),IF(G1698='Room Info'!$E$1, INDEX('Room Info'!$A$2:$A2446, MATCH(B1698,'Room Info'!$E$2:$E2446, 0)),IF(G1698='Room Info'!$F$1, INDEX('Room Info'!$A$2:$A2446, MATCH(B1698,'Room Info'!$F$2:$F2446, 0)),IF(G1698='Room Info'!$H$1, INDEX('Room Info'!$A$2:$A2446, MATCH(B1698,'Room Info'!$H$2:$H2446, 0)),IF(G1698='Room Info'!$G$1, INDEX('Room Info'!$A$2:$A2446, MATCH(B1698,'Room Info'!$G$2:$G2446, 0)))))))))</f>
        <v>0</v>
      </c>
      <c r="B1698" s="96"/>
      <c r="C1698" s="111"/>
      <c r="D1698" s="111"/>
      <c r="E1698" s="80"/>
      <c r="F1698" s="133"/>
      <c r="G1698" s="96"/>
      <c r="H1698" s="110"/>
      <c r="I1698" s="110"/>
      <c r="J1698" s="39" t="s">
        <v>334</v>
      </c>
      <c r="K1698" s="112"/>
      <c r="L1698" s="113"/>
      <c r="M1698" s="62"/>
      <c r="N1698" s="28" t="e">
        <f t="shared" si="8"/>
        <v>#VALUE!</v>
      </c>
      <c r="O1698" s="65"/>
      <c r="P1698" s="29" t="s">
        <v>334</v>
      </c>
      <c r="Q1698" s="55"/>
      <c r="R1698" s="31" t="e">
        <f t="shared" si="9"/>
        <v>#VALUE!</v>
      </c>
      <c r="S1698" s="66"/>
      <c r="T1698" s="32" t="e">
        <f t="shared" si="10"/>
        <v>#VALUE!</v>
      </c>
      <c r="U1698" s="57"/>
      <c r="V1698" s="58"/>
      <c r="W1698" s="58"/>
      <c r="X1698" s="30" t="e">
        <f t="shared" si="11"/>
        <v>#N/A</v>
      </c>
      <c r="Y1698" s="30" t="e">
        <f t="shared" si="12"/>
        <v>#N/A</v>
      </c>
      <c r="Z1698" s="35" t="e">
        <f t="shared" si="13"/>
        <v>#VALUE!</v>
      </c>
      <c r="AA1698" s="29" t="e">
        <f t="shared" si="14"/>
        <v>#VALUE!</v>
      </c>
      <c r="AB1698" s="36" t="e">
        <f t="shared" si="15"/>
        <v>#VALUE!</v>
      </c>
      <c r="AC1698" s="37" t="b">
        <v>0</v>
      </c>
      <c r="AD1698" s="61" t="str">
        <f t="shared" si="16"/>
        <v>USD</v>
      </c>
      <c r="AE1698" s="37"/>
      <c r="AF1698" s="37" t="e">
        <f t="array" ref="AF1698">INDEX('Deal Info'!D:D, MATCH(A1698,'Deal Info'!A:A, 0))</f>
        <v>#N/A</v>
      </c>
      <c r="AG1698" s="38" t="e">
        <f t="array" ref="AG1698">INDEX('Deal Info'!G:G, MATCH(A1698,'Deal Info'!A:A, 0))</f>
        <v>#N/A</v>
      </c>
    </row>
    <row r="1699" spans="1:33" ht="14.25" hidden="1" x14ac:dyDescent="0.2">
      <c r="A1699" s="18" t="b">
        <f t="array" ref="A1699">IF(G1699='Room Info'!$B$1, INDEX('Room Info'!$A$2:$A2446, MATCH(B1699,'Room Info'!$B$2:$B2446, 0)),IF(G1699='Room Info'!$C$1, INDEX('Room Info'!$A$2:$A2446, MATCH(B1699,'Room Info'!$C$2:$C2446, 0)),IF(G1699='Room Info'!$D$1, INDEX('Room Info'!$A$2:$A2446, MATCH(B1699,'Room Info'!$D$2:$D2446, 0)),IF(G1699='Room Info'!$E$1, INDEX('Room Info'!$A$2:$A2446, MATCH(B1699,'Room Info'!$E$2:$E2446, 0)),IF(G1699='Room Info'!$F$1, INDEX('Room Info'!$A$2:$A2446, MATCH(B1699,'Room Info'!$F$2:$F2446, 0)),IF(G1699='Room Info'!$H$1, INDEX('Room Info'!$A$2:$A2446, MATCH(B1699,'Room Info'!$H$2:$H2446, 0)),IF(G1699='Room Info'!$G$1, INDEX('Room Info'!$A$2:$A2446, MATCH(B1699,'Room Info'!$G$2:$G2446, 0)))))))))</f>
        <v>0</v>
      </c>
      <c r="B1699" s="96"/>
      <c r="C1699" s="111"/>
      <c r="D1699" s="111"/>
      <c r="E1699" s="80"/>
      <c r="F1699" s="133"/>
      <c r="G1699" s="65"/>
      <c r="H1699" s="100"/>
      <c r="I1699" s="100"/>
      <c r="J1699" s="39" t="s">
        <v>334</v>
      </c>
      <c r="K1699" s="112"/>
      <c r="L1699" s="113"/>
      <c r="M1699" s="62"/>
      <c r="N1699" s="28" t="e">
        <f t="shared" si="8"/>
        <v>#VALUE!</v>
      </c>
      <c r="O1699" s="65"/>
      <c r="P1699" s="29" t="s">
        <v>334</v>
      </c>
      <c r="Q1699" s="55"/>
      <c r="R1699" s="31" t="e">
        <f t="shared" si="9"/>
        <v>#VALUE!</v>
      </c>
      <c r="S1699" s="66"/>
      <c r="T1699" s="32" t="e">
        <f t="shared" si="10"/>
        <v>#VALUE!</v>
      </c>
      <c r="U1699" s="57"/>
      <c r="V1699" s="58"/>
      <c r="W1699" s="58"/>
      <c r="X1699" s="30" t="e">
        <f t="shared" si="11"/>
        <v>#N/A</v>
      </c>
      <c r="Y1699" s="30" t="e">
        <f t="shared" si="12"/>
        <v>#N/A</v>
      </c>
      <c r="Z1699" s="35" t="e">
        <f t="shared" si="13"/>
        <v>#VALUE!</v>
      </c>
      <c r="AA1699" s="29" t="e">
        <f t="shared" si="14"/>
        <v>#VALUE!</v>
      </c>
      <c r="AB1699" s="36" t="e">
        <f t="shared" si="15"/>
        <v>#VALUE!</v>
      </c>
      <c r="AC1699" s="37" t="b">
        <v>0</v>
      </c>
      <c r="AD1699" s="61" t="str">
        <f t="shared" si="16"/>
        <v>USD</v>
      </c>
      <c r="AE1699" s="37"/>
      <c r="AF1699" s="37" t="e">
        <f t="array" ref="AF1699">INDEX('Deal Info'!D:D, MATCH(A1699,'Deal Info'!A:A, 0))</f>
        <v>#N/A</v>
      </c>
      <c r="AG1699" s="38" t="e">
        <f t="array" ref="AG1699">INDEX('Deal Info'!G:G, MATCH(A1699,'Deal Info'!A:A, 0))</f>
        <v>#N/A</v>
      </c>
    </row>
    <row r="1700" spans="1:33" ht="14.25" hidden="1" x14ac:dyDescent="0.2">
      <c r="A1700" s="18" t="b">
        <f t="array" ref="A1700">IF(G1700='Room Info'!$B$1, INDEX('Room Info'!$A$2:$A2446, MATCH(B1700,'Room Info'!$B$2:$B2446, 0)),IF(G1700='Room Info'!$C$1, INDEX('Room Info'!$A$2:$A2446, MATCH(B1700,'Room Info'!$C$2:$C2446, 0)),IF(G1700='Room Info'!$D$1, INDEX('Room Info'!$A$2:$A2446, MATCH(B1700,'Room Info'!$D$2:$D2446, 0)),IF(G1700='Room Info'!$E$1, INDEX('Room Info'!$A$2:$A2446, MATCH(B1700,'Room Info'!$E$2:$E2446, 0)),IF(G1700='Room Info'!$F$1, INDEX('Room Info'!$A$2:$A2446, MATCH(B1700,'Room Info'!$F$2:$F2446, 0)),IF(G1700='Room Info'!$H$1, INDEX('Room Info'!$A$2:$A2446, MATCH(B1700,'Room Info'!$H$2:$H2446, 0)),IF(G1700='Room Info'!$G$1, INDEX('Room Info'!$A$2:$A2446, MATCH(B1700,'Room Info'!$G$2:$G2446, 0)))))))))</f>
        <v>0</v>
      </c>
      <c r="B1700" s="96"/>
      <c r="C1700" s="111"/>
      <c r="D1700" s="111"/>
      <c r="E1700" s="80"/>
      <c r="F1700" s="133"/>
      <c r="G1700" s="65"/>
      <c r="H1700" s="100"/>
      <c r="I1700" s="100"/>
      <c r="J1700" s="39" t="s">
        <v>334</v>
      </c>
      <c r="K1700" s="112"/>
      <c r="L1700" s="113"/>
      <c r="M1700" s="62"/>
      <c r="N1700" s="28" t="e">
        <f t="shared" si="8"/>
        <v>#VALUE!</v>
      </c>
      <c r="O1700" s="65"/>
      <c r="P1700" s="29" t="s">
        <v>334</v>
      </c>
      <c r="Q1700" s="55"/>
      <c r="R1700" s="31" t="e">
        <f t="shared" si="9"/>
        <v>#VALUE!</v>
      </c>
      <c r="S1700" s="66"/>
      <c r="T1700" s="32" t="e">
        <f t="shared" si="10"/>
        <v>#VALUE!</v>
      </c>
      <c r="U1700" s="57"/>
      <c r="V1700" s="58"/>
      <c r="W1700" s="58"/>
      <c r="X1700" s="30" t="e">
        <f t="shared" si="11"/>
        <v>#N/A</v>
      </c>
      <c r="Y1700" s="30" t="e">
        <f t="shared" si="12"/>
        <v>#N/A</v>
      </c>
      <c r="Z1700" s="35" t="e">
        <f t="shared" si="13"/>
        <v>#VALUE!</v>
      </c>
      <c r="AA1700" s="29" t="e">
        <f t="shared" si="14"/>
        <v>#VALUE!</v>
      </c>
      <c r="AB1700" s="36" t="e">
        <f t="shared" si="15"/>
        <v>#VALUE!</v>
      </c>
      <c r="AC1700" s="37" t="b">
        <v>0</v>
      </c>
      <c r="AD1700" s="61" t="str">
        <f t="shared" si="16"/>
        <v>USD</v>
      </c>
      <c r="AE1700" s="37"/>
      <c r="AF1700" s="37" t="e">
        <f t="array" ref="AF1700">INDEX('Deal Info'!D:D, MATCH(A1700,'Deal Info'!A:A, 0))</f>
        <v>#N/A</v>
      </c>
      <c r="AG1700" s="38" t="e">
        <f t="array" ref="AG1700">INDEX('Deal Info'!G:G, MATCH(A1700,'Deal Info'!A:A, 0))</f>
        <v>#N/A</v>
      </c>
    </row>
    <row r="1701" spans="1:33" ht="14.25" hidden="1" x14ac:dyDescent="0.2">
      <c r="A1701" s="18" t="b">
        <f t="array" ref="A1701">IF(G1701='Room Info'!$B$1, INDEX('Room Info'!$A$2:$A2446, MATCH(B1701,'Room Info'!$B$2:$B2446, 0)),IF(G1701='Room Info'!$C$1, INDEX('Room Info'!$A$2:$A2446, MATCH(B1701,'Room Info'!$C$2:$C2446, 0)),IF(G1701='Room Info'!$D$1, INDEX('Room Info'!$A$2:$A2446, MATCH(B1701,'Room Info'!$D$2:$D2446, 0)),IF(G1701='Room Info'!$E$1, INDEX('Room Info'!$A$2:$A2446, MATCH(B1701,'Room Info'!$E$2:$E2446, 0)),IF(G1701='Room Info'!$F$1, INDEX('Room Info'!$A$2:$A2446, MATCH(B1701,'Room Info'!$F$2:$F2446, 0)),IF(G1701='Room Info'!$H$1, INDEX('Room Info'!$A$2:$A2446, MATCH(B1701,'Room Info'!$H$2:$H2446, 0)),IF(G1701='Room Info'!$G$1, INDEX('Room Info'!$A$2:$A2446, MATCH(B1701,'Room Info'!$G$2:$G2446, 0)))))))))</f>
        <v>0</v>
      </c>
      <c r="B1701" s="96"/>
      <c r="C1701" s="136"/>
      <c r="D1701" s="136"/>
      <c r="E1701" s="137"/>
      <c r="F1701" s="133"/>
      <c r="G1701" s="96"/>
      <c r="H1701" s="100"/>
      <c r="I1701" s="100"/>
      <c r="J1701" s="39" t="s">
        <v>334</v>
      </c>
      <c r="K1701" s="134"/>
      <c r="L1701" s="135"/>
      <c r="M1701" s="79"/>
      <c r="N1701" s="28" t="e">
        <f t="shared" si="8"/>
        <v>#VALUE!</v>
      </c>
      <c r="O1701" s="96"/>
      <c r="P1701" s="29" t="s">
        <v>334</v>
      </c>
      <c r="Q1701" s="55"/>
      <c r="R1701" s="31" t="e">
        <f t="shared" si="9"/>
        <v>#VALUE!</v>
      </c>
      <c r="S1701" s="97"/>
      <c r="T1701" s="32" t="e">
        <f t="shared" si="10"/>
        <v>#VALUE!</v>
      </c>
      <c r="U1701" s="57"/>
      <c r="V1701" s="58"/>
      <c r="W1701" s="58"/>
      <c r="X1701" s="30" t="e">
        <f t="shared" si="11"/>
        <v>#N/A</v>
      </c>
      <c r="Y1701" s="30" t="e">
        <f t="shared" si="12"/>
        <v>#N/A</v>
      </c>
      <c r="Z1701" s="35" t="e">
        <f t="shared" si="13"/>
        <v>#VALUE!</v>
      </c>
      <c r="AA1701" s="29" t="e">
        <f t="shared" si="14"/>
        <v>#VALUE!</v>
      </c>
      <c r="AB1701" s="36" t="e">
        <f t="shared" si="15"/>
        <v>#VALUE!</v>
      </c>
      <c r="AC1701" s="37" t="b">
        <v>0</v>
      </c>
      <c r="AD1701" s="61" t="str">
        <f t="shared" si="16"/>
        <v>USD</v>
      </c>
      <c r="AE1701" s="37"/>
      <c r="AF1701" s="37" t="e">
        <f t="array" ref="AF1701">INDEX('Deal Info'!D:D, MATCH(A1701,'Deal Info'!A:A, 0))</f>
        <v>#N/A</v>
      </c>
      <c r="AG1701" s="38" t="e">
        <f t="array" ref="AG1701">INDEX('Deal Info'!G:G, MATCH(A1701,'Deal Info'!A:A, 0))</f>
        <v>#N/A</v>
      </c>
    </row>
    <row r="1702" spans="1:33" ht="14.25" hidden="1" x14ac:dyDescent="0.2">
      <c r="A1702" s="18" t="b">
        <f t="array" ref="A1702">IF(G1702='Room Info'!$B$1, INDEX('Room Info'!$A$2:$A2446, MATCH(B1702,'Room Info'!$B$2:$B2446, 0)),IF(G1702='Room Info'!$C$1, INDEX('Room Info'!$A$2:$A2446, MATCH(B1702,'Room Info'!$C$2:$C2446, 0)),IF(G1702='Room Info'!$D$1, INDEX('Room Info'!$A$2:$A2446, MATCH(B1702,'Room Info'!$D$2:$D2446, 0)),IF(G1702='Room Info'!$E$1, INDEX('Room Info'!$A$2:$A2446, MATCH(B1702,'Room Info'!$E$2:$E2446, 0)),IF(G1702='Room Info'!$F$1, INDEX('Room Info'!$A$2:$A2446, MATCH(B1702,'Room Info'!$F$2:$F2446, 0)),IF(G1702='Room Info'!$H$1, INDEX('Room Info'!$A$2:$A2446, MATCH(B1702,'Room Info'!$H$2:$H2446, 0)),IF(G1702='Room Info'!$G$1, INDEX('Room Info'!$A$2:$A2446, MATCH(B1702,'Room Info'!$G$2:$G2446, 0)))))))))</f>
        <v>0</v>
      </c>
      <c r="B1702" s="96"/>
      <c r="C1702" s="136"/>
      <c r="D1702" s="136"/>
      <c r="E1702" s="137"/>
      <c r="F1702" s="133"/>
      <c r="G1702" s="96"/>
      <c r="H1702" s="100"/>
      <c r="I1702" s="100"/>
      <c r="J1702" s="39" t="s">
        <v>334</v>
      </c>
      <c r="K1702" s="134"/>
      <c r="L1702" s="135"/>
      <c r="M1702" s="79"/>
      <c r="N1702" s="28" t="e">
        <f t="shared" si="8"/>
        <v>#VALUE!</v>
      </c>
      <c r="O1702" s="96"/>
      <c r="P1702" s="29" t="s">
        <v>334</v>
      </c>
      <c r="Q1702" s="55"/>
      <c r="R1702" s="31" t="e">
        <f t="shared" si="9"/>
        <v>#VALUE!</v>
      </c>
      <c r="S1702" s="97"/>
      <c r="T1702" s="32" t="e">
        <f t="shared" si="10"/>
        <v>#VALUE!</v>
      </c>
      <c r="U1702" s="57"/>
      <c r="V1702" s="58"/>
      <c r="W1702" s="58"/>
      <c r="X1702" s="30" t="e">
        <f t="shared" si="11"/>
        <v>#N/A</v>
      </c>
      <c r="Y1702" s="30" t="e">
        <f t="shared" si="12"/>
        <v>#N/A</v>
      </c>
      <c r="Z1702" s="35" t="e">
        <f t="shared" si="13"/>
        <v>#VALUE!</v>
      </c>
      <c r="AA1702" s="29" t="e">
        <f t="shared" si="14"/>
        <v>#VALUE!</v>
      </c>
      <c r="AB1702" s="36" t="e">
        <f t="shared" si="15"/>
        <v>#VALUE!</v>
      </c>
      <c r="AC1702" s="37" t="b">
        <v>0</v>
      </c>
      <c r="AD1702" s="61" t="str">
        <f t="shared" si="16"/>
        <v>USD</v>
      </c>
      <c r="AE1702" s="37"/>
      <c r="AF1702" s="37" t="e">
        <f t="array" ref="AF1702">INDEX('Deal Info'!D:D, MATCH(A1702,'Deal Info'!A:A, 0))</f>
        <v>#N/A</v>
      </c>
      <c r="AG1702" s="38" t="e">
        <f t="array" ref="AG1702">INDEX('Deal Info'!G:G, MATCH(A1702,'Deal Info'!A:A, 0))</f>
        <v>#N/A</v>
      </c>
    </row>
    <row r="1703" spans="1:33" ht="14.25" hidden="1" x14ac:dyDescent="0.2">
      <c r="A1703" s="18" t="b">
        <f t="array" ref="A1703">IF(G1703='Room Info'!$B$1, INDEX('Room Info'!$A$2:$A2446, MATCH(B1703,'Room Info'!$B$2:$B2446, 0)),IF(G1703='Room Info'!$C$1, INDEX('Room Info'!$A$2:$A2446, MATCH(B1703,'Room Info'!$C$2:$C2446, 0)),IF(G1703='Room Info'!$D$1, INDEX('Room Info'!$A$2:$A2446, MATCH(B1703,'Room Info'!$D$2:$D2446, 0)),IF(G1703='Room Info'!$E$1, INDEX('Room Info'!$A$2:$A2446, MATCH(B1703,'Room Info'!$E$2:$E2446, 0)),IF(G1703='Room Info'!$F$1, INDEX('Room Info'!$A$2:$A2446, MATCH(B1703,'Room Info'!$F$2:$F2446, 0)),IF(G1703='Room Info'!$H$1, INDEX('Room Info'!$A$2:$A2446, MATCH(B1703,'Room Info'!$H$2:$H2446, 0)),IF(G1703='Room Info'!$G$1, INDEX('Room Info'!$A$2:$A2446, MATCH(B1703,'Room Info'!$G$2:$G2446, 0)))))))))</f>
        <v>0</v>
      </c>
      <c r="B1703" s="96"/>
      <c r="C1703" s="136"/>
      <c r="D1703" s="136"/>
      <c r="E1703" s="137"/>
      <c r="F1703" s="133"/>
      <c r="G1703" s="96"/>
      <c r="H1703" s="100"/>
      <c r="I1703" s="100"/>
      <c r="J1703" s="39" t="s">
        <v>334</v>
      </c>
      <c r="K1703" s="134"/>
      <c r="L1703" s="135"/>
      <c r="M1703" s="79"/>
      <c r="N1703" s="28" t="e">
        <f t="shared" si="8"/>
        <v>#VALUE!</v>
      </c>
      <c r="O1703" s="96"/>
      <c r="P1703" s="29" t="s">
        <v>334</v>
      </c>
      <c r="Q1703" s="55"/>
      <c r="R1703" s="31" t="e">
        <f t="shared" si="9"/>
        <v>#VALUE!</v>
      </c>
      <c r="S1703" s="97"/>
      <c r="T1703" s="32" t="e">
        <f t="shared" si="10"/>
        <v>#VALUE!</v>
      </c>
      <c r="U1703" s="57"/>
      <c r="V1703" s="58"/>
      <c r="W1703" s="58"/>
      <c r="X1703" s="30" t="e">
        <f t="shared" si="11"/>
        <v>#N/A</v>
      </c>
      <c r="Y1703" s="30" t="e">
        <f t="shared" si="12"/>
        <v>#N/A</v>
      </c>
      <c r="Z1703" s="35" t="e">
        <f t="shared" si="13"/>
        <v>#VALUE!</v>
      </c>
      <c r="AA1703" s="29" t="e">
        <f t="shared" si="14"/>
        <v>#VALUE!</v>
      </c>
      <c r="AB1703" s="36" t="e">
        <f t="shared" si="15"/>
        <v>#VALUE!</v>
      </c>
      <c r="AC1703" s="37" t="b">
        <v>0</v>
      </c>
      <c r="AD1703" s="61" t="str">
        <f t="shared" si="16"/>
        <v>USD</v>
      </c>
      <c r="AE1703" s="37"/>
      <c r="AF1703" s="37" t="e">
        <f t="array" ref="AF1703">INDEX('Deal Info'!D:D, MATCH(A1703,'Deal Info'!A:A, 0))</f>
        <v>#N/A</v>
      </c>
      <c r="AG1703" s="38" t="e">
        <f t="array" ref="AG1703">INDEX('Deal Info'!G:G, MATCH(A1703,'Deal Info'!A:A, 0))</f>
        <v>#N/A</v>
      </c>
    </row>
    <row r="1704" spans="1:33" ht="14.25" hidden="1" x14ac:dyDescent="0.2">
      <c r="A1704" s="18" t="b">
        <f t="array" ref="A1704">IF(G1704='Room Info'!$B$1, INDEX('Room Info'!$A$2:$A2446, MATCH(B1704,'Room Info'!$B$2:$B2446, 0)),IF(G1704='Room Info'!$C$1, INDEX('Room Info'!$A$2:$A2446, MATCH(B1704,'Room Info'!$C$2:$C2446, 0)),IF(G1704='Room Info'!$D$1, INDEX('Room Info'!$A$2:$A2446, MATCH(B1704,'Room Info'!$D$2:$D2446, 0)),IF(G1704='Room Info'!$E$1, INDEX('Room Info'!$A$2:$A2446, MATCH(B1704,'Room Info'!$E$2:$E2446, 0)),IF(G1704='Room Info'!$F$1, INDEX('Room Info'!$A$2:$A2446, MATCH(B1704,'Room Info'!$F$2:$F2446, 0)),IF(G1704='Room Info'!$H$1, INDEX('Room Info'!$A$2:$A2446, MATCH(B1704,'Room Info'!$H$2:$H2446, 0)),IF(G1704='Room Info'!$G$1, INDEX('Room Info'!$A$2:$A2446, MATCH(B1704,'Room Info'!$G$2:$G2446, 0)))))))))</f>
        <v>0</v>
      </c>
      <c r="B1704" s="96"/>
      <c r="C1704" s="136"/>
      <c r="D1704" s="136"/>
      <c r="E1704" s="137"/>
      <c r="F1704" s="133"/>
      <c r="G1704" s="96"/>
      <c r="H1704" s="100"/>
      <c r="I1704" s="100"/>
      <c r="J1704" s="39" t="s">
        <v>334</v>
      </c>
      <c r="K1704" s="134"/>
      <c r="L1704" s="135"/>
      <c r="M1704" s="79"/>
      <c r="N1704" s="28" t="e">
        <f t="shared" si="8"/>
        <v>#VALUE!</v>
      </c>
      <c r="O1704" s="96"/>
      <c r="P1704" s="29" t="s">
        <v>334</v>
      </c>
      <c r="Q1704" s="55"/>
      <c r="R1704" s="31" t="e">
        <f t="shared" si="9"/>
        <v>#VALUE!</v>
      </c>
      <c r="S1704" s="97"/>
      <c r="T1704" s="32" t="e">
        <f t="shared" si="10"/>
        <v>#VALUE!</v>
      </c>
      <c r="U1704" s="57"/>
      <c r="V1704" s="58"/>
      <c r="W1704" s="58"/>
      <c r="X1704" s="30" t="e">
        <f t="shared" si="11"/>
        <v>#N/A</v>
      </c>
      <c r="Y1704" s="30" t="e">
        <f t="shared" si="12"/>
        <v>#N/A</v>
      </c>
      <c r="Z1704" s="35" t="e">
        <f t="shared" si="13"/>
        <v>#VALUE!</v>
      </c>
      <c r="AA1704" s="29" t="e">
        <f t="shared" si="14"/>
        <v>#VALUE!</v>
      </c>
      <c r="AB1704" s="36" t="e">
        <f t="shared" si="15"/>
        <v>#VALUE!</v>
      </c>
      <c r="AC1704" s="37" t="b">
        <v>0</v>
      </c>
      <c r="AD1704" s="61" t="str">
        <f t="shared" si="16"/>
        <v>USD</v>
      </c>
      <c r="AE1704" s="37"/>
      <c r="AF1704" s="37" t="e">
        <f t="array" ref="AF1704">INDEX('Deal Info'!D:D, MATCH(A1704,'Deal Info'!A:A, 0))</f>
        <v>#N/A</v>
      </c>
      <c r="AG1704" s="38" t="e">
        <f t="array" ref="AG1704">INDEX('Deal Info'!G:G, MATCH(A1704,'Deal Info'!A:A, 0))</f>
        <v>#N/A</v>
      </c>
    </row>
    <row r="1705" spans="1:33" ht="14.25" hidden="1" x14ac:dyDescent="0.2">
      <c r="A1705" s="18" t="b">
        <f t="array" ref="A1705">IF(G1705='Room Info'!$B$1, INDEX('Room Info'!$A$2:$A2446, MATCH(B1705,'Room Info'!$B$2:$B2446, 0)),IF(G1705='Room Info'!$C$1, INDEX('Room Info'!$A$2:$A2446, MATCH(B1705,'Room Info'!$C$2:$C2446, 0)),IF(G1705='Room Info'!$D$1, INDEX('Room Info'!$A$2:$A2446, MATCH(B1705,'Room Info'!$D$2:$D2446, 0)),IF(G1705='Room Info'!$E$1, INDEX('Room Info'!$A$2:$A2446, MATCH(B1705,'Room Info'!$E$2:$E2446, 0)),IF(G1705='Room Info'!$F$1, INDEX('Room Info'!$A$2:$A2446, MATCH(B1705,'Room Info'!$F$2:$F2446, 0)),IF(G1705='Room Info'!$H$1, INDEX('Room Info'!$A$2:$A2446, MATCH(B1705,'Room Info'!$H$2:$H2446, 0)),IF(G1705='Room Info'!$G$1, INDEX('Room Info'!$A$2:$A2446, MATCH(B1705,'Room Info'!$G$2:$G2446, 0)))))))))</f>
        <v>0</v>
      </c>
      <c r="B1705" s="96"/>
      <c r="C1705" s="136"/>
      <c r="D1705" s="136"/>
      <c r="E1705" s="137"/>
      <c r="F1705" s="133"/>
      <c r="G1705" s="96"/>
      <c r="H1705" s="100"/>
      <c r="I1705" s="100"/>
      <c r="J1705" s="39" t="s">
        <v>334</v>
      </c>
      <c r="K1705" s="134"/>
      <c r="L1705" s="135"/>
      <c r="M1705" s="79"/>
      <c r="N1705" s="28" t="e">
        <f t="shared" si="8"/>
        <v>#VALUE!</v>
      </c>
      <c r="O1705" s="96"/>
      <c r="P1705" s="29" t="s">
        <v>334</v>
      </c>
      <c r="Q1705" s="55"/>
      <c r="R1705" s="31" t="e">
        <f t="shared" si="9"/>
        <v>#VALUE!</v>
      </c>
      <c r="S1705" s="97"/>
      <c r="T1705" s="32" t="e">
        <f t="shared" si="10"/>
        <v>#VALUE!</v>
      </c>
      <c r="U1705" s="57"/>
      <c r="V1705" s="58"/>
      <c r="W1705" s="58"/>
      <c r="X1705" s="30" t="e">
        <f t="shared" si="11"/>
        <v>#N/A</v>
      </c>
      <c r="Y1705" s="30" t="e">
        <f t="shared" si="12"/>
        <v>#N/A</v>
      </c>
      <c r="Z1705" s="35" t="e">
        <f t="shared" si="13"/>
        <v>#VALUE!</v>
      </c>
      <c r="AA1705" s="29" t="e">
        <f t="shared" si="14"/>
        <v>#VALUE!</v>
      </c>
      <c r="AB1705" s="36" t="e">
        <f t="shared" si="15"/>
        <v>#VALUE!</v>
      </c>
      <c r="AC1705" s="37" t="b">
        <v>0</v>
      </c>
      <c r="AD1705" s="61" t="str">
        <f t="shared" si="16"/>
        <v>USD</v>
      </c>
      <c r="AE1705" s="37"/>
      <c r="AF1705" s="37" t="e">
        <f t="array" ref="AF1705">INDEX('Deal Info'!D:D, MATCH(A1705,'Deal Info'!A:A, 0))</f>
        <v>#N/A</v>
      </c>
      <c r="AG1705" s="38" t="e">
        <f t="array" ref="AG1705">INDEX('Deal Info'!G:G, MATCH(A1705,'Deal Info'!A:A, 0))</f>
        <v>#N/A</v>
      </c>
    </row>
    <row r="1706" spans="1:33" ht="14.25" hidden="1" x14ac:dyDescent="0.2">
      <c r="A1706" s="18" t="b">
        <f t="array" ref="A1706">IF(G1706='Room Info'!$B$1, INDEX('Room Info'!$A$2:$A2446, MATCH(B1706,'Room Info'!$B$2:$B2446, 0)),IF(G1706='Room Info'!$C$1, INDEX('Room Info'!$A$2:$A2446, MATCH(B1706,'Room Info'!$C$2:$C2446, 0)),IF(G1706='Room Info'!$D$1, INDEX('Room Info'!$A$2:$A2446, MATCH(B1706,'Room Info'!$D$2:$D2446, 0)),IF(G1706='Room Info'!$E$1, INDEX('Room Info'!$A$2:$A2446, MATCH(B1706,'Room Info'!$E$2:$E2446, 0)),IF(G1706='Room Info'!$F$1, INDEX('Room Info'!$A$2:$A2446, MATCH(B1706,'Room Info'!$F$2:$F2446, 0)),IF(G1706='Room Info'!$H$1, INDEX('Room Info'!$A$2:$A2446, MATCH(B1706,'Room Info'!$H$2:$H2446, 0)),IF(G1706='Room Info'!$G$1, INDEX('Room Info'!$A$2:$A2446, MATCH(B1706,'Room Info'!$G$2:$G2446, 0)))))))))</f>
        <v>0</v>
      </c>
      <c r="B1706" s="65"/>
      <c r="C1706" s="111"/>
      <c r="D1706" s="111"/>
      <c r="E1706" s="80"/>
      <c r="F1706" s="133"/>
      <c r="G1706" s="65"/>
      <c r="H1706" s="110"/>
      <c r="I1706" s="110"/>
      <c r="J1706" s="39" t="s">
        <v>334</v>
      </c>
      <c r="K1706" s="112"/>
      <c r="L1706" s="113"/>
      <c r="M1706" s="62"/>
      <c r="N1706" s="28" t="e">
        <f t="shared" si="8"/>
        <v>#VALUE!</v>
      </c>
      <c r="O1706" s="65"/>
      <c r="P1706" s="29" t="s">
        <v>334</v>
      </c>
      <c r="Q1706" s="55"/>
      <c r="R1706" s="31" t="e">
        <f t="shared" si="9"/>
        <v>#VALUE!</v>
      </c>
      <c r="S1706" s="66"/>
      <c r="T1706" s="32" t="e">
        <f t="shared" si="10"/>
        <v>#VALUE!</v>
      </c>
      <c r="U1706" s="57"/>
      <c r="V1706" s="58"/>
      <c r="W1706" s="58"/>
      <c r="X1706" s="30" t="e">
        <f t="shared" si="11"/>
        <v>#N/A</v>
      </c>
      <c r="Y1706" s="30" t="e">
        <f t="shared" si="12"/>
        <v>#N/A</v>
      </c>
      <c r="Z1706" s="35" t="e">
        <f t="shared" si="13"/>
        <v>#VALUE!</v>
      </c>
      <c r="AA1706" s="29" t="e">
        <f t="shared" si="14"/>
        <v>#VALUE!</v>
      </c>
      <c r="AB1706" s="36" t="e">
        <f t="shared" si="15"/>
        <v>#VALUE!</v>
      </c>
      <c r="AC1706" s="37" t="b">
        <v>0</v>
      </c>
      <c r="AD1706" s="61" t="str">
        <f t="shared" si="16"/>
        <v>USD</v>
      </c>
      <c r="AE1706" s="37"/>
      <c r="AF1706" s="37" t="e">
        <f t="array" ref="AF1706">INDEX('Deal Info'!D:D, MATCH(A1706,'Deal Info'!A:A, 0))</f>
        <v>#N/A</v>
      </c>
      <c r="AG1706" s="38" t="e">
        <f t="array" ref="AG1706">INDEX('Deal Info'!G:G, MATCH(A1706,'Deal Info'!A:A, 0))</f>
        <v>#N/A</v>
      </c>
    </row>
    <row r="1707" spans="1:33" ht="14.25" hidden="1" x14ac:dyDescent="0.2">
      <c r="A1707" s="18" t="b">
        <f t="array" ref="A1707">IF(G1707='Room Info'!$B$1, INDEX('Room Info'!$A$2:$A2446, MATCH(B1707,'Room Info'!$B$2:$B2446, 0)),IF(G1707='Room Info'!$C$1, INDEX('Room Info'!$A$2:$A2446, MATCH(B1707,'Room Info'!$C$2:$C2446, 0)),IF(G1707='Room Info'!$D$1, INDEX('Room Info'!$A$2:$A2446, MATCH(B1707,'Room Info'!$D$2:$D2446, 0)),IF(G1707='Room Info'!$E$1, INDEX('Room Info'!$A$2:$A2446, MATCH(B1707,'Room Info'!$E$2:$E2446, 0)),IF(G1707='Room Info'!$F$1, INDEX('Room Info'!$A$2:$A2446, MATCH(B1707,'Room Info'!$F$2:$F2446, 0)),IF(G1707='Room Info'!$H$1, INDEX('Room Info'!$A$2:$A2446, MATCH(B1707,'Room Info'!$H$2:$H2446, 0)),IF(G1707='Room Info'!$G$1, INDEX('Room Info'!$A$2:$A2446, MATCH(B1707,'Room Info'!$G$2:$G2446, 0)))))))))</f>
        <v>0</v>
      </c>
      <c r="B1707" s="65"/>
      <c r="C1707" s="111"/>
      <c r="D1707" s="111"/>
      <c r="E1707" s="80"/>
      <c r="F1707" s="133"/>
      <c r="G1707" s="65"/>
      <c r="H1707" s="110"/>
      <c r="I1707" s="110"/>
      <c r="J1707" s="39" t="s">
        <v>334</v>
      </c>
      <c r="K1707" s="112"/>
      <c r="L1707" s="113"/>
      <c r="M1707" s="62"/>
      <c r="N1707" s="28" t="e">
        <f t="shared" si="8"/>
        <v>#VALUE!</v>
      </c>
      <c r="O1707" s="65"/>
      <c r="P1707" s="29" t="s">
        <v>334</v>
      </c>
      <c r="Q1707" s="55"/>
      <c r="R1707" s="31" t="e">
        <f t="shared" si="9"/>
        <v>#VALUE!</v>
      </c>
      <c r="S1707" s="66"/>
      <c r="T1707" s="32" t="e">
        <f t="shared" si="10"/>
        <v>#VALUE!</v>
      </c>
      <c r="U1707" s="57"/>
      <c r="V1707" s="58"/>
      <c r="W1707" s="58"/>
      <c r="X1707" s="30" t="e">
        <f t="shared" si="11"/>
        <v>#N/A</v>
      </c>
      <c r="Y1707" s="30" t="e">
        <f t="shared" si="12"/>
        <v>#N/A</v>
      </c>
      <c r="Z1707" s="35" t="e">
        <f t="shared" si="13"/>
        <v>#VALUE!</v>
      </c>
      <c r="AA1707" s="29" t="e">
        <f t="shared" si="14"/>
        <v>#VALUE!</v>
      </c>
      <c r="AB1707" s="36" t="e">
        <f t="shared" si="15"/>
        <v>#VALUE!</v>
      </c>
      <c r="AC1707" s="37" t="b">
        <v>0</v>
      </c>
      <c r="AD1707" s="61" t="str">
        <f t="shared" si="16"/>
        <v>USD</v>
      </c>
      <c r="AE1707" s="37"/>
      <c r="AF1707" s="37" t="e">
        <f t="array" ref="AF1707">INDEX('Deal Info'!D:D, MATCH(A1707,'Deal Info'!A:A, 0))</f>
        <v>#N/A</v>
      </c>
      <c r="AG1707" s="38" t="e">
        <f t="array" ref="AG1707">INDEX('Deal Info'!G:G, MATCH(A1707,'Deal Info'!A:A, 0))</f>
        <v>#N/A</v>
      </c>
    </row>
    <row r="1708" spans="1:33" ht="14.25" hidden="1" x14ac:dyDescent="0.2">
      <c r="A1708" s="18" t="b">
        <f t="array" ref="A1708">IF(G1708='Room Info'!$B$1, INDEX('Room Info'!$A$2:$A2446, MATCH(B1708,'Room Info'!$B$2:$B2446, 0)),IF(G1708='Room Info'!$C$1, INDEX('Room Info'!$A$2:$A2446, MATCH(B1708,'Room Info'!$C$2:$C2446, 0)),IF(G1708='Room Info'!$D$1, INDEX('Room Info'!$A$2:$A2446, MATCH(B1708,'Room Info'!$D$2:$D2446, 0)),IF(G1708='Room Info'!$E$1, INDEX('Room Info'!$A$2:$A2446, MATCH(B1708,'Room Info'!$E$2:$E2446, 0)),IF(G1708='Room Info'!$F$1, INDEX('Room Info'!$A$2:$A2446, MATCH(B1708,'Room Info'!$F$2:$F2446, 0)),IF(G1708='Room Info'!$H$1, INDEX('Room Info'!$A$2:$A2446, MATCH(B1708,'Room Info'!$H$2:$H2446, 0)),IF(G1708='Room Info'!$G$1, INDEX('Room Info'!$A$2:$A2446, MATCH(B1708,'Room Info'!$G$2:$G2446, 0)))))))))</f>
        <v>0</v>
      </c>
      <c r="B1708" s="65"/>
      <c r="C1708" s="111"/>
      <c r="D1708" s="111"/>
      <c r="E1708" s="80"/>
      <c r="F1708" s="133"/>
      <c r="G1708" s="65"/>
      <c r="H1708" s="110"/>
      <c r="I1708" s="110"/>
      <c r="J1708" s="39" t="s">
        <v>334</v>
      </c>
      <c r="K1708" s="112"/>
      <c r="L1708" s="113"/>
      <c r="M1708" s="62"/>
      <c r="N1708" s="28" t="e">
        <f t="shared" si="8"/>
        <v>#VALUE!</v>
      </c>
      <c r="O1708" s="65"/>
      <c r="P1708" s="29" t="s">
        <v>334</v>
      </c>
      <c r="Q1708" s="55"/>
      <c r="R1708" s="31" t="e">
        <f t="shared" si="9"/>
        <v>#VALUE!</v>
      </c>
      <c r="S1708" s="66"/>
      <c r="T1708" s="32" t="e">
        <f t="shared" si="10"/>
        <v>#VALUE!</v>
      </c>
      <c r="U1708" s="57"/>
      <c r="V1708" s="58"/>
      <c r="W1708" s="58"/>
      <c r="X1708" s="30" t="e">
        <f t="shared" si="11"/>
        <v>#N/A</v>
      </c>
      <c r="Y1708" s="30" t="e">
        <f t="shared" si="12"/>
        <v>#N/A</v>
      </c>
      <c r="Z1708" s="35" t="e">
        <f t="shared" si="13"/>
        <v>#VALUE!</v>
      </c>
      <c r="AA1708" s="29" t="e">
        <f t="shared" si="14"/>
        <v>#VALUE!</v>
      </c>
      <c r="AB1708" s="36" t="e">
        <f t="shared" si="15"/>
        <v>#VALUE!</v>
      </c>
      <c r="AC1708" s="37" t="b">
        <v>0</v>
      </c>
      <c r="AD1708" s="61" t="str">
        <f t="shared" si="16"/>
        <v>USD</v>
      </c>
      <c r="AE1708" s="37"/>
      <c r="AF1708" s="37" t="e">
        <f t="array" ref="AF1708">INDEX('Deal Info'!D:D, MATCH(A1708,'Deal Info'!A:A, 0))</f>
        <v>#N/A</v>
      </c>
      <c r="AG1708" s="38" t="e">
        <f t="array" ref="AG1708">INDEX('Deal Info'!G:G, MATCH(A1708,'Deal Info'!A:A, 0))</f>
        <v>#N/A</v>
      </c>
    </row>
    <row r="1709" spans="1:33" ht="14.25" hidden="1" x14ac:dyDescent="0.2">
      <c r="A1709" s="18" t="b">
        <f t="array" ref="A1709">IF(G1709='Room Info'!$B$1, INDEX('Room Info'!$A$2:$A2446, MATCH(B1709,'Room Info'!$B$2:$B2446, 0)),IF(G1709='Room Info'!$C$1, INDEX('Room Info'!$A$2:$A2446, MATCH(B1709,'Room Info'!$C$2:$C2446, 0)),IF(G1709='Room Info'!$D$1, INDEX('Room Info'!$A$2:$A2446, MATCH(B1709,'Room Info'!$D$2:$D2446, 0)),IF(G1709='Room Info'!$E$1, INDEX('Room Info'!$A$2:$A2446, MATCH(B1709,'Room Info'!$E$2:$E2446, 0)),IF(G1709='Room Info'!$F$1, INDEX('Room Info'!$A$2:$A2446, MATCH(B1709,'Room Info'!$F$2:$F2446, 0)),IF(G1709='Room Info'!$H$1, INDEX('Room Info'!$A$2:$A2446, MATCH(B1709,'Room Info'!$H$2:$H2446, 0)),IF(G1709='Room Info'!$G$1, INDEX('Room Info'!$A$2:$A2446, MATCH(B1709,'Room Info'!$G$2:$G2446, 0)))))))))</f>
        <v>0</v>
      </c>
      <c r="B1709" s="65"/>
      <c r="C1709" s="111"/>
      <c r="D1709" s="111"/>
      <c r="E1709" s="80"/>
      <c r="F1709" s="133"/>
      <c r="G1709" s="65"/>
      <c r="H1709" s="110"/>
      <c r="I1709" s="110"/>
      <c r="J1709" s="39" t="s">
        <v>334</v>
      </c>
      <c r="K1709" s="112"/>
      <c r="L1709" s="113"/>
      <c r="M1709" s="62"/>
      <c r="N1709" s="28" t="e">
        <f t="shared" si="8"/>
        <v>#VALUE!</v>
      </c>
      <c r="O1709" s="65"/>
      <c r="P1709" s="29" t="s">
        <v>334</v>
      </c>
      <c r="Q1709" s="55"/>
      <c r="R1709" s="31" t="e">
        <f t="shared" si="9"/>
        <v>#VALUE!</v>
      </c>
      <c r="S1709" s="66"/>
      <c r="T1709" s="32" t="e">
        <f t="shared" si="10"/>
        <v>#VALUE!</v>
      </c>
      <c r="U1709" s="57"/>
      <c r="V1709" s="58"/>
      <c r="W1709" s="58"/>
      <c r="X1709" s="30" t="e">
        <f t="shared" si="11"/>
        <v>#N/A</v>
      </c>
      <c r="Y1709" s="30" t="e">
        <f t="shared" si="12"/>
        <v>#N/A</v>
      </c>
      <c r="Z1709" s="35" t="e">
        <f t="shared" si="13"/>
        <v>#VALUE!</v>
      </c>
      <c r="AA1709" s="29" t="e">
        <f t="shared" si="14"/>
        <v>#VALUE!</v>
      </c>
      <c r="AB1709" s="36" t="e">
        <f t="shared" si="15"/>
        <v>#VALUE!</v>
      </c>
      <c r="AC1709" s="37" t="b">
        <v>0</v>
      </c>
      <c r="AD1709" s="61" t="str">
        <f t="shared" si="16"/>
        <v>USD</v>
      </c>
      <c r="AE1709" s="37"/>
      <c r="AF1709" s="37" t="e">
        <f t="array" ref="AF1709">INDEX('Deal Info'!D:D, MATCH(A1709,'Deal Info'!A:A, 0))</f>
        <v>#N/A</v>
      </c>
      <c r="AG1709" s="38" t="e">
        <f t="array" ref="AG1709">INDEX('Deal Info'!G:G, MATCH(A1709,'Deal Info'!A:A, 0))</f>
        <v>#N/A</v>
      </c>
    </row>
    <row r="1710" spans="1:33" ht="14.25" hidden="1" x14ac:dyDescent="0.2">
      <c r="A1710" s="18" t="b">
        <f t="array" ref="A1710">IF(G1710='Room Info'!$B$1, INDEX('Room Info'!$A$2:$A2446, MATCH(B1710,'Room Info'!$B$2:$B2446, 0)),IF(G1710='Room Info'!$C$1, INDEX('Room Info'!$A$2:$A2446, MATCH(B1710,'Room Info'!$C$2:$C2446, 0)),IF(G1710='Room Info'!$D$1, INDEX('Room Info'!$A$2:$A2446, MATCH(B1710,'Room Info'!$D$2:$D2446, 0)),IF(G1710='Room Info'!$E$1, INDEX('Room Info'!$A$2:$A2446, MATCH(B1710,'Room Info'!$E$2:$E2446, 0)),IF(G1710='Room Info'!$F$1, INDEX('Room Info'!$A$2:$A2446, MATCH(B1710,'Room Info'!$F$2:$F2446, 0)),IF(G1710='Room Info'!$H$1, INDEX('Room Info'!$A$2:$A2446, MATCH(B1710,'Room Info'!$H$2:$H2446, 0)),IF(G1710='Room Info'!$G$1, INDEX('Room Info'!$A$2:$A2446, MATCH(B1710,'Room Info'!$G$2:$G2446, 0)))))))))</f>
        <v>0</v>
      </c>
      <c r="B1710" s="65"/>
      <c r="C1710" s="111"/>
      <c r="D1710" s="111"/>
      <c r="E1710" s="80"/>
      <c r="F1710" s="133"/>
      <c r="G1710" s="65"/>
      <c r="H1710" s="110"/>
      <c r="I1710" s="110"/>
      <c r="J1710" s="39" t="s">
        <v>334</v>
      </c>
      <c r="K1710" s="112"/>
      <c r="L1710" s="113"/>
      <c r="M1710" s="62"/>
      <c r="N1710" s="28" t="e">
        <f t="shared" si="8"/>
        <v>#VALUE!</v>
      </c>
      <c r="O1710" s="65"/>
      <c r="P1710" s="29" t="s">
        <v>334</v>
      </c>
      <c r="Q1710" s="55"/>
      <c r="R1710" s="31" t="e">
        <f t="shared" si="9"/>
        <v>#VALUE!</v>
      </c>
      <c r="S1710" s="66"/>
      <c r="T1710" s="32" t="e">
        <f t="shared" si="10"/>
        <v>#VALUE!</v>
      </c>
      <c r="U1710" s="57"/>
      <c r="V1710" s="58"/>
      <c r="W1710" s="58"/>
      <c r="X1710" s="30" t="e">
        <f t="shared" si="11"/>
        <v>#N/A</v>
      </c>
      <c r="Y1710" s="30" t="e">
        <f t="shared" si="12"/>
        <v>#N/A</v>
      </c>
      <c r="Z1710" s="35" t="e">
        <f t="shared" si="13"/>
        <v>#VALUE!</v>
      </c>
      <c r="AA1710" s="29" t="e">
        <f t="shared" si="14"/>
        <v>#VALUE!</v>
      </c>
      <c r="AB1710" s="36" t="e">
        <f t="shared" si="15"/>
        <v>#VALUE!</v>
      </c>
      <c r="AC1710" s="37" t="b">
        <v>0</v>
      </c>
      <c r="AD1710" s="61" t="str">
        <f t="shared" si="16"/>
        <v>USD</v>
      </c>
      <c r="AE1710" s="37"/>
      <c r="AF1710" s="37" t="e">
        <f t="array" ref="AF1710">INDEX('Deal Info'!D:D, MATCH(A1710,'Deal Info'!A:A, 0))</f>
        <v>#N/A</v>
      </c>
      <c r="AG1710" s="38" t="e">
        <f t="array" ref="AG1710">INDEX('Deal Info'!G:G, MATCH(A1710,'Deal Info'!A:A, 0))</f>
        <v>#N/A</v>
      </c>
    </row>
    <row r="1711" spans="1:33" ht="14.25" hidden="1" x14ac:dyDescent="0.2">
      <c r="A1711" s="18" t="b">
        <f t="array" ref="A1711">IF(G1711='Room Info'!$B$1, INDEX('Room Info'!$A$2:$A2446, MATCH(B1711,'Room Info'!$B$2:$B2446, 0)),IF(G1711='Room Info'!$C$1, INDEX('Room Info'!$A$2:$A2446, MATCH(B1711,'Room Info'!$C$2:$C2446, 0)),IF(G1711='Room Info'!$D$1, INDEX('Room Info'!$A$2:$A2446, MATCH(B1711,'Room Info'!$D$2:$D2446, 0)),IF(G1711='Room Info'!$E$1, INDEX('Room Info'!$A$2:$A2446, MATCH(B1711,'Room Info'!$E$2:$E2446, 0)),IF(G1711='Room Info'!$F$1, INDEX('Room Info'!$A$2:$A2446, MATCH(B1711,'Room Info'!$F$2:$F2446, 0)),IF(G1711='Room Info'!$H$1, INDEX('Room Info'!$A$2:$A2446, MATCH(B1711,'Room Info'!$H$2:$H2446, 0)),IF(G1711='Room Info'!$G$1, INDEX('Room Info'!$A$2:$A2446, MATCH(B1711,'Room Info'!$G$2:$G2446, 0)))))))))</f>
        <v>0</v>
      </c>
      <c r="B1711" s="65"/>
      <c r="C1711" s="111"/>
      <c r="D1711" s="111"/>
      <c r="E1711" s="80"/>
      <c r="F1711" s="133"/>
      <c r="G1711" s="65"/>
      <c r="H1711" s="110"/>
      <c r="I1711" s="110"/>
      <c r="J1711" s="39" t="s">
        <v>334</v>
      </c>
      <c r="K1711" s="112"/>
      <c r="L1711" s="113"/>
      <c r="M1711" s="62"/>
      <c r="N1711" s="28" t="e">
        <f t="shared" si="8"/>
        <v>#VALUE!</v>
      </c>
      <c r="O1711" s="65"/>
      <c r="P1711" s="29" t="s">
        <v>334</v>
      </c>
      <c r="Q1711" s="55"/>
      <c r="R1711" s="31" t="e">
        <f t="shared" si="9"/>
        <v>#VALUE!</v>
      </c>
      <c r="S1711" s="66"/>
      <c r="T1711" s="32" t="e">
        <f t="shared" si="10"/>
        <v>#VALUE!</v>
      </c>
      <c r="U1711" s="57"/>
      <c r="V1711" s="58"/>
      <c r="W1711" s="58"/>
      <c r="X1711" s="30" t="e">
        <f t="shared" si="11"/>
        <v>#N/A</v>
      </c>
      <c r="Y1711" s="30" t="e">
        <f t="shared" si="12"/>
        <v>#N/A</v>
      </c>
      <c r="Z1711" s="35" t="e">
        <f t="shared" si="13"/>
        <v>#VALUE!</v>
      </c>
      <c r="AA1711" s="29" t="e">
        <f t="shared" si="14"/>
        <v>#VALUE!</v>
      </c>
      <c r="AB1711" s="36" t="e">
        <f t="shared" si="15"/>
        <v>#VALUE!</v>
      </c>
      <c r="AC1711" s="37" t="b">
        <v>0</v>
      </c>
      <c r="AD1711" s="61" t="str">
        <f t="shared" si="16"/>
        <v>USD</v>
      </c>
      <c r="AE1711" s="37"/>
      <c r="AF1711" s="37" t="e">
        <f t="array" ref="AF1711">INDEX('Deal Info'!D:D, MATCH(A1711,'Deal Info'!A:A, 0))</f>
        <v>#N/A</v>
      </c>
      <c r="AG1711" s="38" t="e">
        <f t="array" ref="AG1711">INDEX('Deal Info'!G:G, MATCH(A1711,'Deal Info'!A:A, 0))</f>
        <v>#N/A</v>
      </c>
    </row>
    <row r="1712" spans="1:33" ht="14.25" hidden="1" x14ac:dyDescent="0.2">
      <c r="A1712" s="18" t="b">
        <f t="array" ref="A1712">IF(G1712='Room Info'!$B$1, INDEX('Room Info'!$A$2:$A2446, MATCH(B1712,'Room Info'!$B$2:$B2446, 0)),IF(G1712='Room Info'!$C$1, INDEX('Room Info'!$A$2:$A2446, MATCH(B1712,'Room Info'!$C$2:$C2446, 0)),IF(G1712='Room Info'!$D$1, INDEX('Room Info'!$A$2:$A2446, MATCH(B1712,'Room Info'!$D$2:$D2446, 0)),IF(G1712='Room Info'!$E$1, INDEX('Room Info'!$A$2:$A2446, MATCH(B1712,'Room Info'!$E$2:$E2446, 0)),IF(G1712='Room Info'!$F$1, INDEX('Room Info'!$A$2:$A2446, MATCH(B1712,'Room Info'!$F$2:$F2446, 0)),IF(G1712='Room Info'!$H$1, INDEX('Room Info'!$A$2:$A2446, MATCH(B1712,'Room Info'!$H$2:$H2446, 0)),IF(G1712='Room Info'!$G$1, INDEX('Room Info'!$A$2:$A2446, MATCH(B1712,'Room Info'!$G$2:$G2446, 0)))))))))</f>
        <v>0</v>
      </c>
      <c r="B1712" s="65"/>
      <c r="C1712" s="111"/>
      <c r="D1712" s="111"/>
      <c r="E1712" s="80"/>
      <c r="F1712" s="133"/>
      <c r="G1712" s="65"/>
      <c r="H1712" s="110"/>
      <c r="I1712" s="110"/>
      <c r="J1712" s="39" t="s">
        <v>334</v>
      </c>
      <c r="K1712" s="112"/>
      <c r="L1712" s="113"/>
      <c r="M1712" s="62"/>
      <c r="N1712" s="28" t="e">
        <f t="shared" si="8"/>
        <v>#VALUE!</v>
      </c>
      <c r="O1712" s="65"/>
      <c r="P1712" s="29" t="s">
        <v>334</v>
      </c>
      <c r="Q1712" s="55"/>
      <c r="R1712" s="31" t="e">
        <f t="shared" si="9"/>
        <v>#VALUE!</v>
      </c>
      <c r="S1712" s="66"/>
      <c r="T1712" s="32" t="e">
        <f t="shared" si="10"/>
        <v>#VALUE!</v>
      </c>
      <c r="U1712" s="57"/>
      <c r="V1712" s="58"/>
      <c r="W1712" s="58"/>
      <c r="X1712" s="30" t="e">
        <f t="shared" si="11"/>
        <v>#N/A</v>
      </c>
      <c r="Y1712" s="30" t="e">
        <f t="shared" si="12"/>
        <v>#N/A</v>
      </c>
      <c r="Z1712" s="35" t="e">
        <f t="shared" si="13"/>
        <v>#VALUE!</v>
      </c>
      <c r="AA1712" s="29" t="e">
        <f t="shared" si="14"/>
        <v>#VALUE!</v>
      </c>
      <c r="AB1712" s="36" t="e">
        <f t="shared" si="15"/>
        <v>#VALUE!</v>
      </c>
      <c r="AC1712" s="37" t="b">
        <v>0</v>
      </c>
      <c r="AD1712" s="61" t="str">
        <f t="shared" si="16"/>
        <v>USD</v>
      </c>
      <c r="AE1712" s="37"/>
      <c r="AF1712" s="37" t="e">
        <f t="array" ref="AF1712">INDEX('Deal Info'!D:D, MATCH(A1712,'Deal Info'!A:A, 0))</f>
        <v>#N/A</v>
      </c>
      <c r="AG1712" s="38" t="e">
        <f t="array" ref="AG1712">INDEX('Deal Info'!G:G, MATCH(A1712,'Deal Info'!A:A, 0))</f>
        <v>#N/A</v>
      </c>
    </row>
    <row r="1713" spans="1:33" ht="14.25" hidden="1" x14ac:dyDescent="0.2">
      <c r="A1713" s="18" t="b">
        <f t="array" ref="A1713">IF(G1713='Room Info'!$B$1, INDEX('Room Info'!$A$2:$A2446, MATCH(B1713,'Room Info'!$B$2:$B2446, 0)),IF(G1713='Room Info'!$C$1, INDEX('Room Info'!$A$2:$A2446, MATCH(B1713,'Room Info'!$C$2:$C2446, 0)),IF(G1713='Room Info'!$D$1, INDEX('Room Info'!$A$2:$A2446, MATCH(B1713,'Room Info'!$D$2:$D2446, 0)),IF(G1713='Room Info'!$E$1, INDEX('Room Info'!$A$2:$A2446, MATCH(B1713,'Room Info'!$E$2:$E2446, 0)),IF(G1713='Room Info'!$F$1, INDEX('Room Info'!$A$2:$A2446, MATCH(B1713,'Room Info'!$F$2:$F2446, 0)),IF(G1713='Room Info'!$H$1, INDEX('Room Info'!$A$2:$A2446, MATCH(B1713,'Room Info'!$H$2:$H2446, 0)),IF(G1713='Room Info'!$G$1, INDEX('Room Info'!$A$2:$A2446, MATCH(B1713,'Room Info'!$G$2:$G2446, 0)))))))))</f>
        <v>0</v>
      </c>
      <c r="B1713" s="65"/>
      <c r="C1713" s="111"/>
      <c r="D1713" s="111"/>
      <c r="E1713" s="80"/>
      <c r="F1713" s="133"/>
      <c r="G1713" s="65"/>
      <c r="H1713" s="110"/>
      <c r="I1713" s="110"/>
      <c r="J1713" s="39" t="s">
        <v>334</v>
      </c>
      <c r="K1713" s="112"/>
      <c r="L1713" s="113"/>
      <c r="M1713" s="62"/>
      <c r="N1713" s="28" t="e">
        <f t="shared" si="8"/>
        <v>#VALUE!</v>
      </c>
      <c r="O1713" s="65"/>
      <c r="P1713" s="29" t="s">
        <v>334</v>
      </c>
      <c r="Q1713" s="55"/>
      <c r="R1713" s="31" t="e">
        <f t="shared" si="9"/>
        <v>#VALUE!</v>
      </c>
      <c r="S1713" s="66"/>
      <c r="T1713" s="32" t="e">
        <f t="shared" si="10"/>
        <v>#VALUE!</v>
      </c>
      <c r="U1713" s="57"/>
      <c r="V1713" s="58"/>
      <c r="W1713" s="58"/>
      <c r="X1713" s="30" t="e">
        <f t="shared" si="11"/>
        <v>#N/A</v>
      </c>
      <c r="Y1713" s="30" t="e">
        <f t="shared" si="12"/>
        <v>#N/A</v>
      </c>
      <c r="Z1713" s="35" t="e">
        <f t="shared" si="13"/>
        <v>#VALUE!</v>
      </c>
      <c r="AA1713" s="29" t="e">
        <f t="shared" si="14"/>
        <v>#VALUE!</v>
      </c>
      <c r="AB1713" s="36" t="e">
        <f t="shared" si="15"/>
        <v>#VALUE!</v>
      </c>
      <c r="AC1713" s="37" t="b">
        <v>0</v>
      </c>
      <c r="AD1713" s="61" t="str">
        <f t="shared" si="16"/>
        <v>USD</v>
      </c>
      <c r="AE1713" s="37"/>
      <c r="AF1713" s="37" t="e">
        <f t="array" ref="AF1713">INDEX('Deal Info'!D:D, MATCH(A1713,'Deal Info'!A:A, 0))</f>
        <v>#N/A</v>
      </c>
      <c r="AG1713" s="38" t="e">
        <f t="array" ref="AG1713">INDEX('Deal Info'!G:G, MATCH(A1713,'Deal Info'!A:A, 0))</f>
        <v>#N/A</v>
      </c>
    </row>
    <row r="1714" spans="1:33" ht="14.25" hidden="1" x14ac:dyDescent="0.2">
      <c r="A1714" s="18" t="b">
        <f t="array" ref="A1714">IF(G1714='Room Info'!$B$1, INDEX('Room Info'!$A$2:$A2446, MATCH(B1714,'Room Info'!$B$2:$B2446, 0)),IF(G1714='Room Info'!$C$1, INDEX('Room Info'!$A$2:$A2446, MATCH(B1714,'Room Info'!$C$2:$C2446, 0)),IF(G1714='Room Info'!$D$1, INDEX('Room Info'!$A$2:$A2446, MATCH(B1714,'Room Info'!$D$2:$D2446, 0)),IF(G1714='Room Info'!$E$1, INDEX('Room Info'!$A$2:$A2446, MATCH(B1714,'Room Info'!$E$2:$E2446, 0)),IF(G1714='Room Info'!$F$1, INDEX('Room Info'!$A$2:$A2446, MATCH(B1714,'Room Info'!$F$2:$F2446, 0)),IF(G1714='Room Info'!$H$1, INDEX('Room Info'!$A$2:$A2446, MATCH(B1714,'Room Info'!$H$2:$H2446, 0)),IF(G1714='Room Info'!$G$1, INDEX('Room Info'!$A$2:$A2446, MATCH(B1714,'Room Info'!$G$2:$G2446, 0)))))))))</f>
        <v>0</v>
      </c>
      <c r="B1714" s="65"/>
      <c r="C1714" s="111"/>
      <c r="D1714" s="111"/>
      <c r="E1714" s="80"/>
      <c r="F1714" s="133"/>
      <c r="G1714" s="65"/>
      <c r="H1714" s="110"/>
      <c r="I1714" s="110"/>
      <c r="J1714" s="39" t="s">
        <v>334</v>
      </c>
      <c r="K1714" s="112"/>
      <c r="L1714" s="113"/>
      <c r="M1714" s="62"/>
      <c r="N1714" s="28" t="e">
        <f t="shared" si="8"/>
        <v>#VALUE!</v>
      </c>
      <c r="O1714" s="65"/>
      <c r="P1714" s="29" t="s">
        <v>334</v>
      </c>
      <c r="Q1714" s="55"/>
      <c r="R1714" s="31" t="e">
        <f t="shared" si="9"/>
        <v>#VALUE!</v>
      </c>
      <c r="S1714" s="66"/>
      <c r="T1714" s="32" t="e">
        <f t="shared" si="10"/>
        <v>#VALUE!</v>
      </c>
      <c r="U1714" s="57"/>
      <c r="V1714" s="58"/>
      <c r="W1714" s="58"/>
      <c r="X1714" s="30" t="e">
        <f t="shared" si="11"/>
        <v>#N/A</v>
      </c>
      <c r="Y1714" s="30" t="e">
        <f t="shared" si="12"/>
        <v>#N/A</v>
      </c>
      <c r="Z1714" s="35" t="e">
        <f t="shared" si="13"/>
        <v>#VALUE!</v>
      </c>
      <c r="AA1714" s="29" t="e">
        <f t="shared" si="14"/>
        <v>#VALUE!</v>
      </c>
      <c r="AB1714" s="36" t="e">
        <f t="shared" si="15"/>
        <v>#VALUE!</v>
      </c>
      <c r="AC1714" s="37" t="b">
        <v>0</v>
      </c>
      <c r="AD1714" s="61" t="str">
        <f t="shared" si="16"/>
        <v>USD</v>
      </c>
      <c r="AE1714" s="37"/>
      <c r="AF1714" s="37" t="e">
        <f t="array" ref="AF1714">INDEX('Deal Info'!D:D, MATCH(A1714,'Deal Info'!A:A, 0))</f>
        <v>#N/A</v>
      </c>
      <c r="AG1714" s="38" t="e">
        <f t="array" ref="AG1714">INDEX('Deal Info'!G:G, MATCH(A1714,'Deal Info'!A:A, 0))</f>
        <v>#N/A</v>
      </c>
    </row>
    <row r="1715" spans="1:33" ht="14.25" hidden="1" x14ac:dyDescent="0.2">
      <c r="A1715" s="18" t="b">
        <f t="array" ref="A1715">IF(G1715='Room Info'!$B$1, INDEX('Room Info'!$A$2:$A2446, MATCH(B1715,'Room Info'!$B$2:$B2446, 0)),IF(G1715='Room Info'!$C$1, INDEX('Room Info'!$A$2:$A2446, MATCH(B1715,'Room Info'!$C$2:$C2446, 0)),IF(G1715='Room Info'!$D$1, INDEX('Room Info'!$A$2:$A2446, MATCH(B1715,'Room Info'!$D$2:$D2446, 0)),IF(G1715='Room Info'!$E$1, INDEX('Room Info'!$A$2:$A2446, MATCH(B1715,'Room Info'!$E$2:$E2446, 0)),IF(G1715='Room Info'!$F$1, INDEX('Room Info'!$A$2:$A2446, MATCH(B1715,'Room Info'!$F$2:$F2446, 0)),IF(G1715='Room Info'!$H$1, INDEX('Room Info'!$A$2:$A2446, MATCH(B1715,'Room Info'!$H$2:$H2446, 0)),IF(G1715='Room Info'!$G$1, INDEX('Room Info'!$A$2:$A2446, MATCH(B1715,'Room Info'!$G$2:$G2446, 0)))))))))</f>
        <v>0</v>
      </c>
      <c r="B1715" s="65"/>
      <c r="C1715" s="111"/>
      <c r="D1715" s="111"/>
      <c r="E1715" s="80"/>
      <c r="F1715" s="133"/>
      <c r="G1715" s="65"/>
      <c r="H1715" s="110"/>
      <c r="I1715" s="110"/>
      <c r="J1715" s="39" t="s">
        <v>334</v>
      </c>
      <c r="K1715" s="112"/>
      <c r="L1715" s="113"/>
      <c r="M1715" s="62"/>
      <c r="N1715" s="28" t="e">
        <f t="shared" si="8"/>
        <v>#VALUE!</v>
      </c>
      <c r="O1715" s="65"/>
      <c r="P1715" s="29" t="s">
        <v>334</v>
      </c>
      <c r="Q1715" s="55"/>
      <c r="R1715" s="31" t="e">
        <f t="shared" si="9"/>
        <v>#VALUE!</v>
      </c>
      <c r="S1715" s="66"/>
      <c r="T1715" s="32" t="e">
        <f t="shared" si="10"/>
        <v>#VALUE!</v>
      </c>
      <c r="U1715" s="57"/>
      <c r="V1715" s="58"/>
      <c r="W1715" s="58"/>
      <c r="X1715" s="30" t="e">
        <f t="shared" si="11"/>
        <v>#N/A</v>
      </c>
      <c r="Y1715" s="30" t="e">
        <f t="shared" si="12"/>
        <v>#N/A</v>
      </c>
      <c r="Z1715" s="35" t="e">
        <f t="shared" si="13"/>
        <v>#VALUE!</v>
      </c>
      <c r="AA1715" s="29" t="e">
        <f t="shared" si="14"/>
        <v>#VALUE!</v>
      </c>
      <c r="AB1715" s="36" t="e">
        <f t="shared" si="15"/>
        <v>#VALUE!</v>
      </c>
      <c r="AC1715" s="37" t="b">
        <v>0</v>
      </c>
      <c r="AD1715" s="61" t="str">
        <f t="shared" si="16"/>
        <v>USD</v>
      </c>
      <c r="AE1715" s="37"/>
      <c r="AF1715" s="37" t="e">
        <f t="array" ref="AF1715">INDEX('Deal Info'!D:D, MATCH(A1715,'Deal Info'!A:A, 0))</f>
        <v>#N/A</v>
      </c>
      <c r="AG1715" s="38" t="e">
        <f t="array" ref="AG1715">INDEX('Deal Info'!G:G, MATCH(A1715,'Deal Info'!A:A, 0))</f>
        <v>#N/A</v>
      </c>
    </row>
    <row r="1716" spans="1:33" ht="14.25" hidden="1" x14ac:dyDescent="0.2">
      <c r="A1716" s="18" t="b">
        <f t="array" ref="A1716">IF(G1716='Room Info'!$B$1, INDEX('Room Info'!$A$2:$A2446, MATCH(B1716,'Room Info'!$B$2:$B2446, 0)),IF(G1716='Room Info'!$C$1, INDEX('Room Info'!$A$2:$A2446, MATCH(B1716,'Room Info'!$C$2:$C2446, 0)),IF(G1716='Room Info'!$D$1, INDEX('Room Info'!$A$2:$A2446, MATCH(B1716,'Room Info'!$D$2:$D2446, 0)),IF(G1716='Room Info'!$E$1, INDEX('Room Info'!$A$2:$A2446, MATCH(B1716,'Room Info'!$E$2:$E2446, 0)),IF(G1716='Room Info'!$F$1, INDEX('Room Info'!$A$2:$A2446, MATCH(B1716,'Room Info'!$F$2:$F2446, 0)),IF(G1716='Room Info'!$H$1, INDEX('Room Info'!$A$2:$A2446, MATCH(B1716,'Room Info'!$H$2:$H2446, 0)),IF(G1716='Room Info'!$G$1, INDEX('Room Info'!$A$2:$A2446, MATCH(B1716,'Room Info'!$G$2:$G2446, 0)))))))))</f>
        <v>0</v>
      </c>
      <c r="B1716" s="65"/>
      <c r="C1716" s="111"/>
      <c r="D1716" s="111"/>
      <c r="E1716" s="80"/>
      <c r="F1716" s="133"/>
      <c r="G1716" s="65"/>
      <c r="H1716" s="110"/>
      <c r="I1716" s="110"/>
      <c r="J1716" s="39" t="s">
        <v>334</v>
      </c>
      <c r="K1716" s="112"/>
      <c r="L1716" s="138"/>
      <c r="M1716" s="62"/>
      <c r="N1716" s="28" t="e">
        <f t="shared" si="8"/>
        <v>#VALUE!</v>
      </c>
      <c r="O1716" s="128"/>
      <c r="P1716" s="29" t="s">
        <v>334</v>
      </c>
      <c r="Q1716" s="55"/>
      <c r="R1716" s="31" t="e">
        <f t="shared" si="9"/>
        <v>#VALUE!</v>
      </c>
      <c r="S1716" s="118"/>
      <c r="T1716" s="32" t="e">
        <f t="shared" si="10"/>
        <v>#VALUE!</v>
      </c>
      <c r="U1716" s="57"/>
      <c r="V1716" s="58"/>
      <c r="W1716" s="58"/>
      <c r="X1716" s="30" t="e">
        <f t="shared" si="11"/>
        <v>#N/A</v>
      </c>
      <c r="Y1716" s="30" t="e">
        <f t="shared" si="12"/>
        <v>#N/A</v>
      </c>
      <c r="Z1716" s="35" t="e">
        <f t="shared" si="13"/>
        <v>#VALUE!</v>
      </c>
      <c r="AA1716" s="29" t="e">
        <f t="shared" si="14"/>
        <v>#VALUE!</v>
      </c>
      <c r="AB1716" s="36" t="e">
        <f t="shared" si="15"/>
        <v>#VALUE!</v>
      </c>
      <c r="AC1716" s="37" t="b">
        <v>0</v>
      </c>
      <c r="AD1716" s="61" t="str">
        <f t="shared" si="16"/>
        <v>USD</v>
      </c>
      <c r="AE1716" s="37"/>
      <c r="AF1716" s="37" t="e">
        <f t="array" ref="AF1716">INDEX('Deal Info'!D:D, MATCH(A1716,'Deal Info'!A:A, 0))</f>
        <v>#N/A</v>
      </c>
      <c r="AG1716" s="38" t="e">
        <f t="array" ref="AG1716">INDEX('Deal Info'!G:G, MATCH(A1716,'Deal Info'!A:A, 0))</f>
        <v>#N/A</v>
      </c>
    </row>
    <row r="1717" spans="1:33" ht="14.25" hidden="1" x14ac:dyDescent="0.2">
      <c r="A1717" s="18" t="b">
        <f t="array" ref="A1717">IF(G1717='Room Info'!$B$1, INDEX('Room Info'!$A$2:$A2446, MATCH(B1717,'Room Info'!$B$2:$B2446, 0)),IF(G1717='Room Info'!$C$1, INDEX('Room Info'!$A$2:$A2446, MATCH(B1717,'Room Info'!$C$2:$C2446, 0)),IF(G1717='Room Info'!$D$1, INDEX('Room Info'!$A$2:$A2446, MATCH(B1717,'Room Info'!$D$2:$D2446, 0)),IF(G1717='Room Info'!$E$1, INDEX('Room Info'!$A$2:$A2446, MATCH(B1717,'Room Info'!$E$2:$E2446, 0)),IF(G1717='Room Info'!$F$1, INDEX('Room Info'!$A$2:$A2446, MATCH(B1717,'Room Info'!$F$2:$F2446, 0)),IF(G1717='Room Info'!$H$1, INDEX('Room Info'!$A$2:$A2446, MATCH(B1717,'Room Info'!$H$2:$H2446, 0)),IF(G1717='Room Info'!$G$1, INDEX('Room Info'!$A$2:$A2446, MATCH(B1717,'Room Info'!$G$2:$G2446, 0)))))))))</f>
        <v>0</v>
      </c>
      <c r="B1717" s="96"/>
      <c r="C1717" s="136"/>
      <c r="D1717" s="136"/>
      <c r="E1717" s="137"/>
      <c r="F1717" s="133"/>
      <c r="G1717" s="96"/>
      <c r="H1717" s="100"/>
      <c r="I1717" s="100"/>
      <c r="J1717" s="39" t="s">
        <v>334</v>
      </c>
      <c r="K1717" s="134"/>
      <c r="L1717" s="135"/>
      <c r="M1717" s="79"/>
      <c r="N1717" s="28" t="e">
        <f t="shared" si="8"/>
        <v>#VALUE!</v>
      </c>
      <c r="O1717" s="96"/>
      <c r="P1717" s="29" t="s">
        <v>334</v>
      </c>
      <c r="Q1717" s="55"/>
      <c r="R1717" s="31" t="e">
        <f t="shared" si="9"/>
        <v>#VALUE!</v>
      </c>
      <c r="S1717" s="97"/>
      <c r="T1717" s="32" t="e">
        <f t="shared" si="10"/>
        <v>#VALUE!</v>
      </c>
      <c r="U1717" s="57"/>
      <c r="V1717" s="58"/>
      <c r="W1717" s="58"/>
      <c r="X1717" s="30" t="e">
        <f t="shared" si="11"/>
        <v>#N/A</v>
      </c>
      <c r="Y1717" s="30" t="e">
        <f t="shared" si="12"/>
        <v>#N/A</v>
      </c>
      <c r="Z1717" s="35" t="e">
        <f t="shared" si="13"/>
        <v>#VALUE!</v>
      </c>
      <c r="AA1717" s="29" t="e">
        <f t="shared" si="14"/>
        <v>#VALUE!</v>
      </c>
      <c r="AB1717" s="36" t="e">
        <f t="shared" si="15"/>
        <v>#VALUE!</v>
      </c>
      <c r="AC1717" s="37" t="b">
        <v>0</v>
      </c>
      <c r="AD1717" s="61" t="str">
        <f t="shared" si="16"/>
        <v>USD</v>
      </c>
      <c r="AE1717" s="37"/>
      <c r="AF1717" s="37" t="e">
        <f t="array" ref="AF1717">INDEX('Deal Info'!D:D, MATCH(A1717,'Deal Info'!A:A, 0))</f>
        <v>#N/A</v>
      </c>
      <c r="AG1717" s="38" t="e">
        <f t="array" ref="AG1717">INDEX('Deal Info'!G:G, MATCH(A1717,'Deal Info'!A:A, 0))</f>
        <v>#N/A</v>
      </c>
    </row>
    <row r="1718" spans="1:33" ht="14.25" hidden="1" x14ac:dyDescent="0.2">
      <c r="A1718" s="18" t="b">
        <f t="array" ref="A1718">IF(G1718='Room Info'!$B$1, INDEX('Room Info'!$A$2:$A2446, MATCH(B1718,'Room Info'!$B$2:$B2446, 0)),IF(G1718='Room Info'!$C$1, INDEX('Room Info'!$A$2:$A2446, MATCH(B1718,'Room Info'!$C$2:$C2446, 0)),IF(G1718='Room Info'!$D$1, INDEX('Room Info'!$A$2:$A2446, MATCH(B1718,'Room Info'!$D$2:$D2446, 0)),IF(G1718='Room Info'!$E$1, INDEX('Room Info'!$A$2:$A2446, MATCH(B1718,'Room Info'!$E$2:$E2446, 0)),IF(G1718='Room Info'!$F$1, INDEX('Room Info'!$A$2:$A2446, MATCH(B1718,'Room Info'!$F$2:$F2446, 0)),IF(G1718='Room Info'!$H$1, INDEX('Room Info'!$A$2:$A2446, MATCH(B1718,'Room Info'!$H$2:$H2446, 0)),IF(G1718='Room Info'!$G$1, INDEX('Room Info'!$A$2:$A2446, MATCH(B1718,'Room Info'!$G$2:$G2446, 0)))))))))</f>
        <v>0</v>
      </c>
      <c r="B1718" s="96"/>
      <c r="C1718" s="136"/>
      <c r="D1718" s="136"/>
      <c r="E1718" s="137"/>
      <c r="F1718" s="133"/>
      <c r="G1718" s="96"/>
      <c r="H1718" s="100"/>
      <c r="I1718" s="100"/>
      <c r="J1718" s="39" t="s">
        <v>334</v>
      </c>
      <c r="K1718" s="134"/>
      <c r="L1718" s="135"/>
      <c r="M1718" s="79"/>
      <c r="N1718" s="28" t="e">
        <f t="shared" si="8"/>
        <v>#VALUE!</v>
      </c>
      <c r="O1718" s="96"/>
      <c r="P1718" s="29" t="s">
        <v>334</v>
      </c>
      <c r="Q1718" s="55"/>
      <c r="R1718" s="31" t="e">
        <f t="shared" si="9"/>
        <v>#VALUE!</v>
      </c>
      <c r="S1718" s="97"/>
      <c r="T1718" s="32" t="e">
        <f t="shared" si="10"/>
        <v>#VALUE!</v>
      </c>
      <c r="U1718" s="57"/>
      <c r="V1718" s="58"/>
      <c r="W1718" s="58"/>
      <c r="X1718" s="30" t="e">
        <f t="shared" si="11"/>
        <v>#N/A</v>
      </c>
      <c r="Y1718" s="30" t="e">
        <f t="shared" si="12"/>
        <v>#N/A</v>
      </c>
      <c r="Z1718" s="35" t="e">
        <f t="shared" si="13"/>
        <v>#VALUE!</v>
      </c>
      <c r="AA1718" s="29" t="e">
        <f t="shared" si="14"/>
        <v>#VALUE!</v>
      </c>
      <c r="AB1718" s="36" t="e">
        <f t="shared" si="15"/>
        <v>#VALUE!</v>
      </c>
      <c r="AC1718" s="37" t="b">
        <v>0</v>
      </c>
      <c r="AD1718" s="61" t="str">
        <f t="shared" si="16"/>
        <v>USD</v>
      </c>
      <c r="AE1718" s="37"/>
      <c r="AF1718" s="37" t="e">
        <f t="array" ref="AF1718">INDEX('Deal Info'!D:D, MATCH(A1718,'Deal Info'!A:A, 0))</f>
        <v>#N/A</v>
      </c>
      <c r="AG1718" s="38" t="e">
        <f t="array" ref="AG1718">INDEX('Deal Info'!G:G, MATCH(A1718,'Deal Info'!A:A, 0))</f>
        <v>#N/A</v>
      </c>
    </row>
    <row r="1719" spans="1:33" ht="14.25" hidden="1" x14ac:dyDescent="0.2">
      <c r="A1719" s="18" t="b">
        <f t="array" ref="A1719">IF(G1719='Room Info'!$B$1, INDEX('Room Info'!$A$2:$A2446, MATCH(B1719,'Room Info'!$B$2:$B2446, 0)),IF(G1719='Room Info'!$C$1, INDEX('Room Info'!$A$2:$A2446, MATCH(B1719,'Room Info'!$C$2:$C2446, 0)),IF(G1719='Room Info'!$D$1, INDEX('Room Info'!$A$2:$A2446, MATCH(B1719,'Room Info'!$D$2:$D2446, 0)),IF(G1719='Room Info'!$E$1, INDEX('Room Info'!$A$2:$A2446, MATCH(B1719,'Room Info'!$E$2:$E2446, 0)),IF(G1719='Room Info'!$F$1, INDEX('Room Info'!$A$2:$A2446, MATCH(B1719,'Room Info'!$F$2:$F2446, 0)),IF(G1719='Room Info'!$H$1, INDEX('Room Info'!$A$2:$A2446, MATCH(B1719,'Room Info'!$H$2:$H2446, 0)),IF(G1719='Room Info'!$G$1, INDEX('Room Info'!$A$2:$A2446, MATCH(B1719,'Room Info'!$G$2:$G2446, 0)))))))))</f>
        <v>0</v>
      </c>
      <c r="B1719" s="96"/>
      <c r="C1719" s="136"/>
      <c r="D1719" s="136"/>
      <c r="E1719" s="137"/>
      <c r="F1719" s="133"/>
      <c r="G1719" s="96"/>
      <c r="H1719" s="100"/>
      <c r="I1719" s="100"/>
      <c r="J1719" s="39" t="s">
        <v>334</v>
      </c>
      <c r="K1719" s="134"/>
      <c r="L1719" s="135"/>
      <c r="M1719" s="79"/>
      <c r="N1719" s="28" t="e">
        <f t="shared" si="8"/>
        <v>#VALUE!</v>
      </c>
      <c r="O1719" s="96"/>
      <c r="P1719" s="29" t="s">
        <v>334</v>
      </c>
      <c r="Q1719" s="55"/>
      <c r="R1719" s="31" t="e">
        <f t="shared" si="9"/>
        <v>#VALUE!</v>
      </c>
      <c r="S1719" s="97"/>
      <c r="T1719" s="32" t="e">
        <f t="shared" si="10"/>
        <v>#VALUE!</v>
      </c>
      <c r="U1719" s="57"/>
      <c r="V1719" s="58"/>
      <c r="W1719" s="58"/>
      <c r="X1719" s="30" t="e">
        <f t="shared" si="11"/>
        <v>#N/A</v>
      </c>
      <c r="Y1719" s="30" t="e">
        <f t="shared" si="12"/>
        <v>#N/A</v>
      </c>
      <c r="Z1719" s="35" t="e">
        <f t="shared" si="13"/>
        <v>#VALUE!</v>
      </c>
      <c r="AA1719" s="29" t="e">
        <f t="shared" si="14"/>
        <v>#VALUE!</v>
      </c>
      <c r="AB1719" s="36" t="e">
        <f t="shared" si="15"/>
        <v>#VALUE!</v>
      </c>
      <c r="AC1719" s="37" t="b">
        <v>0</v>
      </c>
      <c r="AD1719" s="61" t="str">
        <f t="shared" si="16"/>
        <v>USD</v>
      </c>
      <c r="AE1719" s="37"/>
      <c r="AF1719" s="37" t="e">
        <f t="array" ref="AF1719">INDEX('Deal Info'!D:D, MATCH(A1719,'Deal Info'!A:A, 0))</f>
        <v>#N/A</v>
      </c>
      <c r="AG1719" s="38" t="e">
        <f t="array" ref="AG1719">INDEX('Deal Info'!G:G, MATCH(A1719,'Deal Info'!A:A, 0))</f>
        <v>#N/A</v>
      </c>
    </row>
    <row r="1720" spans="1:33" ht="14.25" hidden="1" x14ac:dyDescent="0.2">
      <c r="A1720" s="18" t="b">
        <f t="array" ref="A1720">IF(G1720='Room Info'!$B$1, INDEX('Room Info'!$A$2:$A2446, MATCH(B1720,'Room Info'!$B$2:$B2446, 0)),IF(G1720='Room Info'!$C$1, INDEX('Room Info'!$A$2:$A2446, MATCH(B1720,'Room Info'!$C$2:$C2446, 0)),IF(G1720='Room Info'!$D$1, INDEX('Room Info'!$A$2:$A2446, MATCH(B1720,'Room Info'!$D$2:$D2446, 0)),IF(G1720='Room Info'!$E$1, INDEX('Room Info'!$A$2:$A2446, MATCH(B1720,'Room Info'!$E$2:$E2446, 0)),IF(G1720='Room Info'!$F$1, INDEX('Room Info'!$A$2:$A2446, MATCH(B1720,'Room Info'!$F$2:$F2446, 0)),IF(G1720='Room Info'!$H$1, INDEX('Room Info'!$A$2:$A2446, MATCH(B1720,'Room Info'!$H$2:$H2446, 0)),IF(G1720='Room Info'!$G$1, INDEX('Room Info'!$A$2:$A2446, MATCH(B1720,'Room Info'!$G$2:$G2446, 0)))))))))</f>
        <v>0</v>
      </c>
      <c r="B1720" s="96"/>
      <c r="C1720" s="136"/>
      <c r="D1720" s="136"/>
      <c r="E1720" s="137"/>
      <c r="F1720" s="133"/>
      <c r="G1720" s="96"/>
      <c r="H1720" s="100"/>
      <c r="I1720" s="100"/>
      <c r="J1720" s="39" t="s">
        <v>334</v>
      </c>
      <c r="K1720" s="134"/>
      <c r="L1720" s="135"/>
      <c r="M1720" s="79"/>
      <c r="N1720" s="28" t="e">
        <f t="shared" si="8"/>
        <v>#VALUE!</v>
      </c>
      <c r="O1720" s="96"/>
      <c r="P1720" s="29" t="s">
        <v>334</v>
      </c>
      <c r="Q1720" s="55"/>
      <c r="R1720" s="31" t="e">
        <f t="shared" si="9"/>
        <v>#VALUE!</v>
      </c>
      <c r="S1720" s="97"/>
      <c r="T1720" s="32" t="e">
        <f t="shared" si="10"/>
        <v>#VALUE!</v>
      </c>
      <c r="U1720" s="57"/>
      <c r="V1720" s="58"/>
      <c r="W1720" s="58"/>
      <c r="X1720" s="30" t="e">
        <f t="shared" si="11"/>
        <v>#N/A</v>
      </c>
      <c r="Y1720" s="30" t="e">
        <f t="shared" si="12"/>
        <v>#N/A</v>
      </c>
      <c r="Z1720" s="35" t="e">
        <f t="shared" si="13"/>
        <v>#VALUE!</v>
      </c>
      <c r="AA1720" s="29" t="e">
        <f t="shared" si="14"/>
        <v>#VALUE!</v>
      </c>
      <c r="AB1720" s="36" t="e">
        <f t="shared" si="15"/>
        <v>#VALUE!</v>
      </c>
      <c r="AC1720" s="37" t="b">
        <v>0</v>
      </c>
      <c r="AD1720" s="61" t="str">
        <f t="shared" si="16"/>
        <v>USD</v>
      </c>
      <c r="AE1720" s="37"/>
      <c r="AF1720" s="37" t="e">
        <f t="array" ref="AF1720">INDEX('Deal Info'!D:D, MATCH(A1720,'Deal Info'!A:A, 0))</f>
        <v>#N/A</v>
      </c>
      <c r="AG1720" s="38" t="e">
        <f t="array" ref="AG1720">INDEX('Deal Info'!G:G, MATCH(A1720,'Deal Info'!A:A, 0))</f>
        <v>#N/A</v>
      </c>
    </row>
    <row r="1721" spans="1:33" ht="14.25" hidden="1" x14ac:dyDescent="0.2">
      <c r="A1721" s="18" t="b">
        <f t="array" ref="A1721">IF(G1721='Room Info'!$B$1, INDEX('Room Info'!$A$2:$A2446, MATCH(B1721,'Room Info'!$B$2:$B2446, 0)),IF(G1721='Room Info'!$C$1, INDEX('Room Info'!$A$2:$A2446, MATCH(B1721,'Room Info'!$C$2:$C2446, 0)),IF(G1721='Room Info'!$D$1, INDEX('Room Info'!$A$2:$A2446, MATCH(B1721,'Room Info'!$D$2:$D2446, 0)),IF(G1721='Room Info'!$E$1, INDEX('Room Info'!$A$2:$A2446, MATCH(B1721,'Room Info'!$E$2:$E2446, 0)),IF(G1721='Room Info'!$F$1, INDEX('Room Info'!$A$2:$A2446, MATCH(B1721,'Room Info'!$F$2:$F2446, 0)),IF(G1721='Room Info'!$H$1, INDEX('Room Info'!$A$2:$A2446, MATCH(B1721,'Room Info'!$H$2:$H2446, 0)),IF(G1721='Room Info'!$G$1, INDEX('Room Info'!$A$2:$A2446, MATCH(B1721,'Room Info'!$G$2:$G2446, 0)))))))))</f>
        <v>0</v>
      </c>
      <c r="B1721" s="96"/>
      <c r="C1721" s="136"/>
      <c r="D1721" s="136"/>
      <c r="E1721" s="137"/>
      <c r="F1721" s="133"/>
      <c r="G1721" s="96"/>
      <c r="H1721" s="100"/>
      <c r="I1721" s="100"/>
      <c r="J1721" s="39" t="s">
        <v>334</v>
      </c>
      <c r="K1721" s="134"/>
      <c r="L1721" s="135"/>
      <c r="M1721" s="79"/>
      <c r="N1721" s="28" t="e">
        <f t="shared" si="8"/>
        <v>#VALUE!</v>
      </c>
      <c r="O1721" s="96"/>
      <c r="P1721" s="29" t="s">
        <v>334</v>
      </c>
      <c r="Q1721" s="55"/>
      <c r="R1721" s="31" t="e">
        <f t="shared" si="9"/>
        <v>#VALUE!</v>
      </c>
      <c r="S1721" s="97"/>
      <c r="T1721" s="32" t="e">
        <f t="shared" si="10"/>
        <v>#VALUE!</v>
      </c>
      <c r="U1721" s="57"/>
      <c r="V1721" s="58"/>
      <c r="W1721" s="58"/>
      <c r="X1721" s="30" t="e">
        <f t="shared" si="11"/>
        <v>#N/A</v>
      </c>
      <c r="Y1721" s="30" t="e">
        <f t="shared" si="12"/>
        <v>#N/A</v>
      </c>
      <c r="Z1721" s="35" t="e">
        <f t="shared" si="13"/>
        <v>#VALUE!</v>
      </c>
      <c r="AA1721" s="29" t="e">
        <f t="shared" si="14"/>
        <v>#VALUE!</v>
      </c>
      <c r="AB1721" s="36" t="e">
        <f t="shared" si="15"/>
        <v>#VALUE!</v>
      </c>
      <c r="AC1721" s="37" t="b">
        <v>0</v>
      </c>
      <c r="AD1721" s="61" t="str">
        <f t="shared" si="16"/>
        <v>USD</v>
      </c>
      <c r="AE1721" s="37"/>
      <c r="AF1721" s="37" t="e">
        <f t="array" ref="AF1721">INDEX('Deal Info'!D:D, MATCH(A1721,'Deal Info'!A:A, 0))</f>
        <v>#N/A</v>
      </c>
      <c r="AG1721" s="38" t="e">
        <f t="array" ref="AG1721">INDEX('Deal Info'!G:G, MATCH(A1721,'Deal Info'!A:A, 0))</f>
        <v>#N/A</v>
      </c>
    </row>
    <row r="1722" spans="1:33" ht="14.25" hidden="1" x14ac:dyDescent="0.2">
      <c r="A1722" s="18" t="b">
        <f t="array" ref="A1722">IF(G1722='Room Info'!$B$1, INDEX('Room Info'!$A$2:$A2446, MATCH(B1722,'Room Info'!$B$2:$B2446, 0)),IF(G1722='Room Info'!$C$1, INDEX('Room Info'!$A$2:$A2446, MATCH(B1722,'Room Info'!$C$2:$C2446, 0)),IF(G1722='Room Info'!$D$1, INDEX('Room Info'!$A$2:$A2446, MATCH(B1722,'Room Info'!$D$2:$D2446, 0)),IF(G1722='Room Info'!$E$1, INDEX('Room Info'!$A$2:$A2446, MATCH(B1722,'Room Info'!$E$2:$E2446, 0)),IF(G1722='Room Info'!$F$1, INDEX('Room Info'!$A$2:$A2446, MATCH(B1722,'Room Info'!$F$2:$F2446, 0)),IF(G1722='Room Info'!$H$1, INDEX('Room Info'!$A$2:$A2446, MATCH(B1722,'Room Info'!$H$2:$H2446, 0)),IF(G1722='Room Info'!$G$1, INDEX('Room Info'!$A$2:$A2446, MATCH(B1722,'Room Info'!$G$2:$G2446, 0)))))))))</f>
        <v>0</v>
      </c>
      <c r="B1722" s="96"/>
      <c r="C1722" s="111"/>
      <c r="D1722" s="111"/>
      <c r="E1722" s="80"/>
      <c r="F1722" s="96"/>
      <c r="G1722" s="65"/>
      <c r="H1722" s="110"/>
      <c r="I1722" s="110"/>
      <c r="J1722" s="39" t="s">
        <v>334</v>
      </c>
      <c r="K1722" s="112"/>
      <c r="L1722" s="113"/>
      <c r="M1722" s="62"/>
      <c r="N1722" s="28" t="e">
        <f t="shared" si="8"/>
        <v>#VALUE!</v>
      </c>
      <c r="O1722" s="65"/>
      <c r="P1722" s="29" t="s">
        <v>334</v>
      </c>
      <c r="Q1722" s="55"/>
      <c r="R1722" s="31" t="e">
        <f t="shared" si="9"/>
        <v>#VALUE!</v>
      </c>
      <c r="S1722" s="66"/>
      <c r="T1722" s="32" t="e">
        <f t="shared" si="10"/>
        <v>#VALUE!</v>
      </c>
      <c r="U1722" s="57"/>
      <c r="V1722" s="58"/>
      <c r="W1722" s="58"/>
      <c r="X1722" s="30" t="e">
        <f t="shared" si="11"/>
        <v>#N/A</v>
      </c>
      <c r="Y1722" s="30" t="e">
        <f t="shared" si="12"/>
        <v>#N/A</v>
      </c>
      <c r="Z1722" s="35" t="e">
        <f t="shared" si="13"/>
        <v>#VALUE!</v>
      </c>
      <c r="AA1722" s="29" t="e">
        <f t="shared" si="14"/>
        <v>#VALUE!</v>
      </c>
      <c r="AB1722" s="36" t="e">
        <f t="shared" si="15"/>
        <v>#VALUE!</v>
      </c>
      <c r="AC1722" s="37" t="b">
        <v>0</v>
      </c>
      <c r="AD1722" s="61" t="str">
        <f t="shared" si="16"/>
        <v>USD</v>
      </c>
      <c r="AE1722" s="37"/>
      <c r="AF1722" s="37" t="e">
        <f t="array" ref="AF1722">INDEX('Deal Info'!D:D, MATCH(A1722,'Deal Info'!A:A, 0))</f>
        <v>#N/A</v>
      </c>
      <c r="AG1722" s="38" t="e">
        <f t="array" ref="AG1722">INDEX('Deal Info'!G:G, MATCH(A1722,'Deal Info'!A:A, 0))</f>
        <v>#N/A</v>
      </c>
    </row>
    <row r="1723" spans="1:33" ht="14.25" hidden="1" x14ac:dyDescent="0.2">
      <c r="A1723" s="18" t="b">
        <f t="array" ref="A1723">IF(G1723='Room Info'!$B$1, INDEX('Room Info'!$A$2:$A2446, MATCH(B1723,'Room Info'!$B$2:$B2446, 0)),IF(G1723='Room Info'!$C$1, INDEX('Room Info'!$A$2:$A2446, MATCH(B1723,'Room Info'!$C$2:$C2446, 0)),IF(G1723='Room Info'!$D$1, INDEX('Room Info'!$A$2:$A2446, MATCH(B1723,'Room Info'!$D$2:$D2446, 0)),IF(G1723='Room Info'!$E$1, INDEX('Room Info'!$A$2:$A2446, MATCH(B1723,'Room Info'!$E$2:$E2446, 0)),IF(G1723='Room Info'!$F$1, INDEX('Room Info'!$A$2:$A2446, MATCH(B1723,'Room Info'!$F$2:$F2446, 0)),IF(G1723='Room Info'!$H$1, INDEX('Room Info'!$A$2:$A2446, MATCH(B1723,'Room Info'!$H$2:$H2446, 0)),IF(G1723='Room Info'!$G$1, INDEX('Room Info'!$A$2:$A2446, MATCH(B1723,'Room Info'!$G$2:$G2446, 0)))))))))</f>
        <v>0</v>
      </c>
      <c r="B1723" s="96"/>
      <c r="C1723" s="136"/>
      <c r="D1723" s="136"/>
      <c r="E1723" s="137"/>
      <c r="F1723" s="133"/>
      <c r="G1723" s="96"/>
      <c r="H1723" s="100"/>
      <c r="I1723" s="100"/>
      <c r="J1723" s="39" t="s">
        <v>334</v>
      </c>
      <c r="K1723" s="134"/>
      <c r="L1723" s="135"/>
      <c r="M1723" s="79"/>
      <c r="N1723" s="28" t="e">
        <f t="shared" si="8"/>
        <v>#VALUE!</v>
      </c>
      <c r="O1723" s="96"/>
      <c r="P1723" s="29" t="s">
        <v>334</v>
      </c>
      <c r="Q1723" s="55"/>
      <c r="R1723" s="31" t="e">
        <f t="shared" si="9"/>
        <v>#VALUE!</v>
      </c>
      <c r="S1723" s="97"/>
      <c r="T1723" s="32" t="e">
        <f t="shared" si="10"/>
        <v>#VALUE!</v>
      </c>
      <c r="U1723" s="57"/>
      <c r="V1723" s="58"/>
      <c r="W1723" s="58"/>
      <c r="X1723" s="30" t="e">
        <f t="shared" si="11"/>
        <v>#N/A</v>
      </c>
      <c r="Y1723" s="30" t="e">
        <f t="shared" si="12"/>
        <v>#N/A</v>
      </c>
      <c r="Z1723" s="35" t="e">
        <f t="shared" si="13"/>
        <v>#VALUE!</v>
      </c>
      <c r="AA1723" s="29" t="e">
        <f t="shared" si="14"/>
        <v>#VALUE!</v>
      </c>
      <c r="AB1723" s="36" t="e">
        <f t="shared" si="15"/>
        <v>#VALUE!</v>
      </c>
      <c r="AC1723" s="37" t="b">
        <v>0</v>
      </c>
      <c r="AD1723" s="61" t="str">
        <f t="shared" si="16"/>
        <v>USD</v>
      </c>
      <c r="AE1723" s="37"/>
      <c r="AF1723" s="37" t="e">
        <f t="array" ref="AF1723">INDEX('Deal Info'!D:D, MATCH(A1723,'Deal Info'!A:A, 0))</f>
        <v>#N/A</v>
      </c>
      <c r="AG1723" s="38" t="e">
        <f t="array" ref="AG1723">INDEX('Deal Info'!G:G, MATCH(A1723,'Deal Info'!A:A, 0))</f>
        <v>#N/A</v>
      </c>
    </row>
    <row r="1724" spans="1:33" ht="14.25" hidden="1" x14ac:dyDescent="0.2">
      <c r="A1724" s="18" t="b">
        <f t="array" ref="A1724">IF(G1724='Room Info'!$B$1, INDEX('Room Info'!$A$2:$A2446, MATCH(B1724,'Room Info'!$B$2:$B2446, 0)),IF(G1724='Room Info'!$C$1, INDEX('Room Info'!$A$2:$A2446, MATCH(B1724,'Room Info'!$C$2:$C2446, 0)),IF(G1724='Room Info'!$D$1, INDEX('Room Info'!$A$2:$A2446, MATCH(B1724,'Room Info'!$D$2:$D2446, 0)),IF(G1724='Room Info'!$E$1, INDEX('Room Info'!$A$2:$A2446, MATCH(B1724,'Room Info'!$E$2:$E2446, 0)),IF(G1724='Room Info'!$F$1, INDEX('Room Info'!$A$2:$A2446, MATCH(B1724,'Room Info'!$F$2:$F2446, 0)),IF(G1724='Room Info'!$H$1, INDEX('Room Info'!$A$2:$A2446, MATCH(B1724,'Room Info'!$H$2:$H2446, 0)),IF(G1724='Room Info'!$G$1, INDEX('Room Info'!$A$2:$A2446, MATCH(B1724,'Room Info'!$G$2:$G2446, 0)))))))))</f>
        <v>0</v>
      </c>
      <c r="B1724" s="96"/>
      <c r="C1724" s="111"/>
      <c r="D1724" s="111"/>
      <c r="E1724" s="80"/>
      <c r="F1724" s="133"/>
      <c r="G1724" s="65"/>
      <c r="H1724" s="110"/>
      <c r="I1724" s="110"/>
      <c r="J1724" s="39" t="s">
        <v>334</v>
      </c>
      <c r="K1724" s="112"/>
      <c r="L1724" s="113"/>
      <c r="M1724" s="62"/>
      <c r="N1724" s="28" t="e">
        <f t="shared" si="8"/>
        <v>#VALUE!</v>
      </c>
      <c r="O1724" s="65"/>
      <c r="P1724" s="29" t="s">
        <v>334</v>
      </c>
      <c r="Q1724" s="55"/>
      <c r="R1724" s="31" t="e">
        <f t="shared" si="9"/>
        <v>#VALUE!</v>
      </c>
      <c r="S1724" s="66"/>
      <c r="T1724" s="32" t="e">
        <f t="shared" si="10"/>
        <v>#VALUE!</v>
      </c>
      <c r="U1724" s="57"/>
      <c r="V1724" s="58"/>
      <c r="W1724" s="58"/>
      <c r="X1724" s="30" t="e">
        <f t="shared" si="11"/>
        <v>#N/A</v>
      </c>
      <c r="Y1724" s="30" t="e">
        <f t="shared" si="12"/>
        <v>#N/A</v>
      </c>
      <c r="Z1724" s="35" t="e">
        <f t="shared" si="13"/>
        <v>#VALUE!</v>
      </c>
      <c r="AA1724" s="29" t="e">
        <f t="shared" si="14"/>
        <v>#VALUE!</v>
      </c>
      <c r="AB1724" s="36" t="e">
        <f t="shared" si="15"/>
        <v>#VALUE!</v>
      </c>
      <c r="AC1724" s="37" t="b">
        <v>0</v>
      </c>
      <c r="AD1724" s="61" t="str">
        <f t="shared" si="16"/>
        <v>USD</v>
      </c>
      <c r="AE1724" s="37"/>
      <c r="AF1724" s="37" t="e">
        <f t="array" ref="AF1724">INDEX('Deal Info'!D:D, MATCH(A1724,'Deal Info'!A:A, 0))</f>
        <v>#N/A</v>
      </c>
      <c r="AG1724" s="38" t="e">
        <f t="array" ref="AG1724">INDEX('Deal Info'!G:G, MATCH(A1724,'Deal Info'!A:A, 0))</f>
        <v>#N/A</v>
      </c>
    </row>
    <row r="1725" spans="1:33" ht="14.25" hidden="1" x14ac:dyDescent="0.2">
      <c r="A1725" s="18" t="b">
        <f t="array" ref="A1725">IF(G1725='Room Info'!$B$1, INDEX('Room Info'!$A$2:$A2446, MATCH(B1725,'Room Info'!$B$2:$B2446, 0)),IF(G1725='Room Info'!$C$1, INDEX('Room Info'!$A$2:$A2446, MATCH(B1725,'Room Info'!$C$2:$C2446, 0)),IF(G1725='Room Info'!$D$1, INDEX('Room Info'!$A$2:$A2446, MATCH(B1725,'Room Info'!$D$2:$D2446, 0)),IF(G1725='Room Info'!$E$1, INDEX('Room Info'!$A$2:$A2446, MATCH(B1725,'Room Info'!$E$2:$E2446, 0)),IF(G1725='Room Info'!$F$1, INDEX('Room Info'!$A$2:$A2446, MATCH(B1725,'Room Info'!$F$2:$F2446, 0)),IF(G1725='Room Info'!$H$1, INDEX('Room Info'!$A$2:$A2446, MATCH(B1725,'Room Info'!$H$2:$H2446, 0)),IF(G1725='Room Info'!$G$1, INDEX('Room Info'!$A$2:$A2446, MATCH(B1725,'Room Info'!$G$2:$G2446, 0)))))))))</f>
        <v>0</v>
      </c>
      <c r="B1725" s="96"/>
      <c r="C1725" s="111"/>
      <c r="D1725" s="111"/>
      <c r="E1725" s="80"/>
      <c r="F1725" s="133"/>
      <c r="G1725" s="65"/>
      <c r="H1725" s="110"/>
      <c r="I1725" s="110"/>
      <c r="J1725" s="39" t="s">
        <v>334</v>
      </c>
      <c r="K1725" s="112"/>
      <c r="L1725" s="113"/>
      <c r="M1725" s="62"/>
      <c r="N1725" s="28" t="e">
        <f t="shared" si="8"/>
        <v>#VALUE!</v>
      </c>
      <c r="O1725" s="65"/>
      <c r="P1725" s="29" t="s">
        <v>334</v>
      </c>
      <c r="Q1725" s="55"/>
      <c r="R1725" s="31" t="e">
        <f t="shared" si="9"/>
        <v>#VALUE!</v>
      </c>
      <c r="S1725" s="66"/>
      <c r="T1725" s="32" t="e">
        <f t="shared" si="10"/>
        <v>#VALUE!</v>
      </c>
      <c r="U1725" s="57"/>
      <c r="V1725" s="58"/>
      <c r="W1725" s="58"/>
      <c r="X1725" s="30" t="e">
        <f t="shared" si="11"/>
        <v>#N/A</v>
      </c>
      <c r="Y1725" s="30" t="e">
        <f t="shared" si="12"/>
        <v>#N/A</v>
      </c>
      <c r="Z1725" s="35" t="e">
        <f t="shared" si="13"/>
        <v>#VALUE!</v>
      </c>
      <c r="AA1725" s="29" t="e">
        <f t="shared" si="14"/>
        <v>#VALUE!</v>
      </c>
      <c r="AB1725" s="36" t="e">
        <f t="shared" si="15"/>
        <v>#VALUE!</v>
      </c>
      <c r="AC1725" s="37" t="b">
        <v>0</v>
      </c>
      <c r="AD1725" s="61" t="str">
        <f t="shared" si="16"/>
        <v>USD</v>
      </c>
      <c r="AE1725" s="37"/>
      <c r="AF1725" s="37" t="e">
        <f t="array" ref="AF1725">INDEX('Deal Info'!D:D, MATCH(A1725,'Deal Info'!A:A, 0))</f>
        <v>#N/A</v>
      </c>
      <c r="AG1725" s="38" t="e">
        <f t="array" ref="AG1725">INDEX('Deal Info'!G:G, MATCH(A1725,'Deal Info'!A:A, 0))</f>
        <v>#N/A</v>
      </c>
    </row>
    <row r="1726" spans="1:33" ht="14.25" hidden="1" x14ac:dyDescent="0.2">
      <c r="A1726" s="18" t="b">
        <f t="array" ref="A1726">IF(G1726='Room Info'!$B$1, INDEX('Room Info'!$A$2:$A2446, MATCH(B1726,'Room Info'!$B$2:$B2446, 0)),IF(G1726='Room Info'!$C$1, INDEX('Room Info'!$A$2:$A2446, MATCH(B1726,'Room Info'!$C$2:$C2446, 0)),IF(G1726='Room Info'!$D$1, INDEX('Room Info'!$A$2:$A2446, MATCH(B1726,'Room Info'!$D$2:$D2446, 0)),IF(G1726='Room Info'!$E$1, INDEX('Room Info'!$A$2:$A2446, MATCH(B1726,'Room Info'!$E$2:$E2446, 0)),IF(G1726='Room Info'!$F$1, INDEX('Room Info'!$A$2:$A2446, MATCH(B1726,'Room Info'!$F$2:$F2446, 0)),IF(G1726='Room Info'!$H$1, INDEX('Room Info'!$A$2:$A2446, MATCH(B1726,'Room Info'!$H$2:$H2446, 0)),IF(G1726='Room Info'!$G$1, INDEX('Room Info'!$A$2:$A2446, MATCH(B1726,'Room Info'!$G$2:$G2446, 0)))))))))</f>
        <v>0</v>
      </c>
      <c r="B1726" s="96"/>
      <c r="C1726" s="111"/>
      <c r="D1726" s="111"/>
      <c r="E1726" s="80"/>
      <c r="F1726" s="133"/>
      <c r="G1726" s="65"/>
      <c r="H1726" s="110"/>
      <c r="I1726" s="110"/>
      <c r="J1726" s="39" t="s">
        <v>334</v>
      </c>
      <c r="K1726" s="112"/>
      <c r="L1726" s="113"/>
      <c r="M1726" s="62"/>
      <c r="N1726" s="28" t="e">
        <f t="shared" si="8"/>
        <v>#VALUE!</v>
      </c>
      <c r="O1726" s="65"/>
      <c r="P1726" s="29" t="s">
        <v>334</v>
      </c>
      <c r="Q1726" s="55"/>
      <c r="R1726" s="31" t="e">
        <f t="shared" si="9"/>
        <v>#VALUE!</v>
      </c>
      <c r="S1726" s="66"/>
      <c r="T1726" s="32" t="e">
        <f t="shared" si="10"/>
        <v>#VALUE!</v>
      </c>
      <c r="U1726" s="57"/>
      <c r="V1726" s="58"/>
      <c r="W1726" s="58"/>
      <c r="X1726" s="30" t="e">
        <f t="shared" si="11"/>
        <v>#N/A</v>
      </c>
      <c r="Y1726" s="30" t="e">
        <f t="shared" si="12"/>
        <v>#N/A</v>
      </c>
      <c r="Z1726" s="35" t="e">
        <f t="shared" si="13"/>
        <v>#VALUE!</v>
      </c>
      <c r="AA1726" s="29" t="e">
        <f t="shared" si="14"/>
        <v>#VALUE!</v>
      </c>
      <c r="AB1726" s="36" t="e">
        <f t="shared" si="15"/>
        <v>#VALUE!</v>
      </c>
      <c r="AC1726" s="37" t="b">
        <v>0</v>
      </c>
      <c r="AD1726" s="61" t="str">
        <f t="shared" si="16"/>
        <v>USD</v>
      </c>
      <c r="AE1726" s="37"/>
      <c r="AF1726" s="37" t="e">
        <f t="array" ref="AF1726">INDEX('Deal Info'!D:D, MATCH(A1726,'Deal Info'!A:A, 0))</f>
        <v>#N/A</v>
      </c>
      <c r="AG1726" s="38" t="e">
        <f t="array" ref="AG1726">INDEX('Deal Info'!G:G, MATCH(A1726,'Deal Info'!A:A, 0))</f>
        <v>#N/A</v>
      </c>
    </row>
    <row r="1727" spans="1:33" ht="14.25" hidden="1" x14ac:dyDescent="0.2">
      <c r="A1727" s="18" t="b">
        <f t="array" ref="A1727">IF(G1727='Room Info'!$B$1, INDEX('Room Info'!$A$2:$A2446, MATCH(B1727,'Room Info'!$B$2:$B2446, 0)),IF(G1727='Room Info'!$C$1, INDEX('Room Info'!$A$2:$A2446, MATCH(B1727,'Room Info'!$C$2:$C2446, 0)),IF(G1727='Room Info'!$D$1, INDEX('Room Info'!$A$2:$A2446, MATCH(B1727,'Room Info'!$D$2:$D2446, 0)),IF(G1727='Room Info'!$E$1, INDEX('Room Info'!$A$2:$A2446, MATCH(B1727,'Room Info'!$E$2:$E2446, 0)),IF(G1727='Room Info'!$F$1, INDEX('Room Info'!$A$2:$A2446, MATCH(B1727,'Room Info'!$F$2:$F2446, 0)),IF(G1727='Room Info'!$H$1, INDEX('Room Info'!$A$2:$A2446, MATCH(B1727,'Room Info'!$H$2:$H2446, 0)),IF(G1727='Room Info'!$G$1, INDEX('Room Info'!$A$2:$A2446, MATCH(B1727,'Room Info'!$G$2:$G2446, 0)))))))))</f>
        <v>0</v>
      </c>
      <c r="B1727" s="96"/>
      <c r="C1727" s="111"/>
      <c r="D1727" s="111"/>
      <c r="E1727" s="80"/>
      <c r="F1727" s="133"/>
      <c r="G1727" s="65"/>
      <c r="H1727" s="110"/>
      <c r="I1727" s="110"/>
      <c r="J1727" s="39" t="s">
        <v>334</v>
      </c>
      <c r="K1727" s="112"/>
      <c r="L1727" s="113"/>
      <c r="M1727" s="62"/>
      <c r="N1727" s="28" t="e">
        <f t="shared" si="8"/>
        <v>#VALUE!</v>
      </c>
      <c r="O1727" s="65"/>
      <c r="P1727" s="29" t="s">
        <v>334</v>
      </c>
      <c r="Q1727" s="55"/>
      <c r="R1727" s="31" t="e">
        <f t="shared" si="9"/>
        <v>#VALUE!</v>
      </c>
      <c r="S1727" s="66"/>
      <c r="T1727" s="32" t="e">
        <f t="shared" si="10"/>
        <v>#VALUE!</v>
      </c>
      <c r="U1727" s="57"/>
      <c r="V1727" s="58"/>
      <c r="W1727" s="58"/>
      <c r="X1727" s="30" t="e">
        <f t="shared" si="11"/>
        <v>#N/A</v>
      </c>
      <c r="Y1727" s="30" t="e">
        <f t="shared" si="12"/>
        <v>#N/A</v>
      </c>
      <c r="Z1727" s="35" t="e">
        <f t="shared" si="13"/>
        <v>#VALUE!</v>
      </c>
      <c r="AA1727" s="29" t="e">
        <f t="shared" si="14"/>
        <v>#VALUE!</v>
      </c>
      <c r="AB1727" s="36" t="e">
        <f t="shared" si="15"/>
        <v>#VALUE!</v>
      </c>
      <c r="AC1727" s="37" t="b">
        <v>0</v>
      </c>
      <c r="AD1727" s="61" t="str">
        <f t="shared" si="16"/>
        <v>USD</v>
      </c>
      <c r="AE1727" s="37"/>
      <c r="AF1727" s="37" t="e">
        <f t="array" ref="AF1727">INDEX('Deal Info'!D:D, MATCH(A1727,'Deal Info'!A:A, 0))</f>
        <v>#N/A</v>
      </c>
      <c r="AG1727" s="38" t="e">
        <f t="array" ref="AG1727">INDEX('Deal Info'!G:G, MATCH(A1727,'Deal Info'!A:A, 0))</f>
        <v>#N/A</v>
      </c>
    </row>
    <row r="1728" spans="1:33" ht="14.25" hidden="1" x14ac:dyDescent="0.2">
      <c r="A1728" s="18" t="b">
        <f t="array" ref="A1728">IF(G1728='Room Info'!$B$1, INDEX('Room Info'!$A$2:$A2446, MATCH(B1728,'Room Info'!$B$2:$B2446, 0)),IF(G1728='Room Info'!$C$1, INDEX('Room Info'!$A$2:$A2446, MATCH(B1728,'Room Info'!$C$2:$C2446, 0)),IF(G1728='Room Info'!$D$1, INDEX('Room Info'!$A$2:$A2446, MATCH(B1728,'Room Info'!$D$2:$D2446, 0)),IF(G1728='Room Info'!$E$1, INDEX('Room Info'!$A$2:$A2446, MATCH(B1728,'Room Info'!$E$2:$E2446, 0)),IF(G1728='Room Info'!$F$1, INDEX('Room Info'!$A$2:$A2446, MATCH(B1728,'Room Info'!$F$2:$F2446, 0)),IF(G1728='Room Info'!$H$1, INDEX('Room Info'!$A$2:$A2446, MATCH(B1728,'Room Info'!$H$2:$H2446, 0)),IF(G1728='Room Info'!$G$1, INDEX('Room Info'!$A$2:$A2446, MATCH(B1728,'Room Info'!$G$2:$G2446, 0)))))))))</f>
        <v>0</v>
      </c>
      <c r="B1728" s="96"/>
      <c r="C1728" s="136"/>
      <c r="D1728" s="136"/>
      <c r="E1728" s="137"/>
      <c r="F1728" s="133"/>
      <c r="G1728" s="96"/>
      <c r="H1728" s="100"/>
      <c r="I1728" s="100"/>
      <c r="J1728" s="39" t="s">
        <v>334</v>
      </c>
      <c r="K1728" s="134"/>
      <c r="L1728" s="135"/>
      <c r="M1728" s="79"/>
      <c r="N1728" s="28" t="e">
        <f t="shared" si="8"/>
        <v>#VALUE!</v>
      </c>
      <c r="O1728" s="96"/>
      <c r="P1728" s="29" t="s">
        <v>334</v>
      </c>
      <c r="Q1728" s="55"/>
      <c r="R1728" s="31" t="e">
        <f t="shared" si="9"/>
        <v>#VALUE!</v>
      </c>
      <c r="S1728" s="97"/>
      <c r="T1728" s="32" t="e">
        <f t="shared" si="10"/>
        <v>#VALUE!</v>
      </c>
      <c r="U1728" s="57"/>
      <c r="V1728" s="58"/>
      <c r="W1728" s="58"/>
      <c r="X1728" s="30" t="e">
        <f t="shared" si="11"/>
        <v>#N/A</v>
      </c>
      <c r="Y1728" s="30" t="e">
        <f t="shared" si="12"/>
        <v>#N/A</v>
      </c>
      <c r="Z1728" s="35" t="e">
        <f t="shared" si="13"/>
        <v>#VALUE!</v>
      </c>
      <c r="AA1728" s="29" t="e">
        <f t="shared" si="14"/>
        <v>#VALUE!</v>
      </c>
      <c r="AB1728" s="36" t="e">
        <f t="shared" si="15"/>
        <v>#VALUE!</v>
      </c>
      <c r="AC1728" s="37" t="b">
        <v>0</v>
      </c>
      <c r="AD1728" s="61" t="str">
        <f t="shared" si="16"/>
        <v>USD</v>
      </c>
      <c r="AE1728" s="37"/>
      <c r="AF1728" s="37" t="e">
        <f t="array" ref="AF1728">INDEX('Deal Info'!D:D, MATCH(A1728,'Deal Info'!A:A, 0))</f>
        <v>#N/A</v>
      </c>
      <c r="AG1728" s="38" t="e">
        <f t="array" ref="AG1728">INDEX('Deal Info'!G:G, MATCH(A1728,'Deal Info'!A:A, 0))</f>
        <v>#N/A</v>
      </c>
    </row>
    <row r="1729" spans="1:33" ht="14.25" hidden="1" x14ac:dyDescent="0.2">
      <c r="A1729" s="18" t="b">
        <f t="array" ref="A1729">IF(G1729='Room Info'!$B$1, INDEX('Room Info'!$A$2:$A2446, MATCH(B1729,'Room Info'!$B$2:$B2446, 0)),IF(G1729='Room Info'!$C$1, INDEX('Room Info'!$A$2:$A2446, MATCH(B1729,'Room Info'!$C$2:$C2446, 0)),IF(G1729='Room Info'!$D$1, INDEX('Room Info'!$A$2:$A2446, MATCH(B1729,'Room Info'!$D$2:$D2446, 0)),IF(G1729='Room Info'!$E$1, INDEX('Room Info'!$A$2:$A2446, MATCH(B1729,'Room Info'!$E$2:$E2446, 0)),IF(G1729='Room Info'!$F$1, INDEX('Room Info'!$A$2:$A2446, MATCH(B1729,'Room Info'!$F$2:$F2446, 0)),IF(G1729='Room Info'!$H$1, INDEX('Room Info'!$A$2:$A2446, MATCH(B1729,'Room Info'!$H$2:$H2446, 0)),IF(G1729='Room Info'!$G$1, INDEX('Room Info'!$A$2:$A2446, MATCH(B1729,'Room Info'!$G$2:$G2446, 0)))))))))</f>
        <v>0</v>
      </c>
      <c r="B1729" s="96"/>
      <c r="C1729" s="136"/>
      <c r="D1729" s="136"/>
      <c r="E1729" s="137"/>
      <c r="F1729" s="133"/>
      <c r="G1729" s="96"/>
      <c r="H1729" s="100"/>
      <c r="I1729" s="100"/>
      <c r="J1729" s="39" t="s">
        <v>334</v>
      </c>
      <c r="K1729" s="134"/>
      <c r="L1729" s="135"/>
      <c r="M1729" s="79"/>
      <c r="N1729" s="28" t="e">
        <f t="shared" si="8"/>
        <v>#VALUE!</v>
      </c>
      <c r="O1729" s="96"/>
      <c r="P1729" s="29" t="s">
        <v>334</v>
      </c>
      <c r="Q1729" s="55"/>
      <c r="R1729" s="31" t="e">
        <f t="shared" si="9"/>
        <v>#VALUE!</v>
      </c>
      <c r="S1729" s="97"/>
      <c r="T1729" s="32" t="e">
        <f t="shared" si="10"/>
        <v>#VALUE!</v>
      </c>
      <c r="U1729" s="57"/>
      <c r="V1729" s="58"/>
      <c r="W1729" s="58"/>
      <c r="X1729" s="30" t="e">
        <f t="shared" si="11"/>
        <v>#N/A</v>
      </c>
      <c r="Y1729" s="30" t="e">
        <f t="shared" si="12"/>
        <v>#N/A</v>
      </c>
      <c r="Z1729" s="35" t="e">
        <f t="shared" si="13"/>
        <v>#VALUE!</v>
      </c>
      <c r="AA1729" s="29" t="e">
        <f t="shared" si="14"/>
        <v>#VALUE!</v>
      </c>
      <c r="AB1729" s="36" t="e">
        <f t="shared" si="15"/>
        <v>#VALUE!</v>
      </c>
      <c r="AC1729" s="37" t="b">
        <v>0</v>
      </c>
      <c r="AD1729" s="61" t="str">
        <f t="shared" si="16"/>
        <v>USD</v>
      </c>
      <c r="AE1729" s="37"/>
      <c r="AF1729" s="37" t="e">
        <f t="array" ref="AF1729">INDEX('Deal Info'!D:D, MATCH(A1729,'Deal Info'!A:A, 0))</f>
        <v>#N/A</v>
      </c>
      <c r="AG1729" s="38" t="e">
        <f t="array" ref="AG1729">INDEX('Deal Info'!G:G, MATCH(A1729,'Deal Info'!A:A, 0))</f>
        <v>#N/A</v>
      </c>
    </row>
    <row r="1730" spans="1:33" ht="14.25" hidden="1" x14ac:dyDescent="0.2">
      <c r="A1730" s="18" t="b">
        <f t="array" ref="A1730">IF(G1730='Room Info'!$B$1, INDEX('Room Info'!$A$2:$A2446, MATCH(B1730,'Room Info'!$B$2:$B2446, 0)),IF(G1730='Room Info'!$C$1, INDEX('Room Info'!$A$2:$A2446, MATCH(B1730,'Room Info'!$C$2:$C2446, 0)),IF(G1730='Room Info'!$D$1, INDEX('Room Info'!$A$2:$A2446, MATCH(B1730,'Room Info'!$D$2:$D2446, 0)),IF(G1730='Room Info'!$E$1, INDEX('Room Info'!$A$2:$A2446, MATCH(B1730,'Room Info'!$E$2:$E2446, 0)),IF(G1730='Room Info'!$F$1, INDEX('Room Info'!$A$2:$A2446, MATCH(B1730,'Room Info'!$F$2:$F2446, 0)),IF(G1730='Room Info'!$H$1, INDEX('Room Info'!$A$2:$A2446, MATCH(B1730,'Room Info'!$H$2:$H2446, 0)),IF(G1730='Room Info'!$G$1, INDEX('Room Info'!$A$2:$A2446, MATCH(B1730,'Room Info'!$G$2:$G2446, 0)))))))))</f>
        <v>0</v>
      </c>
      <c r="B1730" s="96"/>
      <c r="C1730" s="136"/>
      <c r="D1730" s="136"/>
      <c r="E1730" s="137"/>
      <c r="F1730" s="133"/>
      <c r="G1730" s="96"/>
      <c r="H1730" s="100"/>
      <c r="I1730" s="100"/>
      <c r="J1730" s="39" t="s">
        <v>334</v>
      </c>
      <c r="K1730" s="134"/>
      <c r="L1730" s="135"/>
      <c r="M1730" s="79"/>
      <c r="N1730" s="28" t="e">
        <f t="shared" si="8"/>
        <v>#VALUE!</v>
      </c>
      <c r="O1730" s="96"/>
      <c r="P1730" s="29" t="s">
        <v>334</v>
      </c>
      <c r="Q1730" s="55"/>
      <c r="R1730" s="31" t="e">
        <f t="shared" si="9"/>
        <v>#VALUE!</v>
      </c>
      <c r="S1730" s="97"/>
      <c r="T1730" s="32" t="e">
        <f t="shared" si="10"/>
        <v>#VALUE!</v>
      </c>
      <c r="U1730" s="57"/>
      <c r="V1730" s="58"/>
      <c r="W1730" s="58"/>
      <c r="X1730" s="30" t="e">
        <f t="shared" si="11"/>
        <v>#N/A</v>
      </c>
      <c r="Y1730" s="30" t="e">
        <f t="shared" si="12"/>
        <v>#N/A</v>
      </c>
      <c r="Z1730" s="35" t="e">
        <f t="shared" si="13"/>
        <v>#VALUE!</v>
      </c>
      <c r="AA1730" s="29" t="e">
        <f t="shared" si="14"/>
        <v>#VALUE!</v>
      </c>
      <c r="AB1730" s="36" t="e">
        <f t="shared" si="15"/>
        <v>#VALUE!</v>
      </c>
      <c r="AC1730" s="37" t="b">
        <v>0</v>
      </c>
      <c r="AD1730" s="61" t="str">
        <f t="shared" si="16"/>
        <v>USD</v>
      </c>
      <c r="AE1730" s="37"/>
      <c r="AF1730" s="37" t="e">
        <f t="array" ref="AF1730">INDEX('Deal Info'!D:D, MATCH(A1730,'Deal Info'!A:A, 0))</f>
        <v>#N/A</v>
      </c>
      <c r="AG1730" s="38" t="e">
        <f t="array" ref="AG1730">INDEX('Deal Info'!G:G, MATCH(A1730,'Deal Info'!A:A, 0))</f>
        <v>#N/A</v>
      </c>
    </row>
    <row r="1731" spans="1:33" ht="14.25" hidden="1" x14ac:dyDescent="0.2">
      <c r="A1731" s="18" t="b">
        <f t="array" ref="A1731">IF(G1731='Room Info'!$B$1, INDEX('Room Info'!$A$2:$A2446, MATCH(B1731,'Room Info'!$B$2:$B2446, 0)),IF(G1731='Room Info'!$C$1, INDEX('Room Info'!$A$2:$A2446, MATCH(B1731,'Room Info'!$C$2:$C2446, 0)),IF(G1731='Room Info'!$D$1, INDEX('Room Info'!$A$2:$A2446, MATCH(B1731,'Room Info'!$D$2:$D2446, 0)),IF(G1731='Room Info'!$E$1, INDEX('Room Info'!$A$2:$A2446, MATCH(B1731,'Room Info'!$E$2:$E2446, 0)),IF(G1731='Room Info'!$F$1, INDEX('Room Info'!$A$2:$A2446, MATCH(B1731,'Room Info'!$F$2:$F2446, 0)),IF(G1731='Room Info'!$H$1, INDEX('Room Info'!$A$2:$A2446, MATCH(B1731,'Room Info'!$H$2:$H2446, 0)),IF(G1731='Room Info'!$G$1, INDEX('Room Info'!$A$2:$A2446, MATCH(B1731,'Room Info'!$G$2:$G2446, 0)))))))))</f>
        <v>0</v>
      </c>
      <c r="B1731" s="96"/>
      <c r="C1731" s="136"/>
      <c r="D1731" s="136"/>
      <c r="E1731" s="137"/>
      <c r="F1731" s="133"/>
      <c r="G1731" s="96"/>
      <c r="H1731" s="100"/>
      <c r="I1731" s="100"/>
      <c r="J1731" s="39" t="s">
        <v>334</v>
      </c>
      <c r="K1731" s="134"/>
      <c r="L1731" s="135"/>
      <c r="M1731" s="79"/>
      <c r="N1731" s="28" t="e">
        <f t="shared" si="8"/>
        <v>#VALUE!</v>
      </c>
      <c r="O1731" s="96"/>
      <c r="P1731" s="29" t="s">
        <v>334</v>
      </c>
      <c r="Q1731" s="55"/>
      <c r="R1731" s="31" t="e">
        <f t="shared" si="9"/>
        <v>#VALUE!</v>
      </c>
      <c r="S1731" s="97"/>
      <c r="T1731" s="32" t="e">
        <f t="shared" si="10"/>
        <v>#VALUE!</v>
      </c>
      <c r="U1731" s="57"/>
      <c r="V1731" s="58"/>
      <c r="W1731" s="58"/>
      <c r="X1731" s="30" t="e">
        <f t="shared" si="11"/>
        <v>#N/A</v>
      </c>
      <c r="Y1731" s="30" t="e">
        <f t="shared" si="12"/>
        <v>#N/A</v>
      </c>
      <c r="Z1731" s="35" t="e">
        <f t="shared" si="13"/>
        <v>#VALUE!</v>
      </c>
      <c r="AA1731" s="29" t="e">
        <f t="shared" si="14"/>
        <v>#VALUE!</v>
      </c>
      <c r="AB1731" s="36" t="e">
        <f t="shared" si="15"/>
        <v>#VALUE!</v>
      </c>
      <c r="AC1731" s="37" t="b">
        <v>0</v>
      </c>
      <c r="AD1731" s="61" t="str">
        <f t="shared" si="16"/>
        <v>USD</v>
      </c>
      <c r="AE1731" s="37"/>
      <c r="AF1731" s="37" t="e">
        <f t="array" ref="AF1731">INDEX('Deal Info'!D:D, MATCH(A1731,'Deal Info'!A:A, 0))</f>
        <v>#N/A</v>
      </c>
      <c r="AG1731" s="38" t="e">
        <f t="array" ref="AG1731">INDEX('Deal Info'!G:G, MATCH(A1731,'Deal Info'!A:A, 0))</f>
        <v>#N/A</v>
      </c>
    </row>
    <row r="1732" spans="1:33" ht="14.25" hidden="1" x14ac:dyDescent="0.2">
      <c r="A1732" s="18" t="b">
        <f t="array" ref="A1732">IF(G1732='Room Info'!$B$1, INDEX('Room Info'!$A$2:$A2446, MATCH(B1732,'Room Info'!$B$2:$B2446, 0)),IF(G1732='Room Info'!$C$1, INDEX('Room Info'!$A$2:$A2446, MATCH(B1732,'Room Info'!$C$2:$C2446, 0)),IF(G1732='Room Info'!$D$1, INDEX('Room Info'!$A$2:$A2446, MATCH(B1732,'Room Info'!$D$2:$D2446, 0)),IF(G1732='Room Info'!$E$1, INDEX('Room Info'!$A$2:$A2446, MATCH(B1732,'Room Info'!$E$2:$E2446, 0)),IF(G1732='Room Info'!$F$1, INDEX('Room Info'!$A$2:$A2446, MATCH(B1732,'Room Info'!$F$2:$F2446, 0)),IF(G1732='Room Info'!$H$1, INDEX('Room Info'!$A$2:$A2446, MATCH(B1732,'Room Info'!$H$2:$H2446, 0)),IF(G1732='Room Info'!$G$1, INDEX('Room Info'!$A$2:$A2446, MATCH(B1732,'Room Info'!$G$2:$G2446, 0)))))))))</f>
        <v>0</v>
      </c>
      <c r="B1732" s="96"/>
      <c r="C1732" s="111"/>
      <c r="D1732" s="111"/>
      <c r="E1732" s="80"/>
      <c r="F1732" s="96"/>
      <c r="G1732" s="65"/>
      <c r="H1732" s="110"/>
      <c r="I1732" s="110"/>
      <c r="J1732" s="39" t="s">
        <v>334</v>
      </c>
      <c r="K1732" s="112"/>
      <c r="L1732" s="113"/>
      <c r="M1732" s="62"/>
      <c r="N1732" s="28" t="e">
        <f t="shared" si="8"/>
        <v>#VALUE!</v>
      </c>
      <c r="O1732" s="65"/>
      <c r="P1732" s="29" t="s">
        <v>334</v>
      </c>
      <c r="Q1732" s="55"/>
      <c r="R1732" s="31" t="e">
        <f t="shared" si="9"/>
        <v>#VALUE!</v>
      </c>
      <c r="S1732" s="66"/>
      <c r="T1732" s="32" t="e">
        <f t="shared" si="10"/>
        <v>#VALUE!</v>
      </c>
      <c r="U1732" s="57"/>
      <c r="V1732" s="58"/>
      <c r="W1732" s="58"/>
      <c r="X1732" s="30" t="e">
        <f t="shared" si="11"/>
        <v>#N/A</v>
      </c>
      <c r="Y1732" s="30" t="e">
        <f t="shared" si="12"/>
        <v>#N/A</v>
      </c>
      <c r="Z1732" s="35" t="e">
        <f t="shared" si="13"/>
        <v>#VALUE!</v>
      </c>
      <c r="AA1732" s="29" t="e">
        <f t="shared" si="14"/>
        <v>#VALUE!</v>
      </c>
      <c r="AB1732" s="36" t="e">
        <f t="shared" si="15"/>
        <v>#VALUE!</v>
      </c>
      <c r="AC1732" s="37" t="b">
        <v>0</v>
      </c>
      <c r="AD1732" s="61" t="str">
        <f t="shared" si="16"/>
        <v>USD</v>
      </c>
      <c r="AE1732" s="37"/>
      <c r="AF1732" s="37" t="e">
        <f t="array" ref="AF1732">INDEX('Deal Info'!D:D, MATCH(A1732,'Deal Info'!A:A, 0))</f>
        <v>#N/A</v>
      </c>
      <c r="AG1732" s="38" t="e">
        <f t="array" ref="AG1732">INDEX('Deal Info'!G:G, MATCH(A1732,'Deal Info'!A:A, 0))</f>
        <v>#N/A</v>
      </c>
    </row>
    <row r="1733" spans="1:33" ht="14.25" hidden="1" x14ac:dyDescent="0.2">
      <c r="A1733" s="18" t="b">
        <f t="array" ref="A1733">IF(G1733='Room Info'!$B$1, INDEX('Room Info'!$A$2:$A2446, MATCH(B1733,'Room Info'!$B$2:$B2446, 0)),IF(G1733='Room Info'!$C$1, INDEX('Room Info'!$A$2:$A2446, MATCH(B1733,'Room Info'!$C$2:$C2446, 0)),IF(G1733='Room Info'!$D$1, INDEX('Room Info'!$A$2:$A2446, MATCH(B1733,'Room Info'!$D$2:$D2446, 0)),IF(G1733='Room Info'!$E$1, INDEX('Room Info'!$A$2:$A2446, MATCH(B1733,'Room Info'!$E$2:$E2446, 0)),IF(G1733='Room Info'!$F$1, INDEX('Room Info'!$A$2:$A2446, MATCH(B1733,'Room Info'!$F$2:$F2446, 0)),IF(G1733='Room Info'!$H$1, INDEX('Room Info'!$A$2:$A2446, MATCH(B1733,'Room Info'!$H$2:$H2446, 0)),IF(G1733='Room Info'!$G$1, INDEX('Room Info'!$A$2:$A2446, MATCH(B1733,'Room Info'!$G$2:$G2446, 0)))))))))</f>
        <v>0</v>
      </c>
      <c r="B1733" s="96"/>
      <c r="C1733" s="111"/>
      <c r="D1733" s="111"/>
      <c r="E1733" s="80"/>
      <c r="F1733" s="96"/>
      <c r="G1733" s="96"/>
      <c r="H1733" s="100"/>
      <c r="I1733" s="100"/>
      <c r="J1733" s="39" t="s">
        <v>334</v>
      </c>
      <c r="K1733" s="134"/>
      <c r="L1733" s="135"/>
      <c r="M1733" s="62"/>
      <c r="N1733" s="28" t="e">
        <f t="shared" si="8"/>
        <v>#VALUE!</v>
      </c>
      <c r="O1733" s="96"/>
      <c r="P1733" s="29" t="s">
        <v>334</v>
      </c>
      <c r="Q1733" s="55"/>
      <c r="R1733" s="31" t="e">
        <f t="shared" si="9"/>
        <v>#VALUE!</v>
      </c>
      <c r="S1733" s="97"/>
      <c r="T1733" s="32" t="e">
        <f t="shared" si="10"/>
        <v>#VALUE!</v>
      </c>
      <c r="U1733" s="57"/>
      <c r="V1733" s="58"/>
      <c r="W1733" s="58"/>
      <c r="X1733" s="30" t="e">
        <f t="shared" si="11"/>
        <v>#N/A</v>
      </c>
      <c r="Y1733" s="30" t="e">
        <f t="shared" si="12"/>
        <v>#N/A</v>
      </c>
      <c r="Z1733" s="35" t="e">
        <f t="shared" si="13"/>
        <v>#VALUE!</v>
      </c>
      <c r="AA1733" s="29" t="e">
        <f t="shared" si="14"/>
        <v>#VALUE!</v>
      </c>
      <c r="AB1733" s="36" t="e">
        <f t="shared" si="15"/>
        <v>#VALUE!</v>
      </c>
      <c r="AC1733" s="37" t="b">
        <v>0</v>
      </c>
      <c r="AD1733" s="61" t="str">
        <f t="shared" si="16"/>
        <v>USD</v>
      </c>
      <c r="AE1733" s="37"/>
      <c r="AF1733" s="37" t="e">
        <f t="array" ref="AF1733">INDEX('Deal Info'!D:D, MATCH(A1733,'Deal Info'!A:A, 0))</f>
        <v>#N/A</v>
      </c>
      <c r="AG1733" s="38" t="e">
        <f t="array" ref="AG1733">INDEX('Deal Info'!G:G, MATCH(A1733,'Deal Info'!A:A, 0))</f>
        <v>#N/A</v>
      </c>
    </row>
    <row r="1734" spans="1:33" ht="14.25" hidden="1" x14ac:dyDescent="0.2">
      <c r="A1734" s="18" t="b">
        <f t="array" ref="A1734">IF(G1734='Room Info'!$B$1, INDEX('Room Info'!$A$2:$A2446, MATCH(B1734,'Room Info'!$B$2:$B2446, 0)),IF(G1734='Room Info'!$C$1, INDEX('Room Info'!$A$2:$A2446, MATCH(B1734,'Room Info'!$C$2:$C2446, 0)),IF(G1734='Room Info'!$D$1, INDEX('Room Info'!$A$2:$A2446, MATCH(B1734,'Room Info'!$D$2:$D2446, 0)),IF(G1734='Room Info'!$E$1, INDEX('Room Info'!$A$2:$A2446, MATCH(B1734,'Room Info'!$E$2:$E2446, 0)),IF(G1734='Room Info'!$F$1, INDEX('Room Info'!$A$2:$A2446, MATCH(B1734,'Room Info'!$F$2:$F2446, 0)),IF(G1734='Room Info'!$H$1, INDEX('Room Info'!$A$2:$A2446, MATCH(B1734,'Room Info'!$H$2:$H2446, 0)),IF(G1734='Room Info'!$G$1, INDEX('Room Info'!$A$2:$A2446, MATCH(B1734,'Room Info'!$G$2:$G2446, 0)))))))))</f>
        <v>0</v>
      </c>
      <c r="B1734" s="96"/>
      <c r="C1734" s="136"/>
      <c r="D1734" s="136"/>
      <c r="E1734" s="137"/>
      <c r="F1734" s="133"/>
      <c r="G1734" s="96"/>
      <c r="H1734" s="100"/>
      <c r="I1734" s="100"/>
      <c r="J1734" s="39" t="s">
        <v>334</v>
      </c>
      <c r="K1734" s="134"/>
      <c r="L1734" s="135"/>
      <c r="M1734" s="62"/>
      <c r="N1734" s="28" t="e">
        <f t="shared" si="8"/>
        <v>#VALUE!</v>
      </c>
      <c r="O1734" s="96"/>
      <c r="P1734" s="29" t="s">
        <v>334</v>
      </c>
      <c r="Q1734" s="55"/>
      <c r="R1734" s="31" t="e">
        <f t="shared" si="9"/>
        <v>#VALUE!</v>
      </c>
      <c r="S1734" s="97"/>
      <c r="T1734" s="32" t="e">
        <f t="shared" si="10"/>
        <v>#VALUE!</v>
      </c>
      <c r="U1734" s="57"/>
      <c r="V1734" s="58"/>
      <c r="W1734" s="58"/>
      <c r="X1734" s="30" t="e">
        <f t="shared" si="11"/>
        <v>#N/A</v>
      </c>
      <c r="Y1734" s="30" t="e">
        <f t="shared" si="12"/>
        <v>#N/A</v>
      </c>
      <c r="Z1734" s="35" t="e">
        <f t="shared" si="13"/>
        <v>#VALUE!</v>
      </c>
      <c r="AA1734" s="29" t="e">
        <f t="shared" si="14"/>
        <v>#VALUE!</v>
      </c>
      <c r="AB1734" s="36" t="e">
        <f t="shared" si="15"/>
        <v>#VALUE!</v>
      </c>
      <c r="AC1734" s="37" t="b">
        <v>0</v>
      </c>
      <c r="AD1734" s="61" t="str">
        <f t="shared" si="16"/>
        <v>USD</v>
      </c>
      <c r="AE1734" s="37"/>
      <c r="AF1734" s="37" t="e">
        <f t="array" ref="AF1734">INDEX('Deal Info'!D:D, MATCH(A1734,'Deal Info'!A:A, 0))</f>
        <v>#N/A</v>
      </c>
      <c r="AG1734" s="38" t="e">
        <f t="array" ref="AG1734">INDEX('Deal Info'!G:G, MATCH(A1734,'Deal Info'!A:A, 0))</f>
        <v>#N/A</v>
      </c>
    </row>
    <row r="1735" spans="1:33" ht="14.25" hidden="1" x14ac:dyDescent="0.2">
      <c r="A1735" s="18" t="b">
        <f t="array" ref="A1735">IF(G1735='Room Info'!$B$1, INDEX('Room Info'!$A$2:$A2446, MATCH(B1735,'Room Info'!$B$2:$B2446, 0)),IF(G1735='Room Info'!$C$1, INDEX('Room Info'!$A$2:$A2446, MATCH(B1735,'Room Info'!$C$2:$C2446, 0)),IF(G1735='Room Info'!$D$1, INDEX('Room Info'!$A$2:$A2446, MATCH(B1735,'Room Info'!$D$2:$D2446, 0)),IF(G1735='Room Info'!$E$1, INDEX('Room Info'!$A$2:$A2446, MATCH(B1735,'Room Info'!$E$2:$E2446, 0)),IF(G1735='Room Info'!$F$1, INDEX('Room Info'!$A$2:$A2446, MATCH(B1735,'Room Info'!$F$2:$F2446, 0)),IF(G1735='Room Info'!$H$1, INDEX('Room Info'!$A$2:$A2446, MATCH(B1735,'Room Info'!$H$2:$H2446, 0)),IF(G1735='Room Info'!$G$1, INDEX('Room Info'!$A$2:$A2446, MATCH(B1735,'Room Info'!$G$2:$G2446, 0)))))))))</f>
        <v>0</v>
      </c>
      <c r="B1735" s="96"/>
      <c r="C1735" s="136"/>
      <c r="D1735" s="136"/>
      <c r="E1735" s="137"/>
      <c r="F1735" s="133"/>
      <c r="G1735" s="96"/>
      <c r="H1735" s="100"/>
      <c r="I1735" s="100"/>
      <c r="J1735" s="39" t="s">
        <v>334</v>
      </c>
      <c r="K1735" s="134"/>
      <c r="L1735" s="135"/>
      <c r="M1735" s="62"/>
      <c r="N1735" s="28" t="e">
        <f t="shared" si="8"/>
        <v>#VALUE!</v>
      </c>
      <c r="O1735" s="96"/>
      <c r="P1735" s="29" t="s">
        <v>334</v>
      </c>
      <c r="Q1735" s="55"/>
      <c r="R1735" s="31" t="e">
        <f t="shared" si="9"/>
        <v>#VALUE!</v>
      </c>
      <c r="S1735" s="97"/>
      <c r="T1735" s="32" t="e">
        <f t="shared" si="10"/>
        <v>#VALUE!</v>
      </c>
      <c r="U1735" s="57"/>
      <c r="V1735" s="58"/>
      <c r="W1735" s="58"/>
      <c r="X1735" s="30" t="e">
        <f t="shared" si="11"/>
        <v>#N/A</v>
      </c>
      <c r="Y1735" s="30" t="e">
        <f t="shared" si="12"/>
        <v>#N/A</v>
      </c>
      <c r="Z1735" s="35" t="e">
        <f t="shared" si="13"/>
        <v>#VALUE!</v>
      </c>
      <c r="AA1735" s="29" t="e">
        <f t="shared" si="14"/>
        <v>#VALUE!</v>
      </c>
      <c r="AB1735" s="36" t="e">
        <f t="shared" si="15"/>
        <v>#VALUE!</v>
      </c>
      <c r="AC1735" s="37" t="b">
        <v>0</v>
      </c>
      <c r="AD1735" s="61" t="str">
        <f t="shared" si="16"/>
        <v>USD</v>
      </c>
      <c r="AE1735" s="37"/>
      <c r="AF1735" s="37" t="e">
        <f t="array" ref="AF1735">INDEX('Deal Info'!D:D, MATCH(A1735,'Deal Info'!A:A, 0))</f>
        <v>#N/A</v>
      </c>
      <c r="AG1735" s="38" t="e">
        <f t="array" ref="AG1735">INDEX('Deal Info'!G:G, MATCH(A1735,'Deal Info'!A:A, 0))</f>
        <v>#N/A</v>
      </c>
    </row>
    <row r="1736" spans="1:33" ht="14.25" hidden="1" x14ac:dyDescent="0.2">
      <c r="A1736" s="18" t="b">
        <f t="array" ref="A1736">IF(G1736='Room Info'!$B$1, INDEX('Room Info'!$A$2:$A2446, MATCH(B1736,'Room Info'!$B$2:$B2446, 0)),IF(G1736='Room Info'!$C$1, INDEX('Room Info'!$A$2:$A2446, MATCH(B1736,'Room Info'!$C$2:$C2446, 0)),IF(G1736='Room Info'!$D$1, INDEX('Room Info'!$A$2:$A2446, MATCH(B1736,'Room Info'!$D$2:$D2446, 0)),IF(G1736='Room Info'!$E$1, INDEX('Room Info'!$A$2:$A2446, MATCH(B1736,'Room Info'!$E$2:$E2446, 0)),IF(G1736='Room Info'!$F$1, INDEX('Room Info'!$A$2:$A2446, MATCH(B1736,'Room Info'!$F$2:$F2446, 0)),IF(G1736='Room Info'!$H$1, INDEX('Room Info'!$A$2:$A2446, MATCH(B1736,'Room Info'!$H$2:$H2446, 0)),IF(G1736='Room Info'!$G$1, INDEX('Room Info'!$A$2:$A2446, MATCH(B1736,'Room Info'!$G$2:$G2446, 0)))))))))</f>
        <v>0</v>
      </c>
      <c r="B1736" s="96"/>
      <c r="C1736" s="111"/>
      <c r="D1736" s="111"/>
      <c r="E1736" s="80"/>
      <c r="F1736" s="133"/>
      <c r="G1736" s="65"/>
      <c r="H1736" s="110"/>
      <c r="I1736" s="110"/>
      <c r="J1736" s="39" t="s">
        <v>334</v>
      </c>
      <c r="K1736" s="112"/>
      <c r="L1736" s="113"/>
      <c r="M1736" s="62"/>
      <c r="N1736" s="28" t="e">
        <f t="shared" si="8"/>
        <v>#VALUE!</v>
      </c>
      <c r="O1736" s="65"/>
      <c r="P1736" s="29" t="s">
        <v>334</v>
      </c>
      <c r="Q1736" s="55"/>
      <c r="R1736" s="31" t="e">
        <f t="shared" si="9"/>
        <v>#VALUE!</v>
      </c>
      <c r="S1736" s="66"/>
      <c r="T1736" s="32" t="e">
        <f t="shared" si="10"/>
        <v>#VALUE!</v>
      </c>
      <c r="U1736" s="57"/>
      <c r="V1736" s="58"/>
      <c r="W1736" s="58"/>
      <c r="X1736" s="30" t="e">
        <f t="shared" si="11"/>
        <v>#N/A</v>
      </c>
      <c r="Y1736" s="30" t="e">
        <f t="shared" si="12"/>
        <v>#N/A</v>
      </c>
      <c r="Z1736" s="35" t="e">
        <f t="shared" si="13"/>
        <v>#VALUE!</v>
      </c>
      <c r="AA1736" s="29" t="e">
        <f t="shared" si="14"/>
        <v>#VALUE!</v>
      </c>
      <c r="AB1736" s="36" t="e">
        <f t="shared" si="15"/>
        <v>#VALUE!</v>
      </c>
      <c r="AC1736" s="37" t="b">
        <v>0</v>
      </c>
      <c r="AD1736" s="61" t="str">
        <f t="shared" si="16"/>
        <v>USD</v>
      </c>
      <c r="AE1736" s="37"/>
      <c r="AF1736" s="37" t="e">
        <f t="array" ref="AF1736">INDEX('Deal Info'!D:D, MATCH(A1736,'Deal Info'!A:A, 0))</f>
        <v>#N/A</v>
      </c>
      <c r="AG1736" s="38" t="e">
        <f t="array" ref="AG1736">INDEX('Deal Info'!G:G, MATCH(A1736,'Deal Info'!A:A, 0))</f>
        <v>#N/A</v>
      </c>
    </row>
    <row r="1737" spans="1:33" ht="14.25" hidden="1" x14ac:dyDescent="0.2">
      <c r="A1737" s="18" t="b">
        <f t="array" ref="A1737">IF(G1737='Room Info'!$B$1, INDEX('Room Info'!$A$2:$A2446, MATCH(B1737,'Room Info'!$B$2:$B2446, 0)),IF(G1737='Room Info'!$C$1, INDEX('Room Info'!$A$2:$A2446, MATCH(B1737,'Room Info'!$C$2:$C2446, 0)),IF(G1737='Room Info'!$D$1, INDEX('Room Info'!$A$2:$A2446, MATCH(B1737,'Room Info'!$D$2:$D2446, 0)),IF(G1737='Room Info'!$E$1, INDEX('Room Info'!$A$2:$A2446, MATCH(B1737,'Room Info'!$E$2:$E2446, 0)),IF(G1737='Room Info'!$F$1, INDEX('Room Info'!$A$2:$A2446, MATCH(B1737,'Room Info'!$F$2:$F2446, 0)),IF(G1737='Room Info'!$H$1, INDEX('Room Info'!$A$2:$A2446, MATCH(B1737,'Room Info'!$H$2:$H2446, 0)),IF(G1737='Room Info'!$G$1, INDEX('Room Info'!$A$2:$A2446, MATCH(B1737,'Room Info'!$G$2:$G2446, 0)))))))))</f>
        <v>0</v>
      </c>
      <c r="B1737" s="96"/>
      <c r="C1737" s="111"/>
      <c r="D1737" s="111"/>
      <c r="E1737" s="80"/>
      <c r="F1737" s="133"/>
      <c r="G1737" s="65"/>
      <c r="H1737" s="110"/>
      <c r="I1737" s="110"/>
      <c r="J1737" s="39" t="s">
        <v>334</v>
      </c>
      <c r="K1737" s="112"/>
      <c r="L1737" s="113"/>
      <c r="M1737" s="62"/>
      <c r="N1737" s="28" t="e">
        <f t="shared" si="8"/>
        <v>#VALUE!</v>
      </c>
      <c r="O1737" s="65"/>
      <c r="P1737" s="29" t="s">
        <v>334</v>
      </c>
      <c r="Q1737" s="55"/>
      <c r="R1737" s="31" t="e">
        <f t="shared" si="9"/>
        <v>#VALUE!</v>
      </c>
      <c r="S1737" s="66"/>
      <c r="T1737" s="32" t="e">
        <f t="shared" si="10"/>
        <v>#VALUE!</v>
      </c>
      <c r="U1737" s="57"/>
      <c r="V1737" s="58"/>
      <c r="W1737" s="58"/>
      <c r="X1737" s="30" t="e">
        <f t="shared" si="11"/>
        <v>#N/A</v>
      </c>
      <c r="Y1737" s="30" t="e">
        <f t="shared" si="12"/>
        <v>#N/A</v>
      </c>
      <c r="Z1737" s="35" t="e">
        <f t="shared" si="13"/>
        <v>#VALUE!</v>
      </c>
      <c r="AA1737" s="29" t="e">
        <f t="shared" si="14"/>
        <v>#VALUE!</v>
      </c>
      <c r="AB1737" s="36" t="e">
        <f t="shared" si="15"/>
        <v>#VALUE!</v>
      </c>
      <c r="AC1737" s="37" t="b">
        <v>0</v>
      </c>
      <c r="AD1737" s="61" t="str">
        <f t="shared" si="16"/>
        <v>USD</v>
      </c>
      <c r="AE1737" s="37"/>
      <c r="AF1737" s="37" t="e">
        <f t="array" ref="AF1737">INDEX('Deal Info'!D:D, MATCH(A1737,'Deal Info'!A:A, 0))</f>
        <v>#N/A</v>
      </c>
      <c r="AG1737" s="38" t="e">
        <f t="array" ref="AG1737">INDEX('Deal Info'!G:G, MATCH(A1737,'Deal Info'!A:A, 0))</f>
        <v>#N/A</v>
      </c>
    </row>
    <row r="1738" spans="1:33" ht="14.25" hidden="1" x14ac:dyDescent="0.2">
      <c r="A1738" s="18" t="b">
        <f t="array" ref="A1738">IF(G1738='Room Info'!$B$1, INDEX('Room Info'!$A$2:$A2446, MATCH(B1738,'Room Info'!$B$2:$B2446, 0)),IF(G1738='Room Info'!$C$1, INDEX('Room Info'!$A$2:$A2446, MATCH(B1738,'Room Info'!$C$2:$C2446, 0)),IF(G1738='Room Info'!$D$1, INDEX('Room Info'!$A$2:$A2446, MATCH(B1738,'Room Info'!$D$2:$D2446, 0)),IF(G1738='Room Info'!$E$1, INDEX('Room Info'!$A$2:$A2446, MATCH(B1738,'Room Info'!$E$2:$E2446, 0)),IF(G1738='Room Info'!$F$1, INDEX('Room Info'!$A$2:$A2446, MATCH(B1738,'Room Info'!$F$2:$F2446, 0)),IF(G1738='Room Info'!$H$1, INDEX('Room Info'!$A$2:$A2446, MATCH(B1738,'Room Info'!$H$2:$H2446, 0)),IF(G1738='Room Info'!$G$1, INDEX('Room Info'!$A$2:$A2446, MATCH(B1738,'Room Info'!$G$2:$G2446, 0)))))))))</f>
        <v>0</v>
      </c>
      <c r="B1738" s="96"/>
      <c r="C1738" s="111"/>
      <c r="D1738" s="111"/>
      <c r="E1738" s="80"/>
      <c r="F1738" s="133"/>
      <c r="G1738" s="65"/>
      <c r="H1738" s="110"/>
      <c r="I1738" s="110"/>
      <c r="J1738" s="39" t="s">
        <v>334</v>
      </c>
      <c r="K1738" s="112"/>
      <c r="L1738" s="113"/>
      <c r="M1738" s="62"/>
      <c r="N1738" s="28" t="e">
        <f t="shared" si="8"/>
        <v>#VALUE!</v>
      </c>
      <c r="O1738" s="65"/>
      <c r="P1738" s="29" t="s">
        <v>334</v>
      </c>
      <c r="Q1738" s="55"/>
      <c r="R1738" s="31" t="e">
        <f t="shared" si="9"/>
        <v>#VALUE!</v>
      </c>
      <c r="S1738" s="66"/>
      <c r="T1738" s="32" t="e">
        <f t="shared" si="10"/>
        <v>#VALUE!</v>
      </c>
      <c r="U1738" s="57"/>
      <c r="V1738" s="58"/>
      <c r="W1738" s="58"/>
      <c r="X1738" s="30" t="e">
        <f t="shared" si="11"/>
        <v>#N/A</v>
      </c>
      <c r="Y1738" s="30" t="e">
        <f t="shared" si="12"/>
        <v>#N/A</v>
      </c>
      <c r="Z1738" s="35" t="e">
        <f t="shared" si="13"/>
        <v>#VALUE!</v>
      </c>
      <c r="AA1738" s="29" t="e">
        <f t="shared" si="14"/>
        <v>#VALUE!</v>
      </c>
      <c r="AB1738" s="36" t="e">
        <f t="shared" si="15"/>
        <v>#VALUE!</v>
      </c>
      <c r="AC1738" s="37" t="b">
        <v>0</v>
      </c>
      <c r="AD1738" s="61" t="str">
        <f t="shared" si="16"/>
        <v>USD</v>
      </c>
      <c r="AE1738" s="37"/>
      <c r="AF1738" s="37" t="e">
        <f t="array" ref="AF1738">INDEX('Deal Info'!D:D, MATCH(A1738,'Deal Info'!A:A, 0))</f>
        <v>#N/A</v>
      </c>
      <c r="AG1738" s="38" t="e">
        <f t="array" ref="AG1738">INDEX('Deal Info'!G:G, MATCH(A1738,'Deal Info'!A:A, 0))</f>
        <v>#N/A</v>
      </c>
    </row>
    <row r="1739" spans="1:33" ht="14.25" hidden="1" x14ac:dyDescent="0.2">
      <c r="A1739" s="18" t="b">
        <f t="array" ref="A1739">IF(G1739='Room Info'!$B$1, INDEX('Room Info'!$A$2:$A2446, MATCH(B1739,'Room Info'!$B$2:$B2446, 0)),IF(G1739='Room Info'!$C$1, INDEX('Room Info'!$A$2:$A2446, MATCH(B1739,'Room Info'!$C$2:$C2446, 0)),IF(G1739='Room Info'!$D$1, INDEX('Room Info'!$A$2:$A2446, MATCH(B1739,'Room Info'!$D$2:$D2446, 0)),IF(G1739='Room Info'!$E$1, INDEX('Room Info'!$A$2:$A2446, MATCH(B1739,'Room Info'!$E$2:$E2446, 0)),IF(G1739='Room Info'!$F$1, INDEX('Room Info'!$A$2:$A2446, MATCH(B1739,'Room Info'!$F$2:$F2446, 0)),IF(G1739='Room Info'!$H$1, INDEX('Room Info'!$A$2:$A2446, MATCH(B1739,'Room Info'!$H$2:$H2446, 0)),IF(G1739='Room Info'!$G$1, INDEX('Room Info'!$A$2:$A2446, MATCH(B1739,'Room Info'!$G$2:$G2446, 0)))))))))</f>
        <v>0</v>
      </c>
      <c r="B1739" s="96"/>
      <c r="C1739" s="111"/>
      <c r="D1739" s="111"/>
      <c r="E1739" s="80"/>
      <c r="F1739" s="133"/>
      <c r="G1739" s="65"/>
      <c r="H1739" s="110"/>
      <c r="I1739" s="110"/>
      <c r="J1739" s="39" t="s">
        <v>334</v>
      </c>
      <c r="K1739" s="112"/>
      <c r="L1739" s="113"/>
      <c r="M1739" s="62"/>
      <c r="N1739" s="28" t="e">
        <f t="shared" si="8"/>
        <v>#VALUE!</v>
      </c>
      <c r="O1739" s="65"/>
      <c r="P1739" s="29" t="s">
        <v>334</v>
      </c>
      <c r="Q1739" s="55"/>
      <c r="R1739" s="31" t="e">
        <f t="shared" si="9"/>
        <v>#VALUE!</v>
      </c>
      <c r="S1739" s="66"/>
      <c r="T1739" s="32" t="e">
        <f t="shared" si="10"/>
        <v>#VALUE!</v>
      </c>
      <c r="U1739" s="57"/>
      <c r="V1739" s="58"/>
      <c r="W1739" s="58"/>
      <c r="X1739" s="30" t="e">
        <f t="shared" si="11"/>
        <v>#N/A</v>
      </c>
      <c r="Y1739" s="30" t="e">
        <f t="shared" si="12"/>
        <v>#N/A</v>
      </c>
      <c r="Z1739" s="35" t="e">
        <f t="shared" si="13"/>
        <v>#VALUE!</v>
      </c>
      <c r="AA1739" s="29" t="e">
        <f t="shared" si="14"/>
        <v>#VALUE!</v>
      </c>
      <c r="AB1739" s="36" t="e">
        <f t="shared" si="15"/>
        <v>#VALUE!</v>
      </c>
      <c r="AC1739" s="37" t="b">
        <v>0</v>
      </c>
      <c r="AD1739" s="61" t="str">
        <f t="shared" si="16"/>
        <v>USD</v>
      </c>
      <c r="AE1739" s="37"/>
      <c r="AF1739" s="37" t="e">
        <f t="array" ref="AF1739">INDEX('Deal Info'!D:D, MATCH(A1739,'Deal Info'!A:A, 0))</f>
        <v>#N/A</v>
      </c>
      <c r="AG1739" s="38" t="e">
        <f t="array" ref="AG1739">INDEX('Deal Info'!G:G, MATCH(A1739,'Deal Info'!A:A, 0))</f>
        <v>#N/A</v>
      </c>
    </row>
    <row r="1740" spans="1:33" ht="14.25" hidden="1" x14ac:dyDescent="0.2">
      <c r="A1740" s="18" t="b">
        <f t="array" ref="A1740">IF(G1740='Room Info'!$B$1, INDEX('Room Info'!$A$2:$A2446, MATCH(B1740,'Room Info'!$B$2:$B2446, 0)),IF(G1740='Room Info'!$C$1, INDEX('Room Info'!$A$2:$A2446, MATCH(B1740,'Room Info'!$C$2:$C2446, 0)),IF(G1740='Room Info'!$D$1, INDEX('Room Info'!$A$2:$A2446, MATCH(B1740,'Room Info'!$D$2:$D2446, 0)),IF(G1740='Room Info'!$E$1, INDEX('Room Info'!$A$2:$A2446, MATCH(B1740,'Room Info'!$E$2:$E2446, 0)),IF(G1740='Room Info'!$F$1, INDEX('Room Info'!$A$2:$A2446, MATCH(B1740,'Room Info'!$F$2:$F2446, 0)),IF(G1740='Room Info'!$H$1, INDEX('Room Info'!$A$2:$A2446, MATCH(B1740,'Room Info'!$H$2:$H2446, 0)),IF(G1740='Room Info'!$G$1, INDEX('Room Info'!$A$2:$A2446, MATCH(B1740,'Room Info'!$G$2:$G2446, 0)))))))))</f>
        <v>0</v>
      </c>
      <c r="B1740" s="96"/>
      <c r="C1740" s="136"/>
      <c r="D1740" s="136"/>
      <c r="E1740" s="137"/>
      <c r="F1740" s="133"/>
      <c r="G1740" s="96"/>
      <c r="H1740" s="100"/>
      <c r="I1740" s="100"/>
      <c r="J1740" s="39" t="s">
        <v>334</v>
      </c>
      <c r="K1740" s="134"/>
      <c r="L1740" s="135"/>
      <c r="M1740" s="79"/>
      <c r="N1740" s="28" t="e">
        <f t="shared" si="8"/>
        <v>#VALUE!</v>
      </c>
      <c r="O1740" s="96"/>
      <c r="P1740" s="29" t="s">
        <v>334</v>
      </c>
      <c r="Q1740" s="55"/>
      <c r="R1740" s="31" t="e">
        <f t="shared" si="9"/>
        <v>#VALUE!</v>
      </c>
      <c r="S1740" s="97"/>
      <c r="T1740" s="32" t="e">
        <f t="shared" si="10"/>
        <v>#VALUE!</v>
      </c>
      <c r="U1740" s="57"/>
      <c r="V1740" s="58"/>
      <c r="W1740" s="58"/>
      <c r="X1740" s="30" t="e">
        <f t="shared" si="11"/>
        <v>#N/A</v>
      </c>
      <c r="Y1740" s="30" t="e">
        <f t="shared" si="12"/>
        <v>#N/A</v>
      </c>
      <c r="Z1740" s="35" t="e">
        <f t="shared" si="13"/>
        <v>#VALUE!</v>
      </c>
      <c r="AA1740" s="29" t="e">
        <f t="shared" si="14"/>
        <v>#VALUE!</v>
      </c>
      <c r="AB1740" s="36" t="e">
        <f t="shared" si="15"/>
        <v>#VALUE!</v>
      </c>
      <c r="AC1740" s="37" t="b">
        <v>0</v>
      </c>
      <c r="AD1740" s="61" t="str">
        <f t="shared" si="16"/>
        <v>USD</v>
      </c>
      <c r="AE1740" s="37"/>
      <c r="AF1740" s="37" t="e">
        <f t="array" ref="AF1740">INDEX('Deal Info'!D:D, MATCH(A1740,'Deal Info'!A:A, 0))</f>
        <v>#N/A</v>
      </c>
      <c r="AG1740" s="38" t="e">
        <f t="array" ref="AG1740">INDEX('Deal Info'!G:G, MATCH(A1740,'Deal Info'!A:A, 0))</f>
        <v>#N/A</v>
      </c>
    </row>
    <row r="1741" spans="1:33" ht="14.25" hidden="1" x14ac:dyDescent="0.2">
      <c r="A1741" s="18" t="b">
        <f t="array" ref="A1741">IF(G1741='Room Info'!$B$1, INDEX('Room Info'!$A$2:$A2446, MATCH(B1741,'Room Info'!$B$2:$B2446, 0)),IF(G1741='Room Info'!$C$1, INDEX('Room Info'!$A$2:$A2446, MATCH(B1741,'Room Info'!$C$2:$C2446, 0)),IF(G1741='Room Info'!$D$1, INDEX('Room Info'!$A$2:$A2446, MATCH(B1741,'Room Info'!$D$2:$D2446, 0)),IF(G1741='Room Info'!$E$1, INDEX('Room Info'!$A$2:$A2446, MATCH(B1741,'Room Info'!$E$2:$E2446, 0)),IF(G1741='Room Info'!$F$1, INDEX('Room Info'!$A$2:$A2446, MATCH(B1741,'Room Info'!$F$2:$F2446, 0)),IF(G1741='Room Info'!$H$1, INDEX('Room Info'!$A$2:$A2446, MATCH(B1741,'Room Info'!$H$2:$H2446, 0)),IF(G1741='Room Info'!$G$1, INDEX('Room Info'!$A$2:$A2446, MATCH(B1741,'Room Info'!$G$2:$G2446, 0)))))))))</f>
        <v>0</v>
      </c>
      <c r="B1741" s="96"/>
      <c r="C1741" s="136"/>
      <c r="D1741" s="136"/>
      <c r="E1741" s="137"/>
      <c r="F1741" s="133"/>
      <c r="G1741" s="96"/>
      <c r="H1741" s="100"/>
      <c r="I1741" s="100"/>
      <c r="J1741" s="39" t="s">
        <v>334</v>
      </c>
      <c r="K1741" s="134"/>
      <c r="L1741" s="135"/>
      <c r="M1741" s="79"/>
      <c r="N1741" s="28" t="e">
        <f t="shared" si="8"/>
        <v>#VALUE!</v>
      </c>
      <c r="O1741" s="96"/>
      <c r="P1741" s="29" t="s">
        <v>334</v>
      </c>
      <c r="Q1741" s="55"/>
      <c r="R1741" s="31" t="e">
        <f t="shared" si="9"/>
        <v>#VALUE!</v>
      </c>
      <c r="S1741" s="97"/>
      <c r="T1741" s="32" t="e">
        <f t="shared" si="10"/>
        <v>#VALUE!</v>
      </c>
      <c r="U1741" s="57"/>
      <c r="V1741" s="58"/>
      <c r="W1741" s="58"/>
      <c r="X1741" s="30" t="e">
        <f t="shared" si="11"/>
        <v>#N/A</v>
      </c>
      <c r="Y1741" s="30" t="e">
        <f t="shared" si="12"/>
        <v>#N/A</v>
      </c>
      <c r="Z1741" s="35" t="e">
        <f t="shared" si="13"/>
        <v>#VALUE!</v>
      </c>
      <c r="AA1741" s="29" t="e">
        <f t="shared" si="14"/>
        <v>#VALUE!</v>
      </c>
      <c r="AB1741" s="36" t="e">
        <f t="shared" si="15"/>
        <v>#VALUE!</v>
      </c>
      <c r="AC1741" s="37" t="b">
        <v>0</v>
      </c>
      <c r="AD1741" s="61" t="str">
        <f t="shared" si="16"/>
        <v>USD</v>
      </c>
      <c r="AE1741" s="37"/>
      <c r="AF1741" s="37" t="e">
        <f t="array" ref="AF1741">INDEX('Deal Info'!D:D, MATCH(A1741,'Deal Info'!A:A, 0))</f>
        <v>#N/A</v>
      </c>
      <c r="AG1741" s="38" t="e">
        <f t="array" ref="AG1741">INDEX('Deal Info'!G:G, MATCH(A1741,'Deal Info'!A:A, 0))</f>
        <v>#N/A</v>
      </c>
    </row>
    <row r="1742" spans="1:33" ht="14.25" hidden="1" x14ac:dyDescent="0.2">
      <c r="A1742" s="18" t="b">
        <f t="array" ref="A1742">IF(G1742='Room Info'!$B$1, INDEX('Room Info'!$A$2:$A2446, MATCH(B1742,'Room Info'!$B$2:$B2446, 0)),IF(G1742='Room Info'!$C$1, INDEX('Room Info'!$A$2:$A2446, MATCH(B1742,'Room Info'!$C$2:$C2446, 0)),IF(G1742='Room Info'!$D$1, INDEX('Room Info'!$A$2:$A2446, MATCH(B1742,'Room Info'!$D$2:$D2446, 0)),IF(G1742='Room Info'!$E$1, INDEX('Room Info'!$A$2:$A2446, MATCH(B1742,'Room Info'!$E$2:$E2446, 0)),IF(G1742='Room Info'!$F$1, INDEX('Room Info'!$A$2:$A2446, MATCH(B1742,'Room Info'!$F$2:$F2446, 0)),IF(G1742='Room Info'!$H$1, INDEX('Room Info'!$A$2:$A2446, MATCH(B1742,'Room Info'!$H$2:$H2446, 0)),IF(G1742='Room Info'!$G$1, INDEX('Room Info'!$A$2:$A2446, MATCH(B1742,'Room Info'!$G$2:$G2446, 0)))))))))</f>
        <v>0</v>
      </c>
      <c r="B1742" s="96"/>
      <c r="C1742" s="136"/>
      <c r="D1742" s="136"/>
      <c r="E1742" s="137"/>
      <c r="F1742" s="133"/>
      <c r="G1742" s="96"/>
      <c r="H1742" s="100"/>
      <c r="I1742" s="100"/>
      <c r="J1742" s="39" t="s">
        <v>334</v>
      </c>
      <c r="K1742" s="134"/>
      <c r="L1742" s="135"/>
      <c r="M1742" s="79"/>
      <c r="N1742" s="28" t="e">
        <f t="shared" si="8"/>
        <v>#VALUE!</v>
      </c>
      <c r="O1742" s="96"/>
      <c r="P1742" s="29" t="s">
        <v>334</v>
      </c>
      <c r="Q1742" s="55"/>
      <c r="R1742" s="31" t="e">
        <f t="shared" si="9"/>
        <v>#VALUE!</v>
      </c>
      <c r="S1742" s="97"/>
      <c r="T1742" s="32" t="e">
        <f t="shared" si="10"/>
        <v>#VALUE!</v>
      </c>
      <c r="U1742" s="57"/>
      <c r="V1742" s="58"/>
      <c r="W1742" s="58"/>
      <c r="X1742" s="30" t="e">
        <f t="shared" si="11"/>
        <v>#N/A</v>
      </c>
      <c r="Y1742" s="30" t="e">
        <f t="shared" si="12"/>
        <v>#N/A</v>
      </c>
      <c r="Z1742" s="35" t="e">
        <f t="shared" si="13"/>
        <v>#VALUE!</v>
      </c>
      <c r="AA1742" s="29" t="e">
        <f t="shared" si="14"/>
        <v>#VALUE!</v>
      </c>
      <c r="AB1742" s="36" t="e">
        <f t="shared" si="15"/>
        <v>#VALUE!</v>
      </c>
      <c r="AC1742" s="37" t="b">
        <v>0</v>
      </c>
      <c r="AD1742" s="61" t="str">
        <f t="shared" si="16"/>
        <v>USD</v>
      </c>
      <c r="AE1742" s="37"/>
      <c r="AF1742" s="37" t="e">
        <f t="array" ref="AF1742">INDEX('Deal Info'!D:D, MATCH(A1742,'Deal Info'!A:A, 0))</f>
        <v>#N/A</v>
      </c>
      <c r="AG1742" s="38" t="e">
        <f t="array" ref="AG1742">INDEX('Deal Info'!G:G, MATCH(A1742,'Deal Info'!A:A, 0))</f>
        <v>#N/A</v>
      </c>
    </row>
    <row r="1743" spans="1:33" ht="14.25" hidden="1" x14ac:dyDescent="0.2">
      <c r="A1743" s="18" t="b">
        <f t="array" ref="A1743">IF(G1743='Room Info'!$B$1, INDEX('Room Info'!$A$2:$A2446, MATCH(B1743,'Room Info'!$B$2:$B2446, 0)),IF(G1743='Room Info'!$C$1, INDEX('Room Info'!$A$2:$A2446, MATCH(B1743,'Room Info'!$C$2:$C2446, 0)),IF(G1743='Room Info'!$D$1, INDEX('Room Info'!$A$2:$A2446, MATCH(B1743,'Room Info'!$D$2:$D2446, 0)),IF(G1743='Room Info'!$E$1, INDEX('Room Info'!$A$2:$A2446, MATCH(B1743,'Room Info'!$E$2:$E2446, 0)),IF(G1743='Room Info'!$F$1, INDEX('Room Info'!$A$2:$A2446, MATCH(B1743,'Room Info'!$F$2:$F2446, 0)),IF(G1743='Room Info'!$H$1, INDEX('Room Info'!$A$2:$A2446, MATCH(B1743,'Room Info'!$H$2:$H2446, 0)),IF(G1743='Room Info'!$G$1, INDEX('Room Info'!$A$2:$A2446, MATCH(B1743,'Room Info'!$G$2:$G2446, 0)))))))))</f>
        <v>0</v>
      </c>
      <c r="B1743" s="96"/>
      <c r="C1743" s="111"/>
      <c r="D1743" s="111"/>
      <c r="E1743" s="80"/>
      <c r="F1743" s="133"/>
      <c r="G1743" s="96"/>
      <c r="H1743" s="110"/>
      <c r="I1743" s="110"/>
      <c r="J1743" s="39" t="s">
        <v>334</v>
      </c>
      <c r="K1743" s="112"/>
      <c r="L1743" s="113"/>
      <c r="M1743" s="62"/>
      <c r="N1743" s="28" t="e">
        <f t="shared" si="8"/>
        <v>#VALUE!</v>
      </c>
      <c r="O1743" s="65"/>
      <c r="P1743" s="29" t="s">
        <v>334</v>
      </c>
      <c r="Q1743" s="55"/>
      <c r="R1743" s="31" t="e">
        <f t="shared" si="9"/>
        <v>#VALUE!</v>
      </c>
      <c r="S1743" s="66"/>
      <c r="T1743" s="32" t="e">
        <f t="shared" si="10"/>
        <v>#VALUE!</v>
      </c>
      <c r="U1743" s="57"/>
      <c r="V1743" s="58"/>
      <c r="W1743" s="58"/>
      <c r="X1743" s="30" t="e">
        <f t="shared" si="11"/>
        <v>#N/A</v>
      </c>
      <c r="Y1743" s="30" t="e">
        <f t="shared" si="12"/>
        <v>#N/A</v>
      </c>
      <c r="Z1743" s="35" t="e">
        <f t="shared" si="13"/>
        <v>#VALUE!</v>
      </c>
      <c r="AA1743" s="29" t="e">
        <f t="shared" si="14"/>
        <v>#VALUE!</v>
      </c>
      <c r="AB1743" s="36" t="e">
        <f t="shared" si="15"/>
        <v>#VALUE!</v>
      </c>
      <c r="AC1743" s="37" t="b">
        <v>0</v>
      </c>
      <c r="AD1743" s="61" t="str">
        <f t="shared" si="16"/>
        <v>USD</v>
      </c>
      <c r="AE1743" s="37"/>
      <c r="AF1743" s="37" t="e">
        <f t="array" ref="AF1743">INDEX('Deal Info'!D:D, MATCH(A1743,'Deal Info'!A:A, 0))</f>
        <v>#N/A</v>
      </c>
      <c r="AG1743" s="38" t="e">
        <f t="array" ref="AG1743">INDEX('Deal Info'!G:G, MATCH(A1743,'Deal Info'!A:A, 0))</f>
        <v>#N/A</v>
      </c>
    </row>
    <row r="1744" spans="1:33" ht="14.25" hidden="1" x14ac:dyDescent="0.2">
      <c r="A1744" s="18" t="b">
        <f t="array" ref="A1744">IF(G1744='Room Info'!$B$1, INDEX('Room Info'!$A$2:$A2446, MATCH(B1744,'Room Info'!$B$2:$B2446, 0)),IF(G1744='Room Info'!$C$1, INDEX('Room Info'!$A$2:$A2446, MATCH(B1744,'Room Info'!$C$2:$C2446, 0)),IF(G1744='Room Info'!$D$1, INDEX('Room Info'!$A$2:$A2446, MATCH(B1744,'Room Info'!$D$2:$D2446, 0)),IF(G1744='Room Info'!$E$1, INDEX('Room Info'!$A$2:$A2446, MATCH(B1744,'Room Info'!$E$2:$E2446, 0)),IF(G1744='Room Info'!$F$1, INDEX('Room Info'!$A$2:$A2446, MATCH(B1744,'Room Info'!$F$2:$F2446, 0)),IF(G1744='Room Info'!$H$1, INDEX('Room Info'!$A$2:$A2446, MATCH(B1744,'Room Info'!$H$2:$H2446, 0)),IF(G1744='Room Info'!$G$1, INDEX('Room Info'!$A$2:$A2446, MATCH(B1744,'Room Info'!$G$2:$G2446, 0)))))))))</f>
        <v>0</v>
      </c>
      <c r="B1744" s="96"/>
      <c r="C1744" s="111"/>
      <c r="D1744" s="111"/>
      <c r="E1744" s="80"/>
      <c r="F1744" s="133"/>
      <c r="G1744" s="96"/>
      <c r="H1744" s="110"/>
      <c r="I1744" s="110"/>
      <c r="J1744" s="39" t="s">
        <v>334</v>
      </c>
      <c r="K1744" s="112"/>
      <c r="L1744" s="113"/>
      <c r="M1744" s="62"/>
      <c r="N1744" s="28" t="e">
        <f t="shared" si="8"/>
        <v>#VALUE!</v>
      </c>
      <c r="O1744" s="65"/>
      <c r="P1744" s="29" t="s">
        <v>334</v>
      </c>
      <c r="Q1744" s="55"/>
      <c r="R1744" s="31" t="e">
        <f t="shared" si="9"/>
        <v>#VALUE!</v>
      </c>
      <c r="S1744" s="66"/>
      <c r="T1744" s="32" t="e">
        <f t="shared" si="10"/>
        <v>#VALUE!</v>
      </c>
      <c r="U1744" s="57"/>
      <c r="V1744" s="58"/>
      <c r="W1744" s="58"/>
      <c r="X1744" s="30" t="e">
        <f t="shared" si="11"/>
        <v>#N/A</v>
      </c>
      <c r="Y1744" s="30" t="e">
        <f t="shared" si="12"/>
        <v>#N/A</v>
      </c>
      <c r="Z1744" s="35" t="e">
        <f t="shared" si="13"/>
        <v>#VALUE!</v>
      </c>
      <c r="AA1744" s="29" t="e">
        <f t="shared" si="14"/>
        <v>#VALUE!</v>
      </c>
      <c r="AB1744" s="36" t="e">
        <f t="shared" si="15"/>
        <v>#VALUE!</v>
      </c>
      <c r="AC1744" s="37" t="b">
        <v>0</v>
      </c>
      <c r="AD1744" s="61" t="str">
        <f t="shared" si="16"/>
        <v>USD</v>
      </c>
      <c r="AE1744" s="37"/>
      <c r="AF1744" s="37" t="e">
        <f t="array" ref="AF1744">INDEX('Deal Info'!D:D, MATCH(A1744,'Deal Info'!A:A, 0))</f>
        <v>#N/A</v>
      </c>
      <c r="AG1744" s="38" t="e">
        <f t="array" ref="AG1744">INDEX('Deal Info'!G:G, MATCH(A1744,'Deal Info'!A:A, 0))</f>
        <v>#N/A</v>
      </c>
    </row>
    <row r="1745" spans="1:33" ht="14.25" hidden="1" x14ac:dyDescent="0.2">
      <c r="A1745" s="18" t="b">
        <f t="array" ref="A1745">IF(G1745='Room Info'!$B$1, INDEX('Room Info'!$A$2:$A2446, MATCH(B1745,'Room Info'!$B$2:$B2446, 0)),IF(G1745='Room Info'!$C$1, INDEX('Room Info'!$A$2:$A2446, MATCH(B1745,'Room Info'!$C$2:$C2446, 0)),IF(G1745='Room Info'!$D$1, INDEX('Room Info'!$A$2:$A2446, MATCH(B1745,'Room Info'!$D$2:$D2446, 0)),IF(G1745='Room Info'!$E$1, INDEX('Room Info'!$A$2:$A2446, MATCH(B1745,'Room Info'!$E$2:$E2446, 0)),IF(G1745='Room Info'!$F$1, INDEX('Room Info'!$A$2:$A2446, MATCH(B1745,'Room Info'!$F$2:$F2446, 0)),IF(G1745='Room Info'!$H$1, INDEX('Room Info'!$A$2:$A2446, MATCH(B1745,'Room Info'!$H$2:$H2446, 0)),IF(G1745='Room Info'!$G$1, INDEX('Room Info'!$A$2:$A2446, MATCH(B1745,'Room Info'!$G$2:$G2446, 0)))))))))</f>
        <v>0</v>
      </c>
      <c r="B1745" s="96"/>
      <c r="C1745" s="111"/>
      <c r="D1745" s="111"/>
      <c r="E1745" s="80"/>
      <c r="F1745" s="133"/>
      <c r="G1745" s="96"/>
      <c r="H1745" s="110"/>
      <c r="I1745" s="110"/>
      <c r="J1745" s="39" t="s">
        <v>334</v>
      </c>
      <c r="K1745" s="112"/>
      <c r="L1745" s="113"/>
      <c r="M1745" s="62"/>
      <c r="N1745" s="28" t="e">
        <f t="shared" si="8"/>
        <v>#VALUE!</v>
      </c>
      <c r="O1745" s="65"/>
      <c r="P1745" s="29" t="s">
        <v>334</v>
      </c>
      <c r="Q1745" s="55"/>
      <c r="R1745" s="31" t="e">
        <f t="shared" si="9"/>
        <v>#VALUE!</v>
      </c>
      <c r="S1745" s="66"/>
      <c r="T1745" s="32" t="e">
        <f t="shared" si="10"/>
        <v>#VALUE!</v>
      </c>
      <c r="U1745" s="57"/>
      <c r="V1745" s="58"/>
      <c r="W1745" s="58"/>
      <c r="X1745" s="30" t="e">
        <f t="shared" si="11"/>
        <v>#N/A</v>
      </c>
      <c r="Y1745" s="30" t="e">
        <f t="shared" si="12"/>
        <v>#N/A</v>
      </c>
      <c r="Z1745" s="35" t="e">
        <f t="shared" si="13"/>
        <v>#VALUE!</v>
      </c>
      <c r="AA1745" s="29" t="e">
        <f t="shared" si="14"/>
        <v>#VALUE!</v>
      </c>
      <c r="AB1745" s="36" t="e">
        <f t="shared" si="15"/>
        <v>#VALUE!</v>
      </c>
      <c r="AC1745" s="37" t="b">
        <v>0</v>
      </c>
      <c r="AD1745" s="61" t="str">
        <f t="shared" si="16"/>
        <v>USD</v>
      </c>
      <c r="AE1745" s="37"/>
      <c r="AF1745" s="37" t="e">
        <f t="array" ref="AF1745">INDEX('Deal Info'!D:D, MATCH(A1745,'Deal Info'!A:A, 0))</f>
        <v>#N/A</v>
      </c>
      <c r="AG1745" s="38" t="e">
        <f t="array" ref="AG1745">INDEX('Deal Info'!G:G, MATCH(A1745,'Deal Info'!A:A, 0))</f>
        <v>#N/A</v>
      </c>
    </row>
    <row r="1746" spans="1:33" ht="14.25" hidden="1" x14ac:dyDescent="0.2">
      <c r="A1746" s="18" t="b">
        <f t="array" ref="A1746">IF(G1746='Room Info'!$B$1, INDEX('Room Info'!$A$2:$A2446, MATCH(B1746,'Room Info'!$B$2:$B2446, 0)),IF(G1746='Room Info'!$C$1, INDEX('Room Info'!$A$2:$A2446, MATCH(B1746,'Room Info'!$C$2:$C2446, 0)),IF(G1746='Room Info'!$D$1, INDEX('Room Info'!$A$2:$A2446, MATCH(B1746,'Room Info'!$D$2:$D2446, 0)),IF(G1746='Room Info'!$E$1, INDEX('Room Info'!$A$2:$A2446, MATCH(B1746,'Room Info'!$E$2:$E2446, 0)),IF(G1746='Room Info'!$F$1, INDEX('Room Info'!$A$2:$A2446, MATCH(B1746,'Room Info'!$F$2:$F2446, 0)),IF(G1746='Room Info'!$H$1, INDEX('Room Info'!$A$2:$A2446, MATCH(B1746,'Room Info'!$H$2:$H2446, 0)),IF(G1746='Room Info'!$G$1, INDEX('Room Info'!$A$2:$A2446, MATCH(B1746,'Room Info'!$G$2:$G2446, 0)))))))))</f>
        <v>0</v>
      </c>
      <c r="B1746" s="96"/>
      <c r="C1746" s="111"/>
      <c r="D1746" s="111"/>
      <c r="E1746" s="80"/>
      <c r="F1746" s="133"/>
      <c r="G1746" s="96"/>
      <c r="H1746" s="110"/>
      <c r="I1746" s="110"/>
      <c r="J1746" s="39" t="s">
        <v>334</v>
      </c>
      <c r="K1746" s="112"/>
      <c r="L1746" s="113"/>
      <c r="M1746" s="62"/>
      <c r="N1746" s="28" t="e">
        <f t="shared" si="8"/>
        <v>#VALUE!</v>
      </c>
      <c r="O1746" s="65"/>
      <c r="P1746" s="29" t="s">
        <v>334</v>
      </c>
      <c r="Q1746" s="55"/>
      <c r="R1746" s="31" t="e">
        <f t="shared" si="9"/>
        <v>#VALUE!</v>
      </c>
      <c r="S1746" s="66"/>
      <c r="T1746" s="32" t="e">
        <f t="shared" si="10"/>
        <v>#VALUE!</v>
      </c>
      <c r="U1746" s="57"/>
      <c r="V1746" s="58"/>
      <c r="W1746" s="58"/>
      <c r="X1746" s="30" t="e">
        <f t="shared" si="11"/>
        <v>#N/A</v>
      </c>
      <c r="Y1746" s="30" t="e">
        <f t="shared" si="12"/>
        <v>#N/A</v>
      </c>
      <c r="Z1746" s="35" t="e">
        <f t="shared" si="13"/>
        <v>#VALUE!</v>
      </c>
      <c r="AA1746" s="29" t="e">
        <f t="shared" si="14"/>
        <v>#VALUE!</v>
      </c>
      <c r="AB1746" s="36" t="e">
        <f t="shared" si="15"/>
        <v>#VALUE!</v>
      </c>
      <c r="AC1746" s="37" t="b">
        <v>0</v>
      </c>
      <c r="AD1746" s="61" t="str">
        <f t="shared" si="16"/>
        <v>USD</v>
      </c>
      <c r="AE1746" s="37"/>
      <c r="AF1746" s="37" t="e">
        <f t="array" ref="AF1746">INDEX('Deal Info'!D:D, MATCH(A1746,'Deal Info'!A:A, 0))</f>
        <v>#N/A</v>
      </c>
      <c r="AG1746" s="38" t="e">
        <f t="array" ref="AG1746">INDEX('Deal Info'!G:G, MATCH(A1746,'Deal Info'!A:A, 0))</f>
        <v>#N/A</v>
      </c>
    </row>
    <row r="1747" spans="1:33" ht="14.25" hidden="1" x14ac:dyDescent="0.2">
      <c r="A1747" s="18" t="b">
        <f t="array" ref="A1747">IF(G1747='Room Info'!$B$1, INDEX('Room Info'!$A$2:$A2446, MATCH(B1747,'Room Info'!$B$2:$B2446, 0)),IF(G1747='Room Info'!$C$1, INDEX('Room Info'!$A$2:$A2446, MATCH(B1747,'Room Info'!$C$2:$C2446, 0)),IF(G1747='Room Info'!$D$1, INDEX('Room Info'!$A$2:$A2446, MATCH(B1747,'Room Info'!$D$2:$D2446, 0)),IF(G1747='Room Info'!$E$1, INDEX('Room Info'!$A$2:$A2446, MATCH(B1747,'Room Info'!$E$2:$E2446, 0)),IF(G1747='Room Info'!$F$1, INDEX('Room Info'!$A$2:$A2446, MATCH(B1747,'Room Info'!$F$2:$F2446, 0)),IF(G1747='Room Info'!$H$1, INDEX('Room Info'!$A$2:$A2446, MATCH(B1747,'Room Info'!$H$2:$H2446, 0)),IF(G1747='Room Info'!$G$1, INDEX('Room Info'!$A$2:$A2446, MATCH(B1747,'Room Info'!$G$2:$G2446, 0)))))))))</f>
        <v>0</v>
      </c>
      <c r="B1747" s="96"/>
      <c r="C1747" s="111"/>
      <c r="D1747" s="111"/>
      <c r="E1747" s="80"/>
      <c r="F1747" s="133"/>
      <c r="G1747" s="96"/>
      <c r="H1747" s="110"/>
      <c r="I1747" s="110"/>
      <c r="J1747" s="39" t="s">
        <v>334</v>
      </c>
      <c r="K1747" s="112"/>
      <c r="L1747" s="113"/>
      <c r="M1747" s="62"/>
      <c r="N1747" s="28" t="e">
        <f t="shared" si="8"/>
        <v>#VALUE!</v>
      </c>
      <c r="O1747" s="65"/>
      <c r="P1747" s="29" t="s">
        <v>334</v>
      </c>
      <c r="Q1747" s="55"/>
      <c r="R1747" s="31" t="e">
        <f t="shared" si="9"/>
        <v>#VALUE!</v>
      </c>
      <c r="S1747" s="66"/>
      <c r="T1747" s="32" t="e">
        <f t="shared" si="10"/>
        <v>#VALUE!</v>
      </c>
      <c r="U1747" s="57"/>
      <c r="V1747" s="58"/>
      <c r="W1747" s="58"/>
      <c r="X1747" s="30" t="e">
        <f t="shared" si="11"/>
        <v>#N/A</v>
      </c>
      <c r="Y1747" s="30" t="e">
        <f t="shared" si="12"/>
        <v>#N/A</v>
      </c>
      <c r="Z1747" s="35" t="e">
        <f t="shared" si="13"/>
        <v>#VALUE!</v>
      </c>
      <c r="AA1747" s="29" t="e">
        <f t="shared" si="14"/>
        <v>#VALUE!</v>
      </c>
      <c r="AB1747" s="36" t="e">
        <f t="shared" si="15"/>
        <v>#VALUE!</v>
      </c>
      <c r="AC1747" s="37" t="b">
        <v>0</v>
      </c>
      <c r="AD1747" s="61" t="str">
        <f t="shared" si="16"/>
        <v>USD</v>
      </c>
      <c r="AE1747" s="37"/>
      <c r="AF1747" s="37" t="e">
        <f t="array" ref="AF1747">INDEX('Deal Info'!D:D, MATCH(A1747,'Deal Info'!A:A, 0))</f>
        <v>#N/A</v>
      </c>
      <c r="AG1747" s="38" t="e">
        <f t="array" ref="AG1747">INDEX('Deal Info'!G:G, MATCH(A1747,'Deal Info'!A:A, 0))</f>
        <v>#N/A</v>
      </c>
    </row>
    <row r="1748" spans="1:33" ht="14.25" hidden="1" x14ac:dyDescent="0.2">
      <c r="A1748" s="18" t="b">
        <f t="array" ref="A1748">IF(G1748='Room Info'!$B$1, INDEX('Room Info'!$A$2:$A2446, MATCH(B1748,'Room Info'!$B$2:$B2446, 0)),IF(G1748='Room Info'!$C$1, INDEX('Room Info'!$A$2:$A2446, MATCH(B1748,'Room Info'!$C$2:$C2446, 0)),IF(G1748='Room Info'!$D$1, INDEX('Room Info'!$A$2:$A2446, MATCH(B1748,'Room Info'!$D$2:$D2446, 0)),IF(G1748='Room Info'!$E$1, INDEX('Room Info'!$A$2:$A2446, MATCH(B1748,'Room Info'!$E$2:$E2446, 0)),IF(G1748='Room Info'!$F$1, INDEX('Room Info'!$A$2:$A2446, MATCH(B1748,'Room Info'!$F$2:$F2446, 0)),IF(G1748='Room Info'!$H$1, INDEX('Room Info'!$A$2:$A2446, MATCH(B1748,'Room Info'!$H$2:$H2446, 0)),IF(G1748='Room Info'!$G$1, INDEX('Room Info'!$A$2:$A2446, MATCH(B1748,'Room Info'!$G$2:$G2446, 0)))))))))</f>
        <v>0</v>
      </c>
      <c r="B1748" s="96"/>
      <c r="C1748" s="111"/>
      <c r="D1748" s="111"/>
      <c r="E1748" s="80"/>
      <c r="F1748" s="133"/>
      <c r="G1748" s="96"/>
      <c r="H1748" s="110"/>
      <c r="I1748" s="110"/>
      <c r="J1748" s="39" t="s">
        <v>334</v>
      </c>
      <c r="K1748" s="112"/>
      <c r="L1748" s="113"/>
      <c r="M1748" s="62"/>
      <c r="N1748" s="28" t="e">
        <f t="shared" si="8"/>
        <v>#VALUE!</v>
      </c>
      <c r="O1748" s="65"/>
      <c r="P1748" s="29" t="s">
        <v>334</v>
      </c>
      <c r="Q1748" s="55"/>
      <c r="R1748" s="31" t="e">
        <f t="shared" si="9"/>
        <v>#VALUE!</v>
      </c>
      <c r="S1748" s="66"/>
      <c r="T1748" s="32" t="e">
        <f t="shared" si="10"/>
        <v>#VALUE!</v>
      </c>
      <c r="U1748" s="57"/>
      <c r="V1748" s="58"/>
      <c r="W1748" s="58"/>
      <c r="X1748" s="30" t="e">
        <f t="shared" si="11"/>
        <v>#N/A</v>
      </c>
      <c r="Y1748" s="30" t="e">
        <f t="shared" si="12"/>
        <v>#N/A</v>
      </c>
      <c r="Z1748" s="35" t="e">
        <f t="shared" si="13"/>
        <v>#VALUE!</v>
      </c>
      <c r="AA1748" s="29" t="e">
        <f t="shared" si="14"/>
        <v>#VALUE!</v>
      </c>
      <c r="AB1748" s="36" t="e">
        <f t="shared" si="15"/>
        <v>#VALUE!</v>
      </c>
      <c r="AC1748" s="37" t="b">
        <v>0</v>
      </c>
      <c r="AD1748" s="61" t="str">
        <f t="shared" si="16"/>
        <v>USD</v>
      </c>
      <c r="AE1748" s="37"/>
      <c r="AF1748" s="37" t="e">
        <f t="array" ref="AF1748">INDEX('Deal Info'!D:D, MATCH(A1748,'Deal Info'!A:A, 0))</f>
        <v>#N/A</v>
      </c>
      <c r="AG1748" s="38" t="e">
        <f t="array" ref="AG1748">INDEX('Deal Info'!G:G, MATCH(A1748,'Deal Info'!A:A, 0))</f>
        <v>#N/A</v>
      </c>
    </row>
    <row r="1749" spans="1:33" ht="14.25" hidden="1" x14ac:dyDescent="0.2">
      <c r="A1749" s="18" t="b">
        <f t="array" ref="A1749">IF(G1749='Room Info'!$B$1, INDEX('Room Info'!$A$2:$A2446, MATCH(B1749,'Room Info'!$B$2:$B2446, 0)),IF(G1749='Room Info'!$C$1, INDEX('Room Info'!$A$2:$A2446, MATCH(B1749,'Room Info'!$C$2:$C2446, 0)),IF(G1749='Room Info'!$D$1, INDEX('Room Info'!$A$2:$A2446, MATCH(B1749,'Room Info'!$D$2:$D2446, 0)),IF(G1749='Room Info'!$E$1, INDEX('Room Info'!$A$2:$A2446, MATCH(B1749,'Room Info'!$E$2:$E2446, 0)),IF(G1749='Room Info'!$F$1, INDEX('Room Info'!$A$2:$A2446, MATCH(B1749,'Room Info'!$F$2:$F2446, 0)),IF(G1749='Room Info'!$H$1, INDEX('Room Info'!$A$2:$A2446, MATCH(B1749,'Room Info'!$H$2:$H2446, 0)),IF(G1749='Room Info'!$G$1, INDEX('Room Info'!$A$2:$A2446, MATCH(B1749,'Room Info'!$G$2:$G2446, 0)))))))))</f>
        <v>0</v>
      </c>
      <c r="B1749" s="96"/>
      <c r="C1749" s="111"/>
      <c r="D1749" s="111"/>
      <c r="E1749" s="80"/>
      <c r="F1749" s="96"/>
      <c r="G1749" s="65"/>
      <c r="H1749" s="110"/>
      <c r="I1749" s="110"/>
      <c r="J1749" s="39" t="s">
        <v>334</v>
      </c>
      <c r="K1749" s="112"/>
      <c r="L1749" s="113"/>
      <c r="M1749" s="62"/>
      <c r="N1749" s="28" t="e">
        <f t="shared" si="8"/>
        <v>#VALUE!</v>
      </c>
      <c r="O1749" s="65"/>
      <c r="P1749" s="29" t="s">
        <v>334</v>
      </c>
      <c r="Q1749" s="55"/>
      <c r="R1749" s="31" t="e">
        <f t="shared" si="9"/>
        <v>#VALUE!</v>
      </c>
      <c r="S1749" s="66"/>
      <c r="T1749" s="32" t="e">
        <f t="shared" si="10"/>
        <v>#VALUE!</v>
      </c>
      <c r="U1749" s="57"/>
      <c r="V1749" s="58"/>
      <c r="W1749" s="58"/>
      <c r="X1749" s="30" t="e">
        <f t="shared" si="11"/>
        <v>#N/A</v>
      </c>
      <c r="Y1749" s="30" t="e">
        <f t="shared" si="12"/>
        <v>#N/A</v>
      </c>
      <c r="Z1749" s="35" t="e">
        <f t="shared" si="13"/>
        <v>#VALUE!</v>
      </c>
      <c r="AA1749" s="29" t="e">
        <f t="shared" si="14"/>
        <v>#VALUE!</v>
      </c>
      <c r="AB1749" s="36" t="e">
        <f t="shared" si="15"/>
        <v>#VALUE!</v>
      </c>
      <c r="AC1749" s="37" t="b">
        <v>0</v>
      </c>
      <c r="AD1749" s="61" t="str">
        <f t="shared" si="16"/>
        <v>USD</v>
      </c>
      <c r="AE1749" s="37"/>
      <c r="AF1749" s="37" t="e">
        <f t="array" ref="AF1749">INDEX('Deal Info'!D:D, MATCH(A1749,'Deal Info'!A:A, 0))</f>
        <v>#N/A</v>
      </c>
      <c r="AG1749" s="38" t="e">
        <f t="array" ref="AG1749">INDEX('Deal Info'!G:G, MATCH(A1749,'Deal Info'!A:A, 0))</f>
        <v>#N/A</v>
      </c>
    </row>
    <row r="1750" spans="1:33" ht="14.25" hidden="1" x14ac:dyDescent="0.2">
      <c r="A1750" s="18" t="b">
        <f t="array" ref="A1750">IF(G1750='Room Info'!$B$1, INDEX('Room Info'!$A$2:$A2446, MATCH(B1750,'Room Info'!$B$2:$B2446, 0)),IF(G1750='Room Info'!$C$1, INDEX('Room Info'!$A$2:$A2446, MATCH(B1750,'Room Info'!$C$2:$C2446, 0)),IF(G1750='Room Info'!$D$1, INDEX('Room Info'!$A$2:$A2446, MATCH(B1750,'Room Info'!$D$2:$D2446, 0)),IF(G1750='Room Info'!$E$1, INDEX('Room Info'!$A$2:$A2446, MATCH(B1750,'Room Info'!$E$2:$E2446, 0)),IF(G1750='Room Info'!$F$1, INDEX('Room Info'!$A$2:$A2446, MATCH(B1750,'Room Info'!$F$2:$F2446, 0)),IF(G1750='Room Info'!$H$1, INDEX('Room Info'!$A$2:$A2446, MATCH(B1750,'Room Info'!$H$2:$H2446, 0)),IF(G1750='Room Info'!$G$1, INDEX('Room Info'!$A$2:$A2446, MATCH(B1750,'Room Info'!$G$2:$G2446, 0)))))))))</f>
        <v>0</v>
      </c>
      <c r="B1750" s="96"/>
      <c r="C1750" s="136"/>
      <c r="D1750" s="136"/>
      <c r="E1750" s="137"/>
      <c r="F1750" s="133"/>
      <c r="G1750" s="96"/>
      <c r="H1750" s="100"/>
      <c r="I1750" s="100"/>
      <c r="J1750" s="39" t="s">
        <v>334</v>
      </c>
      <c r="K1750" s="134"/>
      <c r="L1750" s="135"/>
      <c r="M1750" s="79"/>
      <c r="N1750" s="28" t="e">
        <f t="shared" si="8"/>
        <v>#VALUE!</v>
      </c>
      <c r="O1750" s="96"/>
      <c r="P1750" s="29" t="s">
        <v>334</v>
      </c>
      <c r="Q1750" s="55"/>
      <c r="R1750" s="31" t="e">
        <f t="shared" si="9"/>
        <v>#VALUE!</v>
      </c>
      <c r="S1750" s="97"/>
      <c r="T1750" s="32" t="e">
        <f t="shared" si="10"/>
        <v>#VALUE!</v>
      </c>
      <c r="U1750" s="57"/>
      <c r="V1750" s="58"/>
      <c r="W1750" s="58"/>
      <c r="X1750" s="30" t="e">
        <f t="shared" si="11"/>
        <v>#N/A</v>
      </c>
      <c r="Y1750" s="30" t="e">
        <f t="shared" si="12"/>
        <v>#N/A</v>
      </c>
      <c r="Z1750" s="35" t="e">
        <f t="shared" si="13"/>
        <v>#VALUE!</v>
      </c>
      <c r="AA1750" s="29" t="e">
        <f t="shared" si="14"/>
        <v>#VALUE!</v>
      </c>
      <c r="AB1750" s="36" t="e">
        <f t="shared" si="15"/>
        <v>#VALUE!</v>
      </c>
      <c r="AC1750" s="37" t="b">
        <v>0</v>
      </c>
      <c r="AD1750" s="61" t="str">
        <f t="shared" si="16"/>
        <v>USD</v>
      </c>
      <c r="AE1750" s="37"/>
      <c r="AF1750" s="37" t="e">
        <f t="array" ref="AF1750">INDEX('Deal Info'!D:D, MATCH(A1750,'Deal Info'!A:A, 0))</f>
        <v>#N/A</v>
      </c>
      <c r="AG1750" s="38" t="e">
        <f t="array" ref="AG1750">INDEX('Deal Info'!G:G, MATCH(A1750,'Deal Info'!A:A, 0))</f>
        <v>#N/A</v>
      </c>
    </row>
    <row r="1751" spans="1:33" ht="14.25" hidden="1" x14ac:dyDescent="0.2">
      <c r="A1751" s="18" t="b">
        <f t="array" ref="A1751">IF(G1751='Room Info'!$B$1, INDEX('Room Info'!$A$2:$A2446, MATCH(B1751,'Room Info'!$B$2:$B2446, 0)),IF(G1751='Room Info'!$C$1, INDEX('Room Info'!$A$2:$A2446, MATCH(B1751,'Room Info'!$C$2:$C2446, 0)),IF(G1751='Room Info'!$D$1, INDEX('Room Info'!$A$2:$A2446, MATCH(B1751,'Room Info'!$D$2:$D2446, 0)),IF(G1751='Room Info'!$E$1, INDEX('Room Info'!$A$2:$A2446, MATCH(B1751,'Room Info'!$E$2:$E2446, 0)),IF(G1751='Room Info'!$F$1, INDEX('Room Info'!$A$2:$A2446, MATCH(B1751,'Room Info'!$F$2:$F2446, 0)),IF(G1751='Room Info'!$H$1, INDEX('Room Info'!$A$2:$A2446, MATCH(B1751,'Room Info'!$H$2:$H2446, 0)),IF(G1751='Room Info'!$G$1, INDEX('Room Info'!$A$2:$A2446, MATCH(B1751,'Room Info'!$G$2:$G2446, 0)))))))))</f>
        <v>0</v>
      </c>
      <c r="B1751" s="96"/>
      <c r="C1751" s="136"/>
      <c r="D1751" s="136"/>
      <c r="E1751" s="137"/>
      <c r="F1751" s="133"/>
      <c r="G1751" s="96"/>
      <c r="H1751" s="100"/>
      <c r="I1751" s="100"/>
      <c r="J1751" s="39" t="s">
        <v>334</v>
      </c>
      <c r="K1751" s="134"/>
      <c r="L1751" s="135"/>
      <c r="M1751" s="79"/>
      <c r="N1751" s="28" t="e">
        <f t="shared" si="8"/>
        <v>#VALUE!</v>
      </c>
      <c r="O1751" s="96"/>
      <c r="P1751" s="29" t="s">
        <v>334</v>
      </c>
      <c r="Q1751" s="55"/>
      <c r="R1751" s="31" t="e">
        <f t="shared" si="9"/>
        <v>#VALUE!</v>
      </c>
      <c r="S1751" s="97"/>
      <c r="T1751" s="32" t="e">
        <f t="shared" si="10"/>
        <v>#VALUE!</v>
      </c>
      <c r="U1751" s="57"/>
      <c r="V1751" s="58"/>
      <c r="W1751" s="58"/>
      <c r="X1751" s="30" t="e">
        <f t="shared" si="11"/>
        <v>#N/A</v>
      </c>
      <c r="Y1751" s="30" t="e">
        <f t="shared" si="12"/>
        <v>#N/A</v>
      </c>
      <c r="Z1751" s="35" t="e">
        <f t="shared" si="13"/>
        <v>#VALUE!</v>
      </c>
      <c r="AA1751" s="29" t="e">
        <f t="shared" si="14"/>
        <v>#VALUE!</v>
      </c>
      <c r="AB1751" s="36" t="e">
        <f t="shared" si="15"/>
        <v>#VALUE!</v>
      </c>
      <c r="AC1751" s="37" t="b">
        <v>0</v>
      </c>
      <c r="AD1751" s="61" t="str">
        <f t="shared" si="16"/>
        <v>USD</v>
      </c>
      <c r="AE1751" s="37"/>
      <c r="AF1751" s="37" t="e">
        <f t="array" ref="AF1751">INDEX('Deal Info'!D:D, MATCH(A1751,'Deal Info'!A:A, 0))</f>
        <v>#N/A</v>
      </c>
      <c r="AG1751" s="38" t="e">
        <f t="array" ref="AG1751">INDEX('Deal Info'!G:G, MATCH(A1751,'Deal Info'!A:A, 0))</f>
        <v>#N/A</v>
      </c>
    </row>
    <row r="1752" spans="1:33" ht="14.25" hidden="1" x14ac:dyDescent="0.2">
      <c r="A1752" s="18" t="b">
        <f t="array" ref="A1752">IF(G1752='Room Info'!$B$1, INDEX('Room Info'!$A$2:$A2446, MATCH(B1752,'Room Info'!$B$2:$B2446, 0)),IF(G1752='Room Info'!$C$1, INDEX('Room Info'!$A$2:$A2446, MATCH(B1752,'Room Info'!$C$2:$C2446, 0)),IF(G1752='Room Info'!$D$1, INDEX('Room Info'!$A$2:$A2446, MATCH(B1752,'Room Info'!$D$2:$D2446, 0)),IF(G1752='Room Info'!$E$1, INDEX('Room Info'!$A$2:$A2446, MATCH(B1752,'Room Info'!$E$2:$E2446, 0)),IF(G1752='Room Info'!$F$1, INDEX('Room Info'!$A$2:$A2446, MATCH(B1752,'Room Info'!$F$2:$F2446, 0)),IF(G1752='Room Info'!$H$1, INDEX('Room Info'!$A$2:$A2446, MATCH(B1752,'Room Info'!$H$2:$H2446, 0)),IF(G1752='Room Info'!$G$1, INDEX('Room Info'!$A$2:$A2446, MATCH(B1752,'Room Info'!$G$2:$G2446, 0)))))))))</f>
        <v>0</v>
      </c>
      <c r="B1752" s="96"/>
      <c r="C1752" s="136"/>
      <c r="D1752" s="136"/>
      <c r="E1752" s="137"/>
      <c r="F1752" s="133"/>
      <c r="G1752" s="96"/>
      <c r="H1752" s="110"/>
      <c r="I1752" s="110"/>
      <c r="J1752" s="39" t="s">
        <v>334</v>
      </c>
      <c r="K1752" s="134"/>
      <c r="L1752" s="135"/>
      <c r="M1752" s="79"/>
      <c r="N1752" s="28" t="e">
        <f t="shared" si="8"/>
        <v>#VALUE!</v>
      </c>
      <c r="O1752" s="96"/>
      <c r="P1752" s="29" t="s">
        <v>334</v>
      </c>
      <c r="Q1752" s="55"/>
      <c r="R1752" s="31" t="e">
        <f t="shared" si="9"/>
        <v>#VALUE!</v>
      </c>
      <c r="S1752" s="97"/>
      <c r="T1752" s="32" t="e">
        <f t="shared" si="10"/>
        <v>#VALUE!</v>
      </c>
      <c r="U1752" s="57"/>
      <c r="V1752" s="58"/>
      <c r="W1752" s="58"/>
      <c r="X1752" s="30" t="e">
        <f t="shared" si="11"/>
        <v>#N/A</v>
      </c>
      <c r="Y1752" s="30" t="e">
        <f t="shared" si="12"/>
        <v>#N/A</v>
      </c>
      <c r="Z1752" s="35" t="e">
        <f t="shared" si="13"/>
        <v>#VALUE!</v>
      </c>
      <c r="AA1752" s="29" t="e">
        <f t="shared" si="14"/>
        <v>#VALUE!</v>
      </c>
      <c r="AB1752" s="36" t="e">
        <f t="shared" si="15"/>
        <v>#VALUE!</v>
      </c>
      <c r="AC1752" s="37" t="b">
        <v>0</v>
      </c>
      <c r="AD1752" s="61" t="str">
        <f t="shared" si="16"/>
        <v>USD</v>
      </c>
      <c r="AE1752" s="37"/>
      <c r="AF1752" s="37" t="e">
        <f t="array" ref="AF1752">INDEX('Deal Info'!D:D, MATCH(A1752,'Deal Info'!A:A, 0))</f>
        <v>#N/A</v>
      </c>
      <c r="AG1752" s="38" t="e">
        <f t="array" ref="AG1752">INDEX('Deal Info'!G:G, MATCH(A1752,'Deal Info'!A:A, 0))</f>
        <v>#N/A</v>
      </c>
    </row>
    <row r="1753" spans="1:33" ht="14.25" hidden="1" x14ac:dyDescent="0.2">
      <c r="A1753" s="18" t="b">
        <f t="array" ref="A1753">IF(G1753='Room Info'!$B$1, INDEX('Room Info'!$A$2:$A2446, MATCH(B1753,'Room Info'!$B$2:$B2446, 0)),IF(G1753='Room Info'!$C$1, INDEX('Room Info'!$A$2:$A2446, MATCH(B1753,'Room Info'!$C$2:$C2446, 0)),IF(G1753='Room Info'!$D$1, INDEX('Room Info'!$A$2:$A2446, MATCH(B1753,'Room Info'!$D$2:$D2446, 0)),IF(G1753='Room Info'!$E$1, INDEX('Room Info'!$A$2:$A2446, MATCH(B1753,'Room Info'!$E$2:$E2446, 0)),IF(G1753='Room Info'!$F$1, INDEX('Room Info'!$A$2:$A2446, MATCH(B1753,'Room Info'!$F$2:$F2446, 0)),IF(G1753='Room Info'!$H$1, INDEX('Room Info'!$A$2:$A2446, MATCH(B1753,'Room Info'!$H$2:$H2446, 0)),IF(G1753='Room Info'!$G$1, INDEX('Room Info'!$A$2:$A2446, MATCH(B1753,'Room Info'!$G$2:$G2446, 0)))))))))</f>
        <v>0</v>
      </c>
      <c r="B1753" s="96"/>
      <c r="C1753" s="136"/>
      <c r="D1753" s="136"/>
      <c r="E1753" s="137"/>
      <c r="F1753" s="133"/>
      <c r="G1753" s="65"/>
      <c r="H1753" s="100"/>
      <c r="I1753" s="100"/>
      <c r="J1753" s="39" t="s">
        <v>334</v>
      </c>
      <c r="K1753" s="134"/>
      <c r="L1753" s="135"/>
      <c r="M1753" s="62"/>
      <c r="N1753" s="28" t="e">
        <f t="shared" si="8"/>
        <v>#VALUE!</v>
      </c>
      <c r="O1753" s="96"/>
      <c r="P1753" s="29" t="s">
        <v>334</v>
      </c>
      <c r="Q1753" s="55"/>
      <c r="R1753" s="31" t="e">
        <f t="shared" si="9"/>
        <v>#VALUE!</v>
      </c>
      <c r="S1753" s="97"/>
      <c r="T1753" s="32" t="e">
        <f t="shared" si="10"/>
        <v>#VALUE!</v>
      </c>
      <c r="U1753" s="57"/>
      <c r="V1753" s="58"/>
      <c r="W1753" s="58"/>
      <c r="X1753" s="30" t="e">
        <f t="shared" si="11"/>
        <v>#N/A</v>
      </c>
      <c r="Y1753" s="30" t="e">
        <f t="shared" si="12"/>
        <v>#N/A</v>
      </c>
      <c r="Z1753" s="35" t="e">
        <f t="shared" si="13"/>
        <v>#VALUE!</v>
      </c>
      <c r="AA1753" s="29" t="e">
        <f t="shared" si="14"/>
        <v>#VALUE!</v>
      </c>
      <c r="AB1753" s="36" t="e">
        <f t="shared" si="15"/>
        <v>#VALUE!</v>
      </c>
      <c r="AC1753" s="37" t="b">
        <v>0</v>
      </c>
      <c r="AD1753" s="61" t="str">
        <f t="shared" si="16"/>
        <v>USD</v>
      </c>
      <c r="AE1753" s="37"/>
      <c r="AF1753" s="37" t="e">
        <f t="array" ref="AF1753">INDEX('Deal Info'!D:D, MATCH(A1753,'Deal Info'!A:A, 0))</f>
        <v>#N/A</v>
      </c>
      <c r="AG1753" s="38" t="e">
        <f t="array" ref="AG1753">INDEX('Deal Info'!G:G, MATCH(A1753,'Deal Info'!A:A, 0))</f>
        <v>#N/A</v>
      </c>
    </row>
    <row r="1754" spans="1:33" ht="14.25" hidden="1" x14ac:dyDescent="0.2">
      <c r="A1754" s="18" t="b">
        <f t="array" ref="A1754">IF(G1754='Room Info'!$B$1, INDEX('Room Info'!$A$2:$A2446, MATCH(B1754,'Room Info'!$B$2:$B2446, 0)),IF(G1754='Room Info'!$C$1, INDEX('Room Info'!$A$2:$A2446, MATCH(B1754,'Room Info'!$C$2:$C2446, 0)),IF(G1754='Room Info'!$D$1, INDEX('Room Info'!$A$2:$A2446, MATCH(B1754,'Room Info'!$D$2:$D2446, 0)),IF(G1754='Room Info'!$E$1, INDEX('Room Info'!$A$2:$A2446, MATCH(B1754,'Room Info'!$E$2:$E2446, 0)),IF(G1754='Room Info'!$F$1, INDEX('Room Info'!$A$2:$A2446, MATCH(B1754,'Room Info'!$F$2:$F2446, 0)),IF(G1754='Room Info'!$H$1, INDEX('Room Info'!$A$2:$A2446, MATCH(B1754,'Room Info'!$H$2:$H2446, 0)),IF(G1754='Room Info'!$G$1, INDEX('Room Info'!$A$2:$A2446, MATCH(B1754,'Room Info'!$G$2:$G2446, 0)))))))))</f>
        <v>0</v>
      </c>
      <c r="B1754" s="96"/>
      <c r="C1754" s="111"/>
      <c r="D1754" s="111"/>
      <c r="E1754" s="80"/>
      <c r="F1754" s="96"/>
      <c r="G1754" s="65"/>
      <c r="H1754" s="110"/>
      <c r="I1754" s="110"/>
      <c r="J1754" s="39" t="s">
        <v>334</v>
      </c>
      <c r="K1754" s="112"/>
      <c r="L1754" s="113"/>
      <c r="M1754" s="62"/>
      <c r="N1754" s="28" t="e">
        <f t="shared" si="8"/>
        <v>#VALUE!</v>
      </c>
      <c r="O1754" s="65"/>
      <c r="P1754" s="29" t="s">
        <v>334</v>
      </c>
      <c r="Q1754" s="55"/>
      <c r="R1754" s="31" t="e">
        <f t="shared" si="9"/>
        <v>#VALUE!</v>
      </c>
      <c r="S1754" s="66"/>
      <c r="T1754" s="32" t="e">
        <f t="shared" si="10"/>
        <v>#VALUE!</v>
      </c>
      <c r="U1754" s="57"/>
      <c r="V1754" s="58"/>
      <c r="W1754" s="58"/>
      <c r="X1754" s="30" t="e">
        <f t="shared" si="11"/>
        <v>#N/A</v>
      </c>
      <c r="Y1754" s="30" t="e">
        <f t="shared" si="12"/>
        <v>#N/A</v>
      </c>
      <c r="Z1754" s="35" t="e">
        <f t="shared" si="13"/>
        <v>#VALUE!</v>
      </c>
      <c r="AA1754" s="29" t="e">
        <f t="shared" si="14"/>
        <v>#VALUE!</v>
      </c>
      <c r="AB1754" s="36" t="e">
        <f t="shared" si="15"/>
        <v>#VALUE!</v>
      </c>
      <c r="AC1754" s="37" t="b">
        <v>0</v>
      </c>
      <c r="AD1754" s="61" t="str">
        <f t="shared" si="16"/>
        <v>USD</v>
      </c>
      <c r="AE1754" s="37"/>
      <c r="AF1754" s="37" t="e">
        <f t="array" ref="AF1754">INDEX('Deal Info'!D:D, MATCH(A1754,'Deal Info'!A:A, 0))</f>
        <v>#N/A</v>
      </c>
      <c r="AG1754" s="38" t="e">
        <f t="array" ref="AG1754">INDEX('Deal Info'!G:G, MATCH(A1754,'Deal Info'!A:A, 0))</f>
        <v>#N/A</v>
      </c>
    </row>
    <row r="1755" spans="1:33" ht="14.25" hidden="1" x14ac:dyDescent="0.2">
      <c r="A1755" s="18" t="b">
        <f t="array" ref="A1755">IF(G1755='Room Info'!$B$1, INDEX('Room Info'!$A$2:$A2446, MATCH(B1755,'Room Info'!$B$2:$B2446, 0)),IF(G1755='Room Info'!$C$1, INDEX('Room Info'!$A$2:$A2446, MATCH(B1755,'Room Info'!$C$2:$C2446, 0)),IF(G1755='Room Info'!$D$1, INDEX('Room Info'!$A$2:$A2446, MATCH(B1755,'Room Info'!$D$2:$D2446, 0)),IF(G1755='Room Info'!$E$1, INDEX('Room Info'!$A$2:$A2446, MATCH(B1755,'Room Info'!$E$2:$E2446, 0)),IF(G1755='Room Info'!$F$1, INDEX('Room Info'!$A$2:$A2446, MATCH(B1755,'Room Info'!$F$2:$F2446, 0)),IF(G1755='Room Info'!$H$1, INDEX('Room Info'!$A$2:$A2446, MATCH(B1755,'Room Info'!$H$2:$H2446, 0)),IF(G1755='Room Info'!$G$1, INDEX('Room Info'!$A$2:$A2446, MATCH(B1755,'Room Info'!$G$2:$G2446, 0)))))))))</f>
        <v>0</v>
      </c>
      <c r="B1755" s="96"/>
      <c r="C1755" s="111"/>
      <c r="D1755" s="111"/>
      <c r="E1755" s="80"/>
      <c r="F1755" s="96"/>
      <c r="G1755" s="65"/>
      <c r="H1755" s="110"/>
      <c r="I1755" s="110"/>
      <c r="J1755" s="39" t="s">
        <v>334</v>
      </c>
      <c r="K1755" s="112"/>
      <c r="L1755" s="113"/>
      <c r="M1755" s="62"/>
      <c r="N1755" s="28" t="e">
        <f t="shared" si="8"/>
        <v>#VALUE!</v>
      </c>
      <c r="O1755" s="65"/>
      <c r="P1755" s="29" t="s">
        <v>334</v>
      </c>
      <c r="Q1755" s="55"/>
      <c r="R1755" s="31" t="e">
        <f t="shared" si="9"/>
        <v>#VALUE!</v>
      </c>
      <c r="S1755" s="66"/>
      <c r="T1755" s="32" t="e">
        <f t="shared" si="10"/>
        <v>#VALUE!</v>
      </c>
      <c r="U1755" s="57"/>
      <c r="V1755" s="58"/>
      <c r="W1755" s="58"/>
      <c r="X1755" s="30" t="e">
        <f t="shared" si="11"/>
        <v>#N/A</v>
      </c>
      <c r="Y1755" s="30" t="e">
        <f t="shared" si="12"/>
        <v>#N/A</v>
      </c>
      <c r="Z1755" s="35" t="e">
        <f t="shared" si="13"/>
        <v>#VALUE!</v>
      </c>
      <c r="AA1755" s="29" t="e">
        <f t="shared" si="14"/>
        <v>#VALUE!</v>
      </c>
      <c r="AB1755" s="36" t="e">
        <f t="shared" si="15"/>
        <v>#VALUE!</v>
      </c>
      <c r="AC1755" s="37" t="b">
        <v>0</v>
      </c>
      <c r="AD1755" s="61" t="str">
        <f t="shared" si="16"/>
        <v>USD</v>
      </c>
      <c r="AE1755" s="37"/>
      <c r="AF1755" s="37" t="e">
        <f t="array" ref="AF1755">INDEX('Deal Info'!D:D, MATCH(A1755,'Deal Info'!A:A, 0))</f>
        <v>#N/A</v>
      </c>
      <c r="AG1755" s="38" t="e">
        <f t="array" ref="AG1755">INDEX('Deal Info'!G:G, MATCH(A1755,'Deal Info'!A:A, 0))</f>
        <v>#N/A</v>
      </c>
    </row>
    <row r="1756" spans="1:33" ht="14.25" hidden="1" x14ac:dyDescent="0.2">
      <c r="A1756" s="18" t="b">
        <f t="array" ref="A1756">IF(G1756='Room Info'!$B$1, INDEX('Room Info'!$A$2:$A2446, MATCH(B1756,'Room Info'!$B$2:$B2446, 0)),IF(G1756='Room Info'!$C$1, INDEX('Room Info'!$A$2:$A2446, MATCH(B1756,'Room Info'!$C$2:$C2446, 0)),IF(G1756='Room Info'!$D$1, INDEX('Room Info'!$A$2:$A2446, MATCH(B1756,'Room Info'!$D$2:$D2446, 0)),IF(G1756='Room Info'!$E$1, INDEX('Room Info'!$A$2:$A2446, MATCH(B1756,'Room Info'!$E$2:$E2446, 0)),IF(G1756='Room Info'!$F$1, INDEX('Room Info'!$A$2:$A2446, MATCH(B1756,'Room Info'!$F$2:$F2446, 0)),IF(G1756='Room Info'!$H$1, INDEX('Room Info'!$A$2:$A2446, MATCH(B1756,'Room Info'!$H$2:$H2446, 0)),IF(G1756='Room Info'!$G$1, INDEX('Room Info'!$A$2:$A2446, MATCH(B1756,'Room Info'!$G$2:$G2446, 0)))))))))</f>
        <v>0</v>
      </c>
      <c r="B1756" s="96"/>
      <c r="C1756" s="111"/>
      <c r="D1756" s="111"/>
      <c r="E1756" s="80"/>
      <c r="F1756" s="133"/>
      <c r="G1756" s="65"/>
      <c r="H1756" s="110"/>
      <c r="I1756" s="110"/>
      <c r="J1756" s="39" t="s">
        <v>334</v>
      </c>
      <c r="K1756" s="112"/>
      <c r="L1756" s="113"/>
      <c r="M1756" s="62"/>
      <c r="N1756" s="28" t="e">
        <f t="shared" si="8"/>
        <v>#VALUE!</v>
      </c>
      <c r="O1756" s="65"/>
      <c r="P1756" s="29" t="s">
        <v>334</v>
      </c>
      <c r="Q1756" s="55"/>
      <c r="R1756" s="31" t="e">
        <f t="shared" si="9"/>
        <v>#VALUE!</v>
      </c>
      <c r="S1756" s="66"/>
      <c r="T1756" s="32" t="e">
        <f t="shared" si="10"/>
        <v>#VALUE!</v>
      </c>
      <c r="U1756" s="57"/>
      <c r="V1756" s="58"/>
      <c r="W1756" s="58"/>
      <c r="X1756" s="30" t="e">
        <f t="shared" si="11"/>
        <v>#N/A</v>
      </c>
      <c r="Y1756" s="30" t="e">
        <f t="shared" si="12"/>
        <v>#N/A</v>
      </c>
      <c r="Z1756" s="35" t="e">
        <f t="shared" si="13"/>
        <v>#VALUE!</v>
      </c>
      <c r="AA1756" s="29" t="e">
        <f t="shared" si="14"/>
        <v>#VALUE!</v>
      </c>
      <c r="AB1756" s="36" t="e">
        <f t="shared" si="15"/>
        <v>#VALUE!</v>
      </c>
      <c r="AC1756" s="37" t="b">
        <v>0</v>
      </c>
      <c r="AD1756" s="61" t="str">
        <f t="shared" si="16"/>
        <v>USD</v>
      </c>
      <c r="AE1756" s="37"/>
      <c r="AF1756" s="37" t="e">
        <f t="array" ref="AF1756">INDEX('Deal Info'!D:D, MATCH(A1756,'Deal Info'!A:A, 0))</f>
        <v>#N/A</v>
      </c>
      <c r="AG1756" s="38" t="e">
        <f t="array" ref="AG1756">INDEX('Deal Info'!G:G, MATCH(A1756,'Deal Info'!A:A, 0))</f>
        <v>#N/A</v>
      </c>
    </row>
    <row r="1757" spans="1:33" ht="14.25" hidden="1" x14ac:dyDescent="0.2">
      <c r="A1757" s="18" t="b">
        <f t="array" ref="A1757">IF(G1757='Room Info'!$B$1, INDEX('Room Info'!$A$2:$A2446, MATCH(B1757,'Room Info'!$B$2:$B2446, 0)),IF(G1757='Room Info'!$C$1, INDEX('Room Info'!$A$2:$A2446, MATCH(B1757,'Room Info'!$C$2:$C2446, 0)),IF(G1757='Room Info'!$D$1, INDEX('Room Info'!$A$2:$A2446, MATCH(B1757,'Room Info'!$D$2:$D2446, 0)),IF(G1757='Room Info'!$E$1, INDEX('Room Info'!$A$2:$A2446, MATCH(B1757,'Room Info'!$E$2:$E2446, 0)),IF(G1757='Room Info'!$F$1, INDEX('Room Info'!$A$2:$A2446, MATCH(B1757,'Room Info'!$F$2:$F2446, 0)),IF(G1757='Room Info'!$H$1, INDEX('Room Info'!$A$2:$A2446, MATCH(B1757,'Room Info'!$H$2:$H2446, 0)),IF(G1757='Room Info'!$G$1, INDEX('Room Info'!$A$2:$A2446, MATCH(B1757,'Room Info'!$G$2:$G2446, 0)))))))))</f>
        <v>0</v>
      </c>
      <c r="B1757" s="96"/>
      <c r="C1757" s="111"/>
      <c r="D1757" s="111"/>
      <c r="E1757" s="80"/>
      <c r="F1757" s="133"/>
      <c r="G1757" s="65"/>
      <c r="H1757" s="110"/>
      <c r="I1757" s="110"/>
      <c r="J1757" s="39" t="s">
        <v>334</v>
      </c>
      <c r="K1757" s="112"/>
      <c r="L1757" s="113"/>
      <c r="M1757" s="62"/>
      <c r="N1757" s="28" t="e">
        <f t="shared" si="8"/>
        <v>#VALUE!</v>
      </c>
      <c r="O1757" s="65"/>
      <c r="P1757" s="29" t="s">
        <v>334</v>
      </c>
      <c r="Q1757" s="55"/>
      <c r="R1757" s="31" t="e">
        <f t="shared" si="9"/>
        <v>#VALUE!</v>
      </c>
      <c r="S1757" s="66"/>
      <c r="T1757" s="32" t="e">
        <f t="shared" si="10"/>
        <v>#VALUE!</v>
      </c>
      <c r="U1757" s="57"/>
      <c r="V1757" s="58"/>
      <c r="W1757" s="58"/>
      <c r="X1757" s="30" t="e">
        <f t="shared" si="11"/>
        <v>#N/A</v>
      </c>
      <c r="Y1757" s="30" t="e">
        <f t="shared" si="12"/>
        <v>#N/A</v>
      </c>
      <c r="Z1757" s="35" t="e">
        <f t="shared" si="13"/>
        <v>#VALUE!</v>
      </c>
      <c r="AA1757" s="29" t="e">
        <f t="shared" si="14"/>
        <v>#VALUE!</v>
      </c>
      <c r="AB1757" s="36" t="e">
        <f t="shared" si="15"/>
        <v>#VALUE!</v>
      </c>
      <c r="AC1757" s="37" t="b">
        <v>0</v>
      </c>
      <c r="AD1757" s="61" t="str">
        <f t="shared" si="16"/>
        <v>USD</v>
      </c>
      <c r="AE1757" s="37"/>
      <c r="AF1757" s="37" t="e">
        <f t="array" ref="AF1757">INDEX('Deal Info'!D:D, MATCH(A1757,'Deal Info'!A:A, 0))</f>
        <v>#N/A</v>
      </c>
      <c r="AG1757" s="38" t="e">
        <f t="array" ref="AG1757">INDEX('Deal Info'!G:G, MATCH(A1757,'Deal Info'!A:A, 0))</f>
        <v>#N/A</v>
      </c>
    </row>
    <row r="1758" spans="1:33" ht="14.25" hidden="1" x14ac:dyDescent="0.2">
      <c r="A1758" s="18" t="b">
        <f t="array" ref="A1758">IF(G1758='Room Info'!$B$1, INDEX('Room Info'!$A$2:$A2446, MATCH(B1758,'Room Info'!$B$2:$B2446, 0)),IF(G1758='Room Info'!$C$1, INDEX('Room Info'!$A$2:$A2446, MATCH(B1758,'Room Info'!$C$2:$C2446, 0)),IF(G1758='Room Info'!$D$1, INDEX('Room Info'!$A$2:$A2446, MATCH(B1758,'Room Info'!$D$2:$D2446, 0)),IF(G1758='Room Info'!$E$1, INDEX('Room Info'!$A$2:$A2446, MATCH(B1758,'Room Info'!$E$2:$E2446, 0)),IF(G1758='Room Info'!$F$1, INDEX('Room Info'!$A$2:$A2446, MATCH(B1758,'Room Info'!$F$2:$F2446, 0)),IF(G1758='Room Info'!$H$1, INDEX('Room Info'!$A$2:$A2446, MATCH(B1758,'Room Info'!$H$2:$H2446, 0)),IF(G1758='Room Info'!$G$1, INDEX('Room Info'!$A$2:$A2446, MATCH(B1758,'Room Info'!$G$2:$G2446, 0)))))))))</f>
        <v>0</v>
      </c>
      <c r="B1758" s="96"/>
      <c r="C1758" s="111"/>
      <c r="D1758" s="111"/>
      <c r="E1758" s="80"/>
      <c r="F1758" s="133"/>
      <c r="G1758" s="96"/>
      <c r="H1758" s="110"/>
      <c r="I1758" s="110"/>
      <c r="J1758" s="39" t="s">
        <v>334</v>
      </c>
      <c r="K1758" s="112"/>
      <c r="L1758" s="113"/>
      <c r="M1758" s="62"/>
      <c r="N1758" s="28" t="e">
        <f t="shared" si="8"/>
        <v>#VALUE!</v>
      </c>
      <c r="O1758" s="65"/>
      <c r="P1758" s="29" t="s">
        <v>334</v>
      </c>
      <c r="Q1758" s="55"/>
      <c r="R1758" s="31" t="e">
        <f t="shared" si="9"/>
        <v>#VALUE!</v>
      </c>
      <c r="S1758" s="66"/>
      <c r="T1758" s="32" t="e">
        <f t="shared" si="10"/>
        <v>#VALUE!</v>
      </c>
      <c r="U1758" s="57"/>
      <c r="V1758" s="58"/>
      <c r="W1758" s="58"/>
      <c r="X1758" s="30" t="e">
        <f t="shared" si="11"/>
        <v>#N/A</v>
      </c>
      <c r="Y1758" s="30" t="e">
        <f t="shared" si="12"/>
        <v>#N/A</v>
      </c>
      <c r="Z1758" s="35" t="e">
        <f t="shared" si="13"/>
        <v>#VALUE!</v>
      </c>
      <c r="AA1758" s="29" t="e">
        <f t="shared" si="14"/>
        <v>#VALUE!</v>
      </c>
      <c r="AB1758" s="36" t="e">
        <f t="shared" si="15"/>
        <v>#VALUE!</v>
      </c>
      <c r="AC1758" s="37" t="b">
        <v>0</v>
      </c>
      <c r="AD1758" s="61" t="str">
        <f t="shared" si="16"/>
        <v>USD</v>
      </c>
      <c r="AE1758" s="37"/>
      <c r="AF1758" s="37" t="e">
        <f t="array" ref="AF1758">INDEX('Deal Info'!D:D, MATCH(A1758,'Deal Info'!A:A, 0))</f>
        <v>#N/A</v>
      </c>
      <c r="AG1758" s="38" t="e">
        <f t="array" ref="AG1758">INDEX('Deal Info'!G:G, MATCH(A1758,'Deal Info'!A:A, 0))</f>
        <v>#N/A</v>
      </c>
    </row>
    <row r="1759" spans="1:33" ht="14.25" hidden="1" x14ac:dyDescent="0.2">
      <c r="A1759" s="18" t="b">
        <f t="array" ref="A1759">IF(G1759='Room Info'!$B$1, INDEX('Room Info'!$A$2:$A2446, MATCH(B1759,'Room Info'!$B$2:$B2446, 0)),IF(G1759='Room Info'!$C$1, INDEX('Room Info'!$A$2:$A2446, MATCH(B1759,'Room Info'!$C$2:$C2446, 0)),IF(G1759='Room Info'!$D$1, INDEX('Room Info'!$A$2:$A2446, MATCH(B1759,'Room Info'!$D$2:$D2446, 0)),IF(G1759='Room Info'!$E$1, INDEX('Room Info'!$A$2:$A2446, MATCH(B1759,'Room Info'!$E$2:$E2446, 0)),IF(G1759='Room Info'!$F$1, INDEX('Room Info'!$A$2:$A2446, MATCH(B1759,'Room Info'!$F$2:$F2446, 0)),IF(G1759='Room Info'!$H$1, INDEX('Room Info'!$A$2:$A2446, MATCH(B1759,'Room Info'!$H$2:$H2446, 0)),IF(G1759='Room Info'!$G$1, INDEX('Room Info'!$A$2:$A2446, MATCH(B1759,'Room Info'!$G$2:$G2446, 0)))))))))</f>
        <v>0</v>
      </c>
      <c r="B1759" s="96"/>
      <c r="C1759" s="111"/>
      <c r="D1759" s="111"/>
      <c r="E1759" s="80"/>
      <c r="F1759" s="133"/>
      <c r="G1759" s="96"/>
      <c r="H1759" s="110"/>
      <c r="I1759" s="110"/>
      <c r="J1759" s="39" t="s">
        <v>334</v>
      </c>
      <c r="K1759" s="112"/>
      <c r="L1759" s="113"/>
      <c r="M1759" s="62"/>
      <c r="N1759" s="28" t="e">
        <f t="shared" si="8"/>
        <v>#VALUE!</v>
      </c>
      <c r="O1759" s="65"/>
      <c r="P1759" s="29" t="s">
        <v>334</v>
      </c>
      <c r="Q1759" s="55"/>
      <c r="R1759" s="31" t="e">
        <f t="shared" si="9"/>
        <v>#VALUE!</v>
      </c>
      <c r="S1759" s="66"/>
      <c r="T1759" s="32" t="e">
        <f t="shared" si="10"/>
        <v>#VALUE!</v>
      </c>
      <c r="U1759" s="57"/>
      <c r="V1759" s="58"/>
      <c r="W1759" s="58"/>
      <c r="X1759" s="30" t="e">
        <f t="shared" si="11"/>
        <v>#N/A</v>
      </c>
      <c r="Y1759" s="30" t="e">
        <f t="shared" si="12"/>
        <v>#N/A</v>
      </c>
      <c r="Z1759" s="35" t="e">
        <f t="shared" si="13"/>
        <v>#VALUE!</v>
      </c>
      <c r="AA1759" s="29" t="e">
        <f t="shared" si="14"/>
        <v>#VALUE!</v>
      </c>
      <c r="AB1759" s="36" t="e">
        <f t="shared" si="15"/>
        <v>#VALUE!</v>
      </c>
      <c r="AC1759" s="37" t="b">
        <v>0</v>
      </c>
      <c r="AD1759" s="61" t="str">
        <f t="shared" si="16"/>
        <v>USD</v>
      </c>
      <c r="AE1759" s="37"/>
      <c r="AF1759" s="37" t="e">
        <f t="array" ref="AF1759">INDEX('Deal Info'!D:D, MATCH(A1759,'Deal Info'!A:A, 0))</f>
        <v>#N/A</v>
      </c>
      <c r="AG1759" s="38" t="e">
        <f t="array" ref="AG1759">INDEX('Deal Info'!G:G, MATCH(A1759,'Deal Info'!A:A, 0))</f>
        <v>#N/A</v>
      </c>
    </row>
    <row r="1760" spans="1:33" ht="14.25" hidden="1" x14ac:dyDescent="0.2">
      <c r="A1760" s="18" t="b">
        <f t="array" ref="A1760">IF(G1760='Room Info'!$B$1, INDEX('Room Info'!$A$2:$A2446, MATCH(B1760,'Room Info'!$B$2:$B2446, 0)),IF(G1760='Room Info'!$C$1, INDEX('Room Info'!$A$2:$A2446, MATCH(B1760,'Room Info'!$C$2:$C2446, 0)),IF(G1760='Room Info'!$D$1, INDEX('Room Info'!$A$2:$A2446, MATCH(B1760,'Room Info'!$D$2:$D2446, 0)),IF(G1760='Room Info'!$E$1, INDEX('Room Info'!$A$2:$A2446, MATCH(B1760,'Room Info'!$E$2:$E2446, 0)),IF(G1760='Room Info'!$F$1, INDEX('Room Info'!$A$2:$A2446, MATCH(B1760,'Room Info'!$F$2:$F2446, 0)),IF(G1760='Room Info'!$H$1, INDEX('Room Info'!$A$2:$A2446, MATCH(B1760,'Room Info'!$H$2:$H2446, 0)),IF(G1760='Room Info'!$G$1, INDEX('Room Info'!$A$2:$A2446, MATCH(B1760,'Room Info'!$G$2:$G2446, 0)))))))))</f>
        <v>0</v>
      </c>
      <c r="B1760" s="96"/>
      <c r="C1760" s="111"/>
      <c r="D1760" s="111"/>
      <c r="E1760" s="80"/>
      <c r="F1760" s="133"/>
      <c r="G1760" s="96"/>
      <c r="H1760" s="110"/>
      <c r="I1760" s="110"/>
      <c r="J1760" s="39" t="s">
        <v>334</v>
      </c>
      <c r="K1760" s="112"/>
      <c r="L1760" s="113"/>
      <c r="M1760" s="62"/>
      <c r="N1760" s="28" t="e">
        <f t="shared" si="8"/>
        <v>#VALUE!</v>
      </c>
      <c r="O1760" s="65"/>
      <c r="P1760" s="29" t="s">
        <v>334</v>
      </c>
      <c r="Q1760" s="55"/>
      <c r="R1760" s="31" t="e">
        <f t="shared" si="9"/>
        <v>#VALUE!</v>
      </c>
      <c r="S1760" s="66"/>
      <c r="T1760" s="32" t="e">
        <f t="shared" si="10"/>
        <v>#VALUE!</v>
      </c>
      <c r="U1760" s="57"/>
      <c r="V1760" s="58"/>
      <c r="W1760" s="58"/>
      <c r="X1760" s="30" t="e">
        <f t="shared" si="11"/>
        <v>#N/A</v>
      </c>
      <c r="Y1760" s="30" t="e">
        <f t="shared" si="12"/>
        <v>#N/A</v>
      </c>
      <c r="Z1760" s="35" t="e">
        <f t="shared" si="13"/>
        <v>#VALUE!</v>
      </c>
      <c r="AA1760" s="29" t="e">
        <f t="shared" si="14"/>
        <v>#VALUE!</v>
      </c>
      <c r="AB1760" s="36" t="e">
        <f t="shared" si="15"/>
        <v>#VALUE!</v>
      </c>
      <c r="AC1760" s="37" t="b">
        <v>0</v>
      </c>
      <c r="AD1760" s="61" t="str">
        <f t="shared" si="16"/>
        <v>USD</v>
      </c>
      <c r="AE1760" s="37"/>
      <c r="AF1760" s="37" t="e">
        <f t="array" ref="AF1760">INDEX('Deal Info'!D:D, MATCH(A1760,'Deal Info'!A:A, 0))</f>
        <v>#N/A</v>
      </c>
      <c r="AG1760" s="38" t="e">
        <f t="array" ref="AG1760">INDEX('Deal Info'!G:G, MATCH(A1760,'Deal Info'!A:A, 0))</f>
        <v>#N/A</v>
      </c>
    </row>
    <row r="1761" spans="1:33" ht="14.25" hidden="1" x14ac:dyDescent="0.2">
      <c r="A1761" s="18" t="b">
        <f t="array" ref="A1761">IF(G1761='Room Info'!$B$1, INDEX('Room Info'!$A$2:$A2446, MATCH(B1761,'Room Info'!$B$2:$B2446, 0)),IF(G1761='Room Info'!$C$1, INDEX('Room Info'!$A$2:$A2446, MATCH(B1761,'Room Info'!$C$2:$C2446, 0)),IF(G1761='Room Info'!$D$1, INDEX('Room Info'!$A$2:$A2446, MATCH(B1761,'Room Info'!$D$2:$D2446, 0)),IF(G1761='Room Info'!$E$1, INDEX('Room Info'!$A$2:$A2446, MATCH(B1761,'Room Info'!$E$2:$E2446, 0)),IF(G1761='Room Info'!$F$1, INDEX('Room Info'!$A$2:$A2446, MATCH(B1761,'Room Info'!$F$2:$F2446, 0)),IF(G1761='Room Info'!$H$1, INDEX('Room Info'!$A$2:$A2446, MATCH(B1761,'Room Info'!$H$2:$H2446, 0)),IF(G1761='Room Info'!$G$1, INDEX('Room Info'!$A$2:$A2446, MATCH(B1761,'Room Info'!$G$2:$G2446, 0)))))))))</f>
        <v>0</v>
      </c>
      <c r="B1761" s="96"/>
      <c r="C1761" s="111"/>
      <c r="D1761" s="111"/>
      <c r="E1761" s="80"/>
      <c r="F1761" s="133"/>
      <c r="G1761" s="96"/>
      <c r="H1761" s="110"/>
      <c r="I1761" s="110"/>
      <c r="J1761" s="39" t="s">
        <v>334</v>
      </c>
      <c r="K1761" s="112"/>
      <c r="L1761" s="113"/>
      <c r="M1761" s="62"/>
      <c r="N1761" s="28" t="e">
        <f t="shared" si="8"/>
        <v>#VALUE!</v>
      </c>
      <c r="O1761" s="65"/>
      <c r="P1761" s="29" t="s">
        <v>334</v>
      </c>
      <c r="Q1761" s="55"/>
      <c r="R1761" s="31" t="e">
        <f t="shared" si="9"/>
        <v>#VALUE!</v>
      </c>
      <c r="S1761" s="66"/>
      <c r="T1761" s="32" t="e">
        <f t="shared" si="10"/>
        <v>#VALUE!</v>
      </c>
      <c r="U1761" s="57"/>
      <c r="V1761" s="58"/>
      <c r="W1761" s="58"/>
      <c r="X1761" s="30" t="e">
        <f t="shared" si="11"/>
        <v>#N/A</v>
      </c>
      <c r="Y1761" s="30" t="e">
        <f t="shared" si="12"/>
        <v>#N/A</v>
      </c>
      <c r="Z1761" s="35" t="e">
        <f t="shared" si="13"/>
        <v>#VALUE!</v>
      </c>
      <c r="AA1761" s="29" t="e">
        <f t="shared" si="14"/>
        <v>#VALUE!</v>
      </c>
      <c r="AB1761" s="36" t="e">
        <f t="shared" si="15"/>
        <v>#VALUE!</v>
      </c>
      <c r="AC1761" s="37" t="b">
        <v>0</v>
      </c>
      <c r="AD1761" s="61" t="str">
        <f t="shared" si="16"/>
        <v>USD</v>
      </c>
      <c r="AE1761" s="37"/>
      <c r="AF1761" s="37" t="e">
        <f t="array" ref="AF1761">INDEX('Deal Info'!D:D, MATCH(A1761,'Deal Info'!A:A, 0))</f>
        <v>#N/A</v>
      </c>
      <c r="AG1761" s="38" t="e">
        <f t="array" ref="AG1761">INDEX('Deal Info'!G:G, MATCH(A1761,'Deal Info'!A:A, 0))</f>
        <v>#N/A</v>
      </c>
    </row>
    <row r="1762" spans="1:33" ht="14.25" hidden="1" x14ac:dyDescent="0.2">
      <c r="A1762" s="18" t="b">
        <f t="array" ref="A1762">IF(G1762='Room Info'!$B$1, INDEX('Room Info'!$A$2:$A2446, MATCH(B1762,'Room Info'!$B$2:$B2446, 0)),IF(G1762='Room Info'!$C$1, INDEX('Room Info'!$A$2:$A2446, MATCH(B1762,'Room Info'!$C$2:$C2446, 0)),IF(G1762='Room Info'!$D$1, INDEX('Room Info'!$A$2:$A2446, MATCH(B1762,'Room Info'!$D$2:$D2446, 0)),IF(G1762='Room Info'!$E$1, INDEX('Room Info'!$A$2:$A2446, MATCH(B1762,'Room Info'!$E$2:$E2446, 0)),IF(G1762='Room Info'!$F$1, INDEX('Room Info'!$A$2:$A2446, MATCH(B1762,'Room Info'!$F$2:$F2446, 0)),IF(G1762='Room Info'!$H$1, INDEX('Room Info'!$A$2:$A2446, MATCH(B1762,'Room Info'!$H$2:$H2446, 0)),IF(G1762='Room Info'!$G$1, INDEX('Room Info'!$A$2:$A2446, MATCH(B1762,'Room Info'!$G$2:$G2446, 0)))))))))</f>
        <v>0</v>
      </c>
      <c r="B1762" s="96"/>
      <c r="C1762" s="111"/>
      <c r="D1762" s="111"/>
      <c r="E1762" s="80"/>
      <c r="F1762" s="133"/>
      <c r="G1762" s="96"/>
      <c r="H1762" s="110"/>
      <c r="I1762" s="110"/>
      <c r="J1762" s="39" t="s">
        <v>334</v>
      </c>
      <c r="K1762" s="112"/>
      <c r="L1762" s="113"/>
      <c r="M1762" s="62"/>
      <c r="N1762" s="28" t="e">
        <f t="shared" si="8"/>
        <v>#VALUE!</v>
      </c>
      <c r="O1762" s="65"/>
      <c r="P1762" s="29" t="s">
        <v>334</v>
      </c>
      <c r="Q1762" s="55"/>
      <c r="R1762" s="31" t="e">
        <f t="shared" si="9"/>
        <v>#VALUE!</v>
      </c>
      <c r="S1762" s="66"/>
      <c r="T1762" s="32" t="e">
        <f t="shared" si="10"/>
        <v>#VALUE!</v>
      </c>
      <c r="U1762" s="57"/>
      <c r="V1762" s="58"/>
      <c r="W1762" s="58"/>
      <c r="X1762" s="30" t="e">
        <f t="shared" si="11"/>
        <v>#N/A</v>
      </c>
      <c r="Y1762" s="30" t="e">
        <f t="shared" si="12"/>
        <v>#N/A</v>
      </c>
      <c r="Z1762" s="35" t="e">
        <f t="shared" si="13"/>
        <v>#VALUE!</v>
      </c>
      <c r="AA1762" s="29" t="e">
        <f t="shared" si="14"/>
        <v>#VALUE!</v>
      </c>
      <c r="AB1762" s="36" t="e">
        <f t="shared" si="15"/>
        <v>#VALUE!</v>
      </c>
      <c r="AC1762" s="37" t="b">
        <v>0</v>
      </c>
      <c r="AD1762" s="61" t="str">
        <f t="shared" si="16"/>
        <v>USD</v>
      </c>
      <c r="AE1762" s="37"/>
      <c r="AF1762" s="37" t="e">
        <f t="array" ref="AF1762">INDEX('Deal Info'!D:D, MATCH(A1762,'Deal Info'!A:A, 0))</f>
        <v>#N/A</v>
      </c>
      <c r="AG1762" s="38" t="e">
        <f t="array" ref="AG1762">INDEX('Deal Info'!G:G, MATCH(A1762,'Deal Info'!A:A, 0))</f>
        <v>#N/A</v>
      </c>
    </row>
    <row r="1763" spans="1:33" ht="14.25" hidden="1" x14ac:dyDescent="0.2">
      <c r="A1763" s="18" t="b">
        <f t="array" ref="A1763">IF(G1763='Room Info'!$B$1, INDEX('Room Info'!$A$2:$A2446, MATCH(B1763,'Room Info'!$B$2:$B2446, 0)),IF(G1763='Room Info'!$C$1, INDEX('Room Info'!$A$2:$A2446, MATCH(B1763,'Room Info'!$C$2:$C2446, 0)),IF(G1763='Room Info'!$D$1, INDEX('Room Info'!$A$2:$A2446, MATCH(B1763,'Room Info'!$D$2:$D2446, 0)),IF(G1763='Room Info'!$E$1, INDEX('Room Info'!$A$2:$A2446, MATCH(B1763,'Room Info'!$E$2:$E2446, 0)),IF(G1763='Room Info'!$F$1, INDEX('Room Info'!$A$2:$A2446, MATCH(B1763,'Room Info'!$F$2:$F2446, 0)),IF(G1763='Room Info'!$H$1, INDEX('Room Info'!$A$2:$A2446, MATCH(B1763,'Room Info'!$H$2:$H2446, 0)),IF(G1763='Room Info'!$G$1, INDEX('Room Info'!$A$2:$A2446, MATCH(B1763,'Room Info'!$G$2:$G2446, 0)))))))))</f>
        <v>0</v>
      </c>
      <c r="B1763" s="96"/>
      <c r="C1763" s="111"/>
      <c r="D1763" s="111"/>
      <c r="E1763" s="80"/>
      <c r="F1763" s="133"/>
      <c r="G1763" s="96"/>
      <c r="H1763" s="110"/>
      <c r="I1763" s="110"/>
      <c r="J1763" s="39" t="s">
        <v>334</v>
      </c>
      <c r="K1763" s="112"/>
      <c r="L1763" s="113"/>
      <c r="M1763" s="62"/>
      <c r="N1763" s="28" t="e">
        <f t="shared" si="8"/>
        <v>#VALUE!</v>
      </c>
      <c r="O1763" s="65"/>
      <c r="P1763" s="29" t="s">
        <v>334</v>
      </c>
      <c r="Q1763" s="55"/>
      <c r="R1763" s="31" t="e">
        <f t="shared" si="9"/>
        <v>#VALUE!</v>
      </c>
      <c r="S1763" s="66"/>
      <c r="T1763" s="32" t="e">
        <f t="shared" si="10"/>
        <v>#VALUE!</v>
      </c>
      <c r="U1763" s="57"/>
      <c r="V1763" s="58"/>
      <c r="W1763" s="58"/>
      <c r="X1763" s="30" t="e">
        <f t="shared" si="11"/>
        <v>#N/A</v>
      </c>
      <c r="Y1763" s="30" t="e">
        <f t="shared" si="12"/>
        <v>#N/A</v>
      </c>
      <c r="Z1763" s="35" t="e">
        <f t="shared" si="13"/>
        <v>#VALUE!</v>
      </c>
      <c r="AA1763" s="29" t="e">
        <f t="shared" si="14"/>
        <v>#VALUE!</v>
      </c>
      <c r="AB1763" s="36" t="e">
        <f t="shared" si="15"/>
        <v>#VALUE!</v>
      </c>
      <c r="AC1763" s="37" t="b">
        <v>0</v>
      </c>
      <c r="AD1763" s="61" t="str">
        <f t="shared" si="16"/>
        <v>USD</v>
      </c>
      <c r="AE1763" s="37"/>
      <c r="AF1763" s="37" t="e">
        <f t="array" ref="AF1763">INDEX('Deal Info'!D:D, MATCH(A1763,'Deal Info'!A:A, 0))</f>
        <v>#N/A</v>
      </c>
      <c r="AG1763" s="38" t="e">
        <f t="array" ref="AG1763">INDEX('Deal Info'!G:G, MATCH(A1763,'Deal Info'!A:A, 0))</f>
        <v>#N/A</v>
      </c>
    </row>
    <row r="1764" spans="1:33" ht="14.25" hidden="1" x14ac:dyDescent="0.2">
      <c r="A1764" s="18" t="b">
        <f t="array" ref="A1764">IF(G1764='Room Info'!$B$1, INDEX('Room Info'!$A$2:$A2446, MATCH(B1764,'Room Info'!$B$2:$B2446, 0)),IF(G1764='Room Info'!$C$1, INDEX('Room Info'!$A$2:$A2446, MATCH(B1764,'Room Info'!$C$2:$C2446, 0)),IF(G1764='Room Info'!$D$1, INDEX('Room Info'!$A$2:$A2446, MATCH(B1764,'Room Info'!$D$2:$D2446, 0)),IF(G1764='Room Info'!$E$1, INDEX('Room Info'!$A$2:$A2446, MATCH(B1764,'Room Info'!$E$2:$E2446, 0)),IF(G1764='Room Info'!$F$1, INDEX('Room Info'!$A$2:$A2446, MATCH(B1764,'Room Info'!$F$2:$F2446, 0)),IF(G1764='Room Info'!$H$1, INDEX('Room Info'!$A$2:$A2446, MATCH(B1764,'Room Info'!$H$2:$H2446, 0)),IF(G1764='Room Info'!$G$1, INDEX('Room Info'!$A$2:$A2446, MATCH(B1764,'Room Info'!$G$2:$G2446, 0)))))))))</f>
        <v>0</v>
      </c>
      <c r="B1764" s="96"/>
      <c r="C1764" s="111"/>
      <c r="D1764" s="111"/>
      <c r="E1764" s="80"/>
      <c r="F1764" s="133"/>
      <c r="G1764" s="96"/>
      <c r="H1764" s="110"/>
      <c r="I1764" s="110"/>
      <c r="J1764" s="39" t="s">
        <v>334</v>
      </c>
      <c r="K1764" s="112"/>
      <c r="L1764" s="113"/>
      <c r="M1764" s="62"/>
      <c r="N1764" s="28" t="e">
        <f t="shared" si="8"/>
        <v>#VALUE!</v>
      </c>
      <c r="O1764" s="65"/>
      <c r="P1764" s="29" t="s">
        <v>334</v>
      </c>
      <c r="Q1764" s="55"/>
      <c r="R1764" s="31" t="e">
        <f t="shared" si="9"/>
        <v>#VALUE!</v>
      </c>
      <c r="S1764" s="66"/>
      <c r="T1764" s="32" t="e">
        <f t="shared" si="10"/>
        <v>#VALUE!</v>
      </c>
      <c r="U1764" s="57"/>
      <c r="V1764" s="58"/>
      <c r="W1764" s="58"/>
      <c r="X1764" s="30" t="e">
        <f t="shared" si="11"/>
        <v>#N/A</v>
      </c>
      <c r="Y1764" s="30" t="e">
        <f t="shared" si="12"/>
        <v>#N/A</v>
      </c>
      <c r="Z1764" s="35" t="e">
        <f t="shared" si="13"/>
        <v>#VALUE!</v>
      </c>
      <c r="AA1764" s="29" t="e">
        <f t="shared" si="14"/>
        <v>#VALUE!</v>
      </c>
      <c r="AB1764" s="36" t="e">
        <f t="shared" si="15"/>
        <v>#VALUE!</v>
      </c>
      <c r="AC1764" s="37" t="b">
        <v>0</v>
      </c>
      <c r="AD1764" s="61" t="str">
        <f t="shared" si="16"/>
        <v>USD</v>
      </c>
      <c r="AE1764" s="37"/>
      <c r="AF1764" s="37" t="e">
        <f t="array" ref="AF1764">INDEX('Deal Info'!D:D, MATCH(A1764,'Deal Info'!A:A, 0))</f>
        <v>#N/A</v>
      </c>
      <c r="AG1764" s="38" t="e">
        <f t="array" ref="AG1764">INDEX('Deal Info'!G:G, MATCH(A1764,'Deal Info'!A:A, 0))</f>
        <v>#N/A</v>
      </c>
    </row>
    <row r="1765" spans="1:33" ht="14.25" hidden="1" x14ac:dyDescent="0.2">
      <c r="A1765" s="18" t="b">
        <f t="array" ref="A1765">IF(G1765='Room Info'!$B$1, INDEX('Room Info'!$A$2:$A2446, MATCH(B1765,'Room Info'!$B$2:$B2446, 0)),IF(G1765='Room Info'!$C$1, INDEX('Room Info'!$A$2:$A2446, MATCH(B1765,'Room Info'!$C$2:$C2446, 0)),IF(G1765='Room Info'!$D$1, INDEX('Room Info'!$A$2:$A2446, MATCH(B1765,'Room Info'!$D$2:$D2446, 0)),IF(G1765='Room Info'!$E$1, INDEX('Room Info'!$A$2:$A2446, MATCH(B1765,'Room Info'!$E$2:$E2446, 0)),IF(G1765='Room Info'!$F$1, INDEX('Room Info'!$A$2:$A2446, MATCH(B1765,'Room Info'!$F$2:$F2446, 0)),IF(G1765='Room Info'!$H$1, INDEX('Room Info'!$A$2:$A2446, MATCH(B1765,'Room Info'!$H$2:$H2446, 0)),IF(G1765='Room Info'!$G$1, INDEX('Room Info'!$A$2:$A2446, MATCH(B1765,'Room Info'!$G$2:$G2446, 0)))))))))</f>
        <v>0</v>
      </c>
      <c r="B1765" s="96"/>
      <c r="C1765" s="111"/>
      <c r="D1765" s="111"/>
      <c r="E1765" s="80"/>
      <c r="F1765" s="133"/>
      <c r="G1765" s="96"/>
      <c r="H1765" s="110"/>
      <c r="I1765" s="110"/>
      <c r="J1765" s="39" t="s">
        <v>334</v>
      </c>
      <c r="K1765" s="112"/>
      <c r="L1765" s="113"/>
      <c r="M1765" s="62"/>
      <c r="N1765" s="28" t="e">
        <f t="shared" si="8"/>
        <v>#VALUE!</v>
      </c>
      <c r="O1765" s="65"/>
      <c r="P1765" s="29" t="s">
        <v>334</v>
      </c>
      <c r="Q1765" s="55"/>
      <c r="R1765" s="31" t="e">
        <f t="shared" si="9"/>
        <v>#VALUE!</v>
      </c>
      <c r="S1765" s="66"/>
      <c r="T1765" s="32" t="e">
        <f t="shared" si="10"/>
        <v>#VALUE!</v>
      </c>
      <c r="U1765" s="57"/>
      <c r="V1765" s="58"/>
      <c r="W1765" s="58"/>
      <c r="X1765" s="30" t="e">
        <f t="shared" si="11"/>
        <v>#N/A</v>
      </c>
      <c r="Y1765" s="30" t="e">
        <f t="shared" si="12"/>
        <v>#N/A</v>
      </c>
      <c r="Z1765" s="35" t="e">
        <f t="shared" si="13"/>
        <v>#VALUE!</v>
      </c>
      <c r="AA1765" s="29" t="e">
        <f t="shared" si="14"/>
        <v>#VALUE!</v>
      </c>
      <c r="AB1765" s="36" t="e">
        <f t="shared" si="15"/>
        <v>#VALUE!</v>
      </c>
      <c r="AC1765" s="37" t="b">
        <v>0</v>
      </c>
      <c r="AD1765" s="61" t="str">
        <f t="shared" si="16"/>
        <v>USD</v>
      </c>
      <c r="AE1765" s="37"/>
      <c r="AF1765" s="37" t="e">
        <f t="array" ref="AF1765">INDEX('Deal Info'!D:D, MATCH(A1765,'Deal Info'!A:A, 0))</f>
        <v>#N/A</v>
      </c>
      <c r="AG1765" s="38" t="e">
        <f t="array" ref="AG1765">INDEX('Deal Info'!G:G, MATCH(A1765,'Deal Info'!A:A, 0))</f>
        <v>#N/A</v>
      </c>
    </row>
    <row r="1766" spans="1:33" ht="14.25" hidden="1" x14ac:dyDescent="0.2">
      <c r="A1766" s="18" t="b">
        <f t="array" ref="A1766">IF(G1766='Room Info'!$B$1, INDEX('Room Info'!$A$2:$A2446, MATCH(B1766,'Room Info'!$B$2:$B2446, 0)),IF(G1766='Room Info'!$C$1, INDEX('Room Info'!$A$2:$A2446, MATCH(B1766,'Room Info'!$C$2:$C2446, 0)),IF(G1766='Room Info'!$D$1, INDEX('Room Info'!$A$2:$A2446, MATCH(B1766,'Room Info'!$D$2:$D2446, 0)),IF(G1766='Room Info'!$E$1, INDEX('Room Info'!$A$2:$A2446, MATCH(B1766,'Room Info'!$E$2:$E2446, 0)),IF(G1766='Room Info'!$F$1, INDEX('Room Info'!$A$2:$A2446, MATCH(B1766,'Room Info'!$F$2:$F2446, 0)),IF(G1766='Room Info'!$H$1, INDEX('Room Info'!$A$2:$A2446, MATCH(B1766,'Room Info'!$H$2:$H2446, 0)),IF(G1766='Room Info'!$G$1, INDEX('Room Info'!$A$2:$A2446, MATCH(B1766,'Room Info'!$G$2:$G2446, 0)))))))))</f>
        <v>0</v>
      </c>
      <c r="B1766" s="96"/>
      <c r="C1766" s="111"/>
      <c r="D1766" s="111"/>
      <c r="E1766" s="80"/>
      <c r="F1766" s="133"/>
      <c r="G1766" s="96"/>
      <c r="H1766" s="110"/>
      <c r="I1766" s="110"/>
      <c r="J1766" s="39" t="s">
        <v>334</v>
      </c>
      <c r="K1766" s="112"/>
      <c r="L1766" s="113"/>
      <c r="M1766" s="62"/>
      <c r="N1766" s="28" t="e">
        <f t="shared" si="8"/>
        <v>#VALUE!</v>
      </c>
      <c r="O1766" s="65"/>
      <c r="P1766" s="29" t="s">
        <v>334</v>
      </c>
      <c r="Q1766" s="55"/>
      <c r="R1766" s="31" t="e">
        <f t="shared" si="9"/>
        <v>#VALUE!</v>
      </c>
      <c r="S1766" s="66"/>
      <c r="T1766" s="32" t="e">
        <f t="shared" si="10"/>
        <v>#VALUE!</v>
      </c>
      <c r="U1766" s="57"/>
      <c r="V1766" s="58"/>
      <c r="W1766" s="58"/>
      <c r="X1766" s="30" t="e">
        <f t="shared" si="11"/>
        <v>#N/A</v>
      </c>
      <c r="Y1766" s="30" t="e">
        <f t="shared" si="12"/>
        <v>#N/A</v>
      </c>
      <c r="Z1766" s="35" t="e">
        <f t="shared" si="13"/>
        <v>#VALUE!</v>
      </c>
      <c r="AA1766" s="29" t="e">
        <f t="shared" si="14"/>
        <v>#VALUE!</v>
      </c>
      <c r="AB1766" s="36" t="e">
        <f t="shared" si="15"/>
        <v>#VALUE!</v>
      </c>
      <c r="AC1766" s="37" t="b">
        <v>0</v>
      </c>
      <c r="AD1766" s="61" t="str">
        <f t="shared" si="16"/>
        <v>USD</v>
      </c>
      <c r="AE1766" s="37"/>
      <c r="AF1766" s="37" t="e">
        <f t="array" ref="AF1766">INDEX('Deal Info'!D:D, MATCH(A1766,'Deal Info'!A:A, 0))</f>
        <v>#N/A</v>
      </c>
      <c r="AG1766" s="38" t="e">
        <f t="array" ref="AG1766">INDEX('Deal Info'!G:G, MATCH(A1766,'Deal Info'!A:A, 0))</f>
        <v>#N/A</v>
      </c>
    </row>
    <row r="1767" spans="1:33" ht="14.25" hidden="1" x14ac:dyDescent="0.2">
      <c r="A1767" s="18" t="b">
        <f t="array" ref="A1767">IF(G1767='Room Info'!$B$1, INDEX('Room Info'!$A$2:$A2446, MATCH(B1767,'Room Info'!$B$2:$B2446, 0)),IF(G1767='Room Info'!$C$1, INDEX('Room Info'!$A$2:$A2446, MATCH(B1767,'Room Info'!$C$2:$C2446, 0)),IF(G1767='Room Info'!$D$1, INDEX('Room Info'!$A$2:$A2446, MATCH(B1767,'Room Info'!$D$2:$D2446, 0)),IF(G1767='Room Info'!$E$1, INDEX('Room Info'!$A$2:$A2446, MATCH(B1767,'Room Info'!$E$2:$E2446, 0)),IF(G1767='Room Info'!$F$1, INDEX('Room Info'!$A$2:$A2446, MATCH(B1767,'Room Info'!$F$2:$F2446, 0)),IF(G1767='Room Info'!$H$1, INDEX('Room Info'!$A$2:$A2446, MATCH(B1767,'Room Info'!$H$2:$H2446, 0)),IF(G1767='Room Info'!$G$1, INDEX('Room Info'!$A$2:$A2446, MATCH(B1767,'Room Info'!$G$2:$G2446, 0)))))))))</f>
        <v>0</v>
      </c>
      <c r="B1767" s="96"/>
      <c r="C1767" s="111"/>
      <c r="D1767" s="111"/>
      <c r="E1767" s="80"/>
      <c r="F1767" s="133"/>
      <c r="G1767" s="96"/>
      <c r="H1767" s="110"/>
      <c r="I1767" s="110"/>
      <c r="J1767" s="39" t="s">
        <v>334</v>
      </c>
      <c r="K1767" s="112"/>
      <c r="L1767" s="113"/>
      <c r="M1767" s="62"/>
      <c r="N1767" s="28" t="e">
        <f t="shared" si="8"/>
        <v>#VALUE!</v>
      </c>
      <c r="O1767" s="65"/>
      <c r="P1767" s="29" t="s">
        <v>334</v>
      </c>
      <c r="Q1767" s="55"/>
      <c r="R1767" s="31" t="e">
        <f t="shared" si="9"/>
        <v>#VALUE!</v>
      </c>
      <c r="S1767" s="66"/>
      <c r="T1767" s="32" t="e">
        <f t="shared" si="10"/>
        <v>#VALUE!</v>
      </c>
      <c r="U1767" s="57"/>
      <c r="V1767" s="58"/>
      <c r="W1767" s="58"/>
      <c r="X1767" s="30" t="e">
        <f t="shared" si="11"/>
        <v>#N/A</v>
      </c>
      <c r="Y1767" s="30" t="e">
        <f t="shared" si="12"/>
        <v>#N/A</v>
      </c>
      <c r="Z1767" s="35" t="e">
        <f t="shared" si="13"/>
        <v>#VALUE!</v>
      </c>
      <c r="AA1767" s="29" t="e">
        <f t="shared" si="14"/>
        <v>#VALUE!</v>
      </c>
      <c r="AB1767" s="36" t="e">
        <f t="shared" si="15"/>
        <v>#VALUE!</v>
      </c>
      <c r="AC1767" s="37" t="b">
        <v>0</v>
      </c>
      <c r="AD1767" s="61" t="str">
        <f t="shared" si="16"/>
        <v>USD</v>
      </c>
      <c r="AE1767" s="37"/>
      <c r="AF1767" s="37" t="e">
        <f t="array" ref="AF1767">INDEX('Deal Info'!D:D, MATCH(A1767,'Deal Info'!A:A, 0))</f>
        <v>#N/A</v>
      </c>
      <c r="AG1767" s="38" t="e">
        <f t="array" ref="AG1767">INDEX('Deal Info'!G:G, MATCH(A1767,'Deal Info'!A:A, 0))</f>
        <v>#N/A</v>
      </c>
    </row>
    <row r="1768" spans="1:33" ht="14.25" hidden="1" x14ac:dyDescent="0.2">
      <c r="A1768" s="18" t="b">
        <f t="array" ref="A1768">IF(G1768='Room Info'!$B$1, INDEX('Room Info'!$A$2:$A2446, MATCH(B1768,'Room Info'!$B$2:$B2446, 0)),IF(G1768='Room Info'!$C$1, INDEX('Room Info'!$A$2:$A2446, MATCH(B1768,'Room Info'!$C$2:$C2446, 0)),IF(G1768='Room Info'!$D$1, INDEX('Room Info'!$A$2:$A2446, MATCH(B1768,'Room Info'!$D$2:$D2446, 0)),IF(G1768='Room Info'!$E$1, INDEX('Room Info'!$A$2:$A2446, MATCH(B1768,'Room Info'!$E$2:$E2446, 0)),IF(G1768='Room Info'!$F$1, INDEX('Room Info'!$A$2:$A2446, MATCH(B1768,'Room Info'!$F$2:$F2446, 0)),IF(G1768='Room Info'!$H$1, INDEX('Room Info'!$A$2:$A2446, MATCH(B1768,'Room Info'!$H$2:$H2446, 0)),IF(G1768='Room Info'!$G$1, INDEX('Room Info'!$A$2:$A2446, MATCH(B1768,'Room Info'!$G$2:$G2446, 0)))))))))</f>
        <v>0</v>
      </c>
      <c r="B1768" s="96"/>
      <c r="C1768" s="111"/>
      <c r="D1768" s="111"/>
      <c r="E1768" s="80"/>
      <c r="F1768" s="133"/>
      <c r="G1768" s="65"/>
      <c r="H1768" s="65"/>
      <c r="I1768" s="65"/>
      <c r="J1768" s="39" t="s">
        <v>334</v>
      </c>
      <c r="K1768" s="112"/>
      <c r="L1768" s="113"/>
      <c r="M1768" s="62"/>
      <c r="N1768" s="28" t="e">
        <f t="shared" si="8"/>
        <v>#VALUE!</v>
      </c>
      <c r="O1768" s="65"/>
      <c r="P1768" s="29" t="s">
        <v>334</v>
      </c>
      <c r="Q1768" s="55"/>
      <c r="R1768" s="31" t="e">
        <f t="shared" si="9"/>
        <v>#VALUE!</v>
      </c>
      <c r="S1768" s="66"/>
      <c r="T1768" s="32" t="e">
        <f t="shared" si="10"/>
        <v>#VALUE!</v>
      </c>
      <c r="U1768" s="57"/>
      <c r="V1768" s="58"/>
      <c r="W1768" s="58"/>
      <c r="X1768" s="30" t="e">
        <f t="shared" si="11"/>
        <v>#N/A</v>
      </c>
      <c r="Y1768" s="30" t="e">
        <f t="shared" si="12"/>
        <v>#N/A</v>
      </c>
      <c r="Z1768" s="35" t="e">
        <f t="shared" si="13"/>
        <v>#VALUE!</v>
      </c>
      <c r="AA1768" s="29" t="e">
        <f t="shared" si="14"/>
        <v>#VALUE!</v>
      </c>
      <c r="AB1768" s="36" t="e">
        <f t="shared" si="15"/>
        <v>#VALUE!</v>
      </c>
      <c r="AC1768" s="37" t="b">
        <v>0</v>
      </c>
      <c r="AD1768" s="61" t="str">
        <f t="shared" si="16"/>
        <v>USD</v>
      </c>
      <c r="AE1768" s="37"/>
      <c r="AF1768" s="37" t="e">
        <f t="array" ref="AF1768">INDEX('Deal Info'!D:D, MATCH(A1768,'Deal Info'!A:A, 0))</f>
        <v>#N/A</v>
      </c>
      <c r="AG1768" s="38" t="e">
        <f t="array" ref="AG1768">INDEX('Deal Info'!G:G, MATCH(A1768,'Deal Info'!A:A, 0))</f>
        <v>#N/A</v>
      </c>
    </row>
    <row r="1769" spans="1:33" ht="14.25" hidden="1" x14ac:dyDescent="0.2">
      <c r="A1769" s="18" t="b">
        <f t="array" ref="A1769">IF(G1769='Room Info'!$B$1, INDEX('Room Info'!$A$2:$A2446, MATCH(B1769,'Room Info'!$B$2:$B2446, 0)),IF(G1769='Room Info'!$C$1, INDEX('Room Info'!$A$2:$A2446, MATCH(B1769,'Room Info'!$C$2:$C2446, 0)),IF(G1769='Room Info'!$D$1, INDEX('Room Info'!$A$2:$A2446, MATCH(B1769,'Room Info'!$D$2:$D2446, 0)),IF(G1769='Room Info'!$E$1, INDEX('Room Info'!$A$2:$A2446, MATCH(B1769,'Room Info'!$E$2:$E2446, 0)),IF(G1769='Room Info'!$F$1, INDEX('Room Info'!$A$2:$A2446, MATCH(B1769,'Room Info'!$F$2:$F2446, 0)),IF(G1769='Room Info'!$H$1, INDEX('Room Info'!$A$2:$A2446, MATCH(B1769,'Room Info'!$H$2:$H2446, 0)),IF(G1769='Room Info'!$G$1, INDEX('Room Info'!$A$2:$A2446, MATCH(B1769,'Room Info'!$G$2:$G2446, 0)))))))))</f>
        <v>0</v>
      </c>
      <c r="B1769" s="96"/>
      <c r="C1769" s="111"/>
      <c r="D1769" s="111"/>
      <c r="E1769" s="80"/>
      <c r="F1769" s="133"/>
      <c r="G1769" s="65"/>
      <c r="H1769" s="65"/>
      <c r="I1769" s="65"/>
      <c r="J1769" s="39" t="s">
        <v>334</v>
      </c>
      <c r="K1769" s="112"/>
      <c r="L1769" s="113"/>
      <c r="M1769" s="62"/>
      <c r="N1769" s="28" t="e">
        <f t="shared" si="8"/>
        <v>#VALUE!</v>
      </c>
      <c r="O1769" s="65"/>
      <c r="P1769" s="29" t="s">
        <v>334</v>
      </c>
      <c r="Q1769" s="55"/>
      <c r="R1769" s="31" t="e">
        <f t="shared" si="9"/>
        <v>#VALUE!</v>
      </c>
      <c r="S1769" s="66"/>
      <c r="T1769" s="32" t="e">
        <f t="shared" si="10"/>
        <v>#VALUE!</v>
      </c>
      <c r="U1769" s="57"/>
      <c r="V1769" s="58"/>
      <c r="W1769" s="58"/>
      <c r="X1769" s="30" t="e">
        <f t="shared" si="11"/>
        <v>#N/A</v>
      </c>
      <c r="Y1769" s="30" t="e">
        <f t="shared" si="12"/>
        <v>#N/A</v>
      </c>
      <c r="Z1769" s="35" t="e">
        <f t="shared" si="13"/>
        <v>#VALUE!</v>
      </c>
      <c r="AA1769" s="29" t="e">
        <f t="shared" si="14"/>
        <v>#VALUE!</v>
      </c>
      <c r="AB1769" s="36" t="e">
        <f t="shared" si="15"/>
        <v>#VALUE!</v>
      </c>
      <c r="AC1769" s="37" t="b">
        <v>0</v>
      </c>
      <c r="AD1769" s="61" t="str">
        <f t="shared" si="16"/>
        <v>USD</v>
      </c>
      <c r="AE1769" s="37"/>
      <c r="AF1769" s="37" t="e">
        <f t="array" ref="AF1769">INDEX('Deal Info'!D:D, MATCH(A1769,'Deal Info'!A:A, 0))</f>
        <v>#N/A</v>
      </c>
      <c r="AG1769" s="38" t="e">
        <f t="array" ref="AG1769">INDEX('Deal Info'!G:G, MATCH(A1769,'Deal Info'!A:A, 0))</f>
        <v>#N/A</v>
      </c>
    </row>
    <row r="1770" spans="1:33" ht="14.25" hidden="1" x14ac:dyDescent="0.2">
      <c r="A1770" s="18" t="b">
        <f t="array" ref="A1770">IF(G1770='Room Info'!$B$1, INDEX('Room Info'!$A$2:$A2446, MATCH(B1770,'Room Info'!$B$2:$B2446, 0)),IF(G1770='Room Info'!$C$1, INDEX('Room Info'!$A$2:$A2446, MATCH(B1770,'Room Info'!$C$2:$C2446, 0)),IF(G1770='Room Info'!$D$1, INDEX('Room Info'!$A$2:$A2446, MATCH(B1770,'Room Info'!$D$2:$D2446, 0)),IF(G1770='Room Info'!$E$1, INDEX('Room Info'!$A$2:$A2446, MATCH(B1770,'Room Info'!$E$2:$E2446, 0)),IF(G1770='Room Info'!$F$1, INDEX('Room Info'!$A$2:$A2446, MATCH(B1770,'Room Info'!$F$2:$F2446, 0)),IF(G1770='Room Info'!$H$1, INDEX('Room Info'!$A$2:$A2446, MATCH(B1770,'Room Info'!$H$2:$H2446, 0)),IF(G1770='Room Info'!$G$1, INDEX('Room Info'!$A$2:$A2446, MATCH(B1770,'Room Info'!$G$2:$G2446, 0)))))))))</f>
        <v>0</v>
      </c>
      <c r="B1770" s="65"/>
      <c r="C1770" s="111"/>
      <c r="D1770" s="111"/>
      <c r="E1770" s="80"/>
      <c r="F1770" s="96"/>
      <c r="G1770" s="65"/>
      <c r="H1770" s="110"/>
      <c r="I1770" s="110"/>
      <c r="J1770" s="39" t="s">
        <v>334</v>
      </c>
      <c r="K1770" s="134"/>
      <c r="L1770" s="135"/>
      <c r="M1770" s="62"/>
      <c r="N1770" s="28" t="e">
        <f t="shared" si="8"/>
        <v>#VALUE!</v>
      </c>
      <c r="O1770" s="96"/>
      <c r="P1770" s="29" t="s">
        <v>334</v>
      </c>
      <c r="Q1770" s="55"/>
      <c r="R1770" s="31" t="e">
        <f t="shared" si="9"/>
        <v>#VALUE!</v>
      </c>
      <c r="S1770" s="97"/>
      <c r="T1770" s="32" t="e">
        <f t="shared" si="10"/>
        <v>#VALUE!</v>
      </c>
      <c r="U1770" s="57"/>
      <c r="V1770" s="58"/>
      <c r="W1770" s="58"/>
      <c r="X1770" s="30" t="e">
        <f t="shared" si="11"/>
        <v>#N/A</v>
      </c>
      <c r="Y1770" s="30" t="e">
        <f t="shared" si="12"/>
        <v>#N/A</v>
      </c>
      <c r="Z1770" s="35" t="e">
        <f t="shared" si="13"/>
        <v>#VALUE!</v>
      </c>
      <c r="AA1770" s="29" t="e">
        <f t="shared" si="14"/>
        <v>#VALUE!</v>
      </c>
      <c r="AB1770" s="36" t="e">
        <f t="shared" si="15"/>
        <v>#VALUE!</v>
      </c>
      <c r="AC1770" s="37" t="b">
        <v>0</v>
      </c>
      <c r="AD1770" s="61" t="str">
        <f t="shared" si="16"/>
        <v>USD</v>
      </c>
      <c r="AE1770" s="37"/>
      <c r="AF1770" s="37" t="e">
        <f t="array" ref="AF1770">INDEX('Deal Info'!D:D, MATCH(A1770,'Deal Info'!A:A, 0))</f>
        <v>#N/A</v>
      </c>
      <c r="AG1770" s="38" t="e">
        <f t="array" ref="AG1770">INDEX('Deal Info'!G:G, MATCH(A1770,'Deal Info'!A:A, 0))</f>
        <v>#N/A</v>
      </c>
    </row>
    <row r="1771" spans="1:33" ht="14.25" hidden="1" x14ac:dyDescent="0.2">
      <c r="A1771" s="18" t="b">
        <f t="array" ref="A1771">IF(G1771='Room Info'!$B$1, INDEX('Room Info'!$A$2:$A2446, MATCH(B1771,'Room Info'!$B$2:$B2446, 0)),IF(G1771='Room Info'!$C$1, INDEX('Room Info'!$A$2:$A2446, MATCH(B1771,'Room Info'!$C$2:$C2446, 0)),IF(G1771='Room Info'!$D$1, INDEX('Room Info'!$A$2:$A2446, MATCH(B1771,'Room Info'!$D$2:$D2446, 0)),IF(G1771='Room Info'!$E$1, INDEX('Room Info'!$A$2:$A2446, MATCH(B1771,'Room Info'!$E$2:$E2446, 0)),IF(G1771='Room Info'!$F$1, INDEX('Room Info'!$A$2:$A2446, MATCH(B1771,'Room Info'!$F$2:$F2446, 0)),IF(G1771='Room Info'!$H$1, INDEX('Room Info'!$A$2:$A2446, MATCH(B1771,'Room Info'!$H$2:$H2446, 0)),IF(G1771='Room Info'!$G$1, INDEX('Room Info'!$A$2:$A2446, MATCH(B1771,'Room Info'!$G$2:$G2446, 0)))))))))</f>
        <v>0</v>
      </c>
      <c r="B1771" s="96"/>
      <c r="C1771" s="111"/>
      <c r="D1771" s="111"/>
      <c r="E1771" s="80"/>
      <c r="F1771" s="133"/>
      <c r="G1771" s="65"/>
      <c r="H1771" s="110"/>
      <c r="I1771" s="110"/>
      <c r="J1771" s="39" t="s">
        <v>334</v>
      </c>
      <c r="K1771" s="134"/>
      <c r="L1771" s="135"/>
      <c r="M1771" s="62"/>
      <c r="N1771" s="28" t="e">
        <f t="shared" si="8"/>
        <v>#VALUE!</v>
      </c>
      <c r="O1771" s="96"/>
      <c r="P1771" s="29" t="s">
        <v>334</v>
      </c>
      <c r="Q1771" s="55"/>
      <c r="R1771" s="31" t="e">
        <f t="shared" si="9"/>
        <v>#VALUE!</v>
      </c>
      <c r="S1771" s="97"/>
      <c r="T1771" s="32" t="e">
        <f t="shared" si="10"/>
        <v>#VALUE!</v>
      </c>
      <c r="U1771" s="57"/>
      <c r="V1771" s="58"/>
      <c r="W1771" s="58"/>
      <c r="X1771" s="30" t="e">
        <f t="shared" si="11"/>
        <v>#N/A</v>
      </c>
      <c r="Y1771" s="30" t="e">
        <f t="shared" si="12"/>
        <v>#N/A</v>
      </c>
      <c r="Z1771" s="35" t="e">
        <f t="shared" si="13"/>
        <v>#VALUE!</v>
      </c>
      <c r="AA1771" s="29" t="e">
        <f t="shared" si="14"/>
        <v>#VALUE!</v>
      </c>
      <c r="AB1771" s="36" t="e">
        <f t="shared" si="15"/>
        <v>#VALUE!</v>
      </c>
      <c r="AC1771" s="37" t="b">
        <v>0</v>
      </c>
      <c r="AD1771" s="61" t="str">
        <f t="shared" si="16"/>
        <v>USD</v>
      </c>
      <c r="AE1771" s="37"/>
      <c r="AF1771" s="37" t="e">
        <f t="array" ref="AF1771">INDEX('Deal Info'!D:D, MATCH(A1771,'Deal Info'!A:A, 0))</f>
        <v>#N/A</v>
      </c>
      <c r="AG1771" s="38" t="e">
        <f t="array" ref="AG1771">INDEX('Deal Info'!G:G, MATCH(A1771,'Deal Info'!A:A, 0))</f>
        <v>#N/A</v>
      </c>
    </row>
    <row r="1772" spans="1:33" ht="14.25" hidden="1" x14ac:dyDescent="0.2">
      <c r="A1772" s="18" t="b">
        <f t="array" ref="A1772">IF(G1772='Room Info'!$B$1, INDEX('Room Info'!$A$2:$A2446, MATCH(B1772,'Room Info'!$B$2:$B2446, 0)),IF(G1772='Room Info'!$C$1, INDEX('Room Info'!$A$2:$A2446, MATCH(B1772,'Room Info'!$C$2:$C2446, 0)),IF(G1772='Room Info'!$D$1, INDEX('Room Info'!$A$2:$A2446, MATCH(B1772,'Room Info'!$D$2:$D2446, 0)),IF(G1772='Room Info'!$E$1, INDEX('Room Info'!$A$2:$A2446, MATCH(B1772,'Room Info'!$E$2:$E2446, 0)),IF(G1772='Room Info'!$F$1, INDEX('Room Info'!$A$2:$A2446, MATCH(B1772,'Room Info'!$F$2:$F2446, 0)),IF(G1772='Room Info'!$H$1, INDEX('Room Info'!$A$2:$A2446, MATCH(B1772,'Room Info'!$H$2:$H2446, 0)),IF(G1772='Room Info'!$G$1, INDEX('Room Info'!$A$2:$A2446, MATCH(B1772,'Room Info'!$G$2:$G2446, 0)))))))))</f>
        <v>0</v>
      </c>
      <c r="B1772" s="96"/>
      <c r="C1772" s="111"/>
      <c r="D1772" s="111"/>
      <c r="E1772" s="80"/>
      <c r="F1772" s="133"/>
      <c r="G1772" s="65"/>
      <c r="H1772" s="110"/>
      <c r="I1772" s="110"/>
      <c r="J1772" s="39" t="s">
        <v>334</v>
      </c>
      <c r="K1772" s="134"/>
      <c r="L1772" s="135"/>
      <c r="M1772" s="62"/>
      <c r="N1772" s="28" t="e">
        <f t="shared" si="8"/>
        <v>#VALUE!</v>
      </c>
      <c r="O1772" s="96"/>
      <c r="P1772" s="29" t="s">
        <v>334</v>
      </c>
      <c r="Q1772" s="55"/>
      <c r="R1772" s="31" t="e">
        <f t="shared" si="9"/>
        <v>#VALUE!</v>
      </c>
      <c r="S1772" s="97"/>
      <c r="T1772" s="32" t="e">
        <f t="shared" si="10"/>
        <v>#VALUE!</v>
      </c>
      <c r="U1772" s="57"/>
      <c r="V1772" s="58"/>
      <c r="W1772" s="58"/>
      <c r="X1772" s="30" t="e">
        <f t="shared" si="11"/>
        <v>#N/A</v>
      </c>
      <c r="Y1772" s="30" t="e">
        <f t="shared" si="12"/>
        <v>#N/A</v>
      </c>
      <c r="Z1772" s="35" t="e">
        <f t="shared" si="13"/>
        <v>#VALUE!</v>
      </c>
      <c r="AA1772" s="29" t="e">
        <f t="shared" si="14"/>
        <v>#VALUE!</v>
      </c>
      <c r="AB1772" s="36" t="e">
        <f t="shared" si="15"/>
        <v>#VALUE!</v>
      </c>
      <c r="AC1772" s="37" t="b">
        <v>0</v>
      </c>
      <c r="AD1772" s="61" t="str">
        <f t="shared" si="16"/>
        <v>USD</v>
      </c>
      <c r="AE1772" s="37"/>
      <c r="AF1772" s="37" t="e">
        <f t="array" ref="AF1772">INDEX('Deal Info'!D:D, MATCH(A1772,'Deal Info'!A:A, 0))</f>
        <v>#N/A</v>
      </c>
      <c r="AG1772" s="38" t="e">
        <f t="array" ref="AG1772">INDEX('Deal Info'!G:G, MATCH(A1772,'Deal Info'!A:A, 0))</f>
        <v>#N/A</v>
      </c>
    </row>
    <row r="1773" spans="1:33" ht="14.25" hidden="1" x14ac:dyDescent="0.2">
      <c r="A1773" s="18" t="b">
        <f t="array" ref="A1773">IF(G1773='Room Info'!$B$1, INDEX('Room Info'!$A$2:$A2446, MATCH(B1773,'Room Info'!$B$2:$B2446, 0)),IF(G1773='Room Info'!$C$1, INDEX('Room Info'!$A$2:$A2446, MATCH(B1773,'Room Info'!$C$2:$C2446, 0)),IF(G1773='Room Info'!$D$1, INDEX('Room Info'!$A$2:$A2446, MATCH(B1773,'Room Info'!$D$2:$D2446, 0)),IF(G1773='Room Info'!$E$1, INDEX('Room Info'!$A$2:$A2446, MATCH(B1773,'Room Info'!$E$2:$E2446, 0)),IF(G1773='Room Info'!$F$1, INDEX('Room Info'!$A$2:$A2446, MATCH(B1773,'Room Info'!$F$2:$F2446, 0)),IF(G1773='Room Info'!$H$1, INDEX('Room Info'!$A$2:$A2446, MATCH(B1773,'Room Info'!$H$2:$H2446, 0)),IF(G1773='Room Info'!$G$1, INDEX('Room Info'!$A$2:$A2446, MATCH(B1773,'Room Info'!$G$2:$G2446, 0)))))))))</f>
        <v>0</v>
      </c>
      <c r="B1773" s="96"/>
      <c r="C1773" s="111"/>
      <c r="D1773" s="111"/>
      <c r="E1773" s="80"/>
      <c r="F1773" s="133"/>
      <c r="G1773" s="65"/>
      <c r="H1773" s="110"/>
      <c r="I1773" s="110"/>
      <c r="J1773" s="39" t="s">
        <v>334</v>
      </c>
      <c r="K1773" s="134"/>
      <c r="L1773" s="135"/>
      <c r="M1773" s="62"/>
      <c r="N1773" s="28" t="e">
        <f t="shared" si="8"/>
        <v>#VALUE!</v>
      </c>
      <c r="O1773" s="96"/>
      <c r="P1773" s="29" t="s">
        <v>334</v>
      </c>
      <c r="Q1773" s="55"/>
      <c r="R1773" s="31" t="e">
        <f t="shared" si="9"/>
        <v>#VALUE!</v>
      </c>
      <c r="S1773" s="97"/>
      <c r="T1773" s="32" t="e">
        <f t="shared" si="10"/>
        <v>#VALUE!</v>
      </c>
      <c r="U1773" s="57"/>
      <c r="V1773" s="58"/>
      <c r="W1773" s="58"/>
      <c r="X1773" s="30" t="e">
        <f t="shared" si="11"/>
        <v>#N/A</v>
      </c>
      <c r="Y1773" s="30" t="e">
        <f t="shared" si="12"/>
        <v>#N/A</v>
      </c>
      <c r="Z1773" s="35" t="e">
        <f t="shared" si="13"/>
        <v>#VALUE!</v>
      </c>
      <c r="AA1773" s="29" t="e">
        <f t="shared" si="14"/>
        <v>#VALUE!</v>
      </c>
      <c r="AB1773" s="36" t="e">
        <f t="shared" si="15"/>
        <v>#VALUE!</v>
      </c>
      <c r="AC1773" s="37" t="b">
        <v>0</v>
      </c>
      <c r="AD1773" s="61" t="str">
        <f t="shared" si="16"/>
        <v>USD</v>
      </c>
      <c r="AE1773" s="37"/>
      <c r="AF1773" s="37" t="e">
        <f t="array" ref="AF1773">INDEX('Deal Info'!D:D, MATCH(A1773,'Deal Info'!A:A, 0))</f>
        <v>#N/A</v>
      </c>
      <c r="AG1773" s="38" t="e">
        <f t="array" ref="AG1773">INDEX('Deal Info'!G:G, MATCH(A1773,'Deal Info'!A:A, 0))</f>
        <v>#N/A</v>
      </c>
    </row>
    <row r="1774" spans="1:33" ht="14.25" hidden="1" x14ac:dyDescent="0.2">
      <c r="A1774" s="18" t="b">
        <f t="array" ref="A1774">IF(G1774='Room Info'!$B$1, INDEX('Room Info'!$A$2:$A2446, MATCH(B1774,'Room Info'!$B$2:$B2446, 0)),IF(G1774='Room Info'!$C$1, INDEX('Room Info'!$A$2:$A2446, MATCH(B1774,'Room Info'!$C$2:$C2446, 0)),IF(G1774='Room Info'!$D$1, INDEX('Room Info'!$A$2:$A2446, MATCH(B1774,'Room Info'!$D$2:$D2446, 0)),IF(G1774='Room Info'!$E$1, INDEX('Room Info'!$A$2:$A2446, MATCH(B1774,'Room Info'!$E$2:$E2446, 0)),IF(G1774='Room Info'!$F$1, INDEX('Room Info'!$A$2:$A2446, MATCH(B1774,'Room Info'!$F$2:$F2446, 0)),IF(G1774='Room Info'!$H$1, INDEX('Room Info'!$A$2:$A2446, MATCH(B1774,'Room Info'!$H$2:$H2446, 0)),IF(G1774='Room Info'!$G$1, INDEX('Room Info'!$A$2:$A2446, MATCH(B1774,'Room Info'!$G$2:$G2446, 0)))))))))</f>
        <v>0</v>
      </c>
      <c r="B1774" s="96"/>
      <c r="C1774" s="136"/>
      <c r="D1774" s="136"/>
      <c r="E1774" s="137"/>
      <c r="F1774" s="133"/>
      <c r="G1774" s="96"/>
      <c r="H1774" s="100"/>
      <c r="I1774" s="100"/>
      <c r="J1774" s="39" t="s">
        <v>334</v>
      </c>
      <c r="K1774" s="134"/>
      <c r="L1774" s="135"/>
      <c r="M1774" s="79"/>
      <c r="N1774" s="28" t="e">
        <f t="shared" si="8"/>
        <v>#VALUE!</v>
      </c>
      <c r="O1774" s="96"/>
      <c r="P1774" s="29" t="s">
        <v>334</v>
      </c>
      <c r="Q1774" s="55"/>
      <c r="R1774" s="31" t="e">
        <f t="shared" si="9"/>
        <v>#VALUE!</v>
      </c>
      <c r="S1774" s="97"/>
      <c r="T1774" s="32" t="e">
        <f t="shared" si="10"/>
        <v>#VALUE!</v>
      </c>
      <c r="U1774" s="57"/>
      <c r="V1774" s="58"/>
      <c r="W1774" s="58"/>
      <c r="X1774" s="30" t="e">
        <f t="shared" si="11"/>
        <v>#N/A</v>
      </c>
      <c r="Y1774" s="30" t="e">
        <f t="shared" si="12"/>
        <v>#N/A</v>
      </c>
      <c r="Z1774" s="35" t="e">
        <f t="shared" si="13"/>
        <v>#VALUE!</v>
      </c>
      <c r="AA1774" s="29" t="e">
        <f t="shared" si="14"/>
        <v>#VALUE!</v>
      </c>
      <c r="AB1774" s="36" t="e">
        <f t="shared" si="15"/>
        <v>#VALUE!</v>
      </c>
      <c r="AC1774" s="37" t="b">
        <v>0</v>
      </c>
      <c r="AD1774" s="61" t="str">
        <f t="shared" si="16"/>
        <v>USD</v>
      </c>
      <c r="AE1774" s="37"/>
      <c r="AF1774" s="37" t="e">
        <f t="array" ref="AF1774">INDEX('Deal Info'!D:D, MATCH(A1774,'Deal Info'!A:A, 0))</f>
        <v>#N/A</v>
      </c>
      <c r="AG1774" s="38" t="e">
        <f t="array" ref="AG1774">INDEX('Deal Info'!G:G, MATCH(A1774,'Deal Info'!A:A, 0))</f>
        <v>#N/A</v>
      </c>
    </row>
    <row r="1775" spans="1:33" ht="14.25" hidden="1" x14ac:dyDescent="0.2">
      <c r="A1775" s="18" t="b">
        <f t="array" ref="A1775">IF(G1775='Room Info'!$B$1, INDEX('Room Info'!$A$2:$A2446, MATCH(B1775,'Room Info'!$B$2:$B2446, 0)),IF(G1775='Room Info'!$C$1, INDEX('Room Info'!$A$2:$A2446, MATCH(B1775,'Room Info'!$C$2:$C2446, 0)),IF(G1775='Room Info'!$D$1, INDEX('Room Info'!$A$2:$A2446, MATCH(B1775,'Room Info'!$D$2:$D2446, 0)),IF(G1775='Room Info'!$E$1, INDEX('Room Info'!$A$2:$A2446, MATCH(B1775,'Room Info'!$E$2:$E2446, 0)),IF(G1775='Room Info'!$F$1, INDEX('Room Info'!$A$2:$A2446, MATCH(B1775,'Room Info'!$F$2:$F2446, 0)),IF(G1775='Room Info'!$H$1, INDEX('Room Info'!$A$2:$A2446, MATCH(B1775,'Room Info'!$H$2:$H2446, 0)),IF(G1775='Room Info'!$G$1, INDEX('Room Info'!$A$2:$A2446, MATCH(B1775,'Room Info'!$G$2:$G2446, 0)))))))))</f>
        <v>0</v>
      </c>
      <c r="B1775" s="96"/>
      <c r="C1775" s="136"/>
      <c r="D1775" s="136"/>
      <c r="E1775" s="137"/>
      <c r="F1775" s="133"/>
      <c r="G1775" s="96"/>
      <c r="H1775" s="100"/>
      <c r="I1775" s="100"/>
      <c r="J1775" s="39" t="s">
        <v>334</v>
      </c>
      <c r="K1775" s="134"/>
      <c r="L1775" s="135"/>
      <c r="M1775" s="79"/>
      <c r="N1775" s="28" t="e">
        <f t="shared" si="8"/>
        <v>#VALUE!</v>
      </c>
      <c r="O1775" s="96"/>
      <c r="P1775" s="29" t="s">
        <v>334</v>
      </c>
      <c r="Q1775" s="55"/>
      <c r="R1775" s="31" t="e">
        <f t="shared" si="9"/>
        <v>#VALUE!</v>
      </c>
      <c r="S1775" s="97"/>
      <c r="T1775" s="32" t="e">
        <f t="shared" si="10"/>
        <v>#VALUE!</v>
      </c>
      <c r="U1775" s="57"/>
      <c r="V1775" s="58"/>
      <c r="W1775" s="58"/>
      <c r="X1775" s="30" t="e">
        <f t="shared" si="11"/>
        <v>#N/A</v>
      </c>
      <c r="Y1775" s="30" t="e">
        <f t="shared" si="12"/>
        <v>#N/A</v>
      </c>
      <c r="Z1775" s="35" t="e">
        <f t="shared" si="13"/>
        <v>#VALUE!</v>
      </c>
      <c r="AA1775" s="29" t="e">
        <f t="shared" si="14"/>
        <v>#VALUE!</v>
      </c>
      <c r="AB1775" s="36" t="e">
        <f t="shared" si="15"/>
        <v>#VALUE!</v>
      </c>
      <c r="AC1775" s="37" t="b">
        <v>0</v>
      </c>
      <c r="AD1775" s="61" t="str">
        <f t="shared" si="16"/>
        <v>USD</v>
      </c>
      <c r="AE1775" s="37"/>
      <c r="AF1775" s="37" t="e">
        <f t="array" ref="AF1775">INDEX('Deal Info'!D:D, MATCH(A1775,'Deal Info'!A:A, 0))</f>
        <v>#N/A</v>
      </c>
      <c r="AG1775" s="38" t="e">
        <f t="array" ref="AG1775">INDEX('Deal Info'!G:G, MATCH(A1775,'Deal Info'!A:A, 0))</f>
        <v>#N/A</v>
      </c>
    </row>
    <row r="1776" spans="1:33" ht="14.25" hidden="1" x14ac:dyDescent="0.2">
      <c r="A1776" s="18" t="b">
        <f t="array" ref="A1776">IF(G1776='Room Info'!$B$1, INDEX('Room Info'!$A$2:$A2446, MATCH(B1776,'Room Info'!$B$2:$B2446, 0)),IF(G1776='Room Info'!$C$1, INDEX('Room Info'!$A$2:$A2446, MATCH(B1776,'Room Info'!$C$2:$C2446, 0)),IF(G1776='Room Info'!$D$1, INDEX('Room Info'!$A$2:$A2446, MATCH(B1776,'Room Info'!$D$2:$D2446, 0)),IF(G1776='Room Info'!$E$1, INDEX('Room Info'!$A$2:$A2446, MATCH(B1776,'Room Info'!$E$2:$E2446, 0)),IF(G1776='Room Info'!$F$1, INDEX('Room Info'!$A$2:$A2446, MATCH(B1776,'Room Info'!$F$2:$F2446, 0)),IF(G1776='Room Info'!$H$1, INDEX('Room Info'!$A$2:$A2446, MATCH(B1776,'Room Info'!$H$2:$H2446, 0)),IF(G1776='Room Info'!$G$1, INDEX('Room Info'!$A$2:$A2446, MATCH(B1776,'Room Info'!$G$2:$G2446, 0)))))))))</f>
        <v>0</v>
      </c>
      <c r="B1776" s="96"/>
      <c r="C1776" s="111"/>
      <c r="D1776" s="111"/>
      <c r="E1776" s="80"/>
      <c r="F1776" s="133"/>
      <c r="G1776" s="65"/>
      <c r="H1776" s="110"/>
      <c r="I1776" s="110"/>
      <c r="J1776" s="39" t="s">
        <v>334</v>
      </c>
      <c r="K1776" s="112"/>
      <c r="L1776" s="113"/>
      <c r="M1776" s="62"/>
      <c r="N1776" s="28" t="e">
        <f t="shared" si="8"/>
        <v>#VALUE!</v>
      </c>
      <c r="O1776" s="65"/>
      <c r="P1776" s="29" t="s">
        <v>334</v>
      </c>
      <c r="Q1776" s="55"/>
      <c r="R1776" s="31" t="e">
        <f t="shared" si="9"/>
        <v>#VALUE!</v>
      </c>
      <c r="S1776" s="66"/>
      <c r="T1776" s="32" t="e">
        <f t="shared" si="10"/>
        <v>#VALUE!</v>
      </c>
      <c r="U1776" s="57"/>
      <c r="V1776" s="58"/>
      <c r="W1776" s="58"/>
      <c r="X1776" s="30" t="e">
        <f t="shared" si="11"/>
        <v>#N/A</v>
      </c>
      <c r="Y1776" s="30" t="e">
        <f t="shared" si="12"/>
        <v>#N/A</v>
      </c>
      <c r="Z1776" s="35" t="e">
        <f t="shared" si="13"/>
        <v>#VALUE!</v>
      </c>
      <c r="AA1776" s="29" t="e">
        <f t="shared" si="14"/>
        <v>#VALUE!</v>
      </c>
      <c r="AB1776" s="36" t="e">
        <f t="shared" si="15"/>
        <v>#VALUE!</v>
      </c>
      <c r="AC1776" s="37" t="b">
        <v>0</v>
      </c>
      <c r="AD1776" s="61" t="str">
        <f t="shared" si="16"/>
        <v>USD</v>
      </c>
      <c r="AE1776" s="37"/>
      <c r="AF1776" s="37" t="e">
        <f t="array" ref="AF1776">INDEX('Deal Info'!D:D, MATCH(A1776,'Deal Info'!A:A, 0))</f>
        <v>#N/A</v>
      </c>
      <c r="AG1776" s="38" t="e">
        <f t="array" ref="AG1776">INDEX('Deal Info'!G:G, MATCH(A1776,'Deal Info'!A:A, 0))</f>
        <v>#N/A</v>
      </c>
    </row>
    <row r="1777" spans="1:33" ht="14.25" hidden="1" x14ac:dyDescent="0.2">
      <c r="A1777" s="18" t="b">
        <f t="array" ref="A1777">IF(G1777='Room Info'!$B$1, INDEX('Room Info'!$A$2:$A2446, MATCH(B1777,'Room Info'!$B$2:$B2446, 0)),IF(G1777='Room Info'!$C$1, INDEX('Room Info'!$A$2:$A2446, MATCH(B1777,'Room Info'!$C$2:$C2446, 0)),IF(G1777='Room Info'!$D$1, INDEX('Room Info'!$A$2:$A2446, MATCH(B1777,'Room Info'!$D$2:$D2446, 0)),IF(G1777='Room Info'!$E$1, INDEX('Room Info'!$A$2:$A2446, MATCH(B1777,'Room Info'!$E$2:$E2446, 0)),IF(G1777='Room Info'!$F$1, INDEX('Room Info'!$A$2:$A2446, MATCH(B1777,'Room Info'!$F$2:$F2446, 0)),IF(G1777='Room Info'!$H$1, INDEX('Room Info'!$A$2:$A2446, MATCH(B1777,'Room Info'!$H$2:$H2446, 0)),IF(G1777='Room Info'!$G$1, INDEX('Room Info'!$A$2:$A2446, MATCH(B1777,'Room Info'!$G$2:$G2446, 0)))))))))</f>
        <v>0</v>
      </c>
      <c r="B1777" s="96"/>
      <c r="C1777" s="111"/>
      <c r="D1777" s="111"/>
      <c r="E1777" s="80"/>
      <c r="F1777" s="133"/>
      <c r="G1777" s="96"/>
      <c r="H1777" s="110"/>
      <c r="I1777" s="110"/>
      <c r="J1777" s="39" t="s">
        <v>334</v>
      </c>
      <c r="K1777" s="112"/>
      <c r="L1777" s="113"/>
      <c r="M1777" s="62"/>
      <c r="N1777" s="28" t="e">
        <f t="shared" si="8"/>
        <v>#VALUE!</v>
      </c>
      <c r="O1777" s="65"/>
      <c r="P1777" s="29" t="s">
        <v>334</v>
      </c>
      <c r="Q1777" s="55"/>
      <c r="R1777" s="31" t="e">
        <f t="shared" si="9"/>
        <v>#VALUE!</v>
      </c>
      <c r="S1777" s="66"/>
      <c r="T1777" s="32" t="e">
        <f t="shared" si="10"/>
        <v>#VALUE!</v>
      </c>
      <c r="U1777" s="57"/>
      <c r="V1777" s="58"/>
      <c r="W1777" s="58"/>
      <c r="X1777" s="30" t="e">
        <f t="shared" si="11"/>
        <v>#N/A</v>
      </c>
      <c r="Y1777" s="30" t="e">
        <f t="shared" si="12"/>
        <v>#N/A</v>
      </c>
      <c r="Z1777" s="35" t="e">
        <f t="shared" si="13"/>
        <v>#VALUE!</v>
      </c>
      <c r="AA1777" s="29" t="e">
        <f t="shared" si="14"/>
        <v>#VALUE!</v>
      </c>
      <c r="AB1777" s="36" t="e">
        <f t="shared" si="15"/>
        <v>#VALUE!</v>
      </c>
      <c r="AC1777" s="37" t="b">
        <v>0</v>
      </c>
      <c r="AD1777" s="61" t="str">
        <f t="shared" si="16"/>
        <v>USD</v>
      </c>
      <c r="AE1777" s="37"/>
      <c r="AF1777" s="37" t="e">
        <f t="array" ref="AF1777">INDEX('Deal Info'!D:D, MATCH(A1777,'Deal Info'!A:A, 0))</f>
        <v>#N/A</v>
      </c>
      <c r="AG1777" s="38" t="e">
        <f t="array" ref="AG1777">INDEX('Deal Info'!G:G, MATCH(A1777,'Deal Info'!A:A, 0))</f>
        <v>#N/A</v>
      </c>
    </row>
    <row r="1778" spans="1:33" ht="14.25" hidden="1" x14ac:dyDescent="0.2">
      <c r="A1778" s="18" t="b">
        <f t="array" ref="A1778">IF(G1778='Room Info'!$B$1, INDEX('Room Info'!$A$2:$A2446, MATCH(B1778,'Room Info'!$B$2:$B2446, 0)),IF(G1778='Room Info'!$C$1, INDEX('Room Info'!$A$2:$A2446, MATCH(B1778,'Room Info'!$C$2:$C2446, 0)),IF(G1778='Room Info'!$D$1, INDEX('Room Info'!$A$2:$A2446, MATCH(B1778,'Room Info'!$D$2:$D2446, 0)),IF(G1778='Room Info'!$E$1, INDEX('Room Info'!$A$2:$A2446, MATCH(B1778,'Room Info'!$E$2:$E2446, 0)),IF(G1778='Room Info'!$F$1, INDEX('Room Info'!$A$2:$A2446, MATCH(B1778,'Room Info'!$F$2:$F2446, 0)),IF(G1778='Room Info'!$H$1, INDEX('Room Info'!$A$2:$A2446, MATCH(B1778,'Room Info'!$H$2:$H2446, 0)),IF(G1778='Room Info'!$G$1, INDEX('Room Info'!$A$2:$A2446, MATCH(B1778,'Room Info'!$G$2:$G2446, 0)))))))))</f>
        <v>0</v>
      </c>
      <c r="B1778" s="96"/>
      <c r="C1778" s="111"/>
      <c r="D1778" s="111"/>
      <c r="E1778" s="80"/>
      <c r="F1778" s="133"/>
      <c r="G1778" s="96"/>
      <c r="H1778" s="110"/>
      <c r="I1778" s="110"/>
      <c r="J1778" s="39" t="s">
        <v>334</v>
      </c>
      <c r="K1778" s="112"/>
      <c r="L1778" s="113"/>
      <c r="M1778" s="62"/>
      <c r="N1778" s="28" t="e">
        <f t="shared" si="8"/>
        <v>#VALUE!</v>
      </c>
      <c r="O1778" s="65"/>
      <c r="P1778" s="29" t="s">
        <v>334</v>
      </c>
      <c r="Q1778" s="55"/>
      <c r="R1778" s="31" t="e">
        <f t="shared" si="9"/>
        <v>#VALUE!</v>
      </c>
      <c r="S1778" s="66"/>
      <c r="T1778" s="32" t="e">
        <f t="shared" si="10"/>
        <v>#VALUE!</v>
      </c>
      <c r="U1778" s="57"/>
      <c r="V1778" s="58"/>
      <c r="W1778" s="58"/>
      <c r="X1778" s="30" t="e">
        <f t="shared" si="11"/>
        <v>#N/A</v>
      </c>
      <c r="Y1778" s="30" t="e">
        <f t="shared" si="12"/>
        <v>#N/A</v>
      </c>
      <c r="Z1778" s="35" t="e">
        <f t="shared" si="13"/>
        <v>#VALUE!</v>
      </c>
      <c r="AA1778" s="29" t="e">
        <f t="shared" si="14"/>
        <v>#VALUE!</v>
      </c>
      <c r="AB1778" s="36" t="e">
        <f t="shared" si="15"/>
        <v>#VALUE!</v>
      </c>
      <c r="AC1778" s="37" t="b">
        <v>0</v>
      </c>
      <c r="AD1778" s="61" t="str">
        <f t="shared" si="16"/>
        <v>USD</v>
      </c>
      <c r="AE1778" s="37"/>
      <c r="AF1778" s="37" t="e">
        <f t="array" ref="AF1778">INDEX('Deal Info'!D:D, MATCH(A1778,'Deal Info'!A:A, 0))</f>
        <v>#N/A</v>
      </c>
      <c r="AG1778" s="38" t="e">
        <f t="array" ref="AG1778">INDEX('Deal Info'!G:G, MATCH(A1778,'Deal Info'!A:A, 0))</f>
        <v>#N/A</v>
      </c>
    </row>
    <row r="1779" spans="1:33" ht="14.25" hidden="1" x14ac:dyDescent="0.2">
      <c r="A1779" s="18" t="b">
        <f t="array" ref="A1779">IF(G1779='Room Info'!$B$1, INDEX('Room Info'!$A$2:$A2446, MATCH(B1779,'Room Info'!$B$2:$B2446, 0)),IF(G1779='Room Info'!$C$1, INDEX('Room Info'!$A$2:$A2446, MATCH(B1779,'Room Info'!$C$2:$C2446, 0)),IF(G1779='Room Info'!$D$1, INDEX('Room Info'!$A$2:$A2446, MATCH(B1779,'Room Info'!$D$2:$D2446, 0)),IF(G1779='Room Info'!$E$1, INDEX('Room Info'!$A$2:$A2446, MATCH(B1779,'Room Info'!$E$2:$E2446, 0)),IF(G1779='Room Info'!$F$1, INDEX('Room Info'!$A$2:$A2446, MATCH(B1779,'Room Info'!$F$2:$F2446, 0)),IF(G1779='Room Info'!$H$1, INDEX('Room Info'!$A$2:$A2446, MATCH(B1779,'Room Info'!$H$2:$H2446, 0)),IF(G1779='Room Info'!$G$1, INDEX('Room Info'!$A$2:$A2446, MATCH(B1779,'Room Info'!$G$2:$G2446, 0)))))))))</f>
        <v>0</v>
      </c>
      <c r="B1779" s="96"/>
      <c r="C1779" s="111"/>
      <c r="D1779" s="111"/>
      <c r="E1779" s="80"/>
      <c r="F1779" s="133"/>
      <c r="G1779" s="96"/>
      <c r="H1779" s="110"/>
      <c r="I1779" s="110"/>
      <c r="J1779" s="39" t="s">
        <v>334</v>
      </c>
      <c r="K1779" s="112"/>
      <c r="L1779" s="113"/>
      <c r="M1779" s="62"/>
      <c r="N1779" s="28" t="e">
        <f t="shared" si="8"/>
        <v>#VALUE!</v>
      </c>
      <c r="O1779" s="65"/>
      <c r="P1779" s="29" t="s">
        <v>334</v>
      </c>
      <c r="Q1779" s="55"/>
      <c r="R1779" s="31" t="e">
        <f t="shared" si="9"/>
        <v>#VALUE!</v>
      </c>
      <c r="S1779" s="66"/>
      <c r="T1779" s="32" t="e">
        <f t="shared" si="10"/>
        <v>#VALUE!</v>
      </c>
      <c r="U1779" s="57"/>
      <c r="V1779" s="58"/>
      <c r="W1779" s="58"/>
      <c r="X1779" s="30" t="e">
        <f t="shared" si="11"/>
        <v>#N/A</v>
      </c>
      <c r="Y1779" s="30" t="e">
        <f t="shared" si="12"/>
        <v>#N/A</v>
      </c>
      <c r="Z1779" s="35" t="e">
        <f t="shared" si="13"/>
        <v>#VALUE!</v>
      </c>
      <c r="AA1779" s="29" t="e">
        <f t="shared" si="14"/>
        <v>#VALUE!</v>
      </c>
      <c r="AB1779" s="36" t="e">
        <f t="shared" si="15"/>
        <v>#VALUE!</v>
      </c>
      <c r="AC1779" s="37" t="b">
        <v>0</v>
      </c>
      <c r="AD1779" s="61" t="str">
        <f t="shared" si="16"/>
        <v>USD</v>
      </c>
      <c r="AE1779" s="37"/>
      <c r="AF1779" s="37" t="e">
        <f t="array" ref="AF1779">INDEX('Deal Info'!D:D, MATCH(A1779,'Deal Info'!A:A, 0))</f>
        <v>#N/A</v>
      </c>
      <c r="AG1779" s="38" t="e">
        <f t="array" ref="AG1779">INDEX('Deal Info'!G:G, MATCH(A1779,'Deal Info'!A:A, 0))</f>
        <v>#N/A</v>
      </c>
    </row>
    <row r="1780" spans="1:33" ht="14.25" hidden="1" x14ac:dyDescent="0.2">
      <c r="A1780" s="18" t="b">
        <f t="array" ref="A1780">IF(G1780='Room Info'!$B$1, INDEX('Room Info'!$A$2:$A2446, MATCH(B1780,'Room Info'!$B$2:$B2446, 0)),IF(G1780='Room Info'!$C$1, INDEX('Room Info'!$A$2:$A2446, MATCH(B1780,'Room Info'!$C$2:$C2446, 0)),IF(G1780='Room Info'!$D$1, INDEX('Room Info'!$A$2:$A2446, MATCH(B1780,'Room Info'!$D$2:$D2446, 0)),IF(G1780='Room Info'!$E$1, INDEX('Room Info'!$A$2:$A2446, MATCH(B1780,'Room Info'!$E$2:$E2446, 0)),IF(G1780='Room Info'!$F$1, INDEX('Room Info'!$A$2:$A2446, MATCH(B1780,'Room Info'!$F$2:$F2446, 0)),IF(G1780='Room Info'!$H$1, INDEX('Room Info'!$A$2:$A2446, MATCH(B1780,'Room Info'!$H$2:$H2446, 0)),IF(G1780='Room Info'!$G$1, INDEX('Room Info'!$A$2:$A2446, MATCH(B1780,'Room Info'!$G$2:$G2446, 0)))))))))</f>
        <v>0</v>
      </c>
      <c r="B1780" s="96"/>
      <c r="C1780" s="111"/>
      <c r="D1780" s="111"/>
      <c r="E1780" s="80"/>
      <c r="F1780" s="133"/>
      <c r="G1780" s="96"/>
      <c r="H1780" s="110"/>
      <c r="I1780" s="110"/>
      <c r="J1780" s="39" t="s">
        <v>334</v>
      </c>
      <c r="K1780" s="112"/>
      <c r="L1780" s="113"/>
      <c r="M1780" s="62"/>
      <c r="N1780" s="28" t="e">
        <f t="shared" si="8"/>
        <v>#VALUE!</v>
      </c>
      <c r="O1780" s="65"/>
      <c r="P1780" s="29" t="s">
        <v>334</v>
      </c>
      <c r="Q1780" s="55"/>
      <c r="R1780" s="31" t="e">
        <f t="shared" si="9"/>
        <v>#VALUE!</v>
      </c>
      <c r="S1780" s="66"/>
      <c r="T1780" s="32" t="e">
        <f t="shared" si="10"/>
        <v>#VALUE!</v>
      </c>
      <c r="U1780" s="57"/>
      <c r="V1780" s="58"/>
      <c r="W1780" s="58"/>
      <c r="X1780" s="30" t="e">
        <f t="shared" si="11"/>
        <v>#N/A</v>
      </c>
      <c r="Y1780" s="30" t="e">
        <f t="shared" si="12"/>
        <v>#N/A</v>
      </c>
      <c r="Z1780" s="35" t="e">
        <f t="shared" si="13"/>
        <v>#VALUE!</v>
      </c>
      <c r="AA1780" s="29" t="e">
        <f t="shared" si="14"/>
        <v>#VALUE!</v>
      </c>
      <c r="AB1780" s="36" t="e">
        <f t="shared" si="15"/>
        <v>#VALUE!</v>
      </c>
      <c r="AC1780" s="37" t="b">
        <v>0</v>
      </c>
      <c r="AD1780" s="61" t="str">
        <f t="shared" si="16"/>
        <v>USD</v>
      </c>
      <c r="AE1780" s="37"/>
      <c r="AF1780" s="37" t="e">
        <f t="array" ref="AF1780">INDEX('Deal Info'!D:D, MATCH(A1780,'Deal Info'!A:A, 0))</f>
        <v>#N/A</v>
      </c>
      <c r="AG1780" s="38" t="e">
        <f t="array" ref="AG1780">INDEX('Deal Info'!G:G, MATCH(A1780,'Deal Info'!A:A, 0))</f>
        <v>#N/A</v>
      </c>
    </row>
    <row r="1781" spans="1:33" ht="14.25" hidden="1" x14ac:dyDescent="0.2">
      <c r="A1781" s="18" t="b">
        <f t="array" ref="A1781">IF(G1781='Room Info'!$B$1, INDEX('Room Info'!$A$2:$A2446, MATCH(B1781,'Room Info'!$B$2:$B2446, 0)),IF(G1781='Room Info'!$C$1, INDEX('Room Info'!$A$2:$A2446, MATCH(B1781,'Room Info'!$C$2:$C2446, 0)),IF(G1781='Room Info'!$D$1, INDEX('Room Info'!$A$2:$A2446, MATCH(B1781,'Room Info'!$D$2:$D2446, 0)),IF(G1781='Room Info'!$E$1, INDEX('Room Info'!$A$2:$A2446, MATCH(B1781,'Room Info'!$E$2:$E2446, 0)),IF(G1781='Room Info'!$F$1, INDEX('Room Info'!$A$2:$A2446, MATCH(B1781,'Room Info'!$F$2:$F2446, 0)),IF(G1781='Room Info'!$H$1, INDEX('Room Info'!$A$2:$A2446, MATCH(B1781,'Room Info'!$H$2:$H2446, 0)),IF(G1781='Room Info'!$G$1, INDEX('Room Info'!$A$2:$A2446, MATCH(B1781,'Room Info'!$G$2:$G2446, 0)))))))))</f>
        <v>0</v>
      </c>
      <c r="B1781" s="96"/>
      <c r="C1781" s="111"/>
      <c r="D1781" s="111"/>
      <c r="E1781" s="80"/>
      <c r="F1781" s="96"/>
      <c r="G1781" s="65"/>
      <c r="H1781" s="100"/>
      <c r="I1781" s="100"/>
      <c r="J1781" s="39" t="s">
        <v>334</v>
      </c>
      <c r="K1781" s="134"/>
      <c r="L1781" s="135"/>
      <c r="M1781" s="62"/>
      <c r="N1781" s="28" t="e">
        <f t="shared" si="8"/>
        <v>#VALUE!</v>
      </c>
      <c r="O1781" s="96"/>
      <c r="P1781" s="29" t="s">
        <v>334</v>
      </c>
      <c r="Q1781" s="55"/>
      <c r="R1781" s="31" t="e">
        <f t="shared" si="9"/>
        <v>#VALUE!</v>
      </c>
      <c r="S1781" s="97"/>
      <c r="T1781" s="32" t="e">
        <f t="shared" si="10"/>
        <v>#VALUE!</v>
      </c>
      <c r="U1781" s="57"/>
      <c r="V1781" s="58"/>
      <c r="W1781" s="58"/>
      <c r="X1781" s="30" t="e">
        <f t="shared" si="11"/>
        <v>#N/A</v>
      </c>
      <c r="Y1781" s="30" t="e">
        <f t="shared" si="12"/>
        <v>#N/A</v>
      </c>
      <c r="Z1781" s="35" t="e">
        <f t="shared" si="13"/>
        <v>#VALUE!</v>
      </c>
      <c r="AA1781" s="29" t="e">
        <f t="shared" si="14"/>
        <v>#VALUE!</v>
      </c>
      <c r="AB1781" s="36" t="e">
        <f t="shared" si="15"/>
        <v>#VALUE!</v>
      </c>
      <c r="AC1781" s="37" t="b">
        <v>0</v>
      </c>
      <c r="AD1781" s="61" t="str">
        <f t="shared" si="16"/>
        <v>USD</v>
      </c>
      <c r="AE1781" s="37"/>
      <c r="AF1781" s="37" t="e">
        <f t="array" ref="AF1781">INDEX('Deal Info'!D:D, MATCH(A1781,'Deal Info'!A:A, 0))</f>
        <v>#N/A</v>
      </c>
      <c r="AG1781" s="38" t="e">
        <f t="array" ref="AG1781">INDEX('Deal Info'!G:G, MATCH(A1781,'Deal Info'!A:A, 0))</f>
        <v>#N/A</v>
      </c>
    </row>
    <row r="1782" spans="1:33" ht="14.25" hidden="1" x14ac:dyDescent="0.2">
      <c r="A1782" s="18" t="b">
        <f t="array" ref="A1782">IF(G1782='Room Info'!$B$1, INDEX('Room Info'!$A$2:$A2446, MATCH(B1782,'Room Info'!$B$2:$B2446, 0)),IF(G1782='Room Info'!$C$1, INDEX('Room Info'!$A$2:$A2446, MATCH(B1782,'Room Info'!$C$2:$C2446, 0)),IF(G1782='Room Info'!$D$1, INDEX('Room Info'!$A$2:$A2446, MATCH(B1782,'Room Info'!$D$2:$D2446, 0)),IF(G1782='Room Info'!$E$1, INDEX('Room Info'!$A$2:$A2446, MATCH(B1782,'Room Info'!$E$2:$E2446, 0)),IF(G1782='Room Info'!$F$1, INDEX('Room Info'!$A$2:$A2446, MATCH(B1782,'Room Info'!$F$2:$F2446, 0)),IF(G1782='Room Info'!$H$1, INDEX('Room Info'!$A$2:$A2446, MATCH(B1782,'Room Info'!$H$2:$H2446, 0)),IF(G1782='Room Info'!$G$1, INDEX('Room Info'!$A$2:$A2446, MATCH(B1782,'Room Info'!$G$2:$G2446, 0)))))))))</f>
        <v>0</v>
      </c>
      <c r="B1782" s="96"/>
      <c r="C1782" s="111"/>
      <c r="D1782" s="111"/>
      <c r="E1782" s="80"/>
      <c r="F1782" s="96"/>
      <c r="G1782" s="65"/>
      <c r="H1782" s="100"/>
      <c r="I1782" s="100"/>
      <c r="J1782" s="39" t="s">
        <v>334</v>
      </c>
      <c r="K1782" s="134"/>
      <c r="L1782" s="135"/>
      <c r="M1782" s="62"/>
      <c r="N1782" s="28" t="e">
        <f t="shared" si="8"/>
        <v>#VALUE!</v>
      </c>
      <c r="O1782" s="96"/>
      <c r="P1782" s="29" t="s">
        <v>334</v>
      </c>
      <c r="Q1782" s="55"/>
      <c r="R1782" s="31" t="e">
        <f t="shared" si="9"/>
        <v>#VALUE!</v>
      </c>
      <c r="S1782" s="97"/>
      <c r="T1782" s="32" t="e">
        <f t="shared" si="10"/>
        <v>#VALUE!</v>
      </c>
      <c r="U1782" s="57"/>
      <c r="V1782" s="58"/>
      <c r="W1782" s="58"/>
      <c r="X1782" s="30" t="e">
        <f t="shared" si="11"/>
        <v>#N/A</v>
      </c>
      <c r="Y1782" s="30" t="e">
        <f t="shared" si="12"/>
        <v>#N/A</v>
      </c>
      <c r="Z1782" s="35" t="e">
        <f t="shared" si="13"/>
        <v>#VALUE!</v>
      </c>
      <c r="AA1782" s="29" t="e">
        <f t="shared" si="14"/>
        <v>#VALUE!</v>
      </c>
      <c r="AB1782" s="36" t="e">
        <f t="shared" si="15"/>
        <v>#VALUE!</v>
      </c>
      <c r="AC1782" s="37" t="b">
        <v>0</v>
      </c>
      <c r="AD1782" s="61" t="str">
        <f t="shared" si="16"/>
        <v>USD</v>
      </c>
      <c r="AE1782" s="37"/>
      <c r="AF1782" s="37" t="e">
        <f t="array" ref="AF1782">INDEX('Deal Info'!D:D, MATCH(A1782,'Deal Info'!A:A, 0))</f>
        <v>#N/A</v>
      </c>
      <c r="AG1782" s="38" t="e">
        <f t="array" ref="AG1782">INDEX('Deal Info'!G:G, MATCH(A1782,'Deal Info'!A:A, 0))</f>
        <v>#N/A</v>
      </c>
    </row>
    <row r="1783" spans="1:33" ht="14.25" hidden="1" x14ac:dyDescent="0.2">
      <c r="A1783" s="18" t="b">
        <f t="array" ref="A1783">IF(G1783='Room Info'!$B$1, INDEX('Room Info'!$A$2:$A2446, MATCH(B1783,'Room Info'!$B$2:$B2446, 0)),IF(G1783='Room Info'!$C$1, INDEX('Room Info'!$A$2:$A2446, MATCH(B1783,'Room Info'!$C$2:$C2446, 0)),IF(G1783='Room Info'!$D$1, INDEX('Room Info'!$A$2:$A2446, MATCH(B1783,'Room Info'!$D$2:$D2446, 0)),IF(G1783='Room Info'!$E$1, INDEX('Room Info'!$A$2:$A2446, MATCH(B1783,'Room Info'!$E$2:$E2446, 0)),IF(G1783='Room Info'!$F$1, INDEX('Room Info'!$A$2:$A2446, MATCH(B1783,'Room Info'!$F$2:$F2446, 0)),IF(G1783='Room Info'!$H$1, INDEX('Room Info'!$A$2:$A2446, MATCH(B1783,'Room Info'!$H$2:$H2446, 0)),IF(G1783='Room Info'!$G$1, INDEX('Room Info'!$A$2:$A2446, MATCH(B1783,'Room Info'!$G$2:$G2446, 0)))))))))</f>
        <v>0</v>
      </c>
      <c r="B1783" s="96"/>
      <c r="C1783" s="111"/>
      <c r="D1783" s="111"/>
      <c r="E1783" s="80"/>
      <c r="F1783" s="96"/>
      <c r="G1783" s="65"/>
      <c r="H1783" s="100"/>
      <c r="I1783" s="100"/>
      <c r="J1783" s="39" t="s">
        <v>334</v>
      </c>
      <c r="K1783" s="134"/>
      <c r="L1783" s="135"/>
      <c r="M1783" s="62"/>
      <c r="N1783" s="28" t="e">
        <f t="shared" si="8"/>
        <v>#VALUE!</v>
      </c>
      <c r="O1783" s="96"/>
      <c r="P1783" s="29" t="s">
        <v>334</v>
      </c>
      <c r="Q1783" s="55"/>
      <c r="R1783" s="31" t="e">
        <f t="shared" si="9"/>
        <v>#VALUE!</v>
      </c>
      <c r="S1783" s="97"/>
      <c r="T1783" s="32" t="e">
        <f t="shared" si="10"/>
        <v>#VALUE!</v>
      </c>
      <c r="U1783" s="57"/>
      <c r="V1783" s="58"/>
      <c r="W1783" s="58"/>
      <c r="X1783" s="30" t="e">
        <f t="shared" si="11"/>
        <v>#N/A</v>
      </c>
      <c r="Y1783" s="30" t="e">
        <f t="shared" si="12"/>
        <v>#N/A</v>
      </c>
      <c r="Z1783" s="35" t="e">
        <f t="shared" si="13"/>
        <v>#VALUE!</v>
      </c>
      <c r="AA1783" s="29" t="e">
        <f t="shared" si="14"/>
        <v>#VALUE!</v>
      </c>
      <c r="AB1783" s="36" t="e">
        <f t="shared" si="15"/>
        <v>#VALUE!</v>
      </c>
      <c r="AC1783" s="37" t="b">
        <v>0</v>
      </c>
      <c r="AD1783" s="61" t="str">
        <f t="shared" si="16"/>
        <v>USD</v>
      </c>
      <c r="AE1783" s="37"/>
      <c r="AF1783" s="37" t="e">
        <f t="array" ref="AF1783">INDEX('Deal Info'!D:D, MATCH(A1783,'Deal Info'!A:A, 0))</f>
        <v>#N/A</v>
      </c>
      <c r="AG1783" s="38" t="e">
        <f t="array" ref="AG1783">INDEX('Deal Info'!G:G, MATCH(A1783,'Deal Info'!A:A, 0))</f>
        <v>#N/A</v>
      </c>
    </row>
    <row r="1784" spans="1:33" ht="14.25" hidden="1" x14ac:dyDescent="0.2">
      <c r="A1784" s="18" t="b">
        <f t="array" ref="A1784">IF(G1784='Room Info'!$B$1, INDEX('Room Info'!$A$2:$A2446, MATCH(B1784,'Room Info'!$B$2:$B2446, 0)),IF(G1784='Room Info'!$C$1, INDEX('Room Info'!$A$2:$A2446, MATCH(B1784,'Room Info'!$C$2:$C2446, 0)),IF(G1784='Room Info'!$D$1, INDEX('Room Info'!$A$2:$A2446, MATCH(B1784,'Room Info'!$D$2:$D2446, 0)),IF(G1784='Room Info'!$E$1, INDEX('Room Info'!$A$2:$A2446, MATCH(B1784,'Room Info'!$E$2:$E2446, 0)),IF(G1784='Room Info'!$F$1, INDEX('Room Info'!$A$2:$A2446, MATCH(B1784,'Room Info'!$F$2:$F2446, 0)),IF(G1784='Room Info'!$H$1, INDEX('Room Info'!$A$2:$A2446, MATCH(B1784,'Room Info'!$H$2:$H2446, 0)),IF(G1784='Room Info'!$G$1, INDEX('Room Info'!$A$2:$A2446, MATCH(B1784,'Room Info'!$G$2:$G2446, 0)))))))))</f>
        <v>0</v>
      </c>
      <c r="B1784" s="96"/>
      <c r="C1784" s="111"/>
      <c r="D1784" s="111"/>
      <c r="E1784" s="80"/>
      <c r="F1784" s="96"/>
      <c r="G1784" s="65"/>
      <c r="H1784" s="100"/>
      <c r="I1784" s="100"/>
      <c r="J1784" s="39" t="s">
        <v>334</v>
      </c>
      <c r="K1784" s="112"/>
      <c r="L1784" s="113"/>
      <c r="M1784" s="62"/>
      <c r="N1784" s="28" t="e">
        <f t="shared" si="8"/>
        <v>#VALUE!</v>
      </c>
      <c r="O1784" s="65"/>
      <c r="P1784" s="29" t="s">
        <v>334</v>
      </c>
      <c r="Q1784" s="55"/>
      <c r="R1784" s="31" t="e">
        <f t="shared" si="9"/>
        <v>#VALUE!</v>
      </c>
      <c r="S1784" s="66"/>
      <c r="T1784" s="32" t="e">
        <f t="shared" si="10"/>
        <v>#VALUE!</v>
      </c>
      <c r="U1784" s="57"/>
      <c r="V1784" s="58"/>
      <c r="W1784" s="58"/>
      <c r="X1784" s="30" t="e">
        <f t="shared" si="11"/>
        <v>#N/A</v>
      </c>
      <c r="Y1784" s="30" t="e">
        <f t="shared" si="12"/>
        <v>#N/A</v>
      </c>
      <c r="Z1784" s="35" t="e">
        <f t="shared" si="13"/>
        <v>#VALUE!</v>
      </c>
      <c r="AA1784" s="29" t="e">
        <f t="shared" si="14"/>
        <v>#VALUE!</v>
      </c>
      <c r="AB1784" s="36" t="e">
        <f t="shared" si="15"/>
        <v>#VALUE!</v>
      </c>
      <c r="AC1784" s="37" t="b">
        <v>0</v>
      </c>
      <c r="AD1784" s="61" t="str">
        <f t="shared" si="16"/>
        <v>USD</v>
      </c>
      <c r="AE1784" s="37"/>
      <c r="AF1784" s="37" t="e">
        <f t="array" ref="AF1784">INDEX('Deal Info'!D:D, MATCH(A1784,'Deal Info'!A:A, 0))</f>
        <v>#N/A</v>
      </c>
      <c r="AG1784" s="38" t="e">
        <f t="array" ref="AG1784">INDEX('Deal Info'!G:G, MATCH(A1784,'Deal Info'!A:A, 0))</f>
        <v>#N/A</v>
      </c>
    </row>
    <row r="1785" spans="1:33" ht="14.25" hidden="1" x14ac:dyDescent="0.2">
      <c r="A1785" s="18" t="b">
        <f t="array" ref="A1785">IF(G1785='Room Info'!$B$1, INDEX('Room Info'!$A$2:$A2446, MATCH(B1785,'Room Info'!$B$2:$B2446, 0)),IF(G1785='Room Info'!$C$1, INDEX('Room Info'!$A$2:$A2446, MATCH(B1785,'Room Info'!$C$2:$C2446, 0)),IF(G1785='Room Info'!$D$1, INDEX('Room Info'!$A$2:$A2446, MATCH(B1785,'Room Info'!$D$2:$D2446, 0)),IF(G1785='Room Info'!$E$1, INDEX('Room Info'!$A$2:$A2446, MATCH(B1785,'Room Info'!$E$2:$E2446, 0)),IF(G1785='Room Info'!$F$1, INDEX('Room Info'!$A$2:$A2446, MATCH(B1785,'Room Info'!$F$2:$F2446, 0)),IF(G1785='Room Info'!$H$1, INDEX('Room Info'!$A$2:$A2446, MATCH(B1785,'Room Info'!$H$2:$H2446, 0)),IF(G1785='Room Info'!$G$1, INDEX('Room Info'!$A$2:$A2446, MATCH(B1785,'Room Info'!$G$2:$G2446, 0)))))))))</f>
        <v>0</v>
      </c>
      <c r="B1785" s="96"/>
      <c r="C1785" s="111"/>
      <c r="D1785" s="111"/>
      <c r="E1785" s="80"/>
      <c r="F1785" s="96"/>
      <c r="G1785" s="65"/>
      <c r="H1785" s="100"/>
      <c r="I1785" s="100"/>
      <c r="J1785" s="39" t="s">
        <v>334</v>
      </c>
      <c r="K1785" s="112"/>
      <c r="L1785" s="113"/>
      <c r="M1785" s="62"/>
      <c r="N1785" s="28" t="e">
        <f t="shared" si="8"/>
        <v>#VALUE!</v>
      </c>
      <c r="O1785" s="65"/>
      <c r="P1785" s="29" t="s">
        <v>334</v>
      </c>
      <c r="Q1785" s="55"/>
      <c r="R1785" s="31" t="e">
        <f t="shared" si="9"/>
        <v>#VALUE!</v>
      </c>
      <c r="S1785" s="66"/>
      <c r="T1785" s="32" t="e">
        <f t="shared" si="10"/>
        <v>#VALUE!</v>
      </c>
      <c r="U1785" s="57"/>
      <c r="V1785" s="58"/>
      <c r="W1785" s="58"/>
      <c r="X1785" s="30" t="e">
        <f t="shared" si="11"/>
        <v>#N/A</v>
      </c>
      <c r="Y1785" s="30" t="e">
        <f t="shared" si="12"/>
        <v>#N/A</v>
      </c>
      <c r="Z1785" s="35" t="e">
        <f t="shared" si="13"/>
        <v>#VALUE!</v>
      </c>
      <c r="AA1785" s="29" t="e">
        <f t="shared" si="14"/>
        <v>#VALUE!</v>
      </c>
      <c r="AB1785" s="36" t="e">
        <f t="shared" si="15"/>
        <v>#VALUE!</v>
      </c>
      <c r="AC1785" s="37" t="b">
        <v>0</v>
      </c>
      <c r="AD1785" s="61" t="str">
        <f t="shared" si="16"/>
        <v>USD</v>
      </c>
      <c r="AE1785" s="37"/>
      <c r="AF1785" s="37" t="e">
        <f t="array" ref="AF1785">INDEX('Deal Info'!D:D, MATCH(A1785,'Deal Info'!A:A, 0))</f>
        <v>#N/A</v>
      </c>
      <c r="AG1785" s="38" t="e">
        <f t="array" ref="AG1785">INDEX('Deal Info'!G:G, MATCH(A1785,'Deal Info'!A:A, 0))</f>
        <v>#N/A</v>
      </c>
    </row>
    <row r="1786" spans="1:33" ht="14.25" hidden="1" x14ac:dyDescent="0.2">
      <c r="A1786" s="18" t="b">
        <f t="array" ref="A1786">IF(G1786='Room Info'!$B$1, INDEX('Room Info'!$A$2:$A2446, MATCH(B1786,'Room Info'!$B$2:$B2446, 0)),IF(G1786='Room Info'!$C$1, INDEX('Room Info'!$A$2:$A2446, MATCH(B1786,'Room Info'!$C$2:$C2446, 0)),IF(G1786='Room Info'!$D$1, INDEX('Room Info'!$A$2:$A2446, MATCH(B1786,'Room Info'!$D$2:$D2446, 0)),IF(G1786='Room Info'!$E$1, INDEX('Room Info'!$A$2:$A2446, MATCH(B1786,'Room Info'!$E$2:$E2446, 0)),IF(G1786='Room Info'!$F$1, INDEX('Room Info'!$A$2:$A2446, MATCH(B1786,'Room Info'!$F$2:$F2446, 0)),IF(G1786='Room Info'!$H$1, INDEX('Room Info'!$A$2:$A2446, MATCH(B1786,'Room Info'!$H$2:$H2446, 0)),IF(G1786='Room Info'!$G$1, INDEX('Room Info'!$A$2:$A2446, MATCH(B1786,'Room Info'!$G$2:$G2446, 0)))))))))</f>
        <v>0</v>
      </c>
      <c r="B1786" s="96"/>
      <c r="C1786" s="111"/>
      <c r="D1786" s="111"/>
      <c r="E1786" s="80"/>
      <c r="F1786" s="96"/>
      <c r="G1786" s="65"/>
      <c r="H1786" s="110"/>
      <c r="I1786" s="110"/>
      <c r="J1786" s="39" t="s">
        <v>334</v>
      </c>
      <c r="K1786" s="112"/>
      <c r="L1786" s="113"/>
      <c r="M1786" s="62"/>
      <c r="N1786" s="28" t="e">
        <f t="shared" si="8"/>
        <v>#VALUE!</v>
      </c>
      <c r="O1786" s="65"/>
      <c r="P1786" s="29" t="s">
        <v>334</v>
      </c>
      <c r="Q1786" s="55"/>
      <c r="R1786" s="31" t="e">
        <f t="shared" si="9"/>
        <v>#VALUE!</v>
      </c>
      <c r="S1786" s="66"/>
      <c r="T1786" s="32" t="e">
        <f t="shared" si="10"/>
        <v>#VALUE!</v>
      </c>
      <c r="U1786" s="57"/>
      <c r="V1786" s="58"/>
      <c r="W1786" s="58"/>
      <c r="X1786" s="30" t="e">
        <f t="shared" si="11"/>
        <v>#N/A</v>
      </c>
      <c r="Y1786" s="30" t="e">
        <f t="shared" si="12"/>
        <v>#N/A</v>
      </c>
      <c r="Z1786" s="35" t="e">
        <f t="shared" si="13"/>
        <v>#VALUE!</v>
      </c>
      <c r="AA1786" s="29" t="e">
        <f t="shared" si="14"/>
        <v>#VALUE!</v>
      </c>
      <c r="AB1786" s="36" t="e">
        <f t="shared" si="15"/>
        <v>#VALUE!</v>
      </c>
      <c r="AC1786" s="37" t="b">
        <v>0</v>
      </c>
      <c r="AD1786" s="61" t="str">
        <f t="shared" si="16"/>
        <v>USD</v>
      </c>
      <c r="AE1786" s="37"/>
      <c r="AF1786" s="37" t="e">
        <f t="array" ref="AF1786">INDEX('Deal Info'!D:D, MATCH(A1786,'Deal Info'!A:A, 0))</f>
        <v>#N/A</v>
      </c>
      <c r="AG1786" s="38" t="e">
        <f t="array" ref="AG1786">INDEX('Deal Info'!G:G, MATCH(A1786,'Deal Info'!A:A, 0))</f>
        <v>#N/A</v>
      </c>
    </row>
    <row r="1787" spans="1:33" ht="14.25" hidden="1" x14ac:dyDescent="0.2">
      <c r="A1787" s="18" t="b">
        <f t="array" ref="A1787">IF(G1787='Room Info'!$B$1, INDEX('Room Info'!$A$2:$A2446, MATCH(B1787,'Room Info'!$B$2:$B2446, 0)),IF(G1787='Room Info'!$C$1, INDEX('Room Info'!$A$2:$A2446, MATCH(B1787,'Room Info'!$C$2:$C2446, 0)),IF(G1787='Room Info'!$D$1, INDEX('Room Info'!$A$2:$A2446, MATCH(B1787,'Room Info'!$D$2:$D2446, 0)),IF(G1787='Room Info'!$E$1, INDEX('Room Info'!$A$2:$A2446, MATCH(B1787,'Room Info'!$E$2:$E2446, 0)),IF(G1787='Room Info'!$F$1, INDEX('Room Info'!$A$2:$A2446, MATCH(B1787,'Room Info'!$F$2:$F2446, 0)),IF(G1787='Room Info'!$H$1, INDEX('Room Info'!$A$2:$A2446, MATCH(B1787,'Room Info'!$H$2:$H2446, 0)),IF(G1787='Room Info'!$G$1, INDEX('Room Info'!$A$2:$A2446, MATCH(B1787,'Room Info'!$G$2:$G2446, 0)))))))))</f>
        <v>0</v>
      </c>
      <c r="B1787" s="96"/>
      <c r="C1787" s="111"/>
      <c r="D1787" s="111"/>
      <c r="E1787" s="80"/>
      <c r="F1787" s="96"/>
      <c r="G1787" s="65"/>
      <c r="H1787" s="110"/>
      <c r="I1787" s="110"/>
      <c r="J1787" s="39" t="s">
        <v>334</v>
      </c>
      <c r="K1787" s="112"/>
      <c r="L1787" s="113"/>
      <c r="M1787" s="62"/>
      <c r="N1787" s="28" t="e">
        <f t="shared" si="8"/>
        <v>#VALUE!</v>
      </c>
      <c r="O1787" s="65"/>
      <c r="P1787" s="29" t="s">
        <v>334</v>
      </c>
      <c r="Q1787" s="55"/>
      <c r="R1787" s="31" t="e">
        <f t="shared" si="9"/>
        <v>#VALUE!</v>
      </c>
      <c r="S1787" s="66"/>
      <c r="T1787" s="32" t="e">
        <f t="shared" si="10"/>
        <v>#VALUE!</v>
      </c>
      <c r="U1787" s="57"/>
      <c r="V1787" s="58"/>
      <c r="W1787" s="58"/>
      <c r="X1787" s="30" t="e">
        <f t="shared" si="11"/>
        <v>#N/A</v>
      </c>
      <c r="Y1787" s="30" t="e">
        <f t="shared" si="12"/>
        <v>#N/A</v>
      </c>
      <c r="Z1787" s="35" t="e">
        <f t="shared" si="13"/>
        <v>#VALUE!</v>
      </c>
      <c r="AA1787" s="29" t="e">
        <f t="shared" si="14"/>
        <v>#VALUE!</v>
      </c>
      <c r="AB1787" s="36" t="e">
        <f t="shared" si="15"/>
        <v>#VALUE!</v>
      </c>
      <c r="AC1787" s="37" t="b">
        <v>0</v>
      </c>
      <c r="AD1787" s="61" t="str">
        <f t="shared" si="16"/>
        <v>USD</v>
      </c>
      <c r="AE1787" s="37"/>
      <c r="AF1787" s="37" t="e">
        <f t="array" ref="AF1787">INDEX('Deal Info'!D:D, MATCH(A1787,'Deal Info'!A:A, 0))</f>
        <v>#N/A</v>
      </c>
      <c r="AG1787" s="38" t="e">
        <f t="array" ref="AG1787">INDEX('Deal Info'!G:G, MATCH(A1787,'Deal Info'!A:A, 0))</f>
        <v>#N/A</v>
      </c>
    </row>
    <row r="1788" spans="1:33" ht="14.25" hidden="1" x14ac:dyDescent="0.2">
      <c r="A1788" s="18" t="b">
        <f t="array" ref="A1788">IF(G1788='Room Info'!$B$1, INDEX('Room Info'!$A$2:$A2446, MATCH(B1788,'Room Info'!$B$2:$B2446, 0)),IF(G1788='Room Info'!$C$1, INDEX('Room Info'!$A$2:$A2446, MATCH(B1788,'Room Info'!$C$2:$C2446, 0)),IF(G1788='Room Info'!$D$1, INDEX('Room Info'!$A$2:$A2446, MATCH(B1788,'Room Info'!$D$2:$D2446, 0)),IF(G1788='Room Info'!$E$1, INDEX('Room Info'!$A$2:$A2446, MATCH(B1788,'Room Info'!$E$2:$E2446, 0)),IF(G1788='Room Info'!$F$1, INDEX('Room Info'!$A$2:$A2446, MATCH(B1788,'Room Info'!$F$2:$F2446, 0)),IF(G1788='Room Info'!$H$1, INDEX('Room Info'!$A$2:$A2446, MATCH(B1788,'Room Info'!$H$2:$H2446, 0)),IF(G1788='Room Info'!$G$1, INDEX('Room Info'!$A$2:$A2446, MATCH(B1788,'Room Info'!$G$2:$G2446, 0)))))))))</f>
        <v>0</v>
      </c>
      <c r="B1788" s="96"/>
      <c r="C1788" s="111"/>
      <c r="D1788" s="111"/>
      <c r="E1788" s="80"/>
      <c r="F1788" s="96"/>
      <c r="G1788" s="65"/>
      <c r="H1788" s="110"/>
      <c r="I1788" s="110"/>
      <c r="J1788" s="39" t="s">
        <v>334</v>
      </c>
      <c r="K1788" s="112"/>
      <c r="L1788" s="113"/>
      <c r="M1788" s="62"/>
      <c r="N1788" s="28" t="e">
        <f t="shared" si="8"/>
        <v>#VALUE!</v>
      </c>
      <c r="O1788" s="65"/>
      <c r="P1788" s="29" t="s">
        <v>334</v>
      </c>
      <c r="Q1788" s="55"/>
      <c r="R1788" s="31" t="e">
        <f t="shared" si="9"/>
        <v>#VALUE!</v>
      </c>
      <c r="S1788" s="66"/>
      <c r="T1788" s="32" t="e">
        <f t="shared" si="10"/>
        <v>#VALUE!</v>
      </c>
      <c r="U1788" s="57"/>
      <c r="V1788" s="58"/>
      <c r="W1788" s="58"/>
      <c r="X1788" s="30" t="e">
        <f t="shared" si="11"/>
        <v>#N/A</v>
      </c>
      <c r="Y1788" s="30" t="e">
        <f t="shared" si="12"/>
        <v>#N/A</v>
      </c>
      <c r="Z1788" s="35" t="e">
        <f t="shared" si="13"/>
        <v>#VALUE!</v>
      </c>
      <c r="AA1788" s="29" t="e">
        <f t="shared" si="14"/>
        <v>#VALUE!</v>
      </c>
      <c r="AB1788" s="36" t="e">
        <f t="shared" si="15"/>
        <v>#VALUE!</v>
      </c>
      <c r="AC1788" s="37" t="b">
        <v>0</v>
      </c>
      <c r="AD1788" s="61" t="str">
        <f t="shared" si="16"/>
        <v>USD</v>
      </c>
      <c r="AE1788" s="37"/>
      <c r="AF1788" s="37" t="e">
        <f t="array" ref="AF1788">INDEX('Deal Info'!D:D, MATCH(A1788,'Deal Info'!A:A, 0))</f>
        <v>#N/A</v>
      </c>
      <c r="AG1788" s="38" t="e">
        <f t="array" ref="AG1788">INDEX('Deal Info'!G:G, MATCH(A1788,'Deal Info'!A:A, 0))</f>
        <v>#N/A</v>
      </c>
    </row>
    <row r="1789" spans="1:33" ht="14.25" hidden="1" x14ac:dyDescent="0.2">
      <c r="A1789" s="18" t="b">
        <f t="array" ref="A1789">IF(G1789='Room Info'!$B$1, INDEX('Room Info'!$A$2:$A2446, MATCH(B1789,'Room Info'!$B$2:$B2446, 0)),IF(G1789='Room Info'!$C$1, INDEX('Room Info'!$A$2:$A2446, MATCH(B1789,'Room Info'!$C$2:$C2446, 0)),IF(G1789='Room Info'!$D$1, INDEX('Room Info'!$A$2:$A2446, MATCH(B1789,'Room Info'!$D$2:$D2446, 0)),IF(G1789='Room Info'!$E$1, INDEX('Room Info'!$A$2:$A2446, MATCH(B1789,'Room Info'!$E$2:$E2446, 0)),IF(G1789='Room Info'!$F$1, INDEX('Room Info'!$A$2:$A2446, MATCH(B1789,'Room Info'!$F$2:$F2446, 0)),IF(G1789='Room Info'!$H$1, INDEX('Room Info'!$A$2:$A2446, MATCH(B1789,'Room Info'!$H$2:$H2446, 0)),IF(G1789='Room Info'!$G$1, INDEX('Room Info'!$A$2:$A2446, MATCH(B1789,'Room Info'!$G$2:$G2446, 0)))))))))</f>
        <v>0</v>
      </c>
      <c r="B1789" s="96"/>
      <c r="C1789" s="111"/>
      <c r="D1789" s="111"/>
      <c r="E1789" s="80"/>
      <c r="F1789" s="96"/>
      <c r="G1789" s="65"/>
      <c r="H1789" s="110"/>
      <c r="I1789" s="110"/>
      <c r="J1789" s="39" t="s">
        <v>334</v>
      </c>
      <c r="K1789" s="112"/>
      <c r="L1789" s="113"/>
      <c r="M1789" s="62"/>
      <c r="N1789" s="28" t="e">
        <f t="shared" si="8"/>
        <v>#VALUE!</v>
      </c>
      <c r="O1789" s="65"/>
      <c r="P1789" s="29" t="s">
        <v>334</v>
      </c>
      <c r="Q1789" s="55"/>
      <c r="R1789" s="31" t="e">
        <f t="shared" si="9"/>
        <v>#VALUE!</v>
      </c>
      <c r="S1789" s="66"/>
      <c r="T1789" s="32" t="e">
        <f t="shared" si="10"/>
        <v>#VALUE!</v>
      </c>
      <c r="U1789" s="57"/>
      <c r="V1789" s="58"/>
      <c r="W1789" s="58"/>
      <c r="X1789" s="30" t="e">
        <f t="shared" si="11"/>
        <v>#N/A</v>
      </c>
      <c r="Y1789" s="30" t="e">
        <f t="shared" si="12"/>
        <v>#N/A</v>
      </c>
      <c r="Z1789" s="35" t="e">
        <f t="shared" si="13"/>
        <v>#VALUE!</v>
      </c>
      <c r="AA1789" s="29" t="e">
        <f t="shared" si="14"/>
        <v>#VALUE!</v>
      </c>
      <c r="AB1789" s="36" t="e">
        <f t="shared" si="15"/>
        <v>#VALUE!</v>
      </c>
      <c r="AC1789" s="37" t="b">
        <v>0</v>
      </c>
      <c r="AD1789" s="61" t="str">
        <f t="shared" si="16"/>
        <v>USD</v>
      </c>
      <c r="AE1789" s="37"/>
      <c r="AF1789" s="37" t="e">
        <f t="array" ref="AF1789">INDEX('Deal Info'!D:D, MATCH(A1789,'Deal Info'!A:A, 0))</f>
        <v>#N/A</v>
      </c>
      <c r="AG1789" s="38" t="e">
        <f t="array" ref="AG1789">INDEX('Deal Info'!G:G, MATCH(A1789,'Deal Info'!A:A, 0))</f>
        <v>#N/A</v>
      </c>
    </row>
    <row r="1790" spans="1:33" ht="14.25" hidden="1" x14ac:dyDescent="0.2">
      <c r="A1790" s="18" t="b">
        <f t="array" ref="A1790">IF(G1790='Room Info'!$B$1, INDEX('Room Info'!$A$2:$A2446, MATCH(B1790,'Room Info'!$B$2:$B2446, 0)),IF(G1790='Room Info'!$C$1, INDEX('Room Info'!$A$2:$A2446, MATCH(B1790,'Room Info'!$C$2:$C2446, 0)),IF(G1790='Room Info'!$D$1, INDEX('Room Info'!$A$2:$A2446, MATCH(B1790,'Room Info'!$D$2:$D2446, 0)),IF(G1790='Room Info'!$E$1, INDEX('Room Info'!$A$2:$A2446, MATCH(B1790,'Room Info'!$E$2:$E2446, 0)),IF(G1790='Room Info'!$F$1, INDEX('Room Info'!$A$2:$A2446, MATCH(B1790,'Room Info'!$F$2:$F2446, 0)),IF(G1790='Room Info'!$H$1, INDEX('Room Info'!$A$2:$A2446, MATCH(B1790,'Room Info'!$H$2:$H2446, 0)),IF(G1790='Room Info'!$G$1, INDEX('Room Info'!$A$2:$A2446, MATCH(B1790,'Room Info'!$G$2:$G2446, 0)))))))))</f>
        <v>0</v>
      </c>
      <c r="B1790" s="65"/>
      <c r="C1790" s="111"/>
      <c r="D1790" s="111"/>
      <c r="E1790" s="80"/>
      <c r="F1790" s="96"/>
      <c r="G1790" s="65"/>
      <c r="H1790" s="110"/>
      <c r="I1790" s="110"/>
      <c r="J1790" s="39" t="s">
        <v>334</v>
      </c>
      <c r="K1790" s="112"/>
      <c r="L1790" s="113"/>
      <c r="M1790" s="62"/>
      <c r="N1790" s="28" t="e">
        <f t="shared" si="8"/>
        <v>#VALUE!</v>
      </c>
      <c r="O1790" s="65"/>
      <c r="P1790" s="29" t="s">
        <v>334</v>
      </c>
      <c r="Q1790" s="55"/>
      <c r="R1790" s="31" t="e">
        <f t="shared" si="9"/>
        <v>#VALUE!</v>
      </c>
      <c r="S1790" s="66"/>
      <c r="T1790" s="32" t="e">
        <f t="shared" si="10"/>
        <v>#VALUE!</v>
      </c>
      <c r="U1790" s="57"/>
      <c r="V1790" s="58"/>
      <c r="W1790" s="58"/>
      <c r="X1790" s="30" t="e">
        <f t="shared" si="11"/>
        <v>#N/A</v>
      </c>
      <c r="Y1790" s="30" t="e">
        <f t="shared" si="12"/>
        <v>#N/A</v>
      </c>
      <c r="Z1790" s="35" t="e">
        <f t="shared" si="13"/>
        <v>#VALUE!</v>
      </c>
      <c r="AA1790" s="29" t="e">
        <f t="shared" si="14"/>
        <v>#VALUE!</v>
      </c>
      <c r="AB1790" s="36" t="e">
        <f t="shared" si="15"/>
        <v>#VALUE!</v>
      </c>
      <c r="AC1790" s="37" t="b">
        <v>0</v>
      </c>
      <c r="AD1790" s="61" t="str">
        <f t="shared" si="16"/>
        <v>USD</v>
      </c>
      <c r="AE1790" s="37"/>
      <c r="AF1790" s="37" t="e">
        <f t="array" ref="AF1790">INDEX('Deal Info'!D:D, MATCH(A1790,'Deal Info'!A:A, 0))</f>
        <v>#N/A</v>
      </c>
      <c r="AG1790" s="38" t="e">
        <f t="array" ref="AG1790">INDEX('Deal Info'!G:G, MATCH(A1790,'Deal Info'!A:A, 0))</f>
        <v>#N/A</v>
      </c>
    </row>
    <row r="1791" spans="1:33" ht="14.25" hidden="1" x14ac:dyDescent="0.2">
      <c r="A1791" s="18" t="b">
        <f t="array" ref="A1791">IF(G1791='Room Info'!$B$1, INDEX('Room Info'!$A$2:$A2446, MATCH(B1791,'Room Info'!$B$2:$B2446, 0)),IF(G1791='Room Info'!$C$1, INDEX('Room Info'!$A$2:$A2446, MATCH(B1791,'Room Info'!$C$2:$C2446, 0)),IF(G1791='Room Info'!$D$1, INDEX('Room Info'!$A$2:$A2446, MATCH(B1791,'Room Info'!$D$2:$D2446, 0)),IF(G1791='Room Info'!$E$1, INDEX('Room Info'!$A$2:$A2446, MATCH(B1791,'Room Info'!$E$2:$E2446, 0)),IF(G1791='Room Info'!$F$1, INDEX('Room Info'!$A$2:$A2446, MATCH(B1791,'Room Info'!$F$2:$F2446, 0)),IF(G1791='Room Info'!$H$1, INDEX('Room Info'!$A$2:$A2446, MATCH(B1791,'Room Info'!$H$2:$H2446, 0)),IF(G1791='Room Info'!$G$1, INDEX('Room Info'!$A$2:$A2446, MATCH(B1791,'Room Info'!$G$2:$G2446, 0)))))))))</f>
        <v>0</v>
      </c>
      <c r="B1791" s="65"/>
      <c r="C1791" s="111"/>
      <c r="D1791" s="111"/>
      <c r="E1791" s="80"/>
      <c r="F1791" s="96"/>
      <c r="G1791" s="65"/>
      <c r="H1791" s="110"/>
      <c r="I1791" s="110"/>
      <c r="J1791" s="39" t="s">
        <v>334</v>
      </c>
      <c r="K1791" s="112"/>
      <c r="L1791" s="138"/>
      <c r="M1791" s="62"/>
      <c r="N1791" s="28" t="e">
        <f t="shared" si="8"/>
        <v>#VALUE!</v>
      </c>
      <c r="O1791" s="128"/>
      <c r="P1791" s="29" t="s">
        <v>334</v>
      </c>
      <c r="Q1791" s="55"/>
      <c r="R1791" s="31" t="e">
        <f t="shared" si="9"/>
        <v>#VALUE!</v>
      </c>
      <c r="S1791" s="118"/>
      <c r="T1791" s="32" t="e">
        <f t="shared" si="10"/>
        <v>#VALUE!</v>
      </c>
      <c r="U1791" s="57"/>
      <c r="V1791" s="58"/>
      <c r="W1791" s="58"/>
      <c r="X1791" s="30" t="e">
        <f t="shared" si="11"/>
        <v>#N/A</v>
      </c>
      <c r="Y1791" s="30" t="e">
        <f t="shared" si="12"/>
        <v>#N/A</v>
      </c>
      <c r="Z1791" s="35" t="e">
        <f t="shared" si="13"/>
        <v>#VALUE!</v>
      </c>
      <c r="AA1791" s="29" t="e">
        <f t="shared" si="14"/>
        <v>#VALUE!</v>
      </c>
      <c r="AB1791" s="36" t="e">
        <f t="shared" si="15"/>
        <v>#VALUE!</v>
      </c>
      <c r="AC1791" s="37" t="b">
        <v>0</v>
      </c>
      <c r="AD1791" s="61" t="str">
        <f t="shared" si="16"/>
        <v>USD</v>
      </c>
      <c r="AE1791" s="37"/>
      <c r="AF1791" s="37" t="e">
        <f t="array" ref="AF1791">INDEX('Deal Info'!D:D, MATCH(A1791,'Deal Info'!A:A, 0))</f>
        <v>#N/A</v>
      </c>
      <c r="AG1791" s="38" t="e">
        <f t="array" ref="AG1791">INDEX('Deal Info'!G:G, MATCH(A1791,'Deal Info'!A:A, 0))</f>
        <v>#N/A</v>
      </c>
    </row>
    <row r="1792" spans="1:33" ht="14.25" hidden="1" x14ac:dyDescent="0.2">
      <c r="A1792" s="18" t="b">
        <f t="array" ref="A1792">IF(G1792='Room Info'!$B$1, INDEX('Room Info'!$A$2:$A2446, MATCH(B1792,'Room Info'!$B$2:$B2446, 0)),IF(G1792='Room Info'!$C$1, INDEX('Room Info'!$A$2:$A2446, MATCH(B1792,'Room Info'!$C$2:$C2446, 0)),IF(G1792='Room Info'!$D$1, INDEX('Room Info'!$A$2:$A2446, MATCH(B1792,'Room Info'!$D$2:$D2446, 0)),IF(G1792='Room Info'!$E$1, INDEX('Room Info'!$A$2:$A2446, MATCH(B1792,'Room Info'!$E$2:$E2446, 0)),IF(G1792='Room Info'!$F$1, INDEX('Room Info'!$A$2:$A2446, MATCH(B1792,'Room Info'!$F$2:$F2446, 0)),IF(G1792='Room Info'!$H$1, INDEX('Room Info'!$A$2:$A2446, MATCH(B1792,'Room Info'!$H$2:$H2446, 0)),IF(G1792='Room Info'!$G$1, INDEX('Room Info'!$A$2:$A2446, MATCH(B1792,'Room Info'!$G$2:$G2446, 0)))))))))</f>
        <v>0</v>
      </c>
      <c r="B1792" s="65"/>
      <c r="C1792" s="111"/>
      <c r="D1792" s="111"/>
      <c r="E1792" s="80"/>
      <c r="F1792" s="96"/>
      <c r="G1792" s="65"/>
      <c r="H1792" s="110"/>
      <c r="I1792" s="110"/>
      <c r="J1792" s="39" t="s">
        <v>334</v>
      </c>
      <c r="K1792" s="112"/>
      <c r="L1792" s="138"/>
      <c r="M1792" s="62"/>
      <c r="N1792" s="28" t="e">
        <f t="shared" si="8"/>
        <v>#VALUE!</v>
      </c>
      <c r="O1792" s="128"/>
      <c r="P1792" s="29" t="s">
        <v>334</v>
      </c>
      <c r="Q1792" s="55"/>
      <c r="R1792" s="31" t="e">
        <f t="shared" si="9"/>
        <v>#VALUE!</v>
      </c>
      <c r="S1792" s="118"/>
      <c r="T1792" s="32" t="e">
        <f t="shared" si="10"/>
        <v>#VALUE!</v>
      </c>
      <c r="U1792" s="57"/>
      <c r="V1792" s="58"/>
      <c r="W1792" s="58"/>
      <c r="X1792" s="30" t="e">
        <f t="shared" si="11"/>
        <v>#N/A</v>
      </c>
      <c r="Y1792" s="30" t="e">
        <f t="shared" si="12"/>
        <v>#N/A</v>
      </c>
      <c r="Z1792" s="35" t="e">
        <f t="shared" si="13"/>
        <v>#VALUE!</v>
      </c>
      <c r="AA1792" s="29" t="e">
        <f t="shared" si="14"/>
        <v>#VALUE!</v>
      </c>
      <c r="AB1792" s="36" t="e">
        <f t="shared" si="15"/>
        <v>#VALUE!</v>
      </c>
      <c r="AC1792" s="37" t="b">
        <v>0</v>
      </c>
      <c r="AD1792" s="61" t="str">
        <f t="shared" si="16"/>
        <v>USD</v>
      </c>
      <c r="AE1792" s="37"/>
      <c r="AF1792" s="37" t="e">
        <f t="array" ref="AF1792">INDEX('Deal Info'!D:D, MATCH(A1792,'Deal Info'!A:A, 0))</f>
        <v>#N/A</v>
      </c>
      <c r="AG1792" s="38" t="e">
        <f t="array" ref="AG1792">INDEX('Deal Info'!G:G, MATCH(A1792,'Deal Info'!A:A, 0))</f>
        <v>#N/A</v>
      </c>
    </row>
    <row r="1793" spans="1:33" ht="14.25" hidden="1" x14ac:dyDescent="0.2">
      <c r="A1793" s="18" t="b">
        <f t="array" ref="A1793">IF(G1793='Room Info'!$B$1, INDEX('Room Info'!$A$2:$A2446, MATCH(B1793,'Room Info'!$B$2:$B2446, 0)),IF(G1793='Room Info'!$C$1, INDEX('Room Info'!$A$2:$A2446, MATCH(B1793,'Room Info'!$C$2:$C2446, 0)),IF(G1793='Room Info'!$D$1, INDEX('Room Info'!$A$2:$A2446, MATCH(B1793,'Room Info'!$D$2:$D2446, 0)),IF(G1793='Room Info'!$E$1, INDEX('Room Info'!$A$2:$A2446, MATCH(B1793,'Room Info'!$E$2:$E2446, 0)),IF(G1793='Room Info'!$F$1, INDEX('Room Info'!$A$2:$A2446, MATCH(B1793,'Room Info'!$F$2:$F2446, 0)),IF(G1793='Room Info'!$H$1, INDEX('Room Info'!$A$2:$A2446, MATCH(B1793,'Room Info'!$H$2:$H2446, 0)),IF(G1793='Room Info'!$G$1, INDEX('Room Info'!$A$2:$A2446, MATCH(B1793,'Room Info'!$G$2:$G2446, 0)))))))))</f>
        <v>0</v>
      </c>
      <c r="B1793" s="65"/>
      <c r="C1793" s="111"/>
      <c r="D1793" s="111"/>
      <c r="E1793" s="80"/>
      <c r="F1793" s="96"/>
      <c r="G1793" s="65"/>
      <c r="H1793" s="110"/>
      <c r="I1793" s="110"/>
      <c r="J1793" s="39" t="s">
        <v>334</v>
      </c>
      <c r="K1793" s="112"/>
      <c r="L1793" s="113"/>
      <c r="M1793" s="62"/>
      <c r="N1793" s="28" t="e">
        <f t="shared" si="8"/>
        <v>#VALUE!</v>
      </c>
      <c r="O1793" s="65"/>
      <c r="P1793" s="29" t="s">
        <v>334</v>
      </c>
      <c r="Q1793" s="55"/>
      <c r="R1793" s="31" t="e">
        <f t="shared" si="9"/>
        <v>#VALUE!</v>
      </c>
      <c r="S1793" s="66"/>
      <c r="T1793" s="32" t="e">
        <f t="shared" si="10"/>
        <v>#VALUE!</v>
      </c>
      <c r="U1793" s="57"/>
      <c r="V1793" s="58"/>
      <c r="W1793" s="58"/>
      <c r="X1793" s="30" t="e">
        <f t="shared" si="11"/>
        <v>#N/A</v>
      </c>
      <c r="Y1793" s="30" t="e">
        <f t="shared" si="12"/>
        <v>#N/A</v>
      </c>
      <c r="Z1793" s="35" t="e">
        <f t="shared" si="13"/>
        <v>#VALUE!</v>
      </c>
      <c r="AA1793" s="29" t="e">
        <f t="shared" si="14"/>
        <v>#VALUE!</v>
      </c>
      <c r="AB1793" s="36" t="e">
        <f t="shared" si="15"/>
        <v>#VALUE!</v>
      </c>
      <c r="AC1793" s="37" t="b">
        <v>0</v>
      </c>
      <c r="AD1793" s="61" t="str">
        <f t="shared" si="16"/>
        <v>USD</v>
      </c>
      <c r="AE1793" s="37"/>
      <c r="AF1793" s="37" t="e">
        <f t="array" ref="AF1793">INDEX('Deal Info'!D:D, MATCH(A1793,'Deal Info'!A:A, 0))</f>
        <v>#N/A</v>
      </c>
      <c r="AG1793" s="38" t="e">
        <f t="array" ref="AG1793">INDEX('Deal Info'!G:G, MATCH(A1793,'Deal Info'!A:A, 0))</f>
        <v>#N/A</v>
      </c>
    </row>
    <row r="1794" spans="1:33" ht="14.25" hidden="1" x14ac:dyDescent="0.2">
      <c r="A1794" s="18" t="b">
        <f t="array" ref="A1794">IF(G1794='Room Info'!$B$1, INDEX('Room Info'!$A$2:$A2446, MATCH(B1794,'Room Info'!$B$2:$B2446, 0)),IF(G1794='Room Info'!$C$1, INDEX('Room Info'!$A$2:$A2446, MATCH(B1794,'Room Info'!$C$2:$C2446, 0)),IF(G1794='Room Info'!$D$1, INDEX('Room Info'!$A$2:$A2446, MATCH(B1794,'Room Info'!$D$2:$D2446, 0)),IF(G1794='Room Info'!$E$1, INDEX('Room Info'!$A$2:$A2446, MATCH(B1794,'Room Info'!$E$2:$E2446, 0)),IF(G1794='Room Info'!$F$1, INDEX('Room Info'!$A$2:$A2446, MATCH(B1794,'Room Info'!$F$2:$F2446, 0)),IF(G1794='Room Info'!$H$1, INDEX('Room Info'!$A$2:$A2446, MATCH(B1794,'Room Info'!$H$2:$H2446, 0)),IF(G1794='Room Info'!$G$1, INDEX('Room Info'!$A$2:$A2446, MATCH(B1794,'Room Info'!$G$2:$G2446, 0)))))))))</f>
        <v>0</v>
      </c>
      <c r="B1794" s="65"/>
      <c r="C1794" s="111"/>
      <c r="D1794" s="111"/>
      <c r="E1794" s="80"/>
      <c r="F1794" s="96"/>
      <c r="G1794" s="65"/>
      <c r="H1794" s="110"/>
      <c r="I1794" s="110"/>
      <c r="J1794" s="39" t="s">
        <v>334</v>
      </c>
      <c r="K1794" s="112"/>
      <c r="L1794" s="113"/>
      <c r="M1794" s="62"/>
      <c r="N1794" s="28" t="e">
        <f t="shared" si="8"/>
        <v>#VALUE!</v>
      </c>
      <c r="O1794" s="65"/>
      <c r="P1794" s="29" t="s">
        <v>334</v>
      </c>
      <c r="Q1794" s="55"/>
      <c r="R1794" s="31" t="e">
        <f t="shared" si="9"/>
        <v>#VALUE!</v>
      </c>
      <c r="S1794" s="66"/>
      <c r="T1794" s="32" t="e">
        <f t="shared" si="10"/>
        <v>#VALUE!</v>
      </c>
      <c r="U1794" s="57"/>
      <c r="V1794" s="58"/>
      <c r="W1794" s="58"/>
      <c r="X1794" s="30" t="e">
        <f t="shared" si="11"/>
        <v>#N/A</v>
      </c>
      <c r="Y1794" s="30" t="e">
        <f t="shared" si="12"/>
        <v>#N/A</v>
      </c>
      <c r="Z1794" s="35" t="e">
        <f t="shared" si="13"/>
        <v>#VALUE!</v>
      </c>
      <c r="AA1794" s="29" t="e">
        <f t="shared" si="14"/>
        <v>#VALUE!</v>
      </c>
      <c r="AB1794" s="36" t="e">
        <f t="shared" si="15"/>
        <v>#VALUE!</v>
      </c>
      <c r="AC1794" s="37" t="b">
        <v>0</v>
      </c>
      <c r="AD1794" s="61" t="str">
        <f t="shared" si="16"/>
        <v>USD</v>
      </c>
      <c r="AE1794" s="37"/>
      <c r="AF1794" s="37" t="e">
        <f t="array" ref="AF1794">INDEX('Deal Info'!D:D, MATCH(A1794,'Deal Info'!A:A, 0))</f>
        <v>#N/A</v>
      </c>
      <c r="AG1794" s="38" t="e">
        <f t="array" ref="AG1794">INDEX('Deal Info'!G:G, MATCH(A1794,'Deal Info'!A:A, 0))</f>
        <v>#N/A</v>
      </c>
    </row>
    <row r="1795" spans="1:33" ht="14.25" hidden="1" x14ac:dyDescent="0.2">
      <c r="A1795" s="18" t="b">
        <f t="array" ref="A1795">IF(G1795='Room Info'!$B$1, INDEX('Room Info'!$A$2:$A2446, MATCH(B1795,'Room Info'!$B$2:$B2446, 0)),IF(G1795='Room Info'!$C$1, INDEX('Room Info'!$A$2:$A2446, MATCH(B1795,'Room Info'!$C$2:$C2446, 0)),IF(G1795='Room Info'!$D$1, INDEX('Room Info'!$A$2:$A2446, MATCH(B1795,'Room Info'!$D$2:$D2446, 0)),IF(G1795='Room Info'!$E$1, INDEX('Room Info'!$A$2:$A2446, MATCH(B1795,'Room Info'!$E$2:$E2446, 0)),IF(G1795='Room Info'!$F$1, INDEX('Room Info'!$A$2:$A2446, MATCH(B1795,'Room Info'!$F$2:$F2446, 0)),IF(G1795='Room Info'!$H$1, INDEX('Room Info'!$A$2:$A2446, MATCH(B1795,'Room Info'!$H$2:$H2446, 0)),IF(G1795='Room Info'!$G$1, INDEX('Room Info'!$A$2:$A2446, MATCH(B1795,'Room Info'!$G$2:$G2446, 0)))))))))</f>
        <v>0</v>
      </c>
      <c r="B1795" s="65"/>
      <c r="C1795" s="111"/>
      <c r="D1795" s="111"/>
      <c r="E1795" s="80"/>
      <c r="F1795" s="96"/>
      <c r="G1795" s="65"/>
      <c r="H1795" s="110"/>
      <c r="I1795" s="110"/>
      <c r="J1795" s="39" t="s">
        <v>334</v>
      </c>
      <c r="K1795" s="112"/>
      <c r="L1795" s="113"/>
      <c r="M1795" s="62"/>
      <c r="N1795" s="28" t="e">
        <f t="shared" si="8"/>
        <v>#VALUE!</v>
      </c>
      <c r="O1795" s="65"/>
      <c r="P1795" s="29" t="s">
        <v>334</v>
      </c>
      <c r="Q1795" s="55"/>
      <c r="R1795" s="31" t="e">
        <f t="shared" si="9"/>
        <v>#VALUE!</v>
      </c>
      <c r="S1795" s="66"/>
      <c r="T1795" s="32" t="e">
        <f t="shared" si="10"/>
        <v>#VALUE!</v>
      </c>
      <c r="U1795" s="57"/>
      <c r="V1795" s="58"/>
      <c r="W1795" s="58"/>
      <c r="X1795" s="30" t="e">
        <f t="shared" si="11"/>
        <v>#N/A</v>
      </c>
      <c r="Y1795" s="30" t="e">
        <f t="shared" si="12"/>
        <v>#N/A</v>
      </c>
      <c r="Z1795" s="35" t="e">
        <f t="shared" si="13"/>
        <v>#VALUE!</v>
      </c>
      <c r="AA1795" s="29" t="e">
        <f t="shared" si="14"/>
        <v>#VALUE!</v>
      </c>
      <c r="AB1795" s="36" t="e">
        <f t="shared" si="15"/>
        <v>#VALUE!</v>
      </c>
      <c r="AC1795" s="37" t="b">
        <v>0</v>
      </c>
      <c r="AD1795" s="61" t="str">
        <f t="shared" si="16"/>
        <v>USD</v>
      </c>
      <c r="AE1795" s="37"/>
      <c r="AF1795" s="37" t="e">
        <f t="array" ref="AF1795">INDEX('Deal Info'!D:D, MATCH(A1795,'Deal Info'!A:A, 0))</f>
        <v>#N/A</v>
      </c>
      <c r="AG1795" s="38" t="e">
        <f t="array" ref="AG1795">INDEX('Deal Info'!G:G, MATCH(A1795,'Deal Info'!A:A, 0))</f>
        <v>#N/A</v>
      </c>
    </row>
    <row r="1796" spans="1:33" ht="14.25" hidden="1" x14ac:dyDescent="0.2">
      <c r="A1796" s="18" t="b">
        <f t="array" ref="A1796">IF(G1796='Room Info'!$B$1, INDEX('Room Info'!$A$2:$A2446, MATCH(B1796,'Room Info'!$B$2:$B2446, 0)),IF(G1796='Room Info'!$C$1, INDEX('Room Info'!$A$2:$A2446, MATCH(B1796,'Room Info'!$C$2:$C2446, 0)),IF(G1796='Room Info'!$D$1, INDEX('Room Info'!$A$2:$A2446, MATCH(B1796,'Room Info'!$D$2:$D2446, 0)),IF(G1796='Room Info'!$E$1, INDEX('Room Info'!$A$2:$A2446, MATCH(B1796,'Room Info'!$E$2:$E2446, 0)),IF(G1796='Room Info'!$F$1, INDEX('Room Info'!$A$2:$A2446, MATCH(B1796,'Room Info'!$F$2:$F2446, 0)),IF(G1796='Room Info'!$H$1, INDEX('Room Info'!$A$2:$A2446, MATCH(B1796,'Room Info'!$H$2:$H2446, 0)),IF(G1796='Room Info'!$G$1, INDEX('Room Info'!$A$2:$A2446, MATCH(B1796,'Room Info'!$G$2:$G2446, 0)))))))))</f>
        <v>0</v>
      </c>
      <c r="B1796" s="65"/>
      <c r="C1796" s="111"/>
      <c r="D1796" s="111"/>
      <c r="E1796" s="80"/>
      <c r="F1796" s="96"/>
      <c r="G1796" s="65"/>
      <c r="H1796" s="110"/>
      <c r="I1796" s="110"/>
      <c r="J1796" s="39" t="s">
        <v>334</v>
      </c>
      <c r="K1796" s="112"/>
      <c r="L1796" s="113"/>
      <c r="M1796" s="62"/>
      <c r="N1796" s="28" t="e">
        <f t="shared" si="8"/>
        <v>#VALUE!</v>
      </c>
      <c r="O1796" s="65"/>
      <c r="P1796" s="29" t="s">
        <v>334</v>
      </c>
      <c r="Q1796" s="55"/>
      <c r="R1796" s="31" t="e">
        <f t="shared" si="9"/>
        <v>#VALUE!</v>
      </c>
      <c r="S1796" s="66"/>
      <c r="T1796" s="32" t="e">
        <f t="shared" si="10"/>
        <v>#VALUE!</v>
      </c>
      <c r="U1796" s="57"/>
      <c r="V1796" s="58"/>
      <c r="W1796" s="58"/>
      <c r="X1796" s="30" t="e">
        <f t="shared" si="11"/>
        <v>#N/A</v>
      </c>
      <c r="Y1796" s="30" t="e">
        <f t="shared" si="12"/>
        <v>#N/A</v>
      </c>
      <c r="Z1796" s="35" t="e">
        <f t="shared" si="13"/>
        <v>#VALUE!</v>
      </c>
      <c r="AA1796" s="29" t="e">
        <f t="shared" si="14"/>
        <v>#VALUE!</v>
      </c>
      <c r="AB1796" s="36" t="e">
        <f t="shared" si="15"/>
        <v>#VALUE!</v>
      </c>
      <c r="AC1796" s="37" t="b">
        <v>0</v>
      </c>
      <c r="AD1796" s="61" t="str">
        <f t="shared" si="16"/>
        <v>USD</v>
      </c>
      <c r="AE1796" s="37"/>
      <c r="AF1796" s="37" t="e">
        <f t="array" ref="AF1796">INDEX('Deal Info'!D:D, MATCH(A1796,'Deal Info'!A:A, 0))</f>
        <v>#N/A</v>
      </c>
      <c r="AG1796" s="38" t="e">
        <f t="array" ref="AG1796">INDEX('Deal Info'!G:G, MATCH(A1796,'Deal Info'!A:A, 0))</f>
        <v>#N/A</v>
      </c>
    </row>
    <row r="1797" spans="1:33" ht="14.25" hidden="1" x14ac:dyDescent="0.2">
      <c r="A1797" s="18" t="b">
        <f t="array" ref="A1797">IF(G1797='Room Info'!$B$1, INDEX('Room Info'!$A$2:$A2446, MATCH(B1797,'Room Info'!$B$2:$B2446, 0)),IF(G1797='Room Info'!$C$1, INDEX('Room Info'!$A$2:$A2446, MATCH(B1797,'Room Info'!$C$2:$C2446, 0)),IF(G1797='Room Info'!$D$1, INDEX('Room Info'!$A$2:$A2446, MATCH(B1797,'Room Info'!$D$2:$D2446, 0)),IF(G1797='Room Info'!$E$1, INDEX('Room Info'!$A$2:$A2446, MATCH(B1797,'Room Info'!$E$2:$E2446, 0)),IF(G1797='Room Info'!$F$1, INDEX('Room Info'!$A$2:$A2446, MATCH(B1797,'Room Info'!$F$2:$F2446, 0)),IF(G1797='Room Info'!$H$1, INDEX('Room Info'!$A$2:$A2446, MATCH(B1797,'Room Info'!$H$2:$H2446, 0)),IF(G1797='Room Info'!$G$1, INDEX('Room Info'!$A$2:$A2446, MATCH(B1797,'Room Info'!$G$2:$G2446, 0)))))))))</f>
        <v>0</v>
      </c>
      <c r="B1797" s="65"/>
      <c r="C1797" s="111"/>
      <c r="D1797" s="111"/>
      <c r="E1797" s="80"/>
      <c r="F1797" s="96"/>
      <c r="G1797" s="65"/>
      <c r="H1797" s="110"/>
      <c r="I1797" s="110"/>
      <c r="J1797" s="39" t="s">
        <v>334</v>
      </c>
      <c r="K1797" s="112"/>
      <c r="L1797" s="113"/>
      <c r="M1797" s="62"/>
      <c r="N1797" s="28" t="e">
        <f t="shared" si="8"/>
        <v>#VALUE!</v>
      </c>
      <c r="O1797" s="65"/>
      <c r="P1797" s="29" t="s">
        <v>334</v>
      </c>
      <c r="Q1797" s="55"/>
      <c r="R1797" s="31" t="e">
        <f t="shared" si="9"/>
        <v>#VALUE!</v>
      </c>
      <c r="S1797" s="66"/>
      <c r="T1797" s="32" t="e">
        <f t="shared" si="10"/>
        <v>#VALUE!</v>
      </c>
      <c r="U1797" s="57"/>
      <c r="V1797" s="58"/>
      <c r="W1797" s="58"/>
      <c r="X1797" s="30" t="e">
        <f t="shared" si="11"/>
        <v>#N/A</v>
      </c>
      <c r="Y1797" s="30" t="e">
        <f t="shared" si="12"/>
        <v>#N/A</v>
      </c>
      <c r="Z1797" s="35" t="e">
        <f t="shared" si="13"/>
        <v>#VALUE!</v>
      </c>
      <c r="AA1797" s="29" t="e">
        <f t="shared" si="14"/>
        <v>#VALUE!</v>
      </c>
      <c r="AB1797" s="36" t="e">
        <f t="shared" si="15"/>
        <v>#VALUE!</v>
      </c>
      <c r="AC1797" s="37" t="b">
        <v>0</v>
      </c>
      <c r="AD1797" s="61" t="str">
        <f t="shared" si="16"/>
        <v>USD</v>
      </c>
      <c r="AE1797" s="37"/>
      <c r="AF1797" s="37" t="e">
        <f t="array" ref="AF1797">INDEX('Deal Info'!D:D, MATCH(A1797,'Deal Info'!A:A, 0))</f>
        <v>#N/A</v>
      </c>
      <c r="AG1797" s="38" t="e">
        <f t="array" ref="AG1797">INDEX('Deal Info'!G:G, MATCH(A1797,'Deal Info'!A:A, 0))</f>
        <v>#N/A</v>
      </c>
    </row>
    <row r="1798" spans="1:33" ht="14.25" hidden="1" x14ac:dyDescent="0.2">
      <c r="A1798" s="18" t="b">
        <f t="array" ref="A1798">IF(G1798='Room Info'!$B$1, INDEX('Room Info'!$A$2:$A2446, MATCH(B1798,'Room Info'!$B$2:$B2446, 0)),IF(G1798='Room Info'!$C$1, INDEX('Room Info'!$A$2:$A2446, MATCH(B1798,'Room Info'!$C$2:$C2446, 0)),IF(G1798='Room Info'!$D$1, INDEX('Room Info'!$A$2:$A2446, MATCH(B1798,'Room Info'!$D$2:$D2446, 0)),IF(G1798='Room Info'!$E$1, INDEX('Room Info'!$A$2:$A2446, MATCH(B1798,'Room Info'!$E$2:$E2446, 0)),IF(G1798='Room Info'!$F$1, INDEX('Room Info'!$A$2:$A2446, MATCH(B1798,'Room Info'!$F$2:$F2446, 0)),IF(G1798='Room Info'!$H$1, INDEX('Room Info'!$A$2:$A2446, MATCH(B1798,'Room Info'!$H$2:$H2446, 0)),IF(G1798='Room Info'!$G$1, INDEX('Room Info'!$A$2:$A2446, MATCH(B1798,'Room Info'!$G$2:$G2446, 0)))))))))</f>
        <v>0</v>
      </c>
      <c r="B1798" s="96"/>
      <c r="C1798" s="111"/>
      <c r="D1798" s="111"/>
      <c r="E1798" s="80"/>
      <c r="F1798" s="133"/>
      <c r="G1798" s="96"/>
      <c r="H1798" s="110"/>
      <c r="I1798" s="110"/>
      <c r="J1798" s="39" t="s">
        <v>334</v>
      </c>
      <c r="K1798" s="112"/>
      <c r="L1798" s="113"/>
      <c r="M1798" s="62"/>
      <c r="N1798" s="28" t="e">
        <f t="shared" si="8"/>
        <v>#VALUE!</v>
      </c>
      <c r="O1798" s="65"/>
      <c r="P1798" s="29" t="s">
        <v>334</v>
      </c>
      <c r="Q1798" s="55"/>
      <c r="R1798" s="31" t="e">
        <f t="shared" si="9"/>
        <v>#VALUE!</v>
      </c>
      <c r="S1798" s="66"/>
      <c r="T1798" s="32" t="e">
        <f t="shared" si="10"/>
        <v>#VALUE!</v>
      </c>
      <c r="U1798" s="57"/>
      <c r="V1798" s="58"/>
      <c r="W1798" s="58"/>
      <c r="X1798" s="30" t="e">
        <f t="shared" si="11"/>
        <v>#N/A</v>
      </c>
      <c r="Y1798" s="30" t="e">
        <f t="shared" si="12"/>
        <v>#N/A</v>
      </c>
      <c r="Z1798" s="35" t="e">
        <f t="shared" si="13"/>
        <v>#VALUE!</v>
      </c>
      <c r="AA1798" s="29" t="e">
        <f t="shared" si="14"/>
        <v>#VALUE!</v>
      </c>
      <c r="AB1798" s="36" t="e">
        <f t="shared" si="15"/>
        <v>#VALUE!</v>
      </c>
      <c r="AC1798" s="37" t="b">
        <v>0</v>
      </c>
      <c r="AD1798" s="61" t="str">
        <f t="shared" si="16"/>
        <v>USD</v>
      </c>
      <c r="AE1798" s="37"/>
      <c r="AF1798" s="37" t="e">
        <f t="array" ref="AF1798">INDEX('Deal Info'!D:D, MATCH(A1798,'Deal Info'!A:A, 0))</f>
        <v>#N/A</v>
      </c>
      <c r="AG1798" s="38" t="e">
        <f t="array" ref="AG1798">INDEX('Deal Info'!G:G, MATCH(A1798,'Deal Info'!A:A, 0))</f>
        <v>#N/A</v>
      </c>
    </row>
    <row r="1799" spans="1:33" ht="14.25" hidden="1" x14ac:dyDescent="0.2">
      <c r="A1799" s="18" t="b">
        <f t="array" ref="A1799">IF(G1799='Room Info'!$B$1, INDEX('Room Info'!$A$2:$A2446, MATCH(B1799,'Room Info'!$B$2:$B2446, 0)),IF(G1799='Room Info'!$C$1, INDEX('Room Info'!$A$2:$A2446, MATCH(B1799,'Room Info'!$C$2:$C2446, 0)),IF(G1799='Room Info'!$D$1, INDEX('Room Info'!$A$2:$A2446, MATCH(B1799,'Room Info'!$D$2:$D2446, 0)),IF(G1799='Room Info'!$E$1, INDEX('Room Info'!$A$2:$A2446, MATCH(B1799,'Room Info'!$E$2:$E2446, 0)),IF(G1799='Room Info'!$F$1, INDEX('Room Info'!$A$2:$A2446, MATCH(B1799,'Room Info'!$F$2:$F2446, 0)),IF(G1799='Room Info'!$H$1, INDEX('Room Info'!$A$2:$A2446, MATCH(B1799,'Room Info'!$H$2:$H2446, 0)),IF(G1799='Room Info'!$G$1, INDEX('Room Info'!$A$2:$A2446, MATCH(B1799,'Room Info'!$G$2:$G2446, 0)))))))))</f>
        <v>0</v>
      </c>
      <c r="B1799" s="96"/>
      <c r="C1799" s="111"/>
      <c r="D1799" s="111"/>
      <c r="E1799" s="80"/>
      <c r="F1799" s="133"/>
      <c r="G1799" s="96"/>
      <c r="H1799" s="110"/>
      <c r="I1799" s="110"/>
      <c r="J1799" s="39" t="s">
        <v>334</v>
      </c>
      <c r="K1799" s="112"/>
      <c r="L1799" s="113"/>
      <c r="M1799" s="62"/>
      <c r="N1799" s="28" t="e">
        <f t="shared" si="8"/>
        <v>#VALUE!</v>
      </c>
      <c r="O1799" s="65"/>
      <c r="P1799" s="29" t="s">
        <v>334</v>
      </c>
      <c r="Q1799" s="55"/>
      <c r="R1799" s="31" t="e">
        <f t="shared" si="9"/>
        <v>#VALUE!</v>
      </c>
      <c r="S1799" s="66"/>
      <c r="T1799" s="32" t="e">
        <f t="shared" si="10"/>
        <v>#VALUE!</v>
      </c>
      <c r="U1799" s="57"/>
      <c r="V1799" s="58"/>
      <c r="W1799" s="58"/>
      <c r="X1799" s="30" t="e">
        <f t="shared" si="11"/>
        <v>#N/A</v>
      </c>
      <c r="Y1799" s="30" t="e">
        <f t="shared" si="12"/>
        <v>#N/A</v>
      </c>
      <c r="Z1799" s="35" t="e">
        <f t="shared" si="13"/>
        <v>#VALUE!</v>
      </c>
      <c r="AA1799" s="29" t="e">
        <f t="shared" si="14"/>
        <v>#VALUE!</v>
      </c>
      <c r="AB1799" s="36" t="e">
        <f t="shared" si="15"/>
        <v>#VALUE!</v>
      </c>
      <c r="AC1799" s="37" t="b">
        <v>0</v>
      </c>
      <c r="AD1799" s="61" t="str">
        <f t="shared" si="16"/>
        <v>USD</v>
      </c>
      <c r="AE1799" s="37"/>
      <c r="AF1799" s="37" t="e">
        <f t="array" ref="AF1799">INDEX('Deal Info'!D:D, MATCH(A1799,'Deal Info'!A:A, 0))</f>
        <v>#N/A</v>
      </c>
      <c r="AG1799" s="38" t="e">
        <f t="array" ref="AG1799">INDEX('Deal Info'!G:G, MATCH(A1799,'Deal Info'!A:A, 0))</f>
        <v>#N/A</v>
      </c>
    </row>
    <row r="1800" spans="1:33" ht="14.25" hidden="1" x14ac:dyDescent="0.2">
      <c r="A1800" s="18" t="b">
        <f t="array" ref="A1800">IF(G1800='Room Info'!$B$1, INDEX('Room Info'!$A$2:$A2446, MATCH(B1800,'Room Info'!$B$2:$B2446, 0)),IF(G1800='Room Info'!$C$1, INDEX('Room Info'!$A$2:$A2446, MATCH(B1800,'Room Info'!$C$2:$C2446, 0)),IF(G1800='Room Info'!$D$1, INDEX('Room Info'!$A$2:$A2446, MATCH(B1800,'Room Info'!$D$2:$D2446, 0)),IF(G1800='Room Info'!$E$1, INDEX('Room Info'!$A$2:$A2446, MATCH(B1800,'Room Info'!$E$2:$E2446, 0)),IF(G1800='Room Info'!$F$1, INDEX('Room Info'!$A$2:$A2446, MATCH(B1800,'Room Info'!$F$2:$F2446, 0)),IF(G1800='Room Info'!$H$1, INDEX('Room Info'!$A$2:$A2446, MATCH(B1800,'Room Info'!$H$2:$H2446, 0)),IF(G1800='Room Info'!$G$1, INDEX('Room Info'!$A$2:$A2446, MATCH(B1800,'Room Info'!$G$2:$G2446, 0)))))))))</f>
        <v>0</v>
      </c>
      <c r="B1800" s="96"/>
      <c r="C1800" s="111"/>
      <c r="D1800" s="111"/>
      <c r="E1800" s="80"/>
      <c r="F1800" s="133"/>
      <c r="G1800" s="96"/>
      <c r="H1800" s="110"/>
      <c r="I1800" s="110"/>
      <c r="J1800" s="39" t="s">
        <v>334</v>
      </c>
      <c r="K1800" s="112"/>
      <c r="L1800" s="113"/>
      <c r="M1800" s="62"/>
      <c r="N1800" s="28" t="e">
        <f t="shared" si="8"/>
        <v>#VALUE!</v>
      </c>
      <c r="O1800" s="65"/>
      <c r="P1800" s="29" t="s">
        <v>334</v>
      </c>
      <c r="Q1800" s="55"/>
      <c r="R1800" s="31" t="e">
        <f t="shared" si="9"/>
        <v>#VALUE!</v>
      </c>
      <c r="S1800" s="66"/>
      <c r="T1800" s="32" t="e">
        <f t="shared" si="10"/>
        <v>#VALUE!</v>
      </c>
      <c r="U1800" s="57"/>
      <c r="V1800" s="58"/>
      <c r="W1800" s="58"/>
      <c r="X1800" s="30" t="e">
        <f t="shared" si="11"/>
        <v>#N/A</v>
      </c>
      <c r="Y1800" s="30" t="e">
        <f t="shared" si="12"/>
        <v>#N/A</v>
      </c>
      <c r="Z1800" s="35" t="e">
        <f t="shared" si="13"/>
        <v>#VALUE!</v>
      </c>
      <c r="AA1800" s="29" t="e">
        <f t="shared" si="14"/>
        <v>#VALUE!</v>
      </c>
      <c r="AB1800" s="36" t="e">
        <f t="shared" si="15"/>
        <v>#VALUE!</v>
      </c>
      <c r="AC1800" s="37" t="b">
        <v>0</v>
      </c>
      <c r="AD1800" s="61" t="str">
        <f t="shared" si="16"/>
        <v>USD</v>
      </c>
      <c r="AE1800" s="37"/>
      <c r="AF1800" s="37" t="e">
        <f t="array" ref="AF1800">INDEX('Deal Info'!D:D, MATCH(A1800,'Deal Info'!A:A, 0))</f>
        <v>#N/A</v>
      </c>
      <c r="AG1800" s="38" t="e">
        <f t="array" ref="AG1800">INDEX('Deal Info'!G:G, MATCH(A1800,'Deal Info'!A:A, 0))</f>
        <v>#N/A</v>
      </c>
    </row>
    <row r="1801" spans="1:33" ht="14.25" hidden="1" x14ac:dyDescent="0.2">
      <c r="A1801" s="18" t="b">
        <f t="array" ref="A1801">IF(G1801='Room Info'!$B$1, INDEX('Room Info'!$A$2:$A2446, MATCH(B1801,'Room Info'!$B$2:$B2446, 0)),IF(G1801='Room Info'!$C$1, INDEX('Room Info'!$A$2:$A2446, MATCH(B1801,'Room Info'!$C$2:$C2446, 0)),IF(G1801='Room Info'!$D$1, INDEX('Room Info'!$A$2:$A2446, MATCH(B1801,'Room Info'!$D$2:$D2446, 0)),IF(G1801='Room Info'!$E$1, INDEX('Room Info'!$A$2:$A2446, MATCH(B1801,'Room Info'!$E$2:$E2446, 0)),IF(G1801='Room Info'!$F$1, INDEX('Room Info'!$A$2:$A2446, MATCH(B1801,'Room Info'!$F$2:$F2446, 0)),IF(G1801='Room Info'!$H$1, INDEX('Room Info'!$A$2:$A2446, MATCH(B1801,'Room Info'!$H$2:$H2446, 0)),IF(G1801='Room Info'!$G$1, INDEX('Room Info'!$A$2:$A2446, MATCH(B1801,'Room Info'!$G$2:$G2446, 0)))))))))</f>
        <v>0</v>
      </c>
      <c r="B1801" s="96"/>
      <c r="C1801" s="111"/>
      <c r="D1801" s="111"/>
      <c r="E1801" s="80"/>
      <c r="F1801" s="133"/>
      <c r="G1801" s="96"/>
      <c r="H1801" s="110"/>
      <c r="I1801" s="110"/>
      <c r="J1801" s="39" t="s">
        <v>334</v>
      </c>
      <c r="K1801" s="112"/>
      <c r="L1801" s="113"/>
      <c r="M1801" s="62"/>
      <c r="N1801" s="28" t="e">
        <f t="shared" si="8"/>
        <v>#VALUE!</v>
      </c>
      <c r="O1801" s="65"/>
      <c r="P1801" s="29" t="s">
        <v>334</v>
      </c>
      <c r="Q1801" s="55"/>
      <c r="R1801" s="31" t="e">
        <f t="shared" si="9"/>
        <v>#VALUE!</v>
      </c>
      <c r="S1801" s="66"/>
      <c r="T1801" s="32" t="e">
        <f t="shared" si="10"/>
        <v>#VALUE!</v>
      </c>
      <c r="U1801" s="57"/>
      <c r="V1801" s="58"/>
      <c r="W1801" s="58"/>
      <c r="X1801" s="30" t="e">
        <f t="shared" si="11"/>
        <v>#N/A</v>
      </c>
      <c r="Y1801" s="30" t="e">
        <f t="shared" si="12"/>
        <v>#N/A</v>
      </c>
      <c r="Z1801" s="35" t="e">
        <f t="shared" si="13"/>
        <v>#VALUE!</v>
      </c>
      <c r="AA1801" s="29" t="e">
        <f t="shared" si="14"/>
        <v>#VALUE!</v>
      </c>
      <c r="AB1801" s="36" t="e">
        <f t="shared" si="15"/>
        <v>#VALUE!</v>
      </c>
      <c r="AC1801" s="37" t="b">
        <v>0</v>
      </c>
      <c r="AD1801" s="61" t="str">
        <f t="shared" si="16"/>
        <v>USD</v>
      </c>
      <c r="AE1801" s="37"/>
      <c r="AF1801" s="37" t="e">
        <f t="array" ref="AF1801">INDEX('Deal Info'!D:D, MATCH(A1801,'Deal Info'!A:A, 0))</f>
        <v>#N/A</v>
      </c>
      <c r="AG1801" s="38" t="e">
        <f t="array" ref="AG1801">INDEX('Deal Info'!G:G, MATCH(A1801,'Deal Info'!A:A, 0))</f>
        <v>#N/A</v>
      </c>
    </row>
    <row r="1802" spans="1:33" ht="14.25" hidden="1" x14ac:dyDescent="0.2">
      <c r="A1802" s="18" t="b">
        <f t="array" ref="A1802">IF(G1802='Room Info'!$B$1, INDEX('Room Info'!$A$2:$A2446, MATCH(B1802,'Room Info'!$B$2:$B2446, 0)),IF(G1802='Room Info'!$C$1, INDEX('Room Info'!$A$2:$A2446, MATCH(B1802,'Room Info'!$C$2:$C2446, 0)),IF(G1802='Room Info'!$D$1, INDEX('Room Info'!$A$2:$A2446, MATCH(B1802,'Room Info'!$D$2:$D2446, 0)),IF(G1802='Room Info'!$E$1, INDEX('Room Info'!$A$2:$A2446, MATCH(B1802,'Room Info'!$E$2:$E2446, 0)),IF(G1802='Room Info'!$F$1, INDEX('Room Info'!$A$2:$A2446, MATCH(B1802,'Room Info'!$F$2:$F2446, 0)),IF(G1802='Room Info'!$H$1, INDEX('Room Info'!$A$2:$A2446, MATCH(B1802,'Room Info'!$H$2:$H2446, 0)),IF(G1802='Room Info'!$G$1, INDEX('Room Info'!$A$2:$A2446, MATCH(B1802,'Room Info'!$G$2:$G2446, 0)))))))))</f>
        <v>0</v>
      </c>
      <c r="B1802" s="96"/>
      <c r="C1802" s="136"/>
      <c r="D1802" s="136"/>
      <c r="E1802" s="137"/>
      <c r="F1802" s="133"/>
      <c r="G1802" s="96"/>
      <c r="H1802" s="100"/>
      <c r="I1802" s="100"/>
      <c r="J1802" s="39" t="s">
        <v>334</v>
      </c>
      <c r="K1802" s="134"/>
      <c r="L1802" s="135"/>
      <c r="M1802" s="79"/>
      <c r="N1802" s="28" t="e">
        <f t="shared" si="8"/>
        <v>#VALUE!</v>
      </c>
      <c r="O1802" s="96"/>
      <c r="P1802" s="29" t="s">
        <v>334</v>
      </c>
      <c r="Q1802" s="55"/>
      <c r="R1802" s="31" t="e">
        <f t="shared" si="9"/>
        <v>#VALUE!</v>
      </c>
      <c r="S1802" s="97"/>
      <c r="T1802" s="32" t="e">
        <f t="shared" si="10"/>
        <v>#VALUE!</v>
      </c>
      <c r="U1802" s="57"/>
      <c r="V1802" s="58"/>
      <c r="W1802" s="58"/>
      <c r="X1802" s="30" t="e">
        <f t="shared" si="11"/>
        <v>#N/A</v>
      </c>
      <c r="Y1802" s="30" t="e">
        <f t="shared" si="12"/>
        <v>#N/A</v>
      </c>
      <c r="Z1802" s="35" t="e">
        <f t="shared" si="13"/>
        <v>#VALUE!</v>
      </c>
      <c r="AA1802" s="29" t="e">
        <f t="shared" si="14"/>
        <v>#VALUE!</v>
      </c>
      <c r="AB1802" s="36" t="e">
        <f t="shared" si="15"/>
        <v>#VALUE!</v>
      </c>
      <c r="AC1802" s="37" t="b">
        <v>0</v>
      </c>
      <c r="AD1802" s="61" t="str">
        <f t="shared" si="16"/>
        <v>USD</v>
      </c>
      <c r="AE1802" s="37"/>
      <c r="AF1802" s="37" t="e">
        <f t="array" ref="AF1802">INDEX('Deal Info'!D:D, MATCH(A1802,'Deal Info'!A:A, 0))</f>
        <v>#N/A</v>
      </c>
      <c r="AG1802" s="38" t="e">
        <f t="array" ref="AG1802">INDEX('Deal Info'!G:G, MATCH(A1802,'Deal Info'!A:A, 0))</f>
        <v>#N/A</v>
      </c>
    </row>
    <row r="1803" spans="1:33" ht="14.25" hidden="1" x14ac:dyDescent="0.2">
      <c r="A1803" s="18" t="b">
        <f t="array" ref="A1803">IF(G1803='Room Info'!$B$1, INDEX('Room Info'!$A$2:$A2446, MATCH(B1803,'Room Info'!$B$2:$B2446, 0)),IF(G1803='Room Info'!$C$1, INDEX('Room Info'!$A$2:$A2446, MATCH(B1803,'Room Info'!$C$2:$C2446, 0)),IF(G1803='Room Info'!$D$1, INDEX('Room Info'!$A$2:$A2446, MATCH(B1803,'Room Info'!$D$2:$D2446, 0)),IF(G1803='Room Info'!$E$1, INDEX('Room Info'!$A$2:$A2446, MATCH(B1803,'Room Info'!$E$2:$E2446, 0)),IF(G1803='Room Info'!$F$1, INDEX('Room Info'!$A$2:$A2446, MATCH(B1803,'Room Info'!$F$2:$F2446, 0)),IF(G1803='Room Info'!$H$1, INDEX('Room Info'!$A$2:$A2446, MATCH(B1803,'Room Info'!$H$2:$H2446, 0)),IF(G1803='Room Info'!$G$1, INDEX('Room Info'!$A$2:$A2446, MATCH(B1803,'Room Info'!$G$2:$G2446, 0)))))))))</f>
        <v>0</v>
      </c>
      <c r="B1803" s="96"/>
      <c r="C1803" s="136"/>
      <c r="D1803" s="136"/>
      <c r="E1803" s="137"/>
      <c r="F1803" s="133"/>
      <c r="G1803" s="96"/>
      <c r="H1803" s="100"/>
      <c r="I1803" s="100"/>
      <c r="J1803" s="39" t="s">
        <v>334</v>
      </c>
      <c r="K1803" s="134"/>
      <c r="L1803" s="135"/>
      <c r="M1803" s="79"/>
      <c r="N1803" s="28" t="e">
        <f t="shared" si="8"/>
        <v>#VALUE!</v>
      </c>
      <c r="O1803" s="96"/>
      <c r="P1803" s="29" t="s">
        <v>334</v>
      </c>
      <c r="Q1803" s="55"/>
      <c r="R1803" s="31" t="e">
        <f t="shared" si="9"/>
        <v>#VALUE!</v>
      </c>
      <c r="S1803" s="97"/>
      <c r="T1803" s="32" t="e">
        <f t="shared" si="10"/>
        <v>#VALUE!</v>
      </c>
      <c r="U1803" s="57"/>
      <c r="V1803" s="58"/>
      <c r="W1803" s="58"/>
      <c r="X1803" s="30" t="e">
        <f t="shared" si="11"/>
        <v>#N/A</v>
      </c>
      <c r="Y1803" s="30" t="e">
        <f t="shared" si="12"/>
        <v>#N/A</v>
      </c>
      <c r="Z1803" s="35" t="e">
        <f t="shared" si="13"/>
        <v>#VALUE!</v>
      </c>
      <c r="AA1803" s="29" t="e">
        <f t="shared" si="14"/>
        <v>#VALUE!</v>
      </c>
      <c r="AB1803" s="36" t="e">
        <f t="shared" si="15"/>
        <v>#VALUE!</v>
      </c>
      <c r="AC1803" s="37" t="b">
        <v>0</v>
      </c>
      <c r="AD1803" s="61" t="str">
        <f t="shared" si="16"/>
        <v>USD</v>
      </c>
      <c r="AE1803" s="37"/>
      <c r="AF1803" s="37" t="e">
        <f t="array" ref="AF1803">INDEX('Deal Info'!D:D, MATCH(A1803,'Deal Info'!A:A, 0))</f>
        <v>#N/A</v>
      </c>
      <c r="AG1803" s="38" t="e">
        <f t="array" ref="AG1803">INDEX('Deal Info'!G:G, MATCH(A1803,'Deal Info'!A:A, 0))</f>
        <v>#N/A</v>
      </c>
    </row>
    <row r="1804" spans="1:33" ht="14.25" hidden="1" x14ac:dyDescent="0.2">
      <c r="A1804" s="18" t="b">
        <f t="array" ref="A1804">IF(G1804='Room Info'!$B$1, INDEX('Room Info'!$A$2:$A2446, MATCH(B1804,'Room Info'!$B$2:$B2446, 0)),IF(G1804='Room Info'!$C$1, INDEX('Room Info'!$A$2:$A2446, MATCH(B1804,'Room Info'!$C$2:$C2446, 0)),IF(G1804='Room Info'!$D$1, INDEX('Room Info'!$A$2:$A2446, MATCH(B1804,'Room Info'!$D$2:$D2446, 0)),IF(G1804='Room Info'!$E$1, INDEX('Room Info'!$A$2:$A2446, MATCH(B1804,'Room Info'!$E$2:$E2446, 0)),IF(G1804='Room Info'!$F$1, INDEX('Room Info'!$A$2:$A2446, MATCH(B1804,'Room Info'!$F$2:$F2446, 0)),IF(G1804='Room Info'!$H$1, INDEX('Room Info'!$A$2:$A2446, MATCH(B1804,'Room Info'!$H$2:$H2446, 0)),IF(G1804='Room Info'!$G$1, INDEX('Room Info'!$A$2:$A2446, MATCH(B1804,'Room Info'!$G$2:$G2446, 0)))))))))</f>
        <v>0</v>
      </c>
      <c r="B1804" s="96"/>
      <c r="C1804" s="136"/>
      <c r="D1804" s="136"/>
      <c r="E1804" s="137"/>
      <c r="F1804" s="133"/>
      <c r="G1804" s="96"/>
      <c r="H1804" s="100"/>
      <c r="I1804" s="100"/>
      <c r="J1804" s="39" t="s">
        <v>334</v>
      </c>
      <c r="K1804" s="134"/>
      <c r="L1804" s="135"/>
      <c r="M1804" s="79"/>
      <c r="N1804" s="28" t="e">
        <f t="shared" si="8"/>
        <v>#VALUE!</v>
      </c>
      <c r="O1804" s="96"/>
      <c r="P1804" s="29" t="s">
        <v>334</v>
      </c>
      <c r="Q1804" s="55"/>
      <c r="R1804" s="31" t="e">
        <f t="shared" si="9"/>
        <v>#VALUE!</v>
      </c>
      <c r="S1804" s="97"/>
      <c r="T1804" s="32" t="e">
        <f t="shared" si="10"/>
        <v>#VALUE!</v>
      </c>
      <c r="U1804" s="57"/>
      <c r="V1804" s="58"/>
      <c r="W1804" s="58"/>
      <c r="X1804" s="30" t="e">
        <f t="shared" si="11"/>
        <v>#N/A</v>
      </c>
      <c r="Y1804" s="30" t="e">
        <f t="shared" si="12"/>
        <v>#N/A</v>
      </c>
      <c r="Z1804" s="35" t="e">
        <f t="shared" si="13"/>
        <v>#VALUE!</v>
      </c>
      <c r="AA1804" s="29" t="e">
        <f t="shared" si="14"/>
        <v>#VALUE!</v>
      </c>
      <c r="AB1804" s="36" t="e">
        <f t="shared" si="15"/>
        <v>#VALUE!</v>
      </c>
      <c r="AC1804" s="37" t="b">
        <v>0</v>
      </c>
      <c r="AD1804" s="61" t="str">
        <f t="shared" si="16"/>
        <v>USD</v>
      </c>
      <c r="AE1804" s="37"/>
      <c r="AF1804" s="37" t="e">
        <f t="array" ref="AF1804">INDEX('Deal Info'!D:D, MATCH(A1804,'Deal Info'!A:A, 0))</f>
        <v>#N/A</v>
      </c>
      <c r="AG1804" s="38" t="e">
        <f t="array" ref="AG1804">INDEX('Deal Info'!G:G, MATCH(A1804,'Deal Info'!A:A, 0))</f>
        <v>#N/A</v>
      </c>
    </row>
    <row r="1805" spans="1:33" ht="14.25" hidden="1" x14ac:dyDescent="0.2">
      <c r="A1805" s="18" t="b">
        <f t="array" ref="A1805">IF(G1805='Room Info'!$B$1, INDEX('Room Info'!$A$2:$A2446, MATCH(B1805,'Room Info'!$B$2:$B2446, 0)),IF(G1805='Room Info'!$C$1, INDEX('Room Info'!$A$2:$A2446, MATCH(B1805,'Room Info'!$C$2:$C2446, 0)),IF(G1805='Room Info'!$D$1, INDEX('Room Info'!$A$2:$A2446, MATCH(B1805,'Room Info'!$D$2:$D2446, 0)),IF(G1805='Room Info'!$E$1, INDEX('Room Info'!$A$2:$A2446, MATCH(B1805,'Room Info'!$E$2:$E2446, 0)),IF(G1805='Room Info'!$F$1, INDEX('Room Info'!$A$2:$A2446, MATCH(B1805,'Room Info'!$F$2:$F2446, 0)),IF(G1805='Room Info'!$H$1, INDEX('Room Info'!$A$2:$A2446, MATCH(B1805,'Room Info'!$H$2:$H2446, 0)),IF(G1805='Room Info'!$G$1, INDEX('Room Info'!$A$2:$A2446, MATCH(B1805,'Room Info'!$G$2:$G2446, 0)))))))))</f>
        <v>0</v>
      </c>
      <c r="B1805" s="96"/>
      <c r="C1805" s="136"/>
      <c r="D1805" s="136"/>
      <c r="E1805" s="137"/>
      <c r="F1805" s="133"/>
      <c r="G1805" s="96"/>
      <c r="H1805" s="100"/>
      <c r="I1805" s="100"/>
      <c r="J1805" s="39" t="s">
        <v>334</v>
      </c>
      <c r="K1805" s="134"/>
      <c r="L1805" s="135"/>
      <c r="M1805" s="79"/>
      <c r="N1805" s="28" t="e">
        <f t="shared" si="8"/>
        <v>#VALUE!</v>
      </c>
      <c r="O1805" s="96"/>
      <c r="P1805" s="29" t="s">
        <v>334</v>
      </c>
      <c r="Q1805" s="55"/>
      <c r="R1805" s="31" t="e">
        <f t="shared" si="9"/>
        <v>#VALUE!</v>
      </c>
      <c r="S1805" s="97"/>
      <c r="T1805" s="32" t="e">
        <f t="shared" si="10"/>
        <v>#VALUE!</v>
      </c>
      <c r="U1805" s="57"/>
      <c r="V1805" s="58"/>
      <c r="W1805" s="58"/>
      <c r="X1805" s="30" t="e">
        <f t="shared" si="11"/>
        <v>#N/A</v>
      </c>
      <c r="Y1805" s="30" t="e">
        <f t="shared" si="12"/>
        <v>#N/A</v>
      </c>
      <c r="Z1805" s="35" t="e">
        <f t="shared" si="13"/>
        <v>#VALUE!</v>
      </c>
      <c r="AA1805" s="29" t="e">
        <f t="shared" si="14"/>
        <v>#VALUE!</v>
      </c>
      <c r="AB1805" s="36" t="e">
        <f t="shared" si="15"/>
        <v>#VALUE!</v>
      </c>
      <c r="AC1805" s="37" t="b">
        <v>0</v>
      </c>
      <c r="AD1805" s="61" t="str">
        <f t="shared" si="16"/>
        <v>USD</v>
      </c>
      <c r="AE1805" s="37"/>
      <c r="AF1805" s="37" t="e">
        <f t="array" ref="AF1805">INDEX('Deal Info'!D:D, MATCH(A1805,'Deal Info'!A:A, 0))</f>
        <v>#N/A</v>
      </c>
      <c r="AG1805" s="38" t="e">
        <f t="array" ref="AG1805">INDEX('Deal Info'!G:G, MATCH(A1805,'Deal Info'!A:A, 0))</f>
        <v>#N/A</v>
      </c>
    </row>
    <row r="1806" spans="1:33" ht="14.25" hidden="1" x14ac:dyDescent="0.2">
      <c r="A1806" s="18" t="b">
        <f t="array" ref="A1806">IF(G1806='Room Info'!$B$1, INDEX('Room Info'!$A$2:$A2446, MATCH(B1806,'Room Info'!$B$2:$B2446, 0)),IF(G1806='Room Info'!$C$1, INDEX('Room Info'!$A$2:$A2446, MATCH(B1806,'Room Info'!$C$2:$C2446, 0)),IF(G1806='Room Info'!$D$1, INDEX('Room Info'!$A$2:$A2446, MATCH(B1806,'Room Info'!$D$2:$D2446, 0)),IF(G1806='Room Info'!$E$1, INDEX('Room Info'!$A$2:$A2446, MATCH(B1806,'Room Info'!$E$2:$E2446, 0)),IF(G1806='Room Info'!$F$1, INDEX('Room Info'!$A$2:$A2446, MATCH(B1806,'Room Info'!$F$2:$F2446, 0)),IF(G1806='Room Info'!$H$1, INDEX('Room Info'!$A$2:$A2446, MATCH(B1806,'Room Info'!$H$2:$H2446, 0)),IF(G1806='Room Info'!$G$1, INDEX('Room Info'!$A$2:$A2446, MATCH(B1806,'Room Info'!$G$2:$G2446, 0)))))))))</f>
        <v>0</v>
      </c>
      <c r="B1806" s="96"/>
      <c r="C1806" s="136"/>
      <c r="D1806" s="136"/>
      <c r="E1806" s="137"/>
      <c r="F1806" s="133"/>
      <c r="G1806" s="96"/>
      <c r="H1806" s="100"/>
      <c r="I1806" s="100"/>
      <c r="J1806" s="39" t="s">
        <v>334</v>
      </c>
      <c r="K1806" s="134"/>
      <c r="L1806" s="135"/>
      <c r="M1806" s="79"/>
      <c r="N1806" s="28" t="e">
        <f t="shared" si="8"/>
        <v>#VALUE!</v>
      </c>
      <c r="O1806" s="96"/>
      <c r="P1806" s="29" t="s">
        <v>334</v>
      </c>
      <c r="Q1806" s="55"/>
      <c r="R1806" s="31" t="e">
        <f t="shared" si="9"/>
        <v>#VALUE!</v>
      </c>
      <c r="S1806" s="97"/>
      <c r="T1806" s="32" t="e">
        <f t="shared" si="10"/>
        <v>#VALUE!</v>
      </c>
      <c r="U1806" s="57"/>
      <c r="V1806" s="58"/>
      <c r="W1806" s="58"/>
      <c r="X1806" s="30" t="e">
        <f t="shared" si="11"/>
        <v>#N/A</v>
      </c>
      <c r="Y1806" s="30" t="e">
        <f t="shared" si="12"/>
        <v>#N/A</v>
      </c>
      <c r="Z1806" s="35" t="e">
        <f t="shared" si="13"/>
        <v>#VALUE!</v>
      </c>
      <c r="AA1806" s="29" t="e">
        <f t="shared" si="14"/>
        <v>#VALUE!</v>
      </c>
      <c r="AB1806" s="36" t="e">
        <f t="shared" si="15"/>
        <v>#VALUE!</v>
      </c>
      <c r="AC1806" s="37" t="b">
        <v>0</v>
      </c>
      <c r="AD1806" s="61" t="str">
        <f t="shared" si="16"/>
        <v>USD</v>
      </c>
      <c r="AE1806" s="37"/>
      <c r="AF1806" s="37" t="e">
        <f t="array" ref="AF1806">INDEX('Deal Info'!D:D, MATCH(A1806,'Deal Info'!A:A, 0))</f>
        <v>#N/A</v>
      </c>
      <c r="AG1806" s="38" t="e">
        <f t="array" ref="AG1806">INDEX('Deal Info'!G:G, MATCH(A1806,'Deal Info'!A:A, 0))</f>
        <v>#N/A</v>
      </c>
    </row>
    <row r="1807" spans="1:33" ht="14.25" hidden="1" x14ac:dyDescent="0.2">
      <c r="A1807" s="18" t="b">
        <f t="array" ref="A1807">IF(G1807='Room Info'!$B$1, INDEX('Room Info'!$A$2:$A2446, MATCH(B1807,'Room Info'!$B$2:$B2446, 0)),IF(G1807='Room Info'!$C$1, INDEX('Room Info'!$A$2:$A2446, MATCH(B1807,'Room Info'!$C$2:$C2446, 0)),IF(G1807='Room Info'!$D$1, INDEX('Room Info'!$A$2:$A2446, MATCH(B1807,'Room Info'!$D$2:$D2446, 0)),IF(G1807='Room Info'!$E$1, INDEX('Room Info'!$A$2:$A2446, MATCH(B1807,'Room Info'!$E$2:$E2446, 0)),IF(G1807='Room Info'!$F$1, INDEX('Room Info'!$A$2:$A2446, MATCH(B1807,'Room Info'!$F$2:$F2446, 0)),IF(G1807='Room Info'!$H$1, INDEX('Room Info'!$A$2:$A2446, MATCH(B1807,'Room Info'!$H$2:$H2446, 0)),IF(G1807='Room Info'!$G$1, INDEX('Room Info'!$A$2:$A2446, MATCH(B1807,'Room Info'!$G$2:$G2446, 0)))))))))</f>
        <v>0</v>
      </c>
      <c r="B1807" s="96"/>
      <c r="C1807" s="136"/>
      <c r="D1807" s="136"/>
      <c r="E1807" s="137"/>
      <c r="F1807" s="133"/>
      <c r="G1807" s="96"/>
      <c r="H1807" s="100"/>
      <c r="I1807" s="100"/>
      <c r="J1807" s="39" t="s">
        <v>334</v>
      </c>
      <c r="K1807" s="134"/>
      <c r="L1807" s="135"/>
      <c r="M1807" s="79"/>
      <c r="N1807" s="28" t="e">
        <f t="shared" si="8"/>
        <v>#VALUE!</v>
      </c>
      <c r="O1807" s="96"/>
      <c r="P1807" s="29" t="s">
        <v>334</v>
      </c>
      <c r="Q1807" s="55"/>
      <c r="R1807" s="31" t="e">
        <f t="shared" si="9"/>
        <v>#VALUE!</v>
      </c>
      <c r="S1807" s="97"/>
      <c r="T1807" s="32" t="e">
        <f t="shared" si="10"/>
        <v>#VALUE!</v>
      </c>
      <c r="U1807" s="57"/>
      <c r="V1807" s="58"/>
      <c r="W1807" s="58"/>
      <c r="X1807" s="30" t="e">
        <f t="shared" si="11"/>
        <v>#N/A</v>
      </c>
      <c r="Y1807" s="30" t="e">
        <f t="shared" si="12"/>
        <v>#N/A</v>
      </c>
      <c r="Z1807" s="35" t="e">
        <f t="shared" si="13"/>
        <v>#VALUE!</v>
      </c>
      <c r="AA1807" s="29" t="e">
        <f t="shared" si="14"/>
        <v>#VALUE!</v>
      </c>
      <c r="AB1807" s="36" t="e">
        <f t="shared" si="15"/>
        <v>#VALUE!</v>
      </c>
      <c r="AC1807" s="37" t="b">
        <v>0</v>
      </c>
      <c r="AD1807" s="61" t="str">
        <f t="shared" si="16"/>
        <v>USD</v>
      </c>
      <c r="AE1807" s="37"/>
      <c r="AF1807" s="37" t="e">
        <f t="array" ref="AF1807">INDEX('Deal Info'!D:D, MATCH(A1807,'Deal Info'!A:A, 0))</f>
        <v>#N/A</v>
      </c>
      <c r="AG1807" s="38" t="e">
        <f t="array" ref="AG1807">INDEX('Deal Info'!G:G, MATCH(A1807,'Deal Info'!A:A, 0))</f>
        <v>#N/A</v>
      </c>
    </row>
    <row r="1808" spans="1:33" ht="14.25" hidden="1" x14ac:dyDescent="0.2">
      <c r="A1808" s="18" t="b">
        <f t="array" ref="A1808">IF(G1808='Room Info'!$B$1, INDEX('Room Info'!$A$2:$A2446, MATCH(B1808,'Room Info'!$B$2:$B2446, 0)),IF(G1808='Room Info'!$C$1, INDEX('Room Info'!$A$2:$A2446, MATCH(B1808,'Room Info'!$C$2:$C2446, 0)),IF(G1808='Room Info'!$D$1, INDEX('Room Info'!$A$2:$A2446, MATCH(B1808,'Room Info'!$D$2:$D2446, 0)),IF(G1808='Room Info'!$E$1, INDEX('Room Info'!$A$2:$A2446, MATCH(B1808,'Room Info'!$E$2:$E2446, 0)),IF(G1808='Room Info'!$F$1, INDEX('Room Info'!$A$2:$A2446, MATCH(B1808,'Room Info'!$F$2:$F2446, 0)),IF(G1808='Room Info'!$H$1, INDEX('Room Info'!$A$2:$A2446, MATCH(B1808,'Room Info'!$H$2:$H2446, 0)),IF(G1808='Room Info'!$G$1, INDEX('Room Info'!$A$2:$A2446, MATCH(B1808,'Room Info'!$G$2:$G2446, 0)))))))))</f>
        <v>0</v>
      </c>
      <c r="B1808" s="96"/>
      <c r="C1808" s="111"/>
      <c r="D1808" s="111"/>
      <c r="E1808" s="80"/>
      <c r="F1808" s="133"/>
      <c r="G1808" s="96"/>
      <c r="H1808" s="110"/>
      <c r="I1808" s="110"/>
      <c r="J1808" s="39" t="s">
        <v>334</v>
      </c>
      <c r="K1808" s="112"/>
      <c r="L1808" s="113"/>
      <c r="M1808" s="62"/>
      <c r="N1808" s="28" t="e">
        <f t="shared" si="8"/>
        <v>#VALUE!</v>
      </c>
      <c r="O1808" s="65"/>
      <c r="P1808" s="29" t="s">
        <v>334</v>
      </c>
      <c r="Q1808" s="55"/>
      <c r="R1808" s="31" t="e">
        <f t="shared" si="9"/>
        <v>#VALUE!</v>
      </c>
      <c r="S1808" s="66"/>
      <c r="T1808" s="32" t="e">
        <f t="shared" si="10"/>
        <v>#VALUE!</v>
      </c>
      <c r="U1808" s="57"/>
      <c r="V1808" s="58"/>
      <c r="W1808" s="58"/>
      <c r="X1808" s="30" t="e">
        <f t="shared" si="11"/>
        <v>#N/A</v>
      </c>
      <c r="Y1808" s="30" t="e">
        <f t="shared" si="12"/>
        <v>#N/A</v>
      </c>
      <c r="Z1808" s="35" t="e">
        <f t="shared" si="13"/>
        <v>#VALUE!</v>
      </c>
      <c r="AA1808" s="29" t="e">
        <f t="shared" si="14"/>
        <v>#VALUE!</v>
      </c>
      <c r="AB1808" s="36" t="e">
        <f t="shared" si="15"/>
        <v>#VALUE!</v>
      </c>
      <c r="AC1808" s="37" t="b">
        <v>0</v>
      </c>
      <c r="AD1808" s="61" t="str">
        <f t="shared" si="16"/>
        <v>USD</v>
      </c>
      <c r="AE1808" s="37"/>
      <c r="AF1808" s="37" t="e">
        <f t="array" ref="AF1808">INDEX('Deal Info'!D:D, MATCH(A1808,'Deal Info'!A:A, 0))</f>
        <v>#N/A</v>
      </c>
      <c r="AG1808" s="38" t="e">
        <f t="array" ref="AG1808">INDEX('Deal Info'!G:G, MATCH(A1808,'Deal Info'!A:A, 0))</f>
        <v>#N/A</v>
      </c>
    </row>
    <row r="1809" spans="1:33" ht="14.25" hidden="1" x14ac:dyDescent="0.2">
      <c r="A1809" s="18" t="b">
        <f t="array" ref="A1809">IF(G1809='Room Info'!$B$1, INDEX('Room Info'!$A$2:$A2446, MATCH(B1809,'Room Info'!$B$2:$B2446, 0)),IF(G1809='Room Info'!$C$1, INDEX('Room Info'!$A$2:$A2446, MATCH(B1809,'Room Info'!$C$2:$C2446, 0)),IF(G1809='Room Info'!$D$1, INDEX('Room Info'!$A$2:$A2446, MATCH(B1809,'Room Info'!$D$2:$D2446, 0)),IF(G1809='Room Info'!$E$1, INDEX('Room Info'!$A$2:$A2446, MATCH(B1809,'Room Info'!$E$2:$E2446, 0)),IF(G1809='Room Info'!$F$1, INDEX('Room Info'!$A$2:$A2446, MATCH(B1809,'Room Info'!$F$2:$F2446, 0)),IF(G1809='Room Info'!$H$1, INDEX('Room Info'!$A$2:$A2446, MATCH(B1809,'Room Info'!$H$2:$H2446, 0)),IF(G1809='Room Info'!$G$1, INDEX('Room Info'!$A$2:$A2446, MATCH(B1809,'Room Info'!$G$2:$G2446, 0)))))))))</f>
        <v>0</v>
      </c>
      <c r="B1809" s="96"/>
      <c r="C1809" s="111"/>
      <c r="D1809" s="111"/>
      <c r="E1809" s="80"/>
      <c r="F1809" s="133"/>
      <c r="G1809" s="96"/>
      <c r="H1809" s="110"/>
      <c r="I1809" s="110"/>
      <c r="J1809" s="39" t="s">
        <v>334</v>
      </c>
      <c r="K1809" s="112"/>
      <c r="L1809" s="113"/>
      <c r="M1809" s="62"/>
      <c r="N1809" s="28" t="e">
        <f t="shared" si="8"/>
        <v>#VALUE!</v>
      </c>
      <c r="O1809" s="65"/>
      <c r="P1809" s="29" t="s">
        <v>334</v>
      </c>
      <c r="Q1809" s="55"/>
      <c r="R1809" s="31" t="e">
        <f t="shared" si="9"/>
        <v>#VALUE!</v>
      </c>
      <c r="S1809" s="66"/>
      <c r="T1809" s="32" t="e">
        <f t="shared" si="10"/>
        <v>#VALUE!</v>
      </c>
      <c r="U1809" s="57"/>
      <c r="V1809" s="58"/>
      <c r="W1809" s="58"/>
      <c r="X1809" s="30" t="e">
        <f t="shared" si="11"/>
        <v>#N/A</v>
      </c>
      <c r="Y1809" s="30" t="e">
        <f t="shared" si="12"/>
        <v>#N/A</v>
      </c>
      <c r="Z1809" s="35" t="e">
        <f t="shared" si="13"/>
        <v>#VALUE!</v>
      </c>
      <c r="AA1809" s="29" t="e">
        <f t="shared" si="14"/>
        <v>#VALUE!</v>
      </c>
      <c r="AB1809" s="36" t="e">
        <f t="shared" si="15"/>
        <v>#VALUE!</v>
      </c>
      <c r="AC1809" s="37" t="b">
        <v>0</v>
      </c>
      <c r="AD1809" s="61" t="str">
        <f t="shared" si="16"/>
        <v>USD</v>
      </c>
      <c r="AE1809" s="37"/>
      <c r="AF1809" s="37" t="e">
        <f t="array" ref="AF1809">INDEX('Deal Info'!D:D, MATCH(A1809,'Deal Info'!A:A, 0))</f>
        <v>#N/A</v>
      </c>
      <c r="AG1809" s="38" t="e">
        <f t="array" ref="AG1809">INDEX('Deal Info'!G:G, MATCH(A1809,'Deal Info'!A:A, 0))</f>
        <v>#N/A</v>
      </c>
    </row>
    <row r="1810" spans="1:33" ht="14.25" hidden="1" x14ac:dyDescent="0.2">
      <c r="A1810" s="18" t="b">
        <f t="array" ref="A1810">IF(G1810='Room Info'!$B$1, INDEX('Room Info'!$A$2:$A2446, MATCH(B1810,'Room Info'!$B$2:$B2446, 0)),IF(G1810='Room Info'!$C$1, INDEX('Room Info'!$A$2:$A2446, MATCH(B1810,'Room Info'!$C$2:$C2446, 0)),IF(G1810='Room Info'!$D$1, INDEX('Room Info'!$A$2:$A2446, MATCH(B1810,'Room Info'!$D$2:$D2446, 0)),IF(G1810='Room Info'!$E$1, INDEX('Room Info'!$A$2:$A2446, MATCH(B1810,'Room Info'!$E$2:$E2446, 0)),IF(G1810='Room Info'!$F$1, INDEX('Room Info'!$A$2:$A2446, MATCH(B1810,'Room Info'!$F$2:$F2446, 0)),IF(G1810='Room Info'!$H$1, INDEX('Room Info'!$A$2:$A2446, MATCH(B1810,'Room Info'!$H$2:$H2446, 0)),IF(G1810='Room Info'!$G$1, INDEX('Room Info'!$A$2:$A2446, MATCH(B1810,'Room Info'!$G$2:$G2446, 0)))))))))</f>
        <v>0</v>
      </c>
      <c r="B1810" s="96"/>
      <c r="C1810" s="111"/>
      <c r="D1810" s="111"/>
      <c r="E1810" s="80"/>
      <c r="F1810" s="133"/>
      <c r="G1810" s="96"/>
      <c r="H1810" s="110"/>
      <c r="I1810" s="110"/>
      <c r="J1810" s="39" t="s">
        <v>334</v>
      </c>
      <c r="K1810" s="112"/>
      <c r="L1810" s="113"/>
      <c r="M1810" s="62"/>
      <c r="N1810" s="28" t="e">
        <f t="shared" si="8"/>
        <v>#VALUE!</v>
      </c>
      <c r="O1810" s="65"/>
      <c r="P1810" s="29" t="s">
        <v>334</v>
      </c>
      <c r="Q1810" s="55"/>
      <c r="R1810" s="31" t="e">
        <f t="shared" si="9"/>
        <v>#VALUE!</v>
      </c>
      <c r="S1810" s="66"/>
      <c r="T1810" s="32" t="e">
        <f t="shared" si="10"/>
        <v>#VALUE!</v>
      </c>
      <c r="U1810" s="57"/>
      <c r="V1810" s="58"/>
      <c r="W1810" s="58"/>
      <c r="X1810" s="30" t="e">
        <f t="shared" si="11"/>
        <v>#N/A</v>
      </c>
      <c r="Y1810" s="30" t="e">
        <f t="shared" si="12"/>
        <v>#N/A</v>
      </c>
      <c r="Z1810" s="35" t="e">
        <f t="shared" si="13"/>
        <v>#VALUE!</v>
      </c>
      <c r="AA1810" s="29" t="e">
        <f t="shared" si="14"/>
        <v>#VALUE!</v>
      </c>
      <c r="AB1810" s="36" t="e">
        <f t="shared" si="15"/>
        <v>#VALUE!</v>
      </c>
      <c r="AC1810" s="37" t="b">
        <v>0</v>
      </c>
      <c r="AD1810" s="61" t="str">
        <f t="shared" si="16"/>
        <v>USD</v>
      </c>
      <c r="AE1810" s="37"/>
      <c r="AF1810" s="37" t="e">
        <f t="array" ref="AF1810">INDEX('Deal Info'!D:D, MATCH(A1810,'Deal Info'!A:A, 0))</f>
        <v>#N/A</v>
      </c>
      <c r="AG1810" s="38" t="e">
        <f t="array" ref="AG1810">INDEX('Deal Info'!G:G, MATCH(A1810,'Deal Info'!A:A, 0))</f>
        <v>#N/A</v>
      </c>
    </row>
    <row r="1811" spans="1:33" ht="14.25" hidden="1" x14ac:dyDescent="0.2">
      <c r="A1811" s="18" t="b">
        <f t="array" ref="A1811">IF(G1811='Room Info'!$B$1, INDEX('Room Info'!$A$2:$A2446, MATCH(B1811,'Room Info'!$B$2:$B2446, 0)),IF(G1811='Room Info'!$C$1, INDEX('Room Info'!$A$2:$A2446, MATCH(B1811,'Room Info'!$C$2:$C2446, 0)),IF(G1811='Room Info'!$D$1, INDEX('Room Info'!$A$2:$A2446, MATCH(B1811,'Room Info'!$D$2:$D2446, 0)),IF(G1811='Room Info'!$E$1, INDEX('Room Info'!$A$2:$A2446, MATCH(B1811,'Room Info'!$E$2:$E2446, 0)),IF(G1811='Room Info'!$F$1, INDEX('Room Info'!$A$2:$A2446, MATCH(B1811,'Room Info'!$F$2:$F2446, 0)),IF(G1811='Room Info'!$H$1, INDEX('Room Info'!$A$2:$A2446, MATCH(B1811,'Room Info'!$H$2:$H2446, 0)),IF(G1811='Room Info'!$G$1, INDEX('Room Info'!$A$2:$A2446, MATCH(B1811,'Room Info'!$G$2:$G2446, 0)))))))))</f>
        <v>0</v>
      </c>
      <c r="B1811" s="96"/>
      <c r="C1811" s="111"/>
      <c r="D1811" s="111"/>
      <c r="E1811" s="80"/>
      <c r="F1811" s="133"/>
      <c r="G1811" s="96"/>
      <c r="H1811" s="110"/>
      <c r="I1811" s="110"/>
      <c r="J1811" s="39" t="s">
        <v>334</v>
      </c>
      <c r="K1811" s="112"/>
      <c r="L1811" s="113"/>
      <c r="M1811" s="62"/>
      <c r="N1811" s="28" t="e">
        <f t="shared" si="8"/>
        <v>#VALUE!</v>
      </c>
      <c r="O1811" s="65"/>
      <c r="P1811" s="29" t="s">
        <v>334</v>
      </c>
      <c r="Q1811" s="55"/>
      <c r="R1811" s="31" t="e">
        <f t="shared" si="9"/>
        <v>#VALUE!</v>
      </c>
      <c r="S1811" s="66"/>
      <c r="T1811" s="32" t="e">
        <f t="shared" si="10"/>
        <v>#VALUE!</v>
      </c>
      <c r="U1811" s="57"/>
      <c r="V1811" s="58"/>
      <c r="W1811" s="58"/>
      <c r="X1811" s="30" t="e">
        <f t="shared" si="11"/>
        <v>#N/A</v>
      </c>
      <c r="Y1811" s="30" t="e">
        <f t="shared" si="12"/>
        <v>#N/A</v>
      </c>
      <c r="Z1811" s="35" t="e">
        <f t="shared" si="13"/>
        <v>#VALUE!</v>
      </c>
      <c r="AA1811" s="29" t="e">
        <f t="shared" si="14"/>
        <v>#VALUE!</v>
      </c>
      <c r="AB1811" s="36" t="e">
        <f t="shared" si="15"/>
        <v>#VALUE!</v>
      </c>
      <c r="AC1811" s="37" t="b">
        <v>0</v>
      </c>
      <c r="AD1811" s="61" t="str">
        <f t="shared" si="16"/>
        <v>USD</v>
      </c>
      <c r="AE1811" s="37"/>
      <c r="AF1811" s="37" t="e">
        <f t="array" ref="AF1811">INDEX('Deal Info'!D:D, MATCH(A1811,'Deal Info'!A:A, 0))</f>
        <v>#N/A</v>
      </c>
      <c r="AG1811" s="38" t="e">
        <f t="array" ref="AG1811">INDEX('Deal Info'!G:G, MATCH(A1811,'Deal Info'!A:A, 0))</f>
        <v>#N/A</v>
      </c>
    </row>
    <row r="1812" spans="1:33" ht="14.25" hidden="1" x14ac:dyDescent="0.2">
      <c r="A1812" s="18" t="b">
        <f t="array" ref="A1812">IF(G1812='Room Info'!$B$1, INDEX('Room Info'!$A$2:$A2446, MATCH(B1812,'Room Info'!$B$2:$B2446, 0)),IF(G1812='Room Info'!$C$1, INDEX('Room Info'!$A$2:$A2446, MATCH(B1812,'Room Info'!$C$2:$C2446, 0)),IF(G1812='Room Info'!$D$1, INDEX('Room Info'!$A$2:$A2446, MATCH(B1812,'Room Info'!$D$2:$D2446, 0)),IF(G1812='Room Info'!$E$1, INDEX('Room Info'!$A$2:$A2446, MATCH(B1812,'Room Info'!$E$2:$E2446, 0)),IF(G1812='Room Info'!$F$1, INDEX('Room Info'!$A$2:$A2446, MATCH(B1812,'Room Info'!$F$2:$F2446, 0)),IF(G1812='Room Info'!$H$1, INDEX('Room Info'!$A$2:$A2446, MATCH(B1812,'Room Info'!$H$2:$H2446, 0)),IF(G1812='Room Info'!$G$1, INDEX('Room Info'!$A$2:$A2446, MATCH(B1812,'Room Info'!$G$2:$G2446, 0)))))))))</f>
        <v>0</v>
      </c>
      <c r="B1812" s="96"/>
      <c r="C1812" s="111"/>
      <c r="D1812" s="111"/>
      <c r="E1812" s="80"/>
      <c r="F1812" s="133"/>
      <c r="G1812" s="96"/>
      <c r="H1812" s="110"/>
      <c r="I1812" s="110"/>
      <c r="J1812" s="39" t="s">
        <v>334</v>
      </c>
      <c r="K1812" s="112"/>
      <c r="L1812" s="113"/>
      <c r="M1812" s="62"/>
      <c r="N1812" s="28" t="e">
        <f t="shared" si="8"/>
        <v>#VALUE!</v>
      </c>
      <c r="O1812" s="65"/>
      <c r="P1812" s="29" t="s">
        <v>334</v>
      </c>
      <c r="Q1812" s="55"/>
      <c r="R1812" s="31" t="e">
        <f t="shared" si="9"/>
        <v>#VALUE!</v>
      </c>
      <c r="S1812" s="66"/>
      <c r="T1812" s="32" t="e">
        <f t="shared" si="10"/>
        <v>#VALUE!</v>
      </c>
      <c r="U1812" s="57"/>
      <c r="V1812" s="58"/>
      <c r="W1812" s="58"/>
      <c r="X1812" s="30" t="e">
        <f t="shared" si="11"/>
        <v>#N/A</v>
      </c>
      <c r="Y1812" s="30" t="e">
        <f t="shared" si="12"/>
        <v>#N/A</v>
      </c>
      <c r="Z1812" s="35" t="e">
        <f t="shared" si="13"/>
        <v>#VALUE!</v>
      </c>
      <c r="AA1812" s="29" t="e">
        <f t="shared" si="14"/>
        <v>#VALUE!</v>
      </c>
      <c r="AB1812" s="36" t="e">
        <f t="shared" si="15"/>
        <v>#VALUE!</v>
      </c>
      <c r="AC1812" s="37" t="b">
        <v>0</v>
      </c>
      <c r="AD1812" s="61" t="str">
        <f t="shared" si="16"/>
        <v>USD</v>
      </c>
      <c r="AE1812" s="37"/>
      <c r="AF1812" s="37" t="e">
        <f t="array" ref="AF1812">INDEX('Deal Info'!D:D, MATCH(A1812,'Deal Info'!A:A, 0))</f>
        <v>#N/A</v>
      </c>
      <c r="AG1812" s="38" t="e">
        <f t="array" ref="AG1812">INDEX('Deal Info'!G:G, MATCH(A1812,'Deal Info'!A:A, 0))</f>
        <v>#N/A</v>
      </c>
    </row>
    <row r="1813" spans="1:33" ht="14.25" hidden="1" x14ac:dyDescent="0.2">
      <c r="A1813" s="18" t="b">
        <f t="array" ref="A1813">IF(G1813='Room Info'!$B$1, INDEX('Room Info'!$A$2:$A2446, MATCH(B1813,'Room Info'!$B$2:$B2446, 0)),IF(G1813='Room Info'!$C$1, INDEX('Room Info'!$A$2:$A2446, MATCH(B1813,'Room Info'!$C$2:$C2446, 0)),IF(G1813='Room Info'!$D$1, INDEX('Room Info'!$A$2:$A2446, MATCH(B1813,'Room Info'!$D$2:$D2446, 0)),IF(G1813='Room Info'!$E$1, INDEX('Room Info'!$A$2:$A2446, MATCH(B1813,'Room Info'!$E$2:$E2446, 0)),IF(G1813='Room Info'!$F$1, INDEX('Room Info'!$A$2:$A2446, MATCH(B1813,'Room Info'!$F$2:$F2446, 0)),IF(G1813='Room Info'!$H$1, INDEX('Room Info'!$A$2:$A2446, MATCH(B1813,'Room Info'!$H$2:$H2446, 0)),IF(G1813='Room Info'!$G$1, INDEX('Room Info'!$A$2:$A2446, MATCH(B1813,'Room Info'!$G$2:$G2446, 0)))))))))</f>
        <v>0</v>
      </c>
      <c r="B1813" s="96"/>
      <c r="C1813" s="111"/>
      <c r="D1813" s="111"/>
      <c r="E1813" s="80"/>
      <c r="F1813" s="133"/>
      <c r="G1813" s="96"/>
      <c r="H1813" s="110"/>
      <c r="I1813" s="110"/>
      <c r="J1813" s="39" t="s">
        <v>334</v>
      </c>
      <c r="K1813" s="112"/>
      <c r="L1813" s="113"/>
      <c r="M1813" s="62"/>
      <c r="N1813" s="28" t="e">
        <f t="shared" si="8"/>
        <v>#VALUE!</v>
      </c>
      <c r="O1813" s="65"/>
      <c r="P1813" s="29" t="s">
        <v>334</v>
      </c>
      <c r="Q1813" s="55"/>
      <c r="R1813" s="31" t="e">
        <f t="shared" si="9"/>
        <v>#VALUE!</v>
      </c>
      <c r="S1813" s="66"/>
      <c r="T1813" s="32" t="e">
        <f t="shared" si="10"/>
        <v>#VALUE!</v>
      </c>
      <c r="U1813" s="57"/>
      <c r="V1813" s="58"/>
      <c r="W1813" s="58"/>
      <c r="X1813" s="30" t="e">
        <f t="shared" si="11"/>
        <v>#N/A</v>
      </c>
      <c r="Y1813" s="30" t="e">
        <f t="shared" si="12"/>
        <v>#N/A</v>
      </c>
      <c r="Z1813" s="35" t="e">
        <f t="shared" si="13"/>
        <v>#VALUE!</v>
      </c>
      <c r="AA1813" s="29" t="e">
        <f t="shared" si="14"/>
        <v>#VALUE!</v>
      </c>
      <c r="AB1813" s="36" t="e">
        <f t="shared" si="15"/>
        <v>#VALUE!</v>
      </c>
      <c r="AC1813" s="37" t="b">
        <v>0</v>
      </c>
      <c r="AD1813" s="61" t="str">
        <f t="shared" si="16"/>
        <v>USD</v>
      </c>
      <c r="AE1813" s="37"/>
      <c r="AF1813" s="37" t="e">
        <f t="array" ref="AF1813">INDEX('Deal Info'!D:D, MATCH(A1813,'Deal Info'!A:A, 0))</f>
        <v>#N/A</v>
      </c>
      <c r="AG1813" s="38" t="e">
        <f t="array" ref="AG1813">INDEX('Deal Info'!G:G, MATCH(A1813,'Deal Info'!A:A, 0))</f>
        <v>#N/A</v>
      </c>
    </row>
    <row r="1814" spans="1:33" ht="14.25" hidden="1" x14ac:dyDescent="0.2">
      <c r="A1814" s="18" t="b">
        <f t="array" ref="A1814">IF(G1814='Room Info'!$B$1, INDEX('Room Info'!$A$2:$A2446, MATCH(B1814,'Room Info'!$B$2:$B2446, 0)),IF(G1814='Room Info'!$C$1, INDEX('Room Info'!$A$2:$A2446, MATCH(B1814,'Room Info'!$C$2:$C2446, 0)),IF(G1814='Room Info'!$D$1, INDEX('Room Info'!$A$2:$A2446, MATCH(B1814,'Room Info'!$D$2:$D2446, 0)),IF(G1814='Room Info'!$E$1, INDEX('Room Info'!$A$2:$A2446, MATCH(B1814,'Room Info'!$E$2:$E2446, 0)),IF(G1814='Room Info'!$F$1, INDEX('Room Info'!$A$2:$A2446, MATCH(B1814,'Room Info'!$F$2:$F2446, 0)),IF(G1814='Room Info'!$H$1, INDEX('Room Info'!$A$2:$A2446, MATCH(B1814,'Room Info'!$H$2:$H2446, 0)),IF(G1814='Room Info'!$G$1, INDEX('Room Info'!$A$2:$A2446, MATCH(B1814,'Room Info'!$G$2:$G2446, 0)))))))))</f>
        <v>0</v>
      </c>
      <c r="B1814" s="96"/>
      <c r="C1814" s="111"/>
      <c r="D1814" s="111"/>
      <c r="E1814" s="80"/>
      <c r="F1814" s="133"/>
      <c r="G1814" s="96"/>
      <c r="H1814" s="110"/>
      <c r="I1814" s="110"/>
      <c r="J1814" s="39" t="s">
        <v>334</v>
      </c>
      <c r="K1814" s="112"/>
      <c r="L1814" s="113"/>
      <c r="M1814" s="62"/>
      <c r="N1814" s="28" t="e">
        <f t="shared" si="8"/>
        <v>#VALUE!</v>
      </c>
      <c r="O1814" s="65"/>
      <c r="P1814" s="29" t="s">
        <v>334</v>
      </c>
      <c r="Q1814" s="55"/>
      <c r="R1814" s="31" t="e">
        <f t="shared" si="9"/>
        <v>#VALUE!</v>
      </c>
      <c r="S1814" s="66"/>
      <c r="T1814" s="32" t="e">
        <f t="shared" si="10"/>
        <v>#VALUE!</v>
      </c>
      <c r="U1814" s="57"/>
      <c r="V1814" s="58"/>
      <c r="W1814" s="58"/>
      <c r="X1814" s="30" t="e">
        <f t="shared" si="11"/>
        <v>#N/A</v>
      </c>
      <c r="Y1814" s="30" t="e">
        <f t="shared" si="12"/>
        <v>#N/A</v>
      </c>
      <c r="Z1814" s="35" t="e">
        <f t="shared" si="13"/>
        <v>#VALUE!</v>
      </c>
      <c r="AA1814" s="29" t="e">
        <f t="shared" si="14"/>
        <v>#VALUE!</v>
      </c>
      <c r="AB1814" s="36" t="e">
        <f t="shared" si="15"/>
        <v>#VALUE!</v>
      </c>
      <c r="AC1814" s="37" t="b">
        <v>0</v>
      </c>
      <c r="AD1814" s="61" t="str">
        <f t="shared" si="16"/>
        <v>USD</v>
      </c>
      <c r="AE1814" s="37"/>
      <c r="AF1814" s="37" t="e">
        <f t="array" ref="AF1814">INDEX('Deal Info'!D:D, MATCH(A1814,'Deal Info'!A:A, 0))</f>
        <v>#N/A</v>
      </c>
      <c r="AG1814" s="38" t="e">
        <f t="array" ref="AG1814">INDEX('Deal Info'!G:G, MATCH(A1814,'Deal Info'!A:A, 0))</f>
        <v>#N/A</v>
      </c>
    </row>
    <row r="1815" spans="1:33" ht="14.25" hidden="1" x14ac:dyDescent="0.2">
      <c r="A1815" s="18" t="b">
        <f t="array" ref="A1815">IF(G1815='Room Info'!$B$1, INDEX('Room Info'!$A$2:$A2446, MATCH(B1815,'Room Info'!$B$2:$B2446, 0)),IF(G1815='Room Info'!$C$1, INDEX('Room Info'!$A$2:$A2446, MATCH(B1815,'Room Info'!$C$2:$C2446, 0)),IF(G1815='Room Info'!$D$1, INDEX('Room Info'!$A$2:$A2446, MATCH(B1815,'Room Info'!$D$2:$D2446, 0)),IF(G1815='Room Info'!$E$1, INDEX('Room Info'!$A$2:$A2446, MATCH(B1815,'Room Info'!$E$2:$E2446, 0)),IF(G1815='Room Info'!$F$1, INDEX('Room Info'!$A$2:$A2446, MATCH(B1815,'Room Info'!$F$2:$F2446, 0)),IF(G1815='Room Info'!$H$1, INDEX('Room Info'!$A$2:$A2446, MATCH(B1815,'Room Info'!$H$2:$H2446, 0)),IF(G1815='Room Info'!$G$1, INDEX('Room Info'!$A$2:$A2446, MATCH(B1815,'Room Info'!$G$2:$G2446, 0)))))))))</f>
        <v>0</v>
      </c>
      <c r="B1815" s="96"/>
      <c r="C1815" s="111"/>
      <c r="D1815" s="111"/>
      <c r="E1815" s="80"/>
      <c r="F1815" s="133"/>
      <c r="G1815" s="65"/>
      <c r="H1815" s="100"/>
      <c r="I1815" s="100"/>
      <c r="J1815" s="39" t="s">
        <v>334</v>
      </c>
      <c r="K1815" s="112"/>
      <c r="L1815" s="113"/>
      <c r="M1815" s="62"/>
      <c r="N1815" s="28" t="e">
        <f t="shared" si="8"/>
        <v>#VALUE!</v>
      </c>
      <c r="O1815" s="65"/>
      <c r="P1815" s="29" t="s">
        <v>334</v>
      </c>
      <c r="Q1815" s="55"/>
      <c r="R1815" s="31" t="e">
        <f t="shared" si="9"/>
        <v>#VALUE!</v>
      </c>
      <c r="S1815" s="66"/>
      <c r="T1815" s="32" t="e">
        <f t="shared" si="10"/>
        <v>#VALUE!</v>
      </c>
      <c r="U1815" s="57"/>
      <c r="V1815" s="58"/>
      <c r="W1815" s="58"/>
      <c r="X1815" s="30" t="e">
        <f t="shared" si="11"/>
        <v>#N/A</v>
      </c>
      <c r="Y1815" s="30" t="e">
        <f t="shared" si="12"/>
        <v>#N/A</v>
      </c>
      <c r="Z1815" s="35" t="e">
        <f t="shared" si="13"/>
        <v>#VALUE!</v>
      </c>
      <c r="AA1815" s="29" t="e">
        <f t="shared" si="14"/>
        <v>#VALUE!</v>
      </c>
      <c r="AB1815" s="36" t="e">
        <f t="shared" si="15"/>
        <v>#VALUE!</v>
      </c>
      <c r="AC1815" s="37" t="b">
        <v>0</v>
      </c>
      <c r="AD1815" s="61" t="str">
        <f t="shared" si="16"/>
        <v>USD</v>
      </c>
      <c r="AE1815" s="37"/>
      <c r="AF1815" s="37" t="e">
        <f t="array" ref="AF1815">INDEX('Deal Info'!D:D, MATCH(A1815,'Deal Info'!A:A, 0))</f>
        <v>#N/A</v>
      </c>
      <c r="AG1815" s="38" t="e">
        <f t="array" ref="AG1815">INDEX('Deal Info'!G:G, MATCH(A1815,'Deal Info'!A:A, 0))</f>
        <v>#N/A</v>
      </c>
    </row>
    <row r="1816" spans="1:33" ht="14.25" hidden="1" x14ac:dyDescent="0.2">
      <c r="A1816" s="18" t="b">
        <f t="array" ref="A1816">IF(G1816='Room Info'!$B$1, INDEX('Room Info'!$A$2:$A2446, MATCH(B1816,'Room Info'!$B$2:$B2446, 0)),IF(G1816='Room Info'!$C$1, INDEX('Room Info'!$A$2:$A2446, MATCH(B1816,'Room Info'!$C$2:$C2446, 0)),IF(G1816='Room Info'!$D$1, INDEX('Room Info'!$A$2:$A2446, MATCH(B1816,'Room Info'!$D$2:$D2446, 0)),IF(G1816='Room Info'!$E$1, INDEX('Room Info'!$A$2:$A2446, MATCH(B1816,'Room Info'!$E$2:$E2446, 0)),IF(G1816='Room Info'!$F$1, INDEX('Room Info'!$A$2:$A2446, MATCH(B1816,'Room Info'!$F$2:$F2446, 0)),IF(G1816='Room Info'!$H$1, INDEX('Room Info'!$A$2:$A2446, MATCH(B1816,'Room Info'!$H$2:$H2446, 0)),IF(G1816='Room Info'!$G$1, INDEX('Room Info'!$A$2:$A2446, MATCH(B1816,'Room Info'!$G$2:$G2446, 0)))))))))</f>
        <v>0</v>
      </c>
      <c r="B1816" s="96"/>
      <c r="C1816" s="111"/>
      <c r="D1816" s="111"/>
      <c r="E1816" s="80"/>
      <c r="F1816" s="133"/>
      <c r="G1816" s="65"/>
      <c r="H1816" s="100"/>
      <c r="I1816" s="100"/>
      <c r="J1816" s="39" t="s">
        <v>334</v>
      </c>
      <c r="K1816" s="112"/>
      <c r="L1816" s="113"/>
      <c r="M1816" s="62"/>
      <c r="N1816" s="28" t="e">
        <f t="shared" si="8"/>
        <v>#VALUE!</v>
      </c>
      <c r="O1816" s="65"/>
      <c r="P1816" s="29" t="s">
        <v>334</v>
      </c>
      <c r="Q1816" s="55"/>
      <c r="R1816" s="31" t="e">
        <f t="shared" si="9"/>
        <v>#VALUE!</v>
      </c>
      <c r="S1816" s="66"/>
      <c r="T1816" s="32" t="e">
        <f t="shared" si="10"/>
        <v>#VALUE!</v>
      </c>
      <c r="U1816" s="57"/>
      <c r="V1816" s="58"/>
      <c r="W1816" s="58"/>
      <c r="X1816" s="30" t="e">
        <f t="shared" si="11"/>
        <v>#N/A</v>
      </c>
      <c r="Y1816" s="30" t="e">
        <f t="shared" si="12"/>
        <v>#N/A</v>
      </c>
      <c r="Z1816" s="35" t="e">
        <f t="shared" si="13"/>
        <v>#VALUE!</v>
      </c>
      <c r="AA1816" s="29" t="e">
        <f t="shared" si="14"/>
        <v>#VALUE!</v>
      </c>
      <c r="AB1816" s="36" t="e">
        <f t="shared" si="15"/>
        <v>#VALUE!</v>
      </c>
      <c r="AC1816" s="37" t="b">
        <v>0</v>
      </c>
      <c r="AD1816" s="61" t="str">
        <f t="shared" si="16"/>
        <v>USD</v>
      </c>
      <c r="AE1816" s="37"/>
      <c r="AF1816" s="37" t="e">
        <f t="array" ref="AF1816">INDEX('Deal Info'!D:D, MATCH(A1816,'Deal Info'!A:A, 0))</f>
        <v>#N/A</v>
      </c>
      <c r="AG1816" s="38" t="e">
        <f t="array" ref="AG1816">INDEX('Deal Info'!G:G, MATCH(A1816,'Deal Info'!A:A, 0))</f>
        <v>#N/A</v>
      </c>
    </row>
    <row r="1817" spans="1:33" ht="14.25" hidden="1" x14ac:dyDescent="0.2">
      <c r="A1817" s="18" t="b">
        <f t="array" ref="A1817">IF(G1817='Room Info'!$B$1, INDEX('Room Info'!$A$2:$A2446, MATCH(B1817,'Room Info'!$B$2:$B2446, 0)),IF(G1817='Room Info'!$C$1, INDEX('Room Info'!$A$2:$A2446, MATCH(B1817,'Room Info'!$C$2:$C2446, 0)),IF(G1817='Room Info'!$D$1, INDEX('Room Info'!$A$2:$A2446, MATCH(B1817,'Room Info'!$D$2:$D2446, 0)),IF(G1817='Room Info'!$E$1, INDEX('Room Info'!$A$2:$A2446, MATCH(B1817,'Room Info'!$E$2:$E2446, 0)),IF(G1817='Room Info'!$F$1, INDEX('Room Info'!$A$2:$A2446, MATCH(B1817,'Room Info'!$F$2:$F2446, 0)),IF(G1817='Room Info'!$H$1, INDEX('Room Info'!$A$2:$A2446, MATCH(B1817,'Room Info'!$H$2:$H2446, 0)),IF(G1817='Room Info'!$G$1, INDEX('Room Info'!$A$2:$A2446, MATCH(B1817,'Room Info'!$G$2:$G2446, 0)))))))))</f>
        <v>0</v>
      </c>
      <c r="B1817" s="96"/>
      <c r="C1817" s="111"/>
      <c r="D1817" s="111"/>
      <c r="E1817" s="80"/>
      <c r="F1817" s="133"/>
      <c r="G1817" s="65"/>
      <c r="H1817" s="110"/>
      <c r="I1817" s="110"/>
      <c r="J1817" s="39" t="s">
        <v>334</v>
      </c>
      <c r="K1817" s="112"/>
      <c r="L1817" s="113"/>
      <c r="M1817" s="62"/>
      <c r="N1817" s="28" t="e">
        <f t="shared" si="8"/>
        <v>#VALUE!</v>
      </c>
      <c r="O1817" s="65"/>
      <c r="P1817" s="29" t="s">
        <v>334</v>
      </c>
      <c r="Q1817" s="55"/>
      <c r="R1817" s="31" t="e">
        <f t="shared" si="9"/>
        <v>#VALUE!</v>
      </c>
      <c r="S1817" s="66"/>
      <c r="T1817" s="32" t="e">
        <f t="shared" si="10"/>
        <v>#VALUE!</v>
      </c>
      <c r="U1817" s="57"/>
      <c r="V1817" s="58"/>
      <c r="W1817" s="58"/>
      <c r="X1817" s="30" t="e">
        <f t="shared" si="11"/>
        <v>#N/A</v>
      </c>
      <c r="Y1817" s="30" t="e">
        <f t="shared" si="12"/>
        <v>#N/A</v>
      </c>
      <c r="Z1817" s="35" t="e">
        <f t="shared" si="13"/>
        <v>#VALUE!</v>
      </c>
      <c r="AA1817" s="29" t="e">
        <f t="shared" si="14"/>
        <v>#VALUE!</v>
      </c>
      <c r="AB1817" s="36" t="e">
        <f t="shared" si="15"/>
        <v>#VALUE!</v>
      </c>
      <c r="AC1817" s="37" t="b">
        <v>0</v>
      </c>
      <c r="AD1817" s="61" t="str">
        <f t="shared" si="16"/>
        <v>USD</v>
      </c>
      <c r="AE1817" s="37"/>
      <c r="AF1817" s="37" t="e">
        <f t="array" ref="AF1817">INDEX('Deal Info'!D:D, MATCH(A1817,'Deal Info'!A:A, 0))</f>
        <v>#N/A</v>
      </c>
      <c r="AG1817" s="38" t="e">
        <f t="array" ref="AG1817">INDEX('Deal Info'!G:G, MATCH(A1817,'Deal Info'!A:A, 0))</f>
        <v>#N/A</v>
      </c>
    </row>
    <row r="1818" spans="1:33" ht="14.25" hidden="1" x14ac:dyDescent="0.2">
      <c r="A1818" s="18" t="b">
        <f t="array" ref="A1818">IF(G1818='Room Info'!$B$1, INDEX('Room Info'!$A$2:$A2446, MATCH(B1818,'Room Info'!$B$2:$B2446, 0)),IF(G1818='Room Info'!$C$1, INDEX('Room Info'!$A$2:$A2446, MATCH(B1818,'Room Info'!$C$2:$C2446, 0)),IF(G1818='Room Info'!$D$1, INDEX('Room Info'!$A$2:$A2446, MATCH(B1818,'Room Info'!$D$2:$D2446, 0)),IF(G1818='Room Info'!$E$1, INDEX('Room Info'!$A$2:$A2446, MATCH(B1818,'Room Info'!$E$2:$E2446, 0)),IF(G1818='Room Info'!$F$1, INDEX('Room Info'!$A$2:$A2446, MATCH(B1818,'Room Info'!$F$2:$F2446, 0)),IF(G1818='Room Info'!$H$1, INDEX('Room Info'!$A$2:$A2446, MATCH(B1818,'Room Info'!$H$2:$H2446, 0)),IF(G1818='Room Info'!$G$1, INDEX('Room Info'!$A$2:$A2446, MATCH(B1818,'Room Info'!$G$2:$G2446, 0)))))))))</f>
        <v>0</v>
      </c>
      <c r="B1818" s="96"/>
      <c r="C1818" s="111"/>
      <c r="D1818" s="111"/>
      <c r="E1818" s="80"/>
      <c r="F1818" s="133"/>
      <c r="G1818" s="96"/>
      <c r="H1818" s="100"/>
      <c r="I1818" s="100"/>
      <c r="J1818" s="39" t="s">
        <v>334</v>
      </c>
      <c r="K1818" s="112"/>
      <c r="L1818" s="113"/>
      <c r="M1818" s="62"/>
      <c r="N1818" s="28" t="e">
        <f t="shared" si="8"/>
        <v>#VALUE!</v>
      </c>
      <c r="O1818" s="65"/>
      <c r="P1818" s="29" t="s">
        <v>334</v>
      </c>
      <c r="Q1818" s="55"/>
      <c r="R1818" s="31" t="e">
        <f t="shared" si="9"/>
        <v>#VALUE!</v>
      </c>
      <c r="S1818" s="66"/>
      <c r="T1818" s="32" t="e">
        <f t="shared" si="10"/>
        <v>#VALUE!</v>
      </c>
      <c r="U1818" s="57"/>
      <c r="V1818" s="58"/>
      <c r="W1818" s="58"/>
      <c r="X1818" s="30" t="e">
        <f t="shared" si="11"/>
        <v>#N/A</v>
      </c>
      <c r="Y1818" s="30" t="e">
        <f t="shared" si="12"/>
        <v>#N/A</v>
      </c>
      <c r="Z1818" s="35" t="e">
        <f t="shared" si="13"/>
        <v>#VALUE!</v>
      </c>
      <c r="AA1818" s="29" t="e">
        <f t="shared" si="14"/>
        <v>#VALUE!</v>
      </c>
      <c r="AB1818" s="36" t="e">
        <f t="shared" si="15"/>
        <v>#VALUE!</v>
      </c>
      <c r="AC1818" s="37" t="b">
        <v>0</v>
      </c>
      <c r="AD1818" s="61" t="str">
        <f t="shared" si="16"/>
        <v>USD</v>
      </c>
      <c r="AE1818" s="37"/>
      <c r="AF1818" s="37" t="e">
        <f t="array" ref="AF1818">INDEX('Deal Info'!D:D, MATCH(A1818,'Deal Info'!A:A, 0))</f>
        <v>#N/A</v>
      </c>
      <c r="AG1818" s="38" t="e">
        <f t="array" ref="AG1818">INDEX('Deal Info'!G:G, MATCH(A1818,'Deal Info'!A:A, 0))</f>
        <v>#N/A</v>
      </c>
    </row>
    <row r="1819" spans="1:33" ht="14.25" hidden="1" x14ac:dyDescent="0.2">
      <c r="A1819" s="18" t="b">
        <f t="array" ref="A1819">IF(G1819='Room Info'!$B$1, INDEX('Room Info'!$A$2:$A2446, MATCH(B1819,'Room Info'!$B$2:$B2446, 0)),IF(G1819='Room Info'!$C$1, INDEX('Room Info'!$A$2:$A2446, MATCH(B1819,'Room Info'!$C$2:$C2446, 0)),IF(G1819='Room Info'!$D$1, INDEX('Room Info'!$A$2:$A2446, MATCH(B1819,'Room Info'!$D$2:$D2446, 0)),IF(G1819='Room Info'!$E$1, INDEX('Room Info'!$A$2:$A2446, MATCH(B1819,'Room Info'!$E$2:$E2446, 0)),IF(G1819='Room Info'!$F$1, INDEX('Room Info'!$A$2:$A2446, MATCH(B1819,'Room Info'!$F$2:$F2446, 0)),IF(G1819='Room Info'!$H$1, INDEX('Room Info'!$A$2:$A2446, MATCH(B1819,'Room Info'!$H$2:$H2446, 0)),IF(G1819='Room Info'!$G$1, INDEX('Room Info'!$A$2:$A2446, MATCH(B1819,'Room Info'!$G$2:$G2446, 0)))))))))</f>
        <v>0</v>
      </c>
      <c r="B1819" s="96"/>
      <c r="C1819" s="136"/>
      <c r="D1819" s="136"/>
      <c r="E1819" s="137"/>
      <c r="F1819" s="133"/>
      <c r="G1819" s="96"/>
      <c r="H1819" s="100"/>
      <c r="I1819" s="100"/>
      <c r="J1819" s="39" t="s">
        <v>334</v>
      </c>
      <c r="K1819" s="134"/>
      <c r="L1819" s="135"/>
      <c r="M1819" s="79"/>
      <c r="N1819" s="28" t="e">
        <f t="shared" si="8"/>
        <v>#VALUE!</v>
      </c>
      <c r="O1819" s="96"/>
      <c r="P1819" s="29" t="s">
        <v>334</v>
      </c>
      <c r="Q1819" s="55"/>
      <c r="R1819" s="31" t="e">
        <f t="shared" si="9"/>
        <v>#VALUE!</v>
      </c>
      <c r="S1819" s="97"/>
      <c r="T1819" s="32" t="e">
        <f t="shared" si="10"/>
        <v>#VALUE!</v>
      </c>
      <c r="U1819" s="57"/>
      <c r="V1819" s="58"/>
      <c r="W1819" s="58"/>
      <c r="X1819" s="30" t="e">
        <f t="shared" si="11"/>
        <v>#N/A</v>
      </c>
      <c r="Y1819" s="30" t="e">
        <f t="shared" si="12"/>
        <v>#N/A</v>
      </c>
      <c r="Z1819" s="35" t="e">
        <f t="shared" si="13"/>
        <v>#VALUE!</v>
      </c>
      <c r="AA1819" s="29" t="e">
        <f t="shared" si="14"/>
        <v>#VALUE!</v>
      </c>
      <c r="AB1819" s="36" t="e">
        <f t="shared" si="15"/>
        <v>#VALUE!</v>
      </c>
      <c r="AC1819" s="37" t="b">
        <v>0</v>
      </c>
      <c r="AD1819" s="61" t="str">
        <f t="shared" si="16"/>
        <v>USD</v>
      </c>
      <c r="AE1819" s="37"/>
      <c r="AF1819" s="37" t="e">
        <f t="array" ref="AF1819">INDEX('Deal Info'!D:D, MATCH(A1819,'Deal Info'!A:A, 0))</f>
        <v>#N/A</v>
      </c>
      <c r="AG1819" s="38" t="e">
        <f t="array" ref="AG1819">INDEX('Deal Info'!G:G, MATCH(A1819,'Deal Info'!A:A, 0))</f>
        <v>#N/A</v>
      </c>
    </row>
    <row r="1820" spans="1:33" ht="14.25" hidden="1" x14ac:dyDescent="0.2">
      <c r="A1820" s="18" t="b">
        <f t="array" ref="A1820">IF(G1820='Room Info'!$B$1, INDEX('Room Info'!$A$2:$A2446, MATCH(B1820,'Room Info'!$B$2:$B2446, 0)),IF(G1820='Room Info'!$C$1, INDEX('Room Info'!$A$2:$A2446, MATCH(B1820,'Room Info'!$C$2:$C2446, 0)),IF(G1820='Room Info'!$D$1, INDEX('Room Info'!$A$2:$A2446, MATCH(B1820,'Room Info'!$D$2:$D2446, 0)),IF(G1820='Room Info'!$E$1, INDEX('Room Info'!$A$2:$A2446, MATCH(B1820,'Room Info'!$E$2:$E2446, 0)),IF(G1820='Room Info'!$F$1, INDEX('Room Info'!$A$2:$A2446, MATCH(B1820,'Room Info'!$F$2:$F2446, 0)),IF(G1820='Room Info'!$H$1, INDEX('Room Info'!$A$2:$A2446, MATCH(B1820,'Room Info'!$H$2:$H2446, 0)),IF(G1820='Room Info'!$G$1, INDEX('Room Info'!$A$2:$A2446, MATCH(B1820,'Room Info'!$G$2:$G2446, 0)))))))))</f>
        <v>0</v>
      </c>
      <c r="B1820" s="65"/>
      <c r="C1820" s="111"/>
      <c r="D1820" s="111"/>
      <c r="E1820" s="80"/>
      <c r="F1820" s="96"/>
      <c r="G1820" s="65"/>
      <c r="H1820" s="100"/>
      <c r="I1820" s="100"/>
      <c r="J1820" s="39" t="s">
        <v>334</v>
      </c>
      <c r="K1820" s="112"/>
      <c r="L1820" s="113"/>
      <c r="M1820" s="62"/>
      <c r="N1820" s="28" t="e">
        <f t="shared" si="8"/>
        <v>#VALUE!</v>
      </c>
      <c r="O1820" s="65"/>
      <c r="P1820" s="29" t="s">
        <v>334</v>
      </c>
      <c r="Q1820" s="55"/>
      <c r="R1820" s="31" t="e">
        <f t="shared" si="9"/>
        <v>#VALUE!</v>
      </c>
      <c r="S1820" s="66"/>
      <c r="T1820" s="32" t="e">
        <f t="shared" si="10"/>
        <v>#VALUE!</v>
      </c>
      <c r="U1820" s="57"/>
      <c r="V1820" s="58"/>
      <c r="W1820" s="58"/>
      <c r="X1820" s="30" t="e">
        <f t="shared" si="11"/>
        <v>#N/A</v>
      </c>
      <c r="Y1820" s="30" t="e">
        <f t="shared" si="12"/>
        <v>#N/A</v>
      </c>
      <c r="Z1820" s="35" t="e">
        <f t="shared" si="13"/>
        <v>#VALUE!</v>
      </c>
      <c r="AA1820" s="29" t="e">
        <f t="shared" si="14"/>
        <v>#VALUE!</v>
      </c>
      <c r="AB1820" s="36" t="e">
        <f t="shared" si="15"/>
        <v>#VALUE!</v>
      </c>
      <c r="AC1820" s="37" t="b">
        <v>0</v>
      </c>
      <c r="AD1820" s="61" t="str">
        <f t="shared" si="16"/>
        <v>USD</v>
      </c>
      <c r="AE1820" s="37"/>
      <c r="AF1820" s="37" t="e">
        <f t="array" ref="AF1820">INDEX('Deal Info'!D:D, MATCH(A1820,'Deal Info'!A:A, 0))</f>
        <v>#N/A</v>
      </c>
      <c r="AG1820" s="38" t="e">
        <f t="array" ref="AG1820">INDEX('Deal Info'!G:G, MATCH(A1820,'Deal Info'!A:A, 0))</f>
        <v>#N/A</v>
      </c>
    </row>
    <row r="1821" spans="1:33" ht="14.25" hidden="1" x14ac:dyDescent="0.2">
      <c r="A1821" s="18" t="b">
        <f t="array" ref="A1821">IF(G1821='Room Info'!$B$1, INDEX('Room Info'!$A$2:$A2446, MATCH(B1821,'Room Info'!$B$2:$B2446, 0)),IF(G1821='Room Info'!$C$1, INDEX('Room Info'!$A$2:$A2446, MATCH(B1821,'Room Info'!$C$2:$C2446, 0)),IF(G1821='Room Info'!$D$1, INDEX('Room Info'!$A$2:$A2446, MATCH(B1821,'Room Info'!$D$2:$D2446, 0)),IF(G1821='Room Info'!$E$1, INDEX('Room Info'!$A$2:$A2446, MATCH(B1821,'Room Info'!$E$2:$E2446, 0)),IF(G1821='Room Info'!$F$1, INDEX('Room Info'!$A$2:$A2446, MATCH(B1821,'Room Info'!$F$2:$F2446, 0)),IF(G1821='Room Info'!$H$1, INDEX('Room Info'!$A$2:$A2446, MATCH(B1821,'Room Info'!$H$2:$H2446, 0)),IF(G1821='Room Info'!$G$1, INDEX('Room Info'!$A$2:$A2446, MATCH(B1821,'Room Info'!$G$2:$G2446, 0)))))))))</f>
        <v>0</v>
      </c>
      <c r="B1821" s="96"/>
      <c r="C1821" s="136"/>
      <c r="D1821" s="136"/>
      <c r="E1821" s="137"/>
      <c r="F1821" s="133"/>
      <c r="G1821" s="96"/>
      <c r="H1821" s="100"/>
      <c r="I1821" s="100"/>
      <c r="J1821" s="39" t="s">
        <v>334</v>
      </c>
      <c r="K1821" s="134"/>
      <c r="L1821" s="135"/>
      <c r="M1821" s="79"/>
      <c r="N1821" s="28" t="e">
        <f t="shared" si="8"/>
        <v>#VALUE!</v>
      </c>
      <c r="O1821" s="96"/>
      <c r="P1821" s="29" t="s">
        <v>334</v>
      </c>
      <c r="Q1821" s="55"/>
      <c r="R1821" s="31" t="e">
        <f t="shared" si="9"/>
        <v>#VALUE!</v>
      </c>
      <c r="S1821" s="97"/>
      <c r="T1821" s="32" t="e">
        <f t="shared" si="10"/>
        <v>#VALUE!</v>
      </c>
      <c r="U1821" s="57"/>
      <c r="V1821" s="58"/>
      <c r="W1821" s="58"/>
      <c r="X1821" s="30" t="e">
        <f t="shared" si="11"/>
        <v>#N/A</v>
      </c>
      <c r="Y1821" s="30" t="e">
        <f t="shared" si="12"/>
        <v>#N/A</v>
      </c>
      <c r="Z1821" s="35" t="e">
        <f t="shared" si="13"/>
        <v>#VALUE!</v>
      </c>
      <c r="AA1821" s="29" t="e">
        <f t="shared" si="14"/>
        <v>#VALUE!</v>
      </c>
      <c r="AB1821" s="36" t="e">
        <f t="shared" si="15"/>
        <v>#VALUE!</v>
      </c>
      <c r="AC1821" s="37" t="b">
        <v>0</v>
      </c>
      <c r="AD1821" s="61" t="str">
        <f t="shared" si="16"/>
        <v>USD</v>
      </c>
      <c r="AE1821" s="37"/>
      <c r="AF1821" s="37" t="e">
        <f t="array" ref="AF1821">INDEX('Deal Info'!D:D, MATCH(A1821,'Deal Info'!A:A, 0))</f>
        <v>#N/A</v>
      </c>
      <c r="AG1821" s="38" t="e">
        <f t="array" ref="AG1821">INDEX('Deal Info'!G:G, MATCH(A1821,'Deal Info'!A:A, 0))</f>
        <v>#N/A</v>
      </c>
    </row>
    <row r="1822" spans="1:33" ht="14.25" hidden="1" x14ac:dyDescent="0.2">
      <c r="A1822" s="18" t="b">
        <f t="array" ref="A1822">IF(G1822='Room Info'!$B$1, INDEX('Room Info'!$A$2:$A2446, MATCH(B1822,'Room Info'!$B$2:$B2446, 0)),IF(G1822='Room Info'!$C$1, INDEX('Room Info'!$A$2:$A2446, MATCH(B1822,'Room Info'!$C$2:$C2446, 0)),IF(G1822='Room Info'!$D$1, INDEX('Room Info'!$A$2:$A2446, MATCH(B1822,'Room Info'!$D$2:$D2446, 0)),IF(G1822='Room Info'!$E$1, INDEX('Room Info'!$A$2:$A2446, MATCH(B1822,'Room Info'!$E$2:$E2446, 0)),IF(G1822='Room Info'!$F$1, INDEX('Room Info'!$A$2:$A2446, MATCH(B1822,'Room Info'!$F$2:$F2446, 0)),IF(G1822='Room Info'!$H$1, INDEX('Room Info'!$A$2:$A2446, MATCH(B1822,'Room Info'!$H$2:$H2446, 0)),IF(G1822='Room Info'!$G$1, INDEX('Room Info'!$A$2:$A2446, MATCH(B1822,'Room Info'!$G$2:$G2446, 0)))))))))</f>
        <v>0</v>
      </c>
      <c r="B1822" s="96"/>
      <c r="C1822" s="136"/>
      <c r="D1822" s="136"/>
      <c r="E1822" s="137"/>
      <c r="F1822" s="133"/>
      <c r="G1822" s="96"/>
      <c r="H1822" s="100"/>
      <c r="I1822" s="100"/>
      <c r="J1822" s="39" t="s">
        <v>334</v>
      </c>
      <c r="K1822" s="134"/>
      <c r="L1822" s="135"/>
      <c r="M1822" s="79"/>
      <c r="N1822" s="28" t="e">
        <f t="shared" si="8"/>
        <v>#VALUE!</v>
      </c>
      <c r="O1822" s="96"/>
      <c r="P1822" s="29" t="s">
        <v>334</v>
      </c>
      <c r="Q1822" s="55"/>
      <c r="R1822" s="31" t="e">
        <f t="shared" si="9"/>
        <v>#VALUE!</v>
      </c>
      <c r="S1822" s="97"/>
      <c r="T1822" s="32" t="e">
        <f t="shared" si="10"/>
        <v>#VALUE!</v>
      </c>
      <c r="U1822" s="57"/>
      <c r="V1822" s="58"/>
      <c r="W1822" s="58"/>
      <c r="X1822" s="30" t="e">
        <f t="shared" si="11"/>
        <v>#N/A</v>
      </c>
      <c r="Y1822" s="30" t="e">
        <f t="shared" si="12"/>
        <v>#N/A</v>
      </c>
      <c r="Z1822" s="35" t="e">
        <f t="shared" si="13"/>
        <v>#VALUE!</v>
      </c>
      <c r="AA1822" s="29" t="e">
        <f t="shared" si="14"/>
        <v>#VALUE!</v>
      </c>
      <c r="AB1822" s="36" t="e">
        <f t="shared" si="15"/>
        <v>#VALUE!</v>
      </c>
      <c r="AC1822" s="37" t="b">
        <v>0</v>
      </c>
      <c r="AD1822" s="61" t="str">
        <f t="shared" si="16"/>
        <v>USD</v>
      </c>
      <c r="AE1822" s="37"/>
      <c r="AF1822" s="37" t="e">
        <f t="array" ref="AF1822">INDEX('Deal Info'!D:D, MATCH(A1822,'Deal Info'!A:A, 0))</f>
        <v>#N/A</v>
      </c>
      <c r="AG1822" s="38" t="e">
        <f t="array" ref="AG1822">INDEX('Deal Info'!G:G, MATCH(A1822,'Deal Info'!A:A, 0))</f>
        <v>#N/A</v>
      </c>
    </row>
    <row r="1823" spans="1:33" ht="14.25" hidden="1" x14ac:dyDescent="0.2">
      <c r="A1823" s="18" t="b">
        <f t="array" ref="A1823">IF(G1823='Room Info'!$B$1, INDEX('Room Info'!$A$2:$A2446, MATCH(B1823,'Room Info'!$B$2:$B2446, 0)),IF(G1823='Room Info'!$C$1, INDEX('Room Info'!$A$2:$A2446, MATCH(B1823,'Room Info'!$C$2:$C2446, 0)),IF(G1823='Room Info'!$D$1, INDEX('Room Info'!$A$2:$A2446, MATCH(B1823,'Room Info'!$D$2:$D2446, 0)),IF(G1823='Room Info'!$E$1, INDEX('Room Info'!$A$2:$A2446, MATCH(B1823,'Room Info'!$E$2:$E2446, 0)),IF(G1823='Room Info'!$F$1, INDEX('Room Info'!$A$2:$A2446, MATCH(B1823,'Room Info'!$F$2:$F2446, 0)),IF(G1823='Room Info'!$H$1, INDEX('Room Info'!$A$2:$A2446, MATCH(B1823,'Room Info'!$H$2:$H2446, 0)),IF(G1823='Room Info'!$G$1, INDEX('Room Info'!$A$2:$A2446, MATCH(B1823,'Room Info'!$G$2:$G2446, 0)))))))))</f>
        <v>0</v>
      </c>
      <c r="B1823" s="65"/>
      <c r="C1823" s="111"/>
      <c r="D1823" s="111"/>
      <c r="E1823" s="80"/>
      <c r="F1823" s="133"/>
      <c r="G1823" s="65"/>
      <c r="H1823" s="110"/>
      <c r="I1823" s="110"/>
      <c r="J1823" s="39" t="s">
        <v>334</v>
      </c>
      <c r="K1823" s="112"/>
      <c r="L1823" s="138"/>
      <c r="M1823" s="62"/>
      <c r="N1823" s="28" t="e">
        <f t="shared" si="8"/>
        <v>#VALUE!</v>
      </c>
      <c r="O1823" s="128"/>
      <c r="P1823" s="29" t="s">
        <v>334</v>
      </c>
      <c r="Q1823" s="55"/>
      <c r="R1823" s="31" t="e">
        <f t="shared" si="9"/>
        <v>#VALUE!</v>
      </c>
      <c r="S1823" s="118"/>
      <c r="T1823" s="32" t="e">
        <f t="shared" si="10"/>
        <v>#VALUE!</v>
      </c>
      <c r="U1823" s="57"/>
      <c r="V1823" s="58"/>
      <c r="W1823" s="58"/>
      <c r="X1823" s="30" t="e">
        <f t="shared" si="11"/>
        <v>#N/A</v>
      </c>
      <c r="Y1823" s="30" t="e">
        <f t="shared" si="12"/>
        <v>#N/A</v>
      </c>
      <c r="Z1823" s="35" t="e">
        <f t="shared" si="13"/>
        <v>#VALUE!</v>
      </c>
      <c r="AA1823" s="29" t="e">
        <f t="shared" si="14"/>
        <v>#VALUE!</v>
      </c>
      <c r="AB1823" s="36" t="e">
        <f t="shared" si="15"/>
        <v>#VALUE!</v>
      </c>
      <c r="AC1823" s="37" t="b">
        <v>0</v>
      </c>
      <c r="AD1823" s="61" t="str">
        <f t="shared" si="16"/>
        <v>USD</v>
      </c>
      <c r="AE1823" s="37"/>
      <c r="AF1823" s="37" t="e">
        <f t="array" ref="AF1823">INDEX('Deal Info'!D:D, MATCH(A1823,'Deal Info'!A:A, 0))</f>
        <v>#N/A</v>
      </c>
      <c r="AG1823" s="38" t="e">
        <f t="array" ref="AG1823">INDEX('Deal Info'!G:G, MATCH(A1823,'Deal Info'!A:A, 0))</f>
        <v>#N/A</v>
      </c>
    </row>
    <row r="1824" spans="1:33" ht="14.25" hidden="1" x14ac:dyDescent="0.2">
      <c r="A1824" s="18" t="b">
        <f t="array" ref="A1824">IF(G1824='Room Info'!$B$1, INDEX('Room Info'!$A$2:$A2446, MATCH(B1824,'Room Info'!$B$2:$B2446, 0)),IF(G1824='Room Info'!$C$1, INDEX('Room Info'!$A$2:$A2446, MATCH(B1824,'Room Info'!$C$2:$C2446, 0)),IF(G1824='Room Info'!$D$1, INDEX('Room Info'!$A$2:$A2446, MATCH(B1824,'Room Info'!$D$2:$D2446, 0)),IF(G1824='Room Info'!$E$1, INDEX('Room Info'!$A$2:$A2446, MATCH(B1824,'Room Info'!$E$2:$E2446, 0)),IF(G1824='Room Info'!$F$1, INDEX('Room Info'!$A$2:$A2446, MATCH(B1824,'Room Info'!$F$2:$F2446, 0)),IF(G1824='Room Info'!$H$1, INDEX('Room Info'!$A$2:$A2446, MATCH(B1824,'Room Info'!$H$2:$H2446, 0)),IF(G1824='Room Info'!$G$1, INDEX('Room Info'!$A$2:$A2446, MATCH(B1824,'Room Info'!$G$2:$G2446, 0)))))))))</f>
        <v>0</v>
      </c>
      <c r="B1824" s="65"/>
      <c r="C1824" s="111"/>
      <c r="D1824" s="111"/>
      <c r="E1824" s="80"/>
      <c r="F1824" s="133"/>
      <c r="G1824" s="65"/>
      <c r="H1824" s="110"/>
      <c r="I1824" s="110"/>
      <c r="J1824" s="39" t="s">
        <v>334</v>
      </c>
      <c r="K1824" s="112"/>
      <c r="L1824" s="138"/>
      <c r="M1824" s="62"/>
      <c r="N1824" s="28" t="e">
        <f t="shared" si="8"/>
        <v>#VALUE!</v>
      </c>
      <c r="O1824" s="128"/>
      <c r="P1824" s="29" t="s">
        <v>334</v>
      </c>
      <c r="Q1824" s="55"/>
      <c r="R1824" s="31" t="e">
        <f t="shared" si="9"/>
        <v>#VALUE!</v>
      </c>
      <c r="S1824" s="118"/>
      <c r="T1824" s="32" t="e">
        <f t="shared" si="10"/>
        <v>#VALUE!</v>
      </c>
      <c r="U1824" s="57"/>
      <c r="V1824" s="58"/>
      <c r="W1824" s="58"/>
      <c r="X1824" s="30" t="e">
        <f t="shared" si="11"/>
        <v>#N/A</v>
      </c>
      <c r="Y1824" s="30" t="e">
        <f t="shared" si="12"/>
        <v>#N/A</v>
      </c>
      <c r="Z1824" s="35" t="e">
        <f t="shared" si="13"/>
        <v>#VALUE!</v>
      </c>
      <c r="AA1824" s="29" t="e">
        <f t="shared" si="14"/>
        <v>#VALUE!</v>
      </c>
      <c r="AB1824" s="36" t="e">
        <f t="shared" si="15"/>
        <v>#VALUE!</v>
      </c>
      <c r="AC1824" s="37" t="b">
        <v>0</v>
      </c>
      <c r="AD1824" s="61" t="str">
        <f t="shared" si="16"/>
        <v>USD</v>
      </c>
      <c r="AE1824" s="37"/>
      <c r="AF1824" s="37" t="e">
        <f t="array" ref="AF1824">INDEX('Deal Info'!D:D, MATCH(A1824,'Deal Info'!A:A, 0))</f>
        <v>#N/A</v>
      </c>
      <c r="AG1824" s="38" t="e">
        <f t="array" ref="AG1824">INDEX('Deal Info'!G:G, MATCH(A1824,'Deal Info'!A:A, 0))</f>
        <v>#N/A</v>
      </c>
    </row>
    <row r="1825" spans="1:33" ht="14.25" hidden="1" x14ac:dyDescent="0.2">
      <c r="A1825" s="18" t="b">
        <f t="array" ref="A1825">IF(G1825='Room Info'!$B$1, INDEX('Room Info'!$A$2:$A2446, MATCH(B1825,'Room Info'!$B$2:$B2446, 0)),IF(G1825='Room Info'!$C$1, INDEX('Room Info'!$A$2:$A2446, MATCH(B1825,'Room Info'!$C$2:$C2446, 0)),IF(G1825='Room Info'!$D$1, INDEX('Room Info'!$A$2:$A2446, MATCH(B1825,'Room Info'!$D$2:$D2446, 0)),IF(G1825='Room Info'!$E$1, INDEX('Room Info'!$A$2:$A2446, MATCH(B1825,'Room Info'!$E$2:$E2446, 0)),IF(G1825='Room Info'!$F$1, INDEX('Room Info'!$A$2:$A2446, MATCH(B1825,'Room Info'!$F$2:$F2446, 0)),IF(G1825='Room Info'!$H$1, INDEX('Room Info'!$A$2:$A2446, MATCH(B1825,'Room Info'!$H$2:$H2446, 0)),IF(G1825='Room Info'!$G$1, INDEX('Room Info'!$A$2:$A2446, MATCH(B1825,'Room Info'!$G$2:$G2446, 0)))))))))</f>
        <v>0</v>
      </c>
      <c r="B1825" s="65"/>
      <c r="C1825" s="111"/>
      <c r="D1825" s="111"/>
      <c r="E1825" s="80"/>
      <c r="F1825" s="133"/>
      <c r="G1825" s="65"/>
      <c r="H1825" s="110"/>
      <c r="I1825" s="110"/>
      <c r="J1825" s="39" t="s">
        <v>334</v>
      </c>
      <c r="K1825" s="112"/>
      <c r="L1825" s="138"/>
      <c r="M1825" s="62"/>
      <c r="N1825" s="28" t="e">
        <f t="shared" si="8"/>
        <v>#VALUE!</v>
      </c>
      <c r="O1825" s="128"/>
      <c r="P1825" s="29" t="s">
        <v>334</v>
      </c>
      <c r="Q1825" s="55"/>
      <c r="R1825" s="31" t="e">
        <f t="shared" si="9"/>
        <v>#VALUE!</v>
      </c>
      <c r="S1825" s="118"/>
      <c r="T1825" s="32" t="e">
        <f t="shared" si="10"/>
        <v>#VALUE!</v>
      </c>
      <c r="U1825" s="57"/>
      <c r="V1825" s="58"/>
      <c r="W1825" s="58"/>
      <c r="X1825" s="30" t="e">
        <f t="shared" si="11"/>
        <v>#N/A</v>
      </c>
      <c r="Y1825" s="30" t="e">
        <f t="shared" si="12"/>
        <v>#N/A</v>
      </c>
      <c r="Z1825" s="35" t="e">
        <f t="shared" si="13"/>
        <v>#VALUE!</v>
      </c>
      <c r="AA1825" s="29" t="e">
        <f t="shared" si="14"/>
        <v>#VALUE!</v>
      </c>
      <c r="AB1825" s="36" t="e">
        <f t="shared" si="15"/>
        <v>#VALUE!</v>
      </c>
      <c r="AC1825" s="37" t="b">
        <v>0</v>
      </c>
      <c r="AD1825" s="61" t="str">
        <f t="shared" si="16"/>
        <v>USD</v>
      </c>
      <c r="AE1825" s="37"/>
      <c r="AF1825" s="37" t="e">
        <f t="array" ref="AF1825">INDEX('Deal Info'!D:D, MATCH(A1825,'Deal Info'!A:A, 0))</f>
        <v>#N/A</v>
      </c>
      <c r="AG1825" s="38" t="e">
        <f t="array" ref="AG1825">INDEX('Deal Info'!G:G, MATCH(A1825,'Deal Info'!A:A, 0))</f>
        <v>#N/A</v>
      </c>
    </row>
    <row r="1826" spans="1:33" ht="14.25" hidden="1" x14ac:dyDescent="0.2">
      <c r="A1826" s="18" t="b">
        <f t="array" ref="A1826">IF(G1826='Room Info'!$B$1, INDEX('Room Info'!$A$2:$A2446, MATCH(B1826,'Room Info'!$B$2:$B2446, 0)),IF(G1826='Room Info'!$C$1, INDEX('Room Info'!$A$2:$A2446, MATCH(B1826,'Room Info'!$C$2:$C2446, 0)),IF(G1826='Room Info'!$D$1, INDEX('Room Info'!$A$2:$A2446, MATCH(B1826,'Room Info'!$D$2:$D2446, 0)),IF(G1826='Room Info'!$E$1, INDEX('Room Info'!$A$2:$A2446, MATCH(B1826,'Room Info'!$E$2:$E2446, 0)),IF(G1826='Room Info'!$F$1, INDEX('Room Info'!$A$2:$A2446, MATCH(B1826,'Room Info'!$F$2:$F2446, 0)),IF(G1826='Room Info'!$H$1, INDEX('Room Info'!$A$2:$A2446, MATCH(B1826,'Room Info'!$H$2:$H2446, 0)),IF(G1826='Room Info'!$G$1, INDEX('Room Info'!$A$2:$A2446, MATCH(B1826,'Room Info'!$G$2:$G2446, 0)))))))))</f>
        <v>0</v>
      </c>
      <c r="B1826" s="65"/>
      <c r="C1826" s="111"/>
      <c r="D1826" s="111"/>
      <c r="E1826" s="80"/>
      <c r="F1826" s="133"/>
      <c r="G1826" s="65"/>
      <c r="H1826" s="110"/>
      <c r="I1826" s="110"/>
      <c r="J1826" s="39" t="s">
        <v>334</v>
      </c>
      <c r="K1826" s="112"/>
      <c r="L1826" s="138"/>
      <c r="M1826" s="62"/>
      <c r="N1826" s="28" t="e">
        <f t="shared" si="8"/>
        <v>#VALUE!</v>
      </c>
      <c r="O1826" s="128"/>
      <c r="P1826" s="29" t="s">
        <v>334</v>
      </c>
      <c r="Q1826" s="55"/>
      <c r="R1826" s="31" t="e">
        <f t="shared" si="9"/>
        <v>#VALUE!</v>
      </c>
      <c r="S1826" s="118"/>
      <c r="T1826" s="32" t="e">
        <f t="shared" si="10"/>
        <v>#VALUE!</v>
      </c>
      <c r="U1826" s="57"/>
      <c r="V1826" s="58"/>
      <c r="W1826" s="58"/>
      <c r="X1826" s="30" t="e">
        <f t="shared" si="11"/>
        <v>#N/A</v>
      </c>
      <c r="Y1826" s="30" t="e">
        <f t="shared" si="12"/>
        <v>#N/A</v>
      </c>
      <c r="Z1826" s="35" t="e">
        <f t="shared" si="13"/>
        <v>#VALUE!</v>
      </c>
      <c r="AA1826" s="29" t="e">
        <f t="shared" si="14"/>
        <v>#VALUE!</v>
      </c>
      <c r="AB1826" s="36" t="e">
        <f t="shared" si="15"/>
        <v>#VALUE!</v>
      </c>
      <c r="AC1826" s="37" t="b">
        <v>0</v>
      </c>
      <c r="AD1826" s="61" t="str">
        <f t="shared" si="16"/>
        <v>USD</v>
      </c>
      <c r="AE1826" s="37"/>
      <c r="AF1826" s="37" t="e">
        <f t="array" ref="AF1826">INDEX('Deal Info'!D:D, MATCH(A1826,'Deal Info'!A:A, 0))</f>
        <v>#N/A</v>
      </c>
      <c r="AG1826" s="38" t="e">
        <f t="array" ref="AG1826">INDEX('Deal Info'!G:G, MATCH(A1826,'Deal Info'!A:A, 0))</f>
        <v>#N/A</v>
      </c>
    </row>
    <row r="1827" spans="1:33" ht="14.25" hidden="1" x14ac:dyDescent="0.2">
      <c r="A1827" s="18" t="b">
        <f t="array" ref="A1827">IF(G1827='Room Info'!$B$1, INDEX('Room Info'!$A$2:$A2446, MATCH(B1827,'Room Info'!$B$2:$B2446, 0)),IF(G1827='Room Info'!$C$1, INDEX('Room Info'!$A$2:$A2446, MATCH(B1827,'Room Info'!$C$2:$C2446, 0)),IF(G1827='Room Info'!$D$1, INDEX('Room Info'!$A$2:$A2446, MATCH(B1827,'Room Info'!$D$2:$D2446, 0)),IF(G1827='Room Info'!$E$1, INDEX('Room Info'!$A$2:$A2446, MATCH(B1827,'Room Info'!$E$2:$E2446, 0)),IF(G1827='Room Info'!$F$1, INDEX('Room Info'!$A$2:$A2446, MATCH(B1827,'Room Info'!$F$2:$F2446, 0)),IF(G1827='Room Info'!$H$1, INDEX('Room Info'!$A$2:$A2446, MATCH(B1827,'Room Info'!$H$2:$H2446, 0)),IF(G1827='Room Info'!$G$1, INDEX('Room Info'!$A$2:$A2446, MATCH(B1827,'Room Info'!$G$2:$G2446, 0)))))))))</f>
        <v>0</v>
      </c>
      <c r="B1827" s="65"/>
      <c r="C1827" s="111"/>
      <c r="D1827" s="111"/>
      <c r="E1827" s="80"/>
      <c r="F1827" s="133"/>
      <c r="G1827" s="65"/>
      <c r="H1827" s="110"/>
      <c r="I1827" s="110"/>
      <c r="J1827" s="39" t="s">
        <v>334</v>
      </c>
      <c r="K1827" s="112"/>
      <c r="L1827" s="138"/>
      <c r="M1827" s="62"/>
      <c r="N1827" s="28" t="e">
        <f t="shared" si="8"/>
        <v>#VALUE!</v>
      </c>
      <c r="O1827" s="128"/>
      <c r="P1827" s="29" t="s">
        <v>334</v>
      </c>
      <c r="Q1827" s="55"/>
      <c r="R1827" s="31" t="e">
        <f t="shared" si="9"/>
        <v>#VALUE!</v>
      </c>
      <c r="S1827" s="118"/>
      <c r="T1827" s="32" t="e">
        <f t="shared" si="10"/>
        <v>#VALUE!</v>
      </c>
      <c r="U1827" s="57"/>
      <c r="V1827" s="58"/>
      <c r="W1827" s="58"/>
      <c r="X1827" s="30" t="e">
        <f t="shared" si="11"/>
        <v>#N/A</v>
      </c>
      <c r="Y1827" s="30" t="e">
        <f t="shared" si="12"/>
        <v>#N/A</v>
      </c>
      <c r="Z1827" s="35" t="e">
        <f t="shared" si="13"/>
        <v>#VALUE!</v>
      </c>
      <c r="AA1827" s="29" t="e">
        <f t="shared" si="14"/>
        <v>#VALUE!</v>
      </c>
      <c r="AB1827" s="36" t="e">
        <f t="shared" si="15"/>
        <v>#VALUE!</v>
      </c>
      <c r="AC1827" s="37" t="b">
        <v>0</v>
      </c>
      <c r="AD1827" s="61" t="str">
        <f t="shared" si="16"/>
        <v>USD</v>
      </c>
      <c r="AE1827" s="37"/>
      <c r="AF1827" s="37" t="e">
        <f t="array" ref="AF1827">INDEX('Deal Info'!D:D, MATCH(A1827,'Deal Info'!A:A, 0))</f>
        <v>#N/A</v>
      </c>
      <c r="AG1827" s="38" t="e">
        <f t="array" ref="AG1827">INDEX('Deal Info'!G:G, MATCH(A1827,'Deal Info'!A:A, 0))</f>
        <v>#N/A</v>
      </c>
    </row>
    <row r="1828" spans="1:33" ht="14.25" hidden="1" x14ac:dyDescent="0.2">
      <c r="A1828" s="18" t="b">
        <f t="array" ref="A1828">IF(G1828='Room Info'!$B$1, INDEX('Room Info'!$A$2:$A2446, MATCH(B1828,'Room Info'!$B$2:$B2446, 0)),IF(G1828='Room Info'!$C$1, INDEX('Room Info'!$A$2:$A2446, MATCH(B1828,'Room Info'!$C$2:$C2446, 0)),IF(G1828='Room Info'!$D$1, INDEX('Room Info'!$A$2:$A2446, MATCH(B1828,'Room Info'!$D$2:$D2446, 0)),IF(G1828='Room Info'!$E$1, INDEX('Room Info'!$A$2:$A2446, MATCH(B1828,'Room Info'!$E$2:$E2446, 0)),IF(G1828='Room Info'!$F$1, INDEX('Room Info'!$A$2:$A2446, MATCH(B1828,'Room Info'!$F$2:$F2446, 0)),IF(G1828='Room Info'!$H$1, INDEX('Room Info'!$A$2:$A2446, MATCH(B1828,'Room Info'!$H$2:$H2446, 0)),IF(G1828='Room Info'!$G$1, INDEX('Room Info'!$A$2:$A2446, MATCH(B1828,'Room Info'!$G$2:$G2446, 0)))))))))</f>
        <v>0</v>
      </c>
      <c r="B1828" s="65"/>
      <c r="C1828" s="111"/>
      <c r="D1828" s="111"/>
      <c r="E1828" s="80"/>
      <c r="F1828" s="133"/>
      <c r="G1828" s="65"/>
      <c r="H1828" s="110"/>
      <c r="I1828" s="110"/>
      <c r="J1828" s="39" t="s">
        <v>334</v>
      </c>
      <c r="K1828" s="112"/>
      <c r="L1828" s="138"/>
      <c r="M1828" s="62"/>
      <c r="N1828" s="28" t="e">
        <f t="shared" si="8"/>
        <v>#VALUE!</v>
      </c>
      <c r="O1828" s="128"/>
      <c r="P1828" s="29" t="s">
        <v>334</v>
      </c>
      <c r="Q1828" s="55"/>
      <c r="R1828" s="31" t="e">
        <f t="shared" si="9"/>
        <v>#VALUE!</v>
      </c>
      <c r="S1828" s="118"/>
      <c r="T1828" s="32" t="e">
        <f t="shared" si="10"/>
        <v>#VALUE!</v>
      </c>
      <c r="U1828" s="57"/>
      <c r="V1828" s="58"/>
      <c r="W1828" s="58"/>
      <c r="X1828" s="30" t="e">
        <f t="shared" si="11"/>
        <v>#N/A</v>
      </c>
      <c r="Y1828" s="30" t="e">
        <f t="shared" si="12"/>
        <v>#N/A</v>
      </c>
      <c r="Z1828" s="35" t="e">
        <f t="shared" si="13"/>
        <v>#VALUE!</v>
      </c>
      <c r="AA1828" s="29" t="e">
        <f t="shared" si="14"/>
        <v>#VALUE!</v>
      </c>
      <c r="AB1828" s="36" t="e">
        <f t="shared" si="15"/>
        <v>#VALUE!</v>
      </c>
      <c r="AC1828" s="37" t="b">
        <v>0</v>
      </c>
      <c r="AD1828" s="61" t="str">
        <f t="shared" si="16"/>
        <v>USD</v>
      </c>
      <c r="AE1828" s="37"/>
      <c r="AF1828" s="37" t="e">
        <f t="array" ref="AF1828">INDEX('Deal Info'!D:D, MATCH(A1828,'Deal Info'!A:A, 0))</f>
        <v>#N/A</v>
      </c>
      <c r="AG1828" s="38" t="e">
        <f t="array" ref="AG1828">INDEX('Deal Info'!G:G, MATCH(A1828,'Deal Info'!A:A, 0))</f>
        <v>#N/A</v>
      </c>
    </row>
    <row r="1829" spans="1:33" ht="14.25" hidden="1" x14ac:dyDescent="0.2">
      <c r="A1829" s="18" t="b">
        <f t="array" ref="A1829">IF(G1829='Room Info'!$B$1, INDEX('Room Info'!$A$2:$A2446, MATCH(B1829,'Room Info'!$B$2:$B2446, 0)),IF(G1829='Room Info'!$C$1, INDEX('Room Info'!$A$2:$A2446, MATCH(B1829,'Room Info'!$C$2:$C2446, 0)),IF(G1829='Room Info'!$D$1, INDEX('Room Info'!$A$2:$A2446, MATCH(B1829,'Room Info'!$D$2:$D2446, 0)),IF(G1829='Room Info'!$E$1, INDEX('Room Info'!$A$2:$A2446, MATCH(B1829,'Room Info'!$E$2:$E2446, 0)),IF(G1829='Room Info'!$F$1, INDEX('Room Info'!$A$2:$A2446, MATCH(B1829,'Room Info'!$F$2:$F2446, 0)),IF(G1829='Room Info'!$H$1, INDEX('Room Info'!$A$2:$A2446, MATCH(B1829,'Room Info'!$H$2:$H2446, 0)),IF(G1829='Room Info'!$G$1, INDEX('Room Info'!$A$2:$A2446, MATCH(B1829,'Room Info'!$G$2:$G2446, 0)))))))))</f>
        <v>0</v>
      </c>
      <c r="B1829" s="65"/>
      <c r="C1829" s="111"/>
      <c r="D1829" s="111"/>
      <c r="E1829" s="80"/>
      <c r="F1829" s="133"/>
      <c r="G1829" s="65"/>
      <c r="H1829" s="110"/>
      <c r="I1829" s="110"/>
      <c r="J1829" s="39" t="s">
        <v>334</v>
      </c>
      <c r="K1829" s="112"/>
      <c r="L1829" s="138"/>
      <c r="M1829" s="62"/>
      <c r="N1829" s="28" t="e">
        <f t="shared" si="8"/>
        <v>#VALUE!</v>
      </c>
      <c r="O1829" s="128"/>
      <c r="P1829" s="29" t="s">
        <v>334</v>
      </c>
      <c r="Q1829" s="55"/>
      <c r="R1829" s="31" t="e">
        <f t="shared" si="9"/>
        <v>#VALUE!</v>
      </c>
      <c r="S1829" s="118"/>
      <c r="T1829" s="32" t="e">
        <f t="shared" si="10"/>
        <v>#VALUE!</v>
      </c>
      <c r="U1829" s="57"/>
      <c r="V1829" s="58"/>
      <c r="W1829" s="58"/>
      <c r="X1829" s="30" t="e">
        <f t="shared" si="11"/>
        <v>#N/A</v>
      </c>
      <c r="Y1829" s="30" t="e">
        <f t="shared" si="12"/>
        <v>#N/A</v>
      </c>
      <c r="Z1829" s="35" t="e">
        <f t="shared" si="13"/>
        <v>#VALUE!</v>
      </c>
      <c r="AA1829" s="29" t="e">
        <f t="shared" si="14"/>
        <v>#VALUE!</v>
      </c>
      <c r="AB1829" s="36" t="e">
        <f t="shared" si="15"/>
        <v>#VALUE!</v>
      </c>
      <c r="AC1829" s="37" t="b">
        <v>0</v>
      </c>
      <c r="AD1829" s="61" t="str">
        <f t="shared" si="16"/>
        <v>USD</v>
      </c>
      <c r="AE1829" s="37"/>
      <c r="AF1829" s="37" t="e">
        <f t="array" ref="AF1829">INDEX('Deal Info'!D:D, MATCH(A1829,'Deal Info'!A:A, 0))</f>
        <v>#N/A</v>
      </c>
      <c r="AG1829" s="38" t="e">
        <f t="array" ref="AG1829">INDEX('Deal Info'!G:G, MATCH(A1829,'Deal Info'!A:A, 0))</f>
        <v>#N/A</v>
      </c>
    </row>
    <row r="1830" spans="1:33" ht="14.25" hidden="1" x14ac:dyDescent="0.2">
      <c r="A1830" s="18" t="b">
        <f t="array" ref="A1830">IF(G1830='Room Info'!$B$1, INDEX('Room Info'!$A$2:$A2446, MATCH(B1830,'Room Info'!$B$2:$B2446, 0)),IF(G1830='Room Info'!$C$1, INDEX('Room Info'!$A$2:$A2446, MATCH(B1830,'Room Info'!$C$2:$C2446, 0)),IF(G1830='Room Info'!$D$1, INDEX('Room Info'!$A$2:$A2446, MATCH(B1830,'Room Info'!$D$2:$D2446, 0)),IF(G1830='Room Info'!$E$1, INDEX('Room Info'!$A$2:$A2446, MATCH(B1830,'Room Info'!$E$2:$E2446, 0)),IF(G1830='Room Info'!$F$1, INDEX('Room Info'!$A$2:$A2446, MATCH(B1830,'Room Info'!$F$2:$F2446, 0)),IF(G1830='Room Info'!$H$1, INDEX('Room Info'!$A$2:$A2446, MATCH(B1830,'Room Info'!$H$2:$H2446, 0)),IF(G1830='Room Info'!$G$1, INDEX('Room Info'!$A$2:$A2446, MATCH(B1830,'Room Info'!$G$2:$G2446, 0)))))))))</f>
        <v>0</v>
      </c>
      <c r="B1830" s="96"/>
      <c r="C1830" s="136"/>
      <c r="D1830" s="136"/>
      <c r="E1830" s="137"/>
      <c r="F1830" s="133"/>
      <c r="G1830" s="96"/>
      <c r="H1830" s="100"/>
      <c r="I1830" s="100"/>
      <c r="J1830" s="39" t="s">
        <v>334</v>
      </c>
      <c r="K1830" s="134"/>
      <c r="L1830" s="135"/>
      <c r="M1830" s="79"/>
      <c r="N1830" s="28" t="e">
        <f t="shared" si="8"/>
        <v>#VALUE!</v>
      </c>
      <c r="O1830" s="96"/>
      <c r="P1830" s="29" t="s">
        <v>334</v>
      </c>
      <c r="Q1830" s="55"/>
      <c r="R1830" s="31" t="e">
        <f t="shared" si="9"/>
        <v>#VALUE!</v>
      </c>
      <c r="S1830" s="97"/>
      <c r="T1830" s="32" t="e">
        <f t="shared" si="10"/>
        <v>#VALUE!</v>
      </c>
      <c r="U1830" s="57"/>
      <c r="V1830" s="58"/>
      <c r="W1830" s="58"/>
      <c r="X1830" s="30" t="e">
        <f t="shared" si="11"/>
        <v>#N/A</v>
      </c>
      <c r="Y1830" s="30" t="e">
        <f t="shared" si="12"/>
        <v>#N/A</v>
      </c>
      <c r="Z1830" s="35" t="e">
        <f t="shared" si="13"/>
        <v>#VALUE!</v>
      </c>
      <c r="AA1830" s="29" t="e">
        <f t="shared" si="14"/>
        <v>#VALUE!</v>
      </c>
      <c r="AB1830" s="36" t="e">
        <f t="shared" si="15"/>
        <v>#VALUE!</v>
      </c>
      <c r="AC1830" s="37" t="b">
        <v>0</v>
      </c>
      <c r="AD1830" s="61" t="str">
        <f t="shared" si="16"/>
        <v>USD</v>
      </c>
      <c r="AE1830" s="37"/>
      <c r="AF1830" s="37" t="e">
        <f t="array" ref="AF1830">INDEX('Deal Info'!D:D, MATCH(A1830,'Deal Info'!A:A, 0))</f>
        <v>#N/A</v>
      </c>
      <c r="AG1830" s="38" t="e">
        <f t="array" ref="AG1830">INDEX('Deal Info'!G:G, MATCH(A1830,'Deal Info'!A:A, 0))</f>
        <v>#N/A</v>
      </c>
    </row>
    <row r="1831" spans="1:33" ht="14.25" hidden="1" x14ac:dyDescent="0.2">
      <c r="A1831" s="18" t="b">
        <f t="array" ref="A1831">IF(G1831='Room Info'!$B$1, INDEX('Room Info'!$A$2:$A2446, MATCH(B1831,'Room Info'!$B$2:$B2446, 0)),IF(G1831='Room Info'!$C$1, INDEX('Room Info'!$A$2:$A2446, MATCH(B1831,'Room Info'!$C$2:$C2446, 0)),IF(G1831='Room Info'!$D$1, INDEX('Room Info'!$A$2:$A2446, MATCH(B1831,'Room Info'!$D$2:$D2446, 0)),IF(G1831='Room Info'!$E$1, INDEX('Room Info'!$A$2:$A2446, MATCH(B1831,'Room Info'!$E$2:$E2446, 0)),IF(G1831='Room Info'!$F$1, INDEX('Room Info'!$A$2:$A2446, MATCH(B1831,'Room Info'!$F$2:$F2446, 0)),IF(G1831='Room Info'!$H$1, INDEX('Room Info'!$A$2:$A2446, MATCH(B1831,'Room Info'!$H$2:$H2446, 0)),IF(G1831='Room Info'!$G$1, INDEX('Room Info'!$A$2:$A2446, MATCH(B1831,'Room Info'!$G$2:$G2446, 0)))))))))</f>
        <v>0</v>
      </c>
      <c r="B1831" s="96"/>
      <c r="C1831" s="136"/>
      <c r="D1831" s="136"/>
      <c r="E1831" s="137"/>
      <c r="F1831" s="133"/>
      <c r="G1831" s="96"/>
      <c r="H1831" s="100"/>
      <c r="I1831" s="100"/>
      <c r="J1831" s="39" t="s">
        <v>334</v>
      </c>
      <c r="K1831" s="134"/>
      <c r="L1831" s="135"/>
      <c r="M1831" s="79"/>
      <c r="N1831" s="28" t="e">
        <f t="shared" si="8"/>
        <v>#VALUE!</v>
      </c>
      <c r="O1831" s="96"/>
      <c r="P1831" s="29" t="s">
        <v>334</v>
      </c>
      <c r="Q1831" s="55"/>
      <c r="R1831" s="31" t="e">
        <f t="shared" si="9"/>
        <v>#VALUE!</v>
      </c>
      <c r="S1831" s="97"/>
      <c r="T1831" s="32" t="e">
        <f t="shared" si="10"/>
        <v>#VALUE!</v>
      </c>
      <c r="U1831" s="57"/>
      <c r="V1831" s="58"/>
      <c r="W1831" s="58"/>
      <c r="X1831" s="30" t="e">
        <f t="shared" si="11"/>
        <v>#N/A</v>
      </c>
      <c r="Y1831" s="30" t="e">
        <f t="shared" si="12"/>
        <v>#N/A</v>
      </c>
      <c r="Z1831" s="35" t="e">
        <f t="shared" si="13"/>
        <v>#VALUE!</v>
      </c>
      <c r="AA1831" s="29" t="e">
        <f t="shared" si="14"/>
        <v>#VALUE!</v>
      </c>
      <c r="AB1831" s="36" t="e">
        <f t="shared" si="15"/>
        <v>#VALUE!</v>
      </c>
      <c r="AC1831" s="37" t="b">
        <v>0</v>
      </c>
      <c r="AD1831" s="61" t="str">
        <f t="shared" si="16"/>
        <v>USD</v>
      </c>
      <c r="AE1831" s="37"/>
      <c r="AF1831" s="37" t="e">
        <f t="array" ref="AF1831">INDEX('Deal Info'!D:D, MATCH(A1831,'Deal Info'!A:A, 0))</f>
        <v>#N/A</v>
      </c>
      <c r="AG1831" s="38" t="e">
        <f t="array" ref="AG1831">INDEX('Deal Info'!G:G, MATCH(A1831,'Deal Info'!A:A, 0))</f>
        <v>#N/A</v>
      </c>
    </row>
    <row r="1832" spans="1:33" ht="14.25" hidden="1" x14ac:dyDescent="0.2">
      <c r="A1832" s="18" t="b">
        <f t="array" ref="A1832">IF(G1832='Room Info'!$B$1, INDEX('Room Info'!$A$2:$A2446, MATCH(B1832,'Room Info'!$B$2:$B2446, 0)),IF(G1832='Room Info'!$C$1, INDEX('Room Info'!$A$2:$A2446, MATCH(B1832,'Room Info'!$C$2:$C2446, 0)),IF(G1832='Room Info'!$D$1, INDEX('Room Info'!$A$2:$A2446, MATCH(B1832,'Room Info'!$D$2:$D2446, 0)),IF(G1832='Room Info'!$E$1, INDEX('Room Info'!$A$2:$A2446, MATCH(B1832,'Room Info'!$E$2:$E2446, 0)),IF(G1832='Room Info'!$F$1, INDEX('Room Info'!$A$2:$A2446, MATCH(B1832,'Room Info'!$F$2:$F2446, 0)),IF(G1832='Room Info'!$H$1, INDEX('Room Info'!$A$2:$A2446, MATCH(B1832,'Room Info'!$H$2:$H2446, 0)),IF(G1832='Room Info'!$G$1, INDEX('Room Info'!$A$2:$A2446, MATCH(B1832,'Room Info'!$G$2:$G2446, 0)))))))))</f>
        <v>0</v>
      </c>
      <c r="B1832" s="96"/>
      <c r="C1832" s="136"/>
      <c r="D1832" s="136"/>
      <c r="E1832" s="137"/>
      <c r="F1832" s="133"/>
      <c r="G1832" s="96"/>
      <c r="H1832" s="100"/>
      <c r="I1832" s="100"/>
      <c r="J1832" s="39" t="s">
        <v>334</v>
      </c>
      <c r="K1832" s="112"/>
      <c r="L1832" s="113"/>
      <c r="M1832" s="62"/>
      <c r="N1832" s="28" t="e">
        <f t="shared" si="8"/>
        <v>#VALUE!</v>
      </c>
      <c r="O1832" s="65"/>
      <c r="P1832" s="29" t="s">
        <v>334</v>
      </c>
      <c r="Q1832" s="55"/>
      <c r="R1832" s="31" t="e">
        <f t="shared" si="9"/>
        <v>#VALUE!</v>
      </c>
      <c r="S1832" s="66"/>
      <c r="T1832" s="32" t="e">
        <f t="shared" si="10"/>
        <v>#VALUE!</v>
      </c>
      <c r="U1832" s="57"/>
      <c r="V1832" s="58"/>
      <c r="W1832" s="58"/>
      <c r="X1832" s="30" t="e">
        <f t="shared" si="11"/>
        <v>#N/A</v>
      </c>
      <c r="Y1832" s="30" t="e">
        <f t="shared" si="12"/>
        <v>#N/A</v>
      </c>
      <c r="Z1832" s="35" t="e">
        <f t="shared" si="13"/>
        <v>#VALUE!</v>
      </c>
      <c r="AA1832" s="29" t="e">
        <f t="shared" si="14"/>
        <v>#VALUE!</v>
      </c>
      <c r="AB1832" s="36" t="e">
        <f t="shared" si="15"/>
        <v>#VALUE!</v>
      </c>
      <c r="AC1832" s="37" t="b">
        <v>0</v>
      </c>
      <c r="AD1832" s="61" t="str">
        <f t="shared" si="16"/>
        <v>USD</v>
      </c>
      <c r="AE1832" s="37"/>
      <c r="AF1832" s="37" t="e">
        <f t="array" ref="AF1832">INDEX('Deal Info'!D:D, MATCH(A1832,'Deal Info'!A:A, 0))</f>
        <v>#N/A</v>
      </c>
      <c r="AG1832" s="38" t="e">
        <f t="array" ref="AG1832">INDEX('Deal Info'!G:G, MATCH(A1832,'Deal Info'!A:A, 0))</f>
        <v>#N/A</v>
      </c>
    </row>
    <row r="1833" spans="1:33" ht="14.25" hidden="1" x14ac:dyDescent="0.2">
      <c r="A1833" s="18" t="b">
        <f t="array" ref="A1833">IF(G1833='Room Info'!$B$1, INDEX('Room Info'!$A$2:$A2446, MATCH(B1833,'Room Info'!$B$2:$B2446, 0)),IF(G1833='Room Info'!$C$1, INDEX('Room Info'!$A$2:$A2446, MATCH(B1833,'Room Info'!$C$2:$C2446, 0)),IF(G1833='Room Info'!$D$1, INDEX('Room Info'!$A$2:$A2446, MATCH(B1833,'Room Info'!$D$2:$D2446, 0)),IF(G1833='Room Info'!$E$1, INDEX('Room Info'!$A$2:$A2446, MATCH(B1833,'Room Info'!$E$2:$E2446, 0)),IF(G1833='Room Info'!$F$1, INDEX('Room Info'!$A$2:$A2446, MATCH(B1833,'Room Info'!$F$2:$F2446, 0)),IF(G1833='Room Info'!$H$1, INDEX('Room Info'!$A$2:$A2446, MATCH(B1833,'Room Info'!$H$2:$H2446, 0)),IF(G1833='Room Info'!$G$1, INDEX('Room Info'!$A$2:$A2446, MATCH(B1833,'Room Info'!$G$2:$G2446, 0)))))))))</f>
        <v>0</v>
      </c>
      <c r="B1833" s="96"/>
      <c r="C1833" s="111"/>
      <c r="D1833" s="111"/>
      <c r="E1833" s="80"/>
      <c r="F1833" s="96"/>
      <c r="G1833" s="65"/>
      <c r="H1833" s="110"/>
      <c r="I1833" s="110"/>
      <c r="J1833" s="39" t="s">
        <v>334</v>
      </c>
      <c r="K1833" s="112"/>
      <c r="L1833" s="113"/>
      <c r="M1833" s="62"/>
      <c r="N1833" s="28" t="e">
        <f t="shared" si="8"/>
        <v>#VALUE!</v>
      </c>
      <c r="O1833" s="65"/>
      <c r="P1833" s="29" t="s">
        <v>334</v>
      </c>
      <c r="Q1833" s="55"/>
      <c r="R1833" s="31" t="e">
        <f t="shared" si="9"/>
        <v>#VALUE!</v>
      </c>
      <c r="S1833" s="66"/>
      <c r="T1833" s="32" t="e">
        <f t="shared" si="10"/>
        <v>#VALUE!</v>
      </c>
      <c r="U1833" s="57"/>
      <c r="V1833" s="58"/>
      <c r="W1833" s="58"/>
      <c r="X1833" s="30" t="e">
        <f t="shared" si="11"/>
        <v>#N/A</v>
      </c>
      <c r="Y1833" s="30" t="e">
        <f t="shared" si="12"/>
        <v>#N/A</v>
      </c>
      <c r="Z1833" s="35" t="e">
        <f t="shared" si="13"/>
        <v>#VALUE!</v>
      </c>
      <c r="AA1833" s="29" t="e">
        <f t="shared" si="14"/>
        <v>#VALUE!</v>
      </c>
      <c r="AB1833" s="36" t="e">
        <f t="shared" si="15"/>
        <v>#VALUE!</v>
      </c>
      <c r="AC1833" s="37" t="b">
        <v>0</v>
      </c>
      <c r="AD1833" s="61" t="str">
        <f t="shared" si="16"/>
        <v>USD</v>
      </c>
      <c r="AE1833" s="37"/>
      <c r="AF1833" s="37" t="e">
        <f t="array" ref="AF1833">INDEX('Deal Info'!D:D, MATCH(A1833,'Deal Info'!A:A, 0))</f>
        <v>#N/A</v>
      </c>
      <c r="AG1833" s="38" t="e">
        <f t="array" ref="AG1833">INDEX('Deal Info'!G:G, MATCH(A1833,'Deal Info'!A:A, 0))</f>
        <v>#N/A</v>
      </c>
    </row>
    <row r="1834" spans="1:33" ht="14.25" hidden="1" x14ac:dyDescent="0.2">
      <c r="A1834" s="18" t="b">
        <f t="array" ref="A1834">IF(G1834='Room Info'!$B$1, INDEX('Room Info'!$A$2:$A2446, MATCH(B1834,'Room Info'!$B$2:$B2446, 0)),IF(G1834='Room Info'!$C$1, INDEX('Room Info'!$A$2:$A2446, MATCH(B1834,'Room Info'!$C$2:$C2446, 0)),IF(G1834='Room Info'!$D$1, INDEX('Room Info'!$A$2:$A2446, MATCH(B1834,'Room Info'!$D$2:$D2446, 0)),IF(G1834='Room Info'!$E$1, INDEX('Room Info'!$A$2:$A2446, MATCH(B1834,'Room Info'!$E$2:$E2446, 0)),IF(G1834='Room Info'!$F$1, INDEX('Room Info'!$A$2:$A2446, MATCH(B1834,'Room Info'!$F$2:$F2446, 0)),IF(G1834='Room Info'!$H$1, INDEX('Room Info'!$A$2:$A2446, MATCH(B1834,'Room Info'!$H$2:$H2446, 0)),IF(G1834='Room Info'!$G$1, INDEX('Room Info'!$A$2:$A2446, MATCH(B1834,'Room Info'!$G$2:$G2446, 0)))))))))</f>
        <v>0</v>
      </c>
      <c r="B1834" s="96"/>
      <c r="C1834" s="136"/>
      <c r="D1834" s="136"/>
      <c r="E1834" s="137"/>
      <c r="F1834" s="133"/>
      <c r="G1834" s="96"/>
      <c r="H1834" s="100"/>
      <c r="I1834" s="100"/>
      <c r="J1834" s="39" t="s">
        <v>334</v>
      </c>
      <c r="K1834" s="134"/>
      <c r="L1834" s="135"/>
      <c r="M1834" s="79"/>
      <c r="N1834" s="28" t="e">
        <f t="shared" si="8"/>
        <v>#VALUE!</v>
      </c>
      <c r="O1834" s="96"/>
      <c r="P1834" s="29" t="s">
        <v>334</v>
      </c>
      <c r="Q1834" s="55"/>
      <c r="R1834" s="31" t="e">
        <f t="shared" si="9"/>
        <v>#VALUE!</v>
      </c>
      <c r="S1834" s="97"/>
      <c r="T1834" s="32" t="e">
        <f t="shared" si="10"/>
        <v>#VALUE!</v>
      </c>
      <c r="U1834" s="57"/>
      <c r="V1834" s="58"/>
      <c r="W1834" s="58"/>
      <c r="X1834" s="30" t="e">
        <f t="shared" si="11"/>
        <v>#N/A</v>
      </c>
      <c r="Y1834" s="30" t="e">
        <f t="shared" si="12"/>
        <v>#N/A</v>
      </c>
      <c r="Z1834" s="35" t="e">
        <f t="shared" si="13"/>
        <v>#VALUE!</v>
      </c>
      <c r="AA1834" s="29" t="e">
        <f t="shared" si="14"/>
        <v>#VALUE!</v>
      </c>
      <c r="AB1834" s="36" t="e">
        <f t="shared" si="15"/>
        <v>#VALUE!</v>
      </c>
      <c r="AC1834" s="37" t="b">
        <v>0</v>
      </c>
      <c r="AD1834" s="61" t="str">
        <f t="shared" si="16"/>
        <v>USD</v>
      </c>
      <c r="AE1834" s="37"/>
      <c r="AF1834" s="37" t="e">
        <f t="array" ref="AF1834">INDEX('Deal Info'!D:D, MATCH(A1834,'Deal Info'!A:A, 0))</f>
        <v>#N/A</v>
      </c>
      <c r="AG1834" s="38" t="e">
        <f t="array" ref="AG1834">INDEX('Deal Info'!G:G, MATCH(A1834,'Deal Info'!A:A, 0))</f>
        <v>#N/A</v>
      </c>
    </row>
    <row r="1835" spans="1:33" ht="14.25" hidden="1" x14ac:dyDescent="0.2">
      <c r="A1835" s="18" t="b">
        <f t="array" ref="A1835">IF(G1835='Room Info'!$B$1, INDEX('Room Info'!$A$2:$A2446, MATCH(B1835,'Room Info'!$B$2:$B2446, 0)),IF(G1835='Room Info'!$C$1, INDEX('Room Info'!$A$2:$A2446, MATCH(B1835,'Room Info'!$C$2:$C2446, 0)),IF(G1835='Room Info'!$D$1, INDEX('Room Info'!$A$2:$A2446, MATCH(B1835,'Room Info'!$D$2:$D2446, 0)),IF(G1835='Room Info'!$E$1, INDEX('Room Info'!$A$2:$A2446, MATCH(B1835,'Room Info'!$E$2:$E2446, 0)),IF(G1835='Room Info'!$F$1, INDEX('Room Info'!$A$2:$A2446, MATCH(B1835,'Room Info'!$F$2:$F2446, 0)),IF(G1835='Room Info'!$H$1, INDEX('Room Info'!$A$2:$A2446, MATCH(B1835,'Room Info'!$H$2:$H2446, 0)),IF(G1835='Room Info'!$G$1, INDEX('Room Info'!$A$2:$A2446, MATCH(B1835,'Room Info'!$G$2:$G2446, 0)))))))))</f>
        <v>0</v>
      </c>
      <c r="B1835" s="96"/>
      <c r="C1835" s="111"/>
      <c r="D1835" s="111"/>
      <c r="E1835" s="80"/>
      <c r="F1835" s="133"/>
      <c r="G1835" s="65"/>
      <c r="H1835" s="110"/>
      <c r="I1835" s="110"/>
      <c r="J1835" s="39" t="s">
        <v>334</v>
      </c>
      <c r="K1835" s="112"/>
      <c r="L1835" s="113"/>
      <c r="M1835" s="62"/>
      <c r="N1835" s="28" t="e">
        <f t="shared" si="8"/>
        <v>#VALUE!</v>
      </c>
      <c r="O1835" s="65"/>
      <c r="P1835" s="29" t="s">
        <v>334</v>
      </c>
      <c r="Q1835" s="55"/>
      <c r="R1835" s="31" t="e">
        <f t="shared" si="9"/>
        <v>#VALUE!</v>
      </c>
      <c r="S1835" s="66"/>
      <c r="T1835" s="32" t="e">
        <f t="shared" si="10"/>
        <v>#VALUE!</v>
      </c>
      <c r="U1835" s="57"/>
      <c r="V1835" s="58"/>
      <c r="W1835" s="58"/>
      <c r="X1835" s="30" t="e">
        <f t="shared" si="11"/>
        <v>#N/A</v>
      </c>
      <c r="Y1835" s="30" t="e">
        <f t="shared" si="12"/>
        <v>#N/A</v>
      </c>
      <c r="Z1835" s="35" t="e">
        <f t="shared" si="13"/>
        <v>#VALUE!</v>
      </c>
      <c r="AA1835" s="29" t="e">
        <f t="shared" si="14"/>
        <v>#VALUE!</v>
      </c>
      <c r="AB1835" s="36" t="e">
        <f t="shared" si="15"/>
        <v>#VALUE!</v>
      </c>
      <c r="AC1835" s="37" t="b">
        <v>0</v>
      </c>
      <c r="AD1835" s="61" t="str">
        <f t="shared" si="16"/>
        <v>USD</v>
      </c>
      <c r="AE1835" s="37"/>
      <c r="AF1835" s="37" t="e">
        <f t="array" ref="AF1835">INDEX('Deal Info'!D:D, MATCH(A1835,'Deal Info'!A:A, 0))</f>
        <v>#N/A</v>
      </c>
      <c r="AG1835" s="38" t="e">
        <f t="array" ref="AG1835">INDEX('Deal Info'!G:G, MATCH(A1835,'Deal Info'!A:A, 0))</f>
        <v>#N/A</v>
      </c>
    </row>
    <row r="1836" spans="1:33" ht="14.25" hidden="1" x14ac:dyDescent="0.2">
      <c r="A1836" s="18" t="b">
        <f t="array" ref="A1836">IF(G1836='Room Info'!$B$1, INDEX('Room Info'!$A$2:$A2446, MATCH(B1836,'Room Info'!$B$2:$B2446, 0)),IF(G1836='Room Info'!$C$1, INDEX('Room Info'!$A$2:$A2446, MATCH(B1836,'Room Info'!$C$2:$C2446, 0)),IF(G1836='Room Info'!$D$1, INDEX('Room Info'!$A$2:$A2446, MATCH(B1836,'Room Info'!$D$2:$D2446, 0)),IF(G1836='Room Info'!$E$1, INDEX('Room Info'!$A$2:$A2446, MATCH(B1836,'Room Info'!$E$2:$E2446, 0)),IF(G1836='Room Info'!$F$1, INDEX('Room Info'!$A$2:$A2446, MATCH(B1836,'Room Info'!$F$2:$F2446, 0)),IF(G1836='Room Info'!$H$1, INDEX('Room Info'!$A$2:$A2446, MATCH(B1836,'Room Info'!$H$2:$H2446, 0)),IF(G1836='Room Info'!$G$1, INDEX('Room Info'!$A$2:$A2446, MATCH(B1836,'Room Info'!$G$2:$G2446, 0)))))))))</f>
        <v>0</v>
      </c>
      <c r="B1836" s="96"/>
      <c r="C1836" s="111"/>
      <c r="D1836" s="111"/>
      <c r="E1836" s="80"/>
      <c r="F1836" s="133"/>
      <c r="G1836" s="65"/>
      <c r="H1836" s="110"/>
      <c r="I1836" s="110"/>
      <c r="J1836" s="39" t="s">
        <v>334</v>
      </c>
      <c r="K1836" s="112"/>
      <c r="L1836" s="113"/>
      <c r="M1836" s="62"/>
      <c r="N1836" s="28" t="e">
        <f t="shared" si="8"/>
        <v>#VALUE!</v>
      </c>
      <c r="O1836" s="65"/>
      <c r="P1836" s="29" t="s">
        <v>334</v>
      </c>
      <c r="Q1836" s="55"/>
      <c r="R1836" s="31" t="e">
        <f t="shared" si="9"/>
        <v>#VALUE!</v>
      </c>
      <c r="S1836" s="66"/>
      <c r="T1836" s="32" t="e">
        <f t="shared" si="10"/>
        <v>#VALUE!</v>
      </c>
      <c r="U1836" s="57"/>
      <c r="V1836" s="58"/>
      <c r="W1836" s="58"/>
      <c r="X1836" s="30" t="e">
        <f t="shared" si="11"/>
        <v>#N/A</v>
      </c>
      <c r="Y1836" s="30" t="e">
        <f t="shared" si="12"/>
        <v>#N/A</v>
      </c>
      <c r="Z1836" s="35" t="e">
        <f t="shared" si="13"/>
        <v>#VALUE!</v>
      </c>
      <c r="AA1836" s="29" t="e">
        <f t="shared" si="14"/>
        <v>#VALUE!</v>
      </c>
      <c r="AB1836" s="36" t="e">
        <f t="shared" si="15"/>
        <v>#VALUE!</v>
      </c>
      <c r="AC1836" s="37" t="b">
        <v>0</v>
      </c>
      <c r="AD1836" s="61" t="str">
        <f t="shared" si="16"/>
        <v>USD</v>
      </c>
      <c r="AE1836" s="37"/>
      <c r="AF1836" s="37" t="e">
        <f t="array" ref="AF1836">INDEX('Deal Info'!D:D, MATCH(A1836,'Deal Info'!A:A, 0))</f>
        <v>#N/A</v>
      </c>
      <c r="AG1836" s="38" t="e">
        <f t="array" ref="AG1836">INDEX('Deal Info'!G:G, MATCH(A1836,'Deal Info'!A:A, 0))</f>
        <v>#N/A</v>
      </c>
    </row>
    <row r="1837" spans="1:33" ht="14.25" hidden="1" x14ac:dyDescent="0.2">
      <c r="A1837" s="18" t="b">
        <f t="array" ref="A1837">IF(G1837='Room Info'!$B$1, INDEX('Room Info'!$A$2:$A2446, MATCH(B1837,'Room Info'!$B$2:$B2446, 0)),IF(G1837='Room Info'!$C$1, INDEX('Room Info'!$A$2:$A2446, MATCH(B1837,'Room Info'!$C$2:$C2446, 0)),IF(G1837='Room Info'!$D$1, INDEX('Room Info'!$A$2:$A2446, MATCH(B1837,'Room Info'!$D$2:$D2446, 0)),IF(G1837='Room Info'!$E$1, INDEX('Room Info'!$A$2:$A2446, MATCH(B1837,'Room Info'!$E$2:$E2446, 0)),IF(G1837='Room Info'!$F$1, INDEX('Room Info'!$A$2:$A2446, MATCH(B1837,'Room Info'!$F$2:$F2446, 0)),IF(G1837='Room Info'!$H$1, INDEX('Room Info'!$A$2:$A2446, MATCH(B1837,'Room Info'!$H$2:$H2446, 0)),IF(G1837='Room Info'!$G$1, INDEX('Room Info'!$A$2:$A2446, MATCH(B1837,'Room Info'!$G$2:$G2446, 0)))))))))</f>
        <v>0</v>
      </c>
      <c r="B1837" s="96"/>
      <c r="C1837" s="111"/>
      <c r="D1837" s="111"/>
      <c r="E1837" s="80"/>
      <c r="F1837" s="133"/>
      <c r="G1837" s="65"/>
      <c r="H1837" s="110"/>
      <c r="I1837" s="110"/>
      <c r="J1837" s="39" t="s">
        <v>334</v>
      </c>
      <c r="K1837" s="112"/>
      <c r="L1837" s="113"/>
      <c r="M1837" s="62"/>
      <c r="N1837" s="28" t="e">
        <f t="shared" si="8"/>
        <v>#VALUE!</v>
      </c>
      <c r="O1837" s="65"/>
      <c r="P1837" s="29" t="s">
        <v>334</v>
      </c>
      <c r="Q1837" s="55"/>
      <c r="R1837" s="31" t="e">
        <f t="shared" si="9"/>
        <v>#VALUE!</v>
      </c>
      <c r="S1837" s="66"/>
      <c r="T1837" s="32" t="e">
        <f t="shared" si="10"/>
        <v>#VALUE!</v>
      </c>
      <c r="U1837" s="57"/>
      <c r="V1837" s="58"/>
      <c r="W1837" s="58"/>
      <c r="X1837" s="30" t="e">
        <f t="shared" si="11"/>
        <v>#N/A</v>
      </c>
      <c r="Y1837" s="30" t="e">
        <f t="shared" si="12"/>
        <v>#N/A</v>
      </c>
      <c r="Z1837" s="35" t="e">
        <f t="shared" si="13"/>
        <v>#VALUE!</v>
      </c>
      <c r="AA1837" s="29" t="e">
        <f t="shared" si="14"/>
        <v>#VALUE!</v>
      </c>
      <c r="AB1837" s="36" t="e">
        <f t="shared" si="15"/>
        <v>#VALUE!</v>
      </c>
      <c r="AC1837" s="37" t="b">
        <v>0</v>
      </c>
      <c r="AD1837" s="61" t="str">
        <f t="shared" si="16"/>
        <v>USD</v>
      </c>
      <c r="AE1837" s="37"/>
      <c r="AF1837" s="37" t="e">
        <f t="array" ref="AF1837">INDEX('Deal Info'!D:D, MATCH(A1837,'Deal Info'!A:A, 0))</f>
        <v>#N/A</v>
      </c>
      <c r="AG1837" s="38" t="e">
        <f t="array" ref="AG1837">INDEX('Deal Info'!G:G, MATCH(A1837,'Deal Info'!A:A, 0))</f>
        <v>#N/A</v>
      </c>
    </row>
    <row r="1838" spans="1:33" ht="14.25" hidden="1" x14ac:dyDescent="0.2">
      <c r="A1838" s="18" t="b">
        <f t="array" ref="A1838">IF(G1838='Room Info'!$B$1, INDEX('Room Info'!$A$2:$A2446, MATCH(B1838,'Room Info'!$B$2:$B2446, 0)),IF(G1838='Room Info'!$C$1, INDEX('Room Info'!$A$2:$A2446, MATCH(B1838,'Room Info'!$C$2:$C2446, 0)),IF(G1838='Room Info'!$D$1, INDEX('Room Info'!$A$2:$A2446, MATCH(B1838,'Room Info'!$D$2:$D2446, 0)),IF(G1838='Room Info'!$E$1, INDEX('Room Info'!$A$2:$A2446, MATCH(B1838,'Room Info'!$E$2:$E2446, 0)),IF(G1838='Room Info'!$F$1, INDEX('Room Info'!$A$2:$A2446, MATCH(B1838,'Room Info'!$F$2:$F2446, 0)),IF(G1838='Room Info'!$H$1, INDEX('Room Info'!$A$2:$A2446, MATCH(B1838,'Room Info'!$H$2:$H2446, 0)),IF(G1838='Room Info'!$G$1, INDEX('Room Info'!$A$2:$A2446, MATCH(B1838,'Room Info'!$G$2:$G2446, 0)))))))))</f>
        <v>0</v>
      </c>
      <c r="B1838" s="96"/>
      <c r="C1838" s="136"/>
      <c r="D1838" s="136"/>
      <c r="E1838" s="137"/>
      <c r="F1838" s="133"/>
      <c r="G1838" s="96"/>
      <c r="H1838" s="110"/>
      <c r="I1838" s="110"/>
      <c r="J1838" s="39" t="s">
        <v>334</v>
      </c>
      <c r="K1838" s="134"/>
      <c r="L1838" s="135"/>
      <c r="M1838" s="79"/>
      <c r="N1838" s="28" t="e">
        <f t="shared" si="8"/>
        <v>#VALUE!</v>
      </c>
      <c r="O1838" s="96"/>
      <c r="P1838" s="29" t="s">
        <v>334</v>
      </c>
      <c r="Q1838" s="55"/>
      <c r="R1838" s="31" t="e">
        <f t="shared" si="9"/>
        <v>#VALUE!</v>
      </c>
      <c r="S1838" s="97"/>
      <c r="T1838" s="32" t="e">
        <f t="shared" si="10"/>
        <v>#VALUE!</v>
      </c>
      <c r="U1838" s="57"/>
      <c r="V1838" s="58"/>
      <c r="W1838" s="58"/>
      <c r="X1838" s="30" t="e">
        <f t="shared" si="11"/>
        <v>#N/A</v>
      </c>
      <c r="Y1838" s="30" t="e">
        <f t="shared" si="12"/>
        <v>#N/A</v>
      </c>
      <c r="Z1838" s="35" t="e">
        <f t="shared" si="13"/>
        <v>#VALUE!</v>
      </c>
      <c r="AA1838" s="29" t="e">
        <f t="shared" si="14"/>
        <v>#VALUE!</v>
      </c>
      <c r="AB1838" s="36" t="e">
        <f t="shared" si="15"/>
        <v>#VALUE!</v>
      </c>
      <c r="AC1838" s="37" t="b">
        <v>0</v>
      </c>
      <c r="AD1838" s="61" t="str">
        <f t="shared" si="16"/>
        <v>USD</v>
      </c>
      <c r="AE1838" s="37"/>
      <c r="AF1838" s="37" t="e">
        <f t="array" ref="AF1838">INDEX('Deal Info'!D:D, MATCH(A1838,'Deal Info'!A:A, 0))</f>
        <v>#N/A</v>
      </c>
      <c r="AG1838" s="38" t="e">
        <f t="array" ref="AG1838">INDEX('Deal Info'!G:G, MATCH(A1838,'Deal Info'!A:A, 0))</f>
        <v>#N/A</v>
      </c>
    </row>
    <row r="1839" spans="1:33" ht="14.25" hidden="1" x14ac:dyDescent="0.2">
      <c r="A1839" s="18" t="b">
        <f t="array" ref="A1839">IF(G1839='Room Info'!$B$1, INDEX('Room Info'!$A$2:$A2446, MATCH(B1839,'Room Info'!$B$2:$B2446, 0)),IF(G1839='Room Info'!$C$1, INDEX('Room Info'!$A$2:$A2446, MATCH(B1839,'Room Info'!$C$2:$C2446, 0)),IF(G1839='Room Info'!$D$1, INDEX('Room Info'!$A$2:$A2446, MATCH(B1839,'Room Info'!$D$2:$D2446, 0)),IF(G1839='Room Info'!$E$1, INDEX('Room Info'!$A$2:$A2446, MATCH(B1839,'Room Info'!$E$2:$E2446, 0)),IF(G1839='Room Info'!$F$1, INDEX('Room Info'!$A$2:$A2446, MATCH(B1839,'Room Info'!$F$2:$F2446, 0)),IF(G1839='Room Info'!$H$1, INDEX('Room Info'!$A$2:$A2446, MATCH(B1839,'Room Info'!$H$2:$H2446, 0)),IF(G1839='Room Info'!$G$1, INDEX('Room Info'!$A$2:$A2446, MATCH(B1839,'Room Info'!$G$2:$G2446, 0)))))))))</f>
        <v>0</v>
      </c>
      <c r="B1839" s="96"/>
      <c r="C1839" s="136"/>
      <c r="D1839" s="136"/>
      <c r="E1839" s="137"/>
      <c r="F1839" s="133"/>
      <c r="G1839" s="96"/>
      <c r="H1839" s="110"/>
      <c r="I1839" s="110"/>
      <c r="J1839" s="39" t="s">
        <v>334</v>
      </c>
      <c r="K1839" s="134"/>
      <c r="L1839" s="135"/>
      <c r="M1839" s="79"/>
      <c r="N1839" s="28" t="e">
        <f t="shared" si="8"/>
        <v>#VALUE!</v>
      </c>
      <c r="O1839" s="96"/>
      <c r="P1839" s="29" t="s">
        <v>334</v>
      </c>
      <c r="Q1839" s="55"/>
      <c r="R1839" s="31" t="e">
        <f t="shared" si="9"/>
        <v>#VALUE!</v>
      </c>
      <c r="S1839" s="97"/>
      <c r="T1839" s="32" t="e">
        <f t="shared" si="10"/>
        <v>#VALUE!</v>
      </c>
      <c r="U1839" s="57"/>
      <c r="V1839" s="58"/>
      <c r="W1839" s="58"/>
      <c r="X1839" s="30" t="e">
        <f t="shared" si="11"/>
        <v>#N/A</v>
      </c>
      <c r="Y1839" s="30" t="e">
        <f t="shared" si="12"/>
        <v>#N/A</v>
      </c>
      <c r="Z1839" s="35" t="e">
        <f t="shared" si="13"/>
        <v>#VALUE!</v>
      </c>
      <c r="AA1839" s="29" t="e">
        <f t="shared" si="14"/>
        <v>#VALUE!</v>
      </c>
      <c r="AB1839" s="36" t="e">
        <f t="shared" si="15"/>
        <v>#VALUE!</v>
      </c>
      <c r="AC1839" s="37" t="b">
        <v>0</v>
      </c>
      <c r="AD1839" s="61" t="str">
        <f t="shared" si="16"/>
        <v>USD</v>
      </c>
      <c r="AE1839" s="37"/>
      <c r="AF1839" s="37" t="e">
        <f t="array" ref="AF1839">INDEX('Deal Info'!D:D, MATCH(A1839,'Deal Info'!A:A, 0))</f>
        <v>#N/A</v>
      </c>
      <c r="AG1839" s="38" t="e">
        <f t="array" ref="AG1839">INDEX('Deal Info'!G:G, MATCH(A1839,'Deal Info'!A:A, 0))</f>
        <v>#N/A</v>
      </c>
    </row>
    <row r="1840" spans="1:33" ht="14.25" hidden="1" x14ac:dyDescent="0.2">
      <c r="A1840" s="18" t="b">
        <f t="array" ref="A1840">IF(G1840='Room Info'!$B$1, INDEX('Room Info'!$A$2:$A2446, MATCH(B1840,'Room Info'!$B$2:$B2446, 0)),IF(G1840='Room Info'!$C$1, INDEX('Room Info'!$A$2:$A2446, MATCH(B1840,'Room Info'!$C$2:$C2446, 0)),IF(G1840='Room Info'!$D$1, INDEX('Room Info'!$A$2:$A2446, MATCH(B1840,'Room Info'!$D$2:$D2446, 0)),IF(G1840='Room Info'!$E$1, INDEX('Room Info'!$A$2:$A2446, MATCH(B1840,'Room Info'!$E$2:$E2446, 0)),IF(G1840='Room Info'!$F$1, INDEX('Room Info'!$A$2:$A2446, MATCH(B1840,'Room Info'!$F$2:$F2446, 0)),IF(G1840='Room Info'!$H$1, INDEX('Room Info'!$A$2:$A2446, MATCH(B1840,'Room Info'!$H$2:$H2446, 0)),IF(G1840='Room Info'!$G$1, INDEX('Room Info'!$A$2:$A2446, MATCH(B1840,'Room Info'!$G$2:$G2446, 0)))))))))</f>
        <v>0</v>
      </c>
      <c r="B1840" s="96"/>
      <c r="C1840" s="111"/>
      <c r="D1840" s="111"/>
      <c r="E1840" s="80"/>
      <c r="F1840" s="96"/>
      <c r="G1840" s="96"/>
      <c r="H1840" s="110"/>
      <c r="I1840" s="110"/>
      <c r="J1840" s="39" t="s">
        <v>334</v>
      </c>
      <c r="K1840" s="112"/>
      <c r="L1840" s="113"/>
      <c r="M1840" s="62"/>
      <c r="N1840" s="28" t="e">
        <f t="shared" si="8"/>
        <v>#VALUE!</v>
      </c>
      <c r="O1840" s="65"/>
      <c r="P1840" s="29" t="s">
        <v>334</v>
      </c>
      <c r="Q1840" s="55"/>
      <c r="R1840" s="31" t="e">
        <f t="shared" si="9"/>
        <v>#VALUE!</v>
      </c>
      <c r="S1840" s="66"/>
      <c r="T1840" s="32" t="e">
        <f t="shared" si="10"/>
        <v>#VALUE!</v>
      </c>
      <c r="U1840" s="57"/>
      <c r="V1840" s="58"/>
      <c r="W1840" s="58"/>
      <c r="X1840" s="30" t="e">
        <f t="shared" si="11"/>
        <v>#N/A</v>
      </c>
      <c r="Y1840" s="30" t="e">
        <f t="shared" si="12"/>
        <v>#N/A</v>
      </c>
      <c r="Z1840" s="35" t="e">
        <f t="shared" si="13"/>
        <v>#VALUE!</v>
      </c>
      <c r="AA1840" s="29" t="e">
        <f t="shared" si="14"/>
        <v>#VALUE!</v>
      </c>
      <c r="AB1840" s="36" t="e">
        <f t="shared" si="15"/>
        <v>#VALUE!</v>
      </c>
      <c r="AC1840" s="37" t="b">
        <v>0</v>
      </c>
      <c r="AD1840" s="61" t="str">
        <f t="shared" si="16"/>
        <v>USD</v>
      </c>
      <c r="AE1840" s="37"/>
      <c r="AF1840" s="37" t="e">
        <f t="array" ref="AF1840">INDEX('Deal Info'!D:D, MATCH(A1840,'Deal Info'!A:A, 0))</f>
        <v>#N/A</v>
      </c>
      <c r="AG1840" s="38" t="e">
        <f t="array" ref="AG1840">INDEX('Deal Info'!G:G, MATCH(A1840,'Deal Info'!A:A, 0))</f>
        <v>#N/A</v>
      </c>
    </row>
    <row r="1841" spans="1:33" ht="14.25" hidden="1" x14ac:dyDescent="0.2">
      <c r="A1841" s="18" t="b">
        <f t="array" ref="A1841">IF(G1841='Room Info'!$B$1, INDEX('Room Info'!$A$2:$A2446, MATCH(B1841,'Room Info'!$B$2:$B2446, 0)),IF(G1841='Room Info'!$C$1, INDEX('Room Info'!$A$2:$A2446, MATCH(B1841,'Room Info'!$C$2:$C2446, 0)),IF(G1841='Room Info'!$D$1, INDEX('Room Info'!$A$2:$A2446, MATCH(B1841,'Room Info'!$D$2:$D2446, 0)),IF(G1841='Room Info'!$E$1, INDEX('Room Info'!$A$2:$A2446, MATCH(B1841,'Room Info'!$E$2:$E2446, 0)),IF(G1841='Room Info'!$F$1, INDEX('Room Info'!$A$2:$A2446, MATCH(B1841,'Room Info'!$F$2:$F2446, 0)),IF(G1841='Room Info'!$H$1, INDEX('Room Info'!$A$2:$A2446, MATCH(B1841,'Room Info'!$H$2:$H2446, 0)),IF(G1841='Room Info'!$G$1, INDEX('Room Info'!$A$2:$A2446, MATCH(B1841,'Room Info'!$G$2:$G2446, 0)))))))))</f>
        <v>0</v>
      </c>
      <c r="B1841" s="96"/>
      <c r="C1841" s="136"/>
      <c r="D1841" s="136"/>
      <c r="E1841" s="137"/>
      <c r="F1841" s="133"/>
      <c r="G1841" s="96"/>
      <c r="H1841" s="100"/>
      <c r="I1841" s="100"/>
      <c r="J1841" s="39" t="s">
        <v>334</v>
      </c>
      <c r="K1841" s="134"/>
      <c r="L1841" s="135"/>
      <c r="M1841" s="79"/>
      <c r="N1841" s="28" t="e">
        <f t="shared" si="8"/>
        <v>#VALUE!</v>
      </c>
      <c r="O1841" s="96"/>
      <c r="P1841" s="29" t="s">
        <v>334</v>
      </c>
      <c r="Q1841" s="55"/>
      <c r="R1841" s="31" t="e">
        <f t="shared" si="9"/>
        <v>#VALUE!</v>
      </c>
      <c r="S1841" s="97"/>
      <c r="T1841" s="32" t="e">
        <f t="shared" si="10"/>
        <v>#VALUE!</v>
      </c>
      <c r="U1841" s="57"/>
      <c r="V1841" s="58"/>
      <c r="W1841" s="58"/>
      <c r="X1841" s="30" t="e">
        <f t="shared" si="11"/>
        <v>#N/A</v>
      </c>
      <c r="Y1841" s="30" t="e">
        <f t="shared" si="12"/>
        <v>#N/A</v>
      </c>
      <c r="Z1841" s="35" t="e">
        <f t="shared" si="13"/>
        <v>#VALUE!</v>
      </c>
      <c r="AA1841" s="29" t="e">
        <f t="shared" si="14"/>
        <v>#VALUE!</v>
      </c>
      <c r="AB1841" s="36" t="e">
        <f t="shared" si="15"/>
        <v>#VALUE!</v>
      </c>
      <c r="AC1841" s="37" t="b">
        <v>0</v>
      </c>
      <c r="AD1841" s="61" t="str">
        <f t="shared" si="16"/>
        <v>USD</v>
      </c>
      <c r="AE1841" s="37"/>
      <c r="AF1841" s="37" t="e">
        <f t="array" ref="AF1841">INDEX('Deal Info'!D:D, MATCH(A1841,'Deal Info'!A:A, 0))</f>
        <v>#N/A</v>
      </c>
      <c r="AG1841" s="38" t="e">
        <f t="array" ref="AG1841">INDEX('Deal Info'!G:G, MATCH(A1841,'Deal Info'!A:A, 0))</f>
        <v>#N/A</v>
      </c>
    </row>
    <row r="1842" spans="1:33" ht="14.25" hidden="1" x14ac:dyDescent="0.2">
      <c r="A1842" s="18" t="b">
        <f t="array" ref="A1842">IF(G1842='Room Info'!$B$1, INDEX('Room Info'!$A$2:$A2446, MATCH(B1842,'Room Info'!$B$2:$B2446, 0)),IF(G1842='Room Info'!$C$1, INDEX('Room Info'!$A$2:$A2446, MATCH(B1842,'Room Info'!$C$2:$C2446, 0)),IF(G1842='Room Info'!$D$1, INDEX('Room Info'!$A$2:$A2446, MATCH(B1842,'Room Info'!$D$2:$D2446, 0)),IF(G1842='Room Info'!$E$1, INDEX('Room Info'!$A$2:$A2446, MATCH(B1842,'Room Info'!$E$2:$E2446, 0)),IF(G1842='Room Info'!$F$1, INDEX('Room Info'!$A$2:$A2446, MATCH(B1842,'Room Info'!$F$2:$F2446, 0)),IF(G1842='Room Info'!$H$1, INDEX('Room Info'!$A$2:$A2446, MATCH(B1842,'Room Info'!$H$2:$H2446, 0)),IF(G1842='Room Info'!$G$1, INDEX('Room Info'!$A$2:$A2446, MATCH(B1842,'Room Info'!$G$2:$G2446, 0)))))))))</f>
        <v>0</v>
      </c>
      <c r="B1842" s="96"/>
      <c r="C1842" s="136"/>
      <c r="D1842" s="136"/>
      <c r="E1842" s="137"/>
      <c r="F1842" s="133"/>
      <c r="G1842" s="96"/>
      <c r="H1842" s="100"/>
      <c r="I1842" s="100"/>
      <c r="J1842" s="39" t="s">
        <v>334</v>
      </c>
      <c r="K1842" s="134"/>
      <c r="L1842" s="135"/>
      <c r="M1842" s="79"/>
      <c r="N1842" s="28" t="e">
        <f t="shared" si="8"/>
        <v>#VALUE!</v>
      </c>
      <c r="O1842" s="96"/>
      <c r="P1842" s="29" t="s">
        <v>334</v>
      </c>
      <c r="Q1842" s="55"/>
      <c r="R1842" s="31" t="e">
        <f t="shared" si="9"/>
        <v>#VALUE!</v>
      </c>
      <c r="S1842" s="97"/>
      <c r="T1842" s="32" t="e">
        <f t="shared" si="10"/>
        <v>#VALUE!</v>
      </c>
      <c r="U1842" s="57"/>
      <c r="V1842" s="58"/>
      <c r="W1842" s="58"/>
      <c r="X1842" s="30" t="e">
        <f t="shared" si="11"/>
        <v>#N/A</v>
      </c>
      <c r="Y1842" s="30" t="e">
        <f t="shared" si="12"/>
        <v>#N/A</v>
      </c>
      <c r="Z1842" s="35" t="e">
        <f t="shared" si="13"/>
        <v>#VALUE!</v>
      </c>
      <c r="AA1842" s="29" t="e">
        <f t="shared" si="14"/>
        <v>#VALUE!</v>
      </c>
      <c r="AB1842" s="36" t="e">
        <f t="shared" si="15"/>
        <v>#VALUE!</v>
      </c>
      <c r="AC1842" s="37" t="b">
        <v>0</v>
      </c>
      <c r="AD1842" s="61" t="str">
        <f t="shared" si="16"/>
        <v>USD</v>
      </c>
      <c r="AE1842" s="37"/>
      <c r="AF1842" s="37" t="e">
        <f t="array" ref="AF1842">INDEX('Deal Info'!D:D, MATCH(A1842,'Deal Info'!A:A, 0))</f>
        <v>#N/A</v>
      </c>
      <c r="AG1842" s="38" t="e">
        <f t="array" ref="AG1842">INDEX('Deal Info'!G:G, MATCH(A1842,'Deal Info'!A:A, 0))</f>
        <v>#N/A</v>
      </c>
    </row>
    <row r="1843" spans="1:33" ht="14.25" hidden="1" x14ac:dyDescent="0.2">
      <c r="A1843" s="18" t="b">
        <f t="array" ref="A1843">IF(G1843='Room Info'!$B$1, INDEX('Room Info'!$A$2:$A2446, MATCH(B1843,'Room Info'!$B$2:$B2446, 0)),IF(G1843='Room Info'!$C$1, INDEX('Room Info'!$A$2:$A2446, MATCH(B1843,'Room Info'!$C$2:$C2446, 0)),IF(G1843='Room Info'!$D$1, INDEX('Room Info'!$A$2:$A2446, MATCH(B1843,'Room Info'!$D$2:$D2446, 0)),IF(G1843='Room Info'!$E$1, INDEX('Room Info'!$A$2:$A2446, MATCH(B1843,'Room Info'!$E$2:$E2446, 0)),IF(G1843='Room Info'!$F$1, INDEX('Room Info'!$A$2:$A2446, MATCH(B1843,'Room Info'!$F$2:$F2446, 0)),IF(G1843='Room Info'!$H$1, INDEX('Room Info'!$A$2:$A2446, MATCH(B1843,'Room Info'!$H$2:$H2446, 0)),IF(G1843='Room Info'!$G$1, INDEX('Room Info'!$A$2:$A2446, MATCH(B1843,'Room Info'!$G$2:$G2446, 0)))))))))</f>
        <v>0</v>
      </c>
      <c r="B1843" s="96"/>
      <c r="C1843" s="136"/>
      <c r="D1843" s="136"/>
      <c r="E1843" s="137"/>
      <c r="F1843" s="133"/>
      <c r="G1843" s="96"/>
      <c r="H1843" s="100"/>
      <c r="I1843" s="100"/>
      <c r="J1843" s="39" t="s">
        <v>334</v>
      </c>
      <c r="K1843" s="134"/>
      <c r="L1843" s="135"/>
      <c r="M1843" s="79"/>
      <c r="N1843" s="28" t="e">
        <f t="shared" si="8"/>
        <v>#VALUE!</v>
      </c>
      <c r="O1843" s="96"/>
      <c r="P1843" s="29" t="s">
        <v>334</v>
      </c>
      <c r="Q1843" s="55"/>
      <c r="R1843" s="31" t="e">
        <f t="shared" si="9"/>
        <v>#VALUE!</v>
      </c>
      <c r="S1843" s="97"/>
      <c r="T1843" s="32" t="e">
        <f t="shared" si="10"/>
        <v>#VALUE!</v>
      </c>
      <c r="U1843" s="57"/>
      <c r="V1843" s="58"/>
      <c r="W1843" s="58"/>
      <c r="X1843" s="30" t="e">
        <f t="shared" si="11"/>
        <v>#N/A</v>
      </c>
      <c r="Y1843" s="30" t="e">
        <f t="shared" si="12"/>
        <v>#N/A</v>
      </c>
      <c r="Z1843" s="35" t="e">
        <f t="shared" si="13"/>
        <v>#VALUE!</v>
      </c>
      <c r="AA1843" s="29" t="e">
        <f t="shared" si="14"/>
        <v>#VALUE!</v>
      </c>
      <c r="AB1843" s="36" t="e">
        <f t="shared" si="15"/>
        <v>#VALUE!</v>
      </c>
      <c r="AC1843" s="37" t="b">
        <v>0</v>
      </c>
      <c r="AD1843" s="61" t="str">
        <f t="shared" si="16"/>
        <v>USD</v>
      </c>
      <c r="AE1843" s="37"/>
      <c r="AF1843" s="37" t="e">
        <f t="array" ref="AF1843">INDEX('Deal Info'!D:D, MATCH(A1843,'Deal Info'!A:A, 0))</f>
        <v>#N/A</v>
      </c>
      <c r="AG1843" s="38" t="e">
        <f t="array" ref="AG1843">INDEX('Deal Info'!G:G, MATCH(A1843,'Deal Info'!A:A, 0))</f>
        <v>#N/A</v>
      </c>
    </row>
    <row r="1844" spans="1:33" ht="14.25" hidden="1" x14ac:dyDescent="0.2">
      <c r="A1844" s="18" t="b">
        <f t="array" ref="A1844">IF(G1844='Room Info'!$B$1, INDEX('Room Info'!$A$2:$A2446, MATCH(B1844,'Room Info'!$B$2:$B2446, 0)),IF(G1844='Room Info'!$C$1, INDEX('Room Info'!$A$2:$A2446, MATCH(B1844,'Room Info'!$C$2:$C2446, 0)),IF(G1844='Room Info'!$D$1, INDEX('Room Info'!$A$2:$A2446, MATCH(B1844,'Room Info'!$D$2:$D2446, 0)),IF(G1844='Room Info'!$E$1, INDEX('Room Info'!$A$2:$A2446, MATCH(B1844,'Room Info'!$E$2:$E2446, 0)),IF(G1844='Room Info'!$F$1, INDEX('Room Info'!$A$2:$A2446, MATCH(B1844,'Room Info'!$F$2:$F2446, 0)),IF(G1844='Room Info'!$H$1, INDEX('Room Info'!$A$2:$A2446, MATCH(B1844,'Room Info'!$H$2:$H2446, 0)),IF(G1844='Room Info'!$G$1, INDEX('Room Info'!$A$2:$A2446, MATCH(B1844,'Room Info'!$G$2:$G2446, 0)))))))))</f>
        <v>0</v>
      </c>
      <c r="B1844" s="96"/>
      <c r="C1844" s="111"/>
      <c r="D1844" s="111"/>
      <c r="E1844" s="80"/>
      <c r="F1844" s="96"/>
      <c r="G1844" s="65"/>
      <c r="H1844" s="110"/>
      <c r="I1844" s="110"/>
      <c r="J1844" s="39" t="s">
        <v>334</v>
      </c>
      <c r="K1844" s="112"/>
      <c r="L1844" s="113"/>
      <c r="M1844" s="62"/>
      <c r="N1844" s="28" t="e">
        <f t="shared" si="8"/>
        <v>#VALUE!</v>
      </c>
      <c r="O1844" s="65"/>
      <c r="P1844" s="29" t="s">
        <v>334</v>
      </c>
      <c r="Q1844" s="55"/>
      <c r="R1844" s="31" t="e">
        <f t="shared" si="9"/>
        <v>#VALUE!</v>
      </c>
      <c r="S1844" s="66"/>
      <c r="T1844" s="32" t="e">
        <f t="shared" si="10"/>
        <v>#VALUE!</v>
      </c>
      <c r="U1844" s="57"/>
      <c r="V1844" s="58"/>
      <c r="W1844" s="58"/>
      <c r="X1844" s="30" t="e">
        <f t="shared" si="11"/>
        <v>#N/A</v>
      </c>
      <c r="Y1844" s="30" t="e">
        <f t="shared" si="12"/>
        <v>#N/A</v>
      </c>
      <c r="Z1844" s="35" t="e">
        <f t="shared" si="13"/>
        <v>#VALUE!</v>
      </c>
      <c r="AA1844" s="29" t="e">
        <f t="shared" si="14"/>
        <v>#VALUE!</v>
      </c>
      <c r="AB1844" s="36" t="e">
        <f t="shared" si="15"/>
        <v>#VALUE!</v>
      </c>
      <c r="AC1844" s="37" t="b">
        <v>0</v>
      </c>
      <c r="AD1844" s="61" t="str">
        <f t="shared" si="16"/>
        <v>USD</v>
      </c>
      <c r="AE1844" s="37"/>
      <c r="AF1844" s="37" t="e">
        <f t="array" ref="AF1844">INDEX('Deal Info'!D:D, MATCH(A1844,'Deal Info'!A:A, 0))</f>
        <v>#N/A</v>
      </c>
      <c r="AG1844" s="38" t="e">
        <f t="array" ref="AG1844">INDEX('Deal Info'!G:G, MATCH(A1844,'Deal Info'!A:A, 0))</f>
        <v>#N/A</v>
      </c>
    </row>
    <row r="1845" spans="1:33" ht="14.25" hidden="1" x14ac:dyDescent="0.2">
      <c r="A1845" s="18" t="b">
        <f t="array" ref="A1845">IF(G1845='Room Info'!$B$1, INDEX('Room Info'!$A$2:$A2446, MATCH(B1845,'Room Info'!$B$2:$B2446, 0)),IF(G1845='Room Info'!$C$1, INDEX('Room Info'!$A$2:$A2446, MATCH(B1845,'Room Info'!$C$2:$C2446, 0)),IF(G1845='Room Info'!$D$1, INDEX('Room Info'!$A$2:$A2446, MATCH(B1845,'Room Info'!$D$2:$D2446, 0)),IF(G1845='Room Info'!$E$1, INDEX('Room Info'!$A$2:$A2446, MATCH(B1845,'Room Info'!$E$2:$E2446, 0)),IF(G1845='Room Info'!$F$1, INDEX('Room Info'!$A$2:$A2446, MATCH(B1845,'Room Info'!$F$2:$F2446, 0)),IF(G1845='Room Info'!$H$1, INDEX('Room Info'!$A$2:$A2446, MATCH(B1845,'Room Info'!$H$2:$H2446, 0)),IF(G1845='Room Info'!$G$1, INDEX('Room Info'!$A$2:$A2446, MATCH(B1845,'Room Info'!$G$2:$G2446, 0)))))))))</f>
        <v>0</v>
      </c>
      <c r="B1845" s="96"/>
      <c r="C1845" s="136"/>
      <c r="D1845" s="136"/>
      <c r="E1845" s="137"/>
      <c r="F1845" s="133"/>
      <c r="G1845" s="96"/>
      <c r="H1845" s="100"/>
      <c r="I1845" s="100"/>
      <c r="J1845" s="39" t="s">
        <v>334</v>
      </c>
      <c r="K1845" s="134"/>
      <c r="L1845" s="135"/>
      <c r="M1845" s="79"/>
      <c r="N1845" s="28" t="e">
        <f t="shared" si="8"/>
        <v>#VALUE!</v>
      </c>
      <c r="O1845" s="96"/>
      <c r="P1845" s="29" t="s">
        <v>334</v>
      </c>
      <c r="Q1845" s="55"/>
      <c r="R1845" s="31" t="e">
        <f t="shared" si="9"/>
        <v>#VALUE!</v>
      </c>
      <c r="S1845" s="97"/>
      <c r="T1845" s="32" t="e">
        <f t="shared" si="10"/>
        <v>#VALUE!</v>
      </c>
      <c r="U1845" s="57"/>
      <c r="V1845" s="58"/>
      <c r="W1845" s="58"/>
      <c r="X1845" s="30" t="e">
        <f t="shared" si="11"/>
        <v>#N/A</v>
      </c>
      <c r="Y1845" s="30" t="e">
        <f t="shared" si="12"/>
        <v>#N/A</v>
      </c>
      <c r="Z1845" s="35" t="e">
        <f t="shared" si="13"/>
        <v>#VALUE!</v>
      </c>
      <c r="AA1845" s="29" t="e">
        <f t="shared" si="14"/>
        <v>#VALUE!</v>
      </c>
      <c r="AB1845" s="36" t="e">
        <f t="shared" si="15"/>
        <v>#VALUE!</v>
      </c>
      <c r="AC1845" s="37" t="b">
        <v>0</v>
      </c>
      <c r="AD1845" s="61" t="str">
        <f t="shared" si="16"/>
        <v>USD</v>
      </c>
      <c r="AE1845" s="37"/>
      <c r="AF1845" s="37" t="e">
        <f t="array" ref="AF1845">INDEX('Deal Info'!D:D, MATCH(A1845,'Deal Info'!A:A, 0))</f>
        <v>#N/A</v>
      </c>
      <c r="AG1845" s="38" t="e">
        <f t="array" ref="AG1845">INDEX('Deal Info'!G:G, MATCH(A1845,'Deal Info'!A:A, 0))</f>
        <v>#N/A</v>
      </c>
    </row>
    <row r="1846" spans="1:33" ht="14.25" hidden="1" x14ac:dyDescent="0.2">
      <c r="A1846" s="18" t="b">
        <f t="array" ref="A1846">IF(G1846='Room Info'!$B$1, INDEX('Room Info'!$A$2:$A2446, MATCH(B1846,'Room Info'!$B$2:$B2446, 0)),IF(G1846='Room Info'!$C$1, INDEX('Room Info'!$A$2:$A2446, MATCH(B1846,'Room Info'!$C$2:$C2446, 0)),IF(G1846='Room Info'!$D$1, INDEX('Room Info'!$A$2:$A2446, MATCH(B1846,'Room Info'!$D$2:$D2446, 0)),IF(G1846='Room Info'!$E$1, INDEX('Room Info'!$A$2:$A2446, MATCH(B1846,'Room Info'!$E$2:$E2446, 0)),IF(G1846='Room Info'!$F$1, INDEX('Room Info'!$A$2:$A2446, MATCH(B1846,'Room Info'!$F$2:$F2446, 0)),IF(G1846='Room Info'!$H$1, INDEX('Room Info'!$A$2:$A2446, MATCH(B1846,'Room Info'!$H$2:$H2446, 0)),IF(G1846='Room Info'!$G$1, INDEX('Room Info'!$A$2:$A2446, MATCH(B1846,'Room Info'!$G$2:$G2446, 0)))))))))</f>
        <v>0</v>
      </c>
      <c r="B1846" s="96"/>
      <c r="C1846" s="136"/>
      <c r="D1846" s="136"/>
      <c r="E1846" s="137"/>
      <c r="F1846" s="133"/>
      <c r="G1846" s="96"/>
      <c r="H1846" s="100"/>
      <c r="I1846" s="100"/>
      <c r="J1846" s="39" t="s">
        <v>334</v>
      </c>
      <c r="K1846" s="134"/>
      <c r="L1846" s="135"/>
      <c r="M1846" s="79"/>
      <c r="N1846" s="28" t="e">
        <f t="shared" si="8"/>
        <v>#VALUE!</v>
      </c>
      <c r="O1846" s="96"/>
      <c r="P1846" s="29" t="s">
        <v>334</v>
      </c>
      <c r="Q1846" s="55"/>
      <c r="R1846" s="31" t="e">
        <f t="shared" si="9"/>
        <v>#VALUE!</v>
      </c>
      <c r="S1846" s="97"/>
      <c r="T1846" s="32" t="e">
        <f t="shared" si="10"/>
        <v>#VALUE!</v>
      </c>
      <c r="U1846" s="57"/>
      <c r="V1846" s="58"/>
      <c r="W1846" s="58"/>
      <c r="X1846" s="30" t="e">
        <f t="shared" si="11"/>
        <v>#N/A</v>
      </c>
      <c r="Y1846" s="30" t="e">
        <f t="shared" si="12"/>
        <v>#N/A</v>
      </c>
      <c r="Z1846" s="35" t="e">
        <f t="shared" si="13"/>
        <v>#VALUE!</v>
      </c>
      <c r="AA1846" s="29" t="e">
        <f t="shared" si="14"/>
        <v>#VALUE!</v>
      </c>
      <c r="AB1846" s="36" t="e">
        <f t="shared" si="15"/>
        <v>#VALUE!</v>
      </c>
      <c r="AC1846" s="37" t="b">
        <v>0</v>
      </c>
      <c r="AD1846" s="61" t="str">
        <f t="shared" si="16"/>
        <v>USD</v>
      </c>
      <c r="AE1846" s="37"/>
      <c r="AF1846" s="37" t="e">
        <f t="array" ref="AF1846">INDEX('Deal Info'!D:D, MATCH(A1846,'Deal Info'!A:A, 0))</f>
        <v>#N/A</v>
      </c>
      <c r="AG1846" s="38" t="e">
        <f t="array" ref="AG1846">INDEX('Deal Info'!G:G, MATCH(A1846,'Deal Info'!A:A, 0))</f>
        <v>#N/A</v>
      </c>
    </row>
    <row r="1847" spans="1:33" ht="14.25" hidden="1" x14ac:dyDescent="0.2">
      <c r="A1847" s="18" t="b">
        <f t="array" ref="A1847">IF(G1847='Room Info'!$B$1, INDEX('Room Info'!$A$2:$A2446, MATCH(B1847,'Room Info'!$B$2:$B2446, 0)),IF(G1847='Room Info'!$C$1, INDEX('Room Info'!$A$2:$A2446, MATCH(B1847,'Room Info'!$C$2:$C2446, 0)),IF(G1847='Room Info'!$D$1, INDEX('Room Info'!$A$2:$A2446, MATCH(B1847,'Room Info'!$D$2:$D2446, 0)),IF(G1847='Room Info'!$E$1, INDEX('Room Info'!$A$2:$A2446, MATCH(B1847,'Room Info'!$E$2:$E2446, 0)),IF(G1847='Room Info'!$F$1, INDEX('Room Info'!$A$2:$A2446, MATCH(B1847,'Room Info'!$F$2:$F2446, 0)),IF(G1847='Room Info'!$H$1, INDEX('Room Info'!$A$2:$A2446, MATCH(B1847,'Room Info'!$H$2:$H2446, 0)),IF(G1847='Room Info'!$G$1, INDEX('Room Info'!$A$2:$A2446, MATCH(B1847,'Room Info'!$G$2:$G2446, 0)))))))))</f>
        <v>0</v>
      </c>
      <c r="B1847" s="96"/>
      <c r="C1847" s="111"/>
      <c r="D1847" s="111"/>
      <c r="E1847" s="80"/>
      <c r="F1847" s="133"/>
      <c r="G1847" s="65"/>
      <c r="H1847" s="110"/>
      <c r="I1847" s="110"/>
      <c r="J1847" s="39" t="s">
        <v>334</v>
      </c>
      <c r="K1847" s="112"/>
      <c r="L1847" s="113"/>
      <c r="M1847" s="62"/>
      <c r="N1847" s="28" t="e">
        <f t="shared" si="8"/>
        <v>#VALUE!</v>
      </c>
      <c r="O1847" s="65"/>
      <c r="P1847" s="29" t="s">
        <v>334</v>
      </c>
      <c r="Q1847" s="55"/>
      <c r="R1847" s="31" t="e">
        <f t="shared" si="9"/>
        <v>#VALUE!</v>
      </c>
      <c r="S1847" s="66"/>
      <c r="T1847" s="32" t="e">
        <f t="shared" si="10"/>
        <v>#VALUE!</v>
      </c>
      <c r="U1847" s="57"/>
      <c r="V1847" s="58"/>
      <c r="W1847" s="58"/>
      <c r="X1847" s="30" t="e">
        <f t="shared" si="11"/>
        <v>#N/A</v>
      </c>
      <c r="Y1847" s="30" t="e">
        <f t="shared" si="12"/>
        <v>#N/A</v>
      </c>
      <c r="Z1847" s="35" t="e">
        <f t="shared" si="13"/>
        <v>#VALUE!</v>
      </c>
      <c r="AA1847" s="29" t="e">
        <f t="shared" si="14"/>
        <v>#VALUE!</v>
      </c>
      <c r="AB1847" s="36" t="e">
        <f t="shared" si="15"/>
        <v>#VALUE!</v>
      </c>
      <c r="AC1847" s="37" t="b">
        <v>0</v>
      </c>
      <c r="AD1847" s="61" t="str">
        <f t="shared" si="16"/>
        <v>USD</v>
      </c>
      <c r="AE1847" s="37"/>
      <c r="AF1847" s="37" t="e">
        <f t="array" ref="AF1847">INDEX('Deal Info'!D:D, MATCH(A1847,'Deal Info'!A:A, 0))</f>
        <v>#N/A</v>
      </c>
      <c r="AG1847" s="38" t="e">
        <f t="array" ref="AG1847">INDEX('Deal Info'!G:G, MATCH(A1847,'Deal Info'!A:A, 0))</f>
        <v>#N/A</v>
      </c>
    </row>
    <row r="1848" spans="1:33" ht="14.25" hidden="1" x14ac:dyDescent="0.2">
      <c r="A1848" s="18" t="b">
        <f t="array" ref="A1848">IF(G1848='Room Info'!$B$1, INDEX('Room Info'!$A$2:$A2446, MATCH(B1848,'Room Info'!$B$2:$B2446, 0)),IF(G1848='Room Info'!$C$1, INDEX('Room Info'!$A$2:$A2446, MATCH(B1848,'Room Info'!$C$2:$C2446, 0)),IF(G1848='Room Info'!$D$1, INDEX('Room Info'!$A$2:$A2446, MATCH(B1848,'Room Info'!$D$2:$D2446, 0)),IF(G1848='Room Info'!$E$1, INDEX('Room Info'!$A$2:$A2446, MATCH(B1848,'Room Info'!$E$2:$E2446, 0)),IF(G1848='Room Info'!$F$1, INDEX('Room Info'!$A$2:$A2446, MATCH(B1848,'Room Info'!$F$2:$F2446, 0)),IF(G1848='Room Info'!$H$1, INDEX('Room Info'!$A$2:$A2446, MATCH(B1848,'Room Info'!$H$2:$H2446, 0)),IF(G1848='Room Info'!$G$1, INDEX('Room Info'!$A$2:$A2446, MATCH(B1848,'Room Info'!$G$2:$G2446, 0)))))))))</f>
        <v>0</v>
      </c>
      <c r="B1848" s="96"/>
      <c r="C1848" s="111"/>
      <c r="D1848" s="111"/>
      <c r="E1848" s="80"/>
      <c r="F1848" s="133"/>
      <c r="G1848" s="65"/>
      <c r="H1848" s="110"/>
      <c r="I1848" s="110"/>
      <c r="J1848" s="39" t="s">
        <v>334</v>
      </c>
      <c r="K1848" s="112"/>
      <c r="L1848" s="113"/>
      <c r="M1848" s="62"/>
      <c r="N1848" s="28" t="e">
        <f t="shared" si="8"/>
        <v>#VALUE!</v>
      </c>
      <c r="O1848" s="65"/>
      <c r="P1848" s="29" t="s">
        <v>334</v>
      </c>
      <c r="Q1848" s="55"/>
      <c r="R1848" s="31" t="e">
        <f t="shared" si="9"/>
        <v>#VALUE!</v>
      </c>
      <c r="S1848" s="66"/>
      <c r="T1848" s="32" t="e">
        <f t="shared" si="10"/>
        <v>#VALUE!</v>
      </c>
      <c r="U1848" s="57"/>
      <c r="V1848" s="58"/>
      <c r="W1848" s="58"/>
      <c r="X1848" s="30" t="e">
        <f t="shared" si="11"/>
        <v>#N/A</v>
      </c>
      <c r="Y1848" s="30" t="e">
        <f t="shared" si="12"/>
        <v>#N/A</v>
      </c>
      <c r="Z1848" s="35" t="e">
        <f t="shared" si="13"/>
        <v>#VALUE!</v>
      </c>
      <c r="AA1848" s="29" t="e">
        <f t="shared" si="14"/>
        <v>#VALUE!</v>
      </c>
      <c r="AB1848" s="36" t="e">
        <f t="shared" si="15"/>
        <v>#VALUE!</v>
      </c>
      <c r="AC1848" s="37" t="b">
        <v>0</v>
      </c>
      <c r="AD1848" s="61" t="str">
        <f t="shared" si="16"/>
        <v>USD</v>
      </c>
      <c r="AE1848" s="37"/>
      <c r="AF1848" s="37" t="e">
        <f t="array" ref="AF1848">INDEX('Deal Info'!D:D, MATCH(A1848,'Deal Info'!A:A, 0))</f>
        <v>#N/A</v>
      </c>
      <c r="AG1848" s="38" t="e">
        <f t="array" ref="AG1848">INDEX('Deal Info'!G:G, MATCH(A1848,'Deal Info'!A:A, 0))</f>
        <v>#N/A</v>
      </c>
    </row>
    <row r="1849" spans="1:33" ht="14.25" hidden="1" x14ac:dyDescent="0.2">
      <c r="A1849" s="18" t="b">
        <f t="array" ref="A1849">IF(G1849='Room Info'!$B$1, INDEX('Room Info'!$A$2:$A2446, MATCH(B1849,'Room Info'!$B$2:$B2446, 0)),IF(G1849='Room Info'!$C$1, INDEX('Room Info'!$A$2:$A2446, MATCH(B1849,'Room Info'!$C$2:$C2446, 0)),IF(G1849='Room Info'!$D$1, INDEX('Room Info'!$A$2:$A2446, MATCH(B1849,'Room Info'!$D$2:$D2446, 0)),IF(G1849='Room Info'!$E$1, INDEX('Room Info'!$A$2:$A2446, MATCH(B1849,'Room Info'!$E$2:$E2446, 0)),IF(G1849='Room Info'!$F$1, INDEX('Room Info'!$A$2:$A2446, MATCH(B1849,'Room Info'!$F$2:$F2446, 0)),IF(G1849='Room Info'!$H$1, INDEX('Room Info'!$A$2:$A2446, MATCH(B1849,'Room Info'!$H$2:$H2446, 0)),IF(G1849='Room Info'!$G$1, INDEX('Room Info'!$A$2:$A2446, MATCH(B1849,'Room Info'!$G$2:$G2446, 0)))))))))</f>
        <v>0</v>
      </c>
      <c r="B1849" s="96"/>
      <c r="C1849" s="111"/>
      <c r="D1849" s="111"/>
      <c r="E1849" s="80"/>
      <c r="F1849" s="133"/>
      <c r="G1849" s="65"/>
      <c r="H1849" s="110"/>
      <c r="I1849" s="110"/>
      <c r="J1849" s="39" t="s">
        <v>334</v>
      </c>
      <c r="K1849" s="112"/>
      <c r="L1849" s="113"/>
      <c r="M1849" s="62"/>
      <c r="N1849" s="28" t="e">
        <f t="shared" si="8"/>
        <v>#VALUE!</v>
      </c>
      <c r="O1849" s="65"/>
      <c r="P1849" s="29" t="s">
        <v>334</v>
      </c>
      <c r="Q1849" s="55"/>
      <c r="R1849" s="31" t="e">
        <f t="shared" si="9"/>
        <v>#VALUE!</v>
      </c>
      <c r="S1849" s="66"/>
      <c r="T1849" s="32" t="e">
        <f t="shared" si="10"/>
        <v>#VALUE!</v>
      </c>
      <c r="U1849" s="57"/>
      <c r="V1849" s="58"/>
      <c r="W1849" s="58"/>
      <c r="X1849" s="30" t="e">
        <f t="shared" si="11"/>
        <v>#N/A</v>
      </c>
      <c r="Y1849" s="30" t="e">
        <f t="shared" si="12"/>
        <v>#N/A</v>
      </c>
      <c r="Z1849" s="35" t="e">
        <f t="shared" si="13"/>
        <v>#VALUE!</v>
      </c>
      <c r="AA1849" s="29" t="e">
        <f t="shared" si="14"/>
        <v>#VALUE!</v>
      </c>
      <c r="AB1849" s="36" t="e">
        <f t="shared" si="15"/>
        <v>#VALUE!</v>
      </c>
      <c r="AC1849" s="37" t="b">
        <v>0</v>
      </c>
      <c r="AD1849" s="61" t="str">
        <f t="shared" si="16"/>
        <v>USD</v>
      </c>
      <c r="AE1849" s="37"/>
      <c r="AF1849" s="37" t="e">
        <f t="array" ref="AF1849">INDEX('Deal Info'!D:D, MATCH(A1849,'Deal Info'!A:A, 0))</f>
        <v>#N/A</v>
      </c>
      <c r="AG1849" s="38" t="e">
        <f t="array" ref="AG1849">INDEX('Deal Info'!G:G, MATCH(A1849,'Deal Info'!A:A, 0))</f>
        <v>#N/A</v>
      </c>
    </row>
    <row r="1850" spans="1:33" ht="14.25" hidden="1" x14ac:dyDescent="0.2">
      <c r="A1850" s="18" t="b">
        <f t="array" ref="A1850">IF(G1850='Room Info'!$B$1, INDEX('Room Info'!$A$2:$A2446, MATCH(B1850,'Room Info'!$B$2:$B2446, 0)),IF(G1850='Room Info'!$C$1, INDEX('Room Info'!$A$2:$A2446, MATCH(B1850,'Room Info'!$C$2:$C2446, 0)),IF(G1850='Room Info'!$D$1, INDEX('Room Info'!$A$2:$A2446, MATCH(B1850,'Room Info'!$D$2:$D2446, 0)),IF(G1850='Room Info'!$E$1, INDEX('Room Info'!$A$2:$A2446, MATCH(B1850,'Room Info'!$E$2:$E2446, 0)),IF(G1850='Room Info'!$F$1, INDEX('Room Info'!$A$2:$A2446, MATCH(B1850,'Room Info'!$F$2:$F2446, 0)),IF(G1850='Room Info'!$H$1, INDEX('Room Info'!$A$2:$A2446, MATCH(B1850,'Room Info'!$H$2:$H2446, 0)),IF(G1850='Room Info'!$G$1, INDEX('Room Info'!$A$2:$A2446, MATCH(B1850,'Room Info'!$G$2:$G2446, 0)))))))))</f>
        <v>0</v>
      </c>
      <c r="B1850" s="96"/>
      <c r="C1850" s="111"/>
      <c r="D1850" s="111"/>
      <c r="E1850" s="80"/>
      <c r="F1850" s="133"/>
      <c r="G1850" s="65"/>
      <c r="H1850" s="110"/>
      <c r="I1850" s="110"/>
      <c r="J1850" s="39" t="s">
        <v>334</v>
      </c>
      <c r="K1850" s="112"/>
      <c r="L1850" s="113"/>
      <c r="M1850" s="62"/>
      <c r="N1850" s="28" t="e">
        <f t="shared" si="8"/>
        <v>#VALUE!</v>
      </c>
      <c r="O1850" s="65"/>
      <c r="P1850" s="29" t="s">
        <v>334</v>
      </c>
      <c r="Q1850" s="55"/>
      <c r="R1850" s="31" t="e">
        <f t="shared" si="9"/>
        <v>#VALUE!</v>
      </c>
      <c r="S1850" s="66"/>
      <c r="T1850" s="32" t="e">
        <f t="shared" si="10"/>
        <v>#VALUE!</v>
      </c>
      <c r="U1850" s="57"/>
      <c r="V1850" s="58"/>
      <c r="W1850" s="58"/>
      <c r="X1850" s="30" t="e">
        <f t="shared" si="11"/>
        <v>#N/A</v>
      </c>
      <c r="Y1850" s="30" t="e">
        <f t="shared" si="12"/>
        <v>#N/A</v>
      </c>
      <c r="Z1850" s="35" t="e">
        <f t="shared" si="13"/>
        <v>#VALUE!</v>
      </c>
      <c r="AA1850" s="29" t="e">
        <f t="shared" si="14"/>
        <v>#VALUE!</v>
      </c>
      <c r="AB1850" s="36" t="e">
        <f t="shared" si="15"/>
        <v>#VALUE!</v>
      </c>
      <c r="AC1850" s="37" t="b">
        <v>0</v>
      </c>
      <c r="AD1850" s="61" t="str">
        <f t="shared" si="16"/>
        <v>USD</v>
      </c>
      <c r="AE1850" s="37"/>
      <c r="AF1850" s="37" t="e">
        <f t="array" ref="AF1850">INDEX('Deal Info'!D:D, MATCH(A1850,'Deal Info'!A:A, 0))</f>
        <v>#N/A</v>
      </c>
      <c r="AG1850" s="38" t="e">
        <f t="array" ref="AG1850">INDEX('Deal Info'!G:G, MATCH(A1850,'Deal Info'!A:A, 0))</f>
        <v>#N/A</v>
      </c>
    </row>
    <row r="1851" spans="1:33" ht="14.25" hidden="1" x14ac:dyDescent="0.2">
      <c r="A1851" s="18" t="b">
        <f t="array" ref="A1851">IF(G1851='Room Info'!$B$1, INDEX('Room Info'!$A$2:$A2446, MATCH(B1851,'Room Info'!$B$2:$B2446, 0)),IF(G1851='Room Info'!$C$1, INDEX('Room Info'!$A$2:$A2446, MATCH(B1851,'Room Info'!$C$2:$C2446, 0)),IF(G1851='Room Info'!$D$1, INDEX('Room Info'!$A$2:$A2446, MATCH(B1851,'Room Info'!$D$2:$D2446, 0)),IF(G1851='Room Info'!$E$1, INDEX('Room Info'!$A$2:$A2446, MATCH(B1851,'Room Info'!$E$2:$E2446, 0)),IF(G1851='Room Info'!$F$1, INDEX('Room Info'!$A$2:$A2446, MATCH(B1851,'Room Info'!$F$2:$F2446, 0)),IF(G1851='Room Info'!$H$1, INDEX('Room Info'!$A$2:$A2446, MATCH(B1851,'Room Info'!$H$2:$H2446, 0)),IF(G1851='Room Info'!$G$1, INDEX('Room Info'!$A$2:$A2446, MATCH(B1851,'Room Info'!$G$2:$G2446, 0)))))))))</f>
        <v>0</v>
      </c>
      <c r="B1851" s="96"/>
      <c r="C1851" s="111"/>
      <c r="D1851" s="111"/>
      <c r="E1851" s="80"/>
      <c r="F1851" s="133"/>
      <c r="G1851" s="65"/>
      <c r="H1851" s="110"/>
      <c r="I1851" s="110"/>
      <c r="J1851" s="39" t="s">
        <v>334</v>
      </c>
      <c r="K1851" s="112"/>
      <c r="L1851" s="113"/>
      <c r="M1851" s="62"/>
      <c r="N1851" s="28" t="e">
        <f t="shared" si="8"/>
        <v>#VALUE!</v>
      </c>
      <c r="O1851" s="65"/>
      <c r="P1851" s="29" t="s">
        <v>334</v>
      </c>
      <c r="Q1851" s="55"/>
      <c r="R1851" s="31" t="e">
        <f t="shared" si="9"/>
        <v>#VALUE!</v>
      </c>
      <c r="S1851" s="66"/>
      <c r="T1851" s="32" t="e">
        <f t="shared" si="10"/>
        <v>#VALUE!</v>
      </c>
      <c r="U1851" s="57"/>
      <c r="V1851" s="58"/>
      <c r="W1851" s="58"/>
      <c r="X1851" s="30" t="e">
        <f t="shared" si="11"/>
        <v>#N/A</v>
      </c>
      <c r="Y1851" s="30" t="e">
        <f t="shared" si="12"/>
        <v>#N/A</v>
      </c>
      <c r="Z1851" s="35" t="e">
        <f t="shared" si="13"/>
        <v>#VALUE!</v>
      </c>
      <c r="AA1851" s="29" t="e">
        <f t="shared" si="14"/>
        <v>#VALUE!</v>
      </c>
      <c r="AB1851" s="36" t="e">
        <f t="shared" si="15"/>
        <v>#VALUE!</v>
      </c>
      <c r="AC1851" s="37" t="b">
        <v>0</v>
      </c>
      <c r="AD1851" s="61" t="str">
        <f t="shared" si="16"/>
        <v>USD</v>
      </c>
      <c r="AE1851" s="37"/>
      <c r="AF1851" s="37" t="e">
        <f t="array" ref="AF1851">INDEX('Deal Info'!D:D, MATCH(A1851,'Deal Info'!A:A, 0))</f>
        <v>#N/A</v>
      </c>
      <c r="AG1851" s="38" t="e">
        <f t="array" ref="AG1851">INDEX('Deal Info'!G:G, MATCH(A1851,'Deal Info'!A:A, 0))</f>
        <v>#N/A</v>
      </c>
    </row>
    <row r="1852" spans="1:33" ht="14.25" hidden="1" x14ac:dyDescent="0.2">
      <c r="A1852" s="18" t="b">
        <f t="array" ref="A1852">IF(G1852='Room Info'!$B$1, INDEX('Room Info'!$A$2:$A2446, MATCH(B1852,'Room Info'!$B$2:$B2446, 0)),IF(G1852='Room Info'!$C$1, INDEX('Room Info'!$A$2:$A2446, MATCH(B1852,'Room Info'!$C$2:$C2446, 0)),IF(G1852='Room Info'!$D$1, INDEX('Room Info'!$A$2:$A2446, MATCH(B1852,'Room Info'!$D$2:$D2446, 0)),IF(G1852='Room Info'!$E$1, INDEX('Room Info'!$A$2:$A2446, MATCH(B1852,'Room Info'!$E$2:$E2446, 0)),IF(G1852='Room Info'!$F$1, INDEX('Room Info'!$A$2:$A2446, MATCH(B1852,'Room Info'!$F$2:$F2446, 0)),IF(G1852='Room Info'!$H$1, INDEX('Room Info'!$A$2:$A2446, MATCH(B1852,'Room Info'!$H$2:$H2446, 0)),IF(G1852='Room Info'!$G$1, INDEX('Room Info'!$A$2:$A2446, MATCH(B1852,'Room Info'!$G$2:$G2446, 0)))))))))</f>
        <v>0</v>
      </c>
      <c r="B1852" s="96"/>
      <c r="C1852" s="111"/>
      <c r="D1852" s="111"/>
      <c r="E1852" s="80"/>
      <c r="F1852" s="133"/>
      <c r="G1852" s="65"/>
      <c r="H1852" s="110"/>
      <c r="I1852" s="110"/>
      <c r="J1852" s="39" t="s">
        <v>334</v>
      </c>
      <c r="K1852" s="112"/>
      <c r="L1852" s="113"/>
      <c r="M1852" s="62"/>
      <c r="N1852" s="28" t="e">
        <f t="shared" si="8"/>
        <v>#VALUE!</v>
      </c>
      <c r="O1852" s="65"/>
      <c r="P1852" s="29" t="s">
        <v>334</v>
      </c>
      <c r="Q1852" s="55"/>
      <c r="R1852" s="31" t="e">
        <f t="shared" si="9"/>
        <v>#VALUE!</v>
      </c>
      <c r="S1852" s="66"/>
      <c r="T1852" s="32" t="e">
        <f t="shared" si="10"/>
        <v>#VALUE!</v>
      </c>
      <c r="U1852" s="57"/>
      <c r="V1852" s="58"/>
      <c r="W1852" s="58"/>
      <c r="X1852" s="30" t="e">
        <f t="shared" si="11"/>
        <v>#N/A</v>
      </c>
      <c r="Y1852" s="30" t="e">
        <f t="shared" si="12"/>
        <v>#N/A</v>
      </c>
      <c r="Z1852" s="35" t="e">
        <f t="shared" si="13"/>
        <v>#VALUE!</v>
      </c>
      <c r="AA1852" s="29" t="e">
        <f t="shared" si="14"/>
        <v>#VALUE!</v>
      </c>
      <c r="AB1852" s="36" t="e">
        <f t="shared" si="15"/>
        <v>#VALUE!</v>
      </c>
      <c r="AC1852" s="37" t="b">
        <v>0</v>
      </c>
      <c r="AD1852" s="61" t="str">
        <f t="shared" si="16"/>
        <v>USD</v>
      </c>
      <c r="AE1852" s="37"/>
      <c r="AF1852" s="37" t="e">
        <f t="array" ref="AF1852">INDEX('Deal Info'!D:D, MATCH(A1852,'Deal Info'!A:A, 0))</f>
        <v>#N/A</v>
      </c>
      <c r="AG1852" s="38" t="e">
        <f t="array" ref="AG1852">INDEX('Deal Info'!G:G, MATCH(A1852,'Deal Info'!A:A, 0))</f>
        <v>#N/A</v>
      </c>
    </row>
    <row r="1853" spans="1:33" ht="14.25" hidden="1" x14ac:dyDescent="0.2">
      <c r="A1853" s="18" t="b">
        <f t="array" ref="A1853">IF(G1853='Room Info'!$B$1, INDEX('Room Info'!$A$2:$A2446, MATCH(B1853,'Room Info'!$B$2:$B2446, 0)),IF(G1853='Room Info'!$C$1, INDEX('Room Info'!$A$2:$A2446, MATCH(B1853,'Room Info'!$C$2:$C2446, 0)),IF(G1853='Room Info'!$D$1, INDEX('Room Info'!$A$2:$A2446, MATCH(B1853,'Room Info'!$D$2:$D2446, 0)),IF(G1853='Room Info'!$E$1, INDEX('Room Info'!$A$2:$A2446, MATCH(B1853,'Room Info'!$E$2:$E2446, 0)),IF(G1853='Room Info'!$F$1, INDEX('Room Info'!$A$2:$A2446, MATCH(B1853,'Room Info'!$F$2:$F2446, 0)),IF(G1853='Room Info'!$H$1, INDEX('Room Info'!$A$2:$A2446, MATCH(B1853,'Room Info'!$H$2:$H2446, 0)),IF(G1853='Room Info'!$G$1, INDEX('Room Info'!$A$2:$A2446, MATCH(B1853,'Room Info'!$G$2:$G2446, 0)))))))))</f>
        <v>0</v>
      </c>
      <c r="B1853" s="96"/>
      <c r="C1853" s="111"/>
      <c r="D1853" s="111"/>
      <c r="E1853" s="80"/>
      <c r="F1853" s="133"/>
      <c r="G1853" s="65"/>
      <c r="H1853" s="110"/>
      <c r="I1853" s="110"/>
      <c r="J1853" s="39" t="s">
        <v>334</v>
      </c>
      <c r="K1853" s="112"/>
      <c r="L1853" s="113"/>
      <c r="M1853" s="62"/>
      <c r="N1853" s="28" t="e">
        <f t="shared" si="8"/>
        <v>#VALUE!</v>
      </c>
      <c r="O1853" s="65"/>
      <c r="P1853" s="29" t="s">
        <v>334</v>
      </c>
      <c r="Q1853" s="55"/>
      <c r="R1853" s="31" t="e">
        <f t="shared" si="9"/>
        <v>#VALUE!</v>
      </c>
      <c r="S1853" s="66"/>
      <c r="T1853" s="32" t="e">
        <f t="shared" si="10"/>
        <v>#VALUE!</v>
      </c>
      <c r="U1853" s="57"/>
      <c r="V1853" s="58"/>
      <c r="W1853" s="58"/>
      <c r="X1853" s="30" t="e">
        <f t="shared" si="11"/>
        <v>#N/A</v>
      </c>
      <c r="Y1853" s="30" t="e">
        <f t="shared" si="12"/>
        <v>#N/A</v>
      </c>
      <c r="Z1853" s="35" t="e">
        <f t="shared" si="13"/>
        <v>#VALUE!</v>
      </c>
      <c r="AA1853" s="29" t="e">
        <f t="shared" si="14"/>
        <v>#VALUE!</v>
      </c>
      <c r="AB1853" s="36" t="e">
        <f t="shared" si="15"/>
        <v>#VALUE!</v>
      </c>
      <c r="AC1853" s="37" t="b">
        <v>0</v>
      </c>
      <c r="AD1853" s="61" t="str">
        <f t="shared" si="16"/>
        <v>USD</v>
      </c>
      <c r="AE1853" s="37"/>
      <c r="AF1853" s="37" t="e">
        <f t="array" ref="AF1853">INDEX('Deal Info'!D:D, MATCH(A1853,'Deal Info'!A:A, 0))</f>
        <v>#N/A</v>
      </c>
      <c r="AG1853" s="38" t="e">
        <f t="array" ref="AG1853">INDEX('Deal Info'!G:G, MATCH(A1853,'Deal Info'!A:A, 0))</f>
        <v>#N/A</v>
      </c>
    </row>
    <row r="1854" spans="1:33" ht="14.25" hidden="1" x14ac:dyDescent="0.2">
      <c r="A1854" s="18" t="b">
        <f t="array" ref="A1854">IF(G1854='Room Info'!$B$1, INDEX('Room Info'!$A$2:$A2446, MATCH(B1854,'Room Info'!$B$2:$B2446, 0)),IF(G1854='Room Info'!$C$1, INDEX('Room Info'!$A$2:$A2446, MATCH(B1854,'Room Info'!$C$2:$C2446, 0)),IF(G1854='Room Info'!$D$1, INDEX('Room Info'!$A$2:$A2446, MATCH(B1854,'Room Info'!$D$2:$D2446, 0)),IF(G1854='Room Info'!$E$1, INDEX('Room Info'!$A$2:$A2446, MATCH(B1854,'Room Info'!$E$2:$E2446, 0)),IF(G1854='Room Info'!$F$1, INDEX('Room Info'!$A$2:$A2446, MATCH(B1854,'Room Info'!$F$2:$F2446, 0)),IF(G1854='Room Info'!$H$1, INDEX('Room Info'!$A$2:$A2446, MATCH(B1854,'Room Info'!$H$2:$H2446, 0)),IF(G1854='Room Info'!$G$1, INDEX('Room Info'!$A$2:$A2446, MATCH(B1854,'Room Info'!$G$2:$G2446, 0)))))))))</f>
        <v>0</v>
      </c>
      <c r="B1854" s="96"/>
      <c r="C1854" s="136"/>
      <c r="D1854" s="136"/>
      <c r="E1854" s="137"/>
      <c r="F1854" s="133"/>
      <c r="G1854" s="96"/>
      <c r="H1854" s="100"/>
      <c r="I1854" s="100"/>
      <c r="J1854" s="39" t="s">
        <v>334</v>
      </c>
      <c r="K1854" s="134"/>
      <c r="L1854" s="135"/>
      <c r="M1854" s="79"/>
      <c r="N1854" s="28" t="e">
        <f t="shared" si="8"/>
        <v>#VALUE!</v>
      </c>
      <c r="O1854" s="96"/>
      <c r="P1854" s="29" t="s">
        <v>334</v>
      </c>
      <c r="Q1854" s="55"/>
      <c r="R1854" s="31" t="e">
        <f t="shared" si="9"/>
        <v>#VALUE!</v>
      </c>
      <c r="S1854" s="97"/>
      <c r="T1854" s="32" t="e">
        <f t="shared" si="10"/>
        <v>#VALUE!</v>
      </c>
      <c r="U1854" s="57"/>
      <c r="V1854" s="58"/>
      <c r="W1854" s="58"/>
      <c r="X1854" s="30" t="e">
        <f t="shared" si="11"/>
        <v>#N/A</v>
      </c>
      <c r="Y1854" s="30" t="e">
        <f t="shared" si="12"/>
        <v>#N/A</v>
      </c>
      <c r="Z1854" s="35" t="e">
        <f t="shared" si="13"/>
        <v>#VALUE!</v>
      </c>
      <c r="AA1854" s="29" t="e">
        <f t="shared" si="14"/>
        <v>#VALUE!</v>
      </c>
      <c r="AB1854" s="36" t="e">
        <f t="shared" si="15"/>
        <v>#VALUE!</v>
      </c>
      <c r="AC1854" s="37" t="b">
        <v>0</v>
      </c>
      <c r="AD1854" s="61" t="str">
        <f t="shared" si="16"/>
        <v>USD</v>
      </c>
      <c r="AE1854" s="37"/>
      <c r="AF1854" s="37" t="e">
        <f t="array" ref="AF1854">INDEX('Deal Info'!D:D, MATCH(A1854,'Deal Info'!A:A, 0))</f>
        <v>#N/A</v>
      </c>
      <c r="AG1854" s="38" t="e">
        <f t="array" ref="AG1854">INDEX('Deal Info'!G:G, MATCH(A1854,'Deal Info'!A:A, 0))</f>
        <v>#N/A</v>
      </c>
    </row>
    <row r="1855" spans="1:33" ht="14.25" hidden="1" x14ac:dyDescent="0.2">
      <c r="A1855" s="18" t="b">
        <f t="array" ref="A1855">IF(G1855='Room Info'!$B$1, INDEX('Room Info'!$A$2:$A2446, MATCH(B1855,'Room Info'!$B$2:$B2446, 0)),IF(G1855='Room Info'!$C$1, INDEX('Room Info'!$A$2:$A2446, MATCH(B1855,'Room Info'!$C$2:$C2446, 0)),IF(G1855='Room Info'!$D$1, INDEX('Room Info'!$A$2:$A2446, MATCH(B1855,'Room Info'!$D$2:$D2446, 0)),IF(G1855='Room Info'!$E$1, INDEX('Room Info'!$A$2:$A2446, MATCH(B1855,'Room Info'!$E$2:$E2446, 0)),IF(G1855='Room Info'!$F$1, INDEX('Room Info'!$A$2:$A2446, MATCH(B1855,'Room Info'!$F$2:$F2446, 0)),IF(G1855='Room Info'!$H$1, INDEX('Room Info'!$A$2:$A2446, MATCH(B1855,'Room Info'!$H$2:$H2446, 0)),IF(G1855='Room Info'!$G$1, INDEX('Room Info'!$A$2:$A2446, MATCH(B1855,'Room Info'!$G$2:$G2446, 0)))))))))</f>
        <v>0</v>
      </c>
      <c r="B1855" s="96"/>
      <c r="C1855" s="136"/>
      <c r="D1855" s="136"/>
      <c r="E1855" s="137"/>
      <c r="F1855" s="133"/>
      <c r="G1855" s="96"/>
      <c r="H1855" s="100"/>
      <c r="I1855" s="100"/>
      <c r="J1855" s="39" t="s">
        <v>334</v>
      </c>
      <c r="K1855" s="134"/>
      <c r="L1855" s="135"/>
      <c r="M1855" s="79"/>
      <c r="N1855" s="28" t="e">
        <f t="shared" si="8"/>
        <v>#VALUE!</v>
      </c>
      <c r="O1855" s="96"/>
      <c r="P1855" s="29" t="s">
        <v>334</v>
      </c>
      <c r="Q1855" s="55"/>
      <c r="R1855" s="31" t="e">
        <f t="shared" si="9"/>
        <v>#VALUE!</v>
      </c>
      <c r="S1855" s="97"/>
      <c r="T1855" s="32" t="e">
        <f t="shared" si="10"/>
        <v>#VALUE!</v>
      </c>
      <c r="U1855" s="57"/>
      <c r="V1855" s="58"/>
      <c r="W1855" s="58"/>
      <c r="X1855" s="30" t="e">
        <f t="shared" si="11"/>
        <v>#N/A</v>
      </c>
      <c r="Y1855" s="30" t="e">
        <f t="shared" si="12"/>
        <v>#N/A</v>
      </c>
      <c r="Z1855" s="35" t="e">
        <f t="shared" si="13"/>
        <v>#VALUE!</v>
      </c>
      <c r="AA1855" s="29" t="e">
        <f t="shared" si="14"/>
        <v>#VALUE!</v>
      </c>
      <c r="AB1855" s="36" t="e">
        <f t="shared" si="15"/>
        <v>#VALUE!</v>
      </c>
      <c r="AC1855" s="37" t="b">
        <v>0</v>
      </c>
      <c r="AD1855" s="61" t="str">
        <f t="shared" si="16"/>
        <v>USD</v>
      </c>
      <c r="AE1855" s="37"/>
      <c r="AF1855" s="37" t="e">
        <f t="array" ref="AF1855">INDEX('Deal Info'!D:D, MATCH(A1855,'Deal Info'!A:A, 0))</f>
        <v>#N/A</v>
      </c>
      <c r="AG1855" s="38" t="e">
        <f t="array" ref="AG1855">INDEX('Deal Info'!G:G, MATCH(A1855,'Deal Info'!A:A, 0))</f>
        <v>#N/A</v>
      </c>
    </row>
    <row r="1856" spans="1:33" ht="14.25" hidden="1" x14ac:dyDescent="0.2">
      <c r="A1856" s="18" t="b">
        <f t="array" ref="A1856">IF(G1856='Room Info'!$B$1, INDEX('Room Info'!$A$2:$A2446, MATCH(B1856,'Room Info'!$B$2:$B2446, 0)),IF(G1856='Room Info'!$C$1, INDEX('Room Info'!$A$2:$A2446, MATCH(B1856,'Room Info'!$C$2:$C2446, 0)),IF(G1856='Room Info'!$D$1, INDEX('Room Info'!$A$2:$A2446, MATCH(B1856,'Room Info'!$D$2:$D2446, 0)),IF(G1856='Room Info'!$E$1, INDEX('Room Info'!$A$2:$A2446, MATCH(B1856,'Room Info'!$E$2:$E2446, 0)),IF(G1856='Room Info'!$F$1, INDEX('Room Info'!$A$2:$A2446, MATCH(B1856,'Room Info'!$F$2:$F2446, 0)),IF(G1856='Room Info'!$H$1, INDEX('Room Info'!$A$2:$A2446, MATCH(B1856,'Room Info'!$H$2:$H2446, 0)),IF(G1856='Room Info'!$G$1, INDEX('Room Info'!$A$2:$A2446, MATCH(B1856,'Room Info'!$G$2:$G2446, 0)))))))))</f>
        <v>0</v>
      </c>
      <c r="B1856" s="96"/>
      <c r="C1856" s="111"/>
      <c r="D1856" s="111"/>
      <c r="E1856" s="80"/>
      <c r="F1856" s="133"/>
      <c r="G1856" s="96"/>
      <c r="H1856" s="110"/>
      <c r="I1856" s="110"/>
      <c r="J1856" s="39" t="s">
        <v>334</v>
      </c>
      <c r="K1856" s="112"/>
      <c r="L1856" s="113"/>
      <c r="M1856" s="62"/>
      <c r="N1856" s="28" t="e">
        <f t="shared" si="8"/>
        <v>#VALUE!</v>
      </c>
      <c r="O1856" s="65"/>
      <c r="P1856" s="29" t="s">
        <v>334</v>
      </c>
      <c r="Q1856" s="55"/>
      <c r="R1856" s="31" t="e">
        <f t="shared" si="9"/>
        <v>#VALUE!</v>
      </c>
      <c r="S1856" s="66"/>
      <c r="T1856" s="32" t="e">
        <f t="shared" si="10"/>
        <v>#VALUE!</v>
      </c>
      <c r="U1856" s="57"/>
      <c r="V1856" s="58"/>
      <c r="W1856" s="58"/>
      <c r="X1856" s="30" t="e">
        <f t="shared" si="11"/>
        <v>#N/A</v>
      </c>
      <c r="Y1856" s="30" t="e">
        <f t="shared" si="12"/>
        <v>#N/A</v>
      </c>
      <c r="Z1856" s="35" t="e">
        <f t="shared" si="13"/>
        <v>#VALUE!</v>
      </c>
      <c r="AA1856" s="29" t="e">
        <f t="shared" si="14"/>
        <v>#VALUE!</v>
      </c>
      <c r="AB1856" s="36" t="e">
        <f t="shared" si="15"/>
        <v>#VALUE!</v>
      </c>
      <c r="AC1856" s="37" t="b">
        <v>0</v>
      </c>
      <c r="AD1856" s="61" t="str">
        <f t="shared" si="16"/>
        <v>USD</v>
      </c>
      <c r="AE1856" s="37"/>
      <c r="AF1856" s="37" t="e">
        <f t="array" ref="AF1856">INDEX('Deal Info'!D:D, MATCH(A1856,'Deal Info'!A:A, 0))</f>
        <v>#N/A</v>
      </c>
      <c r="AG1856" s="38" t="e">
        <f t="array" ref="AG1856">INDEX('Deal Info'!G:G, MATCH(A1856,'Deal Info'!A:A, 0))</f>
        <v>#N/A</v>
      </c>
    </row>
    <row r="1857" spans="1:33" ht="14.25" hidden="1" x14ac:dyDescent="0.2">
      <c r="A1857" s="18" t="b">
        <f t="array" ref="A1857">IF(G1857='Room Info'!$B$1, INDEX('Room Info'!$A$2:$A2446, MATCH(B1857,'Room Info'!$B$2:$B2446, 0)),IF(G1857='Room Info'!$C$1, INDEX('Room Info'!$A$2:$A2446, MATCH(B1857,'Room Info'!$C$2:$C2446, 0)),IF(G1857='Room Info'!$D$1, INDEX('Room Info'!$A$2:$A2446, MATCH(B1857,'Room Info'!$D$2:$D2446, 0)),IF(G1857='Room Info'!$E$1, INDEX('Room Info'!$A$2:$A2446, MATCH(B1857,'Room Info'!$E$2:$E2446, 0)),IF(G1857='Room Info'!$F$1, INDEX('Room Info'!$A$2:$A2446, MATCH(B1857,'Room Info'!$F$2:$F2446, 0)),IF(G1857='Room Info'!$H$1, INDEX('Room Info'!$A$2:$A2446, MATCH(B1857,'Room Info'!$H$2:$H2446, 0)),IF(G1857='Room Info'!$G$1, INDEX('Room Info'!$A$2:$A2446, MATCH(B1857,'Room Info'!$G$2:$G2446, 0)))))))))</f>
        <v>0</v>
      </c>
      <c r="B1857" s="96"/>
      <c r="C1857" s="111"/>
      <c r="D1857" s="111"/>
      <c r="E1857" s="80"/>
      <c r="F1857" s="133"/>
      <c r="G1857" s="96"/>
      <c r="H1857" s="110"/>
      <c r="I1857" s="110"/>
      <c r="J1857" s="39" t="s">
        <v>334</v>
      </c>
      <c r="K1857" s="112"/>
      <c r="L1857" s="113"/>
      <c r="M1857" s="62"/>
      <c r="N1857" s="28" t="e">
        <f t="shared" si="8"/>
        <v>#VALUE!</v>
      </c>
      <c r="O1857" s="65"/>
      <c r="P1857" s="29" t="s">
        <v>334</v>
      </c>
      <c r="Q1857" s="55"/>
      <c r="R1857" s="31" t="e">
        <f t="shared" si="9"/>
        <v>#VALUE!</v>
      </c>
      <c r="S1857" s="66"/>
      <c r="T1857" s="32" t="e">
        <f t="shared" si="10"/>
        <v>#VALUE!</v>
      </c>
      <c r="U1857" s="57"/>
      <c r="V1857" s="58"/>
      <c r="W1857" s="58"/>
      <c r="X1857" s="30" t="e">
        <f t="shared" si="11"/>
        <v>#N/A</v>
      </c>
      <c r="Y1857" s="30" t="e">
        <f t="shared" si="12"/>
        <v>#N/A</v>
      </c>
      <c r="Z1857" s="35" t="e">
        <f t="shared" si="13"/>
        <v>#VALUE!</v>
      </c>
      <c r="AA1857" s="29" t="e">
        <f t="shared" si="14"/>
        <v>#VALUE!</v>
      </c>
      <c r="AB1857" s="36" t="e">
        <f t="shared" si="15"/>
        <v>#VALUE!</v>
      </c>
      <c r="AC1857" s="37" t="b">
        <v>0</v>
      </c>
      <c r="AD1857" s="61" t="str">
        <f t="shared" si="16"/>
        <v>USD</v>
      </c>
      <c r="AE1857" s="37"/>
      <c r="AF1857" s="37" t="e">
        <f t="array" ref="AF1857">INDEX('Deal Info'!D:D, MATCH(A1857,'Deal Info'!A:A, 0))</f>
        <v>#N/A</v>
      </c>
      <c r="AG1857" s="38" t="e">
        <f t="array" ref="AG1857">INDEX('Deal Info'!G:G, MATCH(A1857,'Deal Info'!A:A, 0))</f>
        <v>#N/A</v>
      </c>
    </row>
    <row r="1858" spans="1:33" ht="14.25" hidden="1" x14ac:dyDescent="0.2">
      <c r="A1858" s="18" t="b">
        <f t="array" ref="A1858">IF(G1858='Room Info'!$B$1, INDEX('Room Info'!$A$2:$A2446, MATCH(B1858,'Room Info'!$B$2:$B2446, 0)),IF(G1858='Room Info'!$C$1, INDEX('Room Info'!$A$2:$A2446, MATCH(B1858,'Room Info'!$C$2:$C2446, 0)),IF(G1858='Room Info'!$D$1, INDEX('Room Info'!$A$2:$A2446, MATCH(B1858,'Room Info'!$D$2:$D2446, 0)),IF(G1858='Room Info'!$E$1, INDEX('Room Info'!$A$2:$A2446, MATCH(B1858,'Room Info'!$E$2:$E2446, 0)),IF(G1858='Room Info'!$F$1, INDEX('Room Info'!$A$2:$A2446, MATCH(B1858,'Room Info'!$F$2:$F2446, 0)),IF(G1858='Room Info'!$H$1, INDEX('Room Info'!$A$2:$A2446, MATCH(B1858,'Room Info'!$H$2:$H2446, 0)),IF(G1858='Room Info'!$G$1, INDEX('Room Info'!$A$2:$A2446, MATCH(B1858,'Room Info'!$G$2:$G2446, 0)))))))))</f>
        <v>0</v>
      </c>
      <c r="B1858" s="96"/>
      <c r="C1858" s="111"/>
      <c r="D1858" s="111"/>
      <c r="E1858" s="80"/>
      <c r="F1858" s="133"/>
      <c r="G1858" s="96"/>
      <c r="H1858" s="110"/>
      <c r="I1858" s="110"/>
      <c r="J1858" s="39" t="s">
        <v>334</v>
      </c>
      <c r="K1858" s="112"/>
      <c r="L1858" s="113"/>
      <c r="M1858" s="62"/>
      <c r="N1858" s="28" t="e">
        <f t="shared" si="8"/>
        <v>#VALUE!</v>
      </c>
      <c r="O1858" s="65"/>
      <c r="P1858" s="29" t="s">
        <v>334</v>
      </c>
      <c r="Q1858" s="55"/>
      <c r="R1858" s="31" t="e">
        <f t="shared" si="9"/>
        <v>#VALUE!</v>
      </c>
      <c r="S1858" s="66"/>
      <c r="T1858" s="32" t="e">
        <f t="shared" si="10"/>
        <v>#VALUE!</v>
      </c>
      <c r="U1858" s="57"/>
      <c r="V1858" s="58"/>
      <c r="W1858" s="58"/>
      <c r="X1858" s="30" t="e">
        <f t="shared" si="11"/>
        <v>#N/A</v>
      </c>
      <c r="Y1858" s="30" t="e">
        <f t="shared" si="12"/>
        <v>#N/A</v>
      </c>
      <c r="Z1858" s="35" t="e">
        <f t="shared" si="13"/>
        <v>#VALUE!</v>
      </c>
      <c r="AA1858" s="29" t="e">
        <f t="shared" si="14"/>
        <v>#VALUE!</v>
      </c>
      <c r="AB1858" s="36" t="e">
        <f t="shared" si="15"/>
        <v>#VALUE!</v>
      </c>
      <c r="AC1858" s="37" t="b">
        <v>0</v>
      </c>
      <c r="AD1858" s="61" t="str">
        <f t="shared" si="16"/>
        <v>USD</v>
      </c>
      <c r="AE1858" s="37"/>
      <c r="AF1858" s="37" t="e">
        <f t="array" ref="AF1858">INDEX('Deal Info'!D:D, MATCH(A1858,'Deal Info'!A:A, 0))</f>
        <v>#N/A</v>
      </c>
      <c r="AG1858" s="38" t="e">
        <f t="array" ref="AG1858">INDEX('Deal Info'!G:G, MATCH(A1858,'Deal Info'!A:A, 0))</f>
        <v>#N/A</v>
      </c>
    </row>
    <row r="1859" spans="1:33" ht="14.25" hidden="1" x14ac:dyDescent="0.2">
      <c r="A1859" s="18" t="b">
        <f t="array" ref="A1859">IF(G1859='Room Info'!$B$1, INDEX('Room Info'!$A$2:$A2446, MATCH(B1859,'Room Info'!$B$2:$B2446, 0)),IF(G1859='Room Info'!$C$1, INDEX('Room Info'!$A$2:$A2446, MATCH(B1859,'Room Info'!$C$2:$C2446, 0)),IF(G1859='Room Info'!$D$1, INDEX('Room Info'!$A$2:$A2446, MATCH(B1859,'Room Info'!$D$2:$D2446, 0)),IF(G1859='Room Info'!$E$1, INDEX('Room Info'!$A$2:$A2446, MATCH(B1859,'Room Info'!$E$2:$E2446, 0)),IF(G1859='Room Info'!$F$1, INDEX('Room Info'!$A$2:$A2446, MATCH(B1859,'Room Info'!$F$2:$F2446, 0)),IF(G1859='Room Info'!$H$1, INDEX('Room Info'!$A$2:$A2446, MATCH(B1859,'Room Info'!$H$2:$H2446, 0)),IF(G1859='Room Info'!$G$1, INDEX('Room Info'!$A$2:$A2446, MATCH(B1859,'Room Info'!$G$2:$G2446, 0)))))))))</f>
        <v>0</v>
      </c>
      <c r="B1859" s="96"/>
      <c r="C1859" s="111"/>
      <c r="D1859" s="111"/>
      <c r="E1859" s="80"/>
      <c r="F1859" s="133"/>
      <c r="G1859" s="96"/>
      <c r="H1859" s="110"/>
      <c r="I1859" s="110"/>
      <c r="J1859" s="39" t="s">
        <v>334</v>
      </c>
      <c r="K1859" s="112"/>
      <c r="L1859" s="113"/>
      <c r="M1859" s="62"/>
      <c r="N1859" s="28" t="e">
        <f t="shared" si="8"/>
        <v>#VALUE!</v>
      </c>
      <c r="O1859" s="65"/>
      <c r="P1859" s="29" t="s">
        <v>334</v>
      </c>
      <c r="Q1859" s="55"/>
      <c r="R1859" s="31" t="e">
        <f t="shared" si="9"/>
        <v>#VALUE!</v>
      </c>
      <c r="S1859" s="66"/>
      <c r="T1859" s="32" t="e">
        <f t="shared" si="10"/>
        <v>#VALUE!</v>
      </c>
      <c r="U1859" s="57"/>
      <c r="V1859" s="58"/>
      <c r="W1859" s="58"/>
      <c r="X1859" s="30" t="e">
        <f t="shared" si="11"/>
        <v>#N/A</v>
      </c>
      <c r="Y1859" s="30" t="e">
        <f t="shared" si="12"/>
        <v>#N/A</v>
      </c>
      <c r="Z1859" s="35" t="e">
        <f t="shared" si="13"/>
        <v>#VALUE!</v>
      </c>
      <c r="AA1859" s="29" t="e">
        <f t="shared" si="14"/>
        <v>#VALUE!</v>
      </c>
      <c r="AB1859" s="36" t="e">
        <f t="shared" si="15"/>
        <v>#VALUE!</v>
      </c>
      <c r="AC1859" s="37" t="b">
        <v>0</v>
      </c>
      <c r="AD1859" s="61" t="str">
        <f t="shared" si="16"/>
        <v>USD</v>
      </c>
      <c r="AE1859" s="37"/>
      <c r="AF1859" s="37" t="e">
        <f t="array" ref="AF1859">INDEX('Deal Info'!D:D, MATCH(A1859,'Deal Info'!A:A, 0))</f>
        <v>#N/A</v>
      </c>
      <c r="AG1859" s="38" t="e">
        <f t="array" ref="AG1859">INDEX('Deal Info'!G:G, MATCH(A1859,'Deal Info'!A:A, 0))</f>
        <v>#N/A</v>
      </c>
    </row>
    <row r="1860" spans="1:33" ht="14.25" hidden="1" x14ac:dyDescent="0.2">
      <c r="A1860" s="18" t="b">
        <f t="array" ref="A1860">IF(G1860='Room Info'!$B$1, INDEX('Room Info'!$A$2:$A2446, MATCH(B1860,'Room Info'!$B$2:$B2446, 0)),IF(G1860='Room Info'!$C$1, INDEX('Room Info'!$A$2:$A2446, MATCH(B1860,'Room Info'!$C$2:$C2446, 0)),IF(G1860='Room Info'!$D$1, INDEX('Room Info'!$A$2:$A2446, MATCH(B1860,'Room Info'!$D$2:$D2446, 0)),IF(G1860='Room Info'!$E$1, INDEX('Room Info'!$A$2:$A2446, MATCH(B1860,'Room Info'!$E$2:$E2446, 0)),IF(G1860='Room Info'!$F$1, INDEX('Room Info'!$A$2:$A2446, MATCH(B1860,'Room Info'!$F$2:$F2446, 0)),IF(G1860='Room Info'!$H$1, INDEX('Room Info'!$A$2:$A2446, MATCH(B1860,'Room Info'!$H$2:$H2446, 0)),IF(G1860='Room Info'!$G$1, INDEX('Room Info'!$A$2:$A2446, MATCH(B1860,'Room Info'!$G$2:$G2446, 0)))))))))</f>
        <v>0</v>
      </c>
      <c r="B1860" s="96"/>
      <c r="C1860" s="111"/>
      <c r="D1860" s="111"/>
      <c r="E1860" s="80"/>
      <c r="F1860" s="133"/>
      <c r="G1860" s="96"/>
      <c r="H1860" s="110"/>
      <c r="I1860" s="110"/>
      <c r="J1860" s="39" t="s">
        <v>334</v>
      </c>
      <c r="K1860" s="112"/>
      <c r="L1860" s="113"/>
      <c r="M1860" s="62"/>
      <c r="N1860" s="28" t="e">
        <f t="shared" si="8"/>
        <v>#VALUE!</v>
      </c>
      <c r="O1860" s="65"/>
      <c r="P1860" s="29" t="s">
        <v>334</v>
      </c>
      <c r="Q1860" s="55"/>
      <c r="R1860" s="31" t="e">
        <f t="shared" si="9"/>
        <v>#VALUE!</v>
      </c>
      <c r="S1860" s="66"/>
      <c r="T1860" s="32" t="e">
        <f t="shared" si="10"/>
        <v>#VALUE!</v>
      </c>
      <c r="U1860" s="57"/>
      <c r="V1860" s="58"/>
      <c r="W1860" s="58"/>
      <c r="X1860" s="30" t="e">
        <f t="shared" si="11"/>
        <v>#N/A</v>
      </c>
      <c r="Y1860" s="30" t="e">
        <f t="shared" si="12"/>
        <v>#N/A</v>
      </c>
      <c r="Z1860" s="35" t="e">
        <f t="shared" si="13"/>
        <v>#VALUE!</v>
      </c>
      <c r="AA1860" s="29" t="e">
        <f t="shared" si="14"/>
        <v>#VALUE!</v>
      </c>
      <c r="AB1860" s="36" t="e">
        <f t="shared" si="15"/>
        <v>#VALUE!</v>
      </c>
      <c r="AC1860" s="37" t="b">
        <v>0</v>
      </c>
      <c r="AD1860" s="61" t="str">
        <f t="shared" si="16"/>
        <v>USD</v>
      </c>
      <c r="AE1860" s="37"/>
      <c r="AF1860" s="37" t="e">
        <f t="array" ref="AF1860">INDEX('Deal Info'!D:D, MATCH(A1860,'Deal Info'!A:A, 0))</f>
        <v>#N/A</v>
      </c>
      <c r="AG1860" s="38" t="e">
        <f t="array" ref="AG1860">INDEX('Deal Info'!G:G, MATCH(A1860,'Deal Info'!A:A, 0))</f>
        <v>#N/A</v>
      </c>
    </row>
    <row r="1861" spans="1:33" ht="14.25" hidden="1" x14ac:dyDescent="0.2">
      <c r="A1861" s="18" t="b">
        <f t="array" ref="A1861">IF(G1861='Room Info'!$B$1, INDEX('Room Info'!$A$2:$A2446, MATCH(B1861,'Room Info'!$B$2:$B2446, 0)),IF(G1861='Room Info'!$C$1, INDEX('Room Info'!$A$2:$A2446, MATCH(B1861,'Room Info'!$C$2:$C2446, 0)),IF(G1861='Room Info'!$D$1, INDEX('Room Info'!$A$2:$A2446, MATCH(B1861,'Room Info'!$D$2:$D2446, 0)),IF(G1861='Room Info'!$E$1, INDEX('Room Info'!$A$2:$A2446, MATCH(B1861,'Room Info'!$E$2:$E2446, 0)),IF(G1861='Room Info'!$F$1, INDEX('Room Info'!$A$2:$A2446, MATCH(B1861,'Room Info'!$F$2:$F2446, 0)),IF(G1861='Room Info'!$H$1, INDEX('Room Info'!$A$2:$A2446, MATCH(B1861,'Room Info'!$H$2:$H2446, 0)),IF(G1861='Room Info'!$G$1, INDEX('Room Info'!$A$2:$A2446, MATCH(B1861,'Room Info'!$G$2:$G2446, 0)))))))))</f>
        <v>0</v>
      </c>
      <c r="B1861" s="96"/>
      <c r="C1861" s="111"/>
      <c r="D1861" s="111"/>
      <c r="E1861" s="80"/>
      <c r="F1861" s="96"/>
      <c r="G1861" s="65"/>
      <c r="H1861" s="110"/>
      <c r="I1861" s="110"/>
      <c r="J1861" s="39" t="s">
        <v>334</v>
      </c>
      <c r="K1861" s="134"/>
      <c r="L1861" s="135"/>
      <c r="M1861" s="62"/>
      <c r="N1861" s="28" t="e">
        <f t="shared" si="8"/>
        <v>#VALUE!</v>
      </c>
      <c r="O1861" s="96"/>
      <c r="P1861" s="29" t="s">
        <v>334</v>
      </c>
      <c r="Q1861" s="55"/>
      <c r="R1861" s="31" t="e">
        <f t="shared" si="9"/>
        <v>#VALUE!</v>
      </c>
      <c r="S1861" s="97"/>
      <c r="T1861" s="32" t="e">
        <f t="shared" si="10"/>
        <v>#VALUE!</v>
      </c>
      <c r="U1861" s="57"/>
      <c r="V1861" s="58"/>
      <c r="W1861" s="58"/>
      <c r="X1861" s="30" t="e">
        <f t="shared" si="11"/>
        <v>#N/A</v>
      </c>
      <c r="Y1861" s="30" t="e">
        <f t="shared" si="12"/>
        <v>#N/A</v>
      </c>
      <c r="Z1861" s="35" t="e">
        <f t="shared" si="13"/>
        <v>#VALUE!</v>
      </c>
      <c r="AA1861" s="29" t="e">
        <f t="shared" si="14"/>
        <v>#VALUE!</v>
      </c>
      <c r="AB1861" s="36" t="e">
        <f t="shared" si="15"/>
        <v>#VALUE!</v>
      </c>
      <c r="AC1861" s="37" t="b">
        <v>0</v>
      </c>
      <c r="AD1861" s="61" t="str">
        <f t="shared" si="16"/>
        <v>USD</v>
      </c>
      <c r="AE1861" s="37"/>
      <c r="AF1861" s="37" t="e">
        <f t="array" ref="AF1861">INDEX('Deal Info'!D:D, MATCH(A1861,'Deal Info'!A:A, 0))</f>
        <v>#N/A</v>
      </c>
      <c r="AG1861" s="38" t="e">
        <f t="array" ref="AG1861">INDEX('Deal Info'!G:G, MATCH(A1861,'Deal Info'!A:A, 0))</f>
        <v>#N/A</v>
      </c>
    </row>
    <row r="1862" spans="1:33" ht="14.25" hidden="1" x14ac:dyDescent="0.2">
      <c r="A1862" s="18" t="b">
        <f t="array" ref="A1862">IF(G1862='Room Info'!$B$1, INDEX('Room Info'!$A$2:$A2446, MATCH(B1862,'Room Info'!$B$2:$B2446, 0)),IF(G1862='Room Info'!$C$1, INDEX('Room Info'!$A$2:$A2446, MATCH(B1862,'Room Info'!$C$2:$C2446, 0)),IF(G1862='Room Info'!$D$1, INDEX('Room Info'!$A$2:$A2446, MATCH(B1862,'Room Info'!$D$2:$D2446, 0)),IF(G1862='Room Info'!$E$1, INDEX('Room Info'!$A$2:$A2446, MATCH(B1862,'Room Info'!$E$2:$E2446, 0)),IF(G1862='Room Info'!$F$1, INDEX('Room Info'!$A$2:$A2446, MATCH(B1862,'Room Info'!$F$2:$F2446, 0)),IF(G1862='Room Info'!$H$1, INDEX('Room Info'!$A$2:$A2446, MATCH(B1862,'Room Info'!$H$2:$H2446, 0)),IF(G1862='Room Info'!$G$1, INDEX('Room Info'!$A$2:$A2446, MATCH(B1862,'Room Info'!$G$2:$G2446, 0)))))))))</f>
        <v>0</v>
      </c>
      <c r="B1862" s="96"/>
      <c r="C1862" s="111"/>
      <c r="D1862" s="111"/>
      <c r="E1862" s="80"/>
      <c r="F1862" s="96"/>
      <c r="G1862" s="65"/>
      <c r="H1862" s="110"/>
      <c r="I1862" s="110"/>
      <c r="J1862" s="39" t="s">
        <v>334</v>
      </c>
      <c r="K1862" s="134"/>
      <c r="L1862" s="135"/>
      <c r="M1862" s="62"/>
      <c r="N1862" s="28" t="e">
        <f t="shared" si="8"/>
        <v>#VALUE!</v>
      </c>
      <c r="O1862" s="96"/>
      <c r="P1862" s="29" t="s">
        <v>334</v>
      </c>
      <c r="Q1862" s="55"/>
      <c r="R1862" s="31" t="e">
        <f t="shared" si="9"/>
        <v>#VALUE!</v>
      </c>
      <c r="S1862" s="97"/>
      <c r="T1862" s="32" t="e">
        <f t="shared" si="10"/>
        <v>#VALUE!</v>
      </c>
      <c r="U1862" s="57"/>
      <c r="V1862" s="58"/>
      <c r="W1862" s="58"/>
      <c r="X1862" s="30" t="e">
        <f t="shared" si="11"/>
        <v>#N/A</v>
      </c>
      <c r="Y1862" s="30" t="e">
        <f t="shared" si="12"/>
        <v>#N/A</v>
      </c>
      <c r="Z1862" s="35" t="e">
        <f t="shared" si="13"/>
        <v>#VALUE!</v>
      </c>
      <c r="AA1862" s="29" t="e">
        <f t="shared" si="14"/>
        <v>#VALUE!</v>
      </c>
      <c r="AB1862" s="36" t="e">
        <f t="shared" si="15"/>
        <v>#VALUE!</v>
      </c>
      <c r="AC1862" s="37" t="b">
        <v>0</v>
      </c>
      <c r="AD1862" s="61" t="str">
        <f t="shared" si="16"/>
        <v>USD</v>
      </c>
      <c r="AE1862" s="37"/>
      <c r="AF1862" s="37" t="e">
        <f t="array" ref="AF1862">INDEX('Deal Info'!D:D, MATCH(A1862,'Deal Info'!A:A, 0))</f>
        <v>#N/A</v>
      </c>
      <c r="AG1862" s="38" t="e">
        <f t="array" ref="AG1862">INDEX('Deal Info'!G:G, MATCH(A1862,'Deal Info'!A:A, 0))</f>
        <v>#N/A</v>
      </c>
    </row>
    <row r="1863" spans="1:33" ht="14.25" hidden="1" x14ac:dyDescent="0.2">
      <c r="A1863" s="18" t="b">
        <f t="array" ref="A1863">IF(G1863='Room Info'!$B$1, INDEX('Room Info'!$A$2:$A2446, MATCH(B1863,'Room Info'!$B$2:$B2446, 0)),IF(G1863='Room Info'!$C$1, INDEX('Room Info'!$A$2:$A2446, MATCH(B1863,'Room Info'!$C$2:$C2446, 0)),IF(G1863='Room Info'!$D$1, INDEX('Room Info'!$A$2:$A2446, MATCH(B1863,'Room Info'!$D$2:$D2446, 0)),IF(G1863='Room Info'!$E$1, INDEX('Room Info'!$A$2:$A2446, MATCH(B1863,'Room Info'!$E$2:$E2446, 0)),IF(G1863='Room Info'!$F$1, INDEX('Room Info'!$A$2:$A2446, MATCH(B1863,'Room Info'!$F$2:$F2446, 0)),IF(G1863='Room Info'!$H$1, INDEX('Room Info'!$A$2:$A2446, MATCH(B1863,'Room Info'!$H$2:$H2446, 0)),IF(G1863='Room Info'!$G$1, INDEX('Room Info'!$A$2:$A2446, MATCH(B1863,'Room Info'!$G$2:$G2446, 0)))))))))</f>
        <v>0</v>
      </c>
      <c r="B1863" s="96"/>
      <c r="C1863" s="111"/>
      <c r="D1863" s="111"/>
      <c r="E1863" s="80"/>
      <c r="F1863" s="133"/>
      <c r="G1863" s="96"/>
      <c r="H1863" s="110"/>
      <c r="I1863" s="110"/>
      <c r="J1863" s="39" t="s">
        <v>334</v>
      </c>
      <c r="K1863" s="112"/>
      <c r="L1863" s="113"/>
      <c r="M1863" s="62"/>
      <c r="N1863" s="28" t="e">
        <f t="shared" si="8"/>
        <v>#VALUE!</v>
      </c>
      <c r="O1863" s="65"/>
      <c r="P1863" s="29" t="s">
        <v>334</v>
      </c>
      <c r="Q1863" s="55"/>
      <c r="R1863" s="31" t="e">
        <f t="shared" si="9"/>
        <v>#VALUE!</v>
      </c>
      <c r="S1863" s="66"/>
      <c r="T1863" s="32" t="e">
        <f t="shared" si="10"/>
        <v>#VALUE!</v>
      </c>
      <c r="U1863" s="57"/>
      <c r="V1863" s="58"/>
      <c r="W1863" s="58"/>
      <c r="X1863" s="30" t="e">
        <f t="shared" si="11"/>
        <v>#N/A</v>
      </c>
      <c r="Y1863" s="30" t="e">
        <f t="shared" si="12"/>
        <v>#N/A</v>
      </c>
      <c r="Z1863" s="35" t="e">
        <f t="shared" si="13"/>
        <v>#VALUE!</v>
      </c>
      <c r="AA1863" s="29" t="e">
        <f t="shared" si="14"/>
        <v>#VALUE!</v>
      </c>
      <c r="AB1863" s="36" t="e">
        <f t="shared" si="15"/>
        <v>#VALUE!</v>
      </c>
      <c r="AC1863" s="37" t="b">
        <v>0</v>
      </c>
      <c r="AD1863" s="61" t="str">
        <f t="shared" si="16"/>
        <v>USD</v>
      </c>
      <c r="AE1863" s="37"/>
      <c r="AF1863" s="37" t="e">
        <f t="array" ref="AF1863">INDEX('Deal Info'!D:D, MATCH(A1863,'Deal Info'!A:A, 0))</f>
        <v>#N/A</v>
      </c>
      <c r="AG1863" s="38" t="e">
        <f t="array" ref="AG1863">INDEX('Deal Info'!G:G, MATCH(A1863,'Deal Info'!A:A, 0))</f>
        <v>#N/A</v>
      </c>
    </row>
    <row r="1864" spans="1:33" ht="14.25" hidden="1" x14ac:dyDescent="0.2">
      <c r="A1864" s="18" t="b">
        <f t="array" ref="A1864">IF(G1864='Room Info'!$B$1, INDEX('Room Info'!$A$2:$A2446, MATCH(B1864,'Room Info'!$B$2:$B2446, 0)),IF(G1864='Room Info'!$C$1, INDEX('Room Info'!$A$2:$A2446, MATCH(B1864,'Room Info'!$C$2:$C2446, 0)),IF(G1864='Room Info'!$D$1, INDEX('Room Info'!$A$2:$A2446, MATCH(B1864,'Room Info'!$D$2:$D2446, 0)),IF(G1864='Room Info'!$E$1, INDEX('Room Info'!$A$2:$A2446, MATCH(B1864,'Room Info'!$E$2:$E2446, 0)),IF(G1864='Room Info'!$F$1, INDEX('Room Info'!$A$2:$A2446, MATCH(B1864,'Room Info'!$F$2:$F2446, 0)),IF(G1864='Room Info'!$H$1, INDEX('Room Info'!$A$2:$A2446, MATCH(B1864,'Room Info'!$H$2:$H2446, 0)),IF(G1864='Room Info'!$G$1, INDEX('Room Info'!$A$2:$A2446, MATCH(B1864,'Room Info'!$G$2:$G2446, 0)))))))))</f>
        <v>0</v>
      </c>
      <c r="B1864" s="96"/>
      <c r="C1864" s="111"/>
      <c r="D1864" s="111"/>
      <c r="E1864" s="80"/>
      <c r="F1864" s="133"/>
      <c r="G1864" s="96"/>
      <c r="H1864" s="110"/>
      <c r="I1864" s="110"/>
      <c r="J1864" s="39" t="s">
        <v>334</v>
      </c>
      <c r="K1864" s="112"/>
      <c r="L1864" s="113"/>
      <c r="M1864" s="62"/>
      <c r="N1864" s="28" t="e">
        <f t="shared" si="8"/>
        <v>#VALUE!</v>
      </c>
      <c r="O1864" s="65"/>
      <c r="P1864" s="29" t="s">
        <v>334</v>
      </c>
      <c r="Q1864" s="55"/>
      <c r="R1864" s="31" t="e">
        <f t="shared" si="9"/>
        <v>#VALUE!</v>
      </c>
      <c r="S1864" s="66"/>
      <c r="T1864" s="32" t="e">
        <f t="shared" si="10"/>
        <v>#VALUE!</v>
      </c>
      <c r="U1864" s="57"/>
      <c r="V1864" s="58"/>
      <c r="W1864" s="58"/>
      <c r="X1864" s="30" t="e">
        <f t="shared" si="11"/>
        <v>#N/A</v>
      </c>
      <c r="Y1864" s="30" t="e">
        <f t="shared" si="12"/>
        <v>#N/A</v>
      </c>
      <c r="Z1864" s="35" t="e">
        <f t="shared" si="13"/>
        <v>#VALUE!</v>
      </c>
      <c r="AA1864" s="29" t="e">
        <f t="shared" si="14"/>
        <v>#VALUE!</v>
      </c>
      <c r="AB1864" s="36" t="e">
        <f t="shared" si="15"/>
        <v>#VALUE!</v>
      </c>
      <c r="AC1864" s="37" t="b">
        <v>0</v>
      </c>
      <c r="AD1864" s="61" t="str">
        <f t="shared" si="16"/>
        <v>USD</v>
      </c>
      <c r="AE1864" s="37"/>
      <c r="AF1864" s="37" t="e">
        <f t="array" ref="AF1864">INDEX('Deal Info'!D:D, MATCH(A1864,'Deal Info'!A:A, 0))</f>
        <v>#N/A</v>
      </c>
      <c r="AG1864" s="38" t="e">
        <f t="array" ref="AG1864">INDEX('Deal Info'!G:G, MATCH(A1864,'Deal Info'!A:A, 0))</f>
        <v>#N/A</v>
      </c>
    </row>
    <row r="1865" spans="1:33" ht="14.25" hidden="1" x14ac:dyDescent="0.2">
      <c r="A1865" s="18" t="b">
        <f t="array" ref="A1865">IF(G1865='Room Info'!$B$1, INDEX('Room Info'!$A$2:$A2446, MATCH(B1865,'Room Info'!$B$2:$B2446, 0)),IF(G1865='Room Info'!$C$1, INDEX('Room Info'!$A$2:$A2446, MATCH(B1865,'Room Info'!$C$2:$C2446, 0)),IF(G1865='Room Info'!$D$1, INDEX('Room Info'!$A$2:$A2446, MATCH(B1865,'Room Info'!$D$2:$D2446, 0)),IF(G1865='Room Info'!$E$1, INDEX('Room Info'!$A$2:$A2446, MATCH(B1865,'Room Info'!$E$2:$E2446, 0)),IF(G1865='Room Info'!$F$1, INDEX('Room Info'!$A$2:$A2446, MATCH(B1865,'Room Info'!$F$2:$F2446, 0)),IF(G1865='Room Info'!$H$1, INDEX('Room Info'!$A$2:$A2446, MATCH(B1865,'Room Info'!$H$2:$H2446, 0)),IF(G1865='Room Info'!$G$1, INDEX('Room Info'!$A$2:$A2446, MATCH(B1865,'Room Info'!$G$2:$G2446, 0)))))))))</f>
        <v>0</v>
      </c>
      <c r="B1865" s="96"/>
      <c r="C1865" s="111"/>
      <c r="D1865" s="111"/>
      <c r="E1865" s="80"/>
      <c r="F1865" s="133"/>
      <c r="G1865" s="96"/>
      <c r="H1865" s="110"/>
      <c r="I1865" s="110"/>
      <c r="J1865" s="39" t="s">
        <v>334</v>
      </c>
      <c r="K1865" s="112"/>
      <c r="L1865" s="113"/>
      <c r="M1865" s="62"/>
      <c r="N1865" s="28" t="e">
        <f t="shared" si="8"/>
        <v>#VALUE!</v>
      </c>
      <c r="O1865" s="65"/>
      <c r="P1865" s="29" t="s">
        <v>334</v>
      </c>
      <c r="Q1865" s="55"/>
      <c r="R1865" s="31" t="e">
        <f t="shared" si="9"/>
        <v>#VALUE!</v>
      </c>
      <c r="S1865" s="66"/>
      <c r="T1865" s="32" t="e">
        <f t="shared" si="10"/>
        <v>#VALUE!</v>
      </c>
      <c r="U1865" s="57"/>
      <c r="V1865" s="58"/>
      <c r="W1865" s="58"/>
      <c r="X1865" s="30" t="e">
        <f t="shared" si="11"/>
        <v>#N/A</v>
      </c>
      <c r="Y1865" s="30" t="e">
        <f t="shared" si="12"/>
        <v>#N/A</v>
      </c>
      <c r="Z1865" s="35" t="e">
        <f t="shared" si="13"/>
        <v>#VALUE!</v>
      </c>
      <c r="AA1865" s="29" t="e">
        <f t="shared" si="14"/>
        <v>#VALUE!</v>
      </c>
      <c r="AB1865" s="36" t="e">
        <f t="shared" si="15"/>
        <v>#VALUE!</v>
      </c>
      <c r="AC1865" s="37" t="b">
        <v>0</v>
      </c>
      <c r="AD1865" s="61" t="str">
        <f t="shared" si="16"/>
        <v>USD</v>
      </c>
      <c r="AE1865" s="37"/>
      <c r="AF1865" s="37" t="e">
        <f t="array" ref="AF1865">INDEX('Deal Info'!D:D, MATCH(A1865,'Deal Info'!A:A, 0))</f>
        <v>#N/A</v>
      </c>
      <c r="AG1865" s="38" t="e">
        <f t="array" ref="AG1865">INDEX('Deal Info'!G:G, MATCH(A1865,'Deal Info'!A:A, 0))</f>
        <v>#N/A</v>
      </c>
    </row>
    <row r="1866" spans="1:33" ht="14.25" hidden="1" x14ac:dyDescent="0.2">
      <c r="A1866" s="18" t="b">
        <f t="array" ref="A1866">IF(G1866='Room Info'!$B$1, INDEX('Room Info'!$A$2:$A2446, MATCH(B1866,'Room Info'!$B$2:$B2446, 0)),IF(G1866='Room Info'!$C$1, INDEX('Room Info'!$A$2:$A2446, MATCH(B1866,'Room Info'!$C$2:$C2446, 0)),IF(G1866='Room Info'!$D$1, INDEX('Room Info'!$A$2:$A2446, MATCH(B1866,'Room Info'!$D$2:$D2446, 0)),IF(G1866='Room Info'!$E$1, INDEX('Room Info'!$A$2:$A2446, MATCH(B1866,'Room Info'!$E$2:$E2446, 0)),IF(G1866='Room Info'!$F$1, INDEX('Room Info'!$A$2:$A2446, MATCH(B1866,'Room Info'!$F$2:$F2446, 0)),IF(G1866='Room Info'!$H$1, INDEX('Room Info'!$A$2:$A2446, MATCH(B1866,'Room Info'!$H$2:$H2446, 0)),IF(G1866='Room Info'!$G$1, INDEX('Room Info'!$A$2:$A2446, MATCH(B1866,'Room Info'!$G$2:$G2446, 0)))))))))</f>
        <v>0</v>
      </c>
      <c r="B1866" s="96"/>
      <c r="C1866" s="111"/>
      <c r="D1866" s="111"/>
      <c r="E1866" s="80"/>
      <c r="F1866" s="133"/>
      <c r="G1866" s="96"/>
      <c r="H1866" s="110"/>
      <c r="I1866" s="110"/>
      <c r="J1866" s="39" t="s">
        <v>334</v>
      </c>
      <c r="K1866" s="112"/>
      <c r="L1866" s="113"/>
      <c r="M1866" s="62"/>
      <c r="N1866" s="28" t="e">
        <f t="shared" si="8"/>
        <v>#VALUE!</v>
      </c>
      <c r="O1866" s="65"/>
      <c r="P1866" s="29" t="s">
        <v>334</v>
      </c>
      <c r="Q1866" s="55"/>
      <c r="R1866" s="31" t="e">
        <f t="shared" si="9"/>
        <v>#VALUE!</v>
      </c>
      <c r="S1866" s="66"/>
      <c r="T1866" s="32" t="e">
        <f t="shared" si="10"/>
        <v>#VALUE!</v>
      </c>
      <c r="U1866" s="57"/>
      <c r="V1866" s="58"/>
      <c r="W1866" s="58"/>
      <c r="X1866" s="30" t="e">
        <f t="shared" si="11"/>
        <v>#N/A</v>
      </c>
      <c r="Y1866" s="30" t="e">
        <f t="shared" si="12"/>
        <v>#N/A</v>
      </c>
      <c r="Z1866" s="35" t="e">
        <f t="shared" si="13"/>
        <v>#VALUE!</v>
      </c>
      <c r="AA1866" s="29" t="e">
        <f t="shared" si="14"/>
        <v>#VALUE!</v>
      </c>
      <c r="AB1866" s="36" t="e">
        <f t="shared" si="15"/>
        <v>#VALUE!</v>
      </c>
      <c r="AC1866" s="37" t="b">
        <v>0</v>
      </c>
      <c r="AD1866" s="61" t="str">
        <f t="shared" si="16"/>
        <v>USD</v>
      </c>
      <c r="AE1866" s="37"/>
      <c r="AF1866" s="37" t="e">
        <f t="array" ref="AF1866">INDEX('Deal Info'!D:D, MATCH(A1866,'Deal Info'!A:A, 0))</f>
        <v>#N/A</v>
      </c>
      <c r="AG1866" s="38" t="e">
        <f t="array" ref="AG1866">INDEX('Deal Info'!G:G, MATCH(A1866,'Deal Info'!A:A, 0))</f>
        <v>#N/A</v>
      </c>
    </row>
    <row r="1867" spans="1:33" ht="14.25" hidden="1" x14ac:dyDescent="0.2">
      <c r="A1867" s="18" t="b">
        <f t="array" ref="A1867">IF(G1867='Room Info'!$B$1, INDEX('Room Info'!$A$2:$A2446, MATCH(B1867,'Room Info'!$B$2:$B2446, 0)),IF(G1867='Room Info'!$C$1, INDEX('Room Info'!$A$2:$A2446, MATCH(B1867,'Room Info'!$C$2:$C2446, 0)),IF(G1867='Room Info'!$D$1, INDEX('Room Info'!$A$2:$A2446, MATCH(B1867,'Room Info'!$D$2:$D2446, 0)),IF(G1867='Room Info'!$E$1, INDEX('Room Info'!$A$2:$A2446, MATCH(B1867,'Room Info'!$E$2:$E2446, 0)),IF(G1867='Room Info'!$F$1, INDEX('Room Info'!$A$2:$A2446, MATCH(B1867,'Room Info'!$F$2:$F2446, 0)),IF(G1867='Room Info'!$H$1, INDEX('Room Info'!$A$2:$A2446, MATCH(B1867,'Room Info'!$H$2:$H2446, 0)),IF(G1867='Room Info'!$G$1, INDEX('Room Info'!$A$2:$A2446, MATCH(B1867,'Room Info'!$G$2:$G2446, 0)))))))))</f>
        <v>0</v>
      </c>
      <c r="B1867" s="96"/>
      <c r="C1867" s="136"/>
      <c r="D1867" s="136"/>
      <c r="E1867" s="137"/>
      <c r="F1867" s="133"/>
      <c r="G1867" s="96"/>
      <c r="H1867" s="100"/>
      <c r="I1867" s="100"/>
      <c r="J1867" s="39" t="s">
        <v>334</v>
      </c>
      <c r="K1867" s="134"/>
      <c r="L1867" s="135"/>
      <c r="M1867" s="79"/>
      <c r="N1867" s="28" t="e">
        <f t="shared" si="8"/>
        <v>#VALUE!</v>
      </c>
      <c r="O1867" s="96"/>
      <c r="P1867" s="29" t="s">
        <v>334</v>
      </c>
      <c r="Q1867" s="55"/>
      <c r="R1867" s="31" t="e">
        <f t="shared" si="9"/>
        <v>#VALUE!</v>
      </c>
      <c r="S1867" s="97"/>
      <c r="T1867" s="32" t="e">
        <f t="shared" si="10"/>
        <v>#VALUE!</v>
      </c>
      <c r="U1867" s="57"/>
      <c r="V1867" s="58"/>
      <c r="W1867" s="58"/>
      <c r="X1867" s="30" t="e">
        <f t="shared" si="11"/>
        <v>#N/A</v>
      </c>
      <c r="Y1867" s="30" t="e">
        <f t="shared" si="12"/>
        <v>#N/A</v>
      </c>
      <c r="Z1867" s="35" t="e">
        <f t="shared" si="13"/>
        <v>#VALUE!</v>
      </c>
      <c r="AA1867" s="29" t="e">
        <f t="shared" si="14"/>
        <v>#VALUE!</v>
      </c>
      <c r="AB1867" s="36" t="e">
        <f t="shared" si="15"/>
        <v>#VALUE!</v>
      </c>
      <c r="AC1867" s="37" t="b">
        <v>0</v>
      </c>
      <c r="AD1867" s="61" t="str">
        <f t="shared" si="16"/>
        <v>USD</v>
      </c>
      <c r="AE1867" s="37"/>
      <c r="AF1867" s="37" t="e">
        <f t="array" ref="AF1867">INDEX('Deal Info'!D:D, MATCH(A1867,'Deal Info'!A:A, 0))</f>
        <v>#N/A</v>
      </c>
      <c r="AG1867" s="38" t="e">
        <f t="array" ref="AG1867">INDEX('Deal Info'!G:G, MATCH(A1867,'Deal Info'!A:A, 0))</f>
        <v>#N/A</v>
      </c>
    </row>
    <row r="1868" spans="1:33" ht="14.25" hidden="1" x14ac:dyDescent="0.2">
      <c r="A1868" s="18" t="b">
        <f t="array" ref="A1868">IF(G1868='Room Info'!$B$1, INDEX('Room Info'!$A$2:$A2446, MATCH(B1868,'Room Info'!$B$2:$B2446, 0)),IF(G1868='Room Info'!$C$1, INDEX('Room Info'!$A$2:$A2446, MATCH(B1868,'Room Info'!$C$2:$C2446, 0)),IF(G1868='Room Info'!$D$1, INDEX('Room Info'!$A$2:$A2446, MATCH(B1868,'Room Info'!$D$2:$D2446, 0)),IF(G1868='Room Info'!$E$1, INDEX('Room Info'!$A$2:$A2446, MATCH(B1868,'Room Info'!$E$2:$E2446, 0)),IF(G1868='Room Info'!$F$1, INDEX('Room Info'!$A$2:$A2446, MATCH(B1868,'Room Info'!$F$2:$F2446, 0)),IF(G1868='Room Info'!$H$1, INDEX('Room Info'!$A$2:$A2446, MATCH(B1868,'Room Info'!$H$2:$H2446, 0)),IF(G1868='Room Info'!$G$1, INDEX('Room Info'!$A$2:$A2446, MATCH(B1868,'Room Info'!$G$2:$G2446, 0)))))))))</f>
        <v>0</v>
      </c>
      <c r="B1868" s="96"/>
      <c r="C1868" s="136"/>
      <c r="D1868" s="136"/>
      <c r="E1868" s="137"/>
      <c r="F1868" s="133"/>
      <c r="G1868" s="96"/>
      <c r="H1868" s="100"/>
      <c r="I1868" s="100"/>
      <c r="J1868" s="39" t="s">
        <v>334</v>
      </c>
      <c r="K1868" s="134"/>
      <c r="L1868" s="135"/>
      <c r="M1868" s="79"/>
      <c r="N1868" s="28" t="e">
        <f t="shared" si="8"/>
        <v>#VALUE!</v>
      </c>
      <c r="O1868" s="96"/>
      <c r="P1868" s="29" t="s">
        <v>334</v>
      </c>
      <c r="Q1868" s="55"/>
      <c r="R1868" s="31" t="e">
        <f t="shared" si="9"/>
        <v>#VALUE!</v>
      </c>
      <c r="S1868" s="97"/>
      <c r="T1868" s="32" t="e">
        <f t="shared" si="10"/>
        <v>#VALUE!</v>
      </c>
      <c r="U1868" s="57"/>
      <c r="V1868" s="58"/>
      <c r="W1868" s="58"/>
      <c r="X1868" s="30" t="e">
        <f t="shared" si="11"/>
        <v>#N/A</v>
      </c>
      <c r="Y1868" s="30" t="e">
        <f t="shared" si="12"/>
        <v>#N/A</v>
      </c>
      <c r="Z1868" s="35" t="e">
        <f t="shared" si="13"/>
        <v>#VALUE!</v>
      </c>
      <c r="AA1868" s="29" t="e">
        <f t="shared" si="14"/>
        <v>#VALUE!</v>
      </c>
      <c r="AB1868" s="36" t="e">
        <f t="shared" si="15"/>
        <v>#VALUE!</v>
      </c>
      <c r="AC1868" s="37" t="b">
        <v>0</v>
      </c>
      <c r="AD1868" s="61" t="str">
        <f t="shared" si="16"/>
        <v>USD</v>
      </c>
      <c r="AE1868" s="37"/>
      <c r="AF1868" s="37" t="e">
        <f t="array" ref="AF1868">INDEX('Deal Info'!D:D, MATCH(A1868,'Deal Info'!A:A, 0))</f>
        <v>#N/A</v>
      </c>
      <c r="AG1868" s="38" t="e">
        <f t="array" ref="AG1868">INDEX('Deal Info'!G:G, MATCH(A1868,'Deal Info'!A:A, 0))</f>
        <v>#N/A</v>
      </c>
    </row>
    <row r="1869" spans="1:33" ht="14.25" hidden="1" x14ac:dyDescent="0.2">
      <c r="A1869" s="18" t="b">
        <f t="array" ref="A1869">IF(G1869='Room Info'!$B$1, INDEX('Room Info'!$A$2:$A2446, MATCH(B1869,'Room Info'!$B$2:$B2446, 0)),IF(G1869='Room Info'!$C$1, INDEX('Room Info'!$A$2:$A2446, MATCH(B1869,'Room Info'!$C$2:$C2446, 0)),IF(G1869='Room Info'!$D$1, INDEX('Room Info'!$A$2:$A2446, MATCH(B1869,'Room Info'!$D$2:$D2446, 0)),IF(G1869='Room Info'!$E$1, INDEX('Room Info'!$A$2:$A2446, MATCH(B1869,'Room Info'!$E$2:$E2446, 0)),IF(G1869='Room Info'!$F$1, INDEX('Room Info'!$A$2:$A2446, MATCH(B1869,'Room Info'!$F$2:$F2446, 0)),IF(G1869='Room Info'!$H$1, INDEX('Room Info'!$A$2:$A2446, MATCH(B1869,'Room Info'!$H$2:$H2446, 0)),IF(G1869='Room Info'!$G$1, INDEX('Room Info'!$A$2:$A2446, MATCH(B1869,'Room Info'!$G$2:$G2446, 0)))))))))</f>
        <v>0</v>
      </c>
      <c r="B1869" s="96"/>
      <c r="C1869" s="136"/>
      <c r="D1869" s="136"/>
      <c r="E1869" s="137"/>
      <c r="F1869" s="133"/>
      <c r="G1869" s="96"/>
      <c r="H1869" s="100"/>
      <c r="I1869" s="100"/>
      <c r="J1869" s="39" t="s">
        <v>334</v>
      </c>
      <c r="K1869" s="134"/>
      <c r="L1869" s="135"/>
      <c r="M1869" s="79"/>
      <c r="N1869" s="28" t="e">
        <f t="shared" si="8"/>
        <v>#VALUE!</v>
      </c>
      <c r="O1869" s="96"/>
      <c r="P1869" s="29" t="s">
        <v>334</v>
      </c>
      <c r="Q1869" s="55"/>
      <c r="R1869" s="31" t="e">
        <f t="shared" si="9"/>
        <v>#VALUE!</v>
      </c>
      <c r="S1869" s="97"/>
      <c r="T1869" s="32" t="e">
        <f t="shared" si="10"/>
        <v>#VALUE!</v>
      </c>
      <c r="U1869" s="57"/>
      <c r="V1869" s="58"/>
      <c r="W1869" s="58"/>
      <c r="X1869" s="30" t="e">
        <f t="shared" si="11"/>
        <v>#N/A</v>
      </c>
      <c r="Y1869" s="30" t="e">
        <f t="shared" si="12"/>
        <v>#N/A</v>
      </c>
      <c r="Z1869" s="35" t="e">
        <f t="shared" si="13"/>
        <v>#VALUE!</v>
      </c>
      <c r="AA1869" s="29" t="e">
        <f t="shared" si="14"/>
        <v>#VALUE!</v>
      </c>
      <c r="AB1869" s="36" t="e">
        <f t="shared" si="15"/>
        <v>#VALUE!</v>
      </c>
      <c r="AC1869" s="37" t="b">
        <v>0</v>
      </c>
      <c r="AD1869" s="61" t="str">
        <f t="shared" si="16"/>
        <v>USD</v>
      </c>
      <c r="AE1869" s="37"/>
      <c r="AF1869" s="37" t="e">
        <f t="array" ref="AF1869">INDEX('Deal Info'!D:D, MATCH(A1869,'Deal Info'!A:A, 0))</f>
        <v>#N/A</v>
      </c>
      <c r="AG1869" s="38" t="e">
        <f t="array" ref="AG1869">INDEX('Deal Info'!G:G, MATCH(A1869,'Deal Info'!A:A, 0))</f>
        <v>#N/A</v>
      </c>
    </row>
    <row r="1870" spans="1:33" ht="14.25" hidden="1" x14ac:dyDescent="0.2">
      <c r="A1870" s="18" t="b">
        <f t="array" ref="A1870">IF(G1870='Room Info'!$B$1, INDEX('Room Info'!$A$2:$A2446, MATCH(B1870,'Room Info'!$B$2:$B2446, 0)),IF(G1870='Room Info'!$C$1, INDEX('Room Info'!$A$2:$A2446, MATCH(B1870,'Room Info'!$C$2:$C2446, 0)),IF(G1870='Room Info'!$D$1, INDEX('Room Info'!$A$2:$A2446, MATCH(B1870,'Room Info'!$D$2:$D2446, 0)),IF(G1870='Room Info'!$E$1, INDEX('Room Info'!$A$2:$A2446, MATCH(B1870,'Room Info'!$E$2:$E2446, 0)),IF(G1870='Room Info'!$F$1, INDEX('Room Info'!$A$2:$A2446, MATCH(B1870,'Room Info'!$F$2:$F2446, 0)),IF(G1870='Room Info'!$H$1, INDEX('Room Info'!$A$2:$A2446, MATCH(B1870,'Room Info'!$H$2:$H2446, 0)),IF(G1870='Room Info'!$G$1, INDEX('Room Info'!$A$2:$A2446, MATCH(B1870,'Room Info'!$G$2:$G2446, 0)))))))))</f>
        <v>0</v>
      </c>
      <c r="B1870" s="96"/>
      <c r="C1870" s="136"/>
      <c r="D1870" s="136"/>
      <c r="E1870" s="137"/>
      <c r="F1870" s="133"/>
      <c r="G1870" s="96"/>
      <c r="H1870" s="100"/>
      <c r="I1870" s="100"/>
      <c r="J1870" s="39" t="s">
        <v>334</v>
      </c>
      <c r="K1870" s="134"/>
      <c r="L1870" s="135"/>
      <c r="M1870" s="79"/>
      <c r="N1870" s="28" t="e">
        <f t="shared" si="8"/>
        <v>#VALUE!</v>
      </c>
      <c r="O1870" s="96"/>
      <c r="P1870" s="29" t="s">
        <v>334</v>
      </c>
      <c r="Q1870" s="55"/>
      <c r="R1870" s="31" t="e">
        <f t="shared" si="9"/>
        <v>#VALUE!</v>
      </c>
      <c r="S1870" s="97"/>
      <c r="T1870" s="32" t="e">
        <f t="shared" si="10"/>
        <v>#VALUE!</v>
      </c>
      <c r="U1870" s="57"/>
      <c r="V1870" s="58"/>
      <c r="W1870" s="58"/>
      <c r="X1870" s="30" t="e">
        <f t="shared" si="11"/>
        <v>#N/A</v>
      </c>
      <c r="Y1870" s="30" t="e">
        <f t="shared" si="12"/>
        <v>#N/A</v>
      </c>
      <c r="Z1870" s="35" t="e">
        <f t="shared" si="13"/>
        <v>#VALUE!</v>
      </c>
      <c r="AA1870" s="29" t="e">
        <f t="shared" si="14"/>
        <v>#VALUE!</v>
      </c>
      <c r="AB1870" s="36" t="e">
        <f t="shared" si="15"/>
        <v>#VALUE!</v>
      </c>
      <c r="AC1870" s="37" t="b">
        <v>0</v>
      </c>
      <c r="AD1870" s="61" t="str">
        <f t="shared" si="16"/>
        <v>USD</v>
      </c>
      <c r="AE1870" s="37"/>
      <c r="AF1870" s="37" t="e">
        <f t="array" ref="AF1870">INDEX('Deal Info'!D:D, MATCH(A1870,'Deal Info'!A:A, 0))</f>
        <v>#N/A</v>
      </c>
      <c r="AG1870" s="38" t="e">
        <f t="array" ref="AG1870">INDEX('Deal Info'!G:G, MATCH(A1870,'Deal Info'!A:A, 0))</f>
        <v>#N/A</v>
      </c>
    </row>
    <row r="1871" spans="1:33" ht="14.25" hidden="1" x14ac:dyDescent="0.2">
      <c r="A1871" s="18" t="b">
        <f t="array" ref="A1871">IF(G1871='Room Info'!$B$1, INDEX('Room Info'!$A$2:$A2446, MATCH(B1871,'Room Info'!$B$2:$B2446, 0)),IF(G1871='Room Info'!$C$1, INDEX('Room Info'!$A$2:$A2446, MATCH(B1871,'Room Info'!$C$2:$C2446, 0)),IF(G1871='Room Info'!$D$1, INDEX('Room Info'!$A$2:$A2446, MATCH(B1871,'Room Info'!$D$2:$D2446, 0)),IF(G1871='Room Info'!$E$1, INDEX('Room Info'!$A$2:$A2446, MATCH(B1871,'Room Info'!$E$2:$E2446, 0)),IF(G1871='Room Info'!$F$1, INDEX('Room Info'!$A$2:$A2446, MATCH(B1871,'Room Info'!$F$2:$F2446, 0)),IF(G1871='Room Info'!$H$1, INDEX('Room Info'!$A$2:$A2446, MATCH(B1871,'Room Info'!$H$2:$H2446, 0)),IF(G1871='Room Info'!$G$1, INDEX('Room Info'!$A$2:$A2446, MATCH(B1871,'Room Info'!$G$2:$G2446, 0)))))))))</f>
        <v>0</v>
      </c>
      <c r="B1871" s="96"/>
      <c r="C1871" s="111"/>
      <c r="D1871" s="111"/>
      <c r="E1871" s="80"/>
      <c r="F1871" s="96"/>
      <c r="G1871" s="65"/>
      <c r="H1871" s="110"/>
      <c r="I1871" s="110"/>
      <c r="J1871" s="39" t="s">
        <v>334</v>
      </c>
      <c r="K1871" s="112"/>
      <c r="L1871" s="113"/>
      <c r="M1871" s="62"/>
      <c r="N1871" s="28" t="e">
        <f t="shared" si="8"/>
        <v>#VALUE!</v>
      </c>
      <c r="O1871" s="65"/>
      <c r="P1871" s="29" t="s">
        <v>334</v>
      </c>
      <c r="Q1871" s="55"/>
      <c r="R1871" s="31" t="e">
        <f t="shared" si="9"/>
        <v>#VALUE!</v>
      </c>
      <c r="S1871" s="66"/>
      <c r="T1871" s="32" t="e">
        <f t="shared" si="10"/>
        <v>#VALUE!</v>
      </c>
      <c r="U1871" s="57"/>
      <c r="V1871" s="58"/>
      <c r="W1871" s="58"/>
      <c r="X1871" s="30" t="e">
        <f t="shared" si="11"/>
        <v>#N/A</v>
      </c>
      <c r="Y1871" s="30" t="e">
        <f t="shared" si="12"/>
        <v>#N/A</v>
      </c>
      <c r="Z1871" s="35" t="e">
        <f t="shared" si="13"/>
        <v>#VALUE!</v>
      </c>
      <c r="AA1871" s="29" t="e">
        <f t="shared" si="14"/>
        <v>#VALUE!</v>
      </c>
      <c r="AB1871" s="36" t="e">
        <f t="shared" si="15"/>
        <v>#VALUE!</v>
      </c>
      <c r="AC1871" s="37" t="b">
        <v>0</v>
      </c>
      <c r="AD1871" s="61" t="str">
        <f t="shared" si="16"/>
        <v>USD</v>
      </c>
      <c r="AE1871" s="37"/>
      <c r="AF1871" s="37" t="e">
        <f t="array" ref="AF1871">INDEX('Deal Info'!D:D, MATCH(A1871,'Deal Info'!A:A, 0))</f>
        <v>#N/A</v>
      </c>
      <c r="AG1871" s="38" t="e">
        <f t="array" ref="AG1871">INDEX('Deal Info'!G:G, MATCH(A1871,'Deal Info'!A:A, 0))</f>
        <v>#N/A</v>
      </c>
    </row>
    <row r="1872" spans="1:33" ht="14.25" hidden="1" x14ac:dyDescent="0.2">
      <c r="A1872" s="18" t="b">
        <f t="array" ref="A1872">IF(G1872='Room Info'!$B$1, INDEX('Room Info'!$A$2:$A2446, MATCH(B1872,'Room Info'!$B$2:$B2446, 0)),IF(G1872='Room Info'!$C$1, INDEX('Room Info'!$A$2:$A2446, MATCH(B1872,'Room Info'!$C$2:$C2446, 0)),IF(G1872='Room Info'!$D$1, INDEX('Room Info'!$A$2:$A2446, MATCH(B1872,'Room Info'!$D$2:$D2446, 0)),IF(G1872='Room Info'!$E$1, INDEX('Room Info'!$A$2:$A2446, MATCH(B1872,'Room Info'!$E$2:$E2446, 0)),IF(G1872='Room Info'!$F$1, INDEX('Room Info'!$A$2:$A2446, MATCH(B1872,'Room Info'!$F$2:$F2446, 0)),IF(G1872='Room Info'!$H$1, INDEX('Room Info'!$A$2:$A2446, MATCH(B1872,'Room Info'!$H$2:$H2446, 0)),IF(G1872='Room Info'!$G$1, INDEX('Room Info'!$A$2:$A2446, MATCH(B1872,'Room Info'!$G$2:$G2446, 0)))))))))</f>
        <v>0</v>
      </c>
      <c r="B1872" s="96"/>
      <c r="C1872" s="111"/>
      <c r="D1872" s="111"/>
      <c r="E1872" s="80"/>
      <c r="F1872" s="96"/>
      <c r="G1872" s="65"/>
      <c r="H1872" s="110"/>
      <c r="I1872" s="110"/>
      <c r="J1872" s="39" t="s">
        <v>334</v>
      </c>
      <c r="K1872" s="112"/>
      <c r="L1872" s="113"/>
      <c r="M1872" s="62"/>
      <c r="N1872" s="28" t="e">
        <f t="shared" si="8"/>
        <v>#VALUE!</v>
      </c>
      <c r="O1872" s="65"/>
      <c r="P1872" s="29" t="s">
        <v>334</v>
      </c>
      <c r="Q1872" s="55"/>
      <c r="R1872" s="31" t="e">
        <f t="shared" si="9"/>
        <v>#VALUE!</v>
      </c>
      <c r="S1872" s="66"/>
      <c r="T1872" s="32" t="e">
        <f t="shared" si="10"/>
        <v>#VALUE!</v>
      </c>
      <c r="U1872" s="57"/>
      <c r="V1872" s="58"/>
      <c r="W1872" s="58"/>
      <c r="X1872" s="30" t="e">
        <f t="shared" si="11"/>
        <v>#N/A</v>
      </c>
      <c r="Y1872" s="30" t="e">
        <f t="shared" si="12"/>
        <v>#N/A</v>
      </c>
      <c r="Z1872" s="35" t="e">
        <f t="shared" si="13"/>
        <v>#VALUE!</v>
      </c>
      <c r="AA1872" s="29" t="e">
        <f t="shared" si="14"/>
        <v>#VALUE!</v>
      </c>
      <c r="AB1872" s="36" t="e">
        <f t="shared" si="15"/>
        <v>#VALUE!</v>
      </c>
      <c r="AC1872" s="37" t="b">
        <v>0</v>
      </c>
      <c r="AD1872" s="61" t="str">
        <f t="shared" si="16"/>
        <v>USD</v>
      </c>
      <c r="AE1872" s="37"/>
      <c r="AF1872" s="37" t="e">
        <f t="array" ref="AF1872">INDEX('Deal Info'!D:D, MATCH(A1872,'Deal Info'!A:A, 0))</f>
        <v>#N/A</v>
      </c>
      <c r="AG1872" s="38" t="e">
        <f t="array" ref="AG1872">INDEX('Deal Info'!G:G, MATCH(A1872,'Deal Info'!A:A, 0))</f>
        <v>#N/A</v>
      </c>
    </row>
    <row r="1873" spans="1:33" ht="14.25" hidden="1" x14ac:dyDescent="0.2">
      <c r="A1873" s="18" t="b">
        <f t="array" ref="A1873">IF(G1873='Room Info'!$B$1, INDEX('Room Info'!$A$2:$A2446, MATCH(B1873,'Room Info'!$B$2:$B2446, 0)),IF(G1873='Room Info'!$C$1, INDEX('Room Info'!$A$2:$A2446, MATCH(B1873,'Room Info'!$C$2:$C2446, 0)),IF(G1873='Room Info'!$D$1, INDEX('Room Info'!$A$2:$A2446, MATCH(B1873,'Room Info'!$D$2:$D2446, 0)),IF(G1873='Room Info'!$E$1, INDEX('Room Info'!$A$2:$A2446, MATCH(B1873,'Room Info'!$E$2:$E2446, 0)),IF(G1873='Room Info'!$F$1, INDEX('Room Info'!$A$2:$A2446, MATCH(B1873,'Room Info'!$F$2:$F2446, 0)),IF(G1873='Room Info'!$H$1, INDEX('Room Info'!$A$2:$A2446, MATCH(B1873,'Room Info'!$H$2:$H2446, 0)),IF(G1873='Room Info'!$G$1, INDEX('Room Info'!$A$2:$A2446, MATCH(B1873,'Room Info'!$G$2:$G2446, 0)))))))))</f>
        <v>0</v>
      </c>
      <c r="B1873" s="96"/>
      <c r="C1873" s="111"/>
      <c r="D1873" s="111"/>
      <c r="E1873" s="80"/>
      <c r="F1873" s="96"/>
      <c r="G1873" s="65"/>
      <c r="H1873" s="110"/>
      <c r="I1873" s="110"/>
      <c r="J1873" s="39" t="s">
        <v>334</v>
      </c>
      <c r="K1873" s="112"/>
      <c r="L1873" s="113"/>
      <c r="M1873" s="62"/>
      <c r="N1873" s="28" t="e">
        <f t="shared" si="8"/>
        <v>#VALUE!</v>
      </c>
      <c r="O1873" s="65"/>
      <c r="P1873" s="29" t="s">
        <v>334</v>
      </c>
      <c r="Q1873" s="55"/>
      <c r="R1873" s="31" t="e">
        <f t="shared" si="9"/>
        <v>#VALUE!</v>
      </c>
      <c r="S1873" s="66"/>
      <c r="T1873" s="32" t="e">
        <f t="shared" si="10"/>
        <v>#VALUE!</v>
      </c>
      <c r="U1873" s="57"/>
      <c r="V1873" s="58"/>
      <c r="W1873" s="58"/>
      <c r="X1873" s="30" t="e">
        <f t="shared" si="11"/>
        <v>#N/A</v>
      </c>
      <c r="Y1873" s="30" t="e">
        <f t="shared" si="12"/>
        <v>#N/A</v>
      </c>
      <c r="Z1873" s="35" t="e">
        <f t="shared" si="13"/>
        <v>#VALUE!</v>
      </c>
      <c r="AA1873" s="29" t="e">
        <f t="shared" si="14"/>
        <v>#VALUE!</v>
      </c>
      <c r="AB1873" s="36" t="e">
        <f t="shared" si="15"/>
        <v>#VALUE!</v>
      </c>
      <c r="AC1873" s="37" t="b">
        <v>0</v>
      </c>
      <c r="AD1873" s="61" t="str">
        <f t="shared" si="16"/>
        <v>USD</v>
      </c>
      <c r="AE1873" s="37"/>
      <c r="AF1873" s="37" t="e">
        <f t="array" ref="AF1873">INDEX('Deal Info'!D:D, MATCH(A1873,'Deal Info'!A:A, 0))</f>
        <v>#N/A</v>
      </c>
      <c r="AG1873" s="38" t="e">
        <f t="array" ref="AG1873">INDEX('Deal Info'!G:G, MATCH(A1873,'Deal Info'!A:A, 0))</f>
        <v>#N/A</v>
      </c>
    </row>
    <row r="1874" spans="1:33" ht="14.25" hidden="1" x14ac:dyDescent="0.2">
      <c r="A1874" s="18" t="b">
        <f t="array" ref="A1874">IF(G1874='Room Info'!$B$1, INDEX('Room Info'!$A$2:$A2446, MATCH(B1874,'Room Info'!$B$2:$B2446, 0)),IF(G1874='Room Info'!$C$1, INDEX('Room Info'!$A$2:$A2446, MATCH(B1874,'Room Info'!$C$2:$C2446, 0)),IF(G1874='Room Info'!$D$1, INDEX('Room Info'!$A$2:$A2446, MATCH(B1874,'Room Info'!$D$2:$D2446, 0)),IF(G1874='Room Info'!$E$1, INDEX('Room Info'!$A$2:$A2446, MATCH(B1874,'Room Info'!$E$2:$E2446, 0)),IF(G1874='Room Info'!$F$1, INDEX('Room Info'!$A$2:$A2446, MATCH(B1874,'Room Info'!$F$2:$F2446, 0)),IF(G1874='Room Info'!$H$1, INDEX('Room Info'!$A$2:$A2446, MATCH(B1874,'Room Info'!$H$2:$H2446, 0)),IF(G1874='Room Info'!$G$1, INDEX('Room Info'!$A$2:$A2446, MATCH(B1874,'Room Info'!$G$2:$G2446, 0)))))))))</f>
        <v>0</v>
      </c>
      <c r="B1874" s="96"/>
      <c r="C1874" s="111"/>
      <c r="D1874" s="111"/>
      <c r="E1874" s="80"/>
      <c r="F1874" s="133"/>
      <c r="G1874" s="65"/>
      <c r="H1874" s="110"/>
      <c r="I1874" s="110"/>
      <c r="J1874" s="39" t="s">
        <v>334</v>
      </c>
      <c r="K1874" s="112"/>
      <c r="L1874" s="113"/>
      <c r="M1874" s="62"/>
      <c r="N1874" s="28" t="e">
        <f t="shared" si="8"/>
        <v>#VALUE!</v>
      </c>
      <c r="O1874" s="65"/>
      <c r="P1874" s="29" t="s">
        <v>334</v>
      </c>
      <c r="Q1874" s="55"/>
      <c r="R1874" s="31" t="e">
        <f t="shared" si="9"/>
        <v>#VALUE!</v>
      </c>
      <c r="S1874" s="66"/>
      <c r="T1874" s="32" t="e">
        <f t="shared" si="10"/>
        <v>#VALUE!</v>
      </c>
      <c r="U1874" s="57"/>
      <c r="V1874" s="58"/>
      <c r="W1874" s="58"/>
      <c r="X1874" s="30" t="e">
        <f t="shared" si="11"/>
        <v>#N/A</v>
      </c>
      <c r="Y1874" s="30" t="e">
        <f t="shared" si="12"/>
        <v>#N/A</v>
      </c>
      <c r="Z1874" s="35" t="e">
        <f t="shared" si="13"/>
        <v>#VALUE!</v>
      </c>
      <c r="AA1874" s="29" t="e">
        <f t="shared" si="14"/>
        <v>#VALUE!</v>
      </c>
      <c r="AB1874" s="36" t="e">
        <f t="shared" si="15"/>
        <v>#VALUE!</v>
      </c>
      <c r="AC1874" s="37" t="b">
        <v>0</v>
      </c>
      <c r="AD1874" s="61" t="str">
        <f t="shared" si="16"/>
        <v>USD</v>
      </c>
      <c r="AE1874" s="37"/>
      <c r="AF1874" s="37" t="e">
        <f t="array" ref="AF1874">INDEX('Deal Info'!D:D, MATCH(A1874,'Deal Info'!A:A, 0))</f>
        <v>#N/A</v>
      </c>
      <c r="AG1874" s="38" t="e">
        <f t="array" ref="AG1874">INDEX('Deal Info'!G:G, MATCH(A1874,'Deal Info'!A:A, 0))</f>
        <v>#N/A</v>
      </c>
    </row>
    <row r="1875" spans="1:33" ht="14.25" hidden="1" x14ac:dyDescent="0.2">
      <c r="A1875" s="18" t="b">
        <f t="array" ref="A1875">IF(G1875='Room Info'!$B$1, INDEX('Room Info'!$A$2:$A2446, MATCH(B1875,'Room Info'!$B$2:$B2446, 0)),IF(G1875='Room Info'!$C$1, INDEX('Room Info'!$A$2:$A2446, MATCH(B1875,'Room Info'!$C$2:$C2446, 0)),IF(G1875='Room Info'!$D$1, INDEX('Room Info'!$A$2:$A2446, MATCH(B1875,'Room Info'!$D$2:$D2446, 0)),IF(G1875='Room Info'!$E$1, INDEX('Room Info'!$A$2:$A2446, MATCH(B1875,'Room Info'!$E$2:$E2446, 0)),IF(G1875='Room Info'!$F$1, INDEX('Room Info'!$A$2:$A2446, MATCH(B1875,'Room Info'!$F$2:$F2446, 0)),IF(G1875='Room Info'!$H$1, INDEX('Room Info'!$A$2:$A2446, MATCH(B1875,'Room Info'!$H$2:$H2446, 0)),IF(G1875='Room Info'!$G$1, INDEX('Room Info'!$A$2:$A2446, MATCH(B1875,'Room Info'!$G$2:$G2446, 0)))))))))</f>
        <v>0</v>
      </c>
      <c r="B1875" s="96"/>
      <c r="C1875" s="111"/>
      <c r="D1875" s="111"/>
      <c r="E1875" s="80"/>
      <c r="F1875" s="133"/>
      <c r="G1875" s="65"/>
      <c r="H1875" s="110"/>
      <c r="I1875" s="110"/>
      <c r="J1875" s="39" t="s">
        <v>334</v>
      </c>
      <c r="K1875" s="112"/>
      <c r="L1875" s="113"/>
      <c r="M1875" s="62"/>
      <c r="N1875" s="28" t="e">
        <f t="shared" si="8"/>
        <v>#VALUE!</v>
      </c>
      <c r="O1875" s="65"/>
      <c r="P1875" s="29" t="s">
        <v>334</v>
      </c>
      <c r="Q1875" s="55"/>
      <c r="R1875" s="31" t="e">
        <f t="shared" si="9"/>
        <v>#VALUE!</v>
      </c>
      <c r="S1875" s="66"/>
      <c r="T1875" s="32" t="e">
        <f t="shared" si="10"/>
        <v>#VALUE!</v>
      </c>
      <c r="U1875" s="57"/>
      <c r="V1875" s="58"/>
      <c r="W1875" s="58"/>
      <c r="X1875" s="30" t="e">
        <f t="shared" si="11"/>
        <v>#N/A</v>
      </c>
      <c r="Y1875" s="30" t="e">
        <f t="shared" si="12"/>
        <v>#N/A</v>
      </c>
      <c r="Z1875" s="35" t="e">
        <f t="shared" si="13"/>
        <v>#VALUE!</v>
      </c>
      <c r="AA1875" s="29" t="e">
        <f t="shared" si="14"/>
        <v>#VALUE!</v>
      </c>
      <c r="AB1875" s="36" t="e">
        <f t="shared" si="15"/>
        <v>#VALUE!</v>
      </c>
      <c r="AC1875" s="37" t="b">
        <v>0</v>
      </c>
      <c r="AD1875" s="61" t="str">
        <f t="shared" si="16"/>
        <v>USD</v>
      </c>
      <c r="AE1875" s="37"/>
      <c r="AF1875" s="37" t="e">
        <f t="array" ref="AF1875">INDEX('Deal Info'!D:D, MATCH(A1875,'Deal Info'!A:A, 0))</f>
        <v>#N/A</v>
      </c>
      <c r="AG1875" s="38" t="e">
        <f t="array" ref="AG1875">INDEX('Deal Info'!G:G, MATCH(A1875,'Deal Info'!A:A, 0))</f>
        <v>#N/A</v>
      </c>
    </row>
    <row r="1876" spans="1:33" ht="14.25" hidden="1" x14ac:dyDescent="0.2">
      <c r="A1876" s="18" t="b">
        <f t="array" ref="A1876">IF(G1876='Room Info'!$B$1, INDEX('Room Info'!$A$2:$A2446, MATCH(B1876,'Room Info'!$B$2:$B2446, 0)),IF(G1876='Room Info'!$C$1, INDEX('Room Info'!$A$2:$A2446, MATCH(B1876,'Room Info'!$C$2:$C2446, 0)),IF(G1876='Room Info'!$D$1, INDEX('Room Info'!$A$2:$A2446, MATCH(B1876,'Room Info'!$D$2:$D2446, 0)),IF(G1876='Room Info'!$E$1, INDEX('Room Info'!$A$2:$A2446, MATCH(B1876,'Room Info'!$E$2:$E2446, 0)),IF(G1876='Room Info'!$F$1, INDEX('Room Info'!$A$2:$A2446, MATCH(B1876,'Room Info'!$F$2:$F2446, 0)),IF(G1876='Room Info'!$H$1, INDEX('Room Info'!$A$2:$A2446, MATCH(B1876,'Room Info'!$H$2:$H2446, 0)),IF(G1876='Room Info'!$G$1, INDEX('Room Info'!$A$2:$A2446, MATCH(B1876,'Room Info'!$G$2:$G2446, 0)))))))))</f>
        <v>0</v>
      </c>
      <c r="B1876" s="96"/>
      <c r="C1876" s="136"/>
      <c r="D1876" s="111"/>
      <c r="E1876" s="80"/>
      <c r="F1876" s="133"/>
      <c r="G1876" s="65"/>
      <c r="H1876" s="100"/>
      <c r="I1876" s="100"/>
      <c r="J1876" s="39" t="s">
        <v>334</v>
      </c>
      <c r="K1876" s="134"/>
      <c r="L1876" s="135"/>
      <c r="M1876" s="62"/>
      <c r="N1876" s="28" t="e">
        <f t="shared" si="8"/>
        <v>#VALUE!</v>
      </c>
      <c r="O1876" s="96"/>
      <c r="P1876" s="29" t="s">
        <v>334</v>
      </c>
      <c r="Q1876" s="55"/>
      <c r="R1876" s="31" t="e">
        <f t="shared" si="9"/>
        <v>#VALUE!</v>
      </c>
      <c r="S1876" s="97"/>
      <c r="T1876" s="32" t="e">
        <f t="shared" si="10"/>
        <v>#VALUE!</v>
      </c>
      <c r="U1876" s="57"/>
      <c r="V1876" s="58"/>
      <c r="W1876" s="58"/>
      <c r="X1876" s="30" t="e">
        <f t="shared" si="11"/>
        <v>#N/A</v>
      </c>
      <c r="Y1876" s="30" t="e">
        <f t="shared" si="12"/>
        <v>#N/A</v>
      </c>
      <c r="Z1876" s="35" t="e">
        <f t="shared" si="13"/>
        <v>#VALUE!</v>
      </c>
      <c r="AA1876" s="29" t="e">
        <f t="shared" si="14"/>
        <v>#VALUE!</v>
      </c>
      <c r="AB1876" s="36" t="e">
        <f t="shared" si="15"/>
        <v>#VALUE!</v>
      </c>
      <c r="AC1876" s="37" t="b">
        <v>0</v>
      </c>
      <c r="AD1876" s="61" t="str">
        <f t="shared" si="16"/>
        <v>USD</v>
      </c>
      <c r="AE1876" s="37"/>
      <c r="AF1876" s="37" t="e">
        <f t="array" ref="AF1876">INDEX('Deal Info'!D:D, MATCH(A1876,'Deal Info'!A:A, 0))</f>
        <v>#N/A</v>
      </c>
      <c r="AG1876" s="38" t="e">
        <f t="array" ref="AG1876">INDEX('Deal Info'!G:G, MATCH(A1876,'Deal Info'!A:A, 0))</f>
        <v>#N/A</v>
      </c>
    </row>
    <row r="1877" spans="1:33" ht="14.25" hidden="1" x14ac:dyDescent="0.2">
      <c r="A1877" s="18" t="b">
        <f t="array" ref="A1877">IF(G1877='Room Info'!$B$1, INDEX('Room Info'!$A$2:$A2446, MATCH(B1877,'Room Info'!$B$2:$B2446, 0)),IF(G1877='Room Info'!$C$1, INDEX('Room Info'!$A$2:$A2446, MATCH(B1877,'Room Info'!$C$2:$C2446, 0)),IF(G1877='Room Info'!$D$1, INDEX('Room Info'!$A$2:$A2446, MATCH(B1877,'Room Info'!$D$2:$D2446, 0)),IF(G1877='Room Info'!$E$1, INDEX('Room Info'!$A$2:$A2446, MATCH(B1877,'Room Info'!$E$2:$E2446, 0)),IF(G1877='Room Info'!$F$1, INDEX('Room Info'!$A$2:$A2446, MATCH(B1877,'Room Info'!$F$2:$F2446, 0)),IF(G1877='Room Info'!$H$1, INDEX('Room Info'!$A$2:$A2446, MATCH(B1877,'Room Info'!$H$2:$H2446, 0)),IF(G1877='Room Info'!$G$1, INDEX('Room Info'!$A$2:$A2446, MATCH(B1877,'Room Info'!$G$2:$G2446, 0)))))))))</f>
        <v>0</v>
      </c>
      <c r="B1877" s="96"/>
      <c r="C1877" s="136"/>
      <c r="D1877" s="111"/>
      <c r="E1877" s="80"/>
      <c r="F1877" s="133"/>
      <c r="G1877" s="65"/>
      <c r="H1877" s="100"/>
      <c r="I1877" s="100"/>
      <c r="J1877" s="39" t="s">
        <v>334</v>
      </c>
      <c r="K1877" s="134"/>
      <c r="L1877" s="135"/>
      <c r="M1877" s="62"/>
      <c r="N1877" s="28" t="e">
        <f t="shared" si="8"/>
        <v>#VALUE!</v>
      </c>
      <c r="O1877" s="96"/>
      <c r="P1877" s="29" t="s">
        <v>334</v>
      </c>
      <c r="Q1877" s="55"/>
      <c r="R1877" s="31" t="e">
        <f t="shared" si="9"/>
        <v>#VALUE!</v>
      </c>
      <c r="S1877" s="97"/>
      <c r="T1877" s="32" t="e">
        <f t="shared" si="10"/>
        <v>#VALUE!</v>
      </c>
      <c r="U1877" s="57"/>
      <c r="V1877" s="58"/>
      <c r="W1877" s="58"/>
      <c r="X1877" s="30" t="e">
        <f t="shared" si="11"/>
        <v>#N/A</v>
      </c>
      <c r="Y1877" s="30" t="e">
        <f t="shared" si="12"/>
        <v>#N/A</v>
      </c>
      <c r="Z1877" s="35" t="e">
        <f t="shared" si="13"/>
        <v>#VALUE!</v>
      </c>
      <c r="AA1877" s="29" t="e">
        <f t="shared" si="14"/>
        <v>#VALUE!</v>
      </c>
      <c r="AB1877" s="36" t="e">
        <f t="shared" si="15"/>
        <v>#VALUE!</v>
      </c>
      <c r="AC1877" s="37" t="b">
        <v>0</v>
      </c>
      <c r="AD1877" s="61" t="str">
        <f t="shared" si="16"/>
        <v>USD</v>
      </c>
      <c r="AE1877" s="37"/>
      <c r="AF1877" s="37" t="e">
        <f t="array" ref="AF1877">INDEX('Deal Info'!D:D, MATCH(A1877,'Deal Info'!A:A, 0))</f>
        <v>#N/A</v>
      </c>
      <c r="AG1877" s="38" t="e">
        <f t="array" ref="AG1877">INDEX('Deal Info'!G:G, MATCH(A1877,'Deal Info'!A:A, 0))</f>
        <v>#N/A</v>
      </c>
    </row>
    <row r="1878" spans="1:33" ht="14.25" hidden="1" x14ac:dyDescent="0.2">
      <c r="A1878" s="18" t="b">
        <f t="array" ref="A1878">IF(G1878='Room Info'!$B$1, INDEX('Room Info'!$A$2:$A2446, MATCH(B1878,'Room Info'!$B$2:$B2446, 0)),IF(G1878='Room Info'!$C$1, INDEX('Room Info'!$A$2:$A2446, MATCH(B1878,'Room Info'!$C$2:$C2446, 0)),IF(G1878='Room Info'!$D$1, INDEX('Room Info'!$A$2:$A2446, MATCH(B1878,'Room Info'!$D$2:$D2446, 0)),IF(G1878='Room Info'!$E$1, INDEX('Room Info'!$A$2:$A2446, MATCH(B1878,'Room Info'!$E$2:$E2446, 0)),IF(G1878='Room Info'!$F$1, INDEX('Room Info'!$A$2:$A2446, MATCH(B1878,'Room Info'!$F$2:$F2446, 0)),IF(G1878='Room Info'!$H$1, INDEX('Room Info'!$A$2:$A2446, MATCH(B1878,'Room Info'!$H$2:$H2446, 0)),IF(G1878='Room Info'!$G$1, INDEX('Room Info'!$A$2:$A2446, MATCH(B1878,'Room Info'!$G$2:$G2446, 0)))))))))</f>
        <v>0</v>
      </c>
      <c r="B1878" s="96"/>
      <c r="C1878" s="136"/>
      <c r="D1878" s="111"/>
      <c r="E1878" s="80"/>
      <c r="F1878" s="133"/>
      <c r="G1878" s="65"/>
      <c r="H1878" s="100"/>
      <c r="I1878" s="100"/>
      <c r="J1878" s="39" t="s">
        <v>334</v>
      </c>
      <c r="K1878" s="112"/>
      <c r="L1878" s="113"/>
      <c r="M1878" s="62"/>
      <c r="N1878" s="28" t="e">
        <f t="shared" si="8"/>
        <v>#VALUE!</v>
      </c>
      <c r="O1878" s="65"/>
      <c r="P1878" s="29" t="s">
        <v>334</v>
      </c>
      <c r="Q1878" s="55"/>
      <c r="R1878" s="31" t="e">
        <f t="shared" si="9"/>
        <v>#VALUE!</v>
      </c>
      <c r="S1878" s="66"/>
      <c r="T1878" s="32" t="e">
        <f t="shared" si="10"/>
        <v>#VALUE!</v>
      </c>
      <c r="U1878" s="57"/>
      <c r="V1878" s="58"/>
      <c r="W1878" s="58"/>
      <c r="X1878" s="30" t="e">
        <f t="shared" si="11"/>
        <v>#N/A</v>
      </c>
      <c r="Y1878" s="30" t="e">
        <f t="shared" si="12"/>
        <v>#N/A</v>
      </c>
      <c r="Z1878" s="35" t="e">
        <f t="shared" si="13"/>
        <v>#VALUE!</v>
      </c>
      <c r="AA1878" s="29" t="e">
        <f t="shared" si="14"/>
        <v>#VALUE!</v>
      </c>
      <c r="AB1878" s="36" t="e">
        <f t="shared" si="15"/>
        <v>#VALUE!</v>
      </c>
      <c r="AC1878" s="37" t="b">
        <v>0</v>
      </c>
      <c r="AD1878" s="61" t="str">
        <f t="shared" si="16"/>
        <v>USD</v>
      </c>
      <c r="AE1878" s="37"/>
      <c r="AF1878" s="37" t="e">
        <f t="array" ref="AF1878">INDEX('Deal Info'!D:D, MATCH(A1878,'Deal Info'!A:A, 0))</f>
        <v>#N/A</v>
      </c>
      <c r="AG1878" s="38" t="e">
        <f t="array" ref="AG1878">INDEX('Deal Info'!G:G, MATCH(A1878,'Deal Info'!A:A, 0))</f>
        <v>#N/A</v>
      </c>
    </row>
    <row r="1879" spans="1:33" ht="14.25" hidden="1" x14ac:dyDescent="0.2">
      <c r="A1879" s="18" t="b">
        <f t="array" ref="A1879">IF(G1879='Room Info'!$B$1, INDEX('Room Info'!$A$2:$A2446, MATCH(B1879,'Room Info'!$B$2:$B2446, 0)),IF(G1879='Room Info'!$C$1, INDEX('Room Info'!$A$2:$A2446, MATCH(B1879,'Room Info'!$C$2:$C2446, 0)),IF(G1879='Room Info'!$D$1, INDEX('Room Info'!$A$2:$A2446, MATCH(B1879,'Room Info'!$D$2:$D2446, 0)),IF(G1879='Room Info'!$E$1, INDEX('Room Info'!$A$2:$A2446, MATCH(B1879,'Room Info'!$E$2:$E2446, 0)),IF(G1879='Room Info'!$F$1, INDEX('Room Info'!$A$2:$A2446, MATCH(B1879,'Room Info'!$F$2:$F2446, 0)),IF(G1879='Room Info'!$H$1, INDEX('Room Info'!$A$2:$A2446, MATCH(B1879,'Room Info'!$H$2:$H2446, 0)),IF(G1879='Room Info'!$G$1, INDEX('Room Info'!$A$2:$A2446, MATCH(B1879,'Room Info'!$G$2:$G2446, 0)))))))))</f>
        <v>0</v>
      </c>
      <c r="B1879" s="96"/>
      <c r="C1879" s="136"/>
      <c r="D1879" s="111"/>
      <c r="E1879" s="80"/>
      <c r="F1879" s="133"/>
      <c r="G1879" s="65"/>
      <c r="H1879" s="100"/>
      <c r="I1879" s="100"/>
      <c r="J1879" s="39" t="s">
        <v>334</v>
      </c>
      <c r="K1879" s="134"/>
      <c r="L1879" s="135"/>
      <c r="M1879" s="62"/>
      <c r="N1879" s="28" t="e">
        <f t="shared" si="8"/>
        <v>#VALUE!</v>
      </c>
      <c r="O1879" s="96"/>
      <c r="P1879" s="29" t="s">
        <v>334</v>
      </c>
      <c r="Q1879" s="55"/>
      <c r="R1879" s="31" t="e">
        <f t="shared" si="9"/>
        <v>#VALUE!</v>
      </c>
      <c r="S1879" s="97"/>
      <c r="T1879" s="32" t="e">
        <f t="shared" si="10"/>
        <v>#VALUE!</v>
      </c>
      <c r="U1879" s="57"/>
      <c r="V1879" s="58"/>
      <c r="W1879" s="58"/>
      <c r="X1879" s="30" t="e">
        <f t="shared" si="11"/>
        <v>#N/A</v>
      </c>
      <c r="Y1879" s="30" t="e">
        <f t="shared" si="12"/>
        <v>#N/A</v>
      </c>
      <c r="Z1879" s="35" t="e">
        <f t="shared" si="13"/>
        <v>#VALUE!</v>
      </c>
      <c r="AA1879" s="29" t="e">
        <f t="shared" si="14"/>
        <v>#VALUE!</v>
      </c>
      <c r="AB1879" s="36" t="e">
        <f t="shared" si="15"/>
        <v>#VALUE!</v>
      </c>
      <c r="AC1879" s="37" t="b">
        <v>0</v>
      </c>
      <c r="AD1879" s="61" t="str">
        <f t="shared" si="16"/>
        <v>USD</v>
      </c>
      <c r="AE1879" s="37"/>
      <c r="AF1879" s="37" t="e">
        <f t="array" ref="AF1879">INDEX('Deal Info'!D:D, MATCH(A1879,'Deal Info'!A:A, 0))</f>
        <v>#N/A</v>
      </c>
      <c r="AG1879" s="38" t="e">
        <f t="array" ref="AG1879">INDEX('Deal Info'!G:G, MATCH(A1879,'Deal Info'!A:A, 0))</f>
        <v>#N/A</v>
      </c>
    </row>
    <row r="1880" spans="1:33" ht="14.25" hidden="1" x14ac:dyDescent="0.2">
      <c r="A1880" s="18" t="b">
        <f t="array" ref="A1880">IF(G1880='Room Info'!$B$1, INDEX('Room Info'!$A$2:$A2446, MATCH(B1880,'Room Info'!$B$2:$B2446, 0)),IF(G1880='Room Info'!$C$1, INDEX('Room Info'!$A$2:$A2446, MATCH(B1880,'Room Info'!$C$2:$C2446, 0)),IF(G1880='Room Info'!$D$1, INDEX('Room Info'!$A$2:$A2446, MATCH(B1880,'Room Info'!$D$2:$D2446, 0)),IF(G1880='Room Info'!$E$1, INDEX('Room Info'!$A$2:$A2446, MATCH(B1880,'Room Info'!$E$2:$E2446, 0)),IF(G1880='Room Info'!$F$1, INDEX('Room Info'!$A$2:$A2446, MATCH(B1880,'Room Info'!$F$2:$F2446, 0)),IF(G1880='Room Info'!$H$1, INDEX('Room Info'!$A$2:$A2446, MATCH(B1880,'Room Info'!$H$2:$H2446, 0)),IF(G1880='Room Info'!$G$1, INDEX('Room Info'!$A$2:$A2446, MATCH(B1880,'Room Info'!$G$2:$G2446, 0)))))))))</f>
        <v>0</v>
      </c>
      <c r="B1880" s="96"/>
      <c r="C1880" s="136"/>
      <c r="D1880" s="111"/>
      <c r="E1880" s="80"/>
      <c r="F1880" s="133"/>
      <c r="G1880" s="65"/>
      <c r="H1880" s="100"/>
      <c r="I1880" s="100"/>
      <c r="J1880" s="39" t="s">
        <v>334</v>
      </c>
      <c r="K1880" s="134"/>
      <c r="L1880" s="135"/>
      <c r="M1880" s="62"/>
      <c r="N1880" s="28" t="e">
        <f t="shared" si="8"/>
        <v>#VALUE!</v>
      </c>
      <c r="O1880" s="96"/>
      <c r="P1880" s="29" t="s">
        <v>334</v>
      </c>
      <c r="Q1880" s="55"/>
      <c r="R1880" s="31" t="e">
        <f t="shared" si="9"/>
        <v>#VALUE!</v>
      </c>
      <c r="S1880" s="97"/>
      <c r="T1880" s="32" t="e">
        <f t="shared" si="10"/>
        <v>#VALUE!</v>
      </c>
      <c r="U1880" s="57"/>
      <c r="V1880" s="58"/>
      <c r="W1880" s="58"/>
      <c r="X1880" s="30" t="e">
        <f t="shared" si="11"/>
        <v>#N/A</v>
      </c>
      <c r="Y1880" s="30" t="e">
        <f t="shared" si="12"/>
        <v>#N/A</v>
      </c>
      <c r="Z1880" s="35" t="e">
        <f t="shared" si="13"/>
        <v>#VALUE!</v>
      </c>
      <c r="AA1880" s="29" t="e">
        <f t="shared" si="14"/>
        <v>#VALUE!</v>
      </c>
      <c r="AB1880" s="36" t="e">
        <f t="shared" si="15"/>
        <v>#VALUE!</v>
      </c>
      <c r="AC1880" s="37" t="b">
        <v>0</v>
      </c>
      <c r="AD1880" s="61" t="str">
        <f t="shared" si="16"/>
        <v>USD</v>
      </c>
      <c r="AE1880" s="37"/>
      <c r="AF1880" s="37" t="e">
        <f t="array" ref="AF1880">INDEX('Deal Info'!D:D, MATCH(A1880,'Deal Info'!A:A, 0))</f>
        <v>#N/A</v>
      </c>
      <c r="AG1880" s="38" t="e">
        <f t="array" ref="AG1880">INDEX('Deal Info'!G:G, MATCH(A1880,'Deal Info'!A:A, 0))</f>
        <v>#N/A</v>
      </c>
    </row>
    <row r="1881" spans="1:33" ht="14.25" hidden="1" x14ac:dyDescent="0.2">
      <c r="A1881" s="18" t="b">
        <f t="array" ref="A1881">IF(G1881='Room Info'!$B$1, INDEX('Room Info'!$A$2:$A2446, MATCH(B1881,'Room Info'!$B$2:$B2446, 0)),IF(G1881='Room Info'!$C$1, INDEX('Room Info'!$A$2:$A2446, MATCH(B1881,'Room Info'!$C$2:$C2446, 0)),IF(G1881='Room Info'!$D$1, INDEX('Room Info'!$A$2:$A2446, MATCH(B1881,'Room Info'!$D$2:$D2446, 0)),IF(G1881='Room Info'!$E$1, INDEX('Room Info'!$A$2:$A2446, MATCH(B1881,'Room Info'!$E$2:$E2446, 0)),IF(G1881='Room Info'!$F$1, INDEX('Room Info'!$A$2:$A2446, MATCH(B1881,'Room Info'!$F$2:$F2446, 0)),IF(G1881='Room Info'!$H$1, INDEX('Room Info'!$A$2:$A2446, MATCH(B1881,'Room Info'!$H$2:$H2446, 0)),IF(G1881='Room Info'!$G$1, INDEX('Room Info'!$A$2:$A2446, MATCH(B1881,'Room Info'!$G$2:$G2446, 0)))))))))</f>
        <v>0</v>
      </c>
      <c r="B1881" s="96"/>
      <c r="C1881" s="136"/>
      <c r="D1881" s="111"/>
      <c r="E1881" s="80"/>
      <c r="F1881" s="133"/>
      <c r="G1881" s="65"/>
      <c r="H1881" s="100"/>
      <c r="I1881" s="100"/>
      <c r="J1881" s="39" t="s">
        <v>334</v>
      </c>
      <c r="K1881" s="134"/>
      <c r="L1881" s="135"/>
      <c r="M1881" s="62"/>
      <c r="N1881" s="28" t="e">
        <f t="shared" si="8"/>
        <v>#VALUE!</v>
      </c>
      <c r="O1881" s="96"/>
      <c r="P1881" s="29" t="s">
        <v>334</v>
      </c>
      <c r="Q1881" s="55"/>
      <c r="R1881" s="31" t="e">
        <f t="shared" si="9"/>
        <v>#VALUE!</v>
      </c>
      <c r="S1881" s="97"/>
      <c r="T1881" s="32" t="e">
        <f t="shared" si="10"/>
        <v>#VALUE!</v>
      </c>
      <c r="U1881" s="57"/>
      <c r="V1881" s="58"/>
      <c r="W1881" s="58"/>
      <c r="X1881" s="30" t="e">
        <f t="shared" si="11"/>
        <v>#N/A</v>
      </c>
      <c r="Y1881" s="30" t="e">
        <f t="shared" si="12"/>
        <v>#N/A</v>
      </c>
      <c r="Z1881" s="35" t="e">
        <f t="shared" si="13"/>
        <v>#VALUE!</v>
      </c>
      <c r="AA1881" s="29" t="e">
        <f t="shared" si="14"/>
        <v>#VALUE!</v>
      </c>
      <c r="AB1881" s="36" t="e">
        <f t="shared" si="15"/>
        <v>#VALUE!</v>
      </c>
      <c r="AC1881" s="37" t="b">
        <v>0</v>
      </c>
      <c r="AD1881" s="61" t="str">
        <f t="shared" si="16"/>
        <v>USD</v>
      </c>
      <c r="AE1881" s="37"/>
      <c r="AF1881" s="37" t="e">
        <f t="array" ref="AF1881">INDEX('Deal Info'!D:D, MATCH(A1881,'Deal Info'!A:A, 0))</f>
        <v>#N/A</v>
      </c>
      <c r="AG1881" s="38" t="e">
        <f t="array" ref="AG1881">INDEX('Deal Info'!G:G, MATCH(A1881,'Deal Info'!A:A, 0))</f>
        <v>#N/A</v>
      </c>
    </row>
    <row r="1882" spans="1:33" ht="14.25" hidden="1" x14ac:dyDescent="0.2">
      <c r="A1882" s="18" t="b">
        <f t="array" ref="A1882">IF(G1882='Room Info'!$B$1, INDEX('Room Info'!$A$2:$A2446, MATCH(B1882,'Room Info'!$B$2:$B2446, 0)),IF(G1882='Room Info'!$C$1, INDEX('Room Info'!$A$2:$A2446, MATCH(B1882,'Room Info'!$C$2:$C2446, 0)),IF(G1882='Room Info'!$D$1, INDEX('Room Info'!$A$2:$A2446, MATCH(B1882,'Room Info'!$D$2:$D2446, 0)),IF(G1882='Room Info'!$E$1, INDEX('Room Info'!$A$2:$A2446, MATCH(B1882,'Room Info'!$E$2:$E2446, 0)),IF(G1882='Room Info'!$F$1, INDEX('Room Info'!$A$2:$A2446, MATCH(B1882,'Room Info'!$F$2:$F2446, 0)),IF(G1882='Room Info'!$H$1, INDEX('Room Info'!$A$2:$A2446, MATCH(B1882,'Room Info'!$H$2:$H2446, 0)),IF(G1882='Room Info'!$G$1, INDEX('Room Info'!$A$2:$A2446, MATCH(B1882,'Room Info'!$G$2:$G2446, 0)))))))))</f>
        <v>0</v>
      </c>
      <c r="B1882" s="96"/>
      <c r="C1882" s="111"/>
      <c r="D1882" s="111"/>
      <c r="E1882" s="80"/>
      <c r="F1882" s="133"/>
      <c r="G1882" s="96"/>
      <c r="H1882" s="110"/>
      <c r="I1882" s="110"/>
      <c r="J1882" s="39" t="s">
        <v>334</v>
      </c>
      <c r="K1882" s="112"/>
      <c r="L1882" s="113"/>
      <c r="M1882" s="62"/>
      <c r="N1882" s="28" t="e">
        <f t="shared" si="8"/>
        <v>#VALUE!</v>
      </c>
      <c r="O1882" s="65"/>
      <c r="P1882" s="29" t="s">
        <v>334</v>
      </c>
      <c r="Q1882" s="55"/>
      <c r="R1882" s="31" t="e">
        <f t="shared" si="9"/>
        <v>#VALUE!</v>
      </c>
      <c r="S1882" s="66"/>
      <c r="T1882" s="32" t="e">
        <f t="shared" si="10"/>
        <v>#VALUE!</v>
      </c>
      <c r="U1882" s="57"/>
      <c r="V1882" s="58"/>
      <c r="W1882" s="58"/>
      <c r="X1882" s="30" t="e">
        <f t="shared" si="11"/>
        <v>#N/A</v>
      </c>
      <c r="Y1882" s="30" t="e">
        <f t="shared" si="12"/>
        <v>#N/A</v>
      </c>
      <c r="Z1882" s="35" t="e">
        <f t="shared" si="13"/>
        <v>#VALUE!</v>
      </c>
      <c r="AA1882" s="29" t="e">
        <f t="shared" si="14"/>
        <v>#VALUE!</v>
      </c>
      <c r="AB1882" s="36" t="e">
        <f t="shared" si="15"/>
        <v>#VALUE!</v>
      </c>
      <c r="AC1882" s="37" t="b">
        <v>0</v>
      </c>
      <c r="AD1882" s="61" t="str">
        <f t="shared" si="16"/>
        <v>USD</v>
      </c>
      <c r="AE1882" s="37"/>
      <c r="AF1882" s="37" t="e">
        <f t="array" ref="AF1882">INDEX('Deal Info'!D:D, MATCH(A1882,'Deal Info'!A:A, 0))</f>
        <v>#N/A</v>
      </c>
      <c r="AG1882" s="38" t="e">
        <f t="array" ref="AG1882">INDEX('Deal Info'!G:G, MATCH(A1882,'Deal Info'!A:A, 0))</f>
        <v>#N/A</v>
      </c>
    </row>
    <row r="1883" spans="1:33" ht="14.25" hidden="1" x14ac:dyDescent="0.2">
      <c r="A1883" s="18" t="b">
        <f t="array" ref="A1883">IF(G1883='Room Info'!$B$1, INDEX('Room Info'!$A$2:$A2446, MATCH(B1883,'Room Info'!$B$2:$B2446, 0)),IF(G1883='Room Info'!$C$1, INDEX('Room Info'!$A$2:$A2446, MATCH(B1883,'Room Info'!$C$2:$C2446, 0)),IF(G1883='Room Info'!$D$1, INDEX('Room Info'!$A$2:$A2446, MATCH(B1883,'Room Info'!$D$2:$D2446, 0)),IF(G1883='Room Info'!$E$1, INDEX('Room Info'!$A$2:$A2446, MATCH(B1883,'Room Info'!$E$2:$E2446, 0)),IF(G1883='Room Info'!$F$1, INDEX('Room Info'!$A$2:$A2446, MATCH(B1883,'Room Info'!$F$2:$F2446, 0)),IF(G1883='Room Info'!$H$1, INDEX('Room Info'!$A$2:$A2446, MATCH(B1883,'Room Info'!$H$2:$H2446, 0)),IF(G1883='Room Info'!$G$1, INDEX('Room Info'!$A$2:$A2446, MATCH(B1883,'Room Info'!$G$2:$G2446, 0)))))))))</f>
        <v>0</v>
      </c>
      <c r="B1883" s="96"/>
      <c r="C1883" s="111"/>
      <c r="D1883" s="111"/>
      <c r="E1883" s="80"/>
      <c r="F1883" s="133"/>
      <c r="G1883" s="96"/>
      <c r="H1883" s="110"/>
      <c r="I1883" s="110"/>
      <c r="J1883" s="39" t="s">
        <v>334</v>
      </c>
      <c r="K1883" s="112"/>
      <c r="L1883" s="113"/>
      <c r="M1883" s="62"/>
      <c r="N1883" s="28" t="e">
        <f t="shared" si="8"/>
        <v>#VALUE!</v>
      </c>
      <c r="O1883" s="65"/>
      <c r="P1883" s="29" t="s">
        <v>334</v>
      </c>
      <c r="Q1883" s="55"/>
      <c r="R1883" s="31" t="e">
        <f t="shared" si="9"/>
        <v>#VALUE!</v>
      </c>
      <c r="S1883" s="66"/>
      <c r="T1883" s="32" t="e">
        <f t="shared" si="10"/>
        <v>#VALUE!</v>
      </c>
      <c r="U1883" s="57"/>
      <c r="V1883" s="58"/>
      <c r="W1883" s="58"/>
      <c r="X1883" s="30" t="e">
        <f t="shared" si="11"/>
        <v>#N/A</v>
      </c>
      <c r="Y1883" s="30" t="e">
        <f t="shared" si="12"/>
        <v>#N/A</v>
      </c>
      <c r="Z1883" s="35" t="e">
        <f t="shared" si="13"/>
        <v>#VALUE!</v>
      </c>
      <c r="AA1883" s="29" t="e">
        <f t="shared" si="14"/>
        <v>#VALUE!</v>
      </c>
      <c r="AB1883" s="36" t="e">
        <f t="shared" si="15"/>
        <v>#VALUE!</v>
      </c>
      <c r="AC1883" s="37" t="b">
        <v>0</v>
      </c>
      <c r="AD1883" s="61" t="str">
        <f t="shared" si="16"/>
        <v>USD</v>
      </c>
      <c r="AE1883" s="37"/>
      <c r="AF1883" s="37" t="e">
        <f t="array" ref="AF1883">INDEX('Deal Info'!D:D, MATCH(A1883,'Deal Info'!A:A, 0))</f>
        <v>#N/A</v>
      </c>
      <c r="AG1883" s="38" t="e">
        <f t="array" ref="AG1883">INDEX('Deal Info'!G:G, MATCH(A1883,'Deal Info'!A:A, 0))</f>
        <v>#N/A</v>
      </c>
    </row>
    <row r="1884" spans="1:33" ht="14.25" hidden="1" x14ac:dyDescent="0.2">
      <c r="A1884" s="18" t="b">
        <f t="array" ref="A1884">IF(G1884='Room Info'!$B$1, INDEX('Room Info'!$A$2:$A2446, MATCH(B1884,'Room Info'!$B$2:$B2446, 0)),IF(G1884='Room Info'!$C$1, INDEX('Room Info'!$A$2:$A2446, MATCH(B1884,'Room Info'!$C$2:$C2446, 0)),IF(G1884='Room Info'!$D$1, INDEX('Room Info'!$A$2:$A2446, MATCH(B1884,'Room Info'!$D$2:$D2446, 0)),IF(G1884='Room Info'!$E$1, INDEX('Room Info'!$A$2:$A2446, MATCH(B1884,'Room Info'!$E$2:$E2446, 0)),IF(G1884='Room Info'!$F$1, INDEX('Room Info'!$A$2:$A2446, MATCH(B1884,'Room Info'!$F$2:$F2446, 0)),IF(G1884='Room Info'!$H$1, INDEX('Room Info'!$A$2:$A2446, MATCH(B1884,'Room Info'!$H$2:$H2446, 0)),IF(G1884='Room Info'!$G$1, INDEX('Room Info'!$A$2:$A2446, MATCH(B1884,'Room Info'!$G$2:$G2446, 0)))))))))</f>
        <v>0</v>
      </c>
      <c r="B1884" s="96"/>
      <c r="C1884" s="111"/>
      <c r="D1884" s="111"/>
      <c r="E1884" s="80"/>
      <c r="F1884" s="133"/>
      <c r="G1884" s="96"/>
      <c r="H1884" s="110"/>
      <c r="I1884" s="110"/>
      <c r="J1884" s="39" t="s">
        <v>334</v>
      </c>
      <c r="K1884" s="112"/>
      <c r="L1884" s="113"/>
      <c r="M1884" s="62"/>
      <c r="N1884" s="28" t="e">
        <f t="shared" si="8"/>
        <v>#VALUE!</v>
      </c>
      <c r="O1884" s="65"/>
      <c r="P1884" s="29" t="s">
        <v>334</v>
      </c>
      <c r="Q1884" s="55"/>
      <c r="R1884" s="31" t="e">
        <f t="shared" si="9"/>
        <v>#VALUE!</v>
      </c>
      <c r="S1884" s="66"/>
      <c r="T1884" s="32" t="e">
        <f t="shared" si="10"/>
        <v>#VALUE!</v>
      </c>
      <c r="U1884" s="57"/>
      <c r="V1884" s="58"/>
      <c r="W1884" s="58"/>
      <c r="X1884" s="30" t="e">
        <f t="shared" si="11"/>
        <v>#N/A</v>
      </c>
      <c r="Y1884" s="30" t="e">
        <f t="shared" si="12"/>
        <v>#N/A</v>
      </c>
      <c r="Z1884" s="35" t="e">
        <f t="shared" si="13"/>
        <v>#VALUE!</v>
      </c>
      <c r="AA1884" s="29" t="e">
        <f t="shared" si="14"/>
        <v>#VALUE!</v>
      </c>
      <c r="AB1884" s="36" t="e">
        <f t="shared" si="15"/>
        <v>#VALUE!</v>
      </c>
      <c r="AC1884" s="37" t="b">
        <v>0</v>
      </c>
      <c r="AD1884" s="61" t="str">
        <f t="shared" si="16"/>
        <v>USD</v>
      </c>
      <c r="AE1884" s="37"/>
      <c r="AF1884" s="37" t="e">
        <f t="array" ref="AF1884">INDEX('Deal Info'!D:D, MATCH(A1884,'Deal Info'!A:A, 0))</f>
        <v>#N/A</v>
      </c>
      <c r="AG1884" s="38" t="e">
        <f t="array" ref="AG1884">INDEX('Deal Info'!G:G, MATCH(A1884,'Deal Info'!A:A, 0))</f>
        <v>#N/A</v>
      </c>
    </row>
    <row r="1885" spans="1:33" ht="14.25" hidden="1" x14ac:dyDescent="0.2">
      <c r="A1885" s="18" t="b">
        <f t="array" ref="A1885">IF(G1885='Room Info'!$B$1, INDEX('Room Info'!$A$2:$A2446, MATCH(B1885,'Room Info'!$B$2:$B2446, 0)),IF(G1885='Room Info'!$C$1, INDEX('Room Info'!$A$2:$A2446, MATCH(B1885,'Room Info'!$C$2:$C2446, 0)),IF(G1885='Room Info'!$D$1, INDEX('Room Info'!$A$2:$A2446, MATCH(B1885,'Room Info'!$D$2:$D2446, 0)),IF(G1885='Room Info'!$E$1, INDEX('Room Info'!$A$2:$A2446, MATCH(B1885,'Room Info'!$E$2:$E2446, 0)),IF(G1885='Room Info'!$F$1, INDEX('Room Info'!$A$2:$A2446, MATCH(B1885,'Room Info'!$F$2:$F2446, 0)),IF(G1885='Room Info'!$H$1, INDEX('Room Info'!$A$2:$A2446, MATCH(B1885,'Room Info'!$H$2:$H2446, 0)),IF(G1885='Room Info'!$G$1, INDEX('Room Info'!$A$2:$A2446, MATCH(B1885,'Room Info'!$G$2:$G2446, 0)))))))))</f>
        <v>0</v>
      </c>
      <c r="B1885" s="96"/>
      <c r="C1885" s="111"/>
      <c r="D1885" s="111"/>
      <c r="E1885" s="80"/>
      <c r="F1885" s="133"/>
      <c r="G1885" s="96"/>
      <c r="H1885" s="110"/>
      <c r="I1885" s="110"/>
      <c r="J1885" s="39" t="s">
        <v>334</v>
      </c>
      <c r="K1885" s="112"/>
      <c r="L1885" s="113"/>
      <c r="M1885" s="62"/>
      <c r="N1885" s="28" t="e">
        <f t="shared" si="8"/>
        <v>#VALUE!</v>
      </c>
      <c r="O1885" s="65"/>
      <c r="P1885" s="29" t="s">
        <v>334</v>
      </c>
      <c r="Q1885" s="55"/>
      <c r="R1885" s="31" t="e">
        <f t="shared" si="9"/>
        <v>#VALUE!</v>
      </c>
      <c r="S1885" s="66"/>
      <c r="T1885" s="32" t="e">
        <f t="shared" si="10"/>
        <v>#VALUE!</v>
      </c>
      <c r="U1885" s="57"/>
      <c r="V1885" s="58"/>
      <c r="W1885" s="58"/>
      <c r="X1885" s="30" t="e">
        <f t="shared" si="11"/>
        <v>#N/A</v>
      </c>
      <c r="Y1885" s="30" t="e">
        <f t="shared" si="12"/>
        <v>#N/A</v>
      </c>
      <c r="Z1885" s="35" t="e">
        <f t="shared" si="13"/>
        <v>#VALUE!</v>
      </c>
      <c r="AA1885" s="29" t="e">
        <f t="shared" si="14"/>
        <v>#VALUE!</v>
      </c>
      <c r="AB1885" s="36" t="e">
        <f t="shared" si="15"/>
        <v>#VALUE!</v>
      </c>
      <c r="AC1885" s="37" t="b">
        <v>0</v>
      </c>
      <c r="AD1885" s="61" t="str">
        <f t="shared" si="16"/>
        <v>USD</v>
      </c>
      <c r="AE1885" s="37"/>
      <c r="AF1885" s="37" t="e">
        <f t="array" ref="AF1885">INDEX('Deal Info'!D:D, MATCH(A1885,'Deal Info'!A:A, 0))</f>
        <v>#N/A</v>
      </c>
      <c r="AG1885" s="38" t="e">
        <f t="array" ref="AG1885">INDEX('Deal Info'!G:G, MATCH(A1885,'Deal Info'!A:A, 0))</f>
        <v>#N/A</v>
      </c>
    </row>
    <row r="1886" spans="1:33" ht="14.25" hidden="1" x14ac:dyDescent="0.2">
      <c r="A1886" s="18" t="b">
        <f t="array" ref="A1886">IF(G1886='Room Info'!$B$1, INDEX('Room Info'!$A$2:$A2446, MATCH(B1886,'Room Info'!$B$2:$B2446, 0)),IF(G1886='Room Info'!$C$1, INDEX('Room Info'!$A$2:$A2446, MATCH(B1886,'Room Info'!$C$2:$C2446, 0)),IF(G1886='Room Info'!$D$1, INDEX('Room Info'!$A$2:$A2446, MATCH(B1886,'Room Info'!$D$2:$D2446, 0)),IF(G1886='Room Info'!$E$1, INDEX('Room Info'!$A$2:$A2446, MATCH(B1886,'Room Info'!$E$2:$E2446, 0)),IF(G1886='Room Info'!$F$1, INDEX('Room Info'!$A$2:$A2446, MATCH(B1886,'Room Info'!$F$2:$F2446, 0)),IF(G1886='Room Info'!$H$1, INDEX('Room Info'!$A$2:$A2446, MATCH(B1886,'Room Info'!$H$2:$H2446, 0)),IF(G1886='Room Info'!$G$1, INDEX('Room Info'!$A$2:$A2446, MATCH(B1886,'Room Info'!$G$2:$G2446, 0)))))))))</f>
        <v>0</v>
      </c>
      <c r="B1886" s="96"/>
      <c r="C1886" s="111"/>
      <c r="D1886" s="111"/>
      <c r="E1886" s="80"/>
      <c r="F1886" s="133"/>
      <c r="G1886" s="96"/>
      <c r="H1886" s="110"/>
      <c r="I1886" s="110"/>
      <c r="J1886" s="39" t="s">
        <v>334</v>
      </c>
      <c r="K1886" s="112"/>
      <c r="L1886" s="113"/>
      <c r="M1886" s="62"/>
      <c r="N1886" s="28" t="e">
        <f t="shared" si="8"/>
        <v>#VALUE!</v>
      </c>
      <c r="O1886" s="65"/>
      <c r="P1886" s="29" t="s">
        <v>334</v>
      </c>
      <c r="Q1886" s="55"/>
      <c r="R1886" s="31" t="e">
        <f t="shared" si="9"/>
        <v>#VALUE!</v>
      </c>
      <c r="S1886" s="66"/>
      <c r="T1886" s="32" t="e">
        <f t="shared" si="10"/>
        <v>#VALUE!</v>
      </c>
      <c r="U1886" s="57"/>
      <c r="V1886" s="58"/>
      <c r="W1886" s="58"/>
      <c r="X1886" s="30" t="e">
        <f t="shared" si="11"/>
        <v>#N/A</v>
      </c>
      <c r="Y1886" s="30" t="e">
        <f t="shared" si="12"/>
        <v>#N/A</v>
      </c>
      <c r="Z1886" s="35" t="e">
        <f t="shared" si="13"/>
        <v>#VALUE!</v>
      </c>
      <c r="AA1886" s="29" t="e">
        <f t="shared" si="14"/>
        <v>#VALUE!</v>
      </c>
      <c r="AB1886" s="36" t="e">
        <f t="shared" si="15"/>
        <v>#VALUE!</v>
      </c>
      <c r="AC1886" s="37" t="b">
        <v>0</v>
      </c>
      <c r="AD1886" s="61" t="str">
        <f t="shared" si="16"/>
        <v>USD</v>
      </c>
      <c r="AE1886" s="37"/>
      <c r="AF1886" s="37" t="e">
        <f t="array" ref="AF1886">INDEX('Deal Info'!D:D, MATCH(A1886,'Deal Info'!A:A, 0))</f>
        <v>#N/A</v>
      </c>
      <c r="AG1886" s="38" t="e">
        <f t="array" ref="AG1886">INDEX('Deal Info'!G:G, MATCH(A1886,'Deal Info'!A:A, 0))</f>
        <v>#N/A</v>
      </c>
    </row>
    <row r="1887" spans="1:33" ht="14.25" hidden="1" x14ac:dyDescent="0.2">
      <c r="A1887" s="18" t="b">
        <f t="array" ref="A1887">IF(G1887='Room Info'!$B$1, INDEX('Room Info'!$A$2:$A2446, MATCH(B1887,'Room Info'!$B$2:$B2446, 0)),IF(G1887='Room Info'!$C$1, INDEX('Room Info'!$A$2:$A2446, MATCH(B1887,'Room Info'!$C$2:$C2446, 0)),IF(G1887='Room Info'!$D$1, INDEX('Room Info'!$A$2:$A2446, MATCH(B1887,'Room Info'!$D$2:$D2446, 0)),IF(G1887='Room Info'!$E$1, INDEX('Room Info'!$A$2:$A2446, MATCH(B1887,'Room Info'!$E$2:$E2446, 0)),IF(G1887='Room Info'!$F$1, INDEX('Room Info'!$A$2:$A2446, MATCH(B1887,'Room Info'!$F$2:$F2446, 0)),IF(G1887='Room Info'!$H$1, INDEX('Room Info'!$A$2:$A2446, MATCH(B1887,'Room Info'!$H$2:$H2446, 0)),IF(G1887='Room Info'!$G$1, INDEX('Room Info'!$A$2:$A2446, MATCH(B1887,'Room Info'!$G$2:$G2446, 0)))))))))</f>
        <v>0</v>
      </c>
      <c r="B1887" s="96"/>
      <c r="C1887" s="111"/>
      <c r="D1887" s="111"/>
      <c r="E1887" s="80"/>
      <c r="F1887" s="133"/>
      <c r="G1887" s="96"/>
      <c r="H1887" s="110"/>
      <c r="I1887" s="110"/>
      <c r="J1887" s="39" t="s">
        <v>334</v>
      </c>
      <c r="K1887" s="112"/>
      <c r="L1887" s="113"/>
      <c r="M1887" s="62"/>
      <c r="N1887" s="28" t="e">
        <f t="shared" si="8"/>
        <v>#VALUE!</v>
      </c>
      <c r="O1887" s="65"/>
      <c r="P1887" s="29" t="s">
        <v>334</v>
      </c>
      <c r="Q1887" s="55"/>
      <c r="R1887" s="31" t="e">
        <f t="shared" si="9"/>
        <v>#VALUE!</v>
      </c>
      <c r="S1887" s="66"/>
      <c r="T1887" s="32" t="e">
        <f t="shared" si="10"/>
        <v>#VALUE!</v>
      </c>
      <c r="U1887" s="57"/>
      <c r="V1887" s="58"/>
      <c r="W1887" s="58"/>
      <c r="X1887" s="30" t="e">
        <f t="shared" si="11"/>
        <v>#N/A</v>
      </c>
      <c r="Y1887" s="30" t="e">
        <f t="shared" si="12"/>
        <v>#N/A</v>
      </c>
      <c r="Z1887" s="35" t="e">
        <f t="shared" si="13"/>
        <v>#VALUE!</v>
      </c>
      <c r="AA1887" s="29" t="e">
        <f t="shared" si="14"/>
        <v>#VALUE!</v>
      </c>
      <c r="AB1887" s="36" t="e">
        <f t="shared" si="15"/>
        <v>#VALUE!</v>
      </c>
      <c r="AC1887" s="37" t="b">
        <v>0</v>
      </c>
      <c r="AD1887" s="61" t="str">
        <f t="shared" si="16"/>
        <v>USD</v>
      </c>
      <c r="AE1887" s="37"/>
      <c r="AF1887" s="37" t="e">
        <f t="array" ref="AF1887">INDEX('Deal Info'!D:D, MATCH(A1887,'Deal Info'!A:A, 0))</f>
        <v>#N/A</v>
      </c>
      <c r="AG1887" s="38" t="e">
        <f t="array" ref="AG1887">INDEX('Deal Info'!G:G, MATCH(A1887,'Deal Info'!A:A, 0))</f>
        <v>#N/A</v>
      </c>
    </row>
    <row r="1888" spans="1:33" ht="14.25" hidden="1" x14ac:dyDescent="0.2">
      <c r="A1888" s="18" t="b">
        <f t="array" ref="A1888">IF(G1888='Room Info'!$B$1, INDEX('Room Info'!$A$2:$A2446, MATCH(B1888,'Room Info'!$B$2:$B2446, 0)),IF(G1888='Room Info'!$C$1, INDEX('Room Info'!$A$2:$A2446, MATCH(B1888,'Room Info'!$C$2:$C2446, 0)),IF(G1888='Room Info'!$D$1, INDEX('Room Info'!$A$2:$A2446, MATCH(B1888,'Room Info'!$D$2:$D2446, 0)),IF(G1888='Room Info'!$E$1, INDEX('Room Info'!$A$2:$A2446, MATCH(B1888,'Room Info'!$E$2:$E2446, 0)),IF(G1888='Room Info'!$F$1, INDEX('Room Info'!$A$2:$A2446, MATCH(B1888,'Room Info'!$F$2:$F2446, 0)),IF(G1888='Room Info'!$H$1, INDEX('Room Info'!$A$2:$A2446, MATCH(B1888,'Room Info'!$H$2:$H2446, 0)),IF(G1888='Room Info'!$G$1, INDEX('Room Info'!$A$2:$A2446, MATCH(B1888,'Room Info'!$G$2:$G2446, 0)))))))))</f>
        <v>0</v>
      </c>
      <c r="B1888" s="96"/>
      <c r="C1888" s="111"/>
      <c r="D1888" s="111"/>
      <c r="E1888" s="80"/>
      <c r="F1888" s="133"/>
      <c r="G1888" s="96"/>
      <c r="H1888" s="110"/>
      <c r="I1888" s="110"/>
      <c r="J1888" s="39" t="s">
        <v>334</v>
      </c>
      <c r="K1888" s="112"/>
      <c r="L1888" s="113"/>
      <c r="M1888" s="62"/>
      <c r="N1888" s="28" t="e">
        <f t="shared" si="8"/>
        <v>#VALUE!</v>
      </c>
      <c r="O1888" s="65"/>
      <c r="P1888" s="29" t="s">
        <v>334</v>
      </c>
      <c r="Q1888" s="55"/>
      <c r="R1888" s="31" t="e">
        <f t="shared" si="9"/>
        <v>#VALUE!</v>
      </c>
      <c r="S1888" s="66"/>
      <c r="T1888" s="32" t="e">
        <f t="shared" si="10"/>
        <v>#VALUE!</v>
      </c>
      <c r="U1888" s="57"/>
      <c r="V1888" s="58"/>
      <c r="W1888" s="58"/>
      <c r="X1888" s="30" t="e">
        <f t="shared" si="11"/>
        <v>#N/A</v>
      </c>
      <c r="Y1888" s="30" t="e">
        <f t="shared" si="12"/>
        <v>#N/A</v>
      </c>
      <c r="Z1888" s="35" t="e">
        <f t="shared" si="13"/>
        <v>#VALUE!</v>
      </c>
      <c r="AA1888" s="29" t="e">
        <f t="shared" si="14"/>
        <v>#VALUE!</v>
      </c>
      <c r="AB1888" s="36" t="e">
        <f t="shared" si="15"/>
        <v>#VALUE!</v>
      </c>
      <c r="AC1888" s="37" t="b">
        <v>0</v>
      </c>
      <c r="AD1888" s="61" t="str">
        <f t="shared" si="16"/>
        <v>USD</v>
      </c>
      <c r="AE1888" s="37"/>
      <c r="AF1888" s="37" t="e">
        <f t="array" ref="AF1888">INDEX('Deal Info'!D:D, MATCH(A1888,'Deal Info'!A:A, 0))</f>
        <v>#N/A</v>
      </c>
      <c r="AG1888" s="38" t="e">
        <f t="array" ref="AG1888">INDEX('Deal Info'!G:G, MATCH(A1888,'Deal Info'!A:A, 0))</f>
        <v>#N/A</v>
      </c>
    </row>
    <row r="1889" spans="1:33" ht="14.25" hidden="1" x14ac:dyDescent="0.2">
      <c r="A1889" s="18" t="b">
        <f t="array" ref="A1889">IF(G1889='Room Info'!$B$1, INDEX('Room Info'!$A$2:$A2446, MATCH(B1889,'Room Info'!$B$2:$B2446, 0)),IF(G1889='Room Info'!$C$1, INDEX('Room Info'!$A$2:$A2446, MATCH(B1889,'Room Info'!$C$2:$C2446, 0)),IF(G1889='Room Info'!$D$1, INDEX('Room Info'!$A$2:$A2446, MATCH(B1889,'Room Info'!$D$2:$D2446, 0)),IF(G1889='Room Info'!$E$1, INDEX('Room Info'!$A$2:$A2446, MATCH(B1889,'Room Info'!$E$2:$E2446, 0)),IF(G1889='Room Info'!$F$1, INDEX('Room Info'!$A$2:$A2446, MATCH(B1889,'Room Info'!$F$2:$F2446, 0)),IF(G1889='Room Info'!$H$1, INDEX('Room Info'!$A$2:$A2446, MATCH(B1889,'Room Info'!$H$2:$H2446, 0)),IF(G1889='Room Info'!$G$1, INDEX('Room Info'!$A$2:$A2446, MATCH(B1889,'Room Info'!$G$2:$G2446, 0)))))))))</f>
        <v>0</v>
      </c>
      <c r="B1889" s="96"/>
      <c r="C1889" s="111"/>
      <c r="D1889" s="111"/>
      <c r="E1889" s="80"/>
      <c r="F1889" s="133"/>
      <c r="G1889" s="96"/>
      <c r="H1889" s="110"/>
      <c r="I1889" s="110"/>
      <c r="J1889" s="39" t="s">
        <v>334</v>
      </c>
      <c r="K1889" s="112"/>
      <c r="L1889" s="113"/>
      <c r="M1889" s="62"/>
      <c r="N1889" s="28" t="e">
        <f t="shared" si="8"/>
        <v>#VALUE!</v>
      </c>
      <c r="O1889" s="65"/>
      <c r="P1889" s="29" t="s">
        <v>334</v>
      </c>
      <c r="Q1889" s="55"/>
      <c r="R1889" s="31" t="e">
        <f t="shared" si="9"/>
        <v>#VALUE!</v>
      </c>
      <c r="S1889" s="66"/>
      <c r="T1889" s="32" t="e">
        <f t="shared" si="10"/>
        <v>#VALUE!</v>
      </c>
      <c r="U1889" s="57"/>
      <c r="V1889" s="58"/>
      <c r="W1889" s="58"/>
      <c r="X1889" s="30" t="e">
        <f t="shared" si="11"/>
        <v>#N/A</v>
      </c>
      <c r="Y1889" s="30" t="e">
        <f t="shared" si="12"/>
        <v>#N/A</v>
      </c>
      <c r="Z1889" s="35" t="e">
        <f t="shared" si="13"/>
        <v>#VALUE!</v>
      </c>
      <c r="AA1889" s="29" t="e">
        <f t="shared" si="14"/>
        <v>#VALUE!</v>
      </c>
      <c r="AB1889" s="36" t="e">
        <f t="shared" si="15"/>
        <v>#VALUE!</v>
      </c>
      <c r="AC1889" s="37" t="b">
        <v>0</v>
      </c>
      <c r="AD1889" s="61" t="str">
        <f t="shared" si="16"/>
        <v>USD</v>
      </c>
      <c r="AE1889" s="37"/>
      <c r="AF1889" s="37" t="e">
        <f t="array" ref="AF1889">INDEX('Deal Info'!D:D, MATCH(A1889,'Deal Info'!A:A, 0))</f>
        <v>#N/A</v>
      </c>
      <c r="AG1889" s="38" t="e">
        <f t="array" ref="AG1889">INDEX('Deal Info'!G:G, MATCH(A1889,'Deal Info'!A:A, 0))</f>
        <v>#N/A</v>
      </c>
    </row>
    <row r="1890" spans="1:33" ht="14.25" hidden="1" x14ac:dyDescent="0.2">
      <c r="A1890" s="18" t="b">
        <f t="array" ref="A1890">IF(G1890='Room Info'!$B$1, INDEX('Room Info'!$A$2:$A2446, MATCH(B1890,'Room Info'!$B$2:$B2446, 0)),IF(G1890='Room Info'!$C$1, INDEX('Room Info'!$A$2:$A2446, MATCH(B1890,'Room Info'!$C$2:$C2446, 0)),IF(G1890='Room Info'!$D$1, INDEX('Room Info'!$A$2:$A2446, MATCH(B1890,'Room Info'!$D$2:$D2446, 0)),IF(G1890='Room Info'!$E$1, INDEX('Room Info'!$A$2:$A2446, MATCH(B1890,'Room Info'!$E$2:$E2446, 0)),IF(G1890='Room Info'!$F$1, INDEX('Room Info'!$A$2:$A2446, MATCH(B1890,'Room Info'!$F$2:$F2446, 0)),IF(G1890='Room Info'!$H$1, INDEX('Room Info'!$A$2:$A2446, MATCH(B1890,'Room Info'!$H$2:$H2446, 0)),IF(G1890='Room Info'!$G$1, INDEX('Room Info'!$A$2:$A2446, MATCH(B1890,'Room Info'!$G$2:$G2446, 0)))))))))</f>
        <v>0</v>
      </c>
      <c r="B1890" s="96"/>
      <c r="C1890" s="111"/>
      <c r="D1890" s="111"/>
      <c r="E1890" s="80"/>
      <c r="F1890" s="133"/>
      <c r="G1890" s="65"/>
      <c r="H1890" s="65"/>
      <c r="I1890" s="65"/>
      <c r="J1890" s="39" t="s">
        <v>334</v>
      </c>
      <c r="K1890" s="112"/>
      <c r="L1890" s="113"/>
      <c r="M1890" s="62"/>
      <c r="N1890" s="28" t="e">
        <f t="shared" si="8"/>
        <v>#VALUE!</v>
      </c>
      <c r="O1890" s="65"/>
      <c r="P1890" s="29" t="s">
        <v>334</v>
      </c>
      <c r="Q1890" s="55"/>
      <c r="R1890" s="31" t="e">
        <f t="shared" si="9"/>
        <v>#VALUE!</v>
      </c>
      <c r="S1890" s="66"/>
      <c r="T1890" s="32" t="e">
        <f t="shared" si="10"/>
        <v>#VALUE!</v>
      </c>
      <c r="U1890" s="57"/>
      <c r="V1890" s="58"/>
      <c r="W1890" s="58"/>
      <c r="X1890" s="30" t="e">
        <f t="shared" si="11"/>
        <v>#N/A</v>
      </c>
      <c r="Y1890" s="30" t="e">
        <f t="shared" si="12"/>
        <v>#N/A</v>
      </c>
      <c r="Z1890" s="35" t="e">
        <f t="shared" si="13"/>
        <v>#VALUE!</v>
      </c>
      <c r="AA1890" s="29" t="e">
        <f t="shared" si="14"/>
        <v>#VALUE!</v>
      </c>
      <c r="AB1890" s="36" t="e">
        <f t="shared" si="15"/>
        <v>#VALUE!</v>
      </c>
      <c r="AC1890" s="37" t="b">
        <v>0</v>
      </c>
      <c r="AD1890" s="61" t="str">
        <f t="shared" si="16"/>
        <v>USD</v>
      </c>
      <c r="AE1890" s="37"/>
      <c r="AF1890" s="37" t="e">
        <f t="array" ref="AF1890">INDEX('Deal Info'!D:D, MATCH(A1890,'Deal Info'!A:A, 0))</f>
        <v>#N/A</v>
      </c>
      <c r="AG1890" s="38" t="e">
        <f t="array" ref="AG1890">INDEX('Deal Info'!G:G, MATCH(A1890,'Deal Info'!A:A, 0))</f>
        <v>#N/A</v>
      </c>
    </row>
    <row r="1891" spans="1:33" ht="14.25" hidden="1" x14ac:dyDescent="0.2">
      <c r="A1891" s="18" t="b">
        <f t="array" ref="A1891">IF(G1891='Room Info'!$B$1, INDEX('Room Info'!$A$2:$A2446, MATCH(B1891,'Room Info'!$B$2:$B2446, 0)),IF(G1891='Room Info'!$C$1, INDEX('Room Info'!$A$2:$A2446, MATCH(B1891,'Room Info'!$C$2:$C2446, 0)),IF(G1891='Room Info'!$D$1, INDEX('Room Info'!$A$2:$A2446, MATCH(B1891,'Room Info'!$D$2:$D2446, 0)),IF(G1891='Room Info'!$E$1, INDEX('Room Info'!$A$2:$A2446, MATCH(B1891,'Room Info'!$E$2:$E2446, 0)),IF(G1891='Room Info'!$F$1, INDEX('Room Info'!$A$2:$A2446, MATCH(B1891,'Room Info'!$F$2:$F2446, 0)),IF(G1891='Room Info'!$H$1, INDEX('Room Info'!$A$2:$A2446, MATCH(B1891,'Room Info'!$H$2:$H2446, 0)),IF(G1891='Room Info'!$G$1, INDEX('Room Info'!$A$2:$A2446, MATCH(B1891,'Room Info'!$G$2:$G2446, 0)))))))))</f>
        <v>0</v>
      </c>
      <c r="B1891" s="96"/>
      <c r="C1891" s="111"/>
      <c r="D1891" s="111"/>
      <c r="E1891" s="80"/>
      <c r="F1891" s="133"/>
      <c r="G1891" s="65"/>
      <c r="H1891" s="65"/>
      <c r="I1891" s="65"/>
      <c r="J1891" s="39" t="s">
        <v>334</v>
      </c>
      <c r="K1891" s="112"/>
      <c r="L1891" s="113"/>
      <c r="M1891" s="62"/>
      <c r="N1891" s="28" t="e">
        <f t="shared" si="8"/>
        <v>#VALUE!</v>
      </c>
      <c r="O1891" s="65"/>
      <c r="P1891" s="29" t="s">
        <v>334</v>
      </c>
      <c r="Q1891" s="55"/>
      <c r="R1891" s="31" t="e">
        <f t="shared" si="9"/>
        <v>#VALUE!</v>
      </c>
      <c r="S1891" s="66"/>
      <c r="T1891" s="32" t="e">
        <f t="shared" si="10"/>
        <v>#VALUE!</v>
      </c>
      <c r="U1891" s="57"/>
      <c r="V1891" s="58"/>
      <c r="W1891" s="58"/>
      <c r="X1891" s="30" t="e">
        <f t="shared" si="11"/>
        <v>#N/A</v>
      </c>
      <c r="Y1891" s="30" t="e">
        <f t="shared" si="12"/>
        <v>#N/A</v>
      </c>
      <c r="Z1891" s="35" t="e">
        <f t="shared" si="13"/>
        <v>#VALUE!</v>
      </c>
      <c r="AA1891" s="29" t="e">
        <f t="shared" si="14"/>
        <v>#VALUE!</v>
      </c>
      <c r="AB1891" s="36" t="e">
        <f t="shared" si="15"/>
        <v>#VALUE!</v>
      </c>
      <c r="AC1891" s="37" t="b">
        <v>0</v>
      </c>
      <c r="AD1891" s="61" t="str">
        <f t="shared" si="16"/>
        <v>USD</v>
      </c>
      <c r="AE1891" s="37"/>
      <c r="AF1891" s="37" t="e">
        <f t="array" ref="AF1891">INDEX('Deal Info'!D:D, MATCH(A1891,'Deal Info'!A:A, 0))</f>
        <v>#N/A</v>
      </c>
      <c r="AG1891" s="38" t="e">
        <f t="array" ref="AG1891">INDEX('Deal Info'!G:G, MATCH(A1891,'Deal Info'!A:A, 0))</f>
        <v>#N/A</v>
      </c>
    </row>
    <row r="1892" spans="1:33" ht="14.25" hidden="1" x14ac:dyDescent="0.2">
      <c r="A1892" s="18" t="b">
        <f t="array" ref="A1892">IF(G1892='Room Info'!$B$1, INDEX('Room Info'!$A$2:$A2446, MATCH(B1892,'Room Info'!$B$2:$B2446, 0)),IF(G1892='Room Info'!$C$1, INDEX('Room Info'!$A$2:$A2446, MATCH(B1892,'Room Info'!$C$2:$C2446, 0)),IF(G1892='Room Info'!$D$1, INDEX('Room Info'!$A$2:$A2446, MATCH(B1892,'Room Info'!$D$2:$D2446, 0)),IF(G1892='Room Info'!$E$1, INDEX('Room Info'!$A$2:$A2446, MATCH(B1892,'Room Info'!$E$2:$E2446, 0)),IF(G1892='Room Info'!$F$1, INDEX('Room Info'!$A$2:$A2446, MATCH(B1892,'Room Info'!$F$2:$F2446, 0)),IF(G1892='Room Info'!$H$1, INDEX('Room Info'!$A$2:$A2446, MATCH(B1892,'Room Info'!$H$2:$H2446, 0)),IF(G1892='Room Info'!$G$1, INDEX('Room Info'!$A$2:$A2446, MATCH(B1892,'Room Info'!$G$2:$G2446, 0)))))))))</f>
        <v>0</v>
      </c>
      <c r="B1892" s="96"/>
      <c r="C1892" s="111"/>
      <c r="D1892" s="111"/>
      <c r="E1892" s="80"/>
      <c r="F1892" s="133"/>
      <c r="G1892" s="65"/>
      <c r="H1892" s="65"/>
      <c r="I1892" s="65"/>
      <c r="J1892" s="39" t="s">
        <v>334</v>
      </c>
      <c r="K1892" s="112"/>
      <c r="L1892" s="113"/>
      <c r="M1892" s="62"/>
      <c r="N1892" s="28" t="e">
        <f t="shared" si="8"/>
        <v>#VALUE!</v>
      </c>
      <c r="O1892" s="65"/>
      <c r="P1892" s="29" t="s">
        <v>334</v>
      </c>
      <c r="Q1892" s="55"/>
      <c r="R1892" s="31" t="e">
        <f t="shared" si="9"/>
        <v>#VALUE!</v>
      </c>
      <c r="S1892" s="66"/>
      <c r="T1892" s="32" t="e">
        <f t="shared" si="10"/>
        <v>#VALUE!</v>
      </c>
      <c r="U1892" s="57"/>
      <c r="V1892" s="58"/>
      <c r="W1892" s="58"/>
      <c r="X1892" s="30" t="e">
        <f t="shared" si="11"/>
        <v>#N/A</v>
      </c>
      <c r="Y1892" s="30" t="e">
        <f t="shared" si="12"/>
        <v>#N/A</v>
      </c>
      <c r="Z1892" s="35" t="e">
        <f t="shared" si="13"/>
        <v>#VALUE!</v>
      </c>
      <c r="AA1892" s="29" t="e">
        <f t="shared" si="14"/>
        <v>#VALUE!</v>
      </c>
      <c r="AB1892" s="36" t="e">
        <f t="shared" si="15"/>
        <v>#VALUE!</v>
      </c>
      <c r="AC1892" s="37" t="b">
        <v>0</v>
      </c>
      <c r="AD1892" s="61" t="str">
        <f t="shared" si="16"/>
        <v>USD</v>
      </c>
      <c r="AE1892" s="37"/>
      <c r="AF1892" s="37" t="e">
        <f t="array" ref="AF1892">INDEX('Deal Info'!D:D, MATCH(A1892,'Deal Info'!A:A, 0))</f>
        <v>#N/A</v>
      </c>
      <c r="AG1892" s="38" t="e">
        <f t="array" ref="AG1892">INDEX('Deal Info'!G:G, MATCH(A1892,'Deal Info'!A:A, 0))</f>
        <v>#N/A</v>
      </c>
    </row>
    <row r="1893" spans="1:33" ht="14.25" hidden="1" x14ac:dyDescent="0.2">
      <c r="A1893" s="18" t="b">
        <f t="array" ref="A1893">IF(G1893='Room Info'!$B$1, INDEX('Room Info'!$A$2:$A2446, MATCH(B1893,'Room Info'!$B$2:$B2446, 0)),IF(G1893='Room Info'!$C$1, INDEX('Room Info'!$A$2:$A2446, MATCH(B1893,'Room Info'!$C$2:$C2446, 0)),IF(G1893='Room Info'!$D$1, INDEX('Room Info'!$A$2:$A2446, MATCH(B1893,'Room Info'!$D$2:$D2446, 0)),IF(G1893='Room Info'!$E$1, INDEX('Room Info'!$A$2:$A2446, MATCH(B1893,'Room Info'!$E$2:$E2446, 0)),IF(G1893='Room Info'!$F$1, INDEX('Room Info'!$A$2:$A2446, MATCH(B1893,'Room Info'!$F$2:$F2446, 0)),IF(G1893='Room Info'!$H$1, INDEX('Room Info'!$A$2:$A2446, MATCH(B1893,'Room Info'!$H$2:$H2446, 0)),IF(G1893='Room Info'!$G$1, INDEX('Room Info'!$A$2:$A2446, MATCH(B1893,'Room Info'!$G$2:$G2446, 0)))))))))</f>
        <v>0</v>
      </c>
      <c r="B1893" s="65"/>
      <c r="C1893" s="111"/>
      <c r="D1893" s="111"/>
      <c r="E1893" s="80"/>
      <c r="F1893" s="96"/>
      <c r="G1893" s="65"/>
      <c r="H1893" s="110"/>
      <c r="I1893" s="110"/>
      <c r="J1893" s="39" t="s">
        <v>334</v>
      </c>
      <c r="K1893" s="134"/>
      <c r="L1893" s="135"/>
      <c r="M1893" s="62"/>
      <c r="N1893" s="28" t="e">
        <f t="shared" si="8"/>
        <v>#VALUE!</v>
      </c>
      <c r="O1893" s="96"/>
      <c r="P1893" s="29" t="s">
        <v>334</v>
      </c>
      <c r="Q1893" s="55"/>
      <c r="R1893" s="31" t="e">
        <f t="shared" si="9"/>
        <v>#VALUE!</v>
      </c>
      <c r="S1893" s="97"/>
      <c r="T1893" s="32" t="e">
        <f t="shared" si="10"/>
        <v>#VALUE!</v>
      </c>
      <c r="U1893" s="57"/>
      <c r="V1893" s="58"/>
      <c r="W1893" s="58"/>
      <c r="X1893" s="30" t="e">
        <f t="shared" si="11"/>
        <v>#N/A</v>
      </c>
      <c r="Y1893" s="30" t="e">
        <f t="shared" si="12"/>
        <v>#N/A</v>
      </c>
      <c r="Z1893" s="35" t="e">
        <f t="shared" si="13"/>
        <v>#VALUE!</v>
      </c>
      <c r="AA1893" s="29" t="e">
        <f t="shared" si="14"/>
        <v>#VALUE!</v>
      </c>
      <c r="AB1893" s="36" t="e">
        <f t="shared" si="15"/>
        <v>#VALUE!</v>
      </c>
      <c r="AC1893" s="37" t="b">
        <v>0</v>
      </c>
      <c r="AD1893" s="61" t="str">
        <f t="shared" si="16"/>
        <v>USD</v>
      </c>
      <c r="AE1893" s="37"/>
      <c r="AF1893" s="37" t="e">
        <f t="array" ref="AF1893">INDEX('Deal Info'!D:D, MATCH(A1893,'Deal Info'!A:A, 0))</f>
        <v>#N/A</v>
      </c>
      <c r="AG1893" s="38" t="e">
        <f t="array" ref="AG1893">INDEX('Deal Info'!G:G, MATCH(A1893,'Deal Info'!A:A, 0))</f>
        <v>#N/A</v>
      </c>
    </row>
    <row r="1894" spans="1:33" ht="14.25" hidden="1" x14ac:dyDescent="0.2">
      <c r="A1894" s="18" t="b">
        <f t="array" ref="A1894">IF(G1894='Room Info'!$B$1, INDEX('Room Info'!$A$2:$A2446, MATCH(B1894,'Room Info'!$B$2:$B2446, 0)),IF(G1894='Room Info'!$C$1, INDEX('Room Info'!$A$2:$A2446, MATCH(B1894,'Room Info'!$C$2:$C2446, 0)),IF(G1894='Room Info'!$D$1, INDEX('Room Info'!$A$2:$A2446, MATCH(B1894,'Room Info'!$D$2:$D2446, 0)),IF(G1894='Room Info'!$E$1, INDEX('Room Info'!$A$2:$A2446, MATCH(B1894,'Room Info'!$E$2:$E2446, 0)),IF(G1894='Room Info'!$F$1, INDEX('Room Info'!$A$2:$A2446, MATCH(B1894,'Room Info'!$F$2:$F2446, 0)),IF(G1894='Room Info'!$H$1, INDEX('Room Info'!$A$2:$A2446, MATCH(B1894,'Room Info'!$H$2:$H2446, 0)),IF(G1894='Room Info'!$G$1, INDEX('Room Info'!$A$2:$A2446, MATCH(B1894,'Room Info'!$G$2:$G2446, 0)))))))))</f>
        <v>0</v>
      </c>
      <c r="B1894" s="65"/>
      <c r="C1894" s="111"/>
      <c r="D1894" s="111"/>
      <c r="E1894" s="80"/>
      <c r="F1894" s="96"/>
      <c r="G1894" s="65"/>
      <c r="H1894" s="110"/>
      <c r="I1894" s="110"/>
      <c r="J1894" s="39" t="s">
        <v>334</v>
      </c>
      <c r="K1894" s="134"/>
      <c r="L1894" s="135"/>
      <c r="M1894" s="62"/>
      <c r="N1894" s="28" t="e">
        <f t="shared" si="8"/>
        <v>#VALUE!</v>
      </c>
      <c r="O1894" s="96"/>
      <c r="P1894" s="29" t="s">
        <v>334</v>
      </c>
      <c r="Q1894" s="55"/>
      <c r="R1894" s="31" t="e">
        <f t="shared" si="9"/>
        <v>#VALUE!</v>
      </c>
      <c r="S1894" s="97"/>
      <c r="T1894" s="32" t="e">
        <f t="shared" si="10"/>
        <v>#VALUE!</v>
      </c>
      <c r="U1894" s="57"/>
      <c r="V1894" s="58"/>
      <c r="W1894" s="58"/>
      <c r="X1894" s="30" t="e">
        <f t="shared" si="11"/>
        <v>#N/A</v>
      </c>
      <c r="Y1894" s="30" t="e">
        <f t="shared" si="12"/>
        <v>#N/A</v>
      </c>
      <c r="Z1894" s="35" t="e">
        <f t="shared" si="13"/>
        <v>#VALUE!</v>
      </c>
      <c r="AA1894" s="29" t="e">
        <f t="shared" si="14"/>
        <v>#VALUE!</v>
      </c>
      <c r="AB1894" s="36" t="e">
        <f t="shared" si="15"/>
        <v>#VALUE!</v>
      </c>
      <c r="AC1894" s="37" t="b">
        <v>0</v>
      </c>
      <c r="AD1894" s="61" t="str">
        <f t="shared" si="16"/>
        <v>USD</v>
      </c>
      <c r="AE1894" s="37"/>
      <c r="AF1894" s="37" t="e">
        <f t="array" ref="AF1894">INDEX('Deal Info'!D:D, MATCH(A1894,'Deal Info'!A:A, 0))</f>
        <v>#N/A</v>
      </c>
      <c r="AG1894" s="38" t="e">
        <f t="array" ref="AG1894">INDEX('Deal Info'!G:G, MATCH(A1894,'Deal Info'!A:A, 0))</f>
        <v>#N/A</v>
      </c>
    </row>
    <row r="1895" spans="1:33" ht="14.25" hidden="1" x14ac:dyDescent="0.2">
      <c r="A1895" s="18" t="b">
        <f t="array" ref="A1895">IF(G1895='Room Info'!$B$1, INDEX('Room Info'!$A$2:$A2446, MATCH(B1895,'Room Info'!$B$2:$B2446, 0)),IF(G1895='Room Info'!$C$1, INDEX('Room Info'!$A$2:$A2446, MATCH(B1895,'Room Info'!$C$2:$C2446, 0)),IF(G1895='Room Info'!$D$1, INDEX('Room Info'!$A$2:$A2446, MATCH(B1895,'Room Info'!$D$2:$D2446, 0)),IF(G1895='Room Info'!$E$1, INDEX('Room Info'!$A$2:$A2446, MATCH(B1895,'Room Info'!$E$2:$E2446, 0)),IF(G1895='Room Info'!$F$1, INDEX('Room Info'!$A$2:$A2446, MATCH(B1895,'Room Info'!$F$2:$F2446, 0)),IF(G1895='Room Info'!$H$1, INDEX('Room Info'!$A$2:$A2446, MATCH(B1895,'Room Info'!$H$2:$H2446, 0)),IF(G1895='Room Info'!$G$1, INDEX('Room Info'!$A$2:$A2446, MATCH(B1895,'Room Info'!$G$2:$G2446, 0)))))))))</f>
        <v>0</v>
      </c>
      <c r="B1895" s="65"/>
      <c r="C1895" s="111"/>
      <c r="D1895" s="111"/>
      <c r="E1895" s="80"/>
      <c r="F1895" s="96"/>
      <c r="G1895" s="65"/>
      <c r="H1895" s="110"/>
      <c r="I1895" s="110"/>
      <c r="J1895" s="39" t="s">
        <v>334</v>
      </c>
      <c r="K1895" s="134"/>
      <c r="L1895" s="135"/>
      <c r="M1895" s="62"/>
      <c r="N1895" s="28" t="e">
        <f t="shared" si="8"/>
        <v>#VALUE!</v>
      </c>
      <c r="O1895" s="96"/>
      <c r="P1895" s="29" t="s">
        <v>334</v>
      </c>
      <c r="Q1895" s="55"/>
      <c r="R1895" s="31" t="e">
        <f t="shared" si="9"/>
        <v>#VALUE!</v>
      </c>
      <c r="S1895" s="97"/>
      <c r="T1895" s="32" t="e">
        <f t="shared" si="10"/>
        <v>#VALUE!</v>
      </c>
      <c r="U1895" s="57"/>
      <c r="V1895" s="58"/>
      <c r="W1895" s="58"/>
      <c r="X1895" s="30" t="e">
        <f t="shared" si="11"/>
        <v>#N/A</v>
      </c>
      <c r="Y1895" s="30" t="e">
        <f t="shared" si="12"/>
        <v>#N/A</v>
      </c>
      <c r="Z1895" s="35" t="e">
        <f t="shared" si="13"/>
        <v>#VALUE!</v>
      </c>
      <c r="AA1895" s="29" t="e">
        <f t="shared" si="14"/>
        <v>#VALUE!</v>
      </c>
      <c r="AB1895" s="36" t="e">
        <f t="shared" si="15"/>
        <v>#VALUE!</v>
      </c>
      <c r="AC1895" s="37" t="b">
        <v>0</v>
      </c>
      <c r="AD1895" s="61" t="str">
        <f t="shared" si="16"/>
        <v>USD</v>
      </c>
      <c r="AE1895" s="37"/>
      <c r="AF1895" s="37" t="e">
        <f t="array" ref="AF1895">INDEX('Deal Info'!D:D, MATCH(A1895,'Deal Info'!A:A, 0))</f>
        <v>#N/A</v>
      </c>
      <c r="AG1895" s="38" t="e">
        <f t="array" ref="AG1895">INDEX('Deal Info'!G:G, MATCH(A1895,'Deal Info'!A:A, 0))</f>
        <v>#N/A</v>
      </c>
    </row>
    <row r="1896" spans="1:33" ht="14.25" hidden="1" x14ac:dyDescent="0.2">
      <c r="A1896" s="18" t="b">
        <f t="array" ref="A1896">IF(G1896='Room Info'!$B$1, INDEX('Room Info'!$A$2:$A2446, MATCH(B1896,'Room Info'!$B$2:$B2446, 0)),IF(G1896='Room Info'!$C$1, INDEX('Room Info'!$A$2:$A2446, MATCH(B1896,'Room Info'!$C$2:$C2446, 0)),IF(G1896='Room Info'!$D$1, INDEX('Room Info'!$A$2:$A2446, MATCH(B1896,'Room Info'!$D$2:$D2446, 0)),IF(G1896='Room Info'!$E$1, INDEX('Room Info'!$A$2:$A2446, MATCH(B1896,'Room Info'!$E$2:$E2446, 0)),IF(G1896='Room Info'!$F$1, INDEX('Room Info'!$A$2:$A2446, MATCH(B1896,'Room Info'!$F$2:$F2446, 0)),IF(G1896='Room Info'!$H$1, INDEX('Room Info'!$A$2:$A2446, MATCH(B1896,'Room Info'!$H$2:$H2446, 0)),IF(G1896='Room Info'!$G$1, INDEX('Room Info'!$A$2:$A2446, MATCH(B1896,'Room Info'!$G$2:$G2446, 0)))))))))</f>
        <v>0</v>
      </c>
      <c r="B1896" s="96"/>
      <c r="C1896" s="111"/>
      <c r="D1896" s="111"/>
      <c r="E1896" s="80"/>
      <c r="F1896" s="96"/>
      <c r="G1896" s="65"/>
      <c r="H1896" s="110"/>
      <c r="I1896" s="110"/>
      <c r="J1896" s="39" t="s">
        <v>334</v>
      </c>
      <c r="K1896" s="134"/>
      <c r="L1896" s="135"/>
      <c r="M1896" s="62"/>
      <c r="N1896" s="28" t="e">
        <f t="shared" si="8"/>
        <v>#VALUE!</v>
      </c>
      <c r="O1896" s="96"/>
      <c r="P1896" s="29" t="s">
        <v>334</v>
      </c>
      <c r="Q1896" s="55"/>
      <c r="R1896" s="31" t="e">
        <f t="shared" si="9"/>
        <v>#VALUE!</v>
      </c>
      <c r="S1896" s="97"/>
      <c r="T1896" s="32" t="e">
        <f t="shared" si="10"/>
        <v>#VALUE!</v>
      </c>
      <c r="U1896" s="57"/>
      <c r="V1896" s="58"/>
      <c r="W1896" s="58"/>
      <c r="X1896" s="30" t="e">
        <f t="shared" si="11"/>
        <v>#N/A</v>
      </c>
      <c r="Y1896" s="30" t="e">
        <f t="shared" si="12"/>
        <v>#N/A</v>
      </c>
      <c r="Z1896" s="35" t="e">
        <f t="shared" si="13"/>
        <v>#VALUE!</v>
      </c>
      <c r="AA1896" s="29" t="e">
        <f t="shared" si="14"/>
        <v>#VALUE!</v>
      </c>
      <c r="AB1896" s="36" t="e">
        <f t="shared" si="15"/>
        <v>#VALUE!</v>
      </c>
      <c r="AC1896" s="37" t="b">
        <v>0</v>
      </c>
      <c r="AD1896" s="61" t="str">
        <f t="shared" si="16"/>
        <v>USD</v>
      </c>
      <c r="AE1896" s="37"/>
      <c r="AF1896" s="37" t="e">
        <f t="array" ref="AF1896">INDEX('Deal Info'!D:D, MATCH(A1896,'Deal Info'!A:A, 0))</f>
        <v>#N/A</v>
      </c>
      <c r="AG1896" s="38" t="e">
        <f t="array" ref="AG1896">INDEX('Deal Info'!G:G, MATCH(A1896,'Deal Info'!A:A, 0))</f>
        <v>#N/A</v>
      </c>
    </row>
    <row r="1897" spans="1:33" ht="14.25" hidden="1" x14ac:dyDescent="0.2">
      <c r="A1897" s="18" t="b">
        <f t="array" ref="A1897">IF(G1897='Room Info'!$B$1, INDEX('Room Info'!$A$2:$A2446, MATCH(B1897,'Room Info'!$B$2:$B2446, 0)),IF(G1897='Room Info'!$C$1, INDEX('Room Info'!$A$2:$A2446, MATCH(B1897,'Room Info'!$C$2:$C2446, 0)),IF(G1897='Room Info'!$D$1, INDEX('Room Info'!$A$2:$A2446, MATCH(B1897,'Room Info'!$D$2:$D2446, 0)),IF(G1897='Room Info'!$E$1, INDEX('Room Info'!$A$2:$A2446, MATCH(B1897,'Room Info'!$E$2:$E2446, 0)),IF(G1897='Room Info'!$F$1, INDEX('Room Info'!$A$2:$A2446, MATCH(B1897,'Room Info'!$F$2:$F2446, 0)),IF(G1897='Room Info'!$H$1, INDEX('Room Info'!$A$2:$A2446, MATCH(B1897,'Room Info'!$H$2:$H2446, 0)),IF(G1897='Room Info'!$G$1, INDEX('Room Info'!$A$2:$A2446, MATCH(B1897,'Room Info'!$G$2:$G2446, 0)))))))))</f>
        <v>0</v>
      </c>
      <c r="B1897" s="96"/>
      <c r="C1897" s="111"/>
      <c r="D1897" s="111"/>
      <c r="E1897" s="80"/>
      <c r="F1897" s="96"/>
      <c r="G1897" s="65"/>
      <c r="H1897" s="110"/>
      <c r="I1897" s="110"/>
      <c r="J1897" s="39" t="s">
        <v>334</v>
      </c>
      <c r="K1897" s="134"/>
      <c r="L1897" s="135"/>
      <c r="M1897" s="62"/>
      <c r="N1897" s="28" t="e">
        <f t="shared" si="8"/>
        <v>#VALUE!</v>
      </c>
      <c r="O1897" s="96"/>
      <c r="P1897" s="29" t="s">
        <v>334</v>
      </c>
      <c r="Q1897" s="55"/>
      <c r="R1897" s="31" t="e">
        <f t="shared" si="9"/>
        <v>#VALUE!</v>
      </c>
      <c r="S1897" s="97"/>
      <c r="T1897" s="32" t="e">
        <f t="shared" si="10"/>
        <v>#VALUE!</v>
      </c>
      <c r="U1897" s="57"/>
      <c r="V1897" s="58"/>
      <c r="W1897" s="58"/>
      <c r="X1897" s="30" t="e">
        <f t="shared" si="11"/>
        <v>#N/A</v>
      </c>
      <c r="Y1897" s="30" t="e">
        <f t="shared" si="12"/>
        <v>#N/A</v>
      </c>
      <c r="Z1897" s="35" t="e">
        <f t="shared" si="13"/>
        <v>#VALUE!</v>
      </c>
      <c r="AA1897" s="29" t="e">
        <f t="shared" si="14"/>
        <v>#VALUE!</v>
      </c>
      <c r="AB1897" s="36" t="e">
        <f t="shared" si="15"/>
        <v>#VALUE!</v>
      </c>
      <c r="AC1897" s="37" t="b">
        <v>0</v>
      </c>
      <c r="AD1897" s="61" t="str">
        <f t="shared" si="16"/>
        <v>USD</v>
      </c>
      <c r="AE1897" s="37"/>
      <c r="AF1897" s="37" t="e">
        <f t="array" ref="AF1897">INDEX('Deal Info'!D:D, MATCH(A1897,'Deal Info'!A:A, 0))</f>
        <v>#N/A</v>
      </c>
      <c r="AG1897" s="38" t="e">
        <f t="array" ref="AG1897">INDEX('Deal Info'!G:G, MATCH(A1897,'Deal Info'!A:A, 0))</f>
        <v>#N/A</v>
      </c>
    </row>
    <row r="1898" spans="1:33" ht="14.25" hidden="1" x14ac:dyDescent="0.2">
      <c r="A1898" s="18" t="b">
        <f t="array" ref="A1898">IF(G1898='Room Info'!$B$1, INDEX('Room Info'!$A$2:$A2446, MATCH(B1898,'Room Info'!$B$2:$B2446, 0)),IF(G1898='Room Info'!$C$1, INDEX('Room Info'!$A$2:$A2446, MATCH(B1898,'Room Info'!$C$2:$C2446, 0)),IF(G1898='Room Info'!$D$1, INDEX('Room Info'!$A$2:$A2446, MATCH(B1898,'Room Info'!$D$2:$D2446, 0)),IF(G1898='Room Info'!$E$1, INDEX('Room Info'!$A$2:$A2446, MATCH(B1898,'Room Info'!$E$2:$E2446, 0)),IF(G1898='Room Info'!$F$1, INDEX('Room Info'!$A$2:$A2446, MATCH(B1898,'Room Info'!$F$2:$F2446, 0)),IF(G1898='Room Info'!$H$1, INDEX('Room Info'!$A$2:$A2446, MATCH(B1898,'Room Info'!$H$2:$H2446, 0)),IF(G1898='Room Info'!$G$1, INDEX('Room Info'!$A$2:$A2446, MATCH(B1898,'Room Info'!$G$2:$G2446, 0)))))))))</f>
        <v>0</v>
      </c>
      <c r="B1898" s="96"/>
      <c r="C1898" s="136"/>
      <c r="D1898" s="111"/>
      <c r="E1898" s="80"/>
      <c r="F1898" s="96"/>
      <c r="G1898" s="65"/>
      <c r="H1898" s="110"/>
      <c r="I1898" s="110"/>
      <c r="J1898" s="39" t="s">
        <v>334</v>
      </c>
      <c r="K1898" s="134"/>
      <c r="L1898" s="135"/>
      <c r="M1898" s="62"/>
      <c r="N1898" s="28" t="e">
        <f t="shared" si="8"/>
        <v>#VALUE!</v>
      </c>
      <c r="O1898" s="96"/>
      <c r="P1898" s="29" t="s">
        <v>334</v>
      </c>
      <c r="Q1898" s="55"/>
      <c r="R1898" s="31" t="e">
        <f t="shared" si="9"/>
        <v>#VALUE!</v>
      </c>
      <c r="S1898" s="97"/>
      <c r="T1898" s="32" t="e">
        <f t="shared" si="10"/>
        <v>#VALUE!</v>
      </c>
      <c r="U1898" s="57"/>
      <c r="V1898" s="58"/>
      <c r="W1898" s="58"/>
      <c r="X1898" s="30" t="e">
        <f t="shared" si="11"/>
        <v>#N/A</v>
      </c>
      <c r="Y1898" s="30" t="e">
        <f t="shared" si="12"/>
        <v>#N/A</v>
      </c>
      <c r="Z1898" s="35" t="e">
        <f t="shared" si="13"/>
        <v>#VALUE!</v>
      </c>
      <c r="AA1898" s="29" t="e">
        <f t="shared" si="14"/>
        <v>#VALUE!</v>
      </c>
      <c r="AB1898" s="36" t="e">
        <f t="shared" si="15"/>
        <v>#VALUE!</v>
      </c>
      <c r="AC1898" s="37" t="b">
        <v>0</v>
      </c>
      <c r="AD1898" s="61" t="str">
        <f t="shared" si="16"/>
        <v>USD</v>
      </c>
      <c r="AE1898" s="37"/>
      <c r="AF1898" s="37" t="e">
        <f t="array" ref="AF1898">INDEX('Deal Info'!D:D, MATCH(A1898,'Deal Info'!A:A, 0))</f>
        <v>#N/A</v>
      </c>
      <c r="AG1898" s="38" t="e">
        <f t="array" ref="AG1898">INDEX('Deal Info'!G:G, MATCH(A1898,'Deal Info'!A:A, 0))</f>
        <v>#N/A</v>
      </c>
    </row>
    <row r="1899" spans="1:33" ht="14.25" hidden="1" x14ac:dyDescent="0.2">
      <c r="A1899" s="18" t="b">
        <f t="array" ref="A1899">IF(G1899='Room Info'!$B$1, INDEX('Room Info'!$A$2:$A2446, MATCH(B1899,'Room Info'!$B$2:$B2446, 0)),IF(G1899='Room Info'!$C$1, INDEX('Room Info'!$A$2:$A2446, MATCH(B1899,'Room Info'!$C$2:$C2446, 0)),IF(G1899='Room Info'!$D$1, INDEX('Room Info'!$A$2:$A2446, MATCH(B1899,'Room Info'!$D$2:$D2446, 0)),IF(G1899='Room Info'!$E$1, INDEX('Room Info'!$A$2:$A2446, MATCH(B1899,'Room Info'!$E$2:$E2446, 0)),IF(G1899='Room Info'!$F$1, INDEX('Room Info'!$A$2:$A2446, MATCH(B1899,'Room Info'!$F$2:$F2446, 0)),IF(G1899='Room Info'!$H$1, INDEX('Room Info'!$A$2:$A2446, MATCH(B1899,'Room Info'!$H$2:$H2446, 0)),IF(G1899='Room Info'!$G$1, INDEX('Room Info'!$A$2:$A2446, MATCH(B1899,'Room Info'!$G$2:$G2446, 0)))))))))</f>
        <v>0</v>
      </c>
      <c r="B1899" s="96"/>
      <c r="C1899" s="136"/>
      <c r="D1899" s="136"/>
      <c r="E1899" s="137"/>
      <c r="F1899" s="133"/>
      <c r="G1899" s="96"/>
      <c r="H1899" s="100"/>
      <c r="I1899" s="100"/>
      <c r="J1899" s="39" t="s">
        <v>334</v>
      </c>
      <c r="K1899" s="134"/>
      <c r="L1899" s="135"/>
      <c r="M1899" s="79"/>
      <c r="N1899" s="28" t="e">
        <f t="shared" si="8"/>
        <v>#VALUE!</v>
      </c>
      <c r="O1899" s="96"/>
      <c r="P1899" s="29" t="s">
        <v>334</v>
      </c>
      <c r="Q1899" s="55"/>
      <c r="R1899" s="31" t="e">
        <f t="shared" si="9"/>
        <v>#VALUE!</v>
      </c>
      <c r="S1899" s="97"/>
      <c r="T1899" s="32" t="e">
        <f t="shared" si="10"/>
        <v>#VALUE!</v>
      </c>
      <c r="U1899" s="57"/>
      <c r="V1899" s="58"/>
      <c r="W1899" s="58"/>
      <c r="X1899" s="30" t="e">
        <f t="shared" si="11"/>
        <v>#N/A</v>
      </c>
      <c r="Y1899" s="30" t="e">
        <f t="shared" si="12"/>
        <v>#N/A</v>
      </c>
      <c r="Z1899" s="35" t="e">
        <f t="shared" si="13"/>
        <v>#VALUE!</v>
      </c>
      <c r="AA1899" s="29" t="e">
        <f t="shared" si="14"/>
        <v>#VALUE!</v>
      </c>
      <c r="AB1899" s="36" t="e">
        <f t="shared" si="15"/>
        <v>#VALUE!</v>
      </c>
      <c r="AC1899" s="37" t="b">
        <v>0</v>
      </c>
      <c r="AD1899" s="61" t="str">
        <f t="shared" si="16"/>
        <v>USD</v>
      </c>
      <c r="AE1899" s="37"/>
      <c r="AF1899" s="37" t="e">
        <f t="array" ref="AF1899">INDEX('Deal Info'!D:D, MATCH(A1899,'Deal Info'!A:A, 0))</f>
        <v>#N/A</v>
      </c>
      <c r="AG1899" s="38" t="e">
        <f t="array" ref="AG1899">INDEX('Deal Info'!G:G, MATCH(A1899,'Deal Info'!A:A, 0))</f>
        <v>#N/A</v>
      </c>
    </row>
    <row r="1900" spans="1:33" ht="14.25" hidden="1" x14ac:dyDescent="0.2">
      <c r="A1900" s="18" t="b">
        <f t="array" ref="A1900">IF(G1900='Room Info'!$B$1, INDEX('Room Info'!$A$2:$A2446, MATCH(B1900,'Room Info'!$B$2:$B2446, 0)),IF(G1900='Room Info'!$C$1, INDEX('Room Info'!$A$2:$A2446, MATCH(B1900,'Room Info'!$C$2:$C2446, 0)),IF(G1900='Room Info'!$D$1, INDEX('Room Info'!$A$2:$A2446, MATCH(B1900,'Room Info'!$D$2:$D2446, 0)),IF(G1900='Room Info'!$E$1, INDEX('Room Info'!$A$2:$A2446, MATCH(B1900,'Room Info'!$E$2:$E2446, 0)),IF(G1900='Room Info'!$F$1, INDEX('Room Info'!$A$2:$A2446, MATCH(B1900,'Room Info'!$F$2:$F2446, 0)),IF(G1900='Room Info'!$H$1, INDEX('Room Info'!$A$2:$A2446, MATCH(B1900,'Room Info'!$H$2:$H2446, 0)),IF(G1900='Room Info'!$G$1, INDEX('Room Info'!$A$2:$A2446, MATCH(B1900,'Room Info'!$G$2:$G2446, 0)))))))))</f>
        <v>0</v>
      </c>
      <c r="B1900" s="96"/>
      <c r="C1900" s="136"/>
      <c r="D1900" s="136"/>
      <c r="E1900" s="137"/>
      <c r="F1900" s="133"/>
      <c r="G1900" s="96"/>
      <c r="H1900" s="100"/>
      <c r="I1900" s="100"/>
      <c r="J1900" s="39" t="s">
        <v>334</v>
      </c>
      <c r="K1900" s="134"/>
      <c r="L1900" s="135"/>
      <c r="M1900" s="79"/>
      <c r="N1900" s="28" t="e">
        <f t="shared" si="8"/>
        <v>#VALUE!</v>
      </c>
      <c r="O1900" s="96"/>
      <c r="P1900" s="29" t="s">
        <v>334</v>
      </c>
      <c r="Q1900" s="55"/>
      <c r="R1900" s="31" t="e">
        <f t="shared" si="9"/>
        <v>#VALUE!</v>
      </c>
      <c r="S1900" s="97"/>
      <c r="T1900" s="32" t="e">
        <f t="shared" si="10"/>
        <v>#VALUE!</v>
      </c>
      <c r="U1900" s="57"/>
      <c r="V1900" s="58"/>
      <c r="W1900" s="58"/>
      <c r="X1900" s="30" t="e">
        <f t="shared" si="11"/>
        <v>#N/A</v>
      </c>
      <c r="Y1900" s="30" t="e">
        <f t="shared" si="12"/>
        <v>#N/A</v>
      </c>
      <c r="Z1900" s="35" t="e">
        <f t="shared" si="13"/>
        <v>#VALUE!</v>
      </c>
      <c r="AA1900" s="29" t="e">
        <f t="shared" si="14"/>
        <v>#VALUE!</v>
      </c>
      <c r="AB1900" s="36" t="e">
        <f t="shared" si="15"/>
        <v>#VALUE!</v>
      </c>
      <c r="AC1900" s="37" t="b">
        <v>0</v>
      </c>
      <c r="AD1900" s="61" t="str">
        <f t="shared" si="16"/>
        <v>USD</v>
      </c>
      <c r="AE1900" s="37"/>
      <c r="AF1900" s="37" t="e">
        <f t="array" ref="AF1900">INDEX('Deal Info'!D:D, MATCH(A1900,'Deal Info'!A:A, 0))</f>
        <v>#N/A</v>
      </c>
      <c r="AG1900" s="38" t="e">
        <f t="array" ref="AG1900">INDEX('Deal Info'!G:G, MATCH(A1900,'Deal Info'!A:A, 0))</f>
        <v>#N/A</v>
      </c>
    </row>
    <row r="1901" spans="1:33" ht="14.25" hidden="1" x14ac:dyDescent="0.2">
      <c r="A1901" s="18" t="b">
        <f t="array" ref="A1901">IF(G1901='Room Info'!$B$1, INDEX('Room Info'!$A$2:$A2446, MATCH(B1901,'Room Info'!$B$2:$B2446, 0)),IF(G1901='Room Info'!$C$1, INDEX('Room Info'!$A$2:$A2446, MATCH(B1901,'Room Info'!$C$2:$C2446, 0)),IF(G1901='Room Info'!$D$1, INDEX('Room Info'!$A$2:$A2446, MATCH(B1901,'Room Info'!$D$2:$D2446, 0)),IF(G1901='Room Info'!$E$1, INDEX('Room Info'!$A$2:$A2446, MATCH(B1901,'Room Info'!$E$2:$E2446, 0)),IF(G1901='Room Info'!$F$1, INDEX('Room Info'!$A$2:$A2446, MATCH(B1901,'Room Info'!$F$2:$F2446, 0)),IF(G1901='Room Info'!$H$1, INDEX('Room Info'!$A$2:$A2446, MATCH(B1901,'Room Info'!$H$2:$H2446, 0)),IF(G1901='Room Info'!$G$1, INDEX('Room Info'!$A$2:$A2446, MATCH(B1901,'Room Info'!$G$2:$G2446, 0)))))))))</f>
        <v>0</v>
      </c>
      <c r="B1901" s="96"/>
      <c r="C1901" s="111"/>
      <c r="D1901" s="111"/>
      <c r="E1901" s="80"/>
      <c r="F1901" s="133"/>
      <c r="G1901" s="65"/>
      <c r="H1901" s="110"/>
      <c r="I1901" s="110"/>
      <c r="J1901" s="39" t="s">
        <v>334</v>
      </c>
      <c r="K1901" s="112"/>
      <c r="L1901" s="113"/>
      <c r="M1901" s="62"/>
      <c r="N1901" s="28" t="e">
        <f t="shared" si="8"/>
        <v>#VALUE!</v>
      </c>
      <c r="O1901" s="65"/>
      <c r="P1901" s="29" t="s">
        <v>334</v>
      </c>
      <c r="Q1901" s="55"/>
      <c r="R1901" s="31" t="e">
        <f t="shared" si="9"/>
        <v>#VALUE!</v>
      </c>
      <c r="S1901" s="66"/>
      <c r="T1901" s="32" t="e">
        <f t="shared" si="10"/>
        <v>#VALUE!</v>
      </c>
      <c r="U1901" s="57"/>
      <c r="V1901" s="58"/>
      <c r="W1901" s="58"/>
      <c r="X1901" s="30" t="e">
        <f t="shared" si="11"/>
        <v>#N/A</v>
      </c>
      <c r="Y1901" s="30" t="e">
        <f t="shared" si="12"/>
        <v>#N/A</v>
      </c>
      <c r="Z1901" s="35" t="e">
        <f t="shared" si="13"/>
        <v>#VALUE!</v>
      </c>
      <c r="AA1901" s="29" t="e">
        <f t="shared" si="14"/>
        <v>#VALUE!</v>
      </c>
      <c r="AB1901" s="36" t="e">
        <f t="shared" si="15"/>
        <v>#VALUE!</v>
      </c>
      <c r="AC1901" s="37" t="b">
        <v>0</v>
      </c>
      <c r="AD1901" s="61" t="str">
        <f t="shared" si="16"/>
        <v>USD</v>
      </c>
      <c r="AE1901" s="37"/>
      <c r="AF1901" s="37" t="e">
        <f t="array" ref="AF1901">INDEX('Deal Info'!D:D, MATCH(A1901,'Deal Info'!A:A, 0))</f>
        <v>#N/A</v>
      </c>
      <c r="AG1901" s="38" t="e">
        <f t="array" ref="AG1901">INDEX('Deal Info'!G:G, MATCH(A1901,'Deal Info'!A:A, 0))</f>
        <v>#N/A</v>
      </c>
    </row>
    <row r="1902" spans="1:33" ht="14.25" hidden="1" x14ac:dyDescent="0.2">
      <c r="A1902" s="18" t="b">
        <f t="array" ref="A1902">IF(G1902='Room Info'!$B$1, INDEX('Room Info'!$A$2:$A2446, MATCH(B1902,'Room Info'!$B$2:$B2446, 0)),IF(G1902='Room Info'!$C$1, INDEX('Room Info'!$A$2:$A2446, MATCH(B1902,'Room Info'!$C$2:$C2446, 0)),IF(G1902='Room Info'!$D$1, INDEX('Room Info'!$A$2:$A2446, MATCH(B1902,'Room Info'!$D$2:$D2446, 0)),IF(G1902='Room Info'!$E$1, INDEX('Room Info'!$A$2:$A2446, MATCH(B1902,'Room Info'!$E$2:$E2446, 0)),IF(G1902='Room Info'!$F$1, INDEX('Room Info'!$A$2:$A2446, MATCH(B1902,'Room Info'!$F$2:$F2446, 0)),IF(G1902='Room Info'!$H$1, INDEX('Room Info'!$A$2:$A2446, MATCH(B1902,'Room Info'!$H$2:$H2446, 0)),IF(G1902='Room Info'!$G$1, INDEX('Room Info'!$A$2:$A2446, MATCH(B1902,'Room Info'!$G$2:$G2446, 0)))))))))</f>
        <v>0</v>
      </c>
      <c r="B1902" s="96"/>
      <c r="C1902" s="111"/>
      <c r="D1902" s="111"/>
      <c r="E1902" s="80"/>
      <c r="F1902" s="133"/>
      <c r="G1902" s="65"/>
      <c r="H1902" s="110"/>
      <c r="I1902" s="110"/>
      <c r="J1902" s="39" t="s">
        <v>334</v>
      </c>
      <c r="K1902" s="112"/>
      <c r="L1902" s="113"/>
      <c r="M1902" s="62"/>
      <c r="N1902" s="28" t="e">
        <f t="shared" si="8"/>
        <v>#VALUE!</v>
      </c>
      <c r="O1902" s="65"/>
      <c r="P1902" s="29" t="s">
        <v>334</v>
      </c>
      <c r="Q1902" s="55"/>
      <c r="R1902" s="31" t="e">
        <f t="shared" si="9"/>
        <v>#VALUE!</v>
      </c>
      <c r="S1902" s="66"/>
      <c r="T1902" s="32" t="e">
        <f t="shared" si="10"/>
        <v>#VALUE!</v>
      </c>
      <c r="U1902" s="57"/>
      <c r="V1902" s="58"/>
      <c r="W1902" s="58"/>
      <c r="X1902" s="30" t="e">
        <f t="shared" si="11"/>
        <v>#N/A</v>
      </c>
      <c r="Y1902" s="30" t="e">
        <f t="shared" si="12"/>
        <v>#N/A</v>
      </c>
      <c r="Z1902" s="35" t="e">
        <f t="shared" si="13"/>
        <v>#VALUE!</v>
      </c>
      <c r="AA1902" s="29" t="e">
        <f t="shared" si="14"/>
        <v>#VALUE!</v>
      </c>
      <c r="AB1902" s="36" t="e">
        <f t="shared" si="15"/>
        <v>#VALUE!</v>
      </c>
      <c r="AC1902" s="37" t="b">
        <v>0</v>
      </c>
      <c r="AD1902" s="61" t="str">
        <f t="shared" si="16"/>
        <v>USD</v>
      </c>
      <c r="AE1902" s="37"/>
      <c r="AF1902" s="37" t="e">
        <f t="array" ref="AF1902">INDEX('Deal Info'!D:D, MATCH(A1902,'Deal Info'!A:A, 0))</f>
        <v>#N/A</v>
      </c>
      <c r="AG1902" s="38" t="e">
        <f t="array" ref="AG1902">INDEX('Deal Info'!G:G, MATCH(A1902,'Deal Info'!A:A, 0))</f>
        <v>#N/A</v>
      </c>
    </row>
    <row r="1903" spans="1:33" ht="14.25" hidden="1" x14ac:dyDescent="0.2">
      <c r="A1903" s="18" t="b">
        <f t="array" ref="A1903">IF(G1903='Room Info'!$B$1, INDEX('Room Info'!$A$2:$A2446, MATCH(B1903,'Room Info'!$B$2:$B2446, 0)),IF(G1903='Room Info'!$C$1, INDEX('Room Info'!$A$2:$A2446, MATCH(B1903,'Room Info'!$C$2:$C2446, 0)),IF(G1903='Room Info'!$D$1, INDEX('Room Info'!$A$2:$A2446, MATCH(B1903,'Room Info'!$D$2:$D2446, 0)),IF(G1903='Room Info'!$E$1, INDEX('Room Info'!$A$2:$A2446, MATCH(B1903,'Room Info'!$E$2:$E2446, 0)),IF(G1903='Room Info'!$F$1, INDEX('Room Info'!$A$2:$A2446, MATCH(B1903,'Room Info'!$F$2:$F2446, 0)),IF(G1903='Room Info'!$H$1, INDEX('Room Info'!$A$2:$A2446, MATCH(B1903,'Room Info'!$H$2:$H2446, 0)),IF(G1903='Room Info'!$G$1, INDEX('Room Info'!$A$2:$A2446, MATCH(B1903,'Room Info'!$G$2:$G2446, 0)))))))))</f>
        <v>0</v>
      </c>
      <c r="B1903" s="96"/>
      <c r="C1903" s="111"/>
      <c r="D1903" s="111"/>
      <c r="E1903" s="80"/>
      <c r="F1903" s="133"/>
      <c r="G1903" s="96"/>
      <c r="H1903" s="110"/>
      <c r="I1903" s="110"/>
      <c r="J1903" s="39" t="s">
        <v>334</v>
      </c>
      <c r="K1903" s="112"/>
      <c r="L1903" s="113"/>
      <c r="M1903" s="62"/>
      <c r="N1903" s="28" t="e">
        <f t="shared" si="8"/>
        <v>#VALUE!</v>
      </c>
      <c r="O1903" s="65"/>
      <c r="P1903" s="29" t="s">
        <v>334</v>
      </c>
      <c r="Q1903" s="55"/>
      <c r="R1903" s="31" t="e">
        <f t="shared" si="9"/>
        <v>#VALUE!</v>
      </c>
      <c r="S1903" s="66"/>
      <c r="T1903" s="32" t="e">
        <f t="shared" si="10"/>
        <v>#VALUE!</v>
      </c>
      <c r="U1903" s="57"/>
      <c r="V1903" s="58"/>
      <c r="W1903" s="58"/>
      <c r="X1903" s="30" t="e">
        <f t="shared" si="11"/>
        <v>#N/A</v>
      </c>
      <c r="Y1903" s="30" t="e">
        <f t="shared" si="12"/>
        <v>#N/A</v>
      </c>
      <c r="Z1903" s="35" t="e">
        <f t="shared" si="13"/>
        <v>#VALUE!</v>
      </c>
      <c r="AA1903" s="29" t="e">
        <f t="shared" si="14"/>
        <v>#VALUE!</v>
      </c>
      <c r="AB1903" s="36" t="e">
        <f t="shared" si="15"/>
        <v>#VALUE!</v>
      </c>
      <c r="AC1903" s="37" t="b">
        <v>0</v>
      </c>
      <c r="AD1903" s="61" t="str">
        <f t="shared" si="16"/>
        <v>USD</v>
      </c>
      <c r="AE1903" s="37"/>
      <c r="AF1903" s="37" t="e">
        <f t="array" ref="AF1903">INDEX('Deal Info'!D:D, MATCH(A1903,'Deal Info'!A:A, 0))</f>
        <v>#N/A</v>
      </c>
      <c r="AG1903" s="38" t="e">
        <f t="array" ref="AG1903">INDEX('Deal Info'!G:G, MATCH(A1903,'Deal Info'!A:A, 0))</f>
        <v>#N/A</v>
      </c>
    </row>
    <row r="1904" spans="1:33" ht="14.25" hidden="1" x14ac:dyDescent="0.2">
      <c r="A1904" s="18" t="b">
        <f t="array" ref="A1904">IF(G1904='Room Info'!$B$1, INDEX('Room Info'!$A$2:$A2446, MATCH(B1904,'Room Info'!$B$2:$B2446, 0)),IF(G1904='Room Info'!$C$1, INDEX('Room Info'!$A$2:$A2446, MATCH(B1904,'Room Info'!$C$2:$C2446, 0)),IF(G1904='Room Info'!$D$1, INDEX('Room Info'!$A$2:$A2446, MATCH(B1904,'Room Info'!$D$2:$D2446, 0)),IF(G1904='Room Info'!$E$1, INDEX('Room Info'!$A$2:$A2446, MATCH(B1904,'Room Info'!$E$2:$E2446, 0)),IF(G1904='Room Info'!$F$1, INDEX('Room Info'!$A$2:$A2446, MATCH(B1904,'Room Info'!$F$2:$F2446, 0)),IF(G1904='Room Info'!$H$1, INDEX('Room Info'!$A$2:$A2446, MATCH(B1904,'Room Info'!$H$2:$H2446, 0)),IF(G1904='Room Info'!$G$1, INDEX('Room Info'!$A$2:$A2446, MATCH(B1904,'Room Info'!$G$2:$G2446, 0)))))))))</f>
        <v>0</v>
      </c>
      <c r="B1904" s="96"/>
      <c r="C1904" s="111"/>
      <c r="D1904" s="111"/>
      <c r="E1904" s="80"/>
      <c r="F1904" s="133"/>
      <c r="G1904" s="96"/>
      <c r="H1904" s="110"/>
      <c r="I1904" s="110"/>
      <c r="J1904" s="39" t="s">
        <v>334</v>
      </c>
      <c r="K1904" s="112"/>
      <c r="L1904" s="113"/>
      <c r="M1904" s="62"/>
      <c r="N1904" s="28" t="e">
        <f t="shared" si="8"/>
        <v>#VALUE!</v>
      </c>
      <c r="O1904" s="65"/>
      <c r="P1904" s="29" t="s">
        <v>334</v>
      </c>
      <c r="Q1904" s="55"/>
      <c r="R1904" s="31" t="e">
        <f t="shared" si="9"/>
        <v>#VALUE!</v>
      </c>
      <c r="S1904" s="66"/>
      <c r="T1904" s="32" t="e">
        <f t="shared" si="10"/>
        <v>#VALUE!</v>
      </c>
      <c r="U1904" s="57"/>
      <c r="V1904" s="58"/>
      <c r="W1904" s="58"/>
      <c r="X1904" s="30" t="e">
        <f t="shared" si="11"/>
        <v>#N/A</v>
      </c>
      <c r="Y1904" s="30" t="e">
        <f t="shared" si="12"/>
        <v>#N/A</v>
      </c>
      <c r="Z1904" s="35" t="e">
        <f t="shared" si="13"/>
        <v>#VALUE!</v>
      </c>
      <c r="AA1904" s="29" t="e">
        <f t="shared" si="14"/>
        <v>#VALUE!</v>
      </c>
      <c r="AB1904" s="36" t="e">
        <f t="shared" si="15"/>
        <v>#VALUE!</v>
      </c>
      <c r="AC1904" s="37" t="b">
        <v>0</v>
      </c>
      <c r="AD1904" s="61" t="str">
        <f t="shared" si="16"/>
        <v>USD</v>
      </c>
      <c r="AE1904" s="37"/>
      <c r="AF1904" s="37" t="e">
        <f t="array" ref="AF1904">INDEX('Deal Info'!D:D, MATCH(A1904,'Deal Info'!A:A, 0))</f>
        <v>#N/A</v>
      </c>
      <c r="AG1904" s="38" t="e">
        <f t="array" ref="AG1904">INDEX('Deal Info'!G:G, MATCH(A1904,'Deal Info'!A:A, 0))</f>
        <v>#N/A</v>
      </c>
    </row>
    <row r="1905" spans="1:33" ht="14.25" hidden="1" x14ac:dyDescent="0.2">
      <c r="A1905" s="18" t="b">
        <f t="array" ref="A1905">IF(G1905='Room Info'!$B$1, INDEX('Room Info'!$A$2:$A2446, MATCH(B1905,'Room Info'!$B$2:$B2446, 0)),IF(G1905='Room Info'!$C$1, INDEX('Room Info'!$A$2:$A2446, MATCH(B1905,'Room Info'!$C$2:$C2446, 0)),IF(G1905='Room Info'!$D$1, INDEX('Room Info'!$A$2:$A2446, MATCH(B1905,'Room Info'!$D$2:$D2446, 0)),IF(G1905='Room Info'!$E$1, INDEX('Room Info'!$A$2:$A2446, MATCH(B1905,'Room Info'!$E$2:$E2446, 0)),IF(G1905='Room Info'!$F$1, INDEX('Room Info'!$A$2:$A2446, MATCH(B1905,'Room Info'!$F$2:$F2446, 0)),IF(G1905='Room Info'!$H$1, INDEX('Room Info'!$A$2:$A2446, MATCH(B1905,'Room Info'!$H$2:$H2446, 0)),IF(G1905='Room Info'!$G$1, INDEX('Room Info'!$A$2:$A2446, MATCH(B1905,'Room Info'!$G$2:$G2446, 0)))))))))</f>
        <v>0</v>
      </c>
      <c r="B1905" s="65"/>
      <c r="C1905" s="111"/>
      <c r="D1905" s="111"/>
      <c r="E1905" s="80"/>
      <c r="F1905" s="96"/>
      <c r="G1905" s="65"/>
      <c r="H1905" s="110"/>
      <c r="I1905" s="110"/>
      <c r="J1905" s="39" t="s">
        <v>334</v>
      </c>
      <c r="K1905" s="112"/>
      <c r="L1905" s="113"/>
      <c r="M1905" s="62"/>
      <c r="N1905" s="28" t="e">
        <f t="shared" si="8"/>
        <v>#VALUE!</v>
      </c>
      <c r="O1905" s="65"/>
      <c r="P1905" s="29" t="s">
        <v>334</v>
      </c>
      <c r="Q1905" s="55"/>
      <c r="R1905" s="31" t="e">
        <f t="shared" si="9"/>
        <v>#VALUE!</v>
      </c>
      <c r="S1905" s="66"/>
      <c r="T1905" s="32" t="e">
        <f t="shared" si="10"/>
        <v>#VALUE!</v>
      </c>
      <c r="U1905" s="57"/>
      <c r="V1905" s="58"/>
      <c r="W1905" s="58"/>
      <c r="X1905" s="30" t="e">
        <f t="shared" si="11"/>
        <v>#N/A</v>
      </c>
      <c r="Y1905" s="30" t="e">
        <f t="shared" si="12"/>
        <v>#N/A</v>
      </c>
      <c r="Z1905" s="35" t="e">
        <f t="shared" si="13"/>
        <v>#VALUE!</v>
      </c>
      <c r="AA1905" s="29" t="e">
        <f t="shared" si="14"/>
        <v>#VALUE!</v>
      </c>
      <c r="AB1905" s="36" t="e">
        <f t="shared" si="15"/>
        <v>#VALUE!</v>
      </c>
      <c r="AC1905" s="37" t="b">
        <v>0</v>
      </c>
      <c r="AD1905" s="61" t="str">
        <f t="shared" si="16"/>
        <v>USD</v>
      </c>
      <c r="AE1905" s="37"/>
      <c r="AF1905" s="37" t="e">
        <f t="array" ref="AF1905">INDEX('Deal Info'!D:D, MATCH(A1905,'Deal Info'!A:A, 0))</f>
        <v>#N/A</v>
      </c>
      <c r="AG1905" s="38" t="e">
        <f t="array" ref="AG1905">INDEX('Deal Info'!G:G, MATCH(A1905,'Deal Info'!A:A, 0))</f>
        <v>#N/A</v>
      </c>
    </row>
    <row r="1906" spans="1:33" ht="14.25" hidden="1" x14ac:dyDescent="0.2">
      <c r="A1906" s="18" t="b">
        <f t="array" ref="A1906">IF(G1906='Room Info'!$B$1, INDEX('Room Info'!$A$2:$A2446, MATCH(B1906,'Room Info'!$B$2:$B2446, 0)),IF(G1906='Room Info'!$C$1, INDEX('Room Info'!$A$2:$A2446, MATCH(B1906,'Room Info'!$C$2:$C2446, 0)),IF(G1906='Room Info'!$D$1, INDEX('Room Info'!$A$2:$A2446, MATCH(B1906,'Room Info'!$D$2:$D2446, 0)),IF(G1906='Room Info'!$E$1, INDEX('Room Info'!$A$2:$A2446, MATCH(B1906,'Room Info'!$E$2:$E2446, 0)),IF(G1906='Room Info'!$F$1, INDEX('Room Info'!$A$2:$A2446, MATCH(B1906,'Room Info'!$F$2:$F2446, 0)),IF(G1906='Room Info'!$H$1, INDEX('Room Info'!$A$2:$A2446, MATCH(B1906,'Room Info'!$H$2:$H2446, 0)),IF(G1906='Room Info'!$G$1, INDEX('Room Info'!$A$2:$A2446, MATCH(B1906,'Room Info'!$G$2:$G2446, 0)))))))))</f>
        <v>0</v>
      </c>
      <c r="B1906" s="65"/>
      <c r="C1906" s="111"/>
      <c r="D1906" s="111"/>
      <c r="E1906" s="80"/>
      <c r="F1906" s="96"/>
      <c r="G1906" s="65"/>
      <c r="H1906" s="110"/>
      <c r="I1906" s="110"/>
      <c r="J1906" s="39" t="s">
        <v>334</v>
      </c>
      <c r="K1906" s="112"/>
      <c r="L1906" s="113"/>
      <c r="M1906" s="62"/>
      <c r="N1906" s="28" t="e">
        <f t="shared" si="8"/>
        <v>#VALUE!</v>
      </c>
      <c r="O1906" s="65"/>
      <c r="P1906" s="29" t="s">
        <v>334</v>
      </c>
      <c r="Q1906" s="55"/>
      <c r="R1906" s="31" t="e">
        <f t="shared" si="9"/>
        <v>#VALUE!</v>
      </c>
      <c r="S1906" s="66"/>
      <c r="T1906" s="32" t="e">
        <f t="shared" si="10"/>
        <v>#VALUE!</v>
      </c>
      <c r="U1906" s="57"/>
      <c r="V1906" s="58"/>
      <c r="W1906" s="58"/>
      <c r="X1906" s="30" t="e">
        <f t="shared" si="11"/>
        <v>#N/A</v>
      </c>
      <c r="Y1906" s="30" t="e">
        <f t="shared" si="12"/>
        <v>#N/A</v>
      </c>
      <c r="Z1906" s="35" t="e">
        <f t="shared" si="13"/>
        <v>#VALUE!</v>
      </c>
      <c r="AA1906" s="29" t="e">
        <f t="shared" si="14"/>
        <v>#VALUE!</v>
      </c>
      <c r="AB1906" s="36" t="e">
        <f t="shared" si="15"/>
        <v>#VALUE!</v>
      </c>
      <c r="AC1906" s="37" t="b">
        <v>0</v>
      </c>
      <c r="AD1906" s="61" t="str">
        <f t="shared" si="16"/>
        <v>USD</v>
      </c>
      <c r="AE1906" s="37"/>
      <c r="AF1906" s="37" t="e">
        <f t="array" ref="AF1906">INDEX('Deal Info'!D:D, MATCH(A1906,'Deal Info'!A:A, 0))</f>
        <v>#N/A</v>
      </c>
      <c r="AG1906" s="38" t="e">
        <f t="array" ref="AG1906">INDEX('Deal Info'!G:G, MATCH(A1906,'Deal Info'!A:A, 0))</f>
        <v>#N/A</v>
      </c>
    </row>
    <row r="1907" spans="1:33" ht="14.25" hidden="1" x14ac:dyDescent="0.2">
      <c r="A1907" s="18" t="b">
        <f t="array" ref="A1907">IF(G1907='Room Info'!$B$1, INDEX('Room Info'!$A$2:$A2446, MATCH(B1907,'Room Info'!$B$2:$B2446, 0)),IF(G1907='Room Info'!$C$1, INDEX('Room Info'!$A$2:$A2446, MATCH(B1907,'Room Info'!$C$2:$C2446, 0)),IF(G1907='Room Info'!$D$1, INDEX('Room Info'!$A$2:$A2446, MATCH(B1907,'Room Info'!$D$2:$D2446, 0)),IF(G1907='Room Info'!$E$1, INDEX('Room Info'!$A$2:$A2446, MATCH(B1907,'Room Info'!$E$2:$E2446, 0)),IF(G1907='Room Info'!$F$1, INDEX('Room Info'!$A$2:$A2446, MATCH(B1907,'Room Info'!$F$2:$F2446, 0)),IF(G1907='Room Info'!$H$1, INDEX('Room Info'!$A$2:$A2446, MATCH(B1907,'Room Info'!$H$2:$H2446, 0)),IF(G1907='Room Info'!$G$1, INDEX('Room Info'!$A$2:$A2446, MATCH(B1907,'Room Info'!$G$2:$G2446, 0)))))))))</f>
        <v>0</v>
      </c>
      <c r="B1907" s="65"/>
      <c r="C1907" s="111"/>
      <c r="D1907" s="111"/>
      <c r="E1907" s="80"/>
      <c r="F1907" s="96"/>
      <c r="G1907" s="65"/>
      <c r="H1907" s="110"/>
      <c r="I1907" s="110"/>
      <c r="J1907" s="39" t="s">
        <v>334</v>
      </c>
      <c r="K1907" s="112"/>
      <c r="L1907" s="113"/>
      <c r="M1907" s="62"/>
      <c r="N1907" s="28" t="e">
        <f t="shared" si="8"/>
        <v>#VALUE!</v>
      </c>
      <c r="O1907" s="65"/>
      <c r="P1907" s="29" t="s">
        <v>334</v>
      </c>
      <c r="Q1907" s="55"/>
      <c r="R1907" s="31" t="e">
        <f t="shared" si="9"/>
        <v>#VALUE!</v>
      </c>
      <c r="S1907" s="66"/>
      <c r="T1907" s="32" t="e">
        <f t="shared" si="10"/>
        <v>#VALUE!</v>
      </c>
      <c r="U1907" s="57"/>
      <c r="V1907" s="58"/>
      <c r="W1907" s="58"/>
      <c r="X1907" s="30" t="e">
        <f t="shared" si="11"/>
        <v>#N/A</v>
      </c>
      <c r="Y1907" s="30" t="e">
        <f t="shared" si="12"/>
        <v>#N/A</v>
      </c>
      <c r="Z1907" s="35" t="e">
        <f t="shared" si="13"/>
        <v>#VALUE!</v>
      </c>
      <c r="AA1907" s="29" t="e">
        <f t="shared" si="14"/>
        <v>#VALUE!</v>
      </c>
      <c r="AB1907" s="36" t="e">
        <f t="shared" si="15"/>
        <v>#VALUE!</v>
      </c>
      <c r="AC1907" s="37" t="b">
        <v>0</v>
      </c>
      <c r="AD1907" s="61" t="str">
        <f t="shared" si="16"/>
        <v>USD</v>
      </c>
      <c r="AE1907" s="37"/>
      <c r="AF1907" s="37" t="e">
        <f t="array" ref="AF1907">INDEX('Deal Info'!D:D, MATCH(A1907,'Deal Info'!A:A, 0))</f>
        <v>#N/A</v>
      </c>
      <c r="AG1907" s="38" t="e">
        <f t="array" ref="AG1907">INDEX('Deal Info'!G:G, MATCH(A1907,'Deal Info'!A:A, 0))</f>
        <v>#N/A</v>
      </c>
    </row>
    <row r="1908" spans="1:33" ht="14.25" hidden="1" x14ac:dyDescent="0.2">
      <c r="A1908" s="18" t="b">
        <f t="array" ref="A1908">IF(G1908='Room Info'!$B$1, INDEX('Room Info'!$A$2:$A2446, MATCH(B1908,'Room Info'!$B$2:$B2446, 0)),IF(G1908='Room Info'!$C$1, INDEX('Room Info'!$A$2:$A2446, MATCH(B1908,'Room Info'!$C$2:$C2446, 0)),IF(G1908='Room Info'!$D$1, INDEX('Room Info'!$A$2:$A2446, MATCH(B1908,'Room Info'!$D$2:$D2446, 0)),IF(G1908='Room Info'!$E$1, INDEX('Room Info'!$A$2:$A2446, MATCH(B1908,'Room Info'!$E$2:$E2446, 0)),IF(G1908='Room Info'!$F$1, INDEX('Room Info'!$A$2:$A2446, MATCH(B1908,'Room Info'!$F$2:$F2446, 0)),IF(G1908='Room Info'!$H$1, INDEX('Room Info'!$A$2:$A2446, MATCH(B1908,'Room Info'!$H$2:$H2446, 0)),IF(G1908='Room Info'!$G$1, INDEX('Room Info'!$A$2:$A2446, MATCH(B1908,'Room Info'!$G$2:$G2446, 0)))))))))</f>
        <v>0</v>
      </c>
      <c r="B1908" s="65"/>
      <c r="C1908" s="111"/>
      <c r="D1908" s="111"/>
      <c r="E1908" s="80"/>
      <c r="F1908" s="96"/>
      <c r="G1908" s="65"/>
      <c r="H1908" s="110"/>
      <c r="I1908" s="110"/>
      <c r="J1908" s="39" t="s">
        <v>334</v>
      </c>
      <c r="K1908" s="112"/>
      <c r="L1908" s="113"/>
      <c r="M1908" s="62"/>
      <c r="N1908" s="28" t="e">
        <f t="shared" si="8"/>
        <v>#VALUE!</v>
      </c>
      <c r="O1908" s="65"/>
      <c r="P1908" s="29" t="s">
        <v>334</v>
      </c>
      <c r="Q1908" s="55"/>
      <c r="R1908" s="31" t="e">
        <f t="shared" si="9"/>
        <v>#VALUE!</v>
      </c>
      <c r="S1908" s="66"/>
      <c r="T1908" s="32" t="e">
        <f t="shared" si="10"/>
        <v>#VALUE!</v>
      </c>
      <c r="U1908" s="57"/>
      <c r="V1908" s="58"/>
      <c r="W1908" s="58"/>
      <c r="X1908" s="30" t="e">
        <f t="shared" si="11"/>
        <v>#N/A</v>
      </c>
      <c r="Y1908" s="30" t="e">
        <f t="shared" si="12"/>
        <v>#N/A</v>
      </c>
      <c r="Z1908" s="35" t="e">
        <f t="shared" si="13"/>
        <v>#VALUE!</v>
      </c>
      <c r="AA1908" s="29" t="e">
        <f t="shared" si="14"/>
        <v>#VALUE!</v>
      </c>
      <c r="AB1908" s="36" t="e">
        <f t="shared" si="15"/>
        <v>#VALUE!</v>
      </c>
      <c r="AC1908" s="37" t="b">
        <v>0</v>
      </c>
      <c r="AD1908" s="61" t="str">
        <f t="shared" si="16"/>
        <v>USD</v>
      </c>
      <c r="AE1908" s="37"/>
      <c r="AF1908" s="37" t="e">
        <f t="array" ref="AF1908">INDEX('Deal Info'!D:D, MATCH(A1908,'Deal Info'!A:A, 0))</f>
        <v>#N/A</v>
      </c>
      <c r="AG1908" s="38" t="e">
        <f t="array" ref="AG1908">INDEX('Deal Info'!G:G, MATCH(A1908,'Deal Info'!A:A, 0))</f>
        <v>#N/A</v>
      </c>
    </row>
    <row r="1909" spans="1:33" ht="14.25" hidden="1" x14ac:dyDescent="0.2">
      <c r="A1909" s="18" t="b">
        <f t="array" ref="A1909">IF(G1909='Room Info'!$B$1, INDEX('Room Info'!$A$2:$A2446, MATCH(B1909,'Room Info'!$B$2:$B2446, 0)),IF(G1909='Room Info'!$C$1, INDEX('Room Info'!$A$2:$A2446, MATCH(B1909,'Room Info'!$C$2:$C2446, 0)),IF(G1909='Room Info'!$D$1, INDEX('Room Info'!$A$2:$A2446, MATCH(B1909,'Room Info'!$D$2:$D2446, 0)),IF(G1909='Room Info'!$E$1, INDEX('Room Info'!$A$2:$A2446, MATCH(B1909,'Room Info'!$E$2:$E2446, 0)),IF(G1909='Room Info'!$F$1, INDEX('Room Info'!$A$2:$A2446, MATCH(B1909,'Room Info'!$F$2:$F2446, 0)),IF(G1909='Room Info'!$H$1, INDEX('Room Info'!$A$2:$A2446, MATCH(B1909,'Room Info'!$H$2:$H2446, 0)),IF(G1909='Room Info'!$G$1, INDEX('Room Info'!$A$2:$A2446, MATCH(B1909,'Room Info'!$G$2:$G2446, 0)))))))))</f>
        <v>0</v>
      </c>
      <c r="B1909" s="65"/>
      <c r="C1909" s="111"/>
      <c r="D1909" s="111"/>
      <c r="E1909" s="80"/>
      <c r="F1909" s="96"/>
      <c r="G1909" s="65"/>
      <c r="H1909" s="110"/>
      <c r="I1909" s="110"/>
      <c r="J1909" s="39" t="s">
        <v>334</v>
      </c>
      <c r="K1909" s="112"/>
      <c r="L1909" s="113"/>
      <c r="M1909" s="62"/>
      <c r="N1909" s="28" t="e">
        <f t="shared" si="8"/>
        <v>#VALUE!</v>
      </c>
      <c r="O1909" s="65"/>
      <c r="P1909" s="29" t="s">
        <v>334</v>
      </c>
      <c r="Q1909" s="55"/>
      <c r="R1909" s="31" t="e">
        <f t="shared" si="9"/>
        <v>#VALUE!</v>
      </c>
      <c r="S1909" s="66"/>
      <c r="T1909" s="32" t="e">
        <f t="shared" si="10"/>
        <v>#VALUE!</v>
      </c>
      <c r="U1909" s="57"/>
      <c r="V1909" s="58"/>
      <c r="W1909" s="58"/>
      <c r="X1909" s="30" t="e">
        <f t="shared" si="11"/>
        <v>#N/A</v>
      </c>
      <c r="Y1909" s="30" t="e">
        <f t="shared" si="12"/>
        <v>#N/A</v>
      </c>
      <c r="Z1909" s="35" t="e">
        <f t="shared" si="13"/>
        <v>#VALUE!</v>
      </c>
      <c r="AA1909" s="29" t="e">
        <f t="shared" si="14"/>
        <v>#VALUE!</v>
      </c>
      <c r="AB1909" s="36" t="e">
        <f t="shared" si="15"/>
        <v>#VALUE!</v>
      </c>
      <c r="AC1909" s="37" t="b">
        <v>0</v>
      </c>
      <c r="AD1909" s="61" t="str">
        <f t="shared" si="16"/>
        <v>USD</v>
      </c>
      <c r="AE1909" s="37"/>
      <c r="AF1909" s="37" t="e">
        <f t="array" ref="AF1909">INDEX('Deal Info'!D:D, MATCH(A1909,'Deal Info'!A:A, 0))</f>
        <v>#N/A</v>
      </c>
      <c r="AG1909" s="38" t="e">
        <f t="array" ref="AG1909">INDEX('Deal Info'!G:G, MATCH(A1909,'Deal Info'!A:A, 0))</f>
        <v>#N/A</v>
      </c>
    </row>
    <row r="1910" spans="1:33" ht="14.25" hidden="1" x14ac:dyDescent="0.2">
      <c r="A1910" s="18" t="b">
        <f t="array" ref="A1910">IF(G1910='Room Info'!$B$1, INDEX('Room Info'!$A$2:$A2446, MATCH(B1910,'Room Info'!$B$2:$B2446, 0)),IF(G1910='Room Info'!$C$1, INDEX('Room Info'!$A$2:$A2446, MATCH(B1910,'Room Info'!$C$2:$C2446, 0)),IF(G1910='Room Info'!$D$1, INDEX('Room Info'!$A$2:$A2446, MATCH(B1910,'Room Info'!$D$2:$D2446, 0)),IF(G1910='Room Info'!$E$1, INDEX('Room Info'!$A$2:$A2446, MATCH(B1910,'Room Info'!$E$2:$E2446, 0)),IF(G1910='Room Info'!$F$1, INDEX('Room Info'!$A$2:$A2446, MATCH(B1910,'Room Info'!$F$2:$F2446, 0)),IF(G1910='Room Info'!$H$1, INDEX('Room Info'!$A$2:$A2446, MATCH(B1910,'Room Info'!$H$2:$H2446, 0)),IF(G1910='Room Info'!$G$1, INDEX('Room Info'!$A$2:$A2446, MATCH(B1910,'Room Info'!$G$2:$G2446, 0)))))))))</f>
        <v>0</v>
      </c>
      <c r="B1910" s="65"/>
      <c r="C1910" s="111"/>
      <c r="D1910" s="111"/>
      <c r="E1910" s="80"/>
      <c r="F1910" s="96"/>
      <c r="G1910" s="65"/>
      <c r="H1910" s="110"/>
      <c r="I1910" s="110"/>
      <c r="J1910" s="39" t="s">
        <v>334</v>
      </c>
      <c r="K1910" s="112"/>
      <c r="L1910" s="113"/>
      <c r="M1910" s="62"/>
      <c r="N1910" s="28" t="e">
        <f t="shared" si="8"/>
        <v>#VALUE!</v>
      </c>
      <c r="O1910" s="65"/>
      <c r="P1910" s="29" t="s">
        <v>334</v>
      </c>
      <c r="Q1910" s="55"/>
      <c r="R1910" s="31" t="e">
        <f t="shared" si="9"/>
        <v>#VALUE!</v>
      </c>
      <c r="S1910" s="66"/>
      <c r="T1910" s="32" t="e">
        <f t="shared" si="10"/>
        <v>#VALUE!</v>
      </c>
      <c r="U1910" s="57"/>
      <c r="V1910" s="58"/>
      <c r="W1910" s="58"/>
      <c r="X1910" s="30" t="e">
        <f t="shared" si="11"/>
        <v>#N/A</v>
      </c>
      <c r="Y1910" s="30" t="e">
        <f t="shared" si="12"/>
        <v>#N/A</v>
      </c>
      <c r="Z1910" s="35" t="e">
        <f t="shared" si="13"/>
        <v>#VALUE!</v>
      </c>
      <c r="AA1910" s="29" t="e">
        <f t="shared" si="14"/>
        <v>#VALUE!</v>
      </c>
      <c r="AB1910" s="36" t="e">
        <f t="shared" si="15"/>
        <v>#VALUE!</v>
      </c>
      <c r="AC1910" s="37" t="b">
        <v>0</v>
      </c>
      <c r="AD1910" s="61" t="str">
        <f t="shared" si="16"/>
        <v>USD</v>
      </c>
      <c r="AE1910" s="37"/>
      <c r="AF1910" s="37" t="e">
        <f t="array" ref="AF1910">INDEX('Deal Info'!D:D, MATCH(A1910,'Deal Info'!A:A, 0))</f>
        <v>#N/A</v>
      </c>
      <c r="AG1910" s="38" t="e">
        <f t="array" ref="AG1910">INDEX('Deal Info'!G:G, MATCH(A1910,'Deal Info'!A:A, 0))</f>
        <v>#N/A</v>
      </c>
    </row>
    <row r="1911" spans="1:33" ht="14.25" hidden="1" x14ac:dyDescent="0.2">
      <c r="A1911" s="18" t="b">
        <f t="array" ref="A1911">IF(G1911='Room Info'!$B$1, INDEX('Room Info'!$A$2:$A2446, MATCH(B1911,'Room Info'!$B$2:$B2446, 0)),IF(G1911='Room Info'!$C$1, INDEX('Room Info'!$A$2:$A2446, MATCH(B1911,'Room Info'!$C$2:$C2446, 0)),IF(G1911='Room Info'!$D$1, INDEX('Room Info'!$A$2:$A2446, MATCH(B1911,'Room Info'!$D$2:$D2446, 0)),IF(G1911='Room Info'!$E$1, INDEX('Room Info'!$A$2:$A2446, MATCH(B1911,'Room Info'!$E$2:$E2446, 0)),IF(G1911='Room Info'!$F$1, INDEX('Room Info'!$A$2:$A2446, MATCH(B1911,'Room Info'!$F$2:$F2446, 0)),IF(G1911='Room Info'!$H$1, INDEX('Room Info'!$A$2:$A2446, MATCH(B1911,'Room Info'!$H$2:$H2446, 0)),IF(G1911='Room Info'!$G$1, INDEX('Room Info'!$A$2:$A2446, MATCH(B1911,'Room Info'!$G$2:$G2446, 0)))))))))</f>
        <v>0</v>
      </c>
      <c r="B1911" s="96"/>
      <c r="C1911" s="111"/>
      <c r="D1911" s="111"/>
      <c r="E1911" s="80"/>
      <c r="F1911" s="133"/>
      <c r="G1911" s="96"/>
      <c r="H1911" s="110"/>
      <c r="I1911" s="110"/>
      <c r="J1911" s="39" t="s">
        <v>334</v>
      </c>
      <c r="K1911" s="112"/>
      <c r="L1911" s="113"/>
      <c r="M1911" s="62"/>
      <c r="N1911" s="28" t="e">
        <f t="shared" si="8"/>
        <v>#VALUE!</v>
      </c>
      <c r="O1911" s="65"/>
      <c r="P1911" s="29" t="s">
        <v>334</v>
      </c>
      <c r="Q1911" s="55"/>
      <c r="R1911" s="31" t="e">
        <f t="shared" si="9"/>
        <v>#VALUE!</v>
      </c>
      <c r="S1911" s="66"/>
      <c r="T1911" s="32" t="e">
        <f t="shared" si="10"/>
        <v>#VALUE!</v>
      </c>
      <c r="U1911" s="57"/>
      <c r="V1911" s="58"/>
      <c r="W1911" s="58"/>
      <c r="X1911" s="30" t="e">
        <f t="shared" si="11"/>
        <v>#N/A</v>
      </c>
      <c r="Y1911" s="30" t="e">
        <f t="shared" si="12"/>
        <v>#N/A</v>
      </c>
      <c r="Z1911" s="35" t="e">
        <f t="shared" si="13"/>
        <v>#VALUE!</v>
      </c>
      <c r="AA1911" s="29" t="e">
        <f t="shared" si="14"/>
        <v>#VALUE!</v>
      </c>
      <c r="AB1911" s="36" t="e">
        <f t="shared" si="15"/>
        <v>#VALUE!</v>
      </c>
      <c r="AC1911" s="37" t="b">
        <v>0</v>
      </c>
      <c r="AD1911" s="61" t="str">
        <f t="shared" si="16"/>
        <v>USD</v>
      </c>
      <c r="AE1911" s="37"/>
      <c r="AF1911" s="37" t="e">
        <f t="array" ref="AF1911">INDEX('Deal Info'!D:D, MATCH(A1911,'Deal Info'!A:A, 0))</f>
        <v>#N/A</v>
      </c>
      <c r="AG1911" s="38" t="e">
        <f t="array" ref="AG1911">INDEX('Deal Info'!G:G, MATCH(A1911,'Deal Info'!A:A, 0))</f>
        <v>#N/A</v>
      </c>
    </row>
    <row r="1912" spans="1:33" ht="14.25" hidden="1" x14ac:dyDescent="0.2">
      <c r="A1912" s="18" t="b">
        <f t="array" ref="A1912">IF(G1912='Room Info'!$B$1, INDEX('Room Info'!$A$2:$A2446, MATCH(B1912,'Room Info'!$B$2:$B2446, 0)),IF(G1912='Room Info'!$C$1, INDEX('Room Info'!$A$2:$A2446, MATCH(B1912,'Room Info'!$C$2:$C2446, 0)),IF(G1912='Room Info'!$D$1, INDEX('Room Info'!$A$2:$A2446, MATCH(B1912,'Room Info'!$D$2:$D2446, 0)),IF(G1912='Room Info'!$E$1, INDEX('Room Info'!$A$2:$A2446, MATCH(B1912,'Room Info'!$E$2:$E2446, 0)),IF(G1912='Room Info'!$F$1, INDEX('Room Info'!$A$2:$A2446, MATCH(B1912,'Room Info'!$F$2:$F2446, 0)),IF(G1912='Room Info'!$H$1, INDEX('Room Info'!$A$2:$A2446, MATCH(B1912,'Room Info'!$H$2:$H2446, 0)),IF(G1912='Room Info'!$G$1, INDEX('Room Info'!$A$2:$A2446, MATCH(B1912,'Room Info'!$G$2:$G2446, 0)))))))))</f>
        <v>0</v>
      </c>
      <c r="B1912" s="96"/>
      <c r="C1912" s="111"/>
      <c r="D1912" s="111"/>
      <c r="E1912" s="80"/>
      <c r="F1912" s="133"/>
      <c r="G1912" s="96"/>
      <c r="H1912" s="110"/>
      <c r="I1912" s="110"/>
      <c r="J1912" s="39" t="s">
        <v>334</v>
      </c>
      <c r="K1912" s="112"/>
      <c r="L1912" s="113"/>
      <c r="M1912" s="62"/>
      <c r="N1912" s="28" t="e">
        <f t="shared" si="8"/>
        <v>#VALUE!</v>
      </c>
      <c r="O1912" s="65"/>
      <c r="P1912" s="29" t="s">
        <v>334</v>
      </c>
      <c r="Q1912" s="55"/>
      <c r="R1912" s="31" t="e">
        <f t="shared" si="9"/>
        <v>#VALUE!</v>
      </c>
      <c r="S1912" s="66"/>
      <c r="T1912" s="32" t="e">
        <f t="shared" si="10"/>
        <v>#VALUE!</v>
      </c>
      <c r="U1912" s="57"/>
      <c r="V1912" s="58"/>
      <c r="W1912" s="58"/>
      <c r="X1912" s="30" t="e">
        <f t="shared" si="11"/>
        <v>#N/A</v>
      </c>
      <c r="Y1912" s="30" t="e">
        <f t="shared" si="12"/>
        <v>#N/A</v>
      </c>
      <c r="Z1912" s="35" t="e">
        <f t="shared" si="13"/>
        <v>#VALUE!</v>
      </c>
      <c r="AA1912" s="29" t="e">
        <f t="shared" si="14"/>
        <v>#VALUE!</v>
      </c>
      <c r="AB1912" s="36" t="e">
        <f t="shared" si="15"/>
        <v>#VALUE!</v>
      </c>
      <c r="AC1912" s="37" t="b">
        <v>0</v>
      </c>
      <c r="AD1912" s="61" t="str">
        <f t="shared" si="16"/>
        <v>USD</v>
      </c>
      <c r="AE1912" s="37"/>
      <c r="AF1912" s="37" t="e">
        <f t="array" ref="AF1912">INDEX('Deal Info'!D:D, MATCH(A1912,'Deal Info'!A:A, 0))</f>
        <v>#N/A</v>
      </c>
      <c r="AG1912" s="38" t="e">
        <f t="array" ref="AG1912">INDEX('Deal Info'!G:G, MATCH(A1912,'Deal Info'!A:A, 0))</f>
        <v>#N/A</v>
      </c>
    </row>
    <row r="1913" spans="1:33" ht="14.25" hidden="1" x14ac:dyDescent="0.2">
      <c r="A1913" s="18" t="b">
        <f t="array" ref="A1913">IF(G1913='Room Info'!$B$1, INDEX('Room Info'!$A$2:$A2446, MATCH(B1913,'Room Info'!$B$2:$B2446, 0)),IF(G1913='Room Info'!$C$1, INDEX('Room Info'!$A$2:$A2446, MATCH(B1913,'Room Info'!$C$2:$C2446, 0)),IF(G1913='Room Info'!$D$1, INDEX('Room Info'!$A$2:$A2446, MATCH(B1913,'Room Info'!$D$2:$D2446, 0)),IF(G1913='Room Info'!$E$1, INDEX('Room Info'!$A$2:$A2446, MATCH(B1913,'Room Info'!$E$2:$E2446, 0)),IF(G1913='Room Info'!$F$1, INDEX('Room Info'!$A$2:$A2446, MATCH(B1913,'Room Info'!$F$2:$F2446, 0)),IF(G1913='Room Info'!$H$1, INDEX('Room Info'!$A$2:$A2446, MATCH(B1913,'Room Info'!$H$2:$H2446, 0)),IF(G1913='Room Info'!$G$1, INDEX('Room Info'!$A$2:$A2446, MATCH(B1913,'Room Info'!$G$2:$G2446, 0)))))))))</f>
        <v>0</v>
      </c>
      <c r="B1913" s="96"/>
      <c r="C1913" s="111"/>
      <c r="D1913" s="111"/>
      <c r="E1913" s="80"/>
      <c r="F1913" s="96"/>
      <c r="G1913" s="65"/>
      <c r="H1913" s="100"/>
      <c r="I1913" s="100"/>
      <c r="J1913" s="39" t="s">
        <v>334</v>
      </c>
      <c r="K1913" s="134"/>
      <c r="L1913" s="135"/>
      <c r="M1913" s="62"/>
      <c r="N1913" s="28" t="e">
        <f t="shared" si="8"/>
        <v>#VALUE!</v>
      </c>
      <c r="O1913" s="96"/>
      <c r="P1913" s="29" t="s">
        <v>334</v>
      </c>
      <c r="Q1913" s="55"/>
      <c r="R1913" s="31" t="e">
        <f t="shared" si="9"/>
        <v>#VALUE!</v>
      </c>
      <c r="S1913" s="97"/>
      <c r="T1913" s="32" t="e">
        <f t="shared" si="10"/>
        <v>#VALUE!</v>
      </c>
      <c r="U1913" s="57"/>
      <c r="V1913" s="58"/>
      <c r="W1913" s="58"/>
      <c r="X1913" s="30" t="e">
        <f t="shared" si="11"/>
        <v>#N/A</v>
      </c>
      <c r="Y1913" s="30" t="e">
        <f t="shared" si="12"/>
        <v>#N/A</v>
      </c>
      <c r="Z1913" s="35" t="e">
        <f t="shared" si="13"/>
        <v>#VALUE!</v>
      </c>
      <c r="AA1913" s="29" t="e">
        <f t="shared" si="14"/>
        <v>#VALUE!</v>
      </c>
      <c r="AB1913" s="36" t="e">
        <f t="shared" si="15"/>
        <v>#VALUE!</v>
      </c>
      <c r="AC1913" s="37" t="b">
        <v>0</v>
      </c>
      <c r="AD1913" s="61" t="str">
        <f t="shared" si="16"/>
        <v>USD</v>
      </c>
      <c r="AE1913" s="37"/>
      <c r="AF1913" s="37" t="e">
        <f t="array" ref="AF1913">INDEX('Deal Info'!D:D, MATCH(A1913,'Deal Info'!A:A, 0))</f>
        <v>#N/A</v>
      </c>
      <c r="AG1913" s="38" t="e">
        <f t="array" ref="AG1913">INDEX('Deal Info'!G:G, MATCH(A1913,'Deal Info'!A:A, 0))</f>
        <v>#N/A</v>
      </c>
    </row>
    <row r="1914" spans="1:33" ht="14.25" hidden="1" x14ac:dyDescent="0.2">
      <c r="A1914" s="18" t="b">
        <f t="array" ref="A1914">IF(G1914='Room Info'!$B$1, INDEX('Room Info'!$A$2:$A2446, MATCH(B1914,'Room Info'!$B$2:$B2446, 0)),IF(G1914='Room Info'!$C$1, INDEX('Room Info'!$A$2:$A2446, MATCH(B1914,'Room Info'!$C$2:$C2446, 0)),IF(G1914='Room Info'!$D$1, INDEX('Room Info'!$A$2:$A2446, MATCH(B1914,'Room Info'!$D$2:$D2446, 0)),IF(G1914='Room Info'!$E$1, INDEX('Room Info'!$A$2:$A2446, MATCH(B1914,'Room Info'!$E$2:$E2446, 0)),IF(G1914='Room Info'!$F$1, INDEX('Room Info'!$A$2:$A2446, MATCH(B1914,'Room Info'!$F$2:$F2446, 0)),IF(G1914='Room Info'!$H$1, INDEX('Room Info'!$A$2:$A2446, MATCH(B1914,'Room Info'!$H$2:$H2446, 0)),IF(G1914='Room Info'!$G$1, INDEX('Room Info'!$A$2:$A2446, MATCH(B1914,'Room Info'!$G$2:$G2446, 0)))))))))</f>
        <v>0</v>
      </c>
      <c r="B1914" s="96"/>
      <c r="C1914" s="111"/>
      <c r="D1914" s="111"/>
      <c r="E1914" s="80"/>
      <c r="F1914" s="96"/>
      <c r="G1914" s="65"/>
      <c r="H1914" s="110"/>
      <c r="I1914" s="110"/>
      <c r="J1914" s="39" t="s">
        <v>334</v>
      </c>
      <c r="K1914" s="112"/>
      <c r="L1914" s="113"/>
      <c r="M1914" s="62"/>
      <c r="N1914" s="28" t="e">
        <f t="shared" si="8"/>
        <v>#VALUE!</v>
      </c>
      <c r="O1914" s="65"/>
      <c r="P1914" s="29" t="s">
        <v>334</v>
      </c>
      <c r="Q1914" s="55"/>
      <c r="R1914" s="31" t="e">
        <f t="shared" si="9"/>
        <v>#VALUE!</v>
      </c>
      <c r="S1914" s="66"/>
      <c r="T1914" s="32" t="e">
        <f t="shared" si="10"/>
        <v>#VALUE!</v>
      </c>
      <c r="U1914" s="57"/>
      <c r="V1914" s="58"/>
      <c r="W1914" s="58"/>
      <c r="X1914" s="30" t="e">
        <f t="shared" si="11"/>
        <v>#N/A</v>
      </c>
      <c r="Y1914" s="30" t="e">
        <f t="shared" si="12"/>
        <v>#N/A</v>
      </c>
      <c r="Z1914" s="35" t="e">
        <f t="shared" si="13"/>
        <v>#VALUE!</v>
      </c>
      <c r="AA1914" s="29" t="e">
        <f t="shared" si="14"/>
        <v>#VALUE!</v>
      </c>
      <c r="AB1914" s="36" t="e">
        <f t="shared" si="15"/>
        <v>#VALUE!</v>
      </c>
      <c r="AC1914" s="37" t="b">
        <v>0</v>
      </c>
      <c r="AD1914" s="61" t="str">
        <f t="shared" si="16"/>
        <v>USD</v>
      </c>
      <c r="AE1914" s="37"/>
      <c r="AF1914" s="37" t="e">
        <f t="array" ref="AF1914">INDEX('Deal Info'!D:D, MATCH(A1914,'Deal Info'!A:A, 0))</f>
        <v>#N/A</v>
      </c>
      <c r="AG1914" s="38" t="e">
        <f t="array" ref="AG1914">INDEX('Deal Info'!G:G, MATCH(A1914,'Deal Info'!A:A, 0))</f>
        <v>#N/A</v>
      </c>
    </row>
    <row r="1915" spans="1:33" ht="14.25" hidden="1" x14ac:dyDescent="0.2">
      <c r="A1915" s="18" t="b">
        <f t="array" ref="A1915">IF(G1915='Room Info'!$B$1, INDEX('Room Info'!$A$2:$A2446, MATCH(B1915,'Room Info'!$B$2:$B2446, 0)),IF(G1915='Room Info'!$C$1, INDEX('Room Info'!$A$2:$A2446, MATCH(B1915,'Room Info'!$C$2:$C2446, 0)),IF(G1915='Room Info'!$D$1, INDEX('Room Info'!$A$2:$A2446, MATCH(B1915,'Room Info'!$D$2:$D2446, 0)),IF(G1915='Room Info'!$E$1, INDEX('Room Info'!$A$2:$A2446, MATCH(B1915,'Room Info'!$E$2:$E2446, 0)),IF(G1915='Room Info'!$F$1, INDEX('Room Info'!$A$2:$A2446, MATCH(B1915,'Room Info'!$F$2:$F2446, 0)),IF(G1915='Room Info'!$H$1, INDEX('Room Info'!$A$2:$A2446, MATCH(B1915,'Room Info'!$H$2:$H2446, 0)),IF(G1915='Room Info'!$G$1, INDEX('Room Info'!$A$2:$A2446, MATCH(B1915,'Room Info'!$G$2:$G2446, 0)))))))))</f>
        <v>0</v>
      </c>
      <c r="B1915" s="96"/>
      <c r="C1915" s="111"/>
      <c r="D1915" s="111"/>
      <c r="E1915" s="80"/>
      <c r="F1915" s="96"/>
      <c r="G1915" s="65"/>
      <c r="H1915" s="110"/>
      <c r="I1915" s="110"/>
      <c r="J1915" s="39" t="s">
        <v>334</v>
      </c>
      <c r="K1915" s="112"/>
      <c r="L1915" s="113"/>
      <c r="M1915" s="62"/>
      <c r="N1915" s="28" t="e">
        <f t="shared" si="8"/>
        <v>#VALUE!</v>
      </c>
      <c r="O1915" s="65"/>
      <c r="P1915" s="29" t="s">
        <v>334</v>
      </c>
      <c r="Q1915" s="55"/>
      <c r="R1915" s="31" t="e">
        <f t="shared" si="9"/>
        <v>#VALUE!</v>
      </c>
      <c r="S1915" s="66"/>
      <c r="T1915" s="32" t="e">
        <f t="shared" si="10"/>
        <v>#VALUE!</v>
      </c>
      <c r="U1915" s="57"/>
      <c r="V1915" s="58"/>
      <c r="W1915" s="58"/>
      <c r="X1915" s="30" t="e">
        <f t="shared" si="11"/>
        <v>#N/A</v>
      </c>
      <c r="Y1915" s="30" t="e">
        <f t="shared" si="12"/>
        <v>#N/A</v>
      </c>
      <c r="Z1915" s="35" t="e">
        <f t="shared" si="13"/>
        <v>#VALUE!</v>
      </c>
      <c r="AA1915" s="29" t="e">
        <f t="shared" si="14"/>
        <v>#VALUE!</v>
      </c>
      <c r="AB1915" s="36" t="e">
        <f t="shared" si="15"/>
        <v>#VALUE!</v>
      </c>
      <c r="AC1915" s="37" t="b">
        <v>0</v>
      </c>
      <c r="AD1915" s="61" t="str">
        <f t="shared" si="16"/>
        <v>USD</v>
      </c>
      <c r="AE1915" s="37"/>
      <c r="AF1915" s="37" t="e">
        <f t="array" ref="AF1915">INDEX('Deal Info'!D:D, MATCH(A1915,'Deal Info'!A:A, 0))</f>
        <v>#N/A</v>
      </c>
      <c r="AG1915" s="38" t="e">
        <f t="array" ref="AG1915">INDEX('Deal Info'!G:G, MATCH(A1915,'Deal Info'!A:A, 0))</f>
        <v>#N/A</v>
      </c>
    </row>
    <row r="1916" spans="1:33" ht="14.25" hidden="1" x14ac:dyDescent="0.2">
      <c r="A1916" s="18" t="b">
        <f t="array" ref="A1916">IF(G1916='Room Info'!$B$1, INDEX('Room Info'!$A$2:$A2446, MATCH(B1916,'Room Info'!$B$2:$B2446, 0)),IF(G1916='Room Info'!$C$1, INDEX('Room Info'!$A$2:$A2446, MATCH(B1916,'Room Info'!$C$2:$C2446, 0)),IF(G1916='Room Info'!$D$1, INDEX('Room Info'!$A$2:$A2446, MATCH(B1916,'Room Info'!$D$2:$D2446, 0)),IF(G1916='Room Info'!$E$1, INDEX('Room Info'!$A$2:$A2446, MATCH(B1916,'Room Info'!$E$2:$E2446, 0)),IF(G1916='Room Info'!$F$1, INDEX('Room Info'!$A$2:$A2446, MATCH(B1916,'Room Info'!$F$2:$F2446, 0)),IF(G1916='Room Info'!$H$1, INDEX('Room Info'!$A$2:$A2446, MATCH(B1916,'Room Info'!$H$2:$H2446, 0)),IF(G1916='Room Info'!$G$1, INDEX('Room Info'!$A$2:$A2446, MATCH(B1916,'Room Info'!$G$2:$G2446, 0)))))))))</f>
        <v>0</v>
      </c>
      <c r="B1916" s="96"/>
      <c r="C1916" s="111"/>
      <c r="D1916" s="111"/>
      <c r="E1916" s="80"/>
      <c r="F1916" s="96"/>
      <c r="G1916" s="65"/>
      <c r="H1916" s="110"/>
      <c r="I1916" s="110"/>
      <c r="J1916" s="39" t="s">
        <v>334</v>
      </c>
      <c r="K1916" s="112"/>
      <c r="L1916" s="113"/>
      <c r="M1916" s="62"/>
      <c r="N1916" s="28" t="e">
        <f t="shared" si="8"/>
        <v>#VALUE!</v>
      </c>
      <c r="O1916" s="65"/>
      <c r="P1916" s="29" t="s">
        <v>334</v>
      </c>
      <c r="Q1916" s="55"/>
      <c r="R1916" s="31" t="e">
        <f t="shared" si="9"/>
        <v>#VALUE!</v>
      </c>
      <c r="S1916" s="66"/>
      <c r="T1916" s="32" t="e">
        <f t="shared" si="10"/>
        <v>#VALUE!</v>
      </c>
      <c r="U1916" s="57"/>
      <c r="V1916" s="58"/>
      <c r="W1916" s="58"/>
      <c r="X1916" s="30" t="e">
        <f t="shared" si="11"/>
        <v>#N/A</v>
      </c>
      <c r="Y1916" s="30" t="e">
        <f t="shared" si="12"/>
        <v>#N/A</v>
      </c>
      <c r="Z1916" s="35" t="e">
        <f t="shared" si="13"/>
        <v>#VALUE!</v>
      </c>
      <c r="AA1916" s="29" t="e">
        <f t="shared" si="14"/>
        <v>#VALUE!</v>
      </c>
      <c r="AB1916" s="36" t="e">
        <f t="shared" si="15"/>
        <v>#VALUE!</v>
      </c>
      <c r="AC1916" s="37" t="b">
        <v>0</v>
      </c>
      <c r="AD1916" s="61" t="str">
        <f t="shared" si="16"/>
        <v>USD</v>
      </c>
      <c r="AE1916" s="37"/>
      <c r="AF1916" s="37" t="e">
        <f t="array" ref="AF1916">INDEX('Deal Info'!D:D, MATCH(A1916,'Deal Info'!A:A, 0))</f>
        <v>#N/A</v>
      </c>
      <c r="AG1916" s="38" t="e">
        <f t="array" ref="AG1916">INDEX('Deal Info'!G:G, MATCH(A1916,'Deal Info'!A:A, 0))</f>
        <v>#N/A</v>
      </c>
    </row>
    <row r="1917" spans="1:33" ht="14.25" hidden="1" x14ac:dyDescent="0.2">
      <c r="A1917" s="18" t="b">
        <f t="array" ref="A1917">IF(G1917='Room Info'!$B$1, INDEX('Room Info'!$A$2:$A2446, MATCH(B1917,'Room Info'!$B$2:$B2446, 0)),IF(G1917='Room Info'!$C$1, INDEX('Room Info'!$A$2:$A2446, MATCH(B1917,'Room Info'!$C$2:$C2446, 0)),IF(G1917='Room Info'!$D$1, INDEX('Room Info'!$A$2:$A2446, MATCH(B1917,'Room Info'!$D$2:$D2446, 0)),IF(G1917='Room Info'!$E$1, INDEX('Room Info'!$A$2:$A2446, MATCH(B1917,'Room Info'!$E$2:$E2446, 0)),IF(G1917='Room Info'!$F$1, INDEX('Room Info'!$A$2:$A2446, MATCH(B1917,'Room Info'!$F$2:$F2446, 0)),IF(G1917='Room Info'!$H$1, INDEX('Room Info'!$A$2:$A2446, MATCH(B1917,'Room Info'!$H$2:$H2446, 0)),IF(G1917='Room Info'!$G$1, INDEX('Room Info'!$A$2:$A2446, MATCH(B1917,'Room Info'!$G$2:$G2446, 0)))))))))</f>
        <v>0</v>
      </c>
      <c r="B1917" s="96"/>
      <c r="C1917" s="111"/>
      <c r="D1917" s="111"/>
      <c r="E1917" s="80"/>
      <c r="F1917" s="96"/>
      <c r="G1917" s="65"/>
      <c r="H1917" s="110"/>
      <c r="I1917" s="110"/>
      <c r="J1917" s="39" t="s">
        <v>334</v>
      </c>
      <c r="K1917" s="112"/>
      <c r="L1917" s="113"/>
      <c r="M1917" s="62"/>
      <c r="N1917" s="28" t="e">
        <f t="shared" si="8"/>
        <v>#VALUE!</v>
      </c>
      <c r="O1917" s="65"/>
      <c r="P1917" s="29" t="s">
        <v>334</v>
      </c>
      <c r="Q1917" s="55"/>
      <c r="R1917" s="31" t="e">
        <f t="shared" si="9"/>
        <v>#VALUE!</v>
      </c>
      <c r="S1917" s="66"/>
      <c r="T1917" s="32" t="e">
        <f t="shared" si="10"/>
        <v>#VALUE!</v>
      </c>
      <c r="U1917" s="57"/>
      <c r="V1917" s="58"/>
      <c r="W1917" s="58"/>
      <c r="X1917" s="30" t="e">
        <f t="shared" si="11"/>
        <v>#N/A</v>
      </c>
      <c r="Y1917" s="30" t="e">
        <f t="shared" si="12"/>
        <v>#N/A</v>
      </c>
      <c r="Z1917" s="35" t="e">
        <f t="shared" si="13"/>
        <v>#VALUE!</v>
      </c>
      <c r="AA1917" s="29" t="e">
        <f t="shared" si="14"/>
        <v>#VALUE!</v>
      </c>
      <c r="AB1917" s="36" t="e">
        <f t="shared" si="15"/>
        <v>#VALUE!</v>
      </c>
      <c r="AC1917" s="37" t="b">
        <v>0</v>
      </c>
      <c r="AD1917" s="61" t="str">
        <f t="shared" si="16"/>
        <v>USD</v>
      </c>
      <c r="AE1917" s="37"/>
      <c r="AF1917" s="37" t="e">
        <f t="array" ref="AF1917">INDEX('Deal Info'!D:D, MATCH(A1917,'Deal Info'!A:A, 0))</f>
        <v>#N/A</v>
      </c>
      <c r="AG1917" s="38" t="e">
        <f t="array" ref="AG1917">INDEX('Deal Info'!G:G, MATCH(A1917,'Deal Info'!A:A, 0))</f>
        <v>#N/A</v>
      </c>
    </row>
    <row r="1918" spans="1:33" ht="14.25" hidden="1" x14ac:dyDescent="0.2">
      <c r="A1918" s="18" t="b">
        <f t="array" ref="A1918">IF(G1918='Room Info'!$B$1, INDEX('Room Info'!$A$2:$A2446, MATCH(B1918,'Room Info'!$B$2:$B2446, 0)),IF(G1918='Room Info'!$C$1, INDEX('Room Info'!$A$2:$A2446, MATCH(B1918,'Room Info'!$C$2:$C2446, 0)),IF(G1918='Room Info'!$D$1, INDEX('Room Info'!$A$2:$A2446, MATCH(B1918,'Room Info'!$D$2:$D2446, 0)),IF(G1918='Room Info'!$E$1, INDEX('Room Info'!$A$2:$A2446, MATCH(B1918,'Room Info'!$E$2:$E2446, 0)),IF(G1918='Room Info'!$F$1, INDEX('Room Info'!$A$2:$A2446, MATCH(B1918,'Room Info'!$F$2:$F2446, 0)),IF(G1918='Room Info'!$H$1, INDEX('Room Info'!$A$2:$A2446, MATCH(B1918,'Room Info'!$H$2:$H2446, 0)),IF(G1918='Room Info'!$G$1, INDEX('Room Info'!$A$2:$A2446, MATCH(B1918,'Room Info'!$G$2:$G2446, 0)))))))))</f>
        <v>0</v>
      </c>
      <c r="B1918" s="65"/>
      <c r="C1918" s="111"/>
      <c r="D1918" s="111"/>
      <c r="E1918" s="80"/>
      <c r="F1918" s="96"/>
      <c r="G1918" s="65"/>
      <c r="H1918" s="110"/>
      <c r="I1918" s="110"/>
      <c r="J1918" s="39" t="s">
        <v>334</v>
      </c>
      <c r="K1918" s="112"/>
      <c r="L1918" s="113"/>
      <c r="M1918" s="62"/>
      <c r="N1918" s="28" t="e">
        <f t="shared" si="8"/>
        <v>#VALUE!</v>
      </c>
      <c r="O1918" s="65"/>
      <c r="P1918" s="29" t="s">
        <v>334</v>
      </c>
      <c r="Q1918" s="55"/>
      <c r="R1918" s="31" t="e">
        <f t="shared" si="9"/>
        <v>#VALUE!</v>
      </c>
      <c r="S1918" s="66"/>
      <c r="T1918" s="32" t="e">
        <f t="shared" si="10"/>
        <v>#VALUE!</v>
      </c>
      <c r="U1918" s="57"/>
      <c r="V1918" s="58"/>
      <c r="W1918" s="58"/>
      <c r="X1918" s="30" t="e">
        <f t="shared" si="11"/>
        <v>#N/A</v>
      </c>
      <c r="Y1918" s="30" t="e">
        <f t="shared" si="12"/>
        <v>#N/A</v>
      </c>
      <c r="Z1918" s="35" t="e">
        <f t="shared" si="13"/>
        <v>#VALUE!</v>
      </c>
      <c r="AA1918" s="29" t="e">
        <f t="shared" si="14"/>
        <v>#VALUE!</v>
      </c>
      <c r="AB1918" s="36" t="e">
        <f t="shared" si="15"/>
        <v>#VALUE!</v>
      </c>
      <c r="AC1918" s="37" t="b">
        <v>0</v>
      </c>
      <c r="AD1918" s="61" t="str">
        <f t="shared" si="16"/>
        <v>USD</v>
      </c>
      <c r="AE1918" s="37"/>
      <c r="AF1918" s="37" t="e">
        <f t="array" ref="AF1918">INDEX('Deal Info'!D:D, MATCH(A1918,'Deal Info'!A:A, 0))</f>
        <v>#N/A</v>
      </c>
      <c r="AG1918" s="38" t="e">
        <f t="array" ref="AG1918">INDEX('Deal Info'!G:G, MATCH(A1918,'Deal Info'!A:A, 0))</f>
        <v>#N/A</v>
      </c>
    </row>
    <row r="1919" spans="1:33" ht="14.25" hidden="1" x14ac:dyDescent="0.2">
      <c r="A1919" s="18" t="b">
        <f t="array" ref="A1919">IF(G1919='Room Info'!$B$1, INDEX('Room Info'!$A$2:$A2446, MATCH(B1919,'Room Info'!$B$2:$B2446, 0)),IF(G1919='Room Info'!$C$1, INDEX('Room Info'!$A$2:$A2446, MATCH(B1919,'Room Info'!$C$2:$C2446, 0)),IF(G1919='Room Info'!$D$1, INDEX('Room Info'!$A$2:$A2446, MATCH(B1919,'Room Info'!$D$2:$D2446, 0)),IF(G1919='Room Info'!$E$1, INDEX('Room Info'!$A$2:$A2446, MATCH(B1919,'Room Info'!$E$2:$E2446, 0)),IF(G1919='Room Info'!$F$1, INDEX('Room Info'!$A$2:$A2446, MATCH(B1919,'Room Info'!$F$2:$F2446, 0)),IF(G1919='Room Info'!$H$1, INDEX('Room Info'!$A$2:$A2446, MATCH(B1919,'Room Info'!$H$2:$H2446, 0)),IF(G1919='Room Info'!$G$1, INDEX('Room Info'!$A$2:$A2446, MATCH(B1919,'Room Info'!$G$2:$G2446, 0)))))))))</f>
        <v>0</v>
      </c>
      <c r="B1919" s="65"/>
      <c r="C1919" s="111"/>
      <c r="D1919" s="111"/>
      <c r="E1919" s="80"/>
      <c r="F1919" s="96"/>
      <c r="G1919" s="65"/>
      <c r="H1919" s="110"/>
      <c r="I1919" s="110"/>
      <c r="J1919" s="39" t="s">
        <v>334</v>
      </c>
      <c r="K1919" s="112"/>
      <c r="L1919" s="113"/>
      <c r="M1919" s="62"/>
      <c r="N1919" s="28" t="e">
        <f t="shared" si="8"/>
        <v>#VALUE!</v>
      </c>
      <c r="O1919" s="65"/>
      <c r="P1919" s="29" t="s">
        <v>334</v>
      </c>
      <c r="Q1919" s="55"/>
      <c r="R1919" s="31" t="e">
        <f t="shared" si="9"/>
        <v>#VALUE!</v>
      </c>
      <c r="S1919" s="66"/>
      <c r="T1919" s="32" t="e">
        <f t="shared" si="10"/>
        <v>#VALUE!</v>
      </c>
      <c r="U1919" s="57"/>
      <c r="V1919" s="58"/>
      <c r="W1919" s="58"/>
      <c r="X1919" s="30" t="e">
        <f t="shared" si="11"/>
        <v>#N/A</v>
      </c>
      <c r="Y1919" s="30" t="e">
        <f t="shared" si="12"/>
        <v>#N/A</v>
      </c>
      <c r="Z1919" s="35" t="e">
        <f t="shared" si="13"/>
        <v>#VALUE!</v>
      </c>
      <c r="AA1919" s="29" t="e">
        <f t="shared" si="14"/>
        <v>#VALUE!</v>
      </c>
      <c r="AB1919" s="36" t="e">
        <f t="shared" si="15"/>
        <v>#VALUE!</v>
      </c>
      <c r="AC1919" s="37" t="b">
        <v>0</v>
      </c>
      <c r="AD1919" s="61" t="str">
        <f t="shared" si="16"/>
        <v>USD</v>
      </c>
      <c r="AE1919" s="37"/>
      <c r="AF1919" s="37" t="e">
        <f t="array" ref="AF1919">INDEX('Deal Info'!D:D, MATCH(A1919,'Deal Info'!A:A, 0))</f>
        <v>#N/A</v>
      </c>
      <c r="AG1919" s="38" t="e">
        <f t="array" ref="AG1919">INDEX('Deal Info'!G:G, MATCH(A1919,'Deal Info'!A:A, 0))</f>
        <v>#N/A</v>
      </c>
    </row>
    <row r="1920" spans="1:33" ht="14.25" hidden="1" x14ac:dyDescent="0.2">
      <c r="A1920" s="18" t="b">
        <f t="array" ref="A1920">IF(G1920='Room Info'!$B$1, INDEX('Room Info'!$A$2:$A2446, MATCH(B1920,'Room Info'!$B$2:$B2446, 0)),IF(G1920='Room Info'!$C$1, INDEX('Room Info'!$A$2:$A2446, MATCH(B1920,'Room Info'!$C$2:$C2446, 0)),IF(G1920='Room Info'!$D$1, INDEX('Room Info'!$A$2:$A2446, MATCH(B1920,'Room Info'!$D$2:$D2446, 0)),IF(G1920='Room Info'!$E$1, INDEX('Room Info'!$A$2:$A2446, MATCH(B1920,'Room Info'!$E$2:$E2446, 0)),IF(G1920='Room Info'!$F$1, INDEX('Room Info'!$A$2:$A2446, MATCH(B1920,'Room Info'!$F$2:$F2446, 0)),IF(G1920='Room Info'!$H$1, INDEX('Room Info'!$A$2:$A2446, MATCH(B1920,'Room Info'!$H$2:$H2446, 0)),IF(G1920='Room Info'!$G$1, INDEX('Room Info'!$A$2:$A2446, MATCH(B1920,'Room Info'!$G$2:$G2446, 0)))))))))</f>
        <v>0</v>
      </c>
      <c r="B1920" s="65"/>
      <c r="C1920" s="111"/>
      <c r="D1920" s="111"/>
      <c r="E1920" s="80"/>
      <c r="F1920" s="96"/>
      <c r="G1920" s="65"/>
      <c r="H1920" s="110"/>
      <c r="I1920" s="110"/>
      <c r="J1920" s="39" t="s">
        <v>334</v>
      </c>
      <c r="K1920" s="112"/>
      <c r="L1920" s="113"/>
      <c r="M1920" s="62"/>
      <c r="N1920" s="28" t="e">
        <f t="shared" si="8"/>
        <v>#VALUE!</v>
      </c>
      <c r="O1920" s="65"/>
      <c r="P1920" s="29" t="s">
        <v>334</v>
      </c>
      <c r="Q1920" s="55"/>
      <c r="R1920" s="31" t="e">
        <f t="shared" si="9"/>
        <v>#VALUE!</v>
      </c>
      <c r="S1920" s="66"/>
      <c r="T1920" s="32" t="e">
        <f t="shared" si="10"/>
        <v>#VALUE!</v>
      </c>
      <c r="U1920" s="57"/>
      <c r="V1920" s="58"/>
      <c r="W1920" s="58"/>
      <c r="X1920" s="30" t="e">
        <f t="shared" si="11"/>
        <v>#N/A</v>
      </c>
      <c r="Y1920" s="30" t="e">
        <f t="shared" si="12"/>
        <v>#N/A</v>
      </c>
      <c r="Z1920" s="35" t="e">
        <f t="shared" si="13"/>
        <v>#VALUE!</v>
      </c>
      <c r="AA1920" s="29" t="e">
        <f t="shared" si="14"/>
        <v>#VALUE!</v>
      </c>
      <c r="AB1920" s="36" t="e">
        <f t="shared" si="15"/>
        <v>#VALUE!</v>
      </c>
      <c r="AC1920" s="37" t="b">
        <v>0</v>
      </c>
      <c r="AD1920" s="61" t="str">
        <f t="shared" si="16"/>
        <v>USD</v>
      </c>
      <c r="AE1920" s="37"/>
      <c r="AF1920" s="37" t="e">
        <f t="array" ref="AF1920">INDEX('Deal Info'!D:D, MATCH(A1920,'Deal Info'!A:A, 0))</f>
        <v>#N/A</v>
      </c>
      <c r="AG1920" s="38" t="e">
        <f t="array" ref="AG1920">INDEX('Deal Info'!G:G, MATCH(A1920,'Deal Info'!A:A, 0))</f>
        <v>#N/A</v>
      </c>
    </row>
    <row r="1921" spans="1:33" ht="14.25" hidden="1" x14ac:dyDescent="0.2">
      <c r="A1921" s="18" t="b">
        <f t="array" ref="A1921">IF(G1921='Room Info'!$B$1, INDEX('Room Info'!$A$2:$A2446, MATCH(B1921,'Room Info'!$B$2:$B2446, 0)),IF(G1921='Room Info'!$C$1, INDEX('Room Info'!$A$2:$A2446, MATCH(B1921,'Room Info'!$C$2:$C2446, 0)),IF(G1921='Room Info'!$D$1, INDEX('Room Info'!$A$2:$A2446, MATCH(B1921,'Room Info'!$D$2:$D2446, 0)),IF(G1921='Room Info'!$E$1, INDEX('Room Info'!$A$2:$A2446, MATCH(B1921,'Room Info'!$E$2:$E2446, 0)),IF(G1921='Room Info'!$F$1, INDEX('Room Info'!$A$2:$A2446, MATCH(B1921,'Room Info'!$F$2:$F2446, 0)),IF(G1921='Room Info'!$H$1, INDEX('Room Info'!$A$2:$A2446, MATCH(B1921,'Room Info'!$H$2:$H2446, 0)),IF(G1921='Room Info'!$G$1, INDEX('Room Info'!$A$2:$A2446, MATCH(B1921,'Room Info'!$G$2:$G2446, 0)))))))))</f>
        <v>0</v>
      </c>
      <c r="B1921" s="96"/>
      <c r="C1921" s="111"/>
      <c r="D1921" s="111"/>
      <c r="E1921" s="80"/>
      <c r="F1921" s="133"/>
      <c r="G1921" s="96"/>
      <c r="H1921" s="110"/>
      <c r="I1921" s="110"/>
      <c r="J1921" s="39" t="s">
        <v>334</v>
      </c>
      <c r="K1921" s="112"/>
      <c r="L1921" s="113"/>
      <c r="M1921" s="62"/>
      <c r="N1921" s="28" t="e">
        <f t="shared" si="8"/>
        <v>#VALUE!</v>
      </c>
      <c r="O1921" s="65"/>
      <c r="P1921" s="29" t="s">
        <v>334</v>
      </c>
      <c r="Q1921" s="55"/>
      <c r="R1921" s="31" t="e">
        <f t="shared" si="9"/>
        <v>#VALUE!</v>
      </c>
      <c r="S1921" s="66"/>
      <c r="T1921" s="32" t="e">
        <f t="shared" si="10"/>
        <v>#VALUE!</v>
      </c>
      <c r="U1921" s="57"/>
      <c r="V1921" s="58"/>
      <c r="W1921" s="58"/>
      <c r="X1921" s="30" t="e">
        <f t="shared" si="11"/>
        <v>#N/A</v>
      </c>
      <c r="Y1921" s="30" t="e">
        <f t="shared" si="12"/>
        <v>#N/A</v>
      </c>
      <c r="Z1921" s="35" t="e">
        <f t="shared" si="13"/>
        <v>#VALUE!</v>
      </c>
      <c r="AA1921" s="29" t="e">
        <f t="shared" si="14"/>
        <v>#VALUE!</v>
      </c>
      <c r="AB1921" s="36" t="e">
        <f t="shared" si="15"/>
        <v>#VALUE!</v>
      </c>
      <c r="AC1921" s="37" t="b">
        <v>0</v>
      </c>
      <c r="AD1921" s="61" t="str">
        <f t="shared" si="16"/>
        <v>USD</v>
      </c>
      <c r="AE1921" s="37"/>
      <c r="AF1921" s="37" t="e">
        <f t="array" ref="AF1921">INDEX('Deal Info'!D:D, MATCH(A1921,'Deal Info'!A:A, 0))</f>
        <v>#N/A</v>
      </c>
      <c r="AG1921" s="38" t="e">
        <f t="array" ref="AG1921">INDEX('Deal Info'!G:G, MATCH(A1921,'Deal Info'!A:A, 0))</f>
        <v>#N/A</v>
      </c>
    </row>
    <row r="1922" spans="1:33" ht="14.25" hidden="1" x14ac:dyDescent="0.2">
      <c r="A1922" s="18" t="b">
        <f t="array" ref="A1922">IF(G1922='Room Info'!$B$1, INDEX('Room Info'!$A$2:$A2446, MATCH(B1922,'Room Info'!$B$2:$B2446, 0)),IF(G1922='Room Info'!$C$1, INDEX('Room Info'!$A$2:$A2446, MATCH(B1922,'Room Info'!$C$2:$C2446, 0)),IF(G1922='Room Info'!$D$1, INDEX('Room Info'!$A$2:$A2446, MATCH(B1922,'Room Info'!$D$2:$D2446, 0)),IF(G1922='Room Info'!$E$1, INDEX('Room Info'!$A$2:$A2446, MATCH(B1922,'Room Info'!$E$2:$E2446, 0)),IF(G1922='Room Info'!$F$1, INDEX('Room Info'!$A$2:$A2446, MATCH(B1922,'Room Info'!$F$2:$F2446, 0)),IF(G1922='Room Info'!$H$1, INDEX('Room Info'!$A$2:$A2446, MATCH(B1922,'Room Info'!$H$2:$H2446, 0)),IF(G1922='Room Info'!$G$1, INDEX('Room Info'!$A$2:$A2446, MATCH(B1922,'Room Info'!$G$2:$G2446, 0)))))))))</f>
        <v>0</v>
      </c>
      <c r="B1922" s="96"/>
      <c r="C1922" s="111"/>
      <c r="D1922" s="111"/>
      <c r="E1922" s="80"/>
      <c r="F1922" s="133"/>
      <c r="G1922" s="96"/>
      <c r="H1922" s="110"/>
      <c r="I1922" s="110"/>
      <c r="J1922" s="39" t="s">
        <v>334</v>
      </c>
      <c r="K1922" s="112"/>
      <c r="L1922" s="113"/>
      <c r="M1922" s="62"/>
      <c r="N1922" s="28" t="e">
        <f t="shared" si="8"/>
        <v>#VALUE!</v>
      </c>
      <c r="O1922" s="65"/>
      <c r="P1922" s="29" t="s">
        <v>334</v>
      </c>
      <c r="Q1922" s="55"/>
      <c r="R1922" s="31" t="e">
        <f t="shared" si="9"/>
        <v>#VALUE!</v>
      </c>
      <c r="S1922" s="66"/>
      <c r="T1922" s="32" t="e">
        <f t="shared" si="10"/>
        <v>#VALUE!</v>
      </c>
      <c r="U1922" s="57"/>
      <c r="V1922" s="58"/>
      <c r="W1922" s="58"/>
      <c r="X1922" s="30" t="e">
        <f t="shared" si="11"/>
        <v>#N/A</v>
      </c>
      <c r="Y1922" s="30" t="e">
        <f t="shared" si="12"/>
        <v>#N/A</v>
      </c>
      <c r="Z1922" s="35" t="e">
        <f t="shared" si="13"/>
        <v>#VALUE!</v>
      </c>
      <c r="AA1922" s="29" t="e">
        <f t="shared" si="14"/>
        <v>#VALUE!</v>
      </c>
      <c r="AB1922" s="36" t="e">
        <f t="shared" si="15"/>
        <v>#VALUE!</v>
      </c>
      <c r="AC1922" s="37" t="b">
        <v>0</v>
      </c>
      <c r="AD1922" s="61" t="str">
        <f t="shared" si="16"/>
        <v>USD</v>
      </c>
      <c r="AE1922" s="37"/>
      <c r="AF1922" s="37" t="e">
        <f t="array" ref="AF1922">INDEX('Deal Info'!D:D, MATCH(A1922,'Deal Info'!A:A, 0))</f>
        <v>#N/A</v>
      </c>
      <c r="AG1922" s="38" t="e">
        <f t="array" ref="AG1922">INDEX('Deal Info'!G:G, MATCH(A1922,'Deal Info'!A:A, 0))</f>
        <v>#N/A</v>
      </c>
    </row>
    <row r="1923" spans="1:33" ht="14.25" hidden="1" x14ac:dyDescent="0.2">
      <c r="A1923" s="18" t="b">
        <f t="array" ref="A1923">IF(G1923='Room Info'!$B$1, INDEX('Room Info'!$A$2:$A2446, MATCH(B1923,'Room Info'!$B$2:$B2446, 0)),IF(G1923='Room Info'!$C$1, INDEX('Room Info'!$A$2:$A2446, MATCH(B1923,'Room Info'!$C$2:$C2446, 0)),IF(G1923='Room Info'!$D$1, INDEX('Room Info'!$A$2:$A2446, MATCH(B1923,'Room Info'!$D$2:$D2446, 0)),IF(G1923='Room Info'!$E$1, INDEX('Room Info'!$A$2:$A2446, MATCH(B1923,'Room Info'!$E$2:$E2446, 0)),IF(G1923='Room Info'!$F$1, INDEX('Room Info'!$A$2:$A2446, MATCH(B1923,'Room Info'!$F$2:$F2446, 0)),IF(G1923='Room Info'!$H$1, INDEX('Room Info'!$A$2:$A2446, MATCH(B1923,'Room Info'!$H$2:$H2446, 0)),IF(G1923='Room Info'!$G$1, INDEX('Room Info'!$A$2:$A2446, MATCH(B1923,'Room Info'!$G$2:$G2446, 0)))))))))</f>
        <v>0</v>
      </c>
      <c r="B1923" s="96"/>
      <c r="C1923" s="111"/>
      <c r="D1923" s="111"/>
      <c r="E1923" s="80"/>
      <c r="F1923" s="133"/>
      <c r="G1923" s="96"/>
      <c r="H1923" s="110"/>
      <c r="I1923" s="110"/>
      <c r="J1923" s="39" t="s">
        <v>334</v>
      </c>
      <c r="K1923" s="112"/>
      <c r="L1923" s="113"/>
      <c r="M1923" s="62"/>
      <c r="N1923" s="28" t="e">
        <f t="shared" si="8"/>
        <v>#VALUE!</v>
      </c>
      <c r="O1923" s="65"/>
      <c r="P1923" s="29" t="s">
        <v>334</v>
      </c>
      <c r="Q1923" s="55"/>
      <c r="R1923" s="31" t="e">
        <f t="shared" si="9"/>
        <v>#VALUE!</v>
      </c>
      <c r="S1923" s="66"/>
      <c r="T1923" s="32" t="e">
        <f t="shared" si="10"/>
        <v>#VALUE!</v>
      </c>
      <c r="U1923" s="57"/>
      <c r="V1923" s="58"/>
      <c r="W1923" s="58"/>
      <c r="X1923" s="30" t="e">
        <f t="shared" si="11"/>
        <v>#N/A</v>
      </c>
      <c r="Y1923" s="30" t="e">
        <f t="shared" si="12"/>
        <v>#N/A</v>
      </c>
      <c r="Z1923" s="35" t="e">
        <f t="shared" si="13"/>
        <v>#VALUE!</v>
      </c>
      <c r="AA1923" s="29" t="e">
        <f t="shared" si="14"/>
        <v>#VALUE!</v>
      </c>
      <c r="AB1923" s="36" t="e">
        <f t="shared" si="15"/>
        <v>#VALUE!</v>
      </c>
      <c r="AC1923" s="37" t="b">
        <v>0</v>
      </c>
      <c r="AD1923" s="61" t="str">
        <f t="shared" si="16"/>
        <v>USD</v>
      </c>
      <c r="AE1923" s="37"/>
      <c r="AF1923" s="37" t="e">
        <f t="array" ref="AF1923">INDEX('Deal Info'!D:D, MATCH(A1923,'Deal Info'!A:A, 0))</f>
        <v>#N/A</v>
      </c>
      <c r="AG1923" s="38" t="e">
        <f t="array" ref="AG1923">INDEX('Deal Info'!G:G, MATCH(A1923,'Deal Info'!A:A, 0))</f>
        <v>#N/A</v>
      </c>
    </row>
    <row r="1924" spans="1:33" ht="14.25" hidden="1" x14ac:dyDescent="0.2">
      <c r="A1924" s="18" t="b">
        <f t="array" ref="A1924">IF(G1924='Room Info'!$B$1, INDEX('Room Info'!$A$2:$A2446, MATCH(B1924,'Room Info'!$B$2:$B2446, 0)),IF(G1924='Room Info'!$C$1, INDEX('Room Info'!$A$2:$A2446, MATCH(B1924,'Room Info'!$C$2:$C2446, 0)),IF(G1924='Room Info'!$D$1, INDEX('Room Info'!$A$2:$A2446, MATCH(B1924,'Room Info'!$D$2:$D2446, 0)),IF(G1924='Room Info'!$E$1, INDEX('Room Info'!$A$2:$A2446, MATCH(B1924,'Room Info'!$E$2:$E2446, 0)),IF(G1924='Room Info'!$F$1, INDEX('Room Info'!$A$2:$A2446, MATCH(B1924,'Room Info'!$F$2:$F2446, 0)),IF(G1924='Room Info'!$H$1, INDEX('Room Info'!$A$2:$A2446, MATCH(B1924,'Room Info'!$H$2:$H2446, 0)),IF(G1924='Room Info'!$G$1, INDEX('Room Info'!$A$2:$A2446, MATCH(B1924,'Room Info'!$G$2:$G2446, 0)))))))))</f>
        <v>0</v>
      </c>
      <c r="B1924" s="96"/>
      <c r="C1924" s="111"/>
      <c r="D1924" s="111"/>
      <c r="E1924" s="80"/>
      <c r="F1924" s="133"/>
      <c r="G1924" s="96"/>
      <c r="H1924" s="110"/>
      <c r="I1924" s="110"/>
      <c r="J1924" s="39" t="s">
        <v>334</v>
      </c>
      <c r="K1924" s="112"/>
      <c r="L1924" s="113"/>
      <c r="M1924" s="62"/>
      <c r="N1924" s="28" t="e">
        <f t="shared" si="8"/>
        <v>#VALUE!</v>
      </c>
      <c r="O1924" s="65"/>
      <c r="P1924" s="29" t="s">
        <v>334</v>
      </c>
      <c r="Q1924" s="55"/>
      <c r="R1924" s="31" t="e">
        <f t="shared" si="9"/>
        <v>#VALUE!</v>
      </c>
      <c r="S1924" s="66"/>
      <c r="T1924" s="32" t="e">
        <f t="shared" si="10"/>
        <v>#VALUE!</v>
      </c>
      <c r="U1924" s="57"/>
      <c r="V1924" s="58"/>
      <c r="W1924" s="58"/>
      <c r="X1924" s="30" t="e">
        <f t="shared" si="11"/>
        <v>#N/A</v>
      </c>
      <c r="Y1924" s="30" t="e">
        <f t="shared" si="12"/>
        <v>#N/A</v>
      </c>
      <c r="Z1924" s="35" t="e">
        <f t="shared" si="13"/>
        <v>#VALUE!</v>
      </c>
      <c r="AA1924" s="29" t="e">
        <f t="shared" si="14"/>
        <v>#VALUE!</v>
      </c>
      <c r="AB1924" s="36" t="e">
        <f t="shared" si="15"/>
        <v>#VALUE!</v>
      </c>
      <c r="AC1924" s="37" t="b">
        <v>0</v>
      </c>
      <c r="AD1924" s="61" t="str">
        <f t="shared" si="16"/>
        <v>USD</v>
      </c>
      <c r="AE1924" s="37"/>
      <c r="AF1924" s="37" t="e">
        <f t="array" ref="AF1924">INDEX('Deal Info'!D:D, MATCH(A1924,'Deal Info'!A:A, 0))</f>
        <v>#N/A</v>
      </c>
      <c r="AG1924" s="38" t="e">
        <f t="array" ref="AG1924">INDEX('Deal Info'!G:G, MATCH(A1924,'Deal Info'!A:A, 0))</f>
        <v>#N/A</v>
      </c>
    </row>
    <row r="1925" spans="1:33" ht="14.25" hidden="1" x14ac:dyDescent="0.2">
      <c r="A1925" s="18" t="b">
        <f t="array" ref="A1925">IF(G1925='Room Info'!$B$1, INDEX('Room Info'!$A$2:$A2446, MATCH(B1925,'Room Info'!$B$2:$B2446, 0)),IF(G1925='Room Info'!$C$1, INDEX('Room Info'!$A$2:$A2446, MATCH(B1925,'Room Info'!$C$2:$C2446, 0)),IF(G1925='Room Info'!$D$1, INDEX('Room Info'!$A$2:$A2446, MATCH(B1925,'Room Info'!$D$2:$D2446, 0)),IF(G1925='Room Info'!$E$1, INDEX('Room Info'!$A$2:$A2446, MATCH(B1925,'Room Info'!$E$2:$E2446, 0)),IF(G1925='Room Info'!$F$1, INDEX('Room Info'!$A$2:$A2446, MATCH(B1925,'Room Info'!$F$2:$F2446, 0)),IF(G1925='Room Info'!$H$1, INDEX('Room Info'!$A$2:$A2446, MATCH(B1925,'Room Info'!$H$2:$H2446, 0)),IF(G1925='Room Info'!$G$1, INDEX('Room Info'!$A$2:$A2446, MATCH(B1925,'Room Info'!$G$2:$G2446, 0)))))))))</f>
        <v>0</v>
      </c>
      <c r="B1925" s="96"/>
      <c r="C1925" s="136"/>
      <c r="D1925" s="136"/>
      <c r="E1925" s="137"/>
      <c r="F1925" s="133"/>
      <c r="G1925" s="96"/>
      <c r="H1925" s="100"/>
      <c r="I1925" s="100"/>
      <c r="J1925" s="39" t="s">
        <v>334</v>
      </c>
      <c r="K1925" s="134"/>
      <c r="L1925" s="135"/>
      <c r="M1925" s="79"/>
      <c r="N1925" s="28" t="e">
        <f t="shared" si="8"/>
        <v>#VALUE!</v>
      </c>
      <c r="O1925" s="96"/>
      <c r="P1925" s="29" t="s">
        <v>334</v>
      </c>
      <c r="Q1925" s="55"/>
      <c r="R1925" s="31" t="e">
        <f t="shared" si="9"/>
        <v>#VALUE!</v>
      </c>
      <c r="S1925" s="97"/>
      <c r="T1925" s="32" t="e">
        <f t="shared" si="10"/>
        <v>#VALUE!</v>
      </c>
      <c r="U1925" s="57"/>
      <c r="V1925" s="58"/>
      <c r="W1925" s="58"/>
      <c r="X1925" s="30" t="e">
        <f t="shared" si="11"/>
        <v>#N/A</v>
      </c>
      <c r="Y1925" s="30" t="e">
        <f t="shared" si="12"/>
        <v>#N/A</v>
      </c>
      <c r="Z1925" s="35" t="e">
        <f t="shared" si="13"/>
        <v>#VALUE!</v>
      </c>
      <c r="AA1925" s="29" t="e">
        <f t="shared" si="14"/>
        <v>#VALUE!</v>
      </c>
      <c r="AB1925" s="36" t="e">
        <f t="shared" si="15"/>
        <v>#VALUE!</v>
      </c>
      <c r="AC1925" s="37" t="b">
        <v>0</v>
      </c>
      <c r="AD1925" s="61" t="str">
        <f t="shared" si="16"/>
        <v>USD</v>
      </c>
      <c r="AE1925" s="37"/>
      <c r="AF1925" s="37" t="e">
        <f t="array" ref="AF1925">INDEX('Deal Info'!D:D, MATCH(A1925,'Deal Info'!A:A, 0))</f>
        <v>#N/A</v>
      </c>
      <c r="AG1925" s="38" t="e">
        <f t="array" ref="AG1925">INDEX('Deal Info'!G:G, MATCH(A1925,'Deal Info'!A:A, 0))</f>
        <v>#N/A</v>
      </c>
    </row>
    <row r="1926" spans="1:33" ht="14.25" hidden="1" x14ac:dyDescent="0.2">
      <c r="A1926" s="18" t="b">
        <f t="array" ref="A1926">IF(G1926='Room Info'!$B$1, INDEX('Room Info'!$A$2:$A2446, MATCH(B1926,'Room Info'!$B$2:$B2446, 0)),IF(G1926='Room Info'!$C$1, INDEX('Room Info'!$A$2:$A2446, MATCH(B1926,'Room Info'!$C$2:$C2446, 0)),IF(G1926='Room Info'!$D$1, INDEX('Room Info'!$A$2:$A2446, MATCH(B1926,'Room Info'!$D$2:$D2446, 0)),IF(G1926='Room Info'!$E$1, INDEX('Room Info'!$A$2:$A2446, MATCH(B1926,'Room Info'!$E$2:$E2446, 0)),IF(G1926='Room Info'!$F$1, INDEX('Room Info'!$A$2:$A2446, MATCH(B1926,'Room Info'!$F$2:$F2446, 0)),IF(G1926='Room Info'!$H$1, INDEX('Room Info'!$A$2:$A2446, MATCH(B1926,'Room Info'!$H$2:$H2446, 0)),IF(G1926='Room Info'!$G$1, INDEX('Room Info'!$A$2:$A2446, MATCH(B1926,'Room Info'!$G$2:$G2446, 0)))))))))</f>
        <v>0</v>
      </c>
      <c r="B1926" s="96"/>
      <c r="C1926" s="136"/>
      <c r="D1926" s="136"/>
      <c r="E1926" s="137"/>
      <c r="F1926" s="133"/>
      <c r="G1926" s="96"/>
      <c r="H1926" s="100"/>
      <c r="I1926" s="100"/>
      <c r="J1926" s="39" t="s">
        <v>334</v>
      </c>
      <c r="K1926" s="134"/>
      <c r="L1926" s="135"/>
      <c r="M1926" s="79"/>
      <c r="N1926" s="28" t="e">
        <f t="shared" si="8"/>
        <v>#VALUE!</v>
      </c>
      <c r="O1926" s="96"/>
      <c r="P1926" s="29" t="s">
        <v>334</v>
      </c>
      <c r="Q1926" s="55"/>
      <c r="R1926" s="31" t="e">
        <f t="shared" si="9"/>
        <v>#VALUE!</v>
      </c>
      <c r="S1926" s="97"/>
      <c r="T1926" s="32" t="e">
        <f t="shared" si="10"/>
        <v>#VALUE!</v>
      </c>
      <c r="U1926" s="57"/>
      <c r="V1926" s="58"/>
      <c r="W1926" s="58"/>
      <c r="X1926" s="30" t="e">
        <f t="shared" si="11"/>
        <v>#N/A</v>
      </c>
      <c r="Y1926" s="30" t="e">
        <f t="shared" si="12"/>
        <v>#N/A</v>
      </c>
      <c r="Z1926" s="35" t="e">
        <f t="shared" si="13"/>
        <v>#VALUE!</v>
      </c>
      <c r="AA1926" s="29" t="e">
        <f t="shared" si="14"/>
        <v>#VALUE!</v>
      </c>
      <c r="AB1926" s="36" t="e">
        <f t="shared" si="15"/>
        <v>#VALUE!</v>
      </c>
      <c r="AC1926" s="37" t="b">
        <v>0</v>
      </c>
      <c r="AD1926" s="61" t="str">
        <f t="shared" si="16"/>
        <v>USD</v>
      </c>
      <c r="AE1926" s="37"/>
      <c r="AF1926" s="37" t="e">
        <f t="array" ref="AF1926">INDEX('Deal Info'!D:D, MATCH(A1926,'Deal Info'!A:A, 0))</f>
        <v>#N/A</v>
      </c>
      <c r="AG1926" s="38" t="e">
        <f t="array" ref="AG1926">INDEX('Deal Info'!G:G, MATCH(A1926,'Deal Info'!A:A, 0))</f>
        <v>#N/A</v>
      </c>
    </row>
    <row r="1927" spans="1:33" ht="14.25" hidden="1" x14ac:dyDescent="0.2">
      <c r="A1927" s="18" t="b">
        <f t="array" ref="A1927">IF(G1927='Room Info'!$B$1, INDEX('Room Info'!$A$2:$A2446, MATCH(B1927,'Room Info'!$B$2:$B2446, 0)),IF(G1927='Room Info'!$C$1, INDEX('Room Info'!$A$2:$A2446, MATCH(B1927,'Room Info'!$C$2:$C2446, 0)),IF(G1927='Room Info'!$D$1, INDEX('Room Info'!$A$2:$A2446, MATCH(B1927,'Room Info'!$D$2:$D2446, 0)),IF(G1927='Room Info'!$E$1, INDEX('Room Info'!$A$2:$A2446, MATCH(B1927,'Room Info'!$E$2:$E2446, 0)),IF(G1927='Room Info'!$F$1, INDEX('Room Info'!$A$2:$A2446, MATCH(B1927,'Room Info'!$F$2:$F2446, 0)),IF(G1927='Room Info'!$H$1, INDEX('Room Info'!$A$2:$A2446, MATCH(B1927,'Room Info'!$H$2:$H2446, 0)),IF(G1927='Room Info'!$G$1, INDEX('Room Info'!$A$2:$A2446, MATCH(B1927,'Room Info'!$G$2:$G2446, 0)))))))))</f>
        <v>0</v>
      </c>
      <c r="B1927" s="96"/>
      <c r="C1927" s="136"/>
      <c r="D1927" s="136"/>
      <c r="E1927" s="137"/>
      <c r="F1927" s="133"/>
      <c r="G1927" s="96"/>
      <c r="H1927" s="100"/>
      <c r="I1927" s="100"/>
      <c r="J1927" s="39" t="s">
        <v>334</v>
      </c>
      <c r="K1927" s="134"/>
      <c r="L1927" s="135"/>
      <c r="M1927" s="79"/>
      <c r="N1927" s="28" t="e">
        <f t="shared" si="8"/>
        <v>#VALUE!</v>
      </c>
      <c r="O1927" s="96"/>
      <c r="P1927" s="29" t="s">
        <v>334</v>
      </c>
      <c r="Q1927" s="55"/>
      <c r="R1927" s="31" t="e">
        <f t="shared" si="9"/>
        <v>#VALUE!</v>
      </c>
      <c r="S1927" s="97"/>
      <c r="T1927" s="32" t="e">
        <f t="shared" si="10"/>
        <v>#VALUE!</v>
      </c>
      <c r="U1927" s="57"/>
      <c r="V1927" s="58"/>
      <c r="W1927" s="58"/>
      <c r="X1927" s="30" t="e">
        <f t="shared" si="11"/>
        <v>#N/A</v>
      </c>
      <c r="Y1927" s="30" t="e">
        <f t="shared" si="12"/>
        <v>#N/A</v>
      </c>
      <c r="Z1927" s="35" t="e">
        <f t="shared" si="13"/>
        <v>#VALUE!</v>
      </c>
      <c r="AA1927" s="29" t="e">
        <f t="shared" si="14"/>
        <v>#VALUE!</v>
      </c>
      <c r="AB1927" s="36" t="e">
        <f t="shared" si="15"/>
        <v>#VALUE!</v>
      </c>
      <c r="AC1927" s="37" t="b">
        <v>0</v>
      </c>
      <c r="AD1927" s="61" t="str">
        <f t="shared" si="16"/>
        <v>USD</v>
      </c>
      <c r="AE1927" s="37"/>
      <c r="AF1927" s="37" t="e">
        <f t="array" ref="AF1927">INDEX('Deal Info'!D:D, MATCH(A1927,'Deal Info'!A:A, 0))</f>
        <v>#N/A</v>
      </c>
      <c r="AG1927" s="38" t="e">
        <f t="array" ref="AG1927">INDEX('Deal Info'!G:G, MATCH(A1927,'Deal Info'!A:A, 0))</f>
        <v>#N/A</v>
      </c>
    </row>
    <row r="1928" spans="1:33" ht="14.25" hidden="1" x14ac:dyDescent="0.2">
      <c r="A1928" s="18" t="b">
        <f t="array" ref="A1928">IF(G1928='Room Info'!$B$1, INDEX('Room Info'!$A$2:$A2446, MATCH(B1928,'Room Info'!$B$2:$B2446, 0)),IF(G1928='Room Info'!$C$1, INDEX('Room Info'!$A$2:$A2446, MATCH(B1928,'Room Info'!$C$2:$C2446, 0)),IF(G1928='Room Info'!$D$1, INDEX('Room Info'!$A$2:$A2446, MATCH(B1928,'Room Info'!$D$2:$D2446, 0)),IF(G1928='Room Info'!$E$1, INDEX('Room Info'!$A$2:$A2446, MATCH(B1928,'Room Info'!$E$2:$E2446, 0)),IF(G1928='Room Info'!$F$1, INDEX('Room Info'!$A$2:$A2446, MATCH(B1928,'Room Info'!$F$2:$F2446, 0)),IF(G1928='Room Info'!$H$1, INDEX('Room Info'!$A$2:$A2446, MATCH(B1928,'Room Info'!$H$2:$H2446, 0)),IF(G1928='Room Info'!$G$1, INDEX('Room Info'!$A$2:$A2446, MATCH(B1928,'Room Info'!$G$2:$G2446, 0)))))))))</f>
        <v>0</v>
      </c>
      <c r="B1928" s="96"/>
      <c r="C1928" s="111"/>
      <c r="D1928" s="111"/>
      <c r="E1928" s="80"/>
      <c r="F1928" s="133"/>
      <c r="G1928" s="96"/>
      <c r="H1928" s="110"/>
      <c r="I1928" s="110"/>
      <c r="J1928" s="39" t="s">
        <v>334</v>
      </c>
      <c r="K1928" s="112"/>
      <c r="L1928" s="113"/>
      <c r="M1928" s="62"/>
      <c r="N1928" s="28" t="e">
        <f t="shared" si="8"/>
        <v>#VALUE!</v>
      </c>
      <c r="O1928" s="65"/>
      <c r="P1928" s="29" t="s">
        <v>334</v>
      </c>
      <c r="Q1928" s="55"/>
      <c r="R1928" s="31" t="e">
        <f t="shared" si="9"/>
        <v>#VALUE!</v>
      </c>
      <c r="S1928" s="66"/>
      <c r="T1928" s="32" t="e">
        <f t="shared" si="10"/>
        <v>#VALUE!</v>
      </c>
      <c r="U1928" s="57"/>
      <c r="V1928" s="58"/>
      <c r="W1928" s="58"/>
      <c r="X1928" s="30" t="e">
        <f t="shared" si="11"/>
        <v>#N/A</v>
      </c>
      <c r="Y1928" s="30" t="e">
        <f t="shared" si="12"/>
        <v>#N/A</v>
      </c>
      <c r="Z1928" s="35" t="e">
        <f t="shared" si="13"/>
        <v>#VALUE!</v>
      </c>
      <c r="AA1928" s="29" t="e">
        <f t="shared" si="14"/>
        <v>#VALUE!</v>
      </c>
      <c r="AB1928" s="36" t="e">
        <f t="shared" si="15"/>
        <v>#VALUE!</v>
      </c>
      <c r="AC1928" s="37" t="b">
        <v>0</v>
      </c>
      <c r="AD1928" s="61" t="str">
        <f t="shared" si="16"/>
        <v>USD</v>
      </c>
      <c r="AE1928" s="37"/>
      <c r="AF1928" s="37" t="e">
        <f t="array" ref="AF1928">INDEX('Deal Info'!D:D, MATCH(A1928,'Deal Info'!A:A, 0))</f>
        <v>#N/A</v>
      </c>
      <c r="AG1928" s="38" t="e">
        <f t="array" ref="AG1928">INDEX('Deal Info'!G:G, MATCH(A1928,'Deal Info'!A:A, 0))</f>
        <v>#N/A</v>
      </c>
    </row>
    <row r="1929" spans="1:33" ht="14.25" hidden="1" x14ac:dyDescent="0.2">
      <c r="A1929" s="18" t="b">
        <f t="array" ref="A1929">IF(G1929='Room Info'!$B$1, INDEX('Room Info'!$A$2:$A2446, MATCH(B1929,'Room Info'!$B$2:$B2446, 0)),IF(G1929='Room Info'!$C$1, INDEX('Room Info'!$A$2:$A2446, MATCH(B1929,'Room Info'!$C$2:$C2446, 0)),IF(G1929='Room Info'!$D$1, INDEX('Room Info'!$A$2:$A2446, MATCH(B1929,'Room Info'!$D$2:$D2446, 0)),IF(G1929='Room Info'!$E$1, INDEX('Room Info'!$A$2:$A2446, MATCH(B1929,'Room Info'!$E$2:$E2446, 0)),IF(G1929='Room Info'!$F$1, INDEX('Room Info'!$A$2:$A2446, MATCH(B1929,'Room Info'!$F$2:$F2446, 0)),IF(G1929='Room Info'!$H$1, INDEX('Room Info'!$A$2:$A2446, MATCH(B1929,'Room Info'!$H$2:$H2446, 0)),IF(G1929='Room Info'!$G$1, INDEX('Room Info'!$A$2:$A2446, MATCH(B1929,'Room Info'!$G$2:$G2446, 0)))))))))</f>
        <v>0</v>
      </c>
      <c r="B1929" s="96"/>
      <c r="C1929" s="111"/>
      <c r="D1929" s="111"/>
      <c r="E1929" s="80"/>
      <c r="F1929" s="133"/>
      <c r="G1929" s="96"/>
      <c r="H1929" s="110"/>
      <c r="I1929" s="110"/>
      <c r="J1929" s="39" t="s">
        <v>334</v>
      </c>
      <c r="K1929" s="112"/>
      <c r="L1929" s="113"/>
      <c r="M1929" s="62"/>
      <c r="N1929" s="28" t="e">
        <f t="shared" si="8"/>
        <v>#VALUE!</v>
      </c>
      <c r="O1929" s="65"/>
      <c r="P1929" s="29" t="s">
        <v>334</v>
      </c>
      <c r="Q1929" s="55"/>
      <c r="R1929" s="31" t="e">
        <f t="shared" si="9"/>
        <v>#VALUE!</v>
      </c>
      <c r="S1929" s="66"/>
      <c r="T1929" s="32" t="e">
        <f t="shared" si="10"/>
        <v>#VALUE!</v>
      </c>
      <c r="U1929" s="57"/>
      <c r="V1929" s="58"/>
      <c r="W1929" s="58"/>
      <c r="X1929" s="30" t="e">
        <f t="shared" si="11"/>
        <v>#N/A</v>
      </c>
      <c r="Y1929" s="30" t="e">
        <f t="shared" si="12"/>
        <v>#N/A</v>
      </c>
      <c r="Z1929" s="35" t="e">
        <f t="shared" si="13"/>
        <v>#VALUE!</v>
      </c>
      <c r="AA1929" s="29" t="e">
        <f t="shared" si="14"/>
        <v>#VALUE!</v>
      </c>
      <c r="AB1929" s="36" t="e">
        <f t="shared" si="15"/>
        <v>#VALUE!</v>
      </c>
      <c r="AC1929" s="37" t="b">
        <v>0</v>
      </c>
      <c r="AD1929" s="61" t="str">
        <f t="shared" si="16"/>
        <v>USD</v>
      </c>
      <c r="AE1929" s="37"/>
      <c r="AF1929" s="37" t="e">
        <f t="array" ref="AF1929">INDEX('Deal Info'!D:D, MATCH(A1929,'Deal Info'!A:A, 0))</f>
        <v>#N/A</v>
      </c>
      <c r="AG1929" s="38" t="e">
        <f t="array" ref="AG1929">INDEX('Deal Info'!G:G, MATCH(A1929,'Deal Info'!A:A, 0))</f>
        <v>#N/A</v>
      </c>
    </row>
    <row r="1930" spans="1:33" ht="14.25" hidden="1" x14ac:dyDescent="0.2">
      <c r="A1930" s="18" t="b">
        <f t="array" ref="A1930">IF(G1930='Room Info'!$B$1, INDEX('Room Info'!$A$2:$A2446, MATCH(B1930,'Room Info'!$B$2:$B2446, 0)),IF(G1930='Room Info'!$C$1, INDEX('Room Info'!$A$2:$A2446, MATCH(B1930,'Room Info'!$C$2:$C2446, 0)),IF(G1930='Room Info'!$D$1, INDEX('Room Info'!$A$2:$A2446, MATCH(B1930,'Room Info'!$D$2:$D2446, 0)),IF(G1930='Room Info'!$E$1, INDEX('Room Info'!$A$2:$A2446, MATCH(B1930,'Room Info'!$E$2:$E2446, 0)),IF(G1930='Room Info'!$F$1, INDEX('Room Info'!$A$2:$A2446, MATCH(B1930,'Room Info'!$F$2:$F2446, 0)),IF(G1930='Room Info'!$H$1, INDEX('Room Info'!$A$2:$A2446, MATCH(B1930,'Room Info'!$H$2:$H2446, 0)),IF(G1930='Room Info'!$G$1, INDEX('Room Info'!$A$2:$A2446, MATCH(B1930,'Room Info'!$G$2:$G2446, 0)))))))))</f>
        <v>0</v>
      </c>
      <c r="B1930" s="96"/>
      <c r="C1930" s="111"/>
      <c r="D1930" s="111"/>
      <c r="E1930" s="80"/>
      <c r="F1930" s="133"/>
      <c r="G1930" s="96"/>
      <c r="H1930" s="110"/>
      <c r="I1930" s="110"/>
      <c r="J1930" s="39" t="s">
        <v>334</v>
      </c>
      <c r="K1930" s="112"/>
      <c r="L1930" s="113"/>
      <c r="M1930" s="62"/>
      <c r="N1930" s="28" t="e">
        <f t="shared" si="8"/>
        <v>#VALUE!</v>
      </c>
      <c r="O1930" s="65"/>
      <c r="P1930" s="29" t="s">
        <v>334</v>
      </c>
      <c r="Q1930" s="55"/>
      <c r="R1930" s="31" t="e">
        <f t="shared" si="9"/>
        <v>#VALUE!</v>
      </c>
      <c r="S1930" s="66"/>
      <c r="T1930" s="32" t="e">
        <f t="shared" si="10"/>
        <v>#VALUE!</v>
      </c>
      <c r="U1930" s="57"/>
      <c r="V1930" s="58"/>
      <c r="W1930" s="58"/>
      <c r="X1930" s="30" t="e">
        <f t="shared" si="11"/>
        <v>#N/A</v>
      </c>
      <c r="Y1930" s="30" t="e">
        <f t="shared" si="12"/>
        <v>#N/A</v>
      </c>
      <c r="Z1930" s="35" t="e">
        <f t="shared" si="13"/>
        <v>#VALUE!</v>
      </c>
      <c r="AA1930" s="29" t="e">
        <f t="shared" si="14"/>
        <v>#VALUE!</v>
      </c>
      <c r="AB1930" s="36" t="e">
        <f t="shared" si="15"/>
        <v>#VALUE!</v>
      </c>
      <c r="AC1930" s="37" t="b">
        <v>0</v>
      </c>
      <c r="AD1930" s="61" t="str">
        <f t="shared" si="16"/>
        <v>USD</v>
      </c>
      <c r="AE1930" s="37"/>
      <c r="AF1930" s="37" t="e">
        <f t="array" ref="AF1930">INDEX('Deal Info'!D:D, MATCH(A1930,'Deal Info'!A:A, 0))</f>
        <v>#N/A</v>
      </c>
      <c r="AG1930" s="38" t="e">
        <f t="array" ref="AG1930">INDEX('Deal Info'!G:G, MATCH(A1930,'Deal Info'!A:A, 0))</f>
        <v>#N/A</v>
      </c>
    </row>
    <row r="1931" spans="1:33" ht="14.25" hidden="1" x14ac:dyDescent="0.2">
      <c r="A1931" s="18" t="b">
        <f t="array" ref="A1931">IF(G1931='Room Info'!$B$1, INDEX('Room Info'!$A$2:$A2446, MATCH(B1931,'Room Info'!$B$2:$B2446, 0)),IF(G1931='Room Info'!$C$1, INDEX('Room Info'!$A$2:$A2446, MATCH(B1931,'Room Info'!$C$2:$C2446, 0)),IF(G1931='Room Info'!$D$1, INDEX('Room Info'!$A$2:$A2446, MATCH(B1931,'Room Info'!$D$2:$D2446, 0)),IF(G1931='Room Info'!$E$1, INDEX('Room Info'!$A$2:$A2446, MATCH(B1931,'Room Info'!$E$2:$E2446, 0)),IF(G1931='Room Info'!$F$1, INDEX('Room Info'!$A$2:$A2446, MATCH(B1931,'Room Info'!$F$2:$F2446, 0)),IF(G1931='Room Info'!$H$1, INDEX('Room Info'!$A$2:$A2446, MATCH(B1931,'Room Info'!$H$2:$H2446, 0)),IF(G1931='Room Info'!$G$1, INDEX('Room Info'!$A$2:$A2446, MATCH(B1931,'Room Info'!$G$2:$G2446, 0)))))))))</f>
        <v>0</v>
      </c>
      <c r="B1931" s="96"/>
      <c r="C1931" s="111"/>
      <c r="D1931" s="111"/>
      <c r="E1931" s="80"/>
      <c r="F1931" s="133"/>
      <c r="G1931" s="96"/>
      <c r="H1931" s="110"/>
      <c r="I1931" s="110"/>
      <c r="J1931" s="39" t="s">
        <v>334</v>
      </c>
      <c r="K1931" s="112"/>
      <c r="L1931" s="113"/>
      <c r="M1931" s="62"/>
      <c r="N1931" s="28" t="e">
        <f t="shared" si="8"/>
        <v>#VALUE!</v>
      </c>
      <c r="O1931" s="65"/>
      <c r="P1931" s="29" t="s">
        <v>334</v>
      </c>
      <c r="Q1931" s="55"/>
      <c r="R1931" s="31" t="e">
        <f t="shared" si="9"/>
        <v>#VALUE!</v>
      </c>
      <c r="S1931" s="66"/>
      <c r="T1931" s="32" t="e">
        <f t="shared" si="10"/>
        <v>#VALUE!</v>
      </c>
      <c r="U1931" s="57"/>
      <c r="V1931" s="58"/>
      <c r="W1931" s="58"/>
      <c r="X1931" s="30" t="e">
        <f t="shared" si="11"/>
        <v>#N/A</v>
      </c>
      <c r="Y1931" s="30" t="e">
        <f t="shared" si="12"/>
        <v>#N/A</v>
      </c>
      <c r="Z1931" s="35" t="e">
        <f t="shared" si="13"/>
        <v>#VALUE!</v>
      </c>
      <c r="AA1931" s="29" t="e">
        <f t="shared" si="14"/>
        <v>#VALUE!</v>
      </c>
      <c r="AB1931" s="36" t="e">
        <f t="shared" si="15"/>
        <v>#VALUE!</v>
      </c>
      <c r="AC1931" s="37" t="b">
        <v>0</v>
      </c>
      <c r="AD1931" s="61" t="str">
        <f t="shared" si="16"/>
        <v>USD</v>
      </c>
      <c r="AE1931" s="37"/>
      <c r="AF1931" s="37" t="e">
        <f t="array" ref="AF1931">INDEX('Deal Info'!D:D, MATCH(A1931,'Deal Info'!A:A, 0))</f>
        <v>#N/A</v>
      </c>
      <c r="AG1931" s="38" t="e">
        <f t="array" ref="AG1931">INDEX('Deal Info'!G:G, MATCH(A1931,'Deal Info'!A:A, 0))</f>
        <v>#N/A</v>
      </c>
    </row>
    <row r="1932" spans="1:33" ht="14.25" hidden="1" x14ac:dyDescent="0.2">
      <c r="A1932" s="18" t="b">
        <f t="array" ref="A1932">IF(G1932='Room Info'!$B$1, INDEX('Room Info'!$A$2:$A2446, MATCH(B1932,'Room Info'!$B$2:$B2446, 0)),IF(G1932='Room Info'!$C$1, INDEX('Room Info'!$A$2:$A2446, MATCH(B1932,'Room Info'!$C$2:$C2446, 0)),IF(G1932='Room Info'!$D$1, INDEX('Room Info'!$A$2:$A2446, MATCH(B1932,'Room Info'!$D$2:$D2446, 0)),IF(G1932='Room Info'!$E$1, INDEX('Room Info'!$A$2:$A2446, MATCH(B1932,'Room Info'!$E$2:$E2446, 0)),IF(G1932='Room Info'!$F$1, INDEX('Room Info'!$A$2:$A2446, MATCH(B1932,'Room Info'!$F$2:$F2446, 0)),IF(G1932='Room Info'!$H$1, INDEX('Room Info'!$A$2:$A2446, MATCH(B1932,'Room Info'!$H$2:$H2446, 0)),IF(G1932='Room Info'!$G$1, INDEX('Room Info'!$A$2:$A2446, MATCH(B1932,'Room Info'!$G$2:$G2446, 0)))))))))</f>
        <v>0</v>
      </c>
      <c r="B1932" s="96"/>
      <c r="C1932" s="111"/>
      <c r="D1932" s="111"/>
      <c r="E1932" s="80"/>
      <c r="F1932" s="133"/>
      <c r="G1932" s="96"/>
      <c r="H1932" s="110"/>
      <c r="I1932" s="110"/>
      <c r="J1932" s="39" t="s">
        <v>334</v>
      </c>
      <c r="K1932" s="112"/>
      <c r="L1932" s="113"/>
      <c r="M1932" s="62"/>
      <c r="N1932" s="28" t="e">
        <f t="shared" si="8"/>
        <v>#VALUE!</v>
      </c>
      <c r="O1932" s="65"/>
      <c r="P1932" s="29" t="s">
        <v>334</v>
      </c>
      <c r="Q1932" s="55"/>
      <c r="R1932" s="31" t="e">
        <f t="shared" si="9"/>
        <v>#VALUE!</v>
      </c>
      <c r="S1932" s="66"/>
      <c r="T1932" s="32" t="e">
        <f t="shared" si="10"/>
        <v>#VALUE!</v>
      </c>
      <c r="U1932" s="57"/>
      <c r="V1932" s="58"/>
      <c r="W1932" s="58"/>
      <c r="X1932" s="30" t="e">
        <f t="shared" si="11"/>
        <v>#N/A</v>
      </c>
      <c r="Y1932" s="30" t="e">
        <f t="shared" si="12"/>
        <v>#N/A</v>
      </c>
      <c r="Z1932" s="35" t="e">
        <f t="shared" si="13"/>
        <v>#VALUE!</v>
      </c>
      <c r="AA1932" s="29" t="e">
        <f t="shared" si="14"/>
        <v>#VALUE!</v>
      </c>
      <c r="AB1932" s="36" t="e">
        <f t="shared" si="15"/>
        <v>#VALUE!</v>
      </c>
      <c r="AC1932" s="37" t="b">
        <v>0</v>
      </c>
      <c r="AD1932" s="61" t="str">
        <f t="shared" si="16"/>
        <v>USD</v>
      </c>
      <c r="AE1932" s="37"/>
      <c r="AF1932" s="37" t="e">
        <f t="array" ref="AF1932">INDEX('Deal Info'!D:D, MATCH(A1932,'Deal Info'!A:A, 0))</f>
        <v>#N/A</v>
      </c>
      <c r="AG1932" s="38" t="e">
        <f t="array" ref="AG1932">INDEX('Deal Info'!G:G, MATCH(A1932,'Deal Info'!A:A, 0))</f>
        <v>#N/A</v>
      </c>
    </row>
    <row r="1933" spans="1:33" ht="14.25" hidden="1" x14ac:dyDescent="0.2">
      <c r="A1933" s="18" t="b">
        <f t="array" ref="A1933">IF(G1933='Room Info'!$B$1, INDEX('Room Info'!$A$2:$A2446, MATCH(B1933,'Room Info'!$B$2:$B2446, 0)),IF(G1933='Room Info'!$C$1, INDEX('Room Info'!$A$2:$A2446, MATCH(B1933,'Room Info'!$C$2:$C2446, 0)),IF(G1933='Room Info'!$D$1, INDEX('Room Info'!$A$2:$A2446, MATCH(B1933,'Room Info'!$D$2:$D2446, 0)),IF(G1933='Room Info'!$E$1, INDEX('Room Info'!$A$2:$A2446, MATCH(B1933,'Room Info'!$E$2:$E2446, 0)),IF(G1933='Room Info'!$F$1, INDEX('Room Info'!$A$2:$A2446, MATCH(B1933,'Room Info'!$F$2:$F2446, 0)),IF(G1933='Room Info'!$H$1, INDEX('Room Info'!$A$2:$A2446, MATCH(B1933,'Room Info'!$H$2:$H2446, 0)),IF(G1933='Room Info'!$G$1, INDEX('Room Info'!$A$2:$A2446, MATCH(B1933,'Room Info'!$G$2:$G2446, 0)))))))))</f>
        <v>0</v>
      </c>
      <c r="B1933" s="96"/>
      <c r="C1933" s="111"/>
      <c r="D1933" s="111"/>
      <c r="E1933" s="80"/>
      <c r="F1933" s="133"/>
      <c r="G1933" s="96"/>
      <c r="H1933" s="110"/>
      <c r="I1933" s="110"/>
      <c r="J1933" s="39" t="s">
        <v>334</v>
      </c>
      <c r="K1933" s="112"/>
      <c r="L1933" s="113"/>
      <c r="M1933" s="62"/>
      <c r="N1933" s="28" t="e">
        <f t="shared" si="8"/>
        <v>#VALUE!</v>
      </c>
      <c r="O1933" s="65"/>
      <c r="P1933" s="29" t="s">
        <v>334</v>
      </c>
      <c r="Q1933" s="55"/>
      <c r="R1933" s="31" t="e">
        <f t="shared" si="9"/>
        <v>#VALUE!</v>
      </c>
      <c r="S1933" s="66"/>
      <c r="T1933" s="32" t="e">
        <f t="shared" si="10"/>
        <v>#VALUE!</v>
      </c>
      <c r="U1933" s="57"/>
      <c r="V1933" s="58"/>
      <c r="W1933" s="58"/>
      <c r="X1933" s="30" t="e">
        <f t="shared" si="11"/>
        <v>#N/A</v>
      </c>
      <c r="Y1933" s="30" t="e">
        <f t="shared" si="12"/>
        <v>#N/A</v>
      </c>
      <c r="Z1933" s="35" t="e">
        <f t="shared" si="13"/>
        <v>#VALUE!</v>
      </c>
      <c r="AA1933" s="29" t="e">
        <f t="shared" si="14"/>
        <v>#VALUE!</v>
      </c>
      <c r="AB1933" s="36" t="e">
        <f t="shared" si="15"/>
        <v>#VALUE!</v>
      </c>
      <c r="AC1933" s="37" t="b">
        <v>0</v>
      </c>
      <c r="AD1933" s="61" t="str">
        <f t="shared" si="16"/>
        <v>USD</v>
      </c>
      <c r="AE1933" s="37"/>
      <c r="AF1933" s="37" t="e">
        <f t="array" ref="AF1933">INDEX('Deal Info'!D:D, MATCH(A1933,'Deal Info'!A:A, 0))</f>
        <v>#N/A</v>
      </c>
      <c r="AG1933" s="38" t="e">
        <f t="array" ref="AG1933">INDEX('Deal Info'!G:G, MATCH(A1933,'Deal Info'!A:A, 0))</f>
        <v>#N/A</v>
      </c>
    </row>
    <row r="1934" spans="1:33" ht="14.25" hidden="1" x14ac:dyDescent="0.2">
      <c r="A1934" s="18" t="b">
        <f t="array" ref="A1934">IF(G1934='Room Info'!$B$1, INDEX('Room Info'!$A$2:$A2446, MATCH(B1934,'Room Info'!$B$2:$B2446, 0)),IF(G1934='Room Info'!$C$1, INDEX('Room Info'!$A$2:$A2446, MATCH(B1934,'Room Info'!$C$2:$C2446, 0)),IF(G1934='Room Info'!$D$1, INDEX('Room Info'!$A$2:$A2446, MATCH(B1934,'Room Info'!$D$2:$D2446, 0)),IF(G1934='Room Info'!$E$1, INDEX('Room Info'!$A$2:$A2446, MATCH(B1934,'Room Info'!$E$2:$E2446, 0)),IF(G1934='Room Info'!$F$1, INDEX('Room Info'!$A$2:$A2446, MATCH(B1934,'Room Info'!$F$2:$F2446, 0)),IF(G1934='Room Info'!$H$1, INDEX('Room Info'!$A$2:$A2446, MATCH(B1934,'Room Info'!$H$2:$H2446, 0)),IF(G1934='Room Info'!$G$1, INDEX('Room Info'!$A$2:$A2446, MATCH(B1934,'Room Info'!$G$2:$G2446, 0)))))))))</f>
        <v>0</v>
      </c>
      <c r="B1934" s="96"/>
      <c r="C1934" s="111"/>
      <c r="D1934" s="111"/>
      <c r="E1934" s="80"/>
      <c r="F1934" s="133"/>
      <c r="G1934" s="96"/>
      <c r="H1934" s="110"/>
      <c r="I1934" s="110"/>
      <c r="J1934" s="39" t="s">
        <v>334</v>
      </c>
      <c r="K1934" s="112"/>
      <c r="L1934" s="113"/>
      <c r="M1934" s="62"/>
      <c r="N1934" s="28" t="e">
        <f t="shared" si="8"/>
        <v>#VALUE!</v>
      </c>
      <c r="O1934" s="65"/>
      <c r="P1934" s="29" t="s">
        <v>334</v>
      </c>
      <c r="Q1934" s="55"/>
      <c r="R1934" s="31" t="e">
        <f t="shared" si="9"/>
        <v>#VALUE!</v>
      </c>
      <c r="S1934" s="66"/>
      <c r="T1934" s="32" t="e">
        <f t="shared" si="10"/>
        <v>#VALUE!</v>
      </c>
      <c r="U1934" s="57"/>
      <c r="V1934" s="58"/>
      <c r="W1934" s="58"/>
      <c r="X1934" s="30" t="e">
        <f t="shared" si="11"/>
        <v>#N/A</v>
      </c>
      <c r="Y1934" s="30" t="e">
        <f t="shared" si="12"/>
        <v>#N/A</v>
      </c>
      <c r="Z1934" s="35" t="e">
        <f t="shared" si="13"/>
        <v>#VALUE!</v>
      </c>
      <c r="AA1934" s="29" t="e">
        <f t="shared" si="14"/>
        <v>#VALUE!</v>
      </c>
      <c r="AB1934" s="36" t="e">
        <f t="shared" si="15"/>
        <v>#VALUE!</v>
      </c>
      <c r="AC1934" s="37" t="b">
        <v>0</v>
      </c>
      <c r="AD1934" s="61" t="str">
        <f t="shared" si="16"/>
        <v>USD</v>
      </c>
      <c r="AE1934" s="37"/>
      <c r="AF1934" s="37" t="e">
        <f t="array" ref="AF1934">INDEX('Deal Info'!D:D, MATCH(A1934,'Deal Info'!A:A, 0))</f>
        <v>#N/A</v>
      </c>
      <c r="AG1934" s="38" t="e">
        <f t="array" ref="AG1934">INDEX('Deal Info'!G:G, MATCH(A1934,'Deal Info'!A:A, 0))</f>
        <v>#N/A</v>
      </c>
    </row>
    <row r="1935" spans="1:33" ht="14.25" hidden="1" x14ac:dyDescent="0.2">
      <c r="A1935" s="18" t="b">
        <f t="array" ref="A1935">IF(G1935='Room Info'!$B$1, INDEX('Room Info'!$A$2:$A2446, MATCH(B1935,'Room Info'!$B$2:$B2446, 0)),IF(G1935='Room Info'!$C$1, INDEX('Room Info'!$A$2:$A2446, MATCH(B1935,'Room Info'!$C$2:$C2446, 0)),IF(G1935='Room Info'!$D$1, INDEX('Room Info'!$A$2:$A2446, MATCH(B1935,'Room Info'!$D$2:$D2446, 0)),IF(G1935='Room Info'!$E$1, INDEX('Room Info'!$A$2:$A2446, MATCH(B1935,'Room Info'!$E$2:$E2446, 0)),IF(G1935='Room Info'!$F$1, INDEX('Room Info'!$A$2:$A2446, MATCH(B1935,'Room Info'!$F$2:$F2446, 0)),IF(G1935='Room Info'!$H$1, INDEX('Room Info'!$A$2:$A2446, MATCH(B1935,'Room Info'!$H$2:$H2446, 0)),IF(G1935='Room Info'!$G$1, INDEX('Room Info'!$A$2:$A2446, MATCH(B1935,'Room Info'!$G$2:$G2446, 0)))))))))</f>
        <v>0</v>
      </c>
      <c r="B1935" s="96"/>
      <c r="C1935" s="111"/>
      <c r="D1935" s="111"/>
      <c r="E1935" s="80"/>
      <c r="F1935" s="133"/>
      <c r="G1935" s="65"/>
      <c r="H1935" s="100"/>
      <c r="I1935" s="100"/>
      <c r="J1935" s="39" t="s">
        <v>334</v>
      </c>
      <c r="K1935" s="112"/>
      <c r="L1935" s="113"/>
      <c r="M1935" s="62"/>
      <c r="N1935" s="28" t="e">
        <f t="shared" si="8"/>
        <v>#VALUE!</v>
      </c>
      <c r="O1935" s="65"/>
      <c r="P1935" s="29" t="s">
        <v>334</v>
      </c>
      <c r="Q1935" s="55"/>
      <c r="R1935" s="31" t="e">
        <f t="shared" si="9"/>
        <v>#VALUE!</v>
      </c>
      <c r="S1935" s="66"/>
      <c r="T1935" s="32" t="e">
        <f t="shared" si="10"/>
        <v>#VALUE!</v>
      </c>
      <c r="U1935" s="57"/>
      <c r="V1935" s="58"/>
      <c r="W1935" s="58"/>
      <c r="X1935" s="30" t="e">
        <f t="shared" si="11"/>
        <v>#N/A</v>
      </c>
      <c r="Y1935" s="30" t="e">
        <f t="shared" si="12"/>
        <v>#N/A</v>
      </c>
      <c r="Z1935" s="35" t="e">
        <f t="shared" si="13"/>
        <v>#VALUE!</v>
      </c>
      <c r="AA1935" s="29" t="e">
        <f t="shared" si="14"/>
        <v>#VALUE!</v>
      </c>
      <c r="AB1935" s="36" t="e">
        <f t="shared" si="15"/>
        <v>#VALUE!</v>
      </c>
      <c r="AC1935" s="37" t="b">
        <v>0</v>
      </c>
      <c r="AD1935" s="61" t="str">
        <f t="shared" si="16"/>
        <v>USD</v>
      </c>
      <c r="AE1935" s="37"/>
      <c r="AF1935" s="37" t="e">
        <f t="array" ref="AF1935">INDEX('Deal Info'!D:D, MATCH(A1935,'Deal Info'!A:A, 0))</f>
        <v>#N/A</v>
      </c>
      <c r="AG1935" s="38" t="e">
        <f t="array" ref="AG1935">INDEX('Deal Info'!G:G, MATCH(A1935,'Deal Info'!A:A, 0))</f>
        <v>#N/A</v>
      </c>
    </row>
    <row r="1936" spans="1:33" ht="14.25" hidden="1" x14ac:dyDescent="0.2">
      <c r="A1936" s="18" t="b">
        <f t="array" ref="A1936">IF(G1936='Room Info'!$B$1, INDEX('Room Info'!$A$2:$A2446, MATCH(B1936,'Room Info'!$B$2:$B2446, 0)),IF(G1936='Room Info'!$C$1, INDEX('Room Info'!$A$2:$A2446, MATCH(B1936,'Room Info'!$C$2:$C2446, 0)),IF(G1936='Room Info'!$D$1, INDEX('Room Info'!$A$2:$A2446, MATCH(B1936,'Room Info'!$D$2:$D2446, 0)),IF(G1936='Room Info'!$E$1, INDEX('Room Info'!$A$2:$A2446, MATCH(B1936,'Room Info'!$E$2:$E2446, 0)),IF(G1936='Room Info'!$F$1, INDEX('Room Info'!$A$2:$A2446, MATCH(B1936,'Room Info'!$F$2:$F2446, 0)),IF(G1936='Room Info'!$H$1, INDEX('Room Info'!$A$2:$A2446, MATCH(B1936,'Room Info'!$H$2:$H2446, 0)),IF(G1936='Room Info'!$G$1, INDEX('Room Info'!$A$2:$A2446, MATCH(B1936,'Room Info'!$G$2:$G2446, 0)))))))))</f>
        <v>0</v>
      </c>
      <c r="B1936" s="96"/>
      <c r="C1936" s="111"/>
      <c r="D1936" s="111"/>
      <c r="E1936" s="80"/>
      <c r="F1936" s="133"/>
      <c r="G1936" s="96"/>
      <c r="H1936" s="100"/>
      <c r="I1936" s="100"/>
      <c r="J1936" s="39" t="s">
        <v>334</v>
      </c>
      <c r="K1936" s="112"/>
      <c r="L1936" s="113"/>
      <c r="M1936" s="62"/>
      <c r="N1936" s="28" t="e">
        <f t="shared" si="8"/>
        <v>#VALUE!</v>
      </c>
      <c r="O1936" s="65"/>
      <c r="P1936" s="29" t="s">
        <v>334</v>
      </c>
      <c r="Q1936" s="55"/>
      <c r="R1936" s="31" t="e">
        <f t="shared" si="9"/>
        <v>#VALUE!</v>
      </c>
      <c r="S1936" s="66"/>
      <c r="T1936" s="32" t="e">
        <f t="shared" si="10"/>
        <v>#VALUE!</v>
      </c>
      <c r="U1936" s="57"/>
      <c r="V1936" s="58"/>
      <c r="W1936" s="58"/>
      <c r="X1936" s="30" t="e">
        <f t="shared" si="11"/>
        <v>#N/A</v>
      </c>
      <c r="Y1936" s="30" t="e">
        <f t="shared" si="12"/>
        <v>#N/A</v>
      </c>
      <c r="Z1936" s="35" t="e">
        <f t="shared" si="13"/>
        <v>#VALUE!</v>
      </c>
      <c r="AA1936" s="29" t="e">
        <f t="shared" si="14"/>
        <v>#VALUE!</v>
      </c>
      <c r="AB1936" s="36" t="e">
        <f t="shared" si="15"/>
        <v>#VALUE!</v>
      </c>
      <c r="AC1936" s="37" t="b">
        <v>0</v>
      </c>
      <c r="AD1936" s="61" t="str">
        <f t="shared" si="16"/>
        <v>USD</v>
      </c>
      <c r="AE1936" s="37"/>
      <c r="AF1936" s="37" t="e">
        <f t="array" ref="AF1936">INDEX('Deal Info'!D:D, MATCH(A1936,'Deal Info'!A:A, 0))</f>
        <v>#N/A</v>
      </c>
      <c r="AG1936" s="38" t="e">
        <f t="array" ref="AG1936">INDEX('Deal Info'!G:G, MATCH(A1936,'Deal Info'!A:A, 0))</f>
        <v>#N/A</v>
      </c>
    </row>
    <row r="1937" spans="1:33" ht="14.25" hidden="1" x14ac:dyDescent="0.2">
      <c r="A1937" s="18" t="b">
        <f t="array" ref="A1937">IF(G1937='Room Info'!$B$1, INDEX('Room Info'!$A$2:$A2446, MATCH(B1937,'Room Info'!$B$2:$B2446, 0)),IF(G1937='Room Info'!$C$1, INDEX('Room Info'!$A$2:$A2446, MATCH(B1937,'Room Info'!$C$2:$C2446, 0)),IF(G1937='Room Info'!$D$1, INDEX('Room Info'!$A$2:$A2446, MATCH(B1937,'Room Info'!$D$2:$D2446, 0)),IF(G1937='Room Info'!$E$1, INDEX('Room Info'!$A$2:$A2446, MATCH(B1937,'Room Info'!$E$2:$E2446, 0)),IF(G1937='Room Info'!$F$1, INDEX('Room Info'!$A$2:$A2446, MATCH(B1937,'Room Info'!$F$2:$F2446, 0)),IF(G1937='Room Info'!$H$1, INDEX('Room Info'!$A$2:$A2446, MATCH(B1937,'Room Info'!$H$2:$H2446, 0)),IF(G1937='Room Info'!$G$1, INDEX('Room Info'!$A$2:$A2446, MATCH(B1937,'Room Info'!$G$2:$G2446, 0)))))))))</f>
        <v>0</v>
      </c>
      <c r="B1937" s="96"/>
      <c r="C1937" s="136"/>
      <c r="D1937" s="136"/>
      <c r="E1937" s="137"/>
      <c r="F1937" s="133"/>
      <c r="G1937" s="96"/>
      <c r="H1937" s="100"/>
      <c r="I1937" s="100"/>
      <c r="J1937" s="39" t="s">
        <v>334</v>
      </c>
      <c r="K1937" s="134"/>
      <c r="L1937" s="135"/>
      <c r="M1937" s="79"/>
      <c r="N1937" s="28" t="e">
        <f t="shared" si="8"/>
        <v>#VALUE!</v>
      </c>
      <c r="O1937" s="96"/>
      <c r="P1937" s="29" t="s">
        <v>334</v>
      </c>
      <c r="Q1937" s="55"/>
      <c r="R1937" s="31" t="e">
        <f t="shared" si="9"/>
        <v>#VALUE!</v>
      </c>
      <c r="S1937" s="97"/>
      <c r="T1937" s="32" t="e">
        <f t="shared" si="10"/>
        <v>#VALUE!</v>
      </c>
      <c r="U1937" s="57"/>
      <c r="V1937" s="58"/>
      <c r="W1937" s="58"/>
      <c r="X1937" s="30" t="e">
        <f t="shared" si="11"/>
        <v>#N/A</v>
      </c>
      <c r="Y1937" s="30" t="e">
        <f t="shared" si="12"/>
        <v>#N/A</v>
      </c>
      <c r="Z1937" s="35" t="e">
        <f t="shared" si="13"/>
        <v>#VALUE!</v>
      </c>
      <c r="AA1937" s="29" t="e">
        <f t="shared" si="14"/>
        <v>#VALUE!</v>
      </c>
      <c r="AB1937" s="36" t="e">
        <f t="shared" si="15"/>
        <v>#VALUE!</v>
      </c>
      <c r="AC1937" s="37" t="b">
        <v>0</v>
      </c>
      <c r="AD1937" s="61" t="str">
        <f t="shared" si="16"/>
        <v>USD</v>
      </c>
      <c r="AE1937" s="37"/>
      <c r="AF1937" s="37" t="e">
        <f t="array" ref="AF1937">INDEX('Deal Info'!D:D, MATCH(A1937,'Deal Info'!A:A, 0))</f>
        <v>#N/A</v>
      </c>
      <c r="AG1937" s="38" t="e">
        <f t="array" ref="AG1937">INDEX('Deal Info'!G:G, MATCH(A1937,'Deal Info'!A:A, 0))</f>
        <v>#N/A</v>
      </c>
    </row>
    <row r="1938" spans="1:33" ht="14.25" hidden="1" x14ac:dyDescent="0.2">
      <c r="A1938" s="18" t="b">
        <f t="array" ref="A1938">IF(G1938='Room Info'!$B$1, INDEX('Room Info'!$A$2:$A2446, MATCH(B1938,'Room Info'!$B$2:$B2446, 0)),IF(G1938='Room Info'!$C$1, INDEX('Room Info'!$A$2:$A2446, MATCH(B1938,'Room Info'!$C$2:$C2446, 0)),IF(G1938='Room Info'!$D$1, INDEX('Room Info'!$A$2:$A2446, MATCH(B1938,'Room Info'!$D$2:$D2446, 0)),IF(G1938='Room Info'!$E$1, INDEX('Room Info'!$A$2:$A2446, MATCH(B1938,'Room Info'!$E$2:$E2446, 0)),IF(G1938='Room Info'!$F$1, INDEX('Room Info'!$A$2:$A2446, MATCH(B1938,'Room Info'!$F$2:$F2446, 0)),IF(G1938='Room Info'!$H$1, INDEX('Room Info'!$A$2:$A2446, MATCH(B1938,'Room Info'!$H$2:$H2446, 0)),IF(G1938='Room Info'!$G$1, INDEX('Room Info'!$A$2:$A2446, MATCH(B1938,'Room Info'!$G$2:$G2446, 0)))))))))</f>
        <v>0</v>
      </c>
      <c r="B1938" s="96"/>
      <c r="C1938" s="136"/>
      <c r="D1938" s="136"/>
      <c r="E1938" s="137"/>
      <c r="F1938" s="133"/>
      <c r="G1938" s="96"/>
      <c r="H1938" s="100"/>
      <c r="I1938" s="100"/>
      <c r="J1938" s="39" t="s">
        <v>334</v>
      </c>
      <c r="K1938" s="134"/>
      <c r="L1938" s="135"/>
      <c r="M1938" s="79"/>
      <c r="N1938" s="28" t="e">
        <f t="shared" si="8"/>
        <v>#VALUE!</v>
      </c>
      <c r="O1938" s="96"/>
      <c r="P1938" s="29" t="s">
        <v>334</v>
      </c>
      <c r="Q1938" s="55"/>
      <c r="R1938" s="31" t="e">
        <f t="shared" si="9"/>
        <v>#VALUE!</v>
      </c>
      <c r="S1938" s="97"/>
      <c r="T1938" s="32" t="e">
        <f t="shared" si="10"/>
        <v>#VALUE!</v>
      </c>
      <c r="U1938" s="57"/>
      <c r="V1938" s="58"/>
      <c r="W1938" s="58"/>
      <c r="X1938" s="30" t="e">
        <f t="shared" si="11"/>
        <v>#N/A</v>
      </c>
      <c r="Y1938" s="30" t="e">
        <f t="shared" si="12"/>
        <v>#N/A</v>
      </c>
      <c r="Z1938" s="35" t="e">
        <f t="shared" si="13"/>
        <v>#VALUE!</v>
      </c>
      <c r="AA1938" s="29" t="e">
        <f t="shared" si="14"/>
        <v>#VALUE!</v>
      </c>
      <c r="AB1938" s="36" t="e">
        <f t="shared" si="15"/>
        <v>#VALUE!</v>
      </c>
      <c r="AC1938" s="37" t="b">
        <v>0</v>
      </c>
      <c r="AD1938" s="61" t="str">
        <f t="shared" si="16"/>
        <v>USD</v>
      </c>
      <c r="AE1938" s="37"/>
      <c r="AF1938" s="37" t="e">
        <f t="array" ref="AF1938">INDEX('Deal Info'!D:D, MATCH(A1938,'Deal Info'!A:A, 0))</f>
        <v>#N/A</v>
      </c>
      <c r="AG1938" s="38" t="e">
        <f t="array" ref="AG1938">INDEX('Deal Info'!G:G, MATCH(A1938,'Deal Info'!A:A, 0))</f>
        <v>#N/A</v>
      </c>
    </row>
    <row r="1939" spans="1:33" ht="14.25" hidden="1" x14ac:dyDescent="0.2">
      <c r="A1939" s="18" t="b">
        <f t="array" ref="A1939">IF(G1939='Room Info'!$B$1, INDEX('Room Info'!$A$2:$A2446, MATCH(B1939,'Room Info'!$B$2:$B2446, 0)),IF(G1939='Room Info'!$C$1, INDEX('Room Info'!$A$2:$A2446, MATCH(B1939,'Room Info'!$C$2:$C2446, 0)),IF(G1939='Room Info'!$D$1, INDEX('Room Info'!$A$2:$A2446, MATCH(B1939,'Room Info'!$D$2:$D2446, 0)),IF(G1939='Room Info'!$E$1, INDEX('Room Info'!$A$2:$A2446, MATCH(B1939,'Room Info'!$E$2:$E2446, 0)),IF(G1939='Room Info'!$F$1, INDEX('Room Info'!$A$2:$A2446, MATCH(B1939,'Room Info'!$F$2:$F2446, 0)),IF(G1939='Room Info'!$H$1, INDEX('Room Info'!$A$2:$A2446, MATCH(B1939,'Room Info'!$H$2:$H2446, 0)),IF(G1939='Room Info'!$G$1, INDEX('Room Info'!$A$2:$A2446, MATCH(B1939,'Room Info'!$G$2:$G2446, 0)))))))))</f>
        <v>0</v>
      </c>
      <c r="B1939" s="96"/>
      <c r="C1939" s="136"/>
      <c r="D1939" s="136"/>
      <c r="E1939" s="137"/>
      <c r="F1939" s="133"/>
      <c r="G1939" s="96"/>
      <c r="H1939" s="100"/>
      <c r="I1939" s="100"/>
      <c r="J1939" s="39" t="s">
        <v>334</v>
      </c>
      <c r="K1939" s="134"/>
      <c r="L1939" s="135"/>
      <c r="M1939" s="79"/>
      <c r="N1939" s="28" t="e">
        <f t="shared" si="8"/>
        <v>#VALUE!</v>
      </c>
      <c r="O1939" s="96"/>
      <c r="P1939" s="29" t="s">
        <v>334</v>
      </c>
      <c r="Q1939" s="55"/>
      <c r="R1939" s="31" t="e">
        <f t="shared" si="9"/>
        <v>#VALUE!</v>
      </c>
      <c r="S1939" s="97"/>
      <c r="T1939" s="32" t="e">
        <f t="shared" si="10"/>
        <v>#VALUE!</v>
      </c>
      <c r="U1939" s="57"/>
      <c r="V1939" s="58"/>
      <c r="W1939" s="58"/>
      <c r="X1939" s="30" t="e">
        <f t="shared" si="11"/>
        <v>#N/A</v>
      </c>
      <c r="Y1939" s="30" t="e">
        <f t="shared" si="12"/>
        <v>#N/A</v>
      </c>
      <c r="Z1939" s="35" t="e">
        <f t="shared" si="13"/>
        <v>#VALUE!</v>
      </c>
      <c r="AA1939" s="29" t="e">
        <f t="shared" si="14"/>
        <v>#VALUE!</v>
      </c>
      <c r="AB1939" s="36" t="e">
        <f t="shared" si="15"/>
        <v>#VALUE!</v>
      </c>
      <c r="AC1939" s="37" t="b">
        <v>0</v>
      </c>
      <c r="AD1939" s="61" t="str">
        <f t="shared" si="16"/>
        <v>USD</v>
      </c>
      <c r="AE1939" s="37"/>
      <c r="AF1939" s="37" t="e">
        <f t="array" ref="AF1939">INDEX('Deal Info'!D:D, MATCH(A1939,'Deal Info'!A:A, 0))</f>
        <v>#N/A</v>
      </c>
      <c r="AG1939" s="38" t="e">
        <f t="array" ref="AG1939">INDEX('Deal Info'!G:G, MATCH(A1939,'Deal Info'!A:A, 0))</f>
        <v>#N/A</v>
      </c>
    </row>
    <row r="1940" spans="1:33" ht="14.25" hidden="1" x14ac:dyDescent="0.2">
      <c r="A1940" s="18" t="b">
        <f t="array" ref="A1940">IF(G1940='Room Info'!$B$1, INDEX('Room Info'!$A$2:$A2446, MATCH(B1940,'Room Info'!$B$2:$B2446, 0)),IF(G1940='Room Info'!$C$1, INDEX('Room Info'!$A$2:$A2446, MATCH(B1940,'Room Info'!$C$2:$C2446, 0)),IF(G1940='Room Info'!$D$1, INDEX('Room Info'!$A$2:$A2446, MATCH(B1940,'Room Info'!$D$2:$D2446, 0)),IF(G1940='Room Info'!$E$1, INDEX('Room Info'!$A$2:$A2446, MATCH(B1940,'Room Info'!$E$2:$E2446, 0)),IF(G1940='Room Info'!$F$1, INDEX('Room Info'!$A$2:$A2446, MATCH(B1940,'Room Info'!$F$2:$F2446, 0)),IF(G1940='Room Info'!$H$1, INDEX('Room Info'!$A$2:$A2446, MATCH(B1940,'Room Info'!$H$2:$H2446, 0)),IF(G1940='Room Info'!$G$1, INDEX('Room Info'!$A$2:$A2446, MATCH(B1940,'Room Info'!$G$2:$G2446, 0)))))))))</f>
        <v>0</v>
      </c>
      <c r="B1940" s="96"/>
      <c r="C1940" s="136"/>
      <c r="D1940" s="136"/>
      <c r="E1940" s="137"/>
      <c r="F1940" s="133"/>
      <c r="G1940" s="96"/>
      <c r="H1940" s="100"/>
      <c r="I1940" s="100"/>
      <c r="J1940" s="39" t="s">
        <v>334</v>
      </c>
      <c r="K1940" s="134"/>
      <c r="L1940" s="135"/>
      <c r="M1940" s="62"/>
      <c r="N1940" s="28" t="e">
        <f t="shared" si="8"/>
        <v>#VALUE!</v>
      </c>
      <c r="O1940" s="96"/>
      <c r="P1940" s="29" t="s">
        <v>334</v>
      </c>
      <c r="Q1940" s="55"/>
      <c r="R1940" s="31" t="e">
        <f t="shared" si="9"/>
        <v>#VALUE!</v>
      </c>
      <c r="S1940" s="97"/>
      <c r="T1940" s="32" t="e">
        <f t="shared" si="10"/>
        <v>#VALUE!</v>
      </c>
      <c r="U1940" s="57"/>
      <c r="V1940" s="58"/>
      <c r="W1940" s="58"/>
      <c r="X1940" s="30" t="e">
        <f t="shared" si="11"/>
        <v>#N/A</v>
      </c>
      <c r="Y1940" s="30" t="e">
        <f t="shared" si="12"/>
        <v>#N/A</v>
      </c>
      <c r="Z1940" s="35" t="e">
        <f t="shared" si="13"/>
        <v>#VALUE!</v>
      </c>
      <c r="AA1940" s="29" t="e">
        <f t="shared" si="14"/>
        <v>#VALUE!</v>
      </c>
      <c r="AB1940" s="36" t="e">
        <f t="shared" si="15"/>
        <v>#VALUE!</v>
      </c>
      <c r="AC1940" s="37" t="b">
        <v>0</v>
      </c>
      <c r="AD1940" s="61" t="str">
        <f t="shared" si="16"/>
        <v>USD</v>
      </c>
      <c r="AE1940" s="37"/>
      <c r="AF1940" s="37" t="e">
        <f t="array" ref="AF1940">INDEX('Deal Info'!D:D, MATCH(A1940,'Deal Info'!A:A, 0))</f>
        <v>#N/A</v>
      </c>
      <c r="AG1940" s="38" t="e">
        <f t="array" ref="AG1940">INDEX('Deal Info'!G:G, MATCH(A1940,'Deal Info'!A:A, 0))</f>
        <v>#N/A</v>
      </c>
    </row>
    <row r="1941" spans="1:33" ht="14.25" hidden="1" x14ac:dyDescent="0.2">
      <c r="A1941" s="18" t="b">
        <f t="array" ref="A1941">IF(G1941='Room Info'!$B$1, INDEX('Room Info'!$A$2:$A2446, MATCH(B1941,'Room Info'!$B$2:$B2446, 0)),IF(G1941='Room Info'!$C$1, INDEX('Room Info'!$A$2:$A2446, MATCH(B1941,'Room Info'!$C$2:$C2446, 0)),IF(G1941='Room Info'!$D$1, INDEX('Room Info'!$A$2:$A2446, MATCH(B1941,'Room Info'!$D$2:$D2446, 0)),IF(G1941='Room Info'!$E$1, INDEX('Room Info'!$A$2:$A2446, MATCH(B1941,'Room Info'!$E$2:$E2446, 0)),IF(G1941='Room Info'!$F$1, INDEX('Room Info'!$A$2:$A2446, MATCH(B1941,'Room Info'!$F$2:$F2446, 0)),IF(G1941='Room Info'!$H$1, INDEX('Room Info'!$A$2:$A2446, MATCH(B1941,'Room Info'!$H$2:$H2446, 0)),IF(G1941='Room Info'!$G$1, INDEX('Room Info'!$A$2:$A2446, MATCH(B1941,'Room Info'!$G$2:$G2446, 0)))))))))</f>
        <v>0</v>
      </c>
      <c r="B1941" s="96"/>
      <c r="C1941" s="136"/>
      <c r="D1941" s="136"/>
      <c r="E1941" s="137"/>
      <c r="F1941" s="133"/>
      <c r="G1941" s="96"/>
      <c r="H1941" s="100"/>
      <c r="I1941" s="100"/>
      <c r="J1941" s="39" t="s">
        <v>334</v>
      </c>
      <c r="K1941" s="134"/>
      <c r="L1941" s="135"/>
      <c r="M1941" s="62"/>
      <c r="N1941" s="28" t="e">
        <f t="shared" si="8"/>
        <v>#VALUE!</v>
      </c>
      <c r="O1941" s="96"/>
      <c r="P1941" s="29" t="s">
        <v>334</v>
      </c>
      <c r="Q1941" s="55"/>
      <c r="R1941" s="31" t="e">
        <f t="shared" si="9"/>
        <v>#VALUE!</v>
      </c>
      <c r="S1941" s="97"/>
      <c r="T1941" s="32" t="e">
        <f t="shared" si="10"/>
        <v>#VALUE!</v>
      </c>
      <c r="U1941" s="57"/>
      <c r="V1941" s="58"/>
      <c r="W1941" s="58"/>
      <c r="X1941" s="30" t="e">
        <f t="shared" si="11"/>
        <v>#N/A</v>
      </c>
      <c r="Y1941" s="30" t="e">
        <f t="shared" si="12"/>
        <v>#N/A</v>
      </c>
      <c r="Z1941" s="35" t="e">
        <f t="shared" si="13"/>
        <v>#VALUE!</v>
      </c>
      <c r="AA1941" s="29" t="e">
        <f t="shared" si="14"/>
        <v>#VALUE!</v>
      </c>
      <c r="AB1941" s="36" t="e">
        <f t="shared" si="15"/>
        <v>#VALUE!</v>
      </c>
      <c r="AC1941" s="37" t="b">
        <v>0</v>
      </c>
      <c r="AD1941" s="61" t="str">
        <f t="shared" si="16"/>
        <v>USD</v>
      </c>
      <c r="AE1941" s="37"/>
      <c r="AF1941" s="37" t="e">
        <f t="array" ref="AF1941">INDEX('Deal Info'!D:D, MATCH(A1941,'Deal Info'!A:A, 0))</f>
        <v>#N/A</v>
      </c>
      <c r="AG1941" s="38" t="e">
        <f t="array" ref="AG1941">INDEX('Deal Info'!G:G, MATCH(A1941,'Deal Info'!A:A, 0))</f>
        <v>#N/A</v>
      </c>
    </row>
    <row r="1942" spans="1:33" ht="14.25" hidden="1" x14ac:dyDescent="0.2">
      <c r="A1942" s="18" t="b">
        <f t="array" ref="A1942">IF(G1942='Room Info'!$B$1, INDEX('Room Info'!$A$2:$A2446, MATCH(B1942,'Room Info'!$B$2:$B2446, 0)),IF(G1942='Room Info'!$C$1, INDEX('Room Info'!$A$2:$A2446, MATCH(B1942,'Room Info'!$C$2:$C2446, 0)),IF(G1942='Room Info'!$D$1, INDEX('Room Info'!$A$2:$A2446, MATCH(B1942,'Room Info'!$D$2:$D2446, 0)),IF(G1942='Room Info'!$E$1, INDEX('Room Info'!$A$2:$A2446, MATCH(B1942,'Room Info'!$E$2:$E2446, 0)),IF(G1942='Room Info'!$F$1, INDEX('Room Info'!$A$2:$A2446, MATCH(B1942,'Room Info'!$F$2:$F2446, 0)),IF(G1942='Room Info'!$H$1, INDEX('Room Info'!$A$2:$A2446, MATCH(B1942,'Room Info'!$H$2:$H2446, 0)),IF(G1942='Room Info'!$G$1, INDEX('Room Info'!$A$2:$A2446, MATCH(B1942,'Room Info'!$G$2:$G2446, 0)))))))))</f>
        <v>0</v>
      </c>
      <c r="B1942" s="96"/>
      <c r="C1942" s="136"/>
      <c r="D1942" s="136"/>
      <c r="E1942" s="137"/>
      <c r="F1942" s="133"/>
      <c r="G1942" s="96"/>
      <c r="H1942" s="100"/>
      <c r="I1942" s="100"/>
      <c r="J1942" s="39" t="s">
        <v>334</v>
      </c>
      <c r="K1942" s="134"/>
      <c r="L1942" s="135"/>
      <c r="M1942" s="62"/>
      <c r="N1942" s="28" t="e">
        <f t="shared" si="8"/>
        <v>#VALUE!</v>
      </c>
      <c r="O1942" s="96"/>
      <c r="P1942" s="29" t="s">
        <v>334</v>
      </c>
      <c r="Q1942" s="55"/>
      <c r="R1942" s="31" t="e">
        <f t="shared" si="9"/>
        <v>#VALUE!</v>
      </c>
      <c r="S1942" s="97"/>
      <c r="T1942" s="32" t="e">
        <f t="shared" si="10"/>
        <v>#VALUE!</v>
      </c>
      <c r="U1942" s="57"/>
      <c r="V1942" s="58"/>
      <c r="W1942" s="58"/>
      <c r="X1942" s="30" t="e">
        <f t="shared" si="11"/>
        <v>#N/A</v>
      </c>
      <c r="Y1942" s="30" t="e">
        <f t="shared" si="12"/>
        <v>#N/A</v>
      </c>
      <c r="Z1942" s="35" t="e">
        <f t="shared" si="13"/>
        <v>#VALUE!</v>
      </c>
      <c r="AA1942" s="29" t="e">
        <f t="shared" si="14"/>
        <v>#VALUE!</v>
      </c>
      <c r="AB1942" s="36" t="e">
        <f t="shared" si="15"/>
        <v>#VALUE!</v>
      </c>
      <c r="AC1942" s="37" t="b">
        <v>0</v>
      </c>
      <c r="AD1942" s="61" t="str">
        <f t="shared" si="16"/>
        <v>USD</v>
      </c>
      <c r="AE1942" s="37"/>
      <c r="AF1942" s="37" t="e">
        <f t="array" ref="AF1942">INDEX('Deal Info'!D:D, MATCH(A1942,'Deal Info'!A:A, 0))</f>
        <v>#N/A</v>
      </c>
      <c r="AG1942" s="38" t="e">
        <f t="array" ref="AG1942">INDEX('Deal Info'!G:G, MATCH(A1942,'Deal Info'!A:A, 0))</f>
        <v>#N/A</v>
      </c>
    </row>
    <row r="1943" spans="1:33" ht="14.25" hidden="1" x14ac:dyDescent="0.2">
      <c r="A1943" s="18" t="b">
        <f t="array" ref="A1943">IF(G1943='Room Info'!$B$1, INDEX('Room Info'!$A$2:$A2446, MATCH(B1943,'Room Info'!$B$2:$B2446, 0)),IF(G1943='Room Info'!$C$1, INDEX('Room Info'!$A$2:$A2446, MATCH(B1943,'Room Info'!$C$2:$C2446, 0)),IF(G1943='Room Info'!$D$1, INDEX('Room Info'!$A$2:$A2446, MATCH(B1943,'Room Info'!$D$2:$D2446, 0)),IF(G1943='Room Info'!$E$1, INDEX('Room Info'!$A$2:$A2446, MATCH(B1943,'Room Info'!$E$2:$E2446, 0)),IF(G1943='Room Info'!$F$1, INDEX('Room Info'!$A$2:$A2446, MATCH(B1943,'Room Info'!$F$2:$F2446, 0)),IF(G1943='Room Info'!$H$1, INDEX('Room Info'!$A$2:$A2446, MATCH(B1943,'Room Info'!$H$2:$H2446, 0)),IF(G1943='Room Info'!$G$1, INDEX('Room Info'!$A$2:$A2446, MATCH(B1943,'Room Info'!$G$2:$G2446, 0)))))))))</f>
        <v>0</v>
      </c>
      <c r="B1943" s="96"/>
      <c r="C1943" s="136"/>
      <c r="D1943" s="136"/>
      <c r="E1943" s="137"/>
      <c r="F1943" s="133"/>
      <c r="G1943" s="96"/>
      <c r="H1943" s="100"/>
      <c r="I1943" s="100"/>
      <c r="J1943" s="39" t="s">
        <v>334</v>
      </c>
      <c r="K1943" s="134"/>
      <c r="L1943" s="135"/>
      <c r="M1943" s="62"/>
      <c r="N1943" s="28" t="e">
        <f t="shared" si="8"/>
        <v>#VALUE!</v>
      </c>
      <c r="O1943" s="96"/>
      <c r="P1943" s="29" t="s">
        <v>334</v>
      </c>
      <c r="Q1943" s="55"/>
      <c r="R1943" s="31" t="e">
        <f t="shared" si="9"/>
        <v>#VALUE!</v>
      </c>
      <c r="S1943" s="97"/>
      <c r="T1943" s="32" t="e">
        <f t="shared" si="10"/>
        <v>#VALUE!</v>
      </c>
      <c r="U1943" s="57"/>
      <c r="V1943" s="58"/>
      <c r="W1943" s="58"/>
      <c r="X1943" s="30" t="e">
        <f t="shared" si="11"/>
        <v>#N/A</v>
      </c>
      <c r="Y1943" s="30" t="e">
        <f t="shared" si="12"/>
        <v>#N/A</v>
      </c>
      <c r="Z1943" s="35" t="e">
        <f t="shared" si="13"/>
        <v>#VALUE!</v>
      </c>
      <c r="AA1943" s="29" t="e">
        <f t="shared" si="14"/>
        <v>#VALUE!</v>
      </c>
      <c r="AB1943" s="36" t="e">
        <f t="shared" si="15"/>
        <v>#VALUE!</v>
      </c>
      <c r="AC1943" s="37" t="b">
        <v>0</v>
      </c>
      <c r="AD1943" s="61" t="str">
        <f t="shared" si="16"/>
        <v>USD</v>
      </c>
      <c r="AE1943" s="37"/>
      <c r="AF1943" s="37" t="e">
        <f t="array" ref="AF1943">INDEX('Deal Info'!D:D, MATCH(A1943,'Deal Info'!A:A, 0))</f>
        <v>#N/A</v>
      </c>
      <c r="AG1943" s="38" t="e">
        <f t="array" ref="AG1943">INDEX('Deal Info'!G:G, MATCH(A1943,'Deal Info'!A:A, 0))</f>
        <v>#N/A</v>
      </c>
    </row>
    <row r="1944" spans="1:33" ht="14.25" hidden="1" x14ac:dyDescent="0.2">
      <c r="A1944" s="18" t="b">
        <f t="array" ref="A1944">IF(G1944='Room Info'!$B$1, INDEX('Room Info'!$A$2:$A2446, MATCH(B1944,'Room Info'!$B$2:$B2446, 0)),IF(G1944='Room Info'!$C$1, INDEX('Room Info'!$A$2:$A2446, MATCH(B1944,'Room Info'!$C$2:$C2446, 0)),IF(G1944='Room Info'!$D$1, INDEX('Room Info'!$A$2:$A2446, MATCH(B1944,'Room Info'!$D$2:$D2446, 0)),IF(G1944='Room Info'!$E$1, INDEX('Room Info'!$A$2:$A2446, MATCH(B1944,'Room Info'!$E$2:$E2446, 0)),IF(G1944='Room Info'!$F$1, INDEX('Room Info'!$A$2:$A2446, MATCH(B1944,'Room Info'!$F$2:$F2446, 0)),IF(G1944='Room Info'!$H$1, INDEX('Room Info'!$A$2:$A2446, MATCH(B1944,'Room Info'!$H$2:$H2446, 0)),IF(G1944='Room Info'!$G$1, INDEX('Room Info'!$A$2:$A2446, MATCH(B1944,'Room Info'!$G$2:$G2446, 0)))))))))</f>
        <v>0</v>
      </c>
      <c r="B1944" s="96"/>
      <c r="C1944" s="136"/>
      <c r="D1944" s="136"/>
      <c r="E1944" s="137"/>
      <c r="F1944" s="133"/>
      <c r="G1944" s="96"/>
      <c r="H1944" s="100"/>
      <c r="I1944" s="100"/>
      <c r="J1944" s="39" t="s">
        <v>334</v>
      </c>
      <c r="K1944" s="134"/>
      <c r="L1944" s="135"/>
      <c r="M1944" s="62"/>
      <c r="N1944" s="28" t="e">
        <f t="shared" si="8"/>
        <v>#VALUE!</v>
      </c>
      <c r="O1944" s="96"/>
      <c r="P1944" s="29" t="s">
        <v>334</v>
      </c>
      <c r="Q1944" s="55"/>
      <c r="R1944" s="31" t="e">
        <f t="shared" si="9"/>
        <v>#VALUE!</v>
      </c>
      <c r="S1944" s="97"/>
      <c r="T1944" s="32" t="e">
        <f t="shared" si="10"/>
        <v>#VALUE!</v>
      </c>
      <c r="U1944" s="57"/>
      <c r="V1944" s="58"/>
      <c r="W1944" s="58"/>
      <c r="X1944" s="30" t="e">
        <f t="shared" si="11"/>
        <v>#N/A</v>
      </c>
      <c r="Y1944" s="30" t="e">
        <f t="shared" si="12"/>
        <v>#N/A</v>
      </c>
      <c r="Z1944" s="35" t="e">
        <f t="shared" si="13"/>
        <v>#VALUE!</v>
      </c>
      <c r="AA1944" s="29" t="e">
        <f t="shared" si="14"/>
        <v>#VALUE!</v>
      </c>
      <c r="AB1944" s="36" t="e">
        <f t="shared" si="15"/>
        <v>#VALUE!</v>
      </c>
      <c r="AC1944" s="37" t="b">
        <v>0</v>
      </c>
      <c r="AD1944" s="61" t="str">
        <f t="shared" si="16"/>
        <v>USD</v>
      </c>
      <c r="AE1944" s="37"/>
      <c r="AF1944" s="37" t="e">
        <f t="array" ref="AF1944">INDEX('Deal Info'!D:D, MATCH(A1944,'Deal Info'!A:A, 0))</f>
        <v>#N/A</v>
      </c>
      <c r="AG1944" s="38" t="e">
        <f t="array" ref="AG1944">INDEX('Deal Info'!G:G, MATCH(A1944,'Deal Info'!A:A, 0))</f>
        <v>#N/A</v>
      </c>
    </row>
    <row r="1945" spans="1:33" ht="14.25" hidden="1" x14ac:dyDescent="0.2">
      <c r="A1945" s="18" t="b">
        <f t="array" ref="A1945">IF(G1945='Room Info'!$B$1, INDEX('Room Info'!$A$2:$A2446, MATCH(B1945,'Room Info'!$B$2:$B2446, 0)),IF(G1945='Room Info'!$C$1, INDEX('Room Info'!$A$2:$A2446, MATCH(B1945,'Room Info'!$C$2:$C2446, 0)),IF(G1945='Room Info'!$D$1, INDEX('Room Info'!$A$2:$A2446, MATCH(B1945,'Room Info'!$D$2:$D2446, 0)),IF(G1945='Room Info'!$E$1, INDEX('Room Info'!$A$2:$A2446, MATCH(B1945,'Room Info'!$E$2:$E2446, 0)),IF(G1945='Room Info'!$F$1, INDEX('Room Info'!$A$2:$A2446, MATCH(B1945,'Room Info'!$F$2:$F2446, 0)),IF(G1945='Room Info'!$H$1, INDEX('Room Info'!$A$2:$A2446, MATCH(B1945,'Room Info'!$H$2:$H2446, 0)),IF(G1945='Room Info'!$G$1, INDEX('Room Info'!$A$2:$A2446, MATCH(B1945,'Room Info'!$G$2:$G2446, 0)))))))))</f>
        <v>0</v>
      </c>
      <c r="B1945" s="65"/>
      <c r="C1945" s="111"/>
      <c r="D1945" s="111"/>
      <c r="E1945" s="80"/>
      <c r="F1945" s="133"/>
      <c r="G1945" s="65"/>
      <c r="H1945" s="110"/>
      <c r="I1945" s="110"/>
      <c r="J1945" s="39" t="s">
        <v>334</v>
      </c>
      <c r="K1945" s="112"/>
      <c r="L1945" s="113"/>
      <c r="M1945" s="62"/>
      <c r="N1945" s="28" t="e">
        <f t="shared" si="8"/>
        <v>#VALUE!</v>
      </c>
      <c r="O1945" s="65"/>
      <c r="P1945" s="29" t="s">
        <v>334</v>
      </c>
      <c r="Q1945" s="55"/>
      <c r="R1945" s="31" t="e">
        <f t="shared" si="9"/>
        <v>#VALUE!</v>
      </c>
      <c r="S1945" s="66"/>
      <c r="T1945" s="32" t="e">
        <f t="shared" si="10"/>
        <v>#VALUE!</v>
      </c>
      <c r="U1945" s="57"/>
      <c r="V1945" s="58"/>
      <c r="W1945" s="58"/>
      <c r="X1945" s="30" t="e">
        <f t="shared" si="11"/>
        <v>#N/A</v>
      </c>
      <c r="Y1945" s="30" t="e">
        <f t="shared" si="12"/>
        <v>#N/A</v>
      </c>
      <c r="Z1945" s="35" t="e">
        <f t="shared" si="13"/>
        <v>#VALUE!</v>
      </c>
      <c r="AA1945" s="29" t="e">
        <f t="shared" si="14"/>
        <v>#VALUE!</v>
      </c>
      <c r="AB1945" s="36" t="e">
        <f t="shared" si="15"/>
        <v>#VALUE!</v>
      </c>
      <c r="AC1945" s="37" t="b">
        <v>0</v>
      </c>
      <c r="AD1945" s="61" t="str">
        <f t="shared" si="16"/>
        <v>USD</v>
      </c>
      <c r="AE1945" s="37"/>
      <c r="AF1945" s="37" t="e">
        <f t="array" ref="AF1945">INDEX('Deal Info'!D:D, MATCH(A1945,'Deal Info'!A:A, 0))</f>
        <v>#N/A</v>
      </c>
      <c r="AG1945" s="38" t="e">
        <f t="array" ref="AG1945">INDEX('Deal Info'!G:G, MATCH(A1945,'Deal Info'!A:A, 0))</f>
        <v>#N/A</v>
      </c>
    </row>
    <row r="1946" spans="1:33" ht="14.25" hidden="1" x14ac:dyDescent="0.2">
      <c r="A1946" s="18" t="b">
        <f t="array" ref="A1946">IF(G1946='Room Info'!$B$1, INDEX('Room Info'!$A$2:$A2446, MATCH(B1946,'Room Info'!$B$2:$B2446, 0)),IF(G1946='Room Info'!$C$1, INDEX('Room Info'!$A$2:$A2446, MATCH(B1946,'Room Info'!$C$2:$C2446, 0)),IF(G1946='Room Info'!$D$1, INDEX('Room Info'!$A$2:$A2446, MATCH(B1946,'Room Info'!$D$2:$D2446, 0)),IF(G1946='Room Info'!$E$1, INDEX('Room Info'!$A$2:$A2446, MATCH(B1946,'Room Info'!$E$2:$E2446, 0)),IF(G1946='Room Info'!$F$1, INDEX('Room Info'!$A$2:$A2446, MATCH(B1946,'Room Info'!$F$2:$F2446, 0)),IF(G1946='Room Info'!$H$1, INDEX('Room Info'!$A$2:$A2446, MATCH(B1946,'Room Info'!$H$2:$H2446, 0)),IF(G1946='Room Info'!$G$1, INDEX('Room Info'!$A$2:$A2446, MATCH(B1946,'Room Info'!$G$2:$G2446, 0)))))))))</f>
        <v>0</v>
      </c>
      <c r="B1946" s="65"/>
      <c r="C1946" s="111"/>
      <c r="D1946" s="111"/>
      <c r="E1946" s="80"/>
      <c r="F1946" s="133"/>
      <c r="G1946" s="65"/>
      <c r="H1946" s="110"/>
      <c r="I1946" s="110"/>
      <c r="J1946" s="39" t="s">
        <v>334</v>
      </c>
      <c r="K1946" s="112"/>
      <c r="L1946" s="113"/>
      <c r="M1946" s="62"/>
      <c r="N1946" s="28" t="e">
        <f t="shared" si="8"/>
        <v>#VALUE!</v>
      </c>
      <c r="O1946" s="65"/>
      <c r="P1946" s="29" t="s">
        <v>334</v>
      </c>
      <c r="Q1946" s="55"/>
      <c r="R1946" s="31" t="e">
        <f t="shared" si="9"/>
        <v>#VALUE!</v>
      </c>
      <c r="S1946" s="66"/>
      <c r="T1946" s="32" t="e">
        <f t="shared" si="10"/>
        <v>#VALUE!</v>
      </c>
      <c r="U1946" s="57"/>
      <c r="V1946" s="58"/>
      <c r="W1946" s="58"/>
      <c r="X1946" s="30" t="e">
        <f t="shared" si="11"/>
        <v>#N/A</v>
      </c>
      <c r="Y1946" s="30" t="e">
        <f t="shared" si="12"/>
        <v>#N/A</v>
      </c>
      <c r="Z1946" s="35" t="e">
        <f t="shared" si="13"/>
        <v>#VALUE!</v>
      </c>
      <c r="AA1946" s="29" t="e">
        <f t="shared" si="14"/>
        <v>#VALUE!</v>
      </c>
      <c r="AB1946" s="36" t="e">
        <f t="shared" si="15"/>
        <v>#VALUE!</v>
      </c>
      <c r="AC1946" s="37" t="b">
        <v>0</v>
      </c>
      <c r="AD1946" s="61" t="str">
        <f t="shared" si="16"/>
        <v>USD</v>
      </c>
      <c r="AE1946" s="37"/>
      <c r="AF1946" s="37" t="e">
        <f t="array" ref="AF1946">INDEX('Deal Info'!D:D, MATCH(A1946,'Deal Info'!A:A, 0))</f>
        <v>#N/A</v>
      </c>
      <c r="AG1946" s="38" t="e">
        <f t="array" ref="AG1946">INDEX('Deal Info'!G:G, MATCH(A1946,'Deal Info'!A:A, 0))</f>
        <v>#N/A</v>
      </c>
    </row>
    <row r="1947" spans="1:33" ht="14.25" hidden="1" x14ac:dyDescent="0.2">
      <c r="A1947" s="18" t="b">
        <f t="array" ref="A1947">IF(G1947='Room Info'!$B$1, INDEX('Room Info'!$A$2:$A2446, MATCH(B1947,'Room Info'!$B$2:$B2446, 0)),IF(G1947='Room Info'!$C$1, INDEX('Room Info'!$A$2:$A2446, MATCH(B1947,'Room Info'!$C$2:$C2446, 0)),IF(G1947='Room Info'!$D$1, INDEX('Room Info'!$A$2:$A2446, MATCH(B1947,'Room Info'!$D$2:$D2446, 0)),IF(G1947='Room Info'!$E$1, INDEX('Room Info'!$A$2:$A2446, MATCH(B1947,'Room Info'!$E$2:$E2446, 0)),IF(G1947='Room Info'!$F$1, INDEX('Room Info'!$A$2:$A2446, MATCH(B1947,'Room Info'!$F$2:$F2446, 0)),IF(G1947='Room Info'!$H$1, INDEX('Room Info'!$A$2:$A2446, MATCH(B1947,'Room Info'!$H$2:$H2446, 0)),IF(G1947='Room Info'!$G$1, INDEX('Room Info'!$A$2:$A2446, MATCH(B1947,'Room Info'!$G$2:$G2446, 0)))))))))</f>
        <v>0</v>
      </c>
      <c r="B1947" s="65"/>
      <c r="C1947" s="111"/>
      <c r="D1947" s="111"/>
      <c r="E1947" s="80"/>
      <c r="F1947" s="133"/>
      <c r="G1947" s="65"/>
      <c r="H1947" s="110"/>
      <c r="I1947" s="110"/>
      <c r="J1947" s="39" t="s">
        <v>334</v>
      </c>
      <c r="K1947" s="112"/>
      <c r="L1947" s="113"/>
      <c r="M1947" s="62"/>
      <c r="N1947" s="28" t="e">
        <f t="shared" si="8"/>
        <v>#VALUE!</v>
      </c>
      <c r="O1947" s="65"/>
      <c r="P1947" s="29" t="s">
        <v>334</v>
      </c>
      <c r="Q1947" s="55"/>
      <c r="R1947" s="31" t="e">
        <f t="shared" si="9"/>
        <v>#VALUE!</v>
      </c>
      <c r="S1947" s="66"/>
      <c r="T1947" s="32" t="e">
        <f t="shared" si="10"/>
        <v>#VALUE!</v>
      </c>
      <c r="U1947" s="57"/>
      <c r="V1947" s="58"/>
      <c r="W1947" s="58"/>
      <c r="X1947" s="30" t="e">
        <f t="shared" si="11"/>
        <v>#N/A</v>
      </c>
      <c r="Y1947" s="30" t="e">
        <f t="shared" si="12"/>
        <v>#N/A</v>
      </c>
      <c r="Z1947" s="35" t="e">
        <f t="shared" si="13"/>
        <v>#VALUE!</v>
      </c>
      <c r="AA1947" s="29" t="e">
        <f t="shared" si="14"/>
        <v>#VALUE!</v>
      </c>
      <c r="AB1947" s="36" t="e">
        <f t="shared" si="15"/>
        <v>#VALUE!</v>
      </c>
      <c r="AC1947" s="37" t="b">
        <v>0</v>
      </c>
      <c r="AD1947" s="61" t="str">
        <f t="shared" si="16"/>
        <v>USD</v>
      </c>
      <c r="AE1947" s="37"/>
      <c r="AF1947" s="37" t="e">
        <f t="array" ref="AF1947">INDEX('Deal Info'!D:D, MATCH(A1947,'Deal Info'!A:A, 0))</f>
        <v>#N/A</v>
      </c>
      <c r="AG1947" s="38" t="e">
        <f t="array" ref="AG1947">INDEX('Deal Info'!G:G, MATCH(A1947,'Deal Info'!A:A, 0))</f>
        <v>#N/A</v>
      </c>
    </row>
    <row r="1948" spans="1:33" ht="14.25" hidden="1" x14ac:dyDescent="0.2">
      <c r="A1948" s="18" t="b">
        <f t="array" ref="A1948">IF(G1948='Room Info'!$B$1, INDEX('Room Info'!$A$2:$A2446, MATCH(B1948,'Room Info'!$B$2:$B2446, 0)),IF(G1948='Room Info'!$C$1, INDEX('Room Info'!$A$2:$A2446, MATCH(B1948,'Room Info'!$C$2:$C2446, 0)),IF(G1948='Room Info'!$D$1, INDEX('Room Info'!$A$2:$A2446, MATCH(B1948,'Room Info'!$D$2:$D2446, 0)),IF(G1948='Room Info'!$E$1, INDEX('Room Info'!$A$2:$A2446, MATCH(B1948,'Room Info'!$E$2:$E2446, 0)),IF(G1948='Room Info'!$F$1, INDEX('Room Info'!$A$2:$A2446, MATCH(B1948,'Room Info'!$F$2:$F2446, 0)),IF(G1948='Room Info'!$H$1, INDEX('Room Info'!$A$2:$A2446, MATCH(B1948,'Room Info'!$H$2:$H2446, 0)),IF(G1948='Room Info'!$G$1, INDEX('Room Info'!$A$2:$A2446, MATCH(B1948,'Room Info'!$G$2:$G2446, 0)))))))))</f>
        <v>0</v>
      </c>
      <c r="B1948" s="65"/>
      <c r="C1948" s="111"/>
      <c r="D1948" s="111"/>
      <c r="E1948" s="80"/>
      <c r="F1948" s="133"/>
      <c r="G1948" s="65"/>
      <c r="H1948" s="110"/>
      <c r="I1948" s="110"/>
      <c r="J1948" s="39" t="s">
        <v>334</v>
      </c>
      <c r="K1948" s="112"/>
      <c r="L1948" s="113"/>
      <c r="M1948" s="62"/>
      <c r="N1948" s="28" t="e">
        <f t="shared" si="8"/>
        <v>#VALUE!</v>
      </c>
      <c r="O1948" s="65"/>
      <c r="P1948" s="29" t="s">
        <v>334</v>
      </c>
      <c r="Q1948" s="55"/>
      <c r="R1948" s="31" t="e">
        <f t="shared" si="9"/>
        <v>#VALUE!</v>
      </c>
      <c r="S1948" s="66"/>
      <c r="T1948" s="32" t="e">
        <f t="shared" si="10"/>
        <v>#VALUE!</v>
      </c>
      <c r="U1948" s="57"/>
      <c r="V1948" s="58"/>
      <c r="W1948" s="58"/>
      <c r="X1948" s="30" t="e">
        <f t="shared" si="11"/>
        <v>#N/A</v>
      </c>
      <c r="Y1948" s="30" t="e">
        <f t="shared" si="12"/>
        <v>#N/A</v>
      </c>
      <c r="Z1948" s="35" t="e">
        <f t="shared" si="13"/>
        <v>#VALUE!</v>
      </c>
      <c r="AA1948" s="29" t="e">
        <f t="shared" si="14"/>
        <v>#VALUE!</v>
      </c>
      <c r="AB1948" s="36" t="e">
        <f t="shared" si="15"/>
        <v>#VALUE!</v>
      </c>
      <c r="AC1948" s="37" t="b">
        <v>0</v>
      </c>
      <c r="AD1948" s="61" t="str">
        <f t="shared" si="16"/>
        <v>USD</v>
      </c>
      <c r="AE1948" s="37"/>
      <c r="AF1948" s="37" t="e">
        <f t="array" ref="AF1948">INDEX('Deal Info'!D:D, MATCH(A1948,'Deal Info'!A:A, 0))</f>
        <v>#N/A</v>
      </c>
      <c r="AG1948" s="38" t="e">
        <f t="array" ref="AG1948">INDEX('Deal Info'!G:G, MATCH(A1948,'Deal Info'!A:A, 0))</f>
        <v>#N/A</v>
      </c>
    </row>
    <row r="1949" spans="1:33" ht="14.25" hidden="1" x14ac:dyDescent="0.2">
      <c r="A1949" s="18" t="b">
        <f t="array" ref="A1949">IF(G1949='Room Info'!$B$1, INDEX('Room Info'!$A$2:$A2446, MATCH(B1949,'Room Info'!$B$2:$B2446, 0)),IF(G1949='Room Info'!$C$1, INDEX('Room Info'!$A$2:$A2446, MATCH(B1949,'Room Info'!$C$2:$C2446, 0)),IF(G1949='Room Info'!$D$1, INDEX('Room Info'!$A$2:$A2446, MATCH(B1949,'Room Info'!$D$2:$D2446, 0)),IF(G1949='Room Info'!$E$1, INDEX('Room Info'!$A$2:$A2446, MATCH(B1949,'Room Info'!$E$2:$E2446, 0)),IF(G1949='Room Info'!$F$1, INDEX('Room Info'!$A$2:$A2446, MATCH(B1949,'Room Info'!$F$2:$F2446, 0)),IF(G1949='Room Info'!$H$1, INDEX('Room Info'!$A$2:$A2446, MATCH(B1949,'Room Info'!$H$2:$H2446, 0)),IF(G1949='Room Info'!$G$1, INDEX('Room Info'!$A$2:$A2446, MATCH(B1949,'Room Info'!$G$2:$G2446, 0)))))))))</f>
        <v>0</v>
      </c>
      <c r="B1949" s="65"/>
      <c r="C1949" s="111"/>
      <c r="D1949" s="111"/>
      <c r="E1949" s="80"/>
      <c r="F1949" s="133"/>
      <c r="G1949" s="65"/>
      <c r="H1949" s="110"/>
      <c r="I1949" s="110"/>
      <c r="J1949" s="39" t="s">
        <v>334</v>
      </c>
      <c r="K1949" s="112"/>
      <c r="L1949" s="113"/>
      <c r="M1949" s="62"/>
      <c r="N1949" s="28" t="e">
        <f t="shared" si="8"/>
        <v>#VALUE!</v>
      </c>
      <c r="O1949" s="65"/>
      <c r="P1949" s="29" t="s">
        <v>334</v>
      </c>
      <c r="Q1949" s="55"/>
      <c r="R1949" s="31" t="e">
        <f t="shared" si="9"/>
        <v>#VALUE!</v>
      </c>
      <c r="S1949" s="66"/>
      <c r="T1949" s="32" t="e">
        <f t="shared" si="10"/>
        <v>#VALUE!</v>
      </c>
      <c r="U1949" s="57"/>
      <c r="V1949" s="58"/>
      <c r="W1949" s="58"/>
      <c r="X1949" s="30" t="e">
        <f t="shared" si="11"/>
        <v>#N/A</v>
      </c>
      <c r="Y1949" s="30" t="e">
        <f t="shared" si="12"/>
        <v>#N/A</v>
      </c>
      <c r="Z1949" s="35" t="e">
        <f t="shared" si="13"/>
        <v>#VALUE!</v>
      </c>
      <c r="AA1949" s="29" t="e">
        <f t="shared" si="14"/>
        <v>#VALUE!</v>
      </c>
      <c r="AB1949" s="36" t="e">
        <f t="shared" si="15"/>
        <v>#VALUE!</v>
      </c>
      <c r="AC1949" s="37" t="b">
        <v>0</v>
      </c>
      <c r="AD1949" s="61" t="str">
        <f t="shared" si="16"/>
        <v>USD</v>
      </c>
      <c r="AE1949" s="37"/>
      <c r="AF1949" s="37" t="e">
        <f t="array" ref="AF1949">INDEX('Deal Info'!D:D, MATCH(A1949,'Deal Info'!A:A, 0))</f>
        <v>#N/A</v>
      </c>
      <c r="AG1949" s="38" t="e">
        <f t="array" ref="AG1949">INDEX('Deal Info'!G:G, MATCH(A1949,'Deal Info'!A:A, 0))</f>
        <v>#N/A</v>
      </c>
    </row>
    <row r="1950" spans="1:33" ht="14.25" hidden="1" x14ac:dyDescent="0.2">
      <c r="A1950" s="18" t="b">
        <f t="array" ref="A1950">IF(G1950='Room Info'!$B$1, INDEX('Room Info'!$A$2:$A2446, MATCH(B1950,'Room Info'!$B$2:$B2446, 0)),IF(G1950='Room Info'!$C$1, INDEX('Room Info'!$A$2:$A2446, MATCH(B1950,'Room Info'!$C$2:$C2446, 0)),IF(G1950='Room Info'!$D$1, INDEX('Room Info'!$A$2:$A2446, MATCH(B1950,'Room Info'!$D$2:$D2446, 0)),IF(G1950='Room Info'!$E$1, INDEX('Room Info'!$A$2:$A2446, MATCH(B1950,'Room Info'!$E$2:$E2446, 0)),IF(G1950='Room Info'!$F$1, INDEX('Room Info'!$A$2:$A2446, MATCH(B1950,'Room Info'!$F$2:$F2446, 0)),IF(G1950='Room Info'!$H$1, INDEX('Room Info'!$A$2:$A2446, MATCH(B1950,'Room Info'!$H$2:$H2446, 0)),IF(G1950='Room Info'!$G$1, INDEX('Room Info'!$A$2:$A2446, MATCH(B1950,'Room Info'!$G$2:$G2446, 0)))))))))</f>
        <v>0</v>
      </c>
      <c r="B1950" s="65"/>
      <c r="C1950" s="111"/>
      <c r="D1950" s="111"/>
      <c r="E1950" s="80"/>
      <c r="F1950" s="133"/>
      <c r="G1950" s="65"/>
      <c r="H1950" s="110"/>
      <c r="I1950" s="110"/>
      <c r="J1950" s="39" t="s">
        <v>334</v>
      </c>
      <c r="K1950" s="112"/>
      <c r="L1950" s="113"/>
      <c r="M1950" s="62"/>
      <c r="N1950" s="28" t="e">
        <f t="shared" si="8"/>
        <v>#VALUE!</v>
      </c>
      <c r="O1950" s="65"/>
      <c r="P1950" s="29" t="s">
        <v>334</v>
      </c>
      <c r="Q1950" s="55"/>
      <c r="R1950" s="31" t="e">
        <f t="shared" si="9"/>
        <v>#VALUE!</v>
      </c>
      <c r="S1950" s="66"/>
      <c r="T1950" s="32" t="e">
        <f t="shared" si="10"/>
        <v>#VALUE!</v>
      </c>
      <c r="U1950" s="57"/>
      <c r="V1950" s="58"/>
      <c r="W1950" s="58"/>
      <c r="X1950" s="30" t="e">
        <f t="shared" si="11"/>
        <v>#N/A</v>
      </c>
      <c r="Y1950" s="30" t="e">
        <f t="shared" si="12"/>
        <v>#N/A</v>
      </c>
      <c r="Z1950" s="35" t="e">
        <f t="shared" si="13"/>
        <v>#VALUE!</v>
      </c>
      <c r="AA1950" s="29" t="e">
        <f t="shared" si="14"/>
        <v>#VALUE!</v>
      </c>
      <c r="AB1950" s="36" t="e">
        <f t="shared" si="15"/>
        <v>#VALUE!</v>
      </c>
      <c r="AC1950" s="37" t="b">
        <v>0</v>
      </c>
      <c r="AD1950" s="61" t="str">
        <f t="shared" si="16"/>
        <v>USD</v>
      </c>
      <c r="AE1950" s="37"/>
      <c r="AF1950" s="37" t="e">
        <f t="array" ref="AF1950">INDEX('Deal Info'!D:D, MATCH(A1950,'Deal Info'!A:A, 0))</f>
        <v>#N/A</v>
      </c>
      <c r="AG1950" s="38" t="e">
        <f t="array" ref="AG1950">INDEX('Deal Info'!G:G, MATCH(A1950,'Deal Info'!A:A, 0))</f>
        <v>#N/A</v>
      </c>
    </row>
    <row r="1951" spans="1:33" ht="14.25" hidden="1" x14ac:dyDescent="0.2">
      <c r="A1951" s="18" t="b">
        <f t="array" ref="A1951">IF(G1951='Room Info'!$B$1, INDEX('Room Info'!$A$2:$A2446, MATCH(B1951,'Room Info'!$B$2:$B2446, 0)),IF(G1951='Room Info'!$C$1, INDEX('Room Info'!$A$2:$A2446, MATCH(B1951,'Room Info'!$C$2:$C2446, 0)),IF(G1951='Room Info'!$D$1, INDEX('Room Info'!$A$2:$A2446, MATCH(B1951,'Room Info'!$D$2:$D2446, 0)),IF(G1951='Room Info'!$E$1, INDEX('Room Info'!$A$2:$A2446, MATCH(B1951,'Room Info'!$E$2:$E2446, 0)),IF(G1951='Room Info'!$F$1, INDEX('Room Info'!$A$2:$A2446, MATCH(B1951,'Room Info'!$F$2:$F2446, 0)),IF(G1951='Room Info'!$H$1, INDEX('Room Info'!$A$2:$A2446, MATCH(B1951,'Room Info'!$H$2:$H2446, 0)),IF(G1951='Room Info'!$G$1, INDEX('Room Info'!$A$2:$A2446, MATCH(B1951,'Room Info'!$G$2:$G2446, 0)))))))))</f>
        <v>0</v>
      </c>
      <c r="B1951" s="65"/>
      <c r="C1951" s="111"/>
      <c r="D1951" s="111"/>
      <c r="E1951" s="80"/>
      <c r="F1951" s="133"/>
      <c r="G1951" s="65"/>
      <c r="H1951" s="110"/>
      <c r="I1951" s="110"/>
      <c r="J1951" s="39" t="s">
        <v>334</v>
      </c>
      <c r="K1951" s="112"/>
      <c r="L1951" s="113"/>
      <c r="M1951" s="62"/>
      <c r="N1951" s="28" t="e">
        <f t="shared" si="8"/>
        <v>#VALUE!</v>
      </c>
      <c r="O1951" s="65"/>
      <c r="P1951" s="29" t="s">
        <v>334</v>
      </c>
      <c r="Q1951" s="55"/>
      <c r="R1951" s="31" t="e">
        <f t="shared" si="9"/>
        <v>#VALUE!</v>
      </c>
      <c r="S1951" s="66"/>
      <c r="T1951" s="32" t="e">
        <f t="shared" si="10"/>
        <v>#VALUE!</v>
      </c>
      <c r="U1951" s="57"/>
      <c r="V1951" s="58"/>
      <c r="W1951" s="58"/>
      <c r="X1951" s="30" t="e">
        <f t="shared" si="11"/>
        <v>#N/A</v>
      </c>
      <c r="Y1951" s="30" t="e">
        <f t="shared" si="12"/>
        <v>#N/A</v>
      </c>
      <c r="Z1951" s="35" t="e">
        <f t="shared" si="13"/>
        <v>#VALUE!</v>
      </c>
      <c r="AA1951" s="29" t="e">
        <f t="shared" si="14"/>
        <v>#VALUE!</v>
      </c>
      <c r="AB1951" s="36" t="e">
        <f t="shared" si="15"/>
        <v>#VALUE!</v>
      </c>
      <c r="AC1951" s="37" t="b">
        <v>0</v>
      </c>
      <c r="AD1951" s="61" t="str">
        <f t="shared" si="16"/>
        <v>USD</v>
      </c>
      <c r="AE1951" s="37"/>
      <c r="AF1951" s="37" t="e">
        <f t="array" ref="AF1951">INDEX('Deal Info'!D:D, MATCH(A1951,'Deal Info'!A:A, 0))</f>
        <v>#N/A</v>
      </c>
      <c r="AG1951" s="38" t="e">
        <f t="array" ref="AG1951">INDEX('Deal Info'!G:G, MATCH(A1951,'Deal Info'!A:A, 0))</f>
        <v>#N/A</v>
      </c>
    </row>
    <row r="1952" spans="1:33" ht="14.25" hidden="1" x14ac:dyDescent="0.2">
      <c r="A1952" s="18" t="b">
        <f t="array" ref="A1952">IF(G1952='Room Info'!$B$1, INDEX('Room Info'!$A$2:$A2446, MATCH(B1952,'Room Info'!$B$2:$B2446, 0)),IF(G1952='Room Info'!$C$1, INDEX('Room Info'!$A$2:$A2446, MATCH(B1952,'Room Info'!$C$2:$C2446, 0)),IF(G1952='Room Info'!$D$1, INDEX('Room Info'!$A$2:$A2446, MATCH(B1952,'Room Info'!$D$2:$D2446, 0)),IF(G1952='Room Info'!$E$1, INDEX('Room Info'!$A$2:$A2446, MATCH(B1952,'Room Info'!$E$2:$E2446, 0)),IF(G1952='Room Info'!$F$1, INDEX('Room Info'!$A$2:$A2446, MATCH(B1952,'Room Info'!$F$2:$F2446, 0)),IF(G1952='Room Info'!$H$1, INDEX('Room Info'!$A$2:$A2446, MATCH(B1952,'Room Info'!$H$2:$H2446, 0)),IF(G1952='Room Info'!$G$1, INDEX('Room Info'!$A$2:$A2446, MATCH(B1952,'Room Info'!$G$2:$G2446, 0)))))))))</f>
        <v>0</v>
      </c>
      <c r="B1952" s="65"/>
      <c r="C1952" s="111"/>
      <c r="D1952" s="111"/>
      <c r="E1952" s="80"/>
      <c r="F1952" s="133"/>
      <c r="G1952" s="65"/>
      <c r="H1952" s="110"/>
      <c r="I1952" s="110"/>
      <c r="J1952" s="39" t="s">
        <v>334</v>
      </c>
      <c r="K1952" s="112"/>
      <c r="L1952" s="113"/>
      <c r="M1952" s="62"/>
      <c r="N1952" s="28" t="e">
        <f t="shared" si="8"/>
        <v>#VALUE!</v>
      </c>
      <c r="O1952" s="65"/>
      <c r="P1952" s="29" t="s">
        <v>334</v>
      </c>
      <c r="Q1952" s="55"/>
      <c r="R1952" s="31" t="e">
        <f t="shared" si="9"/>
        <v>#VALUE!</v>
      </c>
      <c r="S1952" s="66"/>
      <c r="T1952" s="32" t="e">
        <f t="shared" si="10"/>
        <v>#VALUE!</v>
      </c>
      <c r="U1952" s="57"/>
      <c r="V1952" s="58"/>
      <c r="W1952" s="58"/>
      <c r="X1952" s="30" t="e">
        <f t="shared" si="11"/>
        <v>#N/A</v>
      </c>
      <c r="Y1952" s="30" t="e">
        <f t="shared" si="12"/>
        <v>#N/A</v>
      </c>
      <c r="Z1952" s="35" t="e">
        <f t="shared" si="13"/>
        <v>#VALUE!</v>
      </c>
      <c r="AA1952" s="29" t="e">
        <f t="shared" si="14"/>
        <v>#VALUE!</v>
      </c>
      <c r="AB1952" s="36" t="e">
        <f t="shared" si="15"/>
        <v>#VALUE!</v>
      </c>
      <c r="AC1952" s="37" t="b">
        <v>0</v>
      </c>
      <c r="AD1952" s="61" t="str">
        <f t="shared" si="16"/>
        <v>USD</v>
      </c>
      <c r="AE1952" s="37"/>
      <c r="AF1952" s="37" t="e">
        <f t="array" ref="AF1952">INDEX('Deal Info'!D:D, MATCH(A1952,'Deal Info'!A:A, 0))</f>
        <v>#N/A</v>
      </c>
      <c r="AG1952" s="38" t="e">
        <f t="array" ref="AG1952">INDEX('Deal Info'!G:G, MATCH(A1952,'Deal Info'!A:A, 0))</f>
        <v>#N/A</v>
      </c>
    </row>
    <row r="1953" spans="1:33" ht="14.25" hidden="1" x14ac:dyDescent="0.2">
      <c r="A1953" s="18" t="b">
        <f t="array" ref="A1953">IF(G1953='Room Info'!$B$1, INDEX('Room Info'!$A$2:$A2446, MATCH(B1953,'Room Info'!$B$2:$B2446, 0)),IF(G1953='Room Info'!$C$1, INDEX('Room Info'!$A$2:$A2446, MATCH(B1953,'Room Info'!$C$2:$C2446, 0)),IF(G1953='Room Info'!$D$1, INDEX('Room Info'!$A$2:$A2446, MATCH(B1953,'Room Info'!$D$2:$D2446, 0)),IF(G1953='Room Info'!$E$1, INDEX('Room Info'!$A$2:$A2446, MATCH(B1953,'Room Info'!$E$2:$E2446, 0)),IF(G1953='Room Info'!$F$1, INDEX('Room Info'!$A$2:$A2446, MATCH(B1953,'Room Info'!$F$2:$F2446, 0)),IF(G1953='Room Info'!$H$1, INDEX('Room Info'!$A$2:$A2446, MATCH(B1953,'Room Info'!$H$2:$H2446, 0)),IF(G1953='Room Info'!$G$1, INDEX('Room Info'!$A$2:$A2446, MATCH(B1953,'Room Info'!$G$2:$G2446, 0)))))))))</f>
        <v>0</v>
      </c>
      <c r="B1953" s="96"/>
      <c r="C1953" s="136"/>
      <c r="D1953" s="136"/>
      <c r="E1953" s="137"/>
      <c r="F1953" s="133"/>
      <c r="G1953" s="96"/>
      <c r="H1953" s="100"/>
      <c r="I1953" s="100"/>
      <c r="J1953" s="39" t="s">
        <v>334</v>
      </c>
      <c r="K1953" s="134"/>
      <c r="L1953" s="135"/>
      <c r="M1953" s="79"/>
      <c r="N1953" s="28" t="e">
        <f t="shared" si="8"/>
        <v>#VALUE!</v>
      </c>
      <c r="O1953" s="96"/>
      <c r="P1953" s="29" t="s">
        <v>334</v>
      </c>
      <c r="Q1953" s="55"/>
      <c r="R1953" s="31" t="e">
        <f t="shared" si="9"/>
        <v>#VALUE!</v>
      </c>
      <c r="S1953" s="97"/>
      <c r="T1953" s="32" t="e">
        <f t="shared" si="10"/>
        <v>#VALUE!</v>
      </c>
      <c r="U1953" s="57"/>
      <c r="V1953" s="58"/>
      <c r="W1953" s="58"/>
      <c r="X1953" s="30" t="e">
        <f t="shared" si="11"/>
        <v>#N/A</v>
      </c>
      <c r="Y1953" s="30" t="e">
        <f t="shared" si="12"/>
        <v>#N/A</v>
      </c>
      <c r="Z1953" s="35" t="e">
        <f t="shared" si="13"/>
        <v>#VALUE!</v>
      </c>
      <c r="AA1953" s="29" t="e">
        <f t="shared" si="14"/>
        <v>#VALUE!</v>
      </c>
      <c r="AB1953" s="36" t="e">
        <f t="shared" si="15"/>
        <v>#VALUE!</v>
      </c>
      <c r="AC1953" s="37" t="b">
        <v>0</v>
      </c>
      <c r="AD1953" s="61" t="str">
        <f t="shared" si="16"/>
        <v>USD</v>
      </c>
      <c r="AE1953" s="37"/>
      <c r="AF1953" s="37" t="e">
        <f t="array" ref="AF1953">INDEX('Deal Info'!D:D, MATCH(A1953,'Deal Info'!A:A, 0))</f>
        <v>#N/A</v>
      </c>
      <c r="AG1953" s="38" t="e">
        <f t="array" ref="AG1953">INDEX('Deal Info'!G:G, MATCH(A1953,'Deal Info'!A:A, 0))</f>
        <v>#N/A</v>
      </c>
    </row>
    <row r="1954" spans="1:33" ht="14.25" hidden="1" x14ac:dyDescent="0.2">
      <c r="A1954" s="18" t="b">
        <f t="array" ref="A1954">IF(G1954='Room Info'!$B$1, INDEX('Room Info'!$A$2:$A2446, MATCH(B1954,'Room Info'!$B$2:$B2446, 0)),IF(G1954='Room Info'!$C$1, INDEX('Room Info'!$A$2:$A2446, MATCH(B1954,'Room Info'!$C$2:$C2446, 0)),IF(G1954='Room Info'!$D$1, INDEX('Room Info'!$A$2:$A2446, MATCH(B1954,'Room Info'!$D$2:$D2446, 0)),IF(G1954='Room Info'!$E$1, INDEX('Room Info'!$A$2:$A2446, MATCH(B1954,'Room Info'!$E$2:$E2446, 0)),IF(G1954='Room Info'!$F$1, INDEX('Room Info'!$A$2:$A2446, MATCH(B1954,'Room Info'!$F$2:$F2446, 0)),IF(G1954='Room Info'!$H$1, INDEX('Room Info'!$A$2:$A2446, MATCH(B1954,'Room Info'!$H$2:$H2446, 0)),IF(G1954='Room Info'!$G$1, INDEX('Room Info'!$A$2:$A2446, MATCH(B1954,'Room Info'!$G$2:$G2446, 0)))))))))</f>
        <v>0</v>
      </c>
      <c r="B1954" s="96"/>
      <c r="C1954" s="136"/>
      <c r="D1954" s="136"/>
      <c r="E1954" s="137"/>
      <c r="F1954" s="133"/>
      <c r="G1954" s="96"/>
      <c r="H1954" s="100"/>
      <c r="I1954" s="100"/>
      <c r="J1954" s="39" t="s">
        <v>334</v>
      </c>
      <c r="K1954" s="134"/>
      <c r="L1954" s="135"/>
      <c r="M1954" s="79"/>
      <c r="N1954" s="28" t="e">
        <f t="shared" si="8"/>
        <v>#VALUE!</v>
      </c>
      <c r="O1954" s="96"/>
      <c r="P1954" s="29" t="s">
        <v>334</v>
      </c>
      <c r="Q1954" s="55"/>
      <c r="R1954" s="31" t="e">
        <f t="shared" si="9"/>
        <v>#VALUE!</v>
      </c>
      <c r="S1954" s="97"/>
      <c r="T1954" s="32" t="e">
        <f t="shared" si="10"/>
        <v>#VALUE!</v>
      </c>
      <c r="U1954" s="57"/>
      <c r="V1954" s="58"/>
      <c r="W1954" s="58"/>
      <c r="X1954" s="30" t="e">
        <f t="shared" si="11"/>
        <v>#N/A</v>
      </c>
      <c r="Y1954" s="30" t="e">
        <f t="shared" si="12"/>
        <v>#N/A</v>
      </c>
      <c r="Z1954" s="35" t="e">
        <f t="shared" si="13"/>
        <v>#VALUE!</v>
      </c>
      <c r="AA1954" s="29" t="e">
        <f t="shared" si="14"/>
        <v>#VALUE!</v>
      </c>
      <c r="AB1954" s="36" t="e">
        <f t="shared" si="15"/>
        <v>#VALUE!</v>
      </c>
      <c r="AC1954" s="37" t="b">
        <v>0</v>
      </c>
      <c r="AD1954" s="61" t="str">
        <f t="shared" si="16"/>
        <v>USD</v>
      </c>
      <c r="AE1954" s="37"/>
      <c r="AF1954" s="37" t="e">
        <f t="array" ref="AF1954">INDEX('Deal Info'!D:D, MATCH(A1954,'Deal Info'!A:A, 0))</f>
        <v>#N/A</v>
      </c>
      <c r="AG1954" s="38" t="e">
        <f t="array" ref="AG1954">INDEX('Deal Info'!G:G, MATCH(A1954,'Deal Info'!A:A, 0))</f>
        <v>#N/A</v>
      </c>
    </row>
    <row r="1955" spans="1:33" ht="14.25" hidden="1" x14ac:dyDescent="0.2">
      <c r="A1955" s="18" t="b">
        <f t="array" ref="A1955">IF(G1955='Room Info'!$B$1, INDEX('Room Info'!$A$2:$A2446, MATCH(B1955,'Room Info'!$B$2:$B2446, 0)),IF(G1955='Room Info'!$C$1, INDEX('Room Info'!$A$2:$A2446, MATCH(B1955,'Room Info'!$C$2:$C2446, 0)),IF(G1955='Room Info'!$D$1, INDEX('Room Info'!$A$2:$A2446, MATCH(B1955,'Room Info'!$D$2:$D2446, 0)),IF(G1955='Room Info'!$E$1, INDEX('Room Info'!$A$2:$A2446, MATCH(B1955,'Room Info'!$E$2:$E2446, 0)),IF(G1955='Room Info'!$F$1, INDEX('Room Info'!$A$2:$A2446, MATCH(B1955,'Room Info'!$F$2:$F2446, 0)),IF(G1955='Room Info'!$H$1, INDEX('Room Info'!$A$2:$A2446, MATCH(B1955,'Room Info'!$H$2:$H2446, 0)),IF(G1955='Room Info'!$G$1, INDEX('Room Info'!$A$2:$A2446, MATCH(B1955,'Room Info'!$G$2:$G2446, 0)))))))))</f>
        <v>0</v>
      </c>
      <c r="B1955" s="96"/>
      <c r="C1955" s="136"/>
      <c r="D1955" s="136"/>
      <c r="E1955" s="137"/>
      <c r="F1955" s="133"/>
      <c r="G1955" s="96"/>
      <c r="H1955" s="100"/>
      <c r="I1955" s="100"/>
      <c r="J1955" s="39" t="s">
        <v>334</v>
      </c>
      <c r="K1955" s="134"/>
      <c r="L1955" s="135"/>
      <c r="M1955" s="79"/>
      <c r="N1955" s="28" t="e">
        <f t="shared" si="8"/>
        <v>#VALUE!</v>
      </c>
      <c r="O1955" s="96"/>
      <c r="P1955" s="29" t="s">
        <v>334</v>
      </c>
      <c r="Q1955" s="55"/>
      <c r="R1955" s="31" t="e">
        <f t="shared" si="9"/>
        <v>#VALUE!</v>
      </c>
      <c r="S1955" s="97"/>
      <c r="T1955" s="32" t="e">
        <f t="shared" si="10"/>
        <v>#VALUE!</v>
      </c>
      <c r="U1955" s="57"/>
      <c r="V1955" s="58"/>
      <c r="W1955" s="58"/>
      <c r="X1955" s="30" t="e">
        <f t="shared" si="11"/>
        <v>#N/A</v>
      </c>
      <c r="Y1955" s="30" t="e">
        <f t="shared" si="12"/>
        <v>#N/A</v>
      </c>
      <c r="Z1955" s="35" t="e">
        <f t="shared" si="13"/>
        <v>#VALUE!</v>
      </c>
      <c r="AA1955" s="29" t="e">
        <f t="shared" si="14"/>
        <v>#VALUE!</v>
      </c>
      <c r="AB1955" s="36" t="e">
        <f t="shared" si="15"/>
        <v>#VALUE!</v>
      </c>
      <c r="AC1955" s="37" t="b">
        <v>0</v>
      </c>
      <c r="AD1955" s="61" t="str">
        <f t="shared" si="16"/>
        <v>USD</v>
      </c>
      <c r="AE1955" s="37"/>
      <c r="AF1955" s="37" t="e">
        <f t="array" ref="AF1955">INDEX('Deal Info'!D:D, MATCH(A1955,'Deal Info'!A:A, 0))</f>
        <v>#N/A</v>
      </c>
      <c r="AG1955" s="38" t="e">
        <f t="array" ref="AG1955">INDEX('Deal Info'!G:G, MATCH(A1955,'Deal Info'!A:A, 0))</f>
        <v>#N/A</v>
      </c>
    </row>
    <row r="1956" spans="1:33" ht="14.25" hidden="1" x14ac:dyDescent="0.2">
      <c r="A1956" s="18" t="b">
        <f t="array" ref="A1956">IF(G1956='Room Info'!$B$1, INDEX('Room Info'!$A$2:$A2446, MATCH(B1956,'Room Info'!$B$2:$B2446, 0)),IF(G1956='Room Info'!$C$1, INDEX('Room Info'!$A$2:$A2446, MATCH(B1956,'Room Info'!$C$2:$C2446, 0)),IF(G1956='Room Info'!$D$1, INDEX('Room Info'!$A$2:$A2446, MATCH(B1956,'Room Info'!$D$2:$D2446, 0)),IF(G1956='Room Info'!$E$1, INDEX('Room Info'!$A$2:$A2446, MATCH(B1956,'Room Info'!$E$2:$E2446, 0)),IF(G1956='Room Info'!$F$1, INDEX('Room Info'!$A$2:$A2446, MATCH(B1956,'Room Info'!$F$2:$F2446, 0)),IF(G1956='Room Info'!$H$1, INDEX('Room Info'!$A$2:$A2446, MATCH(B1956,'Room Info'!$H$2:$H2446, 0)),IF(G1956='Room Info'!$G$1, INDEX('Room Info'!$A$2:$A2446, MATCH(B1956,'Room Info'!$G$2:$G2446, 0)))))))))</f>
        <v>0</v>
      </c>
      <c r="B1956" s="96"/>
      <c r="C1956" s="111"/>
      <c r="D1956" s="111"/>
      <c r="E1956" s="80"/>
      <c r="F1956" s="96"/>
      <c r="G1956" s="65"/>
      <c r="H1956" s="110"/>
      <c r="I1956" s="110"/>
      <c r="J1956" s="39" t="s">
        <v>334</v>
      </c>
      <c r="K1956" s="112"/>
      <c r="L1956" s="113"/>
      <c r="M1956" s="62"/>
      <c r="N1956" s="28" t="e">
        <f t="shared" si="8"/>
        <v>#VALUE!</v>
      </c>
      <c r="O1956" s="65"/>
      <c r="P1956" s="29" t="s">
        <v>334</v>
      </c>
      <c r="Q1956" s="55"/>
      <c r="R1956" s="31" t="e">
        <f t="shared" si="9"/>
        <v>#VALUE!</v>
      </c>
      <c r="S1956" s="66"/>
      <c r="T1956" s="32" t="e">
        <f t="shared" si="10"/>
        <v>#VALUE!</v>
      </c>
      <c r="U1956" s="57"/>
      <c r="V1956" s="58"/>
      <c r="W1956" s="58"/>
      <c r="X1956" s="30" t="e">
        <f t="shared" si="11"/>
        <v>#N/A</v>
      </c>
      <c r="Y1956" s="30" t="e">
        <f t="shared" si="12"/>
        <v>#N/A</v>
      </c>
      <c r="Z1956" s="35" t="e">
        <f t="shared" si="13"/>
        <v>#VALUE!</v>
      </c>
      <c r="AA1956" s="29" t="e">
        <f t="shared" si="14"/>
        <v>#VALUE!</v>
      </c>
      <c r="AB1956" s="36" t="e">
        <f t="shared" si="15"/>
        <v>#VALUE!</v>
      </c>
      <c r="AC1956" s="37" t="b">
        <v>0</v>
      </c>
      <c r="AD1956" s="61" t="str">
        <f t="shared" si="16"/>
        <v>USD</v>
      </c>
      <c r="AE1956" s="37"/>
      <c r="AF1956" s="37" t="e">
        <f t="array" ref="AF1956">INDEX('Deal Info'!D:D, MATCH(A1956,'Deal Info'!A:A, 0))</f>
        <v>#N/A</v>
      </c>
      <c r="AG1956" s="38" t="e">
        <f t="array" ref="AG1956">INDEX('Deal Info'!G:G, MATCH(A1956,'Deal Info'!A:A, 0))</f>
        <v>#N/A</v>
      </c>
    </row>
    <row r="1957" spans="1:33" ht="14.25" hidden="1" x14ac:dyDescent="0.2">
      <c r="A1957" s="18" t="b">
        <f t="array" ref="A1957">IF(G1957='Room Info'!$B$1, INDEX('Room Info'!$A$2:$A2446, MATCH(B1957,'Room Info'!$B$2:$B2446, 0)),IF(G1957='Room Info'!$C$1, INDEX('Room Info'!$A$2:$A2446, MATCH(B1957,'Room Info'!$C$2:$C2446, 0)),IF(G1957='Room Info'!$D$1, INDEX('Room Info'!$A$2:$A2446, MATCH(B1957,'Room Info'!$D$2:$D2446, 0)),IF(G1957='Room Info'!$E$1, INDEX('Room Info'!$A$2:$A2446, MATCH(B1957,'Room Info'!$E$2:$E2446, 0)),IF(G1957='Room Info'!$F$1, INDEX('Room Info'!$A$2:$A2446, MATCH(B1957,'Room Info'!$F$2:$F2446, 0)),IF(G1957='Room Info'!$H$1, INDEX('Room Info'!$A$2:$A2446, MATCH(B1957,'Room Info'!$H$2:$H2446, 0)),IF(G1957='Room Info'!$G$1, INDEX('Room Info'!$A$2:$A2446, MATCH(B1957,'Room Info'!$G$2:$G2446, 0)))))))))</f>
        <v>0</v>
      </c>
      <c r="B1957" s="96"/>
      <c r="C1957" s="111"/>
      <c r="D1957" s="111"/>
      <c r="E1957" s="80"/>
      <c r="F1957" s="96"/>
      <c r="G1957" s="65"/>
      <c r="H1957" s="110"/>
      <c r="I1957" s="110"/>
      <c r="J1957" s="39" t="s">
        <v>334</v>
      </c>
      <c r="K1957" s="112"/>
      <c r="L1957" s="113"/>
      <c r="M1957" s="62"/>
      <c r="N1957" s="28" t="e">
        <f t="shared" si="8"/>
        <v>#VALUE!</v>
      </c>
      <c r="O1957" s="65"/>
      <c r="P1957" s="29" t="s">
        <v>334</v>
      </c>
      <c r="Q1957" s="55"/>
      <c r="R1957" s="31" t="e">
        <f t="shared" si="9"/>
        <v>#VALUE!</v>
      </c>
      <c r="S1957" s="66"/>
      <c r="T1957" s="32" t="e">
        <f t="shared" si="10"/>
        <v>#VALUE!</v>
      </c>
      <c r="U1957" s="57"/>
      <c r="V1957" s="58"/>
      <c r="W1957" s="58"/>
      <c r="X1957" s="30" t="e">
        <f t="shared" si="11"/>
        <v>#N/A</v>
      </c>
      <c r="Y1957" s="30" t="e">
        <f t="shared" si="12"/>
        <v>#N/A</v>
      </c>
      <c r="Z1957" s="35" t="e">
        <f t="shared" si="13"/>
        <v>#VALUE!</v>
      </c>
      <c r="AA1957" s="29" t="e">
        <f t="shared" si="14"/>
        <v>#VALUE!</v>
      </c>
      <c r="AB1957" s="36" t="e">
        <f t="shared" si="15"/>
        <v>#VALUE!</v>
      </c>
      <c r="AC1957" s="37" t="b">
        <v>0</v>
      </c>
      <c r="AD1957" s="61" t="str">
        <f t="shared" si="16"/>
        <v>USD</v>
      </c>
      <c r="AE1957" s="37"/>
      <c r="AF1957" s="37" t="e">
        <f t="array" ref="AF1957">INDEX('Deal Info'!D:D, MATCH(A1957,'Deal Info'!A:A, 0))</f>
        <v>#N/A</v>
      </c>
      <c r="AG1957" s="38" t="e">
        <f t="array" ref="AG1957">INDEX('Deal Info'!G:G, MATCH(A1957,'Deal Info'!A:A, 0))</f>
        <v>#N/A</v>
      </c>
    </row>
    <row r="1958" spans="1:33" ht="14.25" hidden="1" x14ac:dyDescent="0.2">
      <c r="A1958" s="18" t="b">
        <f t="array" ref="A1958">IF(G1958='Room Info'!$B$1, INDEX('Room Info'!$A$2:$A2446, MATCH(B1958,'Room Info'!$B$2:$B2446, 0)),IF(G1958='Room Info'!$C$1, INDEX('Room Info'!$A$2:$A2446, MATCH(B1958,'Room Info'!$C$2:$C2446, 0)),IF(G1958='Room Info'!$D$1, INDEX('Room Info'!$A$2:$A2446, MATCH(B1958,'Room Info'!$D$2:$D2446, 0)),IF(G1958='Room Info'!$E$1, INDEX('Room Info'!$A$2:$A2446, MATCH(B1958,'Room Info'!$E$2:$E2446, 0)),IF(G1958='Room Info'!$F$1, INDEX('Room Info'!$A$2:$A2446, MATCH(B1958,'Room Info'!$F$2:$F2446, 0)),IF(G1958='Room Info'!$H$1, INDEX('Room Info'!$A$2:$A2446, MATCH(B1958,'Room Info'!$H$2:$H2446, 0)),IF(G1958='Room Info'!$G$1, INDEX('Room Info'!$A$2:$A2446, MATCH(B1958,'Room Info'!$G$2:$G2446, 0)))))))))</f>
        <v>0</v>
      </c>
      <c r="B1958" s="96"/>
      <c r="C1958" s="136"/>
      <c r="D1958" s="136"/>
      <c r="E1958" s="137"/>
      <c r="F1958" s="133"/>
      <c r="G1958" s="96"/>
      <c r="H1958" s="100"/>
      <c r="I1958" s="100"/>
      <c r="J1958" s="39" t="s">
        <v>334</v>
      </c>
      <c r="K1958" s="134"/>
      <c r="L1958" s="135"/>
      <c r="M1958" s="79"/>
      <c r="N1958" s="28" t="e">
        <f t="shared" si="8"/>
        <v>#VALUE!</v>
      </c>
      <c r="O1958" s="96"/>
      <c r="P1958" s="29" t="s">
        <v>334</v>
      </c>
      <c r="Q1958" s="55"/>
      <c r="R1958" s="31" t="e">
        <f t="shared" si="9"/>
        <v>#VALUE!</v>
      </c>
      <c r="S1958" s="97"/>
      <c r="T1958" s="32" t="e">
        <f t="shared" si="10"/>
        <v>#VALUE!</v>
      </c>
      <c r="U1958" s="57"/>
      <c r="V1958" s="58"/>
      <c r="W1958" s="58"/>
      <c r="X1958" s="30" t="e">
        <f t="shared" si="11"/>
        <v>#N/A</v>
      </c>
      <c r="Y1958" s="30" t="e">
        <f t="shared" si="12"/>
        <v>#N/A</v>
      </c>
      <c r="Z1958" s="35" t="e">
        <f t="shared" si="13"/>
        <v>#VALUE!</v>
      </c>
      <c r="AA1958" s="29" t="e">
        <f t="shared" si="14"/>
        <v>#VALUE!</v>
      </c>
      <c r="AB1958" s="36" t="e">
        <f t="shared" si="15"/>
        <v>#VALUE!</v>
      </c>
      <c r="AC1958" s="37" t="b">
        <v>0</v>
      </c>
      <c r="AD1958" s="61" t="str">
        <f t="shared" si="16"/>
        <v>USD</v>
      </c>
      <c r="AE1958" s="37"/>
      <c r="AF1958" s="37" t="e">
        <f t="array" ref="AF1958">INDEX('Deal Info'!D:D, MATCH(A1958,'Deal Info'!A:A, 0))</f>
        <v>#N/A</v>
      </c>
      <c r="AG1958" s="38" t="e">
        <f t="array" ref="AG1958">INDEX('Deal Info'!G:G, MATCH(A1958,'Deal Info'!A:A, 0))</f>
        <v>#N/A</v>
      </c>
    </row>
    <row r="1959" spans="1:33" ht="14.25" hidden="1" x14ac:dyDescent="0.2">
      <c r="A1959" s="18" t="b">
        <f t="array" ref="A1959">IF(G1959='Room Info'!$B$1, INDEX('Room Info'!$A$2:$A2446, MATCH(B1959,'Room Info'!$B$2:$B2446, 0)),IF(G1959='Room Info'!$C$1, INDEX('Room Info'!$A$2:$A2446, MATCH(B1959,'Room Info'!$C$2:$C2446, 0)),IF(G1959='Room Info'!$D$1, INDEX('Room Info'!$A$2:$A2446, MATCH(B1959,'Room Info'!$D$2:$D2446, 0)),IF(G1959='Room Info'!$E$1, INDEX('Room Info'!$A$2:$A2446, MATCH(B1959,'Room Info'!$E$2:$E2446, 0)),IF(G1959='Room Info'!$F$1, INDEX('Room Info'!$A$2:$A2446, MATCH(B1959,'Room Info'!$F$2:$F2446, 0)),IF(G1959='Room Info'!$H$1, INDEX('Room Info'!$A$2:$A2446, MATCH(B1959,'Room Info'!$H$2:$H2446, 0)),IF(G1959='Room Info'!$G$1, INDEX('Room Info'!$A$2:$A2446, MATCH(B1959,'Room Info'!$G$2:$G2446, 0)))))))))</f>
        <v>0</v>
      </c>
      <c r="B1959" s="96"/>
      <c r="C1959" s="136"/>
      <c r="D1959" s="136"/>
      <c r="E1959" s="137"/>
      <c r="F1959" s="133"/>
      <c r="G1959" s="96"/>
      <c r="H1959" s="100"/>
      <c r="I1959" s="100"/>
      <c r="J1959" s="39" t="s">
        <v>334</v>
      </c>
      <c r="K1959" s="134"/>
      <c r="L1959" s="135"/>
      <c r="M1959" s="79"/>
      <c r="N1959" s="28" t="e">
        <f t="shared" si="8"/>
        <v>#VALUE!</v>
      </c>
      <c r="O1959" s="96"/>
      <c r="P1959" s="29" t="s">
        <v>334</v>
      </c>
      <c r="Q1959" s="55"/>
      <c r="R1959" s="31" t="e">
        <f t="shared" si="9"/>
        <v>#VALUE!</v>
      </c>
      <c r="S1959" s="97"/>
      <c r="T1959" s="32" t="e">
        <f t="shared" si="10"/>
        <v>#VALUE!</v>
      </c>
      <c r="U1959" s="57"/>
      <c r="V1959" s="58"/>
      <c r="W1959" s="58"/>
      <c r="X1959" s="30" t="e">
        <f t="shared" si="11"/>
        <v>#N/A</v>
      </c>
      <c r="Y1959" s="30" t="e">
        <f t="shared" si="12"/>
        <v>#N/A</v>
      </c>
      <c r="Z1959" s="35" t="e">
        <f t="shared" si="13"/>
        <v>#VALUE!</v>
      </c>
      <c r="AA1959" s="29" t="e">
        <f t="shared" si="14"/>
        <v>#VALUE!</v>
      </c>
      <c r="AB1959" s="36" t="e">
        <f t="shared" si="15"/>
        <v>#VALUE!</v>
      </c>
      <c r="AC1959" s="37" t="b">
        <v>0</v>
      </c>
      <c r="AD1959" s="61" t="str">
        <f t="shared" si="16"/>
        <v>USD</v>
      </c>
      <c r="AE1959" s="37"/>
      <c r="AF1959" s="37" t="e">
        <f t="array" ref="AF1959">INDEX('Deal Info'!D:D, MATCH(A1959,'Deal Info'!A:A, 0))</f>
        <v>#N/A</v>
      </c>
      <c r="AG1959" s="38" t="e">
        <f t="array" ref="AG1959">INDEX('Deal Info'!G:G, MATCH(A1959,'Deal Info'!A:A, 0))</f>
        <v>#N/A</v>
      </c>
    </row>
    <row r="1960" spans="1:33" ht="14.25" hidden="1" x14ac:dyDescent="0.2">
      <c r="A1960" s="18" t="b">
        <f t="array" ref="A1960">IF(G1960='Room Info'!$B$1, INDEX('Room Info'!$A$2:$A2446, MATCH(B1960,'Room Info'!$B$2:$B2446, 0)),IF(G1960='Room Info'!$C$1, INDEX('Room Info'!$A$2:$A2446, MATCH(B1960,'Room Info'!$C$2:$C2446, 0)),IF(G1960='Room Info'!$D$1, INDEX('Room Info'!$A$2:$A2446, MATCH(B1960,'Room Info'!$D$2:$D2446, 0)),IF(G1960='Room Info'!$E$1, INDEX('Room Info'!$A$2:$A2446, MATCH(B1960,'Room Info'!$E$2:$E2446, 0)),IF(G1960='Room Info'!$F$1, INDEX('Room Info'!$A$2:$A2446, MATCH(B1960,'Room Info'!$F$2:$F2446, 0)),IF(G1960='Room Info'!$H$1, INDEX('Room Info'!$A$2:$A2446, MATCH(B1960,'Room Info'!$H$2:$H2446, 0)),IF(G1960='Room Info'!$G$1, INDEX('Room Info'!$A$2:$A2446, MATCH(B1960,'Room Info'!$G$2:$G2446, 0)))))))))</f>
        <v>0</v>
      </c>
      <c r="B1960" s="96"/>
      <c r="C1960" s="111"/>
      <c r="D1960" s="111"/>
      <c r="E1960" s="80"/>
      <c r="F1960" s="133"/>
      <c r="G1960" s="65"/>
      <c r="H1960" s="110"/>
      <c r="I1960" s="110"/>
      <c r="J1960" s="39" t="s">
        <v>334</v>
      </c>
      <c r="K1960" s="112"/>
      <c r="L1960" s="113"/>
      <c r="M1960" s="62"/>
      <c r="N1960" s="28" t="e">
        <f t="shared" si="8"/>
        <v>#VALUE!</v>
      </c>
      <c r="O1960" s="65"/>
      <c r="P1960" s="29" t="s">
        <v>334</v>
      </c>
      <c r="Q1960" s="55"/>
      <c r="R1960" s="31" t="e">
        <f t="shared" si="9"/>
        <v>#VALUE!</v>
      </c>
      <c r="S1960" s="66"/>
      <c r="T1960" s="32" t="e">
        <f t="shared" si="10"/>
        <v>#VALUE!</v>
      </c>
      <c r="U1960" s="57"/>
      <c r="V1960" s="58"/>
      <c r="W1960" s="58"/>
      <c r="X1960" s="30" t="e">
        <f t="shared" si="11"/>
        <v>#N/A</v>
      </c>
      <c r="Y1960" s="30" t="e">
        <f t="shared" si="12"/>
        <v>#N/A</v>
      </c>
      <c r="Z1960" s="35" t="e">
        <f t="shared" si="13"/>
        <v>#VALUE!</v>
      </c>
      <c r="AA1960" s="29" t="e">
        <f t="shared" si="14"/>
        <v>#VALUE!</v>
      </c>
      <c r="AB1960" s="36" t="e">
        <f t="shared" si="15"/>
        <v>#VALUE!</v>
      </c>
      <c r="AC1960" s="37" t="b">
        <v>0</v>
      </c>
      <c r="AD1960" s="61" t="str">
        <f t="shared" si="16"/>
        <v>USD</v>
      </c>
      <c r="AE1960" s="37"/>
      <c r="AF1960" s="37" t="e">
        <f t="array" ref="AF1960">INDEX('Deal Info'!D:D, MATCH(A1960,'Deal Info'!A:A, 0))</f>
        <v>#N/A</v>
      </c>
      <c r="AG1960" s="38" t="e">
        <f t="array" ref="AG1960">INDEX('Deal Info'!G:G, MATCH(A1960,'Deal Info'!A:A, 0))</f>
        <v>#N/A</v>
      </c>
    </row>
    <row r="1961" spans="1:33" ht="14.25" hidden="1" x14ac:dyDescent="0.2">
      <c r="A1961" s="18" t="b">
        <f t="array" ref="A1961">IF(G1961='Room Info'!$B$1, INDEX('Room Info'!$A$2:$A2446, MATCH(B1961,'Room Info'!$B$2:$B2446, 0)),IF(G1961='Room Info'!$C$1, INDEX('Room Info'!$A$2:$A2446, MATCH(B1961,'Room Info'!$C$2:$C2446, 0)),IF(G1961='Room Info'!$D$1, INDEX('Room Info'!$A$2:$A2446, MATCH(B1961,'Room Info'!$D$2:$D2446, 0)),IF(G1961='Room Info'!$E$1, INDEX('Room Info'!$A$2:$A2446, MATCH(B1961,'Room Info'!$E$2:$E2446, 0)),IF(G1961='Room Info'!$F$1, INDEX('Room Info'!$A$2:$A2446, MATCH(B1961,'Room Info'!$F$2:$F2446, 0)),IF(G1961='Room Info'!$H$1, INDEX('Room Info'!$A$2:$A2446, MATCH(B1961,'Room Info'!$H$2:$H2446, 0)),IF(G1961='Room Info'!$G$1, INDEX('Room Info'!$A$2:$A2446, MATCH(B1961,'Room Info'!$G$2:$G2446, 0)))))))))</f>
        <v>0</v>
      </c>
      <c r="B1961" s="96"/>
      <c r="C1961" s="111"/>
      <c r="D1961" s="111"/>
      <c r="E1961" s="80"/>
      <c r="F1961" s="133"/>
      <c r="G1961" s="65"/>
      <c r="H1961" s="110"/>
      <c r="I1961" s="110"/>
      <c r="J1961" s="39" t="s">
        <v>334</v>
      </c>
      <c r="K1961" s="112"/>
      <c r="L1961" s="113"/>
      <c r="M1961" s="62"/>
      <c r="N1961" s="28" t="e">
        <f t="shared" si="8"/>
        <v>#VALUE!</v>
      </c>
      <c r="O1961" s="65"/>
      <c r="P1961" s="29" t="s">
        <v>334</v>
      </c>
      <c r="Q1961" s="55"/>
      <c r="R1961" s="31" t="e">
        <f t="shared" si="9"/>
        <v>#VALUE!</v>
      </c>
      <c r="S1961" s="66"/>
      <c r="T1961" s="32" t="e">
        <f t="shared" si="10"/>
        <v>#VALUE!</v>
      </c>
      <c r="U1961" s="57"/>
      <c r="V1961" s="58"/>
      <c r="W1961" s="58"/>
      <c r="X1961" s="30" t="e">
        <f t="shared" si="11"/>
        <v>#N/A</v>
      </c>
      <c r="Y1961" s="30" t="e">
        <f t="shared" si="12"/>
        <v>#N/A</v>
      </c>
      <c r="Z1961" s="35" t="e">
        <f t="shared" si="13"/>
        <v>#VALUE!</v>
      </c>
      <c r="AA1961" s="29" t="e">
        <f t="shared" si="14"/>
        <v>#VALUE!</v>
      </c>
      <c r="AB1961" s="36" t="e">
        <f t="shared" si="15"/>
        <v>#VALUE!</v>
      </c>
      <c r="AC1961" s="37" t="b">
        <v>0</v>
      </c>
      <c r="AD1961" s="61" t="str">
        <f t="shared" si="16"/>
        <v>USD</v>
      </c>
      <c r="AE1961" s="37"/>
      <c r="AF1961" s="37" t="e">
        <f t="array" ref="AF1961">INDEX('Deal Info'!D:D, MATCH(A1961,'Deal Info'!A:A, 0))</f>
        <v>#N/A</v>
      </c>
      <c r="AG1961" s="38" t="e">
        <f t="array" ref="AG1961">INDEX('Deal Info'!G:G, MATCH(A1961,'Deal Info'!A:A, 0))</f>
        <v>#N/A</v>
      </c>
    </row>
    <row r="1962" spans="1:33" ht="14.25" hidden="1" x14ac:dyDescent="0.2">
      <c r="A1962" s="18" t="b">
        <f t="array" ref="A1962">IF(G1962='Room Info'!$B$1, INDEX('Room Info'!$A$2:$A2446, MATCH(B1962,'Room Info'!$B$2:$B2446, 0)),IF(G1962='Room Info'!$C$1, INDEX('Room Info'!$A$2:$A2446, MATCH(B1962,'Room Info'!$C$2:$C2446, 0)),IF(G1962='Room Info'!$D$1, INDEX('Room Info'!$A$2:$A2446, MATCH(B1962,'Room Info'!$D$2:$D2446, 0)),IF(G1962='Room Info'!$E$1, INDEX('Room Info'!$A$2:$A2446, MATCH(B1962,'Room Info'!$E$2:$E2446, 0)),IF(G1962='Room Info'!$F$1, INDEX('Room Info'!$A$2:$A2446, MATCH(B1962,'Room Info'!$F$2:$F2446, 0)),IF(G1962='Room Info'!$H$1, INDEX('Room Info'!$A$2:$A2446, MATCH(B1962,'Room Info'!$H$2:$H2446, 0)),IF(G1962='Room Info'!$G$1, INDEX('Room Info'!$A$2:$A2446, MATCH(B1962,'Room Info'!$G$2:$G2446, 0)))))))))</f>
        <v>0</v>
      </c>
      <c r="B1962" s="96"/>
      <c r="C1962" s="136"/>
      <c r="D1962" s="136"/>
      <c r="E1962" s="137"/>
      <c r="F1962" s="133"/>
      <c r="G1962" s="96"/>
      <c r="H1962" s="110"/>
      <c r="I1962" s="110"/>
      <c r="J1962" s="39" t="s">
        <v>334</v>
      </c>
      <c r="K1962" s="134"/>
      <c r="L1962" s="135"/>
      <c r="M1962" s="79"/>
      <c r="N1962" s="28" t="e">
        <f t="shared" si="8"/>
        <v>#VALUE!</v>
      </c>
      <c r="O1962" s="96"/>
      <c r="P1962" s="29" t="s">
        <v>334</v>
      </c>
      <c r="Q1962" s="55"/>
      <c r="R1962" s="31" t="e">
        <f t="shared" si="9"/>
        <v>#VALUE!</v>
      </c>
      <c r="S1962" s="97"/>
      <c r="T1962" s="32" t="e">
        <f t="shared" si="10"/>
        <v>#VALUE!</v>
      </c>
      <c r="U1962" s="57"/>
      <c r="V1962" s="58"/>
      <c r="W1962" s="58"/>
      <c r="X1962" s="30" t="e">
        <f t="shared" si="11"/>
        <v>#N/A</v>
      </c>
      <c r="Y1962" s="30" t="e">
        <f t="shared" si="12"/>
        <v>#N/A</v>
      </c>
      <c r="Z1962" s="35" t="e">
        <f t="shared" si="13"/>
        <v>#VALUE!</v>
      </c>
      <c r="AA1962" s="29" t="e">
        <f t="shared" si="14"/>
        <v>#VALUE!</v>
      </c>
      <c r="AB1962" s="36" t="e">
        <f t="shared" si="15"/>
        <v>#VALUE!</v>
      </c>
      <c r="AC1962" s="37" t="b">
        <v>0</v>
      </c>
      <c r="AD1962" s="61" t="str">
        <f t="shared" si="16"/>
        <v>USD</v>
      </c>
      <c r="AE1962" s="37"/>
      <c r="AF1962" s="37" t="e">
        <f t="array" ref="AF1962">INDEX('Deal Info'!D:D, MATCH(A1962,'Deal Info'!A:A, 0))</f>
        <v>#N/A</v>
      </c>
      <c r="AG1962" s="38" t="e">
        <f t="array" ref="AG1962">INDEX('Deal Info'!G:G, MATCH(A1962,'Deal Info'!A:A, 0))</f>
        <v>#N/A</v>
      </c>
    </row>
    <row r="1963" spans="1:33" ht="14.25" hidden="1" x14ac:dyDescent="0.2">
      <c r="A1963" s="18" t="b">
        <f t="array" ref="A1963">IF(G1963='Room Info'!$B$1, INDEX('Room Info'!$A$2:$A2446, MATCH(B1963,'Room Info'!$B$2:$B2446, 0)),IF(G1963='Room Info'!$C$1, INDEX('Room Info'!$A$2:$A2446, MATCH(B1963,'Room Info'!$C$2:$C2446, 0)),IF(G1963='Room Info'!$D$1, INDEX('Room Info'!$A$2:$A2446, MATCH(B1963,'Room Info'!$D$2:$D2446, 0)),IF(G1963='Room Info'!$E$1, INDEX('Room Info'!$A$2:$A2446, MATCH(B1963,'Room Info'!$E$2:$E2446, 0)),IF(G1963='Room Info'!$F$1, INDEX('Room Info'!$A$2:$A2446, MATCH(B1963,'Room Info'!$F$2:$F2446, 0)),IF(G1963='Room Info'!$H$1, INDEX('Room Info'!$A$2:$A2446, MATCH(B1963,'Room Info'!$H$2:$H2446, 0)),IF(G1963='Room Info'!$G$1, INDEX('Room Info'!$A$2:$A2446, MATCH(B1963,'Room Info'!$G$2:$G2446, 0)))))))))</f>
        <v>0</v>
      </c>
      <c r="B1963" s="96"/>
      <c r="C1963" s="136"/>
      <c r="D1963" s="136"/>
      <c r="E1963" s="137"/>
      <c r="F1963" s="133"/>
      <c r="G1963" s="96"/>
      <c r="H1963" s="110"/>
      <c r="I1963" s="110"/>
      <c r="J1963" s="39" t="s">
        <v>334</v>
      </c>
      <c r="K1963" s="134"/>
      <c r="L1963" s="135"/>
      <c r="M1963" s="79"/>
      <c r="N1963" s="28" t="e">
        <f t="shared" si="8"/>
        <v>#VALUE!</v>
      </c>
      <c r="O1963" s="96"/>
      <c r="P1963" s="29" t="s">
        <v>334</v>
      </c>
      <c r="Q1963" s="55"/>
      <c r="R1963" s="31" t="e">
        <f t="shared" si="9"/>
        <v>#VALUE!</v>
      </c>
      <c r="S1963" s="97"/>
      <c r="T1963" s="32" t="e">
        <f t="shared" si="10"/>
        <v>#VALUE!</v>
      </c>
      <c r="U1963" s="57"/>
      <c r="V1963" s="58"/>
      <c r="W1963" s="58"/>
      <c r="X1963" s="30" t="e">
        <f t="shared" si="11"/>
        <v>#N/A</v>
      </c>
      <c r="Y1963" s="30" t="e">
        <f t="shared" si="12"/>
        <v>#N/A</v>
      </c>
      <c r="Z1963" s="35" t="e">
        <f t="shared" si="13"/>
        <v>#VALUE!</v>
      </c>
      <c r="AA1963" s="29" t="e">
        <f t="shared" si="14"/>
        <v>#VALUE!</v>
      </c>
      <c r="AB1963" s="36" t="e">
        <f t="shared" si="15"/>
        <v>#VALUE!</v>
      </c>
      <c r="AC1963" s="37" t="b">
        <v>0</v>
      </c>
      <c r="AD1963" s="61" t="str">
        <f t="shared" si="16"/>
        <v>USD</v>
      </c>
      <c r="AE1963" s="37"/>
      <c r="AF1963" s="37" t="e">
        <f t="array" ref="AF1963">INDEX('Deal Info'!D:D, MATCH(A1963,'Deal Info'!A:A, 0))</f>
        <v>#N/A</v>
      </c>
      <c r="AG1963" s="38" t="e">
        <f t="array" ref="AG1963">INDEX('Deal Info'!G:G, MATCH(A1963,'Deal Info'!A:A, 0))</f>
        <v>#N/A</v>
      </c>
    </row>
    <row r="1964" spans="1:33" ht="14.25" hidden="1" x14ac:dyDescent="0.2">
      <c r="A1964" s="18" t="b">
        <f t="array" ref="A1964">IF(G1964='Room Info'!$B$1, INDEX('Room Info'!$A$2:$A2446, MATCH(B1964,'Room Info'!$B$2:$B2446, 0)),IF(G1964='Room Info'!$C$1, INDEX('Room Info'!$A$2:$A2446, MATCH(B1964,'Room Info'!$C$2:$C2446, 0)),IF(G1964='Room Info'!$D$1, INDEX('Room Info'!$A$2:$A2446, MATCH(B1964,'Room Info'!$D$2:$D2446, 0)),IF(G1964='Room Info'!$E$1, INDEX('Room Info'!$A$2:$A2446, MATCH(B1964,'Room Info'!$E$2:$E2446, 0)),IF(G1964='Room Info'!$F$1, INDEX('Room Info'!$A$2:$A2446, MATCH(B1964,'Room Info'!$F$2:$F2446, 0)),IF(G1964='Room Info'!$H$1, INDEX('Room Info'!$A$2:$A2446, MATCH(B1964,'Room Info'!$H$2:$H2446, 0)),IF(G1964='Room Info'!$G$1, INDEX('Room Info'!$A$2:$A2446, MATCH(B1964,'Room Info'!$G$2:$G2446, 0)))))))))</f>
        <v>0</v>
      </c>
      <c r="B1964" s="96"/>
      <c r="C1964" s="136"/>
      <c r="D1964" s="136"/>
      <c r="E1964" s="137"/>
      <c r="F1964" s="133"/>
      <c r="G1964" s="96"/>
      <c r="H1964" s="110"/>
      <c r="I1964" s="110"/>
      <c r="J1964" s="39" t="s">
        <v>334</v>
      </c>
      <c r="K1964" s="134"/>
      <c r="L1964" s="135"/>
      <c r="M1964" s="79"/>
      <c r="N1964" s="28" t="e">
        <f t="shared" si="8"/>
        <v>#VALUE!</v>
      </c>
      <c r="O1964" s="96"/>
      <c r="P1964" s="29" t="s">
        <v>334</v>
      </c>
      <c r="Q1964" s="55"/>
      <c r="R1964" s="31" t="e">
        <f t="shared" si="9"/>
        <v>#VALUE!</v>
      </c>
      <c r="S1964" s="97"/>
      <c r="T1964" s="32" t="e">
        <f t="shared" si="10"/>
        <v>#VALUE!</v>
      </c>
      <c r="U1964" s="57"/>
      <c r="V1964" s="58"/>
      <c r="W1964" s="58"/>
      <c r="X1964" s="30" t="e">
        <f t="shared" si="11"/>
        <v>#N/A</v>
      </c>
      <c r="Y1964" s="30" t="e">
        <f t="shared" si="12"/>
        <v>#N/A</v>
      </c>
      <c r="Z1964" s="35" t="e">
        <f t="shared" si="13"/>
        <v>#VALUE!</v>
      </c>
      <c r="AA1964" s="29" t="e">
        <f t="shared" si="14"/>
        <v>#VALUE!</v>
      </c>
      <c r="AB1964" s="36" t="e">
        <f t="shared" si="15"/>
        <v>#VALUE!</v>
      </c>
      <c r="AC1964" s="37" t="b">
        <v>0</v>
      </c>
      <c r="AD1964" s="61" t="str">
        <f t="shared" si="16"/>
        <v>USD</v>
      </c>
      <c r="AE1964" s="37"/>
      <c r="AF1964" s="37" t="e">
        <f t="array" ref="AF1964">INDEX('Deal Info'!D:D, MATCH(A1964,'Deal Info'!A:A, 0))</f>
        <v>#N/A</v>
      </c>
      <c r="AG1964" s="38" t="e">
        <f t="array" ref="AG1964">INDEX('Deal Info'!G:G, MATCH(A1964,'Deal Info'!A:A, 0))</f>
        <v>#N/A</v>
      </c>
    </row>
    <row r="1965" spans="1:33" ht="14.25" hidden="1" x14ac:dyDescent="0.2">
      <c r="A1965" s="18" t="b">
        <f t="array" ref="A1965">IF(G1965='Room Info'!$B$1, INDEX('Room Info'!$A$2:$A2446, MATCH(B1965,'Room Info'!$B$2:$B2446, 0)),IF(G1965='Room Info'!$C$1, INDEX('Room Info'!$A$2:$A2446, MATCH(B1965,'Room Info'!$C$2:$C2446, 0)),IF(G1965='Room Info'!$D$1, INDEX('Room Info'!$A$2:$A2446, MATCH(B1965,'Room Info'!$D$2:$D2446, 0)),IF(G1965='Room Info'!$E$1, INDEX('Room Info'!$A$2:$A2446, MATCH(B1965,'Room Info'!$E$2:$E2446, 0)),IF(G1965='Room Info'!$F$1, INDEX('Room Info'!$A$2:$A2446, MATCH(B1965,'Room Info'!$F$2:$F2446, 0)),IF(G1965='Room Info'!$H$1, INDEX('Room Info'!$A$2:$A2446, MATCH(B1965,'Room Info'!$H$2:$H2446, 0)),IF(G1965='Room Info'!$G$1, INDEX('Room Info'!$A$2:$A2446, MATCH(B1965,'Room Info'!$G$2:$G2446, 0)))))))))</f>
        <v>0</v>
      </c>
      <c r="B1965" s="96"/>
      <c r="C1965" s="136"/>
      <c r="D1965" s="136"/>
      <c r="E1965" s="137"/>
      <c r="F1965" s="133"/>
      <c r="G1965" s="96"/>
      <c r="H1965" s="110"/>
      <c r="I1965" s="110"/>
      <c r="J1965" s="39" t="s">
        <v>334</v>
      </c>
      <c r="K1965" s="134"/>
      <c r="L1965" s="135"/>
      <c r="M1965" s="79"/>
      <c r="N1965" s="28" t="e">
        <f t="shared" si="8"/>
        <v>#VALUE!</v>
      </c>
      <c r="O1965" s="96"/>
      <c r="P1965" s="29" t="s">
        <v>334</v>
      </c>
      <c r="Q1965" s="55"/>
      <c r="R1965" s="31" t="e">
        <f t="shared" si="9"/>
        <v>#VALUE!</v>
      </c>
      <c r="S1965" s="97"/>
      <c r="T1965" s="32" t="e">
        <f t="shared" si="10"/>
        <v>#VALUE!</v>
      </c>
      <c r="U1965" s="57"/>
      <c r="V1965" s="58"/>
      <c r="W1965" s="58"/>
      <c r="X1965" s="30" t="e">
        <f t="shared" si="11"/>
        <v>#N/A</v>
      </c>
      <c r="Y1965" s="30" t="e">
        <f t="shared" si="12"/>
        <v>#N/A</v>
      </c>
      <c r="Z1965" s="35" t="e">
        <f t="shared" si="13"/>
        <v>#VALUE!</v>
      </c>
      <c r="AA1965" s="29" t="e">
        <f t="shared" si="14"/>
        <v>#VALUE!</v>
      </c>
      <c r="AB1965" s="36" t="e">
        <f t="shared" si="15"/>
        <v>#VALUE!</v>
      </c>
      <c r="AC1965" s="37" t="b">
        <v>0</v>
      </c>
      <c r="AD1965" s="61" t="str">
        <f t="shared" si="16"/>
        <v>USD</v>
      </c>
      <c r="AE1965" s="37"/>
      <c r="AF1965" s="37" t="e">
        <f t="array" ref="AF1965">INDEX('Deal Info'!D:D, MATCH(A1965,'Deal Info'!A:A, 0))</f>
        <v>#N/A</v>
      </c>
      <c r="AG1965" s="38" t="e">
        <f t="array" ref="AG1965">INDEX('Deal Info'!G:G, MATCH(A1965,'Deal Info'!A:A, 0))</f>
        <v>#N/A</v>
      </c>
    </row>
    <row r="1966" spans="1:33" ht="14.25" hidden="1" x14ac:dyDescent="0.2">
      <c r="A1966" s="18" t="b">
        <f t="array" ref="A1966">IF(G1966='Room Info'!$B$1, INDEX('Room Info'!$A$2:$A2446, MATCH(B1966,'Room Info'!$B$2:$B2446, 0)),IF(G1966='Room Info'!$C$1, INDEX('Room Info'!$A$2:$A2446, MATCH(B1966,'Room Info'!$C$2:$C2446, 0)),IF(G1966='Room Info'!$D$1, INDEX('Room Info'!$A$2:$A2446, MATCH(B1966,'Room Info'!$D$2:$D2446, 0)),IF(G1966='Room Info'!$E$1, INDEX('Room Info'!$A$2:$A2446, MATCH(B1966,'Room Info'!$E$2:$E2446, 0)),IF(G1966='Room Info'!$F$1, INDEX('Room Info'!$A$2:$A2446, MATCH(B1966,'Room Info'!$F$2:$F2446, 0)),IF(G1966='Room Info'!$H$1, INDEX('Room Info'!$A$2:$A2446, MATCH(B1966,'Room Info'!$H$2:$H2446, 0)),IF(G1966='Room Info'!$G$1, INDEX('Room Info'!$A$2:$A2446, MATCH(B1966,'Room Info'!$G$2:$G2446, 0)))))))))</f>
        <v>0</v>
      </c>
      <c r="B1966" s="96"/>
      <c r="C1966" s="111"/>
      <c r="D1966" s="111"/>
      <c r="E1966" s="80"/>
      <c r="F1966" s="96"/>
      <c r="G1966" s="96"/>
      <c r="H1966" s="110"/>
      <c r="I1966" s="110"/>
      <c r="J1966" s="39" t="s">
        <v>334</v>
      </c>
      <c r="K1966" s="112"/>
      <c r="L1966" s="113"/>
      <c r="M1966" s="62"/>
      <c r="N1966" s="28" t="e">
        <f t="shared" si="8"/>
        <v>#VALUE!</v>
      </c>
      <c r="O1966" s="65"/>
      <c r="P1966" s="29" t="s">
        <v>334</v>
      </c>
      <c r="Q1966" s="55"/>
      <c r="R1966" s="31" t="e">
        <f t="shared" si="9"/>
        <v>#VALUE!</v>
      </c>
      <c r="S1966" s="66"/>
      <c r="T1966" s="32" t="e">
        <f t="shared" si="10"/>
        <v>#VALUE!</v>
      </c>
      <c r="U1966" s="57"/>
      <c r="V1966" s="58"/>
      <c r="W1966" s="58"/>
      <c r="X1966" s="30" t="e">
        <f t="shared" si="11"/>
        <v>#N/A</v>
      </c>
      <c r="Y1966" s="30" t="e">
        <f t="shared" si="12"/>
        <v>#N/A</v>
      </c>
      <c r="Z1966" s="35" t="e">
        <f t="shared" si="13"/>
        <v>#VALUE!</v>
      </c>
      <c r="AA1966" s="29" t="e">
        <f t="shared" si="14"/>
        <v>#VALUE!</v>
      </c>
      <c r="AB1966" s="36" t="e">
        <f t="shared" si="15"/>
        <v>#VALUE!</v>
      </c>
      <c r="AC1966" s="37" t="b">
        <v>0</v>
      </c>
      <c r="AD1966" s="61" t="str">
        <f t="shared" si="16"/>
        <v>USD</v>
      </c>
      <c r="AE1966" s="37"/>
      <c r="AF1966" s="37" t="e">
        <f t="array" ref="AF1966">INDEX('Deal Info'!D:D, MATCH(A1966,'Deal Info'!A:A, 0))</f>
        <v>#N/A</v>
      </c>
      <c r="AG1966" s="38" t="e">
        <f t="array" ref="AG1966">INDEX('Deal Info'!G:G, MATCH(A1966,'Deal Info'!A:A, 0))</f>
        <v>#N/A</v>
      </c>
    </row>
    <row r="1967" spans="1:33" ht="14.25" hidden="1" x14ac:dyDescent="0.2">
      <c r="A1967" s="18" t="b">
        <f t="array" ref="A1967">IF(G1967='Room Info'!$B$1, INDEX('Room Info'!$A$2:$A2446, MATCH(B1967,'Room Info'!$B$2:$B2446, 0)),IF(G1967='Room Info'!$C$1, INDEX('Room Info'!$A$2:$A2446, MATCH(B1967,'Room Info'!$C$2:$C2446, 0)),IF(G1967='Room Info'!$D$1, INDEX('Room Info'!$A$2:$A2446, MATCH(B1967,'Room Info'!$D$2:$D2446, 0)),IF(G1967='Room Info'!$E$1, INDEX('Room Info'!$A$2:$A2446, MATCH(B1967,'Room Info'!$E$2:$E2446, 0)),IF(G1967='Room Info'!$F$1, INDEX('Room Info'!$A$2:$A2446, MATCH(B1967,'Room Info'!$F$2:$F2446, 0)),IF(G1967='Room Info'!$H$1, INDEX('Room Info'!$A$2:$A2446, MATCH(B1967,'Room Info'!$H$2:$H2446, 0)),IF(G1967='Room Info'!$G$1, INDEX('Room Info'!$A$2:$A2446, MATCH(B1967,'Room Info'!$G$2:$G2446, 0)))))))))</f>
        <v>0</v>
      </c>
      <c r="B1967" s="96"/>
      <c r="C1967" s="111"/>
      <c r="D1967" s="111"/>
      <c r="E1967" s="80"/>
      <c r="F1967" s="96"/>
      <c r="G1967" s="96"/>
      <c r="H1967" s="110"/>
      <c r="I1967" s="110"/>
      <c r="J1967" s="39" t="s">
        <v>334</v>
      </c>
      <c r="K1967" s="112"/>
      <c r="L1967" s="113"/>
      <c r="M1967" s="62"/>
      <c r="N1967" s="28" t="e">
        <f t="shared" si="8"/>
        <v>#VALUE!</v>
      </c>
      <c r="O1967" s="65"/>
      <c r="P1967" s="29" t="s">
        <v>334</v>
      </c>
      <c r="Q1967" s="55"/>
      <c r="R1967" s="31" t="e">
        <f t="shared" si="9"/>
        <v>#VALUE!</v>
      </c>
      <c r="S1967" s="66"/>
      <c r="T1967" s="32" t="e">
        <f t="shared" si="10"/>
        <v>#VALUE!</v>
      </c>
      <c r="U1967" s="57"/>
      <c r="V1967" s="58"/>
      <c r="W1967" s="58"/>
      <c r="X1967" s="30" t="e">
        <f t="shared" si="11"/>
        <v>#N/A</v>
      </c>
      <c r="Y1967" s="30" t="e">
        <f t="shared" si="12"/>
        <v>#N/A</v>
      </c>
      <c r="Z1967" s="35" t="e">
        <f t="shared" si="13"/>
        <v>#VALUE!</v>
      </c>
      <c r="AA1967" s="29" t="e">
        <f t="shared" si="14"/>
        <v>#VALUE!</v>
      </c>
      <c r="AB1967" s="36" t="e">
        <f t="shared" si="15"/>
        <v>#VALUE!</v>
      </c>
      <c r="AC1967" s="37" t="b">
        <v>0</v>
      </c>
      <c r="AD1967" s="61" t="str">
        <f t="shared" si="16"/>
        <v>USD</v>
      </c>
      <c r="AE1967" s="37"/>
      <c r="AF1967" s="37" t="e">
        <f t="array" ref="AF1967">INDEX('Deal Info'!D:D, MATCH(A1967,'Deal Info'!A:A, 0))</f>
        <v>#N/A</v>
      </c>
      <c r="AG1967" s="38" t="e">
        <f t="array" ref="AG1967">INDEX('Deal Info'!G:G, MATCH(A1967,'Deal Info'!A:A, 0))</f>
        <v>#N/A</v>
      </c>
    </row>
    <row r="1968" spans="1:33" ht="14.25" hidden="1" x14ac:dyDescent="0.2">
      <c r="A1968" s="18" t="b">
        <f t="array" ref="A1968">IF(G1968='Room Info'!$B$1, INDEX('Room Info'!$A$2:$A2446, MATCH(B1968,'Room Info'!$B$2:$B2446, 0)),IF(G1968='Room Info'!$C$1, INDEX('Room Info'!$A$2:$A2446, MATCH(B1968,'Room Info'!$C$2:$C2446, 0)),IF(G1968='Room Info'!$D$1, INDEX('Room Info'!$A$2:$A2446, MATCH(B1968,'Room Info'!$D$2:$D2446, 0)),IF(G1968='Room Info'!$E$1, INDEX('Room Info'!$A$2:$A2446, MATCH(B1968,'Room Info'!$E$2:$E2446, 0)),IF(G1968='Room Info'!$F$1, INDEX('Room Info'!$A$2:$A2446, MATCH(B1968,'Room Info'!$F$2:$F2446, 0)),IF(G1968='Room Info'!$H$1, INDEX('Room Info'!$A$2:$A2446, MATCH(B1968,'Room Info'!$H$2:$H2446, 0)),IF(G1968='Room Info'!$G$1, INDEX('Room Info'!$A$2:$A2446, MATCH(B1968,'Room Info'!$G$2:$G2446, 0)))))))))</f>
        <v>0</v>
      </c>
      <c r="B1968" s="96"/>
      <c r="C1968" s="136"/>
      <c r="D1968" s="136"/>
      <c r="E1968" s="137"/>
      <c r="F1968" s="133"/>
      <c r="G1968" s="96"/>
      <c r="H1968" s="100"/>
      <c r="I1968" s="100"/>
      <c r="J1968" s="39" t="s">
        <v>334</v>
      </c>
      <c r="K1968" s="134"/>
      <c r="L1968" s="135"/>
      <c r="M1968" s="79"/>
      <c r="N1968" s="28" t="e">
        <f t="shared" si="8"/>
        <v>#VALUE!</v>
      </c>
      <c r="O1968" s="96"/>
      <c r="P1968" s="29" t="s">
        <v>334</v>
      </c>
      <c r="Q1968" s="55"/>
      <c r="R1968" s="31" t="e">
        <f t="shared" si="9"/>
        <v>#VALUE!</v>
      </c>
      <c r="S1968" s="97"/>
      <c r="T1968" s="32" t="e">
        <f t="shared" si="10"/>
        <v>#VALUE!</v>
      </c>
      <c r="U1968" s="57"/>
      <c r="V1968" s="58"/>
      <c r="W1968" s="58"/>
      <c r="X1968" s="30" t="e">
        <f t="shared" si="11"/>
        <v>#N/A</v>
      </c>
      <c r="Y1968" s="30" t="e">
        <f t="shared" si="12"/>
        <v>#N/A</v>
      </c>
      <c r="Z1968" s="35" t="e">
        <f t="shared" si="13"/>
        <v>#VALUE!</v>
      </c>
      <c r="AA1968" s="29" t="e">
        <f t="shared" si="14"/>
        <v>#VALUE!</v>
      </c>
      <c r="AB1968" s="36" t="e">
        <f t="shared" si="15"/>
        <v>#VALUE!</v>
      </c>
      <c r="AC1968" s="37" t="b">
        <v>0</v>
      </c>
      <c r="AD1968" s="61" t="str">
        <f t="shared" si="16"/>
        <v>USD</v>
      </c>
      <c r="AE1968" s="37"/>
      <c r="AF1968" s="37" t="e">
        <f t="array" ref="AF1968">INDEX('Deal Info'!D:D, MATCH(A1968,'Deal Info'!A:A, 0))</f>
        <v>#N/A</v>
      </c>
      <c r="AG1968" s="38" t="e">
        <f t="array" ref="AG1968">INDEX('Deal Info'!G:G, MATCH(A1968,'Deal Info'!A:A, 0))</f>
        <v>#N/A</v>
      </c>
    </row>
    <row r="1969" spans="1:33" ht="14.25" hidden="1" x14ac:dyDescent="0.2">
      <c r="A1969" s="18" t="b">
        <f t="array" ref="A1969">IF(G1969='Room Info'!$B$1, INDEX('Room Info'!$A$2:$A2446, MATCH(B1969,'Room Info'!$B$2:$B2446, 0)),IF(G1969='Room Info'!$C$1, INDEX('Room Info'!$A$2:$A2446, MATCH(B1969,'Room Info'!$C$2:$C2446, 0)),IF(G1969='Room Info'!$D$1, INDEX('Room Info'!$A$2:$A2446, MATCH(B1969,'Room Info'!$D$2:$D2446, 0)),IF(G1969='Room Info'!$E$1, INDEX('Room Info'!$A$2:$A2446, MATCH(B1969,'Room Info'!$E$2:$E2446, 0)),IF(G1969='Room Info'!$F$1, INDEX('Room Info'!$A$2:$A2446, MATCH(B1969,'Room Info'!$F$2:$F2446, 0)),IF(G1969='Room Info'!$H$1, INDEX('Room Info'!$A$2:$A2446, MATCH(B1969,'Room Info'!$H$2:$H2446, 0)),IF(G1969='Room Info'!$G$1, INDEX('Room Info'!$A$2:$A2446, MATCH(B1969,'Room Info'!$G$2:$G2446, 0)))))))))</f>
        <v>0</v>
      </c>
      <c r="B1969" s="96"/>
      <c r="C1969" s="136"/>
      <c r="D1969" s="136"/>
      <c r="E1969" s="137"/>
      <c r="F1969" s="133"/>
      <c r="G1969" s="96"/>
      <c r="H1969" s="100"/>
      <c r="I1969" s="100"/>
      <c r="J1969" s="39" t="s">
        <v>334</v>
      </c>
      <c r="K1969" s="134"/>
      <c r="L1969" s="135"/>
      <c r="M1969" s="79"/>
      <c r="N1969" s="28" t="e">
        <f t="shared" si="8"/>
        <v>#VALUE!</v>
      </c>
      <c r="O1969" s="96"/>
      <c r="P1969" s="29" t="s">
        <v>334</v>
      </c>
      <c r="Q1969" s="55"/>
      <c r="R1969" s="31" t="e">
        <f t="shared" si="9"/>
        <v>#VALUE!</v>
      </c>
      <c r="S1969" s="97"/>
      <c r="T1969" s="32" t="e">
        <f t="shared" si="10"/>
        <v>#VALUE!</v>
      </c>
      <c r="U1969" s="57"/>
      <c r="V1969" s="58"/>
      <c r="W1969" s="58"/>
      <c r="X1969" s="30" t="e">
        <f t="shared" si="11"/>
        <v>#N/A</v>
      </c>
      <c r="Y1969" s="30" t="e">
        <f t="shared" si="12"/>
        <v>#N/A</v>
      </c>
      <c r="Z1969" s="35" t="e">
        <f t="shared" si="13"/>
        <v>#VALUE!</v>
      </c>
      <c r="AA1969" s="29" t="e">
        <f t="shared" si="14"/>
        <v>#VALUE!</v>
      </c>
      <c r="AB1969" s="36" t="e">
        <f t="shared" si="15"/>
        <v>#VALUE!</v>
      </c>
      <c r="AC1969" s="37" t="b">
        <v>0</v>
      </c>
      <c r="AD1969" s="61" t="str">
        <f t="shared" si="16"/>
        <v>USD</v>
      </c>
      <c r="AE1969" s="37"/>
      <c r="AF1969" s="37" t="e">
        <f t="array" ref="AF1969">INDEX('Deal Info'!D:D, MATCH(A1969,'Deal Info'!A:A, 0))</f>
        <v>#N/A</v>
      </c>
      <c r="AG1969" s="38" t="e">
        <f t="array" ref="AG1969">INDEX('Deal Info'!G:G, MATCH(A1969,'Deal Info'!A:A, 0))</f>
        <v>#N/A</v>
      </c>
    </row>
    <row r="1970" spans="1:33" ht="14.25" hidden="1" x14ac:dyDescent="0.2">
      <c r="A1970" s="18" t="b">
        <f t="array" ref="A1970">IF(G1970='Room Info'!$B$1, INDEX('Room Info'!$A$2:$A2446, MATCH(B1970,'Room Info'!$B$2:$B2446, 0)),IF(G1970='Room Info'!$C$1, INDEX('Room Info'!$A$2:$A2446, MATCH(B1970,'Room Info'!$C$2:$C2446, 0)),IF(G1970='Room Info'!$D$1, INDEX('Room Info'!$A$2:$A2446, MATCH(B1970,'Room Info'!$D$2:$D2446, 0)),IF(G1970='Room Info'!$E$1, INDEX('Room Info'!$A$2:$A2446, MATCH(B1970,'Room Info'!$E$2:$E2446, 0)),IF(G1970='Room Info'!$F$1, INDEX('Room Info'!$A$2:$A2446, MATCH(B1970,'Room Info'!$F$2:$F2446, 0)),IF(G1970='Room Info'!$H$1, INDEX('Room Info'!$A$2:$A2446, MATCH(B1970,'Room Info'!$H$2:$H2446, 0)),IF(G1970='Room Info'!$G$1, INDEX('Room Info'!$A$2:$A2446, MATCH(B1970,'Room Info'!$G$2:$G2446, 0)))))))))</f>
        <v>0</v>
      </c>
      <c r="B1970" s="96"/>
      <c r="C1970" s="136"/>
      <c r="D1970" s="136"/>
      <c r="E1970" s="137"/>
      <c r="F1970" s="133"/>
      <c r="G1970" s="96"/>
      <c r="H1970" s="100"/>
      <c r="I1970" s="100"/>
      <c r="J1970" s="39" t="s">
        <v>334</v>
      </c>
      <c r="K1970" s="134"/>
      <c r="L1970" s="135"/>
      <c r="M1970" s="79"/>
      <c r="N1970" s="28" t="e">
        <f t="shared" si="8"/>
        <v>#VALUE!</v>
      </c>
      <c r="O1970" s="96"/>
      <c r="P1970" s="29" t="s">
        <v>334</v>
      </c>
      <c r="Q1970" s="55"/>
      <c r="R1970" s="31" t="e">
        <f t="shared" si="9"/>
        <v>#VALUE!</v>
      </c>
      <c r="S1970" s="97"/>
      <c r="T1970" s="32" t="e">
        <f t="shared" si="10"/>
        <v>#VALUE!</v>
      </c>
      <c r="U1970" s="57"/>
      <c r="V1970" s="58"/>
      <c r="W1970" s="58"/>
      <c r="X1970" s="30" t="e">
        <f t="shared" si="11"/>
        <v>#N/A</v>
      </c>
      <c r="Y1970" s="30" t="e">
        <f t="shared" si="12"/>
        <v>#N/A</v>
      </c>
      <c r="Z1970" s="35" t="e">
        <f t="shared" si="13"/>
        <v>#VALUE!</v>
      </c>
      <c r="AA1970" s="29" t="e">
        <f t="shared" si="14"/>
        <v>#VALUE!</v>
      </c>
      <c r="AB1970" s="36" t="e">
        <f t="shared" si="15"/>
        <v>#VALUE!</v>
      </c>
      <c r="AC1970" s="37" t="b">
        <v>0</v>
      </c>
      <c r="AD1970" s="61" t="str">
        <f t="shared" si="16"/>
        <v>USD</v>
      </c>
      <c r="AE1970" s="37"/>
      <c r="AF1970" s="37" t="e">
        <f t="array" ref="AF1970">INDEX('Deal Info'!D:D, MATCH(A1970,'Deal Info'!A:A, 0))</f>
        <v>#N/A</v>
      </c>
      <c r="AG1970" s="38" t="e">
        <f t="array" ref="AG1970">INDEX('Deal Info'!G:G, MATCH(A1970,'Deal Info'!A:A, 0))</f>
        <v>#N/A</v>
      </c>
    </row>
    <row r="1971" spans="1:33" ht="14.25" hidden="1" x14ac:dyDescent="0.2">
      <c r="A1971" s="18" t="b">
        <f t="array" ref="A1971">IF(G1971='Room Info'!$B$1, INDEX('Room Info'!$A$2:$A2446, MATCH(B1971,'Room Info'!$B$2:$B2446, 0)),IF(G1971='Room Info'!$C$1, INDEX('Room Info'!$A$2:$A2446, MATCH(B1971,'Room Info'!$C$2:$C2446, 0)),IF(G1971='Room Info'!$D$1, INDEX('Room Info'!$A$2:$A2446, MATCH(B1971,'Room Info'!$D$2:$D2446, 0)),IF(G1971='Room Info'!$E$1, INDEX('Room Info'!$A$2:$A2446, MATCH(B1971,'Room Info'!$E$2:$E2446, 0)),IF(G1971='Room Info'!$F$1, INDEX('Room Info'!$A$2:$A2446, MATCH(B1971,'Room Info'!$F$2:$F2446, 0)),IF(G1971='Room Info'!$H$1, INDEX('Room Info'!$A$2:$A2446, MATCH(B1971,'Room Info'!$H$2:$H2446, 0)),IF(G1971='Room Info'!$G$1, INDEX('Room Info'!$A$2:$A2446, MATCH(B1971,'Room Info'!$G$2:$G2446, 0)))))))))</f>
        <v>0</v>
      </c>
      <c r="B1971" s="96"/>
      <c r="C1971" s="136"/>
      <c r="D1971" s="136"/>
      <c r="E1971" s="137"/>
      <c r="F1971" s="133"/>
      <c r="G1971" s="96"/>
      <c r="H1971" s="100"/>
      <c r="I1971" s="100"/>
      <c r="J1971" s="39" t="s">
        <v>334</v>
      </c>
      <c r="K1971" s="134"/>
      <c r="L1971" s="135"/>
      <c r="M1971" s="79"/>
      <c r="N1971" s="28" t="e">
        <f t="shared" si="8"/>
        <v>#VALUE!</v>
      </c>
      <c r="O1971" s="96"/>
      <c r="P1971" s="29" t="s">
        <v>334</v>
      </c>
      <c r="Q1971" s="55"/>
      <c r="R1971" s="31" t="e">
        <f t="shared" si="9"/>
        <v>#VALUE!</v>
      </c>
      <c r="S1971" s="97"/>
      <c r="T1971" s="32" t="e">
        <f t="shared" si="10"/>
        <v>#VALUE!</v>
      </c>
      <c r="U1971" s="57"/>
      <c r="V1971" s="58"/>
      <c r="W1971" s="58"/>
      <c r="X1971" s="30" t="e">
        <f t="shared" si="11"/>
        <v>#N/A</v>
      </c>
      <c r="Y1971" s="30" t="e">
        <f t="shared" si="12"/>
        <v>#N/A</v>
      </c>
      <c r="Z1971" s="35" t="e">
        <f t="shared" si="13"/>
        <v>#VALUE!</v>
      </c>
      <c r="AA1971" s="29" t="e">
        <f t="shared" si="14"/>
        <v>#VALUE!</v>
      </c>
      <c r="AB1971" s="36" t="e">
        <f t="shared" si="15"/>
        <v>#VALUE!</v>
      </c>
      <c r="AC1971" s="37" t="b">
        <v>0</v>
      </c>
      <c r="AD1971" s="61" t="str">
        <f t="shared" si="16"/>
        <v>USD</v>
      </c>
      <c r="AE1971" s="37"/>
      <c r="AF1971" s="37" t="e">
        <f t="array" ref="AF1971">INDEX('Deal Info'!D:D, MATCH(A1971,'Deal Info'!A:A, 0))</f>
        <v>#N/A</v>
      </c>
      <c r="AG1971" s="38" t="e">
        <f t="array" ref="AG1971">INDEX('Deal Info'!G:G, MATCH(A1971,'Deal Info'!A:A, 0))</f>
        <v>#N/A</v>
      </c>
    </row>
    <row r="1972" spans="1:33" ht="14.25" hidden="1" x14ac:dyDescent="0.2">
      <c r="A1972" s="18" t="b">
        <f t="array" ref="A1972">IF(G1972='Room Info'!$B$1, INDEX('Room Info'!$A$2:$A2446, MATCH(B1972,'Room Info'!$B$2:$B2446, 0)),IF(G1972='Room Info'!$C$1, INDEX('Room Info'!$A$2:$A2446, MATCH(B1972,'Room Info'!$C$2:$C2446, 0)),IF(G1972='Room Info'!$D$1, INDEX('Room Info'!$A$2:$A2446, MATCH(B1972,'Room Info'!$D$2:$D2446, 0)),IF(G1972='Room Info'!$E$1, INDEX('Room Info'!$A$2:$A2446, MATCH(B1972,'Room Info'!$E$2:$E2446, 0)),IF(G1972='Room Info'!$F$1, INDEX('Room Info'!$A$2:$A2446, MATCH(B1972,'Room Info'!$F$2:$F2446, 0)),IF(G1972='Room Info'!$H$1, INDEX('Room Info'!$A$2:$A2446, MATCH(B1972,'Room Info'!$H$2:$H2446, 0)),IF(G1972='Room Info'!$G$1, INDEX('Room Info'!$A$2:$A2446, MATCH(B1972,'Room Info'!$G$2:$G2446, 0)))))))))</f>
        <v>0</v>
      </c>
      <c r="B1972" s="96"/>
      <c r="C1972" s="111"/>
      <c r="D1972" s="111"/>
      <c r="E1972" s="80"/>
      <c r="F1972" s="96"/>
      <c r="G1972" s="65"/>
      <c r="H1972" s="110"/>
      <c r="I1972" s="110"/>
      <c r="J1972" s="39" t="s">
        <v>334</v>
      </c>
      <c r="K1972" s="112"/>
      <c r="L1972" s="113"/>
      <c r="M1972" s="62"/>
      <c r="N1972" s="28" t="e">
        <f t="shared" si="8"/>
        <v>#VALUE!</v>
      </c>
      <c r="O1972" s="65"/>
      <c r="P1972" s="29" t="s">
        <v>334</v>
      </c>
      <c r="Q1972" s="55"/>
      <c r="R1972" s="31" t="e">
        <f t="shared" si="9"/>
        <v>#VALUE!</v>
      </c>
      <c r="S1972" s="66"/>
      <c r="T1972" s="32" t="e">
        <f t="shared" si="10"/>
        <v>#VALUE!</v>
      </c>
      <c r="U1972" s="57"/>
      <c r="V1972" s="58"/>
      <c r="W1972" s="58"/>
      <c r="X1972" s="30" t="e">
        <f t="shared" si="11"/>
        <v>#N/A</v>
      </c>
      <c r="Y1972" s="30" t="e">
        <f t="shared" si="12"/>
        <v>#N/A</v>
      </c>
      <c r="Z1972" s="35" t="e">
        <f t="shared" si="13"/>
        <v>#VALUE!</v>
      </c>
      <c r="AA1972" s="29" t="e">
        <f t="shared" si="14"/>
        <v>#VALUE!</v>
      </c>
      <c r="AB1972" s="36" t="e">
        <f t="shared" si="15"/>
        <v>#VALUE!</v>
      </c>
      <c r="AC1972" s="37" t="b">
        <v>0</v>
      </c>
      <c r="AD1972" s="61" t="str">
        <f t="shared" si="16"/>
        <v>USD</v>
      </c>
      <c r="AE1972" s="37"/>
      <c r="AF1972" s="37" t="e">
        <f t="array" ref="AF1972">INDEX('Deal Info'!D:D, MATCH(A1972,'Deal Info'!A:A, 0))</f>
        <v>#N/A</v>
      </c>
      <c r="AG1972" s="38" t="e">
        <f t="array" ref="AG1972">INDEX('Deal Info'!G:G, MATCH(A1972,'Deal Info'!A:A, 0))</f>
        <v>#N/A</v>
      </c>
    </row>
    <row r="1973" spans="1:33" ht="14.25" hidden="1" x14ac:dyDescent="0.2">
      <c r="A1973" s="18" t="b">
        <f t="array" ref="A1973">IF(G1973='Room Info'!$B$1, INDEX('Room Info'!$A$2:$A2446, MATCH(B1973,'Room Info'!$B$2:$B2446, 0)),IF(G1973='Room Info'!$C$1, INDEX('Room Info'!$A$2:$A2446, MATCH(B1973,'Room Info'!$C$2:$C2446, 0)),IF(G1973='Room Info'!$D$1, INDEX('Room Info'!$A$2:$A2446, MATCH(B1973,'Room Info'!$D$2:$D2446, 0)),IF(G1973='Room Info'!$E$1, INDEX('Room Info'!$A$2:$A2446, MATCH(B1973,'Room Info'!$E$2:$E2446, 0)),IF(G1973='Room Info'!$F$1, INDEX('Room Info'!$A$2:$A2446, MATCH(B1973,'Room Info'!$F$2:$F2446, 0)),IF(G1973='Room Info'!$H$1, INDEX('Room Info'!$A$2:$A2446, MATCH(B1973,'Room Info'!$H$2:$H2446, 0)),IF(G1973='Room Info'!$G$1, INDEX('Room Info'!$A$2:$A2446, MATCH(B1973,'Room Info'!$G$2:$G2446, 0)))))))))</f>
        <v>0</v>
      </c>
      <c r="B1973" s="96"/>
      <c r="C1973" s="136"/>
      <c r="D1973" s="136"/>
      <c r="E1973" s="137"/>
      <c r="F1973" s="133"/>
      <c r="G1973" s="96"/>
      <c r="H1973" s="100"/>
      <c r="I1973" s="100"/>
      <c r="J1973" s="39" t="s">
        <v>334</v>
      </c>
      <c r="K1973" s="134"/>
      <c r="L1973" s="135"/>
      <c r="M1973" s="79"/>
      <c r="N1973" s="28" t="e">
        <f t="shared" si="8"/>
        <v>#VALUE!</v>
      </c>
      <c r="O1973" s="96"/>
      <c r="P1973" s="29" t="s">
        <v>334</v>
      </c>
      <c r="Q1973" s="55"/>
      <c r="R1973" s="31" t="e">
        <f t="shared" si="9"/>
        <v>#VALUE!</v>
      </c>
      <c r="S1973" s="97"/>
      <c r="T1973" s="32" t="e">
        <f t="shared" si="10"/>
        <v>#VALUE!</v>
      </c>
      <c r="U1973" s="57"/>
      <c r="V1973" s="58"/>
      <c r="W1973" s="58"/>
      <c r="X1973" s="30" t="e">
        <f t="shared" si="11"/>
        <v>#N/A</v>
      </c>
      <c r="Y1973" s="30" t="e">
        <f t="shared" si="12"/>
        <v>#N/A</v>
      </c>
      <c r="Z1973" s="35" t="e">
        <f t="shared" si="13"/>
        <v>#VALUE!</v>
      </c>
      <c r="AA1973" s="29" t="e">
        <f t="shared" si="14"/>
        <v>#VALUE!</v>
      </c>
      <c r="AB1973" s="36" t="e">
        <f t="shared" si="15"/>
        <v>#VALUE!</v>
      </c>
      <c r="AC1973" s="37" t="b">
        <v>0</v>
      </c>
      <c r="AD1973" s="61" t="str">
        <f t="shared" si="16"/>
        <v>USD</v>
      </c>
      <c r="AE1973" s="37"/>
      <c r="AF1973" s="37" t="e">
        <f t="array" ref="AF1973">INDEX('Deal Info'!D:D, MATCH(A1973,'Deal Info'!A:A, 0))</f>
        <v>#N/A</v>
      </c>
      <c r="AG1973" s="38" t="e">
        <f t="array" ref="AG1973">INDEX('Deal Info'!G:G, MATCH(A1973,'Deal Info'!A:A, 0))</f>
        <v>#N/A</v>
      </c>
    </row>
    <row r="1974" spans="1:33" ht="14.25" hidden="1" x14ac:dyDescent="0.2">
      <c r="A1974" s="18" t="b">
        <f t="array" ref="A1974">IF(G1974='Room Info'!$B$1, INDEX('Room Info'!$A$2:$A2446, MATCH(B1974,'Room Info'!$B$2:$B2446, 0)),IF(G1974='Room Info'!$C$1, INDEX('Room Info'!$A$2:$A2446, MATCH(B1974,'Room Info'!$C$2:$C2446, 0)),IF(G1974='Room Info'!$D$1, INDEX('Room Info'!$A$2:$A2446, MATCH(B1974,'Room Info'!$D$2:$D2446, 0)),IF(G1974='Room Info'!$E$1, INDEX('Room Info'!$A$2:$A2446, MATCH(B1974,'Room Info'!$E$2:$E2446, 0)),IF(G1974='Room Info'!$F$1, INDEX('Room Info'!$A$2:$A2446, MATCH(B1974,'Room Info'!$F$2:$F2446, 0)),IF(G1974='Room Info'!$H$1, INDEX('Room Info'!$A$2:$A2446, MATCH(B1974,'Room Info'!$H$2:$H2446, 0)),IF(G1974='Room Info'!$G$1, INDEX('Room Info'!$A$2:$A2446, MATCH(B1974,'Room Info'!$G$2:$G2446, 0)))))))))</f>
        <v>0</v>
      </c>
      <c r="B1974" s="96"/>
      <c r="C1974" s="136"/>
      <c r="D1974" s="136"/>
      <c r="E1974" s="137"/>
      <c r="F1974" s="133"/>
      <c r="G1974" s="96"/>
      <c r="H1974" s="100"/>
      <c r="I1974" s="100"/>
      <c r="J1974" s="39" t="s">
        <v>334</v>
      </c>
      <c r="K1974" s="134"/>
      <c r="L1974" s="135"/>
      <c r="M1974" s="79"/>
      <c r="N1974" s="28" t="e">
        <f t="shared" si="8"/>
        <v>#VALUE!</v>
      </c>
      <c r="O1974" s="96"/>
      <c r="P1974" s="29" t="s">
        <v>334</v>
      </c>
      <c r="Q1974" s="55"/>
      <c r="R1974" s="31" t="e">
        <f t="shared" si="9"/>
        <v>#VALUE!</v>
      </c>
      <c r="S1974" s="97"/>
      <c r="T1974" s="32" t="e">
        <f t="shared" si="10"/>
        <v>#VALUE!</v>
      </c>
      <c r="U1974" s="57"/>
      <c r="V1974" s="58"/>
      <c r="W1974" s="58"/>
      <c r="X1974" s="30" t="e">
        <f t="shared" si="11"/>
        <v>#N/A</v>
      </c>
      <c r="Y1974" s="30" t="e">
        <f t="shared" si="12"/>
        <v>#N/A</v>
      </c>
      <c r="Z1974" s="35" t="e">
        <f t="shared" si="13"/>
        <v>#VALUE!</v>
      </c>
      <c r="AA1974" s="29" t="e">
        <f t="shared" si="14"/>
        <v>#VALUE!</v>
      </c>
      <c r="AB1974" s="36" t="e">
        <f t="shared" si="15"/>
        <v>#VALUE!</v>
      </c>
      <c r="AC1974" s="37" t="b">
        <v>0</v>
      </c>
      <c r="AD1974" s="61" t="str">
        <f t="shared" si="16"/>
        <v>USD</v>
      </c>
      <c r="AE1974" s="37"/>
      <c r="AF1974" s="37" t="e">
        <f t="array" ref="AF1974">INDEX('Deal Info'!D:D, MATCH(A1974,'Deal Info'!A:A, 0))</f>
        <v>#N/A</v>
      </c>
      <c r="AG1974" s="38" t="e">
        <f t="array" ref="AG1974">INDEX('Deal Info'!G:G, MATCH(A1974,'Deal Info'!A:A, 0))</f>
        <v>#N/A</v>
      </c>
    </row>
    <row r="1975" spans="1:33" ht="14.25" hidden="1" x14ac:dyDescent="0.2">
      <c r="A1975" s="18" t="b">
        <f t="array" ref="A1975">IF(G1975='Room Info'!$B$1, INDEX('Room Info'!$A$2:$A2446, MATCH(B1975,'Room Info'!$B$2:$B2446, 0)),IF(G1975='Room Info'!$C$1, INDEX('Room Info'!$A$2:$A2446, MATCH(B1975,'Room Info'!$C$2:$C2446, 0)),IF(G1975='Room Info'!$D$1, INDEX('Room Info'!$A$2:$A2446, MATCH(B1975,'Room Info'!$D$2:$D2446, 0)),IF(G1975='Room Info'!$E$1, INDEX('Room Info'!$A$2:$A2446, MATCH(B1975,'Room Info'!$E$2:$E2446, 0)),IF(G1975='Room Info'!$F$1, INDEX('Room Info'!$A$2:$A2446, MATCH(B1975,'Room Info'!$F$2:$F2446, 0)),IF(G1975='Room Info'!$H$1, INDEX('Room Info'!$A$2:$A2446, MATCH(B1975,'Room Info'!$H$2:$H2446, 0)),IF(G1975='Room Info'!$G$1, INDEX('Room Info'!$A$2:$A2446, MATCH(B1975,'Room Info'!$G$2:$G2446, 0)))))))))</f>
        <v>0</v>
      </c>
      <c r="B1975" s="96"/>
      <c r="C1975" s="136"/>
      <c r="D1975" s="136"/>
      <c r="E1975" s="137"/>
      <c r="F1975" s="96"/>
      <c r="G1975" s="65"/>
      <c r="H1975" s="110"/>
      <c r="I1975" s="110"/>
      <c r="J1975" s="39" t="s">
        <v>334</v>
      </c>
      <c r="K1975" s="112"/>
      <c r="L1975" s="113"/>
      <c r="M1975" s="62"/>
      <c r="N1975" s="28" t="e">
        <f t="shared" si="8"/>
        <v>#VALUE!</v>
      </c>
      <c r="O1975" s="65"/>
      <c r="P1975" s="29" t="s">
        <v>334</v>
      </c>
      <c r="Q1975" s="55"/>
      <c r="R1975" s="31" t="e">
        <f t="shared" si="9"/>
        <v>#VALUE!</v>
      </c>
      <c r="S1975" s="66"/>
      <c r="T1975" s="32" t="e">
        <f t="shared" si="10"/>
        <v>#VALUE!</v>
      </c>
      <c r="U1975" s="57"/>
      <c r="V1975" s="58"/>
      <c r="W1975" s="58"/>
      <c r="X1975" s="30" t="e">
        <f t="shared" si="11"/>
        <v>#N/A</v>
      </c>
      <c r="Y1975" s="30" t="e">
        <f t="shared" si="12"/>
        <v>#N/A</v>
      </c>
      <c r="Z1975" s="35" t="e">
        <f t="shared" si="13"/>
        <v>#VALUE!</v>
      </c>
      <c r="AA1975" s="29" t="e">
        <f t="shared" si="14"/>
        <v>#VALUE!</v>
      </c>
      <c r="AB1975" s="36" t="e">
        <f t="shared" si="15"/>
        <v>#VALUE!</v>
      </c>
      <c r="AC1975" s="37" t="b">
        <v>0</v>
      </c>
      <c r="AD1975" s="61" t="str">
        <f t="shared" si="16"/>
        <v>USD</v>
      </c>
      <c r="AE1975" s="37"/>
      <c r="AF1975" s="37" t="e">
        <f t="array" ref="AF1975">INDEX('Deal Info'!D:D, MATCH(A1975,'Deal Info'!A:A, 0))</f>
        <v>#N/A</v>
      </c>
      <c r="AG1975" s="38" t="e">
        <f t="array" ref="AG1975">INDEX('Deal Info'!G:G, MATCH(A1975,'Deal Info'!A:A, 0))</f>
        <v>#N/A</v>
      </c>
    </row>
    <row r="1976" spans="1:33" ht="14.25" hidden="1" x14ac:dyDescent="0.2">
      <c r="A1976" s="18" t="b">
        <f t="array" ref="A1976">IF(G1976='Room Info'!$B$1, INDEX('Room Info'!$A$2:$A2446, MATCH(B1976,'Room Info'!$B$2:$B2446, 0)),IF(G1976='Room Info'!$C$1, INDEX('Room Info'!$A$2:$A2446, MATCH(B1976,'Room Info'!$C$2:$C2446, 0)),IF(G1976='Room Info'!$D$1, INDEX('Room Info'!$A$2:$A2446, MATCH(B1976,'Room Info'!$D$2:$D2446, 0)),IF(G1976='Room Info'!$E$1, INDEX('Room Info'!$A$2:$A2446, MATCH(B1976,'Room Info'!$E$2:$E2446, 0)),IF(G1976='Room Info'!$F$1, INDEX('Room Info'!$A$2:$A2446, MATCH(B1976,'Room Info'!$F$2:$F2446, 0)),IF(G1976='Room Info'!$H$1, INDEX('Room Info'!$A$2:$A2446, MATCH(B1976,'Room Info'!$H$2:$H2446, 0)),IF(G1976='Room Info'!$G$1, INDEX('Room Info'!$A$2:$A2446, MATCH(B1976,'Room Info'!$G$2:$G2446, 0)))))))))</f>
        <v>0</v>
      </c>
      <c r="B1976" s="96"/>
      <c r="C1976" s="136"/>
      <c r="D1976" s="136"/>
      <c r="E1976" s="137"/>
      <c r="F1976" s="96"/>
      <c r="G1976" s="65"/>
      <c r="H1976" s="110"/>
      <c r="I1976" s="110"/>
      <c r="J1976" s="39" t="s">
        <v>334</v>
      </c>
      <c r="K1976" s="112"/>
      <c r="L1976" s="113"/>
      <c r="M1976" s="62"/>
      <c r="N1976" s="28" t="e">
        <f t="shared" si="8"/>
        <v>#VALUE!</v>
      </c>
      <c r="O1976" s="65"/>
      <c r="P1976" s="29" t="s">
        <v>334</v>
      </c>
      <c r="Q1976" s="55"/>
      <c r="R1976" s="31" t="e">
        <f t="shared" si="9"/>
        <v>#VALUE!</v>
      </c>
      <c r="S1976" s="66"/>
      <c r="T1976" s="32" t="e">
        <f t="shared" si="10"/>
        <v>#VALUE!</v>
      </c>
      <c r="U1976" s="57"/>
      <c r="V1976" s="58"/>
      <c r="W1976" s="58"/>
      <c r="X1976" s="30" t="e">
        <f t="shared" si="11"/>
        <v>#N/A</v>
      </c>
      <c r="Y1976" s="30" t="e">
        <f t="shared" si="12"/>
        <v>#N/A</v>
      </c>
      <c r="Z1976" s="35" t="e">
        <f t="shared" si="13"/>
        <v>#VALUE!</v>
      </c>
      <c r="AA1976" s="29" t="e">
        <f t="shared" si="14"/>
        <v>#VALUE!</v>
      </c>
      <c r="AB1976" s="36" t="e">
        <f t="shared" si="15"/>
        <v>#VALUE!</v>
      </c>
      <c r="AC1976" s="37" t="b">
        <v>0</v>
      </c>
      <c r="AD1976" s="61" t="str">
        <f t="shared" si="16"/>
        <v>USD</v>
      </c>
      <c r="AE1976" s="37"/>
      <c r="AF1976" s="37" t="e">
        <f t="array" ref="AF1976">INDEX('Deal Info'!D:D, MATCH(A1976,'Deal Info'!A:A, 0))</f>
        <v>#N/A</v>
      </c>
      <c r="AG1976" s="38" t="e">
        <f t="array" ref="AG1976">INDEX('Deal Info'!G:G, MATCH(A1976,'Deal Info'!A:A, 0))</f>
        <v>#N/A</v>
      </c>
    </row>
    <row r="1977" spans="1:33" ht="14.25" hidden="1" x14ac:dyDescent="0.2">
      <c r="A1977" s="18" t="b">
        <f t="array" ref="A1977">IF(G1977='Room Info'!$B$1, INDEX('Room Info'!$A$2:$A2446, MATCH(B1977,'Room Info'!$B$2:$B2446, 0)),IF(G1977='Room Info'!$C$1, INDEX('Room Info'!$A$2:$A2446, MATCH(B1977,'Room Info'!$C$2:$C2446, 0)),IF(G1977='Room Info'!$D$1, INDEX('Room Info'!$A$2:$A2446, MATCH(B1977,'Room Info'!$D$2:$D2446, 0)),IF(G1977='Room Info'!$E$1, INDEX('Room Info'!$A$2:$A2446, MATCH(B1977,'Room Info'!$E$2:$E2446, 0)),IF(G1977='Room Info'!$F$1, INDEX('Room Info'!$A$2:$A2446, MATCH(B1977,'Room Info'!$F$2:$F2446, 0)),IF(G1977='Room Info'!$H$1, INDEX('Room Info'!$A$2:$A2446, MATCH(B1977,'Room Info'!$H$2:$H2446, 0)),IF(G1977='Room Info'!$G$1, INDEX('Room Info'!$A$2:$A2446, MATCH(B1977,'Room Info'!$G$2:$G2446, 0)))))))))</f>
        <v>0</v>
      </c>
      <c r="B1977" s="96"/>
      <c r="C1977" s="136"/>
      <c r="D1977" s="136"/>
      <c r="E1977" s="137"/>
      <c r="F1977" s="133"/>
      <c r="G1977" s="65"/>
      <c r="H1977" s="110"/>
      <c r="I1977" s="110"/>
      <c r="J1977" s="39" t="s">
        <v>334</v>
      </c>
      <c r="K1977" s="112"/>
      <c r="L1977" s="113"/>
      <c r="M1977" s="62"/>
      <c r="N1977" s="28" t="e">
        <f t="shared" si="8"/>
        <v>#VALUE!</v>
      </c>
      <c r="O1977" s="65"/>
      <c r="P1977" s="29" t="s">
        <v>334</v>
      </c>
      <c r="Q1977" s="55"/>
      <c r="R1977" s="31" t="e">
        <f t="shared" si="9"/>
        <v>#VALUE!</v>
      </c>
      <c r="S1977" s="66"/>
      <c r="T1977" s="32" t="e">
        <f t="shared" si="10"/>
        <v>#VALUE!</v>
      </c>
      <c r="U1977" s="57"/>
      <c r="V1977" s="58"/>
      <c r="W1977" s="58"/>
      <c r="X1977" s="30" t="e">
        <f t="shared" si="11"/>
        <v>#N/A</v>
      </c>
      <c r="Y1977" s="30" t="e">
        <f t="shared" si="12"/>
        <v>#N/A</v>
      </c>
      <c r="Z1977" s="35" t="e">
        <f t="shared" si="13"/>
        <v>#VALUE!</v>
      </c>
      <c r="AA1977" s="29" t="e">
        <f t="shared" si="14"/>
        <v>#VALUE!</v>
      </c>
      <c r="AB1977" s="36" t="e">
        <f t="shared" si="15"/>
        <v>#VALUE!</v>
      </c>
      <c r="AC1977" s="37" t="b">
        <v>0</v>
      </c>
      <c r="AD1977" s="61" t="str">
        <f t="shared" si="16"/>
        <v>USD</v>
      </c>
      <c r="AE1977" s="37"/>
      <c r="AF1977" s="37" t="e">
        <f t="array" ref="AF1977">INDEX('Deal Info'!D:D, MATCH(A1977,'Deal Info'!A:A, 0))</f>
        <v>#N/A</v>
      </c>
      <c r="AG1977" s="38" t="e">
        <f t="array" ref="AG1977">INDEX('Deal Info'!G:G, MATCH(A1977,'Deal Info'!A:A, 0))</f>
        <v>#N/A</v>
      </c>
    </row>
    <row r="1978" spans="1:33" ht="14.25" hidden="1" x14ac:dyDescent="0.2">
      <c r="A1978" s="18" t="b">
        <f t="array" ref="A1978">IF(G1978='Room Info'!$B$1, INDEX('Room Info'!$A$2:$A2446, MATCH(B1978,'Room Info'!$B$2:$B2446, 0)),IF(G1978='Room Info'!$C$1, INDEX('Room Info'!$A$2:$A2446, MATCH(B1978,'Room Info'!$C$2:$C2446, 0)),IF(G1978='Room Info'!$D$1, INDEX('Room Info'!$A$2:$A2446, MATCH(B1978,'Room Info'!$D$2:$D2446, 0)),IF(G1978='Room Info'!$E$1, INDEX('Room Info'!$A$2:$A2446, MATCH(B1978,'Room Info'!$E$2:$E2446, 0)),IF(G1978='Room Info'!$F$1, INDEX('Room Info'!$A$2:$A2446, MATCH(B1978,'Room Info'!$F$2:$F2446, 0)),IF(G1978='Room Info'!$H$1, INDEX('Room Info'!$A$2:$A2446, MATCH(B1978,'Room Info'!$H$2:$H2446, 0)),IF(G1978='Room Info'!$G$1, INDEX('Room Info'!$A$2:$A2446, MATCH(B1978,'Room Info'!$G$2:$G2446, 0)))))))))</f>
        <v>0</v>
      </c>
      <c r="B1978" s="96"/>
      <c r="C1978" s="136"/>
      <c r="D1978" s="136"/>
      <c r="E1978" s="137"/>
      <c r="F1978" s="133"/>
      <c r="G1978" s="65"/>
      <c r="H1978" s="110"/>
      <c r="I1978" s="110"/>
      <c r="J1978" s="39" t="s">
        <v>334</v>
      </c>
      <c r="K1978" s="112"/>
      <c r="L1978" s="113"/>
      <c r="M1978" s="62"/>
      <c r="N1978" s="28" t="e">
        <f t="shared" si="8"/>
        <v>#VALUE!</v>
      </c>
      <c r="O1978" s="65"/>
      <c r="P1978" s="29" t="s">
        <v>334</v>
      </c>
      <c r="Q1978" s="55"/>
      <c r="R1978" s="31" t="e">
        <f t="shared" si="9"/>
        <v>#VALUE!</v>
      </c>
      <c r="S1978" s="66"/>
      <c r="T1978" s="32" t="e">
        <f t="shared" si="10"/>
        <v>#VALUE!</v>
      </c>
      <c r="U1978" s="57"/>
      <c r="V1978" s="58"/>
      <c r="W1978" s="58"/>
      <c r="X1978" s="30" t="e">
        <f t="shared" si="11"/>
        <v>#N/A</v>
      </c>
      <c r="Y1978" s="30" t="e">
        <f t="shared" si="12"/>
        <v>#N/A</v>
      </c>
      <c r="Z1978" s="35" t="e">
        <f t="shared" si="13"/>
        <v>#VALUE!</v>
      </c>
      <c r="AA1978" s="29" t="e">
        <f t="shared" si="14"/>
        <v>#VALUE!</v>
      </c>
      <c r="AB1978" s="36" t="e">
        <f t="shared" si="15"/>
        <v>#VALUE!</v>
      </c>
      <c r="AC1978" s="37" t="b">
        <v>0</v>
      </c>
      <c r="AD1978" s="61" t="str">
        <f t="shared" si="16"/>
        <v>USD</v>
      </c>
      <c r="AE1978" s="37"/>
      <c r="AF1978" s="37" t="e">
        <f t="array" ref="AF1978">INDEX('Deal Info'!D:D, MATCH(A1978,'Deal Info'!A:A, 0))</f>
        <v>#N/A</v>
      </c>
      <c r="AG1978" s="38" t="e">
        <f t="array" ref="AG1978">INDEX('Deal Info'!G:G, MATCH(A1978,'Deal Info'!A:A, 0))</f>
        <v>#N/A</v>
      </c>
    </row>
    <row r="1979" spans="1:33" ht="14.25" hidden="1" x14ac:dyDescent="0.2">
      <c r="A1979" s="18" t="b">
        <f t="array" ref="A1979">IF(G1979='Room Info'!$B$1, INDEX('Room Info'!$A$2:$A2446, MATCH(B1979,'Room Info'!$B$2:$B2446, 0)),IF(G1979='Room Info'!$C$1, INDEX('Room Info'!$A$2:$A2446, MATCH(B1979,'Room Info'!$C$2:$C2446, 0)),IF(G1979='Room Info'!$D$1, INDEX('Room Info'!$A$2:$A2446, MATCH(B1979,'Room Info'!$D$2:$D2446, 0)),IF(G1979='Room Info'!$E$1, INDEX('Room Info'!$A$2:$A2446, MATCH(B1979,'Room Info'!$E$2:$E2446, 0)),IF(G1979='Room Info'!$F$1, INDEX('Room Info'!$A$2:$A2446, MATCH(B1979,'Room Info'!$F$2:$F2446, 0)),IF(G1979='Room Info'!$H$1, INDEX('Room Info'!$A$2:$A2446, MATCH(B1979,'Room Info'!$H$2:$H2446, 0)),IF(G1979='Room Info'!$G$1, INDEX('Room Info'!$A$2:$A2446, MATCH(B1979,'Room Info'!$G$2:$G2446, 0)))))))))</f>
        <v>0</v>
      </c>
      <c r="B1979" s="96"/>
      <c r="C1979" s="111"/>
      <c r="D1979" s="111"/>
      <c r="E1979" s="80"/>
      <c r="F1979" s="133"/>
      <c r="G1979" s="65"/>
      <c r="H1979" s="110"/>
      <c r="I1979" s="110"/>
      <c r="J1979" s="39" t="s">
        <v>334</v>
      </c>
      <c r="K1979" s="112"/>
      <c r="L1979" s="113"/>
      <c r="M1979" s="62"/>
      <c r="N1979" s="28" t="e">
        <f t="shared" si="8"/>
        <v>#VALUE!</v>
      </c>
      <c r="O1979" s="65"/>
      <c r="P1979" s="29" t="s">
        <v>334</v>
      </c>
      <c r="Q1979" s="55"/>
      <c r="R1979" s="31" t="e">
        <f t="shared" si="9"/>
        <v>#VALUE!</v>
      </c>
      <c r="S1979" s="66"/>
      <c r="T1979" s="32" t="e">
        <f t="shared" si="10"/>
        <v>#VALUE!</v>
      </c>
      <c r="U1979" s="57"/>
      <c r="V1979" s="58"/>
      <c r="W1979" s="58"/>
      <c r="X1979" s="30" t="e">
        <f t="shared" si="11"/>
        <v>#N/A</v>
      </c>
      <c r="Y1979" s="30" t="e">
        <f t="shared" si="12"/>
        <v>#N/A</v>
      </c>
      <c r="Z1979" s="35" t="e">
        <f t="shared" si="13"/>
        <v>#VALUE!</v>
      </c>
      <c r="AA1979" s="29" t="e">
        <f t="shared" si="14"/>
        <v>#VALUE!</v>
      </c>
      <c r="AB1979" s="36" t="e">
        <f t="shared" si="15"/>
        <v>#VALUE!</v>
      </c>
      <c r="AC1979" s="37" t="b">
        <v>0</v>
      </c>
      <c r="AD1979" s="61" t="str">
        <f t="shared" si="16"/>
        <v>USD</v>
      </c>
      <c r="AE1979" s="37"/>
      <c r="AF1979" s="37" t="e">
        <f t="array" ref="AF1979">INDEX('Deal Info'!D:D, MATCH(A1979,'Deal Info'!A:A, 0))</f>
        <v>#N/A</v>
      </c>
      <c r="AG1979" s="38" t="e">
        <f t="array" ref="AG1979">INDEX('Deal Info'!G:G, MATCH(A1979,'Deal Info'!A:A, 0))</f>
        <v>#N/A</v>
      </c>
    </row>
    <row r="1980" spans="1:33" ht="14.25" hidden="1" x14ac:dyDescent="0.2">
      <c r="A1980" s="18" t="b">
        <f t="array" ref="A1980">IF(G1980='Room Info'!$B$1, INDEX('Room Info'!$A$2:$A2446, MATCH(B1980,'Room Info'!$B$2:$B2446, 0)),IF(G1980='Room Info'!$C$1, INDEX('Room Info'!$A$2:$A2446, MATCH(B1980,'Room Info'!$C$2:$C2446, 0)),IF(G1980='Room Info'!$D$1, INDEX('Room Info'!$A$2:$A2446, MATCH(B1980,'Room Info'!$D$2:$D2446, 0)),IF(G1980='Room Info'!$E$1, INDEX('Room Info'!$A$2:$A2446, MATCH(B1980,'Room Info'!$E$2:$E2446, 0)),IF(G1980='Room Info'!$F$1, INDEX('Room Info'!$A$2:$A2446, MATCH(B1980,'Room Info'!$F$2:$F2446, 0)),IF(G1980='Room Info'!$H$1, INDEX('Room Info'!$A$2:$A2446, MATCH(B1980,'Room Info'!$H$2:$H2446, 0)),IF(G1980='Room Info'!$G$1, INDEX('Room Info'!$A$2:$A2446, MATCH(B1980,'Room Info'!$G$2:$G2446, 0)))))))))</f>
        <v>0</v>
      </c>
      <c r="B1980" s="96"/>
      <c r="C1980" s="111"/>
      <c r="D1980" s="111"/>
      <c r="E1980" s="80"/>
      <c r="F1980" s="133"/>
      <c r="G1980" s="65"/>
      <c r="H1980" s="110"/>
      <c r="I1980" s="110"/>
      <c r="J1980" s="39" t="s">
        <v>334</v>
      </c>
      <c r="K1980" s="112"/>
      <c r="L1980" s="113"/>
      <c r="M1980" s="62"/>
      <c r="N1980" s="28" t="e">
        <f t="shared" si="8"/>
        <v>#VALUE!</v>
      </c>
      <c r="O1980" s="65"/>
      <c r="P1980" s="29" t="s">
        <v>334</v>
      </c>
      <c r="Q1980" s="55"/>
      <c r="R1980" s="31" t="e">
        <f t="shared" si="9"/>
        <v>#VALUE!</v>
      </c>
      <c r="S1980" s="66"/>
      <c r="T1980" s="32" t="e">
        <f t="shared" si="10"/>
        <v>#VALUE!</v>
      </c>
      <c r="U1980" s="57"/>
      <c r="V1980" s="58"/>
      <c r="W1980" s="58"/>
      <c r="X1980" s="30" t="e">
        <f t="shared" si="11"/>
        <v>#N/A</v>
      </c>
      <c r="Y1980" s="30" t="e">
        <f t="shared" si="12"/>
        <v>#N/A</v>
      </c>
      <c r="Z1980" s="35" t="e">
        <f t="shared" si="13"/>
        <v>#VALUE!</v>
      </c>
      <c r="AA1980" s="29" t="e">
        <f t="shared" si="14"/>
        <v>#VALUE!</v>
      </c>
      <c r="AB1980" s="36" t="e">
        <f t="shared" si="15"/>
        <v>#VALUE!</v>
      </c>
      <c r="AC1980" s="37" t="b">
        <v>0</v>
      </c>
      <c r="AD1980" s="61" t="str">
        <f t="shared" si="16"/>
        <v>USD</v>
      </c>
      <c r="AE1980" s="37"/>
      <c r="AF1980" s="37" t="e">
        <f t="array" ref="AF1980">INDEX('Deal Info'!D:D, MATCH(A1980,'Deal Info'!A:A, 0))</f>
        <v>#N/A</v>
      </c>
      <c r="AG1980" s="38" t="e">
        <f t="array" ref="AG1980">INDEX('Deal Info'!G:G, MATCH(A1980,'Deal Info'!A:A, 0))</f>
        <v>#N/A</v>
      </c>
    </row>
    <row r="1981" spans="1:33" ht="14.25" hidden="1" x14ac:dyDescent="0.2">
      <c r="A1981" s="18" t="b">
        <f t="array" ref="A1981">IF(G1981='Room Info'!$B$1, INDEX('Room Info'!$A$2:$A2446, MATCH(B1981,'Room Info'!$B$2:$B2446, 0)),IF(G1981='Room Info'!$C$1, INDEX('Room Info'!$A$2:$A2446, MATCH(B1981,'Room Info'!$C$2:$C2446, 0)),IF(G1981='Room Info'!$D$1, INDEX('Room Info'!$A$2:$A2446, MATCH(B1981,'Room Info'!$D$2:$D2446, 0)),IF(G1981='Room Info'!$E$1, INDEX('Room Info'!$A$2:$A2446, MATCH(B1981,'Room Info'!$E$2:$E2446, 0)),IF(G1981='Room Info'!$F$1, INDEX('Room Info'!$A$2:$A2446, MATCH(B1981,'Room Info'!$F$2:$F2446, 0)),IF(G1981='Room Info'!$H$1, INDEX('Room Info'!$A$2:$A2446, MATCH(B1981,'Room Info'!$H$2:$H2446, 0)),IF(G1981='Room Info'!$G$1, INDEX('Room Info'!$A$2:$A2446, MATCH(B1981,'Room Info'!$G$2:$G2446, 0)))))))))</f>
        <v>0</v>
      </c>
      <c r="B1981" s="96"/>
      <c r="C1981" s="111"/>
      <c r="D1981" s="111"/>
      <c r="E1981" s="80"/>
      <c r="F1981" s="133"/>
      <c r="G1981" s="65"/>
      <c r="H1981" s="110"/>
      <c r="I1981" s="110"/>
      <c r="J1981" s="39" t="s">
        <v>334</v>
      </c>
      <c r="K1981" s="112"/>
      <c r="L1981" s="113"/>
      <c r="M1981" s="62"/>
      <c r="N1981" s="28" t="e">
        <f t="shared" si="8"/>
        <v>#VALUE!</v>
      </c>
      <c r="O1981" s="65"/>
      <c r="P1981" s="29" t="s">
        <v>334</v>
      </c>
      <c r="Q1981" s="55"/>
      <c r="R1981" s="31" t="e">
        <f t="shared" si="9"/>
        <v>#VALUE!</v>
      </c>
      <c r="S1981" s="66"/>
      <c r="T1981" s="32" t="e">
        <f t="shared" si="10"/>
        <v>#VALUE!</v>
      </c>
      <c r="U1981" s="57"/>
      <c r="V1981" s="58"/>
      <c r="W1981" s="58"/>
      <c r="X1981" s="30" t="e">
        <f t="shared" si="11"/>
        <v>#N/A</v>
      </c>
      <c r="Y1981" s="30" t="e">
        <f t="shared" si="12"/>
        <v>#N/A</v>
      </c>
      <c r="Z1981" s="35" t="e">
        <f t="shared" si="13"/>
        <v>#VALUE!</v>
      </c>
      <c r="AA1981" s="29" t="e">
        <f t="shared" si="14"/>
        <v>#VALUE!</v>
      </c>
      <c r="AB1981" s="36" t="e">
        <f t="shared" si="15"/>
        <v>#VALUE!</v>
      </c>
      <c r="AC1981" s="37" t="b">
        <v>0</v>
      </c>
      <c r="AD1981" s="61" t="str">
        <f t="shared" si="16"/>
        <v>USD</v>
      </c>
      <c r="AE1981" s="37"/>
      <c r="AF1981" s="37" t="e">
        <f t="array" ref="AF1981">INDEX('Deal Info'!D:D, MATCH(A1981,'Deal Info'!A:A, 0))</f>
        <v>#N/A</v>
      </c>
      <c r="AG1981" s="38" t="e">
        <f t="array" ref="AG1981">INDEX('Deal Info'!G:G, MATCH(A1981,'Deal Info'!A:A, 0))</f>
        <v>#N/A</v>
      </c>
    </row>
    <row r="1982" spans="1:33" ht="14.25" hidden="1" x14ac:dyDescent="0.2">
      <c r="A1982" s="18" t="b">
        <f t="array" ref="A1982">IF(G1982='Room Info'!$B$1, INDEX('Room Info'!$A$2:$A2446, MATCH(B1982,'Room Info'!$B$2:$B2446, 0)),IF(G1982='Room Info'!$C$1, INDEX('Room Info'!$A$2:$A2446, MATCH(B1982,'Room Info'!$C$2:$C2446, 0)),IF(G1982='Room Info'!$D$1, INDEX('Room Info'!$A$2:$A2446, MATCH(B1982,'Room Info'!$D$2:$D2446, 0)),IF(G1982='Room Info'!$E$1, INDEX('Room Info'!$A$2:$A2446, MATCH(B1982,'Room Info'!$E$2:$E2446, 0)),IF(G1982='Room Info'!$F$1, INDEX('Room Info'!$A$2:$A2446, MATCH(B1982,'Room Info'!$F$2:$F2446, 0)),IF(G1982='Room Info'!$H$1, INDEX('Room Info'!$A$2:$A2446, MATCH(B1982,'Room Info'!$H$2:$H2446, 0)),IF(G1982='Room Info'!$G$1, INDEX('Room Info'!$A$2:$A2446, MATCH(B1982,'Room Info'!$G$2:$G2446, 0)))))))))</f>
        <v>0</v>
      </c>
      <c r="B1982" s="96"/>
      <c r="C1982" s="111"/>
      <c r="D1982" s="111"/>
      <c r="E1982" s="80"/>
      <c r="F1982" s="133"/>
      <c r="G1982" s="65"/>
      <c r="H1982" s="110"/>
      <c r="I1982" s="110"/>
      <c r="J1982" s="39" t="s">
        <v>334</v>
      </c>
      <c r="K1982" s="112"/>
      <c r="L1982" s="113"/>
      <c r="M1982" s="62"/>
      <c r="N1982" s="28" t="e">
        <f t="shared" si="8"/>
        <v>#VALUE!</v>
      </c>
      <c r="O1982" s="65"/>
      <c r="P1982" s="29" t="s">
        <v>334</v>
      </c>
      <c r="Q1982" s="55"/>
      <c r="R1982" s="31" t="e">
        <f t="shared" si="9"/>
        <v>#VALUE!</v>
      </c>
      <c r="S1982" s="66"/>
      <c r="T1982" s="32" t="e">
        <f t="shared" si="10"/>
        <v>#VALUE!</v>
      </c>
      <c r="U1982" s="57"/>
      <c r="V1982" s="58"/>
      <c r="W1982" s="58"/>
      <c r="X1982" s="30" t="e">
        <f t="shared" si="11"/>
        <v>#N/A</v>
      </c>
      <c r="Y1982" s="30" t="e">
        <f t="shared" si="12"/>
        <v>#N/A</v>
      </c>
      <c r="Z1982" s="35" t="e">
        <f t="shared" si="13"/>
        <v>#VALUE!</v>
      </c>
      <c r="AA1982" s="29" t="e">
        <f t="shared" si="14"/>
        <v>#VALUE!</v>
      </c>
      <c r="AB1982" s="36" t="e">
        <f t="shared" si="15"/>
        <v>#VALUE!</v>
      </c>
      <c r="AC1982" s="37" t="b">
        <v>0</v>
      </c>
      <c r="AD1982" s="61" t="str">
        <f t="shared" si="16"/>
        <v>USD</v>
      </c>
      <c r="AE1982" s="37"/>
      <c r="AF1982" s="37" t="e">
        <f t="array" ref="AF1982">INDEX('Deal Info'!D:D, MATCH(A1982,'Deal Info'!A:A, 0))</f>
        <v>#N/A</v>
      </c>
      <c r="AG1982" s="38" t="e">
        <f t="array" ref="AG1982">INDEX('Deal Info'!G:G, MATCH(A1982,'Deal Info'!A:A, 0))</f>
        <v>#N/A</v>
      </c>
    </row>
    <row r="1983" spans="1:33" ht="14.25" hidden="1" x14ac:dyDescent="0.2">
      <c r="A1983" s="18" t="b">
        <f t="array" ref="A1983">IF(G1983='Room Info'!$B$1, INDEX('Room Info'!$A$2:$A2446, MATCH(B1983,'Room Info'!$B$2:$B2446, 0)),IF(G1983='Room Info'!$C$1, INDEX('Room Info'!$A$2:$A2446, MATCH(B1983,'Room Info'!$C$2:$C2446, 0)),IF(G1983='Room Info'!$D$1, INDEX('Room Info'!$A$2:$A2446, MATCH(B1983,'Room Info'!$D$2:$D2446, 0)),IF(G1983='Room Info'!$E$1, INDEX('Room Info'!$A$2:$A2446, MATCH(B1983,'Room Info'!$E$2:$E2446, 0)),IF(G1983='Room Info'!$F$1, INDEX('Room Info'!$A$2:$A2446, MATCH(B1983,'Room Info'!$F$2:$F2446, 0)),IF(G1983='Room Info'!$H$1, INDEX('Room Info'!$A$2:$A2446, MATCH(B1983,'Room Info'!$H$2:$H2446, 0)),IF(G1983='Room Info'!$G$1, INDEX('Room Info'!$A$2:$A2446, MATCH(B1983,'Room Info'!$G$2:$G2446, 0)))))))))</f>
        <v>0</v>
      </c>
      <c r="B1983" s="96"/>
      <c r="C1983" s="136"/>
      <c r="D1983" s="136"/>
      <c r="E1983" s="137"/>
      <c r="F1983" s="96"/>
      <c r="G1983" s="65"/>
      <c r="H1983" s="100"/>
      <c r="I1983" s="100"/>
      <c r="J1983" s="39" t="s">
        <v>334</v>
      </c>
      <c r="K1983" s="134"/>
      <c r="L1983" s="135"/>
      <c r="M1983" s="79"/>
      <c r="N1983" s="28" t="e">
        <f t="shared" si="8"/>
        <v>#VALUE!</v>
      </c>
      <c r="O1983" s="96"/>
      <c r="P1983" s="29" t="s">
        <v>334</v>
      </c>
      <c r="Q1983" s="55"/>
      <c r="R1983" s="31" t="e">
        <f t="shared" si="9"/>
        <v>#VALUE!</v>
      </c>
      <c r="S1983" s="97"/>
      <c r="T1983" s="32" t="e">
        <f t="shared" si="10"/>
        <v>#VALUE!</v>
      </c>
      <c r="U1983" s="57"/>
      <c r="V1983" s="58"/>
      <c r="W1983" s="58"/>
      <c r="X1983" s="30" t="e">
        <f t="shared" si="11"/>
        <v>#N/A</v>
      </c>
      <c r="Y1983" s="30" t="e">
        <f t="shared" si="12"/>
        <v>#N/A</v>
      </c>
      <c r="Z1983" s="35" t="e">
        <f t="shared" si="13"/>
        <v>#VALUE!</v>
      </c>
      <c r="AA1983" s="29" t="e">
        <f t="shared" si="14"/>
        <v>#VALUE!</v>
      </c>
      <c r="AB1983" s="36" t="e">
        <f t="shared" si="15"/>
        <v>#VALUE!</v>
      </c>
      <c r="AC1983" s="37" t="b">
        <v>0</v>
      </c>
      <c r="AD1983" s="61" t="str">
        <f t="shared" si="16"/>
        <v>USD</v>
      </c>
      <c r="AE1983" s="37"/>
      <c r="AF1983" s="37" t="e">
        <f t="array" ref="AF1983">INDEX('Deal Info'!D:D, MATCH(A1983,'Deal Info'!A:A, 0))</f>
        <v>#N/A</v>
      </c>
      <c r="AG1983" s="38" t="e">
        <f t="array" ref="AG1983">INDEX('Deal Info'!G:G, MATCH(A1983,'Deal Info'!A:A, 0))</f>
        <v>#N/A</v>
      </c>
    </row>
    <row r="1984" spans="1:33" ht="14.25" hidden="1" x14ac:dyDescent="0.2">
      <c r="A1984" s="18" t="b">
        <f t="array" ref="A1984">IF(G1984='Room Info'!$B$1, INDEX('Room Info'!$A$2:$A2446, MATCH(B1984,'Room Info'!$B$2:$B2446, 0)),IF(G1984='Room Info'!$C$1, INDEX('Room Info'!$A$2:$A2446, MATCH(B1984,'Room Info'!$C$2:$C2446, 0)),IF(G1984='Room Info'!$D$1, INDEX('Room Info'!$A$2:$A2446, MATCH(B1984,'Room Info'!$D$2:$D2446, 0)),IF(G1984='Room Info'!$E$1, INDEX('Room Info'!$A$2:$A2446, MATCH(B1984,'Room Info'!$E$2:$E2446, 0)),IF(G1984='Room Info'!$F$1, INDEX('Room Info'!$A$2:$A2446, MATCH(B1984,'Room Info'!$F$2:$F2446, 0)),IF(G1984='Room Info'!$H$1, INDEX('Room Info'!$A$2:$A2446, MATCH(B1984,'Room Info'!$H$2:$H2446, 0)),IF(G1984='Room Info'!$G$1, INDEX('Room Info'!$A$2:$A2446, MATCH(B1984,'Room Info'!$G$2:$G2446, 0)))))))))</f>
        <v>0</v>
      </c>
      <c r="B1984" s="96"/>
      <c r="C1984" s="136"/>
      <c r="D1984" s="136"/>
      <c r="E1984" s="137"/>
      <c r="F1984" s="96"/>
      <c r="G1984" s="65"/>
      <c r="H1984" s="100"/>
      <c r="I1984" s="100"/>
      <c r="J1984" s="39" t="s">
        <v>334</v>
      </c>
      <c r="K1984" s="134"/>
      <c r="L1984" s="135"/>
      <c r="M1984" s="79"/>
      <c r="N1984" s="28" t="e">
        <f t="shared" si="8"/>
        <v>#VALUE!</v>
      </c>
      <c r="O1984" s="96"/>
      <c r="P1984" s="29" t="s">
        <v>334</v>
      </c>
      <c r="Q1984" s="55"/>
      <c r="R1984" s="31" t="e">
        <f t="shared" si="9"/>
        <v>#VALUE!</v>
      </c>
      <c r="S1984" s="97"/>
      <c r="T1984" s="32" t="e">
        <f t="shared" si="10"/>
        <v>#VALUE!</v>
      </c>
      <c r="U1984" s="57"/>
      <c r="V1984" s="58"/>
      <c r="W1984" s="58"/>
      <c r="X1984" s="30" t="e">
        <f t="shared" si="11"/>
        <v>#N/A</v>
      </c>
      <c r="Y1984" s="30" t="e">
        <f t="shared" si="12"/>
        <v>#N/A</v>
      </c>
      <c r="Z1984" s="35" t="e">
        <f t="shared" si="13"/>
        <v>#VALUE!</v>
      </c>
      <c r="AA1984" s="29" t="e">
        <f t="shared" si="14"/>
        <v>#VALUE!</v>
      </c>
      <c r="AB1984" s="36" t="e">
        <f t="shared" si="15"/>
        <v>#VALUE!</v>
      </c>
      <c r="AC1984" s="37" t="b">
        <v>0</v>
      </c>
      <c r="AD1984" s="61" t="str">
        <f t="shared" si="16"/>
        <v>USD</v>
      </c>
      <c r="AE1984" s="37"/>
      <c r="AF1984" s="37" t="e">
        <f t="array" ref="AF1984">INDEX('Deal Info'!D:D, MATCH(A1984,'Deal Info'!A:A, 0))</f>
        <v>#N/A</v>
      </c>
      <c r="AG1984" s="38" t="e">
        <f t="array" ref="AG1984">INDEX('Deal Info'!G:G, MATCH(A1984,'Deal Info'!A:A, 0))</f>
        <v>#N/A</v>
      </c>
    </row>
    <row r="1985" spans="1:33" ht="14.25" hidden="1" x14ac:dyDescent="0.2">
      <c r="A1985" s="18" t="b">
        <f t="array" ref="A1985">IF(G1985='Room Info'!$B$1, INDEX('Room Info'!$A$2:$A2446, MATCH(B1985,'Room Info'!$B$2:$B2446, 0)),IF(G1985='Room Info'!$C$1, INDEX('Room Info'!$A$2:$A2446, MATCH(B1985,'Room Info'!$C$2:$C2446, 0)),IF(G1985='Room Info'!$D$1, INDEX('Room Info'!$A$2:$A2446, MATCH(B1985,'Room Info'!$D$2:$D2446, 0)),IF(G1985='Room Info'!$E$1, INDEX('Room Info'!$A$2:$A2446, MATCH(B1985,'Room Info'!$E$2:$E2446, 0)),IF(G1985='Room Info'!$F$1, INDEX('Room Info'!$A$2:$A2446, MATCH(B1985,'Room Info'!$F$2:$F2446, 0)),IF(G1985='Room Info'!$H$1, INDEX('Room Info'!$A$2:$A2446, MATCH(B1985,'Room Info'!$H$2:$H2446, 0)),IF(G1985='Room Info'!$G$1, INDEX('Room Info'!$A$2:$A2446, MATCH(B1985,'Room Info'!$G$2:$G2446, 0)))))))))</f>
        <v>0</v>
      </c>
      <c r="B1985" s="96"/>
      <c r="C1985" s="111"/>
      <c r="D1985" s="111"/>
      <c r="E1985" s="80"/>
      <c r="F1985" s="133"/>
      <c r="G1985" s="65"/>
      <c r="H1985" s="110"/>
      <c r="I1985" s="110"/>
      <c r="J1985" s="39" t="s">
        <v>334</v>
      </c>
      <c r="K1985" s="112"/>
      <c r="L1985" s="113"/>
      <c r="M1985" s="62"/>
      <c r="N1985" s="28" t="e">
        <f t="shared" si="8"/>
        <v>#VALUE!</v>
      </c>
      <c r="O1985" s="65"/>
      <c r="P1985" s="29" t="s">
        <v>334</v>
      </c>
      <c r="Q1985" s="55"/>
      <c r="R1985" s="31" t="e">
        <f t="shared" si="9"/>
        <v>#VALUE!</v>
      </c>
      <c r="S1985" s="66"/>
      <c r="T1985" s="32" t="e">
        <f t="shared" si="10"/>
        <v>#VALUE!</v>
      </c>
      <c r="U1985" s="57"/>
      <c r="V1985" s="58"/>
      <c r="W1985" s="58"/>
      <c r="X1985" s="30" t="e">
        <f t="shared" si="11"/>
        <v>#N/A</v>
      </c>
      <c r="Y1985" s="30" t="e">
        <f t="shared" si="12"/>
        <v>#N/A</v>
      </c>
      <c r="Z1985" s="35" t="e">
        <f t="shared" si="13"/>
        <v>#VALUE!</v>
      </c>
      <c r="AA1985" s="29" t="e">
        <f t="shared" si="14"/>
        <v>#VALUE!</v>
      </c>
      <c r="AB1985" s="36" t="e">
        <f t="shared" si="15"/>
        <v>#VALUE!</v>
      </c>
      <c r="AC1985" s="37" t="b">
        <v>0</v>
      </c>
      <c r="AD1985" s="61" t="str">
        <f t="shared" si="16"/>
        <v>USD</v>
      </c>
      <c r="AE1985" s="37"/>
      <c r="AF1985" s="37" t="e">
        <f t="array" ref="AF1985">INDEX('Deal Info'!D:D, MATCH(A1985,'Deal Info'!A:A, 0))</f>
        <v>#N/A</v>
      </c>
      <c r="AG1985" s="38" t="e">
        <f t="array" ref="AG1985">INDEX('Deal Info'!G:G, MATCH(A1985,'Deal Info'!A:A, 0))</f>
        <v>#N/A</v>
      </c>
    </row>
    <row r="1986" spans="1:33" ht="14.25" hidden="1" x14ac:dyDescent="0.2">
      <c r="A1986" s="18" t="b">
        <f t="array" ref="A1986">IF(G1986='Room Info'!$B$1, INDEX('Room Info'!$A$2:$A2446, MATCH(B1986,'Room Info'!$B$2:$B2446, 0)),IF(G1986='Room Info'!$C$1, INDEX('Room Info'!$A$2:$A2446, MATCH(B1986,'Room Info'!$C$2:$C2446, 0)),IF(G1986='Room Info'!$D$1, INDEX('Room Info'!$A$2:$A2446, MATCH(B1986,'Room Info'!$D$2:$D2446, 0)),IF(G1986='Room Info'!$E$1, INDEX('Room Info'!$A$2:$A2446, MATCH(B1986,'Room Info'!$E$2:$E2446, 0)),IF(G1986='Room Info'!$F$1, INDEX('Room Info'!$A$2:$A2446, MATCH(B1986,'Room Info'!$F$2:$F2446, 0)),IF(G1986='Room Info'!$H$1, INDEX('Room Info'!$A$2:$A2446, MATCH(B1986,'Room Info'!$H$2:$H2446, 0)),IF(G1986='Room Info'!$G$1, INDEX('Room Info'!$A$2:$A2446, MATCH(B1986,'Room Info'!$G$2:$G2446, 0)))))))))</f>
        <v>0</v>
      </c>
      <c r="B1986" s="96"/>
      <c r="C1986" s="111"/>
      <c r="D1986" s="111"/>
      <c r="E1986" s="80"/>
      <c r="F1986" s="133"/>
      <c r="G1986" s="65"/>
      <c r="H1986" s="110"/>
      <c r="I1986" s="110"/>
      <c r="J1986" s="39" t="s">
        <v>334</v>
      </c>
      <c r="K1986" s="112"/>
      <c r="L1986" s="113"/>
      <c r="M1986" s="62"/>
      <c r="N1986" s="28" t="e">
        <f t="shared" si="8"/>
        <v>#VALUE!</v>
      </c>
      <c r="O1986" s="65"/>
      <c r="P1986" s="29" t="s">
        <v>334</v>
      </c>
      <c r="Q1986" s="55"/>
      <c r="R1986" s="31" t="e">
        <f t="shared" si="9"/>
        <v>#VALUE!</v>
      </c>
      <c r="S1986" s="66"/>
      <c r="T1986" s="32" t="e">
        <f t="shared" si="10"/>
        <v>#VALUE!</v>
      </c>
      <c r="U1986" s="57"/>
      <c r="V1986" s="58"/>
      <c r="W1986" s="58"/>
      <c r="X1986" s="30" t="e">
        <f t="shared" si="11"/>
        <v>#N/A</v>
      </c>
      <c r="Y1986" s="30" t="e">
        <f t="shared" si="12"/>
        <v>#N/A</v>
      </c>
      <c r="Z1986" s="35" t="e">
        <f t="shared" si="13"/>
        <v>#VALUE!</v>
      </c>
      <c r="AA1986" s="29" t="e">
        <f t="shared" si="14"/>
        <v>#VALUE!</v>
      </c>
      <c r="AB1986" s="36" t="e">
        <f t="shared" si="15"/>
        <v>#VALUE!</v>
      </c>
      <c r="AC1986" s="37" t="b">
        <v>0</v>
      </c>
      <c r="AD1986" s="61" t="str">
        <f t="shared" si="16"/>
        <v>USD</v>
      </c>
      <c r="AE1986" s="37"/>
      <c r="AF1986" s="37" t="e">
        <f t="array" ref="AF1986">INDEX('Deal Info'!D:D, MATCH(A1986,'Deal Info'!A:A, 0))</f>
        <v>#N/A</v>
      </c>
      <c r="AG1986" s="38" t="e">
        <f t="array" ref="AG1986">INDEX('Deal Info'!G:G, MATCH(A1986,'Deal Info'!A:A, 0))</f>
        <v>#N/A</v>
      </c>
    </row>
    <row r="1987" spans="1:33" ht="14.25" hidden="1" x14ac:dyDescent="0.2">
      <c r="A1987" s="18" t="b">
        <f t="array" ref="A1987">IF(G1987='Room Info'!$B$1, INDEX('Room Info'!$A$2:$A2446, MATCH(B1987,'Room Info'!$B$2:$B2446, 0)),IF(G1987='Room Info'!$C$1, INDEX('Room Info'!$A$2:$A2446, MATCH(B1987,'Room Info'!$C$2:$C2446, 0)),IF(G1987='Room Info'!$D$1, INDEX('Room Info'!$A$2:$A2446, MATCH(B1987,'Room Info'!$D$2:$D2446, 0)),IF(G1987='Room Info'!$E$1, INDEX('Room Info'!$A$2:$A2446, MATCH(B1987,'Room Info'!$E$2:$E2446, 0)),IF(G1987='Room Info'!$F$1, INDEX('Room Info'!$A$2:$A2446, MATCH(B1987,'Room Info'!$F$2:$F2446, 0)),IF(G1987='Room Info'!$H$1, INDEX('Room Info'!$A$2:$A2446, MATCH(B1987,'Room Info'!$H$2:$H2446, 0)),IF(G1987='Room Info'!$G$1, INDEX('Room Info'!$A$2:$A2446, MATCH(B1987,'Room Info'!$G$2:$G2446, 0)))))))))</f>
        <v>0</v>
      </c>
      <c r="B1987" s="96"/>
      <c r="C1987" s="136"/>
      <c r="D1987" s="136"/>
      <c r="E1987" s="137"/>
      <c r="F1987" s="133"/>
      <c r="G1987" s="96"/>
      <c r="H1987" s="100"/>
      <c r="I1987" s="100"/>
      <c r="J1987" s="39" t="s">
        <v>334</v>
      </c>
      <c r="K1987" s="134"/>
      <c r="L1987" s="135"/>
      <c r="M1987" s="79"/>
      <c r="N1987" s="28" t="e">
        <f t="shared" si="8"/>
        <v>#VALUE!</v>
      </c>
      <c r="O1987" s="96"/>
      <c r="P1987" s="29" t="s">
        <v>334</v>
      </c>
      <c r="Q1987" s="55"/>
      <c r="R1987" s="31" t="e">
        <f t="shared" si="9"/>
        <v>#VALUE!</v>
      </c>
      <c r="S1987" s="97"/>
      <c r="T1987" s="32" t="e">
        <f t="shared" si="10"/>
        <v>#VALUE!</v>
      </c>
      <c r="U1987" s="57"/>
      <c r="V1987" s="58"/>
      <c r="W1987" s="58"/>
      <c r="X1987" s="30" t="e">
        <f t="shared" si="11"/>
        <v>#N/A</v>
      </c>
      <c r="Y1987" s="30" t="e">
        <f t="shared" si="12"/>
        <v>#N/A</v>
      </c>
      <c r="Z1987" s="35" t="e">
        <f t="shared" si="13"/>
        <v>#VALUE!</v>
      </c>
      <c r="AA1987" s="29" t="e">
        <f t="shared" si="14"/>
        <v>#VALUE!</v>
      </c>
      <c r="AB1987" s="36" t="e">
        <f t="shared" si="15"/>
        <v>#VALUE!</v>
      </c>
      <c r="AC1987" s="37" t="b">
        <v>0</v>
      </c>
      <c r="AD1987" s="61" t="str">
        <f t="shared" si="16"/>
        <v>USD</v>
      </c>
      <c r="AE1987" s="37"/>
      <c r="AF1987" s="37" t="e">
        <f t="array" ref="AF1987">INDEX('Deal Info'!D:D, MATCH(A1987,'Deal Info'!A:A, 0))</f>
        <v>#N/A</v>
      </c>
      <c r="AG1987" s="38" t="e">
        <f t="array" ref="AG1987">INDEX('Deal Info'!G:G, MATCH(A1987,'Deal Info'!A:A, 0))</f>
        <v>#N/A</v>
      </c>
    </row>
    <row r="1988" spans="1:33" ht="14.25" hidden="1" x14ac:dyDescent="0.2">
      <c r="A1988" s="18" t="b">
        <f t="array" ref="A1988">IF(G1988='Room Info'!$B$1, INDEX('Room Info'!$A$2:$A2446, MATCH(B1988,'Room Info'!$B$2:$B2446, 0)),IF(G1988='Room Info'!$C$1, INDEX('Room Info'!$A$2:$A2446, MATCH(B1988,'Room Info'!$C$2:$C2446, 0)),IF(G1988='Room Info'!$D$1, INDEX('Room Info'!$A$2:$A2446, MATCH(B1988,'Room Info'!$D$2:$D2446, 0)),IF(G1988='Room Info'!$E$1, INDEX('Room Info'!$A$2:$A2446, MATCH(B1988,'Room Info'!$E$2:$E2446, 0)),IF(G1988='Room Info'!$F$1, INDEX('Room Info'!$A$2:$A2446, MATCH(B1988,'Room Info'!$F$2:$F2446, 0)),IF(G1988='Room Info'!$H$1, INDEX('Room Info'!$A$2:$A2446, MATCH(B1988,'Room Info'!$H$2:$H2446, 0)),IF(G1988='Room Info'!$G$1, INDEX('Room Info'!$A$2:$A2446, MATCH(B1988,'Room Info'!$G$2:$G2446, 0)))))))))</f>
        <v>0</v>
      </c>
      <c r="B1988" s="96"/>
      <c r="C1988" s="136"/>
      <c r="D1988" s="136"/>
      <c r="E1988" s="137"/>
      <c r="F1988" s="133"/>
      <c r="G1988" s="96"/>
      <c r="H1988" s="100"/>
      <c r="I1988" s="100"/>
      <c r="J1988" s="39" t="s">
        <v>334</v>
      </c>
      <c r="K1988" s="134"/>
      <c r="L1988" s="135"/>
      <c r="M1988" s="79"/>
      <c r="N1988" s="28" t="e">
        <f t="shared" si="8"/>
        <v>#VALUE!</v>
      </c>
      <c r="O1988" s="96"/>
      <c r="P1988" s="29" t="s">
        <v>334</v>
      </c>
      <c r="Q1988" s="55"/>
      <c r="R1988" s="31" t="e">
        <f t="shared" si="9"/>
        <v>#VALUE!</v>
      </c>
      <c r="S1988" s="97"/>
      <c r="T1988" s="32" t="e">
        <f t="shared" si="10"/>
        <v>#VALUE!</v>
      </c>
      <c r="U1988" s="57"/>
      <c r="V1988" s="58"/>
      <c r="W1988" s="58"/>
      <c r="X1988" s="30" t="e">
        <f t="shared" si="11"/>
        <v>#N/A</v>
      </c>
      <c r="Y1988" s="30" t="e">
        <f t="shared" si="12"/>
        <v>#N/A</v>
      </c>
      <c r="Z1988" s="35" t="e">
        <f t="shared" si="13"/>
        <v>#VALUE!</v>
      </c>
      <c r="AA1988" s="29" t="e">
        <f t="shared" si="14"/>
        <v>#VALUE!</v>
      </c>
      <c r="AB1988" s="36" t="e">
        <f t="shared" si="15"/>
        <v>#VALUE!</v>
      </c>
      <c r="AC1988" s="37" t="b">
        <v>0</v>
      </c>
      <c r="AD1988" s="61" t="str">
        <f t="shared" si="16"/>
        <v>USD</v>
      </c>
      <c r="AE1988" s="37"/>
      <c r="AF1988" s="37" t="e">
        <f t="array" ref="AF1988">INDEX('Deal Info'!D:D, MATCH(A1988,'Deal Info'!A:A, 0))</f>
        <v>#N/A</v>
      </c>
      <c r="AG1988" s="38" t="e">
        <f t="array" ref="AG1988">INDEX('Deal Info'!G:G, MATCH(A1988,'Deal Info'!A:A, 0))</f>
        <v>#N/A</v>
      </c>
    </row>
    <row r="1989" spans="1:33" ht="14.25" hidden="1" x14ac:dyDescent="0.2">
      <c r="A1989" s="18" t="b">
        <f t="array" ref="A1989">IF(G1989='Room Info'!$B$1, INDEX('Room Info'!$A$2:$A2446, MATCH(B1989,'Room Info'!$B$2:$B2446, 0)),IF(G1989='Room Info'!$C$1, INDEX('Room Info'!$A$2:$A2446, MATCH(B1989,'Room Info'!$C$2:$C2446, 0)),IF(G1989='Room Info'!$D$1, INDEX('Room Info'!$A$2:$A2446, MATCH(B1989,'Room Info'!$D$2:$D2446, 0)),IF(G1989='Room Info'!$E$1, INDEX('Room Info'!$A$2:$A2446, MATCH(B1989,'Room Info'!$E$2:$E2446, 0)),IF(G1989='Room Info'!$F$1, INDEX('Room Info'!$A$2:$A2446, MATCH(B1989,'Room Info'!$F$2:$F2446, 0)),IF(G1989='Room Info'!$H$1, INDEX('Room Info'!$A$2:$A2446, MATCH(B1989,'Room Info'!$H$2:$H2446, 0)),IF(G1989='Room Info'!$G$1, INDEX('Room Info'!$A$2:$A2446, MATCH(B1989,'Room Info'!$G$2:$G2446, 0)))))))))</f>
        <v>0</v>
      </c>
      <c r="B1989" s="96"/>
      <c r="C1989" s="111"/>
      <c r="D1989" s="111"/>
      <c r="E1989" s="80"/>
      <c r="F1989" s="96"/>
      <c r="G1989" s="65"/>
      <c r="H1989" s="110"/>
      <c r="I1989" s="110"/>
      <c r="J1989" s="39" t="s">
        <v>334</v>
      </c>
      <c r="K1989" s="112"/>
      <c r="L1989" s="113"/>
      <c r="M1989" s="62"/>
      <c r="N1989" s="28" t="e">
        <f t="shared" si="8"/>
        <v>#VALUE!</v>
      </c>
      <c r="O1989" s="65"/>
      <c r="P1989" s="29" t="s">
        <v>334</v>
      </c>
      <c r="Q1989" s="55"/>
      <c r="R1989" s="31" t="e">
        <f t="shared" si="9"/>
        <v>#VALUE!</v>
      </c>
      <c r="S1989" s="66"/>
      <c r="T1989" s="32" t="e">
        <f t="shared" si="10"/>
        <v>#VALUE!</v>
      </c>
      <c r="U1989" s="57"/>
      <c r="V1989" s="58"/>
      <c r="W1989" s="58"/>
      <c r="X1989" s="30" t="e">
        <f t="shared" si="11"/>
        <v>#N/A</v>
      </c>
      <c r="Y1989" s="30" t="e">
        <f t="shared" si="12"/>
        <v>#N/A</v>
      </c>
      <c r="Z1989" s="35" t="e">
        <f t="shared" si="13"/>
        <v>#VALUE!</v>
      </c>
      <c r="AA1989" s="29" t="e">
        <f t="shared" si="14"/>
        <v>#VALUE!</v>
      </c>
      <c r="AB1989" s="36" t="e">
        <f t="shared" si="15"/>
        <v>#VALUE!</v>
      </c>
      <c r="AC1989" s="37" t="b">
        <v>0</v>
      </c>
      <c r="AD1989" s="61" t="str">
        <f t="shared" si="16"/>
        <v>USD</v>
      </c>
      <c r="AE1989" s="37"/>
      <c r="AF1989" s="37" t="e">
        <f t="array" ref="AF1989">INDEX('Deal Info'!D:D, MATCH(A1989,'Deal Info'!A:A, 0))</f>
        <v>#N/A</v>
      </c>
      <c r="AG1989" s="38" t="e">
        <f t="array" ref="AG1989">INDEX('Deal Info'!G:G, MATCH(A1989,'Deal Info'!A:A, 0))</f>
        <v>#N/A</v>
      </c>
    </row>
    <row r="1990" spans="1:33" ht="14.25" hidden="1" x14ac:dyDescent="0.2">
      <c r="A1990" s="18" t="b">
        <f t="array" ref="A1990">IF(G1990='Room Info'!$B$1, INDEX('Room Info'!$A$2:$A2446, MATCH(B1990,'Room Info'!$B$2:$B2446, 0)),IF(G1990='Room Info'!$C$1, INDEX('Room Info'!$A$2:$A2446, MATCH(B1990,'Room Info'!$C$2:$C2446, 0)),IF(G1990='Room Info'!$D$1, INDEX('Room Info'!$A$2:$A2446, MATCH(B1990,'Room Info'!$D$2:$D2446, 0)),IF(G1990='Room Info'!$E$1, INDEX('Room Info'!$A$2:$A2446, MATCH(B1990,'Room Info'!$E$2:$E2446, 0)),IF(G1990='Room Info'!$F$1, INDEX('Room Info'!$A$2:$A2446, MATCH(B1990,'Room Info'!$F$2:$F2446, 0)),IF(G1990='Room Info'!$H$1, INDEX('Room Info'!$A$2:$A2446, MATCH(B1990,'Room Info'!$H$2:$H2446, 0)),IF(G1990='Room Info'!$G$1, INDEX('Room Info'!$A$2:$A2446, MATCH(B1990,'Room Info'!$G$2:$G2446, 0)))))))))</f>
        <v>0</v>
      </c>
      <c r="B1990" s="96"/>
      <c r="C1990" s="111"/>
      <c r="D1990" s="111"/>
      <c r="E1990" s="80"/>
      <c r="F1990" s="96"/>
      <c r="G1990" s="65"/>
      <c r="H1990" s="110"/>
      <c r="I1990" s="110"/>
      <c r="J1990" s="39" t="s">
        <v>334</v>
      </c>
      <c r="K1990" s="112"/>
      <c r="L1990" s="113"/>
      <c r="M1990" s="62"/>
      <c r="N1990" s="28" t="e">
        <f t="shared" si="8"/>
        <v>#VALUE!</v>
      </c>
      <c r="O1990" s="65"/>
      <c r="P1990" s="29" t="s">
        <v>334</v>
      </c>
      <c r="Q1990" s="55"/>
      <c r="R1990" s="31" t="e">
        <f t="shared" si="9"/>
        <v>#VALUE!</v>
      </c>
      <c r="S1990" s="66"/>
      <c r="T1990" s="32" t="e">
        <f t="shared" si="10"/>
        <v>#VALUE!</v>
      </c>
      <c r="U1990" s="57"/>
      <c r="V1990" s="58"/>
      <c r="W1990" s="58"/>
      <c r="X1990" s="30" t="e">
        <f t="shared" si="11"/>
        <v>#N/A</v>
      </c>
      <c r="Y1990" s="30" t="e">
        <f t="shared" si="12"/>
        <v>#N/A</v>
      </c>
      <c r="Z1990" s="35" t="e">
        <f t="shared" si="13"/>
        <v>#VALUE!</v>
      </c>
      <c r="AA1990" s="29" t="e">
        <f t="shared" si="14"/>
        <v>#VALUE!</v>
      </c>
      <c r="AB1990" s="36" t="e">
        <f t="shared" si="15"/>
        <v>#VALUE!</v>
      </c>
      <c r="AC1990" s="37" t="b">
        <v>0</v>
      </c>
      <c r="AD1990" s="61" t="str">
        <f t="shared" si="16"/>
        <v>USD</v>
      </c>
      <c r="AE1990" s="37"/>
      <c r="AF1990" s="37" t="e">
        <f t="array" ref="AF1990">INDEX('Deal Info'!D:D, MATCH(A1990,'Deal Info'!A:A, 0))</f>
        <v>#N/A</v>
      </c>
      <c r="AG1990" s="38" t="e">
        <f t="array" ref="AG1990">INDEX('Deal Info'!G:G, MATCH(A1990,'Deal Info'!A:A, 0))</f>
        <v>#N/A</v>
      </c>
    </row>
    <row r="1991" spans="1:33" ht="14.25" hidden="1" x14ac:dyDescent="0.2">
      <c r="A1991" s="18" t="b">
        <f t="array" ref="A1991">IF(G1991='Room Info'!$B$1, INDEX('Room Info'!$A$2:$A2446, MATCH(B1991,'Room Info'!$B$2:$B2446, 0)),IF(G1991='Room Info'!$C$1, INDEX('Room Info'!$A$2:$A2446, MATCH(B1991,'Room Info'!$C$2:$C2446, 0)),IF(G1991='Room Info'!$D$1, INDEX('Room Info'!$A$2:$A2446, MATCH(B1991,'Room Info'!$D$2:$D2446, 0)),IF(G1991='Room Info'!$E$1, INDEX('Room Info'!$A$2:$A2446, MATCH(B1991,'Room Info'!$E$2:$E2446, 0)),IF(G1991='Room Info'!$F$1, INDEX('Room Info'!$A$2:$A2446, MATCH(B1991,'Room Info'!$F$2:$F2446, 0)),IF(G1991='Room Info'!$H$1, INDEX('Room Info'!$A$2:$A2446, MATCH(B1991,'Room Info'!$H$2:$H2446, 0)),IF(G1991='Room Info'!$G$1, INDEX('Room Info'!$A$2:$A2446, MATCH(B1991,'Room Info'!$G$2:$G2446, 0)))))))))</f>
        <v>0</v>
      </c>
      <c r="B1991" s="96"/>
      <c r="C1991" s="111"/>
      <c r="D1991" s="111"/>
      <c r="E1991" s="80"/>
      <c r="F1991" s="96"/>
      <c r="G1991" s="65"/>
      <c r="H1991" s="110"/>
      <c r="I1991" s="110"/>
      <c r="J1991" s="39" t="s">
        <v>334</v>
      </c>
      <c r="K1991" s="112"/>
      <c r="L1991" s="113"/>
      <c r="M1991" s="62"/>
      <c r="N1991" s="28" t="e">
        <f t="shared" si="8"/>
        <v>#VALUE!</v>
      </c>
      <c r="O1991" s="65"/>
      <c r="P1991" s="29" t="s">
        <v>334</v>
      </c>
      <c r="Q1991" s="55"/>
      <c r="R1991" s="31" t="e">
        <f t="shared" si="9"/>
        <v>#VALUE!</v>
      </c>
      <c r="S1991" s="66"/>
      <c r="T1991" s="32" t="e">
        <f t="shared" si="10"/>
        <v>#VALUE!</v>
      </c>
      <c r="U1991" s="57"/>
      <c r="V1991" s="58"/>
      <c r="W1991" s="58"/>
      <c r="X1991" s="30" t="e">
        <f t="shared" si="11"/>
        <v>#N/A</v>
      </c>
      <c r="Y1991" s="30" t="e">
        <f t="shared" si="12"/>
        <v>#N/A</v>
      </c>
      <c r="Z1991" s="35" t="e">
        <f t="shared" si="13"/>
        <v>#VALUE!</v>
      </c>
      <c r="AA1991" s="29" t="e">
        <f t="shared" si="14"/>
        <v>#VALUE!</v>
      </c>
      <c r="AB1991" s="36" t="e">
        <f t="shared" si="15"/>
        <v>#VALUE!</v>
      </c>
      <c r="AC1991" s="37" t="b">
        <v>0</v>
      </c>
      <c r="AD1991" s="61" t="str">
        <f t="shared" si="16"/>
        <v>USD</v>
      </c>
      <c r="AE1991" s="37"/>
      <c r="AF1991" s="37" t="e">
        <f t="array" ref="AF1991">INDEX('Deal Info'!D:D, MATCH(A1991,'Deal Info'!A:A, 0))</f>
        <v>#N/A</v>
      </c>
      <c r="AG1991" s="38" t="e">
        <f t="array" ref="AG1991">INDEX('Deal Info'!G:G, MATCH(A1991,'Deal Info'!A:A, 0))</f>
        <v>#N/A</v>
      </c>
    </row>
    <row r="1992" spans="1:33" ht="14.25" hidden="1" x14ac:dyDescent="0.2">
      <c r="A1992" s="18" t="b">
        <f t="array" ref="A1992">IF(G1992='Room Info'!$B$1, INDEX('Room Info'!$A$2:$A2446, MATCH(B1992,'Room Info'!$B$2:$B2446, 0)),IF(G1992='Room Info'!$C$1, INDEX('Room Info'!$A$2:$A2446, MATCH(B1992,'Room Info'!$C$2:$C2446, 0)),IF(G1992='Room Info'!$D$1, INDEX('Room Info'!$A$2:$A2446, MATCH(B1992,'Room Info'!$D$2:$D2446, 0)),IF(G1992='Room Info'!$E$1, INDEX('Room Info'!$A$2:$A2446, MATCH(B1992,'Room Info'!$E$2:$E2446, 0)),IF(G1992='Room Info'!$F$1, INDEX('Room Info'!$A$2:$A2446, MATCH(B1992,'Room Info'!$F$2:$F2446, 0)),IF(G1992='Room Info'!$H$1, INDEX('Room Info'!$A$2:$A2446, MATCH(B1992,'Room Info'!$H$2:$H2446, 0)),IF(G1992='Room Info'!$G$1, INDEX('Room Info'!$A$2:$A2446, MATCH(B1992,'Room Info'!$G$2:$G2446, 0)))))))))</f>
        <v>0</v>
      </c>
      <c r="B1992" s="96"/>
      <c r="C1992" s="111"/>
      <c r="D1992" s="111"/>
      <c r="E1992" s="80"/>
      <c r="F1992" s="96"/>
      <c r="G1992" s="65"/>
      <c r="H1992" s="110"/>
      <c r="I1992" s="110"/>
      <c r="J1992" s="39" t="s">
        <v>334</v>
      </c>
      <c r="K1992" s="112"/>
      <c r="L1992" s="113"/>
      <c r="M1992" s="62"/>
      <c r="N1992" s="28" t="e">
        <f t="shared" si="8"/>
        <v>#VALUE!</v>
      </c>
      <c r="O1992" s="65"/>
      <c r="P1992" s="29" t="s">
        <v>334</v>
      </c>
      <c r="Q1992" s="55"/>
      <c r="R1992" s="31" t="e">
        <f t="shared" si="9"/>
        <v>#VALUE!</v>
      </c>
      <c r="S1992" s="66"/>
      <c r="T1992" s="32" t="e">
        <f t="shared" si="10"/>
        <v>#VALUE!</v>
      </c>
      <c r="U1992" s="57"/>
      <c r="V1992" s="58"/>
      <c r="W1992" s="58"/>
      <c r="X1992" s="30" t="e">
        <f t="shared" si="11"/>
        <v>#N/A</v>
      </c>
      <c r="Y1992" s="30" t="e">
        <f t="shared" si="12"/>
        <v>#N/A</v>
      </c>
      <c r="Z1992" s="35" t="e">
        <f t="shared" si="13"/>
        <v>#VALUE!</v>
      </c>
      <c r="AA1992" s="29" t="e">
        <f t="shared" si="14"/>
        <v>#VALUE!</v>
      </c>
      <c r="AB1992" s="36" t="e">
        <f t="shared" si="15"/>
        <v>#VALUE!</v>
      </c>
      <c r="AC1992" s="37" t="b">
        <v>0</v>
      </c>
      <c r="AD1992" s="61" t="str">
        <f t="shared" si="16"/>
        <v>USD</v>
      </c>
      <c r="AE1992" s="37"/>
      <c r="AF1992" s="37" t="e">
        <f t="array" ref="AF1992">INDEX('Deal Info'!D:D, MATCH(A1992,'Deal Info'!A:A, 0))</f>
        <v>#N/A</v>
      </c>
      <c r="AG1992" s="38" t="e">
        <f t="array" ref="AG1992">INDEX('Deal Info'!G:G, MATCH(A1992,'Deal Info'!A:A, 0))</f>
        <v>#N/A</v>
      </c>
    </row>
    <row r="1993" spans="1:33" ht="14.25" hidden="1" x14ac:dyDescent="0.2">
      <c r="A1993" s="18" t="b">
        <f t="array" ref="A1993">IF(G1993='Room Info'!$B$1, INDEX('Room Info'!$A$2:$A2446, MATCH(B1993,'Room Info'!$B$2:$B2446, 0)),IF(G1993='Room Info'!$C$1, INDEX('Room Info'!$A$2:$A2446, MATCH(B1993,'Room Info'!$C$2:$C2446, 0)),IF(G1993='Room Info'!$D$1, INDEX('Room Info'!$A$2:$A2446, MATCH(B1993,'Room Info'!$D$2:$D2446, 0)),IF(G1993='Room Info'!$E$1, INDEX('Room Info'!$A$2:$A2446, MATCH(B1993,'Room Info'!$E$2:$E2446, 0)),IF(G1993='Room Info'!$F$1, INDEX('Room Info'!$A$2:$A2446, MATCH(B1993,'Room Info'!$F$2:$F2446, 0)),IF(G1993='Room Info'!$H$1, INDEX('Room Info'!$A$2:$A2446, MATCH(B1993,'Room Info'!$H$2:$H2446, 0)),IF(G1993='Room Info'!$G$1, INDEX('Room Info'!$A$2:$A2446, MATCH(B1993,'Room Info'!$G$2:$G2446, 0)))))))))</f>
        <v>0</v>
      </c>
      <c r="B1993" s="96"/>
      <c r="C1993" s="111"/>
      <c r="D1993" s="111"/>
      <c r="E1993" s="80"/>
      <c r="F1993" s="96"/>
      <c r="G1993" s="65"/>
      <c r="H1993" s="110"/>
      <c r="I1993" s="110"/>
      <c r="J1993" s="39" t="s">
        <v>334</v>
      </c>
      <c r="K1993" s="112"/>
      <c r="L1993" s="113"/>
      <c r="M1993" s="62"/>
      <c r="N1993" s="28" t="e">
        <f t="shared" si="8"/>
        <v>#VALUE!</v>
      </c>
      <c r="O1993" s="65"/>
      <c r="P1993" s="29" t="s">
        <v>334</v>
      </c>
      <c r="Q1993" s="55"/>
      <c r="R1993" s="31" t="e">
        <f t="shared" si="9"/>
        <v>#VALUE!</v>
      </c>
      <c r="S1993" s="66"/>
      <c r="T1993" s="32" t="e">
        <f t="shared" si="10"/>
        <v>#VALUE!</v>
      </c>
      <c r="U1993" s="57"/>
      <c r="V1993" s="58"/>
      <c r="W1993" s="58"/>
      <c r="X1993" s="30" t="e">
        <f t="shared" si="11"/>
        <v>#N/A</v>
      </c>
      <c r="Y1993" s="30" t="e">
        <f t="shared" si="12"/>
        <v>#N/A</v>
      </c>
      <c r="Z1993" s="35" t="e">
        <f t="shared" si="13"/>
        <v>#VALUE!</v>
      </c>
      <c r="AA1993" s="29" t="e">
        <f t="shared" si="14"/>
        <v>#VALUE!</v>
      </c>
      <c r="AB1993" s="36" t="e">
        <f t="shared" si="15"/>
        <v>#VALUE!</v>
      </c>
      <c r="AC1993" s="37" t="b">
        <v>0</v>
      </c>
      <c r="AD1993" s="61" t="str">
        <f t="shared" si="16"/>
        <v>USD</v>
      </c>
      <c r="AE1993" s="37"/>
      <c r="AF1993" s="37" t="e">
        <f t="array" ref="AF1993">INDEX('Deal Info'!D:D, MATCH(A1993,'Deal Info'!A:A, 0))</f>
        <v>#N/A</v>
      </c>
      <c r="AG1993" s="38" t="e">
        <f t="array" ref="AG1993">INDEX('Deal Info'!G:G, MATCH(A1993,'Deal Info'!A:A, 0))</f>
        <v>#N/A</v>
      </c>
    </row>
    <row r="1994" spans="1:33" ht="14.25" hidden="1" x14ac:dyDescent="0.2">
      <c r="A1994" s="18" t="b">
        <f t="array" ref="A1994">IF(G1994='Room Info'!$B$1, INDEX('Room Info'!$A$2:$A2446, MATCH(B1994,'Room Info'!$B$2:$B2446, 0)),IF(G1994='Room Info'!$C$1, INDEX('Room Info'!$A$2:$A2446, MATCH(B1994,'Room Info'!$C$2:$C2446, 0)),IF(G1994='Room Info'!$D$1, INDEX('Room Info'!$A$2:$A2446, MATCH(B1994,'Room Info'!$D$2:$D2446, 0)),IF(G1994='Room Info'!$E$1, INDEX('Room Info'!$A$2:$A2446, MATCH(B1994,'Room Info'!$E$2:$E2446, 0)),IF(G1994='Room Info'!$F$1, INDEX('Room Info'!$A$2:$A2446, MATCH(B1994,'Room Info'!$F$2:$F2446, 0)),IF(G1994='Room Info'!$H$1, INDEX('Room Info'!$A$2:$A2446, MATCH(B1994,'Room Info'!$H$2:$H2446, 0)),IF(G1994='Room Info'!$G$1, INDEX('Room Info'!$A$2:$A2446, MATCH(B1994,'Room Info'!$G$2:$G2446, 0)))))))))</f>
        <v>0</v>
      </c>
      <c r="B1994" s="96"/>
      <c r="C1994" s="111"/>
      <c r="D1994" s="111"/>
      <c r="E1994" s="80"/>
      <c r="F1994" s="96"/>
      <c r="G1994" s="65"/>
      <c r="H1994" s="110"/>
      <c r="I1994" s="110"/>
      <c r="J1994" s="39" t="s">
        <v>334</v>
      </c>
      <c r="K1994" s="112"/>
      <c r="L1994" s="113"/>
      <c r="M1994" s="62"/>
      <c r="N1994" s="28" t="e">
        <f t="shared" si="8"/>
        <v>#VALUE!</v>
      </c>
      <c r="O1994" s="65"/>
      <c r="P1994" s="29" t="s">
        <v>334</v>
      </c>
      <c r="Q1994" s="55"/>
      <c r="R1994" s="31" t="e">
        <f t="shared" si="9"/>
        <v>#VALUE!</v>
      </c>
      <c r="S1994" s="66"/>
      <c r="T1994" s="32" t="e">
        <f t="shared" si="10"/>
        <v>#VALUE!</v>
      </c>
      <c r="U1994" s="57"/>
      <c r="V1994" s="58"/>
      <c r="W1994" s="58"/>
      <c r="X1994" s="30" t="e">
        <f t="shared" si="11"/>
        <v>#N/A</v>
      </c>
      <c r="Y1994" s="30" t="e">
        <f t="shared" si="12"/>
        <v>#N/A</v>
      </c>
      <c r="Z1994" s="35" t="e">
        <f t="shared" si="13"/>
        <v>#VALUE!</v>
      </c>
      <c r="AA1994" s="29" t="e">
        <f t="shared" si="14"/>
        <v>#VALUE!</v>
      </c>
      <c r="AB1994" s="36" t="e">
        <f t="shared" si="15"/>
        <v>#VALUE!</v>
      </c>
      <c r="AC1994" s="37" t="b">
        <v>0</v>
      </c>
      <c r="AD1994" s="61" t="str">
        <f t="shared" si="16"/>
        <v>USD</v>
      </c>
      <c r="AE1994" s="37"/>
      <c r="AF1994" s="37" t="e">
        <f t="array" ref="AF1994">INDEX('Deal Info'!D:D, MATCH(A1994,'Deal Info'!A:A, 0))</f>
        <v>#N/A</v>
      </c>
      <c r="AG1994" s="38" t="e">
        <f t="array" ref="AG1994">INDEX('Deal Info'!G:G, MATCH(A1994,'Deal Info'!A:A, 0))</f>
        <v>#N/A</v>
      </c>
    </row>
    <row r="1995" spans="1:33" ht="14.25" hidden="1" x14ac:dyDescent="0.2">
      <c r="A1995" s="18" t="b">
        <f t="array" ref="A1995">IF(G1995='Room Info'!$B$1, INDEX('Room Info'!$A$2:$A2446, MATCH(B1995,'Room Info'!$B$2:$B2446, 0)),IF(G1995='Room Info'!$C$1, INDEX('Room Info'!$A$2:$A2446, MATCH(B1995,'Room Info'!$C$2:$C2446, 0)),IF(G1995='Room Info'!$D$1, INDEX('Room Info'!$A$2:$A2446, MATCH(B1995,'Room Info'!$D$2:$D2446, 0)),IF(G1995='Room Info'!$E$1, INDEX('Room Info'!$A$2:$A2446, MATCH(B1995,'Room Info'!$E$2:$E2446, 0)),IF(G1995='Room Info'!$F$1, INDEX('Room Info'!$A$2:$A2446, MATCH(B1995,'Room Info'!$F$2:$F2446, 0)),IF(G1995='Room Info'!$H$1, INDEX('Room Info'!$A$2:$A2446, MATCH(B1995,'Room Info'!$H$2:$H2446, 0)),IF(G1995='Room Info'!$G$1, INDEX('Room Info'!$A$2:$A2446, MATCH(B1995,'Room Info'!$G$2:$G2446, 0)))))))))</f>
        <v>0</v>
      </c>
      <c r="B1995" s="96"/>
      <c r="C1995" s="111"/>
      <c r="D1995" s="111"/>
      <c r="E1995" s="80"/>
      <c r="F1995" s="133"/>
      <c r="G1995" s="96"/>
      <c r="H1995" s="100"/>
      <c r="I1995" s="100"/>
      <c r="J1995" s="39" t="s">
        <v>334</v>
      </c>
      <c r="K1995" s="112"/>
      <c r="L1995" s="113"/>
      <c r="M1995" s="62"/>
      <c r="N1995" s="28" t="e">
        <f t="shared" si="8"/>
        <v>#VALUE!</v>
      </c>
      <c r="O1995" s="65"/>
      <c r="P1995" s="29" t="s">
        <v>334</v>
      </c>
      <c r="Q1995" s="55"/>
      <c r="R1995" s="31" t="e">
        <f t="shared" si="9"/>
        <v>#VALUE!</v>
      </c>
      <c r="S1995" s="66"/>
      <c r="T1995" s="32" t="e">
        <f t="shared" si="10"/>
        <v>#VALUE!</v>
      </c>
      <c r="U1995" s="57"/>
      <c r="V1995" s="58"/>
      <c r="W1995" s="58"/>
      <c r="X1995" s="30" t="e">
        <f t="shared" si="11"/>
        <v>#N/A</v>
      </c>
      <c r="Y1995" s="30" t="e">
        <f t="shared" si="12"/>
        <v>#N/A</v>
      </c>
      <c r="Z1995" s="35" t="e">
        <f t="shared" si="13"/>
        <v>#VALUE!</v>
      </c>
      <c r="AA1995" s="29" t="e">
        <f t="shared" si="14"/>
        <v>#VALUE!</v>
      </c>
      <c r="AB1995" s="36" t="e">
        <f t="shared" si="15"/>
        <v>#VALUE!</v>
      </c>
      <c r="AC1995" s="37" t="b">
        <v>0</v>
      </c>
      <c r="AD1995" s="61" t="str">
        <f t="shared" si="16"/>
        <v>USD</v>
      </c>
      <c r="AE1995" s="37"/>
      <c r="AF1995" s="37" t="e">
        <f t="array" ref="AF1995">INDEX('Deal Info'!D:D, MATCH(A1995,'Deal Info'!A:A, 0))</f>
        <v>#N/A</v>
      </c>
      <c r="AG1995" s="38" t="e">
        <f t="array" ref="AG1995">INDEX('Deal Info'!G:G, MATCH(A1995,'Deal Info'!A:A, 0))</f>
        <v>#N/A</v>
      </c>
    </row>
    <row r="1996" spans="1:33" ht="14.25" hidden="1" x14ac:dyDescent="0.2">
      <c r="A1996" s="18" t="b">
        <f t="array" ref="A1996">IF(G1996='Room Info'!$B$1, INDEX('Room Info'!$A$2:$A2446, MATCH(B1996,'Room Info'!$B$2:$B2446, 0)),IF(G1996='Room Info'!$C$1, INDEX('Room Info'!$A$2:$A2446, MATCH(B1996,'Room Info'!$C$2:$C2446, 0)),IF(G1996='Room Info'!$D$1, INDEX('Room Info'!$A$2:$A2446, MATCH(B1996,'Room Info'!$D$2:$D2446, 0)),IF(G1996='Room Info'!$E$1, INDEX('Room Info'!$A$2:$A2446, MATCH(B1996,'Room Info'!$E$2:$E2446, 0)),IF(G1996='Room Info'!$F$1, INDEX('Room Info'!$A$2:$A2446, MATCH(B1996,'Room Info'!$F$2:$F2446, 0)),IF(G1996='Room Info'!$H$1, INDEX('Room Info'!$A$2:$A2446, MATCH(B1996,'Room Info'!$H$2:$H2446, 0)),IF(G1996='Room Info'!$G$1, INDEX('Room Info'!$A$2:$A2446, MATCH(B1996,'Room Info'!$G$2:$G2446, 0)))))))))</f>
        <v>0</v>
      </c>
      <c r="B1996" s="96"/>
      <c r="C1996" s="136"/>
      <c r="D1996" s="136"/>
      <c r="E1996" s="137"/>
      <c r="F1996" s="133"/>
      <c r="G1996" s="96"/>
      <c r="H1996" s="100"/>
      <c r="I1996" s="100"/>
      <c r="J1996" s="39" t="s">
        <v>334</v>
      </c>
      <c r="K1996" s="134"/>
      <c r="L1996" s="135"/>
      <c r="M1996" s="79"/>
      <c r="N1996" s="28" t="e">
        <f t="shared" si="8"/>
        <v>#VALUE!</v>
      </c>
      <c r="O1996" s="96"/>
      <c r="P1996" s="29" t="s">
        <v>334</v>
      </c>
      <c r="Q1996" s="55"/>
      <c r="R1996" s="31" t="e">
        <f t="shared" si="9"/>
        <v>#VALUE!</v>
      </c>
      <c r="S1996" s="97"/>
      <c r="T1996" s="32" t="e">
        <f t="shared" si="10"/>
        <v>#VALUE!</v>
      </c>
      <c r="U1996" s="57"/>
      <c r="V1996" s="58"/>
      <c r="W1996" s="58"/>
      <c r="X1996" s="30" t="e">
        <f t="shared" si="11"/>
        <v>#N/A</v>
      </c>
      <c r="Y1996" s="30" t="e">
        <f t="shared" si="12"/>
        <v>#N/A</v>
      </c>
      <c r="Z1996" s="35" t="e">
        <f t="shared" si="13"/>
        <v>#VALUE!</v>
      </c>
      <c r="AA1996" s="29" t="e">
        <f t="shared" si="14"/>
        <v>#VALUE!</v>
      </c>
      <c r="AB1996" s="36" t="e">
        <f t="shared" si="15"/>
        <v>#VALUE!</v>
      </c>
      <c r="AC1996" s="37" t="b">
        <v>0</v>
      </c>
      <c r="AD1996" s="61" t="str">
        <f t="shared" si="16"/>
        <v>USD</v>
      </c>
      <c r="AE1996" s="37"/>
      <c r="AF1996" s="37" t="e">
        <f t="array" ref="AF1996">INDEX('Deal Info'!D:D, MATCH(A1996,'Deal Info'!A:A, 0))</f>
        <v>#N/A</v>
      </c>
      <c r="AG1996" s="38" t="e">
        <f t="array" ref="AG1996">INDEX('Deal Info'!G:G, MATCH(A1996,'Deal Info'!A:A, 0))</f>
        <v>#N/A</v>
      </c>
    </row>
    <row r="1997" spans="1:33" ht="14.25" hidden="1" x14ac:dyDescent="0.2">
      <c r="A1997" s="18" t="b">
        <f t="array" ref="A1997">IF(G1997='Room Info'!$B$1, INDEX('Room Info'!$A$2:$A2446, MATCH(B1997,'Room Info'!$B$2:$B2446, 0)),IF(G1997='Room Info'!$C$1, INDEX('Room Info'!$A$2:$A2446, MATCH(B1997,'Room Info'!$C$2:$C2446, 0)),IF(G1997='Room Info'!$D$1, INDEX('Room Info'!$A$2:$A2446, MATCH(B1997,'Room Info'!$D$2:$D2446, 0)),IF(G1997='Room Info'!$E$1, INDEX('Room Info'!$A$2:$A2446, MATCH(B1997,'Room Info'!$E$2:$E2446, 0)),IF(G1997='Room Info'!$F$1, INDEX('Room Info'!$A$2:$A2446, MATCH(B1997,'Room Info'!$F$2:$F2446, 0)),IF(G1997='Room Info'!$H$1, INDEX('Room Info'!$A$2:$A2446, MATCH(B1997,'Room Info'!$H$2:$H2446, 0)),IF(G1997='Room Info'!$G$1, INDEX('Room Info'!$A$2:$A2446, MATCH(B1997,'Room Info'!$G$2:$G2446, 0)))))))))</f>
        <v>0</v>
      </c>
      <c r="B1997" s="96"/>
      <c r="C1997" s="136"/>
      <c r="D1997" s="136"/>
      <c r="E1997" s="137"/>
      <c r="F1997" s="133"/>
      <c r="G1997" s="96"/>
      <c r="H1997" s="100"/>
      <c r="I1997" s="100"/>
      <c r="J1997" s="39" t="s">
        <v>334</v>
      </c>
      <c r="K1997" s="134"/>
      <c r="L1997" s="135"/>
      <c r="M1997" s="79"/>
      <c r="N1997" s="28" t="e">
        <f t="shared" si="8"/>
        <v>#VALUE!</v>
      </c>
      <c r="O1997" s="96"/>
      <c r="P1997" s="29" t="s">
        <v>334</v>
      </c>
      <c r="Q1997" s="55"/>
      <c r="R1997" s="31" t="e">
        <f t="shared" si="9"/>
        <v>#VALUE!</v>
      </c>
      <c r="S1997" s="97"/>
      <c r="T1997" s="32" t="e">
        <f t="shared" si="10"/>
        <v>#VALUE!</v>
      </c>
      <c r="U1997" s="57"/>
      <c r="V1997" s="58"/>
      <c r="W1997" s="58"/>
      <c r="X1997" s="30" t="e">
        <f t="shared" si="11"/>
        <v>#N/A</v>
      </c>
      <c r="Y1997" s="30" t="e">
        <f t="shared" si="12"/>
        <v>#N/A</v>
      </c>
      <c r="Z1997" s="35" t="e">
        <f t="shared" si="13"/>
        <v>#VALUE!</v>
      </c>
      <c r="AA1997" s="29" t="e">
        <f t="shared" si="14"/>
        <v>#VALUE!</v>
      </c>
      <c r="AB1997" s="36" t="e">
        <f t="shared" si="15"/>
        <v>#VALUE!</v>
      </c>
      <c r="AC1997" s="37" t="b">
        <v>0</v>
      </c>
      <c r="AD1997" s="61" t="str">
        <f t="shared" si="16"/>
        <v>USD</v>
      </c>
      <c r="AE1997" s="37"/>
      <c r="AF1997" s="37" t="e">
        <f t="array" ref="AF1997">INDEX('Deal Info'!D:D, MATCH(A1997,'Deal Info'!A:A, 0))</f>
        <v>#N/A</v>
      </c>
      <c r="AG1997" s="38" t="e">
        <f t="array" ref="AG1997">INDEX('Deal Info'!G:G, MATCH(A1997,'Deal Info'!A:A, 0))</f>
        <v>#N/A</v>
      </c>
    </row>
    <row r="1998" spans="1:33" ht="14.25" hidden="1" x14ac:dyDescent="0.2">
      <c r="A1998" s="18" t="b">
        <f t="array" ref="A1998">IF(G1998='Room Info'!$B$1, INDEX('Room Info'!$A$2:$A2446, MATCH(B1998,'Room Info'!$B$2:$B2446, 0)),IF(G1998='Room Info'!$C$1, INDEX('Room Info'!$A$2:$A2446, MATCH(B1998,'Room Info'!$C$2:$C2446, 0)),IF(G1998='Room Info'!$D$1, INDEX('Room Info'!$A$2:$A2446, MATCH(B1998,'Room Info'!$D$2:$D2446, 0)),IF(G1998='Room Info'!$E$1, INDEX('Room Info'!$A$2:$A2446, MATCH(B1998,'Room Info'!$E$2:$E2446, 0)),IF(G1998='Room Info'!$F$1, INDEX('Room Info'!$A$2:$A2446, MATCH(B1998,'Room Info'!$F$2:$F2446, 0)),IF(G1998='Room Info'!$H$1, INDEX('Room Info'!$A$2:$A2446, MATCH(B1998,'Room Info'!$H$2:$H2446, 0)),IF(G1998='Room Info'!$G$1, INDEX('Room Info'!$A$2:$A2446, MATCH(B1998,'Room Info'!$G$2:$G2446, 0)))))))))</f>
        <v>0</v>
      </c>
      <c r="B1998" s="96"/>
      <c r="C1998" s="136"/>
      <c r="D1998" s="136"/>
      <c r="E1998" s="137"/>
      <c r="F1998" s="133"/>
      <c r="G1998" s="96"/>
      <c r="H1998" s="100"/>
      <c r="I1998" s="100"/>
      <c r="J1998" s="39" t="s">
        <v>334</v>
      </c>
      <c r="K1998" s="134"/>
      <c r="L1998" s="135"/>
      <c r="M1998" s="79"/>
      <c r="N1998" s="28" t="e">
        <f t="shared" si="8"/>
        <v>#VALUE!</v>
      </c>
      <c r="O1998" s="96"/>
      <c r="P1998" s="29" t="s">
        <v>334</v>
      </c>
      <c r="Q1998" s="55"/>
      <c r="R1998" s="31" t="e">
        <f t="shared" si="9"/>
        <v>#VALUE!</v>
      </c>
      <c r="S1998" s="97"/>
      <c r="T1998" s="32" t="e">
        <f t="shared" si="10"/>
        <v>#VALUE!</v>
      </c>
      <c r="U1998" s="57"/>
      <c r="V1998" s="58"/>
      <c r="W1998" s="58"/>
      <c r="X1998" s="30" t="e">
        <f t="shared" si="11"/>
        <v>#N/A</v>
      </c>
      <c r="Y1998" s="30" t="e">
        <f t="shared" si="12"/>
        <v>#N/A</v>
      </c>
      <c r="Z1998" s="35" t="e">
        <f t="shared" si="13"/>
        <v>#VALUE!</v>
      </c>
      <c r="AA1998" s="29" t="e">
        <f t="shared" si="14"/>
        <v>#VALUE!</v>
      </c>
      <c r="AB1998" s="36" t="e">
        <f t="shared" si="15"/>
        <v>#VALUE!</v>
      </c>
      <c r="AC1998" s="37" t="b">
        <v>0</v>
      </c>
      <c r="AD1998" s="61" t="str">
        <f t="shared" si="16"/>
        <v>USD</v>
      </c>
      <c r="AE1998" s="37"/>
      <c r="AF1998" s="37" t="e">
        <f t="array" ref="AF1998">INDEX('Deal Info'!D:D, MATCH(A1998,'Deal Info'!A:A, 0))</f>
        <v>#N/A</v>
      </c>
      <c r="AG1998" s="38" t="e">
        <f t="array" ref="AG1998">INDEX('Deal Info'!G:G, MATCH(A1998,'Deal Info'!A:A, 0))</f>
        <v>#N/A</v>
      </c>
    </row>
    <row r="1999" spans="1:33" ht="14.25" hidden="1" x14ac:dyDescent="0.2">
      <c r="A1999" s="18" t="b">
        <f t="array" ref="A1999">IF(G1999='Room Info'!$B$1, INDEX('Room Info'!$A$2:$A2446, MATCH(B1999,'Room Info'!$B$2:$B2446, 0)),IF(G1999='Room Info'!$C$1, INDEX('Room Info'!$A$2:$A2446, MATCH(B1999,'Room Info'!$C$2:$C2446, 0)),IF(G1999='Room Info'!$D$1, INDEX('Room Info'!$A$2:$A2446, MATCH(B1999,'Room Info'!$D$2:$D2446, 0)),IF(G1999='Room Info'!$E$1, INDEX('Room Info'!$A$2:$A2446, MATCH(B1999,'Room Info'!$E$2:$E2446, 0)),IF(G1999='Room Info'!$F$1, INDEX('Room Info'!$A$2:$A2446, MATCH(B1999,'Room Info'!$F$2:$F2446, 0)),IF(G1999='Room Info'!$H$1, INDEX('Room Info'!$A$2:$A2446, MATCH(B1999,'Room Info'!$H$2:$H2446, 0)),IF(G1999='Room Info'!$G$1, INDEX('Room Info'!$A$2:$A2446, MATCH(B1999,'Room Info'!$G$2:$G2446, 0)))))))))</f>
        <v>0</v>
      </c>
      <c r="B1999" s="96"/>
      <c r="C1999" s="136"/>
      <c r="D1999" s="136"/>
      <c r="E1999" s="137"/>
      <c r="F1999" s="133"/>
      <c r="G1999" s="96"/>
      <c r="H1999" s="100"/>
      <c r="I1999" s="100"/>
      <c r="J1999" s="39" t="s">
        <v>334</v>
      </c>
      <c r="K1999" s="134"/>
      <c r="L1999" s="135"/>
      <c r="M1999" s="79"/>
      <c r="N1999" s="28" t="e">
        <f t="shared" si="8"/>
        <v>#VALUE!</v>
      </c>
      <c r="O1999" s="96"/>
      <c r="P1999" s="29" t="s">
        <v>334</v>
      </c>
      <c r="Q1999" s="55"/>
      <c r="R1999" s="31" t="e">
        <f t="shared" si="9"/>
        <v>#VALUE!</v>
      </c>
      <c r="S1999" s="97"/>
      <c r="T1999" s="32" t="e">
        <f t="shared" si="10"/>
        <v>#VALUE!</v>
      </c>
      <c r="U1999" s="57"/>
      <c r="V1999" s="58"/>
      <c r="W1999" s="58"/>
      <c r="X1999" s="30" t="e">
        <f t="shared" si="11"/>
        <v>#N/A</v>
      </c>
      <c r="Y1999" s="30" t="e">
        <f t="shared" si="12"/>
        <v>#N/A</v>
      </c>
      <c r="Z1999" s="35" t="e">
        <f t="shared" si="13"/>
        <v>#VALUE!</v>
      </c>
      <c r="AA1999" s="29" t="e">
        <f t="shared" si="14"/>
        <v>#VALUE!</v>
      </c>
      <c r="AB1999" s="36" t="e">
        <f t="shared" si="15"/>
        <v>#VALUE!</v>
      </c>
      <c r="AC1999" s="37" t="b">
        <v>0</v>
      </c>
      <c r="AD1999" s="61" t="str">
        <f t="shared" si="16"/>
        <v>USD</v>
      </c>
      <c r="AE1999" s="37"/>
      <c r="AF1999" s="37" t="e">
        <f t="array" ref="AF1999">INDEX('Deal Info'!D:D, MATCH(A1999,'Deal Info'!A:A, 0))</f>
        <v>#N/A</v>
      </c>
      <c r="AG1999" s="38" t="e">
        <f t="array" ref="AG1999">INDEX('Deal Info'!G:G, MATCH(A1999,'Deal Info'!A:A, 0))</f>
        <v>#N/A</v>
      </c>
    </row>
    <row r="2000" spans="1:33" ht="14.25" hidden="1" x14ac:dyDescent="0.2">
      <c r="A2000" s="18" t="b">
        <f t="array" ref="A2000">IF(G2000='Room Info'!$B$1, INDEX('Room Info'!$A$2:$A2446, MATCH(B2000,'Room Info'!$B$2:$B2446, 0)),IF(G2000='Room Info'!$C$1, INDEX('Room Info'!$A$2:$A2446, MATCH(B2000,'Room Info'!$C$2:$C2446, 0)),IF(G2000='Room Info'!$D$1, INDEX('Room Info'!$A$2:$A2446, MATCH(B2000,'Room Info'!$D$2:$D2446, 0)),IF(G2000='Room Info'!$E$1, INDEX('Room Info'!$A$2:$A2446, MATCH(B2000,'Room Info'!$E$2:$E2446, 0)),IF(G2000='Room Info'!$F$1, INDEX('Room Info'!$A$2:$A2446, MATCH(B2000,'Room Info'!$F$2:$F2446, 0)),IF(G2000='Room Info'!$H$1, INDEX('Room Info'!$A$2:$A2446, MATCH(B2000,'Room Info'!$H$2:$H2446, 0)),IF(G2000='Room Info'!$G$1, INDEX('Room Info'!$A$2:$A2446, MATCH(B2000,'Room Info'!$G$2:$G2446, 0)))))))))</f>
        <v>0</v>
      </c>
      <c r="B2000" s="96"/>
      <c r="C2000" s="111"/>
      <c r="D2000" s="111"/>
      <c r="E2000" s="80"/>
      <c r="F2000" s="133"/>
      <c r="G2000" s="96"/>
      <c r="H2000" s="110"/>
      <c r="I2000" s="110"/>
      <c r="J2000" s="39" t="s">
        <v>334</v>
      </c>
      <c r="K2000" s="112"/>
      <c r="L2000" s="113"/>
      <c r="M2000" s="62"/>
      <c r="N2000" s="28" t="e">
        <f t="shared" si="8"/>
        <v>#VALUE!</v>
      </c>
      <c r="O2000" s="65"/>
      <c r="P2000" s="29" t="s">
        <v>334</v>
      </c>
      <c r="Q2000" s="55"/>
      <c r="R2000" s="31" t="e">
        <f t="shared" si="9"/>
        <v>#VALUE!</v>
      </c>
      <c r="S2000" s="66"/>
      <c r="T2000" s="32" t="e">
        <f t="shared" si="10"/>
        <v>#VALUE!</v>
      </c>
      <c r="U2000" s="57"/>
      <c r="V2000" s="58"/>
      <c r="W2000" s="58"/>
      <c r="X2000" s="30" t="e">
        <f t="shared" si="11"/>
        <v>#N/A</v>
      </c>
      <c r="Y2000" s="30" t="e">
        <f t="shared" si="12"/>
        <v>#N/A</v>
      </c>
      <c r="Z2000" s="35" t="e">
        <f t="shared" si="13"/>
        <v>#VALUE!</v>
      </c>
      <c r="AA2000" s="29" t="e">
        <f t="shared" si="14"/>
        <v>#VALUE!</v>
      </c>
      <c r="AB2000" s="36" t="e">
        <f t="shared" si="15"/>
        <v>#VALUE!</v>
      </c>
      <c r="AC2000" s="37" t="b">
        <v>0</v>
      </c>
      <c r="AD2000" s="61" t="str">
        <f t="shared" si="16"/>
        <v>USD</v>
      </c>
      <c r="AE2000" s="37"/>
      <c r="AF2000" s="37" t="e">
        <f t="array" ref="AF2000">INDEX('Deal Info'!D:D, MATCH(A2000,'Deal Info'!A:A, 0))</f>
        <v>#N/A</v>
      </c>
      <c r="AG2000" s="38" t="e">
        <f t="array" ref="AG2000">INDEX('Deal Info'!G:G, MATCH(A2000,'Deal Info'!A:A, 0))</f>
        <v>#N/A</v>
      </c>
    </row>
    <row r="2001" spans="1:33" ht="14.25" hidden="1" x14ac:dyDescent="0.2">
      <c r="A2001" s="18" t="b">
        <f t="array" ref="A2001">IF(G2001='Room Info'!$B$1, INDEX('Room Info'!$A$2:$A2446, MATCH(B2001,'Room Info'!$B$2:$B2446, 0)),IF(G2001='Room Info'!$C$1, INDEX('Room Info'!$A$2:$A2446, MATCH(B2001,'Room Info'!$C$2:$C2446, 0)),IF(G2001='Room Info'!$D$1, INDEX('Room Info'!$A$2:$A2446, MATCH(B2001,'Room Info'!$D$2:$D2446, 0)),IF(G2001='Room Info'!$E$1, INDEX('Room Info'!$A$2:$A2446, MATCH(B2001,'Room Info'!$E$2:$E2446, 0)),IF(G2001='Room Info'!$F$1, INDEX('Room Info'!$A$2:$A2446, MATCH(B2001,'Room Info'!$F$2:$F2446, 0)),IF(G2001='Room Info'!$H$1, INDEX('Room Info'!$A$2:$A2446, MATCH(B2001,'Room Info'!$H$2:$H2446, 0)),IF(G2001='Room Info'!$G$1, INDEX('Room Info'!$A$2:$A2446, MATCH(B2001,'Room Info'!$G$2:$G2446, 0)))))))))</f>
        <v>0</v>
      </c>
      <c r="B2001" s="96"/>
      <c r="C2001" s="111"/>
      <c r="D2001" s="111"/>
      <c r="E2001" s="80"/>
      <c r="F2001" s="133"/>
      <c r="G2001" s="96"/>
      <c r="H2001" s="110"/>
      <c r="I2001" s="110"/>
      <c r="J2001" s="39" t="s">
        <v>334</v>
      </c>
      <c r="K2001" s="112"/>
      <c r="L2001" s="113"/>
      <c r="M2001" s="62"/>
      <c r="N2001" s="28" t="e">
        <f t="shared" si="8"/>
        <v>#VALUE!</v>
      </c>
      <c r="O2001" s="65"/>
      <c r="P2001" s="29" t="s">
        <v>334</v>
      </c>
      <c r="Q2001" s="55"/>
      <c r="R2001" s="31" t="e">
        <f t="shared" si="9"/>
        <v>#VALUE!</v>
      </c>
      <c r="S2001" s="66"/>
      <c r="T2001" s="32" t="e">
        <f t="shared" si="10"/>
        <v>#VALUE!</v>
      </c>
      <c r="U2001" s="57"/>
      <c r="V2001" s="58"/>
      <c r="W2001" s="58"/>
      <c r="X2001" s="30" t="e">
        <f t="shared" si="11"/>
        <v>#N/A</v>
      </c>
      <c r="Y2001" s="30" t="e">
        <f t="shared" si="12"/>
        <v>#N/A</v>
      </c>
      <c r="Z2001" s="35" t="e">
        <f t="shared" si="13"/>
        <v>#VALUE!</v>
      </c>
      <c r="AA2001" s="29" t="e">
        <f t="shared" si="14"/>
        <v>#VALUE!</v>
      </c>
      <c r="AB2001" s="36" t="e">
        <f t="shared" si="15"/>
        <v>#VALUE!</v>
      </c>
      <c r="AC2001" s="37" t="b">
        <v>0</v>
      </c>
      <c r="AD2001" s="61" t="str">
        <f t="shared" si="16"/>
        <v>USD</v>
      </c>
      <c r="AE2001" s="37"/>
      <c r="AF2001" s="37" t="e">
        <f t="array" ref="AF2001">INDEX('Deal Info'!D:D, MATCH(A2001,'Deal Info'!A:A, 0))</f>
        <v>#N/A</v>
      </c>
      <c r="AG2001" s="38" t="e">
        <f t="array" ref="AG2001">INDEX('Deal Info'!G:G, MATCH(A2001,'Deal Info'!A:A, 0))</f>
        <v>#N/A</v>
      </c>
    </row>
    <row r="2002" spans="1:33" ht="14.25" hidden="1" x14ac:dyDescent="0.2">
      <c r="A2002" s="18" t="b">
        <f t="array" ref="A2002">IF(G2002='Room Info'!$B$1, INDEX('Room Info'!$A$2:$A2446, MATCH(B2002,'Room Info'!$B$2:$B2446, 0)),IF(G2002='Room Info'!$C$1, INDEX('Room Info'!$A$2:$A2446, MATCH(B2002,'Room Info'!$C$2:$C2446, 0)),IF(G2002='Room Info'!$D$1, INDEX('Room Info'!$A$2:$A2446, MATCH(B2002,'Room Info'!$D$2:$D2446, 0)),IF(G2002='Room Info'!$E$1, INDEX('Room Info'!$A$2:$A2446, MATCH(B2002,'Room Info'!$E$2:$E2446, 0)),IF(G2002='Room Info'!$F$1, INDEX('Room Info'!$A$2:$A2446, MATCH(B2002,'Room Info'!$F$2:$F2446, 0)),IF(G2002='Room Info'!$H$1, INDEX('Room Info'!$A$2:$A2446, MATCH(B2002,'Room Info'!$H$2:$H2446, 0)),IF(G2002='Room Info'!$G$1, INDEX('Room Info'!$A$2:$A2446, MATCH(B2002,'Room Info'!$G$2:$G2446, 0)))))))))</f>
        <v>0</v>
      </c>
      <c r="B2002" s="96"/>
      <c r="C2002" s="111"/>
      <c r="D2002" s="111"/>
      <c r="E2002" s="80"/>
      <c r="F2002" s="133"/>
      <c r="G2002" s="96"/>
      <c r="H2002" s="110"/>
      <c r="I2002" s="110"/>
      <c r="J2002" s="39" t="s">
        <v>334</v>
      </c>
      <c r="K2002" s="112"/>
      <c r="L2002" s="113"/>
      <c r="M2002" s="62"/>
      <c r="N2002" s="28" t="e">
        <f t="shared" si="8"/>
        <v>#VALUE!</v>
      </c>
      <c r="O2002" s="65"/>
      <c r="P2002" s="29" t="s">
        <v>334</v>
      </c>
      <c r="Q2002" s="55"/>
      <c r="R2002" s="31" t="e">
        <f t="shared" si="9"/>
        <v>#VALUE!</v>
      </c>
      <c r="S2002" s="66"/>
      <c r="T2002" s="32" t="e">
        <f t="shared" si="10"/>
        <v>#VALUE!</v>
      </c>
      <c r="U2002" s="57"/>
      <c r="V2002" s="58"/>
      <c r="W2002" s="58"/>
      <c r="X2002" s="30" t="e">
        <f t="shared" si="11"/>
        <v>#N/A</v>
      </c>
      <c r="Y2002" s="30" t="e">
        <f t="shared" si="12"/>
        <v>#N/A</v>
      </c>
      <c r="Z2002" s="35" t="e">
        <f t="shared" si="13"/>
        <v>#VALUE!</v>
      </c>
      <c r="AA2002" s="29" t="e">
        <f t="shared" si="14"/>
        <v>#VALUE!</v>
      </c>
      <c r="AB2002" s="36" t="e">
        <f t="shared" si="15"/>
        <v>#VALUE!</v>
      </c>
      <c r="AC2002" s="37" t="b">
        <v>0</v>
      </c>
      <c r="AD2002" s="61" t="str">
        <f t="shared" si="16"/>
        <v>USD</v>
      </c>
      <c r="AE2002" s="37"/>
      <c r="AF2002" s="37" t="e">
        <f t="array" ref="AF2002">INDEX('Deal Info'!D:D, MATCH(A2002,'Deal Info'!A:A, 0))</f>
        <v>#N/A</v>
      </c>
      <c r="AG2002" s="38" t="e">
        <f t="array" ref="AG2002">INDEX('Deal Info'!G:G, MATCH(A2002,'Deal Info'!A:A, 0))</f>
        <v>#N/A</v>
      </c>
    </row>
    <row r="2003" spans="1:33" ht="14.25" hidden="1" x14ac:dyDescent="0.2">
      <c r="A2003" s="18" t="b">
        <f t="array" ref="A2003">IF(G2003='Room Info'!$B$1, INDEX('Room Info'!$A$2:$A2446, MATCH(B2003,'Room Info'!$B$2:$B2446, 0)),IF(G2003='Room Info'!$C$1, INDEX('Room Info'!$A$2:$A2446, MATCH(B2003,'Room Info'!$C$2:$C2446, 0)),IF(G2003='Room Info'!$D$1, INDEX('Room Info'!$A$2:$A2446, MATCH(B2003,'Room Info'!$D$2:$D2446, 0)),IF(G2003='Room Info'!$E$1, INDEX('Room Info'!$A$2:$A2446, MATCH(B2003,'Room Info'!$E$2:$E2446, 0)),IF(G2003='Room Info'!$F$1, INDEX('Room Info'!$A$2:$A2446, MATCH(B2003,'Room Info'!$F$2:$F2446, 0)),IF(G2003='Room Info'!$H$1, INDEX('Room Info'!$A$2:$A2446, MATCH(B2003,'Room Info'!$H$2:$H2446, 0)),IF(G2003='Room Info'!$G$1, INDEX('Room Info'!$A$2:$A2446, MATCH(B2003,'Room Info'!$G$2:$G2446, 0)))))))))</f>
        <v>0</v>
      </c>
      <c r="B2003" s="96"/>
      <c r="C2003" s="111"/>
      <c r="D2003" s="111"/>
      <c r="E2003" s="80"/>
      <c r="F2003" s="133"/>
      <c r="G2003" s="96"/>
      <c r="H2003" s="110"/>
      <c r="I2003" s="110"/>
      <c r="J2003" s="39" t="s">
        <v>334</v>
      </c>
      <c r="K2003" s="112"/>
      <c r="L2003" s="113"/>
      <c r="M2003" s="62"/>
      <c r="N2003" s="28" t="e">
        <f t="shared" si="8"/>
        <v>#VALUE!</v>
      </c>
      <c r="O2003" s="65"/>
      <c r="P2003" s="29" t="s">
        <v>334</v>
      </c>
      <c r="Q2003" s="55"/>
      <c r="R2003" s="31" t="e">
        <f t="shared" si="9"/>
        <v>#VALUE!</v>
      </c>
      <c r="S2003" s="66"/>
      <c r="T2003" s="32" t="e">
        <f t="shared" si="10"/>
        <v>#VALUE!</v>
      </c>
      <c r="U2003" s="57"/>
      <c r="V2003" s="58"/>
      <c r="W2003" s="58"/>
      <c r="X2003" s="30" t="e">
        <f t="shared" si="11"/>
        <v>#N/A</v>
      </c>
      <c r="Y2003" s="30" t="e">
        <f t="shared" si="12"/>
        <v>#N/A</v>
      </c>
      <c r="Z2003" s="35" t="e">
        <f t="shared" si="13"/>
        <v>#VALUE!</v>
      </c>
      <c r="AA2003" s="29" t="e">
        <f t="shared" si="14"/>
        <v>#VALUE!</v>
      </c>
      <c r="AB2003" s="36" t="e">
        <f t="shared" si="15"/>
        <v>#VALUE!</v>
      </c>
      <c r="AC2003" s="37" t="b">
        <v>0</v>
      </c>
      <c r="AD2003" s="61" t="str">
        <f t="shared" si="16"/>
        <v>USD</v>
      </c>
      <c r="AE2003" s="37"/>
      <c r="AF2003" s="37" t="e">
        <f t="array" ref="AF2003">INDEX('Deal Info'!D:D, MATCH(A2003,'Deal Info'!A:A, 0))</f>
        <v>#N/A</v>
      </c>
      <c r="AG2003" s="38" t="e">
        <f t="array" ref="AG2003">INDEX('Deal Info'!G:G, MATCH(A2003,'Deal Info'!A:A, 0))</f>
        <v>#N/A</v>
      </c>
    </row>
    <row r="2004" spans="1:33" ht="14.25" hidden="1" x14ac:dyDescent="0.2">
      <c r="A2004" s="18" t="b">
        <f t="array" ref="A2004">IF(G2004='Room Info'!$B$1, INDEX('Room Info'!$A$2:$A2446, MATCH(B2004,'Room Info'!$B$2:$B2446, 0)),IF(G2004='Room Info'!$C$1, INDEX('Room Info'!$A$2:$A2446, MATCH(B2004,'Room Info'!$C$2:$C2446, 0)),IF(G2004='Room Info'!$D$1, INDEX('Room Info'!$A$2:$A2446, MATCH(B2004,'Room Info'!$D$2:$D2446, 0)),IF(G2004='Room Info'!$E$1, INDEX('Room Info'!$A$2:$A2446, MATCH(B2004,'Room Info'!$E$2:$E2446, 0)),IF(G2004='Room Info'!$F$1, INDEX('Room Info'!$A$2:$A2446, MATCH(B2004,'Room Info'!$F$2:$F2446, 0)),IF(G2004='Room Info'!$H$1, INDEX('Room Info'!$A$2:$A2446, MATCH(B2004,'Room Info'!$H$2:$H2446, 0)),IF(G2004='Room Info'!$G$1, INDEX('Room Info'!$A$2:$A2446, MATCH(B2004,'Room Info'!$G$2:$G2446, 0)))))))))</f>
        <v>0</v>
      </c>
      <c r="B2004" s="96"/>
      <c r="C2004" s="111"/>
      <c r="D2004" s="111"/>
      <c r="E2004" s="80"/>
      <c r="F2004" s="133"/>
      <c r="G2004" s="96"/>
      <c r="H2004" s="110"/>
      <c r="I2004" s="110"/>
      <c r="J2004" s="39" t="s">
        <v>334</v>
      </c>
      <c r="K2004" s="112"/>
      <c r="L2004" s="113"/>
      <c r="M2004" s="62"/>
      <c r="N2004" s="28" t="e">
        <f t="shared" si="8"/>
        <v>#VALUE!</v>
      </c>
      <c r="O2004" s="65"/>
      <c r="P2004" s="29" t="s">
        <v>334</v>
      </c>
      <c r="Q2004" s="55"/>
      <c r="R2004" s="31" t="e">
        <f t="shared" si="9"/>
        <v>#VALUE!</v>
      </c>
      <c r="S2004" s="66"/>
      <c r="T2004" s="32" t="e">
        <f t="shared" si="10"/>
        <v>#VALUE!</v>
      </c>
      <c r="U2004" s="57"/>
      <c r="V2004" s="58"/>
      <c r="W2004" s="58"/>
      <c r="X2004" s="30" t="e">
        <f t="shared" si="11"/>
        <v>#N/A</v>
      </c>
      <c r="Y2004" s="30" t="e">
        <f t="shared" si="12"/>
        <v>#N/A</v>
      </c>
      <c r="Z2004" s="35" t="e">
        <f t="shared" si="13"/>
        <v>#VALUE!</v>
      </c>
      <c r="AA2004" s="29" t="e">
        <f t="shared" si="14"/>
        <v>#VALUE!</v>
      </c>
      <c r="AB2004" s="36" t="e">
        <f t="shared" si="15"/>
        <v>#VALUE!</v>
      </c>
      <c r="AC2004" s="37" t="b">
        <v>0</v>
      </c>
      <c r="AD2004" s="61" t="str">
        <f t="shared" si="16"/>
        <v>USD</v>
      </c>
      <c r="AE2004" s="37"/>
      <c r="AF2004" s="37" t="e">
        <f t="array" ref="AF2004">INDEX('Deal Info'!D:D, MATCH(A2004,'Deal Info'!A:A, 0))</f>
        <v>#N/A</v>
      </c>
      <c r="AG2004" s="38" t="e">
        <f t="array" ref="AG2004">INDEX('Deal Info'!G:G, MATCH(A2004,'Deal Info'!A:A, 0))</f>
        <v>#N/A</v>
      </c>
    </row>
    <row r="2005" spans="1:33" ht="14.25" hidden="1" x14ac:dyDescent="0.2">
      <c r="A2005" s="18" t="b">
        <f t="array" ref="A2005">IF(G2005='Room Info'!$B$1, INDEX('Room Info'!$A$2:$A2446, MATCH(B2005,'Room Info'!$B$2:$B2446, 0)),IF(G2005='Room Info'!$C$1, INDEX('Room Info'!$A$2:$A2446, MATCH(B2005,'Room Info'!$C$2:$C2446, 0)),IF(G2005='Room Info'!$D$1, INDEX('Room Info'!$A$2:$A2446, MATCH(B2005,'Room Info'!$D$2:$D2446, 0)),IF(G2005='Room Info'!$E$1, INDEX('Room Info'!$A$2:$A2446, MATCH(B2005,'Room Info'!$E$2:$E2446, 0)),IF(G2005='Room Info'!$F$1, INDEX('Room Info'!$A$2:$A2446, MATCH(B2005,'Room Info'!$F$2:$F2446, 0)),IF(G2005='Room Info'!$H$1, INDEX('Room Info'!$A$2:$A2446, MATCH(B2005,'Room Info'!$H$2:$H2446, 0)),IF(G2005='Room Info'!$G$1, INDEX('Room Info'!$A$2:$A2446, MATCH(B2005,'Room Info'!$G$2:$G2446, 0)))))))))</f>
        <v>0</v>
      </c>
      <c r="B2005" s="96"/>
      <c r="C2005" s="111"/>
      <c r="D2005" s="111"/>
      <c r="E2005" s="80"/>
      <c r="F2005" s="133"/>
      <c r="G2005" s="96"/>
      <c r="H2005" s="110"/>
      <c r="I2005" s="110"/>
      <c r="J2005" s="39" t="s">
        <v>334</v>
      </c>
      <c r="K2005" s="112"/>
      <c r="L2005" s="113"/>
      <c r="M2005" s="62"/>
      <c r="N2005" s="28" t="e">
        <f t="shared" si="8"/>
        <v>#VALUE!</v>
      </c>
      <c r="O2005" s="65"/>
      <c r="P2005" s="29" t="s">
        <v>334</v>
      </c>
      <c r="Q2005" s="55"/>
      <c r="R2005" s="31" t="e">
        <f t="shared" si="9"/>
        <v>#VALUE!</v>
      </c>
      <c r="S2005" s="66"/>
      <c r="T2005" s="32" t="e">
        <f t="shared" si="10"/>
        <v>#VALUE!</v>
      </c>
      <c r="U2005" s="57"/>
      <c r="V2005" s="58"/>
      <c r="W2005" s="58"/>
      <c r="X2005" s="30" t="e">
        <f t="shared" si="11"/>
        <v>#N/A</v>
      </c>
      <c r="Y2005" s="30" t="e">
        <f t="shared" si="12"/>
        <v>#N/A</v>
      </c>
      <c r="Z2005" s="35" t="e">
        <f t="shared" si="13"/>
        <v>#VALUE!</v>
      </c>
      <c r="AA2005" s="29" t="e">
        <f t="shared" si="14"/>
        <v>#VALUE!</v>
      </c>
      <c r="AB2005" s="36" t="e">
        <f t="shared" si="15"/>
        <v>#VALUE!</v>
      </c>
      <c r="AC2005" s="37" t="b">
        <v>0</v>
      </c>
      <c r="AD2005" s="61" t="str">
        <f t="shared" si="16"/>
        <v>USD</v>
      </c>
      <c r="AE2005" s="37"/>
      <c r="AF2005" s="37" t="e">
        <f t="array" ref="AF2005">INDEX('Deal Info'!D:D, MATCH(A2005,'Deal Info'!A:A, 0))</f>
        <v>#N/A</v>
      </c>
      <c r="AG2005" s="38" t="e">
        <f t="array" ref="AG2005">INDEX('Deal Info'!G:G, MATCH(A2005,'Deal Info'!A:A, 0))</f>
        <v>#N/A</v>
      </c>
    </row>
    <row r="2006" spans="1:33" ht="14.25" hidden="1" x14ac:dyDescent="0.2">
      <c r="A2006" s="18" t="b">
        <f t="array" ref="A2006">IF(G2006='Room Info'!$B$1, INDEX('Room Info'!$A$2:$A2446, MATCH(B2006,'Room Info'!$B$2:$B2446, 0)),IF(G2006='Room Info'!$C$1, INDEX('Room Info'!$A$2:$A2446, MATCH(B2006,'Room Info'!$C$2:$C2446, 0)),IF(G2006='Room Info'!$D$1, INDEX('Room Info'!$A$2:$A2446, MATCH(B2006,'Room Info'!$D$2:$D2446, 0)),IF(G2006='Room Info'!$E$1, INDEX('Room Info'!$A$2:$A2446, MATCH(B2006,'Room Info'!$E$2:$E2446, 0)),IF(G2006='Room Info'!$F$1, INDEX('Room Info'!$A$2:$A2446, MATCH(B2006,'Room Info'!$F$2:$F2446, 0)),IF(G2006='Room Info'!$H$1, INDEX('Room Info'!$A$2:$A2446, MATCH(B2006,'Room Info'!$H$2:$H2446, 0)),IF(G2006='Room Info'!$G$1, INDEX('Room Info'!$A$2:$A2446, MATCH(B2006,'Room Info'!$G$2:$G2446, 0)))))))))</f>
        <v>0</v>
      </c>
      <c r="B2006" s="96"/>
      <c r="C2006" s="111"/>
      <c r="D2006" s="111"/>
      <c r="E2006" s="80"/>
      <c r="F2006" s="133"/>
      <c r="G2006" s="96"/>
      <c r="H2006" s="110"/>
      <c r="I2006" s="110"/>
      <c r="J2006" s="39" t="s">
        <v>334</v>
      </c>
      <c r="K2006" s="112"/>
      <c r="L2006" s="113"/>
      <c r="M2006" s="62"/>
      <c r="N2006" s="28" t="e">
        <f t="shared" si="8"/>
        <v>#VALUE!</v>
      </c>
      <c r="O2006" s="65"/>
      <c r="P2006" s="29" t="s">
        <v>334</v>
      </c>
      <c r="Q2006" s="55"/>
      <c r="R2006" s="31" t="e">
        <f t="shared" si="9"/>
        <v>#VALUE!</v>
      </c>
      <c r="S2006" s="66"/>
      <c r="T2006" s="32" t="e">
        <f t="shared" si="10"/>
        <v>#VALUE!</v>
      </c>
      <c r="U2006" s="57"/>
      <c r="V2006" s="58"/>
      <c r="W2006" s="58"/>
      <c r="X2006" s="30" t="e">
        <f t="shared" si="11"/>
        <v>#N/A</v>
      </c>
      <c r="Y2006" s="30" t="e">
        <f t="shared" si="12"/>
        <v>#N/A</v>
      </c>
      <c r="Z2006" s="35" t="e">
        <f t="shared" si="13"/>
        <v>#VALUE!</v>
      </c>
      <c r="AA2006" s="29" t="e">
        <f t="shared" si="14"/>
        <v>#VALUE!</v>
      </c>
      <c r="AB2006" s="36" t="e">
        <f t="shared" si="15"/>
        <v>#VALUE!</v>
      </c>
      <c r="AC2006" s="37" t="b">
        <v>0</v>
      </c>
      <c r="AD2006" s="61" t="str">
        <f t="shared" si="16"/>
        <v>USD</v>
      </c>
      <c r="AE2006" s="37"/>
      <c r="AF2006" s="37" t="e">
        <f t="array" ref="AF2006">INDEX('Deal Info'!D:D, MATCH(A2006,'Deal Info'!A:A, 0))</f>
        <v>#N/A</v>
      </c>
      <c r="AG2006" s="38" t="e">
        <f t="array" ref="AG2006">INDEX('Deal Info'!G:G, MATCH(A2006,'Deal Info'!A:A, 0))</f>
        <v>#N/A</v>
      </c>
    </row>
    <row r="2007" spans="1:33" ht="14.25" hidden="1" x14ac:dyDescent="0.2">
      <c r="A2007" s="18" t="b">
        <f t="array" ref="A2007">IF(G2007='Room Info'!$B$1, INDEX('Room Info'!$A$2:$A2446, MATCH(B2007,'Room Info'!$B$2:$B2446, 0)),IF(G2007='Room Info'!$C$1, INDEX('Room Info'!$A$2:$A2446, MATCH(B2007,'Room Info'!$C$2:$C2446, 0)),IF(G2007='Room Info'!$D$1, INDEX('Room Info'!$A$2:$A2446, MATCH(B2007,'Room Info'!$D$2:$D2446, 0)),IF(G2007='Room Info'!$E$1, INDEX('Room Info'!$A$2:$A2446, MATCH(B2007,'Room Info'!$E$2:$E2446, 0)),IF(G2007='Room Info'!$F$1, INDEX('Room Info'!$A$2:$A2446, MATCH(B2007,'Room Info'!$F$2:$F2446, 0)),IF(G2007='Room Info'!$H$1, INDEX('Room Info'!$A$2:$A2446, MATCH(B2007,'Room Info'!$H$2:$H2446, 0)),IF(G2007='Room Info'!$G$1, INDEX('Room Info'!$A$2:$A2446, MATCH(B2007,'Room Info'!$G$2:$G2446, 0)))))))))</f>
        <v>0</v>
      </c>
      <c r="B2007" s="96"/>
      <c r="C2007" s="111"/>
      <c r="D2007" s="111"/>
      <c r="E2007" s="80"/>
      <c r="F2007" s="133"/>
      <c r="G2007" s="96"/>
      <c r="H2007" s="110"/>
      <c r="I2007" s="110"/>
      <c r="J2007" s="39" t="s">
        <v>334</v>
      </c>
      <c r="K2007" s="112"/>
      <c r="L2007" s="113"/>
      <c r="M2007" s="62"/>
      <c r="N2007" s="28" t="e">
        <f t="shared" si="8"/>
        <v>#VALUE!</v>
      </c>
      <c r="O2007" s="65"/>
      <c r="P2007" s="29" t="s">
        <v>334</v>
      </c>
      <c r="Q2007" s="55"/>
      <c r="R2007" s="31" t="e">
        <f t="shared" si="9"/>
        <v>#VALUE!</v>
      </c>
      <c r="S2007" s="66"/>
      <c r="T2007" s="32" t="e">
        <f t="shared" si="10"/>
        <v>#VALUE!</v>
      </c>
      <c r="U2007" s="57"/>
      <c r="V2007" s="58"/>
      <c r="W2007" s="58"/>
      <c r="X2007" s="30" t="e">
        <f t="shared" si="11"/>
        <v>#N/A</v>
      </c>
      <c r="Y2007" s="30" t="e">
        <f t="shared" si="12"/>
        <v>#N/A</v>
      </c>
      <c r="Z2007" s="35" t="e">
        <f t="shared" si="13"/>
        <v>#VALUE!</v>
      </c>
      <c r="AA2007" s="29" t="e">
        <f t="shared" si="14"/>
        <v>#VALUE!</v>
      </c>
      <c r="AB2007" s="36" t="e">
        <f t="shared" si="15"/>
        <v>#VALUE!</v>
      </c>
      <c r="AC2007" s="37" t="b">
        <v>0</v>
      </c>
      <c r="AD2007" s="61" t="str">
        <f t="shared" si="16"/>
        <v>USD</v>
      </c>
      <c r="AE2007" s="37"/>
      <c r="AF2007" s="37" t="e">
        <f t="array" ref="AF2007">INDEX('Deal Info'!D:D, MATCH(A2007,'Deal Info'!A:A, 0))</f>
        <v>#N/A</v>
      </c>
      <c r="AG2007" s="38" t="e">
        <f t="array" ref="AG2007">INDEX('Deal Info'!G:G, MATCH(A2007,'Deal Info'!A:A, 0))</f>
        <v>#N/A</v>
      </c>
    </row>
    <row r="2008" spans="1:33" ht="14.25" hidden="1" x14ac:dyDescent="0.2">
      <c r="A2008" s="18" t="b">
        <f t="array" ref="A2008">IF(G2008='Room Info'!$B$1, INDEX('Room Info'!$A$2:$A2446, MATCH(B2008,'Room Info'!$B$2:$B2446, 0)),IF(G2008='Room Info'!$C$1, INDEX('Room Info'!$A$2:$A2446, MATCH(B2008,'Room Info'!$C$2:$C2446, 0)),IF(G2008='Room Info'!$D$1, INDEX('Room Info'!$A$2:$A2446, MATCH(B2008,'Room Info'!$D$2:$D2446, 0)),IF(G2008='Room Info'!$E$1, INDEX('Room Info'!$A$2:$A2446, MATCH(B2008,'Room Info'!$E$2:$E2446, 0)),IF(G2008='Room Info'!$F$1, INDEX('Room Info'!$A$2:$A2446, MATCH(B2008,'Room Info'!$F$2:$F2446, 0)),IF(G2008='Room Info'!$H$1, INDEX('Room Info'!$A$2:$A2446, MATCH(B2008,'Room Info'!$H$2:$H2446, 0)),IF(G2008='Room Info'!$G$1, INDEX('Room Info'!$A$2:$A2446, MATCH(B2008,'Room Info'!$G$2:$G2446, 0)))))))))</f>
        <v>0</v>
      </c>
      <c r="B2008" s="96"/>
      <c r="C2008" s="111"/>
      <c r="D2008" s="111"/>
      <c r="E2008" s="80"/>
      <c r="F2008" s="133"/>
      <c r="G2008" s="96"/>
      <c r="H2008" s="110"/>
      <c r="I2008" s="110"/>
      <c r="J2008" s="39" t="s">
        <v>334</v>
      </c>
      <c r="K2008" s="112"/>
      <c r="L2008" s="113"/>
      <c r="M2008" s="62"/>
      <c r="N2008" s="28" t="e">
        <f t="shared" si="8"/>
        <v>#VALUE!</v>
      </c>
      <c r="O2008" s="65"/>
      <c r="P2008" s="29" t="s">
        <v>334</v>
      </c>
      <c r="Q2008" s="55"/>
      <c r="R2008" s="31" t="e">
        <f t="shared" si="9"/>
        <v>#VALUE!</v>
      </c>
      <c r="S2008" s="66"/>
      <c r="T2008" s="32" t="e">
        <f t="shared" si="10"/>
        <v>#VALUE!</v>
      </c>
      <c r="U2008" s="57"/>
      <c r="V2008" s="58"/>
      <c r="W2008" s="58"/>
      <c r="X2008" s="30" t="e">
        <f t="shared" si="11"/>
        <v>#N/A</v>
      </c>
      <c r="Y2008" s="30" t="e">
        <f t="shared" si="12"/>
        <v>#N/A</v>
      </c>
      <c r="Z2008" s="35" t="e">
        <f t="shared" si="13"/>
        <v>#VALUE!</v>
      </c>
      <c r="AA2008" s="29" t="e">
        <f t="shared" si="14"/>
        <v>#VALUE!</v>
      </c>
      <c r="AB2008" s="36" t="e">
        <f t="shared" si="15"/>
        <v>#VALUE!</v>
      </c>
      <c r="AC2008" s="37" t="b">
        <v>0</v>
      </c>
      <c r="AD2008" s="61" t="str">
        <f t="shared" si="16"/>
        <v>USD</v>
      </c>
      <c r="AE2008" s="37"/>
      <c r="AF2008" s="37" t="e">
        <f t="array" ref="AF2008">INDEX('Deal Info'!D:D, MATCH(A2008,'Deal Info'!A:A, 0))</f>
        <v>#N/A</v>
      </c>
      <c r="AG2008" s="38" t="e">
        <f t="array" ref="AG2008">INDEX('Deal Info'!G:G, MATCH(A2008,'Deal Info'!A:A, 0))</f>
        <v>#N/A</v>
      </c>
    </row>
    <row r="2009" spans="1:33" ht="14.25" hidden="1" x14ac:dyDescent="0.2">
      <c r="A2009" s="18" t="b">
        <f t="array" ref="A2009">IF(G2009='Room Info'!$B$1, INDEX('Room Info'!$A$2:$A2446, MATCH(B2009,'Room Info'!$B$2:$B2446, 0)),IF(G2009='Room Info'!$C$1, INDEX('Room Info'!$A$2:$A2446, MATCH(B2009,'Room Info'!$C$2:$C2446, 0)),IF(G2009='Room Info'!$D$1, INDEX('Room Info'!$A$2:$A2446, MATCH(B2009,'Room Info'!$D$2:$D2446, 0)),IF(G2009='Room Info'!$E$1, INDEX('Room Info'!$A$2:$A2446, MATCH(B2009,'Room Info'!$E$2:$E2446, 0)),IF(G2009='Room Info'!$F$1, INDEX('Room Info'!$A$2:$A2446, MATCH(B2009,'Room Info'!$F$2:$F2446, 0)),IF(G2009='Room Info'!$H$1, INDEX('Room Info'!$A$2:$A2446, MATCH(B2009,'Room Info'!$H$2:$H2446, 0)),IF(G2009='Room Info'!$G$1, INDEX('Room Info'!$A$2:$A2446, MATCH(B2009,'Room Info'!$G$2:$G2446, 0)))))))))</f>
        <v>0</v>
      </c>
      <c r="B2009" s="96"/>
      <c r="C2009" s="111"/>
      <c r="D2009" s="111"/>
      <c r="E2009" s="80"/>
      <c r="F2009" s="133"/>
      <c r="G2009" s="96"/>
      <c r="H2009" s="110"/>
      <c r="I2009" s="110"/>
      <c r="J2009" s="39" t="s">
        <v>334</v>
      </c>
      <c r="K2009" s="112"/>
      <c r="L2009" s="113"/>
      <c r="M2009" s="62"/>
      <c r="N2009" s="28" t="e">
        <f t="shared" si="8"/>
        <v>#VALUE!</v>
      </c>
      <c r="O2009" s="65"/>
      <c r="P2009" s="29" t="s">
        <v>334</v>
      </c>
      <c r="Q2009" s="55"/>
      <c r="R2009" s="31" t="e">
        <f t="shared" si="9"/>
        <v>#VALUE!</v>
      </c>
      <c r="S2009" s="66"/>
      <c r="T2009" s="32" t="e">
        <f t="shared" si="10"/>
        <v>#VALUE!</v>
      </c>
      <c r="U2009" s="57"/>
      <c r="V2009" s="58"/>
      <c r="W2009" s="58"/>
      <c r="X2009" s="30" t="e">
        <f t="shared" si="11"/>
        <v>#N/A</v>
      </c>
      <c r="Y2009" s="30" t="e">
        <f t="shared" si="12"/>
        <v>#N/A</v>
      </c>
      <c r="Z2009" s="35" t="e">
        <f t="shared" si="13"/>
        <v>#VALUE!</v>
      </c>
      <c r="AA2009" s="29" t="e">
        <f t="shared" si="14"/>
        <v>#VALUE!</v>
      </c>
      <c r="AB2009" s="36" t="e">
        <f t="shared" si="15"/>
        <v>#VALUE!</v>
      </c>
      <c r="AC2009" s="37" t="b">
        <v>0</v>
      </c>
      <c r="AD2009" s="61" t="str">
        <f t="shared" si="16"/>
        <v>USD</v>
      </c>
      <c r="AE2009" s="37"/>
      <c r="AF2009" s="37" t="e">
        <f t="array" ref="AF2009">INDEX('Deal Info'!D:D, MATCH(A2009,'Deal Info'!A:A, 0))</f>
        <v>#N/A</v>
      </c>
      <c r="AG2009" s="38" t="e">
        <f t="array" ref="AG2009">INDEX('Deal Info'!G:G, MATCH(A2009,'Deal Info'!A:A, 0))</f>
        <v>#N/A</v>
      </c>
    </row>
    <row r="2010" spans="1:33" ht="14.25" hidden="1" x14ac:dyDescent="0.2">
      <c r="A2010" s="18" t="b">
        <f t="array" ref="A2010">IF(G2010='Room Info'!$B$1, INDEX('Room Info'!$A$2:$A2446, MATCH(B2010,'Room Info'!$B$2:$B2446, 0)),IF(G2010='Room Info'!$C$1, INDEX('Room Info'!$A$2:$A2446, MATCH(B2010,'Room Info'!$C$2:$C2446, 0)),IF(G2010='Room Info'!$D$1, INDEX('Room Info'!$A$2:$A2446, MATCH(B2010,'Room Info'!$D$2:$D2446, 0)),IF(G2010='Room Info'!$E$1, INDEX('Room Info'!$A$2:$A2446, MATCH(B2010,'Room Info'!$E$2:$E2446, 0)),IF(G2010='Room Info'!$F$1, INDEX('Room Info'!$A$2:$A2446, MATCH(B2010,'Room Info'!$F$2:$F2446, 0)),IF(G2010='Room Info'!$H$1, INDEX('Room Info'!$A$2:$A2446, MATCH(B2010,'Room Info'!$H$2:$H2446, 0)),IF(G2010='Room Info'!$G$1, INDEX('Room Info'!$A$2:$A2446, MATCH(B2010,'Room Info'!$G$2:$G2446, 0)))))))))</f>
        <v>0</v>
      </c>
      <c r="B2010" s="96"/>
      <c r="C2010" s="111"/>
      <c r="D2010" s="111"/>
      <c r="E2010" s="80"/>
      <c r="F2010" s="96"/>
      <c r="G2010" s="65"/>
      <c r="H2010" s="110"/>
      <c r="I2010" s="110"/>
      <c r="J2010" s="39" t="s">
        <v>334</v>
      </c>
      <c r="K2010" s="134"/>
      <c r="L2010" s="135"/>
      <c r="M2010" s="62"/>
      <c r="N2010" s="28" t="e">
        <f t="shared" si="8"/>
        <v>#VALUE!</v>
      </c>
      <c r="O2010" s="96"/>
      <c r="P2010" s="29" t="s">
        <v>334</v>
      </c>
      <c r="Q2010" s="55"/>
      <c r="R2010" s="31" t="e">
        <f t="shared" si="9"/>
        <v>#VALUE!</v>
      </c>
      <c r="S2010" s="97"/>
      <c r="T2010" s="32" t="e">
        <f t="shared" si="10"/>
        <v>#VALUE!</v>
      </c>
      <c r="U2010" s="57"/>
      <c r="V2010" s="58"/>
      <c r="W2010" s="58"/>
      <c r="X2010" s="30" t="e">
        <f t="shared" si="11"/>
        <v>#N/A</v>
      </c>
      <c r="Y2010" s="30" t="e">
        <f t="shared" si="12"/>
        <v>#N/A</v>
      </c>
      <c r="Z2010" s="35" t="e">
        <f t="shared" si="13"/>
        <v>#VALUE!</v>
      </c>
      <c r="AA2010" s="29" t="e">
        <f t="shared" si="14"/>
        <v>#VALUE!</v>
      </c>
      <c r="AB2010" s="36" t="e">
        <f t="shared" si="15"/>
        <v>#VALUE!</v>
      </c>
      <c r="AC2010" s="37" t="b">
        <v>0</v>
      </c>
      <c r="AD2010" s="61" t="str">
        <f t="shared" si="16"/>
        <v>USD</v>
      </c>
      <c r="AE2010" s="37"/>
      <c r="AF2010" s="37" t="e">
        <f t="array" ref="AF2010">INDEX('Deal Info'!D:D, MATCH(A2010,'Deal Info'!A:A, 0))</f>
        <v>#N/A</v>
      </c>
      <c r="AG2010" s="38" t="e">
        <f t="array" ref="AG2010">INDEX('Deal Info'!G:G, MATCH(A2010,'Deal Info'!A:A, 0))</f>
        <v>#N/A</v>
      </c>
    </row>
    <row r="2011" spans="1:33" ht="14.25" hidden="1" x14ac:dyDescent="0.2">
      <c r="A2011" s="18" t="b">
        <f t="array" ref="A2011">IF(G2011='Room Info'!$B$1, INDEX('Room Info'!$A$2:$A2446, MATCH(B2011,'Room Info'!$B$2:$B2446, 0)),IF(G2011='Room Info'!$C$1, INDEX('Room Info'!$A$2:$A2446, MATCH(B2011,'Room Info'!$C$2:$C2446, 0)),IF(G2011='Room Info'!$D$1, INDEX('Room Info'!$A$2:$A2446, MATCH(B2011,'Room Info'!$D$2:$D2446, 0)),IF(G2011='Room Info'!$E$1, INDEX('Room Info'!$A$2:$A2446, MATCH(B2011,'Room Info'!$E$2:$E2446, 0)),IF(G2011='Room Info'!$F$1, INDEX('Room Info'!$A$2:$A2446, MATCH(B2011,'Room Info'!$F$2:$F2446, 0)),IF(G2011='Room Info'!$H$1, INDEX('Room Info'!$A$2:$A2446, MATCH(B2011,'Room Info'!$H$2:$H2446, 0)),IF(G2011='Room Info'!$G$1, INDEX('Room Info'!$A$2:$A2446, MATCH(B2011,'Room Info'!$G$2:$G2446, 0)))))))))</f>
        <v>0</v>
      </c>
      <c r="B2011" s="96"/>
      <c r="C2011" s="111"/>
      <c r="D2011" s="111"/>
      <c r="E2011" s="80"/>
      <c r="F2011" s="96"/>
      <c r="G2011" s="65"/>
      <c r="H2011" s="110"/>
      <c r="I2011" s="110"/>
      <c r="J2011" s="39" t="s">
        <v>334</v>
      </c>
      <c r="K2011" s="134"/>
      <c r="L2011" s="135"/>
      <c r="M2011" s="62"/>
      <c r="N2011" s="28" t="e">
        <f t="shared" si="8"/>
        <v>#VALUE!</v>
      </c>
      <c r="O2011" s="96"/>
      <c r="P2011" s="29" t="s">
        <v>334</v>
      </c>
      <c r="Q2011" s="55"/>
      <c r="R2011" s="31" t="e">
        <f t="shared" si="9"/>
        <v>#VALUE!</v>
      </c>
      <c r="S2011" s="97"/>
      <c r="T2011" s="32" t="e">
        <f t="shared" si="10"/>
        <v>#VALUE!</v>
      </c>
      <c r="U2011" s="57"/>
      <c r="V2011" s="58"/>
      <c r="W2011" s="58"/>
      <c r="X2011" s="30" t="e">
        <f t="shared" si="11"/>
        <v>#N/A</v>
      </c>
      <c r="Y2011" s="30" t="e">
        <f t="shared" si="12"/>
        <v>#N/A</v>
      </c>
      <c r="Z2011" s="35" t="e">
        <f t="shared" si="13"/>
        <v>#VALUE!</v>
      </c>
      <c r="AA2011" s="29" t="e">
        <f t="shared" si="14"/>
        <v>#VALUE!</v>
      </c>
      <c r="AB2011" s="36" t="e">
        <f t="shared" si="15"/>
        <v>#VALUE!</v>
      </c>
      <c r="AC2011" s="37" t="b">
        <v>0</v>
      </c>
      <c r="AD2011" s="61" t="str">
        <f t="shared" si="16"/>
        <v>USD</v>
      </c>
      <c r="AE2011" s="37"/>
      <c r="AF2011" s="37" t="e">
        <f t="array" ref="AF2011">INDEX('Deal Info'!D:D, MATCH(A2011,'Deal Info'!A:A, 0))</f>
        <v>#N/A</v>
      </c>
      <c r="AG2011" s="38" t="e">
        <f t="array" ref="AG2011">INDEX('Deal Info'!G:G, MATCH(A2011,'Deal Info'!A:A, 0))</f>
        <v>#N/A</v>
      </c>
    </row>
    <row r="2012" spans="1:33" ht="14.25" hidden="1" x14ac:dyDescent="0.2">
      <c r="A2012" s="18" t="b">
        <f t="array" ref="A2012">IF(G2012='Room Info'!$B$1, INDEX('Room Info'!$A$2:$A2446, MATCH(B2012,'Room Info'!$B$2:$B2446, 0)),IF(G2012='Room Info'!$C$1, INDEX('Room Info'!$A$2:$A2446, MATCH(B2012,'Room Info'!$C$2:$C2446, 0)),IF(G2012='Room Info'!$D$1, INDEX('Room Info'!$A$2:$A2446, MATCH(B2012,'Room Info'!$D$2:$D2446, 0)),IF(G2012='Room Info'!$E$1, INDEX('Room Info'!$A$2:$A2446, MATCH(B2012,'Room Info'!$E$2:$E2446, 0)),IF(G2012='Room Info'!$F$1, INDEX('Room Info'!$A$2:$A2446, MATCH(B2012,'Room Info'!$F$2:$F2446, 0)),IF(G2012='Room Info'!$H$1, INDEX('Room Info'!$A$2:$A2446, MATCH(B2012,'Room Info'!$H$2:$H2446, 0)),IF(G2012='Room Info'!$G$1, INDEX('Room Info'!$A$2:$A2446, MATCH(B2012,'Room Info'!$G$2:$G2446, 0)))))))))</f>
        <v>0</v>
      </c>
      <c r="B2012" s="96"/>
      <c r="C2012" s="111"/>
      <c r="D2012" s="111"/>
      <c r="E2012" s="80"/>
      <c r="F2012" s="133"/>
      <c r="G2012" s="96"/>
      <c r="H2012" s="110"/>
      <c r="I2012" s="110"/>
      <c r="J2012" s="39" t="s">
        <v>334</v>
      </c>
      <c r="K2012" s="112"/>
      <c r="L2012" s="113"/>
      <c r="M2012" s="62"/>
      <c r="N2012" s="28" t="e">
        <f t="shared" si="8"/>
        <v>#VALUE!</v>
      </c>
      <c r="O2012" s="65"/>
      <c r="P2012" s="29" t="s">
        <v>334</v>
      </c>
      <c r="Q2012" s="55"/>
      <c r="R2012" s="31" t="e">
        <f t="shared" si="9"/>
        <v>#VALUE!</v>
      </c>
      <c r="S2012" s="66"/>
      <c r="T2012" s="32" t="e">
        <f t="shared" si="10"/>
        <v>#VALUE!</v>
      </c>
      <c r="U2012" s="57"/>
      <c r="V2012" s="58"/>
      <c r="W2012" s="58"/>
      <c r="X2012" s="30" t="e">
        <f t="shared" si="11"/>
        <v>#N/A</v>
      </c>
      <c r="Y2012" s="30" t="e">
        <f t="shared" si="12"/>
        <v>#N/A</v>
      </c>
      <c r="Z2012" s="35" t="e">
        <f t="shared" si="13"/>
        <v>#VALUE!</v>
      </c>
      <c r="AA2012" s="29" t="e">
        <f t="shared" si="14"/>
        <v>#VALUE!</v>
      </c>
      <c r="AB2012" s="36" t="e">
        <f t="shared" si="15"/>
        <v>#VALUE!</v>
      </c>
      <c r="AC2012" s="37" t="b">
        <v>0</v>
      </c>
      <c r="AD2012" s="61" t="str">
        <f t="shared" si="16"/>
        <v>USD</v>
      </c>
      <c r="AE2012" s="37"/>
      <c r="AF2012" s="37" t="e">
        <f t="array" ref="AF2012">INDEX('Deal Info'!D:D, MATCH(A2012,'Deal Info'!A:A, 0))</f>
        <v>#N/A</v>
      </c>
      <c r="AG2012" s="38" t="e">
        <f t="array" ref="AG2012">INDEX('Deal Info'!G:G, MATCH(A2012,'Deal Info'!A:A, 0))</f>
        <v>#N/A</v>
      </c>
    </row>
    <row r="2013" spans="1:33" ht="14.25" hidden="1" x14ac:dyDescent="0.2">
      <c r="A2013" s="18" t="b">
        <f t="array" ref="A2013">IF(G2013='Room Info'!$B$1, INDEX('Room Info'!$A$2:$A2446, MATCH(B2013,'Room Info'!$B$2:$B2446, 0)),IF(G2013='Room Info'!$C$1, INDEX('Room Info'!$A$2:$A2446, MATCH(B2013,'Room Info'!$C$2:$C2446, 0)),IF(G2013='Room Info'!$D$1, INDEX('Room Info'!$A$2:$A2446, MATCH(B2013,'Room Info'!$D$2:$D2446, 0)),IF(G2013='Room Info'!$E$1, INDEX('Room Info'!$A$2:$A2446, MATCH(B2013,'Room Info'!$E$2:$E2446, 0)),IF(G2013='Room Info'!$F$1, INDEX('Room Info'!$A$2:$A2446, MATCH(B2013,'Room Info'!$F$2:$F2446, 0)),IF(G2013='Room Info'!$H$1, INDEX('Room Info'!$A$2:$A2446, MATCH(B2013,'Room Info'!$H$2:$H2446, 0)),IF(G2013='Room Info'!$G$1, INDEX('Room Info'!$A$2:$A2446, MATCH(B2013,'Room Info'!$G$2:$G2446, 0)))))))))</f>
        <v>0</v>
      </c>
      <c r="B2013" s="96"/>
      <c r="C2013" s="111"/>
      <c r="D2013" s="111"/>
      <c r="E2013" s="80"/>
      <c r="F2013" s="133"/>
      <c r="G2013" s="96"/>
      <c r="H2013" s="110"/>
      <c r="I2013" s="110"/>
      <c r="J2013" s="39" t="s">
        <v>334</v>
      </c>
      <c r="K2013" s="112"/>
      <c r="L2013" s="113"/>
      <c r="M2013" s="62"/>
      <c r="N2013" s="28" t="e">
        <f t="shared" si="8"/>
        <v>#VALUE!</v>
      </c>
      <c r="O2013" s="65"/>
      <c r="P2013" s="29" t="s">
        <v>334</v>
      </c>
      <c r="Q2013" s="55"/>
      <c r="R2013" s="31" t="e">
        <f t="shared" si="9"/>
        <v>#VALUE!</v>
      </c>
      <c r="S2013" s="66"/>
      <c r="T2013" s="32" t="e">
        <f t="shared" si="10"/>
        <v>#VALUE!</v>
      </c>
      <c r="U2013" s="57"/>
      <c r="V2013" s="58"/>
      <c r="W2013" s="58"/>
      <c r="X2013" s="30" t="e">
        <f t="shared" si="11"/>
        <v>#N/A</v>
      </c>
      <c r="Y2013" s="30" t="e">
        <f t="shared" si="12"/>
        <v>#N/A</v>
      </c>
      <c r="Z2013" s="35" t="e">
        <f t="shared" si="13"/>
        <v>#VALUE!</v>
      </c>
      <c r="AA2013" s="29" t="e">
        <f t="shared" si="14"/>
        <v>#VALUE!</v>
      </c>
      <c r="AB2013" s="36" t="e">
        <f t="shared" si="15"/>
        <v>#VALUE!</v>
      </c>
      <c r="AC2013" s="37" t="b">
        <v>0</v>
      </c>
      <c r="AD2013" s="61" t="str">
        <f t="shared" si="16"/>
        <v>USD</v>
      </c>
      <c r="AE2013" s="37"/>
      <c r="AF2013" s="37" t="e">
        <f t="array" ref="AF2013">INDEX('Deal Info'!D:D, MATCH(A2013,'Deal Info'!A:A, 0))</f>
        <v>#N/A</v>
      </c>
      <c r="AG2013" s="38" t="e">
        <f t="array" ref="AG2013">INDEX('Deal Info'!G:G, MATCH(A2013,'Deal Info'!A:A, 0))</f>
        <v>#N/A</v>
      </c>
    </row>
    <row r="2014" spans="1:33" ht="14.25" hidden="1" x14ac:dyDescent="0.2">
      <c r="A2014" s="18" t="b">
        <f t="array" ref="A2014">IF(G2014='Room Info'!$B$1, INDEX('Room Info'!$A$2:$A2446, MATCH(B2014,'Room Info'!$B$2:$B2446, 0)),IF(G2014='Room Info'!$C$1, INDEX('Room Info'!$A$2:$A2446, MATCH(B2014,'Room Info'!$C$2:$C2446, 0)),IF(G2014='Room Info'!$D$1, INDEX('Room Info'!$A$2:$A2446, MATCH(B2014,'Room Info'!$D$2:$D2446, 0)),IF(G2014='Room Info'!$E$1, INDEX('Room Info'!$A$2:$A2446, MATCH(B2014,'Room Info'!$E$2:$E2446, 0)),IF(G2014='Room Info'!$F$1, INDEX('Room Info'!$A$2:$A2446, MATCH(B2014,'Room Info'!$F$2:$F2446, 0)),IF(G2014='Room Info'!$H$1, INDEX('Room Info'!$A$2:$A2446, MATCH(B2014,'Room Info'!$H$2:$H2446, 0)),IF(G2014='Room Info'!$G$1, INDEX('Room Info'!$A$2:$A2446, MATCH(B2014,'Room Info'!$G$2:$G2446, 0)))))))))</f>
        <v>0</v>
      </c>
      <c r="B2014" s="96"/>
      <c r="C2014" s="136"/>
      <c r="D2014" s="136"/>
      <c r="E2014" s="137"/>
      <c r="F2014" s="133"/>
      <c r="G2014" s="96"/>
      <c r="H2014" s="100"/>
      <c r="I2014" s="100"/>
      <c r="J2014" s="39" t="s">
        <v>334</v>
      </c>
      <c r="K2014" s="134"/>
      <c r="L2014" s="135"/>
      <c r="M2014" s="79"/>
      <c r="N2014" s="28" t="e">
        <f t="shared" si="8"/>
        <v>#VALUE!</v>
      </c>
      <c r="O2014" s="96"/>
      <c r="P2014" s="29" t="s">
        <v>334</v>
      </c>
      <c r="Q2014" s="55"/>
      <c r="R2014" s="31" t="e">
        <f t="shared" si="9"/>
        <v>#VALUE!</v>
      </c>
      <c r="S2014" s="97"/>
      <c r="T2014" s="32" t="e">
        <f t="shared" si="10"/>
        <v>#VALUE!</v>
      </c>
      <c r="U2014" s="57"/>
      <c r="V2014" s="58"/>
      <c r="W2014" s="58"/>
      <c r="X2014" s="30" t="e">
        <f t="shared" si="11"/>
        <v>#N/A</v>
      </c>
      <c r="Y2014" s="30" t="e">
        <f t="shared" si="12"/>
        <v>#N/A</v>
      </c>
      <c r="Z2014" s="35" t="e">
        <f t="shared" si="13"/>
        <v>#VALUE!</v>
      </c>
      <c r="AA2014" s="29" t="e">
        <f t="shared" si="14"/>
        <v>#VALUE!</v>
      </c>
      <c r="AB2014" s="36" t="e">
        <f t="shared" si="15"/>
        <v>#VALUE!</v>
      </c>
      <c r="AC2014" s="37" t="b">
        <v>0</v>
      </c>
      <c r="AD2014" s="61" t="str">
        <f t="shared" si="16"/>
        <v>USD</v>
      </c>
      <c r="AE2014" s="37"/>
      <c r="AF2014" s="37" t="e">
        <f t="array" ref="AF2014">INDEX('Deal Info'!D:D, MATCH(A2014,'Deal Info'!A:A, 0))</f>
        <v>#N/A</v>
      </c>
      <c r="AG2014" s="38" t="e">
        <f t="array" ref="AG2014">INDEX('Deal Info'!G:G, MATCH(A2014,'Deal Info'!A:A, 0))</f>
        <v>#N/A</v>
      </c>
    </row>
    <row r="2015" spans="1:33" ht="14.25" hidden="1" x14ac:dyDescent="0.2">
      <c r="A2015" s="18" t="b">
        <f t="array" ref="A2015">IF(G2015='Room Info'!$B$1, INDEX('Room Info'!$A$2:$A2446, MATCH(B2015,'Room Info'!$B$2:$B2446, 0)),IF(G2015='Room Info'!$C$1, INDEX('Room Info'!$A$2:$A2446, MATCH(B2015,'Room Info'!$C$2:$C2446, 0)),IF(G2015='Room Info'!$D$1, INDEX('Room Info'!$A$2:$A2446, MATCH(B2015,'Room Info'!$D$2:$D2446, 0)),IF(G2015='Room Info'!$E$1, INDEX('Room Info'!$A$2:$A2446, MATCH(B2015,'Room Info'!$E$2:$E2446, 0)),IF(G2015='Room Info'!$F$1, INDEX('Room Info'!$A$2:$A2446, MATCH(B2015,'Room Info'!$F$2:$F2446, 0)),IF(G2015='Room Info'!$H$1, INDEX('Room Info'!$A$2:$A2446, MATCH(B2015,'Room Info'!$H$2:$H2446, 0)),IF(G2015='Room Info'!$G$1, INDEX('Room Info'!$A$2:$A2446, MATCH(B2015,'Room Info'!$G$2:$G2446, 0)))))))))</f>
        <v>0</v>
      </c>
      <c r="B2015" s="96"/>
      <c r="C2015" s="136"/>
      <c r="D2015" s="136"/>
      <c r="E2015" s="137"/>
      <c r="F2015" s="133"/>
      <c r="G2015" s="96"/>
      <c r="H2015" s="100"/>
      <c r="I2015" s="100"/>
      <c r="J2015" s="39" t="s">
        <v>334</v>
      </c>
      <c r="K2015" s="134"/>
      <c r="L2015" s="135"/>
      <c r="M2015" s="79"/>
      <c r="N2015" s="28" t="e">
        <f t="shared" si="8"/>
        <v>#VALUE!</v>
      </c>
      <c r="O2015" s="96"/>
      <c r="P2015" s="29" t="s">
        <v>334</v>
      </c>
      <c r="Q2015" s="55"/>
      <c r="R2015" s="31" t="e">
        <f t="shared" si="9"/>
        <v>#VALUE!</v>
      </c>
      <c r="S2015" s="97"/>
      <c r="T2015" s="32" t="e">
        <f t="shared" si="10"/>
        <v>#VALUE!</v>
      </c>
      <c r="U2015" s="57"/>
      <c r="V2015" s="58"/>
      <c r="W2015" s="58"/>
      <c r="X2015" s="30" t="e">
        <f t="shared" si="11"/>
        <v>#N/A</v>
      </c>
      <c r="Y2015" s="30" t="e">
        <f t="shared" si="12"/>
        <v>#N/A</v>
      </c>
      <c r="Z2015" s="35" t="e">
        <f t="shared" si="13"/>
        <v>#VALUE!</v>
      </c>
      <c r="AA2015" s="29" t="e">
        <f t="shared" si="14"/>
        <v>#VALUE!</v>
      </c>
      <c r="AB2015" s="36" t="e">
        <f t="shared" si="15"/>
        <v>#VALUE!</v>
      </c>
      <c r="AC2015" s="37" t="b">
        <v>0</v>
      </c>
      <c r="AD2015" s="61" t="str">
        <f t="shared" si="16"/>
        <v>USD</v>
      </c>
      <c r="AE2015" s="37"/>
      <c r="AF2015" s="37" t="e">
        <f t="array" ref="AF2015">INDEX('Deal Info'!D:D, MATCH(A2015,'Deal Info'!A:A, 0))</f>
        <v>#N/A</v>
      </c>
      <c r="AG2015" s="38" t="e">
        <f t="array" ref="AG2015">INDEX('Deal Info'!G:G, MATCH(A2015,'Deal Info'!A:A, 0))</f>
        <v>#N/A</v>
      </c>
    </row>
    <row r="2016" spans="1:33" ht="14.25" hidden="1" x14ac:dyDescent="0.2">
      <c r="A2016" s="18" t="b">
        <f t="array" ref="A2016">IF(G2016='Room Info'!$B$1, INDEX('Room Info'!$A$2:$A2446, MATCH(B2016,'Room Info'!$B$2:$B2446, 0)),IF(G2016='Room Info'!$C$1, INDEX('Room Info'!$A$2:$A2446, MATCH(B2016,'Room Info'!$C$2:$C2446, 0)),IF(G2016='Room Info'!$D$1, INDEX('Room Info'!$A$2:$A2446, MATCH(B2016,'Room Info'!$D$2:$D2446, 0)),IF(G2016='Room Info'!$E$1, INDEX('Room Info'!$A$2:$A2446, MATCH(B2016,'Room Info'!$E$2:$E2446, 0)),IF(G2016='Room Info'!$F$1, INDEX('Room Info'!$A$2:$A2446, MATCH(B2016,'Room Info'!$F$2:$F2446, 0)),IF(G2016='Room Info'!$H$1, INDEX('Room Info'!$A$2:$A2446, MATCH(B2016,'Room Info'!$H$2:$H2446, 0)),IF(G2016='Room Info'!$G$1, INDEX('Room Info'!$A$2:$A2446, MATCH(B2016,'Room Info'!$G$2:$G2446, 0)))))))))</f>
        <v>0</v>
      </c>
      <c r="B2016" s="96"/>
      <c r="C2016" s="136"/>
      <c r="D2016" s="136"/>
      <c r="E2016" s="137"/>
      <c r="F2016" s="133"/>
      <c r="G2016" s="65"/>
      <c r="H2016" s="110"/>
      <c r="I2016" s="110"/>
      <c r="J2016" s="39" t="s">
        <v>334</v>
      </c>
      <c r="K2016" s="134"/>
      <c r="L2016" s="135"/>
      <c r="M2016" s="62"/>
      <c r="N2016" s="28" t="e">
        <f t="shared" si="8"/>
        <v>#VALUE!</v>
      </c>
      <c r="O2016" s="96"/>
      <c r="P2016" s="29" t="s">
        <v>334</v>
      </c>
      <c r="Q2016" s="55"/>
      <c r="R2016" s="31" t="e">
        <f t="shared" si="9"/>
        <v>#VALUE!</v>
      </c>
      <c r="S2016" s="97"/>
      <c r="T2016" s="32" t="e">
        <f t="shared" si="10"/>
        <v>#VALUE!</v>
      </c>
      <c r="U2016" s="57"/>
      <c r="V2016" s="58"/>
      <c r="W2016" s="58"/>
      <c r="X2016" s="30" t="e">
        <f t="shared" si="11"/>
        <v>#N/A</v>
      </c>
      <c r="Y2016" s="30" t="e">
        <f t="shared" si="12"/>
        <v>#N/A</v>
      </c>
      <c r="Z2016" s="35" t="e">
        <f t="shared" si="13"/>
        <v>#VALUE!</v>
      </c>
      <c r="AA2016" s="29" t="e">
        <f t="shared" si="14"/>
        <v>#VALUE!</v>
      </c>
      <c r="AB2016" s="36" t="e">
        <f t="shared" si="15"/>
        <v>#VALUE!</v>
      </c>
      <c r="AC2016" s="37" t="b">
        <v>0</v>
      </c>
      <c r="AD2016" s="61" t="str">
        <f t="shared" si="16"/>
        <v>USD</v>
      </c>
      <c r="AE2016" s="37"/>
      <c r="AF2016" s="37" t="e">
        <f t="array" ref="AF2016">INDEX('Deal Info'!D:D, MATCH(A2016,'Deal Info'!A:A, 0))</f>
        <v>#N/A</v>
      </c>
      <c r="AG2016" s="38" t="e">
        <f t="array" ref="AG2016">INDEX('Deal Info'!G:G, MATCH(A2016,'Deal Info'!A:A, 0))</f>
        <v>#N/A</v>
      </c>
    </row>
    <row r="2017" spans="1:33" ht="14.25" hidden="1" x14ac:dyDescent="0.2">
      <c r="A2017" s="18" t="b">
        <f t="array" ref="A2017">IF(G2017='Room Info'!$B$1, INDEX('Room Info'!$A$2:$A2446, MATCH(B2017,'Room Info'!$B$2:$B2446, 0)),IF(G2017='Room Info'!$C$1, INDEX('Room Info'!$A$2:$A2446, MATCH(B2017,'Room Info'!$C$2:$C2446, 0)),IF(G2017='Room Info'!$D$1, INDEX('Room Info'!$A$2:$A2446, MATCH(B2017,'Room Info'!$D$2:$D2446, 0)),IF(G2017='Room Info'!$E$1, INDEX('Room Info'!$A$2:$A2446, MATCH(B2017,'Room Info'!$E$2:$E2446, 0)),IF(G2017='Room Info'!$F$1, INDEX('Room Info'!$A$2:$A2446, MATCH(B2017,'Room Info'!$F$2:$F2446, 0)),IF(G2017='Room Info'!$H$1, INDEX('Room Info'!$A$2:$A2446, MATCH(B2017,'Room Info'!$H$2:$H2446, 0)),IF(G2017='Room Info'!$G$1, INDEX('Room Info'!$A$2:$A2446, MATCH(B2017,'Room Info'!$G$2:$G2446, 0)))))))))</f>
        <v>0</v>
      </c>
      <c r="B2017" s="96"/>
      <c r="C2017" s="136"/>
      <c r="D2017" s="136"/>
      <c r="E2017" s="137"/>
      <c r="F2017" s="133"/>
      <c r="G2017" s="65"/>
      <c r="H2017" s="100"/>
      <c r="I2017" s="100"/>
      <c r="J2017" s="39" t="s">
        <v>334</v>
      </c>
      <c r="K2017" s="134"/>
      <c r="L2017" s="135"/>
      <c r="M2017" s="62"/>
      <c r="N2017" s="28" t="e">
        <f t="shared" si="8"/>
        <v>#VALUE!</v>
      </c>
      <c r="O2017" s="96"/>
      <c r="P2017" s="29" t="s">
        <v>334</v>
      </c>
      <c r="Q2017" s="55"/>
      <c r="R2017" s="31" t="e">
        <f t="shared" si="9"/>
        <v>#VALUE!</v>
      </c>
      <c r="S2017" s="97"/>
      <c r="T2017" s="32" t="e">
        <f t="shared" si="10"/>
        <v>#VALUE!</v>
      </c>
      <c r="U2017" s="57"/>
      <c r="V2017" s="58"/>
      <c r="W2017" s="58"/>
      <c r="X2017" s="30" t="e">
        <f t="shared" si="11"/>
        <v>#N/A</v>
      </c>
      <c r="Y2017" s="30" t="e">
        <f t="shared" si="12"/>
        <v>#N/A</v>
      </c>
      <c r="Z2017" s="35" t="e">
        <f t="shared" si="13"/>
        <v>#VALUE!</v>
      </c>
      <c r="AA2017" s="29" t="e">
        <f t="shared" si="14"/>
        <v>#VALUE!</v>
      </c>
      <c r="AB2017" s="36" t="e">
        <f t="shared" si="15"/>
        <v>#VALUE!</v>
      </c>
      <c r="AC2017" s="37" t="b">
        <v>0</v>
      </c>
      <c r="AD2017" s="61" t="str">
        <f t="shared" si="16"/>
        <v>USD</v>
      </c>
      <c r="AE2017" s="37"/>
      <c r="AF2017" s="37" t="e">
        <f t="array" ref="AF2017">INDEX('Deal Info'!D:D, MATCH(A2017,'Deal Info'!A:A, 0))</f>
        <v>#N/A</v>
      </c>
      <c r="AG2017" s="38" t="e">
        <f t="array" ref="AG2017">INDEX('Deal Info'!G:G, MATCH(A2017,'Deal Info'!A:A, 0))</f>
        <v>#N/A</v>
      </c>
    </row>
    <row r="2018" spans="1:33" ht="14.25" hidden="1" x14ac:dyDescent="0.2">
      <c r="A2018" s="18" t="b">
        <f t="array" ref="A2018">IF(G2018='Room Info'!$B$1, INDEX('Room Info'!$A$2:$A2446, MATCH(B2018,'Room Info'!$B$2:$B2446, 0)),IF(G2018='Room Info'!$C$1, INDEX('Room Info'!$A$2:$A2446, MATCH(B2018,'Room Info'!$C$2:$C2446, 0)),IF(G2018='Room Info'!$D$1, INDEX('Room Info'!$A$2:$A2446, MATCH(B2018,'Room Info'!$D$2:$D2446, 0)),IF(G2018='Room Info'!$E$1, INDEX('Room Info'!$A$2:$A2446, MATCH(B2018,'Room Info'!$E$2:$E2446, 0)),IF(G2018='Room Info'!$F$1, INDEX('Room Info'!$A$2:$A2446, MATCH(B2018,'Room Info'!$F$2:$F2446, 0)),IF(G2018='Room Info'!$H$1, INDEX('Room Info'!$A$2:$A2446, MATCH(B2018,'Room Info'!$H$2:$H2446, 0)),IF(G2018='Room Info'!$G$1, INDEX('Room Info'!$A$2:$A2446, MATCH(B2018,'Room Info'!$G$2:$G2446, 0)))))))))</f>
        <v>0</v>
      </c>
      <c r="B2018" s="96"/>
      <c r="C2018" s="111"/>
      <c r="D2018" s="111"/>
      <c r="E2018" s="80"/>
      <c r="F2018" s="96"/>
      <c r="G2018" s="65"/>
      <c r="H2018" s="110"/>
      <c r="I2018" s="110"/>
      <c r="J2018" s="39" t="s">
        <v>334</v>
      </c>
      <c r="K2018" s="112"/>
      <c r="L2018" s="113"/>
      <c r="M2018" s="62"/>
      <c r="N2018" s="28" t="e">
        <f t="shared" si="8"/>
        <v>#VALUE!</v>
      </c>
      <c r="O2018" s="65"/>
      <c r="P2018" s="29" t="s">
        <v>334</v>
      </c>
      <c r="Q2018" s="55"/>
      <c r="R2018" s="31" t="e">
        <f t="shared" si="9"/>
        <v>#VALUE!</v>
      </c>
      <c r="S2018" s="66"/>
      <c r="T2018" s="32" t="e">
        <f t="shared" si="10"/>
        <v>#VALUE!</v>
      </c>
      <c r="U2018" s="57"/>
      <c r="V2018" s="58"/>
      <c r="W2018" s="58"/>
      <c r="X2018" s="30" t="e">
        <f t="shared" si="11"/>
        <v>#N/A</v>
      </c>
      <c r="Y2018" s="30" t="e">
        <f t="shared" si="12"/>
        <v>#N/A</v>
      </c>
      <c r="Z2018" s="35" t="e">
        <f t="shared" si="13"/>
        <v>#VALUE!</v>
      </c>
      <c r="AA2018" s="29" t="e">
        <f t="shared" si="14"/>
        <v>#VALUE!</v>
      </c>
      <c r="AB2018" s="36" t="e">
        <f t="shared" si="15"/>
        <v>#VALUE!</v>
      </c>
      <c r="AC2018" s="37" t="b">
        <v>0</v>
      </c>
      <c r="AD2018" s="61" t="str">
        <f t="shared" si="16"/>
        <v>USD</v>
      </c>
      <c r="AE2018" s="37"/>
      <c r="AF2018" s="37" t="e">
        <f t="array" ref="AF2018">INDEX('Deal Info'!D:D, MATCH(A2018,'Deal Info'!A:A, 0))</f>
        <v>#N/A</v>
      </c>
      <c r="AG2018" s="38" t="e">
        <f t="array" ref="AG2018">INDEX('Deal Info'!G:G, MATCH(A2018,'Deal Info'!A:A, 0))</f>
        <v>#N/A</v>
      </c>
    </row>
    <row r="2019" spans="1:33" ht="14.25" hidden="1" x14ac:dyDescent="0.2">
      <c r="A2019" s="18" t="b">
        <f t="array" ref="A2019">IF(G2019='Room Info'!$B$1, INDEX('Room Info'!$A$2:$A2446, MATCH(B2019,'Room Info'!$B$2:$B2446, 0)),IF(G2019='Room Info'!$C$1, INDEX('Room Info'!$A$2:$A2446, MATCH(B2019,'Room Info'!$C$2:$C2446, 0)),IF(G2019='Room Info'!$D$1, INDEX('Room Info'!$A$2:$A2446, MATCH(B2019,'Room Info'!$D$2:$D2446, 0)),IF(G2019='Room Info'!$E$1, INDEX('Room Info'!$A$2:$A2446, MATCH(B2019,'Room Info'!$E$2:$E2446, 0)),IF(G2019='Room Info'!$F$1, INDEX('Room Info'!$A$2:$A2446, MATCH(B2019,'Room Info'!$F$2:$F2446, 0)),IF(G2019='Room Info'!$H$1, INDEX('Room Info'!$A$2:$A2446, MATCH(B2019,'Room Info'!$H$2:$H2446, 0)),IF(G2019='Room Info'!$G$1, INDEX('Room Info'!$A$2:$A2446, MATCH(B2019,'Room Info'!$G$2:$G2446, 0)))))))))</f>
        <v>0</v>
      </c>
      <c r="B2019" s="96"/>
      <c r="C2019" s="111"/>
      <c r="D2019" s="111"/>
      <c r="E2019" s="80"/>
      <c r="F2019" s="96"/>
      <c r="G2019" s="65"/>
      <c r="H2019" s="110"/>
      <c r="I2019" s="110"/>
      <c r="J2019" s="39" t="s">
        <v>334</v>
      </c>
      <c r="K2019" s="112"/>
      <c r="L2019" s="113"/>
      <c r="M2019" s="62"/>
      <c r="N2019" s="28" t="e">
        <f t="shared" si="8"/>
        <v>#VALUE!</v>
      </c>
      <c r="O2019" s="65"/>
      <c r="P2019" s="29" t="s">
        <v>334</v>
      </c>
      <c r="Q2019" s="55"/>
      <c r="R2019" s="31" t="e">
        <f t="shared" si="9"/>
        <v>#VALUE!</v>
      </c>
      <c r="S2019" s="66"/>
      <c r="T2019" s="32" t="e">
        <f t="shared" si="10"/>
        <v>#VALUE!</v>
      </c>
      <c r="U2019" s="57"/>
      <c r="V2019" s="58"/>
      <c r="W2019" s="58"/>
      <c r="X2019" s="30" t="e">
        <f t="shared" si="11"/>
        <v>#N/A</v>
      </c>
      <c r="Y2019" s="30" t="e">
        <f t="shared" si="12"/>
        <v>#N/A</v>
      </c>
      <c r="Z2019" s="35" t="e">
        <f t="shared" si="13"/>
        <v>#VALUE!</v>
      </c>
      <c r="AA2019" s="29" t="e">
        <f t="shared" si="14"/>
        <v>#VALUE!</v>
      </c>
      <c r="AB2019" s="36" t="e">
        <f t="shared" si="15"/>
        <v>#VALUE!</v>
      </c>
      <c r="AC2019" s="37" t="b">
        <v>0</v>
      </c>
      <c r="AD2019" s="61" t="str">
        <f t="shared" si="16"/>
        <v>USD</v>
      </c>
      <c r="AE2019" s="37"/>
      <c r="AF2019" s="37" t="e">
        <f t="array" ref="AF2019">INDEX('Deal Info'!D:D, MATCH(A2019,'Deal Info'!A:A, 0))</f>
        <v>#N/A</v>
      </c>
      <c r="AG2019" s="38" t="e">
        <f t="array" ref="AG2019">INDEX('Deal Info'!G:G, MATCH(A2019,'Deal Info'!A:A, 0))</f>
        <v>#N/A</v>
      </c>
    </row>
    <row r="2020" spans="1:33" ht="14.25" hidden="1" x14ac:dyDescent="0.2">
      <c r="A2020" s="18" t="b">
        <f t="array" ref="A2020">IF(G2020='Room Info'!$B$1, INDEX('Room Info'!$A$2:$A2446, MATCH(B2020,'Room Info'!$B$2:$B2446, 0)),IF(G2020='Room Info'!$C$1, INDEX('Room Info'!$A$2:$A2446, MATCH(B2020,'Room Info'!$C$2:$C2446, 0)),IF(G2020='Room Info'!$D$1, INDEX('Room Info'!$A$2:$A2446, MATCH(B2020,'Room Info'!$D$2:$D2446, 0)),IF(G2020='Room Info'!$E$1, INDEX('Room Info'!$A$2:$A2446, MATCH(B2020,'Room Info'!$E$2:$E2446, 0)),IF(G2020='Room Info'!$F$1, INDEX('Room Info'!$A$2:$A2446, MATCH(B2020,'Room Info'!$F$2:$F2446, 0)),IF(G2020='Room Info'!$H$1, INDEX('Room Info'!$A$2:$A2446, MATCH(B2020,'Room Info'!$H$2:$H2446, 0)),IF(G2020='Room Info'!$G$1, INDEX('Room Info'!$A$2:$A2446, MATCH(B2020,'Room Info'!$G$2:$G2446, 0)))))))))</f>
        <v>0</v>
      </c>
      <c r="B2020" s="96"/>
      <c r="C2020" s="111"/>
      <c r="D2020" s="111"/>
      <c r="E2020" s="80"/>
      <c r="F2020" s="133"/>
      <c r="G2020" s="65"/>
      <c r="H2020" s="110"/>
      <c r="I2020" s="110"/>
      <c r="J2020" s="39" t="s">
        <v>334</v>
      </c>
      <c r="K2020" s="112"/>
      <c r="L2020" s="113"/>
      <c r="M2020" s="62"/>
      <c r="N2020" s="28" t="e">
        <f t="shared" si="8"/>
        <v>#VALUE!</v>
      </c>
      <c r="O2020" s="65"/>
      <c r="P2020" s="29" t="s">
        <v>334</v>
      </c>
      <c r="Q2020" s="55"/>
      <c r="R2020" s="31" t="e">
        <f t="shared" si="9"/>
        <v>#VALUE!</v>
      </c>
      <c r="S2020" s="66"/>
      <c r="T2020" s="32" t="e">
        <f t="shared" si="10"/>
        <v>#VALUE!</v>
      </c>
      <c r="U2020" s="57"/>
      <c r="V2020" s="58"/>
      <c r="W2020" s="58"/>
      <c r="X2020" s="30" t="e">
        <f t="shared" si="11"/>
        <v>#N/A</v>
      </c>
      <c r="Y2020" s="30" t="e">
        <f t="shared" si="12"/>
        <v>#N/A</v>
      </c>
      <c r="Z2020" s="35" t="e">
        <f t="shared" si="13"/>
        <v>#VALUE!</v>
      </c>
      <c r="AA2020" s="29" t="e">
        <f t="shared" si="14"/>
        <v>#VALUE!</v>
      </c>
      <c r="AB2020" s="36" t="e">
        <f t="shared" si="15"/>
        <v>#VALUE!</v>
      </c>
      <c r="AC2020" s="37" t="b">
        <v>0</v>
      </c>
      <c r="AD2020" s="61" t="str">
        <f t="shared" si="16"/>
        <v>USD</v>
      </c>
      <c r="AE2020" s="37"/>
      <c r="AF2020" s="37" t="e">
        <f t="array" ref="AF2020">INDEX('Deal Info'!D:D, MATCH(A2020,'Deal Info'!A:A, 0))</f>
        <v>#N/A</v>
      </c>
      <c r="AG2020" s="38" t="e">
        <f t="array" ref="AG2020">INDEX('Deal Info'!G:G, MATCH(A2020,'Deal Info'!A:A, 0))</f>
        <v>#N/A</v>
      </c>
    </row>
    <row r="2021" spans="1:33" ht="14.25" hidden="1" x14ac:dyDescent="0.2">
      <c r="A2021" s="18" t="b">
        <f t="array" ref="A2021">IF(G2021='Room Info'!$B$1, INDEX('Room Info'!$A$2:$A2446, MATCH(B2021,'Room Info'!$B$2:$B2446, 0)),IF(G2021='Room Info'!$C$1, INDEX('Room Info'!$A$2:$A2446, MATCH(B2021,'Room Info'!$C$2:$C2446, 0)),IF(G2021='Room Info'!$D$1, INDEX('Room Info'!$A$2:$A2446, MATCH(B2021,'Room Info'!$D$2:$D2446, 0)),IF(G2021='Room Info'!$E$1, INDEX('Room Info'!$A$2:$A2446, MATCH(B2021,'Room Info'!$E$2:$E2446, 0)),IF(G2021='Room Info'!$F$1, INDEX('Room Info'!$A$2:$A2446, MATCH(B2021,'Room Info'!$F$2:$F2446, 0)),IF(G2021='Room Info'!$H$1, INDEX('Room Info'!$A$2:$A2446, MATCH(B2021,'Room Info'!$H$2:$H2446, 0)),IF(G2021='Room Info'!$G$1, INDEX('Room Info'!$A$2:$A2446, MATCH(B2021,'Room Info'!$G$2:$G2446, 0)))))))))</f>
        <v>0</v>
      </c>
      <c r="B2021" s="96"/>
      <c r="C2021" s="111"/>
      <c r="D2021" s="111"/>
      <c r="E2021" s="80"/>
      <c r="F2021" s="133"/>
      <c r="G2021" s="65"/>
      <c r="H2021" s="100"/>
      <c r="I2021" s="100"/>
      <c r="J2021" s="39" t="s">
        <v>334</v>
      </c>
      <c r="K2021" s="134"/>
      <c r="L2021" s="135"/>
      <c r="M2021" s="62"/>
      <c r="N2021" s="28" t="e">
        <f t="shared" si="8"/>
        <v>#VALUE!</v>
      </c>
      <c r="O2021" s="96"/>
      <c r="P2021" s="29" t="s">
        <v>334</v>
      </c>
      <c r="Q2021" s="55"/>
      <c r="R2021" s="31" t="e">
        <f t="shared" si="9"/>
        <v>#VALUE!</v>
      </c>
      <c r="S2021" s="97"/>
      <c r="T2021" s="32" t="e">
        <f t="shared" si="10"/>
        <v>#VALUE!</v>
      </c>
      <c r="U2021" s="57"/>
      <c r="V2021" s="58"/>
      <c r="W2021" s="58"/>
      <c r="X2021" s="30" t="e">
        <f t="shared" si="11"/>
        <v>#N/A</v>
      </c>
      <c r="Y2021" s="30" t="e">
        <f t="shared" si="12"/>
        <v>#N/A</v>
      </c>
      <c r="Z2021" s="35" t="e">
        <f t="shared" si="13"/>
        <v>#VALUE!</v>
      </c>
      <c r="AA2021" s="29" t="e">
        <f t="shared" si="14"/>
        <v>#VALUE!</v>
      </c>
      <c r="AB2021" s="36" t="e">
        <f t="shared" si="15"/>
        <v>#VALUE!</v>
      </c>
      <c r="AC2021" s="37" t="b">
        <v>0</v>
      </c>
      <c r="AD2021" s="61" t="str">
        <f t="shared" si="16"/>
        <v>USD</v>
      </c>
      <c r="AE2021" s="37"/>
      <c r="AF2021" s="37" t="e">
        <f t="array" ref="AF2021">INDEX('Deal Info'!D:D, MATCH(A2021,'Deal Info'!A:A, 0))</f>
        <v>#N/A</v>
      </c>
      <c r="AG2021" s="38" t="e">
        <f t="array" ref="AG2021">INDEX('Deal Info'!G:G, MATCH(A2021,'Deal Info'!A:A, 0))</f>
        <v>#N/A</v>
      </c>
    </row>
    <row r="2022" spans="1:33" ht="14.25" hidden="1" x14ac:dyDescent="0.2">
      <c r="A2022" s="18" t="b">
        <f t="array" ref="A2022">IF(G2022='Room Info'!$B$1, INDEX('Room Info'!$A$2:$A2446, MATCH(B2022,'Room Info'!$B$2:$B2446, 0)),IF(G2022='Room Info'!$C$1, INDEX('Room Info'!$A$2:$A2446, MATCH(B2022,'Room Info'!$C$2:$C2446, 0)),IF(G2022='Room Info'!$D$1, INDEX('Room Info'!$A$2:$A2446, MATCH(B2022,'Room Info'!$D$2:$D2446, 0)),IF(G2022='Room Info'!$E$1, INDEX('Room Info'!$A$2:$A2446, MATCH(B2022,'Room Info'!$E$2:$E2446, 0)),IF(G2022='Room Info'!$F$1, INDEX('Room Info'!$A$2:$A2446, MATCH(B2022,'Room Info'!$F$2:$F2446, 0)),IF(G2022='Room Info'!$H$1, INDEX('Room Info'!$A$2:$A2446, MATCH(B2022,'Room Info'!$H$2:$H2446, 0)),IF(G2022='Room Info'!$G$1, INDEX('Room Info'!$A$2:$A2446, MATCH(B2022,'Room Info'!$G$2:$G2446, 0)))))))))</f>
        <v>0</v>
      </c>
      <c r="B2022" s="96"/>
      <c r="C2022" s="111"/>
      <c r="D2022" s="111"/>
      <c r="E2022" s="80"/>
      <c r="F2022" s="133"/>
      <c r="G2022" s="65"/>
      <c r="H2022" s="100"/>
      <c r="I2022" s="100"/>
      <c r="J2022" s="39" t="s">
        <v>334</v>
      </c>
      <c r="K2022" s="134"/>
      <c r="L2022" s="135"/>
      <c r="M2022" s="62"/>
      <c r="N2022" s="28" t="e">
        <f t="shared" si="8"/>
        <v>#VALUE!</v>
      </c>
      <c r="O2022" s="96"/>
      <c r="P2022" s="29" t="s">
        <v>334</v>
      </c>
      <c r="Q2022" s="55"/>
      <c r="R2022" s="31" t="e">
        <f t="shared" si="9"/>
        <v>#VALUE!</v>
      </c>
      <c r="S2022" s="97"/>
      <c r="T2022" s="32" t="e">
        <f t="shared" si="10"/>
        <v>#VALUE!</v>
      </c>
      <c r="U2022" s="57"/>
      <c r="V2022" s="58"/>
      <c r="W2022" s="58"/>
      <c r="X2022" s="30" t="e">
        <f t="shared" si="11"/>
        <v>#N/A</v>
      </c>
      <c r="Y2022" s="30" t="e">
        <f t="shared" si="12"/>
        <v>#N/A</v>
      </c>
      <c r="Z2022" s="35" t="e">
        <f t="shared" si="13"/>
        <v>#VALUE!</v>
      </c>
      <c r="AA2022" s="29" t="e">
        <f t="shared" si="14"/>
        <v>#VALUE!</v>
      </c>
      <c r="AB2022" s="36" t="e">
        <f t="shared" si="15"/>
        <v>#VALUE!</v>
      </c>
      <c r="AC2022" s="37" t="b">
        <v>0</v>
      </c>
      <c r="AD2022" s="61" t="str">
        <f t="shared" si="16"/>
        <v>USD</v>
      </c>
      <c r="AE2022" s="37"/>
      <c r="AF2022" s="37" t="e">
        <f t="array" ref="AF2022">INDEX('Deal Info'!D:D, MATCH(A2022,'Deal Info'!A:A, 0))</f>
        <v>#N/A</v>
      </c>
      <c r="AG2022" s="38" t="e">
        <f t="array" ref="AG2022">INDEX('Deal Info'!G:G, MATCH(A2022,'Deal Info'!A:A, 0))</f>
        <v>#N/A</v>
      </c>
    </row>
    <row r="2023" spans="1:33" ht="14.25" hidden="1" x14ac:dyDescent="0.2">
      <c r="A2023" s="18" t="b">
        <f t="array" ref="A2023">IF(G2023='Room Info'!$B$1, INDEX('Room Info'!$A$2:$A2446, MATCH(B2023,'Room Info'!$B$2:$B2446, 0)),IF(G2023='Room Info'!$C$1, INDEX('Room Info'!$A$2:$A2446, MATCH(B2023,'Room Info'!$C$2:$C2446, 0)),IF(G2023='Room Info'!$D$1, INDEX('Room Info'!$A$2:$A2446, MATCH(B2023,'Room Info'!$D$2:$D2446, 0)),IF(G2023='Room Info'!$E$1, INDEX('Room Info'!$A$2:$A2446, MATCH(B2023,'Room Info'!$E$2:$E2446, 0)),IF(G2023='Room Info'!$F$1, INDEX('Room Info'!$A$2:$A2446, MATCH(B2023,'Room Info'!$F$2:$F2446, 0)),IF(G2023='Room Info'!$H$1, INDEX('Room Info'!$A$2:$A2446, MATCH(B2023,'Room Info'!$H$2:$H2446, 0)),IF(G2023='Room Info'!$G$1, INDEX('Room Info'!$A$2:$A2446, MATCH(B2023,'Room Info'!$G$2:$G2446, 0)))))))))</f>
        <v>0</v>
      </c>
      <c r="B2023" s="96"/>
      <c r="C2023" s="136"/>
      <c r="D2023" s="136"/>
      <c r="E2023" s="137"/>
      <c r="F2023" s="133"/>
      <c r="G2023" s="96"/>
      <c r="H2023" s="100"/>
      <c r="I2023" s="100"/>
      <c r="J2023" s="39" t="s">
        <v>334</v>
      </c>
      <c r="K2023" s="134"/>
      <c r="L2023" s="135"/>
      <c r="M2023" s="79"/>
      <c r="N2023" s="28" t="e">
        <f t="shared" si="8"/>
        <v>#VALUE!</v>
      </c>
      <c r="O2023" s="96"/>
      <c r="P2023" s="29" t="s">
        <v>334</v>
      </c>
      <c r="Q2023" s="55"/>
      <c r="R2023" s="31" t="e">
        <f t="shared" si="9"/>
        <v>#VALUE!</v>
      </c>
      <c r="S2023" s="97"/>
      <c r="T2023" s="32" t="e">
        <f t="shared" si="10"/>
        <v>#VALUE!</v>
      </c>
      <c r="U2023" s="57"/>
      <c r="V2023" s="58"/>
      <c r="W2023" s="58"/>
      <c r="X2023" s="30" t="e">
        <f t="shared" si="11"/>
        <v>#N/A</v>
      </c>
      <c r="Y2023" s="30" t="e">
        <f t="shared" si="12"/>
        <v>#N/A</v>
      </c>
      <c r="Z2023" s="35" t="e">
        <f t="shared" si="13"/>
        <v>#VALUE!</v>
      </c>
      <c r="AA2023" s="29" t="e">
        <f t="shared" si="14"/>
        <v>#VALUE!</v>
      </c>
      <c r="AB2023" s="36" t="e">
        <f t="shared" si="15"/>
        <v>#VALUE!</v>
      </c>
      <c r="AC2023" s="37" t="b">
        <v>0</v>
      </c>
      <c r="AD2023" s="61" t="str">
        <f t="shared" si="16"/>
        <v>USD</v>
      </c>
      <c r="AE2023" s="37"/>
      <c r="AF2023" s="37" t="e">
        <f t="array" ref="AF2023">INDEX('Deal Info'!D:D, MATCH(A2023,'Deal Info'!A:A, 0))</f>
        <v>#N/A</v>
      </c>
      <c r="AG2023" s="38" t="e">
        <f t="array" ref="AG2023">INDEX('Deal Info'!G:G, MATCH(A2023,'Deal Info'!A:A, 0))</f>
        <v>#N/A</v>
      </c>
    </row>
    <row r="2024" spans="1:33" ht="14.25" hidden="1" x14ac:dyDescent="0.2">
      <c r="A2024" s="18" t="b">
        <f t="array" ref="A2024">IF(G2024='Room Info'!$B$1, INDEX('Room Info'!$A$2:$A2446, MATCH(B2024,'Room Info'!$B$2:$B2446, 0)),IF(G2024='Room Info'!$C$1, INDEX('Room Info'!$A$2:$A2446, MATCH(B2024,'Room Info'!$C$2:$C2446, 0)),IF(G2024='Room Info'!$D$1, INDEX('Room Info'!$A$2:$A2446, MATCH(B2024,'Room Info'!$D$2:$D2446, 0)),IF(G2024='Room Info'!$E$1, INDEX('Room Info'!$A$2:$A2446, MATCH(B2024,'Room Info'!$E$2:$E2446, 0)),IF(G2024='Room Info'!$F$1, INDEX('Room Info'!$A$2:$A2446, MATCH(B2024,'Room Info'!$F$2:$F2446, 0)),IF(G2024='Room Info'!$H$1, INDEX('Room Info'!$A$2:$A2446, MATCH(B2024,'Room Info'!$H$2:$H2446, 0)),IF(G2024='Room Info'!$G$1, INDEX('Room Info'!$A$2:$A2446, MATCH(B2024,'Room Info'!$G$2:$G2446, 0)))))))))</f>
        <v>0</v>
      </c>
      <c r="B2024" s="96"/>
      <c r="C2024" s="111"/>
      <c r="D2024" s="111"/>
      <c r="E2024" s="80"/>
      <c r="F2024" s="133"/>
      <c r="G2024" s="65"/>
      <c r="H2024" s="100"/>
      <c r="I2024" s="100"/>
      <c r="J2024" s="39" t="s">
        <v>334</v>
      </c>
      <c r="K2024" s="134"/>
      <c r="L2024" s="135"/>
      <c r="M2024" s="62"/>
      <c r="N2024" s="28" t="e">
        <f t="shared" si="8"/>
        <v>#VALUE!</v>
      </c>
      <c r="O2024" s="96"/>
      <c r="P2024" s="29" t="s">
        <v>334</v>
      </c>
      <c r="Q2024" s="55"/>
      <c r="R2024" s="31" t="e">
        <f t="shared" si="9"/>
        <v>#VALUE!</v>
      </c>
      <c r="S2024" s="97"/>
      <c r="T2024" s="32" t="e">
        <f t="shared" si="10"/>
        <v>#VALUE!</v>
      </c>
      <c r="U2024" s="57"/>
      <c r="V2024" s="58"/>
      <c r="W2024" s="58"/>
      <c r="X2024" s="30" t="e">
        <f t="shared" si="11"/>
        <v>#N/A</v>
      </c>
      <c r="Y2024" s="30" t="e">
        <f t="shared" si="12"/>
        <v>#N/A</v>
      </c>
      <c r="Z2024" s="35" t="e">
        <f t="shared" si="13"/>
        <v>#VALUE!</v>
      </c>
      <c r="AA2024" s="29" t="e">
        <f t="shared" si="14"/>
        <v>#VALUE!</v>
      </c>
      <c r="AB2024" s="36" t="e">
        <f t="shared" si="15"/>
        <v>#VALUE!</v>
      </c>
      <c r="AC2024" s="37" t="b">
        <v>0</v>
      </c>
      <c r="AD2024" s="61" t="str">
        <f t="shared" si="16"/>
        <v>USD</v>
      </c>
      <c r="AE2024" s="37"/>
      <c r="AF2024" s="37" t="e">
        <f t="array" ref="AF2024">INDEX('Deal Info'!D:D, MATCH(A2024,'Deal Info'!A:A, 0))</f>
        <v>#N/A</v>
      </c>
      <c r="AG2024" s="38" t="e">
        <f t="array" ref="AG2024">INDEX('Deal Info'!G:G, MATCH(A2024,'Deal Info'!A:A, 0))</f>
        <v>#N/A</v>
      </c>
    </row>
    <row r="2025" spans="1:33" ht="14.25" hidden="1" x14ac:dyDescent="0.2">
      <c r="A2025" s="18" t="b">
        <f t="array" ref="A2025">IF(G2025='Room Info'!$B$1, INDEX('Room Info'!$A$2:$A2446, MATCH(B2025,'Room Info'!$B$2:$B2446, 0)),IF(G2025='Room Info'!$C$1, INDEX('Room Info'!$A$2:$A2446, MATCH(B2025,'Room Info'!$C$2:$C2446, 0)),IF(G2025='Room Info'!$D$1, INDEX('Room Info'!$A$2:$A2446, MATCH(B2025,'Room Info'!$D$2:$D2446, 0)),IF(G2025='Room Info'!$E$1, INDEX('Room Info'!$A$2:$A2446, MATCH(B2025,'Room Info'!$E$2:$E2446, 0)),IF(G2025='Room Info'!$F$1, INDEX('Room Info'!$A$2:$A2446, MATCH(B2025,'Room Info'!$F$2:$F2446, 0)),IF(G2025='Room Info'!$H$1, INDEX('Room Info'!$A$2:$A2446, MATCH(B2025,'Room Info'!$H$2:$H2446, 0)),IF(G2025='Room Info'!$G$1, INDEX('Room Info'!$A$2:$A2446, MATCH(B2025,'Room Info'!$G$2:$G2446, 0)))))))))</f>
        <v>0</v>
      </c>
      <c r="B2025" s="96"/>
      <c r="C2025" s="111"/>
      <c r="D2025" s="111"/>
      <c r="E2025" s="80"/>
      <c r="F2025" s="133"/>
      <c r="G2025" s="65"/>
      <c r="H2025" s="100"/>
      <c r="I2025" s="100"/>
      <c r="J2025" s="39" t="s">
        <v>334</v>
      </c>
      <c r="K2025" s="134"/>
      <c r="L2025" s="135"/>
      <c r="M2025" s="62"/>
      <c r="N2025" s="28" t="e">
        <f t="shared" si="8"/>
        <v>#VALUE!</v>
      </c>
      <c r="O2025" s="96"/>
      <c r="P2025" s="29" t="s">
        <v>334</v>
      </c>
      <c r="Q2025" s="55"/>
      <c r="R2025" s="31" t="e">
        <f t="shared" si="9"/>
        <v>#VALUE!</v>
      </c>
      <c r="S2025" s="97"/>
      <c r="T2025" s="32" t="e">
        <f t="shared" si="10"/>
        <v>#VALUE!</v>
      </c>
      <c r="U2025" s="57"/>
      <c r="V2025" s="58"/>
      <c r="W2025" s="58"/>
      <c r="X2025" s="30" t="e">
        <f t="shared" si="11"/>
        <v>#N/A</v>
      </c>
      <c r="Y2025" s="30" t="e">
        <f t="shared" si="12"/>
        <v>#N/A</v>
      </c>
      <c r="Z2025" s="35" t="e">
        <f t="shared" si="13"/>
        <v>#VALUE!</v>
      </c>
      <c r="AA2025" s="29" t="e">
        <f t="shared" si="14"/>
        <v>#VALUE!</v>
      </c>
      <c r="AB2025" s="36" t="e">
        <f t="shared" si="15"/>
        <v>#VALUE!</v>
      </c>
      <c r="AC2025" s="37" t="b">
        <v>0</v>
      </c>
      <c r="AD2025" s="61" t="str">
        <f t="shared" si="16"/>
        <v>USD</v>
      </c>
      <c r="AE2025" s="37"/>
      <c r="AF2025" s="37" t="e">
        <f t="array" ref="AF2025">INDEX('Deal Info'!D:D, MATCH(A2025,'Deal Info'!A:A, 0))</f>
        <v>#N/A</v>
      </c>
      <c r="AG2025" s="38" t="e">
        <f t="array" ref="AG2025">INDEX('Deal Info'!G:G, MATCH(A2025,'Deal Info'!A:A, 0))</f>
        <v>#N/A</v>
      </c>
    </row>
    <row r="2026" spans="1:33" ht="14.25" hidden="1" x14ac:dyDescent="0.2">
      <c r="A2026" s="18" t="b">
        <f t="array" ref="A2026">IF(G2026='Room Info'!$B$1, INDEX('Room Info'!$A$2:$A2446, MATCH(B2026,'Room Info'!$B$2:$B2446, 0)),IF(G2026='Room Info'!$C$1, INDEX('Room Info'!$A$2:$A2446, MATCH(B2026,'Room Info'!$C$2:$C2446, 0)),IF(G2026='Room Info'!$D$1, INDEX('Room Info'!$A$2:$A2446, MATCH(B2026,'Room Info'!$D$2:$D2446, 0)),IF(G2026='Room Info'!$E$1, INDEX('Room Info'!$A$2:$A2446, MATCH(B2026,'Room Info'!$E$2:$E2446, 0)),IF(G2026='Room Info'!$F$1, INDEX('Room Info'!$A$2:$A2446, MATCH(B2026,'Room Info'!$F$2:$F2446, 0)),IF(G2026='Room Info'!$H$1, INDEX('Room Info'!$A$2:$A2446, MATCH(B2026,'Room Info'!$H$2:$H2446, 0)),IF(G2026='Room Info'!$G$1, INDEX('Room Info'!$A$2:$A2446, MATCH(B2026,'Room Info'!$G$2:$G2446, 0)))))))))</f>
        <v>0</v>
      </c>
      <c r="B2026" s="96"/>
      <c r="C2026" s="111"/>
      <c r="D2026" s="111"/>
      <c r="E2026" s="80"/>
      <c r="F2026" s="133"/>
      <c r="G2026" s="65"/>
      <c r="H2026" s="110"/>
      <c r="I2026" s="110"/>
      <c r="J2026" s="39" t="s">
        <v>334</v>
      </c>
      <c r="K2026" s="112"/>
      <c r="L2026" s="113"/>
      <c r="M2026" s="62"/>
      <c r="N2026" s="28" t="e">
        <f t="shared" si="8"/>
        <v>#VALUE!</v>
      </c>
      <c r="O2026" s="65"/>
      <c r="P2026" s="29" t="s">
        <v>334</v>
      </c>
      <c r="Q2026" s="55"/>
      <c r="R2026" s="31" t="e">
        <f t="shared" si="9"/>
        <v>#VALUE!</v>
      </c>
      <c r="S2026" s="66"/>
      <c r="T2026" s="32" t="e">
        <f t="shared" si="10"/>
        <v>#VALUE!</v>
      </c>
      <c r="U2026" s="57"/>
      <c r="V2026" s="58"/>
      <c r="W2026" s="58"/>
      <c r="X2026" s="30" t="e">
        <f t="shared" si="11"/>
        <v>#N/A</v>
      </c>
      <c r="Y2026" s="30" t="e">
        <f t="shared" si="12"/>
        <v>#N/A</v>
      </c>
      <c r="Z2026" s="35" t="e">
        <f t="shared" si="13"/>
        <v>#VALUE!</v>
      </c>
      <c r="AA2026" s="29" t="e">
        <f t="shared" si="14"/>
        <v>#VALUE!</v>
      </c>
      <c r="AB2026" s="36" t="e">
        <f t="shared" si="15"/>
        <v>#VALUE!</v>
      </c>
      <c r="AC2026" s="37" t="b">
        <v>0</v>
      </c>
      <c r="AD2026" s="61" t="str">
        <f t="shared" si="16"/>
        <v>USD</v>
      </c>
      <c r="AE2026" s="37"/>
      <c r="AF2026" s="37" t="e">
        <f t="array" ref="AF2026">INDEX('Deal Info'!D:D, MATCH(A2026,'Deal Info'!A:A, 0))</f>
        <v>#N/A</v>
      </c>
      <c r="AG2026" s="38" t="e">
        <f t="array" ref="AG2026">INDEX('Deal Info'!G:G, MATCH(A2026,'Deal Info'!A:A, 0))</f>
        <v>#N/A</v>
      </c>
    </row>
    <row r="2027" spans="1:33" ht="14.25" hidden="1" x14ac:dyDescent="0.2">
      <c r="A2027" s="18" t="b">
        <f t="array" ref="A2027">IF(G2027='Room Info'!$B$1, INDEX('Room Info'!$A$2:$A2446, MATCH(B2027,'Room Info'!$B$2:$B2446, 0)),IF(G2027='Room Info'!$C$1, INDEX('Room Info'!$A$2:$A2446, MATCH(B2027,'Room Info'!$C$2:$C2446, 0)),IF(G2027='Room Info'!$D$1, INDEX('Room Info'!$A$2:$A2446, MATCH(B2027,'Room Info'!$D$2:$D2446, 0)),IF(G2027='Room Info'!$E$1, INDEX('Room Info'!$A$2:$A2446, MATCH(B2027,'Room Info'!$E$2:$E2446, 0)),IF(G2027='Room Info'!$F$1, INDEX('Room Info'!$A$2:$A2446, MATCH(B2027,'Room Info'!$F$2:$F2446, 0)),IF(G2027='Room Info'!$H$1, INDEX('Room Info'!$A$2:$A2446, MATCH(B2027,'Room Info'!$H$2:$H2446, 0)),IF(G2027='Room Info'!$G$1, INDEX('Room Info'!$A$2:$A2446, MATCH(B2027,'Room Info'!$G$2:$G2446, 0)))))))))</f>
        <v>0</v>
      </c>
      <c r="B2027" s="96"/>
      <c r="C2027" s="111"/>
      <c r="D2027" s="111"/>
      <c r="E2027" s="80"/>
      <c r="F2027" s="133"/>
      <c r="G2027" s="65"/>
      <c r="H2027" s="110"/>
      <c r="I2027" s="110"/>
      <c r="J2027" s="39" t="s">
        <v>334</v>
      </c>
      <c r="K2027" s="112"/>
      <c r="L2027" s="113"/>
      <c r="M2027" s="62"/>
      <c r="N2027" s="28" t="e">
        <f t="shared" si="8"/>
        <v>#VALUE!</v>
      </c>
      <c r="O2027" s="65"/>
      <c r="P2027" s="29" t="s">
        <v>334</v>
      </c>
      <c r="Q2027" s="55"/>
      <c r="R2027" s="31" t="e">
        <f t="shared" si="9"/>
        <v>#VALUE!</v>
      </c>
      <c r="S2027" s="66"/>
      <c r="T2027" s="32" t="e">
        <f t="shared" si="10"/>
        <v>#VALUE!</v>
      </c>
      <c r="U2027" s="57"/>
      <c r="V2027" s="58"/>
      <c r="W2027" s="58"/>
      <c r="X2027" s="30" t="e">
        <f t="shared" si="11"/>
        <v>#N/A</v>
      </c>
      <c r="Y2027" s="30" t="e">
        <f t="shared" si="12"/>
        <v>#N/A</v>
      </c>
      <c r="Z2027" s="35" t="e">
        <f t="shared" si="13"/>
        <v>#VALUE!</v>
      </c>
      <c r="AA2027" s="29" t="e">
        <f t="shared" si="14"/>
        <v>#VALUE!</v>
      </c>
      <c r="AB2027" s="36" t="e">
        <f t="shared" si="15"/>
        <v>#VALUE!</v>
      </c>
      <c r="AC2027" s="37" t="b">
        <v>0</v>
      </c>
      <c r="AD2027" s="61" t="str">
        <f t="shared" si="16"/>
        <v>USD</v>
      </c>
      <c r="AE2027" s="37"/>
      <c r="AF2027" s="37" t="e">
        <f t="array" ref="AF2027">INDEX('Deal Info'!D:D, MATCH(A2027,'Deal Info'!A:A, 0))</f>
        <v>#N/A</v>
      </c>
      <c r="AG2027" s="38" t="e">
        <f t="array" ref="AG2027">INDEX('Deal Info'!G:G, MATCH(A2027,'Deal Info'!A:A, 0))</f>
        <v>#N/A</v>
      </c>
    </row>
    <row r="2028" spans="1:33" ht="14.25" hidden="1" x14ac:dyDescent="0.2">
      <c r="A2028" s="18" t="b">
        <f t="array" ref="A2028">IF(G2028='Room Info'!$B$1, INDEX('Room Info'!$A$2:$A2446, MATCH(B2028,'Room Info'!$B$2:$B2446, 0)),IF(G2028='Room Info'!$C$1, INDEX('Room Info'!$A$2:$A2446, MATCH(B2028,'Room Info'!$C$2:$C2446, 0)),IF(G2028='Room Info'!$D$1, INDEX('Room Info'!$A$2:$A2446, MATCH(B2028,'Room Info'!$D$2:$D2446, 0)),IF(G2028='Room Info'!$E$1, INDEX('Room Info'!$A$2:$A2446, MATCH(B2028,'Room Info'!$E$2:$E2446, 0)),IF(G2028='Room Info'!$F$1, INDEX('Room Info'!$A$2:$A2446, MATCH(B2028,'Room Info'!$F$2:$F2446, 0)),IF(G2028='Room Info'!$H$1, INDEX('Room Info'!$A$2:$A2446, MATCH(B2028,'Room Info'!$H$2:$H2446, 0)),IF(G2028='Room Info'!$G$1, INDEX('Room Info'!$A$2:$A2446, MATCH(B2028,'Room Info'!$G$2:$G2446, 0)))))))))</f>
        <v>0</v>
      </c>
      <c r="B2028" s="96"/>
      <c r="C2028" s="111"/>
      <c r="D2028" s="111"/>
      <c r="E2028" s="80"/>
      <c r="F2028" s="133"/>
      <c r="G2028" s="96"/>
      <c r="H2028" s="110"/>
      <c r="I2028" s="110"/>
      <c r="J2028" s="39" t="s">
        <v>334</v>
      </c>
      <c r="K2028" s="112"/>
      <c r="L2028" s="113"/>
      <c r="M2028" s="62"/>
      <c r="N2028" s="28" t="e">
        <f t="shared" si="8"/>
        <v>#VALUE!</v>
      </c>
      <c r="O2028" s="65"/>
      <c r="P2028" s="29" t="s">
        <v>334</v>
      </c>
      <c r="Q2028" s="55"/>
      <c r="R2028" s="31" t="e">
        <f t="shared" si="9"/>
        <v>#VALUE!</v>
      </c>
      <c r="S2028" s="66"/>
      <c r="T2028" s="32" t="e">
        <f t="shared" si="10"/>
        <v>#VALUE!</v>
      </c>
      <c r="U2028" s="57"/>
      <c r="V2028" s="58"/>
      <c r="W2028" s="58"/>
      <c r="X2028" s="30" t="e">
        <f t="shared" si="11"/>
        <v>#N/A</v>
      </c>
      <c r="Y2028" s="30" t="e">
        <f t="shared" si="12"/>
        <v>#N/A</v>
      </c>
      <c r="Z2028" s="35" t="e">
        <f t="shared" si="13"/>
        <v>#VALUE!</v>
      </c>
      <c r="AA2028" s="29" t="e">
        <f t="shared" si="14"/>
        <v>#VALUE!</v>
      </c>
      <c r="AB2028" s="36" t="e">
        <f t="shared" si="15"/>
        <v>#VALUE!</v>
      </c>
      <c r="AC2028" s="37" t="b">
        <v>0</v>
      </c>
      <c r="AD2028" s="61" t="str">
        <f t="shared" si="16"/>
        <v>USD</v>
      </c>
      <c r="AE2028" s="37"/>
      <c r="AF2028" s="37" t="e">
        <f t="array" ref="AF2028">INDEX('Deal Info'!D:D, MATCH(A2028,'Deal Info'!A:A, 0))</f>
        <v>#N/A</v>
      </c>
      <c r="AG2028" s="38" t="e">
        <f t="array" ref="AG2028">INDEX('Deal Info'!G:G, MATCH(A2028,'Deal Info'!A:A, 0))</f>
        <v>#N/A</v>
      </c>
    </row>
    <row r="2029" spans="1:33" ht="14.25" hidden="1" x14ac:dyDescent="0.2">
      <c r="A2029" s="18" t="b">
        <f t="array" ref="A2029">IF(G2029='Room Info'!$B$1, INDEX('Room Info'!$A$2:$A2446, MATCH(B2029,'Room Info'!$B$2:$B2446, 0)),IF(G2029='Room Info'!$C$1, INDEX('Room Info'!$A$2:$A2446, MATCH(B2029,'Room Info'!$C$2:$C2446, 0)),IF(G2029='Room Info'!$D$1, INDEX('Room Info'!$A$2:$A2446, MATCH(B2029,'Room Info'!$D$2:$D2446, 0)),IF(G2029='Room Info'!$E$1, INDEX('Room Info'!$A$2:$A2446, MATCH(B2029,'Room Info'!$E$2:$E2446, 0)),IF(G2029='Room Info'!$F$1, INDEX('Room Info'!$A$2:$A2446, MATCH(B2029,'Room Info'!$F$2:$F2446, 0)),IF(G2029='Room Info'!$H$1, INDEX('Room Info'!$A$2:$A2446, MATCH(B2029,'Room Info'!$H$2:$H2446, 0)),IF(G2029='Room Info'!$G$1, INDEX('Room Info'!$A$2:$A2446, MATCH(B2029,'Room Info'!$G$2:$G2446, 0)))))))))</f>
        <v>0</v>
      </c>
      <c r="B2029" s="96"/>
      <c r="C2029" s="111"/>
      <c r="D2029" s="111"/>
      <c r="E2029" s="80"/>
      <c r="F2029" s="133"/>
      <c r="G2029" s="96"/>
      <c r="H2029" s="110"/>
      <c r="I2029" s="110"/>
      <c r="J2029" s="39" t="s">
        <v>334</v>
      </c>
      <c r="K2029" s="112"/>
      <c r="L2029" s="113"/>
      <c r="M2029" s="62"/>
      <c r="N2029" s="28" t="e">
        <f t="shared" si="8"/>
        <v>#VALUE!</v>
      </c>
      <c r="O2029" s="65"/>
      <c r="P2029" s="29" t="s">
        <v>334</v>
      </c>
      <c r="Q2029" s="55"/>
      <c r="R2029" s="31" t="e">
        <f t="shared" si="9"/>
        <v>#VALUE!</v>
      </c>
      <c r="S2029" s="66"/>
      <c r="T2029" s="32" t="e">
        <f t="shared" si="10"/>
        <v>#VALUE!</v>
      </c>
      <c r="U2029" s="57"/>
      <c r="V2029" s="58"/>
      <c r="W2029" s="58"/>
      <c r="X2029" s="30" t="e">
        <f t="shared" si="11"/>
        <v>#N/A</v>
      </c>
      <c r="Y2029" s="30" t="e">
        <f t="shared" si="12"/>
        <v>#N/A</v>
      </c>
      <c r="Z2029" s="35" t="e">
        <f t="shared" si="13"/>
        <v>#VALUE!</v>
      </c>
      <c r="AA2029" s="29" t="e">
        <f t="shared" si="14"/>
        <v>#VALUE!</v>
      </c>
      <c r="AB2029" s="36" t="e">
        <f t="shared" si="15"/>
        <v>#VALUE!</v>
      </c>
      <c r="AC2029" s="37" t="b">
        <v>0</v>
      </c>
      <c r="AD2029" s="61" t="str">
        <f t="shared" si="16"/>
        <v>USD</v>
      </c>
      <c r="AE2029" s="37"/>
      <c r="AF2029" s="37" t="e">
        <f t="array" ref="AF2029">INDEX('Deal Info'!D:D, MATCH(A2029,'Deal Info'!A:A, 0))</f>
        <v>#N/A</v>
      </c>
      <c r="AG2029" s="38" t="e">
        <f t="array" ref="AG2029">INDEX('Deal Info'!G:G, MATCH(A2029,'Deal Info'!A:A, 0))</f>
        <v>#N/A</v>
      </c>
    </row>
    <row r="2030" spans="1:33" ht="14.25" hidden="1" x14ac:dyDescent="0.2">
      <c r="A2030" s="18" t="b">
        <f t="array" ref="A2030">IF(G2030='Room Info'!$B$1, INDEX('Room Info'!$A$2:$A2446, MATCH(B2030,'Room Info'!$B$2:$B2446, 0)),IF(G2030='Room Info'!$C$1, INDEX('Room Info'!$A$2:$A2446, MATCH(B2030,'Room Info'!$C$2:$C2446, 0)),IF(G2030='Room Info'!$D$1, INDEX('Room Info'!$A$2:$A2446, MATCH(B2030,'Room Info'!$D$2:$D2446, 0)),IF(G2030='Room Info'!$E$1, INDEX('Room Info'!$A$2:$A2446, MATCH(B2030,'Room Info'!$E$2:$E2446, 0)),IF(G2030='Room Info'!$F$1, INDEX('Room Info'!$A$2:$A2446, MATCH(B2030,'Room Info'!$F$2:$F2446, 0)),IF(G2030='Room Info'!$H$1, INDEX('Room Info'!$A$2:$A2446, MATCH(B2030,'Room Info'!$H$2:$H2446, 0)),IF(G2030='Room Info'!$G$1, INDEX('Room Info'!$A$2:$A2446, MATCH(B2030,'Room Info'!$G$2:$G2446, 0)))))))))</f>
        <v>0</v>
      </c>
      <c r="B2030" s="96"/>
      <c r="C2030" s="111"/>
      <c r="D2030" s="111"/>
      <c r="E2030" s="80"/>
      <c r="F2030" s="133"/>
      <c r="G2030" s="96"/>
      <c r="H2030" s="110"/>
      <c r="I2030" s="110"/>
      <c r="J2030" s="39" t="s">
        <v>334</v>
      </c>
      <c r="K2030" s="112"/>
      <c r="L2030" s="113"/>
      <c r="M2030" s="62"/>
      <c r="N2030" s="28" t="e">
        <f t="shared" si="8"/>
        <v>#VALUE!</v>
      </c>
      <c r="O2030" s="65"/>
      <c r="P2030" s="29" t="s">
        <v>334</v>
      </c>
      <c r="Q2030" s="55"/>
      <c r="R2030" s="31" t="e">
        <f t="shared" si="9"/>
        <v>#VALUE!</v>
      </c>
      <c r="S2030" s="66"/>
      <c r="T2030" s="32" t="e">
        <f t="shared" si="10"/>
        <v>#VALUE!</v>
      </c>
      <c r="U2030" s="57"/>
      <c r="V2030" s="58"/>
      <c r="W2030" s="58"/>
      <c r="X2030" s="30" t="e">
        <f t="shared" si="11"/>
        <v>#N/A</v>
      </c>
      <c r="Y2030" s="30" t="e">
        <f t="shared" si="12"/>
        <v>#N/A</v>
      </c>
      <c r="Z2030" s="35" t="e">
        <f t="shared" si="13"/>
        <v>#VALUE!</v>
      </c>
      <c r="AA2030" s="29" t="e">
        <f t="shared" si="14"/>
        <v>#VALUE!</v>
      </c>
      <c r="AB2030" s="36" t="e">
        <f t="shared" si="15"/>
        <v>#VALUE!</v>
      </c>
      <c r="AC2030" s="37" t="b">
        <v>0</v>
      </c>
      <c r="AD2030" s="61" t="str">
        <f t="shared" si="16"/>
        <v>USD</v>
      </c>
      <c r="AE2030" s="37"/>
      <c r="AF2030" s="37" t="e">
        <f t="array" ref="AF2030">INDEX('Deal Info'!D:D, MATCH(A2030,'Deal Info'!A:A, 0))</f>
        <v>#N/A</v>
      </c>
      <c r="AG2030" s="38" t="e">
        <f t="array" ref="AG2030">INDEX('Deal Info'!G:G, MATCH(A2030,'Deal Info'!A:A, 0))</f>
        <v>#N/A</v>
      </c>
    </row>
    <row r="2031" spans="1:33" ht="14.25" hidden="1" x14ac:dyDescent="0.2">
      <c r="A2031" s="18" t="b">
        <f t="array" ref="A2031">IF(G2031='Room Info'!$B$1, INDEX('Room Info'!$A$2:$A2446, MATCH(B2031,'Room Info'!$B$2:$B2446, 0)),IF(G2031='Room Info'!$C$1, INDEX('Room Info'!$A$2:$A2446, MATCH(B2031,'Room Info'!$C$2:$C2446, 0)),IF(G2031='Room Info'!$D$1, INDEX('Room Info'!$A$2:$A2446, MATCH(B2031,'Room Info'!$D$2:$D2446, 0)),IF(G2031='Room Info'!$E$1, INDEX('Room Info'!$A$2:$A2446, MATCH(B2031,'Room Info'!$E$2:$E2446, 0)),IF(G2031='Room Info'!$F$1, INDEX('Room Info'!$A$2:$A2446, MATCH(B2031,'Room Info'!$F$2:$F2446, 0)),IF(G2031='Room Info'!$H$1, INDEX('Room Info'!$A$2:$A2446, MATCH(B2031,'Room Info'!$H$2:$H2446, 0)),IF(G2031='Room Info'!$G$1, INDEX('Room Info'!$A$2:$A2446, MATCH(B2031,'Room Info'!$G$2:$G2446, 0)))))))))</f>
        <v>0</v>
      </c>
      <c r="B2031" s="96"/>
      <c r="C2031" s="111"/>
      <c r="D2031" s="111"/>
      <c r="E2031" s="80"/>
      <c r="F2031" s="133"/>
      <c r="G2031" s="96"/>
      <c r="H2031" s="110"/>
      <c r="I2031" s="110"/>
      <c r="J2031" s="39" t="s">
        <v>334</v>
      </c>
      <c r="K2031" s="112"/>
      <c r="L2031" s="113"/>
      <c r="M2031" s="62"/>
      <c r="N2031" s="28" t="e">
        <f t="shared" si="8"/>
        <v>#VALUE!</v>
      </c>
      <c r="O2031" s="65"/>
      <c r="P2031" s="29" t="s">
        <v>334</v>
      </c>
      <c r="Q2031" s="55"/>
      <c r="R2031" s="31" t="e">
        <f t="shared" si="9"/>
        <v>#VALUE!</v>
      </c>
      <c r="S2031" s="66"/>
      <c r="T2031" s="32" t="e">
        <f t="shared" si="10"/>
        <v>#VALUE!</v>
      </c>
      <c r="U2031" s="57"/>
      <c r="V2031" s="58"/>
      <c r="W2031" s="58"/>
      <c r="X2031" s="30" t="e">
        <f t="shared" si="11"/>
        <v>#N/A</v>
      </c>
      <c r="Y2031" s="30" t="e">
        <f t="shared" si="12"/>
        <v>#N/A</v>
      </c>
      <c r="Z2031" s="35" t="e">
        <f t="shared" si="13"/>
        <v>#VALUE!</v>
      </c>
      <c r="AA2031" s="29" t="e">
        <f t="shared" si="14"/>
        <v>#VALUE!</v>
      </c>
      <c r="AB2031" s="36" t="e">
        <f t="shared" si="15"/>
        <v>#VALUE!</v>
      </c>
      <c r="AC2031" s="37" t="b">
        <v>0</v>
      </c>
      <c r="AD2031" s="61" t="str">
        <f t="shared" si="16"/>
        <v>USD</v>
      </c>
      <c r="AE2031" s="37"/>
      <c r="AF2031" s="37" t="e">
        <f t="array" ref="AF2031">INDEX('Deal Info'!D:D, MATCH(A2031,'Deal Info'!A:A, 0))</f>
        <v>#N/A</v>
      </c>
      <c r="AG2031" s="38" t="e">
        <f t="array" ref="AG2031">INDEX('Deal Info'!G:G, MATCH(A2031,'Deal Info'!A:A, 0))</f>
        <v>#N/A</v>
      </c>
    </row>
    <row r="2032" spans="1:33" ht="14.25" hidden="1" x14ac:dyDescent="0.2">
      <c r="A2032" s="18" t="b">
        <f t="array" ref="A2032">IF(G2032='Room Info'!$B$1, INDEX('Room Info'!$A$2:$A2446, MATCH(B2032,'Room Info'!$B$2:$B2446, 0)),IF(G2032='Room Info'!$C$1, INDEX('Room Info'!$A$2:$A2446, MATCH(B2032,'Room Info'!$C$2:$C2446, 0)),IF(G2032='Room Info'!$D$1, INDEX('Room Info'!$A$2:$A2446, MATCH(B2032,'Room Info'!$D$2:$D2446, 0)),IF(G2032='Room Info'!$E$1, INDEX('Room Info'!$A$2:$A2446, MATCH(B2032,'Room Info'!$E$2:$E2446, 0)),IF(G2032='Room Info'!$F$1, INDEX('Room Info'!$A$2:$A2446, MATCH(B2032,'Room Info'!$F$2:$F2446, 0)),IF(G2032='Room Info'!$H$1, INDEX('Room Info'!$A$2:$A2446, MATCH(B2032,'Room Info'!$H$2:$H2446, 0)),IF(G2032='Room Info'!$G$1, INDEX('Room Info'!$A$2:$A2446, MATCH(B2032,'Room Info'!$G$2:$G2446, 0)))))))))</f>
        <v>0</v>
      </c>
      <c r="B2032" s="96"/>
      <c r="C2032" s="111"/>
      <c r="D2032" s="111"/>
      <c r="E2032" s="80"/>
      <c r="F2032" s="133"/>
      <c r="G2032" s="96"/>
      <c r="H2032" s="110"/>
      <c r="I2032" s="110"/>
      <c r="J2032" s="39" t="s">
        <v>334</v>
      </c>
      <c r="K2032" s="112"/>
      <c r="L2032" s="113"/>
      <c r="M2032" s="62"/>
      <c r="N2032" s="28" t="e">
        <f t="shared" si="8"/>
        <v>#VALUE!</v>
      </c>
      <c r="O2032" s="65"/>
      <c r="P2032" s="29" t="s">
        <v>334</v>
      </c>
      <c r="Q2032" s="55"/>
      <c r="R2032" s="31" t="e">
        <f t="shared" si="9"/>
        <v>#VALUE!</v>
      </c>
      <c r="S2032" s="66"/>
      <c r="T2032" s="32" t="e">
        <f t="shared" si="10"/>
        <v>#VALUE!</v>
      </c>
      <c r="U2032" s="57"/>
      <c r="V2032" s="58"/>
      <c r="W2032" s="58"/>
      <c r="X2032" s="30" t="e">
        <f t="shared" si="11"/>
        <v>#N/A</v>
      </c>
      <c r="Y2032" s="30" t="e">
        <f t="shared" si="12"/>
        <v>#N/A</v>
      </c>
      <c r="Z2032" s="35" t="e">
        <f t="shared" si="13"/>
        <v>#VALUE!</v>
      </c>
      <c r="AA2032" s="29" t="e">
        <f t="shared" si="14"/>
        <v>#VALUE!</v>
      </c>
      <c r="AB2032" s="36" t="e">
        <f t="shared" si="15"/>
        <v>#VALUE!</v>
      </c>
      <c r="AC2032" s="37" t="b">
        <v>0</v>
      </c>
      <c r="AD2032" s="61" t="str">
        <f t="shared" si="16"/>
        <v>USD</v>
      </c>
      <c r="AE2032" s="37"/>
      <c r="AF2032" s="37" t="e">
        <f t="array" ref="AF2032">INDEX('Deal Info'!D:D, MATCH(A2032,'Deal Info'!A:A, 0))</f>
        <v>#N/A</v>
      </c>
      <c r="AG2032" s="38" t="e">
        <f t="array" ref="AG2032">INDEX('Deal Info'!G:G, MATCH(A2032,'Deal Info'!A:A, 0))</f>
        <v>#N/A</v>
      </c>
    </row>
    <row r="2033" spans="1:33" ht="14.25" hidden="1" x14ac:dyDescent="0.2">
      <c r="A2033" s="18" t="b">
        <f t="array" ref="A2033">IF(G2033='Room Info'!$B$1, INDEX('Room Info'!$A$2:$A2446, MATCH(B2033,'Room Info'!$B$2:$B2446, 0)),IF(G2033='Room Info'!$C$1, INDEX('Room Info'!$A$2:$A2446, MATCH(B2033,'Room Info'!$C$2:$C2446, 0)),IF(G2033='Room Info'!$D$1, INDEX('Room Info'!$A$2:$A2446, MATCH(B2033,'Room Info'!$D$2:$D2446, 0)),IF(G2033='Room Info'!$E$1, INDEX('Room Info'!$A$2:$A2446, MATCH(B2033,'Room Info'!$E$2:$E2446, 0)),IF(G2033='Room Info'!$F$1, INDEX('Room Info'!$A$2:$A2446, MATCH(B2033,'Room Info'!$F$2:$F2446, 0)),IF(G2033='Room Info'!$H$1, INDEX('Room Info'!$A$2:$A2446, MATCH(B2033,'Room Info'!$H$2:$H2446, 0)),IF(G2033='Room Info'!$G$1, INDEX('Room Info'!$A$2:$A2446, MATCH(B2033,'Room Info'!$G$2:$G2446, 0)))))))))</f>
        <v>0</v>
      </c>
      <c r="B2033" s="96"/>
      <c r="C2033" s="111"/>
      <c r="D2033" s="111"/>
      <c r="E2033" s="80"/>
      <c r="F2033" s="133"/>
      <c r="G2033" s="96"/>
      <c r="H2033" s="110"/>
      <c r="I2033" s="110"/>
      <c r="J2033" s="39" t="s">
        <v>334</v>
      </c>
      <c r="K2033" s="112"/>
      <c r="L2033" s="113"/>
      <c r="M2033" s="62"/>
      <c r="N2033" s="28" t="e">
        <f t="shared" si="8"/>
        <v>#VALUE!</v>
      </c>
      <c r="O2033" s="65"/>
      <c r="P2033" s="29" t="s">
        <v>334</v>
      </c>
      <c r="Q2033" s="55"/>
      <c r="R2033" s="31" t="e">
        <f t="shared" si="9"/>
        <v>#VALUE!</v>
      </c>
      <c r="S2033" s="66"/>
      <c r="T2033" s="32" t="e">
        <f t="shared" si="10"/>
        <v>#VALUE!</v>
      </c>
      <c r="U2033" s="57"/>
      <c r="V2033" s="58"/>
      <c r="W2033" s="58"/>
      <c r="X2033" s="30" t="e">
        <f t="shared" si="11"/>
        <v>#N/A</v>
      </c>
      <c r="Y2033" s="30" t="e">
        <f t="shared" si="12"/>
        <v>#N/A</v>
      </c>
      <c r="Z2033" s="35" t="e">
        <f t="shared" si="13"/>
        <v>#VALUE!</v>
      </c>
      <c r="AA2033" s="29" t="e">
        <f t="shared" si="14"/>
        <v>#VALUE!</v>
      </c>
      <c r="AB2033" s="36" t="e">
        <f t="shared" si="15"/>
        <v>#VALUE!</v>
      </c>
      <c r="AC2033" s="37" t="b">
        <v>0</v>
      </c>
      <c r="AD2033" s="61" t="str">
        <f t="shared" si="16"/>
        <v>USD</v>
      </c>
      <c r="AE2033" s="37"/>
      <c r="AF2033" s="37" t="e">
        <f t="array" ref="AF2033">INDEX('Deal Info'!D:D, MATCH(A2033,'Deal Info'!A:A, 0))</f>
        <v>#N/A</v>
      </c>
      <c r="AG2033" s="38" t="e">
        <f t="array" ref="AG2033">INDEX('Deal Info'!G:G, MATCH(A2033,'Deal Info'!A:A, 0))</f>
        <v>#N/A</v>
      </c>
    </row>
    <row r="2034" spans="1:33" ht="14.25" hidden="1" x14ac:dyDescent="0.2">
      <c r="A2034" s="18" t="b">
        <f t="array" ref="A2034">IF(G2034='Room Info'!$B$1, INDEX('Room Info'!$A$2:$A2446, MATCH(B2034,'Room Info'!$B$2:$B2446, 0)),IF(G2034='Room Info'!$C$1, INDEX('Room Info'!$A$2:$A2446, MATCH(B2034,'Room Info'!$C$2:$C2446, 0)),IF(G2034='Room Info'!$D$1, INDEX('Room Info'!$A$2:$A2446, MATCH(B2034,'Room Info'!$D$2:$D2446, 0)),IF(G2034='Room Info'!$E$1, INDEX('Room Info'!$A$2:$A2446, MATCH(B2034,'Room Info'!$E$2:$E2446, 0)),IF(G2034='Room Info'!$F$1, INDEX('Room Info'!$A$2:$A2446, MATCH(B2034,'Room Info'!$F$2:$F2446, 0)),IF(G2034='Room Info'!$H$1, INDEX('Room Info'!$A$2:$A2446, MATCH(B2034,'Room Info'!$H$2:$H2446, 0)),IF(G2034='Room Info'!$G$1, INDEX('Room Info'!$A$2:$A2446, MATCH(B2034,'Room Info'!$G$2:$G2446, 0)))))))))</f>
        <v>0</v>
      </c>
      <c r="B2034" s="96"/>
      <c r="C2034" s="111"/>
      <c r="D2034" s="111"/>
      <c r="E2034" s="80"/>
      <c r="F2034" s="133"/>
      <c r="G2034" s="96"/>
      <c r="H2034" s="110"/>
      <c r="I2034" s="110"/>
      <c r="J2034" s="39" t="s">
        <v>334</v>
      </c>
      <c r="K2034" s="112"/>
      <c r="L2034" s="113"/>
      <c r="M2034" s="62"/>
      <c r="N2034" s="28" t="e">
        <f t="shared" si="8"/>
        <v>#VALUE!</v>
      </c>
      <c r="O2034" s="65"/>
      <c r="P2034" s="29" t="s">
        <v>334</v>
      </c>
      <c r="Q2034" s="55"/>
      <c r="R2034" s="31" t="e">
        <f t="shared" si="9"/>
        <v>#VALUE!</v>
      </c>
      <c r="S2034" s="66"/>
      <c r="T2034" s="32" t="e">
        <f t="shared" si="10"/>
        <v>#VALUE!</v>
      </c>
      <c r="U2034" s="57"/>
      <c r="V2034" s="58"/>
      <c r="W2034" s="58"/>
      <c r="X2034" s="30" t="e">
        <f t="shared" si="11"/>
        <v>#N/A</v>
      </c>
      <c r="Y2034" s="30" t="e">
        <f t="shared" si="12"/>
        <v>#N/A</v>
      </c>
      <c r="Z2034" s="35" t="e">
        <f t="shared" si="13"/>
        <v>#VALUE!</v>
      </c>
      <c r="AA2034" s="29" t="e">
        <f t="shared" si="14"/>
        <v>#VALUE!</v>
      </c>
      <c r="AB2034" s="36" t="e">
        <f t="shared" si="15"/>
        <v>#VALUE!</v>
      </c>
      <c r="AC2034" s="37" t="b">
        <v>0</v>
      </c>
      <c r="AD2034" s="61" t="str">
        <f t="shared" si="16"/>
        <v>USD</v>
      </c>
      <c r="AE2034" s="37"/>
      <c r="AF2034" s="37" t="e">
        <f t="array" ref="AF2034">INDEX('Deal Info'!D:D, MATCH(A2034,'Deal Info'!A:A, 0))</f>
        <v>#N/A</v>
      </c>
      <c r="AG2034" s="38" t="e">
        <f t="array" ref="AG2034">INDEX('Deal Info'!G:G, MATCH(A2034,'Deal Info'!A:A, 0))</f>
        <v>#N/A</v>
      </c>
    </row>
    <row r="2035" spans="1:33" ht="14.25" hidden="1" x14ac:dyDescent="0.2">
      <c r="A2035" s="18" t="b">
        <f t="array" ref="A2035">IF(G2035='Room Info'!$B$1, INDEX('Room Info'!$A$2:$A2446, MATCH(B2035,'Room Info'!$B$2:$B2446, 0)),IF(G2035='Room Info'!$C$1, INDEX('Room Info'!$A$2:$A2446, MATCH(B2035,'Room Info'!$C$2:$C2446, 0)),IF(G2035='Room Info'!$D$1, INDEX('Room Info'!$A$2:$A2446, MATCH(B2035,'Room Info'!$D$2:$D2446, 0)),IF(G2035='Room Info'!$E$1, INDEX('Room Info'!$A$2:$A2446, MATCH(B2035,'Room Info'!$E$2:$E2446, 0)),IF(G2035='Room Info'!$F$1, INDEX('Room Info'!$A$2:$A2446, MATCH(B2035,'Room Info'!$F$2:$F2446, 0)),IF(G2035='Room Info'!$H$1, INDEX('Room Info'!$A$2:$A2446, MATCH(B2035,'Room Info'!$H$2:$H2446, 0)),IF(G2035='Room Info'!$G$1, INDEX('Room Info'!$A$2:$A2446, MATCH(B2035,'Room Info'!$G$2:$G2446, 0)))))))))</f>
        <v>0</v>
      </c>
      <c r="B2035" s="96"/>
      <c r="C2035" s="111"/>
      <c r="D2035" s="111"/>
      <c r="E2035" s="80"/>
      <c r="F2035" s="133"/>
      <c r="G2035" s="96"/>
      <c r="H2035" s="110"/>
      <c r="I2035" s="110"/>
      <c r="J2035" s="39" t="s">
        <v>334</v>
      </c>
      <c r="K2035" s="112"/>
      <c r="L2035" s="113"/>
      <c r="M2035" s="62"/>
      <c r="N2035" s="28" t="e">
        <f t="shared" si="8"/>
        <v>#VALUE!</v>
      </c>
      <c r="O2035" s="65"/>
      <c r="P2035" s="29" t="s">
        <v>334</v>
      </c>
      <c r="Q2035" s="55"/>
      <c r="R2035" s="31" t="e">
        <f t="shared" si="9"/>
        <v>#VALUE!</v>
      </c>
      <c r="S2035" s="66"/>
      <c r="T2035" s="32" t="e">
        <f t="shared" si="10"/>
        <v>#VALUE!</v>
      </c>
      <c r="U2035" s="57"/>
      <c r="V2035" s="58"/>
      <c r="W2035" s="58"/>
      <c r="X2035" s="30" t="e">
        <f t="shared" si="11"/>
        <v>#N/A</v>
      </c>
      <c r="Y2035" s="30" t="e">
        <f t="shared" si="12"/>
        <v>#N/A</v>
      </c>
      <c r="Z2035" s="35" t="e">
        <f t="shared" si="13"/>
        <v>#VALUE!</v>
      </c>
      <c r="AA2035" s="29" t="e">
        <f t="shared" si="14"/>
        <v>#VALUE!</v>
      </c>
      <c r="AB2035" s="36" t="e">
        <f t="shared" si="15"/>
        <v>#VALUE!</v>
      </c>
      <c r="AC2035" s="37" t="b">
        <v>0</v>
      </c>
      <c r="AD2035" s="61" t="str">
        <f t="shared" si="16"/>
        <v>USD</v>
      </c>
      <c r="AE2035" s="37"/>
      <c r="AF2035" s="37" t="e">
        <f t="array" ref="AF2035">INDEX('Deal Info'!D:D, MATCH(A2035,'Deal Info'!A:A, 0))</f>
        <v>#N/A</v>
      </c>
      <c r="AG2035" s="38" t="e">
        <f t="array" ref="AG2035">INDEX('Deal Info'!G:G, MATCH(A2035,'Deal Info'!A:A, 0))</f>
        <v>#N/A</v>
      </c>
    </row>
    <row r="2036" spans="1:33" ht="14.25" hidden="1" x14ac:dyDescent="0.2">
      <c r="A2036" s="18" t="b">
        <f t="array" ref="A2036">IF(G2036='Room Info'!$B$1, INDEX('Room Info'!$A$2:$A2446, MATCH(B2036,'Room Info'!$B$2:$B2446, 0)),IF(G2036='Room Info'!$C$1, INDEX('Room Info'!$A$2:$A2446, MATCH(B2036,'Room Info'!$C$2:$C2446, 0)),IF(G2036='Room Info'!$D$1, INDEX('Room Info'!$A$2:$A2446, MATCH(B2036,'Room Info'!$D$2:$D2446, 0)),IF(G2036='Room Info'!$E$1, INDEX('Room Info'!$A$2:$A2446, MATCH(B2036,'Room Info'!$E$2:$E2446, 0)),IF(G2036='Room Info'!$F$1, INDEX('Room Info'!$A$2:$A2446, MATCH(B2036,'Room Info'!$F$2:$F2446, 0)),IF(G2036='Room Info'!$H$1, INDEX('Room Info'!$A$2:$A2446, MATCH(B2036,'Room Info'!$H$2:$H2446, 0)),IF(G2036='Room Info'!$G$1, INDEX('Room Info'!$A$2:$A2446, MATCH(B2036,'Room Info'!$G$2:$G2446, 0)))))))))</f>
        <v>0</v>
      </c>
      <c r="B2036" s="96"/>
      <c r="C2036" s="136"/>
      <c r="D2036" s="136"/>
      <c r="E2036" s="137"/>
      <c r="F2036" s="133"/>
      <c r="G2036" s="96"/>
      <c r="H2036" s="100"/>
      <c r="I2036" s="100"/>
      <c r="J2036" s="39" t="s">
        <v>334</v>
      </c>
      <c r="K2036" s="134"/>
      <c r="L2036" s="135"/>
      <c r="M2036" s="79"/>
      <c r="N2036" s="28" t="e">
        <f t="shared" si="8"/>
        <v>#VALUE!</v>
      </c>
      <c r="O2036" s="96"/>
      <c r="P2036" s="29" t="s">
        <v>334</v>
      </c>
      <c r="Q2036" s="55"/>
      <c r="R2036" s="31" t="e">
        <f t="shared" si="9"/>
        <v>#VALUE!</v>
      </c>
      <c r="S2036" s="97"/>
      <c r="T2036" s="32" t="e">
        <f t="shared" si="10"/>
        <v>#VALUE!</v>
      </c>
      <c r="U2036" s="57"/>
      <c r="V2036" s="58"/>
      <c r="W2036" s="58"/>
      <c r="X2036" s="30" t="e">
        <f t="shared" si="11"/>
        <v>#N/A</v>
      </c>
      <c r="Y2036" s="30" t="e">
        <f t="shared" si="12"/>
        <v>#N/A</v>
      </c>
      <c r="Z2036" s="35" t="e">
        <f t="shared" si="13"/>
        <v>#VALUE!</v>
      </c>
      <c r="AA2036" s="29" t="e">
        <f t="shared" si="14"/>
        <v>#VALUE!</v>
      </c>
      <c r="AB2036" s="36" t="e">
        <f t="shared" si="15"/>
        <v>#VALUE!</v>
      </c>
      <c r="AC2036" s="37" t="b">
        <v>0</v>
      </c>
      <c r="AD2036" s="61" t="str">
        <f t="shared" si="16"/>
        <v>USD</v>
      </c>
      <c r="AE2036" s="37"/>
      <c r="AF2036" s="37" t="e">
        <f t="array" ref="AF2036">INDEX('Deal Info'!D:D, MATCH(A2036,'Deal Info'!A:A, 0))</f>
        <v>#N/A</v>
      </c>
      <c r="AG2036" s="38" t="e">
        <f t="array" ref="AG2036">INDEX('Deal Info'!G:G, MATCH(A2036,'Deal Info'!A:A, 0))</f>
        <v>#N/A</v>
      </c>
    </row>
    <row r="2037" spans="1:33" ht="14.25" hidden="1" x14ac:dyDescent="0.2">
      <c r="A2037" s="18" t="b">
        <f t="array" ref="A2037">IF(G2037='Room Info'!$B$1, INDEX('Room Info'!$A$2:$A2446, MATCH(B2037,'Room Info'!$B$2:$B2446, 0)),IF(G2037='Room Info'!$C$1, INDEX('Room Info'!$A$2:$A2446, MATCH(B2037,'Room Info'!$C$2:$C2446, 0)),IF(G2037='Room Info'!$D$1, INDEX('Room Info'!$A$2:$A2446, MATCH(B2037,'Room Info'!$D$2:$D2446, 0)),IF(G2037='Room Info'!$E$1, INDEX('Room Info'!$A$2:$A2446, MATCH(B2037,'Room Info'!$E$2:$E2446, 0)),IF(G2037='Room Info'!$F$1, INDEX('Room Info'!$A$2:$A2446, MATCH(B2037,'Room Info'!$F$2:$F2446, 0)),IF(G2037='Room Info'!$H$1, INDEX('Room Info'!$A$2:$A2446, MATCH(B2037,'Room Info'!$H$2:$H2446, 0)),IF(G2037='Room Info'!$G$1, INDEX('Room Info'!$A$2:$A2446, MATCH(B2037,'Room Info'!$G$2:$G2446, 0)))))))))</f>
        <v>0</v>
      </c>
      <c r="B2037" s="96"/>
      <c r="C2037" s="136"/>
      <c r="D2037" s="136"/>
      <c r="E2037" s="137"/>
      <c r="F2037" s="133"/>
      <c r="G2037" s="96"/>
      <c r="H2037" s="100"/>
      <c r="I2037" s="100"/>
      <c r="J2037" s="39" t="s">
        <v>334</v>
      </c>
      <c r="K2037" s="134"/>
      <c r="L2037" s="135"/>
      <c r="M2037" s="79"/>
      <c r="N2037" s="28" t="e">
        <f t="shared" si="8"/>
        <v>#VALUE!</v>
      </c>
      <c r="O2037" s="96"/>
      <c r="P2037" s="29" t="s">
        <v>334</v>
      </c>
      <c r="Q2037" s="55"/>
      <c r="R2037" s="31" t="e">
        <f t="shared" si="9"/>
        <v>#VALUE!</v>
      </c>
      <c r="S2037" s="97"/>
      <c r="T2037" s="32" t="e">
        <f t="shared" si="10"/>
        <v>#VALUE!</v>
      </c>
      <c r="U2037" s="57"/>
      <c r="V2037" s="58"/>
      <c r="W2037" s="58"/>
      <c r="X2037" s="30" t="e">
        <f t="shared" si="11"/>
        <v>#N/A</v>
      </c>
      <c r="Y2037" s="30" t="e">
        <f t="shared" si="12"/>
        <v>#N/A</v>
      </c>
      <c r="Z2037" s="35" t="e">
        <f t="shared" si="13"/>
        <v>#VALUE!</v>
      </c>
      <c r="AA2037" s="29" t="e">
        <f t="shared" si="14"/>
        <v>#VALUE!</v>
      </c>
      <c r="AB2037" s="36" t="e">
        <f t="shared" si="15"/>
        <v>#VALUE!</v>
      </c>
      <c r="AC2037" s="37" t="b">
        <v>0</v>
      </c>
      <c r="AD2037" s="61" t="str">
        <f t="shared" si="16"/>
        <v>USD</v>
      </c>
      <c r="AE2037" s="37"/>
      <c r="AF2037" s="37" t="e">
        <f t="array" ref="AF2037">INDEX('Deal Info'!D:D, MATCH(A2037,'Deal Info'!A:A, 0))</f>
        <v>#N/A</v>
      </c>
      <c r="AG2037" s="38" t="e">
        <f t="array" ref="AG2037">INDEX('Deal Info'!G:G, MATCH(A2037,'Deal Info'!A:A, 0))</f>
        <v>#N/A</v>
      </c>
    </row>
    <row r="2038" spans="1:33" ht="14.25" hidden="1" x14ac:dyDescent="0.2">
      <c r="A2038" s="18" t="b">
        <f t="array" ref="A2038">IF(G2038='Room Info'!$B$1, INDEX('Room Info'!$A$2:$A2446, MATCH(B2038,'Room Info'!$B$2:$B2446, 0)),IF(G2038='Room Info'!$C$1, INDEX('Room Info'!$A$2:$A2446, MATCH(B2038,'Room Info'!$C$2:$C2446, 0)),IF(G2038='Room Info'!$D$1, INDEX('Room Info'!$A$2:$A2446, MATCH(B2038,'Room Info'!$D$2:$D2446, 0)),IF(G2038='Room Info'!$E$1, INDEX('Room Info'!$A$2:$A2446, MATCH(B2038,'Room Info'!$E$2:$E2446, 0)),IF(G2038='Room Info'!$F$1, INDEX('Room Info'!$A$2:$A2446, MATCH(B2038,'Room Info'!$F$2:$F2446, 0)),IF(G2038='Room Info'!$H$1, INDEX('Room Info'!$A$2:$A2446, MATCH(B2038,'Room Info'!$H$2:$H2446, 0)),IF(G2038='Room Info'!$G$1, INDEX('Room Info'!$A$2:$A2446, MATCH(B2038,'Room Info'!$G$2:$G2446, 0)))))))))</f>
        <v>0</v>
      </c>
      <c r="B2038" s="96"/>
      <c r="C2038" s="111"/>
      <c r="D2038" s="111"/>
      <c r="E2038" s="80"/>
      <c r="F2038" s="133"/>
      <c r="G2038" s="65"/>
      <c r="H2038" s="65"/>
      <c r="I2038" s="65"/>
      <c r="J2038" s="39" t="s">
        <v>334</v>
      </c>
      <c r="K2038" s="112"/>
      <c r="L2038" s="113"/>
      <c r="M2038" s="62"/>
      <c r="N2038" s="28" t="e">
        <f t="shared" si="8"/>
        <v>#VALUE!</v>
      </c>
      <c r="O2038" s="65"/>
      <c r="P2038" s="29" t="s">
        <v>334</v>
      </c>
      <c r="Q2038" s="55"/>
      <c r="R2038" s="31" t="e">
        <f t="shared" si="9"/>
        <v>#VALUE!</v>
      </c>
      <c r="S2038" s="66"/>
      <c r="T2038" s="32" t="e">
        <f t="shared" si="10"/>
        <v>#VALUE!</v>
      </c>
      <c r="U2038" s="57"/>
      <c r="V2038" s="58"/>
      <c r="W2038" s="58"/>
      <c r="X2038" s="30" t="e">
        <f t="shared" si="11"/>
        <v>#N/A</v>
      </c>
      <c r="Y2038" s="30" t="e">
        <f t="shared" si="12"/>
        <v>#N/A</v>
      </c>
      <c r="Z2038" s="35" t="e">
        <f t="shared" si="13"/>
        <v>#VALUE!</v>
      </c>
      <c r="AA2038" s="29" t="e">
        <f t="shared" si="14"/>
        <v>#VALUE!</v>
      </c>
      <c r="AB2038" s="36" t="e">
        <f t="shared" si="15"/>
        <v>#VALUE!</v>
      </c>
      <c r="AC2038" s="37" t="b">
        <v>0</v>
      </c>
      <c r="AD2038" s="61" t="str">
        <f t="shared" si="16"/>
        <v>USD</v>
      </c>
      <c r="AE2038" s="37"/>
      <c r="AF2038" s="37" t="e">
        <f t="array" ref="AF2038">INDEX('Deal Info'!D:D, MATCH(A2038,'Deal Info'!A:A, 0))</f>
        <v>#N/A</v>
      </c>
      <c r="AG2038" s="38" t="e">
        <f t="array" ref="AG2038">INDEX('Deal Info'!G:G, MATCH(A2038,'Deal Info'!A:A, 0))</f>
        <v>#N/A</v>
      </c>
    </row>
    <row r="2039" spans="1:33" ht="14.25" hidden="1" x14ac:dyDescent="0.2">
      <c r="A2039" s="18" t="b">
        <f t="array" ref="A2039">IF(G2039='Room Info'!$B$1, INDEX('Room Info'!$A$2:$A2446, MATCH(B2039,'Room Info'!$B$2:$B2446, 0)),IF(G2039='Room Info'!$C$1, INDEX('Room Info'!$A$2:$A2446, MATCH(B2039,'Room Info'!$C$2:$C2446, 0)),IF(G2039='Room Info'!$D$1, INDEX('Room Info'!$A$2:$A2446, MATCH(B2039,'Room Info'!$D$2:$D2446, 0)),IF(G2039='Room Info'!$E$1, INDEX('Room Info'!$A$2:$A2446, MATCH(B2039,'Room Info'!$E$2:$E2446, 0)),IF(G2039='Room Info'!$F$1, INDEX('Room Info'!$A$2:$A2446, MATCH(B2039,'Room Info'!$F$2:$F2446, 0)),IF(G2039='Room Info'!$H$1, INDEX('Room Info'!$A$2:$A2446, MATCH(B2039,'Room Info'!$H$2:$H2446, 0)),IF(G2039='Room Info'!$G$1, INDEX('Room Info'!$A$2:$A2446, MATCH(B2039,'Room Info'!$G$2:$G2446, 0)))))))))</f>
        <v>0</v>
      </c>
      <c r="B2039" s="65"/>
      <c r="C2039" s="111"/>
      <c r="D2039" s="111"/>
      <c r="E2039" s="80"/>
      <c r="F2039" s="96"/>
      <c r="G2039" s="65"/>
      <c r="H2039" s="110"/>
      <c r="I2039" s="110"/>
      <c r="J2039" s="39" t="s">
        <v>334</v>
      </c>
      <c r="K2039" s="134"/>
      <c r="L2039" s="135"/>
      <c r="M2039" s="62"/>
      <c r="N2039" s="28" t="e">
        <f t="shared" si="8"/>
        <v>#VALUE!</v>
      </c>
      <c r="O2039" s="96"/>
      <c r="P2039" s="29" t="s">
        <v>334</v>
      </c>
      <c r="Q2039" s="55"/>
      <c r="R2039" s="31" t="e">
        <f t="shared" si="9"/>
        <v>#VALUE!</v>
      </c>
      <c r="S2039" s="97"/>
      <c r="T2039" s="32" t="e">
        <f t="shared" si="10"/>
        <v>#VALUE!</v>
      </c>
      <c r="U2039" s="57"/>
      <c r="V2039" s="58"/>
      <c r="W2039" s="58"/>
      <c r="X2039" s="30" t="e">
        <f t="shared" si="11"/>
        <v>#N/A</v>
      </c>
      <c r="Y2039" s="30" t="e">
        <f t="shared" si="12"/>
        <v>#N/A</v>
      </c>
      <c r="Z2039" s="35" t="e">
        <f t="shared" si="13"/>
        <v>#VALUE!</v>
      </c>
      <c r="AA2039" s="29" t="e">
        <f t="shared" si="14"/>
        <v>#VALUE!</v>
      </c>
      <c r="AB2039" s="36" t="e">
        <f t="shared" si="15"/>
        <v>#VALUE!</v>
      </c>
      <c r="AC2039" s="37" t="b">
        <v>0</v>
      </c>
      <c r="AD2039" s="61" t="str">
        <f t="shared" si="16"/>
        <v>USD</v>
      </c>
      <c r="AE2039" s="37"/>
      <c r="AF2039" s="37" t="e">
        <f t="array" ref="AF2039">INDEX('Deal Info'!D:D, MATCH(A2039,'Deal Info'!A:A, 0))</f>
        <v>#N/A</v>
      </c>
      <c r="AG2039" s="38" t="e">
        <f t="array" ref="AG2039">INDEX('Deal Info'!G:G, MATCH(A2039,'Deal Info'!A:A, 0))</f>
        <v>#N/A</v>
      </c>
    </row>
    <row r="2040" spans="1:33" ht="14.25" hidden="1" x14ac:dyDescent="0.2">
      <c r="A2040" s="18" t="b">
        <f t="array" ref="A2040">IF(G2040='Room Info'!$B$1, INDEX('Room Info'!$A$2:$A2446, MATCH(B2040,'Room Info'!$B$2:$B2446, 0)),IF(G2040='Room Info'!$C$1, INDEX('Room Info'!$A$2:$A2446, MATCH(B2040,'Room Info'!$C$2:$C2446, 0)),IF(G2040='Room Info'!$D$1, INDEX('Room Info'!$A$2:$A2446, MATCH(B2040,'Room Info'!$D$2:$D2446, 0)),IF(G2040='Room Info'!$E$1, INDEX('Room Info'!$A$2:$A2446, MATCH(B2040,'Room Info'!$E$2:$E2446, 0)),IF(G2040='Room Info'!$F$1, INDEX('Room Info'!$A$2:$A2446, MATCH(B2040,'Room Info'!$F$2:$F2446, 0)),IF(G2040='Room Info'!$H$1, INDEX('Room Info'!$A$2:$A2446, MATCH(B2040,'Room Info'!$H$2:$H2446, 0)),IF(G2040='Room Info'!$G$1, INDEX('Room Info'!$A$2:$A2446, MATCH(B2040,'Room Info'!$G$2:$G2446, 0)))))))))</f>
        <v>0</v>
      </c>
      <c r="B2040" s="65"/>
      <c r="C2040" s="111"/>
      <c r="D2040" s="111"/>
      <c r="E2040" s="80"/>
      <c r="F2040" s="96"/>
      <c r="G2040" s="65"/>
      <c r="H2040" s="110"/>
      <c r="I2040" s="110"/>
      <c r="J2040" s="39" t="s">
        <v>334</v>
      </c>
      <c r="K2040" s="134"/>
      <c r="L2040" s="135"/>
      <c r="M2040" s="62"/>
      <c r="N2040" s="28" t="e">
        <f t="shared" si="8"/>
        <v>#VALUE!</v>
      </c>
      <c r="O2040" s="96"/>
      <c r="P2040" s="29" t="s">
        <v>334</v>
      </c>
      <c r="Q2040" s="55"/>
      <c r="R2040" s="31" t="e">
        <f t="shared" si="9"/>
        <v>#VALUE!</v>
      </c>
      <c r="S2040" s="97"/>
      <c r="T2040" s="32" t="e">
        <f t="shared" si="10"/>
        <v>#VALUE!</v>
      </c>
      <c r="U2040" s="57"/>
      <c r="V2040" s="58"/>
      <c r="W2040" s="58"/>
      <c r="X2040" s="30" t="e">
        <f t="shared" si="11"/>
        <v>#N/A</v>
      </c>
      <c r="Y2040" s="30" t="e">
        <f t="shared" si="12"/>
        <v>#N/A</v>
      </c>
      <c r="Z2040" s="35" t="e">
        <f t="shared" si="13"/>
        <v>#VALUE!</v>
      </c>
      <c r="AA2040" s="29" t="e">
        <f t="shared" si="14"/>
        <v>#VALUE!</v>
      </c>
      <c r="AB2040" s="36" t="e">
        <f t="shared" si="15"/>
        <v>#VALUE!</v>
      </c>
      <c r="AC2040" s="37" t="b">
        <v>0</v>
      </c>
      <c r="AD2040" s="61" t="str">
        <f t="shared" si="16"/>
        <v>USD</v>
      </c>
      <c r="AE2040" s="37"/>
      <c r="AF2040" s="37" t="e">
        <f t="array" ref="AF2040">INDEX('Deal Info'!D:D, MATCH(A2040,'Deal Info'!A:A, 0))</f>
        <v>#N/A</v>
      </c>
      <c r="AG2040" s="38" t="e">
        <f t="array" ref="AG2040">INDEX('Deal Info'!G:G, MATCH(A2040,'Deal Info'!A:A, 0))</f>
        <v>#N/A</v>
      </c>
    </row>
    <row r="2041" spans="1:33" ht="14.25" hidden="1" x14ac:dyDescent="0.2">
      <c r="A2041" s="18" t="b">
        <f t="array" ref="A2041">IF(G2041='Room Info'!$B$1, INDEX('Room Info'!$A$2:$A2446, MATCH(B2041,'Room Info'!$B$2:$B2446, 0)),IF(G2041='Room Info'!$C$1, INDEX('Room Info'!$A$2:$A2446, MATCH(B2041,'Room Info'!$C$2:$C2446, 0)),IF(G2041='Room Info'!$D$1, INDEX('Room Info'!$A$2:$A2446, MATCH(B2041,'Room Info'!$D$2:$D2446, 0)),IF(G2041='Room Info'!$E$1, INDEX('Room Info'!$A$2:$A2446, MATCH(B2041,'Room Info'!$E$2:$E2446, 0)),IF(G2041='Room Info'!$F$1, INDEX('Room Info'!$A$2:$A2446, MATCH(B2041,'Room Info'!$F$2:$F2446, 0)),IF(G2041='Room Info'!$H$1, INDEX('Room Info'!$A$2:$A2446, MATCH(B2041,'Room Info'!$H$2:$H2446, 0)),IF(G2041='Room Info'!$G$1, INDEX('Room Info'!$A$2:$A2446, MATCH(B2041,'Room Info'!$G$2:$G2446, 0)))))))))</f>
        <v>0</v>
      </c>
      <c r="B2041" s="65"/>
      <c r="C2041" s="111"/>
      <c r="D2041" s="111"/>
      <c r="E2041" s="80"/>
      <c r="F2041" s="96"/>
      <c r="G2041" s="65"/>
      <c r="H2041" s="110"/>
      <c r="I2041" s="110"/>
      <c r="J2041" s="39" t="s">
        <v>334</v>
      </c>
      <c r="K2041" s="134"/>
      <c r="L2041" s="135"/>
      <c r="M2041" s="62"/>
      <c r="N2041" s="28" t="e">
        <f t="shared" si="8"/>
        <v>#VALUE!</v>
      </c>
      <c r="O2041" s="96"/>
      <c r="P2041" s="29" t="s">
        <v>334</v>
      </c>
      <c r="Q2041" s="55"/>
      <c r="R2041" s="31" t="e">
        <f t="shared" si="9"/>
        <v>#VALUE!</v>
      </c>
      <c r="S2041" s="97"/>
      <c r="T2041" s="32" t="e">
        <f t="shared" si="10"/>
        <v>#VALUE!</v>
      </c>
      <c r="U2041" s="57"/>
      <c r="V2041" s="58"/>
      <c r="W2041" s="58"/>
      <c r="X2041" s="30" t="e">
        <f t="shared" si="11"/>
        <v>#N/A</v>
      </c>
      <c r="Y2041" s="30" t="e">
        <f t="shared" si="12"/>
        <v>#N/A</v>
      </c>
      <c r="Z2041" s="35" t="e">
        <f t="shared" si="13"/>
        <v>#VALUE!</v>
      </c>
      <c r="AA2041" s="29" t="e">
        <f t="shared" si="14"/>
        <v>#VALUE!</v>
      </c>
      <c r="AB2041" s="36" t="e">
        <f t="shared" si="15"/>
        <v>#VALUE!</v>
      </c>
      <c r="AC2041" s="37" t="b">
        <v>0</v>
      </c>
      <c r="AD2041" s="61" t="str">
        <f t="shared" si="16"/>
        <v>USD</v>
      </c>
      <c r="AE2041" s="37"/>
      <c r="AF2041" s="37" t="e">
        <f t="array" ref="AF2041">INDEX('Deal Info'!D:D, MATCH(A2041,'Deal Info'!A:A, 0))</f>
        <v>#N/A</v>
      </c>
      <c r="AG2041" s="38" t="e">
        <f t="array" ref="AG2041">INDEX('Deal Info'!G:G, MATCH(A2041,'Deal Info'!A:A, 0))</f>
        <v>#N/A</v>
      </c>
    </row>
    <row r="2042" spans="1:33" ht="14.25" hidden="1" x14ac:dyDescent="0.2">
      <c r="A2042" s="18" t="b">
        <f t="array" ref="A2042">IF(G2042='Room Info'!$B$1, INDEX('Room Info'!$A$2:$A2446, MATCH(B2042,'Room Info'!$B$2:$B2446, 0)),IF(G2042='Room Info'!$C$1, INDEX('Room Info'!$A$2:$A2446, MATCH(B2042,'Room Info'!$C$2:$C2446, 0)),IF(G2042='Room Info'!$D$1, INDEX('Room Info'!$A$2:$A2446, MATCH(B2042,'Room Info'!$D$2:$D2446, 0)),IF(G2042='Room Info'!$E$1, INDEX('Room Info'!$A$2:$A2446, MATCH(B2042,'Room Info'!$E$2:$E2446, 0)),IF(G2042='Room Info'!$F$1, INDEX('Room Info'!$A$2:$A2446, MATCH(B2042,'Room Info'!$F$2:$F2446, 0)),IF(G2042='Room Info'!$H$1, INDEX('Room Info'!$A$2:$A2446, MATCH(B2042,'Room Info'!$H$2:$H2446, 0)),IF(G2042='Room Info'!$G$1, INDEX('Room Info'!$A$2:$A2446, MATCH(B2042,'Room Info'!$G$2:$G2446, 0)))))))))</f>
        <v>0</v>
      </c>
      <c r="B2042" s="96"/>
      <c r="C2042" s="111"/>
      <c r="D2042" s="111"/>
      <c r="E2042" s="80"/>
      <c r="F2042" s="96"/>
      <c r="G2042" s="65"/>
      <c r="H2042" s="110"/>
      <c r="I2042" s="110"/>
      <c r="J2042" s="39" t="s">
        <v>334</v>
      </c>
      <c r="K2042" s="112"/>
      <c r="L2042" s="113"/>
      <c r="M2042" s="62"/>
      <c r="N2042" s="28" t="e">
        <f t="shared" si="8"/>
        <v>#VALUE!</v>
      </c>
      <c r="O2042" s="65"/>
      <c r="P2042" s="29" t="s">
        <v>334</v>
      </c>
      <c r="Q2042" s="55"/>
      <c r="R2042" s="31" t="e">
        <f t="shared" si="9"/>
        <v>#VALUE!</v>
      </c>
      <c r="S2042" s="66"/>
      <c r="T2042" s="32" t="e">
        <f t="shared" si="10"/>
        <v>#VALUE!</v>
      </c>
      <c r="U2042" s="57"/>
      <c r="V2042" s="58"/>
      <c r="W2042" s="58"/>
      <c r="X2042" s="30" t="e">
        <f t="shared" si="11"/>
        <v>#N/A</v>
      </c>
      <c r="Y2042" s="30" t="e">
        <f t="shared" si="12"/>
        <v>#N/A</v>
      </c>
      <c r="Z2042" s="35" t="e">
        <f t="shared" si="13"/>
        <v>#VALUE!</v>
      </c>
      <c r="AA2042" s="29" t="e">
        <f t="shared" si="14"/>
        <v>#VALUE!</v>
      </c>
      <c r="AB2042" s="36" t="e">
        <f t="shared" si="15"/>
        <v>#VALUE!</v>
      </c>
      <c r="AC2042" s="37" t="b">
        <v>0</v>
      </c>
      <c r="AD2042" s="61" t="str">
        <f t="shared" si="16"/>
        <v>USD</v>
      </c>
      <c r="AE2042" s="37"/>
      <c r="AF2042" s="37" t="e">
        <f t="array" ref="AF2042">INDEX('Deal Info'!D:D, MATCH(A2042,'Deal Info'!A:A, 0))</f>
        <v>#N/A</v>
      </c>
      <c r="AG2042" s="38" t="e">
        <f t="array" ref="AG2042">INDEX('Deal Info'!G:G, MATCH(A2042,'Deal Info'!A:A, 0))</f>
        <v>#N/A</v>
      </c>
    </row>
    <row r="2043" spans="1:33" ht="14.25" hidden="1" x14ac:dyDescent="0.2">
      <c r="A2043" s="18" t="b">
        <f t="array" ref="A2043">IF(G2043='Room Info'!$B$1, INDEX('Room Info'!$A$2:$A2446, MATCH(B2043,'Room Info'!$B$2:$B2446, 0)),IF(G2043='Room Info'!$C$1, INDEX('Room Info'!$A$2:$A2446, MATCH(B2043,'Room Info'!$C$2:$C2446, 0)),IF(G2043='Room Info'!$D$1, INDEX('Room Info'!$A$2:$A2446, MATCH(B2043,'Room Info'!$D$2:$D2446, 0)),IF(G2043='Room Info'!$E$1, INDEX('Room Info'!$A$2:$A2446, MATCH(B2043,'Room Info'!$E$2:$E2446, 0)),IF(G2043='Room Info'!$F$1, INDEX('Room Info'!$A$2:$A2446, MATCH(B2043,'Room Info'!$F$2:$F2446, 0)),IF(G2043='Room Info'!$H$1, INDEX('Room Info'!$A$2:$A2446, MATCH(B2043,'Room Info'!$H$2:$H2446, 0)),IF(G2043='Room Info'!$G$1, INDEX('Room Info'!$A$2:$A2446, MATCH(B2043,'Room Info'!$G$2:$G2446, 0)))))))))</f>
        <v>0</v>
      </c>
      <c r="B2043" s="96"/>
      <c r="C2043" s="111"/>
      <c r="D2043" s="111"/>
      <c r="E2043" s="80"/>
      <c r="F2043" s="96"/>
      <c r="G2043" s="65"/>
      <c r="H2043" s="110"/>
      <c r="I2043" s="110"/>
      <c r="J2043" s="39" t="s">
        <v>334</v>
      </c>
      <c r="K2043" s="112"/>
      <c r="L2043" s="113"/>
      <c r="M2043" s="62"/>
      <c r="N2043" s="28" t="e">
        <f t="shared" si="8"/>
        <v>#VALUE!</v>
      </c>
      <c r="O2043" s="65"/>
      <c r="P2043" s="29" t="s">
        <v>334</v>
      </c>
      <c r="Q2043" s="55"/>
      <c r="R2043" s="31" t="e">
        <f t="shared" si="9"/>
        <v>#VALUE!</v>
      </c>
      <c r="S2043" s="66"/>
      <c r="T2043" s="32" t="e">
        <f t="shared" si="10"/>
        <v>#VALUE!</v>
      </c>
      <c r="U2043" s="57"/>
      <c r="V2043" s="58"/>
      <c r="W2043" s="58"/>
      <c r="X2043" s="30" t="e">
        <f t="shared" si="11"/>
        <v>#N/A</v>
      </c>
      <c r="Y2043" s="30" t="e">
        <f t="shared" si="12"/>
        <v>#N/A</v>
      </c>
      <c r="Z2043" s="35" t="e">
        <f t="shared" si="13"/>
        <v>#VALUE!</v>
      </c>
      <c r="AA2043" s="29" t="e">
        <f t="shared" si="14"/>
        <v>#VALUE!</v>
      </c>
      <c r="AB2043" s="36" t="e">
        <f t="shared" si="15"/>
        <v>#VALUE!</v>
      </c>
      <c r="AC2043" s="37" t="b">
        <v>0</v>
      </c>
      <c r="AD2043" s="61" t="str">
        <f t="shared" si="16"/>
        <v>USD</v>
      </c>
      <c r="AE2043" s="37"/>
      <c r="AF2043" s="37" t="e">
        <f t="array" ref="AF2043">INDEX('Deal Info'!D:D, MATCH(A2043,'Deal Info'!A:A, 0))</f>
        <v>#N/A</v>
      </c>
      <c r="AG2043" s="38" t="e">
        <f t="array" ref="AG2043">INDEX('Deal Info'!G:G, MATCH(A2043,'Deal Info'!A:A, 0))</f>
        <v>#N/A</v>
      </c>
    </row>
    <row r="2044" spans="1:33" ht="14.25" hidden="1" x14ac:dyDescent="0.2">
      <c r="A2044" s="18" t="b">
        <f t="array" ref="A2044">IF(G2044='Room Info'!$B$1, INDEX('Room Info'!$A$2:$A2446, MATCH(B2044,'Room Info'!$B$2:$B2446, 0)),IF(G2044='Room Info'!$C$1, INDEX('Room Info'!$A$2:$A2446, MATCH(B2044,'Room Info'!$C$2:$C2446, 0)),IF(G2044='Room Info'!$D$1, INDEX('Room Info'!$A$2:$A2446, MATCH(B2044,'Room Info'!$D$2:$D2446, 0)),IF(G2044='Room Info'!$E$1, INDEX('Room Info'!$A$2:$A2446, MATCH(B2044,'Room Info'!$E$2:$E2446, 0)),IF(G2044='Room Info'!$F$1, INDEX('Room Info'!$A$2:$A2446, MATCH(B2044,'Room Info'!$F$2:$F2446, 0)),IF(G2044='Room Info'!$H$1, INDEX('Room Info'!$A$2:$A2446, MATCH(B2044,'Room Info'!$H$2:$H2446, 0)),IF(G2044='Room Info'!$G$1, INDEX('Room Info'!$A$2:$A2446, MATCH(B2044,'Room Info'!$G$2:$G2446, 0)))))))))</f>
        <v>0</v>
      </c>
      <c r="B2044" s="96"/>
      <c r="C2044" s="111"/>
      <c r="D2044" s="111"/>
      <c r="E2044" s="80"/>
      <c r="F2044" s="96"/>
      <c r="G2044" s="65"/>
      <c r="H2044" s="110"/>
      <c r="I2044" s="110"/>
      <c r="J2044" s="39" t="s">
        <v>334</v>
      </c>
      <c r="K2044" s="112"/>
      <c r="L2044" s="113"/>
      <c r="M2044" s="62"/>
      <c r="N2044" s="28" t="e">
        <f t="shared" si="8"/>
        <v>#VALUE!</v>
      </c>
      <c r="O2044" s="65"/>
      <c r="P2044" s="29" t="s">
        <v>334</v>
      </c>
      <c r="Q2044" s="55"/>
      <c r="R2044" s="31" t="e">
        <f t="shared" si="9"/>
        <v>#VALUE!</v>
      </c>
      <c r="S2044" s="66"/>
      <c r="T2044" s="32" t="e">
        <f t="shared" si="10"/>
        <v>#VALUE!</v>
      </c>
      <c r="U2044" s="57"/>
      <c r="V2044" s="58"/>
      <c r="W2044" s="58"/>
      <c r="X2044" s="30" t="e">
        <f t="shared" si="11"/>
        <v>#N/A</v>
      </c>
      <c r="Y2044" s="30" t="e">
        <f t="shared" si="12"/>
        <v>#N/A</v>
      </c>
      <c r="Z2044" s="35" t="e">
        <f t="shared" si="13"/>
        <v>#VALUE!</v>
      </c>
      <c r="AA2044" s="29" t="e">
        <f t="shared" si="14"/>
        <v>#VALUE!</v>
      </c>
      <c r="AB2044" s="36" t="e">
        <f t="shared" si="15"/>
        <v>#VALUE!</v>
      </c>
      <c r="AC2044" s="37" t="b">
        <v>0</v>
      </c>
      <c r="AD2044" s="61" t="str">
        <f t="shared" si="16"/>
        <v>USD</v>
      </c>
      <c r="AE2044" s="37"/>
      <c r="AF2044" s="37" t="e">
        <f t="array" ref="AF2044">INDEX('Deal Info'!D:D, MATCH(A2044,'Deal Info'!A:A, 0))</f>
        <v>#N/A</v>
      </c>
      <c r="AG2044" s="38" t="e">
        <f t="array" ref="AG2044">INDEX('Deal Info'!G:G, MATCH(A2044,'Deal Info'!A:A, 0))</f>
        <v>#N/A</v>
      </c>
    </row>
    <row r="2045" spans="1:33" ht="14.25" hidden="1" x14ac:dyDescent="0.2">
      <c r="A2045" s="18" t="b">
        <f t="array" ref="A2045">IF(G2045='Room Info'!$B$1, INDEX('Room Info'!$A$2:$A2446, MATCH(B2045,'Room Info'!$B$2:$B2446, 0)),IF(G2045='Room Info'!$C$1, INDEX('Room Info'!$A$2:$A2446, MATCH(B2045,'Room Info'!$C$2:$C2446, 0)),IF(G2045='Room Info'!$D$1, INDEX('Room Info'!$A$2:$A2446, MATCH(B2045,'Room Info'!$D$2:$D2446, 0)),IF(G2045='Room Info'!$E$1, INDEX('Room Info'!$A$2:$A2446, MATCH(B2045,'Room Info'!$E$2:$E2446, 0)),IF(G2045='Room Info'!$F$1, INDEX('Room Info'!$A$2:$A2446, MATCH(B2045,'Room Info'!$F$2:$F2446, 0)),IF(G2045='Room Info'!$H$1, INDEX('Room Info'!$A$2:$A2446, MATCH(B2045,'Room Info'!$H$2:$H2446, 0)),IF(G2045='Room Info'!$G$1, INDEX('Room Info'!$A$2:$A2446, MATCH(B2045,'Room Info'!$G$2:$G2446, 0)))))))))</f>
        <v>0</v>
      </c>
      <c r="B2045" s="96"/>
      <c r="C2045" s="111"/>
      <c r="D2045" s="111"/>
      <c r="E2045" s="80"/>
      <c r="F2045" s="96"/>
      <c r="G2045" s="65"/>
      <c r="H2045" s="110"/>
      <c r="I2045" s="110"/>
      <c r="J2045" s="39" t="s">
        <v>334</v>
      </c>
      <c r="K2045" s="112"/>
      <c r="L2045" s="113"/>
      <c r="M2045" s="62"/>
      <c r="N2045" s="28" t="e">
        <f t="shared" si="8"/>
        <v>#VALUE!</v>
      </c>
      <c r="O2045" s="65"/>
      <c r="P2045" s="29" t="s">
        <v>334</v>
      </c>
      <c r="Q2045" s="55"/>
      <c r="R2045" s="31" t="e">
        <f t="shared" si="9"/>
        <v>#VALUE!</v>
      </c>
      <c r="S2045" s="66"/>
      <c r="T2045" s="32" t="e">
        <f t="shared" si="10"/>
        <v>#VALUE!</v>
      </c>
      <c r="U2045" s="57"/>
      <c r="V2045" s="58"/>
      <c r="W2045" s="58"/>
      <c r="X2045" s="30" t="e">
        <f t="shared" si="11"/>
        <v>#N/A</v>
      </c>
      <c r="Y2045" s="30" t="e">
        <f t="shared" si="12"/>
        <v>#N/A</v>
      </c>
      <c r="Z2045" s="35" t="e">
        <f t="shared" si="13"/>
        <v>#VALUE!</v>
      </c>
      <c r="AA2045" s="29" t="e">
        <f t="shared" si="14"/>
        <v>#VALUE!</v>
      </c>
      <c r="AB2045" s="36" t="e">
        <f t="shared" si="15"/>
        <v>#VALUE!</v>
      </c>
      <c r="AC2045" s="37" t="b">
        <v>0</v>
      </c>
      <c r="AD2045" s="61" t="str">
        <f t="shared" si="16"/>
        <v>USD</v>
      </c>
      <c r="AE2045" s="37"/>
      <c r="AF2045" s="37" t="e">
        <f t="array" ref="AF2045">INDEX('Deal Info'!D:D, MATCH(A2045,'Deal Info'!A:A, 0))</f>
        <v>#N/A</v>
      </c>
      <c r="AG2045" s="38" t="e">
        <f t="array" ref="AG2045">INDEX('Deal Info'!G:G, MATCH(A2045,'Deal Info'!A:A, 0))</f>
        <v>#N/A</v>
      </c>
    </row>
    <row r="2046" spans="1:33" ht="14.25" hidden="1" x14ac:dyDescent="0.2">
      <c r="A2046" s="18" t="b">
        <f t="array" ref="A2046">IF(G2046='Room Info'!$B$1, INDEX('Room Info'!$A$2:$A2446, MATCH(B2046,'Room Info'!$B$2:$B2446, 0)),IF(G2046='Room Info'!$C$1, INDEX('Room Info'!$A$2:$A2446, MATCH(B2046,'Room Info'!$C$2:$C2446, 0)),IF(G2046='Room Info'!$D$1, INDEX('Room Info'!$A$2:$A2446, MATCH(B2046,'Room Info'!$D$2:$D2446, 0)),IF(G2046='Room Info'!$E$1, INDEX('Room Info'!$A$2:$A2446, MATCH(B2046,'Room Info'!$E$2:$E2446, 0)),IF(G2046='Room Info'!$F$1, INDEX('Room Info'!$A$2:$A2446, MATCH(B2046,'Room Info'!$F$2:$F2446, 0)),IF(G2046='Room Info'!$H$1, INDEX('Room Info'!$A$2:$A2446, MATCH(B2046,'Room Info'!$H$2:$H2446, 0)),IF(G2046='Room Info'!$G$1, INDEX('Room Info'!$A$2:$A2446, MATCH(B2046,'Room Info'!$G$2:$G2446, 0)))))))))</f>
        <v>0</v>
      </c>
      <c r="B2046" s="96"/>
      <c r="C2046" s="111"/>
      <c r="D2046" s="111"/>
      <c r="E2046" s="80"/>
      <c r="F2046" s="96"/>
      <c r="G2046" s="65"/>
      <c r="H2046" s="110"/>
      <c r="I2046" s="110"/>
      <c r="J2046" s="39" t="s">
        <v>334</v>
      </c>
      <c r="K2046" s="112"/>
      <c r="L2046" s="113"/>
      <c r="M2046" s="62"/>
      <c r="N2046" s="28" t="e">
        <f t="shared" si="8"/>
        <v>#VALUE!</v>
      </c>
      <c r="O2046" s="65"/>
      <c r="P2046" s="29" t="s">
        <v>334</v>
      </c>
      <c r="Q2046" s="55"/>
      <c r="R2046" s="31" t="e">
        <f t="shared" si="9"/>
        <v>#VALUE!</v>
      </c>
      <c r="S2046" s="66"/>
      <c r="T2046" s="32" t="e">
        <f t="shared" si="10"/>
        <v>#VALUE!</v>
      </c>
      <c r="U2046" s="57"/>
      <c r="V2046" s="58"/>
      <c r="W2046" s="58"/>
      <c r="X2046" s="30" t="e">
        <f t="shared" si="11"/>
        <v>#N/A</v>
      </c>
      <c r="Y2046" s="30" t="e">
        <f t="shared" si="12"/>
        <v>#N/A</v>
      </c>
      <c r="Z2046" s="35" t="e">
        <f t="shared" si="13"/>
        <v>#VALUE!</v>
      </c>
      <c r="AA2046" s="29" t="e">
        <f t="shared" si="14"/>
        <v>#VALUE!</v>
      </c>
      <c r="AB2046" s="36" t="e">
        <f t="shared" si="15"/>
        <v>#VALUE!</v>
      </c>
      <c r="AC2046" s="37" t="b">
        <v>0</v>
      </c>
      <c r="AD2046" s="61" t="str">
        <f t="shared" si="16"/>
        <v>USD</v>
      </c>
      <c r="AE2046" s="37"/>
      <c r="AF2046" s="37" t="e">
        <f t="array" ref="AF2046">INDEX('Deal Info'!D:D, MATCH(A2046,'Deal Info'!A:A, 0))</f>
        <v>#N/A</v>
      </c>
      <c r="AG2046" s="38" t="e">
        <f t="array" ref="AG2046">INDEX('Deal Info'!G:G, MATCH(A2046,'Deal Info'!A:A, 0))</f>
        <v>#N/A</v>
      </c>
    </row>
    <row r="2047" spans="1:33" ht="14.25" hidden="1" x14ac:dyDescent="0.2">
      <c r="A2047" s="18" t="b">
        <f t="array" ref="A2047">IF(G2047='Room Info'!$B$1, INDEX('Room Info'!$A$2:$A2446, MATCH(B2047,'Room Info'!$B$2:$B2446, 0)),IF(G2047='Room Info'!$C$1, INDEX('Room Info'!$A$2:$A2446, MATCH(B2047,'Room Info'!$C$2:$C2446, 0)),IF(G2047='Room Info'!$D$1, INDEX('Room Info'!$A$2:$A2446, MATCH(B2047,'Room Info'!$D$2:$D2446, 0)),IF(G2047='Room Info'!$E$1, INDEX('Room Info'!$A$2:$A2446, MATCH(B2047,'Room Info'!$E$2:$E2446, 0)),IF(G2047='Room Info'!$F$1, INDEX('Room Info'!$A$2:$A2446, MATCH(B2047,'Room Info'!$F$2:$F2446, 0)),IF(G2047='Room Info'!$H$1, INDEX('Room Info'!$A$2:$A2446, MATCH(B2047,'Room Info'!$H$2:$H2446, 0)),IF(G2047='Room Info'!$G$1, INDEX('Room Info'!$A$2:$A2446, MATCH(B2047,'Room Info'!$G$2:$G2446, 0)))))))))</f>
        <v>0</v>
      </c>
      <c r="B2047" s="96"/>
      <c r="C2047" s="111"/>
      <c r="D2047" s="111"/>
      <c r="E2047" s="80"/>
      <c r="F2047" s="96"/>
      <c r="G2047" s="65"/>
      <c r="H2047" s="110"/>
      <c r="I2047" s="110"/>
      <c r="J2047" s="39" t="s">
        <v>334</v>
      </c>
      <c r="K2047" s="112"/>
      <c r="L2047" s="113"/>
      <c r="M2047" s="62"/>
      <c r="N2047" s="28" t="e">
        <f t="shared" si="8"/>
        <v>#VALUE!</v>
      </c>
      <c r="O2047" s="65"/>
      <c r="P2047" s="29" t="s">
        <v>334</v>
      </c>
      <c r="Q2047" s="55"/>
      <c r="R2047" s="31" t="e">
        <f t="shared" si="9"/>
        <v>#VALUE!</v>
      </c>
      <c r="S2047" s="66"/>
      <c r="T2047" s="32" t="e">
        <f t="shared" si="10"/>
        <v>#VALUE!</v>
      </c>
      <c r="U2047" s="57"/>
      <c r="V2047" s="58"/>
      <c r="W2047" s="58"/>
      <c r="X2047" s="30" t="e">
        <f t="shared" si="11"/>
        <v>#N/A</v>
      </c>
      <c r="Y2047" s="30" t="e">
        <f t="shared" si="12"/>
        <v>#N/A</v>
      </c>
      <c r="Z2047" s="35" t="e">
        <f t="shared" si="13"/>
        <v>#VALUE!</v>
      </c>
      <c r="AA2047" s="29" t="e">
        <f t="shared" si="14"/>
        <v>#VALUE!</v>
      </c>
      <c r="AB2047" s="36" t="e">
        <f t="shared" si="15"/>
        <v>#VALUE!</v>
      </c>
      <c r="AC2047" s="37" t="b">
        <v>0</v>
      </c>
      <c r="AD2047" s="61" t="str">
        <f t="shared" si="16"/>
        <v>USD</v>
      </c>
      <c r="AE2047" s="37"/>
      <c r="AF2047" s="37" t="e">
        <f t="array" ref="AF2047">INDEX('Deal Info'!D:D, MATCH(A2047,'Deal Info'!A:A, 0))</f>
        <v>#N/A</v>
      </c>
      <c r="AG2047" s="38" t="e">
        <f t="array" ref="AG2047">INDEX('Deal Info'!G:G, MATCH(A2047,'Deal Info'!A:A, 0))</f>
        <v>#N/A</v>
      </c>
    </row>
    <row r="2048" spans="1:33" ht="14.25" hidden="1" x14ac:dyDescent="0.2">
      <c r="A2048" s="18" t="b">
        <f t="array" ref="A2048">IF(G2048='Room Info'!$B$1, INDEX('Room Info'!$A$2:$A2446, MATCH(B2048,'Room Info'!$B$2:$B2446, 0)),IF(G2048='Room Info'!$C$1, INDEX('Room Info'!$A$2:$A2446, MATCH(B2048,'Room Info'!$C$2:$C2446, 0)),IF(G2048='Room Info'!$D$1, INDEX('Room Info'!$A$2:$A2446, MATCH(B2048,'Room Info'!$D$2:$D2446, 0)),IF(G2048='Room Info'!$E$1, INDEX('Room Info'!$A$2:$A2446, MATCH(B2048,'Room Info'!$E$2:$E2446, 0)),IF(G2048='Room Info'!$F$1, INDEX('Room Info'!$A$2:$A2446, MATCH(B2048,'Room Info'!$F$2:$F2446, 0)),IF(G2048='Room Info'!$H$1, INDEX('Room Info'!$A$2:$A2446, MATCH(B2048,'Room Info'!$H$2:$H2446, 0)),IF(G2048='Room Info'!$G$1, INDEX('Room Info'!$A$2:$A2446, MATCH(B2048,'Room Info'!$G$2:$G2446, 0)))))))))</f>
        <v>0</v>
      </c>
      <c r="B2048" s="96"/>
      <c r="C2048" s="111"/>
      <c r="D2048" s="111"/>
      <c r="E2048" s="80"/>
      <c r="F2048" s="96"/>
      <c r="G2048" s="65"/>
      <c r="H2048" s="110"/>
      <c r="I2048" s="110"/>
      <c r="J2048" s="39" t="s">
        <v>334</v>
      </c>
      <c r="K2048" s="112"/>
      <c r="L2048" s="113"/>
      <c r="M2048" s="62"/>
      <c r="N2048" s="28" t="e">
        <f t="shared" si="8"/>
        <v>#VALUE!</v>
      </c>
      <c r="O2048" s="65"/>
      <c r="P2048" s="29" t="s">
        <v>334</v>
      </c>
      <c r="Q2048" s="55"/>
      <c r="R2048" s="31" t="e">
        <f t="shared" si="9"/>
        <v>#VALUE!</v>
      </c>
      <c r="S2048" s="66"/>
      <c r="T2048" s="32" t="e">
        <f t="shared" si="10"/>
        <v>#VALUE!</v>
      </c>
      <c r="U2048" s="57"/>
      <c r="V2048" s="58"/>
      <c r="W2048" s="58"/>
      <c r="X2048" s="30" t="e">
        <f t="shared" si="11"/>
        <v>#N/A</v>
      </c>
      <c r="Y2048" s="30" t="e">
        <f t="shared" si="12"/>
        <v>#N/A</v>
      </c>
      <c r="Z2048" s="35" t="e">
        <f t="shared" si="13"/>
        <v>#VALUE!</v>
      </c>
      <c r="AA2048" s="29" t="e">
        <f t="shared" si="14"/>
        <v>#VALUE!</v>
      </c>
      <c r="AB2048" s="36" t="e">
        <f t="shared" si="15"/>
        <v>#VALUE!</v>
      </c>
      <c r="AC2048" s="37" t="b">
        <v>0</v>
      </c>
      <c r="AD2048" s="61" t="str">
        <f t="shared" si="16"/>
        <v>USD</v>
      </c>
      <c r="AE2048" s="37"/>
      <c r="AF2048" s="37" t="e">
        <f t="array" ref="AF2048">INDEX('Deal Info'!D:D, MATCH(A2048,'Deal Info'!A:A, 0))</f>
        <v>#N/A</v>
      </c>
      <c r="AG2048" s="38" t="e">
        <f t="array" ref="AG2048">INDEX('Deal Info'!G:G, MATCH(A2048,'Deal Info'!A:A, 0))</f>
        <v>#N/A</v>
      </c>
    </row>
    <row r="2049" spans="1:33" ht="14.25" hidden="1" x14ac:dyDescent="0.2">
      <c r="A2049" s="18" t="b">
        <f t="array" ref="A2049">IF(G2049='Room Info'!$B$1, INDEX('Room Info'!$A$2:$A2446, MATCH(B2049,'Room Info'!$B$2:$B2446, 0)),IF(G2049='Room Info'!$C$1, INDEX('Room Info'!$A$2:$A2446, MATCH(B2049,'Room Info'!$C$2:$C2446, 0)),IF(G2049='Room Info'!$D$1, INDEX('Room Info'!$A$2:$A2446, MATCH(B2049,'Room Info'!$D$2:$D2446, 0)),IF(G2049='Room Info'!$E$1, INDEX('Room Info'!$A$2:$A2446, MATCH(B2049,'Room Info'!$E$2:$E2446, 0)),IF(G2049='Room Info'!$F$1, INDEX('Room Info'!$A$2:$A2446, MATCH(B2049,'Room Info'!$F$2:$F2446, 0)),IF(G2049='Room Info'!$H$1, INDEX('Room Info'!$A$2:$A2446, MATCH(B2049,'Room Info'!$H$2:$H2446, 0)),IF(G2049='Room Info'!$G$1, INDEX('Room Info'!$A$2:$A2446, MATCH(B2049,'Room Info'!$G$2:$G2446, 0)))))))))</f>
        <v>0</v>
      </c>
      <c r="B2049" s="96"/>
      <c r="C2049" s="136"/>
      <c r="D2049" s="136"/>
      <c r="E2049" s="137"/>
      <c r="F2049" s="133"/>
      <c r="G2049" s="96"/>
      <c r="H2049" s="100"/>
      <c r="I2049" s="100"/>
      <c r="J2049" s="39" t="s">
        <v>334</v>
      </c>
      <c r="K2049" s="134"/>
      <c r="L2049" s="135"/>
      <c r="M2049" s="79"/>
      <c r="N2049" s="28" t="e">
        <f t="shared" si="8"/>
        <v>#VALUE!</v>
      </c>
      <c r="O2049" s="96"/>
      <c r="P2049" s="29" t="s">
        <v>334</v>
      </c>
      <c r="Q2049" s="55"/>
      <c r="R2049" s="31" t="e">
        <f t="shared" si="9"/>
        <v>#VALUE!</v>
      </c>
      <c r="S2049" s="97"/>
      <c r="T2049" s="32" t="e">
        <f t="shared" si="10"/>
        <v>#VALUE!</v>
      </c>
      <c r="U2049" s="57"/>
      <c r="V2049" s="58"/>
      <c r="W2049" s="58"/>
      <c r="X2049" s="30" t="e">
        <f t="shared" si="11"/>
        <v>#N/A</v>
      </c>
      <c r="Y2049" s="30" t="e">
        <f t="shared" si="12"/>
        <v>#N/A</v>
      </c>
      <c r="Z2049" s="35" t="e">
        <f t="shared" si="13"/>
        <v>#VALUE!</v>
      </c>
      <c r="AA2049" s="29" t="e">
        <f t="shared" si="14"/>
        <v>#VALUE!</v>
      </c>
      <c r="AB2049" s="36" t="e">
        <f t="shared" si="15"/>
        <v>#VALUE!</v>
      </c>
      <c r="AC2049" s="37" t="b">
        <v>0</v>
      </c>
      <c r="AD2049" s="61" t="str">
        <f t="shared" si="16"/>
        <v>USD</v>
      </c>
      <c r="AE2049" s="37"/>
      <c r="AF2049" s="37" t="e">
        <f t="array" ref="AF2049">INDEX('Deal Info'!D:D, MATCH(A2049,'Deal Info'!A:A, 0))</f>
        <v>#N/A</v>
      </c>
      <c r="AG2049" s="38" t="e">
        <f t="array" ref="AG2049">INDEX('Deal Info'!G:G, MATCH(A2049,'Deal Info'!A:A, 0))</f>
        <v>#N/A</v>
      </c>
    </row>
    <row r="2050" spans="1:33" ht="14.25" hidden="1" x14ac:dyDescent="0.2">
      <c r="A2050" s="18" t="b">
        <f t="array" ref="A2050">IF(G2050='Room Info'!$B$1, INDEX('Room Info'!$A$2:$A2446, MATCH(B2050,'Room Info'!$B$2:$B2446, 0)),IF(G2050='Room Info'!$C$1, INDEX('Room Info'!$A$2:$A2446, MATCH(B2050,'Room Info'!$C$2:$C2446, 0)),IF(G2050='Room Info'!$D$1, INDEX('Room Info'!$A$2:$A2446, MATCH(B2050,'Room Info'!$D$2:$D2446, 0)),IF(G2050='Room Info'!$E$1, INDEX('Room Info'!$A$2:$A2446, MATCH(B2050,'Room Info'!$E$2:$E2446, 0)),IF(G2050='Room Info'!$F$1, INDEX('Room Info'!$A$2:$A2446, MATCH(B2050,'Room Info'!$F$2:$F2446, 0)),IF(G2050='Room Info'!$H$1, INDEX('Room Info'!$A$2:$A2446, MATCH(B2050,'Room Info'!$H$2:$H2446, 0)),IF(G2050='Room Info'!$G$1, INDEX('Room Info'!$A$2:$A2446, MATCH(B2050,'Room Info'!$G$2:$G2446, 0)))))))))</f>
        <v>0</v>
      </c>
      <c r="B2050" s="96"/>
      <c r="C2050" s="136"/>
      <c r="D2050" s="136"/>
      <c r="E2050" s="137"/>
      <c r="F2050" s="133"/>
      <c r="G2050" s="65"/>
      <c r="H2050" s="110"/>
      <c r="I2050" s="110"/>
      <c r="J2050" s="39" t="s">
        <v>334</v>
      </c>
      <c r="K2050" s="134"/>
      <c r="L2050" s="135"/>
      <c r="M2050" s="79"/>
      <c r="N2050" s="28" t="e">
        <f t="shared" si="8"/>
        <v>#VALUE!</v>
      </c>
      <c r="O2050" s="96"/>
      <c r="P2050" s="29" t="s">
        <v>334</v>
      </c>
      <c r="Q2050" s="55"/>
      <c r="R2050" s="31" t="e">
        <f t="shared" si="9"/>
        <v>#VALUE!</v>
      </c>
      <c r="S2050" s="97"/>
      <c r="T2050" s="32" t="e">
        <f t="shared" si="10"/>
        <v>#VALUE!</v>
      </c>
      <c r="U2050" s="57"/>
      <c r="V2050" s="58"/>
      <c r="W2050" s="58"/>
      <c r="X2050" s="30" t="e">
        <f t="shared" si="11"/>
        <v>#N/A</v>
      </c>
      <c r="Y2050" s="30" t="e">
        <f t="shared" si="12"/>
        <v>#N/A</v>
      </c>
      <c r="Z2050" s="35" t="e">
        <f t="shared" si="13"/>
        <v>#VALUE!</v>
      </c>
      <c r="AA2050" s="29" t="e">
        <f t="shared" si="14"/>
        <v>#VALUE!</v>
      </c>
      <c r="AB2050" s="36" t="e">
        <f t="shared" si="15"/>
        <v>#VALUE!</v>
      </c>
      <c r="AC2050" s="37" t="b">
        <v>0</v>
      </c>
      <c r="AD2050" s="61" t="str">
        <f t="shared" si="16"/>
        <v>USD</v>
      </c>
      <c r="AE2050" s="37"/>
      <c r="AF2050" s="37" t="e">
        <f t="array" ref="AF2050">INDEX('Deal Info'!D:D, MATCH(A2050,'Deal Info'!A:A, 0))</f>
        <v>#N/A</v>
      </c>
      <c r="AG2050" s="38" t="e">
        <f t="array" ref="AG2050">INDEX('Deal Info'!G:G, MATCH(A2050,'Deal Info'!A:A, 0))</f>
        <v>#N/A</v>
      </c>
    </row>
    <row r="2051" spans="1:33" ht="14.25" hidden="1" x14ac:dyDescent="0.2">
      <c r="A2051" s="18" t="b">
        <f t="array" ref="A2051">IF(G2051='Room Info'!$B$1, INDEX('Room Info'!$A$2:$A2446, MATCH(B2051,'Room Info'!$B$2:$B2446, 0)),IF(G2051='Room Info'!$C$1, INDEX('Room Info'!$A$2:$A2446, MATCH(B2051,'Room Info'!$C$2:$C2446, 0)),IF(G2051='Room Info'!$D$1, INDEX('Room Info'!$A$2:$A2446, MATCH(B2051,'Room Info'!$D$2:$D2446, 0)),IF(G2051='Room Info'!$E$1, INDEX('Room Info'!$A$2:$A2446, MATCH(B2051,'Room Info'!$E$2:$E2446, 0)),IF(G2051='Room Info'!$F$1, INDEX('Room Info'!$A$2:$A2446, MATCH(B2051,'Room Info'!$F$2:$F2446, 0)),IF(G2051='Room Info'!$H$1, INDEX('Room Info'!$A$2:$A2446, MATCH(B2051,'Room Info'!$H$2:$H2446, 0)),IF(G2051='Room Info'!$G$1, INDEX('Room Info'!$A$2:$A2446, MATCH(B2051,'Room Info'!$G$2:$G2446, 0)))))))))</f>
        <v>0</v>
      </c>
      <c r="B2051" s="96"/>
      <c r="C2051" s="136"/>
      <c r="D2051" s="136"/>
      <c r="E2051" s="137"/>
      <c r="F2051" s="133"/>
      <c r="G2051" s="65"/>
      <c r="H2051" s="110"/>
      <c r="I2051" s="110"/>
      <c r="J2051" s="39" t="s">
        <v>334</v>
      </c>
      <c r="K2051" s="112"/>
      <c r="L2051" s="113"/>
      <c r="M2051" s="62"/>
      <c r="N2051" s="28" t="e">
        <f t="shared" si="8"/>
        <v>#VALUE!</v>
      </c>
      <c r="O2051" s="65"/>
      <c r="P2051" s="29" t="s">
        <v>334</v>
      </c>
      <c r="Q2051" s="55"/>
      <c r="R2051" s="31" t="e">
        <f t="shared" si="9"/>
        <v>#VALUE!</v>
      </c>
      <c r="S2051" s="66"/>
      <c r="T2051" s="32" t="e">
        <f t="shared" si="10"/>
        <v>#VALUE!</v>
      </c>
      <c r="U2051" s="57"/>
      <c r="V2051" s="58"/>
      <c r="W2051" s="58"/>
      <c r="X2051" s="30" t="e">
        <f t="shared" si="11"/>
        <v>#N/A</v>
      </c>
      <c r="Y2051" s="30" t="e">
        <f t="shared" si="12"/>
        <v>#N/A</v>
      </c>
      <c r="Z2051" s="35" t="e">
        <f t="shared" si="13"/>
        <v>#VALUE!</v>
      </c>
      <c r="AA2051" s="29" t="e">
        <f t="shared" si="14"/>
        <v>#VALUE!</v>
      </c>
      <c r="AB2051" s="36" t="e">
        <f t="shared" si="15"/>
        <v>#VALUE!</v>
      </c>
      <c r="AC2051" s="37" t="b">
        <v>0</v>
      </c>
      <c r="AD2051" s="61" t="str">
        <f t="shared" si="16"/>
        <v>USD</v>
      </c>
      <c r="AE2051" s="37"/>
      <c r="AF2051" s="37" t="e">
        <f t="array" ref="AF2051">INDEX('Deal Info'!D:D, MATCH(A2051,'Deal Info'!A:A, 0))</f>
        <v>#N/A</v>
      </c>
      <c r="AG2051" s="38" t="e">
        <f t="array" ref="AG2051">INDEX('Deal Info'!G:G, MATCH(A2051,'Deal Info'!A:A, 0))</f>
        <v>#N/A</v>
      </c>
    </row>
    <row r="2052" spans="1:33" ht="14.25" hidden="1" x14ac:dyDescent="0.2">
      <c r="A2052" s="18" t="b">
        <f t="array" ref="A2052">IF(G2052='Room Info'!$B$1, INDEX('Room Info'!$A$2:$A2446, MATCH(B2052,'Room Info'!$B$2:$B2446, 0)),IF(G2052='Room Info'!$C$1, INDEX('Room Info'!$A$2:$A2446, MATCH(B2052,'Room Info'!$C$2:$C2446, 0)),IF(G2052='Room Info'!$D$1, INDEX('Room Info'!$A$2:$A2446, MATCH(B2052,'Room Info'!$D$2:$D2446, 0)),IF(G2052='Room Info'!$E$1, INDEX('Room Info'!$A$2:$A2446, MATCH(B2052,'Room Info'!$E$2:$E2446, 0)),IF(G2052='Room Info'!$F$1, INDEX('Room Info'!$A$2:$A2446, MATCH(B2052,'Room Info'!$F$2:$F2446, 0)),IF(G2052='Room Info'!$H$1, INDEX('Room Info'!$A$2:$A2446, MATCH(B2052,'Room Info'!$H$2:$H2446, 0)),IF(G2052='Room Info'!$G$1, INDEX('Room Info'!$A$2:$A2446, MATCH(B2052,'Room Info'!$G$2:$G2446, 0)))))))))</f>
        <v>0</v>
      </c>
      <c r="B2052" s="96"/>
      <c r="C2052" s="111"/>
      <c r="D2052" s="111"/>
      <c r="E2052" s="80"/>
      <c r="F2052" s="133"/>
      <c r="G2052" s="65"/>
      <c r="H2052" s="110"/>
      <c r="I2052" s="110"/>
      <c r="J2052" s="39" t="s">
        <v>334</v>
      </c>
      <c r="K2052" s="112"/>
      <c r="L2052" s="113"/>
      <c r="M2052" s="62"/>
      <c r="N2052" s="28" t="e">
        <f t="shared" si="8"/>
        <v>#VALUE!</v>
      </c>
      <c r="O2052" s="65"/>
      <c r="P2052" s="29" t="s">
        <v>334</v>
      </c>
      <c r="Q2052" s="55"/>
      <c r="R2052" s="31" t="e">
        <f t="shared" si="9"/>
        <v>#VALUE!</v>
      </c>
      <c r="S2052" s="66"/>
      <c r="T2052" s="32" t="e">
        <f t="shared" si="10"/>
        <v>#VALUE!</v>
      </c>
      <c r="U2052" s="57"/>
      <c r="V2052" s="58"/>
      <c r="W2052" s="58"/>
      <c r="X2052" s="30" t="e">
        <f t="shared" si="11"/>
        <v>#N/A</v>
      </c>
      <c r="Y2052" s="30" t="e">
        <f t="shared" si="12"/>
        <v>#N/A</v>
      </c>
      <c r="Z2052" s="35" t="e">
        <f t="shared" si="13"/>
        <v>#VALUE!</v>
      </c>
      <c r="AA2052" s="29" t="e">
        <f t="shared" si="14"/>
        <v>#VALUE!</v>
      </c>
      <c r="AB2052" s="36" t="e">
        <f t="shared" si="15"/>
        <v>#VALUE!</v>
      </c>
      <c r="AC2052" s="37" t="b">
        <v>0</v>
      </c>
      <c r="AD2052" s="61" t="str">
        <f t="shared" si="16"/>
        <v>USD</v>
      </c>
      <c r="AE2052" s="37"/>
      <c r="AF2052" s="37" t="e">
        <f t="array" ref="AF2052">INDEX('Deal Info'!D:D, MATCH(A2052,'Deal Info'!A:A, 0))</f>
        <v>#N/A</v>
      </c>
      <c r="AG2052" s="38" t="e">
        <f t="array" ref="AG2052">INDEX('Deal Info'!G:G, MATCH(A2052,'Deal Info'!A:A, 0))</f>
        <v>#N/A</v>
      </c>
    </row>
    <row r="2053" spans="1:33" ht="14.25" hidden="1" x14ac:dyDescent="0.2">
      <c r="A2053" s="18" t="b">
        <f t="array" ref="A2053">IF(G2053='Room Info'!$B$1, INDEX('Room Info'!$A$2:$A2446, MATCH(B2053,'Room Info'!$B$2:$B2446, 0)),IF(G2053='Room Info'!$C$1, INDEX('Room Info'!$A$2:$A2446, MATCH(B2053,'Room Info'!$C$2:$C2446, 0)),IF(G2053='Room Info'!$D$1, INDEX('Room Info'!$A$2:$A2446, MATCH(B2053,'Room Info'!$D$2:$D2446, 0)),IF(G2053='Room Info'!$E$1, INDEX('Room Info'!$A$2:$A2446, MATCH(B2053,'Room Info'!$E$2:$E2446, 0)),IF(G2053='Room Info'!$F$1, INDEX('Room Info'!$A$2:$A2446, MATCH(B2053,'Room Info'!$F$2:$F2446, 0)),IF(G2053='Room Info'!$H$1, INDEX('Room Info'!$A$2:$A2446, MATCH(B2053,'Room Info'!$H$2:$H2446, 0)),IF(G2053='Room Info'!$G$1, INDEX('Room Info'!$A$2:$A2446, MATCH(B2053,'Room Info'!$G$2:$G2446, 0)))))))))</f>
        <v>0</v>
      </c>
      <c r="B2053" s="96"/>
      <c r="C2053" s="111"/>
      <c r="D2053" s="111"/>
      <c r="E2053" s="80"/>
      <c r="F2053" s="133"/>
      <c r="G2053" s="65"/>
      <c r="H2053" s="110"/>
      <c r="I2053" s="110"/>
      <c r="J2053" s="39" t="s">
        <v>334</v>
      </c>
      <c r="K2053" s="112"/>
      <c r="L2053" s="113"/>
      <c r="M2053" s="62"/>
      <c r="N2053" s="28" t="e">
        <f t="shared" si="8"/>
        <v>#VALUE!</v>
      </c>
      <c r="O2053" s="65"/>
      <c r="P2053" s="29" t="s">
        <v>334</v>
      </c>
      <c r="Q2053" s="55"/>
      <c r="R2053" s="31" t="e">
        <f t="shared" si="9"/>
        <v>#VALUE!</v>
      </c>
      <c r="S2053" s="66"/>
      <c r="T2053" s="32" t="e">
        <f t="shared" si="10"/>
        <v>#VALUE!</v>
      </c>
      <c r="U2053" s="57"/>
      <c r="V2053" s="58"/>
      <c r="W2053" s="58"/>
      <c r="X2053" s="30" t="e">
        <f t="shared" si="11"/>
        <v>#N/A</v>
      </c>
      <c r="Y2053" s="30" t="e">
        <f t="shared" si="12"/>
        <v>#N/A</v>
      </c>
      <c r="Z2053" s="35" t="e">
        <f t="shared" si="13"/>
        <v>#VALUE!</v>
      </c>
      <c r="AA2053" s="29" t="e">
        <f t="shared" si="14"/>
        <v>#VALUE!</v>
      </c>
      <c r="AB2053" s="36" t="e">
        <f t="shared" si="15"/>
        <v>#VALUE!</v>
      </c>
      <c r="AC2053" s="37" t="b">
        <v>0</v>
      </c>
      <c r="AD2053" s="61" t="str">
        <f t="shared" si="16"/>
        <v>USD</v>
      </c>
      <c r="AE2053" s="37"/>
      <c r="AF2053" s="37" t="e">
        <f t="array" ref="AF2053">INDEX('Deal Info'!D:D, MATCH(A2053,'Deal Info'!A:A, 0))</f>
        <v>#N/A</v>
      </c>
      <c r="AG2053" s="38" t="e">
        <f t="array" ref="AG2053">INDEX('Deal Info'!G:G, MATCH(A2053,'Deal Info'!A:A, 0))</f>
        <v>#N/A</v>
      </c>
    </row>
    <row r="2054" spans="1:33" ht="14.25" hidden="1" x14ac:dyDescent="0.2">
      <c r="A2054" s="18" t="b">
        <f t="array" ref="A2054">IF(G2054='Room Info'!$B$1, INDEX('Room Info'!$A$2:$A2446, MATCH(B2054,'Room Info'!$B$2:$B2446, 0)),IF(G2054='Room Info'!$C$1, INDEX('Room Info'!$A$2:$A2446, MATCH(B2054,'Room Info'!$C$2:$C2446, 0)),IF(G2054='Room Info'!$D$1, INDEX('Room Info'!$A$2:$A2446, MATCH(B2054,'Room Info'!$D$2:$D2446, 0)),IF(G2054='Room Info'!$E$1, INDEX('Room Info'!$A$2:$A2446, MATCH(B2054,'Room Info'!$E$2:$E2446, 0)),IF(G2054='Room Info'!$F$1, INDEX('Room Info'!$A$2:$A2446, MATCH(B2054,'Room Info'!$F$2:$F2446, 0)),IF(G2054='Room Info'!$H$1, INDEX('Room Info'!$A$2:$A2446, MATCH(B2054,'Room Info'!$H$2:$H2446, 0)),IF(G2054='Room Info'!$G$1, INDEX('Room Info'!$A$2:$A2446, MATCH(B2054,'Room Info'!$G$2:$G2446, 0)))))))))</f>
        <v>0</v>
      </c>
      <c r="B2054" s="96"/>
      <c r="C2054" s="111"/>
      <c r="D2054" s="111"/>
      <c r="E2054" s="80"/>
      <c r="F2054" s="133"/>
      <c r="G2054" s="65"/>
      <c r="H2054" s="110"/>
      <c r="I2054" s="110"/>
      <c r="J2054" s="39" t="s">
        <v>334</v>
      </c>
      <c r="K2054" s="112"/>
      <c r="L2054" s="113"/>
      <c r="M2054" s="62"/>
      <c r="N2054" s="28" t="e">
        <f t="shared" si="8"/>
        <v>#VALUE!</v>
      </c>
      <c r="O2054" s="65"/>
      <c r="P2054" s="29" t="s">
        <v>334</v>
      </c>
      <c r="Q2054" s="55"/>
      <c r="R2054" s="31" t="e">
        <f t="shared" si="9"/>
        <v>#VALUE!</v>
      </c>
      <c r="S2054" s="66"/>
      <c r="T2054" s="32" t="e">
        <f t="shared" si="10"/>
        <v>#VALUE!</v>
      </c>
      <c r="U2054" s="57"/>
      <c r="V2054" s="58"/>
      <c r="W2054" s="58"/>
      <c r="X2054" s="30" t="e">
        <f t="shared" si="11"/>
        <v>#N/A</v>
      </c>
      <c r="Y2054" s="30" t="e">
        <f t="shared" si="12"/>
        <v>#N/A</v>
      </c>
      <c r="Z2054" s="35" t="e">
        <f t="shared" si="13"/>
        <v>#VALUE!</v>
      </c>
      <c r="AA2054" s="29" t="e">
        <f t="shared" si="14"/>
        <v>#VALUE!</v>
      </c>
      <c r="AB2054" s="36" t="e">
        <f t="shared" si="15"/>
        <v>#VALUE!</v>
      </c>
      <c r="AC2054" s="37" t="b">
        <v>0</v>
      </c>
      <c r="AD2054" s="61" t="str">
        <f t="shared" si="16"/>
        <v>USD</v>
      </c>
      <c r="AE2054" s="37"/>
      <c r="AF2054" s="37" t="e">
        <f t="array" ref="AF2054">INDEX('Deal Info'!D:D, MATCH(A2054,'Deal Info'!A:A, 0))</f>
        <v>#N/A</v>
      </c>
      <c r="AG2054" s="38" t="e">
        <f t="array" ref="AG2054">INDEX('Deal Info'!G:G, MATCH(A2054,'Deal Info'!A:A, 0))</f>
        <v>#N/A</v>
      </c>
    </row>
    <row r="2055" spans="1:33" ht="14.25" hidden="1" x14ac:dyDescent="0.2">
      <c r="A2055" s="18" t="b">
        <f t="array" ref="A2055">IF(G2055='Room Info'!$B$1, INDEX('Room Info'!$A$2:$A2446, MATCH(B2055,'Room Info'!$B$2:$B2446, 0)),IF(G2055='Room Info'!$C$1, INDEX('Room Info'!$A$2:$A2446, MATCH(B2055,'Room Info'!$C$2:$C2446, 0)),IF(G2055='Room Info'!$D$1, INDEX('Room Info'!$A$2:$A2446, MATCH(B2055,'Room Info'!$D$2:$D2446, 0)),IF(G2055='Room Info'!$E$1, INDEX('Room Info'!$A$2:$A2446, MATCH(B2055,'Room Info'!$E$2:$E2446, 0)),IF(G2055='Room Info'!$F$1, INDEX('Room Info'!$A$2:$A2446, MATCH(B2055,'Room Info'!$F$2:$F2446, 0)),IF(G2055='Room Info'!$H$1, INDEX('Room Info'!$A$2:$A2446, MATCH(B2055,'Room Info'!$H$2:$H2446, 0)),IF(G2055='Room Info'!$G$1, INDEX('Room Info'!$A$2:$A2446, MATCH(B2055,'Room Info'!$G$2:$G2446, 0)))))))))</f>
        <v>0</v>
      </c>
      <c r="B2055" s="96"/>
      <c r="C2055" s="111"/>
      <c r="D2055" s="111"/>
      <c r="E2055" s="80"/>
      <c r="F2055" s="133"/>
      <c r="G2055" s="96"/>
      <c r="H2055" s="110"/>
      <c r="I2055" s="110"/>
      <c r="J2055" s="39" t="s">
        <v>334</v>
      </c>
      <c r="K2055" s="112"/>
      <c r="L2055" s="113"/>
      <c r="M2055" s="62"/>
      <c r="N2055" s="28" t="e">
        <f t="shared" si="8"/>
        <v>#VALUE!</v>
      </c>
      <c r="O2055" s="65"/>
      <c r="P2055" s="29" t="s">
        <v>334</v>
      </c>
      <c r="Q2055" s="55"/>
      <c r="R2055" s="31" t="e">
        <f t="shared" si="9"/>
        <v>#VALUE!</v>
      </c>
      <c r="S2055" s="66"/>
      <c r="T2055" s="32" t="e">
        <f t="shared" si="10"/>
        <v>#VALUE!</v>
      </c>
      <c r="U2055" s="57"/>
      <c r="V2055" s="58"/>
      <c r="W2055" s="58"/>
      <c r="X2055" s="30" t="e">
        <f t="shared" si="11"/>
        <v>#N/A</v>
      </c>
      <c r="Y2055" s="30" t="e">
        <f t="shared" si="12"/>
        <v>#N/A</v>
      </c>
      <c r="Z2055" s="35" t="e">
        <f t="shared" si="13"/>
        <v>#VALUE!</v>
      </c>
      <c r="AA2055" s="29" t="e">
        <f t="shared" si="14"/>
        <v>#VALUE!</v>
      </c>
      <c r="AB2055" s="36" t="e">
        <f t="shared" si="15"/>
        <v>#VALUE!</v>
      </c>
      <c r="AC2055" s="37" t="b">
        <v>0</v>
      </c>
      <c r="AD2055" s="61" t="str">
        <f t="shared" si="16"/>
        <v>USD</v>
      </c>
      <c r="AE2055" s="37"/>
      <c r="AF2055" s="37" t="e">
        <f t="array" ref="AF2055">INDEX('Deal Info'!D:D, MATCH(A2055,'Deal Info'!A:A, 0))</f>
        <v>#N/A</v>
      </c>
      <c r="AG2055" s="38" t="e">
        <f t="array" ref="AG2055">INDEX('Deal Info'!G:G, MATCH(A2055,'Deal Info'!A:A, 0))</f>
        <v>#N/A</v>
      </c>
    </row>
    <row r="2056" spans="1:33" ht="14.25" hidden="1" x14ac:dyDescent="0.2">
      <c r="A2056" s="18" t="b">
        <f t="array" ref="A2056">IF(G2056='Room Info'!$B$1, INDEX('Room Info'!$A$2:$A2446, MATCH(B2056,'Room Info'!$B$2:$B2446, 0)),IF(G2056='Room Info'!$C$1, INDEX('Room Info'!$A$2:$A2446, MATCH(B2056,'Room Info'!$C$2:$C2446, 0)),IF(G2056='Room Info'!$D$1, INDEX('Room Info'!$A$2:$A2446, MATCH(B2056,'Room Info'!$D$2:$D2446, 0)),IF(G2056='Room Info'!$E$1, INDEX('Room Info'!$A$2:$A2446, MATCH(B2056,'Room Info'!$E$2:$E2446, 0)),IF(G2056='Room Info'!$F$1, INDEX('Room Info'!$A$2:$A2446, MATCH(B2056,'Room Info'!$F$2:$F2446, 0)),IF(G2056='Room Info'!$H$1, INDEX('Room Info'!$A$2:$A2446, MATCH(B2056,'Room Info'!$H$2:$H2446, 0)),IF(G2056='Room Info'!$G$1, INDEX('Room Info'!$A$2:$A2446, MATCH(B2056,'Room Info'!$G$2:$G2446, 0)))))))))</f>
        <v>0</v>
      </c>
      <c r="B2056" s="96"/>
      <c r="C2056" s="111"/>
      <c r="D2056" s="111"/>
      <c r="E2056" s="80"/>
      <c r="F2056" s="133"/>
      <c r="G2056" s="96"/>
      <c r="H2056" s="110"/>
      <c r="I2056" s="110"/>
      <c r="J2056" s="39" t="s">
        <v>334</v>
      </c>
      <c r="K2056" s="112"/>
      <c r="L2056" s="113"/>
      <c r="M2056" s="62"/>
      <c r="N2056" s="28" t="e">
        <f t="shared" si="8"/>
        <v>#VALUE!</v>
      </c>
      <c r="O2056" s="65"/>
      <c r="P2056" s="29" t="s">
        <v>334</v>
      </c>
      <c r="Q2056" s="55"/>
      <c r="R2056" s="31" t="e">
        <f t="shared" si="9"/>
        <v>#VALUE!</v>
      </c>
      <c r="S2056" s="66"/>
      <c r="T2056" s="32" t="e">
        <f t="shared" si="10"/>
        <v>#VALUE!</v>
      </c>
      <c r="U2056" s="57"/>
      <c r="V2056" s="58"/>
      <c r="W2056" s="58"/>
      <c r="X2056" s="30" t="e">
        <f t="shared" si="11"/>
        <v>#N/A</v>
      </c>
      <c r="Y2056" s="30" t="e">
        <f t="shared" si="12"/>
        <v>#N/A</v>
      </c>
      <c r="Z2056" s="35" t="e">
        <f t="shared" si="13"/>
        <v>#VALUE!</v>
      </c>
      <c r="AA2056" s="29" t="e">
        <f t="shared" si="14"/>
        <v>#VALUE!</v>
      </c>
      <c r="AB2056" s="36" t="e">
        <f t="shared" si="15"/>
        <v>#VALUE!</v>
      </c>
      <c r="AC2056" s="37" t="b">
        <v>0</v>
      </c>
      <c r="AD2056" s="61" t="str">
        <f t="shared" si="16"/>
        <v>USD</v>
      </c>
      <c r="AE2056" s="37"/>
      <c r="AF2056" s="37" t="e">
        <f t="array" ref="AF2056">INDEX('Deal Info'!D:D, MATCH(A2056,'Deal Info'!A:A, 0))</f>
        <v>#N/A</v>
      </c>
      <c r="AG2056" s="38" t="e">
        <f t="array" ref="AG2056">INDEX('Deal Info'!G:G, MATCH(A2056,'Deal Info'!A:A, 0))</f>
        <v>#N/A</v>
      </c>
    </row>
    <row r="2057" spans="1:33" ht="14.25" hidden="1" x14ac:dyDescent="0.2">
      <c r="A2057" s="18" t="b">
        <f t="array" ref="A2057">IF(G2057='Room Info'!$B$1, INDEX('Room Info'!$A$2:$A2446, MATCH(B2057,'Room Info'!$B$2:$B2446, 0)),IF(G2057='Room Info'!$C$1, INDEX('Room Info'!$A$2:$A2446, MATCH(B2057,'Room Info'!$C$2:$C2446, 0)),IF(G2057='Room Info'!$D$1, INDEX('Room Info'!$A$2:$A2446, MATCH(B2057,'Room Info'!$D$2:$D2446, 0)),IF(G2057='Room Info'!$E$1, INDEX('Room Info'!$A$2:$A2446, MATCH(B2057,'Room Info'!$E$2:$E2446, 0)),IF(G2057='Room Info'!$F$1, INDEX('Room Info'!$A$2:$A2446, MATCH(B2057,'Room Info'!$F$2:$F2446, 0)),IF(G2057='Room Info'!$H$1, INDEX('Room Info'!$A$2:$A2446, MATCH(B2057,'Room Info'!$H$2:$H2446, 0)),IF(G2057='Room Info'!$G$1, INDEX('Room Info'!$A$2:$A2446, MATCH(B2057,'Room Info'!$G$2:$G2446, 0)))))))))</f>
        <v>0</v>
      </c>
      <c r="B2057" s="65"/>
      <c r="C2057" s="111"/>
      <c r="D2057" s="111"/>
      <c r="E2057" s="80"/>
      <c r="F2057" s="96"/>
      <c r="G2057" s="65"/>
      <c r="H2057" s="110"/>
      <c r="I2057" s="110"/>
      <c r="J2057" s="39" t="s">
        <v>334</v>
      </c>
      <c r="K2057" s="112"/>
      <c r="L2057" s="113"/>
      <c r="M2057" s="62"/>
      <c r="N2057" s="28" t="e">
        <f t="shared" si="8"/>
        <v>#VALUE!</v>
      </c>
      <c r="O2057" s="65"/>
      <c r="P2057" s="29" t="s">
        <v>334</v>
      </c>
      <c r="Q2057" s="55"/>
      <c r="R2057" s="31" t="e">
        <f t="shared" si="9"/>
        <v>#VALUE!</v>
      </c>
      <c r="S2057" s="66"/>
      <c r="T2057" s="32" t="e">
        <f t="shared" si="10"/>
        <v>#VALUE!</v>
      </c>
      <c r="U2057" s="57"/>
      <c r="V2057" s="58"/>
      <c r="W2057" s="58"/>
      <c r="X2057" s="30" t="e">
        <f t="shared" si="11"/>
        <v>#N/A</v>
      </c>
      <c r="Y2057" s="30" t="e">
        <f t="shared" si="12"/>
        <v>#N/A</v>
      </c>
      <c r="Z2057" s="35" t="e">
        <f t="shared" si="13"/>
        <v>#VALUE!</v>
      </c>
      <c r="AA2057" s="29" t="e">
        <f t="shared" si="14"/>
        <v>#VALUE!</v>
      </c>
      <c r="AB2057" s="36" t="e">
        <f t="shared" si="15"/>
        <v>#VALUE!</v>
      </c>
      <c r="AC2057" s="37" t="b">
        <v>0</v>
      </c>
      <c r="AD2057" s="61" t="str">
        <f t="shared" si="16"/>
        <v>USD</v>
      </c>
      <c r="AE2057" s="37"/>
      <c r="AF2057" s="37" t="e">
        <f t="array" ref="AF2057">INDEX('Deal Info'!D:D, MATCH(A2057,'Deal Info'!A:A, 0))</f>
        <v>#N/A</v>
      </c>
      <c r="AG2057" s="38" t="e">
        <f t="array" ref="AG2057">INDEX('Deal Info'!G:G, MATCH(A2057,'Deal Info'!A:A, 0))</f>
        <v>#N/A</v>
      </c>
    </row>
    <row r="2058" spans="1:33" ht="14.25" hidden="1" x14ac:dyDescent="0.2">
      <c r="A2058" s="18" t="b">
        <f t="array" ref="A2058">IF(G2058='Room Info'!$B$1, INDEX('Room Info'!$A$2:$A2446, MATCH(B2058,'Room Info'!$B$2:$B2446, 0)),IF(G2058='Room Info'!$C$1, INDEX('Room Info'!$A$2:$A2446, MATCH(B2058,'Room Info'!$C$2:$C2446, 0)),IF(G2058='Room Info'!$D$1, INDEX('Room Info'!$A$2:$A2446, MATCH(B2058,'Room Info'!$D$2:$D2446, 0)),IF(G2058='Room Info'!$E$1, INDEX('Room Info'!$A$2:$A2446, MATCH(B2058,'Room Info'!$E$2:$E2446, 0)),IF(G2058='Room Info'!$F$1, INDEX('Room Info'!$A$2:$A2446, MATCH(B2058,'Room Info'!$F$2:$F2446, 0)),IF(G2058='Room Info'!$H$1, INDEX('Room Info'!$A$2:$A2446, MATCH(B2058,'Room Info'!$H$2:$H2446, 0)),IF(G2058='Room Info'!$G$1, INDEX('Room Info'!$A$2:$A2446, MATCH(B2058,'Room Info'!$G$2:$G2446, 0)))))))))</f>
        <v>0</v>
      </c>
      <c r="B2058" s="65"/>
      <c r="C2058" s="111"/>
      <c r="D2058" s="111"/>
      <c r="E2058" s="80"/>
      <c r="F2058" s="96"/>
      <c r="G2058" s="65"/>
      <c r="H2058" s="110"/>
      <c r="I2058" s="110"/>
      <c r="J2058" s="39" t="s">
        <v>334</v>
      </c>
      <c r="K2058" s="112"/>
      <c r="L2058" s="113"/>
      <c r="M2058" s="62"/>
      <c r="N2058" s="28" t="e">
        <f t="shared" si="8"/>
        <v>#VALUE!</v>
      </c>
      <c r="O2058" s="65"/>
      <c r="P2058" s="29" t="s">
        <v>334</v>
      </c>
      <c r="Q2058" s="55"/>
      <c r="R2058" s="31" t="e">
        <f t="shared" si="9"/>
        <v>#VALUE!</v>
      </c>
      <c r="S2058" s="66"/>
      <c r="T2058" s="32" t="e">
        <f t="shared" si="10"/>
        <v>#VALUE!</v>
      </c>
      <c r="U2058" s="57"/>
      <c r="V2058" s="58"/>
      <c r="W2058" s="58"/>
      <c r="X2058" s="30" t="e">
        <f t="shared" si="11"/>
        <v>#N/A</v>
      </c>
      <c r="Y2058" s="30" t="e">
        <f t="shared" si="12"/>
        <v>#N/A</v>
      </c>
      <c r="Z2058" s="35" t="e">
        <f t="shared" si="13"/>
        <v>#VALUE!</v>
      </c>
      <c r="AA2058" s="29" t="e">
        <f t="shared" si="14"/>
        <v>#VALUE!</v>
      </c>
      <c r="AB2058" s="36" t="e">
        <f t="shared" si="15"/>
        <v>#VALUE!</v>
      </c>
      <c r="AC2058" s="37" t="b">
        <v>0</v>
      </c>
      <c r="AD2058" s="61" t="str">
        <f t="shared" si="16"/>
        <v>USD</v>
      </c>
      <c r="AE2058" s="37"/>
      <c r="AF2058" s="37" t="e">
        <f t="array" ref="AF2058">INDEX('Deal Info'!D:D, MATCH(A2058,'Deal Info'!A:A, 0))</f>
        <v>#N/A</v>
      </c>
      <c r="AG2058" s="38" t="e">
        <f t="array" ref="AG2058">INDEX('Deal Info'!G:G, MATCH(A2058,'Deal Info'!A:A, 0))</f>
        <v>#N/A</v>
      </c>
    </row>
    <row r="2059" spans="1:33" ht="14.25" hidden="1" x14ac:dyDescent="0.2">
      <c r="A2059" s="18" t="b">
        <f t="array" ref="A2059">IF(G2059='Room Info'!$B$1, INDEX('Room Info'!$A$2:$A2446, MATCH(B2059,'Room Info'!$B$2:$B2446, 0)),IF(G2059='Room Info'!$C$1, INDEX('Room Info'!$A$2:$A2446, MATCH(B2059,'Room Info'!$C$2:$C2446, 0)),IF(G2059='Room Info'!$D$1, INDEX('Room Info'!$A$2:$A2446, MATCH(B2059,'Room Info'!$D$2:$D2446, 0)),IF(G2059='Room Info'!$E$1, INDEX('Room Info'!$A$2:$A2446, MATCH(B2059,'Room Info'!$E$2:$E2446, 0)),IF(G2059='Room Info'!$F$1, INDEX('Room Info'!$A$2:$A2446, MATCH(B2059,'Room Info'!$F$2:$F2446, 0)),IF(G2059='Room Info'!$H$1, INDEX('Room Info'!$A$2:$A2446, MATCH(B2059,'Room Info'!$H$2:$H2446, 0)),IF(G2059='Room Info'!$G$1, INDEX('Room Info'!$A$2:$A2446, MATCH(B2059,'Room Info'!$G$2:$G2446, 0)))))))))</f>
        <v>0</v>
      </c>
      <c r="B2059" s="65"/>
      <c r="C2059" s="111"/>
      <c r="D2059" s="111"/>
      <c r="E2059" s="80"/>
      <c r="F2059" s="96"/>
      <c r="G2059" s="65"/>
      <c r="H2059" s="110"/>
      <c r="I2059" s="110"/>
      <c r="J2059" s="39" t="s">
        <v>334</v>
      </c>
      <c r="K2059" s="112"/>
      <c r="L2059" s="113"/>
      <c r="M2059" s="62"/>
      <c r="N2059" s="28" t="e">
        <f t="shared" si="8"/>
        <v>#VALUE!</v>
      </c>
      <c r="O2059" s="65"/>
      <c r="P2059" s="29" t="s">
        <v>334</v>
      </c>
      <c r="Q2059" s="55"/>
      <c r="R2059" s="31" t="e">
        <f t="shared" si="9"/>
        <v>#VALUE!</v>
      </c>
      <c r="S2059" s="66"/>
      <c r="T2059" s="32" t="e">
        <f t="shared" si="10"/>
        <v>#VALUE!</v>
      </c>
      <c r="U2059" s="57"/>
      <c r="V2059" s="58"/>
      <c r="W2059" s="58"/>
      <c r="X2059" s="30" t="e">
        <f t="shared" si="11"/>
        <v>#N/A</v>
      </c>
      <c r="Y2059" s="30" t="e">
        <f t="shared" si="12"/>
        <v>#N/A</v>
      </c>
      <c r="Z2059" s="35" t="e">
        <f t="shared" si="13"/>
        <v>#VALUE!</v>
      </c>
      <c r="AA2059" s="29" t="e">
        <f t="shared" si="14"/>
        <v>#VALUE!</v>
      </c>
      <c r="AB2059" s="36" t="e">
        <f t="shared" si="15"/>
        <v>#VALUE!</v>
      </c>
      <c r="AC2059" s="37" t="b">
        <v>0</v>
      </c>
      <c r="AD2059" s="61" t="str">
        <f t="shared" si="16"/>
        <v>USD</v>
      </c>
      <c r="AE2059" s="37"/>
      <c r="AF2059" s="37" t="e">
        <f t="array" ref="AF2059">INDEX('Deal Info'!D:D, MATCH(A2059,'Deal Info'!A:A, 0))</f>
        <v>#N/A</v>
      </c>
      <c r="AG2059" s="38" t="e">
        <f t="array" ref="AG2059">INDEX('Deal Info'!G:G, MATCH(A2059,'Deal Info'!A:A, 0))</f>
        <v>#N/A</v>
      </c>
    </row>
    <row r="2060" spans="1:33" ht="14.25" hidden="1" x14ac:dyDescent="0.2">
      <c r="A2060" s="18" t="b">
        <f t="array" ref="A2060">IF(G2060='Room Info'!$B$1, INDEX('Room Info'!$A$2:$A2446, MATCH(B2060,'Room Info'!$B$2:$B2446, 0)),IF(G2060='Room Info'!$C$1, INDEX('Room Info'!$A$2:$A2446, MATCH(B2060,'Room Info'!$C$2:$C2446, 0)),IF(G2060='Room Info'!$D$1, INDEX('Room Info'!$A$2:$A2446, MATCH(B2060,'Room Info'!$D$2:$D2446, 0)),IF(G2060='Room Info'!$E$1, INDEX('Room Info'!$A$2:$A2446, MATCH(B2060,'Room Info'!$E$2:$E2446, 0)),IF(G2060='Room Info'!$F$1, INDEX('Room Info'!$A$2:$A2446, MATCH(B2060,'Room Info'!$F$2:$F2446, 0)),IF(G2060='Room Info'!$H$1, INDEX('Room Info'!$A$2:$A2446, MATCH(B2060,'Room Info'!$H$2:$H2446, 0)),IF(G2060='Room Info'!$G$1, INDEX('Room Info'!$A$2:$A2446, MATCH(B2060,'Room Info'!$G$2:$G2446, 0)))))))))</f>
        <v>0</v>
      </c>
      <c r="B2060" s="65"/>
      <c r="C2060" s="111"/>
      <c r="D2060" s="111"/>
      <c r="E2060" s="80"/>
      <c r="F2060" s="96"/>
      <c r="G2060" s="65"/>
      <c r="H2060" s="110"/>
      <c r="I2060" s="110"/>
      <c r="J2060" s="39" t="s">
        <v>334</v>
      </c>
      <c r="K2060" s="112"/>
      <c r="L2060" s="113"/>
      <c r="M2060" s="62"/>
      <c r="N2060" s="28" t="e">
        <f t="shared" si="8"/>
        <v>#VALUE!</v>
      </c>
      <c r="O2060" s="65"/>
      <c r="P2060" s="29" t="s">
        <v>334</v>
      </c>
      <c r="Q2060" s="55"/>
      <c r="R2060" s="31" t="e">
        <f t="shared" si="9"/>
        <v>#VALUE!</v>
      </c>
      <c r="S2060" s="66"/>
      <c r="T2060" s="32" t="e">
        <f t="shared" si="10"/>
        <v>#VALUE!</v>
      </c>
      <c r="U2060" s="57"/>
      <c r="V2060" s="58"/>
      <c r="W2060" s="58"/>
      <c r="X2060" s="30" t="e">
        <f t="shared" si="11"/>
        <v>#N/A</v>
      </c>
      <c r="Y2060" s="30" t="e">
        <f t="shared" si="12"/>
        <v>#N/A</v>
      </c>
      <c r="Z2060" s="35" t="e">
        <f t="shared" si="13"/>
        <v>#VALUE!</v>
      </c>
      <c r="AA2060" s="29" t="e">
        <f t="shared" si="14"/>
        <v>#VALUE!</v>
      </c>
      <c r="AB2060" s="36" t="e">
        <f t="shared" si="15"/>
        <v>#VALUE!</v>
      </c>
      <c r="AC2060" s="37" t="b">
        <v>0</v>
      </c>
      <c r="AD2060" s="61" t="str">
        <f t="shared" si="16"/>
        <v>USD</v>
      </c>
      <c r="AE2060" s="37"/>
      <c r="AF2060" s="37" t="e">
        <f t="array" ref="AF2060">INDEX('Deal Info'!D:D, MATCH(A2060,'Deal Info'!A:A, 0))</f>
        <v>#N/A</v>
      </c>
      <c r="AG2060" s="38" t="e">
        <f t="array" ref="AG2060">INDEX('Deal Info'!G:G, MATCH(A2060,'Deal Info'!A:A, 0))</f>
        <v>#N/A</v>
      </c>
    </row>
    <row r="2061" spans="1:33" ht="14.25" hidden="1" x14ac:dyDescent="0.2">
      <c r="A2061" s="18" t="b">
        <f t="array" ref="A2061">IF(G2061='Room Info'!$B$1, INDEX('Room Info'!$A$2:$A2446, MATCH(B2061,'Room Info'!$B$2:$B2446, 0)),IF(G2061='Room Info'!$C$1, INDEX('Room Info'!$A$2:$A2446, MATCH(B2061,'Room Info'!$C$2:$C2446, 0)),IF(G2061='Room Info'!$D$1, INDEX('Room Info'!$A$2:$A2446, MATCH(B2061,'Room Info'!$D$2:$D2446, 0)),IF(G2061='Room Info'!$E$1, INDEX('Room Info'!$A$2:$A2446, MATCH(B2061,'Room Info'!$E$2:$E2446, 0)),IF(G2061='Room Info'!$F$1, INDEX('Room Info'!$A$2:$A2446, MATCH(B2061,'Room Info'!$F$2:$F2446, 0)),IF(G2061='Room Info'!$H$1, INDEX('Room Info'!$A$2:$A2446, MATCH(B2061,'Room Info'!$H$2:$H2446, 0)),IF(G2061='Room Info'!$G$1, INDEX('Room Info'!$A$2:$A2446, MATCH(B2061,'Room Info'!$G$2:$G2446, 0)))))))))</f>
        <v>0</v>
      </c>
      <c r="B2061" s="65"/>
      <c r="C2061" s="111"/>
      <c r="D2061" s="111"/>
      <c r="E2061" s="80"/>
      <c r="F2061" s="96"/>
      <c r="G2061" s="65"/>
      <c r="H2061" s="110"/>
      <c r="I2061" s="110"/>
      <c r="J2061" s="39" t="s">
        <v>334</v>
      </c>
      <c r="K2061" s="112"/>
      <c r="L2061" s="113"/>
      <c r="M2061" s="62"/>
      <c r="N2061" s="28" t="e">
        <f t="shared" si="8"/>
        <v>#VALUE!</v>
      </c>
      <c r="O2061" s="65"/>
      <c r="P2061" s="29" t="s">
        <v>334</v>
      </c>
      <c r="Q2061" s="55"/>
      <c r="R2061" s="31" t="e">
        <f t="shared" si="9"/>
        <v>#VALUE!</v>
      </c>
      <c r="S2061" s="66"/>
      <c r="T2061" s="32" t="e">
        <f t="shared" si="10"/>
        <v>#VALUE!</v>
      </c>
      <c r="U2061" s="57"/>
      <c r="V2061" s="58"/>
      <c r="W2061" s="58"/>
      <c r="X2061" s="30" t="e">
        <f t="shared" si="11"/>
        <v>#N/A</v>
      </c>
      <c r="Y2061" s="30" t="e">
        <f t="shared" si="12"/>
        <v>#N/A</v>
      </c>
      <c r="Z2061" s="35" t="e">
        <f t="shared" si="13"/>
        <v>#VALUE!</v>
      </c>
      <c r="AA2061" s="29" t="e">
        <f t="shared" si="14"/>
        <v>#VALUE!</v>
      </c>
      <c r="AB2061" s="36" t="e">
        <f t="shared" si="15"/>
        <v>#VALUE!</v>
      </c>
      <c r="AC2061" s="37" t="b">
        <v>0</v>
      </c>
      <c r="AD2061" s="61" t="str">
        <f t="shared" si="16"/>
        <v>USD</v>
      </c>
      <c r="AE2061" s="37"/>
      <c r="AF2061" s="37" t="e">
        <f t="array" ref="AF2061">INDEX('Deal Info'!D:D, MATCH(A2061,'Deal Info'!A:A, 0))</f>
        <v>#N/A</v>
      </c>
      <c r="AG2061" s="38" t="e">
        <f t="array" ref="AG2061">INDEX('Deal Info'!G:G, MATCH(A2061,'Deal Info'!A:A, 0))</f>
        <v>#N/A</v>
      </c>
    </row>
    <row r="2062" spans="1:33" ht="14.25" hidden="1" x14ac:dyDescent="0.2">
      <c r="A2062" s="18" t="b">
        <f t="array" ref="A2062">IF(G2062='Room Info'!$B$1, INDEX('Room Info'!$A$2:$A2446, MATCH(B2062,'Room Info'!$B$2:$B2446, 0)),IF(G2062='Room Info'!$C$1, INDEX('Room Info'!$A$2:$A2446, MATCH(B2062,'Room Info'!$C$2:$C2446, 0)),IF(G2062='Room Info'!$D$1, INDEX('Room Info'!$A$2:$A2446, MATCH(B2062,'Room Info'!$D$2:$D2446, 0)),IF(G2062='Room Info'!$E$1, INDEX('Room Info'!$A$2:$A2446, MATCH(B2062,'Room Info'!$E$2:$E2446, 0)),IF(G2062='Room Info'!$F$1, INDEX('Room Info'!$A$2:$A2446, MATCH(B2062,'Room Info'!$F$2:$F2446, 0)),IF(G2062='Room Info'!$H$1, INDEX('Room Info'!$A$2:$A2446, MATCH(B2062,'Room Info'!$H$2:$H2446, 0)),IF(G2062='Room Info'!$G$1, INDEX('Room Info'!$A$2:$A2446, MATCH(B2062,'Room Info'!$G$2:$G2446, 0)))))))))</f>
        <v>0</v>
      </c>
      <c r="B2062" s="65"/>
      <c r="C2062" s="111"/>
      <c r="D2062" s="111"/>
      <c r="E2062" s="80"/>
      <c r="F2062" s="96"/>
      <c r="G2062" s="65"/>
      <c r="H2062" s="110"/>
      <c r="I2062" s="110"/>
      <c r="J2062" s="39" t="s">
        <v>334</v>
      </c>
      <c r="K2062" s="112"/>
      <c r="L2062" s="113"/>
      <c r="M2062" s="62"/>
      <c r="N2062" s="28" t="e">
        <f t="shared" si="8"/>
        <v>#VALUE!</v>
      </c>
      <c r="O2062" s="65"/>
      <c r="P2062" s="29" t="s">
        <v>334</v>
      </c>
      <c r="Q2062" s="55"/>
      <c r="R2062" s="31" t="e">
        <f t="shared" si="9"/>
        <v>#VALUE!</v>
      </c>
      <c r="S2062" s="66"/>
      <c r="T2062" s="32" t="e">
        <f t="shared" si="10"/>
        <v>#VALUE!</v>
      </c>
      <c r="U2062" s="57"/>
      <c r="V2062" s="58"/>
      <c r="W2062" s="58"/>
      <c r="X2062" s="30" t="e">
        <f t="shared" si="11"/>
        <v>#N/A</v>
      </c>
      <c r="Y2062" s="30" t="e">
        <f t="shared" si="12"/>
        <v>#N/A</v>
      </c>
      <c r="Z2062" s="35" t="e">
        <f t="shared" si="13"/>
        <v>#VALUE!</v>
      </c>
      <c r="AA2062" s="29" t="e">
        <f t="shared" si="14"/>
        <v>#VALUE!</v>
      </c>
      <c r="AB2062" s="36" t="e">
        <f t="shared" si="15"/>
        <v>#VALUE!</v>
      </c>
      <c r="AC2062" s="37" t="b">
        <v>0</v>
      </c>
      <c r="AD2062" s="61" t="str">
        <f t="shared" si="16"/>
        <v>USD</v>
      </c>
      <c r="AE2062" s="37"/>
      <c r="AF2062" s="37" t="e">
        <f t="array" ref="AF2062">INDEX('Deal Info'!D:D, MATCH(A2062,'Deal Info'!A:A, 0))</f>
        <v>#N/A</v>
      </c>
      <c r="AG2062" s="38" t="e">
        <f t="array" ref="AG2062">INDEX('Deal Info'!G:G, MATCH(A2062,'Deal Info'!A:A, 0))</f>
        <v>#N/A</v>
      </c>
    </row>
    <row r="2063" spans="1:33" ht="14.25" hidden="1" x14ac:dyDescent="0.2">
      <c r="A2063" s="18" t="b">
        <f t="array" ref="A2063">IF(G2063='Room Info'!$B$1, INDEX('Room Info'!$A$2:$A2446, MATCH(B2063,'Room Info'!$B$2:$B2446, 0)),IF(G2063='Room Info'!$C$1, INDEX('Room Info'!$A$2:$A2446, MATCH(B2063,'Room Info'!$C$2:$C2446, 0)),IF(G2063='Room Info'!$D$1, INDEX('Room Info'!$A$2:$A2446, MATCH(B2063,'Room Info'!$D$2:$D2446, 0)),IF(G2063='Room Info'!$E$1, INDEX('Room Info'!$A$2:$A2446, MATCH(B2063,'Room Info'!$E$2:$E2446, 0)),IF(G2063='Room Info'!$F$1, INDEX('Room Info'!$A$2:$A2446, MATCH(B2063,'Room Info'!$F$2:$F2446, 0)),IF(G2063='Room Info'!$H$1, INDEX('Room Info'!$A$2:$A2446, MATCH(B2063,'Room Info'!$H$2:$H2446, 0)),IF(G2063='Room Info'!$G$1, INDEX('Room Info'!$A$2:$A2446, MATCH(B2063,'Room Info'!$G$2:$G2446, 0)))))))))</f>
        <v>0</v>
      </c>
      <c r="B2063" s="96"/>
      <c r="C2063" s="111"/>
      <c r="D2063" s="111"/>
      <c r="E2063" s="80"/>
      <c r="F2063" s="133"/>
      <c r="G2063" s="96"/>
      <c r="H2063" s="110"/>
      <c r="I2063" s="110"/>
      <c r="J2063" s="39" t="s">
        <v>334</v>
      </c>
      <c r="K2063" s="112"/>
      <c r="L2063" s="113"/>
      <c r="M2063" s="62"/>
      <c r="N2063" s="28" t="e">
        <f t="shared" si="8"/>
        <v>#VALUE!</v>
      </c>
      <c r="O2063" s="65"/>
      <c r="P2063" s="29" t="s">
        <v>334</v>
      </c>
      <c r="Q2063" s="55"/>
      <c r="R2063" s="31" t="e">
        <f t="shared" si="9"/>
        <v>#VALUE!</v>
      </c>
      <c r="S2063" s="66"/>
      <c r="T2063" s="32" t="e">
        <f t="shared" si="10"/>
        <v>#VALUE!</v>
      </c>
      <c r="U2063" s="57"/>
      <c r="V2063" s="58"/>
      <c r="W2063" s="58"/>
      <c r="X2063" s="30" t="e">
        <f t="shared" si="11"/>
        <v>#N/A</v>
      </c>
      <c r="Y2063" s="30" t="e">
        <f t="shared" si="12"/>
        <v>#N/A</v>
      </c>
      <c r="Z2063" s="35" t="e">
        <f t="shared" si="13"/>
        <v>#VALUE!</v>
      </c>
      <c r="AA2063" s="29" t="e">
        <f t="shared" si="14"/>
        <v>#VALUE!</v>
      </c>
      <c r="AB2063" s="36" t="e">
        <f t="shared" si="15"/>
        <v>#VALUE!</v>
      </c>
      <c r="AC2063" s="37" t="b">
        <v>0</v>
      </c>
      <c r="AD2063" s="61" t="str">
        <f t="shared" si="16"/>
        <v>USD</v>
      </c>
      <c r="AE2063" s="37"/>
      <c r="AF2063" s="37" t="e">
        <f t="array" ref="AF2063">INDEX('Deal Info'!D:D, MATCH(A2063,'Deal Info'!A:A, 0))</f>
        <v>#N/A</v>
      </c>
      <c r="AG2063" s="38" t="e">
        <f t="array" ref="AG2063">INDEX('Deal Info'!G:G, MATCH(A2063,'Deal Info'!A:A, 0))</f>
        <v>#N/A</v>
      </c>
    </row>
    <row r="2064" spans="1:33" ht="14.25" hidden="1" x14ac:dyDescent="0.2">
      <c r="A2064" s="18" t="b">
        <f t="array" ref="A2064">IF(G2064='Room Info'!$B$1, INDEX('Room Info'!$A$2:$A2446, MATCH(B2064,'Room Info'!$B$2:$B2446, 0)),IF(G2064='Room Info'!$C$1, INDEX('Room Info'!$A$2:$A2446, MATCH(B2064,'Room Info'!$C$2:$C2446, 0)),IF(G2064='Room Info'!$D$1, INDEX('Room Info'!$A$2:$A2446, MATCH(B2064,'Room Info'!$D$2:$D2446, 0)),IF(G2064='Room Info'!$E$1, INDEX('Room Info'!$A$2:$A2446, MATCH(B2064,'Room Info'!$E$2:$E2446, 0)),IF(G2064='Room Info'!$F$1, INDEX('Room Info'!$A$2:$A2446, MATCH(B2064,'Room Info'!$F$2:$F2446, 0)),IF(G2064='Room Info'!$H$1, INDEX('Room Info'!$A$2:$A2446, MATCH(B2064,'Room Info'!$H$2:$H2446, 0)),IF(G2064='Room Info'!$G$1, INDEX('Room Info'!$A$2:$A2446, MATCH(B2064,'Room Info'!$G$2:$G2446, 0)))))))))</f>
        <v>0</v>
      </c>
      <c r="B2064" s="96"/>
      <c r="C2064" s="111"/>
      <c r="D2064" s="111"/>
      <c r="E2064" s="80"/>
      <c r="F2064" s="133"/>
      <c r="G2064" s="96"/>
      <c r="H2064" s="110"/>
      <c r="I2064" s="110"/>
      <c r="J2064" s="39" t="s">
        <v>334</v>
      </c>
      <c r="K2064" s="112"/>
      <c r="L2064" s="113"/>
      <c r="M2064" s="62"/>
      <c r="N2064" s="28" t="e">
        <f t="shared" si="8"/>
        <v>#VALUE!</v>
      </c>
      <c r="O2064" s="65"/>
      <c r="P2064" s="29" t="s">
        <v>334</v>
      </c>
      <c r="Q2064" s="55"/>
      <c r="R2064" s="31" t="e">
        <f t="shared" si="9"/>
        <v>#VALUE!</v>
      </c>
      <c r="S2064" s="66"/>
      <c r="T2064" s="32" t="e">
        <f t="shared" si="10"/>
        <v>#VALUE!</v>
      </c>
      <c r="U2064" s="57"/>
      <c r="V2064" s="58"/>
      <c r="W2064" s="58"/>
      <c r="X2064" s="30" t="e">
        <f t="shared" si="11"/>
        <v>#N/A</v>
      </c>
      <c r="Y2064" s="30" t="e">
        <f t="shared" si="12"/>
        <v>#N/A</v>
      </c>
      <c r="Z2064" s="35" t="e">
        <f t="shared" si="13"/>
        <v>#VALUE!</v>
      </c>
      <c r="AA2064" s="29" t="e">
        <f t="shared" si="14"/>
        <v>#VALUE!</v>
      </c>
      <c r="AB2064" s="36" t="e">
        <f t="shared" si="15"/>
        <v>#VALUE!</v>
      </c>
      <c r="AC2064" s="37" t="b">
        <v>0</v>
      </c>
      <c r="AD2064" s="61" t="str">
        <f t="shared" si="16"/>
        <v>USD</v>
      </c>
      <c r="AE2064" s="37"/>
      <c r="AF2064" s="37" t="e">
        <f t="array" ref="AF2064">INDEX('Deal Info'!D:D, MATCH(A2064,'Deal Info'!A:A, 0))</f>
        <v>#N/A</v>
      </c>
      <c r="AG2064" s="38" t="e">
        <f t="array" ref="AG2064">INDEX('Deal Info'!G:G, MATCH(A2064,'Deal Info'!A:A, 0))</f>
        <v>#N/A</v>
      </c>
    </row>
    <row r="2065" spans="1:33" ht="14.25" hidden="1" x14ac:dyDescent="0.2">
      <c r="A2065" s="18" t="b">
        <f t="array" ref="A2065">IF(G2065='Room Info'!$B$1, INDEX('Room Info'!$A$2:$A2446, MATCH(B2065,'Room Info'!$B$2:$B2446, 0)),IF(G2065='Room Info'!$C$1, INDEX('Room Info'!$A$2:$A2446, MATCH(B2065,'Room Info'!$C$2:$C2446, 0)),IF(G2065='Room Info'!$D$1, INDEX('Room Info'!$A$2:$A2446, MATCH(B2065,'Room Info'!$D$2:$D2446, 0)),IF(G2065='Room Info'!$E$1, INDEX('Room Info'!$A$2:$A2446, MATCH(B2065,'Room Info'!$E$2:$E2446, 0)),IF(G2065='Room Info'!$F$1, INDEX('Room Info'!$A$2:$A2446, MATCH(B2065,'Room Info'!$F$2:$F2446, 0)),IF(G2065='Room Info'!$H$1, INDEX('Room Info'!$A$2:$A2446, MATCH(B2065,'Room Info'!$H$2:$H2446, 0)),IF(G2065='Room Info'!$G$1, INDEX('Room Info'!$A$2:$A2446, MATCH(B2065,'Room Info'!$G$2:$G2446, 0)))))))))</f>
        <v>0</v>
      </c>
      <c r="B2065" s="96"/>
      <c r="C2065" s="111"/>
      <c r="D2065" s="111"/>
      <c r="E2065" s="80"/>
      <c r="F2065" s="96"/>
      <c r="G2065" s="65"/>
      <c r="H2065" s="100"/>
      <c r="I2065" s="100"/>
      <c r="J2065" s="39" t="s">
        <v>334</v>
      </c>
      <c r="K2065" s="134"/>
      <c r="L2065" s="135"/>
      <c r="M2065" s="62"/>
      <c r="N2065" s="28" t="e">
        <f t="shared" si="8"/>
        <v>#VALUE!</v>
      </c>
      <c r="O2065" s="96"/>
      <c r="P2065" s="29" t="s">
        <v>334</v>
      </c>
      <c r="Q2065" s="55"/>
      <c r="R2065" s="31" t="e">
        <f t="shared" si="9"/>
        <v>#VALUE!</v>
      </c>
      <c r="S2065" s="97"/>
      <c r="T2065" s="32" t="e">
        <f t="shared" si="10"/>
        <v>#VALUE!</v>
      </c>
      <c r="U2065" s="57"/>
      <c r="V2065" s="58"/>
      <c r="W2065" s="58"/>
      <c r="X2065" s="30" t="e">
        <f t="shared" si="11"/>
        <v>#N/A</v>
      </c>
      <c r="Y2065" s="30" t="e">
        <f t="shared" si="12"/>
        <v>#N/A</v>
      </c>
      <c r="Z2065" s="35" t="e">
        <f t="shared" si="13"/>
        <v>#VALUE!</v>
      </c>
      <c r="AA2065" s="29" t="e">
        <f t="shared" si="14"/>
        <v>#VALUE!</v>
      </c>
      <c r="AB2065" s="36" t="e">
        <f t="shared" si="15"/>
        <v>#VALUE!</v>
      </c>
      <c r="AC2065" s="37" t="b">
        <v>0</v>
      </c>
      <c r="AD2065" s="61" t="str">
        <f t="shared" si="16"/>
        <v>USD</v>
      </c>
      <c r="AE2065" s="37"/>
      <c r="AF2065" s="37" t="e">
        <f t="array" ref="AF2065">INDEX('Deal Info'!D:D, MATCH(A2065,'Deal Info'!A:A, 0))</f>
        <v>#N/A</v>
      </c>
      <c r="AG2065" s="38" t="e">
        <f t="array" ref="AG2065">INDEX('Deal Info'!G:G, MATCH(A2065,'Deal Info'!A:A, 0))</f>
        <v>#N/A</v>
      </c>
    </row>
    <row r="2066" spans="1:33" ht="14.25" hidden="1" x14ac:dyDescent="0.2">
      <c r="A2066" s="18" t="b">
        <f t="array" ref="A2066">IF(G2066='Room Info'!$B$1, INDEX('Room Info'!$A$2:$A2446, MATCH(B2066,'Room Info'!$B$2:$B2446, 0)),IF(G2066='Room Info'!$C$1, INDEX('Room Info'!$A$2:$A2446, MATCH(B2066,'Room Info'!$C$2:$C2446, 0)),IF(G2066='Room Info'!$D$1, INDEX('Room Info'!$A$2:$A2446, MATCH(B2066,'Room Info'!$D$2:$D2446, 0)),IF(G2066='Room Info'!$E$1, INDEX('Room Info'!$A$2:$A2446, MATCH(B2066,'Room Info'!$E$2:$E2446, 0)),IF(G2066='Room Info'!$F$1, INDEX('Room Info'!$A$2:$A2446, MATCH(B2066,'Room Info'!$F$2:$F2446, 0)),IF(G2066='Room Info'!$H$1, INDEX('Room Info'!$A$2:$A2446, MATCH(B2066,'Room Info'!$H$2:$H2446, 0)),IF(G2066='Room Info'!$G$1, INDEX('Room Info'!$A$2:$A2446, MATCH(B2066,'Room Info'!$G$2:$G2446, 0)))))))))</f>
        <v>0</v>
      </c>
      <c r="B2066" s="96"/>
      <c r="C2066" s="111"/>
      <c r="D2066" s="111"/>
      <c r="E2066" s="80"/>
      <c r="F2066" s="96"/>
      <c r="G2066" s="65"/>
      <c r="H2066" s="100"/>
      <c r="I2066" s="100"/>
      <c r="J2066" s="39" t="s">
        <v>334</v>
      </c>
      <c r="K2066" s="134"/>
      <c r="L2066" s="135"/>
      <c r="M2066" s="62"/>
      <c r="N2066" s="28" t="e">
        <f t="shared" si="8"/>
        <v>#VALUE!</v>
      </c>
      <c r="O2066" s="96"/>
      <c r="P2066" s="29" t="s">
        <v>334</v>
      </c>
      <c r="Q2066" s="55"/>
      <c r="R2066" s="31" t="e">
        <f t="shared" si="9"/>
        <v>#VALUE!</v>
      </c>
      <c r="S2066" s="97"/>
      <c r="T2066" s="32" t="e">
        <f t="shared" si="10"/>
        <v>#VALUE!</v>
      </c>
      <c r="U2066" s="57"/>
      <c r="V2066" s="58"/>
      <c r="W2066" s="58"/>
      <c r="X2066" s="30" t="e">
        <f t="shared" si="11"/>
        <v>#N/A</v>
      </c>
      <c r="Y2066" s="30" t="e">
        <f t="shared" si="12"/>
        <v>#N/A</v>
      </c>
      <c r="Z2066" s="35" t="e">
        <f t="shared" si="13"/>
        <v>#VALUE!</v>
      </c>
      <c r="AA2066" s="29" t="e">
        <f t="shared" si="14"/>
        <v>#VALUE!</v>
      </c>
      <c r="AB2066" s="36" t="e">
        <f t="shared" si="15"/>
        <v>#VALUE!</v>
      </c>
      <c r="AC2066" s="37" t="b">
        <v>0</v>
      </c>
      <c r="AD2066" s="61" t="str">
        <f t="shared" si="16"/>
        <v>USD</v>
      </c>
      <c r="AE2066" s="37"/>
      <c r="AF2066" s="37" t="e">
        <f t="array" ref="AF2066">INDEX('Deal Info'!D:D, MATCH(A2066,'Deal Info'!A:A, 0))</f>
        <v>#N/A</v>
      </c>
      <c r="AG2066" s="38" t="e">
        <f t="array" ref="AG2066">INDEX('Deal Info'!G:G, MATCH(A2066,'Deal Info'!A:A, 0))</f>
        <v>#N/A</v>
      </c>
    </row>
    <row r="2067" spans="1:33" ht="14.25" hidden="1" x14ac:dyDescent="0.2">
      <c r="A2067" s="18" t="b">
        <f t="array" ref="A2067">IF(G2067='Room Info'!$B$1, INDEX('Room Info'!$A$2:$A2446, MATCH(B2067,'Room Info'!$B$2:$B2446, 0)),IF(G2067='Room Info'!$C$1, INDEX('Room Info'!$A$2:$A2446, MATCH(B2067,'Room Info'!$C$2:$C2446, 0)),IF(G2067='Room Info'!$D$1, INDEX('Room Info'!$A$2:$A2446, MATCH(B2067,'Room Info'!$D$2:$D2446, 0)),IF(G2067='Room Info'!$E$1, INDEX('Room Info'!$A$2:$A2446, MATCH(B2067,'Room Info'!$E$2:$E2446, 0)),IF(G2067='Room Info'!$F$1, INDEX('Room Info'!$A$2:$A2446, MATCH(B2067,'Room Info'!$F$2:$F2446, 0)),IF(G2067='Room Info'!$H$1, INDEX('Room Info'!$A$2:$A2446, MATCH(B2067,'Room Info'!$H$2:$H2446, 0)),IF(G2067='Room Info'!$G$1, INDEX('Room Info'!$A$2:$A2446, MATCH(B2067,'Room Info'!$G$2:$G2446, 0)))))))))</f>
        <v>0</v>
      </c>
      <c r="B2067" s="96"/>
      <c r="C2067" s="111"/>
      <c r="D2067" s="111"/>
      <c r="E2067" s="80"/>
      <c r="F2067" s="96"/>
      <c r="G2067" s="65"/>
      <c r="H2067" s="110"/>
      <c r="I2067" s="110"/>
      <c r="J2067" s="39" t="s">
        <v>334</v>
      </c>
      <c r="K2067" s="112"/>
      <c r="L2067" s="113"/>
      <c r="M2067" s="62"/>
      <c r="N2067" s="28" t="e">
        <f t="shared" si="8"/>
        <v>#VALUE!</v>
      </c>
      <c r="O2067" s="65"/>
      <c r="P2067" s="29" t="s">
        <v>334</v>
      </c>
      <c r="Q2067" s="55"/>
      <c r="R2067" s="31" t="e">
        <f t="shared" si="9"/>
        <v>#VALUE!</v>
      </c>
      <c r="S2067" s="66"/>
      <c r="T2067" s="32" t="e">
        <f t="shared" si="10"/>
        <v>#VALUE!</v>
      </c>
      <c r="U2067" s="57"/>
      <c r="V2067" s="58"/>
      <c r="W2067" s="58"/>
      <c r="X2067" s="30" t="e">
        <f t="shared" si="11"/>
        <v>#N/A</v>
      </c>
      <c r="Y2067" s="30" t="e">
        <f t="shared" si="12"/>
        <v>#N/A</v>
      </c>
      <c r="Z2067" s="35" t="e">
        <f t="shared" si="13"/>
        <v>#VALUE!</v>
      </c>
      <c r="AA2067" s="29" t="e">
        <f t="shared" si="14"/>
        <v>#VALUE!</v>
      </c>
      <c r="AB2067" s="36" t="e">
        <f t="shared" si="15"/>
        <v>#VALUE!</v>
      </c>
      <c r="AC2067" s="37" t="b">
        <v>0</v>
      </c>
      <c r="AD2067" s="61" t="str">
        <f t="shared" si="16"/>
        <v>USD</v>
      </c>
      <c r="AE2067" s="37"/>
      <c r="AF2067" s="37" t="e">
        <f t="array" ref="AF2067">INDEX('Deal Info'!D:D, MATCH(A2067,'Deal Info'!A:A, 0))</f>
        <v>#N/A</v>
      </c>
      <c r="AG2067" s="38" t="e">
        <f t="array" ref="AG2067">INDEX('Deal Info'!G:G, MATCH(A2067,'Deal Info'!A:A, 0))</f>
        <v>#N/A</v>
      </c>
    </row>
    <row r="2068" spans="1:33" ht="14.25" hidden="1" x14ac:dyDescent="0.2">
      <c r="A2068" s="18" t="b">
        <f t="array" ref="A2068">IF(G2068='Room Info'!$B$1, INDEX('Room Info'!$A$2:$A2446, MATCH(B2068,'Room Info'!$B$2:$B2446, 0)),IF(G2068='Room Info'!$C$1, INDEX('Room Info'!$A$2:$A2446, MATCH(B2068,'Room Info'!$C$2:$C2446, 0)),IF(G2068='Room Info'!$D$1, INDEX('Room Info'!$A$2:$A2446, MATCH(B2068,'Room Info'!$D$2:$D2446, 0)),IF(G2068='Room Info'!$E$1, INDEX('Room Info'!$A$2:$A2446, MATCH(B2068,'Room Info'!$E$2:$E2446, 0)),IF(G2068='Room Info'!$F$1, INDEX('Room Info'!$A$2:$A2446, MATCH(B2068,'Room Info'!$F$2:$F2446, 0)),IF(G2068='Room Info'!$H$1, INDEX('Room Info'!$A$2:$A2446, MATCH(B2068,'Room Info'!$H$2:$H2446, 0)),IF(G2068='Room Info'!$G$1, INDEX('Room Info'!$A$2:$A2446, MATCH(B2068,'Room Info'!$G$2:$G2446, 0)))))))))</f>
        <v>0</v>
      </c>
      <c r="B2068" s="96"/>
      <c r="C2068" s="111"/>
      <c r="D2068" s="111"/>
      <c r="E2068" s="80"/>
      <c r="F2068" s="96"/>
      <c r="G2068" s="65"/>
      <c r="H2068" s="110"/>
      <c r="I2068" s="110"/>
      <c r="J2068" s="39" t="s">
        <v>334</v>
      </c>
      <c r="K2068" s="112"/>
      <c r="L2068" s="113"/>
      <c r="M2068" s="62"/>
      <c r="N2068" s="28" t="e">
        <f t="shared" si="8"/>
        <v>#VALUE!</v>
      </c>
      <c r="O2068" s="65"/>
      <c r="P2068" s="29" t="s">
        <v>334</v>
      </c>
      <c r="Q2068" s="55"/>
      <c r="R2068" s="31" t="e">
        <f t="shared" si="9"/>
        <v>#VALUE!</v>
      </c>
      <c r="S2068" s="66"/>
      <c r="T2068" s="32" t="e">
        <f t="shared" si="10"/>
        <v>#VALUE!</v>
      </c>
      <c r="U2068" s="57"/>
      <c r="V2068" s="58"/>
      <c r="W2068" s="58"/>
      <c r="X2068" s="30" t="e">
        <f t="shared" si="11"/>
        <v>#N/A</v>
      </c>
      <c r="Y2068" s="30" t="e">
        <f t="shared" si="12"/>
        <v>#N/A</v>
      </c>
      <c r="Z2068" s="35" t="e">
        <f t="shared" si="13"/>
        <v>#VALUE!</v>
      </c>
      <c r="AA2068" s="29" t="e">
        <f t="shared" si="14"/>
        <v>#VALUE!</v>
      </c>
      <c r="AB2068" s="36" t="e">
        <f t="shared" si="15"/>
        <v>#VALUE!</v>
      </c>
      <c r="AC2068" s="37" t="b">
        <v>0</v>
      </c>
      <c r="AD2068" s="61" t="str">
        <f t="shared" si="16"/>
        <v>USD</v>
      </c>
      <c r="AE2068" s="37"/>
      <c r="AF2068" s="37" t="e">
        <f t="array" ref="AF2068">INDEX('Deal Info'!D:D, MATCH(A2068,'Deal Info'!A:A, 0))</f>
        <v>#N/A</v>
      </c>
      <c r="AG2068" s="38" t="e">
        <f t="array" ref="AG2068">INDEX('Deal Info'!G:G, MATCH(A2068,'Deal Info'!A:A, 0))</f>
        <v>#N/A</v>
      </c>
    </row>
    <row r="2069" spans="1:33" ht="14.25" hidden="1" x14ac:dyDescent="0.2">
      <c r="A2069" s="18" t="b">
        <f t="array" ref="A2069">IF(G2069='Room Info'!$B$1, INDEX('Room Info'!$A$2:$A2446, MATCH(B2069,'Room Info'!$B$2:$B2446, 0)),IF(G2069='Room Info'!$C$1, INDEX('Room Info'!$A$2:$A2446, MATCH(B2069,'Room Info'!$C$2:$C2446, 0)),IF(G2069='Room Info'!$D$1, INDEX('Room Info'!$A$2:$A2446, MATCH(B2069,'Room Info'!$D$2:$D2446, 0)),IF(G2069='Room Info'!$E$1, INDEX('Room Info'!$A$2:$A2446, MATCH(B2069,'Room Info'!$E$2:$E2446, 0)),IF(G2069='Room Info'!$F$1, INDEX('Room Info'!$A$2:$A2446, MATCH(B2069,'Room Info'!$F$2:$F2446, 0)),IF(G2069='Room Info'!$H$1, INDEX('Room Info'!$A$2:$A2446, MATCH(B2069,'Room Info'!$H$2:$H2446, 0)),IF(G2069='Room Info'!$G$1, INDEX('Room Info'!$A$2:$A2446, MATCH(B2069,'Room Info'!$G$2:$G2446, 0)))))))))</f>
        <v>0</v>
      </c>
      <c r="B2069" s="96"/>
      <c r="C2069" s="111"/>
      <c r="D2069" s="111"/>
      <c r="E2069" s="80"/>
      <c r="F2069" s="96"/>
      <c r="G2069" s="65"/>
      <c r="H2069" s="110"/>
      <c r="I2069" s="110"/>
      <c r="J2069" s="39" t="s">
        <v>334</v>
      </c>
      <c r="K2069" s="112"/>
      <c r="L2069" s="113"/>
      <c r="M2069" s="62"/>
      <c r="N2069" s="28" t="e">
        <f t="shared" si="8"/>
        <v>#VALUE!</v>
      </c>
      <c r="O2069" s="65"/>
      <c r="P2069" s="29" t="s">
        <v>334</v>
      </c>
      <c r="Q2069" s="55"/>
      <c r="R2069" s="31" t="e">
        <f t="shared" si="9"/>
        <v>#VALUE!</v>
      </c>
      <c r="S2069" s="66"/>
      <c r="T2069" s="32" t="e">
        <f t="shared" si="10"/>
        <v>#VALUE!</v>
      </c>
      <c r="U2069" s="57"/>
      <c r="V2069" s="58"/>
      <c r="W2069" s="58"/>
      <c r="X2069" s="30" t="e">
        <f t="shared" si="11"/>
        <v>#N/A</v>
      </c>
      <c r="Y2069" s="30" t="e">
        <f t="shared" si="12"/>
        <v>#N/A</v>
      </c>
      <c r="Z2069" s="35" t="e">
        <f t="shared" si="13"/>
        <v>#VALUE!</v>
      </c>
      <c r="AA2069" s="29" t="e">
        <f t="shared" si="14"/>
        <v>#VALUE!</v>
      </c>
      <c r="AB2069" s="36" t="e">
        <f t="shared" si="15"/>
        <v>#VALUE!</v>
      </c>
      <c r="AC2069" s="37" t="b">
        <v>0</v>
      </c>
      <c r="AD2069" s="61" t="str">
        <f t="shared" si="16"/>
        <v>USD</v>
      </c>
      <c r="AE2069" s="37"/>
      <c r="AF2069" s="37" t="e">
        <f t="array" ref="AF2069">INDEX('Deal Info'!D:D, MATCH(A2069,'Deal Info'!A:A, 0))</f>
        <v>#N/A</v>
      </c>
      <c r="AG2069" s="38" t="e">
        <f t="array" ref="AG2069">INDEX('Deal Info'!G:G, MATCH(A2069,'Deal Info'!A:A, 0))</f>
        <v>#N/A</v>
      </c>
    </row>
    <row r="2070" spans="1:33" ht="14.25" hidden="1" x14ac:dyDescent="0.2">
      <c r="A2070" s="18" t="b">
        <f t="array" ref="A2070">IF(G2070='Room Info'!$B$1, INDEX('Room Info'!$A$2:$A2446, MATCH(B2070,'Room Info'!$B$2:$B2446, 0)),IF(G2070='Room Info'!$C$1, INDEX('Room Info'!$A$2:$A2446, MATCH(B2070,'Room Info'!$C$2:$C2446, 0)),IF(G2070='Room Info'!$D$1, INDEX('Room Info'!$A$2:$A2446, MATCH(B2070,'Room Info'!$D$2:$D2446, 0)),IF(G2070='Room Info'!$E$1, INDEX('Room Info'!$A$2:$A2446, MATCH(B2070,'Room Info'!$E$2:$E2446, 0)),IF(G2070='Room Info'!$F$1, INDEX('Room Info'!$A$2:$A2446, MATCH(B2070,'Room Info'!$F$2:$F2446, 0)),IF(G2070='Room Info'!$H$1, INDEX('Room Info'!$A$2:$A2446, MATCH(B2070,'Room Info'!$H$2:$H2446, 0)),IF(G2070='Room Info'!$G$1, INDEX('Room Info'!$A$2:$A2446, MATCH(B2070,'Room Info'!$G$2:$G2446, 0)))))))))</f>
        <v>0</v>
      </c>
      <c r="B2070" s="96"/>
      <c r="C2070" s="111"/>
      <c r="D2070" s="111"/>
      <c r="E2070" s="80"/>
      <c r="F2070" s="96"/>
      <c r="G2070" s="65"/>
      <c r="H2070" s="110"/>
      <c r="I2070" s="110"/>
      <c r="J2070" s="39" t="s">
        <v>334</v>
      </c>
      <c r="K2070" s="112"/>
      <c r="L2070" s="113"/>
      <c r="M2070" s="62"/>
      <c r="N2070" s="28" t="e">
        <f t="shared" si="8"/>
        <v>#VALUE!</v>
      </c>
      <c r="O2070" s="65"/>
      <c r="P2070" s="29" t="s">
        <v>334</v>
      </c>
      <c r="Q2070" s="55"/>
      <c r="R2070" s="31" t="e">
        <f t="shared" si="9"/>
        <v>#VALUE!</v>
      </c>
      <c r="S2070" s="66"/>
      <c r="T2070" s="32" t="e">
        <f t="shared" si="10"/>
        <v>#VALUE!</v>
      </c>
      <c r="U2070" s="57"/>
      <c r="V2070" s="58"/>
      <c r="W2070" s="58"/>
      <c r="X2070" s="30" t="e">
        <f t="shared" si="11"/>
        <v>#N/A</v>
      </c>
      <c r="Y2070" s="30" t="e">
        <f t="shared" si="12"/>
        <v>#N/A</v>
      </c>
      <c r="Z2070" s="35" t="e">
        <f t="shared" si="13"/>
        <v>#VALUE!</v>
      </c>
      <c r="AA2070" s="29" t="e">
        <f t="shared" si="14"/>
        <v>#VALUE!</v>
      </c>
      <c r="AB2070" s="36" t="e">
        <f t="shared" si="15"/>
        <v>#VALUE!</v>
      </c>
      <c r="AC2070" s="37" t="b">
        <v>0</v>
      </c>
      <c r="AD2070" s="61" t="str">
        <f t="shared" si="16"/>
        <v>USD</v>
      </c>
      <c r="AE2070" s="37"/>
      <c r="AF2070" s="37" t="e">
        <f t="array" ref="AF2070">INDEX('Deal Info'!D:D, MATCH(A2070,'Deal Info'!A:A, 0))</f>
        <v>#N/A</v>
      </c>
      <c r="AG2070" s="38" t="e">
        <f t="array" ref="AG2070">INDEX('Deal Info'!G:G, MATCH(A2070,'Deal Info'!A:A, 0))</f>
        <v>#N/A</v>
      </c>
    </row>
    <row r="2071" spans="1:33" ht="14.25" hidden="1" x14ac:dyDescent="0.2">
      <c r="A2071" s="18" t="b">
        <f t="array" ref="A2071">IF(G2071='Room Info'!$B$1, INDEX('Room Info'!$A$2:$A2446, MATCH(B2071,'Room Info'!$B$2:$B2446, 0)),IF(G2071='Room Info'!$C$1, INDEX('Room Info'!$A$2:$A2446, MATCH(B2071,'Room Info'!$C$2:$C2446, 0)),IF(G2071='Room Info'!$D$1, INDEX('Room Info'!$A$2:$A2446, MATCH(B2071,'Room Info'!$D$2:$D2446, 0)),IF(G2071='Room Info'!$E$1, INDEX('Room Info'!$A$2:$A2446, MATCH(B2071,'Room Info'!$E$2:$E2446, 0)),IF(G2071='Room Info'!$F$1, INDEX('Room Info'!$A$2:$A2446, MATCH(B2071,'Room Info'!$F$2:$F2446, 0)),IF(G2071='Room Info'!$H$1, INDEX('Room Info'!$A$2:$A2446, MATCH(B2071,'Room Info'!$H$2:$H2446, 0)),IF(G2071='Room Info'!$G$1, INDEX('Room Info'!$A$2:$A2446, MATCH(B2071,'Room Info'!$G$2:$G2446, 0)))))))))</f>
        <v>0</v>
      </c>
      <c r="B2071" s="65"/>
      <c r="C2071" s="111"/>
      <c r="D2071" s="111"/>
      <c r="E2071" s="80"/>
      <c r="F2071" s="96"/>
      <c r="G2071" s="65"/>
      <c r="H2071" s="110"/>
      <c r="I2071" s="110"/>
      <c r="J2071" s="39" t="s">
        <v>334</v>
      </c>
      <c r="K2071" s="112"/>
      <c r="L2071" s="113"/>
      <c r="M2071" s="62"/>
      <c r="N2071" s="28" t="e">
        <f t="shared" si="8"/>
        <v>#VALUE!</v>
      </c>
      <c r="O2071" s="65"/>
      <c r="P2071" s="29" t="s">
        <v>334</v>
      </c>
      <c r="Q2071" s="55"/>
      <c r="R2071" s="31" t="e">
        <f t="shared" si="9"/>
        <v>#VALUE!</v>
      </c>
      <c r="S2071" s="66"/>
      <c r="T2071" s="32" t="e">
        <f t="shared" si="10"/>
        <v>#VALUE!</v>
      </c>
      <c r="U2071" s="57"/>
      <c r="V2071" s="58"/>
      <c r="W2071" s="58"/>
      <c r="X2071" s="30" t="e">
        <f t="shared" si="11"/>
        <v>#N/A</v>
      </c>
      <c r="Y2071" s="30" t="e">
        <f t="shared" si="12"/>
        <v>#N/A</v>
      </c>
      <c r="Z2071" s="35" t="e">
        <f t="shared" si="13"/>
        <v>#VALUE!</v>
      </c>
      <c r="AA2071" s="29" t="e">
        <f t="shared" si="14"/>
        <v>#VALUE!</v>
      </c>
      <c r="AB2071" s="36" t="e">
        <f t="shared" si="15"/>
        <v>#VALUE!</v>
      </c>
      <c r="AC2071" s="37" t="b">
        <v>0</v>
      </c>
      <c r="AD2071" s="61" t="str">
        <f t="shared" si="16"/>
        <v>USD</v>
      </c>
      <c r="AE2071" s="37"/>
      <c r="AF2071" s="37" t="e">
        <f t="array" ref="AF2071">INDEX('Deal Info'!D:D, MATCH(A2071,'Deal Info'!A:A, 0))</f>
        <v>#N/A</v>
      </c>
      <c r="AG2071" s="38" t="e">
        <f t="array" ref="AG2071">INDEX('Deal Info'!G:G, MATCH(A2071,'Deal Info'!A:A, 0))</f>
        <v>#N/A</v>
      </c>
    </row>
    <row r="2072" spans="1:33" ht="14.25" hidden="1" x14ac:dyDescent="0.2">
      <c r="A2072" s="18" t="b">
        <f t="array" ref="A2072">IF(G2072='Room Info'!$B$1, INDEX('Room Info'!$A$2:$A2446, MATCH(B2072,'Room Info'!$B$2:$B2446, 0)),IF(G2072='Room Info'!$C$1, INDEX('Room Info'!$A$2:$A2446, MATCH(B2072,'Room Info'!$C$2:$C2446, 0)),IF(G2072='Room Info'!$D$1, INDEX('Room Info'!$A$2:$A2446, MATCH(B2072,'Room Info'!$D$2:$D2446, 0)),IF(G2072='Room Info'!$E$1, INDEX('Room Info'!$A$2:$A2446, MATCH(B2072,'Room Info'!$E$2:$E2446, 0)),IF(G2072='Room Info'!$F$1, INDEX('Room Info'!$A$2:$A2446, MATCH(B2072,'Room Info'!$F$2:$F2446, 0)),IF(G2072='Room Info'!$H$1, INDEX('Room Info'!$A$2:$A2446, MATCH(B2072,'Room Info'!$H$2:$H2446, 0)),IF(G2072='Room Info'!$G$1, INDEX('Room Info'!$A$2:$A2446, MATCH(B2072,'Room Info'!$G$2:$G2446, 0)))))))))</f>
        <v>0</v>
      </c>
      <c r="B2072" s="65"/>
      <c r="C2072" s="111"/>
      <c r="D2072" s="111"/>
      <c r="E2072" s="80"/>
      <c r="F2072" s="96"/>
      <c r="G2072" s="65"/>
      <c r="H2072" s="110"/>
      <c r="I2072" s="110"/>
      <c r="J2072" s="39" t="s">
        <v>334</v>
      </c>
      <c r="K2072" s="112"/>
      <c r="L2072" s="113"/>
      <c r="M2072" s="62"/>
      <c r="N2072" s="28" t="e">
        <f t="shared" si="8"/>
        <v>#VALUE!</v>
      </c>
      <c r="O2072" s="65"/>
      <c r="P2072" s="29" t="s">
        <v>334</v>
      </c>
      <c r="Q2072" s="55"/>
      <c r="R2072" s="31" t="e">
        <f t="shared" si="9"/>
        <v>#VALUE!</v>
      </c>
      <c r="S2072" s="66"/>
      <c r="T2072" s="32" t="e">
        <f t="shared" si="10"/>
        <v>#VALUE!</v>
      </c>
      <c r="U2072" s="57"/>
      <c r="V2072" s="58"/>
      <c r="W2072" s="58"/>
      <c r="X2072" s="30" t="e">
        <f t="shared" si="11"/>
        <v>#N/A</v>
      </c>
      <c r="Y2072" s="30" t="e">
        <f t="shared" si="12"/>
        <v>#N/A</v>
      </c>
      <c r="Z2072" s="35" t="e">
        <f t="shared" si="13"/>
        <v>#VALUE!</v>
      </c>
      <c r="AA2072" s="29" t="e">
        <f t="shared" si="14"/>
        <v>#VALUE!</v>
      </c>
      <c r="AB2072" s="36" t="e">
        <f t="shared" si="15"/>
        <v>#VALUE!</v>
      </c>
      <c r="AC2072" s="37" t="b">
        <v>0</v>
      </c>
      <c r="AD2072" s="61" t="str">
        <f t="shared" si="16"/>
        <v>USD</v>
      </c>
      <c r="AE2072" s="37"/>
      <c r="AF2072" s="37" t="e">
        <f t="array" ref="AF2072">INDEX('Deal Info'!D:D, MATCH(A2072,'Deal Info'!A:A, 0))</f>
        <v>#N/A</v>
      </c>
      <c r="AG2072" s="38" t="e">
        <f t="array" ref="AG2072">INDEX('Deal Info'!G:G, MATCH(A2072,'Deal Info'!A:A, 0))</f>
        <v>#N/A</v>
      </c>
    </row>
    <row r="2073" spans="1:33" ht="14.25" hidden="1" x14ac:dyDescent="0.2">
      <c r="A2073" s="18" t="b">
        <f t="array" ref="A2073">IF(G2073='Room Info'!$B$1, INDEX('Room Info'!$A$2:$A2446, MATCH(B2073,'Room Info'!$B$2:$B2446, 0)),IF(G2073='Room Info'!$C$1, INDEX('Room Info'!$A$2:$A2446, MATCH(B2073,'Room Info'!$C$2:$C2446, 0)),IF(G2073='Room Info'!$D$1, INDEX('Room Info'!$A$2:$A2446, MATCH(B2073,'Room Info'!$D$2:$D2446, 0)),IF(G2073='Room Info'!$E$1, INDEX('Room Info'!$A$2:$A2446, MATCH(B2073,'Room Info'!$E$2:$E2446, 0)),IF(G2073='Room Info'!$F$1, INDEX('Room Info'!$A$2:$A2446, MATCH(B2073,'Room Info'!$F$2:$F2446, 0)),IF(G2073='Room Info'!$H$1, INDEX('Room Info'!$A$2:$A2446, MATCH(B2073,'Room Info'!$H$2:$H2446, 0)),IF(G2073='Room Info'!$G$1, INDEX('Room Info'!$A$2:$A2446, MATCH(B2073,'Room Info'!$G$2:$G2446, 0)))))))))</f>
        <v>0</v>
      </c>
      <c r="B2073" s="65"/>
      <c r="C2073" s="111"/>
      <c r="D2073" s="111"/>
      <c r="E2073" s="80"/>
      <c r="F2073" s="96"/>
      <c r="G2073" s="65"/>
      <c r="H2073" s="110"/>
      <c r="I2073" s="110"/>
      <c r="J2073" s="39" t="s">
        <v>334</v>
      </c>
      <c r="K2073" s="112"/>
      <c r="L2073" s="113"/>
      <c r="M2073" s="62"/>
      <c r="N2073" s="28" t="e">
        <f t="shared" si="8"/>
        <v>#VALUE!</v>
      </c>
      <c r="O2073" s="65"/>
      <c r="P2073" s="29" t="s">
        <v>334</v>
      </c>
      <c r="Q2073" s="55"/>
      <c r="R2073" s="31" t="e">
        <f t="shared" si="9"/>
        <v>#VALUE!</v>
      </c>
      <c r="S2073" s="66"/>
      <c r="T2073" s="32" t="e">
        <f t="shared" si="10"/>
        <v>#VALUE!</v>
      </c>
      <c r="U2073" s="57"/>
      <c r="V2073" s="58"/>
      <c r="W2073" s="58"/>
      <c r="X2073" s="30" t="e">
        <f t="shared" si="11"/>
        <v>#N/A</v>
      </c>
      <c r="Y2073" s="30" t="e">
        <f t="shared" si="12"/>
        <v>#N/A</v>
      </c>
      <c r="Z2073" s="35" t="e">
        <f t="shared" si="13"/>
        <v>#VALUE!</v>
      </c>
      <c r="AA2073" s="29" t="e">
        <f t="shared" si="14"/>
        <v>#VALUE!</v>
      </c>
      <c r="AB2073" s="36" t="e">
        <f t="shared" si="15"/>
        <v>#VALUE!</v>
      </c>
      <c r="AC2073" s="37" t="b">
        <v>0</v>
      </c>
      <c r="AD2073" s="61" t="str">
        <f t="shared" si="16"/>
        <v>USD</v>
      </c>
      <c r="AE2073" s="37"/>
      <c r="AF2073" s="37" t="e">
        <f t="array" ref="AF2073">INDEX('Deal Info'!D:D, MATCH(A2073,'Deal Info'!A:A, 0))</f>
        <v>#N/A</v>
      </c>
      <c r="AG2073" s="38" t="e">
        <f t="array" ref="AG2073">INDEX('Deal Info'!G:G, MATCH(A2073,'Deal Info'!A:A, 0))</f>
        <v>#N/A</v>
      </c>
    </row>
    <row r="2074" spans="1:33" ht="14.25" hidden="1" x14ac:dyDescent="0.2">
      <c r="A2074" s="18" t="b">
        <f t="array" ref="A2074">IF(G2074='Room Info'!$B$1, INDEX('Room Info'!$A$2:$A2446, MATCH(B2074,'Room Info'!$B$2:$B2446, 0)),IF(G2074='Room Info'!$C$1, INDEX('Room Info'!$A$2:$A2446, MATCH(B2074,'Room Info'!$C$2:$C2446, 0)),IF(G2074='Room Info'!$D$1, INDEX('Room Info'!$A$2:$A2446, MATCH(B2074,'Room Info'!$D$2:$D2446, 0)),IF(G2074='Room Info'!$E$1, INDEX('Room Info'!$A$2:$A2446, MATCH(B2074,'Room Info'!$E$2:$E2446, 0)),IF(G2074='Room Info'!$F$1, INDEX('Room Info'!$A$2:$A2446, MATCH(B2074,'Room Info'!$F$2:$F2446, 0)),IF(G2074='Room Info'!$H$1, INDEX('Room Info'!$A$2:$A2446, MATCH(B2074,'Room Info'!$H$2:$H2446, 0)),IF(G2074='Room Info'!$G$1, INDEX('Room Info'!$A$2:$A2446, MATCH(B2074,'Room Info'!$G$2:$G2446, 0)))))))))</f>
        <v>0</v>
      </c>
      <c r="B2074" s="65"/>
      <c r="C2074" s="111"/>
      <c r="D2074" s="111"/>
      <c r="E2074" s="80"/>
      <c r="F2074" s="96"/>
      <c r="G2074" s="65"/>
      <c r="H2074" s="110"/>
      <c r="I2074" s="110"/>
      <c r="J2074" s="39" t="s">
        <v>334</v>
      </c>
      <c r="K2074" s="112"/>
      <c r="L2074" s="113"/>
      <c r="M2074" s="62"/>
      <c r="N2074" s="28" t="e">
        <f t="shared" si="8"/>
        <v>#VALUE!</v>
      </c>
      <c r="O2074" s="65"/>
      <c r="P2074" s="29" t="s">
        <v>334</v>
      </c>
      <c r="Q2074" s="55"/>
      <c r="R2074" s="31" t="e">
        <f t="shared" si="9"/>
        <v>#VALUE!</v>
      </c>
      <c r="S2074" s="66"/>
      <c r="T2074" s="32" t="e">
        <f t="shared" si="10"/>
        <v>#VALUE!</v>
      </c>
      <c r="U2074" s="57"/>
      <c r="V2074" s="58"/>
      <c r="W2074" s="58"/>
      <c r="X2074" s="30" t="e">
        <f t="shared" si="11"/>
        <v>#N/A</v>
      </c>
      <c r="Y2074" s="30" t="e">
        <f t="shared" si="12"/>
        <v>#N/A</v>
      </c>
      <c r="Z2074" s="35" t="e">
        <f t="shared" si="13"/>
        <v>#VALUE!</v>
      </c>
      <c r="AA2074" s="29" t="e">
        <f t="shared" si="14"/>
        <v>#VALUE!</v>
      </c>
      <c r="AB2074" s="36" t="e">
        <f t="shared" si="15"/>
        <v>#VALUE!</v>
      </c>
      <c r="AC2074" s="37" t="b">
        <v>0</v>
      </c>
      <c r="AD2074" s="61" t="str">
        <f t="shared" si="16"/>
        <v>USD</v>
      </c>
      <c r="AE2074" s="37"/>
      <c r="AF2074" s="37" t="e">
        <f t="array" ref="AF2074">INDEX('Deal Info'!D:D, MATCH(A2074,'Deal Info'!A:A, 0))</f>
        <v>#N/A</v>
      </c>
      <c r="AG2074" s="38" t="e">
        <f t="array" ref="AG2074">INDEX('Deal Info'!G:G, MATCH(A2074,'Deal Info'!A:A, 0))</f>
        <v>#N/A</v>
      </c>
    </row>
    <row r="2075" spans="1:33" ht="14.25" hidden="1" x14ac:dyDescent="0.2">
      <c r="A2075" s="18" t="b">
        <f t="array" ref="A2075">IF(G2075='Room Info'!$B$1, INDEX('Room Info'!$A$2:$A2446, MATCH(B2075,'Room Info'!$B$2:$B2446, 0)),IF(G2075='Room Info'!$C$1, INDEX('Room Info'!$A$2:$A2446, MATCH(B2075,'Room Info'!$C$2:$C2446, 0)),IF(G2075='Room Info'!$D$1, INDEX('Room Info'!$A$2:$A2446, MATCH(B2075,'Room Info'!$D$2:$D2446, 0)),IF(G2075='Room Info'!$E$1, INDEX('Room Info'!$A$2:$A2446, MATCH(B2075,'Room Info'!$E$2:$E2446, 0)),IF(G2075='Room Info'!$F$1, INDEX('Room Info'!$A$2:$A2446, MATCH(B2075,'Room Info'!$F$2:$F2446, 0)),IF(G2075='Room Info'!$H$1, INDEX('Room Info'!$A$2:$A2446, MATCH(B2075,'Room Info'!$H$2:$H2446, 0)),IF(G2075='Room Info'!$G$1, INDEX('Room Info'!$A$2:$A2446, MATCH(B2075,'Room Info'!$G$2:$G2446, 0)))))))))</f>
        <v>0</v>
      </c>
      <c r="B2075" s="96"/>
      <c r="C2075" s="111"/>
      <c r="D2075" s="111"/>
      <c r="E2075" s="80"/>
      <c r="F2075" s="133"/>
      <c r="G2075" s="96"/>
      <c r="H2075" s="110"/>
      <c r="I2075" s="110"/>
      <c r="J2075" s="39" t="s">
        <v>334</v>
      </c>
      <c r="K2075" s="112"/>
      <c r="L2075" s="113"/>
      <c r="M2075" s="62"/>
      <c r="N2075" s="28" t="e">
        <f t="shared" si="8"/>
        <v>#VALUE!</v>
      </c>
      <c r="O2075" s="65"/>
      <c r="P2075" s="29" t="s">
        <v>334</v>
      </c>
      <c r="Q2075" s="55"/>
      <c r="R2075" s="31" t="e">
        <f t="shared" si="9"/>
        <v>#VALUE!</v>
      </c>
      <c r="S2075" s="66"/>
      <c r="T2075" s="32" t="e">
        <f t="shared" si="10"/>
        <v>#VALUE!</v>
      </c>
      <c r="U2075" s="57"/>
      <c r="V2075" s="58"/>
      <c r="W2075" s="58"/>
      <c r="X2075" s="30" t="e">
        <f t="shared" si="11"/>
        <v>#N/A</v>
      </c>
      <c r="Y2075" s="30" t="e">
        <f t="shared" si="12"/>
        <v>#N/A</v>
      </c>
      <c r="Z2075" s="35" t="e">
        <f t="shared" si="13"/>
        <v>#VALUE!</v>
      </c>
      <c r="AA2075" s="29" t="e">
        <f t="shared" si="14"/>
        <v>#VALUE!</v>
      </c>
      <c r="AB2075" s="36" t="e">
        <f t="shared" si="15"/>
        <v>#VALUE!</v>
      </c>
      <c r="AC2075" s="37" t="b">
        <v>0</v>
      </c>
      <c r="AD2075" s="61" t="str">
        <f t="shared" si="16"/>
        <v>USD</v>
      </c>
      <c r="AE2075" s="37"/>
      <c r="AF2075" s="37" t="e">
        <f t="array" ref="AF2075">INDEX('Deal Info'!D:D, MATCH(A2075,'Deal Info'!A:A, 0))</f>
        <v>#N/A</v>
      </c>
      <c r="AG2075" s="38" t="e">
        <f t="array" ref="AG2075">INDEX('Deal Info'!G:G, MATCH(A2075,'Deal Info'!A:A, 0))</f>
        <v>#N/A</v>
      </c>
    </row>
    <row r="2076" spans="1:33" ht="14.25" hidden="1" x14ac:dyDescent="0.2">
      <c r="A2076" s="18" t="b">
        <f t="array" ref="A2076">IF(G2076='Room Info'!$B$1, INDEX('Room Info'!$A$2:$A2446, MATCH(B2076,'Room Info'!$B$2:$B2446, 0)),IF(G2076='Room Info'!$C$1, INDEX('Room Info'!$A$2:$A2446, MATCH(B2076,'Room Info'!$C$2:$C2446, 0)),IF(G2076='Room Info'!$D$1, INDEX('Room Info'!$A$2:$A2446, MATCH(B2076,'Room Info'!$D$2:$D2446, 0)),IF(G2076='Room Info'!$E$1, INDEX('Room Info'!$A$2:$A2446, MATCH(B2076,'Room Info'!$E$2:$E2446, 0)),IF(G2076='Room Info'!$F$1, INDEX('Room Info'!$A$2:$A2446, MATCH(B2076,'Room Info'!$F$2:$F2446, 0)),IF(G2076='Room Info'!$H$1, INDEX('Room Info'!$A$2:$A2446, MATCH(B2076,'Room Info'!$H$2:$H2446, 0)),IF(G2076='Room Info'!$G$1, INDEX('Room Info'!$A$2:$A2446, MATCH(B2076,'Room Info'!$G$2:$G2446, 0)))))))))</f>
        <v>0</v>
      </c>
      <c r="B2076" s="96"/>
      <c r="C2076" s="111"/>
      <c r="D2076" s="111"/>
      <c r="E2076" s="80"/>
      <c r="F2076" s="133"/>
      <c r="G2076" s="96"/>
      <c r="H2076" s="110"/>
      <c r="I2076" s="110"/>
      <c r="J2076" s="39" t="s">
        <v>334</v>
      </c>
      <c r="K2076" s="112"/>
      <c r="L2076" s="113"/>
      <c r="M2076" s="62"/>
      <c r="N2076" s="28" t="e">
        <f t="shared" si="8"/>
        <v>#VALUE!</v>
      </c>
      <c r="O2076" s="65"/>
      <c r="P2076" s="29" t="s">
        <v>334</v>
      </c>
      <c r="Q2076" s="55"/>
      <c r="R2076" s="31" t="e">
        <f t="shared" si="9"/>
        <v>#VALUE!</v>
      </c>
      <c r="S2076" s="66"/>
      <c r="T2076" s="32" t="e">
        <f t="shared" si="10"/>
        <v>#VALUE!</v>
      </c>
      <c r="U2076" s="57"/>
      <c r="V2076" s="58"/>
      <c r="W2076" s="58"/>
      <c r="X2076" s="30" t="e">
        <f t="shared" si="11"/>
        <v>#N/A</v>
      </c>
      <c r="Y2076" s="30" t="e">
        <f t="shared" si="12"/>
        <v>#N/A</v>
      </c>
      <c r="Z2076" s="35" t="e">
        <f t="shared" si="13"/>
        <v>#VALUE!</v>
      </c>
      <c r="AA2076" s="29" t="e">
        <f t="shared" si="14"/>
        <v>#VALUE!</v>
      </c>
      <c r="AB2076" s="36" t="e">
        <f t="shared" si="15"/>
        <v>#VALUE!</v>
      </c>
      <c r="AC2076" s="37" t="b">
        <v>0</v>
      </c>
      <c r="AD2076" s="61" t="str">
        <f t="shared" si="16"/>
        <v>USD</v>
      </c>
      <c r="AE2076" s="37"/>
      <c r="AF2076" s="37" t="e">
        <f t="array" ref="AF2076">INDEX('Deal Info'!D:D, MATCH(A2076,'Deal Info'!A:A, 0))</f>
        <v>#N/A</v>
      </c>
      <c r="AG2076" s="38" t="e">
        <f t="array" ref="AG2076">INDEX('Deal Info'!G:G, MATCH(A2076,'Deal Info'!A:A, 0))</f>
        <v>#N/A</v>
      </c>
    </row>
    <row r="2077" spans="1:33" ht="14.25" hidden="1" x14ac:dyDescent="0.2">
      <c r="A2077" s="18" t="b">
        <f t="array" ref="A2077">IF(G2077='Room Info'!$B$1, INDEX('Room Info'!$A$2:$A2446, MATCH(B2077,'Room Info'!$B$2:$B2446, 0)),IF(G2077='Room Info'!$C$1, INDEX('Room Info'!$A$2:$A2446, MATCH(B2077,'Room Info'!$C$2:$C2446, 0)),IF(G2077='Room Info'!$D$1, INDEX('Room Info'!$A$2:$A2446, MATCH(B2077,'Room Info'!$D$2:$D2446, 0)),IF(G2077='Room Info'!$E$1, INDEX('Room Info'!$A$2:$A2446, MATCH(B2077,'Room Info'!$E$2:$E2446, 0)),IF(G2077='Room Info'!$F$1, INDEX('Room Info'!$A$2:$A2446, MATCH(B2077,'Room Info'!$F$2:$F2446, 0)),IF(G2077='Room Info'!$H$1, INDEX('Room Info'!$A$2:$A2446, MATCH(B2077,'Room Info'!$H$2:$H2446, 0)),IF(G2077='Room Info'!$G$1, INDEX('Room Info'!$A$2:$A2446, MATCH(B2077,'Room Info'!$G$2:$G2446, 0)))))))))</f>
        <v>0</v>
      </c>
      <c r="B2077" s="96"/>
      <c r="C2077" s="111"/>
      <c r="D2077" s="111"/>
      <c r="E2077" s="80"/>
      <c r="F2077" s="133"/>
      <c r="G2077" s="96"/>
      <c r="H2077" s="110"/>
      <c r="I2077" s="110"/>
      <c r="J2077" s="39" t="s">
        <v>334</v>
      </c>
      <c r="K2077" s="112"/>
      <c r="L2077" s="113"/>
      <c r="M2077" s="62"/>
      <c r="N2077" s="28" t="e">
        <f t="shared" si="8"/>
        <v>#VALUE!</v>
      </c>
      <c r="O2077" s="65"/>
      <c r="P2077" s="29" t="s">
        <v>334</v>
      </c>
      <c r="Q2077" s="55"/>
      <c r="R2077" s="31" t="e">
        <f t="shared" si="9"/>
        <v>#VALUE!</v>
      </c>
      <c r="S2077" s="66"/>
      <c r="T2077" s="32" t="e">
        <f t="shared" si="10"/>
        <v>#VALUE!</v>
      </c>
      <c r="U2077" s="57"/>
      <c r="V2077" s="58"/>
      <c r="W2077" s="58"/>
      <c r="X2077" s="30" t="e">
        <f t="shared" si="11"/>
        <v>#N/A</v>
      </c>
      <c r="Y2077" s="30" t="e">
        <f t="shared" si="12"/>
        <v>#N/A</v>
      </c>
      <c r="Z2077" s="35" t="e">
        <f t="shared" si="13"/>
        <v>#VALUE!</v>
      </c>
      <c r="AA2077" s="29" t="e">
        <f t="shared" si="14"/>
        <v>#VALUE!</v>
      </c>
      <c r="AB2077" s="36" t="e">
        <f t="shared" si="15"/>
        <v>#VALUE!</v>
      </c>
      <c r="AC2077" s="37" t="b">
        <v>0</v>
      </c>
      <c r="AD2077" s="61" t="str">
        <f t="shared" si="16"/>
        <v>USD</v>
      </c>
      <c r="AE2077" s="37"/>
      <c r="AF2077" s="37" t="e">
        <f t="array" ref="AF2077">INDEX('Deal Info'!D:D, MATCH(A2077,'Deal Info'!A:A, 0))</f>
        <v>#N/A</v>
      </c>
      <c r="AG2077" s="38" t="e">
        <f t="array" ref="AG2077">INDEX('Deal Info'!G:G, MATCH(A2077,'Deal Info'!A:A, 0))</f>
        <v>#N/A</v>
      </c>
    </row>
    <row r="2078" spans="1:33" ht="14.25" hidden="1" x14ac:dyDescent="0.2">
      <c r="A2078" s="18" t="b">
        <f t="array" ref="A2078">IF(G2078='Room Info'!$B$1, INDEX('Room Info'!$A$2:$A2446, MATCH(B2078,'Room Info'!$B$2:$B2446, 0)),IF(G2078='Room Info'!$C$1, INDEX('Room Info'!$A$2:$A2446, MATCH(B2078,'Room Info'!$C$2:$C2446, 0)),IF(G2078='Room Info'!$D$1, INDEX('Room Info'!$A$2:$A2446, MATCH(B2078,'Room Info'!$D$2:$D2446, 0)),IF(G2078='Room Info'!$E$1, INDEX('Room Info'!$A$2:$A2446, MATCH(B2078,'Room Info'!$E$2:$E2446, 0)),IF(G2078='Room Info'!$F$1, INDEX('Room Info'!$A$2:$A2446, MATCH(B2078,'Room Info'!$F$2:$F2446, 0)),IF(G2078='Room Info'!$H$1, INDEX('Room Info'!$A$2:$A2446, MATCH(B2078,'Room Info'!$H$2:$H2446, 0)),IF(G2078='Room Info'!$G$1, INDEX('Room Info'!$A$2:$A2446, MATCH(B2078,'Room Info'!$G$2:$G2446, 0)))))))))</f>
        <v>0</v>
      </c>
      <c r="B2078" s="96"/>
      <c r="C2078" s="111"/>
      <c r="D2078" s="111"/>
      <c r="E2078" s="80"/>
      <c r="F2078" s="133"/>
      <c r="G2078" s="96"/>
      <c r="H2078" s="110"/>
      <c r="I2078" s="110"/>
      <c r="J2078" s="39" t="s">
        <v>334</v>
      </c>
      <c r="K2078" s="112"/>
      <c r="L2078" s="113"/>
      <c r="M2078" s="62"/>
      <c r="N2078" s="28" t="e">
        <f t="shared" si="8"/>
        <v>#VALUE!</v>
      </c>
      <c r="O2078" s="65"/>
      <c r="P2078" s="29" t="s">
        <v>334</v>
      </c>
      <c r="Q2078" s="55"/>
      <c r="R2078" s="31" t="e">
        <f t="shared" si="9"/>
        <v>#VALUE!</v>
      </c>
      <c r="S2078" s="66"/>
      <c r="T2078" s="32" t="e">
        <f t="shared" si="10"/>
        <v>#VALUE!</v>
      </c>
      <c r="U2078" s="57"/>
      <c r="V2078" s="58"/>
      <c r="W2078" s="58"/>
      <c r="X2078" s="30" t="e">
        <f t="shared" si="11"/>
        <v>#N/A</v>
      </c>
      <c r="Y2078" s="30" t="e">
        <f t="shared" si="12"/>
        <v>#N/A</v>
      </c>
      <c r="Z2078" s="35" t="e">
        <f t="shared" si="13"/>
        <v>#VALUE!</v>
      </c>
      <c r="AA2078" s="29" t="e">
        <f t="shared" si="14"/>
        <v>#VALUE!</v>
      </c>
      <c r="AB2078" s="36" t="e">
        <f t="shared" si="15"/>
        <v>#VALUE!</v>
      </c>
      <c r="AC2078" s="37" t="b">
        <v>0</v>
      </c>
      <c r="AD2078" s="61" t="str">
        <f t="shared" si="16"/>
        <v>USD</v>
      </c>
      <c r="AE2078" s="37"/>
      <c r="AF2078" s="37" t="e">
        <f t="array" ref="AF2078">INDEX('Deal Info'!D:D, MATCH(A2078,'Deal Info'!A:A, 0))</f>
        <v>#N/A</v>
      </c>
      <c r="AG2078" s="38" t="e">
        <f t="array" ref="AG2078">INDEX('Deal Info'!G:G, MATCH(A2078,'Deal Info'!A:A, 0))</f>
        <v>#N/A</v>
      </c>
    </row>
    <row r="2079" spans="1:33" ht="14.25" hidden="1" x14ac:dyDescent="0.2">
      <c r="A2079" s="18" t="b">
        <f t="array" ref="A2079">IF(G2079='Room Info'!$B$1, INDEX('Room Info'!$A$2:$A2446, MATCH(B2079,'Room Info'!$B$2:$B2446, 0)),IF(G2079='Room Info'!$C$1, INDEX('Room Info'!$A$2:$A2446, MATCH(B2079,'Room Info'!$C$2:$C2446, 0)),IF(G2079='Room Info'!$D$1, INDEX('Room Info'!$A$2:$A2446, MATCH(B2079,'Room Info'!$D$2:$D2446, 0)),IF(G2079='Room Info'!$E$1, INDEX('Room Info'!$A$2:$A2446, MATCH(B2079,'Room Info'!$E$2:$E2446, 0)),IF(G2079='Room Info'!$F$1, INDEX('Room Info'!$A$2:$A2446, MATCH(B2079,'Room Info'!$F$2:$F2446, 0)),IF(G2079='Room Info'!$H$1, INDEX('Room Info'!$A$2:$A2446, MATCH(B2079,'Room Info'!$H$2:$H2446, 0)),IF(G2079='Room Info'!$G$1, INDEX('Room Info'!$A$2:$A2446, MATCH(B2079,'Room Info'!$G$2:$G2446, 0)))))))))</f>
        <v>0</v>
      </c>
      <c r="B2079" s="96"/>
      <c r="C2079" s="111"/>
      <c r="D2079" s="111"/>
      <c r="E2079" s="80"/>
      <c r="F2079" s="133"/>
      <c r="G2079" s="96"/>
      <c r="H2079" s="110"/>
      <c r="I2079" s="110"/>
      <c r="J2079" s="39" t="s">
        <v>334</v>
      </c>
      <c r="K2079" s="112"/>
      <c r="L2079" s="113"/>
      <c r="M2079" s="62"/>
      <c r="N2079" s="28" t="e">
        <f t="shared" si="8"/>
        <v>#VALUE!</v>
      </c>
      <c r="O2079" s="65"/>
      <c r="P2079" s="29" t="s">
        <v>334</v>
      </c>
      <c r="Q2079" s="55"/>
      <c r="R2079" s="31" t="e">
        <f t="shared" si="9"/>
        <v>#VALUE!</v>
      </c>
      <c r="S2079" s="66"/>
      <c r="T2079" s="32" t="e">
        <f t="shared" si="10"/>
        <v>#VALUE!</v>
      </c>
      <c r="U2079" s="57"/>
      <c r="V2079" s="58"/>
      <c r="W2079" s="58"/>
      <c r="X2079" s="30" t="e">
        <f t="shared" si="11"/>
        <v>#N/A</v>
      </c>
      <c r="Y2079" s="30" t="e">
        <f t="shared" si="12"/>
        <v>#N/A</v>
      </c>
      <c r="Z2079" s="35" t="e">
        <f t="shared" si="13"/>
        <v>#VALUE!</v>
      </c>
      <c r="AA2079" s="29" t="e">
        <f t="shared" si="14"/>
        <v>#VALUE!</v>
      </c>
      <c r="AB2079" s="36" t="e">
        <f t="shared" si="15"/>
        <v>#VALUE!</v>
      </c>
      <c r="AC2079" s="37" t="b">
        <v>0</v>
      </c>
      <c r="AD2079" s="61" t="str">
        <f t="shared" si="16"/>
        <v>USD</v>
      </c>
      <c r="AE2079" s="37"/>
      <c r="AF2079" s="37" t="e">
        <f t="array" ref="AF2079">INDEX('Deal Info'!D:D, MATCH(A2079,'Deal Info'!A:A, 0))</f>
        <v>#N/A</v>
      </c>
      <c r="AG2079" s="38" t="e">
        <f t="array" ref="AG2079">INDEX('Deal Info'!G:G, MATCH(A2079,'Deal Info'!A:A, 0))</f>
        <v>#N/A</v>
      </c>
    </row>
    <row r="2080" spans="1:33" ht="14.25" hidden="1" x14ac:dyDescent="0.2">
      <c r="A2080" s="18" t="b">
        <f t="array" ref="A2080">IF(G2080='Room Info'!$B$1, INDEX('Room Info'!$A$2:$A2446, MATCH(B2080,'Room Info'!$B$2:$B2446, 0)),IF(G2080='Room Info'!$C$1, INDEX('Room Info'!$A$2:$A2446, MATCH(B2080,'Room Info'!$C$2:$C2446, 0)),IF(G2080='Room Info'!$D$1, INDEX('Room Info'!$A$2:$A2446, MATCH(B2080,'Room Info'!$D$2:$D2446, 0)),IF(G2080='Room Info'!$E$1, INDEX('Room Info'!$A$2:$A2446, MATCH(B2080,'Room Info'!$E$2:$E2446, 0)),IF(G2080='Room Info'!$F$1, INDEX('Room Info'!$A$2:$A2446, MATCH(B2080,'Room Info'!$F$2:$F2446, 0)),IF(G2080='Room Info'!$H$1, INDEX('Room Info'!$A$2:$A2446, MATCH(B2080,'Room Info'!$H$2:$H2446, 0)),IF(G2080='Room Info'!$G$1, INDEX('Room Info'!$A$2:$A2446, MATCH(B2080,'Room Info'!$G$2:$G2446, 0)))))))))</f>
        <v>0</v>
      </c>
      <c r="B2080" s="96"/>
      <c r="C2080" s="111"/>
      <c r="D2080" s="111"/>
      <c r="E2080" s="80"/>
      <c r="F2080" s="133"/>
      <c r="G2080" s="96"/>
      <c r="H2080" s="110"/>
      <c r="I2080" s="110"/>
      <c r="J2080" s="39" t="s">
        <v>334</v>
      </c>
      <c r="K2080" s="112"/>
      <c r="L2080" s="113"/>
      <c r="M2080" s="62"/>
      <c r="N2080" s="28" t="e">
        <f t="shared" si="8"/>
        <v>#VALUE!</v>
      </c>
      <c r="O2080" s="65"/>
      <c r="P2080" s="29" t="s">
        <v>334</v>
      </c>
      <c r="Q2080" s="55"/>
      <c r="R2080" s="31" t="e">
        <f t="shared" si="9"/>
        <v>#VALUE!</v>
      </c>
      <c r="S2080" s="66"/>
      <c r="T2080" s="32" t="e">
        <f t="shared" si="10"/>
        <v>#VALUE!</v>
      </c>
      <c r="U2080" s="57"/>
      <c r="V2080" s="58"/>
      <c r="W2080" s="58"/>
      <c r="X2080" s="30" t="e">
        <f t="shared" si="11"/>
        <v>#N/A</v>
      </c>
      <c r="Y2080" s="30" t="e">
        <f t="shared" si="12"/>
        <v>#N/A</v>
      </c>
      <c r="Z2080" s="35" t="e">
        <f t="shared" si="13"/>
        <v>#VALUE!</v>
      </c>
      <c r="AA2080" s="29" t="e">
        <f t="shared" si="14"/>
        <v>#VALUE!</v>
      </c>
      <c r="AB2080" s="36" t="e">
        <f t="shared" si="15"/>
        <v>#VALUE!</v>
      </c>
      <c r="AC2080" s="37" t="b">
        <v>0</v>
      </c>
      <c r="AD2080" s="61" t="str">
        <f t="shared" si="16"/>
        <v>USD</v>
      </c>
      <c r="AE2080" s="37"/>
      <c r="AF2080" s="37" t="e">
        <f t="array" ref="AF2080">INDEX('Deal Info'!D:D, MATCH(A2080,'Deal Info'!A:A, 0))</f>
        <v>#N/A</v>
      </c>
      <c r="AG2080" s="38" t="e">
        <f t="array" ref="AG2080">INDEX('Deal Info'!G:G, MATCH(A2080,'Deal Info'!A:A, 0))</f>
        <v>#N/A</v>
      </c>
    </row>
    <row r="2081" spans="1:33" ht="14.25" hidden="1" x14ac:dyDescent="0.2">
      <c r="A2081" s="18" t="b">
        <f t="array" ref="A2081">IF(G2081='Room Info'!$B$1, INDEX('Room Info'!$A$2:$A2446, MATCH(B2081,'Room Info'!$B$2:$B2446, 0)),IF(G2081='Room Info'!$C$1, INDEX('Room Info'!$A$2:$A2446, MATCH(B2081,'Room Info'!$C$2:$C2446, 0)),IF(G2081='Room Info'!$D$1, INDEX('Room Info'!$A$2:$A2446, MATCH(B2081,'Room Info'!$D$2:$D2446, 0)),IF(G2081='Room Info'!$E$1, INDEX('Room Info'!$A$2:$A2446, MATCH(B2081,'Room Info'!$E$2:$E2446, 0)),IF(G2081='Room Info'!$F$1, INDEX('Room Info'!$A$2:$A2446, MATCH(B2081,'Room Info'!$F$2:$F2446, 0)),IF(G2081='Room Info'!$H$1, INDEX('Room Info'!$A$2:$A2446, MATCH(B2081,'Room Info'!$H$2:$H2446, 0)),IF(G2081='Room Info'!$G$1, INDEX('Room Info'!$A$2:$A2446, MATCH(B2081,'Room Info'!$G$2:$G2446, 0)))))))))</f>
        <v>0</v>
      </c>
      <c r="B2081" s="96"/>
      <c r="C2081" s="136"/>
      <c r="D2081" s="136"/>
      <c r="E2081" s="137"/>
      <c r="F2081" s="133"/>
      <c r="G2081" s="96"/>
      <c r="H2081" s="100"/>
      <c r="I2081" s="100"/>
      <c r="J2081" s="39" t="s">
        <v>334</v>
      </c>
      <c r="K2081" s="134"/>
      <c r="L2081" s="135"/>
      <c r="M2081" s="79"/>
      <c r="N2081" s="28" t="e">
        <f t="shared" si="8"/>
        <v>#VALUE!</v>
      </c>
      <c r="O2081" s="96"/>
      <c r="P2081" s="29" t="s">
        <v>334</v>
      </c>
      <c r="Q2081" s="55"/>
      <c r="R2081" s="31" t="e">
        <f t="shared" si="9"/>
        <v>#VALUE!</v>
      </c>
      <c r="S2081" s="97"/>
      <c r="T2081" s="32" t="e">
        <f t="shared" si="10"/>
        <v>#VALUE!</v>
      </c>
      <c r="U2081" s="57"/>
      <c r="V2081" s="58"/>
      <c r="W2081" s="58"/>
      <c r="X2081" s="30" t="e">
        <f t="shared" si="11"/>
        <v>#N/A</v>
      </c>
      <c r="Y2081" s="30" t="e">
        <f t="shared" si="12"/>
        <v>#N/A</v>
      </c>
      <c r="Z2081" s="35" t="e">
        <f t="shared" si="13"/>
        <v>#VALUE!</v>
      </c>
      <c r="AA2081" s="29" t="e">
        <f t="shared" si="14"/>
        <v>#VALUE!</v>
      </c>
      <c r="AB2081" s="36" t="e">
        <f t="shared" si="15"/>
        <v>#VALUE!</v>
      </c>
      <c r="AC2081" s="37" t="b">
        <v>0</v>
      </c>
      <c r="AD2081" s="61" t="str">
        <f t="shared" si="16"/>
        <v>USD</v>
      </c>
      <c r="AE2081" s="37"/>
      <c r="AF2081" s="37" t="e">
        <f t="array" ref="AF2081">INDEX('Deal Info'!D:D, MATCH(A2081,'Deal Info'!A:A, 0))</f>
        <v>#N/A</v>
      </c>
      <c r="AG2081" s="38" t="e">
        <f t="array" ref="AG2081">INDEX('Deal Info'!G:G, MATCH(A2081,'Deal Info'!A:A, 0))</f>
        <v>#N/A</v>
      </c>
    </row>
    <row r="2082" spans="1:33" ht="14.25" hidden="1" x14ac:dyDescent="0.2">
      <c r="A2082" s="18" t="b">
        <f t="array" ref="A2082">IF(G2082='Room Info'!$B$1, INDEX('Room Info'!$A$2:$A2446, MATCH(B2082,'Room Info'!$B$2:$B2446, 0)),IF(G2082='Room Info'!$C$1, INDEX('Room Info'!$A$2:$A2446, MATCH(B2082,'Room Info'!$C$2:$C2446, 0)),IF(G2082='Room Info'!$D$1, INDEX('Room Info'!$A$2:$A2446, MATCH(B2082,'Room Info'!$D$2:$D2446, 0)),IF(G2082='Room Info'!$E$1, INDEX('Room Info'!$A$2:$A2446, MATCH(B2082,'Room Info'!$E$2:$E2446, 0)),IF(G2082='Room Info'!$F$1, INDEX('Room Info'!$A$2:$A2446, MATCH(B2082,'Room Info'!$F$2:$F2446, 0)),IF(G2082='Room Info'!$H$1, INDEX('Room Info'!$A$2:$A2446, MATCH(B2082,'Room Info'!$H$2:$H2446, 0)),IF(G2082='Room Info'!$G$1, INDEX('Room Info'!$A$2:$A2446, MATCH(B2082,'Room Info'!$G$2:$G2446, 0)))))))))</f>
        <v>0</v>
      </c>
      <c r="B2082" s="96"/>
      <c r="C2082" s="136"/>
      <c r="D2082" s="136"/>
      <c r="E2082" s="137"/>
      <c r="F2082" s="133"/>
      <c r="G2082" s="96"/>
      <c r="H2082" s="100"/>
      <c r="I2082" s="100"/>
      <c r="J2082" s="39" t="s">
        <v>334</v>
      </c>
      <c r="K2082" s="134"/>
      <c r="L2082" s="135"/>
      <c r="M2082" s="79"/>
      <c r="N2082" s="28" t="e">
        <f t="shared" si="8"/>
        <v>#VALUE!</v>
      </c>
      <c r="O2082" s="96"/>
      <c r="P2082" s="29" t="s">
        <v>334</v>
      </c>
      <c r="Q2082" s="55"/>
      <c r="R2082" s="31" t="e">
        <f t="shared" si="9"/>
        <v>#VALUE!</v>
      </c>
      <c r="S2082" s="97"/>
      <c r="T2082" s="32" t="e">
        <f t="shared" si="10"/>
        <v>#VALUE!</v>
      </c>
      <c r="U2082" s="57"/>
      <c r="V2082" s="58"/>
      <c r="W2082" s="58"/>
      <c r="X2082" s="30" t="e">
        <f t="shared" si="11"/>
        <v>#N/A</v>
      </c>
      <c r="Y2082" s="30" t="e">
        <f t="shared" si="12"/>
        <v>#N/A</v>
      </c>
      <c r="Z2082" s="35" t="e">
        <f t="shared" si="13"/>
        <v>#VALUE!</v>
      </c>
      <c r="AA2082" s="29" t="e">
        <f t="shared" si="14"/>
        <v>#VALUE!</v>
      </c>
      <c r="AB2082" s="36" t="e">
        <f t="shared" si="15"/>
        <v>#VALUE!</v>
      </c>
      <c r="AC2082" s="37" t="b">
        <v>0</v>
      </c>
      <c r="AD2082" s="61" t="str">
        <f t="shared" si="16"/>
        <v>USD</v>
      </c>
      <c r="AE2082" s="37"/>
      <c r="AF2082" s="37" t="e">
        <f t="array" ref="AF2082">INDEX('Deal Info'!D:D, MATCH(A2082,'Deal Info'!A:A, 0))</f>
        <v>#N/A</v>
      </c>
      <c r="AG2082" s="38" t="e">
        <f t="array" ref="AG2082">INDEX('Deal Info'!G:G, MATCH(A2082,'Deal Info'!A:A, 0))</f>
        <v>#N/A</v>
      </c>
    </row>
    <row r="2083" spans="1:33" ht="14.25" hidden="1" x14ac:dyDescent="0.2">
      <c r="A2083" s="18" t="b">
        <f t="array" ref="A2083">IF(G2083='Room Info'!$B$1, INDEX('Room Info'!$A$2:$A2446, MATCH(B2083,'Room Info'!$B$2:$B2446, 0)),IF(G2083='Room Info'!$C$1, INDEX('Room Info'!$A$2:$A2446, MATCH(B2083,'Room Info'!$C$2:$C2446, 0)),IF(G2083='Room Info'!$D$1, INDEX('Room Info'!$A$2:$A2446, MATCH(B2083,'Room Info'!$D$2:$D2446, 0)),IF(G2083='Room Info'!$E$1, INDEX('Room Info'!$A$2:$A2446, MATCH(B2083,'Room Info'!$E$2:$E2446, 0)),IF(G2083='Room Info'!$F$1, INDEX('Room Info'!$A$2:$A2446, MATCH(B2083,'Room Info'!$F$2:$F2446, 0)),IF(G2083='Room Info'!$H$1, INDEX('Room Info'!$A$2:$A2446, MATCH(B2083,'Room Info'!$H$2:$H2446, 0)),IF(G2083='Room Info'!$G$1, INDEX('Room Info'!$A$2:$A2446, MATCH(B2083,'Room Info'!$G$2:$G2446, 0)))))))))</f>
        <v>0</v>
      </c>
      <c r="B2083" s="96"/>
      <c r="C2083" s="136"/>
      <c r="D2083" s="136"/>
      <c r="E2083" s="137"/>
      <c r="F2083" s="133"/>
      <c r="G2083" s="96"/>
      <c r="H2083" s="100"/>
      <c r="I2083" s="100"/>
      <c r="J2083" s="39" t="s">
        <v>334</v>
      </c>
      <c r="K2083" s="134"/>
      <c r="L2083" s="135"/>
      <c r="M2083" s="79"/>
      <c r="N2083" s="28" t="e">
        <f t="shared" si="8"/>
        <v>#VALUE!</v>
      </c>
      <c r="O2083" s="96"/>
      <c r="P2083" s="29" t="s">
        <v>334</v>
      </c>
      <c r="Q2083" s="55"/>
      <c r="R2083" s="31" t="e">
        <f t="shared" si="9"/>
        <v>#VALUE!</v>
      </c>
      <c r="S2083" s="97"/>
      <c r="T2083" s="32" t="e">
        <f t="shared" si="10"/>
        <v>#VALUE!</v>
      </c>
      <c r="U2083" s="57"/>
      <c r="V2083" s="58"/>
      <c r="W2083" s="58"/>
      <c r="X2083" s="30" t="e">
        <f t="shared" si="11"/>
        <v>#N/A</v>
      </c>
      <c r="Y2083" s="30" t="e">
        <f t="shared" si="12"/>
        <v>#N/A</v>
      </c>
      <c r="Z2083" s="35" t="e">
        <f t="shared" si="13"/>
        <v>#VALUE!</v>
      </c>
      <c r="AA2083" s="29" t="e">
        <f t="shared" si="14"/>
        <v>#VALUE!</v>
      </c>
      <c r="AB2083" s="36" t="e">
        <f t="shared" si="15"/>
        <v>#VALUE!</v>
      </c>
      <c r="AC2083" s="37" t="b">
        <v>0</v>
      </c>
      <c r="AD2083" s="61" t="str">
        <f t="shared" si="16"/>
        <v>USD</v>
      </c>
      <c r="AE2083" s="37"/>
      <c r="AF2083" s="37" t="e">
        <f t="array" ref="AF2083">INDEX('Deal Info'!D:D, MATCH(A2083,'Deal Info'!A:A, 0))</f>
        <v>#N/A</v>
      </c>
      <c r="AG2083" s="38" t="e">
        <f t="array" ref="AG2083">INDEX('Deal Info'!G:G, MATCH(A2083,'Deal Info'!A:A, 0))</f>
        <v>#N/A</v>
      </c>
    </row>
    <row r="2084" spans="1:33" ht="14.25" hidden="1" x14ac:dyDescent="0.2">
      <c r="A2084" s="18" t="b">
        <f t="array" ref="A2084">IF(G2084='Room Info'!$B$1, INDEX('Room Info'!$A$2:$A2446, MATCH(B2084,'Room Info'!$B$2:$B2446, 0)),IF(G2084='Room Info'!$C$1, INDEX('Room Info'!$A$2:$A2446, MATCH(B2084,'Room Info'!$C$2:$C2446, 0)),IF(G2084='Room Info'!$D$1, INDEX('Room Info'!$A$2:$A2446, MATCH(B2084,'Room Info'!$D$2:$D2446, 0)),IF(G2084='Room Info'!$E$1, INDEX('Room Info'!$A$2:$A2446, MATCH(B2084,'Room Info'!$E$2:$E2446, 0)),IF(G2084='Room Info'!$F$1, INDEX('Room Info'!$A$2:$A2446, MATCH(B2084,'Room Info'!$F$2:$F2446, 0)),IF(G2084='Room Info'!$H$1, INDEX('Room Info'!$A$2:$A2446, MATCH(B2084,'Room Info'!$H$2:$H2446, 0)),IF(G2084='Room Info'!$G$1, INDEX('Room Info'!$A$2:$A2446, MATCH(B2084,'Room Info'!$G$2:$G2446, 0)))))))))</f>
        <v>0</v>
      </c>
      <c r="B2084" s="96"/>
      <c r="C2084" s="136"/>
      <c r="D2084" s="136"/>
      <c r="E2084" s="137"/>
      <c r="F2084" s="133"/>
      <c r="G2084" s="96"/>
      <c r="H2084" s="100"/>
      <c r="I2084" s="100"/>
      <c r="J2084" s="39" t="s">
        <v>334</v>
      </c>
      <c r="K2084" s="134"/>
      <c r="L2084" s="135"/>
      <c r="M2084" s="79"/>
      <c r="N2084" s="28" t="e">
        <f t="shared" si="8"/>
        <v>#VALUE!</v>
      </c>
      <c r="O2084" s="96"/>
      <c r="P2084" s="29" t="s">
        <v>334</v>
      </c>
      <c r="Q2084" s="55"/>
      <c r="R2084" s="31" t="e">
        <f t="shared" si="9"/>
        <v>#VALUE!</v>
      </c>
      <c r="S2084" s="97"/>
      <c r="T2084" s="32" t="e">
        <f t="shared" si="10"/>
        <v>#VALUE!</v>
      </c>
      <c r="U2084" s="57"/>
      <c r="V2084" s="58"/>
      <c r="W2084" s="58"/>
      <c r="X2084" s="30" t="e">
        <f t="shared" si="11"/>
        <v>#N/A</v>
      </c>
      <c r="Y2084" s="30" t="e">
        <f t="shared" si="12"/>
        <v>#N/A</v>
      </c>
      <c r="Z2084" s="35" t="e">
        <f t="shared" si="13"/>
        <v>#VALUE!</v>
      </c>
      <c r="AA2084" s="29" t="e">
        <f t="shared" si="14"/>
        <v>#VALUE!</v>
      </c>
      <c r="AB2084" s="36" t="e">
        <f t="shared" si="15"/>
        <v>#VALUE!</v>
      </c>
      <c r="AC2084" s="37" t="b">
        <v>0</v>
      </c>
      <c r="AD2084" s="61" t="str">
        <f t="shared" si="16"/>
        <v>USD</v>
      </c>
      <c r="AE2084" s="37"/>
      <c r="AF2084" s="37" t="e">
        <f t="array" ref="AF2084">INDEX('Deal Info'!D:D, MATCH(A2084,'Deal Info'!A:A, 0))</f>
        <v>#N/A</v>
      </c>
      <c r="AG2084" s="38" t="e">
        <f t="array" ref="AG2084">INDEX('Deal Info'!G:G, MATCH(A2084,'Deal Info'!A:A, 0))</f>
        <v>#N/A</v>
      </c>
    </row>
    <row r="2085" spans="1:33" ht="14.25" hidden="1" x14ac:dyDescent="0.2">
      <c r="A2085" s="18" t="b">
        <f t="array" ref="A2085">IF(G2085='Room Info'!$B$1, INDEX('Room Info'!$A$2:$A2446, MATCH(B2085,'Room Info'!$B$2:$B2446, 0)),IF(G2085='Room Info'!$C$1, INDEX('Room Info'!$A$2:$A2446, MATCH(B2085,'Room Info'!$C$2:$C2446, 0)),IF(G2085='Room Info'!$D$1, INDEX('Room Info'!$A$2:$A2446, MATCH(B2085,'Room Info'!$D$2:$D2446, 0)),IF(G2085='Room Info'!$E$1, INDEX('Room Info'!$A$2:$A2446, MATCH(B2085,'Room Info'!$E$2:$E2446, 0)),IF(G2085='Room Info'!$F$1, INDEX('Room Info'!$A$2:$A2446, MATCH(B2085,'Room Info'!$F$2:$F2446, 0)),IF(G2085='Room Info'!$H$1, INDEX('Room Info'!$A$2:$A2446, MATCH(B2085,'Room Info'!$H$2:$H2446, 0)),IF(G2085='Room Info'!$G$1, INDEX('Room Info'!$A$2:$A2446, MATCH(B2085,'Room Info'!$G$2:$G2446, 0)))))))))</f>
        <v>0</v>
      </c>
      <c r="B2085" s="96"/>
      <c r="C2085" s="136"/>
      <c r="D2085" s="136"/>
      <c r="E2085" s="137"/>
      <c r="F2085" s="133"/>
      <c r="G2085" s="96"/>
      <c r="H2085" s="100"/>
      <c r="I2085" s="100"/>
      <c r="J2085" s="39" t="s">
        <v>334</v>
      </c>
      <c r="K2085" s="134"/>
      <c r="L2085" s="135"/>
      <c r="M2085" s="79"/>
      <c r="N2085" s="28" t="e">
        <f t="shared" si="8"/>
        <v>#VALUE!</v>
      </c>
      <c r="O2085" s="96"/>
      <c r="P2085" s="29" t="s">
        <v>334</v>
      </c>
      <c r="Q2085" s="55"/>
      <c r="R2085" s="31" t="e">
        <f t="shared" si="9"/>
        <v>#VALUE!</v>
      </c>
      <c r="S2085" s="97"/>
      <c r="T2085" s="32" t="e">
        <f t="shared" si="10"/>
        <v>#VALUE!</v>
      </c>
      <c r="U2085" s="57"/>
      <c r="V2085" s="58"/>
      <c r="W2085" s="58"/>
      <c r="X2085" s="30" t="e">
        <f t="shared" si="11"/>
        <v>#N/A</v>
      </c>
      <c r="Y2085" s="30" t="e">
        <f t="shared" si="12"/>
        <v>#N/A</v>
      </c>
      <c r="Z2085" s="35" t="e">
        <f t="shared" si="13"/>
        <v>#VALUE!</v>
      </c>
      <c r="AA2085" s="29" t="e">
        <f t="shared" si="14"/>
        <v>#VALUE!</v>
      </c>
      <c r="AB2085" s="36" t="e">
        <f t="shared" si="15"/>
        <v>#VALUE!</v>
      </c>
      <c r="AC2085" s="37" t="b">
        <v>0</v>
      </c>
      <c r="AD2085" s="61" t="str">
        <f t="shared" si="16"/>
        <v>USD</v>
      </c>
      <c r="AE2085" s="37"/>
      <c r="AF2085" s="37" t="e">
        <f t="array" ref="AF2085">INDEX('Deal Info'!D:D, MATCH(A2085,'Deal Info'!A:A, 0))</f>
        <v>#N/A</v>
      </c>
      <c r="AG2085" s="38" t="e">
        <f t="array" ref="AG2085">INDEX('Deal Info'!G:G, MATCH(A2085,'Deal Info'!A:A, 0))</f>
        <v>#N/A</v>
      </c>
    </row>
    <row r="2086" spans="1:33" ht="14.25" hidden="1" x14ac:dyDescent="0.2">
      <c r="A2086" s="18" t="b">
        <f t="array" ref="A2086">IF(G2086='Room Info'!$B$1, INDEX('Room Info'!$A$2:$A2446, MATCH(B2086,'Room Info'!$B$2:$B2446, 0)),IF(G2086='Room Info'!$C$1, INDEX('Room Info'!$A$2:$A2446, MATCH(B2086,'Room Info'!$C$2:$C2446, 0)),IF(G2086='Room Info'!$D$1, INDEX('Room Info'!$A$2:$A2446, MATCH(B2086,'Room Info'!$D$2:$D2446, 0)),IF(G2086='Room Info'!$E$1, INDEX('Room Info'!$A$2:$A2446, MATCH(B2086,'Room Info'!$E$2:$E2446, 0)),IF(G2086='Room Info'!$F$1, INDEX('Room Info'!$A$2:$A2446, MATCH(B2086,'Room Info'!$F$2:$F2446, 0)),IF(G2086='Room Info'!$H$1, INDEX('Room Info'!$A$2:$A2446, MATCH(B2086,'Room Info'!$H$2:$H2446, 0)),IF(G2086='Room Info'!$G$1, INDEX('Room Info'!$A$2:$A2446, MATCH(B2086,'Room Info'!$G$2:$G2446, 0)))))))))</f>
        <v>0</v>
      </c>
      <c r="B2086" s="96"/>
      <c r="C2086" s="111"/>
      <c r="D2086" s="111"/>
      <c r="E2086" s="80"/>
      <c r="F2086" s="133"/>
      <c r="G2086" s="65"/>
      <c r="H2086" s="110"/>
      <c r="I2086" s="110"/>
      <c r="J2086" s="39" t="s">
        <v>334</v>
      </c>
      <c r="K2086" s="112"/>
      <c r="L2086" s="113"/>
      <c r="M2086" s="62"/>
      <c r="N2086" s="28" t="e">
        <f t="shared" si="8"/>
        <v>#VALUE!</v>
      </c>
      <c r="O2086" s="65"/>
      <c r="P2086" s="29" t="s">
        <v>334</v>
      </c>
      <c r="Q2086" s="55"/>
      <c r="R2086" s="31" t="e">
        <f t="shared" si="9"/>
        <v>#VALUE!</v>
      </c>
      <c r="S2086" s="66"/>
      <c r="T2086" s="32" t="e">
        <f t="shared" si="10"/>
        <v>#VALUE!</v>
      </c>
      <c r="U2086" s="57"/>
      <c r="V2086" s="58"/>
      <c r="W2086" s="58"/>
      <c r="X2086" s="30" t="e">
        <f t="shared" si="11"/>
        <v>#N/A</v>
      </c>
      <c r="Y2086" s="30" t="e">
        <f t="shared" si="12"/>
        <v>#N/A</v>
      </c>
      <c r="Z2086" s="35" t="e">
        <f t="shared" si="13"/>
        <v>#VALUE!</v>
      </c>
      <c r="AA2086" s="29" t="e">
        <f t="shared" si="14"/>
        <v>#VALUE!</v>
      </c>
      <c r="AB2086" s="36" t="e">
        <f t="shared" si="15"/>
        <v>#VALUE!</v>
      </c>
      <c r="AC2086" s="37" t="b">
        <v>0</v>
      </c>
      <c r="AD2086" s="61" t="str">
        <f t="shared" si="16"/>
        <v>USD</v>
      </c>
      <c r="AE2086" s="37"/>
      <c r="AF2086" s="37" t="e">
        <f t="array" ref="AF2086">INDEX('Deal Info'!D:D, MATCH(A2086,'Deal Info'!A:A, 0))</f>
        <v>#N/A</v>
      </c>
      <c r="AG2086" s="38" t="e">
        <f t="array" ref="AG2086">INDEX('Deal Info'!G:G, MATCH(A2086,'Deal Info'!A:A, 0))</f>
        <v>#N/A</v>
      </c>
    </row>
    <row r="2087" spans="1:33" ht="14.25" hidden="1" x14ac:dyDescent="0.2">
      <c r="A2087" s="18" t="b">
        <f t="array" ref="A2087">IF(G2087='Room Info'!$B$1, INDEX('Room Info'!$A$2:$A2446, MATCH(B2087,'Room Info'!$B$2:$B2446, 0)),IF(G2087='Room Info'!$C$1, INDEX('Room Info'!$A$2:$A2446, MATCH(B2087,'Room Info'!$C$2:$C2446, 0)),IF(G2087='Room Info'!$D$1, INDEX('Room Info'!$A$2:$A2446, MATCH(B2087,'Room Info'!$D$2:$D2446, 0)),IF(G2087='Room Info'!$E$1, INDEX('Room Info'!$A$2:$A2446, MATCH(B2087,'Room Info'!$E$2:$E2446, 0)),IF(G2087='Room Info'!$F$1, INDEX('Room Info'!$A$2:$A2446, MATCH(B2087,'Room Info'!$F$2:$F2446, 0)),IF(G2087='Room Info'!$H$1, INDEX('Room Info'!$A$2:$A2446, MATCH(B2087,'Room Info'!$H$2:$H2446, 0)),IF(G2087='Room Info'!$G$1, INDEX('Room Info'!$A$2:$A2446, MATCH(B2087,'Room Info'!$G$2:$G2446, 0)))))))))</f>
        <v>0</v>
      </c>
      <c r="B2087" s="96"/>
      <c r="C2087" s="111"/>
      <c r="D2087" s="111"/>
      <c r="E2087" s="80"/>
      <c r="F2087" s="133"/>
      <c r="G2087" s="96"/>
      <c r="H2087" s="110"/>
      <c r="I2087" s="110"/>
      <c r="J2087" s="39" t="s">
        <v>334</v>
      </c>
      <c r="K2087" s="112"/>
      <c r="L2087" s="113"/>
      <c r="M2087" s="62"/>
      <c r="N2087" s="28" t="e">
        <f t="shared" si="8"/>
        <v>#VALUE!</v>
      </c>
      <c r="O2087" s="65"/>
      <c r="P2087" s="29" t="s">
        <v>334</v>
      </c>
      <c r="Q2087" s="55"/>
      <c r="R2087" s="31" t="e">
        <f t="shared" si="9"/>
        <v>#VALUE!</v>
      </c>
      <c r="S2087" s="66"/>
      <c r="T2087" s="32" t="e">
        <f t="shared" si="10"/>
        <v>#VALUE!</v>
      </c>
      <c r="U2087" s="57"/>
      <c r="V2087" s="58"/>
      <c r="W2087" s="58"/>
      <c r="X2087" s="30" t="e">
        <f t="shared" si="11"/>
        <v>#N/A</v>
      </c>
      <c r="Y2087" s="30" t="e">
        <f t="shared" si="12"/>
        <v>#N/A</v>
      </c>
      <c r="Z2087" s="35" t="e">
        <f t="shared" si="13"/>
        <v>#VALUE!</v>
      </c>
      <c r="AA2087" s="29" t="e">
        <f t="shared" si="14"/>
        <v>#VALUE!</v>
      </c>
      <c r="AB2087" s="36" t="e">
        <f t="shared" si="15"/>
        <v>#VALUE!</v>
      </c>
      <c r="AC2087" s="37" t="b">
        <v>0</v>
      </c>
      <c r="AD2087" s="61" t="str">
        <f t="shared" si="16"/>
        <v>USD</v>
      </c>
      <c r="AE2087" s="37"/>
      <c r="AF2087" s="37" t="e">
        <f t="array" ref="AF2087">INDEX('Deal Info'!D:D, MATCH(A2087,'Deal Info'!A:A, 0))</f>
        <v>#N/A</v>
      </c>
      <c r="AG2087" s="38" t="e">
        <f t="array" ref="AG2087">INDEX('Deal Info'!G:G, MATCH(A2087,'Deal Info'!A:A, 0))</f>
        <v>#N/A</v>
      </c>
    </row>
    <row r="2088" spans="1:33" ht="14.25" hidden="1" x14ac:dyDescent="0.2">
      <c r="A2088" s="18" t="b">
        <f t="array" ref="A2088">IF(G2088='Room Info'!$B$1, INDEX('Room Info'!$A$2:$A2446, MATCH(B2088,'Room Info'!$B$2:$B2446, 0)),IF(G2088='Room Info'!$C$1, INDEX('Room Info'!$A$2:$A2446, MATCH(B2088,'Room Info'!$C$2:$C2446, 0)),IF(G2088='Room Info'!$D$1, INDEX('Room Info'!$A$2:$A2446, MATCH(B2088,'Room Info'!$D$2:$D2446, 0)),IF(G2088='Room Info'!$E$1, INDEX('Room Info'!$A$2:$A2446, MATCH(B2088,'Room Info'!$E$2:$E2446, 0)),IF(G2088='Room Info'!$F$1, INDEX('Room Info'!$A$2:$A2446, MATCH(B2088,'Room Info'!$F$2:$F2446, 0)),IF(G2088='Room Info'!$H$1, INDEX('Room Info'!$A$2:$A2446, MATCH(B2088,'Room Info'!$H$2:$H2446, 0)),IF(G2088='Room Info'!$G$1, INDEX('Room Info'!$A$2:$A2446, MATCH(B2088,'Room Info'!$G$2:$G2446, 0)))))))))</f>
        <v>0</v>
      </c>
      <c r="B2088" s="96"/>
      <c r="C2088" s="111"/>
      <c r="D2088" s="111"/>
      <c r="E2088" s="80"/>
      <c r="F2088" s="133"/>
      <c r="G2088" s="96"/>
      <c r="H2088" s="110"/>
      <c r="I2088" s="110"/>
      <c r="J2088" s="39" t="s">
        <v>334</v>
      </c>
      <c r="K2088" s="112"/>
      <c r="L2088" s="113"/>
      <c r="M2088" s="62"/>
      <c r="N2088" s="28" t="e">
        <f t="shared" si="8"/>
        <v>#VALUE!</v>
      </c>
      <c r="O2088" s="65"/>
      <c r="P2088" s="29" t="s">
        <v>334</v>
      </c>
      <c r="Q2088" s="55"/>
      <c r="R2088" s="31" t="e">
        <f t="shared" si="9"/>
        <v>#VALUE!</v>
      </c>
      <c r="S2088" s="66"/>
      <c r="T2088" s="32" t="e">
        <f t="shared" si="10"/>
        <v>#VALUE!</v>
      </c>
      <c r="U2088" s="57"/>
      <c r="V2088" s="58"/>
      <c r="W2088" s="58"/>
      <c r="X2088" s="30" t="e">
        <f t="shared" si="11"/>
        <v>#N/A</v>
      </c>
      <c r="Y2088" s="30" t="e">
        <f t="shared" si="12"/>
        <v>#N/A</v>
      </c>
      <c r="Z2088" s="35" t="e">
        <f t="shared" si="13"/>
        <v>#VALUE!</v>
      </c>
      <c r="AA2088" s="29" t="e">
        <f t="shared" si="14"/>
        <v>#VALUE!</v>
      </c>
      <c r="AB2088" s="36" t="e">
        <f t="shared" si="15"/>
        <v>#VALUE!</v>
      </c>
      <c r="AC2088" s="37" t="b">
        <v>0</v>
      </c>
      <c r="AD2088" s="61" t="str">
        <f t="shared" si="16"/>
        <v>USD</v>
      </c>
      <c r="AE2088" s="37"/>
      <c r="AF2088" s="37" t="e">
        <f t="array" ref="AF2088">INDEX('Deal Info'!D:D, MATCH(A2088,'Deal Info'!A:A, 0))</f>
        <v>#N/A</v>
      </c>
      <c r="AG2088" s="38" t="e">
        <f t="array" ref="AG2088">INDEX('Deal Info'!G:G, MATCH(A2088,'Deal Info'!A:A, 0))</f>
        <v>#N/A</v>
      </c>
    </row>
    <row r="2089" spans="1:33" ht="14.25" hidden="1" x14ac:dyDescent="0.2">
      <c r="A2089" s="18" t="b">
        <f t="array" ref="A2089">IF(G2089='Room Info'!$B$1, INDEX('Room Info'!$A$2:$A2446, MATCH(B2089,'Room Info'!$B$2:$B2446, 0)),IF(G2089='Room Info'!$C$1, INDEX('Room Info'!$A$2:$A2446, MATCH(B2089,'Room Info'!$C$2:$C2446, 0)),IF(G2089='Room Info'!$D$1, INDEX('Room Info'!$A$2:$A2446, MATCH(B2089,'Room Info'!$D$2:$D2446, 0)),IF(G2089='Room Info'!$E$1, INDEX('Room Info'!$A$2:$A2446, MATCH(B2089,'Room Info'!$E$2:$E2446, 0)),IF(G2089='Room Info'!$F$1, INDEX('Room Info'!$A$2:$A2446, MATCH(B2089,'Room Info'!$F$2:$F2446, 0)),IF(G2089='Room Info'!$H$1, INDEX('Room Info'!$A$2:$A2446, MATCH(B2089,'Room Info'!$H$2:$H2446, 0)),IF(G2089='Room Info'!$G$1, INDEX('Room Info'!$A$2:$A2446, MATCH(B2089,'Room Info'!$G$2:$G2446, 0)))))))))</f>
        <v>0</v>
      </c>
      <c r="B2089" s="96"/>
      <c r="C2089" s="111"/>
      <c r="D2089" s="111"/>
      <c r="E2089" s="80"/>
      <c r="F2089" s="133"/>
      <c r="G2089" s="96"/>
      <c r="H2089" s="110"/>
      <c r="I2089" s="110"/>
      <c r="J2089" s="39" t="s">
        <v>334</v>
      </c>
      <c r="K2089" s="112"/>
      <c r="L2089" s="113"/>
      <c r="M2089" s="62"/>
      <c r="N2089" s="28" t="e">
        <f t="shared" si="8"/>
        <v>#VALUE!</v>
      </c>
      <c r="O2089" s="65"/>
      <c r="P2089" s="29" t="s">
        <v>334</v>
      </c>
      <c r="Q2089" s="55"/>
      <c r="R2089" s="31" t="e">
        <f t="shared" si="9"/>
        <v>#VALUE!</v>
      </c>
      <c r="S2089" s="66"/>
      <c r="T2089" s="32" t="e">
        <f t="shared" si="10"/>
        <v>#VALUE!</v>
      </c>
      <c r="U2089" s="57"/>
      <c r="V2089" s="58"/>
      <c r="W2089" s="58"/>
      <c r="X2089" s="30" t="e">
        <f t="shared" si="11"/>
        <v>#N/A</v>
      </c>
      <c r="Y2089" s="30" t="e">
        <f t="shared" si="12"/>
        <v>#N/A</v>
      </c>
      <c r="Z2089" s="35" t="e">
        <f t="shared" si="13"/>
        <v>#VALUE!</v>
      </c>
      <c r="AA2089" s="29" t="e">
        <f t="shared" si="14"/>
        <v>#VALUE!</v>
      </c>
      <c r="AB2089" s="36" t="e">
        <f t="shared" si="15"/>
        <v>#VALUE!</v>
      </c>
      <c r="AC2089" s="37" t="b">
        <v>0</v>
      </c>
      <c r="AD2089" s="61" t="str">
        <f t="shared" si="16"/>
        <v>USD</v>
      </c>
      <c r="AE2089" s="37"/>
      <c r="AF2089" s="37" t="e">
        <f t="array" ref="AF2089">INDEX('Deal Info'!D:D, MATCH(A2089,'Deal Info'!A:A, 0))</f>
        <v>#N/A</v>
      </c>
      <c r="AG2089" s="38" t="e">
        <f t="array" ref="AG2089">INDEX('Deal Info'!G:G, MATCH(A2089,'Deal Info'!A:A, 0))</f>
        <v>#N/A</v>
      </c>
    </row>
    <row r="2090" spans="1:33" ht="14.25" hidden="1" x14ac:dyDescent="0.2">
      <c r="A2090" s="18" t="b">
        <f t="array" ref="A2090">IF(G2090='Room Info'!$B$1, INDEX('Room Info'!$A$2:$A2446, MATCH(B2090,'Room Info'!$B$2:$B2446, 0)),IF(G2090='Room Info'!$C$1, INDEX('Room Info'!$A$2:$A2446, MATCH(B2090,'Room Info'!$C$2:$C2446, 0)),IF(G2090='Room Info'!$D$1, INDEX('Room Info'!$A$2:$A2446, MATCH(B2090,'Room Info'!$D$2:$D2446, 0)),IF(G2090='Room Info'!$E$1, INDEX('Room Info'!$A$2:$A2446, MATCH(B2090,'Room Info'!$E$2:$E2446, 0)),IF(G2090='Room Info'!$F$1, INDEX('Room Info'!$A$2:$A2446, MATCH(B2090,'Room Info'!$F$2:$F2446, 0)),IF(G2090='Room Info'!$H$1, INDEX('Room Info'!$A$2:$A2446, MATCH(B2090,'Room Info'!$H$2:$H2446, 0)),IF(G2090='Room Info'!$G$1, INDEX('Room Info'!$A$2:$A2446, MATCH(B2090,'Room Info'!$G$2:$G2446, 0)))))))))</f>
        <v>0</v>
      </c>
      <c r="B2090" s="96"/>
      <c r="C2090" s="111"/>
      <c r="D2090" s="111"/>
      <c r="E2090" s="80"/>
      <c r="F2090" s="133"/>
      <c r="G2090" s="96"/>
      <c r="H2090" s="110"/>
      <c r="I2090" s="110"/>
      <c r="J2090" s="39" t="s">
        <v>334</v>
      </c>
      <c r="K2090" s="112"/>
      <c r="L2090" s="113"/>
      <c r="M2090" s="62"/>
      <c r="N2090" s="28" t="e">
        <f t="shared" si="8"/>
        <v>#VALUE!</v>
      </c>
      <c r="O2090" s="65"/>
      <c r="P2090" s="29" t="s">
        <v>334</v>
      </c>
      <c r="Q2090" s="55"/>
      <c r="R2090" s="31" t="e">
        <f t="shared" si="9"/>
        <v>#VALUE!</v>
      </c>
      <c r="S2090" s="66"/>
      <c r="T2090" s="32" t="e">
        <f t="shared" si="10"/>
        <v>#VALUE!</v>
      </c>
      <c r="U2090" s="57"/>
      <c r="V2090" s="58"/>
      <c r="W2090" s="58"/>
      <c r="X2090" s="30" t="e">
        <f t="shared" si="11"/>
        <v>#N/A</v>
      </c>
      <c r="Y2090" s="30" t="e">
        <f t="shared" si="12"/>
        <v>#N/A</v>
      </c>
      <c r="Z2090" s="35" t="e">
        <f t="shared" si="13"/>
        <v>#VALUE!</v>
      </c>
      <c r="AA2090" s="29" t="e">
        <f t="shared" si="14"/>
        <v>#VALUE!</v>
      </c>
      <c r="AB2090" s="36" t="e">
        <f t="shared" si="15"/>
        <v>#VALUE!</v>
      </c>
      <c r="AC2090" s="37" t="b">
        <v>0</v>
      </c>
      <c r="AD2090" s="61" t="str">
        <f t="shared" si="16"/>
        <v>USD</v>
      </c>
      <c r="AE2090" s="37"/>
      <c r="AF2090" s="37" t="e">
        <f t="array" ref="AF2090">INDEX('Deal Info'!D:D, MATCH(A2090,'Deal Info'!A:A, 0))</f>
        <v>#N/A</v>
      </c>
      <c r="AG2090" s="38" t="e">
        <f t="array" ref="AG2090">INDEX('Deal Info'!G:G, MATCH(A2090,'Deal Info'!A:A, 0))</f>
        <v>#N/A</v>
      </c>
    </row>
    <row r="2091" spans="1:33" ht="14.25" hidden="1" x14ac:dyDescent="0.2">
      <c r="A2091" s="18" t="b">
        <f t="array" ref="A2091">IF(G2091='Room Info'!$B$1, INDEX('Room Info'!$A$2:$A2446, MATCH(B2091,'Room Info'!$B$2:$B2446, 0)),IF(G2091='Room Info'!$C$1, INDEX('Room Info'!$A$2:$A2446, MATCH(B2091,'Room Info'!$C$2:$C2446, 0)),IF(G2091='Room Info'!$D$1, INDEX('Room Info'!$A$2:$A2446, MATCH(B2091,'Room Info'!$D$2:$D2446, 0)),IF(G2091='Room Info'!$E$1, INDEX('Room Info'!$A$2:$A2446, MATCH(B2091,'Room Info'!$E$2:$E2446, 0)),IF(G2091='Room Info'!$F$1, INDEX('Room Info'!$A$2:$A2446, MATCH(B2091,'Room Info'!$F$2:$F2446, 0)),IF(G2091='Room Info'!$H$1, INDEX('Room Info'!$A$2:$A2446, MATCH(B2091,'Room Info'!$H$2:$H2446, 0)),IF(G2091='Room Info'!$G$1, INDEX('Room Info'!$A$2:$A2446, MATCH(B2091,'Room Info'!$G$2:$G2446, 0)))))))))</f>
        <v>0</v>
      </c>
      <c r="B2091" s="96"/>
      <c r="C2091" s="111"/>
      <c r="D2091" s="111"/>
      <c r="E2091" s="80"/>
      <c r="F2091" s="133"/>
      <c r="G2091" s="96"/>
      <c r="H2091" s="110"/>
      <c r="I2091" s="110"/>
      <c r="J2091" s="39" t="s">
        <v>334</v>
      </c>
      <c r="K2091" s="112"/>
      <c r="L2091" s="113"/>
      <c r="M2091" s="62"/>
      <c r="N2091" s="28" t="e">
        <f t="shared" si="8"/>
        <v>#VALUE!</v>
      </c>
      <c r="O2091" s="65"/>
      <c r="P2091" s="29" t="s">
        <v>334</v>
      </c>
      <c r="Q2091" s="55"/>
      <c r="R2091" s="31" t="e">
        <f t="shared" si="9"/>
        <v>#VALUE!</v>
      </c>
      <c r="S2091" s="66"/>
      <c r="T2091" s="32" t="e">
        <f t="shared" si="10"/>
        <v>#VALUE!</v>
      </c>
      <c r="U2091" s="57"/>
      <c r="V2091" s="58"/>
      <c r="W2091" s="58"/>
      <c r="X2091" s="30" t="e">
        <f t="shared" si="11"/>
        <v>#N/A</v>
      </c>
      <c r="Y2091" s="30" t="e">
        <f t="shared" si="12"/>
        <v>#N/A</v>
      </c>
      <c r="Z2091" s="35" t="e">
        <f t="shared" si="13"/>
        <v>#VALUE!</v>
      </c>
      <c r="AA2091" s="29" t="e">
        <f t="shared" si="14"/>
        <v>#VALUE!</v>
      </c>
      <c r="AB2091" s="36" t="e">
        <f t="shared" si="15"/>
        <v>#VALUE!</v>
      </c>
      <c r="AC2091" s="37" t="b">
        <v>0</v>
      </c>
      <c r="AD2091" s="61" t="str">
        <f t="shared" si="16"/>
        <v>USD</v>
      </c>
      <c r="AE2091" s="37"/>
      <c r="AF2091" s="37" t="e">
        <f t="array" ref="AF2091">INDEX('Deal Info'!D:D, MATCH(A2091,'Deal Info'!A:A, 0))</f>
        <v>#N/A</v>
      </c>
      <c r="AG2091" s="38" t="e">
        <f t="array" ref="AG2091">INDEX('Deal Info'!G:G, MATCH(A2091,'Deal Info'!A:A, 0))</f>
        <v>#N/A</v>
      </c>
    </row>
    <row r="2092" spans="1:33" ht="14.25" hidden="1" x14ac:dyDescent="0.2">
      <c r="A2092" s="18" t="b">
        <f t="array" ref="A2092">IF(G2092='Room Info'!$B$1, INDEX('Room Info'!$A$2:$A2446, MATCH(B2092,'Room Info'!$B$2:$B2446, 0)),IF(G2092='Room Info'!$C$1, INDEX('Room Info'!$A$2:$A2446, MATCH(B2092,'Room Info'!$C$2:$C2446, 0)),IF(G2092='Room Info'!$D$1, INDEX('Room Info'!$A$2:$A2446, MATCH(B2092,'Room Info'!$D$2:$D2446, 0)),IF(G2092='Room Info'!$E$1, INDEX('Room Info'!$A$2:$A2446, MATCH(B2092,'Room Info'!$E$2:$E2446, 0)),IF(G2092='Room Info'!$F$1, INDEX('Room Info'!$A$2:$A2446, MATCH(B2092,'Room Info'!$F$2:$F2446, 0)),IF(G2092='Room Info'!$H$1, INDEX('Room Info'!$A$2:$A2446, MATCH(B2092,'Room Info'!$H$2:$H2446, 0)),IF(G2092='Room Info'!$G$1, INDEX('Room Info'!$A$2:$A2446, MATCH(B2092,'Room Info'!$G$2:$G2446, 0)))))))))</f>
        <v>0</v>
      </c>
      <c r="B2092" s="96"/>
      <c r="C2092" s="111"/>
      <c r="D2092" s="111"/>
      <c r="E2092" s="80"/>
      <c r="F2092" s="133"/>
      <c r="G2092" s="96"/>
      <c r="H2092" s="110"/>
      <c r="I2092" s="110"/>
      <c r="J2092" s="39" t="s">
        <v>334</v>
      </c>
      <c r="K2092" s="112"/>
      <c r="L2092" s="113"/>
      <c r="M2092" s="62"/>
      <c r="N2092" s="28" t="e">
        <f t="shared" si="8"/>
        <v>#VALUE!</v>
      </c>
      <c r="O2092" s="65"/>
      <c r="P2092" s="29" t="s">
        <v>334</v>
      </c>
      <c r="Q2092" s="55"/>
      <c r="R2092" s="31" t="e">
        <f t="shared" si="9"/>
        <v>#VALUE!</v>
      </c>
      <c r="S2092" s="66"/>
      <c r="T2092" s="32" t="e">
        <f t="shared" si="10"/>
        <v>#VALUE!</v>
      </c>
      <c r="U2092" s="57"/>
      <c r="V2092" s="58"/>
      <c r="W2092" s="58"/>
      <c r="X2092" s="30" t="e">
        <f t="shared" si="11"/>
        <v>#N/A</v>
      </c>
      <c r="Y2092" s="30" t="e">
        <f t="shared" si="12"/>
        <v>#N/A</v>
      </c>
      <c r="Z2092" s="35" t="e">
        <f t="shared" si="13"/>
        <v>#VALUE!</v>
      </c>
      <c r="AA2092" s="29" t="e">
        <f t="shared" si="14"/>
        <v>#VALUE!</v>
      </c>
      <c r="AB2092" s="36" t="e">
        <f t="shared" si="15"/>
        <v>#VALUE!</v>
      </c>
      <c r="AC2092" s="37" t="b">
        <v>0</v>
      </c>
      <c r="AD2092" s="61" t="str">
        <f t="shared" si="16"/>
        <v>USD</v>
      </c>
      <c r="AE2092" s="37"/>
      <c r="AF2092" s="37" t="e">
        <f t="array" ref="AF2092">INDEX('Deal Info'!D:D, MATCH(A2092,'Deal Info'!A:A, 0))</f>
        <v>#N/A</v>
      </c>
      <c r="AG2092" s="38" t="e">
        <f t="array" ref="AG2092">INDEX('Deal Info'!G:G, MATCH(A2092,'Deal Info'!A:A, 0))</f>
        <v>#N/A</v>
      </c>
    </row>
    <row r="2093" spans="1:33" ht="14.25" hidden="1" x14ac:dyDescent="0.2">
      <c r="A2093" s="18" t="b">
        <f t="array" ref="A2093">IF(G2093='Room Info'!$B$1, INDEX('Room Info'!$A$2:$A2446, MATCH(B2093,'Room Info'!$B$2:$B2446, 0)),IF(G2093='Room Info'!$C$1, INDEX('Room Info'!$A$2:$A2446, MATCH(B2093,'Room Info'!$C$2:$C2446, 0)),IF(G2093='Room Info'!$D$1, INDEX('Room Info'!$A$2:$A2446, MATCH(B2093,'Room Info'!$D$2:$D2446, 0)),IF(G2093='Room Info'!$E$1, INDEX('Room Info'!$A$2:$A2446, MATCH(B2093,'Room Info'!$E$2:$E2446, 0)),IF(G2093='Room Info'!$F$1, INDEX('Room Info'!$A$2:$A2446, MATCH(B2093,'Room Info'!$F$2:$F2446, 0)),IF(G2093='Room Info'!$H$1, INDEX('Room Info'!$A$2:$A2446, MATCH(B2093,'Room Info'!$H$2:$H2446, 0)),IF(G2093='Room Info'!$G$1, INDEX('Room Info'!$A$2:$A2446, MATCH(B2093,'Room Info'!$G$2:$G2446, 0)))))))))</f>
        <v>0</v>
      </c>
      <c r="B2093" s="96"/>
      <c r="C2093" s="111"/>
      <c r="D2093" s="111"/>
      <c r="E2093" s="80"/>
      <c r="F2093" s="133"/>
      <c r="G2093" s="96"/>
      <c r="H2093" s="110"/>
      <c r="I2093" s="110"/>
      <c r="J2093" s="39" t="s">
        <v>334</v>
      </c>
      <c r="K2093" s="112"/>
      <c r="L2093" s="113"/>
      <c r="M2093" s="62"/>
      <c r="N2093" s="28" t="e">
        <f t="shared" si="8"/>
        <v>#VALUE!</v>
      </c>
      <c r="O2093" s="65"/>
      <c r="P2093" s="29" t="s">
        <v>334</v>
      </c>
      <c r="Q2093" s="55"/>
      <c r="R2093" s="31" t="e">
        <f t="shared" si="9"/>
        <v>#VALUE!</v>
      </c>
      <c r="S2093" s="66"/>
      <c r="T2093" s="32" t="e">
        <f t="shared" si="10"/>
        <v>#VALUE!</v>
      </c>
      <c r="U2093" s="57"/>
      <c r="V2093" s="58"/>
      <c r="W2093" s="58"/>
      <c r="X2093" s="30" t="e">
        <f t="shared" si="11"/>
        <v>#N/A</v>
      </c>
      <c r="Y2093" s="30" t="e">
        <f t="shared" si="12"/>
        <v>#N/A</v>
      </c>
      <c r="Z2093" s="35" t="e">
        <f t="shared" si="13"/>
        <v>#VALUE!</v>
      </c>
      <c r="AA2093" s="29" t="e">
        <f t="shared" si="14"/>
        <v>#VALUE!</v>
      </c>
      <c r="AB2093" s="36" t="e">
        <f t="shared" si="15"/>
        <v>#VALUE!</v>
      </c>
      <c r="AC2093" s="37" t="b">
        <v>0</v>
      </c>
      <c r="AD2093" s="61" t="str">
        <f t="shared" si="16"/>
        <v>USD</v>
      </c>
      <c r="AE2093" s="37"/>
      <c r="AF2093" s="37" t="e">
        <f t="array" ref="AF2093">INDEX('Deal Info'!D:D, MATCH(A2093,'Deal Info'!A:A, 0))</f>
        <v>#N/A</v>
      </c>
      <c r="AG2093" s="38" t="e">
        <f t="array" ref="AG2093">INDEX('Deal Info'!G:G, MATCH(A2093,'Deal Info'!A:A, 0))</f>
        <v>#N/A</v>
      </c>
    </row>
    <row r="2094" spans="1:33" ht="14.25" hidden="1" x14ac:dyDescent="0.2">
      <c r="A2094" s="18" t="b">
        <f t="array" ref="A2094">IF(G2094='Room Info'!$B$1, INDEX('Room Info'!$A$2:$A2446, MATCH(B2094,'Room Info'!$B$2:$B2446, 0)),IF(G2094='Room Info'!$C$1, INDEX('Room Info'!$A$2:$A2446, MATCH(B2094,'Room Info'!$C$2:$C2446, 0)),IF(G2094='Room Info'!$D$1, INDEX('Room Info'!$A$2:$A2446, MATCH(B2094,'Room Info'!$D$2:$D2446, 0)),IF(G2094='Room Info'!$E$1, INDEX('Room Info'!$A$2:$A2446, MATCH(B2094,'Room Info'!$E$2:$E2446, 0)),IF(G2094='Room Info'!$F$1, INDEX('Room Info'!$A$2:$A2446, MATCH(B2094,'Room Info'!$F$2:$F2446, 0)),IF(G2094='Room Info'!$H$1, INDEX('Room Info'!$A$2:$A2446, MATCH(B2094,'Room Info'!$H$2:$H2446, 0)),IF(G2094='Room Info'!$G$1, INDEX('Room Info'!$A$2:$A2446, MATCH(B2094,'Room Info'!$G$2:$G2446, 0)))))))))</f>
        <v>0</v>
      </c>
      <c r="B2094" s="96"/>
      <c r="C2094" s="111"/>
      <c r="D2094" s="111"/>
      <c r="E2094" s="80"/>
      <c r="F2094" s="133"/>
      <c r="G2094" s="96"/>
      <c r="H2094" s="110"/>
      <c r="I2094" s="110"/>
      <c r="J2094" s="39" t="s">
        <v>334</v>
      </c>
      <c r="K2094" s="112"/>
      <c r="L2094" s="113"/>
      <c r="M2094" s="62"/>
      <c r="N2094" s="28" t="e">
        <f t="shared" si="8"/>
        <v>#VALUE!</v>
      </c>
      <c r="O2094" s="65"/>
      <c r="P2094" s="29" t="s">
        <v>334</v>
      </c>
      <c r="Q2094" s="55"/>
      <c r="R2094" s="31" t="e">
        <f t="shared" si="9"/>
        <v>#VALUE!</v>
      </c>
      <c r="S2094" s="66"/>
      <c r="T2094" s="32" t="e">
        <f t="shared" si="10"/>
        <v>#VALUE!</v>
      </c>
      <c r="U2094" s="57"/>
      <c r="V2094" s="58"/>
      <c r="W2094" s="58"/>
      <c r="X2094" s="30" t="e">
        <f t="shared" si="11"/>
        <v>#N/A</v>
      </c>
      <c r="Y2094" s="30" t="e">
        <f t="shared" si="12"/>
        <v>#N/A</v>
      </c>
      <c r="Z2094" s="35" t="e">
        <f t="shared" si="13"/>
        <v>#VALUE!</v>
      </c>
      <c r="AA2094" s="29" t="e">
        <f t="shared" si="14"/>
        <v>#VALUE!</v>
      </c>
      <c r="AB2094" s="36" t="e">
        <f t="shared" si="15"/>
        <v>#VALUE!</v>
      </c>
      <c r="AC2094" s="37" t="b">
        <v>0</v>
      </c>
      <c r="AD2094" s="61" t="str">
        <f t="shared" si="16"/>
        <v>USD</v>
      </c>
      <c r="AE2094" s="37"/>
      <c r="AF2094" s="37" t="e">
        <f t="array" ref="AF2094">INDEX('Deal Info'!D:D, MATCH(A2094,'Deal Info'!A:A, 0))</f>
        <v>#N/A</v>
      </c>
      <c r="AG2094" s="38" t="e">
        <f t="array" ref="AG2094">INDEX('Deal Info'!G:G, MATCH(A2094,'Deal Info'!A:A, 0))</f>
        <v>#N/A</v>
      </c>
    </row>
    <row r="2095" spans="1:33" ht="14.25" hidden="1" x14ac:dyDescent="0.2">
      <c r="A2095" s="18" t="b">
        <f t="array" ref="A2095">IF(G2095='Room Info'!$B$1, INDEX('Room Info'!$A$2:$A2446, MATCH(B2095,'Room Info'!$B$2:$B2446, 0)),IF(G2095='Room Info'!$C$1, INDEX('Room Info'!$A$2:$A2446, MATCH(B2095,'Room Info'!$C$2:$C2446, 0)),IF(G2095='Room Info'!$D$1, INDEX('Room Info'!$A$2:$A2446, MATCH(B2095,'Room Info'!$D$2:$D2446, 0)),IF(G2095='Room Info'!$E$1, INDEX('Room Info'!$A$2:$A2446, MATCH(B2095,'Room Info'!$E$2:$E2446, 0)),IF(G2095='Room Info'!$F$1, INDEX('Room Info'!$A$2:$A2446, MATCH(B2095,'Room Info'!$F$2:$F2446, 0)),IF(G2095='Room Info'!$H$1, INDEX('Room Info'!$A$2:$A2446, MATCH(B2095,'Room Info'!$H$2:$H2446, 0)),IF(G2095='Room Info'!$G$1, INDEX('Room Info'!$A$2:$A2446, MATCH(B2095,'Room Info'!$G$2:$G2446, 0)))))))))</f>
        <v>0</v>
      </c>
      <c r="B2095" s="96"/>
      <c r="C2095" s="111"/>
      <c r="D2095" s="111"/>
      <c r="E2095" s="80"/>
      <c r="F2095" s="133"/>
      <c r="G2095" s="65"/>
      <c r="H2095" s="100"/>
      <c r="I2095" s="100"/>
      <c r="J2095" s="39" t="s">
        <v>334</v>
      </c>
      <c r="K2095" s="112"/>
      <c r="L2095" s="113"/>
      <c r="M2095" s="62"/>
      <c r="N2095" s="28" t="e">
        <f t="shared" si="8"/>
        <v>#VALUE!</v>
      </c>
      <c r="O2095" s="65"/>
      <c r="P2095" s="29" t="s">
        <v>334</v>
      </c>
      <c r="Q2095" s="55"/>
      <c r="R2095" s="31" t="e">
        <f t="shared" si="9"/>
        <v>#VALUE!</v>
      </c>
      <c r="S2095" s="66"/>
      <c r="T2095" s="32" t="e">
        <f t="shared" si="10"/>
        <v>#VALUE!</v>
      </c>
      <c r="U2095" s="57"/>
      <c r="V2095" s="58"/>
      <c r="W2095" s="58"/>
      <c r="X2095" s="30" t="e">
        <f t="shared" si="11"/>
        <v>#N/A</v>
      </c>
      <c r="Y2095" s="30" t="e">
        <f t="shared" si="12"/>
        <v>#N/A</v>
      </c>
      <c r="Z2095" s="35" t="e">
        <f t="shared" si="13"/>
        <v>#VALUE!</v>
      </c>
      <c r="AA2095" s="29" t="e">
        <f t="shared" si="14"/>
        <v>#VALUE!</v>
      </c>
      <c r="AB2095" s="36" t="e">
        <f t="shared" si="15"/>
        <v>#VALUE!</v>
      </c>
      <c r="AC2095" s="37" t="b">
        <v>0</v>
      </c>
      <c r="AD2095" s="61" t="str">
        <f t="shared" si="16"/>
        <v>USD</v>
      </c>
      <c r="AE2095" s="37"/>
      <c r="AF2095" s="37" t="e">
        <f t="array" ref="AF2095">INDEX('Deal Info'!D:D, MATCH(A2095,'Deal Info'!A:A, 0))</f>
        <v>#N/A</v>
      </c>
      <c r="AG2095" s="38" t="e">
        <f t="array" ref="AG2095">INDEX('Deal Info'!G:G, MATCH(A2095,'Deal Info'!A:A, 0))</f>
        <v>#N/A</v>
      </c>
    </row>
    <row r="2096" spans="1:33" ht="14.25" hidden="1" x14ac:dyDescent="0.2">
      <c r="A2096" s="18" t="b">
        <f t="array" ref="A2096">IF(G2096='Room Info'!$B$1, INDEX('Room Info'!$A$2:$A2446, MATCH(B2096,'Room Info'!$B$2:$B2446, 0)),IF(G2096='Room Info'!$C$1, INDEX('Room Info'!$A$2:$A2446, MATCH(B2096,'Room Info'!$C$2:$C2446, 0)),IF(G2096='Room Info'!$D$1, INDEX('Room Info'!$A$2:$A2446, MATCH(B2096,'Room Info'!$D$2:$D2446, 0)),IF(G2096='Room Info'!$E$1, INDEX('Room Info'!$A$2:$A2446, MATCH(B2096,'Room Info'!$E$2:$E2446, 0)),IF(G2096='Room Info'!$F$1, INDEX('Room Info'!$A$2:$A2446, MATCH(B2096,'Room Info'!$F$2:$F2446, 0)),IF(G2096='Room Info'!$H$1, INDEX('Room Info'!$A$2:$A2446, MATCH(B2096,'Room Info'!$H$2:$H2446, 0)),IF(G2096='Room Info'!$G$1, INDEX('Room Info'!$A$2:$A2446, MATCH(B2096,'Room Info'!$G$2:$G2446, 0)))))))))</f>
        <v>0</v>
      </c>
      <c r="B2096" s="96"/>
      <c r="C2096" s="111"/>
      <c r="D2096" s="111"/>
      <c r="E2096" s="80"/>
      <c r="F2096" s="133"/>
      <c r="G2096" s="65"/>
      <c r="H2096" s="100"/>
      <c r="I2096" s="100"/>
      <c r="J2096" s="39" t="s">
        <v>334</v>
      </c>
      <c r="K2096" s="112"/>
      <c r="L2096" s="113"/>
      <c r="M2096" s="62"/>
      <c r="N2096" s="28" t="e">
        <f t="shared" si="8"/>
        <v>#VALUE!</v>
      </c>
      <c r="O2096" s="65"/>
      <c r="P2096" s="29" t="s">
        <v>334</v>
      </c>
      <c r="Q2096" s="55"/>
      <c r="R2096" s="31" t="e">
        <f t="shared" si="9"/>
        <v>#VALUE!</v>
      </c>
      <c r="S2096" s="66"/>
      <c r="T2096" s="32" t="e">
        <f t="shared" si="10"/>
        <v>#VALUE!</v>
      </c>
      <c r="U2096" s="57"/>
      <c r="V2096" s="58"/>
      <c r="W2096" s="58"/>
      <c r="X2096" s="30" t="e">
        <f t="shared" si="11"/>
        <v>#N/A</v>
      </c>
      <c r="Y2096" s="30" t="e">
        <f t="shared" si="12"/>
        <v>#N/A</v>
      </c>
      <c r="Z2096" s="35" t="e">
        <f t="shared" si="13"/>
        <v>#VALUE!</v>
      </c>
      <c r="AA2096" s="29" t="e">
        <f t="shared" si="14"/>
        <v>#VALUE!</v>
      </c>
      <c r="AB2096" s="36" t="e">
        <f t="shared" si="15"/>
        <v>#VALUE!</v>
      </c>
      <c r="AC2096" s="37" t="b">
        <v>0</v>
      </c>
      <c r="AD2096" s="61" t="str">
        <f t="shared" si="16"/>
        <v>USD</v>
      </c>
      <c r="AE2096" s="37"/>
      <c r="AF2096" s="37" t="e">
        <f t="array" ref="AF2096">INDEX('Deal Info'!D:D, MATCH(A2096,'Deal Info'!A:A, 0))</f>
        <v>#N/A</v>
      </c>
      <c r="AG2096" s="38" t="e">
        <f t="array" ref="AG2096">INDEX('Deal Info'!G:G, MATCH(A2096,'Deal Info'!A:A, 0))</f>
        <v>#N/A</v>
      </c>
    </row>
    <row r="2097" spans="1:33" ht="14.25" hidden="1" x14ac:dyDescent="0.2">
      <c r="A2097" s="18" t="b">
        <f t="array" ref="A2097">IF(G2097='Room Info'!$B$1, INDEX('Room Info'!$A$2:$A2446, MATCH(B2097,'Room Info'!$B$2:$B2446, 0)),IF(G2097='Room Info'!$C$1, INDEX('Room Info'!$A$2:$A2446, MATCH(B2097,'Room Info'!$C$2:$C2446, 0)),IF(G2097='Room Info'!$D$1, INDEX('Room Info'!$A$2:$A2446, MATCH(B2097,'Room Info'!$D$2:$D2446, 0)),IF(G2097='Room Info'!$E$1, INDEX('Room Info'!$A$2:$A2446, MATCH(B2097,'Room Info'!$E$2:$E2446, 0)),IF(G2097='Room Info'!$F$1, INDEX('Room Info'!$A$2:$A2446, MATCH(B2097,'Room Info'!$F$2:$F2446, 0)),IF(G2097='Room Info'!$H$1, INDEX('Room Info'!$A$2:$A2446, MATCH(B2097,'Room Info'!$H$2:$H2446, 0)),IF(G2097='Room Info'!$G$1, INDEX('Room Info'!$A$2:$A2446, MATCH(B2097,'Room Info'!$G$2:$G2446, 0)))))))))</f>
        <v>0</v>
      </c>
      <c r="B2097" s="96"/>
      <c r="C2097" s="111"/>
      <c r="D2097" s="111"/>
      <c r="E2097" s="80"/>
      <c r="F2097" s="133"/>
      <c r="G2097" s="65"/>
      <c r="H2097" s="110"/>
      <c r="I2097" s="110"/>
      <c r="J2097" s="39" t="s">
        <v>334</v>
      </c>
      <c r="K2097" s="112"/>
      <c r="L2097" s="113"/>
      <c r="M2097" s="62"/>
      <c r="N2097" s="28" t="e">
        <f t="shared" si="8"/>
        <v>#VALUE!</v>
      </c>
      <c r="O2097" s="65"/>
      <c r="P2097" s="29" t="s">
        <v>334</v>
      </c>
      <c r="Q2097" s="55"/>
      <c r="R2097" s="31" t="e">
        <f t="shared" si="9"/>
        <v>#VALUE!</v>
      </c>
      <c r="S2097" s="66"/>
      <c r="T2097" s="32" t="e">
        <f t="shared" si="10"/>
        <v>#VALUE!</v>
      </c>
      <c r="U2097" s="57"/>
      <c r="V2097" s="58"/>
      <c r="W2097" s="58"/>
      <c r="X2097" s="30" t="e">
        <f t="shared" si="11"/>
        <v>#N/A</v>
      </c>
      <c r="Y2097" s="30" t="e">
        <f t="shared" si="12"/>
        <v>#N/A</v>
      </c>
      <c r="Z2097" s="35" t="e">
        <f t="shared" si="13"/>
        <v>#VALUE!</v>
      </c>
      <c r="AA2097" s="29" t="e">
        <f t="shared" si="14"/>
        <v>#VALUE!</v>
      </c>
      <c r="AB2097" s="36" t="e">
        <f t="shared" si="15"/>
        <v>#VALUE!</v>
      </c>
      <c r="AC2097" s="37" t="b">
        <v>0</v>
      </c>
      <c r="AD2097" s="61" t="str">
        <f t="shared" si="16"/>
        <v>USD</v>
      </c>
      <c r="AE2097" s="37"/>
      <c r="AF2097" s="37" t="e">
        <f t="array" ref="AF2097">INDEX('Deal Info'!D:D, MATCH(A2097,'Deal Info'!A:A, 0))</f>
        <v>#N/A</v>
      </c>
      <c r="AG2097" s="38" t="e">
        <f t="array" ref="AG2097">INDEX('Deal Info'!G:G, MATCH(A2097,'Deal Info'!A:A, 0))</f>
        <v>#N/A</v>
      </c>
    </row>
    <row r="2098" spans="1:33" ht="14.25" hidden="1" x14ac:dyDescent="0.2">
      <c r="A2098" s="18" t="b">
        <f t="array" ref="A2098">IF(G2098='Room Info'!$B$1, INDEX('Room Info'!$A$2:$A2446, MATCH(B2098,'Room Info'!$B$2:$B2446, 0)),IF(G2098='Room Info'!$C$1, INDEX('Room Info'!$A$2:$A2446, MATCH(B2098,'Room Info'!$C$2:$C2446, 0)),IF(G2098='Room Info'!$D$1, INDEX('Room Info'!$A$2:$A2446, MATCH(B2098,'Room Info'!$D$2:$D2446, 0)),IF(G2098='Room Info'!$E$1, INDEX('Room Info'!$A$2:$A2446, MATCH(B2098,'Room Info'!$E$2:$E2446, 0)),IF(G2098='Room Info'!$F$1, INDEX('Room Info'!$A$2:$A2446, MATCH(B2098,'Room Info'!$F$2:$F2446, 0)),IF(G2098='Room Info'!$H$1, INDEX('Room Info'!$A$2:$A2446, MATCH(B2098,'Room Info'!$H$2:$H2446, 0)),IF(G2098='Room Info'!$G$1, INDEX('Room Info'!$A$2:$A2446, MATCH(B2098,'Room Info'!$G$2:$G2446, 0)))))))))</f>
        <v>0</v>
      </c>
      <c r="B2098" s="96"/>
      <c r="C2098" s="111"/>
      <c r="D2098" s="111"/>
      <c r="E2098" s="80"/>
      <c r="F2098" s="133"/>
      <c r="G2098" s="65"/>
      <c r="H2098" s="110"/>
      <c r="I2098" s="110"/>
      <c r="J2098" s="39" t="s">
        <v>334</v>
      </c>
      <c r="K2098" s="112"/>
      <c r="L2098" s="113"/>
      <c r="M2098" s="62"/>
      <c r="N2098" s="28" t="e">
        <f t="shared" si="8"/>
        <v>#VALUE!</v>
      </c>
      <c r="O2098" s="65"/>
      <c r="P2098" s="29" t="s">
        <v>334</v>
      </c>
      <c r="Q2098" s="55"/>
      <c r="R2098" s="31" t="e">
        <f t="shared" si="9"/>
        <v>#VALUE!</v>
      </c>
      <c r="S2098" s="66"/>
      <c r="T2098" s="32" t="e">
        <f t="shared" si="10"/>
        <v>#VALUE!</v>
      </c>
      <c r="U2098" s="57"/>
      <c r="V2098" s="58"/>
      <c r="W2098" s="58"/>
      <c r="X2098" s="30" t="e">
        <f t="shared" si="11"/>
        <v>#N/A</v>
      </c>
      <c r="Y2098" s="30" t="e">
        <f t="shared" si="12"/>
        <v>#N/A</v>
      </c>
      <c r="Z2098" s="35" t="e">
        <f t="shared" si="13"/>
        <v>#VALUE!</v>
      </c>
      <c r="AA2098" s="29" t="e">
        <f t="shared" si="14"/>
        <v>#VALUE!</v>
      </c>
      <c r="AB2098" s="36" t="e">
        <f t="shared" si="15"/>
        <v>#VALUE!</v>
      </c>
      <c r="AC2098" s="37" t="b">
        <v>0</v>
      </c>
      <c r="AD2098" s="61" t="str">
        <f t="shared" si="16"/>
        <v>USD</v>
      </c>
      <c r="AE2098" s="37"/>
      <c r="AF2098" s="37" t="e">
        <f t="array" ref="AF2098">INDEX('Deal Info'!D:D, MATCH(A2098,'Deal Info'!A:A, 0))</f>
        <v>#N/A</v>
      </c>
      <c r="AG2098" s="38" t="e">
        <f t="array" ref="AG2098">INDEX('Deal Info'!G:G, MATCH(A2098,'Deal Info'!A:A, 0))</f>
        <v>#N/A</v>
      </c>
    </row>
    <row r="2099" spans="1:33" ht="14.25" hidden="1" x14ac:dyDescent="0.2">
      <c r="A2099" s="18" t="b">
        <f t="array" ref="A2099">IF(G2099='Room Info'!$B$1, INDEX('Room Info'!$A$2:$A2446, MATCH(B2099,'Room Info'!$B$2:$B2446, 0)),IF(G2099='Room Info'!$C$1, INDEX('Room Info'!$A$2:$A2446, MATCH(B2099,'Room Info'!$C$2:$C2446, 0)),IF(G2099='Room Info'!$D$1, INDEX('Room Info'!$A$2:$A2446, MATCH(B2099,'Room Info'!$D$2:$D2446, 0)),IF(G2099='Room Info'!$E$1, INDEX('Room Info'!$A$2:$A2446, MATCH(B2099,'Room Info'!$E$2:$E2446, 0)),IF(G2099='Room Info'!$F$1, INDEX('Room Info'!$A$2:$A2446, MATCH(B2099,'Room Info'!$F$2:$F2446, 0)),IF(G2099='Room Info'!$H$1, INDEX('Room Info'!$A$2:$A2446, MATCH(B2099,'Room Info'!$H$2:$H2446, 0)),IF(G2099='Room Info'!$G$1, INDEX('Room Info'!$A$2:$A2446, MATCH(B2099,'Room Info'!$G$2:$G2446, 0)))))))))</f>
        <v>0</v>
      </c>
      <c r="B2099" s="96"/>
      <c r="C2099" s="136"/>
      <c r="D2099" s="136"/>
      <c r="E2099" s="137"/>
      <c r="F2099" s="133"/>
      <c r="G2099" s="96"/>
      <c r="H2099" s="100"/>
      <c r="I2099" s="100"/>
      <c r="J2099" s="39" t="s">
        <v>334</v>
      </c>
      <c r="K2099" s="134"/>
      <c r="L2099" s="135"/>
      <c r="M2099" s="79"/>
      <c r="N2099" s="28" t="e">
        <f t="shared" si="8"/>
        <v>#VALUE!</v>
      </c>
      <c r="O2099" s="96"/>
      <c r="P2099" s="29" t="s">
        <v>334</v>
      </c>
      <c r="Q2099" s="55"/>
      <c r="R2099" s="31" t="e">
        <f t="shared" si="9"/>
        <v>#VALUE!</v>
      </c>
      <c r="S2099" s="97"/>
      <c r="T2099" s="32" t="e">
        <f t="shared" si="10"/>
        <v>#VALUE!</v>
      </c>
      <c r="U2099" s="57"/>
      <c r="V2099" s="58"/>
      <c r="W2099" s="58"/>
      <c r="X2099" s="30" t="e">
        <f t="shared" si="11"/>
        <v>#N/A</v>
      </c>
      <c r="Y2099" s="30" t="e">
        <f t="shared" si="12"/>
        <v>#N/A</v>
      </c>
      <c r="Z2099" s="35" t="e">
        <f t="shared" si="13"/>
        <v>#VALUE!</v>
      </c>
      <c r="AA2099" s="29" t="e">
        <f t="shared" si="14"/>
        <v>#VALUE!</v>
      </c>
      <c r="AB2099" s="36" t="e">
        <f t="shared" si="15"/>
        <v>#VALUE!</v>
      </c>
      <c r="AC2099" s="37" t="b">
        <v>0</v>
      </c>
      <c r="AD2099" s="61" t="str">
        <f t="shared" si="16"/>
        <v>USD</v>
      </c>
      <c r="AE2099" s="37"/>
      <c r="AF2099" s="37" t="e">
        <f t="array" ref="AF2099">INDEX('Deal Info'!D:D, MATCH(A2099,'Deal Info'!A:A, 0))</f>
        <v>#N/A</v>
      </c>
      <c r="AG2099" s="38" t="e">
        <f t="array" ref="AG2099">INDEX('Deal Info'!G:G, MATCH(A2099,'Deal Info'!A:A, 0))</f>
        <v>#N/A</v>
      </c>
    </row>
    <row r="2100" spans="1:33" ht="14.25" hidden="1" x14ac:dyDescent="0.2">
      <c r="A2100" s="18" t="b">
        <f t="array" ref="A2100">IF(G2100='Room Info'!$B$1, INDEX('Room Info'!$A$2:$A2446, MATCH(B2100,'Room Info'!$B$2:$B2446, 0)),IF(G2100='Room Info'!$C$1, INDEX('Room Info'!$A$2:$A2446, MATCH(B2100,'Room Info'!$C$2:$C2446, 0)),IF(G2100='Room Info'!$D$1, INDEX('Room Info'!$A$2:$A2446, MATCH(B2100,'Room Info'!$D$2:$D2446, 0)),IF(G2100='Room Info'!$E$1, INDEX('Room Info'!$A$2:$A2446, MATCH(B2100,'Room Info'!$E$2:$E2446, 0)),IF(G2100='Room Info'!$F$1, INDEX('Room Info'!$A$2:$A2446, MATCH(B2100,'Room Info'!$F$2:$F2446, 0)),IF(G2100='Room Info'!$H$1, INDEX('Room Info'!$A$2:$A2446, MATCH(B2100,'Room Info'!$H$2:$H2446, 0)),IF(G2100='Room Info'!$G$1, INDEX('Room Info'!$A$2:$A2446, MATCH(B2100,'Room Info'!$G$2:$G2446, 0)))))))))</f>
        <v>0</v>
      </c>
      <c r="B2100" s="96"/>
      <c r="C2100" s="136"/>
      <c r="D2100" s="136"/>
      <c r="E2100" s="137"/>
      <c r="F2100" s="133"/>
      <c r="G2100" s="96"/>
      <c r="H2100" s="100"/>
      <c r="I2100" s="100"/>
      <c r="J2100" s="39" t="s">
        <v>334</v>
      </c>
      <c r="K2100" s="134"/>
      <c r="L2100" s="135"/>
      <c r="M2100" s="79"/>
      <c r="N2100" s="28" t="e">
        <f t="shared" si="8"/>
        <v>#VALUE!</v>
      </c>
      <c r="O2100" s="96"/>
      <c r="P2100" s="29" t="s">
        <v>334</v>
      </c>
      <c r="Q2100" s="55"/>
      <c r="R2100" s="31" t="e">
        <f t="shared" si="9"/>
        <v>#VALUE!</v>
      </c>
      <c r="S2100" s="97"/>
      <c r="T2100" s="32" t="e">
        <f t="shared" si="10"/>
        <v>#VALUE!</v>
      </c>
      <c r="U2100" s="57"/>
      <c r="V2100" s="58"/>
      <c r="W2100" s="58"/>
      <c r="X2100" s="30" t="e">
        <f t="shared" si="11"/>
        <v>#N/A</v>
      </c>
      <c r="Y2100" s="30" t="e">
        <f t="shared" si="12"/>
        <v>#N/A</v>
      </c>
      <c r="Z2100" s="35" t="e">
        <f t="shared" si="13"/>
        <v>#VALUE!</v>
      </c>
      <c r="AA2100" s="29" t="e">
        <f t="shared" si="14"/>
        <v>#VALUE!</v>
      </c>
      <c r="AB2100" s="36" t="e">
        <f t="shared" si="15"/>
        <v>#VALUE!</v>
      </c>
      <c r="AC2100" s="37" t="b">
        <v>0</v>
      </c>
      <c r="AD2100" s="61" t="str">
        <f t="shared" si="16"/>
        <v>USD</v>
      </c>
      <c r="AE2100" s="37"/>
      <c r="AF2100" s="37" t="e">
        <f t="array" ref="AF2100">INDEX('Deal Info'!D:D, MATCH(A2100,'Deal Info'!A:A, 0))</f>
        <v>#N/A</v>
      </c>
      <c r="AG2100" s="38" t="e">
        <f t="array" ref="AG2100">INDEX('Deal Info'!G:G, MATCH(A2100,'Deal Info'!A:A, 0))</f>
        <v>#N/A</v>
      </c>
    </row>
    <row r="2101" spans="1:33" ht="14.25" hidden="1" x14ac:dyDescent="0.2">
      <c r="A2101" s="18" t="b">
        <f t="array" ref="A2101">IF(G2101='Room Info'!$B$1, INDEX('Room Info'!$A$2:$A2446, MATCH(B2101,'Room Info'!$B$2:$B2446, 0)),IF(G2101='Room Info'!$C$1, INDEX('Room Info'!$A$2:$A2446, MATCH(B2101,'Room Info'!$C$2:$C2446, 0)),IF(G2101='Room Info'!$D$1, INDEX('Room Info'!$A$2:$A2446, MATCH(B2101,'Room Info'!$D$2:$D2446, 0)),IF(G2101='Room Info'!$E$1, INDEX('Room Info'!$A$2:$A2446, MATCH(B2101,'Room Info'!$E$2:$E2446, 0)),IF(G2101='Room Info'!$F$1, INDEX('Room Info'!$A$2:$A2446, MATCH(B2101,'Room Info'!$F$2:$F2446, 0)),IF(G2101='Room Info'!$H$1, INDEX('Room Info'!$A$2:$A2446, MATCH(B2101,'Room Info'!$H$2:$H2446, 0)),IF(G2101='Room Info'!$G$1, INDEX('Room Info'!$A$2:$A2446, MATCH(B2101,'Room Info'!$G$2:$G2446, 0)))))))))</f>
        <v>0</v>
      </c>
      <c r="B2101" s="96"/>
      <c r="C2101" s="136"/>
      <c r="D2101" s="136"/>
      <c r="E2101" s="137"/>
      <c r="F2101" s="133"/>
      <c r="G2101" s="96"/>
      <c r="H2101" s="100"/>
      <c r="I2101" s="100"/>
      <c r="J2101" s="39" t="s">
        <v>334</v>
      </c>
      <c r="K2101" s="134"/>
      <c r="L2101" s="135"/>
      <c r="M2101" s="79"/>
      <c r="N2101" s="28" t="e">
        <f t="shared" si="8"/>
        <v>#VALUE!</v>
      </c>
      <c r="O2101" s="96"/>
      <c r="P2101" s="29" t="s">
        <v>334</v>
      </c>
      <c r="Q2101" s="55"/>
      <c r="R2101" s="31" t="e">
        <f t="shared" si="9"/>
        <v>#VALUE!</v>
      </c>
      <c r="S2101" s="97"/>
      <c r="T2101" s="32" t="e">
        <f t="shared" si="10"/>
        <v>#VALUE!</v>
      </c>
      <c r="U2101" s="57"/>
      <c r="V2101" s="58"/>
      <c r="W2101" s="58"/>
      <c r="X2101" s="30" t="e">
        <f t="shared" si="11"/>
        <v>#N/A</v>
      </c>
      <c r="Y2101" s="30" t="e">
        <f t="shared" si="12"/>
        <v>#N/A</v>
      </c>
      <c r="Z2101" s="35" t="e">
        <f t="shared" si="13"/>
        <v>#VALUE!</v>
      </c>
      <c r="AA2101" s="29" t="e">
        <f t="shared" si="14"/>
        <v>#VALUE!</v>
      </c>
      <c r="AB2101" s="36" t="e">
        <f t="shared" si="15"/>
        <v>#VALUE!</v>
      </c>
      <c r="AC2101" s="37" t="b">
        <v>0</v>
      </c>
      <c r="AD2101" s="61" t="str">
        <f t="shared" si="16"/>
        <v>USD</v>
      </c>
      <c r="AE2101" s="37"/>
      <c r="AF2101" s="37" t="e">
        <f t="array" ref="AF2101">INDEX('Deal Info'!D:D, MATCH(A2101,'Deal Info'!A:A, 0))</f>
        <v>#N/A</v>
      </c>
      <c r="AG2101" s="38" t="e">
        <f t="array" ref="AG2101">INDEX('Deal Info'!G:G, MATCH(A2101,'Deal Info'!A:A, 0))</f>
        <v>#N/A</v>
      </c>
    </row>
    <row r="2102" spans="1:33" ht="14.25" hidden="1" x14ac:dyDescent="0.2">
      <c r="A2102" s="18" t="b">
        <f t="array" ref="A2102">IF(G2102='Room Info'!$B$1, INDEX('Room Info'!$A$2:$A2446, MATCH(B2102,'Room Info'!$B$2:$B2446, 0)),IF(G2102='Room Info'!$C$1, INDEX('Room Info'!$A$2:$A2446, MATCH(B2102,'Room Info'!$C$2:$C2446, 0)),IF(G2102='Room Info'!$D$1, INDEX('Room Info'!$A$2:$A2446, MATCH(B2102,'Room Info'!$D$2:$D2446, 0)),IF(G2102='Room Info'!$E$1, INDEX('Room Info'!$A$2:$A2446, MATCH(B2102,'Room Info'!$E$2:$E2446, 0)),IF(G2102='Room Info'!$F$1, INDEX('Room Info'!$A$2:$A2446, MATCH(B2102,'Room Info'!$F$2:$F2446, 0)),IF(G2102='Room Info'!$H$1, INDEX('Room Info'!$A$2:$A2446, MATCH(B2102,'Room Info'!$H$2:$H2446, 0)),IF(G2102='Room Info'!$G$1, INDEX('Room Info'!$A$2:$A2446, MATCH(B2102,'Room Info'!$G$2:$G2446, 0)))))))))</f>
        <v>0</v>
      </c>
      <c r="B2102" s="96"/>
      <c r="C2102" s="136"/>
      <c r="D2102" s="136"/>
      <c r="E2102" s="137"/>
      <c r="F2102" s="133"/>
      <c r="G2102" s="96"/>
      <c r="H2102" s="100"/>
      <c r="I2102" s="100"/>
      <c r="J2102" s="39" t="s">
        <v>334</v>
      </c>
      <c r="K2102" s="134"/>
      <c r="L2102" s="135"/>
      <c r="M2102" s="79"/>
      <c r="N2102" s="28" t="e">
        <f t="shared" si="8"/>
        <v>#VALUE!</v>
      </c>
      <c r="O2102" s="96"/>
      <c r="P2102" s="29" t="s">
        <v>334</v>
      </c>
      <c r="Q2102" s="55"/>
      <c r="R2102" s="31" t="e">
        <f t="shared" si="9"/>
        <v>#VALUE!</v>
      </c>
      <c r="S2102" s="97"/>
      <c r="T2102" s="32" t="e">
        <f t="shared" si="10"/>
        <v>#VALUE!</v>
      </c>
      <c r="U2102" s="57"/>
      <c r="V2102" s="58"/>
      <c r="W2102" s="58"/>
      <c r="X2102" s="30" t="e">
        <f t="shared" si="11"/>
        <v>#N/A</v>
      </c>
      <c r="Y2102" s="30" t="e">
        <f t="shared" si="12"/>
        <v>#N/A</v>
      </c>
      <c r="Z2102" s="35" t="e">
        <f t="shared" si="13"/>
        <v>#VALUE!</v>
      </c>
      <c r="AA2102" s="29" t="e">
        <f t="shared" si="14"/>
        <v>#VALUE!</v>
      </c>
      <c r="AB2102" s="36" t="e">
        <f t="shared" si="15"/>
        <v>#VALUE!</v>
      </c>
      <c r="AC2102" s="37" t="b">
        <v>0</v>
      </c>
      <c r="AD2102" s="61" t="str">
        <f t="shared" si="16"/>
        <v>USD</v>
      </c>
      <c r="AE2102" s="37"/>
      <c r="AF2102" s="37" t="e">
        <f t="array" ref="AF2102">INDEX('Deal Info'!D:D, MATCH(A2102,'Deal Info'!A:A, 0))</f>
        <v>#N/A</v>
      </c>
      <c r="AG2102" s="38" t="e">
        <f t="array" ref="AG2102">INDEX('Deal Info'!G:G, MATCH(A2102,'Deal Info'!A:A, 0))</f>
        <v>#N/A</v>
      </c>
    </row>
    <row r="2103" spans="1:33" ht="14.25" hidden="1" x14ac:dyDescent="0.2">
      <c r="A2103" s="18" t="b">
        <f t="array" ref="A2103">IF(G2103='Room Info'!$B$1, INDEX('Room Info'!$A$2:$A2446, MATCH(B2103,'Room Info'!$B$2:$B2446, 0)),IF(G2103='Room Info'!$C$1, INDEX('Room Info'!$A$2:$A2446, MATCH(B2103,'Room Info'!$C$2:$C2446, 0)),IF(G2103='Room Info'!$D$1, INDEX('Room Info'!$A$2:$A2446, MATCH(B2103,'Room Info'!$D$2:$D2446, 0)),IF(G2103='Room Info'!$E$1, INDEX('Room Info'!$A$2:$A2446, MATCH(B2103,'Room Info'!$E$2:$E2446, 0)),IF(G2103='Room Info'!$F$1, INDEX('Room Info'!$A$2:$A2446, MATCH(B2103,'Room Info'!$F$2:$F2446, 0)),IF(G2103='Room Info'!$H$1, INDEX('Room Info'!$A$2:$A2446, MATCH(B2103,'Room Info'!$H$2:$H2446, 0)),IF(G2103='Room Info'!$G$1, INDEX('Room Info'!$A$2:$A2446, MATCH(B2103,'Room Info'!$G$2:$G2446, 0)))))))))</f>
        <v>0</v>
      </c>
      <c r="B2103" s="96"/>
      <c r="C2103" s="136"/>
      <c r="D2103" s="136"/>
      <c r="E2103" s="137"/>
      <c r="F2103" s="133"/>
      <c r="G2103" s="96"/>
      <c r="H2103" s="100"/>
      <c r="I2103" s="100"/>
      <c r="J2103" s="39" t="s">
        <v>334</v>
      </c>
      <c r="K2103" s="134"/>
      <c r="L2103" s="135"/>
      <c r="M2103" s="79"/>
      <c r="N2103" s="28" t="e">
        <f t="shared" si="8"/>
        <v>#VALUE!</v>
      </c>
      <c r="O2103" s="96"/>
      <c r="P2103" s="29" t="s">
        <v>334</v>
      </c>
      <c r="Q2103" s="55"/>
      <c r="R2103" s="31" t="e">
        <f t="shared" si="9"/>
        <v>#VALUE!</v>
      </c>
      <c r="S2103" s="97"/>
      <c r="T2103" s="32" t="e">
        <f t="shared" si="10"/>
        <v>#VALUE!</v>
      </c>
      <c r="U2103" s="57"/>
      <c r="V2103" s="58"/>
      <c r="W2103" s="58"/>
      <c r="X2103" s="30" t="e">
        <f t="shared" si="11"/>
        <v>#N/A</v>
      </c>
      <c r="Y2103" s="30" t="e">
        <f t="shared" si="12"/>
        <v>#N/A</v>
      </c>
      <c r="Z2103" s="35" t="e">
        <f t="shared" si="13"/>
        <v>#VALUE!</v>
      </c>
      <c r="AA2103" s="29" t="e">
        <f t="shared" si="14"/>
        <v>#VALUE!</v>
      </c>
      <c r="AB2103" s="36" t="e">
        <f t="shared" si="15"/>
        <v>#VALUE!</v>
      </c>
      <c r="AC2103" s="37" t="b">
        <v>0</v>
      </c>
      <c r="AD2103" s="61" t="str">
        <f t="shared" si="16"/>
        <v>USD</v>
      </c>
      <c r="AE2103" s="37"/>
      <c r="AF2103" s="37" t="e">
        <f t="array" ref="AF2103">INDEX('Deal Info'!D:D, MATCH(A2103,'Deal Info'!A:A, 0))</f>
        <v>#N/A</v>
      </c>
      <c r="AG2103" s="38" t="e">
        <f t="array" ref="AG2103">INDEX('Deal Info'!G:G, MATCH(A2103,'Deal Info'!A:A, 0))</f>
        <v>#N/A</v>
      </c>
    </row>
    <row r="2104" spans="1:33" ht="14.25" hidden="1" x14ac:dyDescent="0.2">
      <c r="A2104" s="18" t="b">
        <f t="array" ref="A2104">IF(G2104='Room Info'!$B$1, INDEX('Room Info'!$A$2:$A2446, MATCH(B2104,'Room Info'!$B$2:$B2446, 0)),IF(G2104='Room Info'!$C$1, INDEX('Room Info'!$A$2:$A2446, MATCH(B2104,'Room Info'!$C$2:$C2446, 0)),IF(G2104='Room Info'!$D$1, INDEX('Room Info'!$A$2:$A2446, MATCH(B2104,'Room Info'!$D$2:$D2446, 0)),IF(G2104='Room Info'!$E$1, INDEX('Room Info'!$A$2:$A2446, MATCH(B2104,'Room Info'!$E$2:$E2446, 0)),IF(G2104='Room Info'!$F$1, INDEX('Room Info'!$A$2:$A2446, MATCH(B2104,'Room Info'!$F$2:$F2446, 0)),IF(G2104='Room Info'!$H$1, INDEX('Room Info'!$A$2:$A2446, MATCH(B2104,'Room Info'!$H$2:$H2446, 0)),IF(G2104='Room Info'!$G$1, INDEX('Room Info'!$A$2:$A2446, MATCH(B2104,'Room Info'!$G$2:$G2446, 0)))))))))</f>
        <v>0</v>
      </c>
      <c r="B2104" s="65"/>
      <c r="C2104" s="111"/>
      <c r="D2104" s="111"/>
      <c r="E2104" s="80"/>
      <c r="F2104" s="133"/>
      <c r="G2104" s="65"/>
      <c r="H2104" s="110"/>
      <c r="I2104" s="110"/>
      <c r="J2104" s="39" t="s">
        <v>334</v>
      </c>
      <c r="K2104" s="112"/>
      <c r="L2104" s="113"/>
      <c r="M2104" s="62"/>
      <c r="N2104" s="28" t="e">
        <f t="shared" si="8"/>
        <v>#VALUE!</v>
      </c>
      <c r="O2104" s="65"/>
      <c r="P2104" s="29" t="s">
        <v>334</v>
      </c>
      <c r="Q2104" s="55"/>
      <c r="R2104" s="31" t="e">
        <f t="shared" si="9"/>
        <v>#VALUE!</v>
      </c>
      <c r="S2104" s="66"/>
      <c r="T2104" s="32" t="e">
        <f t="shared" si="10"/>
        <v>#VALUE!</v>
      </c>
      <c r="U2104" s="57"/>
      <c r="V2104" s="58"/>
      <c r="W2104" s="58"/>
      <c r="X2104" s="30" t="e">
        <f t="shared" si="11"/>
        <v>#N/A</v>
      </c>
      <c r="Y2104" s="30" t="e">
        <f t="shared" si="12"/>
        <v>#N/A</v>
      </c>
      <c r="Z2104" s="35" t="e">
        <f t="shared" si="13"/>
        <v>#VALUE!</v>
      </c>
      <c r="AA2104" s="29" t="e">
        <f t="shared" si="14"/>
        <v>#VALUE!</v>
      </c>
      <c r="AB2104" s="36" t="e">
        <f t="shared" si="15"/>
        <v>#VALUE!</v>
      </c>
      <c r="AC2104" s="37" t="b">
        <v>0</v>
      </c>
      <c r="AD2104" s="61" t="str">
        <f t="shared" si="16"/>
        <v>USD</v>
      </c>
      <c r="AE2104" s="37"/>
      <c r="AF2104" s="37" t="e">
        <f t="array" ref="AF2104">INDEX('Deal Info'!D:D, MATCH(A2104,'Deal Info'!A:A, 0))</f>
        <v>#N/A</v>
      </c>
      <c r="AG2104" s="38" t="e">
        <f t="array" ref="AG2104">INDEX('Deal Info'!G:G, MATCH(A2104,'Deal Info'!A:A, 0))</f>
        <v>#N/A</v>
      </c>
    </row>
    <row r="2105" spans="1:33" ht="14.25" hidden="1" x14ac:dyDescent="0.2">
      <c r="A2105" s="18" t="b">
        <f t="array" ref="A2105">IF(G2105='Room Info'!$B$1, INDEX('Room Info'!$A$2:$A2446, MATCH(B2105,'Room Info'!$B$2:$B2446, 0)),IF(G2105='Room Info'!$C$1, INDEX('Room Info'!$A$2:$A2446, MATCH(B2105,'Room Info'!$C$2:$C2446, 0)),IF(G2105='Room Info'!$D$1, INDEX('Room Info'!$A$2:$A2446, MATCH(B2105,'Room Info'!$D$2:$D2446, 0)),IF(G2105='Room Info'!$E$1, INDEX('Room Info'!$A$2:$A2446, MATCH(B2105,'Room Info'!$E$2:$E2446, 0)),IF(G2105='Room Info'!$F$1, INDEX('Room Info'!$A$2:$A2446, MATCH(B2105,'Room Info'!$F$2:$F2446, 0)),IF(G2105='Room Info'!$H$1, INDEX('Room Info'!$A$2:$A2446, MATCH(B2105,'Room Info'!$H$2:$H2446, 0)),IF(G2105='Room Info'!$G$1, INDEX('Room Info'!$A$2:$A2446, MATCH(B2105,'Room Info'!$G$2:$G2446, 0)))))))))</f>
        <v>0</v>
      </c>
      <c r="B2105" s="65"/>
      <c r="C2105" s="111"/>
      <c r="D2105" s="111"/>
      <c r="E2105" s="80"/>
      <c r="F2105" s="133"/>
      <c r="G2105" s="65"/>
      <c r="H2105" s="110"/>
      <c r="I2105" s="110"/>
      <c r="J2105" s="39" t="s">
        <v>334</v>
      </c>
      <c r="K2105" s="112"/>
      <c r="L2105" s="113"/>
      <c r="M2105" s="62"/>
      <c r="N2105" s="28" t="e">
        <f t="shared" si="8"/>
        <v>#VALUE!</v>
      </c>
      <c r="O2105" s="65"/>
      <c r="P2105" s="29" t="s">
        <v>334</v>
      </c>
      <c r="Q2105" s="55"/>
      <c r="R2105" s="31" t="e">
        <f t="shared" si="9"/>
        <v>#VALUE!</v>
      </c>
      <c r="S2105" s="66"/>
      <c r="T2105" s="32" t="e">
        <f t="shared" si="10"/>
        <v>#VALUE!</v>
      </c>
      <c r="U2105" s="57"/>
      <c r="V2105" s="58"/>
      <c r="W2105" s="58"/>
      <c r="X2105" s="30" t="e">
        <f t="shared" si="11"/>
        <v>#N/A</v>
      </c>
      <c r="Y2105" s="30" t="e">
        <f t="shared" si="12"/>
        <v>#N/A</v>
      </c>
      <c r="Z2105" s="35" t="e">
        <f t="shared" si="13"/>
        <v>#VALUE!</v>
      </c>
      <c r="AA2105" s="29" t="e">
        <f t="shared" si="14"/>
        <v>#VALUE!</v>
      </c>
      <c r="AB2105" s="36" t="e">
        <f t="shared" si="15"/>
        <v>#VALUE!</v>
      </c>
      <c r="AC2105" s="37" t="b">
        <v>0</v>
      </c>
      <c r="AD2105" s="61" t="str">
        <f t="shared" si="16"/>
        <v>USD</v>
      </c>
      <c r="AE2105" s="37"/>
      <c r="AF2105" s="37" t="e">
        <f t="array" ref="AF2105">INDEX('Deal Info'!D:D, MATCH(A2105,'Deal Info'!A:A, 0))</f>
        <v>#N/A</v>
      </c>
      <c r="AG2105" s="38" t="e">
        <f t="array" ref="AG2105">INDEX('Deal Info'!G:G, MATCH(A2105,'Deal Info'!A:A, 0))</f>
        <v>#N/A</v>
      </c>
    </row>
    <row r="2106" spans="1:33" ht="14.25" hidden="1" x14ac:dyDescent="0.2">
      <c r="A2106" s="18" t="b">
        <f t="array" ref="A2106">IF(G2106='Room Info'!$B$1, INDEX('Room Info'!$A$2:$A2446, MATCH(B2106,'Room Info'!$B$2:$B2446, 0)),IF(G2106='Room Info'!$C$1, INDEX('Room Info'!$A$2:$A2446, MATCH(B2106,'Room Info'!$C$2:$C2446, 0)),IF(G2106='Room Info'!$D$1, INDEX('Room Info'!$A$2:$A2446, MATCH(B2106,'Room Info'!$D$2:$D2446, 0)),IF(G2106='Room Info'!$E$1, INDEX('Room Info'!$A$2:$A2446, MATCH(B2106,'Room Info'!$E$2:$E2446, 0)),IF(G2106='Room Info'!$F$1, INDEX('Room Info'!$A$2:$A2446, MATCH(B2106,'Room Info'!$F$2:$F2446, 0)),IF(G2106='Room Info'!$H$1, INDEX('Room Info'!$A$2:$A2446, MATCH(B2106,'Room Info'!$H$2:$H2446, 0)),IF(G2106='Room Info'!$G$1, INDEX('Room Info'!$A$2:$A2446, MATCH(B2106,'Room Info'!$G$2:$G2446, 0)))))))))</f>
        <v>0</v>
      </c>
      <c r="B2106" s="65"/>
      <c r="C2106" s="111"/>
      <c r="D2106" s="111"/>
      <c r="E2106" s="80"/>
      <c r="F2106" s="133"/>
      <c r="G2106" s="65"/>
      <c r="H2106" s="110"/>
      <c r="I2106" s="110"/>
      <c r="J2106" s="39" t="s">
        <v>334</v>
      </c>
      <c r="K2106" s="112"/>
      <c r="L2106" s="113"/>
      <c r="M2106" s="62"/>
      <c r="N2106" s="28" t="e">
        <f t="shared" si="8"/>
        <v>#VALUE!</v>
      </c>
      <c r="O2106" s="65"/>
      <c r="P2106" s="29" t="s">
        <v>334</v>
      </c>
      <c r="Q2106" s="55"/>
      <c r="R2106" s="31" t="e">
        <f t="shared" si="9"/>
        <v>#VALUE!</v>
      </c>
      <c r="S2106" s="66"/>
      <c r="T2106" s="32" t="e">
        <f t="shared" si="10"/>
        <v>#VALUE!</v>
      </c>
      <c r="U2106" s="57"/>
      <c r="V2106" s="58"/>
      <c r="W2106" s="58"/>
      <c r="X2106" s="30" t="e">
        <f t="shared" si="11"/>
        <v>#N/A</v>
      </c>
      <c r="Y2106" s="30" t="e">
        <f t="shared" si="12"/>
        <v>#N/A</v>
      </c>
      <c r="Z2106" s="35" t="e">
        <f t="shared" si="13"/>
        <v>#VALUE!</v>
      </c>
      <c r="AA2106" s="29" t="e">
        <f t="shared" si="14"/>
        <v>#VALUE!</v>
      </c>
      <c r="AB2106" s="36" t="e">
        <f t="shared" si="15"/>
        <v>#VALUE!</v>
      </c>
      <c r="AC2106" s="37" t="b">
        <v>0</v>
      </c>
      <c r="AD2106" s="61" t="str">
        <f t="shared" si="16"/>
        <v>USD</v>
      </c>
      <c r="AE2106" s="37"/>
      <c r="AF2106" s="37" t="e">
        <f t="array" ref="AF2106">INDEX('Deal Info'!D:D, MATCH(A2106,'Deal Info'!A:A, 0))</f>
        <v>#N/A</v>
      </c>
      <c r="AG2106" s="38" t="e">
        <f t="array" ref="AG2106">INDEX('Deal Info'!G:G, MATCH(A2106,'Deal Info'!A:A, 0))</f>
        <v>#N/A</v>
      </c>
    </row>
    <row r="2107" spans="1:33" ht="14.25" hidden="1" x14ac:dyDescent="0.2">
      <c r="A2107" s="18" t="b">
        <f t="array" ref="A2107">IF(G2107='Room Info'!$B$1, INDEX('Room Info'!$A$2:$A2446, MATCH(B2107,'Room Info'!$B$2:$B2446, 0)),IF(G2107='Room Info'!$C$1, INDEX('Room Info'!$A$2:$A2446, MATCH(B2107,'Room Info'!$C$2:$C2446, 0)),IF(G2107='Room Info'!$D$1, INDEX('Room Info'!$A$2:$A2446, MATCH(B2107,'Room Info'!$D$2:$D2446, 0)),IF(G2107='Room Info'!$E$1, INDEX('Room Info'!$A$2:$A2446, MATCH(B2107,'Room Info'!$E$2:$E2446, 0)),IF(G2107='Room Info'!$F$1, INDEX('Room Info'!$A$2:$A2446, MATCH(B2107,'Room Info'!$F$2:$F2446, 0)),IF(G2107='Room Info'!$H$1, INDEX('Room Info'!$A$2:$A2446, MATCH(B2107,'Room Info'!$H$2:$H2446, 0)),IF(G2107='Room Info'!$G$1, INDEX('Room Info'!$A$2:$A2446, MATCH(B2107,'Room Info'!$G$2:$G2446, 0)))))))))</f>
        <v>0</v>
      </c>
      <c r="B2107" s="65"/>
      <c r="C2107" s="111"/>
      <c r="D2107" s="111"/>
      <c r="E2107" s="80"/>
      <c r="F2107" s="133"/>
      <c r="G2107" s="65"/>
      <c r="H2107" s="110"/>
      <c r="I2107" s="110"/>
      <c r="J2107" s="39" t="s">
        <v>334</v>
      </c>
      <c r="K2107" s="112"/>
      <c r="L2107" s="113"/>
      <c r="M2107" s="62"/>
      <c r="N2107" s="28" t="e">
        <f t="shared" si="8"/>
        <v>#VALUE!</v>
      </c>
      <c r="O2107" s="65"/>
      <c r="P2107" s="29" t="s">
        <v>334</v>
      </c>
      <c r="Q2107" s="55"/>
      <c r="R2107" s="31" t="e">
        <f t="shared" si="9"/>
        <v>#VALUE!</v>
      </c>
      <c r="S2107" s="66"/>
      <c r="T2107" s="32" t="e">
        <f t="shared" si="10"/>
        <v>#VALUE!</v>
      </c>
      <c r="U2107" s="57"/>
      <c r="V2107" s="58"/>
      <c r="W2107" s="58"/>
      <c r="X2107" s="30" t="e">
        <f t="shared" si="11"/>
        <v>#N/A</v>
      </c>
      <c r="Y2107" s="30" t="e">
        <f t="shared" si="12"/>
        <v>#N/A</v>
      </c>
      <c r="Z2107" s="35" t="e">
        <f t="shared" si="13"/>
        <v>#VALUE!</v>
      </c>
      <c r="AA2107" s="29" t="e">
        <f t="shared" si="14"/>
        <v>#VALUE!</v>
      </c>
      <c r="AB2107" s="36" t="e">
        <f t="shared" si="15"/>
        <v>#VALUE!</v>
      </c>
      <c r="AC2107" s="37" t="b">
        <v>0</v>
      </c>
      <c r="AD2107" s="61" t="str">
        <f t="shared" si="16"/>
        <v>USD</v>
      </c>
      <c r="AE2107" s="37"/>
      <c r="AF2107" s="37" t="e">
        <f t="array" ref="AF2107">INDEX('Deal Info'!D:D, MATCH(A2107,'Deal Info'!A:A, 0))</f>
        <v>#N/A</v>
      </c>
      <c r="AG2107" s="38" t="e">
        <f t="array" ref="AG2107">INDEX('Deal Info'!G:G, MATCH(A2107,'Deal Info'!A:A, 0))</f>
        <v>#N/A</v>
      </c>
    </row>
    <row r="2108" spans="1:33" ht="14.25" hidden="1" x14ac:dyDescent="0.2">
      <c r="A2108" s="18" t="b">
        <f t="array" ref="A2108">IF(G2108='Room Info'!$B$1, INDEX('Room Info'!$A$2:$A2446, MATCH(B2108,'Room Info'!$B$2:$B2446, 0)),IF(G2108='Room Info'!$C$1, INDEX('Room Info'!$A$2:$A2446, MATCH(B2108,'Room Info'!$C$2:$C2446, 0)),IF(G2108='Room Info'!$D$1, INDEX('Room Info'!$A$2:$A2446, MATCH(B2108,'Room Info'!$D$2:$D2446, 0)),IF(G2108='Room Info'!$E$1, INDEX('Room Info'!$A$2:$A2446, MATCH(B2108,'Room Info'!$E$2:$E2446, 0)),IF(G2108='Room Info'!$F$1, INDEX('Room Info'!$A$2:$A2446, MATCH(B2108,'Room Info'!$F$2:$F2446, 0)),IF(G2108='Room Info'!$H$1, INDEX('Room Info'!$A$2:$A2446, MATCH(B2108,'Room Info'!$H$2:$H2446, 0)),IF(G2108='Room Info'!$G$1, INDEX('Room Info'!$A$2:$A2446, MATCH(B2108,'Room Info'!$G$2:$G2446, 0)))))))))</f>
        <v>0</v>
      </c>
      <c r="B2108" s="65"/>
      <c r="C2108" s="111"/>
      <c r="D2108" s="111"/>
      <c r="E2108" s="80"/>
      <c r="F2108" s="133"/>
      <c r="G2108" s="65"/>
      <c r="H2108" s="110"/>
      <c r="I2108" s="110"/>
      <c r="J2108" s="39" t="s">
        <v>334</v>
      </c>
      <c r="K2108" s="112"/>
      <c r="L2108" s="113"/>
      <c r="M2108" s="62"/>
      <c r="N2108" s="28" t="e">
        <f t="shared" si="8"/>
        <v>#VALUE!</v>
      </c>
      <c r="O2108" s="65"/>
      <c r="P2108" s="29" t="s">
        <v>334</v>
      </c>
      <c r="Q2108" s="55"/>
      <c r="R2108" s="31" t="e">
        <f t="shared" si="9"/>
        <v>#VALUE!</v>
      </c>
      <c r="S2108" s="66"/>
      <c r="T2108" s="32" t="e">
        <f t="shared" si="10"/>
        <v>#VALUE!</v>
      </c>
      <c r="U2108" s="57"/>
      <c r="V2108" s="58"/>
      <c r="W2108" s="58"/>
      <c r="X2108" s="30" t="e">
        <f t="shared" si="11"/>
        <v>#N/A</v>
      </c>
      <c r="Y2108" s="30" t="e">
        <f t="shared" si="12"/>
        <v>#N/A</v>
      </c>
      <c r="Z2108" s="35" t="e">
        <f t="shared" si="13"/>
        <v>#VALUE!</v>
      </c>
      <c r="AA2108" s="29" t="e">
        <f t="shared" si="14"/>
        <v>#VALUE!</v>
      </c>
      <c r="AB2108" s="36" t="e">
        <f t="shared" si="15"/>
        <v>#VALUE!</v>
      </c>
      <c r="AC2108" s="37" t="b">
        <v>0</v>
      </c>
      <c r="AD2108" s="61" t="str">
        <f t="shared" si="16"/>
        <v>USD</v>
      </c>
      <c r="AE2108" s="37"/>
      <c r="AF2108" s="37" t="e">
        <f t="array" ref="AF2108">INDEX('Deal Info'!D:D, MATCH(A2108,'Deal Info'!A:A, 0))</f>
        <v>#N/A</v>
      </c>
      <c r="AG2108" s="38" t="e">
        <f t="array" ref="AG2108">INDEX('Deal Info'!G:G, MATCH(A2108,'Deal Info'!A:A, 0))</f>
        <v>#N/A</v>
      </c>
    </row>
    <row r="2109" spans="1:33" ht="14.25" hidden="1" x14ac:dyDescent="0.2">
      <c r="A2109" s="18" t="b">
        <f t="array" ref="A2109">IF(G2109='Room Info'!$B$1, INDEX('Room Info'!$A$2:$A2446, MATCH(B2109,'Room Info'!$B$2:$B2446, 0)),IF(G2109='Room Info'!$C$1, INDEX('Room Info'!$A$2:$A2446, MATCH(B2109,'Room Info'!$C$2:$C2446, 0)),IF(G2109='Room Info'!$D$1, INDEX('Room Info'!$A$2:$A2446, MATCH(B2109,'Room Info'!$D$2:$D2446, 0)),IF(G2109='Room Info'!$E$1, INDEX('Room Info'!$A$2:$A2446, MATCH(B2109,'Room Info'!$E$2:$E2446, 0)),IF(G2109='Room Info'!$F$1, INDEX('Room Info'!$A$2:$A2446, MATCH(B2109,'Room Info'!$F$2:$F2446, 0)),IF(G2109='Room Info'!$H$1, INDEX('Room Info'!$A$2:$A2446, MATCH(B2109,'Room Info'!$H$2:$H2446, 0)),IF(G2109='Room Info'!$G$1, INDEX('Room Info'!$A$2:$A2446, MATCH(B2109,'Room Info'!$G$2:$G2446, 0)))))))))</f>
        <v>0</v>
      </c>
      <c r="B2109" s="65"/>
      <c r="C2109" s="111"/>
      <c r="D2109" s="111"/>
      <c r="E2109" s="80"/>
      <c r="F2109" s="133"/>
      <c r="G2109" s="65"/>
      <c r="H2109" s="110"/>
      <c r="I2109" s="110"/>
      <c r="J2109" s="39" t="s">
        <v>334</v>
      </c>
      <c r="K2109" s="112"/>
      <c r="L2109" s="138"/>
      <c r="M2109" s="62"/>
      <c r="N2109" s="28" t="e">
        <f t="shared" si="8"/>
        <v>#VALUE!</v>
      </c>
      <c r="O2109" s="128"/>
      <c r="P2109" s="29" t="s">
        <v>334</v>
      </c>
      <c r="Q2109" s="55"/>
      <c r="R2109" s="31" t="e">
        <f t="shared" si="9"/>
        <v>#VALUE!</v>
      </c>
      <c r="S2109" s="118"/>
      <c r="T2109" s="32" t="e">
        <f t="shared" si="10"/>
        <v>#VALUE!</v>
      </c>
      <c r="U2109" s="57"/>
      <c r="V2109" s="58"/>
      <c r="W2109" s="58"/>
      <c r="X2109" s="30" t="e">
        <f t="shared" si="11"/>
        <v>#N/A</v>
      </c>
      <c r="Y2109" s="30" t="e">
        <f t="shared" si="12"/>
        <v>#N/A</v>
      </c>
      <c r="Z2109" s="35" t="e">
        <f t="shared" si="13"/>
        <v>#VALUE!</v>
      </c>
      <c r="AA2109" s="29" t="e">
        <f t="shared" si="14"/>
        <v>#VALUE!</v>
      </c>
      <c r="AB2109" s="36" t="e">
        <f t="shared" si="15"/>
        <v>#VALUE!</v>
      </c>
      <c r="AC2109" s="37" t="b">
        <v>0</v>
      </c>
      <c r="AD2109" s="61" t="str">
        <f t="shared" si="16"/>
        <v>USD</v>
      </c>
      <c r="AE2109" s="37"/>
      <c r="AF2109" s="37" t="e">
        <f t="array" ref="AF2109">INDEX('Deal Info'!D:D, MATCH(A2109,'Deal Info'!A:A, 0))</f>
        <v>#N/A</v>
      </c>
      <c r="AG2109" s="38" t="e">
        <f t="array" ref="AG2109">INDEX('Deal Info'!G:G, MATCH(A2109,'Deal Info'!A:A, 0))</f>
        <v>#N/A</v>
      </c>
    </row>
    <row r="2110" spans="1:33" ht="14.25" hidden="1" x14ac:dyDescent="0.2">
      <c r="A2110" s="18" t="b">
        <f t="array" ref="A2110">IF(G2110='Room Info'!$B$1, INDEX('Room Info'!$A$2:$A2446, MATCH(B2110,'Room Info'!$B$2:$B2446, 0)),IF(G2110='Room Info'!$C$1, INDEX('Room Info'!$A$2:$A2446, MATCH(B2110,'Room Info'!$C$2:$C2446, 0)),IF(G2110='Room Info'!$D$1, INDEX('Room Info'!$A$2:$A2446, MATCH(B2110,'Room Info'!$D$2:$D2446, 0)),IF(G2110='Room Info'!$E$1, INDEX('Room Info'!$A$2:$A2446, MATCH(B2110,'Room Info'!$E$2:$E2446, 0)),IF(G2110='Room Info'!$F$1, INDEX('Room Info'!$A$2:$A2446, MATCH(B2110,'Room Info'!$F$2:$F2446, 0)),IF(G2110='Room Info'!$H$1, INDEX('Room Info'!$A$2:$A2446, MATCH(B2110,'Room Info'!$H$2:$H2446, 0)),IF(G2110='Room Info'!$G$1, INDEX('Room Info'!$A$2:$A2446, MATCH(B2110,'Room Info'!$G$2:$G2446, 0)))))))))</f>
        <v>0</v>
      </c>
      <c r="B2110" s="65"/>
      <c r="C2110" s="111"/>
      <c r="D2110" s="111"/>
      <c r="E2110" s="80"/>
      <c r="F2110" s="133"/>
      <c r="G2110" s="65"/>
      <c r="H2110" s="110"/>
      <c r="I2110" s="110"/>
      <c r="J2110" s="39" t="s">
        <v>334</v>
      </c>
      <c r="K2110" s="112"/>
      <c r="L2110" s="138"/>
      <c r="M2110" s="62"/>
      <c r="N2110" s="28" t="e">
        <f t="shared" si="8"/>
        <v>#VALUE!</v>
      </c>
      <c r="O2110" s="128"/>
      <c r="P2110" s="29" t="s">
        <v>334</v>
      </c>
      <c r="Q2110" s="55"/>
      <c r="R2110" s="31" t="e">
        <f t="shared" si="9"/>
        <v>#VALUE!</v>
      </c>
      <c r="S2110" s="118"/>
      <c r="T2110" s="32" t="e">
        <f t="shared" si="10"/>
        <v>#VALUE!</v>
      </c>
      <c r="U2110" s="57"/>
      <c r="V2110" s="58"/>
      <c r="W2110" s="58"/>
      <c r="X2110" s="30" t="e">
        <f t="shared" si="11"/>
        <v>#N/A</v>
      </c>
      <c r="Y2110" s="30" t="e">
        <f t="shared" si="12"/>
        <v>#N/A</v>
      </c>
      <c r="Z2110" s="35" t="e">
        <f t="shared" si="13"/>
        <v>#VALUE!</v>
      </c>
      <c r="AA2110" s="29" t="e">
        <f t="shared" si="14"/>
        <v>#VALUE!</v>
      </c>
      <c r="AB2110" s="36" t="e">
        <f t="shared" si="15"/>
        <v>#VALUE!</v>
      </c>
      <c r="AC2110" s="37" t="b">
        <v>0</v>
      </c>
      <c r="AD2110" s="61" t="str">
        <f t="shared" si="16"/>
        <v>USD</v>
      </c>
      <c r="AE2110" s="37"/>
      <c r="AF2110" s="37" t="e">
        <f t="array" ref="AF2110">INDEX('Deal Info'!D:D, MATCH(A2110,'Deal Info'!A:A, 0))</f>
        <v>#N/A</v>
      </c>
      <c r="AG2110" s="38" t="e">
        <f t="array" ref="AG2110">INDEX('Deal Info'!G:G, MATCH(A2110,'Deal Info'!A:A, 0))</f>
        <v>#N/A</v>
      </c>
    </row>
    <row r="2111" spans="1:33" ht="14.25" hidden="1" x14ac:dyDescent="0.2">
      <c r="A2111" s="18" t="b">
        <f t="array" ref="A2111">IF(G2111='Room Info'!$B$1, INDEX('Room Info'!$A$2:$A2446, MATCH(B2111,'Room Info'!$B$2:$B2446, 0)),IF(G2111='Room Info'!$C$1, INDEX('Room Info'!$A$2:$A2446, MATCH(B2111,'Room Info'!$C$2:$C2446, 0)),IF(G2111='Room Info'!$D$1, INDEX('Room Info'!$A$2:$A2446, MATCH(B2111,'Room Info'!$D$2:$D2446, 0)),IF(G2111='Room Info'!$E$1, INDEX('Room Info'!$A$2:$A2446, MATCH(B2111,'Room Info'!$E$2:$E2446, 0)),IF(G2111='Room Info'!$F$1, INDEX('Room Info'!$A$2:$A2446, MATCH(B2111,'Room Info'!$F$2:$F2446, 0)),IF(G2111='Room Info'!$H$1, INDEX('Room Info'!$A$2:$A2446, MATCH(B2111,'Room Info'!$H$2:$H2446, 0)),IF(G2111='Room Info'!$G$1, INDEX('Room Info'!$A$2:$A2446, MATCH(B2111,'Room Info'!$G$2:$G2446, 0)))))))))</f>
        <v>0</v>
      </c>
      <c r="B2111" s="96"/>
      <c r="C2111" s="111"/>
      <c r="D2111" s="111"/>
      <c r="E2111" s="80"/>
      <c r="F2111" s="96"/>
      <c r="G2111" s="65"/>
      <c r="H2111" s="110"/>
      <c r="I2111" s="110"/>
      <c r="J2111" s="39" t="s">
        <v>334</v>
      </c>
      <c r="K2111" s="112"/>
      <c r="L2111" s="113"/>
      <c r="M2111" s="62"/>
      <c r="N2111" s="28" t="e">
        <f t="shared" si="8"/>
        <v>#VALUE!</v>
      </c>
      <c r="O2111" s="65"/>
      <c r="P2111" s="29" t="s">
        <v>334</v>
      </c>
      <c r="Q2111" s="55"/>
      <c r="R2111" s="31" t="e">
        <f t="shared" si="9"/>
        <v>#VALUE!</v>
      </c>
      <c r="S2111" s="66"/>
      <c r="T2111" s="32" t="e">
        <f t="shared" si="10"/>
        <v>#VALUE!</v>
      </c>
      <c r="U2111" s="57"/>
      <c r="V2111" s="58"/>
      <c r="W2111" s="58"/>
      <c r="X2111" s="30" t="e">
        <f t="shared" si="11"/>
        <v>#N/A</v>
      </c>
      <c r="Y2111" s="30" t="e">
        <f t="shared" si="12"/>
        <v>#N/A</v>
      </c>
      <c r="Z2111" s="35" t="e">
        <f t="shared" si="13"/>
        <v>#VALUE!</v>
      </c>
      <c r="AA2111" s="29" t="e">
        <f t="shared" si="14"/>
        <v>#VALUE!</v>
      </c>
      <c r="AB2111" s="36" t="e">
        <f t="shared" si="15"/>
        <v>#VALUE!</v>
      </c>
      <c r="AC2111" s="37" t="b">
        <v>0</v>
      </c>
      <c r="AD2111" s="61" t="str">
        <f t="shared" si="16"/>
        <v>USD</v>
      </c>
      <c r="AE2111" s="37"/>
      <c r="AF2111" s="37" t="e">
        <f t="array" ref="AF2111">INDEX('Deal Info'!D:D, MATCH(A2111,'Deal Info'!A:A, 0))</f>
        <v>#N/A</v>
      </c>
      <c r="AG2111" s="38" t="e">
        <f t="array" ref="AG2111">INDEX('Deal Info'!G:G, MATCH(A2111,'Deal Info'!A:A, 0))</f>
        <v>#N/A</v>
      </c>
    </row>
    <row r="2112" spans="1:33" ht="14.25" hidden="1" x14ac:dyDescent="0.2">
      <c r="A2112" s="18" t="b">
        <f t="array" ref="A2112">IF(G2112='Room Info'!$B$1, INDEX('Room Info'!$A$2:$A2446, MATCH(B2112,'Room Info'!$B$2:$B2446, 0)),IF(G2112='Room Info'!$C$1, INDEX('Room Info'!$A$2:$A2446, MATCH(B2112,'Room Info'!$C$2:$C2446, 0)),IF(G2112='Room Info'!$D$1, INDEX('Room Info'!$A$2:$A2446, MATCH(B2112,'Room Info'!$D$2:$D2446, 0)),IF(G2112='Room Info'!$E$1, INDEX('Room Info'!$A$2:$A2446, MATCH(B2112,'Room Info'!$E$2:$E2446, 0)),IF(G2112='Room Info'!$F$1, INDEX('Room Info'!$A$2:$A2446, MATCH(B2112,'Room Info'!$F$2:$F2446, 0)),IF(G2112='Room Info'!$H$1, INDEX('Room Info'!$A$2:$A2446, MATCH(B2112,'Room Info'!$H$2:$H2446, 0)),IF(G2112='Room Info'!$G$1, INDEX('Room Info'!$A$2:$A2446, MATCH(B2112,'Room Info'!$G$2:$G2446, 0)))))))))</f>
        <v>0</v>
      </c>
      <c r="B2112" s="96"/>
      <c r="C2112" s="111"/>
      <c r="D2112" s="111"/>
      <c r="E2112" s="80"/>
      <c r="F2112" s="96"/>
      <c r="G2112" s="65"/>
      <c r="H2112" s="110"/>
      <c r="I2112" s="110"/>
      <c r="J2112" s="39" t="s">
        <v>334</v>
      </c>
      <c r="K2112" s="112"/>
      <c r="L2112" s="113"/>
      <c r="M2112" s="62"/>
      <c r="N2112" s="28" t="e">
        <f t="shared" si="8"/>
        <v>#VALUE!</v>
      </c>
      <c r="O2112" s="65"/>
      <c r="P2112" s="29" t="s">
        <v>334</v>
      </c>
      <c r="Q2112" s="55"/>
      <c r="R2112" s="31" t="e">
        <f t="shared" si="9"/>
        <v>#VALUE!</v>
      </c>
      <c r="S2112" s="66"/>
      <c r="T2112" s="32" t="e">
        <f t="shared" si="10"/>
        <v>#VALUE!</v>
      </c>
      <c r="U2112" s="57"/>
      <c r="V2112" s="58"/>
      <c r="W2112" s="58"/>
      <c r="X2112" s="30" t="e">
        <f t="shared" si="11"/>
        <v>#N/A</v>
      </c>
      <c r="Y2112" s="30" t="e">
        <f t="shared" si="12"/>
        <v>#N/A</v>
      </c>
      <c r="Z2112" s="35" t="e">
        <f t="shared" si="13"/>
        <v>#VALUE!</v>
      </c>
      <c r="AA2112" s="29" t="e">
        <f t="shared" si="14"/>
        <v>#VALUE!</v>
      </c>
      <c r="AB2112" s="36" t="e">
        <f t="shared" si="15"/>
        <v>#VALUE!</v>
      </c>
      <c r="AC2112" s="37" t="b">
        <v>0</v>
      </c>
      <c r="AD2112" s="61" t="str">
        <f t="shared" si="16"/>
        <v>USD</v>
      </c>
      <c r="AE2112" s="37"/>
      <c r="AF2112" s="37" t="e">
        <f t="array" ref="AF2112">INDEX('Deal Info'!D:D, MATCH(A2112,'Deal Info'!A:A, 0))</f>
        <v>#N/A</v>
      </c>
      <c r="AG2112" s="38" t="e">
        <f t="array" ref="AG2112">INDEX('Deal Info'!G:G, MATCH(A2112,'Deal Info'!A:A, 0))</f>
        <v>#N/A</v>
      </c>
    </row>
    <row r="2113" spans="1:33" ht="14.25" hidden="1" x14ac:dyDescent="0.2">
      <c r="A2113" s="18" t="b">
        <f t="array" ref="A2113">IF(G2113='Room Info'!$B$1, INDEX('Room Info'!$A$2:$A2446, MATCH(B2113,'Room Info'!$B$2:$B2446, 0)),IF(G2113='Room Info'!$C$1, INDEX('Room Info'!$A$2:$A2446, MATCH(B2113,'Room Info'!$C$2:$C2446, 0)),IF(G2113='Room Info'!$D$1, INDEX('Room Info'!$A$2:$A2446, MATCH(B2113,'Room Info'!$D$2:$D2446, 0)),IF(G2113='Room Info'!$E$1, INDEX('Room Info'!$A$2:$A2446, MATCH(B2113,'Room Info'!$E$2:$E2446, 0)),IF(G2113='Room Info'!$F$1, INDEX('Room Info'!$A$2:$A2446, MATCH(B2113,'Room Info'!$F$2:$F2446, 0)),IF(G2113='Room Info'!$H$1, INDEX('Room Info'!$A$2:$A2446, MATCH(B2113,'Room Info'!$H$2:$H2446, 0)),IF(G2113='Room Info'!$G$1, INDEX('Room Info'!$A$2:$A2446, MATCH(B2113,'Room Info'!$G$2:$G2446, 0)))))))))</f>
        <v>0</v>
      </c>
      <c r="B2113" s="96"/>
      <c r="C2113" s="136"/>
      <c r="D2113" s="136"/>
      <c r="E2113" s="137"/>
      <c r="F2113" s="133"/>
      <c r="G2113" s="96"/>
      <c r="H2113" s="100"/>
      <c r="I2113" s="100"/>
      <c r="J2113" s="39" t="s">
        <v>334</v>
      </c>
      <c r="K2113" s="134"/>
      <c r="L2113" s="135"/>
      <c r="M2113" s="79"/>
      <c r="N2113" s="28" t="e">
        <f t="shared" si="8"/>
        <v>#VALUE!</v>
      </c>
      <c r="O2113" s="96"/>
      <c r="P2113" s="29" t="s">
        <v>334</v>
      </c>
      <c r="Q2113" s="55"/>
      <c r="R2113" s="31" t="e">
        <f t="shared" si="9"/>
        <v>#VALUE!</v>
      </c>
      <c r="S2113" s="97"/>
      <c r="T2113" s="32" t="e">
        <f t="shared" si="10"/>
        <v>#VALUE!</v>
      </c>
      <c r="U2113" s="57"/>
      <c r="V2113" s="58"/>
      <c r="W2113" s="58"/>
      <c r="X2113" s="30" t="e">
        <f t="shared" si="11"/>
        <v>#N/A</v>
      </c>
      <c r="Y2113" s="30" t="e">
        <f t="shared" si="12"/>
        <v>#N/A</v>
      </c>
      <c r="Z2113" s="35" t="e">
        <f t="shared" si="13"/>
        <v>#VALUE!</v>
      </c>
      <c r="AA2113" s="29" t="e">
        <f t="shared" si="14"/>
        <v>#VALUE!</v>
      </c>
      <c r="AB2113" s="36" t="e">
        <f t="shared" si="15"/>
        <v>#VALUE!</v>
      </c>
      <c r="AC2113" s="37" t="b">
        <v>0</v>
      </c>
      <c r="AD2113" s="61" t="str">
        <f t="shared" si="16"/>
        <v>USD</v>
      </c>
      <c r="AE2113" s="37"/>
      <c r="AF2113" s="37" t="e">
        <f t="array" ref="AF2113">INDEX('Deal Info'!D:D, MATCH(A2113,'Deal Info'!A:A, 0))</f>
        <v>#N/A</v>
      </c>
      <c r="AG2113" s="38" t="e">
        <f t="array" ref="AG2113">INDEX('Deal Info'!G:G, MATCH(A2113,'Deal Info'!A:A, 0))</f>
        <v>#N/A</v>
      </c>
    </row>
    <row r="2114" spans="1:33" ht="14.25" hidden="1" x14ac:dyDescent="0.2">
      <c r="A2114" s="18" t="b">
        <f t="array" ref="A2114">IF(G2114='Room Info'!$B$1, INDEX('Room Info'!$A$2:$A2446, MATCH(B2114,'Room Info'!$B$2:$B2446, 0)),IF(G2114='Room Info'!$C$1, INDEX('Room Info'!$A$2:$A2446, MATCH(B2114,'Room Info'!$C$2:$C2446, 0)),IF(G2114='Room Info'!$D$1, INDEX('Room Info'!$A$2:$A2446, MATCH(B2114,'Room Info'!$D$2:$D2446, 0)),IF(G2114='Room Info'!$E$1, INDEX('Room Info'!$A$2:$A2446, MATCH(B2114,'Room Info'!$E$2:$E2446, 0)),IF(G2114='Room Info'!$F$1, INDEX('Room Info'!$A$2:$A2446, MATCH(B2114,'Room Info'!$F$2:$F2446, 0)),IF(G2114='Room Info'!$H$1, INDEX('Room Info'!$A$2:$A2446, MATCH(B2114,'Room Info'!$H$2:$H2446, 0)),IF(G2114='Room Info'!$G$1, INDEX('Room Info'!$A$2:$A2446, MATCH(B2114,'Room Info'!$G$2:$G2446, 0)))))))))</f>
        <v>0</v>
      </c>
      <c r="B2114" s="96"/>
      <c r="C2114" s="111"/>
      <c r="D2114" s="111"/>
      <c r="E2114" s="80"/>
      <c r="F2114" s="133"/>
      <c r="G2114" s="65"/>
      <c r="H2114" s="110"/>
      <c r="I2114" s="110"/>
      <c r="J2114" s="39" t="s">
        <v>334</v>
      </c>
      <c r="K2114" s="112"/>
      <c r="L2114" s="113"/>
      <c r="M2114" s="62"/>
      <c r="N2114" s="28" t="e">
        <f t="shared" si="8"/>
        <v>#VALUE!</v>
      </c>
      <c r="O2114" s="65"/>
      <c r="P2114" s="29" t="s">
        <v>334</v>
      </c>
      <c r="Q2114" s="55"/>
      <c r="R2114" s="31" t="e">
        <f t="shared" si="9"/>
        <v>#VALUE!</v>
      </c>
      <c r="S2114" s="66"/>
      <c r="T2114" s="32" t="e">
        <f t="shared" si="10"/>
        <v>#VALUE!</v>
      </c>
      <c r="U2114" s="57"/>
      <c r="V2114" s="58"/>
      <c r="W2114" s="58"/>
      <c r="X2114" s="30" t="e">
        <f t="shared" si="11"/>
        <v>#N/A</v>
      </c>
      <c r="Y2114" s="30" t="e">
        <f t="shared" si="12"/>
        <v>#N/A</v>
      </c>
      <c r="Z2114" s="35" t="e">
        <f t="shared" si="13"/>
        <v>#VALUE!</v>
      </c>
      <c r="AA2114" s="29" t="e">
        <f t="shared" si="14"/>
        <v>#VALUE!</v>
      </c>
      <c r="AB2114" s="36" t="e">
        <f t="shared" si="15"/>
        <v>#VALUE!</v>
      </c>
      <c r="AC2114" s="37" t="b">
        <v>0</v>
      </c>
      <c r="AD2114" s="61" t="str">
        <f t="shared" si="16"/>
        <v>USD</v>
      </c>
      <c r="AE2114" s="37"/>
      <c r="AF2114" s="37" t="e">
        <f t="array" ref="AF2114">INDEX('Deal Info'!D:D, MATCH(A2114,'Deal Info'!A:A, 0))</f>
        <v>#N/A</v>
      </c>
      <c r="AG2114" s="38" t="e">
        <f t="array" ref="AG2114">INDEX('Deal Info'!G:G, MATCH(A2114,'Deal Info'!A:A, 0))</f>
        <v>#N/A</v>
      </c>
    </row>
    <row r="2115" spans="1:33" ht="14.25" hidden="1" x14ac:dyDescent="0.2">
      <c r="A2115" s="18" t="b">
        <f t="array" ref="A2115">IF(G2115='Room Info'!$B$1, INDEX('Room Info'!$A$2:$A2446, MATCH(B2115,'Room Info'!$B$2:$B2446, 0)),IF(G2115='Room Info'!$C$1, INDEX('Room Info'!$A$2:$A2446, MATCH(B2115,'Room Info'!$C$2:$C2446, 0)),IF(G2115='Room Info'!$D$1, INDEX('Room Info'!$A$2:$A2446, MATCH(B2115,'Room Info'!$D$2:$D2446, 0)),IF(G2115='Room Info'!$E$1, INDEX('Room Info'!$A$2:$A2446, MATCH(B2115,'Room Info'!$E$2:$E2446, 0)),IF(G2115='Room Info'!$F$1, INDEX('Room Info'!$A$2:$A2446, MATCH(B2115,'Room Info'!$F$2:$F2446, 0)),IF(G2115='Room Info'!$H$1, INDEX('Room Info'!$A$2:$A2446, MATCH(B2115,'Room Info'!$H$2:$H2446, 0)),IF(G2115='Room Info'!$G$1, INDEX('Room Info'!$A$2:$A2446, MATCH(B2115,'Room Info'!$G$2:$G2446, 0)))))))))</f>
        <v>0</v>
      </c>
      <c r="B2115" s="96"/>
      <c r="C2115" s="111"/>
      <c r="D2115" s="111"/>
      <c r="E2115" s="80"/>
      <c r="F2115" s="133"/>
      <c r="G2115" s="65"/>
      <c r="H2115" s="110"/>
      <c r="I2115" s="110"/>
      <c r="J2115" s="39" t="s">
        <v>334</v>
      </c>
      <c r="K2115" s="112"/>
      <c r="L2115" s="113"/>
      <c r="M2115" s="62"/>
      <c r="N2115" s="28" t="e">
        <f t="shared" si="8"/>
        <v>#VALUE!</v>
      </c>
      <c r="O2115" s="65"/>
      <c r="P2115" s="29" t="s">
        <v>334</v>
      </c>
      <c r="Q2115" s="55"/>
      <c r="R2115" s="31" t="e">
        <f t="shared" si="9"/>
        <v>#VALUE!</v>
      </c>
      <c r="S2115" s="66"/>
      <c r="T2115" s="32" t="e">
        <f t="shared" si="10"/>
        <v>#VALUE!</v>
      </c>
      <c r="U2115" s="57"/>
      <c r="V2115" s="58"/>
      <c r="W2115" s="58"/>
      <c r="X2115" s="30" t="e">
        <f t="shared" si="11"/>
        <v>#N/A</v>
      </c>
      <c r="Y2115" s="30" t="e">
        <f t="shared" si="12"/>
        <v>#N/A</v>
      </c>
      <c r="Z2115" s="35" t="e">
        <f t="shared" si="13"/>
        <v>#VALUE!</v>
      </c>
      <c r="AA2115" s="29" t="e">
        <f t="shared" si="14"/>
        <v>#VALUE!</v>
      </c>
      <c r="AB2115" s="36" t="e">
        <f t="shared" si="15"/>
        <v>#VALUE!</v>
      </c>
      <c r="AC2115" s="37" t="b">
        <v>0</v>
      </c>
      <c r="AD2115" s="61" t="str">
        <f t="shared" si="16"/>
        <v>USD</v>
      </c>
      <c r="AE2115" s="37"/>
      <c r="AF2115" s="37" t="e">
        <f t="array" ref="AF2115">INDEX('Deal Info'!D:D, MATCH(A2115,'Deal Info'!A:A, 0))</f>
        <v>#N/A</v>
      </c>
      <c r="AG2115" s="38" t="e">
        <f t="array" ref="AG2115">INDEX('Deal Info'!G:G, MATCH(A2115,'Deal Info'!A:A, 0))</f>
        <v>#N/A</v>
      </c>
    </row>
    <row r="2116" spans="1:33" ht="14.25" hidden="1" x14ac:dyDescent="0.2">
      <c r="A2116" s="18" t="b">
        <f t="array" ref="A2116">IF(G2116='Room Info'!$B$1, INDEX('Room Info'!$A$2:$A2446, MATCH(B2116,'Room Info'!$B$2:$B2446, 0)),IF(G2116='Room Info'!$C$1, INDEX('Room Info'!$A$2:$A2446, MATCH(B2116,'Room Info'!$C$2:$C2446, 0)),IF(G2116='Room Info'!$D$1, INDEX('Room Info'!$A$2:$A2446, MATCH(B2116,'Room Info'!$D$2:$D2446, 0)),IF(G2116='Room Info'!$E$1, INDEX('Room Info'!$A$2:$A2446, MATCH(B2116,'Room Info'!$E$2:$E2446, 0)),IF(G2116='Room Info'!$F$1, INDEX('Room Info'!$A$2:$A2446, MATCH(B2116,'Room Info'!$F$2:$F2446, 0)),IF(G2116='Room Info'!$H$1, INDEX('Room Info'!$A$2:$A2446, MATCH(B2116,'Room Info'!$H$2:$H2446, 0)),IF(G2116='Room Info'!$G$1, INDEX('Room Info'!$A$2:$A2446, MATCH(B2116,'Room Info'!$G$2:$G2446, 0)))))))))</f>
        <v>0</v>
      </c>
      <c r="B2116" s="96"/>
      <c r="C2116" s="111"/>
      <c r="D2116" s="111"/>
      <c r="E2116" s="80"/>
      <c r="F2116" s="133"/>
      <c r="G2116" s="65"/>
      <c r="H2116" s="110"/>
      <c r="I2116" s="110"/>
      <c r="J2116" s="39" t="s">
        <v>334</v>
      </c>
      <c r="K2116" s="112"/>
      <c r="L2116" s="113"/>
      <c r="M2116" s="62"/>
      <c r="N2116" s="28" t="e">
        <f t="shared" si="8"/>
        <v>#VALUE!</v>
      </c>
      <c r="O2116" s="65"/>
      <c r="P2116" s="29" t="s">
        <v>334</v>
      </c>
      <c r="Q2116" s="55"/>
      <c r="R2116" s="31" t="e">
        <f t="shared" si="9"/>
        <v>#VALUE!</v>
      </c>
      <c r="S2116" s="66"/>
      <c r="T2116" s="32" t="e">
        <f t="shared" si="10"/>
        <v>#VALUE!</v>
      </c>
      <c r="U2116" s="57"/>
      <c r="V2116" s="58"/>
      <c r="W2116" s="58"/>
      <c r="X2116" s="30" t="e">
        <f t="shared" si="11"/>
        <v>#N/A</v>
      </c>
      <c r="Y2116" s="30" t="e">
        <f t="shared" si="12"/>
        <v>#N/A</v>
      </c>
      <c r="Z2116" s="35" t="e">
        <f t="shared" si="13"/>
        <v>#VALUE!</v>
      </c>
      <c r="AA2116" s="29" t="e">
        <f t="shared" si="14"/>
        <v>#VALUE!</v>
      </c>
      <c r="AB2116" s="36" t="e">
        <f t="shared" si="15"/>
        <v>#VALUE!</v>
      </c>
      <c r="AC2116" s="37" t="b">
        <v>0</v>
      </c>
      <c r="AD2116" s="61" t="str">
        <f t="shared" si="16"/>
        <v>USD</v>
      </c>
      <c r="AE2116" s="37"/>
      <c r="AF2116" s="37" t="e">
        <f t="array" ref="AF2116">INDEX('Deal Info'!D:D, MATCH(A2116,'Deal Info'!A:A, 0))</f>
        <v>#N/A</v>
      </c>
      <c r="AG2116" s="38" t="e">
        <f t="array" ref="AG2116">INDEX('Deal Info'!G:G, MATCH(A2116,'Deal Info'!A:A, 0))</f>
        <v>#N/A</v>
      </c>
    </row>
    <row r="2117" spans="1:33" ht="14.25" hidden="1" x14ac:dyDescent="0.2">
      <c r="A2117" s="18" t="b">
        <f t="array" ref="A2117">IF(G2117='Room Info'!$B$1, INDEX('Room Info'!$A$2:$A2446, MATCH(B2117,'Room Info'!$B$2:$B2446, 0)),IF(G2117='Room Info'!$C$1, INDEX('Room Info'!$A$2:$A2446, MATCH(B2117,'Room Info'!$C$2:$C2446, 0)),IF(G2117='Room Info'!$D$1, INDEX('Room Info'!$A$2:$A2446, MATCH(B2117,'Room Info'!$D$2:$D2446, 0)),IF(G2117='Room Info'!$E$1, INDEX('Room Info'!$A$2:$A2446, MATCH(B2117,'Room Info'!$E$2:$E2446, 0)),IF(G2117='Room Info'!$F$1, INDEX('Room Info'!$A$2:$A2446, MATCH(B2117,'Room Info'!$F$2:$F2446, 0)),IF(G2117='Room Info'!$H$1, INDEX('Room Info'!$A$2:$A2446, MATCH(B2117,'Room Info'!$H$2:$H2446, 0)),IF(G2117='Room Info'!$G$1, INDEX('Room Info'!$A$2:$A2446, MATCH(B2117,'Room Info'!$G$2:$G2446, 0)))))))))</f>
        <v>0</v>
      </c>
      <c r="B2117" s="96"/>
      <c r="C2117" s="111"/>
      <c r="D2117" s="111"/>
      <c r="E2117" s="80"/>
      <c r="F2117" s="133"/>
      <c r="G2117" s="65"/>
      <c r="H2117" s="110"/>
      <c r="I2117" s="110"/>
      <c r="J2117" s="39" t="s">
        <v>334</v>
      </c>
      <c r="K2117" s="112"/>
      <c r="L2117" s="113"/>
      <c r="M2117" s="62"/>
      <c r="N2117" s="28" t="e">
        <f t="shared" si="8"/>
        <v>#VALUE!</v>
      </c>
      <c r="O2117" s="65"/>
      <c r="P2117" s="29" t="s">
        <v>334</v>
      </c>
      <c r="Q2117" s="55"/>
      <c r="R2117" s="31" t="e">
        <f t="shared" si="9"/>
        <v>#VALUE!</v>
      </c>
      <c r="S2117" s="66"/>
      <c r="T2117" s="32" t="e">
        <f t="shared" si="10"/>
        <v>#VALUE!</v>
      </c>
      <c r="U2117" s="57"/>
      <c r="V2117" s="58"/>
      <c r="W2117" s="58"/>
      <c r="X2117" s="30" t="e">
        <f t="shared" si="11"/>
        <v>#N/A</v>
      </c>
      <c r="Y2117" s="30" t="e">
        <f t="shared" si="12"/>
        <v>#N/A</v>
      </c>
      <c r="Z2117" s="35" t="e">
        <f t="shared" si="13"/>
        <v>#VALUE!</v>
      </c>
      <c r="AA2117" s="29" t="e">
        <f t="shared" si="14"/>
        <v>#VALUE!</v>
      </c>
      <c r="AB2117" s="36" t="e">
        <f t="shared" si="15"/>
        <v>#VALUE!</v>
      </c>
      <c r="AC2117" s="37" t="b">
        <v>0</v>
      </c>
      <c r="AD2117" s="61" t="str">
        <f t="shared" si="16"/>
        <v>USD</v>
      </c>
      <c r="AE2117" s="37"/>
      <c r="AF2117" s="37" t="e">
        <f t="array" ref="AF2117">INDEX('Deal Info'!D:D, MATCH(A2117,'Deal Info'!A:A, 0))</f>
        <v>#N/A</v>
      </c>
      <c r="AG2117" s="38" t="e">
        <f t="array" ref="AG2117">INDEX('Deal Info'!G:G, MATCH(A2117,'Deal Info'!A:A, 0))</f>
        <v>#N/A</v>
      </c>
    </row>
    <row r="2118" spans="1:33" ht="14.25" hidden="1" x14ac:dyDescent="0.2">
      <c r="A2118" s="18" t="b">
        <f t="array" ref="A2118">IF(G2118='Room Info'!$B$1, INDEX('Room Info'!$A$2:$A2446, MATCH(B2118,'Room Info'!$B$2:$B2446, 0)),IF(G2118='Room Info'!$C$1, INDEX('Room Info'!$A$2:$A2446, MATCH(B2118,'Room Info'!$C$2:$C2446, 0)),IF(G2118='Room Info'!$D$1, INDEX('Room Info'!$A$2:$A2446, MATCH(B2118,'Room Info'!$D$2:$D2446, 0)),IF(G2118='Room Info'!$E$1, INDEX('Room Info'!$A$2:$A2446, MATCH(B2118,'Room Info'!$E$2:$E2446, 0)),IF(G2118='Room Info'!$F$1, INDEX('Room Info'!$A$2:$A2446, MATCH(B2118,'Room Info'!$F$2:$F2446, 0)),IF(G2118='Room Info'!$H$1, INDEX('Room Info'!$A$2:$A2446, MATCH(B2118,'Room Info'!$H$2:$H2446, 0)),IF(G2118='Room Info'!$G$1, INDEX('Room Info'!$A$2:$A2446, MATCH(B2118,'Room Info'!$G$2:$G2446, 0)))))))))</f>
        <v>0</v>
      </c>
      <c r="B2118" s="96"/>
      <c r="C2118" s="111"/>
      <c r="D2118" s="111"/>
      <c r="E2118" s="80"/>
      <c r="F2118" s="133"/>
      <c r="G2118" s="65"/>
      <c r="H2118" s="110"/>
      <c r="I2118" s="110"/>
      <c r="J2118" s="39" t="s">
        <v>334</v>
      </c>
      <c r="K2118" s="112"/>
      <c r="L2118" s="113"/>
      <c r="M2118" s="62"/>
      <c r="N2118" s="28" t="e">
        <f t="shared" si="8"/>
        <v>#VALUE!</v>
      </c>
      <c r="O2118" s="65"/>
      <c r="P2118" s="29" t="s">
        <v>334</v>
      </c>
      <c r="Q2118" s="55"/>
      <c r="R2118" s="31" t="e">
        <f t="shared" si="9"/>
        <v>#VALUE!</v>
      </c>
      <c r="S2118" s="66"/>
      <c r="T2118" s="32" t="e">
        <f t="shared" si="10"/>
        <v>#VALUE!</v>
      </c>
      <c r="U2118" s="57"/>
      <c r="V2118" s="58"/>
      <c r="W2118" s="58"/>
      <c r="X2118" s="30" t="e">
        <f t="shared" si="11"/>
        <v>#N/A</v>
      </c>
      <c r="Y2118" s="30" t="e">
        <f t="shared" si="12"/>
        <v>#N/A</v>
      </c>
      <c r="Z2118" s="35" t="e">
        <f t="shared" si="13"/>
        <v>#VALUE!</v>
      </c>
      <c r="AA2118" s="29" t="e">
        <f t="shared" si="14"/>
        <v>#VALUE!</v>
      </c>
      <c r="AB2118" s="36" t="e">
        <f t="shared" si="15"/>
        <v>#VALUE!</v>
      </c>
      <c r="AC2118" s="37" t="b">
        <v>0</v>
      </c>
      <c r="AD2118" s="61" t="str">
        <f t="shared" si="16"/>
        <v>USD</v>
      </c>
      <c r="AE2118" s="37"/>
      <c r="AF2118" s="37" t="e">
        <f t="array" ref="AF2118">INDEX('Deal Info'!D:D, MATCH(A2118,'Deal Info'!A:A, 0))</f>
        <v>#N/A</v>
      </c>
      <c r="AG2118" s="38" t="e">
        <f t="array" ref="AG2118">INDEX('Deal Info'!G:G, MATCH(A2118,'Deal Info'!A:A, 0))</f>
        <v>#N/A</v>
      </c>
    </row>
    <row r="2119" spans="1:33" ht="14.25" hidden="1" x14ac:dyDescent="0.2">
      <c r="A2119" s="18" t="b">
        <f t="array" ref="A2119">IF(G2119='Room Info'!$B$1, INDEX('Room Info'!$A$2:$A2446, MATCH(B2119,'Room Info'!$B$2:$B2446, 0)),IF(G2119='Room Info'!$C$1, INDEX('Room Info'!$A$2:$A2446, MATCH(B2119,'Room Info'!$C$2:$C2446, 0)),IF(G2119='Room Info'!$D$1, INDEX('Room Info'!$A$2:$A2446, MATCH(B2119,'Room Info'!$D$2:$D2446, 0)),IF(G2119='Room Info'!$E$1, INDEX('Room Info'!$A$2:$A2446, MATCH(B2119,'Room Info'!$E$2:$E2446, 0)),IF(G2119='Room Info'!$F$1, INDEX('Room Info'!$A$2:$A2446, MATCH(B2119,'Room Info'!$F$2:$F2446, 0)),IF(G2119='Room Info'!$H$1, INDEX('Room Info'!$A$2:$A2446, MATCH(B2119,'Room Info'!$H$2:$H2446, 0)),IF(G2119='Room Info'!$G$1, INDEX('Room Info'!$A$2:$A2446, MATCH(B2119,'Room Info'!$G$2:$G2446, 0)))))))))</f>
        <v>0</v>
      </c>
      <c r="B2119" s="96"/>
      <c r="C2119" s="136"/>
      <c r="D2119" s="136"/>
      <c r="E2119" s="137"/>
      <c r="F2119" s="133"/>
      <c r="G2119" s="96"/>
      <c r="H2119" s="100"/>
      <c r="I2119" s="100"/>
      <c r="J2119" s="39" t="s">
        <v>334</v>
      </c>
      <c r="K2119" s="134"/>
      <c r="L2119" s="135"/>
      <c r="M2119" s="79"/>
      <c r="N2119" s="28" t="e">
        <f t="shared" si="8"/>
        <v>#VALUE!</v>
      </c>
      <c r="O2119" s="96"/>
      <c r="P2119" s="29" t="s">
        <v>334</v>
      </c>
      <c r="Q2119" s="55"/>
      <c r="R2119" s="31" t="e">
        <f t="shared" si="9"/>
        <v>#VALUE!</v>
      </c>
      <c r="S2119" s="97"/>
      <c r="T2119" s="32" t="e">
        <f t="shared" si="10"/>
        <v>#VALUE!</v>
      </c>
      <c r="U2119" s="57"/>
      <c r="V2119" s="58"/>
      <c r="W2119" s="58"/>
      <c r="X2119" s="30" t="e">
        <f t="shared" si="11"/>
        <v>#N/A</v>
      </c>
      <c r="Y2119" s="30" t="e">
        <f t="shared" si="12"/>
        <v>#N/A</v>
      </c>
      <c r="Z2119" s="35" t="e">
        <f t="shared" si="13"/>
        <v>#VALUE!</v>
      </c>
      <c r="AA2119" s="29" t="e">
        <f t="shared" si="14"/>
        <v>#VALUE!</v>
      </c>
      <c r="AB2119" s="36" t="e">
        <f t="shared" si="15"/>
        <v>#VALUE!</v>
      </c>
      <c r="AC2119" s="37" t="b">
        <v>0</v>
      </c>
      <c r="AD2119" s="61" t="str">
        <f t="shared" si="16"/>
        <v>USD</v>
      </c>
      <c r="AE2119" s="37"/>
      <c r="AF2119" s="37" t="e">
        <f t="array" ref="AF2119">INDEX('Deal Info'!D:D, MATCH(A2119,'Deal Info'!A:A, 0))</f>
        <v>#N/A</v>
      </c>
      <c r="AG2119" s="38" t="e">
        <f t="array" ref="AG2119">INDEX('Deal Info'!G:G, MATCH(A2119,'Deal Info'!A:A, 0))</f>
        <v>#N/A</v>
      </c>
    </row>
    <row r="2120" spans="1:33" ht="14.25" hidden="1" x14ac:dyDescent="0.2">
      <c r="A2120" s="18" t="b">
        <f t="array" ref="A2120">IF(G2120='Room Info'!$B$1, INDEX('Room Info'!$A$2:$A2446, MATCH(B2120,'Room Info'!$B$2:$B2446, 0)),IF(G2120='Room Info'!$C$1, INDEX('Room Info'!$A$2:$A2446, MATCH(B2120,'Room Info'!$C$2:$C2446, 0)),IF(G2120='Room Info'!$D$1, INDEX('Room Info'!$A$2:$A2446, MATCH(B2120,'Room Info'!$D$2:$D2446, 0)),IF(G2120='Room Info'!$E$1, INDEX('Room Info'!$A$2:$A2446, MATCH(B2120,'Room Info'!$E$2:$E2446, 0)),IF(G2120='Room Info'!$F$1, INDEX('Room Info'!$A$2:$A2446, MATCH(B2120,'Room Info'!$F$2:$F2446, 0)),IF(G2120='Room Info'!$H$1, INDEX('Room Info'!$A$2:$A2446, MATCH(B2120,'Room Info'!$H$2:$H2446, 0)),IF(G2120='Room Info'!$G$1, INDEX('Room Info'!$A$2:$A2446, MATCH(B2120,'Room Info'!$G$2:$G2446, 0)))))))))</f>
        <v>0</v>
      </c>
      <c r="B2120" s="96"/>
      <c r="C2120" s="136"/>
      <c r="D2120" s="136"/>
      <c r="E2120" s="137"/>
      <c r="F2120" s="133"/>
      <c r="G2120" s="96"/>
      <c r="H2120" s="100"/>
      <c r="I2120" s="100"/>
      <c r="J2120" s="39" t="s">
        <v>334</v>
      </c>
      <c r="K2120" s="134"/>
      <c r="L2120" s="135"/>
      <c r="M2120" s="79"/>
      <c r="N2120" s="28" t="e">
        <f t="shared" si="8"/>
        <v>#VALUE!</v>
      </c>
      <c r="O2120" s="96"/>
      <c r="P2120" s="29" t="s">
        <v>334</v>
      </c>
      <c r="Q2120" s="55"/>
      <c r="R2120" s="31" t="e">
        <f t="shared" si="9"/>
        <v>#VALUE!</v>
      </c>
      <c r="S2120" s="97"/>
      <c r="T2120" s="32" t="e">
        <f t="shared" si="10"/>
        <v>#VALUE!</v>
      </c>
      <c r="U2120" s="57"/>
      <c r="V2120" s="58"/>
      <c r="W2120" s="58"/>
      <c r="X2120" s="30" t="e">
        <f t="shared" si="11"/>
        <v>#N/A</v>
      </c>
      <c r="Y2120" s="30" t="e">
        <f t="shared" si="12"/>
        <v>#N/A</v>
      </c>
      <c r="Z2120" s="35" t="e">
        <f t="shared" si="13"/>
        <v>#VALUE!</v>
      </c>
      <c r="AA2120" s="29" t="e">
        <f t="shared" si="14"/>
        <v>#VALUE!</v>
      </c>
      <c r="AB2120" s="36" t="e">
        <f t="shared" si="15"/>
        <v>#VALUE!</v>
      </c>
      <c r="AC2120" s="37" t="b">
        <v>0</v>
      </c>
      <c r="AD2120" s="61" t="str">
        <f t="shared" si="16"/>
        <v>USD</v>
      </c>
      <c r="AE2120" s="37"/>
      <c r="AF2120" s="37" t="e">
        <f t="array" ref="AF2120">INDEX('Deal Info'!D:D, MATCH(A2120,'Deal Info'!A:A, 0))</f>
        <v>#N/A</v>
      </c>
      <c r="AG2120" s="38" t="e">
        <f t="array" ref="AG2120">INDEX('Deal Info'!G:G, MATCH(A2120,'Deal Info'!A:A, 0))</f>
        <v>#N/A</v>
      </c>
    </row>
    <row r="2121" spans="1:33" ht="14.25" hidden="1" x14ac:dyDescent="0.2">
      <c r="A2121" s="18" t="b">
        <f t="array" ref="A2121">IF(G2121='Room Info'!$B$1, INDEX('Room Info'!$A$2:$A2446, MATCH(B2121,'Room Info'!$B$2:$B2446, 0)),IF(G2121='Room Info'!$C$1, INDEX('Room Info'!$A$2:$A2446, MATCH(B2121,'Room Info'!$C$2:$C2446, 0)),IF(G2121='Room Info'!$D$1, INDEX('Room Info'!$A$2:$A2446, MATCH(B2121,'Room Info'!$D$2:$D2446, 0)),IF(G2121='Room Info'!$E$1, INDEX('Room Info'!$A$2:$A2446, MATCH(B2121,'Room Info'!$E$2:$E2446, 0)),IF(G2121='Room Info'!$F$1, INDEX('Room Info'!$A$2:$A2446, MATCH(B2121,'Room Info'!$F$2:$F2446, 0)),IF(G2121='Room Info'!$H$1, INDEX('Room Info'!$A$2:$A2446, MATCH(B2121,'Room Info'!$H$2:$H2446, 0)),IF(G2121='Room Info'!$G$1, INDEX('Room Info'!$A$2:$A2446, MATCH(B2121,'Room Info'!$G$2:$G2446, 0)))))))))</f>
        <v>0</v>
      </c>
      <c r="B2121" s="96"/>
      <c r="C2121" s="111"/>
      <c r="D2121" s="111"/>
      <c r="E2121" s="80"/>
      <c r="F2121" s="96"/>
      <c r="G2121" s="96"/>
      <c r="H2121" s="110"/>
      <c r="I2121" s="110"/>
      <c r="J2121" s="39" t="s">
        <v>334</v>
      </c>
      <c r="K2121" s="112"/>
      <c r="L2121" s="113"/>
      <c r="M2121" s="62"/>
      <c r="N2121" s="28" t="e">
        <f t="shared" si="8"/>
        <v>#VALUE!</v>
      </c>
      <c r="O2121" s="65"/>
      <c r="P2121" s="29" t="s">
        <v>334</v>
      </c>
      <c r="Q2121" s="55"/>
      <c r="R2121" s="31" t="e">
        <f t="shared" si="9"/>
        <v>#VALUE!</v>
      </c>
      <c r="S2121" s="66"/>
      <c r="T2121" s="32" t="e">
        <f t="shared" si="10"/>
        <v>#VALUE!</v>
      </c>
      <c r="U2121" s="57"/>
      <c r="V2121" s="58"/>
      <c r="W2121" s="58"/>
      <c r="X2121" s="30" t="e">
        <f t="shared" si="11"/>
        <v>#N/A</v>
      </c>
      <c r="Y2121" s="30" t="e">
        <f t="shared" si="12"/>
        <v>#N/A</v>
      </c>
      <c r="Z2121" s="35" t="e">
        <f t="shared" si="13"/>
        <v>#VALUE!</v>
      </c>
      <c r="AA2121" s="29" t="e">
        <f t="shared" si="14"/>
        <v>#VALUE!</v>
      </c>
      <c r="AB2121" s="36" t="e">
        <f t="shared" si="15"/>
        <v>#VALUE!</v>
      </c>
      <c r="AC2121" s="37" t="b">
        <v>0</v>
      </c>
      <c r="AD2121" s="61" t="str">
        <f t="shared" si="16"/>
        <v>USD</v>
      </c>
      <c r="AE2121" s="37"/>
      <c r="AF2121" s="37" t="e">
        <f t="array" ref="AF2121">INDEX('Deal Info'!D:D, MATCH(A2121,'Deal Info'!A:A, 0))</f>
        <v>#N/A</v>
      </c>
      <c r="AG2121" s="38" t="e">
        <f t="array" ref="AG2121">INDEX('Deal Info'!G:G, MATCH(A2121,'Deal Info'!A:A, 0))</f>
        <v>#N/A</v>
      </c>
    </row>
    <row r="2122" spans="1:33" ht="14.25" hidden="1" x14ac:dyDescent="0.2">
      <c r="A2122" s="18" t="b">
        <f t="array" ref="A2122">IF(G2122='Room Info'!$B$1, INDEX('Room Info'!$A$2:$A2446, MATCH(B2122,'Room Info'!$B$2:$B2446, 0)),IF(G2122='Room Info'!$C$1, INDEX('Room Info'!$A$2:$A2446, MATCH(B2122,'Room Info'!$C$2:$C2446, 0)),IF(G2122='Room Info'!$D$1, INDEX('Room Info'!$A$2:$A2446, MATCH(B2122,'Room Info'!$D$2:$D2446, 0)),IF(G2122='Room Info'!$E$1, INDEX('Room Info'!$A$2:$A2446, MATCH(B2122,'Room Info'!$E$2:$E2446, 0)),IF(G2122='Room Info'!$F$1, INDEX('Room Info'!$A$2:$A2446, MATCH(B2122,'Room Info'!$F$2:$F2446, 0)),IF(G2122='Room Info'!$H$1, INDEX('Room Info'!$A$2:$A2446, MATCH(B2122,'Room Info'!$H$2:$H2446, 0)),IF(G2122='Room Info'!$G$1, INDEX('Room Info'!$A$2:$A2446, MATCH(B2122,'Room Info'!$G$2:$G2446, 0)))))))))</f>
        <v>0</v>
      </c>
      <c r="B2122" s="96"/>
      <c r="C2122" s="136"/>
      <c r="D2122" s="136"/>
      <c r="E2122" s="137"/>
      <c r="F2122" s="133"/>
      <c r="G2122" s="96"/>
      <c r="H2122" s="100"/>
      <c r="I2122" s="100"/>
      <c r="J2122" s="39" t="s">
        <v>334</v>
      </c>
      <c r="K2122" s="134"/>
      <c r="L2122" s="135"/>
      <c r="M2122" s="79"/>
      <c r="N2122" s="28" t="e">
        <f t="shared" si="8"/>
        <v>#VALUE!</v>
      </c>
      <c r="O2122" s="96"/>
      <c r="P2122" s="29" t="s">
        <v>334</v>
      </c>
      <c r="Q2122" s="55"/>
      <c r="R2122" s="31" t="e">
        <f t="shared" si="9"/>
        <v>#VALUE!</v>
      </c>
      <c r="S2122" s="97"/>
      <c r="T2122" s="32" t="e">
        <f t="shared" si="10"/>
        <v>#VALUE!</v>
      </c>
      <c r="U2122" s="57"/>
      <c r="V2122" s="58"/>
      <c r="W2122" s="58"/>
      <c r="X2122" s="30" t="e">
        <f t="shared" si="11"/>
        <v>#N/A</v>
      </c>
      <c r="Y2122" s="30" t="e">
        <f t="shared" si="12"/>
        <v>#N/A</v>
      </c>
      <c r="Z2122" s="35" t="e">
        <f t="shared" si="13"/>
        <v>#VALUE!</v>
      </c>
      <c r="AA2122" s="29" t="e">
        <f t="shared" si="14"/>
        <v>#VALUE!</v>
      </c>
      <c r="AB2122" s="36" t="e">
        <f t="shared" si="15"/>
        <v>#VALUE!</v>
      </c>
      <c r="AC2122" s="37" t="b">
        <v>0</v>
      </c>
      <c r="AD2122" s="61" t="str">
        <f t="shared" si="16"/>
        <v>USD</v>
      </c>
      <c r="AE2122" s="37"/>
      <c r="AF2122" s="37" t="e">
        <f t="array" ref="AF2122">INDEX('Deal Info'!D:D, MATCH(A2122,'Deal Info'!A:A, 0))</f>
        <v>#N/A</v>
      </c>
      <c r="AG2122" s="38" t="e">
        <f t="array" ref="AG2122">INDEX('Deal Info'!G:G, MATCH(A2122,'Deal Info'!A:A, 0))</f>
        <v>#N/A</v>
      </c>
    </row>
    <row r="2123" spans="1:33" ht="14.25" hidden="1" x14ac:dyDescent="0.2">
      <c r="A2123" s="18" t="b">
        <f t="array" ref="A2123">IF(G2123='Room Info'!$B$1, INDEX('Room Info'!$A$2:$A2446, MATCH(B2123,'Room Info'!$B$2:$B2446, 0)),IF(G2123='Room Info'!$C$1, INDEX('Room Info'!$A$2:$A2446, MATCH(B2123,'Room Info'!$C$2:$C2446, 0)),IF(G2123='Room Info'!$D$1, INDEX('Room Info'!$A$2:$A2446, MATCH(B2123,'Room Info'!$D$2:$D2446, 0)),IF(G2123='Room Info'!$E$1, INDEX('Room Info'!$A$2:$A2446, MATCH(B2123,'Room Info'!$E$2:$E2446, 0)),IF(G2123='Room Info'!$F$1, INDEX('Room Info'!$A$2:$A2446, MATCH(B2123,'Room Info'!$F$2:$F2446, 0)),IF(G2123='Room Info'!$H$1, INDEX('Room Info'!$A$2:$A2446, MATCH(B2123,'Room Info'!$H$2:$H2446, 0)),IF(G2123='Room Info'!$G$1, INDEX('Room Info'!$A$2:$A2446, MATCH(B2123,'Room Info'!$G$2:$G2446, 0)))))))))</f>
        <v>0</v>
      </c>
      <c r="B2123" s="96"/>
      <c r="C2123" s="136"/>
      <c r="D2123" s="136"/>
      <c r="E2123" s="137"/>
      <c r="F2123" s="133"/>
      <c r="G2123" s="96"/>
      <c r="H2123" s="100"/>
      <c r="I2123" s="100"/>
      <c r="J2123" s="39" t="s">
        <v>334</v>
      </c>
      <c r="K2123" s="134"/>
      <c r="L2123" s="135"/>
      <c r="M2123" s="79"/>
      <c r="N2123" s="28" t="e">
        <f t="shared" si="8"/>
        <v>#VALUE!</v>
      </c>
      <c r="O2123" s="96"/>
      <c r="P2123" s="29" t="s">
        <v>334</v>
      </c>
      <c r="Q2123" s="55"/>
      <c r="R2123" s="31" t="e">
        <f t="shared" si="9"/>
        <v>#VALUE!</v>
      </c>
      <c r="S2123" s="97"/>
      <c r="T2123" s="32" t="e">
        <f t="shared" si="10"/>
        <v>#VALUE!</v>
      </c>
      <c r="U2123" s="57"/>
      <c r="V2123" s="58"/>
      <c r="W2123" s="58"/>
      <c r="X2123" s="30" t="e">
        <f t="shared" si="11"/>
        <v>#N/A</v>
      </c>
      <c r="Y2123" s="30" t="e">
        <f t="shared" si="12"/>
        <v>#N/A</v>
      </c>
      <c r="Z2123" s="35" t="e">
        <f t="shared" si="13"/>
        <v>#VALUE!</v>
      </c>
      <c r="AA2123" s="29" t="e">
        <f t="shared" si="14"/>
        <v>#VALUE!</v>
      </c>
      <c r="AB2123" s="36" t="e">
        <f t="shared" si="15"/>
        <v>#VALUE!</v>
      </c>
      <c r="AC2123" s="37" t="b">
        <v>0</v>
      </c>
      <c r="AD2123" s="61" t="str">
        <f t="shared" si="16"/>
        <v>USD</v>
      </c>
      <c r="AE2123" s="37"/>
      <c r="AF2123" s="37" t="e">
        <f t="array" ref="AF2123">INDEX('Deal Info'!D:D, MATCH(A2123,'Deal Info'!A:A, 0))</f>
        <v>#N/A</v>
      </c>
      <c r="AG2123" s="38" t="e">
        <f t="array" ref="AG2123">INDEX('Deal Info'!G:G, MATCH(A2123,'Deal Info'!A:A, 0))</f>
        <v>#N/A</v>
      </c>
    </row>
    <row r="2124" spans="1:33" ht="14.25" hidden="1" x14ac:dyDescent="0.2">
      <c r="A2124" s="18" t="b">
        <f t="array" ref="A2124">IF(G2124='Room Info'!$B$1, INDEX('Room Info'!$A$2:$A2446, MATCH(B2124,'Room Info'!$B$2:$B2446, 0)),IF(G2124='Room Info'!$C$1, INDEX('Room Info'!$A$2:$A2446, MATCH(B2124,'Room Info'!$C$2:$C2446, 0)),IF(G2124='Room Info'!$D$1, INDEX('Room Info'!$A$2:$A2446, MATCH(B2124,'Room Info'!$D$2:$D2446, 0)),IF(G2124='Room Info'!$E$1, INDEX('Room Info'!$A$2:$A2446, MATCH(B2124,'Room Info'!$E$2:$E2446, 0)),IF(G2124='Room Info'!$F$1, INDEX('Room Info'!$A$2:$A2446, MATCH(B2124,'Room Info'!$F$2:$F2446, 0)),IF(G2124='Room Info'!$H$1, INDEX('Room Info'!$A$2:$A2446, MATCH(B2124,'Room Info'!$H$2:$H2446, 0)),IF(G2124='Room Info'!$G$1, INDEX('Room Info'!$A$2:$A2446, MATCH(B2124,'Room Info'!$G$2:$G2446, 0)))))))))</f>
        <v>0</v>
      </c>
      <c r="B2124" s="96"/>
      <c r="C2124" s="136"/>
      <c r="D2124" s="136"/>
      <c r="E2124" s="137"/>
      <c r="F2124" s="133"/>
      <c r="G2124" s="96"/>
      <c r="H2124" s="100"/>
      <c r="I2124" s="100"/>
      <c r="J2124" s="39" t="s">
        <v>334</v>
      </c>
      <c r="K2124" s="134"/>
      <c r="L2124" s="135"/>
      <c r="M2124" s="79"/>
      <c r="N2124" s="28" t="e">
        <f t="shared" si="8"/>
        <v>#VALUE!</v>
      </c>
      <c r="O2124" s="96"/>
      <c r="P2124" s="29" t="s">
        <v>334</v>
      </c>
      <c r="Q2124" s="55"/>
      <c r="R2124" s="31" t="e">
        <f t="shared" si="9"/>
        <v>#VALUE!</v>
      </c>
      <c r="S2124" s="97"/>
      <c r="T2124" s="32" t="e">
        <f t="shared" si="10"/>
        <v>#VALUE!</v>
      </c>
      <c r="U2124" s="57"/>
      <c r="V2124" s="58"/>
      <c r="W2124" s="58"/>
      <c r="X2124" s="30" t="e">
        <f t="shared" si="11"/>
        <v>#N/A</v>
      </c>
      <c r="Y2124" s="30" t="e">
        <f t="shared" si="12"/>
        <v>#N/A</v>
      </c>
      <c r="Z2124" s="35" t="e">
        <f t="shared" si="13"/>
        <v>#VALUE!</v>
      </c>
      <c r="AA2124" s="29" t="e">
        <f t="shared" si="14"/>
        <v>#VALUE!</v>
      </c>
      <c r="AB2124" s="36" t="e">
        <f t="shared" si="15"/>
        <v>#VALUE!</v>
      </c>
      <c r="AC2124" s="37" t="b">
        <v>0</v>
      </c>
      <c r="AD2124" s="61" t="str">
        <f t="shared" si="16"/>
        <v>USD</v>
      </c>
      <c r="AE2124" s="37"/>
      <c r="AF2124" s="37" t="e">
        <f t="array" ref="AF2124">INDEX('Deal Info'!D:D, MATCH(A2124,'Deal Info'!A:A, 0))</f>
        <v>#N/A</v>
      </c>
      <c r="AG2124" s="38" t="e">
        <f t="array" ref="AG2124">INDEX('Deal Info'!G:G, MATCH(A2124,'Deal Info'!A:A, 0))</f>
        <v>#N/A</v>
      </c>
    </row>
    <row r="2125" spans="1:33" ht="14.25" hidden="1" x14ac:dyDescent="0.2">
      <c r="A2125" s="18" t="b">
        <f t="array" ref="A2125">IF(G2125='Room Info'!$B$1, INDEX('Room Info'!$A$2:$A2446, MATCH(B2125,'Room Info'!$B$2:$B2446, 0)),IF(G2125='Room Info'!$C$1, INDEX('Room Info'!$A$2:$A2446, MATCH(B2125,'Room Info'!$C$2:$C2446, 0)),IF(G2125='Room Info'!$D$1, INDEX('Room Info'!$A$2:$A2446, MATCH(B2125,'Room Info'!$D$2:$D2446, 0)),IF(G2125='Room Info'!$E$1, INDEX('Room Info'!$A$2:$A2446, MATCH(B2125,'Room Info'!$E$2:$E2446, 0)),IF(G2125='Room Info'!$F$1, INDEX('Room Info'!$A$2:$A2446, MATCH(B2125,'Room Info'!$F$2:$F2446, 0)),IF(G2125='Room Info'!$H$1, INDEX('Room Info'!$A$2:$A2446, MATCH(B2125,'Room Info'!$H$2:$H2446, 0)),IF(G2125='Room Info'!$G$1, INDEX('Room Info'!$A$2:$A2446, MATCH(B2125,'Room Info'!$G$2:$G2446, 0)))))))))</f>
        <v>0</v>
      </c>
      <c r="B2125" s="96"/>
      <c r="C2125" s="136"/>
      <c r="D2125" s="136"/>
      <c r="E2125" s="137"/>
      <c r="F2125" s="133"/>
      <c r="G2125" s="96"/>
      <c r="H2125" s="100"/>
      <c r="I2125" s="100"/>
      <c r="J2125" s="39" t="s">
        <v>334</v>
      </c>
      <c r="K2125" s="134"/>
      <c r="L2125" s="135"/>
      <c r="M2125" s="79"/>
      <c r="N2125" s="28" t="e">
        <f t="shared" si="8"/>
        <v>#VALUE!</v>
      </c>
      <c r="O2125" s="96"/>
      <c r="P2125" s="29" t="s">
        <v>334</v>
      </c>
      <c r="Q2125" s="55"/>
      <c r="R2125" s="31" t="e">
        <f t="shared" si="9"/>
        <v>#VALUE!</v>
      </c>
      <c r="S2125" s="97"/>
      <c r="T2125" s="32" t="e">
        <f t="shared" si="10"/>
        <v>#VALUE!</v>
      </c>
      <c r="U2125" s="57"/>
      <c r="V2125" s="58"/>
      <c r="W2125" s="58"/>
      <c r="X2125" s="30" t="e">
        <f t="shared" si="11"/>
        <v>#N/A</v>
      </c>
      <c r="Y2125" s="30" t="e">
        <f t="shared" si="12"/>
        <v>#N/A</v>
      </c>
      <c r="Z2125" s="35" t="e">
        <f t="shared" si="13"/>
        <v>#VALUE!</v>
      </c>
      <c r="AA2125" s="29" t="e">
        <f t="shared" si="14"/>
        <v>#VALUE!</v>
      </c>
      <c r="AB2125" s="36" t="e">
        <f t="shared" si="15"/>
        <v>#VALUE!</v>
      </c>
      <c r="AC2125" s="37" t="b">
        <v>0</v>
      </c>
      <c r="AD2125" s="61" t="str">
        <f t="shared" si="16"/>
        <v>USD</v>
      </c>
      <c r="AE2125" s="37"/>
      <c r="AF2125" s="37" t="e">
        <f t="array" ref="AF2125">INDEX('Deal Info'!D:D, MATCH(A2125,'Deal Info'!A:A, 0))</f>
        <v>#N/A</v>
      </c>
      <c r="AG2125" s="38" t="e">
        <f t="array" ref="AG2125">INDEX('Deal Info'!G:G, MATCH(A2125,'Deal Info'!A:A, 0))</f>
        <v>#N/A</v>
      </c>
    </row>
    <row r="2126" spans="1:33" ht="14.25" hidden="1" x14ac:dyDescent="0.2">
      <c r="A2126" s="18" t="b">
        <f t="array" ref="A2126">IF(G2126='Room Info'!$B$1, INDEX('Room Info'!$A$2:$A2446, MATCH(B2126,'Room Info'!$B$2:$B2446, 0)),IF(G2126='Room Info'!$C$1, INDEX('Room Info'!$A$2:$A2446, MATCH(B2126,'Room Info'!$C$2:$C2446, 0)),IF(G2126='Room Info'!$D$1, INDEX('Room Info'!$A$2:$A2446, MATCH(B2126,'Room Info'!$D$2:$D2446, 0)),IF(G2126='Room Info'!$E$1, INDEX('Room Info'!$A$2:$A2446, MATCH(B2126,'Room Info'!$E$2:$E2446, 0)),IF(G2126='Room Info'!$F$1, INDEX('Room Info'!$A$2:$A2446, MATCH(B2126,'Room Info'!$F$2:$F2446, 0)),IF(G2126='Room Info'!$H$1, INDEX('Room Info'!$A$2:$A2446, MATCH(B2126,'Room Info'!$H$2:$H2446, 0)),IF(G2126='Room Info'!$G$1, INDEX('Room Info'!$A$2:$A2446, MATCH(B2126,'Room Info'!$G$2:$G2446, 0)))))))))</f>
        <v>0</v>
      </c>
      <c r="B2126" s="96"/>
      <c r="C2126" s="136"/>
      <c r="D2126" s="136"/>
      <c r="E2126" s="137"/>
      <c r="F2126" s="133"/>
      <c r="G2126" s="96"/>
      <c r="H2126" s="100"/>
      <c r="I2126" s="100"/>
      <c r="J2126" s="39" t="s">
        <v>334</v>
      </c>
      <c r="K2126" s="134"/>
      <c r="L2126" s="135"/>
      <c r="M2126" s="79"/>
      <c r="N2126" s="28" t="e">
        <f t="shared" si="8"/>
        <v>#VALUE!</v>
      </c>
      <c r="O2126" s="96"/>
      <c r="P2126" s="29" t="s">
        <v>334</v>
      </c>
      <c r="Q2126" s="55"/>
      <c r="R2126" s="31" t="e">
        <f t="shared" si="9"/>
        <v>#VALUE!</v>
      </c>
      <c r="S2126" s="97"/>
      <c r="T2126" s="32" t="e">
        <f t="shared" si="10"/>
        <v>#VALUE!</v>
      </c>
      <c r="U2126" s="57"/>
      <c r="V2126" s="58"/>
      <c r="W2126" s="58"/>
      <c r="X2126" s="30" t="e">
        <f t="shared" si="11"/>
        <v>#N/A</v>
      </c>
      <c r="Y2126" s="30" t="e">
        <f t="shared" si="12"/>
        <v>#N/A</v>
      </c>
      <c r="Z2126" s="35" t="e">
        <f t="shared" si="13"/>
        <v>#VALUE!</v>
      </c>
      <c r="AA2126" s="29" t="e">
        <f t="shared" si="14"/>
        <v>#VALUE!</v>
      </c>
      <c r="AB2126" s="36" t="e">
        <f t="shared" si="15"/>
        <v>#VALUE!</v>
      </c>
      <c r="AC2126" s="37" t="b">
        <v>0</v>
      </c>
      <c r="AD2126" s="61" t="str">
        <f t="shared" si="16"/>
        <v>USD</v>
      </c>
      <c r="AE2126" s="37"/>
      <c r="AF2126" s="37" t="e">
        <f t="array" ref="AF2126">INDEX('Deal Info'!D:D, MATCH(A2126,'Deal Info'!A:A, 0))</f>
        <v>#N/A</v>
      </c>
      <c r="AG2126" s="38" t="e">
        <f t="array" ref="AG2126">INDEX('Deal Info'!G:G, MATCH(A2126,'Deal Info'!A:A, 0))</f>
        <v>#N/A</v>
      </c>
    </row>
    <row r="2127" spans="1:33" ht="14.25" hidden="1" x14ac:dyDescent="0.2">
      <c r="A2127" s="18" t="b">
        <f t="array" ref="A2127">IF(G2127='Room Info'!$B$1, INDEX('Room Info'!$A$2:$A2446, MATCH(B2127,'Room Info'!$B$2:$B2446, 0)),IF(G2127='Room Info'!$C$1, INDEX('Room Info'!$A$2:$A2446, MATCH(B2127,'Room Info'!$C$2:$C2446, 0)),IF(G2127='Room Info'!$D$1, INDEX('Room Info'!$A$2:$A2446, MATCH(B2127,'Room Info'!$D$2:$D2446, 0)),IF(G2127='Room Info'!$E$1, INDEX('Room Info'!$A$2:$A2446, MATCH(B2127,'Room Info'!$E$2:$E2446, 0)),IF(G2127='Room Info'!$F$1, INDEX('Room Info'!$A$2:$A2446, MATCH(B2127,'Room Info'!$F$2:$F2446, 0)),IF(G2127='Room Info'!$H$1, INDEX('Room Info'!$A$2:$A2446, MATCH(B2127,'Room Info'!$H$2:$H2446, 0)),IF(G2127='Room Info'!$G$1, INDEX('Room Info'!$A$2:$A2446, MATCH(B2127,'Room Info'!$G$2:$G2446, 0)))))))))</f>
        <v>0</v>
      </c>
      <c r="B2127" s="96"/>
      <c r="C2127" s="111"/>
      <c r="D2127" s="111"/>
      <c r="E2127" s="80"/>
      <c r="F2127" s="96"/>
      <c r="G2127" s="65"/>
      <c r="H2127" s="110"/>
      <c r="I2127" s="110"/>
      <c r="J2127" s="39" t="s">
        <v>334</v>
      </c>
      <c r="K2127" s="112"/>
      <c r="L2127" s="113"/>
      <c r="M2127" s="62"/>
      <c r="N2127" s="28" t="e">
        <f t="shared" si="8"/>
        <v>#VALUE!</v>
      </c>
      <c r="O2127" s="65"/>
      <c r="P2127" s="29" t="s">
        <v>334</v>
      </c>
      <c r="Q2127" s="55"/>
      <c r="R2127" s="31" t="e">
        <f t="shared" si="9"/>
        <v>#VALUE!</v>
      </c>
      <c r="S2127" s="66"/>
      <c r="T2127" s="32" t="e">
        <f t="shared" si="10"/>
        <v>#VALUE!</v>
      </c>
      <c r="U2127" s="57"/>
      <c r="V2127" s="58"/>
      <c r="W2127" s="58"/>
      <c r="X2127" s="30" t="e">
        <f t="shared" si="11"/>
        <v>#N/A</v>
      </c>
      <c r="Y2127" s="30" t="e">
        <f t="shared" si="12"/>
        <v>#N/A</v>
      </c>
      <c r="Z2127" s="35" t="e">
        <f t="shared" si="13"/>
        <v>#VALUE!</v>
      </c>
      <c r="AA2127" s="29" t="e">
        <f t="shared" si="14"/>
        <v>#VALUE!</v>
      </c>
      <c r="AB2127" s="36" t="e">
        <f t="shared" si="15"/>
        <v>#VALUE!</v>
      </c>
      <c r="AC2127" s="37" t="b">
        <v>0</v>
      </c>
      <c r="AD2127" s="61" t="str">
        <f t="shared" si="16"/>
        <v>USD</v>
      </c>
      <c r="AE2127" s="37"/>
      <c r="AF2127" s="37" t="e">
        <f t="array" ref="AF2127">INDEX('Deal Info'!D:D, MATCH(A2127,'Deal Info'!A:A, 0))</f>
        <v>#N/A</v>
      </c>
      <c r="AG2127" s="38" t="e">
        <f t="array" ref="AG2127">INDEX('Deal Info'!G:G, MATCH(A2127,'Deal Info'!A:A, 0))</f>
        <v>#N/A</v>
      </c>
    </row>
    <row r="2128" spans="1:33" ht="14.25" hidden="1" x14ac:dyDescent="0.2">
      <c r="A2128" s="18" t="b">
        <f t="array" ref="A2128">IF(G2128='Room Info'!$B$1, INDEX('Room Info'!$A$2:$A2446, MATCH(B2128,'Room Info'!$B$2:$B2446, 0)),IF(G2128='Room Info'!$C$1, INDEX('Room Info'!$A$2:$A2446, MATCH(B2128,'Room Info'!$C$2:$C2446, 0)),IF(G2128='Room Info'!$D$1, INDEX('Room Info'!$A$2:$A2446, MATCH(B2128,'Room Info'!$D$2:$D2446, 0)),IF(G2128='Room Info'!$E$1, INDEX('Room Info'!$A$2:$A2446, MATCH(B2128,'Room Info'!$E$2:$E2446, 0)),IF(G2128='Room Info'!$F$1, INDEX('Room Info'!$A$2:$A2446, MATCH(B2128,'Room Info'!$F$2:$F2446, 0)),IF(G2128='Room Info'!$H$1, INDEX('Room Info'!$A$2:$A2446, MATCH(B2128,'Room Info'!$H$2:$H2446, 0)),IF(G2128='Room Info'!$G$1, INDEX('Room Info'!$A$2:$A2446, MATCH(B2128,'Room Info'!$G$2:$G2446, 0)))))))))</f>
        <v>0</v>
      </c>
      <c r="B2128" s="96"/>
      <c r="C2128" s="136"/>
      <c r="D2128" s="136"/>
      <c r="E2128" s="137"/>
      <c r="F2128" s="133"/>
      <c r="G2128" s="96"/>
      <c r="H2128" s="100"/>
      <c r="I2128" s="100"/>
      <c r="J2128" s="39" t="s">
        <v>334</v>
      </c>
      <c r="K2128" s="134"/>
      <c r="L2128" s="135"/>
      <c r="M2128" s="79"/>
      <c r="N2128" s="28" t="e">
        <f t="shared" si="8"/>
        <v>#VALUE!</v>
      </c>
      <c r="O2128" s="96"/>
      <c r="P2128" s="29" t="s">
        <v>334</v>
      </c>
      <c r="Q2128" s="55"/>
      <c r="R2128" s="31" t="e">
        <f t="shared" si="9"/>
        <v>#VALUE!</v>
      </c>
      <c r="S2128" s="97"/>
      <c r="T2128" s="32" t="e">
        <f t="shared" si="10"/>
        <v>#VALUE!</v>
      </c>
      <c r="U2128" s="57"/>
      <c r="V2128" s="58"/>
      <c r="W2128" s="58"/>
      <c r="X2128" s="30" t="e">
        <f t="shared" si="11"/>
        <v>#N/A</v>
      </c>
      <c r="Y2128" s="30" t="e">
        <f t="shared" si="12"/>
        <v>#N/A</v>
      </c>
      <c r="Z2128" s="35" t="e">
        <f t="shared" si="13"/>
        <v>#VALUE!</v>
      </c>
      <c r="AA2128" s="29" t="e">
        <f t="shared" si="14"/>
        <v>#VALUE!</v>
      </c>
      <c r="AB2128" s="36" t="e">
        <f t="shared" si="15"/>
        <v>#VALUE!</v>
      </c>
      <c r="AC2128" s="37" t="b">
        <v>0</v>
      </c>
      <c r="AD2128" s="61" t="str">
        <f t="shared" si="16"/>
        <v>USD</v>
      </c>
      <c r="AE2128" s="37"/>
      <c r="AF2128" s="37" t="e">
        <f t="array" ref="AF2128">INDEX('Deal Info'!D:D, MATCH(A2128,'Deal Info'!A:A, 0))</f>
        <v>#N/A</v>
      </c>
      <c r="AG2128" s="38" t="e">
        <f t="array" ref="AG2128">INDEX('Deal Info'!G:G, MATCH(A2128,'Deal Info'!A:A, 0))</f>
        <v>#N/A</v>
      </c>
    </row>
    <row r="2129" spans="1:33" ht="14.25" hidden="1" x14ac:dyDescent="0.2">
      <c r="A2129" s="18" t="b">
        <f t="array" ref="A2129">IF(G2129='Room Info'!$B$1, INDEX('Room Info'!$A$2:$A2446, MATCH(B2129,'Room Info'!$B$2:$B2446, 0)),IF(G2129='Room Info'!$C$1, INDEX('Room Info'!$A$2:$A2446, MATCH(B2129,'Room Info'!$C$2:$C2446, 0)),IF(G2129='Room Info'!$D$1, INDEX('Room Info'!$A$2:$A2446, MATCH(B2129,'Room Info'!$D$2:$D2446, 0)),IF(G2129='Room Info'!$E$1, INDEX('Room Info'!$A$2:$A2446, MATCH(B2129,'Room Info'!$E$2:$E2446, 0)),IF(G2129='Room Info'!$F$1, INDEX('Room Info'!$A$2:$A2446, MATCH(B2129,'Room Info'!$F$2:$F2446, 0)),IF(G2129='Room Info'!$H$1, INDEX('Room Info'!$A$2:$A2446, MATCH(B2129,'Room Info'!$H$2:$H2446, 0)),IF(G2129='Room Info'!$G$1, INDEX('Room Info'!$A$2:$A2446, MATCH(B2129,'Room Info'!$G$2:$G2446, 0)))))))))</f>
        <v>0</v>
      </c>
      <c r="B2129" s="96"/>
      <c r="C2129" s="136"/>
      <c r="D2129" s="136"/>
      <c r="E2129" s="137"/>
      <c r="F2129" s="133"/>
      <c r="G2129" s="96"/>
      <c r="H2129" s="100"/>
      <c r="I2129" s="100"/>
      <c r="J2129" s="39" t="s">
        <v>334</v>
      </c>
      <c r="K2129" s="134"/>
      <c r="L2129" s="135"/>
      <c r="M2129" s="79"/>
      <c r="N2129" s="28" t="e">
        <f t="shared" si="8"/>
        <v>#VALUE!</v>
      </c>
      <c r="O2129" s="96"/>
      <c r="P2129" s="29" t="s">
        <v>334</v>
      </c>
      <c r="Q2129" s="55"/>
      <c r="R2129" s="31" t="e">
        <f t="shared" si="9"/>
        <v>#VALUE!</v>
      </c>
      <c r="S2129" s="97"/>
      <c r="T2129" s="32" t="e">
        <f t="shared" si="10"/>
        <v>#VALUE!</v>
      </c>
      <c r="U2129" s="57"/>
      <c r="V2129" s="58"/>
      <c r="W2129" s="58"/>
      <c r="X2129" s="30" t="e">
        <f t="shared" si="11"/>
        <v>#N/A</v>
      </c>
      <c r="Y2129" s="30" t="e">
        <f t="shared" si="12"/>
        <v>#N/A</v>
      </c>
      <c r="Z2129" s="35" t="e">
        <f t="shared" si="13"/>
        <v>#VALUE!</v>
      </c>
      <c r="AA2129" s="29" t="e">
        <f t="shared" si="14"/>
        <v>#VALUE!</v>
      </c>
      <c r="AB2129" s="36" t="e">
        <f t="shared" si="15"/>
        <v>#VALUE!</v>
      </c>
      <c r="AC2129" s="37" t="b">
        <v>0</v>
      </c>
      <c r="AD2129" s="61" t="str">
        <f t="shared" si="16"/>
        <v>USD</v>
      </c>
      <c r="AE2129" s="37"/>
      <c r="AF2129" s="37" t="e">
        <f t="array" ref="AF2129">INDEX('Deal Info'!D:D, MATCH(A2129,'Deal Info'!A:A, 0))</f>
        <v>#N/A</v>
      </c>
      <c r="AG2129" s="38" t="e">
        <f t="array" ref="AG2129">INDEX('Deal Info'!G:G, MATCH(A2129,'Deal Info'!A:A, 0))</f>
        <v>#N/A</v>
      </c>
    </row>
    <row r="2130" spans="1:33" ht="14.25" hidden="1" x14ac:dyDescent="0.2">
      <c r="A2130" s="18" t="b">
        <f t="array" ref="A2130">IF(G2130='Room Info'!$B$1, INDEX('Room Info'!$A$2:$A2446, MATCH(B2130,'Room Info'!$B$2:$B2446, 0)),IF(G2130='Room Info'!$C$1, INDEX('Room Info'!$A$2:$A2446, MATCH(B2130,'Room Info'!$C$2:$C2446, 0)),IF(G2130='Room Info'!$D$1, INDEX('Room Info'!$A$2:$A2446, MATCH(B2130,'Room Info'!$D$2:$D2446, 0)),IF(G2130='Room Info'!$E$1, INDEX('Room Info'!$A$2:$A2446, MATCH(B2130,'Room Info'!$E$2:$E2446, 0)),IF(G2130='Room Info'!$F$1, INDEX('Room Info'!$A$2:$A2446, MATCH(B2130,'Room Info'!$F$2:$F2446, 0)),IF(G2130='Room Info'!$H$1, INDEX('Room Info'!$A$2:$A2446, MATCH(B2130,'Room Info'!$H$2:$H2446, 0)),IF(G2130='Room Info'!$G$1, INDEX('Room Info'!$A$2:$A2446, MATCH(B2130,'Room Info'!$G$2:$G2446, 0)))))))))</f>
        <v>0</v>
      </c>
      <c r="B2130" s="96"/>
      <c r="C2130" s="136"/>
      <c r="D2130" s="136"/>
      <c r="E2130" s="137"/>
      <c r="F2130" s="96"/>
      <c r="G2130" s="65"/>
      <c r="H2130" s="110"/>
      <c r="I2130" s="110"/>
      <c r="J2130" s="39" t="s">
        <v>334</v>
      </c>
      <c r="K2130" s="112"/>
      <c r="L2130" s="113"/>
      <c r="M2130" s="62"/>
      <c r="N2130" s="28" t="e">
        <f t="shared" si="8"/>
        <v>#VALUE!</v>
      </c>
      <c r="O2130" s="65"/>
      <c r="P2130" s="29" t="s">
        <v>334</v>
      </c>
      <c r="Q2130" s="55"/>
      <c r="R2130" s="31" t="e">
        <f t="shared" si="9"/>
        <v>#VALUE!</v>
      </c>
      <c r="S2130" s="66"/>
      <c r="T2130" s="32" t="e">
        <f t="shared" si="10"/>
        <v>#VALUE!</v>
      </c>
      <c r="U2130" s="57"/>
      <c r="V2130" s="58"/>
      <c r="W2130" s="58"/>
      <c r="X2130" s="30" t="e">
        <f t="shared" si="11"/>
        <v>#N/A</v>
      </c>
      <c r="Y2130" s="30" t="e">
        <f t="shared" si="12"/>
        <v>#N/A</v>
      </c>
      <c r="Z2130" s="35" t="e">
        <f t="shared" si="13"/>
        <v>#VALUE!</v>
      </c>
      <c r="AA2130" s="29" t="e">
        <f t="shared" si="14"/>
        <v>#VALUE!</v>
      </c>
      <c r="AB2130" s="36" t="e">
        <f t="shared" si="15"/>
        <v>#VALUE!</v>
      </c>
      <c r="AC2130" s="37" t="b">
        <v>0</v>
      </c>
      <c r="AD2130" s="61" t="str">
        <f t="shared" si="16"/>
        <v>USD</v>
      </c>
      <c r="AE2130" s="37"/>
      <c r="AF2130" s="37" t="e">
        <f t="array" ref="AF2130">INDEX('Deal Info'!D:D, MATCH(A2130,'Deal Info'!A:A, 0))</f>
        <v>#N/A</v>
      </c>
      <c r="AG2130" s="38" t="e">
        <f t="array" ref="AG2130">INDEX('Deal Info'!G:G, MATCH(A2130,'Deal Info'!A:A, 0))</f>
        <v>#N/A</v>
      </c>
    </row>
    <row r="2131" spans="1:33" ht="14.25" hidden="1" x14ac:dyDescent="0.2">
      <c r="A2131" s="18" t="b">
        <f t="array" ref="A2131">IF(G2131='Room Info'!$B$1, INDEX('Room Info'!$A$2:$A2446, MATCH(B2131,'Room Info'!$B$2:$B2446, 0)),IF(G2131='Room Info'!$C$1, INDEX('Room Info'!$A$2:$A2446, MATCH(B2131,'Room Info'!$C$2:$C2446, 0)),IF(G2131='Room Info'!$D$1, INDEX('Room Info'!$A$2:$A2446, MATCH(B2131,'Room Info'!$D$2:$D2446, 0)),IF(G2131='Room Info'!$E$1, INDEX('Room Info'!$A$2:$A2446, MATCH(B2131,'Room Info'!$E$2:$E2446, 0)),IF(G2131='Room Info'!$F$1, INDEX('Room Info'!$A$2:$A2446, MATCH(B2131,'Room Info'!$F$2:$F2446, 0)),IF(G2131='Room Info'!$H$1, INDEX('Room Info'!$A$2:$A2446, MATCH(B2131,'Room Info'!$H$2:$H2446, 0)),IF(G2131='Room Info'!$G$1, INDEX('Room Info'!$A$2:$A2446, MATCH(B2131,'Room Info'!$G$2:$G2446, 0)))))))))</f>
        <v>0</v>
      </c>
      <c r="B2131" s="96"/>
      <c r="C2131" s="136"/>
      <c r="D2131" s="136"/>
      <c r="E2131" s="137"/>
      <c r="F2131" s="96"/>
      <c r="G2131" s="65"/>
      <c r="H2131" s="110"/>
      <c r="I2131" s="110"/>
      <c r="J2131" s="39" t="s">
        <v>334</v>
      </c>
      <c r="K2131" s="112"/>
      <c r="L2131" s="113"/>
      <c r="M2131" s="62"/>
      <c r="N2131" s="28" t="e">
        <f t="shared" si="8"/>
        <v>#VALUE!</v>
      </c>
      <c r="O2131" s="65"/>
      <c r="P2131" s="29" t="s">
        <v>334</v>
      </c>
      <c r="Q2131" s="55"/>
      <c r="R2131" s="31" t="e">
        <f t="shared" si="9"/>
        <v>#VALUE!</v>
      </c>
      <c r="S2131" s="66"/>
      <c r="T2131" s="32" t="e">
        <f t="shared" si="10"/>
        <v>#VALUE!</v>
      </c>
      <c r="U2131" s="57"/>
      <c r="V2131" s="58"/>
      <c r="W2131" s="58"/>
      <c r="X2131" s="30" t="e">
        <f t="shared" si="11"/>
        <v>#N/A</v>
      </c>
      <c r="Y2131" s="30" t="e">
        <f t="shared" si="12"/>
        <v>#N/A</v>
      </c>
      <c r="Z2131" s="35" t="e">
        <f t="shared" si="13"/>
        <v>#VALUE!</v>
      </c>
      <c r="AA2131" s="29" t="e">
        <f t="shared" si="14"/>
        <v>#VALUE!</v>
      </c>
      <c r="AB2131" s="36" t="e">
        <f t="shared" si="15"/>
        <v>#VALUE!</v>
      </c>
      <c r="AC2131" s="37" t="b">
        <v>0</v>
      </c>
      <c r="AD2131" s="61" t="str">
        <f t="shared" si="16"/>
        <v>USD</v>
      </c>
      <c r="AE2131" s="37"/>
      <c r="AF2131" s="37" t="e">
        <f t="array" ref="AF2131">INDEX('Deal Info'!D:D, MATCH(A2131,'Deal Info'!A:A, 0))</f>
        <v>#N/A</v>
      </c>
      <c r="AG2131" s="38" t="e">
        <f t="array" ref="AG2131">INDEX('Deal Info'!G:G, MATCH(A2131,'Deal Info'!A:A, 0))</f>
        <v>#N/A</v>
      </c>
    </row>
    <row r="2132" spans="1:33" ht="14.25" hidden="1" x14ac:dyDescent="0.2">
      <c r="A2132" s="18" t="b">
        <f t="array" ref="A2132">IF(G2132='Room Info'!$B$1, INDEX('Room Info'!$A$2:$A2446, MATCH(B2132,'Room Info'!$B$2:$B2446, 0)),IF(G2132='Room Info'!$C$1, INDEX('Room Info'!$A$2:$A2446, MATCH(B2132,'Room Info'!$C$2:$C2446, 0)),IF(G2132='Room Info'!$D$1, INDEX('Room Info'!$A$2:$A2446, MATCH(B2132,'Room Info'!$D$2:$D2446, 0)),IF(G2132='Room Info'!$E$1, INDEX('Room Info'!$A$2:$A2446, MATCH(B2132,'Room Info'!$E$2:$E2446, 0)),IF(G2132='Room Info'!$F$1, INDEX('Room Info'!$A$2:$A2446, MATCH(B2132,'Room Info'!$F$2:$F2446, 0)),IF(G2132='Room Info'!$H$1, INDEX('Room Info'!$A$2:$A2446, MATCH(B2132,'Room Info'!$H$2:$H2446, 0)),IF(G2132='Room Info'!$G$1, INDEX('Room Info'!$A$2:$A2446, MATCH(B2132,'Room Info'!$G$2:$G2446, 0)))))))))</f>
        <v>0</v>
      </c>
      <c r="B2132" s="96"/>
      <c r="C2132" s="136"/>
      <c r="D2132" s="136"/>
      <c r="E2132" s="137"/>
      <c r="F2132" s="133"/>
      <c r="G2132" s="65"/>
      <c r="H2132" s="110"/>
      <c r="I2132" s="110"/>
      <c r="J2132" s="39" t="s">
        <v>334</v>
      </c>
      <c r="K2132" s="112"/>
      <c r="L2132" s="113"/>
      <c r="M2132" s="62"/>
      <c r="N2132" s="28" t="e">
        <f t="shared" si="8"/>
        <v>#VALUE!</v>
      </c>
      <c r="O2132" s="65"/>
      <c r="P2132" s="29" t="s">
        <v>334</v>
      </c>
      <c r="Q2132" s="55"/>
      <c r="R2132" s="31" t="e">
        <f t="shared" si="9"/>
        <v>#VALUE!</v>
      </c>
      <c r="S2132" s="66"/>
      <c r="T2132" s="32" t="e">
        <f t="shared" si="10"/>
        <v>#VALUE!</v>
      </c>
      <c r="U2132" s="57"/>
      <c r="V2132" s="58"/>
      <c r="W2132" s="58"/>
      <c r="X2132" s="30" t="e">
        <f t="shared" si="11"/>
        <v>#N/A</v>
      </c>
      <c r="Y2132" s="30" t="e">
        <f t="shared" si="12"/>
        <v>#N/A</v>
      </c>
      <c r="Z2132" s="35" t="e">
        <f t="shared" si="13"/>
        <v>#VALUE!</v>
      </c>
      <c r="AA2132" s="29" t="e">
        <f t="shared" si="14"/>
        <v>#VALUE!</v>
      </c>
      <c r="AB2132" s="36" t="e">
        <f t="shared" si="15"/>
        <v>#VALUE!</v>
      </c>
      <c r="AC2132" s="37" t="b">
        <v>0</v>
      </c>
      <c r="AD2132" s="61" t="str">
        <f t="shared" si="16"/>
        <v>USD</v>
      </c>
      <c r="AE2132" s="37"/>
      <c r="AF2132" s="37" t="e">
        <f t="array" ref="AF2132">INDEX('Deal Info'!D:D, MATCH(A2132,'Deal Info'!A:A, 0))</f>
        <v>#N/A</v>
      </c>
      <c r="AG2132" s="38" t="e">
        <f t="array" ref="AG2132">INDEX('Deal Info'!G:G, MATCH(A2132,'Deal Info'!A:A, 0))</f>
        <v>#N/A</v>
      </c>
    </row>
    <row r="2133" spans="1:33" ht="14.25" hidden="1" x14ac:dyDescent="0.2">
      <c r="A2133" s="18" t="b">
        <f t="array" ref="A2133">IF(G2133='Room Info'!$B$1, INDEX('Room Info'!$A$2:$A2446, MATCH(B2133,'Room Info'!$B$2:$B2446, 0)),IF(G2133='Room Info'!$C$1, INDEX('Room Info'!$A$2:$A2446, MATCH(B2133,'Room Info'!$C$2:$C2446, 0)),IF(G2133='Room Info'!$D$1, INDEX('Room Info'!$A$2:$A2446, MATCH(B2133,'Room Info'!$D$2:$D2446, 0)),IF(G2133='Room Info'!$E$1, INDEX('Room Info'!$A$2:$A2446, MATCH(B2133,'Room Info'!$E$2:$E2446, 0)),IF(G2133='Room Info'!$F$1, INDEX('Room Info'!$A$2:$A2446, MATCH(B2133,'Room Info'!$F$2:$F2446, 0)),IF(G2133='Room Info'!$H$1, INDEX('Room Info'!$A$2:$A2446, MATCH(B2133,'Room Info'!$H$2:$H2446, 0)),IF(G2133='Room Info'!$G$1, INDEX('Room Info'!$A$2:$A2446, MATCH(B2133,'Room Info'!$G$2:$G2446, 0)))))))))</f>
        <v>0</v>
      </c>
      <c r="B2133" s="96"/>
      <c r="C2133" s="136"/>
      <c r="D2133" s="136"/>
      <c r="E2133" s="137"/>
      <c r="F2133" s="133"/>
      <c r="G2133" s="65"/>
      <c r="H2133" s="110"/>
      <c r="I2133" s="110"/>
      <c r="J2133" s="39" t="s">
        <v>334</v>
      </c>
      <c r="K2133" s="112"/>
      <c r="L2133" s="113"/>
      <c r="M2133" s="62"/>
      <c r="N2133" s="28" t="e">
        <f t="shared" si="8"/>
        <v>#VALUE!</v>
      </c>
      <c r="O2133" s="65"/>
      <c r="P2133" s="29" t="s">
        <v>334</v>
      </c>
      <c r="Q2133" s="55"/>
      <c r="R2133" s="31" t="e">
        <f t="shared" si="9"/>
        <v>#VALUE!</v>
      </c>
      <c r="S2133" s="66"/>
      <c r="T2133" s="32" t="e">
        <f t="shared" si="10"/>
        <v>#VALUE!</v>
      </c>
      <c r="U2133" s="57"/>
      <c r="V2133" s="58"/>
      <c r="W2133" s="58"/>
      <c r="X2133" s="30" t="e">
        <f t="shared" si="11"/>
        <v>#N/A</v>
      </c>
      <c r="Y2133" s="30" t="e">
        <f t="shared" si="12"/>
        <v>#N/A</v>
      </c>
      <c r="Z2133" s="35" t="e">
        <f t="shared" si="13"/>
        <v>#VALUE!</v>
      </c>
      <c r="AA2133" s="29" t="e">
        <f t="shared" si="14"/>
        <v>#VALUE!</v>
      </c>
      <c r="AB2133" s="36" t="e">
        <f t="shared" si="15"/>
        <v>#VALUE!</v>
      </c>
      <c r="AC2133" s="37" t="b">
        <v>0</v>
      </c>
      <c r="AD2133" s="61" t="str">
        <f t="shared" si="16"/>
        <v>USD</v>
      </c>
      <c r="AE2133" s="37"/>
      <c r="AF2133" s="37" t="e">
        <f t="array" ref="AF2133">INDEX('Deal Info'!D:D, MATCH(A2133,'Deal Info'!A:A, 0))</f>
        <v>#N/A</v>
      </c>
      <c r="AG2133" s="38" t="e">
        <f t="array" ref="AG2133">INDEX('Deal Info'!G:G, MATCH(A2133,'Deal Info'!A:A, 0))</f>
        <v>#N/A</v>
      </c>
    </row>
    <row r="2134" spans="1:33" ht="14.25" hidden="1" x14ac:dyDescent="0.2">
      <c r="A2134" s="18" t="b">
        <f t="array" ref="A2134">IF(G2134='Room Info'!$B$1, INDEX('Room Info'!$A$2:$A2446, MATCH(B2134,'Room Info'!$B$2:$B2446, 0)),IF(G2134='Room Info'!$C$1, INDEX('Room Info'!$A$2:$A2446, MATCH(B2134,'Room Info'!$C$2:$C2446, 0)),IF(G2134='Room Info'!$D$1, INDEX('Room Info'!$A$2:$A2446, MATCH(B2134,'Room Info'!$D$2:$D2446, 0)),IF(G2134='Room Info'!$E$1, INDEX('Room Info'!$A$2:$A2446, MATCH(B2134,'Room Info'!$E$2:$E2446, 0)),IF(G2134='Room Info'!$F$1, INDEX('Room Info'!$A$2:$A2446, MATCH(B2134,'Room Info'!$F$2:$F2446, 0)),IF(G2134='Room Info'!$H$1, INDEX('Room Info'!$A$2:$A2446, MATCH(B2134,'Room Info'!$H$2:$H2446, 0)),IF(G2134='Room Info'!$G$1, INDEX('Room Info'!$A$2:$A2446, MATCH(B2134,'Room Info'!$G$2:$G2446, 0)))))))))</f>
        <v>0</v>
      </c>
      <c r="B2134" s="96"/>
      <c r="C2134" s="136"/>
      <c r="D2134" s="136"/>
      <c r="E2134" s="137"/>
      <c r="F2134" s="133"/>
      <c r="G2134" s="65"/>
      <c r="H2134" s="110"/>
      <c r="I2134" s="110"/>
      <c r="J2134" s="39" t="s">
        <v>334</v>
      </c>
      <c r="K2134" s="112"/>
      <c r="L2134" s="113"/>
      <c r="M2134" s="62"/>
      <c r="N2134" s="28" t="e">
        <f t="shared" si="8"/>
        <v>#VALUE!</v>
      </c>
      <c r="O2134" s="65"/>
      <c r="P2134" s="29" t="s">
        <v>334</v>
      </c>
      <c r="Q2134" s="55"/>
      <c r="R2134" s="31" t="e">
        <f t="shared" si="9"/>
        <v>#VALUE!</v>
      </c>
      <c r="S2134" s="66"/>
      <c r="T2134" s="32" t="e">
        <f t="shared" si="10"/>
        <v>#VALUE!</v>
      </c>
      <c r="U2134" s="57"/>
      <c r="V2134" s="58"/>
      <c r="W2134" s="58"/>
      <c r="X2134" s="30" t="e">
        <f t="shared" si="11"/>
        <v>#N/A</v>
      </c>
      <c r="Y2134" s="30" t="e">
        <f t="shared" si="12"/>
        <v>#N/A</v>
      </c>
      <c r="Z2134" s="35" t="e">
        <f t="shared" si="13"/>
        <v>#VALUE!</v>
      </c>
      <c r="AA2134" s="29" t="e">
        <f t="shared" si="14"/>
        <v>#VALUE!</v>
      </c>
      <c r="AB2134" s="36" t="e">
        <f t="shared" si="15"/>
        <v>#VALUE!</v>
      </c>
      <c r="AC2134" s="37" t="b">
        <v>0</v>
      </c>
      <c r="AD2134" s="61" t="str">
        <f t="shared" si="16"/>
        <v>USD</v>
      </c>
      <c r="AE2134" s="37"/>
      <c r="AF2134" s="37" t="e">
        <f t="array" ref="AF2134">INDEX('Deal Info'!D:D, MATCH(A2134,'Deal Info'!A:A, 0))</f>
        <v>#N/A</v>
      </c>
      <c r="AG2134" s="38" t="e">
        <f t="array" ref="AG2134">INDEX('Deal Info'!G:G, MATCH(A2134,'Deal Info'!A:A, 0))</f>
        <v>#N/A</v>
      </c>
    </row>
    <row r="2135" spans="1:33" ht="14.25" hidden="1" x14ac:dyDescent="0.2">
      <c r="A2135" s="18" t="b">
        <f t="array" ref="A2135">IF(G2135='Room Info'!$B$1, INDEX('Room Info'!$A$2:$A2446, MATCH(B2135,'Room Info'!$B$2:$B2446, 0)),IF(G2135='Room Info'!$C$1, INDEX('Room Info'!$A$2:$A2446, MATCH(B2135,'Room Info'!$C$2:$C2446, 0)),IF(G2135='Room Info'!$D$1, INDEX('Room Info'!$A$2:$A2446, MATCH(B2135,'Room Info'!$D$2:$D2446, 0)),IF(G2135='Room Info'!$E$1, INDEX('Room Info'!$A$2:$A2446, MATCH(B2135,'Room Info'!$E$2:$E2446, 0)),IF(G2135='Room Info'!$F$1, INDEX('Room Info'!$A$2:$A2446, MATCH(B2135,'Room Info'!$F$2:$F2446, 0)),IF(G2135='Room Info'!$H$1, INDEX('Room Info'!$A$2:$A2446, MATCH(B2135,'Room Info'!$H$2:$H2446, 0)),IF(G2135='Room Info'!$G$1, INDEX('Room Info'!$A$2:$A2446, MATCH(B2135,'Room Info'!$G$2:$G2446, 0)))))))))</f>
        <v>0</v>
      </c>
      <c r="B2135" s="96"/>
      <c r="C2135" s="111"/>
      <c r="D2135" s="111"/>
      <c r="E2135" s="80"/>
      <c r="F2135" s="133"/>
      <c r="G2135" s="65"/>
      <c r="H2135" s="110"/>
      <c r="I2135" s="110"/>
      <c r="J2135" s="39" t="s">
        <v>334</v>
      </c>
      <c r="K2135" s="112"/>
      <c r="L2135" s="113"/>
      <c r="M2135" s="62"/>
      <c r="N2135" s="28" t="e">
        <f t="shared" si="8"/>
        <v>#VALUE!</v>
      </c>
      <c r="O2135" s="65"/>
      <c r="P2135" s="29" t="s">
        <v>334</v>
      </c>
      <c r="Q2135" s="55"/>
      <c r="R2135" s="31" t="e">
        <f t="shared" si="9"/>
        <v>#VALUE!</v>
      </c>
      <c r="S2135" s="66"/>
      <c r="T2135" s="32" t="e">
        <f t="shared" si="10"/>
        <v>#VALUE!</v>
      </c>
      <c r="U2135" s="57"/>
      <c r="V2135" s="58"/>
      <c r="W2135" s="58"/>
      <c r="X2135" s="30" t="e">
        <f t="shared" si="11"/>
        <v>#N/A</v>
      </c>
      <c r="Y2135" s="30" t="e">
        <f t="shared" si="12"/>
        <v>#N/A</v>
      </c>
      <c r="Z2135" s="35" t="e">
        <f t="shared" si="13"/>
        <v>#VALUE!</v>
      </c>
      <c r="AA2135" s="29" t="e">
        <f t="shared" si="14"/>
        <v>#VALUE!</v>
      </c>
      <c r="AB2135" s="36" t="e">
        <f t="shared" si="15"/>
        <v>#VALUE!</v>
      </c>
      <c r="AC2135" s="37" t="b">
        <v>0</v>
      </c>
      <c r="AD2135" s="61" t="str">
        <f t="shared" si="16"/>
        <v>USD</v>
      </c>
      <c r="AE2135" s="37"/>
      <c r="AF2135" s="37" t="e">
        <f t="array" ref="AF2135">INDEX('Deal Info'!D:D, MATCH(A2135,'Deal Info'!A:A, 0))</f>
        <v>#N/A</v>
      </c>
      <c r="AG2135" s="38" t="e">
        <f t="array" ref="AG2135">INDEX('Deal Info'!G:G, MATCH(A2135,'Deal Info'!A:A, 0))</f>
        <v>#N/A</v>
      </c>
    </row>
    <row r="2136" spans="1:33" ht="14.25" hidden="1" x14ac:dyDescent="0.2">
      <c r="A2136" s="18" t="b">
        <f t="array" ref="A2136">IF(G2136='Room Info'!$B$1, INDEX('Room Info'!$A$2:$A2446, MATCH(B2136,'Room Info'!$B$2:$B2446, 0)),IF(G2136='Room Info'!$C$1, INDEX('Room Info'!$A$2:$A2446, MATCH(B2136,'Room Info'!$C$2:$C2446, 0)),IF(G2136='Room Info'!$D$1, INDEX('Room Info'!$A$2:$A2446, MATCH(B2136,'Room Info'!$D$2:$D2446, 0)),IF(G2136='Room Info'!$E$1, INDEX('Room Info'!$A$2:$A2446, MATCH(B2136,'Room Info'!$E$2:$E2446, 0)),IF(G2136='Room Info'!$F$1, INDEX('Room Info'!$A$2:$A2446, MATCH(B2136,'Room Info'!$F$2:$F2446, 0)),IF(G2136='Room Info'!$H$1, INDEX('Room Info'!$A$2:$A2446, MATCH(B2136,'Room Info'!$H$2:$H2446, 0)),IF(G2136='Room Info'!$G$1, INDEX('Room Info'!$A$2:$A2446, MATCH(B2136,'Room Info'!$G$2:$G2446, 0)))))))))</f>
        <v>0</v>
      </c>
      <c r="B2136" s="96"/>
      <c r="C2136" s="111"/>
      <c r="D2136" s="111"/>
      <c r="E2136" s="80"/>
      <c r="F2136" s="133"/>
      <c r="G2136" s="65"/>
      <c r="H2136" s="110"/>
      <c r="I2136" s="110"/>
      <c r="J2136" s="39" t="s">
        <v>334</v>
      </c>
      <c r="K2136" s="112"/>
      <c r="L2136" s="113"/>
      <c r="M2136" s="62"/>
      <c r="N2136" s="28" t="e">
        <f t="shared" si="8"/>
        <v>#VALUE!</v>
      </c>
      <c r="O2136" s="65"/>
      <c r="P2136" s="29" t="s">
        <v>334</v>
      </c>
      <c r="Q2136" s="55"/>
      <c r="R2136" s="31" t="e">
        <f t="shared" si="9"/>
        <v>#VALUE!</v>
      </c>
      <c r="S2136" s="66"/>
      <c r="T2136" s="32" t="e">
        <f t="shared" si="10"/>
        <v>#VALUE!</v>
      </c>
      <c r="U2136" s="57"/>
      <c r="V2136" s="58"/>
      <c r="W2136" s="58"/>
      <c r="X2136" s="30" t="e">
        <f t="shared" si="11"/>
        <v>#N/A</v>
      </c>
      <c r="Y2136" s="30" t="e">
        <f t="shared" si="12"/>
        <v>#N/A</v>
      </c>
      <c r="Z2136" s="35" t="e">
        <f t="shared" si="13"/>
        <v>#VALUE!</v>
      </c>
      <c r="AA2136" s="29" t="e">
        <f t="shared" si="14"/>
        <v>#VALUE!</v>
      </c>
      <c r="AB2136" s="36" t="e">
        <f t="shared" si="15"/>
        <v>#VALUE!</v>
      </c>
      <c r="AC2136" s="37" t="b">
        <v>0</v>
      </c>
      <c r="AD2136" s="61" t="str">
        <f t="shared" si="16"/>
        <v>USD</v>
      </c>
      <c r="AE2136" s="37"/>
      <c r="AF2136" s="37" t="e">
        <f t="array" ref="AF2136">INDEX('Deal Info'!D:D, MATCH(A2136,'Deal Info'!A:A, 0))</f>
        <v>#N/A</v>
      </c>
      <c r="AG2136" s="38" t="e">
        <f t="array" ref="AG2136">INDEX('Deal Info'!G:G, MATCH(A2136,'Deal Info'!A:A, 0))</f>
        <v>#N/A</v>
      </c>
    </row>
    <row r="2137" spans="1:33" ht="14.25" hidden="1" x14ac:dyDescent="0.2">
      <c r="A2137" s="18" t="b">
        <f t="array" ref="A2137">IF(G2137='Room Info'!$B$1, INDEX('Room Info'!$A$2:$A2446, MATCH(B2137,'Room Info'!$B$2:$B2446, 0)),IF(G2137='Room Info'!$C$1, INDEX('Room Info'!$A$2:$A2446, MATCH(B2137,'Room Info'!$C$2:$C2446, 0)),IF(G2137='Room Info'!$D$1, INDEX('Room Info'!$A$2:$A2446, MATCH(B2137,'Room Info'!$D$2:$D2446, 0)),IF(G2137='Room Info'!$E$1, INDEX('Room Info'!$A$2:$A2446, MATCH(B2137,'Room Info'!$E$2:$E2446, 0)),IF(G2137='Room Info'!$F$1, INDEX('Room Info'!$A$2:$A2446, MATCH(B2137,'Room Info'!$F$2:$F2446, 0)),IF(G2137='Room Info'!$H$1, INDEX('Room Info'!$A$2:$A2446, MATCH(B2137,'Room Info'!$H$2:$H2446, 0)),IF(G2137='Room Info'!$G$1, INDEX('Room Info'!$A$2:$A2446, MATCH(B2137,'Room Info'!$G$2:$G2446, 0)))))))))</f>
        <v>0</v>
      </c>
      <c r="B2137" s="96"/>
      <c r="C2137" s="111"/>
      <c r="D2137" s="111"/>
      <c r="E2137" s="80"/>
      <c r="F2137" s="133"/>
      <c r="G2137" s="65"/>
      <c r="H2137" s="110"/>
      <c r="I2137" s="110"/>
      <c r="J2137" s="39" t="s">
        <v>334</v>
      </c>
      <c r="K2137" s="112"/>
      <c r="L2137" s="113"/>
      <c r="M2137" s="62"/>
      <c r="N2137" s="28" t="e">
        <f t="shared" si="8"/>
        <v>#VALUE!</v>
      </c>
      <c r="O2137" s="65"/>
      <c r="P2137" s="29" t="s">
        <v>334</v>
      </c>
      <c r="Q2137" s="55"/>
      <c r="R2137" s="31" t="e">
        <f t="shared" si="9"/>
        <v>#VALUE!</v>
      </c>
      <c r="S2137" s="66"/>
      <c r="T2137" s="32" t="e">
        <f t="shared" si="10"/>
        <v>#VALUE!</v>
      </c>
      <c r="U2137" s="57"/>
      <c r="V2137" s="58"/>
      <c r="W2137" s="58"/>
      <c r="X2137" s="30" t="e">
        <f t="shared" si="11"/>
        <v>#N/A</v>
      </c>
      <c r="Y2137" s="30" t="e">
        <f t="shared" si="12"/>
        <v>#N/A</v>
      </c>
      <c r="Z2137" s="35" t="e">
        <f t="shared" si="13"/>
        <v>#VALUE!</v>
      </c>
      <c r="AA2137" s="29" t="e">
        <f t="shared" si="14"/>
        <v>#VALUE!</v>
      </c>
      <c r="AB2137" s="36" t="e">
        <f t="shared" si="15"/>
        <v>#VALUE!</v>
      </c>
      <c r="AC2137" s="37" t="b">
        <v>0</v>
      </c>
      <c r="AD2137" s="61" t="str">
        <f t="shared" si="16"/>
        <v>USD</v>
      </c>
      <c r="AE2137" s="37"/>
      <c r="AF2137" s="37" t="e">
        <f t="array" ref="AF2137">INDEX('Deal Info'!D:D, MATCH(A2137,'Deal Info'!A:A, 0))</f>
        <v>#N/A</v>
      </c>
      <c r="AG2137" s="38" t="e">
        <f t="array" ref="AG2137">INDEX('Deal Info'!G:G, MATCH(A2137,'Deal Info'!A:A, 0))</f>
        <v>#N/A</v>
      </c>
    </row>
    <row r="2138" spans="1:33" ht="14.25" hidden="1" x14ac:dyDescent="0.2">
      <c r="A2138" s="18" t="b">
        <f t="array" ref="A2138">IF(G2138='Room Info'!$B$1, INDEX('Room Info'!$A$2:$A2446, MATCH(B2138,'Room Info'!$B$2:$B2446, 0)),IF(G2138='Room Info'!$C$1, INDEX('Room Info'!$A$2:$A2446, MATCH(B2138,'Room Info'!$C$2:$C2446, 0)),IF(G2138='Room Info'!$D$1, INDEX('Room Info'!$A$2:$A2446, MATCH(B2138,'Room Info'!$D$2:$D2446, 0)),IF(G2138='Room Info'!$E$1, INDEX('Room Info'!$A$2:$A2446, MATCH(B2138,'Room Info'!$E$2:$E2446, 0)),IF(G2138='Room Info'!$F$1, INDEX('Room Info'!$A$2:$A2446, MATCH(B2138,'Room Info'!$F$2:$F2446, 0)),IF(G2138='Room Info'!$H$1, INDEX('Room Info'!$A$2:$A2446, MATCH(B2138,'Room Info'!$H$2:$H2446, 0)),IF(G2138='Room Info'!$G$1, INDEX('Room Info'!$A$2:$A2446, MATCH(B2138,'Room Info'!$G$2:$G2446, 0)))))))))</f>
        <v>0</v>
      </c>
      <c r="B2138" s="96"/>
      <c r="C2138" s="111"/>
      <c r="D2138" s="111"/>
      <c r="E2138" s="80"/>
      <c r="F2138" s="133"/>
      <c r="G2138" s="65"/>
      <c r="H2138" s="110"/>
      <c r="I2138" s="110"/>
      <c r="J2138" s="39" t="s">
        <v>334</v>
      </c>
      <c r="K2138" s="112"/>
      <c r="L2138" s="113"/>
      <c r="M2138" s="62"/>
      <c r="N2138" s="28" t="e">
        <f t="shared" si="8"/>
        <v>#VALUE!</v>
      </c>
      <c r="O2138" s="65"/>
      <c r="P2138" s="29" t="s">
        <v>334</v>
      </c>
      <c r="Q2138" s="55"/>
      <c r="R2138" s="31" t="e">
        <f t="shared" si="9"/>
        <v>#VALUE!</v>
      </c>
      <c r="S2138" s="66"/>
      <c r="T2138" s="32" t="e">
        <f t="shared" si="10"/>
        <v>#VALUE!</v>
      </c>
      <c r="U2138" s="57"/>
      <c r="V2138" s="58"/>
      <c r="W2138" s="58"/>
      <c r="X2138" s="30" t="e">
        <f t="shared" si="11"/>
        <v>#N/A</v>
      </c>
      <c r="Y2138" s="30" t="e">
        <f t="shared" si="12"/>
        <v>#N/A</v>
      </c>
      <c r="Z2138" s="35" t="e">
        <f t="shared" si="13"/>
        <v>#VALUE!</v>
      </c>
      <c r="AA2138" s="29" t="e">
        <f t="shared" si="14"/>
        <v>#VALUE!</v>
      </c>
      <c r="AB2138" s="36" t="e">
        <f t="shared" si="15"/>
        <v>#VALUE!</v>
      </c>
      <c r="AC2138" s="37" t="b">
        <v>0</v>
      </c>
      <c r="AD2138" s="61" t="str">
        <f t="shared" si="16"/>
        <v>USD</v>
      </c>
      <c r="AE2138" s="37"/>
      <c r="AF2138" s="37" t="e">
        <f t="array" ref="AF2138">INDEX('Deal Info'!D:D, MATCH(A2138,'Deal Info'!A:A, 0))</f>
        <v>#N/A</v>
      </c>
      <c r="AG2138" s="38" t="e">
        <f t="array" ref="AG2138">INDEX('Deal Info'!G:G, MATCH(A2138,'Deal Info'!A:A, 0))</f>
        <v>#N/A</v>
      </c>
    </row>
    <row r="2139" spans="1:33" ht="14.25" hidden="1" x14ac:dyDescent="0.2">
      <c r="A2139" s="18" t="b">
        <f t="array" ref="A2139">IF(G2139='Room Info'!$B$1, INDEX('Room Info'!$A$2:$A2446, MATCH(B2139,'Room Info'!$B$2:$B2446, 0)),IF(G2139='Room Info'!$C$1, INDEX('Room Info'!$A$2:$A2446, MATCH(B2139,'Room Info'!$C$2:$C2446, 0)),IF(G2139='Room Info'!$D$1, INDEX('Room Info'!$A$2:$A2446, MATCH(B2139,'Room Info'!$D$2:$D2446, 0)),IF(G2139='Room Info'!$E$1, INDEX('Room Info'!$A$2:$A2446, MATCH(B2139,'Room Info'!$E$2:$E2446, 0)),IF(G2139='Room Info'!$F$1, INDEX('Room Info'!$A$2:$A2446, MATCH(B2139,'Room Info'!$F$2:$F2446, 0)),IF(G2139='Room Info'!$H$1, INDEX('Room Info'!$A$2:$A2446, MATCH(B2139,'Room Info'!$H$2:$H2446, 0)),IF(G2139='Room Info'!$G$1, INDEX('Room Info'!$A$2:$A2446, MATCH(B2139,'Room Info'!$G$2:$G2446, 0)))))))))</f>
        <v>0</v>
      </c>
      <c r="B2139" s="96"/>
      <c r="C2139" s="136"/>
      <c r="D2139" s="136"/>
      <c r="E2139" s="137"/>
      <c r="F2139" s="96"/>
      <c r="G2139" s="96"/>
      <c r="H2139" s="100"/>
      <c r="I2139" s="100"/>
      <c r="J2139" s="39" t="s">
        <v>334</v>
      </c>
      <c r="K2139" s="134"/>
      <c r="L2139" s="135"/>
      <c r="M2139" s="79"/>
      <c r="N2139" s="28" t="e">
        <f t="shared" si="8"/>
        <v>#VALUE!</v>
      </c>
      <c r="O2139" s="96"/>
      <c r="P2139" s="29" t="s">
        <v>334</v>
      </c>
      <c r="Q2139" s="55"/>
      <c r="R2139" s="31" t="e">
        <f t="shared" si="9"/>
        <v>#VALUE!</v>
      </c>
      <c r="S2139" s="97"/>
      <c r="T2139" s="32" t="e">
        <f t="shared" si="10"/>
        <v>#VALUE!</v>
      </c>
      <c r="U2139" s="57"/>
      <c r="V2139" s="58"/>
      <c r="W2139" s="58"/>
      <c r="X2139" s="30" t="e">
        <f t="shared" si="11"/>
        <v>#N/A</v>
      </c>
      <c r="Y2139" s="30" t="e">
        <f t="shared" si="12"/>
        <v>#N/A</v>
      </c>
      <c r="Z2139" s="35" t="e">
        <f t="shared" si="13"/>
        <v>#VALUE!</v>
      </c>
      <c r="AA2139" s="29" t="e">
        <f t="shared" si="14"/>
        <v>#VALUE!</v>
      </c>
      <c r="AB2139" s="36" t="e">
        <f t="shared" si="15"/>
        <v>#VALUE!</v>
      </c>
      <c r="AC2139" s="37" t="b">
        <v>0</v>
      </c>
      <c r="AD2139" s="61" t="str">
        <f t="shared" si="16"/>
        <v>USD</v>
      </c>
      <c r="AE2139" s="37"/>
      <c r="AF2139" s="37" t="e">
        <f t="array" ref="AF2139">INDEX('Deal Info'!D:D, MATCH(A2139,'Deal Info'!A:A, 0))</f>
        <v>#N/A</v>
      </c>
      <c r="AG2139" s="38" t="e">
        <f t="array" ref="AG2139">INDEX('Deal Info'!G:G, MATCH(A2139,'Deal Info'!A:A, 0))</f>
        <v>#N/A</v>
      </c>
    </row>
    <row r="2140" spans="1:33" ht="14.25" hidden="1" x14ac:dyDescent="0.2">
      <c r="A2140" s="18" t="b">
        <f t="array" ref="A2140">IF(G2140='Room Info'!$B$1, INDEX('Room Info'!$A$2:$A2446, MATCH(B2140,'Room Info'!$B$2:$B2446, 0)),IF(G2140='Room Info'!$C$1, INDEX('Room Info'!$A$2:$A2446, MATCH(B2140,'Room Info'!$C$2:$C2446, 0)),IF(G2140='Room Info'!$D$1, INDEX('Room Info'!$A$2:$A2446, MATCH(B2140,'Room Info'!$D$2:$D2446, 0)),IF(G2140='Room Info'!$E$1, INDEX('Room Info'!$A$2:$A2446, MATCH(B2140,'Room Info'!$E$2:$E2446, 0)),IF(G2140='Room Info'!$F$1, INDEX('Room Info'!$A$2:$A2446, MATCH(B2140,'Room Info'!$F$2:$F2446, 0)),IF(G2140='Room Info'!$H$1, INDEX('Room Info'!$A$2:$A2446, MATCH(B2140,'Room Info'!$H$2:$H2446, 0)),IF(G2140='Room Info'!$G$1, INDEX('Room Info'!$A$2:$A2446, MATCH(B2140,'Room Info'!$G$2:$G2446, 0)))))))))</f>
        <v>0</v>
      </c>
      <c r="B2140" s="96"/>
      <c r="C2140" s="111"/>
      <c r="D2140" s="111"/>
      <c r="E2140" s="80"/>
      <c r="F2140" s="133"/>
      <c r="G2140" s="65"/>
      <c r="H2140" s="110"/>
      <c r="I2140" s="110"/>
      <c r="J2140" s="39" t="s">
        <v>334</v>
      </c>
      <c r="K2140" s="112"/>
      <c r="L2140" s="113"/>
      <c r="M2140" s="62"/>
      <c r="N2140" s="28" t="e">
        <f t="shared" si="8"/>
        <v>#VALUE!</v>
      </c>
      <c r="O2140" s="65"/>
      <c r="P2140" s="29" t="s">
        <v>334</v>
      </c>
      <c r="Q2140" s="55"/>
      <c r="R2140" s="31" t="e">
        <f t="shared" si="9"/>
        <v>#VALUE!</v>
      </c>
      <c r="S2140" s="66"/>
      <c r="T2140" s="32" t="e">
        <f t="shared" si="10"/>
        <v>#VALUE!</v>
      </c>
      <c r="U2140" s="57"/>
      <c r="V2140" s="58"/>
      <c r="W2140" s="58"/>
      <c r="X2140" s="30" t="e">
        <f t="shared" si="11"/>
        <v>#N/A</v>
      </c>
      <c r="Y2140" s="30" t="e">
        <f t="shared" si="12"/>
        <v>#N/A</v>
      </c>
      <c r="Z2140" s="35" t="e">
        <f t="shared" si="13"/>
        <v>#VALUE!</v>
      </c>
      <c r="AA2140" s="29" t="e">
        <f t="shared" si="14"/>
        <v>#VALUE!</v>
      </c>
      <c r="AB2140" s="36" t="e">
        <f t="shared" si="15"/>
        <v>#VALUE!</v>
      </c>
      <c r="AC2140" s="37" t="b">
        <v>0</v>
      </c>
      <c r="AD2140" s="61" t="str">
        <f t="shared" si="16"/>
        <v>USD</v>
      </c>
      <c r="AE2140" s="37"/>
      <c r="AF2140" s="37" t="e">
        <f t="array" ref="AF2140">INDEX('Deal Info'!D:D, MATCH(A2140,'Deal Info'!A:A, 0))</f>
        <v>#N/A</v>
      </c>
      <c r="AG2140" s="38" t="e">
        <f t="array" ref="AG2140">INDEX('Deal Info'!G:G, MATCH(A2140,'Deal Info'!A:A, 0))</f>
        <v>#N/A</v>
      </c>
    </row>
    <row r="2141" spans="1:33" ht="14.25" hidden="1" x14ac:dyDescent="0.2">
      <c r="A2141" s="18" t="b">
        <f t="array" ref="A2141">IF(G2141='Room Info'!$B$1, INDEX('Room Info'!$A$2:$A2446, MATCH(B2141,'Room Info'!$B$2:$B2446, 0)),IF(G2141='Room Info'!$C$1, INDEX('Room Info'!$A$2:$A2446, MATCH(B2141,'Room Info'!$C$2:$C2446, 0)),IF(G2141='Room Info'!$D$1, INDEX('Room Info'!$A$2:$A2446, MATCH(B2141,'Room Info'!$D$2:$D2446, 0)),IF(G2141='Room Info'!$E$1, INDEX('Room Info'!$A$2:$A2446, MATCH(B2141,'Room Info'!$E$2:$E2446, 0)),IF(G2141='Room Info'!$F$1, INDEX('Room Info'!$A$2:$A2446, MATCH(B2141,'Room Info'!$F$2:$F2446, 0)),IF(G2141='Room Info'!$H$1, INDEX('Room Info'!$A$2:$A2446, MATCH(B2141,'Room Info'!$H$2:$H2446, 0)),IF(G2141='Room Info'!$G$1, INDEX('Room Info'!$A$2:$A2446, MATCH(B2141,'Room Info'!$G$2:$G2446, 0)))))))))</f>
        <v>0</v>
      </c>
      <c r="B2141" s="96"/>
      <c r="C2141" s="111"/>
      <c r="D2141" s="111"/>
      <c r="E2141" s="80"/>
      <c r="F2141" s="133"/>
      <c r="G2141" s="65"/>
      <c r="H2141" s="110"/>
      <c r="I2141" s="110"/>
      <c r="J2141" s="39" t="s">
        <v>334</v>
      </c>
      <c r="K2141" s="112"/>
      <c r="L2141" s="113"/>
      <c r="M2141" s="62"/>
      <c r="N2141" s="28" t="e">
        <f t="shared" si="8"/>
        <v>#VALUE!</v>
      </c>
      <c r="O2141" s="65"/>
      <c r="P2141" s="29" t="s">
        <v>334</v>
      </c>
      <c r="Q2141" s="55"/>
      <c r="R2141" s="31" t="e">
        <f t="shared" si="9"/>
        <v>#VALUE!</v>
      </c>
      <c r="S2141" s="66"/>
      <c r="T2141" s="32" t="e">
        <f t="shared" si="10"/>
        <v>#VALUE!</v>
      </c>
      <c r="U2141" s="57"/>
      <c r="V2141" s="58"/>
      <c r="W2141" s="58"/>
      <c r="X2141" s="30" t="e">
        <f t="shared" si="11"/>
        <v>#N/A</v>
      </c>
      <c r="Y2141" s="30" t="e">
        <f t="shared" si="12"/>
        <v>#N/A</v>
      </c>
      <c r="Z2141" s="35" t="e">
        <f t="shared" si="13"/>
        <v>#VALUE!</v>
      </c>
      <c r="AA2141" s="29" t="e">
        <f t="shared" si="14"/>
        <v>#VALUE!</v>
      </c>
      <c r="AB2141" s="36" t="e">
        <f t="shared" si="15"/>
        <v>#VALUE!</v>
      </c>
      <c r="AC2141" s="37" t="b">
        <v>0</v>
      </c>
      <c r="AD2141" s="61" t="str">
        <f t="shared" si="16"/>
        <v>USD</v>
      </c>
      <c r="AE2141" s="37"/>
      <c r="AF2141" s="37" t="e">
        <f t="array" ref="AF2141">INDEX('Deal Info'!D:D, MATCH(A2141,'Deal Info'!A:A, 0))</f>
        <v>#N/A</v>
      </c>
      <c r="AG2141" s="38" t="e">
        <f t="array" ref="AG2141">INDEX('Deal Info'!G:G, MATCH(A2141,'Deal Info'!A:A, 0))</f>
        <v>#N/A</v>
      </c>
    </row>
    <row r="2142" spans="1:33" ht="14.25" hidden="1" x14ac:dyDescent="0.2">
      <c r="A2142" s="18" t="b">
        <f t="array" ref="A2142">IF(G2142='Room Info'!$B$1, INDEX('Room Info'!$A$2:$A2446, MATCH(B2142,'Room Info'!$B$2:$B2446, 0)),IF(G2142='Room Info'!$C$1, INDEX('Room Info'!$A$2:$A2446, MATCH(B2142,'Room Info'!$C$2:$C2446, 0)),IF(G2142='Room Info'!$D$1, INDEX('Room Info'!$A$2:$A2446, MATCH(B2142,'Room Info'!$D$2:$D2446, 0)),IF(G2142='Room Info'!$E$1, INDEX('Room Info'!$A$2:$A2446, MATCH(B2142,'Room Info'!$E$2:$E2446, 0)),IF(G2142='Room Info'!$F$1, INDEX('Room Info'!$A$2:$A2446, MATCH(B2142,'Room Info'!$F$2:$F2446, 0)),IF(G2142='Room Info'!$H$1, INDEX('Room Info'!$A$2:$A2446, MATCH(B2142,'Room Info'!$H$2:$H2446, 0)),IF(G2142='Room Info'!$G$1, INDEX('Room Info'!$A$2:$A2446, MATCH(B2142,'Room Info'!$G$2:$G2446, 0)))))))))</f>
        <v>0</v>
      </c>
      <c r="B2142" s="96"/>
      <c r="C2142" s="111"/>
      <c r="D2142" s="111"/>
      <c r="E2142" s="80"/>
      <c r="F2142" s="133"/>
      <c r="G2142" s="65"/>
      <c r="H2142" s="110"/>
      <c r="I2142" s="110"/>
      <c r="J2142" s="39" t="s">
        <v>334</v>
      </c>
      <c r="K2142" s="112"/>
      <c r="L2142" s="113"/>
      <c r="M2142" s="62"/>
      <c r="N2142" s="28" t="e">
        <f t="shared" si="8"/>
        <v>#VALUE!</v>
      </c>
      <c r="O2142" s="65"/>
      <c r="P2142" s="29" t="s">
        <v>334</v>
      </c>
      <c r="Q2142" s="55"/>
      <c r="R2142" s="31" t="e">
        <f t="shared" si="9"/>
        <v>#VALUE!</v>
      </c>
      <c r="S2142" s="66"/>
      <c r="T2142" s="32" t="e">
        <f t="shared" si="10"/>
        <v>#VALUE!</v>
      </c>
      <c r="U2142" s="57"/>
      <c r="V2142" s="58"/>
      <c r="W2142" s="58"/>
      <c r="X2142" s="30" t="e">
        <f t="shared" si="11"/>
        <v>#N/A</v>
      </c>
      <c r="Y2142" s="30" t="e">
        <f t="shared" si="12"/>
        <v>#N/A</v>
      </c>
      <c r="Z2142" s="35" t="e">
        <f t="shared" si="13"/>
        <v>#VALUE!</v>
      </c>
      <c r="AA2142" s="29" t="e">
        <f t="shared" si="14"/>
        <v>#VALUE!</v>
      </c>
      <c r="AB2142" s="36" t="e">
        <f t="shared" si="15"/>
        <v>#VALUE!</v>
      </c>
      <c r="AC2142" s="37" t="b">
        <v>0</v>
      </c>
      <c r="AD2142" s="61" t="str">
        <f t="shared" si="16"/>
        <v>USD</v>
      </c>
      <c r="AE2142" s="37"/>
      <c r="AF2142" s="37" t="e">
        <f t="array" ref="AF2142">INDEX('Deal Info'!D:D, MATCH(A2142,'Deal Info'!A:A, 0))</f>
        <v>#N/A</v>
      </c>
      <c r="AG2142" s="38" t="e">
        <f t="array" ref="AG2142">INDEX('Deal Info'!G:G, MATCH(A2142,'Deal Info'!A:A, 0))</f>
        <v>#N/A</v>
      </c>
    </row>
    <row r="2143" spans="1:33" ht="14.25" hidden="1" x14ac:dyDescent="0.2">
      <c r="A2143" s="18" t="b">
        <f t="array" ref="A2143">IF(G2143='Room Info'!$B$1, INDEX('Room Info'!$A$2:$A2446, MATCH(B2143,'Room Info'!$B$2:$B2446, 0)),IF(G2143='Room Info'!$C$1, INDEX('Room Info'!$A$2:$A2446, MATCH(B2143,'Room Info'!$C$2:$C2446, 0)),IF(G2143='Room Info'!$D$1, INDEX('Room Info'!$A$2:$A2446, MATCH(B2143,'Room Info'!$D$2:$D2446, 0)),IF(G2143='Room Info'!$E$1, INDEX('Room Info'!$A$2:$A2446, MATCH(B2143,'Room Info'!$E$2:$E2446, 0)),IF(G2143='Room Info'!$F$1, INDEX('Room Info'!$A$2:$A2446, MATCH(B2143,'Room Info'!$F$2:$F2446, 0)),IF(G2143='Room Info'!$H$1, INDEX('Room Info'!$A$2:$A2446, MATCH(B2143,'Room Info'!$H$2:$H2446, 0)),IF(G2143='Room Info'!$G$1, INDEX('Room Info'!$A$2:$A2446, MATCH(B2143,'Room Info'!$G$2:$G2446, 0)))))))))</f>
        <v>0</v>
      </c>
      <c r="B2143" s="96"/>
      <c r="C2143" s="111"/>
      <c r="D2143" s="111"/>
      <c r="E2143" s="80"/>
      <c r="F2143" s="133"/>
      <c r="G2143" s="65"/>
      <c r="H2143" s="110"/>
      <c r="I2143" s="110"/>
      <c r="J2143" s="39" t="s">
        <v>334</v>
      </c>
      <c r="K2143" s="112"/>
      <c r="L2143" s="113"/>
      <c r="M2143" s="62"/>
      <c r="N2143" s="28" t="e">
        <f t="shared" si="8"/>
        <v>#VALUE!</v>
      </c>
      <c r="O2143" s="65"/>
      <c r="P2143" s="29" t="s">
        <v>334</v>
      </c>
      <c r="Q2143" s="55"/>
      <c r="R2143" s="31" t="e">
        <f t="shared" si="9"/>
        <v>#VALUE!</v>
      </c>
      <c r="S2143" s="66"/>
      <c r="T2143" s="32" t="e">
        <f t="shared" si="10"/>
        <v>#VALUE!</v>
      </c>
      <c r="U2143" s="57"/>
      <c r="V2143" s="58"/>
      <c r="W2143" s="58"/>
      <c r="X2143" s="30" t="e">
        <f t="shared" si="11"/>
        <v>#N/A</v>
      </c>
      <c r="Y2143" s="30" t="e">
        <f t="shared" si="12"/>
        <v>#N/A</v>
      </c>
      <c r="Z2143" s="35" t="e">
        <f t="shared" si="13"/>
        <v>#VALUE!</v>
      </c>
      <c r="AA2143" s="29" t="e">
        <f t="shared" si="14"/>
        <v>#VALUE!</v>
      </c>
      <c r="AB2143" s="36" t="e">
        <f t="shared" si="15"/>
        <v>#VALUE!</v>
      </c>
      <c r="AC2143" s="37" t="b">
        <v>0</v>
      </c>
      <c r="AD2143" s="61" t="str">
        <f t="shared" si="16"/>
        <v>USD</v>
      </c>
      <c r="AE2143" s="37"/>
      <c r="AF2143" s="37" t="e">
        <f t="array" ref="AF2143">INDEX('Deal Info'!D:D, MATCH(A2143,'Deal Info'!A:A, 0))</f>
        <v>#N/A</v>
      </c>
      <c r="AG2143" s="38" t="e">
        <f t="array" ref="AG2143">INDEX('Deal Info'!G:G, MATCH(A2143,'Deal Info'!A:A, 0))</f>
        <v>#N/A</v>
      </c>
    </row>
    <row r="2144" spans="1:33" ht="14.25" hidden="1" x14ac:dyDescent="0.2">
      <c r="A2144" s="18" t="b">
        <f t="array" ref="A2144">IF(G2144='Room Info'!$B$1, INDEX('Room Info'!$A$2:$A2446, MATCH(B2144,'Room Info'!$B$2:$B2446, 0)),IF(G2144='Room Info'!$C$1, INDEX('Room Info'!$A$2:$A2446, MATCH(B2144,'Room Info'!$C$2:$C2446, 0)),IF(G2144='Room Info'!$D$1, INDEX('Room Info'!$A$2:$A2446, MATCH(B2144,'Room Info'!$D$2:$D2446, 0)),IF(G2144='Room Info'!$E$1, INDEX('Room Info'!$A$2:$A2446, MATCH(B2144,'Room Info'!$E$2:$E2446, 0)),IF(G2144='Room Info'!$F$1, INDEX('Room Info'!$A$2:$A2446, MATCH(B2144,'Room Info'!$F$2:$F2446, 0)),IF(G2144='Room Info'!$H$1, INDEX('Room Info'!$A$2:$A2446, MATCH(B2144,'Room Info'!$H$2:$H2446, 0)),IF(G2144='Room Info'!$G$1, INDEX('Room Info'!$A$2:$A2446, MATCH(B2144,'Room Info'!$G$2:$G2446, 0)))))))))</f>
        <v>0</v>
      </c>
      <c r="B2144" s="96"/>
      <c r="C2144" s="111"/>
      <c r="D2144" s="111"/>
      <c r="E2144" s="80"/>
      <c r="F2144" s="133"/>
      <c r="G2144" s="65"/>
      <c r="H2144" s="110"/>
      <c r="I2144" s="110"/>
      <c r="J2144" s="39" t="s">
        <v>334</v>
      </c>
      <c r="K2144" s="112"/>
      <c r="L2144" s="113"/>
      <c r="M2144" s="62"/>
      <c r="N2144" s="28" t="e">
        <f t="shared" si="8"/>
        <v>#VALUE!</v>
      </c>
      <c r="O2144" s="65"/>
      <c r="P2144" s="29" t="s">
        <v>334</v>
      </c>
      <c r="Q2144" s="55"/>
      <c r="R2144" s="31" t="e">
        <f t="shared" si="9"/>
        <v>#VALUE!</v>
      </c>
      <c r="S2144" s="66"/>
      <c r="T2144" s="32" t="e">
        <f t="shared" si="10"/>
        <v>#VALUE!</v>
      </c>
      <c r="U2144" s="57"/>
      <c r="V2144" s="58"/>
      <c r="W2144" s="58"/>
      <c r="X2144" s="30" t="e">
        <f t="shared" si="11"/>
        <v>#N/A</v>
      </c>
      <c r="Y2144" s="30" t="e">
        <f t="shared" si="12"/>
        <v>#N/A</v>
      </c>
      <c r="Z2144" s="35" t="e">
        <f t="shared" si="13"/>
        <v>#VALUE!</v>
      </c>
      <c r="AA2144" s="29" t="e">
        <f t="shared" si="14"/>
        <v>#VALUE!</v>
      </c>
      <c r="AB2144" s="36" t="e">
        <f t="shared" si="15"/>
        <v>#VALUE!</v>
      </c>
      <c r="AC2144" s="37" t="b">
        <v>0</v>
      </c>
      <c r="AD2144" s="61" t="str">
        <f t="shared" si="16"/>
        <v>USD</v>
      </c>
      <c r="AE2144" s="37"/>
      <c r="AF2144" s="37" t="e">
        <f t="array" ref="AF2144">INDEX('Deal Info'!D:D, MATCH(A2144,'Deal Info'!A:A, 0))</f>
        <v>#N/A</v>
      </c>
      <c r="AG2144" s="38" t="e">
        <f t="array" ref="AG2144">INDEX('Deal Info'!G:G, MATCH(A2144,'Deal Info'!A:A, 0))</f>
        <v>#N/A</v>
      </c>
    </row>
    <row r="2145" spans="1:33" ht="14.25" hidden="1" x14ac:dyDescent="0.2">
      <c r="A2145" s="18" t="b">
        <f t="array" ref="A2145">IF(G2145='Room Info'!$B$1, INDEX('Room Info'!$A$2:$A2446, MATCH(B2145,'Room Info'!$B$2:$B2446, 0)),IF(G2145='Room Info'!$C$1, INDEX('Room Info'!$A$2:$A2446, MATCH(B2145,'Room Info'!$C$2:$C2446, 0)),IF(G2145='Room Info'!$D$1, INDEX('Room Info'!$A$2:$A2446, MATCH(B2145,'Room Info'!$D$2:$D2446, 0)),IF(G2145='Room Info'!$E$1, INDEX('Room Info'!$A$2:$A2446, MATCH(B2145,'Room Info'!$E$2:$E2446, 0)),IF(G2145='Room Info'!$F$1, INDEX('Room Info'!$A$2:$A2446, MATCH(B2145,'Room Info'!$F$2:$F2446, 0)),IF(G2145='Room Info'!$H$1, INDEX('Room Info'!$A$2:$A2446, MATCH(B2145,'Room Info'!$H$2:$H2446, 0)),IF(G2145='Room Info'!$G$1, INDEX('Room Info'!$A$2:$A2446, MATCH(B2145,'Room Info'!$G$2:$G2446, 0)))))))))</f>
        <v>0</v>
      </c>
      <c r="B2145" s="96"/>
      <c r="C2145" s="136"/>
      <c r="D2145" s="136"/>
      <c r="E2145" s="137"/>
      <c r="F2145" s="133"/>
      <c r="G2145" s="96"/>
      <c r="H2145" s="100"/>
      <c r="I2145" s="100"/>
      <c r="J2145" s="39" t="s">
        <v>334</v>
      </c>
      <c r="K2145" s="134"/>
      <c r="L2145" s="135"/>
      <c r="M2145" s="79"/>
      <c r="N2145" s="28" t="e">
        <f t="shared" si="8"/>
        <v>#VALUE!</v>
      </c>
      <c r="O2145" s="96"/>
      <c r="P2145" s="29" t="s">
        <v>334</v>
      </c>
      <c r="Q2145" s="55"/>
      <c r="R2145" s="31" t="e">
        <f t="shared" si="9"/>
        <v>#VALUE!</v>
      </c>
      <c r="S2145" s="97"/>
      <c r="T2145" s="32" t="e">
        <f t="shared" si="10"/>
        <v>#VALUE!</v>
      </c>
      <c r="U2145" s="57"/>
      <c r="V2145" s="58"/>
      <c r="W2145" s="58"/>
      <c r="X2145" s="30" t="e">
        <f t="shared" si="11"/>
        <v>#N/A</v>
      </c>
      <c r="Y2145" s="30" t="e">
        <f t="shared" si="12"/>
        <v>#N/A</v>
      </c>
      <c r="Z2145" s="35" t="e">
        <f t="shared" si="13"/>
        <v>#VALUE!</v>
      </c>
      <c r="AA2145" s="29" t="e">
        <f t="shared" si="14"/>
        <v>#VALUE!</v>
      </c>
      <c r="AB2145" s="36" t="e">
        <f t="shared" si="15"/>
        <v>#VALUE!</v>
      </c>
      <c r="AC2145" s="37" t="b">
        <v>0</v>
      </c>
      <c r="AD2145" s="61" t="str">
        <f t="shared" si="16"/>
        <v>USD</v>
      </c>
      <c r="AE2145" s="37"/>
      <c r="AF2145" s="37" t="e">
        <f t="array" ref="AF2145">INDEX('Deal Info'!D:D, MATCH(A2145,'Deal Info'!A:A, 0))</f>
        <v>#N/A</v>
      </c>
      <c r="AG2145" s="38" t="e">
        <f t="array" ref="AG2145">INDEX('Deal Info'!G:G, MATCH(A2145,'Deal Info'!A:A, 0))</f>
        <v>#N/A</v>
      </c>
    </row>
    <row r="2146" spans="1:33" ht="14.25" hidden="1" x14ac:dyDescent="0.2">
      <c r="A2146" s="18" t="b">
        <f t="array" ref="A2146">IF(G2146='Room Info'!$B$1, INDEX('Room Info'!$A$2:$A2446, MATCH(B2146,'Room Info'!$B$2:$B2446, 0)),IF(G2146='Room Info'!$C$1, INDEX('Room Info'!$A$2:$A2446, MATCH(B2146,'Room Info'!$C$2:$C2446, 0)),IF(G2146='Room Info'!$D$1, INDEX('Room Info'!$A$2:$A2446, MATCH(B2146,'Room Info'!$D$2:$D2446, 0)),IF(G2146='Room Info'!$E$1, INDEX('Room Info'!$A$2:$A2446, MATCH(B2146,'Room Info'!$E$2:$E2446, 0)),IF(G2146='Room Info'!$F$1, INDEX('Room Info'!$A$2:$A2446, MATCH(B2146,'Room Info'!$F$2:$F2446, 0)),IF(G2146='Room Info'!$H$1, INDEX('Room Info'!$A$2:$A2446, MATCH(B2146,'Room Info'!$H$2:$H2446, 0)),IF(G2146='Room Info'!$G$1, INDEX('Room Info'!$A$2:$A2446, MATCH(B2146,'Room Info'!$G$2:$G2446, 0)))))))))</f>
        <v>0</v>
      </c>
      <c r="B2146" s="96"/>
      <c r="C2146" s="136"/>
      <c r="D2146" s="136"/>
      <c r="E2146" s="137"/>
      <c r="F2146" s="133"/>
      <c r="G2146" s="96"/>
      <c r="H2146" s="100"/>
      <c r="I2146" s="100"/>
      <c r="J2146" s="39" t="s">
        <v>334</v>
      </c>
      <c r="K2146" s="134"/>
      <c r="L2146" s="135"/>
      <c r="M2146" s="79"/>
      <c r="N2146" s="28" t="e">
        <f t="shared" si="8"/>
        <v>#VALUE!</v>
      </c>
      <c r="O2146" s="96"/>
      <c r="P2146" s="29" t="s">
        <v>334</v>
      </c>
      <c r="Q2146" s="55"/>
      <c r="R2146" s="31" t="e">
        <f t="shared" si="9"/>
        <v>#VALUE!</v>
      </c>
      <c r="S2146" s="97"/>
      <c r="T2146" s="32" t="e">
        <f t="shared" si="10"/>
        <v>#VALUE!</v>
      </c>
      <c r="U2146" s="57"/>
      <c r="V2146" s="58"/>
      <c r="W2146" s="58"/>
      <c r="X2146" s="30" t="e">
        <f t="shared" si="11"/>
        <v>#N/A</v>
      </c>
      <c r="Y2146" s="30" t="e">
        <f t="shared" si="12"/>
        <v>#N/A</v>
      </c>
      <c r="Z2146" s="35" t="e">
        <f t="shared" si="13"/>
        <v>#VALUE!</v>
      </c>
      <c r="AA2146" s="29" t="e">
        <f t="shared" si="14"/>
        <v>#VALUE!</v>
      </c>
      <c r="AB2146" s="36" t="e">
        <f t="shared" si="15"/>
        <v>#VALUE!</v>
      </c>
      <c r="AC2146" s="37" t="b">
        <v>0</v>
      </c>
      <c r="AD2146" s="61" t="str">
        <f t="shared" si="16"/>
        <v>USD</v>
      </c>
      <c r="AE2146" s="37"/>
      <c r="AF2146" s="37" t="e">
        <f t="array" ref="AF2146">INDEX('Deal Info'!D:D, MATCH(A2146,'Deal Info'!A:A, 0))</f>
        <v>#N/A</v>
      </c>
      <c r="AG2146" s="38" t="e">
        <f t="array" ref="AG2146">INDEX('Deal Info'!G:G, MATCH(A2146,'Deal Info'!A:A, 0))</f>
        <v>#N/A</v>
      </c>
    </row>
    <row r="2147" spans="1:33" ht="14.25" hidden="1" x14ac:dyDescent="0.2">
      <c r="A2147" s="18" t="b">
        <f t="array" ref="A2147">IF(G2147='Room Info'!$B$1, INDEX('Room Info'!$A$2:$A2446, MATCH(B2147,'Room Info'!$B$2:$B2446, 0)),IF(G2147='Room Info'!$C$1, INDEX('Room Info'!$A$2:$A2446, MATCH(B2147,'Room Info'!$C$2:$C2446, 0)),IF(G2147='Room Info'!$D$1, INDEX('Room Info'!$A$2:$A2446, MATCH(B2147,'Room Info'!$D$2:$D2446, 0)),IF(G2147='Room Info'!$E$1, INDEX('Room Info'!$A$2:$A2446, MATCH(B2147,'Room Info'!$E$2:$E2446, 0)),IF(G2147='Room Info'!$F$1, INDEX('Room Info'!$A$2:$A2446, MATCH(B2147,'Room Info'!$F$2:$F2446, 0)),IF(G2147='Room Info'!$H$1, INDEX('Room Info'!$A$2:$A2446, MATCH(B2147,'Room Info'!$H$2:$H2446, 0)),IF(G2147='Room Info'!$G$1, INDEX('Room Info'!$A$2:$A2446, MATCH(B2147,'Room Info'!$G$2:$G2446, 0)))))))))</f>
        <v>0</v>
      </c>
      <c r="B2147" s="96"/>
      <c r="C2147" s="111"/>
      <c r="D2147" s="111"/>
      <c r="E2147" s="80"/>
      <c r="F2147" s="133"/>
      <c r="G2147" s="65"/>
      <c r="H2147" s="110"/>
      <c r="I2147" s="110"/>
      <c r="J2147" s="39" t="s">
        <v>334</v>
      </c>
      <c r="K2147" s="112"/>
      <c r="L2147" s="113"/>
      <c r="M2147" s="62"/>
      <c r="N2147" s="28" t="e">
        <f t="shared" si="8"/>
        <v>#VALUE!</v>
      </c>
      <c r="O2147" s="65"/>
      <c r="P2147" s="29" t="s">
        <v>334</v>
      </c>
      <c r="Q2147" s="55"/>
      <c r="R2147" s="31" t="e">
        <f t="shared" si="9"/>
        <v>#VALUE!</v>
      </c>
      <c r="S2147" s="66"/>
      <c r="T2147" s="32" t="e">
        <f t="shared" si="10"/>
        <v>#VALUE!</v>
      </c>
      <c r="U2147" s="57"/>
      <c r="V2147" s="58"/>
      <c r="W2147" s="58"/>
      <c r="X2147" s="30" t="e">
        <f t="shared" si="11"/>
        <v>#N/A</v>
      </c>
      <c r="Y2147" s="30" t="e">
        <f t="shared" si="12"/>
        <v>#N/A</v>
      </c>
      <c r="Z2147" s="35" t="e">
        <f t="shared" si="13"/>
        <v>#VALUE!</v>
      </c>
      <c r="AA2147" s="29" t="e">
        <f t="shared" si="14"/>
        <v>#VALUE!</v>
      </c>
      <c r="AB2147" s="36" t="e">
        <f t="shared" si="15"/>
        <v>#VALUE!</v>
      </c>
      <c r="AC2147" s="37" t="b">
        <v>0</v>
      </c>
      <c r="AD2147" s="61" t="str">
        <f t="shared" si="16"/>
        <v>USD</v>
      </c>
      <c r="AE2147" s="37"/>
      <c r="AF2147" s="37" t="e">
        <f t="array" ref="AF2147">INDEX('Deal Info'!D:D, MATCH(A2147,'Deal Info'!A:A, 0))</f>
        <v>#N/A</v>
      </c>
      <c r="AG2147" s="38" t="e">
        <f t="array" ref="AG2147">INDEX('Deal Info'!G:G, MATCH(A2147,'Deal Info'!A:A, 0))</f>
        <v>#N/A</v>
      </c>
    </row>
    <row r="2148" spans="1:33" ht="14.25" hidden="1" x14ac:dyDescent="0.2">
      <c r="A2148" s="18" t="b">
        <f t="array" ref="A2148">IF(G2148='Room Info'!$B$1, INDEX('Room Info'!$A$2:$A2446, MATCH(B2148,'Room Info'!$B$2:$B2446, 0)),IF(G2148='Room Info'!$C$1, INDEX('Room Info'!$A$2:$A2446, MATCH(B2148,'Room Info'!$C$2:$C2446, 0)),IF(G2148='Room Info'!$D$1, INDEX('Room Info'!$A$2:$A2446, MATCH(B2148,'Room Info'!$D$2:$D2446, 0)),IF(G2148='Room Info'!$E$1, INDEX('Room Info'!$A$2:$A2446, MATCH(B2148,'Room Info'!$E$2:$E2446, 0)),IF(G2148='Room Info'!$F$1, INDEX('Room Info'!$A$2:$A2446, MATCH(B2148,'Room Info'!$F$2:$F2446, 0)),IF(G2148='Room Info'!$H$1, INDEX('Room Info'!$A$2:$A2446, MATCH(B2148,'Room Info'!$H$2:$H2446, 0)),IF(G2148='Room Info'!$G$1, INDEX('Room Info'!$A$2:$A2446, MATCH(B2148,'Room Info'!$G$2:$G2446, 0)))))))))</f>
        <v>0</v>
      </c>
      <c r="B2148" s="96"/>
      <c r="C2148" s="111"/>
      <c r="D2148" s="111"/>
      <c r="E2148" s="80"/>
      <c r="F2148" s="133"/>
      <c r="G2148" s="65"/>
      <c r="H2148" s="110"/>
      <c r="I2148" s="110"/>
      <c r="J2148" s="39" t="s">
        <v>334</v>
      </c>
      <c r="K2148" s="112"/>
      <c r="L2148" s="113"/>
      <c r="M2148" s="62"/>
      <c r="N2148" s="28" t="e">
        <f t="shared" si="8"/>
        <v>#VALUE!</v>
      </c>
      <c r="O2148" s="65"/>
      <c r="P2148" s="29" t="s">
        <v>334</v>
      </c>
      <c r="Q2148" s="55"/>
      <c r="R2148" s="31" t="e">
        <f t="shared" si="9"/>
        <v>#VALUE!</v>
      </c>
      <c r="S2148" s="66"/>
      <c r="T2148" s="32" t="e">
        <f t="shared" si="10"/>
        <v>#VALUE!</v>
      </c>
      <c r="U2148" s="57"/>
      <c r="V2148" s="58"/>
      <c r="W2148" s="58"/>
      <c r="X2148" s="30" t="e">
        <f t="shared" si="11"/>
        <v>#N/A</v>
      </c>
      <c r="Y2148" s="30" t="e">
        <f t="shared" si="12"/>
        <v>#N/A</v>
      </c>
      <c r="Z2148" s="35" t="e">
        <f t="shared" si="13"/>
        <v>#VALUE!</v>
      </c>
      <c r="AA2148" s="29" t="e">
        <f t="shared" si="14"/>
        <v>#VALUE!</v>
      </c>
      <c r="AB2148" s="36" t="e">
        <f t="shared" si="15"/>
        <v>#VALUE!</v>
      </c>
      <c r="AC2148" s="37" t="b">
        <v>0</v>
      </c>
      <c r="AD2148" s="61" t="str">
        <f t="shared" si="16"/>
        <v>USD</v>
      </c>
      <c r="AE2148" s="37"/>
      <c r="AF2148" s="37" t="e">
        <f t="array" ref="AF2148">INDEX('Deal Info'!D:D, MATCH(A2148,'Deal Info'!A:A, 0))</f>
        <v>#N/A</v>
      </c>
      <c r="AG2148" s="38" t="e">
        <f t="array" ref="AG2148">INDEX('Deal Info'!G:G, MATCH(A2148,'Deal Info'!A:A, 0))</f>
        <v>#N/A</v>
      </c>
    </row>
    <row r="2149" spans="1:33" ht="14.25" hidden="1" x14ac:dyDescent="0.2">
      <c r="A2149" s="18" t="b">
        <f t="array" ref="A2149">IF(G2149='Room Info'!$B$1, INDEX('Room Info'!$A$2:$A2446, MATCH(B2149,'Room Info'!$B$2:$B2446, 0)),IF(G2149='Room Info'!$C$1, INDEX('Room Info'!$A$2:$A2446, MATCH(B2149,'Room Info'!$C$2:$C2446, 0)),IF(G2149='Room Info'!$D$1, INDEX('Room Info'!$A$2:$A2446, MATCH(B2149,'Room Info'!$D$2:$D2446, 0)),IF(G2149='Room Info'!$E$1, INDEX('Room Info'!$A$2:$A2446, MATCH(B2149,'Room Info'!$E$2:$E2446, 0)),IF(G2149='Room Info'!$F$1, INDEX('Room Info'!$A$2:$A2446, MATCH(B2149,'Room Info'!$F$2:$F2446, 0)),IF(G2149='Room Info'!$H$1, INDEX('Room Info'!$A$2:$A2446, MATCH(B2149,'Room Info'!$H$2:$H2446, 0)),IF(G2149='Room Info'!$G$1, INDEX('Room Info'!$A$2:$A2446, MATCH(B2149,'Room Info'!$G$2:$G2446, 0)))))))))</f>
        <v>0</v>
      </c>
      <c r="B2149" s="96"/>
      <c r="C2149" s="111"/>
      <c r="D2149" s="111"/>
      <c r="E2149" s="80"/>
      <c r="F2149" s="133"/>
      <c r="G2149" s="65"/>
      <c r="H2149" s="110"/>
      <c r="I2149" s="110"/>
      <c r="J2149" s="39" t="s">
        <v>334</v>
      </c>
      <c r="K2149" s="112"/>
      <c r="L2149" s="113"/>
      <c r="M2149" s="62"/>
      <c r="N2149" s="28" t="e">
        <f t="shared" si="8"/>
        <v>#VALUE!</v>
      </c>
      <c r="O2149" s="65"/>
      <c r="P2149" s="29" t="s">
        <v>334</v>
      </c>
      <c r="Q2149" s="55"/>
      <c r="R2149" s="31" t="e">
        <f t="shared" si="9"/>
        <v>#VALUE!</v>
      </c>
      <c r="S2149" s="66"/>
      <c r="T2149" s="32" t="e">
        <f t="shared" si="10"/>
        <v>#VALUE!</v>
      </c>
      <c r="U2149" s="57"/>
      <c r="V2149" s="58"/>
      <c r="W2149" s="58"/>
      <c r="X2149" s="30" t="e">
        <f t="shared" si="11"/>
        <v>#N/A</v>
      </c>
      <c r="Y2149" s="30" t="e">
        <f t="shared" si="12"/>
        <v>#N/A</v>
      </c>
      <c r="Z2149" s="35" t="e">
        <f t="shared" si="13"/>
        <v>#VALUE!</v>
      </c>
      <c r="AA2149" s="29" t="e">
        <f t="shared" si="14"/>
        <v>#VALUE!</v>
      </c>
      <c r="AB2149" s="36" t="e">
        <f t="shared" si="15"/>
        <v>#VALUE!</v>
      </c>
      <c r="AC2149" s="37" t="b">
        <v>0</v>
      </c>
      <c r="AD2149" s="61" t="str">
        <f t="shared" si="16"/>
        <v>USD</v>
      </c>
      <c r="AE2149" s="37"/>
      <c r="AF2149" s="37" t="e">
        <f t="array" ref="AF2149">INDEX('Deal Info'!D:D, MATCH(A2149,'Deal Info'!A:A, 0))</f>
        <v>#N/A</v>
      </c>
      <c r="AG2149" s="38" t="e">
        <f t="array" ref="AG2149">INDEX('Deal Info'!G:G, MATCH(A2149,'Deal Info'!A:A, 0))</f>
        <v>#N/A</v>
      </c>
    </row>
    <row r="2150" spans="1:33" ht="14.25" hidden="1" x14ac:dyDescent="0.2">
      <c r="A2150" s="18" t="b">
        <f t="array" ref="A2150">IF(G2150='Room Info'!$B$1, INDEX('Room Info'!$A$2:$A2446, MATCH(B2150,'Room Info'!$B$2:$B2446, 0)),IF(G2150='Room Info'!$C$1, INDEX('Room Info'!$A$2:$A2446, MATCH(B2150,'Room Info'!$C$2:$C2446, 0)),IF(G2150='Room Info'!$D$1, INDEX('Room Info'!$A$2:$A2446, MATCH(B2150,'Room Info'!$D$2:$D2446, 0)),IF(G2150='Room Info'!$E$1, INDEX('Room Info'!$A$2:$A2446, MATCH(B2150,'Room Info'!$E$2:$E2446, 0)),IF(G2150='Room Info'!$F$1, INDEX('Room Info'!$A$2:$A2446, MATCH(B2150,'Room Info'!$F$2:$F2446, 0)),IF(G2150='Room Info'!$H$1, INDEX('Room Info'!$A$2:$A2446, MATCH(B2150,'Room Info'!$H$2:$H2446, 0)),IF(G2150='Room Info'!$G$1, INDEX('Room Info'!$A$2:$A2446, MATCH(B2150,'Room Info'!$G$2:$G2446, 0)))))))))</f>
        <v>0</v>
      </c>
      <c r="B2150" s="96"/>
      <c r="C2150" s="111"/>
      <c r="D2150" s="111"/>
      <c r="E2150" s="80"/>
      <c r="F2150" s="133"/>
      <c r="G2150" s="65"/>
      <c r="H2150" s="110"/>
      <c r="I2150" s="110"/>
      <c r="J2150" s="39" t="s">
        <v>334</v>
      </c>
      <c r="K2150" s="112"/>
      <c r="L2150" s="113"/>
      <c r="M2150" s="62"/>
      <c r="N2150" s="28" t="e">
        <f t="shared" si="8"/>
        <v>#VALUE!</v>
      </c>
      <c r="O2150" s="65"/>
      <c r="P2150" s="29" t="s">
        <v>334</v>
      </c>
      <c r="Q2150" s="55"/>
      <c r="R2150" s="31" t="e">
        <f t="shared" si="9"/>
        <v>#VALUE!</v>
      </c>
      <c r="S2150" s="66"/>
      <c r="T2150" s="32" t="e">
        <f t="shared" si="10"/>
        <v>#VALUE!</v>
      </c>
      <c r="U2150" s="57"/>
      <c r="V2150" s="58"/>
      <c r="W2150" s="58"/>
      <c r="X2150" s="30" t="e">
        <f t="shared" si="11"/>
        <v>#N/A</v>
      </c>
      <c r="Y2150" s="30" t="e">
        <f t="shared" si="12"/>
        <v>#N/A</v>
      </c>
      <c r="Z2150" s="35" t="e">
        <f t="shared" si="13"/>
        <v>#VALUE!</v>
      </c>
      <c r="AA2150" s="29" t="e">
        <f t="shared" si="14"/>
        <v>#VALUE!</v>
      </c>
      <c r="AB2150" s="36" t="e">
        <f t="shared" si="15"/>
        <v>#VALUE!</v>
      </c>
      <c r="AC2150" s="37" t="b">
        <v>0</v>
      </c>
      <c r="AD2150" s="61" t="str">
        <f t="shared" si="16"/>
        <v>USD</v>
      </c>
      <c r="AE2150" s="37"/>
      <c r="AF2150" s="37" t="e">
        <f t="array" ref="AF2150">INDEX('Deal Info'!D:D, MATCH(A2150,'Deal Info'!A:A, 0))</f>
        <v>#N/A</v>
      </c>
      <c r="AG2150" s="38" t="e">
        <f t="array" ref="AG2150">INDEX('Deal Info'!G:G, MATCH(A2150,'Deal Info'!A:A, 0))</f>
        <v>#N/A</v>
      </c>
    </row>
    <row r="2151" spans="1:33" ht="14.25" hidden="1" x14ac:dyDescent="0.2">
      <c r="A2151" s="18" t="b">
        <f t="array" ref="A2151">IF(G2151='Room Info'!$B$1, INDEX('Room Info'!$A$2:$A2446, MATCH(B2151,'Room Info'!$B$2:$B2446, 0)),IF(G2151='Room Info'!$C$1, INDEX('Room Info'!$A$2:$A2446, MATCH(B2151,'Room Info'!$C$2:$C2446, 0)),IF(G2151='Room Info'!$D$1, INDEX('Room Info'!$A$2:$A2446, MATCH(B2151,'Room Info'!$D$2:$D2446, 0)),IF(G2151='Room Info'!$E$1, INDEX('Room Info'!$A$2:$A2446, MATCH(B2151,'Room Info'!$E$2:$E2446, 0)),IF(G2151='Room Info'!$F$1, INDEX('Room Info'!$A$2:$A2446, MATCH(B2151,'Room Info'!$F$2:$F2446, 0)),IF(G2151='Room Info'!$H$1, INDEX('Room Info'!$A$2:$A2446, MATCH(B2151,'Room Info'!$H$2:$H2446, 0)),IF(G2151='Room Info'!$G$1, INDEX('Room Info'!$A$2:$A2446, MATCH(B2151,'Room Info'!$G$2:$G2446, 0)))))))))</f>
        <v>0</v>
      </c>
      <c r="B2151" s="96"/>
      <c r="C2151" s="111"/>
      <c r="D2151" s="111"/>
      <c r="E2151" s="80"/>
      <c r="F2151" s="133"/>
      <c r="G2151" s="65"/>
      <c r="H2151" s="110"/>
      <c r="I2151" s="110"/>
      <c r="J2151" s="39" t="s">
        <v>334</v>
      </c>
      <c r="K2151" s="112"/>
      <c r="L2151" s="113"/>
      <c r="M2151" s="62"/>
      <c r="N2151" s="28" t="e">
        <f t="shared" si="8"/>
        <v>#VALUE!</v>
      </c>
      <c r="O2151" s="65"/>
      <c r="P2151" s="29" t="s">
        <v>334</v>
      </c>
      <c r="Q2151" s="55"/>
      <c r="R2151" s="31" t="e">
        <f t="shared" si="9"/>
        <v>#VALUE!</v>
      </c>
      <c r="S2151" s="66"/>
      <c r="T2151" s="32" t="e">
        <f t="shared" si="10"/>
        <v>#VALUE!</v>
      </c>
      <c r="U2151" s="57"/>
      <c r="V2151" s="58"/>
      <c r="W2151" s="58"/>
      <c r="X2151" s="30" t="e">
        <f t="shared" si="11"/>
        <v>#N/A</v>
      </c>
      <c r="Y2151" s="30" t="e">
        <f t="shared" si="12"/>
        <v>#N/A</v>
      </c>
      <c r="Z2151" s="35" t="e">
        <f t="shared" si="13"/>
        <v>#VALUE!</v>
      </c>
      <c r="AA2151" s="29" t="e">
        <f t="shared" si="14"/>
        <v>#VALUE!</v>
      </c>
      <c r="AB2151" s="36" t="e">
        <f t="shared" si="15"/>
        <v>#VALUE!</v>
      </c>
      <c r="AC2151" s="37" t="b">
        <v>0</v>
      </c>
      <c r="AD2151" s="61" t="str">
        <f t="shared" si="16"/>
        <v>USD</v>
      </c>
      <c r="AE2151" s="37"/>
      <c r="AF2151" s="37" t="e">
        <f t="array" ref="AF2151">INDEX('Deal Info'!D:D, MATCH(A2151,'Deal Info'!A:A, 0))</f>
        <v>#N/A</v>
      </c>
      <c r="AG2151" s="38" t="e">
        <f t="array" ref="AG2151">INDEX('Deal Info'!G:G, MATCH(A2151,'Deal Info'!A:A, 0))</f>
        <v>#N/A</v>
      </c>
    </row>
    <row r="2152" spans="1:33" ht="14.25" hidden="1" x14ac:dyDescent="0.2">
      <c r="A2152" s="18" t="b">
        <f t="array" ref="A2152">IF(G2152='Room Info'!$B$1, INDEX('Room Info'!$A$2:$A2446, MATCH(B2152,'Room Info'!$B$2:$B2446, 0)),IF(G2152='Room Info'!$C$1, INDEX('Room Info'!$A$2:$A2446, MATCH(B2152,'Room Info'!$C$2:$C2446, 0)),IF(G2152='Room Info'!$D$1, INDEX('Room Info'!$A$2:$A2446, MATCH(B2152,'Room Info'!$D$2:$D2446, 0)),IF(G2152='Room Info'!$E$1, INDEX('Room Info'!$A$2:$A2446, MATCH(B2152,'Room Info'!$E$2:$E2446, 0)),IF(G2152='Room Info'!$F$1, INDEX('Room Info'!$A$2:$A2446, MATCH(B2152,'Room Info'!$F$2:$F2446, 0)),IF(G2152='Room Info'!$H$1, INDEX('Room Info'!$A$2:$A2446, MATCH(B2152,'Room Info'!$H$2:$H2446, 0)),IF(G2152='Room Info'!$G$1, INDEX('Room Info'!$A$2:$A2446, MATCH(B2152,'Room Info'!$G$2:$G2446, 0)))))))))</f>
        <v>0</v>
      </c>
      <c r="B2152" s="96"/>
      <c r="C2152" s="111"/>
      <c r="D2152" s="111"/>
      <c r="E2152" s="80"/>
      <c r="F2152" s="133"/>
      <c r="G2152" s="65"/>
      <c r="H2152" s="110"/>
      <c r="I2152" s="110"/>
      <c r="J2152" s="39" t="s">
        <v>334</v>
      </c>
      <c r="K2152" s="112"/>
      <c r="L2152" s="113"/>
      <c r="M2152" s="62"/>
      <c r="N2152" s="28" t="e">
        <f t="shared" si="8"/>
        <v>#VALUE!</v>
      </c>
      <c r="O2152" s="65"/>
      <c r="P2152" s="29" t="s">
        <v>334</v>
      </c>
      <c r="Q2152" s="55"/>
      <c r="R2152" s="31" t="e">
        <f t="shared" si="9"/>
        <v>#VALUE!</v>
      </c>
      <c r="S2152" s="66"/>
      <c r="T2152" s="32" t="e">
        <f t="shared" si="10"/>
        <v>#VALUE!</v>
      </c>
      <c r="U2152" s="57"/>
      <c r="V2152" s="58"/>
      <c r="W2152" s="58"/>
      <c r="X2152" s="30" t="e">
        <f t="shared" si="11"/>
        <v>#N/A</v>
      </c>
      <c r="Y2152" s="30" t="e">
        <f t="shared" si="12"/>
        <v>#N/A</v>
      </c>
      <c r="Z2152" s="35" t="e">
        <f t="shared" si="13"/>
        <v>#VALUE!</v>
      </c>
      <c r="AA2152" s="29" t="e">
        <f t="shared" si="14"/>
        <v>#VALUE!</v>
      </c>
      <c r="AB2152" s="36" t="e">
        <f t="shared" si="15"/>
        <v>#VALUE!</v>
      </c>
      <c r="AC2152" s="37" t="b">
        <v>0</v>
      </c>
      <c r="AD2152" s="61" t="str">
        <f t="shared" si="16"/>
        <v>USD</v>
      </c>
      <c r="AE2152" s="37"/>
      <c r="AF2152" s="37" t="e">
        <f t="array" ref="AF2152">INDEX('Deal Info'!D:D, MATCH(A2152,'Deal Info'!A:A, 0))</f>
        <v>#N/A</v>
      </c>
      <c r="AG2152" s="38" t="e">
        <f t="array" ref="AG2152">INDEX('Deal Info'!G:G, MATCH(A2152,'Deal Info'!A:A, 0))</f>
        <v>#N/A</v>
      </c>
    </row>
    <row r="2153" spans="1:33" ht="14.25" hidden="1" x14ac:dyDescent="0.2">
      <c r="A2153" s="18" t="b">
        <f t="array" ref="A2153">IF(G2153='Room Info'!$B$1, INDEX('Room Info'!$A$2:$A2446, MATCH(B2153,'Room Info'!$B$2:$B2446, 0)),IF(G2153='Room Info'!$C$1, INDEX('Room Info'!$A$2:$A2446, MATCH(B2153,'Room Info'!$C$2:$C2446, 0)),IF(G2153='Room Info'!$D$1, INDEX('Room Info'!$A$2:$A2446, MATCH(B2153,'Room Info'!$D$2:$D2446, 0)),IF(G2153='Room Info'!$E$1, INDEX('Room Info'!$A$2:$A2446, MATCH(B2153,'Room Info'!$E$2:$E2446, 0)),IF(G2153='Room Info'!$F$1, INDEX('Room Info'!$A$2:$A2446, MATCH(B2153,'Room Info'!$F$2:$F2446, 0)),IF(G2153='Room Info'!$H$1, INDEX('Room Info'!$A$2:$A2446, MATCH(B2153,'Room Info'!$H$2:$H2446, 0)),IF(G2153='Room Info'!$G$1, INDEX('Room Info'!$A$2:$A2446, MATCH(B2153,'Room Info'!$G$2:$G2446, 0)))))))))</f>
        <v>0</v>
      </c>
      <c r="B2153" s="96"/>
      <c r="C2153" s="111"/>
      <c r="D2153" s="111"/>
      <c r="E2153" s="80"/>
      <c r="F2153" s="133"/>
      <c r="G2153" s="65"/>
      <c r="H2153" s="110"/>
      <c r="I2153" s="110"/>
      <c r="J2153" s="39" t="s">
        <v>334</v>
      </c>
      <c r="K2153" s="112"/>
      <c r="L2153" s="113"/>
      <c r="M2153" s="62"/>
      <c r="N2153" s="28" t="e">
        <f t="shared" si="8"/>
        <v>#VALUE!</v>
      </c>
      <c r="O2153" s="65"/>
      <c r="P2153" s="29" t="s">
        <v>334</v>
      </c>
      <c r="Q2153" s="55"/>
      <c r="R2153" s="31" t="e">
        <f t="shared" si="9"/>
        <v>#VALUE!</v>
      </c>
      <c r="S2153" s="66"/>
      <c r="T2153" s="32" t="e">
        <f t="shared" si="10"/>
        <v>#VALUE!</v>
      </c>
      <c r="U2153" s="57"/>
      <c r="V2153" s="58"/>
      <c r="W2153" s="58"/>
      <c r="X2153" s="30" t="e">
        <f t="shared" si="11"/>
        <v>#N/A</v>
      </c>
      <c r="Y2153" s="30" t="e">
        <f t="shared" si="12"/>
        <v>#N/A</v>
      </c>
      <c r="Z2153" s="35" t="e">
        <f t="shared" si="13"/>
        <v>#VALUE!</v>
      </c>
      <c r="AA2153" s="29" t="e">
        <f t="shared" si="14"/>
        <v>#VALUE!</v>
      </c>
      <c r="AB2153" s="36" t="e">
        <f t="shared" si="15"/>
        <v>#VALUE!</v>
      </c>
      <c r="AC2153" s="37" t="b">
        <v>0</v>
      </c>
      <c r="AD2153" s="61" t="str">
        <f t="shared" si="16"/>
        <v>USD</v>
      </c>
      <c r="AE2153" s="37"/>
      <c r="AF2153" s="37" t="e">
        <f t="array" ref="AF2153">INDEX('Deal Info'!D:D, MATCH(A2153,'Deal Info'!A:A, 0))</f>
        <v>#N/A</v>
      </c>
      <c r="AG2153" s="38" t="e">
        <f t="array" ref="AG2153">INDEX('Deal Info'!G:G, MATCH(A2153,'Deal Info'!A:A, 0))</f>
        <v>#N/A</v>
      </c>
    </row>
    <row r="2154" spans="1:33" ht="14.25" hidden="1" x14ac:dyDescent="0.2">
      <c r="A2154" s="18" t="b">
        <f t="array" ref="A2154">IF(G2154='Room Info'!$B$1, INDEX('Room Info'!$A$2:$A2446, MATCH(B2154,'Room Info'!$B$2:$B2446, 0)),IF(G2154='Room Info'!$C$1, INDEX('Room Info'!$A$2:$A2446, MATCH(B2154,'Room Info'!$C$2:$C2446, 0)),IF(G2154='Room Info'!$D$1, INDEX('Room Info'!$A$2:$A2446, MATCH(B2154,'Room Info'!$D$2:$D2446, 0)),IF(G2154='Room Info'!$E$1, INDEX('Room Info'!$A$2:$A2446, MATCH(B2154,'Room Info'!$E$2:$E2446, 0)),IF(G2154='Room Info'!$F$1, INDEX('Room Info'!$A$2:$A2446, MATCH(B2154,'Room Info'!$F$2:$F2446, 0)),IF(G2154='Room Info'!$H$1, INDEX('Room Info'!$A$2:$A2446, MATCH(B2154,'Room Info'!$H$2:$H2446, 0)),IF(G2154='Room Info'!$G$1, INDEX('Room Info'!$A$2:$A2446, MATCH(B2154,'Room Info'!$G$2:$G2446, 0)))))))))</f>
        <v>0</v>
      </c>
      <c r="B2154" s="96"/>
      <c r="C2154" s="111"/>
      <c r="D2154" s="111"/>
      <c r="E2154" s="80"/>
      <c r="F2154" s="133"/>
      <c r="G2154" s="65"/>
      <c r="H2154" s="110"/>
      <c r="I2154" s="110"/>
      <c r="J2154" s="39" t="s">
        <v>334</v>
      </c>
      <c r="K2154" s="112"/>
      <c r="L2154" s="113"/>
      <c r="M2154" s="62"/>
      <c r="N2154" s="28" t="e">
        <f t="shared" si="8"/>
        <v>#VALUE!</v>
      </c>
      <c r="O2154" s="65"/>
      <c r="P2154" s="29" t="s">
        <v>334</v>
      </c>
      <c r="Q2154" s="55"/>
      <c r="R2154" s="31" t="e">
        <f t="shared" si="9"/>
        <v>#VALUE!</v>
      </c>
      <c r="S2154" s="66"/>
      <c r="T2154" s="32" t="e">
        <f t="shared" si="10"/>
        <v>#VALUE!</v>
      </c>
      <c r="U2154" s="57"/>
      <c r="V2154" s="58"/>
      <c r="W2154" s="58"/>
      <c r="X2154" s="30" t="e">
        <f t="shared" si="11"/>
        <v>#N/A</v>
      </c>
      <c r="Y2154" s="30" t="e">
        <f t="shared" si="12"/>
        <v>#N/A</v>
      </c>
      <c r="Z2154" s="35" t="e">
        <f t="shared" si="13"/>
        <v>#VALUE!</v>
      </c>
      <c r="AA2154" s="29" t="e">
        <f t="shared" si="14"/>
        <v>#VALUE!</v>
      </c>
      <c r="AB2154" s="36" t="e">
        <f t="shared" si="15"/>
        <v>#VALUE!</v>
      </c>
      <c r="AC2154" s="37" t="b">
        <v>0</v>
      </c>
      <c r="AD2154" s="61" t="str">
        <f t="shared" si="16"/>
        <v>USD</v>
      </c>
      <c r="AE2154" s="37"/>
      <c r="AF2154" s="37" t="e">
        <f t="array" ref="AF2154">INDEX('Deal Info'!D:D, MATCH(A2154,'Deal Info'!A:A, 0))</f>
        <v>#N/A</v>
      </c>
      <c r="AG2154" s="38" t="e">
        <f t="array" ref="AG2154">INDEX('Deal Info'!G:G, MATCH(A2154,'Deal Info'!A:A, 0))</f>
        <v>#N/A</v>
      </c>
    </row>
    <row r="2155" spans="1:33" ht="14.25" hidden="1" x14ac:dyDescent="0.2">
      <c r="A2155" s="18" t="b">
        <f t="array" ref="A2155">IF(G2155='Room Info'!$B$1, INDEX('Room Info'!$A$2:$A2446, MATCH(B2155,'Room Info'!$B$2:$B2446, 0)),IF(G2155='Room Info'!$C$1, INDEX('Room Info'!$A$2:$A2446, MATCH(B2155,'Room Info'!$C$2:$C2446, 0)),IF(G2155='Room Info'!$D$1, INDEX('Room Info'!$A$2:$A2446, MATCH(B2155,'Room Info'!$D$2:$D2446, 0)),IF(G2155='Room Info'!$E$1, INDEX('Room Info'!$A$2:$A2446, MATCH(B2155,'Room Info'!$E$2:$E2446, 0)),IF(G2155='Room Info'!$F$1, INDEX('Room Info'!$A$2:$A2446, MATCH(B2155,'Room Info'!$F$2:$F2446, 0)),IF(G2155='Room Info'!$H$1, INDEX('Room Info'!$A$2:$A2446, MATCH(B2155,'Room Info'!$H$2:$H2446, 0)),IF(G2155='Room Info'!$G$1, INDEX('Room Info'!$A$2:$A2446, MATCH(B2155,'Room Info'!$G$2:$G2446, 0)))))))))</f>
        <v>0</v>
      </c>
      <c r="B2155" s="96"/>
      <c r="C2155" s="111"/>
      <c r="D2155" s="111"/>
      <c r="E2155" s="80"/>
      <c r="F2155" s="133"/>
      <c r="G2155" s="96"/>
      <c r="H2155" s="110"/>
      <c r="I2155" s="110"/>
      <c r="J2155" s="39" t="s">
        <v>334</v>
      </c>
      <c r="K2155" s="112"/>
      <c r="L2155" s="113"/>
      <c r="M2155" s="62"/>
      <c r="N2155" s="28" t="e">
        <f t="shared" si="8"/>
        <v>#VALUE!</v>
      </c>
      <c r="O2155" s="65"/>
      <c r="P2155" s="29" t="s">
        <v>334</v>
      </c>
      <c r="Q2155" s="55"/>
      <c r="R2155" s="31" t="e">
        <f t="shared" si="9"/>
        <v>#VALUE!</v>
      </c>
      <c r="S2155" s="66"/>
      <c r="T2155" s="32" t="e">
        <f t="shared" si="10"/>
        <v>#VALUE!</v>
      </c>
      <c r="U2155" s="57"/>
      <c r="V2155" s="58"/>
      <c r="W2155" s="58"/>
      <c r="X2155" s="30" t="e">
        <f t="shared" si="11"/>
        <v>#N/A</v>
      </c>
      <c r="Y2155" s="30" t="e">
        <f t="shared" si="12"/>
        <v>#N/A</v>
      </c>
      <c r="Z2155" s="35" t="e">
        <f t="shared" si="13"/>
        <v>#VALUE!</v>
      </c>
      <c r="AA2155" s="29" t="e">
        <f t="shared" si="14"/>
        <v>#VALUE!</v>
      </c>
      <c r="AB2155" s="36" t="e">
        <f t="shared" si="15"/>
        <v>#VALUE!</v>
      </c>
      <c r="AC2155" s="37" t="b">
        <v>0</v>
      </c>
      <c r="AD2155" s="61" t="str">
        <f t="shared" si="16"/>
        <v>USD</v>
      </c>
      <c r="AE2155" s="37"/>
      <c r="AF2155" s="37" t="e">
        <f t="array" ref="AF2155">INDEX('Deal Info'!D:D, MATCH(A2155,'Deal Info'!A:A, 0))</f>
        <v>#N/A</v>
      </c>
      <c r="AG2155" s="38" t="e">
        <f t="array" ref="AG2155">INDEX('Deal Info'!G:G, MATCH(A2155,'Deal Info'!A:A, 0))</f>
        <v>#N/A</v>
      </c>
    </row>
    <row r="2156" spans="1:33" ht="14.25" hidden="1" x14ac:dyDescent="0.2">
      <c r="A2156" s="18" t="b">
        <f t="array" ref="A2156">IF(G2156='Room Info'!$B$1, INDEX('Room Info'!$A$2:$A2446, MATCH(B2156,'Room Info'!$B$2:$B2446, 0)),IF(G2156='Room Info'!$C$1, INDEX('Room Info'!$A$2:$A2446, MATCH(B2156,'Room Info'!$C$2:$C2446, 0)),IF(G2156='Room Info'!$D$1, INDEX('Room Info'!$A$2:$A2446, MATCH(B2156,'Room Info'!$D$2:$D2446, 0)),IF(G2156='Room Info'!$E$1, INDEX('Room Info'!$A$2:$A2446, MATCH(B2156,'Room Info'!$E$2:$E2446, 0)),IF(G2156='Room Info'!$F$1, INDEX('Room Info'!$A$2:$A2446, MATCH(B2156,'Room Info'!$F$2:$F2446, 0)),IF(G2156='Room Info'!$H$1, INDEX('Room Info'!$A$2:$A2446, MATCH(B2156,'Room Info'!$H$2:$H2446, 0)),IF(G2156='Room Info'!$G$1, INDEX('Room Info'!$A$2:$A2446, MATCH(B2156,'Room Info'!$G$2:$G2446, 0)))))))))</f>
        <v>0</v>
      </c>
      <c r="B2156" s="96"/>
      <c r="C2156" s="111"/>
      <c r="D2156" s="111"/>
      <c r="E2156" s="80"/>
      <c r="F2156" s="133"/>
      <c r="G2156" s="96"/>
      <c r="H2156" s="110"/>
      <c r="I2156" s="110"/>
      <c r="J2156" s="39" t="s">
        <v>334</v>
      </c>
      <c r="K2156" s="112"/>
      <c r="L2156" s="113"/>
      <c r="M2156" s="62"/>
      <c r="N2156" s="28" t="e">
        <f t="shared" si="8"/>
        <v>#VALUE!</v>
      </c>
      <c r="O2156" s="65"/>
      <c r="P2156" s="29" t="s">
        <v>334</v>
      </c>
      <c r="Q2156" s="55"/>
      <c r="R2156" s="31" t="e">
        <f t="shared" si="9"/>
        <v>#VALUE!</v>
      </c>
      <c r="S2156" s="66"/>
      <c r="T2156" s="32" t="e">
        <f t="shared" si="10"/>
        <v>#VALUE!</v>
      </c>
      <c r="U2156" s="57"/>
      <c r="V2156" s="58"/>
      <c r="W2156" s="58"/>
      <c r="X2156" s="30" t="e">
        <f t="shared" si="11"/>
        <v>#N/A</v>
      </c>
      <c r="Y2156" s="30" t="e">
        <f t="shared" si="12"/>
        <v>#N/A</v>
      </c>
      <c r="Z2156" s="35" t="e">
        <f t="shared" si="13"/>
        <v>#VALUE!</v>
      </c>
      <c r="AA2156" s="29" t="e">
        <f t="shared" si="14"/>
        <v>#VALUE!</v>
      </c>
      <c r="AB2156" s="36" t="e">
        <f t="shared" si="15"/>
        <v>#VALUE!</v>
      </c>
      <c r="AC2156" s="37" t="b">
        <v>0</v>
      </c>
      <c r="AD2156" s="61" t="str">
        <f t="shared" si="16"/>
        <v>USD</v>
      </c>
      <c r="AE2156" s="37"/>
      <c r="AF2156" s="37" t="e">
        <f t="array" ref="AF2156">INDEX('Deal Info'!D:D, MATCH(A2156,'Deal Info'!A:A, 0))</f>
        <v>#N/A</v>
      </c>
      <c r="AG2156" s="38" t="e">
        <f t="array" ref="AG2156">INDEX('Deal Info'!G:G, MATCH(A2156,'Deal Info'!A:A, 0))</f>
        <v>#N/A</v>
      </c>
    </row>
    <row r="2157" spans="1:33" ht="14.25" hidden="1" x14ac:dyDescent="0.2">
      <c r="A2157" s="18" t="b">
        <f t="array" ref="A2157">IF(G2157='Room Info'!$B$1, INDEX('Room Info'!$A$2:$A2446, MATCH(B2157,'Room Info'!$B$2:$B2446, 0)),IF(G2157='Room Info'!$C$1, INDEX('Room Info'!$A$2:$A2446, MATCH(B2157,'Room Info'!$C$2:$C2446, 0)),IF(G2157='Room Info'!$D$1, INDEX('Room Info'!$A$2:$A2446, MATCH(B2157,'Room Info'!$D$2:$D2446, 0)),IF(G2157='Room Info'!$E$1, INDEX('Room Info'!$A$2:$A2446, MATCH(B2157,'Room Info'!$E$2:$E2446, 0)),IF(G2157='Room Info'!$F$1, INDEX('Room Info'!$A$2:$A2446, MATCH(B2157,'Room Info'!$F$2:$F2446, 0)),IF(G2157='Room Info'!$H$1, INDEX('Room Info'!$A$2:$A2446, MATCH(B2157,'Room Info'!$H$2:$H2446, 0)),IF(G2157='Room Info'!$G$1, INDEX('Room Info'!$A$2:$A2446, MATCH(B2157,'Room Info'!$G$2:$G2446, 0)))))))))</f>
        <v>0</v>
      </c>
      <c r="B2157" s="96"/>
      <c r="C2157" s="111"/>
      <c r="D2157" s="111"/>
      <c r="E2157" s="80"/>
      <c r="F2157" s="96"/>
      <c r="G2157" s="65"/>
      <c r="H2157" s="110"/>
      <c r="I2157" s="110"/>
      <c r="J2157" s="39" t="s">
        <v>334</v>
      </c>
      <c r="K2157" s="134"/>
      <c r="L2157" s="135"/>
      <c r="M2157" s="62"/>
      <c r="N2157" s="28" t="e">
        <f t="shared" si="8"/>
        <v>#VALUE!</v>
      </c>
      <c r="O2157" s="96"/>
      <c r="P2157" s="29" t="s">
        <v>334</v>
      </c>
      <c r="Q2157" s="55"/>
      <c r="R2157" s="31" t="e">
        <f t="shared" si="9"/>
        <v>#VALUE!</v>
      </c>
      <c r="S2157" s="97"/>
      <c r="T2157" s="32" t="e">
        <f t="shared" si="10"/>
        <v>#VALUE!</v>
      </c>
      <c r="U2157" s="57"/>
      <c r="V2157" s="58"/>
      <c r="W2157" s="58"/>
      <c r="X2157" s="30" t="e">
        <f t="shared" si="11"/>
        <v>#N/A</v>
      </c>
      <c r="Y2157" s="30" t="e">
        <f t="shared" si="12"/>
        <v>#N/A</v>
      </c>
      <c r="Z2157" s="35" t="e">
        <f t="shared" si="13"/>
        <v>#VALUE!</v>
      </c>
      <c r="AA2157" s="29" t="e">
        <f t="shared" si="14"/>
        <v>#VALUE!</v>
      </c>
      <c r="AB2157" s="36" t="e">
        <f t="shared" si="15"/>
        <v>#VALUE!</v>
      </c>
      <c r="AC2157" s="37" t="b">
        <v>0</v>
      </c>
      <c r="AD2157" s="61" t="str">
        <f t="shared" si="16"/>
        <v>USD</v>
      </c>
      <c r="AE2157" s="37"/>
      <c r="AF2157" s="37" t="e">
        <f t="array" ref="AF2157">INDEX('Deal Info'!D:D, MATCH(A2157,'Deal Info'!A:A, 0))</f>
        <v>#N/A</v>
      </c>
      <c r="AG2157" s="38" t="e">
        <f t="array" ref="AG2157">INDEX('Deal Info'!G:G, MATCH(A2157,'Deal Info'!A:A, 0))</f>
        <v>#N/A</v>
      </c>
    </row>
    <row r="2158" spans="1:33" ht="14.25" hidden="1" x14ac:dyDescent="0.2">
      <c r="A2158" s="18" t="b">
        <f t="array" ref="A2158">IF(G2158='Room Info'!$B$1, INDEX('Room Info'!$A$2:$A2446, MATCH(B2158,'Room Info'!$B$2:$B2446, 0)),IF(G2158='Room Info'!$C$1, INDEX('Room Info'!$A$2:$A2446, MATCH(B2158,'Room Info'!$C$2:$C2446, 0)),IF(G2158='Room Info'!$D$1, INDEX('Room Info'!$A$2:$A2446, MATCH(B2158,'Room Info'!$D$2:$D2446, 0)),IF(G2158='Room Info'!$E$1, INDEX('Room Info'!$A$2:$A2446, MATCH(B2158,'Room Info'!$E$2:$E2446, 0)),IF(G2158='Room Info'!$F$1, INDEX('Room Info'!$A$2:$A2446, MATCH(B2158,'Room Info'!$F$2:$F2446, 0)),IF(G2158='Room Info'!$H$1, INDEX('Room Info'!$A$2:$A2446, MATCH(B2158,'Room Info'!$H$2:$H2446, 0)),IF(G2158='Room Info'!$G$1, INDEX('Room Info'!$A$2:$A2446, MATCH(B2158,'Room Info'!$G$2:$G2446, 0)))))))))</f>
        <v>0</v>
      </c>
      <c r="B2158" s="96"/>
      <c r="C2158" s="111"/>
      <c r="D2158" s="111"/>
      <c r="E2158" s="80"/>
      <c r="F2158" s="96"/>
      <c r="G2158" s="65"/>
      <c r="H2158" s="110"/>
      <c r="I2158" s="110"/>
      <c r="J2158" s="39" t="s">
        <v>334</v>
      </c>
      <c r="K2158" s="134"/>
      <c r="L2158" s="135"/>
      <c r="M2158" s="62"/>
      <c r="N2158" s="28" t="e">
        <f t="shared" si="8"/>
        <v>#VALUE!</v>
      </c>
      <c r="O2158" s="96"/>
      <c r="P2158" s="29" t="s">
        <v>334</v>
      </c>
      <c r="Q2158" s="55"/>
      <c r="R2158" s="31" t="e">
        <f t="shared" si="9"/>
        <v>#VALUE!</v>
      </c>
      <c r="S2158" s="97"/>
      <c r="T2158" s="32" t="e">
        <f t="shared" si="10"/>
        <v>#VALUE!</v>
      </c>
      <c r="U2158" s="57"/>
      <c r="V2158" s="58"/>
      <c r="W2158" s="58"/>
      <c r="X2158" s="30" t="e">
        <f t="shared" si="11"/>
        <v>#N/A</v>
      </c>
      <c r="Y2158" s="30" t="e">
        <f t="shared" si="12"/>
        <v>#N/A</v>
      </c>
      <c r="Z2158" s="35" t="e">
        <f t="shared" si="13"/>
        <v>#VALUE!</v>
      </c>
      <c r="AA2158" s="29" t="e">
        <f t="shared" si="14"/>
        <v>#VALUE!</v>
      </c>
      <c r="AB2158" s="36" t="e">
        <f t="shared" si="15"/>
        <v>#VALUE!</v>
      </c>
      <c r="AC2158" s="37" t="b">
        <v>0</v>
      </c>
      <c r="AD2158" s="61" t="str">
        <f t="shared" si="16"/>
        <v>USD</v>
      </c>
      <c r="AE2158" s="37"/>
      <c r="AF2158" s="37" t="e">
        <f t="array" ref="AF2158">INDEX('Deal Info'!D:D, MATCH(A2158,'Deal Info'!A:A, 0))</f>
        <v>#N/A</v>
      </c>
      <c r="AG2158" s="38" t="e">
        <f t="array" ref="AG2158">INDEX('Deal Info'!G:G, MATCH(A2158,'Deal Info'!A:A, 0))</f>
        <v>#N/A</v>
      </c>
    </row>
    <row r="2159" spans="1:33" ht="14.25" hidden="1" x14ac:dyDescent="0.2">
      <c r="A2159" s="18" t="b">
        <f t="array" ref="A2159">IF(G2159='Room Info'!$B$1, INDEX('Room Info'!$A$2:$A2446, MATCH(B2159,'Room Info'!$B$2:$B2446, 0)),IF(G2159='Room Info'!$C$1, INDEX('Room Info'!$A$2:$A2446, MATCH(B2159,'Room Info'!$C$2:$C2446, 0)),IF(G2159='Room Info'!$D$1, INDEX('Room Info'!$A$2:$A2446, MATCH(B2159,'Room Info'!$D$2:$D2446, 0)),IF(G2159='Room Info'!$E$1, INDEX('Room Info'!$A$2:$A2446, MATCH(B2159,'Room Info'!$E$2:$E2446, 0)),IF(G2159='Room Info'!$F$1, INDEX('Room Info'!$A$2:$A2446, MATCH(B2159,'Room Info'!$F$2:$F2446, 0)),IF(G2159='Room Info'!$H$1, INDEX('Room Info'!$A$2:$A2446, MATCH(B2159,'Room Info'!$H$2:$H2446, 0)),IF(G2159='Room Info'!$G$1, INDEX('Room Info'!$A$2:$A2446, MATCH(B2159,'Room Info'!$G$2:$G2446, 0)))))))))</f>
        <v>0</v>
      </c>
      <c r="B2159" s="96"/>
      <c r="C2159" s="111"/>
      <c r="D2159" s="111"/>
      <c r="E2159" s="80"/>
      <c r="F2159" s="133"/>
      <c r="G2159" s="96"/>
      <c r="H2159" s="110"/>
      <c r="I2159" s="110"/>
      <c r="J2159" s="39" t="s">
        <v>334</v>
      </c>
      <c r="K2159" s="112"/>
      <c r="L2159" s="113"/>
      <c r="M2159" s="62"/>
      <c r="N2159" s="28" t="e">
        <f t="shared" si="8"/>
        <v>#VALUE!</v>
      </c>
      <c r="O2159" s="65"/>
      <c r="P2159" s="29" t="s">
        <v>334</v>
      </c>
      <c r="Q2159" s="55"/>
      <c r="R2159" s="31" t="e">
        <f t="shared" si="9"/>
        <v>#VALUE!</v>
      </c>
      <c r="S2159" s="66"/>
      <c r="T2159" s="32" t="e">
        <f t="shared" si="10"/>
        <v>#VALUE!</v>
      </c>
      <c r="U2159" s="57"/>
      <c r="V2159" s="58"/>
      <c r="W2159" s="58"/>
      <c r="X2159" s="30" t="e">
        <f t="shared" si="11"/>
        <v>#N/A</v>
      </c>
      <c r="Y2159" s="30" t="e">
        <f t="shared" si="12"/>
        <v>#N/A</v>
      </c>
      <c r="Z2159" s="35" t="e">
        <f t="shared" si="13"/>
        <v>#VALUE!</v>
      </c>
      <c r="AA2159" s="29" t="e">
        <f t="shared" si="14"/>
        <v>#VALUE!</v>
      </c>
      <c r="AB2159" s="36" t="e">
        <f t="shared" si="15"/>
        <v>#VALUE!</v>
      </c>
      <c r="AC2159" s="37" t="b">
        <v>0</v>
      </c>
      <c r="AD2159" s="61" t="str">
        <f t="shared" si="16"/>
        <v>USD</v>
      </c>
      <c r="AE2159" s="37"/>
      <c r="AF2159" s="37" t="e">
        <f t="array" ref="AF2159">INDEX('Deal Info'!D:D, MATCH(A2159,'Deal Info'!A:A, 0))</f>
        <v>#N/A</v>
      </c>
      <c r="AG2159" s="38" t="e">
        <f t="array" ref="AG2159">INDEX('Deal Info'!G:G, MATCH(A2159,'Deal Info'!A:A, 0))</f>
        <v>#N/A</v>
      </c>
    </row>
    <row r="2160" spans="1:33" ht="14.25" hidden="1" x14ac:dyDescent="0.2">
      <c r="A2160" s="18" t="b">
        <f t="array" ref="A2160">IF(G2160='Room Info'!$B$1, INDEX('Room Info'!$A$2:$A2446, MATCH(B2160,'Room Info'!$B$2:$B2446, 0)),IF(G2160='Room Info'!$C$1, INDEX('Room Info'!$A$2:$A2446, MATCH(B2160,'Room Info'!$C$2:$C2446, 0)),IF(G2160='Room Info'!$D$1, INDEX('Room Info'!$A$2:$A2446, MATCH(B2160,'Room Info'!$D$2:$D2446, 0)),IF(G2160='Room Info'!$E$1, INDEX('Room Info'!$A$2:$A2446, MATCH(B2160,'Room Info'!$E$2:$E2446, 0)),IF(G2160='Room Info'!$F$1, INDEX('Room Info'!$A$2:$A2446, MATCH(B2160,'Room Info'!$F$2:$F2446, 0)),IF(G2160='Room Info'!$H$1, INDEX('Room Info'!$A$2:$A2446, MATCH(B2160,'Room Info'!$H$2:$H2446, 0)),IF(G2160='Room Info'!$G$1, INDEX('Room Info'!$A$2:$A2446, MATCH(B2160,'Room Info'!$G$2:$G2446, 0)))))))))</f>
        <v>0</v>
      </c>
      <c r="B2160" s="96"/>
      <c r="C2160" s="111"/>
      <c r="D2160" s="111"/>
      <c r="E2160" s="80"/>
      <c r="F2160" s="133"/>
      <c r="G2160" s="96"/>
      <c r="H2160" s="110"/>
      <c r="I2160" s="110"/>
      <c r="J2160" s="39" t="s">
        <v>334</v>
      </c>
      <c r="K2160" s="112"/>
      <c r="L2160" s="113"/>
      <c r="M2160" s="62"/>
      <c r="N2160" s="28" t="e">
        <f t="shared" si="8"/>
        <v>#VALUE!</v>
      </c>
      <c r="O2160" s="65"/>
      <c r="P2160" s="29" t="s">
        <v>334</v>
      </c>
      <c r="Q2160" s="55"/>
      <c r="R2160" s="31" t="e">
        <f t="shared" si="9"/>
        <v>#VALUE!</v>
      </c>
      <c r="S2160" s="66"/>
      <c r="T2160" s="32" t="e">
        <f t="shared" si="10"/>
        <v>#VALUE!</v>
      </c>
      <c r="U2160" s="57"/>
      <c r="V2160" s="58"/>
      <c r="W2160" s="58"/>
      <c r="X2160" s="30" t="e">
        <f t="shared" si="11"/>
        <v>#N/A</v>
      </c>
      <c r="Y2160" s="30" t="e">
        <f t="shared" si="12"/>
        <v>#N/A</v>
      </c>
      <c r="Z2160" s="35" t="e">
        <f t="shared" si="13"/>
        <v>#VALUE!</v>
      </c>
      <c r="AA2160" s="29" t="e">
        <f t="shared" si="14"/>
        <v>#VALUE!</v>
      </c>
      <c r="AB2160" s="36" t="e">
        <f t="shared" si="15"/>
        <v>#VALUE!</v>
      </c>
      <c r="AC2160" s="37" t="b">
        <v>0</v>
      </c>
      <c r="AD2160" s="61" t="str">
        <f t="shared" si="16"/>
        <v>USD</v>
      </c>
      <c r="AE2160" s="37"/>
      <c r="AF2160" s="37" t="e">
        <f t="array" ref="AF2160">INDEX('Deal Info'!D:D, MATCH(A2160,'Deal Info'!A:A, 0))</f>
        <v>#N/A</v>
      </c>
      <c r="AG2160" s="38" t="e">
        <f t="array" ref="AG2160">INDEX('Deal Info'!G:G, MATCH(A2160,'Deal Info'!A:A, 0))</f>
        <v>#N/A</v>
      </c>
    </row>
    <row r="2161" spans="1:33" ht="14.25" hidden="1" x14ac:dyDescent="0.2">
      <c r="A2161" s="18" t="b">
        <f t="array" ref="A2161">IF(G2161='Room Info'!$B$1, INDEX('Room Info'!$A$2:$A2446, MATCH(B2161,'Room Info'!$B$2:$B2446, 0)),IF(G2161='Room Info'!$C$1, INDEX('Room Info'!$A$2:$A2446, MATCH(B2161,'Room Info'!$C$2:$C2446, 0)),IF(G2161='Room Info'!$D$1, INDEX('Room Info'!$A$2:$A2446, MATCH(B2161,'Room Info'!$D$2:$D2446, 0)),IF(G2161='Room Info'!$E$1, INDEX('Room Info'!$A$2:$A2446, MATCH(B2161,'Room Info'!$E$2:$E2446, 0)),IF(G2161='Room Info'!$F$1, INDEX('Room Info'!$A$2:$A2446, MATCH(B2161,'Room Info'!$F$2:$F2446, 0)),IF(G2161='Room Info'!$H$1, INDEX('Room Info'!$A$2:$A2446, MATCH(B2161,'Room Info'!$H$2:$H2446, 0)),IF(G2161='Room Info'!$G$1, INDEX('Room Info'!$A$2:$A2446, MATCH(B2161,'Room Info'!$G$2:$G2446, 0)))))))))</f>
        <v>0</v>
      </c>
      <c r="B2161" s="96"/>
      <c r="C2161" s="111"/>
      <c r="D2161" s="111"/>
      <c r="E2161" s="80"/>
      <c r="F2161" s="133"/>
      <c r="G2161" s="96"/>
      <c r="H2161" s="110"/>
      <c r="I2161" s="110"/>
      <c r="J2161" s="39" t="s">
        <v>334</v>
      </c>
      <c r="K2161" s="112"/>
      <c r="L2161" s="113"/>
      <c r="M2161" s="62"/>
      <c r="N2161" s="28" t="e">
        <f t="shared" si="8"/>
        <v>#VALUE!</v>
      </c>
      <c r="O2161" s="65"/>
      <c r="P2161" s="29" t="s">
        <v>334</v>
      </c>
      <c r="Q2161" s="55"/>
      <c r="R2161" s="31" t="e">
        <f t="shared" si="9"/>
        <v>#VALUE!</v>
      </c>
      <c r="S2161" s="66"/>
      <c r="T2161" s="32" t="e">
        <f t="shared" si="10"/>
        <v>#VALUE!</v>
      </c>
      <c r="U2161" s="57"/>
      <c r="V2161" s="58"/>
      <c r="W2161" s="58"/>
      <c r="X2161" s="30" t="e">
        <f t="shared" si="11"/>
        <v>#N/A</v>
      </c>
      <c r="Y2161" s="30" t="e">
        <f t="shared" si="12"/>
        <v>#N/A</v>
      </c>
      <c r="Z2161" s="35" t="e">
        <f t="shared" si="13"/>
        <v>#VALUE!</v>
      </c>
      <c r="AA2161" s="29" t="e">
        <f t="shared" si="14"/>
        <v>#VALUE!</v>
      </c>
      <c r="AB2161" s="36" t="e">
        <f t="shared" si="15"/>
        <v>#VALUE!</v>
      </c>
      <c r="AC2161" s="37" t="b">
        <v>0</v>
      </c>
      <c r="AD2161" s="61" t="str">
        <f t="shared" si="16"/>
        <v>USD</v>
      </c>
      <c r="AE2161" s="37"/>
      <c r="AF2161" s="37" t="e">
        <f t="array" ref="AF2161">INDEX('Deal Info'!D:D, MATCH(A2161,'Deal Info'!A:A, 0))</f>
        <v>#N/A</v>
      </c>
      <c r="AG2161" s="38" t="e">
        <f t="array" ref="AG2161">INDEX('Deal Info'!G:G, MATCH(A2161,'Deal Info'!A:A, 0))</f>
        <v>#N/A</v>
      </c>
    </row>
    <row r="2162" spans="1:33" ht="14.25" hidden="1" x14ac:dyDescent="0.2">
      <c r="A2162" s="18" t="b">
        <f t="array" ref="A2162">IF(G2162='Room Info'!$B$1, INDEX('Room Info'!$A$2:$A2446, MATCH(B2162,'Room Info'!$B$2:$B2446, 0)),IF(G2162='Room Info'!$C$1, INDEX('Room Info'!$A$2:$A2446, MATCH(B2162,'Room Info'!$C$2:$C2446, 0)),IF(G2162='Room Info'!$D$1, INDEX('Room Info'!$A$2:$A2446, MATCH(B2162,'Room Info'!$D$2:$D2446, 0)),IF(G2162='Room Info'!$E$1, INDEX('Room Info'!$A$2:$A2446, MATCH(B2162,'Room Info'!$E$2:$E2446, 0)),IF(G2162='Room Info'!$F$1, INDEX('Room Info'!$A$2:$A2446, MATCH(B2162,'Room Info'!$F$2:$F2446, 0)),IF(G2162='Room Info'!$H$1, INDEX('Room Info'!$A$2:$A2446, MATCH(B2162,'Room Info'!$H$2:$H2446, 0)),IF(G2162='Room Info'!$G$1, INDEX('Room Info'!$A$2:$A2446, MATCH(B2162,'Room Info'!$G$2:$G2446, 0)))))))))</f>
        <v>0</v>
      </c>
      <c r="B2162" s="96"/>
      <c r="C2162" s="111"/>
      <c r="D2162" s="111"/>
      <c r="E2162" s="80"/>
      <c r="F2162" s="133"/>
      <c r="G2162" s="96"/>
      <c r="H2162" s="110"/>
      <c r="I2162" s="110"/>
      <c r="J2162" s="39" t="s">
        <v>334</v>
      </c>
      <c r="K2162" s="112"/>
      <c r="L2162" s="113"/>
      <c r="M2162" s="62"/>
      <c r="N2162" s="28" t="e">
        <f t="shared" si="8"/>
        <v>#VALUE!</v>
      </c>
      <c r="O2162" s="65"/>
      <c r="P2162" s="29" t="s">
        <v>334</v>
      </c>
      <c r="Q2162" s="55"/>
      <c r="R2162" s="31" t="e">
        <f t="shared" si="9"/>
        <v>#VALUE!</v>
      </c>
      <c r="S2162" s="66"/>
      <c r="T2162" s="32" t="e">
        <f t="shared" si="10"/>
        <v>#VALUE!</v>
      </c>
      <c r="U2162" s="57"/>
      <c r="V2162" s="58"/>
      <c r="W2162" s="58"/>
      <c r="X2162" s="30" t="e">
        <f t="shared" si="11"/>
        <v>#N/A</v>
      </c>
      <c r="Y2162" s="30" t="e">
        <f t="shared" si="12"/>
        <v>#N/A</v>
      </c>
      <c r="Z2162" s="35" t="e">
        <f t="shared" si="13"/>
        <v>#VALUE!</v>
      </c>
      <c r="AA2162" s="29" t="e">
        <f t="shared" si="14"/>
        <v>#VALUE!</v>
      </c>
      <c r="AB2162" s="36" t="e">
        <f t="shared" si="15"/>
        <v>#VALUE!</v>
      </c>
      <c r="AC2162" s="37" t="b">
        <v>0</v>
      </c>
      <c r="AD2162" s="61" t="str">
        <f t="shared" si="16"/>
        <v>USD</v>
      </c>
      <c r="AE2162" s="37"/>
      <c r="AF2162" s="37" t="e">
        <f t="array" ref="AF2162">INDEX('Deal Info'!D:D, MATCH(A2162,'Deal Info'!A:A, 0))</f>
        <v>#N/A</v>
      </c>
      <c r="AG2162" s="38" t="e">
        <f t="array" ref="AG2162">INDEX('Deal Info'!G:G, MATCH(A2162,'Deal Info'!A:A, 0))</f>
        <v>#N/A</v>
      </c>
    </row>
    <row r="2163" spans="1:33" ht="14.25" hidden="1" x14ac:dyDescent="0.2">
      <c r="A2163" s="18" t="b">
        <f t="array" ref="A2163">IF(G2163='Room Info'!$B$1, INDEX('Room Info'!$A$2:$A2446, MATCH(B2163,'Room Info'!$B$2:$B2446, 0)),IF(G2163='Room Info'!$C$1, INDEX('Room Info'!$A$2:$A2446, MATCH(B2163,'Room Info'!$C$2:$C2446, 0)),IF(G2163='Room Info'!$D$1, INDEX('Room Info'!$A$2:$A2446, MATCH(B2163,'Room Info'!$D$2:$D2446, 0)),IF(G2163='Room Info'!$E$1, INDEX('Room Info'!$A$2:$A2446, MATCH(B2163,'Room Info'!$E$2:$E2446, 0)),IF(G2163='Room Info'!$F$1, INDEX('Room Info'!$A$2:$A2446, MATCH(B2163,'Room Info'!$F$2:$F2446, 0)),IF(G2163='Room Info'!$H$1, INDEX('Room Info'!$A$2:$A2446, MATCH(B2163,'Room Info'!$H$2:$H2446, 0)),IF(G2163='Room Info'!$G$1, INDEX('Room Info'!$A$2:$A2446, MATCH(B2163,'Room Info'!$G$2:$G2446, 0)))))))))</f>
        <v>0</v>
      </c>
      <c r="B2163" s="96"/>
      <c r="C2163" s="111"/>
      <c r="D2163" s="111"/>
      <c r="E2163" s="80"/>
      <c r="F2163" s="133"/>
      <c r="G2163" s="96"/>
      <c r="H2163" s="110"/>
      <c r="I2163" s="110"/>
      <c r="J2163" s="39" t="s">
        <v>334</v>
      </c>
      <c r="K2163" s="112"/>
      <c r="L2163" s="113"/>
      <c r="M2163" s="62"/>
      <c r="N2163" s="28" t="e">
        <f t="shared" si="8"/>
        <v>#VALUE!</v>
      </c>
      <c r="O2163" s="65"/>
      <c r="P2163" s="29" t="s">
        <v>334</v>
      </c>
      <c r="Q2163" s="55"/>
      <c r="R2163" s="31" t="e">
        <f t="shared" si="9"/>
        <v>#VALUE!</v>
      </c>
      <c r="S2163" s="66"/>
      <c r="T2163" s="32" t="e">
        <f t="shared" si="10"/>
        <v>#VALUE!</v>
      </c>
      <c r="U2163" s="57"/>
      <c r="V2163" s="58"/>
      <c r="W2163" s="58"/>
      <c r="X2163" s="30" t="e">
        <f t="shared" si="11"/>
        <v>#N/A</v>
      </c>
      <c r="Y2163" s="30" t="e">
        <f t="shared" si="12"/>
        <v>#N/A</v>
      </c>
      <c r="Z2163" s="35" t="e">
        <f t="shared" si="13"/>
        <v>#VALUE!</v>
      </c>
      <c r="AA2163" s="29" t="e">
        <f t="shared" si="14"/>
        <v>#VALUE!</v>
      </c>
      <c r="AB2163" s="36" t="e">
        <f t="shared" si="15"/>
        <v>#VALUE!</v>
      </c>
      <c r="AC2163" s="37" t="b">
        <v>0</v>
      </c>
      <c r="AD2163" s="61" t="str">
        <f t="shared" si="16"/>
        <v>USD</v>
      </c>
      <c r="AE2163" s="37"/>
      <c r="AF2163" s="37" t="e">
        <f t="array" ref="AF2163">INDEX('Deal Info'!D:D, MATCH(A2163,'Deal Info'!A:A, 0))</f>
        <v>#N/A</v>
      </c>
      <c r="AG2163" s="38" t="e">
        <f t="array" ref="AG2163">INDEX('Deal Info'!G:G, MATCH(A2163,'Deal Info'!A:A, 0))</f>
        <v>#N/A</v>
      </c>
    </row>
    <row r="2164" spans="1:33" ht="14.25" hidden="1" x14ac:dyDescent="0.2">
      <c r="A2164" s="18" t="b">
        <f t="array" ref="A2164">IF(G2164='Room Info'!$B$1, INDEX('Room Info'!$A$2:$A2446, MATCH(B2164,'Room Info'!$B$2:$B2446, 0)),IF(G2164='Room Info'!$C$1, INDEX('Room Info'!$A$2:$A2446, MATCH(B2164,'Room Info'!$C$2:$C2446, 0)),IF(G2164='Room Info'!$D$1, INDEX('Room Info'!$A$2:$A2446, MATCH(B2164,'Room Info'!$D$2:$D2446, 0)),IF(G2164='Room Info'!$E$1, INDEX('Room Info'!$A$2:$A2446, MATCH(B2164,'Room Info'!$E$2:$E2446, 0)),IF(G2164='Room Info'!$F$1, INDEX('Room Info'!$A$2:$A2446, MATCH(B2164,'Room Info'!$F$2:$F2446, 0)),IF(G2164='Room Info'!$H$1, INDEX('Room Info'!$A$2:$A2446, MATCH(B2164,'Room Info'!$H$2:$H2446, 0)),IF(G2164='Room Info'!$G$1, INDEX('Room Info'!$A$2:$A2446, MATCH(B2164,'Room Info'!$G$2:$G2446, 0)))))))))</f>
        <v>0</v>
      </c>
      <c r="B2164" s="96"/>
      <c r="C2164" s="111"/>
      <c r="D2164" s="111"/>
      <c r="E2164" s="80"/>
      <c r="F2164" s="133"/>
      <c r="G2164" s="96"/>
      <c r="H2164" s="110"/>
      <c r="I2164" s="110"/>
      <c r="J2164" s="39" t="s">
        <v>334</v>
      </c>
      <c r="K2164" s="112"/>
      <c r="L2164" s="113"/>
      <c r="M2164" s="62"/>
      <c r="N2164" s="28" t="e">
        <f t="shared" si="8"/>
        <v>#VALUE!</v>
      </c>
      <c r="O2164" s="65"/>
      <c r="P2164" s="29" t="s">
        <v>334</v>
      </c>
      <c r="Q2164" s="55"/>
      <c r="R2164" s="31" t="e">
        <f t="shared" si="9"/>
        <v>#VALUE!</v>
      </c>
      <c r="S2164" s="66"/>
      <c r="T2164" s="32" t="e">
        <f t="shared" si="10"/>
        <v>#VALUE!</v>
      </c>
      <c r="U2164" s="57"/>
      <c r="V2164" s="58"/>
      <c r="W2164" s="58"/>
      <c r="X2164" s="30" t="e">
        <f t="shared" si="11"/>
        <v>#N/A</v>
      </c>
      <c r="Y2164" s="30" t="e">
        <f t="shared" si="12"/>
        <v>#N/A</v>
      </c>
      <c r="Z2164" s="35" t="e">
        <f t="shared" si="13"/>
        <v>#VALUE!</v>
      </c>
      <c r="AA2164" s="29" t="e">
        <f t="shared" si="14"/>
        <v>#VALUE!</v>
      </c>
      <c r="AB2164" s="36" t="e">
        <f t="shared" si="15"/>
        <v>#VALUE!</v>
      </c>
      <c r="AC2164" s="37" t="b">
        <v>0</v>
      </c>
      <c r="AD2164" s="61" t="str">
        <f t="shared" si="16"/>
        <v>USD</v>
      </c>
      <c r="AE2164" s="37"/>
      <c r="AF2164" s="37" t="e">
        <f t="array" ref="AF2164">INDEX('Deal Info'!D:D, MATCH(A2164,'Deal Info'!A:A, 0))</f>
        <v>#N/A</v>
      </c>
      <c r="AG2164" s="38" t="e">
        <f t="array" ref="AG2164">INDEX('Deal Info'!G:G, MATCH(A2164,'Deal Info'!A:A, 0))</f>
        <v>#N/A</v>
      </c>
    </row>
    <row r="2165" spans="1:33" ht="14.25" hidden="1" x14ac:dyDescent="0.2">
      <c r="A2165" s="18" t="b">
        <f t="array" ref="A2165">IF(G2165='Room Info'!$B$1, INDEX('Room Info'!$A$2:$A2446, MATCH(B2165,'Room Info'!$B$2:$B2446, 0)),IF(G2165='Room Info'!$C$1, INDEX('Room Info'!$A$2:$A2446, MATCH(B2165,'Room Info'!$C$2:$C2446, 0)),IF(G2165='Room Info'!$D$1, INDEX('Room Info'!$A$2:$A2446, MATCH(B2165,'Room Info'!$D$2:$D2446, 0)),IF(G2165='Room Info'!$E$1, INDEX('Room Info'!$A$2:$A2446, MATCH(B2165,'Room Info'!$E$2:$E2446, 0)),IF(G2165='Room Info'!$F$1, INDEX('Room Info'!$A$2:$A2446, MATCH(B2165,'Room Info'!$F$2:$F2446, 0)),IF(G2165='Room Info'!$H$1, INDEX('Room Info'!$A$2:$A2446, MATCH(B2165,'Room Info'!$H$2:$H2446, 0)),IF(G2165='Room Info'!$G$1, INDEX('Room Info'!$A$2:$A2446, MATCH(B2165,'Room Info'!$G$2:$G2446, 0)))))))))</f>
        <v>0</v>
      </c>
      <c r="B2165" s="96"/>
      <c r="C2165" s="111"/>
      <c r="D2165" s="111"/>
      <c r="E2165" s="80"/>
      <c r="F2165" s="133"/>
      <c r="G2165" s="96"/>
      <c r="H2165" s="110"/>
      <c r="I2165" s="110"/>
      <c r="J2165" s="39" t="s">
        <v>334</v>
      </c>
      <c r="K2165" s="112"/>
      <c r="L2165" s="113"/>
      <c r="M2165" s="62"/>
      <c r="N2165" s="28" t="e">
        <f t="shared" si="8"/>
        <v>#VALUE!</v>
      </c>
      <c r="O2165" s="65"/>
      <c r="P2165" s="29" t="s">
        <v>334</v>
      </c>
      <c r="Q2165" s="55"/>
      <c r="R2165" s="31" t="e">
        <f t="shared" si="9"/>
        <v>#VALUE!</v>
      </c>
      <c r="S2165" s="66"/>
      <c r="T2165" s="32" t="e">
        <f t="shared" si="10"/>
        <v>#VALUE!</v>
      </c>
      <c r="U2165" s="57"/>
      <c r="V2165" s="58"/>
      <c r="W2165" s="58"/>
      <c r="X2165" s="30" t="e">
        <f t="shared" si="11"/>
        <v>#N/A</v>
      </c>
      <c r="Y2165" s="30" t="e">
        <f t="shared" si="12"/>
        <v>#N/A</v>
      </c>
      <c r="Z2165" s="35" t="e">
        <f t="shared" si="13"/>
        <v>#VALUE!</v>
      </c>
      <c r="AA2165" s="29" t="e">
        <f t="shared" si="14"/>
        <v>#VALUE!</v>
      </c>
      <c r="AB2165" s="36" t="e">
        <f t="shared" si="15"/>
        <v>#VALUE!</v>
      </c>
      <c r="AC2165" s="37" t="b">
        <v>0</v>
      </c>
      <c r="AD2165" s="61" t="str">
        <f t="shared" si="16"/>
        <v>USD</v>
      </c>
      <c r="AE2165" s="37"/>
      <c r="AF2165" s="37" t="e">
        <f t="array" ref="AF2165">INDEX('Deal Info'!D:D, MATCH(A2165,'Deal Info'!A:A, 0))</f>
        <v>#N/A</v>
      </c>
      <c r="AG2165" s="38" t="e">
        <f t="array" ref="AG2165">INDEX('Deal Info'!G:G, MATCH(A2165,'Deal Info'!A:A, 0))</f>
        <v>#N/A</v>
      </c>
    </row>
    <row r="2166" spans="1:33" ht="14.25" hidden="1" x14ac:dyDescent="0.2">
      <c r="A2166" s="18" t="b">
        <f t="array" ref="A2166">IF(G2166='Room Info'!$B$1, INDEX('Room Info'!$A$2:$A2446, MATCH(B2166,'Room Info'!$B$2:$B2446, 0)),IF(G2166='Room Info'!$C$1, INDEX('Room Info'!$A$2:$A2446, MATCH(B2166,'Room Info'!$C$2:$C2446, 0)),IF(G2166='Room Info'!$D$1, INDEX('Room Info'!$A$2:$A2446, MATCH(B2166,'Room Info'!$D$2:$D2446, 0)),IF(G2166='Room Info'!$E$1, INDEX('Room Info'!$A$2:$A2446, MATCH(B2166,'Room Info'!$E$2:$E2446, 0)),IF(G2166='Room Info'!$F$1, INDEX('Room Info'!$A$2:$A2446, MATCH(B2166,'Room Info'!$F$2:$F2446, 0)),IF(G2166='Room Info'!$H$1, INDEX('Room Info'!$A$2:$A2446, MATCH(B2166,'Room Info'!$H$2:$H2446, 0)),IF(G2166='Room Info'!$G$1, INDEX('Room Info'!$A$2:$A2446, MATCH(B2166,'Room Info'!$G$2:$G2446, 0)))))))))</f>
        <v>0</v>
      </c>
      <c r="B2166" s="96"/>
      <c r="C2166" s="111"/>
      <c r="D2166" s="111"/>
      <c r="E2166" s="80"/>
      <c r="F2166" s="133"/>
      <c r="G2166" s="96"/>
      <c r="H2166" s="110"/>
      <c r="I2166" s="110"/>
      <c r="J2166" s="39" t="s">
        <v>334</v>
      </c>
      <c r="K2166" s="112"/>
      <c r="L2166" s="113"/>
      <c r="M2166" s="62"/>
      <c r="N2166" s="28" t="e">
        <f t="shared" si="8"/>
        <v>#VALUE!</v>
      </c>
      <c r="O2166" s="65"/>
      <c r="P2166" s="29" t="s">
        <v>334</v>
      </c>
      <c r="Q2166" s="55"/>
      <c r="R2166" s="31" t="e">
        <f t="shared" si="9"/>
        <v>#VALUE!</v>
      </c>
      <c r="S2166" s="66"/>
      <c r="T2166" s="32" t="e">
        <f t="shared" si="10"/>
        <v>#VALUE!</v>
      </c>
      <c r="U2166" s="57"/>
      <c r="V2166" s="58"/>
      <c r="W2166" s="58"/>
      <c r="X2166" s="30" t="e">
        <f t="shared" si="11"/>
        <v>#N/A</v>
      </c>
      <c r="Y2166" s="30" t="e">
        <f t="shared" si="12"/>
        <v>#N/A</v>
      </c>
      <c r="Z2166" s="35" t="e">
        <f t="shared" si="13"/>
        <v>#VALUE!</v>
      </c>
      <c r="AA2166" s="29" t="e">
        <f t="shared" si="14"/>
        <v>#VALUE!</v>
      </c>
      <c r="AB2166" s="36" t="e">
        <f t="shared" si="15"/>
        <v>#VALUE!</v>
      </c>
      <c r="AC2166" s="37" t="b">
        <v>0</v>
      </c>
      <c r="AD2166" s="61" t="str">
        <f t="shared" si="16"/>
        <v>USD</v>
      </c>
      <c r="AE2166" s="37"/>
      <c r="AF2166" s="37" t="e">
        <f t="array" ref="AF2166">INDEX('Deal Info'!D:D, MATCH(A2166,'Deal Info'!A:A, 0))</f>
        <v>#N/A</v>
      </c>
      <c r="AG2166" s="38" t="e">
        <f t="array" ref="AG2166">INDEX('Deal Info'!G:G, MATCH(A2166,'Deal Info'!A:A, 0))</f>
        <v>#N/A</v>
      </c>
    </row>
    <row r="2167" spans="1:33" ht="14.25" hidden="1" x14ac:dyDescent="0.2">
      <c r="A2167" s="18" t="b">
        <f t="array" ref="A2167">IF(G2167='Room Info'!$B$1, INDEX('Room Info'!$A$2:$A2446, MATCH(B2167,'Room Info'!$B$2:$B2446, 0)),IF(G2167='Room Info'!$C$1, INDEX('Room Info'!$A$2:$A2446, MATCH(B2167,'Room Info'!$C$2:$C2446, 0)),IF(G2167='Room Info'!$D$1, INDEX('Room Info'!$A$2:$A2446, MATCH(B2167,'Room Info'!$D$2:$D2446, 0)),IF(G2167='Room Info'!$E$1, INDEX('Room Info'!$A$2:$A2446, MATCH(B2167,'Room Info'!$E$2:$E2446, 0)),IF(G2167='Room Info'!$F$1, INDEX('Room Info'!$A$2:$A2446, MATCH(B2167,'Room Info'!$F$2:$F2446, 0)),IF(G2167='Room Info'!$H$1, INDEX('Room Info'!$A$2:$A2446, MATCH(B2167,'Room Info'!$H$2:$H2446, 0)),IF(G2167='Room Info'!$G$1, INDEX('Room Info'!$A$2:$A2446, MATCH(B2167,'Room Info'!$G$2:$G2446, 0)))))))))</f>
        <v>0</v>
      </c>
      <c r="B2167" s="96"/>
      <c r="C2167" s="111"/>
      <c r="D2167" s="111"/>
      <c r="E2167" s="80"/>
      <c r="F2167" s="133"/>
      <c r="G2167" s="96"/>
      <c r="H2167" s="110"/>
      <c r="I2167" s="110"/>
      <c r="J2167" s="39" t="s">
        <v>334</v>
      </c>
      <c r="K2167" s="112"/>
      <c r="L2167" s="113"/>
      <c r="M2167" s="62"/>
      <c r="N2167" s="28" t="e">
        <f t="shared" si="8"/>
        <v>#VALUE!</v>
      </c>
      <c r="O2167" s="65"/>
      <c r="P2167" s="29" t="s">
        <v>334</v>
      </c>
      <c r="Q2167" s="55"/>
      <c r="R2167" s="31" t="e">
        <f t="shared" si="9"/>
        <v>#VALUE!</v>
      </c>
      <c r="S2167" s="66"/>
      <c r="T2167" s="32" t="e">
        <f t="shared" si="10"/>
        <v>#VALUE!</v>
      </c>
      <c r="U2167" s="57"/>
      <c r="V2167" s="58"/>
      <c r="W2167" s="58"/>
      <c r="X2167" s="30" t="e">
        <f t="shared" si="11"/>
        <v>#N/A</v>
      </c>
      <c r="Y2167" s="30" t="e">
        <f t="shared" si="12"/>
        <v>#N/A</v>
      </c>
      <c r="Z2167" s="35" t="e">
        <f t="shared" si="13"/>
        <v>#VALUE!</v>
      </c>
      <c r="AA2167" s="29" t="e">
        <f t="shared" si="14"/>
        <v>#VALUE!</v>
      </c>
      <c r="AB2167" s="36" t="e">
        <f t="shared" si="15"/>
        <v>#VALUE!</v>
      </c>
      <c r="AC2167" s="37" t="b">
        <v>0</v>
      </c>
      <c r="AD2167" s="61" t="str">
        <f t="shared" si="16"/>
        <v>USD</v>
      </c>
      <c r="AE2167" s="37"/>
      <c r="AF2167" s="37" t="e">
        <f t="array" ref="AF2167">INDEX('Deal Info'!D:D, MATCH(A2167,'Deal Info'!A:A, 0))</f>
        <v>#N/A</v>
      </c>
      <c r="AG2167" s="38" t="e">
        <f t="array" ref="AG2167">INDEX('Deal Info'!G:G, MATCH(A2167,'Deal Info'!A:A, 0))</f>
        <v>#N/A</v>
      </c>
    </row>
    <row r="2168" spans="1:33" ht="14.25" hidden="1" x14ac:dyDescent="0.2">
      <c r="A2168" s="18" t="b">
        <f t="array" ref="A2168">IF(G2168='Room Info'!$B$1, INDEX('Room Info'!$A$2:$A2446, MATCH(B2168,'Room Info'!$B$2:$B2446, 0)),IF(G2168='Room Info'!$C$1, INDEX('Room Info'!$A$2:$A2446, MATCH(B2168,'Room Info'!$C$2:$C2446, 0)),IF(G2168='Room Info'!$D$1, INDEX('Room Info'!$A$2:$A2446, MATCH(B2168,'Room Info'!$D$2:$D2446, 0)),IF(G2168='Room Info'!$E$1, INDEX('Room Info'!$A$2:$A2446, MATCH(B2168,'Room Info'!$E$2:$E2446, 0)),IF(G2168='Room Info'!$F$1, INDEX('Room Info'!$A$2:$A2446, MATCH(B2168,'Room Info'!$F$2:$F2446, 0)),IF(G2168='Room Info'!$H$1, INDEX('Room Info'!$A$2:$A2446, MATCH(B2168,'Room Info'!$H$2:$H2446, 0)),IF(G2168='Room Info'!$G$1, INDEX('Room Info'!$A$2:$A2446, MATCH(B2168,'Room Info'!$G$2:$G2446, 0)))))))))</f>
        <v>0</v>
      </c>
      <c r="B2168" s="96"/>
      <c r="C2168" s="111"/>
      <c r="D2168" s="111"/>
      <c r="E2168" s="80"/>
      <c r="F2168" s="133"/>
      <c r="G2168" s="65"/>
      <c r="H2168" s="110"/>
      <c r="I2168" s="110"/>
      <c r="J2168" s="39" t="s">
        <v>334</v>
      </c>
      <c r="K2168" s="112"/>
      <c r="L2168" s="113"/>
      <c r="M2168" s="62"/>
      <c r="N2168" s="28" t="e">
        <f t="shared" si="8"/>
        <v>#VALUE!</v>
      </c>
      <c r="O2168" s="65"/>
      <c r="P2168" s="29" t="s">
        <v>334</v>
      </c>
      <c r="Q2168" s="55"/>
      <c r="R2168" s="31" t="e">
        <f t="shared" si="9"/>
        <v>#VALUE!</v>
      </c>
      <c r="S2168" s="66"/>
      <c r="T2168" s="32" t="e">
        <f t="shared" si="10"/>
        <v>#VALUE!</v>
      </c>
      <c r="U2168" s="57"/>
      <c r="V2168" s="58"/>
      <c r="W2168" s="58"/>
      <c r="X2168" s="30" t="e">
        <f t="shared" si="11"/>
        <v>#N/A</v>
      </c>
      <c r="Y2168" s="30" t="e">
        <f t="shared" si="12"/>
        <v>#N/A</v>
      </c>
      <c r="Z2168" s="35" t="e">
        <f t="shared" si="13"/>
        <v>#VALUE!</v>
      </c>
      <c r="AA2168" s="29" t="e">
        <f t="shared" si="14"/>
        <v>#VALUE!</v>
      </c>
      <c r="AB2168" s="36" t="e">
        <f t="shared" si="15"/>
        <v>#VALUE!</v>
      </c>
      <c r="AC2168" s="37" t="b">
        <v>0</v>
      </c>
      <c r="AD2168" s="61" t="str">
        <f t="shared" si="16"/>
        <v>USD</v>
      </c>
      <c r="AE2168" s="37"/>
      <c r="AF2168" s="37" t="e">
        <f t="array" ref="AF2168">INDEX('Deal Info'!D:D, MATCH(A2168,'Deal Info'!A:A, 0))</f>
        <v>#N/A</v>
      </c>
      <c r="AG2168" s="38" t="e">
        <f t="array" ref="AG2168">INDEX('Deal Info'!G:G, MATCH(A2168,'Deal Info'!A:A, 0))</f>
        <v>#N/A</v>
      </c>
    </row>
    <row r="2169" spans="1:33" ht="14.25" hidden="1" x14ac:dyDescent="0.2">
      <c r="A2169" s="18" t="b">
        <f t="array" ref="A2169">IF(G2169='Room Info'!$B$1, INDEX('Room Info'!$A$2:$A2446, MATCH(B2169,'Room Info'!$B$2:$B2446, 0)),IF(G2169='Room Info'!$C$1, INDEX('Room Info'!$A$2:$A2446, MATCH(B2169,'Room Info'!$C$2:$C2446, 0)),IF(G2169='Room Info'!$D$1, INDEX('Room Info'!$A$2:$A2446, MATCH(B2169,'Room Info'!$D$2:$D2446, 0)),IF(G2169='Room Info'!$E$1, INDEX('Room Info'!$A$2:$A2446, MATCH(B2169,'Room Info'!$E$2:$E2446, 0)),IF(G2169='Room Info'!$F$1, INDEX('Room Info'!$A$2:$A2446, MATCH(B2169,'Room Info'!$F$2:$F2446, 0)),IF(G2169='Room Info'!$H$1, INDEX('Room Info'!$A$2:$A2446, MATCH(B2169,'Room Info'!$H$2:$H2446, 0)),IF(G2169='Room Info'!$G$1, INDEX('Room Info'!$A$2:$A2446, MATCH(B2169,'Room Info'!$G$2:$G2446, 0)))))))))</f>
        <v>0</v>
      </c>
      <c r="B2169" s="96"/>
      <c r="C2169" s="111"/>
      <c r="D2169" s="111"/>
      <c r="E2169" s="80"/>
      <c r="F2169" s="133"/>
      <c r="G2169" s="96"/>
      <c r="H2169" s="110"/>
      <c r="I2169" s="110"/>
      <c r="J2169" s="39" t="s">
        <v>334</v>
      </c>
      <c r="K2169" s="112"/>
      <c r="L2169" s="113"/>
      <c r="M2169" s="62"/>
      <c r="N2169" s="28" t="e">
        <f t="shared" si="8"/>
        <v>#VALUE!</v>
      </c>
      <c r="O2169" s="65"/>
      <c r="P2169" s="29" t="s">
        <v>334</v>
      </c>
      <c r="Q2169" s="55"/>
      <c r="R2169" s="31" t="e">
        <f t="shared" si="9"/>
        <v>#VALUE!</v>
      </c>
      <c r="S2169" s="66"/>
      <c r="T2169" s="32" t="e">
        <f t="shared" si="10"/>
        <v>#VALUE!</v>
      </c>
      <c r="U2169" s="57"/>
      <c r="V2169" s="58"/>
      <c r="W2169" s="58"/>
      <c r="X2169" s="30" t="e">
        <f t="shared" si="11"/>
        <v>#N/A</v>
      </c>
      <c r="Y2169" s="30" t="e">
        <f t="shared" si="12"/>
        <v>#N/A</v>
      </c>
      <c r="Z2169" s="35" t="e">
        <f t="shared" si="13"/>
        <v>#VALUE!</v>
      </c>
      <c r="AA2169" s="29" t="e">
        <f t="shared" si="14"/>
        <v>#VALUE!</v>
      </c>
      <c r="AB2169" s="36" t="e">
        <f t="shared" si="15"/>
        <v>#VALUE!</v>
      </c>
      <c r="AC2169" s="37" t="b">
        <v>0</v>
      </c>
      <c r="AD2169" s="61" t="str">
        <f t="shared" si="16"/>
        <v>USD</v>
      </c>
      <c r="AE2169" s="37"/>
      <c r="AF2169" s="37" t="e">
        <f t="array" ref="AF2169">INDEX('Deal Info'!D:D, MATCH(A2169,'Deal Info'!A:A, 0))</f>
        <v>#N/A</v>
      </c>
      <c r="AG2169" s="38" t="e">
        <f t="array" ref="AG2169">INDEX('Deal Info'!G:G, MATCH(A2169,'Deal Info'!A:A, 0))</f>
        <v>#N/A</v>
      </c>
    </row>
    <row r="2170" spans="1:33" ht="14.25" hidden="1" x14ac:dyDescent="0.2">
      <c r="A2170" s="18" t="b">
        <f t="array" ref="A2170">IF(G2170='Room Info'!$B$1, INDEX('Room Info'!$A$2:$A2446, MATCH(B2170,'Room Info'!$B$2:$B2446, 0)),IF(G2170='Room Info'!$C$1, INDEX('Room Info'!$A$2:$A2446, MATCH(B2170,'Room Info'!$C$2:$C2446, 0)),IF(G2170='Room Info'!$D$1, INDEX('Room Info'!$A$2:$A2446, MATCH(B2170,'Room Info'!$D$2:$D2446, 0)),IF(G2170='Room Info'!$E$1, INDEX('Room Info'!$A$2:$A2446, MATCH(B2170,'Room Info'!$E$2:$E2446, 0)),IF(G2170='Room Info'!$F$1, INDEX('Room Info'!$A$2:$A2446, MATCH(B2170,'Room Info'!$F$2:$F2446, 0)),IF(G2170='Room Info'!$H$1, INDEX('Room Info'!$A$2:$A2446, MATCH(B2170,'Room Info'!$H$2:$H2446, 0)),IF(G2170='Room Info'!$G$1, INDEX('Room Info'!$A$2:$A2446, MATCH(B2170,'Room Info'!$G$2:$G2446, 0)))))))))</f>
        <v>0</v>
      </c>
      <c r="B2170" s="96"/>
      <c r="C2170" s="111"/>
      <c r="D2170" s="111"/>
      <c r="E2170" s="80"/>
      <c r="F2170" s="133"/>
      <c r="G2170" s="96"/>
      <c r="H2170" s="110"/>
      <c r="I2170" s="110"/>
      <c r="J2170" s="39" t="s">
        <v>334</v>
      </c>
      <c r="K2170" s="112"/>
      <c r="L2170" s="113"/>
      <c r="M2170" s="62"/>
      <c r="N2170" s="28" t="e">
        <f t="shared" si="8"/>
        <v>#VALUE!</v>
      </c>
      <c r="O2170" s="65"/>
      <c r="P2170" s="29" t="s">
        <v>334</v>
      </c>
      <c r="Q2170" s="55"/>
      <c r="R2170" s="31" t="e">
        <f t="shared" si="9"/>
        <v>#VALUE!</v>
      </c>
      <c r="S2170" s="66"/>
      <c r="T2170" s="32" t="e">
        <f t="shared" si="10"/>
        <v>#VALUE!</v>
      </c>
      <c r="U2170" s="57"/>
      <c r="V2170" s="58"/>
      <c r="W2170" s="58"/>
      <c r="X2170" s="30" t="e">
        <f t="shared" si="11"/>
        <v>#N/A</v>
      </c>
      <c r="Y2170" s="30" t="e">
        <f t="shared" si="12"/>
        <v>#N/A</v>
      </c>
      <c r="Z2170" s="35" t="e">
        <f t="shared" si="13"/>
        <v>#VALUE!</v>
      </c>
      <c r="AA2170" s="29" t="e">
        <f t="shared" si="14"/>
        <v>#VALUE!</v>
      </c>
      <c r="AB2170" s="36" t="e">
        <f t="shared" si="15"/>
        <v>#VALUE!</v>
      </c>
      <c r="AC2170" s="37" t="b">
        <v>0</v>
      </c>
      <c r="AD2170" s="61" t="str">
        <f t="shared" si="16"/>
        <v>USD</v>
      </c>
      <c r="AE2170" s="37"/>
      <c r="AF2170" s="37" t="e">
        <f t="array" ref="AF2170">INDEX('Deal Info'!D:D, MATCH(A2170,'Deal Info'!A:A, 0))</f>
        <v>#N/A</v>
      </c>
      <c r="AG2170" s="38" t="e">
        <f t="array" ref="AG2170">INDEX('Deal Info'!G:G, MATCH(A2170,'Deal Info'!A:A, 0))</f>
        <v>#N/A</v>
      </c>
    </row>
    <row r="2171" spans="1:33" ht="14.25" hidden="1" x14ac:dyDescent="0.2">
      <c r="A2171" s="18" t="b">
        <f t="array" ref="A2171">IF(G2171='Room Info'!$B$1, INDEX('Room Info'!$A$2:$A2446, MATCH(B2171,'Room Info'!$B$2:$B2446, 0)),IF(G2171='Room Info'!$C$1, INDEX('Room Info'!$A$2:$A2446, MATCH(B2171,'Room Info'!$C$2:$C2446, 0)),IF(G2171='Room Info'!$D$1, INDEX('Room Info'!$A$2:$A2446, MATCH(B2171,'Room Info'!$D$2:$D2446, 0)),IF(G2171='Room Info'!$E$1, INDEX('Room Info'!$A$2:$A2446, MATCH(B2171,'Room Info'!$E$2:$E2446, 0)),IF(G2171='Room Info'!$F$1, INDEX('Room Info'!$A$2:$A2446, MATCH(B2171,'Room Info'!$F$2:$F2446, 0)),IF(G2171='Room Info'!$H$1, INDEX('Room Info'!$A$2:$A2446, MATCH(B2171,'Room Info'!$H$2:$H2446, 0)),IF(G2171='Room Info'!$G$1, INDEX('Room Info'!$A$2:$A2446, MATCH(B2171,'Room Info'!$G$2:$G2446, 0)))))))))</f>
        <v>0</v>
      </c>
      <c r="B2171" s="96"/>
      <c r="C2171" s="111"/>
      <c r="D2171" s="111"/>
      <c r="E2171" s="80"/>
      <c r="F2171" s="96"/>
      <c r="G2171" s="96"/>
      <c r="H2171" s="110"/>
      <c r="I2171" s="110"/>
      <c r="J2171" s="39" t="s">
        <v>334</v>
      </c>
      <c r="K2171" s="112"/>
      <c r="L2171" s="113"/>
      <c r="M2171" s="62"/>
      <c r="N2171" s="28" t="e">
        <f t="shared" si="8"/>
        <v>#VALUE!</v>
      </c>
      <c r="O2171" s="65"/>
      <c r="P2171" s="29" t="s">
        <v>334</v>
      </c>
      <c r="Q2171" s="55"/>
      <c r="R2171" s="31" t="e">
        <f t="shared" si="9"/>
        <v>#VALUE!</v>
      </c>
      <c r="S2171" s="66"/>
      <c r="T2171" s="32" t="e">
        <f t="shared" si="10"/>
        <v>#VALUE!</v>
      </c>
      <c r="U2171" s="57"/>
      <c r="V2171" s="58"/>
      <c r="W2171" s="58"/>
      <c r="X2171" s="30" t="e">
        <f t="shared" si="11"/>
        <v>#N/A</v>
      </c>
      <c r="Y2171" s="30" t="e">
        <f t="shared" si="12"/>
        <v>#N/A</v>
      </c>
      <c r="Z2171" s="35" t="e">
        <f t="shared" si="13"/>
        <v>#VALUE!</v>
      </c>
      <c r="AA2171" s="29" t="e">
        <f t="shared" si="14"/>
        <v>#VALUE!</v>
      </c>
      <c r="AB2171" s="36" t="e">
        <f t="shared" si="15"/>
        <v>#VALUE!</v>
      </c>
      <c r="AC2171" s="37" t="b">
        <v>0</v>
      </c>
      <c r="AD2171" s="61" t="str">
        <f t="shared" si="16"/>
        <v>USD</v>
      </c>
      <c r="AE2171" s="37"/>
      <c r="AF2171" s="37" t="e">
        <f t="array" ref="AF2171">INDEX('Deal Info'!D:D, MATCH(A2171,'Deal Info'!A:A, 0))</f>
        <v>#N/A</v>
      </c>
      <c r="AG2171" s="38" t="e">
        <f t="array" ref="AG2171">INDEX('Deal Info'!G:G, MATCH(A2171,'Deal Info'!A:A, 0))</f>
        <v>#N/A</v>
      </c>
    </row>
    <row r="2172" spans="1:33" ht="14.25" hidden="1" x14ac:dyDescent="0.2">
      <c r="A2172" s="18" t="b">
        <f t="array" ref="A2172">IF(G2172='Room Info'!$B$1, INDEX('Room Info'!$A$2:$A2446, MATCH(B2172,'Room Info'!$B$2:$B2446, 0)),IF(G2172='Room Info'!$C$1, INDEX('Room Info'!$A$2:$A2446, MATCH(B2172,'Room Info'!$C$2:$C2446, 0)),IF(G2172='Room Info'!$D$1, INDEX('Room Info'!$A$2:$A2446, MATCH(B2172,'Room Info'!$D$2:$D2446, 0)),IF(G2172='Room Info'!$E$1, INDEX('Room Info'!$A$2:$A2446, MATCH(B2172,'Room Info'!$E$2:$E2446, 0)),IF(G2172='Room Info'!$F$1, INDEX('Room Info'!$A$2:$A2446, MATCH(B2172,'Room Info'!$F$2:$F2446, 0)),IF(G2172='Room Info'!$H$1, INDEX('Room Info'!$A$2:$A2446, MATCH(B2172,'Room Info'!$H$2:$H2446, 0)),IF(G2172='Room Info'!$G$1, INDEX('Room Info'!$A$2:$A2446, MATCH(B2172,'Room Info'!$G$2:$G2446, 0)))))))))</f>
        <v>0</v>
      </c>
      <c r="B2172" s="96"/>
      <c r="C2172" s="111"/>
      <c r="D2172" s="111"/>
      <c r="E2172" s="80"/>
      <c r="F2172" s="96"/>
      <c r="G2172" s="65"/>
      <c r="H2172" s="110"/>
      <c r="I2172" s="110"/>
      <c r="J2172" s="39" t="s">
        <v>334</v>
      </c>
      <c r="K2172" s="112"/>
      <c r="L2172" s="113"/>
      <c r="M2172" s="62"/>
      <c r="N2172" s="28" t="e">
        <f t="shared" si="8"/>
        <v>#VALUE!</v>
      </c>
      <c r="O2172" s="65"/>
      <c r="P2172" s="29" t="s">
        <v>334</v>
      </c>
      <c r="Q2172" s="55"/>
      <c r="R2172" s="31" t="e">
        <f t="shared" si="9"/>
        <v>#VALUE!</v>
      </c>
      <c r="S2172" s="66"/>
      <c r="T2172" s="32" t="e">
        <f t="shared" si="10"/>
        <v>#VALUE!</v>
      </c>
      <c r="U2172" s="57"/>
      <c r="V2172" s="58"/>
      <c r="W2172" s="58"/>
      <c r="X2172" s="30" t="e">
        <f t="shared" si="11"/>
        <v>#N/A</v>
      </c>
      <c r="Y2172" s="30" t="e">
        <f t="shared" si="12"/>
        <v>#N/A</v>
      </c>
      <c r="Z2172" s="35" t="e">
        <f t="shared" si="13"/>
        <v>#VALUE!</v>
      </c>
      <c r="AA2172" s="29" t="e">
        <f t="shared" si="14"/>
        <v>#VALUE!</v>
      </c>
      <c r="AB2172" s="36" t="e">
        <f t="shared" si="15"/>
        <v>#VALUE!</v>
      </c>
      <c r="AC2172" s="37" t="b">
        <v>0</v>
      </c>
      <c r="AD2172" s="61" t="str">
        <f t="shared" si="16"/>
        <v>USD</v>
      </c>
      <c r="AE2172" s="37"/>
      <c r="AF2172" s="37" t="e">
        <f t="array" ref="AF2172">INDEX('Deal Info'!D:D, MATCH(A2172,'Deal Info'!A:A, 0))</f>
        <v>#N/A</v>
      </c>
      <c r="AG2172" s="38" t="e">
        <f t="array" ref="AG2172">INDEX('Deal Info'!G:G, MATCH(A2172,'Deal Info'!A:A, 0))</f>
        <v>#N/A</v>
      </c>
    </row>
    <row r="2173" spans="1:33" ht="14.25" hidden="1" x14ac:dyDescent="0.2">
      <c r="A2173" s="18" t="b">
        <f t="array" ref="A2173">IF(G2173='Room Info'!$B$1, INDEX('Room Info'!$A$2:$A2446, MATCH(B2173,'Room Info'!$B$2:$B2446, 0)),IF(G2173='Room Info'!$C$1, INDEX('Room Info'!$A$2:$A2446, MATCH(B2173,'Room Info'!$C$2:$C2446, 0)),IF(G2173='Room Info'!$D$1, INDEX('Room Info'!$A$2:$A2446, MATCH(B2173,'Room Info'!$D$2:$D2446, 0)),IF(G2173='Room Info'!$E$1, INDEX('Room Info'!$A$2:$A2446, MATCH(B2173,'Room Info'!$E$2:$E2446, 0)),IF(G2173='Room Info'!$F$1, INDEX('Room Info'!$A$2:$A2446, MATCH(B2173,'Room Info'!$F$2:$F2446, 0)),IF(G2173='Room Info'!$H$1, INDEX('Room Info'!$A$2:$A2446, MATCH(B2173,'Room Info'!$H$2:$H2446, 0)),IF(G2173='Room Info'!$G$1, INDEX('Room Info'!$A$2:$A2446, MATCH(B2173,'Room Info'!$G$2:$G2446, 0)))))))))</f>
        <v>0</v>
      </c>
      <c r="B2173" s="96"/>
      <c r="C2173" s="111"/>
      <c r="D2173" s="111"/>
      <c r="E2173" s="80"/>
      <c r="F2173" s="96"/>
      <c r="G2173" s="65"/>
      <c r="H2173" s="110"/>
      <c r="I2173" s="110"/>
      <c r="J2173" s="39" t="s">
        <v>334</v>
      </c>
      <c r="K2173" s="112"/>
      <c r="L2173" s="113"/>
      <c r="M2173" s="62"/>
      <c r="N2173" s="28" t="e">
        <f t="shared" si="8"/>
        <v>#VALUE!</v>
      </c>
      <c r="O2173" s="65"/>
      <c r="P2173" s="29" t="s">
        <v>334</v>
      </c>
      <c r="Q2173" s="55"/>
      <c r="R2173" s="31" t="e">
        <f t="shared" si="9"/>
        <v>#VALUE!</v>
      </c>
      <c r="S2173" s="66"/>
      <c r="T2173" s="32" t="e">
        <f t="shared" si="10"/>
        <v>#VALUE!</v>
      </c>
      <c r="U2173" s="57"/>
      <c r="V2173" s="58"/>
      <c r="W2173" s="58"/>
      <c r="X2173" s="30" t="e">
        <f t="shared" si="11"/>
        <v>#N/A</v>
      </c>
      <c r="Y2173" s="30" t="e">
        <f t="shared" si="12"/>
        <v>#N/A</v>
      </c>
      <c r="Z2173" s="35" t="e">
        <f t="shared" si="13"/>
        <v>#VALUE!</v>
      </c>
      <c r="AA2173" s="29" t="e">
        <f t="shared" si="14"/>
        <v>#VALUE!</v>
      </c>
      <c r="AB2173" s="36" t="e">
        <f t="shared" si="15"/>
        <v>#VALUE!</v>
      </c>
      <c r="AC2173" s="37" t="b">
        <v>0</v>
      </c>
      <c r="AD2173" s="61" t="str">
        <f t="shared" si="16"/>
        <v>USD</v>
      </c>
      <c r="AE2173" s="37"/>
      <c r="AF2173" s="37" t="e">
        <f t="array" ref="AF2173">INDEX('Deal Info'!D:D, MATCH(A2173,'Deal Info'!A:A, 0))</f>
        <v>#N/A</v>
      </c>
      <c r="AG2173" s="38" t="e">
        <f t="array" ref="AG2173">INDEX('Deal Info'!G:G, MATCH(A2173,'Deal Info'!A:A, 0))</f>
        <v>#N/A</v>
      </c>
    </row>
    <row r="2174" spans="1:33" ht="14.25" hidden="1" x14ac:dyDescent="0.2">
      <c r="A2174" s="18" t="b">
        <f t="array" ref="A2174">IF(G2174='Room Info'!$B$1, INDEX('Room Info'!$A$2:$A2446, MATCH(B2174,'Room Info'!$B$2:$B2446, 0)),IF(G2174='Room Info'!$C$1, INDEX('Room Info'!$A$2:$A2446, MATCH(B2174,'Room Info'!$C$2:$C2446, 0)),IF(G2174='Room Info'!$D$1, INDEX('Room Info'!$A$2:$A2446, MATCH(B2174,'Room Info'!$D$2:$D2446, 0)),IF(G2174='Room Info'!$E$1, INDEX('Room Info'!$A$2:$A2446, MATCH(B2174,'Room Info'!$E$2:$E2446, 0)),IF(G2174='Room Info'!$F$1, INDEX('Room Info'!$A$2:$A2446, MATCH(B2174,'Room Info'!$F$2:$F2446, 0)),IF(G2174='Room Info'!$H$1, INDEX('Room Info'!$A$2:$A2446, MATCH(B2174,'Room Info'!$H$2:$H2446, 0)),IF(G2174='Room Info'!$G$1, INDEX('Room Info'!$A$2:$A2446, MATCH(B2174,'Room Info'!$G$2:$G2446, 0)))))))))</f>
        <v>0</v>
      </c>
      <c r="B2174" s="96"/>
      <c r="C2174" s="111"/>
      <c r="D2174" s="111"/>
      <c r="E2174" s="80"/>
      <c r="F2174" s="96"/>
      <c r="G2174" s="65"/>
      <c r="H2174" s="110"/>
      <c r="I2174" s="110"/>
      <c r="J2174" s="39" t="s">
        <v>334</v>
      </c>
      <c r="K2174" s="112"/>
      <c r="L2174" s="113"/>
      <c r="M2174" s="62"/>
      <c r="N2174" s="28" t="e">
        <f t="shared" si="8"/>
        <v>#VALUE!</v>
      </c>
      <c r="O2174" s="65"/>
      <c r="P2174" s="29" t="s">
        <v>334</v>
      </c>
      <c r="Q2174" s="55"/>
      <c r="R2174" s="31" t="e">
        <f t="shared" si="9"/>
        <v>#VALUE!</v>
      </c>
      <c r="S2174" s="66"/>
      <c r="T2174" s="32" t="e">
        <f t="shared" si="10"/>
        <v>#VALUE!</v>
      </c>
      <c r="U2174" s="57"/>
      <c r="V2174" s="58"/>
      <c r="W2174" s="58"/>
      <c r="X2174" s="30" t="e">
        <f t="shared" si="11"/>
        <v>#N/A</v>
      </c>
      <c r="Y2174" s="30" t="e">
        <f t="shared" si="12"/>
        <v>#N/A</v>
      </c>
      <c r="Z2174" s="35" t="e">
        <f t="shared" si="13"/>
        <v>#VALUE!</v>
      </c>
      <c r="AA2174" s="29" t="e">
        <f t="shared" si="14"/>
        <v>#VALUE!</v>
      </c>
      <c r="AB2174" s="36" t="e">
        <f t="shared" si="15"/>
        <v>#VALUE!</v>
      </c>
      <c r="AC2174" s="37" t="b">
        <v>0</v>
      </c>
      <c r="AD2174" s="61" t="str">
        <f t="shared" si="16"/>
        <v>USD</v>
      </c>
      <c r="AE2174" s="37"/>
      <c r="AF2174" s="37" t="e">
        <f t="array" ref="AF2174">INDEX('Deal Info'!D:D, MATCH(A2174,'Deal Info'!A:A, 0))</f>
        <v>#N/A</v>
      </c>
      <c r="AG2174" s="38" t="e">
        <f t="array" ref="AG2174">INDEX('Deal Info'!G:G, MATCH(A2174,'Deal Info'!A:A, 0))</f>
        <v>#N/A</v>
      </c>
    </row>
    <row r="2175" spans="1:33" ht="14.25" hidden="1" x14ac:dyDescent="0.2">
      <c r="A2175" s="18" t="b">
        <f t="array" ref="A2175">IF(G2175='Room Info'!$B$1, INDEX('Room Info'!$A$2:$A2446, MATCH(B2175,'Room Info'!$B$2:$B2446, 0)),IF(G2175='Room Info'!$C$1, INDEX('Room Info'!$A$2:$A2446, MATCH(B2175,'Room Info'!$C$2:$C2446, 0)),IF(G2175='Room Info'!$D$1, INDEX('Room Info'!$A$2:$A2446, MATCH(B2175,'Room Info'!$D$2:$D2446, 0)),IF(G2175='Room Info'!$E$1, INDEX('Room Info'!$A$2:$A2446, MATCH(B2175,'Room Info'!$E$2:$E2446, 0)),IF(G2175='Room Info'!$F$1, INDEX('Room Info'!$A$2:$A2446, MATCH(B2175,'Room Info'!$F$2:$F2446, 0)),IF(G2175='Room Info'!$H$1, INDEX('Room Info'!$A$2:$A2446, MATCH(B2175,'Room Info'!$H$2:$H2446, 0)),IF(G2175='Room Info'!$G$1, INDEX('Room Info'!$A$2:$A2446, MATCH(B2175,'Room Info'!$G$2:$G2446, 0)))))))))</f>
        <v>0</v>
      </c>
      <c r="B2175" s="96"/>
      <c r="C2175" s="111"/>
      <c r="D2175" s="111"/>
      <c r="E2175" s="80"/>
      <c r="F2175" s="133"/>
      <c r="G2175" s="65"/>
      <c r="H2175" s="110"/>
      <c r="I2175" s="110"/>
      <c r="J2175" s="39" t="s">
        <v>334</v>
      </c>
      <c r="K2175" s="112"/>
      <c r="L2175" s="113"/>
      <c r="M2175" s="62"/>
      <c r="N2175" s="28" t="e">
        <f t="shared" si="8"/>
        <v>#VALUE!</v>
      </c>
      <c r="O2175" s="65"/>
      <c r="P2175" s="29" t="s">
        <v>334</v>
      </c>
      <c r="Q2175" s="55"/>
      <c r="R2175" s="31" t="e">
        <f t="shared" si="9"/>
        <v>#VALUE!</v>
      </c>
      <c r="S2175" s="66"/>
      <c r="T2175" s="32" t="e">
        <f t="shared" si="10"/>
        <v>#VALUE!</v>
      </c>
      <c r="U2175" s="57"/>
      <c r="V2175" s="58"/>
      <c r="W2175" s="58"/>
      <c r="X2175" s="30" t="e">
        <f t="shared" si="11"/>
        <v>#N/A</v>
      </c>
      <c r="Y2175" s="30" t="e">
        <f t="shared" si="12"/>
        <v>#N/A</v>
      </c>
      <c r="Z2175" s="35" t="e">
        <f t="shared" si="13"/>
        <v>#VALUE!</v>
      </c>
      <c r="AA2175" s="29" t="e">
        <f t="shared" si="14"/>
        <v>#VALUE!</v>
      </c>
      <c r="AB2175" s="36" t="e">
        <f t="shared" si="15"/>
        <v>#VALUE!</v>
      </c>
      <c r="AC2175" s="37" t="b">
        <v>0</v>
      </c>
      <c r="AD2175" s="61" t="str">
        <f t="shared" si="16"/>
        <v>USD</v>
      </c>
      <c r="AE2175" s="37"/>
      <c r="AF2175" s="37" t="e">
        <f t="array" ref="AF2175">INDEX('Deal Info'!D:D, MATCH(A2175,'Deal Info'!A:A, 0))</f>
        <v>#N/A</v>
      </c>
      <c r="AG2175" s="38" t="e">
        <f t="array" ref="AG2175">INDEX('Deal Info'!G:G, MATCH(A2175,'Deal Info'!A:A, 0))</f>
        <v>#N/A</v>
      </c>
    </row>
    <row r="2176" spans="1:33" ht="14.25" hidden="1" x14ac:dyDescent="0.2">
      <c r="A2176" s="18" t="b">
        <f t="array" ref="A2176">IF(G2176='Room Info'!$B$1, INDEX('Room Info'!$A$2:$A2446, MATCH(B2176,'Room Info'!$B$2:$B2446, 0)),IF(G2176='Room Info'!$C$1, INDEX('Room Info'!$A$2:$A2446, MATCH(B2176,'Room Info'!$C$2:$C2446, 0)),IF(G2176='Room Info'!$D$1, INDEX('Room Info'!$A$2:$A2446, MATCH(B2176,'Room Info'!$D$2:$D2446, 0)),IF(G2176='Room Info'!$E$1, INDEX('Room Info'!$A$2:$A2446, MATCH(B2176,'Room Info'!$E$2:$E2446, 0)),IF(G2176='Room Info'!$F$1, INDEX('Room Info'!$A$2:$A2446, MATCH(B2176,'Room Info'!$F$2:$F2446, 0)),IF(G2176='Room Info'!$H$1, INDEX('Room Info'!$A$2:$A2446, MATCH(B2176,'Room Info'!$H$2:$H2446, 0)),IF(G2176='Room Info'!$G$1, INDEX('Room Info'!$A$2:$A2446, MATCH(B2176,'Room Info'!$G$2:$G2446, 0)))))))))</f>
        <v>0</v>
      </c>
      <c r="B2176" s="96"/>
      <c r="C2176" s="111"/>
      <c r="D2176" s="111"/>
      <c r="E2176" s="80"/>
      <c r="F2176" s="133"/>
      <c r="G2176" s="65"/>
      <c r="H2176" s="110"/>
      <c r="I2176" s="110"/>
      <c r="J2176" s="39" t="s">
        <v>334</v>
      </c>
      <c r="K2176" s="112"/>
      <c r="L2176" s="113"/>
      <c r="M2176" s="62"/>
      <c r="N2176" s="28" t="e">
        <f t="shared" si="8"/>
        <v>#VALUE!</v>
      </c>
      <c r="O2176" s="65"/>
      <c r="P2176" s="29" t="s">
        <v>334</v>
      </c>
      <c r="Q2176" s="55"/>
      <c r="R2176" s="31" t="e">
        <f t="shared" si="9"/>
        <v>#VALUE!</v>
      </c>
      <c r="S2176" s="66"/>
      <c r="T2176" s="32" t="e">
        <f t="shared" si="10"/>
        <v>#VALUE!</v>
      </c>
      <c r="U2176" s="57"/>
      <c r="V2176" s="58"/>
      <c r="W2176" s="58"/>
      <c r="X2176" s="30" t="e">
        <f t="shared" si="11"/>
        <v>#N/A</v>
      </c>
      <c r="Y2176" s="30" t="e">
        <f t="shared" si="12"/>
        <v>#N/A</v>
      </c>
      <c r="Z2176" s="35" t="e">
        <f t="shared" si="13"/>
        <v>#VALUE!</v>
      </c>
      <c r="AA2176" s="29" t="e">
        <f t="shared" si="14"/>
        <v>#VALUE!</v>
      </c>
      <c r="AB2176" s="36" t="e">
        <f t="shared" si="15"/>
        <v>#VALUE!</v>
      </c>
      <c r="AC2176" s="37" t="b">
        <v>0</v>
      </c>
      <c r="AD2176" s="61" t="str">
        <f t="shared" si="16"/>
        <v>USD</v>
      </c>
      <c r="AE2176" s="37"/>
      <c r="AF2176" s="37" t="e">
        <f t="array" ref="AF2176">INDEX('Deal Info'!D:D, MATCH(A2176,'Deal Info'!A:A, 0))</f>
        <v>#N/A</v>
      </c>
      <c r="AG2176" s="38" t="e">
        <f t="array" ref="AG2176">INDEX('Deal Info'!G:G, MATCH(A2176,'Deal Info'!A:A, 0))</f>
        <v>#N/A</v>
      </c>
    </row>
    <row r="2177" spans="1:33" ht="14.25" hidden="1" x14ac:dyDescent="0.2">
      <c r="A2177" s="18" t="b">
        <f t="array" ref="A2177">IF(G2177='Room Info'!$B$1, INDEX('Room Info'!$A$2:$A2446, MATCH(B2177,'Room Info'!$B$2:$B2446, 0)),IF(G2177='Room Info'!$C$1, INDEX('Room Info'!$A$2:$A2446, MATCH(B2177,'Room Info'!$C$2:$C2446, 0)),IF(G2177='Room Info'!$D$1, INDEX('Room Info'!$A$2:$A2446, MATCH(B2177,'Room Info'!$D$2:$D2446, 0)),IF(G2177='Room Info'!$E$1, INDEX('Room Info'!$A$2:$A2446, MATCH(B2177,'Room Info'!$E$2:$E2446, 0)),IF(G2177='Room Info'!$F$1, INDEX('Room Info'!$A$2:$A2446, MATCH(B2177,'Room Info'!$F$2:$F2446, 0)),IF(G2177='Room Info'!$H$1, INDEX('Room Info'!$A$2:$A2446, MATCH(B2177,'Room Info'!$H$2:$H2446, 0)),IF(G2177='Room Info'!$G$1, INDEX('Room Info'!$A$2:$A2446, MATCH(B2177,'Room Info'!$G$2:$G2446, 0)))))))))</f>
        <v>0</v>
      </c>
      <c r="B2177" s="96"/>
      <c r="C2177" s="111"/>
      <c r="D2177" s="111"/>
      <c r="E2177" s="80"/>
      <c r="F2177" s="133"/>
      <c r="G2177" s="65"/>
      <c r="H2177" s="110"/>
      <c r="I2177" s="110"/>
      <c r="J2177" s="39" t="s">
        <v>334</v>
      </c>
      <c r="K2177" s="134"/>
      <c r="L2177" s="135"/>
      <c r="M2177" s="62"/>
      <c r="N2177" s="28" t="e">
        <f t="shared" si="8"/>
        <v>#VALUE!</v>
      </c>
      <c r="O2177" s="96"/>
      <c r="P2177" s="29" t="s">
        <v>334</v>
      </c>
      <c r="Q2177" s="55"/>
      <c r="R2177" s="31" t="e">
        <f t="shared" si="9"/>
        <v>#VALUE!</v>
      </c>
      <c r="S2177" s="97"/>
      <c r="T2177" s="32" t="e">
        <f t="shared" si="10"/>
        <v>#VALUE!</v>
      </c>
      <c r="U2177" s="57"/>
      <c r="V2177" s="58"/>
      <c r="W2177" s="58"/>
      <c r="X2177" s="30" t="e">
        <f t="shared" si="11"/>
        <v>#N/A</v>
      </c>
      <c r="Y2177" s="30" t="e">
        <f t="shared" si="12"/>
        <v>#N/A</v>
      </c>
      <c r="Z2177" s="35" t="e">
        <f t="shared" si="13"/>
        <v>#VALUE!</v>
      </c>
      <c r="AA2177" s="29" t="e">
        <f t="shared" si="14"/>
        <v>#VALUE!</v>
      </c>
      <c r="AB2177" s="36" t="e">
        <f t="shared" si="15"/>
        <v>#VALUE!</v>
      </c>
      <c r="AC2177" s="37" t="b">
        <v>0</v>
      </c>
      <c r="AD2177" s="61" t="str">
        <f t="shared" si="16"/>
        <v>USD</v>
      </c>
      <c r="AE2177" s="37"/>
      <c r="AF2177" s="37" t="e">
        <f t="array" ref="AF2177">INDEX('Deal Info'!D:D, MATCH(A2177,'Deal Info'!A:A, 0))</f>
        <v>#N/A</v>
      </c>
      <c r="AG2177" s="38" t="e">
        <f t="array" ref="AG2177">INDEX('Deal Info'!G:G, MATCH(A2177,'Deal Info'!A:A, 0))</f>
        <v>#N/A</v>
      </c>
    </row>
    <row r="2178" spans="1:33" ht="14.25" hidden="1" x14ac:dyDescent="0.2">
      <c r="A2178" s="18" t="b">
        <f t="array" ref="A2178">IF(G2178='Room Info'!$B$1, INDEX('Room Info'!$A$2:$A2446, MATCH(B2178,'Room Info'!$B$2:$B2446, 0)),IF(G2178='Room Info'!$C$1, INDEX('Room Info'!$A$2:$A2446, MATCH(B2178,'Room Info'!$C$2:$C2446, 0)),IF(G2178='Room Info'!$D$1, INDEX('Room Info'!$A$2:$A2446, MATCH(B2178,'Room Info'!$D$2:$D2446, 0)),IF(G2178='Room Info'!$E$1, INDEX('Room Info'!$A$2:$A2446, MATCH(B2178,'Room Info'!$E$2:$E2446, 0)),IF(G2178='Room Info'!$F$1, INDEX('Room Info'!$A$2:$A2446, MATCH(B2178,'Room Info'!$F$2:$F2446, 0)),IF(G2178='Room Info'!$H$1, INDEX('Room Info'!$A$2:$A2446, MATCH(B2178,'Room Info'!$H$2:$H2446, 0)),IF(G2178='Room Info'!$G$1, INDEX('Room Info'!$A$2:$A2446, MATCH(B2178,'Room Info'!$G$2:$G2446, 0)))))))))</f>
        <v>0</v>
      </c>
      <c r="B2178" s="96"/>
      <c r="C2178" s="111"/>
      <c r="D2178" s="111"/>
      <c r="E2178" s="80"/>
      <c r="F2178" s="133"/>
      <c r="G2178" s="65"/>
      <c r="H2178" s="110"/>
      <c r="I2178" s="110"/>
      <c r="J2178" s="39" t="s">
        <v>334</v>
      </c>
      <c r="K2178" s="134"/>
      <c r="L2178" s="135"/>
      <c r="M2178" s="62"/>
      <c r="N2178" s="28" t="e">
        <f t="shared" si="8"/>
        <v>#VALUE!</v>
      </c>
      <c r="O2178" s="96"/>
      <c r="P2178" s="29" t="s">
        <v>334</v>
      </c>
      <c r="Q2178" s="55"/>
      <c r="R2178" s="31" t="e">
        <f t="shared" si="9"/>
        <v>#VALUE!</v>
      </c>
      <c r="S2178" s="97"/>
      <c r="T2178" s="32" t="e">
        <f t="shared" si="10"/>
        <v>#VALUE!</v>
      </c>
      <c r="U2178" s="57"/>
      <c r="V2178" s="58"/>
      <c r="W2178" s="58"/>
      <c r="X2178" s="30" t="e">
        <f t="shared" si="11"/>
        <v>#N/A</v>
      </c>
      <c r="Y2178" s="30" t="e">
        <f t="shared" si="12"/>
        <v>#N/A</v>
      </c>
      <c r="Z2178" s="35" t="e">
        <f t="shared" si="13"/>
        <v>#VALUE!</v>
      </c>
      <c r="AA2178" s="29" t="e">
        <f t="shared" si="14"/>
        <v>#VALUE!</v>
      </c>
      <c r="AB2178" s="36" t="e">
        <f t="shared" si="15"/>
        <v>#VALUE!</v>
      </c>
      <c r="AC2178" s="37" t="b">
        <v>0</v>
      </c>
      <c r="AD2178" s="61" t="str">
        <f t="shared" si="16"/>
        <v>USD</v>
      </c>
      <c r="AE2178" s="37"/>
      <c r="AF2178" s="37" t="e">
        <f t="array" ref="AF2178">INDEX('Deal Info'!D:D, MATCH(A2178,'Deal Info'!A:A, 0))</f>
        <v>#N/A</v>
      </c>
      <c r="AG2178" s="38" t="e">
        <f t="array" ref="AG2178">INDEX('Deal Info'!G:G, MATCH(A2178,'Deal Info'!A:A, 0))</f>
        <v>#N/A</v>
      </c>
    </row>
    <row r="2179" spans="1:33" ht="14.25" hidden="1" x14ac:dyDescent="0.2">
      <c r="A2179" s="18" t="b">
        <f t="array" ref="A2179">IF(G2179='Room Info'!$B$1, INDEX('Room Info'!$A$2:$A2446, MATCH(B2179,'Room Info'!$B$2:$B2446, 0)),IF(G2179='Room Info'!$C$1, INDEX('Room Info'!$A$2:$A2446, MATCH(B2179,'Room Info'!$C$2:$C2446, 0)),IF(G2179='Room Info'!$D$1, INDEX('Room Info'!$A$2:$A2446, MATCH(B2179,'Room Info'!$D$2:$D2446, 0)),IF(G2179='Room Info'!$E$1, INDEX('Room Info'!$A$2:$A2446, MATCH(B2179,'Room Info'!$E$2:$E2446, 0)),IF(G2179='Room Info'!$F$1, INDEX('Room Info'!$A$2:$A2446, MATCH(B2179,'Room Info'!$F$2:$F2446, 0)),IF(G2179='Room Info'!$H$1, INDEX('Room Info'!$A$2:$A2446, MATCH(B2179,'Room Info'!$H$2:$H2446, 0)),IF(G2179='Room Info'!$G$1, INDEX('Room Info'!$A$2:$A2446, MATCH(B2179,'Room Info'!$G$2:$G2446, 0)))))))))</f>
        <v>0</v>
      </c>
      <c r="B2179" s="96"/>
      <c r="C2179" s="111"/>
      <c r="D2179" s="111"/>
      <c r="E2179" s="80"/>
      <c r="F2179" s="133"/>
      <c r="G2179" s="65"/>
      <c r="H2179" s="110"/>
      <c r="I2179" s="110"/>
      <c r="J2179" s="39" t="s">
        <v>334</v>
      </c>
      <c r="K2179" s="134"/>
      <c r="L2179" s="135"/>
      <c r="M2179" s="62"/>
      <c r="N2179" s="28" t="e">
        <f t="shared" si="8"/>
        <v>#VALUE!</v>
      </c>
      <c r="O2179" s="96"/>
      <c r="P2179" s="29" t="s">
        <v>334</v>
      </c>
      <c r="Q2179" s="55"/>
      <c r="R2179" s="31" t="e">
        <f t="shared" si="9"/>
        <v>#VALUE!</v>
      </c>
      <c r="S2179" s="97"/>
      <c r="T2179" s="32" t="e">
        <f t="shared" si="10"/>
        <v>#VALUE!</v>
      </c>
      <c r="U2179" s="57"/>
      <c r="V2179" s="58"/>
      <c r="W2179" s="58"/>
      <c r="X2179" s="30" t="e">
        <f t="shared" si="11"/>
        <v>#N/A</v>
      </c>
      <c r="Y2179" s="30" t="e">
        <f t="shared" si="12"/>
        <v>#N/A</v>
      </c>
      <c r="Z2179" s="35" t="e">
        <f t="shared" si="13"/>
        <v>#VALUE!</v>
      </c>
      <c r="AA2179" s="29" t="e">
        <f t="shared" si="14"/>
        <v>#VALUE!</v>
      </c>
      <c r="AB2179" s="36" t="e">
        <f t="shared" si="15"/>
        <v>#VALUE!</v>
      </c>
      <c r="AC2179" s="37" t="b">
        <v>0</v>
      </c>
      <c r="AD2179" s="61" t="str">
        <f t="shared" si="16"/>
        <v>USD</v>
      </c>
      <c r="AE2179" s="37"/>
      <c r="AF2179" s="37" t="e">
        <f t="array" ref="AF2179">INDEX('Deal Info'!D:D, MATCH(A2179,'Deal Info'!A:A, 0))</f>
        <v>#N/A</v>
      </c>
      <c r="AG2179" s="38" t="e">
        <f t="array" ref="AG2179">INDEX('Deal Info'!G:G, MATCH(A2179,'Deal Info'!A:A, 0))</f>
        <v>#N/A</v>
      </c>
    </row>
    <row r="2180" spans="1:33" ht="14.25" hidden="1" x14ac:dyDescent="0.2">
      <c r="A2180" s="18" t="b">
        <f t="array" ref="A2180">IF(G2180='Room Info'!$B$1, INDEX('Room Info'!$A$2:$A2446, MATCH(B2180,'Room Info'!$B$2:$B2446, 0)),IF(G2180='Room Info'!$C$1, INDEX('Room Info'!$A$2:$A2446, MATCH(B2180,'Room Info'!$C$2:$C2446, 0)),IF(G2180='Room Info'!$D$1, INDEX('Room Info'!$A$2:$A2446, MATCH(B2180,'Room Info'!$D$2:$D2446, 0)),IF(G2180='Room Info'!$E$1, INDEX('Room Info'!$A$2:$A2446, MATCH(B2180,'Room Info'!$E$2:$E2446, 0)),IF(G2180='Room Info'!$F$1, INDEX('Room Info'!$A$2:$A2446, MATCH(B2180,'Room Info'!$F$2:$F2446, 0)),IF(G2180='Room Info'!$H$1, INDEX('Room Info'!$A$2:$A2446, MATCH(B2180,'Room Info'!$H$2:$H2446, 0)),IF(G2180='Room Info'!$G$1, INDEX('Room Info'!$A$2:$A2446, MATCH(B2180,'Room Info'!$G$2:$G2446, 0)))))))))</f>
        <v>0</v>
      </c>
      <c r="B2180" s="96"/>
      <c r="C2180" s="111"/>
      <c r="D2180" s="111"/>
      <c r="E2180" s="80"/>
      <c r="F2180" s="133"/>
      <c r="G2180" s="65"/>
      <c r="H2180" s="110"/>
      <c r="I2180" s="110"/>
      <c r="J2180" s="39" t="s">
        <v>334</v>
      </c>
      <c r="K2180" s="134"/>
      <c r="L2180" s="135"/>
      <c r="M2180" s="62"/>
      <c r="N2180" s="28" t="e">
        <f t="shared" si="8"/>
        <v>#VALUE!</v>
      </c>
      <c r="O2180" s="96"/>
      <c r="P2180" s="29" t="s">
        <v>334</v>
      </c>
      <c r="Q2180" s="55"/>
      <c r="R2180" s="31" t="e">
        <f t="shared" si="9"/>
        <v>#VALUE!</v>
      </c>
      <c r="S2180" s="97"/>
      <c r="T2180" s="32" t="e">
        <f t="shared" si="10"/>
        <v>#VALUE!</v>
      </c>
      <c r="U2180" s="57"/>
      <c r="V2180" s="58"/>
      <c r="W2180" s="58"/>
      <c r="X2180" s="30" t="e">
        <f t="shared" si="11"/>
        <v>#N/A</v>
      </c>
      <c r="Y2180" s="30" t="e">
        <f t="shared" si="12"/>
        <v>#N/A</v>
      </c>
      <c r="Z2180" s="35" t="e">
        <f t="shared" si="13"/>
        <v>#VALUE!</v>
      </c>
      <c r="AA2180" s="29" t="e">
        <f t="shared" si="14"/>
        <v>#VALUE!</v>
      </c>
      <c r="AB2180" s="36" t="e">
        <f t="shared" si="15"/>
        <v>#VALUE!</v>
      </c>
      <c r="AC2180" s="37" t="b">
        <v>0</v>
      </c>
      <c r="AD2180" s="61" t="str">
        <f t="shared" si="16"/>
        <v>USD</v>
      </c>
      <c r="AE2180" s="37"/>
      <c r="AF2180" s="37" t="e">
        <f t="array" ref="AF2180">INDEX('Deal Info'!D:D, MATCH(A2180,'Deal Info'!A:A, 0))</f>
        <v>#N/A</v>
      </c>
      <c r="AG2180" s="38" t="e">
        <f t="array" ref="AG2180">INDEX('Deal Info'!G:G, MATCH(A2180,'Deal Info'!A:A, 0))</f>
        <v>#N/A</v>
      </c>
    </row>
    <row r="2181" spans="1:33" ht="14.25" hidden="1" x14ac:dyDescent="0.2">
      <c r="A2181" s="18" t="b">
        <f t="array" ref="A2181">IF(G2181='Room Info'!$B$1, INDEX('Room Info'!$A$2:$A2446, MATCH(B2181,'Room Info'!$B$2:$B2446, 0)),IF(G2181='Room Info'!$C$1, INDEX('Room Info'!$A$2:$A2446, MATCH(B2181,'Room Info'!$C$2:$C2446, 0)),IF(G2181='Room Info'!$D$1, INDEX('Room Info'!$A$2:$A2446, MATCH(B2181,'Room Info'!$D$2:$D2446, 0)),IF(G2181='Room Info'!$E$1, INDEX('Room Info'!$A$2:$A2446, MATCH(B2181,'Room Info'!$E$2:$E2446, 0)),IF(G2181='Room Info'!$F$1, INDEX('Room Info'!$A$2:$A2446, MATCH(B2181,'Room Info'!$F$2:$F2446, 0)),IF(G2181='Room Info'!$H$1, INDEX('Room Info'!$A$2:$A2446, MATCH(B2181,'Room Info'!$H$2:$H2446, 0)),IF(G2181='Room Info'!$G$1, INDEX('Room Info'!$A$2:$A2446, MATCH(B2181,'Room Info'!$G$2:$G2446, 0)))))))))</f>
        <v>0</v>
      </c>
      <c r="B2181" s="96"/>
      <c r="C2181" s="111"/>
      <c r="D2181" s="111"/>
      <c r="E2181" s="80"/>
      <c r="F2181" s="133"/>
      <c r="G2181" s="65"/>
      <c r="H2181" s="110"/>
      <c r="I2181" s="110"/>
      <c r="J2181" s="39" t="s">
        <v>334</v>
      </c>
      <c r="K2181" s="134"/>
      <c r="L2181" s="135"/>
      <c r="M2181" s="62"/>
      <c r="N2181" s="28" t="e">
        <f t="shared" si="8"/>
        <v>#VALUE!</v>
      </c>
      <c r="O2181" s="96"/>
      <c r="P2181" s="29" t="s">
        <v>334</v>
      </c>
      <c r="Q2181" s="55"/>
      <c r="R2181" s="31" t="e">
        <f t="shared" si="9"/>
        <v>#VALUE!</v>
      </c>
      <c r="S2181" s="97"/>
      <c r="T2181" s="32" t="e">
        <f t="shared" si="10"/>
        <v>#VALUE!</v>
      </c>
      <c r="U2181" s="57"/>
      <c r="V2181" s="58"/>
      <c r="W2181" s="58"/>
      <c r="X2181" s="30" t="e">
        <f t="shared" si="11"/>
        <v>#N/A</v>
      </c>
      <c r="Y2181" s="30" t="e">
        <f t="shared" si="12"/>
        <v>#N/A</v>
      </c>
      <c r="Z2181" s="35" t="e">
        <f t="shared" si="13"/>
        <v>#VALUE!</v>
      </c>
      <c r="AA2181" s="29" t="e">
        <f t="shared" si="14"/>
        <v>#VALUE!</v>
      </c>
      <c r="AB2181" s="36" t="e">
        <f t="shared" si="15"/>
        <v>#VALUE!</v>
      </c>
      <c r="AC2181" s="37" t="b">
        <v>0</v>
      </c>
      <c r="AD2181" s="61" t="str">
        <f t="shared" si="16"/>
        <v>USD</v>
      </c>
      <c r="AE2181" s="37"/>
      <c r="AF2181" s="37" t="e">
        <f t="array" ref="AF2181">INDEX('Deal Info'!D:D, MATCH(A2181,'Deal Info'!A:A, 0))</f>
        <v>#N/A</v>
      </c>
      <c r="AG2181" s="38" t="e">
        <f t="array" ref="AG2181">INDEX('Deal Info'!G:G, MATCH(A2181,'Deal Info'!A:A, 0))</f>
        <v>#N/A</v>
      </c>
    </row>
    <row r="2182" spans="1:33" ht="14.25" hidden="1" x14ac:dyDescent="0.2">
      <c r="A2182" s="18" t="b">
        <f t="array" ref="A2182">IF(G2182='Room Info'!$B$1, INDEX('Room Info'!$A$2:$A2446, MATCH(B2182,'Room Info'!$B$2:$B2446, 0)),IF(G2182='Room Info'!$C$1, INDEX('Room Info'!$A$2:$A2446, MATCH(B2182,'Room Info'!$C$2:$C2446, 0)),IF(G2182='Room Info'!$D$1, INDEX('Room Info'!$A$2:$A2446, MATCH(B2182,'Room Info'!$D$2:$D2446, 0)),IF(G2182='Room Info'!$E$1, INDEX('Room Info'!$A$2:$A2446, MATCH(B2182,'Room Info'!$E$2:$E2446, 0)),IF(G2182='Room Info'!$F$1, INDEX('Room Info'!$A$2:$A2446, MATCH(B2182,'Room Info'!$F$2:$F2446, 0)),IF(G2182='Room Info'!$H$1, INDEX('Room Info'!$A$2:$A2446, MATCH(B2182,'Room Info'!$H$2:$H2446, 0)),IF(G2182='Room Info'!$G$1, INDEX('Room Info'!$A$2:$A2446, MATCH(B2182,'Room Info'!$G$2:$G2446, 0)))))))))</f>
        <v>0</v>
      </c>
      <c r="B2182" s="96"/>
      <c r="C2182" s="111"/>
      <c r="D2182" s="111"/>
      <c r="E2182" s="80"/>
      <c r="F2182" s="133"/>
      <c r="G2182" s="65"/>
      <c r="H2182" s="110"/>
      <c r="I2182" s="110"/>
      <c r="J2182" s="39" t="s">
        <v>334</v>
      </c>
      <c r="K2182" s="134"/>
      <c r="L2182" s="135"/>
      <c r="M2182" s="62"/>
      <c r="N2182" s="28" t="e">
        <f t="shared" si="8"/>
        <v>#VALUE!</v>
      </c>
      <c r="O2182" s="96"/>
      <c r="P2182" s="29" t="s">
        <v>334</v>
      </c>
      <c r="Q2182" s="55"/>
      <c r="R2182" s="31" t="e">
        <f t="shared" si="9"/>
        <v>#VALUE!</v>
      </c>
      <c r="S2182" s="97"/>
      <c r="T2182" s="32" t="e">
        <f t="shared" si="10"/>
        <v>#VALUE!</v>
      </c>
      <c r="U2182" s="57"/>
      <c r="V2182" s="58"/>
      <c r="W2182" s="58"/>
      <c r="X2182" s="30" t="e">
        <f t="shared" si="11"/>
        <v>#N/A</v>
      </c>
      <c r="Y2182" s="30" t="e">
        <f t="shared" si="12"/>
        <v>#N/A</v>
      </c>
      <c r="Z2182" s="35" t="e">
        <f t="shared" si="13"/>
        <v>#VALUE!</v>
      </c>
      <c r="AA2182" s="29" t="e">
        <f t="shared" si="14"/>
        <v>#VALUE!</v>
      </c>
      <c r="AB2182" s="36" t="e">
        <f t="shared" si="15"/>
        <v>#VALUE!</v>
      </c>
      <c r="AC2182" s="37" t="b">
        <v>0</v>
      </c>
      <c r="AD2182" s="61" t="str">
        <f t="shared" si="16"/>
        <v>USD</v>
      </c>
      <c r="AE2182" s="37"/>
      <c r="AF2182" s="37" t="e">
        <f t="array" ref="AF2182">INDEX('Deal Info'!D:D, MATCH(A2182,'Deal Info'!A:A, 0))</f>
        <v>#N/A</v>
      </c>
      <c r="AG2182" s="38" t="e">
        <f t="array" ref="AG2182">INDEX('Deal Info'!G:G, MATCH(A2182,'Deal Info'!A:A, 0))</f>
        <v>#N/A</v>
      </c>
    </row>
    <row r="2183" spans="1:33" ht="14.25" hidden="1" x14ac:dyDescent="0.2">
      <c r="A2183" s="18" t="b">
        <f t="array" ref="A2183">IF(G2183='Room Info'!$B$1, INDEX('Room Info'!$A$2:$A2446, MATCH(B2183,'Room Info'!$B$2:$B2446, 0)),IF(G2183='Room Info'!$C$1, INDEX('Room Info'!$A$2:$A2446, MATCH(B2183,'Room Info'!$C$2:$C2446, 0)),IF(G2183='Room Info'!$D$1, INDEX('Room Info'!$A$2:$A2446, MATCH(B2183,'Room Info'!$D$2:$D2446, 0)),IF(G2183='Room Info'!$E$1, INDEX('Room Info'!$A$2:$A2446, MATCH(B2183,'Room Info'!$E$2:$E2446, 0)),IF(G2183='Room Info'!$F$1, INDEX('Room Info'!$A$2:$A2446, MATCH(B2183,'Room Info'!$F$2:$F2446, 0)),IF(G2183='Room Info'!$H$1, INDEX('Room Info'!$A$2:$A2446, MATCH(B2183,'Room Info'!$H$2:$H2446, 0)),IF(G2183='Room Info'!$G$1, INDEX('Room Info'!$A$2:$A2446, MATCH(B2183,'Room Info'!$G$2:$G2446, 0)))))))))</f>
        <v>0</v>
      </c>
      <c r="B2183" s="96"/>
      <c r="C2183" s="111"/>
      <c r="D2183" s="111"/>
      <c r="E2183" s="80"/>
      <c r="F2183" s="133"/>
      <c r="G2183" s="65"/>
      <c r="H2183" s="110"/>
      <c r="I2183" s="110"/>
      <c r="J2183" s="39" t="s">
        <v>334</v>
      </c>
      <c r="K2183" s="112"/>
      <c r="L2183" s="113"/>
      <c r="M2183" s="62"/>
      <c r="N2183" s="28" t="e">
        <f t="shared" si="8"/>
        <v>#VALUE!</v>
      </c>
      <c r="O2183" s="65"/>
      <c r="P2183" s="29" t="s">
        <v>334</v>
      </c>
      <c r="Q2183" s="55"/>
      <c r="R2183" s="31" t="e">
        <f t="shared" si="9"/>
        <v>#VALUE!</v>
      </c>
      <c r="S2183" s="66"/>
      <c r="T2183" s="32" t="e">
        <f t="shared" si="10"/>
        <v>#VALUE!</v>
      </c>
      <c r="U2183" s="57"/>
      <c r="V2183" s="58"/>
      <c r="W2183" s="58"/>
      <c r="X2183" s="30" t="e">
        <f t="shared" si="11"/>
        <v>#N/A</v>
      </c>
      <c r="Y2183" s="30" t="e">
        <f t="shared" si="12"/>
        <v>#N/A</v>
      </c>
      <c r="Z2183" s="35" t="e">
        <f t="shared" si="13"/>
        <v>#VALUE!</v>
      </c>
      <c r="AA2183" s="29" t="e">
        <f t="shared" si="14"/>
        <v>#VALUE!</v>
      </c>
      <c r="AB2183" s="36" t="e">
        <f t="shared" si="15"/>
        <v>#VALUE!</v>
      </c>
      <c r="AC2183" s="37" t="b">
        <v>0</v>
      </c>
      <c r="AD2183" s="61" t="str">
        <f t="shared" si="16"/>
        <v>USD</v>
      </c>
      <c r="AE2183" s="37"/>
      <c r="AF2183" s="37" t="e">
        <f t="array" ref="AF2183">INDEX('Deal Info'!D:D, MATCH(A2183,'Deal Info'!A:A, 0))</f>
        <v>#N/A</v>
      </c>
      <c r="AG2183" s="38" t="e">
        <f t="array" ref="AG2183">INDEX('Deal Info'!G:G, MATCH(A2183,'Deal Info'!A:A, 0))</f>
        <v>#N/A</v>
      </c>
    </row>
    <row r="2184" spans="1:33" ht="14.25" hidden="1" x14ac:dyDescent="0.2">
      <c r="A2184" s="18" t="b">
        <f t="array" ref="A2184">IF(G2184='Room Info'!$B$1, INDEX('Room Info'!$A$2:$A2446, MATCH(B2184,'Room Info'!$B$2:$B2446, 0)),IF(G2184='Room Info'!$C$1, INDEX('Room Info'!$A$2:$A2446, MATCH(B2184,'Room Info'!$C$2:$C2446, 0)),IF(G2184='Room Info'!$D$1, INDEX('Room Info'!$A$2:$A2446, MATCH(B2184,'Room Info'!$D$2:$D2446, 0)),IF(G2184='Room Info'!$E$1, INDEX('Room Info'!$A$2:$A2446, MATCH(B2184,'Room Info'!$E$2:$E2446, 0)),IF(G2184='Room Info'!$F$1, INDEX('Room Info'!$A$2:$A2446, MATCH(B2184,'Room Info'!$F$2:$F2446, 0)),IF(G2184='Room Info'!$H$1, INDEX('Room Info'!$A$2:$A2446, MATCH(B2184,'Room Info'!$H$2:$H2446, 0)),IF(G2184='Room Info'!$G$1, INDEX('Room Info'!$A$2:$A2446, MATCH(B2184,'Room Info'!$G$2:$G2446, 0)))))))))</f>
        <v>0</v>
      </c>
      <c r="B2184" s="96"/>
      <c r="C2184" s="111"/>
      <c r="D2184" s="111"/>
      <c r="E2184" s="80"/>
      <c r="F2184" s="133"/>
      <c r="G2184" s="65"/>
      <c r="H2184" s="110"/>
      <c r="I2184" s="110"/>
      <c r="J2184" s="39" t="s">
        <v>334</v>
      </c>
      <c r="K2184" s="112"/>
      <c r="L2184" s="113"/>
      <c r="M2184" s="62"/>
      <c r="N2184" s="28" t="e">
        <f t="shared" si="8"/>
        <v>#VALUE!</v>
      </c>
      <c r="O2184" s="65"/>
      <c r="P2184" s="29" t="s">
        <v>334</v>
      </c>
      <c r="Q2184" s="55"/>
      <c r="R2184" s="31" t="e">
        <f t="shared" si="9"/>
        <v>#VALUE!</v>
      </c>
      <c r="S2184" s="66"/>
      <c r="T2184" s="32" t="e">
        <f t="shared" si="10"/>
        <v>#VALUE!</v>
      </c>
      <c r="U2184" s="57"/>
      <c r="V2184" s="58"/>
      <c r="W2184" s="58"/>
      <c r="X2184" s="30" t="e">
        <f t="shared" si="11"/>
        <v>#N/A</v>
      </c>
      <c r="Y2184" s="30" t="e">
        <f t="shared" si="12"/>
        <v>#N/A</v>
      </c>
      <c r="Z2184" s="35" t="e">
        <f t="shared" si="13"/>
        <v>#VALUE!</v>
      </c>
      <c r="AA2184" s="29" t="e">
        <f t="shared" si="14"/>
        <v>#VALUE!</v>
      </c>
      <c r="AB2184" s="36" t="e">
        <f t="shared" si="15"/>
        <v>#VALUE!</v>
      </c>
      <c r="AC2184" s="37" t="b">
        <v>0</v>
      </c>
      <c r="AD2184" s="61" t="str">
        <f t="shared" si="16"/>
        <v>USD</v>
      </c>
      <c r="AE2184" s="37"/>
      <c r="AF2184" s="37" t="e">
        <f t="array" ref="AF2184">INDEX('Deal Info'!D:D, MATCH(A2184,'Deal Info'!A:A, 0))</f>
        <v>#N/A</v>
      </c>
      <c r="AG2184" s="38" t="e">
        <f t="array" ref="AG2184">INDEX('Deal Info'!G:G, MATCH(A2184,'Deal Info'!A:A, 0))</f>
        <v>#N/A</v>
      </c>
    </row>
    <row r="2185" spans="1:33" ht="14.25" hidden="1" x14ac:dyDescent="0.2">
      <c r="A2185" s="18" t="b">
        <f t="array" ref="A2185">IF(G2185='Room Info'!$B$1, INDEX('Room Info'!$A$2:$A2446, MATCH(B2185,'Room Info'!$B$2:$B2446, 0)),IF(G2185='Room Info'!$C$1, INDEX('Room Info'!$A$2:$A2446, MATCH(B2185,'Room Info'!$C$2:$C2446, 0)),IF(G2185='Room Info'!$D$1, INDEX('Room Info'!$A$2:$A2446, MATCH(B2185,'Room Info'!$D$2:$D2446, 0)),IF(G2185='Room Info'!$E$1, INDEX('Room Info'!$A$2:$A2446, MATCH(B2185,'Room Info'!$E$2:$E2446, 0)),IF(G2185='Room Info'!$F$1, INDEX('Room Info'!$A$2:$A2446, MATCH(B2185,'Room Info'!$F$2:$F2446, 0)),IF(G2185='Room Info'!$H$1, INDEX('Room Info'!$A$2:$A2446, MATCH(B2185,'Room Info'!$H$2:$H2446, 0)),IF(G2185='Room Info'!$G$1, INDEX('Room Info'!$A$2:$A2446, MATCH(B2185,'Room Info'!$G$2:$G2446, 0)))))))))</f>
        <v>0</v>
      </c>
      <c r="B2185" s="96"/>
      <c r="C2185" s="111"/>
      <c r="D2185" s="111"/>
      <c r="E2185" s="80"/>
      <c r="F2185" s="133"/>
      <c r="G2185" s="65"/>
      <c r="H2185" s="110"/>
      <c r="I2185" s="110"/>
      <c r="J2185" s="39" t="s">
        <v>334</v>
      </c>
      <c r="K2185" s="112"/>
      <c r="L2185" s="113"/>
      <c r="M2185" s="62"/>
      <c r="N2185" s="28" t="e">
        <f t="shared" si="8"/>
        <v>#VALUE!</v>
      </c>
      <c r="O2185" s="65"/>
      <c r="P2185" s="29" t="s">
        <v>334</v>
      </c>
      <c r="Q2185" s="55"/>
      <c r="R2185" s="31" t="e">
        <f t="shared" si="9"/>
        <v>#VALUE!</v>
      </c>
      <c r="S2185" s="66"/>
      <c r="T2185" s="32" t="e">
        <f t="shared" si="10"/>
        <v>#VALUE!</v>
      </c>
      <c r="U2185" s="57"/>
      <c r="V2185" s="58"/>
      <c r="W2185" s="58"/>
      <c r="X2185" s="30" t="e">
        <f t="shared" si="11"/>
        <v>#N/A</v>
      </c>
      <c r="Y2185" s="30" t="e">
        <f t="shared" si="12"/>
        <v>#N/A</v>
      </c>
      <c r="Z2185" s="35" t="e">
        <f t="shared" si="13"/>
        <v>#VALUE!</v>
      </c>
      <c r="AA2185" s="29" t="e">
        <f t="shared" si="14"/>
        <v>#VALUE!</v>
      </c>
      <c r="AB2185" s="36" t="e">
        <f t="shared" si="15"/>
        <v>#VALUE!</v>
      </c>
      <c r="AC2185" s="37" t="b">
        <v>0</v>
      </c>
      <c r="AD2185" s="61" t="str">
        <f t="shared" si="16"/>
        <v>USD</v>
      </c>
      <c r="AE2185" s="37"/>
      <c r="AF2185" s="37" t="e">
        <f t="array" ref="AF2185">INDEX('Deal Info'!D:D, MATCH(A2185,'Deal Info'!A:A, 0))</f>
        <v>#N/A</v>
      </c>
      <c r="AG2185" s="38" t="e">
        <f t="array" ref="AG2185">INDEX('Deal Info'!G:G, MATCH(A2185,'Deal Info'!A:A, 0))</f>
        <v>#N/A</v>
      </c>
    </row>
    <row r="2186" spans="1:33" ht="14.25" hidden="1" x14ac:dyDescent="0.2">
      <c r="A2186" s="18" t="b">
        <f t="array" ref="A2186">IF(G2186='Room Info'!$B$1, INDEX('Room Info'!$A$2:$A2446, MATCH(B2186,'Room Info'!$B$2:$B2446, 0)),IF(G2186='Room Info'!$C$1, INDEX('Room Info'!$A$2:$A2446, MATCH(B2186,'Room Info'!$C$2:$C2446, 0)),IF(G2186='Room Info'!$D$1, INDEX('Room Info'!$A$2:$A2446, MATCH(B2186,'Room Info'!$D$2:$D2446, 0)),IF(G2186='Room Info'!$E$1, INDEX('Room Info'!$A$2:$A2446, MATCH(B2186,'Room Info'!$E$2:$E2446, 0)),IF(G2186='Room Info'!$F$1, INDEX('Room Info'!$A$2:$A2446, MATCH(B2186,'Room Info'!$F$2:$F2446, 0)),IF(G2186='Room Info'!$H$1, INDEX('Room Info'!$A$2:$A2446, MATCH(B2186,'Room Info'!$H$2:$H2446, 0)),IF(G2186='Room Info'!$G$1, INDEX('Room Info'!$A$2:$A2446, MATCH(B2186,'Room Info'!$G$2:$G2446, 0)))))))))</f>
        <v>0</v>
      </c>
      <c r="B2186" s="96"/>
      <c r="C2186" s="136"/>
      <c r="D2186" s="136"/>
      <c r="E2186" s="137"/>
      <c r="F2186" s="133"/>
      <c r="G2186" s="96"/>
      <c r="H2186" s="100"/>
      <c r="I2186" s="100"/>
      <c r="J2186" s="39" t="s">
        <v>334</v>
      </c>
      <c r="K2186" s="134"/>
      <c r="L2186" s="135"/>
      <c r="M2186" s="79"/>
      <c r="N2186" s="28" t="e">
        <f t="shared" si="8"/>
        <v>#VALUE!</v>
      </c>
      <c r="O2186" s="96"/>
      <c r="P2186" s="29" t="s">
        <v>334</v>
      </c>
      <c r="Q2186" s="55"/>
      <c r="R2186" s="31" t="e">
        <f t="shared" si="9"/>
        <v>#VALUE!</v>
      </c>
      <c r="S2186" s="97"/>
      <c r="T2186" s="32" t="e">
        <f t="shared" si="10"/>
        <v>#VALUE!</v>
      </c>
      <c r="U2186" s="57"/>
      <c r="V2186" s="58"/>
      <c r="W2186" s="58"/>
      <c r="X2186" s="30" t="e">
        <f t="shared" si="11"/>
        <v>#N/A</v>
      </c>
      <c r="Y2186" s="30" t="e">
        <f t="shared" si="12"/>
        <v>#N/A</v>
      </c>
      <c r="Z2186" s="35" t="e">
        <f t="shared" si="13"/>
        <v>#VALUE!</v>
      </c>
      <c r="AA2186" s="29" t="e">
        <f t="shared" si="14"/>
        <v>#VALUE!</v>
      </c>
      <c r="AB2186" s="36" t="e">
        <f t="shared" si="15"/>
        <v>#VALUE!</v>
      </c>
      <c r="AC2186" s="37" t="b">
        <v>0</v>
      </c>
      <c r="AD2186" s="61" t="str">
        <f t="shared" si="16"/>
        <v>USD</v>
      </c>
      <c r="AE2186" s="37"/>
      <c r="AF2186" s="37" t="e">
        <f t="array" ref="AF2186">INDEX('Deal Info'!D:D, MATCH(A2186,'Deal Info'!A:A, 0))</f>
        <v>#N/A</v>
      </c>
      <c r="AG2186" s="38" t="e">
        <f t="array" ref="AG2186">INDEX('Deal Info'!G:G, MATCH(A2186,'Deal Info'!A:A, 0))</f>
        <v>#N/A</v>
      </c>
    </row>
    <row r="2187" spans="1:33" ht="14.25" hidden="1" x14ac:dyDescent="0.2">
      <c r="A2187" s="18" t="b">
        <f t="array" ref="A2187">IF(G2187='Room Info'!$B$1, INDEX('Room Info'!$A$2:$A2446, MATCH(B2187,'Room Info'!$B$2:$B2446, 0)),IF(G2187='Room Info'!$C$1, INDEX('Room Info'!$A$2:$A2446, MATCH(B2187,'Room Info'!$C$2:$C2446, 0)),IF(G2187='Room Info'!$D$1, INDEX('Room Info'!$A$2:$A2446, MATCH(B2187,'Room Info'!$D$2:$D2446, 0)),IF(G2187='Room Info'!$E$1, INDEX('Room Info'!$A$2:$A2446, MATCH(B2187,'Room Info'!$E$2:$E2446, 0)),IF(G2187='Room Info'!$F$1, INDEX('Room Info'!$A$2:$A2446, MATCH(B2187,'Room Info'!$F$2:$F2446, 0)),IF(G2187='Room Info'!$H$1, INDEX('Room Info'!$A$2:$A2446, MATCH(B2187,'Room Info'!$H$2:$H2446, 0)),IF(G2187='Room Info'!$G$1, INDEX('Room Info'!$A$2:$A2446, MATCH(B2187,'Room Info'!$G$2:$G2446, 0)))))))))</f>
        <v>0</v>
      </c>
      <c r="B2187" s="96"/>
      <c r="C2187" s="111"/>
      <c r="D2187" s="111"/>
      <c r="E2187" s="80"/>
      <c r="F2187" s="133"/>
      <c r="G2187" s="65"/>
      <c r="H2187" s="100"/>
      <c r="I2187" s="100"/>
      <c r="J2187" s="39" t="s">
        <v>334</v>
      </c>
      <c r="K2187" s="134"/>
      <c r="L2187" s="135"/>
      <c r="M2187" s="62"/>
      <c r="N2187" s="28" t="e">
        <f t="shared" si="8"/>
        <v>#VALUE!</v>
      </c>
      <c r="O2187" s="96"/>
      <c r="P2187" s="29" t="s">
        <v>334</v>
      </c>
      <c r="Q2187" s="55"/>
      <c r="R2187" s="31" t="e">
        <f t="shared" si="9"/>
        <v>#VALUE!</v>
      </c>
      <c r="S2187" s="97"/>
      <c r="T2187" s="32" t="e">
        <f t="shared" si="10"/>
        <v>#VALUE!</v>
      </c>
      <c r="U2187" s="57"/>
      <c r="V2187" s="58"/>
      <c r="W2187" s="58"/>
      <c r="X2187" s="30" t="e">
        <f t="shared" si="11"/>
        <v>#N/A</v>
      </c>
      <c r="Y2187" s="30" t="e">
        <f t="shared" si="12"/>
        <v>#N/A</v>
      </c>
      <c r="Z2187" s="35" t="e">
        <f t="shared" si="13"/>
        <v>#VALUE!</v>
      </c>
      <c r="AA2187" s="29" t="e">
        <f t="shared" si="14"/>
        <v>#VALUE!</v>
      </c>
      <c r="AB2187" s="36" t="e">
        <f t="shared" si="15"/>
        <v>#VALUE!</v>
      </c>
      <c r="AC2187" s="37" t="b">
        <v>0</v>
      </c>
      <c r="AD2187" s="61" t="str">
        <f t="shared" si="16"/>
        <v>USD</v>
      </c>
      <c r="AE2187" s="37"/>
      <c r="AF2187" s="37" t="e">
        <f t="array" ref="AF2187">INDEX('Deal Info'!D:D, MATCH(A2187,'Deal Info'!A:A, 0))</f>
        <v>#N/A</v>
      </c>
      <c r="AG2187" s="38" t="e">
        <f t="array" ref="AG2187">INDEX('Deal Info'!G:G, MATCH(A2187,'Deal Info'!A:A, 0))</f>
        <v>#N/A</v>
      </c>
    </row>
    <row r="2188" spans="1:33" ht="14.25" hidden="1" x14ac:dyDescent="0.2">
      <c r="A2188" s="18" t="b">
        <f t="array" ref="A2188">IF(G2188='Room Info'!$B$1, INDEX('Room Info'!$A$2:$A2446, MATCH(B2188,'Room Info'!$B$2:$B2446, 0)),IF(G2188='Room Info'!$C$1, INDEX('Room Info'!$A$2:$A2446, MATCH(B2188,'Room Info'!$C$2:$C2446, 0)),IF(G2188='Room Info'!$D$1, INDEX('Room Info'!$A$2:$A2446, MATCH(B2188,'Room Info'!$D$2:$D2446, 0)),IF(G2188='Room Info'!$E$1, INDEX('Room Info'!$A$2:$A2446, MATCH(B2188,'Room Info'!$E$2:$E2446, 0)),IF(G2188='Room Info'!$F$1, INDEX('Room Info'!$A$2:$A2446, MATCH(B2188,'Room Info'!$F$2:$F2446, 0)),IF(G2188='Room Info'!$H$1, INDEX('Room Info'!$A$2:$A2446, MATCH(B2188,'Room Info'!$H$2:$H2446, 0)),IF(G2188='Room Info'!$G$1, INDEX('Room Info'!$A$2:$A2446, MATCH(B2188,'Room Info'!$G$2:$G2446, 0)))))))))</f>
        <v>0</v>
      </c>
      <c r="B2188" s="96"/>
      <c r="C2188" s="111"/>
      <c r="D2188" s="111"/>
      <c r="E2188" s="80"/>
      <c r="F2188" s="133"/>
      <c r="G2188" s="65"/>
      <c r="H2188" s="100"/>
      <c r="I2188" s="100"/>
      <c r="J2188" s="39" t="s">
        <v>334</v>
      </c>
      <c r="K2188" s="134"/>
      <c r="L2188" s="135"/>
      <c r="M2188" s="62"/>
      <c r="N2188" s="28" t="e">
        <f t="shared" si="8"/>
        <v>#VALUE!</v>
      </c>
      <c r="O2188" s="96"/>
      <c r="P2188" s="29" t="s">
        <v>334</v>
      </c>
      <c r="Q2188" s="55"/>
      <c r="R2188" s="31" t="e">
        <f t="shared" si="9"/>
        <v>#VALUE!</v>
      </c>
      <c r="S2188" s="97"/>
      <c r="T2188" s="32" t="e">
        <f t="shared" si="10"/>
        <v>#VALUE!</v>
      </c>
      <c r="U2188" s="57"/>
      <c r="V2188" s="58"/>
      <c r="W2188" s="58"/>
      <c r="X2188" s="30" t="e">
        <f t="shared" si="11"/>
        <v>#N/A</v>
      </c>
      <c r="Y2188" s="30" t="e">
        <f t="shared" si="12"/>
        <v>#N/A</v>
      </c>
      <c r="Z2188" s="35" t="e">
        <f t="shared" si="13"/>
        <v>#VALUE!</v>
      </c>
      <c r="AA2188" s="29" t="e">
        <f t="shared" si="14"/>
        <v>#VALUE!</v>
      </c>
      <c r="AB2188" s="36" t="e">
        <f t="shared" si="15"/>
        <v>#VALUE!</v>
      </c>
      <c r="AC2188" s="37" t="b">
        <v>0</v>
      </c>
      <c r="AD2188" s="61" t="str">
        <f t="shared" si="16"/>
        <v>USD</v>
      </c>
      <c r="AE2188" s="37"/>
      <c r="AF2188" s="37" t="e">
        <f t="array" ref="AF2188">INDEX('Deal Info'!D:D, MATCH(A2188,'Deal Info'!A:A, 0))</f>
        <v>#N/A</v>
      </c>
      <c r="AG2188" s="38" t="e">
        <f t="array" ref="AG2188">INDEX('Deal Info'!G:G, MATCH(A2188,'Deal Info'!A:A, 0))</f>
        <v>#N/A</v>
      </c>
    </row>
    <row r="2189" spans="1:33" ht="14.25" hidden="1" x14ac:dyDescent="0.2">
      <c r="A2189" s="18" t="b">
        <f t="array" ref="A2189">IF(G2189='Room Info'!$B$1, INDEX('Room Info'!$A$2:$A2446, MATCH(B2189,'Room Info'!$B$2:$B2446, 0)),IF(G2189='Room Info'!$C$1, INDEX('Room Info'!$A$2:$A2446, MATCH(B2189,'Room Info'!$C$2:$C2446, 0)),IF(G2189='Room Info'!$D$1, INDEX('Room Info'!$A$2:$A2446, MATCH(B2189,'Room Info'!$D$2:$D2446, 0)),IF(G2189='Room Info'!$E$1, INDEX('Room Info'!$A$2:$A2446, MATCH(B2189,'Room Info'!$E$2:$E2446, 0)),IF(G2189='Room Info'!$F$1, INDEX('Room Info'!$A$2:$A2446, MATCH(B2189,'Room Info'!$F$2:$F2446, 0)),IF(G2189='Room Info'!$H$1, INDEX('Room Info'!$A$2:$A2446, MATCH(B2189,'Room Info'!$H$2:$H2446, 0)),IF(G2189='Room Info'!$G$1, INDEX('Room Info'!$A$2:$A2446, MATCH(B2189,'Room Info'!$G$2:$G2446, 0)))))))))</f>
        <v>0</v>
      </c>
      <c r="B2189" s="96"/>
      <c r="C2189" s="111"/>
      <c r="D2189" s="136"/>
      <c r="E2189" s="137"/>
      <c r="F2189" s="133"/>
      <c r="G2189" s="96"/>
      <c r="H2189" s="110"/>
      <c r="I2189" s="110"/>
      <c r="J2189" s="39" t="s">
        <v>334</v>
      </c>
      <c r="K2189" s="112"/>
      <c r="L2189" s="113"/>
      <c r="M2189" s="62"/>
      <c r="N2189" s="28" t="e">
        <f t="shared" si="8"/>
        <v>#VALUE!</v>
      </c>
      <c r="O2189" s="65"/>
      <c r="P2189" s="29" t="s">
        <v>334</v>
      </c>
      <c r="Q2189" s="55"/>
      <c r="R2189" s="31" t="e">
        <f t="shared" si="9"/>
        <v>#VALUE!</v>
      </c>
      <c r="S2189" s="66"/>
      <c r="T2189" s="32" t="e">
        <f t="shared" si="10"/>
        <v>#VALUE!</v>
      </c>
      <c r="U2189" s="57"/>
      <c r="V2189" s="58"/>
      <c r="W2189" s="58"/>
      <c r="X2189" s="30" t="e">
        <f t="shared" si="11"/>
        <v>#N/A</v>
      </c>
      <c r="Y2189" s="30" t="e">
        <f t="shared" si="12"/>
        <v>#N/A</v>
      </c>
      <c r="Z2189" s="35" t="e">
        <f t="shared" si="13"/>
        <v>#VALUE!</v>
      </c>
      <c r="AA2189" s="29" t="e">
        <f t="shared" si="14"/>
        <v>#VALUE!</v>
      </c>
      <c r="AB2189" s="36" t="e">
        <f t="shared" si="15"/>
        <v>#VALUE!</v>
      </c>
      <c r="AC2189" s="37" t="b">
        <v>0</v>
      </c>
      <c r="AD2189" s="61" t="str">
        <f t="shared" si="16"/>
        <v>USD</v>
      </c>
      <c r="AE2189" s="37"/>
      <c r="AF2189" s="37" t="e">
        <f t="array" ref="AF2189">INDEX('Deal Info'!D:D, MATCH(A2189,'Deal Info'!A:A, 0))</f>
        <v>#N/A</v>
      </c>
      <c r="AG2189" s="38" t="e">
        <f t="array" ref="AG2189">INDEX('Deal Info'!G:G, MATCH(A2189,'Deal Info'!A:A, 0))</f>
        <v>#N/A</v>
      </c>
    </row>
    <row r="2190" spans="1:33" ht="14.25" hidden="1" x14ac:dyDescent="0.2">
      <c r="A2190" s="18" t="b">
        <f t="array" ref="A2190">IF(G2190='Room Info'!$B$1, INDEX('Room Info'!$A$2:$A2446, MATCH(B2190,'Room Info'!$B$2:$B2446, 0)),IF(G2190='Room Info'!$C$1, INDEX('Room Info'!$A$2:$A2446, MATCH(B2190,'Room Info'!$C$2:$C2446, 0)),IF(G2190='Room Info'!$D$1, INDEX('Room Info'!$A$2:$A2446, MATCH(B2190,'Room Info'!$D$2:$D2446, 0)),IF(G2190='Room Info'!$E$1, INDEX('Room Info'!$A$2:$A2446, MATCH(B2190,'Room Info'!$E$2:$E2446, 0)),IF(G2190='Room Info'!$F$1, INDEX('Room Info'!$A$2:$A2446, MATCH(B2190,'Room Info'!$F$2:$F2446, 0)),IF(G2190='Room Info'!$H$1, INDEX('Room Info'!$A$2:$A2446, MATCH(B2190,'Room Info'!$H$2:$H2446, 0)),IF(G2190='Room Info'!$G$1, INDEX('Room Info'!$A$2:$A2446, MATCH(B2190,'Room Info'!$G$2:$G2446, 0)))))))))</f>
        <v>0</v>
      </c>
      <c r="B2190" s="96"/>
      <c r="C2190" s="111"/>
      <c r="D2190" s="136"/>
      <c r="E2190" s="137"/>
      <c r="F2190" s="133"/>
      <c r="G2190" s="96"/>
      <c r="H2190" s="110"/>
      <c r="I2190" s="110"/>
      <c r="J2190" s="39" t="s">
        <v>334</v>
      </c>
      <c r="K2190" s="112"/>
      <c r="L2190" s="113"/>
      <c r="M2190" s="62"/>
      <c r="N2190" s="28" t="e">
        <f t="shared" si="8"/>
        <v>#VALUE!</v>
      </c>
      <c r="O2190" s="65"/>
      <c r="P2190" s="29" t="s">
        <v>334</v>
      </c>
      <c r="Q2190" s="55"/>
      <c r="R2190" s="31" t="e">
        <f t="shared" si="9"/>
        <v>#VALUE!</v>
      </c>
      <c r="S2190" s="66"/>
      <c r="T2190" s="32" t="e">
        <f t="shared" si="10"/>
        <v>#VALUE!</v>
      </c>
      <c r="U2190" s="57"/>
      <c r="V2190" s="58"/>
      <c r="W2190" s="58"/>
      <c r="X2190" s="30" t="e">
        <f t="shared" si="11"/>
        <v>#N/A</v>
      </c>
      <c r="Y2190" s="30" t="e">
        <f t="shared" si="12"/>
        <v>#N/A</v>
      </c>
      <c r="Z2190" s="35" t="e">
        <f t="shared" si="13"/>
        <v>#VALUE!</v>
      </c>
      <c r="AA2190" s="29" t="e">
        <f t="shared" si="14"/>
        <v>#VALUE!</v>
      </c>
      <c r="AB2190" s="36" t="e">
        <f t="shared" si="15"/>
        <v>#VALUE!</v>
      </c>
      <c r="AC2190" s="37" t="b">
        <v>0</v>
      </c>
      <c r="AD2190" s="61" t="str">
        <f t="shared" si="16"/>
        <v>USD</v>
      </c>
      <c r="AE2190" s="37"/>
      <c r="AF2190" s="37" t="e">
        <f t="array" ref="AF2190">INDEX('Deal Info'!D:D, MATCH(A2190,'Deal Info'!A:A, 0))</f>
        <v>#N/A</v>
      </c>
      <c r="AG2190" s="38" t="e">
        <f t="array" ref="AG2190">INDEX('Deal Info'!G:G, MATCH(A2190,'Deal Info'!A:A, 0))</f>
        <v>#N/A</v>
      </c>
    </row>
    <row r="2191" spans="1:33" ht="14.25" hidden="1" x14ac:dyDescent="0.2">
      <c r="A2191" s="18" t="b">
        <f t="array" ref="A2191">IF(G2191='Room Info'!$B$1, INDEX('Room Info'!$A$2:$A2446, MATCH(B2191,'Room Info'!$B$2:$B2446, 0)),IF(G2191='Room Info'!$C$1, INDEX('Room Info'!$A$2:$A2446, MATCH(B2191,'Room Info'!$C$2:$C2446, 0)),IF(G2191='Room Info'!$D$1, INDEX('Room Info'!$A$2:$A2446, MATCH(B2191,'Room Info'!$D$2:$D2446, 0)),IF(G2191='Room Info'!$E$1, INDEX('Room Info'!$A$2:$A2446, MATCH(B2191,'Room Info'!$E$2:$E2446, 0)),IF(G2191='Room Info'!$F$1, INDEX('Room Info'!$A$2:$A2446, MATCH(B2191,'Room Info'!$F$2:$F2446, 0)),IF(G2191='Room Info'!$H$1, INDEX('Room Info'!$A$2:$A2446, MATCH(B2191,'Room Info'!$H$2:$H2446, 0)),IF(G2191='Room Info'!$G$1, INDEX('Room Info'!$A$2:$A2446, MATCH(B2191,'Room Info'!$G$2:$G2446, 0)))))))))</f>
        <v>0</v>
      </c>
      <c r="B2191" s="96"/>
      <c r="C2191" s="111"/>
      <c r="D2191" s="111"/>
      <c r="E2191" s="80"/>
      <c r="F2191" s="133"/>
      <c r="G2191" s="96"/>
      <c r="H2191" s="110"/>
      <c r="I2191" s="110"/>
      <c r="J2191" s="39" t="s">
        <v>334</v>
      </c>
      <c r="K2191" s="112"/>
      <c r="L2191" s="113"/>
      <c r="M2191" s="62"/>
      <c r="N2191" s="28" t="e">
        <f t="shared" si="8"/>
        <v>#VALUE!</v>
      </c>
      <c r="O2191" s="65"/>
      <c r="P2191" s="29" t="s">
        <v>334</v>
      </c>
      <c r="Q2191" s="55"/>
      <c r="R2191" s="31" t="e">
        <f t="shared" si="9"/>
        <v>#VALUE!</v>
      </c>
      <c r="S2191" s="66"/>
      <c r="T2191" s="32" t="e">
        <f t="shared" si="10"/>
        <v>#VALUE!</v>
      </c>
      <c r="U2191" s="57"/>
      <c r="V2191" s="58"/>
      <c r="W2191" s="58"/>
      <c r="X2191" s="30" t="e">
        <f t="shared" si="11"/>
        <v>#N/A</v>
      </c>
      <c r="Y2191" s="30" t="e">
        <f t="shared" si="12"/>
        <v>#N/A</v>
      </c>
      <c r="Z2191" s="35" t="e">
        <f t="shared" si="13"/>
        <v>#VALUE!</v>
      </c>
      <c r="AA2191" s="29" t="e">
        <f t="shared" si="14"/>
        <v>#VALUE!</v>
      </c>
      <c r="AB2191" s="36" t="e">
        <f t="shared" si="15"/>
        <v>#VALUE!</v>
      </c>
      <c r="AC2191" s="37" t="b">
        <v>0</v>
      </c>
      <c r="AD2191" s="61" t="str">
        <f t="shared" si="16"/>
        <v>USD</v>
      </c>
      <c r="AE2191" s="37"/>
      <c r="AF2191" s="37" t="e">
        <f t="array" ref="AF2191">INDEX('Deal Info'!D:D, MATCH(A2191,'Deal Info'!A:A, 0))</f>
        <v>#N/A</v>
      </c>
      <c r="AG2191" s="38" t="e">
        <f t="array" ref="AG2191">INDEX('Deal Info'!G:G, MATCH(A2191,'Deal Info'!A:A, 0))</f>
        <v>#N/A</v>
      </c>
    </row>
    <row r="2192" spans="1:33" ht="14.25" hidden="1" x14ac:dyDescent="0.2">
      <c r="A2192" s="18" t="b">
        <f t="array" ref="A2192">IF(G2192='Room Info'!$B$1, INDEX('Room Info'!$A$2:$A2446, MATCH(B2192,'Room Info'!$B$2:$B2446, 0)),IF(G2192='Room Info'!$C$1, INDEX('Room Info'!$A$2:$A2446, MATCH(B2192,'Room Info'!$C$2:$C2446, 0)),IF(G2192='Room Info'!$D$1, INDEX('Room Info'!$A$2:$A2446, MATCH(B2192,'Room Info'!$D$2:$D2446, 0)),IF(G2192='Room Info'!$E$1, INDEX('Room Info'!$A$2:$A2446, MATCH(B2192,'Room Info'!$E$2:$E2446, 0)),IF(G2192='Room Info'!$F$1, INDEX('Room Info'!$A$2:$A2446, MATCH(B2192,'Room Info'!$F$2:$F2446, 0)),IF(G2192='Room Info'!$H$1, INDEX('Room Info'!$A$2:$A2446, MATCH(B2192,'Room Info'!$H$2:$H2446, 0)),IF(G2192='Room Info'!$G$1, INDEX('Room Info'!$A$2:$A2446, MATCH(B2192,'Room Info'!$G$2:$G2446, 0)))))))))</f>
        <v>0</v>
      </c>
      <c r="B2192" s="96"/>
      <c r="C2192" s="111"/>
      <c r="D2192" s="111"/>
      <c r="E2192" s="80"/>
      <c r="F2192" s="133"/>
      <c r="G2192" s="96"/>
      <c r="H2192" s="110"/>
      <c r="I2192" s="110"/>
      <c r="J2192" s="39" t="s">
        <v>334</v>
      </c>
      <c r="K2192" s="112"/>
      <c r="L2192" s="113"/>
      <c r="M2192" s="62"/>
      <c r="N2192" s="28" t="e">
        <f t="shared" si="8"/>
        <v>#VALUE!</v>
      </c>
      <c r="O2192" s="65"/>
      <c r="P2192" s="29" t="s">
        <v>334</v>
      </c>
      <c r="Q2192" s="55"/>
      <c r="R2192" s="31" t="e">
        <f t="shared" si="9"/>
        <v>#VALUE!</v>
      </c>
      <c r="S2192" s="66"/>
      <c r="T2192" s="32" t="e">
        <f t="shared" si="10"/>
        <v>#VALUE!</v>
      </c>
      <c r="U2192" s="57"/>
      <c r="V2192" s="58"/>
      <c r="W2192" s="58"/>
      <c r="X2192" s="30" t="e">
        <f t="shared" si="11"/>
        <v>#N/A</v>
      </c>
      <c r="Y2192" s="30" t="e">
        <f t="shared" si="12"/>
        <v>#N/A</v>
      </c>
      <c r="Z2192" s="35" t="e">
        <f t="shared" si="13"/>
        <v>#VALUE!</v>
      </c>
      <c r="AA2192" s="29" t="e">
        <f t="shared" si="14"/>
        <v>#VALUE!</v>
      </c>
      <c r="AB2192" s="36" t="e">
        <f t="shared" si="15"/>
        <v>#VALUE!</v>
      </c>
      <c r="AC2192" s="37" t="b">
        <v>0</v>
      </c>
      <c r="AD2192" s="61" t="str">
        <f t="shared" si="16"/>
        <v>USD</v>
      </c>
      <c r="AE2192" s="37"/>
      <c r="AF2192" s="37" t="e">
        <f t="array" ref="AF2192">INDEX('Deal Info'!D:D, MATCH(A2192,'Deal Info'!A:A, 0))</f>
        <v>#N/A</v>
      </c>
      <c r="AG2192" s="38" t="e">
        <f t="array" ref="AG2192">INDEX('Deal Info'!G:G, MATCH(A2192,'Deal Info'!A:A, 0))</f>
        <v>#N/A</v>
      </c>
    </row>
    <row r="2193" spans="1:33" ht="14.25" hidden="1" x14ac:dyDescent="0.2">
      <c r="A2193" s="18" t="b">
        <f t="array" ref="A2193">IF(G2193='Room Info'!$B$1, INDEX('Room Info'!$A$2:$A2446, MATCH(B2193,'Room Info'!$B$2:$B2446, 0)),IF(G2193='Room Info'!$C$1, INDEX('Room Info'!$A$2:$A2446, MATCH(B2193,'Room Info'!$C$2:$C2446, 0)),IF(G2193='Room Info'!$D$1, INDEX('Room Info'!$A$2:$A2446, MATCH(B2193,'Room Info'!$D$2:$D2446, 0)),IF(G2193='Room Info'!$E$1, INDEX('Room Info'!$A$2:$A2446, MATCH(B2193,'Room Info'!$E$2:$E2446, 0)),IF(G2193='Room Info'!$F$1, INDEX('Room Info'!$A$2:$A2446, MATCH(B2193,'Room Info'!$F$2:$F2446, 0)),IF(G2193='Room Info'!$H$1, INDEX('Room Info'!$A$2:$A2446, MATCH(B2193,'Room Info'!$H$2:$H2446, 0)),IF(G2193='Room Info'!$G$1, INDEX('Room Info'!$A$2:$A2446, MATCH(B2193,'Room Info'!$G$2:$G2446, 0)))))))))</f>
        <v>0</v>
      </c>
      <c r="B2193" s="96"/>
      <c r="C2193" s="111"/>
      <c r="D2193" s="111"/>
      <c r="E2193" s="80"/>
      <c r="F2193" s="133"/>
      <c r="G2193" s="96"/>
      <c r="H2193" s="110"/>
      <c r="I2193" s="110"/>
      <c r="J2193" s="39" t="s">
        <v>334</v>
      </c>
      <c r="K2193" s="112"/>
      <c r="L2193" s="113"/>
      <c r="M2193" s="62"/>
      <c r="N2193" s="28" t="e">
        <f t="shared" si="8"/>
        <v>#VALUE!</v>
      </c>
      <c r="O2193" s="65"/>
      <c r="P2193" s="29" t="s">
        <v>334</v>
      </c>
      <c r="Q2193" s="55"/>
      <c r="R2193" s="31" t="e">
        <f t="shared" si="9"/>
        <v>#VALUE!</v>
      </c>
      <c r="S2193" s="66"/>
      <c r="T2193" s="32" t="e">
        <f t="shared" si="10"/>
        <v>#VALUE!</v>
      </c>
      <c r="U2193" s="57"/>
      <c r="V2193" s="58"/>
      <c r="W2193" s="58"/>
      <c r="X2193" s="30" t="e">
        <f t="shared" si="11"/>
        <v>#N/A</v>
      </c>
      <c r="Y2193" s="30" t="e">
        <f t="shared" si="12"/>
        <v>#N/A</v>
      </c>
      <c r="Z2193" s="35" t="e">
        <f t="shared" si="13"/>
        <v>#VALUE!</v>
      </c>
      <c r="AA2193" s="29" t="e">
        <f t="shared" si="14"/>
        <v>#VALUE!</v>
      </c>
      <c r="AB2193" s="36" t="e">
        <f t="shared" si="15"/>
        <v>#VALUE!</v>
      </c>
      <c r="AC2193" s="37" t="b">
        <v>0</v>
      </c>
      <c r="AD2193" s="61" t="str">
        <f t="shared" si="16"/>
        <v>USD</v>
      </c>
      <c r="AE2193" s="37"/>
      <c r="AF2193" s="37" t="e">
        <f t="array" ref="AF2193">INDEX('Deal Info'!D:D, MATCH(A2193,'Deal Info'!A:A, 0))</f>
        <v>#N/A</v>
      </c>
      <c r="AG2193" s="38" t="e">
        <f t="array" ref="AG2193">INDEX('Deal Info'!G:G, MATCH(A2193,'Deal Info'!A:A, 0))</f>
        <v>#N/A</v>
      </c>
    </row>
    <row r="2194" spans="1:33" ht="14.25" hidden="1" x14ac:dyDescent="0.2">
      <c r="A2194" s="18" t="b">
        <f t="array" ref="A2194">IF(G2194='Room Info'!$B$1, INDEX('Room Info'!$A$2:$A2446, MATCH(B2194,'Room Info'!$B$2:$B2446, 0)),IF(G2194='Room Info'!$C$1, INDEX('Room Info'!$A$2:$A2446, MATCH(B2194,'Room Info'!$C$2:$C2446, 0)),IF(G2194='Room Info'!$D$1, INDEX('Room Info'!$A$2:$A2446, MATCH(B2194,'Room Info'!$D$2:$D2446, 0)),IF(G2194='Room Info'!$E$1, INDEX('Room Info'!$A$2:$A2446, MATCH(B2194,'Room Info'!$E$2:$E2446, 0)),IF(G2194='Room Info'!$F$1, INDEX('Room Info'!$A$2:$A2446, MATCH(B2194,'Room Info'!$F$2:$F2446, 0)),IF(G2194='Room Info'!$H$1, INDEX('Room Info'!$A$2:$A2446, MATCH(B2194,'Room Info'!$H$2:$H2446, 0)),IF(G2194='Room Info'!$G$1, INDEX('Room Info'!$A$2:$A2446, MATCH(B2194,'Room Info'!$G$2:$G2446, 0)))))))))</f>
        <v>0</v>
      </c>
      <c r="B2194" s="96"/>
      <c r="C2194" s="111"/>
      <c r="D2194" s="111"/>
      <c r="E2194" s="80"/>
      <c r="F2194" s="133"/>
      <c r="G2194" s="96"/>
      <c r="H2194" s="110"/>
      <c r="I2194" s="110"/>
      <c r="J2194" s="39" t="s">
        <v>334</v>
      </c>
      <c r="K2194" s="112"/>
      <c r="L2194" s="113"/>
      <c r="M2194" s="62"/>
      <c r="N2194" s="28" t="e">
        <f t="shared" si="8"/>
        <v>#VALUE!</v>
      </c>
      <c r="O2194" s="65"/>
      <c r="P2194" s="29" t="s">
        <v>334</v>
      </c>
      <c r="Q2194" s="55"/>
      <c r="R2194" s="31" t="e">
        <f t="shared" si="9"/>
        <v>#VALUE!</v>
      </c>
      <c r="S2194" s="66"/>
      <c r="T2194" s="32" t="e">
        <f t="shared" si="10"/>
        <v>#VALUE!</v>
      </c>
      <c r="U2194" s="57"/>
      <c r="V2194" s="58"/>
      <c r="W2194" s="58"/>
      <c r="X2194" s="30" t="e">
        <f t="shared" si="11"/>
        <v>#N/A</v>
      </c>
      <c r="Y2194" s="30" t="e">
        <f t="shared" si="12"/>
        <v>#N/A</v>
      </c>
      <c r="Z2194" s="35" t="e">
        <f t="shared" si="13"/>
        <v>#VALUE!</v>
      </c>
      <c r="AA2194" s="29" t="e">
        <f t="shared" si="14"/>
        <v>#VALUE!</v>
      </c>
      <c r="AB2194" s="36" t="e">
        <f t="shared" si="15"/>
        <v>#VALUE!</v>
      </c>
      <c r="AC2194" s="37" t="b">
        <v>0</v>
      </c>
      <c r="AD2194" s="61" t="str">
        <f t="shared" si="16"/>
        <v>USD</v>
      </c>
      <c r="AE2194" s="37"/>
      <c r="AF2194" s="37" t="e">
        <f t="array" ref="AF2194">INDEX('Deal Info'!D:D, MATCH(A2194,'Deal Info'!A:A, 0))</f>
        <v>#N/A</v>
      </c>
      <c r="AG2194" s="38" t="e">
        <f t="array" ref="AG2194">INDEX('Deal Info'!G:G, MATCH(A2194,'Deal Info'!A:A, 0))</f>
        <v>#N/A</v>
      </c>
    </row>
    <row r="2195" spans="1:33" ht="14.25" hidden="1" x14ac:dyDescent="0.2">
      <c r="A2195" s="18" t="b">
        <f t="array" ref="A2195">IF(G2195='Room Info'!$B$1, INDEX('Room Info'!$A$2:$A2446, MATCH(B2195,'Room Info'!$B$2:$B2446, 0)),IF(G2195='Room Info'!$C$1, INDEX('Room Info'!$A$2:$A2446, MATCH(B2195,'Room Info'!$C$2:$C2446, 0)),IF(G2195='Room Info'!$D$1, INDEX('Room Info'!$A$2:$A2446, MATCH(B2195,'Room Info'!$D$2:$D2446, 0)),IF(G2195='Room Info'!$E$1, INDEX('Room Info'!$A$2:$A2446, MATCH(B2195,'Room Info'!$E$2:$E2446, 0)),IF(G2195='Room Info'!$F$1, INDEX('Room Info'!$A$2:$A2446, MATCH(B2195,'Room Info'!$F$2:$F2446, 0)),IF(G2195='Room Info'!$H$1, INDEX('Room Info'!$A$2:$A2446, MATCH(B2195,'Room Info'!$H$2:$H2446, 0)),IF(G2195='Room Info'!$G$1, INDEX('Room Info'!$A$2:$A2446, MATCH(B2195,'Room Info'!$G$2:$G2446, 0)))))))))</f>
        <v>0</v>
      </c>
      <c r="B2195" s="96"/>
      <c r="C2195" s="111"/>
      <c r="D2195" s="111"/>
      <c r="E2195" s="80"/>
      <c r="F2195" s="133"/>
      <c r="G2195" s="96"/>
      <c r="H2195" s="110"/>
      <c r="I2195" s="110"/>
      <c r="J2195" s="39" t="s">
        <v>334</v>
      </c>
      <c r="K2195" s="112"/>
      <c r="L2195" s="113"/>
      <c r="M2195" s="62"/>
      <c r="N2195" s="28" t="e">
        <f t="shared" si="8"/>
        <v>#VALUE!</v>
      </c>
      <c r="O2195" s="65"/>
      <c r="P2195" s="29" t="s">
        <v>334</v>
      </c>
      <c r="Q2195" s="55"/>
      <c r="R2195" s="31" t="e">
        <f t="shared" si="9"/>
        <v>#VALUE!</v>
      </c>
      <c r="S2195" s="66"/>
      <c r="T2195" s="32" t="e">
        <f t="shared" si="10"/>
        <v>#VALUE!</v>
      </c>
      <c r="U2195" s="57"/>
      <c r="V2195" s="58"/>
      <c r="W2195" s="58"/>
      <c r="X2195" s="30" t="e">
        <f t="shared" si="11"/>
        <v>#N/A</v>
      </c>
      <c r="Y2195" s="30" t="e">
        <f t="shared" si="12"/>
        <v>#N/A</v>
      </c>
      <c r="Z2195" s="35" t="e">
        <f t="shared" si="13"/>
        <v>#VALUE!</v>
      </c>
      <c r="AA2195" s="29" t="e">
        <f t="shared" si="14"/>
        <v>#VALUE!</v>
      </c>
      <c r="AB2195" s="36" t="e">
        <f t="shared" si="15"/>
        <v>#VALUE!</v>
      </c>
      <c r="AC2195" s="37" t="b">
        <v>0</v>
      </c>
      <c r="AD2195" s="61" t="str">
        <f t="shared" si="16"/>
        <v>USD</v>
      </c>
      <c r="AE2195" s="37"/>
      <c r="AF2195" s="37" t="e">
        <f t="array" ref="AF2195">INDEX('Deal Info'!D:D, MATCH(A2195,'Deal Info'!A:A, 0))</f>
        <v>#N/A</v>
      </c>
      <c r="AG2195" s="38" t="e">
        <f t="array" ref="AG2195">INDEX('Deal Info'!G:G, MATCH(A2195,'Deal Info'!A:A, 0))</f>
        <v>#N/A</v>
      </c>
    </row>
    <row r="2196" spans="1:33" ht="14.25" hidden="1" x14ac:dyDescent="0.2">
      <c r="A2196" s="18" t="b">
        <f t="array" ref="A2196">IF(G2196='Room Info'!$B$1, INDEX('Room Info'!$A$2:$A2446, MATCH(B2196,'Room Info'!$B$2:$B2446, 0)),IF(G2196='Room Info'!$C$1, INDEX('Room Info'!$A$2:$A2446, MATCH(B2196,'Room Info'!$C$2:$C2446, 0)),IF(G2196='Room Info'!$D$1, INDEX('Room Info'!$A$2:$A2446, MATCH(B2196,'Room Info'!$D$2:$D2446, 0)),IF(G2196='Room Info'!$E$1, INDEX('Room Info'!$A$2:$A2446, MATCH(B2196,'Room Info'!$E$2:$E2446, 0)),IF(G2196='Room Info'!$F$1, INDEX('Room Info'!$A$2:$A2446, MATCH(B2196,'Room Info'!$F$2:$F2446, 0)),IF(G2196='Room Info'!$H$1, INDEX('Room Info'!$A$2:$A2446, MATCH(B2196,'Room Info'!$H$2:$H2446, 0)),IF(G2196='Room Info'!$G$1, INDEX('Room Info'!$A$2:$A2446, MATCH(B2196,'Room Info'!$G$2:$G2446, 0)))))))))</f>
        <v>0</v>
      </c>
      <c r="B2196" s="96"/>
      <c r="C2196" s="111"/>
      <c r="D2196" s="111"/>
      <c r="E2196" s="80"/>
      <c r="F2196" s="133"/>
      <c r="G2196" s="96"/>
      <c r="H2196" s="110"/>
      <c r="I2196" s="110"/>
      <c r="J2196" s="39" t="s">
        <v>334</v>
      </c>
      <c r="K2196" s="112"/>
      <c r="L2196" s="113"/>
      <c r="M2196" s="62"/>
      <c r="N2196" s="28" t="e">
        <f t="shared" si="8"/>
        <v>#VALUE!</v>
      </c>
      <c r="O2196" s="65"/>
      <c r="P2196" s="29" t="s">
        <v>334</v>
      </c>
      <c r="Q2196" s="55"/>
      <c r="R2196" s="31" t="e">
        <f t="shared" si="9"/>
        <v>#VALUE!</v>
      </c>
      <c r="S2196" s="66"/>
      <c r="T2196" s="32" t="e">
        <f t="shared" si="10"/>
        <v>#VALUE!</v>
      </c>
      <c r="U2196" s="57"/>
      <c r="V2196" s="58"/>
      <c r="W2196" s="58"/>
      <c r="X2196" s="30" t="e">
        <f t="shared" si="11"/>
        <v>#N/A</v>
      </c>
      <c r="Y2196" s="30" t="e">
        <f t="shared" si="12"/>
        <v>#N/A</v>
      </c>
      <c r="Z2196" s="35" t="e">
        <f t="shared" si="13"/>
        <v>#VALUE!</v>
      </c>
      <c r="AA2196" s="29" t="e">
        <f t="shared" si="14"/>
        <v>#VALUE!</v>
      </c>
      <c r="AB2196" s="36" t="e">
        <f t="shared" si="15"/>
        <v>#VALUE!</v>
      </c>
      <c r="AC2196" s="37" t="b">
        <v>0</v>
      </c>
      <c r="AD2196" s="61" t="str">
        <f t="shared" si="16"/>
        <v>USD</v>
      </c>
      <c r="AE2196" s="37"/>
      <c r="AF2196" s="37" t="e">
        <f t="array" ref="AF2196">INDEX('Deal Info'!D:D, MATCH(A2196,'Deal Info'!A:A, 0))</f>
        <v>#N/A</v>
      </c>
      <c r="AG2196" s="38" t="e">
        <f t="array" ref="AG2196">INDEX('Deal Info'!G:G, MATCH(A2196,'Deal Info'!A:A, 0))</f>
        <v>#N/A</v>
      </c>
    </row>
    <row r="2197" spans="1:33" ht="14.25" hidden="1" x14ac:dyDescent="0.2">
      <c r="A2197" s="18" t="b">
        <f t="array" ref="A2197">IF(G2197='Room Info'!$B$1, INDEX('Room Info'!$A$2:$A2446, MATCH(B2197,'Room Info'!$B$2:$B2446, 0)),IF(G2197='Room Info'!$C$1, INDEX('Room Info'!$A$2:$A2446, MATCH(B2197,'Room Info'!$C$2:$C2446, 0)),IF(G2197='Room Info'!$D$1, INDEX('Room Info'!$A$2:$A2446, MATCH(B2197,'Room Info'!$D$2:$D2446, 0)),IF(G2197='Room Info'!$E$1, INDEX('Room Info'!$A$2:$A2446, MATCH(B2197,'Room Info'!$E$2:$E2446, 0)),IF(G2197='Room Info'!$F$1, INDEX('Room Info'!$A$2:$A2446, MATCH(B2197,'Room Info'!$F$2:$F2446, 0)),IF(G2197='Room Info'!$H$1, INDEX('Room Info'!$A$2:$A2446, MATCH(B2197,'Room Info'!$H$2:$H2446, 0)),IF(G2197='Room Info'!$G$1, INDEX('Room Info'!$A$2:$A2446, MATCH(B2197,'Room Info'!$G$2:$G2446, 0)))))))))</f>
        <v>0</v>
      </c>
      <c r="B2197" s="96"/>
      <c r="C2197" s="111"/>
      <c r="D2197" s="111"/>
      <c r="E2197" s="80"/>
      <c r="F2197" s="133"/>
      <c r="G2197" s="96"/>
      <c r="H2197" s="110"/>
      <c r="I2197" s="110"/>
      <c r="J2197" s="39" t="s">
        <v>334</v>
      </c>
      <c r="K2197" s="112"/>
      <c r="L2197" s="113"/>
      <c r="M2197" s="62"/>
      <c r="N2197" s="28" t="e">
        <f t="shared" si="8"/>
        <v>#VALUE!</v>
      </c>
      <c r="O2197" s="65"/>
      <c r="P2197" s="29" t="s">
        <v>334</v>
      </c>
      <c r="Q2197" s="55"/>
      <c r="R2197" s="31" t="e">
        <f t="shared" si="9"/>
        <v>#VALUE!</v>
      </c>
      <c r="S2197" s="66"/>
      <c r="T2197" s="32" t="e">
        <f t="shared" si="10"/>
        <v>#VALUE!</v>
      </c>
      <c r="U2197" s="57"/>
      <c r="V2197" s="58"/>
      <c r="W2197" s="58"/>
      <c r="X2197" s="30" t="e">
        <f t="shared" si="11"/>
        <v>#N/A</v>
      </c>
      <c r="Y2197" s="30" t="e">
        <f t="shared" si="12"/>
        <v>#N/A</v>
      </c>
      <c r="Z2197" s="35" t="e">
        <f t="shared" si="13"/>
        <v>#VALUE!</v>
      </c>
      <c r="AA2197" s="29" t="e">
        <f t="shared" si="14"/>
        <v>#VALUE!</v>
      </c>
      <c r="AB2197" s="36" t="e">
        <f t="shared" si="15"/>
        <v>#VALUE!</v>
      </c>
      <c r="AC2197" s="37" t="b">
        <v>0</v>
      </c>
      <c r="AD2197" s="61" t="str">
        <f t="shared" si="16"/>
        <v>USD</v>
      </c>
      <c r="AE2197" s="37"/>
      <c r="AF2197" s="37" t="e">
        <f t="array" ref="AF2197">INDEX('Deal Info'!D:D, MATCH(A2197,'Deal Info'!A:A, 0))</f>
        <v>#N/A</v>
      </c>
      <c r="AG2197" s="38" t="e">
        <f t="array" ref="AG2197">INDEX('Deal Info'!G:G, MATCH(A2197,'Deal Info'!A:A, 0))</f>
        <v>#N/A</v>
      </c>
    </row>
    <row r="2198" spans="1:33" ht="14.25" hidden="1" x14ac:dyDescent="0.2">
      <c r="A2198" s="18" t="b">
        <f t="array" ref="A2198">IF(G2198='Room Info'!$B$1, INDEX('Room Info'!$A$2:$A2446, MATCH(B2198,'Room Info'!$B$2:$B2446, 0)),IF(G2198='Room Info'!$C$1, INDEX('Room Info'!$A$2:$A2446, MATCH(B2198,'Room Info'!$C$2:$C2446, 0)),IF(G2198='Room Info'!$D$1, INDEX('Room Info'!$A$2:$A2446, MATCH(B2198,'Room Info'!$D$2:$D2446, 0)),IF(G2198='Room Info'!$E$1, INDEX('Room Info'!$A$2:$A2446, MATCH(B2198,'Room Info'!$E$2:$E2446, 0)),IF(G2198='Room Info'!$F$1, INDEX('Room Info'!$A$2:$A2446, MATCH(B2198,'Room Info'!$F$2:$F2446, 0)),IF(G2198='Room Info'!$H$1, INDEX('Room Info'!$A$2:$A2446, MATCH(B2198,'Room Info'!$H$2:$H2446, 0)),IF(G2198='Room Info'!$G$1, INDEX('Room Info'!$A$2:$A2446, MATCH(B2198,'Room Info'!$G$2:$G2446, 0)))))))))</f>
        <v>0</v>
      </c>
      <c r="B2198" s="96"/>
      <c r="C2198" s="136"/>
      <c r="D2198" s="111"/>
      <c r="E2198" s="80"/>
      <c r="F2198" s="133"/>
      <c r="G2198" s="96"/>
      <c r="H2198" s="100"/>
      <c r="I2198" s="100"/>
      <c r="J2198" s="39" t="s">
        <v>334</v>
      </c>
      <c r="K2198" s="112"/>
      <c r="L2198" s="113"/>
      <c r="M2198" s="62"/>
      <c r="N2198" s="28" t="e">
        <f t="shared" si="8"/>
        <v>#VALUE!</v>
      </c>
      <c r="O2198" s="65"/>
      <c r="P2198" s="29" t="s">
        <v>334</v>
      </c>
      <c r="Q2198" s="55"/>
      <c r="R2198" s="31" t="e">
        <f t="shared" si="9"/>
        <v>#VALUE!</v>
      </c>
      <c r="S2198" s="66"/>
      <c r="T2198" s="32" t="e">
        <f t="shared" si="10"/>
        <v>#VALUE!</v>
      </c>
      <c r="U2198" s="57"/>
      <c r="V2198" s="58"/>
      <c r="W2198" s="58"/>
      <c r="X2198" s="30" t="e">
        <f t="shared" si="11"/>
        <v>#N/A</v>
      </c>
      <c r="Y2198" s="30" t="e">
        <f t="shared" si="12"/>
        <v>#N/A</v>
      </c>
      <c r="Z2198" s="35" t="e">
        <f t="shared" si="13"/>
        <v>#VALUE!</v>
      </c>
      <c r="AA2198" s="29" t="e">
        <f t="shared" si="14"/>
        <v>#VALUE!</v>
      </c>
      <c r="AB2198" s="36" t="e">
        <f t="shared" si="15"/>
        <v>#VALUE!</v>
      </c>
      <c r="AC2198" s="37" t="b">
        <v>0</v>
      </c>
      <c r="AD2198" s="61" t="str">
        <f t="shared" si="16"/>
        <v>USD</v>
      </c>
      <c r="AE2198" s="37"/>
      <c r="AF2198" s="37" t="e">
        <f t="array" ref="AF2198">INDEX('Deal Info'!D:D, MATCH(A2198,'Deal Info'!A:A, 0))</f>
        <v>#N/A</v>
      </c>
      <c r="AG2198" s="38" t="e">
        <f t="array" ref="AG2198">INDEX('Deal Info'!G:G, MATCH(A2198,'Deal Info'!A:A, 0))</f>
        <v>#N/A</v>
      </c>
    </row>
    <row r="2199" spans="1:33" ht="14.25" hidden="1" x14ac:dyDescent="0.2">
      <c r="A2199" s="18" t="b">
        <f t="array" ref="A2199">IF(G2199='Room Info'!$B$1, INDEX('Room Info'!$A$2:$A2446, MATCH(B2199,'Room Info'!$B$2:$B2446, 0)),IF(G2199='Room Info'!$C$1, INDEX('Room Info'!$A$2:$A2446, MATCH(B2199,'Room Info'!$C$2:$C2446, 0)),IF(G2199='Room Info'!$D$1, INDEX('Room Info'!$A$2:$A2446, MATCH(B2199,'Room Info'!$D$2:$D2446, 0)),IF(G2199='Room Info'!$E$1, INDEX('Room Info'!$A$2:$A2446, MATCH(B2199,'Room Info'!$E$2:$E2446, 0)),IF(G2199='Room Info'!$F$1, INDEX('Room Info'!$A$2:$A2446, MATCH(B2199,'Room Info'!$F$2:$F2446, 0)),IF(G2199='Room Info'!$H$1, INDEX('Room Info'!$A$2:$A2446, MATCH(B2199,'Room Info'!$H$2:$H2446, 0)),IF(G2199='Room Info'!$G$1, INDEX('Room Info'!$A$2:$A2446, MATCH(B2199,'Room Info'!$G$2:$G2446, 0)))))))))</f>
        <v>0</v>
      </c>
      <c r="B2199" s="96"/>
      <c r="C2199" s="136"/>
      <c r="D2199" s="111"/>
      <c r="E2199" s="80"/>
      <c r="F2199" s="133"/>
      <c r="G2199" s="96"/>
      <c r="H2199" s="100"/>
      <c r="I2199" s="100"/>
      <c r="J2199" s="39" t="s">
        <v>334</v>
      </c>
      <c r="K2199" s="112"/>
      <c r="L2199" s="113"/>
      <c r="M2199" s="62"/>
      <c r="N2199" s="28" t="e">
        <f t="shared" si="8"/>
        <v>#VALUE!</v>
      </c>
      <c r="O2199" s="65"/>
      <c r="P2199" s="29" t="s">
        <v>334</v>
      </c>
      <c r="Q2199" s="55"/>
      <c r="R2199" s="31" t="e">
        <f t="shared" si="9"/>
        <v>#VALUE!</v>
      </c>
      <c r="S2199" s="66"/>
      <c r="T2199" s="32" t="e">
        <f t="shared" si="10"/>
        <v>#VALUE!</v>
      </c>
      <c r="U2199" s="57"/>
      <c r="V2199" s="58"/>
      <c r="W2199" s="58"/>
      <c r="X2199" s="30" t="e">
        <f t="shared" si="11"/>
        <v>#N/A</v>
      </c>
      <c r="Y2199" s="30" t="e">
        <f t="shared" si="12"/>
        <v>#N/A</v>
      </c>
      <c r="Z2199" s="35" t="e">
        <f t="shared" si="13"/>
        <v>#VALUE!</v>
      </c>
      <c r="AA2199" s="29" t="e">
        <f t="shared" si="14"/>
        <v>#VALUE!</v>
      </c>
      <c r="AB2199" s="36" t="e">
        <f t="shared" si="15"/>
        <v>#VALUE!</v>
      </c>
      <c r="AC2199" s="37" t="b">
        <v>0</v>
      </c>
      <c r="AD2199" s="61" t="str">
        <f t="shared" si="16"/>
        <v>USD</v>
      </c>
      <c r="AE2199" s="37"/>
      <c r="AF2199" s="37" t="e">
        <f t="array" ref="AF2199">INDEX('Deal Info'!D:D, MATCH(A2199,'Deal Info'!A:A, 0))</f>
        <v>#N/A</v>
      </c>
      <c r="AG2199" s="38" t="e">
        <f t="array" ref="AG2199">INDEX('Deal Info'!G:G, MATCH(A2199,'Deal Info'!A:A, 0))</f>
        <v>#N/A</v>
      </c>
    </row>
    <row r="2200" spans="1:33" ht="14.25" hidden="1" x14ac:dyDescent="0.2">
      <c r="A2200" s="18" t="b">
        <f t="array" ref="A2200">IF(G2200='Room Info'!$B$1, INDEX('Room Info'!$A$2:$A2446, MATCH(B2200,'Room Info'!$B$2:$B2446, 0)),IF(G2200='Room Info'!$C$1, INDEX('Room Info'!$A$2:$A2446, MATCH(B2200,'Room Info'!$C$2:$C2446, 0)),IF(G2200='Room Info'!$D$1, INDEX('Room Info'!$A$2:$A2446, MATCH(B2200,'Room Info'!$D$2:$D2446, 0)),IF(G2200='Room Info'!$E$1, INDEX('Room Info'!$A$2:$A2446, MATCH(B2200,'Room Info'!$E$2:$E2446, 0)),IF(G2200='Room Info'!$F$1, INDEX('Room Info'!$A$2:$A2446, MATCH(B2200,'Room Info'!$F$2:$F2446, 0)),IF(G2200='Room Info'!$H$1, INDEX('Room Info'!$A$2:$A2446, MATCH(B2200,'Room Info'!$H$2:$H2446, 0)),IF(G2200='Room Info'!$G$1, INDEX('Room Info'!$A$2:$A2446, MATCH(B2200,'Room Info'!$G$2:$G2446, 0)))))))))</f>
        <v>0</v>
      </c>
      <c r="B2200" s="96"/>
      <c r="C2200" s="136"/>
      <c r="D2200" s="111"/>
      <c r="E2200" s="80"/>
      <c r="F2200" s="133"/>
      <c r="G2200" s="96"/>
      <c r="H2200" s="110"/>
      <c r="I2200" s="110"/>
      <c r="J2200" s="39" t="s">
        <v>334</v>
      </c>
      <c r="K2200" s="112"/>
      <c r="L2200" s="113"/>
      <c r="M2200" s="62"/>
      <c r="N2200" s="28" t="e">
        <f t="shared" si="8"/>
        <v>#VALUE!</v>
      </c>
      <c r="O2200" s="65"/>
      <c r="P2200" s="29" t="s">
        <v>334</v>
      </c>
      <c r="Q2200" s="55"/>
      <c r="R2200" s="31" t="e">
        <f t="shared" si="9"/>
        <v>#VALUE!</v>
      </c>
      <c r="S2200" s="66"/>
      <c r="T2200" s="32" t="e">
        <f t="shared" si="10"/>
        <v>#VALUE!</v>
      </c>
      <c r="U2200" s="57"/>
      <c r="V2200" s="58"/>
      <c r="W2200" s="58"/>
      <c r="X2200" s="30" t="e">
        <f t="shared" si="11"/>
        <v>#N/A</v>
      </c>
      <c r="Y2200" s="30" t="e">
        <f t="shared" si="12"/>
        <v>#N/A</v>
      </c>
      <c r="Z2200" s="35" t="e">
        <f t="shared" si="13"/>
        <v>#VALUE!</v>
      </c>
      <c r="AA2200" s="29" t="e">
        <f t="shared" si="14"/>
        <v>#VALUE!</v>
      </c>
      <c r="AB2200" s="36" t="e">
        <f t="shared" si="15"/>
        <v>#VALUE!</v>
      </c>
      <c r="AC2200" s="37" t="b">
        <v>0</v>
      </c>
      <c r="AD2200" s="61" t="str">
        <f t="shared" si="16"/>
        <v>USD</v>
      </c>
      <c r="AE2200" s="37"/>
      <c r="AF2200" s="37" t="e">
        <f t="array" ref="AF2200">INDEX('Deal Info'!D:D, MATCH(A2200,'Deal Info'!A:A, 0))</f>
        <v>#N/A</v>
      </c>
      <c r="AG2200" s="38" t="e">
        <f t="array" ref="AG2200">INDEX('Deal Info'!G:G, MATCH(A2200,'Deal Info'!A:A, 0))</f>
        <v>#N/A</v>
      </c>
    </row>
    <row r="2201" spans="1:33" ht="14.25" hidden="1" x14ac:dyDescent="0.2">
      <c r="A2201" s="18" t="b">
        <f t="array" ref="A2201">IF(G2201='Room Info'!$B$1, INDEX('Room Info'!$A$2:$A2446, MATCH(B2201,'Room Info'!$B$2:$B2446, 0)),IF(G2201='Room Info'!$C$1, INDEX('Room Info'!$A$2:$A2446, MATCH(B2201,'Room Info'!$C$2:$C2446, 0)),IF(G2201='Room Info'!$D$1, INDEX('Room Info'!$A$2:$A2446, MATCH(B2201,'Room Info'!$D$2:$D2446, 0)),IF(G2201='Room Info'!$E$1, INDEX('Room Info'!$A$2:$A2446, MATCH(B2201,'Room Info'!$E$2:$E2446, 0)),IF(G2201='Room Info'!$F$1, INDEX('Room Info'!$A$2:$A2446, MATCH(B2201,'Room Info'!$F$2:$F2446, 0)),IF(G2201='Room Info'!$H$1, INDEX('Room Info'!$A$2:$A2446, MATCH(B2201,'Room Info'!$H$2:$H2446, 0)),IF(G2201='Room Info'!$G$1, INDEX('Room Info'!$A$2:$A2446, MATCH(B2201,'Room Info'!$G$2:$G2446, 0)))))))))</f>
        <v>0</v>
      </c>
      <c r="B2201" s="96"/>
      <c r="C2201" s="111"/>
      <c r="D2201" s="111"/>
      <c r="E2201" s="80"/>
      <c r="F2201" s="133"/>
      <c r="G2201" s="65"/>
      <c r="H2201" s="65"/>
      <c r="I2201" s="65"/>
      <c r="J2201" s="39" t="s">
        <v>334</v>
      </c>
      <c r="K2201" s="112"/>
      <c r="L2201" s="113"/>
      <c r="M2201" s="62"/>
      <c r="N2201" s="28" t="e">
        <f t="shared" si="8"/>
        <v>#VALUE!</v>
      </c>
      <c r="O2201" s="65"/>
      <c r="P2201" s="29" t="s">
        <v>334</v>
      </c>
      <c r="Q2201" s="55"/>
      <c r="R2201" s="31" t="e">
        <f t="shared" si="9"/>
        <v>#VALUE!</v>
      </c>
      <c r="S2201" s="66"/>
      <c r="T2201" s="32" t="e">
        <f t="shared" si="10"/>
        <v>#VALUE!</v>
      </c>
      <c r="U2201" s="57"/>
      <c r="V2201" s="58"/>
      <c r="W2201" s="58"/>
      <c r="X2201" s="30" t="e">
        <f t="shared" si="11"/>
        <v>#N/A</v>
      </c>
      <c r="Y2201" s="30" t="e">
        <f t="shared" si="12"/>
        <v>#N/A</v>
      </c>
      <c r="Z2201" s="35" t="e">
        <f t="shared" si="13"/>
        <v>#VALUE!</v>
      </c>
      <c r="AA2201" s="29" t="e">
        <f t="shared" si="14"/>
        <v>#VALUE!</v>
      </c>
      <c r="AB2201" s="36" t="e">
        <f t="shared" si="15"/>
        <v>#VALUE!</v>
      </c>
      <c r="AC2201" s="37" t="b">
        <v>0</v>
      </c>
      <c r="AD2201" s="61" t="str">
        <f t="shared" si="16"/>
        <v>USD</v>
      </c>
      <c r="AE2201" s="37"/>
      <c r="AF2201" s="37" t="e">
        <f t="array" ref="AF2201">INDEX('Deal Info'!D:D, MATCH(A2201,'Deal Info'!A:A, 0))</f>
        <v>#N/A</v>
      </c>
      <c r="AG2201" s="38" t="e">
        <f t="array" ref="AG2201">INDEX('Deal Info'!G:G, MATCH(A2201,'Deal Info'!A:A, 0))</f>
        <v>#N/A</v>
      </c>
    </row>
    <row r="2202" spans="1:33" ht="14.25" hidden="1" x14ac:dyDescent="0.2">
      <c r="A2202" s="18" t="b">
        <f t="array" ref="A2202">IF(G2202='Room Info'!$B$1, INDEX('Room Info'!$A$2:$A2446, MATCH(B2202,'Room Info'!$B$2:$B2446, 0)),IF(G2202='Room Info'!$C$1, INDEX('Room Info'!$A$2:$A2446, MATCH(B2202,'Room Info'!$C$2:$C2446, 0)),IF(G2202='Room Info'!$D$1, INDEX('Room Info'!$A$2:$A2446, MATCH(B2202,'Room Info'!$D$2:$D2446, 0)),IF(G2202='Room Info'!$E$1, INDEX('Room Info'!$A$2:$A2446, MATCH(B2202,'Room Info'!$E$2:$E2446, 0)),IF(G2202='Room Info'!$F$1, INDEX('Room Info'!$A$2:$A2446, MATCH(B2202,'Room Info'!$F$2:$F2446, 0)),IF(G2202='Room Info'!$H$1, INDEX('Room Info'!$A$2:$A2446, MATCH(B2202,'Room Info'!$H$2:$H2446, 0)),IF(G2202='Room Info'!$G$1, INDEX('Room Info'!$A$2:$A2446, MATCH(B2202,'Room Info'!$G$2:$G2446, 0)))))))))</f>
        <v>0</v>
      </c>
      <c r="B2202" s="65"/>
      <c r="C2202" s="111"/>
      <c r="D2202" s="111"/>
      <c r="E2202" s="80"/>
      <c r="F2202" s="96"/>
      <c r="G2202" s="65"/>
      <c r="H2202" s="110"/>
      <c r="I2202" s="110"/>
      <c r="J2202" s="39" t="s">
        <v>334</v>
      </c>
      <c r="K2202" s="134"/>
      <c r="L2202" s="135"/>
      <c r="M2202" s="62"/>
      <c r="N2202" s="28" t="e">
        <f t="shared" si="8"/>
        <v>#VALUE!</v>
      </c>
      <c r="O2202" s="96"/>
      <c r="P2202" s="29" t="s">
        <v>334</v>
      </c>
      <c r="Q2202" s="55"/>
      <c r="R2202" s="31" t="e">
        <f t="shared" si="9"/>
        <v>#VALUE!</v>
      </c>
      <c r="S2202" s="97"/>
      <c r="T2202" s="32" t="e">
        <f t="shared" si="10"/>
        <v>#VALUE!</v>
      </c>
      <c r="U2202" s="57"/>
      <c r="V2202" s="58"/>
      <c r="W2202" s="58"/>
      <c r="X2202" s="30" t="e">
        <f t="shared" si="11"/>
        <v>#N/A</v>
      </c>
      <c r="Y2202" s="30" t="e">
        <f t="shared" si="12"/>
        <v>#N/A</v>
      </c>
      <c r="Z2202" s="35" t="e">
        <f t="shared" si="13"/>
        <v>#VALUE!</v>
      </c>
      <c r="AA2202" s="29" t="e">
        <f t="shared" si="14"/>
        <v>#VALUE!</v>
      </c>
      <c r="AB2202" s="36" t="e">
        <f t="shared" si="15"/>
        <v>#VALUE!</v>
      </c>
      <c r="AC2202" s="37" t="b">
        <v>0</v>
      </c>
      <c r="AD2202" s="61" t="str">
        <f t="shared" si="16"/>
        <v>USD</v>
      </c>
      <c r="AE2202" s="37"/>
      <c r="AF2202" s="37" t="e">
        <f t="array" ref="AF2202">INDEX('Deal Info'!D:D, MATCH(A2202,'Deal Info'!A:A, 0))</f>
        <v>#N/A</v>
      </c>
      <c r="AG2202" s="38" t="e">
        <f t="array" ref="AG2202">INDEX('Deal Info'!G:G, MATCH(A2202,'Deal Info'!A:A, 0))</f>
        <v>#N/A</v>
      </c>
    </row>
    <row r="2203" spans="1:33" ht="14.25" hidden="1" x14ac:dyDescent="0.2">
      <c r="A2203" s="18" t="b">
        <f t="array" ref="A2203">IF(G2203='Room Info'!$B$1, INDEX('Room Info'!$A$2:$A2446, MATCH(B2203,'Room Info'!$B$2:$B2446, 0)),IF(G2203='Room Info'!$C$1, INDEX('Room Info'!$A$2:$A2446, MATCH(B2203,'Room Info'!$C$2:$C2446, 0)),IF(G2203='Room Info'!$D$1, INDEX('Room Info'!$A$2:$A2446, MATCH(B2203,'Room Info'!$D$2:$D2446, 0)),IF(G2203='Room Info'!$E$1, INDEX('Room Info'!$A$2:$A2446, MATCH(B2203,'Room Info'!$E$2:$E2446, 0)),IF(G2203='Room Info'!$F$1, INDEX('Room Info'!$A$2:$A2446, MATCH(B2203,'Room Info'!$F$2:$F2446, 0)),IF(G2203='Room Info'!$H$1, INDEX('Room Info'!$A$2:$A2446, MATCH(B2203,'Room Info'!$H$2:$H2446, 0)),IF(G2203='Room Info'!$G$1, INDEX('Room Info'!$A$2:$A2446, MATCH(B2203,'Room Info'!$G$2:$G2446, 0)))))))))</f>
        <v>0</v>
      </c>
      <c r="B2203" s="65"/>
      <c r="C2203" s="111"/>
      <c r="D2203" s="111"/>
      <c r="E2203" s="80"/>
      <c r="F2203" s="96"/>
      <c r="G2203" s="65"/>
      <c r="H2203" s="110"/>
      <c r="I2203" s="110"/>
      <c r="J2203" s="39" t="s">
        <v>334</v>
      </c>
      <c r="K2203" s="134"/>
      <c r="L2203" s="135"/>
      <c r="M2203" s="62"/>
      <c r="N2203" s="28" t="e">
        <f t="shared" si="8"/>
        <v>#VALUE!</v>
      </c>
      <c r="O2203" s="96"/>
      <c r="P2203" s="29" t="s">
        <v>334</v>
      </c>
      <c r="Q2203" s="55"/>
      <c r="R2203" s="31" t="e">
        <f t="shared" si="9"/>
        <v>#VALUE!</v>
      </c>
      <c r="S2203" s="97"/>
      <c r="T2203" s="32" t="e">
        <f t="shared" si="10"/>
        <v>#VALUE!</v>
      </c>
      <c r="U2203" s="57"/>
      <c r="V2203" s="58"/>
      <c r="W2203" s="58"/>
      <c r="X2203" s="30" t="e">
        <f t="shared" si="11"/>
        <v>#N/A</v>
      </c>
      <c r="Y2203" s="30" t="e">
        <f t="shared" si="12"/>
        <v>#N/A</v>
      </c>
      <c r="Z2203" s="35" t="e">
        <f t="shared" si="13"/>
        <v>#VALUE!</v>
      </c>
      <c r="AA2203" s="29" t="e">
        <f t="shared" si="14"/>
        <v>#VALUE!</v>
      </c>
      <c r="AB2203" s="36" t="e">
        <f t="shared" si="15"/>
        <v>#VALUE!</v>
      </c>
      <c r="AC2203" s="37" t="b">
        <v>0</v>
      </c>
      <c r="AD2203" s="61" t="str">
        <f t="shared" si="16"/>
        <v>USD</v>
      </c>
      <c r="AE2203" s="37"/>
      <c r="AF2203" s="37" t="e">
        <f t="array" ref="AF2203">INDEX('Deal Info'!D:D, MATCH(A2203,'Deal Info'!A:A, 0))</f>
        <v>#N/A</v>
      </c>
      <c r="AG2203" s="38" t="e">
        <f t="array" ref="AG2203">INDEX('Deal Info'!G:G, MATCH(A2203,'Deal Info'!A:A, 0))</f>
        <v>#N/A</v>
      </c>
    </row>
    <row r="2204" spans="1:33" ht="14.25" hidden="1" x14ac:dyDescent="0.2">
      <c r="A2204" s="18" t="b">
        <f t="array" ref="A2204">IF(G2204='Room Info'!$B$1, INDEX('Room Info'!$A$2:$A2446, MATCH(B2204,'Room Info'!$B$2:$B2446, 0)),IF(G2204='Room Info'!$C$1, INDEX('Room Info'!$A$2:$A2446, MATCH(B2204,'Room Info'!$C$2:$C2446, 0)),IF(G2204='Room Info'!$D$1, INDEX('Room Info'!$A$2:$A2446, MATCH(B2204,'Room Info'!$D$2:$D2446, 0)),IF(G2204='Room Info'!$E$1, INDEX('Room Info'!$A$2:$A2446, MATCH(B2204,'Room Info'!$E$2:$E2446, 0)),IF(G2204='Room Info'!$F$1, INDEX('Room Info'!$A$2:$A2446, MATCH(B2204,'Room Info'!$F$2:$F2446, 0)),IF(G2204='Room Info'!$H$1, INDEX('Room Info'!$A$2:$A2446, MATCH(B2204,'Room Info'!$H$2:$H2446, 0)),IF(G2204='Room Info'!$G$1, INDEX('Room Info'!$A$2:$A2446, MATCH(B2204,'Room Info'!$G$2:$G2446, 0)))))))))</f>
        <v>0</v>
      </c>
      <c r="B2204" s="96"/>
      <c r="C2204" s="111"/>
      <c r="D2204" s="111"/>
      <c r="E2204" s="80"/>
      <c r="F2204" s="133"/>
      <c r="G2204" s="65"/>
      <c r="H2204" s="110"/>
      <c r="I2204" s="110"/>
      <c r="J2204" s="39" t="s">
        <v>334</v>
      </c>
      <c r="K2204" s="112"/>
      <c r="L2204" s="113"/>
      <c r="M2204" s="62"/>
      <c r="N2204" s="28" t="e">
        <f t="shared" si="8"/>
        <v>#VALUE!</v>
      </c>
      <c r="O2204" s="65"/>
      <c r="P2204" s="29" t="s">
        <v>334</v>
      </c>
      <c r="Q2204" s="55"/>
      <c r="R2204" s="31" t="e">
        <f t="shared" si="9"/>
        <v>#VALUE!</v>
      </c>
      <c r="S2204" s="66"/>
      <c r="T2204" s="32" t="e">
        <f t="shared" si="10"/>
        <v>#VALUE!</v>
      </c>
      <c r="U2204" s="57"/>
      <c r="V2204" s="58"/>
      <c r="W2204" s="58"/>
      <c r="X2204" s="30" t="e">
        <f t="shared" si="11"/>
        <v>#N/A</v>
      </c>
      <c r="Y2204" s="30" t="e">
        <f t="shared" si="12"/>
        <v>#N/A</v>
      </c>
      <c r="Z2204" s="35" t="e">
        <f t="shared" si="13"/>
        <v>#VALUE!</v>
      </c>
      <c r="AA2204" s="29" t="e">
        <f t="shared" si="14"/>
        <v>#VALUE!</v>
      </c>
      <c r="AB2204" s="36" t="e">
        <f t="shared" si="15"/>
        <v>#VALUE!</v>
      </c>
      <c r="AC2204" s="37" t="b">
        <v>0</v>
      </c>
      <c r="AD2204" s="61" t="str">
        <f t="shared" si="16"/>
        <v>USD</v>
      </c>
      <c r="AE2204" s="37"/>
      <c r="AF2204" s="37" t="e">
        <f t="array" ref="AF2204">INDEX('Deal Info'!D:D, MATCH(A2204,'Deal Info'!A:A, 0))</f>
        <v>#N/A</v>
      </c>
      <c r="AG2204" s="38" t="e">
        <f t="array" ref="AG2204">INDEX('Deal Info'!G:G, MATCH(A2204,'Deal Info'!A:A, 0))</f>
        <v>#N/A</v>
      </c>
    </row>
    <row r="2205" spans="1:33" ht="14.25" hidden="1" x14ac:dyDescent="0.2">
      <c r="A2205" s="18" t="b">
        <f t="array" ref="A2205">IF(G2205='Room Info'!$B$1, INDEX('Room Info'!$A$2:$A2446, MATCH(B2205,'Room Info'!$B$2:$B2446, 0)),IF(G2205='Room Info'!$C$1, INDEX('Room Info'!$A$2:$A2446, MATCH(B2205,'Room Info'!$C$2:$C2446, 0)),IF(G2205='Room Info'!$D$1, INDEX('Room Info'!$A$2:$A2446, MATCH(B2205,'Room Info'!$D$2:$D2446, 0)),IF(G2205='Room Info'!$E$1, INDEX('Room Info'!$A$2:$A2446, MATCH(B2205,'Room Info'!$E$2:$E2446, 0)),IF(G2205='Room Info'!$F$1, INDEX('Room Info'!$A$2:$A2446, MATCH(B2205,'Room Info'!$F$2:$F2446, 0)),IF(G2205='Room Info'!$H$1, INDEX('Room Info'!$A$2:$A2446, MATCH(B2205,'Room Info'!$H$2:$H2446, 0)),IF(G2205='Room Info'!$G$1, INDEX('Room Info'!$A$2:$A2446, MATCH(B2205,'Room Info'!$G$2:$G2446, 0)))))))))</f>
        <v>0</v>
      </c>
      <c r="B2205" s="96"/>
      <c r="C2205" s="111"/>
      <c r="D2205" s="111"/>
      <c r="E2205" s="80"/>
      <c r="F2205" s="133"/>
      <c r="G2205" s="65"/>
      <c r="H2205" s="110"/>
      <c r="I2205" s="110"/>
      <c r="J2205" s="39" t="s">
        <v>334</v>
      </c>
      <c r="K2205" s="112"/>
      <c r="L2205" s="113"/>
      <c r="M2205" s="62"/>
      <c r="N2205" s="28" t="e">
        <f t="shared" si="8"/>
        <v>#VALUE!</v>
      </c>
      <c r="O2205" s="65"/>
      <c r="P2205" s="29" t="s">
        <v>334</v>
      </c>
      <c r="Q2205" s="55"/>
      <c r="R2205" s="31" t="e">
        <f t="shared" si="9"/>
        <v>#VALUE!</v>
      </c>
      <c r="S2205" s="66"/>
      <c r="T2205" s="32" t="e">
        <f t="shared" si="10"/>
        <v>#VALUE!</v>
      </c>
      <c r="U2205" s="57"/>
      <c r="V2205" s="58"/>
      <c r="W2205" s="58"/>
      <c r="X2205" s="30" t="e">
        <f t="shared" si="11"/>
        <v>#N/A</v>
      </c>
      <c r="Y2205" s="30" t="e">
        <f t="shared" si="12"/>
        <v>#N/A</v>
      </c>
      <c r="Z2205" s="35" t="e">
        <f t="shared" si="13"/>
        <v>#VALUE!</v>
      </c>
      <c r="AA2205" s="29" t="e">
        <f t="shared" si="14"/>
        <v>#VALUE!</v>
      </c>
      <c r="AB2205" s="36" t="e">
        <f t="shared" si="15"/>
        <v>#VALUE!</v>
      </c>
      <c r="AC2205" s="37" t="b">
        <v>0</v>
      </c>
      <c r="AD2205" s="61" t="str">
        <f t="shared" si="16"/>
        <v>USD</v>
      </c>
      <c r="AE2205" s="37"/>
      <c r="AF2205" s="37" t="e">
        <f t="array" ref="AF2205">INDEX('Deal Info'!D:D, MATCH(A2205,'Deal Info'!A:A, 0))</f>
        <v>#N/A</v>
      </c>
      <c r="AG2205" s="38" t="e">
        <f t="array" ref="AG2205">INDEX('Deal Info'!G:G, MATCH(A2205,'Deal Info'!A:A, 0))</f>
        <v>#N/A</v>
      </c>
    </row>
    <row r="2206" spans="1:33" ht="14.25" hidden="1" x14ac:dyDescent="0.2">
      <c r="A2206" s="18" t="b">
        <f t="array" ref="A2206">IF(G2206='Room Info'!$B$1, INDEX('Room Info'!$A$2:$A2446, MATCH(B2206,'Room Info'!$B$2:$B2446, 0)),IF(G2206='Room Info'!$C$1, INDEX('Room Info'!$A$2:$A2446, MATCH(B2206,'Room Info'!$C$2:$C2446, 0)),IF(G2206='Room Info'!$D$1, INDEX('Room Info'!$A$2:$A2446, MATCH(B2206,'Room Info'!$D$2:$D2446, 0)),IF(G2206='Room Info'!$E$1, INDEX('Room Info'!$A$2:$A2446, MATCH(B2206,'Room Info'!$E$2:$E2446, 0)),IF(G2206='Room Info'!$F$1, INDEX('Room Info'!$A$2:$A2446, MATCH(B2206,'Room Info'!$F$2:$F2446, 0)),IF(G2206='Room Info'!$H$1, INDEX('Room Info'!$A$2:$A2446, MATCH(B2206,'Room Info'!$H$2:$H2446, 0)),IF(G2206='Room Info'!$G$1, INDEX('Room Info'!$A$2:$A2446, MATCH(B2206,'Room Info'!$G$2:$G2446, 0)))))))))</f>
        <v>0</v>
      </c>
      <c r="B2206" s="96"/>
      <c r="C2206" s="111"/>
      <c r="D2206" s="111"/>
      <c r="E2206" s="80"/>
      <c r="F2206" s="96"/>
      <c r="G2206" s="65"/>
      <c r="H2206" s="110"/>
      <c r="I2206" s="110"/>
      <c r="J2206" s="39" t="s">
        <v>334</v>
      </c>
      <c r="K2206" s="112"/>
      <c r="L2206" s="113"/>
      <c r="M2206" s="62"/>
      <c r="N2206" s="28" t="e">
        <f t="shared" si="8"/>
        <v>#VALUE!</v>
      </c>
      <c r="O2206" s="65"/>
      <c r="P2206" s="29" t="s">
        <v>334</v>
      </c>
      <c r="Q2206" s="55"/>
      <c r="R2206" s="31" t="e">
        <f t="shared" si="9"/>
        <v>#VALUE!</v>
      </c>
      <c r="S2206" s="66"/>
      <c r="T2206" s="32" t="e">
        <f t="shared" si="10"/>
        <v>#VALUE!</v>
      </c>
      <c r="U2206" s="57"/>
      <c r="V2206" s="58"/>
      <c r="W2206" s="58"/>
      <c r="X2206" s="30" t="e">
        <f t="shared" si="11"/>
        <v>#N/A</v>
      </c>
      <c r="Y2206" s="30" t="e">
        <f t="shared" si="12"/>
        <v>#N/A</v>
      </c>
      <c r="Z2206" s="35" t="e">
        <f t="shared" si="13"/>
        <v>#VALUE!</v>
      </c>
      <c r="AA2206" s="29" t="e">
        <f t="shared" si="14"/>
        <v>#VALUE!</v>
      </c>
      <c r="AB2206" s="36" t="e">
        <f t="shared" si="15"/>
        <v>#VALUE!</v>
      </c>
      <c r="AC2206" s="37" t="b">
        <v>0</v>
      </c>
      <c r="AD2206" s="61" t="str">
        <f t="shared" si="16"/>
        <v>USD</v>
      </c>
      <c r="AE2206" s="37"/>
      <c r="AF2206" s="37" t="e">
        <f t="array" ref="AF2206">INDEX('Deal Info'!D:D, MATCH(A2206,'Deal Info'!A:A, 0))</f>
        <v>#N/A</v>
      </c>
      <c r="AG2206" s="38" t="e">
        <f t="array" ref="AG2206">INDEX('Deal Info'!G:G, MATCH(A2206,'Deal Info'!A:A, 0))</f>
        <v>#N/A</v>
      </c>
    </row>
    <row r="2207" spans="1:33" ht="14.25" hidden="1" x14ac:dyDescent="0.2">
      <c r="A2207" s="18" t="b">
        <f t="array" ref="A2207">IF(G2207='Room Info'!$B$1, INDEX('Room Info'!$A$2:$A2446, MATCH(B2207,'Room Info'!$B$2:$B2446, 0)),IF(G2207='Room Info'!$C$1, INDEX('Room Info'!$A$2:$A2446, MATCH(B2207,'Room Info'!$C$2:$C2446, 0)),IF(G2207='Room Info'!$D$1, INDEX('Room Info'!$A$2:$A2446, MATCH(B2207,'Room Info'!$D$2:$D2446, 0)),IF(G2207='Room Info'!$E$1, INDEX('Room Info'!$A$2:$A2446, MATCH(B2207,'Room Info'!$E$2:$E2446, 0)),IF(G2207='Room Info'!$F$1, INDEX('Room Info'!$A$2:$A2446, MATCH(B2207,'Room Info'!$F$2:$F2446, 0)),IF(G2207='Room Info'!$H$1, INDEX('Room Info'!$A$2:$A2446, MATCH(B2207,'Room Info'!$H$2:$H2446, 0)),IF(G2207='Room Info'!$G$1, INDEX('Room Info'!$A$2:$A2446, MATCH(B2207,'Room Info'!$G$2:$G2446, 0)))))))))</f>
        <v>0</v>
      </c>
      <c r="B2207" s="96"/>
      <c r="C2207" s="111"/>
      <c r="D2207" s="111"/>
      <c r="E2207" s="80"/>
      <c r="F2207" s="96"/>
      <c r="G2207" s="65"/>
      <c r="H2207" s="110"/>
      <c r="I2207" s="110"/>
      <c r="J2207" s="39" t="s">
        <v>334</v>
      </c>
      <c r="K2207" s="112"/>
      <c r="L2207" s="113"/>
      <c r="M2207" s="62"/>
      <c r="N2207" s="28" t="e">
        <f t="shared" si="8"/>
        <v>#VALUE!</v>
      </c>
      <c r="O2207" s="65"/>
      <c r="P2207" s="29" t="s">
        <v>334</v>
      </c>
      <c r="Q2207" s="55"/>
      <c r="R2207" s="31" t="e">
        <f t="shared" si="9"/>
        <v>#VALUE!</v>
      </c>
      <c r="S2207" s="66"/>
      <c r="T2207" s="32" t="e">
        <f t="shared" si="10"/>
        <v>#VALUE!</v>
      </c>
      <c r="U2207" s="57"/>
      <c r="V2207" s="58"/>
      <c r="W2207" s="58"/>
      <c r="X2207" s="30" t="e">
        <f t="shared" si="11"/>
        <v>#N/A</v>
      </c>
      <c r="Y2207" s="30" t="e">
        <f t="shared" si="12"/>
        <v>#N/A</v>
      </c>
      <c r="Z2207" s="35" t="e">
        <f t="shared" si="13"/>
        <v>#VALUE!</v>
      </c>
      <c r="AA2207" s="29" t="e">
        <f t="shared" si="14"/>
        <v>#VALUE!</v>
      </c>
      <c r="AB2207" s="36" t="e">
        <f t="shared" si="15"/>
        <v>#VALUE!</v>
      </c>
      <c r="AC2207" s="37" t="b">
        <v>0</v>
      </c>
      <c r="AD2207" s="61" t="str">
        <f t="shared" si="16"/>
        <v>USD</v>
      </c>
      <c r="AE2207" s="37"/>
      <c r="AF2207" s="37" t="e">
        <f t="array" ref="AF2207">INDEX('Deal Info'!D:D, MATCH(A2207,'Deal Info'!A:A, 0))</f>
        <v>#N/A</v>
      </c>
      <c r="AG2207" s="38" t="e">
        <f t="array" ref="AG2207">INDEX('Deal Info'!G:G, MATCH(A2207,'Deal Info'!A:A, 0))</f>
        <v>#N/A</v>
      </c>
    </row>
    <row r="2208" spans="1:33" ht="14.25" hidden="1" x14ac:dyDescent="0.2">
      <c r="A2208" s="18" t="b">
        <f t="array" ref="A2208">IF(G2208='Room Info'!$B$1, INDEX('Room Info'!$A$2:$A2446, MATCH(B2208,'Room Info'!$B$2:$B2446, 0)),IF(G2208='Room Info'!$C$1, INDEX('Room Info'!$A$2:$A2446, MATCH(B2208,'Room Info'!$C$2:$C2446, 0)),IF(G2208='Room Info'!$D$1, INDEX('Room Info'!$A$2:$A2446, MATCH(B2208,'Room Info'!$D$2:$D2446, 0)),IF(G2208='Room Info'!$E$1, INDEX('Room Info'!$A$2:$A2446, MATCH(B2208,'Room Info'!$E$2:$E2446, 0)),IF(G2208='Room Info'!$F$1, INDEX('Room Info'!$A$2:$A2446, MATCH(B2208,'Room Info'!$F$2:$F2446, 0)),IF(G2208='Room Info'!$H$1, INDEX('Room Info'!$A$2:$A2446, MATCH(B2208,'Room Info'!$H$2:$H2446, 0)),IF(G2208='Room Info'!$G$1, INDEX('Room Info'!$A$2:$A2446, MATCH(B2208,'Room Info'!$G$2:$G2446, 0)))))))))</f>
        <v>0</v>
      </c>
      <c r="B2208" s="96"/>
      <c r="C2208" s="111"/>
      <c r="D2208" s="111"/>
      <c r="E2208" s="80"/>
      <c r="F2208" s="96"/>
      <c r="G2208" s="65"/>
      <c r="H2208" s="110"/>
      <c r="I2208" s="110"/>
      <c r="J2208" s="39" t="s">
        <v>334</v>
      </c>
      <c r="K2208" s="112"/>
      <c r="L2208" s="113"/>
      <c r="M2208" s="62"/>
      <c r="N2208" s="28" t="e">
        <f t="shared" si="8"/>
        <v>#VALUE!</v>
      </c>
      <c r="O2208" s="65"/>
      <c r="P2208" s="29" t="s">
        <v>334</v>
      </c>
      <c r="Q2208" s="55"/>
      <c r="R2208" s="31" t="e">
        <f t="shared" si="9"/>
        <v>#VALUE!</v>
      </c>
      <c r="S2208" s="66"/>
      <c r="T2208" s="32" t="e">
        <f t="shared" si="10"/>
        <v>#VALUE!</v>
      </c>
      <c r="U2208" s="57"/>
      <c r="V2208" s="58"/>
      <c r="W2208" s="58"/>
      <c r="X2208" s="30" t="e">
        <f t="shared" si="11"/>
        <v>#N/A</v>
      </c>
      <c r="Y2208" s="30" t="e">
        <f t="shared" si="12"/>
        <v>#N/A</v>
      </c>
      <c r="Z2208" s="35" t="e">
        <f t="shared" si="13"/>
        <v>#VALUE!</v>
      </c>
      <c r="AA2208" s="29" t="e">
        <f t="shared" si="14"/>
        <v>#VALUE!</v>
      </c>
      <c r="AB2208" s="36" t="e">
        <f t="shared" si="15"/>
        <v>#VALUE!</v>
      </c>
      <c r="AC2208" s="37" t="b">
        <v>0</v>
      </c>
      <c r="AD2208" s="61" t="str">
        <f t="shared" si="16"/>
        <v>USD</v>
      </c>
      <c r="AE2208" s="37"/>
      <c r="AF2208" s="37" t="e">
        <f t="array" ref="AF2208">INDEX('Deal Info'!D:D, MATCH(A2208,'Deal Info'!A:A, 0))</f>
        <v>#N/A</v>
      </c>
      <c r="AG2208" s="38" t="e">
        <f t="array" ref="AG2208">INDEX('Deal Info'!G:G, MATCH(A2208,'Deal Info'!A:A, 0))</f>
        <v>#N/A</v>
      </c>
    </row>
    <row r="2209" spans="1:33" ht="14.25" hidden="1" x14ac:dyDescent="0.2">
      <c r="A2209" s="18" t="b">
        <f t="array" ref="A2209">IF(G2209='Room Info'!$B$1, INDEX('Room Info'!$A$2:$A2446, MATCH(B2209,'Room Info'!$B$2:$B2446, 0)),IF(G2209='Room Info'!$C$1, INDEX('Room Info'!$A$2:$A2446, MATCH(B2209,'Room Info'!$C$2:$C2446, 0)),IF(G2209='Room Info'!$D$1, INDEX('Room Info'!$A$2:$A2446, MATCH(B2209,'Room Info'!$D$2:$D2446, 0)),IF(G2209='Room Info'!$E$1, INDEX('Room Info'!$A$2:$A2446, MATCH(B2209,'Room Info'!$E$2:$E2446, 0)),IF(G2209='Room Info'!$F$1, INDEX('Room Info'!$A$2:$A2446, MATCH(B2209,'Room Info'!$F$2:$F2446, 0)),IF(G2209='Room Info'!$H$1, INDEX('Room Info'!$A$2:$A2446, MATCH(B2209,'Room Info'!$H$2:$H2446, 0)),IF(G2209='Room Info'!$G$1, INDEX('Room Info'!$A$2:$A2446, MATCH(B2209,'Room Info'!$G$2:$G2446, 0)))))))))</f>
        <v>0</v>
      </c>
      <c r="B2209" s="96"/>
      <c r="C2209" s="136"/>
      <c r="D2209" s="136"/>
      <c r="E2209" s="137"/>
      <c r="F2209" s="133"/>
      <c r="G2209" s="96"/>
      <c r="H2209" s="100"/>
      <c r="I2209" s="100"/>
      <c r="J2209" s="39" t="s">
        <v>334</v>
      </c>
      <c r="K2209" s="134"/>
      <c r="L2209" s="135"/>
      <c r="M2209" s="79"/>
      <c r="N2209" s="28" t="e">
        <f t="shared" si="8"/>
        <v>#VALUE!</v>
      </c>
      <c r="O2209" s="96"/>
      <c r="P2209" s="29" t="s">
        <v>334</v>
      </c>
      <c r="Q2209" s="55"/>
      <c r="R2209" s="31" t="e">
        <f t="shared" si="9"/>
        <v>#VALUE!</v>
      </c>
      <c r="S2209" s="97"/>
      <c r="T2209" s="32" t="e">
        <f t="shared" si="10"/>
        <v>#VALUE!</v>
      </c>
      <c r="U2209" s="57"/>
      <c r="V2209" s="58"/>
      <c r="W2209" s="58"/>
      <c r="X2209" s="30" t="e">
        <f t="shared" si="11"/>
        <v>#N/A</v>
      </c>
      <c r="Y2209" s="30" t="e">
        <f t="shared" si="12"/>
        <v>#N/A</v>
      </c>
      <c r="Z2209" s="35" t="e">
        <f t="shared" si="13"/>
        <v>#VALUE!</v>
      </c>
      <c r="AA2209" s="29" t="e">
        <f t="shared" si="14"/>
        <v>#VALUE!</v>
      </c>
      <c r="AB2209" s="36" t="e">
        <f t="shared" si="15"/>
        <v>#VALUE!</v>
      </c>
      <c r="AC2209" s="37" t="b">
        <v>0</v>
      </c>
      <c r="AD2209" s="61" t="str">
        <f t="shared" si="16"/>
        <v>USD</v>
      </c>
      <c r="AE2209" s="37"/>
      <c r="AF2209" s="37" t="e">
        <f t="array" ref="AF2209">INDEX('Deal Info'!D:D, MATCH(A2209,'Deal Info'!A:A, 0))</f>
        <v>#N/A</v>
      </c>
      <c r="AG2209" s="38" t="e">
        <f t="array" ref="AG2209">INDEX('Deal Info'!G:G, MATCH(A2209,'Deal Info'!A:A, 0))</f>
        <v>#N/A</v>
      </c>
    </row>
    <row r="2210" spans="1:33" ht="14.25" hidden="1" x14ac:dyDescent="0.2">
      <c r="A2210" s="18" t="b">
        <f t="array" ref="A2210">IF(G2210='Room Info'!$B$1, INDEX('Room Info'!$A$2:$A2446, MATCH(B2210,'Room Info'!$B$2:$B2446, 0)),IF(G2210='Room Info'!$C$1, INDEX('Room Info'!$A$2:$A2446, MATCH(B2210,'Room Info'!$C$2:$C2446, 0)),IF(G2210='Room Info'!$D$1, INDEX('Room Info'!$A$2:$A2446, MATCH(B2210,'Room Info'!$D$2:$D2446, 0)),IF(G2210='Room Info'!$E$1, INDEX('Room Info'!$A$2:$A2446, MATCH(B2210,'Room Info'!$E$2:$E2446, 0)),IF(G2210='Room Info'!$F$1, INDEX('Room Info'!$A$2:$A2446, MATCH(B2210,'Room Info'!$F$2:$F2446, 0)),IF(G2210='Room Info'!$H$1, INDEX('Room Info'!$A$2:$A2446, MATCH(B2210,'Room Info'!$H$2:$H2446, 0)),IF(G2210='Room Info'!$G$1, INDEX('Room Info'!$A$2:$A2446, MATCH(B2210,'Room Info'!$G$2:$G2446, 0)))))))))</f>
        <v>0</v>
      </c>
      <c r="B2210" s="96"/>
      <c r="C2210" s="136"/>
      <c r="D2210" s="136"/>
      <c r="E2210" s="137"/>
      <c r="F2210" s="133"/>
      <c r="G2210" s="96"/>
      <c r="H2210" s="100"/>
      <c r="I2210" s="100"/>
      <c r="J2210" s="39" t="s">
        <v>334</v>
      </c>
      <c r="K2210" s="134"/>
      <c r="L2210" s="135"/>
      <c r="M2210" s="79"/>
      <c r="N2210" s="28" t="e">
        <f t="shared" si="8"/>
        <v>#VALUE!</v>
      </c>
      <c r="O2210" s="96"/>
      <c r="P2210" s="29" t="s">
        <v>334</v>
      </c>
      <c r="Q2210" s="55"/>
      <c r="R2210" s="31" t="e">
        <f t="shared" si="9"/>
        <v>#VALUE!</v>
      </c>
      <c r="S2210" s="97"/>
      <c r="T2210" s="32" t="e">
        <f t="shared" si="10"/>
        <v>#VALUE!</v>
      </c>
      <c r="U2210" s="57"/>
      <c r="V2210" s="58"/>
      <c r="W2210" s="58"/>
      <c r="X2210" s="30" t="e">
        <f t="shared" si="11"/>
        <v>#N/A</v>
      </c>
      <c r="Y2210" s="30" t="e">
        <f t="shared" si="12"/>
        <v>#N/A</v>
      </c>
      <c r="Z2210" s="35" t="e">
        <f t="shared" si="13"/>
        <v>#VALUE!</v>
      </c>
      <c r="AA2210" s="29" t="e">
        <f t="shared" si="14"/>
        <v>#VALUE!</v>
      </c>
      <c r="AB2210" s="36" t="e">
        <f t="shared" si="15"/>
        <v>#VALUE!</v>
      </c>
      <c r="AC2210" s="37" t="b">
        <v>0</v>
      </c>
      <c r="AD2210" s="61" t="str">
        <f t="shared" si="16"/>
        <v>USD</v>
      </c>
      <c r="AE2210" s="37"/>
      <c r="AF2210" s="37" t="e">
        <f t="array" ref="AF2210">INDEX('Deal Info'!D:D, MATCH(A2210,'Deal Info'!A:A, 0))</f>
        <v>#N/A</v>
      </c>
      <c r="AG2210" s="38" t="e">
        <f t="array" ref="AG2210">INDEX('Deal Info'!G:G, MATCH(A2210,'Deal Info'!A:A, 0))</f>
        <v>#N/A</v>
      </c>
    </row>
    <row r="2211" spans="1:33" ht="14.25" hidden="1" x14ac:dyDescent="0.2">
      <c r="A2211" s="18" t="b">
        <f t="array" ref="A2211">IF(G2211='Room Info'!$B$1, INDEX('Room Info'!$A$2:$A2446, MATCH(B2211,'Room Info'!$B$2:$B2446, 0)),IF(G2211='Room Info'!$C$1, INDEX('Room Info'!$A$2:$A2446, MATCH(B2211,'Room Info'!$C$2:$C2446, 0)),IF(G2211='Room Info'!$D$1, INDEX('Room Info'!$A$2:$A2446, MATCH(B2211,'Room Info'!$D$2:$D2446, 0)),IF(G2211='Room Info'!$E$1, INDEX('Room Info'!$A$2:$A2446, MATCH(B2211,'Room Info'!$E$2:$E2446, 0)),IF(G2211='Room Info'!$F$1, INDEX('Room Info'!$A$2:$A2446, MATCH(B2211,'Room Info'!$F$2:$F2446, 0)),IF(G2211='Room Info'!$H$1, INDEX('Room Info'!$A$2:$A2446, MATCH(B2211,'Room Info'!$H$2:$H2446, 0)),IF(G2211='Room Info'!$G$1, INDEX('Room Info'!$A$2:$A2446, MATCH(B2211,'Room Info'!$G$2:$G2446, 0)))))))))</f>
        <v>0</v>
      </c>
      <c r="B2211" s="96"/>
      <c r="C2211" s="136"/>
      <c r="D2211" s="136"/>
      <c r="E2211" s="137"/>
      <c r="F2211" s="133"/>
      <c r="G2211" s="96"/>
      <c r="H2211" s="100"/>
      <c r="I2211" s="100"/>
      <c r="J2211" s="39" t="s">
        <v>334</v>
      </c>
      <c r="K2211" s="134"/>
      <c r="L2211" s="135"/>
      <c r="M2211" s="79"/>
      <c r="N2211" s="28" t="e">
        <f t="shared" si="8"/>
        <v>#VALUE!</v>
      </c>
      <c r="O2211" s="96"/>
      <c r="P2211" s="29" t="s">
        <v>334</v>
      </c>
      <c r="Q2211" s="55"/>
      <c r="R2211" s="31" t="e">
        <f t="shared" si="9"/>
        <v>#VALUE!</v>
      </c>
      <c r="S2211" s="97"/>
      <c r="T2211" s="32" t="e">
        <f t="shared" si="10"/>
        <v>#VALUE!</v>
      </c>
      <c r="U2211" s="57"/>
      <c r="V2211" s="58"/>
      <c r="W2211" s="58"/>
      <c r="X2211" s="30" t="e">
        <f t="shared" si="11"/>
        <v>#N/A</v>
      </c>
      <c r="Y2211" s="30" t="e">
        <f t="shared" si="12"/>
        <v>#N/A</v>
      </c>
      <c r="Z2211" s="35" t="e">
        <f t="shared" si="13"/>
        <v>#VALUE!</v>
      </c>
      <c r="AA2211" s="29" t="e">
        <f t="shared" si="14"/>
        <v>#VALUE!</v>
      </c>
      <c r="AB2211" s="36" t="e">
        <f t="shared" si="15"/>
        <v>#VALUE!</v>
      </c>
      <c r="AC2211" s="37" t="b">
        <v>0</v>
      </c>
      <c r="AD2211" s="61" t="str">
        <f t="shared" si="16"/>
        <v>USD</v>
      </c>
      <c r="AE2211" s="37"/>
      <c r="AF2211" s="37" t="e">
        <f t="array" ref="AF2211">INDEX('Deal Info'!D:D, MATCH(A2211,'Deal Info'!A:A, 0))</f>
        <v>#N/A</v>
      </c>
      <c r="AG2211" s="38" t="e">
        <f t="array" ref="AG2211">INDEX('Deal Info'!G:G, MATCH(A2211,'Deal Info'!A:A, 0))</f>
        <v>#N/A</v>
      </c>
    </row>
    <row r="2212" spans="1:33" ht="14.25" hidden="1" x14ac:dyDescent="0.2">
      <c r="A2212" s="18" t="b">
        <f t="array" ref="A2212">IF(G2212='Room Info'!$B$1, INDEX('Room Info'!$A$2:$A2446, MATCH(B2212,'Room Info'!$B$2:$B2446, 0)),IF(G2212='Room Info'!$C$1, INDEX('Room Info'!$A$2:$A2446, MATCH(B2212,'Room Info'!$C$2:$C2446, 0)),IF(G2212='Room Info'!$D$1, INDEX('Room Info'!$A$2:$A2446, MATCH(B2212,'Room Info'!$D$2:$D2446, 0)),IF(G2212='Room Info'!$E$1, INDEX('Room Info'!$A$2:$A2446, MATCH(B2212,'Room Info'!$E$2:$E2446, 0)),IF(G2212='Room Info'!$F$1, INDEX('Room Info'!$A$2:$A2446, MATCH(B2212,'Room Info'!$F$2:$F2446, 0)),IF(G2212='Room Info'!$H$1, INDEX('Room Info'!$A$2:$A2446, MATCH(B2212,'Room Info'!$H$2:$H2446, 0)),IF(G2212='Room Info'!$G$1, INDEX('Room Info'!$A$2:$A2446, MATCH(B2212,'Room Info'!$G$2:$G2446, 0)))))))))</f>
        <v>0</v>
      </c>
      <c r="B2212" s="96"/>
      <c r="C2212" s="136"/>
      <c r="D2212" s="136"/>
      <c r="E2212" s="137"/>
      <c r="F2212" s="133"/>
      <c r="G2212" s="65"/>
      <c r="H2212" s="110"/>
      <c r="I2212" s="110"/>
      <c r="J2212" s="39" t="s">
        <v>334</v>
      </c>
      <c r="K2212" s="134"/>
      <c r="L2212" s="135"/>
      <c r="M2212" s="62"/>
      <c r="N2212" s="28" t="e">
        <f t="shared" si="8"/>
        <v>#VALUE!</v>
      </c>
      <c r="O2212" s="96"/>
      <c r="P2212" s="29" t="s">
        <v>334</v>
      </c>
      <c r="Q2212" s="55"/>
      <c r="R2212" s="31" t="e">
        <f t="shared" si="9"/>
        <v>#VALUE!</v>
      </c>
      <c r="S2212" s="97"/>
      <c r="T2212" s="32" t="e">
        <f t="shared" si="10"/>
        <v>#VALUE!</v>
      </c>
      <c r="U2212" s="57"/>
      <c r="V2212" s="58"/>
      <c r="W2212" s="58"/>
      <c r="X2212" s="30" t="e">
        <f t="shared" si="11"/>
        <v>#N/A</v>
      </c>
      <c r="Y2212" s="30" t="e">
        <f t="shared" si="12"/>
        <v>#N/A</v>
      </c>
      <c r="Z2212" s="35" t="e">
        <f t="shared" si="13"/>
        <v>#VALUE!</v>
      </c>
      <c r="AA2212" s="29" t="e">
        <f t="shared" si="14"/>
        <v>#VALUE!</v>
      </c>
      <c r="AB2212" s="36" t="e">
        <f t="shared" si="15"/>
        <v>#VALUE!</v>
      </c>
      <c r="AC2212" s="37" t="b">
        <v>0</v>
      </c>
      <c r="AD2212" s="61" t="str">
        <f t="shared" si="16"/>
        <v>USD</v>
      </c>
      <c r="AE2212" s="37"/>
      <c r="AF2212" s="37" t="e">
        <f t="array" ref="AF2212">INDEX('Deal Info'!D:D, MATCH(A2212,'Deal Info'!A:A, 0))</f>
        <v>#N/A</v>
      </c>
      <c r="AG2212" s="38" t="e">
        <f t="array" ref="AG2212">INDEX('Deal Info'!G:G, MATCH(A2212,'Deal Info'!A:A, 0))</f>
        <v>#N/A</v>
      </c>
    </row>
    <row r="2213" spans="1:33" ht="14.25" hidden="1" x14ac:dyDescent="0.2">
      <c r="A2213" s="18" t="b">
        <f t="array" ref="A2213">IF(G2213='Room Info'!$B$1, INDEX('Room Info'!$A$2:$A2446, MATCH(B2213,'Room Info'!$B$2:$B2446, 0)),IF(G2213='Room Info'!$C$1, INDEX('Room Info'!$A$2:$A2446, MATCH(B2213,'Room Info'!$C$2:$C2446, 0)),IF(G2213='Room Info'!$D$1, INDEX('Room Info'!$A$2:$A2446, MATCH(B2213,'Room Info'!$D$2:$D2446, 0)),IF(G2213='Room Info'!$E$1, INDEX('Room Info'!$A$2:$A2446, MATCH(B2213,'Room Info'!$E$2:$E2446, 0)),IF(G2213='Room Info'!$F$1, INDEX('Room Info'!$A$2:$A2446, MATCH(B2213,'Room Info'!$F$2:$F2446, 0)),IF(G2213='Room Info'!$H$1, INDEX('Room Info'!$A$2:$A2446, MATCH(B2213,'Room Info'!$H$2:$H2446, 0)),IF(G2213='Room Info'!$G$1, INDEX('Room Info'!$A$2:$A2446, MATCH(B2213,'Room Info'!$G$2:$G2446, 0)))))))))</f>
        <v>0</v>
      </c>
      <c r="B2213" s="96"/>
      <c r="C2213" s="136"/>
      <c r="D2213" s="136"/>
      <c r="E2213" s="137"/>
      <c r="F2213" s="133"/>
      <c r="G2213" s="65"/>
      <c r="H2213" s="110"/>
      <c r="I2213" s="110"/>
      <c r="J2213" s="39" t="s">
        <v>334</v>
      </c>
      <c r="K2213" s="134"/>
      <c r="L2213" s="135"/>
      <c r="M2213" s="62"/>
      <c r="N2213" s="28" t="e">
        <f t="shared" si="8"/>
        <v>#VALUE!</v>
      </c>
      <c r="O2213" s="96"/>
      <c r="P2213" s="29" t="s">
        <v>334</v>
      </c>
      <c r="Q2213" s="55"/>
      <c r="R2213" s="31" t="e">
        <f t="shared" si="9"/>
        <v>#VALUE!</v>
      </c>
      <c r="S2213" s="97"/>
      <c r="T2213" s="32" t="e">
        <f t="shared" si="10"/>
        <v>#VALUE!</v>
      </c>
      <c r="U2213" s="57"/>
      <c r="V2213" s="58"/>
      <c r="W2213" s="58"/>
      <c r="X2213" s="30" t="e">
        <f t="shared" si="11"/>
        <v>#N/A</v>
      </c>
      <c r="Y2213" s="30" t="e">
        <f t="shared" si="12"/>
        <v>#N/A</v>
      </c>
      <c r="Z2213" s="35" t="e">
        <f t="shared" si="13"/>
        <v>#VALUE!</v>
      </c>
      <c r="AA2213" s="29" t="e">
        <f t="shared" si="14"/>
        <v>#VALUE!</v>
      </c>
      <c r="AB2213" s="36" t="e">
        <f t="shared" si="15"/>
        <v>#VALUE!</v>
      </c>
      <c r="AC2213" s="37" t="b">
        <v>0</v>
      </c>
      <c r="AD2213" s="61" t="str">
        <f t="shared" si="16"/>
        <v>USD</v>
      </c>
      <c r="AE2213" s="37"/>
      <c r="AF2213" s="37" t="e">
        <f t="array" ref="AF2213">INDEX('Deal Info'!D:D, MATCH(A2213,'Deal Info'!A:A, 0))</f>
        <v>#N/A</v>
      </c>
      <c r="AG2213" s="38" t="e">
        <f t="array" ref="AG2213">INDEX('Deal Info'!G:G, MATCH(A2213,'Deal Info'!A:A, 0))</f>
        <v>#N/A</v>
      </c>
    </row>
    <row r="2214" spans="1:33" ht="14.25" hidden="1" x14ac:dyDescent="0.2">
      <c r="A2214" s="18" t="b">
        <f t="array" ref="A2214">IF(G2214='Room Info'!$B$1, INDEX('Room Info'!$A$2:$A2446, MATCH(B2214,'Room Info'!$B$2:$B2446, 0)),IF(G2214='Room Info'!$C$1, INDEX('Room Info'!$A$2:$A2446, MATCH(B2214,'Room Info'!$C$2:$C2446, 0)),IF(G2214='Room Info'!$D$1, INDEX('Room Info'!$A$2:$A2446, MATCH(B2214,'Room Info'!$D$2:$D2446, 0)),IF(G2214='Room Info'!$E$1, INDEX('Room Info'!$A$2:$A2446, MATCH(B2214,'Room Info'!$E$2:$E2446, 0)),IF(G2214='Room Info'!$F$1, INDEX('Room Info'!$A$2:$A2446, MATCH(B2214,'Room Info'!$F$2:$F2446, 0)),IF(G2214='Room Info'!$H$1, INDEX('Room Info'!$A$2:$A2446, MATCH(B2214,'Room Info'!$H$2:$H2446, 0)),IF(G2214='Room Info'!$G$1, INDEX('Room Info'!$A$2:$A2446, MATCH(B2214,'Room Info'!$G$2:$G2446, 0)))))))))</f>
        <v>0</v>
      </c>
      <c r="B2214" s="96"/>
      <c r="C2214" s="136"/>
      <c r="D2214" s="136"/>
      <c r="E2214" s="137"/>
      <c r="F2214" s="133"/>
      <c r="G2214" s="65"/>
      <c r="H2214" s="110"/>
      <c r="I2214" s="110"/>
      <c r="J2214" s="39" t="s">
        <v>334</v>
      </c>
      <c r="K2214" s="134"/>
      <c r="L2214" s="135"/>
      <c r="M2214" s="62"/>
      <c r="N2214" s="28" t="e">
        <f t="shared" si="8"/>
        <v>#VALUE!</v>
      </c>
      <c r="O2214" s="96"/>
      <c r="P2214" s="29" t="s">
        <v>334</v>
      </c>
      <c r="Q2214" s="55"/>
      <c r="R2214" s="31" t="e">
        <f t="shared" si="9"/>
        <v>#VALUE!</v>
      </c>
      <c r="S2214" s="97"/>
      <c r="T2214" s="32" t="e">
        <f t="shared" si="10"/>
        <v>#VALUE!</v>
      </c>
      <c r="U2214" s="57"/>
      <c r="V2214" s="58"/>
      <c r="W2214" s="58"/>
      <c r="X2214" s="30" t="e">
        <f t="shared" si="11"/>
        <v>#N/A</v>
      </c>
      <c r="Y2214" s="30" t="e">
        <f t="shared" si="12"/>
        <v>#N/A</v>
      </c>
      <c r="Z2214" s="35" t="e">
        <f t="shared" si="13"/>
        <v>#VALUE!</v>
      </c>
      <c r="AA2214" s="29" t="e">
        <f t="shared" si="14"/>
        <v>#VALUE!</v>
      </c>
      <c r="AB2214" s="36" t="e">
        <f t="shared" si="15"/>
        <v>#VALUE!</v>
      </c>
      <c r="AC2214" s="37" t="b">
        <v>0</v>
      </c>
      <c r="AD2214" s="61" t="str">
        <f t="shared" si="16"/>
        <v>USD</v>
      </c>
      <c r="AE2214" s="37"/>
      <c r="AF2214" s="37" t="e">
        <f t="array" ref="AF2214">INDEX('Deal Info'!D:D, MATCH(A2214,'Deal Info'!A:A, 0))</f>
        <v>#N/A</v>
      </c>
      <c r="AG2214" s="38" t="e">
        <f t="array" ref="AG2214">INDEX('Deal Info'!G:G, MATCH(A2214,'Deal Info'!A:A, 0))</f>
        <v>#N/A</v>
      </c>
    </row>
    <row r="2215" spans="1:33" ht="14.25" hidden="1" x14ac:dyDescent="0.2">
      <c r="A2215" s="18" t="b">
        <f t="array" ref="A2215">IF(G2215='Room Info'!$B$1, INDEX('Room Info'!$A$2:$A2446, MATCH(B2215,'Room Info'!$B$2:$B2446, 0)),IF(G2215='Room Info'!$C$1, INDEX('Room Info'!$A$2:$A2446, MATCH(B2215,'Room Info'!$C$2:$C2446, 0)),IF(G2215='Room Info'!$D$1, INDEX('Room Info'!$A$2:$A2446, MATCH(B2215,'Room Info'!$D$2:$D2446, 0)),IF(G2215='Room Info'!$E$1, INDEX('Room Info'!$A$2:$A2446, MATCH(B2215,'Room Info'!$E$2:$E2446, 0)),IF(G2215='Room Info'!$F$1, INDEX('Room Info'!$A$2:$A2446, MATCH(B2215,'Room Info'!$F$2:$F2446, 0)),IF(G2215='Room Info'!$H$1, INDEX('Room Info'!$A$2:$A2446, MATCH(B2215,'Room Info'!$H$2:$H2446, 0)),IF(G2215='Room Info'!$G$1, INDEX('Room Info'!$A$2:$A2446, MATCH(B2215,'Room Info'!$G$2:$G2446, 0)))))))))</f>
        <v>0</v>
      </c>
      <c r="B2215" s="96"/>
      <c r="C2215" s="136"/>
      <c r="D2215" s="136"/>
      <c r="E2215" s="137"/>
      <c r="F2215" s="133"/>
      <c r="G2215" s="65"/>
      <c r="H2215" s="110"/>
      <c r="I2215" s="110"/>
      <c r="J2215" s="39" t="s">
        <v>334</v>
      </c>
      <c r="K2215" s="134"/>
      <c r="L2215" s="135"/>
      <c r="M2215" s="62"/>
      <c r="N2215" s="28" t="e">
        <f t="shared" si="8"/>
        <v>#VALUE!</v>
      </c>
      <c r="O2215" s="96"/>
      <c r="P2215" s="29" t="s">
        <v>334</v>
      </c>
      <c r="Q2215" s="55"/>
      <c r="R2215" s="31" t="e">
        <f t="shared" si="9"/>
        <v>#VALUE!</v>
      </c>
      <c r="S2215" s="97"/>
      <c r="T2215" s="32" t="e">
        <f t="shared" si="10"/>
        <v>#VALUE!</v>
      </c>
      <c r="U2215" s="57"/>
      <c r="V2215" s="58"/>
      <c r="W2215" s="58"/>
      <c r="X2215" s="30" t="e">
        <f t="shared" si="11"/>
        <v>#N/A</v>
      </c>
      <c r="Y2215" s="30" t="e">
        <f t="shared" si="12"/>
        <v>#N/A</v>
      </c>
      <c r="Z2215" s="35" t="e">
        <f t="shared" si="13"/>
        <v>#VALUE!</v>
      </c>
      <c r="AA2215" s="29" t="e">
        <f t="shared" si="14"/>
        <v>#VALUE!</v>
      </c>
      <c r="AB2215" s="36" t="e">
        <f t="shared" si="15"/>
        <v>#VALUE!</v>
      </c>
      <c r="AC2215" s="37" t="b">
        <v>0</v>
      </c>
      <c r="AD2215" s="61" t="str">
        <f t="shared" si="16"/>
        <v>USD</v>
      </c>
      <c r="AE2215" s="37"/>
      <c r="AF2215" s="37" t="e">
        <f t="array" ref="AF2215">INDEX('Deal Info'!D:D, MATCH(A2215,'Deal Info'!A:A, 0))</f>
        <v>#N/A</v>
      </c>
      <c r="AG2215" s="38" t="e">
        <f t="array" ref="AG2215">INDEX('Deal Info'!G:G, MATCH(A2215,'Deal Info'!A:A, 0))</f>
        <v>#N/A</v>
      </c>
    </row>
    <row r="2216" spans="1:33" ht="14.25" hidden="1" x14ac:dyDescent="0.2">
      <c r="A2216" s="18" t="b">
        <f t="array" ref="A2216">IF(G2216='Room Info'!$B$1, INDEX('Room Info'!$A$2:$A2446, MATCH(B2216,'Room Info'!$B$2:$B2446, 0)),IF(G2216='Room Info'!$C$1, INDEX('Room Info'!$A$2:$A2446, MATCH(B2216,'Room Info'!$C$2:$C2446, 0)),IF(G2216='Room Info'!$D$1, INDEX('Room Info'!$A$2:$A2446, MATCH(B2216,'Room Info'!$D$2:$D2446, 0)),IF(G2216='Room Info'!$E$1, INDEX('Room Info'!$A$2:$A2446, MATCH(B2216,'Room Info'!$E$2:$E2446, 0)),IF(G2216='Room Info'!$F$1, INDEX('Room Info'!$A$2:$A2446, MATCH(B2216,'Room Info'!$F$2:$F2446, 0)),IF(G2216='Room Info'!$H$1, INDEX('Room Info'!$A$2:$A2446, MATCH(B2216,'Room Info'!$H$2:$H2446, 0)),IF(G2216='Room Info'!$G$1, INDEX('Room Info'!$A$2:$A2446, MATCH(B2216,'Room Info'!$G$2:$G2446, 0)))))))))</f>
        <v>0</v>
      </c>
      <c r="B2216" s="96"/>
      <c r="C2216" s="136"/>
      <c r="D2216" s="136"/>
      <c r="E2216" s="137"/>
      <c r="F2216" s="133"/>
      <c r="G2216" s="65"/>
      <c r="H2216" s="110"/>
      <c r="I2216" s="110"/>
      <c r="J2216" s="39" t="s">
        <v>334</v>
      </c>
      <c r="K2216" s="134"/>
      <c r="L2216" s="135"/>
      <c r="M2216" s="62"/>
      <c r="N2216" s="28" t="e">
        <f t="shared" si="8"/>
        <v>#VALUE!</v>
      </c>
      <c r="O2216" s="96"/>
      <c r="P2216" s="29" t="s">
        <v>334</v>
      </c>
      <c r="Q2216" s="55"/>
      <c r="R2216" s="31" t="e">
        <f t="shared" si="9"/>
        <v>#VALUE!</v>
      </c>
      <c r="S2216" s="97"/>
      <c r="T2216" s="32" t="e">
        <f t="shared" si="10"/>
        <v>#VALUE!</v>
      </c>
      <c r="U2216" s="57"/>
      <c r="V2216" s="58"/>
      <c r="W2216" s="58"/>
      <c r="X2216" s="30" t="e">
        <f t="shared" si="11"/>
        <v>#N/A</v>
      </c>
      <c r="Y2216" s="30" t="e">
        <f t="shared" si="12"/>
        <v>#N/A</v>
      </c>
      <c r="Z2216" s="35" t="e">
        <f t="shared" si="13"/>
        <v>#VALUE!</v>
      </c>
      <c r="AA2216" s="29" t="e">
        <f t="shared" si="14"/>
        <v>#VALUE!</v>
      </c>
      <c r="AB2216" s="36" t="e">
        <f t="shared" si="15"/>
        <v>#VALUE!</v>
      </c>
      <c r="AC2216" s="37" t="b">
        <v>0</v>
      </c>
      <c r="AD2216" s="61" t="str">
        <f t="shared" si="16"/>
        <v>USD</v>
      </c>
      <c r="AE2216" s="37"/>
      <c r="AF2216" s="37" t="e">
        <f t="array" ref="AF2216">INDEX('Deal Info'!D:D, MATCH(A2216,'Deal Info'!A:A, 0))</f>
        <v>#N/A</v>
      </c>
      <c r="AG2216" s="38" t="e">
        <f t="array" ref="AG2216">INDEX('Deal Info'!G:G, MATCH(A2216,'Deal Info'!A:A, 0))</f>
        <v>#N/A</v>
      </c>
    </row>
    <row r="2217" spans="1:33" ht="14.25" hidden="1" x14ac:dyDescent="0.2">
      <c r="A2217" s="18" t="b">
        <f t="array" ref="A2217">IF(G2217='Room Info'!$B$1, INDEX('Room Info'!$A$2:$A2446, MATCH(B2217,'Room Info'!$B$2:$B2446, 0)),IF(G2217='Room Info'!$C$1, INDEX('Room Info'!$A$2:$A2446, MATCH(B2217,'Room Info'!$C$2:$C2446, 0)),IF(G2217='Room Info'!$D$1, INDEX('Room Info'!$A$2:$A2446, MATCH(B2217,'Room Info'!$D$2:$D2446, 0)),IF(G2217='Room Info'!$E$1, INDEX('Room Info'!$A$2:$A2446, MATCH(B2217,'Room Info'!$E$2:$E2446, 0)),IF(G2217='Room Info'!$F$1, INDEX('Room Info'!$A$2:$A2446, MATCH(B2217,'Room Info'!$F$2:$F2446, 0)),IF(G2217='Room Info'!$H$1, INDEX('Room Info'!$A$2:$A2446, MATCH(B2217,'Room Info'!$H$2:$H2446, 0)),IF(G2217='Room Info'!$G$1, INDEX('Room Info'!$A$2:$A2446, MATCH(B2217,'Room Info'!$G$2:$G2446, 0)))))))))</f>
        <v>0</v>
      </c>
      <c r="B2217" s="96"/>
      <c r="C2217" s="136"/>
      <c r="D2217" s="136"/>
      <c r="E2217" s="137"/>
      <c r="F2217" s="133"/>
      <c r="G2217" s="65"/>
      <c r="H2217" s="110"/>
      <c r="I2217" s="110"/>
      <c r="J2217" s="39" t="s">
        <v>334</v>
      </c>
      <c r="K2217" s="134"/>
      <c r="L2217" s="135"/>
      <c r="M2217" s="62"/>
      <c r="N2217" s="28" t="e">
        <f t="shared" si="8"/>
        <v>#VALUE!</v>
      </c>
      <c r="O2217" s="96"/>
      <c r="P2217" s="29" t="s">
        <v>334</v>
      </c>
      <c r="Q2217" s="55"/>
      <c r="R2217" s="31" t="e">
        <f t="shared" si="9"/>
        <v>#VALUE!</v>
      </c>
      <c r="S2217" s="97"/>
      <c r="T2217" s="32" t="e">
        <f t="shared" si="10"/>
        <v>#VALUE!</v>
      </c>
      <c r="U2217" s="57"/>
      <c r="V2217" s="58"/>
      <c r="W2217" s="58"/>
      <c r="X2217" s="30" t="e">
        <f t="shared" si="11"/>
        <v>#N/A</v>
      </c>
      <c r="Y2217" s="30" t="e">
        <f t="shared" si="12"/>
        <v>#N/A</v>
      </c>
      <c r="Z2217" s="35" t="e">
        <f t="shared" si="13"/>
        <v>#VALUE!</v>
      </c>
      <c r="AA2217" s="29" t="e">
        <f t="shared" si="14"/>
        <v>#VALUE!</v>
      </c>
      <c r="AB2217" s="36" t="e">
        <f t="shared" si="15"/>
        <v>#VALUE!</v>
      </c>
      <c r="AC2217" s="37" t="b">
        <v>0</v>
      </c>
      <c r="AD2217" s="61" t="str">
        <f t="shared" si="16"/>
        <v>USD</v>
      </c>
      <c r="AE2217" s="37"/>
      <c r="AF2217" s="37" t="e">
        <f t="array" ref="AF2217">INDEX('Deal Info'!D:D, MATCH(A2217,'Deal Info'!A:A, 0))</f>
        <v>#N/A</v>
      </c>
      <c r="AG2217" s="38" t="e">
        <f t="array" ref="AG2217">INDEX('Deal Info'!G:G, MATCH(A2217,'Deal Info'!A:A, 0))</f>
        <v>#N/A</v>
      </c>
    </row>
    <row r="2218" spans="1:33" ht="14.25" hidden="1" x14ac:dyDescent="0.2">
      <c r="A2218" s="18" t="b">
        <f t="array" ref="A2218">IF(G2218='Room Info'!$B$1, INDEX('Room Info'!$A$2:$A2446, MATCH(B2218,'Room Info'!$B$2:$B2446, 0)),IF(G2218='Room Info'!$C$1, INDEX('Room Info'!$A$2:$A2446, MATCH(B2218,'Room Info'!$C$2:$C2446, 0)),IF(G2218='Room Info'!$D$1, INDEX('Room Info'!$A$2:$A2446, MATCH(B2218,'Room Info'!$D$2:$D2446, 0)),IF(G2218='Room Info'!$E$1, INDEX('Room Info'!$A$2:$A2446, MATCH(B2218,'Room Info'!$E$2:$E2446, 0)),IF(G2218='Room Info'!$F$1, INDEX('Room Info'!$A$2:$A2446, MATCH(B2218,'Room Info'!$F$2:$F2446, 0)),IF(G2218='Room Info'!$H$1, INDEX('Room Info'!$A$2:$A2446, MATCH(B2218,'Room Info'!$H$2:$H2446, 0)),IF(G2218='Room Info'!$G$1, INDEX('Room Info'!$A$2:$A2446, MATCH(B2218,'Room Info'!$G$2:$G2446, 0)))))))))</f>
        <v>0</v>
      </c>
      <c r="B2218" s="96"/>
      <c r="C2218" s="136"/>
      <c r="D2218" s="136"/>
      <c r="E2218" s="137"/>
      <c r="F2218" s="133"/>
      <c r="G2218" s="65"/>
      <c r="H2218" s="110"/>
      <c r="I2218" s="110"/>
      <c r="J2218" s="39" t="s">
        <v>334</v>
      </c>
      <c r="K2218" s="134"/>
      <c r="L2218" s="135"/>
      <c r="M2218" s="62"/>
      <c r="N2218" s="28" t="e">
        <f t="shared" si="8"/>
        <v>#VALUE!</v>
      </c>
      <c r="O2218" s="96"/>
      <c r="P2218" s="29" t="s">
        <v>334</v>
      </c>
      <c r="Q2218" s="55"/>
      <c r="R2218" s="31" t="e">
        <f t="shared" si="9"/>
        <v>#VALUE!</v>
      </c>
      <c r="S2218" s="97"/>
      <c r="T2218" s="32" t="e">
        <f t="shared" si="10"/>
        <v>#VALUE!</v>
      </c>
      <c r="U2218" s="57"/>
      <c r="V2218" s="58"/>
      <c r="W2218" s="58"/>
      <c r="X2218" s="30" t="e">
        <f t="shared" si="11"/>
        <v>#N/A</v>
      </c>
      <c r="Y2218" s="30" t="e">
        <f t="shared" si="12"/>
        <v>#N/A</v>
      </c>
      <c r="Z2218" s="35" t="e">
        <f t="shared" si="13"/>
        <v>#VALUE!</v>
      </c>
      <c r="AA2218" s="29" t="e">
        <f t="shared" si="14"/>
        <v>#VALUE!</v>
      </c>
      <c r="AB2218" s="36" t="e">
        <f t="shared" si="15"/>
        <v>#VALUE!</v>
      </c>
      <c r="AC2218" s="37" t="b">
        <v>0</v>
      </c>
      <c r="AD2218" s="61" t="str">
        <f t="shared" si="16"/>
        <v>USD</v>
      </c>
      <c r="AE2218" s="37"/>
      <c r="AF2218" s="37" t="e">
        <f t="array" ref="AF2218">INDEX('Deal Info'!D:D, MATCH(A2218,'Deal Info'!A:A, 0))</f>
        <v>#N/A</v>
      </c>
      <c r="AG2218" s="38" t="e">
        <f t="array" ref="AG2218">INDEX('Deal Info'!G:G, MATCH(A2218,'Deal Info'!A:A, 0))</f>
        <v>#N/A</v>
      </c>
    </row>
    <row r="2219" spans="1:33" ht="14.25" hidden="1" x14ac:dyDescent="0.2">
      <c r="A2219" s="18" t="b">
        <f t="array" ref="A2219">IF(G2219='Room Info'!$B$1, INDEX('Room Info'!$A$2:$A2446, MATCH(B2219,'Room Info'!$B$2:$B2446, 0)),IF(G2219='Room Info'!$C$1, INDEX('Room Info'!$A$2:$A2446, MATCH(B2219,'Room Info'!$C$2:$C2446, 0)),IF(G2219='Room Info'!$D$1, INDEX('Room Info'!$A$2:$A2446, MATCH(B2219,'Room Info'!$D$2:$D2446, 0)),IF(G2219='Room Info'!$E$1, INDEX('Room Info'!$A$2:$A2446, MATCH(B2219,'Room Info'!$E$2:$E2446, 0)),IF(G2219='Room Info'!$F$1, INDEX('Room Info'!$A$2:$A2446, MATCH(B2219,'Room Info'!$F$2:$F2446, 0)),IF(G2219='Room Info'!$H$1, INDEX('Room Info'!$A$2:$A2446, MATCH(B2219,'Room Info'!$H$2:$H2446, 0)),IF(G2219='Room Info'!$G$1, INDEX('Room Info'!$A$2:$A2446, MATCH(B2219,'Room Info'!$G$2:$G2446, 0)))))))))</f>
        <v>0</v>
      </c>
      <c r="B2219" s="96"/>
      <c r="C2219" s="136"/>
      <c r="D2219" s="136"/>
      <c r="E2219" s="137"/>
      <c r="F2219" s="133"/>
      <c r="G2219" s="65"/>
      <c r="H2219" s="110"/>
      <c r="I2219" s="110"/>
      <c r="J2219" s="39" t="s">
        <v>334</v>
      </c>
      <c r="K2219" s="112"/>
      <c r="L2219" s="113"/>
      <c r="M2219" s="62"/>
      <c r="N2219" s="28" t="e">
        <f t="shared" si="8"/>
        <v>#VALUE!</v>
      </c>
      <c r="O2219" s="65"/>
      <c r="P2219" s="29" t="s">
        <v>334</v>
      </c>
      <c r="Q2219" s="55"/>
      <c r="R2219" s="31" t="e">
        <f t="shared" si="9"/>
        <v>#VALUE!</v>
      </c>
      <c r="S2219" s="66"/>
      <c r="T2219" s="32" t="e">
        <f t="shared" si="10"/>
        <v>#VALUE!</v>
      </c>
      <c r="U2219" s="57"/>
      <c r="V2219" s="58"/>
      <c r="W2219" s="58"/>
      <c r="X2219" s="30" t="e">
        <f t="shared" si="11"/>
        <v>#N/A</v>
      </c>
      <c r="Y2219" s="30" t="e">
        <f t="shared" si="12"/>
        <v>#N/A</v>
      </c>
      <c r="Z2219" s="35" t="e">
        <f t="shared" si="13"/>
        <v>#VALUE!</v>
      </c>
      <c r="AA2219" s="29" t="e">
        <f t="shared" si="14"/>
        <v>#VALUE!</v>
      </c>
      <c r="AB2219" s="36" t="e">
        <f t="shared" si="15"/>
        <v>#VALUE!</v>
      </c>
      <c r="AC2219" s="37" t="b">
        <v>0</v>
      </c>
      <c r="AD2219" s="61" t="str">
        <f t="shared" si="16"/>
        <v>USD</v>
      </c>
      <c r="AE2219" s="37"/>
      <c r="AF2219" s="37" t="e">
        <f t="array" ref="AF2219">INDEX('Deal Info'!D:D, MATCH(A2219,'Deal Info'!A:A, 0))</f>
        <v>#N/A</v>
      </c>
      <c r="AG2219" s="38" t="e">
        <f t="array" ref="AG2219">INDEX('Deal Info'!G:G, MATCH(A2219,'Deal Info'!A:A, 0))</f>
        <v>#N/A</v>
      </c>
    </row>
    <row r="2220" spans="1:33" ht="14.25" hidden="1" x14ac:dyDescent="0.2">
      <c r="A2220" s="18" t="b">
        <f t="array" ref="A2220">IF(G2220='Room Info'!$B$1, INDEX('Room Info'!$A$2:$A2446, MATCH(B2220,'Room Info'!$B$2:$B2446, 0)),IF(G2220='Room Info'!$C$1, INDEX('Room Info'!$A$2:$A2446, MATCH(B2220,'Room Info'!$C$2:$C2446, 0)),IF(G2220='Room Info'!$D$1, INDEX('Room Info'!$A$2:$A2446, MATCH(B2220,'Room Info'!$D$2:$D2446, 0)),IF(G2220='Room Info'!$E$1, INDEX('Room Info'!$A$2:$A2446, MATCH(B2220,'Room Info'!$E$2:$E2446, 0)),IF(G2220='Room Info'!$F$1, INDEX('Room Info'!$A$2:$A2446, MATCH(B2220,'Room Info'!$F$2:$F2446, 0)),IF(G2220='Room Info'!$H$1, INDEX('Room Info'!$A$2:$A2446, MATCH(B2220,'Room Info'!$H$2:$H2446, 0)),IF(G2220='Room Info'!$G$1, INDEX('Room Info'!$A$2:$A2446, MATCH(B2220,'Room Info'!$G$2:$G2446, 0)))))))))</f>
        <v>0</v>
      </c>
      <c r="B2220" s="96"/>
      <c r="C2220" s="136"/>
      <c r="D2220" s="136"/>
      <c r="E2220" s="137"/>
      <c r="F2220" s="133"/>
      <c r="G2220" s="96"/>
      <c r="H2220" s="100"/>
      <c r="I2220" s="100"/>
      <c r="J2220" s="39" t="s">
        <v>334</v>
      </c>
      <c r="K2220" s="134"/>
      <c r="L2220" s="135"/>
      <c r="M2220" s="79"/>
      <c r="N2220" s="28" t="e">
        <f t="shared" si="8"/>
        <v>#VALUE!</v>
      </c>
      <c r="O2220" s="96"/>
      <c r="P2220" s="29" t="s">
        <v>334</v>
      </c>
      <c r="Q2220" s="55"/>
      <c r="R2220" s="31" t="e">
        <f t="shared" si="9"/>
        <v>#VALUE!</v>
      </c>
      <c r="S2220" s="97"/>
      <c r="T2220" s="32" t="e">
        <f t="shared" si="10"/>
        <v>#VALUE!</v>
      </c>
      <c r="U2220" s="57"/>
      <c r="V2220" s="58"/>
      <c r="W2220" s="58"/>
      <c r="X2220" s="30" t="e">
        <f t="shared" si="11"/>
        <v>#N/A</v>
      </c>
      <c r="Y2220" s="30" t="e">
        <f t="shared" si="12"/>
        <v>#N/A</v>
      </c>
      <c r="Z2220" s="35" t="e">
        <f t="shared" si="13"/>
        <v>#VALUE!</v>
      </c>
      <c r="AA2220" s="29" t="e">
        <f t="shared" si="14"/>
        <v>#VALUE!</v>
      </c>
      <c r="AB2220" s="36" t="e">
        <f t="shared" si="15"/>
        <v>#VALUE!</v>
      </c>
      <c r="AC2220" s="37" t="b">
        <v>0</v>
      </c>
      <c r="AD2220" s="61" t="str">
        <f t="shared" si="16"/>
        <v>USD</v>
      </c>
      <c r="AE2220" s="37"/>
      <c r="AF2220" s="37" t="e">
        <f t="array" ref="AF2220">INDEX('Deal Info'!D:D, MATCH(A2220,'Deal Info'!A:A, 0))</f>
        <v>#N/A</v>
      </c>
      <c r="AG2220" s="38" t="e">
        <f t="array" ref="AG2220">INDEX('Deal Info'!G:G, MATCH(A2220,'Deal Info'!A:A, 0))</f>
        <v>#N/A</v>
      </c>
    </row>
    <row r="2221" spans="1:33" ht="14.25" hidden="1" x14ac:dyDescent="0.2">
      <c r="A2221" s="18" t="b">
        <f t="array" ref="A2221">IF(G2221='Room Info'!$B$1, INDEX('Room Info'!$A$2:$A2446, MATCH(B2221,'Room Info'!$B$2:$B2446, 0)),IF(G2221='Room Info'!$C$1, INDEX('Room Info'!$A$2:$A2446, MATCH(B2221,'Room Info'!$C$2:$C2446, 0)),IF(G2221='Room Info'!$D$1, INDEX('Room Info'!$A$2:$A2446, MATCH(B2221,'Room Info'!$D$2:$D2446, 0)),IF(G2221='Room Info'!$E$1, INDEX('Room Info'!$A$2:$A2446, MATCH(B2221,'Room Info'!$E$2:$E2446, 0)),IF(G2221='Room Info'!$F$1, INDEX('Room Info'!$A$2:$A2446, MATCH(B2221,'Room Info'!$F$2:$F2446, 0)),IF(G2221='Room Info'!$H$1, INDEX('Room Info'!$A$2:$A2446, MATCH(B2221,'Room Info'!$H$2:$H2446, 0)),IF(G2221='Room Info'!$G$1, INDEX('Room Info'!$A$2:$A2446, MATCH(B2221,'Room Info'!$G$2:$G2446, 0)))))))))</f>
        <v>0</v>
      </c>
      <c r="B2221" s="96"/>
      <c r="C2221" s="111"/>
      <c r="D2221" s="111"/>
      <c r="E2221" s="80"/>
      <c r="F2221" s="133"/>
      <c r="G2221" s="65"/>
      <c r="H2221" s="110"/>
      <c r="I2221" s="110"/>
      <c r="J2221" s="39" t="s">
        <v>334</v>
      </c>
      <c r="K2221" s="112"/>
      <c r="L2221" s="113"/>
      <c r="M2221" s="62"/>
      <c r="N2221" s="28" t="e">
        <f t="shared" si="8"/>
        <v>#VALUE!</v>
      </c>
      <c r="O2221" s="65"/>
      <c r="P2221" s="29" t="s">
        <v>334</v>
      </c>
      <c r="Q2221" s="55"/>
      <c r="R2221" s="31" t="e">
        <f t="shared" si="9"/>
        <v>#VALUE!</v>
      </c>
      <c r="S2221" s="66"/>
      <c r="T2221" s="32" t="e">
        <f t="shared" si="10"/>
        <v>#VALUE!</v>
      </c>
      <c r="U2221" s="57"/>
      <c r="V2221" s="58"/>
      <c r="W2221" s="58"/>
      <c r="X2221" s="30" t="e">
        <f t="shared" si="11"/>
        <v>#N/A</v>
      </c>
      <c r="Y2221" s="30" t="e">
        <f t="shared" si="12"/>
        <v>#N/A</v>
      </c>
      <c r="Z2221" s="35" t="e">
        <f t="shared" si="13"/>
        <v>#VALUE!</v>
      </c>
      <c r="AA2221" s="29" t="e">
        <f t="shared" si="14"/>
        <v>#VALUE!</v>
      </c>
      <c r="AB2221" s="36" t="e">
        <f t="shared" si="15"/>
        <v>#VALUE!</v>
      </c>
      <c r="AC2221" s="37" t="b">
        <v>0</v>
      </c>
      <c r="AD2221" s="61" t="str">
        <f t="shared" si="16"/>
        <v>USD</v>
      </c>
      <c r="AE2221" s="37"/>
      <c r="AF2221" s="37" t="e">
        <f t="array" ref="AF2221">INDEX('Deal Info'!D:D, MATCH(A2221,'Deal Info'!A:A, 0))</f>
        <v>#N/A</v>
      </c>
      <c r="AG2221" s="38" t="e">
        <f t="array" ref="AG2221">INDEX('Deal Info'!G:G, MATCH(A2221,'Deal Info'!A:A, 0))</f>
        <v>#N/A</v>
      </c>
    </row>
    <row r="2222" spans="1:33" ht="14.25" hidden="1" x14ac:dyDescent="0.2">
      <c r="A2222" s="18" t="b">
        <f t="array" ref="A2222">IF(G2222='Room Info'!$B$1, INDEX('Room Info'!$A$2:$A2446, MATCH(B2222,'Room Info'!$B$2:$B2446, 0)),IF(G2222='Room Info'!$C$1, INDEX('Room Info'!$A$2:$A2446, MATCH(B2222,'Room Info'!$C$2:$C2446, 0)),IF(G2222='Room Info'!$D$1, INDEX('Room Info'!$A$2:$A2446, MATCH(B2222,'Room Info'!$D$2:$D2446, 0)),IF(G2222='Room Info'!$E$1, INDEX('Room Info'!$A$2:$A2446, MATCH(B2222,'Room Info'!$E$2:$E2446, 0)),IF(G2222='Room Info'!$F$1, INDEX('Room Info'!$A$2:$A2446, MATCH(B2222,'Room Info'!$F$2:$F2446, 0)),IF(G2222='Room Info'!$H$1, INDEX('Room Info'!$A$2:$A2446, MATCH(B2222,'Room Info'!$H$2:$H2446, 0)),IF(G2222='Room Info'!$G$1, INDEX('Room Info'!$A$2:$A2446, MATCH(B2222,'Room Info'!$G$2:$G2446, 0)))))))))</f>
        <v>0</v>
      </c>
      <c r="B2222" s="96"/>
      <c r="C2222" s="111"/>
      <c r="D2222" s="111"/>
      <c r="E2222" s="80"/>
      <c r="F2222" s="133"/>
      <c r="G2222" s="65"/>
      <c r="H2222" s="110"/>
      <c r="I2222" s="110"/>
      <c r="J2222" s="39" t="s">
        <v>334</v>
      </c>
      <c r="K2222" s="112"/>
      <c r="L2222" s="113"/>
      <c r="M2222" s="62"/>
      <c r="N2222" s="28" t="e">
        <f t="shared" si="8"/>
        <v>#VALUE!</v>
      </c>
      <c r="O2222" s="65"/>
      <c r="P2222" s="29" t="s">
        <v>334</v>
      </c>
      <c r="Q2222" s="55"/>
      <c r="R2222" s="31" t="e">
        <f t="shared" si="9"/>
        <v>#VALUE!</v>
      </c>
      <c r="S2222" s="66"/>
      <c r="T2222" s="32" t="e">
        <f t="shared" si="10"/>
        <v>#VALUE!</v>
      </c>
      <c r="U2222" s="57"/>
      <c r="V2222" s="58"/>
      <c r="W2222" s="58"/>
      <c r="X2222" s="30" t="e">
        <f t="shared" si="11"/>
        <v>#N/A</v>
      </c>
      <c r="Y2222" s="30" t="e">
        <f t="shared" si="12"/>
        <v>#N/A</v>
      </c>
      <c r="Z2222" s="35" t="e">
        <f t="shared" si="13"/>
        <v>#VALUE!</v>
      </c>
      <c r="AA2222" s="29" t="e">
        <f t="shared" si="14"/>
        <v>#VALUE!</v>
      </c>
      <c r="AB2222" s="36" t="e">
        <f t="shared" si="15"/>
        <v>#VALUE!</v>
      </c>
      <c r="AC2222" s="37" t="b">
        <v>0</v>
      </c>
      <c r="AD2222" s="61" t="str">
        <f t="shared" si="16"/>
        <v>USD</v>
      </c>
      <c r="AE2222" s="37"/>
      <c r="AF2222" s="37" t="e">
        <f t="array" ref="AF2222">INDEX('Deal Info'!D:D, MATCH(A2222,'Deal Info'!A:A, 0))</f>
        <v>#N/A</v>
      </c>
      <c r="AG2222" s="38" t="e">
        <f t="array" ref="AG2222">INDEX('Deal Info'!G:G, MATCH(A2222,'Deal Info'!A:A, 0))</f>
        <v>#N/A</v>
      </c>
    </row>
    <row r="2223" spans="1:33" ht="14.25" hidden="1" x14ac:dyDescent="0.2">
      <c r="A2223" s="18" t="b">
        <f t="array" ref="A2223">IF(G2223='Room Info'!$B$1, INDEX('Room Info'!$A$2:$A2446, MATCH(B2223,'Room Info'!$B$2:$B2446, 0)),IF(G2223='Room Info'!$C$1, INDEX('Room Info'!$A$2:$A2446, MATCH(B2223,'Room Info'!$C$2:$C2446, 0)),IF(G2223='Room Info'!$D$1, INDEX('Room Info'!$A$2:$A2446, MATCH(B2223,'Room Info'!$D$2:$D2446, 0)),IF(G2223='Room Info'!$E$1, INDEX('Room Info'!$A$2:$A2446, MATCH(B2223,'Room Info'!$E$2:$E2446, 0)),IF(G2223='Room Info'!$F$1, INDEX('Room Info'!$A$2:$A2446, MATCH(B2223,'Room Info'!$F$2:$F2446, 0)),IF(G2223='Room Info'!$H$1, INDEX('Room Info'!$A$2:$A2446, MATCH(B2223,'Room Info'!$H$2:$H2446, 0)),IF(G2223='Room Info'!$G$1, INDEX('Room Info'!$A$2:$A2446, MATCH(B2223,'Room Info'!$G$2:$G2446, 0)))))))))</f>
        <v>0</v>
      </c>
      <c r="B2223" s="96"/>
      <c r="C2223" s="111"/>
      <c r="D2223" s="111"/>
      <c r="E2223" s="80"/>
      <c r="F2223" s="133"/>
      <c r="G2223" s="65"/>
      <c r="H2223" s="110"/>
      <c r="I2223" s="110"/>
      <c r="J2223" s="39" t="s">
        <v>334</v>
      </c>
      <c r="K2223" s="112"/>
      <c r="L2223" s="113"/>
      <c r="M2223" s="62"/>
      <c r="N2223" s="28" t="e">
        <f t="shared" si="8"/>
        <v>#VALUE!</v>
      </c>
      <c r="O2223" s="65"/>
      <c r="P2223" s="29" t="s">
        <v>334</v>
      </c>
      <c r="Q2223" s="55"/>
      <c r="R2223" s="31" t="e">
        <f t="shared" si="9"/>
        <v>#VALUE!</v>
      </c>
      <c r="S2223" s="66"/>
      <c r="T2223" s="32" t="e">
        <f t="shared" si="10"/>
        <v>#VALUE!</v>
      </c>
      <c r="U2223" s="57"/>
      <c r="V2223" s="58"/>
      <c r="W2223" s="58"/>
      <c r="X2223" s="30" t="e">
        <f t="shared" si="11"/>
        <v>#N/A</v>
      </c>
      <c r="Y2223" s="30" t="e">
        <f t="shared" si="12"/>
        <v>#N/A</v>
      </c>
      <c r="Z2223" s="35" t="e">
        <f t="shared" si="13"/>
        <v>#VALUE!</v>
      </c>
      <c r="AA2223" s="29" t="e">
        <f t="shared" si="14"/>
        <v>#VALUE!</v>
      </c>
      <c r="AB2223" s="36" t="e">
        <f t="shared" si="15"/>
        <v>#VALUE!</v>
      </c>
      <c r="AC2223" s="37" t="b">
        <v>0</v>
      </c>
      <c r="AD2223" s="61" t="str">
        <f t="shared" si="16"/>
        <v>USD</v>
      </c>
      <c r="AE2223" s="37"/>
      <c r="AF2223" s="37" t="e">
        <f t="array" ref="AF2223">INDEX('Deal Info'!D:D, MATCH(A2223,'Deal Info'!A:A, 0))</f>
        <v>#N/A</v>
      </c>
      <c r="AG2223" s="38" t="e">
        <f t="array" ref="AG2223">INDEX('Deal Info'!G:G, MATCH(A2223,'Deal Info'!A:A, 0))</f>
        <v>#N/A</v>
      </c>
    </row>
    <row r="2224" spans="1:33" ht="14.25" hidden="1" x14ac:dyDescent="0.2">
      <c r="A2224" s="18" t="b">
        <f t="array" ref="A2224">IF(G2224='Room Info'!$B$1, INDEX('Room Info'!$A$2:$A2446, MATCH(B2224,'Room Info'!$B$2:$B2446, 0)),IF(G2224='Room Info'!$C$1, INDEX('Room Info'!$A$2:$A2446, MATCH(B2224,'Room Info'!$C$2:$C2446, 0)),IF(G2224='Room Info'!$D$1, INDEX('Room Info'!$A$2:$A2446, MATCH(B2224,'Room Info'!$D$2:$D2446, 0)),IF(G2224='Room Info'!$E$1, INDEX('Room Info'!$A$2:$A2446, MATCH(B2224,'Room Info'!$E$2:$E2446, 0)),IF(G2224='Room Info'!$F$1, INDEX('Room Info'!$A$2:$A2446, MATCH(B2224,'Room Info'!$F$2:$F2446, 0)),IF(G2224='Room Info'!$H$1, INDEX('Room Info'!$A$2:$A2446, MATCH(B2224,'Room Info'!$H$2:$H2446, 0)),IF(G2224='Room Info'!$G$1, INDEX('Room Info'!$A$2:$A2446, MATCH(B2224,'Room Info'!$G$2:$G2446, 0)))))))))</f>
        <v>0</v>
      </c>
      <c r="B2224" s="96"/>
      <c r="C2224" s="111"/>
      <c r="D2224" s="111"/>
      <c r="E2224" s="80"/>
      <c r="F2224" s="133"/>
      <c r="G2224" s="65"/>
      <c r="H2224" s="110"/>
      <c r="I2224" s="110"/>
      <c r="J2224" s="39" t="s">
        <v>334</v>
      </c>
      <c r="K2224" s="112"/>
      <c r="L2224" s="113"/>
      <c r="M2224" s="62"/>
      <c r="N2224" s="28" t="e">
        <f t="shared" si="8"/>
        <v>#VALUE!</v>
      </c>
      <c r="O2224" s="65"/>
      <c r="P2224" s="29" t="s">
        <v>334</v>
      </c>
      <c r="Q2224" s="55"/>
      <c r="R2224" s="31" t="e">
        <f t="shared" si="9"/>
        <v>#VALUE!</v>
      </c>
      <c r="S2224" s="66"/>
      <c r="T2224" s="32" t="e">
        <f t="shared" si="10"/>
        <v>#VALUE!</v>
      </c>
      <c r="U2224" s="57"/>
      <c r="V2224" s="58"/>
      <c r="W2224" s="58"/>
      <c r="X2224" s="30" t="e">
        <f t="shared" si="11"/>
        <v>#N/A</v>
      </c>
      <c r="Y2224" s="30" t="e">
        <f t="shared" si="12"/>
        <v>#N/A</v>
      </c>
      <c r="Z2224" s="35" t="e">
        <f t="shared" si="13"/>
        <v>#VALUE!</v>
      </c>
      <c r="AA2224" s="29" t="e">
        <f t="shared" si="14"/>
        <v>#VALUE!</v>
      </c>
      <c r="AB2224" s="36" t="e">
        <f t="shared" si="15"/>
        <v>#VALUE!</v>
      </c>
      <c r="AC2224" s="37" t="b">
        <v>0</v>
      </c>
      <c r="AD2224" s="61" t="str">
        <f t="shared" si="16"/>
        <v>USD</v>
      </c>
      <c r="AE2224" s="37"/>
      <c r="AF2224" s="37" t="e">
        <f t="array" ref="AF2224">INDEX('Deal Info'!D:D, MATCH(A2224,'Deal Info'!A:A, 0))</f>
        <v>#N/A</v>
      </c>
      <c r="AG2224" s="38" t="e">
        <f t="array" ref="AG2224">INDEX('Deal Info'!G:G, MATCH(A2224,'Deal Info'!A:A, 0))</f>
        <v>#N/A</v>
      </c>
    </row>
    <row r="2225" spans="1:33" ht="14.25" hidden="1" x14ac:dyDescent="0.2">
      <c r="A2225" s="18" t="b">
        <f t="array" ref="A2225">IF(G2225='Room Info'!$B$1, INDEX('Room Info'!$A$2:$A2446, MATCH(B2225,'Room Info'!$B$2:$B2446, 0)),IF(G2225='Room Info'!$C$1, INDEX('Room Info'!$A$2:$A2446, MATCH(B2225,'Room Info'!$C$2:$C2446, 0)),IF(G2225='Room Info'!$D$1, INDEX('Room Info'!$A$2:$A2446, MATCH(B2225,'Room Info'!$D$2:$D2446, 0)),IF(G2225='Room Info'!$E$1, INDEX('Room Info'!$A$2:$A2446, MATCH(B2225,'Room Info'!$E$2:$E2446, 0)),IF(G2225='Room Info'!$F$1, INDEX('Room Info'!$A$2:$A2446, MATCH(B2225,'Room Info'!$F$2:$F2446, 0)),IF(G2225='Room Info'!$H$1, INDEX('Room Info'!$A$2:$A2446, MATCH(B2225,'Room Info'!$H$2:$H2446, 0)),IF(G2225='Room Info'!$G$1, INDEX('Room Info'!$A$2:$A2446, MATCH(B2225,'Room Info'!$G$2:$G2446, 0)))))))))</f>
        <v>0</v>
      </c>
      <c r="B2225" s="96"/>
      <c r="C2225" s="111"/>
      <c r="D2225" s="111"/>
      <c r="E2225" s="80"/>
      <c r="F2225" s="133"/>
      <c r="G2225" s="96"/>
      <c r="H2225" s="110"/>
      <c r="I2225" s="110"/>
      <c r="J2225" s="39" t="s">
        <v>334</v>
      </c>
      <c r="K2225" s="112"/>
      <c r="L2225" s="113"/>
      <c r="M2225" s="62"/>
      <c r="N2225" s="28" t="e">
        <f t="shared" si="8"/>
        <v>#VALUE!</v>
      </c>
      <c r="O2225" s="65"/>
      <c r="P2225" s="29" t="s">
        <v>334</v>
      </c>
      <c r="Q2225" s="55"/>
      <c r="R2225" s="31" t="e">
        <f t="shared" si="9"/>
        <v>#VALUE!</v>
      </c>
      <c r="S2225" s="66"/>
      <c r="T2225" s="32" t="e">
        <f t="shared" si="10"/>
        <v>#VALUE!</v>
      </c>
      <c r="U2225" s="57"/>
      <c r="V2225" s="58"/>
      <c r="W2225" s="58"/>
      <c r="X2225" s="30" t="e">
        <f t="shared" si="11"/>
        <v>#N/A</v>
      </c>
      <c r="Y2225" s="30" t="e">
        <f t="shared" si="12"/>
        <v>#N/A</v>
      </c>
      <c r="Z2225" s="35" t="e">
        <f t="shared" si="13"/>
        <v>#VALUE!</v>
      </c>
      <c r="AA2225" s="29" t="e">
        <f t="shared" si="14"/>
        <v>#VALUE!</v>
      </c>
      <c r="AB2225" s="36" t="e">
        <f t="shared" si="15"/>
        <v>#VALUE!</v>
      </c>
      <c r="AC2225" s="37" t="b">
        <v>0</v>
      </c>
      <c r="AD2225" s="61" t="str">
        <f t="shared" si="16"/>
        <v>USD</v>
      </c>
      <c r="AE2225" s="37"/>
      <c r="AF2225" s="37" t="e">
        <f t="array" ref="AF2225">INDEX('Deal Info'!D:D, MATCH(A2225,'Deal Info'!A:A, 0))</f>
        <v>#N/A</v>
      </c>
      <c r="AG2225" s="38" t="e">
        <f t="array" ref="AG2225">INDEX('Deal Info'!G:G, MATCH(A2225,'Deal Info'!A:A, 0))</f>
        <v>#N/A</v>
      </c>
    </row>
    <row r="2226" spans="1:33" ht="14.25" hidden="1" x14ac:dyDescent="0.2">
      <c r="A2226" s="18" t="b">
        <f t="array" ref="A2226">IF(G2226='Room Info'!$B$1, INDEX('Room Info'!$A$2:$A2446, MATCH(B2226,'Room Info'!$B$2:$B2446, 0)),IF(G2226='Room Info'!$C$1, INDEX('Room Info'!$A$2:$A2446, MATCH(B2226,'Room Info'!$C$2:$C2446, 0)),IF(G2226='Room Info'!$D$1, INDEX('Room Info'!$A$2:$A2446, MATCH(B2226,'Room Info'!$D$2:$D2446, 0)),IF(G2226='Room Info'!$E$1, INDEX('Room Info'!$A$2:$A2446, MATCH(B2226,'Room Info'!$E$2:$E2446, 0)),IF(G2226='Room Info'!$F$1, INDEX('Room Info'!$A$2:$A2446, MATCH(B2226,'Room Info'!$F$2:$F2446, 0)),IF(G2226='Room Info'!$H$1, INDEX('Room Info'!$A$2:$A2446, MATCH(B2226,'Room Info'!$H$2:$H2446, 0)),IF(G2226='Room Info'!$G$1, INDEX('Room Info'!$A$2:$A2446, MATCH(B2226,'Room Info'!$G$2:$G2446, 0)))))))))</f>
        <v>0</v>
      </c>
      <c r="B2226" s="96"/>
      <c r="C2226" s="111"/>
      <c r="D2226" s="111"/>
      <c r="E2226" s="80"/>
      <c r="F2226" s="96"/>
      <c r="G2226" s="96"/>
      <c r="H2226" s="110"/>
      <c r="I2226" s="110"/>
      <c r="J2226" s="39" t="s">
        <v>334</v>
      </c>
      <c r="K2226" s="112"/>
      <c r="L2226" s="113"/>
      <c r="M2226" s="62"/>
      <c r="N2226" s="28" t="e">
        <f t="shared" si="8"/>
        <v>#VALUE!</v>
      </c>
      <c r="O2226" s="65"/>
      <c r="P2226" s="29" t="s">
        <v>334</v>
      </c>
      <c r="Q2226" s="55"/>
      <c r="R2226" s="31" t="e">
        <f t="shared" si="9"/>
        <v>#VALUE!</v>
      </c>
      <c r="S2226" s="66"/>
      <c r="T2226" s="32" t="e">
        <f t="shared" si="10"/>
        <v>#VALUE!</v>
      </c>
      <c r="U2226" s="57"/>
      <c r="V2226" s="58"/>
      <c r="W2226" s="58"/>
      <c r="X2226" s="30" t="e">
        <f t="shared" si="11"/>
        <v>#N/A</v>
      </c>
      <c r="Y2226" s="30" t="e">
        <f t="shared" si="12"/>
        <v>#N/A</v>
      </c>
      <c r="Z2226" s="35" t="e">
        <f t="shared" si="13"/>
        <v>#VALUE!</v>
      </c>
      <c r="AA2226" s="29" t="e">
        <f t="shared" si="14"/>
        <v>#VALUE!</v>
      </c>
      <c r="AB2226" s="36" t="e">
        <f t="shared" si="15"/>
        <v>#VALUE!</v>
      </c>
      <c r="AC2226" s="37" t="b">
        <v>0</v>
      </c>
      <c r="AD2226" s="61" t="str">
        <f t="shared" si="16"/>
        <v>USD</v>
      </c>
      <c r="AE2226" s="37"/>
      <c r="AF2226" s="37" t="e">
        <f t="array" ref="AF2226">INDEX('Deal Info'!D:D, MATCH(A2226,'Deal Info'!A:A, 0))</f>
        <v>#N/A</v>
      </c>
      <c r="AG2226" s="38" t="e">
        <f t="array" ref="AG2226">INDEX('Deal Info'!G:G, MATCH(A2226,'Deal Info'!A:A, 0))</f>
        <v>#N/A</v>
      </c>
    </row>
    <row r="2227" spans="1:33" ht="14.25" hidden="1" x14ac:dyDescent="0.2">
      <c r="A2227" s="18" t="b">
        <f t="array" ref="A2227">IF(G2227='Room Info'!$B$1, INDEX('Room Info'!$A$2:$A2446, MATCH(B2227,'Room Info'!$B$2:$B2446, 0)),IF(G2227='Room Info'!$C$1, INDEX('Room Info'!$A$2:$A2446, MATCH(B2227,'Room Info'!$C$2:$C2446, 0)),IF(G2227='Room Info'!$D$1, INDEX('Room Info'!$A$2:$A2446, MATCH(B2227,'Room Info'!$D$2:$D2446, 0)),IF(G2227='Room Info'!$E$1, INDEX('Room Info'!$A$2:$A2446, MATCH(B2227,'Room Info'!$E$2:$E2446, 0)),IF(G2227='Room Info'!$F$1, INDEX('Room Info'!$A$2:$A2446, MATCH(B2227,'Room Info'!$F$2:$F2446, 0)),IF(G2227='Room Info'!$H$1, INDEX('Room Info'!$A$2:$A2446, MATCH(B2227,'Room Info'!$H$2:$H2446, 0)),IF(G2227='Room Info'!$G$1, INDEX('Room Info'!$A$2:$A2446, MATCH(B2227,'Room Info'!$G$2:$G2446, 0)))))))))</f>
        <v>0</v>
      </c>
      <c r="B2227" s="96"/>
      <c r="C2227" s="111"/>
      <c r="D2227" s="111"/>
      <c r="E2227" s="80"/>
      <c r="F2227" s="96"/>
      <c r="G2227" s="96"/>
      <c r="H2227" s="110"/>
      <c r="I2227" s="110"/>
      <c r="J2227" s="39" t="s">
        <v>334</v>
      </c>
      <c r="K2227" s="112"/>
      <c r="L2227" s="113"/>
      <c r="M2227" s="62"/>
      <c r="N2227" s="28" t="e">
        <f t="shared" si="8"/>
        <v>#VALUE!</v>
      </c>
      <c r="O2227" s="65"/>
      <c r="P2227" s="29" t="s">
        <v>334</v>
      </c>
      <c r="Q2227" s="55"/>
      <c r="R2227" s="31" t="e">
        <f t="shared" si="9"/>
        <v>#VALUE!</v>
      </c>
      <c r="S2227" s="66"/>
      <c r="T2227" s="32" t="e">
        <f t="shared" si="10"/>
        <v>#VALUE!</v>
      </c>
      <c r="U2227" s="57"/>
      <c r="V2227" s="58"/>
      <c r="W2227" s="58"/>
      <c r="X2227" s="30" t="e">
        <f t="shared" si="11"/>
        <v>#N/A</v>
      </c>
      <c r="Y2227" s="30" t="e">
        <f t="shared" si="12"/>
        <v>#N/A</v>
      </c>
      <c r="Z2227" s="35" t="e">
        <f t="shared" si="13"/>
        <v>#VALUE!</v>
      </c>
      <c r="AA2227" s="29" t="e">
        <f t="shared" si="14"/>
        <v>#VALUE!</v>
      </c>
      <c r="AB2227" s="36" t="e">
        <f t="shared" si="15"/>
        <v>#VALUE!</v>
      </c>
      <c r="AC2227" s="37" t="b">
        <v>0</v>
      </c>
      <c r="AD2227" s="61" t="str">
        <f t="shared" si="16"/>
        <v>USD</v>
      </c>
      <c r="AE2227" s="37"/>
      <c r="AF2227" s="37" t="e">
        <f t="array" ref="AF2227">INDEX('Deal Info'!D:D, MATCH(A2227,'Deal Info'!A:A, 0))</f>
        <v>#N/A</v>
      </c>
      <c r="AG2227" s="38" t="e">
        <f t="array" ref="AG2227">INDEX('Deal Info'!G:G, MATCH(A2227,'Deal Info'!A:A, 0))</f>
        <v>#N/A</v>
      </c>
    </row>
    <row r="2228" spans="1:33" ht="14.25" hidden="1" x14ac:dyDescent="0.2">
      <c r="A2228" s="18" t="b">
        <f t="array" ref="A2228">IF(G2228='Room Info'!$B$1, INDEX('Room Info'!$A$2:$A2446, MATCH(B2228,'Room Info'!$B$2:$B2446, 0)),IF(G2228='Room Info'!$C$1, INDEX('Room Info'!$A$2:$A2446, MATCH(B2228,'Room Info'!$C$2:$C2446, 0)),IF(G2228='Room Info'!$D$1, INDEX('Room Info'!$A$2:$A2446, MATCH(B2228,'Room Info'!$D$2:$D2446, 0)),IF(G2228='Room Info'!$E$1, INDEX('Room Info'!$A$2:$A2446, MATCH(B2228,'Room Info'!$E$2:$E2446, 0)),IF(G2228='Room Info'!$F$1, INDEX('Room Info'!$A$2:$A2446, MATCH(B2228,'Room Info'!$F$2:$F2446, 0)),IF(G2228='Room Info'!$H$1, INDEX('Room Info'!$A$2:$A2446, MATCH(B2228,'Room Info'!$H$2:$H2446, 0)),IF(G2228='Room Info'!$G$1, INDEX('Room Info'!$A$2:$A2446, MATCH(B2228,'Room Info'!$G$2:$G2446, 0)))))))))</f>
        <v>0</v>
      </c>
      <c r="B2228" s="96"/>
      <c r="C2228" s="111"/>
      <c r="D2228" s="111"/>
      <c r="E2228" s="80"/>
      <c r="F2228" s="133"/>
      <c r="G2228" s="96"/>
      <c r="H2228" s="110"/>
      <c r="I2228" s="110"/>
      <c r="J2228" s="39" t="s">
        <v>334</v>
      </c>
      <c r="K2228" s="112"/>
      <c r="L2228" s="113"/>
      <c r="M2228" s="62"/>
      <c r="N2228" s="28" t="e">
        <f t="shared" si="8"/>
        <v>#VALUE!</v>
      </c>
      <c r="O2228" s="65"/>
      <c r="P2228" s="29" t="s">
        <v>334</v>
      </c>
      <c r="Q2228" s="55"/>
      <c r="R2228" s="31" t="e">
        <f t="shared" si="9"/>
        <v>#VALUE!</v>
      </c>
      <c r="S2228" s="66"/>
      <c r="T2228" s="32" t="e">
        <f t="shared" si="10"/>
        <v>#VALUE!</v>
      </c>
      <c r="U2228" s="57"/>
      <c r="V2228" s="58"/>
      <c r="W2228" s="58"/>
      <c r="X2228" s="30" t="e">
        <f t="shared" si="11"/>
        <v>#N/A</v>
      </c>
      <c r="Y2228" s="30" t="e">
        <f t="shared" si="12"/>
        <v>#N/A</v>
      </c>
      <c r="Z2228" s="35" t="e">
        <f t="shared" si="13"/>
        <v>#VALUE!</v>
      </c>
      <c r="AA2228" s="29" t="e">
        <f t="shared" si="14"/>
        <v>#VALUE!</v>
      </c>
      <c r="AB2228" s="36" t="e">
        <f t="shared" si="15"/>
        <v>#VALUE!</v>
      </c>
      <c r="AC2228" s="37" t="b">
        <v>0</v>
      </c>
      <c r="AD2228" s="61" t="str">
        <f t="shared" si="16"/>
        <v>USD</v>
      </c>
      <c r="AE2228" s="37"/>
      <c r="AF2228" s="37" t="e">
        <f t="array" ref="AF2228">INDEX('Deal Info'!D:D, MATCH(A2228,'Deal Info'!A:A, 0))</f>
        <v>#N/A</v>
      </c>
      <c r="AG2228" s="38" t="e">
        <f t="array" ref="AG2228">INDEX('Deal Info'!G:G, MATCH(A2228,'Deal Info'!A:A, 0))</f>
        <v>#N/A</v>
      </c>
    </row>
    <row r="2229" spans="1:33" ht="14.25" hidden="1" x14ac:dyDescent="0.2">
      <c r="A2229" s="18" t="b">
        <f t="array" ref="A2229">IF(G2229='Room Info'!$B$1, INDEX('Room Info'!$A$2:$A2446, MATCH(B2229,'Room Info'!$B$2:$B2446, 0)),IF(G2229='Room Info'!$C$1, INDEX('Room Info'!$A$2:$A2446, MATCH(B2229,'Room Info'!$C$2:$C2446, 0)),IF(G2229='Room Info'!$D$1, INDEX('Room Info'!$A$2:$A2446, MATCH(B2229,'Room Info'!$D$2:$D2446, 0)),IF(G2229='Room Info'!$E$1, INDEX('Room Info'!$A$2:$A2446, MATCH(B2229,'Room Info'!$E$2:$E2446, 0)),IF(G2229='Room Info'!$F$1, INDEX('Room Info'!$A$2:$A2446, MATCH(B2229,'Room Info'!$F$2:$F2446, 0)),IF(G2229='Room Info'!$H$1, INDEX('Room Info'!$A$2:$A2446, MATCH(B2229,'Room Info'!$H$2:$H2446, 0)),IF(G2229='Room Info'!$G$1, INDEX('Room Info'!$A$2:$A2446, MATCH(B2229,'Room Info'!$G$2:$G2446, 0)))))))))</f>
        <v>0</v>
      </c>
      <c r="B2229" s="96"/>
      <c r="C2229" s="111"/>
      <c r="D2229" s="111"/>
      <c r="E2229" s="80"/>
      <c r="F2229" s="133"/>
      <c r="G2229" s="96"/>
      <c r="H2229" s="110"/>
      <c r="I2229" s="110"/>
      <c r="J2229" s="39" t="s">
        <v>334</v>
      </c>
      <c r="K2229" s="112"/>
      <c r="L2229" s="113"/>
      <c r="M2229" s="62"/>
      <c r="N2229" s="28" t="e">
        <f t="shared" si="8"/>
        <v>#VALUE!</v>
      </c>
      <c r="O2229" s="65"/>
      <c r="P2229" s="29" t="s">
        <v>334</v>
      </c>
      <c r="Q2229" s="55"/>
      <c r="R2229" s="31" t="e">
        <f t="shared" si="9"/>
        <v>#VALUE!</v>
      </c>
      <c r="S2229" s="66"/>
      <c r="T2229" s="32" t="e">
        <f t="shared" si="10"/>
        <v>#VALUE!</v>
      </c>
      <c r="U2229" s="57"/>
      <c r="V2229" s="58"/>
      <c r="W2229" s="58"/>
      <c r="X2229" s="30" t="e">
        <f t="shared" si="11"/>
        <v>#N/A</v>
      </c>
      <c r="Y2229" s="30" t="e">
        <f t="shared" si="12"/>
        <v>#N/A</v>
      </c>
      <c r="Z2229" s="35" t="e">
        <f t="shared" si="13"/>
        <v>#VALUE!</v>
      </c>
      <c r="AA2229" s="29" t="e">
        <f t="shared" si="14"/>
        <v>#VALUE!</v>
      </c>
      <c r="AB2229" s="36" t="e">
        <f t="shared" si="15"/>
        <v>#VALUE!</v>
      </c>
      <c r="AC2229" s="37" t="b">
        <v>0</v>
      </c>
      <c r="AD2229" s="61" t="str">
        <f t="shared" si="16"/>
        <v>USD</v>
      </c>
      <c r="AE2229" s="37"/>
      <c r="AF2229" s="37" t="e">
        <f t="array" ref="AF2229">INDEX('Deal Info'!D:D, MATCH(A2229,'Deal Info'!A:A, 0))</f>
        <v>#N/A</v>
      </c>
      <c r="AG2229" s="38" t="e">
        <f t="array" ref="AG2229">INDEX('Deal Info'!G:G, MATCH(A2229,'Deal Info'!A:A, 0))</f>
        <v>#N/A</v>
      </c>
    </row>
    <row r="2230" spans="1:33" ht="14.25" hidden="1" x14ac:dyDescent="0.2">
      <c r="A2230" s="18" t="b">
        <f t="array" ref="A2230">IF(G2230='Room Info'!$B$1, INDEX('Room Info'!$A$2:$A2446, MATCH(B2230,'Room Info'!$B$2:$B2446, 0)),IF(G2230='Room Info'!$C$1, INDEX('Room Info'!$A$2:$A2446, MATCH(B2230,'Room Info'!$C$2:$C2446, 0)),IF(G2230='Room Info'!$D$1, INDEX('Room Info'!$A$2:$A2446, MATCH(B2230,'Room Info'!$D$2:$D2446, 0)),IF(G2230='Room Info'!$E$1, INDEX('Room Info'!$A$2:$A2446, MATCH(B2230,'Room Info'!$E$2:$E2446, 0)),IF(G2230='Room Info'!$F$1, INDEX('Room Info'!$A$2:$A2446, MATCH(B2230,'Room Info'!$F$2:$F2446, 0)),IF(G2230='Room Info'!$H$1, INDEX('Room Info'!$A$2:$A2446, MATCH(B2230,'Room Info'!$H$2:$H2446, 0)),IF(G2230='Room Info'!$G$1, INDEX('Room Info'!$A$2:$A2446, MATCH(B2230,'Room Info'!$G$2:$G2446, 0)))))))))</f>
        <v>0</v>
      </c>
      <c r="B2230" s="96"/>
      <c r="C2230" s="111"/>
      <c r="D2230" s="111"/>
      <c r="E2230" s="80"/>
      <c r="F2230" s="133"/>
      <c r="G2230" s="96"/>
      <c r="H2230" s="110"/>
      <c r="I2230" s="110"/>
      <c r="J2230" s="39" t="s">
        <v>334</v>
      </c>
      <c r="K2230" s="112"/>
      <c r="L2230" s="113"/>
      <c r="M2230" s="62"/>
      <c r="N2230" s="28" t="e">
        <f t="shared" si="8"/>
        <v>#VALUE!</v>
      </c>
      <c r="O2230" s="65"/>
      <c r="P2230" s="29" t="s">
        <v>334</v>
      </c>
      <c r="Q2230" s="55"/>
      <c r="R2230" s="31" t="e">
        <f t="shared" si="9"/>
        <v>#VALUE!</v>
      </c>
      <c r="S2230" s="66"/>
      <c r="T2230" s="32" t="e">
        <f t="shared" si="10"/>
        <v>#VALUE!</v>
      </c>
      <c r="U2230" s="57"/>
      <c r="V2230" s="58"/>
      <c r="W2230" s="58"/>
      <c r="X2230" s="30" t="e">
        <f t="shared" si="11"/>
        <v>#N/A</v>
      </c>
      <c r="Y2230" s="30" t="e">
        <f t="shared" si="12"/>
        <v>#N/A</v>
      </c>
      <c r="Z2230" s="35" t="e">
        <f t="shared" si="13"/>
        <v>#VALUE!</v>
      </c>
      <c r="AA2230" s="29" t="e">
        <f t="shared" si="14"/>
        <v>#VALUE!</v>
      </c>
      <c r="AB2230" s="36" t="e">
        <f t="shared" si="15"/>
        <v>#VALUE!</v>
      </c>
      <c r="AC2230" s="37" t="b">
        <v>0</v>
      </c>
      <c r="AD2230" s="61" t="str">
        <f t="shared" si="16"/>
        <v>USD</v>
      </c>
      <c r="AE2230" s="37"/>
      <c r="AF2230" s="37" t="e">
        <f t="array" ref="AF2230">INDEX('Deal Info'!D:D, MATCH(A2230,'Deal Info'!A:A, 0))</f>
        <v>#N/A</v>
      </c>
      <c r="AG2230" s="38" t="e">
        <f t="array" ref="AG2230">INDEX('Deal Info'!G:G, MATCH(A2230,'Deal Info'!A:A, 0))</f>
        <v>#N/A</v>
      </c>
    </row>
    <row r="2231" spans="1:33" ht="14.25" hidden="1" x14ac:dyDescent="0.2">
      <c r="A2231" s="18" t="b">
        <f t="array" ref="A2231">IF(G2231='Room Info'!$B$1, INDEX('Room Info'!$A$2:$A2446, MATCH(B2231,'Room Info'!$B$2:$B2446, 0)),IF(G2231='Room Info'!$C$1, INDEX('Room Info'!$A$2:$A2446, MATCH(B2231,'Room Info'!$C$2:$C2446, 0)),IF(G2231='Room Info'!$D$1, INDEX('Room Info'!$A$2:$A2446, MATCH(B2231,'Room Info'!$D$2:$D2446, 0)),IF(G2231='Room Info'!$E$1, INDEX('Room Info'!$A$2:$A2446, MATCH(B2231,'Room Info'!$E$2:$E2446, 0)),IF(G2231='Room Info'!$F$1, INDEX('Room Info'!$A$2:$A2446, MATCH(B2231,'Room Info'!$F$2:$F2446, 0)),IF(G2231='Room Info'!$H$1, INDEX('Room Info'!$A$2:$A2446, MATCH(B2231,'Room Info'!$H$2:$H2446, 0)),IF(G2231='Room Info'!$G$1, INDEX('Room Info'!$A$2:$A2446, MATCH(B2231,'Room Info'!$G$2:$G2446, 0)))))))))</f>
        <v>0</v>
      </c>
      <c r="B2231" s="96"/>
      <c r="C2231" s="111"/>
      <c r="D2231" s="111"/>
      <c r="E2231" s="80"/>
      <c r="F2231" s="133"/>
      <c r="G2231" s="96"/>
      <c r="H2231" s="110"/>
      <c r="I2231" s="110"/>
      <c r="J2231" s="39" t="s">
        <v>334</v>
      </c>
      <c r="K2231" s="112"/>
      <c r="L2231" s="113"/>
      <c r="M2231" s="62"/>
      <c r="N2231" s="28" t="e">
        <f t="shared" si="8"/>
        <v>#VALUE!</v>
      </c>
      <c r="O2231" s="65"/>
      <c r="P2231" s="29" t="s">
        <v>334</v>
      </c>
      <c r="Q2231" s="55"/>
      <c r="R2231" s="31" t="e">
        <f t="shared" si="9"/>
        <v>#VALUE!</v>
      </c>
      <c r="S2231" s="66"/>
      <c r="T2231" s="32" t="e">
        <f t="shared" si="10"/>
        <v>#VALUE!</v>
      </c>
      <c r="U2231" s="57"/>
      <c r="V2231" s="58"/>
      <c r="W2231" s="58"/>
      <c r="X2231" s="30" t="e">
        <f t="shared" si="11"/>
        <v>#N/A</v>
      </c>
      <c r="Y2231" s="30" t="e">
        <f t="shared" si="12"/>
        <v>#N/A</v>
      </c>
      <c r="Z2231" s="35" t="e">
        <f t="shared" si="13"/>
        <v>#VALUE!</v>
      </c>
      <c r="AA2231" s="29" t="e">
        <f t="shared" si="14"/>
        <v>#VALUE!</v>
      </c>
      <c r="AB2231" s="36" t="e">
        <f t="shared" si="15"/>
        <v>#VALUE!</v>
      </c>
      <c r="AC2231" s="37" t="b">
        <v>0</v>
      </c>
      <c r="AD2231" s="61" t="str">
        <f t="shared" si="16"/>
        <v>USD</v>
      </c>
      <c r="AE2231" s="37"/>
      <c r="AF2231" s="37" t="e">
        <f t="array" ref="AF2231">INDEX('Deal Info'!D:D, MATCH(A2231,'Deal Info'!A:A, 0))</f>
        <v>#N/A</v>
      </c>
      <c r="AG2231" s="38" t="e">
        <f t="array" ref="AG2231">INDEX('Deal Info'!G:G, MATCH(A2231,'Deal Info'!A:A, 0))</f>
        <v>#N/A</v>
      </c>
    </row>
    <row r="2232" spans="1:33" ht="14.25" hidden="1" x14ac:dyDescent="0.2">
      <c r="A2232" s="18" t="b">
        <f t="array" ref="A2232">IF(G2232='Room Info'!$B$1, INDEX('Room Info'!$A$2:$A2446, MATCH(B2232,'Room Info'!$B$2:$B2446, 0)),IF(G2232='Room Info'!$C$1, INDEX('Room Info'!$A$2:$A2446, MATCH(B2232,'Room Info'!$C$2:$C2446, 0)),IF(G2232='Room Info'!$D$1, INDEX('Room Info'!$A$2:$A2446, MATCH(B2232,'Room Info'!$D$2:$D2446, 0)),IF(G2232='Room Info'!$E$1, INDEX('Room Info'!$A$2:$A2446, MATCH(B2232,'Room Info'!$E$2:$E2446, 0)),IF(G2232='Room Info'!$F$1, INDEX('Room Info'!$A$2:$A2446, MATCH(B2232,'Room Info'!$F$2:$F2446, 0)),IF(G2232='Room Info'!$H$1, INDEX('Room Info'!$A$2:$A2446, MATCH(B2232,'Room Info'!$H$2:$H2446, 0)),IF(G2232='Room Info'!$G$1, INDEX('Room Info'!$A$2:$A2446, MATCH(B2232,'Room Info'!$G$2:$G2446, 0)))))))))</f>
        <v>0</v>
      </c>
      <c r="B2232" s="96"/>
      <c r="C2232" s="111"/>
      <c r="D2232" s="111"/>
      <c r="E2232" s="80"/>
      <c r="F2232" s="133"/>
      <c r="G2232" s="96"/>
      <c r="H2232" s="110"/>
      <c r="I2232" s="110"/>
      <c r="J2232" s="39" t="s">
        <v>334</v>
      </c>
      <c r="K2232" s="112"/>
      <c r="L2232" s="113"/>
      <c r="M2232" s="62"/>
      <c r="N2232" s="28" t="e">
        <f t="shared" si="8"/>
        <v>#VALUE!</v>
      </c>
      <c r="O2232" s="65"/>
      <c r="P2232" s="29" t="s">
        <v>334</v>
      </c>
      <c r="Q2232" s="55"/>
      <c r="R2232" s="31" t="e">
        <f t="shared" si="9"/>
        <v>#VALUE!</v>
      </c>
      <c r="S2232" s="66"/>
      <c r="T2232" s="32" t="e">
        <f t="shared" si="10"/>
        <v>#VALUE!</v>
      </c>
      <c r="U2232" s="57"/>
      <c r="V2232" s="58"/>
      <c r="W2232" s="58"/>
      <c r="X2232" s="30" t="e">
        <f t="shared" si="11"/>
        <v>#N/A</v>
      </c>
      <c r="Y2232" s="30" t="e">
        <f t="shared" si="12"/>
        <v>#N/A</v>
      </c>
      <c r="Z2232" s="35" t="e">
        <f t="shared" si="13"/>
        <v>#VALUE!</v>
      </c>
      <c r="AA2232" s="29" t="e">
        <f t="shared" si="14"/>
        <v>#VALUE!</v>
      </c>
      <c r="AB2232" s="36" t="e">
        <f t="shared" si="15"/>
        <v>#VALUE!</v>
      </c>
      <c r="AC2232" s="37" t="b">
        <v>0</v>
      </c>
      <c r="AD2232" s="61" t="str">
        <f t="shared" si="16"/>
        <v>USD</v>
      </c>
      <c r="AE2232" s="37"/>
      <c r="AF2232" s="37" t="e">
        <f t="array" ref="AF2232">INDEX('Deal Info'!D:D, MATCH(A2232,'Deal Info'!A:A, 0))</f>
        <v>#N/A</v>
      </c>
      <c r="AG2232" s="38" t="e">
        <f t="array" ref="AG2232">INDEX('Deal Info'!G:G, MATCH(A2232,'Deal Info'!A:A, 0))</f>
        <v>#N/A</v>
      </c>
    </row>
    <row r="2233" spans="1:33" ht="14.25" hidden="1" x14ac:dyDescent="0.2">
      <c r="A2233" s="18" t="b">
        <f t="array" ref="A2233">IF(G2233='Room Info'!$B$1, INDEX('Room Info'!$A$2:$A2446, MATCH(B2233,'Room Info'!$B$2:$B2446, 0)),IF(G2233='Room Info'!$C$1, INDEX('Room Info'!$A$2:$A2446, MATCH(B2233,'Room Info'!$C$2:$C2446, 0)),IF(G2233='Room Info'!$D$1, INDEX('Room Info'!$A$2:$A2446, MATCH(B2233,'Room Info'!$D$2:$D2446, 0)),IF(G2233='Room Info'!$E$1, INDEX('Room Info'!$A$2:$A2446, MATCH(B2233,'Room Info'!$E$2:$E2446, 0)),IF(G2233='Room Info'!$F$1, INDEX('Room Info'!$A$2:$A2446, MATCH(B2233,'Room Info'!$F$2:$F2446, 0)),IF(G2233='Room Info'!$H$1, INDEX('Room Info'!$A$2:$A2446, MATCH(B2233,'Room Info'!$H$2:$H2446, 0)),IF(G2233='Room Info'!$G$1, INDEX('Room Info'!$A$2:$A2446, MATCH(B2233,'Room Info'!$G$2:$G2446, 0)))))))))</f>
        <v>0</v>
      </c>
      <c r="B2233" s="96"/>
      <c r="C2233" s="111"/>
      <c r="D2233" s="111"/>
      <c r="E2233" s="80"/>
      <c r="F2233" s="133"/>
      <c r="G2233" s="96"/>
      <c r="H2233" s="110"/>
      <c r="I2233" s="110"/>
      <c r="J2233" s="39" t="s">
        <v>334</v>
      </c>
      <c r="K2233" s="112"/>
      <c r="L2233" s="113"/>
      <c r="M2233" s="62"/>
      <c r="N2233" s="28" t="e">
        <f t="shared" si="8"/>
        <v>#VALUE!</v>
      </c>
      <c r="O2233" s="65"/>
      <c r="P2233" s="29" t="s">
        <v>334</v>
      </c>
      <c r="Q2233" s="55"/>
      <c r="R2233" s="31" t="e">
        <f t="shared" si="9"/>
        <v>#VALUE!</v>
      </c>
      <c r="S2233" s="66"/>
      <c r="T2233" s="32" t="e">
        <f t="shared" si="10"/>
        <v>#VALUE!</v>
      </c>
      <c r="U2233" s="57"/>
      <c r="V2233" s="58"/>
      <c r="W2233" s="58"/>
      <c r="X2233" s="30" t="e">
        <f t="shared" si="11"/>
        <v>#N/A</v>
      </c>
      <c r="Y2233" s="30" t="e">
        <f t="shared" si="12"/>
        <v>#N/A</v>
      </c>
      <c r="Z2233" s="35" t="e">
        <f t="shared" si="13"/>
        <v>#VALUE!</v>
      </c>
      <c r="AA2233" s="29" t="e">
        <f t="shared" si="14"/>
        <v>#VALUE!</v>
      </c>
      <c r="AB2233" s="36" t="e">
        <f t="shared" si="15"/>
        <v>#VALUE!</v>
      </c>
      <c r="AC2233" s="37" t="b">
        <v>0</v>
      </c>
      <c r="AD2233" s="61" t="str">
        <f t="shared" si="16"/>
        <v>USD</v>
      </c>
      <c r="AE2233" s="37"/>
      <c r="AF2233" s="37" t="e">
        <f t="array" ref="AF2233">INDEX('Deal Info'!D:D, MATCH(A2233,'Deal Info'!A:A, 0))</f>
        <v>#N/A</v>
      </c>
      <c r="AG2233" s="38" t="e">
        <f t="array" ref="AG2233">INDEX('Deal Info'!G:G, MATCH(A2233,'Deal Info'!A:A, 0))</f>
        <v>#N/A</v>
      </c>
    </row>
    <row r="2234" spans="1:33" ht="14.25" hidden="1" x14ac:dyDescent="0.2">
      <c r="A2234" s="18" t="b">
        <f t="array" ref="A2234">IF(G2234='Room Info'!$B$1, INDEX('Room Info'!$A$2:$A2446, MATCH(B2234,'Room Info'!$B$2:$B2446, 0)),IF(G2234='Room Info'!$C$1, INDEX('Room Info'!$A$2:$A2446, MATCH(B2234,'Room Info'!$C$2:$C2446, 0)),IF(G2234='Room Info'!$D$1, INDEX('Room Info'!$A$2:$A2446, MATCH(B2234,'Room Info'!$D$2:$D2446, 0)),IF(G2234='Room Info'!$E$1, INDEX('Room Info'!$A$2:$A2446, MATCH(B2234,'Room Info'!$E$2:$E2446, 0)),IF(G2234='Room Info'!$F$1, INDEX('Room Info'!$A$2:$A2446, MATCH(B2234,'Room Info'!$F$2:$F2446, 0)),IF(G2234='Room Info'!$H$1, INDEX('Room Info'!$A$2:$A2446, MATCH(B2234,'Room Info'!$H$2:$H2446, 0)),IF(G2234='Room Info'!$G$1, INDEX('Room Info'!$A$2:$A2446, MATCH(B2234,'Room Info'!$G$2:$G2446, 0)))))))))</f>
        <v>0</v>
      </c>
      <c r="B2234" s="96"/>
      <c r="C2234" s="111"/>
      <c r="D2234" s="111"/>
      <c r="E2234" s="80"/>
      <c r="F2234" s="133"/>
      <c r="G2234" s="96"/>
      <c r="H2234" s="110"/>
      <c r="I2234" s="110"/>
      <c r="J2234" s="39" t="s">
        <v>334</v>
      </c>
      <c r="K2234" s="112"/>
      <c r="L2234" s="113"/>
      <c r="M2234" s="62"/>
      <c r="N2234" s="28" t="e">
        <f t="shared" si="8"/>
        <v>#VALUE!</v>
      </c>
      <c r="O2234" s="65"/>
      <c r="P2234" s="29" t="s">
        <v>334</v>
      </c>
      <c r="Q2234" s="55"/>
      <c r="R2234" s="31" t="e">
        <f t="shared" si="9"/>
        <v>#VALUE!</v>
      </c>
      <c r="S2234" s="66"/>
      <c r="T2234" s="32" t="e">
        <f t="shared" si="10"/>
        <v>#VALUE!</v>
      </c>
      <c r="U2234" s="57"/>
      <c r="V2234" s="58"/>
      <c r="W2234" s="58"/>
      <c r="X2234" s="30" t="e">
        <f t="shared" si="11"/>
        <v>#N/A</v>
      </c>
      <c r="Y2234" s="30" t="e">
        <f t="shared" si="12"/>
        <v>#N/A</v>
      </c>
      <c r="Z2234" s="35" t="e">
        <f t="shared" si="13"/>
        <v>#VALUE!</v>
      </c>
      <c r="AA2234" s="29" t="e">
        <f t="shared" si="14"/>
        <v>#VALUE!</v>
      </c>
      <c r="AB2234" s="36" t="e">
        <f t="shared" si="15"/>
        <v>#VALUE!</v>
      </c>
      <c r="AC2234" s="37" t="b">
        <v>0</v>
      </c>
      <c r="AD2234" s="61" t="str">
        <f t="shared" si="16"/>
        <v>USD</v>
      </c>
      <c r="AE2234" s="37"/>
      <c r="AF2234" s="37" t="e">
        <f t="array" ref="AF2234">INDEX('Deal Info'!D:D, MATCH(A2234,'Deal Info'!A:A, 0))</f>
        <v>#N/A</v>
      </c>
      <c r="AG2234" s="38" t="e">
        <f t="array" ref="AG2234">INDEX('Deal Info'!G:G, MATCH(A2234,'Deal Info'!A:A, 0))</f>
        <v>#N/A</v>
      </c>
    </row>
    <row r="2235" spans="1:33" ht="14.25" hidden="1" x14ac:dyDescent="0.2">
      <c r="A2235" s="18" t="b">
        <f t="array" ref="A2235">IF(G2235='Room Info'!$B$1, INDEX('Room Info'!$A$2:$A2446, MATCH(B2235,'Room Info'!$B$2:$B2446, 0)),IF(G2235='Room Info'!$C$1, INDEX('Room Info'!$A$2:$A2446, MATCH(B2235,'Room Info'!$C$2:$C2446, 0)),IF(G2235='Room Info'!$D$1, INDEX('Room Info'!$A$2:$A2446, MATCH(B2235,'Room Info'!$D$2:$D2446, 0)),IF(G2235='Room Info'!$E$1, INDEX('Room Info'!$A$2:$A2446, MATCH(B2235,'Room Info'!$E$2:$E2446, 0)),IF(G2235='Room Info'!$F$1, INDEX('Room Info'!$A$2:$A2446, MATCH(B2235,'Room Info'!$F$2:$F2446, 0)),IF(G2235='Room Info'!$H$1, INDEX('Room Info'!$A$2:$A2446, MATCH(B2235,'Room Info'!$H$2:$H2446, 0)),IF(G2235='Room Info'!$G$1, INDEX('Room Info'!$A$2:$A2446, MATCH(B2235,'Room Info'!$G$2:$G2446, 0)))))))))</f>
        <v>0</v>
      </c>
      <c r="B2235" s="96"/>
      <c r="C2235" s="111"/>
      <c r="D2235" s="111"/>
      <c r="E2235" s="80"/>
      <c r="F2235" s="133"/>
      <c r="G2235" s="96"/>
      <c r="H2235" s="110"/>
      <c r="I2235" s="110"/>
      <c r="J2235" s="39" t="s">
        <v>334</v>
      </c>
      <c r="K2235" s="112"/>
      <c r="L2235" s="113"/>
      <c r="M2235" s="62"/>
      <c r="N2235" s="28" t="e">
        <f t="shared" si="8"/>
        <v>#VALUE!</v>
      </c>
      <c r="O2235" s="65"/>
      <c r="P2235" s="29" t="s">
        <v>334</v>
      </c>
      <c r="Q2235" s="55"/>
      <c r="R2235" s="31" t="e">
        <f t="shared" si="9"/>
        <v>#VALUE!</v>
      </c>
      <c r="S2235" s="66"/>
      <c r="T2235" s="32" t="e">
        <f t="shared" si="10"/>
        <v>#VALUE!</v>
      </c>
      <c r="U2235" s="57"/>
      <c r="V2235" s="58"/>
      <c r="W2235" s="58"/>
      <c r="X2235" s="30" t="e">
        <f t="shared" si="11"/>
        <v>#N/A</v>
      </c>
      <c r="Y2235" s="30" t="e">
        <f t="shared" si="12"/>
        <v>#N/A</v>
      </c>
      <c r="Z2235" s="35" t="e">
        <f t="shared" si="13"/>
        <v>#VALUE!</v>
      </c>
      <c r="AA2235" s="29" t="e">
        <f t="shared" si="14"/>
        <v>#VALUE!</v>
      </c>
      <c r="AB2235" s="36" t="e">
        <f t="shared" si="15"/>
        <v>#VALUE!</v>
      </c>
      <c r="AC2235" s="37" t="b">
        <v>0</v>
      </c>
      <c r="AD2235" s="61" t="str">
        <f t="shared" si="16"/>
        <v>USD</v>
      </c>
      <c r="AE2235" s="37"/>
      <c r="AF2235" s="37" t="e">
        <f t="array" ref="AF2235">INDEX('Deal Info'!D:D, MATCH(A2235,'Deal Info'!A:A, 0))</f>
        <v>#N/A</v>
      </c>
      <c r="AG2235" s="38" t="e">
        <f t="array" ref="AG2235">INDEX('Deal Info'!G:G, MATCH(A2235,'Deal Info'!A:A, 0))</f>
        <v>#N/A</v>
      </c>
    </row>
    <row r="2236" spans="1:33" ht="14.25" hidden="1" x14ac:dyDescent="0.2">
      <c r="A2236" s="18" t="b">
        <f t="array" ref="A2236">IF(G2236='Room Info'!$B$1, INDEX('Room Info'!$A$2:$A2446, MATCH(B2236,'Room Info'!$B$2:$B2446, 0)),IF(G2236='Room Info'!$C$1, INDEX('Room Info'!$A$2:$A2446, MATCH(B2236,'Room Info'!$C$2:$C2446, 0)),IF(G2236='Room Info'!$D$1, INDEX('Room Info'!$A$2:$A2446, MATCH(B2236,'Room Info'!$D$2:$D2446, 0)),IF(G2236='Room Info'!$E$1, INDEX('Room Info'!$A$2:$A2446, MATCH(B2236,'Room Info'!$E$2:$E2446, 0)),IF(G2236='Room Info'!$F$1, INDEX('Room Info'!$A$2:$A2446, MATCH(B2236,'Room Info'!$F$2:$F2446, 0)),IF(G2236='Room Info'!$H$1, INDEX('Room Info'!$A$2:$A2446, MATCH(B2236,'Room Info'!$H$2:$H2446, 0)),IF(G2236='Room Info'!$G$1, INDEX('Room Info'!$A$2:$A2446, MATCH(B2236,'Room Info'!$G$2:$G2446, 0)))))))))</f>
        <v>0</v>
      </c>
      <c r="B2236" s="96"/>
      <c r="C2236" s="111"/>
      <c r="D2236" s="111"/>
      <c r="E2236" s="80"/>
      <c r="F2236" s="133"/>
      <c r="G2236" s="96"/>
      <c r="H2236" s="110"/>
      <c r="I2236" s="110"/>
      <c r="J2236" s="39" t="s">
        <v>334</v>
      </c>
      <c r="K2236" s="112"/>
      <c r="L2236" s="113"/>
      <c r="M2236" s="62"/>
      <c r="N2236" s="28" t="e">
        <f t="shared" si="8"/>
        <v>#VALUE!</v>
      </c>
      <c r="O2236" s="65"/>
      <c r="P2236" s="29" t="s">
        <v>334</v>
      </c>
      <c r="Q2236" s="55"/>
      <c r="R2236" s="31" t="e">
        <f t="shared" si="9"/>
        <v>#VALUE!</v>
      </c>
      <c r="S2236" s="66"/>
      <c r="T2236" s="32" t="e">
        <f t="shared" si="10"/>
        <v>#VALUE!</v>
      </c>
      <c r="U2236" s="57"/>
      <c r="V2236" s="58"/>
      <c r="W2236" s="58"/>
      <c r="X2236" s="30" t="e">
        <f t="shared" si="11"/>
        <v>#N/A</v>
      </c>
      <c r="Y2236" s="30" t="e">
        <f t="shared" si="12"/>
        <v>#N/A</v>
      </c>
      <c r="Z2236" s="35" t="e">
        <f t="shared" si="13"/>
        <v>#VALUE!</v>
      </c>
      <c r="AA2236" s="29" t="e">
        <f t="shared" si="14"/>
        <v>#VALUE!</v>
      </c>
      <c r="AB2236" s="36" t="e">
        <f t="shared" si="15"/>
        <v>#VALUE!</v>
      </c>
      <c r="AC2236" s="37" t="b">
        <v>0</v>
      </c>
      <c r="AD2236" s="61" t="str">
        <f t="shared" si="16"/>
        <v>USD</v>
      </c>
      <c r="AE2236" s="37"/>
      <c r="AF2236" s="37" t="e">
        <f t="array" ref="AF2236">INDEX('Deal Info'!D:D, MATCH(A2236,'Deal Info'!A:A, 0))</f>
        <v>#N/A</v>
      </c>
      <c r="AG2236" s="38" t="e">
        <f t="array" ref="AG2236">INDEX('Deal Info'!G:G, MATCH(A2236,'Deal Info'!A:A, 0))</f>
        <v>#N/A</v>
      </c>
    </row>
    <row r="2237" spans="1:33" ht="14.25" hidden="1" x14ac:dyDescent="0.2">
      <c r="A2237" s="18" t="b">
        <f t="array" ref="A2237">IF(G2237='Room Info'!$B$1, INDEX('Room Info'!$A$2:$A2446, MATCH(B2237,'Room Info'!$B$2:$B2446, 0)),IF(G2237='Room Info'!$C$1, INDEX('Room Info'!$A$2:$A2446, MATCH(B2237,'Room Info'!$C$2:$C2446, 0)),IF(G2237='Room Info'!$D$1, INDEX('Room Info'!$A$2:$A2446, MATCH(B2237,'Room Info'!$D$2:$D2446, 0)),IF(G2237='Room Info'!$E$1, INDEX('Room Info'!$A$2:$A2446, MATCH(B2237,'Room Info'!$E$2:$E2446, 0)),IF(G2237='Room Info'!$F$1, INDEX('Room Info'!$A$2:$A2446, MATCH(B2237,'Room Info'!$F$2:$F2446, 0)),IF(G2237='Room Info'!$H$1, INDEX('Room Info'!$A$2:$A2446, MATCH(B2237,'Room Info'!$H$2:$H2446, 0)),IF(G2237='Room Info'!$G$1, INDEX('Room Info'!$A$2:$A2446, MATCH(B2237,'Room Info'!$G$2:$G2446, 0)))))))))</f>
        <v>0</v>
      </c>
      <c r="B2237" s="96"/>
      <c r="C2237" s="111"/>
      <c r="D2237" s="111"/>
      <c r="E2237" s="80"/>
      <c r="F2237" s="133"/>
      <c r="G2237" s="96"/>
      <c r="H2237" s="110"/>
      <c r="I2237" s="110"/>
      <c r="J2237" s="39" t="s">
        <v>334</v>
      </c>
      <c r="K2237" s="112"/>
      <c r="L2237" s="113"/>
      <c r="M2237" s="62"/>
      <c r="N2237" s="28" t="e">
        <f t="shared" si="8"/>
        <v>#VALUE!</v>
      </c>
      <c r="O2237" s="65"/>
      <c r="P2237" s="29" t="s">
        <v>334</v>
      </c>
      <c r="Q2237" s="55"/>
      <c r="R2237" s="31" t="e">
        <f t="shared" si="9"/>
        <v>#VALUE!</v>
      </c>
      <c r="S2237" s="66"/>
      <c r="T2237" s="32" t="e">
        <f t="shared" si="10"/>
        <v>#VALUE!</v>
      </c>
      <c r="U2237" s="57"/>
      <c r="V2237" s="58"/>
      <c r="W2237" s="58"/>
      <c r="X2237" s="30" t="e">
        <f t="shared" si="11"/>
        <v>#N/A</v>
      </c>
      <c r="Y2237" s="30" t="e">
        <f t="shared" si="12"/>
        <v>#N/A</v>
      </c>
      <c r="Z2237" s="35" t="e">
        <f t="shared" si="13"/>
        <v>#VALUE!</v>
      </c>
      <c r="AA2237" s="29" t="e">
        <f t="shared" si="14"/>
        <v>#VALUE!</v>
      </c>
      <c r="AB2237" s="36" t="e">
        <f t="shared" si="15"/>
        <v>#VALUE!</v>
      </c>
      <c r="AC2237" s="37" t="b">
        <v>0</v>
      </c>
      <c r="AD2237" s="61" t="str">
        <f t="shared" si="16"/>
        <v>USD</v>
      </c>
      <c r="AE2237" s="37"/>
      <c r="AF2237" s="37" t="e">
        <f t="array" ref="AF2237">INDEX('Deal Info'!D:D, MATCH(A2237,'Deal Info'!A:A, 0))</f>
        <v>#N/A</v>
      </c>
      <c r="AG2237" s="38" t="e">
        <f t="array" ref="AG2237">INDEX('Deal Info'!G:G, MATCH(A2237,'Deal Info'!A:A, 0))</f>
        <v>#N/A</v>
      </c>
    </row>
    <row r="2238" spans="1:33" ht="14.25" hidden="1" x14ac:dyDescent="0.2">
      <c r="A2238" s="18" t="b">
        <f t="array" ref="A2238">IF(G2238='Room Info'!$B$1, INDEX('Room Info'!$A$2:$A2446, MATCH(B2238,'Room Info'!$B$2:$B2446, 0)),IF(G2238='Room Info'!$C$1, INDEX('Room Info'!$A$2:$A2446, MATCH(B2238,'Room Info'!$C$2:$C2446, 0)),IF(G2238='Room Info'!$D$1, INDEX('Room Info'!$A$2:$A2446, MATCH(B2238,'Room Info'!$D$2:$D2446, 0)),IF(G2238='Room Info'!$E$1, INDEX('Room Info'!$A$2:$A2446, MATCH(B2238,'Room Info'!$E$2:$E2446, 0)),IF(G2238='Room Info'!$F$1, INDEX('Room Info'!$A$2:$A2446, MATCH(B2238,'Room Info'!$F$2:$F2446, 0)),IF(G2238='Room Info'!$H$1, INDEX('Room Info'!$A$2:$A2446, MATCH(B2238,'Room Info'!$H$2:$H2446, 0)),IF(G2238='Room Info'!$G$1, INDEX('Room Info'!$A$2:$A2446, MATCH(B2238,'Room Info'!$G$2:$G2446, 0)))))))))</f>
        <v>0</v>
      </c>
      <c r="B2238" s="96"/>
      <c r="C2238" s="111"/>
      <c r="D2238" s="111"/>
      <c r="E2238" s="80"/>
      <c r="F2238" s="96"/>
      <c r="G2238" s="65"/>
      <c r="H2238" s="100"/>
      <c r="I2238" s="100"/>
      <c r="J2238" s="39" t="s">
        <v>334</v>
      </c>
      <c r="K2238" s="134"/>
      <c r="L2238" s="135"/>
      <c r="M2238" s="62"/>
      <c r="N2238" s="28" t="e">
        <f t="shared" si="8"/>
        <v>#VALUE!</v>
      </c>
      <c r="O2238" s="96"/>
      <c r="P2238" s="29" t="s">
        <v>334</v>
      </c>
      <c r="Q2238" s="55"/>
      <c r="R2238" s="31" t="e">
        <f t="shared" si="9"/>
        <v>#VALUE!</v>
      </c>
      <c r="S2238" s="97"/>
      <c r="T2238" s="32" t="e">
        <f t="shared" si="10"/>
        <v>#VALUE!</v>
      </c>
      <c r="U2238" s="57"/>
      <c r="V2238" s="58"/>
      <c r="W2238" s="58"/>
      <c r="X2238" s="30" t="e">
        <f t="shared" si="11"/>
        <v>#N/A</v>
      </c>
      <c r="Y2238" s="30" t="e">
        <f t="shared" si="12"/>
        <v>#N/A</v>
      </c>
      <c r="Z2238" s="35" t="e">
        <f t="shared" si="13"/>
        <v>#VALUE!</v>
      </c>
      <c r="AA2238" s="29" t="e">
        <f t="shared" si="14"/>
        <v>#VALUE!</v>
      </c>
      <c r="AB2238" s="36" t="e">
        <f t="shared" si="15"/>
        <v>#VALUE!</v>
      </c>
      <c r="AC2238" s="37" t="b">
        <v>0</v>
      </c>
      <c r="AD2238" s="61" t="str">
        <f t="shared" si="16"/>
        <v>USD</v>
      </c>
      <c r="AE2238" s="37"/>
      <c r="AF2238" s="37" t="e">
        <f t="array" ref="AF2238">INDEX('Deal Info'!D:D, MATCH(A2238,'Deal Info'!A:A, 0))</f>
        <v>#N/A</v>
      </c>
      <c r="AG2238" s="38" t="e">
        <f t="array" ref="AG2238">INDEX('Deal Info'!G:G, MATCH(A2238,'Deal Info'!A:A, 0))</f>
        <v>#N/A</v>
      </c>
    </row>
    <row r="2239" spans="1:33" ht="14.25" hidden="1" x14ac:dyDescent="0.2">
      <c r="A2239" s="18" t="b">
        <f t="array" ref="A2239">IF(G2239='Room Info'!$B$1, INDEX('Room Info'!$A$2:$A2446, MATCH(B2239,'Room Info'!$B$2:$B2446, 0)),IF(G2239='Room Info'!$C$1, INDEX('Room Info'!$A$2:$A2446, MATCH(B2239,'Room Info'!$C$2:$C2446, 0)),IF(G2239='Room Info'!$D$1, INDEX('Room Info'!$A$2:$A2446, MATCH(B2239,'Room Info'!$D$2:$D2446, 0)),IF(G2239='Room Info'!$E$1, INDEX('Room Info'!$A$2:$A2446, MATCH(B2239,'Room Info'!$E$2:$E2446, 0)),IF(G2239='Room Info'!$F$1, INDEX('Room Info'!$A$2:$A2446, MATCH(B2239,'Room Info'!$F$2:$F2446, 0)),IF(G2239='Room Info'!$H$1, INDEX('Room Info'!$A$2:$A2446, MATCH(B2239,'Room Info'!$H$2:$H2446, 0)),IF(G2239='Room Info'!$G$1, INDEX('Room Info'!$A$2:$A2446, MATCH(B2239,'Room Info'!$G$2:$G2446, 0)))))))))</f>
        <v>0</v>
      </c>
      <c r="B2239" s="96"/>
      <c r="C2239" s="111"/>
      <c r="D2239" s="111"/>
      <c r="E2239" s="80"/>
      <c r="F2239" s="96"/>
      <c r="G2239" s="65"/>
      <c r="H2239" s="100"/>
      <c r="I2239" s="100"/>
      <c r="J2239" s="39" t="s">
        <v>334</v>
      </c>
      <c r="K2239" s="134"/>
      <c r="L2239" s="135"/>
      <c r="M2239" s="62"/>
      <c r="N2239" s="28" t="e">
        <f t="shared" si="8"/>
        <v>#VALUE!</v>
      </c>
      <c r="O2239" s="96"/>
      <c r="P2239" s="29" t="s">
        <v>334</v>
      </c>
      <c r="Q2239" s="55"/>
      <c r="R2239" s="31" t="e">
        <f t="shared" si="9"/>
        <v>#VALUE!</v>
      </c>
      <c r="S2239" s="97"/>
      <c r="T2239" s="32" t="e">
        <f t="shared" si="10"/>
        <v>#VALUE!</v>
      </c>
      <c r="U2239" s="57"/>
      <c r="V2239" s="58"/>
      <c r="W2239" s="58"/>
      <c r="X2239" s="30" t="e">
        <f t="shared" si="11"/>
        <v>#N/A</v>
      </c>
      <c r="Y2239" s="30" t="e">
        <f t="shared" si="12"/>
        <v>#N/A</v>
      </c>
      <c r="Z2239" s="35" t="e">
        <f t="shared" si="13"/>
        <v>#VALUE!</v>
      </c>
      <c r="AA2239" s="29" t="e">
        <f t="shared" si="14"/>
        <v>#VALUE!</v>
      </c>
      <c r="AB2239" s="36" t="e">
        <f t="shared" si="15"/>
        <v>#VALUE!</v>
      </c>
      <c r="AC2239" s="37" t="b">
        <v>0</v>
      </c>
      <c r="AD2239" s="61" t="str">
        <f t="shared" si="16"/>
        <v>USD</v>
      </c>
      <c r="AE2239" s="37"/>
      <c r="AF2239" s="37" t="e">
        <f t="array" ref="AF2239">INDEX('Deal Info'!D:D, MATCH(A2239,'Deal Info'!A:A, 0))</f>
        <v>#N/A</v>
      </c>
      <c r="AG2239" s="38" t="e">
        <f t="array" ref="AG2239">INDEX('Deal Info'!G:G, MATCH(A2239,'Deal Info'!A:A, 0))</f>
        <v>#N/A</v>
      </c>
    </row>
    <row r="2240" spans="1:33" ht="14.25" hidden="1" x14ac:dyDescent="0.2">
      <c r="A2240" s="18" t="b">
        <f t="array" ref="A2240">IF(G2240='Room Info'!$B$1, INDEX('Room Info'!$A$2:$A2446, MATCH(B2240,'Room Info'!$B$2:$B2446, 0)),IF(G2240='Room Info'!$C$1, INDEX('Room Info'!$A$2:$A2446, MATCH(B2240,'Room Info'!$C$2:$C2446, 0)),IF(G2240='Room Info'!$D$1, INDEX('Room Info'!$A$2:$A2446, MATCH(B2240,'Room Info'!$D$2:$D2446, 0)),IF(G2240='Room Info'!$E$1, INDEX('Room Info'!$A$2:$A2446, MATCH(B2240,'Room Info'!$E$2:$E2446, 0)),IF(G2240='Room Info'!$F$1, INDEX('Room Info'!$A$2:$A2446, MATCH(B2240,'Room Info'!$F$2:$F2446, 0)),IF(G2240='Room Info'!$H$1, INDEX('Room Info'!$A$2:$A2446, MATCH(B2240,'Room Info'!$H$2:$H2446, 0)),IF(G2240='Room Info'!$G$1, INDEX('Room Info'!$A$2:$A2446, MATCH(B2240,'Room Info'!$G$2:$G2446, 0)))))))))</f>
        <v>0</v>
      </c>
      <c r="B2240" s="96"/>
      <c r="C2240" s="111"/>
      <c r="D2240" s="111"/>
      <c r="E2240" s="80"/>
      <c r="F2240" s="96"/>
      <c r="G2240" s="65"/>
      <c r="H2240" s="100"/>
      <c r="I2240" s="100"/>
      <c r="J2240" s="39" t="s">
        <v>334</v>
      </c>
      <c r="K2240" s="134"/>
      <c r="L2240" s="135"/>
      <c r="M2240" s="62"/>
      <c r="N2240" s="28" t="e">
        <f t="shared" si="8"/>
        <v>#VALUE!</v>
      </c>
      <c r="O2240" s="96"/>
      <c r="P2240" s="29" t="s">
        <v>334</v>
      </c>
      <c r="Q2240" s="55"/>
      <c r="R2240" s="31" t="e">
        <f t="shared" si="9"/>
        <v>#VALUE!</v>
      </c>
      <c r="S2240" s="97"/>
      <c r="T2240" s="32" t="e">
        <f t="shared" si="10"/>
        <v>#VALUE!</v>
      </c>
      <c r="U2240" s="57"/>
      <c r="V2240" s="58"/>
      <c r="W2240" s="58"/>
      <c r="X2240" s="30" t="e">
        <f t="shared" si="11"/>
        <v>#N/A</v>
      </c>
      <c r="Y2240" s="30" t="e">
        <f t="shared" si="12"/>
        <v>#N/A</v>
      </c>
      <c r="Z2240" s="35" t="e">
        <f t="shared" si="13"/>
        <v>#VALUE!</v>
      </c>
      <c r="AA2240" s="29" t="e">
        <f t="shared" si="14"/>
        <v>#VALUE!</v>
      </c>
      <c r="AB2240" s="36" t="e">
        <f t="shared" si="15"/>
        <v>#VALUE!</v>
      </c>
      <c r="AC2240" s="37" t="b">
        <v>0</v>
      </c>
      <c r="AD2240" s="61" t="str">
        <f t="shared" si="16"/>
        <v>USD</v>
      </c>
      <c r="AE2240" s="37"/>
      <c r="AF2240" s="37" t="e">
        <f t="array" ref="AF2240">INDEX('Deal Info'!D:D, MATCH(A2240,'Deal Info'!A:A, 0))</f>
        <v>#N/A</v>
      </c>
      <c r="AG2240" s="38" t="e">
        <f t="array" ref="AG2240">INDEX('Deal Info'!G:G, MATCH(A2240,'Deal Info'!A:A, 0))</f>
        <v>#N/A</v>
      </c>
    </row>
    <row r="2241" spans="1:33" ht="14.25" hidden="1" x14ac:dyDescent="0.2">
      <c r="A2241" s="18" t="b">
        <f t="array" ref="A2241">IF(G2241='Room Info'!$B$1, INDEX('Room Info'!$A$2:$A2446, MATCH(B2241,'Room Info'!$B$2:$B2446, 0)),IF(G2241='Room Info'!$C$1, INDEX('Room Info'!$A$2:$A2446, MATCH(B2241,'Room Info'!$C$2:$C2446, 0)),IF(G2241='Room Info'!$D$1, INDEX('Room Info'!$A$2:$A2446, MATCH(B2241,'Room Info'!$D$2:$D2446, 0)),IF(G2241='Room Info'!$E$1, INDEX('Room Info'!$A$2:$A2446, MATCH(B2241,'Room Info'!$E$2:$E2446, 0)),IF(G2241='Room Info'!$F$1, INDEX('Room Info'!$A$2:$A2446, MATCH(B2241,'Room Info'!$F$2:$F2446, 0)),IF(G2241='Room Info'!$H$1, INDEX('Room Info'!$A$2:$A2446, MATCH(B2241,'Room Info'!$H$2:$H2446, 0)),IF(G2241='Room Info'!$G$1, INDEX('Room Info'!$A$2:$A2446, MATCH(B2241,'Room Info'!$G$2:$G2446, 0)))))))))</f>
        <v>0</v>
      </c>
      <c r="B2241" s="96"/>
      <c r="C2241" s="136"/>
      <c r="D2241" s="111"/>
      <c r="E2241" s="80"/>
      <c r="F2241" s="96"/>
      <c r="G2241" s="65"/>
      <c r="H2241" s="110"/>
      <c r="I2241" s="110"/>
      <c r="J2241" s="39" t="s">
        <v>334</v>
      </c>
      <c r="K2241" s="112"/>
      <c r="L2241" s="113"/>
      <c r="M2241" s="62"/>
      <c r="N2241" s="28" t="e">
        <f t="shared" si="8"/>
        <v>#VALUE!</v>
      </c>
      <c r="O2241" s="65"/>
      <c r="P2241" s="29" t="s">
        <v>334</v>
      </c>
      <c r="Q2241" s="55"/>
      <c r="R2241" s="31" t="e">
        <f t="shared" si="9"/>
        <v>#VALUE!</v>
      </c>
      <c r="S2241" s="66"/>
      <c r="T2241" s="32" t="e">
        <f t="shared" si="10"/>
        <v>#VALUE!</v>
      </c>
      <c r="U2241" s="57"/>
      <c r="V2241" s="58"/>
      <c r="W2241" s="58"/>
      <c r="X2241" s="30" t="e">
        <f t="shared" si="11"/>
        <v>#N/A</v>
      </c>
      <c r="Y2241" s="30" t="e">
        <f t="shared" si="12"/>
        <v>#N/A</v>
      </c>
      <c r="Z2241" s="35" t="e">
        <f t="shared" si="13"/>
        <v>#VALUE!</v>
      </c>
      <c r="AA2241" s="29" t="e">
        <f t="shared" si="14"/>
        <v>#VALUE!</v>
      </c>
      <c r="AB2241" s="36" t="e">
        <f t="shared" si="15"/>
        <v>#VALUE!</v>
      </c>
      <c r="AC2241" s="37" t="b">
        <v>0</v>
      </c>
      <c r="AD2241" s="61" t="str">
        <f t="shared" si="16"/>
        <v>USD</v>
      </c>
      <c r="AE2241" s="37"/>
      <c r="AF2241" s="37" t="e">
        <f t="array" ref="AF2241">INDEX('Deal Info'!D:D, MATCH(A2241,'Deal Info'!A:A, 0))</f>
        <v>#N/A</v>
      </c>
      <c r="AG2241" s="38" t="e">
        <f t="array" ref="AG2241">INDEX('Deal Info'!G:G, MATCH(A2241,'Deal Info'!A:A, 0))</f>
        <v>#N/A</v>
      </c>
    </row>
    <row r="2242" spans="1:33" ht="14.25" hidden="1" x14ac:dyDescent="0.2">
      <c r="A2242" s="18" t="b">
        <f t="array" ref="A2242">IF(G2242='Room Info'!$B$1, INDEX('Room Info'!$A$2:$A2446, MATCH(B2242,'Room Info'!$B$2:$B2446, 0)),IF(G2242='Room Info'!$C$1, INDEX('Room Info'!$A$2:$A2446, MATCH(B2242,'Room Info'!$C$2:$C2446, 0)),IF(G2242='Room Info'!$D$1, INDEX('Room Info'!$A$2:$A2446, MATCH(B2242,'Room Info'!$D$2:$D2446, 0)),IF(G2242='Room Info'!$E$1, INDEX('Room Info'!$A$2:$A2446, MATCH(B2242,'Room Info'!$E$2:$E2446, 0)),IF(G2242='Room Info'!$F$1, INDEX('Room Info'!$A$2:$A2446, MATCH(B2242,'Room Info'!$F$2:$F2446, 0)),IF(G2242='Room Info'!$H$1, INDEX('Room Info'!$A$2:$A2446, MATCH(B2242,'Room Info'!$H$2:$H2446, 0)),IF(G2242='Room Info'!$G$1, INDEX('Room Info'!$A$2:$A2446, MATCH(B2242,'Room Info'!$G$2:$G2446, 0)))))))))</f>
        <v>0</v>
      </c>
      <c r="B2242" s="96"/>
      <c r="C2242" s="136"/>
      <c r="D2242" s="111"/>
      <c r="E2242" s="80"/>
      <c r="F2242" s="96"/>
      <c r="G2242" s="65"/>
      <c r="H2242" s="110"/>
      <c r="I2242" s="110"/>
      <c r="J2242" s="39" t="s">
        <v>334</v>
      </c>
      <c r="K2242" s="112"/>
      <c r="L2242" s="113"/>
      <c r="M2242" s="62"/>
      <c r="N2242" s="28" t="e">
        <f t="shared" si="8"/>
        <v>#VALUE!</v>
      </c>
      <c r="O2242" s="65"/>
      <c r="P2242" s="29" t="s">
        <v>334</v>
      </c>
      <c r="Q2242" s="55"/>
      <c r="R2242" s="31" t="e">
        <f t="shared" si="9"/>
        <v>#VALUE!</v>
      </c>
      <c r="S2242" s="66"/>
      <c r="T2242" s="32" t="e">
        <f t="shared" si="10"/>
        <v>#VALUE!</v>
      </c>
      <c r="U2242" s="57"/>
      <c r="V2242" s="58"/>
      <c r="W2242" s="58"/>
      <c r="X2242" s="30" t="e">
        <f t="shared" si="11"/>
        <v>#N/A</v>
      </c>
      <c r="Y2242" s="30" t="e">
        <f t="shared" si="12"/>
        <v>#N/A</v>
      </c>
      <c r="Z2242" s="35" t="e">
        <f t="shared" si="13"/>
        <v>#VALUE!</v>
      </c>
      <c r="AA2242" s="29" t="e">
        <f t="shared" si="14"/>
        <v>#VALUE!</v>
      </c>
      <c r="AB2242" s="36" t="e">
        <f t="shared" si="15"/>
        <v>#VALUE!</v>
      </c>
      <c r="AC2242" s="37" t="b">
        <v>0</v>
      </c>
      <c r="AD2242" s="61" t="str">
        <f t="shared" si="16"/>
        <v>USD</v>
      </c>
      <c r="AE2242" s="37"/>
      <c r="AF2242" s="37" t="e">
        <f t="array" ref="AF2242">INDEX('Deal Info'!D:D, MATCH(A2242,'Deal Info'!A:A, 0))</f>
        <v>#N/A</v>
      </c>
      <c r="AG2242" s="38" t="e">
        <f t="array" ref="AG2242">INDEX('Deal Info'!G:G, MATCH(A2242,'Deal Info'!A:A, 0))</f>
        <v>#N/A</v>
      </c>
    </row>
    <row r="2243" spans="1:33" ht="14.25" hidden="1" x14ac:dyDescent="0.2">
      <c r="A2243" s="18" t="b">
        <f t="array" ref="A2243">IF(G2243='Room Info'!$B$1, INDEX('Room Info'!$A$2:$A2446, MATCH(B2243,'Room Info'!$B$2:$B2446, 0)),IF(G2243='Room Info'!$C$1, INDEX('Room Info'!$A$2:$A2446, MATCH(B2243,'Room Info'!$C$2:$C2446, 0)),IF(G2243='Room Info'!$D$1, INDEX('Room Info'!$A$2:$A2446, MATCH(B2243,'Room Info'!$D$2:$D2446, 0)),IF(G2243='Room Info'!$E$1, INDEX('Room Info'!$A$2:$A2446, MATCH(B2243,'Room Info'!$E$2:$E2446, 0)),IF(G2243='Room Info'!$F$1, INDEX('Room Info'!$A$2:$A2446, MATCH(B2243,'Room Info'!$F$2:$F2446, 0)),IF(G2243='Room Info'!$H$1, INDEX('Room Info'!$A$2:$A2446, MATCH(B2243,'Room Info'!$H$2:$H2446, 0)),IF(G2243='Room Info'!$G$1, INDEX('Room Info'!$A$2:$A2446, MATCH(B2243,'Room Info'!$G$2:$G2446, 0)))))))))</f>
        <v>0</v>
      </c>
      <c r="B2243" s="96"/>
      <c r="C2243" s="136"/>
      <c r="D2243" s="111"/>
      <c r="E2243" s="80"/>
      <c r="F2243" s="133"/>
      <c r="G2243" s="65"/>
      <c r="H2243" s="110"/>
      <c r="I2243" s="110"/>
      <c r="J2243" s="39" t="s">
        <v>334</v>
      </c>
      <c r="K2243" s="112"/>
      <c r="L2243" s="113"/>
      <c r="M2243" s="62"/>
      <c r="N2243" s="28" t="e">
        <f t="shared" si="8"/>
        <v>#VALUE!</v>
      </c>
      <c r="O2243" s="65"/>
      <c r="P2243" s="29" t="s">
        <v>334</v>
      </c>
      <c r="Q2243" s="55"/>
      <c r="R2243" s="31" t="e">
        <f t="shared" si="9"/>
        <v>#VALUE!</v>
      </c>
      <c r="S2243" s="66"/>
      <c r="T2243" s="32" t="e">
        <f t="shared" si="10"/>
        <v>#VALUE!</v>
      </c>
      <c r="U2243" s="57"/>
      <c r="V2243" s="58"/>
      <c r="W2243" s="58"/>
      <c r="X2243" s="30" t="e">
        <f t="shared" si="11"/>
        <v>#N/A</v>
      </c>
      <c r="Y2243" s="30" t="e">
        <f t="shared" si="12"/>
        <v>#N/A</v>
      </c>
      <c r="Z2243" s="35" t="e">
        <f t="shared" si="13"/>
        <v>#VALUE!</v>
      </c>
      <c r="AA2243" s="29" t="e">
        <f t="shared" si="14"/>
        <v>#VALUE!</v>
      </c>
      <c r="AB2243" s="36" t="e">
        <f t="shared" si="15"/>
        <v>#VALUE!</v>
      </c>
      <c r="AC2243" s="37" t="b">
        <v>0</v>
      </c>
      <c r="AD2243" s="61" t="str">
        <f t="shared" si="16"/>
        <v>USD</v>
      </c>
      <c r="AE2243" s="37"/>
      <c r="AF2243" s="37" t="e">
        <f t="array" ref="AF2243">INDEX('Deal Info'!D:D, MATCH(A2243,'Deal Info'!A:A, 0))</f>
        <v>#N/A</v>
      </c>
      <c r="AG2243" s="38" t="e">
        <f t="array" ref="AG2243">INDEX('Deal Info'!G:G, MATCH(A2243,'Deal Info'!A:A, 0))</f>
        <v>#N/A</v>
      </c>
    </row>
    <row r="2244" spans="1:33" ht="14.25" hidden="1" x14ac:dyDescent="0.2">
      <c r="A2244" s="18" t="b">
        <f t="array" ref="A2244">IF(G2244='Room Info'!$B$1, INDEX('Room Info'!$A$2:$A2446, MATCH(B2244,'Room Info'!$B$2:$B2446, 0)),IF(G2244='Room Info'!$C$1, INDEX('Room Info'!$A$2:$A2446, MATCH(B2244,'Room Info'!$C$2:$C2446, 0)),IF(G2244='Room Info'!$D$1, INDEX('Room Info'!$A$2:$A2446, MATCH(B2244,'Room Info'!$D$2:$D2446, 0)),IF(G2244='Room Info'!$E$1, INDEX('Room Info'!$A$2:$A2446, MATCH(B2244,'Room Info'!$E$2:$E2446, 0)),IF(G2244='Room Info'!$F$1, INDEX('Room Info'!$A$2:$A2446, MATCH(B2244,'Room Info'!$F$2:$F2446, 0)),IF(G2244='Room Info'!$H$1, INDEX('Room Info'!$A$2:$A2446, MATCH(B2244,'Room Info'!$H$2:$H2446, 0)),IF(G2244='Room Info'!$G$1, INDEX('Room Info'!$A$2:$A2446, MATCH(B2244,'Room Info'!$G$2:$G2446, 0)))))))))</f>
        <v>0</v>
      </c>
      <c r="B2244" s="96"/>
      <c r="C2244" s="136"/>
      <c r="D2244" s="111"/>
      <c r="E2244" s="80"/>
      <c r="F2244" s="133"/>
      <c r="G2244" s="65"/>
      <c r="H2244" s="110"/>
      <c r="I2244" s="110"/>
      <c r="J2244" s="39" t="s">
        <v>334</v>
      </c>
      <c r="K2244" s="112"/>
      <c r="L2244" s="113"/>
      <c r="M2244" s="62"/>
      <c r="N2244" s="28" t="e">
        <f t="shared" si="8"/>
        <v>#VALUE!</v>
      </c>
      <c r="O2244" s="65"/>
      <c r="P2244" s="29" t="s">
        <v>334</v>
      </c>
      <c r="Q2244" s="55"/>
      <c r="R2244" s="31" t="e">
        <f t="shared" si="9"/>
        <v>#VALUE!</v>
      </c>
      <c r="S2244" s="66"/>
      <c r="T2244" s="32" t="e">
        <f t="shared" si="10"/>
        <v>#VALUE!</v>
      </c>
      <c r="U2244" s="57"/>
      <c r="V2244" s="58"/>
      <c r="W2244" s="58"/>
      <c r="X2244" s="30" t="e">
        <f t="shared" si="11"/>
        <v>#N/A</v>
      </c>
      <c r="Y2244" s="30" t="e">
        <f t="shared" si="12"/>
        <v>#N/A</v>
      </c>
      <c r="Z2244" s="35" t="e">
        <f t="shared" si="13"/>
        <v>#VALUE!</v>
      </c>
      <c r="AA2244" s="29" t="e">
        <f t="shared" si="14"/>
        <v>#VALUE!</v>
      </c>
      <c r="AB2244" s="36" t="e">
        <f t="shared" si="15"/>
        <v>#VALUE!</v>
      </c>
      <c r="AC2244" s="37" t="b">
        <v>0</v>
      </c>
      <c r="AD2244" s="61" t="str">
        <f t="shared" si="16"/>
        <v>USD</v>
      </c>
      <c r="AE2244" s="37"/>
      <c r="AF2244" s="37" t="e">
        <f t="array" ref="AF2244">INDEX('Deal Info'!D:D, MATCH(A2244,'Deal Info'!A:A, 0))</f>
        <v>#N/A</v>
      </c>
      <c r="AG2244" s="38" t="e">
        <f t="array" ref="AG2244">INDEX('Deal Info'!G:G, MATCH(A2244,'Deal Info'!A:A, 0))</f>
        <v>#N/A</v>
      </c>
    </row>
    <row r="2245" spans="1:33" ht="14.25" hidden="1" x14ac:dyDescent="0.2">
      <c r="A2245" s="18" t="b">
        <f t="array" ref="A2245">IF(G2245='Room Info'!$B$1, INDEX('Room Info'!$A$2:$A2446, MATCH(B2245,'Room Info'!$B$2:$B2446, 0)),IF(G2245='Room Info'!$C$1, INDEX('Room Info'!$A$2:$A2446, MATCH(B2245,'Room Info'!$C$2:$C2446, 0)),IF(G2245='Room Info'!$D$1, INDEX('Room Info'!$A$2:$A2446, MATCH(B2245,'Room Info'!$D$2:$D2446, 0)),IF(G2245='Room Info'!$E$1, INDEX('Room Info'!$A$2:$A2446, MATCH(B2245,'Room Info'!$E$2:$E2446, 0)),IF(G2245='Room Info'!$F$1, INDEX('Room Info'!$A$2:$A2446, MATCH(B2245,'Room Info'!$F$2:$F2446, 0)),IF(G2245='Room Info'!$H$1, INDEX('Room Info'!$A$2:$A2446, MATCH(B2245,'Room Info'!$H$2:$H2446, 0)),IF(G2245='Room Info'!$G$1, INDEX('Room Info'!$A$2:$A2446, MATCH(B2245,'Room Info'!$G$2:$G2446, 0)))))))))</f>
        <v>0</v>
      </c>
      <c r="B2245" s="96"/>
      <c r="C2245" s="111"/>
      <c r="D2245" s="111"/>
      <c r="E2245" s="80"/>
      <c r="F2245" s="96"/>
      <c r="G2245" s="65"/>
      <c r="H2245" s="110"/>
      <c r="I2245" s="110"/>
      <c r="J2245" s="39" t="s">
        <v>334</v>
      </c>
      <c r="K2245" s="112"/>
      <c r="L2245" s="113"/>
      <c r="M2245" s="62"/>
      <c r="N2245" s="28" t="e">
        <f t="shared" si="8"/>
        <v>#VALUE!</v>
      </c>
      <c r="O2245" s="65"/>
      <c r="P2245" s="29" t="s">
        <v>334</v>
      </c>
      <c r="Q2245" s="55"/>
      <c r="R2245" s="31" t="e">
        <f t="shared" si="9"/>
        <v>#VALUE!</v>
      </c>
      <c r="S2245" s="66"/>
      <c r="T2245" s="32" t="e">
        <f t="shared" si="10"/>
        <v>#VALUE!</v>
      </c>
      <c r="U2245" s="57"/>
      <c r="V2245" s="58"/>
      <c r="W2245" s="58"/>
      <c r="X2245" s="30" t="e">
        <f t="shared" si="11"/>
        <v>#N/A</v>
      </c>
      <c r="Y2245" s="30" t="e">
        <f t="shared" si="12"/>
        <v>#N/A</v>
      </c>
      <c r="Z2245" s="35" t="e">
        <f t="shared" si="13"/>
        <v>#VALUE!</v>
      </c>
      <c r="AA2245" s="29" t="e">
        <f t="shared" si="14"/>
        <v>#VALUE!</v>
      </c>
      <c r="AB2245" s="36" t="e">
        <f t="shared" si="15"/>
        <v>#VALUE!</v>
      </c>
      <c r="AC2245" s="37" t="b">
        <v>0</v>
      </c>
      <c r="AD2245" s="61" t="str">
        <f t="shared" si="16"/>
        <v>USD</v>
      </c>
      <c r="AE2245" s="37"/>
      <c r="AF2245" s="37" t="e">
        <f t="array" ref="AF2245">INDEX('Deal Info'!D:D, MATCH(A2245,'Deal Info'!A:A, 0))</f>
        <v>#N/A</v>
      </c>
      <c r="AG2245" s="38" t="e">
        <f t="array" ref="AG2245">INDEX('Deal Info'!G:G, MATCH(A2245,'Deal Info'!A:A, 0))</f>
        <v>#N/A</v>
      </c>
    </row>
    <row r="2246" spans="1:33" ht="14.25" hidden="1" x14ac:dyDescent="0.2">
      <c r="A2246" s="18" t="b">
        <f t="array" ref="A2246">IF(G2246='Room Info'!$B$1, INDEX('Room Info'!$A$2:$A2446, MATCH(B2246,'Room Info'!$B$2:$B2446, 0)),IF(G2246='Room Info'!$C$1, INDEX('Room Info'!$A$2:$A2446, MATCH(B2246,'Room Info'!$C$2:$C2446, 0)),IF(G2246='Room Info'!$D$1, INDEX('Room Info'!$A$2:$A2446, MATCH(B2246,'Room Info'!$D$2:$D2446, 0)),IF(G2246='Room Info'!$E$1, INDEX('Room Info'!$A$2:$A2446, MATCH(B2246,'Room Info'!$E$2:$E2446, 0)),IF(G2246='Room Info'!$F$1, INDEX('Room Info'!$A$2:$A2446, MATCH(B2246,'Room Info'!$F$2:$F2446, 0)),IF(G2246='Room Info'!$H$1, INDEX('Room Info'!$A$2:$A2446, MATCH(B2246,'Room Info'!$H$2:$H2446, 0)),IF(G2246='Room Info'!$G$1, INDEX('Room Info'!$A$2:$A2446, MATCH(B2246,'Room Info'!$G$2:$G2446, 0)))))))))</f>
        <v>0</v>
      </c>
      <c r="B2246" s="96"/>
      <c r="C2246" s="111"/>
      <c r="D2246" s="111"/>
      <c r="E2246" s="80"/>
      <c r="F2246" s="96"/>
      <c r="G2246" s="65"/>
      <c r="H2246" s="110"/>
      <c r="I2246" s="110"/>
      <c r="J2246" s="39" t="s">
        <v>334</v>
      </c>
      <c r="K2246" s="112"/>
      <c r="L2246" s="113"/>
      <c r="M2246" s="62"/>
      <c r="N2246" s="28" t="e">
        <f t="shared" si="8"/>
        <v>#VALUE!</v>
      </c>
      <c r="O2246" s="65"/>
      <c r="P2246" s="29" t="s">
        <v>334</v>
      </c>
      <c r="Q2246" s="55"/>
      <c r="R2246" s="31" t="e">
        <f t="shared" si="9"/>
        <v>#VALUE!</v>
      </c>
      <c r="S2246" s="66"/>
      <c r="T2246" s="32" t="e">
        <f t="shared" si="10"/>
        <v>#VALUE!</v>
      </c>
      <c r="U2246" s="57"/>
      <c r="V2246" s="58"/>
      <c r="W2246" s="58"/>
      <c r="X2246" s="30" t="e">
        <f t="shared" si="11"/>
        <v>#N/A</v>
      </c>
      <c r="Y2246" s="30" t="e">
        <f t="shared" si="12"/>
        <v>#N/A</v>
      </c>
      <c r="Z2246" s="35" t="e">
        <f t="shared" si="13"/>
        <v>#VALUE!</v>
      </c>
      <c r="AA2246" s="29" t="e">
        <f t="shared" si="14"/>
        <v>#VALUE!</v>
      </c>
      <c r="AB2246" s="36" t="e">
        <f t="shared" si="15"/>
        <v>#VALUE!</v>
      </c>
      <c r="AC2246" s="37" t="b">
        <v>0</v>
      </c>
      <c r="AD2246" s="61" t="str">
        <f t="shared" si="16"/>
        <v>USD</v>
      </c>
      <c r="AE2246" s="37"/>
      <c r="AF2246" s="37" t="e">
        <f t="array" ref="AF2246">INDEX('Deal Info'!D:D, MATCH(A2246,'Deal Info'!A:A, 0))</f>
        <v>#N/A</v>
      </c>
      <c r="AG2246" s="38" t="e">
        <f t="array" ref="AG2246">INDEX('Deal Info'!G:G, MATCH(A2246,'Deal Info'!A:A, 0))</f>
        <v>#N/A</v>
      </c>
    </row>
    <row r="2247" spans="1:33" ht="14.25" hidden="1" x14ac:dyDescent="0.2">
      <c r="A2247" s="18" t="b">
        <f t="array" ref="A2247">IF(G2247='Room Info'!$B$1, INDEX('Room Info'!$A$2:$A2446, MATCH(B2247,'Room Info'!$B$2:$B2446, 0)),IF(G2247='Room Info'!$C$1, INDEX('Room Info'!$A$2:$A2446, MATCH(B2247,'Room Info'!$C$2:$C2446, 0)),IF(G2247='Room Info'!$D$1, INDEX('Room Info'!$A$2:$A2446, MATCH(B2247,'Room Info'!$D$2:$D2446, 0)),IF(G2247='Room Info'!$E$1, INDEX('Room Info'!$A$2:$A2446, MATCH(B2247,'Room Info'!$E$2:$E2446, 0)),IF(G2247='Room Info'!$F$1, INDEX('Room Info'!$A$2:$A2446, MATCH(B2247,'Room Info'!$F$2:$F2446, 0)),IF(G2247='Room Info'!$H$1, INDEX('Room Info'!$A$2:$A2446, MATCH(B2247,'Room Info'!$H$2:$H2446, 0)),IF(G2247='Room Info'!$G$1, INDEX('Room Info'!$A$2:$A2446, MATCH(B2247,'Room Info'!$G$2:$G2446, 0)))))))))</f>
        <v>0</v>
      </c>
      <c r="B2247" s="65"/>
      <c r="C2247" s="111"/>
      <c r="D2247" s="111"/>
      <c r="E2247" s="80"/>
      <c r="F2247" s="96"/>
      <c r="G2247" s="65"/>
      <c r="H2247" s="110"/>
      <c r="I2247" s="110"/>
      <c r="J2247" s="39" t="s">
        <v>334</v>
      </c>
      <c r="K2247" s="112"/>
      <c r="L2247" s="113"/>
      <c r="M2247" s="62"/>
      <c r="N2247" s="28" t="e">
        <f t="shared" si="8"/>
        <v>#VALUE!</v>
      </c>
      <c r="O2247" s="65"/>
      <c r="P2247" s="29" t="s">
        <v>334</v>
      </c>
      <c r="Q2247" s="55"/>
      <c r="R2247" s="31" t="e">
        <f t="shared" si="9"/>
        <v>#VALUE!</v>
      </c>
      <c r="S2247" s="66"/>
      <c r="T2247" s="32" t="e">
        <f t="shared" si="10"/>
        <v>#VALUE!</v>
      </c>
      <c r="U2247" s="57"/>
      <c r="V2247" s="58"/>
      <c r="W2247" s="58"/>
      <c r="X2247" s="30" t="e">
        <f t="shared" si="11"/>
        <v>#N/A</v>
      </c>
      <c r="Y2247" s="30" t="e">
        <f t="shared" si="12"/>
        <v>#N/A</v>
      </c>
      <c r="Z2247" s="35" t="e">
        <f t="shared" si="13"/>
        <v>#VALUE!</v>
      </c>
      <c r="AA2247" s="29" t="e">
        <f t="shared" si="14"/>
        <v>#VALUE!</v>
      </c>
      <c r="AB2247" s="36" t="e">
        <f t="shared" si="15"/>
        <v>#VALUE!</v>
      </c>
      <c r="AC2247" s="37" t="b">
        <v>0</v>
      </c>
      <c r="AD2247" s="61" t="str">
        <f t="shared" si="16"/>
        <v>USD</v>
      </c>
      <c r="AE2247" s="37"/>
      <c r="AF2247" s="37" t="e">
        <f t="array" ref="AF2247">INDEX('Deal Info'!D:D, MATCH(A2247,'Deal Info'!A:A, 0))</f>
        <v>#N/A</v>
      </c>
      <c r="AG2247" s="38" t="e">
        <f t="array" ref="AG2247">INDEX('Deal Info'!G:G, MATCH(A2247,'Deal Info'!A:A, 0))</f>
        <v>#N/A</v>
      </c>
    </row>
    <row r="2248" spans="1:33" ht="14.25" hidden="1" x14ac:dyDescent="0.2">
      <c r="A2248" s="18" t="b">
        <f t="array" ref="A2248">IF(G2248='Room Info'!$B$1, INDEX('Room Info'!$A$2:$A2446, MATCH(B2248,'Room Info'!$B$2:$B2446, 0)),IF(G2248='Room Info'!$C$1, INDEX('Room Info'!$A$2:$A2446, MATCH(B2248,'Room Info'!$C$2:$C2446, 0)),IF(G2248='Room Info'!$D$1, INDEX('Room Info'!$A$2:$A2446, MATCH(B2248,'Room Info'!$D$2:$D2446, 0)),IF(G2248='Room Info'!$E$1, INDEX('Room Info'!$A$2:$A2446, MATCH(B2248,'Room Info'!$E$2:$E2446, 0)),IF(G2248='Room Info'!$F$1, INDEX('Room Info'!$A$2:$A2446, MATCH(B2248,'Room Info'!$F$2:$F2446, 0)),IF(G2248='Room Info'!$H$1, INDEX('Room Info'!$A$2:$A2446, MATCH(B2248,'Room Info'!$H$2:$H2446, 0)),IF(G2248='Room Info'!$G$1, INDEX('Room Info'!$A$2:$A2446, MATCH(B2248,'Room Info'!$G$2:$G2446, 0)))))))))</f>
        <v>0</v>
      </c>
      <c r="B2248" s="96"/>
      <c r="C2248" s="111"/>
      <c r="D2248" s="111"/>
      <c r="E2248" s="80"/>
      <c r="F2248" s="133"/>
      <c r="G2248" s="65"/>
      <c r="H2248" s="110"/>
      <c r="I2248" s="110"/>
      <c r="J2248" s="39" t="s">
        <v>334</v>
      </c>
      <c r="K2248" s="112"/>
      <c r="L2248" s="113"/>
      <c r="M2248" s="62"/>
      <c r="N2248" s="28" t="e">
        <f t="shared" si="8"/>
        <v>#VALUE!</v>
      </c>
      <c r="O2248" s="65"/>
      <c r="P2248" s="29" t="s">
        <v>334</v>
      </c>
      <c r="Q2248" s="55"/>
      <c r="R2248" s="31" t="e">
        <f t="shared" si="9"/>
        <v>#VALUE!</v>
      </c>
      <c r="S2248" s="66"/>
      <c r="T2248" s="32" t="e">
        <f t="shared" si="10"/>
        <v>#VALUE!</v>
      </c>
      <c r="U2248" s="57"/>
      <c r="V2248" s="58"/>
      <c r="W2248" s="58"/>
      <c r="X2248" s="30" t="e">
        <f t="shared" si="11"/>
        <v>#N/A</v>
      </c>
      <c r="Y2248" s="30" t="e">
        <f t="shared" si="12"/>
        <v>#N/A</v>
      </c>
      <c r="Z2248" s="35" t="e">
        <f t="shared" si="13"/>
        <v>#VALUE!</v>
      </c>
      <c r="AA2248" s="29" t="e">
        <f t="shared" si="14"/>
        <v>#VALUE!</v>
      </c>
      <c r="AB2248" s="36" t="e">
        <f t="shared" si="15"/>
        <v>#VALUE!</v>
      </c>
      <c r="AC2248" s="37" t="b">
        <v>0</v>
      </c>
      <c r="AD2248" s="61" t="str">
        <f t="shared" si="16"/>
        <v>USD</v>
      </c>
      <c r="AE2248" s="37"/>
      <c r="AF2248" s="37" t="e">
        <f t="array" ref="AF2248">INDEX('Deal Info'!D:D, MATCH(A2248,'Deal Info'!A:A, 0))</f>
        <v>#N/A</v>
      </c>
      <c r="AG2248" s="38" t="e">
        <f t="array" ref="AG2248">INDEX('Deal Info'!G:G, MATCH(A2248,'Deal Info'!A:A, 0))</f>
        <v>#N/A</v>
      </c>
    </row>
    <row r="2249" spans="1:33" ht="14.25" hidden="1" x14ac:dyDescent="0.2">
      <c r="A2249" s="18" t="b">
        <f t="array" ref="A2249">IF(G2249='Room Info'!$B$1, INDEX('Room Info'!$A$2:$A2446, MATCH(B2249,'Room Info'!$B$2:$B2446, 0)),IF(G2249='Room Info'!$C$1, INDEX('Room Info'!$A$2:$A2446, MATCH(B2249,'Room Info'!$C$2:$C2446, 0)),IF(G2249='Room Info'!$D$1, INDEX('Room Info'!$A$2:$A2446, MATCH(B2249,'Room Info'!$D$2:$D2446, 0)),IF(G2249='Room Info'!$E$1, INDEX('Room Info'!$A$2:$A2446, MATCH(B2249,'Room Info'!$E$2:$E2446, 0)),IF(G2249='Room Info'!$F$1, INDEX('Room Info'!$A$2:$A2446, MATCH(B2249,'Room Info'!$F$2:$F2446, 0)),IF(G2249='Room Info'!$H$1, INDEX('Room Info'!$A$2:$A2446, MATCH(B2249,'Room Info'!$H$2:$H2446, 0)),IF(G2249='Room Info'!$G$1, INDEX('Room Info'!$A$2:$A2446, MATCH(B2249,'Room Info'!$G$2:$G2446, 0)))))))))</f>
        <v>0</v>
      </c>
      <c r="B2249" s="96"/>
      <c r="C2249" s="111"/>
      <c r="D2249" s="111"/>
      <c r="E2249" s="80"/>
      <c r="F2249" s="133"/>
      <c r="G2249" s="65"/>
      <c r="H2249" s="110"/>
      <c r="I2249" s="110"/>
      <c r="J2249" s="39" t="s">
        <v>334</v>
      </c>
      <c r="K2249" s="112"/>
      <c r="L2249" s="113"/>
      <c r="M2249" s="62"/>
      <c r="N2249" s="28" t="e">
        <f t="shared" si="8"/>
        <v>#VALUE!</v>
      </c>
      <c r="O2249" s="65"/>
      <c r="P2249" s="29" t="s">
        <v>334</v>
      </c>
      <c r="Q2249" s="55"/>
      <c r="R2249" s="31" t="e">
        <f t="shared" si="9"/>
        <v>#VALUE!</v>
      </c>
      <c r="S2249" s="66"/>
      <c r="T2249" s="32" t="e">
        <f t="shared" si="10"/>
        <v>#VALUE!</v>
      </c>
      <c r="U2249" s="57"/>
      <c r="V2249" s="58"/>
      <c r="W2249" s="58"/>
      <c r="X2249" s="30" t="e">
        <f t="shared" si="11"/>
        <v>#N/A</v>
      </c>
      <c r="Y2249" s="30" t="e">
        <f t="shared" si="12"/>
        <v>#N/A</v>
      </c>
      <c r="Z2249" s="35" t="e">
        <f t="shared" si="13"/>
        <v>#VALUE!</v>
      </c>
      <c r="AA2249" s="29" t="e">
        <f t="shared" si="14"/>
        <v>#VALUE!</v>
      </c>
      <c r="AB2249" s="36" t="e">
        <f t="shared" si="15"/>
        <v>#VALUE!</v>
      </c>
      <c r="AC2249" s="37" t="b">
        <v>0</v>
      </c>
      <c r="AD2249" s="61" t="str">
        <f t="shared" si="16"/>
        <v>USD</v>
      </c>
      <c r="AE2249" s="37"/>
      <c r="AF2249" s="37" t="e">
        <f t="array" ref="AF2249">INDEX('Deal Info'!D:D, MATCH(A2249,'Deal Info'!A:A, 0))</f>
        <v>#N/A</v>
      </c>
      <c r="AG2249" s="38" t="e">
        <f t="array" ref="AG2249">INDEX('Deal Info'!G:G, MATCH(A2249,'Deal Info'!A:A, 0))</f>
        <v>#N/A</v>
      </c>
    </row>
    <row r="2250" spans="1:33" ht="14.25" hidden="1" x14ac:dyDescent="0.2">
      <c r="A2250" s="18" t="b">
        <f t="array" ref="A2250">IF(G2250='Room Info'!$B$1, INDEX('Room Info'!$A$2:$A2446, MATCH(B2250,'Room Info'!$B$2:$B2446, 0)),IF(G2250='Room Info'!$C$1, INDEX('Room Info'!$A$2:$A2446, MATCH(B2250,'Room Info'!$C$2:$C2446, 0)),IF(G2250='Room Info'!$D$1, INDEX('Room Info'!$A$2:$A2446, MATCH(B2250,'Room Info'!$D$2:$D2446, 0)),IF(G2250='Room Info'!$E$1, INDEX('Room Info'!$A$2:$A2446, MATCH(B2250,'Room Info'!$E$2:$E2446, 0)),IF(G2250='Room Info'!$F$1, INDEX('Room Info'!$A$2:$A2446, MATCH(B2250,'Room Info'!$F$2:$F2446, 0)),IF(G2250='Room Info'!$H$1, INDEX('Room Info'!$A$2:$A2446, MATCH(B2250,'Room Info'!$H$2:$H2446, 0)),IF(G2250='Room Info'!$G$1, INDEX('Room Info'!$A$2:$A2446, MATCH(B2250,'Room Info'!$G$2:$G2446, 0)))))))))</f>
        <v>0</v>
      </c>
      <c r="B2250" s="96"/>
      <c r="C2250" s="111"/>
      <c r="D2250" s="111"/>
      <c r="E2250" s="80"/>
      <c r="F2250" s="133"/>
      <c r="G2250" s="65"/>
      <c r="H2250" s="110"/>
      <c r="I2250" s="110"/>
      <c r="J2250" s="39" t="s">
        <v>334</v>
      </c>
      <c r="K2250" s="112"/>
      <c r="L2250" s="113"/>
      <c r="M2250" s="62"/>
      <c r="N2250" s="28" t="e">
        <f t="shared" si="8"/>
        <v>#VALUE!</v>
      </c>
      <c r="O2250" s="65"/>
      <c r="P2250" s="29" t="s">
        <v>334</v>
      </c>
      <c r="Q2250" s="55"/>
      <c r="R2250" s="31" t="e">
        <f t="shared" si="9"/>
        <v>#VALUE!</v>
      </c>
      <c r="S2250" s="66"/>
      <c r="T2250" s="32" t="e">
        <f t="shared" si="10"/>
        <v>#VALUE!</v>
      </c>
      <c r="U2250" s="57"/>
      <c r="V2250" s="58"/>
      <c r="W2250" s="58"/>
      <c r="X2250" s="30" t="e">
        <f t="shared" si="11"/>
        <v>#N/A</v>
      </c>
      <c r="Y2250" s="30" t="e">
        <f t="shared" si="12"/>
        <v>#N/A</v>
      </c>
      <c r="Z2250" s="35" t="e">
        <f t="shared" si="13"/>
        <v>#VALUE!</v>
      </c>
      <c r="AA2250" s="29" t="e">
        <f t="shared" si="14"/>
        <v>#VALUE!</v>
      </c>
      <c r="AB2250" s="36" t="e">
        <f t="shared" si="15"/>
        <v>#VALUE!</v>
      </c>
      <c r="AC2250" s="37" t="b">
        <v>0</v>
      </c>
      <c r="AD2250" s="61" t="str">
        <f t="shared" si="16"/>
        <v>USD</v>
      </c>
      <c r="AE2250" s="37"/>
      <c r="AF2250" s="37" t="e">
        <f t="array" ref="AF2250">INDEX('Deal Info'!D:D, MATCH(A2250,'Deal Info'!A:A, 0))</f>
        <v>#N/A</v>
      </c>
      <c r="AG2250" s="38" t="e">
        <f t="array" ref="AG2250">INDEX('Deal Info'!G:G, MATCH(A2250,'Deal Info'!A:A, 0))</f>
        <v>#N/A</v>
      </c>
    </row>
    <row r="2251" spans="1:33" ht="14.25" hidden="1" x14ac:dyDescent="0.2">
      <c r="A2251" s="18" t="b">
        <f t="array" ref="A2251">IF(G2251='Room Info'!$B$1, INDEX('Room Info'!$A$2:$A2446, MATCH(B2251,'Room Info'!$B$2:$B2446, 0)),IF(G2251='Room Info'!$C$1, INDEX('Room Info'!$A$2:$A2446, MATCH(B2251,'Room Info'!$C$2:$C2446, 0)),IF(G2251='Room Info'!$D$1, INDEX('Room Info'!$A$2:$A2446, MATCH(B2251,'Room Info'!$D$2:$D2446, 0)),IF(G2251='Room Info'!$E$1, INDEX('Room Info'!$A$2:$A2446, MATCH(B2251,'Room Info'!$E$2:$E2446, 0)),IF(G2251='Room Info'!$F$1, INDEX('Room Info'!$A$2:$A2446, MATCH(B2251,'Room Info'!$F$2:$F2446, 0)),IF(G2251='Room Info'!$H$1, INDEX('Room Info'!$A$2:$A2446, MATCH(B2251,'Room Info'!$H$2:$H2446, 0)),IF(G2251='Room Info'!$G$1, INDEX('Room Info'!$A$2:$A2446, MATCH(B2251,'Room Info'!$G$2:$G2446, 0)))))))))</f>
        <v>0</v>
      </c>
      <c r="B2251" s="96"/>
      <c r="C2251" s="111"/>
      <c r="D2251" s="111"/>
      <c r="E2251" s="80"/>
      <c r="F2251" s="133"/>
      <c r="G2251" s="65"/>
      <c r="H2251" s="110"/>
      <c r="I2251" s="110"/>
      <c r="J2251" s="39" t="s">
        <v>334</v>
      </c>
      <c r="K2251" s="112"/>
      <c r="L2251" s="113"/>
      <c r="M2251" s="62"/>
      <c r="N2251" s="28" t="e">
        <f t="shared" si="8"/>
        <v>#VALUE!</v>
      </c>
      <c r="O2251" s="65"/>
      <c r="P2251" s="29" t="s">
        <v>334</v>
      </c>
      <c r="Q2251" s="55"/>
      <c r="R2251" s="31" t="e">
        <f t="shared" si="9"/>
        <v>#VALUE!</v>
      </c>
      <c r="S2251" s="66"/>
      <c r="T2251" s="32" t="e">
        <f t="shared" si="10"/>
        <v>#VALUE!</v>
      </c>
      <c r="U2251" s="57"/>
      <c r="V2251" s="58"/>
      <c r="W2251" s="58"/>
      <c r="X2251" s="30" t="e">
        <f t="shared" si="11"/>
        <v>#N/A</v>
      </c>
      <c r="Y2251" s="30" t="e">
        <f t="shared" si="12"/>
        <v>#N/A</v>
      </c>
      <c r="Z2251" s="35" t="e">
        <f t="shared" si="13"/>
        <v>#VALUE!</v>
      </c>
      <c r="AA2251" s="29" t="e">
        <f t="shared" si="14"/>
        <v>#VALUE!</v>
      </c>
      <c r="AB2251" s="36" t="e">
        <f t="shared" si="15"/>
        <v>#VALUE!</v>
      </c>
      <c r="AC2251" s="37" t="b">
        <v>0</v>
      </c>
      <c r="AD2251" s="61" t="str">
        <f t="shared" si="16"/>
        <v>USD</v>
      </c>
      <c r="AE2251" s="37"/>
      <c r="AF2251" s="37" t="e">
        <f t="array" ref="AF2251">INDEX('Deal Info'!D:D, MATCH(A2251,'Deal Info'!A:A, 0))</f>
        <v>#N/A</v>
      </c>
      <c r="AG2251" s="38" t="e">
        <f t="array" ref="AG2251">INDEX('Deal Info'!G:G, MATCH(A2251,'Deal Info'!A:A, 0))</f>
        <v>#N/A</v>
      </c>
    </row>
    <row r="2252" spans="1:33" ht="14.25" hidden="1" x14ac:dyDescent="0.2">
      <c r="A2252" s="18" t="b">
        <f t="array" ref="A2252">IF(G2252='Room Info'!$B$1, INDEX('Room Info'!$A$2:$A2446, MATCH(B2252,'Room Info'!$B$2:$B2446, 0)),IF(G2252='Room Info'!$C$1, INDEX('Room Info'!$A$2:$A2446, MATCH(B2252,'Room Info'!$C$2:$C2446, 0)),IF(G2252='Room Info'!$D$1, INDEX('Room Info'!$A$2:$A2446, MATCH(B2252,'Room Info'!$D$2:$D2446, 0)),IF(G2252='Room Info'!$E$1, INDEX('Room Info'!$A$2:$A2446, MATCH(B2252,'Room Info'!$E$2:$E2446, 0)),IF(G2252='Room Info'!$F$1, INDEX('Room Info'!$A$2:$A2446, MATCH(B2252,'Room Info'!$F$2:$F2446, 0)),IF(G2252='Room Info'!$H$1, INDEX('Room Info'!$A$2:$A2446, MATCH(B2252,'Room Info'!$H$2:$H2446, 0)),IF(G2252='Room Info'!$G$1, INDEX('Room Info'!$A$2:$A2446, MATCH(B2252,'Room Info'!$G$2:$G2446, 0)))))))))</f>
        <v>0</v>
      </c>
      <c r="B2252" s="96"/>
      <c r="C2252" s="111"/>
      <c r="D2252" s="111"/>
      <c r="E2252" s="80"/>
      <c r="F2252" s="133"/>
      <c r="G2252" s="65"/>
      <c r="H2252" s="110"/>
      <c r="I2252" s="110"/>
      <c r="J2252" s="39" t="s">
        <v>334</v>
      </c>
      <c r="K2252" s="112"/>
      <c r="L2252" s="113"/>
      <c r="M2252" s="62"/>
      <c r="N2252" s="28" t="e">
        <f t="shared" si="8"/>
        <v>#VALUE!</v>
      </c>
      <c r="O2252" s="65"/>
      <c r="P2252" s="29" t="s">
        <v>334</v>
      </c>
      <c r="Q2252" s="55"/>
      <c r="R2252" s="31" t="e">
        <f t="shared" si="9"/>
        <v>#VALUE!</v>
      </c>
      <c r="S2252" s="66"/>
      <c r="T2252" s="32" t="e">
        <f t="shared" si="10"/>
        <v>#VALUE!</v>
      </c>
      <c r="U2252" s="57"/>
      <c r="V2252" s="58"/>
      <c r="W2252" s="58"/>
      <c r="X2252" s="30" t="e">
        <f t="shared" si="11"/>
        <v>#N/A</v>
      </c>
      <c r="Y2252" s="30" t="e">
        <f t="shared" si="12"/>
        <v>#N/A</v>
      </c>
      <c r="Z2252" s="35" t="e">
        <f t="shared" si="13"/>
        <v>#VALUE!</v>
      </c>
      <c r="AA2252" s="29" t="e">
        <f t="shared" si="14"/>
        <v>#VALUE!</v>
      </c>
      <c r="AB2252" s="36" t="e">
        <f t="shared" si="15"/>
        <v>#VALUE!</v>
      </c>
      <c r="AC2252" s="37" t="b">
        <v>0</v>
      </c>
      <c r="AD2252" s="61" t="str">
        <f t="shared" si="16"/>
        <v>USD</v>
      </c>
      <c r="AE2252" s="37"/>
      <c r="AF2252" s="37" t="e">
        <f t="array" ref="AF2252">INDEX('Deal Info'!D:D, MATCH(A2252,'Deal Info'!A:A, 0))</f>
        <v>#N/A</v>
      </c>
      <c r="AG2252" s="38" t="e">
        <f t="array" ref="AG2252">INDEX('Deal Info'!G:G, MATCH(A2252,'Deal Info'!A:A, 0))</f>
        <v>#N/A</v>
      </c>
    </row>
    <row r="2253" spans="1:33" ht="14.25" hidden="1" x14ac:dyDescent="0.2">
      <c r="A2253" s="18" t="b">
        <f t="array" ref="A2253">IF(G2253='Room Info'!$B$1, INDEX('Room Info'!$A$2:$A2446, MATCH(B2253,'Room Info'!$B$2:$B2446, 0)),IF(G2253='Room Info'!$C$1, INDEX('Room Info'!$A$2:$A2446, MATCH(B2253,'Room Info'!$C$2:$C2446, 0)),IF(G2253='Room Info'!$D$1, INDEX('Room Info'!$A$2:$A2446, MATCH(B2253,'Room Info'!$D$2:$D2446, 0)),IF(G2253='Room Info'!$E$1, INDEX('Room Info'!$A$2:$A2446, MATCH(B2253,'Room Info'!$E$2:$E2446, 0)),IF(G2253='Room Info'!$F$1, INDEX('Room Info'!$A$2:$A2446, MATCH(B2253,'Room Info'!$F$2:$F2446, 0)),IF(G2253='Room Info'!$H$1, INDEX('Room Info'!$A$2:$A2446, MATCH(B2253,'Room Info'!$H$2:$H2446, 0)),IF(G2253='Room Info'!$G$1, INDEX('Room Info'!$A$2:$A2446, MATCH(B2253,'Room Info'!$G$2:$G2446, 0)))))))))</f>
        <v>0</v>
      </c>
      <c r="B2253" s="96"/>
      <c r="C2253" s="136"/>
      <c r="D2253" s="136"/>
      <c r="E2253" s="137"/>
      <c r="F2253" s="133"/>
      <c r="G2253" s="96"/>
      <c r="H2253" s="100"/>
      <c r="I2253" s="100"/>
      <c r="J2253" s="39" t="s">
        <v>334</v>
      </c>
      <c r="K2253" s="134"/>
      <c r="L2253" s="135"/>
      <c r="M2253" s="79"/>
      <c r="N2253" s="28" t="e">
        <f t="shared" si="8"/>
        <v>#VALUE!</v>
      </c>
      <c r="O2253" s="96"/>
      <c r="P2253" s="29" t="s">
        <v>334</v>
      </c>
      <c r="Q2253" s="55"/>
      <c r="R2253" s="31" t="e">
        <f t="shared" si="9"/>
        <v>#VALUE!</v>
      </c>
      <c r="S2253" s="97"/>
      <c r="T2253" s="32" t="e">
        <f t="shared" si="10"/>
        <v>#VALUE!</v>
      </c>
      <c r="U2253" s="57"/>
      <c r="V2253" s="58"/>
      <c r="W2253" s="58"/>
      <c r="X2253" s="30" t="e">
        <f t="shared" si="11"/>
        <v>#N/A</v>
      </c>
      <c r="Y2253" s="30" t="e">
        <f t="shared" si="12"/>
        <v>#N/A</v>
      </c>
      <c r="Z2253" s="35" t="e">
        <f t="shared" si="13"/>
        <v>#VALUE!</v>
      </c>
      <c r="AA2253" s="29" t="e">
        <f t="shared" si="14"/>
        <v>#VALUE!</v>
      </c>
      <c r="AB2253" s="36" t="e">
        <f t="shared" si="15"/>
        <v>#VALUE!</v>
      </c>
      <c r="AC2253" s="37" t="b">
        <v>0</v>
      </c>
      <c r="AD2253" s="61" t="str">
        <f t="shared" si="16"/>
        <v>USD</v>
      </c>
      <c r="AE2253" s="37"/>
      <c r="AF2253" s="37" t="e">
        <f t="array" ref="AF2253">INDEX('Deal Info'!D:D, MATCH(A2253,'Deal Info'!A:A, 0))</f>
        <v>#N/A</v>
      </c>
      <c r="AG2253" s="38" t="e">
        <f t="array" ref="AG2253">INDEX('Deal Info'!G:G, MATCH(A2253,'Deal Info'!A:A, 0))</f>
        <v>#N/A</v>
      </c>
    </row>
    <row r="2254" spans="1:33" ht="14.25" hidden="1" x14ac:dyDescent="0.2">
      <c r="A2254" s="18" t="b">
        <f t="array" ref="A2254">IF(G2254='Room Info'!$B$1, INDEX('Room Info'!$A$2:$A2446, MATCH(B2254,'Room Info'!$B$2:$B2446, 0)),IF(G2254='Room Info'!$C$1, INDEX('Room Info'!$A$2:$A2446, MATCH(B2254,'Room Info'!$C$2:$C2446, 0)),IF(G2254='Room Info'!$D$1, INDEX('Room Info'!$A$2:$A2446, MATCH(B2254,'Room Info'!$D$2:$D2446, 0)),IF(G2254='Room Info'!$E$1, INDEX('Room Info'!$A$2:$A2446, MATCH(B2254,'Room Info'!$E$2:$E2446, 0)),IF(G2254='Room Info'!$F$1, INDEX('Room Info'!$A$2:$A2446, MATCH(B2254,'Room Info'!$F$2:$F2446, 0)),IF(G2254='Room Info'!$H$1, INDEX('Room Info'!$A$2:$A2446, MATCH(B2254,'Room Info'!$H$2:$H2446, 0)),IF(G2254='Room Info'!$G$1, INDEX('Room Info'!$A$2:$A2446, MATCH(B2254,'Room Info'!$G$2:$G2446, 0)))))))))</f>
        <v>0</v>
      </c>
      <c r="B2254" s="96"/>
      <c r="C2254" s="111"/>
      <c r="D2254" s="111"/>
      <c r="E2254" s="80"/>
      <c r="F2254" s="133"/>
      <c r="G2254" s="65"/>
      <c r="H2254" s="110"/>
      <c r="I2254" s="110"/>
      <c r="J2254" s="39" t="s">
        <v>334</v>
      </c>
      <c r="K2254" s="112"/>
      <c r="L2254" s="113"/>
      <c r="M2254" s="62"/>
      <c r="N2254" s="28" t="e">
        <f t="shared" si="8"/>
        <v>#VALUE!</v>
      </c>
      <c r="O2254" s="65"/>
      <c r="P2254" s="29" t="s">
        <v>334</v>
      </c>
      <c r="Q2254" s="55"/>
      <c r="R2254" s="31" t="e">
        <f t="shared" si="9"/>
        <v>#VALUE!</v>
      </c>
      <c r="S2254" s="66"/>
      <c r="T2254" s="32" t="e">
        <f t="shared" si="10"/>
        <v>#VALUE!</v>
      </c>
      <c r="U2254" s="57"/>
      <c r="V2254" s="58"/>
      <c r="W2254" s="58"/>
      <c r="X2254" s="30" t="e">
        <f t="shared" si="11"/>
        <v>#N/A</v>
      </c>
      <c r="Y2254" s="30" t="e">
        <f t="shared" si="12"/>
        <v>#N/A</v>
      </c>
      <c r="Z2254" s="35" t="e">
        <f t="shared" si="13"/>
        <v>#VALUE!</v>
      </c>
      <c r="AA2254" s="29" t="e">
        <f t="shared" si="14"/>
        <v>#VALUE!</v>
      </c>
      <c r="AB2254" s="36" t="e">
        <f t="shared" si="15"/>
        <v>#VALUE!</v>
      </c>
      <c r="AC2254" s="37" t="b">
        <v>0</v>
      </c>
      <c r="AD2254" s="61" t="str">
        <f t="shared" si="16"/>
        <v>USD</v>
      </c>
      <c r="AE2254" s="37"/>
      <c r="AF2254" s="37" t="e">
        <f t="array" ref="AF2254">INDEX('Deal Info'!D:D, MATCH(A2254,'Deal Info'!A:A, 0))</f>
        <v>#N/A</v>
      </c>
      <c r="AG2254" s="38" t="e">
        <f t="array" ref="AG2254">INDEX('Deal Info'!G:G, MATCH(A2254,'Deal Info'!A:A, 0))</f>
        <v>#N/A</v>
      </c>
    </row>
    <row r="2255" spans="1:33" ht="14.25" hidden="1" x14ac:dyDescent="0.2">
      <c r="A2255" s="18" t="b">
        <f t="array" ref="A2255">IF(G2255='Room Info'!$B$1, INDEX('Room Info'!$A$2:$A2446, MATCH(B2255,'Room Info'!$B$2:$B2446, 0)),IF(G2255='Room Info'!$C$1, INDEX('Room Info'!$A$2:$A2446, MATCH(B2255,'Room Info'!$C$2:$C2446, 0)),IF(G2255='Room Info'!$D$1, INDEX('Room Info'!$A$2:$A2446, MATCH(B2255,'Room Info'!$D$2:$D2446, 0)),IF(G2255='Room Info'!$E$1, INDEX('Room Info'!$A$2:$A2446, MATCH(B2255,'Room Info'!$E$2:$E2446, 0)),IF(G2255='Room Info'!$F$1, INDEX('Room Info'!$A$2:$A2446, MATCH(B2255,'Room Info'!$F$2:$F2446, 0)),IF(G2255='Room Info'!$H$1, INDEX('Room Info'!$A$2:$A2446, MATCH(B2255,'Room Info'!$H$2:$H2446, 0)),IF(G2255='Room Info'!$G$1, INDEX('Room Info'!$A$2:$A2446, MATCH(B2255,'Room Info'!$G$2:$G2446, 0)))))))))</f>
        <v>0</v>
      </c>
      <c r="B2255" s="96"/>
      <c r="C2255" s="111"/>
      <c r="D2255" s="111"/>
      <c r="E2255" s="80"/>
      <c r="F2255" s="133"/>
      <c r="G2255" s="65"/>
      <c r="H2255" s="110"/>
      <c r="I2255" s="110"/>
      <c r="J2255" s="39" t="s">
        <v>334</v>
      </c>
      <c r="K2255" s="112"/>
      <c r="L2255" s="113"/>
      <c r="M2255" s="62"/>
      <c r="N2255" s="28" t="e">
        <f t="shared" si="8"/>
        <v>#VALUE!</v>
      </c>
      <c r="O2255" s="65"/>
      <c r="P2255" s="29" t="s">
        <v>334</v>
      </c>
      <c r="Q2255" s="55"/>
      <c r="R2255" s="31" t="e">
        <f t="shared" si="9"/>
        <v>#VALUE!</v>
      </c>
      <c r="S2255" s="66"/>
      <c r="T2255" s="32" t="e">
        <f t="shared" si="10"/>
        <v>#VALUE!</v>
      </c>
      <c r="U2255" s="57"/>
      <c r="V2255" s="58"/>
      <c r="W2255" s="58"/>
      <c r="X2255" s="30" t="e">
        <f t="shared" si="11"/>
        <v>#N/A</v>
      </c>
      <c r="Y2255" s="30" t="e">
        <f t="shared" si="12"/>
        <v>#N/A</v>
      </c>
      <c r="Z2255" s="35" t="e">
        <f t="shared" si="13"/>
        <v>#VALUE!</v>
      </c>
      <c r="AA2255" s="29" t="e">
        <f t="shared" si="14"/>
        <v>#VALUE!</v>
      </c>
      <c r="AB2255" s="36" t="e">
        <f t="shared" si="15"/>
        <v>#VALUE!</v>
      </c>
      <c r="AC2255" s="37" t="b">
        <v>0</v>
      </c>
      <c r="AD2255" s="61" t="str">
        <f t="shared" si="16"/>
        <v>USD</v>
      </c>
      <c r="AE2255" s="37"/>
      <c r="AF2255" s="37" t="e">
        <f t="array" ref="AF2255">INDEX('Deal Info'!D:D, MATCH(A2255,'Deal Info'!A:A, 0))</f>
        <v>#N/A</v>
      </c>
      <c r="AG2255" s="38" t="e">
        <f t="array" ref="AG2255">INDEX('Deal Info'!G:G, MATCH(A2255,'Deal Info'!A:A, 0))</f>
        <v>#N/A</v>
      </c>
    </row>
    <row r="2256" spans="1:33" ht="14.25" hidden="1" x14ac:dyDescent="0.2">
      <c r="A2256" s="18" t="b">
        <f t="array" ref="A2256">IF(G2256='Room Info'!$B$1, INDEX('Room Info'!$A$2:$A2446, MATCH(B2256,'Room Info'!$B$2:$B2446, 0)),IF(G2256='Room Info'!$C$1, INDEX('Room Info'!$A$2:$A2446, MATCH(B2256,'Room Info'!$C$2:$C2446, 0)),IF(G2256='Room Info'!$D$1, INDEX('Room Info'!$A$2:$A2446, MATCH(B2256,'Room Info'!$D$2:$D2446, 0)),IF(G2256='Room Info'!$E$1, INDEX('Room Info'!$A$2:$A2446, MATCH(B2256,'Room Info'!$E$2:$E2446, 0)),IF(G2256='Room Info'!$F$1, INDEX('Room Info'!$A$2:$A2446, MATCH(B2256,'Room Info'!$F$2:$F2446, 0)),IF(G2256='Room Info'!$H$1, INDEX('Room Info'!$A$2:$A2446, MATCH(B2256,'Room Info'!$H$2:$H2446, 0)),IF(G2256='Room Info'!$G$1, INDEX('Room Info'!$A$2:$A2446, MATCH(B2256,'Room Info'!$G$2:$G2446, 0)))))))))</f>
        <v>0</v>
      </c>
      <c r="B2256" s="96"/>
      <c r="C2256" s="111"/>
      <c r="D2256" s="111"/>
      <c r="E2256" s="80"/>
      <c r="F2256" s="133"/>
      <c r="G2256" s="96"/>
      <c r="H2256" s="110"/>
      <c r="I2256" s="110"/>
      <c r="J2256" s="39" t="s">
        <v>334</v>
      </c>
      <c r="K2256" s="112"/>
      <c r="L2256" s="113"/>
      <c r="M2256" s="62"/>
      <c r="N2256" s="28" t="e">
        <f t="shared" si="8"/>
        <v>#VALUE!</v>
      </c>
      <c r="O2256" s="65"/>
      <c r="P2256" s="29" t="s">
        <v>334</v>
      </c>
      <c r="Q2256" s="55"/>
      <c r="R2256" s="31" t="e">
        <f t="shared" si="9"/>
        <v>#VALUE!</v>
      </c>
      <c r="S2256" s="66"/>
      <c r="T2256" s="32" t="e">
        <f t="shared" si="10"/>
        <v>#VALUE!</v>
      </c>
      <c r="U2256" s="57"/>
      <c r="V2256" s="58"/>
      <c r="W2256" s="58"/>
      <c r="X2256" s="30" t="e">
        <f t="shared" si="11"/>
        <v>#N/A</v>
      </c>
      <c r="Y2256" s="30" t="e">
        <f t="shared" si="12"/>
        <v>#N/A</v>
      </c>
      <c r="Z2256" s="35" t="e">
        <f t="shared" si="13"/>
        <v>#VALUE!</v>
      </c>
      <c r="AA2256" s="29" t="e">
        <f t="shared" si="14"/>
        <v>#VALUE!</v>
      </c>
      <c r="AB2256" s="36" t="e">
        <f t="shared" si="15"/>
        <v>#VALUE!</v>
      </c>
      <c r="AC2256" s="37" t="b">
        <v>0</v>
      </c>
      <c r="AD2256" s="61" t="str">
        <f t="shared" si="16"/>
        <v>USD</v>
      </c>
      <c r="AE2256" s="37"/>
      <c r="AF2256" s="37" t="e">
        <f t="array" ref="AF2256">INDEX('Deal Info'!D:D, MATCH(A2256,'Deal Info'!A:A, 0))</f>
        <v>#N/A</v>
      </c>
      <c r="AG2256" s="38" t="e">
        <f t="array" ref="AG2256">INDEX('Deal Info'!G:G, MATCH(A2256,'Deal Info'!A:A, 0))</f>
        <v>#N/A</v>
      </c>
    </row>
    <row r="2257" spans="1:33" ht="14.25" hidden="1" x14ac:dyDescent="0.2">
      <c r="A2257" s="18" t="b">
        <f t="array" ref="A2257">IF(G2257='Room Info'!$B$1, INDEX('Room Info'!$A$2:$A2446, MATCH(B2257,'Room Info'!$B$2:$B2446, 0)),IF(G2257='Room Info'!$C$1, INDEX('Room Info'!$A$2:$A2446, MATCH(B2257,'Room Info'!$C$2:$C2446, 0)),IF(G2257='Room Info'!$D$1, INDEX('Room Info'!$A$2:$A2446, MATCH(B2257,'Room Info'!$D$2:$D2446, 0)),IF(G2257='Room Info'!$E$1, INDEX('Room Info'!$A$2:$A2446, MATCH(B2257,'Room Info'!$E$2:$E2446, 0)),IF(G2257='Room Info'!$F$1, INDEX('Room Info'!$A$2:$A2446, MATCH(B2257,'Room Info'!$F$2:$F2446, 0)),IF(G2257='Room Info'!$H$1, INDEX('Room Info'!$A$2:$A2446, MATCH(B2257,'Room Info'!$H$2:$H2446, 0)),IF(G2257='Room Info'!$G$1, INDEX('Room Info'!$A$2:$A2446, MATCH(B2257,'Room Info'!$G$2:$G2446, 0)))))))))</f>
        <v>0</v>
      </c>
      <c r="B2257" s="96"/>
      <c r="C2257" s="111"/>
      <c r="D2257" s="111"/>
      <c r="E2257" s="80"/>
      <c r="F2257" s="133"/>
      <c r="G2257" s="96"/>
      <c r="H2257" s="110"/>
      <c r="I2257" s="110"/>
      <c r="J2257" s="39" t="s">
        <v>334</v>
      </c>
      <c r="K2257" s="112"/>
      <c r="L2257" s="113"/>
      <c r="M2257" s="62"/>
      <c r="N2257" s="28" t="e">
        <f t="shared" si="8"/>
        <v>#VALUE!</v>
      </c>
      <c r="O2257" s="65"/>
      <c r="P2257" s="29" t="s">
        <v>334</v>
      </c>
      <c r="Q2257" s="55"/>
      <c r="R2257" s="31" t="e">
        <f t="shared" si="9"/>
        <v>#VALUE!</v>
      </c>
      <c r="S2257" s="66"/>
      <c r="T2257" s="32" t="e">
        <f t="shared" si="10"/>
        <v>#VALUE!</v>
      </c>
      <c r="U2257" s="57"/>
      <c r="V2257" s="58"/>
      <c r="W2257" s="58"/>
      <c r="X2257" s="30" t="e">
        <f t="shared" si="11"/>
        <v>#N/A</v>
      </c>
      <c r="Y2257" s="30" t="e">
        <f t="shared" si="12"/>
        <v>#N/A</v>
      </c>
      <c r="Z2257" s="35" t="e">
        <f t="shared" si="13"/>
        <v>#VALUE!</v>
      </c>
      <c r="AA2257" s="29" t="e">
        <f t="shared" si="14"/>
        <v>#VALUE!</v>
      </c>
      <c r="AB2257" s="36" t="e">
        <f t="shared" si="15"/>
        <v>#VALUE!</v>
      </c>
      <c r="AC2257" s="37" t="b">
        <v>0</v>
      </c>
      <c r="AD2257" s="61" t="str">
        <f t="shared" si="16"/>
        <v>USD</v>
      </c>
      <c r="AE2257" s="37"/>
      <c r="AF2257" s="37" t="e">
        <f t="array" ref="AF2257">INDEX('Deal Info'!D:D, MATCH(A2257,'Deal Info'!A:A, 0))</f>
        <v>#N/A</v>
      </c>
      <c r="AG2257" s="38" t="e">
        <f t="array" ref="AG2257">INDEX('Deal Info'!G:G, MATCH(A2257,'Deal Info'!A:A, 0))</f>
        <v>#N/A</v>
      </c>
    </row>
    <row r="2258" spans="1:33" ht="14.25" hidden="1" x14ac:dyDescent="0.2">
      <c r="A2258" s="18" t="b">
        <f t="array" ref="A2258">IF(G2258='Room Info'!$B$1, INDEX('Room Info'!$A$2:$A2446, MATCH(B2258,'Room Info'!$B$2:$B2446, 0)),IF(G2258='Room Info'!$C$1, INDEX('Room Info'!$A$2:$A2446, MATCH(B2258,'Room Info'!$C$2:$C2446, 0)),IF(G2258='Room Info'!$D$1, INDEX('Room Info'!$A$2:$A2446, MATCH(B2258,'Room Info'!$D$2:$D2446, 0)),IF(G2258='Room Info'!$E$1, INDEX('Room Info'!$A$2:$A2446, MATCH(B2258,'Room Info'!$E$2:$E2446, 0)),IF(G2258='Room Info'!$F$1, INDEX('Room Info'!$A$2:$A2446, MATCH(B2258,'Room Info'!$F$2:$F2446, 0)),IF(G2258='Room Info'!$H$1, INDEX('Room Info'!$A$2:$A2446, MATCH(B2258,'Room Info'!$H$2:$H2446, 0)),IF(G2258='Room Info'!$G$1, INDEX('Room Info'!$A$2:$A2446, MATCH(B2258,'Room Info'!$G$2:$G2446, 0)))))))))</f>
        <v>0</v>
      </c>
      <c r="B2258" s="96"/>
      <c r="C2258" s="111"/>
      <c r="D2258" s="111"/>
      <c r="E2258" s="80"/>
      <c r="F2258" s="133"/>
      <c r="G2258" s="96"/>
      <c r="H2258" s="110"/>
      <c r="I2258" s="110"/>
      <c r="J2258" s="39" t="s">
        <v>334</v>
      </c>
      <c r="K2258" s="112"/>
      <c r="L2258" s="113"/>
      <c r="M2258" s="62"/>
      <c r="N2258" s="28" t="e">
        <f t="shared" si="8"/>
        <v>#VALUE!</v>
      </c>
      <c r="O2258" s="65"/>
      <c r="P2258" s="29" t="s">
        <v>334</v>
      </c>
      <c r="Q2258" s="55"/>
      <c r="R2258" s="31" t="e">
        <f t="shared" si="9"/>
        <v>#VALUE!</v>
      </c>
      <c r="S2258" s="66"/>
      <c r="T2258" s="32" t="e">
        <f t="shared" si="10"/>
        <v>#VALUE!</v>
      </c>
      <c r="U2258" s="57"/>
      <c r="V2258" s="58"/>
      <c r="W2258" s="58"/>
      <c r="X2258" s="30" t="e">
        <f t="shared" si="11"/>
        <v>#N/A</v>
      </c>
      <c r="Y2258" s="30" t="e">
        <f t="shared" si="12"/>
        <v>#N/A</v>
      </c>
      <c r="Z2258" s="35" t="e">
        <f t="shared" si="13"/>
        <v>#VALUE!</v>
      </c>
      <c r="AA2258" s="29" t="e">
        <f t="shared" si="14"/>
        <v>#VALUE!</v>
      </c>
      <c r="AB2258" s="36" t="e">
        <f t="shared" si="15"/>
        <v>#VALUE!</v>
      </c>
      <c r="AC2258" s="37" t="b">
        <v>0</v>
      </c>
      <c r="AD2258" s="61" t="str">
        <f t="shared" si="16"/>
        <v>USD</v>
      </c>
      <c r="AE2258" s="37"/>
      <c r="AF2258" s="37" t="e">
        <f t="array" ref="AF2258">INDEX('Deal Info'!D:D, MATCH(A2258,'Deal Info'!A:A, 0))</f>
        <v>#N/A</v>
      </c>
      <c r="AG2258" s="38" t="e">
        <f t="array" ref="AG2258">INDEX('Deal Info'!G:G, MATCH(A2258,'Deal Info'!A:A, 0))</f>
        <v>#N/A</v>
      </c>
    </row>
    <row r="2259" spans="1:33" ht="14.25" hidden="1" x14ac:dyDescent="0.2">
      <c r="A2259" s="18" t="b">
        <f t="array" ref="A2259">IF(G2259='Room Info'!$B$1, INDEX('Room Info'!$A$2:$A2446, MATCH(B2259,'Room Info'!$B$2:$B2446, 0)),IF(G2259='Room Info'!$C$1, INDEX('Room Info'!$A$2:$A2446, MATCH(B2259,'Room Info'!$C$2:$C2446, 0)),IF(G2259='Room Info'!$D$1, INDEX('Room Info'!$A$2:$A2446, MATCH(B2259,'Room Info'!$D$2:$D2446, 0)),IF(G2259='Room Info'!$E$1, INDEX('Room Info'!$A$2:$A2446, MATCH(B2259,'Room Info'!$E$2:$E2446, 0)),IF(G2259='Room Info'!$F$1, INDEX('Room Info'!$A$2:$A2446, MATCH(B2259,'Room Info'!$F$2:$F2446, 0)),IF(G2259='Room Info'!$H$1, INDEX('Room Info'!$A$2:$A2446, MATCH(B2259,'Room Info'!$H$2:$H2446, 0)),IF(G2259='Room Info'!$G$1, INDEX('Room Info'!$A$2:$A2446, MATCH(B2259,'Room Info'!$G$2:$G2446, 0)))))))))</f>
        <v>0</v>
      </c>
      <c r="B2259" s="96"/>
      <c r="C2259" s="111"/>
      <c r="D2259" s="111"/>
      <c r="E2259" s="80"/>
      <c r="F2259" s="133"/>
      <c r="G2259" s="96"/>
      <c r="H2259" s="110"/>
      <c r="I2259" s="110"/>
      <c r="J2259" s="39" t="s">
        <v>334</v>
      </c>
      <c r="K2259" s="112"/>
      <c r="L2259" s="113"/>
      <c r="M2259" s="62"/>
      <c r="N2259" s="28" t="e">
        <f t="shared" si="8"/>
        <v>#VALUE!</v>
      </c>
      <c r="O2259" s="65"/>
      <c r="P2259" s="29" t="s">
        <v>334</v>
      </c>
      <c r="Q2259" s="55"/>
      <c r="R2259" s="31" t="e">
        <f t="shared" si="9"/>
        <v>#VALUE!</v>
      </c>
      <c r="S2259" s="66"/>
      <c r="T2259" s="32" t="e">
        <f t="shared" si="10"/>
        <v>#VALUE!</v>
      </c>
      <c r="U2259" s="57"/>
      <c r="V2259" s="58"/>
      <c r="W2259" s="58"/>
      <c r="X2259" s="30" t="e">
        <f t="shared" si="11"/>
        <v>#N/A</v>
      </c>
      <c r="Y2259" s="30" t="e">
        <f t="shared" si="12"/>
        <v>#N/A</v>
      </c>
      <c r="Z2259" s="35" t="e">
        <f t="shared" si="13"/>
        <v>#VALUE!</v>
      </c>
      <c r="AA2259" s="29" t="e">
        <f t="shared" si="14"/>
        <v>#VALUE!</v>
      </c>
      <c r="AB2259" s="36" t="e">
        <f t="shared" si="15"/>
        <v>#VALUE!</v>
      </c>
      <c r="AC2259" s="37" t="b">
        <v>0</v>
      </c>
      <c r="AD2259" s="61" t="str">
        <f t="shared" si="16"/>
        <v>USD</v>
      </c>
      <c r="AE2259" s="37"/>
      <c r="AF2259" s="37" t="e">
        <f t="array" ref="AF2259">INDEX('Deal Info'!D:D, MATCH(A2259,'Deal Info'!A:A, 0))</f>
        <v>#N/A</v>
      </c>
      <c r="AG2259" s="38" t="e">
        <f t="array" ref="AG2259">INDEX('Deal Info'!G:G, MATCH(A2259,'Deal Info'!A:A, 0))</f>
        <v>#N/A</v>
      </c>
    </row>
    <row r="2260" spans="1:33" ht="14.25" hidden="1" x14ac:dyDescent="0.2">
      <c r="A2260" s="18" t="b">
        <f t="array" ref="A2260">IF(G2260='Room Info'!$B$1, INDEX('Room Info'!$A$2:$A2446, MATCH(B2260,'Room Info'!$B$2:$B2446, 0)),IF(G2260='Room Info'!$C$1, INDEX('Room Info'!$A$2:$A2446, MATCH(B2260,'Room Info'!$C$2:$C2446, 0)),IF(G2260='Room Info'!$D$1, INDEX('Room Info'!$A$2:$A2446, MATCH(B2260,'Room Info'!$D$2:$D2446, 0)),IF(G2260='Room Info'!$E$1, INDEX('Room Info'!$A$2:$A2446, MATCH(B2260,'Room Info'!$E$2:$E2446, 0)),IF(G2260='Room Info'!$F$1, INDEX('Room Info'!$A$2:$A2446, MATCH(B2260,'Room Info'!$F$2:$F2446, 0)),IF(G2260='Room Info'!$H$1, INDEX('Room Info'!$A$2:$A2446, MATCH(B2260,'Room Info'!$H$2:$H2446, 0)),IF(G2260='Room Info'!$G$1, INDEX('Room Info'!$A$2:$A2446, MATCH(B2260,'Room Info'!$G$2:$G2446, 0)))))))))</f>
        <v>0</v>
      </c>
      <c r="B2260" s="96"/>
      <c r="C2260" s="111"/>
      <c r="D2260" s="111"/>
      <c r="E2260" s="80"/>
      <c r="F2260" s="133"/>
      <c r="G2260" s="96"/>
      <c r="H2260" s="110"/>
      <c r="I2260" s="110"/>
      <c r="J2260" s="39" t="s">
        <v>334</v>
      </c>
      <c r="K2260" s="112"/>
      <c r="L2260" s="113"/>
      <c r="M2260" s="62"/>
      <c r="N2260" s="28" t="e">
        <f t="shared" si="8"/>
        <v>#VALUE!</v>
      </c>
      <c r="O2260" s="65"/>
      <c r="P2260" s="29" t="s">
        <v>334</v>
      </c>
      <c r="Q2260" s="55"/>
      <c r="R2260" s="31" t="e">
        <f t="shared" si="9"/>
        <v>#VALUE!</v>
      </c>
      <c r="S2260" s="66"/>
      <c r="T2260" s="32" t="e">
        <f t="shared" si="10"/>
        <v>#VALUE!</v>
      </c>
      <c r="U2260" s="57"/>
      <c r="V2260" s="58"/>
      <c r="W2260" s="58"/>
      <c r="X2260" s="30" t="e">
        <f t="shared" si="11"/>
        <v>#N/A</v>
      </c>
      <c r="Y2260" s="30" t="e">
        <f t="shared" si="12"/>
        <v>#N/A</v>
      </c>
      <c r="Z2260" s="35" t="e">
        <f t="shared" si="13"/>
        <v>#VALUE!</v>
      </c>
      <c r="AA2260" s="29" t="e">
        <f t="shared" si="14"/>
        <v>#VALUE!</v>
      </c>
      <c r="AB2260" s="36" t="e">
        <f t="shared" si="15"/>
        <v>#VALUE!</v>
      </c>
      <c r="AC2260" s="37" t="b">
        <v>0</v>
      </c>
      <c r="AD2260" s="61" t="str">
        <f t="shared" si="16"/>
        <v>USD</v>
      </c>
      <c r="AE2260" s="37"/>
      <c r="AF2260" s="37" t="e">
        <f t="array" ref="AF2260">INDEX('Deal Info'!D:D, MATCH(A2260,'Deal Info'!A:A, 0))</f>
        <v>#N/A</v>
      </c>
      <c r="AG2260" s="38" t="e">
        <f t="array" ref="AG2260">INDEX('Deal Info'!G:G, MATCH(A2260,'Deal Info'!A:A, 0))</f>
        <v>#N/A</v>
      </c>
    </row>
    <row r="2261" spans="1:33" ht="14.25" hidden="1" x14ac:dyDescent="0.2">
      <c r="A2261" s="18" t="b">
        <f t="array" ref="A2261">IF(G2261='Room Info'!$B$1, INDEX('Room Info'!$A$2:$A2446, MATCH(B2261,'Room Info'!$B$2:$B2446, 0)),IF(G2261='Room Info'!$C$1, INDEX('Room Info'!$A$2:$A2446, MATCH(B2261,'Room Info'!$C$2:$C2446, 0)),IF(G2261='Room Info'!$D$1, INDEX('Room Info'!$A$2:$A2446, MATCH(B2261,'Room Info'!$D$2:$D2446, 0)),IF(G2261='Room Info'!$E$1, INDEX('Room Info'!$A$2:$A2446, MATCH(B2261,'Room Info'!$E$2:$E2446, 0)),IF(G2261='Room Info'!$F$1, INDEX('Room Info'!$A$2:$A2446, MATCH(B2261,'Room Info'!$F$2:$F2446, 0)),IF(G2261='Room Info'!$H$1, INDEX('Room Info'!$A$2:$A2446, MATCH(B2261,'Room Info'!$H$2:$H2446, 0)),IF(G2261='Room Info'!$G$1, INDEX('Room Info'!$A$2:$A2446, MATCH(B2261,'Room Info'!$G$2:$G2446, 0)))))))))</f>
        <v>0</v>
      </c>
      <c r="B2261" s="96"/>
      <c r="C2261" s="136"/>
      <c r="D2261" s="136"/>
      <c r="E2261" s="137"/>
      <c r="F2261" s="133"/>
      <c r="G2261" s="96"/>
      <c r="H2261" s="100"/>
      <c r="I2261" s="100"/>
      <c r="J2261" s="39" t="s">
        <v>334</v>
      </c>
      <c r="K2261" s="134"/>
      <c r="L2261" s="135"/>
      <c r="M2261" s="79"/>
      <c r="N2261" s="28" t="e">
        <f t="shared" si="8"/>
        <v>#VALUE!</v>
      </c>
      <c r="O2261" s="96"/>
      <c r="P2261" s="29" t="s">
        <v>334</v>
      </c>
      <c r="Q2261" s="55"/>
      <c r="R2261" s="31" t="e">
        <f t="shared" si="9"/>
        <v>#VALUE!</v>
      </c>
      <c r="S2261" s="97"/>
      <c r="T2261" s="32" t="e">
        <f t="shared" si="10"/>
        <v>#VALUE!</v>
      </c>
      <c r="U2261" s="57"/>
      <c r="V2261" s="58"/>
      <c r="W2261" s="58"/>
      <c r="X2261" s="30" t="e">
        <f t="shared" si="11"/>
        <v>#N/A</v>
      </c>
      <c r="Y2261" s="30" t="e">
        <f t="shared" si="12"/>
        <v>#N/A</v>
      </c>
      <c r="Z2261" s="35" t="e">
        <f t="shared" si="13"/>
        <v>#VALUE!</v>
      </c>
      <c r="AA2261" s="29" t="e">
        <f t="shared" si="14"/>
        <v>#VALUE!</v>
      </c>
      <c r="AB2261" s="36" t="e">
        <f t="shared" si="15"/>
        <v>#VALUE!</v>
      </c>
      <c r="AC2261" s="37" t="b">
        <v>0</v>
      </c>
      <c r="AD2261" s="61" t="str">
        <f t="shared" si="16"/>
        <v>USD</v>
      </c>
      <c r="AE2261" s="37"/>
      <c r="AF2261" s="37" t="e">
        <f t="array" ref="AF2261">INDEX('Deal Info'!D:D, MATCH(A2261,'Deal Info'!A:A, 0))</f>
        <v>#N/A</v>
      </c>
      <c r="AG2261" s="38" t="e">
        <f t="array" ref="AG2261">INDEX('Deal Info'!G:G, MATCH(A2261,'Deal Info'!A:A, 0))</f>
        <v>#N/A</v>
      </c>
    </row>
    <row r="2262" spans="1:33" ht="14.25" hidden="1" x14ac:dyDescent="0.2">
      <c r="A2262" s="18" t="b">
        <f t="array" ref="A2262">IF(G2262='Room Info'!$B$1, INDEX('Room Info'!$A$2:$A2446, MATCH(B2262,'Room Info'!$B$2:$B2446, 0)),IF(G2262='Room Info'!$C$1, INDEX('Room Info'!$A$2:$A2446, MATCH(B2262,'Room Info'!$C$2:$C2446, 0)),IF(G2262='Room Info'!$D$1, INDEX('Room Info'!$A$2:$A2446, MATCH(B2262,'Room Info'!$D$2:$D2446, 0)),IF(G2262='Room Info'!$E$1, INDEX('Room Info'!$A$2:$A2446, MATCH(B2262,'Room Info'!$E$2:$E2446, 0)),IF(G2262='Room Info'!$F$1, INDEX('Room Info'!$A$2:$A2446, MATCH(B2262,'Room Info'!$F$2:$F2446, 0)),IF(G2262='Room Info'!$H$1, INDEX('Room Info'!$A$2:$A2446, MATCH(B2262,'Room Info'!$H$2:$H2446, 0)),IF(G2262='Room Info'!$G$1, INDEX('Room Info'!$A$2:$A2446, MATCH(B2262,'Room Info'!$G$2:$G2446, 0)))))))))</f>
        <v>0</v>
      </c>
      <c r="B2262" s="96"/>
      <c r="C2262" s="136"/>
      <c r="D2262" s="136"/>
      <c r="E2262" s="137"/>
      <c r="F2262" s="133"/>
      <c r="G2262" s="96"/>
      <c r="H2262" s="100"/>
      <c r="I2262" s="100"/>
      <c r="J2262" s="39" t="s">
        <v>334</v>
      </c>
      <c r="K2262" s="134"/>
      <c r="L2262" s="135"/>
      <c r="M2262" s="79"/>
      <c r="N2262" s="28" t="e">
        <f t="shared" si="8"/>
        <v>#VALUE!</v>
      </c>
      <c r="O2262" s="96"/>
      <c r="P2262" s="29" t="s">
        <v>334</v>
      </c>
      <c r="Q2262" s="55"/>
      <c r="R2262" s="31" t="e">
        <f t="shared" si="9"/>
        <v>#VALUE!</v>
      </c>
      <c r="S2262" s="97"/>
      <c r="T2262" s="32" t="e">
        <f t="shared" si="10"/>
        <v>#VALUE!</v>
      </c>
      <c r="U2262" s="57"/>
      <c r="V2262" s="58"/>
      <c r="W2262" s="58"/>
      <c r="X2262" s="30" t="e">
        <f t="shared" si="11"/>
        <v>#N/A</v>
      </c>
      <c r="Y2262" s="30" t="e">
        <f t="shared" si="12"/>
        <v>#N/A</v>
      </c>
      <c r="Z2262" s="35" t="e">
        <f t="shared" si="13"/>
        <v>#VALUE!</v>
      </c>
      <c r="AA2262" s="29" t="e">
        <f t="shared" si="14"/>
        <v>#VALUE!</v>
      </c>
      <c r="AB2262" s="36" t="e">
        <f t="shared" si="15"/>
        <v>#VALUE!</v>
      </c>
      <c r="AC2262" s="37" t="b">
        <v>0</v>
      </c>
      <c r="AD2262" s="61" t="str">
        <f t="shared" si="16"/>
        <v>USD</v>
      </c>
      <c r="AE2262" s="37"/>
      <c r="AF2262" s="37" t="e">
        <f t="array" ref="AF2262">INDEX('Deal Info'!D:D, MATCH(A2262,'Deal Info'!A:A, 0))</f>
        <v>#N/A</v>
      </c>
      <c r="AG2262" s="38" t="e">
        <f t="array" ref="AG2262">INDEX('Deal Info'!G:G, MATCH(A2262,'Deal Info'!A:A, 0))</f>
        <v>#N/A</v>
      </c>
    </row>
    <row r="2263" spans="1:33" ht="14.25" hidden="1" x14ac:dyDescent="0.2">
      <c r="A2263" s="18" t="b">
        <f t="array" ref="A2263">IF(G2263='Room Info'!$B$1, INDEX('Room Info'!$A$2:$A2446, MATCH(B2263,'Room Info'!$B$2:$B2446, 0)),IF(G2263='Room Info'!$C$1, INDEX('Room Info'!$A$2:$A2446, MATCH(B2263,'Room Info'!$C$2:$C2446, 0)),IF(G2263='Room Info'!$D$1, INDEX('Room Info'!$A$2:$A2446, MATCH(B2263,'Room Info'!$D$2:$D2446, 0)),IF(G2263='Room Info'!$E$1, INDEX('Room Info'!$A$2:$A2446, MATCH(B2263,'Room Info'!$E$2:$E2446, 0)),IF(G2263='Room Info'!$F$1, INDEX('Room Info'!$A$2:$A2446, MATCH(B2263,'Room Info'!$F$2:$F2446, 0)),IF(G2263='Room Info'!$H$1, INDEX('Room Info'!$A$2:$A2446, MATCH(B2263,'Room Info'!$H$2:$H2446, 0)),IF(G2263='Room Info'!$G$1, INDEX('Room Info'!$A$2:$A2446, MATCH(B2263,'Room Info'!$G$2:$G2446, 0)))))))))</f>
        <v>0</v>
      </c>
      <c r="B2263" s="96"/>
      <c r="C2263" s="136"/>
      <c r="D2263" s="136"/>
      <c r="E2263" s="137"/>
      <c r="F2263" s="133"/>
      <c r="G2263" s="96"/>
      <c r="H2263" s="100"/>
      <c r="I2263" s="100"/>
      <c r="J2263" s="39" t="s">
        <v>334</v>
      </c>
      <c r="K2263" s="134"/>
      <c r="L2263" s="135"/>
      <c r="M2263" s="79"/>
      <c r="N2263" s="28" t="e">
        <f t="shared" si="8"/>
        <v>#VALUE!</v>
      </c>
      <c r="O2263" s="96"/>
      <c r="P2263" s="29" t="s">
        <v>334</v>
      </c>
      <c r="Q2263" s="55"/>
      <c r="R2263" s="31" t="e">
        <f t="shared" si="9"/>
        <v>#VALUE!</v>
      </c>
      <c r="S2263" s="97"/>
      <c r="T2263" s="32" t="e">
        <f t="shared" si="10"/>
        <v>#VALUE!</v>
      </c>
      <c r="U2263" s="57"/>
      <c r="V2263" s="58"/>
      <c r="W2263" s="58"/>
      <c r="X2263" s="30" t="e">
        <f t="shared" si="11"/>
        <v>#N/A</v>
      </c>
      <c r="Y2263" s="30" t="e">
        <f t="shared" si="12"/>
        <v>#N/A</v>
      </c>
      <c r="Z2263" s="35" t="e">
        <f t="shared" si="13"/>
        <v>#VALUE!</v>
      </c>
      <c r="AA2263" s="29" t="e">
        <f t="shared" si="14"/>
        <v>#VALUE!</v>
      </c>
      <c r="AB2263" s="36" t="e">
        <f t="shared" si="15"/>
        <v>#VALUE!</v>
      </c>
      <c r="AC2263" s="37" t="b">
        <v>0</v>
      </c>
      <c r="AD2263" s="61" t="str">
        <f t="shared" si="16"/>
        <v>USD</v>
      </c>
      <c r="AE2263" s="37"/>
      <c r="AF2263" s="37" t="e">
        <f t="array" ref="AF2263">INDEX('Deal Info'!D:D, MATCH(A2263,'Deal Info'!A:A, 0))</f>
        <v>#N/A</v>
      </c>
      <c r="AG2263" s="38" t="e">
        <f t="array" ref="AG2263">INDEX('Deal Info'!G:G, MATCH(A2263,'Deal Info'!A:A, 0))</f>
        <v>#N/A</v>
      </c>
    </row>
    <row r="2264" spans="1:33" ht="14.25" hidden="1" x14ac:dyDescent="0.2">
      <c r="A2264" s="18" t="b">
        <f t="array" ref="A2264">IF(G2264='Room Info'!$B$1, INDEX('Room Info'!$A$2:$A2446, MATCH(B2264,'Room Info'!$B$2:$B2446, 0)),IF(G2264='Room Info'!$C$1, INDEX('Room Info'!$A$2:$A2446, MATCH(B2264,'Room Info'!$C$2:$C2446, 0)),IF(G2264='Room Info'!$D$1, INDEX('Room Info'!$A$2:$A2446, MATCH(B2264,'Room Info'!$D$2:$D2446, 0)),IF(G2264='Room Info'!$E$1, INDEX('Room Info'!$A$2:$A2446, MATCH(B2264,'Room Info'!$E$2:$E2446, 0)),IF(G2264='Room Info'!$F$1, INDEX('Room Info'!$A$2:$A2446, MATCH(B2264,'Room Info'!$F$2:$F2446, 0)),IF(G2264='Room Info'!$H$1, INDEX('Room Info'!$A$2:$A2446, MATCH(B2264,'Room Info'!$H$2:$H2446, 0)),IF(G2264='Room Info'!$G$1, INDEX('Room Info'!$A$2:$A2446, MATCH(B2264,'Room Info'!$G$2:$G2446, 0)))))))))</f>
        <v>0</v>
      </c>
      <c r="B2264" s="96"/>
      <c r="C2264" s="136"/>
      <c r="D2264" s="136"/>
      <c r="E2264" s="137"/>
      <c r="F2264" s="133"/>
      <c r="G2264" s="96"/>
      <c r="H2264" s="100"/>
      <c r="I2264" s="100"/>
      <c r="J2264" s="39" t="s">
        <v>334</v>
      </c>
      <c r="K2264" s="134"/>
      <c r="L2264" s="135"/>
      <c r="M2264" s="79"/>
      <c r="N2264" s="28" t="e">
        <f t="shared" si="8"/>
        <v>#VALUE!</v>
      </c>
      <c r="O2264" s="96"/>
      <c r="P2264" s="29" t="s">
        <v>334</v>
      </c>
      <c r="Q2264" s="55"/>
      <c r="R2264" s="31" t="e">
        <f t="shared" si="9"/>
        <v>#VALUE!</v>
      </c>
      <c r="S2264" s="97"/>
      <c r="T2264" s="32" t="e">
        <f t="shared" si="10"/>
        <v>#VALUE!</v>
      </c>
      <c r="U2264" s="57"/>
      <c r="V2264" s="58"/>
      <c r="W2264" s="58"/>
      <c r="X2264" s="30" t="e">
        <f t="shared" si="11"/>
        <v>#N/A</v>
      </c>
      <c r="Y2264" s="30" t="e">
        <f t="shared" si="12"/>
        <v>#N/A</v>
      </c>
      <c r="Z2264" s="35" t="e">
        <f t="shared" si="13"/>
        <v>#VALUE!</v>
      </c>
      <c r="AA2264" s="29" t="e">
        <f t="shared" si="14"/>
        <v>#VALUE!</v>
      </c>
      <c r="AB2264" s="36" t="e">
        <f t="shared" si="15"/>
        <v>#VALUE!</v>
      </c>
      <c r="AC2264" s="37" t="b">
        <v>0</v>
      </c>
      <c r="AD2264" s="61" t="str">
        <f t="shared" si="16"/>
        <v>USD</v>
      </c>
      <c r="AE2264" s="37"/>
      <c r="AF2264" s="37" t="e">
        <f t="array" ref="AF2264">INDEX('Deal Info'!D:D, MATCH(A2264,'Deal Info'!A:A, 0))</f>
        <v>#N/A</v>
      </c>
      <c r="AG2264" s="38" t="e">
        <f t="array" ref="AG2264">INDEX('Deal Info'!G:G, MATCH(A2264,'Deal Info'!A:A, 0))</f>
        <v>#N/A</v>
      </c>
    </row>
    <row r="2265" spans="1:33" ht="14.25" hidden="1" x14ac:dyDescent="0.2">
      <c r="A2265" s="18" t="b">
        <f t="array" ref="A2265">IF(G2265='Room Info'!$B$1, INDEX('Room Info'!$A$2:$A2446, MATCH(B2265,'Room Info'!$B$2:$B2446, 0)),IF(G2265='Room Info'!$C$1, INDEX('Room Info'!$A$2:$A2446, MATCH(B2265,'Room Info'!$C$2:$C2446, 0)),IF(G2265='Room Info'!$D$1, INDEX('Room Info'!$A$2:$A2446, MATCH(B2265,'Room Info'!$D$2:$D2446, 0)),IF(G2265='Room Info'!$E$1, INDEX('Room Info'!$A$2:$A2446, MATCH(B2265,'Room Info'!$E$2:$E2446, 0)),IF(G2265='Room Info'!$F$1, INDEX('Room Info'!$A$2:$A2446, MATCH(B2265,'Room Info'!$F$2:$F2446, 0)),IF(G2265='Room Info'!$H$1, INDEX('Room Info'!$A$2:$A2446, MATCH(B2265,'Room Info'!$H$2:$H2446, 0)),IF(G2265='Room Info'!$G$1, INDEX('Room Info'!$A$2:$A2446, MATCH(B2265,'Room Info'!$G$2:$G2446, 0)))))))))</f>
        <v>0</v>
      </c>
      <c r="B2265" s="96"/>
      <c r="C2265" s="136"/>
      <c r="D2265" s="136"/>
      <c r="E2265" s="137"/>
      <c r="F2265" s="133"/>
      <c r="G2265" s="96"/>
      <c r="H2265" s="100"/>
      <c r="I2265" s="100"/>
      <c r="J2265" s="39" t="s">
        <v>334</v>
      </c>
      <c r="K2265" s="134"/>
      <c r="L2265" s="135"/>
      <c r="M2265" s="79"/>
      <c r="N2265" s="28" t="e">
        <f t="shared" si="8"/>
        <v>#VALUE!</v>
      </c>
      <c r="O2265" s="96"/>
      <c r="P2265" s="29" t="s">
        <v>334</v>
      </c>
      <c r="Q2265" s="55"/>
      <c r="R2265" s="31" t="e">
        <f t="shared" si="9"/>
        <v>#VALUE!</v>
      </c>
      <c r="S2265" s="97"/>
      <c r="T2265" s="32" t="e">
        <f t="shared" si="10"/>
        <v>#VALUE!</v>
      </c>
      <c r="U2265" s="57"/>
      <c r="V2265" s="58"/>
      <c r="W2265" s="58"/>
      <c r="X2265" s="30" t="e">
        <f t="shared" si="11"/>
        <v>#N/A</v>
      </c>
      <c r="Y2265" s="30" t="e">
        <f t="shared" si="12"/>
        <v>#N/A</v>
      </c>
      <c r="Z2265" s="35" t="e">
        <f t="shared" si="13"/>
        <v>#VALUE!</v>
      </c>
      <c r="AA2265" s="29" t="e">
        <f t="shared" si="14"/>
        <v>#VALUE!</v>
      </c>
      <c r="AB2265" s="36" t="e">
        <f t="shared" si="15"/>
        <v>#VALUE!</v>
      </c>
      <c r="AC2265" s="37" t="b">
        <v>0</v>
      </c>
      <c r="AD2265" s="61" t="str">
        <f t="shared" si="16"/>
        <v>USD</v>
      </c>
      <c r="AE2265" s="37"/>
      <c r="AF2265" s="37" t="e">
        <f t="array" ref="AF2265">INDEX('Deal Info'!D:D, MATCH(A2265,'Deal Info'!A:A, 0))</f>
        <v>#N/A</v>
      </c>
      <c r="AG2265" s="38" t="e">
        <f t="array" ref="AG2265">INDEX('Deal Info'!G:G, MATCH(A2265,'Deal Info'!A:A, 0))</f>
        <v>#N/A</v>
      </c>
    </row>
    <row r="2266" spans="1:33" ht="14.25" hidden="1" x14ac:dyDescent="0.2">
      <c r="A2266" s="18" t="b">
        <f t="array" ref="A2266">IF(G2266='Room Info'!$B$1, INDEX('Room Info'!$A$2:$A2446, MATCH(B2266,'Room Info'!$B$2:$B2446, 0)),IF(G2266='Room Info'!$C$1, INDEX('Room Info'!$A$2:$A2446, MATCH(B2266,'Room Info'!$C$2:$C2446, 0)),IF(G2266='Room Info'!$D$1, INDEX('Room Info'!$A$2:$A2446, MATCH(B2266,'Room Info'!$D$2:$D2446, 0)),IF(G2266='Room Info'!$E$1, INDEX('Room Info'!$A$2:$A2446, MATCH(B2266,'Room Info'!$E$2:$E2446, 0)),IF(G2266='Room Info'!$F$1, INDEX('Room Info'!$A$2:$A2446, MATCH(B2266,'Room Info'!$F$2:$F2446, 0)),IF(G2266='Room Info'!$H$1, INDEX('Room Info'!$A$2:$A2446, MATCH(B2266,'Room Info'!$H$2:$H2446, 0)),IF(G2266='Room Info'!$G$1, INDEX('Room Info'!$A$2:$A2446, MATCH(B2266,'Room Info'!$G$2:$G2446, 0)))))))))</f>
        <v>0</v>
      </c>
      <c r="B2266" s="96"/>
      <c r="C2266" s="136"/>
      <c r="D2266" s="136"/>
      <c r="E2266" s="137"/>
      <c r="F2266" s="133"/>
      <c r="G2266" s="96"/>
      <c r="H2266" s="100"/>
      <c r="I2266" s="100"/>
      <c r="J2266" s="39" t="s">
        <v>334</v>
      </c>
      <c r="K2266" s="134"/>
      <c r="L2266" s="135"/>
      <c r="M2266" s="79"/>
      <c r="N2266" s="28" t="e">
        <f t="shared" si="8"/>
        <v>#VALUE!</v>
      </c>
      <c r="O2266" s="96"/>
      <c r="P2266" s="29" t="s">
        <v>334</v>
      </c>
      <c r="Q2266" s="55"/>
      <c r="R2266" s="31" t="e">
        <f t="shared" si="9"/>
        <v>#VALUE!</v>
      </c>
      <c r="S2266" s="97"/>
      <c r="T2266" s="32" t="e">
        <f t="shared" si="10"/>
        <v>#VALUE!</v>
      </c>
      <c r="U2266" s="57"/>
      <c r="V2266" s="58"/>
      <c r="W2266" s="58"/>
      <c r="X2266" s="30" t="e">
        <f t="shared" si="11"/>
        <v>#N/A</v>
      </c>
      <c r="Y2266" s="30" t="e">
        <f t="shared" si="12"/>
        <v>#N/A</v>
      </c>
      <c r="Z2266" s="35" t="e">
        <f t="shared" si="13"/>
        <v>#VALUE!</v>
      </c>
      <c r="AA2266" s="29" t="e">
        <f t="shared" si="14"/>
        <v>#VALUE!</v>
      </c>
      <c r="AB2266" s="36" t="e">
        <f t="shared" si="15"/>
        <v>#VALUE!</v>
      </c>
      <c r="AC2266" s="37" t="b">
        <v>0</v>
      </c>
      <c r="AD2266" s="61" t="str">
        <f t="shared" si="16"/>
        <v>USD</v>
      </c>
      <c r="AE2266" s="37"/>
      <c r="AF2266" s="37" t="e">
        <f t="array" ref="AF2266">INDEX('Deal Info'!D:D, MATCH(A2266,'Deal Info'!A:A, 0))</f>
        <v>#N/A</v>
      </c>
      <c r="AG2266" s="38" t="e">
        <f t="array" ref="AG2266">INDEX('Deal Info'!G:G, MATCH(A2266,'Deal Info'!A:A, 0))</f>
        <v>#N/A</v>
      </c>
    </row>
    <row r="2267" spans="1:33" ht="14.25" hidden="1" x14ac:dyDescent="0.2">
      <c r="A2267" s="18" t="b">
        <f t="array" ref="A2267">IF(G2267='Room Info'!$B$1, INDEX('Room Info'!$A$2:$A2446, MATCH(B2267,'Room Info'!$B$2:$B2446, 0)),IF(G2267='Room Info'!$C$1, INDEX('Room Info'!$A$2:$A2446, MATCH(B2267,'Room Info'!$C$2:$C2446, 0)),IF(G2267='Room Info'!$D$1, INDEX('Room Info'!$A$2:$A2446, MATCH(B2267,'Room Info'!$D$2:$D2446, 0)),IF(G2267='Room Info'!$E$1, INDEX('Room Info'!$A$2:$A2446, MATCH(B2267,'Room Info'!$E$2:$E2446, 0)),IF(G2267='Room Info'!$F$1, INDEX('Room Info'!$A$2:$A2446, MATCH(B2267,'Room Info'!$F$2:$F2446, 0)),IF(G2267='Room Info'!$H$1, INDEX('Room Info'!$A$2:$A2446, MATCH(B2267,'Room Info'!$H$2:$H2446, 0)),IF(G2267='Room Info'!$G$1, INDEX('Room Info'!$A$2:$A2446, MATCH(B2267,'Room Info'!$G$2:$G2446, 0)))))))))</f>
        <v>0</v>
      </c>
      <c r="B2267" s="96"/>
      <c r="C2267" s="136"/>
      <c r="D2267" s="136"/>
      <c r="E2267" s="137"/>
      <c r="F2267" s="133"/>
      <c r="G2267" s="96"/>
      <c r="H2267" s="100"/>
      <c r="I2267" s="100"/>
      <c r="J2267" s="39" t="s">
        <v>334</v>
      </c>
      <c r="K2267" s="134"/>
      <c r="L2267" s="135"/>
      <c r="M2267" s="79"/>
      <c r="N2267" s="28" t="e">
        <f t="shared" si="8"/>
        <v>#VALUE!</v>
      </c>
      <c r="O2267" s="96"/>
      <c r="P2267" s="29" t="s">
        <v>334</v>
      </c>
      <c r="Q2267" s="55"/>
      <c r="R2267" s="31" t="e">
        <f t="shared" si="9"/>
        <v>#VALUE!</v>
      </c>
      <c r="S2267" s="97"/>
      <c r="T2267" s="32" t="e">
        <f t="shared" si="10"/>
        <v>#VALUE!</v>
      </c>
      <c r="U2267" s="57"/>
      <c r="V2267" s="58"/>
      <c r="W2267" s="58"/>
      <c r="X2267" s="30" t="e">
        <f t="shared" si="11"/>
        <v>#N/A</v>
      </c>
      <c r="Y2267" s="30" t="e">
        <f t="shared" si="12"/>
        <v>#N/A</v>
      </c>
      <c r="Z2267" s="35" t="e">
        <f t="shared" si="13"/>
        <v>#VALUE!</v>
      </c>
      <c r="AA2267" s="29" t="e">
        <f t="shared" si="14"/>
        <v>#VALUE!</v>
      </c>
      <c r="AB2267" s="36" t="e">
        <f t="shared" si="15"/>
        <v>#VALUE!</v>
      </c>
      <c r="AC2267" s="37" t="b">
        <v>0</v>
      </c>
      <c r="AD2267" s="61" t="str">
        <f t="shared" si="16"/>
        <v>USD</v>
      </c>
      <c r="AE2267" s="37"/>
      <c r="AF2267" s="37" t="e">
        <f t="array" ref="AF2267">INDEX('Deal Info'!D:D, MATCH(A2267,'Deal Info'!A:A, 0))</f>
        <v>#N/A</v>
      </c>
      <c r="AG2267" s="38" t="e">
        <f t="array" ref="AG2267">INDEX('Deal Info'!G:G, MATCH(A2267,'Deal Info'!A:A, 0))</f>
        <v>#N/A</v>
      </c>
    </row>
    <row r="2268" spans="1:33" ht="14.25" hidden="1" x14ac:dyDescent="0.2">
      <c r="A2268" s="18" t="b">
        <f t="array" ref="A2268">IF(G2268='Room Info'!$B$1, INDEX('Room Info'!$A$2:$A2446, MATCH(B2268,'Room Info'!$B$2:$B2446, 0)),IF(G2268='Room Info'!$C$1, INDEX('Room Info'!$A$2:$A2446, MATCH(B2268,'Room Info'!$C$2:$C2446, 0)),IF(G2268='Room Info'!$D$1, INDEX('Room Info'!$A$2:$A2446, MATCH(B2268,'Room Info'!$D$2:$D2446, 0)),IF(G2268='Room Info'!$E$1, INDEX('Room Info'!$A$2:$A2446, MATCH(B2268,'Room Info'!$E$2:$E2446, 0)),IF(G2268='Room Info'!$F$1, INDEX('Room Info'!$A$2:$A2446, MATCH(B2268,'Room Info'!$F$2:$F2446, 0)),IF(G2268='Room Info'!$H$1, INDEX('Room Info'!$A$2:$A2446, MATCH(B2268,'Room Info'!$H$2:$H2446, 0)),IF(G2268='Room Info'!$G$1, INDEX('Room Info'!$A$2:$A2446, MATCH(B2268,'Room Info'!$G$2:$G2446, 0)))))))))</f>
        <v>0</v>
      </c>
      <c r="B2268" s="96"/>
      <c r="C2268" s="136"/>
      <c r="D2268" s="136"/>
      <c r="E2268" s="137"/>
      <c r="F2268" s="133"/>
      <c r="G2268" s="96"/>
      <c r="H2268" s="100"/>
      <c r="I2268" s="100"/>
      <c r="J2268" s="39" t="s">
        <v>334</v>
      </c>
      <c r="K2268" s="134"/>
      <c r="L2268" s="135"/>
      <c r="M2268" s="79"/>
      <c r="N2268" s="28" t="e">
        <f t="shared" si="8"/>
        <v>#VALUE!</v>
      </c>
      <c r="O2268" s="96"/>
      <c r="P2268" s="29" t="s">
        <v>334</v>
      </c>
      <c r="Q2268" s="55"/>
      <c r="R2268" s="31" t="e">
        <f t="shared" si="9"/>
        <v>#VALUE!</v>
      </c>
      <c r="S2268" s="97"/>
      <c r="T2268" s="32" t="e">
        <f t="shared" si="10"/>
        <v>#VALUE!</v>
      </c>
      <c r="U2268" s="57"/>
      <c r="V2268" s="58"/>
      <c r="W2268" s="58"/>
      <c r="X2268" s="30" t="e">
        <f t="shared" si="11"/>
        <v>#N/A</v>
      </c>
      <c r="Y2268" s="30" t="e">
        <f t="shared" si="12"/>
        <v>#N/A</v>
      </c>
      <c r="Z2268" s="35" t="e">
        <f t="shared" si="13"/>
        <v>#VALUE!</v>
      </c>
      <c r="AA2268" s="29" t="e">
        <f t="shared" si="14"/>
        <v>#VALUE!</v>
      </c>
      <c r="AB2268" s="36" t="e">
        <f t="shared" si="15"/>
        <v>#VALUE!</v>
      </c>
      <c r="AC2268" s="37" t="b">
        <v>0</v>
      </c>
      <c r="AD2268" s="61" t="str">
        <f t="shared" si="16"/>
        <v>USD</v>
      </c>
      <c r="AE2268" s="37"/>
      <c r="AF2268" s="37" t="e">
        <f t="array" ref="AF2268">INDEX('Deal Info'!D:D, MATCH(A2268,'Deal Info'!A:A, 0))</f>
        <v>#N/A</v>
      </c>
      <c r="AG2268" s="38" t="e">
        <f t="array" ref="AG2268">INDEX('Deal Info'!G:G, MATCH(A2268,'Deal Info'!A:A, 0))</f>
        <v>#N/A</v>
      </c>
    </row>
    <row r="2269" spans="1:33" ht="14.25" hidden="1" x14ac:dyDescent="0.2">
      <c r="A2269" s="18" t="b">
        <f t="array" ref="A2269">IF(G2269='Room Info'!$B$1, INDEX('Room Info'!$A$2:$A2446, MATCH(B2269,'Room Info'!$B$2:$B2446, 0)),IF(G2269='Room Info'!$C$1, INDEX('Room Info'!$A$2:$A2446, MATCH(B2269,'Room Info'!$C$2:$C2446, 0)),IF(G2269='Room Info'!$D$1, INDEX('Room Info'!$A$2:$A2446, MATCH(B2269,'Room Info'!$D$2:$D2446, 0)),IF(G2269='Room Info'!$E$1, INDEX('Room Info'!$A$2:$A2446, MATCH(B2269,'Room Info'!$E$2:$E2446, 0)),IF(G2269='Room Info'!$F$1, INDEX('Room Info'!$A$2:$A2446, MATCH(B2269,'Room Info'!$F$2:$F2446, 0)),IF(G2269='Room Info'!$H$1, INDEX('Room Info'!$A$2:$A2446, MATCH(B2269,'Room Info'!$H$2:$H2446, 0)),IF(G2269='Room Info'!$G$1, INDEX('Room Info'!$A$2:$A2446, MATCH(B2269,'Room Info'!$G$2:$G2446, 0)))))))))</f>
        <v>0</v>
      </c>
      <c r="B2269" s="96"/>
      <c r="C2269" s="136"/>
      <c r="D2269" s="136"/>
      <c r="E2269" s="137"/>
      <c r="F2269" s="133"/>
      <c r="G2269" s="96"/>
      <c r="H2269" s="100"/>
      <c r="I2269" s="100"/>
      <c r="J2269" s="39" t="s">
        <v>334</v>
      </c>
      <c r="K2269" s="134"/>
      <c r="L2269" s="135"/>
      <c r="M2269" s="79"/>
      <c r="N2269" s="28" t="e">
        <f t="shared" si="8"/>
        <v>#VALUE!</v>
      </c>
      <c r="O2269" s="96"/>
      <c r="P2269" s="29" t="s">
        <v>334</v>
      </c>
      <c r="Q2269" s="55"/>
      <c r="R2269" s="31" t="e">
        <f t="shared" si="9"/>
        <v>#VALUE!</v>
      </c>
      <c r="S2269" s="97"/>
      <c r="T2269" s="32" t="e">
        <f t="shared" si="10"/>
        <v>#VALUE!</v>
      </c>
      <c r="U2269" s="57"/>
      <c r="V2269" s="58"/>
      <c r="W2269" s="58"/>
      <c r="X2269" s="30" t="e">
        <f t="shared" si="11"/>
        <v>#N/A</v>
      </c>
      <c r="Y2269" s="30" t="e">
        <f t="shared" si="12"/>
        <v>#N/A</v>
      </c>
      <c r="Z2269" s="35" t="e">
        <f t="shared" si="13"/>
        <v>#VALUE!</v>
      </c>
      <c r="AA2269" s="29" t="e">
        <f t="shared" si="14"/>
        <v>#VALUE!</v>
      </c>
      <c r="AB2269" s="36" t="e">
        <f t="shared" si="15"/>
        <v>#VALUE!</v>
      </c>
      <c r="AC2269" s="37" t="b">
        <v>0</v>
      </c>
      <c r="AD2269" s="61" t="str">
        <f t="shared" si="16"/>
        <v>USD</v>
      </c>
      <c r="AE2269" s="37"/>
      <c r="AF2269" s="37" t="e">
        <f t="array" ref="AF2269">INDEX('Deal Info'!D:D, MATCH(A2269,'Deal Info'!A:A, 0))</f>
        <v>#N/A</v>
      </c>
      <c r="AG2269" s="38" t="e">
        <f t="array" ref="AG2269">INDEX('Deal Info'!G:G, MATCH(A2269,'Deal Info'!A:A, 0))</f>
        <v>#N/A</v>
      </c>
    </row>
    <row r="2270" spans="1:33" ht="14.25" hidden="1" x14ac:dyDescent="0.2">
      <c r="A2270" s="18" t="b">
        <f t="array" ref="A2270">IF(G2270='Room Info'!$B$1, INDEX('Room Info'!$A$2:$A2446, MATCH(B2270,'Room Info'!$B$2:$B2446, 0)),IF(G2270='Room Info'!$C$1, INDEX('Room Info'!$A$2:$A2446, MATCH(B2270,'Room Info'!$C$2:$C2446, 0)),IF(G2270='Room Info'!$D$1, INDEX('Room Info'!$A$2:$A2446, MATCH(B2270,'Room Info'!$D$2:$D2446, 0)),IF(G2270='Room Info'!$E$1, INDEX('Room Info'!$A$2:$A2446, MATCH(B2270,'Room Info'!$E$2:$E2446, 0)),IF(G2270='Room Info'!$F$1, INDEX('Room Info'!$A$2:$A2446, MATCH(B2270,'Room Info'!$F$2:$F2446, 0)),IF(G2270='Room Info'!$H$1, INDEX('Room Info'!$A$2:$A2446, MATCH(B2270,'Room Info'!$H$2:$H2446, 0)),IF(G2270='Room Info'!$G$1, INDEX('Room Info'!$A$2:$A2446, MATCH(B2270,'Room Info'!$G$2:$G2446, 0)))))))))</f>
        <v>0</v>
      </c>
      <c r="B2270" s="96"/>
      <c r="C2270" s="136"/>
      <c r="D2270" s="136"/>
      <c r="E2270" s="137"/>
      <c r="F2270" s="133"/>
      <c r="G2270" s="96"/>
      <c r="H2270" s="100"/>
      <c r="I2270" s="100"/>
      <c r="J2270" s="39" t="s">
        <v>334</v>
      </c>
      <c r="K2270" s="134"/>
      <c r="L2270" s="135"/>
      <c r="M2270" s="79"/>
      <c r="N2270" s="28" t="e">
        <f t="shared" si="8"/>
        <v>#VALUE!</v>
      </c>
      <c r="O2270" s="96"/>
      <c r="P2270" s="29" t="s">
        <v>334</v>
      </c>
      <c r="Q2270" s="55"/>
      <c r="R2270" s="31" t="e">
        <f t="shared" si="9"/>
        <v>#VALUE!</v>
      </c>
      <c r="S2270" s="97"/>
      <c r="T2270" s="32" t="e">
        <f t="shared" si="10"/>
        <v>#VALUE!</v>
      </c>
      <c r="U2270" s="57"/>
      <c r="V2270" s="58"/>
      <c r="W2270" s="58"/>
      <c r="X2270" s="30" t="e">
        <f t="shared" si="11"/>
        <v>#N/A</v>
      </c>
      <c r="Y2270" s="30" t="e">
        <f t="shared" si="12"/>
        <v>#N/A</v>
      </c>
      <c r="Z2270" s="35" t="e">
        <f t="shared" si="13"/>
        <v>#VALUE!</v>
      </c>
      <c r="AA2270" s="29" t="e">
        <f t="shared" si="14"/>
        <v>#VALUE!</v>
      </c>
      <c r="AB2270" s="36" t="e">
        <f t="shared" si="15"/>
        <v>#VALUE!</v>
      </c>
      <c r="AC2270" s="37" t="b">
        <v>0</v>
      </c>
      <c r="AD2270" s="61" t="str">
        <f t="shared" si="16"/>
        <v>USD</v>
      </c>
      <c r="AE2270" s="37"/>
      <c r="AF2270" s="37" t="e">
        <f t="array" ref="AF2270">INDEX('Deal Info'!D:D, MATCH(A2270,'Deal Info'!A:A, 0))</f>
        <v>#N/A</v>
      </c>
      <c r="AG2270" s="38" t="e">
        <f t="array" ref="AG2270">INDEX('Deal Info'!G:G, MATCH(A2270,'Deal Info'!A:A, 0))</f>
        <v>#N/A</v>
      </c>
    </row>
    <row r="2271" spans="1:33" ht="14.25" hidden="1" x14ac:dyDescent="0.2">
      <c r="A2271" s="18" t="b">
        <f t="array" ref="A2271">IF(G2271='Room Info'!$B$1, INDEX('Room Info'!$A$2:$A2446, MATCH(B2271,'Room Info'!$B$2:$B2446, 0)),IF(G2271='Room Info'!$C$1, INDEX('Room Info'!$A$2:$A2446, MATCH(B2271,'Room Info'!$C$2:$C2446, 0)),IF(G2271='Room Info'!$D$1, INDEX('Room Info'!$A$2:$A2446, MATCH(B2271,'Room Info'!$D$2:$D2446, 0)),IF(G2271='Room Info'!$E$1, INDEX('Room Info'!$A$2:$A2446, MATCH(B2271,'Room Info'!$E$2:$E2446, 0)),IF(G2271='Room Info'!$F$1, INDEX('Room Info'!$A$2:$A2446, MATCH(B2271,'Room Info'!$F$2:$F2446, 0)),IF(G2271='Room Info'!$H$1, INDEX('Room Info'!$A$2:$A2446, MATCH(B2271,'Room Info'!$H$2:$H2446, 0)),IF(G2271='Room Info'!$G$1, INDEX('Room Info'!$A$2:$A2446, MATCH(B2271,'Room Info'!$G$2:$G2446, 0)))))))))</f>
        <v>0</v>
      </c>
      <c r="B2271" s="96"/>
      <c r="C2271" s="136"/>
      <c r="D2271" s="136"/>
      <c r="E2271" s="137"/>
      <c r="F2271" s="133"/>
      <c r="G2271" s="96"/>
      <c r="H2271" s="100"/>
      <c r="I2271" s="100"/>
      <c r="J2271" s="39" t="s">
        <v>334</v>
      </c>
      <c r="K2271" s="134"/>
      <c r="L2271" s="135"/>
      <c r="M2271" s="79"/>
      <c r="N2271" s="28" t="e">
        <f t="shared" si="8"/>
        <v>#VALUE!</v>
      </c>
      <c r="O2271" s="96"/>
      <c r="P2271" s="29" t="s">
        <v>334</v>
      </c>
      <c r="Q2271" s="55"/>
      <c r="R2271" s="31" t="e">
        <f t="shared" si="9"/>
        <v>#VALUE!</v>
      </c>
      <c r="S2271" s="97"/>
      <c r="T2271" s="32" t="e">
        <f t="shared" si="10"/>
        <v>#VALUE!</v>
      </c>
      <c r="U2271" s="57"/>
      <c r="V2271" s="58"/>
      <c r="W2271" s="58"/>
      <c r="X2271" s="30" t="e">
        <f t="shared" si="11"/>
        <v>#N/A</v>
      </c>
      <c r="Y2271" s="30" t="e">
        <f t="shared" si="12"/>
        <v>#N/A</v>
      </c>
      <c r="Z2271" s="35" t="e">
        <f t="shared" si="13"/>
        <v>#VALUE!</v>
      </c>
      <c r="AA2271" s="29" t="e">
        <f t="shared" si="14"/>
        <v>#VALUE!</v>
      </c>
      <c r="AB2271" s="36" t="e">
        <f t="shared" si="15"/>
        <v>#VALUE!</v>
      </c>
      <c r="AC2271" s="37" t="b">
        <v>0</v>
      </c>
      <c r="AD2271" s="61" t="str">
        <f t="shared" si="16"/>
        <v>USD</v>
      </c>
      <c r="AE2271" s="37"/>
      <c r="AF2271" s="37" t="e">
        <f t="array" ref="AF2271">INDEX('Deal Info'!D:D, MATCH(A2271,'Deal Info'!A:A, 0))</f>
        <v>#N/A</v>
      </c>
      <c r="AG2271" s="38" t="e">
        <f t="array" ref="AG2271">INDEX('Deal Info'!G:G, MATCH(A2271,'Deal Info'!A:A, 0))</f>
        <v>#N/A</v>
      </c>
    </row>
    <row r="2272" spans="1:33" ht="14.25" hidden="1" x14ac:dyDescent="0.2">
      <c r="A2272" s="18" t="b">
        <f t="array" ref="A2272">IF(G2272='Room Info'!$B$1, INDEX('Room Info'!$A$2:$A2446, MATCH(B2272,'Room Info'!$B$2:$B2446, 0)),IF(G2272='Room Info'!$C$1, INDEX('Room Info'!$A$2:$A2446, MATCH(B2272,'Room Info'!$C$2:$C2446, 0)),IF(G2272='Room Info'!$D$1, INDEX('Room Info'!$A$2:$A2446, MATCH(B2272,'Room Info'!$D$2:$D2446, 0)),IF(G2272='Room Info'!$E$1, INDEX('Room Info'!$A$2:$A2446, MATCH(B2272,'Room Info'!$E$2:$E2446, 0)),IF(G2272='Room Info'!$F$1, INDEX('Room Info'!$A$2:$A2446, MATCH(B2272,'Room Info'!$F$2:$F2446, 0)),IF(G2272='Room Info'!$H$1, INDEX('Room Info'!$A$2:$A2446, MATCH(B2272,'Room Info'!$H$2:$H2446, 0)),IF(G2272='Room Info'!$G$1, INDEX('Room Info'!$A$2:$A2446, MATCH(B2272,'Room Info'!$G$2:$G2446, 0)))))))))</f>
        <v>0</v>
      </c>
      <c r="B2272" s="96"/>
      <c r="C2272" s="136"/>
      <c r="D2272" s="136"/>
      <c r="E2272" s="137"/>
      <c r="F2272" s="133"/>
      <c r="G2272" s="96"/>
      <c r="H2272" s="100"/>
      <c r="I2272" s="100"/>
      <c r="J2272" s="39" t="s">
        <v>334</v>
      </c>
      <c r="K2272" s="134"/>
      <c r="L2272" s="135"/>
      <c r="M2272" s="79"/>
      <c r="N2272" s="28" t="e">
        <f t="shared" si="8"/>
        <v>#VALUE!</v>
      </c>
      <c r="O2272" s="96"/>
      <c r="P2272" s="29" t="s">
        <v>334</v>
      </c>
      <c r="Q2272" s="55"/>
      <c r="R2272" s="31" t="e">
        <f t="shared" si="9"/>
        <v>#VALUE!</v>
      </c>
      <c r="S2272" s="97"/>
      <c r="T2272" s="32" t="e">
        <f t="shared" si="10"/>
        <v>#VALUE!</v>
      </c>
      <c r="U2272" s="57"/>
      <c r="V2272" s="58"/>
      <c r="W2272" s="58"/>
      <c r="X2272" s="30" t="e">
        <f t="shared" si="11"/>
        <v>#N/A</v>
      </c>
      <c r="Y2272" s="30" t="e">
        <f t="shared" si="12"/>
        <v>#N/A</v>
      </c>
      <c r="Z2272" s="35" t="e">
        <f t="shared" si="13"/>
        <v>#VALUE!</v>
      </c>
      <c r="AA2272" s="29" t="e">
        <f t="shared" si="14"/>
        <v>#VALUE!</v>
      </c>
      <c r="AB2272" s="36" t="e">
        <f t="shared" si="15"/>
        <v>#VALUE!</v>
      </c>
      <c r="AC2272" s="37" t="b">
        <v>0</v>
      </c>
      <c r="AD2272" s="61" t="str">
        <f t="shared" si="16"/>
        <v>USD</v>
      </c>
      <c r="AE2272" s="37"/>
      <c r="AF2272" s="37" t="e">
        <f t="array" ref="AF2272">INDEX('Deal Info'!D:D, MATCH(A2272,'Deal Info'!A:A, 0))</f>
        <v>#N/A</v>
      </c>
      <c r="AG2272" s="38" t="e">
        <f t="array" ref="AG2272">INDEX('Deal Info'!G:G, MATCH(A2272,'Deal Info'!A:A, 0))</f>
        <v>#N/A</v>
      </c>
    </row>
    <row r="2273" spans="1:33" ht="14.25" hidden="1" x14ac:dyDescent="0.2">
      <c r="A2273" s="18" t="b">
        <f t="array" ref="A2273">IF(G2273='Room Info'!$B$1, INDEX('Room Info'!$A$2:$A2446, MATCH(B2273,'Room Info'!$B$2:$B2446, 0)),IF(G2273='Room Info'!$C$1, INDEX('Room Info'!$A$2:$A2446, MATCH(B2273,'Room Info'!$C$2:$C2446, 0)),IF(G2273='Room Info'!$D$1, INDEX('Room Info'!$A$2:$A2446, MATCH(B2273,'Room Info'!$D$2:$D2446, 0)),IF(G2273='Room Info'!$E$1, INDEX('Room Info'!$A$2:$A2446, MATCH(B2273,'Room Info'!$E$2:$E2446, 0)),IF(G2273='Room Info'!$F$1, INDEX('Room Info'!$A$2:$A2446, MATCH(B2273,'Room Info'!$F$2:$F2446, 0)),IF(G2273='Room Info'!$H$1, INDEX('Room Info'!$A$2:$A2446, MATCH(B2273,'Room Info'!$H$2:$H2446, 0)),IF(G2273='Room Info'!$G$1, INDEX('Room Info'!$A$2:$A2446, MATCH(B2273,'Room Info'!$G$2:$G2446, 0)))))))))</f>
        <v>0</v>
      </c>
      <c r="B2273" s="96"/>
      <c r="C2273" s="136"/>
      <c r="D2273" s="136"/>
      <c r="E2273" s="137"/>
      <c r="F2273" s="133"/>
      <c r="G2273" s="96"/>
      <c r="H2273" s="100"/>
      <c r="I2273" s="100"/>
      <c r="J2273" s="39" t="s">
        <v>334</v>
      </c>
      <c r="K2273" s="134"/>
      <c r="L2273" s="135"/>
      <c r="M2273" s="79"/>
      <c r="N2273" s="28" t="e">
        <f t="shared" si="8"/>
        <v>#VALUE!</v>
      </c>
      <c r="O2273" s="96"/>
      <c r="P2273" s="29" t="s">
        <v>334</v>
      </c>
      <c r="Q2273" s="55"/>
      <c r="R2273" s="31" t="e">
        <f t="shared" si="9"/>
        <v>#VALUE!</v>
      </c>
      <c r="S2273" s="97"/>
      <c r="T2273" s="32" t="e">
        <f t="shared" si="10"/>
        <v>#VALUE!</v>
      </c>
      <c r="U2273" s="57"/>
      <c r="V2273" s="58"/>
      <c r="W2273" s="58"/>
      <c r="X2273" s="30" t="e">
        <f t="shared" si="11"/>
        <v>#N/A</v>
      </c>
      <c r="Y2273" s="30" t="e">
        <f t="shared" si="12"/>
        <v>#N/A</v>
      </c>
      <c r="Z2273" s="35" t="e">
        <f t="shared" si="13"/>
        <v>#VALUE!</v>
      </c>
      <c r="AA2273" s="29" t="e">
        <f t="shared" si="14"/>
        <v>#VALUE!</v>
      </c>
      <c r="AB2273" s="36" t="e">
        <f t="shared" si="15"/>
        <v>#VALUE!</v>
      </c>
      <c r="AC2273" s="37" t="b">
        <v>0</v>
      </c>
      <c r="AD2273" s="61" t="str">
        <f t="shared" si="16"/>
        <v>USD</v>
      </c>
      <c r="AE2273" s="37"/>
      <c r="AF2273" s="37" t="e">
        <f t="array" ref="AF2273">INDEX('Deal Info'!D:D, MATCH(A2273,'Deal Info'!A:A, 0))</f>
        <v>#N/A</v>
      </c>
      <c r="AG2273" s="38" t="e">
        <f t="array" ref="AG2273">INDEX('Deal Info'!G:G, MATCH(A2273,'Deal Info'!A:A, 0))</f>
        <v>#N/A</v>
      </c>
    </row>
    <row r="2274" spans="1:33" ht="14.25" hidden="1" x14ac:dyDescent="0.2">
      <c r="A2274" s="18" t="b">
        <f t="array" ref="A2274">IF(G2274='Room Info'!$B$1, INDEX('Room Info'!$A$2:$A2446, MATCH(B2274,'Room Info'!$B$2:$B2446, 0)),IF(G2274='Room Info'!$C$1, INDEX('Room Info'!$A$2:$A2446, MATCH(B2274,'Room Info'!$C$2:$C2446, 0)),IF(G2274='Room Info'!$D$1, INDEX('Room Info'!$A$2:$A2446, MATCH(B2274,'Room Info'!$D$2:$D2446, 0)),IF(G2274='Room Info'!$E$1, INDEX('Room Info'!$A$2:$A2446, MATCH(B2274,'Room Info'!$E$2:$E2446, 0)),IF(G2274='Room Info'!$F$1, INDEX('Room Info'!$A$2:$A2446, MATCH(B2274,'Room Info'!$F$2:$F2446, 0)),IF(G2274='Room Info'!$H$1, INDEX('Room Info'!$A$2:$A2446, MATCH(B2274,'Room Info'!$H$2:$H2446, 0)),IF(G2274='Room Info'!$G$1, INDEX('Room Info'!$A$2:$A2446, MATCH(B2274,'Room Info'!$G$2:$G2446, 0)))))))))</f>
        <v>0</v>
      </c>
      <c r="B2274" s="96"/>
      <c r="C2274" s="136"/>
      <c r="D2274" s="136"/>
      <c r="E2274" s="137"/>
      <c r="F2274" s="133"/>
      <c r="G2274" s="96"/>
      <c r="H2274" s="100"/>
      <c r="I2274" s="100"/>
      <c r="J2274" s="39" t="s">
        <v>334</v>
      </c>
      <c r="K2274" s="134"/>
      <c r="L2274" s="135"/>
      <c r="M2274" s="79"/>
      <c r="N2274" s="28" t="e">
        <f t="shared" si="8"/>
        <v>#VALUE!</v>
      </c>
      <c r="O2274" s="96"/>
      <c r="P2274" s="29" t="s">
        <v>334</v>
      </c>
      <c r="Q2274" s="55"/>
      <c r="R2274" s="31" t="e">
        <f t="shared" si="9"/>
        <v>#VALUE!</v>
      </c>
      <c r="S2274" s="97"/>
      <c r="T2274" s="32" t="e">
        <f t="shared" si="10"/>
        <v>#VALUE!</v>
      </c>
      <c r="U2274" s="57"/>
      <c r="V2274" s="58"/>
      <c r="W2274" s="58"/>
      <c r="X2274" s="30" t="e">
        <f t="shared" si="11"/>
        <v>#N/A</v>
      </c>
      <c r="Y2274" s="30" t="e">
        <f t="shared" si="12"/>
        <v>#N/A</v>
      </c>
      <c r="Z2274" s="35" t="e">
        <f t="shared" si="13"/>
        <v>#VALUE!</v>
      </c>
      <c r="AA2274" s="29" t="e">
        <f t="shared" si="14"/>
        <v>#VALUE!</v>
      </c>
      <c r="AB2274" s="36" t="e">
        <f t="shared" si="15"/>
        <v>#VALUE!</v>
      </c>
      <c r="AC2274" s="37" t="b">
        <v>0</v>
      </c>
      <c r="AD2274" s="61" t="str">
        <f t="shared" si="16"/>
        <v>USD</v>
      </c>
      <c r="AE2274" s="37"/>
      <c r="AF2274" s="37" t="e">
        <f t="array" ref="AF2274">INDEX('Deal Info'!D:D, MATCH(A2274,'Deal Info'!A:A, 0))</f>
        <v>#N/A</v>
      </c>
      <c r="AG2274" s="38" t="e">
        <f t="array" ref="AG2274">INDEX('Deal Info'!G:G, MATCH(A2274,'Deal Info'!A:A, 0))</f>
        <v>#N/A</v>
      </c>
    </row>
    <row r="2275" spans="1:33" ht="14.25" hidden="1" x14ac:dyDescent="0.2">
      <c r="A2275" s="18" t="b">
        <f t="array" ref="A2275">IF(G2275='Room Info'!$B$1, INDEX('Room Info'!$A$2:$A2446, MATCH(B2275,'Room Info'!$B$2:$B2446, 0)),IF(G2275='Room Info'!$C$1, INDEX('Room Info'!$A$2:$A2446, MATCH(B2275,'Room Info'!$C$2:$C2446, 0)),IF(G2275='Room Info'!$D$1, INDEX('Room Info'!$A$2:$A2446, MATCH(B2275,'Room Info'!$D$2:$D2446, 0)),IF(G2275='Room Info'!$E$1, INDEX('Room Info'!$A$2:$A2446, MATCH(B2275,'Room Info'!$E$2:$E2446, 0)),IF(G2275='Room Info'!$F$1, INDEX('Room Info'!$A$2:$A2446, MATCH(B2275,'Room Info'!$F$2:$F2446, 0)),IF(G2275='Room Info'!$H$1, INDEX('Room Info'!$A$2:$A2446, MATCH(B2275,'Room Info'!$H$2:$H2446, 0)),IF(G2275='Room Info'!$G$1, INDEX('Room Info'!$A$2:$A2446, MATCH(B2275,'Room Info'!$G$2:$G2446, 0)))))))))</f>
        <v>0</v>
      </c>
      <c r="B2275" s="96"/>
      <c r="C2275" s="136"/>
      <c r="D2275" s="136"/>
      <c r="E2275" s="137"/>
      <c r="F2275" s="133"/>
      <c r="G2275" s="96"/>
      <c r="H2275" s="100"/>
      <c r="I2275" s="100"/>
      <c r="J2275" s="39" t="s">
        <v>334</v>
      </c>
      <c r="K2275" s="134"/>
      <c r="L2275" s="135"/>
      <c r="M2275" s="79"/>
      <c r="N2275" s="28" t="e">
        <f t="shared" si="8"/>
        <v>#VALUE!</v>
      </c>
      <c r="O2275" s="96"/>
      <c r="P2275" s="29" t="s">
        <v>334</v>
      </c>
      <c r="Q2275" s="55"/>
      <c r="R2275" s="31" t="e">
        <f t="shared" si="9"/>
        <v>#VALUE!</v>
      </c>
      <c r="S2275" s="97"/>
      <c r="T2275" s="32" t="e">
        <f t="shared" si="10"/>
        <v>#VALUE!</v>
      </c>
      <c r="U2275" s="57"/>
      <c r="V2275" s="58"/>
      <c r="W2275" s="58"/>
      <c r="X2275" s="30" t="e">
        <f t="shared" si="11"/>
        <v>#N/A</v>
      </c>
      <c r="Y2275" s="30" t="e">
        <f t="shared" si="12"/>
        <v>#N/A</v>
      </c>
      <c r="Z2275" s="35" t="e">
        <f t="shared" si="13"/>
        <v>#VALUE!</v>
      </c>
      <c r="AA2275" s="29" t="e">
        <f t="shared" si="14"/>
        <v>#VALUE!</v>
      </c>
      <c r="AB2275" s="36" t="e">
        <f t="shared" si="15"/>
        <v>#VALUE!</v>
      </c>
      <c r="AC2275" s="37" t="b">
        <v>0</v>
      </c>
      <c r="AD2275" s="61" t="str">
        <f t="shared" si="16"/>
        <v>USD</v>
      </c>
      <c r="AE2275" s="37"/>
      <c r="AF2275" s="37" t="e">
        <f t="array" ref="AF2275">INDEX('Deal Info'!D:D, MATCH(A2275,'Deal Info'!A:A, 0))</f>
        <v>#N/A</v>
      </c>
      <c r="AG2275" s="38" t="e">
        <f t="array" ref="AG2275">INDEX('Deal Info'!G:G, MATCH(A2275,'Deal Info'!A:A, 0))</f>
        <v>#N/A</v>
      </c>
    </row>
    <row r="2276" spans="1:33" ht="14.25" hidden="1" x14ac:dyDescent="0.2">
      <c r="A2276" s="18" t="b">
        <f t="array" ref="A2276">IF(G2276='Room Info'!$B$1, INDEX('Room Info'!$A$2:$A2446, MATCH(B2276,'Room Info'!$B$2:$B2446, 0)),IF(G2276='Room Info'!$C$1, INDEX('Room Info'!$A$2:$A2446, MATCH(B2276,'Room Info'!$C$2:$C2446, 0)),IF(G2276='Room Info'!$D$1, INDEX('Room Info'!$A$2:$A2446, MATCH(B2276,'Room Info'!$D$2:$D2446, 0)),IF(G2276='Room Info'!$E$1, INDEX('Room Info'!$A$2:$A2446, MATCH(B2276,'Room Info'!$E$2:$E2446, 0)),IF(G2276='Room Info'!$F$1, INDEX('Room Info'!$A$2:$A2446, MATCH(B2276,'Room Info'!$F$2:$F2446, 0)),IF(G2276='Room Info'!$H$1, INDEX('Room Info'!$A$2:$A2446, MATCH(B2276,'Room Info'!$H$2:$H2446, 0)),IF(G2276='Room Info'!$G$1, INDEX('Room Info'!$A$2:$A2446, MATCH(B2276,'Room Info'!$G$2:$G2446, 0)))))))))</f>
        <v>0</v>
      </c>
      <c r="B2276" s="96"/>
      <c r="C2276" s="136"/>
      <c r="D2276" s="136"/>
      <c r="E2276" s="137"/>
      <c r="F2276" s="133"/>
      <c r="G2276" s="96"/>
      <c r="H2276" s="100"/>
      <c r="I2276" s="100"/>
      <c r="J2276" s="39" t="s">
        <v>334</v>
      </c>
      <c r="K2276" s="134"/>
      <c r="L2276" s="135"/>
      <c r="M2276" s="79"/>
      <c r="N2276" s="28" t="e">
        <f t="shared" si="8"/>
        <v>#VALUE!</v>
      </c>
      <c r="O2276" s="96"/>
      <c r="P2276" s="29" t="s">
        <v>334</v>
      </c>
      <c r="Q2276" s="55"/>
      <c r="R2276" s="31" t="e">
        <f t="shared" si="9"/>
        <v>#VALUE!</v>
      </c>
      <c r="S2276" s="97"/>
      <c r="T2276" s="32" t="e">
        <f t="shared" si="10"/>
        <v>#VALUE!</v>
      </c>
      <c r="U2276" s="57"/>
      <c r="V2276" s="58"/>
      <c r="W2276" s="58"/>
      <c r="X2276" s="30" t="e">
        <f t="shared" si="11"/>
        <v>#N/A</v>
      </c>
      <c r="Y2276" s="30" t="e">
        <f t="shared" si="12"/>
        <v>#N/A</v>
      </c>
      <c r="Z2276" s="35" t="e">
        <f t="shared" si="13"/>
        <v>#VALUE!</v>
      </c>
      <c r="AA2276" s="29" t="e">
        <f t="shared" si="14"/>
        <v>#VALUE!</v>
      </c>
      <c r="AB2276" s="36" t="e">
        <f t="shared" si="15"/>
        <v>#VALUE!</v>
      </c>
      <c r="AC2276" s="37" t="b">
        <v>0</v>
      </c>
      <c r="AD2276" s="61" t="str">
        <f t="shared" si="16"/>
        <v>USD</v>
      </c>
      <c r="AE2276" s="37"/>
      <c r="AF2276" s="37" t="e">
        <f t="array" ref="AF2276">INDEX('Deal Info'!D:D, MATCH(A2276,'Deal Info'!A:A, 0))</f>
        <v>#N/A</v>
      </c>
      <c r="AG2276" s="38" t="e">
        <f t="array" ref="AG2276">INDEX('Deal Info'!G:G, MATCH(A2276,'Deal Info'!A:A, 0))</f>
        <v>#N/A</v>
      </c>
    </row>
    <row r="2277" spans="1:33" ht="14.25" hidden="1" x14ac:dyDescent="0.2">
      <c r="A2277" s="18" t="b">
        <f t="array" ref="A2277">IF(G2277='Room Info'!$B$1, INDEX('Room Info'!$A$2:$A2446, MATCH(B2277,'Room Info'!$B$2:$B2446, 0)),IF(G2277='Room Info'!$C$1, INDEX('Room Info'!$A$2:$A2446, MATCH(B2277,'Room Info'!$C$2:$C2446, 0)),IF(G2277='Room Info'!$D$1, INDEX('Room Info'!$A$2:$A2446, MATCH(B2277,'Room Info'!$D$2:$D2446, 0)),IF(G2277='Room Info'!$E$1, INDEX('Room Info'!$A$2:$A2446, MATCH(B2277,'Room Info'!$E$2:$E2446, 0)),IF(G2277='Room Info'!$F$1, INDEX('Room Info'!$A$2:$A2446, MATCH(B2277,'Room Info'!$F$2:$F2446, 0)),IF(G2277='Room Info'!$H$1, INDEX('Room Info'!$A$2:$A2446, MATCH(B2277,'Room Info'!$H$2:$H2446, 0)),IF(G2277='Room Info'!$G$1, INDEX('Room Info'!$A$2:$A2446, MATCH(B2277,'Room Info'!$G$2:$G2446, 0)))))))))</f>
        <v>0</v>
      </c>
      <c r="B2277" s="96"/>
      <c r="C2277" s="136"/>
      <c r="D2277" s="136"/>
      <c r="E2277" s="137"/>
      <c r="F2277" s="133"/>
      <c r="G2277" s="96"/>
      <c r="H2277" s="100"/>
      <c r="I2277" s="100"/>
      <c r="J2277" s="39" t="s">
        <v>334</v>
      </c>
      <c r="K2277" s="134"/>
      <c r="L2277" s="135"/>
      <c r="M2277" s="79"/>
      <c r="N2277" s="28" t="e">
        <f t="shared" si="8"/>
        <v>#VALUE!</v>
      </c>
      <c r="O2277" s="96"/>
      <c r="P2277" s="29" t="s">
        <v>334</v>
      </c>
      <c r="Q2277" s="55"/>
      <c r="R2277" s="31" t="e">
        <f t="shared" si="9"/>
        <v>#VALUE!</v>
      </c>
      <c r="S2277" s="97"/>
      <c r="T2277" s="32" t="e">
        <f t="shared" si="10"/>
        <v>#VALUE!</v>
      </c>
      <c r="U2277" s="57"/>
      <c r="V2277" s="58"/>
      <c r="W2277" s="58"/>
      <c r="X2277" s="30" t="e">
        <f t="shared" si="11"/>
        <v>#N/A</v>
      </c>
      <c r="Y2277" s="30" t="e">
        <f t="shared" si="12"/>
        <v>#N/A</v>
      </c>
      <c r="Z2277" s="35" t="e">
        <f t="shared" si="13"/>
        <v>#VALUE!</v>
      </c>
      <c r="AA2277" s="29" t="e">
        <f t="shared" si="14"/>
        <v>#VALUE!</v>
      </c>
      <c r="AB2277" s="36" t="e">
        <f t="shared" si="15"/>
        <v>#VALUE!</v>
      </c>
      <c r="AC2277" s="37" t="b">
        <v>0</v>
      </c>
      <c r="AD2277" s="61" t="str">
        <f t="shared" si="16"/>
        <v>USD</v>
      </c>
      <c r="AE2277" s="37"/>
      <c r="AF2277" s="37" t="e">
        <f t="array" ref="AF2277">INDEX('Deal Info'!D:D, MATCH(A2277,'Deal Info'!A:A, 0))</f>
        <v>#N/A</v>
      </c>
      <c r="AG2277" s="38" t="e">
        <f t="array" ref="AG2277">INDEX('Deal Info'!G:G, MATCH(A2277,'Deal Info'!A:A, 0))</f>
        <v>#N/A</v>
      </c>
    </row>
    <row r="2278" spans="1:33" ht="14.25" hidden="1" x14ac:dyDescent="0.2">
      <c r="A2278" s="18" t="b">
        <f t="array" ref="A2278">IF(G2278='Room Info'!$B$1, INDEX('Room Info'!$A$2:$A2446, MATCH(B2278,'Room Info'!$B$2:$B2446, 0)),IF(G2278='Room Info'!$C$1, INDEX('Room Info'!$A$2:$A2446, MATCH(B2278,'Room Info'!$C$2:$C2446, 0)),IF(G2278='Room Info'!$D$1, INDEX('Room Info'!$A$2:$A2446, MATCH(B2278,'Room Info'!$D$2:$D2446, 0)),IF(G2278='Room Info'!$E$1, INDEX('Room Info'!$A$2:$A2446, MATCH(B2278,'Room Info'!$E$2:$E2446, 0)),IF(G2278='Room Info'!$F$1, INDEX('Room Info'!$A$2:$A2446, MATCH(B2278,'Room Info'!$F$2:$F2446, 0)),IF(G2278='Room Info'!$H$1, INDEX('Room Info'!$A$2:$A2446, MATCH(B2278,'Room Info'!$H$2:$H2446, 0)),IF(G2278='Room Info'!$G$1, INDEX('Room Info'!$A$2:$A2446, MATCH(B2278,'Room Info'!$G$2:$G2446, 0)))))))))</f>
        <v>0</v>
      </c>
      <c r="B2278" s="96"/>
      <c r="C2278" s="136"/>
      <c r="D2278" s="136"/>
      <c r="E2278" s="137"/>
      <c r="F2278" s="133"/>
      <c r="G2278" s="96"/>
      <c r="H2278" s="100"/>
      <c r="I2278" s="100"/>
      <c r="J2278" s="39" t="s">
        <v>334</v>
      </c>
      <c r="K2278" s="134"/>
      <c r="L2278" s="135"/>
      <c r="M2278" s="79"/>
      <c r="N2278" s="28" t="e">
        <f t="shared" si="8"/>
        <v>#VALUE!</v>
      </c>
      <c r="O2278" s="96"/>
      <c r="P2278" s="29" t="s">
        <v>334</v>
      </c>
      <c r="Q2278" s="55"/>
      <c r="R2278" s="31" t="e">
        <f t="shared" si="9"/>
        <v>#VALUE!</v>
      </c>
      <c r="S2278" s="97"/>
      <c r="T2278" s="32" t="e">
        <f t="shared" si="10"/>
        <v>#VALUE!</v>
      </c>
      <c r="U2278" s="57"/>
      <c r="V2278" s="58"/>
      <c r="W2278" s="58"/>
      <c r="X2278" s="30" t="e">
        <f t="shared" si="11"/>
        <v>#N/A</v>
      </c>
      <c r="Y2278" s="30" t="e">
        <f t="shared" si="12"/>
        <v>#N/A</v>
      </c>
      <c r="Z2278" s="35" t="e">
        <f t="shared" si="13"/>
        <v>#VALUE!</v>
      </c>
      <c r="AA2278" s="29" t="e">
        <f t="shared" si="14"/>
        <v>#VALUE!</v>
      </c>
      <c r="AB2278" s="36" t="e">
        <f t="shared" si="15"/>
        <v>#VALUE!</v>
      </c>
      <c r="AC2278" s="37" t="b">
        <v>0</v>
      </c>
      <c r="AD2278" s="61" t="str">
        <f t="shared" si="16"/>
        <v>USD</v>
      </c>
      <c r="AE2278" s="37"/>
      <c r="AF2278" s="37" t="e">
        <f t="array" ref="AF2278">INDEX('Deal Info'!D:D, MATCH(A2278,'Deal Info'!A:A, 0))</f>
        <v>#N/A</v>
      </c>
      <c r="AG2278" s="38" t="e">
        <f t="array" ref="AG2278">INDEX('Deal Info'!G:G, MATCH(A2278,'Deal Info'!A:A, 0))</f>
        <v>#N/A</v>
      </c>
    </row>
    <row r="2279" spans="1:33" ht="14.25" hidden="1" x14ac:dyDescent="0.2">
      <c r="A2279" s="18" t="b">
        <f t="array" ref="A2279">IF(G2279='Room Info'!$B$1, INDEX('Room Info'!$A$2:$A2446, MATCH(B2279,'Room Info'!$B$2:$B2446, 0)),IF(G2279='Room Info'!$C$1, INDEX('Room Info'!$A$2:$A2446, MATCH(B2279,'Room Info'!$C$2:$C2446, 0)),IF(G2279='Room Info'!$D$1, INDEX('Room Info'!$A$2:$A2446, MATCH(B2279,'Room Info'!$D$2:$D2446, 0)),IF(G2279='Room Info'!$E$1, INDEX('Room Info'!$A$2:$A2446, MATCH(B2279,'Room Info'!$E$2:$E2446, 0)),IF(G2279='Room Info'!$F$1, INDEX('Room Info'!$A$2:$A2446, MATCH(B2279,'Room Info'!$F$2:$F2446, 0)),IF(G2279='Room Info'!$H$1, INDEX('Room Info'!$A$2:$A2446, MATCH(B2279,'Room Info'!$H$2:$H2446, 0)),IF(G2279='Room Info'!$G$1, INDEX('Room Info'!$A$2:$A2446, MATCH(B2279,'Room Info'!$G$2:$G2446, 0)))))))))</f>
        <v>0</v>
      </c>
      <c r="B2279" s="96"/>
      <c r="C2279" s="136"/>
      <c r="D2279" s="136"/>
      <c r="E2279" s="137"/>
      <c r="F2279" s="133"/>
      <c r="G2279" s="96"/>
      <c r="H2279" s="100"/>
      <c r="I2279" s="100"/>
      <c r="J2279" s="39" t="s">
        <v>334</v>
      </c>
      <c r="K2279" s="134"/>
      <c r="L2279" s="135"/>
      <c r="M2279" s="79"/>
      <c r="N2279" s="28" t="e">
        <f t="shared" si="8"/>
        <v>#VALUE!</v>
      </c>
      <c r="O2279" s="96"/>
      <c r="P2279" s="29" t="s">
        <v>334</v>
      </c>
      <c r="Q2279" s="55"/>
      <c r="R2279" s="31" t="e">
        <f t="shared" si="9"/>
        <v>#VALUE!</v>
      </c>
      <c r="S2279" s="97"/>
      <c r="T2279" s="32" t="e">
        <f t="shared" si="10"/>
        <v>#VALUE!</v>
      </c>
      <c r="U2279" s="57"/>
      <c r="V2279" s="58"/>
      <c r="W2279" s="58"/>
      <c r="X2279" s="30" t="e">
        <f t="shared" si="11"/>
        <v>#N/A</v>
      </c>
      <c r="Y2279" s="30" t="e">
        <f t="shared" si="12"/>
        <v>#N/A</v>
      </c>
      <c r="Z2279" s="35" t="e">
        <f t="shared" si="13"/>
        <v>#VALUE!</v>
      </c>
      <c r="AA2279" s="29" t="e">
        <f t="shared" si="14"/>
        <v>#VALUE!</v>
      </c>
      <c r="AB2279" s="36" t="e">
        <f t="shared" si="15"/>
        <v>#VALUE!</v>
      </c>
      <c r="AC2279" s="37" t="b">
        <v>0</v>
      </c>
      <c r="AD2279" s="61" t="str">
        <f t="shared" si="16"/>
        <v>USD</v>
      </c>
      <c r="AE2279" s="37"/>
      <c r="AF2279" s="37" t="e">
        <f t="array" ref="AF2279">INDEX('Deal Info'!D:D, MATCH(A2279,'Deal Info'!A:A, 0))</f>
        <v>#N/A</v>
      </c>
      <c r="AG2279" s="38" t="e">
        <f t="array" ref="AG2279">INDEX('Deal Info'!G:G, MATCH(A2279,'Deal Info'!A:A, 0))</f>
        <v>#N/A</v>
      </c>
    </row>
    <row r="2280" spans="1:33" ht="14.25" hidden="1" x14ac:dyDescent="0.2">
      <c r="A2280" s="18" t="b">
        <f t="array" ref="A2280">IF(G2280='Room Info'!$B$1, INDEX('Room Info'!$A$2:$A2446, MATCH(B2280,'Room Info'!$B$2:$B2446, 0)),IF(G2280='Room Info'!$C$1, INDEX('Room Info'!$A$2:$A2446, MATCH(B2280,'Room Info'!$C$2:$C2446, 0)),IF(G2280='Room Info'!$D$1, INDEX('Room Info'!$A$2:$A2446, MATCH(B2280,'Room Info'!$D$2:$D2446, 0)),IF(G2280='Room Info'!$E$1, INDEX('Room Info'!$A$2:$A2446, MATCH(B2280,'Room Info'!$E$2:$E2446, 0)),IF(G2280='Room Info'!$F$1, INDEX('Room Info'!$A$2:$A2446, MATCH(B2280,'Room Info'!$F$2:$F2446, 0)),IF(G2280='Room Info'!$H$1, INDEX('Room Info'!$A$2:$A2446, MATCH(B2280,'Room Info'!$H$2:$H2446, 0)),IF(G2280='Room Info'!$G$1, INDEX('Room Info'!$A$2:$A2446, MATCH(B2280,'Room Info'!$G$2:$G2446, 0)))))))))</f>
        <v>0</v>
      </c>
      <c r="B2280" s="96"/>
      <c r="C2280" s="111"/>
      <c r="D2280" s="111"/>
      <c r="E2280" s="80"/>
      <c r="F2280" s="96"/>
      <c r="G2280" s="65"/>
      <c r="H2280" s="110"/>
      <c r="I2280" s="110"/>
      <c r="J2280" s="39" t="s">
        <v>334</v>
      </c>
      <c r="K2280" s="112"/>
      <c r="L2280" s="113"/>
      <c r="M2280" s="62"/>
      <c r="N2280" s="28" t="e">
        <f t="shared" si="8"/>
        <v>#VALUE!</v>
      </c>
      <c r="O2280" s="65"/>
      <c r="P2280" s="29" t="s">
        <v>334</v>
      </c>
      <c r="Q2280" s="55"/>
      <c r="R2280" s="31" t="e">
        <f t="shared" si="9"/>
        <v>#VALUE!</v>
      </c>
      <c r="S2280" s="66"/>
      <c r="T2280" s="32" t="e">
        <f t="shared" si="10"/>
        <v>#VALUE!</v>
      </c>
      <c r="U2280" s="57"/>
      <c r="V2280" s="58"/>
      <c r="W2280" s="58"/>
      <c r="X2280" s="30" t="e">
        <f t="shared" si="11"/>
        <v>#N/A</v>
      </c>
      <c r="Y2280" s="30" t="e">
        <f t="shared" si="12"/>
        <v>#N/A</v>
      </c>
      <c r="Z2280" s="35" t="e">
        <f t="shared" si="13"/>
        <v>#VALUE!</v>
      </c>
      <c r="AA2280" s="29" t="e">
        <f t="shared" si="14"/>
        <v>#VALUE!</v>
      </c>
      <c r="AB2280" s="36" t="e">
        <f t="shared" si="15"/>
        <v>#VALUE!</v>
      </c>
      <c r="AC2280" s="37" t="b">
        <v>0</v>
      </c>
      <c r="AD2280" s="61" t="str">
        <f t="shared" si="16"/>
        <v>USD</v>
      </c>
      <c r="AE2280" s="37"/>
      <c r="AF2280" s="37" t="e">
        <f t="array" ref="AF2280">INDEX('Deal Info'!D:D, MATCH(A2280,'Deal Info'!A:A, 0))</f>
        <v>#N/A</v>
      </c>
      <c r="AG2280" s="38" t="e">
        <f t="array" ref="AG2280">INDEX('Deal Info'!G:G, MATCH(A2280,'Deal Info'!A:A, 0))</f>
        <v>#N/A</v>
      </c>
    </row>
    <row r="2281" spans="1:33" ht="14.25" hidden="1" x14ac:dyDescent="0.2">
      <c r="A2281" s="18" t="b">
        <f t="array" ref="A2281">IF(G2281='Room Info'!$B$1, INDEX('Room Info'!$A$2:$A2446, MATCH(B2281,'Room Info'!$B$2:$B2446, 0)),IF(G2281='Room Info'!$C$1, INDEX('Room Info'!$A$2:$A2446, MATCH(B2281,'Room Info'!$C$2:$C2446, 0)),IF(G2281='Room Info'!$D$1, INDEX('Room Info'!$A$2:$A2446, MATCH(B2281,'Room Info'!$D$2:$D2446, 0)),IF(G2281='Room Info'!$E$1, INDEX('Room Info'!$A$2:$A2446, MATCH(B2281,'Room Info'!$E$2:$E2446, 0)),IF(G2281='Room Info'!$F$1, INDEX('Room Info'!$A$2:$A2446, MATCH(B2281,'Room Info'!$F$2:$F2446, 0)),IF(G2281='Room Info'!$H$1, INDEX('Room Info'!$A$2:$A2446, MATCH(B2281,'Room Info'!$H$2:$H2446, 0)),IF(G2281='Room Info'!$G$1, INDEX('Room Info'!$A$2:$A2446, MATCH(B2281,'Room Info'!$G$2:$G2446, 0)))))))))</f>
        <v>0</v>
      </c>
      <c r="B2281" s="96"/>
      <c r="C2281" s="136"/>
      <c r="D2281" s="136"/>
      <c r="E2281" s="137"/>
      <c r="F2281" s="133"/>
      <c r="G2281" s="96"/>
      <c r="H2281" s="100"/>
      <c r="I2281" s="100"/>
      <c r="J2281" s="39" t="s">
        <v>334</v>
      </c>
      <c r="K2281" s="134"/>
      <c r="L2281" s="135"/>
      <c r="M2281" s="79"/>
      <c r="N2281" s="28" t="e">
        <f t="shared" si="8"/>
        <v>#VALUE!</v>
      </c>
      <c r="O2281" s="96"/>
      <c r="P2281" s="29" t="s">
        <v>334</v>
      </c>
      <c r="Q2281" s="55"/>
      <c r="R2281" s="31" t="e">
        <f t="shared" si="9"/>
        <v>#VALUE!</v>
      </c>
      <c r="S2281" s="97"/>
      <c r="T2281" s="32" t="e">
        <f t="shared" si="10"/>
        <v>#VALUE!</v>
      </c>
      <c r="U2281" s="57"/>
      <c r="V2281" s="58"/>
      <c r="W2281" s="58"/>
      <c r="X2281" s="30" t="e">
        <f t="shared" si="11"/>
        <v>#N/A</v>
      </c>
      <c r="Y2281" s="30" t="e">
        <f t="shared" si="12"/>
        <v>#N/A</v>
      </c>
      <c r="Z2281" s="35" t="e">
        <f t="shared" si="13"/>
        <v>#VALUE!</v>
      </c>
      <c r="AA2281" s="29" t="e">
        <f t="shared" si="14"/>
        <v>#VALUE!</v>
      </c>
      <c r="AB2281" s="36" t="e">
        <f t="shared" si="15"/>
        <v>#VALUE!</v>
      </c>
      <c r="AC2281" s="37" t="b">
        <v>0</v>
      </c>
      <c r="AD2281" s="61" t="str">
        <f t="shared" si="16"/>
        <v>USD</v>
      </c>
      <c r="AE2281" s="37"/>
      <c r="AF2281" s="37" t="e">
        <f t="array" ref="AF2281">INDEX('Deal Info'!D:D, MATCH(A2281,'Deal Info'!A:A, 0))</f>
        <v>#N/A</v>
      </c>
      <c r="AG2281" s="38" t="e">
        <f t="array" ref="AG2281">INDEX('Deal Info'!G:G, MATCH(A2281,'Deal Info'!A:A, 0))</f>
        <v>#N/A</v>
      </c>
    </row>
    <row r="2282" spans="1:33" ht="14.25" hidden="1" x14ac:dyDescent="0.2">
      <c r="A2282" s="18" t="b">
        <f t="array" ref="A2282">IF(G2282='Room Info'!$B$1, INDEX('Room Info'!$A$2:$A2446, MATCH(B2282,'Room Info'!$B$2:$B2446, 0)),IF(G2282='Room Info'!$C$1, INDEX('Room Info'!$A$2:$A2446, MATCH(B2282,'Room Info'!$C$2:$C2446, 0)),IF(G2282='Room Info'!$D$1, INDEX('Room Info'!$A$2:$A2446, MATCH(B2282,'Room Info'!$D$2:$D2446, 0)),IF(G2282='Room Info'!$E$1, INDEX('Room Info'!$A$2:$A2446, MATCH(B2282,'Room Info'!$E$2:$E2446, 0)),IF(G2282='Room Info'!$F$1, INDEX('Room Info'!$A$2:$A2446, MATCH(B2282,'Room Info'!$F$2:$F2446, 0)),IF(G2282='Room Info'!$H$1, INDEX('Room Info'!$A$2:$A2446, MATCH(B2282,'Room Info'!$H$2:$H2446, 0)),IF(G2282='Room Info'!$G$1, INDEX('Room Info'!$A$2:$A2446, MATCH(B2282,'Room Info'!$G$2:$G2446, 0)))))))))</f>
        <v>0</v>
      </c>
      <c r="B2282" s="96"/>
      <c r="C2282" s="136"/>
      <c r="D2282" s="136"/>
      <c r="E2282" s="137"/>
      <c r="F2282" s="133"/>
      <c r="G2282" s="96"/>
      <c r="H2282" s="100"/>
      <c r="I2282" s="100"/>
      <c r="J2282" s="39" t="s">
        <v>334</v>
      </c>
      <c r="K2282" s="134"/>
      <c r="L2282" s="135"/>
      <c r="M2282" s="79"/>
      <c r="N2282" s="28" t="e">
        <f t="shared" si="8"/>
        <v>#VALUE!</v>
      </c>
      <c r="O2282" s="96"/>
      <c r="P2282" s="29" t="s">
        <v>334</v>
      </c>
      <c r="Q2282" s="55"/>
      <c r="R2282" s="31" t="e">
        <f t="shared" si="9"/>
        <v>#VALUE!</v>
      </c>
      <c r="S2282" s="97"/>
      <c r="T2282" s="32" t="e">
        <f t="shared" si="10"/>
        <v>#VALUE!</v>
      </c>
      <c r="U2282" s="57"/>
      <c r="V2282" s="58"/>
      <c r="W2282" s="58"/>
      <c r="X2282" s="30" t="e">
        <f t="shared" si="11"/>
        <v>#N/A</v>
      </c>
      <c r="Y2282" s="30" t="e">
        <f t="shared" si="12"/>
        <v>#N/A</v>
      </c>
      <c r="Z2282" s="35" t="e">
        <f t="shared" si="13"/>
        <v>#VALUE!</v>
      </c>
      <c r="AA2282" s="29" t="e">
        <f t="shared" si="14"/>
        <v>#VALUE!</v>
      </c>
      <c r="AB2282" s="36" t="e">
        <f t="shared" si="15"/>
        <v>#VALUE!</v>
      </c>
      <c r="AC2282" s="37" t="b">
        <v>0</v>
      </c>
      <c r="AD2282" s="61" t="str">
        <f t="shared" si="16"/>
        <v>USD</v>
      </c>
      <c r="AE2282" s="37"/>
      <c r="AF2282" s="37" t="e">
        <f t="array" ref="AF2282">INDEX('Deal Info'!D:D, MATCH(A2282,'Deal Info'!A:A, 0))</f>
        <v>#N/A</v>
      </c>
      <c r="AG2282" s="38" t="e">
        <f t="array" ref="AG2282">INDEX('Deal Info'!G:G, MATCH(A2282,'Deal Info'!A:A, 0))</f>
        <v>#N/A</v>
      </c>
    </row>
    <row r="2283" spans="1:33" ht="14.25" hidden="1" x14ac:dyDescent="0.2">
      <c r="A2283" s="18" t="b">
        <f t="array" ref="A2283">IF(G2283='Room Info'!$B$1, INDEX('Room Info'!$A$2:$A2446, MATCH(B2283,'Room Info'!$B$2:$B2446, 0)),IF(G2283='Room Info'!$C$1, INDEX('Room Info'!$A$2:$A2446, MATCH(B2283,'Room Info'!$C$2:$C2446, 0)),IF(G2283='Room Info'!$D$1, INDEX('Room Info'!$A$2:$A2446, MATCH(B2283,'Room Info'!$D$2:$D2446, 0)),IF(G2283='Room Info'!$E$1, INDEX('Room Info'!$A$2:$A2446, MATCH(B2283,'Room Info'!$E$2:$E2446, 0)),IF(G2283='Room Info'!$F$1, INDEX('Room Info'!$A$2:$A2446, MATCH(B2283,'Room Info'!$F$2:$F2446, 0)),IF(G2283='Room Info'!$H$1, INDEX('Room Info'!$A$2:$A2446, MATCH(B2283,'Room Info'!$H$2:$H2446, 0)),IF(G2283='Room Info'!$G$1, INDEX('Room Info'!$A$2:$A2446, MATCH(B2283,'Room Info'!$G$2:$G2446, 0)))))))))</f>
        <v>0</v>
      </c>
      <c r="B2283" s="96"/>
      <c r="C2283" s="136"/>
      <c r="D2283" s="136"/>
      <c r="E2283" s="137"/>
      <c r="F2283" s="133"/>
      <c r="G2283" s="96"/>
      <c r="H2283" s="100"/>
      <c r="I2283" s="100"/>
      <c r="J2283" s="39" t="s">
        <v>334</v>
      </c>
      <c r="K2283" s="134"/>
      <c r="L2283" s="139"/>
      <c r="M2283" s="62"/>
      <c r="N2283" s="28" t="e">
        <f t="shared" si="8"/>
        <v>#VALUE!</v>
      </c>
      <c r="O2283" s="69"/>
      <c r="P2283" s="29" t="s">
        <v>334</v>
      </c>
      <c r="Q2283" s="55"/>
      <c r="R2283" s="31" t="e">
        <f t="shared" si="9"/>
        <v>#VALUE!</v>
      </c>
      <c r="S2283" s="132"/>
      <c r="T2283" s="32" t="e">
        <f t="shared" si="10"/>
        <v>#VALUE!</v>
      </c>
      <c r="U2283" s="57"/>
      <c r="V2283" s="58"/>
      <c r="W2283" s="58"/>
      <c r="X2283" s="30" t="e">
        <f t="shared" si="11"/>
        <v>#N/A</v>
      </c>
      <c r="Y2283" s="30" t="e">
        <f t="shared" si="12"/>
        <v>#N/A</v>
      </c>
      <c r="Z2283" s="35" t="e">
        <f t="shared" si="13"/>
        <v>#VALUE!</v>
      </c>
      <c r="AA2283" s="29" t="e">
        <f t="shared" si="14"/>
        <v>#VALUE!</v>
      </c>
      <c r="AB2283" s="36" t="e">
        <f t="shared" si="15"/>
        <v>#VALUE!</v>
      </c>
      <c r="AC2283" s="37" t="b">
        <v>0</v>
      </c>
      <c r="AD2283" s="61" t="str">
        <f t="shared" si="16"/>
        <v>USD</v>
      </c>
      <c r="AE2283" s="37"/>
      <c r="AF2283" s="37" t="e">
        <f t="array" ref="AF2283">INDEX('Deal Info'!D:D, MATCH(A2283,'Deal Info'!A:A, 0))</f>
        <v>#N/A</v>
      </c>
      <c r="AG2283" s="38" t="e">
        <f t="array" ref="AG2283">INDEX('Deal Info'!G:G, MATCH(A2283,'Deal Info'!A:A, 0))</f>
        <v>#N/A</v>
      </c>
    </row>
    <row r="2284" spans="1:33" ht="14.25" hidden="1" x14ac:dyDescent="0.2">
      <c r="A2284" s="18" t="b">
        <f t="array" ref="A2284">IF(G2284='Room Info'!$B$1, INDEX('Room Info'!$A$2:$A2446, MATCH(B2284,'Room Info'!$B$2:$B2446, 0)),IF(G2284='Room Info'!$C$1, INDEX('Room Info'!$A$2:$A2446, MATCH(B2284,'Room Info'!$C$2:$C2446, 0)),IF(G2284='Room Info'!$D$1, INDEX('Room Info'!$A$2:$A2446, MATCH(B2284,'Room Info'!$D$2:$D2446, 0)),IF(G2284='Room Info'!$E$1, INDEX('Room Info'!$A$2:$A2446, MATCH(B2284,'Room Info'!$E$2:$E2446, 0)),IF(G2284='Room Info'!$F$1, INDEX('Room Info'!$A$2:$A2446, MATCH(B2284,'Room Info'!$F$2:$F2446, 0)),IF(G2284='Room Info'!$H$1, INDEX('Room Info'!$A$2:$A2446, MATCH(B2284,'Room Info'!$H$2:$H2446, 0)),IF(G2284='Room Info'!$G$1, INDEX('Room Info'!$A$2:$A2446, MATCH(B2284,'Room Info'!$G$2:$G2446, 0)))))))))</f>
        <v>0</v>
      </c>
      <c r="B2284" s="96"/>
      <c r="C2284" s="136"/>
      <c r="D2284" s="136"/>
      <c r="E2284" s="137"/>
      <c r="F2284" s="133"/>
      <c r="G2284" s="96"/>
      <c r="H2284" s="100"/>
      <c r="I2284" s="100"/>
      <c r="J2284" s="39" t="s">
        <v>334</v>
      </c>
      <c r="K2284" s="134"/>
      <c r="L2284" s="139"/>
      <c r="M2284" s="62"/>
      <c r="N2284" s="28" t="e">
        <f t="shared" si="8"/>
        <v>#VALUE!</v>
      </c>
      <c r="O2284" s="69"/>
      <c r="P2284" s="29" t="s">
        <v>334</v>
      </c>
      <c r="Q2284" s="55"/>
      <c r="R2284" s="31" t="e">
        <f t="shared" si="9"/>
        <v>#VALUE!</v>
      </c>
      <c r="S2284" s="132"/>
      <c r="T2284" s="32" t="e">
        <f t="shared" si="10"/>
        <v>#VALUE!</v>
      </c>
      <c r="U2284" s="57"/>
      <c r="V2284" s="58"/>
      <c r="W2284" s="58"/>
      <c r="X2284" s="30" t="e">
        <f t="shared" si="11"/>
        <v>#N/A</v>
      </c>
      <c r="Y2284" s="30" t="e">
        <f t="shared" si="12"/>
        <v>#N/A</v>
      </c>
      <c r="Z2284" s="35" t="e">
        <f t="shared" si="13"/>
        <v>#VALUE!</v>
      </c>
      <c r="AA2284" s="29" t="e">
        <f t="shared" si="14"/>
        <v>#VALUE!</v>
      </c>
      <c r="AB2284" s="36" t="e">
        <f t="shared" si="15"/>
        <v>#VALUE!</v>
      </c>
      <c r="AC2284" s="37" t="b">
        <v>0</v>
      </c>
      <c r="AD2284" s="61" t="str">
        <f t="shared" si="16"/>
        <v>USD</v>
      </c>
      <c r="AE2284" s="37"/>
      <c r="AF2284" s="37" t="e">
        <f t="array" ref="AF2284">INDEX('Deal Info'!D:D, MATCH(A2284,'Deal Info'!A:A, 0))</f>
        <v>#N/A</v>
      </c>
      <c r="AG2284" s="38" t="e">
        <f t="array" ref="AG2284">INDEX('Deal Info'!G:G, MATCH(A2284,'Deal Info'!A:A, 0))</f>
        <v>#N/A</v>
      </c>
    </row>
    <row r="2285" spans="1:33" ht="14.25" hidden="1" x14ac:dyDescent="0.2">
      <c r="A2285" s="18" t="b">
        <f t="array" ref="A2285">IF(G2285='Room Info'!$B$1, INDEX('Room Info'!$A$2:$A2446, MATCH(B2285,'Room Info'!$B$2:$B2446, 0)),IF(G2285='Room Info'!$C$1, INDEX('Room Info'!$A$2:$A2446, MATCH(B2285,'Room Info'!$C$2:$C2446, 0)),IF(G2285='Room Info'!$D$1, INDEX('Room Info'!$A$2:$A2446, MATCH(B2285,'Room Info'!$D$2:$D2446, 0)),IF(G2285='Room Info'!$E$1, INDEX('Room Info'!$A$2:$A2446, MATCH(B2285,'Room Info'!$E$2:$E2446, 0)),IF(G2285='Room Info'!$F$1, INDEX('Room Info'!$A$2:$A2446, MATCH(B2285,'Room Info'!$F$2:$F2446, 0)),IF(G2285='Room Info'!$H$1, INDEX('Room Info'!$A$2:$A2446, MATCH(B2285,'Room Info'!$H$2:$H2446, 0)),IF(G2285='Room Info'!$G$1, INDEX('Room Info'!$A$2:$A2446, MATCH(B2285,'Room Info'!$G$2:$G2446, 0)))))))))</f>
        <v>0</v>
      </c>
      <c r="B2285" s="65"/>
      <c r="C2285" s="111"/>
      <c r="D2285" s="111"/>
      <c r="E2285" s="80"/>
      <c r="F2285" s="133"/>
      <c r="G2285" s="65"/>
      <c r="H2285" s="110"/>
      <c r="I2285" s="110"/>
      <c r="J2285" s="39" t="s">
        <v>334</v>
      </c>
      <c r="K2285" s="112"/>
      <c r="L2285" s="138"/>
      <c r="M2285" s="62"/>
      <c r="N2285" s="28" t="e">
        <f t="shared" si="8"/>
        <v>#VALUE!</v>
      </c>
      <c r="O2285" s="128"/>
      <c r="P2285" s="29" t="s">
        <v>334</v>
      </c>
      <c r="Q2285" s="55"/>
      <c r="R2285" s="31" t="e">
        <f t="shared" si="9"/>
        <v>#VALUE!</v>
      </c>
      <c r="S2285" s="118"/>
      <c r="T2285" s="32" t="e">
        <f t="shared" si="10"/>
        <v>#VALUE!</v>
      </c>
      <c r="U2285" s="57"/>
      <c r="V2285" s="58"/>
      <c r="W2285" s="58"/>
      <c r="X2285" s="30" t="e">
        <f t="shared" si="11"/>
        <v>#N/A</v>
      </c>
      <c r="Y2285" s="30" t="e">
        <f t="shared" si="12"/>
        <v>#N/A</v>
      </c>
      <c r="Z2285" s="35" t="e">
        <f t="shared" si="13"/>
        <v>#VALUE!</v>
      </c>
      <c r="AA2285" s="29" t="e">
        <f t="shared" si="14"/>
        <v>#VALUE!</v>
      </c>
      <c r="AB2285" s="36" t="e">
        <f t="shared" si="15"/>
        <v>#VALUE!</v>
      </c>
      <c r="AC2285" s="37" t="b">
        <v>0</v>
      </c>
      <c r="AD2285" s="61" t="str">
        <f t="shared" si="16"/>
        <v>USD</v>
      </c>
      <c r="AE2285" s="37"/>
      <c r="AF2285" s="37" t="e">
        <f t="array" ref="AF2285">INDEX('Deal Info'!D:D, MATCH(A2285,'Deal Info'!A:A, 0))</f>
        <v>#N/A</v>
      </c>
      <c r="AG2285" s="38" t="e">
        <f t="array" ref="AG2285">INDEX('Deal Info'!G:G, MATCH(A2285,'Deal Info'!A:A, 0))</f>
        <v>#N/A</v>
      </c>
    </row>
    <row r="2286" spans="1:33" ht="14.25" hidden="1" x14ac:dyDescent="0.2">
      <c r="A2286" s="18" t="b">
        <f t="array" ref="A2286">IF(G2286='Room Info'!$B$1, INDEX('Room Info'!$A$2:$A2446, MATCH(B2286,'Room Info'!$B$2:$B2446, 0)),IF(G2286='Room Info'!$C$1, INDEX('Room Info'!$A$2:$A2446, MATCH(B2286,'Room Info'!$C$2:$C2446, 0)),IF(G2286='Room Info'!$D$1, INDEX('Room Info'!$A$2:$A2446, MATCH(B2286,'Room Info'!$D$2:$D2446, 0)),IF(G2286='Room Info'!$E$1, INDEX('Room Info'!$A$2:$A2446, MATCH(B2286,'Room Info'!$E$2:$E2446, 0)),IF(G2286='Room Info'!$F$1, INDEX('Room Info'!$A$2:$A2446, MATCH(B2286,'Room Info'!$F$2:$F2446, 0)),IF(G2286='Room Info'!$H$1, INDEX('Room Info'!$A$2:$A2446, MATCH(B2286,'Room Info'!$H$2:$H2446, 0)),IF(G2286='Room Info'!$G$1, INDEX('Room Info'!$A$2:$A2446, MATCH(B2286,'Room Info'!$G$2:$G2446, 0)))))))))</f>
        <v>0</v>
      </c>
      <c r="B2286" s="65"/>
      <c r="C2286" s="111"/>
      <c r="D2286" s="111"/>
      <c r="E2286" s="80"/>
      <c r="F2286" s="133"/>
      <c r="G2286" s="65"/>
      <c r="H2286" s="110"/>
      <c r="I2286" s="110"/>
      <c r="J2286" s="39" t="s">
        <v>334</v>
      </c>
      <c r="K2286" s="112"/>
      <c r="L2286" s="138"/>
      <c r="M2286" s="62"/>
      <c r="N2286" s="28" t="e">
        <f t="shared" si="8"/>
        <v>#VALUE!</v>
      </c>
      <c r="O2286" s="128"/>
      <c r="P2286" s="29" t="s">
        <v>334</v>
      </c>
      <c r="Q2286" s="55"/>
      <c r="R2286" s="31" t="e">
        <f t="shared" si="9"/>
        <v>#VALUE!</v>
      </c>
      <c r="S2286" s="118"/>
      <c r="T2286" s="32" t="e">
        <f t="shared" si="10"/>
        <v>#VALUE!</v>
      </c>
      <c r="U2286" s="57"/>
      <c r="V2286" s="58"/>
      <c r="W2286" s="58"/>
      <c r="X2286" s="30" t="e">
        <f t="shared" si="11"/>
        <v>#N/A</v>
      </c>
      <c r="Y2286" s="30" t="e">
        <f t="shared" si="12"/>
        <v>#N/A</v>
      </c>
      <c r="Z2286" s="35" t="e">
        <f t="shared" si="13"/>
        <v>#VALUE!</v>
      </c>
      <c r="AA2286" s="29" t="e">
        <f t="shared" si="14"/>
        <v>#VALUE!</v>
      </c>
      <c r="AB2286" s="36" t="e">
        <f t="shared" si="15"/>
        <v>#VALUE!</v>
      </c>
      <c r="AC2286" s="37" t="b">
        <v>0</v>
      </c>
      <c r="AD2286" s="61" t="str">
        <f t="shared" si="16"/>
        <v>USD</v>
      </c>
      <c r="AE2286" s="37"/>
      <c r="AF2286" s="37" t="e">
        <f t="array" ref="AF2286">INDEX('Deal Info'!D:D, MATCH(A2286,'Deal Info'!A:A, 0))</f>
        <v>#N/A</v>
      </c>
      <c r="AG2286" s="38" t="e">
        <f t="array" ref="AG2286">INDEX('Deal Info'!G:G, MATCH(A2286,'Deal Info'!A:A, 0))</f>
        <v>#N/A</v>
      </c>
    </row>
    <row r="2287" spans="1:33" ht="14.25" hidden="1" x14ac:dyDescent="0.2">
      <c r="A2287" s="18" t="b">
        <f t="array" ref="A2287">IF(G2287='Room Info'!$B$1, INDEX('Room Info'!$A$2:$A2446, MATCH(B2287,'Room Info'!$B$2:$B2446, 0)),IF(G2287='Room Info'!$C$1, INDEX('Room Info'!$A$2:$A2446, MATCH(B2287,'Room Info'!$C$2:$C2446, 0)),IF(G2287='Room Info'!$D$1, INDEX('Room Info'!$A$2:$A2446, MATCH(B2287,'Room Info'!$D$2:$D2446, 0)),IF(G2287='Room Info'!$E$1, INDEX('Room Info'!$A$2:$A2446, MATCH(B2287,'Room Info'!$E$2:$E2446, 0)),IF(G2287='Room Info'!$F$1, INDEX('Room Info'!$A$2:$A2446, MATCH(B2287,'Room Info'!$F$2:$F2446, 0)),IF(G2287='Room Info'!$H$1, INDEX('Room Info'!$A$2:$A2446, MATCH(B2287,'Room Info'!$H$2:$H2446, 0)),IF(G2287='Room Info'!$G$1, INDEX('Room Info'!$A$2:$A2446, MATCH(B2287,'Room Info'!$G$2:$G2446, 0)))))))))</f>
        <v>0</v>
      </c>
      <c r="B2287" s="65"/>
      <c r="C2287" s="111"/>
      <c r="D2287" s="111"/>
      <c r="E2287" s="80"/>
      <c r="F2287" s="133"/>
      <c r="G2287" s="65"/>
      <c r="H2287" s="110"/>
      <c r="I2287" s="110"/>
      <c r="J2287" s="39" t="s">
        <v>334</v>
      </c>
      <c r="K2287" s="112"/>
      <c r="L2287" s="138"/>
      <c r="M2287" s="62"/>
      <c r="N2287" s="28" t="e">
        <f t="shared" si="8"/>
        <v>#VALUE!</v>
      </c>
      <c r="O2287" s="128"/>
      <c r="P2287" s="29" t="s">
        <v>334</v>
      </c>
      <c r="Q2287" s="55"/>
      <c r="R2287" s="31" t="e">
        <f t="shared" si="9"/>
        <v>#VALUE!</v>
      </c>
      <c r="S2287" s="118"/>
      <c r="T2287" s="32" t="e">
        <f t="shared" si="10"/>
        <v>#VALUE!</v>
      </c>
      <c r="U2287" s="57"/>
      <c r="V2287" s="58"/>
      <c r="W2287" s="58"/>
      <c r="X2287" s="30" t="e">
        <f t="shared" si="11"/>
        <v>#N/A</v>
      </c>
      <c r="Y2287" s="30" t="e">
        <f t="shared" si="12"/>
        <v>#N/A</v>
      </c>
      <c r="Z2287" s="35" t="e">
        <f t="shared" si="13"/>
        <v>#VALUE!</v>
      </c>
      <c r="AA2287" s="29" t="e">
        <f t="shared" si="14"/>
        <v>#VALUE!</v>
      </c>
      <c r="AB2287" s="36" t="e">
        <f t="shared" si="15"/>
        <v>#VALUE!</v>
      </c>
      <c r="AC2287" s="37" t="b">
        <v>0</v>
      </c>
      <c r="AD2287" s="61" t="str">
        <f t="shared" si="16"/>
        <v>USD</v>
      </c>
      <c r="AE2287" s="37"/>
      <c r="AF2287" s="37" t="e">
        <f t="array" ref="AF2287">INDEX('Deal Info'!D:D, MATCH(A2287,'Deal Info'!A:A, 0))</f>
        <v>#N/A</v>
      </c>
      <c r="AG2287" s="38" t="e">
        <f t="array" ref="AG2287">INDEX('Deal Info'!G:G, MATCH(A2287,'Deal Info'!A:A, 0))</f>
        <v>#N/A</v>
      </c>
    </row>
    <row r="2288" spans="1:33" ht="14.25" hidden="1" x14ac:dyDescent="0.2">
      <c r="A2288" s="18" t="b">
        <f t="array" ref="A2288">IF(G2288='Room Info'!$B$1, INDEX('Room Info'!$A$2:$A2446, MATCH(B2288,'Room Info'!$B$2:$B2446, 0)),IF(G2288='Room Info'!$C$1, INDEX('Room Info'!$A$2:$A2446, MATCH(B2288,'Room Info'!$C$2:$C2446, 0)),IF(G2288='Room Info'!$D$1, INDEX('Room Info'!$A$2:$A2446, MATCH(B2288,'Room Info'!$D$2:$D2446, 0)),IF(G2288='Room Info'!$E$1, INDEX('Room Info'!$A$2:$A2446, MATCH(B2288,'Room Info'!$E$2:$E2446, 0)),IF(G2288='Room Info'!$F$1, INDEX('Room Info'!$A$2:$A2446, MATCH(B2288,'Room Info'!$F$2:$F2446, 0)),IF(G2288='Room Info'!$H$1, INDEX('Room Info'!$A$2:$A2446, MATCH(B2288,'Room Info'!$H$2:$H2446, 0)),IF(G2288='Room Info'!$G$1, INDEX('Room Info'!$A$2:$A2446, MATCH(B2288,'Room Info'!$G$2:$G2446, 0)))))))))</f>
        <v>0</v>
      </c>
      <c r="B2288" s="65"/>
      <c r="C2288" s="111"/>
      <c r="D2288" s="111"/>
      <c r="E2288" s="80"/>
      <c r="F2288" s="133"/>
      <c r="G2288" s="65"/>
      <c r="H2288" s="110"/>
      <c r="I2288" s="110"/>
      <c r="J2288" s="39" t="s">
        <v>334</v>
      </c>
      <c r="K2288" s="112"/>
      <c r="L2288" s="138"/>
      <c r="M2288" s="62"/>
      <c r="N2288" s="28" t="e">
        <f t="shared" si="8"/>
        <v>#VALUE!</v>
      </c>
      <c r="O2288" s="128"/>
      <c r="P2288" s="29" t="s">
        <v>334</v>
      </c>
      <c r="Q2288" s="55"/>
      <c r="R2288" s="31" t="e">
        <f t="shared" si="9"/>
        <v>#VALUE!</v>
      </c>
      <c r="S2288" s="118"/>
      <c r="T2288" s="32" t="e">
        <f t="shared" si="10"/>
        <v>#VALUE!</v>
      </c>
      <c r="U2288" s="57"/>
      <c r="V2288" s="58"/>
      <c r="W2288" s="58"/>
      <c r="X2288" s="30" t="e">
        <f t="shared" si="11"/>
        <v>#N/A</v>
      </c>
      <c r="Y2288" s="30" t="e">
        <f t="shared" si="12"/>
        <v>#N/A</v>
      </c>
      <c r="Z2288" s="35" t="e">
        <f t="shared" si="13"/>
        <v>#VALUE!</v>
      </c>
      <c r="AA2288" s="29" t="e">
        <f t="shared" si="14"/>
        <v>#VALUE!</v>
      </c>
      <c r="AB2288" s="36" t="e">
        <f t="shared" si="15"/>
        <v>#VALUE!</v>
      </c>
      <c r="AC2288" s="37" t="b">
        <v>0</v>
      </c>
      <c r="AD2288" s="61" t="str">
        <f t="shared" si="16"/>
        <v>USD</v>
      </c>
      <c r="AE2288" s="37"/>
      <c r="AF2288" s="37" t="e">
        <f t="array" ref="AF2288">INDEX('Deal Info'!D:D, MATCH(A2288,'Deal Info'!A:A, 0))</f>
        <v>#N/A</v>
      </c>
      <c r="AG2288" s="38" t="e">
        <f t="array" ref="AG2288">INDEX('Deal Info'!G:G, MATCH(A2288,'Deal Info'!A:A, 0))</f>
        <v>#N/A</v>
      </c>
    </row>
    <row r="2289" spans="1:33" ht="14.25" hidden="1" x14ac:dyDescent="0.2">
      <c r="A2289" s="18" t="b">
        <f t="array" ref="A2289">IF(G2289='Room Info'!$B$1, INDEX('Room Info'!$A$2:$A2446, MATCH(B2289,'Room Info'!$B$2:$B2446, 0)),IF(G2289='Room Info'!$C$1, INDEX('Room Info'!$A$2:$A2446, MATCH(B2289,'Room Info'!$C$2:$C2446, 0)),IF(G2289='Room Info'!$D$1, INDEX('Room Info'!$A$2:$A2446, MATCH(B2289,'Room Info'!$D$2:$D2446, 0)),IF(G2289='Room Info'!$E$1, INDEX('Room Info'!$A$2:$A2446, MATCH(B2289,'Room Info'!$E$2:$E2446, 0)),IF(G2289='Room Info'!$F$1, INDEX('Room Info'!$A$2:$A2446, MATCH(B2289,'Room Info'!$F$2:$F2446, 0)),IF(G2289='Room Info'!$H$1, INDEX('Room Info'!$A$2:$A2446, MATCH(B2289,'Room Info'!$H$2:$H2446, 0)),IF(G2289='Room Info'!$G$1, INDEX('Room Info'!$A$2:$A2446, MATCH(B2289,'Room Info'!$G$2:$G2446, 0)))))))))</f>
        <v>0</v>
      </c>
      <c r="B2289" s="65"/>
      <c r="C2289" s="111"/>
      <c r="D2289" s="111"/>
      <c r="E2289" s="80"/>
      <c r="F2289" s="133"/>
      <c r="G2289" s="65"/>
      <c r="H2289" s="110"/>
      <c r="I2289" s="110"/>
      <c r="J2289" s="39" t="s">
        <v>334</v>
      </c>
      <c r="K2289" s="112"/>
      <c r="L2289" s="138"/>
      <c r="M2289" s="62"/>
      <c r="N2289" s="28" t="e">
        <f t="shared" si="8"/>
        <v>#VALUE!</v>
      </c>
      <c r="O2289" s="128"/>
      <c r="P2289" s="29" t="s">
        <v>334</v>
      </c>
      <c r="Q2289" s="55"/>
      <c r="R2289" s="31" t="e">
        <f t="shared" si="9"/>
        <v>#VALUE!</v>
      </c>
      <c r="S2289" s="118"/>
      <c r="T2289" s="32" t="e">
        <f t="shared" si="10"/>
        <v>#VALUE!</v>
      </c>
      <c r="U2289" s="57"/>
      <c r="V2289" s="58"/>
      <c r="W2289" s="58"/>
      <c r="X2289" s="30" t="e">
        <f t="shared" si="11"/>
        <v>#N/A</v>
      </c>
      <c r="Y2289" s="30" t="e">
        <f t="shared" si="12"/>
        <v>#N/A</v>
      </c>
      <c r="Z2289" s="35" t="e">
        <f t="shared" si="13"/>
        <v>#VALUE!</v>
      </c>
      <c r="AA2289" s="29" t="e">
        <f t="shared" si="14"/>
        <v>#VALUE!</v>
      </c>
      <c r="AB2289" s="36" t="e">
        <f t="shared" si="15"/>
        <v>#VALUE!</v>
      </c>
      <c r="AC2289" s="37" t="b">
        <v>0</v>
      </c>
      <c r="AD2289" s="61" t="str">
        <f t="shared" si="16"/>
        <v>USD</v>
      </c>
      <c r="AE2289" s="37"/>
      <c r="AF2289" s="37" t="e">
        <f t="array" ref="AF2289">INDEX('Deal Info'!D:D, MATCH(A2289,'Deal Info'!A:A, 0))</f>
        <v>#N/A</v>
      </c>
      <c r="AG2289" s="38" t="e">
        <f t="array" ref="AG2289">INDEX('Deal Info'!G:G, MATCH(A2289,'Deal Info'!A:A, 0))</f>
        <v>#N/A</v>
      </c>
    </row>
    <row r="2290" spans="1:33" ht="14.25" hidden="1" x14ac:dyDescent="0.2">
      <c r="A2290" s="18" t="b">
        <f t="array" ref="A2290">IF(G2290='Room Info'!$B$1, INDEX('Room Info'!$A$2:$A2446, MATCH(B2290,'Room Info'!$B$2:$B2446, 0)),IF(G2290='Room Info'!$C$1, INDEX('Room Info'!$A$2:$A2446, MATCH(B2290,'Room Info'!$C$2:$C2446, 0)),IF(G2290='Room Info'!$D$1, INDEX('Room Info'!$A$2:$A2446, MATCH(B2290,'Room Info'!$D$2:$D2446, 0)),IF(G2290='Room Info'!$E$1, INDEX('Room Info'!$A$2:$A2446, MATCH(B2290,'Room Info'!$E$2:$E2446, 0)),IF(G2290='Room Info'!$F$1, INDEX('Room Info'!$A$2:$A2446, MATCH(B2290,'Room Info'!$F$2:$F2446, 0)),IF(G2290='Room Info'!$H$1, INDEX('Room Info'!$A$2:$A2446, MATCH(B2290,'Room Info'!$H$2:$H2446, 0)),IF(G2290='Room Info'!$G$1, INDEX('Room Info'!$A$2:$A2446, MATCH(B2290,'Room Info'!$G$2:$G2446, 0)))))))))</f>
        <v>0</v>
      </c>
      <c r="B2290" s="65"/>
      <c r="C2290" s="111"/>
      <c r="D2290" s="111"/>
      <c r="E2290" s="80"/>
      <c r="F2290" s="133"/>
      <c r="G2290" s="65"/>
      <c r="H2290" s="110"/>
      <c r="I2290" s="110"/>
      <c r="J2290" s="39" t="s">
        <v>334</v>
      </c>
      <c r="K2290" s="112"/>
      <c r="L2290" s="138"/>
      <c r="M2290" s="62"/>
      <c r="N2290" s="28" t="e">
        <f t="shared" si="8"/>
        <v>#VALUE!</v>
      </c>
      <c r="O2290" s="128"/>
      <c r="P2290" s="29" t="s">
        <v>334</v>
      </c>
      <c r="Q2290" s="55"/>
      <c r="R2290" s="31" t="e">
        <f t="shared" si="9"/>
        <v>#VALUE!</v>
      </c>
      <c r="S2290" s="118"/>
      <c r="T2290" s="32" t="e">
        <f t="shared" si="10"/>
        <v>#VALUE!</v>
      </c>
      <c r="U2290" s="57"/>
      <c r="V2290" s="58"/>
      <c r="W2290" s="58"/>
      <c r="X2290" s="30" t="e">
        <f t="shared" si="11"/>
        <v>#N/A</v>
      </c>
      <c r="Y2290" s="30" t="e">
        <f t="shared" si="12"/>
        <v>#N/A</v>
      </c>
      <c r="Z2290" s="35" t="e">
        <f t="shared" si="13"/>
        <v>#VALUE!</v>
      </c>
      <c r="AA2290" s="29" t="e">
        <f t="shared" si="14"/>
        <v>#VALUE!</v>
      </c>
      <c r="AB2290" s="36" t="e">
        <f t="shared" si="15"/>
        <v>#VALUE!</v>
      </c>
      <c r="AC2290" s="37" t="b">
        <v>0</v>
      </c>
      <c r="AD2290" s="61" t="str">
        <f t="shared" si="16"/>
        <v>USD</v>
      </c>
      <c r="AE2290" s="37"/>
      <c r="AF2290" s="37" t="e">
        <f t="array" ref="AF2290">INDEX('Deal Info'!D:D, MATCH(A2290,'Deal Info'!A:A, 0))</f>
        <v>#N/A</v>
      </c>
      <c r="AG2290" s="38" t="e">
        <f t="array" ref="AG2290">INDEX('Deal Info'!G:G, MATCH(A2290,'Deal Info'!A:A, 0))</f>
        <v>#N/A</v>
      </c>
    </row>
    <row r="2291" spans="1:33" ht="14.25" hidden="1" x14ac:dyDescent="0.2">
      <c r="A2291" s="18" t="b">
        <f t="array" ref="A2291">IF(G2291='Room Info'!$B$1, INDEX('Room Info'!$A$2:$A2446, MATCH(B2291,'Room Info'!$B$2:$B2446, 0)),IF(G2291='Room Info'!$C$1, INDEX('Room Info'!$A$2:$A2446, MATCH(B2291,'Room Info'!$C$2:$C2446, 0)),IF(G2291='Room Info'!$D$1, INDEX('Room Info'!$A$2:$A2446, MATCH(B2291,'Room Info'!$D$2:$D2446, 0)),IF(G2291='Room Info'!$E$1, INDEX('Room Info'!$A$2:$A2446, MATCH(B2291,'Room Info'!$E$2:$E2446, 0)),IF(G2291='Room Info'!$F$1, INDEX('Room Info'!$A$2:$A2446, MATCH(B2291,'Room Info'!$F$2:$F2446, 0)),IF(G2291='Room Info'!$H$1, INDEX('Room Info'!$A$2:$A2446, MATCH(B2291,'Room Info'!$H$2:$H2446, 0)),IF(G2291='Room Info'!$G$1, INDEX('Room Info'!$A$2:$A2446, MATCH(B2291,'Room Info'!$G$2:$G2446, 0)))))))))</f>
        <v>0</v>
      </c>
      <c r="B2291" s="65"/>
      <c r="C2291" s="111"/>
      <c r="D2291" s="111"/>
      <c r="E2291" s="80"/>
      <c r="F2291" s="133"/>
      <c r="G2291" s="65"/>
      <c r="H2291" s="110"/>
      <c r="I2291" s="110"/>
      <c r="J2291" s="39" t="s">
        <v>334</v>
      </c>
      <c r="K2291" s="112"/>
      <c r="L2291" s="138"/>
      <c r="M2291" s="62"/>
      <c r="N2291" s="28" t="e">
        <f t="shared" si="8"/>
        <v>#VALUE!</v>
      </c>
      <c r="O2291" s="128"/>
      <c r="P2291" s="29" t="s">
        <v>334</v>
      </c>
      <c r="Q2291" s="55"/>
      <c r="R2291" s="31" t="e">
        <f t="shared" si="9"/>
        <v>#VALUE!</v>
      </c>
      <c r="S2291" s="118"/>
      <c r="T2291" s="32" t="e">
        <f t="shared" si="10"/>
        <v>#VALUE!</v>
      </c>
      <c r="U2291" s="57"/>
      <c r="V2291" s="58"/>
      <c r="W2291" s="58"/>
      <c r="X2291" s="30" t="e">
        <f t="shared" si="11"/>
        <v>#N/A</v>
      </c>
      <c r="Y2291" s="30" t="e">
        <f t="shared" si="12"/>
        <v>#N/A</v>
      </c>
      <c r="Z2291" s="35" t="e">
        <f t="shared" si="13"/>
        <v>#VALUE!</v>
      </c>
      <c r="AA2291" s="29" t="e">
        <f t="shared" si="14"/>
        <v>#VALUE!</v>
      </c>
      <c r="AB2291" s="36" t="e">
        <f t="shared" si="15"/>
        <v>#VALUE!</v>
      </c>
      <c r="AC2291" s="37" t="b">
        <v>0</v>
      </c>
      <c r="AD2291" s="61" t="str">
        <f t="shared" si="16"/>
        <v>USD</v>
      </c>
      <c r="AE2291" s="37"/>
      <c r="AF2291" s="37" t="e">
        <f t="array" ref="AF2291">INDEX('Deal Info'!D:D, MATCH(A2291,'Deal Info'!A:A, 0))</f>
        <v>#N/A</v>
      </c>
      <c r="AG2291" s="38" t="e">
        <f t="array" ref="AG2291">INDEX('Deal Info'!G:G, MATCH(A2291,'Deal Info'!A:A, 0))</f>
        <v>#N/A</v>
      </c>
    </row>
    <row r="2292" spans="1:33" ht="14.25" hidden="1" x14ac:dyDescent="0.2">
      <c r="A2292" s="18" t="b">
        <f t="array" ref="A2292">IF(G2292='Room Info'!$B$1, INDEX('Room Info'!$A$2:$A2446, MATCH(B2292,'Room Info'!$B$2:$B2446, 0)),IF(G2292='Room Info'!$C$1, INDEX('Room Info'!$A$2:$A2446, MATCH(B2292,'Room Info'!$C$2:$C2446, 0)),IF(G2292='Room Info'!$D$1, INDEX('Room Info'!$A$2:$A2446, MATCH(B2292,'Room Info'!$D$2:$D2446, 0)),IF(G2292='Room Info'!$E$1, INDEX('Room Info'!$A$2:$A2446, MATCH(B2292,'Room Info'!$E$2:$E2446, 0)),IF(G2292='Room Info'!$F$1, INDEX('Room Info'!$A$2:$A2446, MATCH(B2292,'Room Info'!$F$2:$F2446, 0)),IF(G2292='Room Info'!$H$1, INDEX('Room Info'!$A$2:$A2446, MATCH(B2292,'Room Info'!$H$2:$H2446, 0)),IF(G2292='Room Info'!$G$1, INDEX('Room Info'!$A$2:$A2446, MATCH(B2292,'Room Info'!$G$2:$G2446, 0)))))))))</f>
        <v>0</v>
      </c>
      <c r="B2292" s="65"/>
      <c r="C2292" s="111"/>
      <c r="D2292" s="111"/>
      <c r="E2292" s="80"/>
      <c r="F2292" s="133"/>
      <c r="G2292" s="65"/>
      <c r="H2292" s="110"/>
      <c r="I2292" s="110"/>
      <c r="J2292" s="39" t="s">
        <v>334</v>
      </c>
      <c r="K2292" s="112"/>
      <c r="L2292" s="138"/>
      <c r="M2292" s="62"/>
      <c r="N2292" s="28" t="e">
        <f t="shared" si="8"/>
        <v>#VALUE!</v>
      </c>
      <c r="O2292" s="128"/>
      <c r="P2292" s="29" t="s">
        <v>334</v>
      </c>
      <c r="Q2292" s="55"/>
      <c r="R2292" s="31" t="e">
        <f t="shared" si="9"/>
        <v>#VALUE!</v>
      </c>
      <c r="S2292" s="118"/>
      <c r="T2292" s="32" t="e">
        <f t="shared" si="10"/>
        <v>#VALUE!</v>
      </c>
      <c r="U2292" s="57"/>
      <c r="V2292" s="58"/>
      <c r="W2292" s="58"/>
      <c r="X2292" s="30" t="e">
        <f t="shared" si="11"/>
        <v>#N/A</v>
      </c>
      <c r="Y2292" s="30" t="e">
        <f t="shared" si="12"/>
        <v>#N/A</v>
      </c>
      <c r="Z2292" s="35" t="e">
        <f t="shared" si="13"/>
        <v>#VALUE!</v>
      </c>
      <c r="AA2292" s="29" t="e">
        <f t="shared" si="14"/>
        <v>#VALUE!</v>
      </c>
      <c r="AB2292" s="36" t="e">
        <f t="shared" si="15"/>
        <v>#VALUE!</v>
      </c>
      <c r="AC2292" s="37" t="b">
        <v>0</v>
      </c>
      <c r="AD2292" s="61" t="str">
        <f t="shared" si="16"/>
        <v>USD</v>
      </c>
      <c r="AE2292" s="37"/>
      <c r="AF2292" s="37" t="e">
        <f t="array" ref="AF2292">INDEX('Deal Info'!D:D, MATCH(A2292,'Deal Info'!A:A, 0))</f>
        <v>#N/A</v>
      </c>
      <c r="AG2292" s="38" t="e">
        <f t="array" ref="AG2292">INDEX('Deal Info'!G:G, MATCH(A2292,'Deal Info'!A:A, 0))</f>
        <v>#N/A</v>
      </c>
    </row>
    <row r="2293" spans="1:33" ht="14.25" hidden="1" x14ac:dyDescent="0.2">
      <c r="A2293" s="18" t="b">
        <f t="array" ref="A2293">IF(G2293='Room Info'!$B$1, INDEX('Room Info'!$A$2:$A2446, MATCH(B2293,'Room Info'!$B$2:$B2446, 0)),IF(G2293='Room Info'!$C$1, INDEX('Room Info'!$A$2:$A2446, MATCH(B2293,'Room Info'!$C$2:$C2446, 0)),IF(G2293='Room Info'!$D$1, INDEX('Room Info'!$A$2:$A2446, MATCH(B2293,'Room Info'!$D$2:$D2446, 0)),IF(G2293='Room Info'!$E$1, INDEX('Room Info'!$A$2:$A2446, MATCH(B2293,'Room Info'!$E$2:$E2446, 0)),IF(G2293='Room Info'!$F$1, INDEX('Room Info'!$A$2:$A2446, MATCH(B2293,'Room Info'!$F$2:$F2446, 0)),IF(G2293='Room Info'!$H$1, INDEX('Room Info'!$A$2:$A2446, MATCH(B2293,'Room Info'!$H$2:$H2446, 0)),IF(G2293='Room Info'!$G$1, INDEX('Room Info'!$A$2:$A2446, MATCH(B2293,'Room Info'!$G$2:$G2446, 0)))))))))</f>
        <v>0</v>
      </c>
      <c r="B2293" s="96"/>
      <c r="C2293" s="111"/>
      <c r="D2293" s="111"/>
      <c r="E2293" s="80"/>
      <c r="F2293" s="96"/>
      <c r="G2293" s="65"/>
      <c r="H2293" s="110"/>
      <c r="I2293" s="110"/>
      <c r="J2293" s="39" t="s">
        <v>334</v>
      </c>
      <c r="K2293" s="112"/>
      <c r="L2293" s="113"/>
      <c r="M2293" s="62"/>
      <c r="N2293" s="28" t="e">
        <f t="shared" si="8"/>
        <v>#VALUE!</v>
      </c>
      <c r="O2293" s="65"/>
      <c r="P2293" s="29" t="s">
        <v>334</v>
      </c>
      <c r="Q2293" s="55"/>
      <c r="R2293" s="31" t="e">
        <f t="shared" si="9"/>
        <v>#VALUE!</v>
      </c>
      <c r="S2293" s="66"/>
      <c r="T2293" s="32" t="e">
        <f t="shared" si="10"/>
        <v>#VALUE!</v>
      </c>
      <c r="U2293" s="57"/>
      <c r="V2293" s="58"/>
      <c r="W2293" s="58"/>
      <c r="X2293" s="30" t="e">
        <f t="shared" si="11"/>
        <v>#N/A</v>
      </c>
      <c r="Y2293" s="30" t="e">
        <f t="shared" si="12"/>
        <v>#N/A</v>
      </c>
      <c r="Z2293" s="35" t="e">
        <f t="shared" si="13"/>
        <v>#VALUE!</v>
      </c>
      <c r="AA2293" s="29" t="e">
        <f t="shared" si="14"/>
        <v>#VALUE!</v>
      </c>
      <c r="AB2293" s="36" t="e">
        <f t="shared" si="15"/>
        <v>#VALUE!</v>
      </c>
      <c r="AC2293" s="37" t="b">
        <v>0</v>
      </c>
      <c r="AD2293" s="61" t="str">
        <f t="shared" si="16"/>
        <v>USD</v>
      </c>
      <c r="AE2293" s="37"/>
      <c r="AF2293" s="37" t="e">
        <f t="array" ref="AF2293">INDEX('Deal Info'!D:D, MATCH(A2293,'Deal Info'!A:A, 0))</f>
        <v>#N/A</v>
      </c>
      <c r="AG2293" s="38" t="e">
        <f t="array" ref="AG2293">INDEX('Deal Info'!G:G, MATCH(A2293,'Deal Info'!A:A, 0))</f>
        <v>#N/A</v>
      </c>
    </row>
    <row r="2294" spans="1:33" ht="14.25" hidden="1" x14ac:dyDescent="0.2">
      <c r="A2294" s="18" t="b">
        <f t="array" ref="A2294">IF(G2294='Room Info'!$B$1, INDEX('Room Info'!$A$2:$A2446, MATCH(B2294,'Room Info'!$B$2:$B2446, 0)),IF(G2294='Room Info'!$C$1, INDEX('Room Info'!$A$2:$A2446, MATCH(B2294,'Room Info'!$C$2:$C2446, 0)),IF(G2294='Room Info'!$D$1, INDEX('Room Info'!$A$2:$A2446, MATCH(B2294,'Room Info'!$D$2:$D2446, 0)),IF(G2294='Room Info'!$E$1, INDEX('Room Info'!$A$2:$A2446, MATCH(B2294,'Room Info'!$E$2:$E2446, 0)),IF(G2294='Room Info'!$F$1, INDEX('Room Info'!$A$2:$A2446, MATCH(B2294,'Room Info'!$F$2:$F2446, 0)),IF(G2294='Room Info'!$H$1, INDEX('Room Info'!$A$2:$A2446, MATCH(B2294,'Room Info'!$H$2:$H2446, 0)),IF(G2294='Room Info'!$G$1, INDEX('Room Info'!$A$2:$A2446, MATCH(B2294,'Room Info'!$G$2:$G2446, 0)))))))))</f>
        <v>0</v>
      </c>
      <c r="B2294" s="96"/>
      <c r="C2294" s="111"/>
      <c r="D2294" s="111"/>
      <c r="E2294" s="80"/>
      <c r="F2294" s="96"/>
      <c r="G2294" s="65"/>
      <c r="H2294" s="110"/>
      <c r="I2294" s="110"/>
      <c r="J2294" s="39" t="s">
        <v>334</v>
      </c>
      <c r="K2294" s="112"/>
      <c r="L2294" s="113"/>
      <c r="M2294" s="62"/>
      <c r="N2294" s="28" t="e">
        <f t="shared" si="8"/>
        <v>#VALUE!</v>
      </c>
      <c r="O2294" s="65"/>
      <c r="P2294" s="29" t="s">
        <v>334</v>
      </c>
      <c r="Q2294" s="55"/>
      <c r="R2294" s="31" t="e">
        <f t="shared" si="9"/>
        <v>#VALUE!</v>
      </c>
      <c r="S2294" s="66"/>
      <c r="T2294" s="32" t="e">
        <f t="shared" si="10"/>
        <v>#VALUE!</v>
      </c>
      <c r="U2294" s="57"/>
      <c r="V2294" s="58"/>
      <c r="W2294" s="58"/>
      <c r="X2294" s="30" t="e">
        <f t="shared" si="11"/>
        <v>#N/A</v>
      </c>
      <c r="Y2294" s="30" t="e">
        <f t="shared" si="12"/>
        <v>#N/A</v>
      </c>
      <c r="Z2294" s="35" t="e">
        <f t="shared" si="13"/>
        <v>#VALUE!</v>
      </c>
      <c r="AA2294" s="29" t="e">
        <f t="shared" si="14"/>
        <v>#VALUE!</v>
      </c>
      <c r="AB2294" s="36" t="e">
        <f t="shared" si="15"/>
        <v>#VALUE!</v>
      </c>
      <c r="AC2294" s="37" t="b">
        <v>0</v>
      </c>
      <c r="AD2294" s="61" t="str">
        <f t="shared" si="16"/>
        <v>USD</v>
      </c>
      <c r="AE2294" s="37"/>
      <c r="AF2294" s="37" t="e">
        <f t="array" ref="AF2294">INDEX('Deal Info'!D:D, MATCH(A2294,'Deal Info'!A:A, 0))</f>
        <v>#N/A</v>
      </c>
      <c r="AG2294" s="38" t="e">
        <f t="array" ref="AG2294">INDEX('Deal Info'!G:G, MATCH(A2294,'Deal Info'!A:A, 0))</f>
        <v>#N/A</v>
      </c>
    </row>
    <row r="2295" spans="1:33" ht="14.25" hidden="1" x14ac:dyDescent="0.2">
      <c r="A2295" s="18" t="b">
        <f t="array" ref="A2295">IF(G2295='Room Info'!$B$1, INDEX('Room Info'!$A$2:$A2446, MATCH(B2295,'Room Info'!$B$2:$B2446, 0)),IF(G2295='Room Info'!$C$1, INDEX('Room Info'!$A$2:$A2446, MATCH(B2295,'Room Info'!$C$2:$C2446, 0)),IF(G2295='Room Info'!$D$1, INDEX('Room Info'!$A$2:$A2446, MATCH(B2295,'Room Info'!$D$2:$D2446, 0)),IF(G2295='Room Info'!$E$1, INDEX('Room Info'!$A$2:$A2446, MATCH(B2295,'Room Info'!$E$2:$E2446, 0)),IF(G2295='Room Info'!$F$1, INDEX('Room Info'!$A$2:$A2446, MATCH(B2295,'Room Info'!$F$2:$F2446, 0)),IF(G2295='Room Info'!$H$1, INDEX('Room Info'!$A$2:$A2446, MATCH(B2295,'Room Info'!$H$2:$H2446, 0)),IF(G2295='Room Info'!$G$1, INDEX('Room Info'!$A$2:$A2446, MATCH(B2295,'Room Info'!$G$2:$G2446, 0)))))))))</f>
        <v>0</v>
      </c>
      <c r="B2295" s="96"/>
      <c r="C2295" s="111"/>
      <c r="D2295" s="111"/>
      <c r="E2295" s="80"/>
      <c r="F2295" s="96"/>
      <c r="G2295" s="65"/>
      <c r="H2295" s="110"/>
      <c r="I2295" s="110"/>
      <c r="J2295" s="39" t="s">
        <v>334</v>
      </c>
      <c r="K2295" s="112"/>
      <c r="L2295" s="113"/>
      <c r="M2295" s="62"/>
      <c r="N2295" s="28" t="e">
        <f t="shared" si="8"/>
        <v>#VALUE!</v>
      </c>
      <c r="O2295" s="65"/>
      <c r="P2295" s="29" t="s">
        <v>334</v>
      </c>
      <c r="Q2295" s="55"/>
      <c r="R2295" s="31" t="e">
        <f t="shared" si="9"/>
        <v>#VALUE!</v>
      </c>
      <c r="S2295" s="66"/>
      <c r="T2295" s="32" t="e">
        <f t="shared" si="10"/>
        <v>#VALUE!</v>
      </c>
      <c r="U2295" s="57"/>
      <c r="V2295" s="58"/>
      <c r="W2295" s="58"/>
      <c r="X2295" s="30" t="e">
        <f t="shared" si="11"/>
        <v>#N/A</v>
      </c>
      <c r="Y2295" s="30" t="e">
        <f t="shared" si="12"/>
        <v>#N/A</v>
      </c>
      <c r="Z2295" s="35" t="e">
        <f t="shared" si="13"/>
        <v>#VALUE!</v>
      </c>
      <c r="AA2295" s="29" t="e">
        <f t="shared" si="14"/>
        <v>#VALUE!</v>
      </c>
      <c r="AB2295" s="36" t="e">
        <f t="shared" si="15"/>
        <v>#VALUE!</v>
      </c>
      <c r="AC2295" s="37" t="b">
        <v>0</v>
      </c>
      <c r="AD2295" s="61" t="str">
        <f t="shared" si="16"/>
        <v>USD</v>
      </c>
      <c r="AE2295" s="37"/>
      <c r="AF2295" s="37" t="e">
        <f t="array" ref="AF2295">INDEX('Deal Info'!D:D, MATCH(A2295,'Deal Info'!A:A, 0))</f>
        <v>#N/A</v>
      </c>
      <c r="AG2295" s="38" t="e">
        <f t="array" ref="AG2295">INDEX('Deal Info'!G:G, MATCH(A2295,'Deal Info'!A:A, 0))</f>
        <v>#N/A</v>
      </c>
    </row>
    <row r="2296" spans="1:33" ht="14.25" hidden="1" x14ac:dyDescent="0.2">
      <c r="A2296" s="18" t="b">
        <f t="array" ref="A2296">IF(G2296='Room Info'!$B$1, INDEX('Room Info'!$A$2:$A2446, MATCH(B2296,'Room Info'!$B$2:$B2446, 0)),IF(G2296='Room Info'!$C$1, INDEX('Room Info'!$A$2:$A2446, MATCH(B2296,'Room Info'!$C$2:$C2446, 0)),IF(G2296='Room Info'!$D$1, INDEX('Room Info'!$A$2:$A2446, MATCH(B2296,'Room Info'!$D$2:$D2446, 0)),IF(G2296='Room Info'!$E$1, INDEX('Room Info'!$A$2:$A2446, MATCH(B2296,'Room Info'!$E$2:$E2446, 0)),IF(G2296='Room Info'!$F$1, INDEX('Room Info'!$A$2:$A2446, MATCH(B2296,'Room Info'!$F$2:$F2446, 0)),IF(G2296='Room Info'!$H$1, INDEX('Room Info'!$A$2:$A2446, MATCH(B2296,'Room Info'!$H$2:$H2446, 0)),IF(G2296='Room Info'!$G$1, INDEX('Room Info'!$A$2:$A2446, MATCH(B2296,'Room Info'!$G$2:$G2446, 0)))))))))</f>
        <v>0</v>
      </c>
      <c r="B2296" s="96"/>
      <c r="C2296" s="136"/>
      <c r="D2296" s="136"/>
      <c r="E2296" s="137"/>
      <c r="F2296" s="96"/>
      <c r="G2296" s="96"/>
      <c r="H2296" s="100"/>
      <c r="I2296" s="100"/>
      <c r="J2296" s="39" t="s">
        <v>334</v>
      </c>
      <c r="K2296" s="134"/>
      <c r="L2296" s="135"/>
      <c r="M2296" s="79"/>
      <c r="N2296" s="28" t="e">
        <f t="shared" si="8"/>
        <v>#VALUE!</v>
      </c>
      <c r="O2296" s="96"/>
      <c r="P2296" s="29" t="s">
        <v>334</v>
      </c>
      <c r="Q2296" s="55"/>
      <c r="R2296" s="31" t="e">
        <f t="shared" si="9"/>
        <v>#VALUE!</v>
      </c>
      <c r="S2296" s="97"/>
      <c r="T2296" s="32" t="e">
        <f t="shared" si="10"/>
        <v>#VALUE!</v>
      </c>
      <c r="U2296" s="57"/>
      <c r="V2296" s="58"/>
      <c r="W2296" s="58"/>
      <c r="X2296" s="30" t="e">
        <f t="shared" si="11"/>
        <v>#N/A</v>
      </c>
      <c r="Y2296" s="30" t="e">
        <f t="shared" si="12"/>
        <v>#N/A</v>
      </c>
      <c r="Z2296" s="35" t="e">
        <f t="shared" si="13"/>
        <v>#VALUE!</v>
      </c>
      <c r="AA2296" s="29" t="e">
        <f t="shared" si="14"/>
        <v>#VALUE!</v>
      </c>
      <c r="AB2296" s="36" t="e">
        <f t="shared" si="15"/>
        <v>#VALUE!</v>
      </c>
      <c r="AC2296" s="37" t="b">
        <v>0</v>
      </c>
      <c r="AD2296" s="61" t="str">
        <f t="shared" si="16"/>
        <v>USD</v>
      </c>
      <c r="AE2296" s="37"/>
      <c r="AF2296" s="37" t="e">
        <f t="array" ref="AF2296">INDEX('Deal Info'!D:D, MATCH(A2296,'Deal Info'!A:A, 0))</f>
        <v>#N/A</v>
      </c>
      <c r="AG2296" s="38" t="e">
        <f t="array" ref="AG2296">INDEX('Deal Info'!G:G, MATCH(A2296,'Deal Info'!A:A, 0))</f>
        <v>#N/A</v>
      </c>
    </row>
    <row r="2297" spans="1:33" ht="14.25" hidden="1" x14ac:dyDescent="0.2">
      <c r="A2297" s="18" t="b">
        <f t="array" ref="A2297">IF(G2297='Room Info'!$B$1, INDEX('Room Info'!$A$2:$A2446, MATCH(B2297,'Room Info'!$B$2:$B2446, 0)),IF(G2297='Room Info'!$C$1, INDEX('Room Info'!$A$2:$A2446, MATCH(B2297,'Room Info'!$C$2:$C2446, 0)),IF(G2297='Room Info'!$D$1, INDEX('Room Info'!$A$2:$A2446, MATCH(B2297,'Room Info'!$D$2:$D2446, 0)),IF(G2297='Room Info'!$E$1, INDEX('Room Info'!$A$2:$A2446, MATCH(B2297,'Room Info'!$E$2:$E2446, 0)),IF(G2297='Room Info'!$F$1, INDEX('Room Info'!$A$2:$A2446, MATCH(B2297,'Room Info'!$F$2:$F2446, 0)),IF(G2297='Room Info'!$H$1, INDEX('Room Info'!$A$2:$A2446, MATCH(B2297,'Room Info'!$H$2:$H2446, 0)),IF(G2297='Room Info'!$G$1, INDEX('Room Info'!$A$2:$A2446, MATCH(B2297,'Room Info'!$G$2:$G2446, 0)))))))))</f>
        <v>0</v>
      </c>
      <c r="B2297" s="96"/>
      <c r="C2297" s="111"/>
      <c r="D2297" s="111"/>
      <c r="E2297" s="80"/>
      <c r="F2297" s="133"/>
      <c r="G2297" s="65"/>
      <c r="H2297" s="110"/>
      <c r="I2297" s="110"/>
      <c r="J2297" s="39" t="s">
        <v>334</v>
      </c>
      <c r="K2297" s="112"/>
      <c r="L2297" s="113"/>
      <c r="M2297" s="62"/>
      <c r="N2297" s="28" t="e">
        <f t="shared" si="8"/>
        <v>#VALUE!</v>
      </c>
      <c r="O2297" s="65"/>
      <c r="P2297" s="29" t="s">
        <v>334</v>
      </c>
      <c r="Q2297" s="55"/>
      <c r="R2297" s="31" t="e">
        <f t="shared" si="9"/>
        <v>#VALUE!</v>
      </c>
      <c r="S2297" s="66"/>
      <c r="T2297" s="32" t="e">
        <f t="shared" si="10"/>
        <v>#VALUE!</v>
      </c>
      <c r="U2297" s="57"/>
      <c r="V2297" s="58"/>
      <c r="W2297" s="58"/>
      <c r="X2297" s="30" t="e">
        <f t="shared" si="11"/>
        <v>#N/A</v>
      </c>
      <c r="Y2297" s="30" t="e">
        <f t="shared" si="12"/>
        <v>#N/A</v>
      </c>
      <c r="Z2297" s="35" t="e">
        <f t="shared" si="13"/>
        <v>#VALUE!</v>
      </c>
      <c r="AA2297" s="29" t="e">
        <f t="shared" si="14"/>
        <v>#VALUE!</v>
      </c>
      <c r="AB2297" s="36" t="e">
        <f t="shared" si="15"/>
        <v>#VALUE!</v>
      </c>
      <c r="AC2297" s="37" t="b">
        <v>0</v>
      </c>
      <c r="AD2297" s="61" t="str">
        <f t="shared" si="16"/>
        <v>USD</v>
      </c>
      <c r="AE2297" s="37"/>
      <c r="AF2297" s="37" t="e">
        <f t="array" ref="AF2297">INDEX('Deal Info'!D:D, MATCH(A2297,'Deal Info'!A:A, 0))</f>
        <v>#N/A</v>
      </c>
      <c r="AG2297" s="38" t="e">
        <f t="array" ref="AG2297">INDEX('Deal Info'!G:G, MATCH(A2297,'Deal Info'!A:A, 0))</f>
        <v>#N/A</v>
      </c>
    </row>
    <row r="2298" spans="1:33" ht="14.25" hidden="1" x14ac:dyDescent="0.2">
      <c r="A2298" s="18" t="b">
        <f t="array" ref="A2298">IF(G2298='Room Info'!$B$1, INDEX('Room Info'!$A$2:$A2446, MATCH(B2298,'Room Info'!$B$2:$B2446, 0)),IF(G2298='Room Info'!$C$1, INDEX('Room Info'!$A$2:$A2446, MATCH(B2298,'Room Info'!$C$2:$C2446, 0)),IF(G2298='Room Info'!$D$1, INDEX('Room Info'!$A$2:$A2446, MATCH(B2298,'Room Info'!$D$2:$D2446, 0)),IF(G2298='Room Info'!$E$1, INDEX('Room Info'!$A$2:$A2446, MATCH(B2298,'Room Info'!$E$2:$E2446, 0)),IF(G2298='Room Info'!$F$1, INDEX('Room Info'!$A$2:$A2446, MATCH(B2298,'Room Info'!$F$2:$F2446, 0)),IF(G2298='Room Info'!$H$1, INDEX('Room Info'!$A$2:$A2446, MATCH(B2298,'Room Info'!$H$2:$H2446, 0)),IF(G2298='Room Info'!$G$1, INDEX('Room Info'!$A$2:$A2446, MATCH(B2298,'Room Info'!$G$2:$G2446, 0)))))))))</f>
        <v>0</v>
      </c>
      <c r="B2298" s="96"/>
      <c r="C2298" s="111"/>
      <c r="D2298" s="111"/>
      <c r="E2298" s="80"/>
      <c r="F2298" s="133"/>
      <c r="G2298" s="65"/>
      <c r="H2298" s="110"/>
      <c r="I2298" s="110"/>
      <c r="J2298" s="39" t="s">
        <v>334</v>
      </c>
      <c r="K2298" s="112"/>
      <c r="L2298" s="113"/>
      <c r="M2298" s="62"/>
      <c r="N2298" s="28" t="e">
        <f t="shared" si="8"/>
        <v>#VALUE!</v>
      </c>
      <c r="O2298" s="65"/>
      <c r="P2298" s="29" t="s">
        <v>334</v>
      </c>
      <c r="Q2298" s="55"/>
      <c r="R2298" s="31" t="e">
        <f t="shared" si="9"/>
        <v>#VALUE!</v>
      </c>
      <c r="S2298" s="66"/>
      <c r="T2298" s="32" t="e">
        <f t="shared" si="10"/>
        <v>#VALUE!</v>
      </c>
      <c r="U2298" s="57"/>
      <c r="V2298" s="58"/>
      <c r="W2298" s="58"/>
      <c r="X2298" s="30" t="e">
        <f t="shared" si="11"/>
        <v>#N/A</v>
      </c>
      <c r="Y2298" s="30" t="e">
        <f t="shared" si="12"/>
        <v>#N/A</v>
      </c>
      <c r="Z2298" s="35" t="e">
        <f t="shared" si="13"/>
        <v>#VALUE!</v>
      </c>
      <c r="AA2298" s="29" t="e">
        <f t="shared" si="14"/>
        <v>#VALUE!</v>
      </c>
      <c r="AB2298" s="36" t="e">
        <f t="shared" si="15"/>
        <v>#VALUE!</v>
      </c>
      <c r="AC2298" s="37" t="b">
        <v>0</v>
      </c>
      <c r="AD2298" s="61" t="str">
        <f t="shared" si="16"/>
        <v>USD</v>
      </c>
      <c r="AE2298" s="37"/>
      <c r="AF2298" s="37" t="e">
        <f t="array" ref="AF2298">INDEX('Deal Info'!D:D, MATCH(A2298,'Deal Info'!A:A, 0))</f>
        <v>#N/A</v>
      </c>
      <c r="AG2298" s="38" t="e">
        <f t="array" ref="AG2298">INDEX('Deal Info'!G:G, MATCH(A2298,'Deal Info'!A:A, 0))</f>
        <v>#N/A</v>
      </c>
    </row>
    <row r="2299" spans="1:33" ht="14.25" hidden="1" x14ac:dyDescent="0.2">
      <c r="A2299" s="18" t="b">
        <f t="array" ref="A2299">IF(G2299='Room Info'!$B$1, INDEX('Room Info'!$A$2:$A2446, MATCH(B2299,'Room Info'!$B$2:$B2446, 0)),IF(G2299='Room Info'!$C$1, INDEX('Room Info'!$A$2:$A2446, MATCH(B2299,'Room Info'!$C$2:$C2446, 0)),IF(G2299='Room Info'!$D$1, INDEX('Room Info'!$A$2:$A2446, MATCH(B2299,'Room Info'!$D$2:$D2446, 0)),IF(G2299='Room Info'!$E$1, INDEX('Room Info'!$A$2:$A2446, MATCH(B2299,'Room Info'!$E$2:$E2446, 0)),IF(G2299='Room Info'!$F$1, INDEX('Room Info'!$A$2:$A2446, MATCH(B2299,'Room Info'!$F$2:$F2446, 0)),IF(G2299='Room Info'!$H$1, INDEX('Room Info'!$A$2:$A2446, MATCH(B2299,'Room Info'!$H$2:$H2446, 0)),IF(G2299='Room Info'!$G$1, INDEX('Room Info'!$A$2:$A2446, MATCH(B2299,'Room Info'!$G$2:$G2446, 0)))))))))</f>
        <v>0</v>
      </c>
      <c r="B2299" s="96"/>
      <c r="C2299" s="111"/>
      <c r="D2299" s="111"/>
      <c r="E2299" s="80"/>
      <c r="F2299" s="133"/>
      <c r="G2299" s="65"/>
      <c r="H2299" s="110"/>
      <c r="I2299" s="110"/>
      <c r="J2299" s="39" t="s">
        <v>334</v>
      </c>
      <c r="K2299" s="112"/>
      <c r="L2299" s="113"/>
      <c r="M2299" s="62"/>
      <c r="N2299" s="28" t="e">
        <f t="shared" si="8"/>
        <v>#VALUE!</v>
      </c>
      <c r="O2299" s="65"/>
      <c r="P2299" s="29" t="s">
        <v>334</v>
      </c>
      <c r="Q2299" s="55"/>
      <c r="R2299" s="31" t="e">
        <f t="shared" si="9"/>
        <v>#VALUE!</v>
      </c>
      <c r="S2299" s="66"/>
      <c r="T2299" s="32" t="e">
        <f t="shared" si="10"/>
        <v>#VALUE!</v>
      </c>
      <c r="U2299" s="57"/>
      <c r="V2299" s="58"/>
      <c r="W2299" s="58"/>
      <c r="X2299" s="30" t="e">
        <f t="shared" si="11"/>
        <v>#N/A</v>
      </c>
      <c r="Y2299" s="30" t="e">
        <f t="shared" si="12"/>
        <v>#N/A</v>
      </c>
      <c r="Z2299" s="35" t="e">
        <f t="shared" si="13"/>
        <v>#VALUE!</v>
      </c>
      <c r="AA2299" s="29" t="e">
        <f t="shared" si="14"/>
        <v>#VALUE!</v>
      </c>
      <c r="AB2299" s="36" t="e">
        <f t="shared" si="15"/>
        <v>#VALUE!</v>
      </c>
      <c r="AC2299" s="37" t="b">
        <v>0</v>
      </c>
      <c r="AD2299" s="61" t="str">
        <f t="shared" si="16"/>
        <v>USD</v>
      </c>
      <c r="AE2299" s="37"/>
      <c r="AF2299" s="37" t="e">
        <f t="array" ref="AF2299">INDEX('Deal Info'!D:D, MATCH(A2299,'Deal Info'!A:A, 0))</f>
        <v>#N/A</v>
      </c>
      <c r="AG2299" s="38" t="e">
        <f t="array" ref="AG2299">INDEX('Deal Info'!G:G, MATCH(A2299,'Deal Info'!A:A, 0))</f>
        <v>#N/A</v>
      </c>
    </row>
    <row r="2300" spans="1:33" ht="14.25" hidden="1" x14ac:dyDescent="0.2">
      <c r="A2300" s="18" t="b">
        <f t="array" ref="A2300">IF(G2300='Room Info'!$B$1, INDEX('Room Info'!$A$2:$A2446, MATCH(B2300,'Room Info'!$B$2:$B2446, 0)),IF(G2300='Room Info'!$C$1, INDEX('Room Info'!$A$2:$A2446, MATCH(B2300,'Room Info'!$C$2:$C2446, 0)),IF(G2300='Room Info'!$D$1, INDEX('Room Info'!$A$2:$A2446, MATCH(B2300,'Room Info'!$D$2:$D2446, 0)),IF(G2300='Room Info'!$E$1, INDEX('Room Info'!$A$2:$A2446, MATCH(B2300,'Room Info'!$E$2:$E2446, 0)),IF(G2300='Room Info'!$F$1, INDEX('Room Info'!$A$2:$A2446, MATCH(B2300,'Room Info'!$F$2:$F2446, 0)),IF(G2300='Room Info'!$H$1, INDEX('Room Info'!$A$2:$A2446, MATCH(B2300,'Room Info'!$H$2:$H2446, 0)),IF(G2300='Room Info'!$G$1, INDEX('Room Info'!$A$2:$A2446, MATCH(B2300,'Room Info'!$G$2:$G2446, 0)))))))))</f>
        <v>0</v>
      </c>
      <c r="B2300" s="96"/>
      <c r="C2300" s="111"/>
      <c r="D2300" s="111"/>
      <c r="E2300" s="80"/>
      <c r="F2300" s="133"/>
      <c r="G2300" s="96"/>
      <c r="H2300" s="110"/>
      <c r="I2300" s="110"/>
      <c r="J2300" s="39" t="s">
        <v>334</v>
      </c>
      <c r="K2300" s="112"/>
      <c r="L2300" s="113"/>
      <c r="M2300" s="62"/>
      <c r="N2300" s="28" t="e">
        <f t="shared" si="8"/>
        <v>#VALUE!</v>
      </c>
      <c r="O2300" s="65"/>
      <c r="P2300" s="29" t="s">
        <v>334</v>
      </c>
      <c r="Q2300" s="55"/>
      <c r="R2300" s="31" t="e">
        <f t="shared" si="9"/>
        <v>#VALUE!</v>
      </c>
      <c r="S2300" s="66"/>
      <c r="T2300" s="32" t="e">
        <f t="shared" si="10"/>
        <v>#VALUE!</v>
      </c>
      <c r="U2300" s="57"/>
      <c r="V2300" s="58"/>
      <c r="W2300" s="58"/>
      <c r="X2300" s="30" t="e">
        <f t="shared" si="11"/>
        <v>#N/A</v>
      </c>
      <c r="Y2300" s="30" t="e">
        <f t="shared" si="12"/>
        <v>#N/A</v>
      </c>
      <c r="Z2300" s="35" t="e">
        <f t="shared" si="13"/>
        <v>#VALUE!</v>
      </c>
      <c r="AA2300" s="29" t="e">
        <f t="shared" si="14"/>
        <v>#VALUE!</v>
      </c>
      <c r="AB2300" s="36" t="e">
        <f t="shared" si="15"/>
        <v>#VALUE!</v>
      </c>
      <c r="AC2300" s="37" t="b">
        <v>0</v>
      </c>
      <c r="AD2300" s="61" t="str">
        <f t="shared" si="16"/>
        <v>USD</v>
      </c>
      <c r="AE2300" s="37"/>
      <c r="AF2300" s="37" t="e">
        <f t="array" ref="AF2300">INDEX('Deal Info'!D:D, MATCH(A2300,'Deal Info'!A:A, 0))</f>
        <v>#N/A</v>
      </c>
      <c r="AG2300" s="38" t="e">
        <f t="array" ref="AG2300">INDEX('Deal Info'!G:G, MATCH(A2300,'Deal Info'!A:A, 0))</f>
        <v>#N/A</v>
      </c>
    </row>
    <row r="2301" spans="1:33" ht="14.25" hidden="1" x14ac:dyDescent="0.2">
      <c r="A2301" s="18" t="b">
        <f t="array" ref="A2301">IF(G2301='Room Info'!$B$1, INDEX('Room Info'!$A$2:$A2446, MATCH(B2301,'Room Info'!$B$2:$B2446, 0)),IF(G2301='Room Info'!$C$1, INDEX('Room Info'!$A$2:$A2446, MATCH(B2301,'Room Info'!$C$2:$C2446, 0)),IF(G2301='Room Info'!$D$1, INDEX('Room Info'!$A$2:$A2446, MATCH(B2301,'Room Info'!$D$2:$D2446, 0)),IF(G2301='Room Info'!$E$1, INDEX('Room Info'!$A$2:$A2446, MATCH(B2301,'Room Info'!$E$2:$E2446, 0)),IF(G2301='Room Info'!$F$1, INDEX('Room Info'!$A$2:$A2446, MATCH(B2301,'Room Info'!$F$2:$F2446, 0)),IF(G2301='Room Info'!$H$1, INDEX('Room Info'!$A$2:$A2446, MATCH(B2301,'Room Info'!$H$2:$H2446, 0)),IF(G2301='Room Info'!$G$1, INDEX('Room Info'!$A$2:$A2446, MATCH(B2301,'Room Info'!$G$2:$G2446, 0)))))))))</f>
        <v>0</v>
      </c>
      <c r="B2301" s="96"/>
      <c r="C2301" s="111"/>
      <c r="D2301" s="111"/>
      <c r="E2301" s="80"/>
      <c r="F2301" s="133"/>
      <c r="G2301" s="96"/>
      <c r="H2301" s="110"/>
      <c r="I2301" s="110"/>
      <c r="J2301" s="39" t="s">
        <v>334</v>
      </c>
      <c r="K2301" s="112"/>
      <c r="L2301" s="113"/>
      <c r="M2301" s="62"/>
      <c r="N2301" s="28" t="e">
        <f t="shared" si="8"/>
        <v>#VALUE!</v>
      </c>
      <c r="O2301" s="65"/>
      <c r="P2301" s="29" t="s">
        <v>334</v>
      </c>
      <c r="Q2301" s="55"/>
      <c r="R2301" s="31" t="e">
        <f t="shared" si="9"/>
        <v>#VALUE!</v>
      </c>
      <c r="S2301" s="66"/>
      <c r="T2301" s="32" t="e">
        <f t="shared" si="10"/>
        <v>#VALUE!</v>
      </c>
      <c r="U2301" s="57"/>
      <c r="V2301" s="58"/>
      <c r="W2301" s="58"/>
      <c r="X2301" s="30" t="e">
        <f t="shared" si="11"/>
        <v>#N/A</v>
      </c>
      <c r="Y2301" s="30" t="e">
        <f t="shared" si="12"/>
        <v>#N/A</v>
      </c>
      <c r="Z2301" s="35" t="e">
        <f t="shared" si="13"/>
        <v>#VALUE!</v>
      </c>
      <c r="AA2301" s="29" t="e">
        <f t="shared" si="14"/>
        <v>#VALUE!</v>
      </c>
      <c r="AB2301" s="36" t="e">
        <f t="shared" si="15"/>
        <v>#VALUE!</v>
      </c>
      <c r="AC2301" s="37" t="b">
        <v>0</v>
      </c>
      <c r="AD2301" s="61" t="str">
        <f t="shared" si="16"/>
        <v>USD</v>
      </c>
      <c r="AE2301" s="37"/>
      <c r="AF2301" s="37" t="e">
        <f t="array" ref="AF2301">INDEX('Deal Info'!D:D, MATCH(A2301,'Deal Info'!A:A, 0))</f>
        <v>#N/A</v>
      </c>
      <c r="AG2301" s="38" t="e">
        <f t="array" ref="AG2301">INDEX('Deal Info'!G:G, MATCH(A2301,'Deal Info'!A:A, 0))</f>
        <v>#N/A</v>
      </c>
    </row>
    <row r="2302" spans="1:33" ht="14.25" hidden="1" x14ac:dyDescent="0.2">
      <c r="A2302" s="18" t="b">
        <f t="array" ref="A2302">IF(G2302='Room Info'!$B$1, INDEX('Room Info'!$A$2:$A2446, MATCH(B2302,'Room Info'!$B$2:$B2446, 0)),IF(G2302='Room Info'!$C$1, INDEX('Room Info'!$A$2:$A2446, MATCH(B2302,'Room Info'!$C$2:$C2446, 0)),IF(G2302='Room Info'!$D$1, INDEX('Room Info'!$A$2:$A2446, MATCH(B2302,'Room Info'!$D$2:$D2446, 0)),IF(G2302='Room Info'!$E$1, INDEX('Room Info'!$A$2:$A2446, MATCH(B2302,'Room Info'!$E$2:$E2446, 0)),IF(G2302='Room Info'!$F$1, INDEX('Room Info'!$A$2:$A2446, MATCH(B2302,'Room Info'!$F$2:$F2446, 0)),IF(G2302='Room Info'!$H$1, INDEX('Room Info'!$A$2:$A2446, MATCH(B2302,'Room Info'!$H$2:$H2446, 0)),IF(G2302='Room Info'!$G$1, INDEX('Room Info'!$A$2:$A2446, MATCH(B2302,'Room Info'!$G$2:$G2446, 0)))))))))</f>
        <v>0</v>
      </c>
      <c r="B2302" s="96"/>
      <c r="C2302" s="111"/>
      <c r="D2302" s="111"/>
      <c r="E2302" s="80"/>
      <c r="F2302" s="96"/>
      <c r="G2302" s="65"/>
      <c r="H2302" s="110"/>
      <c r="I2302" s="110"/>
      <c r="J2302" s="39" t="s">
        <v>334</v>
      </c>
      <c r="K2302" s="134"/>
      <c r="L2302" s="135"/>
      <c r="M2302" s="62"/>
      <c r="N2302" s="28" t="e">
        <f t="shared" si="8"/>
        <v>#VALUE!</v>
      </c>
      <c r="O2302" s="96"/>
      <c r="P2302" s="29" t="s">
        <v>334</v>
      </c>
      <c r="Q2302" s="55"/>
      <c r="R2302" s="31" t="e">
        <f t="shared" si="9"/>
        <v>#VALUE!</v>
      </c>
      <c r="S2302" s="97"/>
      <c r="T2302" s="32" t="e">
        <f t="shared" si="10"/>
        <v>#VALUE!</v>
      </c>
      <c r="U2302" s="57"/>
      <c r="V2302" s="58"/>
      <c r="W2302" s="58"/>
      <c r="X2302" s="30" t="e">
        <f t="shared" si="11"/>
        <v>#N/A</v>
      </c>
      <c r="Y2302" s="30" t="e">
        <f t="shared" si="12"/>
        <v>#N/A</v>
      </c>
      <c r="Z2302" s="35" t="e">
        <f t="shared" si="13"/>
        <v>#VALUE!</v>
      </c>
      <c r="AA2302" s="29" t="e">
        <f t="shared" si="14"/>
        <v>#VALUE!</v>
      </c>
      <c r="AB2302" s="36" t="e">
        <f t="shared" si="15"/>
        <v>#VALUE!</v>
      </c>
      <c r="AC2302" s="37" t="b">
        <v>0</v>
      </c>
      <c r="AD2302" s="61" t="str">
        <f t="shared" si="16"/>
        <v>USD</v>
      </c>
      <c r="AE2302" s="37"/>
      <c r="AF2302" s="37" t="e">
        <f t="array" ref="AF2302">INDEX('Deal Info'!D:D, MATCH(A2302,'Deal Info'!A:A, 0))</f>
        <v>#N/A</v>
      </c>
      <c r="AG2302" s="38" t="e">
        <f t="array" ref="AG2302">INDEX('Deal Info'!G:G, MATCH(A2302,'Deal Info'!A:A, 0))</f>
        <v>#N/A</v>
      </c>
    </row>
    <row r="2303" spans="1:33" ht="14.25" hidden="1" x14ac:dyDescent="0.2">
      <c r="A2303" s="18" t="b">
        <f t="array" ref="A2303">IF(G2303='Room Info'!$B$1, INDEX('Room Info'!$A$2:$A2446, MATCH(B2303,'Room Info'!$B$2:$B2446, 0)),IF(G2303='Room Info'!$C$1, INDEX('Room Info'!$A$2:$A2446, MATCH(B2303,'Room Info'!$C$2:$C2446, 0)),IF(G2303='Room Info'!$D$1, INDEX('Room Info'!$A$2:$A2446, MATCH(B2303,'Room Info'!$D$2:$D2446, 0)),IF(G2303='Room Info'!$E$1, INDEX('Room Info'!$A$2:$A2446, MATCH(B2303,'Room Info'!$E$2:$E2446, 0)),IF(G2303='Room Info'!$F$1, INDEX('Room Info'!$A$2:$A2446, MATCH(B2303,'Room Info'!$F$2:$F2446, 0)),IF(G2303='Room Info'!$H$1, INDEX('Room Info'!$A$2:$A2446, MATCH(B2303,'Room Info'!$H$2:$H2446, 0)),IF(G2303='Room Info'!$G$1, INDEX('Room Info'!$A$2:$A2446, MATCH(B2303,'Room Info'!$G$2:$G2446, 0)))))))))</f>
        <v>0</v>
      </c>
      <c r="B2303" s="96"/>
      <c r="C2303" s="111"/>
      <c r="D2303" s="111"/>
      <c r="E2303" s="80"/>
      <c r="F2303" s="133"/>
      <c r="G2303" s="96"/>
      <c r="H2303" s="110"/>
      <c r="I2303" s="110"/>
      <c r="J2303" s="39" t="s">
        <v>334</v>
      </c>
      <c r="K2303" s="112"/>
      <c r="L2303" s="113"/>
      <c r="M2303" s="62"/>
      <c r="N2303" s="28" t="e">
        <f t="shared" si="8"/>
        <v>#VALUE!</v>
      </c>
      <c r="O2303" s="65"/>
      <c r="P2303" s="29" t="s">
        <v>334</v>
      </c>
      <c r="Q2303" s="55"/>
      <c r="R2303" s="31" t="e">
        <f t="shared" si="9"/>
        <v>#VALUE!</v>
      </c>
      <c r="S2303" s="66"/>
      <c r="T2303" s="32" t="e">
        <f t="shared" si="10"/>
        <v>#VALUE!</v>
      </c>
      <c r="U2303" s="57"/>
      <c r="V2303" s="58"/>
      <c r="W2303" s="58"/>
      <c r="X2303" s="30" t="e">
        <f t="shared" si="11"/>
        <v>#N/A</v>
      </c>
      <c r="Y2303" s="30" t="e">
        <f t="shared" si="12"/>
        <v>#N/A</v>
      </c>
      <c r="Z2303" s="35" t="e">
        <f t="shared" si="13"/>
        <v>#VALUE!</v>
      </c>
      <c r="AA2303" s="29" t="e">
        <f t="shared" si="14"/>
        <v>#VALUE!</v>
      </c>
      <c r="AB2303" s="36" t="e">
        <f t="shared" si="15"/>
        <v>#VALUE!</v>
      </c>
      <c r="AC2303" s="37" t="b">
        <v>0</v>
      </c>
      <c r="AD2303" s="61" t="str">
        <f t="shared" si="16"/>
        <v>USD</v>
      </c>
      <c r="AE2303" s="37"/>
      <c r="AF2303" s="37" t="e">
        <f t="array" ref="AF2303">INDEX('Deal Info'!D:D, MATCH(A2303,'Deal Info'!A:A, 0))</f>
        <v>#N/A</v>
      </c>
      <c r="AG2303" s="38" t="e">
        <f t="array" ref="AG2303">INDEX('Deal Info'!G:G, MATCH(A2303,'Deal Info'!A:A, 0))</f>
        <v>#N/A</v>
      </c>
    </row>
    <row r="2304" spans="1:33" ht="14.25" hidden="1" x14ac:dyDescent="0.2">
      <c r="A2304" s="18" t="b">
        <f t="array" ref="A2304">IF(G2304='Room Info'!$B$1, INDEX('Room Info'!$A$2:$A2446, MATCH(B2304,'Room Info'!$B$2:$B2446, 0)),IF(G2304='Room Info'!$C$1, INDEX('Room Info'!$A$2:$A2446, MATCH(B2304,'Room Info'!$C$2:$C2446, 0)),IF(G2304='Room Info'!$D$1, INDEX('Room Info'!$A$2:$A2446, MATCH(B2304,'Room Info'!$D$2:$D2446, 0)),IF(G2304='Room Info'!$E$1, INDEX('Room Info'!$A$2:$A2446, MATCH(B2304,'Room Info'!$E$2:$E2446, 0)),IF(G2304='Room Info'!$F$1, INDEX('Room Info'!$A$2:$A2446, MATCH(B2304,'Room Info'!$F$2:$F2446, 0)),IF(G2304='Room Info'!$H$1, INDEX('Room Info'!$A$2:$A2446, MATCH(B2304,'Room Info'!$H$2:$H2446, 0)),IF(G2304='Room Info'!$G$1, INDEX('Room Info'!$A$2:$A2446, MATCH(B2304,'Room Info'!$G$2:$G2446, 0)))))))))</f>
        <v>0</v>
      </c>
      <c r="B2304" s="96"/>
      <c r="C2304" s="111"/>
      <c r="D2304" s="111"/>
      <c r="E2304" s="80"/>
      <c r="F2304" s="133"/>
      <c r="G2304" s="96"/>
      <c r="H2304" s="110"/>
      <c r="I2304" s="110"/>
      <c r="J2304" s="39" t="s">
        <v>334</v>
      </c>
      <c r="K2304" s="112"/>
      <c r="L2304" s="113"/>
      <c r="M2304" s="62"/>
      <c r="N2304" s="28" t="e">
        <f t="shared" si="8"/>
        <v>#VALUE!</v>
      </c>
      <c r="O2304" s="65"/>
      <c r="P2304" s="29" t="s">
        <v>334</v>
      </c>
      <c r="Q2304" s="55"/>
      <c r="R2304" s="31" t="e">
        <f t="shared" si="9"/>
        <v>#VALUE!</v>
      </c>
      <c r="S2304" s="66"/>
      <c r="T2304" s="32" t="e">
        <f t="shared" si="10"/>
        <v>#VALUE!</v>
      </c>
      <c r="U2304" s="57"/>
      <c r="V2304" s="58"/>
      <c r="W2304" s="58"/>
      <c r="X2304" s="30" t="e">
        <f t="shared" si="11"/>
        <v>#N/A</v>
      </c>
      <c r="Y2304" s="30" t="e">
        <f t="shared" si="12"/>
        <v>#N/A</v>
      </c>
      <c r="Z2304" s="35" t="e">
        <f t="shared" si="13"/>
        <v>#VALUE!</v>
      </c>
      <c r="AA2304" s="29" t="e">
        <f t="shared" si="14"/>
        <v>#VALUE!</v>
      </c>
      <c r="AB2304" s="36" t="e">
        <f t="shared" si="15"/>
        <v>#VALUE!</v>
      </c>
      <c r="AC2304" s="37" t="b">
        <v>0</v>
      </c>
      <c r="AD2304" s="61" t="str">
        <f t="shared" si="16"/>
        <v>USD</v>
      </c>
      <c r="AE2304" s="37"/>
      <c r="AF2304" s="37" t="e">
        <f t="array" ref="AF2304">INDEX('Deal Info'!D:D, MATCH(A2304,'Deal Info'!A:A, 0))</f>
        <v>#N/A</v>
      </c>
      <c r="AG2304" s="38" t="e">
        <f t="array" ref="AG2304">INDEX('Deal Info'!G:G, MATCH(A2304,'Deal Info'!A:A, 0))</f>
        <v>#N/A</v>
      </c>
    </row>
    <row r="2305" spans="1:33" ht="14.25" hidden="1" x14ac:dyDescent="0.2">
      <c r="A2305" s="18" t="b">
        <f t="array" ref="A2305">IF(G2305='Room Info'!$B$1, INDEX('Room Info'!$A$2:$A2446, MATCH(B2305,'Room Info'!$B$2:$B2446, 0)),IF(G2305='Room Info'!$C$1, INDEX('Room Info'!$A$2:$A2446, MATCH(B2305,'Room Info'!$C$2:$C2446, 0)),IF(G2305='Room Info'!$D$1, INDEX('Room Info'!$A$2:$A2446, MATCH(B2305,'Room Info'!$D$2:$D2446, 0)),IF(G2305='Room Info'!$E$1, INDEX('Room Info'!$A$2:$A2446, MATCH(B2305,'Room Info'!$E$2:$E2446, 0)),IF(G2305='Room Info'!$F$1, INDEX('Room Info'!$A$2:$A2446, MATCH(B2305,'Room Info'!$F$2:$F2446, 0)),IF(G2305='Room Info'!$H$1, INDEX('Room Info'!$A$2:$A2446, MATCH(B2305,'Room Info'!$H$2:$H2446, 0)),IF(G2305='Room Info'!$G$1, INDEX('Room Info'!$A$2:$A2446, MATCH(B2305,'Room Info'!$G$2:$G2446, 0)))))))))</f>
        <v>0</v>
      </c>
      <c r="B2305" s="96"/>
      <c r="C2305" s="111"/>
      <c r="D2305" s="111"/>
      <c r="E2305" s="80"/>
      <c r="F2305" s="133"/>
      <c r="G2305" s="96"/>
      <c r="H2305" s="110"/>
      <c r="I2305" s="110"/>
      <c r="J2305" s="39" t="s">
        <v>334</v>
      </c>
      <c r="K2305" s="112"/>
      <c r="L2305" s="113"/>
      <c r="M2305" s="62"/>
      <c r="N2305" s="28" t="e">
        <f t="shared" si="8"/>
        <v>#VALUE!</v>
      </c>
      <c r="O2305" s="65"/>
      <c r="P2305" s="29" t="s">
        <v>334</v>
      </c>
      <c r="Q2305" s="55"/>
      <c r="R2305" s="31" t="e">
        <f t="shared" si="9"/>
        <v>#VALUE!</v>
      </c>
      <c r="S2305" s="66"/>
      <c r="T2305" s="32" t="e">
        <f t="shared" si="10"/>
        <v>#VALUE!</v>
      </c>
      <c r="U2305" s="57"/>
      <c r="V2305" s="58"/>
      <c r="W2305" s="58"/>
      <c r="X2305" s="30" t="e">
        <f t="shared" si="11"/>
        <v>#N/A</v>
      </c>
      <c r="Y2305" s="30" t="e">
        <f t="shared" si="12"/>
        <v>#N/A</v>
      </c>
      <c r="Z2305" s="35" t="e">
        <f t="shared" si="13"/>
        <v>#VALUE!</v>
      </c>
      <c r="AA2305" s="29" t="e">
        <f t="shared" si="14"/>
        <v>#VALUE!</v>
      </c>
      <c r="AB2305" s="36" t="e">
        <f t="shared" si="15"/>
        <v>#VALUE!</v>
      </c>
      <c r="AC2305" s="37" t="b">
        <v>0</v>
      </c>
      <c r="AD2305" s="61" t="str">
        <f t="shared" si="16"/>
        <v>USD</v>
      </c>
      <c r="AE2305" s="37"/>
      <c r="AF2305" s="37" t="e">
        <f t="array" ref="AF2305">INDEX('Deal Info'!D:D, MATCH(A2305,'Deal Info'!A:A, 0))</f>
        <v>#N/A</v>
      </c>
      <c r="AG2305" s="38" t="e">
        <f t="array" ref="AG2305">INDEX('Deal Info'!G:G, MATCH(A2305,'Deal Info'!A:A, 0))</f>
        <v>#N/A</v>
      </c>
    </row>
    <row r="2306" spans="1:33" ht="14.25" hidden="1" x14ac:dyDescent="0.2">
      <c r="A2306" s="18" t="b">
        <f t="array" ref="A2306">IF(G2306='Room Info'!$B$1, INDEX('Room Info'!$A$2:$A2446, MATCH(B2306,'Room Info'!$B$2:$B2446, 0)),IF(G2306='Room Info'!$C$1, INDEX('Room Info'!$A$2:$A2446, MATCH(B2306,'Room Info'!$C$2:$C2446, 0)),IF(G2306='Room Info'!$D$1, INDEX('Room Info'!$A$2:$A2446, MATCH(B2306,'Room Info'!$D$2:$D2446, 0)),IF(G2306='Room Info'!$E$1, INDEX('Room Info'!$A$2:$A2446, MATCH(B2306,'Room Info'!$E$2:$E2446, 0)),IF(G2306='Room Info'!$F$1, INDEX('Room Info'!$A$2:$A2446, MATCH(B2306,'Room Info'!$F$2:$F2446, 0)),IF(G2306='Room Info'!$H$1, INDEX('Room Info'!$A$2:$A2446, MATCH(B2306,'Room Info'!$H$2:$H2446, 0)),IF(G2306='Room Info'!$G$1, INDEX('Room Info'!$A$2:$A2446, MATCH(B2306,'Room Info'!$G$2:$G2446, 0)))))))))</f>
        <v>0</v>
      </c>
      <c r="B2306" s="96"/>
      <c r="C2306" s="111"/>
      <c r="D2306" s="111"/>
      <c r="E2306" s="80"/>
      <c r="F2306" s="133"/>
      <c r="G2306" s="96"/>
      <c r="H2306" s="110"/>
      <c r="I2306" s="110"/>
      <c r="J2306" s="39" t="s">
        <v>334</v>
      </c>
      <c r="K2306" s="112"/>
      <c r="L2306" s="113"/>
      <c r="M2306" s="62"/>
      <c r="N2306" s="28" t="e">
        <f t="shared" si="8"/>
        <v>#VALUE!</v>
      </c>
      <c r="O2306" s="65"/>
      <c r="P2306" s="29" t="s">
        <v>334</v>
      </c>
      <c r="Q2306" s="55"/>
      <c r="R2306" s="31" t="e">
        <f t="shared" si="9"/>
        <v>#VALUE!</v>
      </c>
      <c r="S2306" s="66"/>
      <c r="T2306" s="32" t="e">
        <f t="shared" si="10"/>
        <v>#VALUE!</v>
      </c>
      <c r="U2306" s="57"/>
      <c r="V2306" s="58"/>
      <c r="W2306" s="58"/>
      <c r="X2306" s="30" t="e">
        <f t="shared" si="11"/>
        <v>#N/A</v>
      </c>
      <c r="Y2306" s="30" t="e">
        <f t="shared" si="12"/>
        <v>#N/A</v>
      </c>
      <c r="Z2306" s="35" t="e">
        <f t="shared" si="13"/>
        <v>#VALUE!</v>
      </c>
      <c r="AA2306" s="29" t="e">
        <f t="shared" si="14"/>
        <v>#VALUE!</v>
      </c>
      <c r="AB2306" s="36" t="e">
        <f t="shared" si="15"/>
        <v>#VALUE!</v>
      </c>
      <c r="AC2306" s="37" t="b">
        <v>0</v>
      </c>
      <c r="AD2306" s="61" t="str">
        <f t="shared" si="16"/>
        <v>USD</v>
      </c>
      <c r="AE2306" s="37"/>
      <c r="AF2306" s="37" t="e">
        <f t="array" ref="AF2306">INDEX('Deal Info'!D:D, MATCH(A2306,'Deal Info'!A:A, 0))</f>
        <v>#N/A</v>
      </c>
      <c r="AG2306" s="38" t="e">
        <f t="array" ref="AG2306">INDEX('Deal Info'!G:G, MATCH(A2306,'Deal Info'!A:A, 0))</f>
        <v>#N/A</v>
      </c>
    </row>
    <row r="2307" spans="1:33" ht="14.25" hidden="1" x14ac:dyDescent="0.2">
      <c r="A2307" s="18" t="b">
        <f t="array" ref="A2307">IF(G2307='Room Info'!$B$1, INDEX('Room Info'!$A$2:$A2446, MATCH(B2307,'Room Info'!$B$2:$B2446, 0)),IF(G2307='Room Info'!$C$1, INDEX('Room Info'!$A$2:$A2446, MATCH(B2307,'Room Info'!$C$2:$C2446, 0)),IF(G2307='Room Info'!$D$1, INDEX('Room Info'!$A$2:$A2446, MATCH(B2307,'Room Info'!$D$2:$D2446, 0)),IF(G2307='Room Info'!$E$1, INDEX('Room Info'!$A$2:$A2446, MATCH(B2307,'Room Info'!$E$2:$E2446, 0)),IF(G2307='Room Info'!$F$1, INDEX('Room Info'!$A$2:$A2446, MATCH(B2307,'Room Info'!$F$2:$F2446, 0)),IF(G2307='Room Info'!$H$1, INDEX('Room Info'!$A$2:$A2446, MATCH(B2307,'Room Info'!$H$2:$H2446, 0)),IF(G2307='Room Info'!$G$1, INDEX('Room Info'!$A$2:$A2446, MATCH(B2307,'Room Info'!$G$2:$G2446, 0)))))))))</f>
        <v>0</v>
      </c>
      <c r="B2307" s="96"/>
      <c r="C2307" s="111"/>
      <c r="D2307" s="111"/>
      <c r="E2307" s="80"/>
      <c r="F2307" s="133"/>
      <c r="G2307" s="96"/>
      <c r="H2307" s="110"/>
      <c r="I2307" s="110"/>
      <c r="J2307" s="39" t="s">
        <v>334</v>
      </c>
      <c r="K2307" s="112"/>
      <c r="L2307" s="113"/>
      <c r="M2307" s="62"/>
      <c r="N2307" s="28" t="e">
        <f t="shared" si="8"/>
        <v>#VALUE!</v>
      </c>
      <c r="O2307" s="65"/>
      <c r="P2307" s="29" t="s">
        <v>334</v>
      </c>
      <c r="Q2307" s="55"/>
      <c r="R2307" s="31" t="e">
        <f t="shared" si="9"/>
        <v>#VALUE!</v>
      </c>
      <c r="S2307" s="66"/>
      <c r="T2307" s="32" t="e">
        <f t="shared" si="10"/>
        <v>#VALUE!</v>
      </c>
      <c r="U2307" s="57"/>
      <c r="V2307" s="58"/>
      <c r="W2307" s="58"/>
      <c r="X2307" s="30" t="e">
        <f t="shared" si="11"/>
        <v>#N/A</v>
      </c>
      <c r="Y2307" s="30" t="e">
        <f t="shared" si="12"/>
        <v>#N/A</v>
      </c>
      <c r="Z2307" s="35" t="e">
        <f t="shared" si="13"/>
        <v>#VALUE!</v>
      </c>
      <c r="AA2307" s="29" t="e">
        <f t="shared" si="14"/>
        <v>#VALUE!</v>
      </c>
      <c r="AB2307" s="36" t="e">
        <f t="shared" si="15"/>
        <v>#VALUE!</v>
      </c>
      <c r="AC2307" s="37" t="b">
        <v>0</v>
      </c>
      <c r="AD2307" s="61" t="str">
        <f t="shared" si="16"/>
        <v>USD</v>
      </c>
      <c r="AE2307" s="37"/>
      <c r="AF2307" s="37" t="e">
        <f t="array" ref="AF2307">INDEX('Deal Info'!D:D, MATCH(A2307,'Deal Info'!A:A, 0))</f>
        <v>#N/A</v>
      </c>
      <c r="AG2307" s="38" t="e">
        <f t="array" ref="AG2307">INDEX('Deal Info'!G:G, MATCH(A2307,'Deal Info'!A:A, 0))</f>
        <v>#N/A</v>
      </c>
    </row>
    <row r="2308" spans="1:33" ht="14.25" hidden="1" x14ac:dyDescent="0.2">
      <c r="A2308" s="18" t="b">
        <f t="array" ref="A2308">IF(G2308='Room Info'!$B$1, INDEX('Room Info'!$A$2:$A2446, MATCH(B2308,'Room Info'!$B$2:$B2446, 0)),IF(G2308='Room Info'!$C$1, INDEX('Room Info'!$A$2:$A2446, MATCH(B2308,'Room Info'!$C$2:$C2446, 0)),IF(G2308='Room Info'!$D$1, INDEX('Room Info'!$A$2:$A2446, MATCH(B2308,'Room Info'!$D$2:$D2446, 0)),IF(G2308='Room Info'!$E$1, INDEX('Room Info'!$A$2:$A2446, MATCH(B2308,'Room Info'!$E$2:$E2446, 0)),IF(G2308='Room Info'!$F$1, INDEX('Room Info'!$A$2:$A2446, MATCH(B2308,'Room Info'!$F$2:$F2446, 0)),IF(G2308='Room Info'!$H$1, INDEX('Room Info'!$A$2:$A2446, MATCH(B2308,'Room Info'!$H$2:$H2446, 0)),IF(G2308='Room Info'!$G$1, INDEX('Room Info'!$A$2:$A2446, MATCH(B2308,'Room Info'!$G$2:$G2446, 0)))))))))</f>
        <v>0</v>
      </c>
      <c r="B2308" s="96"/>
      <c r="C2308" s="111"/>
      <c r="D2308" s="111"/>
      <c r="E2308" s="80"/>
      <c r="F2308" s="96"/>
      <c r="G2308" s="96"/>
      <c r="H2308" s="110"/>
      <c r="I2308" s="110"/>
      <c r="J2308" s="39" t="s">
        <v>334</v>
      </c>
      <c r="K2308" s="112"/>
      <c r="L2308" s="113"/>
      <c r="M2308" s="62"/>
      <c r="N2308" s="28" t="e">
        <f t="shared" si="8"/>
        <v>#VALUE!</v>
      </c>
      <c r="O2308" s="65"/>
      <c r="P2308" s="29" t="s">
        <v>334</v>
      </c>
      <c r="Q2308" s="55"/>
      <c r="R2308" s="31" t="e">
        <f t="shared" si="9"/>
        <v>#VALUE!</v>
      </c>
      <c r="S2308" s="66"/>
      <c r="T2308" s="32" t="e">
        <f t="shared" si="10"/>
        <v>#VALUE!</v>
      </c>
      <c r="U2308" s="57"/>
      <c r="V2308" s="58"/>
      <c r="W2308" s="58"/>
      <c r="X2308" s="30" t="e">
        <f t="shared" si="11"/>
        <v>#N/A</v>
      </c>
      <c r="Y2308" s="30" t="e">
        <f t="shared" si="12"/>
        <v>#N/A</v>
      </c>
      <c r="Z2308" s="35" t="e">
        <f t="shared" si="13"/>
        <v>#VALUE!</v>
      </c>
      <c r="AA2308" s="29" t="e">
        <f t="shared" si="14"/>
        <v>#VALUE!</v>
      </c>
      <c r="AB2308" s="36" t="e">
        <f t="shared" si="15"/>
        <v>#VALUE!</v>
      </c>
      <c r="AC2308" s="37" t="b">
        <v>0</v>
      </c>
      <c r="AD2308" s="61" t="str">
        <f t="shared" si="16"/>
        <v>USD</v>
      </c>
      <c r="AE2308" s="37"/>
      <c r="AF2308" s="37" t="e">
        <f t="array" ref="AF2308">INDEX('Deal Info'!D:D, MATCH(A2308,'Deal Info'!A:A, 0))</f>
        <v>#N/A</v>
      </c>
      <c r="AG2308" s="38" t="e">
        <f t="array" ref="AG2308">INDEX('Deal Info'!G:G, MATCH(A2308,'Deal Info'!A:A, 0))</f>
        <v>#N/A</v>
      </c>
    </row>
    <row r="2309" spans="1:33" ht="14.25" hidden="1" x14ac:dyDescent="0.2">
      <c r="A2309" s="18" t="b">
        <f t="array" ref="A2309">IF(G2309='Room Info'!$B$1, INDEX('Room Info'!$A$2:$A2446, MATCH(B2309,'Room Info'!$B$2:$B2446, 0)),IF(G2309='Room Info'!$C$1, INDEX('Room Info'!$A$2:$A2446, MATCH(B2309,'Room Info'!$C$2:$C2446, 0)),IF(G2309='Room Info'!$D$1, INDEX('Room Info'!$A$2:$A2446, MATCH(B2309,'Room Info'!$D$2:$D2446, 0)),IF(G2309='Room Info'!$E$1, INDEX('Room Info'!$A$2:$A2446, MATCH(B2309,'Room Info'!$E$2:$E2446, 0)),IF(G2309='Room Info'!$F$1, INDEX('Room Info'!$A$2:$A2446, MATCH(B2309,'Room Info'!$F$2:$F2446, 0)),IF(G2309='Room Info'!$H$1, INDEX('Room Info'!$A$2:$A2446, MATCH(B2309,'Room Info'!$H$2:$H2446, 0)),IF(G2309='Room Info'!$G$1, INDEX('Room Info'!$A$2:$A2446, MATCH(B2309,'Room Info'!$G$2:$G2446, 0)))))))))</f>
        <v>0</v>
      </c>
      <c r="B2309" s="96"/>
      <c r="C2309" s="111"/>
      <c r="D2309" s="111"/>
      <c r="E2309" s="80"/>
      <c r="F2309" s="96"/>
      <c r="G2309" s="65"/>
      <c r="H2309" s="110"/>
      <c r="I2309" s="110"/>
      <c r="J2309" s="39" t="s">
        <v>334</v>
      </c>
      <c r="K2309" s="112"/>
      <c r="L2309" s="113"/>
      <c r="M2309" s="62"/>
      <c r="N2309" s="28" t="e">
        <f t="shared" si="8"/>
        <v>#VALUE!</v>
      </c>
      <c r="O2309" s="65"/>
      <c r="P2309" s="29" t="s">
        <v>334</v>
      </c>
      <c r="Q2309" s="55"/>
      <c r="R2309" s="31" t="e">
        <f t="shared" si="9"/>
        <v>#VALUE!</v>
      </c>
      <c r="S2309" s="66"/>
      <c r="T2309" s="32" t="e">
        <f t="shared" si="10"/>
        <v>#VALUE!</v>
      </c>
      <c r="U2309" s="57"/>
      <c r="V2309" s="58"/>
      <c r="W2309" s="58"/>
      <c r="X2309" s="30" t="e">
        <f t="shared" si="11"/>
        <v>#N/A</v>
      </c>
      <c r="Y2309" s="30" t="e">
        <f t="shared" si="12"/>
        <v>#N/A</v>
      </c>
      <c r="Z2309" s="35" t="e">
        <f t="shared" si="13"/>
        <v>#VALUE!</v>
      </c>
      <c r="AA2309" s="29" t="e">
        <f t="shared" si="14"/>
        <v>#VALUE!</v>
      </c>
      <c r="AB2309" s="36" t="e">
        <f t="shared" si="15"/>
        <v>#VALUE!</v>
      </c>
      <c r="AC2309" s="37" t="b">
        <v>0</v>
      </c>
      <c r="AD2309" s="61" t="str">
        <f t="shared" si="16"/>
        <v>USD</v>
      </c>
      <c r="AE2309" s="37"/>
      <c r="AF2309" s="37" t="e">
        <f t="array" ref="AF2309">INDEX('Deal Info'!D:D, MATCH(A2309,'Deal Info'!A:A, 0))</f>
        <v>#N/A</v>
      </c>
      <c r="AG2309" s="38" t="e">
        <f t="array" ref="AG2309">INDEX('Deal Info'!G:G, MATCH(A2309,'Deal Info'!A:A, 0))</f>
        <v>#N/A</v>
      </c>
    </row>
    <row r="2310" spans="1:33" ht="14.25" hidden="1" x14ac:dyDescent="0.2">
      <c r="A2310" s="18" t="b">
        <f t="array" ref="A2310">IF(G2310='Room Info'!$B$1, INDEX('Room Info'!$A$2:$A2446, MATCH(B2310,'Room Info'!$B$2:$B2446, 0)),IF(G2310='Room Info'!$C$1, INDEX('Room Info'!$A$2:$A2446, MATCH(B2310,'Room Info'!$C$2:$C2446, 0)),IF(G2310='Room Info'!$D$1, INDEX('Room Info'!$A$2:$A2446, MATCH(B2310,'Room Info'!$D$2:$D2446, 0)),IF(G2310='Room Info'!$E$1, INDEX('Room Info'!$A$2:$A2446, MATCH(B2310,'Room Info'!$E$2:$E2446, 0)),IF(G2310='Room Info'!$F$1, INDEX('Room Info'!$A$2:$A2446, MATCH(B2310,'Room Info'!$F$2:$F2446, 0)),IF(G2310='Room Info'!$H$1, INDEX('Room Info'!$A$2:$A2446, MATCH(B2310,'Room Info'!$H$2:$H2446, 0)),IF(G2310='Room Info'!$G$1, INDEX('Room Info'!$A$2:$A2446, MATCH(B2310,'Room Info'!$G$2:$G2446, 0)))))))))</f>
        <v>0</v>
      </c>
      <c r="B2310" s="96"/>
      <c r="C2310" s="111"/>
      <c r="D2310" s="111"/>
      <c r="E2310" s="80"/>
      <c r="F2310" s="133"/>
      <c r="G2310" s="65"/>
      <c r="H2310" s="110"/>
      <c r="I2310" s="110"/>
      <c r="J2310" s="39" t="s">
        <v>334</v>
      </c>
      <c r="K2310" s="112"/>
      <c r="L2310" s="113"/>
      <c r="M2310" s="62"/>
      <c r="N2310" s="28" t="e">
        <f t="shared" si="8"/>
        <v>#VALUE!</v>
      </c>
      <c r="O2310" s="65"/>
      <c r="P2310" s="29" t="s">
        <v>334</v>
      </c>
      <c r="Q2310" s="55"/>
      <c r="R2310" s="31" t="e">
        <f t="shared" si="9"/>
        <v>#VALUE!</v>
      </c>
      <c r="S2310" s="66"/>
      <c r="T2310" s="32" t="e">
        <f t="shared" si="10"/>
        <v>#VALUE!</v>
      </c>
      <c r="U2310" s="57"/>
      <c r="V2310" s="58"/>
      <c r="W2310" s="58"/>
      <c r="X2310" s="30" t="e">
        <f t="shared" si="11"/>
        <v>#N/A</v>
      </c>
      <c r="Y2310" s="30" t="e">
        <f t="shared" si="12"/>
        <v>#N/A</v>
      </c>
      <c r="Z2310" s="35" t="e">
        <f t="shared" si="13"/>
        <v>#VALUE!</v>
      </c>
      <c r="AA2310" s="29" t="e">
        <f t="shared" si="14"/>
        <v>#VALUE!</v>
      </c>
      <c r="AB2310" s="36" t="e">
        <f t="shared" si="15"/>
        <v>#VALUE!</v>
      </c>
      <c r="AC2310" s="37" t="b">
        <v>0</v>
      </c>
      <c r="AD2310" s="61" t="str">
        <f t="shared" si="16"/>
        <v>USD</v>
      </c>
      <c r="AE2310" s="37"/>
      <c r="AF2310" s="37" t="e">
        <f t="array" ref="AF2310">INDEX('Deal Info'!D:D, MATCH(A2310,'Deal Info'!A:A, 0))</f>
        <v>#N/A</v>
      </c>
      <c r="AG2310" s="38" t="e">
        <f t="array" ref="AG2310">INDEX('Deal Info'!G:G, MATCH(A2310,'Deal Info'!A:A, 0))</f>
        <v>#N/A</v>
      </c>
    </row>
    <row r="2311" spans="1:33" ht="14.25" hidden="1" x14ac:dyDescent="0.2">
      <c r="A2311" s="18" t="b">
        <f t="array" ref="A2311">IF(G2311='Room Info'!$B$1, INDEX('Room Info'!$A$2:$A2446, MATCH(B2311,'Room Info'!$B$2:$B2446, 0)),IF(G2311='Room Info'!$C$1, INDEX('Room Info'!$A$2:$A2446, MATCH(B2311,'Room Info'!$C$2:$C2446, 0)),IF(G2311='Room Info'!$D$1, INDEX('Room Info'!$A$2:$A2446, MATCH(B2311,'Room Info'!$D$2:$D2446, 0)),IF(G2311='Room Info'!$E$1, INDEX('Room Info'!$A$2:$A2446, MATCH(B2311,'Room Info'!$E$2:$E2446, 0)),IF(G2311='Room Info'!$F$1, INDEX('Room Info'!$A$2:$A2446, MATCH(B2311,'Room Info'!$F$2:$F2446, 0)),IF(G2311='Room Info'!$H$1, INDEX('Room Info'!$A$2:$A2446, MATCH(B2311,'Room Info'!$H$2:$H2446, 0)),IF(G2311='Room Info'!$G$1, INDEX('Room Info'!$A$2:$A2446, MATCH(B2311,'Room Info'!$G$2:$G2446, 0)))))))))</f>
        <v>0</v>
      </c>
      <c r="B2311" s="96"/>
      <c r="C2311" s="111"/>
      <c r="D2311" s="111"/>
      <c r="E2311" s="80"/>
      <c r="F2311" s="133"/>
      <c r="G2311" s="65"/>
      <c r="H2311" s="110"/>
      <c r="I2311" s="110"/>
      <c r="J2311" s="39" t="s">
        <v>334</v>
      </c>
      <c r="K2311" s="112"/>
      <c r="L2311" s="113"/>
      <c r="M2311" s="62"/>
      <c r="N2311" s="28" t="e">
        <f t="shared" si="8"/>
        <v>#VALUE!</v>
      </c>
      <c r="O2311" s="65"/>
      <c r="P2311" s="29" t="s">
        <v>334</v>
      </c>
      <c r="Q2311" s="55"/>
      <c r="R2311" s="31" t="e">
        <f t="shared" si="9"/>
        <v>#VALUE!</v>
      </c>
      <c r="S2311" s="66"/>
      <c r="T2311" s="32" t="e">
        <f t="shared" si="10"/>
        <v>#VALUE!</v>
      </c>
      <c r="U2311" s="57"/>
      <c r="V2311" s="58"/>
      <c r="W2311" s="58"/>
      <c r="X2311" s="30" t="e">
        <f t="shared" si="11"/>
        <v>#N/A</v>
      </c>
      <c r="Y2311" s="30" t="e">
        <f t="shared" si="12"/>
        <v>#N/A</v>
      </c>
      <c r="Z2311" s="35" t="e">
        <f t="shared" si="13"/>
        <v>#VALUE!</v>
      </c>
      <c r="AA2311" s="29" t="e">
        <f t="shared" si="14"/>
        <v>#VALUE!</v>
      </c>
      <c r="AB2311" s="36" t="e">
        <f t="shared" si="15"/>
        <v>#VALUE!</v>
      </c>
      <c r="AC2311" s="37" t="b">
        <v>0</v>
      </c>
      <c r="AD2311" s="61" t="str">
        <f t="shared" si="16"/>
        <v>USD</v>
      </c>
      <c r="AE2311" s="37"/>
      <c r="AF2311" s="37" t="e">
        <f t="array" ref="AF2311">INDEX('Deal Info'!D:D, MATCH(A2311,'Deal Info'!A:A, 0))</f>
        <v>#N/A</v>
      </c>
      <c r="AG2311" s="38" t="e">
        <f t="array" ref="AG2311">INDEX('Deal Info'!G:G, MATCH(A2311,'Deal Info'!A:A, 0))</f>
        <v>#N/A</v>
      </c>
    </row>
    <row r="2312" spans="1:33" ht="14.25" hidden="1" x14ac:dyDescent="0.2">
      <c r="A2312" s="18" t="b">
        <f t="array" ref="A2312">IF(G2312='Room Info'!$B$1, INDEX('Room Info'!$A$2:$A2446, MATCH(B2312,'Room Info'!$B$2:$B2446, 0)),IF(G2312='Room Info'!$C$1, INDEX('Room Info'!$A$2:$A2446, MATCH(B2312,'Room Info'!$C$2:$C2446, 0)),IF(G2312='Room Info'!$D$1, INDEX('Room Info'!$A$2:$A2446, MATCH(B2312,'Room Info'!$D$2:$D2446, 0)),IF(G2312='Room Info'!$E$1, INDEX('Room Info'!$A$2:$A2446, MATCH(B2312,'Room Info'!$E$2:$E2446, 0)),IF(G2312='Room Info'!$F$1, INDEX('Room Info'!$A$2:$A2446, MATCH(B2312,'Room Info'!$F$2:$F2446, 0)),IF(G2312='Room Info'!$H$1, INDEX('Room Info'!$A$2:$A2446, MATCH(B2312,'Room Info'!$H$2:$H2446, 0)),IF(G2312='Room Info'!$G$1, INDEX('Room Info'!$A$2:$A2446, MATCH(B2312,'Room Info'!$G$2:$G2446, 0)))))))))</f>
        <v>0</v>
      </c>
      <c r="B2312" s="96"/>
      <c r="C2312" s="111"/>
      <c r="D2312" s="111"/>
      <c r="E2312" s="80"/>
      <c r="F2312" s="133"/>
      <c r="G2312" s="65"/>
      <c r="H2312" s="110"/>
      <c r="I2312" s="110"/>
      <c r="J2312" s="39" t="s">
        <v>334</v>
      </c>
      <c r="K2312" s="134"/>
      <c r="L2312" s="135"/>
      <c r="M2312" s="62"/>
      <c r="N2312" s="28" t="e">
        <f t="shared" si="8"/>
        <v>#VALUE!</v>
      </c>
      <c r="O2312" s="96"/>
      <c r="P2312" s="29" t="s">
        <v>334</v>
      </c>
      <c r="Q2312" s="55"/>
      <c r="R2312" s="31" t="e">
        <f t="shared" si="9"/>
        <v>#VALUE!</v>
      </c>
      <c r="S2312" s="97"/>
      <c r="T2312" s="32" t="e">
        <f t="shared" si="10"/>
        <v>#VALUE!</v>
      </c>
      <c r="U2312" s="57"/>
      <c r="V2312" s="58"/>
      <c r="W2312" s="58"/>
      <c r="X2312" s="30" t="e">
        <f t="shared" si="11"/>
        <v>#N/A</v>
      </c>
      <c r="Y2312" s="30" t="e">
        <f t="shared" si="12"/>
        <v>#N/A</v>
      </c>
      <c r="Z2312" s="35" t="e">
        <f t="shared" si="13"/>
        <v>#VALUE!</v>
      </c>
      <c r="AA2312" s="29" t="e">
        <f t="shared" si="14"/>
        <v>#VALUE!</v>
      </c>
      <c r="AB2312" s="36" t="e">
        <f t="shared" si="15"/>
        <v>#VALUE!</v>
      </c>
      <c r="AC2312" s="37" t="b">
        <v>0</v>
      </c>
      <c r="AD2312" s="61" t="str">
        <f t="shared" si="16"/>
        <v>USD</v>
      </c>
      <c r="AE2312" s="37"/>
      <c r="AF2312" s="37" t="e">
        <f t="array" ref="AF2312">INDEX('Deal Info'!D:D, MATCH(A2312,'Deal Info'!A:A, 0))</f>
        <v>#N/A</v>
      </c>
      <c r="AG2312" s="38" t="e">
        <f t="array" ref="AG2312">INDEX('Deal Info'!G:G, MATCH(A2312,'Deal Info'!A:A, 0))</f>
        <v>#N/A</v>
      </c>
    </row>
    <row r="2313" spans="1:33" ht="14.25" hidden="1" x14ac:dyDescent="0.2">
      <c r="A2313" s="18" t="b">
        <f t="array" ref="A2313">IF(G2313='Room Info'!$B$1, INDEX('Room Info'!$A$2:$A2446, MATCH(B2313,'Room Info'!$B$2:$B2446, 0)),IF(G2313='Room Info'!$C$1, INDEX('Room Info'!$A$2:$A2446, MATCH(B2313,'Room Info'!$C$2:$C2446, 0)),IF(G2313='Room Info'!$D$1, INDEX('Room Info'!$A$2:$A2446, MATCH(B2313,'Room Info'!$D$2:$D2446, 0)),IF(G2313='Room Info'!$E$1, INDEX('Room Info'!$A$2:$A2446, MATCH(B2313,'Room Info'!$E$2:$E2446, 0)),IF(G2313='Room Info'!$F$1, INDEX('Room Info'!$A$2:$A2446, MATCH(B2313,'Room Info'!$F$2:$F2446, 0)),IF(G2313='Room Info'!$H$1, INDEX('Room Info'!$A$2:$A2446, MATCH(B2313,'Room Info'!$H$2:$H2446, 0)),IF(G2313='Room Info'!$G$1, INDEX('Room Info'!$A$2:$A2446, MATCH(B2313,'Room Info'!$G$2:$G2446, 0)))))))))</f>
        <v>0</v>
      </c>
      <c r="B2313" s="96"/>
      <c r="C2313" s="111"/>
      <c r="D2313" s="111"/>
      <c r="E2313" s="80"/>
      <c r="F2313" s="133"/>
      <c r="G2313" s="65"/>
      <c r="H2313" s="110"/>
      <c r="I2313" s="110"/>
      <c r="J2313" s="39" t="s">
        <v>334</v>
      </c>
      <c r="K2313" s="134"/>
      <c r="L2313" s="135"/>
      <c r="M2313" s="62"/>
      <c r="N2313" s="28" t="e">
        <f t="shared" si="8"/>
        <v>#VALUE!</v>
      </c>
      <c r="O2313" s="96"/>
      <c r="P2313" s="29" t="s">
        <v>334</v>
      </c>
      <c r="Q2313" s="55"/>
      <c r="R2313" s="31" t="e">
        <f t="shared" si="9"/>
        <v>#VALUE!</v>
      </c>
      <c r="S2313" s="97"/>
      <c r="T2313" s="32" t="e">
        <f t="shared" si="10"/>
        <v>#VALUE!</v>
      </c>
      <c r="U2313" s="57"/>
      <c r="V2313" s="58"/>
      <c r="W2313" s="58"/>
      <c r="X2313" s="30" t="e">
        <f t="shared" si="11"/>
        <v>#N/A</v>
      </c>
      <c r="Y2313" s="30" t="e">
        <f t="shared" si="12"/>
        <v>#N/A</v>
      </c>
      <c r="Z2313" s="35" t="e">
        <f t="shared" si="13"/>
        <v>#VALUE!</v>
      </c>
      <c r="AA2313" s="29" t="e">
        <f t="shared" si="14"/>
        <v>#VALUE!</v>
      </c>
      <c r="AB2313" s="36" t="e">
        <f t="shared" si="15"/>
        <v>#VALUE!</v>
      </c>
      <c r="AC2313" s="37" t="b">
        <v>0</v>
      </c>
      <c r="AD2313" s="61" t="str">
        <f t="shared" si="16"/>
        <v>USD</v>
      </c>
      <c r="AE2313" s="37"/>
      <c r="AF2313" s="37" t="e">
        <f t="array" ref="AF2313">INDEX('Deal Info'!D:D, MATCH(A2313,'Deal Info'!A:A, 0))</f>
        <v>#N/A</v>
      </c>
      <c r="AG2313" s="38" t="e">
        <f t="array" ref="AG2313">INDEX('Deal Info'!G:G, MATCH(A2313,'Deal Info'!A:A, 0))</f>
        <v>#N/A</v>
      </c>
    </row>
    <row r="2314" spans="1:33" ht="14.25" hidden="1" x14ac:dyDescent="0.2">
      <c r="A2314" s="18" t="b">
        <f t="array" ref="A2314">IF(G2314='Room Info'!$B$1, INDEX('Room Info'!$A$2:$A2446, MATCH(B2314,'Room Info'!$B$2:$B2446, 0)),IF(G2314='Room Info'!$C$1, INDEX('Room Info'!$A$2:$A2446, MATCH(B2314,'Room Info'!$C$2:$C2446, 0)),IF(G2314='Room Info'!$D$1, INDEX('Room Info'!$A$2:$A2446, MATCH(B2314,'Room Info'!$D$2:$D2446, 0)),IF(G2314='Room Info'!$E$1, INDEX('Room Info'!$A$2:$A2446, MATCH(B2314,'Room Info'!$E$2:$E2446, 0)),IF(G2314='Room Info'!$F$1, INDEX('Room Info'!$A$2:$A2446, MATCH(B2314,'Room Info'!$F$2:$F2446, 0)),IF(G2314='Room Info'!$H$1, INDEX('Room Info'!$A$2:$A2446, MATCH(B2314,'Room Info'!$H$2:$H2446, 0)),IF(G2314='Room Info'!$G$1, INDEX('Room Info'!$A$2:$A2446, MATCH(B2314,'Room Info'!$G$2:$G2446, 0)))))))))</f>
        <v>0</v>
      </c>
      <c r="B2314" s="96"/>
      <c r="C2314" s="111"/>
      <c r="D2314" s="111"/>
      <c r="E2314" s="80"/>
      <c r="F2314" s="133"/>
      <c r="G2314" s="65"/>
      <c r="H2314" s="110"/>
      <c r="I2314" s="110"/>
      <c r="J2314" s="39" t="s">
        <v>334</v>
      </c>
      <c r="K2314" s="134"/>
      <c r="L2314" s="135"/>
      <c r="M2314" s="62"/>
      <c r="N2314" s="28" t="e">
        <f t="shared" si="8"/>
        <v>#VALUE!</v>
      </c>
      <c r="O2314" s="96"/>
      <c r="P2314" s="29" t="s">
        <v>334</v>
      </c>
      <c r="Q2314" s="55"/>
      <c r="R2314" s="31" t="e">
        <f t="shared" si="9"/>
        <v>#VALUE!</v>
      </c>
      <c r="S2314" s="97"/>
      <c r="T2314" s="32" t="e">
        <f t="shared" si="10"/>
        <v>#VALUE!</v>
      </c>
      <c r="U2314" s="57"/>
      <c r="V2314" s="58"/>
      <c r="W2314" s="58"/>
      <c r="X2314" s="30" t="e">
        <f t="shared" si="11"/>
        <v>#N/A</v>
      </c>
      <c r="Y2314" s="30" t="e">
        <f t="shared" si="12"/>
        <v>#N/A</v>
      </c>
      <c r="Z2314" s="35" t="e">
        <f t="shared" si="13"/>
        <v>#VALUE!</v>
      </c>
      <c r="AA2314" s="29" t="e">
        <f t="shared" si="14"/>
        <v>#VALUE!</v>
      </c>
      <c r="AB2314" s="36" t="e">
        <f t="shared" si="15"/>
        <v>#VALUE!</v>
      </c>
      <c r="AC2314" s="37" t="b">
        <v>0</v>
      </c>
      <c r="AD2314" s="61" t="str">
        <f t="shared" si="16"/>
        <v>USD</v>
      </c>
      <c r="AE2314" s="37"/>
      <c r="AF2314" s="37" t="e">
        <f t="array" ref="AF2314">INDEX('Deal Info'!D:D, MATCH(A2314,'Deal Info'!A:A, 0))</f>
        <v>#N/A</v>
      </c>
      <c r="AG2314" s="38" t="e">
        <f t="array" ref="AG2314">INDEX('Deal Info'!G:G, MATCH(A2314,'Deal Info'!A:A, 0))</f>
        <v>#N/A</v>
      </c>
    </row>
    <row r="2315" spans="1:33" ht="14.25" hidden="1" x14ac:dyDescent="0.2">
      <c r="A2315" s="18" t="b">
        <f t="array" ref="A2315">IF(G2315='Room Info'!$B$1, INDEX('Room Info'!$A$2:$A2446, MATCH(B2315,'Room Info'!$B$2:$B2446, 0)),IF(G2315='Room Info'!$C$1, INDEX('Room Info'!$A$2:$A2446, MATCH(B2315,'Room Info'!$C$2:$C2446, 0)),IF(G2315='Room Info'!$D$1, INDEX('Room Info'!$A$2:$A2446, MATCH(B2315,'Room Info'!$D$2:$D2446, 0)),IF(G2315='Room Info'!$E$1, INDEX('Room Info'!$A$2:$A2446, MATCH(B2315,'Room Info'!$E$2:$E2446, 0)),IF(G2315='Room Info'!$F$1, INDEX('Room Info'!$A$2:$A2446, MATCH(B2315,'Room Info'!$F$2:$F2446, 0)),IF(G2315='Room Info'!$H$1, INDEX('Room Info'!$A$2:$A2446, MATCH(B2315,'Room Info'!$H$2:$H2446, 0)),IF(G2315='Room Info'!$G$1, INDEX('Room Info'!$A$2:$A2446, MATCH(B2315,'Room Info'!$G$2:$G2446, 0)))))))))</f>
        <v>0</v>
      </c>
      <c r="B2315" s="96"/>
      <c r="C2315" s="111"/>
      <c r="D2315" s="111"/>
      <c r="E2315" s="80"/>
      <c r="F2315" s="133"/>
      <c r="G2315" s="65"/>
      <c r="H2315" s="110"/>
      <c r="I2315" s="110"/>
      <c r="J2315" s="39" t="s">
        <v>334</v>
      </c>
      <c r="K2315" s="134"/>
      <c r="L2315" s="135"/>
      <c r="M2315" s="62"/>
      <c r="N2315" s="28" t="e">
        <f t="shared" si="8"/>
        <v>#VALUE!</v>
      </c>
      <c r="O2315" s="96"/>
      <c r="P2315" s="29" t="s">
        <v>334</v>
      </c>
      <c r="Q2315" s="55"/>
      <c r="R2315" s="31" t="e">
        <f t="shared" si="9"/>
        <v>#VALUE!</v>
      </c>
      <c r="S2315" s="97"/>
      <c r="T2315" s="32" t="e">
        <f t="shared" si="10"/>
        <v>#VALUE!</v>
      </c>
      <c r="U2315" s="57"/>
      <c r="V2315" s="58"/>
      <c r="W2315" s="58"/>
      <c r="X2315" s="30" t="e">
        <f t="shared" si="11"/>
        <v>#N/A</v>
      </c>
      <c r="Y2315" s="30" t="e">
        <f t="shared" si="12"/>
        <v>#N/A</v>
      </c>
      <c r="Z2315" s="35" t="e">
        <f t="shared" si="13"/>
        <v>#VALUE!</v>
      </c>
      <c r="AA2315" s="29" t="e">
        <f t="shared" si="14"/>
        <v>#VALUE!</v>
      </c>
      <c r="AB2315" s="36" t="e">
        <f t="shared" si="15"/>
        <v>#VALUE!</v>
      </c>
      <c r="AC2315" s="37" t="b">
        <v>0</v>
      </c>
      <c r="AD2315" s="61" t="str">
        <f t="shared" si="16"/>
        <v>USD</v>
      </c>
      <c r="AE2315" s="37"/>
      <c r="AF2315" s="37" t="e">
        <f t="array" ref="AF2315">INDEX('Deal Info'!D:D, MATCH(A2315,'Deal Info'!A:A, 0))</f>
        <v>#N/A</v>
      </c>
      <c r="AG2315" s="38" t="e">
        <f t="array" ref="AG2315">INDEX('Deal Info'!G:G, MATCH(A2315,'Deal Info'!A:A, 0))</f>
        <v>#N/A</v>
      </c>
    </row>
    <row r="2316" spans="1:33" ht="14.25" hidden="1" x14ac:dyDescent="0.2">
      <c r="A2316" s="18" t="b">
        <f t="array" ref="A2316">IF(G2316='Room Info'!$B$1, INDEX('Room Info'!$A$2:$A2446, MATCH(B2316,'Room Info'!$B$2:$B2446, 0)),IF(G2316='Room Info'!$C$1, INDEX('Room Info'!$A$2:$A2446, MATCH(B2316,'Room Info'!$C$2:$C2446, 0)),IF(G2316='Room Info'!$D$1, INDEX('Room Info'!$A$2:$A2446, MATCH(B2316,'Room Info'!$D$2:$D2446, 0)),IF(G2316='Room Info'!$E$1, INDEX('Room Info'!$A$2:$A2446, MATCH(B2316,'Room Info'!$E$2:$E2446, 0)),IF(G2316='Room Info'!$F$1, INDEX('Room Info'!$A$2:$A2446, MATCH(B2316,'Room Info'!$F$2:$F2446, 0)),IF(G2316='Room Info'!$H$1, INDEX('Room Info'!$A$2:$A2446, MATCH(B2316,'Room Info'!$H$2:$H2446, 0)),IF(G2316='Room Info'!$G$1, INDEX('Room Info'!$A$2:$A2446, MATCH(B2316,'Room Info'!$G$2:$G2446, 0)))))))))</f>
        <v>0</v>
      </c>
      <c r="B2316" s="96"/>
      <c r="C2316" s="136"/>
      <c r="D2316" s="136"/>
      <c r="E2316" s="137"/>
      <c r="F2316" s="133"/>
      <c r="G2316" s="96"/>
      <c r="H2316" s="100"/>
      <c r="I2316" s="100"/>
      <c r="J2316" s="39" t="s">
        <v>334</v>
      </c>
      <c r="K2316" s="134"/>
      <c r="L2316" s="135"/>
      <c r="M2316" s="79"/>
      <c r="N2316" s="28" t="e">
        <f t="shared" si="8"/>
        <v>#VALUE!</v>
      </c>
      <c r="O2316" s="96"/>
      <c r="P2316" s="29" t="s">
        <v>334</v>
      </c>
      <c r="Q2316" s="55"/>
      <c r="R2316" s="31" t="e">
        <f t="shared" si="9"/>
        <v>#VALUE!</v>
      </c>
      <c r="S2316" s="97"/>
      <c r="T2316" s="32" t="e">
        <f t="shared" si="10"/>
        <v>#VALUE!</v>
      </c>
      <c r="U2316" s="57"/>
      <c r="V2316" s="58"/>
      <c r="W2316" s="58"/>
      <c r="X2316" s="30" t="e">
        <f t="shared" si="11"/>
        <v>#N/A</v>
      </c>
      <c r="Y2316" s="30" t="e">
        <f t="shared" si="12"/>
        <v>#N/A</v>
      </c>
      <c r="Z2316" s="35" t="e">
        <f t="shared" si="13"/>
        <v>#VALUE!</v>
      </c>
      <c r="AA2316" s="29" t="e">
        <f t="shared" si="14"/>
        <v>#VALUE!</v>
      </c>
      <c r="AB2316" s="36" t="e">
        <f t="shared" si="15"/>
        <v>#VALUE!</v>
      </c>
      <c r="AC2316" s="37" t="b">
        <v>0</v>
      </c>
      <c r="AD2316" s="61" t="str">
        <f t="shared" si="16"/>
        <v>USD</v>
      </c>
      <c r="AE2316" s="37"/>
      <c r="AF2316" s="37" t="e">
        <f t="array" ref="AF2316">INDEX('Deal Info'!D:D, MATCH(A2316,'Deal Info'!A:A, 0))</f>
        <v>#N/A</v>
      </c>
      <c r="AG2316" s="38" t="e">
        <f t="array" ref="AG2316">INDEX('Deal Info'!G:G, MATCH(A2316,'Deal Info'!A:A, 0))</f>
        <v>#N/A</v>
      </c>
    </row>
    <row r="2317" spans="1:33" ht="14.25" hidden="1" x14ac:dyDescent="0.2">
      <c r="A2317" s="18" t="b">
        <f t="array" ref="A2317">IF(G2317='Room Info'!$B$1, INDEX('Room Info'!$A$2:$A2446, MATCH(B2317,'Room Info'!$B$2:$B2446, 0)),IF(G2317='Room Info'!$C$1, INDEX('Room Info'!$A$2:$A2446, MATCH(B2317,'Room Info'!$C$2:$C2446, 0)),IF(G2317='Room Info'!$D$1, INDEX('Room Info'!$A$2:$A2446, MATCH(B2317,'Room Info'!$D$2:$D2446, 0)),IF(G2317='Room Info'!$E$1, INDEX('Room Info'!$A$2:$A2446, MATCH(B2317,'Room Info'!$E$2:$E2446, 0)),IF(G2317='Room Info'!$F$1, INDEX('Room Info'!$A$2:$A2446, MATCH(B2317,'Room Info'!$F$2:$F2446, 0)),IF(G2317='Room Info'!$H$1, INDEX('Room Info'!$A$2:$A2446, MATCH(B2317,'Room Info'!$H$2:$H2446, 0)),IF(G2317='Room Info'!$G$1, INDEX('Room Info'!$A$2:$A2446, MATCH(B2317,'Room Info'!$G$2:$G2446, 0)))))))))</f>
        <v>0</v>
      </c>
      <c r="B2317" s="96"/>
      <c r="C2317" s="136"/>
      <c r="D2317" s="136"/>
      <c r="E2317" s="137"/>
      <c r="F2317" s="133"/>
      <c r="G2317" s="96"/>
      <c r="H2317" s="100"/>
      <c r="I2317" s="100"/>
      <c r="J2317" s="39" t="s">
        <v>334</v>
      </c>
      <c r="K2317" s="134"/>
      <c r="L2317" s="135"/>
      <c r="M2317" s="79"/>
      <c r="N2317" s="28" t="e">
        <f t="shared" si="8"/>
        <v>#VALUE!</v>
      </c>
      <c r="O2317" s="96"/>
      <c r="P2317" s="29" t="s">
        <v>334</v>
      </c>
      <c r="Q2317" s="55"/>
      <c r="R2317" s="31" t="e">
        <f t="shared" si="9"/>
        <v>#VALUE!</v>
      </c>
      <c r="S2317" s="97"/>
      <c r="T2317" s="32" t="e">
        <f t="shared" si="10"/>
        <v>#VALUE!</v>
      </c>
      <c r="U2317" s="57"/>
      <c r="V2317" s="58"/>
      <c r="W2317" s="58"/>
      <c r="X2317" s="30" t="e">
        <f t="shared" si="11"/>
        <v>#N/A</v>
      </c>
      <c r="Y2317" s="30" t="e">
        <f t="shared" si="12"/>
        <v>#N/A</v>
      </c>
      <c r="Z2317" s="35" t="e">
        <f t="shared" si="13"/>
        <v>#VALUE!</v>
      </c>
      <c r="AA2317" s="29" t="e">
        <f t="shared" si="14"/>
        <v>#VALUE!</v>
      </c>
      <c r="AB2317" s="36" t="e">
        <f t="shared" si="15"/>
        <v>#VALUE!</v>
      </c>
      <c r="AC2317" s="37" t="b">
        <v>0</v>
      </c>
      <c r="AD2317" s="61" t="str">
        <f t="shared" si="16"/>
        <v>USD</v>
      </c>
      <c r="AE2317" s="37"/>
      <c r="AF2317" s="37" t="e">
        <f t="array" ref="AF2317">INDEX('Deal Info'!D:D, MATCH(A2317,'Deal Info'!A:A, 0))</f>
        <v>#N/A</v>
      </c>
      <c r="AG2317" s="38" t="e">
        <f t="array" ref="AG2317">INDEX('Deal Info'!G:G, MATCH(A2317,'Deal Info'!A:A, 0))</f>
        <v>#N/A</v>
      </c>
    </row>
    <row r="2318" spans="1:33" ht="14.25" hidden="1" x14ac:dyDescent="0.2">
      <c r="A2318" s="18" t="b">
        <f t="array" ref="A2318">IF(G2318='Room Info'!$B$1, INDEX('Room Info'!$A$2:$A2446, MATCH(B2318,'Room Info'!$B$2:$B2446, 0)),IF(G2318='Room Info'!$C$1, INDEX('Room Info'!$A$2:$A2446, MATCH(B2318,'Room Info'!$C$2:$C2446, 0)),IF(G2318='Room Info'!$D$1, INDEX('Room Info'!$A$2:$A2446, MATCH(B2318,'Room Info'!$D$2:$D2446, 0)),IF(G2318='Room Info'!$E$1, INDEX('Room Info'!$A$2:$A2446, MATCH(B2318,'Room Info'!$E$2:$E2446, 0)),IF(G2318='Room Info'!$F$1, INDEX('Room Info'!$A$2:$A2446, MATCH(B2318,'Room Info'!$F$2:$F2446, 0)),IF(G2318='Room Info'!$H$1, INDEX('Room Info'!$A$2:$A2446, MATCH(B2318,'Room Info'!$H$2:$H2446, 0)),IF(G2318='Room Info'!$G$1, INDEX('Room Info'!$A$2:$A2446, MATCH(B2318,'Room Info'!$G$2:$G2446, 0)))))))))</f>
        <v>0</v>
      </c>
      <c r="B2318" s="96"/>
      <c r="C2318" s="111"/>
      <c r="D2318" s="111"/>
      <c r="E2318" s="80"/>
      <c r="F2318" s="133"/>
      <c r="G2318" s="65"/>
      <c r="H2318" s="100"/>
      <c r="I2318" s="100"/>
      <c r="J2318" s="39" t="s">
        <v>334</v>
      </c>
      <c r="K2318" s="134"/>
      <c r="L2318" s="135"/>
      <c r="M2318" s="62"/>
      <c r="N2318" s="28" t="e">
        <f t="shared" si="8"/>
        <v>#VALUE!</v>
      </c>
      <c r="O2318" s="96"/>
      <c r="P2318" s="29" t="s">
        <v>334</v>
      </c>
      <c r="Q2318" s="55"/>
      <c r="R2318" s="31" t="e">
        <f t="shared" si="9"/>
        <v>#VALUE!</v>
      </c>
      <c r="S2318" s="97"/>
      <c r="T2318" s="32" t="e">
        <f t="shared" si="10"/>
        <v>#VALUE!</v>
      </c>
      <c r="U2318" s="57"/>
      <c r="V2318" s="58"/>
      <c r="W2318" s="58"/>
      <c r="X2318" s="30" t="e">
        <f t="shared" si="11"/>
        <v>#N/A</v>
      </c>
      <c r="Y2318" s="30" t="e">
        <f t="shared" si="12"/>
        <v>#N/A</v>
      </c>
      <c r="Z2318" s="35" t="e">
        <f t="shared" si="13"/>
        <v>#VALUE!</v>
      </c>
      <c r="AA2318" s="29" t="e">
        <f t="shared" si="14"/>
        <v>#VALUE!</v>
      </c>
      <c r="AB2318" s="36" t="e">
        <f t="shared" si="15"/>
        <v>#VALUE!</v>
      </c>
      <c r="AC2318" s="37" t="b">
        <v>0</v>
      </c>
      <c r="AD2318" s="61" t="str">
        <f t="shared" si="16"/>
        <v>USD</v>
      </c>
      <c r="AE2318" s="37"/>
      <c r="AF2318" s="37" t="e">
        <f t="array" ref="AF2318">INDEX('Deal Info'!D:D, MATCH(A2318,'Deal Info'!A:A, 0))</f>
        <v>#N/A</v>
      </c>
      <c r="AG2318" s="38" t="e">
        <f t="array" ref="AG2318">INDEX('Deal Info'!G:G, MATCH(A2318,'Deal Info'!A:A, 0))</f>
        <v>#N/A</v>
      </c>
    </row>
    <row r="2319" spans="1:33" ht="14.25" hidden="1" x14ac:dyDescent="0.2">
      <c r="A2319" s="18" t="b">
        <f t="array" ref="A2319">IF(G2319='Room Info'!$B$1, INDEX('Room Info'!$A$2:$A2446, MATCH(B2319,'Room Info'!$B$2:$B2446, 0)),IF(G2319='Room Info'!$C$1, INDEX('Room Info'!$A$2:$A2446, MATCH(B2319,'Room Info'!$C$2:$C2446, 0)),IF(G2319='Room Info'!$D$1, INDEX('Room Info'!$A$2:$A2446, MATCH(B2319,'Room Info'!$D$2:$D2446, 0)),IF(G2319='Room Info'!$E$1, INDEX('Room Info'!$A$2:$A2446, MATCH(B2319,'Room Info'!$E$2:$E2446, 0)),IF(G2319='Room Info'!$F$1, INDEX('Room Info'!$A$2:$A2446, MATCH(B2319,'Room Info'!$F$2:$F2446, 0)),IF(G2319='Room Info'!$H$1, INDEX('Room Info'!$A$2:$A2446, MATCH(B2319,'Room Info'!$H$2:$H2446, 0)),IF(G2319='Room Info'!$G$1, INDEX('Room Info'!$A$2:$A2446, MATCH(B2319,'Room Info'!$G$2:$G2446, 0)))))))))</f>
        <v>0</v>
      </c>
      <c r="B2319" s="96"/>
      <c r="C2319" s="111"/>
      <c r="D2319" s="111"/>
      <c r="E2319" s="80"/>
      <c r="F2319" s="133"/>
      <c r="G2319" s="65"/>
      <c r="H2319" s="100"/>
      <c r="I2319" s="100"/>
      <c r="J2319" s="39" t="s">
        <v>334</v>
      </c>
      <c r="K2319" s="134"/>
      <c r="L2319" s="135"/>
      <c r="M2319" s="62"/>
      <c r="N2319" s="28" t="e">
        <f t="shared" si="8"/>
        <v>#VALUE!</v>
      </c>
      <c r="O2319" s="96"/>
      <c r="P2319" s="29" t="s">
        <v>334</v>
      </c>
      <c r="Q2319" s="55"/>
      <c r="R2319" s="31" t="e">
        <f t="shared" si="9"/>
        <v>#VALUE!</v>
      </c>
      <c r="S2319" s="97"/>
      <c r="T2319" s="32" t="e">
        <f t="shared" si="10"/>
        <v>#VALUE!</v>
      </c>
      <c r="U2319" s="57"/>
      <c r="V2319" s="58"/>
      <c r="W2319" s="58"/>
      <c r="X2319" s="30" t="e">
        <f t="shared" si="11"/>
        <v>#N/A</v>
      </c>
      <c r="Y2319" s="30" t="e">
        <f t="shared" si="12"/>
        <v>#N/A</v>
      </c>
      <c r="Z2319" s="35" t="e">
        <f t="shared" si="13"/>
        <v>#VALUE!</v>
      </c>
      <c r="AA2319" s="29" t="e">
        <f t="shared" si="14"/>
        <v>#VALUE!</v>
      </c>
      <c r="AB2319" s="36" t="e">
        <f t="shared" si="15"/>
        <v>#VALUE!</v>
      </c>
      <c r="AC2319" s="37" t="b">
        <v>0</v>
      </c>
      <c r="AD2319" s="61" t="str">
        <f t="shared" si="16"/>
        <v>USD</v>
      </c>
      <c r="AE2319" s="37"/>
      <c r="AF2319" s="37" t="e">
        <f t="array" ref="AF2319">INDEX('Deal Info'!D:D, MATCH(A2319,'Deal Info'!A:A, 0))</f>
        <v>#N/A</v>
      </c>
      <c r="AG2319" s="38" t="e">
        <f t="array" ref="AG2319">INDEX('Deal Info'!G:G, MATCH(A2319,'Deal Info'!A:A, 0))</f>
        <v>#N/A</v>
      </c>
    </row>
    <row r="2320" spans="1:33" ht="14.25" hidden="1" x14ac:dyDescent="0.2">
      <c r="A2320" s="18" t="b">
        <f t="array" ref="A2320">IF(G2320='Room Info'!$B$1, INDEX('Room Info'!$A$2:$A2446, MATCH(B2320,'Room Info'!$B$2:$B2446, 0)),IF(G2320='Room Info'!$C$1, INDEX('Room Info'!$A$2:$A2446, MATCH(B2320,'Room Info'!$C$2:$C2446, 0)),IF(G2320='Room Info'!$D$1, INDEX('Room Info'!$A$2:$A2446, MATCH(B2320,'Room Info'!$D$2:$D2446, 0)),IF(G2320='Room Info'!$E$1, INDEX('Room Info'!$A$2:$A2446, MATCH(B2320,'Room Info'!$E$2:$E2446, 0)),IF(G2320='Room Info'!$F$1, INDEX('Room Info'!$A$2:$A2446, MATCH(B2320,'Room Info'!$F$2:$F2446, 0)),IF(G2320='Room Info'!$H$1, INDEX('Room Info'!$A$2:$A2446, MATCH(B2320,'Room Info'!$H$2:$H2446, 0)),IF(G2320='Room Info'!$G$1, INDEX('Room Info'!$A$2:$A2446, MATCH(B2320,'Room Info'!$G$2:$G2446, 0)))))))))</f>
        <v>0</v>
      </c>
      <c r="B2320" s="96"/>
      <c r="C2320" s="111"/>
      <c r="D2320" s="111"/>
      <c r="E2320" s="80"/>
      <c r="F2320" s="133"/>
      <c r="G2320" s="65"/>
      <c r="H2320" s="100"/>
      <c r="I2320" s="100"/>
      <c r="J2320" s="39" t="s">
        <v>334</v>
      </c>
      <c r="K2320" s="134"/>
      <c r="L2320" s="135"/>
      <c r="M2320" s="62"/>
      <c r="N2320" s="28" t="e">
        <f t="shared" si="8"/>
        <v>#VALUE!</v>
      </c>
      <c r="O2320" s="96"/>
      <c r="P2320" s="29" t="s">
        <v>334</v>
      </c>
      <c r="Q2320" s="55"/>
      <c r="R2320" s="31" t="e">
        <f t="shared" si="9"/>
        <v>#VALUE!</v>
      </c>
      <c r="S2320" s="97"/>
      <c r="T2320" s="32" t="e">
        <f t="shared" si="10"/>
        <v>#VALUE!</v>
      </c>
      <c r="U2320" s="57"/>
      <c r="V2320" s="58"/>
      <c r="W2320" s="58"/>
      <c r="X2320" s="30" t="e">
        <f t="shared" si="11"/>
        <v>#N/A</v>
      </c>
      <c r="Y2320" s="30" t="e">
        <f t="shared" si="12"/>
        <v>#N/A</v>
      </c>
      <c r="Z2320" s="35" t="e">
        <f t="shared" si="13"/>
        <v>#VALUE!</v>
      </c>
      <c r="AA2320" s="29" t="e">
        <f t="shared" si="14"/>
        <v>#VALUE!</v>
      </c>
      <c r="AB2320" s="36" t="e">
        <f t="shared" si="15"/>
        <v>#VALUE!</v>
      </c>
      <c r="AC2320" s="37" t="b">
        <v>0</v>
      </c>
      <c r="AD2320" s="61" t="str">
        <f t="shared" si="16"/>
        <v>USD</v>
      </c>
      <c r="AE2320" s="37"/>
      <c r="AF2320" s="37" t="e">
        <f t="array" ref="AF2320">INDEX('Deal Info'!D:D, MATCH(A2320,'Deal Info'!A:A, 0))</f>
        <v>#N/A</v>
      </c>
      <c r="AG2320" s="38" t="e">
        <f t="array" ref="AG2320">INDEX('Deal Info'!G:G, MATCH(A2320,'Deal Info'!A:A, 0))</f>
        <v>#N/A</v>
      </c>
    </row>
    <row r="2321" spans="1:33" ht="14.25" hidden="1" x14ac:dyDescent="0.2">
      <c r="A2321" s="18" t="b">
        <f t="array" ref="A2321">IF(G2321='Room Info'!$B$1, INDEX('Room Info'!$A$2:$A2446, MATCH(B2321,'Room Info'!$B$2:$B2446, 0)),IF(G2321='Room Info'!$C$1, INDEX('Room Info'!$A$2:$A2446, MATCH(B2321,'Room Info'!$C$2:$C2446, 0)),IF(G2321='Room Info'!$D$1, INDEX('Room Info'!$A$2:$A2446, MATCH(B2321,'Room Info'!$D$2:$D2446, 0)),IF(G2321='Room Info'!$E$1, INDEX('Room Info'!$A$2:$A2446, MATCH(B2321,'Room Info'!$E$2:$E2446, 0)),IF(G2321='Room Info'!$F$1, INDEX('Room Info'!$A$2:$A2446, MATCH(B2321,'Room Info'!$F$2:$F2446, 0)),IF(G2321='Room Info'!$H$1, INDEX('Room Info'!$A$2:$A2446, MATCH(B2321,'Room Info'!$H$2:$H2446, 0)),IF(G2321='Room Info'!$G$1, INDEX('Room Info'!$A$2:$A2446, MATCH(B2321,'Room Info'!$G$2:$G2446, 0)))))))))</f>
        <v>0</v>
      </c>
      <c r="B2321" s="96"/>
      <c r="C2321" s="111"/>
      <c r="D2321" s="111"/>
      <c r="E2321" s="80"/>
      <c r="F2321" s="133"/>
      <c r="G2321" s="65"/>
      <c r="H2321" s="100"/>
      <c r="I2321" s="100"/>
      <c r="J2321" s="39" t="s">
        <v>334</v>
      </c>
      <c r="K2321" s="134"/>
      <c r="L2321" s="135"/>
      <c r="M2321" s="62"/>
      <c r="N2321" s="28" t="e">
        <f t="shared" si="8"/>
        <v>#VALUE!</v>
      </c>
      <c r="O2321" s="96"/>
      <c r="P2321" s="29" t="s">
        <v>334</v>
      </c>
      <c r="Q2321" s="55"/>
      <c r="R2321" s="31" t="e">
        <f t="shared" si="9"/>
        <v>#VALUE!</v>
      </c>
      <c r="S2321" s="97"/>
      <c r="T2321" s="32" t="e">
        <f t="shared" si="10"/>
        <v>#VALUE!</v>
      </c>
      <c r="U2321" s="57"/>
      <c r="V2321" s="58"/>
      <c r="W2321" s="58"/>
      <c r="X2321" s="30" t="e">
        <f t="shared" si="11"/>
        <v>#N/A</v>
      </c>
      <c r="Y2321" s="30" t="e">
        <f t="shared" si="12"/>
        <v>#N/A</v>
      </c>
      <c r="Z2321" s="35" t="e">
        <f t="shared" si="13"/>
        <v>#VALUE!</v>
      </c>
      <c r="AA2321" s="29" t="e">
        <f t="shared" si="14"/>
        <v>#VALUE!</v>
      </c>
      <c r="AB2321" s="36" t="e">
        <f t="shared" si="15"/>
        <v>#VALUE!</v>
      </c>
      <c r="AC2321" s="37" t="b">
        <v>0</v>
      </c>
      <c r="AD2321" s="61" t="str">
        <f t="shared" si="16"/>
        <v>USD</v>
      </c>
      <c r="AE2321" s="37"/>
      <c r="AF2321" s="37" t="e">
        <f t="array" ref="AF2321">INDEX('Deal Info'!D:D, MATCH(A2321,'Deal Info'!A:A, 0))</f>
        <v>#N/A</v>
      </c>
      <c r="AG2321" s="38" t="e">
        <f t="array" ref="AG2321">INDEX('Deal Info'!G:G, MATCH(A2321,'Deal Info'!A:A, 0))</f>
        <v>#N/A</v>
      </c>
    </row>
    <row r="2322" spans="1:33" ht="14.25" hidden="1" x14ac:dyDescent="0.2">
      <c r="A2322" s="18" t="b">
        <f t="array" ref="A2322">IF(G2322='Room Info'!$B$1, INDEX('Room Info'!$A$2:$A2446, MATCH(B2322,'Room Info'!$B$2:$B2446, 0)),IF(G2322='Room Info'!$C$1, INDEX('Room Info'!$A$2:$A2446, MATCH(B2322,'Room Info'!$C$2:$C2446, 0)),IF(G2322='Room Info'!$D$1, INDEX('Room Info'!$A$2:$A2446, MATCH(B2322,'Room Info'!$D$2:$D2446, 0)),IF(G2322='Room Info'!$E$1, INDEX('Room Info'!$A$2:$A2446, MATCH(B2322,'Room Info'!$E$2:$E2446, 0)),IF(G2322='Room Info'!$F$1, INDEX('Room Info'!$A$2:$A2446, MATCH(B2322,'Room Info'!$F$2:$F2446, 0)),IF(G2322='Room Info'!$H$1, INDEX('Room Info'!$A$2:$A2446, MATCH(B2322,'Room Info'!$H$2:$H2446, 0)),IF(G2322='Room Info'!$G$1, INDEX('Room Info'!$A$2:$A2446, MATCH(B2322,'Room Info'!$G$2:$G2446, 0)))))))))</f>
        <v>0</v>
      </c>
      <c r="B2322" s="96"/>
      <c r="C2322" s="136"/>
      <c r="D2322" s="111"/>
      <c r="E2322" s="80"/>
      <c r="F2322" s="133"/>
      <c r="G2322" s="96"/>
      <c r="H2322" s="110"/>
      <c r="I2322" s="110"/>
      <c r="J2322" s="39" t="s">
        <v>334</v>
      </c>
      <c r="K2322" s="112"/>
      <c r="L2322" s="113"/>
      <c r="M2322" s="62"/>
      <c r="N2322" s="28" t="e">
        <f t="shared" si="8"/>
        <v>#VALUE!</v>
      </c>
      <c r="O2322" s="65"/>
      <c r="P2322" s="29" t="s">
        <v>334</v>
      </c>
      <c r="Q2322" s="55"/>
      <c r="R2322" s="31" t="e">
        <f t="shared" si="9"/>
        <v>#VALUE!</v>
      </c>
      <c r="S2322" s="66"/>
      <c r="T2322" s="32" t="e">
        <f t="shared" si="10"/>
        <v>#VALUE!</v>
      </c>
      <c r="U2322" s="57"/>
      <c r="V2322" s="58"/>
      <c r="W2322" s="58"/>
      <c r="X2322" s="30" t="e">
        <f t="shared" si="11"/>
        <v>#N/A</v>
      </c>
      <c r="Y2322" s="30" t="e">
        <f t="shared" si="12"/>
        <v>#N/A</v>
      </c>
      <c r="Z2322" s="35" t="e">
        <f t="shared" si="13"/>
        <v>#VALUE!</v>
      </c>
      <c r="AA2322" s="29" t="e">
        <f t="shared" si="14"/>
        <v>#VALUE!</v>
      </c>
      <c r="AB2322" s="36" t="e">
        <f t="shared" si="15"/>
        <v>#VALUE!</v>
      </c>
      <c r="AC2322" s="37" t="b">
        <v>0</v>
      </c>
      <c r="AD2322" s="61" t="str">
        <f t="shared" si="16"/>
        <v>USD</v>
      </c>
      <c r="AE2322" s="37"/>
      <c r="AF2322" s="37" t="e">
        <f t="array" ref="AF2322">INDEX('Deal Info'!D:D, MATCH(A2322,'Deal Info'!A:A, 0))</f>
        <v>#N/A</v>
      </c>
      <c r="AG2322" s="38" t="e">
        <f t="array" ref="AG2322">INDEX('Deal Info'!G:G, MATCH(A2322,'Deal Info'!A:A, 0))</f>
        <v>#N/A</v>
      </c>
    </row>
    <row r="2323" spans="1:33" ht="14.25" hidden="1" x14ac:dyDescent="0.2">
      <c r="A2323" s="18" t="b">
        <f t="array" ref="A2323">IF(G2323='Room Info'!$B$1, INDEX('Room Info'!$A$2:$A2446, MATCH(B2323,'Room Info'!$B$2:$B2446, 0)),IF(G2323='Room Info'!$C$1, INDEX('Room Info'!$A$2:$A2446, MATCH(B2323,'Room Info'!$C$2:$C2446, 0)),IF(G2323='Room Info'!$D$1, INDEX('Room Info'!$A$2:$A2446, MATCH(B2323,'Room Info'!$D$2:$D2446, 0)),IF(G2323='Room Info'!$E$1, INDEX('Room Info'!$A$2:$A2446, MATCH(B2323,'Room Info'!$E$2:$E2446, 0)),IF(G2323='Room Info'!$F$1, INDEX('Room Info'!$A$2:$A2446, MATCH(B2323,'Room Info'!$F$2:$F2446, 0)),IF(G2323='Room Info'!$H$1, INDEX('Room Info'!$A$2:$A2446, MATCH(B2323,'Room Info'!$H$2:$H2446, 0)),IF(G2323='Room Info'!$G$1, INDEX('Room Info'!$A$2:$A2446, MATCH(B2323,'Room Info'!$G$2:$G2446, 0)))))))))</f>
        <v>0</v>
      </c>
      <c r="B2323" s="96"/>
      <c r="C2323" s="136"/>
      <c r="D2323" s="111"/>
      <c r="E2323" s="80"/>
      <c r="F2323" s="133"/>
      <c r="G2323" s="96"/>
      <c r="H2323" s="110"/>
      <c r="I2323" s="110"/>
      <c r="J2323" s="39" t="s">
        <v>334</v>
      </c>
      <c r="K2323" s="112"/>
      <c r="L2323" s="113"/>
      <c r="M2323" s="62"/>
      <c r="N2323" s="28" t="e">
        <f t="shared" si="8"/>
        <v>#VALUE!</v>
      </c>
      <c r="O2323" s="65"/>
      <c r="P2323" s="29" t="s">
        <v>334</v>
      </c>
      <c r="Q2323" s="55"/>
      <c r="R2323" s="31" t="e">
        <f t="shared" si="9"/>
        <v>#VALUE!</v>
      </c>
      <c r="S2323" s="66"/>
      <c r="T2323" s="32" t="e">
        <f t="shared" si="10"/>
        <v>#VALUE!</v>
      </c>
      <c r="U2323" s="57"/>
      <c r="V2323" s="58"/>
      <c r="W2323" s="58"/>
      <c r="X2323" s="30" t="e">
        <f t="shared" si="11"/>
        <v>#N/A</v>
      </c>
      <c r="Y2323" s="30" t="e">
        <f t="shared" si="12"/>
        <v>#N/A</v>
      </c>
      <c r="Z2323" s="35" t="e">
        <f t="shared" si="13"/>
        <v>#VALUE!</v>
      </c>
      <c r="AA2323" s="29" t="e">
        <f t="shared" si="14"/>
        <v>#VALUE!</v>
      </c>
      <c r="AB2323" s="36" t="e">
        <f t="shared" si="15"/>
        <v>#VALUE!</v>
      </c>
      <c r="AC2323" s="37" t="b">
        <v>0</v>
      </c>
      <c r="AD2323" s="61" t="str">
        <f t="shared" si="16"/>
        <v>USD</v>
      </c>
      <c r="AE2323" s="37"/>
      <c r="AF2323" s="37" t="e">
        <f t="array" ref="AF2323">INDEX('Deal Info'!D:D, MATCH(A2323,'Deal Info'!A:A, 0))</f>
        <v>#N/A</v>
      </c>
      <c r="AG2323" s="38" t="e">
        <f t="array" ref="AG2323">INDEX('Deal Info'!G:G, MATCH(A2323,'Deal Info'!A:A, 0))</f>
        <v>#N/A</v>
      </c>
    </row>
    <row r="2324" spans="1:33" ht="14.25" hidden="1" x14ac:dyDescent="0.2">
      <c r="A2324" s="18" t="b">
        <f t="array" ref="A2324">IF(G2324='Room Info'!$B$1, INDEX('Room Info'!$A$2:$A2446, MATCH(B2324,'Room Info'!$B$2:$B2446, 0)),IF(G2324='Room Info'!$C$1, INDEX('Room Info'!$A$2:$A2446, MATCH(B2324,'Room Info'!$C$2:$C2446, 0)),IF(G2324='Room Info'!$D$1, INDEX('Room Info'!$A$2:$A2446, MATCH(B2324,'Room Info'!$D$2:$D2446, 0)),IF(G2324='Room Info'!$E$1, INDEX('Room Info'!$A$2:$A2446, MATCH(B2324,'Room Info'!$E$2:$E2446, 0)),IF(G2324='Room Info'!$F$1, INDEX('Room Info'!$A$2:$A2446, MATCH(B2324,'Room Info'!$F$2:$F2446, 0)),IF(G2324='Room Info'!$H$1, INDEX('Room Info'!$A$2:$A2446, MATCH(B2324,'Room Info'!$H$2:$H2446, 0)),IF(G2324='Room Info'!$G$1, INDEX('Room Info'!$A$2:$A2446, MATCH(B2324,'Room Info'!$G$2:$G2446, 0)))))))))</f>
        <v>0</v>
      </c>
      <c r="B2324" s="96"/>
      <c r="C2324" s="111"/>
      <c r="D2324" s="111"/>
      <c r="E2324" s="80"/>
      <c r="F2324" s="133"/>
      <c r="G2324" s="96"/>
      <c r="H2324" s="110"/>
      <c r="I2324" s="110"/>
      <c r="J2324" s="39" t="s">
        <v>334</v>
      </c>
      <c r="K2324" s="112"/>
      <c r="L2324" s="113"/>
      <c r="M2324" s="62"/>
      <c r="N2324" s="28" t="e">
        <f t="shared" si="8"/>
        <v>#VALUE!</v>
      </c>
      <c r="O2324" s="65"/>
      <c r="P2324" s="29" t="s">
        <v>334</v>
      </c>
      <c r="Q2324" s="55"/>
      <c r="R2324" s="31" t="e">
        <f t="shared" si="9"/>
        <v>#VALUE!</v>
      </c>
      <c r="S2324" s="66"/>
      <c r="T2324" s="32" t="e">
        <f t="shared" si="10"/>
        <v>#VALUE!</v>
      </c>
      <c r="U2324" s="57"/>
      <c r="V2324" s="58"/>
      <c r="W2324" s="58"/>
      <c r="X2324" s="30" t="e">
        <f t="shared" si="11"/>
        <v>#N/A</v>
      </c>
      <c r="Y2324" s="30" t="e">
        <f t="shared" si="12"/>
        <v>#N/A</v>
      </c>
      <c r="Z2324" s="35" t="e">
        <f t="shared" si="13"/>
        <v>#VALUE!</v>
      </c>
      <c r="AA2324" s="29" t="e">
        <f t="shared" si="14"/>
        <v>#VALUE!</v>
      </c>
      <c r="AB2324" s="36" t="e">
        <f t="shared" si="15"/>
        <v>#VALUE!</v>
      </c>
      <c r="AC2324" s="37" t="b">
        <v>0</v>
      </c>
      <c r="AD2324" s="61" t="str">
        <f t="shared" si="16"/>
        <v>USD</v>
      </c>
      <c r="AE2324" s="37"/>
      <c r="AF2324" s="37" t="e">
        <f t="array" ref="AF2324">INDEX('Deal Info'!D:D, MATCH(A2324,'Deal Info'!A:A, 0))</f>
        <v>#N/A</v>
      </c>
      <c r="AG2324" s="38" t="e">
        <f t="array" ref="AG2324">INDEX('Deal Info'!G:G, MATCH(A2324,'Deal Info'!A:A, 0))</f>
        <v>#N/A</v>
      </c>
    </row>
    <row r="2325" spans="1:33" ht="14.25" hidden="1" x14ac:dyDescent="0.2">
      <c r="A2325" s="18" t="b">
        <f t="array" ref="A2325">IF(G2325='Room Info'!$B$1, INDEX('Room Info'!$A$2:$A2446, MATCH(B2325,'Room Info'!$B$2:$B2446, 0)),IF(G2325='Room Info'!$C$1, INDEX('Room Info'!$A$2:$A2446, MATCH(B2325,'Room Info'!$C$2:$C2446, 0)),IF(G2325='Room Info'!$D$1, INDEX('Room Info'!$A$2:$A2446, MATCH(B2325,'Room Info'!$D$2:$D2446, 0)),IF(G2325='Room Info'!$E$1, INDEX('Room Info'!$A$2:$A2446, MATCH(B2325,'Room Info'!$E$2:$E2446, 0)),IF(G2325='Room Info'!$F$1, INDEX('Room Info'!$A$2:$A2446, MATCH(B2325,'Room Info'!$F$2:$F2446, 0)),IF(G2325='Room Info'!$H$1, INDEX('Room Info'!$A$2:$A2446, MATCH(B2325,'Room Info'!$H$2:$H2446, 0)),IF(G2325='Room Info'!$G$1, INDEX('Room Info'!$A$2:$A2446, MATCH(B2325,'Room Info'!$G$2:$G2446, 0)))))))))</f>
        <v>0</v>
      </c>
      <c r="B2325" s="96"/>
      <c r="C2325" s="111"/>
      <c r="D2325" s="111"/>
      <c r="E2325" s="80"/>
      <c r="F2325" s="133"/>
      <c r="G2325" s="96"/>
      <c r="H2325" s="110"/>
      <c r="I2325" s="110"/>
      <c r="J2325" s="39" t="s">
        <v>334</v>
      </c>
      <c r="K2325" s="112"/>
      <c r="L2325" s="113"/>
      <c r="M2325" s="62"/>
      <c r="N2325" s="28" t="e">
        <f t="shared" si="8"/>
        <v>#VALUE!</v>
      </c>
      <c r="O2325" s="65"/>
      <c r="P2325" s="29" t="s">
        <v>334</v>
      </c>
      <c r="Q2325" s="55"/>
      <c r="R2325" s="31" t="e">
        <f t="shared" si="9"/>
        <v>#VALUE!</v>
      </c>
      <c r="S2325" s="66"/>
      <c r="T2325" s="32" t="e">
        <f t="shared" si="10"/>
        <v>#VALUE!</v>
      </c>
      <c r="U2325" s="57"/>
      <c r="V2325" s="58"/>
      <c r="W2325" s="58"/>
      <c r="X2325" s="30" t="e">
        <f t="shared" si="11"/>
        <v>#N/A</v>
      </c>
      <c r="Y2325" s="30" t="e">
        <f t="shared" si="12"/>
        <v>#N/A</v>
      </c>
      <c r="Z2325" s="35" t="e">
        <f t="shared" si="13"/>
        <v>#VALUE!</v>
      </c>
      <c r="AA2325" s="29" t="e">
        <f t="shared" si="14"/>
        <v>#VALUE!</v>
      </c>
      <c r="AB2325" s="36" t="e">
        <f t="shared" si="15"/>
        <v>#VALUE!</v>
      </c>
      <c r="AC2325" s="37" t="b">
        <v>0</v>
      </c>
      <c r="AD2325" s="61" t="str">
        <f t="shared" si="16"/>
        <v>USD</v>
      </c>
      <c r="AE2325" s="37"/>
      <c r="AF2325" s="37" t="e">
        <f t="array" ref="AF2325">INDEX('Deal Info'!D:D, MATCH(A2325,'Deal Info'!A:A, 0))</f>
        <v>#N/A</v>
      </c>
      <c r="AG2325" s="38" t="e">
        <f t="array" ref="AG2325">INDEX('Deal Info'!G:G, MATCH(A2325,'Deal Info'!A:A, 0))</f>
        <v>#N/A</v>
      </c>
    </row>
    <row r="2326" spans="1:33" ht="14.25" hidden="1" x14ac:dyDescent="0.2">
      <c r="A2326" s="18" t="b">
        <f t="array" ref="A2326">IF(G2326='Room Info'!$B$1, INDEX('Room Info'!$A$2:$A2446, MATCH(B2326,'Room Info'!$B$2:$B2446, 0)),IF(G2326='Room Info'!$C$1, INDEX('Room Info'!$A$2:$A2446, MATCH(B2326,'Room Info'!$C$2:$C2446, 0)),IF(G2326='Room Info'!$D$1, INDEX('Room Info'!$A$2:$A2446, MATCH(B2326,'Room Info'!$D$2:$D2446, 0)),IF(G2326='Room Info'!$E$1, INDEX('Room Info'!$A$2:$A2446, MATCH(B2326,'Room Info'!$E$2:$E2446, 0)),IF(G2326='Room Info'!$F$1, INDEX('Room Info'!$A$2:$A2446, MATCH(B2326,'Room Info'!$F$2:$F2446, 0)),IF(G2326='Room Info'!$H$1, INDEX('Room Info'!$A$2:$A2446, MATCH(B2326,'Room Info'!$H$2:$H2446, 0)),IF(G2326='Room Info'!$G$1, INDEX('Room Info'!$A$2:$A2446, MATCH(B2326,'Room Info'!$G$2:$G2446, 0)))))))))</f>
        <v>0</v>
      </c>
      <c r="B2326" s="96"/>
      <c r="C2326" s="111"/>
      <c r="D2326" s="111"/>
      <c r="E2326" s="80"/>
      <c r="F2326" s="133"/>
      <c r="G2326" s="96"/>
      <c r="H2326" s="110"/>
      <c r="I2326" s="110"/>
      <c r="J2326" s="39" t="s">
        <v>334</v>
      </c>
      <c r="K2326" s="112"/>
      <c r="L2326" s="113"/>
      <c r="M2326" s="62"/>
      <c r="N2326" s="28" t="e">
        <f t="shared" si="8"/>
        <v>#VALUE!</v>
      </c>
      <c r="O2326" s="65"/>
      <c r="P2326" s="29" t="s">
        <v>334</v>
      </c>
      <c r="Q2326" s="55"/>
      <c r="R2326" s="31" t="e">
        <f t="shared" si="9"/>
        <v>#VALUE!</v>
      </c>
      <c r="S2326" s="66"/>
      <c r="T2326" s="32" t="e">
        <f t="shared" si="10"/>
        <v>#VALUE!</v>
      </c>
      <c r="U2326" s="57"/>
      <c r="V2326" s="58"/>
      <c r="W2326" s="58"/>
      <c r="X2326" s="30" t="e">
        <f t="shared" si="11"/>
        <v>#N/A</v>
      </c>
      <c r="Y2326" s="30" t="e">
        <f t="shared" si="12"/>
        <v>#N/A</v>
      </c>
      <c r="Z2326" s="35" t="e">
        <f t="shared" si="13"/>
        <v>#VALUE!</v>
      </c>
      <c r="AA2326" s="29" t="e">
        <f t="shared" si="14"/>
        <v>#VALUE!</v>
      </c>
      <c r="AB2326" s="36" t="e">
        <f t="shared" si="15"/>
        <v>#VALUE!</v>
      </c>
      <c r="AC2326" s="37" t="b">
        <v>0</v>
      </c>
      <c r="AD2326" s="61" t="str">
        <f t="shared" si="16"/>
        <v>USD</v>
      </c>
      <c r="AE2326" s="37"/>
      <c r="AF2326" s="37" t="e">
        <f t="array" ref="AF2326">INDEX('Deal Info'!D:D, MATCH(A2326,'Deal Info'!A:A, 0))</f>
        <v>#N/A</v>
      </c>
      <c r="AG2326" s="38" t="e">
        <f t="array" ref="AG2326">INDEX('Deal Info'!G:G, MATCH(A2326,'Deal Info'!A:A, 0))</f>
        <v>#N/A</v>
      </c>
    </row>
    <row r="2327" spans="1:33" ht="14.25" hidden="1" x14ac:dyDescent="0.2">
      <c r="A2327" s="18" t="b">
        <f t="array" ref="A2327">IF(G2327='Room Info'!$B$1, INDEX('Room Info'!$A$2:$A2446, MATCH(B2327,'Room Info'!$B$2:$B2446, 0)),IF(G2327='Room Info'!$C$1, INDEX('Room Info'!$A$2:$A2446, MATCH(B2327,'Room Info'!$C$2:$C2446, 0)),IF(G2327='Room Info'!$D$1, INDEX('Room Info'!$A$2:$A2446, MATCH(B2327,'Room Info'!$D$2:$D2446, 0)),IF(G2327='Room Info'!$E$1, INDEX('Room Info'!$A$2:$A2446, MATCH(B2327,'Room Info'!$E$2:$E2446, 0)),IF(G2327='Room Info'!$F$1, INDEX('Room Info'!$A$2:$A2446, MATCH(B2327,'Room Info'!$F$2:$F2446, 0)),IF(G2327='Room Info'!$H$1, INDEX('Room Info'!$A$2:$A2446, MATCH(B2327,'Room Info'!$H$2:$H2446, 0)),IF(G2327='Room Info'!$G$1, INDEX('Room Info'!$A$2:$A2446, MATCH(B2327,'Room Info'!$G$2:$G2446, 0)))))))))</f>
        <v>0</v>
      </c>
      <c r="B2327" s="96"/>
      <c r="C2327" s="111"/>
      <c r="D2327" s="111"/>
      <c r="E2327" s="80"/>
      <c r="F2327" s="133"/>
      <c r="G2327" s="96"/>
      <c r="H2327" s="110"/>
      <c r="I2327" s="110"/>
      <c r="J2327" s="39" t="s">
        <v>334</v>
      </c>
      <c r="K2327" s="112"/>
      <c r="L2327" s="113"/>
      <c r="M2327" s="62"/>
      <c r="N2327" s="28" t="e">
        <f t="shared" si="8"/>
        <v>#VALUE!</v>
      </c>
      <c r="O2327" s="65"/>
      <c r="P2327" s="29" t="s">
        <v>334</v>
      </c>
      <c r="Q2327" s="55"/>
      <c r="R2327" s="31" t="e">
        <f t="shared" si="9"/>
        <v>#VALUE!</v>
      </c>
      <c r="S2327" s="66"/>
      <c r="T2327" s="32" t="e">
        <f t="shared" si="10"/>
        <v>#VALUE!</v>
      </c>
      <c r="U2327" s="57"/>
      <c r="V2327" s="58"/>
      <c r="W2327" s="58"/>
      <c r="X2327" s="30" t="e">
        <f t="shared" si="11"/>
        <v>#N/A</v>
      </c>
      <c r="Y2327" s="30" t="e">
        <f t="shared" si="12"/>
        <v>#N/A</v>
      </c>
      <c r="Z2327" s="35" t="e">
        <f t="shared" si="13"/>
        <v>#VALUE!</v>
      </c>
      <c r="AA2327" s="29" t="e">
        <f t="shared" si="14"/>
        <v>#VALUE!</v>
      </c>
      <c r="AB2327" s="36" t="e">
        <f t="shared" si="15"/>
        <v>#VALUE!</v>
      </c>
      <c r="AC2327" s="37" t="b">
        <v>0</v>
      </c>
      <c r="AD2327" s="61" t="str">
        <f t="shared" si="16"/>
        <v>USD</v>
      </c>
      <c r="AE2327" s="37"/>
      <c r="AF2327" s="37" t="e">
        <f t="array" ref="AF2327">INDEX('Deal Info'!D:D, MATCH(A2327,'Deal Info'!A:A, 0))</f>
        <v>#N/A</v>
      </c>
      <c r="AG2327" s="38" t="e">
        <f t="array" ref="AG2327">INDEX('Deal Info'!G:G, MATCH(A2327,'Deal Info'!A:A, 0))</f>
        <v>#N/A</v>
      </c>
    </row>
    <row r="2328" spans="1:33" ht="14.25" hidden="1" x14ac:dyDescent="0.2">
      <c r="A2328" s="18" t="b">
        <f t="array" ref="A2328">IF(G2328='Room Info'!$B$1, INDEX('Room Info'!$A$2:$A2446, MATCH(B2328,'Room Info'!$B$2:$B2446, 0)),IF(G2328='Room Info'!$C$1, INDEX('Room Info'!$A$2:$A2446, MATCH(B2328,'Room Info'!$C$2:$C2446, 0)),IF(G2328='Room Info'!$D$1, INDEX('Room Info'!$A$2:$A2446, MATCH(B2328,'Room Info'!$D$2:$D2446, 0)),IF(G2328='Room Info'!$E$1, INDEX('Room Info'!$A$2:$A2446, MATCH(B2328,'Room Info'!$E$2:$E2446, 0)),IF(G2328='Room Info'!$F$1, INDEX('Room Info'!$A$2:$A2446, MATCH(B2328,'Room Info'!$F$2:$F2446, 0)),IF(G2328='Room Info'!$H$1, INDEX('Room Info'!$A$2:$A2446, MATCH(B2328,'Room Info'!$H$2:$H2446, 0)),IF(G2328='Room Info'!$G$1, INDEX('Room Info'!$A$2:$A2446, MATCH(B2328,'Room Info'!$G$2:$G2446, 0)))))))))</f>
        <v>0</v>
      </c>
      <c r="B2328" s="96"/>
      <c r="C2328" s="111"/>
      <c r="D2328" s="111"/>
      <c r="E2328" s="80"/>
      <c r="F2328" s="133"/>
      <c r="G2328" s="96"/>
      <c r="H2328" s="110"/>
      <c r="I2328" s="110"/>
      <c r="J2328" s="39" t="s">
        <v>334</v>
      </c>
      <c r="K2328" s="112"/>
      <c r="L2328" s="113"/>
      <c r="M2328" s="62"/>
      <c r="N2328" s="28" t="e">
        <f t="shared" si="8"/>
        <v>#VALUE!</v>
      </c>
      <c r="O2328" s="65"/>
      <c r="P2328" s="29" t="s">
        <v>334</v>
      </c>
      <c r="Q2328" s="55"/>
      <c r="R2328" s="31" t="e">
        <f t="shared" si="9"/>
        <v>#VALUE!</v>
      </c>
      <c r="S2328" s="66"/>
      <c r="T2328" s="32" t="e">
        <f t="shared" si="10"/>
        <v>#VALUE!</v>
      </c>
      <c r="U2328" s="57"/>
      <c r="V2328" s="58"/>
      <c r="W2328" s="58"/>
      <c r="X2328" s="30" t="e">
        <f t="shared" si="11"/>
        <v>#N/A</v>
      </c>
      <c r="Y2328" s="30" t="e">
        <f t="shared" si="12"/>
        <v>#N/A</v>
      </c>
      <c r="Z2328" s="35" t="e">
        <f t="shared" si="13"/>
        <v>#VALUE!</v>
      </c>
      <c r="AA2328" s="29" t="e">
        <f t="shared" si="14"/>
        <v>#VALUE!</v>
      </c>
      <c r="AB2328" s="36" t="e">
        <f t="shared" si="15"/>
        <v>#VALUE!</v>
      </c>
      <c r="AC2328" s="37" t="b">
        <v>0</v>
      </c>
      <c r="AD2328" s="61" t="str">
        <f t="shared" si="16"/>
        <v>USD</v>
      </c>
      <c r="AE2328" s="37"/>
      <c r="AF2328" s="37" t="e">
        <f t="array" ref="AF2328">INDEX('Deal Info'!D:D, MATCH(A2328,'Deal Info'!A:A, 0))</f>
        <v>#N/A</v>
      </c>
      <c r="AG2328" s="38" t="e">
        <f t="array" ref="AG2328">INDEX('Deal Info'!G:G, MATCH(A2328,'Deal Info'!A:A, 0))</f>
        <v>#N/A</v>
      </c>
    </row>
    <row r="2329" spans="1:33" ht="14.25" hidden="1" x14ac:dyDescent="0.2">
      <c r="A2329" s="18" t="b">
        <f t="array" ref="A2329">IF(G2329='Room Info'!$B$1, INDEX('Room Info'!$A$2:$A2446, MATCH(B2329,'Room Info'!$B$2:$B2446, 0)),IF(G2329='Room Info'!$C$1, INDEX('Room Info'!$A$2:$A2446, MATCH(B2329,'Room Info'!$C$2:$C2446, 0)),IF(G2329='Room Info'!$D$1, INDEX('Room Info'!$A$2:$A2446, MATCH(B2329,'Room Info'!$D$2:$D2446, 0)),IF(G2329='Room Info'!$E$1, INDEX('Room Info'!$A$2:$A2446, MATCH(B2329,'Room Info'!$E$2:$E2446, 0)),IF(G2329='Room Info'!$F$1, INDEX('Room Info'!$A$2:$A2446, MATCH(B2329,'Room Info'!$F$2:$F2446, 0)),IF(G2329='Room Info'!$H$1, INDEX('Room Info'!$A$2:$A2446, MATCH(B2329,'Room Info'!$H$2:$H2446, 0)),IF(G2329='Room Info'!$G$1, INDEX('Room Info'!$A$2:$A2446, MATCH(B2329,'Room Info'!$G$2:$G2446, 0)))))))))</f>
        <v>0</v>
      </c>
      <c r="B2329" s="96"/>
      <c r="C2329" s="111"/>
      <c r="D2329" s="111"/>
      <c r="E2329" s="80"/>
      <c r="F2329" s="133"/>
      <c r="G2329" s="96"/>
      <c r="H2329" s="110"/>
      <c r="I2329" s="110"/>
      <c r="J2329" s="39" t="s">
        <v>334</v>
      </c>
      <c r="K2329" s="112"/>
      <c r="L2329" s="113"/>
      <c r="M2329" s="62"/>
      <c r="N2329" s="28" t="e">
        <f t="shared" si="8"/>
        <v>#VALUE!</v>
      </c>
      <c r="O2329" s="65"/>
      <c r="P2329" s="29" t="s">
        <v>334</v>
      </c>
      <c r="Q2329" s="55"/>
      <c r="R2329" s="31" t="e">
        <f t="shared" si="9"/>
        <v>#VALUE!</v>
      </c>
      <c r="S2329" s="66"/>
      <c r="T2329" s="32" t="e">
        <f t="shared" si="10"/>
        <v>#VALUE!</v>
      </c>
      <c r="U2329" s="57"/>
      <c r="V2329" s="58"/>
      <c r="W2329" s="58"/>
      <c r="X2329" s="30" t="e">
        <f t="shared" si="11"/>
        <v>#N/A</v>
      </c>
      <c r="Y2329" s="30" t="e">
        <f t="shared" si="12"/>
        <v>#N/A</v>
      </c>
      <c r="Z2329" s="35" t="e">
        <f t="shared" si="13"/>
        <v>#VALUE!</v>
      </c>
      <c r="AA2329" s="29" t="e">
        <f t="shared" si="14"/>
        <v>#VALUE!</v>
      </c>
      <c r="AB2329" s="36" t="e">
        <f t="shared" si="15"/>
        <v>#VALUE!</v>
      </c>
      <c r="AC2329" s="37" t="b">
        <v>0</v>
      </c>
      <c r="AD2329" s="61" t="str">
        <f t="shared" si="16"/>
        <v>USD</v>
      </c>
      <c r="AE2329" s="37"/>
      <c r="AF2329" s="37" t="e">
        <f t="array" ref="AF2329">INDEX('Deal Info'!D:D, MATCH(A2329,'Deal Info'!A:A, 0))</f>
        <v>#N/A</v>
      </c>
      <c r="AG2329" s="38" t="e">
        <f t="array" ref="AG2329">INDEX('Deal Info'!G:G, MATCH(A2329,'Deal Info'!A:A, 0))</f>
        <v>#N/A</v>
      </c>
    </row>
    <row r="2330" spans="1:33" ht="14.25" hidden="1" x14ac:dyDescent="0.2">
      <c r="A2330" s="18" t="b">
        <f t="array" ref="A2330">IF(G2330='Room Info'!$B$1, INDEX('Room Info'!$A$2:$A2446, MATCH(B2330,'Room Info'!$B$2:$B2446, 0)),IF(G2330='Room Info'!$C$1, INDEX('Room Info'!$A$2:$A2446, MATCH(B2330,'Room Info'!$C$2:$C2446, 0)),IF(G2330='Room Info'!$D$1, INDEX('Room Info'!$A$2:$A2446, MATCH(B2330,'Room Info'!$D$2:$D2446, 0)),IF(G2330='Room Info'!$E$1, INDEX('Room Info'!$A$2:$A2446, MATCH(B2330,'Room Info'!$E$2:$E2446, 0)),IF(G2330='Room Info'!$F$1, INDEX('Room Info'!$A$2:$A2446, MATCH(B2330,'Room Info'!$F$2:$F2446, 0)),IF(G2330='Room Info'!$H$1, INDEX('Room Info'!$A$2:$A2446, MATCH(B2330,'Room Info'!$H$2:$H2446, 0)),IF(G2330='Room Info'!$G$1, INDEX('Room Info'!$A$2:$A2446, MATCH(B2330,'Room Info'!$G$2:$G2446, 0)))))))))</f>
        <v>0</v>
      </c>
      <c r="B2330" s="96"/>
      <c r="C2330" s="111"/>
      <c r="D2330" s="111"/>
      <c r="E2330" s="80"/>
      <c r="F2330" s="133"/>
      <c r="G2330" s="65"/>
      <c r="H2330" s="65"/>
      <c r="I2330" s="65"/>
      <c r="J2330" s="39" t="s">
        <v>334</v>
      </c>
      <c r="K2330" s="112"/>
      <c r="L2330" s="113"/>
      <c r="M2330" s="62"/>
      <c r="N2330" s="28" t="e">
        <f t="shared" si="8"/>
        <v>#VALUE!</v>
      </c>
      <c r="O2330" s="65"/>
      <c r="P2330" s="29" t="s">
        <v>334</v>
      </c>
      <c r="Q2330" s="55"/>
      <c r="R2330" s="31" t="e">
        <f t="shared" si="9"/>
        <v>#VALUE!</v>
      </c>
      <c r="S2330" s="66"/>
      <c r="T2330" s="32" t="e">
        <f t="shared" si="10"/>
        <v>#VALUE!</v>
      </c>
      <c r="U2330" s="57"/>
      <c r="V2330" s="58"/>
      <c r="W2330" s="58"/>
      <c r="X2330" s="30" t="e">
        <f t="shared" si="11"/>
        <v>#N/A</v>
      </c>
      <c r="Y2330" s="30" t="e">
        <f t="shared" si="12"/>
        <v>#N/A</v>
      </c>
      <c r="Z2330" s="35" t="e">
        <f t="shared" si="13"/>
        <v>#VALUE!</v>
      </c>
      <c r="AA2330" s="29" t="e">
        <f t="shared" si="14"/>
        <v>#VALUE!</v>
      </c>
      <c r="AB2330" s="36" t="e">
        <f t="shared" si="15"/>
        <v>#VALUE!</v>
      </c>
      <c r="AC2330" s="37" t="b">
        <v>0</v>
      </c>
      <c r="AD2330" s="61" t="str">
        <f t="shared" si="16"/>
        <v>USD</v>
      </c>
      <c r="AE2330" s="37"/>
      <c r="AF2330" s="37" t="e">
        <f t="array" ref="AF2330">INDEX('Deal Info'!D:D, MATCH(A2330,'Deal Info'!A:A, 0))</f>
        <v>#N/A</v>
      </c>
      <c r="AG2330" s="38" t="e">
        <f t="array" ref="AG2330">INDEX('Deal Info'!G:G, MATCH(A2330,'Deal Info'!A:A, 0))</f>
        <v>#N/A</v>
      </c>
    </row>
    <row r="2331" spans="1:33" ht="14.25" hidden="1" x14ac:dyDescent="0.2">
      <c r="A2331" s="18" t="b">
        <f t="array" ref="A2331">IF(G2331='Room Info'!$B$1, INDEX('Room Info'!$A$2:$A2446, MATCH(B2331,'Room Info'!$B$2:$B2446, 0)),IF(G2331='Room Info'!$C$1, INDEX('Room Info'!$A$2:$A2446, MATCH(B2331,'Room Info'!$C$2:$C2446, 0)),IF(G2331='Room Info'!$D$1, INDEX('Room Info'!$A$2:$A2446, MATCH(B2331,'Room Info'!$D$2:$D2446, 0)),IF(G2331='Room Info'!$E$1, INDEX('Room Info'!$A$2:$A2446, MATCH(B2331,'Room Info'!$E$2:$E2446, 0)),IF(G2331='Room Info'!$F$1, INDEX('Room Info'!$A$2:$A2446, MATCH(B2331,'Room Info'!$F$2:$F2446, 0)),IF(G2331='Room Info'!$H$1, INDEX('Room Info'!$A$2:$A2446, MATCH(B2331,'Room Info'!$H$2:$H2446, 0)),IF(G2331='Room Info'!$G$1, INDEX('Room Info'!$A$2:$A2446, MATCH(B2331,'Room Info'!$G$2:$G2446, 0)))))))))</f>
        <v>0</v>
      </c>
      <c r="B2331" s="96"/>
      <c r="C2331" s="111"/>
      <c r="D2331" s="111"/>
      <c r="E2331" s="80"/>
      <c r="F2331" s="133"/>
      <c r="G2331" s="65"/>
      <c r="H2331" s="65"/>
      <c r="I2331" s="65"/>
      <c r="J2331" s="39" t="s">
        <v>334</v>
      </c>
      <c r="K2331" s="112"/>
      <c r="L2331" s="113"/>
      <c r="M2331" s="62"/>
      <c r="N2331" s="28" t="e">
        <f t="shared" si="8"/>
        <v>#VALUE!</v>
      </c>
      <c r="O2331" s="65"/>
      <c r="P2331" s="29" t="s">
        <v>334</v>
      </c>
      <c r="Q2331" s="55"/>
      <c r="R2331" s="31" t="e">
        <f t="shared" si="9"/>
        <v>#VALUE!</v>
      </c>
      <c r="S2331" s="66"/>
      <c r="T2331" s="32" t="e">
        <f t="shared" si="10"/>
        <v>#VALUE!</v>
      </c>
      <c r="U2331" s="57"/>
      <c r="V2331" s="58"/>
      <c r="W2331" s="58"/>
      <c r="X2331" s="30" t="e">
        <f t="shared" si="11"/>
        <v>#N/A</v>
      </c>
      <c r="Y2331" s="30" t="e">
        <f t="shared" si="12"/>
        <v>#N/A</v>
      </c>
      <c r="Z2331" s="35" t="e">
        <f t="shared" si="13"/>
        <v>#VALUE!</v>
      </c>
      <c r="AA2331" s="29" t="e">
        <f t="shared" si="14"/>
        <v>#VALUE!</v>
      </c>
      <c r="AB2331" s="36" t="e">
        <f t="shared" si="15"/>
        <v>#VALUE!</v>
      </c>
      <c r="AC2331" s="37" t="b">
        <v>0</v>
      </c>
      <c r="AD2331" s="61" t="str">
        <f t="shared" si="16"/>
        <v>USD</v>
      </c>
      <c r="AE2331" s="37"/>
      <c r="AF2331" s="37" t="e">
        <f t="array" ref="AF2331">INDEX('Deal Info'!D:D, MATCH(A2331,'Deal Info'!A:A, 0))</f>
        <v>#N/A</v>
      </c>
      <c r="AG2331" s="38" t="e">
        <f t="array" ref="AG2331">INDEX('Deal Info'!G:G, MATCH(A2331,'Deal Info'!A:A, 0))</f>
        <v>#N/A</v>
      </c>
    </row>
    <row r="2332" spans="1:33" ht="14.25" hidden="1" x14ac:dyDescent="0.2">
      <c r="A2332" s="18" t="b">
        <f t="array" ref="A2332">IF(G2332='Room Info'!$B$1, INDEX('Room Info'!$A$2:$A2446, MATCH(B2332,'Room Info'!$B$2:$B2446, 0)),IF(G2332='Room Info'!$C$1, INDEX('Room Info'!$A$2:$A2446, MATCH(B2332,'Room Info'!$C$2:$C2446, 0)),IF(G2332='Room Info'!$D$1, INDEX('Room Info'!$A$2:$A2446, MATCH(B2332,'Room Info'!$D$2:$D2446, 0)),IF(G2332='Room Info'!$E$1, INDEX('Room Info'!$A$2:$A2446, MATCH(B2332,'Room Info'!$E$2:$E2446, 0)),IF(G2332='Room Info'!$F$1, INDEX('Room Info'!$A$2:$A2446, MATCH(B2332,'Room Info'!$F$2:$F2446, 0)),IF(G2332='Room Info'!$H$1, INDEX('Room Info'!$A$2:$A2446, MATCH(B2332,'Room Info'!$H$2:$H2446, 0)),IF(G2332='Room Info'!$G$1, INDEX('Room Info'!$A$2:$A2446, MATCH(B2332,'Room Info'!$G$2:$G2446, 0)))))))))</f>
        <v>0</v>
      </c>
      <c r="B2332" s="65"/>
      <c r="C2332" s="111"/>
      <c r="D2332" s="111"/>
      <c r="E2332" s="80"/>
      <c r="F2332" s="96"/>
      <c r="G2332" s="65"/>
      <c r="H2332" s="110"/>
      <c r="I2332" s="110"/>
      <c r="J2332" s="39" t="s">
        <v>334</v>
      </c>
      <c r="K2332" s="134"/>
      <c r="L2332" s="135"/>
      <c r="M2332" s="62"/>
      <c r="N2332" s="28" t="e">
        <f t="shared" si="8"/>
        <v>#VALUE!</v>
      </c>
      <c r="O2332" s="96"/>
      <c r="P2332" s="29" t="s">
        <v>334</v>
      </c>
      <c r="Q2332" s="55"/>
      <c r="R2332" s="31" t="e">
        <f t="shared" si="9"/>
        <v>#VALUE!</v>
      </c>
      <c r="S2332" s="97"/>
      <c r="T2332" s="32" t="e">
        <f t="shared" si="10"/>
        <v>#VALUE!</v>
      </c>
      <c r="U2332" s="57"/>
      <c r="V2332" s="58"/>
      <c r="W2332" s="58"/>
      <c r="X2332" s="30" t="e">
        <f t="shared" si="11"/>
        <v>#N/A</v>
      </c>
      <c r="Y2332" s="30" t="e">
        <f t="shared" si="12"/>
        <v>#N/A</v>
      </c>
      <c r="Z2332" s="35" t="e">
        <f t="shared" si="13"/>
        <v>#VALUE!</v>
      </c>
      <c r="AA2332" s="29" t="e">
        <f t="shared" si="14"/>
        <v>#VALUE!</v>
      </c>
      <c r="AB2332" s="36" t="e">
        <f t="shared" si="15"/>
        <v>#VALUE!</v>
      </c>
      <c r="AC2332" s="37" t="b">
        <v>0</v>
      </c>
      <c r="AD2332" s="61" t="str">
        <f t="shared" si="16"/>
        <v>USD</v>
      </c>
      <c r="AE2332" s="37"/>
      <c r="AF2332" s="37" t="e">
        <f t="array" ref="AF2332">INDEX('Deal Info'!D:D, MATCH(A2332,'Deal Info'!A:A, 0))</f>
        <v>#N/A</v>
      </c>
      <c r="AG2332" s="38" t="e">
        <f t="array" ref="AG2332">INDEX('Deal Info'!G:G, MATCH(A2332,'Deal Info'!A:A, 0))</f>
        <v>#N/A</v>
      </c>
    </row>
    <row r="2333" spans="1:33" ht="14.25" hidden="1" x14ac:dyDescent="0.2">
      <c r="A2333" s="18" t="b">
        <f t="array" ref="A2333">IF(G2333='Room Info'!$B$1, INDEX('Room Info'!$A$2:$A2446, MATCH(B2333,'Room Info'!$B$2:$B2446, 0)),IF(G2333='Room Info'!$C$1, INDEX('Room Info'!$A$2:$A2446, MATCH(B2333,'Room Info'!$C$2:$C2446, 0)),IF(G2333='Room Info'!$D$1, INDEX('Room Info'!$A$2:$A2446, MATCH(B2333,'Room Info'!$D$2:$D2446, 0)),IF(G2333='Room Info'!$E$1, INDEX('Room Info'!$A$2:$A2446, MATCH(B2333,'Room Info'!$E$2:$E2446, 0)),IF(G2333='Room Info'!$F$1, INDEX('Room Info'!$A$2:$A2446, MATCH(B2333,'Room Info'!$F$2:$F2446, 0)),IF(G2333='Room Info'!$H$1, INDEX('Room Info'!$A$2:$A2446, MATCH(B2333,'Room Info'!$H$2:$H2446, 0)),IF(G2333='Room Info'!$G$1, INDEX('Room Info'!$A$2:$A2446, MATCH(B2333,'Room Info'!$G$2:$G2446, 0)))))))))</f>
        <v>0</v>
      </c>
      <c r="B2333" s="96"/>
      <c r="C2333" s="111"/>
      <c r="D2333" s="111"/>
      <c r="E2333" s="80"/>
      <c r="F2333" s="96"/>
      <c r="G2333" s="65"/>
      <c r="H2333" s="110"/>
      <c r="I2333" s="110"/>
      <c r="J2333" s="39" t="s">
        <v>334</v>
      </c>
      <c r="K2333" s="112"/>
      <c r="L2333" s="113"/>
      <c r="M2333" s="62"/>
      <c r="N2333" s="28" t="e">
        <f t="shared" si="8"/>
        <v>#VALUE!</v>
      </c>
      <c r="O2333" s="65"/>
      <c r="P2333" s="29" t="s">
        <v>334</v>
      </c>
      <c r="Q2333" s="55"/>
      <c r="R2333" s="31" t="e">
        <f t="shared" si="9"/>
        <v>#VALUE!</v>
      </c>
      <c r="S2333" s="66"/>
      <c r="T2333" s="32" t="e">
        <f t="shared" si="10"/>
        <v>#VALUE!</v>
      </c>
      <c r="U2333" s="57"/>
      <c r="V2333" s="58"/>
      <c r="W2333" s="58"/>
      <c r="X2333" s="30" t="e">
        <f t="shared" si="11"/>
        <v>#N/A</v>
      </c>
      <c r="Y2333" s="30" t="e">
        <f t="shared" si="12"/>
        <v>#N/A</v>
      </c>
      <c r="Z2333" s="35" t="e">
        <f t="shared" si="13"/>
        <v>#VALUE!</v>
      </c>
      <c r="AA2333" s="29" t="e">
        <f t="shared" si="14"/>
        <v>#VALUE!</v>
      </c>
      <c r="AB2333" s="36" t="e">
        <f t="shared" si="15"/>
        <v>#VALUE!</v>
      </c>
      <c r="AC2333" s="37" t="b">
        <v>0</v>
      </c>
      <c r="AD2333" s="61" t="str">
        <f t="shared" si="16"/>
        <v>USD</v>
      </c>
      <c r="AE2333" s="37"/>
      <c r="AF2333" s="37" t="e">
        <f t="array" ref="AF2333">INDEX('Deal Info'!D:D, MATCH(A2333,'Deal Info'!A:A, 0))</f>
        <v>#N/A</v>
      </c>
      <c r="AG2333" s="38" t="e">
        <f t="array" ref="AG2333">INDEX('Deal Info'!G:G, MATCH(A2333,'Deal Info'!A:A, 0))</f>
        <v>#N/A</v>
      </c>
    </row>
    <row r="2334" spans="1:33" ht="14.25" hidden="1" x14ac:dyDescent="0.2">
      <c r="A2334" s="18" t="b">
        <f t="array" ref="A2334">IF(G2334='Room Info'!$B$1, INDEX('Room Info'!$A$2:$A2446, MATCH(B2334,'Room Info'!$B$2:$B2446, 0)),IF(G2334='Room Info'!$C$1, INDEX('Room Info'!$A$2:$A2446, MATCH(B2334,'Room Info'!$C$2:$C2446, 0)),IF(G2334='Room Info'!$D$1, INDEX('Room Info'!$A$2:$A2446, MATCH(B2334,'Room Info'!$D$2:$D2446, 0)),IF(G2334='Room Info'!$E$1, INDEX('Room Info'!$A$2:$A2446, MATCH(B2334,'Room Info'!$E$2:$E2446, 0)),IF(G2334='Room Info'!$F$1, INDEX('Room Info'!$A$2:$A2446, MATCH(B2334,'Room Info'!$F$2:$F2446, 0)),IF(G2334='Room Info'!$H$1, INDEX('Room Info'!$A$2:$A2446, MATCH(B2334,'Room Info'!$H$2:$H2446, 0)),IF(G2334='Room Info'!$G$1, INDEX('Room Info'!$A$2:$A2446, MATCH(B2334,'Room Info'!$G$2:$G2446, 0)))))))))</f>
        <v>0</v>
      </c>
      <c r="B2334" s="96"/>
      <c r="C2334" s="136"/>
      <c r="D2334" s="136"/>
      <c r="E2334" s="137"/>
      <c r="F2334" s="133"/>
      <c r="G2334" s="96"/>
      <c r="H2334" s="100"/>
      <c r="I2334" s="100"/>
      <c r="J2334" s="39" t="s">
        <v>334</v>
      </c>
      <c r="K2334" s="134"/>
      <c r="L2334" s="135"/>
      <c r="M2334" s="79"/>
      <c r="N2334" s="28" t="e">
        <f t="shared" si="8"/>
        <v>#VALUE!</v>
      </c>
      <c r="O2334" s="96"/>
      <c r="P2334" s="29" t="s">
        <v>334</v>
      </c>
      <c r="Q2334" s="55"/>
      <c r="R2334" s="31" t="e">
        <f t="shared" si="9"/>
        <v>#VALUE!</v>
      </c>
      <c r="S2334" s="97"/>
      <c r="T2334" s="32" t="e">
        <f t="shared" si="10"/>
        <v>#VALUE!</v>
      </c>
      <c r="U2334" s="57"/>
      <c r="V2334" s="58"/>
      <c r="W2334" s="58"/>
      <c r="X2334" s="30" t="e">
        <f t="shared" si="11"/>
        <v>#N/A</v>
      </c>
      <c r="Y2334" s="30" t="e">
        <f t="shared" si="12"/>
        <v>#N/A</v>
      </c>
      <c r="Z2334" s="35" t="e">
        <f t="shared" si="13"/>
        <v>#VALUE!</v>
      </c>
      <c r="AA2334" s="29" t="e">
        <f t="shared" si="14"/>
        <v>#VALUE!</v>
      </c>
      <c r="AB2334" s="36" t="e">
        <f t="shared" si="15"/>
        <v>#VALUE!</v>
      </c>
      <c r="AC2334" s="37" t="b">
        <v>0</v>
      </c>
      <c r="AD2334" s="61" t="str">
        <f t="shared" si="16"/>
        <v>USD</v>
      </c>
      <c r="AE2334" s="37"/>
      <c r="AF2334" s="37" t="e">
        <f t="array" ref="AF2334">INDEX('Deal Info'!D:D, MATCH(A2334,'Deal Info'!A:A, 0))</f>
        <v>#N/A</v>
      </c>
      <c r="AG2334" s="38" t="e">
        <f t="array" ref="AG2334">INDEX('Deal Info'!G:G, MATCH(A2334,'Deal Info'!A:A, 0))</f>
        <v>#N/A</v>
      </c>
    </row>
    <row r="2335" spans="1:33" ht="14.25" hidden="1" x14ac:dyDescent="0.2">
      <c r="A2335" s="18" t="b">
        <f t="array" ref="A2335">IF(G2335='Room Info'!$B$1, INDEX('Room Info'!$A$2:$A2446, MATCH(B2335,'Room Info'!$B$2:$B2446, 0)),IF(G2335='Room Info'!$C$1, INDEX('Room Info'!$A$2:$A2446, MATCH(B2335,'Room Info'!$C$2:$C2446, 0)),IF(G2335='Room Info'!$D$1, INDEX('Room Info'!$A$2:$A2446, MATCH(B2335,'Room Info'!$D$2:$D2446, 0)),IF(G2335='Room Info'!$E$1, INDEX('Room Info'!$A$2:$A2446, MATCH(B2335,'Room Info'!$E$2:$E2446, 0)),IF(G2335='Room Info'!$F$1, INDEX('Room Info'!$A$2:$A2446, MATCH(B2335,'Room Info'!$F$2:$F2446, 0)),IF(G2335='Room Info'!$H$1, INDEX('Room Info'!$A$2:$A2446, MATCH(B2335,'Room Info'!$H$2:$H2446, 0)),IF(G2335='Room Info'!$G$1, INDEX('Room Info'!$A$2:$A2446, MATCH(B2335,'Room Info'!$G$2:$G2446, 0)))))))))</f>
        <v>0</v>
      </c>
      <c r="B2335" s="96"/>
      <c r="C2335" s="136"/>
      <c r="D2335" s="136"/>
      <c r="E2335" s="137"/>
      <c r="F2335" s="133"/>
      <c r="G2335" s="96"/>
      <c r="H2335" s="100"/>
      <c r="I2335" s="100"/>
      <c r="J2335" s="39" t="s">
        <v>334</v>
      </c>
      <c r="K2335" s="134"/>
      <c r="L2335" s="135"/>
      <c r="M2335" s="79"/>
      <c r="N2335" s="28" t="e">
        <f t="shared" si="8"/>
        <v>#VALUE!</v>
      </c>
      <c r="O2335" s="96"/>
      <c r="P2335" s="29" t="s">
        <v>334</v>
      </c>
      <c r="Q2335" s="55"/>
      <c r="R2335" s="31" t="e">
        <f t="shared" si="9"/>
        <v>#VALUE!</v>
      </c>
      <c r="S2335" s="97"/>
      <c r="T2335" s="32" t="e">
        <f t="shared" si="10"/>
        <v>#VALUE!</v>
      </c>
      <c r="U2335" s="57"/>
      <c r="V2335" s="58"/>
      <c r="W2335" s="58"/>
      <c r="X2335" s="30" t="e">
        <f t="shared" si="11"/>
        <v>#N/A</v>
      </c>
      <c r="Y2335" s="30" t="e">
        <f t="shared" si="12"/>
        <v>#N/A</v>
      </c>
      <c r="Z2335" s="35" t="e">
        <f t="shared" si="13"/>
        <v>#VALUE!</v>
      </c>
      <c r="AA2335" s="29" t="e">
        <f t="shared" si="14"/>
        <v>#VALUE!</v>
      </c>
      <c r="AB2335" s="36" t="e">
        <f t="shared" si="15"/>
        <v>#VALUE!</v>
      </c>
      <c r="AC2335" s="37" t="b">
        <v>0</v>
      </c>
      <c r="AD2335" s="61" t="str">
        <f t="shared" si="16"/>
        <v>USD</v>
      </c>
      <c r="AE2335" s="37"/>
      <c r="AF2335" s="37" t="e">
        <f t="array" ref="AF2335">INDEX('Deal Info'!D:D, MATCH(A2335,'Deal Info'!A:A, 0))</f>
        <v>#N/A</v>
      </c>
      <c r="AG2335" s="38" t="e">
        <f t="array" ref="AG2335">INDEX('Deal Info'!G:G, MATCH(A2335,'Deal Info'!A:A, 0))</f>
        <v>#N/A</v>
      </c>
    </row>
    <row r="2336" spans="1:33" ht="14.25" hidden="1" x14ac:dyDescent="0.2">
      <c r="A2336" s="18" t="b">
        <f t="array" ref="A2336">IF(G2336='Room Info'!$B$1, INDEX('Room Info'!$A$2:$A2446, MATCH(B2336,'Room Info'!$B$2:$B2446, 0)),IF(G2336='Room Info'!$C$1, INDEX('Room Info'!$A$2:$A2446, MATCH(B2336,'Room Info'!$C$2:$C2446, 0)),IF(G2336='Room Info'!$D$1, INDEX('Room Info'!$A$2:$A2446, MATCH(B2336,'Room Info'!$D$2:$D2446, 0)),IF(G2336='Room Info'!$E$1, INDEX('Room Info'!$A$2:$A2446, MATCH(B2336,'Room Info'!$E$2:$E2446, 0)),IF(G2336='Room Info'!$F$1, INDEX('Room Info'!$A$2:$A2446, MATCH(B2336,'Room Info'!$F$2:$F2446, 0)),IF(G2336='Room Info'!$H$1, INDEX('Room Info'!$A$2:$A2446, MATCH(B2336,'Room Info'!$H$2:$H2446, 0)),IF(G2336='Room Info'!$G$1, INDEX('Room Info'!$A$2:$A2446, MATCH(B2336,'Room Info'!$G$2:$G2446, 0)))))))))</f>
        <v>0</v>
      </c>
      <c r="B2336" s="96"/>
      <c r="C2336" s="136"/>
      <c r="D2336" s="136"/>
      <c r="E2336" s="137"/>
      <c r="F2336" s="133"/>
      <c r="G2336" s="96"/>
      <c r="H2336" s="100"/>
      <c r="I2336" s="100"/>
      <c r="J2336" s="39" t="s">
        <v>334</v>
      </c>
      <c r="K2336" s="134"/>
      <c r="L2336" s="135"/>
      <c r="M2336" s="79"/>
      <c r="N2336" s="28" t="e">
        <f t="shared" si="8"/>
        <v>#VALUE!</v>
      </c>
      <c r="O2336" s="96"/>
      <c r="P2336" s="29" t="s">
        <v>334</v>
      </c>
      <c r="Q2336" s="55"/>
      <c r="R2336" s="31" t="e">
        <f t="shared" si="9"/>
        <v>#VALUE!</v>
      </c>
      <c r="S2336" s="97"/>
      <c r="T2336" s="32" t="e">
        <f t="shared" si="10"/>
        <v>#VALUE!</v>
      </c>
      <c r="U2336" s="57"/>
      <c r="V2336" s="58"/>
      <c r="W2336" s="58"/>
      <c r="X2336" s="30" t="e">
        <f t="shared" si="11"/>
        <v>#N/A</v>
      </c>
      <c r="Y2336" s="30" t="e">
        <f t="shared" si="12"/>
        <v>#N/A</v>
      </c>
      <c r="Z2336" s="35" t="e">
        <f t="shared" si="13"/>
        <v>#VALUE!</v>
      </c>
      <c r="AA2336" s="29" t="e">
        <f t="shared" si="14"/>
        <v>#VALUE!</v>
      </c>
      <c r="AB2336" s="36" t="e">
        <f t="shared" si="15"/>
        <v>#VALUE!</v>
      </c>
      <c r="AC2336" s="37" t="b">
        <v>0</v>
      </c>
      <c r="AD2336" s="61" t="str">
        <f t="shared" si="16"/>
        <v>USD</v>
      </c>
      <c r="AE2336" s="37"/>
      <c r="AF2336" s="37" t="e">
        <f t="array" ref="AF2336">INDEX('Deal Info'!D:D, MATCH(A2336,'Deal Info'!A:A, 0))</f>
        <v>#N/A</v>
      </c>
      <c r="AG2336" s="38" t="e">
        <f t="array" ref="AG2336">INDEX('Deal Info'!G:G, MATCH(A2336,'Deal Info'!A:A, 0))</f>
        <v>#N/A</v>
      </c>
    </row>
    <row r="2337" spans="1:33" ht="14.25" hidden="1" x14ac:dyDescent="0.2">
      <c r="A2337" s="18" t="b">
        <f t="array" ref="A2337">IF(G2337='Room Info'!$B$1, INDEX('Room Info'!$A$2:$A2446, MATCH(B2337,'Room Info'!$B$2:$B2446, 0)),IF(G2337='Room Info'!$C$1, INDEX('Room Info'!$A$2:$A2446, MATCH(B2337,'Room Info'!$C$2:$C2446, 0)),IF(G2337='Room Info'!$D$1, INDEX('Room Info'!$A$2:$A2446, MATCH(B2337,'Room Info'!$D$2:$D2446, 0)),IF(G2337='Room Info'!$E$1, INDEX('Room Info'!$A$2:$A2446, MATCH(B2337,'Room Info'!$E$2:$E2446, 0)),IF(G2337='Room Info'!$F$1, INDEX('Room Info'!$A$2:$A2446, MATCH(B2337,'Room Info'!$F$2:$F2446, 0)),IF(G2337='Room Info'!$H$1, INDEX('Room Info'!$A$2:$A2446, MATCH(B2337,'Room Info'!$H$2:$H2446, 0)),IF(G2337='Room Info'!$G$1, INDEX('Room Info'!$A$2:$A2446, MATCH(B2337,'Room Info'!$G$2:$G2446, 0)))))))))</f>
        <v>0</v>
      </c>
      <c r="B2337" s="96"/>
      <c r="C2337" s="136"/>
      <c r="D2337" s="136"/>
      <c r="E2337" s="137"/>
      <c r="F2337" s="133"/>
      <c r="G2337" s="96"/>
      <c r="H2337" s="100"/>
      <c r="I2337" s="100"/>
      <c r="J2337" s="39" t="s">
        <v>334</v>
      </c>
      <c r="K2337" s="134"/>
      <c r="L2337" s="135"/>
      <c r="M2337" s="79"/>
      <c r="N2337" s="28" t="e">
        <f t="shared" si="8"/>
        <v>#VALUE!</v>
      </c>
      <c r="O2337" s="96"/>
      <c r="P2337" s="29" t="s">
        <v>334</v>
      </c>
      <c r="Q2337" s="55"/>
      <c r="R2337" s="31" t="e">
        <f t="shared" si="9"/>
        <v>#VALUE!</v>
      </c>
      <c r="S2337" s="97"/>
      <c r="T2337" s="32" t="e">
        <f t="shared" si="10"/>
        <v>#VALUE!</v>
      </c>
      <c r="U2337" s="57"/>
      <c r="V2337" s="58"/>
      <c r="W2337" s="58"/>
      <c r="X2337" s="30" t="e">
        <f t="shared" si="11"/>
        <v>#N/A</v>
      </c>
      <c r="Y2337" s="30" t="e">
        <f t="shared" si="12"/>
        <v>#N/A</v>
      </c>
      <c r="Z2337" s="35" t="e">
        <f t="shared" si="13"/>
        <v>#VALUE!</v>
      </c>
      <c r="AA2337" s="29" t="e">
        <f t="shared" si="14"/>
        <v>#VALUE!</v>
      </c>
      <c r="AB2337" s="36" t="e">
        <f t="shared" si="15"/>
        <v>#VALUE!</v>
      </c>
      <c r="AC2337" s="37" t="b">
        <v>0</v>
      </c>
      <c r="AD2337" s="61" t="str">
        <f t="shared" si="16"/>
        <v>USD</v>
      </c>
      <c r="AE2337" s="37"/>
      <c r="AF2337" s="37" t="e">
        <f t="array" ref="AF2337">INDEX('Deal Info'!D:D, MATCH(A2337,'Deal Info'!A:A, 0))</f>
        <v>#N/A</v>
      </c>
      <c r="AG2337" s="38" t="e">
        <f t="array" ref="AG2337">INDEX('Deal Info'!G:G, MATCH(A2337,'Deal Info'!A:A, 0))</f>
        <v>#N/A</v>
      </c>
    </row>
    <row r="2338" spans="1:33" ht="14.25" hidden="1" x14ac:dyDescent="0.2">
      <c r="A2338" s="18" t="b">
        <f t="array" ref="A2338">IF(G2338='Room Info'!$B$1, INDEX('Room Info'!$A$2:$A2446, MATCH(B2338,'Room Info'!$B$2:$B2446, 0)),IF(G2338='Room Info'!$C$1, INDEX('Room Info'!$A$2:$A2446, MATCH(B2338,'Room Info'!$C$2:$C2446, 0)),IF(G2338='Room Info'!$D$1, INDEX('Room Info'!$A$2:$A2446, MATCH(B2338,'Room Info'!$D$2:$D2446, 0)),IF(G2338='Room Info'!$E$1, INDEX('Room Info'!$A$2:$A2446, MATCH(B2338,'Room Info'!$E$2:$E2446, 0)),IF(G2338='Room Info'!$F$1, INDEX('Room Info'!$A$2:$A2446, MATCH(B2338,'Room Info'!$F$2:$F2446, 0)),IF(G2338='Room Info'!$H$1, INDEX('Room Info'!$A$2:$A2446, MATCH(B2338,'Room Info'!$H$2:$H2446, 0)),IF(G2338='Room Info'!$G$1, INDEX('Room Info'!$A$2:$A2446, MATCH(B2338,'Room Info'!$G$2:$G2446, 0)))))))))</f>
        <v>0</v>
      </c>
      <c r="B2338" s="96"/>
      <c r="C2338" s="136"/>
      <c r="D2338" s="136"/>
      <c r="E2338" s="137"/>
      <c r="F2338" s="133"/>
      <c r="G2338" s="65"/>
      <c r="H2338" s="100"/>
      <c r="I2338" s="100"/>
      <c r="J2338" s="39" t="s">
        <v>334</v>
      </c>
      <c r="K2338" s="134"/>
      <c r="L2338" s="135"/>
      <c r="M2338" s="62"/>
      <c r="N2338" s="28" t="e">
        <f t="shared" si="8"/>
        <v>#VALUE!</v>
      </c>
      <c r="O2338" s="96"/>
      <c r="P2338" s="29" t="s">
        <v>334</v>
      </c>
      <c r="Q2338" s="55"/>
      <c r="R2338" s="31" t="e">
        <f t="shared" si="9"/>
        <v>#VALUE!</v>
      </c>
      <c r="S2338" s="97"/>
      <c r="T2338" s="32" t="e">
        <f t="shared" si="10"/>
        <v>#VALUE!</v>
      </c>
      <c r="U2338" s="57"/>
      <c r="V2338" s="58"/>
      <c r="W2338" s="58"/>
      <c r="X2338" s="30" t="e">
        <f t="shared" si="11"/>
        <v>#N/A</v>
      </c>
      <c r="Y2338" s="30" t="e">
        <f t="shared" si="12"/>
        <v>#N/A</v>
      </c>
      <c r="Z2338" s="35" t="e">
        <f t="shared" si="13"/>
        <v>#VALUE!</v>
      </c>
      <c r="AA2338" s="29" t="e">
        <f t="shared" si="14"/>
        <v>#VALUE!</v>
      </c>
      <c r="AB2338" s="36" t="e">
        <f t="shared" si="15"/>
        <v>#VALUE!</v>
      </c>
      <c r="AC2338" s="37" t="b">
        <v>0</v>
      </c>
      <c r="AD2338" s="61" t="str">
        <f t="shared" si="16"/>
        <v>USD</v>
      </c>
      <c r="AE2338" s="37"/>
      <c r="AF2338" s="37" t="e">
        <f t="array" ref="AF2338">INDEX('Deal Info'!D:D, MATCH(A2338,'Deal Info'!A:A, 0))</f>
        <v>#N/A</v>
      </c>
      <c r="AG2338" s="38" t="e">
        <f t="array" ref="AG2338">INDEX('Deal Info'!G:G, MATCH(A2338,'Deal Info'!A:A, 0))</f>
        <v>#N/A</v>
      </c>
    </row>
    <row r="2339" spans="1:33" ht="14.25" hidden="1" x14ac:dyDescent="0.2">
      <c r="A2339" s="18" t="b">
        <f t="array" ref="A2339">IF(G2339='Room Info'!$B$1, INDEX('Room Info'!$A$2:$A2446, MATCH(B2339,'Room Info'!$B$2:$B2446, 0)),IF(G2339='Room Info'!$C$1, INDEX('Room Info'!$A$2:$A2446, MATCH(B2339,'Room Info'!$C$2:$C2446, 0)),IF(G2339='Room Info'!$D$1, INDEX('Room Info'!$A$2:$A2446, MATCH(B2339,'Room Info'!$D$2:$D2446, 0)),IF(G2339='Room Info'!$E$1, INDEX('Room Info'!$A$2:$A2446, MATCH(B2339,'Room Info'!$E$2:$E2446, 0)),IF(G2339='Room Info'!$F$1, INDEX('Room Info'!$A$2:$A2446, MATCH(B2339,'Room Info'!$F$2:$F2446, 0)),IF(G2339='Room Info'!$H$1, INDEX('Room Info'!$A$2:$A2446, MATCH(B2339,'Room Info'!$H$2:$H2446, 0)),IF(G2339='Room Info'!$G$1, INDEX('Room Info'!$A$2:$A2446, MATCH(B2339,'Room Info'!$G$2:$G2446, 0)))))))))</f>
        <v>0</v>
      </c>
      <c r="B2339" s="96"/>
      <c r="C2339" s="136"/>
      <c r="D2339" s="136"/>
      <c r="E2339" s="137"/>
      <c r="F2339" s="133"/>
      <c r="G2339" s="65"/>
      <c r="H2339" s="100"/>
      <c r="I2339" s="100"/>
      <c r="J2339" s="39" t="s">
        <v>334</v>
      </c>
      <c r="K2339" s="134"/>
      <c r="L2339" s="135"/>
      <c r="M2339" s="62"/>
      <c r="N2339" s="28" t="e">
        <f t="shared" si="8"/>
        <v>#VALUE!</v>
      </c>
      <c r="O2339" s="96"/>
      <c r="P2339" s="29" t="s">
        <v>334</v>
      </c>
      <c r="Q2339" s="55"/>
      <c r="R2339" s="31" t="e">
        <f t="shared" si="9"/>
        <v>#VALUE!</v>
      </c>
      <c r="S2339" s="97"/>
      <c r="T2339" s="32" t="e">
        <f t="shared" si="10"/>
        <v>#VALUE!</v>
      </c>
      <c r="U2339" s="57"/>
      <c r="V2339" s="58"/>
      <c r="W2339" s="58"/>
      <c r="X2339" s="30" t="e">
        <f t="shared" si="11"/>
        <v>#N/A</v>
      </c>
      <c r="Y2339" s="30" t="e">
        <f t="shared" si="12"/>
        <v>#N/A</v>
      </c>
      <c r="Z2339" s="35" t="e">
        <f t="shared" si="13"/>
        <v>#VALUE!</v>
      </c>
      <c r="AA2339" s="29" t="e">
        <f t="shared" si="14"/>
        <v>#VALUE!</v>
      </c>
      <c r="AB2339" s="36" t="e">
        <f t="shared" si="15"/>
        <v>#VALUE!</v>
      </c>
      <c r="AC2339" s="37" t="b">
        <v>0</v>
      </c>
      <c r="AD2339" s="61" t="str">
        <f t="shared" si="16"/>
        <v>USD</v>
      </c>
      <c r="AE2339" s="37"/>
      <c r="AF2339" s="37" t="e">
        <f t="array" ref="AF2339">INDEX('Deal Info'!D:D, MATCH(A2339,'Deal Info'!A:A, 0))</f>
        <v>#N/A</v>
      </c>
      <c r="AG2339" s="38" t="e">
        <f t="array" ref="AG2339">INDEX('Deal Info'!G:G, MATCH(A2339,'Deal Info'!A:A, 0))</f>
        <v>#N/A</v>
      </c>
    </row>
    <row r="2340" spans="1:33" ht="14.25" hidden="1" x14ac:dyDescent="0.2">
      <c r="A2340" s="18" t="b">
        <f t="array" ref="A2340">IF(G2340='Room Info'!$B$1, INDEX('Room Info'!$A$2:$A2446, MATCH(B2340,'Room Info'!$B$2:$B2446, 0)),IF(G2340='Room Info'!$C$1, INDEX('Room Info'!$A$2:$A2446, MATCH(B2340,'Room Info'!$C$2:$C2446, 0)),IF(G2340='Room Info'!$D$1, INDEX('Room Info'!$A$2:$A2446, MATCH(B2340,'Room Info'!$D$2:$D2446, 0)),IF(G2340='Room Info'!$E$1, INDEX('Room Info'!$A$2:$A2446, MATCH(B2340,'Room Info'!$E$2:$E2446, 0)),IF(G2340='Room Info'!$F$1, INDEX('Room Info'!$A$2:$A2446, MATCH(B2340,'Room Info'!$F$2:$F2446, 0)),IF(G2340='Room Info'!$H$1, INDEX('Room Info'!$A$2:$A2446, MATCH(B2340,'Room Info'!$H$2:$H2446, 0)),IF(G2340='Room Info'!$G$1, INDEX('Room Info'!$A$2:$A2446, MATCH(B2340,'Room Info'!$G$2:$G2446, 0)))))))))</f>
        <v>0</v>
      </c>
      <c r="B2340" s="96"/>
      <c r="C2340" s="136"/>
      <c r="D2340" s="136"/>
      <c r="E2340" s="137"/>
      <c r="F2340" s="133"/>
      <c r="G2340" s="65"/>
      <c r="H2340" s="100"/>
      <c r="I2340" s="100"/>
      <c r="J2340" s="39" t="s">
        <v>334</v>
      </c>
      <c r="K2340" s="134"/>
      <c r="L2340" s="135"/>
      <c r="M2340" s="62"/>
      <c r="N2340" s="28" t="e">
        <f t="shared" si="8"/>
        <v>#VALUE!</v>
      </c>
      <c r="O2340" s="96"/>
      <c r="P2340" s="29" t="s">
        <v>334</v>
      </c>
      <c r="Q2340" s="55"/>
      <c r="R2340" s="31" t="e">
        <f t="shared" si="9"/>
        <v>#VALUE!</v>
      </c>
      <c r="S2340" s="97"/>
      <c r="T2340" s="32" t="e">
        <f t="shared" si="10"/>
        <v>#VALUE!</v>
      </c>
      <c r="U2340" s="57"/>
      <c r="V2340" s="58"/>
      <c r="W2340" s="58"/>
      <c r="X2340" s="30" t="e">
        <f t="shared" si="11"/>
        <v>#N/A</v>
      </c>
      <c r="Y2340" s="30" t="e">
        <f t="shared" si="12"/>
        <v>#N/A</v>
      </c>
      <c r="Z2340" s="35" t="e">
        <f t="shared" si="13"/>
        <v>#VALUE!</v>
      </c>
      <c r="AA2340" s="29" t="e">
        <f t="shared" si="14"/>
        <v>#VALUE!</v>
      </c>
      <c r="AB2340" s="36" t="e">
        <f t="shared" si="15"/>
        <v>#VALUE!</v>
      </c>
      <c r="AC2340" s="37" t="b">
        <v>0</v>
      </c>
      <c r="AD2340" s="61" t="str">
        <f t="shared" si="16"/>
        <v>USD</v>
      </c>
      <c r="AE2340" s="37"/>
      <c r="AF2340" s="37" t="e">
        <f t="array" ref="AF2340">INDEX('Deal Info'!D:D, MATCH(A2340,'Deal Info'!A:A, 0))</f>
        <v>#N/A</v>
      </c>
      <c r="AG2340" s="38" t="e">
        <f t="array" ref="AG2340">INDEX('Deal Info'!G:G, MATCH(A2340,'Deal Info'!A:A, 0))</f>
        <v>#N/A</v>
      </c>
    </row>
    <row r="2341" spans="1:33" ht="14.25" hidden="1" x14ac:dyDescent="0.2">
      <c r="A2341" s="18" t="b">
        <f t="array" ref="A2341">IF(G2341='Room Info'!$B$1, INDEX('Room Info'!$A$2:$A2446, MATCH(B2341,'Room Info'!$B$2:$B2446, 0)),IF(G2341='Room Info'!$C$1, INDEX('Room Info'!$A$2:$A2446, MATCH(B2341,'Room Info'!$C$2:$C2446, 0)),IF(G2341='Room Info'!$D$1, INDEX('Room Info'!$A$2:$A2446, MATCH(B2341,'Room Info'!$D$2:$D2446, 0)),IF(G2341='Room Info'!$E$1, INDEX('Room Info'!$A$2:$A2446, MATCH(B2341,'Room Info'!$E$2:$E2446, 0)),IF(G2341='Room Info'!$F$1, INDEX('Room Info'!$A$2:$A2446, MATCH(B2341,'Room Info'!$F$2:$F2446, 0)),IF(G2341='Room Info'!$H$1, INDEX('Room Info'!$A$2:$A2446, MATCH(B2341,'Room Info'!$H$2:$H2446, 0)),IF(G2341='Room Info'!$G$1, INDEX('Room Info'!$A$2:$A2446, MATCH(B2341,'Room Info'!$G$2:$G2446, 0)))))))))</f>
        <v>0</v>
      </c>
      <c r="B2341" s="96"/>
      <c r="C2341" s="111"/>
      <c r="D2341" s="111"/>
      <c r="E2341" s="80"/>
      <c r="F2341" s="133"/>
      <c r="G2341" s="65"/>
      <c r="H2341" s="110"/>
      <c r="I2341" s="110"/>
      <c r="J2341" s="39" t="s">
        <v>334</v>
      </c>
      <c r="K2341" s="112"/>
      <c r="L2341" s="113"/>
      <c r="M2341" s="62"/>
      <c r="N2341" s="28" t="e">
        <f t="shared" si="8"/>
        <v>#VALUE!</v>
      </c>
      <c r="O2341" s="65"/>
      <c r="P2341" s="29" t="s">
        <v>334</v>
      </c>
      <c r="Q2341" s="55"/>
      <c r="R2341" s="31" t="e">
        <f t="shared" si="9"/>
        <v>#VALUE!</v>
      </c>
      <c r="S2341" s="66"/>
      <c r="T2341" s="32" t="e">
        <f t="shared" si="10"/>
        <v>#VALUE!</v>
      </c>
      <c r="U2341" s="57"/>
      <c r="V2341" s="58"/>
      <c r="W2341" s="58"/>
      <c r="X2341" s="30" t="e">
        <f t="shared" si="11"/>
        <v>#N/A</v>
      </c>
      <c r="Y2341" s="30" t="e">
        <f t="shared" si="12"/>
        <v>#N/A</v>
      </c>
      <c r="Z2341" s="35" t="e">
        <f t="shared" si="13"/>
        <v>#VALUE!</v>
      </c>
      <c r="AA2341" s="29" t="e">
        <f t="shared" si="14"/>
        <v>#VALUE!</v>
      </c>
      <c r="AB2341" s="36" t="e">
        <f t="shared" si="15"/>
        <v>#VALUE!</v>
      </c>
      <c r="AC2341" s="37" t="b">
        <v>0</v>
      </c>
      <c r="AD2341" s="61" t="str">
        <f t="shared" si="16"/>
        <v>USD</v>
      </c>
      <c r="AE2341" s="37"/>
      <c r="AF2341" s="37" t="e">
        <f t="array" ref="AF2341">INDEX('Deal Info'!D:D, MATCH(A2341,'Deal Info'!A:A, 0))</f>
        <v>#N/A</v>
      </c>
      <c r="AG2341" s="38" t="e">
        <f t="array" ref="AG2341">INDEX('Deal Info'!G:G, MATCH(A2341,'Deal Info'!A:A, 0))</f>
        <v>#N/A</v>
      </c>
    </row>
    <row r="2342" spans="1:33" ht="14.25" hidden="1" x14ac:dyDescent="0.2">
      <c r="A2342" s="18" t="b">
        <f t="array" ref="A2342">IF(G2342='Room Info'!$B$1, INDEX('Room Info'!$A$2:$A2446, MATCH(B2342,'Room Info'!$B$2:$B2446, 0)),IF(G2342='Room Info'!$C$1, INDEX('Room Info'!$A$2:$A2446, MATCH(B2342,'Room Info'!$C$2:$C2446, 0)),IF(G2342='Room Info'!$D$1, INDEX('Room Info'!$A$2:$A2446, MATCH(B2342,'Room Info'!$D$2:$D2446, 0)),IF(G2342='Room Info'!$E$1, INDEX('Room Info'!$A$2:$A2446, MATCH(B2342,'Room Info'!$E$2:$E2446, 0)),IF(G2342='Room Info'!$F$1, INDEX('Room Info'!$A$2:$A2446, MATCH(B2342,'Room Info'!$F$2:$F2446, 0)),IF(G2342='Room Info'!$H$1, INDEX('Room Info'!$A$2:$A2446, MATCH(B2342,'Room Info'!$H$2:$H2446, 0)),IF(G2342='Room Info'!$G$1, INDEX('Room Info'!$A$2:$A2446, MATCH(B2342,'Room Info'!$G$2:$G2446, 0)))))))))</f>
        <v>0</v>
      </c>
      <c r="B2342" s="96"/>
      <c r="C2342" s="111"/>
      <c r="D2342" s="111"/>
      <c r="E2342" s="80"/>
      <c r="F2342" s="133"/>
      <c r="G2342" s="65"/>
      <c r="H2342" s="110"/>
      <c r="I2342" s="110"/>
      <c r="J2342" s="39" t="s">
        <v>334</v>
      </c>
      <c r="K2342" s="112"/>
      <c r="L2342" s="113"/>
      <c r="M2342" s="62"/>
      <c r="N2342" s="28" t="e">
        <f t="shared" si="8"/>
        <v>#VALUE!</v>
      </c>
      <c r="O2342" s="65"/>
      <c r="P2342" s="29" t="s">
        <v>334</v>
      </c>
      <c r="Q2342" s="55"/>
      <c r="R2342" s="31" t="e">
        <f t="shared" si="9"/>
        <v>#VALUE!</v>
      </c>
      <c r="S2342" s="66"/>
      <c r="T2342" s="32" t="e">
        <f t="shared" si="10"/>
        <v>#VALUE!</v>
      </c>
      <c r="U2342" s="57"/>
      <c r="V2342" s="58"/>
      <c r="W2342" s="58"/>
      <c r="X2342" s="30" t="e">
        <f t="shared" si="11"/>
        <v>#N/A</v>
      </c>
      <c r="Y2342" s="30" t="e">
        <f t="shared" si="12"/>
        <v>#N/A</v>
      </c>
      <c r="Z2342" s="35" t="e">
        <f t="shared" si="13"/>
        <v>#VALUE!</v>
      </c>
      <c r="AA2342" s="29" t="e">
        <f t="shared" si="14"/>
        <v>#VALUE!</v>
      </c>
      <c r="AB2342" s="36" t="e">
        <f t="shared" si="15"/>
        <v>#VALUE!</v>
      </c>
      <c r="AC2342" s="37" t="b">
        <v>0</v>
      </c>
      <c r="AD2342" s="61" t="str">
        <f t="shared" si="16"/>
        <v>USD</v>
      </c>
      <c r="AE2342" s="37"/>
      <c r="AF2342" s="37" t="e">
        <f t="array" ref="AF2342">INDEX('Deal Info'!D:D, MATCH(A2342,'Deal Info'!A:A, 0))</f>
        <v>#N/A</v>
      </c>
      <c r="AG2342" s="38" t="e">
        <f t="array" ref="AG2342">INDEX('Deal Info'!G:G, MATCH(A2342,'Deal Info'!A:A, 0))</f>
        <v>#N/A</v>
      </c>
    </row>
    <row r="2343" spans="1:33" ht="14.25" hidden="1" x14ac:dyDescent="0.2">
      <c r="A2343" s="18" t="b">
        <f t="array" ref="A2343">IF(G2343='Room Info'!$B$1, INDEX('Room Info'!$A$2:$A2446, MATCH(B2343,'Room Info'!$B$2:$B2446, 0)),IF(G2343='Room Info'!$C$1, INDEX('Room Info'!$A$2:$A2446, MATCH(B2343,'Room Info'!$C$2:$C2446, 0)),IF(G2343='Room Info'!$D$1, INDEX('Room Info'!$A$2:$A2446, MATCH(B2343,'Room Info'!$D$2:$D2446, 0)),IF(G2343='Room Info'!$E$1, INDEX('Room Info'!$A$2:$A2446, MATCH(B2343,'Room Info'!$E$2:$E2446, 0)),IF(G2343='Room Info'!$F$1, INDEX('Room Info'!$A$2:$A2446, MATCH(B2343,'Room Info'!$F$2:$F2446, 0)),IF(G2343='Room Info'!$H$1, INDEX('Room Info'!$A$2:$A2446, MATCH(B2343,'Room Info'!$H$2:$H2446, 0)),IF(G2343='Room Info'!$G$1, INDEX('Room Info'!$A$2:$A2446, MATCH(B2343,'Room Info'!$G$2:$G2446, 0)))))))))</f>
        <v>0</v>
      </c>
      <c r="B2343" s="96"/>
      <c r="C2343" s="111"/>
      <c r="D2343" s="111"/>
      <c r="E2343" s="80"/>
      <c r="F2343" s="133"/>
      <c r="G2343" s="65"/>
      <c r="H2343" s="110"/>
      <c r="I2343" s="110"/>
      <c r="J2343" s="39" t="s">
        <v>334</v>
      </c>
      <c r="K2343" s="112"/>
      <c r="L2343" s="113"/>
      <c r="M2343" s="62"/>
      <c r="N2343" s="28" t="e">
        <f t="shared" si="8"/>
        <v>#VALUE!</v>
      </c>
      <c r="O2343" s="65"/>
      <c r="P2343" s="29" t="s">
        <v>334</v>
      </c>
      <c r="Q2343" s="55"/>
      <c r="R2343" s="31" t="e">
        <f t="shared" si="9"/>
        <v>#VALUE!</v>
      </c>
      <c r="S2343" s="66"/>
      <c r="T2343" s="32" t="e">
        <f t="shared" si="10"/>
        <v>#VALUE!</v>
      </c>
      <c r="U2343" s="57"/>
      <c r="V2343" s="58"/>
      <c r="W2343" s="58"/>
      <c r="X2343" s="30" t="e">
        <f t="shared" si="11"/>
        <v>#N/A</v>
      </c>
      <c r="Y2343" s="30" t="e">
        <f t="shared" si="12"/>
        <v>#N/A</v>
      </c>
      <c r="Z2343" s="35" t="e">
        <f t="shared" si="13"/>
        <v>#VALUE!</v>
      </c>
      <c r="AA2343" s="29" t="e">
        <f t="shared" si="14"/>
        <v>#VALUE!</v>
      </c>
      <c r="AB2343" s="36" t="e">
        <f t="shared" si="15"/>
        <v>#VALUE!</v>
      </c>
      <c r="AC2343" s="37" t="b">
        <v>0</v>
      </c>
      <c r="AD2343" s="61" t="str">
        <f t="shared" si="16"/>
        <v>USD</v>
      </c>
      <c r="AE2343" s="37"/>
      <c r="AF2343" s="37" t="e">
        <f t="array" ref="AF2343">INDEX('Deal Info'!D:D, MATCH(A2343,'Deal Info'!A:A, 0))</f>
        <v>#N/A</v>
      </c>
      <c r="AG2343" s="38" t="e">
        <f t="array" ref="AG2343">INDEX('Deal Info'!G:G, MATCH(A2343,'Deal Info'!A:A, 0))</f>
        <v>#N/A</v>
      </c>
    </row>
    <row r="2344" spans="1:33" ht="14.25" hidden="1" x14ac:dyDescent="0.2">
      <c r="A2344" s="18" t="b">
        <f t="array" ref="A2344">IF(G2344='Room Info'!$B$1, INDEX('Room Info'!$A$2:$A2446, MATCH(B2344,'Room Info'!$B$2:$B2446, 0)),IF(G2344='Room Info'!$C$1, INDEX('Room Info'!$A$2:$A2446, MATCH(B2344,'Room Info'!$C$2:$C2446, 0)),IF(G2344='Room Info'!$D$1, INDEX('Room Info'!$A$2:$A2446, MATCH(B2344,'Room Info'!$D$2:$D2446, 0)),IF(G2344='Room Info'!$E$1, INDEX('Room Info'!$A$2:$A2446, MATCH(B2344,'Room Info'!$E$2:$E2446, 0)),IF(G2344='Room Info'!$F$1, INDEX('Room Info'!$A$2:$A2446, MATCH(B2344,'Room Info'!$F$2:$F2446, 0)),IF(G2344='Room Info'!$H$1, INDEX('Room Info'!$A$2:$A2446, MATCH(B2344,'Room Info'!$H$2:$H2446, 0)),IF(G2344='Room Info'!$G$1, INDEX('Room Info'!$A$2:$A2446, MATCH(B2344,'Room Info'!$G$2:$G2446, 0)))))))))</f>
        <v>0</v>
      </c>
      <c r="B2344" s="96"/>
      <c r="C2344" s="111"/>
      <c r="D2344" s="111"/>
      <c r="E2344" s="80"/>
      <c r="F2344" s="133"/>
      <c r="G2344" s="96"/>
      <c r="H2344" s="110"/>
      <c r="I2344" s="110"/>
      <c r="J2344" s="39" t="s">
        <v>334</v>
      </c>
      <c r="K2344" s="112"/>
      <c r="L2344" s="113"/>
      <c r="M2344" s="62"/>
      <c r="N2344" s="28" t="e">
        <f t="shared" si="8"/>
        <v>#VALUE!</v>
      </c>
      <c r="O2344" s="65"/>
      <c r="P2344" s="29" t="s">
        <v>334</v>
      </c>
      <c r="Q2344" s="55"/>
      <c r="R2344" s="31" t="e">
        <f t="shared" si="9"/>
        <v>#VALUE!</v>
      </c>
      <c r="S2344" s="66"/>
      <c r="T2344" s="32" t="e">
        <f t="shared" si="10"/>
        <v>#VALUE!</v>
      </c>
      <c r="U2344" s="57"/>
      <c r="V2344" s="58"/>
      <c r="W2344" s="58"/>
      <c r="X2344" s="30" t="e">
        <f t="shared" si="11"/>
        <v>#N/A</v>
      </c>
      <c r="Y2344" s="30" t="e">
        <f t="shared" si="12"/>
        <v>#N/A</v>
      </c>
      <c r="Z2344" s="35" t="e">
        <f t="shared" si="13"/>
        <v>#VALUE!</v>
      </c>
      <c r="AA2344" s="29" t="e">
        <f t="shared" si="14"/>
        <v>#VALUE!</v>
      </c>
      <c r="AB2344" s="36" t="e">
        <f t="shared" si="15"/>
        <v>#VALUE!</v>
      </c>
      <c r="AC2344" s="37" t="b">
        <v>0</v>
      </c>
      <c r="AD2344" s="61" t="str">
        <f t="shared" si="16"/>
        <v>USD</v>
      </c>
      <c r="AE2344" s="37"/>
      <c r="AF2344" s="37" t="e">
        <f t="array" ref="AF2344">INDEX('Deal Info'!D:D, MATCH(A2344,'Deal Info'!A:A, 0))</f>
        <v>#N/A</v>
      </c>
      <c r="AG2344" s="38" t="e">
        <f t="array" ref="AG2344">INDEX('Deal Info'!G:G, MATCH(A2344,'Deal Info'!A:A, 0))</f>
        <v>#N/A</v>
      </c>
    </row>
    <row r="2345" spans="1:33" ht="14.25" hidden="1" x14ac:dyDescent="0.2">
      <c r="A2345" s="18" t="b">
        <f t="array" ref="A2345">IF(G2345='Room Info'!$B$1, INDEX('Room Info'!$A$2:$A2446, MATCH(B2345,'Room Info'!$B$2:$B2446, 0)),IF(G2345='Room Info'!$C$1, INDEX('Room Info'!$A$2:$A2446, MATCH(B2345,'Room Info'!$C$2:$C2446, 0)),IF(G2345='Room Info'!$D$1, INDEX('Room Info'!$A$2:$A2446, MATCH(B2345,'Room Info'!$D$2:$D2446, 0)),IF(G2345='Room Info'!$E$1, INDEX('Room Info'!$A$2:$A2446, MATCH(B2345,'Room Info'!$E$2:$E2446, 0)),IF(G2345='Room Info'!$F$1, INDEX('Room Info'!$A$2:$A2446, MATCH(B2345,'Room Info'!$F$2:$F2446, 0)),IF(G2345='Room Info'!$H$1, INDEX('Room Info'!$A$2:$A2446, MATCH(B2345,'Room Info'!$H$2:$H2446, 0)),IF(G2345='Room Info'!$G$1, INDEX('Room Info'!$A$2:$A2446, MATCH(B2345,'Room Info'!$G$2:$G2446, 0)))))))))</f>
        <v>0</v>
      </c>
      <c r="B2345" s="96"/>
      <c r="C2345" s="111"/>
      <c r="D2345" s="111"/>
      <c r="E2345" s="80"/>
      <c r="F2345" s="133"/>
      <c r="G2345" s="96"/>
      <c r="H2345" s="110"/>
      <c r="I2345" s="110"/>
      <c r="J2345" s="39" t="s">
        <v>334</v>
      </c>
      <c r="K2345" s="112"/>
      <c r="L2345" s="113"/>
      <c r="M2345" s="62"/>
      <c r="N2345" s="28" t="e">
        <f t="shared" si="8"/>
        <v>#VALUE!</v>
      </c>
      <c r="O2345" s="65"/>
      <c r="P2345" s="29" t="s">
        <v>334</v>
      </c>
      <c r="Q2345" s="55"/>
      <c r="R2345" s="31" t="e">
        <f t="shared" si="9"/>
        <v>#VALUE!</v>
      </c>
      <c r="S2345" s="66"/>
      <c r="T2345" s="32" t="e">
        <f t="shared" si="10"/>
        <v>#VALUE!</v>
      </c>
      <c r="U2345" s="57"/>
      <c r="V2345" s="58"/>
      <c r="W2345" s="58"/>
      <c r="X2345" s="30" t="e">
        <f t="shared" si="11"/>
        <v>#N/A</v>
      </c>
      <c r="Y2345" s="30" t="e">
        <f t="shared" si="12"/>
        <v>#N/A</v>
      </c>
      <c r="Z2345" s="35" t="e">
        <f t="shared" si="13"/>
        <v>#VALUE!</v>
      </c>
      <c r="AA2345" s="29" t="e">
        <f t="shared" si="14"/>
        <v>#VALUE!</v>
      </c>
      <c r="AB2345" s="36" t="e">
        <f t="shared" si="15"/>
        <v>#VALUE!</v>
      </c>
      <c r="AC2345" s="37" t="b">
        <v>0</v>
      </c>
      <c r="AD2345" s="61" t="str">
        <f t="shared" si="16"/>
        <v>USD</v>
      </c>
      <c r="AE2345" s="37"/>
      <c r="AF2345" s="37" t="e">
        <f t="array" ref="AF2345">INDEX('Deal Info'!D:D, MATCH(A2345,'Deal Info'!A:A, 0))</f>
        <v>#N/A</v>
      </c>
      <c r="AG2345" s="38" t="e">
        <f t="array" ref="AG2345">INDEX('Deal Info'!G:G, MATCH(A2345,'Deal Info'!A:A, 0))</f>
        <v>#N/A</v>
      </c>
    </row>
    <row r="2346" spans="1:33" ht="14.25" hidden="1" x14ac:dyDescent="0.2">
      <c r="A2346" s="18" t="b">
        <f t="array" ref="A2346">IF(G2346='Room Info'!$B$1, INDEX('Room Info'!$A$2:$A2446, MATCH(B2346,'Room Info'!$B$2:$B2446, 0)),IF(G2346='Room Info'!$C$1, INDEX('Room Info'!$A$2:$A2446, MATCH(B2346,'Room Info'!$C$2:$C2446, 0)),IF(G2346='Room Info'!$D$1, INDEX('Room Info'!$A$2:$A2446, MATCH(B2346,'Room Info'!$D$2:$D2446, 0)),IF(G2346='Room Info'!$E$1, INDEX('Room Info'!$A$2:$A2446, MATCH(B2346,'Room Info'!$E$2:$E2446, 0)),IF(G2346='Room Info'!$F$1, INDEX('Room Info'!$A$2:$A2446, MATCH(B2346,'Room Info'!$F$2:$F2446, 0)),IF(G2346='Room Info'!$H$1, INDEX('Room Info'!$A$2:$A2446, MATCH(B2346,'Room Info'!$H$2:$H2446, 0)),IF(G2346='Room Info'!$G$1, INDEX('Room Info'!$A$2:$A2446, MATCH(B2346,'Room Info'!$G$2:$G2446, 0)))))))))</f>
        <v>0</v>
      </c>
      <c r="B2346" s="96"/>
      <c r="C2346" s="111"/>
      <c r="D2346" s="111"/>
      <c r="E2346" s="80"/>
      <c r="F2346" s="133"/>
      <c r="G2346" s="96"/>
      <c r="H2346" s="110"/>
      <c r="I2346" s="110"/>
      <c r="J2346" s="39" t="s">
        <v>334</v>
      </c>
      <c r="K2346" s="112"/>
      <c r="L2346" s="113"/>
      <c r="M2346" s="62"/>
      <c r="N2346" s="28" t="e">
        <f t="shared" si="8"/>
        <v>#VALUE!</v>
      </c>
      <c r="O2346" s="65"/>
      <c r="P2346" s="29" t="s">
        <v>334</v>
      </c>
      <c r="Q2346" s="55"/>
      <c r="R2346" s="31" t="e">
        <f t="shared" si="9"/>
        <v>#VALUE!</v>
      </c>
      <c r="S2346" s="66"/>
      <c r="T2346" s="32" t="e">
        <f t="shared" si="10"/>
        <v>#VALUE!</v>
      </c>
      <c r="U2346" s="57"/>
      <c r="V2346" s="58"/>
      <c r="W2346" s="58"/>
      <c r="X2346" s="30" t="e">
        <f t="shared" si="11"/>
        <v>#N/A</v>
      </c>
      <c r="Y2346" s="30" t="e">
        <f t="shared" si="12"/>
        <v>#N/A</v>
      </c>
      <c r="Z2346" s="35" t="e">
        <f t="shared" si="13"/>
        <v>#VALUE!</v>
      </c>
      <c r="AA2346" s="29" t="e">
        <f t="shared" si="14"/>
        <v>#VALUE!</v>
      </c>
      <c r="AB2346" s="36" t="e">
        <f t="shared" si="15"/>
        <v>#VALUE!</v>
      </c>
      <c r="AC2346" s="37" t="b">
        <v>0</v>
      </c>
      <c r="AD2346" s="61" t="str">
        <f t="shared" si="16"/>
        <v>USD</v>
      </c>
      <c r="AE2346" s="37"/>
      <c r="AF2346" s="37" t="e">
        <f t="array" ref="AF2346">INDEX('Deal Info'!D:D, MATCH(A2346,'Deal Info'!A:A, 0))</f>
        <v>#N/A</v>
      </c>
      <c r="AG2346" s="38" t="e">
        <f t="array" ref="AG2346">INDEX('Deal Info'!G:G, MATCH(A2346,'Deal Info'!A:A, 0))</f>
        <v>#N/A</v>
      </c>
    </row>
    <row r="2347" spans="1:33" ht="14.25" hidden="1" x14ac:dyDescent="0.2">
      <c r="A2347" s="18" t="b">
        <f t="array" ref="A2347">IF(G2347='Room Info'!$B$1, INDEX('Room Info'!$A$2:$A2446, MATCH(B2347,'Room Info'!$B$2:$B2446, 0)),IF(G2347='Room Info'!$C$1, INDEX('Room Info'!$A$2:$A2446, MATCH(B2347,'Room Info'!$C$2:$C2446, 0)),IF(G2347='Room Info'!$D$1, INDEX('Room Info'!$A$2:$A2446, MATCH(B2347,'Room Info'!$D$2:$D2446, 0)),IF(G2347='Room Info'!$E$1, INDEX('Room Info'!$A$2:$A2446, MATCH(B2347,'Room Info'!$E$2:$E2446, 0)),IF(G2347='Room Info'!$F$1, INDEX('Room Info'!$A$2:$A2446, MATCH(B2347,'Room Info'!$F$2:$F2446, 0)),IF(G2347='Room Info'!$H$1, INDEX('Room Info'!$A$2:$A2446, MATCH(B2347,'Room Info'!$H$2:$H2446, 0)),IF(G2347='Room Info'!$G$1, INDEX('Room Info'!$A$2:$A2446, MATCH(B2347,'Room Info'!$G$2:$G2446, 0)))))))))</f>
        <v>0</v>
      </c>
      <c r="B2347" s="96"/>
      <c r="C2347" s="111"/>
      <c r="D2347" s="111"/>
      <c r="E2347" s="80"/>
      <c r="F2347" s="133"/>
      <c r="G2347" s="96"/>
      <c r="H2347" s="110"/>
      <c r="I2347" s="110"/>
      <c r="J2347" s="39" t="s">
        <v>334</v>
      </c>
      <c r="K2347" s="112"/>
      <c r="L2347" s="113"/>
      <c r="M2347" s="62"/>
      <c r="N2347" s="28" t="e">
        <f t="shared" si="8"/>
        <v>#VALUE!</v>
      </c>
      <c r="O2347" s="65"/>
      <c r="P2347" s="29" t="s">
        <v>334</v>
      </c>
      <c r="Q2347" s="55"/>
      <c r="R2347" s="31" t="e">
        <f t="shared" si="9"/>
        <v>#VALUE!</v>
      </c>
      <c r="S2347" s="66"/>
      <c r="T2347" s="32" t="e">
        <f t="shared" si="10"/>
        <v>#VALUE!</v>
      </c>
      <c r="U2347" s="57"/>
      <c r="V2347" s="58"/>
      <c r="W2347" s="58"/>
      <c r="X2347" s="30" t="e">
        <f t="shared" si="11"/>
        <v>#N/A</v>
      </c>
      <c r="Y2347" s="30" t="e">
        <f t="shared" si="12"/>
        <v>#N/A</v>
      </c>
      <c r="Z2347" s="35" t="e">
        <f t="shared" si="13"/>
        <v>#VALUE!</v>
      </c>
      <c r="AA2347" s="29" t="e">
        <f t="shared" si="14"/>
        <v>#VALUE!</v>
      </c>
      <c r="AB2347" s="36" t="e">
        <f t="shared" si="15"/>
        <v>#VALUE!</v>
      </c>
      <c r="AC2347" s="37" t="b">
        <v>0</v>
      </c>
      <c r="AD2347" s="61" t="str">
        <f t="shared" si="16"/>
        <v>USD</v>
      </c>
      <c r="AE2347" s="37"/>
      <c r="AF2347" s="37" t="e">
        <f t="array" ref="AF2347">INDEX('Deal Info'!D:D, MATCH(A2347,'Deal Info'!A:A, 0))</f>
        <v>#N/A</v>
      </c>
      <c r="AG2347" s="38" t="e">
        <f t="array" ref="AG2347">INDEX('Deal Info'!G:G, MATCH(A2347,'Deal Info'!A:A, 0))</f>
        <v>#N/A</v>
      </c>
    </row>
    <row r="2348" spans="1:33" ht="14.25" hidden="1" x14ac:dyDescent="0.2">
      <c r="A2348" s="18" t="b">
        <f t="array" ref="A2348">IF(G2348='Room Info'!$B$1, INDEX('Room Info'!$A$2:$A2446, MATCH(B2348,'Room Info'!$B$2:$B2446, 0)),IF(G2348='Room Info'!$C$1, INDEX('Room Info'!$A$2:$A2446, MATCH(B2348,'Room Info'!$C$2:$C2446, 0)),IF(G2348='Room Info'!$D$1, INDEX('Room Info'!$A$2:$A2446, MATCH(B2348,'Room Info'!$D$2:$D2446, 0)),IF(G2348='Room Info'!$E$1, INDEX('Room Info'!$A$2:$A2446, MATCH(B2348,'Room Info'!$E$2:$E2446, 0)),IF(G2348='Room Info'!$F$1, INDEX('Room Info'!$A$2:$A2446, MATCH(B2348,'Room Info'!$F$2:$F2446, 0)),IF(G2348='Room Info'!$H$1, INDEX('Room Info'!$A$2:$A2446, MATCH(B2348,'Room Info'!$H$2:$H2446, 0)),IF(G2348='Room Info'!$G$1, INDEX('Room Info'!$A$2:$A2446, MATCH(B2348,'Room Info'!$G$2:$G2446, 0)))))))))</f>
        <v>0</v>
      </c>
      <c r="B2348" s="96"/>
      <c r="C2348" s="111"/>
      <c r="D2348" s="111"/>
      <c r="E2348" s="80"/>
      <c r="F2348" s="133"/>
      <c r="G2348" s="96"/>
      <c r="H2348" s="110"/>
      <c r="I2348" s="110"/>
      <c r="J2348" s="39" t="s">
        <v>334</v>
      </c>
      <c r="K2348" s="112"/>
      <c r="L2348" s="113"/>
      <c r="M2348" s="62"/>
      <c r="N2348" s="28" t="e">
        <f t="shared" si="8"/>
        <v>#VALUE!</v>
      </c>
      <c r="O2348" s="65"/>
      <c r="P2348" s="29" t="s">
        <v>334</v>
      </c>
      <c r="Q2348" s="55"/>
      <c r="R2348" s="31" t="e">
        <f t="shared" si="9"/>
        <v>#VALUE!</v>
      </c>
      <c r="S2348" s="66"/>
      <c r="T2348" s="32" t="e">
        <f t="shared" si="10"/>
        <v>#VALUE!</v>
      </c>
      <c r="U2348" s="57"/>
      <c r="V2348" s="58"/>
      <c r="W2348" s="58"/>
      <c r="X2348" s="30" t="e">
        <f t="shared" si="11"/>
        <v>#N/A</v>
      </c>
      <c r="Y2348" s="30" t="e">
        <f t="shared" si="12"/>
        <v>#N/A</v>
      </c>
      <c r="Z2348" s="35" t="e">
        <f t="shared" si="13"/>
        <v>#VALUE!</v>
      </c>
      <c r="AA2348" s="29" t="e">
        <f t="shared" si="14"/>
        <v>#VALUE!</v>
      </c>
      <c r="AB2348" s="36" t="e">
        <f t="shared" si="15"/>
        <v>#VALUE!</v>
      </c>
      <c r="AC2348" s="37" t="b">
        <v>0</v>
      </c>
      <c r="AD2348" s="61" t="str">
        <f t="shared" si="16"/>
        <v>USD</v>
      </c>
      <c r="AE2348" s="37"/>
      <c r="AF2348" s="37" t="e">
        <f t="array" ref="AF2348">INDEX('Deal Info'!D:D, MATCH(A2348,'Deal Info'!A:A, 0))</f>
        <v>#N/A</v>
      </c>
      <c r="AG2348" s="38" t="e">
        <f t="array" ref="AG2348">INDEX('Deal Info'!G:G, MATCH(A2348,'Deal Info'!A:A, 0))</f>
        <v>#N/A</v>
      </c>
    </row>
    <row r="2349" spans="1:33" ht="14.25" hidden="1" x14ac:dyDescent="0.2">
      <c r="A2349" s="18" t="b">
        <f t="array" ref="A2349">IF(G2349='Room Info'!$B$1, INDEX('Room Info'!$A$2:$A2446, MATCH(B2349,'Room Info'!$B$2:$B2446, 0)),IF(G2349='Room Info'!$C$1, INDEX('Room Info'!$A$2:$A2446, MATCH(B2349,'Room Info'!$C$2:$C2446, 0)),IF(G2349='Room Info'!$D$1, INDEX('Room Info'!$A$2:$A2446, MATCH(B2349,'Room Info'!$D$2:$D2446, 0)),IF(G2349='Room Info'!$E$1, INDEX('Room Info'!$A$2:$A2446, MATCH(B2349,'Room Info'!$E$2:$E2446, 0)),IF(G2349='Room Info'!$F$1, INDEX('Room Info'!$A$2:$A2446, MATCH(B2349,'Room Info'!$F$2:$F2446, 0)),IF(G2349='Room Info'!$H$1, INDEX('Room Info'!$A$2:$A2446, MATCH(B2349,'Room Info'!$H$2:$H2446, 0)),IF(G2349='Room Info'!$G$1, INDEX('Room Info'!$A$2:$A2446, MATCH(B2349,'Room Info'!$G$2:$G2446, 0)))))))))</f>
        <v>0</v>
      </c>
      <c r="B2349" s="96"/>
      <c r="C2349" s="111"/>
      <c r="D2349" s="111"/>
      <c r="E2349" s="80"/>
      <c r="F2349" s="133"/>
      <c r="G2349" s="96"/>
      <c r="H2349" s="110"/>
      <c r="I2349" s="110"/>
      <c r="J2349" s="39" t="s">
        <v>334</v>
      </c>
      <c r="K2349" s="112"/>
      <c r="L2349" s="113"/>
      <c r="M2349" s="62"/>
      <c r="N2349" s="28" t="e">
        <f t="shared" si="8"/>
        <v>#VALUE!</v>
      </c>
      <c r="O2349" s="65"/>
      <c r="P2349" s="29" t="s">
        <v>334</v>
      </c>
      <c r="Q2349" s="55"/>
      <c r="R2349" s="31" t="e">
        <f t="shared" si="9"/>
        <v>#VALUE!</v>
      </c>
      <c r="S2349" s="66"/>
      <c r="T2349" s="32" t="e">
        <f t="shared" si="10"/>
        <v>#VALUE!</v>
      </c>
      <c r="U2349" s="57"/>
      <c r="V2349" s="58"/>
      <c r="W2349" s="58"/>
      <c r="X2349" s="30" t="e">
        <f t="shared" si="11"/>
        <v>#N/A</v>
      </c>
      <c r="Y2349" s="30" t="e">
        <f t="shared" si="12"/>
        <v>#N/A</v>
      </c>
      <c r="Z2349" s="35" t="e">
        <f t="shared" si="13"/>
        <v>#VALUE!</v>
      </c>
      <c r="AA2349" s="29" t="e">
        <f t="shared" si="14"/>
        <v>#VALUE!</v>
      </c>
      <c r="AB2349" s="36" t="e">
        <f t="shared" si="15"/>
        <v>#VALUE!</v>
      </c>
      <c r="AC2349" s="37" t="b">
        <v>0</v>
      </c>
      <c r="AD2349" s="61" t="str">
        <f t="shared" si="16"/>
        <v>USD</v>
      </c>
      <c r="AE2349" s="37"/>
      <c r="AF2349" s="37" t="e">
        <f t="array" ref="AF2349">INDEX('Deal Info'!D:D, MATCH(A2349,'Deal Info'!A:A, 0))</f>
        <v>#N/A</v>
      </c>
      <c r="AG2349" s="38" t="e">
        <f t="array" ref="AG2349">INDEX('Deal Info'!G:G, MATCH(A2349,'Deal Info'!A:A, 0))</f>
        <v>#N/A</v>
      </c>
    </row>
    <row r="2350" spans="1:33" ht="14.25" hidden="1" x14ac:dyDescent="0.2">
      <c r="A2350" s="18" t="b">
        <f t="array" ref="A2350">IF(G2350='Room Info'!$B$1, INDEX('Room Info'!$A$2:$A2446, MATCH(B2350,'Room Info'!$B$2:$B2446, 0)),IF(G2350='Room Info'!$C$1, INDEX('Room Info'!$A$2:$A2446, MATCH(B2350,'Room Info'!$C$2:$C2446, 0)),IF(G2350='Room Info'!$D$1, INDEX('Room Info'!$A$2:$A2446, MATCH(B2350,'Room Info'!$D$2:$D2446, 0)),IF(G2350='Room Info'!$E$1, INDEX('Room Info'!$A$2:$A2446, MATCH(B2350,'Room Info'!$E$2:$E2446, 0)),IF(G2350='Room Info'!$F$1, INDEX('Room Info'!$A$2:$A2446, MATCH(B2350,'Room Info'!$F$2:$F2446, 0)),IF(G2350='Room Info'!$H$1, INDEX('Room Info'!$A$2:$A2446, MATCH(B2350,'Room Info'!$H$2:$H2446, 0)),IF(G2350='Room Info'!$G$1, INDEX('Room Info'!$A$2:$A2446, MATCH(B2350,'Room Info'!$G$2:$G2446, 0)))))))))</f>
        <v>0</v>
      </c>
      <c r="B2350" s="96"/>
      <c r="C2350" s="111"/>
      <c r="D2350" s="111"/>
      <c r="E2350" s="80"/>
      <c r="F2350" s="133"/>
      <c r="G2350" s="96"/>
      <c r="H2350" s="110"/>
      <c r="I2350" s="110"/>
      <c r="J2350" s="39" t="s">
        <v>334</v>
      </c>
      <c r="K2350" s="112"/>
      <c r="L2350" s="113"/>
      <c r="M2350" s="62"/>
      <c r="N2350" s="28" t="e">
        <f t="shared" si="8"/>
        <v>#VALUE!</v>
      </c>
      <c r="O2350" s="65"/>
      <c r="P2350" s="29" t="s">
        <v>334</v>
      </c>
      <c r="Q2350" s="55"/>
      <c r="R2350" s="31" t="e">
        <f t="shared" si="9"/>
        <v>#VALUE!</v>
      </c>
      <c r="S2350" s="66"/>
      <c r="T2350" s="32" t="e">
        <f t="shared" si="10"/>
        <v>#VALUE!</v>
      </c>
      <c r="U2350" s="57"/>
      <c r="V2350" s="58"/>
      <c r="W2350" s="58"/>
      <c r="X2350" s="30" t="e">
        <f t="shared" si="11"/>
        <v>#N/A</v>
      </c>
      <c r="Y2350" s="30" t="e">
        <f t="shared" si="12"/>
        <v>#N/A</v>
      </c>
      <c r="Z2350" s="35" t="e">
        <f t="shared" si="13"/>
        <v>#VALUE!</v>
      </c>
      <c r="AA2350" s="29" t="e">
        <f t="shared" si="14"/>
        <v>#VALUE!</v>
      </c>
      <c r="AB2350" s="36" t="e">
        <f t="shared" si="15"/>
        <v>#VALUE!</v>
      </c>
      <c r="AC2350" s="37" t="b">
        <v>0</v>
      </c>
      <c r="AD2350" s="61" t="str">
        <f t="shared" si="16"/>
        <v>USD</v>
      </c>
      <c r="AE2350" s="37"/>
      <c r="AF2350" s="37" t="e">
        <f t="array" ref="AF2350">INDEX('Deal Info'!D:D, MATCH(A2350,'Deal Info'!A:A, 0))</f>
        <v>#N/A</v>
      </c>
      <c r="AG2350" s="38" t="e">
        <f t="array" ref="AG2350">INDEX('Deal Info'!G:G, MATCH(A2350,'Deal Info'!A:A, 0))</f>
        <v>#N/A</v>
      </c>
    </row>
    <row r="2351" spans="1:33" ht="14.25" hidden="1" x14ac:dyDescent="0.2">
      <c r="A2351" s="18" t="b">
        <f t="array" ref="A2351">IF(G2351='Room Info'!$B$1, INDEX('Room Info'!$A$2:$A2446, MATCH(B2351,'Room Info'!$B$2:$B2446, 0)),IF(G2351='Room Info'!$C$1, INDEX('Room Info'!$A$2:$A2446, MATCH(B2351,'Room Info'!$C$2:$C2446, 0)),IF(G2351='Room Info'!$D$1, INDEX('Room Info'!$A$2:$A2446, MATCH(B2351,'Room Info'!$D$2:$D2446, 0)),IF(G2351='Room Info'!$E$1, INDEX('Room Info'!$A$2:$A2446, MATCH(B2351,'Room Info'!$E$2:$E2446, 0)),IF(G2351='Room Info'!$F$1, INDEX('Room Info'!$A$2:$A2446, MATCH(B2351,'Room Info'!$F$2:$F2446, 0)),IF(G2351='Room Info'!$H$1, INDEX('Room Info'!$A$2:$A2446, MATCH(B2351,'Room Info'!$H$2:$H2446, 0)),IF(G2351='Room Info'!$G$1, INDEX('Room Info'!$A$2:$A2446, MATCH(B2351,'Room Info'!$G$2:$G2446, 0)))))))))</f>
        <v>0</v>
      </c>
      <c r="B2351" s="96"/>
      <c r="C2351" s="111"/>
      <c r="D2351" s="111"/>
      <c r="E2351" s="80"/>
      <c r="F2351" s="133"/>
      <c r="G2351" s="96"/>
      <c r="H2351" s="110"/>
      <c r="I2351" s="110"/>
      <c r="J2351" s="39" t="s">
        <v>334</v>
      </c>
      <c r="K2351" s="112"/>
      <c r="L2351" s="113"/>
      <c r="M2351" s="62"/>
      <c r="N2351" s="28" t="e">
        <f t="shared" si="8"/>
        <v>#VALUE!</v>
      </c>
      <c r="O2351" s="65"/>
      <c r="P2351" s="29" t="s">
        <v>334</v>
      </c>
      <c r="Q2351" s="55"/>
      <c r="R2351" s="31" t="e">
        <f t="shared" si="9"/>
        <v>#VALUE!</v>
      </c>
      <c r="S2351" s="66"/>
      <c r="T2351" s="32" t="e">
        <f t="shared" si="10"/>
        <v>#VALUE!</v>
      </c>
      <c r="U2351" s="57"/>
      <c r="V2351" s="58"/>
      <c r="W2351" s="58"/>
      <c r="X2351" s="30" t="e">
        <f t="shared" si="11"/>
        <v>#N/A</v>
      </c>
      <c r="Y2351" s="30" t="e">
        <f t="shared" si="12"/>
        <v>#N/A</v>
      </c>
      <c r="Z2351" s="35" t="e">
        <f t="shared" si="13"/>
        <v>#VALUE!</v>
      </c>
      <c r="AA2351" s="29" t="e">
        <f t="shared" si="14"/>
        <v>#VALUE!</v>
      </c>
      <c r="AB2351" s="36" t="e">
        <f t="shared" si="15"/>
        <v>#VALUE!</v>
      </c>
      <c r="AC2351" s="37" t="b">
        <v>0</v>
      </c>
      <c r="AD2351" s="61" t="str">
        <f t="shared" si="16"/>
        <v>USD</v>
      </c>
      <c r="AE2351" s="37"/>
      <c r="AF2351" s="37" t="e">
        <f t="array" ref="AF2351">INDEX('Deal Info'!D:D, MATCH(A2351,'Deal Info'!A:A, 0))</f>
        <v>#N/A</v>
      </c>
      <c r="AG2351" s="38" t="e">
        <f t="array" ref="AG2351">INDEX('Deal Info'!G:G, MATCH(A2351,'Deal Info'!A:A, 0))</f>
        <v>#N/A</v>
      </c>
    </row>
    <row r="2352" spans="1:33" ht="14.25" hidden="1" x14ac:dyDescent="0.2">
      <c r="A2352" s="18" t="b">
        <f t="array" ref="A2352">IF(G2352='Room Info'!$B$1, INDEX('Room Info'!$A$2:$A2446, MATCH(B2352,'Room Info'!$B$2:$B2446, 0)),IF(G2352='Room Info'!$C$1, INDEX('Room Info'!$A$2:$A2446, MATCH(B2352,'Room Info'!$C$2:$C2446, 0)),IF(G2352='Room Info'!$D$1, INDEX('Room Info'!$A$2:$A2446, MATCH(B2352,'Room Info'!$D$2:$D2446, 0)),IF(G2352='Room Info'!$E$1, INDEX('Room Info'!$A$2:$A2446, MATCH(B2352,'Room Info'!$E$2:$E2446, 0)),IF(G2352='Room Info'!$F$1, INDEX('Room Info'!$A$2:$A2446, MATCH(B2352,'Room Info'!$F$2:$F2446, 0)),IF(G2352='Room Info'!$H$1, INDEX('Room Info'!$A$2:$A2446, MATCH(B2352,'Room Info'!$H$2:$H2446, 0)),IF(G2352='Room Info'!$G$1, INDEX('Room Info'!$A$2:$A2446, MATCH(B2352,'Room Info'!$G$2:$G2446, 0)))))))))</f>
        <v>0</v>
      </c>
      <c r="B2352" s="96"/>
      <c r="C2352" s="111"/>
      <c r="D2352" s="111"/>
      <c r="E2352" s="80"/>
      <c r="F2352" s="96"/>
      <c r="G2352" s="65"/>
      <c r="H2352" s="100"/>
      <c r="I2352" s="100"/>
      <c r="J2352" s="39" t="s">
        <v>334</v>
      </c>
      <c r="K2352" s="134"/>
      <c r="L2352" s="135"/>
      <c r="M2352" s="62"/>
      <c r="N2352" s="28" t="e">
        <f t="shared" si="8"/>
        <v>#VALUE!</v>
      </c>
      <c r="O2352" s="96"/>
      <c r="P2352" s="29" t="s">
        <v>334</v>
      </c>
      <c r="Q2352" s="55"/>
      <c r="R2352" s="31" t="e">
        <f t="shared" si="9"/>
        <v>#VALUE!</v>
      </c>
      <c r="S2352" s="97"/>
      <c r="T2352" s="32" t="e">
        <f t="shared" si="10"/>
        <v>#VALUE!</v>
      </c>
      <c r="U2352" s="57"/>
      <c r="V2352" s="58"/>
      <c r="W2352" s="58"/>
      <c r="X2352" s="30" t="e">
        <f t="shared" si="11"/>
        <v>#N/A</v>
      </c>
      <c r="Y2352" s="30" t="e">
        <f t="shared" si="12"/>
        <v>#N/A</v>
      </c>
      <c r="Z2352" s="35" t="e">
        <f t="shared" si="13"/>
        <v>#VALUE!</v>
      </c>
      <c r="AA2352" s="29" t="e">
        <f t="shared" si="14"/>
        <v>#VALUE!</v>
      </c>
      <c r="AB2352" s="36" t="e">
        <f t="shared" si="15"/>
        <v>#VALUE!</v>
      </c>
      <c r="AC2352" s="37" t="b">
        <v>0</v>
      </c>
      <c r="AD2352" s="61" t="str">
        <f t="shared" si="16"/>
        <v>USD</v>
      </c>
      <c r="AE2352" s="37"/>
      <c r="AF2352" s="37" t="e">
        <f t="array" ref="AF2352">INDEX('Deal Info'!D:D, MATCH(A2352,'Deal Info'!A:A, 0))</f>
        <v>#N/A</v>
      </c>
      <c r="AG2352" s="38" t="e">
        <f t="array" ref="AG2352">INDEX('Deal Info'!G:G, MATCH(A2352,'Deal Info'!A:A, 0))</f>
        <v>#N/A</v>
      </c>
    </row>
    <row r="2353" spans="1:33" ht="14.25" hidden="1" x14ac:dyDescent="0.2">
      <c r="A2353" s="18" t="b">
        <f t="array" ref="A2353">IF(G2353='Room Info'!$B$1, INDEX('Room Info'!$A$2:$A2446, MATCH(B2353,'Room Info'!$B$2:$B2446, 0)),IF(G2353='Room Info'!$C$1, INDEX('Room Info'!$A$2:$A2446, MATCH(B2353,'Room Info'!$C$2:$C2446, 0)),IF(G2353='Room Info'!$D$1, INDEX('Room Info'!$A$2:$A2446, MATCH(B2353,'Room Info'!$D$2:$D2446, 0)),IF(G2353='Room Info'!$E$1, INDEX('Room Info'!$A$2:$A2446, MATCH(B2353,'Room Info'!$E$2:$E2446, 0)),IF(G2353='Room Info'!$F$1, INDEX('Room Info'!$A$2:$A2446, MATCH(B2353,'Room Info'!$F$2:$F2446, 0)),IF(G2353='Room Info'!$H$1, INDEX('Room Info'!$A$2:$A2446, MATCH(B2353,'Room Info'!$H$2:$H2446, 0)),IF(G2353='Room Info'!$G$1, INDEX('Room Info'!$A$2:$A2446, MATCH(B2353,'Room Info'!$G$2:$G2446, 0)))))))))</f>
        <v>0</v>
      </c>
      <c r="B2353" s="96"/>
      <c r="C2353" s="111"/>
      <c r="D2353" s="111"/>
      <c r="E2353" s="80"/>
      <c r="F2353" s="96"/>
      <c r="G2353" s="65"/>
      <c r="H2353" s="100"/>
      <c r="I2353" s="100"/>
      <c r="J2353" s="39" t="s">
        <v>334</v>
      </c>
      <c r="K2353" s="134"/>
      <c r="L2353" s="135"/>
      <c r="M2353" s="62"/>
      <c r="N2353" s="28" t="e">
        <f t="shared" si="8"/>
        <v>#VALUE!</v>
      </c>
      <c r="O2353" s="96"/>
      <c r="P2353" s="29" t="s">
        <v>334</v>
      </c>
      <c r="Q2353" s="55"/>
      <c r="R2353" s="31" t="e">
        <f t="shared" si="9"/>
        <v>#VALUE!</v>
      </c>
      <c r="S2353" s="97"/>
      <c r="T2353" s="32" t="e">
        <f t="shared" si="10"/>
        <v>#VALUE!</v>
      </c>
      <c r="U2353" s="57"/>
      <c r="V2353" s="58"/>
      <c r="W2353" s="58"/>
      <c r="X2353" s="30" t="e">
        <f t="shared" si="11"/>
        <v>#N/A</v>
      </c>
      <c r="Y2353" s="30" t="e">
        <f t="shared" si="12"/>
        <v>#N/A</v>
      </c>
      <c r="Z2353" s="35" t="e">
        <f t="shared" si="13"/>
        <v>#VALUE!</v>
      </c>
      <c r="AA2353" s="29" t="e">
        <f t="shared" si="14"/>
        <v>#VALUE!</v>
      </c>
      <c r="AB2353" s="36" t="e">
        <f t="shared" si="15"/>
        <v>#VALUE!</v>
      </c>
      <c r="AC2353" s="37" t="b">
        <v>0</v>
      </c>
      <c r="AD2353" s="61" t="str">
        <f t="shared" si="16"/>
        <v>USD</v>
      </c>
      <c r="AE2353" s="37"/>
      <c r="AF2353" s="37" t="e">
        <f t="array" ref="AF2353">INDEX('Deal Info'!D:D, MATCH(A2353,'Deal Info'!A:A, 0))</f>
        <v>#N/A</v>
      </c>
      <c r="AG2353" s="38" t="e">
        <f t="array" ref="AG2353">INDEX('Deal Info'!G:G, MATCH(A2353,'Deal Info'!A:A, 0))</f>
        <v>#N/A</v>
      </c>
    </row>
    <row r="2354" spans="1:33" ht="14.25" hidden="1" x14ac:dyDescent="0.2">
      <c r="A2354" s="18" t="b">
        <f t="array" ref="A2354">IF(G2354='Room Info'!$B$1, INDEX('Room Info'!$A$2:$A2446, MATCH(B2354,'Room Info'!$B$2:$B2446, 0)),IF(G2354='Room Info'!$C$1, INDEX('Room Info'!$A$2:$A2446, MATCH(B2354,'Room Info'!$C$2:$C2446, 0)),IF(G2354='Room Info'!$D$1, INDEX('Room Info'!$A$2:$A2446, MATCH(B2354,'Room Info'!$D$2:$D2446, 0)),IF(G2354='Room Info'!$E$1, INDEX('Room Info'!$A$2:$A2446, MATCH(B2354,'Room Info'!$E$2:$E2446, 0)),IF(G2354='Room Info'!$F$1, INDEX('Room Info'!$A$2:$A2446, MATCH(B2354,'Room Info'!$F$2:$F2446, 0)),IF(G2354='Room Info'!$H$1, INDEX('Room Info'!$A$2:$A2446, MATCH(B2354,'Room Info'!$H$2:$H2446, 0)),IF(G2354='Room Info'!$G$1, INDEX('Room Info'!$A$2:$A2446, MATCH(B2354,'Room Info'!$G$2:$G2446, 0)))))))))</f>
        <v>0</v>
      </c>
      <c r="B2354" s="96"/>
      <c r="C2354" s="111"/>
      <c r="D2354" s="111"/>
      <c r="E2354" s="80"/>
      <c r="F2354" s="96"/>
      <c r="G2354" s="65"/>
      <c r="H2354" s="100"/>
      <c r="I2354" s="100"/>
      <c r="J2354" s="39" t="s">
        <v>334</v>
      </c>
      <c r="K2354" s="134"/>
      <c r="L2354" s="135"/>
      <c r="M2354" s="62"/>
      <c r="N2354" s="28" t="e">
        <f t="shared" si="8"/>
        <v>#VALUE!</v>
      </c>
      <c r="O2354" s="96"/>
      <c r="P2354" s="29" t="s">
        <v>334</v>
      </c>
      <c r="Q2354" s="55"/>
      <c r="R2354" s="31" t="e">
        <f t="shared" si="9"/>
        <v>#VALUE!</v>
      </c>
      <c r="S2354" s="97"/>
      <c r="T2354" s="32" t="e">
        <f t="shared" si="10"/>
        <v>#VALUE!</v>
      </c>
      <c r="U2354" s="57"/>
      <c r="V2354" s="58"/>
      <c r="W2354" s="58"/>
      <c r="X2354" s="30" t="e">
        <f t="shared" si="11"/>
        <v>#N/A</v>
      </c>
      <c r="Y2354" s="30" t="e">
        <f t="shared" si="12"/>
        <v>#N/A</v>
      </c>
      <c r="Z2354" s="35" t="e">
        <f t="shared" si="13"/>
        <v>#VALUE!</v>
      </c>
      <c r="AA2354" s="29" t="e">
        <f t="shared" si="14"/>
        <v>#VALUE!</v>
      </c>
      <c r="AB2354" s="36" t="e">
        <f t="shared" si="15"/>
        <v>#VALUE!</v>
      </c>
      <c r="AC2354" s="37" t="b">
        <v>0</v>
      </c>
      <c r="AD2354" s="61" t="str">
        <f t="shared" si="16"/>
        <v>USD</v>
      </c>
      <c r="AE2354" s="37"/>
      <c r="AF2354" s="37" t="e">
        <f t="array" ref="AF2354">INDEX('Deal Info'!D:D, MATCH(A2354,'Deal Info'!A:A, 0))</f>
        <v>#N/A</v>
      </c>
      <c r="AG2354" s="38" t="e">
        <f t="array" ref="AG2354">INDEX('Deal Info'!G:G, MATCH(A2354,'Deal Info'!A:A, 0))</f>
        <v>#N/A</v>
      </c>
    </row>
    <row r="2355" spans="1:33" ht="14.25" hidden="1" x14ac:dyDescent="0.2">
      <c r="A2355" s="18" t="b">
        <f t="array" ref="A2355">IF(G2355='Room Info'!$B$1, INDEX('Room Info'!$A$2:$A2446, MATCH(B2355,'Room Info'!$B$2:$B2446, 0)),IF(G2355='Room Info'!$C$1, INDEX('Room Info'!$A$2:$A2446, MATCH(B2355,'Room Info'!$C$2:$C2446, 0)),IF(G2355='Room Info'!$D$1, INDEX('Room Info'!$A$2:$A2446, MATCH(B2355,'Room Info'!$D$2:$D2446, 0)),IF(G2355='Room Info'!$E$1, INDEX('Room Info'!$A$2:$A2446, MATCH(B2355,'Room Info'!$E$2:$E2446, 0)),IF(G2355='Room Info'!$F$1, INDEX('Room Info'!$A$2:$A2446, MATCH(B2355,'Room Info'!$F$2:$F2446, 0)),IF(G2355='Room Info'!$H$1, INDEX('Room Info'!$A$2:$A2446, MATCH(B2355,'Room Info'!$H$2:$H2446, 0)),IF(G2355='Room Info'!$G$1, INDEX('Room Info'!$A$2:$A2446, MATCH(B2355,'Room Info'!$G$2:$G2446, 0)))))))))</f>
        <v>0</v>
      </c>
      <c r="B2355" s="96"/>
      <c r="C2355" s="111"/>
      <c r="D2355" s="111"/>
      <c r="E2355" s="80"/>
      <c r="F2355" s="96"/>
      <c r="G2355" s="65"/>
      <c r="H2355" s="100"/>
      <c r="I2355" s="100"/>
      <c r="J2355" s="39" t="s">
        <v>334</v>
      </c>
      <c r="K2355" s="134"/>
      <c r="L2355" s="135"/>
      <c r="M2355" s="62"/>
      <c r="N2355" s="28" t="e">
        <f t="shared" si="8"/>
        <v>#VALUE!</v>
      </c>
      <c r="O2355" s="96"/>
      <c r="P2355" s="29" t="s">
        <v>334</v>
      </c>
      <c r="Q2355" s="55"/>
      <c r="R2355" s="31" t="e">
        <f t="shared" si="9"/>
        <v>#VALUE!</v>
      </c>
      <c r="S2355" s="97"/>
      <c r="T2355" s="32" t="e">
        <f t="shared" si="10"/>
        <v>#VALUE!</v>
      </c>
      <c r="U2355" s="57"/>
      <c r="V2355" s="58"/>
      <c r="W2355" s="58"/>
      <c r="X2355" s="30" t="e">
        <f t="shared" si="11"/>
        <v>#N/A</v>
      </c>
      <c r="Y2355" s="30" t="e">
        <f t="shared" si="12"/>
        <v>#N/A</v>
      </c>
      <c r="Z2355" s="35" t="e">
        <f t="shared" si="13"/>
        <v>#VALUE!</v>
      </c>
      <c r="AA2355" s="29" t="e">
        <f t="shared" si="14"/>
        <v>#VALUE!</v>
      </c>
      <c r="AB2355" s="36" t="e">
        <f t="shared" si="15"/>
        <v>#VALUE!</v>
      </c>
      <c r="AC2355" s="37" t="b">
        <v>0</v>
      </c>
      <c r="AD2355" s="61" t="str">
        <f t="shared" si="16"/>
        <v>USD</v>
      </c>
      <c r="AE2355" s="37"/>
      <c r="AF2355" s="37" t="e">
        <f t="array" ref="AF2355">INDEX('Deal Info'!D:D, MATCH(A2355,'Deal Info'!A:A, 0))</f>
        <v>#N/A</v>
      </c>
      <c r="AG2355" s="38" t="e">
        <f t="array" ref="AG2355">INDEX('Deal Info'!G:G, MATCH(A2355,'Deal Info'!A:A, 0))</f>
        <v>#N/A</v>
      </c>
    </row>
    <row r="2356" spans="1:33" ht="14.25" hidden="1" x14ac:dyDescent="0.2">
      <c r="A2356" s="18" t="b">
        <f t="array" ref="A2356">IF(G2356='Room Info'!$B$1, INDEX('Room Info'!$A$2:$A2446, MATCH(B2356,'Room Info'!$B$2:$B2446, 0)),IF(G2356='Room Info'!$C$1, INDEX('Room Info'!$A$2:$A2446, MATCH(B2356,'Room Info'!$C$2:$C2446, 0)),IF(G2356='Room Info'!$D$1, INDEX('Room Info'!$A$2:$A2446, MATCH(B2356,'Room Info'!$D$2:$D2446, 0)),IF(G2356='Room Info'!$E$1, INDEX('Room Info'!$A$2:$A2446, MATCH(B2356,'Room Info'!$E$2:$E2446, 0)),IF(G2356='Room Info'!$F$1, INDEX('Room Info'!$A$2:$A2446, MATCH(B2356,'Room Info'!$F$2:$F2446, 0)),IF(G2356='Room Info'!$H$1, INDEX('Room Info'!$A$2:$A2446, MATCH(B2356,'Room Info'!$H$2:$H2446, 0)),IF(G2356='Room Info'!$G$1, INDEX('Room Info'!$A$2:$A2446, MATCH(B2356,'Room Info'!$G$2:$G2446, 0)))))))))</f>
        <v>0</v>
      </c>
      <c r="B2356" s="96"/>
      <c r="C2356" s="111"/>
      <c r="D2356" s="111"/>
      <c r="E2356" s="80"/>
      <c r="F2356" s="96"/>
      <c r="G2356" s="65"/>
      <c r="H2356" s="110"/>
      <c r="I2356" s="110"/>
      <c r="J2356" s="39" t="s">
        <v>334</v>
      </c>
      <c r="K2356" s="112"/>
      <c r="L2356" s="113"/>
      <c r="M2356" s="62"/>
      <c r="N2356" s="28" t="e">
        <f t="shared" si="8"/>
        <v>#VALUE!</v>
      </c>
      <c r="O2356" s="65"/>
      <c r="P2356" s="29" t="s">
        <v>334</v>
      </c>
      <c r="Q2356" s="55"/>
      <c r="R2356" s="31" t="e">
        <f t="shared" si="9"/>
        <v>#VALUE!</v>
      </c>
      <c r="S2356" s="66"/>
      <c r="T2356" s="32" t="e">
        <f t="shared" si="10"/>
        <v>#VALUE!</v>
      </c>
      <c r="U2356" s="57"/>
      <c r="V2356" s="58"/>
      <c r="W2356" s="58"/>
      <c r="X2356" s="30" t="e">
        <f t="shared" si="11"/>
        <v>#N/A</v>
      </c>
      <c r="Y2356" s="30" t="e">
        <f t="shared" si="12"/>
        <v>#N/A</v>
      </c>
      <c r="Z2356" s="35" t="e">
        <f t="shared" si="13"/>
        <v>#VALUE!</v>
      </c>
      <c r="AA2356" s="29" t="e">
        <f t="shared" si="14"/>
        <v>#VALUE!</v>
      </c>
      <c r="AB2356" s="36" t="e">
        <f t="shared" si="15"/>
        <v>#VALUE!</v>
      </c>
      <c r="AC2356" s="37" t="b">
        <v>0</v>
      </c>
      <c r="AD2356" s="61" t="str">
        <f t="shared" si="16"/>
        <v>USD</v>
      </c>
      <c r="AE2356" s="37"/>
      <c r="AF2356" s="37" t="e">
        <f t="array" ref="AF2356">INDEX('Deal Info'!D:D, MATCH(A2356,'Deal Info'!A:A, 0))</f>
        <v>#N/A</v>
      </c>
      <c r="AG2356" s="38" t="e">
        <f t="array" ref="AG2356">INDEX('Deal Info'!G:G, MATCH(A2356,'Deal Info'!A:A, 0))</f>
        <v>#N/A</v>
      </c>
    </row>
    <row r="2357" spans="1:33" ht="14.25" hidden="1" x14ac:dyDescent="0.2">
      <c r="A2357" s="18" t="b">
        <f t="array" ref="A2357">IF(G2357='Room Info'!$B$1, INDEX('Room Info'!$A$2:$A2446, MATCH(B2357,'Room Info'!$B$2:$B2446, 0)),IF(G2357='Room Info'!$C$1, INDEX('Room Info'!$A$2:$A2446, MATCH(B2357,'Room Info'!$C$2:$C2446, 0)),IF(G2357='Room Info'!$D$1, INDEX('Room Info'!$A$2:$A2446, MATCH(B2357,'Room Info'!$D$2:$D2446, 0)),IF(G2357='Room Info'!$E$1, INDEX('Room Info'!$A$2:$A2446, MATCH(B2357,'Room Info'!$E$2:$E2446, 0)),IF(G2357='Room Info'!$F$1, INDEX('Room Info'!$A$2:$A2446, MATCH(B2357,'Room Info'!$F$2:$F2446, 0)),IF(G2357='Room Info'!$H$1, INDEX('Room Info'!$A$2:$A2446, MATCH(B2357,'Room Info'!$H$2:$H2446, 0)),IF(G2357='Room Info'!$G$1, INDEX('Room Info'!$A$2:$A2446, MATCH(B2357,'Room Info'!$G$2:$G2446, 0)))))))))</f>
        <v>0</v>
      </c>
      <c r="B2357" s="96"/>
      <c r="C2357" s="111"/>
      <c r="D2357" s="111"/>
      <c r="E2357" s="80"/>
      <c r="F2357" s="96"/>
      <c r="G2357" s="65"/>
      <c r="H2357" s="110"/>
      <c r="I2357" s="110"/>
      <c r="J2357" s="39" t="s">
        <v>334</v>
      </c>
      <c r="K2357" s="112"/>
      <c r="L2357" s="113"/>
      <c r="M2357" s="62"/>
      <c r="N2357" s="28" t="e">
        <f t="shared" si="8"/>
        <v>#VALUE!</v>
      </c>
      <c r="O2357" s="65"/>
      <c r="P2357" s="29" t="s">
        <v>334</v>
      </c>
      <c r="Q2357" s="55"/>
      <c r="R2357" s="31" t="e">
        <f t="shared" si="9"/>
        <v>#VALUE!</v>
      </c>
      <c r="S2357" s="66"/>
      <c r="T2357" s="32" t="e">
        <f t="shared" si="10"/>
        <v>#VALUE!</v>
      </c>
      <c r="U2357" s="57"/>
      <c r="V2357" s="58"/>
      <c r="W2357" s="58"/>
      <c r="X2357" s="30" t="e">
        <f t="shared" si="11"/>
        <v>#N/A</v>
      </c>
      <c r="Y2357" s="30" t="e">
        <f t="shared" si="12"/>
        <v>#N/A</v>
      </c>
      <c r="Z2357" s="35" t="e">
        <f t="shared" si="13"/>
        <v>#VALUE!</v>
      </c>
      <c r="AA2357" s="29" t="e">
        <f t="shared" si="14"/>
        <v>#VALUE!</v>
      </c>
      <c r="AB2357" s="36" t="e">
        <f t="shared" si="15"/>
        <v>#VALUE!</v>
      </c>
      <c r="AC2357" s="37" t="b">
        <v>0</v>
      </c>
      <c r="AD2357" s="61" t="str">
        <f t="shared" si="16"/>
        <v>USD</v>
      </c>
      <c r="AE2357" s="37"/>
      <c r="AF2357" s="37" t="e">
        <f t="array" ref="AF2357">INDEX('Deal Info'!D:D, MATCH(A2357,'Deal Info'!A:A, 0))</f>
        <v>#N/A</v>
      </c>
      <c r="AG2357" s="38" t="e">
        <f t="array" ref="AG2357">INDEX('Deal Info'!G:G, MATCH(A2357,'Deal Info'!A:A, 0))</f>
        <v>#N/A</v>
      </c>
    </row>
    <row r="2358" spans="1:33" ht="14.25" hidden="1" x14ac:dyDescent="0.2">
      <c r="A2358" s="18" t="b">
        <f t="array" ref="A2358">IF(G2358='Room Info'!$B$1, INDEX('Room Info'!$A$2:$A2446, MATCH(B2358,'Room Info'!$B$2:$B2446, 0)),IF(G2358='Room Info'!$C$1, INDEX('Room Info'!$A$2:$A2446, MATCH(B2358,'Room Info'!$C$2:$C2446, 0)),IF(G2358='Room Info'!$D$1, INDEX('Room Info'!$A$2:$A2446, MATCH(B2358,'Room Info'!$D$2:$D2446, 0)),IF(G2358='Room Info'!$E$1, INDEX('Room Info'!$A$2:$A2446, MATCH(B2358,'Room Info'!$E$2:$E2446, 0)),IF(G2358='Room Info'!$F$1, INDEX('Room Info'!$A$2:$A2446, MATCH(B2358,'Room Info'!$F$2:$F2446, 0)),IF(G2358='Room Info'!$H$1, INDEX('Room Info'!$A$2:$A2446, MATCH(B2358,'Room Info'!$H$2:$H2446, 0)),IF(G2358='Room Info'!$G$1, INDEX('Room Info'!$A$2:$A2446, MATCH(B2358,'Room Info'!$G$2:$G2446, 0)))))))))</f>
        <v>0</v>
      </c>
      <c r="B2358" s="96"/>
      <c r="C2358" s="111"/>
      <c r="D2358" s="111"/>
      <c r="E2358" s="80"/>
      <c r="F2358" s="96"/>
      <c r="G2358" s="65"/>
      <c r="H2358" s="110"/>
      <c r="I2358" s="110"/>
      <c r="J2358" s="39" t="s">
        <v>334</v>
      </c>
      <c r="K2358" s="112"/>
      <c r="L2358" s="113"/>
      <c r="M2358" s="62"/>
      <c r="N2358" s="28" t="e">
        <f t="shared" si="8"/>
        <v>#VALUE!</v>
      </c>
      <c r="O2358" s="65"/>
      <c r="P2358" s="29" t="s">
        <v>334</v>
      </c>
      <c r="Q2358" s="55"/>
      <c r="R2358" s="31" t="e">
        <f t="shared" si="9"/>
        <v>#VALUE!</v>
      </c>
      <c r="S2358" s="66"/>
      <c r="T2358" s="32" t="e">
        <f t="shared" si="10"/>
        <v>#VALUE!</v>
      </c>
      <c r="U2358" s="57"/>
      <c r="V2358" s="58"/>
      <c r="W2358" s="58"/>
      <c r="X2358" s="30" t="e">
        <f t="shared" si="11"/>
        <v>#N/A</v>
      </c>
      <c r="Y2358" s="30" t="e">
        <f t="shared" si="12"/>
        <v>#N/A</v>
      </c>
      <c r="Z2358" s="35" t="e">
        <f t="shared" si="13"/>
        <v>#VALUE!</v>
      </c>
      <c r="AA2358" s="29" t="e">
        <f t="shared" si="14"/>
        <v>#VALUE!</v>
      </c>
      <c r="AB2358" s="36" t="e">
        <f t="shared" si="15"/>
        <v>#VALUE!</v>
      </c>
      <c r="AC2358" s="37" t="b">
        <v>0</v>
      </c>
      <c r="AD2358" s="61" t="str">
        <f t="shared" si="16"/>
        <v>USD</v>
      </c>
      <c r="AE2358" s="37"/>
      <c r="AF2358" s="37" t="e">
        <f t="array" ref="AF2358">INDEX('Deal Info'!D:D, MATCH(A2358,'Deal Info'!A:A, 0))</f>
        <v>#N/A</v>
      </c>
      <c r="AG2358" s="38" t="e">
        <f t="array" ref="AG2358">INDEX('Deal Info'!G:G, MATCH(A2358,'Deal Info'!A:A, 0))</f>
        <v>#N/A</v>
      </c>
    </row>
    <row r="2359" spans="1:33" ht="14.25" hidden="1" x14ac:dyDescent="0.2">
      <c r="A2359" s="18" t="b">
        <f t="array" ref="A2359">IF(G2359='Room Info'!$B$1, INDEX('Room Info'!$A$2:$A2446, MATCH(B2359,'Room Info'!$B$2:$B2446, 0)),IF(G2359='Room Info'!$C$1, INDEX('Room Info'!$A$2:$A2446, MATCH(B2359,'Room Info'!$C$2:$C2446, 0)),IF(G2359='Room Info'!$D$1, INDEX('Room Info'!$A$2:$A2446, MATCH(B2359,'Room Info'!$D$2:$D2446, 0)),IF(G2359='Room Info'!$E$1, INDEX('Room Info'!$A$2:$A2446, MATCH(B2359,'Room Info'!$E$2:$E2446, 0)),IF(G2359='Room Info'!$F$1, INDEX('Room Info'!$A$2:$A2446, MATCH(B2359,'Room Info'!$F$2:$F2446, 0)),IF(G2359='Room Info'!$H$1, INDEX('Room Info'!$A$2:$A2446, MATCH(B2359,'Room Info'!$H$2:$H2446, 0)),IF(G2359='Room Info'!$G$1, INDEX('Room Info'!$A$2:$A2446, MATCH(B2359,'Room Info'!$G$2:$G2446, 0)))))))))</f>
        <v>0</v>
      </c>
      <c r="B2359" s="96"/>
      <c r="C2359" s="111"/>
      <c r="D2359" s="111"/>
      <c r="E2359" s="80"/>
      <c r="F2359" s="96"/>
      <c r="G2359" s="65"/>
      <c r="H2359" s="110"/>
      <c r="I2359" s="110"/>
      <c r="J2359" s="39" t="s">
        <v>334</v>
      </c>
      <c r="K2359" s="112"/>
      <c r="L2359" s="113"/>
      <c r="M2359" s="62"/>
      <c r="N2359" s="28" t="e">
        <f t="shared" si="8"/>
        <v>#VALUE!</v>
      </c>
      <c r="O2359" s="65"/>
      <c r="P2359" s="29" t="s">
        <v>334</v>
      </c>
      <c r="Q2359" s="55"/>
      <c r="R2359" s="31" t="e">
        <f t="shared" si="9"/>
        <v>#VALUE!</v>
      </c>
      <c r="S2359" s="66"/>
      <c r="T2359" s="32" t="e">
        <f t="shared" si="10"/>
        <v>#VALUE!</v>
      </c>
      <c r="U2359" s="57"/>
      <c r="V2359" s="58"/>
      <c r="W2359" s="58"/>
      <c r="X2359" s="30" t="e">
        <f t="shared" si="11"/>
        <v>#N/A</v>
      </c>
      <c r="Y2359" s="30" t="e">
        <f t="shared" si="12"/>
        <v>#N/A</v>
      </c>
      <c r="Z2359" s="35" t="e">
        <f t="shared" si="13"/>
        <v>#VALUE!</v>
      </c>
      <c r="AA2359" s="29" t="e">
        <f t="shared" si="14"/>
        <v>#VALUE!</v>
      </c>
      <c r="AB2359" s="36" t="e">
        <f t="shared" si="15"/>
        <v>#VALUE!</v>
      </c>
      <c r="AC2359" s="37" t="b">
        <v>0</v>
      </c>
      <c r="AD2359" s="61" t="str">
        <f t="shared" si="16"/>
        <v>USD</v>
      </c>
      <c r="AE2359" s="37"/>
      <c r="AF2359" s="37" t="e">
        <f t="array" ref="AF2359">INDEX('Deal Info'!D:D, MATCH(A2359,'Deal Info'!A:A, 0))</f>
        <v>#N/A</v>
      </c>
      <c r="AG2359" s="38" t="e">
        <f t="array" ref="AG2359">INDEX('Deal Info'!G:G, MATCH(A2359,'Deal Info'!A:A, 0))</f>
        <v>#N/A</v>
      </c>
    </row>
    <row r="2360" spans="1:33" ht="14.25" hidden="1" x14ac:dyDescent="0.2">
      <c r="A2360" s="18" t="b">
        <f t="array" ref="A2360">IF(G2360='Room Info'!$B$1, INDEX('Room Info'!$A$2:$A2446, MATCH(B2360,'Room Info'!$B$2:$B2446, 0)),IF(G2360='Room Info'!$C$1, INDEX('Room Info'!$A$2:$A2446, MATCH(B2360,'Room Info'!$C$2:$C2446, 0)),IF(G2360='Room Info'!$D$1, INDEX('Room Info'!$A$2:$A2446, MATCH(B2360,'Room Info'!$D$2:$D2446, 0)),IF(G2360='Room Info'!$E$1, INDEX('Room Info'!$A$2:$A2446, MATCH(B2360,'Room Info'!$E$2:$E2446, 0)),IF(G2360='Room Info'!$F$1, INDEX('Room Info'!$A$2:$A2446, MATCH(B2360,'Room Info'!$F$2:$F2446, 0)),IF(G2360='Room Info'!$H$1, INDEX('Room Info'!$A$2:$A2446, MATCH(B2360,'Room Info'!$H$2:$H2446, 0)),IF(G2360='Room Info'!$G$1, INDEX('Room Info'!$A$2:$A2446, MATCH(B2360,'Room Info'!$G$2:$G2446, 0)))))))))</f>
        <v>0</v>
      </c>
      <c r="B2360" s="65"/>
      <c r="C2360" s="111"/>
      <c r="D2360" s="111"/>
      <c r="E2360" s="80"/>
      <c r="F2360" s="96"/>
      <c r="G2360" s="65"/>
      <c r="H2360" s="110"/>
      <c r="I2360" s="110"/>
      <c r="J2360" s="39" t="s">
        <v>334</v>
      </c>
      <c r="K2360" s="112"/>
      <c r="L2360" s="113"/>
      <c r="M2360" s="62"/>
      <c r="N2360" s="28" t="e">
        <f t="shared" si="8"/>
        <v>#VALUE!</v>
      </c>
      <c r="O2360" s="65"/>
      <c r="P2360" s="29" t="s">
        <v>334</v>
      </c>
      <c r="Q2360" s="55"/>
      <c r="R2360" s="31" t="e">
        <f t="shared" si="9"/>
        <v>#VALUE!</v>
      </c>
      <c r="S2360" s="66"/>
      <c r="T2360" s="32" t="e">
        <f t="shared" si="10"/>
        <v>#VALUE!</v>
      </c>
      <c r="U2360" s="57"/>
      <c r="V2360" s="58"/>
      <c r="W2360" s="58"/>
      <c r="X2360" s="30" t="e">
        <f t="shared" si="11"/>
        <v>#N/A</v>
      </c>
      <c r="Y2360" s="30" t="e">
        <f t="shared" si="12"/>
        <v>#N/A</v>
      </c>
      <c r="Z2360" s="35" t="e">
        <f t="shared" si="13"/>
        <v>#VALUE!</v>
      </c>
      <c r="AA2360" s="29" t="e">
        <f t="shared" si="14"/>
        <v>#VALUE!</v>
      </c>
      <c r="AB2360" s="36" t="e">
        <f t="shared" si="15"/>
        <v>#VALUE!</v>
      </c>
      <c r="AC2360" s="37" t="b">
        <v>0</v>
      </c>
      <c r="AD2360" s="61" t="str">
        <f t="shared" si="16"/>
        <v>USD</v>
      </c>
      <c r="AE2360" s="37"/>
      <c r="AF2360" s="37" t="e">
        <f t="array" ref="AF2360">INDEX('Deal Info'!D:D, MATCH(A2360,'Deal Info'!A:A, 0))</f>
        <v>#N/A</v>
      </c>
      <c r="AG2360" s="38" t="e">
        <f t="array" ref="AG2360">INDEX('Deal Info'!G:G, MATCH(A2360,'Deal Info'!A:A, 0))</f>
        <v>#N/A</v>
      </c>
    </row>
    <row r="2361" spans="1:33" ht="14.25" hidden="1" x14ac:dyDescent="0.2">
      <c r="A2361" s="18" t="b">
        <f t="array" ref="A2361">IF(G2361='Room Info'!$B$1, INDEX('Room Info'!$A$2:$A2446, MATCH(B2361,'Room Info'!$B$2:$B2446, 0)),IF(G2361='Room Info'!$C$1, INDEX('Room Info'!$A$2:$A2446, MATCH(B2361,'Room Info'!$C$2:$C2446, 0)),IF(G2361='Room Info'!$D$1, INDEX('Room Info'!$A$2:$A2446, MATCH(B2361,'Room Info'!$D$2:$D2446, 0)),IF(G2361='Room Info'!$E$1, INDEX('Room Info'!$A$2:$A2446, MATCH(B2361,'Room Info'!$E$2:$E2446, 0)),IF(G2361='Room Info'!$F$1, INDEX('Room Info'!$A$2:$A2446, MATCH(B2361,'Room Info'!$F$2:$F2446, 0)),IF(G2361='Room Info'!$H$1, INDEX('Room Info'!$A$2:$A2446, MATCH(B2361,'Room Info'!$H$2:$H2446, 0)),IF(G2361='Room Info'!$G$1, INDEX('Room Info'!$A$2:$A2446, MATCH(B2361,'Room Info'!$G$2:$G2446, 0)))))))))</f>
        <v>0</v>
      </c>
      <c r="B2361" s="65"/>
      <c r="C2361" s="111"/>
      <c r="D2361" s="111"/>
      <c r="E2361" s="80"/>
      <c r="F2361" s="96"/>
      <c r="G2361" s="65"/>
      <c r="H2361" s="110"/>
      <c r="I2361" s="110"/>
      <c r="J2361" s="39" t="s">
        <v>334</v>
      </c>
      <c r="K2361" s="112"/>
      <c r="L2361" s="113"/>
      <c r="M2361" s="62"/>
      <c r="N2361" s="28" t="e">
        <f t="shared" si="8"/>
        <v>#VALUE!</v>
      </c>
      <c r="O2361" s="65"/>
      <c r="P2361" s="29" t="s">
        <v>334</v>
      </c>
      <c r="Q2361" s="55"/>
      <c r="R2361" s="31" t="e">
        <f t="shared" si="9"/>
        <v>#VALUE!</v>
      </c>
      <c r="S2361" s="66"/>
      <c r="T2361" s="32" t="e">
        <f t="shared" si="10"/>
        <v>#VALUE!</v>
      </c>
      <c r="U2361" s="57"/>
      <c r="V2361" s="58"/>
      <c r="W2361" s="58"/>
      <c r="X2361" s="30" t="e">
        <f t="shared" si="11"/>
        <v>#N/A</v>
      </c>
      <c r="Y2361" s="30" t="e">
        <f t="shared" si="12"/>
        <v>#N/A</v>
      </c>
      <c r="Z2361" s="35" t="e">
        <f t="shared" si="13"/>
        <v>#VALUE!</v>
      </c>
      <c r="AA2361" s="29" t="e">
        <f t="shared" si="14"/>
        <v>#VALUE!</v>
      </c>
      <c r="AB2361" s="36" t="e">
        <f t="shared" si="15"/>
        <v>#VALUE!</v>
      </c>
      <c r="AC2361" s="37" t="b">
        <v>0</v>
      </c>
      <c r="AD2361" s="61" t="str">
        <f t="shared" si="16"/>
        <v>USD</v>
      </c>
      <c r="AE2361" s="37"/>
      <c r="AF2361" s="37" t="e">
        <f t="array" ref="AF2361">INDEX('Deal Info'!D:D, MATCH(A2361,'Deal Info'!A:A, 0))</f>
        <v>#N/A</v>
      </c>
      <c r="AG2361" s="38" t="e">
        <f t="array" ref="AG2361">INDEX('Deal Info'!G:G, MATCH(A2361,'Deal Info'!A:A, 0))</f>
        <v>#N/A</v>
      </c>
    </row>
    <row r="2362" spans="1:33" ht="14.25" hidden="1" x14ac:dyDescent="0.2">
      <c r="A2362" s="18" t="b">
        <f t="array" ref="A2362">IF(G2362='Room Info'!$B$1, INDEX('Room Info'!$A$2:$A2446, MATCH(B2362,'Room Info'!$B$2:$B2446, 0)),IF(G2362='Room Info'!$C$1, INDEX('Room Info'!$A$2:$A2446, MATCH(B2362,'Room Info'!$C$2:$C2446, 0)),IF(G2362='Room Info'!$D$1, INDEX('Room Info'!$A$2:$A2446, MATCH(B2362,'Room Info'!$D$2:$D2446, 0)),IF(G2362='Room Info'!$E$1, INDEX('Room Info'!$A$2:$A2446, MATCH(B2362,'Room Info'!$E$2:$E2446, 0)),IF(G2362='Room Info'!$F$1, INDEX('Room Info'!$A$2:$A2446, MATCH(B2362,'Room Info'!$F$2:$F2446, 0)),IF(G2362='Room Info'!$H$1, INDEX('Room Info'!$A$2:$A2446, MATCH(B2362,'Room Info'!$H$2:$H2446, 0)),IF(G2362='Room Info'!$G$1, INDEX('Room Info'!$A$2:$A2446, MATCH(B2362,'Room Info'!$G$2:$G2446, 0)))))))))</f>
        <v>0</v>
      </c>
      <c r="B2362" s="65"/>
      <c r="C2362" s="111"/>
      <c r="D2362" s="111"/>
      <c r="E2362" s="80"/>
      <c r="F2362" s="96"/>
      <c r="G2362" s="65"/>
      <c r="H2362" s="110"/>
      <c r="I2362" s="110"/>
      <c r="J2362" s="39" t="s">
        <v>334</v>
      </c>
      <c r="K2362" s="112"/>
      <c r="L2362" s="113"/>
      <c r="M2362" s="62"/>
      <c r="N2362" s="28" t="e">
        <f t="shared" si="8"/>
        <v>#VALUE!</v>
      </c>
      <c r="O2362" s="65"/>
      <c r="P2362" s="29" t="s">
        <v>334</v>
      </c>
      <c r="Q2362" s="55"/>
      <c r="R2362" s="31" t="e">
        <f t="shared" si="9"/>
        <v>#VALUE!</v>
      </c>
      <c r="S2362" s="66"/>
      <c r="T2362" s="32" t="e">
        <f t="shared" si="10"/>
        <v>#VALUE!</v>
      </c>
      <c r="U2362" s="57"/>
      <c r="V2362" s="58"/>
      <c r="W2362" s="58"/>
      <c r="X2362" s="30" t="e">
        <f t="shared" si="11"/>
        <v>#N/A</v>
      </c>
      <c r="Y2362" s="30" t="e">
        <f t="shared" si="12"/>
        <v>#N/A</v>
      </c>
      <c r="Z2362" s="35" t="e">
        <f t="shared" si="13"/>
        <v>#VALUE!</v>
      </c>
      <c r="AA2362" s="29" t="e">
        <f t="shared" si="14"/>
        <v>#VALUE!</v>
      </c>
      <c r="AB2362" s="36" t="e">
        <f t="shared" si="15"/>
        <v>#VALUE!</v>
      </c>
      <c r="AC2362" s="37" t="b">
        <v>0</v>
      </c>
      <c r="AD2362" s="61" t="str">
        <f t="shared" si="16"/>
        <v>USD</v>
      </c>
      <c r="AE2362" s="37"/>
      <c r="AF2362" s="37" t="e">
        <f t="array" ref="AF2362">INDEX('Deal Info'!D:D, MATCH(A2362,'Deal Info'!A:A, 0))</f>
        <v>#N/A</v>
      </c>
      <c r="AG2362" s="38" t="e">
        <f t="array" ref="AG2362">INDEX('Deal Info'!G:G, MATCH(A2362,'Deal Info'!A:A, 0))</f>
        <v>#N/A</v>
      </c>
    </row>
    <row r="2363" spans="1:33" ht="14.25" hidden="1" x14ac:dyDescent="0.2">
      <c r="A2363" s="18" t="b">
        <f t="array" ref="A2363">IF(G2363='Room Info'!$B$1, INDEX('Room Info'!$A$2:$A2446, MATCH(B2363,'Room Info'!$B$2:$B2446, 0)),IF(G2363='Room Info'!$C$1, INDEX('Room Info'!$A$2:$A2446, MATCH(B2363,'Room Info'!$C$2:$C2446, 0)),IF(G2363='Room Info'!$D$1, INDEX('Room Info'!$A$2:$A2446, MATCH(B2363,'Room Info'!$D$2:$D2446, 0)),IF(G2363='Room Info'!$E$1, INDEX('Room Info'!$A$2:$A2446, MATCH(B2363,'Room Info'!$E$2:$E2446, 0)),IF(G2363='Room Info'!$F$1, INDEX('Room Info'!$A$2:$A2446, MATCH(B2363,'Room Info'!$F$2:$F2446, 0)),IF(G2363='Room Info'!$H$1, INDEX('Room Info'!$A$2:$A2446, MATCH(B2363,'Room Info'!$H$2:$H2446, 0)),IF(G2363='Room Info'!$G$1, INDEX('Room Info'!$A$2:$A2446, MATCH(B2363,'Room Info'!$G$2:$G2446, 0)))))))))</f>
        <v>0</v>
      </c>
      <c r="B2363" s="65"/>
      <c r="C2363" s="111"/>
      <c r="D2363" s="111"/>
      <c r="E2363" s="80"/>
      <c r="F2363" s="96"/>
      <c r="G2363" s="65"/>
      <c r="H2363" s="110"/>
      <c r="I2363" s="110"/>
      <c r="J2363" s="39" t="s">
        <v>334</v>
      </c>
      <c r="K2363" s="112"/>
      <c r="L2363" s="113"/>
      <c r="M2363" s="62"/>
      <c r="N2363" s="28" t="e">
        <f t="shared" si="8"/>
        <v>#VALUE!</v>
      </c>
      <c r="O2363" s="65"/>
      <c r="P2363" s="29" t="s">
        <v>334</v>
      </c>
      <c r="Q2363" s="55"/>
      <c r="R2363" s="31" t="e">
        <f t="shared" si="9"/>
        <v>#VALUE!</v>
      </c>
      <c r="S2363" s="66"/>
      <c r="T2363" s="32" t="e">
        <f t="shared" si="10"/>
        <v>#VALUE!</v>
      </c>
      <c r="U2363" s="57"/>
      <c r="V2363" s="58"/>
      <c r="W2363" s="58"/>
      <c r="X2363" s="30" t="e">
        <f t="shared" si="11"/>
        <v>#N/A</v>
      </c>
      <c r="Y2363" s="30" t="e">
        <f t="shared" si="12"/>
        <v>#N/A</v>
      </c>
      <c r="Z2363" s="35" t="e">
        <f t="shared" si="13"/>
        <v>#VALUE!</v>
      </c>
      <c r="AA2363" s="29" t="e">
        <f t="shared" si="14"/>
        <v>#VALUE!</v>
      </c>
      <c r="AB2363" s="36" t="e">
        <f t="shared" si="15"/>
        <v>#VALUE!</v>
      </c>
      <c r="AC2363" s="37" t="b">
        <v>0</v>
      </c>
      <c r="AD2363" s="61" t="str">
        <f t="shared" si="16"/>
        <v>USD</v>
      </c>
      <c r="AE2363" s="37"/>
      <c r="AF2363" s="37" t="e">
        <f t="array" ref="AF2363">INDEX('Deal Info'!D:D, MATCH(A2363,'Deal Info'!A:A, 0))</f>
        <v>#N/A</v>
      </c>
      <c r="AG2363" s="38" t="e">
        <f t="array" ref="AG2363">INDEX('Deal Info'!G:G, MATCH(A2363,'Deal Info'!A:A, 0))</f>
        <v>#N/A</v>
      </c>
    </row>
    <row r="2364" spans="1:33" ht="14.25" hidden="1" x14ac:dyDescent="0.2">
      <c r="A2364" s="18" t="b">
        <f t="array" ref="A2364">IF(G2364='Room Info'!$B$1, INDEX('Room Info'!$A$2:$A2446, MATCH(B2364,'Room Info'!$B$2:$B2446, 0)),IF(G2364='Room Info'!$C$1, INDEX('Room Info'!$A$2:$A2446, MATCH(B2364,'Room Info'!$C$2:$C2446, 0)),IF(G2364='Room Info'!$D$1, INDEX('Room Info'!$A$2:$A2446, MATCH(B2364,'Room Info'!$D$2:$D2446, 0)),IF(G2364='Room Info'!$E$1, INDEX('Room Info'!$A$2:$A2446, MATCH(B2364,'Room Info'!$E$2:$E2446, 0)),IF(G2364='Room Info'!$F$1, INDEX('Room Info'!$A$2:$A2446, MATCH(B2364,'Room Info'!$F$2:$F2446, 0)),IF(G2364='Room Info'!$H$1, INDEX('Room Info'!$A$2:$A2446, MATCH(B2364,'Room Info'!$H$2:$H2446, 0)),IF(G2364='Room Info'!$G$1, INDEX('Room Info'!$A$2:$A2446, MATCH(B2364,'Room Info'!$G$2:$G2446, 0)))))))))</f>
        <v>0</v>
      </c>
      <c r="B2364" s="96"/>
      <c r="C2364" s="111"/>
      <c r="D2364" s="111"/>
      <c r="E2364" s="80"/>
      <c r="F2364" s="133"/>
      <c r="G2364" s="96"/>
      <c r="H2364" s="110"/>
      <c r="I2364" s="110"/>
      <c r="J2364" s="39" t="s">
        <v>334</v>
      </c>
      <c r="K2364" s="112"/>
      <c r="L2364" s="113"/>
      <c r="M2364" s="62"/>
      <c r="N2364" s="28" t="e">
        <f t="shared" si="8"/>
        <v>#VALUE!</v>
      </c>
      <c r="O2364" s="65"/>
      <c r="P2364" s="29" t="s">
        <v>334</v>
      </c>
      <c r="Q2364" s="55"/>
      <c r="R2364" s="31" t="e">
        <f t="shared" si="9"/>
        <v>#VALUE!</v>
      </c>
      <c r="S2364" s="66"/>
      <c r="T2364" s="32" t="e">
        <f t="shared" si="10"/>
        <v>#VALUE!</v>
      </c>
      <c r="U2364" s="57"/>
      <c r="V2364" s="58"/>
      <c r="W2364" s="58"/>
      <c r="X2364" s="30" t="e">
        <f t="shared" si="11"/>
        <v>#N/A</v>
      </c>
      <c r="Y2364" s="30" t="e">
        <f t="shared" si="12"/>
        <v>#N/A</v>
      </c>
      <c r="Z2364" s="35" t="e">
        <f t="shared" si="13"/>
        <v>#VALUE!</v>
      </c>
      <c r="AA2364" s="29" t="e">
        <f t="shared" si="14"/>
        <v>#VALUE!</v>
      </c>
      <c r="AB2364" s="36" t="e">
        <f t="shared" si="15"/>
        <v>#VALUE!</v>
      </c>
      <c r="AC2364" s="37" t="b">
        <v>0</v>
      </c>
      <c r="AD2364" s="61" t="str">
        <f t="shared" si="16"/>
        <v>USD</v>
      </c>
      <c r="AE2364" s="37"/>
      <c r="AF2364" s="37" t="e">
        <f t="array" ref="AF2364">INDEX('Deal Info'!D:D, MATCH(A2364,'Deal Info'!A:A, 0))</f>
        <v>#N/A</v>
      </c>
      <c r="AG2364" s="38" t="e">
        <f t="array" ref="AG2364">INDEX('Deal Info'!G:G, MATCH(A2364,'Deal Info'!A:A, 0))</f>
        <v>#N/A</v>
      </c>
    </row>
    <row r="2365" spans="1:33" ht="14.25" hidden="1" x14ac:dyDescent="0.2">
      <c r="A2365" s="18" t="b">
        <f t="array" ref="A2365">IF(G2365='Room Info'!$B$1, INDEX('Room Info'!$A$2:$A2446, MATCH(B2365,'Room Info'!$B$2:$B2446, 0)),IF(G2365='Room Info'!$C$1, INDEX('Room Info'!$A$2:$A2446, MATCH(B2365,'Room Info'!$C$2:$C2446, 0)),IF(G2365='Room Info'!$D$1, INDEX('Room Info'!$A$2:$A2446, MATCH(B2365,'Room Info'!$D$2:$D2446, 0)),IF(G2365='Room Info'!$E$1, INDEX('Room Info'!$A$2:$A2446, MATCH(B2365,'Room Info'!$E$2:$E2446, 0)),IF(G2365='Room Info'!$F$1, INDEX('Room Info'!$A$2:$A2446, MATCH(B2365,'Room Info'!$F$2:$F2446, 0)),IF(G2365='Room Info'!$H$1, INDEX('Room Info'!$A$2:$A2446, MATCH(B2365,'Room Info'!$H$2:$H2446, 0)),IF(G2365='Room Info'!$G$1, INDEX('Room Info'!$A$2:$A2446, MATCH(B2365,'Room Info'!$G$2:$G2446, 0)))))))))</f>
        <v>0</v>
      </c>
      <c r="B2365" s="96"/>
      <c r="C2365" s="111"/>
      <c r="D2365" s="111"/>
      <c r="E2365" s="80"/>
      <c r="F2365" s="133"/>
      <c r="G2365" s="96"/>
      <c r="H2365" s="110"/>
      <c r="I2365" s="110"/>
      <c r="J2365" s="39" t="s">
        <v>334</v>
      </c>
      <c r="K2365" s="112"/>
      <c r="L2365" s="113"/>
      <c r="M2365" s="62"/>
      <c r="N2365" s="28" t="e">
        <f t="shared" si="8"/>
        <v>#VALUE!</v>
      </c>
      <c r="O2365" s="65"/>
      <c r="P2365" s="29" t="s">
        <v>334</v>
      </c>
      <c r="Q2365" s="55"/>
      <c r="R2365" s="31" t="e">
        <f t="shared" si="9"/>
        <v>#VALUE!</v>
      </c>
      <c r="S2365" s="66"/>
      <c r="T2365" s="32" t="e">
        <f t="shared" si="10"/>
        <v>#VALUE!</v>
      </c>
      <c r="U2365" s="57"/>
      <c r="V2365" s="58"/>
      <c r="W2365" s="58"/>
      <c r="X2365" s="30" t="e">
        <f t="shared" si="11"/>
        <v>#N/A</v>
      </c>
      <c r="Y2365" s="30" t="e">
        <f t="shared" si="12"/>
        <v>#N/A</v>
      </c>
      <c r="Z2365" s="35" t="e">
        <f t="shared" si="13"/>
        <v>#VALUE!</v>
      </c>
      <c r="AA2365" s="29" t="e">
        <f t="shared" si="14"/>
        <v>#VALUE!</v>
      </c>
      <c r="AB2365" s="36" t="e">
        <f t="shared" si="15"/>
        <v>#VALUE!</v>
      </c>
      <c r="AC2365" s="37" t="b">
        <v>0</v>
      </c>
      <c r="AD2365" s="61" t="str">
        <f t="shared" si="16"/>
        <v>USD</v>
      </c>
      <c r="AE2365" s="37"/>
      <c r="AF2365" s="37" t="e">
        <f t="array" ref="AF2365">INDEX('Deal Info'!D:D, MATCH(A2365,'Deal Info'!A:A, 0))</f>
        <v>#N/A</v>
      </c>
      <c r="AG2365" s="38" t="e">
        <f t="array" ref="AG2365">INDEX('Deal Info'!G:G, MATCH(A2365,'Deal Info'!A:A, 0))</f>
        <v>#N/A</v>
      </c>
    </row>
    <row r="2366" spans="1:33" ht="14.25" hidden="1" x14ac:dyDescent="0.2">
      <c r="A2366" s="18" t="b">
        <f t="array" ref="A2366">IF(G2366='Room Info'!$B$1, INDEX('Room Info'!$A$2:$A2446, MATCH(B2366,'Room Info'!$B$2:$B2446, 0)),IF(G2366='Room Info'!$C$1, INDEX('Room Info'!$A$2:$A2446, MATCH(B2366,'Room Info'!$C$2:$C2446, 0)),IF(G2366='Room Info'!$D$1, INDEX('Room Info'!$A$2:$A2446, MATCH(B2366,'Room Info'!$D$2:$D2446, 0)),IF(G2366='Room Info'!$E$1, INDEX('Room Info'!$A$2:$A2446, MATCH(B2366,'Room Info'!$E$2:$E2446, 0)),IF(G2366='Room Info'!$F$1, INDEX('Room Info'!$A$2:$A2446, MATCH(B2366,'Room Info'!$F$2:$F2446, 0)),IF(G2366='Room Info'!$H$1, INDEX('Room Info'!$A$2:$A2446, MATCH(B2366,'Room Info'!$H$2:$H2446, 0)),IF(G2366='Room Info'!$G$1, INDEX('Room Info'!$A$2:$A2446, MATCH(B2366,'Room Info'!$G$2:$G2446, 0)))))))))</f>
        <v>0</v>
      </c>
      <c r="B2366" s="96"/>
      <c r="C2366" s="111"/>
      <c r="D2366" s="111"/>
      <c r="E2366" s="80"/>
      <c r="F2366" s="133"/>
      <c r="G2366" s="96"/>
      <c r="H2366" s="110"/>
      <c r="I2366" s="110"/>
      <c r="J2366" s="39" t="s">
        <v>334</v>
      </c>
      <c r="K2366" s="112"/>
      <c r="L2366" s="113"/>
      <c r="M2366" s="62"/>
      <c r="N2366" s="28" t="e">
        <f t="shared" si="8"/>
        <v>#VALUE!</v>
      </c>
      <c r="O2366" s="65"/>
      <c r="P2366" s="29" t="s">
        <v>334</v>
      </c>
      <c r="Q2366" s="55"/>
      <c r="R2366" s="31" t="e">
        <f t="shared" si="9"/>
        <v>#VALUE!</v>
      </c>
      <c r="S2366" s="66"/>
      <c r="T2366" s="32" t="e">
        <f t="shared" si="10"/>
        <v>#VALUE!</v>
      </c>
      <c r="U2366" s="57"/>
      <c r="V2366" s="58"/>
      <c r="W2366" s="58"/>
      <c r="X2366" s="30" t="e">
        <f t="shared" si="11"/>
        <v>#N/A</v>
      </c>
      <c r="Y2366" s="30" t="e">
        <f t="shared" si="12"/>
        <v>#N/A</v>
      </c>
      <c r="Z2366" s="35" t="e">
        <f t="shared" si="13"/>
        <v>#VALUE!</v>
      </c>
      <c r="AA2366" s="29" t="e">
        <f t="shared" si="14"/>
        <v>#VALUE!</v>
      </c>
      <c r="AB2366" s="36" t="e">
        <f t="shared" si="15"/>
        <v>#VALUE!</v>
      </c>
      <c r="AC2366" s="37" t="b">
        <v>0</v>
      </c>
      <c r="AD2366" s="61" t="str">
        <f t="shared" si="16"/>
        <v>USD</v>
      </c>
      <c r="AE2366" s="37"/>
      <c r="AF2366" s="37" t="e">
        <f t="array" ref="AF2366">INDEX('Deal Info'!D:D, MATCH(A2366,'Deal Info'!A:A, 0))</f>
        <v>#N/A</v>
      </c>
      <c r="AG2366" s="38" t="e">
        <f t="array" ref="AG2366">INDEX('Deal Info'!G:G, MATCH(A2366,'Deal Info'!A:A, 0))</f>
        <v>#N/A</v>
      </c>
    </row>
    <row r="2367" spans="1:33" ht="14.25" hidden="1" x14ac:dyDescent="0.2">
      <c r="A2367" s="18" t="b">
        <f t="array" ref="A2367">IF(G2367='Room Info'!$B$1, INDEX('Room Info'!$A$2:$A2446, MATCH(B2367,'Room Info'!$B$2:$B2446, 0)),IF(G2367='Room Info'!$C$1, INDEX('Room Info'!$A$2:$A2446, MATCH(B2367,'Room Info'!$C$2:$C2446, 0)),IF(G2367='Room Info'!$D$1, INDEX('Room Info'!$A$2:$A2446, MATCH(B2367,'Room Info'!$D$2:$D2446, 0)),IF(G2367='Room Info'!$E$1, INDEX('Room Info'!$A$2:$A2446, MATCH(B2367,'Room Info'!$E$2:$E2446, 0)),IF(G2367='Room Info'!$F$1, INDEX('Room Info'!$A$2:$A2446, MATCH(B2367,'Room Info'!$F$2:$F2446, 0)),IF(G2367='Room Info'!$H$1, INDEX('Room Info'!$A$2:$A2446, MATCH(B2367,'Room Info'!$H$2:$H2446, 0)),IF(G2367='Room Info'!$G$1, INDEX('Room Info'!$A$2:$A2446, MATCH(B2367,'Room Info'!$G$2:$G2446, 0)))))))))</f>
        <v>0</v>
      </c>
      <c r="B2367" s="96"/>
      <c r="C2367" s="111"/>
      <c r="D2367" s="111"/>
      <c r="E2367" s="80"/>
      <c r="F2367" s="133"/>
      <c r="G2367" s="96"/>
      <c r="H2367" s="110"/>
      <c r="I2367" s="110"/>
      <c r="J2367" s="39" t="s">
        <v>334</v>
      </c>
      <c r="K2367" s="112"/>
      <c r="L2367" s="113"/>
      <c r="M2367" s="62"/>
      <c r="N2367" s="28" t="e">
        <f t="shared" si="8"/>
        <v>#VALUE!</v>
      </c>
      <c r="O2367" s="65"/>
      <c r="P2367" s="29" t="s">
        <v>334</v>
      </c>
      <c r="Q2367" s="55"/>
      <c r="R2367" s="31" t="e">
        <f t="shared" si="9"/>
        <v>#VALUE!</v>
      </c>
      <c r="S2367" s="66"/>
      <c r="T2367" s="32" t="e">
        <f t="shared" si="10"/>
        <v>#VALUE!</v>
      </c>
      <c r="U2367" s="57"/>
      <c r="V2367" s="58"/>
      <c r="W2367" s="58"/>
      <c r="X2367" s="30" t="e">
        <f t="shared" si="11"/>
        <v>#N/A</v>
      </c>
      <c r="Y2367" s="30" t="e">
        <f t="shared" si="12"/>
        <v>#N/A</v>
      </c>
      <c r="Z2367" s="35" t="e">
        <f t="shared" si="13"/>
        <v>#VALUE!</v>
      </c>
      <c r="AA2367" s="29" t="e">
        <f t="shared" si="14"/>
        <v>#VALUE!</v>
      </c>
      <c r="AB2367" s="36" t="e">
        <f t="shared" si="15"/>
        <v>#VALUE!</v>
      </c>
      <c r="AC2367" s="37" t="b">
        <v>0</v>
      </c>
      <c r="AD2367" s="61" t="str">
        <f t="shared" si="16"/>
        <v>USD</v>
      </c>
      <c r="AE2367" s="37"/>
      <c r="AF2367" s="37" t="e">
        <f t="array" ref="AF2367">INDEX('Deal Info'!D:D, MATCH(A2367,'Deal Info'!A:A, 0))</f>
        <v>#N/A</v>
      </c>
      <c r="AG2367" s="38" t="e">
        <f t="array" ref="AG2367">INDEX('Deal Info'!G:G, MATCH(A2367,'Deal Info'!A:A, 0))</f>
        <v>#N/A</v>
      </c>
    </row>
    <row r="2368" spans="1:33" ht="14.25" hidden="1" x14ac:dyDescent="0.2">
      <c r="A2368" s="18" t="b">
        <f t="array" ref="A2368">IF(G2368='Room Info'!$B$1, INDEX('Room Info'!$A$2:$A2446, MATCH(B2368,'Room Info'!$B$2:$B2446, 0)),IF(G2368='Room Info'!$C$1, INDEX('Room Info'!$A$2:$A2446, MATCH(B2368,'Room Info'!$C$2:$C2446, 0)),IF(G2368='Room Info'!$D$1, INDEX('Room Info'!$A$2:$A2446, MATCH(B2368,'Room Info'!$D$2:$D2446, 0)),IF(G2368='Room Info'!$E$1, INDEX('Room Info'!$A$2:$A2446, MATCH(B2368,'Room Info'!$E$2:$E2446, 0)),IF(G2368='Room Info'!$F$1, INDEX('Room Info'!$A$2:$A2446, MATCH(B2368,'Room Info'!$F$2:$F2446, 0)),IF(G2368='Room Info'!$H$1, INDEX('Room Info'!$A$2:$A2446, MATCH(B2368,'Room Info'!$H$2:$H2446, 0)),IF(G2368='Room Info'!$G$1, INDEX('Room Info'!$A$2:$A2446, MATCH(B2368,'Room Info'!$G$2:$G2446, 0)))))))))</f>
        <v>0</v>
      </c>
      <c r="B2368" s="96"/>
      <c r="C2368" s="136"/>
      <c r="D2368" s="136"/>
      <c r="E2368" s="137"/>
      <c r="F2368" s="133"/>
      <c r="G2368" s="96"/>
      <c r="H2368" s="100"/>
      <c r="I2368" s="100"/>
      <c r="J2368" s="39" t="s">
        <v>334</v>
      </c>
      <c r="K2368" s="134"/>
      <c r="L2368" s="135"/>
      <c r="M2368" s="79"/>
      <c r="N2368" s="28" t="e">
        <f t="shared" si="8"/>
        <v>#VALUE!</v>
      </c>
      <c r="O2368" s="96"/>
      <c r="P2368" s="29" t="s">
        <v>334</v>
      </c>
      <c r="Q2368" s="55"/>
      <c r="R2368" s="31" t="e">
        <f t="shared" si="9"/>
        <v>#VALUE!</v>
      </c>
      <c r="S2368" s="97"/>
      <c r="T2368" s="32" t="e">
        <f t="shared" si="10"/>
        <v>#VALUE!</v>
      </c>
      <c r="U2368" s="57"/>
      <c r="V2368" s="58"/>
      <c r="W2368" s="58"/>
      <c r="X2368" s="30" t="e">
        <f t="shared" si="11"/>
        <v>#N/A</v>
      </c>
      <c r="Y2368" s="30" t="e">
        <f t="shared" si="12"/>
        <v>#N/A</v>
      </c>
      <c r="Z2368" s="35" t="e">
        <f t="shared" si="13"/>
        <v>#VALUE!</v>
      </c>
      <c r="AA2368" s="29" t="e">
        <f t="shared" si="14"/>
        <v>#VALUE!</v>
      </c>
      <c r="AB2368" s="36" t="e">
        <f t="shared" si="15"/>
        <v>#VALUE!</v>
      </c>
      <c r="AC2368" s="37" t="b">
        <v>0</v>
      </c>
      <c r="AD2368" s="61" t="str">
        <f t="shared" si="16"/>
        <v>USD</v>
      </c>
      <c r="AE2368" s="37"/>
      <c r="AF2368" s="37" t="e">
        <f t="array" ref="AF2368">INDEX('Deal Info'!D:D, MATCH(A2368,'Deal Info'!A:A, 0))</f>
        <v>#N/A</v>
      </c>
      <c r="AG2368" s="38" t="e">
        <f t="array" ref="AG2368">INDEX('Deal Info'!G:G, MATCH(A2368,'Deal Info'!A:A, 0))</f>
        <v>#N/A</v>
      </c>
    </row>
    <row r="2369" spans="1:33" ht="14.25" hidden="1" x14ac:dyDescent="0.2">
      <c r="A2369" s="18" t="b">
        <f t="array" ref="A2369">IF(G2369='Room Info'!$B$1, INDEX('Room Info'!$A$2:$A2446, MATCH(B2369,'Room Info'!$B$2:$B2446, 0)),IF(G2369='Room Info'!$C$1, INDEX('Room Info'!$A$2:$A2446, MATCH(B2369,'Room Info'!$C$2:$C2446, 0)),IF(G2369='Room Info'!$D$1, INDEX('Room Info'!$A$2:$A2446, MATCH(B2369,'Room Info'!$D$2:$D2446, 0)),IF(G2369='Room Info'!$E$1, INDEX('Room Info'!$A$2:$A2446, MATCH(B2369,'Room Info'!$E$2:$E2446, 0)),IF(G2369='Room Info'!$F$1, INDEX('Room Info'!$A$2:$A2446, MATCH(B2369,'Room Info'!$F$2:$F2446, 0)),IF(G2369='Room Info'!$H$1, INDEX('Room Info'!$A$2:$A2446, MATCH(B2369,'Room Info'!$H$2:$H2446, 0)),IF(G2369='Room Info'!$G$1, INDEX('Room Info'!$A$2:$A2446, MATCH(B2369,'Room Info'!$G$2:$G2446, 0)))))))))</f>
        <v>0</v>
      </c>
      <c r="B2369" s="96"/>
      <c r="C2369" s="111"/>
      <c r="D2369" s="111"/>
      <c r="E2369" s="80"/>
      <c r="F2369" s="133"/>
      <c r="G2369" s="96"/>
      <c r="H2369" s="110"/>
      <c r="I2369" s="110"/>
      <c r="J2369" s="39" t="s">
        <v>334</v>
      </c>
      <c r="K2369" s="112"/>
      <c r="L2369" s="113"/>
      <c r="M2369" s="62"/>
      <c r="N2369" s="28" t="e">
        <f t="shared" si="8"/>
        <v>#VALUE!</v>
      </c>
      <c r="O2369" s="65"/>
      <c r="P2369" s="29" t="s">
        <v>334</v>
      </c>
      <c r="Q2369" s="55"/>
      <c r="R2369" s="31" t="e">
        <f t="shared" si="9"/>
        <v>#VALUE!</v>
      </c>
      <c r="S2369" s="66"/>
      <c r="T2369" s="32" t="e">
        <f t="shared" si="10"/>
        <v>#VALUE!</v>
      </c>
      <c r="U2369" s="57"/>
      <c r="V2369" s="58"/>
      <c r="W2369" s="58"/>
      <c r="X2369" s="30" t="e">
        <f t="shared" si="11"/>
        <v>#N/A</v>
      </c>
      <c r="Y2369" s="30" t="e">
        <f t="shared" si="12"/>
        <v>#N/A</v>
      </c>
      <c r="Z2369" s="35" t="e">
        <f t="shared" si="13"/>
        <v>#VALUE!</v>
      </c>
      <c r="AA2369" s="29" t="e">
        <f t="shared" si="14"/>
        <v>#VALUE!</v>
      </c>
      <c r="AB2369" s="36" t="e">
        <f t="shared" si="15"/>
        <v>#VALUE!</v>
      </c>
      <c r="AC2369" s="37" t="b">
        <v>0</v>
      </c>
      <c r="AD2369" s="61" t="str">
        <f t="shared" si="16"/>
        <v>USD</v>
      </c>
      <c r="AE2369" s="37"/>
      <c r="AF2369" s="37" t="e">
        <f t="array" ref="AF2369">INDEX('Deal Info'!D:D, MATCH(A2369,'Deal Info'!A:A, 0))</f>
        <v>#N/A</v>
      </c>
      <c r="AG2369" s="38" t="e">
        <f t="array" ref="AG2369">INDEX('Deal Info'!G:G, MATCH(A2369,'Deal Info'!A:A, 0))</f>
        <v>#N/A</v>
      </c>
    </row>
    <row r="2370" spans="1:33" ht="14.25" hidden="1" x14ac:dyDescent="0.2">
      <c r="A2370" s="18" t="b">
        <f t="array" ref="A2370">IF(G2370='Room Info'!$B$1, INDEX('Room Info'!$A$2:$A2446, MATCH(B2370,'Room Info'!$B$2:$B2446, 0)),IF(G2370='Room Info'!$C$1, INDEX('Room Info'!$A$2:$A2446, MATCH(B2370,'Room Info'!$C$2:$C2446, 0)),IF(G2370='Room Info'!$D$1, INDEX('Room Info'!$A$2:$A2446, MATCH(B2370,'Room Info'!$D$2:$D2446, 0)),IF(G2370='Room Info'!$E$1, INDEX('Room Info'!$A$2:$A2446, MATCH(B2370,'Room Info'!$E$2:$E2446, 0)),IF(G2370='Room Info'!$F$1, INDEX('Room Info'!$A$2:$A2446, MATCH(B2370,'Room Info'!$F$2:$F2446, 0)),IF(G2370='Room Info'!$H$1, INDEX('Room Info'!$A$2:$A2446, MATCH(B2370,'Room Info'!$H$2:$H2446, 0)),IF(G2370='Room Info'!$G$1, INDEX('Room Info'!$A$2:$A2446, MATCH(B2370,'Room Info'!$G$2:$G2446, 0)))))))))</f>
        <v>0</v>
      </c>
      <c r="B2370" s="96"/>
      <c r="C2370" s="111"/>
      <c r="D2370" s="111"/>
      <c r="E2370" s="80"/>
      <c r="F2370" s="133"/>
      <c r="G2370" s="96"/>
      <c r="H2370" s="110"/>
      <c r="I2370" s="110"/>
      <c r="J2370" s="39" t="s">
        <v>334</v>
      </c>
      <c r="K2370" s="112"/>
      <c r="L2370" s="113"/>
      <c r="M2370" s="62"/>
      <c r="N2370" s="28" t="e">
        <f t="shared" si="8"/>
        <v>#VALUE!</v>
      </c>
      <c r="O2370" s="65"/>
      <c r="P2370" s="29" t="s">
        <v>334</v>
      </c>
      <c r="Q2370" s="55"/>
      <c r="R2370" s="31" t="e">
        <f t="shared" si="9"/>
        <v>#VALUE!</v>
      </c>
      <c r="S2370" s="66"/>
      <c r="T2370" s="32" t="e">
        <f t="shared" si="10"/>
        <v>#VALUE!</v>
      </c>
      <c r="U2370" s="57"/>
      <c r="V2370" s="58"/>
      <c r="W2370" s="58"/>
      <c r="X2370" s="30" t="e">
        <f t="shared" si="11"/>
        <v>#N/A</v>
      </c>
      <c r="Y2370" s="30" t="e">
        <f t="shared" si="12"/>
        <v>#N/A</v>
      </c>
      <c r="Z2370" s="35" t="e">
        <f t="shared" si="13"/>
        <v>#VALUE!</v>
      </c>
      <c r="AA2370" s="29" t="e">
        <f t="shared" si="14"/>
        <v>#VALUE!</v>
      </c>
      <c r="AB2370" s="36" t="e">
        <f t="shared" si="15"/>
        <v>#VALUE!</v>
      </c>
      <c r="AC2370" s="37" t="b">
        <v>0</v>
      </c>
      <c r="AD2370" s="61" t="str">
        <f t="shared" si="16"/>
        <v>USD</v>
      </c>
      <c r="AE2370" s="37"/>
      <c r="AF2370" s="37" t="e">
        <f t="array" ref="AF2370">INDEX('Deal Info'!D:D, MATCH(A2370,'Deal Info'!A:A, 0))</f>
        <v>#N/A</v>
      </c>
      <c r="AG2370" s="38" t="e">
        <f t="array" ref="AG2370">INDEX('Deal Info'!G:G, MATCH(A2370,'Deal Info'!A:A, 0))</f>
        <v>#N/A</v>
      </c>
    </row>
    <row r="2371" spans="1:33" ht="14.25" hidden="1" x14ac:dyDescent="0.2">
      <c r="A2371" s="18" t="b">
        <f t="array" ref="A2371">IF(G2371='Room Info'!$B$1, INDEX('Room Info'!$A$2:$A2446, MATCH(B2371,'Room Info'!$B$2:$B2446, 0)),IF(G2371='Room Info'!$C$1, INDEX('Room Info'!$A$2:$A2446, MATCH(B2371,'Room Info'!$C$2:$C2446, 0)),IF(G2371='Room Info'!$D$1, INDEX('Room Info'!$A$2:$A2446, MATCH(B2371,'Room Info'!$D$2:$D2446, 0)),IF(G2371='Room Info'!$E$1, INDEX('Room Info'!$A$2:$A2446, MATCH(B2371,'Room Info'!$E$2:$E2446, 0)),IF(G2371='Room Info'!$F$1, INDEX('Room Info'!$A$2:$A2446, MATCH(B2371,'Room Info'!$F$2:$F2446, 0)),IF(G2371='Room Info'!$H$1, INDEX('Room Info'!$A$2:$A2446, MATCH(B2371,'Room Info'!$H$2:$H2446, 0)),IF(G2371='Room Info'!$G$1, INDEX('Room Info'!$A$2:$A2446, MATCH(B2371,'Room Info'!$G$2:$G2446, 0)))))))))</f>
        <v>0</v>
      </c>
      <c r="B2371" s="96"/>
      <c r="C2371" s="111"/>
      <c r="D2371" s="111"/>
      <c r="E2371" s="80"/>
      <c r="F2371" s="133"/>
      <c r="G2371" s="96"/>
      <c r="H2371" s="110"/>
      <c r="I2371" s="110"/>
      <c r="J2371" s="39" t="s">
        <v>334</v>
      </c>
      <c r="K2371" s="112"/>
      <c r="L2371" s="113"/>
      <c r="M2371" s="62"/>
      <c r="N2371" s="28" t="e">
        <f t="shared" si="8"/>
        <v>#VALUE!</v>
      </c>
      <c r="O2371" s="65"/>
      <c r="P2371" s="29" t="s">
        <v>334</v>
      </c>
      <c r="Q2371" s="55"/>
      <c r="R2371" s="31" t="e">
        <f t="shared" si="9"/>
        <v>#VALUE!</v>
      </c>
      <c r="S2371" s="66"/>
      <c r="T2371" s="32" t="e">
        <f t="shared" si="10"/>
        <v>#VALUE!</v>
      </c>
      <c r="U2371" s="57"/>
      <c r="V2371" s="58"/>
      <c r="W2371" s="58"/>
      <c r="X2371" s="30" t="e">
        <f t="shared" si="11"/>
        <v>#N/A</v>
      </c>
      <c r="Y2371" s="30" t="e">
        <f t="shared" si="12"/>
        <v>#N/A</v>
      </c>
      <c r="Z2371" s="35" t="e">
        <f t="shared" si="13"/>
        <v>#VALUE!</v>
      </c>
      <c r="AA2371" s="29" t="e">
        <f t="shared" si="14"/>
        <v>#VALUE!</v>
      </c>
      <c r="AB2371" s="36" t="e">
        <f t="shared" si="15"/>
        <v>#VALUE!</v>
      </c>
      <c r="AC2371" s="37" t="b">
        <v>0</v>
      </c>
      <c r="AD2371" s="61" t="str">
        <f t="shared" si="16"/>
        <v>USD</v>
      </c>
      <c r="AE2371" s="37"/>
      <c r="AF2371" s="37" t="e">
        <f t="array" ref="AF2371">INDEX('Deal Info'!D:D, MATCH(A2371,'Deal Info'!A:A, 0))</f>
        <v>#N/A</v>
      </c>
      <c r="AG2371" s="38" t="e">
        <f t="array" ref="AG2371">INDEX('Deal Info'!G:G, MATCH(A2371,'Deal Info'!A:A, 0))</f>
        <v>#N/A</v>
      </c>
    </row>
    <row r="2372" spans="1:33" ht="14.25" hidden="1" x14ac:dyDescent="0.2">
      <c r="A2372" s="18" t="b">
        <f t="array" ref="A2372">IF(G2372='Room Info'!$B$1, INDEX('Room Info'!$A$2:$A2446, MATCH(B2372,'Room Info'!$B$2:$B2446, 0)),IF(G2372='Room Info'!$C$1, INDEX('Room Info'!$A$2:$A2446, MATCH(B2372,'Room Info'!$C$2:$C2446, 0)),IF(G2372='Room Info'!$D$1, INDEX('Room Info'!$A$2:$A2446, MATCH(B2372,'Room Info'!$D$2:$D2446, 0)),IF(G2372='Room Info'!$E$1, INDEX('Room Info'!$A$2:$A2446, MATCH(B2372,'Room Info'!$E$2:$E2446, 0)),IF(G2372='Room Info'!$F$1, INDEX('Room Info'!$A$2:$A2446, MATCH(B2372,'Room Info'!$F$2:$F2446, 0)),IF(G2372='Room Info'!$H$1, INDEX('Room Info'!$A$2:$A2446, MATCH(B2372,'Room Info'!$H$2:$H2446, 0)),IF(G2372='Room Info'!$G$1, INDEX('Room Info'!$A$2:$A2446, MATCH(B2372,'Room Info'!$G$2:$G2446, 0)))))))))</f>
        <v>0</v>
      </c>
      <c r="B2372" s="96"/>
      <c r="C2372" s="111"/>
      <c r="D2372" s="111"/>
      <c r="E2372" s="80"/>
      <c r="F2372" s="133"/>
      <c r="G2372" s="96"/>
      <c r="H2372" s="110"/>
      <c r="I2372" s="110"/>
      <c r="J2372" s="39" t="s">
        <v>334</v>
      </c>
      <c r="K2372" s="112"/>
      <c r="L2372" s="113"/>
      <c r="M2372" s="62"/>
      <c r="N2372" s="28" t="e">
        <f t="shared" si="8"/>
        <v>#VALUE!</v>
      </c>
      <c r="O2372" s="65"/>
      <c r="P2372" s="29" t="s">
        <v>334</v>
      </c>
      <c r="Q2372" s="55"/>
      <c r="R2372" s="31" t="e">
        <f t="shared" si="9"/>
        <v>#VALUE!</v>
      </c>
      <c r="S2372" s="66"/>
      <c r="T2372" s="32" t="e">
        <f t="shared" si="10"/>
        <v>#VALUE!</v>
      </c>
      <c r="U2372" s="57"/>
      <c r="V2372" s="58"/>
      <c r="W2372" s="58"/>
      <c r="X2372" s="30" t="e">
        <f t="shared" si="11"/>
        <v>#N/A</v>
      </c>
      <c r="Y2372" s="30" t="e">
        <f t="shared" si="12"/>
        <v>#N/A</v>
      </c>
      <c r="Z2372" s="35" t="e">
        <f t="shared" si="13"/>
        <v>#VALUE!</v>
      </c>
      <c r="AA2372" s="29" t="e">
        <f t="shared" si="14"/>
        <v>#VALUE!</v>
      </c>
      <c r="AB2372" s="36" t="e">
        <f t="shared" si="15"/>
        <v>#VALUE!</v>
      </c>
      <c r="AC2372" s="37" t="b">
        <v>0</v>
      </c>
      <c r="AD2372" s="61" t="str">
        <f t="shared" si="16"/>
        <v>USD</v>
      </c>
      <c r="AE2372" s="37"/>
      <c r="AF2372" s="37" t="e">
        <f t="array" ref="AF2372">INDEX('Deal Info'!D:D, MATCH(A2372,'Deal Info'!A:A, 0))</f>
        <v>#N/A</v>
      </c>
      <c r="AG2372" s="38" t="e">
        <f t="array" ref="AG2372">INDEX('Deal Info'!G:G, MATCH(A2372,'Deal Info'!A:A, 0))</f>
        <v>#N/A</v>
      </c>
    </row>
    <row r="2373" spans="1:33" ht="14.25" hidden="1" x14ac:dyDescent="0.2">
      <c r="A2373" s="18" t="b">
        <f t="array" ref="A2373">IF(G2373='Room Info'!$B$1, INDEX('Room Info'!$A$2:$A2446, MATCH(B2373,'Room Info'!$B$2:$B2446, 0)),IF(G2373='Room Info'!$C$1, INDEX('Room Info'!$A$2:$A2446, MATCH(B2373,'Room Info'!$C$2:$C2446, 0)),IF(G2373='Room Info'!$D$1, INDEX('Room Info'!$A$2:$A2446, MATCH(B2373,'Room Info'!$D$2:$D2446, 0)),IF(G2373='Room Info'!$E$1, INDEX('Room Info'!$A$2:$A2446, MATCH(B2373,'Room Info'!$E$2:$E2446, 0)),IF(G2373='Room Info'!$F$1, INDEX('Room Info'!$A$2:$A2446, MATCH(B2373,'Room Info'!$F$2:$F2446, 0)),IF(G2373='Room Info'!$H$1, INDEX('Room Info'!$A$2:$A2446, MATCH(B2373,'Room Info'!$H$2:$H2446, 0)),IF(G2373='Room Info'!$G$1, INDEX('Room Info'!$A$2:$A2446, MATCH(B2373,'Room Info'!$G$2:$G2446, 0)))))))))</f>
        <v>0</v>
      </c>
      <c r="B2373" s="96"/>
      <c r="C2373" s="111"/>
      <c r="D2373" s="111"/>
      <c r="E2373" s="80"/>
      <c r="F2373" s="133"/>
      <c r="G2373" s="96"/>
      <c r="H2373" s="110"/>
      <c r="I2373" s="110"/>
      <c r="J2373" s="39" t="s">
        <v>334</v>
      </c>
      <c r="K2373" s="112"/>
      <c r="L2373" s="113"/>
      <c r="M2373" s="62"/>
      <c r="N2373" s="28" t="e">
        <f t="shared" si="8"/>
        <v>#VALUE!</v>
      </c>
      <c r="O2373" s="65"/>
      <c r="P2373" s="29" t="s">
        <v>334</v>
      </c>
      <c r="Q2373" s="55"/>
      <c r="R2373" s="31" t="e">
        <f t="shared" si="9"/>
        <v>#VALUE!</v>
      </c>
      <c r="S2373" s="66"/>
      <c r="T2373" s="32" t="e">
        <f t="shared" si="10"/>
        <v>#VALUE!</v>
      </c>
      <c r="U2373" s="57"/>
      <c r="V2373" s="58"/>
      <c r="W2373" s="58"/>
      <c r="X2373" s="30" t="e">
        <f t="shared" si="11"/>
        <v>#N/A</v>
      </c>
      <c r="Y2373" s="30" t="e">
        <f t="shared" si="12"/>
        <v>#N/A</v>
      </c>
      <c r="Z2373" s="35" t="e">
        <f t="shared" si="13"/>
        <v>#VALUE!</v>
      </c>
      <c r="AA2373" s="29" t="e">
        <f t="shared" si="14"/>
        <v>#VALUE!</v>
      </c>
      <c r="AB2373" s="36" t="e">
        <f t="shared" si="15"/>
        <v>#VALUE!</v>
      </c>
      <c r="AC2373" s="37" t="b">
        <v>0</v>
      </c>
      <c r="AD2373" s="61" t="str">
        <f t="shared" si="16"/>
        <v>USD</v>
      </c>
      <c r="AE2373" s="37"/>
      <c r="AF2373" s="37" t="e">
        <f t="array" ref="AF2373">INDEX('Deal Info'!D:D, MATCH(A2373,'Deal Info'!A:A, 0))</f>
        <v>#N/A</v>
      </c>
      <c r="AG2373" s="38" t="e">
        <f t="array" ref="AG2373">INDEX('Deal Info'!G:G, MATCH(A2373,'Deal Info'!A:A, 0))</f>
        <v>#N/A</v>
      </c>
    </row>
    <row r="2374" spans="1:33" ht="14.25" hidden="1" x14ac:dyDescent="0.2">
      <c r="A2374" s="18" t="b">
        <f t="array" ref="A2374">IF(G2374='Room Info'!$B$1, INDEX('Room Info'!$A$2:$A2446, MATCH(B2374,'Room Info'!$B$2:$B2446, 0)),IF(G2374='Room Info'!$C$1, INDEX('Room Info'!$A$2:$A2446, MATCH(B2374,'Room Info'!$C$2:$C2446, 0)),IF(G2374='Room Info'!$D$1, INDEX('Room Info'!$A$2:$A2446, MATCH(B2374,'Room Info'!$D$2:$D2446, 0)),IF(G2374='Room Info'!$E$1, INDEX('Room Info'!$A$2:$A2446, MATCH(B2374,'Room Info'!$E$2:$E2446, 0)),IF(G2374='Room Info'!$F$1, INDEX('Room Info'!$A$2:$A2446, MATCH(B2374,'Room Info'!$F$2:$F2446, 0)),IF(G2374='Room Info'!$H$1, INDEX('Room Info'!$A$2:$A2446, MATCH(B2374,'Room Info'!$H$2:$H2446, 0)),IF(G2374='Room Info'!$G$1, INDEX('Room Info'!$A$2:$A2446, MATCH(B2374,'Room Info'!$G$2:$G2446, 0)))))))))</f>
        <v>0</v>
      </c>
      <c r="B2374" s="96"/>
      <c r="C2374" s="111"/>
      <c r="D2374" s="111"/>
      <c r="E2374" s="80"/>
      <c r="F2374" s="133"/>
      <c r="G2374" s="96"/>
      <c r="H2374" s="110"/>
      <c r="I2374" s="110"/>
      <c r="J2374" s="39" t="s">
        <v>334</v>
      </c>
      <c r="K2374" s="112"/>
      <c r="L2374" s="113"/>
      <c r="M2374" s="62"/>
      <c r="N2374" s="28" t="e">
        <f t="shared" si="8"/>
        <v>#VALUE!</v>
      </c>
      <c r="O2374" s="65"/>
      <c r="P2374" s="29" t="s">
        <v>334</v>
      </c>
      <c r="Q2374" s="55"/>
      <c r="R2374" s="31" t="e">
        <f t="shared" si="9"/>
        <v>#VALUE!</v>
      </c>
      <c r="S2374" s="66"/>
      <c r="T2374" s="32" t="e">
        <f t="shared" si="10"/>
        <v>#VALUE!</v>
      </c>
      <c r="U2374" s="57"/>
      <c r="V2374" s="58"/>
      <c r="W2374" s="58"/>
      <c r="X2374" s="30" t="e">
        <f t="shared" si="11"/>
        <v>#N/A</v>
      </c>
      <c r="Y2374" s="30" t="e">
        <f t="shared" si="12"/>
        <v>#N/A</v>
      </c>
      <c r="Z2374" s="35" t="e">
        <f t="shared" si="13"/>
        <v>#VALUE!</v>
      </c>
      <c r="AA2374" s="29" t="e">
        <f t="shared" si="14"/>
        <v>#VALUE!</v>
      </c>
      <c r="AB2374" s="36" t="e">
        <f t="shared" si="15"/>
        <v>#VALUE!</v>
      </c>
      <c r="AC2374" s="37" t="b">
        <v>0</v>
      </c>
      <c r="AD2374" s="61" t="str">
        <f t="shared" si="16"/>
        <v>USD</v>
      </c>
      <c r="AE2374" s="37"/>
      <c r="AF2374" s="37" t="e">
        <f t="array" ref="AF2374">INDEX('Deal Info'!D:D, MATCH(A2374,'Deal Info'!A:A, 0))</f>
        <v>#N/A</v>
      </c>
      <c r="AG2374" s="38" t="e">
        <f t="array" ref="AG2374">INDEX('Deal Info'!G:G, MATCH(A2374,'Deal Info'!A:A, 0))</f>
        <v>#N/A</v>
      </c>
    </row>
    <row r="2375" spans="1:33" ht="14.25" hidden="1" x14ac:dyDescent="0.2">
      <c r="A2375" s="18" t="b">
        <f t="array" ref="A2375">IF(G2375='Room Info'!$B$1, INDEX('Room Info'!$A$2:$A2446, MATCH(B2375,'Room Info'!$B$2:$B2446, 0)),IF(G2375='Room Info'!$C$1, INDEX('Room Info'!$A$2:$A2446, MATCH(B2375,'Room Info'!$C$2:$C2446, 0)),IF(G2375='Room Info'!$D$1, INDEX('Room Info'!$A$2:$A2446, MATCH(B2375,'Room Info'!$D$2:$D2446, 0)),IF(G2375='Room Info'!$E$1, INDEX('Room Info'!$A$2:$A2446, MATCH(B2375,'Room Info'!$E$2:$E2446, 0)),IF(G2375='Room Info'!$F$1, INDEX('Room Info'!$A$2:$A2446, MATCH(B2375,'Room Info'!$F$2:$F2446, 0)),IF(G2375='Room Info'!$H$1, INDEX('Room Info'!$A$2:$A2446, MATCH(B2375,'Room Info'!$H$2:$H2446, 0)),IF(G2375='Room Info'!$G$1, INDEX('Room Info'!$A$2:$A2446, MATCH(B2375,'Room Info'!$G$2:$G2446, 0)))))))))</f>
        <v>0</v>
      </c>
      <c r="B2375" s="96"/>
      <c r="C2375" s="111"/>
      <c r="D2375" s="111"/>
      <c r="E2375" s="80"/>
      <c r="F2375" s="133"/>
      <c r="G2375" s="96"/>
      <c r="H2375" s="110"/>
      <c r="I2375" s="110"/>
      <c r="J2375" s="39" t="s">
        <v>334</v>
      </c>
      <c r="K2375" s="112"/>
      <c r="L2375" s="113"/>
      <c r="M2375" s="62"/>
      <c r="N2375" s="28" t="e">
        <f t="shared" si="8"/>
        <v>#VALUE!</v>
      </c>
      <c r="O2375" s="65"/>
      <c r="P2375" s="29" t="s">
        <v>334</v>
      </c>
      <c r="Q2375" s="55"/>
      <c r="R2375" s="31" t="e">
        <f t="shared" si="9"/>
        <v>#VALUE!</v>
      </c>
      <c r="S2375" s="66"/>
      <c r="T2375" s="32" t="e">
        <f t="shared" si="10"/>
        <v>#VALUE!</v>
      </c>
      <c r="U2375" s="57"/>
      <c r="V2375" s="58"/>
      <c r="W2375" s="58"/>
      <c r="X2375" s="30" t="e">
        <f t="shared" si="11"/>
        <v>#N/A</v>
      </c>
      <c r="Y2375" s="30" t="e">
        <f t="shared" si="12"/>
        <v>#N/A</v>
      </c>
      <c r="Z2375" s="35" t="e">
        <f t="shared" si="13"/>
        <v>#VALUE!</v>
      </c>
      <c r="AA2375" s="29" t="e">
        <f t="shared" si="14"/>
        <v>#VALUE!</v>
      </c>
      <c r="AB2375" s="36" t="e">
        <f t="shared" si="15"/>
        <v>#VALUE!</v>
      </c>
      <c r="AC2375" s="37" t="b">
        <v>0</v>
      </c>
      <c r="AD2375" s="61" t="str">
        <f t="shared" si="16"/>
        <v>USD</v>
      </c>
      <c r="AE2375" s="37"/>
      <c r="AF2375" s="37" t="e">
        <f t="array" ref="AF2375">INDEX('Deal Info'!D:D, MATCH(A2375,'Deal Info'!A:A, 0))</f>
        <v>#N/A</v>
      </c>
      <c r="AG2375" s="38" t="e">
        <f t="array" ref="AG2375">INDEX('Deal Info'!G:G, MATCH(A2375,'Deal Info'!A:A, 0))</f>
        <v>#N/A</v>
      </c>
    </row>
    <row r="2376" spans="1:33" ht="14.25" hidden="1" x14ac:dyDescent="0.2">
      <c r="A2376" s="18" t="b">
        <f t="array" ref="A2376">IF(G2376='Room Info'!$B$1, INDEX('Room Info'!$A$2:$A2446, MATCH(B2376,'Room Info'!$B$2:$B2446, 0)),IF(G2376='Room Info'!$C$1, INDEX('Room Info'!$A$2:$A2446, MATCH(B2376,'Room Info'!$C$2:$C2446, 0)),IF(G2376='Room Info'!$D$1, INDEX('Room Info'!$A$2:$A2446, MATCH(B2376,'Room Info'!$D$2:$D2446, 0)),IF(G2376='Room Info'!$E$1, INDEX('Room Info'!$A$2:$A2446, MATCH(B2376,'Room Info'!$E$2:$E2446, 0)),IF(G2376='Room Info'!$F$1, INDEX('Room Info'!$A$2:$A2446, MATCH(B2376,'Room Info'!$F$2:$F2446, 0)),IF(G2376='Room Info'!$H$1, INDEX('Room Info'!$A$2:$A2446, MATCH(B2376,'Room Info'!$H$2:$H2446, 0)),IF(G2376='Room Info'!$G$1, INDEX('Room Info'!$A$2:$A2446, MATCH(B2376,'Room Info'!$G$2:$G2446, 0)))))))))</f>
        <v>0</v>
      </c>
      <c r="B2376" s="96"/>
      <c r="C2376" s="111"/>
      <c r="D2376" s="111"/>
      <c r="E2376" s="80"/>
      <c r="F2376" s="133"/>
      <c r="G2376" s="65"/>
      <c r="H2376" s="110"/>
      <c r="I2376" s="110"/>
      <c r="J2376" s="39" t="s">
        <v>334</v>
      </c>
      <c r="K2376" s="112"/>
      <c r="L2376" s="113"/>
      <c r="M2376" s="62"/>
      <c r="N2376" s="28" t="e">
        <f t="shared" si="8"/>
        <v>#VALUE!</v>
      </c>
      <c r="O2376" s="65"/>
      <c r="P2376" s="29" t="s">
        <v>334</v>
      </c>
      <c r="Q2376" s="55"/>
      <c r="R2376" s="31" t="e">
        <f t="shared" si="9"/>
        <v>#VALUE!</v>
      </c>
      <c r="S2376" s="66"/>
      <c r="T2376" s="32" t="e">
        <f t="shared" si="10"/>
        <v>#VALUE!</v>
      </c>
      <c r="U2376" s="57"/>
      <c r="V2376" s="58"/>
      <c r="W2376" s="58"/>
      <c r="X2376" s="30" t="e">
        <f t="shared" si="11"/>
        <v>#N/A</v>
      </c>
      <c r="Y2376" s="30" t="e">
        <f t="shared" si="12"/>
        <v>#N/A</v>
      </c>
      <c r="Z2376" s="35" t="e">
        <f t="shared" si="13"/>
        <v>#VALUE!</v>
      </c>
      <c r="AA2376" s="29" t="e">
        <f t="shared" si="14"/>
        <v>#VALUE!</v>
      </c>
      <c r="AB2376" s="36" t="e">
        <f t="shared" si="15"/>
        <v>#VALUE!</v>
      </c>
      <c r="AC2376" s="37" t="b">
        <v>0</v>
      </c>
      <c r="AD2376" s="61" t="str">
        <f t="shared" si="16"/>
        <v>USD</v>
      </c>
      <c r="AE2376" s="37"/>
      <c r="AF2376" s="37" t="e">
        <f t="array" ref="AF2376">INDEX('Deal Info'!D:D, MATCH(A2376,'Deal Info'!A:A, 0))</f>
        <v>#N/A</v>
      </c>
      <c r="AG2376" s="38" t="e">
        <f t="array" ref="AG2376">INDEX('Deal Info'!G:G, MATCH(A2376,'Deal Info'!A:A, 0))</f>
        <v>#N/A</v>
      </c>
    </row>
    <row r="2377" spans="1:33" ht="14.25" hidden="1" x14ac:dyDescent="0.2">
      <c r="A2377" s="18" t="b">
        <f t="array" ref="A2377">IF(G2377='Room Info'!$B$1, INDEX('Room Info'!$A$2:$A2446, MATCH(B2377,'Room Info'!$B$2:$B2446, 0)),IF(G2377='Room Info'!$C$1, INDEX('Room Info'!$A$2:$A2446, MATCH(B2377,'Room Info'!$C$2:$C2446, 0)),IF(G2377='Room Info'!$D$1, INDEX('Room Info'!$A$2:$A2446, MATCH(B2377,'Room Info'!$D$2:$D2446, 0)),IF(G2377='Room Info'!$E$1, INDEX('Room Info'!$A$2:$A2446, MATCH(B2377,'Room Info'!$E$2:$E2446, 0)),IF(G2377='Room Info'!$F$1, INDEX('Room Info'!$A$2:$A2446, MATCH(B2377,'Room Info'!$F$2:$F2446, 0)),IF(G2377='Room Info'!$H$1, INDEX('Room Info'!$A$2:$A2446, MATCH(B2377,'Room Info'!$H$2:$H2446, 0)),IF(G2377='Room Info'!$G$1, INDEX('Room Info'!$A$2:$A2446, MATCH(B2377,'Room Info'!$G$2:$G2446, 0)))))))))</f>
        <v>0</v>
      </c>
      <c r="B2377" s="96"/>
      <c r="C2377" s="111"/>
      <c r="D2377" s="111"/>
      <c r="E2377" s="80"/>
      <c r="F2377" s="133"/>
      <c r="G2377" s="65"/>
      <c r="H2377" s="110"/>
      <c r="I2377" s="110"/>
      <c r="J2377" s="39" t="s">
        <v>334</v>
      </c>
      <c r="K2377" s="112"/>
      <c r="L2377" s="113"/>
      <c r="M2377" s="62"/>
      <c r="N2377" s="28" t="e">
        <f t="shared" si="8"/>
        <v>#VALUE!</v>
      </c>
      <c r="O2377" s="65"/>
      <c r="P2377" s="29" t="s">
        <v>334</v>
      </c>
      <c r="Q2377" s="55"/>
      <c r="R2377" s="31" t="e">
        <f t="shared" si="9"/>
        <v>#VALUE!</v>
      </c>
      <c r="S2377" s="66"/>
      <c r="T2377" s="32" t="e">
        <f t="shared" si="10"/>
        <v>#VALUE!</v>
      </c>
      <c r="U2377" s="57"/>
      <c r="V2377" s="58"/>
      <c r="W2377" s="58"/>
      <c r="X2377" s="30" t="e">
        <f t="shared" si="11"/>
        <v>#N/A</v>
      </c>
      <c r="Y2377" s="30" t="e">
        <f t="shared" si="12"/>
        <v>#N/A</v>
      </c>
      <c r="Z2377" s="35" t="e">
        <f t="shared" si="13"/>
        <v>#VALUE!</v>
      </c>
      <c r="AA2377" s="29" t="e">
        <f t="shared" si="14"/>
        <v>#VALUE!</v>
      </c>
      <c r="AB2377" s="36" t="e">
        <f t="shared" si="15"/>
        <v>#VALUE!</v>
      </c>
      <c r="AC2377" s="37" t="b">
        <v>0</v>
      </c>
      <c r="AD2377" s="61" t="str">
        <f t="shared" si="16"/>
        <v>USD</v>
      </c>
      <c r="AE2377" s="37"/>
      <c r="AF2377" s="37" t="e">
        <f t="array" ref="AF2377">INDEX('Deal Info'!D:D, MATCH(A2377,'Deal Info'!A:A, 0))</f>
        <v>#N/A</v>
      </c>
      <c r="AG2377" s="38" t="e">
        <f t="array" ref="AG2377">INDEX('Deal Info'!G:G, MATCH(A2377,'Deal Info'!A:A, 0))</f>
        <v>#N/A</v>
      </c>
    </row>
    <row r="2378" spans="1:33" ht="14.25" hidden="1" x14ac:dyDescent="0.2">
      <c r="A2378" s="18" t="b">
        <f t="array" ref="A2378">IF(G2378='Room Info'!$B$1, INDEX('Room Info'!$A$2:$A2446, MATCH(B2378,'Room Info'!$B$2:$B2446, 0)),IF(G2378='Room Info'!$C$1, INDEX('Room Info'!$A$2:$A2446, MATCH(B2378,'Room Info'!$C$2:$C2446, 0)),IF(G2378='Room Info'!$D$1, INDEX('Room Info'!$A$2:$A2446, MATCH(B2378,'Room Info'!$D$2:$D2446, 0)),IF(G2378='Room Info'!$E$1, INDEX('Room Info'!$A$2:$A2446, MATCH(B2378,'Room Info'!$E$2:$E2446, 0)),IF(G2378='Room Info'!$F$1, INDEX('Room Info'!$A$2:$A2446, MATCH(B2378,'Room Info'!$F$2:$F2446, 0)),IF(G2378='Room Info'!$H$1, INDEX('Room Info'!$A$2:$A2446, MATCH(B2378,'Room Info'!$H$2:$H2446, 0)),IF(G2378='Room Info'!$G$1, INDEX('Room Info'!$A$2:$A2446, MATCH(B2378,'Room Info'!$G$2:$G2446, 0)))))))))</f>
        <v>0</v>
      </c>
      <c r="B2378" s="96"/>
      <c r="C2378" s="111"/>
      <c r="D2378" s="111"/>
      <c r="E2378" s="80"/>
      <c r="F2378" s="133"/>
      <c r="G2378" s="65"/>
      <c r="H2378" s="110"/>
      <c r="I2378" s="110"/>
      <c r="J2378" s="39" t="s">
        <v>334</v>
      </c>
      <c r="K2378" s="112"/>
      <c r="L2378" s="113"/>
      <c r="M2378" s="62"/>
      <c r="N2378" s="28" t="e">
        <f t="shared" si="8"/>
        <v>#VALUE!</v>
      </c>
      <c r="O2378" s="65"/>
      <c r="P2378" s="29" t="s">
        <v>334</v>
      </c>
      <c r="Q2378" s="55"/>
      <c r="R2378" s="31" t="e">
        <f t="shared" si="9"/>
        <v>#VALUE!</v>
      </c>
      <c r="S2378" s="66"/>
      <c r="T2378" s="32" t="e">
        <f t="shared" si="10"/>
        <v>#VALUE!</v>
      </c>
      <c r="U2378" s="57"/>
      <c r="V2378" s="58"/>
      <c r="W2378" s="58"/>
      <c r="X2378" s="30" t="e">
        <f t="shared" si="11"/>
        <v>#N/A</v>
      </c>
      <c r="Y2378" s="30" t="e">
        <f t="shared" si="12"/>
        <v>#N/A</v>
      </c>
      <c r="Z2378" s="35" t="e">
        <f t="shared" si="13"/>
        <v>#VALUE!</v>
      </c>
      <c r="AA2378" s="29" t="e">
        <f t="shared" si="14"/>
        <v>#VALUE!</v>
      </c>
      <c r="AB2378" s="36" t="e">
        <f t="shared" si="15"/>
        <v>#VALUE!</v>
      </c>
      <c r="AC2378" s="37" t="b">
        <v>0</v>
      </c>
      <c r="AD2378" s="61" t="str">
        <f t="shared" si="16"/>
        <v>USD</v>
      </c>
      <c r="AE2378" s="37"/>
      <c r="AF2378" s="37" t="e">
        <f t="array" ref="AF2378">INDEX('Deal Info'!D:D, MATCH(A2378,'Deal Info'!A:A, 0))</f>
        <v>#N/A</v>
      </c>
      <c r="AG2378" s="38" t="e">
        <f t="array" ref="AG2378">INDEX('Deal Info'!G:G, MATCH(A2378,'Deal Info'!A:A, 0))</f>
        <v>#N/A</v>
      </c>
    </row>
    <row r="2379" spans="1:33" ht="14.25" hidden="1" x14ac:dyDescent="0.2">
      <c r="A2379" s="18" t="b">
        <f t="array" ref="A2379">IF(G2379='Room Info'!$B$1, INDEX('Room Info'!$A$2:$A2446, MATCH(B2379,'Room Info'!$B$2:$B2446, 0)),IF(G2379='Room Info'!$C$1, INDEX('Room Info'!$A$2:$A2446, MATCH(B2379,'Room Info'!$C$2:$C2446, 0)),IF(G2379='Room Info'!$D$1, INDEX('Room Info'!$A$2:$A2446, MATCH(B2379,'Room Info'!$D$2:$D2446, 0)),IF(G2379='Room Info'!$E$1, INDEX('Room Info'!$A$2:$A2446, MATCH(B2379,'Room Info'!$E$2:$E2446, 0)),IF(G2379='Room Info'!$F$1, INDEX('Room Info'!$A$2:$A2446, MATCH(B2379,'Room Info'!$F$2:$F2446, 0)),IF(G2379='Room Info'!$H$1, INDEX('Room Info'!$A$2:$A2446, MATCH(B2379,'Room Info'!$H$2:$H2446, 0)),IF(G2379='Room Info'!$G$1, INDEX('Room Info'!$A$2:$A2446, MATCH(B2379,'Room Info'!$G$2:$G2446, 0)))))))))</f>
        <v>0</v>
      </c>
      <c r="B2379" s="96"/>
      <c r="C2379" s="136"/>
      <c r="D2379" s="136"/>
      <c r="E2379" s="137"/>
      <c r="F2379" s="133"/>
      <c r="G2379" s="96"/>
      <c r="H2379" s="100"/>
      <c r="I2379" s="100"/>
      <c r="J2379" s="39" t="s">
        <v>334</v>
      </c>
      <c r="K2379" s="134"/>
      <c r="L2379" s="135"/>
      <c r="M2379" s="79"/>
      <c r="N2379" s="28" t="e">
        <f t="shared" si="8"/>
        <v>#VALUE!</v>
      </c>
      <c r="O2379" s="96"/>
      <c r="P2379" s="29" t="s">
        <v>334</v>
      </c>
      <c r="Q2379" s="55"/>
      <c r="R2379" s="31" t="e">
        <f t="shared" si="9"/>
        <v>#VALUE!</v>
      </c>
      <c r="S2379" s="97"/>
      <c r="T2379" s="32" t="e">
        <f t="shared" si="10"/>
        <v>#VALUE!</v>
      </c>
      <c r="U2379" s="57"/>
      <c r="V2379" s="58"/>
      <c r="W2379" s="58"/>
      <c r="X2379" s="30" t="e">
        <f t="shared" si="11"/>
        <v>#N/A</v>
      </c>
      <c r="Y2379" s="30" t="e">
        <f t="shared" si="12"/>
        <v>#N/A</v>
      </c>
      <c r="Z2379" s="35" t="e">
        <f t="shared" si="13"/>
        <v>#VALUE!</v>
      </c>
      <c r="AA2379" s="29" t="e">
        <f t="shared" si="14"/>
        <v>#VALUE!</v>
      </c>
      <c r="AB2379" s="36" t="e">
        <f t="shared" si="15"/>
        <v>#VALUE!</v>
      </c>
      <c r="AC2379" s="37" t="b">
        <v>0</v>
      </c>
      <c r="AD2379" s="61" t="str">
        <f t="shared" si="16"/>
        <v>USD</v>
      </c>
      <c r="AE2379" s="37"/>
      <c r="AF2379" s="37" t="e">
        <f t="array" ref="AF2379">INDEX('Deal Info'!D:D, MATCH(A2379,'Deal Info'!A:A, 0))</f>
        <v>#N/A</v>
      </c>
      <c r="AG2379" s="38" t="e">
        <f t="array" ref="AG2379">INDEX('Deal Info'!G:G, MATCH(A2379,'Deal Info'!A:A, 0))</f>
        <v>#N/A</v>
      </c>
    </row>
    <row r="2380" spans="1:33" ht="14.25" hidden="1" x14ac:dyDescent="0.2">
      <c r="A2380" s="18" t="b">
        <f t="array" ref="A2380">IF(G2380='Room Info'!$B$1, INDEX('Room Info'!$A$2:$A2446, MATCH(B2380,'Room Info'!$B$2:$B2446, 0)),IF(G2380='Room Info'!$C$1, INDEX('Room Info'!$A$2:$A2446, MATCH(B2380,'Room Info'!$C$2:$C2446, 0)),IF(G2380='Room Info'!$D$1, INDEX('Room Info'!$A$2:$A2446, MATCH(B2380,'Room Info'!$D$2:$D2446, 0)),IF(G2380='Room Info'!$E$1, INDEX('Room Info'!$A$2:$A2446, MATCH(B2380,'Room Info'!$E$2:$E2446, 0)),IF(G2380='Room Info'!$F$1, INDEX('Room Info'!$A$2:$A2446, MATCH(B2380,'Room Info'!$F$2:$F2446, 0)),IF(G2380='Room Info'!$H$1, INDEX('Room Info'!$A$2:$A2446, MATCH(B2380,'Room Info'!$H$2:$H2446, 0)),IF(G2380='Room Info'!$G$1, INDEX('Room Info'!$A$2:$A2446, MATCH(B2380,'Room Info'!$G$2:$G2446, 0)))))))))</f>
        <v>0</v>
      </c>
      <c r="B2380" s="96"/>
      <c r="C2380" s="136"/>
      <c r="D2380" s="136"/>
      <c r="E2380" s="137"/>
      <c r="F2380" s="133"/>
      <c r="G2380" s="96"/>
      <c r="H2380" s="100"/>
      <c r="I2380" s="100"/>
      <c r="J2380" s="39" t="s">
        <v>334</v>
      </c>
      <c r="K2380" s="134"/>
      <c r="L2380" s="135"/>
      <c r="M2380" s="79"/>
      <c r="N2380" s="28" t="e">
        <f t="shared" si="8"/>
        <v>#VALUE!</v>
      </c>
      <c r="O2380" s="96"/>
      <c r="P2380" s="29" t="s">
        <v>334</v>
      </c>
      <c r="Q2380" s="55"/>
      <c r="R2380" s="31" t="e">
        <f t="shared" si="9"/>
        <v>#VALUE!</v>
      </c>
      <c r="S2380" s="97"/>
      <c r="T2380" s="32" t="e">
        <f t="shared" si="10"/>
        <v>#VALUE!</v>
      </c>
      <c r="U2380" s="57"/>
      <c r="V2380" s="58"/>
      <c r="W2380" s="58"/>
      <c r="X2380" s="30" t="e">
        <f t="shared" si="11"/>
        <v>#N/A</v>
      </c>
      <c r="Y2380" s="30" t="e">
        <f t="shared" si="12"/>
        <v>#N/A</v>
      </c>
      <c r="Z2380" s="35" t="e">
        <f t="shared" si="13"/>
        <v>#VALUE!</v>
      </c>
      <c r="AA2380" s="29" t="e">
        <f t="shared" si="14"/>
        <v>#VALUE!</v>
      </c>
      <c r="AB2380" s="36" t="e">
        <f t="shared" si="15"/>
        <v>#VALUE!</v>
      </c>
      <c r="AC2380" s="37" t="b">
        <v>0</v>
      </c>
      <c r="AD2380" s="61" t="str">
        <f t="shared" si="16"/>
        <v>USD</v>
      </c>
      <c r="AE2380" s="37"/>
      <c r="AF2380" s="37" t="e">
        <f t="array" ref="AF2380">INDEX('Deal Info'!D:D, MATCH(A2380,'Deal Info'!A:A, 0))</f>
        <v>#N/A</v>
      </c>
      <c r="AG2380" s="38" t="e">
        <f t="array" ref="AG2380">INDEX('Deal Info'!G:G, MATCH(A2380,'Deal Info'!A:A, 0))</f>
        <v>#N/A</v>
      </c>
    </row>
    <row r="2381" spans="1:33" ht="14.25" hidden="1" x14ac:dyDescent="0.2">
      <c r="A2381" s="18" t="b">
        <f t="array" ref="A2381">IF(G2381='Room Info'!$B$1, INDEX('Room Info'!$A$2:$A2446, MATCH(B2381,'Room Info'!$B$2:$B2446, 0)),IF(G2381='Room Info'!$C$1, INDEX('Room Info'!$A$2:$A2446, MATCH(B2381,'Room Info'!$C$2:$C2446, 0)),IF(G2381='Room Info'!$D$1, INDEX('Room Info'!$A$2:$A2446, MATCH(B2381,'Room Info'!$D$2:$D2446, 0)),IF(G2381='Room Info'!$E$1, INDEX('Room Info'!$A$2:$A2446, MATCH(B2381,'Room Info'!$E$2:$E2446, 0)),IF(G2381='Room Info'!$F$1, INDEX('Room Info'!$A$2:$A2446, MATCH(B2381,'Room Info'!$F$2:$F2446, 0)),IF(G2381='Room Info'!$H$1, INDEX('Room Info'!$A$2:$A2446, MATCH(B2381,'Room Info'!$H$2:$H2446, 0)),IF(G2381='Room Info'!$G$1, INDEX('Room Info'!$A$2:$A2446, MATCH(B2381,'Room Info'!$G$2:$G2446, 0)))))))))</f>
        <v>0</v>
      </c>
      <c r="B2381" s="96"/>
      <c r="C2381" s="136"/>
      <c r="D2381" s="136"/>
      <c r="E2381" s="137"/>
      <c r="F2381" s="133"/>
      <c r="G2381" s="96"/>
      <c r="H2381" s="100"/>
      <c r="I2381" s="100"/>
      <c r="J2381" s="39" t="s">
        <v>334</v>
      </c>
      <c r="K2381" s="134"/>
      <c r="L2381" s="135"/>
      <c r="M2381" s="79"/>
      <c r="N2381" s="28" t="e">
        <f t="shared" si="8"/>
        <v>#VALUE!</v>
      </c>
      <c r="O2381" s="96"/>
      <c r="P2381" s="29" t="s">
        <v>334</v>
      </c>
      <c r="Q2381" s="55"/>
      <c r="R2381" s="31" t="e">
        <f t="shared" si="9"/>
        <v>#VALUE!</v>
      </c>
      <c r="S2381" s="97"/>
      <c r="T2381" s="32" t="e">
        <f t="shared" si="10"/>
        <v>#VALUE!</v>
      </c>
      <c r="U2381" s="57"/>
      <c r="V2381" s="58"/>
      <c r="W2381" s="58"/>
      <c r="X2381" s="30" t="e">
        <f t="shared" si="11"/>
        <v>#N/A</v>
      </c>
      <c r="Y2381" s="30" t="e">
        <f t="shared" si="12"/>
        <v>#N/A</v>
      </c>
      <c r="Z2381" s="35" t="e">
        <f t="shared" si="13"/>
        <v>#VALUE!</v>
      </c>
      <c r="AA2381" s="29" t="e">
        <f t="shared" si="14"/>
        <v>#VALUE!</v>
      </c>
      <c r="AB2381" s="36" t="e">
        <f t="shared" si="15"/>
        <v>#VALUE!</v>
      </c>
      <c r="AC2381" s="37" t="b">
        <v>0</v>
      </c>
      <c r="AD2381" s="61" t="str">
        <f t="shared" si="16"/>
        <v>USD</v>
      </c>
      <c r="AE2381" s="37"/>
      <c r="AF2381" s="37" t="e">
        <f t="array" ref="AF2381">INDEX('Deal Info'!D:D, MATCH(A2381,'Deal Info'!A:A, 0))</f>
        <v>#N/A</v>
      </c>
      <c r="AG2381" s="38" t="e">
        <f t="array" ref="AG2381">INDEX('Deal Info'!G:G, MATCH(A2381,'Deal Info'!A:A, 0))</f>
        <v>#N/A</v>
      </c>
    </row>
    <row r="2382" spans="1:33" ht="14.25" hidden="1" x14ac:dyDescent="0.2">
      <c r="A2382" s="18" t="b">
        <f t="array" ref="A2382">IF(G2382='Room Info'!$B$1, INDEX('Room Info'!$A$2:$A2446, MATCH(B2382,'Room Info'!$B$2:$B2446, 0)),IF(G2382='Room Info'!$C$1, INDEX('Room Info'!$A$2:$A2446, MATCH(B2382,'Room Info'!$C$2:$C2446, 0)),IF(G2382='Room Info'!$D$1, INDEX('Room Info'!$A$2:$A2446, MATCH(B2382,'Room Info'!$D$2:$D2446, 0)),IF(G2382='Room Info'!$E$1, INDEX('Room Info'!$A$2:$A2446, MATCH(B2382,'Room Info'!$E$2:$E2446, 0)),IF(G2382='Room Info'!$F$1, INDEX('Room Info'!$A$2:$A2446, MATCH(B2382,'Room Info'!$F$2:$F2446, 0)),IF(G2382='Room Info'!$H$1, INDEX('Room Info'!$A$2:$A2446, MATCH(B2382,'Room Info'!$H$2:$H2446, 0)),IF(G2382='Room Info'!$G$1, INDEX('Room Info'!$A$2:$A2446, MATCH(B2382,'Room Info'!$G$2:$G2446, 0)))))))))</f>
        <v>0</v>
      </c>
      <c r="B2382" s="65"/>
      <c r="C2382" s="111"/>
      <c r="D2382" s="111"/>
      <c r="E2382" s="80"/>
      <c r="F2382" s="133"/>
      <c r="G2382" s="65"/>
      <c r="H2382" s="110"/>
      <c r="I2382" s="110"/>
      <c r="J2382" s="39" t="s">
        <v>334</v>
      </c>
      <c r="K2382" s="112"/>
      <c r="L2382" s="113"/>
      <c r="M2382" s="62"/>
      <c r="N2382" s="28" t="e">
        <f t="shared" si="8"/>
        <v>#VALUE!</v>
      </c>
      <c r="O2382" s="65"/>
      <c r="P2382" s="29" t="s">
        <v>334</v>
      </c>
      <c r="Q2382" s="55"/>
      <c r="R2382" s="31" t="e">
        <f t="shared" si="9"/>
        <v>#VALUE!</v>
      </c>
      <c r="S2382" s="66"/>
      <c r="T2382" s="32" t="e">
        <f t="shared" si="10"/>
        <v>#VALUE!</v>
      </c>
      <c r="U2382" s="57"/>
      <c r="V2382" s="58"/>
      <c r="W2382" s="58"/>
      <c r="X2382" s="30" t="e">
        <f t="shared" si="11"/>
        <v>#N/A</v>
      </c>
      <c r="Y2382" s="30" t="e">
        <f t="shared" si="12"/>
        <v>#N/A</v>
      </c>
      <c r="Z2382" s="35" t="e">
        <f t="shared" si="13"/>
        <v>#VALUE!</v>
      </c>
      <c r="AA2382" s="29" t="e">
        <f t="shared" si="14"/>
        <v>#VALUE!</v>
      </c>
      <c r="AB2382" s="36" t="e">
        <f t="shared" si="15"/>
        <v>#VALUE!</v>
      </c>
      <c r="AC2382" s="37" t="b">
        <v>0</v>
      </c>
      <c r="AD2382" s="61" t="str">
        <f t="shared" si="16"/>
        <v>USD</v>
      </c>
      <c r="AE2382" s="37"/>
      <c r="AF2382" s="37" t="e">
        <f t="array" ref="AF2382">INDEX('Deal Info'!D:D, MATCH(A2382,'Deal Info'!A:A, 0))</f>
        <v>#N/A</v>
      </c>
      <c r="AG2382" s="38" t="e">
        <f t="array" ref="AG2382">INDEX('Deal Info'!G:G, MATCH(A2382,'Deal Info'!A:A, 0))</f>
        <v>#N/A</v>
      </c>
    </row>
    <row r="2383" spans="1:33" ht="14.25" hidden="1" x14ac:dyDescent="0.2">
      <c r="A2383" s="18" t="b">
        <f t="array" ref="A2383">IF(G2383='Room Info'!$B$1, INDEX('Room Info'!$A$2:$A2446, MATCH(B2383,'Room Info'!$B$2:$B2446, 0)),IF(G2383='Room Info'!$C$1, INDEX('Room Info'!$A$2:$A2446, MATCH(B2383,'Room Info'!$C$2:$C2446, 0)),IF(G2383='Room Info'!$D$1, INDEX('Room Info'!$A$2:$A2446, MATCH(B2383,'Room Info'!$D$2:$D2446, 0)),IF(G2383='Room Info'!$E$1, INDEX('Room Info'!$A$2:$A2446, MATCH(B2383,'Room Info'!$E$2:$E2446, 0)),IF(G2383='Room Info'!$F$1, INDEX('Room Info'!$A$2:$A2446, MATCH(B2383,'Room Info'!$F$2:$F2446, 0)),IF(G2383='Room Info'!$H$1, INDEX('Room Info'!$A$2:$A2446, MATCH(B2383,'Room Info'!$H$2:$H2446, 0)),IF(G2383='Room Info'!$G$1, INDEX('Room Info'!$A$2:$A2446, MATCH(B2383,'Room Info'!$G$2:$G2446, 0)))))))))</f>
        <v>0</v>
      </c>
      <c r="B2383" s="65"/>
      <c r="C2383" s="111"/>
      <c r="D2383" s="111"/>
      <c r="E2383" s="80"/>
      <c r="F2383" s="133"/>
      <c r="G2383" s="65"/>
      <c r="H2383" s="110"/>
      <c r="I2383" s="110"/>
      <c r="J2383" s="39" t="s">
        <v>334</v>
      </c>
      <c r="K2383" s="112"/>
      <c r="L2383" s="113"/>
      <c r="M2383" s="62"/>
      <c r="N2383" s="28" t="e">
        <f t="shared" si="8"/>
        <v>#VALUE!</v>
      </c>
      <c r="O2383" s="65"/>
      <c r="P2383" s="29" t="s">
        <v>334</v>
      </c>
      <c r="Q2383" s="55"/>
      <c r="R2383" s="31" t="e">
        <f t="shared" si="9"/>
        <v>#VALUE!</v>
      </c>
      <c r="S2383" s="66"/>
      <c r="T2383" s="32" t="e">
        <f t="shared" si="10"/>
        <v>#VALUE!</v>
      </c>
      <c r="U2383" s="57"/>
      <c r="V2383" s="58"/>
      <c r="W2383" s="58"/>
      <c r="X2383" s="30" t="e">
        <f t="shared" si="11"/>
        <v>#N/A</v>
      </c>
      <c r="Y2383" s="30" t="e">
        <f t="shared" si="12"/>
        <v>#N/A</v>
      </c>
      <c r="Z2383" s="35" t="e">
        <f t="shared" si="13"/>
        <v>#VALUE!</v>
      </c>
      <c r="AA2383" s="29" t="e">
        <f t="shared" si="14"/>
        <v>#VALUE!</v>
      </c>
      <c r="AB2383" s="36" t="e">
        <f t="shared" si="15"/>
        <v>#VALUE!</v>
      </c>
      <c r="AC2383" s="37" t="b">
        <v>0</v>
      </c>
      <c r="AD2383" s="61" t="str">
        <f t="shared" si="16"/>
        <v>USD</v>
      </c>
      <c r="AE2383" s="37"/>
      <c r="AF2383" s="37" t="e">
        <f t="array" ref="AF2383">INDEX('Deal Info'!D:D, MATCH(A2383,'Deal Info'!A:A, 0))</f>
        <v>#N/A</v>
      </c>
      <c r="AG2383" s="38" t="e">
        <f t="array" ref="AG2383">INDEX('Deal Info'!G:G, MATCH(A2383,'Deal Info'!A:A, 0))</f>
        <v>#N/A</v>
      </c>
    </row>
    <row r="2384" spans="1:33" ht="14.25" hidden="1" x14ac:dyDescent="0.2">
      <c r="A2384" s="18" t="b">
        <f t="array" ref="A2384">IF(G2384='Room Info'!$B$1, INDEX('Room Info'!$A$2:$A2446, MATCH(B2384,'Room Info'!$B$2:$B2446, 0)),IF(G2384='Room Info'!$C$1, INDEX('Room Info'!$A$2:$A2446, MATCH(B2384,'Room Info'!$C$2:$C2446, 0)),IF(G2384='Room Info'!$D$1, INDEX('Room Info'!$A$2:$A2446, MATCH(B2384,'Room Info'!$D$2:$D2446, 0)),IF(G2384='Room Info'!$E$1, INDEX('Room Info'!$A$2:$A2446, MATCH(B2384,'Room Info'!$E$2:$E2446, 0)),IF(G2384='Room Info'!$F$1, INDEX('Room Info'!$A$2:$A2446, MATCH(B2384,'Room Info'!$F$2:$F2446, 0)),IF(G2384='Room Info'!$H$1, INDEX('Room Info'!$A$2:$A2446, MATCH(B2384,'Room Info'!$H$2:$H2446, 0)),IF(G2384='Room Info'!$G$1, INDEX('Room Info'!$A$2:$A2446, MATCH(B2384,'Room Info'!$G$2:$G2446, 0)))))))))</f>
        <v>0</v>
      </c>
      <c r="B2384" s="65"/>
      <c r="C2384" s="111"/>
      <c r="D2384" s="111"/>
      <c r="E2384" s="80"/>
      <c r="F2384" s="133"/>
      <c r="G2384" s="65"/>
      <c r="H2384" s="110"/>
      <c r="I2384" s="110"/>
      <c r="J2384" s="39" t="s">
        <v>334</v>
      </c>
      <c r="K2384" s="112"/>
      <c r="L2384" s="113"/>
      <c r="M2384" s="62"/>
      <c r="N2384" s="28" t="e">
        <f t="shared" si="8"/>
        <v>#VALUE!</v>
      </c>
      <c r="O2384" s="65"/>
      <c r="P2384" s="29" t="s">
        <v>334</v>
      </c>
      <c r="Q2384" s="55"/>
      <c r="R2384" s="31" t="e">
        <f t="shared" si="9"/>
        <v>#VALUE!</v>
      </c>
      <c r="S2384" s="66"/>
      <c r="T2384" s="32" t="e">
        <f t="shared" si="10"/>
        <v>#VALUE!</v>
      </c>
      <c r="U2384" s="57"/>
      <c r="V2384" s="58"/>
      <c r="W2384" s="58"/>
      <c r="X2384" s="30" t="e">
        <f t="shared" si="11"/>
        <v>#N/A</v>
      </c>
      <c r="Y2384" s="30" t="e">
        <f t="shared" si="12"/>
        <v>#N/A</v>
      </c>
      <c r="Z2384" s="35" t="e">
        <f t="shared" si="13"/>
        <v>#VALUE!</v>
      </c>
      <c r="AA2384" s="29" t="e">
        <f t="shared" si="14"/>
        <v>#VALUE!</v>
      </c>
      <c r="AB2384" s="36" t="e">
        <f t="shared" si="15"/>
        <v>#VALUE!</v>
      </c>
      <c r="AC2384" s="37" t="b">
        <v>0</v>
      </c>
      <c r="AD2384" s="61" t="str">
        <f t="shared" si="16"/>
        <v>USD</v>
      </c>
      <c r="AE2384" s="37"/>
      <c r="AF2384" s="37" t="e">
        <f t="array" ref="AF2384">INDEX('Deal Info'!D:D, MATCH(A2384,'Deal Info'!A:A, 0))</f>
        <v>#N/A</v>
      </c>
      <c r="AG2384" s="38" t="e">
        <f t="array" ref="AG2384">INDEX('Deal Info'!G:G, MATCH(A2384,'Deal Info'!A:A, 0))</f>
        <v>#N/A</v>
      </c>
    </row>
    <row r="2385" spans="1:33" ht="14.25" hidden="1" x14ac:dyDescent="0.2">
      <c r="A2385" s="18" t="b">
        <f t="array" ref="A2385">IF(G2385='Room Info'!$B$1, INDEX('Room Info'!$A$2:$A2446, MATCH(B2385,'Room Info'!$B$2:$B2446, 0)),IF(G2385='Room Info'!$C$1, INDEX('Room Info'!$A$2:$A2446, MATCH(B2385,'Room Info'!$C$2:$C2446, 0)),IF(G2385='Room Info'!$D$1, INDEX('Room Info'!$A$2:$A2446, MATCH(B2385,'Room Info'!$D$2:$D2446, 0)),IF(G2385='Room Info'!$E$1, INDEX('Room Info'!$A$2:$A2446, MATCH(B2385,'Room Info'!$E$2:$E2446, 0)),IF(G2385='Room Info'!$F$1, INDEX('Room Info'!$A$2:$A2446, MATCH(B2385,'Room Info'!$F$2:$F2446, 0)),IF(G2385='Room Info'!$H$1, INDEX('Room Info'!$A$2:$A2446, MATCH(B2385,'Room Info'!$H$2:$H2446, 0)),IF(G2385='Room Info'!$G$1, INDEX('Room Info'!$A$2:$A2446, MATCH(B2385,'Room Info'!$G$2:$G2446, 0)))))))))</f>
        <v>0</v>
      </c>
      <c r="B2385" s="65"/>
      <c r="C2385" s="111"/>
      <c r="D2385" s="111"/>
      <c r="E2385" s="80"/>
      <c r="F2385" s="133"/>
      <c r="G2385" s="65"/>
      <c r="H2385" s="110"/>
      <c r="I2385" s="110"/>
      <c r="J2385" s="39" t="s">
        <v>334</v>
      </c>
      <c r="K2385" s="112"/>
      <c r="L2385" s="138"/>
      <c r="M2385" s="62"/>
      <c r="N2385" s="28" t="e">
        <f t="shared" si="8"/>
        <v>#VALUE!</v>
      </c>
      <c r="O2385" s="128"/>
      <c r="P2385" s="29" t="s">
        <v>334</v>
      </c>
      <c r="Q2385" s="55"/>
      <c r="R2385" s="31" t="e">
        <f t="shared" si="9"/>
        <v>#VALUE!</v>
      </c>
      <c r="S2385" s="118"/>
      <c r="T2385" s="32" t="e">
        <f t="shared" si="10"/>
        <v>#VALUE!</v>
      </c>
      <c r="U2385" s="57"/>
      <c r="V2385" s="58"/>
      <c r="W2385" s="58"/>
      <c r="X2385" s="30" t="e">
        <f t="shared" si="11"/>
        <v>#N/A</v>
      </c>
      <c r="Y2385" s="30" t="e">
        <f t="shared" si="12"/>
        <v>#N/A</v>
      </c>
      <c r="Z2385" s="35" t="e">
        <f t="shared" si="13"/>
        <v>#VALUE!</v>
      </c>
      <c r="AA2385" s="29" t="e">
        <f t="shared" si="14"/>
        <v>#VALUE!</v>
      </c>
      <c r="AB2385" s="36" t="e">
        <f t="shared" si="15"/>
        <v>#VALUE!</v>
      </c>
      <c r="AC2385" s="37" t="b">
        <v>0</v>
      </c>
      <c r="AD2385" s="61" t="str">
        <f t="shared" si="16"/>
        <v>USD</v>
      </c>
      <c r="AE2385" s="37"/>
      <c r="AF2385" s="37" t="e">
        <f t="array" ref="AF2385">INDEX('Deal Info'!D:D, MATCH(A2385,'Deal Info'!A:A, 0))</f>
        <v>#N/A</v>
      </c>
      <c r="AG2385" s="38" t="e">
        <f t="array" ref="AG2385">INDEX('Deal Info'!G:G, MATCH(A2385,'Deal Info'!A:A, 0))</f>
        <v>#N/A</v>
      </c>
    </row>
    <row r="2386" spans="1:33" ht="14.25" hidden="1" x14ac:dyDescent="0.2">
      <c r="A2386" s="18" t="b">
        <f t="array" ref="A2386">IF(G2386='Room Info'!$B$1, INDEX('Room Info'!$A$2:$A2446, MATCH(B2386,'Room Info'!$B$2:$B2446, 0)),IF(G2386='Room Info'!$C$1, INDEX('Room Info'!$A$2:$A2446, MATCH(B2386,'Room Info'!$C$2:$C2446, 0)),IF(G2386='Room Info'!$D$1, INDEX('Room Info'!$A$2:$A2446, MATCH(B2386,'Room Info'!$D$2:$D2446, 0)),IF(G2386='Room Info'!$E$1, INDEX('Room Info'!$A$2:$A2446, MATCH(B2386,'Room Info'!$E$2:$E2446, 0)),IF(G2386='Room Info'!$F$1, INDEX('Room Info'!$A$2:$A2446, MATCH(B2386,'Room Info'!$F$2:$F2446, 0)),IF(G2386='Room Info'!$H$1, INDEX('Room Info'!$A$2:$A2446, MATCH(B2386,'Room Info'!$H$2:$H2446, 0)),IF(G2386='Room Info'!$G$1, INDEX('Room Info'!$A$2:$A2446, MATCH(B2386,'Room Info'!$G$2:$G2446, 0)))))))))</f>
        <v>0</v>
      </c>
      <c r="B2386" s="65"/>
      <c r="C2386" s="111"/>
      <c r="D2386" s="111"/>
      <c r="E2386" s="80"/>
      <c r="F2386" s="133"/>
      <c r="G2386" s="65"/>
      <c r="H2386" s="110"/>
      <c r="I2386" s="110"/>
      <c r="J2386" s="39" t="s">
        <v>334</v>
      </c>
      <c r="K2386" s="112"/>
      <c r="L2386" s="138"/>
      <c r="M2386" s="62"/>
      <c r="N2386" s="28" t="e">
        <f t="shared" si="8"/>
        <v>#VALUE!</v>
      </c>
      <c r="O2386" s="128"/>
      <c r="P2386" s="29" t="s">
        <v>334</v>
      </c>
      <c r="Q2386" s="55"/>
      <c r="R2386" s="31" t="e">
        <f t="shared" si="9"/>
        <v>#VALUE!</v>
      </c>
      <c r="S2386" s="118"/>
      <c r="T2386" s="32" t="e">
        <f t="shared" si="10"/>
        <v>#VALUE!</v>
      </c>
      <c r="U2386" s="57"/>
      <c r="V2386" s="58"/>
      <c r="W2386" s="58"/>
      <c r="X2386" s="30" t="e">
        <f t="shared" si="11"/>
        <v>#N/A</v>
      </c>
      <c r="Y2386" s="30" t="e">
        <f t="shared" si="12"/>
        <v>#N/A</v>
      </c>
      <c r="Z2386" s="35" t="e">
        <f t="shared" si="13"/>
        <v>#VALUE!</v>
      </c>
      <c r="AA2386" s="29" t="e">
        <f t="shared" si="14"/>
        <v>#VALUE!</v>
      </c>
      <c r="AB2386" s="36" t="e">
        <f t="shared" si="15"/>
        <v>#VALUE!</v>
      </c>
      <c r="AC2386" s="37" t="b">
        <v>0</v>
      </c>
      <c r="AD2386" s="61" t="str">
        <f t="shared" si="16"/>
        <v>USD</v>
      </c>
      <c r="AE2386" s="37"/>
      <c r="AF2386" s="37" t="e">
        <f t="array" ref="AF2386">INDEX('Deal Info'!D:D, MATCH(A2386,'Deal Info'!A:A, 0))</f>
        <v>#N/A</v>
      </c>
      <c r="AG2386" s="38" t="e">
        <f t="array" ref="AG2386">INDEX('Deal Info'!G:G, MATCH(A2386,'Deal Info'!A:A, 0))</f>
        <v>#N/A</v>
      </c>
    </row>
    <row r="2387" spans="1:33" ht="14.25" hidden="1" x14ac:dyDescent="0.2">
      <c r="A2387" s="18" t="b">
        <f t="array" ref="A2387">IF(G2387='Room Info'!$B$1, INDEX('Room Info'!$A$2:$A2446, MATCH(B2387,'Room Info'!$B$2:$B2446, 0)),IF(G2387='Room Info'!$C$1, INDEX('Room Info'!$A$2:$A2446, MATCH(B2387,'Room Info'!$C$2:$C2446, 0)),IF(G2387='Room Info'!$D$1, INDEX('Room Info'!$A$2:$A2446, MATCH(B2387,'Room Info'!$D$2:$D2446, 0)),IF(G2387='Room Info'!$E$1, INDEX('Room Info'!$A$2:$A2446, MATCH(B2387,'Room Info'!$E$2:$E2446, 0)),IF(G2387='Room Info'!$F$1, INDEX('Room Info'!$A$2:$A2446, MATCH(B2387,'Room Info'!$F$2:$F2446, 0)),IF(G2387='Room Info'!$H$1, INDEX('Room Info'!$A$2:$A2446, MATCH(B2387,'Room Info'!$H$2:$H2446, 0)),IF(G2387='Room Info'!$G$1, INDEX('Room Info'!$A$2:$A2446, MATCH(B2387,'Room Info'!$G$2:$G2446, 0)))))))))</f>
        <v>0</v>
      </c>
      <c r="B2387" s="65"/>
      <c r="C2387" s="111"/>
      <c r="D2387" s="111"/>
      <c r="E2387" s="80"/>
      <c r="F2387" s="133"/>
      <c r="G2387" s="65"/>
      <c r="H2387" s="110"/>
      <c r="I2387" s="110"/>
      <c r="J2387" s="39" t="s">
        <v>334</v>
      </c>
      <c r="K2387" s="112"/>
      <c r="L2387" s="138"/>
      <c r="M2387" s="62"/>
      <c r="N2387" s="28" t="e">
        <f t="shared" si="8"/>
        <v>#VALUE!</v>
      </c>
      <c r="O2387" s="128"/>
      <c r="P2387" s="29" t="s">
        <v>334</v>
      </c>
      <c r="Q2387" s="55"/>
      <c r="R2387" s="31" t="e">
        <f t="shared" si="9"/>
        <v>#VALUE!</v>
      </c>
      <c r="S2387" s="118"/>
      <c r="T2387" s="32" t="e">
        <f t="shared" si="10"/>
        <v>#VALUE!</v>
      </c>
      <c r="U2387" s="57"/>
      <c r="V2387" s="58"/>
      <c r="W2387" s="58"/>
      <c r="X2387" s="30" t="e">
        <f t="shared" si="11"/>
        <v>#N/A</v>
      </c>
      <c r="Y2387" s="30" t="e">
        <f t="shared" si="12"/>
        <v>#N/A</v>
      </c>
      <c r="Z2387" s="35" t="e">
        <f t="shared" si="13"/>
        <v>#VALUE!</v>
      </c>
      <c r="AA2387" s="29" t="e">
        <f t="shared" si="14"/>
        <v>#VALUE!</v>
      </c>
      <c r="AB2387" s="36" t="e">
        <f t="shared" si="15"/>
        <v>#VALUE!</v>
      </c>
      <c r="AC2387" s="37" t="b">
        <v>0</v>
      </c>
      <c r="AD2387" s="61" t="str">
        <f t="shared" si="16"/>
        <v>USD</v>
      </c>
      <c r="AE2387" s="37"/>
      <c r="AF2387" s="37" t="e">
        <f t="array" ref="AF2387">INDEX('Deal Info'!D:D, MATCH(A2387,'Deal Info'!A:A, 0))</f>
        <v>#N/A</v>
      </c>
      <c r="AG2387" s="38" t="e">
        <f t="array" ref="AG2387">INDEX('Deal Info'!G:G, MATCH(A2387,'Deal Info'!A:A, 0))</f>
        <v>#N/A</v>
      </c>
    </row>
    <row r="2388" spans="1:33" ht="14.25" hidden="1" x14ac:dyDescent="0.2">
      <c r="A2388" s="18" t="b">
        <f t="array" ref="A2388">IF(G2388='Room Info'!$B$1, INDEX('Room Info'!$A$2:$A2446, MATCH(B2388,'Room Info'!$B$2:$B2446, 0)),IF(G2388='Room Info'!$C$1, INDEX('Room Info'!$A$2:$A2446, MATCH(B2388,'Room Info'!$C$2:$C2446, 0)),IF(G2388='Room Info'!$D$1, INDEX('Room Info'!$A$2:$A2446, MATCH(B2388,'Room Info'!$D$2:$D2446, 0)),IF(G2388='Room Info'!$E$1, INDEX('Room Info'!$A$2:$A2446, MATCH(B2388,'Room Info'!$E$2:$E2446, 0)),IF(G2388='Room Info'!$F$1, INDEX('Room Info'!$A$2:$A2446, MATCH(B2388,'Room Info'!$F$2:$F2446, 0)),IF(G2388='Room Info'!$H$1, INDEX('Room Info'!$A$2:$A2446, MATCH(B2388,'Room Info'!$H$2:$H2446, 0)),IF(G2388='Room Info'!$G$1, INDEX('Room Info'!$A$2:$A2446, MATCH(B2388,'Room Info'!$G$2:$G2446, 0)))))))))</f>
        <v>0</v>
      </c>
      <c r="B2388" s="65"/>
      <c r="C2388" s="111"/>
      <c r="D2388" s="111"/>
      <c r="E2388" s="80"/>
      <c r="F2388" s="133"/>
      <c r="G2388" s="65"/>
      <c r="H2388" s="110"/>
      <c r="I2388" s="110"/>
      <c r="J2388" s="39" t="s">
        <v>334</v>
      </c>
      <c r="K2388" s="112"/>
      <c r="L2388" s="138"/>
      <c r="M2388" s="62"/>
      <c r="N2388" s="28" t="e">
        <f t="shared" si="8"/>
        <v>#VALUE!</v>
      </c>
      <c r="O2388" s="128"/>
      <c r="P2388" s="29" t="s">
        <v>334</v>
      </c>
      <c r="Q2388" s="55"/>
      <c r="R2388" s="31" t="e">
        <f t="shared" si="9"/>
        <v>#VALUE!</v>
      </c>
      <c r="S2388" s="118"/>
      <c r="T2388" s="32" t="e">
        <f t="shared" si="10"/>
        <v>#VALUE!</v>
      </c>
      <c r="U2388" s="57"/>
      <c r="V2388" s="58"/>
      <c r="W2388" s="58"/>
      <c r="X2388" s="30" t="e">
        <f t="shared" si="11"/>
        <v>#N/A</v>
      </c>
      <c r="Y2388" s="30" t="e">
        <f t="shared" si="12"/>
        <v>#N/A</v>
      </c>
      <c r="Z2388" s="35" t="e">
        <f t="shared" si="13"/>
        <v>#VALUE!</v>
      </c>
      <c r="AA2388" s="29" t="e">
        <f t="shared" si="14"/>
        <v>#VALUE!</v>
      </c>
      <c r="AB2388" s="36" t="e">
        <f t="shared" si="15"/>
        <v>#VALUE!</v>
      </c>
      <c r="AC2388" s="37" t="b">
        <v>0</v>
      </c>
      <c r="AD2388" s="61" t="str">
        <f t="shared" si="16"/>
        <v>USD</v>
      </c>
      <c r="AE2388" s="37"/>
      <c r="AF2388" s="37" t="e">
        <f t="array" ref="AF2388">INDEX('Deal Info'!D:D, MATCH(A2388,'Deal Info'!A:A, 0))</f>
        <v>#N/A</v>
      </c>
      <c r="AG2388" s="38" t="e">
        <f t="array" ref="AG2388">INDEX('Deal Info'!G:G, MATCH(A2388,'Deal Info'!A:A, 0))</f>
        <v>#N/A</v>
      </c>
    </row>
    <row r="2389" spans="1:33" ht="14.25" hidden="1" x14ac:dyDescent="0.2">
      <c r="A2389" s="18" t="b">
        <f t="array" ref="A2389">IF(G2389='Room Info'!$B$1, INDEX('Room Info'!$A$2:$A2446, MATCH(B2389,'Room Info'!$B$2:$B2446, 0)),IF(G2389='Room Info'!$C$1, INDEX('Room Info'!$A$2:$A2446, MATCH(B2389,'Room Info'!$C$2:$C2446, 0)),IF(G2389='Room Info'!$D$1, INDEX('Room Info'!$A$2:$A2446, MATCH(B2389,'Room Info'!$D$2:$D2446, 0)),IF(G2389='Room Info'!$E$1, INDEX('Room Info'!$A$2:$A2446, MATCH(B2389,'Room Info'!$E$2:$E2446, 0)),IF(G2389='Room Info'!$F$1, INDEX('Room Info'!$A$2:$A2446, MATCH(B2389,'Room Info'!$F$2:$F2446, 0)),IF(G2389='Room Info'!$H$1, INDEX('Room Info'!$A$2:$A2446, MATCH(B2389,'Room Info'!$H$2:$H2446, 0)),IF(G2389='Room Info'!$G$1, INDEX('Room Info'!$A$2:$A2446, MATCH(B2389,'Room Info'!$G$2:$G2446, 0)))))))))</f>
        <v>0</v>
      </c>
      <c r="B2389" s="65"/>
      <c r="C2389" s="111"/>
      <c r="D2389" s="111"/>
      <c r="E2389" s="80"/>
      <c r="F2389" s="133"/>
      <c r="G2389" s="65"/>
      <c r="H2389" s="110"/>
      <c r="I2389" s="110"/>
      <c r="J2389" s="39" t="s">
        <v>334</v>
      </c>
      <c r="K2389" s="112"/>
      <c r="L2389" s="138"/>
      <c r="M2389" s="62"/>
      <c r="N2389" s="28" t="e">
        <f t="shared" si="8"/>
        <v>#VALUE!</v>
      </c>
      <c r="O2389" s="128"/>
      <c r="P2389" s="29" t="s">
        <v>334</v>
      </c>
      <c r="Q2389" s="55"/>
      <c r="R2389" s="31" t="e">
        <f t="shared" si="9"/>
        <v>#VALUE!</v>
      </c>
      <c r="S2389" s="118"/>
      <c r="T2389" s="32" t="e">
        <f t="shared" si="10"/>
        <v>#VALUE!</v>
      </c>
      <c r="U2389" s="57"/>
      <c r="V2389" s="58"/>
      <c r="W2389" s="58"/>
      <c r="X2389" s="30" t="e">
        <f t="shared" si="11"/>
        <v>#N/A</v>
      </c>
      <c r="Y2389" s="30" t="e">
        <f t="shared" si="12"/>
        <v>#N/A</v>
      </c>
      <c r="Z2389" s="35" t="e">
        <f t="shared" si="13"/>
        <v>#VALUE!</v>
      </c>
      <c r="AA2389" s="29" t="e">
        <f t="shared" si="14"/>
        <v>#VALUE!</v>
      </c>
      <c r="AB2389" s="36" t="e">
        <f t="shared" si="15"/>
        <v>#VALUE!</v>
      </c>
      <c r="AC2389" s="37" t="b">
        <v>0</v>
      </c>
      <c r="AD2389" s="61" t="str">
        <f t="shared" si="16"/>
        <v>USD</v>
      </c>
      <c r="AE2389" s="37"/>
      <c r="AF2389" s="37" t="e">
        <f t="array" ref="AF2389">INDEX('Deal Info'!D:D, MATCH(A2389,'Deal Info'!A:A, 0))</f>
        <v>#N/A</v>
      </c>
      <c r="AG2389" s="38" t="e">
        <f t="array" ref="AG2389">INDEX('Deal Info'!G:G, MATCH(A2389,'Deal Info'!A:A, 0))</f>
        <v>#N/A</v>
      </c>
    </row>
    <row r="2390" spans="1:33" ht="14.25" hidden="1" x14ac:dyDescent="0.2">
      <c r="A2390" s="18" t="b">
        <f t="array" ref="A2390">IF(G2390='Room Info'!$B$1, INDEX('Room Info'!$A$2:$A2446, MATCH(B2390,'Room Info'!$B$2:$B2446, 0)),IF(G2390='Room Info'!$C$1, INDEX('Room Info'!$A$2:$A2446, MATCH(B2390,'Room Info'!$C$2:$C2446, 0)),IF(G2390='Room Info'!$D$1, INDEX('Room Info'!$A$2:$A2446, MATCH(B2390,'Room Info'!$D$2:$D2446, 0)),IF(G2390='Room Info'!$E$1, INDEX('Room Info'!$A$2:$A2446, MATCH(B2390,'Room Info'!$E$2:$E2446, 0)),IF(G2390='Room Info'!$F$1, INDEX('Room Info'!$A$2:$A2446, MATCH(B2390,'Room Info'!$F$2:$F2446, 0)),IF(G2390='Room Info'!$H$1, INDEX('Room Info'!$A$2:$A2446, MATCH(B2390,'Room Info'!$H$2:$H2446, 0)),IF(G2390='Room Info'!$G$1, INDEX('Room Info'!$A$2:$A2446, MATCH(B2390,'Room Info'!$G$2:$G2446, 0)))))))))</f>
        <v>0</v>
      </c>
      <c r="B2390" s="65"/>
      <c r="C2390" s="111"/>
      <c r="D2390" s="111"/>
      <c r="E2390" s="80"/>
      <c r="F2390" s="133"/>
      <c r="G2390" s="65"/>
      <c r="H2390" s="110"/>
      <c r="I2390" s="110"/>
      <c r="J2390" s="39" t="s">
        <v>334</v>
      </c>
      <c r="K2390" s="112"/>
      <c r="L2390" s="138"/>
      <c r="M2390" s="62"/>
      <c r="N2390" s="28" t="e">
        <f t="shared" si="8"/>
        <v>#VALUE!</v>
      </c>
      <c r="O2390" s="128"/>
      <c r="P2390" s="29" t="s">
        <v>334</v>
      </c>
      <c r="Q2390" s="55"/>
      <c r="R2390" s="31" t="e">
        <f t="shared" si="9"/>
        <v>#VALUE!</v>
      </c>
      <c r="S2390" s="118"/>
      <c r="T2390" s="32" t="e">
        <f t="shared" si="10"/>
        <v>#VALUE!</v>
      </c>
      <c r="U2390" s="57"/>
      <c r="V2390" s="58"/>
      <c r="W2390" s="58"/>
      <c r="X2390" s="30" t="e">
        <f t="shared" si="11"/>
        <v>#N/A</v>
      </c>
      <c r="Y2390" s="30" t="e">
        <f t="shared" si="12"/>
        <v>#N/A</v>
      </c>
      <c r="Z2390" s="35" t="e">
        <f t="shared" si="13"/>
        <v>#VALUE!</v>
      </c>
      <c r="AA2390" s="29" t="e">
        <f t="shared" si="14"/>
        <v>#VALUE!</v>
      </c>
      <c r="AB2390" s="36" t="e">
        <f t="shared" si="15"/>
        <v>#VALUE!</v>
      </c>
      <c r="AC2390" s="37" t="b">
        <v>0</v>
      </c>
      <c r="AD2390" s="61" t="str">
        <f t="shared" si="16"/>
        <v>USD</v>
      </c>
      <c r="AE2390" s="37"/>
      <c r="AF2390" s="37" t="e">
        <f t="array" ref="AF2390">INDEX('Deal Info'!D:D, MATCH(A2390,'Deal Info'!A:A, 0))</f>
        <v>#N/A</v>
      </c>
      <c r="AG2390" s="38" t="e">
        <f t="array" ref="AG2390">INDEX('Deal Info'!G:G, MATCH(A2390,'Deal Info'!A:A, 0))</f>
        <v>#N/A</v>
      </c>
    </row>
    <row r="2391" spans="1:33" ht="14.25" hidden="1" x14ac:dyDescent="0.2">
      <c r="A2391" s="18" t="b">
        <f t="array" ref="A2391">IF(G2391='Room Info'!$B$1, INDEX('Room Info'!$A$2:$A2446, MATCH(B2391,'Room Info'!$B$2:$B2446, 0)),IF(G2391='Room Info'!$C$1, INDEX('Room Info'!$A$2:$A2446, MATCH(B2391,'Room Info'!$C$2:$C2446, 0)),IF(G2391='Room Info'!$D$1, INDEX('Room Info'!$A$2:$A2446, MATCH(B2391,'Room Info'!$D$2:$D2446, 0)),IF(G2391='Room Info'!$E$1, INDEX('Room Info'!$A$2:$A2446, MATCH(B2391,'Room Info'!$E$2:$E2446, 0)),IF(G2391='Room Info'!$F$1, INDEX('Room Info'!$A$2:$A2446, MATCH(B2391,'Room Info'!$F$2:$F2446, 0)),IF(G2391='Room Info'!$H$1, INDEX('Room Info'!$A$2:$A2446, MATCH(B2391,'Room Info'!$H$2:$H2446, 0)),IF(G2391='Room Info'!$G$1, INDEX('Room Info'!$A$2:$A2446, MATCH(B2391,'Room Info'!$G$2:$G2446, 0)))))))))</f>
        <v>0</v>
      </c>
      <c r="B2391" s="96"/>
      <c r="C2391" s="136"/>
      <c r="D2391" s="136"/>
      <c r="E2391" s="137"/>
      <c r="F2391" s="133"/>
      <c r="G2391" s="96"/>
      <c r="H2391" s="100"/>
      <c r="I2391" s="100"/>
      <c r="J2391" s="39" t="s">
        <v>334</v>
      </c>
      <c r="K2391" s="134"/>
      <c r="L2391" s="135"/>
      <c r="M2391" s="79"/>
      <c r="N2391" s="28" t="e">
        <f t="shared" si="8"/>
        <v>#VALUE!</v>
      </c>
      <c r="O2391" s="96"/>
      <c r="P2391" s="29" t="s">
        <v>334</v>
      </c>
      <c r="Q2391" s="55"/>
      <c r="R2391" s="31" t="e">
        <f t="shared" si="9"/>
        <v>#VALUE!</v>
      </c>
      <c r="S2391" s="97"/>
      <c r="T2391" s="32" t="e">
        <f t="shared" si="10"/>
        <v>#VALUE!</v>
      </c>
      <c r="U2391" s="57"/>
      <c r="V2391" s="58"/>
      <c r="W2391" s="58"/>
      <c r="X2391" s="30" t="e">
        <f t="shared" si="11"/>
        <v>#N/A</v>
      </c>
      <c r="Y2391" s="30" t="e">
        <f t="shared" si="12"/>
        <v>#N/A</v>
      </c>
      <c r="Z2391" s="35" t="e">
        <f t="shared" si="13"/>
        <v>#VALUE!</v>
      </c>
      <c r="AA2391" s="29" t="e">
        <f t="shared" si="14"/>
        <v>#VALUE!</v>
      </c>
      <c r="AB2391" s="36" t="e">
        <f t="shared" si="15"/>
        <v>#VALUE!</v>
      </c>
      <c r="AC2391" s="37" t="b">
        <v>0</v>
      </c>
      <c r="AD2391" s="61" t="str">
        <f t="shared" si="16"/>
        <v>USD</v>
      </c>
      <c r="AE2391" s="37"/>
      <c r="AF2391" s="37" t="e">
        <f t="array" ref="AF2391">INDEX('Deal Info'!D:D, MATCH(A2391,'Deal Info'!A:A, 0))</f>
        <v>#N/A</v>
      </c>
      <c r="AG2391" s="38" t="e">
        <f t="array" ref="AG2391">INDEX('Deal Info'!G:G, MATCH(A2391,'Deal Info'!A:A, 0))</f>
        <v>#N/A</v>
      </c>
    </row>
    <row r="2392" spans="1:33" ht="14.25" hidden="1" x14ac:dyDescent="0.2">
      <c r="A2392" s="18" t="b">
        <f t="array" ref="A2392">IF(G2392='Room Info'!$B$1, INDEX('Room Info'!$A$2:$A2446, MATCH(B2392,'Room Info'!$B$2:$B2446, 0)),IF(G2392='Room Info'!$C$1, INDEX('Room Info'!$A$2:$A2446, MATCH(B2392,'Room Info'!$C$2:$C2446, 0)),IF(G2392='Room Info'!$D$1, INDEX('Room Info'!$A$2:$A2446, MATCH(B2392,'Room Info'!$D$2:$D2446, 0)),IF(G2392='Room Info'!$E$1, INDEX('Room Info'!$A$2:$A2446, MATCH(B2392,'Room Info'!$E$2:$E2446, 0)),IF(G2392='Room Info'!$F$1, INDEX('Room Info'!$A$2:$A2446, MATCH(B2392,'Room Info'!$F$2:$F2446, 0)),IF(G2392='Room Info'!$H$1, INDEX('Room Info'!$A$2:$A2446, MATCH(B2392,'Room Info'!$H$2:$H2446, 0)),IF(G2392='Room Info'!$G$1, INDEX('Room Info'!$A$2:$A2446, MATCH(B2392,'Room Info'!$G$2:$G2446, 0)))))))))</f>
        <v>0</v>
      </c>
      <c r="B2392" s="96"/>
      <c r="C2392" s="136"/>
      <c r="D2392" s="136"/>
      <c r="E2392" s="137"/>
      <c r="F2392" s="133"/>
      <c r="G2392" s="96"/>
      <c r="H2392" s="100"/>
      <c r="I2392" s="100"/>
      <c r="J2392" s="39" t="s">
        <v>334</v>
      </c>
      <c r="K2392" s="134"/>
      <c r="L2392" s="135"/>
      <c r="M2392" s="79"/>
      <c r="N2392" s="28" t="e">
        <f t="shared" si="8"/>
        <v>#VALUE!</v>
      </c>
      <c r="O2392" s="96"/>
      <c r="P2392" s="29" t="s">
        <v>334</v>
      </c>
      <c r="Q2392" s="55"/>
      <c r="R2392" s="31" t="e">
        <f t="shared" si="9"/>
        <v>#VALUE!</v>
      </c>
      <c r="S2392" s="97"/>
      <c r="T2392" s="32" t="e">
        <f t="shared" si="10"/>
        <v>#VALUE!</v>
      </c>
      <c r="U2392" s="57"/>
      <c r="V2392" s="58"/>
      <c r="W2392" s="58"/>
      <c r="X2392" s="30" t="e">
        <f t="shared" si="11"/>
        <v>#N/A</v>
      </c>
      <c r="Y2392" s="30" t="e">
        <f t="shared" si="12"/>
        <v>#N/A</v>
      </c>
      <c r="Z2392" s="35" t="e">
        <f t="shared" si="13"/>
        <v>#VALUE!</v>
      </c>
      <c r="AA2392" s="29" t="e">
        <f t="shared" si="14"/>
        <v>#VALUE!</v>
      </c>
      <c r="AB2392" s="36" t="e">
        <f t="shared" si="15"/>
        <v>#VALUE!</v>
      </c>
      <c r="AC2392" s="37" t="b">
        <v>0</v>
      </c>
      <c r="AD2392" s="61" t="str">
        <f t="shared" si="16"/>
        <v>USD</v>
      </c>
      <c r="AE2392" s="37"/>
      <c r="AF2392" s="37" t="e">
        <f t="array" ref="AF2392">INDEX('Deal Info'!D:D, MATCH(A2392,'Deal Info'!A:A, 0))</f>
        <v>#N/A</v>
      </c>
      <c r="AG2392" s="38" t="e">
        <f t="array" ref="AG2392">INDEX('Deal Info'!G:G, MATCH(A2392,'Deal Info'!A:A, 0))</f>
        <v>#N/A</v>
      </c>
    </row>
    <row r="2393" spans="1:33" ht="14.25" hidden="1" x14ac:dyDescent="0.2">
      <c r="A2393" s="18" t="b">
        <f t="array" ref="A2393">IF(G2393='Room Info'!$B$1, INDEX('Room Info'!$A$2:$A2446, MATCH(B2393,'Room Info'!$B$2:$B2446, 0)),IF(G2393='Room Info'!$C$1, INDEX('Room Info'!$A$2:$A2446, MATCH(B2393,'Room Info'!$C$2:$C2446, 0)),IF(G2393='Room Info'!$D$1, INDEX('Room Info'!$A$2:$A2446, MATCH(B2393,'Room Info'!$D$2:$D2446, 0)),IF(G2393='Room Info'!$E$1, INDEX('Room Info'!$A$2:$A2446, MATCH(B2393,'Room Info'!$E$2:$E2446, 0)),IF(G2393='Room Info'!$F$1, INDEX('Room Info'!$A$2:$A2446, MATCH(B2393,'Room Info'!$F$2:$F2446, 0)),IF(G2393='Room Info'!$H$1, INDEX('Room Info'!$A$2:$A2446, MATCH(B2393,'Room Info'!$H$2:$H2446, 0)),IF(G2393='Room Info'!$G$1, INDEX('Room Info'!$A$2:$A2446, MATCH(B2393,'Room Info'!$G$2:$G2446, 0)))))))))</f>
        <v>0</v>
      </c>
      <c r="B2393" s="96"/>
      <c r="C2393" s="136"/>
      <c r="D2393" s="136"/>
      <c r="E2393" s="137"/>
      <c r="F2393" s="133"/>
      <c r="G2393" s="96"/>
      <c r="H2393" s="100"/>
      <c r="I2393" s="100"/>
      <c r="J2393" s="39" t="s">
        <v>334</v>
      </c>
      <c r="K2393" s="134"/>
      <c r="L2393" s="135"/>
      <c r="M2393" s="79"/>
      <c r="N2393" s="28" t="e">
        <f t="shared" si="8"/>
        <v>#VALUE!</v>
      </c>
      <c r="O2393" s="96"/>
      <c r="P2393" s="29" t="s">
        <v>334</v>
      </c>
      <c r="Q2393" s="55"/>
      <c r="R2393" s="31" t="e">
        <f t="shared" si="9"/>
        <v>#VALUE!</v>
      </c>
      <c r="S2393" s="97"/>
      <c r="T2393" s="32" t="e">
        <f t="shared" si="10"/>
        <v>#VALUE!</v>
      </c>
      <c r="U2393" s="57"/>
      <c r="V2393" s="58"/>
      <c r="W2393" s="58"/>
      <c r="X2393" s="30" t="e">
        <f t="shared" si="11"/>
        <v>#N/A</v>
      </c>
      <c r="Y2393" s="30" t="e">
        <f t="shared" si="12"/>
        <v>#N/A</v>
      </c>
      <c r="Z2393" s="35" t="e">
        <f t="shared" si="13"/>
        <v>#VALUE!</v>
      </c>
      <c r="AA2393" s="29" t="e">
        <f t="shared" si="14"/>
        <v>#VALUE!</v>
      </c>
      <c r="AB2393" s="36" t="e">
        <f t="shared" si="15"/>
        <v>#VALUE!</v>
      </c>
      <c r="AC2393" s="37" t="b">
        <v>0</v>
      </c>
      <c r="AD2393" s="61" t="str">
        <f t="shared" si="16"/>
        <v>USD</v>
      </c>
      <c r="AE2393" s="37"/>
      <c r="AF2393" s="37" t="e">
        <f t="array" ref="AF2393">INDEX('Deal Info'!D:D, MATCH(A2393,'Deal Info'!A:A, 0))</f>
        <v>#N/A</v>
      </c>
      <c r="AG2393" s="38" t="e">
        <f t="array" ref="AG2393">INDEX('Deal Info'!G:G, MATCH(A2393,'Deal Info'!A:A, 0))</f>
        <v>#N/A</v>
      </c>
    </row>
    <row r="2394" spans="1:33" ht="14.25" hidden="1" x14ac:dyDescent="0.2">
      <c r="A2394" s="18" t="b">
        <f t="array" ref="A2394">IF(G2394='Room Info'!$B$1, INDEX('Room Info'!$A$2:$A2446, MATCH(B2394,'Room Info'!$B$2:$B2446, 0)),IF(G2394='Room Info'!$C$1, INDEX('Room Info'!$A$2:$A2446, MATCH(B2394,'Room Info'!$C$2:$C2446, 0)),IF(G2394='Room Info'!$D$1, INDEX('Room Info'!$A$2:$A2446, MATCH(B2394,'Room Info'!$D$2:$D2446, 0)),IF(G2394='Room Info'!$E$1, INDEX('Room Info'!$A$2:$A2446, MATCH(B2394,'Room Info'!$E$2:$E2446, 0)),IF(G2394='Room Info'!$F$1, INDEX('Room Info'!$A$2:$A2446, MATCH(B2394,'Room Info'!$F$2:$F2446, 0)),IF(G2394='Room Info'!$H$1, INDEX('Room Info'!$A$2:$A2446, MATCH(B2394,'Room Info'!$H$2:$H2446, 0)),IF(G2394='Room Info'!$G$1, INDEX('Room Info'!$A$2:$A2446, MATCH(B2394,'Room Info'!$G$2:$G2446, 0)))))))))</f>
        <v>0</v>
      </c>
      <c r="B2394" s="96"/>
      <c r="C2394" s="136"/>
      <c r="D2394" s="136"/>
      <c r="E2394" s="137"/>
      <c r="F2394" s="133"/>
      <c r="G2394" s="96"/>
      <c r="H2394" s="100"/>
      <c r="I2394" s="100"/>
      <c r="J2394" s="39" t="s">
        <v>334</v>
      </c>
      <c r="K2394" s="134"/>
      <c r="L2394" s="135"/>
      <c r="M2394" s="79"/>
      <c r="N2394" s="28" t="e">
        <f t="shared" si="8"/>
        <v>#VALUE!</v>
      </c>
      <c r="O2394" s="96"/>
      <c r="P2394" s="29" t="s">
        <v>334</v>
      </c>
      <c r="Q2394" s="55"/>
      <c r="R2394" s="31" t="e">
        <f t="shared" si="9"/>
        <v>#VALUE!</v>
      </c>
      <c r="S2394" s="97"/>
      <c r="T2394" s="32" t="e">
        <f t="shared" si="10"/>
        <v>#VALUE!</v>
      </c>
      <c r="U2394" s="57"/>
      <c r="V2394" s="58"/>
      <c r="W2394" s="58"/>
      <c r="X2394" s="30" t="e">
        <f t="shared" si="11"/>
        <v>#N/A</v>
      </c>
      <c r="Y2394" s="30" t="e">
        <f t="shared" si="12"/>
        <v>#N/A</v>
      </c>
      <c r="Z2394" s="35" t="e">
        <f t="shared" si="13"/>
        <v>#VALUE!</v>
      </c>
      <c r="AA2394" s="29" t="e">
        <f t="shared" si="14"/>
        <v>#VALUE!</v>
      </c>
      <c r="AB2394" s="36" t="e">
        <f t="shared" si="15"/>
        <v>#VALUE!</v>
      </c>
      <c r="AC2394" s="37" t="b">
        <v>0</v>
      </c>
      <c r="AD2394" s="61" t="str">
        <f t="shared" si="16"/>
        <v>USD</v>
      </c>
      <c r="AE2394" s="37"/>
      <c r="AF2394" s="37" t="e">
        <f t="array" ref="AF2394">INDEX('Deal Info'!D:D, MATCH(A2394,'Deal Info'!A:A, 0))</f>
        <v>#N/A</v>
      </c>
      <c r="AG2394" s="38" t="e">
        <f t="array" ref="AG2394">INDEX('Deal Info'!G:G, MATCH(A2394,'Deal Info'!A:A, 0))</f>
        <v>#N/A</v>
      </c>
    </row>
    <row r="2395" spans="1:33" ht="14.25" hidden="1" x14ac:dyDescent="0.2">
      <c r="A2395" s="18" t="b">
        <f t="array" ref="A2395">IF(G2395='Room Info'!$B$1, INDEX('Room Info'!$A$2:$A2446, MATCH(B2395,'Room Info'!$B$2:$B2446, 0)),IF(G2395='Room Info'!$C$1, INDEX('Room Info'!$A$2:$A2446, MATCH(B2395,'Room Info'!$C$2:$C2446, 0)),IF(G2395='Room Info'!$D$1, INDEX('Room Info'!$A$2:$A2446, MATCH(B2395,'Room Info'!$D$2:$D2446, 0)),IF(G2395='Room Info'!$E$1, INDEX('Room Info'!$A$2:$A2446, MATCH(B2395,'Room Info'!$E$2:$E2446, 0)),IF(G2395='Room Info'!$F$1, INDEX('Room Info'!$A$2:$A2446, MATCH(B2395,'Room Info'!$F$2:$F2446, 0)),IF(G2395='Room Info'!$H$1, INDEX('Room Info'!$A$2:$A2446, MATCH(B2395,'Room Info'!$H$2:$H2446, 0)),IF(G2395='Room Info'!$G$1, INDEX('Room Info'!$A$2:$A2446, MATCH(B2395,'Room Info'!$G$2:$G2446, 0)))))))))</f>
        <v>0</v>
      </c>
      <c r="B2395" s="96"/>
      <c r="C2395" s="136"/>
      <c r="D2395" s="136"/>
      <c r="E2395" s="137"/>
      <c r="F2395" s="133"/>
      <c r="G2395" s="96"/>
      <c r="H2395" s="100"/>
      <c r="I2395" s="100"/>
      <c r="J2395" s="39" t="s">
        <v>334</v>
      </c>
      <c r="K2395" s="134"/>
      <c r="L2395" s="135"/>
      <c r="M2395" s="79"/>
      <c r="N2395" s="28" t="e">
        <f t="shared" si="8"/>
        <v>#VALUE!</v>
      </c>
      <c r="O2395" s="96"/>
      <c r="P2395" s="29" t="s">
        <v>334</v>
      </c>
      <c r="Q2395" s="55"/>
      <c r="R2395" s="31" t="e">
        <f t="shared" si="9"/>
        <v>#VALUE!</v>
      </c>
      <c r="S2395" s="97"/>
      <c r="T2395" s="32" t="e">
        <f t="shared" si="10"/>
        <v>#VALUE!</v>
      </c>
      <c r="U2395" s="57"/>
      <c r="V2395" s="58"/>
      <c r="W2395" s="58"/>
      <c r="X2395" s="30" t="e">
        <f t="shared" si="11"/>
        <v>#N/A</v>
      </c>
      <c r="Y2395" s="30" t="e">
        <f t="shared" si="12"/>
        <v>#N/A</v>
      </c>
      <c r="Z2395" s="35" t="e">
        <f t="shared" si="13"/>
        <v>#VALUE!</v>
      </c>
      <c r="AA2395" s="29" t="e">
        <f t="shared" si="14"/>
        <v>#VALUE!</v>
      </c>
      <c r="AB2395" s="36" t="e">
        <f t="shared" si="15"/>
        <v>#VALUE!</v>
      </c>
      <c r="AC2395" s="37" t="b">
        <v>0</v>
      </c>
      <c r="AD2395" s="61" t="str">
        <f t="shared" si="16"/>
        <v>USD</v>
      </c>
      <c r="AE2395" s="37"/>
      <c r="AF2395" s="37" t="e">
        <f t="array" ref="AF2395">INDEX('Deal Info'!D:D, MATCH(A2395,'Deal Info'!A:A, 0))</f>
        <v>#N/A</v>
      </c>
      <c r="AG2395" s="38" t="e">
        <f t="array" ref="AG2395">INDEX('Deal Info'!G:G, MATCH(A2395,'Deal Info'!A:A, 0))</f>
        <v>#N/A</v>
      </c>
    </row>
    <row r="2396" spans="1:33" ht="14.25" hidden="1" x14ac:dyDescent="0.2">
      <c r="A2396" s="18" t="b">
        <f t="array" ref="A2396">IF(G2396='Room Info'!$B$1, INDEX('Room Info'!$A$2:$A2446, MATCH(B2396,'Room Info'!$B$2:$B2446, 0)),IF(G2396='Room Info'!$C$1, INDEX('Room Info'!$A$2:$A2446, MATCH(B2396,'Room Info'!$C$2:$C2446, 0)),IF(G2396='Room Info'!$D$1, INDEX('Room Info'!$A$2:$A2446, MATCH(B2396,'Room Info'!$D$2:$D2446, 0)),IF(G2396='Room Info'!$E$1, INDEX('Room Info'!$A$2:$A2446, MATCH(B2396,'Room Info'!$E$2:$E2446, 0)),IF(G2396='Room Info'!$F$1, INDEX('Room Info'!$A$2:$A2446, MATCH(B2396,'Room Info'!$F$2:$F2446, 0)),IF(G2396='Room Info'!$H$1, INDEX('Room Info'!$A$2:$A2446, MATCH(B2396,'Room Info'!$H$2:$H2446, 0)),IF(G2396='Room Info'!$G$1, INDEX('Room Info'!$A$2:$A2446, MATCH(B2396,'Room Info'!$G$2:$G2446, 0)))))))))</f>
        <v>0</v>
      </c>
      <c r="B2396" s="96"/>
      <c r="C2396" s="136"/>
      <c r="D2396" s="136"/>
      <c r="E2396" s="137"/>
      <c r="F2396" s="133"/>
      <c r="G2396" s="96"/>
      <c r="H2396" s="110"/>
      <c r="I2396" s="110"/>
      <c r="J2396" s="39" t="s">
        <v>334</v>
      </c>
      <c r="K2396" s="112"/>
      <c r="L2396" s="113"/>
      <c r="M2396" s="62"/>
      <c r="N2396" s="28" t="e">
        <f t="shared" si="8"/>
        <v>#VALUE!</v>
      </c>
      <c r="O2396" s="65"/>
      <c r="P2396" s="29" t="s">
        <v>334</v>
      </c>
      <c r="Q2396" s="55"/>
      <c r="R2396" s="31" t="e">
        <f t="shared" si="9"/>
        <v>#VALUE!</v>
      </c>
      <c r="S2396" s="66"/>
      <c r="T2396" s="32" t="e">
        <f t="shared" si="10"/>
        <v>#VALUE!</v>
      </c>
      <c r="U2396" s="57"/>
      <c r="V2396" s="58"/>
      <c r="W2396" s="58"/>
      <c r="X2396" s="30" t="e">
        <f t="shared" si="11"/>
        <v>#N/A</v>
      </c>
      <c r="Y2396" s="30" t="e">
        <f t="shared" si="12"/>
        <v>#N/A</v>
      </c>
      <c r="Z2396" s="35" t="e">
        <f t="shared" si="13"/>
        <v>#VALUE!</v>
      </c>
      <c r="AA2396" s="29" t="e">
        <f t="shared" si="14"/>
        <v>#VALUE!</v>
      </c>
      <c r="AB2396" s="36" t="e">
        <f t="shared" si="15"/>
        <v>#VALUE!</v>
      </c>
      <c r="AC2396" s="37" t="b">
        <v>0</v>
      </c>
      <c r="AD2396" s="61" t="str">
        <f t="shared" si="16"/>
        <v>USD</v>
      </c>
      <c r="AE2396" s="37"/>
      <c r="AF2396" s="37" t="e">
        <f t="array" ref="AF2396">INDEX('Deal Info'!D:D, MATCH(A2396,'Deal Info'!A:A, 0))</f>
        <v>#N/A</v>
      </c>
      <c r="AG2396" s="38" t="e">
        <f t="array" ref="AG2396">INDEX('Deal Info'!G:G, MATCH(A2396,'Deal Info'!A:A, 0))</f>
        <v>#N/A</v>
      </c>
    </row>
    <row r="2397" spans="1:33" ht="14.25" hidden="1" x14ac:dyDescent="0.2">
      <c r="A2397" s="18" t="b">
        <f t="array" ref="A2397">IF(G2397='Room Info'!$B$1, INDEX('Room Info'!$A$2:$A2446, MATCH(B2397,'Room Info'!$B$2:$B2446, 0)),IF(G2397='Room Info'!$C$1, INDEX('Room Info'!$A$2:$A2446, MATCH(B2397,'Room Info'!$C$2:$C2446, 0)),IF(G2397='Room Info'!$D$1, INDEX('Room Info'!$A$2:$A2446, MATCH(B2397,'Room Info'!$D$2:$D2446, 0)),IF(G2397='Room Info'!$E$1, INDEX('Room Info'!$A$2:$A2446, MATCH(B2397,'Room Info'!$E$2:$E2446, 0)),IF(G2397='Room Info'!$F$1, INDEX('Room Info'!$A$2:$A2446, MATCH(B2397,'Room Info'!$F$2:$F2446, 0)),IF(G2397='Room Info'!$H$1, INDEX('Room Info'!$A$2:$A2446, MATCH(B2397,'Room Info'!$H$2:$H2446, 0)),IF(G2397='Room Info'!$G$1, INDEX('Room Info'!$A$2:$A2446, MATCH(B2397,'Room Info'!$G$2:$G2446, 0)))))))))</f>
        <v>0</v>
      </c>
      <c r="B2397" s="96"/>
      <c r="C2397" s="136"/>
      <c r="D2397" s="136"/>
      <c r="E2397" s="137"/>
      <c r="F2397" s="133"/>
      <c r="G2397" s="96"/>
      <c r="H2397" s="110"/>
      <c r="I2397" s="110"/>
      <c r="J2397" s="39" t="s">
        <v>334</v>
      </c>
      <c r="K2397" s="112"/>
      <c r="L2397" s="113"/>
      <c r="M2397" s="62"/>
      <c r="N2397" s="28" t="e">
        <f t="shared" si="8"/>
        <v>#VALUE!</v>
      </c>
      <c r="O2397" s="65"/>
      <c r="P2397" s="29" t="s">
        <v>334</v>
      </c>
      <c r="Q2397" s="55"/>
      <c r="R2397" s="31" t="e">
        <f t="shared" si="9"/>
        <v>#VALUE!</v>
      </c>
      <c r="S2397" s="66"/>
      <c r="T2397" s="32" t="e">
        <f t="shared" si="10"/>
        <v>#VALUE!</v>
      </c>
      <c r="U2397" s="57"/>
      <c r="V2397" s="58"/>
      <c r="W2397" s="58"/>
      <c r="X2397" s="30" t="e">
        <f t="shared" si="11"/>
        <v>#N/A</v>
      </c>
      <c r="Y2397" s="30" t="e">
        <f t="shared" si="12"/>
        <v>#N/A</v>
      </c>
      <c r="Z2397" s="35" t="e">
        <f t="shared" si="13"/>
        <v>#VALUE!</v>
      </c>
      <c r="AA2397" s="29" t="e">
        <f t="shared" si="14"/>
        <v>#VALUE!</v>
      </c>
      <c r="AB2397" s="36" t="e">
        <f t="shared" si="15"/>
        <v>#VALUE!</v>
      </c>
      <c r="AC2397" s="37" t="b">
        <v>0</v>
      </c>
      <c r="AD2397" s="61" t="str">
        <f t="shared" si="16"/>
        <v>USD</v>
      </c>
      <c r="AE2397" s="37"/>
      <c r="AF2397" s="37" t="e">
        <f t="array" ref="AF2397">INDEX('Deal Info'!D:D, MATCH(A2397,'Deal Info'!A:A, 0))</f>
        <v>#N/A</v>
      </c>
      <c r="AG2397" s="38" t="e">
        <f t="array" ref="AG2397">INDEX('Deal Info'!G:G, MATCH(A2397,'Deal Info'!A:A, 0))</f>
        <v>#N/A</v>
      </c>
    </row>
    <row r="2398" spans="1:33" ht="14.25" hidden="1" x14ac:dyDescent="0.2">
      <c r="A2398" s="18" t="b">
        <f t="array" ref="A2398">IF(G2398='Room Info'!$B$1, INDEX('Room Info'!$A$2:$A2446, MATCH(B2398,'Room Info'!$B$2:$B2446, 0)),IF(G2398='Room Info'!$C$1, INDEX('Room Info'!$A$2:$A2446, MATCH(B2398,'Room Info'!$C$2:$C2446, 0)),IF(G2398='Room Info'!$D$1, INDEX('Room Info'!$A$2:$A2446, MATCH(B2398,'Room Info'!$D$2:$D2446, 0)),IF(G2398='Room Info'!$E$1, INDEX('Room Info'!$A$2:$A2446, MATCH(B2398,'Room Info'!$E$2:$E2446, 0)),IF(G2398='Room Info'!$F$1, INDEX('Room Info'!$A$2:$A2446, MATCH(B2398,'Room Info'!$F$2:$F2446, 0)),IF(G2398='Room Info'!$H$1, INDEX('Room Info'!$A$2:$A2446, MATCH(B2398,'Room Info'!$H$2:$H2446, 0)),IF(G2398='Room Info'!$G$1, INDEX('Room Info'!$A$2:$A2446, MATCH(B2398,'Room Info'!$G$2:$G2446, 0)))))))))</f>
        <v>0</v>
      </c>
      <c r="B2398" s="96"/>
      <c r="C2398" s="136"/>
      <c r="D2398" s="136"/>
      <c r="E2398" s="137"/>
      <c r="F2398" s="133"/>
      <c r="G2398" s="96"/>
      <c r="H2398" s="110"/>
      <c r="I2398" s="110"/>
      <c r="J2398" s="39" t="s">
        <v>334</v>
      </c>
      <c r="K2398" s="112"/>
      <c r="L2398" s="113"/>
      <c r="M2398" s="62"/>
      <c r="N2398" s="28" t="e">
        <f t="shared" si="8"/>
        <v>#VALUE!</v>
      </c>
      <c r="O2398" s="65"/>
      <c r="P2398" s="29" t="s">
        <v>334</v>
      </c>
      <c r="Q2398" s="55"/>
      <c r="R2398" s="31" t="e">
        <f t="shared" si="9"/>
        <v>#VALUE!</v>
      </c>
      <c r="S2398" s="66"/>
      <c r="T2398" s="32" t="e">
        <f t="shared" si="10"/>
        <v>#VALUE!</v>
      </c>
      <c r="U2398" s="57"/>
      <c r="V2398" s="58"/>
      <c r="W2398" s="58"/>
      <c r="X2398" s="30" t="e">
        <f t="shared" si="11"/>
        <v>#N/A</v>
      </c>
      <c r="Y2398" s="30" t="e">
        <f t="shared" si="12"/>
        <v>#N/A</v>
      </c>
      <c r="Z2398" s="35" t="e">
        <f t="shared" si="13"/>
        <v>#VALUE!</v>
      </c>
      <c r="AA2398" s="29" t="e">
        <f t="shared" si="14"/>
        <v>#VALUE!</v>
      </c>
      <c r="AB2398" s="36" t="e">
        <f t="shared" si="15"/>
        <v>#VALUE!</v>
      </c>
      <c r="AC2398" s="37" t="b">
        <v>0</v>
      </c>
      <c r="AD2398" s="61" t="str">
        <f t="shared" si="16"/>
        <v>USD</v>
      </c>
      <c r="AE2398" s="37"/>
      <c r="AF2398" s="37" t="e">
        <f t="array" ref="AF2398">INDEX('Deal Info'!D:D, MATCH(A2398,'Deal Info'!A:A, 0))</f>
        <v>#N/A</v>
      </c>
      <c r="AG2398" s="38" t="e">
        <f t="array" ref="AG2398">INDEX('Deal Info'!G:G, MATCH(A2398,'Deal Info'!A:A, 0))</f>
        <v>#N/A</v>
      </c>
    </row>
    <row r="2399" spans="1:33" ht="14.25" hidden="1" x14ac:dyDescent="0.2">
      <c r="A2399" s="18" t="b">
        <f t="array" ref="A2399">IF(G2399='Room Info'!$B$1, INDEX('Room Info'!$A$2:$A2446, MATCH(B2399,'Room Info'!$B$2:$B2446, 0)),IF(G2399='Room Info'!$C$1, INDEX('Room Info'!$A$2:$A2446, MATCH(B2399,'Room Info'!$C$2:$C2446, 0)),IF(G2399='Room Info'!$D$1, INDEX('Room Info'!$A$2:$A2446, MATCH(B2399,'Room Info'!$D$2:$D2446, 0)),IF(G2399='Room Info'!$E$1, INDEX('Room Info'!$A$2:$A2446, MATCH(B2399,'Room Info'!$E$2:$E2446, 0)),IF(G2399='Room Info'!$F$1, INDEX('Room Info'!$A$2:$A2446, MATCH(B2399,'Room Info'!$F$2:$F2446, 0)),IF(G2399='Room Info'!$H$1, INDEX('Room Info'!$A$2:$A2446, MATCH(B2399,'Room Info'!$H$2:$H2446, 0)),IF(G2399='Room Info'!$G$1, INDEX('Room Info'!$A$2:$A2446, MATCH(B2399,'Room Info'!$G$2:$G2446, 0)))))))))</f>
        <v>0</v>
      </c>
      <c r="B2399" s="96"/>
      <c r="C2399" s="136"/>
      <c r="D2399" s="136"/>
      <c r="E2399" s="137"/>
      <c r="F2399" s="133"/>
      <c r="G2399" s="96"/>
      <c r="H2399" s="110"/>
      <c r="I2399" s="110"/>
      <c r="J2399" s="39" t="s">
        <v>334</v>
      </c>
      <c r="K2399" s="112"/>
      <c r="L2399" s="113"/>
      <c r="M2399" s="62"/>
      <c r="N2399" s="28" t="e">
        <f t="shared" si="8"/>
        <v>#VALUE!</v>
      </c>
      <c r="O2399" s="65"/>
      <c r="P2399" s="29" t="s">
        <v>334</v>
      </c>
      <c r="Q2399" s="55"/>
      <c r="R2399" s="31" t="e">
        <f t="shared" si="9"/>
        <v>#VALUE!</v>
      </c>
      <c r="S2399" s="66"/>
      <c r="T2399" s="32" t="e">
        <f t="shared" si="10"/>
        <v>#VALUE!</v>
      </c>
      <c r="U2399" s="57"/>
      <c r="V2399" s="58"/>
      <c r="W2399" s="58"/>
      <c r="X2399" s="30" t="e">
        <f t="shared" si="11"/>
        <v>#N/A</v>
      </c>
      <c r="Y2399" s="30" t="e">
        <f t="shared" si="12"/>
        <v>#N/A</v>
      </c>
      <c r="Z2399" s="35" t="e">
        <f t="shared" si="13"/>
        <v>#VALUE!</v>
      </c>
      <c r="AA2399" s="29" t="e">
        <f t="shared" si="14"/>
        <v>#VALUE!</v>
      </c>
      <c r="AB2399" s="36" t="e">
        <f t="shared" si="15"/>
        <v>#VALUE!</v>
      </c>
      <c r="AC2399" s="37" t="b">
        <v>0</v>
      </c>
      <c r="AD2399" s="61" t="str">
        <f t="shared" si="16"/>
        <v>USD</v>
      </c>
      <c r="AE2399" s="37"/>
      <c r="AF2399" s="37" t="e">
        <f t="array" ref="AF2399">INDEX('Deal Info'!D:D, MATCH(A2399,'Deal Info'!A:A, 0))</f>
        <v>#N/A</v>
      </c>
      <c r="AG2399" s="38" t="e">
        <f t="array" ref="AG2399">INDEX('Deal Info'!G:G, MATCH(A2399,'Deal Info'!A:A, 0))</f>
        <v>#N/A</v>
      </c>
    </row>
    <row r="2400" spans="1:33" ht="14.25" hidden="1" x14ac:dyDescent="0.2">
      <c r="A2400" s="18" t="b">
        <f t="array" ref="A2400">IF(G2400='Room Info'!$B$1, INDEX('Room Info'!$A$2:$A2446, MATCH(B2400,'Room Info'!$B$2:$B2446, 0)),IF(G2400='Room Info'!$C$1, INDEX('Room Info'!$A$2:$A2446, MATCH(B2400,'Room Info'!$C$2:$C2446, 0)),IF(G2400='Room Info'!$D$1, INDEX('Room Info'!$A$2:$A2446, MATCH(B2400,'Room Info'!$D$2:$D2446, 0)),IF(G2400='Room Info'!$E$1, INDEX('Room Info'!$A$2:$A2446, MATCH(B2400,'Room Info'!$E$2:$E2446, 0)),IF(G2400='Room Info'!$F$1, INDEX('Room Info'!$A$2:$A2446, MATCH(B2400,'Room Info'!$F$2:$F2446, 0)),IF(G2400='Room Info'!$H$1, INDEX('Room Info'!$A$2:$A2446, MATCH(B2400,'Room Info'!$H$2:$H2446, 0)),IF(G2400='Room Info'!$G$1, INDEX('Room Info'!$A$2:$A2446, MATCH(B2400,'Room Info'!$G$2:$G2446, 0)))))))))</f>
        <v>0</v>
      </c>
      <c r="B2400" s="96"/>
      <c r="C2400" s="136"/>
      <c r="D2400" s="136"/>
      <c r="E2400" s="137"/>
      <c r="F2400" s="133"/>
      <c r="G2400" s="96"/>
      <c r="H2400" s="100"/>
      <c r="I2400" s="100"/>
      <c r="J2400" s="39" t="s">
        <v>334</v>
      </c>
      <c r="K2400" s="112"/>
      <c r="L2400" s="113"/>
      <c r="M2400" s="62"/>
      <c r="N2400" s="28" t="e">
        <f t="shared" si="8"/>
        <v>#VALUE!</v>
      </c>
      <c r="O2400" s="65"/>
      <c r="P2400" s="29" t="s">
        <v>334</v>
      </c>
      <c r="Q2400" s="55"/>
      <c r="R2400" s="31" t="e">
        <f t="shared" si="9"/>
        <v>#VALUE!</v>
      </c>
      <c r="S2400" s="66"/>
      <c r="T2400" s="32" t="e">
        <f t="shared" si="10"/>
        <v>#VALUE!</v>
      </c>
      <c r="U2400" s="57"/>
      <c r="V2400" s="58"/>
      <c r="W2400" s="58"/>
      <c r="X2400" s="30" t="e">
        <f t="shared" si="11"/>
        <v>#N/A</v>
      </c>
      <c r="Y2400" s="30" t="e">
        <f t="shared" si="12"/>
        <v>#N/A</v>
      </c>
      <c r="Z2400" s="35" t="e">
        <f t="shared" si="13"/>
        <v>#VALUE!</v>
      </c>
      <c r="AA2400" s="29" t="e">
        <f t="shared" si="14"/>
        <v>#VALUE!</v>
      </c>
      <c r="AB2400" s="36" t="e">
        <f t="shared" si="15"/>
        <v>#VALUE!</v>
      </c>
      <c r="AC2400" s="37" t="b">
        <v>0</v>
      </c>
      <c r="AD2400" s="61" t="str">
        <f t="shared" si="16"/>
        <v>USD</v>
      </c>
      <c r="AE2400" s="37"/>
      <c r="AF2400" s="37" t="e">
        <f t="array" ref="AF2400">INDEX('Deal Info'!D:D, MATCH(A2400,'Deal Info'!A:A, 0))</f>
        <v>#N/A</v>
      </c>
      <c r="AG2400" s="38" t="e">
        <f t="array" ref="AG2400">INDEX('Deal Info'!G:G, MATCH(A2400,'Deal Info'!A:A, 0))</f>
        <v>#N/A</v>
      </c>
    </row>
    <row r="2401" spans="1:33" ht="14.25" hidden="1" x14ac:dyDescent="0.2">
      <c r="A2401" s="18" t="b">
        <f t="array" ref="A2401">IF(G2401='Room Info'!$B$1, INDEX('Room Info'!$A$2:$A2446, MATCH(B2401,'Room Info'!$B$2:$B2446, 0)),IF(G2401='Room Info'!$C$1, INDEX('Room Info'!$A$2:$A2446, MATCH(B2401,'Room Info'!$C$2:$C2446, 0)),IF(G2401='Room Info'!$D$1, INDEX('Room Info'!$A$2:$A2446, MATCH(B2401,'Room Info'!$D$2:$D2446, 0)),IF(G2401='Room Info'!$E$1, INDEX('Room Info'!$A$2:$A2446, MATCH(B2401,'Room Info'!$E$2:$E2446, 0)),IF(G2401='Room Info'!$F$1, INDEX('Room Info'!$A$2:$A2446, MATCH(B2401,'Room Info'!$F$2:$F2446, 0)),IF(G2401='Room Info'!$H$1, INDEX('Room Info'!$A$2:$A2446, MATCH(B2401,'Room Info'!$H$2:$H2446, 0)),IF(G2401='Room Info'!$G$1, INDEX('Room Info'!$A$2:$A2446, MATCH(B2401,'Room Info'!$G$2:$G2446, 0)))))))))</f>
        <v>0</v>
      </c>
      <c r="B2401" s="96"/>
      <c r="C2401" s="111"/>
      <c r="D2401" s="111"/>
      <c r="E2401" s="80"/>
      <c r="F2401" s="96"/>
      <c r="G2401" s="65"/>
      <c r="H2401" s="110"/>
      <c r="I2401" s="110"/>
      <c r="J2401" s="39" t="s">
        <v>334</v>
      </c>
      <c r="K2401" s="112"/>
      <c r="L2401" s="113"/>
      <c r="M2401" s="62"/>
      <c r="N2401" s="28" t="e">
        <f t="shared" si="8"/>
        <v>#VALUE!</v>
      </c>
      <c r="O2401" s="65"/>
      <c r="P2401" s="29" t="s">
        <v>334</v>
      </c>
      <c r="Q2401" s="55"/>
      <c r="R2401" s="31" t="e">
        <f t="shared" si="9"/>
        <v>#VALUE!</v>
      </c>
      <c r="S2401" s="66"/>
      <c r="T2401" s="32" t="e">
        <f t="shared" si="10"/>
        <v>#VALUE!</v>
      </c>
      <c r="U2401" s="57"/>
      <c r="V2401" s="58"/>
      <c r="W2401" s="58"/>
      <c r="X2401" s="30" t="e">
        <f t="shared" si="11"/>
        <v>#N/A</v>
      </c>
      <c r="Y2401" s="30" t="e">
        <f t="shared" si="12"/>
        <v>#N/A</v>
      </c>
      <c r="Z2401" s="35" t="e">
        <f t="shared" si="13"/>
        <v>#VALUE!</v>
      </c>
      <c r="AA2401" s="29" t="e">
        <f t="shared" si="14"/>
        <v>#VALUE!</v>
      </c>
      <c r="AB2401" s="36" t="e">
        <f t="shared" si="15"/>
        <v>#VALUE!</v>
      </c>
      <c r="AC2401" s="37" t="b">
        <v>0</v>
      </c>
      <c r="AD2401" s="61" t="str">
        <f t="shared" si="16"/>
        <v>USD</v>
      </c>
      <c r="AE2401" s="37"/>
      <c r="AF2401" s="37" t="e">
        <f t="array" ref="AF2401">INDEX('Deal Info'!D:D, MATCH(A2401,'Deal Info'!A:A, 0))</f>
        <v>#N/A</v>
      </c>
      <c r="AG2401" s="38" t="e">
        <f t="array" ref="AG2401">INDEX('Deal Info'!G:G, MATCH(A2401,'Deal Info'!A:A, 0))</f>
        <v>#N/A</v>
      </c>
    </row>
    <row r="2402" spans="1:33" ht="14.25" hidden="1" x14ac:dyDescent="0.2">
      <c r="A2402" s="18" t="b">
        <f t="array" ref="A2402">IF(G2402='Room Info'!$B$1, INDEX('Room Info'!$A$2:$A2446, MATCH(B2402,'Room Info'!$B$2:$B2446, 0)),IF(G2402='Room Info'!$C$1, INDEX('Room Info'!$A$2:$A2446, MATCH(B2402,'Room Info'!$C$2:$C2446, 0)),IF(G2402='Room Info'!$D$1, INDEX('Room Info'!$A$2:$A2446, MATCH(B2402,'Room Info'!$D$2:$D2446, 0)),IF(G2402='Room Info'!$E$1, INDEX('Room Info'!$A$2:$A2446, MATCH(B2402,'Room Info'!$E$2:$E2446, 0)),IF(G2402='Room Info'!$F$1, INDEX('Room Info'!$A$2:$A2446, MATCH(B2402,'Room Info'!$F$2:$F2446, 0)),IF(G2402='Room Info'!$H$1, INDEX('Room Info'!$A$2:$A2446, MATCH(B2402,'Room Info'!$H$2:$H2446, 0)),IF(G2402='Room Info'!$G$1, INDEX('Room Info'!$A$2:$A2446, MATCH(B2402,'Room Info'!$G$2:$G2446, 0)))))))))</f>
        <v>0</v>
      </c>
      <c r="B2402" s="96"/>
      <c r="C2402" s="111"/>
      <c r="D2402" s="111"/>
      <c r="E2402" s="80"/>
      <c r="F2402" s="96"/>
      <c r="G2402" s="65"/>
      <c r="H2402" s="110"/>
      <c r="I2402" s="110"/>
      <c r="J2402" s="39" t="s">
        <v>334</v>
      </c>
      <c r="K2402" s="112"/>
      <c r="L2402" s="113"/>
      <c r="M2402" s="62"/>
      <c r="N2402" s="28" t="e">
        <f t="shared" si="8"/>
        <v>#VALUE!</v>
      </c>
      <c r="O2402" s="65"/>
      <c r="P2402" s="29" t="s">
        <v>334</v>
      </c>
      <c r="Q2402" s="55"/>
      <c r="R2402" s="31" t="e">
        <f t="shared" si="9"/>
        <v>#VALUE!</v>
      </c>
      <c r="S2402" s="66"/>
      <c r="T2402" s="32" t="e">
        <f t="shared" si="10"/>
        <v>#VALUE!</v>
      </c>
      <c r="U2402" s="57"/>
      <c r="V2402" s="58"/>
      <c r="W2402" s="58"/>
      <c r="X2402" s="30" t="e">
        <f t="shared" si="11"/>
        <v>#N/A</v>
      </c>
      <c r="Y2402" s="30" t="e">
        <f t="shared" si="12"/>
        <v>#N/A</v>
      </c>
      <c r="Z2402" s="35" t="e">
        <f t="shared" si="13"/>
        <v>#VALUE!</v>
      </c>
      <c r="AA2402" s="29" t="e">
        <f t="shared" si="14"/>
        <v>#VALUE!</v>
      </c>
      <c r="AB2402" s="36" t="e">
        <f t="shared" si="15"/>
        <v>#VALUE!</v>
      </c>
      <c r="AC2402" s="37" t="b">
        <v>0</v>
      </c>
      <c r="AD2402" s="61" t="str">
        <f t="shared" si="16"/>
        <v>USD</v>
      </c>
      <c r="AE2402" s="37"/>
      <c r="AF2402" s="37" t="e">
        <f t="array" ref="AF2402">INDEX('Deal Info'!D:D, MATCH(A2402,'Deal Info'!A:A, 0))</f>
        <v>#N/A</v>
      </c>
      <c r="AG2402" s="38" t="e">
        <f t="array" ref="AG2402">INDEX('Deal Info'!G:G, MATCH(A2402,'Deal Info'!A:A, 0))</f>
        <v>#N/A</v>
      </c>
    </row>
    <row r="2403" spans="1:33" ht="14.25" hidden="1" x14ac:dyDescent="0.2">
      <c r="A2403" s="18" t="b">
        <f t="array" ref="A2403">IF(G2403='Room Info'!$B$1, INDEX('Room Info'!$A$2:$A2446, MATCH(B2403,'Room Info'!$B$2:$B2446, 0)),IF(G2403='Room Info'!$C$1, INDEX('Room Info'!$A$2:$A2446, MATCH(B2403,'Room Info'!$C$2:$C2446, 0)),IF(G2403='Room Info'!$D$1, INDEX('Room Info'!$A$2:$A2446, MATCH(B2403,'Room Info'!$D$2:$D2446, 0)),IF(G2403='Room Info'!$E$1, INDEX('Room Info'!$A$2:$A2446, MATCH(B2403,'Room Info'!$E$2:$E2446, 0)),IF(G2403='Room Info'!$F$1, INDEX('Room Info'!$A$2:$A2446, MATCH(B2403,'Room Info'!$F$2:$F2446, 0)),IF(G2403='Room Info'!$H$1, INDEX('Room Info'!$A$2:$A2446, MATCH(B2403,'Room Info'!$H$2:$H2446, 0)),IF(G2403='Room Info'!$G$1, INDEX('Room Info'!$A$2:$A2446, MATCH(B2403,'Room Info'!$G$2:$G2446, 0)))))))))</f>
        <v>0</v>
      </c>
      <c r="B2403" s="96"/>
      <c r="C2403" s="136"/>
      <c r="D2403" s="136"/>
      <c r="E2403" s="137"/>
      <c r="F2403" s="133"/>
      <c r="G2403" s="96"/>
      <c r="H2403" s="100"/>
      <c r="I2403" s="100"/>
      <c r="J2403" s="39" t="s">
        <v>334</v>
      </c>
      <c r="K2403" s="134"/>
      <c r="L2403" s="135"/>
      <c r="M2403" s="79"/>
      <c r="N2403" s="28" t="e">
        <f t="shared" si="8"/>
        <v>#VALUE!</v>
      </c>
      <c r="O2403" s="96"/>
      <c r="P2403" s="29" t="s">
        <v>334</v>
      </c>
      <c r="Q2403" s="55"/>
      <c r="R2403" s="31" t="e">
        <f t="shared" si="9"/>
        <v>#VALUE!</v>
      </c>
      <c r="S2403" s="97"/>
      <c r="T2403" s="32" t="e">
        <f t="shared" si="10"/>
        <v>#VALUE!</v>
      </c>
      <c r="U2403" s="57"/>
      <c r="V2403" s="58"/>
      <c r="W2403" s="58"/>
      <c r="X2403" s="30" t="e">
        <f t="shared" si="11"/>
        <v>#N/A</v>
      </c>
      <c r="Y2403" s="30" t="e">
        <f t="shared" si="12"/>
        <v>#N/A</v>
      </c>
      <c r="Z2403" s="35" t="e">
        <f t="shared" si="13"/>
        <v>#VALUE!</v>
      </c>
      <c r="AA2403" s="29" t="e">
        <f t="shared" si="14"/>
        <v>#VALUE!</v>
      </c>
      <c r="AB2403" s="36" t="e">
        <f t="shared" si="15"/>
        <v>#VALUE!</v>
      </c>
      <c r="AC2403" s="37" t="b">
        <v>0</v>
      </c>
      <c r="AD2403" s="61" t="str">
        <f t="shared" si="16"/>
        <v>USD</v>
      </c>
      <c r="AE2403" s="37"/>
      <c r="AF2403" s="37" t="e">
        <f t="array" ref="AF2403">INDEX('Deal Info'!D:D, MATCH(A2403,'Deal Info'!A:A, 0))</f>
        <v>#N/A</v>
      </c>
      <c r="AG2403" s="38" t="e">
        <f t="array" ref="AG2403">INDEX('Deal Info'!G:G, MATCH(A2403,'Deal Info'!A:A, 0))</f>
        <v>#N/A</v>
      </c>
    </row>
    <row r="2404" spans="1:33" ht="14.25" hidden="1" x14ac:dyDescent="0.2">
      <c r="A2404" s="18" t="b">
        <f t="array" ref="A2404">IF(G2404='Room Info'!$B$1, INDEX('Room Info'!$A$2:$A2446, MATCH(B2404,'Room Info'!$B$2:$B2446, 0)),IF(G2404='Room Info'!$C$1, INDEX('Room Info'!$A$2:$A2446, MATCH(B2404,'Room Info'!$C$2:$C2446, 0)),IF(G2404='Room Info'!$D$1, INDEX('Room Info'!$A$2:$A2446, MATCH(B2404,'Room Info'!$D$2:$D2446, 0)),IF(G2404='Room Info'!$E$1, INDEX('Room Info'!$A$2:$A2446, MATCH(B2404,'Room Info'!$E$2:$E2446, 0)),IF(G2404='Room Info'!$F$1, INDEX('Room Info'!$A$2:$A2446, MATCH(B2404,'Room Info'!$F$2:$F2446, 0)),IF(G2404='Room Info'!$H$1, INDEX('Room Info'!$A$2:$A2446, MATCH(B2404,'Room Info'!$H$2:$H2446, 0)),IF(G2404='Room Info'!$G$1, INDEX('Room Info'!$A$2:$A2446, MATCH(B2404,'Room Info'!$G$2:$G2446, 0)))))))))</f>
        <v>0</v>
      </c>
      <c r="B2404" s="96"/>
      <c r="C2404" s="111"/>
      <c r="D2404" s="111"/>
      <c r="E2404" s="80"/>
      <c r="F2404" s="133"/>
      <c r="G2404" s="65"/>
      <c r="H2404" s="110"/>
      <c r="I2404" s="110"/>
      <c r="J2404" s="39" t="s">
        <v>334</v>
      </c>
      <c r="K2404" s="112"/>
      <c r="L2404" s="113"/>
      <c r="M2404" s="62"/>
      <c r="N2404" s="28" t="e">
        <f t="shared" si="8"/>
        <v>#VALUE!</v>
      </c>
      <c r="O2404" s="65"/>
      <c r="P2404" s="29" t="s">
        <v>334</v>
      </c>
      <c r="Q2404" s="55"/>
      <c r="R2404" s="31" t="e">
        <f t="shared" si="9"/>
        <v>#VALUE!</v>
      </c>
      <c r="S2404" s="66"/>
      <c r="T2404" s="32" t="e">
        <f t="shared" si="10"/>
        <v>#VALUE!</v>
      </c>
      <c r="U2404" s="57"/>
      <c r="V2404" s="58"/>
      <c r="W2404" s="58"/>
      <c r="X2404" s="30" t="e">
        <f t="shared" si="11"/>
        <v>#N/A</v>
      </c>
      <c r="Y2404" s="30" t="e">
        <f t="shared" si="12"/>
        <v>#N/A</v>
      </c>
      <c r="Z2404" s="35" t="e">
        <f t="shared" si="13"/>
        <v>#VALUE!</v>
      </c>
      <c r="AA2404" s="29" t="e">
        <f t="shared" si="14"/>
        <v>#VALUE!</v>
      </c>
      <c r="AB2404" s="36" t="e">
        <f t="shared" si="15"/>
        <v>#VALUE!</v>
      </c>
      <c r="AC2404" s="37" t="b">
        <v>0</v>
      </c>
      <c r="AD2404" s="61" t="str">
        <f t="shared" si="16"/>
        <v>USD</v>
      </c>
      <c r="AE2404" s="37"/>
      <c r="AF2404" s="37" t="e">
        <f t="array" ref="AF2404">INDEX('Deal Info'!D:D, MATCH(A2404,'Deal Info'!A:A, 0))</f>
        <v>#N/A</v>
      </c>
      <c r="AG2404" s="38" t="e">
        <f t="array" ref="AG2404">INDEX('Deal Info'!G:G, MATCH(A2404,'Deal Info'!A:A, 0))</f>
        <v>#N/A</v>
      </c>
    </row>
    <row r="2405" spans="1:33" ht="14.25" hidden="1" x14ac:dyDescent="0.2">
      <c r="A2405" s="18" t="b">
        <f t="array" ref="A2405">IF(G2405='Room Info'!$B$1, INDEX('Room Info'!$A$2:$A2446, MATCH(B2405,'Room Info'!$B$2:$B2446, 0)),IF(G2405='Room Info'!$C$1, INDEX('Room Info'!$A$2:$A2446, MATCH(B2405,'Room Info'!$C$2:$C2446, 0)),IF(G2405='Room Info'!$D$1, INDEX('Room Info'!$A$2:$A2446, MATCH(B2405,'Room Info'!$D$2:$D2446, 0)),IF(G2405='Room Info'!$E$1, INDEX('Room Info'!$A$2:$A2446, MATCH(B2405,'Room Info'!$E$2:$E2446, 0)),IF(G2405='Room Info'!$F$1, INDEX('Room Info'!$A$2:$A2446, MATCH(B2405,'Room Info'!$F$2:$F2446, 0)),IF(G2405='Room Info'!$H$1, INDEX('Room Info'!$A$2:$A2446, MATCH(B2405,'Room Info'!$H$2:$H2446, 0)),IF(G2405='Room Info'!$G$1, INDEX('Room Info'!$A$2:$A2446, MATCH(B2405,'Room Info'!$G$2:$G2446, 0)))))))))</f>
        <v>0</v>
      </c>
      <c r="B2405" s="96"/>
      <c r="C2405" s="111"/>
      <c r="D2405" s="111"/>
      <c r="E2405" s="80"/>
      <c r="F2405" s="133"/>
      <c r="G2405" s="65"/>
      <c r="H2405" s="110"/>
      <c r="I2405" s="110"/>
      <c r="J2405" s="39" t="s">
        <v>334</v>
      </c>
      <c r="K2405" s="112"/>
      <c r="L2405" s="113"/>
      <c r="M2405" s="62"/>
      <c r="N2405" s="28" t="e">
        <f t="shared" si="8"/>
        <v>#VALUE!</v>
      </c>
      <c r="O2405" s="65"/>
      <c r="P2405" s="29" t="s">
        <v>334</v>
      </c>
      <c r="Q2405" s="55"/>
      <c r="R2405" s="31" t="e">
        <f t="shared" si="9"/>
        <v>#VALUE!</v>
      </c>
      <c r="S2405" s="66"/>
      <c r="T2405" s="32" t="e">
        <f t="shared" si="10"/>
        <v>#VALUE!</v>
      </c>
      <c r="U2405" s="57"/>
      <c r="V2405" s="58"/>
      <c r="W2405" s="58"/>
      <c r="X2405" s="30" t="e">
        <f t="shared" si="11"/>
        <v>#N/A</v>
      </c>
      <c r="Y2405" s="30" t="e">
        <f t="shared" si="12"/>
        <v>#N/A</v>
      </c>
      <c r="Z2405" s="35" t="e">
        <f t="shared" si="13"/>
        <v>#VALUE!</v>
      </c>
      <c r="AA2405" s="29" t="e">
        <f t="shared" si="14"/>
        <v>#VALUE!</v>
      </c>
      <c r="AB2405" s="36" t="e">
        <f t="shared" si="15"/>
        <v>#VALUE!</v>
      </c>
      <c r="AC2405" s="37" t="b">
        <v>0</v>
      </c>
      <c r="AD2405" s="61" t="str">
        <f t="shared" si="16"/>
        <v>USD</v>
      </c>
      <c r="AE2405" s="37"/>
      <c r="AF2405" s="37" t="e">
        <f t="array" ref="AF2405">INDEX('Deal Info'!D:D, MATCH(A2405,'Deal Info'!A:A, 0))</f>
        <v>#N/A</v>
      </c>
      <c r="AG2405" s="38" t="e">
        <f t="array" ref="AG2405">INDEX('Deal Info'!G:G, MATCH(A2405,'Deal Info'!A:A, 0))</f>
        <v>#N/A</v>
      </c>
    </row>
    <row r="2406" spans="1:33" ht="14.25" hidden="1" x14ac:dyDescent="0.2">
      <c r="A2406" s="18" t="b">
        <f t="array" ref="A2406">IF(G2406='Room Info'!$B$1, INDEX('Room Info'!$A$2:$A2446, MATCH(B2406,'Room Info'!$B$2:$B2446, 0)),IF(G2406='Room Info'!$C$1, INDEX('Room Info'!$A$2:$A2446, MATCH(B2406,'Room Info'!$C$2:$C2446, 0)),IF(G2406='Room Info'!$D$1, INDEX('Room Info'!$A$2:$A2446, MATCH(B2406,'Room Info'!$D$2:$D2446, 0)),IF(G2406='Room Info'!$E$1, INDEX('Room Info'!$A$2:$A2446, MATCH(B2406,'Room Info'!$E$2:$E2446, 0)),IF(G2406='Room Info'!$F$1, INDEX('Room Info'!$A$2:$A2446, MATCH(B2406,'Room Info'!$F$2:$F2446, 0)),IF(G2406='Room Info'!$H$1, INDEX('Room Info'!$A$2:$A2446, MATCH(B2406,'Room Info'!$H$2:$H2446, 0)),IF(G2406='Room Info'!$G$1, INDEX('Room Info'!$A$2:$A2446, MATCH(B2406,'Room Info'!$G$2:$G2446, 0)))))))))</f>
        <v>0</v>
      </c>
      <c r="B2406" s="96"/>
      <c r="C2406" s="111"/>
      <c r="D2406" s="111"/>
      <c r="E2406" s="80"/>
      <c r="F2406" s="133"/>
      <c r="G2406" s="65"/>
      <c r="H2406" s="110"/>
      <c r="I2406" s="110"/>
      <c r="J2406" s="39" t="s">
        <v>334</v>
      </c>
      <c r="K2406" s="112"/>
      <c r="L2406" s="113"/>
      <c r="M2406" s="62"/>
      <c r="N2406" s="28" t="e">
        <f t="shared" si="8"/>
        <v>#VALUE!</v>
      </c>
      <c r="O2406" s="65"/>
      <c r="P2406" s="29" t="s">
        <v>334</v>
      </c>
      <c r="Q2406" s="55"/>
      <c r="R2406" s="31" t="e">
        <f t="shared" si="9"/>
        <v>#VALUE!</v>
      </c>
      <c r="S2406" s="66"/>
      <c r="T2406" s="32" t="e">
        <f t="shared" si="10"/>
        <v>#VALUE!</v>
      </c>
      <c r="U2406" s="57"/>
      <c r="V2406" s="58"/>
      <c r="W2406" s="58"/>
      <c r="X2406" s="30" t="e">
        <f t="shared" si="11"/>
        <v>#N/A</v>
      </c>
      <c r="Y2406" s="30" t="e">
        <f t="shared" si="12"/>
        <v>#N/A</v>
      </c>
      <c r="Z2406" s="35" t="e">
        <f t="shared" si="13"/>
        <v>#VALUE!</v>
      </c>
      <c r="AA2406" s="29" t="e">
        <f t="shared" si="14"/>
        <v>#VALUE!</v>
      </c>
      <c r="AB2406" s="36" t="e">
        <f t="shared" si="15"/>
        <v>#VALUE!</v>
      </c>
      <c r="AC2406" s="37" t="b">
        <v>0</v>
      </c>
      <c r="AD2406" s="61" t="str">
        <f t="shared" si="16"/>
        <v>USD</v>
      </c>
      <c r="AE2406" s="37"/>
      <c r="AF2406" s="37" t="e">
        <f t="array" ref="AF2406">INDEX('Deal Info'!D:D, MATCH(A2406,'Deal Info'!A:A, 0))</f>
        <v>#N/A</v>
      </c>
      <c r="AG2406" s="38" t="e">
        <f t="array" ref="AG2406">INDEX('Deal Info'!G:G, MATCH(A2406,'Deal Info'!A:A, 0))</f>
        <v>#N/A</v>
      </c>
    </row>
    <row r="2407" spans="1:33" ht="14.25" hidden="1" x14ac:dyDescent="0.2">
      <c r="A2407" s="18" t="b">
        <f t="array" ref="A2407">IF(G2407='Room Info'!$B$1, INDEX('Room Info'!$A$2:$A2446, MATCH(B2407,'Room Info'!$B$2:$B2446, 0)),IF(G2407='Room Info'!$C$1, INDEX('Room Info'!$A$2:$A2446, MATCH(B2407,'Room Info'!$C$2:$C2446, 0)),IF(G2407='Room Info'!$D$1, INDEX('Room Info'!$A$2:$A2446, MATCH(B2407,'Room Info'!$D$2:$D2446, 0)),IF(G2407='Room Info'!$E$1, INDEX('Room Info'!$A$2:$A2446, MATCH(B2407,'Room Info'!$E$2:$E2446, 0)),IF(G2407='Room Info'!$F$1, INDEX('Room Info'!$A$2:$A2446, MATCH(B2407,'Room Info'!$F$2:$F2446, 0)),IF(G2407='Room Info'!$H$1, INDEX('Room Info'!$A$2:$A2446, MATCH(B2407,'Room Info'!$H$2:$H2446, 0)),IF(G2407='Room Info'!$G$1, INDEX('Room Info'!$A$2:$A2446, MATCH(B2407,'Room Info'!$G$2:$G2446, 0)))))))))</f>
        <v>0</v>
      </c>
      <c r="B2407" s="96"/>
      <c r="C2407" s="111"/>
      <c r="D2407" s="111"/>
      <c r="E2407" s="80"/>
      <c r="F2407" s="133"/>
      <c r="G2407" s="65"/>
      <c r="H2407" s="110"/>
      <c r="I2407" s="110"/>
      <c r="J2407" s="39" t="s">
        <v>334</v>
      </c>
      <c r="K2407" s="112"/>
      <c r="L2407" s="113"/>
      <c r="M2407" s="62"/>
      <c r="N2407" s="28" t="e">
        <f t="shared" si="8"/>
        <v>#VALUE!</v>
      </c>
      <c r="O2407" s="65"/>
      <c r="P2407" s="29" t="s">
        <v>334</v>
      </c>
      <c r="Q2407" s="55"/>
      <c r="R2407" s="31" t="e">
        <f t="shared" si="9"/>
        <v>#VALUE!</v>
      </c>
      <c r="S2407" s="66"/>
      <c r="T2407" s="32" t="e">
        <f t="shared" si="10"/>
        <v>#VALUE!</v>
      </c>
      <c r="U2407" s="57"/>
      <c r="V2407" s="58"/>
      <c r="W2407" s="58"/>
      <c r="X2407" s="30" t="e">
        <f t="shared" si="11"/>
        <v>#N/A</v>
      </c>
      <c r="Y2407" s="30" t="e">
        <f t="shared" si="12"/>
        <v>#N/A</v>
      </c>
      <c r="Z2407" s="35" t="e">
        <f t="shared" si="13"/>
        <v>#VALUE!</v>
      </c>
      <c r="AA2407" s="29" t="e">
        <f t="shared" si="14"/>
        <v>#VALUE!</v>
      </c>
      <c r="AB2407" s="36" t="e">
        <f t="shared" si="15"/>
        <v>#VALUE!</v>
      </c>
      <c r="AC2407" s="37" t="b">
        <v>0</v>
      </c>
      <c r="AD2407" s="61" t="str">
        <f t="shared" si="16"/>
        <v>USD</v>
      </c>
      <c r="AE2407" s="37"/>
      <c r="AF2407" s="37" t="e">
        <f t="array" ref="AF2407">INDEX('Deal Info'!D:D, MATCH(A2407,'Deal Info'!A:A, 0))</f>
        <v>#N/A</v>
      </c>
      <c r="AG2407" s="38" t="e">
        <f t="array" ref="AG2407">INDEX('Deal Info'!G:G, MATCH(A2407,'Deal Info'!A:A, 0))</f>
        <v>#N/A</v>
      </c>
    </row>
    <row r="2408" spans="1:33" ht="14.25" hidden="1" x14ac:dyDescent="0.2">
      <c r="A2408" s="18" t="b">
        <f t="array" ref="A2408">IF(G2408='Room Info'!$B$1, INDEX('Room Info'!$A$2:$A2446, MATCH(B2408,'Room Info'!$B$2:$B2446, 0)),IF(G2408='Room Info'!$C$1, INDEX('Room Info'!$A$2:$A2446, MATCH(B2408,'Room Info'!$C$2:$C2446, 0)),IF(G2408='Room Info'!$D$1, INDEX('Room Info'!$A$2:$A2446, MATCH(B2408,'Room Info'!$D$2:$D2446, 0)),IF(G2408='Room Info'!$E$1, INDEX('Room Info'!$A$2:$A2446, MATCH(B2408,'Room Info'!$E$2:$E2446, 0)),IF(G2408='Room Info'!$F$1, INDEX('Room Info'!$A$2:$A2446, MATCH(B2408,'Room Info'!$F$2:$F2446, 0)),IF(G2408='Room Info'!$H$1, INDEX('Room Info'!$A$2:$A2446, MATCH(B2408,'Room Info'!$H$2:$H2446, 0)),IF(G2408='Room Info'!$G$1, INDEX('Room Info'!$A$2:$A2446, MATCH(B2408,'Room Info'!$G$2:$G2446, 0)))))))))</f>
        <v>0</v>
      </c>
      <c r="B2408" s="96"/>
      <c r="C2408" s="111"/>
      <c r="D2408" s="111"/>
      <c r="E2408" s="80"/>
      <c r="F2408" s="133"/>
      <c r="G2408" s="65"/>
      <c r="H2408" s="110"/>
      <c r="I2408" s="110"/>
      <c r="J2408" s="39" t="s">
        <v>334</v>
      </c>
      <c r="K2408" s="112"/>
      <c r="L2408" s="113"/>
      <c r="M2408" s="62"/>
      <c r="N2408" s="28" t="e">
        <f t="shared" si="8"/>
        <v>#VALUE!</v>
      </c>
      <c r="O2408" s="65"/>
      <c r="P2408" s="29" t="s">
        <v>334</v>
      </c>
      <c r="Q2408" s="55"/>
      <c r="R2408" s="31" t="e">
        <f t="shared" si="9"/>
        <v>#VALUE!</v>
      </c>
      <c r="S2408" s="66"/>
      <c r="T2408" s="32" t="e">
        <f t="shared" si="10"/>
        <v>#VALUE!</v>
      </c>
      <c r="U2408" s="57"/>
      <c r="V2408" s="58"/>
      <c r="W2408" s="58"/>
      <c r="X2408" s="30" t="e">
        <f t="shared" si="11"/>
        <v>#N/A</v>
      </c>
      <c r="Y2408" s="30" t="e">
        <f t="shared" si="12"/>
        <v>#N/A</v>
      </c>
      <c r="Z2408" s="35" t="e">
        <f t="shared" si="13"/>
        <v>#VALUE!</v>
      </c>
      <c r="AA2408" s="29" t="e">
        <f t="shared" si="14"/>
        <v>#VALUE!</v>
      </c>
      <c r="AB2408" s="36" t="e">
        <f t="shared" si="15"/>
        <v>#VALUE!</v>
      </c>
      <c r="AC2408" s="37" t="b">
        <v>0</v>
      </c>
      <c r="AD2408" s="61" t="str">
        <f t="shared" si="16"/>
        <v>USD</v>
      </c>
      <c r="AE2408" s="37"/>
      <c r="AF2408" s="37" t="e">
        <f t="array" ref="AF2408">INDEX('Deal Info'!D:D, MATCH(A2408,'Deal Info'!A:A, 0))</f>
        <v>#N/A</v>
      </c>
      <c r="AG2408" s="38" t="e">
        <f t="array" ref="AG2408">INDEX('Deal Info'!G:G, MATCH(A2408,'Deal Info'!A:A, 0))</f>
        <v>#N/A</v>
      </c>
    </row>
    <row r="2409" spans="1:33" ht="14.25" hidden="1" x14ac:dyDescent="0.2">
      <c r="A2409" s="18" t="b">
        <f t="array" ref="A2409">IF(G2409='Room Info'!$B$1, INDEX('Room Info'!$A$2:$A2446, MATCH(B2409,'Room Info'!$B$2:$B2446, 0)),IF(G2409='Room Info'!$C$1, INDEX('Room Info'!$A$2:$A2446, MATCH(B2409,'Room Info'!$C$2:$C2446, 0)),IF(G2409='Room Info'!$D$1, INDEX('Room Info'!$A$2:$A2446, MATCH(B2409,'Room Info'!$D$2:$D2446, 0)),IF(G2409='Room Info'!$E$1, INDEX('Room Info'!$A$2:$A2446, MATCH(B2409,'Room Info'!$E$2:$E2446, 0)),IF(G2409='Room Info'!$F$1, INDEX('Room Info'!$A$2:$A2446, MATCH(B2409,'Room Info'!$F$2:$F2446, 0)),IF(G2409='Room Info'!$H$1, INDEX('Room Info'!$A$2:$A2446, MATCH(B2409,'Room Info'!$H$2:$H2446, 0)),IF(G2409='Room Info'!$G$1, INDEX('Room Info'!$A$2:$A2446, MATCH(B2409,'Room Info'!$G$2:$G2446, 0)))))))))</f>
        <v>0</v>
      </c>
      <c r="B2409" s="96"/>
      <c r="C2409" s="111"/>
      <c r="D2409" s="111"/>
      <c r="E2409" s="80"/>
      <c r="F2409" s="133"/>
      <c r="G2409" s="65"/>
      <c r="H2409" s="110"/>
      <c r="I2409" s="110"/>
      <c r="J2409" s="39" t="s">
        <v>334</v>
      </c>
      <c r="K2409" s="112"/>
      <c r="L2409" s="113"/>
      <c r="M2409" s="62"/>
      <c r="N2409" s="28" t="e">
        <f t="shared" si="8"/>
        <v>#VALUE!</v>
      </c>
      <c r="O2409" s="65"/>
      <c r="P2409" s="29" t="s">
        <v>334</v>
      </c>
      <c r="Q2409" s="55"/>
      <c r="R2409" s="31" t="e">
        <f t="shared" si="9"/>
        <v>#VALUE!</v>
      </c>
      <c r="S2409" s="66"/>
      <c r="T2409" s="32" t="e">
        <f t="shared" si="10"/>
        <v>#VALUE!</v>
      </c>
      <c r="U2409" s="57"/>
      <c r="V2409" s="58"/>
      <c r="W2409" s="58"/>
      <c r="X2409" s="30" t="e">
        <f t="shared" si="11"/>
        <v>#N/A</v>
      </c>
      <c r="Y2409" s="30" t="e">
        <f t="shared" si="12"/>
        <v>#N/A</v>
      </c>
      <c r="Z2409" s="35" t="e">
        <f t="shared" si="13"/>
        <v>#VALUE!</v>
      </c>
      <c r="AA2409" s="29" t="e">
        <f t="shared" si="14"/>
        <v>#VALUE!</v>
      </c>
      <c r="AB2409" s="36" t="e">
        <f t="shared" si="15"/>
        <v>#VALUE!</v>
      </c>
      <c r="AC2409" s="37" t="b">
        <v>0</v>
      </c>
      <c r="AD2409" s="61" t="str">
        <f t="shared" si="16"/>
        <v>USD</v>
      </c>
      <c r="AE2409" s="37"/>
      <c r="AF2409" s="37" t="e">
        <f t="array" ref="AF2409">INDEX('Deal Info'!D:D, MATCH(A2409,'Deal Info'!A:A, 0))</f>
        <v>#N/A</v>
      </c>
      <c r="AG2409" s="38" t="e">
        <f t="array" ref="AG2409">INDEX('Deal Info'!G:G, MATCH(A2409,'Deal Info'!A:A, 0))</f>
        <v>#N/A</v>
      </c>
    </row>
    <row r="2410" spans="1:33" ht="14.25" hidden="1" x14ac:dyDescent="0.2">
      <c r="A2410" s="18" t="b">
        <f t="array" ref="A2410">IF(G2410='Room Info'!$B$1, INDEX('Room Info'!$A$2:$A2446, MATCH(B2410,'Room Info'!$B$2:$B2446, 0)),IF(G2410='Room Info'!$C$1, INDEX('Room Info'!$A$2:$A2446, MATCH(B2410,'Room Info'!$C$2:$C2446, 0)),IF(G2410='Room Info'!$D$1, INDEX('Room Info'!$A$2:$A2446, MATCH(B2410,'Room Info'!$D$2:$D2446, 0)),IF(G2410='Room Info'!$E$1, INDEX('Room Info'!$A$2:$A2446, MATCH(B2410,'Room Info'!$E$2:$E2446, 0)),IF(G2410='Room Info'!$F$1, INDEX('Room Info'!$A$2:$A2446, MATCH(B2410,'Room Info'!$F$2:$F2446, 0)),IF(G2410='Room Info'!$H$1, INDEX('Room Info'!$A$2:$A2446, MATCH(B2410,'Room Info'!$H$2:$H2446, 0)),IF(G2410='Room Info'!$G$1, INDEX('Room Info'!$A$2:$A2446, MATCH(B2410,'Room Info'!$G$2:$G2446, 0)))))))))</f>
        <v>0</v>
      </c>
      <c r="B2410" s="96"/>
      <c r="C2410" s="111"/>
      <c r="D2410" s="111"/>
      <c r="E2410" s="80"/>
      <c r="F2410" s="133"/>
      <c r="G2410" s="65"/>
      <c r="H2410" s="110"/>
      <c r="I2410" s="110"/>
      <c r="J2410" s="39" t="s">
        <v>334</v>
      </c>
      <c r="K2410" s="112"/>
      <c r="L2410" s="113"/>
      <c r="M2410" s="62"/>
      <c r="N2410" s="28" t="e">
        <f t="shared" si="8"/>
        <v>#VALUE!</v>
      </c>
      <c r="O2410" s="65"/>
      <c r="P2410" s="29" t="s">
        <v>334</v>
      </c>
      <c r="Q2410" s="55"/>
      <c r="R2410" s="31" t="e">
        <f t="shared" si="9"/>
        <v>#VALUE!</v>
      </c>
      <c r="S2410" s="66"/>
      <c r="T2410" s="32" t="e">
        <f t="shared" si="10"/>
        <v>#VALUE!</v>
      </c>
      <c r="U2410" s="57"/>
      <c r="V2410" s="58"/>
      <c r="W2410" s="58"/>
      <c r="X2410" s="30" t="e">
        <f t="shared" si="11"/>
        <v>#N/A</v>
      </c>
      <c r="Y2410" s="30" t="e">
        <f t="shared" si="12"/>
        <v>#N/A</v>
      </c>
      <c r="Z2410" s="35" t="e">
        <f t="shared" si="13"/>
        <v>#VALUE!</v>
      </c>
      <c r="AA2410" s="29" t="e">
        <f t="shared" si="14"/>
        <v>#VALUE!</v>
      </c>
      <c r="AB2410" s="36" t="e">
        <f t="shared" si="15"/>
        <v>#VALUE!</v>
      </c>
      <c r="AC2410" s="37" t="b">
        <v>0</v>
      </c>
      <c r="AD2410" s="61" t="str">
        <f t="shared" si="16"/>
        <v>USD</v>
      </c>
      <c r="AE2410" s="37"/>
      <c r="AF2410" s="37" t="e">
        <f t="array" ref="AF2410">INDEX('Deal Info'!D:D, MATCH(A2410,'Deal Info'!A:A, 0))</f>
        <v>#N/A</v>
      </c>
      <c r="AG2410" s="38" t="e">
        <f t="array" ref="AG2410">INDEX('Deal Info'!G:G, MATCH(A2410,'Deal Info'!A:A, 0))</f>
        <v>#N/A</v>
      </c>
    </row>
    <row r="2411" spans="1:33" ht="14.25" hidden="1" x14ac:dyDescent="0.2">
      <c r="A2411" s="18" t="b">
        <f t="array" ref="A2411">IF(G2411='Room Info'!$B$1, INDEX('Room Info'!$A$2:$A2446, MATCH(B2411,'Room Info'!$B$2:$B2446, 0)),IF(G2411='Room Info'!$C$1, INDEX('Room Info'!$A$2:$A2446, MATCH(B2411,'Room Info'!$C$2:$C2446, 0)),IF(G2411='Room Info'!$D$1, INDEX('Room Info'!$A$2:$A2446, MATCH(B2411,'Room Info'!$D$2:$D2446, 0)),IF(G2411='Room Info'!$E$1, INDEX('Room Info'!$A$2:$A2446, MATCH(B2411,'Room Info'!$E$2:$E2446, 0)),IF(G2411='Room Info'!$F$1, INDEX('Room Info'!$A$2:$A2446, MATCH(B2411,'Room Info'!$F$2:$F2446, 0)),IF(G2411='Room Info'!$H$1, INDEX('Room Info'!$A$2:$A2446, MATCH(B2411,'Room Info'!$H$2:$H2446, 0)),IF(G2411='Room Info'!$G$1, INDEX('Room Info'!$A$2:$A2446, MATCH(B2411,'Room Info'!$G$2:$G2446, 0)))))))))</f>
        <v>0</v>
      </c>
      <c r="B2411" s="96"/>
      <c r="C2411" s="111"/>
      <c r="D2411" s="111"/>
      <c r="E2411" s="80"/>
      <c r="F2411" s="133"/>
      <c r="G2411" s="65"/>
      <c r="H2411" s="110"/>
      <c r="I2411" s="110"/>
      <c r="J2411" s="39" t="s">
        <v>334</v>
      </c>
      <c r="K2411" s="112"/>
      <c r="L2411" s="113"/>
      <c r="M2411" s="62"/>
      <c r="N2411" s="28" t="e">
        <f t="shared" si="8"/>
        <v>#VALUE!</v>
      </c>
      <c r="O2411" s="65"/>
      <c r="P2411" s="29" t="s">
        <v>334</v>
      </c>
      <c r="Q2411" s="55"/>
      <c r="R2411" s="31" t="e">
        <f t="shared" si="9"/>
        <v>#VALUE!</v>
      </c>
      <c r="S2411" s="66"/>
      <c r="T2411" s="32" t="e">
        <f t="shared" si="10"/>
        <v>#VALUE!</v>
      </c>
      <c r="U2411" s="57"/>
      <c r="V2411" s="58"/>
      <c r="W2411" s="58"/>
      <c r="X2411" s="30" t="e">
        <f t="shared" si="11"/>
        <v>#N/A</v>
      </c>
      <c r="Y2411" s="30" t="e">
        <f t="shared" si="12"/>
        <v>#N/A</v>
      </c>
      <c r="Z2411" s="35" t="e">
        <f t="shared" si="13"/>
        <v>#VALUE!</v>
      </c>
      <c r="AA2411" s="29" t="e">
        <f t="shared" si="14"/>
        <v>#VALUE!</v>
      </c>
      <c r="AB2411" s="36" t="e">
        <f t="shared" si="15"/>
        <v>#VALUE!</v>
      </c>
      <c r="AC2411" s="37" t="b">
        <v>0</v>
      </c>
      <c r="AD2411" s="61" t="str">
        <f t="shared" si="16"/>
        <v>USD</v>
      </c>
      <c r="AE2411" s="37"/>
      <c r="AF2411" s="37" t="e">
        <f t="array" ref="AF2411">INDEX('Deal Info'!D:D, MATCH(A2411,'Deal Info'!A:A, 0))</f>
        <v>#N/A</v>
      </c>
      <c r="AG2411" s="38" t="e">
        <f t="array" ref="AG2411">INDEX('Deal Info'!G:G, MATCH(A2411,'Deal Info'!A:A, 0))</f>
        <v>#N/A</v>
      </c>
    </row>
    <row r="2412" spans="1:33" ht="14.25" hidden="1" x14ac:dyDescent="0.2">
      <c r="A2412" s="18" t="b">
        <f t="array" ref="A2412">IF(G2412='Room Info'!$B$1, INDEX('Room Info'!$A$2:$A2446, MATCH(B2412,'Room Info'!$B$2:$B2446, 0)),IF(G2412='Room Info'!$C$1, INDEX('Room Info'!$A$2:$A2446, MATCH(B2412,'Room Info'!$C$2:$C2446, 0)),IF(G2412='Room Info'!$D$1, INDEX('Room Info'!$A$2:$A2446, MATCH(B2412,'Room Info'!$D$2:$D2446, 0)),IF(G2412='Room Info'!$E$1, INDEX('Room Info'!$A$2:$A2446, MATCH(B2412,'Room Info'!$E$2:$E2446, 0)),IF(G2412='Room Info'!$F$1, INDEX('Room Info'!$A$2:$A2446, MATCH(B2412,'Room Info'!$F$2:$F2446, 0)),IF(G2412='Room Info'!$H$1, INDEX('Room Info'!$A$2:$A2446, MATCH(B2412,'Room Info'!$H$2:$H2446, 0)),IF(G2412='Room Info'!$G$1, INDEX('Room Info'!$A$2:$A2446, MATCH(B2412,'Room Info'!$G$2:$G2446, 0)))))))))</f>
        <v>0</v>
      </c>
      <c r="B2412" s="96"/>
      <c r="C2412" s="111"/>
      <c r="D2412" s="111"/>
      <c r="E2412" s="80"/>
      <c r="F2412" s="133"/>
      <c r="G2412" s="65"/>
      <c r="H2412" s="110"/>
      <c r="I2412" s="110"/>
      <c r="J2412" s="39" t="s">
        <v>334</v>
      </c>
      <c r="K2412" s="112"/>
      <c r="L2412" s="113"/>
      <c r="M2412" s="62"/>
      <c r="N2412" s="28" t="e">
        <f t="shared" si="8"/>
        <v>#VALUE!</v>
      </c>
      <c r="O2412" s="65"/>
      <c r="P2412" s="29" t="s">
        <v>334</v>
      </c>
      <c r="Q2412" s="55"/>
      <c r="R2412" s="31" t="e">
        <f t="shared" si="9"/>
        <v>#VALUE!</v>
      </c>
      <c r="S2412" s="66"/>
      <c r="T2412" s="32" t="e">
        <f t="shared" si="10"/>
        <v>#VALUE!</v>
      </c>
      <c r="U2412" s="57"/>
      <c r="V2412" s="58"/>
      <c r="W2412" s="58"/>
      <c r="X2412" s="30" t="e">
        <f t="shared" si="11"/>
        <v>#N/A</v>
      </c>
      <c r="Y2412" s="30" t="e">
        <f t="shared" si="12"/>
        <v>#N/A</v>
      </c>
      <c r="Z2412" s="35" t="e">
        <f t="shared" si="13"/>
        <v>#VALUE!</v>
      </c>
      <c r="AA2412" s="29" t="e">
        <f t="shared" si="14"/>
        <v>#VALUE!</v>
      </c>
      <c r="AB2412" s="36" t="e">
        <f t="shared" si="15"/>
        <v>#VALUE!</v>
      </c>
      <c r="AC2412" s="37" t="b">
        <v>0</v>
      </c>
      <c r="AD2412" s="61" t="str">
        <f t="shared" si="16"/>
        <v>USD</v>
      </c>
      <c r="AE2412" s="37"/>
      <c r="AF2412" s="37" t="e">
        <f t="array" ref="AF2412">INDEX('Deal Info'!D:D, MATCH(A2412,'Deal Info'!A:A, 0))</f>
        <v>#N/A</v>
      </c>
      <c r="AG2412" s="38" t="e">
        <f t="array" ref="AG2412">INDEX('Deal Info'!G:G, MATCH(A2412,'Deal Info'!A:A, 0))</f>
        <v>#N/A</v>
      </c>
    </row>
    <row r="2413" spans="1:33" ht="14.25" hidden="1" x14ac:dyDescent="0.2">
      <c r="A2413" s="18" t="b">
        <f t="array" ref="A2413">IF(G2413='Room Info'!$B$1, INDEX('Room Info'!$A$2:$A2446, MATCH(B2413,'Room Info'!$B$2:$B2446, 0)),IF(G2413='Room Info'!$C$1, INDEX('Room Info'!$A$2:$A2446, MATCH(B2413,'Room Info'!$C$2:$C2446, 0)),IF(G2413='Room Info'!$D$1, INDEX('Room Info'!$A$2:$A2446, MATCH(B2413,'Room Info'!$D$2:$D2446, 0)),IF(G2413='Room Info'!$E$1, INDEX('Room Info'!$A$2:$A2446, MATCH(B2413,'Room Info'!$E$2:$E2446, 0)),IF(G2413='Room Info'!$F$1, INDEX('Room Info'!$A$2:$A2446, MATCH(B2413,'Room Info'!$F$2:$F2446, 0)),IF(G2413='Room Info'!$H$1, INDEX('Room Info'!$A$2:$A2446, MATCH(B2413,'Room Info'!$H$2:$H2446, 0)),IF(G2413='Room Info'!$G$1, INDEX('Room Info'!$A$2:$A2446, MATCH(B2413,'Room Info'!$G$2:$G2446, 0)))))))))</f>
        <v>0</v>
      </c>
      <c r="B2413" s="96"/>
      <c r="C2413" s="111"/>
      <c r="D2413" s="111"/>
      <c r="E2413" s="80"/>
      <c r="F2413" s="133"/>
      <c r="G2413" s="65"/>
      <c r="H2413" s="110"/>
      <c r="I2413" s="110"/>
      <c r="J2413" s="39" t="s">
        <v>334</v>
      </c>
      <c r="K2413" s="112"/>
      <c r="L2413" s="113"/>
      <c r="M2413" s="62"/>
      <c r="N2413" s="28" t="e">
        <f t="shared" si="8"/>
        <v>#VALUE!</v>
      </c>
      <c r="O2413" s="65"/>
      <c r="P2413" s="29" t="s">
        <v>334</v>
      </c>
      <c r="Q2413" s="55"/>
      <c r="R2413" s="31" t="e">
        <f t="shared" si="9"/>
        <v>#VALUE!</v>
      </c>
      <c r="S2413" s="66"/>
      <c r="T2413" s="32" t="e">
        <f t="shared" si="10"/>
        <v>#VALUE!</v>
      </c>
      <c r="U2413" s="57"/>
      <c r="V2413" s="58"/>
      <c r="W2413" s="58"/>
      <c r="X2413" s="30" t="e">
        <f t="shared" si="11"/>
        <v>#N/A</v>
      </c>
      <c r="Y2413" s="30" t="e">
        <f t="shared" si="12"/>
        <v>#N/A</v>
      </c>
      <c r="Z2413" s="35" t="e">
        <f t="shared" si="13"/>
        <v>#VALUE!</v>
      </c>
      <c r="AA2413" s="29" t="e">
        <f t="shared" si="14"/>
        <v>#VALUE!</v>
      </c>
      <c r="AB2413" s="36" t="e">
        <f t="shared" si="15"/>
        <v>#VALUE!</v>
      </c>
      <c r="AC2413" s="37" t="b">
        <v>0</v>
      </c>
      <c r="AD2413" s="61" t="str">
        <f t="shared" si="16"/>
        <v>USD</v>
      </c>
      <c r="AE2413" s="37"/>
      <c r="AF2413" s="37" t="e">
        <f t="array" ref="AF2413">INDEX('Deal Info'!D:D, MATCH(A2413,'Deal Info'!A:A, 0))</f>
        <v>#N/A</v>
      </c>
      <c r="AG2413" s="38" t="e">
        <f t="array" ref="AG2413">INDEX('Deal Info'!G:G, MATCH(A2413,'Deal Info'!A:A, 0))</f>
        <v>#N/A</v>
      </c>
    </row>
    <row r="2414" spans="1:33" ht="14.25" hidden="1" x14ac:dyDescent="0.2">
      <c r="A2414" s="18" t="b">
        <f t="array" ref="A2414">IF(G2414='Room Info'!$B$1, INDEX('Room Info'!$A$2:$A2446, MATCH(B2414,'Room Info'!$B$2:$B2446, 0)),IF(G2414='Room Info'!$C$1, INDEX('Room Info'!$A$2:$A2446, MATCH(B2414,'Room Info'!$C$2:$C2446, 0)),IF(G2414='Room Info'!$D$1, INDEX('Room Info'!$A$2:$A2446, MATCH(B2414,'Room Info'!$D$2:$D2446, 0)),IF(G2414='Room Info'!$E$1, INDEX('Room Info'!$A$2:$A2446, MATCH(B2414,'Room Info'!$E$2:$E2446, 0)),IF(G2414='Room Info'!$F$1, INDEX('Room Info'!$A$2:$A2446, MATCH(B2414,'Room Info'!$F$2:$F2446, 0)),IF(G2414='Room Info'!$H$1, INDEX('Room Info'!$A$2:$A2446, MATCH(B2414,'Room Info'!$H$2:$H2446, 0)),IF(G2414='Room Info'!$G$1, INDEX('Room Info'!$A$2:$A2446, MATCH(B2414,'Room Info'!$G$2:$G2446, 0)))))))))</f>
        <v>0</v>
      </c>
      <c r="B2414" s="96"/>
      <c r="C2414" s="111"/>
      <c r="D2414" s="111"/>
      <c r="E2414" s="80"/>
      <c r="F2414" s="133"/>
      <c r="G2414" s="65"/>
      <c r="H2414" s="110"/>
      <c r="I2414" s="110"/>
      <c r="J2414" s="39" t="s">
        <v>334</v>
      </c>
      <c r="K2414" s="112"/>
      <c r="L2414" s="113"/>
      <c r="M2414" s="62"/>
      <c r="N2414" s="28" t="e">
        <f t="shared" si="8"/>
        <v>#VALUE!</v>
      </c>
      <c r="O2414" s="65"/>
      <c r="P2414" s="29" t="s">
        <v>334</v>
      </c>
      <c r="Q2414" s="55"/>
      <c r="R2414" s="31" t="e">
        <f t="shared" si="9"/>
        <v>#VALUE!</v>
      </c>
      <c r="S2414" s="66"/>
      <c r="T2414" s="32" t="e">
        <f t="shared" si="10"/>
        <v>#VALUE!</v>
      </c>
      <c r="U2414" s="57"/>
      <c r="V2414" s="58"/>
      <c r="W2414" s="58"/>
      <c r="X2414" s="30" t="e">
        <f t="shared" si="11"/>
        <v>#N/A</v>
      </c>
      <c r="Y2414" s="30" t="e">
        <f t="shared" si="12"/>
        <v>#N/A</v>
      </c>
      <c r="Z2414" s="35" t="e">
        <f t="shared" si="13"/>
        <v>#VALUE!</v>
      </c>
      <c r="AA2414" s="29" t="e">
        <f t="shared" si="14"/>
        <v>#VALUE!</v>
      </c>
      <c r="AB2414" s="36" t="e">
        <f t="shared" si="15"/>
        <v>#VALUE!</v>
      </c>
      <c r="AC2414" s="37" t="b">
        <v>0</v>
      </c>
      <c r="AD2414" s="61" t="str">
        <f t="shared" si="16"/>
        <v>USD</v>
      </c>
      <c r="AE2414" s="37"/>
      <c r="AF2414" s="37" t="e">
        <f t="array" ref="AF2414">INDEX('Deal Info'!D:D, MATCH(A2414,'Deal Info'!A:A, 0))</f>
        <v>#N/A</v>
      </c>
      <c r="AG2414" s="38" t="e">
        <f t="array" ref="AG2414">INDEX('Deal Info'!G:G, MATCH(A2414,'Deal Info'!A:A, 0))</f>
        <v>#N/A</v>
      </c>
    </row>
    <row r="2415" spans="1:33" ht="14.25" hidden="1" x14ac:dyDescent="0.2">
      <c r="A2415" s="18" t="b">
        <f t="array" ref="A2415">IF(G2415='Room Info'!$B$1, INDEX('Room Info'!$A$2:$A2446, MATCH(B2415,'Room Info'!$B$2:$B2446, 0)),IF(G2415='Room Info'!$C$1, INDEX('Room Info'!$A$2:$A2446, MATCH(B2415,'Room Info'!$C$2:$C2446, 0)),IF(G2415='Room Info'!$D$1, INDEX('Room Info'!$A$2:$A2446, MATCH(B2415,'Room Info'!$D$2:$D2446, 0)),IF(G2415='Room Info'!$E$1, INDEX('Room Info'!$A$2:$A2446, MATCH(B2415,'Room Info'!$E$2:$E2446, 0)),IF(G2415='Room Info'!$F$1, INDEX('Room Info'!$A$2:$A2446, MATCH(B2415,'Room Info'!$F$2:$F2446, 0)),IF(G2415='Room Info'!$H$1, INDEX('Room Info'!$A$2:$A2446, MATCH(B2415,'Room Info'!$H$2:$H2446, 0)),IF(G2415='Room Info'!$G$1, INDEX('Room Info'!$A$2:$A2446, MATCH(B2415,'Room Info'!$G$2:$G2446, 0)))))))))</f>
        <v>0</v>
      </c>
      <c r="B2415" s="96"/>
      <c r="C2415" s="136"/>
      <c r="D2415" s="136"/>
      <c r="E2415" s="137"/>
      <c r="F2415" s="133"/>
      <c r="G2415" s="96"/>
      <c r="H2415" s="100"/>
      <c r="I2415" s="100"/>
      <c r="J2415" s="39" t="s">
        <v>334</v>
      </c>
      <c r="K2415" s="134"/>
      <c r="L2415" s="135"/>
      <c r="M2415" s="79"/>
      <c r="N2415" s="28" t="e">
        <f t="shared" si="8"/>
        <v>#VALUE!</v>
      </c>
      <c r="O2415" s="96"/>
      <c r="P2415" s="29" t="s">
        <v>334</v>
      </c>
      <c r="Q2415" s="55"/>
      <c r="R2415" s="31" t="e">
        <f t="shared" si="9"/>
        <v>#VALUE!</v>
      </c>
      <c r="S2415" s="97"/>
      <c r="T2415" s="32" t="e">
        <f t="shared" si="10"/>
        <v>#VALUE!</v>
      </c>
      <c r="U2415" s="57"/>
      <c r="V2415" s="58"/>
      <c r="W2415" s="58"/>
      <c r="X2415" s="30" t="e">
        <f t="shared" si="11"/>
        <v>#N/A</v>
      </c>
      <c r="Y2415" s="30" t="e">
        <f t="shared" si="12"/>
        <v>#N/A</v>
      </c>
      <c r="Z2415" s="35" t="e">
        <f t="shared" si="13"/>
        <v>#VALUE!</v>
      </c>
      <c r="AA2415" s="29" t="e">
        <f t="shared" si="14"/>
        <v>#VALUE!</v>
      </c>
      <c r="AB2415" s="36" t="e">
        <f t="shared" si="15"/>
        <v>#VALUE!</v>
      </c>
      <c r="AC2415" s="37" t="b">
        <v>0</v>
      </c>
      <c r="AD2415" s="61" t="str">
        <f t="shared" si="16"/>
        <v>USD</v>
      </c>
      <c r="AE2415" s="37"/>
      <c r="AF2415" s="37" t="e">
        <f t="array" ref="AF2415">INDEX('Deal Info'!D:D, MATCH(A2415,'Deal Info'!A:A, 0))</f>
        <v>#N/A</v>
      </c>
      <c r="AG2415" s="38" t="e">
        <f t="array" ref="AG2415">INDEX('Deal Info'!G:G, MATCH(A2415,'Deal Info'!A:A, 0))</f>
        <v>#N/A</v>
      </c>
    </row>
    <row r="2416" spans="1:33" ht="14.25" hidden="1" x14ac:dyDescent="0.2">
      <c r="A2416" s="18" t="b">
        <f t="array" ref="A2416">IF(G2416='Room Info'!$B$1, INDEX('Room Info'!$A$2:$A2446, MATCH(B2416,'Room Info'!$B$2:$B2446, 0)),IF(G2416='Room Info'!$C$1, INDEX('Room Info'!$A$2:$A2446, MATCH(B2416,'Room Info'!$C$2:$C2446, 0)),IF(G2416='Room Info'!$D$1, INDEX('Room Info'!$A$2:$A2446, MATCH(B2416,'Room Info'!$D$2:$D2446, 0)),IF(G2416='Room Info'!$E$1, INDEX('Room Info'!$A$2:$A2446, MATCH(B2416,'Room Info'!$E$2:$E2446, 0)),IF(G2416='Room Info'!$F$1, INDEX('Room Info'!$A$2:$A2446, MATCH(B2416,'Room Info'!$F$2:$F2446, 0)),IF(G2416='Room Info'!$H$1, INDEX('Room Info'!$A$2:$A2446, MATCH(B2416,'Room Info'!$H$2:$H2446, 0)),IF(G2416='Room Info'!$G$1, INDEX('Room Info'!$A$2:$A2446, MATCH(B2416,'Room Info'!$G$2:$G2446, 0)))))))))</f>
        <v>0</v>
      </c>
      <c r="B2416" s="96"/>
      <c r="C2416" s="136"/>
      <c r="D2416" s="136"/>
      <c r="E2416" s="137"/>
      <c r="F2416" s="133"/>
      <c r="G2416" s="96"/>
      <c r="H2416" s="100"/>
      <c r="I2416" s="100"/>
      <c r="J2416" s="39" t="s">
        <v>334</v>
      </c>
      <c r="K2416" s="134"/>
      <c r="L2416" s="135"/>
      <c r="M2416" s="79"/>
      <c r="N2416" s="28" t="e">
        <f t="shared" si="8"/>
        <v>#VALUE!</v>
      </c>
      <c r="O2416" s="96"/>
      <c r="P2416" s="29" t="s">
        <v>334</v>
      </c>
      <c r="Q2416" s="55"/>
      <c r="R2416" s="31" t="e">
        <f t="shared" si="9"/>
        <v>#VALUE!</v>
      </c>
      <c r="S2416" s="97"/>
      <c r="T2416" s="32" t="e">
        <f t="shared" si="10"/>
        <v>#VALUE!</v>
      </c>
      <c r="U2416" s="57"/>
      <c r="V2416" s="58"/>
      <c r="W2416" s="58"/>
      <c r="X2416" s="30" t="e">
        <f t="shared" si="11"/>
        <v>#N/A</v>
      </c>
      <c r="Y2416" s="30" t="e">
        <f t="shared" si="12"/>
        <v>#N/A</v>
      </c>
      <c r="Z2416" s="35" t="e">
        <f t="shared" si="13"/>
        <v>#VALUE!</v>
      </c>
      <c r="AA2416" s="29" t="e">
        <f t="shared" si="14"/>
        <v>#VALUE!</v>
      </c>
      <c r="AB2416" s="36" t="e">
        <f t="shared" si="15"/>
        <v>#VALUE!</v>
      </c>
      <c r="AC2416" s="37" t="b">
        <v>0</v>
      </c>
      <c r="AD2416" s="61" t="str">
        <f t="shared" si="16"/>
        <v>USD</v>
      </c>
      <c r="AE2416" s="37"/>
      <c r="AF2416" s="37" t="e">
        <f t="array" ref="AF2416">INDEX('Deal Info'!D:D, MATCH(A2416,'Deal Info'!A:A, 0))</f>
        <v>#N/A</v>
      </c>
      <c r="AG2416" s="38" t="e">
        <f t="array" ref="AG2416">INDEX('Deal Info'!G:G, MATCH(A2416,'Deal Info'!A:A, 0))</f>
        <v>#N/A</v>
      </c>
    </row>
    <row r="2417" spans="1:33" ht="14.25" hidden="1" x14ac:dyDescent="0.2">
      <c r="A2417" s="18" t="b">
        <f t="array" ref="A2417">IF(G2417='Room Info'!$B$1, INDEX('Room Info'!$A$2:$A2446, MATCH(B2417,'Room Info'!$B$2:$B2446, 0)),IF(G2417='Room Info'!$C$1, INDEX('Room Info'!$A$2:$A2446, MATCH(B2417,'Room Info'!$C$2:$C2446, 0)),IF(G2417='Room Info'!$D$1, INDEX('Room Info'!$A$2:$A2446, MATCH(B2417,'Room Info'!$D$2:$D2446, 0)),IF(G2417='Room Info'!$E$1, INDEX('Room Info'!$A$2:$A2446, MATCH(B2417,'Room Info'!$E$2:$E2446, 0)),IF(G2417='Room Info'!$F$1, INDEX('Room Info'!$A$2:$A2446, MATCH(B2417,'Room Info'!$F$2:$F2446, 0)),IF(G2417='Room Info'!$H$1, INDEX('Room Info'!$A$2:$A2446, MATCH(B2417,'Room Info'!$H$2:$H2446, 0)),IF(G2417='Room Info'!$G$1, INDEX('Room Info'!$A$2:$A2446, MATCH(B2417,'Room Info'!$G$2:$G2446, 0)))))))))</f>
        <v>0</v>
      </c>
      <c r="B2417" s="96"/>
      <c r="C2417" s="136"/>
      <c r="D2417" s="136"/>
      <c r="E2417" s="137"/>
      <c r="F2417" s="133"/>
      <c r="G2417" s="96"/>
      <c r="H2417" s="100"/>
      <c r="I2417" s="100"/>
      <c r="J2417" s="39" t="s">
        <v>334</v>
      </c>
      <c r="K2417" s="134"/>
      <c r="L2417" s="135"/>
      <c r="M2417" s="79"/>
      <c r="N2417" s="28" t="e">
        <f t="shared" si="8"/>
        <v>#VALUE!</v>
      </c>
      <c r="O2417" s="96"/>
      <c r="P2417" s="29" t="s">
        <v>334</v>
      </c>
      <c r="Q2417" s="55"/>
      <c r="R2417" s="31" t="e">
        <f t="shared" si="9"/>
        <v>#VALUE!</v>
      </c>
      <c r="S2417" s="97"/>
      <c r="T2417" s="32" t="e">
        <f t="shared" si="10"/>
        <v>#VALUE!</v>
      </c>
      <c r="U2417" s="57"/>
      <c r="V2417" s="58"/>
      <c r="W2417" s="58"/>
      <c r="X2417" s="30" t="e">
        <f t="shared" si="11"/>
        <v>#N/A</v>
      </c>
      <c r="Y2417" s="30" t="e">
        <f t="shared" si="12"/>
        <v>#N/A</v>
      </c>
      <c r="Z2417" s="35" t="e">
        <f t="shared" si="13"/>
        <v>#VALUE!</v>
      </c>
      <c r="AA2417" s="29" t="e">
        <f t="shared" si="14"/>
        <v>#VALUE!</v>
      </c>
      <c r="AB2417" s="36" t="e">
        <f t="shared" si="15"/>
        <v>#VALUE!</v>
      </c>
      <c r="AC2417" s="37" t="b">
        <v>0</v>
      </c>
      <c r="AD2417" s="61" t="str">
        <f t="shared" si="16"/>
        <v>USD</v>
      </c>
      <c r="AE2417" s="37"/>
      <c r="AF2417" s="37" t="e">
        <f t="array" ref="AF2417">INDEX('Deal Info'!D:D, MATCH(A2417,'Deal Info'!A:A, 0))</f>
        <v>#N/A</v>
      </c>
      <c r="AG2417" s="38" t="e">
        <f t="array" ref="AG2417">INDEX('Deal Info'!G:G, MATCH(A2417,'Deal Info'!A:A, 0))</f>
        <v>#N/A</v>
      </c>
    </row>
    <row r="2418" spans="1:33" ht="14.25" hidden="1" x14ac:dyDescent="0.2">
      <c r="A2418" s="18" t="b">
        <f t="array" ref="A2418">IF(G2418='Room Info'!$B$1, INDEX('Room Info'!$A$2:$A2446, MATCH(B2418,'Room Info'!$B$2:$B2446, 0)),IF(G2418='Room Info'!$C$1, INDEX('Room Info'!$A$2:$A2446, MATCH(B2418,'Room Info'!$C$2:$C2446, 0)),IF(G2418='Room Info'!$D$1, INDEX('Room Info'!$A$2:$A2446, MATCH(B2418,'Room Info'!$D$2:$D2446, 0)),IF(G2418='Room Info'!$E$1, INDEX('Room Info'!$A$2:$A2446, MATCH(B2418,'Room Info'!$E$2:$E2446, 0)),IF(G2418='Room Info'!$F$1, INDEX('Room Info'!$A$2:$A2446, MATCH(B2418,'Room Info'!$F$2:$F2446, 0)),IF(G2418='Room Info'!$H$1, INDEX('Room Info'!$A$2:$A2446, MATCH(B2418,'Room Info'!$H$2:$H2446, 0)),IF(G2418='Room Info'!$G$1, INDEX('Room Info'!$A$2:$A2446, MATCH(B2418,'Room Info'!$G$2:$G2446, 0)))))))))</f>
        <v>0</v>
      </c>
      <c r="B2418" s="96"/>
      <c r="C2418" s="136"/>
      <c r="D2418" s="136"/>
      <c r="E2418" s="137"/>
      <c r="F2418" s="133"/>
      <c r="G2418" s="96"/>
      <c r="H2418" s="100"/>
      <c r="I2418" s="100"/>
      <c r="J2418" s="39" t="s">
        <v>334</v>
      </c>
      <c r="K2418" s="134"/>
      <c r="L2418" s="135"/>
      <c r="M2418" s="79"/>
      <c r="N2418" s="28" t="e">
        <f t="shared" si="8"/>
        <v>#VALUE!</v>
      </c>
      <c r="O2418" s="96"/>
      <c r="P2418" s="29" t="s">
        <v>334</v>
      </c>
      <c r="Q2418" s="55"/>
      <c r="R2418" s="31" t="e">
        <f t="shared" si="9"/>
        <v>#VALUE!</v>
      </c>
      <c r="S2418" s="97"/>
      <c r="T2418" s="32" t="e">
        <f t="shared" si="10"/>
        <v>#VALUE!</v>
      </c>
      <c r="U2418" s="57"/>
      <c r="V2418" s="58"/>
      <c r="W2418" s="58"/>
      <c r="X2418" s="30" t="e">
        <f t="shared" si="11"/>
        <v>#N/A</v>
      </c>
      <c r="Y2418" s="30" t="e">
        <f t="shared" si="12"/>
        <v>#N/A</v>
      </c>
      <c r="Z2418" s="35" t="e">
        <f t="shared" si="13"/>
        <v>#VALUE!</v>
      </c>
      <c r="AA2418" s="29" t="e">
        <f t="shared" si="14"/>
        <v>#VALUE!</v>
      </c>
      <c r="AB2418" s="36" t="e">
        <f t="shared" si="15"/>
        <v>#VALUE!</v>
      </c>
      <c r="AC2418" s="37" t="b">
        <v>0</v>
      </c>
      <c r="AD2418" s="61" t="str">
        <f t="shared" si="16"/>
        <v>USD</v>
      </c>
      <c r="AE2418" s="37"/>
      <c r="AF2418" s="37" t="e">
        <f t="array" ref="AF2418">INDEX('Deal Info'!D:D, MATCH(A2418,'Deal Info'!A:A, 0))</f>
        <v>#N/A</v>
      </c>
      <c r="AG2418" s="38" t="e">
        <f t="array" ref="AG2418">INDEX('Deal Info'!G:G, MATCH(A2418,'Deal Info'!A:A, 0))</f>
        <v>#N/A</v>
      </c>
    </row>
    <row r="2419" spans="1:33" ht="14.25" hidden="1" x14ac:dyDescent="0.2">
      <c r="A2419" s="18" t="b">
        <f t="array" ref="A2419">IF(G2419='Room Info'!$B$1, INDEX('Room Info'!$A$2:$A2446, MATCH(B2419,'Room Info'!$B$2:$B2446, 0)),IF(G2419='Room Info'!$C$1, INDEX('Room Info'!$A$2:$A2446, MATCH(B2419,'Room Info'!$C$2:$C2446, 0)),IF(G2419='Room Info'!$D$1, INDEX('Room Info'!$A$2:$A2446, MATCH(B2419,'Room Info'!$D$2:$D2446, 0)),IF(G2419='Room Info'!$E$1, INDEX('Room Info'!$A$2:$A2446, MATCH(B2419,'Room Info'!$E$2:$E2446, 0)),IF(G2419='Room Info'!$F$1, INDEX('Room Info'!$A$2:$A2446, MATCH(B2419,'Room Info'!$F$2:$F2446, 0)),IF(G2419='Room Info'!$H$1, INDEX('Room Info'!$A$2:$A2446, MATCH(B2419,'Room Info'!$H$2:$H2446, 0)),IF(G2419='Room Info'!$G$1, INDEX('Room Info'!$A$2:$A2446, MATCH(B2419,'Room Info'!$G$2:$G2446, 0)))))))))</f>
        <v>0</v>
      </c>
      <c r="B2419" s="96"/>
      <c r="C2419" s="136"/>
      <c r="D2419" s="136"/>
      <c r="E2419" s="137"/>
      <c r="F2419" s="133"/>
      <c r="G2419" s="96"/>
      <c r="H2419" s="100"/>
      <c r="I2419" s="100"/>
      <c r="J2419" s="39" t="s">
        <v>334</v>
      </c>
      <c r="K2419" s="134"/>
      <c r="L2419" s="135"/>
      <c r="M2419" s="79"/>
      <c r="N2419" s="28" t="e">
        <f t="shared" si="8"/>
        <v>#VALUE!</v>
      </c>
      <c r="O2419" s="96"/>
      <c r="P2419" s="29" t="s">
        <v>334</v>
      </c>
      <c r="Q2419" s="55"/>
      <c r="R2419" s="31" t="e">
        <f t="shared" si="9"/>
        <v>#VALUE!</v>
      </c>
      <c r="S2419" s="97"/>
      <c r="T2419" s="32" t="e">
        <f t="shared" si="10"/>
        <v>#VALUE!</v>
      </c>
      <c r="U2419" s="57"/>
      <c r="V2419" s="58"/>
      <c r="W2419" s="58"/>
      <c r="X2419" s="30" t="e">
        <f t="shared" si="11"/>
        <v>#N/A</v>
      </c>
      <c r="Y2419" s="30" t="e">
        <f t="shared" si="12"/>
        <v>#N/A</v>
      </c>
      <c r="Z2419" s="35" t="e">
        <f t="shared" si="13"/>
        <v>#VALUE!</v>
      </c>
      <c r="AA2419" s="29" t="e">
        <f t="shared" si="14"/>
        <v>#VALUE!</v>
      </c>
      <c r="AB2419" s="36" t="e">
        <f t="shared" si="15"/>
        <v>#VALUE!</v>
      </c>
      <c r="AC2419" s="37" t="b">
        <v>0</v>
      </c>
      <c r="AD2419" s="61" t="str">
        <f t="shared" si="16"/>
        <v>USD</v>
      </c>
      <c r="AE2419" s="37"/>
      <c r="AF2419" s="37" t="e">
        <f t="array" ref="AF2419">INDEX('Deal Info'!D:D, MATCH(A2419,'Deal Info'!A:A, 0))</f>
        <v>#N/A</v>
      </c>
      <c r="AG2419" s="38" t="e">
        <f t="array" ref="AG2419">INDEX('Deal Info'!G:G, MATCH(A2419,'Deal Info'!A:A, 0))</f>
        <v>#N/A</v>
      </c>
    </row>
    <row r="2420" spans="1:33" ht="14.25" hidden="1" x14ac:dyDescent="0.2">
      <c r="A2420" s="18" t="b">
        <f t="array" ref="A2420">IF(G2420='Room Info'!$B$1, INDEX('Room Info'!$A$2:$A2446, MATCH(B2420,'Room Info'!$B$2:$B2446, 0)),IF(G2420='Room Info'!$C$1, INDEX('Room Info'!$A$2:$A2446, MATCH(B2420,'Room Info'!$C$2:$C2446, 0)),IF(G2420='Room Info'!$D$1, INDEX('Room Info'!$A$2:$A2446, MATCH(B2420,'Room Info'!$D$2:$D2446, 0)),IF(G2420='Room Info'!$E$1, INDEX('Room Info'!$A$2:$A2446, MATCH(B2420,'Room Info'!$E$2:$E2446, 0)),IF(G2420='Room Info'!$F$1, INDEX('Room Info'!$A$2:$A2446, MATCH(B2420,'Room Info'!$F$2:$F2446, 0)),IF(G2420='Room Info'!$H$1, INDEX('Room Info'!$A$2:$A2446, MATCH(B2420,'Room Info'!$H$2:$H2446, 0)),IF(G2420='Room Info'!$G$1, INDEX('Room Info'!$A$2:$A2446, MATCH(B2420,'Room Info'!$G$2:$G2446, 0)))))))))</f>
        <v>0</v>
      </c>
      <c r="B2420" s="96"/>
      <c r="C2420" s="136"/>
      <c r="D2420" s="136"/>
      <c r="E2420" s="137"/>
      <c r="F2420" s="133"/>
      <c r="G2420" s="96"/>
      <c r="H2420" s="100"/>
      <c r="I2420" s="100"/>
      <c r="J2420" s="39" t="s">
        <v>334</v>
      </c>
      <c r="K2420" s="134"/>
      <c r="L2420" s="135"/>
      <c r="M2420" s="79"/>
      <c r="N2420" s="28" t="e">
        <f t="shared" si="8"/>
        <v>#VALUE!</v>
      </c>
      <c r="O2420" s="96"/>
      <c r="P2420" s="29" t="s">
        <v>334</v>
      </c>
      <c r="Q2420" s="55"/>
      <c r="R2420" s="31" t="e">
        <f t="shared" si="9"/>
        <v>#VALUE!</v>
      </c>
      <c r="S2420" s="97"/>
      <c r="T2420" s="32" t="e">
        <f t="shared" si="10"/>
        <v>#VALUE!</v>
      </c>
      <c r="U2420" s="57"/>
      <c r="V2420" s="58"/>
      <c r="W2420" s="58"/>
      <c r="X2420" s="30" t="e">
        <f t="shared" si="11"/>
        <v>#N/A</v>
      </c>
      <c r="Y2420" s="30" t="e">
        <f t="shared" si="12"/>
        <v>#N/A</v>
      </c>
      <c r="Z2420" s="35" t="e">
        <f t="shared" si="13"/>
        <v>#VALUE!</v>
      </c>
      <c r="AA2420" s="29" t="e">
        <f t="shared" si="14"/>
        <v>#VALUE!</v>
      </c>
      <c r="AB2420" s="36" t="e">
        <f t="shared" si="15"/>
        <v>#VALUE!</v>
      </c>
      <c r="AC2420" s="37" t="b">
        <v>0</v>
      </c>
      <c r="AD2420" s="61" t="str">
        <f t="shared" si="16"/>
        <v>USD</v>
      </c>
      <c r="AE2420" s="37"/>
      <c r="AF2420" s="37" t="e">
        <f t="array" ref="AF2420">INDEX('Deal Info'!D:D, MATCH(A2420,'Deal Info'!A:A, 0))</f>
        <v>#N/A</v>
      </c>
      <c r="AG2420" s="38" t="e">
        <f t="array" ref="AG2420">INDEX('Deal Info'!G:G, MATCH(A2420,'Deal Info'!A:A, 0))</f>
        <v>#N/A</v>
      </c>
    </row>
    <row r="2421" spans="1:33" ht="14.25" hidden="1" x14ac:dyDescent="0.2">
      <c r="A2421" s="18" t="b">
        <f t="array" ref="A2421">IF(G2421='Room Info'!$B$1, INDEX('Room Info'!$A$2:$A2446, MATCH(B2421,'Room Info'!$B$2:$B2446, 0)),IF(G2421='Room Info'!$C$1, INDEX('Room Info'!$A$2:$A2446, MATCH(B2421,'Room Info'!$C$2:$C2446, 0)),IF(G2421='Room Info'!$D$1, INDEX('Room Info'!$A$2:$A2446, MATCH(B2421,'Room Info'!$D$2:$D2446, 0)),IF(G2421='Room Info'!$E$1, INDEX('Room Info'!$A$2:$A2446, MATCH(B2421,'Room Info'!$E$2:$E2446, 0)),IF(G2421='Room Info'!$F$1, INDEX('Room Info'!$A$2:$A2446, MATCH(B2421,'Room Info'!$F$2:$F2446, 0)),IF(G2421='Room Info'!$H$1, INDEX('Room Info'!$A$2:$A2446, MATCH(B2421,'Room Info'!$H$2:$H2446, 0)),IF(G2421='Room Info'!$G$1, INDEX('Room Info'!$A$2:$A2446, MATCH(B2421,'Room Info'!$G$2:$G2446, 0)))))))))</f>
        <v>0</v>
      </c>
      <c r="B2421" s="96"/>
      <c r="C2421" s="136"/>
      <c r="D2421" s="136"/>
      <c r="E2421" s="137"/>
      <c r="F2421" s="133"/>
      <c r="G2421" s="96"/>
      <c r="H2421" s="100"/>
      <c r="I2421" s="100"/>
      <c r="J2421" s="39" t="s">
        <v>334</v>
      </c>
      <c r="K2421" s="134"/>
      <c r="L2421" s="135"/>
      <c r="M2421" s="79"/>
      <c r="N2421" s="28" t="e">
        <f t="shared" si="8"/>
        <v>#VALUE!</v>
      </c>
      <c r="O2421" s="96"/>
      <c r="P2421" s="29" t="s">
        <v>334</v>
      </c>
      <c r="Q2421" s="55"/>
      <c r="R2421" s="31" t="e">
        <f t="shared" si="9"/>
        <v>#VALUE!</v>
      </c>
      <c r="S2421" s="97"/>
      <c r="T2421" s="32" t="e">
        <f t="shared" si="10"/>
        <v>#VALUE!</v>
      </c>
      <c r="U2421" s="57"/>
      <c r="V2421" s="58"/>
      <c r="W2421" s="58"/>
      <c r="X2421" s="30" t="e">
        <f t="shared" si="11"/>
        <v>#N/A</v>
      </c>
      <c r="Y2421" s="30" t="e">
        <f t="shared" si="12"/>
        <v>#N/A</v>
      </c>
      <c r="Z2421" s="35" t="e">
        <f t="shared" si="13"/>
        <v>#VALUE!</v>
      </c>
      <c r="AA2421" s="29" t="e">
        <f t="shared" si="14"/>
        <v>#VALUE!</v>
      </c>
      <c r="AB2421" s="36" t="e">
        <f t="shared" si="15"/>
        <v>#VALUE!</v>
      </c>
      <c r="AC2421" s="37" t="b">
        <v>0</v>
      </c>
      <c r="AD2421" s="61" t="str">
        <f t="shared" si="16"/>
        <v>USD</v>
      </c>
      <c r="AE2421" s="37"/>
      <c r="AF2421" s="37" t="e">
        <f t="array" ref="AF2421">INDEX('Deal Info'!D:D, MATCH(A2421,'Deal Info'!A:A, 0))</f>
        <v>#N/A</v>
      </c>
      <c r="AG2421" s="38" t="e">
        <f t="array" ref="AG2421">INDEX('Deal Info'!G:G, MATCH(A2421,'Deal Info'!A:A, 0))</f>
        <v>#N/A</v>
      </c>
    </row>
    <row r="2422" spans="1:33" ht="14.25" hidden="1" x14ac:dyDescent="0.2">
      <c r="A2422" s="18" t="b">
        <f t="array" ref="A2422">IF(G2422='Room Info'!$B$1, INDEX('Room Info'!$A$2:$A2446, MATCH(B2422,'Room Info'!$B$2:$B2446, 0)),IF(G2422='Room Info'!$C$1, INDEX('Room Info'!$A$2:$A2446, MATCH(B2422,'Room Info'!$C$2:$C2446, 0)),IF(G2422='Room Info'!$D$1, INDEX('Room Info'!$A$2:$A2446, MATCH(B2422,'Room Info'!$D$2:$D2446, 0)),IF(G2422='Room Info'!$E$1, INDEX('Room Info'!$A$2:$A2446, MATCH(B2422,'Room Info'!$E$2:$E2446, 0)),IF(G2422='Room Info'!$F$1, INDEX('Room Info'!$A$2:$A2446, MATCH(B2422,'Room Info'!$F$2:$F2446, 0)),IF(G2422='Room Info'!$H$1, INDEX('Room Info'!$A$2:$A2446, MATCH(B2422,'Room Info'!$H$2:$H2446, 0)),IF(G2422='Room Info'!$G$1, INDEX('Room Info'!$A$2:$A2446, MATCH(B2422,'Room Info'!$G$2:$G2446, 0)))))))))</f>
        <v>0</v>
      </c>
      <c r="B2422" s="96"/>
      <c r="C2422" s="136"/>
      <c r="D2422" s="136"/>
      <c r="E2422" s="137"/>
      <c r="F2422" s="133"/>
      <c r="G2422" s="96"/>
      <c r="H2422" s="100"/>
      <c r="I2422" s="100"/>
      <c r="J2422" s="39" t="s">
        <v>334</v>
      </c>
      <c r="K2422" s="134"/>
      <c r="L2422" s="135"/>
      <c r="M2422" s="79"/>
      <c r="N2422" s="28" t="e">
        <f t="shared" si="8"/>
        <v>#VALUE!</v>
      </c>
      <c r="O2422" s="96"/>
      <c r="P2422" s="29" t="s">
        <v>334</v>
      </c>
      <c r="Q2422" s="55"/>
      <c r="R2422" s="31" t="e">
        <f t="shared" si="9"/>
        <v>#VALUE!</v>
      </c>
      <c r="S2422" s="97"/>
      <c r="T2422" s="32" t="e">
        <f t="shared" si="10"/>
        <v>#VALUE!</v>
      </c>
      <c r="U2422" s="57"/>
      <c r="V2422" s="58"/>
      <c r="W2422" s="58"/>
      <c r="X2422" s="30" t="e">
        <f t="shared" si="11"/>
        <v>#N/A</v>
      </c>
      <c r="Y2422" s="30" t="e">
        <f t="shared" si="12"/>
        <v>#N/A</v>
      </c>
      <c r="Z2422" s="35" t="e">
        <f t="shared" si="13"/>
        <v>#VALUE!</v>
      </c>
      <c r="AA2422" s="29" t="e">
        <f t="shared" si="14"/>
        <v>#VALUE!</v>
      </c>
      <c r="AB2422" s="36" t="e">
        <f t="shared" si="15"/>
        <v>#VALUE!</v>
      </c>
      <c r="AC2422" s="37" t="b">
        <v>0</v>
      </c>
      <c r="AD2422" s="61" t="str">
        <f t="shared" si="16"/>
        <v>USD</v>
      </c>
      <c r="AE2422" s="37"/>
      <c r="AF2422" s="37" t="e">
        <f t="array" ref="AF2422">INDEX('Deal Info'!D:D, MATCH(A2422,'Deal Info'!A:A, 0))</f>
        <v>#N/A</v>
      </c>
      <c r="AG2422" s="38" t="e">
        <f t="array" ref="AG2422">INDEX('Deal Info'!G:G, MATCH(A2422,'Deal Info'!A:A, 0))</f>
        <v>#N/A</v>
      </c>
    </row>
    <row r="2423" spans="1:33" ht="14.25" hidden="1" x14ac:dyDescent="0.2">
      <c r="A2423" s="18" t="b">
        <f t="array" ref="A2423">IF(G2423='Room Info'!$B$1, INDEX('Room Info'!$A$2:$A2446, MATCH(B2423,'Room Info'!$B$2:$B2446, 0)),IF(G2423='Room Info'!$C$1, INDEX('Room Info'!$A$2:$A2446, MATCH(B2423,'Room Info'!$C$2:$C2446, 0)),IF(G2423='Room Info'!$D$1, INDEX('Room Info'!$A$2:$A2446, MATCH(B2423,'Room Info'!$D$2:$D2446, 0)),IF(G2423='Room Info'!$E$1, INDEX('Room Info'!$A$2:$A2446, MATCH(B2423,'Room Info'!$E$2:$E2446, 0)),IF(G2423='Room Info'!$F$1, INDEX('Room Info'!$A$2:$A2446, MATCH(B2423,'Room Info'!$F$2:$F2446, 0)),IF(G2423='Room Info'!$H$1, INDEX('Room Info'!$A$2:$A2446, MATCH(B2423,'Room Info'!$H$2:$H2446, 0)),IF(G2423='Room Info'!$G$1, INDEX('Room Info'!$A$2:$A2446, MATCH(B2423,'Room Info'!$G$2:$G2446, 0)))))))))</f>
        <v>0</v>
      </c>
      <c r="B2423" s="96"/>
      <c r="C2423" s="111"/>
      <c r="D2423" s="111"/>
      <c r="E2423" s="80"/>
      <c r="F2423" s="96"/>
      <c r="G2423" s="65"/>
      <c r="H2423" s="110"/>
      <c r="I2423" s="110"/>
      <c r="J2423" s="39" t="s">
        <v>334</v>
      </c>
      <c r="K2423" s="112"/>
      <c r="L2423" s="113"/>
      <c r="M2423" s="62"/>
      <c r="N2423" s="28" t="e">
        <f t="shared" si="8"/>
        <v>#VALUE!</v>
      </c>
      <c r="O2423" s="65"/>
      <c r="P2423" s="29" t="s">
        <v>334</v>
      </c>
      <c r="Q2423" s="55"/>
      <c r="R2423" s="31" t="e">
        <f t="shared" si="9"/>
        <v>#VALUE!</v>
      </c>
      <c r="S2423" s="66"/>
      <c r="T2423" s="32" t="e">
        <f t="shared" si="10"/>
        <v>#VALUE!</v>
      </c>
      <c r="U2423" s="57"/>
      <c r="V2423" s="58"/>
      <c r="W2423" s="58"/>
      <c r="X2423" s="30" t="e">
        <f t="shared" si="11"/>
        <v>#N/A</v>
      </c>
      <c r="Y2423" s="30" t="e">
        <f t="shared" si="12"/>
        <v>#N/A</v>
      </c>
      <c r="Z2423" s="35" t="e">
        <f t="shared" si="13"/>
        <v>#VALUE!</v>
      </c>
      <c r="AA2423" s="29" t="e">
        <f t="shared" si="14"/>
        <v>#VALUE!</v>
      </c>
      <c r="AB2423" s="36" t="e">
        <f t="shared" si="15"/>
        <v>#VALUE!</v>
      </c>
      <c r="AC2423" s="37" t="b">
        <v>0</v>
      </c>
      <c r="AD2423" s="61" t="str">
        <f t="shared" si="16"/>
        <v>USD</v>
      </c>
      <c r="AE2423" s="37"/>
      <c r="AF2423" s="37" t="e">
        <f t="array" ref="AF2423">INDEX('Deal Info'!D:D, MATCH(A2423,'Deal Info'!A:A, 0))</f>
        <v>#N/A</v>
      </c>
      <c r="AG2423" s="38" t="e">
        <f t="array" ref="AG2423">INDEX('Deal Info'!G:G, MATCH(A2423,'Deal Info'!A:A, 0))</f>
        <v>#N/A</v>
      </c>
    </row>
    <row r="2424" spans="1:33" ht="14.25" hidden="1" x14ac:dyDescent="0.2">
      <c r="A2424" s="18" t="b">
        <f t="array" ref="A2424">IF(G2424='Room Info'!$B$1, INDEX('Room Info'!$A$2:$A2446, MATCH(B2424,'Room Info'!$B$2:$B2446, 0)),IF(G2424='Room Info'!$C$1, INDEX('Room Info'!$A$2:$A2446, MATCH(B2424,'Room Info'!$C$2:$C2446, 0)),IF(G2424='Room Info'!$D$1, INDEX('Room Info'!$A$2:$A2446, MATCH(B2424,'Room Info'!$D$2:$D2446, 0)),IF(G2424='Room Info'!$E$1, INDEX('Room Info'!$A$2:$A2446, MATCH(B2424,'Room Info'!$E$2:$E2446, 0)),IF(G2424='Room Info'!$F$1, INDEX('Room Info'!$A$2:$A2446, MATCH(B2424,'Room Info'!$F$2:$F2446, 0)),IF(G2424='Room Info'!$H$1, INDEX('Room Info'!$A$2:$A2446, MATCH(B2424,'Room Info'!$H$2:$H2446, 0)),IF(G2424='Room Info'!$G$1, INDEX('Room Info'!$A$2:$A2446, MATCH(B2424,'Room Info'!$G$2:$G2446, 0)))))))))</f>
        <v>0</v>
      </c>
      <c r="B2424" s="96"/>
      <c r="C2424" s="111"/>
      <c r="D2424" s="111"/>
      <c r="E2424" s="80"/>
      <c r="F2424" s="96"/>
      <c r="G2424" s="65"/>
      <c r="H2424" s="110"/>
      <c r="I2424" s="110"/>
      <c r="J2424" s="39" t="s">
        <v>334</v>
      </c>
      <c r="K2424" s="112"/>
      <c r="L2424" s="113"/>
      <c r="M2424" s="62"/>
      <c r="N2424" s="28" t="e">
        <f t="shared" si="8"/>
        <v>#VALUE!</v>
      </c>
      <c r="O2424" s="65"/>
      <c r="P2424" s="29" t="s">
        <v>334</v>
      </c>
      <c r="Q2424" s="55"/>
      <c r="R2424" s="31" t="e">
        <f t="shared" si="9"/>
        <v>#VALUE!</v>
      </c>
      <c r="S2424" s="66"/>
      <c r="T2424" s="32" t="e">
        <f t="shared" si="10"/>
        <v>#VALUE!</v>
      </c>
      <c r="U2424" s="57"/>
      <c r="V2424" s="58"/>
      <c r="W2424" s="58"/>
      <c r="X2424" s="30" t="e">
        <f t="shared" si="11"/>
        <v>#N/A</v>
      </c>
      <c r="Y2424" s="30" t="e">
        <f t="shared" si="12"/>
        <v>#N/A</v>
      </c>
      <c r="Z2424" s="35" t="e">
        <f t="shared" si="13"/>
        <v>#VALUE!</v>
      </c>
      <c r="AA2424" s="29" t="e">
        <f t="shared" si="14"/>
        <v>#VALUE!</v>
      </c>
      <c r="AB2424" s="36" t="e">
        <f t="shared" si="15"/>
        <v>#VALUE!</v>
      </c>
      <c r="AC2424" s="37" t="b">
        <v>0</v>
      </c>
      <c r="AD2424" s="61" t="str">
        <f t="shared" si="16"/>
        <v>USD</v>
      </c>
      <c r="AE2424" s="37"/>
      <c r="AF2424" s="37" t="e">
        <f t="array" ref="AF2424">INDEX('Deal Info'!D:D, MATCH(A2424,'Deal Info'!A:A, 0))</f>
        <v>#N/A</v>
      </c>
      <c r="AG2424" s="38" t="e">
        <f t="array" ref="AG2424">INDEX('Deal Info'!G:G, MATCH(A2424,'Deal Info'!A:A, 0))</f>
        <v>#N/A</v>
      </c>
    </row>
    <row r="2425" spans="1:33" ht="14.25" hidden="1" x14ac:dyDescent="0.2">
      <c r="A2425" s="18" t="b">
        <f t="array" ref="A2425">IF(G2425='Room Info'!$B$1, INDEX('Room Info'!$A$2:$A2446, MATCH(B2425,'Room Info'!$B$2:$B2446, 0)),IF(G2425='Room Info'!$C$1, INDEX('Room Info'!$A$2:$A2446, MATCH(B2425,'Room Info'!$C$2:$C2446, 0)),IF(G2425='Room Info'!$D$1, INDEX('Room Info'!$A$2:$A2446, MATCH(B2425,'Room Info'!$D$2:$D2446, 0)),IF(G2425='Room Info'!$E$1, INDEX('Room Info'!$A$2:$A2446, MATCH(B2425,'Room Info'!$E$2:$E2446, 0)),IF(G2425='Room Info'!$F$1, INDEX('Room Info'!$A$2:$A2446, MATCH(B2425,'Room Info'!$F$2:$F2446, 0)),IF(G2425='Room Info'!$H$1, INDEX('Room Info'!$A$2:$A2446, MATCH(B2425,'Room Info'!$H$2:$H2446, 0)),IF(G2425='Room Info'!$G$1, INDEX('Room Info'!$A$2:$A2446, MATCH(B2425,'Room Info'!$G$2:$G2446, 0)))))))))</f>
        <v>0</v>
      </c>
      <c r="B2425" s="96"/>
      <c r="C2425" s="136"/>
      <c r="D2425" s="136"/>
      <c r="E2425" s="137"/>
      <c r="F2425" s="133"/>
      <c r="G2425" s="96"/>
      <c r="H2425" s="100"/>
      <c r="I2425" s="100"/>
      <c r="J2425" s="39" t="s">
        <v>334</v>
      </c>
      <c r="K2425" s="134"/>
      <c r="L2425" s="135"/>
      <c r="M2425" s="79"/>
      <c r="N2425" s="28" t="e">
        <f t="shared" si="8"/>
        <v>#VALUE!</v>
      </c>
      <c r="O2425" s="96"/>
      <c r="P2425" s="29" t="s">
        <v>334</v>
      </c>
      <c r="Q2425" s="55"/>
      <c r="R2425" s="31" t="e">
        <f t="shared" si="9"/>
        <v>#VALUE!</v>
      </c>
      <c r="S2425" s="97"/>
      <c r="T2425" s="32" t="e">
        <f t="shared" si="10"/>
        <v>#VALUE!</v>
      </c>
      <c r="U2425" s="57"/>
      <c r="V2425" s="58"/>
      <c r="W2425" s="58"/>
      <c r="X2425" s="30" t="e">
        <f t="shared" si="11"/>
        <v>#N/A</v>
      </c>
      <c r="Y2425" s="30" t="e">
        <f t="shared" si="12"/>
        <v>#N/A</v>
      </c>
      <c r="Z2425" s="35" t="e">
        <f t="shared" si="13"/>
        <v>#VALUE!</v>
      </c>
      <c r="AA2425" s="29" t="e">
        <f t="shared" si="14"/>
        <v>#VALUE!</v>
      </c>
      <c r="AB2425" s="36" t="e">
        <f t="shared" si="15"/>
        <v>#VALUE!</v>
      </c>
      <c r="AC2425" s="37" t="b">
        <v>0</v>
      </c>
      <c r="AD2425" s="61" t="str">
        <f t="shared" si="16"/>
        <v>USD</v>
      </c>
      <c r="AE2425" s="37"/>
      <c r="AF2425" s="37" t="e">
        <f t="array" ref="AF2425">INDEX('Deal Info'!D:D, MATCH(A2425,'Deal Info'!A:A, 0))</f>
        <v>#N/A</v>
      </c>
      <c r="AG2425" s="38" t="e">
        <f t="array" ref="AG2425">INDEX('Deal Info'!G:G, MATCH(A2425,'Deal Info'!A:A, 0))</f>
        <v>#N/A</v>
      </c>
    </row>
    <row r="2426" spans="1:33" ht="14.25" hidden="1" x14ac:dyDescent="0.2">
      <c r="A2426" s="18" t="b">
        <f t="array" ref="A2426">IF(G2426='Room Info'!$B$1, INDEX('Room Info'!$A$2:$A2446, MATCH(B2426,'Room Info'!$B$2:$B2446, 0)),IF(G2426='Room Info'!$C$1, INDEX('Room Info'!$A$2:$A2446, MATCH(B2426,'Room Info'!$C$2:$C2446, 0)),IF(G2426='Room Info'!$D$1, INDEX('Room Info'!$A$2:$A2446, MATCH(B2426,'Room Info'!$D$2:$D2446, 0)),IF(G2426='Room Info'!$E$1, INDEX('Room Info'!$A$2:$A2446, MATCH(B2426,'Room Info'!$E$2:$E2446, 0)),IF(G2426='Room Info'!$F$1, INDEX('Room Info'!$A$2:$A2446, MATCH(B2426,'Room Info'!$F$2:$F2446, 0)),IF(G2426='Room Info'!$H$1, INDEX('Room Info'!$A$2:$A2446, MATCH(B2426,'Room Info'!$H$2:$H2446, 0)),IF(G2426='Room Info'!$G$1, INDEX('Room Info'!$A$2:$A2446, MATCH(B2426,'Room Info'!$G$2:$G2446, 0)))))))))</f>
        <v>0</v>
      </c>
      <c r="B2426" s="96"/>
      <c r="C2426" s="136"/>
      <c r="D2426" s="136"/>
      <c r="E2426" s="137"/>
      <c r="F2426" s="133"/>
      <c r="G2426" s="96"/>
      <c r="H2426" s="100"/>
      <c r="I2426" s="100"/>
      <c r="J2426" s="39" t="s">
        <v>334</v>
      </c>
      <c r="K2426" s="134"/>
      <c r="L2426" s="135"/>
      <c r="M2426" s="79"/>
      <c r="N2426" s="28" t="e">
        <f t="shared" si="8"/>
        <v>#VALUE!</v>
      </c>
      <c r="O2426" s="96"/>
      <c r="P2426" s="29" t="s">
        <v>334</v>
      </c>
      <c r="Q2426" s="55"/>
      <c r="R2426" s="31" t="e">
        <f t="shared" si="9"/>
        <v>#VALUE!</v>
      </c>
      <c r="S2426" s="97"/>
      <c r="T2426" s="32" t="e">
        <f t="shared" si="10"/>
        <v>#VALUE!</v>
      </c>
      <c r="U2426" s="57"/>
      <c r="V2426" s="58"/>
      <c r="W2426" s="58"/>
      <c r="X2426" s="30" t="e">
        <f t="shared" si="11"/>
        <v>#N/A</v>
      </c>
      <c r="Y2426" s="30" t="e">
        <f t="shared" si="12"/>
        <v>#N/A</v>
      </c>
      <c r="Z2426" s="35" t="e">
        <f t="shared" si="13"/>
        <v>#VALUE!</v>
      </c>
      <c r="AA2426" s="29" t="e">
        <f t="shared" si="14"/>
        <v>#VALUE!</v>
      </c>
      <c r="AB2426" s="36" t="e">
        <f t="shared" si="15"/>
        <v>#VALUE!</v>
      </c>
      <c r="AC2426" s="37" t="b">
        <v>0</v>
      </c>
      <c r="AD2426" s="61" t="str">
        <f t="shared" si="16"/>
        <v>USD</v>
      </c>
      <c r="AE2426" s="37"/>
      <c r="AF2426" s="37" t="e">
        <f t="array" ref="AF2426">INDEX('Deal Info'!D:D, MATCH(A2426,'Deal Info'!A:A, 0))</f>
        <v>#N/A</v>
      </c>
      <c r="AG2426" s="38" t="e">
        <f t="array" ref="AG2426">INDEX('Deal Info'!G:G, MATCH(A2426,'Deal Info'!A:A, 0))</f>
        <v>#N/A</v>
      </c>
    </row>
    <row r="2427" spans="1:33" ht="14.25" hidden="1" x14ac:dyDescent="0.2">
      <c r="A2427" s="18" t="b">
        <f t="array" ref="A2427">IF(G2427='Room Info'!$B$1, INDEX('Room Info'!$A$2:$A2446, MATCH(B2427,'Room Info'!$B$2:$B2446, 0)),IF(G2427='Room Info'!$C$1, INDEX('Room Info'!$A$2:$A2446, MATCH(B2427,'Room Info'!$C$2:$C2446, 0)),IF(G2427='Room Info'!$D$1, INDEX('Room Info'!$A$2:$A2446, MATCH(B2427,'Room Info'!$D$2:$D2446, 0)),IF(G2427='Room Info'!$E$1, INDEX('Room Info'!$A$2:$A2446, MATCH(B2427,'Room Info'!$E$2:$E2446, 0)),IF(G2427='Room Info'!$F$1, INDEX('Room Info'!$A$2:$A2446, MATCH(B2427,'Room Info'!$F$2:$F2446, 0)),IF(G2427='Room Info'!$H$1, INDEX('Room Info'!$A$2:$A2446, MATCH(B2427,'Room Info'!$H$2:$H2446, 0)),IF(G2427='Room Info'!$G$1, INDEX('Room Info'!$A$2:$A2446, MATCH(B2427,'Room Info'!$G$2:$G2446, 0)))))))))</f>
        <v>0</v>
      </c>
      <c r="B2427" s="96"/>
      <c r="C2427" s="136"/>
      <c r="D2427" s="136"/>
      <c r="E2427" s="137"/>
      <c r="F2427" s="133"/>
      <c r="G2427" s="96"/>
      <c r="H2427" s="100"/>
      <c r="I2427" s="100"/>
      <c r="J2427" s="39" t="s">
        <v>334</v>
      </c>
      <c r="K2427" s="134"/>
      <c r="L2427" s="135"/>
      <c r="M2427" s="79"/>
      <c r="N2427" s="28" t="e">
        <f t="shared" si="8"/>
        <v>#VALUE!</v>
      </c>
      <c r="O2427" s="96"/>
      <c r="P2427" s="29" t="s">
        <v>334</v>
      </c>
      <c r="Q2427" s="55"/>
      <c r="R2427" s="31" t="e">
        <f t="shared" si="9"/>
        <v>#VALUE!</v>
      </c>
      <c r="S2427" s="97"/>
      <c r="T2427" s="32" t="e">
        <f t="shared" si="10"/>
        <v>#VALUE!</v>
      </c>
      <c r="U2427" s="57"/>
      <c r="V2427" s="58"/>
      <c r="W2427" s="58"/>
      <c r="X2427" s="30" t="e">
        <f t="shared" si="11"/>
        <v>#N/A</v>
      </c>
      <c r="Y2427" s="30" t="e">
        <f t="shared" si="12"/>
        <v>#N/A</v>
      </c>
      <c r="Z2427" s="35" t="e">
        <f t="shared" si="13"/>
        <v>#VALUE!</v>
      </c>
      <c r="AA2427" s="29" t="e">
        <f t="shared" si="14"/>
        <v>#VALUE!</v>
      </c>
      <c r="AB2427" s="36" t="e">
        <f t="shared" si="15"/>
        <v>#VALUE!</v>
      </c>
      <c r="AC2427" s="37" t="b">
        <v>0</v>
      </c>
      <c r="AD2427" s="61" t="str">
        <f t="shared" si="16"/>
        <v>USD</v>
      </c>
      <c r="AE2427" s="37"/>
      <c r="AF2427" s="37" t="e">
        <f t="array" ref="AF2427">INDEX('Deal Info'!D:D, MATCH(A2427,'Deal Info'!A:A, 0))</f>
        <v>#N/A</v>
      </c>
      <c r="AG2427" s="38" t="e">
        <f t="array" ref="AG2427">INDEX('Deal Info'!G:G, MATCH(A2427,'Deal Info'!A:A, 0))</f>
        <v>#N/A</v>
      </c>
    </row>
    <row r="2428" spans="1:33" ht="14.25" hidden="1" x14ac:dyDescent="0.2">
      <c r="A2428" s="18" t="b">
        <f t="array" ref="A2428">IF(G2428='Room Info'!$B$1, INDEX('Room Info'!$A$2:$A2446, MATCH(B2428,'Room Info'!$B$2:$B2446, 0)),IF(G2428='Room Info'!$C$1, INDEX('Room Info'!$A$2:$A2446, MATCH(B2428,'Room Info'!$C$2:$C2446, 0)),IF(G2428='Room Info'!$D$1, INDEX('Room Info'!$A$2:$A2446, MATCH(B2428,'Room Info'!$D$2:$D2446, 0)),IF(G2428='Room Info'!$E$1, INDEX('Room Info'!$A$2:$A2446, MATCH(B2428,'Room Info'!$E$2:$E2446, 0)),IF(G2428='Room Info'!$F$1, INDEX('Room Info'!$A$2:$A2446, MATCH(B2428,'Room Info'!$F$2:$F2446, 0)),IF(G2428='Room Info'!$H$1, INDEX('Room Info'!$A$2:$A2446, MATCH(B2428,'Room Info'!$H$2:$H2446, 0)),IF(G2428='Room Info'!$G$1, INDEX('Room Info'!$A$2:$A2446, MATCH(B2428,'Room Info'!$G$2:$G2446, 0)))))))))</f>
        <v>0</v>
      </c>
      <c r="B2428" s="96"/>
      <c r="C2428" s="136"/>
      <c r="D2428" s="136"/>
      <c r="E2428" s="137"/>
      <c r="F2428" s="133"/>
      <c r="G2428" s="96"/>
      <c r="H2428" s="100"/>
      <c r="I2428" s="100"/>
      <c r="J2428" s="39" t="s">
        <v>334</v>
      </c>
      <c r="K2428" s="134"/>
      <c r="L2428" s="135"/>
      <c r="M2428" s="79"/>
      <c r="N2428" s="28" t="e">
        <f t="shared" si="8"/>
        <v>#VALUE!</v>
      </c>
      <c r="O2428" s="96"/>
      <c r="P2428" s="29" t="s">
        <v>334</v>
      </c>
      <c r="Q2428" s="55"/>
      <c r="R2428" s="31" t="e">
        <f t="shared" si="9"/>
        <v>#VALUE!</v>
      </c>
      <c r="S2428" s="97"/>
      <c r="T2428" s="32" t="e">
        <f t="shared" si="10"/>
        <v>#VALUE!</v>
      </c>
      <c r="U2428" s="57"/>
      <c r="V2428" s="58"/>
      <c r="W2428" s="58"/>
      <c r="X2428" s="30" t="e">
        <f t="shared" si="11"/>
        <v>#N/A</v>
      </c>
      <c r="Y2428" s="30" t="e">
        <f t="shared" si="12"/>
        <v>#N/A</v>
      </c>
      <c r="Z2428" s="35" t="e">
        <f t="shared" si="13"/>
        <v>#VALUE!</v>
      </c>
      <c r="AA2428" s="29" t="e">
        <f t="shared" si="14"/>
        <v>#VALUE!</v>
      </c>
      <c r="AB2428" s="36" t="e">
        <f t="shared" si="15"/>
        <v>#VALUE!</v>
      </c>
      <c r="AC2428" s="37" t="b">
        <v>0</v>
      </c>
      <c r="AD2428" s="61" t="str">
        <f t="shared" si="16"/>
        <v>USD</v>
      </c>
      <c r="AE2428" s="37"/>
      <c r="AF2428" s="37" t="e">
        <f t="array" ref="AF2428">INDEX('Deal Info'!D:D, MATCH(A2428,'Deal Info'!A:A, 0))</f>
        <v>#N/A</v>
      </c>
      <c r="AG2428" s="38" t="e">
        <f t="array" ref="AG2428">INDEX('Deal Info'!G:G, MATCH(A2428,'Deal Info'!A:A, 0))</f>
        <v>#N/A</v>
      </c>
    </row>
    <row r="2429" spans="1:33" ht="14.25" hidden="1" x14ac:dyDescent="0.2">
      <c r="A2429" s="18" t="b">
        <f t="array" ref="A2429">IF(G2429='Room Info'!$B$1, INDEX('Room Info'!$A$2:$A2446, MATCH(B2429,'Room Info'!$B$2:$B2446, 0)),IF(G2429='Room Info'!$C$1, INDEX('Room Info'!$A$2:$A2446, MATCH(B2429,'Room Info'!$C$2:$C2446, 0)),IF(G2429='Room Info'!$D$1, INDEX('Room Info'!$A$2:$A2446, MATCH(B2429,'Room Info'!$D$2:$D2446, 0)),IF(G2429='Room Info'!$E$1, INDEX('Room Info'!$A$2:$A2446, MATCH(B2429,'Room Info'!$E$2:$E2446, 0)),IF(G2429='Room Info'!$F$1, INDEX('Room Info'!$A$2:$A2446, MATCH(B2429,'Room Info'!$F$2:$F2446, 0)),IF(G2429='Room Info'!$H$1, INDEX('Room Info'!$A$2:$A2446, MATCH(B2429,'Room Info'!$H$2:$H2446, 0)),IF(G2429='Room Info'!$G$1, INDEX('Room Info'!$A$2:$A2446, MATCH(B2429,'Room Info'!$G$2:$G2446, 0)))))))))</f>
        <v>0</v>
      </c>
      <c r="B2429" s="96"/>
      <c r="C2429" s="111"/>
      <c r="D2429" s="111"/>
      <c r="E2429" s="80"/>
      <c r="F2429" s="96"/>
      <c r="G2429" s="65"/>
      <c r="H2429" s="110"/>
      <c r="I2429" s="110"/>
      <c r="J2429" s="39" t="s">
        <v>334</v>
      </c>
      <c r="K2429" s="112"/>
      <c r="L2429" s="113"/>
      <c r="M2429" s="62"/>
      <c r="N2429" s="28" t="e">
        <f t="shared" si="8"/>
        <v>#VALUE!</v>
      </c>
      <c r="O2429" s="65"/>
      <c r="P2429" s="29" t="s">
        <v>334</v>
      </c>
      <c r="Q2429" s="55"/>
      <c r="R2429" s="31" t="e">
        <f t="shared" si="9"/>
        <v>#VALUE!</v>
      </c>
      <c r="S2429" s="66"/>
      <c r="T2429" s="32" t="e">
        <f t="shared" si="10"/>
        <v>#VALUE!</v>
      </c>
      <c r="U2429" s="57"/>
      <c r="V2429" s="58"/>
      <c r="W2429" s="58"/>
      <c r="X2429" s="30" t="e">
        <f t="shared" si="11"/>
        <v>#N/A</v>
      </c>
      <c r="Y2429" s="30" t="e">
        <f t="shared" si="12"/>
        <v>#N/A</v>
      </c>
      <c r="Z2429" s="35" t="e">
        <f t="shared" si="13"/>
        <v>#VALUE!</v>
      </c>
      <c r="AA2429" s="29" t="e">
        <f t="shared" si="14"/>
        <v>#VALUE!</v>
      </c>
      <c r="AB2429" s="36" t="e">
        <f t="shared" si="15"/>
        <v>#VALUE!</v>
      </c>
      <c r="AC2429" s="37" t="b">
        <v>0</v>
      </c>
      <c r="AD2429" s="61" t="str">
        <f t="shared" si="16"/>
        <v>USD</v>
      </c>
      <c r="AE2429" s="37"/>
      <c r="AF2429" s="37" t="e">
        <f t="array" ref="AF2429">INDEX('Deal Info'!D:D, MATCH(A2429,'Deal Info'!A:A, 0))</f>
        <v>#N/A</v>
      </c>
      <c r="AG2429" s="38" t="e">
        <f t="array" ref="AG2429">INDEX('Deal Info'!G:G, MATCH(A2429,'Deal Info'!A:A, 0))</f>
        <v>#N/A</v>
      </c>
    </row>
    <row r="2430" spans="1:33" ht="14.25" hidden="1" x14ac:dyDescent="0.2">
      <c r="A2430" s="18" t="b">
        <f t="array" ref="A2430">IF(G2430='Room Info'!$B$1, INDEX('Room Info'!$A$2:$A2446, MATCH(B2430,'Room Info'!$B$2:$B2446, 0)),IF(G2430='Room Info'!$C$1, INDEX('Room Info'!$A$2:$A2446, MATCH(B2430,'Room Info'!$C$2:$C2446, 0)),IF(G2430='Room Info'!$D$1, INDEX('Room Info'!$A$2:$A2446, MATCH(B2430,'Room Info'!$D$2:$D2446, 0)),IF(G2430='Room Info'!$E$1, INDEX('Room Info'!$A$2:$A2446, MATCH(B2430,'Room Info'!$E$2:$E2446, 0)),IF(G2430='Room Info'!$F$1, INDEX('Room Info'!$A$2:$A2446, MATCH(B2430,'Room Info'!$F$2:$F2446, 0)),IF(G2430='Room Info'!$H$1, INDEX('Room Info'!$A$2:$A2446, MATCH(B2430,'Room Info'!$H$2:$H2446, 0)),IF(G2430='Room Info'!$G$1, INDEX('Room Info'!$A$2:$A2446, MATCH(B2430,'Room Info'!$G$2:$G2446, 0)))))))))</f>
        <v>0</v>
      </c>
      <c r="B2430" s="96"/>
      <c r="C2430" s="111"/>
      <c r="D2430" s="111"/>
      <c r="E2430" s="80"/>
      <c r="F2430" s="96"/>
      <c r="G2430" s="65"/>
      <c r="H2430" s="110"/>
      <c r="I2430" s="110"/>
      <c r="J2430" s="39" t="s">
        <v>334</v>
      </c>
      <c r="K2430" s="112"/>
      <c r="L2430" s="113"/>
      <c r="M2430" s="62"/>
      <c r="N2430" s="28" t="e">
        <f t="shared" si="8"/>
        <v>#VALUE!</v>
      </c>
      <c r="O2430" s="65"/>
      <c r="P2430" s="29" t="s">
        <v>334</v>
      </c>
      <c r="Q2430" s="55"/>
      <c r="R2430" s="31" t="e">
        <f t="shared" si="9"/>
        <v>#VALUE!</v>
      </c>
      <c r="S2430" s="66"/>
      <c r="T2430" s="32" t="e">
        <f t="shared" si="10"/>
        <v>#VALUE!</v>
      </c>
      <c r="U2430" s="57"/>
      <c r="V2430" s="58"/>
      <c r="W2430" s="58"/>
      <c r="X2430" s="30" t="e">
        <f t="shared" si="11"/>
        <v>#N/A</v>
      </c>
      <c r="Y2430" s="30" t="e">
        <f t="shared" si="12"/>
        <v>#N/A</v>
      </c>
      <c r="Z2430" s="35" t="e">
        <f t="shared" si="13"/>
        <v>#VALUE!</v>
      </c>
      <c r="AA2430" s="29" t="e">
        <f t="shared" si="14"/>
        <v>#VALUE!</v>
      </c>
      <c r="AB2430" s="36" t="e">
        <f t="shared" si="15"/>
        <v>#VALUE!</v>
      </c>
      <c r="AC2430" s="37" t="b">
        <v>0</v>
      </c>
      <c r="AD2430" s="61" t="str">
        <f t="shared" si="16"/>
        <v>USD</v>
      </c>
      <c r="AE2430" s="37"/>
      <c r="AF2430" s="37" t="e">
        <f t="array" ref="AF2430">INDEX('Deal Info'!D:D, MATCH(A2430,'Deal Info'!A:A, 0))</f>
        <v>#N/A</v>
      </c>
      <c r="AG2430" s="38" t="e">
        <f t="array" ref="AG2430">INDEX('Deal Info'!G:G, MATCH(A2430,'Deal Info'!A:A, 0))</f>
        <v>#N/A</v>
      </c>
    </row>
    <row r="2431" spans="1:33" ht="14.25" hidden="1" x14ac:dyDescent="0.2">
      <c r="A2431" s="18" t="b">
        <f t="array" ref="A2431">IF(G2431='Room Info'!$B$1, INDEX('Room Info'!$A$2:$A2446, MATCH(B2431,'Room Info'!$B$2:$B2446, 0)),IF(G2431='Room Info'!$C$1, INDEX('Room Info'!$A$2:$A2446, MATCH(B2431,'Room Info'!$C$2:$C2446, 0)),IF(G2431='Room Info'!$D$1, INDEX('Room Info'!$A$2:$A2446, MATCH(B2431,'Room Info'!$D$2:$D2446, 0)),IF(G2431='Room Info'!$E$1, INDEX('Room Info'!$A$2:$A2446, MATCH(B2431,'Room Info'!$E$2:$E2446, 0)),IF(G2431='Room Info'!$F$1, INDEX('Room Info'!$A$2:$A2446, MATCH(B2431,'Room Info'!$F$2:$F2446, 0)),IF(G2431='Room Info'!$H$1, INDEX('Room Info'!$A$2:$A2446, MATCH(B2431,'Room Info'!$H$2:$H2446, 0)),IF(G2431='Room Info'!$G$1, INDEX('Room Info'!$A$2:$A2446, MATCH(B2431,'Room Info'!$G$2:$G2446, 0)))))))))</f>
        <v>0</v>
      </c>
      <c r="B2431" s="96"/>
      <c r="C2431" s="111"/>
      <c r="D2431" s="111"/>
      <c r="E2431" s="80"/>
      <c r="F2431" s="133"/>
      <c r="G2431" s="65"/>
      <c r="H2431" s="110"/>
      <c r="I2431" s="110"/>
      <c r="J2431" s="39" t="s">
        <v>334</v>
      </c>
      <c r="K2431" s="112"/>
      <c r="L2431" s="113"/>
      <c r="M2431" s="62"/>
      <c r="N2431" s="28" t="e">
        <f t="shared" si="8"/>
        <v>#VALUE!</v>
      </c>
      <c r="O2431" s="65"/>
      <c r="P2431" s="29" t="s">
        <v>334</v>
      </c>
      <c r="Q2431" s="55"/>
      <c r="R2431" s="31" t="e">
        <f t="shared" si="9"/>
        <v>#VALUE!</v>
      </c>
      <c r="S2431" s="66"/>
      <c r="T2431" s="32" t="e">
        <f t="shared" si="10"/>
        <v>#VALUE!</v>
      </c>
      <c r="U2431" s="57"/>
      <c r="V2431" s="58"/>
      <c r="W2431" s="58"/>
      <c r="X2431" s="30" t="e">
        <f t="shared" si="11"/>
        <v>#N/A</v>
      </c>
      <c r="Y2431" s="30" t="e">
        <f t="shared" si="12"/>
        <v>#N/A</v>
      </c>
      <c r="Z2431" s="35" t="e">
        <f t="shared" si="13"/>
        <v>#VALUE!</v>
      </c>
      <c r="AA2431" s="29" t="e">
        <f t="shared" si="14"/>
        <v>#VALUE!</v>
      </c>
      <c r="AB2431" s="36" t="e">
        <f t="shared" si="15"/>
        <v>#VALUE!</v>
      </c>
      <c r="AC2431" s="37" t="b">
        <v>0</v>
      </c>
      <c r="AD2431" s="61" t="str">
        <f t="shared" si="16"/>
        <v>USD</v>
      </c>
      <c r="AE2431" s="37"/>
      <c r="AF2431" s="37" t="e">
        <f t="array" ref="AF2431">INDEX('Deal Info'!D:D, MATCH(A2431,'Deal Info'!A:A, 0))</f>
        <v>#N/A</v>
      </c>
      <c r="AG2431" s="38" t="e">
        <f t="array" ref="AG2431">INDEX('Deal Info'!G:G, MATCH(A2431,'Deal Info'!A:A, 0))</f>
        <v>#N/A</v>
      </c>
    </row>
    <row r="2432" spans="1:33" ht="14.25" hidden="1" x14ac:dyDescent="0.2">
      <c r="A2432" s="18" t="b">
        <f t="array" ref="A2432">IF(G2432='Room Info'!$B$1, INDEX('Room Info'!$A$2:$A2446, MATCH(B2432,'Room Info'!$B$2:$B2446, 0)),IF(G2432='Room Info'!$C$1, INDEX('Room Info'!$A$2:$A2446, MATCH(B2432,'Room Info'!$C$2:$C2446, 0)),IF(G2432='Room Info'!$D$1, INDEX('Room Info'!$A$2:$A2446, MATCH(B2432,'Room Info'!$D$2:$D2446, 0)),IF(G2432='Room Info'!$E$1, INDEX('Room Info'!$A$2:$A2446, MATCH(B2432,'Room Info'!$E$2:$E2446, 0)),IF(G2432='Room Info'!$F$1, INDEX('Room Info'!$A$2:$A2446, MATCH(B2432,'Room Info'!$F$2:$F2446, 0)),IF(G2432='Room Info'!$H$1, INDEX('Room Info'!$A$2:$A2446, MATCH(B2432,'Room Info'!$H$2:$H2446, 0)),IF(G2432='Room Info'!$G$1, INDEX('Room Info'!$A$2:$A2446, MATCH(B2432,'Room Info'!$G$2:$G2446, 0)))))))))</f>
        <v>0</v>
      </c>
      <c r="B2432" s="96"/>
      <c r="C2432" s="111"/>
      <c r="D2432" s="111"/>
      <c r="E2432" s="80"/>
      <c r="F2432" s="133"/>
      <c r="G2432" s="65"/>
      <c r="H2432" s="110"/>
      <c r="I2432" s="110"/>
      <c r="J2432" s="39" t="s">
        <v>334</v>
      </c>
      <c r="K2432" s="112"/>
      <c r="L2432" s="113"/>
      <c r="M2432" s="62"/>
      <c r="N2432" s="28" t="e">
        <f t="shared" si="8"/>
        <v>#VALUE!</v>
      </c>
      <c r="O2432" s="65"/>
      <c r="P2432" s="29" t="s">
        <v>334</v>
      </c>
      <c r="Q2432" s="55"/>
      <c r="R2432" s="31" t="e">
        <f t="shared" si="9"/>
        <v>#VALUE!</v>
      </c>
      <c r="S2432" s="66"/>
      <c r="T2432" s="32" t="e">
        <f t="shared" si="10"/>
        <v>#VALUE!</v>
      </c>
      <c r="U2432" s="57"/>
      <c r="V2432" s="58"/>
      <c r="W2432" s="58"/>
      <c r="X2432" s="30" t="e">
        <f t="shared" si="11"/>
        <v>#N/A</v>
      </c>
      <c r="Y2432" s="30" t="e">
        <f t="shared" si="12"/>
        <v>#N/A</v>
      </c>
      <c r="Z2432" s="35" t="e">
        <f t="shared" si="13"/>
        <v>#VALUE!</v>
      </c>
      <c r="AA2432" s="29" t="e">
        <f t="shared" si="14"/>
        <v>#VALUE!</v>
      </c>
      <c r="AB2432" s="36" t="e">
        <f t="shared" si="15"/>
        <v>#VALUE!</v>
      </c>
      <c r="AC2432" s="37" t="b">
        <v>0</v>
      </c>
      <c r="AD2432" s="61" t="str">
        <f t="shared" si="16"/>
        <v>USD</v>
      </c>
      <c r="AE2432" s="37"/>
      <c r="AF2432" s="37" t="e">
        <f t="array" ref="AF2432">INDEX('Deal Info'!D:D, MATCH(A2432,'Deal Info'!A:A, 0))</f>
        <v>#N/A</v>
      </c>
      <c r="AG2432" s="38" t="e">
        <f t="array" ref="AG2432">INDEX('Deal Info'!G:G, MATCH(A2432,'Deal Info'!A:A, 0))</f>
        <v>#N/A</v>
      </c>
    </row>
    <row r="2433" spans="1:33" ht="14.25" hidden="1" x14ac:dyDescent="0.2">
      <c r="A2433" s="18" t="b">
        <f t="array" ref="A2433">IF(G2433='Room Info'!$B$1, INDEX('Room Info'!$A$2:$A2446, MATCH(B2433,'Room Info'!$B$2:$B2446, 0)),IF(G2433='Room Info'!$C$1, INDEX('Room Info'!$A$2:$A2446, MATCH(B2433,'Room Info'!$C$2:$C2446, 0)),IF(G2433='Room Info'!$D$1, INDEX('Room Info'!$A$2:$A2446, MATCH(B2433,'Room Info'!$D$2:$D2446, 0)),IF(G2433='Room Info'!$E$1, INDEX('Room Info'!$A$2:$A2446, MATCH(B2433,'Room Info'!$E$2:$E2446, 0)),IF(G2433='Room Info'!$F$1, INDEX('Room Info'!$A$2:$A2446, MATCH(B2433,'Room Info'!$F$2:$F2446, 0)),IF(G2433='Room Info'!$H$1, INDEX('Room Info'!$A$2:$A2446, MATCH(B2433,'Room Info'!$H$2:$H2446, 0)),IF(G2433='Room Info'!$G$1, INDEX('Room Info'!$A$2:$A2446, MATCH(B2433,'Room Info'!$G$2:$G2446, 0)))))))))</f>
        <v>0</v>
      </c>
      <c r="B2433" s="96"/>
      <c r="C2433" s="111"/>
      <c r="D2433" s="111"/>
      <c r="E2433" s="80"/>
      <c r="F2433" s="133"/>
      <c r="G2433" s="65"/>
      <c r="H2433" s="110"/>
      <c r="I2433" s="110"/>
      <c r="J2433" s="39" t="s">
        <v>334</v>
      </c>
      <c r="K2433" s="112"/>
      <c r="L2433" s="113"/>
      <c r="M2433" s="62"/>
      <c r="N2433" s="28" t="e">
        <f t="shared" si="8"/>
        <v>#VALUE!</v>
      </c>
      <c r="O2433" s="65"/>
      <c r="P2433" s="29" t="s">
        <v>334</v>
      </c>
      <c r="Q2433" s="55"/>
      <c r="R2433" s="31" t="e">
        <f t="shared" si="9"/>
        <v>#VALUE!</v>
      </c>
      <c r="S2433" s="66"/>
      <c r="T2433" s="32" t="e">
        <f t="shared" si="10"/>
        <v>#VALUE!</v>
      </c>
      <c r="U2433" s="57"/>
      <c r="V2433" s="58"/>
      <c r="W2433" s="58"/>
      <c r="X2433" s="30" t="e">
        <f t="shared" si="11"/>
        <v>#N/A</v>
      </c>
      <c r="Y2433" s="30" t="e">
        <f t="shared" si="12"/>
        <v>#N/A</v>
      </c>
      <c r="Z2433" s="35" t="e">
        <f t="shared" si="13"/>
        <v>#VALUE!</v>
      </c>
      <c r="AA2433" s="29" t="e">
        <f t="shared" si="14"/>
        <v>#VALUE!</v>
      </c>
      <c r="AB2433" s="36" t="e">
        <f t="shared" si="15"/>
        <v>#VALUE!</v>
      </c>
      <c r="AC2433" s="37" t="b">
        <v>0</v>
      </c>
      <c r="AD2433" s="61" t="str">
        <f t="shared" si="16"/>
        <v>USD</v>
      </c>
      <c r="AE2433" s="37"/>
      <c r="AF2433" s="37" t="e">
        <f t="array" ref="AF2433">INDEX('Deal Info'!D:D, MATCH(A2433,'Deal Info'!A:A, 0))</f>
        <v>#N/A</v>
      </c>
      <c r="AG2433" s="38" t="e">
        <f t="array" ref="AG2433">INDEX('Deal Info'!G:G, MATCH(A2433,'Deal Info'!A:A, 0))</f>
        <v>#N/A</v>
      </c>
    </row>
    <row r="2434" spans="1:33" ht="14.25" hidden="1" x14ac:dyDescent="0.2">
      <c r="A2434" s="18" t="b">
        <f t="array" ref="A2434">IF(G2434='Room Info'!$B$1, INDEX('Room Info'!$A$2:$A2446, MATCH(B2434,'Room Info'!$B$2:$B2446, 0)),IF(G2434='Room Info'!$C$1, INDEX('Room Info'!$A$2:$A2446, MATCH(B2434,'Room Info'!$C$2:$C2446, 0)),IF(G2434='Room Info'!$D$1, INDEX('Room Info'!$A$2:$A2446, MATCH(B2434,'Room Info'!$D$2:$D2446, 0)),IF(G2434='Room Info'!$E$1, INDEX('Room Info'!$A$2:$A2446, MATCH(B2434,'Room Info'!$E$2:$E2446, 0)),IF(G2434='Room Info'!$F$1, INDEX('Room Info'!$A$2:$A2446, MATCH(B2434,'Room Info'!$F$2:$F2446, 0)),IF(G2434='Room Info'!$H$1, INDEX('Room Info'!$A$2:$A2446, MATCH(B2434,'Room Info'!$H$2:$H2446, 0)),IF(G2434='Room Info'!$G$1, INDEX('Room Info'!$A$2:$A2446, MATCH(B2434,'Room Info'!$G$2:$G2446, 0)))))))))</f>
        <v>0</v>
      </c>
      <c r="B2434" s="96"/>
      <c r="C2434" s="111"/>
      <c r="D2434" s="111"/>
      <c r="E2434" s="80"/>
      <c r="F2434" s="133"/>
      <c r="G2434" s="65"/>
      <c r="H2434" s="110"/>
      <c r="I2434" s="110"/>
      <c r="J2434" s="39" t="s">
        <v>334</v>
      </c>
      <c r="K2434" s="112"/>
      <c r="L2434" s="113"/>
      <c r="M2434" s="62"/>
      <c r="N2434" s="28" t="e">
        <f t="shared" si="8"/>
        <v>#VALUE!</v>
      </c>
      <c r="O2434" s="65"/>
      <c r="P2434" s="29" t="s">
        <v>334</v>
      </c>
      <c r="Q2434" s="55"/>
      <c r="R2434" s="31" t="e">
        <f t="shared" si="9"/>
        <v>#VALUE!</v>
      </c>
      <c r="S2434" s="66"/>
      <c r="T2434" s="32" t="e">
        <f t="shared" si="10"/>
        <v>#VALUE!</v>
      </c>
      <c r="U2434" s="57"/>
      <c r="V2434" s="58"/>
      <c r="W2434" s="58"/>
      <c r="X2434" s="30" t="e">
        <f t="shared" si="11"/>
        <v>#N/A</v>
      </c>
      <c r="Y2434" s="30" t="e">
        <f t="shared" si="12"/>
        <v>#N/A</v>
      </c>
      <c r="Z2434" s="35" t="e">
        <f t="shared" si="13"/>
        <v>#VALUE!</v>
      </c>
      <c r="AA2434" s="29" t="e">
        <f t="shared" si="14"/>
        <v>#VALUE!</v>
      </c>
      <c r="AB2434" s="36" t="e">
        <f t="shared" si="15"/>
        <v>#VALUE!</v>
      </c>
      <c r="AC2434" s="37" t="b">
        <v>0</v>
      </c>
      <c r="AD2434" s="61" t="str">
        <f t="shared" si="16"/>
        <v>USD</v>
      </c>
      <c r="AE2434" s="37"/>
      <c r="AF2434" s="37" t="e">
        <f t="array" ref="AF2434">INDEX('Deal Info'!D:D, MATCH(A2434,'Deal Info'!A:A, 0))</f>
        <v>#N/A</v>
      </c>
      <c r="AG2434" s="38" t="e">
        <f t="array" ref="AG2434">INDEX('Deal Info'!G:G, MATCH(A2434,'Deal Info'!A:A, 0))</f>
        <v>#N/A</v>
      </c>
    </row>
    <row r="2435" spans="1:33" ht="14.25" hidden="1" x14ac:dyDescent="0.2">
      <c r="A2435" s="18" t="b">
        <f t="array" ref="A2435">IF(G2435='Room Info'!$B$1, INDEX('Room Info'!$A$2:$A2446, MATCH(B2435,'Room Info'!$B$2:$B2446, 0)),IF(G2435='Room Info'!$C$1, INDEX('Room Info'!$A$2:$A2446, MATCH(B2435,'Room Info'!$C$2:$C2446, 0)),IF(G2435='Room Info'!$D$1, INDEX('Room Info'!$A$2:$A2446, MATCH(B2435,'Room Info'!$D$2:$D2446, 0)),IF(G2435='Room Info'!$E$1, INDEX('Room Info'!$A$2:$A2446, MATCH(B2435,'Room Info'!$E$2:$E2446, 0)),IF(G2435='Room Info'!$F$1, INDEX('Room Info'!$A$2:$A2446, MATCH(B2435,'Room Info'!$F$2:$F2446, 0)),IF(G2435='Room Info'!$H$1, INDEX('Room Info'!$A$2:$A2446, MATCH(B2435,'Room Info'!$H$2:$H2446, 0)),IF(G2435='Room Info'!$G$1, INDEX('Room Info'!$A$2:$A2446, MATCH(B2435,'Room Info'!$G$2:$G2446, 0)))))))))</f>
        <v>0</v>
      </c>
      <c r="B2435" s="96"/>
      <c r="C2435" s="111"/>
      <c r="D2435" s="111"/>
      <c r="E2435" s="80"/>
      <c r="F2435" s="133"/>
      <c r="G2435" s="65"/>
      <c r="H2435" s="110"/>
      <c r="I2435" s="110"/>
      <c r="J2435" s="39" t="s">
        <v>334</v>
      </c>
      <c r="K2435" s="112"/>
      <c r="L2435" s="113"/>
      <c r="M2435" s="62"/>
      <c r="N2435" s="28" t="e">
        <f t="shared" si="8"/>
        <v>#VALUE!</v>
      </c>
      <c r="O2435" s="65"/>
      <c r="P2435" s="29" t="s">
        <v>334</v>
      </c>
      <c r="Q2435" s="55"/>
      <c r="R2435" s="31" t="e">
        <f t="shared" si="9"/>
        <v>#VALUE!</v>
      </c>
      <c r="S2435" s="66"/>
      <c r="T2435" s="32" t="e">
        <f t="shared" si="10"/>
        <v>#VALUE!</v>
      </c>
      <c r="U2435" s="57"/>
      <c r="V2435" s="58"/>
      <c r="W2435" s="58"/>
      <c r="X2435" s="30" t="e">
        <f t="shared" si="11"/>
        <v>#N/A</v>
      </c>
      <c r="Y2435" s="30" t="e">
        <f t="shared" si="12"/>
        <v>#N/A</v>
      </c>
      <c r="Z2435" s="35" t="e">
        <f t="shared" si="13"/>
        <v>#VALUE!</v>
      </c>
      <c r="AA2435" s="29" t="e">
        <f t="shared" si="14"/>
        <v>#VALUE!</v>
      </c>
      <c r="AB2435" s="36" t="e">
        <f t="shared" si="15"/>
        <v>#VALUE!</v>
      </c>
      <c r="AC2435" s="37" t="b">
        <v>0</v>
      </c>
      <c r="AD2435" s="61" t="str">
        <f t="shared" si="16"/>
        <v>USD</v>
      </c>
      <c r="AE2435" s="37"/>
      <c r="AF2435" s="37" t="e">
        <f t="array" ref="AF2435">INDEX('Deal Info'!D:D, MATCH(A2435,'Deal Info'!A:A, 0))</f>
        <v>#N/A</v>
      </c>
      <c r="AG2435" s="38" t="e">
        <f t="array" ref="AG2435">INDEX('Deal Info'!G:G, MATCH(A2435,'Deal Info'!A:A, 0))</f>
        <v>#N/A</v>
      </c>
    </row>
    <row r="2436" spans="1:33" ht="14.25" hidden="1" x14ac:dyDescent="0.2">
      <c r="A2436" s="18" t="b">
        <f t="array" ref="A2436">IF(G2436='Room Info'!$B$1, INDEX('Room Info'!$A$2:$A2446, MATCH(B2436,'Room Info'!$B$2:$B2446, 0)),IF(G2436='Room Info'!$C$1, INDEX('Room Info'!$A$2:$A2446, MATCH(B2436,'Room Info'!$C$2:$C2446, 0)),IF(G2436='Room Info'!$D$1, INDEX('Room Info'!$A$2:$A2446, MATCH(B2436,'Room Info'!$D$2:$D2446, 0)),IF(G2436='Room Info'!$E$1, INDEX('Room Info'!$A$2:$A2446, MATCH(B2436,'Room Info'!$E$2:$E2446, 0)),IF(G2436='Room Info'!$F$1, INDEX('Room Info'!$A$2:$A2446, MATCH(B2436,'Room Info'!$F$2:$F2446, 0)),IF(G2436='Room Info'!$H$1, INDEX('Room Info'!$A$2:$A2446, MATCH(B2436,'Room Info'!$H$2:$H2446, 0)),IF(G2436='Room Info'!$G$1, INDEX('Room Info'!$A$2:$A2446, MATCH(B2436,'Room Info'!$G$2:$G2446, 0)))))))))</f>
        <v>0</v>
      </c>
      <c r="B2436" s="96"/>
      <c r="C2436" s="111"/>
      <c r="D2436" s="111"/>
      <c r="E2436" s="80"/>
      <c r="F2436" s="133"/>
      <c r="G2436" s="65"/>
      <c r="H2436" s="110"/>
      <c r="I2436" s="110"/>
      <c r="J2436" s="39" t="s">
        <v>334</v>
      </c>
      <c r="K2436" s="112"/>
      <c r="L2436" s="113"/>
      <c r="M2436" s="62"/>
      <c r="N2436" s="28" t="e">
        <f t="shared" si="8"/>
        <v>#VALUE!</v>
      </c>
      <c r="O2436" s="65"/>
      <c r="P2436" s="29" t="s">
        <v>334</v>
      </c>
      <c r="Q2436" s="55"/>
      <c r="R2436" s="31" t="e">
        <f t="shared" si="9"/>
        <v>#VALUE!</v>
      </c>
      <c r="S2436" s="66"/>
      <c r="T2436" s="32" t="e">
        <f t="shared" si="10"/>
        <v>#VALUE!</v>
      </c>
      <c r="U2436" s="57"/>
      <c r="V2436" s="58"/>
      <c r="W2436" s="58"/>
      <c r="X2436" s="30" t="e">
        <f t="shared" si="11"/>
        <v>#N/A</v>
      </c>
      <c r="Y2436" s="30" t="e">
        <f t="shared" si="12"/>
        <v>#N/A</v>
      </c>
      <c r="Z2436" s="35" t="e">
        <f t="shared" si="13"/>
        <v>#VALUE!</v>
      </c>
      <c r="AA2436" s="29" t="e">
        <f t="shared" si="14"/>
        <v>#VALUE!</v>
      </c>
      <c r="AB2436" s="36" t="e">
        <f t="shared" si="15"/>
        <v>#VALUE!</v>
      </c>
      <c r="AC2436" s="37" t="b">
        <v>0</v>
      </c>
      <c r="AD2436" s="61" t="str">
        <f t="shared" si="16"/>
        <v>USD</v>
      </c>
      <c r="AE2436" s="37"/>
      <c r="AF2436" s="37" t="e">
        <f t="array" ref="AF2436">INDEX('Deal Info'!D:D, MATCH(A2436,'Deal Info'!A:A, 0))</f>
        <v>#N/A</v>
      </c>
      <c r="AG2436" s="38" t="e">
        <f t="array" ref="AG2436">INDEX('Deal Info'!G:G, MATCH(A2436,'Deal Info'!A:A, 0))</f>
        <v>#N/A</v>
      </c>
    </row>
    <row r="2437" spans="1:33" ht="14.25" hidden="1" x14ac:dyDescent="0.2">
      <c r="A2437" s="18" t="b">
        <f t="array" ref="A2437">IF(G2437='Room Info'!$B$1, INDEX('Room Info'!$A$2:$A2446, MATCH(B2437,'Room Info'!$B$2:$B2446, 0)),IF(G2437='Room Info'!$C$1, INDEX('Room Info'!$A$2:$A2446, MATCH(B2437,'Room Info'!$C$2:$C2446, 0)),IF(G2437='Room Info'!$D$1, INDEX('Room Info'!$A$2:$A2446, MATCH(B2437,'Room Info'!$D$2:$D2446, 0)),IF(G2437='Room Info'!$E$1, INDEX('Room Info'!$A$2:$A2446, MATCH(B2437,'Room Info'!$E$2:$E2446, 0)),IF(G2437='Room Info'!$F$1, INDEX('Room Info'!$A$2:$A2446, MATCH(B2437,'Room Info'!$F$2:$F2446, 0)),IF(G2437='Room Info'!$H$1, INDEX('Room Info'!$A$2:$A2446, MATCH(B2437,'Room Info'!$H$2:$H2446, 0)),IF(G2437='Room Info'!$G$1, INDEX('Room Info'!$A$2:$A2446, MATCH(B2437,'Room Info'!$G$2:$G2446, 0)))))))))</f>
        <v>0</v>
      </c>
      <c r="B2437" s="96"/>
      <c r="C2437" s="111"/>
      <c r="D2437" s="111"/>
      <c r="E2437" s="80"/>
      <c r="F2437" s="133"/>
      <c r="G2437" s="65"/>
      <c r="H2437" s="110"/>
      <c r="I2437" s="110"/>
      <c r="J2437" s="39" t="s">
        <v>334</v>
      </c>
      <c r="K2437" s="112"/>
      <c r="L2437" s="113"/>
      <c r="M2437" s="62"/>
      <c r="N2437" s="28" t="e">
        <f t="shared" si="8"/>
        <v>#VALUE!</v>
      </c>
      <c r="O2437" s="65"/>
      <c r="P2437" s="29" t="s">
        <v>334</v>
      </c>
      <c r="Q2437" s="55"/>
      <c r="R2437" s="31" t="e">
        <f t="shared" si="9"/>
        <v>#VALUE!</v>
      </c>
      <c r="S2437" s="66"/>
      <c r="T2437" s="32" t="e">
        <f t="shared" si="10"/>
        <v>#VALUE!</v>
      </c>
      <c r="U2437" s="57"/>
      <c r="V2437" s="58"/>
      <c r="W2437" s="58"/>
      <c r="X2437" s="30" t="e">
        <f t="shared" si="11"/>
        <v>#N/A</v>
      </c>
      <c r="Y2437" s="30" t="e">
        <f t="shared" si="12"/>
        <v>#N/A</v>
      </c>
      <c r="Z2437" s="35" t="e">
        <f t="shared" si="13"/>
        <v>#VALUE!</v>
      </c>
      <c r="AA2437" s="29" t="e">
        <f t="shared" si="14"/>
        <v>#VALUE!</v>
      </c>
      <c r="AB2437" s="36" t="e">
        <f t="shared" si="15"/>
        <v>#VALUE!</v>
      </c>
      <c r="AC2437" s="37" t="b">
        <v>0</v>
      </c>
      <c r="AD2437" s="61" t="str">
        <f t="shared" si="16"/>
        <v>USD</v>
      </c>
      <c r="AE2437" s="37"/>
      <c r="AF2437" s="37" t="e">
        <f t="array" ref="AF2437">INDEX('Deal Info'!D:D, MATCH(A2437,'Deal Info'!A:A, 0))</f>
        <v>#N/A</v>
      </c>
      <c r="AG2437" s="38" t="e">
        <f t="array" ref="AG2437">INDEX('Deal Info'!G:G, MATCH(A2437,'Deal Info'!A:A, 0))</f>
        <v>#N/A</v>
      </c>
    </row>
    <row r="2438" spans="1:33" ht="14.25" hidden="1" x14ac:dyDescent="0.2">
      <c r="A2438" s="18" t="b">
        <f t="array" ref="A2438">IF(G2438='Room Info'!$B$1, INDEX('Room Info'!$A$2:$A2446, MATCH(B2438,'Room Info'!$B$2:$B2446, 0)),IF(G2438='Room Info'!$C$1, INDEX('Room Info'!$A$2:$A2446, MATCH(B2438,'Room Info'!$C$2:$C2446, 0)),IF(G2438='Room Info'!$D$1, INDEX('Room Info'!$A$2:$A2446, MATCH(B2438,'Room Info'!$D$2:$D2446, 0)),IF(G2438='Room Info'!$E$1, INDEX('Room Info'!$A$2:$A2446, MATCH(B2438,'Room Info'!$E$2:$E2446, 0)),IF(G2438='Room Info'!$F$1, INDEX('Room Info'!$A$2:$A2446, MATCH(B2438,'Room Info'!$F$2:$F2446, 0)),IF(G2438='Room Info'!$H$1, INDEX('Room Info'!$A$2:$A2446, MATCH(B2438,'Room Info'!$H$2:$H2446, 0)),IF(G2438='Room Info'!$G$1, INDEX('Room Info'!$A$2:$A2446, MATCH(B2438,'Room Info'!$G$2:$G2446, 0)))))))))</f>
        <v>0</v>
      </c>
      <c r="B2438" s="96"/>
      <c r="C2438" s="111"/>
      <c r="D2438" s="111"/>
      <c r="E2438" s="80"/>
      <c r="F2438" s="133"/>
      <c r="G2438" s="65"/>
      <c r="H2438" s="110"/>
      <c r="I2438" s="110"/>
      <c r="J2438" s="39" t="s">
        <v>334</v>
      </c>
      <c r="K2438" s="112"/>
      <c r="L2438" s="113"/>
      <c r="M2438" s="62"/>
      <c r="N2438" s="28" t="e">
        <f t="shared" si="8"/>
        <v>#VALUE!</v>
      </c>
      <c r="O2438" s="65"/>
      <c r="P2438" s="29" t="s">
        <v>334</v>
      </c>
      <c r="Q2438" s="55"/>
      <c r="R2438" s="31" t="e">
        <f t="shared" si="9"/>
        <v>#VALUE!</v>
      </c>
      <c r="S2438" s="66"/>
      <c r="T2438" s="32" t="e">
        <f t="shared" si="10"/>
        <v>#VALUE!</v>
      </c>
      <c r="U2438" s="57"/>
      <c r="V2438" s="58"/>
      <c r="W2438" s="58"/>
      <c r="X2438" s="30" t="e">
        <f t="shared" si="11"/>
        <v>#N/A</v>
      </c>
      <c r="Y2438" s="30" t="e">
        <f t="shared" si="12"/>
        <v>#N/A</v>
      </c>
      <c r="Z2438" s="35" t="e">
        <f t="shared" si="13"/>
        <v>#VALUE!</v>
      </c>
      <c r="AA2438" s="29" t="e">
        <f t="shared" si="14"/>
        <v>#VALUE!</v>
      </c>
      <c r="AB2438" s="36" t="e">
        <f t="shared" si="15"/>
        <v>#VALUE!</v>
      </c>
      <c r="AC2438" s="37" t="b">
        <v>0</v>
      </c>
      <c r="AD2438" s="61" t="str">
        <f t="shared" si="16"/>
        <v>USD</v>
      </c>
      <c r="AE2438" s="37"/>
      <c r="AF2438" s="37" t="e">
        <f t="array" ref="AF2438">INDEX('Deal Info'!D:D, MATCH(A2438,'Deal Info'!A:A, 0))</f>
        <v>#N/A</v>
      </c>
      <c r="AG2438" s="38" t="e">
        <f t="array" ref="AG2438">INDEX('Deal Info'!G:G, MATCH(A2438,'Deal Info'!A:A, 0))</f>
        <v>#N/A</v>
      </c>
    </row>
    <row r="2439" spans="1:33" ht="14.25" hidden="1" x14ac:dyDescent="0.2">
      <c r="A2439" s="18" t="b">
        <f t="array" ref="A2439">IF(G2439='Room Info'!$B$1, INDEX('Room Info'!$A$2:$A2446, MATCH(B2439,'Room Info'!$B$2:$B2446, 0)),IF(G2439='Room Info'!$C$1, INDEX('Room Info'!$A$2:$A2446, MATCH(B2439,'Room Info'!$C$2:$C2446, 0)),IF(G2439='Room Info'!$D$1, INDEX('Room Info'!$A$2:$A2446, MATCH(B2439,'Room Info'!$D$2:$D2446, 0)),IF(G2439='Room Info'!$E$1, INDEX('Room Info'!$A$2:$A2446, MATCH(B2439,'Room Info'!$E$2:$E2446, 0)),IF(G2439='Room Info'!$F$1, INDEX('Room Info'!$A$2:$A2446, MATCH(B2439,'Room Info'!$F$2:$F2446, 0)),IF(G2439='Room Info'!$H$1, INDEX('Room Info'!$A$2:$A2446, MATCH(B2439,'Room Info'!$H$2:$H2446, 0)),IF(G2439='Room Info'!$G$1, INDEX('Room Info'!$A$2:$A2446, MATCH(B2439,'Room Info'!$G$2:$G2446, 0)))))))))</f>
        <v>0</v>
      </c>
      <c r="B2439" s="96"/>
      <c r="C2439" s="136"/>
      <c r="D2439" s="136"/>
      <c r="E2439" s="137"/>
      <c r="F2439" s="133"/>
      <c r="G2439" s="96"/>
      <c r="H2439" s="100"/>
      <c r="I2439" s="100"/>
      <c r="J2439" s="39" t="s">
        <v>334</v>
      </c>
      <c r="K2439" s="134"/>
      <c r="L2439" s="135"/>
      <c r="M2439" s="79"/>
      <c r="N2439" s="28" t="e">
        <f t="shared" si="8"/>
        <v>#VALUE!</v>
      </c>
      <c r="O2439" s="96"/>
      <c r="P2439" s="29" t="s">
        <v>334</v>
      </c>
      <c r="Q2439" s="55"/>
      <c r="R2439" s="31" t="e">
        <f t="shared" si="9"/>
        <v>#VALUE!</v>
      </c>
      <c r="S2439" s="97"/>
      <c r="T2439" s="32" t="e">
        <f t="shared" si="10"/>
        <v>#VALUE!</v>
      </c>
      <c r="U2439" s="57"/>
      <c r="V2439" s="58"/>
      <c r="W2439" s="58"/>
      <c r="X2439" s="30" t="e">
        <f t="shared" si="11"/>
        <v>#N/A</v>
      </c>
      <c r="Y2439" s="30" t="e">
        <f t="shared" si="12"/>
        <v>#N/A</v>
      </c>
      <c r="Z2439" s="35" t="e">
        <f t="shared" si="13"/>
        <v>#VALUE!</v>
      </c>
      <c r="AA2439" s="29" t="e">
        <f t="shared" si="14"/>
        <v>#VALUE!</v>
      </c>
      <c r="AB2439" s="36" t="e">
        <f t="shared" si="15"/>
        <v>#VALUE!</v>
      </c>
      <c r="AC2439" s="37" t="b">
        <v>0</v>
      </c>
      <c r="AD2439" s="61" t="str">
        <f t="shared" si="16"/>
        <v>USD</v>
      </c>
      <c r="AE2439" s="37"/>
      <c r="AF2439" s="37" t="e">
        <f t="array" ref="AF2439">INDEX('Deal Info'!D:D, MATCH(A2439,'Deal Info'!A:A, 0))</f>
        <v>#N/A</v>
      </c>
      <c r="AG2439" s="38" t="e">
        <f t="array" ref="AG2439">INDEX('Deal Info'!G:G, MATCH(A2439,'Deal Info'!A:A, 0))</f>
        <v>#N/A</v>
      </c>
    </row>
    <row r="2440" spans="1:33" ht="14.25" hidden="1" x14ac:dyDescent="0.2">
      <c r="A2440" s="18" t="b">
        <f t="array" ref="A2440">IF(G2440='Room Info'!$B$1, INDEX('Room Info'!$A$2:$A2446, MATCH(B2440,'Room Info'!$B$2:$B2446, 0)),IF(G2440='Room Info'!$C$1, INDEX('Room Info'!$A$2:$A2446, MATCH(B2440,'Room Info'!$C$2:$C2446, 0)),IF(G2440='Room Info'!$D$1, INDEX('Room Info'!$A$2:$A2446, MATCH(B2440,'Room Info'!$D$2:$D2446, 0)),IF(G2440='Room Info'!$E$1, INDEX('Room Info'!$A$2:$A2446, MATCH(B2440,'Room Info'!$E$2:$E2446, 0)),IF(G2440='Room Info'!$F$1, INDEX('Room Info'!$A$2:$A2446, MATCH(B2440,'Room Info'!$F$2:$F2446, 0)),IF(G2440='Room Info'!$H$1, INDEX('Room Info'!$A$2:$A2446, MATCH(B2440,'Room Info'!$H$2:$H2446, 0)),IF(G2440='Room Info'!$G$1, INDEX('Room Info'!$A$2:$A2446, MATCH(B2440,'Room Info'!$G$2:$G2446, 0)))))))))</f>
        <v>0</v>
      </c>
      <c r="B2440" s="96"/>
      <c r="C2440" s="111"/>
      <c r="D2440" s="111"/>
      <c r="E2440" s="80"/>
      <c r="F2440" s="133"/>
      <c r="G2440" s="65"/>
      <c r="H2440" s="110"/>
      <c r="I2440" s="110"/>
      <c r="J2440" s="39" t="s">
        <v>334</v>
      </c>
      <c r="K2440" s="112"/>
      <c r="L2440" s="113"/>
      <c r="M2440" s="62"/>
      <c r="N2440" s="28" t="e">
        <f t="shared" si="8"/>
        <v>#VALUE!</v>
      </c>
      <c r="O2440" s="65"/>
      <c r="P2440" s="29" t="s">
        <v>334</v>
      </c>
      <c r="Q2440" s="55"/>
      <c r="R2440" s="31" t="e">
        <f t="shared" si="9"/>
        <v>#VALUE!</v>
      </c>
      <c r="S2440" s="66"/>
      <c r="T2440" s="32" t="e">
        <f t="shared" si="10"/>
        <v>#VALUE!</v>
      </c>
      <c r="U2440" s="57"/>
      <c r="V2440" s="58"/>
      <c r="W2440" s="58"/>
      <c r="X2440" s="30" t="e">
        <f t="shared" si="11"/>
        <v>#N/A</v>
      </c>
      <c r="Y2440" s="30" t="e">
        <f t="shared" si="12"/>
        <v>#N/A</v>
      </c>
      <c r="Z2440" s="35" t="e">
        <f t="shared" si="13"/>
        <v>#VALUE!</v>
      </c>
      <c r="AA2440" s="29" t="e">
        <f t="shared" si="14"/>
        <v>#VALUE!</v>
      </c>
      <c r="AB2440" s="36" t="e">
        <f t="shared" si="15"/>
        <v>#VALUE!</v>
      </c>
      <c r="AC2440" s="37" t="b">
        <v>0</v>
      </c>
      <c r="AD2440" s="61" t="str">
        <f t="shared" si="16"/>
        <v>USD</v>
      </c>
      <c r="AE2440" s="37"/>
      <c r="AF2440" s="37" t="e">
        <f t="array" ref="AF2440">INDEX('Deal Info'!D:D, MATCH(A2440,'Deal Info'!A:A, 0))</f>
        <v>#N/A</v>
      </c>
      <c r="AG2440" s="38" t="e">
        <f t="array" ref="AG2440">INDEX('Deal Info'!G:G, MATCH(A2440,'Deal Info'!A:A, 0))</f>
        <v>#N/A</v>
      </c>
    </row>
    <row r="2441" spans="1:33" ht="14.25" hidden="1" x14ac:dyDescent="0.2">
      <c r="A2441" s="18" t="b">
        <f t="array" ref="A2441">IF(G2441='Room Info'!$B$1, INDEX('Room Info'!$A$2:$A2446, MATCH(B2441,'Room Info'!$B$2:$B2446, 0)),IF(G2441='Room Info'!$C$1, INDEX('Room Info'!$A$2:$A2446, MATCH(B2441,'Room Info'!$C$2:$C2446, 0)),IF(G2441='Room Info'!$D$1, INDEX('Room Info'!$A$2:$A2446, MATCH(B2441,'Room Info'!$D$2:$D2446, 0)),IF(G2441='Room Info'!$E$1, INDEX('Room Info'!$A$2:$A2446, MATCH(B2441,'Room Info'!$E$2:$E2446, 0)),IF(G2441='Room Info'!$F$1, INDEX('Room Info'!$A$2:$A2446, MATCH(B2441,'Room Info'!$F$2:$F2446, 0)),IF(G2441='Room Info'!$H$1, INDEX('Room Info'!$A$2:$A2446, MATCH(B2441,'Room Info'!$H$2:$H2446, 0)),IF(G2441='Room Info'!$G$1, INDEX('Room Info'!$A$2:$A2446, MATCH(B2441,'Room Info'!$G$2:$G2446, 0)))))))))</f>
        <v>0</v>
      </c>
      <c r="B2441" s="96"/>
      <c r="C2441" s="111"/>
      <c r="D2441" s="111"/>
      <c r="E2441" s="80"/>
      <c r="F2441" s="133"/>
      <c r="G2441" s="65"/>
      <c r="H2441" s="110"/>
      <c r="I2441" s="110"/>
      <c r="J2441" s="39" t="s">
        <v>334</v>
      </c>
      <c r="K2441" s="112"/>
      <c r="L2441" s="113"/>
      <c r="M2441" s="62"/>
      <c r="N2441" s="28" t="e">
        <f t="shared" si="8"/>
        <v>#VALUE!</v>
      </c>
      <c r="O2441" s="65"/>
      <c r="P2441" s="29" t="s">
        <v>334</v>
      </c>
      <c r="Q2441" s="55"/>
      <c r="R2441" s="31" t="e">
        <f t="shared" si="9"/>
        <v>#VALUE!</v>
      </c>
      <c r="S2441" s="66"/>
      <c r="T2441" s="32" t="e">
        <f t="shared" si="10"/>
        <v>#VALUE!</v>
      </c>
      <c r="U2441" s="57"/>
      <c r="V2441" s="58"/>
      <c r="W2441" s="58"/>
      <c r="X2441" s="30" t="e">
        <f t="shared" si="11"/>
        <v>#N/A</v>
      </c>
      <c r="Y2441" s="30" t="e">
        <f t="shared" si="12"/>
        <v>#N/A</v>
      </c>
      <c r="Z2441" s="35" t="e">
        <f t="shared" si="13"/>
        <v>#VALUE!</v>
      </c>
      <c r="AA2441" s="29" t="e">
        <f t="shared" si="14"/>
        <v>#VALUE!</v>
      </c>
      <c r="AB2441" s="36" t="e">
        <f t="shared" si="15"/>
        <v>#VALUE!</v>
      </c>
      <c r="AC2441" s="37" t="b">
        <v>0</v>
      </c>
      <c r="AD2441" s="61" t="str">
        <f t="shared" si="16"/>
        <v>USD</v>
      </c>
      <c r="AE2441" s="37"/>
      <c r="AF2441" s="37" t="e">
        <f t="array" ref="AF2441">INDEX('Deal Info'!D:D, MATCH(A2441,'Deal Info'!A:A, 0))</f>
        <v>#N/A</v>
      </c>
      <c r="AG2441" s="38" t="e">
        <f t="array" ref="AG2441">INDEX('Deal Info'!G:G, MATCH(A2441,'Deal Info'!A:A, 0))</f>
        <v>#N/A</v>
      </c>
    </row>
    <row r="2442" spans="1:33" ht="14.25" hidden="1" x14ac:dyDescent="0.2">
      <c r="A2442" s="18" t="b">
        <f t="array" ref="A2442">IF(G2442='Room Info'!$B$1, INDEX('Room Info'!$A$2:$A2446, MATCH(B2442,'Room Info'!$B$2:$B2446, 0)),IF(G2442='Room Info'!$C$1, INDEX('Room Info'!$A$2:$A2446, MATCH(B2442,'Room Info'!$C$2:$C2446, 0)),IF(G2442='Room Info'!$D$1, INDEX('Room Info'!$A$2:$A2446, MATCH(B2442,'Room Info'!$D$2:$D2446, 0)),IF(G2442='Room Info'!$E$1, INDEX('Room Info'!$A$2:$A2446, MATCH(B2442,'Room Info'!$E$2:$E2446, 0)),IF(G2442='Room Info'!$F$1, INDEX('Room Info'!$A$2:$A2446, MATCH(B2442,'Room Info'!$F$2:$F2446, 0)),IF(G2442='Room Info'!$H$1, INDEX('Room Info'!$A$2:$A2446, MATCH(B2442,'Room Info'!$H$2:$H2446, 0)),IF(G2442='Room Info'!$G$1, INDEX('Room Info'!$A$2:$A2446, MATCH(B2442,'Room Info'!$G$2:$G2446, 0)))))))))</f>
        <v>0</v>
      </c>
      <c r="B2442" s="96"/>
      <c r="C2442" s="111"/>
      <c r="D2442" s="111"/>
      <c r="E2442" s="80"/>
      <c r="F2442" s="133"/>
      <c r="G2442" s="65"/>
      <c r="H2442" s="110"/>
      <c r="I2442" s="110"/>
      <c r="J2442" s="39" t="s">
        <v>334</v>
      </c>
      <c r="K2442" s="112"/>
      <c r="L2442" s="113"/>
      <c r="M2442" s="62"/>
      <c r="N2442" s="28" t="e">
        <f t="shared" si="8"/>
        <v>#VALUE!</v>
      </c>
      <c r="O2442" s="65"/>
      <c r="P2442" s="29" t="s">
        <v>334</v>
      </c>
      <c r="Q2442" s="55"/>
      <c r="R2442" s="31" t="e">
        <f t="shared" si="9"/>
        <v>#VALUE!</v>
      </c>
      <c r="S2442" s="66"/>
      <c r="T2442" s="32" t="e">
        <f t="shared" si="10"/>
        <v>#VALUE!</v>
      </c>
      <c r="U2442" s="57"/>
      <c r="V2442" s="58"/>
      <c r="W2442" s="58"/>
      <c r="X2442" s="30" t="e">
        <f t="shared" si="11"/>
        <v>#N/A</v>
      </c>
      <c r="Y2442" s="30" t="e">
        <f t="shared" si="12"/>
        <v>#N/A</v>
      </c>
      <c r="Z2442" s="35" t="e">
        <f t="shared" si="13"/>
        <v>#VALUE!</v>
      </c>
      <c r="AA2442" s="29" t="e">
        <f t="shared" si="14"/>
        <v>#VALUE!</v>
      </c>
      <c r="AB2442" s="36" t="e">
        <f t="shared" si="15"/>
        <v>#VALUE!</v>
      </c>
      <c r="AC2442" s="37" t="b">
        <v>0</v>
      </c>
      <c r="AD2442" s="61" t="str">
        <f t="shared" si="16"/>
        <v>USD</v>
      </c>
      <c r="AE2442" s="37"/>
      <c r="AF2442" s="37" t="e">
        <f t="array" ref="AF2442">INDEX('Deal Info'!D:D, MATCH(A2442,'Deal Info'!A:A, 0))</f>
        <v>#N/A</v>
      </c>
      <c r="AG2442" s="38" t="e">
        <f t="array" ref="AG2442">INDEX('Deal Info'!G:G, MATCH(A2442,'Deal Info'!A:A, 0))</f>
        <v>#N/A</v>
      </c>
    </row>
    <row r="2443" spans="1:33" ht="14.25" hidden="1" x14ac:dyDescent="0.2">
      <c r="A2443" s="18" t="b">
        <f t="array" ref="A2443">IF(G2443='Room Info'!$B$1, INDEX('Room Info'!$A$2:$A2446, MATCH(B2443,'Room Info'!$B$2:$B2446, 0)),IF(G2443='Room Info'!$C$1, INDEX('Room Info'!$A$2:$A2446, MATCH(B2443,'Room Info'!$C$2:$C2446, 0)),IF(G2443='Room Info'!$D$1, INDEX('Room Info'!$A$2:$A2446, MATCH(B2443,'Room Info'!$D$2:$D2446, 0)),IF(G2443='Room Info'!$E$1, INDEX('Room Info'!$A$2:$A2446, MATCH(B2443,'Room Info'!$E$2:$E2446, 0)),IF(G2443='Room Info'!$F$1, INDEX('Room Info'!$A$2:$A2446, MATCH(B2443,'Room Info'!$F$2:$F2446, 0)),IF(G2443='Room Info'!$H$1, INDEX('Room Info'!$A$2:$A2446, MATCH(B2443,'Room Info'!$H$2:$H2446, 0)),IF(G2443='Room Info'!$G$1, INDEX('Room Info'!$A$2:$A2446, MATCH(B2443,'Room Info'!$G$2:$G2446, 0)))))))))</f>
        <v>0</v>
      </c>
      <c r="B2443" s="96"/>
      <c r="C2443" s="111"/>
      <c r="D2443" s="111"/>
      <c r="E2443" s="80"/>
      <c r="F2443" s="133"/>
      <c r="G2443" s="65"/>
      <c r="H2443" s="110"/>
      <c r="I2443" s="110"/>
      <c r="J2443" s="39" t="s">
        <v>334</v>
      </c>
      <c r="K2443" s="112"/>
      <c r="L2443" s="113"/>
      <c r="M2443" s="62"/>
      <c r="N2443" s="28" t="e">
        <f t="shared" si="8"/>
        <v>#VALUE!</v>
      </c>
      <c r="O2443" s="65"/>
      <c r="P2443" s="29" t="s">
        <v>334</v>
      </c>
      <c r="Q2443" s="55"/>
      <c r="R2443" s="31" t="e">
        <f t="shared" si="9"/>
        <v>#VALUE!</v>
      </c>
      <c r="S2443" s="66"/>
      <c r="T2443" s="32" t="e">
        <f t="shared" si="10"/>
        <v>#VALUE!</v>
      </c>
      <c r="U2443" s="57"/>
      <c r="V2443" s="58"/>
      <c r="W2443" s="58"/>
      <c r="X2443" s="30" t="e">
        <f t="shared" si="11"/>
        <v>#N/A</v>
      </c>
      <c r="Y2443" s="30" t="e">
        <f t="shared" si="12"/>
        <v>#N/A</v>
      </c>
      <c r="Z2443" s="35" t="e">
        <f t="shared" si="13"/>
        <v>#VALUE!</v>
      </c>
      <c r="AA2443" s="29" t="e">
        <f t="shared" si="14"/>
        <v>#VALUE!</v>
      </c>
      <c r="AB2443" s="36" t="e">
        <f t="shared" si="15"/>
        <v>#VALUE!</v>
      </c>
      <c r="AC2443" s="37" t="b">
        <v>0</v>
      </c>
      <c r="AD2443" s="61" t="str">
        <f t="shared" si="16"/>
        <v>USD</v>
      </c>
      <c r="AE2443" s="37"/>
      <c r="AF2443" s="37" t="e">
        <f t="array" ref="AF2443">INDEX('Deal Info'!D:D, MATCH(A2443,'Deal Info'!A:A, 0))</f>
        <v>#N/A</v>
      </c>
      <c r="AG2443" s="38" t="e">
        <f t="array" ref="AG2443">INDEX('Deal Info'!G:G, MATCH(A2443,'Deal Info'!A:A, 0))</f>
        <v>#N/A</v>
      </c>
    </row>
    <row r="2444" spans="1:33" ht="14.25" hidden="1" x14ac:dyDescent="0.2">
      <c r="A2444" s="18" t="b">
        <f t="array" ref="A2444">IF(G2444='Room Info'!$B$1, INDEX('Room Info'!$A$2:$A2446, MATCH(B2444,'Room Info'!$B$2:$B2446, 0)),IF(G2444='Room Info'!$C$1, INDEX('Room Info'!$A$2:$A2446, MATCH(B2444,'Room Info'!$C$2:$C2446, 0)),IF(G2444='Room Info'!$D$1, INDEX('Room Info'!$A$2:$A2446, MATCH(B2444,'Room Info'!$D$2:$D2446, 0)),IF(G2444='Room Info'!$E$1, INDEX('Room Info'!$A$2:$A2446, MATCH(B2444,'Room Info'!$E$2:$E2446, 0)),IF(G2444='Room Info'!$F$1, INDEX('Room Info'!$A$2:$A2446, MATCH(B2444,'Room Info'!$F$2:$F2446, 0)),IF(G2444='Room Info'!$H$1, INDEX('Room Info'!$A$2:$A2446, MATCH(B2444,'Room Info'!$H$2:$H2446, 0)),IF(G2444='Room Info'!$G$1, INDEX('Room Info'!$A$2:$A2446, MATCH(B2444,'Room Info'!$G$2:$G2446, 0)))))))))</f>
        <v>0</v>
      </c>
      <c r="B2444" s="96"/>
      <c r="C2444" s="111"/>
      <c r="D2444" s="111"/>
      <c r="E2444" s="80"/>
      <c r="F2444" s="133"/>
      <c r="G2444" s="65"/>
      <c r="H2444" s="110"/>
      <c r="I2444" s="110"/>
      <c r="J2444" s="39" t="s">
        <v>334</v>
      </c>
      <c r="K2444" s="112"/>
      <c r="L2444" s="113"/>
      <c r="M2444" s="62"/>
      <c r="N2444" s="28" t="e">
        <f t="shared" si="8"/>
        <v>#VALUE!</v>
      </c>
      <c r="O2444" s="65"/>
      <c r="P2444" s="29" t="s">
        <v>334</v>
      </c>
      <c r="Q2444" s="55"/>
      <c r="R2444" s="31" t="e">
        <f t="shared" si="9"/>
        <v>#VALUE!</v>
      </c>
      <c r="S2444" s="66"/>
      <c r="T2444" s="32" t="e">
        <f t="shared" si="10"/>
        <v>#VALUE!</v>
      </c>
      <c r="U2444" s="57"/>
      <c r="V2444" s="58"/>
      <c r="W2444" s="58"/>
      <c r="X2444" s="30" t="e">
        <f t="shared" si="11"/>
        <v>#N/A</v>
      </c>
      <c r="Y2444" s="30" t="e">
        <f t="shared" si="12"/>
        <v>#N/A</v>
      </c>
      <c r="Z2444" s="35" t="e">
        <f t="shared" si="13"/>
        <v>#VALUE!</v>
      </c>
      <c r="AA2444" s="29" t="e">
        <f t="shared" si="14"/>
        <v>#VALUE!</v>
      </c>
      <c r="AB2444" s="36" t="e">
        <f t="shared" si="15"/>
        <v>#VALUE!</v>
      </c>
      <c r="AC2444" s="37" t="b">
        <v>0</v>
      </c>
      <c r="AD2444" s="61" t="str">
        <f t="shared" si="16"/>
        <v>USD</v>
      </c>
      <c r="AE2444" s="37"/>
      <c r="AF2444" s="37" t="e">
        <f t="array" ref="AF2444">INDEX('Deal Info'!D:D, MATCH(A2444,'Deal Info'!A:A, 0))</f>
        <v>#N/A</v>
      </c>
      <c r="AG2444" s="38" t="e">
        <f t="array" ref="AG2444">INDEX('Deal Info'!G:G, MATCH(A2444,'Deal Info'!A:A, 0))</f>
        <v>#N/A</v>
      </c>
    </row>
    <row r="2445" spans="1:33" ht="14.25" hidden="1" x14ac:dyDescent="0.2">
      <c r="A2445" s="18" t="b">
        <f t="array" ref="A2445">IF(G2445='Room Info'!$B$1, INDEX('Room Info'!$A$2:$A2446, MATCH(B2445,'Room Info'!$B$2:$B2446, 0)),IF(G2445='Room Info'!$C$1, INDEX('Room Info'!$A$2:$A2446, MATCH(B2445,'Room Info'!$C$2:$C2446, 0)),IF(G2445='Room Info'!$D$1, INDEX('Room Info'!$A$2:$A2446, MATCH(B2445,'Room Info'!$D$2:$D2446, 0)),IF(G2445='Room Info'!$E$1, INDEX('Room Info'!$A$2:$A2446, MATCH(B2445,'Room Info'!$E$2:$E2446, 0)),IF(G2445='Room Info'!$F$1, INDEX('Room Info'!$A$2:$A2446, MATCH(B2445,'Room Info'!$F$2:$F2446, 0)),IF(G2445='Room Info'!$H$1, INDEX('Room Info'!$A$2:$A2446, MATCH(B2445,'Room Info'!$H$2:$H2446, 0)),IF(G2445='Room Info'!$G$1, INDEX('Room Info'!$A$2:$A2446, MATCH(B2445,'Room Info'!$G$2:$G2446, 0)))))))))</f>
        <v>0</v>
      </c>
      <c r="B2445" s="96"/>
      <c r="C2445" s="111"/>
      <c r="D2445" s="111"/>
      <c r="E2445" s="80"/>
      <c r="F2445" s="133"/>
      <c r="G2445" s="96"/>
      <c r="H2445" s="100"/>
      <c r="I2445" s="100"/>
      <c r="J2445" s="39" t="s">
        <v>334</v>
      </c>
      <c r="K2445" s="112"/>
      <c r="L2445" s="113"/>
      <c r="M2445" s="62"/>
      <c r="N2445" s="28" t="e">
        <f t="shared" si="8"/>
        <v>#VALUE!</v>
      </c>
      <c r="O2445" s="65"/>
      <c r="P2445" s="29" t="s">
        <v>334</v>
      </c>
      <c r="Q2445" s="55"/>
      <c r="R2445" s="31" t="e">
        <f t="shared" si="9"/>
        <v>#VALUE!</v>
      </c>
      <c r="S2445" s="66"/>
      <c r="T2445" s="32" t="e">
        <f t="shared" si="10"/>
        <v>#VALUE!</v>
      </c>
      <c r="U2445" s="114"/>
      <c r="V2445" s="69"/>
      <c r="W2445" s="69"/>
      <c r="X2445" s="30" t="e">
        <f t="shared" si="11"/>
        <v>#N/A</v>
      </c>
      <c r="Y2445" s="30" t="e">
        <f t="shared" si="12"/>
        <v>#N/A</v>
      </c>
      <c r="Z2445" s="35" t="e">
        <f t="shared" si="13"/>
        <v>#VALUE!</v>
      </c>
      <c r="AA2445" s="29" t="e">
        <f t="shared" si="14"/>
        <v>#VALUE!</v>
      </c>
      <c r="AB2445" s="36" t="e">
        <f t="shared" si="15"/>
        <v>#VALUE!</v>
      </c>
      <c r="AC2445" s="37" t="b">
        <v>0</v>
      </c>
      <c r="AD2445" s="61" t="str">
        <f t="shared" si="16"/>
        <v>USD</v>
      </c>
      <c r="AE2445" s="37"/>
      <c r="AF2445" s="37" t="e">
        <f t="array" ref="AF2445">INDEX('Deal Info'!D:D, MATCH(A2445,'Deal Info'!A:A, 0))</f>
        <v>#N/A</v>
      </c>
      <c r="AG2445" s="38" t="e">
        <f t="array" ref="AG2445">INDEX('Deal Info'!G:G, MATCH(A2445,'Deal Info'!A:A, 0))</f>
        <v>#N/A</v>
      </c>
    </row>
    <row r="2446" spans="1:33" ht="14.25" hidden="1" x14ac:dyDescent="0.2">
      <c r="A2446" s="18"/>
      <c r="B2446" s="96"/>
      <c r="C2446" s="111"/>
      <c r="D2446" s="111"/>
      <c r="E2446" s="80"/>
      <c r="F2446" s="133"/>
      <c r="G2446" s="96"/>
      <c r="H2446" s="100"/>
      <c r="I2446" s="100"/>
      <c r="J2446" s="39"/>
      <c r="K2446" s="112"/>
      <c r="L2446" s="113"/>
      <c r="M2446" s="62"/>
      <c r="N2446" s="28"/>
      <c r="O2446" s="65"/>
      <c r="P2446" s="29"/>
      <c r="Q2446" s="55"/>
      <c r="R2446" s="31">
        <f t="shared" si="9"/>
        <v>0</v>
      </c>
      <c r="S2446" s="66"/>
      <c r="T2446" s="32">
        <f t="shared" si="10"/>
        <v>0</v>
      </c>
      <c r="U2446" s="114"/>
      <c r="V2446" s="69"/>
      <c r="W2446" s="69"/>
      <c r="X2446" s="30" t="e">
        <f t="shared" si="11"/>
        <v>#N/A</v>
      </c>
      <c r="Y2446" s="30" t="e">
        <f t="shared" si="12"/>
        <v>#N/A</v>
      </c>
      <c r="Z2446" s="35" t="e">
        <f t="shared" si="13"/>
        <v>#N/A</v>
      </c>
      <c r="AA2446" s="29" t="e">
        <f t="shared" si="14"/>
        <v>#N/A</v>
      </c>
      <c r="AB2446" s="36" t="e">
        <f t="shared" si="15"/>
        <v>#N/A</v>
      </c>
      <c r="AC2446" s="37" t="b">
        <v>0</v>
      </c>
      <c r="AD2446" s="61" t="str">
        <f t="shared" si="16"/>
        <v>USD</v>
      </c>
      <c r="AE2446" s="37"/>
      <c r="AF2446" s="37" t="e">
        <f t="array" ref="AF2446">INDEX('Deal Info'!D:D, MATCH(A2446,'Deal Info'!A:A, 0))</f>
        <v>#N/A</v>
      </c>
      <c r="AG2446" s="38" t="e">
        <f t="array" ref="AG2446">INDEX('Deal Info'!G:G, MATCH(A2446,'Deal Info'!A:A, 0))</f>
        <v>#N/A</v>
      </c>
    </row>
  </sheetData>
  <autoFilter ref="A1:AG2446" xr:uid="{00000000-0009-0000-0000-000000000000}">
    <filterColumn colId="4">
      <filters>
        <filter val="April 2022"/>
        <filter val="August 2022"/>
        <filter val="December 2022"/>
        <filter val="February 2022"/>
        <filter val="February 2023"/>
        <filter val="Ferbuary 2022"/>
        <filter val="January 2022"/>
        <filter val="January 2023"/>
        <filter val="July 2022"/>
        <filter val="June 2022"/>
        <filter val="March 2022"/>
        <filter val="March 2023"/>
        <filter val="May 2022"/>
        <filter val="November 2022"/>
        <filter val="October 2022"/>
        <filter val="September 2022"/>
      </filters>
    </filterColumn>
    <filterColumn colId="6">
      <filters>
        <filter val="Winamax"/>
        <filter val="Redstar"/>
      </filters>
    </filterColumn>
    <sortState ref="A51:AG1624">
      <sortCondition ref="E1:E2446"/>
    </sortState>
  </autoFilter>
  <customSheetViews>
    <customSheetView guid="{82E4AFC8-F9F3-45BC-A1B7-B272A8D2C2B9}" filter="1" showAutoFilter="1">
      <pageMargins left="0.7" right="0.7" top="0.75" bottom="0.75" header="0.3" footer="0.3"/>
      <autoFilter ref="A1:AG2445" xr:uid="{00000000-0000-0000-0000-000000000000}"/>
    </customSheetView>
    <customSheetView guid="{BA5FD89F-BAEB-4FD2-9C40-3A65D155B0D4}" filter="1" showAutoFilter="1">
      <pageMargins left="0.7" right="0.7" top="0.75" bottom="0.75" header="0.3" footer="0.3"/>
      <autoFilter ref="A1:AG2446" xr:uid="{00000000-0000-0000-0000-000000000000}">
        <filterColumn colId="2">
          <filters blank="1">
            <filter val="01/01/2021"/>
            <filter val="01/01/2022"/>
            <filter val="01/01/2023"/>
            <filter val="01/02/2021"/>
            <filter val="01/02/2022"/>
            <filter val="01/02/2023"/>
            <filter val="01/03/2021"/>
            <filter val="01/03/2022"/>
            <filter val="01/04/2021"/>
            <filter val="01/04/2022"/>
            <filter val="01/05/2021"/>
            <filter val="01/06/2021"/>
            <filter val="01/09/2021"/>
            <filter val="01/09/2022"/>
            <filter val="01/10/2021"/>
            <filter val="01/10/2022"/>
            <filter val="01/11/2021"/>
            <filter val="01/11/2022"/>
            <filter val="01/12/2021"/>
            <filter val="01/12/2022"/>
            <filter val="03/02/2023"/>
            <filter val="03/11/2021"/>
            <filter val="05/11/2022"/>
            <filter val="06/02/2023"/>
            <filter val="06/04/2022"/>
            <filter val="06/05/2022"/>
            <filter val="08/03/2022"/>
            <filter val="08/11/2022"/>
            <filter val="08/12/2022"/>
            <filter val="1/3/2022"/>
            <filter val="10/11/2022"/>
            <filter val="11/04/2022"/>
            <filter val="12/03/2022"/>
            <filter val="15/10/2022"/>
            <filter val="17/05/2022"/>
            <filter val="18/02/2023"/>
            <filter val="18/11/2022"/>
            <filter val="19/05/2022"/>
            <filter val="21/01/2021"/>
            <filter val="21/01/2022"/>
            <filter val="21/01/2023"/>
            <filter val="21/02/2021"/>
            <filter val="21/02/2022"/>
            <filter val="21/02/2023"/>
            <filter val="21/03/2021"/>
            <filter val="21/03/2022"/>
            <filter val="21/04/2021"/>
            <filter val="21/04/2022"/>
            <filter val="21/05/2021"/>
            <filter val="21/05/2022"/>
            <filter val="21/06/2021"/>
            <filter val="21/06/2022"/>
            <filter val="21/07/2021"/>
            <filter val="21/07/2022"/>
            <filter val="21/08/2020"/>
            <filter val="21/08/2021"/>
            <filter val="21/08/2022"/>
            <filter val="21/09/2020"/>
            <filter val="21/09/2021"/>
            <filter val="21/09/2022"/>
            <filter val="21/1/2022"/>
            <filter val="21/10/2020"/>
            <filter val="21/10/2021"/>
            <filter val="21/10/2022"/>
            <filter val="21/11/2020"/>
            <filter val="21/11/2021"/>
            <filter val="21/11/2022"/>
            <filter val="21/12/2020"/>
            <filter val="21/12/2021"/>
            <filter val="21/12/2022"/>
            <filter val="21/2/2022"/>
            <filter val="21/3/2022"/>
            <filter val="21/4/2021"/>
            <filter val="21/4/2022"/>
            <filter val="21/5/2021"/>
            <filter val="21/5/2022"/>
            <filter val="21/6/2021"/>
            <filter val="23/02/2023"/>
            <filter val="23/05/2022"/>
            <filter val="23/06/2021"/>
            <filter val="23/07/2022"/>
            <filter val="25/06/2022"/>
            <filter val="25/10/2022"/>
            <filter val="26/06/2022"/>
            <filter val="26/11/2022"/>
            <filter val="27/12/2022"/>
            <filter val="28/02/2022"/>
            <filter val="28/12/2022"/>
            <filter val="29/03/2022"/>
            <filter val="29/08/2022"/>
            <filter val="29/09/2022"/>
            <filter val="31/07/2022"/>
          </filters>
        </filterColumn>
        <filterColumn colId="6">
          <filters>
            <filter val="RedStar"/>
          </filters>
        </filterColumn>
      </autoFilter>
    </customSheetView>
    <customSheetView guid="{5F0434D8-D832-4F88-9507-A85AAE16E128}" filter="1" showAutoFilter="1">
      <pageMargins left="0.7" right="0.7" top="0.75" bottom="0.75" header="0.3" footer="0.3"/>
      <autoFilter ref="A1:AD2445" xr:uid="{00000000-0000-0000-0000-000000000000}"/>
    </customSheetView>
  </customSheetViews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ErrorMessage="1" xr:uid="{00000000-0002-0000-0000-000000000000}">
          <x14:formula1>
            <xm:f>'Dropdown lists'!$A$2:$A$4</xm:f>
          </x14:formula1>
          <xm:sqref>F2:F2446</xm:sqref>
        </x14:dataValidation>
        <x14:dataValidation type="list" allowBlank="1" showErrorMessage="1" xr:uid="{00000000-0002-0000-0000-000001000000}">
          <x14:formula1>
            <xm:f>'Dropdown lists'!$C$2:$C$92</xm:f>
          </x14:formula1>
          <xm:sqref>H2:H2446</xm:sqref>
        </x14:dataValidation>
        <x14:dataValidation type="list" allowBlank="1" showErrorMessage="1" xr:uid="{00000000-0002-0000-0000-000002000000}">
          <x14:formula1>
            <xm:f>'Dropdown lists'!$B$2:$B$9</xm:f>
          </x14:formula1>
          <xm:sqref>G2:G2446</xm:sqref>
        </x14:dataValidation>
        <x14:dataValidation type="list" allowBlank="1" showErrorMessage="1" xr:uid="{00000000-0002-0000-0000-000003000000}">
          <x14:formula1>
            <xm:f>'Dropdown lists'!$D$2:$D$8</xm:f>
          </x14:formula1>
          <xm:sqref>I2:I2446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1002"/>
  <sheetViews>
    <sheetView workbookViewId="0"/>
  </sheetViews>
  <sheetFormatPr defaultColWidth="12.5703125" defaultRowHeight="15.75" customHeight="1" x14ac:dyDescent="0.2"/>
  <sheetData>
    <row r="1" spans="1:4" x14ac:dyDescent="0.2">
      <c r="A1" s="4" t="s">
        <v>5</v>
      </c>
      <c r="B1" s="2" t="s">
        <v>6</v>
      </c>
      <c r="C1" s="140" t="s">
        <v>7</v>
      </c>
      <c r="D1" s="3" t="s">
        <v>8</v>
      </c>
    </row>
    <row r="2" spans="1:4" x14ac:dyDescent="0.2">
      <c r="A2" s="131" t="s">
        <v>34</v>
      </c>
      <c r="B2" s="141" t="s">
        <v>35</v>
      </c>
      <c r="C2" s="142" t="s">
        <v>45</v>
      </c>
      <c r="D2" s="141" t="s">
        <v>37</v>
      </c>
    </row>
    <row r="3" spans="1:4" x14ac:dyDescent="0.2">
      <c r="A3" s="131" t="s">
        <v>49</v>
      </c>
      <c r="B3" s="141" t="s">
        <v>61</v>
      </c>
      <c r="C3" s="142" t="s">
        <v>51</v>
      </c>
      <c r="D3" s="141" t="s">
        <v>44</v>
      </c>
    </row>
    <row r="4" spans="1:4" x14ac:dyDescent="0.2">
      <c r="A4" s="131" t="s">
        <v>41</v>
      </c>
      <c r="B4" s="141" t="s">
        <v>80</v>
      </c>
      <c r="C4" s="142" t="s">
        <v>168</v>
      </c>
      <c r="D4" s="141" t="s">
        <v>174</v>
      </c>
    </row>
    <row r="5" spans="1:4" x14ac:dyDescent="0.2">
      <c r="B5" s="141" t="s">
        <v>69</v>
      </c>
      <c r="C5" s="142" t="s">
        <v>238</v>
      </c>
      <c r="D5" s="141" t="s">
        <v>81</v>
      </c>
    </row>
    <row r="6" spans="1:4" x14ac:dyDescent="0.2">
      <c r="B6" s="141" t="s">
        <v>223</v>
      </c>
      <c r="C6" s="142" t="s">
        <v>42</v>
      </c>
      <c r="D6" s="141" t="s">
        <v>101</v>
      </c>
    </row>
    <row r="7" spans="1:4" x14ac:dyDescent="0.2">
      <c r="B7" s="141" t="s">
        <v>165</v>
      </c>
      <c r="C7" s="142" t="s">
        <v>47</v>
      </c>
      <c r="D7" s="141" t="s">
        <v>68</v>
      </c>
    </row>
    <row r="8" spans="1:4" x14ac:dyDescent="0.2">
      <c r="B8" s="141" t="s">
        <v>158</v>
      </c>
      <c r="C8" s="142" t="s">
        <v>224</v>
      </c>
      <c r="D8" s="141" t="s">
        <v>74</v>
      </c>
    </row>
    <row r="9" spans="1:4" x14ac:dyDescent="0.2">
      <c r="C9" s="142" t="s">
        <v>36</v>
      </c>
    </row>
    <row r="10" spans="1:4" x14ac:dyDescent="0.2">
      <c r="C10" s="142" t="s">
        <v>43</v>
      </c>
    </row>
    <row r="11" spans="1:4" x14ac:dyDescent="0.2">
      <c r="C11" s="142" t="s">
        <v>183</v>
      </c>
    </row>
    <row r="12" spans="1:4" x14ac:dyDescent="0.2">
      <c r="C12" s="142" t="s">
        <v>182</v>
      </c>
    </row>
    <row r="13" spans="1:4" x14ac:dyDescent="0.2">
      <c r="C13" s="142" t="s">
        <v>122</v>
      </c>
    </row>
    <row r="14" spans="1:4" x14ac:dyDescent="0.2">
      <c r="C14" s="142" t="s">
        <v>197</v>
      </c>
    </row>
    <row r="15" spans="1:4" x14ac:dyDescent="0.2">
      <c r="C15" s="142" t="s">
        <v>86</v>
      </c>
    </row>
    <row r="16" spans="1:4" x14ac:dyDescent="0.2">
      <c r="C16" s="142" t="s">
        <v>39</v>
      </c>
    </row>
    <row r="17" spans="3:3" x14ac:dyDescent="0.2">
      <c r="C17" s="142" t="s">
        <v>217</v>
      </c>
    </row>
    <row r="18" spans="3:3" x14ac:dyDescent="0.2">
      <c r="C18" s="142" t="s">
        <v>177</v>
      </c>
    </row>
    <row r="19" spans="3:3" x14ac:dyDescent="0.2">
      <c r="C19" s="142" t="s">
        <v>90</v>
      </c>
    </row>
    <row r="20" spans="3:3" x14ac:dyDescent="0.2">
      <c r="C20" s="142" t="s">
        <v>54</v>
      </c>
    </row>
    <row r="21" spans="3:3" x14ac:dyDescent="0.2">
      <c r="C21" s="142" t="s">
        <v>216</v>
      </c>
    </row>
    <row r="22" spans="3:3" x14ac:dyDescent="0.2">
      <c r="C22" s="142" t="s">
        <v>132</v>
      </c>
    </row>
    <row r="23" spans="3:3" x14ac:dyDescent="0.2">
      <c r="C23" s="142" t="s">
        <v>126</v>
      </c>
    </row>
    <row r="24" spans="3:3" x14ac:dyDescent="0.2">
      <c r="C24" s="142" t="s">
        <v>131</v>
      </c>
    </row>
    <row r="25" spans="3:3" x14ac:dyDescent="0.2">
      <c r="C25" s="142" t="s">
        <v>130</v>
      </c>
    </row>
    <row r="26" spans="3:3" x14ac:dyDescent="0.2">
      <c r="C26" s="142" t="s">
        <v>40</v>
      </c>
    </row>
    <row r="27" spans="3:3" x14ac:dyDescent="0.2">
      <c r="C27" s="142" t="s">
        <v>83</v>
      </c>
    </row>
    <row r="28" spans="3:3" x14ac:dyDescent="0.2">
      <c r="C28" s="142" t="s">
        <v>192</v>
      </c>
    </row>
    <row r="29" spans="3:3" x14ac:dyDescent="0.2">
      <c r="C29" s="142" t="s">
        <v>115</v>
      </c>
    </row>
    <row r="30" spans="3:3" x14ac:dyDescent="0.2">
      <c r="C30" s="142" t="s">
        <v>77</v>
      </c>
    </row>
    <row r="31" spans="3:3" x14ac:dyDescent="0.2">
      <c r="C31" s="142" t="s">
        <v>55</v>
      </c>
    </row>
    <row r="32" spans="3:3" x14ac:dyDescent="0.2">
      <c r="C32" s="142" t="s">
        <v>166</v>
      </c>
    </row>
    <row r="33" spans="3:3" x14ac:dyDescent="0.2">
      <c r="C33" s="142" t="s">
        <v>227</v>
      </c>
    </row>
    <row r="34" spans="3:3" x14ac:dyDescent="0.2">
      <c r="C34" s="142" t="s">
        <v>64</v>
      </c>
    </row>
    <row r="35" spans="3:3" x14ac:dyDescent="0.2">
      <c r="C35" s="142" t="s">
        <v>62</v>
      </c>
    </row>
    <row r="36" spans="3:3" x14ac:dyDescent="0.2">
      <c r="C36" s="142" t="s">
        <v>63</v>
      </c>
    </row>
    <row r="37" spans="3:3" x14ac:dyDescent="0.2">
      <c r="C37" s="142" t="s">
        <v>203</v>
      </c>
    </row>
    <row r="38" spans="3:3" x14ac:dyDescent="0.2">
      <c r="C38" s="142" t="s">
        <v>92</v>
      </c>
    </row>
    <row r="39" spans="3:3" x14ac:dyDescent="0.2">
      <c r="C39" s="142" t="s">
        <v>201</v>
      </c>
    </row>
    <row r="40" spans="3:3" x14ac:dyDescent="0.2">
      <c r="C40" s="142" t="s">
        <v>71</v>
      </c>
    </row>
    <row r="41" spans="3:3" x14ac:dyDescent="0.2">
      <c r="C41" s="142" t="s">
        <v>75</v>
      </c>
    </row>
    <row r="42" spans="3:3" x14ac:dyDescent="0.2">
      <c r="C42" s="142" t="s">
        <v>56</v>
      </c>
    </row>
    <row r="43" spans="3:3" x14ac:dyDescent="0.2">
      <c r="C43" s="142" t="s">
        <v>46</v>
      </c>
    </row>
    <row r="44" spans="3:3" x14ac:dyDescent="0.2">
      <c r="C44" s="142" t="s">
        <v>87</v>
      </c>
    </row>
    <row r="45" spans="3:3" x14ac:dyDescent="0.2">
      <c r="C45" s="142" t="s">
        <v>167</v>
      </c>
    </row>
    <row r="46" spans="3:3" x14ac:dyDescent="0.2">
      <c r="C46" s="142" t="s">
        <v>179</v>
      </c>
    </row>
    <row r="47" spans="3:3" x14ac:dyDescent="0.2">
      <c r="C47" s="142" t="s">
        <v>65</v>
      </c>
    </row>
    <row r="48" spans="3:3" x14ac:dyDescent="0.2">
      <c r="C48" s="142" t="s">
        <v>94</v>
      </c>
    </row>
    <row r="49" spans="3:3" x14ac:dyDescent="0.2">
      <c r="C49" s="142" t="s">
        <v>93</v>
      </c>
    </row>
    <row r="50" spans="3:3" x14ac:dyDescent="0.2">
      <c r="C50" s="142" t="s">
        <v>141</v>
      </c>
    </row>
    <row r="51" spans="3:3" x14ac:dyDescent="0.2">
      <c r="C51" s="142" t="s">
        <v>140</v>
      </c>
    </row>
    <row r="52" spans="3:3" x14ac:dyDescent="0.2">
      <c r="C52" s="142" t="s">
        <v>139</v>
      </c>
    </row>
    <row r="53" spans="3:3" x14ac:dyDescent="0.2">
      <c r="C53" s="142" t="s">
        <v>138</v>
      </c>
    </row>
    <row r="54" spans="3:3" x14ac:dyDescent="0.2">
      <c r="C54" s="142" t="s">
        <v>136</v>
      </c>
    </row>
    <row r="55" spans="3:3" x14ac:dyDescent="0.2">
      <c r="C55" s="142" t="s">
        <v>72</v>
      </c>
    </row>
    <row r="56" spans="3:3" x14ac:dyDescent="0.2">
      <c r="C56" s="142" t="s">
        <v>85</v>
      </c>
    </row>
    <row r="57" spans="3:3" x14ac:dyDescent="0.2">
      <c r="C57" s="142" t="s">
        <v>76</v>
      </c>
    </row>
    <row r="58" spans="3:3" x14ac:dyDescent="0.2">
      <c r="C58" s="142" t="s">
        <v>57</v>
      </c>
    </row>
    <row r="59" spans="3:3" x14ac:dyDescent="0.2">
      <c r="C59" s="142" t="s">
        <v>112</v>
      </c>
    </row>
    <row r="60" spans="3:3" x14ac:dyDescent="0.2">
      <c r="C60" s="142" t="s">
        <v>111</v>
      </c>
    </row>
    <row r="61" spans="3:3" x14ac:dyDescent="0.2">
      <c r="C61" s="142" t="s">
        <v>109</v>
      </c>
    </row>
    <row r="62" spans="3:3" x14ac:dyDescent="0.2">
      <c r="C62" s="142" t="s">
        <v>108</v>
      </c>
    </row>
    <row r="63" spans="3:3" x14ac:dyDescent="0.2">
      <c r="C63" s="142" t="s">
        <v>106</v>
      </c>
    </row>
    <row r="64" spans="3:3" x14ac:dyDescent="0.2">
      <c r="C64" s="142" t="s">
        <v>105</v>
      </c>
    </row>
    <row r="65" spans="3:3" x14ac:dyDescent="0.2">
      <c r="C65" s="142" t="s">
        <v>104</v>
      </c>
    </row>
    <row r="66" spans="3:3" x14ac:dyDescent="0.2">
      <c r="C66" s="142" t="s">
        <v>70</v>
      </c>
    </row>
    <row r="67" spans="3:3" x14ac:dyDescent="0.2">
      <c r="C67" s="142" t="s">
        <v>84</v>
      </c>
    </row>
    <row r="68" spans="3:3" x14ac:dyDescent="0.2">
      <c r="C68" s="142" t="s">
        <v>213</v>
      </c>
    </row>
    <row r="69" spans="3:3" x14ac:dyDescent="0.2">
      <c r="C69" s="142" t="s">
        <v>73</v>
      </c>
    </row>
    <row r="70" spans="3:3" x14ac:dyDescent="0.2">
      <c r="C70" s="142" t="s">
        <v>59</v>
      </c>
    </row>
    <row r="71" spans="3:3" x14ac:dyDescent="0.2">
      <c r="C71" s="142" t="s">
        <v>200</v>
      </c>
    </row>
    <row r="72" spans="3:3" x14ac:dyDescent="0.2">
      <c r="C72" s="142" t="s">
        <v>199</v>
      </c>
    </row>
    <row r="73" spans="3:3" x14ac:dyDescent="0.2">
      <c r="C73" s="142" t="s">
        <v>184</v>
      </c>
    </row>
    <row r="74" spans="3:3" x14ac:dyDescent="0.2">
      <c r="C74" s="142" t="s">
        <v>153</v>
      </c>
    </row>
    <row r="75" spans="3:3" x14ac:dyDescent="0.2">
      <c r="C75" s="142" t="s">
        <v>211</v>
      </c>
    </row>
    <row r="76" spans="3:3" x14ac:dyDescent="0.2">
      <c r="C76" s="142" t="s">
        <v>190</v>
      </c>
    </row>
    <row r="77" spans="3:3" x14ac:dyDescent="0.2">
      <c r="C77" s="142" t="s">
        <v>88</v>
      </c>
    </row>
    <row r="78" spans="3:3" x14ac:dyDescent="0.2">
      <c r="C78" s="142" t="s">
        <v>148</v>
      </c>
    </row>
    <row r="79" spans="3:3" x14ac:dyDescent="0.2">
      <c r="C79" s="142" t="s">
        <v>135</v>
      </c>
    </row>
    <row r="80" spans="3:3" x14ac:dyDescent="0.2">
      <c r="C80" s="142" t="s">
        <v>134</v>
      </c>
    </row>
    <row r="81" spans="3:3" x14ac:dyDescent="0.2">
      <c r="C81" s="142" t="s">
        <v>212</v>
      </c>
    </row>
    <row r="82" spans="3:3" x14ac:dyDescent="0.2">
      <c r="C82" s="142" t="s">
        <v>142</v>
      </c>
    </row>
    <row r="83" spans="3:3" x14ac:dyDescent="0.2">
      <c r="C83" s="142" t="s">
        <v>149</v>
      </c>
    </row>
    <row r="84" spans="3:3" x14ac:dyDescent="0.2">
      <c r="C84" s="142" t="s">
        <v>210</v>
      </c>
    </row>
    <row r="85" spans="3:3" x14ac:dyDescent="0.2">
      <c r="C85" s="142" t="s">
        <v>100</v>
      </c>
    </row>
    <row r="86" spans="3:3" x14ac:dyDescent="0.2">
      <c r="C86" s="142" t="s">
        <v>67</v>
      </c>
    </row>
    <row r="87" spans="3:3" x14ac:dyDescent="0.2">
      <c r="C87" s="142" t="s">
        <v>143</v>
      </c>
    </row>
    <row r="88" spans="3:3" x14ac:dyDescent="0.2">
      <c r="C88" s="142" t="s">
        <v>209</v>
      </c>
    </row>
    <row r="89" spans="3:3" x14ac:dyDescent="0.2">
      <c r="C89" s="142"/>
    </row>
    <row r="90" spans="3:3" x14ac:dyDescent="0.2">
      <c r="C90" s="142"/>
    </row>
    <row r="91" spans="3:3" x14ac:dyDescent="0.2">
      <c r="C91" s="142"/>
    </row>
    <row r="92" spans="3:3" x14ac:dyDescent="0.2">
      <c r="C92" s="142"/>
    </row>
    <row r="93" spans="3:3" x14ac:dyDescent="0.2">
      <c r="C93" s="143"/>
    </row>
    <row r="94" spans="3:3" x14ac:dyDescent="0.2">
      <c r="C94" s="143"/>
    </row>
    <row r="95" spans="3:3" x14ac:dyDescent="0.2">
      <c r="C95" s="143"/>
    </row>
    <row r="96" spans="3:3" x14ac:dyDescent="0.2">
      <c r="C96" s="143"/>
    </row>
    <row r="97" spans="3:3" x14ac:dyDescent="0.2">
      <c r="C97" s="143"/>
    </row>
    <row r="98" spans="3:3" x14ac:dyDescent="0.2">
      <c r="C98" s="143"/>
    </row>
    <row r="99" spans="3:3" x14ac:dyDescent="0.2">
      <c r="C99" s="143"/>
    </row>
    <row r="100" spans="3:3" x14ac:dyDescent="0.2">
      <c r="C100" s="143"/>
    </row>
    <row r="101" spans="3:3" x14ac:dyDescent="0.2">
      <c r="C101" s="143"/>
    </row>
    <row r="102" spans="3:3" x14ac:dyDescent="0.2">
      <c r="C102" s="143"/>
    </row>
    <row r="103" spans="3:3" x14ac:dyDescent="0.2">
      <c r="C103" s="143"/>
    </row>
    <row r="104" spans="3:3" x14ac:dyDescent="0.2">
      <c r="C104" s="143"/>
    </row>
    <row r="105" spans="3:3" x14ac:dyDescent="0.2">
      <c r="C105" s="143"/>
    </row>
    <row r="106" spans="3:3" x14ac:dyDescent="0.2">
      <c r="C106" s="143"/>
    </row>
    <row r="107" spans="3:3" x14ac:dyDescent="0.2">
      <c r="C107" s="143"/>
    </row>
    <row r="108" spans="3:3" x14ac:dyDescent="0.2">
      <c r="C108" s="143"/>
    </row>
    <row r="109" spans="3:3" x14ac:dyDescent="0.2">
      <c r="C109" s="143"/>
    </row>
    <row r="110" spans="3:3" x14ac:dyDescent="0.2">
      <c r="C110" s="143"/>
    </row>
    <row r="111" spans="3:3" x14ac:dyDescent="0.2">
      <c r="C111" s="143"/>
    </row>
    <row r="112" spans="3:3" x14ac:dyDescent="0.2">
      <c r="C112" s="143"/>
    </row>
    <row r="113" spans="3:3" x14ac:dyDescent="0.2">
      <c r="C113" s="143"/>
    </row>
    <row r="114" spans="3:3" x14ac:dyDescent="0.2">
      <c r="C114" s="143"/>
    </row>
    <row r="115" spans="3:3" x14ac:dyDescent="0.2">
      <c r="C115" s="143"/>
    </row>
    <row r="116" spans="3:3" x14ac:dyDescent="0.2">
      <c r="C116" s="143"/>
    </row>
    <row r="117" spans="3:3" x14ac:dyDescent="0.2">
      <c r="C117" s="143"/>
    </row>
    <row r="118" spans="3:3" x14ac:dyDescent="0.2">
      <c r="C118" s="143"/>
    </row>
    <row r="119" spans="3:3" x14ac:dyDescent="0.2">
      <c r="C119" s="143"/>
    </row>
    <row r="120" spans="3:3" x14ac:dyDescent="0.2">
      <c r="C120" s="143"/>
    </row>
    <row r="121" spans="3:3" x14ac:dyDescent="0.2">
      <c r="C121" s="143"/>
    </row>
    <row r="122" spans="3:3" x14ac:dyDescent="0.2">
      <c r="C122" s="143"/>
    </row>
    <row r="123" spans="3:3" x14ac:dyDescent="0.2">
      <c r="C123" s="143"/>
    </row>
    <row r="124" spans="3:3" x14ac:dyDescent="0.2">
      <c r="C124" s="143"/>
    </row>
    <row r="125" spans="3:3" x14ac:dyDescent="0.2">
      <c r="C125" s="143"/>
    </row>
    <row r="126" spans="3:3" x14ac:dyDescent="0.2">
      <c r="C126" s="143"/>
    </row>
    <row r="127" spans="3:3" x14ac:dyDescent="0.2">
      <c r="C127" s="143"/>
    </row>
    <row r="128" spans="3:3" x14ac:dyDescent="0.2">
      <c r="C128" s="143"/>
    </row>
    <row r="129" spans="3:3" x14ac:dyDescent="0.2">
      <c r="C129" s="143"/>
    </row>
    <row r="130" spans="3:3" x14ac:dyDescent="0.2">
      <c r="C130" s="143"/>
    </row>
    <row r="131" spans="3:3" x14ac:dyDescent="0.2">
      <c r="C131" s="143"/>
    </row>
    <row r="132" spans="3:3" x14ac:dyDescent="0.2">
      <c r="C132" s="143"/>
    </row>
    <row r="133" spans="3:3" x14ac:dyDescent="0.2">
      <c r="C133" s="143"/>
    </row>
    <row r="134" spans="3:3" x14ac:dyDescent="0.2">
      <c r="C134" s="143"/>
    </row>
    <row r="135" spans="3:3" x14ac:dyDescent="0.2">
      <c r="C135" s="143"/>
    </row>
    <row r="136" spans="3:3" x14ac:dyDescent="0.2">
      <c r="C136" s="143"/>
    </row>
    <row r="137" spans="3:3" x14ac:dyDescent="0.2">
      <c r="C137" s="143"/>
    </row>
    <row r="138" spans="3:3" x14ac:dyDescent="0.2">
      <c r="C138" s="143"/>
    </row>
    <row r="139" spans="3:3" x14ac:dyDescent="0.2">
      <c r="C139" s="143"/>
    </row>
    <row r="140" spans="3:3" x14ac:dyDescent="0.2">
      <c r="C140" s="143"/>
    </row>
    <row r="141" spans="3:3" x14ac:dyDescent="0.2">
      <c r="C141" s="143"/>
    </row>
    <row r="142" spans="3:3" x14ac:dyDescent="0.2">
      <c r="C142" s="143"/>
    </row>
    <row r="143" spans="3:3" x14ac:dyDescent="0.2">
      <c r="C143" s="143"/>
    </row>
    <row r="144" spans="3:3" x14ac:dyDescent="0.2">
      <c r="C144" s="143"/>
    </row>
    <row r="145" spans="3:3" x14ac:dyDescent="0.2">
      <c r="C145" s="143"/>
    </row>
    <row r="146" spans="3:3" x14ac:dyDescent="0.2">
      <c r="C146" s="143"/>
    </row>
    <row r="147" spans="3:3" x14ac:dyDescent="0.2">
      <c r="C147" s="143"/>
    </row>
    <row r="148" spans="3:3" x14ac:dyDescent="0.2">
      <c r="C148" s="143"/>
    </row>
    <row r="149" spans="3:3" x14ac:dyDescent="0.2">
      <c r="C149" s="143"/>
    </row>
    <row r="150" spans="3:3" x14ac:dyDescent="0.2">
      <c r="C150" s="143"/>
    </row>
    <row r="151" spans="3:3" x14ac:dyDescent="0.2">
      <c r="C151" s="143"/>
    </row>
    <row r="152" spans="3:3" x14ac:dyDescent="0.2">
      <c r="C152" s="143"/>
    </row>
    <row r="153" spans="3:3" x14ac:dyDescent="0.2">
      <c r="C153" s="143"/>
    </row>
    <row r="154" spans="3:3" x14ac:dyDescent="0.2">
      <c r="C154" s="143"/>
    </row>
    <row r="155" spans="3:3" x14ac:dyDescent="0.2">
      <c r="C155" s="143"/>
    </row>
    <row r="156" spans="3:3" x14ac:dyDescent="0.2">
      <c r="C156" s="143"/>
    </row>
    <row r="157" spans="3:3" x14ac:dyDescent="0.2">
      <c r="C157" s="143"/>
    </row>
    <row r="158" spans="3:3" x14ac:dyDescent="0.2">
      <c r="C158" s="143"/>
    </row>
    <row r="159" spans="3:3" x14ac:dyDescent="0.2">
      <c r="C159" s="143"/>
    </row>
    <row r="160" spans="3:3" x14ac:dyDescent="0.2">
      <c r="C160" s="143"/>
    </row>
    <row r="161" spans="3:3" x14ac:dyDescent="0.2">
      <c r="C161" s="143"/>
    </row>
    <row r="162" spans="3:3" x14ac:dyDescent="0.2">
      <c r="C162" s="143"/>
    </row>
    <row r="163" spans="3:3" x14ac:dyDescent="0.2">
      <c r="C163" s="143"/>
    </row>
    <row r="164" spans="3:3" x14ac:dyDescent="0.2">
      <c r="C164" s="143"/>
    </row>
    <row r="165" spans="3:3" x14ac:dyDescent="0.2">
      <c r="C165" s="143"/>
    </row>
    <row r="166" spans="3:3" x14ac:dyDescent="0.2">
      <c r="C166" s="143"/>
    </row>
    <row r="167" spans="3:3" x14ac:dyDescent="0.2">
      <c r="C167" s="143"/>
    </row>
    <row r="168" spans="3:3" x14ac:dyDescent="0.2">
      <c r="C168" s="143"/>
    </row>
    <row r="169" spans="3:3" x14ac:dyDescent="0.2">
      <c r="C169" s="143"/>
    </row>
    <row r="170" spans="3:3" x14ac:dyDescent="0.2">
      <c r="C170" s="143"/>
    </row>
    <row r="171" spans="3:3" x14ac:dyDescent="0.2">
      <c r="C171" s="143"/>
    </row>
    <row r="172" spans="3:3" x14ac:dyDescent="0.2">
      <c r="C172" s="143"/>
    </row>
    <row r="173" spans="3:3" x14ac:dyDescent="0.2">
      <c r="C173" s="143"/>
    </row>
    <row r="174" spans="3:3" x14ac:dyDescent="0.2">
      <c r="C174" s="143"/>
    </row>
    <row r="175" spans="3:3" x14ac:dyDescent="0.2">
      <c r="C175" s="143"/>
    </row>
    <row r="176" spans="3:3" x14ac:dyDescent="0.2">
      <c r="C176" s="143"/>
    </row>
    <row r="177" spans="3:3" x14ac:dyDescent="0.2">
      <c r="C177" s="143"/>
    </row>
    <row r="178" spans="3:3" x14ac:dyDescent="0.2">
      <c r="C178" s="143"/>
    </row>
    <row r="179" spans="3:3" x14ac:dyDescent="0.2">
      <c r="C179" s="143"/>
    </row>
    <row r="180" spans="3:3" x14ac:dyDescent="0.2">
      <c r="C180" s="143"/>
    </row>
    <row r="181" spans="3:3" x14ac:dyDescent="0.2">
      <c r="C181" s="143"/>
    </row>
    <row r="182" spans="3:3" x14ac:dyDescent="0.2">
      <c r="C182" s="143"/>
    </row>
    <row r="183" spans="3:3" x14ac:dyDescent="0.2">
      <c r="C183" s="143"/>
    </row>
    <row r="184" spans="3:3" x14ac:dyDescent="0.2">
      <c r="C184" s="143"/>
    </row>
    <row r="185" spans="3:3" x14ac:dyDescent="0.2">
      <c r="C185" s="143"/>
    </row>
    <row r="186" spans="3:3" x14ac:dyDescent="0.2">
      <c r="C186" s="143"/>
    </row>
    <row r="187" spans="3:3" x14ac:dyDescent="0.2">
      <c r="C187" s="143"/>
    </row>
    <row r="188" spans="3:3" x14ac:dyDescent="0.2">
      <c r="C188" s="143"/>
    </row>
    <row r="189" spans="3:3" x14ac:dyDescent="0.2">
      <c r="C189" s="143"/>
    </row>
    <row r="190" spans="3:3" x14ac:dyDescent="0.2">
      <c r="C190" s="143"/>
    </row>
    <row r="191" spans="3:3" x14ac:dyDescent="0.2">
      <c r="C191" s="143"/>
    </row>
    <row r="192" spans="3:3" x14ac:dyDescent="0.2">
      <c r="C192" s="143"/>
    </row>
    <row r="193" spans="3:3" x14ac:dyDescent="0.2">
      <c r="C193" s="143"/>
    </row>
    <row r="194" spans="3:3" x14ac:dyDescent="0.2">
      <c r="C194" s="143"/>
    </row>
    <row r="195" spans="3:3" x14ac:dyDescent="0.2">
      <c r="C195" s="143"/>
    </row>
    <row r="196" spans="3:3" x14ac:dyDescent="0.2">
      <c r="C196" s="143"/>
    </row>
    <row r="197" spans="3:3" x14ac:dyDescent="0.2">
      <c r="C197" s="143"/>
    </row>
    <row r="198" spans="3:3" x14ac:dyDescent="0.2">
      <c r="C198" s="143"/>
    </row>
    <row r="199" spans="3:3" x14ac:dyDescent="0.2">
      <c r="C199" s="143"/>
    </row>
    <row r="200" spans="3:3" x14ac:dyDescent="0.2">
      <c r="C200" s="143"/>
    </row>
    <row r="201" spans="3:3" x14ac:dyDescent="0.2">
      <c r="C201" s="143"/>
    </row>
    <row r="202" spans="3:3" x14ac:dyDescent="0.2">
      <c r="C202" s="143"/>
    </row>
    <row r="203" spans="3:3" x14ac:dyDescent="0.2">
      <c r="C203" s="143"/>
    </row>
    <row r="204" spans="3:3" x14ac:dyDescent="0.2">
      <c r="C204" s="143"/>
    </row>
    <row r="205" spans="3:3" x14ac:dyDescent="0.2">
      <c r="C205" s="143"/>
    </row>
    <row r="206" spans="3:3" x14ac:dyDescent="0.2">
      <c r="C206" s="143"/>
    </row>
    <row r="207" spans="3:3" x14ac:dyDescent="0.2">
      <c r="C207" s="143"/>
    </row>
    <row r="208" spans="3:3" x14ac:dyDescent="0.2">
      <c r="C208" s="143"/>
    </row>
    <row r="209" spans="3:3" x14ac:dyDescent="0.2">
      <c r="C209" s="143"/>
    </row>
    <row r="210" spans="3:3" x14ac:dyDescent="0.2">
      <c r="C210" s="143"/>
    </row>
    <row r="211" spans="3:3" x14ac:dyDescent="0.2">
      <c r="C211" s="143"/>
    </row>
    <row r="212" spans="3:3" x14ac:dyDescent="0.2">
      <c r="C212" s="143"/>
    </row>
    <row r="213" spans="3:3" x14ac:dyDescent="0.2">
      <c r="C213" s="143"/>
    </row>
    <row r="214" spans="3:3" x14ac:dyDescent="0.2">
      <c r="C214" s="143"/>
    </row>
    <row r="215" spans="3:3" x14ac:dyDescent="0.2">
      <c r="C215" s="143"/>
    </row>
    <row r="216" spans="3:3" x14ac:dyDescent="0.2">
      <c r="C216" s="143"/>
    </row>
    <row r="217" spans="3:3" x14ac:dyDescent="0.2">
      <c r="C217" s="143"/>
    </row>
    <row r="218" spans="3:3" x14ac:dyDescent="0.2">
      <c r="C218" s="143"/>
    </row>
    <row r="219" spans="3:3" x14ac:dyDescent="0.2">
      <c r="C219" s="143"/>
    </row>
    <row r="220" spans="3:3" x14ac:dyDescent="0.2">
      <c r="C220" s="143"/>
    </row>
    <row r="221" spans="3:3" x14ac:dyDescent="0.2">
      <c r="C221" s="143"/>
    </row>
    <row r="222" spans="3:3" x14ac:dyDescent="0.2">
      <c r="C222" s="143"/>
    </row>
    <row r="223" spans="3:3" x14ac:dyDescent="0.2">
      <c r="C223" s="143"/>
    </row>
    <row r="224" spans="3:3" x14ac:dyDescent="0.2">
      <c r="C224" s="143"/>
    </row>
    <row r="225" spans="3:3" x14ac:dyDescent="0.2">
      <c r="C225" s="143"/>
    </row>
    <row r="226" spans="3:3" x14ac:dyDescent="0.2">
      <c r="C226" s="143"/>
    </row>
    <row r="227" spans="3:3" x14ac:dyDescent="0.2">
      <c r="C227" s="143"/>
    </row>
    <row r="228" spans="3:3" x14ac:dyDescent="0.2">
      <c r="C228" s="143"/>
    </row>
    <row r="229" spans="3:3" x14ac:dyDescent="0.2">
      <c r="C229" s="143"/>
    </row>
    <row r="230" spans="3:3" x14ac:dyDescent="0.2">
      <c r="C230" s="143"/>
    </row>
    <row r="231" spans="3:3" x14ac:dyDescent="0.2">
      <c r="C231" s="143"/>
    </row>
    <row r="232" spans="3:3" x14ac:dyDescent="0.2">
      <c r="C232" s="143"/>
    </row>
    <row r="233" spans="3:3" x14ac:dyDescent="0.2">
      <c r="C233" s="143"/>
    </row>
    <row r="234" spans="3:3" x14ac:dyDescent="0.2">
      <c r="C234" s="143"/>
    </row>
    <row r="235" spans="3:3" x14ac:dyDescent="0.2">
      <c r="C235" s="143"/>
    </row>
    <row r="236" spans="3:3" x14ac:dyDescent="0.2">
      <c r="C236" s="143"/>
    </row>
    <row r="237" spans="3:3" x14ac:dyDescent="0.2">
      <c r="C237" s="143"/>
    </row>
    <row r="238" spans="3:3" x14ac:dyDescent="0.2">
      <c r="C238" s="143"/>
    </row>
    <row r="239" spans="3:3" x14ac:dyDescent="0.2">
      <c r="C239" s="143"/>
    </row>
    <row r="240" spans="3:3" x14ac:dyDescent="0.2">
      <c r="C240" s="143"/>
    </row>
    <row r="241" spans="3:3" x14ac:dyDescent="0.2">
      <c r="C241" s="143"/>
    </row>
    <row r="242" spans="3:3" x14ac:dyDescent="0.2">
      <c r="C242" s="143"/>
    </row>
    <row r="243" spans="3:3" x14ac:dyDescent="0.2">
      <c r="C243" s="143"/>
    </row>
    <row r="244" spans="3:3" x14ac:dyDescent="0.2">
      <c r="C244" s="143"/>
    </row>
    <row r="245" spans="3:3" x14ac:dyDescent="0.2">
      <c r="C245" s="143"/>
    </row>
    <row r="246" spans="3:3" x14ac:dyDescent="0.2">
      <c r="C246" s="143"/>
    </row>
    <row r="247" spans="3:3" x14ac:dyDescent="0.2">
      <c r="C247" s="143"/>
    </row>
    <row r="248" spans="3:3" x14ac:dyDescent="0.2">
      <c r="C248" s="143"/>
    </row>
    <row r="249" spans="3:3" x14ac:dyDescent="0.2">
      <c r="C249" s="143"/>
    </row>
    <row r="250" spans="3:3" x14ac:dyDescent="0.2">
      <c r="C250" s="143"/>
    </row>
    <row r="251" spans="3:3" x14ac:dyDescent="0.2">
      <c r="C251" s="143"/>
    </row>
    <row r="252" spans="3:3" x14ac:dyDescent="0.2">
      <c r="C252" s="143"/>
    </row>
    <row r="253" spans="3:3" x14ac:dyDescent="0.2">
      <c r="C253" s="143"/>
    </row>
    <row r="254" spans="3:3" x14ac:dyDescent="0.2">
      <c r="C254" s="143"/>
    </row>
    <row r="255" spans="3:3" x14ac:dyDescent="0.2">
      <c r="C255" s="143"/>
    </row>
    <row r="256" spans="3:3" x14ac:dyDescent="0.2">
      <c r="C256" s="143"/>
    </row>
    <row r="257" spans="3:3" x14ac:dyDescent="0.2">
      <c r="C257" s="143"/>
    </row>
    <row r="258" spans="3:3" x14ac:dyDescent="0.2">
      <c r="C258" s="143"/>
    </row>
    <row r="259" spans="3:3" x14ac:dyDescent="0.2">
      <c r="C259" s="143"/>
    </row>
    <row r="260" spans="3:3" x14ac:dyDescent="0.2">
      <c r="C260" s="143"/>
    </row>
    <row r="261" spans="3:3" x14ac:dyDescent="0.2">
      <c r="C261" s="143"/>
    </row>
    <row r="262" spans="3:3" x14ac:dyDescent="0.2">
      <c r="C262" s="143"/>
    </row>
    <row r="263" spans="3:3" x14ac:dyDescent="0.2">
      <c r="C263" s="143"/>
    </row>
    <row r="264" spans="3:3" x14ac:dyDescent="0.2">
      <c r="C264" s="143"/>
    </row>
    <row r="265" spans="3:3" x14ac:dyDescent="0.2">
      <c r="C265" s="143"/>
    </row>
    <row r="266" spans="3:3" x14ac:dyDescent="0.2">
      <c r="C266" s="143"/>
    </row>
    <row r="267" spans="3:3" x14ac:dyDescent="0.2">
      <c r="C267" s="143"/>
    </row>
    <row r="268" spans="3:3" x14ac:dyDescent="0.2">
      <c r="C268" s="143"/>
    </row>
    <row r="269" spans="3:3" x14ac:dyDescent="0.2">
      <c r="C269" s="143"/>
    </row>
    <row r="270" spans="3:3" x14ac:dyDescent="0.2">
      <c r="C270" s="143"/>
    </row>
    <row r="271" spans="3:3" x14ac:dyDescent="0.2">
      <c r="C271" s="143"/>
    </row>
    <row r="272" spans="3:3" x14ac:dyDescent="0.2">
      <c r="C272" s="143"/>
    </row>
    <row r="273" spans="3:3" x14ac:dyDescent="0.2">
      <c r="C273" s="143"/>
    </row>
    <row r="274" spans="3:3" x14ac:dyDescent="0.2">
      <c r="C274" s="143"/>
    </row>
    <row r="275" spans="3:3" x14ac:dyDescent="0.2">
      <c r="C275" s="143"/>
    </row>
    <row r="276" spans="3:3" x14ac:dyDescent="0.2">
      <c r="C276" s="143"/>
    </row>
    <row r="277" spans="3:3" x14ac:dyDescent="0.2">
      <c r="C277" s="143"/>
    </row>
    <row r="278" spans="3:3" x14ac:dyDescent="0.2">
      <c r="C278" s="143"/>
    </row>
    <row r="279" spans="3:3" x14ac:dyDescent="0.2">
      <c r="C279" s="143"/>
    </row>
    <row r="280" spans="3:3" x14ac:dyDescent="0.2">
      <c r="C280" s="143"/>
    </row>
    <row r="281" spans="3:3" x14ac:dyDescent="0.2">
      <c r="C281" s="143"/>
    </row>
    <row r="282" spans="3:3" x14ac:dyDescent="0.2">
      <c r="C282" s="143"/>
    </row>
    <row r="283" spans="3:3" x14ac:dyDescent="0.2">
      <c r="C283" s="143"/>
    </row>
    <row r="284" spans="3:3" x14ac:dyDescent="0.2">
      <c r="C284" s="143"/>
    </row>
    <row r="285" spans="3:3" x14ac:dyDescent="0.2">
      <c r="C285" s="143"/>
    </row>
    <row r="286" spans="3:3" x14ac:dyDescent="0.2">
      <c r="C286" s="143"/>
    </row>
    <row r="287" spans="3:3" x14ac:dyDescent="0.2">
      <c r="C287" s="143"/>
    </row>
    <row r="288" spans="3:3" x14ac:dyDescent="0.2">
      <c r="C288" s="143"/>
    </row>
    <row r="289" spans="3:3" x14ac:dyDescent="0.2">
      <c r="C289" s="143"/>
    </row>
    <row r="290" spans="3:3" x14ac:dyDescent="0.2">
      <c r="C290" s="143"/>
    </row>
    <row r="291" spans="3:3" x14ac:dyDescent="0.2">
      <c r="C291" s="143"/>
    </row>
    <row r="292" spans="3:3" x14ac:dyDescent="0.2">
      <c r="C292" s="143"/>
    </row>
    <row r="293" spans="3:3" x14ac:dyDescent="0.2">
      <c r="C293" s="143"/>
    </row>
    <row r="294" spans="3:3" x14ac:dyDescent="0.2">
      <c r="C294" s="143"/>
    </row>
    <row r="295" spans="3:3" x14ac:dyDescent="0.2">
      <c r="C295" s="143"/>
    </row>
    <row r="296" spans="3:3" x14ac:dyDescent="0.2">
      <c r="C296" s="143"/>
    </row>
    <row r="297" spans="3:3" x14ac:dyDescent="0.2">
      <c r="C297" s="143"/>
    </row>
    <row r="298" spans="3:3" x14ac:dyDescent="0.2">
      <c r="C298" s="143"/>
    </row>
    <row r="299" spans="3:3" x14ac:dyDescent="0.2">
      <c r="C299" s="143"/>
    </row>
    <row r="300" spans="3:3" x14ac:dyDescent="0.2">
      <c r="C300" s="143"/>
    </row>
    <row r="301" spans="3:3" x14ac:dyDescent="0.2">
      <c r="C301" s="143"/>
    </row>
    <row r="302" spans="3:3" x14ac:dyDescent="0.2">
      <c r="C302" s="143"/>
    </row>
    <row r="303" spans="3:3" x14ac:dyDescent="0.2">
      <c r="C303" s="143"/>
    </row>
    <row r="304" spans="3:3" x14ac:dyDescent="0.2">
      <c r="C304" s="143"/>
    </row>
    <row r="305" spans="3:3" x14ac:dyDescent="0.2">
      <c r="C305" s="143"/>
    </row>
    <row r="306" spans="3:3" x14ac:dyDescent="0.2">
      <c r="C306" s="143"/>
    </row>
    <row r="307" spans="3:3" x14ac:dyDescent="0.2">
      <c r="C307" s="143"/>
    </row>
    <row r="308" spans="3:3" x14ac:dyDescent="0.2">
      <c r="C308" s="143"/>
    </row>
    <row r="309" spans="3:3" x14ac:dyDescent="0.2">
      <c r="C309" s="143"/>
    </row>
    <row r="310" spans="3:3" x14ac:dyDescent="0.2">
      <c r="C310" s="143"/>
    </row>
    <row r="311" spans="3:3" x14ac:dyDescent="0.2">
      <c r="C311" s="143"/>
    </row>
    <row r="312" spans="3:3" x14ac:dyDescent="0.2">
      <c r="C312" s="143"/>
    </row>
    <row r="313" spans="3:3" x14ac:dyDescent="0.2">
      <c r="C313" s="143"/>
    </row>
    <row r="314" spans="3:3" x14ac:dyDescent="0.2">
      <c r="C314" s="143"/>
    </row>
    <row r="315" spans="3:3" x14ac:dyDescent="0.2">
      <c r="C315" s="143"/>
    </row>
    <row r="316" spans="3:3" x14ac:dyDescent="0.2">
      <c r="C316" s="143"/>
    </row>
    <row r="317" spans="3:3" x14ac:dyDescent="0.2">
      <c r="C317" s="143"/>
    </row>
    <row r="318" spans="3:3" x14ac:dyDescent="0.2">
      <c r="C318" s="143"/>
    </row>
    <row r="319" spans="3:3" x14ac:dyDescent="0.2">
      <c r="C319" s="143"/>
    </row>
    <row r="320" spans="3:3" x14ac:dyDescent="0.2">
      <c r="C320" s="143"/>
    </row>
    <row r="321" spans="3:3" x14ac:dyDescent="0.2">
      <c r="C321" s="143"/>
    </row>
    <row r="322" spans="3:3" x14ac:dyDescent="0.2">
      <c r="C322" s="143"/>
    </row>
    <row r="323" spans="3:3" x14ac:dyDescent="0.2">
      <c r="C323" s="143"/>
    </row>
    <row r="324" spans="3:3" x14ac:dyDescent="0.2">
      <c r="C324" s="143"/>
    </row>
    <row r="325" spans="3:3" x14ac:dyDescent="0.2">
      <c r="C325" s="143"/>
    </row>
    <row r="326" spans="3:3" x14ac:dyDescent="0.2">
      <c r="C326" s="143"/>
    </row>
    <row r="327" spans="3:3" x14ac:dyDescent="0.2">
      <c r="C327" s="143"/>
    </row>
    <row r="328" spans="3:3" x14ac:dyDescent="0.2">
      <c r="C328" s="143"/>
    </row>
    <row r="329" spans="3:3" x14ac:dyDescent="0.2">
      <c r="C329" s="143"/>
    </row>
    <row r="330" spans="3:3" x14ac:dyDescent="0.2">
      <c r="C330" s="143"/>
    </row>
    <row r="331" spans="3:3" x14ac:dyDescent="0.2">
      <c r="C331" s="143"/>
    </row>
    <row r="332" spans="3:3" x14ac:dyDescent="0.2">
      <c r="C332" s="143"/>
    </row>
    <row r="333" spans="3:3" x14ac:dyDescent="0.2">
      <c r="C333" s="143"/>
    </row>
    <row r="334" spans="3:3" x14ac:dyDescent="0.2">
      <c r="C334" s="143"/>
    </row>
    <row r="335" spans="3:3" x14ac:dyDescent="0.2">
      <c r="C335" s="143"/>
    </row>
    <row r="336" spans="3:3" x14ac:dyDescent="0.2">
      <c r="C336" s="143"/>
    </row>
    <row r="337" spans="3:3" x14ac:dyDescent="0.2">
      <c r="C337" s="143"/>
    </row>
    <row r="338" spans="3:3" x14ac:dyDescent="0.2">
      <c r="C338" s="143"/>
    </row>
    <row r="339" spans="3:3" x14ac:dyDescent="0.2">
      <c r="C339" s="143"/>
    </row>
    <row r="340" spans="3:3" x14ac:dyDescent="0.2">
      <c r="C340" s="143"/>
    </row>
    <row r="341" spans="3:3" x14ac:dyDescent="0.2">
      <c r="C341" s="143"/>
    </row>
    <row r="342" spans="3:3" x14ac:dyDescent="0.2">
      <c r="C342" s="143"/>
    </row>
    <row r="343" spans="3:3" x14ac:dyDescent="0.2">
      <c r="C343" s="143"/>
    </row>
    <row r="344" spans="3:3" x14ac:dyDescent="0.2">
      <c r="C344" s="143"/>
    </row>
    <row r="345" spans="3:3" x14ac:dyDescent="0.2">
      <c r="C345" s="143"/>
    </row>
    <row r="346" spans="3:3" x14ac:dyDescent="0.2">
      <c r="C346" s="143"/>
    </row>
    <row r="347" spans="3:3" x14ac:dyDescent="0.2">
      <c r="C347" s="143"/>
    </row>
    <row r="348" spans="3:3" x14ac:dyDescent="0.2">
      <c r="C348" s="143"/>
    </row>
    <row r="349" spans="3:3" x14ac:dyDescent="0.2">
      <c r="C349" s="143"/>
    </row>
    <row r="350" spans="3:3" x14ac:dyDescent="0.2">
      <c r="C350" s="143"/>
    </row>
    <row r="351" spans="3:3" x14ac:dyDescent="0.2">
      <c r="C351" s="143"/>
    </row>
    <row r="352" spans="3:3" x14ac:dyDescent="0.2">
      <c r="C352" s="143"/>
    </row>
    <row r="353" spans="3:3" x14ac:dyDescent="0.2">
      <c r="C353" s="143"/>
    </row>
    <row r="354" spans="3:3" x14ac:dyDescent="0.2">
      <c r="C354" s="143"/>
    </row>
    <row r="355" spans="3:3" x14ac:dyDescent="0.2">
      <c r="C355" s="143"/>
    </row>
    <row r="356" spans="3:3" x14ac:dyDescent="0.2">
      <c r="C356" s="143"/>
    </row>
    <row r="357" spans="3:3" x14ac:dyDescent="0.2">
      <c r="C357" s="143"/>
    </row>
    <row r="358" spans="3:3" x14ac:dyDescent="0.2">
      <c r="C358" s="143"/>
    </row>
    <row r="359" spans="3:3" x14ac:dyDescent="0.2">
      <c r="C359" s="143"/>
    </row>
    <row r="360" spans="3:3" x14ac:dyDescent="0.2">
      <c r="C360" s="143"/>
    </row>
    <row r="361" spans="3:3" x14ac:dyDescent="0.2">
      <c r="C361" s="143"/>
    </row>
    <row r="362" spans="3:3" x14ac:dyDescent="0.2">
      <c r="C362" s="143"/>
    </row>
    <row r="363" spans="3:3" x14ac:dyDescent="0.2">
      <c r="C363" s="143"/>
    </row>
    <row r="364" spans="3:3" x14ac:dyDescent="0.2">
      <c r="C364" s="143"/>
    </row>
    <row r="365" spans="3:3" x14ac:dyDescent="0.2">
      <c r="C365" s="143"/>
    </row>
    <row r="366" spans="3:3" x14ac:dyDescent="0.2">
      <c r="C366" s="143"/>
    </row>
    <row r="367" spans="3:3" x14ac:dyDescent="0.2">
      <c r="C367" s="143"/>
    </row>
    <row r="368" spans="3:3" x14ac:dyDescent="0.2">
      <c r="C368" s="143"/>
    </row>
    <row r="369" spans="3:3" x14ac:dyDescent="0.2">
      <c r="C369" s="143"/>
    </row>
    <row r="370" spans="3:3" x14ac:dyDescent="0.2">
      <c r="C370" s="143"/>
    </row>
    <row r="371" spans="3:3" x14ac:dyDescent="0.2">
      <c r="C371" s="143"/>
    </row>
    <row r="372" spans="3:3" x14ac:dyDescent="0.2">
      <c r="C372" s="143"/>
    </row>
    <row r="373" spans="3:3" x14ac:dyDescent="0.2">
      <c r="C373" s="143"/>
    </row>
    <row r="374" spans="3:3" x14ac:dyDescent="0.2">
      <c r="C374" s="143"/>
    </row>
    <row r="375" spans="3:3" x14ac:dyDescent="0.2">
      <c r="C375" s="143"/>
    </row>
    <row r="376" spans="3:3" x14ac:dyDescent="0.2">
      <c r="C376" s="143"/>
    </row>
    <row r="377" spans="3:3" x14ac:dyDescent="0.2">
      <c r="C377" s="143"/>
    </row>
    <row r="378" spans="3:3" x14ac:dyDescent="0.2">
      <c r="C378" s="143"/>
    </row>
    <row r="379" spans="3:3" x14ac:dyDescent="0.2">
      <c r="C379" s="143"/>
    </row>
    <row r="380" spans="3:3" x14ac:dyDescent="0.2">
      <c r="C380" s="143"/>
    </row>
    <row r="381" spans="3:3" x14ac:dyDescent="0.2">
      <c r="C381" s="143"/>
    </row>
    <row r="382" spans="3:3" x14ac:dyDescent="0.2">
      <c r="C382" s="143"/>
    </row>
    <row r="383" spans="3:3" x14ac:dyDescent="0.2">
      <c r="C383" s="143"/>
    </row>
    <row r="384" spans="3:3" x14ac:dyDescent="0.2">
      <c r="C384" s="143"/>
    </row>
    <row r="385" spans="3:3" x14ac:dyDescent="0.2">
      <c r="C385" s="143"/>
    </row>
    <row r="386" spans="3:3" x14ac:dyDescent="0.2">
      <c r="C386" s="143"/>
    </row>
    <row r="387" spans="3:3" x14ac:dyDescent="0.2">
      <c r="C387" s="143"/>
    </row>
    <row r="388" spans="3:3" x14ac:dyDescent="0.2">
      <c r="C388" s="143"/>
    </row>
    <row r="389" spans="3:3" x14ac:dyDescent="0.2">
      <c r="C389" s="143"/>
    </row>
    <row r="390" spans="3:3" x14ac:dyDescent="0.2">
      <c r="C390" s="143"/>
    </row>
    <row r="391" spans="3:3" x14ac:dyDescent="0.2">
      <c r="C391" s="143"/>
    </row>
    <row r="392" spans="3:3" x14ac:dyDescent="0.2">
      <c r="C392" s="143"/>
    </row>
    <row r="393" spans="3:3" x14ac:dyDescent="0.2">
      <c r="C393" s="143"/>
    </row>
    <row r="394" spans="3:3" x14ac:dyDescent="0.2">
      <c r="C394" s="143"/>
    </row>
    <row r="395" spans="3:3" x14ac:dyDescent="0.2">
      <c r="C395" s="143"/>
    </row>
    <row r="396" spans="3:3" x14ac:dyDescent="0.2">
      <c r="C396" s="143"/>
    </row>
    <row r="397" spans="3:3" x14ac:dyDescent="0.2">
      <c r="C397" s="143"/>
    </row>
    <row r="398" spans="3:3" x14ac:dyDescent="0.2">
      <c r="C398" s="143"/>
    </row>
    <row r="399" spans="3:3" x14ac:dyDescent="0.2">
      <c r="C399" s="143"/>
    </row>
    <row r="400" spans="3:3" x14ac:dyDescent="0.2">
      <c r="C400" s="143"/>
    </row>
    <row r="401" spans="3:3" x14ac:dyDescent="0.2">
      <c r="C401" s="143"/>
    </row>
    <row r="402" spans="3:3" x14ac:dyDescent="0.2">
      <c r="C402" s="143"/>
    </row>
    <row r="403" spans="3:3" x14ac:dyDescent="0.2">
      <c r="C403" s="143"/>
    </row>
    <row r="404" spans="3:3" x14ac:dyDescent="0.2">
      <c r="C404" s="143"/>
    </row>
    <row r="405" spans="3:3" x14ac:dyDescent="0.2">
      <c r="C405" s="143"/>
    </row>
    <row r="406" spans="3:3" x14ac:dyDescent="0.2">
      <c r="C406" s="143"/>
    </row>
    <row r="407" spans="3:3" x14ac:dyDescent="0.2">
      <c r="C407" s="143"/>
    </row>
    <row r="408" spans="3:3" x14ac:dyDescent="0.2">
      <c r="C408" s="143"/>
    </row>
    <row r="409" spans="3:3" x14ac:dyDescent="0.2">
      <c r="C409" s="143"/>
    </row>
    <row r="410" spans="3:3" x14ac:dyDescent="0.2">
      <c r="C410" s="143"/>
    </row>
    <row r="411" spans="3:3" x14ac:dyDescent="0.2">
      <c r="C411" s="143"/>
    </row>
    <row r="412" spans="3:3" x14ac:dyDescent="0.2">
      <c r="C412" s="143"/>
    </row>
    <row r="413" spans="3:3" x14ac:dyDescent="0.2">
      <c r="C413" s="143"/>
    </row>
    <row r="414" spans="3:3" x14ac:dyDescent="0.2">
      <c r="C414" s="143"/>
    </row>
    <row r="415" spans="3:3" x14ac:dyDescent="0.2">
      <c r="C415" s="143"/>
    </row>
    <row r="416" spans="3:3" x14ac:dyDescent="0.2">
      <c r="C416" s="143"/>
    </row>
    <row r="417" spans="3:3" x14ac:dyDescent="0.2">
      <c r="C417" s="143"/>
    </row>
    <row r="418" spans="3:3" x14ac:dyDescent="0.2">
      <c r="C418" s="143"/>
    </row>
    <row r="419" spans="3:3" x14ac:dyDescent="0.2">
      <c r="C419" s="143"/>
    </row>
    <row r="420" spans="3:3" x14ac:dyDescent="0.2">
      <c r="C420" s="143"/>
    </row>
    <row r="421" spans="3:3" x14ac:dyDescent="0.2">
      <c r="C421" s="143"/>
    </row>
    <row r="422" spans="3:3" x14ac:dyDescent="0.2">
      <c r="C422" s="143"/>
    </row>
    <row r="423" spans="3:3" x14ac:dyDescent="0.2">
      <c r="C423" s="143"/>
    </row>
    <row r="424" spans="3:3" x14ac:dyDescent="0.2">
      <c r="C424" s="143"/>
    </row>
    <row r="425" spans="3:3" x14ac:dyDescent="0.2">
      <c r="C425" s="143"/>
    </row>
    <row r="426" spans="3:3" x14ac:dyDescent="0.2">
      <c r="C426" s="143"/>
    </row>
    <row r="427" spans="3:3" x14ac:dyDescent="0.2">
      <c r="C427" s="143"/>
    </row>
    <row r="428" spans="3:3" x14ac:dyDescent="0.2">
      <c r="C428" s="143"/>
    </row>
    <row r="429" spans="3:3" x14ac:dyDescent="0.2">
      <c r="C429" s="143"/>
    </row>
    <row r="430" spans="3:3" x14ac:dyDescent="0.2">
      <c r="C430" s="143"/>
    </row>
    <row r="431" spans="3:3" x14ac:dyDescent="0.2">
      <c r="C431" s="143"/>
    </row>
    <row r="432" spans="3:3" x14ac:dyDescent="0.2">
      <c r="C432" s="143"/>
    </row>
    <row r="433" spans="3:3" x14ac:dyDescent="0.2">
      <c r="C433" s="143"/>
    </row>
    <row r="434" spans="3:3" x14ac:dyDescent="0.2">
      <c r="C434" s="143"/>
    </row>
    <row r="435" spans="3:3" x14ac:dyDescent="0.2">
      <c r="C435" s="143"/>
    </row>
    <row r="436" spans="3:3" x14ac:dyDescent="0.2">
      <c r="C436" s="143"/>
    </row>
    <row r="437" spans="3:3" x14ac:dyDescent="0.2">
      <c r="C437" s="143"/>
    </row>
    <row r="438" spans="3:3" x14ac:dyDescent="0.2">
      <c r="C438" s="143"/>
    </row>
    <row r="439" spans="3:3" x14ac:dyDescent="0.2">
      <c r="C439" s="143"/>
    </row>
    <row r="440" spans="3:3" x14ac:dyDescent="0.2">
      <c r="C440" s="143"/>
    </row>
    <row r="441" spans="3:3" x14ac:dyDescent="0.2">
      <c r="C441" s="143"/>
    </row>
    <row r="442" spans="3:3" x14ac:dyDescent="0.2">
      <c r="C442" s="143"/>
    </row>
    <row r="443" spans="3:3" x14ac:dyDescent="0.2">
      <c r="C443" s="143"/>
    </row>
    <row r="444" spans="3:3" x14ac:dyDescent="0.2">
      <c r="C444" s="143"/>
    </row>
    <row r="445" spans="3:3" x14ac:dyDescent="0.2">
      <c r="C445" s="143"/>
    </row>
    <row r="446" spans="3:3" x14ac:dyDescent="0.2">
      <c r="C446" s="143"/>
    </row>
    <row r="447" spans="3:3" x14ac:dyDescent="0.2">
      <c r="C447" s="143"/>
    </row>
    <row r="448" spans="3:3" x14ac:dyDescent="0.2">
      <c r="C448" s="143"/>
    </row>
    <row r="449" spans="3:3" x14ac:dyDescent="0.2">
      <c r="C449" s="143"/>
    </row>
    <row r="450" spans="3:3" x14ac:dyDescent="0.2">
      <c r="C450" s="143"/>
    </row>
    <row r="451" spans="3:3" x14ac:dyDescent="0.2">
      <c r="C451" s="143"/>
    </row>
    <row r="452" spans="3:3" x14ac:dyDescent="0.2">
      <c r="C452" s="143"/>
    </row>
    <row r="453" spans="3:3" x14ac:dyDescent="0.2">
      <c r="C453" s="143"/>
    </row>
    <row r="454" spans="3:3" x14ac:dyDescent="0.2">
      <c r="C454" s="143"/>
    </row>
    <row r="455" spans="3:3" x14ac:dyDescent="0.2">
      <c r="C455" s="143"/>
    </row>
    <row r="456" spans="3:3" x14ac:dyDescent="0.2">
      <c r="C456" s="143"/>
    </row>
    <row r="457" spans="3:3" x14ac:dyDescent="0.2">
      <c r="C457" s="143"/>
    </row>
    <row r="458" spans="3:3" x14ac:dyDescent="0.2">
      <c r="C458" s="143"/>
    </row>
    <row r="459" spans="3:3" x14ac:dyDescent="0.2">
      <c r="C459" s="143"/>
    </row>
    <row r="460" spans="3:3" x14ac:dyDescent="0.2">
      <c r="C460" s="143"/>
    </row>
    <row r="461" spans="3:3" x14ac:dyDescent="0.2">
      <c r="C461" s="143"/>
    </row>
    <row r="462" spans="3:3" x14ac:dyDescent="0.2">
      <c r="C462" s="143"/>
    </row>
    <row r="463" spans="3:3" x14ac:dyDescent="0.2">
      <c r="C463" s="143"/>
    </row>
    <row r="464" spans="3:3" x14ac:dyDescent="0.2">
      <c r="C464" s="143"/>
    </row>
    <row r="465" spans="3:3" x14ac:dyDescent="0.2">
      <c r="C465" s="143"/>
    </row>
    <row r="466" spans="3:3" x14ac:dyDescent="0.2">
      <c r="C466" s="143"/>
    </row>
    <row r="467" spans="3:3" x14ac:dyDescent="0.2">
      <c r="C467" s="143"/>
    </row>
    <row r="468" spans="3:3" x14ac:dyDescent="0.2">
      <c r="C468" s="143"/>
    </row>
    <row r="469" spans="3:3" x14ac:dyDescent="0.2">
      <c r="C469" s="143"/>
    </row>
    <row r="470" spans="3:3" x14ac:dyDescent="0.2">
      <c r="C470" s="143"/>
    </row>
    <row r="471" spans="3:3" x14ac:dyDescent="0.2">
      <c r="C471" s="143"/>
    </row>
    <row r="472" spans="3:3" x14ac:dyDescent="0.2">
      <c r="C472" s="143"/>
    </row>
    <row r="473" spans="3:3" x14ac:dyDescent="0.2">
      <c r="C473" s="143"/>
    </row>
    <row r="474" spans="3:3" x14ac:dyDescent="0.2">
      <c r="C474" s="143"/>
    </row>
    <row r="475" spans="3:3" x14ac:dyDescent="0.2">
      <c r="C475" s="143"/>
    </row>
    <row r="476" spans="3:3" x14ac:dyDescent="0.2">
      <c r="C476" s="143"/>
    </row>
    <row r="477" spans="3:3" x14ac:dyDescent="0.2">
      <c r="C477" s="143"/>
    </row>
    <row r="478" spans="3:3" x14ac:dyDescent="0.2">
      <c r="C478" s="143"/>
    </row>
    <row r="479" spans="3:3" x14ac:dyDescent="0.2">
      <c r="C479" s="143"/>
    </row>
    <row r="480" spans="3:3" x14ac:dyDescent="0.2">
      <c r="C480" s="143"/>
    </row>
    <row r="481" spans="3:3" x14ac:dyDescent="0.2">
      <c r="C481" s="143"/>
    </row>
    <row r="482" spans="3:3" x14ac:dyDescent="0.2">
      <c r="C482" s="143"/>
    </row>
    <row r="483" spans="3:3" x14ac:dyDescent="0.2">
      <c r="C483" s="143"/>
    </row>
    <row r="484" spans="3:3" x14ac:dyDescent="0.2">
      <c r="C484" s="143"/>
    </row>
    <row r="485" spans="3:3" x14ac:dyDescent="0.2">
      <c r="C485" s="143"/>
    </row>
    <row r="486" spans="3:3" x14ac:dyDescent="0.2">
      <c r="C486" s="143"/>
    </row>
    <row r="487" spans="3:3" x14ac:dyDescent="0.2">
      <c r="C487" s="143"/>
    </row>
    <row r="488" spans="3:3" x14ac:dyDescent="0.2">
      <c r="C488" s="143"/>
    </row>
    <row r="489" spans="3:3" x14ac:dyDescent="0.2">
      <c r="C489" s="143"/>
    </row>
    <row r="490" spans="3:3" x14ac:dyDescent="0.2">
      <c r="C490" s="143"/>
    </row>
    <row r="491" spans="3:3" x14ac:dyDescent="0.2">
      <c r="C491" s="143"/>
    </row>
    <row r="492" spans="3:3" x14ac:dyDescent="0.2">
      <c r="C492" s="143"/>
    </row>
    <row r="493" spans="3:3" x14ac:dyDescent="0.2">
      <c r="C493" s="143"/>
    </row>
    <row r="494" spans="3:3" x14ac:dyDescent="0.2">
      <c r="C494" s="143"/>
    </row>
    <row r="495" spans="3:3" x14ac:dyDescent="0.2">
      <c r="C495" s="143"/>
    </row>
    <row r="496" spans="3:3" x14ac:dyDescent="0.2">
      <c r="C496" s="143"/>
    </row>
    <row r="497" spans="3:3" x14ac:dyDescent="0.2">
      <c r="C497" s="143"/>
    </row>
    <row r="498" spans="3:3" x14ac:dyDescent="0.2">
      <c r="C498" s="143"/>
    </row>
    <row r="499" spans="3:3" x14ac:dyDescent="0.2">
      <c r="C499" s="143"/>
    </row>
    <row r="500" spans="3:3" x14ac:dyDescent="0.2">
      <c r="C500" s="143"/>
    </row>
    <row r="501" spans="3:3" x14ac:dyDescent="0.2">
      <c r="C501" s="143"/>
    </row>
    <row r="502" spans="3:3" x14ac:dyDescent="0.2">
      <c r="C502" s="143"/>
    </row>
    <row r="503" spans="3:3" x14ac:dyDescent="0.2">
      <c r="C503" s="143"/>
    </row>
    <row r="504" spans="3:3" x14ac:dyDescent="0.2">
      <c r="C504" s="143"/>
    </row>
    <row r="505" spans="3:3" x14ac:dyDescent="0.2">
      <c r="C505" s="143"/>
    </row>
    <row r="506" spans="3:3" x14ac:dyDescent="0.2">
      <c r="C506" s="143"/>
    </row>
    <row r="507" spans="3:3" x14ac:dyDescent="0.2">
      <c r="C507" s="143"/>
    </row>
    <row r="508" spans="3:3" x14ac:dyDescent="0.2">
      <c r="C508" s="143"/>
    </row>
    <row r="509" spans="3:3" x14ac:dyDescent="0.2">
      <c r="C509" s="143"/>
    </row>
    <row r="510" spans="3:3" x14ac:dyDescent="0.2">
      <c r="C510" s="143"/>
    </row>
    <row r="511" spans="3:3" x14ac:dyDescent="0.2">
      <c r="C511" s="143"/>
    </row>
    <row r="512" spans="3:3" x14ac:dyDescent="0.2">
      <c r="C512" s="143"/>
    </row>
    <row r="513" spans="3:3" x14ac:dyDescent="0.2">
      <c r="C513" s="143"/>
    </row>
    <row r="514" spans="3:3" x14ac:dyDescent="0.2">
      <c r="C514" s="143"/>
    </row>
    <row r="515" spans="3:3" x14ac:dyDescent="0.2">
      <c r="C515" s="143"/>
    </row>
    <row r="516" spans="3:3" x14ac:dyDescent="0.2">
      <c r="C516" s="143"/>
    </row>
    <row r="517" spans="3:3" x14ac:dyDescent="0.2">
      <c r="C517" s="143"/>
    </row>
    <row r="518" spans="3:3" x14ac:dyDescent="0.2">
      <c r="C518" s="143"/>
    </row>
    <row r="519" spans="3:3" x14ac:dyDescent="0.2">
      <c r="C519" s="143"/>
    </row>
    <row r="520" spans="3:3" x14ac:dyDescent="0.2">
      <c r="C520" s="143"/>
    </row>
    <row r="521" spans="3:3" x14ac:dyDescent="0.2">
      <c r="C521" s="143"/>
    </row>
    <row r="522" spans="3:3" x14ac:dyDescent="0.2">
      <c r="C522" s="143"/>
    </row>
    <row r="523" spans="3:3" x14ac:dyDescent="0.2">
      <c r="C523" s="143"/>
    </row>
    <row r="524" spans="3:3" x14ac:dyDescent="0.2">
      <c r="C524" s="143"/>
    </row>
    <row r="525" spans="3:3" x14ac:dyDescent="0.2">
      <c r="C525" s="143"/>
    </row>
    <row r="526" spans="3:3" x14ac:dyDescent="0.2">
      <c r="C526" s="143"/>
    </row>
    <row r="527" spans="3:3" x14ac:dyDescent="0.2">
      <c r="C527" s="143"/>
    </row>
    <row r="528" spans="3:3" x14ac:dyDescent="0.2">
      <c r="C528" s="143"/>
    </row>
    <row r="529" spans="3:3" x14ac:dyDescent="0.2">
      <c r="C529" s="143"/>
    </row>
    <row r="530" spans="3:3" x14ac:dyDescent="0.2">
      <c r="C530" s="143"/>
    </row>
    <row r="531" spans="3:3" x14ac:dyDescent="0.2">
      <c r="C531" s="143"/>
    </row>
    <row r="532" spans="3:3" x14ac:dyDescent="0.2">
      <c r="C532" s="143"/>
    </row>
    <row r="533" spans="3:3" x14ac:dyDescent="0.2">
      <c r="C533" s="143"/>
    </row>
    <row r="534" spans="3:3" x14ac:dyDescent="0.2">
      <c r="C534" s="143"/>
    </row>
    <row r="535" spans="3:3" x14ac:dyDescent="0.2">
      <c r="C535" s="143"/>
    </row>
    <row r="536" spans="3:3" x14ac:dyDescent="0.2">
      <c r="C536" s="143"/>
    </row>
    <row r="537" spans="3:3" x14ac:dyDescent="0.2">
      <c r="C537" s="143"/>
    </row>
    <row r="538" spans="3:3" x14ac:dyDescent="0.2">
      <c r="C538" s="143"/>
    </row>
    <row r="539" spans="3:3" x14ac:dyDescent="0.2">
      <c r="C539" s="143"/>
    </row>
    <row r="540" spans="3:3" x14ac:dyDescent="0.2">
      <c r="C540" s="143"/>
    </row>
    <row r="541" spans="3:3" x14ac:dyDescent="0.2">
      <c r="C541" s="143"/>
    </row>
    <row r="542" spans="3:3" x14ac:dyDescent="0.2">
      <c r="C542" s="143"/>
    </row>
    <row r="543" spans="3:3" x14ac:dyDescent="0.2">
      <c r="C543" s="143"/>
    </row>
    <row r="544" spans="3:3" x14ac:dyDescent="0.2">
      <c r="C544" s="143"/>
    </row>
    <row r="545" spans="3:3" x14ac:dyDescent="0.2">
      <c r="C545" s="143"/>
    </row>
    <row r="546" spans="3:3" x14ac:dyDescent="0.2">
      <c r="C546" s="143"/>
    </row>
    <row r="547" spans="3:3" x14ac:dyDescent="0.2">
      <c r="C547" s="143"/>
    </row>
    <row r="548" spans="3:3" x14ac:dyDescent="0.2">
      <c r="C548" s="143"/>
    </row>
    <row r="549" spans="3:3" x14ac:dyDescent="0.2">
      <c r="C549" s="143"/>
    </row>
    <row r="550" spans="3:3" x14ac:dyDescent="0.2">
      <c r="C550" s="143"/>
    </row>
    <row r="551" spans="3:3" x14ac:dyDescent="0.2">
      <c r="C551" s="143"/>
    </row>
    <row r="552" spans="3:3" x14ac:dyDescent="0.2">
      <c r="C552" s="143"/>
    </row>
    <row r="553" spans="3:3" x14ac:dyDescent="0.2">
      <c r="C553" s="143"/>
    </row>
    <row r="554" spans="3:3" x14ac:dyDescent="0.2">
      <c r="C554" s="143"/>
    </row>
    <row r="555" spans="3:3" x14ac:dyDescent="0.2">
      <c r="C555" s="143"/>
    </row>
    <row r="556" spans="3:3" x14ac:dyDescent="0.2">
      <c r="C556" s="143"/>
    </row>
    <row r="557" spans="3:3" x14ac:dyDescent="0.2">
      <c r="C557" s="143"/>
    </row>
    <row r="558" spans="3:3" x14ac:dyDescent="0.2">
      <c r="C558" s="143"/>
    </row>
    <row r="559" spans="3:3" x14ac:dyDescent="0.2">
      <c r="C559" s="143"/>
    </row>
    <row r="560" spans="3:3" x14ac:dyDescent="0.2">
      <c r="C560" s="143"/>
    </row>
    <row r="561" spans="3:3" x14ac:dyDescent="0.2">
      <c r="C561" s="143"/>
    </row>
    <row r="562" spans="3:3" x14ac:dyDescent="0.2">
      <c r="C562" s="143"/>
    </row>
    <row r="563" spans="3:3" x14ac:dyDescent="0.2">
      <c r="C563" s="143"/>
    </row>
    <row r="564" spans="3:3" x14ac:dyDescent="0.2">
      <c r="C564" s="143"/>
    </row>
    <row r="565" spans="3:3" x14ac:dyDescent="0.2">
      <c r="C565" s="143"/>
    </row>
    <row r="566" spans="3:3" x14ac:dyDescent="0.2">
      <c r="C566" s="143"/>
    </row>
    <row r="567" spans="3:3" x14ac:dyDescent="0.2">
      <c r="C567" s="143"/>
    </row>
    <row r="568" spans="3:3" x14ac:dyDescent="0.2">
      <c r="C568" s="143"/>
    </row>
    <row r="569" spans="3:3" x14ac:dyDescent="0.2">
      <c r="C569" s="143"/>
    </row>
    <row r="570" spans="3:3" x14ac:dyDescent="0.2">
      <c r="C570" s="143"/>
    </row>
    <row r="571" spans="3:3" x14ac:dyDescent="0.2">
      <c r="C571" s="143"/>
    </row>
    <row r="572" spans="3:3" x14ac:dyDescent="0.2">
      <c r="C572" s="143"/>
    </row>
    <row r="573" spans="3:3" x14ac:dyDescent="0.2">
      <c r="C573" s="143"/>
    </row>
    <row r="574" spans="3:3" x14ac:dyDescent="0.2">
      <c r="C574" s="143"/>
    </row>
    <row r="575" spans="3:3" x14ac:dyDescent="0.2">
      <c r="C575" s="143"/>
    </row>
    <row r="576" spans="3:3" x14ac:dyDescent="0.2">
      <c r="C576" s="143"/>
    </row>
    <row r="577" spans="3:3" x14ac:dyDescent="0.2">
      <c r="C577" s="143"/>
    </row>
    <row r="578" spans="3:3" x14ac:dyDescent="0.2">
      <c r="C578" s="143"/>
    </row>
    <row r="579" spans="3:3" x14ac:dyDescent="0.2">
      <c r="C579" s="143"/>
    </row>
    <row r="580" spans="3:3" x14ac:dyDescent="0.2">
      <c r="C580" s="143"/>
    </row>
    <row r="581" spans="3:3" x14ac:dyDescent="0.2">
      <c r="C581" s="143"/>
    </row>
    <row r="582" spans="3:3" x14ac:dyDescent="0.2">
      <c r="C582" s="143"/>
    </row>
    <row r="583" spans="3:3" x14ac:dyDescent="0.2">
      <c r="C583" s="143"/>
    </row>
    <row r="584" spans="3:3" x14ac:dyDescent="0.2">
      <c r="C584" s="143"/>
    </row>
    <row r="585" spans="3:3" x14ac:dyDescent="0.2">
      <c r="C585" s="143"/>
    </row>
    <row r="586" spans="3:3" x14ac:dyDescent="0.2">
      <c r="C586" s="143"/>
    </row>
    <row r="587" spans="3:3" x14ac:dyDescent="0.2">
      <c r="C587" s="143"/>
    </row>
    <row r="588" spans="3:3" x14ac:dyDescent="0.2">
      <c r="C588" s="143"/>
    </row>
    <row r="589" spans="3:3" x14ac:dyDescent="0.2">
      <c r="C589" s="143"/>
    </row>
    <row r="590" spans="3:3" x14ac:dyDescent="0.2">
      <c r="C590" s="143"/>
    </row>
    <row r="591" spans="3:3" x14ac:dyDescent="0.2">
      <c r="C591" s="143"/>
    </row>
    <row r="592" spans="3:3" x14ac:dyDescent="0.2">
      <c r="C592" s="143"/>
    </row>
    <row r="593" spans="3:3" x14ac:dyDescent="0.2">
      <c r="C593" s="143"/>
    </row>
    <row r="594" spans="3:3" x14ac:dyDescent="0.2">
      <c r="C594" s="143"/>
    </row>
    <row r="595" spans="3:3" x14ac:dyDescent="0.2">
      <c r="C595" s="143"/>
    </row>
    <row r="596" spans="3:3" x14ac:dyDescent="0.2">
      <c r="C596" s="143"/>
    </row>
    <row r="597" spans="3:3" x14ac:dyDescent="0.2">
      <c r="C597" s="143"/>
    </row>
    <row r="598" spans="3:3" x14ac:dyDescent="0.2">
      <c r="C598" s="143"/>
    </row>
    <row r="599" spans="3:3" x14ac:dyDescent="0.2">
      <c r="C599" s="143"/>
    </row>
    <row r="600" spans="3:3" x14ac:dyDescent="0.2">
      <c r="C600" s="143"/>
    </row>
    <row r="601" spans="3:3" x14ac:dyDescent="0.2">
      <c r="C601" s="143"/>
    </row>
    <row r="602" spans="3:3" x14ac:dyDescent="0.2">
      <c r="C602" s="143"/>
    </row>
    <row r="603" spans="3:3" x14ac:dyDescent="0.2">
      <c r="C603" s="143"/>
    </row>
    <row r="604" spans="3:3" x14ac:dyDescent="0.2">
      <c r="C604" s="143"/>
    </row>
    <row r="605" spans="3:3" x14ac:dyDescent="0.2">
      <c r="C605" s="143"/>
    </row>
    <row r="606" spans="3:3" x14ac:dyDescent="0.2">
      <c r="C606" s="143"/>
    </row>
    <row r="607" spans="3:3" x14ac:dyDescent="0.2">
      <c r="C607" s="143"/>
    </row>
    <row r="608" spans="3:3" x14ac:dyDescent="0.2">
      <c r="C608" s="143"/>
    </row>
    <row r="609" spans="3:3" x14ac:dyDescent="0.2">
      <c r="C609" s="143"/>
    </row>
    <row r="610" spans="3:3" x14ac:dyDescent="0.2">
      <c r="C610" s="143"/>
    </row>
    <row r="611" spans="3:3" x14ac:dyDescent="0.2">
      <c r="C611" s="143"/>
    </row>
    <row r="612" spans="3:3" x14ac:dyDescent="0.2">
      <c r="C612" s="143"/>
    </row>
    <row r="613" spans="3:3" x14ac:dyDescent="0.2">
      <c r="C613" s="143"/>
    </row>
    <row r="614" spans="3:3" x14ac:dyDescent="0.2">
      <c r="C614" s="143"/>
    </row>
    <row r="615" spans="3:3" x14ac:dyDescent="0.2">
      <c r="C615" s="143"/>
    </row>
    <row r="616" spans="3:3" x14ac:dyDescent="0.2">
      <c r="C616" s="143"/>
    </row>
    <row r="617" spans="3:3" x14ac:dyDescent="0.2">
      <c r="C617" s="143"/>
    </row>
    <row r="618" spans="3:3" x14ac:dyDescent="0.2">
      <c r="C618" s="143"/>
    </row>
    <row r="619" spans="3:3" x14ac:dyDescent="0.2">
      <c r="C619" s="143"/>
    </row>
    <row r="620" spans="3:3" x14ac:dyDescent="0.2">
      <c r="C620" s="143"/>
    </row>
    <row r="621" spans="3:3" x14ac:dyDescent="0.2">
      <c r="C621" s="143"/>
    </row>
    <row r="622" spans="3:3" x14ac:dyDescent="0.2">
      <c r="C622" s="143"/>
    </row>
    <row r="623" spans="3:3" x14ac:dyDescent="0.2">
      <c r="C623" s="143"/>
    </row>
    <row r="624" spans="3:3" x14ac:dyDescent="0.2">
      <c r="C624" s="143"/>
    </row>
    <row r="625" spans="3:3" x14ac:dyDescent="0.2">
      <c r="C625" s="143"/>
    </row>
    <row r="626" spans="3:3" x14ac:dyDescent="0.2">
      <c r="C626" s="143"/>
    </row>
    <row r="627" spans="3:3" x14ac:dyDescent="0.2">
      <c r="C627" s="143"/>
    </row>
    <row r="628" spans="3:3" x14ac:dyDescent="0.2">
      <c r="C628" s="143"/>
    </row>
    <row r="629" spans="3:3" x14ac:dyDescent="0.2">
      <c r="C629" s="143"/>
    </row>
    <row r="630" spans="3:3" x14ac:dyDescent="0.2">
      <c r="C630" s="143"/>
    </row>
    <row r="631" spans="3:3" x14ac:dyDescent="0.2">
      <c r="C631" s="143"/>
    </row>
    <row r="632" spans="3:3" x14ac:dyDescent="0.2">
      <c r="C632" s="143"/>
    </row>
    <row r="633" spans="3:3" x14ac:dyDescent="0.2">
      <c r="C633" s="143"/>
    </row>
    <row r="634" spans="3:3" x14ac:dyDescent="0.2">
      <c r="C634" s="143"/>
    </row>
    <row r="635" spans="3:3" x14ac:dyDescent="0.2">
      <c r="C635" s="143"/>
    </row>
    <row r="636" spans="3:3" x14ac:dyDescent="0.2">
      <c r="C636" s="143"/>
    </row>
    <row r="637" spans="3:3" x14ac:dyDescent="0.2">
      <c r="C637" s="143"/>
    </row>
    <row r="638" spans="3:3" x14ac:dyDescent="0.2">
      <c r="C638" s="143"/>
    </row>
    <row r="639" spans="3:3" x14ac:dyDescent="0.2">
      <c r="C639" s="143"/>
    </row>
    <row r="640" spans="3:3" x14ac:dyDescent="0.2">
      <c r="C640" s="143"/>
    </row>
    <row r="641" spans="3:3" x14ac:dyDescent="0.2">
      <c r="C641" s="143"/>
    </row>
    <row r="642" spans="3:3" x14ac:dyDescent="0.2">
      <c r="C642" s="143"/>
    </row>
    <row r="643" spans="3:3" x14ac:dyDescent="0.2">
      <c r="C643" s="143"/>
    </row>
    <row r="644" spans="3:3" x14ac:dyDescent="0.2">
      <c r="C644" s="143"/>
    </row>
    <row r="645" spans="3:3" x14ac:dyDescent="0.2">
      <c r="C645" s="143"/>
    </row>
    <row r="646" spans="3:3" x14ac:dyDescent="0.2">
      <c r="C646" s="143"/>
    </row>
    <row r="647" spans="3:3" x14ac:dyDescent="0.2">
      <c r="C647" s="143"/>
    </row>
    <row r="648" spans="3:3" x14ac:dyDescent="0.2">
      <c r="C648" s="143"/>
    </row>
    <row r="649" spans="3:3" x14ac:dyDescent="0.2">
      <c r="C649" s="143"/>
    </row>
    <row r="650" spans="3:3" x14ac:dyDescent="0.2">
      <c r="C650" s="143"/>
    </row>
    <row r="651" spans="3:3" x14ac:dyDescent="0.2">
      <c r="C651" s="143"/>
    </row>
    <row r="652" spans="3:3" x14ac:dyDescent="0.2">
      <c r="C652" s="143"/>
    </row>
    <row r="653" spans="3:3" x14ac:dyDescent="0.2">
      <c r="C653" s="143"/>
    </row>
    <row r="654" spans="3:3" x14ac:dyDescent="0.2">
      <c r="C654" s="143"/>
    </row>
    <row r="655" spans="3:3" x14ac:dyDescent="0.2">
      <c r="C655" s="143"/>
    </row>
    <row r="656" spans="3:3" x14ac:dyDescent="0.2">
      <c r="C656" s="143"/>
    </row>
    <row r="657" spans="3:3" x14ac:dyDescent="0.2">
      <c r="C657" s="143"/>
    </row>
    <row r="658" spans="3:3" x14ac:dyDescent="0.2">
      <c r="C658" s="143"/>
    </row>
    <row r="659" spans="3:3" x14ac:dyDescent="0.2">
      <c r="C659" s="143"/>
    </row>
    <row r="660" spans="3:3" x14ac:dyDescent="0.2">
      <c r="C660" s="143"/>
    </row>
    <row r="661" spans="3:3" x14ac:dyDescent="0.2">
      <c r="C661" s="143"/>
    </row>
    <row r="662" spans="3:3" x14ac:dyDescent="0.2">
      <c r="C662" s="143"/>
    </row>
    <row r="663" spans="3:3" x14ac:dyDescent="0.2">
      <c r="C663" s="143"/>
    </row>
    <row r="664" spans="3:3" x14ac:dyDescent="0.2">
      <c r="C664" s="143"/>
    </row>
    <row r="665" spans="3:3" x14ac:dyDescent="0.2">
      <c r="C665" s="143"/>
    </row>
    <row r="666" spans="3:3" x14ac:dyDescent="0.2">
      <c r="C666" s="143"/>
    </row>
    <row r="667" spans="3:3" x14ac:dyDescent="0.2">
      <c r="C667" s="143"/>
    </row>
    <row r="668" spans="3:3" x14ac:dyDescent="0.2">
      <c r="C668" s="143"/>
    </row>
    <row r="669" spans="3:3" x14ac:dyDescent="0.2">
      <c r="C669" s="143"/>
    </row>
    <row r="670" spans="3:3" x14ac:dyDescent="0.2">
      <c r="C670" s="143"/>
    </row>
    <row r="671" spans="3:3" x14ac:dyDescent="0.2">
      <c r="C671" s="143"/>
    </row>
    <row r="672" spans="3:3" x14ac:dyDescent="0.2">
      <c r="C672" s="143"/>
    </row>
    <row r="673" spans="3:3" x14ac:dyDescent="0.2">
      <c r="C673" s="143"/>
    </row>
    <row r="674" spans="3:3" x14ac:dyDescent="0.2">
      <c r="C674" s="143"/>
    </row>
    <row r="675" spans="3:3" x14ac:dyDescent="0.2">
      <c r="C675" s="143"/>
    </row>
    <row r="676" spans="3:3" x14ac:dyDescent="0.2">
      <c r="C676" s="143"/>
    </row>
    <row r="677" spans="3:3" x14ac:dyDescent="0.2">
      <c r="C677" s="143"/>
    </row>
    <row r="678" spans="3:3" x14ac:dyDescent="0.2">
      <c r="C678" s="143"/>
    </row>
    <row r="679" spans="3:3" x14ac:dyDescent="0.2">
      <c r="C679" s="143"/>
    </row>
    <row r="680" spans="3:3" x14ac:dyDescent="0.2">
      <c r="C680" s="143"/>
    </row>
    <row r="681" spans="3:3" x14ac:dyDescent="0.2">
      <c r="C681" s="143"/>
    </row>
    <row r="682" spans="3:3" x14ac:dyDescent="0.2">
      <c r="C682" s="143"/>
    </row>
    <row r="683" spans="3:3" x14ac:dyDescent="0.2">
      <c r="C683" s="143"/>
    </row>
    <row r="684" spans="3:3" x14ac:dyDescent="0.2">
      <c r="C684" s="143"/>
    </row>
    <row r="685" spans="3:3" x14ac:dyDescent="0.2">
      <c r="C685" s="143"/>
    </row>
    <row r="686" spans="3:3" x14ac:dyDescent="0.2">
      <c r="C686" s="143"/>
    </row>
    <row r="687" spans="3:3" x14ac:dyDescent="0.2">
      <c r="C687" s="143"/>
    </row>
    <row r="688" spans="3:3" x14ac:dyDescent="0.2">
      <c r="C688" s="143"/>
    </row>
    <row r="689" spans="3:3" x14ac:dyDescent="0.2">
      <c r="C689" s="143"/>
    </row>
    <row r="690" spans="3:3" x14ac:dyDescent="0.2">
      <c r="C690" s="143"/>
    </row>
    <row r="691" spans="3:3" x14ac:dyDescent="0.2">
      <c r="C691" s="143"/>
    </row>
    <row r="692" spans="3:3" x14ac:dyDescent="0.2">
      <c r="C692" s="143"/>
    </row>
    <row r="693" spans="3:3" x14ac:dyDescent="0.2">
      <c r="C693" s="143"/>
    </row>
    <row r="694" spans="3:3" x14ac:dyDescent="0.2">
      <c r="C694" s="143"/>
    </row>
    <row r="695" spans="3:3" x14ac:dyDescent="0.2">
      <c r="C695" s="143"/>
    </row>
    <row r="696" spans="3:3" x14ac:dyDescent="0.2">
      <c r="C696" s="143"/>
    </row>
    <row r="697" spans="3:3" x14ac:dyDescent="0.2">
      <c r="C697" s="143"/>
    </row>
    <row r="698" spans="3:3" x14ac:dyDescent="0.2">
      <c r="C698" s="143"/>
    </row>
    <row r="699" spans="3:3" x14ac:dyDescent="0.2">
      <c r="C699" s="143"/>
    </row>
    <row r="700" spans="3:3" x14ac:dyDescent="0.2">
      <c r="C700" s="143"/>
    </row>
    <row r="701" spans="3:3" x14ac:dyDescent="0.2">
      <c r="C701" s="143"/>
    </row>
    <row r="702" spans="3:3" x14ac:dyDescent="0.2">
      <c r="C702" s="143"/>
    </row>
    <row r="703" spans="3:3" x14ac:dyDescent="0.2">
      <c r="C703" s="143"/>
    </row>
    <row r="704" spans="3:3" x14ac:dyDescent="0.2">
      <c r="C704" s="143"/>
    </row>
    <row r="705" spans="3:3" x14ac:dyDescent="0.2">
      <c r="C705" s="143"/>
    </row>
    <row r="706" spans="3:3" x14ac:dyDescent="0.2">
      <c r="C706" s="143"/>
    </row>
    <row r="707" spans="3:3" x14ac:dyDescent="0.2">
      <c r="C707" s="143"/>
    </row>
    <row r="708" spans="3:3" x14ac:dyDescent="0.2">
      <c r="C708" s="143"/>
    </row>
    <row r="709" spans="3:3" x14ac:dyDescent="0.2">
      <c r="C709" s="143"/>
    </row>
    <row r="710" spans="3:3" x14ac:dyDescent="0.2">
      <c r="C710" s="143"/>
    </row>
    <row r="711" spans="3:3" x14ac:dyDescent="0.2">
      <c r="C711" s="143"/>
    </row>
    <row r="712" spans="3:3" x14ac:dyDescent="0.2">
      <c r="C712" s="143"/>
    </row>
    <row r="713" spans="3:3" x14ac:dyDescent="0.2">
      <c r="C713" s="143"/>
    </row>
    <row r="714" spans="3:3" x14ac:dyDescent="0.2">
      <c r="C714" s="143"/>
    </row>
    <row r="715" spans="3:3" x14ac:dyDescent="0.2">
      <c r="C715" s="143"/>
    </row>
    <row r="716" spans="3:3" x14ac:dyDescent="0.2">
      <c r="C716" s="143"/>
    </row>
    <row r="717" spans="3:3" x14ac:dyDescent="0.2">
      <c r="C717" s="143"/>
    </row>
    <row r="718" spans="3:3" x14ac:dyDescent="0.2">
      <c r="C718" s="143"/>
    </row>
    <row r="719" spans="3:3" x14ac:dyDescent="0.2">
      <c r="C719" s="143"/>
    </row>
    <row r="720" spans="3:3" x14ac:dyDescent="0.2">
      <c r="C720" s="143"/>
    </row>
    <row r="721" spans="3:3" x14ac:dyDescent="0.2">
      <c r="C721" s="143"/>
    </row>
    <row r="722" spans="3:3" x14ac:dyDescent="0.2">
      <c r="C722" s="143"/>
    </row>
    <row r="723" spans="3:3" x14ac:dyDescent="0.2">
      <c r="C723" s="143"/>
    </row>
    <row r="724" spans="3:3" x14ac:dyDescent="0.2">
      <c r="C724" s="143"/>
    </row>
    <row r="725" spans="3:3" x14ac:dyDescent="0.2">
      <c r="C725" s="143"/>
    </row>
    <row r="726" spans="3:3" x14ac:dyDescent="0.2">
      <c r="C726" s="143"/>
    </row>
    <row r="727" spans="3:3" x14ac:dyDescent="0.2">
      <c r="C727" s="143"/>
    </row>
    <row r="728" spans="3:3" x14ac:dyDescent="0.2">
      <c r="C728" s="143"/>
    </row>
    <row r="729" spans="3:3" x14ac:dyDescent="0.2">
      <c r="C729" s="143"/>
    </row>
    <row r="730" spans="3:3" x14ac:dyDescent="0.2">
      <c r="C730" s="143"/>
    </row>
    <row r="731" spans="3:3" x14ac:dyDescent="0.2">
      <c r="C731" s="143"/>
    </row>
    <row r="732" spans="3:3" x14ac:dyDescent="0.2">
      <c r="C732" s="143"/>
    </row>
    <row r="733" spans="3:3" x14ac:dyDescent="0.2">
      <c r="C733" s="143"/>
    </row>
    <row r="734" spans="3:3" x14ac:dyDescent="0.2">
      <c r="C734" s="143"/>
    </row>
    <row r="735" spans="3:3" x14ac:dyDescent="0.2">
      <c r="C735" s="143"/>
    </row>
    <row r="736" spans="3:3" x14ac:dyDescent="0.2">
      <c r="C736" s="143"/>
    </row>
    <row r="737" spans="3:3" x14ac:dyDescent="0.2">
      <c r="C737" s="143"/>
    </row>
    <row r="738" spans="3:3" x14ac:dyDescent="0.2">
      <c r="C738" s="143"/>
    </row>
    <row r="739" spans="3:3" x14ac:dyDescent="0.2">
      <c r="C739" s="143"/>
    </row>
    <row r="740" spans="3:3" x14ac:dyDescent="0.2">
      <c r="C740" s="143"/>
    </row>
    <row r="741" spans="3:3" x14ac:dyDescent="0.2">
      <c r="C741" s="143"/>
    </row>
    <row r="742" spans="3:3" x14ac:dyDescent="0.2">
      <c r="C742" s="143"/>
    </row>
    <row r="743" spans="3:3" x14ac:dyDescent="0.2">
      <c r="C743" s="143"/>
    </row>
    <row r="744" spans="3:3" x14ac:dyDescent="0.2">
      <c r="C744" s="143"/>
    </row>
    <row r="745" spans="3:3" x14ac:dyDescent="0.2">
      <c r="C745" s="143"/>
    </row>
    <row r="746" spans="3:3" x14ac:dyDescent="0.2">
      <c r="C746" s="143"/>
    </row>
    <row r="747" spans="3:3" x14ac:dyDescent="0.2">
      <c r="C747" s="143"/>
    </row>
    <row r="748" spans="3:3" x14ac:dyDescent="0.2">
      <c r="C748" s="143"/>
    </row>
    <row r="749" spans="3:3" x14ac:dyDescent="0.2">
      <c r="C749" s="143"/>
    </row>
    <row r="750" spans="3:3" x14ac:dyDescent="0.2">
      <c r="C750" s="143"/>
    </row>
    <row r="751" spans="3:3" x14ac:dyDescent="0.2">
      <c r="C751" s="143"/>
    </row>
    <row r="752" spans="3:3" x14ac:dyDescent="0.2">
      <c r="C752" s="143"/>
    </row>
    <row r="753" spans="3:3" x14ac:dyDescent="0.2">
      <c r="C753" s="143"/>
    </row>
    <row r="754" spans="3:3" x14ac:dyDescent="0.2">
      <c r="C754" s="143"/>
    </row>
    <row r="755" spans="3:3" x14ac:dyDescent="0.2">
      <c r="C755" s="143"/>
    </row>
    <row r="756" spans="3:3" x14ac:dyDescent="0.2">
      <c r="C756" s="143"/>
    </row>
    <row r="757" spans="3:3" x14ac:dyDescent="0.2">
      <c r="C757" s="143"/>
    </row>
    <row r="758" spans="3:3" x14ac:dyDescent="0.2">
      <c r="C758" s="143"/>
    </row>
    <row r="759" spans="3:3" x14ac:dyDescent="0.2">
      <c r="C759" s="143"/>
    </row>
    <row r="760" spans="3:3" x14ac:dyDescent="0.2">
      <c r="C760" s="143"/>
    </row>
    <row r="761" spans="3:3" x14ac:dyDescent="0.2">
      <c r="C761" s="143"/>
    </row>
    <row r="762" spans="3:3" x14ac:dyDescent="0.2">
      <c r="C762" s="143"/>
    </row>
    <row r="763" spans="3:3" x14ac:dyDescent="0.2">
      <c r="C763" s="143"/>
    </row>
    <row r="764" spans="3:3" x14ac:dyDescent="0.2">
      <c r="C764" s="143"/>
    </row>
    <row r="765" spans="3:3" x14ac:dyDescent="0.2">
      <c r="C765" s="143"/>
    </row>
    <row r="766" spans="3:3" x14ac:dyDescent="0.2">
      <c r="C766" s="143"/>
    </row>
    <row r="767" spans="3:3" x14ac:dyDescent="0.2">
      <c r="C767" s="143"/>
    </row>
    <row r="768" spans="3:3" x14ac:dyDescent="0.2">
      <c r="C768" s="143"/>
    </row>
    <row r="769" spans="3:3" x14ac:dyDescent="0.2">
      <c r="C769" s="143"/>
    </row>
    <row r="770" spans="3:3" x14ac:dyDescent="0.2">
      <c r="C770" s="143"/>
    </row>
    <row r="771" spans="3:3" x14ac:dyDescent="0.2">
      <c r="C771" s="143"/>
    </row>
    <row r="772" spans="3:3" x14ac:dyDescent="0.2">
      <c r="C772" s="143"/>
    </row>
    <row r="773" spans="3:3" x14ac:dyDescent="0.2">
      <c r="C773" s="143"/>
    </row>
    <row r="774" spans="3:3" x14ac:dyDescent="0.2">
      <c r="C774" s="143"/>
    </row>
    <row r="775" spans="3:3" x14ac:dyDescent="0.2">
      <c r="C775" s="143"/>
    </row>
    <row r="776" spans="3:3" x14ac:dyDescent="0.2">
      <c r="C776" s="143"/>
    </row>
    <row r="777" spans="3:3" x14ac:dyDescent="0.2">
      <c r="C777" s="143"/>
    </row>
    <row r="778" spans="3:3" x14ac:dyDescent="0.2">
      <c r="C778" s="143"/>
    </row>
    <row r="779" spans="3:3" x14ac:dyDescent="0.2">
      <c r="C779" s="143"/>
    </row>
    <row r="780" spans="3:3" x14ac:dyDescent="0.2">
      <c r="C780" s="143"/>
    </row>
    <row r="781" spans="3:3" x14ac:dyDescent="0.2">
      <c r="C781" s="143"/>
    </row>
    <row r="782" spans="3:3" x14ac:dyDescent="0.2">
      <c r="C782" s="143"/>
    </row>
    <row r="783" spans="3:3" x14ac:dyDescent="0.2">
      <c r="C783" s="143"/>
    </row>
    <row r="784" spans="3:3" x14ac:dyDescent="0.2">
      <c r="C784" s="143"/>
    </row>
    <row r="785" spans="3:3" x14ac:dyDescent="0.2">
      <c r="C785" s="143"/>
    </row>
    <row r="786" spans="3:3" x14ac:dyDescent="0.2">
      <c r="C786" s="143"/>
    </row>
    <row r="787" spans="3:3" x14ac:dyDescent="0.2">
      <c r="C787" s="143"/>
    </row>
    <row r="788" spans="3:3" x14ac:dyDescent="0.2">
      <c r="C788" s="143"/>
    </row>
    <row r="789" spans="3:3" x14ac:dyDescent="0.2">
      <c r="C789" s="143"/>
    </row>
    <row r="790" spans="3:3" x14ac:dyDescent="0.2">
      <c r="C790" s="143"/>
    </row>
    <row r="791" spans="3:3" x14ac:dyDescent="0.2">
      <c r="C791" s="143"/>
    </row>
    <row r="792" spans="3:3" x14ac:dyDescent="0.2">
      <c r="C792" s="143"/>
    </row>
    <row r="793" spans="3:3" x14ac:dyDescent="0.2">
      <c r="C793" s="143"/>
    </row>
    <row r="794" spans="3:3" x14ac:dyDescent="0.2">
      <c r="C794" s="143"/>
    </row>
    <row r="795" spans="3:3" x14ac:dyDescent="0.2">
      <c r="C795" s="143"/>
    </row>
    <row r="796" spans="3:3" x14ac:dyDescent="0.2">
      <c r="C796" s="143"/>
    </row>
    <row r="797" spans="3:3" x14ac:dyDescent="0.2">
      <c r="C797" s="143"/>
    </row>
    <row r="798" spans="3:3" x14ac:dyDescent="0.2">
      <c r="C798" s="143"/>
    </row>
    <row r="799" spans="3:3" x14ac:dyDescent="0.2">
      <c r="C799" s="143"/>
    </row>
    <row r="800" spans="3:3" x14ac:dyDescent="0.2">
      <c r="C800" s="143"/>
    </row>
    <row r="801" spans="3:3" x14ac:dyDescent="0.2">
      <c r="C801" s="143"/>
    </row>
    <row r="802" spans="3:3" x14ac:dyDescent="0.2">
      <c r="C802" s="143"/>
    </row>
    <row r="803" spans="3:3" x14ac:dyDescent="0.2">
      <c r="C803" s="143"/>
    </row>
    <row r="804" spans="3:3" x14ac:dyDescent="0.2">
      <c r="C804" s="143"/>
    </row>
    <row r="805" spans="3:3" x14ac:dyDescent="0.2">
      <c r="C805" s="143"/>
    </row>
    <row r="806" spans="3:3" x14ac:dyDescent="0.2">
      <c r="C806" s="143"/>
    </row>
    <row r="807" spans="3:3" x14ac:dyDescent="0.2">
      <c r="C807" s="143"/>
    </row>
    <row r="808" spans="3:3" x14ac:dyDescent="0.2">
      <c r="C808" s="143"/>
    </row>
    <row r="809" spans="3:3" x14ac:dyDescent="0.2">
      <c r="C809" s="143"/>
    </row>
    <row r="810" spans="3:3" x14ac:dyDescent="0.2">
      <c r="C810" s="143"/>
    </row>
    <row r="811" spans="3:3" x14ac:dyDescent="0.2">
      <c r="C811" s="143"/>
    </row>
    <row r="812" spans="3:3" x14ac:dyDescent="0.2">
      <c r="C812" s="143"/>
    </row>
    <row r="813" spans="3:3" x14ac:dyDescent="0.2">
      <c r="C813" s="143"/>
    </row>
    <row r="814" spans="3:3" x14ac:dyDescent="0.2">
      <c r="C814" s="143"/>
    </row>
    <row r="815" spans="3:3" x14ac:dyDescent="0.2">
      <c r="C815" s="143"/>
    </row>
    <row r="816" spans="3:3" x14ac:dyDescent="0.2">
      <c r="C816" s="143"/>
    </row>
    <row r="817" spans="3:3" x14ac:dyDescent="0.2">
      <c r="C817" s="143"/>
    </row>
    <row r="818" spans="3:3" x14ac:dyDescent="0.2">
      <c r="C818" s="143"/>
    </row>
    <row r="819" spans="3:3" x14ac:dyDescent="0.2">
      <c r="C819" s="143"/>
    </row>
    <row r="820" spans="3:3" x14ac:dyDescent="0.2">
      <c r="C820" s="143"/>
    </row>
    <row r="821" spans="3:3" x14ac:dyDescent="0.2">
      <c r="C821" s="143"/>
    </row>
    <row r="822" spans="3:3" x14ac:dyDescent="0.2">
      <c r="C822" s="143"/>
    </row>
    <row r="823" spans="3:3" x14ac:dyDescent="0.2">
      <c r="C823" s="143"/>
    </row>
    <row r="824" spans="3:3" x14ac:dyDescent="0.2">
      <c r="C824" s="143"/>
    </row>
    <row r="825" spans="3:3" x14ac:dyDescent="0.2">
      <c r="C825" s="143"/>
    </row>
    <row r="826" spans="3:3" x14ac:dyDescent="0.2">
      <c r="C826" s="143"/>
    </row>
    <row r="827" spans="3:3" x14ac:dyDescent="0.2">
      <c r="C827" s="143"/>
    </row>
    <row r="828" spans="3:3" x14ac:dyDescent="0.2">
      <c r="C828" s="143"/>
    </row>
    <row r="829" spans="3:3" x14ac:dyDescent="0.2">
      <c r="C829" s="143"/>
    </row>
    <row r="830" spans="3:3" x14ac:dyDescent="0.2">
      <c r="C830" s="143"/>
    </row>
    <row r="831" spans="3:3" x14ac:dyDescent="0.2">
      <c r="C831" s="143"/>
    </row>
    <row r="832" spans="3:3" x14ac:dyDescent="0.2">
      <c r="C832" s="143"/>
    </row>
    <row r="833" spans="3:3" x14ac:dyDescent="0.2">
      <c r="C833" s="143"/>
    </row>
    <row r="834" spans="3:3" x14ac:dyDescent="0.2">
      <c r="C834" s="143"/>
    </row>
    <row r="835" spans="3:3" x14ac:dyDescent="0.2">
      <c r="C835" s="143"/>
    </row>
    <row r="836" spans="3:3" x14ac:dyDescent="0.2">
      <c r="C836" s="143"/>
    </row>
    <row r="837" spans="3:3" x14ac:dyDescent="0.2">
      <c r="C837" s="143"/>
    </row>
    <row r="838" spans="3:3" x14ac:dyDescent="0.2">
      <c r="C838" s="143"/>
    </row>
    <row r="839" spans="3:3" x14ac:dyDescent="0.2">
      <c r="C839" s="143"/>
    </row>
    <row r="840" spans="3:3" x14ac:dyDescent="0.2">
      <c r="C840" s="143"/>
    </row>
    <row r="841" spans="3:3" x14ac:dyDescent="0.2">
      <c r="C841" s="143"/>
    </row>
    <row r="842" spans="3:3" x14ac:dyDescent="0.2">
      <c r="C842" s="143"/>
    </row>
    <row r="843" spans="3:3" x14ac:dyDescent="0.2">
      <c r="C843" s="143"/>
    </row>
    <row r="844" spans="3:3" x14ac:dyDescent="0.2">
      <c r="C844" s="143"/>
    </row>
    <row r="845" spans="3:3" x14ac:dyDescent="0.2">
      <c r="C845" s="143"/>
    </row>
    <row r="846" spans="3:3" x14ac:dyDescent="0.2">
      <c r="C846" s="143"/>
    </row>
    <row r="847" spans="3:3" x14ac:dyDescent="0.2">
      <c r="C847" s="143"/>
    </row>
    <row r="848" spans="3:3" x14ac:dyDescent="0.2">
      <c r="C848" s="143"/>
    </row>
    <row r="849" spans="3:3" x14ac:dyDescent="0.2">
      <c r="C849" s="143"/>
    </row>
    <row r="850" spans="3:3" x14ac:dyDescent="0.2">
      <c r="C850" s="143"/>
    </row>
    <row r="851" spans="3:3" x14ac:dyDescent="0.2">
      <c r="C851" s="143"/>
    </row>
    <row r="852" spans="3:3" x14ac:dyDescent="0.2">
      <c r="C852" s="143"/>
    </row>
    <row r="853" spans="3:3" x14ac:dyDescent="0.2">
      <c r="C853" s="143"/>
    </row>
    <row r="854" spans="3:3" x14ac:dyDescent="0.2">
      <c r="C854" s="143"/>
    </row>
    <row r="855" spans="3:3" x14ac:dyDescent="0.2">
      <c r="C855" s="143"/>
    </row>
    <row r="856" spans="3:3" x14ac:dyDescent="0.2">
      <c r="C856" s="143"/>
    </row>
    <row r="857" spans="3:3" x14ac:dyDescent="0.2">
      <c r="C857" s="143"/>
    </row>
    <row r="858" spans="3:3" x14ac:dyDescent="0.2">
      <c r="C858" s="143"/>
    </row>
    <row r="859" spans="3:3" x14ac:dyDescent="0.2">
      <c r="C859" s="143"/>
    </row>
    <row r="860" spans="3:3" x14ac:dyDescent="0.2">
      <c r="C860" s="143"/>
    </row>
    <row r="861" spans="3:3" x14ac:dyDescent="0.2">
      <c r="C861" s="143"/>
    </row>
    <row r="862" spans="3:3" x14ac:dyDescent="0.2">
      <c r="C862" s="143"/>
    </row>
    <row r="863" spans="3:3" x14ac:dyDescent="0.2">
      <c r="C863" s="143"/>
    </row>
    <row r="864" spans="3:3" x14ac:dyDescent="0.2">
      <c r="C864" s="143"/>
    </row>
    <row r="865" spans="3:3" x14ac:dyDescent="0.2">
      <c r="C865" s="143"/>
    </row>
    <row r="866" spans="3:3" x14ac:dyDescent="0.2">
      <c r="C866" s="143"/>
    </row>
    <row r="867" spans="3:3" x14ac:dyDescent="0.2">
      <c r="C867" s="143"/>
    </row>
    <row r="868" spans="3:3" x14ac:dyDescent="0.2">
      <c r="C868" s="143"/>
    </row>
    <row r="869" spans="3:3" x14ac:dyDescent="0.2">
      <c r="C869" s="143"/>
    </row>
    <row r="870" spans="3:3" x14ac:dyDescent="0.2">
      <c r="C870" s="143"/>
    </row>
    <row r="871" spans="3:3" x14ac:dyDescent="0.2">
      <c r="C871" s="143"/>
    </row>
    <row r="872" spans="3:3" x14ac:dyDescent="0.2">
      <c r="C872" s="143"/>
    </row>
    <row r="873" spans="3:3" x14ac:dyDescent="0.2">
      <c r="C873" s="143"/>
    </row>
    <row r="874" spans="3:3" x14ac:dyDescent="0.2">
      <c r="C874" s="143"/>
    </row>
    <row r="875" spans="3:3" x14ac:dyDescent="0.2">
      <c r="C875" s="143"/>
    </row>
    <row r="876" spans="3:3" x14ac:dyDescent="0.2">
      <c r="C876" s="143"/>
    </row>
    <row r="877" spans="3:3" x14ac:dyDescent="0.2">
      <c r="C877" s="143"/>
    </row>
    <row r="878" spans="3:3" x14ac:dyDescent="0.2">
      <c r="C878" s="143"/>
    </row>
    <row r="879" spans="3:3" x14ac:dyDescent="0.2">
      <c r="C879" s="143"/>
    </row>
    <row r="880" spans="3:3" x14ac:dyDescent="0.2">
      <c r="C880" s="143"/>
    </row>
    <row r="881" spans="3:3" x14ac:dyDescent="0.2">
      <c r="C881" s="143"/>
    </row>
    <row r="882" spans="3:3" x14ac:dyDescent="0.2">
      <c r="C882" s="143"/>
    </row>
    <row r="883" spans="3:3" x14ac:dyDescent="0.2">
      <c r="C883" s="143"/>
    </row>
    <row r="884" spans="3:3" x14ac:dyDescent="0.2">
      <c r="C884" s="143"/>
    </row>
    <row r="885" spans="3:3" x14ac:dyDescent="0.2">
      <c r="C885" s="143"/>
    </row>
    <row r="886" spans="3:3" x14ac:dyDescent="0.2">
      <c r="C886" s="143"/>
    </row>
    <row r="887" spans="3:3" x14ac:dyDescent="0.2">
      <c r="C887" s="143"/>
    </row>
    <row r="888" spans="3:3" x14ac:dyDescent="0.2">
      <c r="C888" s="143"/>
    </row>
    <row r="889" spans="3:3" x14ac:dyDescent="0.2">
      <c r="C889" s="143"/>
    </row>
    <row r="890" spans="3:3" x14ac:dyDescent="0.2">
      <c r="C890" s="143"/>
    </row>
    <row r="891" spans="3:3" x14ac:dyDescent="0.2">
      <c r="C891" s="143"/>
    </row>
    <row r="892" spans="3:3" x14ac:dyDescent="0.2">
      <c r="C892" s="143"/>
    </row>
    <row r="893" spans="3:3" x14ac:dyDescent="0.2">
      <c r="C893" s="143"/>
    </row>
    <row r="894" spans="3:3" x14ac:dyDescent="0.2">
      <c r="C894" s="143"/>
    </row>
    <row r="895" spans="3:3" x14ac:dyDescent="0.2">
      <c r="C895" s="143"/>
    </row>
    <row r="896" spans="3:3" x14ac:dyDescent="0.2">
      <c r="C896" s="143"/>
    </row>
    <row r="897" spans="3:3" x14ac:dyDescent="0.2">
      <c r="C897" s="143"/>
    </row>
    <row r="898" spans="3:3" x14ac:dyDescent="0.2">
      <c r="C898" s="143"/>
    </row>
    <row r="899" spans="3:3" x14ac:dyDescent="0.2">
      <c r="C899" s="143"/>
    </row>
    <row r="900" spans="3:3" x14ac:dyDescent="0.2">
      <c r="C900" s="143"/>
    </row>
    <row r="901" spans="3:3" x14ac:dyDescent="0.2">
      <c r="C901" s="143"/>
    </row>
    <row r="902" spans="3:3" x14ac:dyDescent="0.2">
      <c r="C902" s="143"/>
    </row>
    <row r="903" spans="3:3" x14ac:dyDescent="0.2">
      <c r="C903" s="143"/>
    </row>
    <row r="904" spans="3:3" x14ac:dyDescent="0.2">
      <c r="C904" s="143"/>
    </row>
    <row r="905" spans="3:3" x14ac:dyDescent="0.2">
      <c r="C905" s="143"/>
    </row>
    <row r="906" spans="3:3" x14ac:dyDescent="0.2">
      <c r="C906" s="143"/>
    </row>
    <row r="907" spans="3:3" x14ac:dyDescent="0.2">
      <c r="C907" s="143"/>
    </row>
    <row r="908" spans="3:3" x14ac:dyDescent="0.2">
      <c r="C908" s="143"/>
    </row>
    <row r="909" spans="3:3" x14ac:dyDescent="0.2">
      <c r="C909" s="143"/>
    </row>
    <row r="910" spans="3:3" x14ac:dyDescent="0.2">
      <c r="C910" s="143"/>
    </row>
    <row r="911" spans="3:3" x14ac:dyDescent="0.2">
      <c r="C911" s="143"/>
    </row>
    <row r="912" spans="3:3" x14ac:dyDescent="0.2">
      <c r="C912" s="143"/>
    </row>
    <row r="913" spans="3:3" x14ac:dyDescent="0.2">
      <c r="C913" s="143"/>
    </row>
    <row r="914" spans="3:3" x14ac:dyDescent="0.2">
      <c r="C914" s="143"/>
    </row>
    <row r="915" spans="3:3" x14ac:dyDescent="0.2">
      <c r="C915" s="143"/>
    </row>
    <row r="916" spans="3:3" x14ac:dyDescent="0.2">
      <c r="C916" s="143"/>
    </row>
    <row r="917" spans="3:3" x14ac:dyDescent="0.2">
      <c r="C917" s="143"/>
    </row>
    <row r="918" spans="3:3" x14ac:dyDescent="0.2">
      <c r="C918" s="143"/>
    </row>
    <row r="919" spans="3:3" x14ac:dyDescent="0.2">
      <c r="C919" s="143"/>
    </row>
    <row r="920" spans="3:3" x14ac:dyDescent="0.2">
      <c r="C920" s="143"/>
    </row>
    <row r="921" spans="3:3" x14ac:dyDescent="0.2">
      <c r="C921" s="143"/>
    </row>
    <row r="922" spans="3:3" x14ac:dyDescent="0.2">
      <c r="C922" s="143"/>
    </row>
    <row r="923" spans="3:3" x14ac:dyDescent="0.2">
      <c r="C923" s="143"/>
    </row>
    <row r="924" spans="3:3" x14ac:dyDescent="0.2">
      <c r="C924" s="143"/>
    </row>
    <row r="925" spans="3:3" x14ac:dyDescent="0.2">
      <c r="C925" s="143"/>
    </row>
    <row r="926" spans="3:3" x14ac:dyDescent="0.2">
      <c r="C926" s="143"/>
    </row>
    <row r="927" spans="3:3" x14ac:dyDescent="0.2">
      <c r="C927" s="143"/>
    </row>
    <row r="928" spans="3:3" x14ac:dyDescent="0.2">
      <c r="C928" s="143"/>
    </row>
    <row r="929" spans="3:3" x14ac:dyDescent="0.2">
      <c r="C929" s="143"/>
    </row>
    <row r="930" spans="3:3" x14ac:dyDescent="0.2">
      <c r="C930" s="143"/>
    </row>
    <row r="931" spans="3:3" x14ac:dyDescent="0.2">
      <c r="C931" s="143"/>
    </row>
    <row r="932" spans="3:3" x14ac:dyDescent="0.2">
      <c r="C932" s="143"/>
    </row>
    <row r="933" spans="3:3" x14ac:dyDescent="0.2">
      <c r="C933" s="143"/>
    </row>
    <row r="934" spans="3:3" x14ac:dyDescent="0.2">
      <c r="C934" s="143"/>
    </row>
    <row r="935" spans="3:3" x14ac:dyDescent="0.2">
      <c r="C935" s="143"/>
    </row>
    <row r="936" spans="3:3" x14ac:dyDescent="0.2">
      <c r="C936" s="143"/>
    </row>
    <row r="937" spans="3:3" x14ac:dyDescent="0.2">
      <c r="C937" s="143"/>
    </row>
    <row r="938" spans="3:3" x14ac:dyDescent="0.2">
      <c r="C938" s="143"/>
    </row>
    <row r="939" spans="3:3" x14ac:dyDescent="0.2">
      <c r="C939" s="143"/>
    </row>
    <row r="940" spans="3:3" x14ac:dyDescent="0.2">
      <c r="C940" s="143"/>
    </row>
    <row r="941" spans="3:3" x14ac:dyDescent="0.2">
      <c r="C941" s="143"/>
    </row>
    <row r="942" spans="3:3" x14ac:dyDescent="0.2">
      <c r="C942" s="143"/>
    </row>
    <row r="943" spans="3:3" x14ac:dyDescent="0.2">
      <c r="C943" s="143"/>
    </row>
    <row r="944" spans="3:3" x14ac:dyDescent="0.2">
      <c r="C944" s="143"/>
    </row>
    <row r="945" spans="3:3" x14ac:dyDescent="0.2">
      <c r="C945" s="143"/>
    </row>
    <row r="946" spans="3:3" x14ac:dyDescent="0.2">
      <c r="C946" s="143"/>
    </row>
    <row r="947" spans="3:3" x14ac:dyDescent="0.2">
      <c r="C947" s="143"/>
    </row>
    <row r="948" spans="3:3" x14ac:dyDescent="0.2">
      <c r="C948" s="143"/>
    </row>
    <row r="949" spans="3:3" x14ac:dyDescent="0.2">
      <c r="C949" s="143"/>
    </row>
    <row r="950" spans="3:3" x14ac:dyDescent="0.2">
      <c r="C950" s="143"/>
    </row>
    <row r="951" spans="3:3" x14ac:dyDescent="0.2">
      <c r="C951" s="143"/>
    </row>
    <row r="952" spans="3:3" x14ac:dyDescent="0.2">
      <c r="C952" s="143"/>
    </row>
    <row r="953" spans="3:3" x14ac:dyDescent="0.2">
      <c r="C953" s="143"/>
    </row>
    <row r="954" spans="3:3" x14ac:dyDescent="0.2">
      <c r="C954" s="143"/>
    </row>
    <row r="955" spans="3:3" x14ac:dyDescent="0.2">
      <c r="C955" s="143"/>
    </row>
    <row r="956" spans="3:3" x14ac:dyDescent="0.2">
      <c r="C956" s="143"/>
    </row>
    <row r="957" spans="3:3" x14ac:dyDescent="0.2">
      <c r="C957" s="143"/>
    </row>
    <row r="958" spans="3:3" x14ac:dyDescent="0.2">
      <c r="C958" s="143"/>
    </row>
    <row r="959" spans="3:3" x14ac:dyDescent="0.2">
      <c r="C959" s="143"/>
    </row>
    <row r="960" spans="3:3" x14ac:dyDescent="0.2">
      <c r="C960" s="143"/>
    </row>
    <row r="961" spans="3:3" x14ac:dyDescent="0.2">
      <c r="C961" s="143"/>
    </row>
    <row r="962" spans="3:3" x14ac:dyDescent="0.2">
      <c r="C962" s="143"/>
    </row>
    <row r="963" spans="3:3" x14ac:dyDescent="0.2">
      <c r="C963" s="143"/>
    </row>
    <row r="964" spans="3:3" x14ac:dyDescent="0.2">
      <c r="C964" s="143"/>
    </row>
    <row r="965" spans="3:3" x14ac:dyDescent="0.2">
      <c r="C965" s="143"/>
    </row>
    <row r="966" spans="3:3" x14ac:dyDescent="0.2">
      <c r="C966" s="143"/>
    </row>
    <row r="967" spans="3:3" x14ac:dyDescent="0.2">
      <c r="C967" s="143"/>
    </row>
    <row r="968" spans="3:3" x14ac:dyDescent="0.2">
      <c r="C968" s="143"/>
    </row>
    <row r="969" spans="3:3" x14ac:dyDescent="0.2">
      <c r="C969" s="143"/>
    </row>
    <row r="970" spans="3:3" x14ac:dyDescent="0.2">
      <c r="C970" s="143"/>
    </row>
    <row r="971" spans="3:3" x14ac:dyDescent="0.2">
      <c r="C971" s="143"/>
    </row>
    <row r="972" spans="3:3" x14ac:dyDescent="0.2">
      <c r="C972" s="143"/>
    </row>
    <row r="973" spans="3:3" x14ac:dyDescent="0.2">
      <c r="C973" s="143"/>
    </row>
    <row r="974" spans="3:3" x14ac:dyDescent="0.2">
      <c r="C974" s="143"/>
    </row>
    <row r="975" spans="3:3" x14ac:dyDescent="0.2">
      <c r="C975" s="143"/>
    </row>
    <row r="976" spans="3:3" x14ac:dyDescent="0.2">
      <c r="C976" s="143"/>
    </row>
    <row r="977" spans="3:3" x14ac:dyDescent="0.2">
      <c r="C977" s="143"/>
    </row>
    <row r="978" spans="3:3" x14ac:dyDescent="0.2">
      <c r="C978" s="143"/>
    </row>
    <row r="979" spans="3:3" x14ac:dyDescent="0.2">
      <c r="C979" s="143"/>
    </row>
    <row r="980" spans="3:3" x14ac:dyDescent="0.2">
      <c r="C980" s="143"/>
    </row>
    <row r="981" spans="3:3" x14ac:dyDescent="0.2">
      <c r="C981" s="143"/>
    </row>
    <row r="982" spans="3:3" x14ac:dyDescent="0.2">
      <c r="C982" s="143"/>
    </row>
    <row r="983" spans="3:3" x14ac:dyDescent="0.2">
      <c r="C983" s="143"/>
    </row>
    <row r="984" spans="3:3" x14ac:dyDescent="0.2">
      <c r="C984" s="143"/>
    </row>
    <row r="985" spans="3:3" x14ac:dyDescent="0.2">
      <c r="C985" s="143"/>
    </row>
    <row r="986" spans="3:3" x14ac:dyDescent="0.2">
      <c r="C986" s="143"/>
    </row>
    <row r="987" spans="3:3" x14ac:dyDescent="0.2">
      <c r="C987" s="143"/>
    </row>
    <row r="988" spans="3:3" x14ac:dyDescent="0.2">
      <c r="C988" s="143"/>
    </row>
    <row r="989" spans="3:3" x14ac:dyDescent="0.2">
      <c r="C989" s="143"/>
    </row>
    <row r="990" spans="3:3" x14ac:dyDescent="0.2">
      <c r="C990" s="143"/>
    </row>
    <row r="991" spans="3:3" x14ac:dyDescent="0.2">
      <c r="C991" s="143"/>
    </row>
    <row r="992" spans="3:3" x14ac:dyDescent="0.2">
      <c r="C992" s="143"/>
    </row>
    <row r="993" spans="3:3" x14ac:dyDescent="0.2">
      <c r="C993" s="143"/>
    </row>
    <row r="994" spans="3:3" x14ac:dyDescent="0.2">
      <c r="C994" s="143"/>
    </row>
    <row r="995" spans="3:3" x14ac:dyDescent="0.2">
      <c r="C995" s="143"/>
    </row>
    <row r="996" spans="3:3" x14ac:dyDescent="0.2">
      <c r="C996" s="143"/>
    </row>
    <row r="997" spans="3:3" x14ac:dyDescent="0.2">
      <c r="C997" s="143"/>
    </row>
    <row r="998" spans="3:3" x14ac:dyDescent="0.2">
      <c r="C998" s="143"/>
    </row>
    <row r="999" spans="3:3" x14ac:dyDescent="0.2">
      <c r="C999" s="143"/>
    </row>
    <row r="1000" spans="3:3" x14ac:dyDescent="0.2">
      <c r="C1000" s="143"/>
    </row>
    <row r="1001" spans="3:3" x14ac:dyDescent="0.2">
      <c r="C1001" s="143"/>
    </row>
    <row r="1002" spans="3:3" x14ac:dyDescent="0.2">
      <c r="C1002" s="14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M1000"/>
  <sheetViews>
    <sheetView workbookViewId="0"/>
  </sheetViews>
  <sheetFormatPr defaultColWidth="12.5703125" defaultRowHeight="15.75" customHeight="1" x14ac:dyDescent="0.2"/>
  <cols>
    <col min="12" max="12" width="15.42578125" customWidth="1"/>
  </cols>
  <sheetData>
    <row r="1" spans="1:13" ht="15.75" customHeight="1" x14ac:dyDescent="0.25">
      <c r="A1" s="144" t="s">
        <v>7</v>
      </c>
      <c r="B1" s="144" t="s">
        <v>8</v>
      </c>
      <c r="C1" s="145" t="s">
        <v>9</v>
      </c>
      <c r="D1" s="146" t="s">
        <v>10</v>
      </c>
      <c r="E1" s="13" t="s">
        <v>18</v>
      </c>
      <c r="F1" s="147"/>
      <c r="G1" s="148"/>
      <c r="H1" s="149" t="s">
        <v>240</v>
      </c>
      <c r="I1" s="150" t="s">
        <v>241</v>
      </c>
      <c r="J1" s="148"/>
      <c r="K1" s="148"/>
      <c r="L1" s="151" t="s">
        <v>242</v>
      </c>
      <c r="M1" s="152">
        <f>28260-316</f>
        <v>27944</v>
      </c>
    </row>
    <row r="2" spans="1:13" ht="15.75" customHeight="1" x14ac:dyDescent="0.25">
      <c r="A2" s="23" t="s">
        <v>70</v>
      </c>
      <c r="B2" s="153" t="s">
        <v>37</v>
      </c>
      <c r="C2" s="154">
        <v>100</v>
      </c>
      <c r="D2" s="25">
        <v>5</v>
      </c>
      <c r="E2" s="56">
        <v>144</v>
      </c>
      <c r="F2" s="148"/>
      <c r="G2" s="148"/>
      <c r="H2" s="155">
        <f t="shared" ref="H2:H12" si="0">IF(B2="Normal",C2*0.05*D2, IF(B2="Flash",C2*0.05*D2, IF(AND(B2="HT",C2 = 100),D2*1.88, IF(AND(B2="HT",C2 = 200),D2*3.34, IF(AND(B2="HT",C2 = 300),D2*4.49, IF(AND(B2="HT",C2 = 500),D2*6.66, IF(AND(B2="HT",C2 = 1000),D2*11.17)))))))</f>
        <v>25</v>
      </c>
      <c r="I2" s="156">
        <f t="shared" ref="I2:I12" si="1">H2*$M$3</f>
        <v>17.377841436276356</v>
      </c>
      <c r="J2" s="148"/>
      <c r="K2" s="148"/>
      <c r="L2" s="151" t="s">
        <v>243</v>
      </c>
      <c r="M2" s="157">
        <f>SUM($H:$H)</f>
        <v>40200.620000000003</v>
      </c>
    </row>
    <row r="3" spans="1:13" ht="15.75" customHeight="1" x14ac:dyDescent="0.25">
      <c r="A3" s="23" t="s">
        <v>213</v>
      </c>
      <c r="B3" s="153" t="s">
        <v>174</v>
      </c>
      <c r="C3" s="154">
        <v>100</v>
      </c>
      <c r="D3" s="25">
        <v>11</v>
      </c>
      <c r="E3" s="56">
        <v>-45</v>
      </c>
      <c r="F3" s="148"/>
      <c r="G3" s="148"/>
      <c r="H3" s="155">
        <f t="shared" si="0"/>
        <v>20.68</v>
      </c>
      <c r="I3" s="156">
        <f t="shared" si="1"/>
        <v>14.374950436087802</v>
      </c>
      <c r="J3" s="148"/>
      <c r="K3" s="148"/>
      <c r="L3" s="151" t="s">
        <v>244</v>
      </c>
      <c r="M3" s="158">
        <f>M1/M2</f>
        <v>0.69511365745105425</v>
      </c>
    </row>
    <row r="4" spans="1:13" ht="15.75" customHeight="1" x14ac:dyDescent="0.25">
      <c r="A4" s="18" t="s">
        <v>84</v>
      </c>
      <c r="B4" s="153" t="s">
        <v>44</v>
      </c>
      <c r="C4" s="154">
        <v>100</v>
      </c>
      <c r="D4" s="25">
        <v>35</v>
      </c>
      <c r="E4" s="56">
        <v>-458</v>
      </c>
      <c r="F4" s="148"/>
      <c r="G4" s="148"/>
      <c r="H4" s="155">
        <f t="shared" si="0"/>
        <v>175</v>
      </c>
      <c r="I4" s="156">
        <f t="shared" si="1"/>
        <v>121.64489005393449</v>
      </c>
      <c r="J4" s="148"/>
      <c r="K4" s="148"/>
      <c r="L4" s="151"/>
      <c r="M4" s="152"/>
    </row>
    <row r="5" spans="1:13" ht="15.75" customHeight="1" x14ac:dyDescent="0.25">
      <c r="A5" s="23" t="s">
        <v>211</v>
      </c>
      <c r="B5" s="153" t="s">
        <v>174</v>
      </c>
      <c r="C5" s="154">
        <v>200</v>
      </c>
      <c r="D5" s="25">
        <v>46</v>
      </c>
      <c r="E5" s="56">
        <v>-8</v>
      </c>
      <c r="F5" s="148"/>
      <c r="G5" s="148"/>
      <c r="H5" s="155">
        <f t="shared" si="0"/>
        <v>153.63999999999999</v>
      </c>
      <c r="I5" s="156">
        <f t="shared" si="1"/>
        <v>106.79726233077996</v>
      </c>
      <c r="J5" s="148"/>
      <c r="K5" s="148"/>
      <c r="L5" s="159" t="s">
        <v>245</v>
      </c>
      <c r="M5" s="160">
        <f>SUMIFS(E:E, B:B, "normal")+SUMIFS(E:E, B:B, "flash")+SUMIFS(I:I, B:B, "normal")+SUMIFS(I:I, B:B, "flash")</f>
        <v>11578.257764681241</v>
      </c>
    </row>
    <row r="6" spans="1:13" ht="15.75" customHeight="1" x14ac:dyDescent="0.25">
      <c r="A6" s="18" t="s">
        <v>88</v>
      </c>
      <c r="B6" s="153" t="s">
        <v>37</v>
      </c>
      <c r="C6" s="154">
        <v>250</v>
      </c>
      <c r="D6" s="25">
        <v>760</v>
      </c>
      <c r="E6" s="56">
        <v>-10150</v>
      </c>
      <c r="F6" s="148"/>
      <c r="G6" s="148"/>
      <c r="H6" s="155">
        <f t="shared" si="0"/>
        <v>9500</v>
      </c>
      <c r="I6" s="156">
        <f t="shared" si="1"/>
        <v>6603.5797457850149</v>
      </c>
      <c r="J6" s="148"/>
      <c r="K6" s="148"/>
      <c r="L6" s="159" t="s">
        <v>246</v>
      </c>
      <c r="M6" s="160">
        <f>SUMIFS(E:E, B:B, "HT")+SUMIFS(I:I, B:B, "HT")</f>
        <v>-12510.257764681239</v>
      </c>
    </row>
    <row r="7" spans="1:13" ht="15.75" customHeight="1" x14ac:dyDescent="0.25">
      <c r="A7" s="18" t="s">
        <v>148</v>
      </c>
      <c r="B7" s="153" t="s">
        <v>44</v>
      </c>
      <c r="C7" s="154">
        <v>250</v>
      </c>
      <c r="D7" s="25">
        <v>333</v>
      </c>
      <c r="E7" s="56">
        <v>-5726</v>
      </c>
      <c r="F7" s="148"/>
      <c r="G7" s="148"/>
      <c r="H7" s="155">
        <f t="shared" si="0"/>
        <v>4162.5</v>
      </c>
      <c r="I7" s="156">
        <f t="shared" si="1"/>
        <v>2893.4105991400133</v>
      </c>
      <c r="J7" s="148"/>
      <c r="K7" s="148"/>
      <c r="L7" s="159" t="s">
        <v>247</v>
      </c>
      <c r="M7" s="160">
        <f>SUM(M5:M6)</f>
        <v>-931.99999999999818</v>
      </c>
    </row>
    <row r="8" spans="1:13" ht="14.25" x14ac:dyDescent="0.2">
      <c r="A8" s="23" t="s">
        <v>212</v>
      </c>
      <c r="B8" s="153" t="s">
        <v>174</v>
      </c>
      <c r="C8" s="154">
        <v>300</v>
      </c>
      <c r="D8" s="25">
        <v>1845</v>
      </c>
      <c r="E8" s="56">
        <v>-17851</v>
      </c>
      <c r="F8" s="148"/>
      <c r="G8" s="148"/>
      <c r="H8" s="155">
        <f t="shared" si="0"/>
        <v>8284.0500000000011</v>
      </c>
      <c r="I8" s="156">
        <f t="shared" si="1"/>
        <v>5758.3562940074071</v>
      </c>
      <c r="J8" s="148"/>
      <c r="K8" s="148"/>
      <c r="L8" s="148"/>
      <c r="M8" s="161"/>
    </row>
    <row r="9" spans="1:13" ht="14.25" x14ac:dyDescent="0.2">
      <c r="A9" s="153" t="s">
        <v>142</v>
      </c>
      <c r="B9" s="153" t="s">
        <v>37</v>
      </c>
      <c r="C9" s="154">
        <v>500</v>
      </c>
      <c r="D9" s="25">
        <v>372</v>
      </c>
      <c r="E9" s="56">
        <v>-4575</v>
      </c>
      <c r="F9" s="148"/>
      <c r="G9" s="148"/>
      <c r="H9" s="155">
        <f t="shared" si="0"/>
        <v>9300</v>
      </c>
      <c r="I9" s="156">
        <f t="shared" si="1"/>
        <v>6464.5570142948045</v>
      </c>
      <c r="J9" s="148"/>
      <c r="K9" s="148"/>
      <c r="L9" s="148"/>
      <c r="M9" s="161"/>
    </row>
    <row r="10" spans="1:13" ht="14.25" x14ac:dyDescent="0.2">
      <c r="A10" s="23" t="s">
        <v>210</v>
      </c>
      <c r="B10" s="153" t="s">
        <v>174</v>
      </c>
      <c r="C10" s="154">
        <v>500</v>
      </c>
      <c r="D10" s="25">
        <v>21</v>
      </c>
      <c r="E10" s="56">
        <v>-526</v>
      </c>
      <c r="F10" s="148"/>
      <c r="G10" s="148"/>
      <c r="H10" s="155">
        <f t="shared" si="0"/>
        <v>139.86000000000001</v>
      </c>
      <c r="I10" s="156">
        <f t="shared" si="1"/>
        <v>97.218596131104462</v>
      </c>
      <c r="J10" s="148"/>
      <c r="K10" s="148"/>
      <c r="L10" s="148"/>
      <c r="M10" s="161"/>
    </row>
    <row r="11" spans="1:13" ht="28.5" x14ac:dyDescent="0.2">
      <c r="A11" s="23" t="s">
        <v>209</v>
      </c>
      <c r="B11" s="153" t="s">
        <v>174</v>
      </c>
      <c r="C11" s="154">
        <v>1000</v>
      </c>
      <c r="D11" s="25">
        <v>17</v>
      </c>
      <c r="E11" s="56">
        <v>-189</v>
      </c>
      <c r="F11" s="148"/>
      <c r="G11" s="148"/>
      <c r="H11" s="155">
        <f t="shared" si="0"/>
        <v>189.89</v>
      </c>
      <c r="I11" s="156">
        <f t="shared" si="1"/>
        <v>131.99513241338067</v>
      </c>
      <c r="J11" s="148"/>
      <c r="K11" s="148"/>
      <c r="L11" s="148"/>
      <c r="M11" s="161"/>
    </row>
    <row r="12" spans="1:13" ht="14.25" x14ac:dyDescent="0.2">
      <c r="A12" s="18" t="s">
        <v>143</v>
      </c>
      <c r="B12" s="153" t="s">
        <v>37</v>
      </c>
      <c r="C12" s="154">
        <v>1000</v>
      </c>
      <c r="D12" s="25">
        <v>165</v>
      </c>
      <c r="E12" s="56">
        <v>10508</v>
      </c>
      <c r="F12" s="148"/>
      <c r="G12" s="148"/>
      <c r="H12" s="155">
        <f t="shared" si="0"/>
        <v>8250</v>
      </c>
      <c r="I12" s="156">
        <f t="shared" si="1"/>
        <v>5734.6876739711979</v>
      </c>
      <c r="J12" s="148"/>
      <c r="K12" s="148"/>
      <c r="L12" s="148"/>
      <c r="M12" s="161"/>
    </row>
    <row r="13" spans="1:13" ht="12.75" x14ac:dyDescent="0.2">
      <c r="M13" s="162"/>
    </row>
    <row r="14" spans="1:13" ht="12.75" x14ac:dyDescent="0.2">
      <c r="M14" s="162"/>
    </row>
    <row r="15" spans="1:13" ht="12.75" x14ac:dyDescent="0.2">
      <c r="M15" s="162"/>
    </row>
    <row r="16" spans="1:13" ht="12.75" x14ac:dyDescent="0.2">
      <c r="M16" s="162"/>
    </row>
    <row r="17" spans="13:13" ht="12.75" x14ac:dyDescent="0.2">
      <c r="M17" s="162"/>
    </row>
    <row r="18" spans="13:13" ht="12.75" x14ac:dyDescent="0.2">
      <c r="M18" s="162"/>
    </row>
    <row r="19" spans="13:13" ht="12.75" x14ac:dyDescent="0.2">
      <c r="M19" s="162"/>
    </row>
    <row r="20" spans="13:13" ht="12.75" x14ac:dyDescent="0.2">
      <c r="M20" s="162"/>
    </row>
    <row r="21" spans="13:13" ht="12.75" x14ac:dyDescent="0.2">
      <c r="M21" s="162"/>
    </row>
    <row r="22" spans="13:13" ht="12.75" x14ac:dyDescent="0.2">
      <c r="M22" s="162"/>
    </row>
    <row r="23" spans="13:13" ht="12.75" x14ac:dyDescent="0.2">
      <c r="M23" s="162"/>
    </row>
    <row r="24" spans="13:13" ht="12.75" x14ac:dyDescent="0.2">
      <c r="M24" s="162"/>
    </row>
    <row r="25" spans="13:13" ht="12.75" x14ac:dyDescent="0.2">
      <c r="M25" s="162"/>
    </row>
    <row r="26" spans="13:13" ht="12.75" x14ac:dyDescent="0.2">
      <c r="M26" s="162"/>
    </row>
    <row r="27" spans="13:13" ht="12.75" x14ac:dyDescent="0.2">
      <c r="M27" s="162"/>
    </row>
    <row r="28" spans="13:13" ht="12.75" x14ac:dyDescent="0.2">
      <c r="M28" s="162"/>
    </row>
    <row r="29" spans="13:13" ht="12.75" x14ac:dyDescent="0.2">
      <c r="M29" s="162"/>
    </row>
    <row r="30" spans="13:13" ht="12.75" x14ac:dyDescent="0.2">
      <c r="M30" s="162"/>
    </row>
    <row r="31" spans="13:13" ht="12.75" x14ac:dyDescent="0.2">
      <c r="M31" s="162"/>
    </row>
    <row r="32" spans="13:13" ht="12.75" x14ac:dyDescent="0.2">
      <c r="M32" s="162"/>
    </row>
    <row r="33" spans="13:13" ht="12.75" x14ac:dyDescent="0.2">
      <c r="M33" s="162"/>
    </row>
    <row r="34" spans="13:13" ht="12.75" x14ac:dyDescent="0.2">
      <c r="M34" s="162"/>
    </row>
    <row r="35" spans="13:13" ht="12.75" x14ac:dyDescent="0.2">
      <c r="M35" s="162"/>
    </row>
    <row r="36" spans="13:13" ht="12.75" x14ac:dyDescent="0.2">
      <c r="M36" s="162"/>
    </row>
    <row r="37" spans="13:13" ht="12.75" x14ac:dyDescent="0.2">
      <c r="M37" s="162"/>
    </row>
    <row r="38" spans="13:13" ht="12.75" x14ac:dyDescent="0.2">
      <c r="M38" s="162"/>
    </row>
    <row r="39" spans="13:13" ht="12.75" x14ac:dyDescent="0.2">
      <c r="M39" s="162"/>
    </row>
    <row r="40" spans="13:13" ht="12.75" x14ac:dyDescent="0.2">
      <c r="M40" s="162"/>
    </row>
    <row r="41" spans="13:13" ht="12.75" x14ac:dyDescent="0.2">
      <c r="M41" s="162"/>
    </row>
    <row r="42" spans="13:13" ht="12.75" x14ac:dyDescent="0.2">
      <c r="M42" s="162"/>
    </row>
    <row r="43" spans="13:13" ht="12.75" x14ac:dyDescent="0.2">
      <c r="M43" s="162"/>
    </row>
    <row r="44" spans="13:13" ht="12.75" x14ac:dyDescent="0.2">
      <c r="M44" s="162"/>
    </row>
    <row r="45" spans="13:13" ht="12.75" x14ac:dyDescent="0.2">
      <c r="M45" s="162"/>
    </row>
    <row r="46" spans="13:13" ht="12.75" x14ac:dyDescent="0.2">
      <c r="M46" s="162"/>
    </row>
    <row r="47" spans="13:13" ht="12.75" x14ac:dyDescent="0.2">
      <c r="M47" s="162"/>
    </row>
    <row r="48" spans="13:13" ht="12.75" x14ac:dyDescent="0.2">
      <c r="M48" s="162"/>
    </row>
    <row r="49" spans="13:13" ht="12.75" x14ac:dyDescent="0.2">
      <c r="M49" s="162"/>
    </row>
    <row r="50" spans="13:13" ht="12.75" x14ac:dyDescent="0.2">
      <c r="M50" s="162"/>
    </row>
    <row r="51" spans="13:13" ht="12.75" x14ac:dyDescent="0.2">
      <c r="M51" s="162"/>
    </row>
    <row r="52" spans="13:13" ht="12.75" x14ac:dyDescent="0.2">
      <c r="M52" s="162"/>
    </row>
    <row r="53" spans="13:13" ht="12.75" x14ac:dyDescent="0.2">
      <c r="M53" s="162"/>
    </row>
    <row r="54" spans="13:13" ht="12.75" x14ac:dyDescent="0.2">
      <c r="M54" s="162"/>
    </row>
    <row r="55" spans="13:13" ht="12.75" x14ac:dyDescent="0.2">
      <c r="M55" s="162"/>
    </row>
    <row r="56" spans="13:13" ht="12.75" x14ac:dyDescent="0.2">
      <c r="M56" s="162"/>
    </row>
    <row r="57" spans="13:13" ht="12.75" x14ac:dyDescent="0.2">
      <c r="M57" s="162"/>
    </row>
    <row r="58" spans="13:13" ht="12.75" x14ac:dyDescent="0.2">
      <c r="M58" s="162"/>
    </row>
    <row r="59" spans="13:13" ht="12.75" x14ac:dyDescent="0.2">
      <c r="M59" s="162"/>
    </row>
    <row r="60" spans="13:13" ht="12.75" x14ac:dyDescent="0.2">
      <c r="M60" s="162"/>
    </row>
    <row r="61" spans="13:13" ht="12.75" x14ac:dyDescent="0.2">
      <c r="M61" s="162"/>
    </row>
    <row r="62" spans="13:13" ht="12.75" x14ac:dyDescent="0.2">
      <c r="M62" s="162"/>
    </row>
    <row r="63" spans="13:13" ht="12.75" x14ac:dyDescent="0.2">
      <c r="M63" s="162"/>
    </row>
    <row r="64" spans="13:13" ht="12.75" x14ac:dyDescent="0.2">
      <c r="M64" s="162"/>
    </row>
    <row r="65" spans="13:13" ht="12.75" x14ac:dyDescent="0.2">
      <c r="M65" s="162"/>
    </row>
    <row r="66" spans="13:13" ht="12.75" x14ac:dyDescent="0.2">
      <c r="M66" s="162"/>
    </row>
    <row r="67" spans="13:13" ht="12.75" x14ac:dyDescent="0.2">
      <c r="M67" s="162"/>
    </row>
    <row r="68" spans="13:13" ht="12.75" x14ac:dyDescent="0.2">
      <c r="M68" s="162"/>
    </row>
    <row r="69" spans="13:13" ht="12.75" x14ac:dyDescent="0.2">
      <c r="M69" s="162"/>
    </row>
    <row r="70" spans="13:13" ht="12.75" x14ac:dyDescent="0.2">
      <c r="M70" s="162"/>
    </row>
    <row r="71" spans="13:13" ht="12.75" x14ac:dyDescent="0.2">
      <c r="M71" s="162"/>
    </row>
    <row r="72" spans="13:13" ht="12.75" x14ac:dyDescent="0.2">
      <c r="M72" s="162"/>
    </row>
    <row r="73" spans="13:13" ht="12.75" x14ac:dyDescent="0.2">
      <c r="M73" s="162"/>
    </row>
    <row r="74" spans="13:13" ht="12.75" x14ac:dyDescent="0.2">
      <c r="M74" s="162"/>
    </row>
    <row r="75" spans="13:13" ht="12.75" x14ac:dyDescent="0.2">
      <c r="M75" s="162"/>
    </row>
    <row r="76" spans="13:13" ht="12.75" x14ac:dyDescent="0.2">
      <c r="M76" s="162"/>
    </row>
    <row r="77" spans="13:13" ht="12.75" x14ac:dyDescent="0.2">
      <c r="M77" s="162"/>
    </row>
    <row r="78" spans="13:13" ht="12.75" x14ac:dyDescent="0.2">
      <c r="M78" s="162"/>
    </row>
    <row r="79" spans="13:13" ht="12.75" x14ac:dyDescent="0.2">
      <c r="M79" s="162"/>
    </row>
    <row r="80" spans="13:13" ht="12.75" x14ac:dyDescent="0.2">
      <c r="M80" s="162"/>
    </row>
    <row r="81" spans="13:13" ht="12.75" x14ac:dyDescent="0.2">
      <c r="M81" s="162"/>
    </row>
    <row r="82" spans="13:13" ht="12.75" x14ac:dyDescent="0.2">
      <c r="M82" s="162"/>
    </row>
    <row r="83" spans="13:13" ht="12.75" x14ac:dyDescent="0.2">
      <c r="M83" s="162"/>
    </row>
    <row r="84" spans="13:13" ht="12.75" x14ac:dyDescent="0.2">
      <c r="M84" s="162"/>
    </row>
    <row r="85" spans="13:13" ht="12.75" x14ac:dyDescent="0.2">
      <c r="M85" s="162"/>
    </row>
    <row r="86" spans="13:13" ht="12.75" x14ac:dyDescent="0.2">
      <c r="M86" s="162"/>
    </row>
    <row r="87" spans="13:13" ht="12.75" x14ac:dyDescent="0.2">
      <c r="M87" s="162"/>
    </row>
    <row r="88" spans="13:13" ht="12.75" x14ac:dyDescent="0.2">
      <c r="M88" s="162"/>
    </row>
    <row r="89" spans="13:13" ht="12.75" x14ac:dyDescent="0.2">
      <c r="M89" s="162"/>
    </row>
    <row r="90" spans="13:13" ht="12.75" x14ac:dyDescent="0.2">
      <c r="M90" s="162"/>
    </row>
    <row r="91" spans="13:13" ht="12.75" x14ac:dyDescent="0.2">
      <c r="M91" s="162"/>
    </row>
    <row r="92" spans="13:13" ht="12.75" x14ac:dyDescent="0.2">
      <c r="M92" s="162"/>
    </row>
    <row r="93" spans="13:13" ht="12.75" x14ac:dyDescent="0.2">
      <c r="M93" s="162"/>
    </row>
    <row r="94" spans="13:13" ht="12.75" x14ac:dyDescent="0.2">
      <c r="M94" s="162"/>
    </row>
    <row r="95" spans="13:13" ht="12.75" x14ac:dyDescent="0.2">
      <c r="M95" s="162"/>
    </row>
    <row r="96" spans="13:13" ht="12.75" x14ac:dyDescent="0.2">
      <c r="M96" s="162"/>
    </row>
    <row r="97" spans="13:13" ht="12.75" x14ac:dyDescent="0.2">
      <c r="M97" s="162"/>
    </row>
    <row r="98" spans="13:13" ht="12.75" x14ac:dyDescent="0.2">
      <c r="M98" s="162"/>
    </row>
    <row r="99" spans="13:13" ht="12.75" x14ac:dyDescent="0.2">
      <c r="M99" s="162"/>
    </row>
    <row r="100" spans="13:13" ht="12.75" x14ac:dyDescent="0.2">
      <c r="M100" s="162"/>
    </row>
    <row r="101" spans="13:13" ht="12.75" x14ac:dyDescent="0.2">
      <c r="M101" s="162"/>
    </row>
    <row r="102" spans="13:13" ht="12.75" x14ac:dyDescent="0.2">
      <c r="M102" s="162"/>
    </row>
    <row r="103" spans="13:13" ht="12.75" x14ac:dyDescent="0.2">
      <c r="M103" s="162"/>
    </row>
    <row r="104" spans="13:13" ht="12.75" x14ac:dyDescent="0.2">
      <c r="M104" s="162"/>
    </row>
    <row r="105" spans="13:13" ht="12.75" x14ac:dyDescent="0.2">
      <c r="M105" s="162"/>
    </row>
    <row r="106" spans="13:13" ht="12.75" x14ac:dyDescent="0.2">
      <c r="M106" s="162"/>
    </row>
    <row r="107" spans="13:13" ht="12.75" x14ac:dyDescent="0.2">
      <c r="M107" s="162"/>
    </row>
    <row r="108" spans="13:13" ht="12.75" x14ac:dyDescent="0.2">
      <c r="M108" s="162"/>
    </row>
    <row r="109" spans="13:13" ht="12.75" x14ac:dyDescent="0.2">
      <c r="M109" s="162"/>
    </row>
    <row r="110" spans="13:13" ht="12.75" x14ac:dyDescent="0.2">
      <c r="M110" s="162"/>
    </row>
    <row r="111" spans="13:13" ht="12.75" x14ac:dyDescent="0.2">
      <c r="M111" s="162"/>
    </row>
    <row r="112" spans="13:13" ht="12.75" x14ac:dyDescent="0.2">
      <c r="M112" s="162"/>
    </row>
    <row r="113" spans="13:13" ht="12.75" x14ac:dyDescent="0.2">
      <c r="M113" s="162"/>
    </row>
    <row r="114" spans="13:13" ht="12.75" x14ac:dyDescent="0.2">
      <c r="M114" s="162"/>
    </row>
    <row r="115" spans="13:13" ht="12.75" x14ac:dyDescent="0.2">
      <c r="M115" s="162"/>
    </row>
    <row r="116" spans="13:13" ht="12.75" x14ac:dyDescent="0.2">
      <c r="M116" s="162"/>
    </row>
    <row r="117" spans="13:13" ht="12.75" x14ac:dyDescent="0.2">
      <c r="M117" s="162"/>
    </row>
    <row r="118" spans="13:13" ht="12.75" x14ac:dyDescent="0.2">
      <c r="M118" s="162"/>
    </row>
    <row r="119" spans="13:13" ht="12.75" x14ac:dyDescent="0.2">
      <c r="M119" s="162"/>
    </row>
    <row r="120" spans="13:13" ht="12.75" x14ac:dyDescent="0.2">
      <c r="M120" s="162"/>
    </row>
    <row r="121" spans="13:13" ht="12.75" x14ac:dyDescent="0.2">
      <c r="M121" s="162"/>
    </row>
    <row r="122" spans="13:13" ht="12.75" x14ac:dyDescent="0.2">
      <c r="M122" s="162"/>
    </row>
    <row r="123" spans="13:13" ht="12.75" x14ac:dyDescent="0.2">
      <c r="M123" s="162"/>
    </row>
    <row r="124" spans="13:13" ht="12.75" x14ac:dyDescent="0.2">
      <c r="M124" s="162"/>
    </row>
    <row r="125" spans="13:13" ht="12.75" x14ac:dyDescent="0.2">
      <c r="M125" s="162"/>
    </row>
    <row r="126" spans="13:13" ht="12.75" x14ac:dyDescent="0.2">
      <c r="M126" s="162"/>
    </row>
    <row r="127" spans="13:13" ht="12.75" x14ac:dyDescent="0.2">
      <c r="M127" s="162"/>
    </row>
    <row r="128" spans="13:13" ht="12.75" x14ac:dyDescent="0.2">
      <c r="M128" s="162"/>
    </row>
    <row r="129" spans="13:13" ht="12.75" x14ac:dyDescent="0.2">
      <c r="M129" s="162"/>
    </row>
    <row r="130" spans="13:13" ht="12.75" x14ac:dyDescent="0.2">
      <c r="M130" s="162"/>
    </row>
    <row r="131" spans="13:13" ht="12.75" x14ac:dyDescent="0.2">
      <c r="M131" s="162"/>
    </row>
    <row r="132" spans="13:13" ht="12.75" x14ac:dyDescent="0.2">
      <c r="M132" s="162"/>
    </row>
    <row r="133" spans="13:13" ht="12.75" x14ac:dyDescent="0.2">
      <c r="M133" s="162"/>
    </row>
    <row r="134" spans="13:13" ht="12.75" x14ac:dyDescent="0.2">
      <c r="M134" s="162"/>
    </row>
    <row r="135" spans="13:13" ht="12.75" x14ac:dyDescent="0.2">
      <c r="M135" s="162"/>
    </row>
    <row r="136" spans="13:13" ht="12.75" x14ac:dyDescent="0.2">
      <c r="M136" s="162"/>
    </row>
    <row r="137" spans="13:13" ht="12.75" x14ac:dyDescent="0.2">
      <c r="M137" s="162"/>
    </row>
    <row r="138" spans="13:13" ht="12.75" x14ac:dyDescent="0.2">
      <c r="M138" s="162"/>
    </row>
    <row r="139" spans="13:13" ht="12.75" x14ac:dyDescent="0.2">
      <c r="M139" s="162"/>
    </row>
    <row r="140" spans="13:13" ht="12.75" x14ac:dyDescent="0.2">
      <c r="M140" s="162"/>
    </row>
    <row r="141" spans="13:13" ht="12.75" x14ac:dyDescent="0.2">
      <c r="M141" s="162"/>
    </row>
    <row r="142" spans="13:13" ht="12.75" x14ac:dyDescent="0.2">
      <c r="M142" s="162"/>
    </row>
    <row r="143" spans="13:13" ht="12.75" x14ac:dyDescent="0.2">
      <c r="M143" s="162"/>
    </row>
    <row r="144" spans="13:13" ht="12.75" x14ac:dyDescent="0.2">
      <c r="M144" s="162"/>
    </row>
    <row r="145" spans="13:13" ht="12.75" x14ac:dyDescent="0.2">
      <c r="M145" s="162"/>
    </row>
    <row r="146" spans="13:13" ht="12.75" x14ac:dyDescent="0.2">
      <c r="M146" s="162"/>
    </row>
    <row r="147" spans="13:13" ht="12.75" x14ac:dyDescent="0.2">
      <c r="M147" s="162"/>
    </row>
    <row r="148" spans="13:13" ht="12.75" x14ac:dyDescent="0.2">
      <c r="M148" s="162"/>
    </row>
    <row r="149" spans="13:13" ht="12.75" x14ac:dyDescent="0.2">
      <c r="M149" s="162"/>
    </row>
    <row r="150" spans="13:13" ht="12.75" x14ac:dyDescent="0.2">
      <c r="M150" s="162"/>
    </row>
    <row r="151" spans="13:13" ht="12.75" x14ac:dyDescent="0.2">
      <c r="M151" s="162"/>
    </row>
    <row r="152" spans="13:13" ht="12.75" x14ac:dyDescent="0.2">
      <c r="M152" s="162"/>
    </row>
    <row r="153" spans="13:13" ht="12.75" x14ac:dyDescent="0.2">
      <c r="M153" s="162"/>
    </row>
    <row r="154" spans="13:13" ht="12.75" x14ac:dyDescent="0.2">
      <c r="M154" s="162"/>
    </row>
    <row r="155" spans="13:13" ht="12.75" x14ac:dyDescent="0.2">
      <c r="M155" s="162"/>
    </row>
    <row r="156" spans="13:13" ht="12.75" x14ac:dyDescent="0.2">
      <c r="M156" s="162"/>
    </row>
    <row r="157" spans="13:13" ht="12.75" x14ac:dyDescent="0.2">
      <c r="M157" s="162"/>
    </row>
    <row r="158" spans="13:13" ht="12.75" x14ac:dyDescent="0.2">
      <c r="M158" s="162"/>
    </row>
    <row r="159" spans="13:13" ht="12.75" x14ac:dyDescent="0.2">
      <c r="M159" s="162"/>
    </row>
    <row r="160" spans="13:13" ht="12.75" x14ac:dyDescent="0.2">
      <c r="M160" s="162"/>
    </row>
    <row r="161" spans="13:13" ht="12.75" x14ac:dyDescent="0.2">
      <c r="M161" s="162"/>
    </row>
    <row r="162" spans="13:13" ht="12.75" x14ac:dyDescent="0.2">
      <c r="M162" s="162"/>
    </row>
    <row r="163" spans="13:13" ht="12.75" x14ac:dyDescent="0.2">
      <c r="M163" s="162"/>
    </row>
    <row r="164" spans="13:13" ht="12.75" x14ac:dyDescent="0.2">
      <c r="M164" s="162"/>
    </row>
    <row r="165" spans="13:13" ht="12.75" x14ac:dyDescent="0.2">
      <c r="M165" s="162"/>
    </row>
    <row r="166" spans="13:13" ht="12.75" x14ac:dyDescent="0.2">
      <c r="M166" s="162"/>
    </row>
    <row r="167" spans="13:13" ht="12.75" x14ac:dyDescent="0.2">
      <c r="M167" s="162"/>
    </row>
    <row r="168" spans="13:13" ht="12.75" x14ac:dyDescent="0.2">
      <c r="M168" s="162"/>
    </row>
    <row r="169" spans="13:13" ht="12.75" x14ac:dyDescent="0.2">
      <c r="M169" s="162"/>
    </row>
    <row r="170" spans="13:13" ht="12.75" x14ac:dyDescent="0.2">
      <c r="M170" s="162"/>
    </row>
    <row r="171" spans="13:13" ht="12.75" x14ac:dyDescent="0.2">
      <c r="M171" s="162"/>
    </row>
    <row r="172" spans="13:13" ht="12.75" x14ac:dyDescent="0.2">
      <c r="M172" s="162"/>
    </row>
    <row r="173" spans="13:13" ht="12.75" x14ac:dyDescent="0.2">
      <c r="M173" s="162"/>
    </row>
    <row r="174" spans="13:13" ht="12.75" x14ac:dyDescent="0.2">
      <c r="M174" s="162"/>
    </row>
    <row r="175" spans="13:13" ht="12.75" x14ac:dyDescent="0.2">
      <c r="M175" s="162"/>
    </row>
    <row r="176" spans="13:13" ht="12.75" x14ac:dyDescent="0.2">
      <c r="M176" s="162"/>
    </row>
    <row r="177" spans="13:13" ht="12.75" x14ac:dyDescent="0.2">
      <c r="M177" s="162"/>
    </row>
    <row r="178" spans="13:13" ht="12.75" x14ac:dyDescent="0.2">
      <c r="M178" s="162"/>
    </row>
    <row r="179" spans="13:13" ht="12.75" x14ac:dyDescent="0.2">
      <c r="M179" s="162"/>
    </row>
    <row r="180" spans="13:13" ht="12.75" x14ac:dyDescent="0.2">
      <c r="M180" s="162"/>
    </row>
    <row r="181" spans="13:13" ht="12.75" x14ac:dyDescent="0.2">
      <c r="M181" s="162"/>
    </row>
    <row r="182" spans="13:13" ht="12.75" x14ac:dyDescent="0.2">
      <c r="M182" s="162"/>
    </row>
    <row r="183" spans="13:13" ht="12.75" x14ac:dyDescent="0.2">
      <c r="M183" s="162"/>
    </row>
    <row r="184" spans="13:13" ht="12.75" x14ac:dyDescent="0.2">
      <c r="M184" s="162"/>
    </row>
    <row r="185" spans="13:13" ht="12.75" x14ac:dyDescent="0.2">
      <c r="M185" s="162"/>
    </row>
    <row r="186" spans="13:13" ht="12.75" x14ac:dyDescent="0.2">
      <c r="M186" s="162"/>
    </row>
    <row r="187" spans="13:13" ht="12.75" x14ac:dyDescent="0.2">
      <c r="M187" s="162"/>
    </row>
    <row r="188" spans="13:13" ht="12.75" x14ac:dyDescent="0.2">
      <c r="M188" s="162"/>
    </row>
    <row r="189" spans="13:13" ht="12.75" x14ac:dyDescent="0.2">
      <c r="M189" s="162"/>
    </row>
    <row r="190" spans="13:13" ht="12.75" x14ac:dyDescent="0.2">
      <c r="M190" s="162"/>
    </row>
    <row r="191" spans="13:13" ht="12.75" x14ac:dyDescent="0.2">
      <c r="M191" s="162"/>
    </row>
    <row r="192" spans="13:13" ht="12.75" x14ac:dyDescent="0.2">
      <c r="M192" s="162"/>
    </row>
    <row r="193" spans="13:13" ht="12.75" x14ac:dyDescent="0.2">
      <c r="M193" s="162"/>
    </row>
    <row r="194" spans="13:13" ht="12.75" x14ac:dyDescent="0.2">
      <c r="M194" s="162"/>
    </row>
    <row r="195" spans="13:13" ht="12.75" x14ac:dyDescent="0.2">
      <c r="M195" s="162"/>
    </row>
    <row r="196" spans="13:13" ht="12.75" x14ac:dyDescent="0.2">
      <c r="M196" s="162"/>
    </row>
    <row r="197" spans="13:13" ht="12.75" x14ac:dyDescent="0.2">
      <c r="M197" s="162"/>
    </row>
    <row r="198" spans="13:13" ht="12.75" x14ac:dyDescent="0.2">
      <c r="M198" s="162"/>
    </row>
    <row r="199" spans="13:13" ht="12.75" x14ac:dyDescent="0.2">
      <c r="M199" s="162"/>
    </row>
    <row r="200" spans="13:13" ht="12.75" x14ac:dyDescent="0.2">
      <c r="M200" s="162"/>
    </row>
    <row r="201" spans="13:13" ht="12.75" x14ac:dyDescent="0.2">
      <c r="M201" s="162"/>
    </row>
    <row r="202" spans="13:13" ht="12.75" x14ac:dyDescent="0.2">
      <c r="M202" s="162"/>
    </row>
    <row r="203" spans="13:13" ht="12.75" x14ac:dyDescent="0.2">
      <c r="M203" s="162"/>
    </row>
    <row r="204" spans="13:13" ht="12.75" x14ac:dyDescent="0.2">
      <c r="M204" s="162"/>
    </row>
    <row r="205" spans="13:13" ht="12.75" x14ac:dyDescent="0.2">
      <c r="M205" s="162"/>
    </row>
    <row r="206" spans="13:13" ht="12.75" x14ac:dyDescent="0.2">
      <c r="M206" s="162"/>
    </row>
    <row r="207" spans="13:13" ht="12.75" x14ac:dyDescent="0.2">
      <c r="M207" s="162"/>
    </row>
    <row r="208" spans="13:13" ht="12.75" x14ac:dyDescent="0.2">
      <c r="M208" s="162"/>
    </row>
    <row r="209" spans="13:13" ht="12.75" x14ac:dyDescent="0.2">
      <c r="M209" s="162"/>
    </row>
    <row r="210" spans="13:13" ht="12.75" x14ac:dyDescent="0.2">
      <c r="M210" s="162"/>
    </row>
    <row r="211" spans="13:13" ht="12.75" x14ac:dyDescent="0.2">
      <c r="M211" s="162"/>
    </row>
    <row r="212" spans="13:13" ht="12.75" x14ac:dyDescent="0.2">
      <c r="M212" s="162"/>
    </row>
    <row r="213" spans="13:13" ht="12.75" x14ac:dyDescent="0.2">
      <c r="M213" s="162"/>
    </row>
    <row r="214" spans="13:13" ht="12.75" x14ac:dyDescent="0.2">
      <c r="M214" s="162"/>
    </row>
    <row r="215" spans="13:13" ht="12.75" x14ac:dyDescent="0.2">
      <c r="M215" s="162"/>
    </row>
    <row r="216" spans="13:13" ht="12.75" x14ac:dyDescent="0.2">
      <c r="M216" s="162"/>
    </row>
    <row r="217" spans="13:13" ht="12.75" x14ac:dyDescent="0.2">
      <c r="M217" s="162"/>
    </row>
    <row r="218" spans="13:13" ht="12.75" x14ac:dyDescent="0.2">
      <c r="M218" s="162"/>
    </row>
    <row r="219" spans="13:13" ht="12.75" x14ac:dyDescent="0.2">
      <c r="M219" s="162"/>
    </row>
    <row r="220" spans="13:13" ht="12.75" x14ac:dyDescent="0.2">
      <c r="M220" s="162"/>
    </row>
    <row r="221" spans="13:13" ht="12.75" x14ac:dyDescent="0.2">
      <c r="M221" s="162"/>
    </row>
    <row r="222" spans="13:13" ht="12.75" x14ac:dyDescent="0.2">
      <c r="M222" s="162"/>
    </row>
    <row r="223" spans="13:13" ht="12.75" x14ac:dyDescent="0.2">
      <c r="M223" s="162"/>
    </row>
    <row r="224" spans="13:13" ht="12.75" x14ac:dyDescent="0.2">
      <c r="M224" s="162"/>
    </row>
    <row r="225" spans="13:13" ht="12.75" x14ac:dyDescent="0.2">
      <c r="M225" s="162"/>
    </row>
    <row r="226" spans="13:13" ht="12.75" x14ac:dyDescent="0.2">
      <c r="M226" s="162"/>
    </row>
    <row r="227" spans="13:13" ht="12.75" x14ac:dyDescent="0.2">
      <c r="M227" s="162"/>
    </row>
    <row r="228" spans="13:13" ht="12.75" x14ac:dyDescent="0.2">
      <c r="M228" s="162"/>
    </row>
    <row r="229" spans="13:13" ht="12.75" x14ac:dyDescent="0.2">
      <c r="M229" s="162"/>
    </row>
    <row r="230" spans="13:13" ht="12.75" x14ac:dyDescent="0.2">
      <c r="M230" s="162"/>
    </row>
    <row r="231" spans="13:13" ht="12.75" x14ac:dyDescent="0.2">
      <c r="M231" s="162"/>
    </row>
    <row r="232" spans="13:13" ht="12.75" x14ac:dyDescent="0.2">
      <c r="M232" s="162"/>
    </row>
    <row r="233" spans="13:13" ht="12.75" x14ac:dyDescent="0.2">
      <c r="M233" s="162"/>
    </row>
    <row r="234" spans="13:13" ht="12.75" x14ac:dyDescent="0.2">
      <c r="M234" s="162"/>
    </row>
    <row r="235" spans="13:13" ht="12.75" x14ac:dyDescent="0.2">
      <c r="M235" s="162"/>
    </row>
    <row r="236" spans="13:13" ht="12.75" x14ac:dyDescent="0.2">
      <c r="M236" s="162"/>
    </row>
    <row r="237" spans="13:13" ht="12.75" x14ac:dyDescent="0.2">
      <c r="M237" s="162"/>
    </row>
    <row r="238" spans="13:13" ht="12.75" x14ac:dyDescent="0.2">
      <c r="M238" s="162"/>
    </row>
    <row r="239" spans="13:13" ht="12.75" x14ac:dyDescent="0.2">
      <c r="M239" s="162"/>
    </row>
    <row r="240" spans="13:13" ht="12.75" x14ac:dyDescent="0.2">
      <c r="M240" s="162"/>
    </row>
    <row r="241" spans="13:13" ht="12.75" x14ac:dyDescent="0.2">
      <c r="M241" s="162"/>
    </row>
    <row r="242" spans="13:13" ht="12.75" x14ac:dyDescent="0.2">
      <c r="M242" s="162"/>
    </row>
    <row r="243" spans="13:13" ht="12.75" x14ac:dyDescent="0.2">
      <c r="M243" s="162"/>
    </row>
    <row r="244" spans="13:13" ht="12.75" x14ac:dyDescent="0.2">
      <c r="M244" s="162"/>
    </row>
    <row r="245" spans="13:13" ht="12.75" x14ac:dyDescent="0.2">
      <c r="M245" s="162"/>
    </row>
    <row r="246" spans="13:13" ht="12.75" x14ac:dyDescent="0.2">
      <c r="M246" s="162"/>
    </row>
    <row r="247" spans="13:13" ht="12.75" x14ac:dyDescent="0.2">
      <c r="M247" s="162"/>
    </row>
    <row r="248" spans="13:13" ht="12.75" x14ac:dyDescent="0.2">
      <c r="M248" s="162"/>
    </row>
    <row r="249" spans="13:13" ht="12.75" x14ac:dyDescent="0.2">
      <c r="M249" s="162"/>
    </row>
    <row r="250" spans="13:13" ht="12.75" x14ac:dyDescent="0.2">
      <c r="M250" s="162"/>
    </row>
    <row r="251" spans="13:13" ht="12.75" x14ac:dyDescent="0.2">
      <c r="M251" s="162"/>
    </row>
    <row r="252" spans="13:13" ht="12.75" x14ac:dyDescent="0.2">
      <c r="M252" s="162"/>
    </row>
    <row r="253" spans="13:13" ht="12.75" x14ac:dyDescent="0.2">
      <c r="M253" s="162"/>
    </row>
    <row r="254" spans="13:13" ht="12.75" x14ac:dyDescent="0.2">
      <c r="M254" s="162"/>
    </row>
    <row r="255" spans="13:13" ht="12.75" x14ac:dyDescent="0.2">
      <c r="M255" s="162"/>
    </row>
    <row r="256" spans="13:13" ht="12.75" x14ac:dyDescent="0.2">
      <c r="M256" s="162"/>
    </row>
    <row r="257" spans="13:13" ht="12.75" x14ac:dyDescent="0.2">
      <c r="M257" s="162"/>
    </row>
    <row r="258" spans="13:13" ht="12.75" x14ac:dyDescent="0.2">
      <c r="M258" s="162"/>
    </row>
    <row r="259" spans="13:13" ht="12.75" x14ac:dyDescent="0.2">
      <c r="M259" s="162"/>
    </row>
    <row r="260" spans="13:13" ht="12.75" x14ac:dyDescent="0.2">
      <c r="M260" s="162"/>
    </row>
    <row r="261" spans="13:13" ht="12.75" x14ac:dyDescent="0.2">
      <c r="M261" s="162"/>
    </row>
    <row r="262" spans="13:13" ht="12.75" x14ac:dyDescent="0.2">
      <c r="M262" s="162"/>
    </row>
    <row r="263" spans="13:13" ht="12.75" x14ac:dyDescent="0.2">
      <c r="M263" s="162"/>
    </row>
    <row r="264" spans="13:13" ht="12.75" x14ac:dyDescent="0.2">
      <c r="M264" s="162"/>
    </row>
    <row r="265" spans="13:13" ht="12.75" x14ac:dyDescent="0.2">
      <c r="M265" s="162"/>
    </row>
    <row r="266" spans="13:13" ht="12.75" x14ac:dyDescent="0.2">
      <c r="M266" s="162"/>
    </row>
    <row r="267" spans="13:13" ht="12.75" x14ac:dyDescent="0.2">
      <c r="M267" s="162"/>
    </row>
    <row r="268" spans="13:13" ht="12.75" x14ac:dyDescent="0.2">
      <c r="M268" s="162"/>
    </row>
    <row r="269" spans="13:13" ht="12.75" x14ac:dyDescent="0.2">
      <c r="M269" s="162"/>
    </row>
    <row r="270" spans="13:13" ht="12.75" x14ac:dyDescent="0.2">
      <c r="M270" s="162"/>
    </row>
    <row r="271" spans="13:13" ht="12.75" x14ac:dyDescent="0.2">
      <c r="M271" s="162"/>
    </row>
    <row r="272" spans="13:13" ht="12.75" x14ac:dyDescent="0.2">
      <c r="M272" s="162"/>
    </row>
    <row r="273" spans="13:13" ht="12.75" x14ac:dyDescent="0.2">
      <c r="M273" s="162"/>
    </row>
    <row r="274" spans="13:13" ht="12.75" x14ac:dyDescent="0.2">
      <c r="M274" s="162"/>
    </row>
    <row r="275" spans="13:13" ht="12.75" x14ac:dyDescent="0.2">
      <c r="M275" s="162"/>
    </row>
    <row r="276" spans="13:13" ht="12.75" x14ac:dyDescent="0.2">
      <c r="M276" s="162"/>
    </row>
    <row r="277" spans="13:13" ht="12.75" x14ac:dyDescent="0.2">
      <c r="M277" s="162"/>
    </row>
    <row r="278" spans="13:13" ht="12.75" x14ac:dyDescent="0.2">
      <c r="M278" s="162"/>
    </row>
    <row r="279" spans="13:13" ht="12.75" x14ac:dyDescent="0.2">
      <c r="M279" s="162"/>
    </row>
    <row r="280" spans="13:13" ht="12.75" x14ac:dyDescent="0.2">
      <c r="M280" s="162"/>
    </row>
    <row r="281" spans="13:13" ht="12.75" x14ac:dyDescent="0.2">
      <c r="M281" s="162"/>
    </row>
    <row r="282" spans="13:13" ht="12.75" x14ac:dyDescent="0.2">
      <c r="M282" s="162"/>
    </row>
    <row r="283" spans="13:13" ht="12.75" x14ac:dyDescent="0.2">
      <c r="M283" s="162"/>
    </row>
    <row r="284" spans="13:13" ht="12.75" x14ac:dyDescent="0.2">
      <c r="M284" s="162"/>
    </row>
    <row r="285" spans="13:13" ht="12.75" x14ac:dyDescent="0.2">
      <c r="M285" s="162"/>
    </row>
    <row r="286" spans="13:13" ht="12.75" x14ac:dyDescent="0.2">
      <c r="M286" s="162"/>
    </row>
    <row r="287" spans="13:13" ht="12.75" x14ac:dyDescent="0.2">
      <c r="M287" s="162"/>
    </row>
    <row r="288" spans="13:13" ht="12.75" x14ac:dyDescent="0.2">
      <c r="M288" s="162"/>
    </row>
    <row r="289" spans="13:13" ht="12.75" x14ac:dyDescent="0.2">
      <c r="M289" s="162"/>
    </row>
    <row r="290" spans="13:13" ht="12.75" x14ac:dyDescent="0.2">
      <c r="M290" s="162"/>
    </row>
    <row r="291" spans="13:13" ht="12.75" x14ac:dyDescent="0.2">
      <c r="M291" s="162"/>
    </row>
    <row r="292" spans="13:13" ht="12.75" x14ac:dyDescent="0.2">
      <c r="M292" s="162"/>
    </row>
    <row r="293" spans="13:13" ht="12.75" x14ac:dyDescent="0.2">
      <c r="M293" s="162"/>
    </row>
    <row r="294" spans="13:13" ht="12.75" x14ac:dyDescent="0.2">
      <c r="M294" s="162"/>
    </row>
    <row r="295" spans="13:13" ht="12.75" x14ac:dyDescent="0.2">
      <c r="M295" s="162"/>
    </row>
    <row r="296" spans="13:13" ht="12.75" x14ac:dyDescent="0.2">
      <c r="M296" s="162"/>
    </row>
    <row r="297" spans="13:13" ht="12.75" x14ac:dyDescent="0.2">
      <c r="M297" s="162"/>
    </row>
    <row r="298" spans="13:13" ht="12.75" x14ac:dyDescent="0.2">
      <c r="M298" s="162"/>
    </row>
    <row r="299" spans="13:13" ht="12.75" x14ac:dyDescent="0.2">
      <c r="M299" s="162"/>
    </row>
    <row r="300" spans="13:13" ht="12.75" x14ac:dyDescent="0.2">
      <c r="M300" s="162"/>
    </row>
    <row r="301" spans="13:13" ht="12.75" x14ac:dyDescent="0.2">
      <c r="M301" s="162"/>
    </row>
    <row r="302" spans="13:13" ht="12.75" x14ac:dyDescent="0.2">
      <c r="M302" s="162"/>
    </row>
    <row r="303" spans="13:13" ht="12.75" x14ac:dyDescent="0.2">
      <c r="M303" s="162"/>
    </row>
    <row r="304" spans="13:13" ht="12.75" x14ac:dyDescent="0.2">
      <c r="M304" s="162"/>
    </row>
    <row r="305" spans="13:13" ht="12.75" x14ac:dyDescent="0.2">
      <c r="M305" s="162"/>
    </row>
    <row r="306" spans="13:13" ht="12.75" x14ac:dyDescent="0.2">
      <c r="M306" s="162"/>
    </row>
    <row r="307" spans="13:13" ht="12.75" x14ac:dyDescent="0.2">
      <c r="M307" s="162"/>
    </row>
    <row r="308" spans="13:13" ht="12.75" x14ac:dyDescent="0.2">
      <c r="M308" s="162"/>
    </row>
    <row r="309" spans="13:13" ht="12.75" x14ac:dyDescent="0.2">
      <c r="M309" s="162"/>
    </row>
    <row r="310" spans="13:13" ht="12.75" x14ac:dyDescent="0.2">
      <c r="M310" s="162"/>
    </row>
    <row r="311" spans="13:13" ht="12.75" x14ac:dyDescent="0.2">
      <c r="M311" s="162"/>
    </row>
    <row r="312" spans="13:13" ht="12.75" x14ac:dyDescent="0.2">
      <c r="M312" s="162"/>
    </row>
    <row r="313" spans="13:13" ht="12.75" x14ac:dyDescent="0.2">
      <c r="M313" s="162"/>
    </row>
    <row r="314" spans="13:13" ht="12.75" x14ac:dyDescent="0.2">
      <c r="M314" s="162"/>
    </row>
    <row r="315" spans="13:13" ht="12.75" x14ac:dyDescent="0.2">
      <c r="M315" s="162"/>
    </row>
    <row r="316" spans="13:13" ht="12.75" x14ac:dyDescent="0.2">
      <c r="M316" s="162"/>
    </row>
    <row r="317" spans="13:13" ht="12.75" x14ac:dyDescent="0.2">
      <c r="M317" s="162"/>
    </row>
    <row r="318" spans="13:13" ht="12.75" x14ac:dyDescent="0.2">
      <c r="M318" s="162"/>
    </row>
    <row r="319" spans="13:13" ht="12.75" x14ac:dyDescent="0.2">
      <c r="M319" s="162"/>
    </row>
    <row r="320" spans="13:13" ht="12.75" x14ac:dyDescent="0.2">
      <c r="M320" s="162"/>
    </row>
    <row r="321" spans="13:13" ht="12.75" x14ac:dyDescent="0.2">
      <c r="M321" s="162"/>
    </row>
    <row r="322" spans="13:13" ht="12.75" x14ac:dyDescent="0.2">
      <c r="M322" s="162"/>
    </row>
    <row r="323" spans="13:13" ht="12.75" x14ac:dyDescent="0.2">
      <c r="M323" s="162"/>
    </row>
    <row r="324" spans="13:13" ht="12.75" x14ac:dyDescent="0.2">
      <c r="M324" s="162"/>
    </row>
    <row r="325" spans="13:13" ht="12.75" x14ac:dyDescent="0.2">
      <c r="M325" s="162"/>
    </row>
    <row r="326" spans="13:13" ht="12.75" x14ac:dyDescent="0.2">
      <c r="M326" s="162"/>
    </row>
    <row r="327" spans="13:13" ht="12.75" x14ac:dyDescent="0.2">
      <c r="M327" s="162"/>
    </row>
    <row r="328" spans="13:13" ht="12.75" x14ac:dyDescent="0.2">
      <c r="M328" s="162"/>
    </row>
    <row r="329" spans="13:13" ht="12.75" x14ac:dyDescent="0.2">
      <c r="M329" s="162"/>
    </row>
    <row r="330" spans="13:13" ht="12.75" x14ac:dyDescent="0.2">
      <c r="M330" s="162"/>
    </row>
    <row r="331" spans="13:13" ht="12.75" x14ac:dyDescent="0.2">
      <c r="M331" s="162"/>
    </row>
    <row r="332" spans="13:13" ht="12.75" x14ac:dyDescent="0.2">
      <c r="M332" s="162"/>
    </row>
    <row r="333" spans="13:13" ht="12.75" x14ac:dyDescent="0.2">
      <c r="M333" s="162"/>
    </row>
    <row r="334" spans="13:13" ht="12.75" x14ac:dyDescent="0.2">
      <c r="M334" s="162"/>
    </row>
    <row r="335" spans="13:13" ht="12.75" x14ac:dyDescent="0.2">
      <c r="M335" s="162"/>
    </row>
    <row r="336" spans="13:13" ht="12.75" x14ac:dyDescent="0.2">
      <c r="M336" s="162"/>
    </row>
    <row r="337" spans="13:13" ht="12.75" x14ac:dyDescent="0.2">
      <c r="M337" s="162"/>
    </row>
    <row r="338" spans="13:13" ht="12.75" x14ac:dyDescent="0.2">
      <c r="M338" s="162"/>
    </row>
    <row r="339" spans="13:13" ht="12.75" x14ac:dyDescent="0.2">
      <c r="M339" s="162"/>
    </row>
    <row r="340" spans="13:13" ht="12.75" x14ac:dyDescent="0.2">
      <c r="M340" s="162"/>
    </row>
    <row r="341" spans="13:13" ht="12.75" x14ac:dyDescent="0.2">
      <c r="M341" s="162"/>
    </row>
    <row r="342" spans="13:13" ht="12.75" x14ac:dyDescent="0.2">
      <c r="M342" s="162"/>
    </row>
    <row r="343" spans="13:13" ht="12.75" x14ac:dyDescent="0.2">
      <c r="M343" s="162"/>
    </row>
    <row r="344" spans="13:13" ht="12.75" x14ac:dyDescent="0.2">
      <c r="M344" s="162"/>
    </row>
    <row r="345" spans="13:13" ht="12.75" x14ac:dyDescent="0.2">
      <c r="M345" s="162"/>
    </row>
    <row r="346" spans="13:13" ht="12.75" x14ac:dyDescent="0.2">
      <c r="M346" s="162"/>
    </row>
    <row r="347" spans="13:13" ht="12.75" x14ac:dyDescent="0.2">
      <c r="M347" s="162"/>
    </row>
    <row r="348" spans="13:13" ht="12.75" x14ac:dyDescent="0.2">
      <c r="M348" s="162"/>
    </row>
    <row r="349" spans="13:13" ht="12.75" x14ac:dyDescent="0.2">
      <c r="M349" s="162"/>
    </row>
    <row r="350" spans="13:13" ht="12.75" x14ac:dyDescent="0.2">
      <c r="M350" s="162"/>
    </row>
    <row r="351" spans="13:13" ht="12.75" x14ac:dyDescent="0.2">
      <c r="M351" s="162"/>
    </row>
    <row r="352" spans="13:13" ht="12.75" x14ac:dyDescent="0.2">
      <c r="M352" s="162"/>
    </row>
    <row r="353" spans="13:13" ht="12.75" x14ac:dyDescent="0.2">
      <c r="M353" s="162"/>
    </row>
    <row r="354" spans="13:13" ht="12.75" x14ac:dyDescent="0.2">
      <c r="M354" s="162"/>
    </row>
    <row r="355" spans="13:13" ht="12.75" x14ac:dyDescent="0.2">
      <c r="M355" s="162"/>
    </row>
    <row r="356" spans="13:13" ht="12.75" x14ac:dyDescent="0.2">
      <c r="M356" s="162"/>
    </row>
    <row r="357" spans="13:13" ht="12.75" x14ac:dyDescent="0.2">
      <c r="M357" s="162"/>
    </row>
    <row r="358" spans="13:13" ht="12.75" x14ac:dyDescent="0.2">
      <c r="M358" s="162"/>
    </row>
    <row r="359" spans="13:13" ht="12.75" x14ac:dyDescent="0.2">
      <c r="M359" s="162"/>
    </row>
    <row r="360" spans="13:13" ht="12.75" x14ac:dyDescent="0.2">
      <c r="M360" s="162"/>
    </row>
    <row r="361" spans="13:13" ht="12.75" x14ac:dyDescent="0.2">
      <c r="M361" s="162"/>
    </row>
    <row r="362" spans="13:13" ht="12.75" x14ac:dyDescent="0.2">
      <c r="M362" s="162"/>
    </row>
    <row r="363" spans="13:13" ht="12.75" x14ac:dyDescent="0.2">
      <c r="M363" s="162"/>
    </row>
    <row r="364" spans="13:13" ht="12.75" x14ac:dyDescent="0.2">
      <c r="M364" s="162"/>
    </row>
    <row r="365" spans="13:13" ht="12.75" x14ac:dyDescent="0.2">
      <c r="M365" s="162"/>
    </row>
    <row r="366" spans="13:13" ht="12.75" x14ac:dyDescent="0.2">
      <c r="M366" s="162"/>
    </row>
    <row r="367" spans="13:13" ht="12.75" x14ac:dyDescent="0.2">
      <c r="M367" s="162"/>
    </row>
    <row r="368" spans="13:13" ht="12.75" x14ac:dyDescent="0.2">
      <c r="M368" s="162"/>
    </row>
    <row r="369" spans="13:13" ht="12.75" x14ac:dyDescent="0.2">
      <c r="M369" s="162"/>
    </row>
    <row r="370" spans="13:13" ht="12.75" x14ac:dyDescent="0.2">
      <c r="M370" s="162"/>
    </row>
    <row r="371" spans="13:13" ht="12.75" x14ac:dyDescent="0.2">
      <c r="M371" s="162"/>
    </row>
    <row r="372" spans="13:13" ht="12.75" x14ac:dyDescent="0.2">
      <c r="M372" s="162"/>
    </row>
    <row r="373" spans="13:13" ht="12.75" x14ac:dyDescent="0.2">
      <c r="M373" s="162"/>
    </row>
    <row r="374" spans="13:13" ht="12.75" x14ac:dyDescent="0.2">
      <c r="M374" s="162"/>
    </row>
    <row r="375" spans="13:13" ht="12.75" x14ac:dyDescent="0.2">
      <c r="M375" s="162"/>
    </row>
    <row r="376" spans="13:13" ht="12.75" x14ac:dyDescent="0.2">
      <c r="M376" s="162"/>
    </row>
    <row r="377" spans="13:13" ht="12.75" x14ac:dyDescent="0.2">
      <c r="M377" s="162"/>
    </row>
    <row r="378" spans="13:13" ht="12.75" x14ac:dyDescent="0.2">
      <c r="M378" s="162"/>
    </row>
    <row r="379" spans="13:13" ht="12.75" x14ac:dyDescent="0.2">
      <c r="M379" s="162"/>
    </row>
    <row r="380" spans="13:13" ht="12.75" x14ac:dyDescent="0.2">
      <c r="M380" s="162"/>
    </row>
    <row r="381" spans="13:13" ht="12.75" x14ac:dyDescent="0.2">
      <c r="M381" s="162"/>
    </row>
    <row r="382" spans="13:13" ht="12.75" x14ac:dyDescent="0.2">
      <c r="M382" s="162"/>
    </row>
    <row r="383" spans="13:13" ht="12.75" x14ac:dyDescent="0.2">
      <c r="M383" s="162"/>
    </row>
    <row r="384" spans="13:13" ht="12.75" x14ac:dyDescent="0.2">
      <c r="M384" s="162"/>
    </row>
    <row r="385" spans="13:13" ht="12.75" x14ac:dyDescent="0.2">
      <c r="M385" s="162"/>
    </row>
    <row r="386" spans="13:13" ht="12.75" x14ac:dyDescent="0.2">
      <c r="M386" s="162"/>
    </row>
    <row r="387" spans="13:13" ht="12.75" x14ac:dyDescent="0.2">
      <c r="M387" s="162"/>
    </row>
    <row r="388" spans="13:13" ht="12.75" x14ac:dyDescent="0.2">
      <c r="M388" s="162"/>
    </row>
    <row r="389" spans="13:13" ht="12.75" x14ac:dyDescent="0.2">
      <c r="M389" s="162"/>
    </row>
    <row r="390" spans="13:13" ht="12.75" x14ac:dyDescent="0.2">
      <c r="M390" s="162"/>
    </row>
    <row r="391" spans="13:13" ht="12.75" x14ac:dyDescent="0.2">
      <c r="M391" s="162"/>
    </row>
    <row r="392" spans="13:13" ht="12.75" x14ac:dyDescent="0.2">
      <c r="M392" s="162"/>
    </row>
    <row r="393" spans="13:13" ht="12.75" x14ac:dyDescent="0.2">
      <c r="M393" s="162"/>
    </row>
    <row r="394" spans="13:13" ht="12.75" x14ac:dyDescent="0.2">
      <c r="M394" s="162"/>
    </row>
    <row r="395" spans="13:13" ht="12.75" x14ac:dyDescent="0.2">
      <c r="M395" s="162"/>
    </row>
    <row r="396" spans="13:13" ht="12.75" x14ac:dyDescent="0.2">
      <c r="M396" s="162"/>
    </row>
    <row r="397" spans="13:13" ht="12.75" x14ac:dyDescent="0.2">
      <c r="M397" s="162"/>
    </row>
    <row r="398" spans="13:13" ht="12.75" x14ac:dyDescent="0.2">
      <c r="M398" s="162"/>
    </row>
    <row r="399" spans="13:13" ht="12.75" x14ac:dyDescent="0.2">
      <c r="M399" s="162"/>
    </row>
    <row r="400" spans="13:13" ht="12.75" x14ac:dyDescent="0.2">
      <c r="M400" s="162"/>
    </row>
    <row r="401" spans="13:13" ht="12.75" x14ac:dyDescent="0.2">
      <c r="M401" s="162"/>
    </row>
    <row r="402" spans="13:13" ht="12.75" x14ac:dyDescent="0.2">
      <c r="M402" s="162"/>
    </row>
    <row r="403" spans="13:13" ht="12.75" x14ac:dyDescent="0.2">
      <c r="M403" s="162"/>
    </row>
    <row r="404" spans="13:13" ht="12.75" x14ac:dyDescent="0.2">
      <c r="M404" s="162"/>
    </row>
    <row r="405" spans="13:13" ht="12.75" x14ac:dyDescent="0.2">
      <c r="M405" s="162"/>
    </row>
    <row r="406" spans="13:13" ht="12.75" x14ac:dyDescent="0.2">
      <c r="M406" s="162"/>
    </row>
    <row r="407" spans="13:13" ht="12.75" x14ac:dyDescent="0.2">
      <c r="M407" s="162"/>
    </row>
    <row r="408" spans="13:13" ht="12.75" x14ac:dyDescent="0.2">
      <c r="M408" s="162"/>
    </row>
    <row r="409" spans="13:13" ht="12.75" x14ac:dyDescent="0.2">
      <c r="M409" s="162"/>
    </row>
    <row r="410" spans="13:13" ht="12.75" x14ac:dyDescent="0.2">
      <c r="M410" s="162"/>
    </row>
    <row r="411" spans="13:13" ht="12.75" x14ac:dyDescent="0.2">
      <c r="M411" s="162"/>
    </row>
    <row r="412" spans="13:13" ht="12.75" x14ac:dyDescent="0.2">
      <c r="M412" s="162"/>
    </row>
    <row r="413" spans="13:13" ht="12.75" x14ac:dyDescent="0.2">
      <c r="M413" s="162"/>
    </row>
    <row r="414" spans="13:13" ht="12.75" x14ac:dyDescent="0.2">
      <c r="M414" s="162"/>
    </row>
    <row r="415" spans="13:13" ht="12.75" x14ac:dyDescent="0.2">
      <c r="M415" s="162"/>
    </row>
    <row r="416" spans="13:13" ht="12.75" x14ac:dyDescent="0.2">
      <c r="M416" s="162"/>
    </row>
    <row r="417" spans="13:13" ht="12.75" x14ac:dyDescent="0.2">
      <c r="M417" s="162"/>
    </row>
    <row r="418" spans="13:13" ht="12.75" x14ac:dyDescent="0.2">
      <c r="M418" s="162"/>
    </row>
    <row r="419" spans="13:13" ht="12.75" x14ac:dyDescent="0.2">
      <c r="M419" s="162"/>
    </row>
    <row r="420" spans="13:13" ht="12.75" x14ac:dyDescent="0.2">
      <c r="M420" s="162"/>
    </row>
    <row r="421" spans="13:13" ht="12.75" x14ac:dyDescent="0.2">
      <c r="M421" s="162"/>
    </row>
    <row r="422" spans="13:13" ht="12.75" x14ac:dyDescent="0.2">
      <c r="M422" s="162"/>
    </row>
    <row r="423" spans="13:13" ht="12.75" x14ac:dyDescent="0.2">
      <c r="M423" s="162"/>
    </row>
    <row r="424" spans="13:13" ht="12.75" x14ac:dyDescent="0.2">
      <c r="M424" s="162"/>
    </row>
    <row r="425" spans="13:13" ht="12.75" x14ac:dyDescent="0.2">
      <c r="M425" s="162"/>
    </row>
    <row r="426" spans="13:13" ht="12.75" x14ac:dyDescent="0.2">
      <c r="M426" s="162"/>
    </row>
    <row r="427" spans="13:13" ht="12.75" x14ac:dyDescent="0.2">
      <c r="M427" s="162"/>
    </row>
    <row r="428" spans="13:13" ht="12.75" x14ac:dyDescent="0.2">
      <c r="M428" s="162"/>
    </row>
    <row r="429" spans="13:13" ht="12.75" x14ac:dyDescent="0.2">
      <c r="M429" s="162"/>
    </row>
    <row r="430" spans="13:13" ht="12.75" x14ac:dyDescent="0.2">
      <c r="M430" s="162"/>
    </row>
    <row r="431" spans="13:13" ht="12.75" x14ac:dyDescent="0.2">
      <c r="M431" s="162"/>
    </row>
    <row r="432" spans="13:13" ht="12.75" x14ac:dyDescent="0.2">
      <c r="M432" s="162"/>
    </row>
    <row r="433" spans="13:13" ht="12.75" x14ac:dyDescent="0.2">
      <c r="M433" s="162"/>
    </row>
    <row r="434" spans="13:13" ht="12.75" x14ac:dyDescent="0.2">
      <c r="M434" s="162"/>
    </row>
    <row r="435" spans="13:13" ht="12.75" x14ac:dyDescent="0.2">
      <c r="M435" s="162"/>
    </row>
    <row r="436" spans="13:13" ht="12.75" x14ac:dyDescent="0.2">
      <c r="M436" s="162"/>
    </row>
    <row r="437" spans="13:13" ht="12.75" x14ac:dyDescent="0.2">
      <c r="M437" s="162"/>
    </row>
    <row r="438" spans="13:13" ht="12.75" x14ac:dyDescent="0.2">
      <c r="M438" s="162"/>
    </row>
    <row r="439" spans="13:13" ht="12.75" x14ac:dyDescent="0.2">
      <c r="M439" s="162"/>
    </row>
    <row r="440" spans="13:13" ht="12.75" x14ac:dyDescent="0.2">
      <c r="M440" s="162"/>
    </row>
    <row r="441" spans="13:13" ht="12.75" x14ac:dyDescent="0.2">
      <c r="M441" s="162"/>
    </row>
    <row r="442" spans="13:13" ht="12.75" x14ac:dyDescent="0.2">
      <c r="M442" s="162"/>
    </row>
    <row r="443" spans="13:13" ht="12.75" x14ac:dyDescent="0.2">
      <c r="M443" s="162"/>
    </row>
    <row r="444" spans="13:13" ht="12.75" x14ac:dyDescent="0.2">
      <c r="M444" s="162"/>
    </row>
    <row r="445" spans="13:13" ht="12.75" x14ac:dyDescent="0.2">
      <c r="M445" s="162"/>
    </row>
    <row r="446" spans="13:13" ht="12.75" x14ac:dyDescent="0.2">
      <c r="M446" s="162"/>
    </row>
    <row r="447" spans="13:13" ht="12.75" x14ac:dyDescent="0.2">
      <c r="M447" s="162"/>
    </row>
    <row r="448" spans="13:13" ht="12.75" x14ac:dyDescent="0.2">
      <c r="M448" s="162"/>
    </row>
    <row r="449" spans="13:13" ht="12.75" x14ac:dyDescent="0.2">
      <c r="M449" s="162"/>
    </row>
    <row r="450" spans="13:13" ht="12.75" x14ac:dyDescent="0.2">
      <c r="M450" s="162"/>
    </row>
    <row r="451" spans="13:13" ht="12.75" x14ac:dyDescent="0.2">
      <c r="M451" s="162"/>
    </row>
    <row r="452" spans="13:13" ht="12.75" x14ac:dyDescent="0.2">
      <c r="M452" s="162"/>
    </row>
    <row r="453" spans="13:13" ht="12.75" x14ac:dyDescent="0.2">
      <c r="M453" s="162"/>
    </row>
    <row r="454" spans="13:13" ht="12.75" x14ac:dyDescent="0.2">
      <c r="M454" s="162"/>
    </row>
    <row r="455" spans="13:13" ht="12.75" x14ac:dyDescent="0.2">
      <c r="M455" s="162"/>
    </row>
    <row r="456" spans="13:13" ht="12.75" x14ac:dyDescent="0.2">
      <c r="M456" s="162"/>
    </row>
    <row r="457" spans="13:13" ht="12.75" x14ac:dyDescent="0.2">
      <c r="M457" s="162"/>
    </row>
    <row r="458" spans="13:13" ht="12.75" x14ac:dyDescent="0.2">
      <c r="M458" s="162"/>
    </row>
    <row r="459" spans="13:13" ht="12.75" x14ac:dyDescent="0.2">
      <c r="M459" s="162"/>
    </row>
    <row r="460" spans="13:13" ht="12.75" x14ac:dyDescent="0.2">
      <c r="M460" s="162"/>
    </row>
    <row r="461" spans="13:13" ht="12.75" x14ac:dyDescent="0.2">
      <c r="M461" s="162"/>
    </row>
    <row r="462" spans="13:13" ht="12.75" x14ac:dyDescent="0.2">
      <c r="M462" s="162"/>
    </row>
    <row r="463" spans="13:13" ht="12.75" x14ac:dyDescent="0.2">
      <c r="M463" s="162"/>
    </row>
    <row r="464" spans="13:13" ht="12.75" x14ac:dyDescent="0.2">
      <c r="M464" s="162"/>
    </row>
    <row r="465" spans="13:13" ht="12.75" x14ac:dyDescent="0.2">
      <c r="M465" s="162"/>
    </row>
    <row r="466" spans="13:13" ht="12.75" x14ac:dyDescent="0.2">
      <c r="M466" s="162"/>
    </row>
    <row r="467" spans="13:13" ht="12.75" x14ac:dyDescent="0.2">
      <c r="M467" s="162"/>
    </row>
    <row r="468" spans="13:13" ht="12.75" x14ac:dyDescent="0.2">
      <c r="M468" s="162"/>
    </row>
    <row r="469" spans="13:13" ht="12.75" x14ac:dyDescent="0.2">
      <c r="M469" s="162"/>
    </row>
    <row r="470" spans="13:13" ht="12.75" x14ac:dyDescent="0.2">
      <c r="M470" s="162"/>
    </row>
    <row r="471" spans="13:13" ht="12.75" x14ac:dyDescent="0.2">
      <c r="M471" s="162"/>
    </row>
    <row r="472" spans="13:13" ht="12.75" x14ac:dyDescent="0.2">
      <c r="M472" s="162"/>
    </row>
    <row r="473" spans="13:13" ht="12.75" x14ac:dyDescent="0.2">
      <c r="M473" s="162"/>
    </row>
    <row r="474" spans="13:13" ht="12.75" x14ac:dyDescent="0.2">
      <c r="M474" s="162"/>
    </row>
    <row r="475" spans="13:13" ht="12.75" x14ac:dyDescent="0.2">
      <c r="M475" s="162"/>
    </row>
    <row r="476" spans="13:13" ht="12.75" x14ac:dyDescent="0.2">
      <c r="M476" s="162"/>
    </row>
    <row r="477" spans="13:13" ht="12.75" x14ac:dyDescent="0.2">
      <c r="M477" s="162"/>
    </row>
    <row r="478" spans="13:13" ht="12.75" x14ac:dyDescent="0.2">
      <c r="M478" s="162"/>
    </row>
    <row r="479" spans="13:13" ht="12.75" x14ac:dyDescent="0.2">
      <c r="M479" s="162"/>
    </row>
    <row r="480" spans="13:13" ht="12.75" x14ac:dyDescent="0.2">
      <c r="M480" s="162"/>
    </row>
    <row r="481" spans="13:13" ht="12.75" x14ac:dyDescent="0.2">
      <c r="M481" s="162"/>
    </row>
    <row r="482" spans="13:13" ht="12.75" x14ac:dyDescent="0.2">
      <c r="M482" s="162"/>
    </row>
    <row r="483" spans="13:13" ht="12.75" x14ac:dyDescent="0.2">
      <c r="M483" s="162"/>
    </row>
    <row r="484" spans="13:13" ht="12.75" x14ac:dyDescent="0.2">
      <c r="M484" s="162"/>
    </row>
    <row r="485" spans="13:13" ht="12.75" x14ac:dyDescent="0.2">
      <c r="M485" s="162"/>
    </row>
    <row r="486" spans="13:13" ht="12.75" x14ac:dyDescent="0.2">
      <c r="M486" s="162"/>
    </row>
    <row r="487" spans="13:13" ht="12.75" x14ac:dyDescent="0.2">
      <c r="M487" s="162"/>
    </row>
    <row r="488" spans="13:13" ht="12.75" x14ac:dyDescent="0.2">
      <c r="M488" s="162"/>
    </row>
    <row r="489" spans="13:13" ht="12.75" x14ac:dyDescent="0.2">
      <c r="M489" s="162"/>
    </row>
    <row r="490" spans="13:13" ht="12.75" x14ac:dyDescent="0.2">
      <c r="M490" s="162"/>
    </row>
    <row r="491" spans="13:13" ht="12.75" x14ac:dyDescent="0.2">
      <c r="M491" s="162"/>
    </row>
    <row r="492" spans="13:13" ht="12.75" x14ac:dyDescent="0.2">
      <c r="M492" s="162"/>
    </row>
    <row r="493" spans="13:13" ht="12.75" x14ac:dyDescent="0.2">
      <c r="M493" s="162"/>
    </row>
    <row r="494" spans="13:13" ht="12.75" x14ac:dyDescent="0.2">
      <c r="M494" s="162"/>
    </row>
    <row r="495" spans="13:13" ht="12.75" x14ac:dyDescent="0.2">
      <c r="M495" s="162"/>
    </row>
    <row r="496" spans="13:13" ht="12.75" x14ac:dyDescent="0.2">
      <c r="M496" s="162"/>
    </row>
    <row r="497" spans="13:13" ht="12.75" x14ac:dyDescent="0.2">
      <c r="M497" s="162"/>
    </row>
    <row r="498" spans="13:13" ht="12.75" x14ac:dyDescent="0.2">
      <c r="M498" s="162"/>
    </row>
    <row r="499" spans="13:13" ht="12.75" x14ac:dyDescent="0.2">
      <c r="M499" s="162"/>
    </row>
    <row r="500" spans="13:13" ht="12.75" x14ac:dyDescent="0.2">
      <c r="M500" s="162"/>
    </row>
    <row r="501" spans="13:13" ht="12.75" x14ac:dyDescent="0.2">
      <c r="M501" s="162"/>
    </row>
    <row r="502" spans="13:13" ht="12.75" x14ac:dyDescent="0.2">
      <c r="M502" s="162"/>
    </row>
    <row r="503" spans="13:13" ht="12.75" x14ac:dyDescent="0.2">
      <c r="M503" s="162"/>
    </row>
    <row r="504" spans="13:13" ht="12.75" x14ac:dyDescent="0.2">
      <c r="M504" s="162"/>
    </row>
    <row r="505" spans="13:13" ht="12.75" x14ac:dyDescent="0.2">
      <c r="M505" s="162"/>
    </row>
    <row r="506" spans="13:13" ht="12.75" x14ac:dyDescent="0.2">
      <c r="M506" s="162"/>
    </row>
    <row r="507" spans="13:13" ht="12.75" x14ac:dyDescent="0.2">
      <c r="M507" s="162"/>
    </row>
    <row r="508" spans="13:13" ht="12.75" x14ac:dyDescent="0.2">
      <c r="M508" s="162"/>
    </row>
    <row r="509" spans="13:13" ht="12.75" x14ac:dyDescent="0.2">
      <c r="M509" s="162"/>
    </row>
    <row r="510" spans="13:13" ht="12.75" x14ac:dyDescent="0.2">
      <c r="M510" s="162"/>
    </row>
    <row r="511" spans="13:13" ht="12.75" x14ac:dyDescent="0.2">
      <c r="M511" s="162"/>
    </row>
    <row r="512" spans="13:13" ht="12.75" x14ac:dyDescent="0.2">
      <c r="M512" s="162"/>
    </row>
    <row r="513" spans="13:13" ht="12.75" x14ac:dyDescent="0.2">
      <c r="M513" s="162"/>
    </row>
    <row r="514" spans="13:13" ht="12.75" x14ac:dyDescent="0.2">
      <c r="M514" s="162"/>
    </row>
    <row r="515" spans="13:13" ht="12.75" x14ac:dyDescent="0.2">
      <c r="M515" s="162"/>
    </row>
    <row r="516" spans="13:13" ht="12.75" x14ac:dyDescent="0.2">
      <c r="M516" s="162"/>
    </row>
    <row r="517" spans="13:13" ht="12.75" x14ac:dyDescent="0.2">
      <c r="M517" s="162"/>
    </row>
    <row r="518" spans="13:13" ht="12.75" x14ac:dyDescent="0.2">
      <c r="M518" s="162"/>
    </row>
    <row r="519" spans="13:13" ht="12.75" x14ac:dyDescent="0.2">
      <c r="M519" s="162"/>
    </row>
    <row r="520" spans="13:13" ht="12.75" x14ac:dyDescent="0.2">
      <c r="M520" s="162"/>
    </row>
    <row r="521" spans="13:13" ht="12.75" x14ac:dyDescent="0.2">
      <c r="M521" s="162"/>
    </row>
    <row r="522" spans="13:13" ht="12.75" x14ac:dyDescent="0.2">
      <c r="M522" s="162"/>
    </row>
    <row r="523" spans="13:13" ht="12.75" x14ac:dyDescent="0.2">
      <c r="M523" s="162"/>
    </row>
    <row r="524" spans="13:13" ht="12.75" x14ac:dyDescent="0.2">
      <c r="M524" s="162"/>
    </row>
    <row r="525" spans="13:13" ht="12.75" x14ac:dyDescent="0.2">
      <c r="M525" s="162"/>
    </row>
    <row r="526" spans="13:13" ht="12.75" x14ac:dyDescent="0.2">
      <c r="M526" s="162"/>
    </row>
    <row r="527" spans="13:13" ht="12.75" x14ac:dyDescent="0.2">
      <c r="M527" s="162"/>
    </row>
    <row r="528" spans="13:13" ht="12.75" x14ac:dyDescent="0.2">
      <c r="M528" s="162"/>
    </row>
    <row r="529" spans="13:13" ht="12.75" x14ac:dyDescent="0.2">
      <c r="M529" s="162"/>
    </row>
    <row r="530" spans="13:13" ht="12.75" x14ac:dyDescent="0.2">
      <c r="M530" s="162"/>
    </row>
    <row r="531" spans="13:13" ht="12.75" x14ac:dyDescent="0.2">
      <c r="M531" s="162"/>
    </row>
    <row r="532" spans="13:13" ht="12.75" x14ac:dyDescent="0.2">
      <c r="M532" s="162"/>
    </row>
    <row r="533" spans="13:13" ht="12.75" x14ac:dyDescent="0.2">
      <c r="M533" s="162"/>
    </row>
    <row r="534" spans="13:13" ht="12.75" x14ac:dyDescent="0.2">
      <c r="M534" s="162"/>
    </row>
    <row r="535" spans="13:13" ht="12.75" x14ac:dyDescent="0.2">
      <c r="M535" s="162"/>
    </row>
    <row r="536" spans="13:13" ht="12.75" x14ac:dyDescent="0.2">
      <c r="M536" s="162"/>
    </row>
    <row r="537" spans="13:13" ht="12.75" x14ac:dyDescent="0.2">
      <c r="M537" s="162"/>
    </row>
    <row r="538" spans="13:13" ht="12.75" x14ac:dyDescent="0.2">
      <c r="M538" s="162"/>
    </row>
    <row r="539" spans="13:13" ht="12.75" x14ac:dyDescent="0.2">
      <c r="M539" s="162"/>
    </row>
    <row r="540" spans="13:13" ht="12.75" x14ac:dyDescent="0.2">
      <c r="M540" s="162"/>
    </row>
    <row r="541" spans="13:13" ht="12.75" x14ac:dyDescent="0.2">
      <c r="M541" s="162"/>
    </row>
    <row r="542" spans="13:13" ht="12.75" x14ac:dyDescent="0.2">
      <c r="M542" s="162"/>
    </row>
    <row r="543" spans="13:13" ht="12.75" x14ac:dyDescent="0.2">
      <c r="M543" s="162"/>
    </row>
    <row r="544" spans="13:13" ht="12.75" x14ac:dyDescent="0.2">
      <c r="M544" s="162"/>
    </row>
    <row r="545" spans="13:13" ht="12.75" x14ac:dyDescent="0.2">
      <c r="M545" s="162"/>
    </row>
    <row r="546" spans="13:13" ht="12.75" x14ac:dyDescent="0.2">
      <c r="M546" s="162"/>
    </row>
    <row r="547" spans="13:13" ht="12.75" x14ac:dyDescent="0.2">
      <c r="M547" s="162"/>
    </row>
    <row r="548" spans="13:13" ht="12.75" x14ac:dyDescent="0.2">
      <c r="M548" s="162"/>
    </row>
    <row r="549" spans="13:13" ht="12.75" x14ac:dyDescent="0.2">
      <c r="M549" s="162"/>
    </row>
    <row r="550" spans="13:13" ht="12.75" x14ac:dyDescent="0.2">
      <c r="M550" s="162"/>
    </row>
    <row r="551" spans="13:13" ht="12.75" x14ac:dyDescent="0.2">
      <c r="M551" s="162"/>
    </row>
    <row r="552" spans="13:13" ht="12.75" x14ac:dyDescent="0.2">
      <c r="M552" s="162"/>
    </row>
    <row r="553" spans="13:13" ht="12.75" x14ac:dyDescent="0.2">
      <c r="M553" s="162"/>
    </row>
    <row r="554" spans="13:13" ht="12.75" x14ac:dyDescent="0.2">
      <c r="M554" s="162"/>
    </row>
    <row r="555" spans="13:13" ht="12.75" x14ac:dyDescent="0.2">
      <c r="M555" s="162"/>
    </row>
    <row r="556" spans="13:13" ht="12.75" x14ac:dyDescent="0.2">
      <c r="M556" s="162"/>
    </row>
    <row r="557" spans="13:13" ht="12.75" x14ac:dyDescent="0.2">
      <c r="M557" s="162"/>
    </row>
    <row r="558" spans="13:13" ht="12.75" x14ac:dyDescent="0.2">
      <c r="M558" s="162"/>
    </row>
    <row r="559" spans="13:13" ht="12.75" x14ac:dyDescent="0.2">
      <c r="M559" s="162"/>
    </row>
    <row r="560" spans="13:13" ht="12.75" x14ac:dyDescent="0.2">
      <c r="M560" s="162"/>
    </row>
    <row r="561" spans="13:13" ht="12.75" x14ac:dyDescent="0.2">
      <c r="M561" s="162"/>
    </row>
    <row r="562" spans="13:13" ht="12.75" x14ac:dyDescent="0.2">
      <c r="M562" s="162"/>
    </row>
    <row r="563" spans="13:13" ht="12.75" x14ac:dyDescent="0.2">
      <c r="M563" s="162"/>
    </row>
    <row r="564" spans="13:13" ht="12.75" x14ac:dyDescent="0.2">
      <c r="M564" s="162"/>
    </row>
    <row r="565" spans="13:13" ht="12.75" x14ac:dyDescent="0.2">
      <c r="M565" s="162"/>
    </row>
    <row r="566" spans="13:13" ht="12.75" x14ac:dyDescent="0.2">
      <c r="M566" s="162"/>
    </row>
    <row r="567" spans="13:13" ht="12.75" x14ac:dyDescent="0.2">
      <c r="M567" s="162"/>
    </row>
    <row r="568" spans="13:13" ht="12.75" x14ac:dyDescent="0.2">
      <c r="M568" s="162"/>
    </row>
    <row r="569" spans="13:13" ht="12.75" x14ac:dyDescent="0.2">
      <c r="M569" s="162"/>
    </row>
    <row r="570" spans="13:13" ht="12.75" x14ac:dyDescent="0.2">
      <c r="M570" s="162"/>
    </row>
    <row r="571" spans="13:13" ht="12.75" x14ac:dyDescent="0.2">
      <c r="M571" s="162"/>
    </row>
    <row r="572" spans="13:13" ht="12.75" x14ac:dyDescent="0.2">
      <c r="M572" s="162"/>
    </row>
    <row r="573" spans="13:13" ht="12.75" x14ac:dyDescent="0.2">
      <c r="M573" s="162"/>
    </row>
    <row r="574" spans="13:13" ht="12.75" x14ac:dyDescent="0.2">
      <c r="M574" s="162"/>
    </row>
    <row r="575" spans="13:13" ht="12.75" x14ac:dyDescent="0.2">
      <c r="M575" s="162"/>
    </row>
    <row r="576" spans="13:13" ht="12.75" x14ac:dyDescent="0.2">
      <c r="M576" s="162"/>
    </row>
    <row r="577" spans="13:13" ht="12.75" x14ac:dyDescent="0.2">
      <c r="M577" s="162"/>
    </row>
    <row r="578" spans="13:13" ht="12.75" x14ac:dyDescent="0.2">
      <c r="M578" s="162"/>
    </row>
    <row r="579" spans="13:13" ht="12.75" x14ac:dyDescent="0.2">
      <c r="M579" s="162"/>
    </row>
    <row r="580" spans="13:13" ht="12.75" x14ac:dyDescent="0.2">
      <c r="M580" s="162"/>
    </row>
    <row r="581" spans="13:13" ht="12.75" x14ac:dyDescent="0.2">
      <c r="M581" s="162"/>
    </row>
    <row r="582" spans="13:13" ht="12.75" x14ac:dyDescent="0.2">
      <c r="M582" s="162"/>
    </row>
    <row r="583" spans="13:13" ht="12.75" x14ac:dyDescent="0.2">
      <c r="M583" s="162"/>
    </row>
    <row r="584" spans="13:13" ht="12.75" x14ac:dyDescent="0.2">
      <c r="M584" s="162"/>
    </row>
    <row r="585" spans="13:13" ht="12.75" x14ac:dyDescent="0.2">
      <c r="M585" s="162"/>
    </row>
    <row r="586" spans="13:13" ht="12.75" x14ac:dyDescent="0.2">
      <c r="M586" s="162"/>
    </row>
    <row r="587" spans="13:13" ht="12.75" x14ac:dyDescent="0.2">
      <c r="M587" s="162"/>
    </row>
    <row r="588" spans="13:13" ht="12.75" x14ac:dyDescent="0.2">
      <c r="M588" s="162"/>
    </row>
    <row r="589" spans="13:13" ht="12.75" x14ac:dyDescent="0.2">
      <c r="M589" s="162"/>
    </row>
    <row r="590" spans="13:13" ht="12.75" x14ac:dyDescent="0.2">
      <c r="M590" s="162"/>
    </row>
    <row r="591" spans="13:13" ht="12.75" x14ac:dyDescent="0.2">
      <c r="M591" s="162"/>
    </row>
    <row r="592" spans="13:13" ht="12.75" x14ac:dyDescent="0.2">
      <c r="M592" s="162"/>
    </row>
    <row r="593" spans="13:13" ht="12.75" x14ac:dyDescent="0.2">
      <c r="M593" s="162"/>
    </row>
    <row r="594" spans="13:13" ht="12.75" x14ac:dyDescent="0.2">
      <c r="M594" s="162"/>
    </row>
    <row r="595" spans="13:13" ht="12.75" x14ac:dyDescent="0.2">
      <c r="M595" s="162"/>
    </row>
    <row r="596" spans="13:13" ht="12.75" x14ac:dyDescent="0.2">
      <c r="M596" s="162"/>
    </row>
    <row r="597" spans="13:13" ht="12.75" x14ac:dyDescent="0.2">
      <c r="M597" s="162"/>
    </row>
    <row r="598" spans="13:13" ht="12.75" x14ac:dyDescent="0.2">
      <c r="M598" s="162"/>
    </row>
    <row r="599" spans="13:13" ht="12.75" x14ac:dyDescent="0.2">
      <c r="M599" s="162"/>
    </row>
    <row r="600" spans="13:13" ht="12.75" x14ac:dyDescent="0.2">
      <c r="M600" s="162"/>
    </row>
    <row r="601" spans="13:13" ht="12.75" x14ac:dyDescent="0.2">
      <c r="M601" s="162"/>
    </row>
    <row r="602" spans="13:13" ht="12.75" x14ac:dyDescent="0.2">
      <c r="M602" s="162"/>
    </row>
    <row r="603" spans="13:13" ht="12.75" x14ac:dyDescent="0.2">
      <c r="M603" s="162"/>
    </row>
    <row r="604" spans="13:13" ht="12.75" x14ac:dyDescent="0.2">
      <c r="M604" s="162"/>
    </row>
    <row r="605" spans="13:13" ht="12.75" x14ac:dyDescent="0.2">
      <c r="M605" s="162"/>
    </row>
    <row r="606" spans="13:13" ht="12.75" x14ac:dyDescent="0.2">
      <c r="M606" s="162"/>
    </row>
    <row r="607" spans="13:13" ht="12.75" x14ac:dyDescent="0.2">
      <c r="M607" s="162"/>
    </row>
    <row r="608" spans="13:13" ht="12.75" x14ac:dyDescent="0.2">
      <c r="M608" s="162"/>
    </row>
    <row r="609" spans="13:13" ht="12.75" x14ac:dyDescent="0.2">
      <c r="M609" s="162"/>
    </row>
    <row r="610" spans="13:13" ht="12.75" x14ac:dyDescent="0.2">
      <c r="M610" s="162"/>
    </row>
    <row r="611" spans="13:13" ht="12.75" x14ac:dyDescent="0.2">
      <c r="M611" s="162"/>
    </row>
    <row r="612" spans="13:13" ht="12.75" x14ac:dyDescent="0.2">
      <c r="M612" s="162"/>
    </row>
    <row r="613" spans="13:13" ht="12.75" x14ac:dyDescent="0.2">
      <c r="M613" s="162"/>
    </row>
    <row r="614" spans="13:13" ht="12.75" x14ac:dyDescent="0.2">
      <c r="M614" s="162"/>
    </row>
    <row r="615" spans="13:13" ht="12.75" x14ac:dyDescent="0.2">
      <c r="M615" s="162"/>
    </row>
    <row r="616" spans="13:13" ht="12.75" x14ac:dyDescent="0.2">
      <c r="M616" s="162"/>
    </row>
    <row r="617" spans="13:13" ht="12.75" x14ac:dyDescent="0.2">
      <c r="M617" s="162"/>
    </row>
    <row r="618" spans="13:13" ht="12.75" x14ac:dyDescent="0.2">
      <c r="M618" s="162"/>
    </row>
    <row r="619" spans="13:13" ht="12.75" x14ac:dyDescent="0.2">
      <c r="M619" s="162"/>
    </row>
    <row r="620" spans="13:13" ht="12.75" x14ac:dyDescent="0.2">
      <c r="M620" s="162"/>
    </row>
    <row r="621" spans="13:13" ht="12.75" x14ac:dyDescent="0.2">
      <c r="M621" s="162"/>
    </row>
    <row r="622" spans="13:13" ht="12.75" x14ac:dyDescent="0.2">
      <c r="M622" s="162"/>
    </row>
    <row r="623" spans="13:13" ht="12.75" x14ac:dyDescent="0.2">
      <c r="M623" s="162"/>
    </row>
    <row r="624" spans="13:13" ht="12.75" x14ac:dyDescent="0.2">
      <c r="M624" s="162"/>
    </row>
    <row r="625" spans="13:13" ht="12.75" x14ac:dyDescent="0.2">
      <c r="M625" s="162"/>
    </row>
    <row r="626" spans="13:13" ht="12.75" x14ac:dyDescent="0.2">
      <c r="M626" s="162"/>
    </row>
    <row r="627" spans="13:13" ht="12.75" x14ac:dyDescent="0.2">
      <c r="M627" s="162"/>
    </row>
    <row r="628" spans="13:13" ht="12.75" x14ac:dyDescent="0.2">
      <c r="M628" s="162"/>
    </row>
    <row r="629" spans="13:13" ht="12.75" x14ac:dyDescent="0.2">
      <c r="M629" s="162"/>
    </row>
    <row r="630" spans="13:13" ht="12.75" x14ac:dyDescent="0.2">
      <c r="M630" s="162"/>
    </row>
    <row r="631" spans="13:13" ht="12.75" x14ac:dyDescent="0.2">
      <c r="M631" s="162"/>
    </row>
    <row r="632" spans="13:13" ht="12.75" x14ac:dyDescent="0.2">
      <c r="M632" s="162"/>
    </row>
    <row r="633" spans="13:13" ht="12.75" x14ac:dyDescent="0.2">
      <c r="M633" s="162"/>
    </row>
    <row r="634" spans="13:13" ht="12.75" x14ac:dyDescent="0.2">
      <c r="M634" s="162"/>
    </row>
    <row r="635" spans="13:13" ht="12.75" x14ac:dyDescent="0.2">
      <c r="M635" s="162"/>
    </row>
    <row r="636" spans="13:13" ht="12.75" x14ac:dyDescent="0.2">
      <c r="M636" s="162"/>
    </row>
    <row r="637" spans="13:13" ht="12.75" x14ac:dyDescent="0.2">
      <c r="M637" s="162"/>
    </row>
    <row r="638" spans="13:13" ht="12.75" x14ac:dyDescent="0.2">
      <c r="M638" s="162"/>
    </row>
    <row r="639" spans="13:13" ht="12.75" x14ac:dyDescent="0.2">
      <c r="M639" s="162"/>
    </row>
    <row r="640" spans="13:13" ht="12.75" x14ac:dyDescent="0.2">
      <c r="M640" s="162"/>
    </row>
    <row r="641" spans="13:13" ht="12.75" x14ac:dyDescent="0.2">
      <c r="M641" s="162"/>
    </row>
    <row r="642" spans="13:13" ht="12.75" x14ac:dyDescent="0.2">
      <c r="M642" s="162"/>
    </row>
    <row r="643" spans="13:13" ht="12.75" x14ac:dyDescent="0.2">
      <c r="M643" s="162"/>
    </row>
    <row r="644" spans="13:13" ht="12.75" x14ac:dyDescent="0.2">
      <c r="M644" s="162"/>
    </row>
    <row r="645" spans="13:13" ht="12.75" x14ac:dyDescent="0.2">
      <c r="M645" s="162"/>
    </row>
    <row r="646" spans="13:13" ht="12.75" x14ac:dyDescent="0.2">
      <c r="M646" s="162"/>
    </row>
    <row r="647" spans="13:13" ht="12.75" x14ac:dyDescent="0.2">
      <c r="M647" s="162"/>
    </row>
    <row r="648" spans="13:13" ht="12.75" x14ac:dyDescent="0.2">
      <c r="M648" s="162"/>
    </row>
    <row r="649" spans="13:13" ht="12.75" x14ac:dyDescent="0.2">
      <c r="M649" s="162"/>
    </row>
    <row r="650" spans="13:13" ht="12.75" x14ac:dyDescent="0.2">
      <c r="M650" s="162"/>
    </row>
    <row r="651" spans="13:13" ht="12.75" x14ac:dyDescent="0.2">
      <c r="M651" s="162"/>
    </row>
    <row r="652" spans="13:13" ht="12.75" x14ac:dyDescent="0.2">
      <c r="M652" s="162"/>
    </row>
    <row r="653" spans="13:13" ht="12.75" x14ac:dyDescent="0.2">
      <c r="M653" s="162"/>
    </row>
    <row r="654" spans="13:13" ht="12.75" x14ac:dyDescent="0.2">
      <c r="M654" s="162"/>
    </row>
    <row r="655" spans="13:13" ht="12.75" x14ac:dyDescent="0.2">
      <c r="M655" s="162"/>
    </row>
    <row r="656" spans="13:13" ht="12.75" x14ac:dyDescent="0.2">
      <c r="M656" s="162"/>
    </row>
    <row r="657" spans="13:13" ht="12.75" x14ac:dyDescent="0.2">
      <c r="M657" s="162"/>
    </row>
    <row r="658" spans="13:13" ht="12.75" x14ac:dyDescent="0.2">
      <c r="M658" s="162"/>
    </row>
    <row r="659" spans="13:13" ht="12.75" x14ac:dyDescent="0.2">
      <c r="M659" s="162"/>
    </row>
    <row r="660" spans="13:13" ht="12.75" x14ac:dyDescent="0.2">
      <c r="M660" s="162"/>
    </row>
    <row r="661" spans="13:13" ht="12.75" x14ac:dyDescent="0.2">
      <c r="M661" s="162"/>
    </row>
    <row r="662" spans="13:13" ht="12.75" x14ac:dyDescent="0.2">
      <c r="M662" s="162"/>
    </row>
    <row r="663" spans="13:13" ht="12.75" x14ac:dyDescent="0.2">
      <c r="M663" s="162"/>
    </row>
    <row r="664" spans="13:13" ht="12.75" x14ac:dyDescent="0.2">
      <c r="M664" s="162"/>
    </row>
    <row r="665" spans="13:13" ht="12.75" x14ac:dyDescent="0.2">
      <c r="M665" s="162"/>
    </row>
    <row r="666" spans="13:13" ht="12.75" x14ac:dyDescent="0.2">
      <c r="M666" s="162"/>
    </row>
    <row r="667" spans="13:13" ht="12.75" x14ac:dyDescent="0.2">
      <c r="M667" s="162"/>
    </row>
    <row r="668" spans="13:13" ht="12.75" x14ac:dyDescent="0.2">
      <c r="M668" s="162"/>
    </row>
    <row r="669" spans="13:13" ht="12.75" x14ac:dyDescent="0.2">
      <c r="M669" s="162"/>
    </row>
    <row r="670" spans="13:13" ht="12.75" x14ac:dyDescent="0.2">
      <c r="M670" s="162"/>
    </row>
    <row r="671" spans="13:13" ht="12.75" x14ac:dyDescent="0.2">
      <c r="M671" s="162"/>
    </row>
    <row r="672" spans="13:13" ht="12.75" x14ac:dyDescent="0.2">
      <c r="M672" s="162"/>
    </row>
    <row r="673" spans="13:13" ht="12.75" x14ac:dyDescent="0.2">
      <c r="M673" s="162"/>
    </row>
    <row r="674" spans="13:13" ht="12.75" x14ac:dyDescent="0.2">
      <c r="M674" s="162"/>
    </row>
    <row r="675" spans="13:13" ht="12.75" x14ac:dyDescent="0.2">
      <c r="M675" s="162"/>
    </row>
    <row r="676" spans="13:13" ht="12.75" x14ac:dyDescent="0.2">
      <c r="M676" s="162"/>
    </row>
    <row r="677" spans="13:13" ht="12.75" x14ac:dyDescent="0.2">
      <c r="M677" s="162"/>
    </row>
    <row r="678" spans="13:13" ht="12.75" x14ac:dyDescent="0.2">
      <c r="M678" s="162"/>
    </row>
    <row r="679" spans="13:13" ht="12.75" x14ac:dyDescent="0.2">
      <c r="M679" s="162"/>
    </row>
    <row r="680" spans="13:13" ht="12.75" x14ac:dyDescent="0.2">
      <c r="M680" s="162"/>
    </row>
    <row r="681" spans="13:13" ht="12.75" x14ac:dyDescent="0.2">
      <c r="M681" s="162"/>
    </row>
    <row r="682" spans="13:13" ht="12.75" x14ac:dyDescent="0.2">
      <c r="M682" s="162"/>
    </row>
    <row r="683" spans="13:13" ht="12.75" x14ac:dyDescent="0.2">
      <c r="M683" s="162"/>
    </row>
    <row r="684" spans="13:13" ht="12.75" x14ac:dyDescent="0.2">
      <c r="M684" s="162"/>
    </row>
    <row r="685" spans="13:13" ht="12.75" x14ac:dyDescent="0.2">
      <c r="M685" s="162"/>
    </row>
    <row r="686" spans="13:13" ht="12.75" x14ac:dyDescent="0.2">
      <c r="M686" s="162"/>
    </row>
    <row r="687" spans="13:13" ht="12.75" x14ac:dyDescent="0.2">
      <c r="M687" s="162"/>
    </row>
    <row r="688" spans="13:13" ht="12.75" x14ac:dyDescent="0.2">
      <c r="M688" s="162"/>
    </row>
    <row r="689" spans="13:13" ht="12.75" x14ac:dyDescent="0.2">
      <c r="M689" s="162"/>
    </row>
    <row r="690" spans="13:13" ht="12.75" x14ac:dyDescent="0.2">
      <c r="M690" s="162"/>
    </row>
    <row r="691" spans="13:13" ht="12.75" x14ac:dyDescent="0.2">
      <c r="M691" s="162"/>
    </row>
    <row r="692" spans="13:13" ht="12.75" x14ac:dyDescent="0.2">
      <c r="M692" s="162"/>
    </row>
    <row r="693" spans="13:13" ht="12.75" x14ac:dyDescent="0.2">
      <c r="M693" s="162"/>
    </row>
    <row r="694" spans="13:13" ht="12.75" x14ac:dyDescent="0.2">
      <c r="M694" s="162"/>
    </row>
    <row r="695" spans="13:13" ht="12.75" x14ac:dyDescent="0.2">
      <c r="M695" s="162"/>
    </row>
    <row r="696" spans="13:13" ht="12.75" x14ac:dyDescent="0.2">
      <c r="M696" s="162"/>
    </row>
    <row r="697" spans="13:13" ht="12.75" x14ac:dyDescent="0.2">
      <c r="M697" s="162"/>
    </row>
    <row r="698" spans="13:13" ht="12.75" x14ac:dyDescent="0.2">
      <c r="M698" s="162"/>
    </row>
    <row r="699" spans="13:13" ht="12.75" x14ac:dyDescent="0.2">
      <c r="M699" s="162"/>
    </row>
    <row r="700" spans="13:13" ht="12.75" x14ac:dyDescent="0.2">
      <c r="M700" s="162"/>
    </row>
    <row r="701" spans="13:13" ht="12.75" x14ac:dyDescent="0.2">
      <c r="M701" s="162"/>
    </row>
    <row r="702" spans="13:13" ht="12.75" x14ac:dyDescent="0.2">
      <c r="M702" s="162"/>
    </row>
    <row r="703" spans="13:13" ht="12.75" x14ac:dyDescent="0.2">
      <c r="M703" s="162"/>
    </row>
    <row r="704" spans="13:13" ht="12.75" x14ac:dyDescent="0.2">
      <c r="M704" s="162"/>
    </row>
    <row r="705" spans="13:13" ht="12.75" x14ac:dyDescent="0.2">
      <c r="M705" s="162"/>
    </row>
    <row r="706" spans="13:13" ht="12.75" x14ac:dyDescent="0.2">
      <c r="M706" s="162"/>
    </row>
    <row r="707" spans="13:13" ht="12.75" x14ac:dyDescent="0.2">
      <c r="M707" s="162"/>
    </row>
    <row r="708" spans="13:13" ht="12.75" x14ac:dyDescent="0.2">
      <c r="M708" s="162"/>
    </row>
    <row r="709" spans="13:13" ht="12.75" x14ac:dyDescent="0.2">
      <c r="M709" s="162"/>
    </row>
    <row r="710" spans="13:13" ht="12.75" x14ac:dyDescent="0.2">
      <c r="M710" s="162"/>
    </row>
    <row r="711" spans="13:13" ht="12.75" x14ac:dyDescent="0.2">
      <c r="M711" s="162"/>
    </row>
    <row r="712" spans="13:13" ht="12.75" x14ac:dyDescent="0.2">
      <c r="M712" s="162"/>
    </row>
    <row r="713" spans="13:13" ht="12.75" x14ac:dyDescent="0.2">
      <c r="M713" s="162"/>
    </row>
    <row r="714" spans="13:13" ht="12.75" x14ac:dyDescent="0.2">
      <c r="M714" s="162"/>
    </row>
    <row r="715" spans="13:13" ht="12.75" x14ac:dyDescent="0.2">
      <c r="M715" s="162"/>
    </row>
    <row r="716" spans="13:13" ht="12.75" x14ac:dyDescent="0.2">
      <c r="M716" s="162"/>
    </row>
    <row r="717" spans="13:13" ht="12.75" x14ac:dyDescent="0.2">
      <c r="M717" s="162"/>
    </row>
    <row r="718" spans="13:13" ht="12.75" x14ac:dyDescent="0.2">
      <c r="M718" s="162"/>
    </row>
    <row r="719" spans="13:13" ht="12.75" x14ac:dyDescent="0.2">
      <c r="M719" s="162"/>
    </row>
    <row r="720" spans="13:13" ht="12.75" x14ac:dyDescent="0.2">
      <c r="M720" s="162"/>
    </row>
    <row r="721" spans="13:13" ht="12.75" x14ac:dyDescent="0.2">
      <c r="M721" s="162"/>
    </row>
    <row r="722" spans="13:13" ht="12.75" x14ac:dyDescent="0.2">
      <c r="M722" s="162"/>
    </row>
    <row r="723" spans="13:13" ht="12.75" x14ac:dyDescent="0.2">
      <c r="M723" s="162"/>
    </row>
    <row r="724" spans="13:13" ht="12.75" x14ac:dyDescent="0.2">
      <c r="M724" s="162"/>
    </row>
    <row r="725" spans="13:13" ht="12.75" x14ac:dyDescent="0.2">
      <c r="M725" s="162"/>
    </row>
    <row r="726" spans="13:13" ht="12.75" x14ac:dyDescent="0.2">
      <c r="M726" s="162"/>
    </row>
    <row r="727" spans="13:13" ht="12.75" x14ac:dyDescent="0.2">
      <c r="M727" s="162"/>
    </row>
    <row r="728" spans="13:13" ht="12.75" x14ac:dyDescent="0.2">
      <c r="M728" s="162"/>
    </row>
    <row r="729" spans="13:13" ht="12.75" x14ac:dyDescent="0.2">
      <c r="M729" s="162"/>
    </row>
    <row r="730" spans="13:13" ht="12.75" x14ac:dyDescent="0.2">
      <c r="M730" s="162"/>
    </row>
    <row r="731" spans="13:13" ht="12.75" x14ac:dyDescent="0.2">
      <c r="M731" s="162"/>
    </row>
    <row r="732" spans="13:13" ht="12.75" x14ac:dyDescent="0.2">
      <c r="M732" s="162"/>
    </row>
    <row r="733" spans="13:13" ht="12.75" x14ac:dyDescent="0.2">
      <c r="M733" s="162"/>
    </row>
    <row r="734" spans="13:13" ht="12.75" x14ac:dyDescent="0.2">
      <c r="M734" s="162"/>
    </row>
    <row r="735" spans="13:13" ht="12.75" x14ac:dyDescent="0.2">
      <c r="M735" s="162"/>
    </row>
    <row r="736" spans="13:13" ht="12.75" x14ac:dyDescent="0.2">
      <c r="M736" s="162"/>
    </row>
    <row r="737" spans="13:13" ht="12.75" x14ac:dyDescent="0.2">
      <c r="M737" s="162"/>
    </row>
    <row r="738" spans="13:13" ht="12.75" x14ac:dyDescent="0.2">
      <c r="M738" s="162"/>
    </row>
    <row r="739" spans="13:13" ht="12.75" x14ac:dyDescent="0.2">
      <c r="M739" s="162"/>
    </row>
    <row r="740" spans="13:13" ht="12.75" x14ac:dyDescent="0.2">
      <c r="M740" s="162"/>
    </row>
    <row r="741" spans="13:13" ht="12.75" x14ac:dyDescent="0.2">
      <c r="M741" s="162"/>
    </row>
    <row r="742" spans="13:13" ht="12.75" x14ac:dyDescent="0.2">
      <c r="M742" s="162"/>
    </row>
    <row r="743" spans="13:13" ht="12.75" x14ac:dyDescent="0.2">
      <c r="M743" s="162"/>
    </row>
    <row r="744" spans="13:13" ht="12.75" x14ac:dyDescent="0.2">
      <c r="M744" s="162"/>
    </row>
    <row r="745" spans="13:13" ht="12.75" x14ac:dyDescent="0.2">
      <c r="M745" s="162"/>
    </row>
    <row r="746" spans="13:13" ht="12.75" x14ac:dyDescent="0.2">
      <c r="M746" s="162"/>
    </row>
    <row r="747" spans="13:13" ht="12.75" x14ac:dyDescent="0.2">
      <c r="M747" s="162"/>
    </row>
    <row r="748" spans="13:13" ht="12.75" x14ac:dyDescent="0.2">
      <c r="M748" s="162"/>
    </row>
    <row r="749" spans="13:13" ht="12.75" x14ac:dyDescent="0.2">
      <c r="M749" s="162"/>
    </row>
    <row r="750" spans="13:13" ht="12.75" x14ac:dyDescent="0.2">
      <c r="M750" s="162"/>
    </row>
    <row r="751" spans="13:13" ht="12.75" x14ac:dyDescent="0.2">
      <c r="M751" s="162"/>
    </row>
    <row r="752" spans="13:13" ht="12.75" x14ac:dyDescent="0.2">
      <c r="M752" s="162"/>
    </row>
    <row r="753" spans="13:13" ht="12.75" x14ac:dyDescent="0.2">
      <c r="M753" s="162"/>
    </row>
    <row r="754" spans="13:13" ht="12.75" x14ac:dyDescent="0.2">
      <c r="M754" s="162"/>
    </row>
    <row r="755" spans="13:13" ht="12.75" x14ac:dyDescent="0.2">
      <c r="M755" s="162"/>
    </row>
    <row r="756" spans="13:13" ht="12.75" x14ac:dyDescent="0.2">
      <c r="M756" s="162"/>
    </row>
    <row r="757" spans="13:13" ht="12.75" x14ac:dyDescent="0.2">
      <c r="M757" s="162"/>
    </row>
    <row r="758" spans="13:13" ht="12.75" x14ac:dyDescent="0.2">
      <c r="M758" s="162"/>
    </row>
    <row r="759" spans="13:13" ht="12.75" x14ac:dyDescent="0.2">
      <c r="M759" s="162"/>
    </row>
    <row r="760" spans="13:13" ht="12.75" x14ac:dyDescent="0.2">
      <c r="M760" s="162"/>
    </row>
    <row r="761" spans="13:13" ht="12.75" x14ac:dyDescent="0.2">
      <c r="M761" s="162"/>
    </row>
    <row r="762" spans="13:13" ht="12.75" x14ac:dyDescent="0.2">
      <c r="M762" s="162"/>
    </row>
    <row r="763" spans="13:13" ht="12.75" x14ac:dyDescent="0.2">
      <c r="M763" s="162"/>
    </row>
    <row r="764" spans="13:13" ht="12.75" x14ac:dyDescent="0.2">
      <c r="M764" s="162"/>
    </row>
    <row r="765" spans="13:13" ht="12.75" x14ac:dyDescent="0.2">
      <c r="M765" s="162"/>
    </row>
    <row r="766" spans="13:13" ht="12.75" x14ac:dyDescent="0.2">
      <c r="M766" s="162"/>
    </row>
    <row r="767" spans="13:13" ht="12.75" x14ac:dyDescent="0.2">
      <c r="M767" s="162"/>
    </row>
    <row r="768" spans="13:13" ht="12.75" x14ac:dyDescent="0.2">
      <c r="M768" s="162"/>
    </row>
    <row r="769" spans="13:13" ht="12.75" x14ac:dyDescent="0.2">
      <c r="M769" s="162"/>
    </row>
    <row r="770" spans="13:13" ht="12.75" x14ac:dyDescent="0.2">
      <c r="M770" s="162"/>
    </row>
    <row r="771" spans="13:13" ht="12.75" x14ac:dyDescent="0.2">
      <c r="M771" s="162"/>
    </row>
    <row r="772" spans="13:13" ht="12.75" x14ac:dyDescent="0.2">
      <c r="M772" s="162"/>
    </row>
    <row r="773" spans="13:13" ht="12.75" x14ac:dyDescent="0.2">
      <c r="M773" s="162"/>
    </row>
    <row r="774" spans="13:13" ht="12.75" x14ac:dyDescent="0.2">
      <c r="M774" s="162"/>
    </row>
    <row r="775" spans="13:13" ht="12.75" x14ac:dyDescent="0.2">
      <c r="M775" s="162"/>
    </row>
    <row r="776" spans="13:13" ht="12.75" x14ac:dyDescent="0.2">
      <c r="M776" s="162"/>
    </row>
    <row r="777" spans="13:13" ht="12.75" x14ac:dyDescent="0.2">
      <c r="M777" s="162"/>
    </row>
    <row r="778" spans="13:13" ht="12.75" x14ac:dyDescent="0.2">
      <c r="M778" s="162"/>
    </row>
    <row r="779" spans="13:13" ht="12.75" x14ac:dyDescent="0.2">
      <c r="M779" s="162"/>
    </row>
    <row r="780" spans="13:13" ht="12.75" x14ac:dyDescent="0.2">
      <c r="M780" s="162"/>
    </row>
    <row r="781" spans="13:13" ht="12.75" x14ac:dyDescent="0.2">
      <c r="M781" s="162"/>
    </row>
    <row r="782" spans="13:13" ht="12.75" x14ac:dyDescent="0.2">
      <c r="M782" s="162"/>
    </row>
    <row r="783" spans="13:13" ht="12.75" x14ac:dyDescent="0.2">
      <c r="M783" s="162"/>
    </row>
    <row r="784" spans="13:13" ht="12.75" x14ac:dyDescent="0.2">
      <c r="M784" s="162"/>
    </row>
    <row r="785" spans="13:13" ht="12.75" x14ac:dyDescent="0.2">
      <c r="M785" s="162"/>
    </row>
    <row r="786" spans="13:13" ht="12.75" x14ac:dyDescent="0.2">
      <c r="M786" s="162"/>
    </row>
    <row r="787" spans="13:13" ht="12.75" x14ac:dyDescent="0.2">
      <c r="M787" s="162"/>
    </row>
    <row r="788" spans="13:13" ht="12.75" x14ac:dyDescent="0.2">
      <c r="M788" s="162"/>
    </row>
    <row r="789" spans="13:13" ht="12.75" x14ac:dyDescent="0.2">
      <c r="M789" s="162"/>
    </row>
    <row r="790" spans="13:13" ht="12.75" x14ac:dyDescent="0.2">
      <c r="M790" s="162"/>
    </row>
    <row r="791" spans="13:13" ht="12.75" x14ac:dyDescent="0.2">
      <c r="M791" s="162"/>
    </row>
    <row r="792" spans="13:13" ht="12.75" x14ac:dyDescent="0.2">
      <c r="M792" s="162"/>
    </row>
    <row r="793" spans="13:13" ht="12.75" x14ac:dyDescent="0.2">
      <c r="M793" s="162"/>
    </row>
    <row r="794" spans="13:13" ht="12.75" x14ac:dyDescent="0.2">
      <c r="M794" s="162"/>
    </row>
    <row r="795" spans="13:13" ht="12.75" x14ac:dyDescent="0.2">
      <c r="M795" s="162"/>
    </row>
    <row r="796" spans="13:13" ht="12.75" x14ac:dyDescent="0.2">
      <c r="M796" s="162"/>
    </row>
    <row r="797" spans="13:13" ht="12.75" x14ac:dyDescent="0.2">
      <c r="M797" s="162"/>
    </row>
    <row r="798" spans="13:13" ht="12.75" x14ac:dyDescent="0.2">
      <c r="M798" s="162"/>
    </row>
    <row r="799" spans="13:13" ht="12.75" x14ac:dyDescent="0.2">
      <c r="M799" s="162"/>
    </row>
    <row r="800" spans="13:13" ht="12.75" x14ac:dyDescent="0.2">
      <c r="M800" s="162"/>
    </row>
    <row r="801" spans="13:13" ht="12.75" x14ac:dyDescent="0.2">
      <c r="M801" s="162"/>
    </row>
    <row r="802" spans="13:13" ht="12.75" x14ac:dyDescent="0.2">
      <c r="M802" s="162"/>
    </row>
    <row r="803" spans="13:13" ht="12.75" x14ac:dyDescent="0.2">
      <c r="M803" s="162"/>
    </row>
    <row r="804" spans="13:13" ht="12.75" x14ac:dyDescent="0.2">
      <c r="M804" s="162"/>
    </row>
    <row r="805" spans="13:13" ht="12.75" x14ac:dyDescent="0.2">
      <c r="M805" s="162"/>
    </row>
    <row r="806" spans="13:13" ht="12.75" x14ac:dyDescent="0.2">
      <c r="M806" s="162"/>
    </row>
    <row r="807" spans="13:13" ht="12.75" x14ac:dyDescent="0.2">
      <c r="M807" s="162"/>
    </row>
    <row r="808" spans="13:13" ht="12.75" x14ac:dyDescent="0.2">
      <c r="M808" s="162"/>
    </row>
    <row r="809" spans="13:13" ht="12.75" x14ac:dyDescent="0.2">
      <c r="M809" s="162"/>
    </row>
    <row r="810" spans="13:13" ht="12.75" x14ac:dyDescent="0.2">
      <c r="M810" s="162"/>
    </row>
    <row r="811" spans="13:13" ht="12.75" x14ac:dyDescent="0.2">
      <c r="M811" s="162"/>
    </row>
    <row r="812" spans="13:13" ht="12.75" x14ac:dyDescent="0.2">
      <c r="M812" s="162"/>
    </row>
    <row r="813" spans="13:13" ht="12.75" x14ac:dyDescent="0.2">
      <c r="M813" s="162"/>
    </row>
    <row r="814" spans="13:13" ht="12.75" x14ac:dyDescent="0.2">
      <c r="M814" s="162"/>
    </row>
    <row r="815" spans="13:13" ht="12.75" x14ac:dyDescent="0.2">
      <c r="M815" s="162"/>
    </row>
    <row r="816" spans="13:13" ht="12.75" x14ac:dyDescent="0.2">
      <c r="M816" s="162"/>
    </row>
    <row r="817" spans="13:13" ht="12.75" x14ac:dyDescent="0.2">
      <c r="M817" s="162"/>
    </row>
    <row r="818" spans="13:13" ht="12.75" x14ac:dyDescent="0.2">
      <c r="M818" s="162"/>
    </row>
    <row r="819" spans="13:13" ht="12.75" x14ac:dyDescent="0.2">
      <c r="M819" s="162"/>
    </row>
    <row r="820" spans="13:13" ht="12.75" x14ac:dyDescent="0.2">
      <c r="M820" s="162"/>
    </row>
    <row r="821" spans="13:13" ht="12.75" x14ac:dyDescent="0.2">
      <c r="M821" s="162"/>
    </row>
    <row r="822" spans="13:13" ht="12.75" x14ac:dyDescent="0.2">
      <c r="M822" s="162"/>
    </row>
    <row r="823" spans="13:13" ht="12.75" x14ac:dyDescent="0.2">
      <c r="M823" s="162"/>
    </row>
    <row r="824" spans="13:13" ht="12.75" x14ac:dyDescent="0.2">
      <c r="M824" s="162"/>
    </row>
    <row r="825" spans="13:13" ht="12.75" x14ac:dyDescent="0.2">
      <c r="M825" s="162"/>
    </row>
    <row r="826" spans="13:13" ht="12.75" x14ac:dyDescent="0.2">
      <c r="M826" s="162"/>
    </row>
    <row r="827" spans="13:13" ht="12.75" x14ac:dyDescent="0.2">
      <c r="M827" s="162"/>
    </row>
    <row r="828" spans="13:13" ht="12.75" x14ac:dyDescent="0.2">
      <c r="M828" s="162"/>
    </row>
    <row r="829" spans="13:13" ht="12.75" x14ac:dyDescent="0.2">
      <c r="M829" s="162"/>
    </row>
    <row r="830" spans="13:13" ht="12.75" x14ac:dyDescent="0.2">
      <c r="M830" s="162"/>
    </row>
    <row r="831" spans="13:13" ht="12.75" x14ac:dyDescent="0.2">
      <c r="M831" s="162"/>
    </row>
    <row r="832" spans="13:13" ht="12.75" x14ac:dyDescent="0.2">
      <c r="M832" s="162"/>
    </row>
    <row r="833" spans="13:13" ht="12.75" x14ac:dyDescent="0.2">
      <c r="M833" s="162"/>
    </row>
    <row r="834" spans="13:13" ht="12.75" x14ac:dyDescent="0.2">
      <c r="M834" s="162"/>
    </row>
    <row r="835" spans="13:13" ht="12.75" x14ac:dyDescent="0.2">
      <c r="M835" s="162"/>
    </row>
    <row r="836" spans="13:13" ht="12.75" x14ac:dyDescent="0.2">
      <c r="M836" s="162"/>
    </row>
    <row r="837" spans="13:13" ht="12.75" x14ac:dyDescent="0.2">
      <c r="M837" s="162"/>
    </row>
    <row r="838" spans="13:13" ht="12.75" x14ac:dyDescent="0.2">
      <c r="M838" s="162"/>
    </row>
    <row r="839" spans="13:13" ht="12.75" x14ac:dyDescent="0.2">
      <c r="M839" s="162"/>
    </row>
    <row r="840" spans="13:13" ht="12.75" x14ac:dyDescent="0.2">
      <c r="M840" s="162"/>
    </row>
    <row r="841" spans="13:13" ht="12.75" x14ac:dyDescent="0.2">
      <c r="M841" s="162"/>
    </row>
    <row r="842" spans="13:13" ht="12.75" x14ac:dyDescent="0.2">
      <c r="M842" s="162"/>
    </row>
    <row r="843" spans="13:13" ht="12.75" x14ac:dyDescent="0.2">
      <c r="M843" s="162"/>
    </row>
    <row r="844" spans="13:13" ht="12.75" x14ac:dyDescent="0.2">
      <c r="M844" s="162"/>
    </row>
    <row r="845" spans="13:13" ht="12.75" x14ac:dyDescent="0.2">
      <c r="M845" s="162"/>
    </row>
    <row r="846" spans="13:13" ht="12.75" x14ac:dyDescent="0.2">
      <c r="M846" s="162"/>
    </row>
    <row r="847" spans="13:13" ht="12.75" x14ac:dyDescent="0.2">
      <c r="M847" s="162"/>
    </row>
    <row r="848" spans="13:13" ht="12.75" x14ac:dyDescent="0.2">
      <c r="M848" s="162"/>
    </row>
    <row r="849" spans="13:13" ht="12.75" x14ac:dyDescent="0.2">
      <c r="M849" s="162"/>
    </row>
    <row r="850" spans="13:13" ht="12.75" x14ac:dyDescent="0.2">
      <c r="M850" s="162"/>
    </row>
    <row r="851" spans="13:13" ht="12.75" x14ac:dyDescent="0.2">
      <c r="M851" s="162"/>
    </row>
    <row r="852" spans="13:13" ht="12.75" x14ac:dyDescent="0.2">
      <c r="M852" s="162"/>
    </row>
    <row r="853" spans="13:13" ht="12.75" x14ac:dyDescent="0.2">
      <c r="M853" s="162"/>
    </row>
    <row r="854" spans="13:13" ht="12.75" x14ac:dyDescent="0.2">
      <c r="M854" s="162"/>
    </row>
    <row r="855" spans="13:13" ht="12.75" x14ac:dyDescent="0.2">
      <c r="M855" s="162"/>
    </row>
    <row r="856" spans="13:13" ht="12.75" x14ac:dyDescent="0.2">
      <c r="M856" s="162"/>
    </row>
    <row r="857" spans="13:13" ht="12.75" x14ac:dyDescent="0.2">
      <c r="M857" s="162"/>
    </row>
    <row r="858" spans="13:13" ht="12.75" x14ac:dyDescent="0.2">
      <c r="M858" s="162"/>
    </row>
    <row r="859" spans="13:13" ht="12.75" x14ac:dyDescent="0.2">
      <c r="M859" s="162"/>
    </row>
    <row r="860" spans="13:13" ht="12.75" x14ac:dyDescent="0.2">
      <c r="M860" s="162"/>
    </row>
    <row r="861" spans="13:13" ht="12.75" x14ac:dyDescent="0.2">
      <c r="M861" s="162"/>
    </row>
    <row r="862" spans="13:13" ht="12.75" x14ac:dyDescent="0.2">
      <c r="M862" s="162"/>
    </row>
    <row r="863" spans="13:13" ht="12.75" x14ac:dyDescent="0.2">
      <c r="M863" s="162"/>
    </row>
    <row r="864" spans="13:13" ht="12.75" x14ac:dyDescent="0.2">
      <c r="M864" s="162"/>
    </row>
    <row r="865" spans="13:13" ht="12.75" x14ac:dyDescent="0.2">
      <c r="M865" s="162"/>
    </row>
    <row r="866" spans="13:13" ht="12.75" x14ac:dyDescent="0.2">
      <c r="M866" s="162"/>
    </row>
    <row r="867" spans="13:13" ht="12.75" x14ac:dyDescent="0.2">
      <c r="M867" s="162"/>
    </row>
    <row r="868" spans="13:13" ht="12.75" x14ac:dyDescent="0.2">
      <c r="M868" s="162"/>
    </row>
    <row r="869" spans="13:13" ht="12.75" x14ac:dyDescent="0.2">
      <c r="M869" s="162"/>
    </row>
    <row r="870" spans="13:13" ht="12.75" x14ac:dyDescent="0.2">
      <c r="M870" s="162"/>
    </row>
    <row r="871" spans="13:13" ht="12.75" x14ac:dyDescent="0.2">
      <c r="M871" s="162"/>
    </row>
    <row r="872" spans="13:13" ht="12.75" x14ac:dyDescent="0.2">
      <c r="M872" s="162"/>
    </row>
    <row r="873" spans="13:13" ht="12.75" x14ac:dyDescent="0.2">
      <c r="M873" s="162"/>
    </row>
    <row r="874" spans="13:13" ht="12.75" x14ac:dyDescent="0.2">
      <c r="M874" s="162"/>
    </row>
    <row r="875" spans="13:13" ht="12.75" x14ac:dyDescent="0.2">
      <c r="M875" s="162"/>
    </row>
    <row r="876" spans="13:13" ht="12.75" x14ac:dyDescent="0.2">
      <c r="M876" s="162"/>
    </row>
    <row r="877" spans="13:13" ht="12.75" x14ac:dyDescent="0.2">
      <c r="M877" s="162"/>
    </row>
    <row r="878" spans="13:13" ht="12.75" x14ac:dyDescent="0.2">
      <c r="M878" s="162"/>
    </row>
    <row r="879" spans="13:13" ht="12.75" x14ac:dyDescent="0.2">
      <c r="M879" s="162"/>
    </row>
    <row r="880" spans="13:13" ht="12.75" x14ac:dyDescent="0.2">
      <c r="M880" s="162"/>
    </row>
    <row r="881" spans="13:13" ht="12.75" x14ac:dyDescent="0.2">
      <c r="M881" s="162"/>
    </row>
    <row r="882" spans="13:13" ht="12.75" x14ac:dyDescent="0.2">
      <c r="M882" s="162"/>
    </row>
    <row r="883" spans="13:13" ht="12.75" x14ac:dyDescent="0.2">
      <c r="M883" s="162"/>
    </row>
    <row r="884" spans="13:13" ht="12.75" x14ac:dyDescent="0.2">
      <c r="M884" s="162"/>
    </row>
    <row r="885" spans="13:13" ht="12.75" x14ac:dyDescent="0.2">
      <c r="M885" s="162"/>
    </row>
    <row r="886" spans="13:13" ht="12.75" x14ac:dyDescent="0.2">
      <c r="M886" s="162"/>
    </row>
    <row r="887" spans="13:13" ht="12.75" x14ac:dyDescent="0.2">
      <c r="M887" s="162"/>
    </row>
    <row r="888" spans="13:13" ht="12.75" x14ac:dyDescent="0.2">
      <c r="M888" s="162"/>
    </row>
    <row r="889" spans="13:13" ht="12.75" x14ac:dyDescent="0.2">
      <c r="M889" s="162"/>
    </row>
    <row r="890" spans="13:13" ht="12.75" x14ac:dyDescent="0.2">
      <c r="M890" s="162"/>
    </row>
    <row r="891" spans="13:13" ht="12.75" x14ac:dyDescent="0.2">
      <c r="M891" s="162"/>
    </row>
    <row r="892" spans="13:13" ht="12.75" x14ac:dyDescent="0.2">
      <c r="M892" s="162"/>
    </row>
    <row r="893" spans="13:13" ht="12.75" x14ac:dyDescent="0.2">
      <c r="M893" s="162"/>
    </row>
    <row r="894" spans="13:13" ht="12.75" x14ac:dyDescent="0.2">
      <c r="M894" s="162"/>
    </row>
    <row r="895" spans="13:13" ht="12.75" x14ac:dyDescent="0.2">
      <c r="M895" s="162"/>
    </row>
    <row r="896" spans="13:13" ht="12.75" x14ac:dyDescent="0.2">
      <c r="M896" s="162"/>
    </row>
    <row r="897" spans="13:13" ht="12.75" x14ac:dyDescent="0.2">
      <c r="M897" s="162"/>
    </row>
    <row r="898" spans="13:13" ht="12.75" x14ac:dyDescent="0.2">
      <c r="M898" s="162"/>
    </row>
    <row r="899" spans="13:13" ht="12.75" x14ac:dyDescent="0.2">
      <c r="M899" s="162"/>
    </row>
    <row r="900" spans="13:13" ht="12.75" x14ac:dyDescent="0.2">
      <c r="M900" s="162"/>
    </row>
    <row r="901" spans="13:13" ht="12.75" x14ac:dyDescent="0.2">
      <c r="M901" s="162"/>
    </row>
    <row r="902" spans="13:13" ht="12.75" x14ac:dyDescent="0.2">
      <c r="M902" s="162"/>
    </row>
    <row r="903" spans="13:13" ht="12.75" x14ac:dyDescent="0.2">
      <c r="M903" s="162"/>
    </row>
    <row r="904" spans="13:13" ht="12.75" x14ac:dyDescent="0.2">
      <c r="M904" s="162"/>
    </row>
    <row r="905" spans="13:13" ht="12.75" x14ac:dyDescent="0.2">
      <c r="M905" s="162"/>
    </row>
    <row r="906" spans="13:13" ht="12.75" x14ac:dyDescent="0.2">
      <c r="M906" s="162"/>
    </row>
    <row r="907" spans="13:13" ht="12.75" x14ac:dyDescent="0.2">
      <c r="M907" s="162"/>
    </row>
    <row r="908" spans="13:13" ht="12.75" x14ac:dyDescent="0.2">
      <c r="M908" s="162"/>
    </row>
    <row r="909" spans="13:13" ht="12.75" x14ac:dyDescent="0.2">
      <c r="M909" s="162"/>
    </row>
    <row r="910" spans="13:13" ht="12.75" x14ac:dyDescent="0.2">
      <c r="M910" s="162"/>
    </row>
    <row r="911" spans="13:13" ht="12.75" x14ac:dyDescent="0.2">
      <c r="M911" s="162"/>
    </row>
    <row r="912" spans="13:13" ht="12.75" x14ac:dyDescent="0.2">
      <c r="M912" s="162"/>
    </row>
    <row r="913" spans="13:13" ht="12.75" x14ac:dyDescent="0.2">
      <c r="M913" s="162"/>
    </row>
    <row r="914" spans="13:13" ht="12.75" x14ac:dyDescent="0.2">
      <c r="M914" s="162"/>
    </row>
    <row r="915" spans="13:13" ht="12.75" x14ac:dyDescent="0.2">
      <c r="M915" s="162"/>
    </row>
    <row r="916" spans="13:13" ht="12.75" x14ac:dyDescent="0.2">
      <c r="M916" s="162"/>
    </row>
    <row r="917" spans="13:13" ht="12.75" x14ac:dyDescent="0.2">
      <c r="M917" s="162"/>
    </row>
    <row r="918" spans="13:13" ht="12.75" x14ac:dyDescent="0.2">
      <c r="M918" s="162"/>
    </row>
    <row r="919" spans="13:13" ht="12.75" x14ac:dyDescent="0.2">
      <c r="M919" s="162"/>
    </row>
    <row r="920" spans="13:13" ht="12.75" x14ac:dyDescent="0.2">
      <c r="M920" s="162"/>
    </row>
    <row r="921" spans="13:13" ht="12.75" x14ac:dyDescent="0.2">
      <c r="M921" s="162"/>
    </row>
    <row r="922" spans="13:13" ht="12.75" x14ac:dyDescent="0.2">
      <c r="M922" s="162"/>
    </row>
    <row r="923" spans="13:13" ht="12.75" x14ac:dyDescent="0.2">
      <c r="M923" s="162"/>
    </row>
    <row r="924" spans="13:13" ht="12.75" x14ac:dyDescent="0.2">
      <c r="M924" s="162"/>
    </row>
    <row r="925" spans="13:13" ht="12.75" x14ac:dyDescent="0.2">
      <c r="M925" s="162"/>
    </row>
    <row r="926" spans="13:13" ht="12.75" x14ac:dyDescent="0.2">
      <c r="M926" s="162"/>
    </row>
    <row r="927" spans="13:13" ht="12.75" x14ac:dyDescent="0.2">
      <c r="M927" s="162"/>
    </row>
    <row r="928" spans="13:13" ht="12.75" x14ac:dyDescent="0.2">
      <c r="M928" s="162"/>
    </row>
    <row r="929" spans="13:13" ht="12.75" x14ac:dyDescent="0.2">
      <c r="M929" s="162"/>
    </row>
    <row r="930" spans="13:13" ht="12.75" x14ac:dyDescent="0.2">
      <c r="M930" s="162"/>
    </row>
    <row r="931" spans="13:13" ht="12.75" x14ac:dyDescent="0.2">
      <c r="M931" s="162"/>
    </row>
    <row r="932" spans="13:13" ht="12.75" x14ac:dyDescent="0.2">
      <c r="M932" s="162"/>
    </row>
    <row r="933" spans="13:13" ht="12.75" x14ac:dyDescent="0.2">
      <c r="M933" s="162"/>
    </row>
    <row r="934" spans="13:13" ht="12.75" x14ac:dyDescent="0.2">
      <c r="M934" s="162"/>
    </row>
    <row r="935" spans="13:13" ht="12.75" x14ac:dyDescent="0.2">
      <c r="M935" s="162"/>
    </row>
    <row r="936" spans="13:13" ht="12.75" x14ac:dyDescent="0.2">
      <c r="M936" s="162"/>
    </row>
    <row r="937" spans="13:13" ht="12.75" x14ac:dyDescent="0.2">
      <c r="M937" s="162"/>
    </row>
    <row r="938" spans="13:13" ht="12.75" x14ac:dyDescent="0.2">
      <c r="M938" s="162"/>
    </row>
    <row r="939" spans="13:13" ht="12.75" x14ac:dyDescent="0.2">
      <c r="M939" s="162"/>
    </row>
    <row r="940" spans="13:13" ht="12.75" x14ac:dyDescent="0.2">
      <c r="M940" s="162"/>
    </row>
    <row r="941" spans="13:13" ht="12.75" x14ac:dyDescent="0.2">
      <c r="M941" s="162"/>
    </row>
    <row r="942" spans="13:13" ht="12.75" x14ac:dyDescent="0.2">
      <c r="M942" s="162"/>
    </row>
    <row r="943" spans="13:13" ht="12.75" x14ac:dyDescent="0.2">
      <c r="M943" s="162"/>
    </row>
    <row r="944" spans="13:13" ht="12.75" x14ac:dyDescent="0.2">
      <c r="M944" s="162"/>
    </row>
    <row r="945" spans="13:13" ht="12.75" x14ac:dyDescent="0.2">
      <c r="M945" s="162"/>
    </row>
    <row r="946" spans="13:13" ht="12.75" x14ac:dyDescent="0.2">
      <c r="M946" s="162"/>
    </row>
    <row r="947" spans="13:13" ht="12.75" x14ac:dyDescent="0.2">
      <c r="M947" s="162"/>
    </row>
    <row r="948" spans="13:13" ht="12.75" x14ac:dyDescent="0.2">
      <c r="M948" s="162"/>
    </row>
    <row r="949" spans="13:13" ht="12.75" x14ac:dyDescent="0.2">
      <c r="M949" s="162"/>
    </row>
    <row r="950" spans="13:13" ht="12.75" x14ac:dyDescent="0.2">
      <c r="M950" s="162"/>
    </row>
    <row r="951" spans="13:13" ht="12.75" x14ac:dyDescent="0.2">
      <c r="M951" s="162"/>
    </row>
    <row r="952" spans="13:13" ht="12.75" x14ac:dyDescent="0.2">
      <c r="M952" s="162"/>
    </row>
    <row r="953" spans="13:13" ht="12.75" x14ac:dyDescent="0.2">
      <c r="M953" s="162"/>
    </row>
    <row r="954" spans="13:13" ht="12.75" x14ac:dyDescent="0.2">
      <c r="M954" s="162"/>
    </row>
    <row r="955" spans="13:13" ht="12.75" x14ac:dyDescent="0.2">
      <c r="M955" s="162"/>
    </row>
    <row r="956" spans="13:13" ht="12.75" x14ac:dyDescent="0.2">
      <c r="M956" s="162"/>
    </row>
    <row r="957" spans="13:13" ht="12.75" x14ac:dyDescent="0.2">
      <c r="M957" s="162"/>
    </row>
    <row r="958" spans="13:13" ht="12.75" x14ac:dyDescent="0.2">
      <c r="M958" s="162"/>
    </row>
    <row r="959" spans="13:13" ht="12.75" x14ac:dyDescent="0.2">
      <c r="M959" s="162"/>
    </row>
    <row r="960" spans="13:13" ht="12.75" x14ac:dyDescent="0.2">
      <c r="M960" s="162"/>
    </row>
    <row r="961" spans="13:13" ht="12.75" x14ac:dyDescent="0.2">
      <c r="M961" s="162"/>
    </row>
    <row r="962" spans="13:13" ht="12.75" x14ac:dyDescent="0.2">
      <c r="M962" s="162"/>
    </row>
    <row r="963" spans="13:13" ht="12.75" x14ac:dyDescent="0.2">
      <c r="M963" s="162"/>
    </row>
    <row r="964" spans="13:13" ht="12.75" x14ac:dyDescent="0.2">
      <c r="M964" s="162"/>
    </row>
    <row r="965" spans="13:13" ht="12.75" x14ac:dyDescent="0.2">
      <c r="M965" s="162"/>
    </row>
    <row r="966" spans="13:13" ht="12.75" x14ac:dyDescent="0.2">
      <c r="M966" s="162"/>
    </row>
    <row r="967" spans="13:13" ht="12.75" x14ac:dyDescent="0.2">
      <c r="M967" s="162"/>
    </row>
    <row r="968" spans="13:13" ht="12.75" x14ac:dyDescent="0.2">
      <c r="M968" s="162"/>
    </row>
    <row r="969" spans="13:13" ht="12.75" x14ac:dyDescent="0.2">
      <c r="M969" s="162"/>
    </row>
    <row r="970" spans="13:13" ht="12.75" x14ac:dyDescent="0.2">
      <c r="M970" s="162"/>
    </row>
    <row r="971" spans="13:13" ht="12.75" x14ac:dyDescent="0.2">
      <c r="M971" s="162"/>
    </row>
    <row r="972" spans="13:13" ht="12.75" x14ac:dyDescent="0.2">
      <c r="M972" s="162"/>
    </row>
    <row r="973" spans="13:13" ht="12.75" x14ac:dyDescent="0.2">
      <c r="M973" s="162"/>
    </row>
    <row r="974" spans="13:13" ht="12.75" x14ac:dyDescent="0.2">
      <c r="M974" s="162"/>
    </row>
    <row r="975" spans="13:13" ht="12.75" x14ac:dyDescent="0.2">
      <c r="M975" s="162"/>
    </row>
    <row r="976" spans="13:13" ht="12.75" x14ac:dyDescent="0.2">
      <c r="M976" s="162"/>
    </row>
    <row r="977" spans="13:13" ht="12.75" x14ac:dyDescent="0.2">
      <c r="M977" s="162"/>
    </row>
    <row r="978" spans="13:13" ht="12.75" x14ac:dyDescent="0.2">
      <c r="M978" s="162"/>
    </row>
    <row r="979" spans="13:13" ht="12.75" x14ac:dyDescent="0.2">
      <c r="M979" s="162"/>
    </row>
    <row r="980" spans="13:13" ht="12.75" x14ac:dyDescent="0.2">
      <c r="M980" s="162"/>
    </row>
    <row r="981" spans="13:13" ht="12.75" x14ac:dyDescent="0.2">
      <c r="M981" s="162"/>
    </row>
    <row r="982" spans="13:13" ht="12.75" x14ac:dyDescent="0.2">
      <c r="M982" s="162"/>
    </row>
    <row r="983" spans="13:13" ht="12.75" x14ac:dyDescent="0.2">
      <c r="M983" s="162"/>
    </row>
    <row r="984" spans="13:13" ht="12.75" x14ac:dyDescent="0.2">
      <c r="M984" s="162"/>
    </row>
    <row r="985" spans="13:13" ht="12.75" x14ac:dyDescent="0.2">
      <c r="M985" s="162"/>
    </row>
    <row r="986" spans="13:13" ht="12.75" x14ac:dyDescent="0.2">
      <c r="M986" s="162"/>
    </row>
    <row r="987" spans="13:13" ht="12.75" x14ac:dyDescent="0.2">
      <c r="M987" s="162"/>
    </row>
    <row r="988" spans="13:13" ht="12.75" x14ac:dyDescent="0.2">
      <c r="M988" s="162"/>
    </row>
    <row r="989" spans="13:13" ht="12.75" x14ac:dyDescent="0.2">
      <c r="M989" s="162"/>
    </row>
    <row r="990" spans="13:13" ht="12.75" x14ac:dyDescent="0.2">
      <c r="M990" s="162"/>
    </row>
    <row r="991" spans="13:13" ht="12.75" x14ac:dyDescent="0.2">
      <c r="M991" s="162"/>
    </row>
    <row r="992" spans="13:13" ht="12.75" x14ac:dyDescent="0.2">
      <c r="M992" s="162"/>
    </row>
    <row r="993" spans="13:13" ht="12.75" x14ac:dyDescent="0.2">
      <c r="M993" s="162"/>
    </row>
    <row r="994" spans="13:13" ht="12.75" x14ac:dyDescent="0.2">
      <c r="M994" s="162"/>
    </row>
    <row r="995" spans="13:13" ht="12.75" x14ac:dyDescent="0.2">
      <c r="M995" s="162"/>
    </row>
    <row r="996" spans="13:13" ht="12.75" x14ac:dyDescent="0.2">
      <c r="M996" s="162"/>
    </row>
    <row r="997" spans="13:13" ht="12.75" x14ac:dyDescent="0.2">
      <c r="M997" s="162"/>
    </row>
    <row r="998" spans="13:13" ht="12.75" x14ac:dyDescent="0.2">
      <c r="M998" s="162"/>
    </row>
    <row r="999" spans="13:13" ht="12.75" x14ac:dyDescent="0.2">
      <c r="M999" s="162"/>
    </row>
    <row r="1000" spans="13:13" ht="12.75" x14ac:dyDescent="0.2">
      <c r="M1000" s="162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ErrorMessage="1" xr:uid="{00000000-0002-0000-0200-000000000000}">
          <x14:formula1>
            <xm:f>'Dropdown lists'!$C$2:$C$92</xm:f>
          </x14:formula1>
          <xm:sqref>A2:A12</xm:sqref>
        </x14:dataValidation>
        <x14:dataValidation type="list" allowBlank="1" showErrorMessage="1" xr:uid="{00000000-0002-0000-0200-000001000000}">
          <x14:formula1>
            <xm:f>'Dropdown lists'!$D$2:$D$8</xm:f>
          </x14:formula1>
          <xm:sqref>B2:B12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V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703125" defaultRowHeight="15.75" customHeight="1" x14ac:dyDescent="0.2"/>
  <cols>
    <col min="2" max="2" width="16.85546875" customWidth="1"/>
  </cols>
  <sheetData>
    <row r="1" spans="1:22" x14ac:dyDescent="0.2">
      <c r="A1" s="163" t="s">
        <v>0</v>
      </c>
      <c r="B1" s="163" t="s">
        <v>248</v>
      </c>
      <c r="C1" s="163" t="s">
        <v>249</v>
      </c>
      <c r="D1" s="164" t="s">
        <v>250</v>
      </c>
      <c r="E1" s="164" t="s">
        <v>251</v>
      </c>
      <c r="F1" s="163" t="s">
        <v>252</v>
      </c>
      <c r="G1" s="163" t="s">
        <v>253</v>
      </c>
      <c r="H1" s="163" t="s">
        <v>254</v>
      </c>
      <c r="I1" s="163" t="s">
        <v>255</v>
      </c>
      <c r="J1" s="163" t="s">
        <v>256</v>
      </c>
      <c r="K1" s="163" t="s">
        <v>257</v>
      </c>
      <c r="L1" s="163" t="s">
        <v>258</v>
      </c>
      <c r="M1" s="163" t="s">
        <v>259</v>
      </c>
      <c r="N1" s="163" t="s">
        <v>260</v>
      </c>
      <c r="O1" s="163" t="s">
        <v>261</v>
      </c>
      <c r="P1" s="163" t="s">
        <v>262</v>
      </c>
      <c r="Q1" s="163" t="s">
        <v>263</v>
      </c>
      <c r="R1" s="163" t="s">
        <v>264</v>
      </c>
      <c r="S1" s="165" t="s">
        <v>265</v>
      </c>
      <c r="T1" s="165" t="s">
        <v>266</v>
      </c>
      <c r="U1" s="165"/>
      <c r="V1" s="165"/>
    </row>
    <row r="2" spans="1:22" x14ac:dyDescent="0.2">
      <c r="A2" s="166" t="s">
        <v>33</v>
      </c>
      <c r="B2" s="167" t="s">
        <v>267</v>
      </c>
      <c r="C2" s="167" t="s">
        <v>268</v>
      </c>
      <c r="D2" s="168" t="s">
        <v>269</v>
      </c>
      <c r="E2" s="168">
        <v>31807</v>
      </c>
      <c r="F2" s="167" t="s">
        <v>270</v>
      </c>
      <c r="G2" s="167" t="s">
        <v>271</v>
      </c>
      <c r="H2" s="167" t="s">
        <v>272</v>
      </c>
      <c r="I2" s="169" t="s">
        <v>273</v>
      </c>
      <c r="J2" s="170" t="s">
        <v>274</v>
      </c>
      <c r="K2" s="170" t="s">
        <v>274</v>
      </c>
      <c r="L2" s="167" t="s">
        <v>275</v>
      </c>
      <c r="M2" s="167" t="s">
        <v>276</v>
      </c>
      <c r="N2" s="167" t="s">
        <v>276</v>
      </c>
      <c r="O2" s="167"/>
      <c r="P2" s="167"/>
      <c r="Q2" s="171" t="str">
        <f>HYPERLINK("https://api.typeform.com/responses/files/e525a394d016d9e45eb0d1dbff4af17bae6c5e8767ae273af2ddc6a934f5d67a/26_06_2022.jpg")</f>
        <v>https://api.typeform.com/responses/files/e525a394d016d9e45eb0d1dbff4af17bae6c5e8767ae273af2ddc6a934f5d67a/26_06_2022.jpg</v>
      </c>
      <c r="R2" s="171" t="str">
        <f>HYPERLINK("https://api.typeform.com/responses/files/bc2f92cdc94eff9836c5d4235596a6350a4a21717b7d8ec9f4e6a07b9a70fa1b/photo_2022_11_16_17_09_05.jpg")</f>
        <v>https://api.typeform.com/responses/files/bc2f92cdc94eff9836c5d4235596a6350a4a21717b7d8ec9f4e6a07b9a70fa1b/photo_2022_11_16_17_09_05.jpg</v>
      </c>
      <c r="S2" s="171"/>
      <c r="T2" s="171"/>
      <c r="U2" s="171"/>
      <c r="V2" s="171"/>
    </row>
    <row r="3" spans="1:22" x14ac:dyDescent="0.2">
      <c r="A3" s="167" t="s">
        <v>58</v>
      </c>
      <c r="B3" s="167" t="s">
        <v>267</v>
      </c>
      <c r="C3" s="167" t="s">
        <v>277</v>
      </c>
      <c r="D3" s="168" t="s">
        <v>278</v>
      </c>
      <c r="E3" s="168">
        <v>32668</v>
      </c>
      <c r="F3" s="167" t="s">
        <v>279</v>
      </c>
      <c r="G3" s="167" t="s">
        <v>280</v>
      </c>
      <c r="H3" s="167" t="s">
        <v>281</v>
      </c>
      <c r="I3" s="169" t="s">
        <v>282</v>
      </c>
      <c r="J3" s="167" t="s">
        <v>283</v>
      </c>
      <c r="K3" s="167" t="s">
        <v>283</v>
      </c>
      <c r="L3" s="167" t="s">
        <v>284</v>
      </c>
      <c r="M3" s="167" t="s">
        <v>285</v>
      </c>
      <c r="N3" s="167" t="s">
        <v>285</v>
      </c>
      <c r="O3" s="167"/>
      <c r="P3" s="167"/>
      <c r="Q3" s="171" t="str">
        <f>HYPERLINK("https://api.typeform.com/responses/files/e6f33107d6f05996a6a7c65969ebd8950c223e595f851f11c6bcd7144a0deca6/20171216_211920.jpg")</f>
        <v>https://api.typeform.com/responses/files/e6f33107d6f05996a6a7c65969ebd8950c223e595f851f11c6bcd7144a0deca6/20171216_211920.jpg</v>
      </c>
      <c r="R3" s="171" t="str">
        <f>HYPERLINK("https://api.typeform.com/responses/files/2bd52097ae4b441cb296f911806a394f6728c7b635de2c97734a22408c3d5c94/IMG_20220328_125824949.jpg")</f>
        <v>https://api.typeform.com/responses/files/2bd52097ae4b441cb296f911806a394f6728c7b635de2c97734a22408c3d5c94/IMG_20220328_125824949.jpg</v>
      </c>
      <c r="S3" s="171"/>
      <c r="T3" s="171"/>
      <c r="U3" s="171"/>
      <c r="V3" s="171"/>
    </row>
    <row r="4" spans="1:22" x14ac:dyDescent="0.2">
      <c r="A4" s="167" t="s">
        <v>286</v>
      </c>
      <c r="B4" s="167" t="s">
        <v>267</v>
      </c>
      <c r="C4" s="167" t="s">
        <v>287</v>
      </c>
      <c r="D4" s="168" t="s">
        <v>288</v>
      </c>
      <c r="E4" s="168">
        <v>32674</v>
      </c>
      <c r="F4" s="167" t="s">
        <v>289</v>
      </c>
      <c r="G4" s="167">
        <v>46</v>
      </c>
      <c r="H4" s="167" t="s">
        <v>290</v>
      </c>
      <c r="I4" s="167">
        <f>380634022970</f>
        <v>380634022970</v>
      </c>
      <c r="J4" s="167" t="s">
        <v>283</v>
      </c>
      <c r="K4" s="167" t="s">
        <v>283</v>
      </c>
      <c r="L4" s="167" t="s">
        <v>291</v>
      </c>
      <c r="M4" s="167" t="s">
        <v>289</v>
      </c>
      <c r="N4" s="167"/>
      <c r="O4" s="167"/>
      <c r="P4" s="167"/>
      <c r="Q4" s="167"/>
      <c r="R4" s="167"/>
      <c r="S4" s="167"/>
      <c r="T4" s="167"/>
      <c r="U4" s="167"/>
      <c r="V4" s="167"/>
    </row>
    <row r="5" spans="1:22" x14ac:dyDescent="0.2">
      <c r="A5" s="167" t="s">
        <v>60</v>
      </c>
      <c r="B5" s="167" t="s">
        <v>267</v>
      </c>
      <c r="C5" s="167" t="s">
        <v>292</v>
      </c>
      <c r="D5" s="168" t="s">
        <v>293</v>
      </c>
      <c r="E5" s="168">
        <v>32073</v>
      </c>
      <c r="F5" s="167" t="s">
        <v>294</v>
      </c>
      <c r="G5" s="167" t="s">
        <v>60</v>
      </c>
      <c r="H5" s="167" t="s">
        <v>295</v>
      </c>
      <c r="I5" s="169" t="s">
        <v>296</v>
      </c>
      <c r="J5" s="167" t="s">
        <v>283</v>
      </c>
      <c r="K5" s="167"/>
      <c r="L5" s="167" t="s">
        <v>297</v>
      </c>
      <c r="M5" s="167"/>
      <c r="N5" s="167" t="s">
        <v>294</v>
      </c>
      <c r="O5" s="167"/>
      <c r="P5" s="167"/>
      <c r="Q5" s="172" t="s">
        <v>298</v>
      </c>
      <c r="R5" s="171" t="s">
        <v>299</v>
      </c>
      <c r="S5" s="171"/>
      <c r="T5" s="171"/>
      <c r="U5" s="171"/>
      <c r="V5" s="171"/>
    </row>
    <row r="6" spans="1:22" x14ac:dyDescent="0.2">
      <c r="A6" s="167" t="s">
        <v>82</v>
      </c>
      <c r="B6" s="167" t="s">
        <v>300</v>
      </c>
      <c r="C6" s="167" t="s">
        <v>301</v>
      </c>
      <c r="D6" s="168" t="s">
        <v>302</v>
      </c>
      <c r="E6" s="168">
        <v>32072</v>
      </c>
      <c r="F6" s="167" t="s">
        <v>303</v>
      </c>
      <c r="G6" s="167" t="s">
        <v>304</v>
      </c>
      <c r="H6" s="167" t="s">
        <v>305</v>
      </c>
      <c r="I6" s="167">
        <f>79898356973</f>
        <v>79898356973</v>
      </c>
      <c r="J6" s="167" t="s">
        <v>306</v>
      </c>
      <c r="K6" s="167" t="s">
        <v>306</v>
      </c>
      <c r="L6" s="167" t="s">
        <v>307</v>
      </c>
      <c r="M6" s="167"/>
      <c r="N6" s="167"/>
      <c r="O6" s="167" t="s">
        <v>308</v>
      </c>
      <c r="P6" s="167"/>
      <c r="Q6" s="172" t="s">
        <v>309</v>
      </c>
      <c r="R6" s="171" t="s">
        <v>310</v>
      </c>
      <c r="S6" s="171"/>
      <c r="T6" s="171"/>
      <c r="U6" s="171"/>
      <c r="V6" s="171"/>
    </row>
    <row r="7" spans="1:22" x14ac:dyDescent="0.2">
      <c r="A7" s="167" t="s">
        <v>311</v>
      </c>
      <c r="B7" s="167" t="s">
        <v>267</v>
      </c>
      <c r="C7" s="167" t="s">
        <v>312</v>
      </c>
      <c r="D7" s="168" t="s">
        <v>313</v>
      </c>
      <c r="E7" s="168">
        <v>34302</v>
      </c>
      <c r="F7" s="167" t="s">
        <v>314</v>
      </c>
      <c r="G7" s="167" t="s">
        <v>315</v>
      </c>
      <c r="H7" s="167" t="s">
        <v>316</v>
      </c>
      <c r="I7" s="167">
        <f>375336569497</f>
        <v>375336569497</v>
      </c>
      <c r="J7" s="170" t="s">
        <v>274</v>
      </c>
      <c r="K7" s="170" t="s">
        <v>274</v>
      </c>
      <c r="L7" s="167"/>
      <c r="M7" s="167"/>
      <c r="N7" s="167"/>
      <c r="O7" s="167"/>
      <c r="P7" s="167"/>
      <c r="Q7" s="167"/>
      <c r="R7" s="167"/>
      <c r="S7" s="167"/>
      <c r="T7" s="167"/>
      <c r="U7" s="167"/>
      <c r="V7" s="167"/>
    </row>
    <row r="8" spans="1:22" x14ac:dyDescent="0.2">
      <c r="A8" s="167" t="s">
        <v>154</v>
      </c>
      <c r="B8" s="167" t="s">
        <v>267</v>
      </c>
      <c r="C8" s="167" t="s">
        <v>317</v>
      </c>
      <c r="D8" s="168" t="s">
        <v>318</v>
      </c>
      <c r="E8" s="168">
        <v>32231</v>
      </c>
      <c r="F8" s="167" t="s">
        <v>319</v>
      </c>
      <c r="G8" s="167" t="s">
        <v>320</v>
      </c>
      <c r="H8" s="167" t="s">
        <v>321</v>
      </c>
      <c r="I8" s="169" t="s">
        <v>322</v>
      </c>
      <c r="J8" s="167" t="s">
        <v>283</v>
      </c>
      <c r="K8" s="167" t="s">
        <v>283</v>
      </c>
      <c r="L8" s="167" t="s">
        <v>323</v>
      </c>
      <c r="M8" s="167" t="s">
        <v>324</v>
      </c>
      <c r="N8" s="167"/>
      <c r="O8" s="167"/>
      <c r="P8" s="167"/>
      <c r="Q8" s="171" t="s">
        <v>325</v>
      </c>
      <c r="R8" s="171" t="s">
        <v>326</v>
      </c>
      <c r="S8" s="171"/>
      <c r="T8" s="171"/>
      <c r="U8" s="171"/>
      <c r="V8" s="171"/>
    </row>
    <row r="9" spans="1:22" x14ac:dyDescent="0.2">
      <c r="A9" s="167" t="s">
        <v>89</v>
      </c>
      <c r="B9" s="167" t="s">
        <v>267</v>
      </c>
      <c r="C9" s="167" t="s">
        <v>327</v>
      </c>
      <c r="D9" s="168" t="s">
        <v>328</v>
      </c>
      <c r="E9" s="168">
        <v>32062</v>
      </c>
      <c r="F9" s="167" t="s">
        <v>329</v>
      </c>
      <c r="G9" s="167" t="s">
        <v>330</v>
      </c>
      <c r="H9" s="167" t="s">
        <v>331</v>
      </c>
      <c r="I9" s="169" t="s">
        <v>332</v>
      </c>
      <c r="J9" s="167" t="s">
        <v>306</v>
      </c>
      <c r="K9" s="167" t="s">
        <v>306</v>
      </c>
      <c r="L9" s="167" t="s">
        <v>333</v>
      </c>
      <c r="M9" s="167" t="s">
        <v>334</v>
      </c>
      <c r="N9" s="167" t="s">
        <v>334</v>
      </c>
      <c r="O9" s="167" t="s">
        <v>334</v>
      </c>
      <c r="P9" s="167" t="s">
        <v>334</v>
      </c>
      <c r="Q9" s="171" t="str">
        <f>HYPERLINK("https://api.typeform.com/responses/files/2bfe85b8368f89d0fef3feb659a84d9bde24a2105f719984427aa60ce240006a/Рисунок__7_.jpg")</f>
        <v>https://api.typeform.com/responses/files/2bfe85b8368f89d0fef3feb659a84d9bde24a2105f719984427aa60ce240006a/Рисунок__7_.jpg</v>
      </c>
      <c r="R9" s="171" t="str">
        <f>HYPERLINK("https://api.typeform.com/responses/files/a17cea86fd47b2182b2bce3f704d0cb313a58065acddb82d3e5a4c9d5ffc6d94/1634055155968.jpg")</f>
        <v>https://api.typeform.com/responses/files/a17cea86fd47b2182b2bce3f704d0cb313a58065acddb82d3e5a4c9d5ffc6d94/1634055155968.jpg</v>
      </c>
      <c r="S9" s="171"/>
      <c r="T9" s="171"/>
      <c r="U9" s="171"/>
      <c r="V9" s="171"/>
    </row>
    <row r="10" spans="1:22" x14ac:dyDescent="0.2">
      <c r="A10" s="167" t="s">
        <v>145</v>
      </c>
      <c r="B10" s="167" t="s">
        <v>300</v>
      </c>
      <c r="C10" s="167" t="s">
        <v>317</v>
      </c>
      <c r="D10" s="168" t="s">
        <v>335</v>
      </c>
      <c r="E10" s="168">
        <v>32324</v>
      </c>
      <c r="F10" s="167" t="s">
        <v>336</v>
      </c>
      <c r="G10" s="167" t="s">
        <v>145</v>
      </c>
      <c r="H10" s="167" t="s">
        <v>145</v>
      </c>
      <c r="I10" s="167">
        <f>79119370650</f>
        <v>79119370650</v>
      </c>
      <c r="J10" s="167" t="s">
        <v>337</v>
      </c>
      <c r="K10" s="167" t="s">
        <v>306</v>
      </c>
      <c r="L10" s="167" t="s">
        <v>338</v>
      </c>
      <c r="M10" s="167"/>
      <c r="N10" s="167" t="s">
        <v>339</v>
      </c>
      <c r="O10" s="167" t="s">
        <v>336</v>
      </c>
      <c r="P10" s="167"/>
      <c r="Q10" s="171" t="s">
        <v>340</v>
      </c>
      <c r="R10" s="171" t="s">
        <v>341</v>
      </c>
      <c r="S10" s="171"/>
      <c r="T10" s="171"/>
      <c r="U10" s="171"/>
      <c r="V10" s="171"/>
    </row>
    <row r="11" spans="1:22" x14ac:dyDescent="0.2">
      <c r="A11" s="167" t="s">
        <v>155</v>
      </c>
      <c r="B11" s="167" t="s">
        <v>267</v>
      </c>
      <c r="C11" s="167" t="s">
        <v>342</v>
      </c>
      <c r="D11" s="168" t="s">
        <v>343</v>
      </c>
      <c r="E11" s="168">
        <v>32919</v>
      </c>
      <c r="F11" s="167" t="s">
        <v>344</v>
      </c>
      <c r="G11" s="167" t="s">
        <v>345</v>
      </c>
      <c r="H11" s="167" t="s">
        <v>346</v>
      </c>
      <c r="I11" s="169" t="s">
        <v>347</v>
      </c>
      <c r="J11" s="167" t="s">
        <v>283</v>
      </c>
      <c r="K11" s="167" t="s">
        <v>283</v>
      </c>
      <c r="L11" s="167" t="s">
        <v>348</v>
      </c>
      <c r="M11" s="167"/>
      <c r="N11" s="167"/>
      <c r="O11" s="167"/>
      <c r="P11" s="167"/>
      <c r="Q11" s="171" t="str">
        <f>HYPERLINK("https://api.typeform.com/responses/files/e9f35358c9655dd466b2ccbac7d397ba69c8f681dcc7a0acc508a83d6b37012c/image.jpg")</f>
        <v>https://api.typeform.com/responses/files/e9f35358c9655dd466b2ccbac7d397ba69c8f681dcc7a0acc508a83d6b37012c/image.jpg</v>
      </c>
      <c r="R11" s="171" t="str">
        <f>HYPERLINK("https://api.typeform.com/responses/files/3547d8142535bdd7912448bf5e95e0fcf61aa3d43bff3cfb168c895ae35ff0c0/image.jpg")</f>
        <v>https://api.typeform.com/responses/files/3547d8142535bdd7912448bf5e95e0fcf61aa3d43bff3cfb168c895ae35ff0c0/image.jpg</v>
      </c>
      <c r="S11" s="171"/>
      <c r="T11" s="171"/>
      <c r="U11" s="171"/>
      <c r="V11" s="171"/>
    </row>
    <row r="12" spans="1:22" x14ac:dyDescent="0.2">
      <c r="A12" s="166" t="s">
        <v>156</v>
      </c>
      <c r="B12" s="167" t="s">
        <v>267</v>
      </c>
      <c r="C12" s="167" t="s">
        <v>349</v>
      </c>
      <c r="D12" s="168" t="s">
        <v>350</v>
      </c>
      <c r="E12" s="168">
        <v>30522</v>
      </c>
      <c r="F12" s="167" t="s">
        <v>351</v>
      </c>
      <c r="G12" s="167" t="s">
        <v>156</v>
      </c>
      <c r="H12" s="167" t="s">
        <v>352</v>
      </c>
      <c r="I12" s="169" t="s">
        <v>353</v>
      </c>
      <c r="J12" s="167" t="s">
        <v>283</v>
      </c>
      <c r="K12" s="167" t="s">
        <v>283</v>
      </c>
      <c r="L12" s="167" t="s">
        <v>354</v>
      </c>
      <c r="M12" s="167" t="s">
        <v>351</v>
      </c>
      <c r="N12" s="167"/>
      <c r="O12" s="167"/>
      <c r="P12" s="167"/>
      <c r="Q12" s="171" t="str">
        <f>HYPERLINK("https://api.typeform.com/responses/files/ddfbbcce6fbf40a8e2337ee1a8e520fde0bc2aedc16dd5ca240a1ce46060ac2a/Rakytskyi_Foreign_1st_page.pdf")</f>
        <v>https://api.typeform.com/responses/files/ddfbbcce6fbf40a8e2337ee1a8e520fde0bc2aedc16dd5ca240a1ce46060ac2a/Rakytskyi_Foreign_1st_page.pdf</v>
      </c>
      <c r="R12" s="171" t="str">
        <f>HYPERLINK("https://api.typeform.com/responses/files/79e4d4ff8ed1225587fdbb612c7504c8f0a7e7627f5cb629aadd73b6d5a287c1/IMG_9899.jpg")</f>
        <v>https://api.typeform.com/responses/files/79e4d4ff8ed1225587fdbb612c7504c8f0a7e7627f5cb629aadd73b6d5a287c1/IMG_9899.jpg</v>
      </c>
      <c r="S12" s="171"/>
      <c r="T12" s="171"/>
      <c r="U12" s="171"/>
      <c r="V12" s="171"/>
    </row>
    <row r="13" spans="1:22" x14ac:dyDescent="0.2">
      <c r="A13" s="167" t="s">
        <v>355</v>
      </c>
      <c r="B13" s="167" t="s">
        <v>267</v>
      </c>
      <c r="C13" s="167" t="s">
        <v>277</v>
      </c>
      <c r="D13" s="168" t="s">
        <v>356</v>
      </c>
      <c r="E13" s="168">
        <v>34499</v>
      </c>
      <c r="F13" s="167" t="s">
        <v>357</v>
      </c>
      <c r="G13" s="167" t="s">
        <v>355</v>
      </c>
      <c r="H13" s="167" t="s">
        <v>358</v>
      </c>
      <c r="I13" s="169" t="s">
        <v>359</v>
      </c>
      <c r="J13" s="167" t="s">
        <v>306</v>
      </c>
      <c r="K13" s="167" t="s">
        <v>306</v>
      </c>
      <c r="L13" s="167" t="s">
        <v>360</v>
      </c>
      <c r="M13" s="167" t="s">
        <v>361</v>
      </c>
      <c r="N13" s="167" t="s">
        <v>362</v>
      </c>
      <c r="O13" s="167"/>
      <c r="P13" s="167"/>
      <c r="Q13" s="171" t="s">
        <v>363</v>
      </c>
      <c r="R13" s="171" t="s">
        <v>364</v>
      </c>
      <c r="S13" s="171"/>
      <c r="T13" s="171"/>
      <c r="U13" s="171"/>
      <c r="V13" s="171"/>
    </row>
    <row r="14" spans="1:22" x14ac:dyDescent="0.2">
      <c r="A14" s="167" t="s">
        <v>125</v>
      </c>
      <c r="B14" s="167" t="s">
        <v>267</v>
      </c>
      <c r="C14" s="167" t="s">
        <v>365</v>
      </c>
      <c r="D14" s="168" t="s">
        <v>366</v>
      </c>
      <c r="E14" s="168">
        <v>29701</v>
      </c>
      <c r="F14" s="167" t="s">
        <v>367</v>
      </c>
      <c r="G14" s="167" t="s">
        <v>368</v>
      </c>
      <c r="H14" s="167" t="s">
        <v>369</v>
      </c>
      <c r="I14" s="169" t="s">
        <v>370</v>
      </c>
      <c r="J14" s="167" t="s">
        <v>371</v>
      </c>
      <c r="K14" s="170" t="s">
        <v>274</v>
      </c>
      <c r="L14" s="167" t="s">
        <v>372</v>
      </c>
      <c r="M14" s="167"/>
      <c r="N14" s="167" t="s">
        <v>373</v>
      </c>
      <c r="O14" s="167"/>
      <c r="P14" s="167"/>
      <c r="Q14" s="171" t="str">
        <f>HYPERLINK("https://api.typeform.com/responses/files/65632fd9f513fc0f019b9b30fc8e8d2177b93236cef2c57541930e2c503a33d3/Passport.jpg")</f>
        <v>https://api.typeform.com/responses/files/65632fd9f513fc0f019b9b30fc8e8d2177b93236cef2c57541930e2c503a33d3/Passport.jpg</v>
      </c>
      <c r="R14" s="167"/>
      <c r="S14" s="167"/>
      <c r="T14" s="167"/>
      <c r="U14" s="167"/>
      <c r="V14" s="167"/>
    </row>
    <row r="15" spans="1:22" x14ac:dyDescent="0.2">
      <c r="A15" s="167" t="s">
        <v>157</v>
      </c>
      <c r="B15" s="167" t="s">
        <v>267</v>
      </c>
      <c r="C15" s="167" t="s">
        <v>301</v>
      </c>
      <c r="D15" s="168" t="s">
        <v>374</v>
      </c>
      <c r="E15" s="168">
        <v>30637</v>
      </c>
      <c r="F15" s="167" t="s">
        <v>375</v>
      </c>
      <c r="G15" s="167" t="s">
        <v>376</v>
      </c>
      <c r="H15" s="167" t="s">
        <v>377</v>
      </c>
      <c r="I15" s="169" t="s">
        <v>378</v>
      </c>
      <c r="J15" s="167" t="s">
        <v>306</v>
      </c>
      <c r="K15" s="167" t="s">
        <v>306</v>
      </c>
      <c r="L15" s="167" t="s">
        <v>379</v>
      </c>
      <c r="M15" s="167" t="s">
        <v>380</v>
      </c>
      <c r="N15" s="167"/>
      <c r="O15" s="167" t="s">
        <v>380</v>
      </c>
      <c r="P15" s="167"/>
      <c r="Q15" s="171" t="str">
        <f>HYPERLINK("https://api.typeform.com/responses/files/4dbda5a65a3add45910fb29ff2916f54ea3f545d8e20892555044926c54ed582/photo_2022_04_17_23_01_08.jpg")</f>
        <v>https://api.typeform.com/responses/files/4dbda5a65a3add45910fb29ff2916f54ea3f545d8e20892555044926c54ed582/photo_2022_04_17_23_01_08.jpg</v>
      </c>
      <c r="R15" s="171" t="str">
        <f>HYPERLINK("https://api.typeform.com/responses/files/0ffc8317e4e17d81963703f9d7c5a4cd3f93f4fbc88aee7d56bd5c5747612e6a/photo_2022_05_02_20_53_14.jpg")</f>
        <v>https://api.typeform.com/responses/files/0ffc8317e4e17d81963703f9d7c5a4cd3f93f4fbc88aee7d56bd5c5747612e6a/photo_2022_05_02_20_53_14.jpg</v>
      </c>
      <c r="S15" s="171"/>
      <c r="T15" s="171"/>
      <c r="U15" s="171"/>
      <c r="V15" s="171"/>
    </row>
    <row r="16" spans="1:22" x14ac:dyDescent="0.2">
      <c r="A16" s="173" t="s">
        <v>381</v>
      </c>
      <c r="B16" s="167" t="s">
        <v>267</v>
      </c>
      <c r="C16" s="167" t="s">
        <v>382</v>
      </c>
      <c r="D16" s="168" t="s">
        <v>383</v>
      </c>
      <c r="E16" s="168">
        <v>36213</v>
      </c>
      <c r="F16" s="167" t="s">
        <v>384</v>
      </c>
      <c r="G16" s="167" t="s">
        <v>385</v>
      </c>
      <c r="H16" s="167" t="s">
        <v>386</v>
      </c>
      <c r="I16" s="169" t="s">
        <v>387</v>
      </c>
      <c r="J16" s="167" t="s">
        <v>283</v>
      </c>
      <c r="K16" s="167" t="s">
        <v>283</v>
      </c>
      <c r="L16" s="167" t="s">
        <v>388</v>
      </c>
      <c r="M16" s="167"/>
      <c r="N16" s="167"/>
      <c r="O16" s="167"/>
      <c r="P16" s="167"/>
      <c r="Q16" s="171" t="str">
        <f>HYPERLINK("https://api.typeform.com/responses/files/3d9b74f13fab09f8402cca725d59d0cbd82e0971d327a1ff0d8f54ec01c9506a/Пас.jpg")</f>
        <v>https://api.typeform.com/responses/files/3d9b74f13fab09f8402cca725d59d0cbd82e0971d327a1ff0d8f54ec01c9506a/Пас.jpg</v>
      </c>
      <c r="R16" s="171" t="str">
        <f>HYPERLINK("https://api.typeform.com/responses/files/3f89735e14a26bd24a3d235e02baa3b33b4a6844e35375090a24ccd56a71511f/я_пас.jpg")</f>
        <v>https://api.typeform.com/responses/files/3f89735e14a26bd24a3d235e02baa3b33b4a6844e35375090a24ccd56a71511f/я_пас.jpg</v>
      </c>
      <c r="S16" s="171"/>
      <c r="T16" s="171"/>
      <c r="U16" s="171"/>
      <c r="V16" s="171"/>
    </row>
    <row r="17" spans="1:22" x14ac:dyDescent="0.2">
      <c r="A17" s="167" t="s">
        <v>150</v>
      </c>
      <c r="B17" s="167" t="s">
        <v>267</v>
      </c>
      <c r="C17" s="167" t="s">
        <v>277</v>
      </c>
      <c r="D17" s="168" t="s">
        <v>389</v>
      </c>
      <c r="E17" s="168">
        <v>30903</v>
      </c>
      <c r="F17" s="167" t="s">
        <v>390</v>
      </c>
      <c r="G17" s="167" t="s">
        <v>391</v>
      </c>
      <c r="H17" s="167" t="s">
        <v>391</v>
      </c>
      <c r="I17" s="169" t="s">
        <v>392</v>
      </c>
      <c r="J17" s="167" t="s">
        <v>306</v>
      </c>
      <c r="K17" s="167" t="s">
        <v>306</v>
      </c>
      <c r="L17" s="167" t="s">
        <v>393</v>
      </c>
      <c r="M17" s="167"/>
      <c r="N17" s="167"/>
      <c r="O17" s="167" t="s">
        <v>394</v>
      </c>
      <c r="P17" s="167"/>
      <c r="Q17" s="171" t="str">
        <f>HYPERLINK("https://api.typeform.com/responses/files/e8d198c0b3ea18bfe53778a2b95c0e4343ef73ca9989de191e0a872983725331/1654095512042..jpg")</f>
        <v>https://api.typeform.com/responses/files/e8d198c0b3ea18bfe53778a2b95c0e4343ef73ca9989de191e0a872983725331/1654095512042..jpg</v>
      </c>
      <c r="R17" s="171" t="str">
        <f>HYPERLINK("https://api.typeform.com/responses/files/ee71d5d87325732fb40c8178f78f9af167a8264b9232ab476474189720f27da3/1654095599856..jpg")</f>
        <v>https://api.typeform.com/responses/files/ee71d5d87325732fb40c8178f78f9af167a8264b9232ab476474189720f27da3/1654095599856..jpg</v>
      </c>
      <c r="S17" s="171"/>
      <c r="T17" s="171"/>
      <c r="U17" s="171"/>
      <c r="V17" s="171"/>
    </row>
    <row r="18" spans="1:22" x14ac:dyDescent="0.2">
      <c r="A18" s="167" t="s">
        <v>395</v>
      </c>
      <c r="B18" s="167" t="s">
        <v>267</v>
      </c>
      <c r="C18" s="167" t="s">
        <v>317</v>
      </c>
      <c r="D18" s="168" t="s">
        <v>396</v>
      </c>
      <c r="E18" s="168">
        <v>35926</v>
      </c>
      <c r="F18" s="167" t="s">
        <v>397</v>
      </c>
      <c r="G18" s="167" t="s">
        <v>398</v>
      </c>
      <c r="H18" s="167" t="s">
        <v>399</v>
      </c>
      <c r="I18" s="169" t="s">
        <v>400</v>
      </c>
      <c r="J18" s="167" t="s">
        <v>283</v>
      </c>
      <c r="K18" s="167" t="s">
        <v>283</v>
      </c>
      <c r="L18" s="167" t="s">
        <v>401</v>
      </c>
      <c r="M18" s="167" t="s">
        <v>397</v>
      </c>
      <c r="N18" s="167" t="s">
        <v>397</v>
      </c>
      <c r="O18" s="167" t="s">
        <v>334</v>
      </c>
      <c r="P18" s="167" t="s">
        <v>334</v>
      </c>
      <c r="Q18" s="171" t="str">
        <f>HYPERLINK("https://api.typeform.com/responses/files/c91482ddcded40b54832ffac23fb3ff58845ea15a4ad4c6e0d10676e3352e915/16317054736972565909804040629829.jpg")</f>
        <v>https://api.typeform.com/responses/files/c91482ddcded40b54832ffac23fb3ff58845ea15a4ad4c6e0d10676e3352e915/16317054736972565909804040629829.jpg</v>
      </c>
      <c r="R18" s="171" t="str">
        <f>HYPERLINK("https://api.typeform.com/responses/files/d7600683ef204cbfa96ba0ff941a2433d3ec4487be4615defe48db4e85810c6a/16317056289634517689447400238340.jpg")</f>
        <v>https://api.typeform.com/responses/files/d7600683ef204cbfa96ba0ff941a2433d3ec4487be4615defe48db4e85810c6a/16317056289634517689447400238340.jpg</v>
      </c>
      <c r="S18" s="171"/>
      <c r="T18" s="171"/>
      <c r="U18" s="171"/>
      <c r="V18" s="171"/>
    </row>
    <row r="19" spans="1:22" x14ac:dyDescent="0.2">
      <c r="A19" s="167" t="s">
        <v>402</v>
      </c>
      <c r="B19" s="167" t="s">
        <v>267</v>
      </c>
      <c r="C19" s="167" t="s">
        <v>403</v>
      </c>
      <c r="D19" s="168" t="s">
        <v>404</v>
      </c>
      <c r="E19" s="168">
        <v>35977</v>
      </c>
      <c r="F19" s="167" t="s">
        <v>405</v>
      </c>
      <c r="G19" s="167" t="s">
        <v>402</v>
      </c>
      <c r="H19" s="167" t="s">
        <v>406</v>
      </c>
      <c r="I19" s="169" t="s">
        <v>407</v>
      </c>
      <c r="J19" s="167" t="s">
        <v>306</v>
      </c>
      <c r="K19" s="167" t="s">
        <v>306</v>
      </c>
      <c r="L19" s="167" t="s">
        <v>408</v>
      </c>
      <c r="M19" s="167" t="s">
        <v>409</v>
      </c>
      <c r="N19" s="167"/>
      <c r="O19" s="167"/>
      <c r="P19" s="167"/>
      <c r="Q19" s="171" t="s">
        <v>410</v>
      </c>
      <c r="R19" s="171" t="s">
        <v>411</v>
      </c>
      <c r="S19" s="171"/>
      <c r="T19" s="171"/>
      <c r="U19" s="171"/>
      <c r="V19" s="171"/>
    </row>
    <row r="20" spans="1:22" x14ac:dyDescent="0.2">
      <c r="A20" s="167" t="s">
        <v>169</v>
      </c>
      <c r="B20" s="167" t="s">
        <v>267</v>
      </c>
      <c r="C20" s="167" t="s">
        <v>412</v>
      </c>
      <c r="D20" s="168" t="s">
        <v>413</v>
      </c>
      <c r="E20" s="168">
        <v>33100</v>
      </c>
      <c r="F20" s="167" t="s">
        <v>414</v>
      </c>
      <c r="G20" s="167" t="s">
        <v>169</v>
      </c>
      <c r="H20" s="167" t="s">
        <v>415</v>
      </c>
      <c r="I20" s="169" t="s">
        <v>416</v>
      </c>
      <c r="J20" s="167" t="s">
        <v>306</v>
      </c>
      <c r="K20" s="167" t="s">
        <v>417</v>
      </c>
      <c r="L20" s="167" t="s">
        <v>418</v>
      </c>
      <c r="M20" s="167" t="s">
        <v>414</v>
      </c>
      <c r="N20" s="167"/>
      <c r="O20" s="167"/>
      <c r="P20" s="167"/>
      <c r="Q20" s="171" t="str">
        <f>HYPERLINK("https://api.typeform.com/responses/files/06dec3c5c33f51c4aa16e858a1a2476106b7d4bfd25fe7b7065a6dd2d52e2320/тайпасс_загран_паша.png")</f>
        <v>https://api.typeform.com/responses/files/06dec3c5c33f51c4aa16e858a1a2476106b7d4bfd25fe7b7065a6dd2d52e2320/тайпасс_загран_паша.png</v>
      </c>
      <c r="R20" s="167"/>
      <c r="S20" s="167"/>
      <c r="T20" s="167"/>
      <c r="U20" s="167"/>
      <c r="V20" s="167"/>
    </row>
    <row r="21" spans="1:22" x14ac:dyDescent="0.2">
      <c r="A21" s="167" t="s">
        <v>180</v>
      </c>
      <c r="B21" s="167" t="s">
        <v>267</v>
      </c>
      <c r="C21" s="167" t="s">
        <v>419</v>
      </c>
      <c r="D21" s="168" t="s">
        <v>420</v>
      </c>
      <c r="E21" s="168">
        <v>36237</v>
      </c>
      <c r="F21" s="167" t="s">
        <v>421</v>
      </c>
      <c r="G21" s="167" t="s">
        <v>180</v>
      </c>
      <c r="H21" s="167" t="s">
        <v>422</v>
      </c>
      <c r="I21" s="169" t="s">
        <v>423</v>
      </c>
      <c r="J21" s="170" t="s">
        <v>274</v>
      </c>
      <c r="K21" s="167" t="s">
        <v>424</v>
      </c>
      <c r="L21" s="167" t="s">
        <v>425</v>
      </c>
      <c r="M21" s="167"/>
      <c r="N21" s="167" t="s">
        <v>421</v>
      </c>
      <c r="O21" s="167" t="s">
        <v>426</v>
      </c>
      <c r="P21" s="167"/>
      <c r="Q21" s="171" t="str">
        <f>HYPERLINK("https://api.typeform.com/responses/files/aada530752009b1bb370106d899a94a45a1bdc35c017c73d45f44e08c4c082cb/photo_2022_04_11_07_51_30.jpg")</f>
        <v>https://api.typeform.com/responses/files/aada530752009b1bb370106d899a94a45a1bdc35c017c73d45f44e08c4c082cb/photo_2022_04_11_07_51_30.jpg</v>
      </c>
      <c r="R21" s="171" t="str">
        <f>HYPERLINK("https://api.typeform.com/responses/files/4ac3e22d8e5ec8782adc98cca61eb82f66ce94732b56415ef2e866cbc4407a0d/photo_2022_10_23_20_26_15.jpg")</f>
        <v>https://api.typeform.com/responses/files/4ac3e22d8e5ec8782adc98cca61eb82f66ce94732b56415ef2e866cbc4407a0d/photo_2022_10_23_20_26_15.jpg</v>
      </c>
      <c r="S21" s="171"/>
      <c r="T21" s="171"/>
      <c r="U21" s="171"/>
      <c r="V21" s="171"/>
    </row>
    <row r="22" spans="1:22" x14ac:dyDescent="0.2">
      <c r="A22" s="167" t="s">
        <v>170</v>
      </c>
      <c r="B22" s="167" t="s">
        <v>267</v>
      </c>
      <c r="C22" s="167" t="s">
        <v>327</v>
      </c>
      <c r="D22" s="168" t="s">
        <v>427</v>
      </c>
      <c r="E22" s="168">
        <v>35549</v>
      </c>
      <c r="F22" s="167" t="s">
        <v>428</v>
      </c>
      <c r="G22" s="167" t="s">
        <v>429</v>
      </c>
      <c r="H22" s="167" t="s">
        <v>430</v>
      </c>
      <c r="I22" s="169" t="s">
        <v>431</v>
      </c>
      <c r="J22" s="167" t="s">
        <v>306</v>
      </c>
      <c r="K22" s="170" t="s">
        <v>274</v>
      </c>
      <c r="L22" s="167" t="s">
        <v>432</v>
      </c>
      <c r="M22" s="167" t="s">
        <v>428</v>
      </c>
      <c r="N22" s="167" t="s">
        <v>428</v>
      </c>
      <c r="O22" s="167"/>
      <c r="P22" s="167"/>
      <c r="Q22" s="171" t="str">
        <f>HYPERLINK("https://api.typeform.com/responses/files/20b91db902f3a893407b672f2cf332dd1f33669b9e7abfddbc630312e240e156/D3B07F5E_1DEC_4A36_85A4_64B201C3CF2C.jpeg")</f>
        <v>https://api.typeform.com/responses/files/20b91db902f3a893407b672f2cf332dd1f33669b9e7abfddbc630312e240e156/D3B07F5E_1DEC_4A36_85A4_64B201C3CF2C.jpeg</v>
      </c>
      <c r="R22" s="171" t="str">
        <f>HYPERLINK("https://api.typeform.com/responses/files/634c78a490b7fbdc150a4cf8174cc2597b4e88864dc676aadddfc34b34347b3c/image.jpg")</f>
        <v>https://api.typeform.com/responses/files/634c78a490b7fbdc150a4cf8174cc2597b4e88864dc676aadddfc34b34347b3c/image.jpg</v>
      </c>
      <c r="S22" s="171"/>
      <c r="T22" s="171"/>
      <c r="U22" s="171"/>
      <c r="V22" s="171"/>
    </row>
    <row r="23" spans="1:22" x14ac:dyDescent="0.2">
      <c r="A23" s="167" t="s">
        <v>91</v>
      </c>
      <c r="B23" s="167" t="s">
        <v>267</v>
      </c>
      <c r="C23" s="167" t="s">
        <v>292</v>
      </c>
      <c r="D23" s="168" t="s">
        <v>433</v>
      </c>
      <c r="E23" s="168">
        <v>32375</v>
      </c>
      <c r="F23" s="167" t="s">
        <v>434</v>
      </c>
      <c r="G23" s="167" t="s">
        <v>435</v>
      </c>
      <c r="H23" s="167" t="s">
        <v>436</v>
      </c>
      <c r="I23" s="169" t="s">
        <v>437</v>
      </c>
      <c r="J23" s="167" t="s">
        <v>283</v>
      </c>
      <c r="K23" s="167" t="s">
        <v>283</v>
      </c>
      <c r="L23" s="167" t="s">
        <v>438</v>
      </c>
      <c r="M23" s="167" t="s">
        <v>434</v>
      </c>
      <c r="N23" s="167" t="s">
        <v>434</v>
      </c>
      <c r="O23" s="167"/>
      <c r="P23" s="167"/>
      <c r="Q23" s="171" t="str">
        <f>HYPERLINK("https://api.typeform.com/responses/files/9c00a8a2289d20c5c18d7ea8e23e3f192f74e17c01fd80eb0bb901548aea7172/IMG_0178.jpeg")</f>
        <v>https://api.typeform.com/responses/files/9c00a8a2289d20c5c18d7ea8e23e3f192f74e17c01fd80eb0bb901548aea7172/IMG_0178.jpeg</v>
      </c>
      <c r="R23" s="171" t="str">
        <f>HYPERLINK("https://api.typeform.com/responses/files/dc8863a60db64001533d5608e2862a003beb531d6137e0e53efab337abcaf998/IMG_0179.jpeg")</f>
        <v>https://api.typeform.com/responses/files/dc8863a60db64001533d5608e2862a003beb531d6137e0e53efab337abcaf998/IMG_0179.jpeg</v>
      </c>
      <c r="S23" s="171"/>
      <c r="T23" s="171"/>
      <c r="U23" s="171"/>
      <c r="V23" s="171"/>
    </row>
    <row r="24" spans="1:22" x14ac:dyDescent="0.2">
      <c r="A24" s="166" t="s">
        <v>172</v>
      </c>
      <c r="B24" s="167" t="s">
        <v>300</v>
      </c>
      <c r="C24" s="167" t="s">
        <v>268</v>
      </c>
      <c r="D24" s="168" t="s">
        <v>439</v>
      </c>
      <c r="E24" s="168">
        <v>34535</v>
      </c>
      <c r="F24" s="167" t="s">
        <v>440</v>
      </c>
      <c r="G24" s="167" t="s">
        <v>172</v>
      </c>
      <c r="H24" s="167" t="s">
        <v>441</v>
      </c>
      <c r="I24" s="169" t="s">
        <v>442</v>
      </c>
      <c r="J24" s="167" t="s">
        <v>306</v>
      </c>
      <c r="K24" s="167" t="s">
        <v>306</v>
      </c>
      <c r="L24" s="167" t="s">
        <v>443</v>
      </c>
      <c r="M24" s="167" t="s">
        <v>444</v>
      </c>
      <c r="N24" s="167" t="s">
        <v>445</v>
      </c>
      <c r="O24" s="167" t="s">
        <v>444</v>
      </c>
      <c r="P24" s="172" t="s">
        <v>444</v>
      </c>
      <c r="Q24" s="171" t="s">
        <v>446</v>
      </c>
      <c r="R24" s="171" t="str">
        <f>HYPERLINK("https://api.typeform.com/responses/files/bf6e0bd4effcb6614132a31e324bcbebc60fd560930da7931a229b43befd8d96/9A9E0B94_8836_4BC7_9253_FB310F2D0706.jpeg")</f>
        <v>https://api.typeform.com/responses/files/bf6e0bd4effcb6614132a31e324bcbebc60fd560930da7931a229b43befd8d96/9A9E0B94_8836_4BC7_9253_FB310F2D0706.jpeg</v>
      </c>
      <c r="S24" s="171"/>
      <c r="T24" s="171"/>
      <c r="U24" s="171"/>
      <c r="V24" s="171"/>
    </row>
    <row r="25" spans="1:22" x14ac:dyDescent="0.2">
      <c r="A25" s="167" t="s">
        <v>447</v>
      </c>
      <c r="B25" s="167" t="s">
        <v>300</v>
      </c>
      <c r="C25" s="167" t="s">
        <v>382</v>
      </c>
      <c r="D25" s="168" t="s">
        <v>448</v>
      </c>
      <c r="E25" s="168">
        <v>33348</v>
      </c>
      <c r="F25" s="167" t="s">
        <v>449</v>
      </c>
      <c r="G25" s="167" t="s">
        <v>450</v>
      </c>
      <c r="H25" s="167" t="s">
        <v>451</v>
      </c>
      <c r="I25" s="167">
        <f>380967029266</f>
        <v>380967029266</v>
      </c>
      <c r="J25" s="167" t="s">
        <v>283</v>
      </c>
      <c r="K25" s="167" t="s">
        <v>283</v>
      </c>
      <c r="L25" s="167" t="s">
        <v>452</v>
      </c>
      <c r="M25" s="167"/>
      <c r="N25" s="167" t="s">
        <v>453</v>
      </c>
      <c r="O25" s="167"/>
      <c r="P25" s="167"/>
      <c r="Q25" s="171" t="s">
        <v>454</v>
      </c>
      <c r="R25" s="171" t="s">
        <v>455</v>
      </c>
      <c r="S25" s="171"/>
      <c r="T25" s="171"/>
      <c r="U25" s="171"/>
      <c r="V25" s="171"/>
    </row>
    <row r="26" spans="1:22" x14ac:dyDescent="0.2">
      <c r="A26" s="167" t="s">
        <v>152</v>
      </c>
      <c r="B26" s="167" t="s">
        <v>267</v>
      </c>
      <c r="C26" s="167"/>
      <c r="D26" s="168"/>
      <c r="E26" s="168"/>
      <c r="F26" s="167"/>
      <c r="G26" s="167"/>
      <c r="H26" s="167"/>
      <c r="I26" s="167"/>
      <c r="J26" s="167"/>
      <c r="K26" s="167"/>
      <c r="L26" s="167"/>
      <c r="M26" s="167"/>
      <c r="N26" s="167"/>
      <c r="O26" s="167"/>
      <c r="P26" s="167"/>
      <c r="Q26" s="167"/>
      <c r="R26" s="167"/>
      <c r="S26" s="167"/>
      <c r="T26" s="167"/>
      <c r="U26" s="167"/>
      <c r="V26" s="167"/>
    </row>
    <row r="27" spans="1:22" x14ac:dyDescent="0.2">
      <c r="A27" s="174" t="s">
        <v>456</v>
      </c>
      <c r="B27" s="167" t="s">
        <v>267</v>
      </c>
      <c r="C27" s="167" t="s">
        <v>317</v>
      </c>
      <c r="D27" s="168" t="s">
        <v>457</v>
      </c>
      <c r="E27" s="168">
        <v>32458</v>
      </c>
      <c r="F27" s="167" t="s">
        <v>458</v>
      </c>
      <c r="G27" s="170" t="s">
        <v>459</v>
      </c>
      <c r="H27" s="167" t="s">
        <v>460</v>
      </c>
      <c r="I27" s="169" t="s">
        <v>461</v>
      </c>
      <c r="J27" s="167" t="s">
        <v>306</v>
      </c>
      <c r="K27" s="167" t="s">
        <v>283</v>
      </c>
      <c r="L27" s="167" t="s">
        <v>462</v>
      </c>
      <c r="M27" s="167" t="s">
        <v>458</v>
      </c>
      <c r="N27" s="167" t="s">
        <v>463</v>
      </c>
      <c r="O27" s="167" t="s">
        <v>464</v>
      </c>
      <c r="P27" s="167" t="s">
        <v>465</v>
      </c>
      <c r="Q27" s="171" t="str">
        <f>HYPERLINK("https://api.typeform.com/responses/files/274c8d8ab5edf35bfb4bdd85088173724ec8ee10aad69e09ca6c2486260ca3b7/IMG_20140922_180443.jpg")</f>
        <v>https://api.typeform.com/responses/files/274c8d8ab5edf35bfb4bdd85088173724ec8ee10aad69e09ca6c2486260ca3b7/IMG_20140922_180443.jpg</v>
      </c>
      <c r="R27" s="171" t="str">
        <f>HYPERLINK("https://api.typeform.com/responses/files/1c1066ae6eac92017632d2b5589684212d33cd573e1bbad5cfa53319d9d0318d/DSC02295.JPG")</f>
        <v>https://api.typeform.com/responses/files/1c1066ae6eac92017632d2b5589684212d33cd573e1bbad5cfa53319d9d0318d/DSC02295.JPG</v>
      </c>
      <c r="S27" s="171"/>
      <c r="T27" s="171"/>
      <c r="U27" s="171"/>
      <c r="V27" s="171"/>
    </row>
    <row r="28" spans="1:22" x14ac:dyDescent="0.2">
      <c r="A28" s="167" t="s">
        <v>466</v>
      </c>
      <c r="B28" s="167" t="s">
        <v>300</v>
      </c>
      <c r="C28" s="167" t="s">
        <v>412</v>
      </c>
      <c r="D28" s="168" t="s">
        <v>467</v>
      </c>
      <c r="E28" s="168">
        <v>33860</v>
      </c>
      <c r="F28" s="167" t="s">
        <v>468</v>
      </c>
      <c r="G28" s="167" t="s">
        <v>469</v>
      </c>
      <c r="H28" s="167" t="s">
        <v>466</v>
      </c>
      <c r="I28" s="169" t="s">
        <v>470</v>
      </c>
      <c r="J28" s="167" t="s">
        <v>306</v>
      </c>
      <c r="K28" s="167" t="s">
        <v>306</v>
      </c>
      <c r="L28" s="167" t="s">
        <v>471</v>
      </c>
      <c r="M28" s="167"/>
      <c r="N28" s="167" t="s">
        <v>472</v>
      </c>
      <c r="O28" s="167" t="s">
        <v>468</v>
      </c>
      <c r="P28" s="167"/>
      <c r="Q28" s="171" t="str">
        <f>HYPERLINK("https://api.typeform.com/responses/files/3f8718a85f04218eaa7ba5e9903d764d961b714cfef3561211c4ae1618e6364d/002.jpg")</f>
        <v>https://api.typeform.com/responses/files/3f8718a85f04218eaa7ba5e9903d764d961b714cfef3561211c4ae1618e6364d/002.jpg</v>
      </c>
      <c r="R28" s="171" t="str">
        <f>HYPERLINK("https://api.typeform.com/responses/files/abd9f73fcdcbda99b6b5bf2d2def0233a89b9ffc07903034ad766719b2354286/image0.jpeg")</f>
        <v>https://api.typeform.com/responses/files/abd9f73fcdcbda99b6b5bf2d2def0233a89b9ffc07903034ad766719b2354286/image0.jpeg</v>
      </c>
      <c r="S28" s="171"/>
      <c r="T28" s="171"/>
      <c r="U28" s="171"/>
      <c r="V28" s="171"/>
    </row>
    <row r="29" spans="1:22" x14ac:dyDescent="0.2">
      <c r="A29" s="167" t="s">
        <v>473</v>
      </c>
      <c r="B29" s="167" t="s">
        <v>267</v>
      </c>
      <c r="C29" s="167" t="s">
        <v>312</v>
      </c>
      <c r="D29" s="168" t="s">
        <v>474</v>
      </c>
      <c r="E29" s="168">
        <v>32102</v>
      </c>
      <c r="F29" s="167" t="s">
        <v>475</v>
      </c>
      <c r="G29" s="167" t="s">
        <v>476</v>
      </c>
      <c r="H29" s="167" t="s">
        <v>477</v>
      </c>
      <c r="I29" s="169" t="s">
        <v>478</v>
      </c>
      <c r="J29" s="167"/>
      <c r="K29" s="167"/>
      <c r="L29" s="167" t="s">
        <v>479</v>
      </c>
      <c r="M29" s="167" t="s">
        <v>480</v>
      </c>
      <c r="N29" s="167"/>
      <c r="O29" s="167"/>
      <c r="P29" s="167"/>
      <c r="Q29" s="171" t="s">
        <v>481</v>
      </c>
      <c r="R29" s="171" t="s">
        <v>482</v>
      </c>
      <c r="S29" s="171"/>
      <c r="T29" s="171"/>
      <c r="U29" s="171"/>
      <c r="V29" s="171"/>
    </row>
    <row r="30" spans="1:22" x14ac:dyDescent="0.2">
      <c r="A30" s="167" t="s">
        <v>175</v>
      </c>
      <c r="B30" s="167" t="s">
        <v>267</v>
      </c>
      <c r="C30" s="167" t="s">
        <v>312</v>
      </c>
      <c r="D30" s="168" t="s">
        <v>483</v>
      </c>
      <c r="E30" s="168">
        <v>33796</v>
      </c>
      <c r="F30" s="167" t="s">
        <v>484</v>
      </c>
      <c r="G30" s="167" t="s">
        <v>175</v>
      </c>
      <c r="H30" s="167" t="s">
        <v>485</v>
      </c>
      <c r="I30" s="169" t="s">
        <v>486</v>
      </c>
      <c r="J30" s="167" t="s">
        <v>283</v>
      </c>
      <c r="K30" s="167" t="s">
        <v>283</v>
      </c>
      <c r="L30" s="167" t="s">
        <v>487</v>
      </c>
      <c r="M30" s="167" t="s">
        <v>334</v>
      </c>
      <c r="N30" s="167" t="s">
        <v>484</v>
      </c>
      <c r="O30" s="167" t="s">
        <v>484</v>
      </c>
      <c r="P30" s="167" t="s">
        <v>488</v>
      </c>
      <c r="Q30" s="171" t="str">
        <f>HYPERLINK("https://api.typeform.com/responses/files/9a5de028f7a5260644aa8ce95bc177f226081ad6b5e1e9836452459d09aafde7/photo_2021_03_13_20_50_11.jpg")</f>
        <v>https://api.typeform.com/responses/files/9a5de028f7a5260644aa8ce95bc177f226081ad6b5e1e9836452459d09aafde7/photo_2021_03_13_20_50_11.jpg</v>
      </c>
      <c r="R30" s="171" t="str">
        <f>HYPERLINK("https://api.typeform.com/responses/files/7dc449bfe2d508b83d05b18f7e63b6ccf9e44a3fb9ec224eff6f688ee70db91b/photo_2019_11_10_17_32_07__2_.jpg")</f>
        <v>https://api.typeform.com/responses/files/7dc449bfe2d508b83d05b18f7e63b6ccf9e44a3fb9ec224eff6f688ee70db91b/photo_2019_11_10_17_32_07__2_.jpg</v>
      </c>
      <c r="S30" s="171"/>
      <c r="T30" s="171"/>
      <c r="U30" s="171"/>
      <c r="V30" s="171"/>
    </row>
    <row r="31" spans="1:22" x14ac:dyDescent="0.2">
      <c r="A31" s="167" t="s">
        <v>178</v>
      </c>
      <c r="B31" s="167" t="s">
        <v>300</v>
      </c>
      <c r="C31" s="167" t="s">
        <v>365</v>
      </c>
      <c r="D31" s="168" t="s">
        <v>489</v>
      </c>
      <c r="E31" s="168">
        <v>31569</v>
      </c>
      <c r="F31" s="167" t="s">
        <v>490</v>
      </c>
      <c r="G31" s="167" t="s">
        <v>491</v>
      </c>
      <c r="H31" s="167" t="s">
        <v>492</v>
      </c>
      <c r="I31" s="167">
        <f>375291943722</f>
        <v>375291943722</v>
      </c>
      <c r="J31" s="167" t="s">
        <v>306</v>
      </c>
      <c r="K31" s="170" t="s">
        <v>274</v>
      </c>
      <c r="L31" s="167" t="s">
        <v>493</v>
      </c>
      <c r="M31" s="167"/>
      <c r="N31" s="167"/>
      <c r="O31" s="167"/>
      <c r="P31" s="167"/>
      <c r="Q31" s="171" t="s">
        <v>494</v>
      </c>
      <c r="R31" s="171" t="s">
        <v>495</v>
      </c>
      <c r="S31" s="171"/>
      <c r="T31" s="171"/>
      <c r="U31" s="171"/>
      <c r="V31" s="171"/>
    </row>
    <row r="32" spans="1:22" x14ac:dyDescent="0.2">
      <c r="A32" s="167" t="s">
        <v>102</v>
      </c>
      <c r="B32" s="167" t="s">
        <v>267</v>
      </c>
      <c r="C32" s="167" t="s">
        <v>301</v>
      </c>
      <c r="D32" s="168" t="s">
        <v>496</v>
      </c>
      <c r="E32" s="168">
        <v>33172</v>
      </c>
      <c r="F32" s="167" t="s">
        <v>497</v>
      </c>
      <c r="G32" s="167" t="s">
        <v>102</v>
      </c>
      <c r="H32" s="167" t="s">
        <v>498</v>
      </c>
      <c r="I32" s="169" t="s">
        <v>499</v>
      </c>
      <c r="J32" s="170" t="s">
        <v>274</v>
      </c>
      <c r="K32" s="170" t="s">
        <v>274</v>
      </c>
      <c r="L32" s="167" t="s">
        <v>500</v>
      </c>
      <c r="M32" s="167" t="s">
        <v>497</v>
      </c>
      <c r="N32" s="167" t="s">
        <v>497</v>
      </c>
      <c r="O32" s="167"/>
      <c r="P32" s="167"/>
      <c r="Q32" s="171" t="str">
        <f>HYPERLINK("https://api.typeform.com/responses/files/4cfd0547ed4473ce9c7d3a817eaa68571c775770b6a7dbc62d2c35786d681543/photo_2022_04_20_15_41_28.jpg")</f>
        <v>https://api.typeform.com/responses/files/4cfd0547ed4473ce9c7d3a817eaa68571c775770b6a7dbc62d2c35786d681543/photo_2022_04_20_15_41_28.jpg</v>
      </c>
      <c r="R32" s="171" t="str">
        <f>HYPERLINK("https://api.typeform.com/responses/files/a08757e9af724d7c085c0b1880d214bcfe0a0a73e5d4c653bfcd0045652b3fad/photo_2022_04_20_15_43_00.jpg")</f>
        <v>https://api.typeform.com/responses/files/a08757e9af724d7c085c0b1880d214bcfe0a0a73e5d4c653bfcd0045652b3fad/photo_2022_04_20_15_43_00.jpg</v>
      </c>
      <c r="S32" s="171"/>
      <c r="T32" s="171"/>
      <c r="U32" s="171"/>
      <c r="V32" s="171"/>
    </row>
    <row r="33" spans="1:22" x14ac:dyDescent="0.2">
      <c r="A33" s="175" t="s">
        <v>127</v>
      </c>
      <c r="B33" s="167" t="s">
        <v>267</v>
      </c>
      <c r="C33" s="167" t="s">
        <v>501</v>
      </c>
      <c r="D33" s="168" t="s">
        <v>502</v>
      </c>
      <c r="E33" s="168">
        <v>35972</v>
      </c>
      <c r="F33" s="167" t="s">
        <v>503</v>
      </c>
      <c r="G33" s="167" t="s">
        <v>127</v>
      </c>
      <c r="H33" s="167" t="s">
        <v>504</v>
      </c>
      <c r="I33" s="169" t="s">
        <v>505</v>
      </c>
      <c r="J33" s="167" t="s">
        <v>306</v>
      </c>
      <c r="K33" s="167" t="s">
        <v>306</v>
      </c>
      <c r="L33" s="167" t="s">
        <v>506</v>
      </c>
      <c r="M33" s="167" t="s">
        <v>507</v>
      </c>
      <c r="N33" s="167" t="s">
        <v>507</v>
      </c>
      <c r="O33" s="167"/>
      <c r="P33" s="167"/>
      <c r="Q33" s="171" t="str">
        <f>HYPERLINK("https://api.typeform.com/responses/files/33482b04b1a0ce9f2bb4aff69d579af5416719e98628a8103cc5da12435b18d0/photo_2022_08_25_11_29_27.jpg")</f>
        <v>https://api.typeform.com/responses/files/33482b04b1a0ce9f2bb4aff69d579af5416719e98628a8103cc5da12435b18d0/photo_2022_08_25_11_29_27.jpg</v>
      </c>
      <c r="R33" s="171" t="str">
        <f>HYPERLINK("https://api.typeform.com/responses/files/a2a6bc30e9b649fc503e9f2647431320a7823c457357cf55c74422163406546e/photo_2022_08_25_11_31_51.jpg")</f>
        <v>https://api.typeform.com/responses/files/a2a6bc30e9b649fc503e9f2647431320a7823c457357cf55c74422163406546e/photo_2022_08_25_11_31_51.jpg</v>
      </c>
      <c r="S33" s="171"/>
      <c r="T33" s="171"/>
      <c r="U33" s="171"/>
      <c r="V33" s="171"/>
    </row>
    <row r="34" spans="1:22" x14ac:dyDescent="0.2">
      <c r="A34" s="167" t="s">
        <v>508</v>
      </c>
      <c r="B34" s="167" t="s">
        <v>300</v>
      </c>
      <c r="C34" s="167" t="s">
        <v>509</v>
      </c>
      <c r="D34" s="168" t="s">
        <v>510</v>
      </c>
      <c r="E34" s="168">
        <v>32986</v>
      </c>
      <c r="F34" s="167" t="s">
        <v>511</v>
      </c>
      <c r="G34" s="167" t="s">
        <v>508</v>
      </c>
      <c r="H34" s="167" t="s">
        <v>512</v>
      </c>
      <c r="I34" s="167">
        <f>79108888523</f>
        <v>79108888523</v>
      </c>
      <c r="J34" s="167" t="s">
        <v>306</v>
      </c>
      <c r="K34" s="167" t="s">
        <v>306</v>
      </c>
      <c r="L34" s="167" t="s">
        <v>513</v>
      </c>
      <c r="M34" s="167" t="s">
        <v>511</v>
      </c>
      <c r="N34" s="167"/>
      <c r="O34" s="167"/>
      <c r="P34" s="167"/>
      <c r="Q34" s="167"/>
      <c r="R34" s="167"/>
      <c r="S34" s="167"/>
      <c r="T34" s="167"/>
      <c r="U34" s="167"/>
      <c r="V34" s="167"/>
    </row>
    <row r="35" spans="1:22" x14ac:dyDescent="0.2">
      <c r="A35" s="167" t="s">
        <v>231</v>
      </c>
      <c r="B35" s="167" t="s">
        <v>267</v>
      </c>
      <c r="C35" s="167" t="s">
        <v>501</v>
      </c>
      <c r="D35" s="168" t="s">
        <v>514</v>
      </c>
      <c r="E35" s="168">
        <v>32143</v>
      </c>
      <c r="F35" s="167" t="s">
        <v>515</v>
      </c>
      <c r="G35" s="167" t="s">
        <v>231</v>
      </c>
      <c r="H35" s="167" t="s">
        <v>516</v>
      </c>
      <c r="I35" s="169" t="s">
        <v>517</v>
      </c>
      <c r="J35" s="170" t="s">
        <v>274</v>
      </c>
      <c r="K35" s="170" t="s">
        <v>274</v>
      </c>
      <c r="L35" s="167" t="s">
        <v>518</v>
      </c>
      <c r="M35" s="167" t="s">
        <v>519</v>
      </c>
      <c r="N35" s="167"/>
      <c r="O35" s="167"/>
      <c r="P35" s="167"/>
      <c r="Q35" s="167"/>
      <c r="R35" s="167"/>
      <c r="S35" s="167"/>
      <c r="T35" s="167"/>
      <c r="U35" s="167"/>
      <c r="V35" s="167"/>
    </row>
    <row r="36" spans="1:22" x14ac:dyDescent="0.2">
      <c r="A36" s="167" t="s">
        <v>113</v>
      </c>
      <c r="B36" s="167" t="s">
        <v>267</v>
      </c>
      <c r="C36" s="167" t="s">
        <v>520</v>
      </c>
      <c r="D36" s="168" t="s">
        <v>521</v>
      </c>
      <c r="E36" s="168">
        <v>32553</v>
      </c>
      <c r="F36" s="167" t="s">
        <v>522</v>
      </c>
      <c r="G36" s="167" t="s">
        <v>523</v>
      </c>
      <c r="H36" s="167" t="s">
        <v>524</v>
      </c>
      <c r="I36" s="169" t="s">
        <v>525</v>
      </c>
      <c r="J36" s="167"/>
      <c r="K36" s="167"/>
      <c r="L36" s="167" t="s">
        <v>526</v>
      </c>
      <c r="M36" s="167"/>
      <c r="N36" s="167"/>
      <c r="O36" s="167"/>
      <c r="P36" s="167"/>
      <c r="Q36" s="171" t="str">
        <f>HYPERLINK("https://api.typeform.com/responses/files/e6fa399e897602e440280ab74a7a03506f0e0fbc8f5d394492a4327c6628ee59/2224.PNG")</f>
        <v>https://api.typeform.com/responses/files/e6fa399e897602e440280ab74a7a03506f0e0fbc8f5d394492a4327c6628ee59/2224.PNG</v>
      </c>
      <c r="R36" s="171" t="str">
        <f>HYPERLINK("https://api.typeform.com/responses/files/b492c72b2ebf4080b5194a44666d127ebca5566b5ee0648bf08fe8567adf836b/IMG_20210520_153647.jpg")</f>
        <v>https://api.typeform.com/responses/files/b492c72b2ebf4080b5194a44666d127ebca5566b5ee0648bf08fe8567adf836b/IMG_20210520_153647.jpg</v>
      </c>
      <c r="S36" s="171"/>
      <c r="T36" s="171"/>
      <c r="U36" s="171"/>
      <c r="V36" s="171"/>
    </row>
    <row r="37" spans="1:22" x14ac:dyDescent="0.2">
      <c r="A37" s="167" t="s">
        <v>144</v>
      </c>
      <c r="B37" s="167" t="s">
        <v>267</v>
      </c>
      <c r="C37" s="167" t="s">
        <v>287</v>
      </c>
      <c r="D37" s="168" t="s">
        <v>527</v>
      </c>
      <c r="E37" s="168">
        <v>32804</v>
      </c>
      <c r="F37" s="167" t="s">
        <v>528</v>
      </c>
      <c r="G37" s="167" t="s">
        <v>529</v>
      </c>
      <c r="H37" s="167" t="s">
        <v>530</v>
      </c>
      <c r="I37" s="169" t="s">
        <v>531</v>
      </c>
      <c r="J37" s="167" t="s">
        <v>306</v>
      </c>
      <c r="K37" s="167" t="s">
        <v>306</v>
      </c>
      <c r="L37" s="167" t="s">
        <v>532</v>
      </c>
      <c r="M37" s="167" t="s">
        <v>528</v>
      </c>
      <c r="N37" s="167"/>
      <c r="O37" s="167"/>
      <c r="P37" s="167"/>
      <c r="Q37" s="167"/>
      <c r="R37" s="167"/>
      <c r="S37" s="167"/>
      <c r="T37" s="167"/>
      <c r="U37" s="167"/>
      <c r="V37" s="167"/>
    </row>
    <row r="38" spans="1:22" x14ac:dyDescent="0.2">
      <c r="A38" s="166" t="s">
        <v>533</v>
      </c>
      <c r="B38" s="167" t="s">
        <v>267</v>
      </c>
      <c r="C38" s="167" t="s">
        <v>534</v>
      </c>
      <c r="D38" s="168" t="s">
        <v>534</v>
      </c>
      <c r="E38" s="168">
        <v>30989</v>
      </c>
      <c r="F38" s="167" t="s">
        <v>535</v>
      </c>
      <c r="G38" s="167" t="s">
        <v>536</v>
      </c>
      <c r="H38" s="167" t="s">
        <v>537</v>
      </c>
      <c r="I38" s="169" t="s">
        <v>538</v>
      </c>
      <c r="J38" s="167" t="s">
        <v>306</v>
      </c>
      <c r="K38" s="167" t="s">
        <v>417</v>
      </c>
      <c r="L38" s="167" t="s">
        <v>539</v>
      </c>
      <c r="M38" s="167" t="s">
        <v>535</v>
      </c>
      <c r="N38" s="167" t="s">
        <v>535</v>
      </c>
      <c r="O38" s="167"/>
      <c r="P38" s="167"/>
      <c r="Q38" s="171" t="str">
        <f>HYPERLINK("https://api.typeform.com/responses/files/7393ad8f5f944e472d85bd9d4cf76b709e5c2a51a19514c9df6e023895ebcccb/Passport.jpg")</f>
        <v>https://api.typeform.com/responses/files/7393ad8f5f944e472d85bd9d4cf76b709e5c2a51a19514c9df6e023895ebcccb/Passport.jpg</v>
      </c>
      <c r="R38" s="167"/>
      <c r="S38" s="167"/>
      <c r="T38" s="167"/>
      <c r="U38" s="167"/>
      <c r="V38" s="167"/>
    </row>
    <row r="39" spans="1:22" x14ac:dyDescent="0.2">
      <c r="A39" s="166" t="s">
        <v>188</v>
      </c>
      <c r="B39" s="167" t="s">
        <v>267</v>
      </c>
      <c r="C39" s="167" t="s">
        <v>540</v>
      </c>
      <c r="D39" s="168" t="s">
        <v>541</v>
      </c>
      <c r="E39" s="168">
        <v>33866</v>
      </c>
      <c r="F39" s="167" t="s">
        <v>542</v>
      </c>
      <c r="G39" s="167" t="s">
        <v>188</v>
      </c>
      <c r="H39" s="167" t="s">
        <v>543</v>
      </c>
      <c r="I39" s="169" t="s">
        <v>544</v>
      </c>
      <c r="J39" s="167" t="s">
        <v>306</v>
      </c>
      <c r="K39" s="170" t="s">
        <v>274</v>
      </c>
      <c r="L39" s="167" t="s">
        <v>545</v>
      </c>
      <c r="M39" s="167" t="s">
        <v>542</v>
      </c>
      <c r="N39" s="167"/>
      <c r="O39" s="167"/>
      <c r="P39" s="167"/>
      <c r="Q39" s="171" t="str">
        <f>HYPERLINK("https://api.typeform.com/responses/files/c1ae3eeb6e15d2d1532599dfbdb91e8a564fef9fec112bb53f49cee8f31b4847/photo_2022_12_08_18_15_14.jpg")</f>
        <v>https://api.typeform.com/responses/files/c1ae3eeb6e15d2d1532599dfbdb91e8a564fef9fec112bb53f49cee8f31b4847/photo_2022_12_08_18_15_14.jpg</v>
      </c>
      <c r="R39" s="171" t="str">
        <f>HYPERLINK("https://api.typeform.com/responses/files/f065608697b8d1680170f5238b334e9766c0b0aa1f615350ab9fe850d7c77e36/photo_2022_12_08_18_18_32.jpg")</f>
        <v>https://api.typeform.com/responses/files/f065608697b8d1680170f5238b334e9766c0b0aa1f615350ab9fe850d7c77e36/photo_2022_12_08_18_18_32.jpg</v>
      </c>
      <c r="S39" s="171"/>
      <c r="T39" s="171"/>
      <c r="U39" s="171"/>
      <c r="V39" s="171"/>
    </row>
    <row r="40" spans="1:22" x14ac:dyDescent="0.2">
      <c r="A40" s="167" t="s">
        <v>189</v>
      </c>
      <c r="B40" s="167" t="s">
        <v>267</v>
      </c>
      <c r="C40" s="167" t="s">
        <v>509</v>
      </c>
      <c r="D40" s="168" t="s">
        <v>546</v>
      </c>
      <c r="E40" s="168">
        <v>36545</v>
      </c>
      <c r="F40" s="167" t="s">
        <v>547</v>
      </c>
      <c r="G40" s="167" t="s">
        <v>548</v>
      </c>
      <c r="H40" s="167" t="s">
        <v>549</v>
      </c>
      <c r="I40" s="169" t="s">
        <v>550</v>
      </c>
      <c r="J40" s="167" t="s">
        <v>306</v>
      </c>
      <c r="K40" s="167" t="s">
        <v>306</v>
      </c>
      <c r="L40" s="167" t="s">
        <v>551</v>
      </c>
      <c r="M40" s="167" t="s">
        <v>552</v>
      </c>
      <c r="N40" s="167"/>
      <c r="O40" s="167"/>
      <c r="P40" s="167"/>
      <c r="Q40" s="171" t="str">
        <f>HYPERLINK("https://api.typeform.com/responses/files/e2ed128d5e7cf175cbcfe9a0d9add30544132fdb343f0ad037246ce21198993c/1.jpg")</f>
        <v>https://api.typeform.com/responses/files/e2ed128d5e7cf175cbcfe9a0d9add30544132fdb343f0ad037246ce21198993c/1.jpg</v>
      </c>
      <c r="R40" s="171" t="str">
        <f>HYPERLINK("https://api.typeform.com/responses/files/9a0d0e840a55ed9c48db988f7c366d143331b22e3fb56747b6f658f1ca6735b1/2.jpg")</f>
        <v>https://api.typeform.com/responses/files/9a0d0e840a55ed9c48db988f7c366d143331b22e3fb56747b6f658f1ca6735b1/2.jpg</v>
      </c>
      <c r="S40" s="171"/>
      <c r="T40" s="171"/>
      <c r="U40" s="171"/>
      <c r="V40" s="171"/>
    </row>
    <row r="41" spans="1:22" x14ac:dyDescent="0.2">
      <c r="A41" s="167" t="s">
        <v>191</v>
      </c>
      <c r="B41" s="167" t="s">
        <v>267</v>
      </c>
      <c r="C41" s="167" t="s">
        <v>292</v>
      </c>
      <c r="D41" s="168" t="s">
        <v>553</v>
      </c>
      <c r="E41" s="168">
        <v>34935</v>
      </c>
      <c r="F41" s="167" t="s">
        <v>554</v>
      </c>
      <c r="G41" s="167" t="s">
        <v>191</v>
      </c>
      <c r="H41" s="167" t="s">
        <v>555</v>
      </c>
      <c r="I41" s="169" t="s">
        <v>556</v>
      </c>
      <c r="J41" s="167" t="s">
        <v>306</v>
      </c>
      <c r="K41" s="167" t="s">
        <v>306</v>
      </c>
      <c r="L41" s="167" t="s">
        <v>557</v>
      </c>
      <c r="M41" s="167" t="s">
        <v>558</v>
      </c>
      <c r="N41" s="167"/>
      <c r="O41" s="167"/>
      <c r="P41" s="167"/>
      <c r="Q41" s="171" t="s">
        <v>559</v>
      </c>
      <c r="R41" s="171" t="s">
        <v>560</v>
      </c>
      <c r="S41" s="171"/>
      <c r="T41" s="171"/>
      <c r="U41" s="171"/>
      <c r="V41" s="171"/>
    </row>
    <row r="42" spans="1:22" x14ac:dyDescent="0.2">
      <c r="A42" s="167" t="s">
        <v>561</v>
      </c>
      <c r="B42" s="167" t="s">
        <v>267</v>
      </c>
      <c r="C42" s="167" t="s">
        <v>562</v>
      </c>
      <c r="D42" s="168" t="s">
        <v>404</v>
      </c>
      <c r="E42" s="168">
        <v>32651</v>
      </c>
      <c r="F42" s="167" t="s">
        <v>563</v>
      </c>
      <c r="G42" s="167" t="s">
        <v>79</v>
      </c>
      <c r="H42" s="167" t="s">
        <v>564</v>
      </c>
      <c r="I42" s="169" t="s">
        <v>565</v>
      </c>
      <c r="J42" s="167" t="s">
        <v>306</v>
      </c>
      <c r="K42" s="167" t="s">
        <v>306</v>
      </c>
      <c r="L42" s="167" t="s">
        <v>566</v>
      </c>
      <c r="M42" s="167" t="s">
        <v>563</v>
      </c>
      <c r="N42" s="167" t="s">
        <v>563</v>
      </c>
      <c r="O42" s="167"/>
      <c r="P42" s="167"/>
      <c r="Q42" s="171" t="str">
        <f>HYPERLINK("https://api.typeform.com/responses/files/d68c446b097878f8c2638cc13734b32655c70c68bed7a5c55184753bc42302d9/1c1qH_Dac74.jpg")</f>
        <v>https://api.typeform.com/responses/files/d68c446b097878f8c2638cc13734b32655c70c68bed7a5c55184753bc42302d9/1c1qH_Dac74.jpg</v>
      </c>
      <c r="R42" s="171" t="str">
        <f>HYPERLINK("https://api.typeform.com/responses/files/703298cc8051e9de68eac3056b3f5da7ab3d4716c5ca03ad8c123dba745c51cb/jQubgIAOQ34.jpg")</f>
        <v>https://api.typeform.com/responses/files/703298cc8051e9de68eac3056b3f5da7ab3d4716c5ca03ad8c123dba745c51cb/jQubgIAOQ34.jpg</v>
      </c>
      <c r="S42" s="171"/>
      <c r="T42" s="171"/>
      <c r="U42" s="171"/>
      <c r="V42" s="171"/>
    </row>
    <row r="43" spans="1:22" x14ac:dyDescent="0.2">
      <c r="A43" s="167" t="s">
        <v>195</v>
      </c>
      <c r="B43" s="167" t="s">
        <v>267</v>
      </c>
      <c r="C43" s="167" t="s">
        <v>540</v>
      </c>
      <c r="D43" s="168" t="s">
        <v>567</v>
      </c>
      <c r="E43" s="168">
        <v>36492</v>
      </c>
      <c r="F43" s="167" t="s">
        <v>568</v>
      </c>
      <c r="G43" s="167" t="s">
        <v>195</v>
      </c>
      <c r="H43" s="167" t="s">
        <v>569</v>
      </c>
      <c r="I43" s="169" t="s">
        <v>570</v>
      </c>
      <c r="J43" s="167" t="s">
        <v>283</v>
      </c>
      <c r="K43" s="167" t="s">
        <v>283</v>
      </c>
      <c r="L43" s="167" t="s">
        <v>571</v>
      </c>
      <c r="M43" s="167" t="s">
        <v>572</v>
      </c>
      <c r="N43" s="167" t="s">
        <v>572</v>
      </c>
      <c r="O43" s="167"/>
      <c r="P43" s="167"/>
      <c r="Q43" s="171" t="str">
        <f>HYPERLINK("https://api.typeform.com/responses/files/3bd09956b0b17add47accba44b0800d5fb719a0671a6074a4284d92842a2e2a5/photo_2021_01_19_17_18_00.jpg")</f>
        <v>https://api.typeform.com/responses/files/3bd09956b0b17add47accba44b0800d5fb719a0671a6074a4284d92842a2e2a5/photo_2021_01_19_17_18_00.jpg</v>
      </c>
      <c r="R43" s="171" t="str">
        <f>HYPERLINK("https://api.typeform.com/responses/files/167fde72239bed666dc063a84f2e7baf00def625cdda0bc5e61b1625baae9d32/photo_2022_03_09_14_53_07.jpg")</f>
        <v>https://api.typeform.com/responses/files/167fde72239bed666dc063a84f2e7baf00def625cdda0bc5e61b1625baae9d32/photo_2022_03_09_14_53_07.jpg</v>
      </c>
      <c r="S43" s="171"/>
      <c r="T43" s="171"/>
      <c r="U43" s="171"/>
      <c r="V43" s="171"/>
    </row>
    <row r="44" spans="1:22" x14ac:dyDescent="0.2">
      <c r="A44" s="167" t="s">
        <v>232</v>
      </c>
      <c r="B44" s="167" t="s">
        <v>267</v>
      </c>
      <c r="C44" s="167" t="s">
        <v>382</v>
      </c>
      <c r="D44" s="168" t="s">
        <v>573</v>
      </c>
      <c r="E44" s="168">
        <v>32219</v>
      </c>
      <c r="F44" s="167" t="s">
        <v>574</v>
      </c>
      <c r="G44" s="167" t="s">
        <v>575</v>
      </c>
      <c r="H44" s="167" t="s">
        <v>576</v>
      </c>
      <c r="I44" s="169" t="s">
        <v>577</v>
      </c>
      <c r="J44" s="167" t="s">
        <v>306</v>
      </c>
      <c r="K44" s="167" t="s">
        <v>306</v>
      </c>
      <c r="L44" s="167" t="s">
        <v>578</v>
      </c>
      <c r="M44" s="167" t="s">
        <v>579</v>
      </c>
      <c r="N44" s="167" t="s">
        <v>579</v>
      </c>
      <c r="O44" s="167" t="s">
        <v>579</v>
      </c>
      <c r="P44" s="167"/>
      <c r="Q44" s="171" t="str">
        <f>HYPERLINK("https://api.typeform.com/responses/files/ef93a8423375833697b20ab8d43b653575b347fbf7d7112f4366437244e592ec/изображение_viber_2022_05_01_11_54_04_344.jpg")</f>
        <v>https://api.typeform.com/responses/files/ef93a8423375833697b20ab8d43b653575b347fbf7d7112f4366437244e592ec/изображение_viber_2022_05_01_11_54_04_344.jpg</v>
      </c>
      <c r="R44" s="171" t="str">
        <f>HYPERLINK("https://api.typeform.com/responses/files/89883268340a3912afad1a0704792b630bddae3c16d7c1a254a2001ec284517d/изображение_viber_2022_05_01_11_55_53_429.jpg")</f>
        <v>https://api.typeform.com/responses/files/89883268340a3912afad1a0704792b630bddae3c16d7c1a254a2001ec284517d/изображение_viber_2022_05_01_11_55_53_429.jpg</v>
      </c>
      <c r="S44" s="171"/>
      <c r="T44" s="171"/>
      <c r="U44" s="171"/>
      <c r="V44" s="171"/>
    </row>
    <row r="45" spans="1:22" x14ac:dyDescent="0.2">
      <c r="A45" s="167" t="s">
        <v>124</v>
      </c>
      <c r="B45" s="167" t="s">
        <v>267</v>
      </c>
      <c r="C45" s="167" t="s">
        <v>580</v>
      </c>
      <c r="D45" s="168" t="s">
        <v>581</v>
      </c>
      <c r="E45" s="168">
        <v>32986</v>
      </c>
      <c r="F45" s="167" t="s">
        <v>582</v>
      </c>
      <c r="G45" s="167" t="s">
        <v>583</v>
      </c>
      <c r="H45" s="167" t="s">
        <v>584</v>
      </c>
      <c r="I45" s="169" t="s">
        <v>585</v>
      </c>
      <c r="J45" s="167" t="s">
        <v>306</v>
      </c>
      <c r="K45" s="167" t="s">
        <v>417</v>
      </c>
      <c r="L45" s="167" t="s">
        <v>586</v>
      </c>
      <c r="M45" s="167" t="s">
        <v>582</v>
      </c>
      <c r="N45" s="167" t="s">
        <v>582</v>
      </c>
      <c r="O45" s="167"/>
      <c r="P45" s="167"/>
      <c r="Q45" s="171" t="str">
        <f>HYPERLINK("https://api.typeform.com/responses/files/f4d725f4e8f31ea497778608a1c4ef881b23ad0f66d6272987a0795e74be0a4c/001.jpg")</f>
        <v>https://api.typeform.com/responses/files/f4d725f4e8f31ea497778608a1c4ef881b23ad0f66d6272987a0795e74be0a4c/001.jpg</v>
      </c>
      <c r="R45" s="171" t="str">
        <f>HYPERLINK("https://api.typeform.com/responses/files/bac81174a9df55155917c7b602d989075b59fcea6e818860619c21404d67148c/IMG_20220625_175451.jpg")</f>
        <v>https://api.typeform.com/responses/files/bac81174a9df55155917c7b602d989075b59fcea6e818860619c21404d67148c/IMG_20220625_175451.jpg</v>
      </c>
      <c r="S45" s="171"/>
      <c r="T45" s="171"/>
      <c r="U45" s="171"/>
      <c r="V45" s="171"/>
    </row>
    <row r="46" spans="1:22" x14ac:dyDescent="0.2">
      <c r="A46" s="167" t="s">
        <v>114</v>
      </c>
      <c r="B46" s="167" t="s">
        <v>267</v>
      </c>
      <c r="C46" s="167" t="s">
        <v>277</v>
      </c>
      <c r="D46" s="168" t="s">
        <v>587</v>
      </c>
      <c r="E46" s="168">
        <v>33529</v>
      </c>
      <c r="F46" s="167" t="s">
        <v>588</v>
      </c>
      <c r="G46" s="167" t="s">
        <v>589</v>
      </c>
      <c r="H46" s="167" t="s">
        <v>589</v>
      </c>
      <c r="I46" s="169" t="s">
        <v>590</v>
      </c>
      <c r="J46" s="167" t="s">
        <v>591</v>
      </c>
      <c r="K46" s="167" t="s">
        <v>591</v>
      </c>
      <c r="L46" s="167" t="s">
        <v>592</v>
      </c>
      <c r="M46" s="167"/>
      <c r="N46" s="167"/>
      <c r="O46" s="167"/>
      <c r="P46" s="167"/>
      <c r="Q46" s="171" t="str">
        <f>HYPERLINK("https://api.typeform.com/responses/files/e528054222fe8fabaa9ed8b9b1ec3e062d7d520f980da56e4bc1e12f9bc2106e/IMG_20200507_211956.jpg")</f>
        <v>https://api.typeform.com/responses/files/e528054222fe8fabaa9ed8b9b1ec3e062d7d520f980da56e4bc1e12f9bc2106e/IMG_20200507_211956.jpg</v>
      </c>
      <c r="R46" s="171" t="str">
        <f>HYPERLINK("https://api.typeform.com/responses/files/dbb8cad493810159d3fe6d4776e4c072bf9dc916098b631407ad0d32276f7c31/IMG_20220826_234430.jpg")</f>
        <v>https://api.typeform.com/responses/files/dbb8cad493810159d3fe6d4776e4c072bf9dc916098b631407ad0d32276f7c31/IMG_20220826_234430.jpg</v>
      </c>
      <c r="S46" s="171"/>
      <c r="T46" s="171"/>
      <c r="U46" s="171"/>
      <c r="V46" s="171"/>
    </row>
    <row r="47" spans="1:22" x14ac:dyDescent="0.2">
      <c r="A47" s="167" t="s">
        <v>98</v>
      </c>
      <c r="B47" s="167" t="s">
        <v>267</v>
      </c>
      <c r="C47" s="167" t="s">
        <v>317</v>
      </c>
      <c r="D47" s="168" t="s">
        <v>593</v>
      </c>
      <c r="E47" s="168">
        <v>36620</v>
      </c>
      <c r="F47" s="167" t="s">
        <v>594</v>
      </c>
      <c r="G47" s="167" t="s">
        <v>595</v>
      </c>
      <c r="H47" s="167" t="s">
        <v>596</v>
      </c>
      <c r="I47" s="169" t="s">
        <v>597</v>
      </c>
      <c r="J47" s="167" t="s">
        <v>306</v>
      </c>
      <c r="K47" s="167" t="s">
        <v>306</v>
      </c>
      <c r="L47" s="167" t="s">
        <v>598</v>
      </c>
      <c r="M47" s="167" t="s">
        <v>599</v>
      </c>
      <c r="N47" s="167"/>
      <c r="O47" s="167"/>
      <c r="P47" s="167"/>
      <c r="Q47" s="171" t="str">
        <f>HYPERLINK("https://api.typeform.com/responses/files/7ce6eff3ce14580f52fa51b42aed34ff12d5bb0b5fed6b47435d87043b797556/photo_2021_11_02_00_13_04.jpg")</f>
        <v>https://api.typeform.com/responses/files/7ce6eff3ce14580f52fa51b42aed34ff12d5bb0b5fed6b47435d87043b797556/photo_2021_11_02_00_13_04.jpg</v>
      </c>
      <c r="R47" s="171" t="str">
        <f>HYPERLINK("https://api.typeform.com/responses/files/17ee10a0d24ddaadc66b37e52986a4121f0b405cbedfbc1c2dc44d8970a1b0d4/photo_2021_11_02_00_15_36.jpg")</f>
        <v>https://api.typeform.com/responses/files/17ee10a0d24ddaadc66b37e52986a4121f0b405cbedfbc1c2dc44d8970a1b0d4/photo_2021_11_02_00_15_36.jpg</v>
      </c>
      <c r="S47" s="171"/>
      <c r="T47" s="171"/>
      <c r="U47" s="171"/>
      <c r="V47" s="171"/>
    </row>
    <row r="48" spans="1:22" x14ac:dyDescent="0.2">
      <c r="A48" s="167" t="s">
        <v>600</v>
      </c>
      <c r="B48" s="167" t="s">
        <v>267</v>
      </c>
      <c r="C48" s="167" t="s">
        <v>509</v>
      </c>
      <c r="D48" s="168" t="s">
        <v>601</v>
      </c>
      <c r="E48" s="168">
        <v>31972</v>
      </c>
      <c r="F48" s="167" t="s">
        <v>602</v>
      </c>
      <c r="G48" s="167" t="s">
        <v>603</v>
      </c>
      <c r="H48" s="167" t="s">
        <v>602</v>
      </c>
      <c r="I48" s="169" t="s">
        <v>604</v>
      </c>
      <c r="J48" s="167" t="s">
        <v>306</v>
      </c>
      <c r="K48" s="167" t="s">
        <v>337</v>
      </c>
      <c r="L48" s="167" t="s">
        <v>605</v>
      </c>
      <c r="M48" s="167" t="s">
        <v>602</v>
      </c>
      <c r="N48" s="167" t="s">
        <v>602</v>
      </c>
      <c r="O48" s="167"/>
      <c r="P48" s="167"/>
      <c r="Q48" s="171" t="str">
        <f>HYPERLINK("https://api.typeform.com/responses/files/fbc22bb5e853b22a31523deaa117002a179baa1146e7c4a26362cf2a4e9a2d46/photo_2022_03_19_12_38_19.jpg")</f>
        <v>https://api.typeform.com/responses/files/fbc22bb5e853b22a31523deaa117002a179baa1146e7c4a26362cf2a4e9a2d46/photo_2022_03_19_12_38_19.jpg</v>
      </c>
      <c r="R48" s="171" t="str">
        <f>HYPERLINK("https://api.typeform.com/responses/files/6caf9512c2b962a3cb6300044c41233f12bf72e0b32d126825c053c7bc89cb73/photo_2022_07_21_21_29_43.jpg")</f>
        <v>https://api.typeform.com/responses/files/6caf9512c2b962a3cb6300044c41233f12bf72e0b32d126825c053c7bc89cb73/photo_2022_07_21_21_29_43.jpg</v>
      </c>
      <c r="S48" s="171"/>
      <c r="T48" s="171"/>
      <c r="U48" s="171"/>
      <c r="V48" s="171"/>
    </row>
    <row r="49" spans="1:22" x14ac:dyDescent="0.2">
      <c r="A49" s="167" t="s">
        <v>606</v>
      </c>
      <c r="B49" s="167" t="s">
        <v>267</v>
      </c>
      <c r="C49" s="167" t="s">
        <v>607</v>
      </c>
      <c r="D49" s="168" t="s">
        <v>608</v>
      </c>
      <c r="E49" s="168">
        <v>34433</v>
      </c>
      <c r="F49" s="167" t="s">
        <v>609</v>
      </c>
      <c r="G49" s="167" t="s">
        <v>606</v>
      </c>
      <c r="H49" s="167" t="s">
        <v>610</v>
      </c>
      <c r="I49" s="169" t="s">
        <v>611</v>
      </c>
      <c r="J49" s="167" t="s">
        <v>306</v>
      </c>
      <c r="K49" s="167" t="s">
        <v>306</v>
      </c>
      <c r="L49" s="167" t="s">
        <v>612</v>
      </c>
      <c r="M49" s="167" t="s">
        <v>609</v>
      </c>
      <c r="N49" s="167" t="s">
        <v>613</v>
      </c>
      <c r="O49" s="167"/>
      <c r="P49" s="167"/>
      <c r="Q49" s="171" t="str">
        <f>HYPERLINK("https://api.typeform.com/responses/files/fa4e3150dd9783c4545e9175dd1cbd1ce19dd2a50b68daf7f27206e1b0cea72e/1.jpg")</f>
        <v>https://api.typeform.com/responses/files/fa4e3150dd9783c4545e9175dd1cbd1ce19dd2a50b68daf7f27206e1b0cea72e/1.jpg</v>
      </c>
      <c r="R49" s="171" t="str">
        <f>HYPERLINK("https://api.typeform.com/responses/files/c64887e01d61eba3acc535e71f0dd5c97a5125f5b7691e1e87b720467c9b1fa7/3.jpg")</f>
        <v>https://api.typeform.com/responses/files/c64887e01d61eba3acc535e71f0dd5c97a5125f5b7691e1e87b720467c9b1fa7/3.jpg</v>
      </c>
      <c r="S49" s="171"/>
      <c r="T49" s="171"/>
      <c r="U49" s="171"/>
      <c r="V49" s="171"/>
    </row>
    <row r="50" spans="1:22" x14ac:dyDescent="0.2">
      <c r="A50" s="167" t="s">
        <v>225</v>
      </c>
      <c r="B50" s="167" t="s">
        <v>300</v>
      </c>
      <c r="C50" s="167" t="s">
        <v>312</v>
      </c>
      <c r="D50" s="168" t="s">
        <v>614</v>
      </c>
      <c r="E50" s="168">
        <v>36737</v>
      </c>
      <c r="F50" s="167" t="s">
        <v>615</v>
      </c>
      <c r="G50" s="167" t="s">
        <v>616</v>
      </c>
      <c r="H50" s="167" t="s">
        <v>617</v>
      </c>
      <c r="I50" s="169" t="s">
        <v>618</v>
      </c>
      <c r="J50" s="167" t="s">
        <v>306</v>
      </c>
      <c r="K50" s="167" t="s">
        <v>619</v>
      </c>
      <c r="L50" s="167" t="s">
        <v>620</v>
      </c>
      <c r="M50" s="167" t="s">
        <v>621</v>
      </c>
      <c r="N50" s="167" t="s">
        <v>621</v>
      </c>
      <c r="O50" s="167" t="s">
        <v>621</v>
      </c>
      <c r="P50" s="167"/>
      <c r="Q50" s="171" t="str">
        <f>HYPERLINK("https://api.typeform.com/responses/files/4f49e0967d68ce79bf4ebf0d2d5b1ec380d0f6033899b73c5c889fef7fb51df1/pas.jpg")</f>
        <v>https://api.typeform.com/responses/files/4f49e0967d68ce79bf4ebf0d2d5b1ec380d0f6033899b73c5c889fef7fb51df1/pas.jpg</v>
      </c>
      <c r="R50" s="171" t="str">
        <f>HYPERLINK("https://api.typeform.com/responses/files/9271bced9fbd58c20cea968917aabe87c2d2ff7475e5ac8aceada8954bd3f9e8/pas2.jpg")</f>
        <v>https://api.typeform.com/responses/files/9271bced9fbd58c20cea968917aabe87c2d2ff7475e5ac8aceada8954bd3f9e8/pas2.jpg</v>
      </c>
      <c r="S50" s="171"/>
      <c r="T50" s="171"/>
      <c r="U50" s="171"/>
      <c r="V50" s="171"/>
    </row>
    <row r="51" spans="1:22" x14ac:dyDescent="0.2">
      <c r="A51" s="167" t="s">
        <v>205</v>
      </c>
      <c r="B51" s="167" t="s">
        <v>267</v>
      </c>
      <c r="C51" s="167" t="s">
        <v>501</v>
      </c>
      <c r="D51" s="168" t="s">
        <v>622</v>
      </c>
      <c r="E51" s="168">
        <v>34130</v>
      </c>
      <c r="F51" s="167" t="s">
        <v>623</v>
      </c>
      <c r="G51" s="170" t="s">
        <v>624</v>
      </c>
      <c r="H51" s="167" t="s">
        <v>625</v>
      </c>
      <c r="I51" s="169" t="s">
        <v>626</v>
      </c>
      <c r="J51" s="167" t="s">
        <v>306</v>
      </c>
      <c r="K51" s="167" t="s">
        <v>337</v>
      </c>
      <c r="L51" s="167" t="s">
        <v>627</v>
      </c>
      <c r="M51" s="167" t="s">
        <v>623</v>
      </c>
      <c r="N51" s="167"/>
      <c r="O51" s="167"/>
      <c r="P51" s="167"/>
      <c r="Q51" s="171" t="str">
        <f>HYPERLINK("https://api.typeform.com/responses/files/0533758af7e00c37a4e4ad1467ad7c5fbd73bbe4ec187d52681e248426f40f19/photo_2022_10_25_22_49_29.jpg")</f>
        <v>https://api.typeform.com/responses/files/0533758af7e00c37a4e4ad1467ad7c5fbd73bbe4ec187d52681e248426f40f19/photo_2022_10_25_22_49_29.jpg</v>
      </c>
      <c r="R51" s="171" t="str">
        <f>HYPERLINK("https://api.typeform.com/responses/files/67fafb74bd5171f642cfc1f623c7edeb859b02ebc319fc98777843f4e6082db6/photo_2022_10_25_22_52_55.jpg")</f>
        <v>https://api.typeform.com/responses/files/67fafb74bd5171f642cfc1f623c7edeb859b02ebc319fc98777843f4e6082db6/photo_2022_10_25_22_52_55.jpg</v>
      </c>
      <c r="S51" s="171"/>
      <c r="T51" s="171"/>
      <c r="U51" s="171"/>
      <c r="V51" s="171"/>
    </row>
    <row r="52" spans="1:22" x14ac:dyDescent="0.2">
      <c r="A52" s="167" t="s">
        <v>628</v>
      </c>
      <c r="B52" s="167" t="s">
        <v>267</v>
      </c>
      <c r="C52" s="167" t="s">
        <v>540</v>
      </c>
      <c r="D52" s="168" t="s">
        <v>629</v>
      </c>
      <c r="E52" s="168">
        <v>36754</v>
      </c>
      <c r="F52" s="167" t="s">
        <v>630</v>
      </c>
      <c r="G52" s="167" t="s">
        <v>631</v>
      </c>
      <c r="H52" s="167" t="s">
        <v>631</v>
      </c>
      <c r="I52" s="169" t="s">
        <v>632</v>
      </c>
      <c r="J52" s="167"/>
      <c r="K52" s="170" t="s">
        <v>274</v>
      </c>
      <c r="L52" s="167" t="s">
        <v>633</v>
      </c>
      <c r="M52" s="167"/>
      <c r="N52" s="167"/>
      <c r="O52" s="167"/>
      <c r="P52" s="167"/>
      <c r="Q52" s="171" t="str">
        <f>HYPERLINK("https://api.typeform.com/responses/files/f62d4b3c5cbd764f6a3cfc34b569034b366532e74be4a02a296b99832a1b3ebd/Паспорт_Антон.PNG")</f>
        <v>https://api.typeform.com/responses/files/f62d4b3c5cbd764f6a3cfc34b569034b366532e74be4a02a296b99832a1b3ebd/Паспорт_Антон.PNG</v>
      </c>
      <c r="R52" s="171" t="str">
        <f>HYPERLINK("https://api.typeform.com/responses/files/fb1d4b553f4b9e16b79539c850118d6184acbcc84af4a927d036d27cfd2b2adb/photo_2022_10_09_16_50_00.jpg")</f>
        <v>https://api.typeform.com/responses/files/fb1d4b553f4b9e16b79539c850118d6184acbcc84af4a927d036d27cfd2b2adb/photo_2022_10_09_16_50_00.jpg</v>
      </c>
      <c r="S52" s="171"/>
      <c r="T52" s="171"/>
      <c r="U52" s="171"/>
      <c r="V52" s="171"/>
    </row>
    <row r="53" spans="1:22" x14ac:dyDescent="0.2">
      <c r="A53" s="167" t="s">
        <v>133</v>
      </c>
      <c r="B53" s="167" t="s">
        <v>267</v>
      </c>
      <c r="C53" s="167" t="s">
        <v>634</v>
      </c>
      <c r="D53" s="168" t="s">
        <v>635</v>
      </c>
      <c r="E53" s="168">
        <v>31070</v>
      </c>
      <c r="F53" s="167" t="s">
        <v>636</v>
      </c>
      <c r="G53" s="167" t="s">
        <v>637</v>
      </c>
      <c r="H53" s="167" t="s">
        <v>638</v>
      </c>
      <c r="I53" s="169" t="s">
        <v>639</v>
      </c>
      <c r="J53" s="167" t="s">
        <v>283</v>
      </c>
      <c r="K53" s="167" t="s">
        <v>283</v>
      </c>
      <c r="L53" s="167" t="s">
        <v>640</v>
      </c>
      <c r="M53" s="167"/>
      <c r="N53" s="167" t="s">
        <v>641</v>
      </c>
      <c r="O53" s="167"/>
      <c r="P53" s="167"/>
      <c r="Q53" s="171" t="str">
        <f>HYPERLINK("https://api.typeform.com/responses/files/637c8b7b728c35160ef0c588bfb066f64fbf627eea9171153b603525bce183bc/photo_2022_06_19_15_05_38.jpg")</f>
        <v>https://api.typeform.com/responses/files/637c8b7b728c35160ef0c588bfb066f64fbf627eea9171153b603525bce183bc/photo_2022_06_19_15_05_38.jpg</v>
      </c>
      <c r="R53" s="171" t="str">
        <f>HYPERLINK("https://api.typeform.com/responses/files/a0c1f99a55bbafe15707ffd402085db912fbbb9af340f16dd471f22fdbe34496/photo_2022_06_19_15_20_58.jpg")</f>
        <v>https://api.typeform.com/responses/files/a0c1f99a55bbafe15707ffd402085db912fbbb9af340f16dd471f22fdbe34496/photo_2022_06_19_15_20_58.jpg</v>
      </c>
      <c r="S53" s="171"/>
      <c r="T53" s="171"/>
      <c r="U53" s="171"/>
      <c r="V53" s="171"/>
    </row>
    <row r="54" spans="1:22" x14ac:dyDescent="0.2">
      <c r="A54" s="167" t="s">
        <v>206</v>
      </c>
      <c r="B54" s="167" t="s">
        <v>267</v>
      </c>
      <c r="C54" s="167" t="s">
        <v>540</v>
      </c>
      <c r="D54" s="168" t="s">
        <v>642</v>
      </c>
      <c r="E54" s="168">
        <v>30248</v>
      </c>
      <c r="F54" s="167" t="s">
        <v>643</v>
      </c>
      <c r="G54" s="167" t="s">
        <v>206</v>
      </c>
      <c r="H54" s="167" t="s">
        <v>644</v>
      </c>
      <c r="I54" s="167">
        <f>79081885004</f>
        <v>79081885004</v>
      </c>
      <c r="J54" s="167" t="s">
        <v>591</v>
      </c>
      <c r="K54" s="167" t="s">
        <v>306</v>
      </c>
      <c r="L54" s="167" t="s">
        <v>645</v>
      </c>
      <c r="M54" s="167"/>
      <c r="N54" s="167"/>
      <c r="O54" s="167" t="s">
        <v>643</v>
      </c>
      <c r="P54" s="167"/>
      <c r="Q54" s="171" t="s">
        <v>646</v>
      </c>
      <c r="R54" s="171" t="s">
        <v>647</v>
      </c>
      <c r="S54" s="171"/>
      <c r="T54" s="171"/>
      <c r="U54" s="171"/>
      <c r="V54" s="171"/>
    </row>
    <row r="55" spans="1:22" x14ac:dyDescent="0.2">
      <c r="A55" s="176" t="s">
        <v>226</v>
      </c>
      <c r="B55" s="167" t="s">
        <v>267</v>
      </c>
      <c r="C55" s="170" t="s">
        <v>327</v>
      </c>
      <c r="D55" s="170" t="s">
        <v>648</v>
      </c>
      <c r="E55" s="170" t="s">
        <v>649</v>
      </c>
      <c r="F55" s="170" t="s">
        <v>650</v>
      </c>
      <c r="G55" s="170" t="s">
        <v>651</v>
      </c>
      <c r="H55" s="167"/>
      <c r="I55" s="170">
        <v>628913431</v>
      </c>
      <c r="J55" s="167"/>
      <c r="K55" s="170" t="s">
        <v>417</v>
      </c>
      <c r="L55" s="170" t="s">
        <v>652</v>
      </c>
      <c r="M55" s="170" t="s">
        <v>653</v>
      </c>
      <c r="N55" s="170" t="s">
        <v>653</v>
      </c>
      <c r="O55" s="167"/>
      <c r="P55" s="167"/>
      <c r="Q55" s="177" t="s">
        <v>654</v>
      </c>
      <c r="R55" s="177" t="s">
        <v>655</v>
      </c>
      <c r="S55" s="177" t="s">
        <v>656</v>
      </c>
      <c r="T55" s="177"/>
      <c r="U55" s="177"/>
      <c r="V55" s="177"/>
    </row>
    <row r="56" spans="1:22" x14ac:dyDescent="0.2">
      <c r="A56" s="176" t="s">
        <v>657</v>
      </c>
      <c r="B56" s="167" t="s">
        <v>267</v>
      </c>
      <c r="C56" s="170" t="s">
        <v>292</v>
      </c>
      <c r="D56" s="170" t="s">
        <v>658</v>
      </c>
      <c r="E56" s="170" t="s">
        <v>659</v>
      </c>
      <c r="F56" s="170" t="s">
        <v>660</v>
      </c>
      <c r="G56" s="170" t="s">
        <v>661</v>
      </c>
      <c r="H56" s="170" t="s">
        <v>662</v>
      </c>
      <c r="I56" s="141" t="s">
        <v>663</v>
      </c>
      <c r="J56" s="167"/>
      <c r="K56" s="170" t="s">
        <v>306</v>
      </c>
      <c r="L56" s="170" t="s">
        <v>664</v>
      </c>
      <c r="M56" s="170" t="s">
        <v>665</v>
      </c>
      <c r="N56" s="170" t="s">
        <v>666</v>
      </c>
      <c r="O56" s="167"/>
      <c r="P56" s="167"/>
      <c r="Q56" s="177" t="s">
        <v>667</v>
      </c>
      <c r="R56" s="177" t="s">
        <v>668</v>
      </c>
      <c r="S56" s="177" t="s">
        <v>669</v>
      </c>
      <c r="T56" s="177" t="s">
        <v>670</v>
      </c>
      <c r="U56" s="177"/>
      <c r="V56" s="177"/>
    </row>
    <row r="57" spans="1:22" x14ac:dyDescent="0.2">
      <c r="A57" s="176" t="s">
        <v>671</v>
      </c>
      <c r="B57" s="167" t="s">
        <v>267</v>
      </c>
      <c r="C57" s="170" t="s">
        <v>317</v>
      </c>
      <c r="D57" s="170" t="s">
        <v>672</v>
      </c>
      <c r="E57" s="170" t="s">
        <v>673</v>
      </c>
      <c r="F57" s="170" t="s">
        <v>674</v>
      </c>
      <c r="G57" s="170" t="s">
        <v>675</v>
      </c>
      <c r="H57" s="170" t="s">
        <v>676</v>
      </c>
      <c r="I57" s="170">
        <v>89505725546</v>
      </c>
      <c r="J57" s="167"/>
      <c r="K57" s="170" t="s">
        <v>306</v>
      </c>
      <c r="L57" s="170" t="s">
        <v>677</v>
      </c>
      <c r="M57" s="167"/>
      <c r="N57" s="167"/>
      <c r="O57" s="167"/>
      <c r="P57" s="167"/>
      <c r="Q57" s="177" t="s">
        <v>678</v>
      </c>
      <c r="R57" s="177" t="s">
        <v>679</v>
      </c>
      <c r="S57" s="177" t="s">
        <v>680</v>
      </c>
      <c r="T57" s="177"/>
      <c r="U57" s="177"/>
      <c r="V57" s="177"/>
    </row>
    <row r="58" spans="1:22" x14ac:dyDescent="0.2">
      <c r="A58" s="148" t="s">
        <v>681</v>
      </c>
      <c r="B58" s="167" t="s">
        <v>267</v>
      </c>
      <c r="C58" s="178" t="s">
        <v>342</v>
      </c>
      <c r="D58" s="178" t="s">
        <v>682</v>
      </c>
      <c r="E58" s="179">
        <v>35679</v>
      </c>
      <c r="F58" s="178" t="s">
        <v>683</v>
      </c>
      <c r="G58" s="178" t="s">
        <v>684</v>
      </c>
      <c r="H58" s="178" t="s">
        <v>685</v>
      </c>
      <c r="I58" s="178" t="s">
        <v>686</v>
      </c>
      <c r="J58" s="141" t="s">
        <v>306</v>
      </c>
      <c r="K58" s="141" t="s">
        <v>306</v>
      </c>
      <c r="L58" s="141" t="s">
        <v>687</v>
      </c>
      <c r="M58" s="148"/>
      <c r="N58" s="148"/>
      <c r="O58" s="148" t="s">
        <v>688</v>
      </c>
      <c r="P58" s="148" t="s">
        <v>688</v>
      </c>
      <c r="Q58" s="178" t="s">
        <v>689</v>
      </c>
      <c r="R58" s="180" t="s">
        <v>690</v>
      </c>
      <c r="S58" s="181" t="s">
        <v>691</v>
      </c>
      <c r="T58" s="177"/>
      <c r="U58" s="177"/>
      <c r="V58" s="177"/>
    </row>
    <row r="59" spans="1:22" x14ac:dyDescent="0.2">
      <c r="A59" s="148" t="s">
        <v>692</v>
      </c>
      <c r="B59" s="167" t="s">
        <v>267</v>
      </c>
      <c r="C59" s="178" t="s">
        <v>301</v>
      </c>
      <c r="D59" s="178" t="s">
        <v>693</v>
      </c>
      <c r="E59" s="179">
        <v>35136</v>
      </c>
      <c r="F59" s="178" t="s">
        <v>694</v>
      </c>
      <c r="G59" s="178" t="s">
        <v>695</v>
      </c>
      <c r="H59" s="182" t="s">
        <v>696</v>
      </c>
      <c r="I59" s="178" t="s">
        <v>697</v>
      </c>
      <c r="J59" s="141" t="s">
        <v>306</v>
      </c>
      <c r="K59" s="170" t="s">
        <v>424</v>
      </c>
      <c r="L59" s="170"/>
      <c r="M59" s="148" t="s">
        <v>694</v>
      </c>
      <c r="N59" s="183" t="s">
        <v>694</v>
      </c>
      <c r="O59" s="148"/>
      <c r="P59" s="148"/>
      <c r="Q59" s="180" t="s">
        <v>698</v>
      </c>
      <c r="R59" s="180" t="s">
        <v>699</v>
      </c>
      <c r="S59" s="181" t="s">
        <v>700</v>
      </c>
      <c r="T59" s="177"/>
      <c r="U59" s="177"/>
      <c r="V59" s="177"/>
    </row>
    <row r="60" spans="1:22" x14ac:dyDescent="0.2">
      <c r="A60" s="182" t="s">
        <v>701</v>
      </c>
      <c r="B60" s="167" t="s">
        <v>300</v>
      </c>
      <c r="C60" s="182" t="s">
        <v>501</v>
      </c>
      <c r="D60" s="182" t="s">
        <v>702</v>
      </c>
      <c r="E60" s="184">
        <v>32740</v>
      </c>
      <c r="F60" s="182" t="s">
        <v>703</v>
      </c>
      <c r="G60" s="182" t="s">
        <v>704</v>
      </c>
      <c r="H60" s="182" t="s">
        <v>701</v>
      </c>
      <c r="I60" s="182">
        <v>380979248848</v>
      </c>
      <c r="J60" s="141" t="s">
        <v>283</v>
      </c>
      <c r="K60" s="170" t="s">
        <v>283</v>
      </c>
      <c r="L60" s="170" t="s">
        <v>705</v>
      </c>
      <c r="M60" s="148"/>
      <c r="N60" s="185" t="s">
        <v>706</v>
      </c>
      <c r="O60" s="148"/>
      <c r="P60" s="148"/>
      <c r="Q60" s="186" t="s">
        <v>707</v>
      </c>
      <c r="R60" s="186" t="s">
        <v>708</v>
      </c>
      <c r="S60" s="187">
        <v>43701</v>
      </c>
      <c r="T60" s="177" t="s">
        <v>709</v>
      </c>
      <c r="U60" s="177" t="s">
        <v>710</v>
      </c>
      <c r="V60" s="177" t="b">
        <v>1</v>
      </c>
    </row>
  </sheetData>
  <hyperlinks>
    <hyperlink ref="Q5" r:id="rId1" xr:uid="{00000000-0004-0000-0300-000000000000}"/>
    <hyperlink ref="R5" r:id="rId2" xr:uid="{00000000-0004-0000-0300-000001000000}"/>
    <hyperlink ref="Q6" r:id="rId3" xr:uid="{00000000-0004-0000-0300-000002000000}"/>
    <hyperlink ref="R6" r:id="rId4" xr:uid="{00000000-0004-0000-0300-000003000000}"/>
    <hyperlink ref="Q8" r:id="rId5" xr:uid="{00000000-0004-0000-0300-000004000000}"/>
    <hyperlink ref="R8" r:id="rId6" xr:uid="{00000000-0004-0000-0300-000005000000}"/>
    <hyperlink ref="Q10" r:id="rId7" xr:uid="{00000000-0004-0000-0300-000006000000}"/>
    <hyperlink ref="R10" r:id="rId8" xr:uid="{00000000-0004-0000-0300-000007000000}"/>
    <hyperlink ref="Q13" r:id="rId9" xr:uid="{00000000-0004-0000-0300-000008000000}"/>
    <hyperlink ref="R13" r:id="rId10" xr:uid="{00000000-0004-0000-0300-000009000000}"/>
    <hyperlink ref="Q19" r:id="rId11" xr:uid="{00000000-0004-0000-0300-00000A000000}"/>
    <hyperlink ref="R19" r:id="rId12" xr:uid="{00000000-0004-0000-0300-00000B000000}"/>
    <hyperlink ref="P24" r:id="rId13" xr:uid="{00000000-0004-0000-0300-00000C000000}"/>
    <hyperlink ref="Q24" r:id="rId14" xr:uid="{00000000-0004-0000-0300-00000D000000}"/>
    <hyperlink ref="Q25" r:id="rId15" xr:uid="{00000000-0004-0000-0300-00000E000000}"/>
    <hyperlink ref="R25" r:id="rId16" xr:uid="{00000000-0004-0000-0300-00000F000000}"/>
    <hyperlink ref="Q29" r:id="rId17" xr:uid="{00000000-0004-0000-0300-000010000000}"/>
    <hyperlink ref="R29" r:id="rId18" xr:uid="{00000000-0004-0000-0300-000011000000}"/>
    <hyperlink ref="Q31" r:id="rId19" xr:uid="{00000000-0004-0000-0300-000012000000}"/>
    <hyperlink ref="R31" r:id="rId20" xr:uid="{00000000-0004-0000-0300-000013000000}"/>
    <hyperlink ref="Q41" r:id="rId21" xr:uid="{00000000-0004-0000-0300-000014000000}"/>
    <hyperlink ref="R41" r:id="rId22" xr:uid="{00000000-0004-0000-0300-000015000000}"/>
    <hyperlink ref="Q54" r:id="rId23" xr:uid="{00000000-0004-0000-0300-000016000000}"/>
    <hyperlink ref="R54" r:id="rId24" xr:uid="{00000000-0004-0000-0300-000017000000}"/>
    <hyperlink ref="Q55" r:id="rId25" xr:uid="{00000000-0004-0000-0300-000018000000}"/>
    <hyperlink ref="R55" r:id="rId26" xr:uid="{00000000-0004-0000-0300-000019000000}"/>
    <hyperlink ref="S55" r:id="rId27" xr:uid="{00000000-0004-0000-0300-00001A000000}"/>
    <hyperlink ref="R56" r:id="rId28" xr:uid="{00000000-0004-0000-0300-00001B000000}"/>
    <hyperlink ref="S56" r:id="rId29" xr:uid="{00000000-0004-0000-0300-00001C000000}"/>
    <hyperlink ref="T56" r:id="rId30" xr:uid="{00000000-0004-0000-0300-00001D000000}"/>
    <hyperlink ref="Q57" r:id="rId31" xr:uid="{00000000-0004-0000-0300-00001E000000}"/>
    <hyperlink ref="R57" r:id="rId32" xr:uid="{00000000-0004-0000-0300-00001F000000}"/>
    <hyperlink ref="S57" r:id="rId33" xr:uid="{00000000-0004-0000-0300-000020000000}"/>
    <hyperlink ref="R58" r:id="rId34" xr:uid="{00000000-0004-0000-0300-000021000000}"/>
    <hyperlink ref="S58" r:id="rId35" xr:uid="{00000000-0004-0000-0300-000022000000}"/>
    <hyperlink ref="Q59" r:id="rId36" xr:uid="{00000000-0004-0000-0300-000023000000}"/>
    <hyperlink ref="R59" r:id="rId37" xr:uid="{00000000-0004-0000-0300-000024000000}"/>
    <hyperlink ref="S59" r:id="rId38" xr:uid="{00000000-0004-0000-0300-000025000000}"/>
    <hyperlink ref="Q60" r:id="rId39" xr:uid="{00000000-0004-0000-0300-000026000000}"/>
    <hyperlink ref="R60" r:id="rId40" xr:uid="{00000000-0004-0000-0300-000027000000}"/>
  </hyperlinks>
  <pageMargins left="0.7" right="0.7" top="0.75" bottom="0.75" header="0.3" footer="0.3"/>
  <legacyDrawing r:id="rId4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K5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703125" defaultRowHeight="15.75" customHeight="1" x14ac:dyDescent="0.2"/>
  <cols>
    <col min="1" max="1" width="14.5703125" customWidth="1"/>
    <col min="2" max="2" width="16.140625" customWidth="1"/>
    <col min="4" max="4" width="12.5703125" customWidth="1"/>
    <col min="5" max="5" width="23.5703125" customWidth="1"/>
    <col min="9" max="9" width="42.28515625" customWidth="1"/>
    <col min="10" max="11" width="37.28515625" customWidth="1"/>
  </cols>
  <sheetData>
    <row r="1" spans="1:11" x14ac:dyDescent="0.2">
      <c r="A1" s="188" t="s">
        <v>0</v>
      </c>
      <c r="B1" s="189" t="s">
        <v>711</v>
      </c>
      <c r="C1" s="189" t="s">
        <v>712</v>
      </c>
      <c r="D1" s="189" t="s">
        <v>31</v>
      </c>
      <c r="E1" s="189" t="s">
        <v>713</v>
      </c>
      <c r="F1" s="189" t="s">
        <v>714</v>
      </c>
      <c r="G1" s="190" t="s">
        <v>715</v>
      </c>
      <c r="H1" s="189" t="s">
        <v>716</v>
      </c>
      <c r="I1" s="189" t="s">
        <v>717</v>
      </c>
      <c r="J1" s="189" t="s">
        <v>718</v>
      </c>
      <c r="K1" s="191" t="s">
        <v>719</v>
      </c>
    </row>
    <row r="2" spans="1:11" x14ac:dyDescent="0.2">
      <c r="A2" s="166" t="s">
        <v>33</v>
      </c>
      <c r="B2" s="167" t="s">
        <v>267</v>
      </c>
      <c r="C2" s="192">
        <v>44886</v>
      </c>
      <c r="D2" s="193" t="s">
        <v>720</v>
      </c>
      <c r="E2" s="194" t="s">
        <v>721</v>
      </c>
      <c r="F2" s="192"/>
      <c r="G2" s="195" t="s">
        <v>722</v>
      </c>
      <c r="H2" s="167"/>
      <c r="I2" s="196" t="s">
        <v>723</v>
      </c>
      <c r="J2" s="197"/>
      <c r="K2" s="198" t="s">
        <v>724</v>
      </c>
    </row>
    <row r="3" spans="1:11" x14ac:dyDescent="0.2">
      <c r="A3" s="167" t="s">
        <v>58</v>
      </c>
      <c r="B3" s="167" t="s">
        <v>267</v>
      </c>
      <c r="C3" s="192">
        <v>44652</v>
      </c>
      <c r="D3" s="193" t="s">
        <v>720</v>
      </c>
      <c r="E3" s="199" t="s">
        <v>725</v>
      </c>
      <c r="F3" s="192"/>
      <c r="G3" s="195" t="s">
        <v>722</v>
      </c>
      <c r="H3" s="167"/>
      <c r="I3" s="200" t="s">
        <v>726</v>
      </c>
      <c r="J3" s="201" t="s">
        <v>727</v>
      </c>
      <c r="K3" s="198" t="s">
        <v>728</v>
      </c>
    </row>
    <row r="4" spans="1:11" x14ac:dyDescent="0.2">
      <c r="A4" s="175" t="s">
        <v>286</v>
      </c>
      <c r="B4" s="167" t="s">
        <v>267</v>
      </c>
      <c r="C4" s="192">
        <v>43302</v>
      </c>
      <c r="D4" s="202" t="s">
        <v>729</v>
      </c>
      <c r="E4" s="199" t="s">
        <v>730</v>
      </c>
      <c r="F4" s="192"/>
      <c r="G4" s="195" t="s">
        <v>722</v>
      </c>
      <c r="H4" s="167"/>
      <c r="I4" s="200" t="s">
        <v>731</v>
      </c>
      <c r="J4" s="198" t="s">
        <v>732</v>
      </c>
      <c r="K4" s="198" t="s">
        <v>733</v>
      </c>
    </row>
    <row r="5" spans="1:11" x14ac:dyDescent="0.2">
      <c r="A5" s="175" t="s">
        <v>60</v>
      </c>
      <c r="B5" s="167" t="s">
        <v>267</v>
      </c>
      <c r="C5" s="192">
        <v>44095</v>
      </c>
      <c r="D5" s="203" t="s">
        <v>734</v>
      </c>
      <c r="E5" s="199" t="s">
        <v>735</v>
      </c>
      <c r="F5" s="192"/>
      <c r="G5" s="195" t="s">
        <v>722</v>
      </c>
      <c r="H5" s="167"/>
      <c r="I5" s="200" t="s">
        <v>736</v>
      </c>
      <c r="J5" s="198" t="s">
        <v>737</v>
      </c>
      <c r="K5" s="198" t="s">
        <v>738</v>
      </c>
    </row>
    <row r="6" spans="1:11" x14ac:dyDescent="0.2">
      <c r="A6" s="167" t="s">
        <v>82</v>
      </c>
      <c r="B6" s="167" t="s">
        <v>300</v>
      </c>
      <c r="C6" s="192">
        <v>44217</v>
      </c>
      <c r="D6" s="203" t="s">
        <v>739</v>
      </c>
      <c r="E6" s="204" t="s">
        <v>740</v>
      </c>
      <c r="F6" s="192">
        <v>44217</v>
      </c>
      <c r="G6" s="205" t="s">
        <v>741</v>
      </c>
      <c r="H6" s="204" t="s">
        <v>740</v>
      </c>
      <c r="I6" s="200" t="s">
        <v>742</v>
      </c>
      <c r="J6" s="197"/>
      <c r="K6" s="198" t="s">
        <v>738</v>
      </c>
    </row>
    <row r="7" spans="1:11" x14ac:dyDescent="0.2">
      <c r="A7" s="167" t="s">
        <v>311</v>
      </c>
      <c r="B7" s="167" t="s">
        <v>267</v>
      </c>
      <c r="C7" s="192"/>
      <c r="D7" s="193" t="s">
        <v>743</v>
      </c>
      <c r="E7" s="206" t="s">
        <v>744</v>
      </c>
      <c r="F7" s="192"/>
      <c r="G7" s="195" t="s">
        <v>722</v>
      </c>
      <c r="H7" s="167"/>
      <c r="I7" s="200" t="s">
        <v>745</v>
      </c>
      <c r="J7" s="197"/>
      <c r="K7" s="198" t="s">
        <v>746</v>
      </c>
    </row>
    <row r="8" spans="1:11" x14ac:dyDescent="0.2">
      <c r="A8" s="167" t="s">
        <v>154</v>
      </c>
      <c r="B8" s="167" t="s">
        <v>267</v>
      </c>
      <c r="C8" s="192">
        <v>44794</v>
      </c>
      <c r="D8" s="203" t="s">
        <v>747</v>
      </c>
      <c r="E8" s="171" t="s">
        <v>748</v>
      </c>
      <c r="F8" s="192"/>
      <c r="G8" s="195" t="s">
        <v>722</v>
      </c>
      <c r="H8" s="167"/>
      <c r="I8" s="200" t="s">
        <v>749</v>
      </c>
      <c r="J8" s="197"/>
      <c r="K8" s="198" t="s">
        <v>750</v>
      </c>
    </row>
    <row r="9" spans="1:11" x14ac:dyDescent="0.2">
      <c r="A9" s="167" t="s">
        <v>89</v>
      </c>
      <c r="B9" s="167" t="s">
        <v>267</v>
      </c>
      <c r="C9" s="192">
        <v>44490</v>
      </c>
      <c r="D9" s="203" t="s">
        <v>751</v>
      </c>
      <c r="E9" s="171" t="s">
        <v>752</v>
      </c>
      <c r="F9" s="192"/>
      <c r="G9" s="195" t="s">
        <v>722</v>
      </c>
      <c r="H9" s="167"/>
      <c r="I9" s="200" t="s">
        <v>753</v>
      </c>
      <c r="J9" s="197"/>
      <c r="K9" s="198" t="s">
        <v>754</v>
      </c>
    </row>
    <row r="10" spans="1:11" x14ac:dyDescent="0.2">
      <c r="A10" s="167" t="s">
        <v>145</v>
      </c>
      <c r="B10" s="167" t="s">
        <v>300</v>
      </c>
      <c r="C10" s="192">
        <v>44700</v>
      </c>
      <c r="D10" s="203" t="s">
        <v>755</v>
      </c>
      <c r="E10" s="206" t="s">
        <v>756</v>
      </c>
      <c r="F10" s="192"/>
      <c r="G10" s="195" t="s">
        <v>722</v>
      </c>
      <c r="H10" s="204"/>
      <c r="I10" s="200" t="s">
        <v>757</v>
      </c>
      <c r="J10" s="197"/>
      <c r="K10" s="198" t="s">
        <v>738</v>
      </c>
    </row>
    <row r="11" spans="1:11" x14ac:dyDescent="0.2">
      <c r="A11" s="167" t="s">
        <v>155</v>
      </c>
      <c r="B11" s="167" t="s">
        <v>267</v>
      </c>
      <c r="C11" s="192">
        <v>44662</v>
      </c>
      <c r="D11" s="193" t="s">
        <v>720</v>
      </c>
      <c r="E11" s="171" t="s">
        <v>758</v>
      </c>
      <c r="F11" s="192"/>
      <c r="G11" s="195" t="s">
        <v>722</v>
      </c>
      <c r="H11" s="167"/>
      <c r="I11" s="200" t="s">
        <v>759</v>
      </c>
      <c r="J11" s="197"/>
      <c r="K11" s="198" t="s">
        <v>724</v>
      </c>
    </row>
    <row r="12" spans="1:11" x14ac:dyDescent="0.2">
      <c r="A12" s="166" t="s">
        <v>156</v>
      </c>
      <c r="B12" s="167" t="s">
        <v>267</v>
      </c>
      <c r="C12" s="192">
        <v>44886</v>
      </c>
      <c r="D12" s="193" t="s">
        <v>720</v>
      </c>
      <c r="E12" s="194" t="s">
        <v>760</v>
      </c>
      <c r="F12" s="192"/>
      <c r="G12" s="195" t="s">
        <v>722</v>
      </c>
      <c r="H12" s="167"/>
      <c r="I12" s="196" t="s">
        <v>761</v>
      </c>
      <c r="J12" s="197"/>
      <c r="K12" s="198" t="s">
        <v>724</v>
      </c>
    </row>
    <row r="13" spans="1:11" x14ac:dyDescent="0.2">
      <c r="A13" s="167" t="s">
        <v>125</v>
      </c>
      <c r="B13" s="167" t="s">
        <v>267</v>
      </c>
      <c r="C13" s="192">
        <v>44628</v>
      </c>
      <c r="D13" s="193" t="s">
        <v>720</v>
      </c>
      <c r="E13" s="171" t="s">
        <v>762</v>
      </c>
      <c r="F13" s="192"/>
      <c r="G13" s="195" t="s">
        <v>722</v>
      </c>
      <c r="H13" s="167"/>
      <c r="I13" s="200" t="s">
        <v>763</v>
      </c>
      <c r="J13" s="197"/>
      <c r="K13" s="198" t="s">
        <v>728</v>
      </c>
    </row>
    <row r="14" spans="1:11" x14ac:dyDescent="0.2">
      <c r="A14" s="167" t="s">
        <v>157</v>
      </c>
      <c r="B14" s="167" t="s">
        <v>267</v>
      </c>
      <c r="C14" s="192">
        <v>44684</v>
      </c>
      <c r="D14" s="193" t="s">
        <v>720</v>
      </c>
      <c r="E14" s="171" t="s">
        <v>764</v>
      </c>
      <c r="F14" s="192"/>
      <c r="G14" s="195" t="s">
        <v>722</v>
      </c>
      <c r="H14" s="167"/>
      <c r="I14" s="200" t="s">
        <v>765</v>
      </c>
      <c r="J14" s="197"/>
      <c r="K14" s="198" t="s">
        <v>724</v>
      </c>
    </row>
    <row r="15" spans="1:11" x14ac:dyDescent="0.2">
      <c r="A15" s="173" t="s">
        <v>381</v>
      </c>
      <c r="B15" s="167" t="s">
        <v>267</v>
      </c>
      <c r="C15" s="192">
        <v>44903</v>
      </c>
      <c r="D15" s="193" t="s">
        <v>720</v>
      </c>
      <c r="E15" s="194" t="s">
        <v>766</v>
      </c>
      <c r="F15" s="192"/>
      <c r="G15" s="195" t="s">
        <v>722</v>
      </c>
      <c r="H15" s="167"/>
      <c r="I15" s="196" t="s">
        <v>767</v>
      </c>
      <c r="J15" s="197"/>
      <c r="K15" s="198" t="s">
        <v>724</v>
      </c>
    </row>
    <row r="16" spans="1:11" x14ac:dyDescent="0.2">
      <c r="A16" s="167" t="s">
        <v>150</v>
      </c>
      <c r="B16" s="167" t="s">
        <v>267</v>
      </c>
      <c r="C16" s="192">
        <v>44715</v>
      </c>
      <c r="D16" s="193" t="s">
        <v>720</v>
      </c>
      <c r="E16" s="171" t="s">
        <v>768</v>
      </c>
      <c r="F16" s="192"/>
      <c r="G16" s="195" t="s">
        <v>722</v>
      </c>
      <c r="H16" s="167"/>
      <c r="I16" s="200" t="s">
        <v>769</v>
      </c>
      <c r="J16" s="197"/>
      <c r="K16" s="198" t="s">
        <v>724</v>
      </c>
    </row>
    <row r="17" spans="1:11" x14ac:dyDescent="0.2">
      <c r="A17" s="167" t="s">
        <v>395</v>
      </c>
      <c r="B17" s="167" t="s">
        <v>267</v>
      </c>
      <c r="C17" s="192">
        <v>44460</v>
      </c>
      <c r="D17" s="203" t="s">
        <v>770</v>
      </c>
      <c r="E17" s="171" t="s">
        <v>771</v>
      </c>
      <c r="F17" s="192"/>
      <c r="G17" s="195" t="s">
        <v>722</v>
      </c>
      <c r="H17" s="167"/>
      <c r="I17" s="200" t="s">
        <v>772</v>
      </c>
      <c r="J17" s="198" t="s">
        <v>773</v>
      </c>
      <c r="K17" s="198" t="s">
        <v>738</v>
      </c>
    </row>
    <row r="18" spans="1:11" x14ac:dyDescent="0.2">
      <c r="A18" s="167" t="s">
        <v>402</v>
      </c>
      <c r="B18" s="167" t="s">
        <v>267</v>
      </c>
      <c r="C18" s="192">
        <v>44248</v>
      </c>
      <c r="D18" s="203" t="s">
        <v>751</v>
      </c>
      <c r="E18" s="171" t="s">
        <v>774</v>
      </c>
      <c r="F18" s="192"/>
      <c r="G18" s="195" t="s">
        <v>722</v>
      </c>
      <c r="H18" s="167"/>
      <c r="I18" s="200" t="s">
        <v>775</v>
      </c>
      <c r="J18" s="201"/>
      <c r="K18" s="198" t="s">
        <v>754</v>
      </c>
    </row>
    <row r="19" spans="1:11" x14ac:dyDescent="0.2">
      <c r="A19" s="167" t="s">
        <v>169</v>
      </c>
      <c r="B19" s="167" t="s">
        <v>267</v>
      </c>
      <c r="C19" s="192">
        <v>44833</v>
      </c>
      <c r="D19" s="193" t="s">
        <v>720</v>
      </c>
      <c r="E19" s="171" t="s">
        <v>776</v>
      </c>
      <c r="F19" s="192"/>
      <c r="G19" s="195" t="s">
        <v>722</v>
      </c>
      <c r="H19" s="167"/>
      <c r="I19" s="196" t="s">
        <v>777</v>
      </c>
      <c r="J19" s="197"/>
      <c r="K19" s="198" t="s">
        <v>724</v>
      </c>
    </row>
    <row r="20" spans="1:11" x14ac:dyDescent="0.2">
      <c r="A20" s="167" t="s">
        <v>180</v>
      </c>
      <c r="B20" s="207" t="s">
        <v>267</v>
      </c>
      <c r="C20" s="192">
        <v>44859</v>
      </c>
      <c r="D20" s="193" t="s">
        <v>720</v>
      </c>
      <c r="E20" s="194" t="s">
        <v>778</v>
      </c>
      <c r="F20" s="192"/>
      <c r="G20" s="195" t="s">
        <v>722</v>
      </c>
      <c r="H20" s="167"/>
      <c r="I20" s="196" t="s">
        <v>779</v>
      </c>
      <c r="J20" s="197"/>
      <c r="K20" s="198" t="s">
        <v>724</v>
      </c>
    </row>
    <row r="21" spans="1:11" x14ac:dyDescent="0.2">
      <c r="A21" s="167" t="s">
        <v>170</v>
      </c>
      <c r="B21" s="167" t="s">
        <v>267</v>
      </c>
      <c r="C21" s="192">
        <v>44825</v>
      </c>
      <c r="D21" s="193" t="s">
        <v>720</v>
      </c>
      <c r="E21" s="171" t="s">
        <v>780</v>
      </c>
      <c r="F21" s="192"/>
      <c r="G21" s="195" t="s">
        <v>722</v>
      </c>
      <c r="H21" s="167"/>
      <c r="I21" s="196" t="s">
        <v>781</v>
      </c>
      <c r="J21" s="197"/>
      <c r="K21" s="198" t="s">
        <v>724</v>
      </c>
    </row>
    <row r="22" spans="1:11" x14ac:dyDescent="0.2">
      <c r="A22" s="167" t="s">
        <v>91</v>
      </c>
      <c r="B22" s="167" t="s">
        <v>267</v>
      </c>
      <c r="C22" s="192">
        <v>44368</v>
      </c>
      <c r="D22" s="203" t="s">
        <v>751</v>
      </c>
      <c r="E22" s="199" t="s">
        <v>782</v>
      </c>
      <c r="F22" s="192"/>
      <c r="G22" s="195" t="s">
        <v>722</v>
      </c>
      <c r="H22" s="167"/>
      <c r="I22" s="200" t="s">
        <v>783</v>
      </c>
      <c r="J22" s="201"/>
      <c r="K22" s="198" t="s">
        <v>754</v>
      </c>
    </row>
    <row r="23" spans="1:11" x14ac:dyDescent="0.2">
      <c r="A23" s="166" t="s">
        <v>172</v>
      </c>
      <c r="B23" s="167" t="s">
        <v>300</v>
      </c>
      <c r="C23" s="192">
        <v>44621</v>
      </c>
      <c r="D23" s="203" t="s">
        <v>784</v>
      </c>
      <c r="E23" s="171" t="s">
        <v>785</v>
      </c>
      <c r="F23" s="192">
        <v>44621</v>
      </c>
      <c r="G23" s="203" t="s">
        <v>786</v>
      </c>
      <c r="H23" s="171" t="s">
        <v>785</v>
      </c>
      <c r="I23" s="200" t="s">
        <v>787</v>
      </c>
      <c r="J23" s="197"/>
      <c r="K23" s="198" t="s">
        <v>788</v>
      </c>
    </row>
    <row r="24" spans="1:11" x14ac:dyDescent="0.2">
      <c r="A24" s="175" t="s">
        <v>447</v>
      </c>
      <c r="B24" s="167" t="s">
        <v>300</v>
      </c>
      <c r="C24" s="192">
        <v>44713</v>
      </c>
      <c r="D24" s="203" t="s">
        <v>739</v>
      </c>
      <c r="E24" s="171" t="s">
        <v>789</v>
      </c>
      <c r="F24" s="192">
        <v>44713</v>
      </c>
      <c r="G24" s="203" t="s">
        <v>741</v>
      </c>
      <c r="H24" s="171" t="s">
        <v>789</v>
      </c>
      <c r="I24" s="200" t="s">
        <v>790</v>
      </c>
      <c r="J24" s="197"/>
      <c r="K24" s="198" t="s">
        <v>791</v>
      </c>
    </row>
    <row r="25" spans="1:11" x14ac:dyDescent="0.2">
      <c r="A25" s="175" t="s">
        <v>152</v>
      </c>
      <c r="B25" s="167" t="s">
        <v>267</v>
      </c>
      <c r="C25" s="192">
        <v>44348</v>
      </c>
      <c r="D25" s="203" t="s">
        <v>739</v>
      </c>
      <c r="E25" s="167" t="s">
        <v>792</v>
      </c>
      <c r="F25" s="192"/>
      <c r="G25" s="195" t="s">
        <v>722</v>
      </c>
      <c r="H25" s="167"/>
      <c r="I25" s="208" t="s">
        <v>793</v>
      </c>
      <c r="J25" s="197"/>
      <c r="K25" s="198" t="s">
        <v>794</v>
      </c>
    </row>
    <row r="26" spans="1:11" x14ac:dyDescent="0.2">
      <c r="A26" s="174" t="s">
        <v>456</v>
      </c>
      <c r="B26" s="167" t="s">
        <v>267</v>
      </c>
      <c r="C26" s="192">
        <v>44470</v>
      </c>
      <c r="D26" s="203" t="s">
        <v>795</v>
      </c>
      <c r="E26" s="171" t="s">
        <v>796</v>
      </c>
      <c r="F26" s="192"/>
      <c r="G26" s="195" t="s">
        <v>722</v>
      </c>
      <c r="H26" s="167"/>
      <c r="I26" s="200" t="s">
        <v>797</v>
      </c>
      <c r="J26" s="197"/>
      <c r="K26" s="198" t="s">
        <v>728</v>
      </c>
    </row>
    <row r="27" spans="1:11" x14ac:dyDescent="0.2">
      <c r="A27" s="167" t="s">
        <v>466</v>
      </c>
      <c r="B27" s="167" t="s">
        <v>300</v>
      </c>
      <c r="C27" s="192">
        <v>44672</v>
      </c>
      <c r="D27" s="203" t="s">
        <v>739</v>
      </c>
      <c r="E27" s="171" t="s">
        <v>798</v>
      </c>
      <c r="F27" s="192">
        <v>44672</v>
      </c>
      <c r="G27" s="203" t="s">
        <v>741</v>
      </c>
      <c r="H27" s="171" t="s">
        <v>798</v>
      </c>
      <c r="I27" s="200" t="s">
        <v>799</v>
      </c>
      <c r="J27" s="197"/>
      <c r="K27" s="198" t="s">
        <v>800</v>
      </c>
    </row>
    <row r="28" spans="1:11" x14ac:dyDescent="0.2">
      <c r="A28" s="167" t="s">
        <v>473</v>
      </c>
      <c r="B28" s="167" t="s">
        <v>267</v>
      </c>
      <c r="C28" s="192">
        <v>44248</v>
      </c>
      <c r="D28" s="203" t="s">
        <v>751</v>
      </c>
      <c r="E28" s="199" t="s">
        <v>801</v>
      </c>
      <c r="F28" s="192"/>
      <c r="G28" s="195" t="s">
        <v>722</v>
      </c>
      <c r="H28" s="167"/>
      <c r="I28" s="200" t="s">
        <v>802</v>
      </c>
      <c r="J28" s="201" t="s">
        <v>803</v>
      </c>
      <c r="K28" s="198" t="s">
        <v>754</v>
      </c>
    </row>
    <row r="29" spans="1:11" x14ac:dyDescent="0.2">
      <c r="A29" s="175" t="s">
        <v>175</v>
      </c>
      <c r="B29" s="167" t="s">
        <v>267</v>
      </c>
      <c r="C29" s="192">
        <v>44440</v>
      </c>
      <c r="D29" s="203" t="s">
        <v>795</v>
      </c>
      <c r="E29" s="171" t="s">
        <v>804</v>
      </c>
      <c r="F29" s="192"/>
      <c r="G29" s="195" t="s">
        <v>722</v>
      </c>
      <c r="H29" s="167"/>
      <c r="I29" s="200" t="s">
        <v>805</v>
      </c>
      <c r="J29" s="197"/>
      <c r="K29" s="198" t="s">
        <v>728</v>
      </c>
    </row>
    <row r="30" spans="1:11" x14ac:dyDescent="0.2">
      <c r="A30" s="175" t="s">
        <v>178</v>
      </c>
      <c r="B30" s="167" t="s">
        <v>300</v>
      </c>
      <c r="C30" s="192">
        <v>44763</v>
      </c>
      <c r="D30" s="203" t="s">
        <v>806</v>
      </c>
      <c r="E30" s="171" t="s">
        <v>807</v>
      </c>
      <c r="F30" s="192">
        <v>44870</v>
      </c>
      <c r="G30" s="205" t="s">
        <v>808</v>
      </c>
      <c r="H30" s="167" t="s">
        <v>809</v>
      </c>
      <c r="I30" s="200" t="s">
        <v>810</v>
      </c>
      <c r="J30" s="197"/>
      <c r="K30" s="198" t="s">
        <v>811</v>
      </c>
    </row>
    <row r="31" spans="1:11" x14ac:dyDescent="0.2">
      <c r="A31" s="167" t="s">
        <v>102</v>
      </c>
      <c r="B31" s="167" t="s">
        <v>267</v>
      </c>
      <c r="C31" s="192">
        <v>44672</v>
      </c>
      <c r="D31" s="203" t="s">
        <v>812</v>
      </c>
      <c r="E31" s="171" t="s">
        <v>813</v>
      </c>
      <c r="F31" s="192"/>
      <c r="G31" s="195" t="s">
        <v>722</v>
      </c>
      <c r="H31" s="167"/>
      <c r="I31" s="200" t="s">
        <v>814</v>
      </c>
      <c r="J31" s="197"/>
      <c r="K31" s="198" t="s">
        <v>800</v>
      </c>
    </row>
    <row r="32" spans="1:11" x14ac:dyDescent="0.2">
      <c r="A32" s="175" t="s">
        <v>127</v>
      </c>
      <c r="B32" s="167" t="s">
        <v>267</v>
      </c>
      <c r="C32" s="192">
        <v>44805</v>
      </c>
      <c r="D32" s="193" t="s">
        <v>720</v>
      </c>
      <c r="E32" s="171" t="s">
        <v>815</v>
      </c>
      <c r="F32" s="192"/>
      <c r="G32" s="195" t="s">
        <v>722</v>
      </c>
      <c r="H32" s="167"/>
      <c r="I32" s="196" t="s">
        <v>816</v>
      </c>
      <c r="J32" s="197"/>
      <c r="K32" s="198" t="s">
        <v>724</v>
      </c>
    </row>
    <row r="33" spans="1:11" x14ac:dyDescent="0.2">
      <c r="A33" s="175" t="s">
        <v>508</v>
      </c>
      <c r="B33" s="167" t="s">
        <v>300</v>
      </c>
      <c r="C33" s="192">
        <v>44613</v>
      </c>
      <c r="D33" s="205" t="s">
        <v>817</v>
      </c>
      <c r="E33" s="204" t="s">
        <v>818</v>
      </c>
      <c r="F33" s="192">
        <v>44613</v>
      </c>
      <c r="G33" s="205" t="s">
        <v>819</v>
      </c>
      <c r="H33" s="204" t="s">
        <v>818</v>
      </c>
      <c r="I33" s="200" t="s">
        <v>820</v>
      </c>
      <c r="J33" s="197"/>
      <c r="K33" s="198" t="s">
        <v>738</v>
      </c>
    </row>
    <row r="34" spans="1:11" x14ac:dyDescent="0.2">
      <c r="A34" s="209" t="s">
        <v>231</v>
      </c>
      <c r="B34" s="167" t="s">
        <v>267</v>
      </c>
      <c r="C34" s="192">
        <v>44958</v>
      </c>
      <c r="D34" s="193" t="s">
        <v>720</v>
      </c>
      <c r="E34" s="194" t="s">
        <v>821</v>
      </c>
      <c r="F34" s="192"/>
      <c r="G34" s="195" t="s">
        <v>722</v>
      </c>
      <c r="H34" s="167"/>
      <c r="I34" s="196" t="s">
        <v>822</v>
      </c>
      <c r="J34" s="197"/>
      <c r="K34" s="198" t="s">
        <v>800</v>
      </c>
    </row>
    <row r="35" spans="1:11" x14ac:dyDescent="0.2">
      <c r="A35" s="167" t="s">
        <v>113</v>
      </c>
      <c r="B35" s="167" t="s">
        <v>267</v>
      </c>
      <c r="C35" s="192">
        <v>44337</v>
      </c>
      <c r="D35" s="203" t="s">
        <v>751</v>
      </c>
      <c r="E35" s="171" t="s">
        <v>823</v>
      </c>
      <c r="F35" s="192"/>
      <c r="G35" s="195" t="s">
        <v>722</v>
      </c>
      <c r="H35" s="167"/>
      <c r="I35" s="200" t="s">
        <v>824</v>
      </c>
      <c r="J35" s="201"/>
      <c r="K35" s="198" t="s">
        <v>754</v>
      </c>
    </row>
    <row r="36" spans="1:11" x14ac:dyDescent="0.2">
      <c r="A36" s="210" t="s">
        <v>144</v>
      </c>
      <c r="B36" s="167" t="s">
        <v>267</v>
      </c>
      <c r="C36" s="192">
        <v>44604</v>
      </c>
      <c r="D36" s="203" t="s">
        <v>825</v>
      </c>
      <c r="E36" s="171" t="s">
        <v>826</v>
      </c>
      <c r="F36" s="192"/>
      <c r="G36" s="195" t="s">
        <v>722</v>
      </c>
      <c r="H36" s="167"/>
      <c r="I36" s="200" t="s">
        <v>827</v>
      </c>
      <c r="J36" s="197"/>
      <c r="K36" s="198" t="s">
        <v>728</v>
      </c>
    </row>
    <row r="37" spans="1:11" x14ac:dyDescent="0.2">
      <c r="A37" s="166" t="s">
        <v>188</v>
      </c>
      <c r="B37" s="167" t="s">
        <v>267</v>
      </c>
      <c r="C37" s="192">
        <v>44886</v>
      </c>
      <c r="D37" s="203" t="s">
        <v>828</v>
      </c>
      <c r="E37" s="194" t="s">
        <v>829</v>
      </c>
      <c r="F37" s="192"/>
      <c r="G37" s="195" t="s">
        <v>722</v>
      </c>
      <c r="H37" s="167"/>
      <c r="I37" s="196" t="s">
        <v>830</v>
      </c>
      <c r="J37" s="197"/>
      <c r="K37" s="198" t="s">
        <v>750</v>
      </c>
    </row>
    <row r="38" spans="1:11" x14ac:dyDescent="0.2">
      <c r="A38" s="167" t="s">
        <v>189</v>
      </c>
      <c r="B38" s="167" t="s">
        <v>267</v>
      </c>
      <c r="C38" s="192">
        <v>44685</v>
      </c>
      <c r="D38" s="193" t="s">
        <v>720</v>
      </c>
      <c r="E38" s="171" t="s">
        <v>831</v>
      </c>
      <c r="F38" s="192"/>
      <c r="G38" s="195" t="s">
        <v>722</v>
      </c>
      <c r="H38" s="167"/>
      <c r="I38" s="200" t="s">
        <v>832</v>
      </c>
      <c r="J38" s="197"/>
      <c r="K38" s="198" t="s">
        <v>724</v>
      </c>
    </row>
    <row r="39" spans="1:11" x14ac:dyDescent="0.2">
      <c r="A39" s="175" t="s">
        <v>191</v>
      </c>
      <c r="B39" s="167" t="s">
        <v>267</v>
      </c>
      <c r="C39" s="192">
        <v>44064</v>
      </c>
      <c r="D39" s="203" t="s">
        <v>751</v>
      </c>
      <c r="E39" s="171" t="s">
        <v>833</v>
      </c>
      <c r="F39" s="192"/>
      <c r="G39" s="195" t="s">
        <v>722</v>
      </c>
      <c r="H39" s="167"/>
      <c r="I39" s="200" t="s">
        <v>834</v>
      </c>
      <c r="J39" s="201"/>
      <c r="K39" s="198" t="s">
        <v>754</v>
      </c>
    </row>
    <row r="40" spans="1:11" x14ac:dyDescent="0.2">
      <c r="A40" s="167" t="s">
        <v>561</v>
      </c>
      <c r="B40" s="167" t="s">
        <v>267</v>
      </c>
      <c r="C40" s="192">
        <v>44657</v>
      </c>
      <c r="D40" s="193" t="s">
        <v>720</v>
      </c>
      <c r="E40" s="171" t="s">
        <v>835</v>
      </c>
      <c r="F40" s="192"/>
      <c r="G40" s="195" t="s">
        <v>722</v>
      </c>
      <c r="H40" s="167"/>
      <c r="I40" s="200" t="s">
        <v>836</v>
      </c>
      <c r="J40" s="197"/>
      <c r="K40" s="198" t="s">
        <v>724</v>
      </c>
    </row>
    <row r="41" spans="1:11" x14ac:dyDescent="0.2">
      <c r="A41" s="167" t="s">
        <v>195</v>
      </c>
      <c r="B41" s="167" t="s">
        <v>267</v>
      </c>
      <c r="C41" s="192">
        <v>44632</v>
      </c>
      <c r="D41" s="193" t="s">
        <v>720</v>
      </c>
      <c r="E41" s="171" t="s">
        <v>837</v>
      </c>
      <c r="F41" s="192"/>
      <c r="G41" s="195" t="s">
        <v>722</v>
      </c>
      <c r="H41" s="167"/>
      <c r="I41" s="200" t="s">
        <v>838</v>
      </c>
      <c r="J41" s="197"/>
      <c r="K41" s="198" t="s">
        <v>728</v>
      </c>
    </row>
    <row r="42" spans="1:11" x14ac:dyDescent="0.2">
      <c r="A42" s="167" t="s">
        <v>232</v>
      </c>
      <c r="B42" s="167" t="s">
        <v>267</v>
      </c>
      <c r="C42" s="192">
        <v>44682</v>
      </c>
      <c r="D42" s="193" t="s">
        <v>720</v>
      </c>
      <c r="E42" s="171" t="s">
        <v>839</v>
      </c>
      <c r="F42" s="192"/>
      <c r="G42" s="195" t="s">
        <v>722</v>
      </c>
      <c r="H42" s="167"/>
      <c r="I42" s="200" t="s">
        <v>840</v>
      </c>
      <c r="J42" s="197"/>
      <c r="K42" s="198" t="s">
        <v>724</v>
      </c>
    </row>
    <row r="43" spans="1:11" x14ac:dyDescent="0.2">
      <c r="A43" s="167" t="s">
        <v>124</v>
      </c>
      <c r="B43" s="167" t="s">
        <v>267</v>
      </c>
      <c r="C43" s="192">
        <v>44738</v>
      </c>
      <c r="D43" s="203" t="s">
        <v>841</v>
      </c>
      <c r="E43" s="171" t="s">
        <v>842</v>
      </c>
      <c r="F43" s="192"/>
      <c r="G43" s="195" t="s">
        <v>722</v>
      </c>
      <c r="H43" s="167"/>
      <c r="I43" s="200" t="s">
        <v>843</v>
      </c>
      <c r="J43" s="197"/>
      <c r="K43" s="198" t="s">
        <v>724</v>
      </c>
    </row>
    <row r="44" spans="1:11" x14ac:dyDescent="0.2">
      <c r="A44" s="167" t="s">
        <v>114</v>
      </c>
      <c r="B44" s="167" t="s">
        <v>267</v>
      </c>
      <c r="C44" s="192">
        <v>44802</v>
      </c>
      <c r="D44" s="193" t="s">
        <v>720</v>
      </c>
      <c r="E44" s="171" t="s">
        <v>844</v>
      </c>
      <c r="F44" s="192"/>
      <c r="G44" s="195" t="s">
        <v>722</v>
      </c>
      <c r="H44" s="167"/>
      <c r="I44" s="196" t="s">
        <v>845</v>
      </c>
      <c r="J44" s="197"/>
      <c r="K44" s="198" t="s">
        <v>724</v>
      </c>
    </row>
    <row r="45" spans="1:11" x14ac:dyDescent="0.2">
      <c r="A45" s="167" t="s">
        <v>98</v>
      </c>
      <c r="B45" s="167" t="s">
        <v>267</v>
      </c>
      <c r="C45" s="192">
        <v>44503</v>
      </c>
      <c r="D45" s="203" t="s">
        <v>795</v>
      </c>
      <c r="E45" s="171" t="s">
        <v>846</v>
      </c>
      <c r="F45" s="192"/>
      <c r="G45" s="195" t="s">
        <v>722</v>
      </c>
      <c r="H45" s="167"/>
      <c r="I45" s="200" t="s">
        <v>847</v>
      </c>
      <c r="J45" s="197"/>
      <c r="K45" s="198" t="s">
        <v>728</v>
      </c>
    </row>
    <row r="46" spans="1:11" x14ac:dyDescent="0.2">
      <c r="A46" s="167" t="s">
        <v>600</v>
      </c>
      <c r="B46" s="167" t="s">
        <v>267</v>
      </c>
      <c r="C46" s="192">
        <v>44765</v>
      </c>
      <c r="D46" s="203" t="s">
        <v>848</v>
      </c>
      <c r="E46" s="171" t="s">
        <v>849</v>
      </c>
      <c r="F46" s="192"/>
      <c r="G46" s="195" t="s">
        <v>722</v>
      </c>
      <c r="H46" s="167"/>
      <c r="I46" s="200" t="s">
        <v>850</v>
      </c>
      <c r="J46" s="197"/>
      <c r="K46" s="198" t="s">
        <v>724</v>
      </c>
    </row>
    <row r="47" spans="1:11" x14ac:dyDescent="0.2">
      <c r="A47" s="166" t="s">
        <v>606</v>
      </c>
      <c r="B47" s="167" t="s">
        <v>267</v>
      </c>
      <c r="C47" s="192">
        <v>44896</v>
      </c>
      <c r="D47" s="193" t="s">
        <v>720</v>
      </c>
      <c r="E47" s="194" t="s">
        <v>851</v>
      </c>
      <c r="F47" s="192"/>
      <c r="G47" s="195" t="s">
        <v>722</v>
      </c>
      <c r="H47" s="167"/>
      <c r="I47" s="196" t="s">
        <v>852</v>
      </c>
      <c r="J47" s="197"/>
      <c r="K47" s="198" t="s">
        <v>724</v>
      </c>
    </row>
    <row r="48" spans="1:11" x14ac:dyDescent="0.2">
      <c r="A48" s="166" t="s">
        <v>225</v>
      </c>
      <c r="B48" s="167" t="s">
        <v>300</v>
      </c>
      <c r="C48" s="192">
        <v>44805</v>
      </c>
      <c r="D48" s="193" t="s">
        <v>720</v>
      </c>
      <c r="E48" s="171" t="s">
        <v>853</v>
      </c>
      <c r="F48" s="192">
        <v>44896</v>
      </c>
      <c r="G48" s="205" t="s">
        <v>808</v>
      </c>
      <c r="H48" s="171" t="s">
        <v>854</v>
      </c>
      <c r="I48" s="200" t="s">
        <v>855</v>
      </c>
      <c r="J48" s="198" t="s">
        <v>856</v>
      </c>
      <c r="K48" s="198" t="s">
        <v>724</v>
      </c>
    </row>
    <row r="49" spans="1:11" x14ac:dyDescent="0.2">
      <c r="A49" s="167" t="s">
        <v>205</v>
      </c>
      <c r="B49" s="167" t="s">
        <v>267</v>
      </c>
      <c r="C49" s="192">
        <v>44861</v>
      </c>
      <c r="D49" s="193" t="s">
        <v>720</v>
      </c>
      <c r="E49" s="194" t="s">
        <v>857</v>
      </c>
      <c r="F49" s="192"/>
      <c r="G49" s="195" t="s">
        <v>722</v>
      </c>
      <c r="H49" s="167"/>
      <c r="I49" s="196" t="s">
        <v>858</v>
      </c>
      <c r="J49" s="197"/>
      <c r="K49" s="198" t="s">
        <v>724</v>
      </c>
    </row>
    <row r="50" spans="1:11" x14ac:dyDescent="0.2">
      <c r="A50" s="167" t="s">
        <v>628</v>
      </c>
      <c r="B50" s="167" t="s">
        <v>267</v>
      </c>
      <c r="C50" s="192">
        <v>44958</v>
      </c>
      <c r="D50" s="193" t="s">
        <v>720</v>
      </c>
      <c r="E50" s="194" t="s">
        <v>859</v>
      </c>
      <c r="F50" s="192"/>
      <c r="G50" s="195" t="s">
        <v>722</v>
      </c>
      <c r="H50" s="167"/>
      <c r="I50" s="196" t="s">
        <v>860</v>
      </c>
      <c r="J50" s="197"/>
      <c r="K50" s="198" t="s">
        <v>724</v>
      </c>
    </row>
    <row r="51" spans="1:11" x14ac:dyDescent="0.2">
      <c r="A51" s="167" t="s">
        <v>133</v>
      </c>
      <c r="B51" s="167" t="s">
        <v>267</v>
      </c>
      <c r="C51" s="192">
        <v>44743</v>
      </c>
      <c r="D51" s="193" t="s">
        <v>720</v>
      </c>
      <c r="E51" s="171" t="s">
        <v>861</v>
      </c>
      <c r="F51" s="192"/>
      <c r="G51" s="195" t="s">
        <v>722</v>
      </c>
      <c r="H51" s="167"/>
      <c r="I51" s="200" t="s">
        <v>862</v>
      </c>
      <c r="J51" s="197"/>
      <c r="K51" s="198" t="s">
        <v>724</v>
      </c>
    </row>
    <row r="52" spans="1:11" x14ac:dyDescent="0.2">
      <c r="A52" s="175" t="s">
        <v>206</v>
      </c>
      <c r="B52" s="167" t="s">
        <v>267</v>
      </c>
      <c r="C52" s="192">
        <v>44521</v>
      </c>
      <c r="D52" s="203" t="s">
        <v>808</v>
      </c>
      <c r="E52" s="167" t="s">
        <v>863</v>
      </c>
      <c r="F52" s="192"/>
      <c r="G52" s="195" t="s">
        <v>722</v>
      </c>
      <c r="H52" s="167"/>
      <c r="I52" s="200" t="s">
        <v>864</v>
      </c>
      <c r="J52" s="197"/>
      <c r="K52" s="198" t="s">
        <v>738</v>
      </c>
    </row>
    <row r="53" spans="1:11" x14ac:dyDescent="0.2">
      <c r="A53" s="211" t="s">
        <v>226</v>
      </c>
      <c r="B53" s="167" t="s">
        <v>267</v>
      </c>
      <c r="C53" s="212">
        <v>44972</v>
      </c>
      <c r="D53" s="193" t="s">
        <v>720</v>
      </c>
      <c r="E53" s="213" t="s">
        <v>865</v>
      </c>
      <c r="F53" s="192"/>
      <c r="G53" s="195" t="s">
        <v>722</v>
      </c>
      <c r="H53" s="167"/>
      <c r="I53" s="208" t="s">
        <v>866</v>
      </c>
      <c r="J53" s="197"/>
      <c r="K53" s="198" t="s">
        <v>724</v>
      </c>
    </row>
    <row r="54" spans="1:11" x14ac:dyDescent="0.2">
      <c r="A54" s="211" t="s">
        <v>657</v>
      </c>
      <c r="B54" s="167" t="s">
        <v>267</v>
      </c>
      <c r="C54" s="212">
        <v>44975</v>
      </c>
      <c r="D54" s="193" t="s">
        <v>720</v>
      </c>
      <c r="E54" s="213" t="s">
        <v>867</v>
      </c>
      <c r="F54" s="192"/>
      <c r="G54" s="195" t="s">
        <v>722</v>
      </c>
      <c r="H54" s="167"/>
      <c r="I54" s="208" t="s">
        <v>868</v>
      </c>
      <c r="J54" s="197"/>
      <c r="K54" s="198" t="s">
        <v>724</v>
      </c>
    </row>
    <row r="55" spans="1:11" x14ac:dyDescent="0.2">
      <c r="A55" s="211" t="s">
        <v>671</v>
      </c>
      <c r="B55" s="167" t="s">
        <v>267</v>
      </c>
      <c r="C55" s="212">
        <v>44982</v>
      </c>
      <c r="D55" s="193" t="s">
        <v>720</v>
      </c>
      <c r="E55" s="213" t="s">
        <v>869</v>
      </c>
      <c r="F55" s="192"/>
      <c r="G55" s="195" t="s">
        <v>722</v>
      </c>
      <c r="H55" s="167"/>
      <c r="I55" s="208" t="s">
        <v>870</v>
      </c>
      <c r="J55" s="197"/>
      <c r="K55" s="198" t="s">
        <v>724</v>
      </c>
    </row>
    <row r="56" spans="1:11" x14ac:dyDescent="0.2">
      <c r="A56" s="148" t="s">
        <v>681</v>
      </c>
      <c r="B56" s="167" t="s">
        <v>267</v>
      </c>
      <c r="C56" s="212">
        <v>44985</v>
      </c>
      <c r="D56" s="203" t="s">
        <v>720</v>
      </c>
      <c r="E56" s="213" t="s">
        <v>871</v>
      </c>
      <c r="F56" s="192"/>
      <c r="G56" s="195" t="s">
        <v>722</v>
      </c>
      <c r="H56" s="167"/>
      <c r="I56" s="178" t="s">
        <v>872</v>
      </c>
      <c r="J56" s="197"/>
      <c r="K56" s="198" t="s">
        <v>724</v>
      </c>
    </row>
    <row r="57" spans="1:11" x14ac:dyDescent="0.2">
      <c r="A57" s="148" t="s">
        <v>692</v>
      </c>
      <c r="B57" s="167" t="s">
        <v>267</v>
      </c>
      <c r="C57" s="212">
        <v>44990</v>
      </c>
      <c r="D57" s="203" t="s">
        <v>720</v>
      </c>
      <c r="E57" s="213" t="s">
        <v>873</v>
      </c>
      <c r="F57" s="192"/>
      <c r="G57" s="195" t="s">
        <v>722</v>
      </c>
      <c r="H57" s="167"/>
      <c r="I57" s="178" t="s">
        <v>874</v>
      </c>
      <c r="J57" s="197"/>
      <c r="K57" s="198" t="s">
        <v>724</v>
      </c>
    </row>
    <row r="58" spans="1:11" x14ac:dyDescent="0.2">
      <c r="A58" s="214" t="s">
        <v>701</v>
      </c>
      <c r="B58" s="167" t="s">
        <v>267</v>
      </c>
      <c r="C58" s="212">
        <v>45006</v>
      </c>
      <c r="D58" s="203" t="s">
        <v>741</v>
      </c>
      <c r="E58" s="170" t="s">
        <v>875</v>
      </c>
      <c r="F58" s="192"/>
      <c r="G58" s="205" t="s">
        <v>876</v>
      </c>
      <c r="H58" s="170" t="s">
        <v>877</v>
      </c>
      <c r="I58" s="182" t="s">
        <v>878</v>
      </c>
      <c r="J58" s="198"/>
      <c r="K58" s="198" t="s">
        <v>879</v>
      </c>
    </row>
    <row r="59" spans="1:11" x14ac:dyDescent="0.2">
      <c r="A59" s="182" t="s">
        <v>208</v>
      </c>
      <c r="B59" s="170" t="s">
        <v>880</v>
      </c>
      <c r="C59" s="212"/>
      <c r="D59" s="203" t="s">
        <v>722</v>
      </c>
      <c r="E59" s="170"/>
      <c r="F59" s="192"/>
      <c r="G59" s="205" t="s">
        <v>208</v>
      </c>
      <c r="H59" s="170" t="s">
        <v>881</v>
      </c>
      <c r="I59" s="182"/>
      <c r="J59" s="198"/>
      <c r="K59" s="198"/>
    </row>
  </sheetData>
  <hyperlinks>
    <hyperlink ref="E2" r:id="rId1" xr:uid="{00000000-0004-0000-0400-000000000000}"/>
    <hyperlink ref="E3" r:id="rId2" location="heading=h.25ed5ykm7zul" xr:uid="{00000000-0004-0000-0400-000001000000}"/>
    <hyperlink ref="E4" r:id="rId3" xr:uid="{00000000-0004-0000-0400-000002000000}"/>
    <hyperlink ref="E5" r:id="rId4" xr:uid="{00000000-0004-0000-0400-000003000000}"/>
    <hyperlink ref="E8" r:id="rId5" xr:uid="{00000000-0004-0000-0400-000004000000}"/>
    <hyperlink ref="E9" r:id="rId6" xr:uid="{00000000-0004-0000-0400-000005000000}"/>
    <hyperlink ref="E11" r:id="rId7" xr:uid="{00000000-0004-0000-0400-000006000000}"/>
    <hyperlink ref="E12" r:id="rId8" location="heading=h.25ed5ykm7zul" xr:uid="{00000000-0004-0000-0400-000007000000}"/>
    <hyperlink ref="E13" r:id="rId9" location="heading=h.25ed5ykm7zul" xr:uid="{00000000-0004-0000-0400-000008000000}"/>
    <hyperlink ref="E14" r:id="rId10" location="heading=h.25ed5ykm7zul" xr:uid="{00000000-0004-0000-0400-000009000000}"/>
    <hyperlink ref="E15" r:id="rId11" xr:uid="{00000000-0004-0000-0400-00000A000000}"/>
    <hyperlink ref="E16" r:id="rId12" location="heading=h.25ed5ykm7zul" xr:uid="{00000000-0004-0000-0400-00000B000000}"/>
    <hyperlink ref="E17" r:id="rId13" xr:uid="{00000000-0004-0000-0400-00000C000000}"/>
    <hyperlink ref="E18" r:id="rId14" location="bookmark=id.1fob9te" xr:uid="{00000000-0004-0000-0400-00000D000000}"/>
    <hyperlink ref="E19" r:id="rId15" xr:uid="{00000000-0004-0000-0400-00000E000000}"/>
    <hyperlink ref="E20" r:id="rId16" xr:uid="{00000000-0004-0000-0400-00000F000000}"/>
    <hyperlink ref="E21" r:id="rId17" xr:uid="{00000000-0004-0000-0400-000010000000}"/>
    <hyperlink ref="E22" r:id="rId18" xr:uid="{00000000-0004-0000-0400-000011000000}"/>
    <hyperlink ref="E23" r:id="rId19" location="heading=h.25ed5ykm7zul" xr:uid="{00000000-0004-0000-0400-000012000000}"/>
    <hyperlink ref="H23" r:id="rId20" location="heading=h.25ed5ykm7zul" xr:uid="{00000000-0004-0000-0400-000013000000}"/>
    <hyperlink ref="E24" r:id="rId21" xr:uid="{00000000-0004-0000-0400-000014000000}"/>
    <hyperlink ref="H24" r:id="rId22" xr:uid="{00000000-0004-0000-0400-000015000000}"/>
    <hyperlink ref="E26" r:id="rId23" xr:uid="{00000000-0004-0000-0400-000016000000}"/>
    <hyperlink ref="E27" r:id="rId24" location="heading=h.25ed5ykm7zul" xr:uid="{00000000-0004-0000-0400-000017000000}"/>
    <hyperlink ref="H27" r:id="rId25" location="heading=h.25ed5ykm7zul" xr:uid="{00000000-0004-0000-0400-000018000000}"/>
    <hyperlink ref="E28" r:id="rId26" xr:uid="{00000000-0004-0000-0400-000019000000}"/>
    <hyperlink ref="E29" r:id="rId27" xr:uid="{00000000-0004-0000-0400-00001A000000}"/>
    <hyperlink ref="E30" r:id="rId28" location="heading=h.l069679f231p" xr:uid="{00000000-0004-0000-0400-00001B000000}"/>
    <hyperlink ref="E31" r:id="rId29" location="heading=h.25ed5ykm7zul" xr:uid="{00000000-0004-0000-0400-00001C000000}"/>
    <hyperlink ref="E32" r:id="rId30" xr:uid="{00000000-0004-0000-0400-00001D000000}"/>
    <hyperlink ref="E34" r:id="rId31" location="heading=h.j7kaqer2dh5p" xr:uid="{00000000-0004-0000-0400-00001E000000}"/>
    <hyperlink ref="E35" r:id="rId32" xr:uid="{00000000-0004-0000-0400-00001F000000}"/>
    <hyperlink ref="E36" r:id="rId33" location="heading=h.eb6fjlvy605" xr:uid="{00000000-0004-0000-0400-000020000000}"/>
    <hyperlink ref="E37" r:id="rId34" xr:uid="{00000000-0004-0000-0400-000021000000}"/>
    <hyperlink ref="E38" r:id="rId35" xr:uid="{00000000-0004-0000-0400-000022000000}"/>
    <hyperlink ref="E39" r:id="rId36" xr:uid="{00000000-0004-0000-0400-000023000000}"/>
    <hyperlink ref="E40" r:id="rId37" xr:uid="{00000000-0004-0000-0400-000024000000}"/>
    <hyperlink ref="E41" r:id="rId38" location="heading=h.25ed5ykm7zul" xr:uid="{00000000-0004-0000-0400-000025000000}"/>
    <hyperlink ref="E42" r:id="rId39" location="heading=h.25ed5ykm7zul" xr:uid="{00000000-0004-0000-0400-000026000000}"/>
    <hyperlink ref="E43" r:id="rId40" xr:uid="{00000000-0004-0000-0400-000027000000}"/>
    <hyperlink ref="E44" r:id="rId41" xr:uid="{00000000-0004-0000-0400-000028000000}"/>
    <hyperlink ref="E45" r:id="rId42" xr:uid="{00000000-0004-0000-0400-000029000000}"/>
    <hyperlink ref="E46" r:id="rId43" xr:uid="{00000000-0004-0000-0400-00002A000000}"/>
    <hyperlink ref="E47" r:id="rId44" xr:uid="{00000000-0004-0000-0400-00002B000000}"/>
    <hyperlink ref="E48" r:id="rId45" xr:uid="{00000000-0004-0000-0400-00002C000000}"/>
    <hyperlink ref="H48" r:id="rId46" xr:uid="{00000000-0004-0000-0400-00002D000000}"/>
    <hyperlink ref="E49" r:id="rId47" xr:uid="{00000000-0004-0000-0400-00002E000000}"/>
    <hyperlink ref="E50" r:id="rId48" location="heading=h.25ed5ykm7zul" xr:uid="{00000000-0004-0000-0400-00002F000000}"/>
    <hyperlink ref="E51" r:id="rId49" location="heading=h.25ed5ykm7zul" xr:uid="{00000000-0004-0000-0400-000030000000}"/>
    <hyperlink ref="E53" r:id="rId50" xr:uid="{00000000-0004-0000-0400-000031000000}"/>
    <hyperlink ref="E54" r:id="rId51" xr:uid="{00000000-0004-0000-0400-000032000000}"/>
    <hyperlink ref="E55" r:id="rId52" xr:uid="{00000000-0004-0000-0400-000033000000}"/>
    <hyperlink ref="E56" r:id="rId53" xr:uid="{00000000-0004-0000-0400-000034000000}"/>
    <hyperlink ref="E57" r:id="rId54" xr:uid="{00000000-0004-0000-0400-000035000000}"/>
  </hyperlinks>
  <pageMargins left="0.7" right="0.7" top="0.75" bottom="0.75" header="0.3" footer="0.3"/>
  <legacyDrawing r:id="rId55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T8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2.5703125" defaultRowHeight="15.75" customHeight="1" x14ac:dyDescent="0.2"/>
  <cols>
    <col min="1" max="20" width="14.42578125" customWidth="1"/>
  </cols>
  <sheetData>
    <row r="1" spans="1:20" x14ac:dyDescent="0.2">
      <c r="A1" s="215" t="s">
        <v>0</v>
      </c>
      <c r="B1" s="216" t="s">
        <v>35</v>
      </c>
      <c r="C1" s="216" t="s">
        <v>165</v>
      </c>
      <c r="D1" s="216" t="s">
        <v>61</v>
      </c>
      <c r="E1" s="217" t="s">
        <v>69</v>
      </c>
      <c r="F1" s="216" t="s">
        <v>80</v>
      </c>
      <c r="G1" s="217" t="s">
        <v>158</v>
      </c>
      <c r="H1" s="218" t="s">
        <v>53</v>
      </c>
      <c r="I1" s="219" t="s">
        <v>882</v>
      </c>
      <c r="J1" s="219" t="s">
        <v>883</v>
      </c>
      <c r="K1" s="219" t="s">
        <v>884</v>
      </c>
      <c r="L1" s="219" t="s">
        <v>885</v>
      </c>
      <c r="M1" s="219" t="s">
        <v>886</v>
      </c>
      <c r="N1" s="220" t="s">
        <v>53</v>
      </c>
      <c r="O1" s="221" t="s">
        <v>887</v>
      </c>
      <c r="P1" s="221" t="s">
        <v>888</v>
      </c>
      <c r="Q1" s="221" t="s">
        <v>889</v>
      </c>
      <c r="R1" s="221" t="s">
        <v>890</v>
      </c>
      <c r="S1" s="221" t="s">
        <v>891</v>
      </c>
      <c r="T1" s="222" t="s">
        <v>53</v>
      </c>
    </row>
    <row r="2" spans="1:20" x14ac:dyDescent="0.2">
      <c r="A2" s="223" t="s">
        <v>33</v>
      </c>
      <c r="B2" s="224" t="s">
        <v>33</v>
      </c>
      <c r="C2" s="193"/>
      <c r="D2" s="224" t="s">
        <v>892</v>
      </c>
      <c r="E2" s="224" t="s">
        <v>893</v>
      </c>
      <c r="F2" s="193"/>
      <c r="G2" s="193"/>
      <c r="H2" s="225"/>
      <c r="I2" s="226" t="s">
        <v>894</v>
      </c>
      <c r="J2" s="193"/>
      <c r="K2" s="227" t="s">
        <v>895</v>
      </c>
      <c r="L2" s="227" t="s">
        <v>895</v>
      </c>
      <c r="M2" s="193"/>
      <c r="N2" s="225"/>
      <c r="O2" s="228" t="s">
        <v>896</v>
      </c>
      <c r="P2" s="193"/>
      <c r="Q2" s="227" t="s">
        <v>895</v>
      </c>
      <c r="R2" s="227" t="s">
        <v>895</v>
      </c>
      <c r="S2" s="193"/>
      <c r="T2" s="225"/>
    </row>
    <row r="3" spans="1:20" x14ac:dyDescent="0.2">
      <c r="A3" s="223" t="s">
        <v>58</v>
      </c>
      <c r="B3" s="224" t="s">
        <v>48</v>
      </c>
      <c r="C3" s="193"/>
      <c r="D3" s="193"/>
      <c r="E3" s="193"/>
      <c r="F3" s="193"/>
      <c r="G3" s="193"/>
      <c r="H3" s="229" t="s">
        <v>58</v>
      </c>
      <c r="I3" s="226" t="s">
        <v>894</v>
      </c>
      <c r="J3" s="193"/>
      <c r="K3" s="193"/>
      <c r="L3" s="193"/>
      <c r="M3" s="193"/>
      <c r="N3" s="230" t="s">
        <v>894</v>
      </c>
      <c r="O3" s="231" t="s">
        <v>897</v>
      </c>
      <c r="P3" s="193"/>
      <c r="Q3" s="193"/>
      <c r="R3" s="193"/>
      <c r="S3" s="193"/>
      <c r="T3" s="232" t="s">
        <v>898</v>
      </c>
    </row>
    <row r="4" spans="1:20" x14ac:dyDescent="0.2">
      <c r="A4" s="223" t="s">
        <v>58</v>
      </c>
      <c r="B4" s="224"/>
      <c r="C4" s="193"/>
      <c r="D4" s="193"/>
      <c r="E4" s="193"/>
      <c r="F4" s="193"/>
      <c r="G4" s="193"/>
      <c r="H4" s="233" t="s">
        <v>52</v>
      </c>
      <c r="I4" s="226"/>
      <c r="J4" s="193"/>
      <c r="K4" s="193"/>
      <c r="L4" s="193"/>
      <c r="M4" s="193"/>
      <c r="N4" s="230"/>
      <c r="O4" s="231"/>
      <c r="P4" s="193"/>
      <c r="Q4" s="193"/>
      <c r="R4" s="193"/>
      <c r="S4" s="193"/>
      <c r="T4" s="232"/>
    </row>
    <row r="5" spans="1:20" x14ac:dyDescent="0.2">
      <c r="A5" s="223" t="s">
        <v>286</v>
      </c>
      <c r="B5" s="234" t="s">
        <v>286</v>
      </c>
      <c r="C5" s="193"/>
      <c r="D5" s="193"/>
      <c r="E5" s="234" t="s">
        <v>899</v>
      </c>
      <c r="F5" s="193"/>
      <c r="G5" s="193"/>
      <c r="H5" s="225"/>
      <c r="I5" s="226" t="s">
        <v>894</v>
      </c>
      <c r="J5" s="193"/>
      <c r="K5" s="193"/>
      <c r="L5" s="227" t="s">
        <v>895</v>
      </c>
      <c r="M5" s="193"/>
      <c r="N5" s="225"/>
      <c r="O5" s="228" t="s">
        <v>896</v>
      </c>
      <c r="P5" s="193"/>
      <c r="Q5" s="193"/>
      <c r="R5" s="227" t="s">
        <v>895</v>
      </c>
      <c r="S5" s="235"/>
      <c r="T5" s="225"/>
    </row>
    <row r="6" spans="1:20" x14ac:dyDescent="0.2">
      <c r="A6" s="223" t="s">
        <v>60</v>
      </c>
      <c r="B6" s="193"/>
      <c r="C6" s="193"/>
      <c r="D6" s="224" t="s">
        <v>60</v>
      </c>
      <c r="E6" s="224" t="s">
        <v>60</v>
      </c>
      <c r="F6" s="193"/>
      <c r="G6" s="193"/>
      <c r="H6" s="236" t="s">
        <v>60</v>
      </c>
      <c r="I6" s="193"/>
      <c r="J6" s="193"/>
      <c r="K6" s="227" t="s">
        <v>895</v>
      </c>
      <c r="L6" s="227" t="s">
        <v>895</v>
      </c>
      <c r="M6" s="193"/>
      <c r="N6" s="230" t="s">
        <v>894</v>
      </c>
      <c r="O6" s="193"/>
      <c r="P6" s="193"/>
      <c r="Q6" s="227" t="s">
        <v>895</v>
      </c>
      <c r="R6" s="227" t="s">
        <v>895</v>
      </c>
      <c r="S6" s="235"/>
      <c r="T6" s="232" t="s">
        <v>898</v>
      </c>
    </row>
    <row r="7" spans="1:20" x14ac:dyDescent="0.2">
      <c r="A7" s="223" t="s">
        <v>60</v>
      </c>
      <c r="B7" s="193"/>
      <c r="C7" s="193"/>
      <c r="D7" s="224"/>
      <c r="E7" s="224"/>
      <c r="F7" s="193"/>
      <c r="G7" s="193"/>
      <c r="H7" s="237" t="s">
        <v>78</v>
      </c>
      <c r="I7" s="193"/>
      <c r="J7" s="193"/>
      <c r="K7" s="227"/>
      <c r="L7" s="227"/>
      <c r="M7" s="193"/>
      <c r="N7" s="230"/>
      <c r="O7" s="193"/>
      <c r="P7" s="193"/>
      <c r="Q7" s="227"/>
      <c r="R7" s="227"/>
      <c r="S7" s="235"/>
      <c r="T7" s="232"/>
    </row>
    <row r="8" spans="1:20" x14ac:dyDescent="0.2">
      <c r="A8" s="238" t="s">
        <v>82</v>
      </c>
      <c r="B8" s="234" t="s">
        <v>82</v>
      </c>
      <c r="C8" s="193"/>
      <c r="D8" s="193"/>
      <c r="E8" s="234" t="s">
        <v>304</v>
      </c>
      <c r="F8" s="193"/>
      <c r="G8" s="193"/>
      <c r="H8" s="225"/>
      <c r="I8" s="226" t="s">
        <v>894</v>
      </c>
      <c r="J8" s="193"/>
      <c r="K8" s="193"/>
      <c r="L8" s="227" t="s">
        <v>895</v>
      </c>
      <c r="M8" s="193"/>
      <c r="N8" s="225"/>
      <c r="O8" s="228" t="s">
        <v>896</v>
      </c>
      <c r="P8" s="193"/>
      <c r="Q8" s="193"/>
      <c r="R8" s="227" t="s">
        <v>895</v>
      </c>
      <c r="S8" s="235"/>
      <c r="T8" s="225"/>
    </row>
    <row r="9" spans="1:20" x14ac:dyDescent="0.2">
      <c r="A9" s="238" t="s">
        <v>311</v>
      </c>
      <c r="B9" s="234" t="s">
        <v>311</v>
      </c>
      <c r="C9" s="193"/>
      <c r="D9" s="193"/>
      <c r="E9" s="193"/>
      <c r="F9" s="193"/>
      <c r="G9" s="193"/>
      <c r="H9" s="225"/>
      <c r="I9" s="226" t="s">
        <v>894</v>
      </c>
      <c r="J9" s="193"/>
      <c r="K9" s="193"/>
      <c r="L9" s="193"/>
      <c r="M9" s="193"/>
      <c r="N9" s="225"/>
      <c r="O9" s="239" t="s">
        <v>898</v>
      </c>
      <c r="P9" s="193"/>
      <c r="Q9" s="193"/>
      <c r="R9" s="193"/>
      <c r="S9" s="235"/>
      <c r="T9" s="225"/>
    </row>
    <row r="10" spans="1:20" x14ac:dyDescent="0.2">
      <c r="A10" s="223" t="s">
        <v>154</v>
      </c>
      <c r="B10" s="234" t="s">
        <v>154</v>
      </c>
      <c r="C10" s="193"/>
      <c r="D10" s="224">
        <v>66.562200000000004</v>
      </c>
      <c r="E10" s="224" t="s">
        <v>900</v>
      </c>
      <c r="F10" s="193"/>
      <c r="G10" s="193"/>
      <c r="H10" s="225"/>
      <c r="I10" s="226" t="s">
        <v>894</v>
      </c>
      <c r="J10" s="193"/>
      <c r="K10" s="226" t="s">
        <v>894</v>
      </c>
      <c r="L10" s="227" t="s">
        <v>895</v>
      </c>
      <c r="M10" s="193"/>
      <c r="N10" s="225"/>
      <c r="O10" s="228" t="s">
        <v>896</v>
      </c>
      <c r="P10" s="193"/>
      <c r="Q10" s="227" t="s">
        <v>895</v>
      </c>
      <c r="R10" s="227" t="s">
        <v>895</v>
      </c>
      <c r="S10" s="235"/>
      <c r="T10" s="225"/>
    </row>
    <row r="11" spans="1:20" x14ac:dyDescent="0.2">
      <c r="A11" s="223" t="s">
        <v>89</v>
      </c>
      <c r="B11" s="224" t="s">
        <v>89</v>
      </c>
      <c r="C11" s="193"/>
      <c r="D11" s="224" t="s">
        <v>202</v>
      </c>
      <c r="E11" s="193"/>
      <c r="F11" s="193"/>
      <c r="G11" s="193"/>
      <c r="H11" s="225"/>
      <c r="I11" s="226" t="s">
        <v>894</v>
      </c>
      <c r="J11" s="193"/>
      <c r="K11" s="193"/>
      <c r="L11" s="193"/>
      <c r="M11" s="193"/>
      <c r="N11" s="225"/>
      <c r="O11" s="228" t="s">
        <v>896</v>
      </c>
      <c r="P11" s="193"/>
      <c r="Q11" s="193"/>
      <c r="R11" s="193"/>
      <c r="S11" s="193"/>
      <c r="T11" s="225"/>
    </row>
    <row r="12" spans="1:20" x14ac:dyDescent="0.2">
      <c r="A12" s="223" t="s">
        <v>145</v>
      </c>
      <c r="B12" s="234" t="s">
        <v>145</v>
      </c>
      <c r="C12" s="193"/>
      <c r="D12" s="193"/>
      <c r="E12" s="234" t="s">
        <v>901</v>
      </c>
      <c r="F12" s="193"/>
      <c r="G12" s="193"/>
      <c r="H12" s="225"/>
      <c r="I12" s="226" t="s">
        <v>894</v>
      </c>
      <c r="J12" s="193"/>
      <c r="K12" s="193"/>
      <c r="L12" s="226" t="s">
        <v>894</v>
      </c>
      <c r="M12" s="193"/>
      <c r="N12" s="225"/>
      <c r="O12" s="231" t="s">
        <v>897</v>
      </c>
      <c r="P12" s="193"/>
      <c r="Q12" s="193"/>
      <c r="R12" s="231" t="s">
        <v>897</v>
      </c>
      <c r="S12" s="231" t="s">
        <v>897</v>
      </c>
      <c r="T12" s="225"/>
    </row>
    <row r="13" spans="1:20" x14ac:dyDescent="0.2">
      <c r="A13" s="223" t="s">
        <v>145</v>
      </c>
      <c r="B13" s="234"/>
      <c r="C13" s="193"/>
      <c r="D13" s="193"/>
      <c r="E13" s="240" t="s">
        <v>145</v>
      </c>
      <c r="F13" s="240" t="s">
        <v>145</v>
      </c>
      <c r="G13" s="193"/>
      <c r="H13" s="225"/>
      <c r="I13" s="226"/>
      <c r="J13" s="193"/>
      <c r="K13" s="193"/>
      <c r="L13" s="226"/>
      <c r="M13" s="193"/>
      <c r="N13" s="225"/>
      <c r="O13" s="231"/>
      <c r="P13" s="193"/>
      <c r="Q13" s="193"/>
      <c r="R13" s="231"/>
      <c r="S13" s="235"/>
      <c r="T13" s="193"/>
    </row>
    <row r="14" spans="1:20" x14ac:dyDescent="0.2">
      <c r="A14" s="223" t="s">
        <v>155</v>
      </c>
      <c r="B14" s="224" t="s">
        <v>228</v>
      </c>
      <c r="C14" s="193"/>
      <c r="D14" s="193"/>
      <c r="E14" s="224" t="s">
        <v>155</v>
      </c>
      <c r="F14" s="193"/>
      <c r="G14" s="193"/>
      <c r="H14" s="236" t="s">
        <v>229</v>
      </c>
      <c r="I14" s="226" t="s">
        <v>894</v>
      </c>
      <c r="J14" s="193"/>
      <c r="K14" s="193"/>
      <c r="L14" s="226" t="s">
        <v>894</v>
      </c>
      <c r="M14" s="193"/>
      <c r="N14" s="225"/>
      <c r="O14" s="231" t="s">
        <v>897</v>
      </c>
      <c r="P14" s="193"/>
      <c r="Q14" s="193"/>
      <c r="R14" s="231" t="s">
        <v>897</v>
      </c>
      <c r="S14" s="193"/>
      <c r="T14" s="231" t="s">
        <v>897</v>
      </c>
    </row>
    <row r="15" spans="1:20" x14ac:dyDescent="0.2">
      <c r="A15" s="223" t="s">
        <v>155</v>
      </c>
      <c r="B15" s="241" t="s">
        <v>155</v>
      </c>
      <c r="C15" s="193"/>
      <c r="D15" s="193"/>
      <c r="E15" s="224"/>
      <c r="F15" s="193"/>
      <c r="G15" s="193"/>
      <c r="H15" s="236"/>
      <c r="I15" s="226"/>
      <c r="J15" s="193"/>
      <c r="K15" s="193"/>
      <c r="L15" s="226"/>
      <c r="M15" s="193"/>
      <c r="N15" s="225"/>
      <c r="O15" s="231"/>
      <c r="P15" s="193"/>
      <c r="Q15" s="193"/>
      <c r="R15" s="231"/>
      <c r="S15" s="193"/>
      <c r="T15" s="231"/>
    </row>
    <row r="16" spans="1:20" x14ac:dyDescent="0.2">
      <c r="A16" s="223" t="s">
        <v>156</v>
      </c>
      <c r="B16" s="224" t="s">
        <v>156</v>
      </c>
      <c r="C16" s="193"/>
      <c r="D16" s="193"/>
      <c r="E16" s="193"/>
      <c r="F16" s="193"/>
      <c r="G16" s="193"/>
      <c r="H16" s="236" t="s">
        <v>156</v>
      </c>
      <c r="I16" s="226" t="s">
        <v>894</v>
      </c>
      <c r="J16" s="193"/>
      <c r="K16" s="193"/>
      <c r="L16" s="193"/>
      <c r="M16" s="193"/>
      <c r="N16" s="242" t="s">
        <v>895</v>
      </c>
      <c r="O16" s="228" t="s">
        <v>896</v>
      </c>
      <c r="P16" s="193"/>
      <c r="Q16" s="193"/>
      <c r="R16" s="193"/>
      <c r="S16" s="193"/>
      <c r="T16" s="242" t="s">
        <v>895</v>
      </c>
    </row>
    <row r="17" spans="1:20" x14ac:dyDescent="0.2">
      <c r="A17" s="223" t="s">
        <v>355</v>
      </c>
      <c r="B17" s="243"/>
      <c r="C17" s="193"/>
      <c r="D17" s="244" t="s">
        <v>902</v>
      </c>
      <c r="E17" s="193"/>
      <c r="F17" s="244" t="s">
        <v>903</v>
      </c>
      <c r="G17" s="244"/>
      <c r="H17" s="225"/>
      <c r="I17" s="193"/>
      <c r="J17" s="193"/>
      <c r="K17" s="226" t="s">
        <v>894</v>
      </c>
      <c r="L17" s="193"/>
      <c r="M17" s="226" t="s">
        <v>894</v>
      </c>
      <c r="N17" s="225"/>
      <c r="O17" s="193"/>
      <c r="P17" s="193"/>
      <c r="Q17" s="228" t="s">
        <v>896</v>
      </c>
      <c r="R17" s="193"/>
      <c r="S17" s="228" t="s">
        <v>896</v>
      </c>
      <c r="T17" s="225"/>
    </row>
    <row r="18" spans="1:20" x14ac:dyDescent="0.2">
      <c r="A18" s="223" t="s">
        <v>125</v>
      </c>
      <c r="B18" s="224" t="s">
        <v>125</v>
      </c>
      <c r="C18" s="193"/>
      <c r="D18" s="193"/>
      <c r="E18" s="193"/>
      <c r="F18" s="193"/>
      <c r="G18" s="193"/>
      <c r="H18" s="225"/>
      <c r="I18" s="226" t="s">
        <v>894</v>
      </c>
      <c r="J18" s="193"/>
      <c r="K18" s="193"/>
      <c r="L18" s="193"/>
      <c r="M18" s="193"/>
      <c r="N18" s="225"/>
      <c r="O18" s="228" t="s">
        <v>896</v>
      </c>
      <c r="P18" s="193"/>
      <c r="Q18" s="193"/>
      <c r="R18" s="193"/>
      <c r="S18" s="193"/>
      <c r="T18" s="225"/>
    </row>
    <row r="19" spans="1:20" x14ac:dyDescent="0.2">
      <c r="A19" s="223" t="s">
        <v>157</v>
      </c>
      <c r="B19" s="224" t="s">
        <v>904</v>
      </c>
      <c r="C19" s="193"/>
      <c r="D19" s="193"/>
      <c r="E19" s="193"/>
      <c r="F19" s="193"/>
      <c r="G19" s="244" t="s">
        <v>157</v>
      </c>
      <c r="H19" s="229" t="s">
        <v>157</v>
      </c>
      <c r="I19" s="227" t="s">
        <v>895</v>
      </c>
      <c r="J19" s="193"/>
      <c r="K19" s="193"/>
      <c r="L19" s="193"/>
      <c r="M19" s="193"/>
      <c r="N19" s="230" t="s">
        <v>894</v>
      </c>
      <c r="O19" s="227" t="s">
        <v>895</v>
      </c>
      <c r="P19" s="193"/>
      <c r="Q19" s="193"/>
      <c r="R19" s="193"/>
      <c r="S19" s="193"/>
      <c r="T19" s="232" t="s">
        <v>898</v>
      </c>
    </row>
    <row r="20" spans="1:20" x14ac:dyDescent="0.2">
      <c r="A20" s="223" t="s">
        <v>157</v>
      </c>
      <c r="B20" s="241" t="s">
        <v>157</v>
      </c>
      <c r="C20" s="193"/>
      <c r="D20" s="193"/>
      <c r="E20" s="193"/>
      <c r="F20" s="193"/>
      <c r="G20" s="244"/>
      <c r="H20" s="229"/>
      <c r="I20" s="227"/>
      <c r="J20" s="193"/>
      <c r="K20" s="193"/>
      <c r="L20" s="193"/>
      <c r="M20" s="193"/>
      <c r="N20" s="230"/>
      <c r="O20" s="227"/>
      <c r="P20" s="193"/>
      <c r="Q20" s="193"/>
      <c r="R20" s="193"/>
      <c r="S20" s="193"/>
      <c r="T20" s="232"/>
    </row>
    <row r="21" spans="1:20" x14ac:dyDescent="0.2">
      <c r="A21" s="223" t="s">
        <v>381</v>
      </c>
      <c r="B21" s="193"/>
      <c r="C21" s="193"/>
      <c r="D21" s="193"/>
      <c r="E21" s="224" t="s">
        <v>218</v>
      </c>
      <c r="F21" s="229" t="s">
        <v>234</v>
      </c>
      <c r="G21" s="193"/>
      <c r="H21" s="229" t="s">
        <v>234</v>
      </c>
      <c r="I21" s="193"/>
      <c r="J21" s="193"/>
      <c r="K21" s="193"/>
      <c r="L21" s="226" t="s">
        <v>894</v>
      </c>
      <c r="M21" s="193"/>
      <c r="N21" s="225"/>
      <c r="O21" s="193"/>
      <c r="P21" s="193"/>
      <c r="Q21" s="193"/>
      <c r="R21" s="228" t="s">
        <v>896</v>
      </c>
      <c r="S21" s="228" t="s">
        <v>896</v>
      </c>
      <c r="T21" s="225"/>
    </row>
    <row r="22" spans="1:20" x14ac:dyDescent="0.2">
      <c r="A22" s="223" t="s">
        <v>150</v>
      </c>
      <c r="B22" s="224" t="s">
        <v>905</v>
      </c>
      <c r="C22" s="193"/>
      <c r="D22" s="193"/>
      <c r="E22" s="224" t="s">
        <v>906</v>
      </c>
      <c r="F22" s="193"/>
      <c r="G22" s="193"/>
      <c r="H22" s="236" t="s">
        <v>150</v>
      </c>
      <c r="I22" s="227" t="s">
        <v>895</v>
      </c>
      <c r="J22" s="193"/>
      <c r="K22" s="193"/>
      <c r="L22" s="227" t="s">
        <v>895</v>
      </c>
      <c r="M22" s="193"/>
      <c r="N22" s="230" t="s">
        <v>894</v>
      </c>
      <c r="O22" s="227" t="s">
        <v>895</v>
      </c>
      <c r="P22" s="193"/>
      <c r="Q22" s="193"/>
      <c r="R22" s="227" t="s">
        <v>895</v>
      </c>
      <c r="S22" s="193"/>
      <c r="T22" s="239" t="s">
        <v>898</v>
      </c>
    </row>
    <row r="23" spans="1:20" x14ac:dyDescent="0.2">
      <c r="A23" s="223" t="s">
        <v>395</v>
      </c>
      <c r="B23" s="234" t="s">
        <v>162</v>
      </c>
      <c r="C23" s="193"/>
      <c r="D23" s="234" t="s">
        <v>395</v>
      </c>
      <c r="E23" s="224" t="s">
        <v>395</v>
      </c>
      <c r="F23" s="193"/>
      <c r="G23" s="193"/>
      <c r="H23" s="225"/>
      <c r="I23" s="227" t="s">
        <v>895</v>
      </c>
      <c r="J23" s="193"/>
      <c r="K23" s="226" t="s">
        <v>894</v>
      </c>
      <c r="L23" s="227" t="s">
        <v>895</v>
      </c>
      <c r="M23" s="193"/>
      <c r="N23" s="225"/>
      <c r="O23" s="239" t="s">
        <v>898</v>
      </c>
      <c r="P23" s="193"/>
      <c r="Q23" s="239" t="s">
        <v>898</v>
      </c>
      <c r="R23" s="227" t="s">
        <v>895</v>
      </c>
      <c r="S23" s="193"/>
      <c r="T23" s="193"/>
    </row>
    <row r="24" spans="1:20" x14ac:dyDescent="0.2">
      <c r="A24" s="223" t="s">
        <v>402</v>
      </c>
      <c r="B24" s="234" t="s">
        <v>163</v>
      </c>
      <c r="C24" s="224" t="s">
        <v>402</v>
      </c>
      <c r="D24" s="193"/>
      <c r="E24" s="243"/>
      <c r="F24" s="193"/>
      <c r="G24" s="193"/>
      <c r="H24" s="225"/>
      <c r="I24" s="226" t="s">
        <v>894</v>
      </c>
      <c r="J24" s="226" t="s">
        <v>894</v>
      </c>
      <c r="K24" s="193"/>
      <c r="L24" s="193"/>
      <c r="M24" s="193"/>
      <c r="N24" s="225"/>
      <c r="O24" s="228" t="s">
        <v>896</v>
      </c>
      <c r="P24" s="228" t="s">
        <v>896</v>
      </c>
      <c r="Q24" s="193"/>
      <c r="R24" s="193"/>
      <c r="S24" s="235"/>
      <c r="T24" s="193"/>
    </row>
    <row r="25" spans="1:20" x14ac:dyDescent="0.2">
      <c r="A25" s="223" t="s">
        <v>169</v>
      </c>
      <c r="B25" s="224" t="s">
        <v>169</v>
      </c>
      <c r="C25" s="245" t="s">
        <v>164</v>
      </c>
      <c r="D25" s="193"/>
      <c r="E25" s="245" t="s">
        <v>907</v>
      </c>
      <c r="F25" s="224" t="s">
        <v>908</v>
      </c>
      <c r="G25" s="224"/>
      <c r="H25" s="236" t="s">
        <v>908</v>
      </c>
      <c r="I25" s="226" t="s">
        <v>894</v>
      </c>
      <c r="J25" s="226" t="s">
        <v>894</v>
      </c>
      <c r="K25" s="193"/>
      <c r="L25" s="226" t="s">
        <v>894</v>
      </c>
      <c r="M25" s="226" t="s">
        <v>894</v>
      </c>
      <c r="N25" s="230" t="s">
        <v>894</v>
      </c>
      <c r="O25" s="228" t="s">
        <v>896</v>
      </c>
      <c r="P25" s="228" t="s">
        <v>896</v>
      </c>
      <c r="Q25" s="193"/>
      <c r="R25" s="228" t="s">
        <v>896</v>
      </c>
      <c r="S25" s="227" t="s">
        <v>895</v>
      </c>
      <c r="T25" s="239" t="s">
        <v>898</v>
      </c>
    </row>
    <row r="26" spans="1:20" x14ac:dyDescent="0.2">
      <c r="A26" s="223" t="s">
        <v>180</v>
      </c>
      <c r="B26" s="224" t="s">
        <v>180</v>
      </c>
      <c r="C26" s="193"/>
      <c r="D26" s="224" t="s">
        <v>180</v>
      </c>
      <c r="E26" s="193"/>
      <c r="F26" s="193"/>
      <c r="G26" s="193"/>
      <c r="H26" s="225"/>
      <c r="I26" s="226" t="s">
        <v>894</v>
      </c>
      <c r="J26" s="193"/>
      <c r="K26" s="226" t="s">
        <v>894</v>
      </c>
      <c r="L26" s="193"/>
      <c r="M26" s="193"/>
      <c r="N26" s="225"/>
      <c r="O26" s="228" t="s">
        <v>896</v>
      </c>
      <c r="P26" s="193"/>
      <c r="Q26" s="228" t="s">
        <v>896</v>
      </c>
      <c r="R26" s="193"/>
      <c r="S26" s="193"/>
      <c r="T26" s="193"/>
    </row>
    <row r="27" spans="1:20" x14ac:dyDescent="0.2">
      <c r="A27" s="223" t="s">
        <v>170</v>
      </c>
      <c r="B27" s="224" t="s">
        <v>170</v>
      </c>
      <c r="C27" s="224" t="s">
        <v>171</v>
      </c>
      <c r="D27" s="193"/>
      <c r="E27" s="193"/>
      <c r="F27" s="193"/>
      <c r="G27" s="193"/>
      <c r="H27" s="225"/>
      <c r="I27" s="226" t="s">
        <v>894</v>
      </c>
      <c r="J27" s="226" t="s">
        <v>894</v>
      </c>
      <c r="K27" s="193"/>
      <c r="L27" s="193"/>
      <c r="M27" s="193"/>
      <c r="N27" s="225"/>
      <c r="O27" s="228" t="s">
        <v>896</v>
      </c>
      <c r="P27" s="228" t="s">
        <v>896</v>
      </c>
      <c r="Q27" s="193"/>
      <c r="R27" s="193"/>
      <c r="S27" s="193"/>
      <c r="T27" s="193"/>
    </row>
    <row r="28" spans="1:20" x14ac:dyDescent="0.2">
      <c r="A28" s="223" t="s">
        <v>91</v>
      </c>
      <c r="B28" s="224" t="s">
        <v>96</v>
      </c>
      <c r="C28" s="193"/>
      <c r="D28" s="224" t="s">
        <v>91</v>
      </c>
      <c r="E28" s="193"/>
      <c r="F28" s="193"/>
      <c r="G28" s="193"/>
      <c r="H28" s="225"/>
      <c r="I28" s="226" t="s">
        <v>894</v>
      </c>
      <c r="J28" s="193"/>
      <c r="K28" s="227" t="s">
        <v>895</v>
      </c>
      <c r="L28" s="193"/>
      <c r="M28" s="193"/>
      <c r="N28" s="225"/>
      <c r="O28" s="228" t="s">
        <v>896</v>
      </c>
      <c r="P28" s="193"/>
      <c r="Q28" s="227" t="s">
        <v>895</v>
      </c>
      <c r="R28" s="193"/>
      <c r="S28" s="235"/>
      <c r="T28" s="193"/>
    </row>
    <row r="29" spans="1:20" x14ac:dyDescent="0.2">
      <c r="A29" s="223" t="s">
        <v>172</v>
      </c>
      <c r="B29" s="224" t="s">
        <v>172</v>
      </c>
      <c r="C29" s="224" t="s">
        <v>909</v>
      </c>
      <c r="D29" s="193"/>
      <c r="E29" s="193"/>
      <c r="F29" s="193"/>
      <c r="G29" s="193"/>
      <c r="H29" s="225"/>
      <c r="I29" s="226" t="s">
        <v>894</v>
      </c>
      <c r="J29" s="193"/>
      <c r="K29" s="193"/>
      <c r="L29" s="193"/>
      <c r="M29" s="193"/>
      <c r="N29" s="225"/>
      <c r="O29" s="228" t="s">
        <v>896</v>
      </c>
      <c r="P29" s="228" t="s">
        <v>896</v>
      </c>
      <c r="Q29" s="193"/>
      <c r="R29" s="193"/>
      <c r="S29" s="193"/>
      <c r="T29" s="193"/>
    </row>
    <row r="30" spans="1:20" x14ac:dyDescent="0.2">
      <c r="A30" s="238" t="s">
        <v>447</v>
      </c>
      <c r="B30" s="234" t="s">
        <v>447</v>
      </c>
      <c r="C30" s="193"/>
      <c r="D30" s="234" t="s">
        <v>910</v>
      </c>
      <c r="E30" s="234" t="s">
        <v>911</v>
      </c>
      <c r="F30" s="193"/>
      <c r="G30" s="193"/>
      <c r="H30" s="225"/>
      <c r="I30" s="227" t="s">
        <v>895</v>
      </c>
      <c r="J30" s="193"/>
      <c r="K30" s="226" t="s">
        <v>894</v>
      </c>
      <c r="L30" s="227" t="s">
        <v>895</v>
      </c>
      <c r="M30" s="193"/>
      <c r="N30" s="225"/>
      <c r="O30" s="227" t="s">
        <v>895</v>
      </c>
      <c r="P30" s="193"/>
      <c r="Q30" s="231" t="s">
        <v>897</v>
      </c>
      <c r="R30" s="227" t="s">
        <v>895</v>
      </c>
      <c r="S30" s="235"/>
      <c r="T30" s="193"/>
    </row>
    <row r="31" spans="1:20" x14ac:dyDescent="0.2">
      <c r="A31" s="238" t="s">
        <v>447</v>
      </c>
      <c r="B31" s="240" t="s">
        <v>66</v>
      </c>
      <c r="C31" s="193"/>
      <c r="D31" s="240" t="s">
        <v>66</v>
      </c>
      <c r="E31" s="234"/>
      <c r="F31" s="193"/>
      <c r="G31" s="193"/>
      <c r="H31" s="225"/>
      <c r="I31" s="227"/>
      <c r="J31" s="193"/>
      <c r="K31" s="226"/>
      <c r="L31" s="227"/>
      <c r="M31" s="193"/>
      <c r="N31" s="225"/>
      <c r="O31" s="227"/>
      <c r="P31" s="193"/>
      <c r="Q31" s="231" t="s">
        <v>897</v>
      </c>
      <c r="R31" s="227"/>
      <c r="S31" s="235"/>
      <c r="T31" s="193"/>
    </row>
    <row r="32" spans="1:20" x14ac:dyDescent="0.2">
      <c r="A32" s="238" t="s">
        <v>447</v>
      </c>
      <c r="B32" s="234"/>
      <c r="C32" s="193"/>
      <c r="D32" s="246" t="s">
        <v>95</v>
      </c>
      <c r="E32" s="234"/>
      <c r="F32" s="193"/>
      <c r="G32" s="193"/>
      <c r="H32" s="225"/>
      <c r="I32" s="227"/>
      <c r="J32" s="193"/>
      <c r="K32" s="226"/>
      <c r="L32" s="227"/>
      <c r="M32" s="193"/>
      <c r="N32" s="225"/>
      <c r="O32" s="227"/>
      <c r="P32" s="193"/>
      <c r="Q32" s="231" t="s">
        <v>897</v>
      </c>
      <c r="R32" s="227"/>
      <c r="S32" s="235"/>
      <c r="T32" s="193"/>
    </row>
    <row r="33" spans="1:20" x14ac:dyDescent="0.2">
      <c r="A33" s="223" t="s">
        <v>152</v>
      </c>
      <c r="B33" s="234" t="s">
        <v>152</v>
      </c>
      <c r="C33" s="193"/>
      <c r="D33" s="193"/>
      <c r="E33" s="193"/>
      <c r="F33" s="224" t="s">
        <v>152</v>
      </c>
      <c r="G33" s="224"/>
      <c r="H33" s="225"/>
      <c r="I33" s="226" t="s">
        <v>894</v>
      </c>
      <c r="J33" s="193"/>
      <c r="K33" s="193"/>
      <c r="L33" s="193"/>
      <c r="M33" s="193"/>
      <c r="N33" s="225"/>
      <c r="O33" s="247" t="s">
        <v>912</v>
      </c>
      <c r="P33" s="193"/>
      <c r="Q33" s="193"/>
      <c r="R33" s="193"/>
      <c r="S33" s="235"/>
      <c r="T33" s="193"/>
    </row>
    <row r="34" spans="1:20" x14ac:dyDescent="0.2">
      <c r="A34" s="238" t="s">
        <v>456</v>
      </c>
      <c r="B34" s="224" t="s">
        <v>221</v>
      </c>
      <c r="C34" s="224" t="s">
        <v>913</v>
      </c>
      <c r="D34" s="224" t="s">
        <v>110</v>
      </c>
      <c r="E34" s="224" t="s">
        <v>914</v>
      </c>
      <c r="F34" s="224" t="s">
        <v>915</v>
      </c>
      <c r="G34" s="224"/>
      <c r="H34" s="225"/>
      <c r="I34" s="227" t="s">
        <v>895</v>
      </c>
      <c r="J34" s="227" t="s">
        <v>895</v>
      </c>
      <c r="K34" s="226" t="s">
        <v>894</v>
      </c>
      <c r="L34" s="227" t="s">
        <v>895</v>
      </c>
      <c r="M34" s="227" t="s">
        <v>895</v>
      </c>
      <c r="N34" s="225"/>
      <c r="O34" s="227" t="s">
        <v>895</v>
      </c>
      <c r="P34" s="227" t="s">
        <v>895</v>
      </c>
      <c r="Q34" s="239" t="s">
        <v>898</v>
      </c>
      <c r="R34" s="227" t="s">
        <v>895</v>
      </c>
      <c r="S34" s="227" t="s">
        <v>895</v>
      </c>
      <c r="T34" s="193"/>
    </row>
    <row r="35" spans="1:20" x14ac:dyDescent="0.2">
      <c r="A35" s="238" t="s">
        <v>456</v>
      </c>
      <c r="B35" s="224"/>
      <c r="C35" s="224"/>
      <c r="D35" s="241" t="s">
        <v>129</v>
      </c>
      <c r="E35" s="224"/>
      <c r="F35" s="224"/>
      <c r="G35" s="224"/>
      <c r="H35" s="225"/>
      <c r="I35" s="227"/>
      <c r="J35" s="227"/>
      <c r="K35" s="226"/>
      <c r="L35" s="227"/>
      <c r="M35" s="227"/>
      <c r="N35" s="225"/>
      <c r="O35" s="227"/>
      <c r="P35" s="227"/>
      <c r="Q35" s="239"/>
      <c r="R35" s="227"/>
      <c r="S35" s="227"/>
      <c r="T35" s="193"/>
    </row>
    <row r="36" spans="1:20" x14ac:dyDescent="0.2">
      <c r="A36" s="223" t="s">
        <v>466</v>
      </c>
      <c r="B36" s="224" t="s">
        <v>466</v>
      </c>
      <c r="C36" s="224" t="s">
        <v>916</v>
      </c>
      <c r="D36" s="193"/>
      <c r="E36" s="224" t="s">
        <v>917</v>
      </c>
      <c r="F36" s="224" t="s">
        <v>118</v>
      </c>
      <c r="G36" s="224"/>
      <c r="H36" s="225"/>
      <c r="I36" s="226" t="s">
        <v>894</v>
      </c>
      <c r="J36" s="226" t="s">
        <v>894</v>
      </c>
      <c r="K36" s="193"/>
      <c r="L36" s="226" t="s">
        <v>894</v>
      </c>
      <c r="M36" s="226" t="s">
        <v>894</v>
      </c>
      <c r="N36" s="225"/>
      <c r="O36" s="228" t="s">
        <v>896</v>
      </c>
      <c r="P36" s="227" t="s">
        <v>895</v>
      </c>
      <c r="Q36" s="193"/>
      <c r="R36" s="228" t="s">
        <v>896</v>
      </c>
      <c r="S36" s="228" t="s">
        <v>896</v>
      </c>
      <c r="T36" s="193"/>
    </row>
    <row r="37" spans="1:20" x14ac:dyDescent="0.2">
      <c r="A37" s="223" t="s">
        <v>473</v>
      </c>
      <c r="B37" s="224" t="s">
        <v>918</v>
      </c>
      <c r="C37" s="193"/>
      <c r="D37" s="193"/>
      <c r="E37" s="224" t="s">
        <v>919</v>
      </c>
      <c r="F37" s="193"/>
      <c r="G37" s="193"/>
      <c r="H37" s="225"/>
      <c r="I37" s="226" t="s">
        <v>894</v>
      </c>
      <c r="J37" s="193"/>
      <c r="K37" s="193"/>
      <c r="L37" s="227" t="s">
        <v>895</v>
      </c>
      <c r="M37" s="193"/>
      <c r="N37" s="225"/>
      <c r="O37" s="228" t="s">
        <v>896</v>
      </c>
      <c r="P37" s="193"/>
      <c r="Q37" s="193"/>
      <c r="R37" s="227" t="s">
        <v>895</v>
      </c>
      <c r="S37" s="235"/>
      <c r="T37" s="193"/>
    </row>
    <row r="38" spans="1:20" x14ac:dyDescent="0.2">
      <c r="A38" s="223" t="s">
        <v>473</v>
      </c>
      <c r="B38" s="224"/>
      <c r="C38" s="193"/>
      <c r="D38" s="193"/>
      <c r="E38" s="248" t="s">
        <v>121</v>
      </c>
      <c r="F38" s="193"/>
      <c r="G38" s="193"/>
      <c r="H38" s="225"/>
      <c r="I38" s="226"/>
      <c r="J38" s="193"/>
      <c r="K38" s="193"/>
      <c r="L38" s="227"/>
      <c r="M38" s="193"/>
      <c r="N38" s="225"/>
      <c r="O38" s="228"/>
      <c r="P38" s="193"/>
      <c r="Q38" s="193"/>
      <c r="R38" s="227"/>
      <c r="S38" s="235"/>
      <c r="T38" s="193"/>
    </row>
    <row r="39" spans="1:20" x14ac:dyDescent="0.2">
      <c r="A39" s="223" t="s">
        <v>473</v>
      </c>
      <c r="B39" s="224"/>
      <c r="C39" s="193"/>
      <c r="D39" s="193"/>
      <c r="E39" s="248" t="s">
        <v>119</v>
      </c>
      <c r="F39" s="193"/>
      <c r="G39" s="193"/>
      <c r="H39" s="225"/>
      <c r="I39" s="226"/>
      <c r="J39" s="193"/>
      <c r="K39" s="193"/>
      <c r="L39" s="227"/>
      <c r="M39" s="193"/>
      <c r="N39" s="225"/>
      <c r="O39" s="228"/>
      <c r="P39" s="193"/>
      <c r="Q39" s="193"/>
      <c r="R39" s="227"/>
      <c r="S39" s="235"/>
      <c r="T39" s="193"/>
    </row>
    <row r="40" spans="1:20" x14ac:dyDescent="0.2">
      <c r="A40" s="223" t="s">
        <v>175</v>
      </c>
      <c r="B40" s="234" t="s">
        <v>175</v>
      </c>
      <c r="C40" s="224" t="s">
        <v>176</v>
      </c>
      <c r="D40" s="234" t="s">
        <v>175</v>
      </c>
      <c r="E40" s="224" t="s">
        <v>920</v>
      </c>
      <c r="F40" s="234" t="s">
        <v>921</v>
      </c>
      <c r="G40" s="234"/>
      <c r="H40" s="225"/>
      <c r="I40" s="226" t="s">
        <v>894</v>
      </c>
      <c r="J40" s="227" t="s">
        <v>895</v>
      </c>
      <c r="K40" s="227" t="s">
        <v>895</v>
      </c>
      <c r="L40" s="227" t="s">
        <v>895</v>
      </c>
      <c r="M40" s="227" t="s">
        <v>895</v>
      </c>
      <c r="N40" s="225"/>
      <c r="O40" s="231" t="s">
        <v>897</v>
      </c>
      <c r="P40" s="193"/>
      <c r="Q40" s="193"/>
      <c r="R40" s="193"/>
      <c r="S40" s="235"/>
      <c r="T40" s="193"/>
    </row>
    <row r="41" spans="1:20" x14ac:dyDescent="0.2">
      <c r="A41" s="223" t="s">
        <v>178</v>
      </c>
      <c r="B41" s="234" t="s">
        <v>178</v>
      </c>
      <c r="C41" s="193"/>
      <c r="D41" s="234" t="s">
        <v>922</v>
      </c>
      <c r="E41" s="234" t="s">
        <v>178</v>
      </c>
      <c r="F41" s="193"/>
      <c r="G41" s="193"/>
      <c r="H41" s="225"/>
      <c r="I41" s="226" t="s">
        <v>894</v>
      </c>
      <c r="J41" s="193"/>
      <c r="K41" s="227" t="s">
        <v>895</v>
      </c>
      <c r="L41" s="227" t="s">
        <v>895</v>
      </c>
      <c r="M41" s="193"/>
      <c r="N41" s="225"/>
      <c r="O41" s="228" t="s">
        <v>896</v>
      </c>
      <c r="P41" s="193"/>
      <c r="Q41" s="227" t="s">
        <v>895</v>
      </c>
      <c r="R41" s="227" t="s">
        <v>895</v>
      </c>
      <c r="S41" s="235"/>
      <c r="T41" s="193"/>
    </row>
    <row r="42" spans="1:20" x14ac:dyDescent="0.2">
      <c r="A42" s="223" t="s">
        <v>102</v>
      </c>
      <c r="B42" s="224" t="s">
        <v>102</v>
      </c>
      <c r="C42" s="193"/>
      <c r="D42" s="224" t="s">
        <v>97</v>
      </c>
      <c r="E42" s="234" t="s">
        <v>219</v>
      </c>
      <c r="F42" s="224" t="s">
        <v>97</v>
      </c>
      <c r="G42" s="224"/>
      <c r="H42" s="225"/>
      <c r="I42" s="226" t="s">
        <v>894</v>
      </c>
      <c r="J42" s="193"/>
      <c r="K42" s="226" t="s">
        <v>894</v>
      </c>
      <c r="L42" s="193"/>
      <c r="M42" s="226" t="s">
        <v>894</v>
      </c>
      <c r="N42" s="225"/>
      <c r="O42" s="228" t="s">
        <v>896</v>
      </c>
      <c r="P42" s="193"/>
      <c r="Q42" s="228" t="s">
        <v>896</v>
      </c>
      <c r="R42" s="228" t="s">
        <v>896</v>
      </c>
      <c r="S42" s="228" t="s">
        <v>896</v>
      </c>
      <c r="T42" s="193"/>
    </row>
    <row r="43" spans="1:20" x14ac:dyDescent="0.2">
      <c r="A43" s="223" t="s">
        <v>102</v>
      </c>
      <c r="B43" s="224"/>
      <c r="C43" s="193"/>
      <c r="D43" s="248" t="s">
        <v>107</v>
      </c>
      <c r="E43" s="234"/>
      <c r="F43" s="224" t="s">
        <v>102</v>
      </c>
      <c r="G43" s="224"/>
      <c r="H43" s="225"/>
      <c r="I43" s="226"/>
      <c r="J43" s="193"/>
      <c r="K43" s="226"/>
      <c r="L43" s="193"/>
      <c r="M43" s="226"/>
      <c r="N43" s="225"/>
      <c r="O43" s="228"/>
      <c r="P43" s="193"/>
      <c r="Q43" s="228"/>
      <c r="R43" s="228"/>
      <c r="S43" s="228"/>
      <c r="T43" s="193"/>
    </row>
    <row r="44" spans="1:20" x14ac:dyDescent="0.2">
      <c r="A44" s="223" t="s">
        <v>102</v>
      </c>
      <c r="B44" s="224"/>
      <c r="C44" s="193"/>
      <c r="D44" s="248" t="s">
        <v>103</v>
      </c>
      <c r="E44" s="234"/>
      <c r="F44" s="224"/>
      <c r="G44" s="224"/>
      <c r="H44" s="225"/>
      <c r="I44" s="226"/>
      <c r="J44" s="193"/>
      <c r="K44" s="226"/>
      <c r="L44" s="193"/>
      <c r="M44" s="226"/>
      <c r="N44" s="225"/>
      <c r="O44" s="228"/>
      <c r="P44" s="193"/>
      <c r="Q44" s="228" t="s">
        <v>896</v>
      </c>
      <c r="R44" s="228"/>
      <c r="S44" s="228"/>
      <c r="T44" s="193"/>
    </row>
    <row r="45" spans="1:20" x14ac:dyDescent="0.2">
      <c r="A45" s="223" t="s">
        <v>127</v>
      </c>
      <c r="B45" s="193"/>
      <c r="C45" s="193"/>
      <c r="D45" s="224" t="s">
        <v>128</v>
      </c>
      <c r="E45" s="193"/>
      <c r="F45" s="193"/>
      <c r="G45" s="193"/>
      <c r="H45" s="225" t="s">
        <v>127</v>
      </c>
      <c r="I45" s="193"/>
      <c r="J45" s="193"/>
      <c r="K45" s="226" t="s">
        <v>894</v>
      </c>
      <c r="L45" s="193"/>
      <c r="M45" s="193"/>
      <c r="N45" s="225"/>
      <c r="O45" s="193"/>
      <c r="P45" s="193"/>
      <c r="Q45" s="231" t="s">
        <v>897</v>
      </c>
      <c r="R45" s="193"/>
      <c r="S45" s="193"/>
      <c r="T45" s="193"/>
    </row>
    <row r="46" spans="1:20" x14ac:dyDescent="0.2">
      <c r="A46" s="223" t="s">
        <v>127</v>
      </c>
      <c r="B46" s="193"/>
      <c r="C46" s="193"/>
      <c r="D46" s="241" t="s">
        <v>127</v>
      </c>
      <c r="E46" s="193"/>
      <c r="F46" s="193"/>
      <c r="G46" s="193"/>
      <c r="H46" s="225"/>
      <c r="I46" s="193"/>
      <c r="J46" s="193"/>
      <c r="K46" s="226"/>
      <c r="L46" s="193"/>
      <c r="M46" s="193"/>
      <c r="N46" s="225"/>
      <c r="O46" s="193"/>
      <c r="P46" s="193"/>
      <c r="Q46" s="231"/>
      <c r="R46" s="193"/>
      <c r="S46" s="193"/>
      <c r="T46" s="193"/>
    </row>
    <row r="47" spans="1:20" x14ac:dyDescent="0.2">
      <c r="A47" s="223" t="s">
        <v>508</v>
      </c>
      <c r="B47" s="234" t="s">
        <v>508</v>
      </c>
      <c r="C47" s="193"/>
      <c r="D47" s="193"/>
      <c r="E47" s="234" t="s">
        <v>508</v>
      </c>
      <c r="F47" s="224" t="s">
        <v>186</v>
      </c>
      <c r="G47" s="224"/>
      <c r="H47" s="225"/>
      <c r="I47" s="226" t="s">
        <v>894</v>
      </c>
      <c r="J47" s="193"/>
      <c r="K47" s="193"/>
      <c r="L47" s="227" t="s">
        <v>895</v>
      </c>
      <c r="M47" s="227" t="s">
        <v>895</v>
      </c>
      <c r="N47" s="225"/>
      <c r="O47" s="228" t="s">
        <v>896</v>
      </c>
      <c r="P47" s="193"/>
      <c r="Q47" s="193"/>
      <c r="R47" s="227" t="s">
        <v>895</v>
      </c>
      <c r="S47" s="228" t="s">
        <v>896</v>
      </c>
      <c r="T47" s="193"/>
    </row>
    <row r="48" spans="1:20" x14ac:dyDescent="0.2">
      <c r="A48" s="223" t="s">
        <v>508</v>
      </c>
      <c r="B48" s="234"/>
      <c r="C48" s="193"/>
      <c r="D48" s="193"/>
      <c r="E48" s="234"/>
      <c r="F48" s="241" t="s">
        <v>185</v>
      </c>
      <c r="G48" s="224"/>
      <c r="H48" s="225"/>
      <c r="I48" s="226"/>
      <c r="J48" s="193"/>
      <c r="K48" s="193"/>
      <c r="L48" s="227"/>
      <c r="M48" s="227"/>
      <c r="N48" s="225"/>
      <c r="O48" s="228"/>
      <c r="P48" s="193"/>
      <c r="Q48" s="193"/>
      <c r="R48" s="227"/>
      <c r="S48" s="228"/>
      <c r="T48" s="193"/>
    </row>
    <row r="49" spans="1:20" x14ac:dyDescent="0.2">
      <c r="A49" s="223" t="s">
        <v>508</v>
      </c>
      <c r="B49" s="234"/>
      <c r="C49" s="193"/>
      <c r="D49" s="193"/>
      <c r="E49" s="234"/>
      <c r="F49" s="241" t="s">
        <v>187</v>
      </c>
      <c r="G49" s="241"/>
      <c r="H49" s="225"/>
      <c r="I49" s="249"/>
      <c r="J49" s="193"/>
      <c r="K49" s="193"/>
      <c r="L49" s="249"/>
      <c r="M49" s="226" t="s">
        <v>894</v>
      </c>
      <c r="N49" s="225"/>
      <c r="O49" s="250"/>
      <c r="P49" s="193"/>
      <c r="Q49" s="193"/>
      <c r="R49" s="249"/>
      <c r="S49" s="228" t="s">
        <v>896</v>
      </c>
      <c r="T49" s="193"/>
    </row>
    <row r="50" spans="1:20" x14ac:dyDescent="0.2">
      <c r="A50" s="223" t="s">
        <v>231</v>
      </c>
      <c r="B50" s="193"/>
      <c r="C50" s="193"/>
      <c r="D50" s="193"/>
      <c r="E50" s="193"/>
      <c r="F50" s="251" t="s">
        <v>231</v>
      </c>
      <c r="G50" s="251"/>
      <c r="H50" s="225"/>
      <c r="I50" s="193"/>
      <c r="J50" s="193"/>
      <c r="K50" s="193"/>
      <c r="L50" s="193"/>
      <c r="M50" s="226" t="s">
        <v>894</v>
      </c>
      <c r="N50" s="225"/>
      <c r="O50" s="193"/>
      <c r="P50" s="193"/>
      <c r="Q50" s="193"/>
      <c r="R50" s="193"/>
      <c r="S50" s="231" t="s">
        <v>897</v>
      </c>
      <c r="T50" s="193"/>
    </row>
    <row r="51" spans="1:20" x14ac:dyDescent="0.2">
      <c r="A51" s="223" t="s">
        <v>231</v>
      </c>
      <c r="B51" s="193"/>
      <c r="C51" s="193"/>
      <c r="D51" s="193"/>
      <c r="E51" s="193"/>
      <c r="F51" s="252" t="s">
        <v>923</v>
      </c>
      <c r="G51" s="251"/>
      <c r="H51" s="225"/>
      <c r="I51" s="193"/>
      <c r="J51" s="193"/>
      <c r="K51" s="193"/>
      <c r="L51" s="193"/>
      <c r="M51" s="226"/>
      <c r="N51" s="225"/>
      <c r="O51" s="193"/>
      <c r="P51" s="193"/>
      <c r="Q51" s="193"/>
      <c r="R51" s="193"/>
      <c r="S51" s="231"/>
      <c r="T51" s="193"/>
    </row>
    <row r="52" spans="1:20" x14ac:dyDescent="0.2">
      <c r="A52" s="223" t="s">
        <v>113</v>
      </c>
      <c r="B52" s="224" t="s">
        <v>113</v>
      </c>
      <c r="C52" s="193"/>
      <c r="D52" s="193"/>
      <c r="E52" s="193"/>
      <c r="F52" s="193"/>
      <c r="G52" s="193"/>
      <c r="H52" s="225"/>
      <c r="I52" s="226" t="s">
        <v>894</v>
      </c>
      <c r="J52" s="193"/>
      <c r="K52" s="193"/>
      <c r="L52" s="193"/>
      <c r="M52" s="193"/>
      <c r="N52" s="225"/>
      <c r="O52" s="228" t="s">
        <v>896</v>
      </c>
      <c r="P52" s="193"/>
      <c r="Q52" s="193"/>
      <c r="R52" s="193"/>
      <c r="S52" s="235"/>
      <c r="T52" s="193"/>
    </row>
    <row r="53" spans="1:20" x14ac:dyDescent="0.2">
      <c r="A53" s="223" t="s">
        <v>144</v>
      </c>
      <c r="B53" s="224" t="s">
        <v>144</v>
      </c>
      <c r="C53" s="193"/>
      <c r="D53" s="193"/>
      <c r="E53" s="193"/>
      <c r="F53" s="193"/>
      <c r="G53" s="193"/>
      <c r="H53" s="229" t="s">
        <v>144</v>
      </c>
      <c r="I53" s="226" t="s">
        <v>894</v>
      </c>
      <c r="J53" s="193"/>
      <c r="K53" s="193"/>
      <c r="L53" s="193"/>
      <c r="M53" s="193"/>
      <c r="N53" s="242" t="s">
        <v>895</v>
      </c>
      <c r="O53" s="231" t="s">
        <v>897</v>
      </c>
      <c r="P53" s="193"/>
      <c r="Q53" s="193"/>
      <c r="R53" s="193"/>
      <c r="S53" s="193"/>
      <c r="T53" s="227" t="s">
        <v>895</v>
      </c>
    </row>
    <row r="54" spans="1:20" x14ac:dyDescent="0.2">
      <c r="A54" s="223" t="s">
        <v>188</v>
      </c>
      <c r="B54" s="253" t="s">
        <v>188</v>
      </c>
      <c r="C54" s="193"/>
      <c r="D54" s="193"/>
      <c r="E54" s="193"/>
      <c r="F54" s="224" t="s">
        <v>924</v>
      </c>
      <c r="G54" s="224"/>
      <c r="H54" s="225"/>
      <c r="I54" s="226" t="s">
        <v>894</v>
      </c>
      <c r="J54" s="193"/>
      <c r="K54" s="193"/>
      <c r="L54" s="193"/>
      <c r="M54" s="227" t="s">
        <v>895</v>
      </c>
      <c r="N54" s="225"/>
      <c r="O54" s="228" t="s">
        <v>896</v>
      </c>
      <c r="P54" s="193"/>
      <c r="Q54" s="193"/>
      <c r="R54" s="193"/>
      <c r="S54" s="228" t="s">
        <v>896</v>
      </c>
      <c r="T54" s="193"/>
    </row>
    <row r="55" spans="1:20" x14ac:dyDescent="0.2">
      <c r="A55" s="223" t="s">
        <v>189</v>
      </c>
      <c r="B55" s="224" t="s">
        <v>189</v>
      </c>
      <c r="C55" s="193"/>
      <c r="D55" s="193"/>
      <c r="E55" s="193"/>
      <c r="F55" s="224" t="s">
        <v>189</v>
      </c>
      <c r="G55" s="224"/>
      <c r="H55" s="236" t="s">
        <v>189</v>
      </c>
      <c r="I55" s="227" t="s">
        <v>895</v>
      </c>
      <c r="J55" s="193"/>
      <c r="K55" s="193"/>
      <c r="L55" s="193"/>
      <c r="M55" s="226" t="s">
        <v>894</v>
      </c>
      <c r="N55" s="230" t="s">
        <v>894</v>
      </c>
      <c r="O55" s="227" t="s">
        <v>895</v>
      </c>
      <c r="P55" s="193"/>
      <c r="Q55" s="193"/>
      <c r="R55" s="193"/>
      <c r="S55" s="231" t="s">
        <v>897</v>
      </c>
      <c r="T55" s="239" t="s">
        <v>898</v>
      </c>
    </row>
    <row r="56" spans="1:20" x14ac:dyDescent="0.2">
      <c r="A56" s="223" t="s">
        <v>191</v>
      </c>
      <c r="B56" s="234" t="s">
        <v>191</v>
      </c>
      <c r="C56" s="193"/>
      <c r="D56" s="193"/>
      <c r="E56" s="243"/>
      <c r="F56" s="254" t="s">
        <v>193</v>
      </c>
      <c r="G56" s="254"/>
      <c r="H56" s="225"/>
      <c r="I56" s="227" t="s">
        <v>895</v>
      </c>
      <c r="J56" s="193"/>
      <c r="K56" s="193"/>
      <c r="L56" s="193"/>
      <c r="M56" s="226" t="s">
        <v>894</v>
      </c>
      <c r="N56" s="225"/>
      <c r="O56" s="227" t="s">
        <v>895</v>
      </c>
      <c r="P56" s="193"/>
      <c r="Q56" s="193"/>
      <c r="R56" s="193"/>
      <c r="S56" s="228" t="s">
        <v>896</v>
      </c>
      <c r="T56" s="193"/>
    </row>
    <row r="57" spans="1:20" x14ac:dyDescent="0.2">
      <c r="A57" s="223" t="s">
        <v>191</v>
      </c>
      <c r="B57" s="234"/>
      <c r="C57" s="193"/>
      <c r="D57" s="193"/>
      <c r="E57" s="243"/>
      <c r="F57" s="255" t="s">
        <v>194</v>
      </c>
      <c r="G57" s="254"/>
      <c r="H57" s="225"/>
      <c r="I57" s="227"/>
      <c r="J57" s="193"/>
      <c r="K57" s="193"/>
      <c r="L57" s="193"/>
      <c r="M57" s="226"/>
      <c r="N57" s="225"/>
      <c r="O57" s="227"/>
      <c r="P57" s="193"/>
      <c r="Q57" s="193"/>
      <c r="R57" s="193"/>
      <c r="S57" s="228"/>
      <c r="T57" s="193"/>
    </row>
    <row r="58" spans="1:20" x14ac:dyDescent="0.2">
      <c r="A58" s="223" t="s">
        <v>561</v>
      </c>
      <c r="B58" s="224" t="s">
        <v>79</v>
      </c>
      <c r="C58" s="224" t="s">
        <v>925</v>
      </c>
      <c r="D58" s="224" t="s">
        <v>926</v>
      </c>
      <c r="E58" s="224" t="s">
        <v>927</v>
      </c>
      <c r="F58" s="224" t="s">
        <v>79</v>
      </c>
      <c r="G58" s="224"/>
      <c r="H58" s="225"/>
      <c r="I58" s="227" t="s">
        <v>895</v>
      </c>
      <c r="J58" s="227" t="s">
        <v>895</v>
      </c>
      <c r="K58" s="227" t="s">
        <v>895</v>
      </c>
      <c r="L58" s="227" t="s">
        <v>895</v>
      </c>
      <c r="M58" s="226" t="s">
        <v>894</v>
      </c>
      <c r="N58" s="225"/>
      <c r="O58" s="227" t="s">
        <v>895</v>
      </c>
      <c r="P58" s="227" t="s">
        <v>895</v>
      </c>
      <c r="Q58" s="227" t="s">
        <v>895</v>
      </c>
      <c r="R58" s="227" t="s">
        <v>895</v>
      </c>
      <c r="S58" s="239" t="s">
        <v>898</v>
      </c>
      <c r="T58" s="193"/>
    </row>
    <row r="59" spans="1:20" x14ac:dyDescent="0.2">
      <c r="A59" s="223" t="s">
        <v>195</v>
      </c>
      <c r="B59" s="224" t="s">
        <v>195</v>
      </c>
      <c r="C59" s="224" t="s">
        <v>928</v>
      </c>
      <c r="D59" s="224" t="s">
        <v>929</v>
      </c>
      <c r="E59" s="224" t="s">
        <v>196</v>
      </c>
      <c r="F59" s="193"/>
      <c r="G59" s="193"/>
      <c r="H59" s="225"/>
      <c r="I59" s="226" t="s">
        <v>894</v>
      </c>
      <c r="J59" s="226" t="s">
        <v>894</v>
      </c>
      <c r="K59" s="227" t="s">
        <v>895</v>
      </c>
      <c r="L59" s="227" t="s">
        <v>895</v>
      </c>
      <c r="M59" s="193"/>
      <c r="N59" s="225"/>
      <c r="O59" s="228" t="s">
        <v>896</v>
      </c>
      <c r="P59" s="228" t="s">
        <v>896</v>
      </c>
      <c r="Q59" s="227" t="s">
        <v>895</v>
      </c>
      <c r="R59" s="227" t="s">
        <v>895</v>
      </c>
      <c r="S59" s="193"/>
      <c r="T59" s="193"/>
    </row>
    <row r="60" spans="1:20" x14ac:dyDescent="0.2">
      <c r="A60" s="223" t="s">
        <v>232</v>
      </c>
      <c r="B60" s="224" t="s">
        <v>232</v>
      </c>
      <c r="C60" s="193"/>
      <c r="D60" s="193"/>
      <c r="E60" s="224" t="s">
        <v>232</v>
      </c>
      <c r="F60" s="193"/>
      <c r="G60" s="193"/>
      <c r="H60" s="233" t="s">
        <v>198</v>
      </c>
      <c r="I60" s="226" t="s">
        <v>894</v>
      </c>
      <c r="J60" s="193"/>
      <c r="K60" s="193"/>
      <c r="L60" s="227" t="s">
        <v>895</v>
      </c>
      <c r="M60" s="193"/>
      <c r="N60" s="230" t="s">
        <v>894</v>
      </c>
      <c r="O60" s="239" t="s">
        <v>898</v>
      </c>
      <c r="P60" s="193"/>
      <c r="Q60" s="193"/>
      <c r="R60" s="227" t="s">
        <v>895</v>
      </c>
      <c r="S60" s="193"/>
      <c r="T60" s="231" t="s">
        <v>897</v>
      </c>
    </row>
    <row r="61" spans="1:20" x14ac:dyDescent="0.2">
      <c r="A61" s="223" t="s">
        <v>232</v>
      </c>
      <c r="B61" s="241" t="s">
        <v>198</v>
      </c>
      <c r="C61" s="193"/>
      <c r="D61" s="193"/>
      <c r="E61" s="224"/>
      <c r="F61" s="193"/>
      <c r="G61" s="193"/>
      <c r="H61" s="233"/>
      <c r="I61" s="226"/>
      <c r="J61" s="193"/>
      <c r="K61" s="193"/>
      <c r="L61" s="227"/>
      <c r="M61" s="193"/>
      <c r="N61" s="230"/>
      <c r="O61" s="239"/>
      <c r="P61" s="193"/>
      <c r="Q61" s="193"/>
      <c r="R61" s="227"/>
      <c r="S61" s="193"/>
      <c r="T61" s="231"/>
    </row>
    <row r="62" spans="1:20" x14ac:dyDescent="0.2">
      <c r="A62" s="223" t="s">
        <v>124</v>
      </c>
      <c r="B62" s="224" t="s">
        <v>124</v>
      </c>
      <c r="C62" s="224" t="s">
        <v>930</v>
      </c>
      <c r="D62" s="193"/>
      <c r="E62" s="193"/>
      <c r="F62" s="224" t="s">
        <v>239</v>
      </c>
      <c r="G62" s="224"/>
      <c r="H62" s="225"/>
      <c r="I62" s="226" t="s">
        <v>894</v>
      </c>
      <c r="J62" s="227" t="s">
        <v>895</v>
      </c>
      <c r="K62" s="193"/>
      <c r="L62" s="193"/>
      <c r="M62" s="227" t="s">
        <v>895</v>
      </c>
      <c r="N62" s="225"/>
      <c r="O62" s="228" t="s">
        <v>896</v>
      </c>
      <c r="P62" s="227" t="s">
        <v>895</v>
      </c>
      <c r="Q62" s="193"/>
      <c r="R62" s="193"/>
      <c r="S62" s="228" t="s">
        <v>896</v>
      </c>
      <c r="T62" s="193"/>
    </row>
    <row r="63" spans="1:20" x14ac:dyDescent="0.2">
      <c r="A63" s="223" t="s">
        <v>114</v>
      </c>
      <c r="B63" s="224" t="s">
        <v>114</v>
      </c>
      <c r="C63" s="224" t="s">
        <v>931</v>
      </c>
      <c r="D63" s="193"/>
      <c r="E63" s="193"/>
      <c r="F63" s="193"/>
      <c r="G63" s="193"/>
      <c r="H63" s="225"/>
      <c r="I63" s="226" t="s">
        <v>894</v>
      </c>
      <c r="J63" s="227" t="s">
        <v>895</v>
      </c>
      <c r="K63" s="193"/>
      <c r="L63" s="193"/>
      <c r="M63" s="193"/>
      <c r="N63" s="225"/>
      <c r="O63" s="228" t="s">
        <v>896</v>
      </c>
      <c r="P63" s="227" t="s">
        <v>895</v>
      </c>
      <c r="Q63" s="193"/>
      <c r="R63" s="193"/>
      <c r="S63" s="193"/>
      <c r="T63" s="193"/>
    </row>
    <row r="64" spans="1:20" x14ac:dyDescent="0.2">
      <c r="A64" s="223" t="s">
        <v>98</v>
      </c>
      <c r="B64" s="224" t="s">
        <v>98</v>
      </c>
      <c r="C64" s="193"/>
      <c r="D64" s="224" t="s">
        <v>98</v>
      </c>
      <c r="E64" s="193"/>
      <c r="F64" s="256" t="s">
        <v>932</v>
      </c>
      <c r="G64" s="256"/>
      <c r="H64" s="225"/>
      <c r="I64" s="226" t="s">
        <v>894</v>
      </c>
      <c r="J64" s="193"/>
      <c r="K64" s="226" t="s">
        <v>894</v>
      </c>
      <c r="L64" s="193"/>
      <c r="M64" s="227" t="s">
        <v>895</v>
      </c>
      <c r="N64" s="225"/>
      <c r="O64" s="231" t="s">
        <v>897</v>
      </c>
      <c r="P64" s="193"/>
      <c r="Q64" s="239" t="s">
        <v>898</v>
      </c>
      <c r="R64" s="193"/>
      <c r="S64" s="227" t="s">
        <v>895</v>
      </c>
      <c r="T64" s="193"/>
    </row>
    <row r="65" spans="1:20" x14ac:dyDescent="0.2">
      <c r="A65" s="223" t="s">
        <v>600</v>
      </c>
      <c r="B65" s="241" t="s">
        <v>220</v>
      </c>
      <c r="C65" s="193"/>
      <c r="D65" s="193"/>
      <c r="E65" s="224" t="s">
        <v>117</v>
      </c>
      <c r="F65" s="224" t="s">
        <v>933</v>
      </c>
      <c r="G65" s="224"/>
      <c r="H65" s="225"/>
      <c r="I65" s="227" t="s">
        <v>895</v>
      </c>
      <c r="J65" s="193"/>
      <c r="K65" s="193"/>
      <c r="L65" s="226" t="s">
        <v>894</v>
      </c>
      <c r="M65" s="227" t="s">
        <v>895</v>
      </c>
      <c r="N65" s="225"/>
      <c r="O65" s="228" t="s">
        <v>896</v>
      </c>
      <c r="P65" s="193"/>
      <c r="Q65" s="193"/>
      <c r="R65" s="228" t="s">
        <v>896</v>
      </c>
      <c r="S65" s="228" t="s">
        <v>896</v>
      </c>
      <c r="T65" s="193"/>
    </row>
    <row r="66" spans="1:20" x14ac:dyDescent="0.2">
      <c r="A66" s="223" t="s">
        <v>600</v>
      </c>
      <c r="B66" s="241"/>
      <c r="C66" s="193"/>
      <c r="D66" s="193"/>
      <c r="E66" s="224"/>
      <c r="F66" s="248" t="s">
        <v>116</v>
      </c>
      <c r="G66" s="248"/>
      <c r="H66" s="225"/>
      <c r="I66" s="227"/>
      <c r="J66" s="193"/>
      <c r="K66" s="193"/>
      <c r="L66" s="226"/>
      <c r="M66" s="227"/>
      <c r="N66" s="225"/>
      <c r="O66" s="228"/>
      <c r="P66" s="193"/>
      <c r="Q66" s="193"/>
      <c r="R66" s="228"/>
      <c r="S66" s="228"/>
      <c r="T66" s="193"/>
    </row>
    <row r="67" spans="1:20" x14ac:dyDescent="0.2">
      <c r="A67" s="223" t="s">
        <v>606</v>
      </c>
      <c r="B67" s="193"/>
      <c r="C67" s="193"/>
      <c r="D67" s="224" t="s">
        <v>235</v>
      </c>
      <c r="E67" s="193"/>
      <c r="F67" s="257" t="s">
        <v>934</v>
      </c>
      <c r="G67" s="257"/>
      <c r="H67" s="236" t="s">
        <v>935</v>
      </c>
      <c r="I67" s="193"/>
      <c r="J67" s="193"/>
      <c r="K67" s="226" t="s">
        <v>894</v>
      </c>
      <c r="L67" s="193"/>
      <c r="M67" s="226" t="s">
        <v>894</v>
      </c>
      <c r="N67" s="242" t="s">
        <v>895</v>
      </c>
      <c r="O67" s="193"/>
      <c r="P67" s="193"/>
      <c r="Q67" s="231" t="s">
        <v>897</v>
      </c>
      <c r="R67" s="193"/>
      <c r="S67" s="231" t="s">
        <v>897</v>
      </c>
      <c r="T67" s="227" t="s">
        <v>895</v>
      </c>
    </row>
    <row r="68" spans="1:20" x14ac:dyDescent="0.2">
      <c r="A68" s="223" t="s">
        <v>606</v>
      </c>
      <c r="B68" s="193"/>
      <c r="C68" s="193"/>
      <c r="D68" s="248" t="s">
        <v>181</v>
      </c>
      <c r="E68" s="193"/>
      <c r="F68" s="257"/>
      <c r="G68" s="257"/>
      <c r="H68" s="236"/>
      <c r="I68" s="193"/>
      <c r="J68" s="193"/>
      <c r="K68" s="226"/>
      <c r="L68" s="193"/>
      <c r="M68" s="226"/>
      <c r="N68" s="242"/>
      <c r="O68" s="193"/>
      <c r="P68" s="193"/>
      <c r="Q68" s="231"/>
      <c r="R68" s="193"/>
      <c r="S68" s="231"/>
      <c r="T68" s="227"/>
    </row>
    <row r="69" spans="1:20" x14ac:dyDescent="0.2">
      <c r="A69" s="223" t="s">
        <v>225</v>
      </c>
      <c r="B69" s="224" t="s">
        <v>225</v>
      </c>
      <c r="C69" s="193"/>
      <c r="D69" s="224" t="s">
        <v>225</v>
      </c>
      <c r="E69" s="193"/>
      <c r="F69" s="193"/>
      <c r="G69" s="193"/>
      <c r="H69" s="225"/>
      <c r="I69" s="226" t="s">
        <v>894</v>
      </c>
      <c r="J69" s="193"/>
      <c r="K69" s="227" t="s">
        <v>895</v>
      </c>
      <c r="L69" s="193"/>
      <c r="M69" s="193"/>
      <c r="N69" s="225"/>
      <c r="O69" s="231" t="s">
        <v>897</v>
      </c>
      <c r="P69" s="193"/>
      <c r="Q69" s="193"/>
      <c r="R69" s="193"/>
      <c r="S69" s="193"/>
      <c r="T69" s="193"/>
    </row>
    <row r="70" spans="1:20" x14ac:dyDescent="0.2">
      <c r="A70" s="223" t="s">
        <v>225</v>
      </c>
      <c r="B70" s="241" t="s">
        <v>204</v>
      </c>
      <c r="C70" s="193"/>
      <c r="D70" s="224"/>
      <c r="E70" s="193"/>
      <c r="F70" s="193"/>
      <c r="G70" s="193"/>
      <c r="H70" s="225"/>
      <c r="I70" s="226"/>
      <c r="J70" s="193"/>
      <c r="K70" s="227"/>
      <c r="L70" s="193"/>
      <c r="M70" s="193"/>
      <c r="N70" s="225"/>
      <c r="O70" s="231"/>
      <c r="P70" s="193"/>
      <c r="Q70" s="193"/>
      <c r="R70" s="193"/>
      <c r="S70" s="193"/>
      <c r="T70" s="193"/>
    </row>
    <row r="71" spans="1:20" x14ac:dyDescent="0.2">
      <c r="A71" s="223" t="s">
        <v>205</v>
      </c>
      <c r="B71" s="224" t="s">
        <v>205</v>
      </c>
      <c r="C71" s="193"/>
      <c r="D71" s="193"/>
      <c r="E71" s="193"/>
      <c r="F71" s="224" t="s">
        <v>936</v>
      </c>
      <c r="G71" s="224"/>
      <c r="H71" s="225"/>
      <c r="I71" s="226" t="s">
        <v>894</v>
      </c>
      <c r="J71" s="193"/>
      <c r="K71" s="193"/>
      <c r="L71" s="193"/>
      <c r="M71" s="227" t="s">
        <v>895</v>
      </c>
      <c r="N71" s="225"/>
      <c r="O71" s="239" t="s">
        <v>898</v>
      </c>
      <c r="P71" s="193"/>
      <c r="Q71" s="193"/>
      <c r="R71" s="193"/>
      <c r="S71" s="239" t="s">
        <v>898</v>
      </c>
      <c r="T71" s="193"/>
    </row>
    <row r="72" spans="1:20" x14ac:dyDescent="0.2">
      <c r="A72" s="223" t="s">
        <v>628</v>
      </c>
      <c r="B72" s="248" t="s">
        <v>230</v>
      </c>
      <c r="C72" s="193"/>
      <c r="D72" s="193"/>
      <c r="E72" s="193"/>
      <c r="F72" s="257" t="s">
        <v>628</v>
      </c>
      <c r="G72" s="257"/>
      <c r="H72" s="236" t="s">
        <v>937</v>
      </c>
      <c r="I72" s="226" t="s">
        <v>894</v>
      </c>
      <c r="J72" s="193"/>
      <c r="K72" s="193"/>
      <c r="L72" s="193"/>
      <c r="M72" s="227" t="s">
        <v>895</v>
      </c>
      <c r="N72" s="242" t="s">
        <v>895</v>
      </c>
      <c r="O72" s="231" t="s">
        <v>897</v>
      </c>
      <c r="P72" s="193"/>
      <c r="Q72" s="193"/>
      <c r="R72" s="193"/>
      <c r="S72" s="227" t="s">
        <v>895</v>
      </c>
      <c r="T72" s="227" t="s">
        <v>895</v>
      </c>
    </row>
    <row r="73" spans="1:20" x14ac:dyDescent="0.2">
      <c r="A73" s="223" t="s">
        <v>133</v>
      </c>
      <c r="B73" s="224" t="s">
        <v>133</v>
      </c>
      <c r="C73" s="193"/>
      <c r="D73" s="224" t="s">
        <v>938</v>
      </c>
      <c r="E73" s="193"/>
      <c r="F73" s="193"/>
      <c r="G73" s="193"/>
      <c r="H73" s="225"/>
      <c r="I73" s="227" t="s">
        <v>895</v>
      </c>
      <c r="J73" s="193"/>
      <c r="K73" s="226" t="s">
        <v>894</v>
      </c>
      <c r="L73" s="193"/>
      <c r="M73" s="193"/>
      <c r="N73" s="225"/>
      <c r="O73" s="227" t="s">
        <v>895</v>
      </c>
      <c r="P73" s="193"/>
      <c r="Q73" s="239" t="s">
        <v>898</v>
      </c>
      <c r="R73" s="193"/>
      <c r="S73" s="193"/>
      <c r="T73" s="193"/>
    </row>
    <row r="74" spans="1:20" x14ac:dyDescent="0.2">
      <c r="A74" s="223" t="s">
        <v>133</v>
      </c>
      <c r="B74" s="224"/>
      <c r="C74" s="193"/>
      <c r="D74" s="241" t="s">
        <v>133</v>
      </c>
      <c r="E74" s="193"/>
      <c r="F74" s="193"/>
      <c r="G74" s="193"/>
      <c r="H74" s="225"/>
      <c r="I74" s="227"/>
      <c r="J74" s="193"/>
      <c r="K74" s="226"/>
      <c r="L74" s="193"/>
      <c r="M74" s="193"/>
      <c r="N74" s="225"/>
      <c r="O74" s="227"/>
      <c r="P74" s="193"/>
      <c r="Q74" s="239"/>
      <c r="R74" s="193"/>
      <c r="S74" s="193"/>
      <c r="T74" s="193"/>
    </row>
    <row r="75" spans="1:20" x14ac:dyDescent="0.2">
      <c r="A75" s="223" t="s">
        <v>206</v>
      </c>
      <c r="B75" s="234" t="s">
        <v>206</v>
      </c>
      <c r="C75" s="234" t="s">
        <v>939</v>
      </c>
      <c r="D75" s="193"/>
      <c r="E75" s="224" t="s">
        <v>940</v>
      </c>
      <c r="F75" s="234" t="s">
        <v>207</v>
      </c>
      <c r="G75" s="234"/>
      <c r="H75" s="225"/>
      <c r="I75" s="226" t="s">
        <v>894</v>
      </c>
      <c r="J75" s="227" t="s">
        <v>895</v>
      </c>
      <c r="K75" s="193"/>
      <c r="L75" s="227" t="s">
        <v>895</v>
      </c>
      <c r="M75" s="193"/>
      <c r="N75" s="225"/>
      <c r="O75" s="228" t="s">
        <v>896</v>
      </c>
      <c r="P75" s="227" t="s">
        <v>895</v>
      </c>
      <c r="Q75" s="193"/>
      <c r="R75" s="227" t="s">
        <v>895</v>
      </c>
      <c r="S75" s="235"/>
      <c r="T75" s="193"/>
    </row>
    <row r="76" spans="1:20" x14ac:dyDescent="0.2">
      <c r="A76" s="258" t="s">
        <v>226</v>
      </c>
      <c r="B76" s="234" t="s">
        <v>226</v>
      </c>
      <c r="C76" s="249"/>
      <c r="D76" s="234" t="s">
        <v>226</v>
      </c>
      <c r="E76" s="193"/>
      <c r="F76" s="259"/>
      <c r="G76" s="259"/>
      <c r="H76" s="225"/>
      <c r="I76" s="249"/>
      <c r="J76" s="249"/>
      <c r="K76" s="193"/>
      <c r="L76" s="249"/>
      <c r="M76" s="193"/>
      <c r="N76" s="225"/>
      <c r="O76" s="231" t="s">
        <v>897</v>
      </c>
      <c r="P76" s="249"/>
      <c r="Q76" s="231" t="s">
        <v>897</v>
      </c>
      <c r="R76" s="249"/>
      <c r="S76" s="235"/>
      <c r="T76" s="193"/>
    </row>
    <row r="77" spans="1:20" x14ac:dyDescent="0.2">
      <c r="A77" s="258" t="s">
        <v>657</v>
      </c>
      <c r="B77" s="249"/>
      <c r="C77" s="249"/>
      <c r="D77" s="193"/>
      <c r="E77" s="193"/>
      <c r="F77" s="234" t="s">
        <v>233</v>
      </c>
      <c r="G77" s="234"/>
      <c r="H77" s="236" t="s">
        <v>233</v>
      </c>
      <c r="I77" s="249"/>
      <c r="J77" s="249"/>
      <c r="K77" s="193"/>
      <c r="L77" s="249"/>
      <c r="M77" s="193"/>
      <c r="N77" s="225"/>
      <c r="O77" s="250"/>
      <c r="P77" s="249"/>
      <c r="Q77" s="193"/>
      <c r="R77" s="249"/>
      <c r="S77" s="231" t="s">
        <v>897</v>
      </c>
      <c r="T77" s="231" t="s">
        <v>897</v>
      </c>
    </row>
    <row r="78" spans="1:20" x14ac:dyDescent="0.2">
      <c r="A78" s="258" t="s">
        <v>671</v>
      </c>
      <c r="B78" s="234" t="s">
        <v>671</v>
      </c>
      <c r="C78" s="249"/>
      <c r="D78" s="193"/>
      <c r="E78" s="193"/>
      <c r="F78" s="234" t="s">
        <v>236</v>
      </c>
      <c r="G78" s="234"/>
      <c r="H78" s="260" t="s">
        <v>237</v>
      </c>
      <c r="I78" s="249"/>
      <c r="J78" s="249"/>
      <c r="K78" s="193"/>
      <c r="L78" s="249"/>
      <c r="M78" s="193"/>
      <c r="N78" s="230" t="s">
        <v>894</v>
      </c>
      <c r="O78" s="228" t="s">
        <v>896</v>
      </c>
      <c r="P78" s="249"/>
      <c r="Q78" s="193"/>
      <c r="R78" s="249"/>
      <c r="S78" s="235"/>
      <c r="T78" s="228" t="s">
        <v>896</v>
      </c>
    </row>
    <row r="79" spans="1:20" x14ac:dyDescent="0.2">
      <c r="A79" s="258" t="s">
        <v>681</v>
      </c>
      <c r="B79" s="249"/>
      <c r="C79" s="249"/>
      <c r="D79" s="193"/>
      <c r="E79" s="193"/>
      <c r="F79" s="249"/>
      <c r="G79" s="249"/>
      <c r="H79" s="203"/>
      <c r="I79" s="249"/>
      <c r="J79" s="249"/>
      <c r="K79" s="193"/>
      <c r="L79" s="249"/>
      <c r="M79" s="193"/>
      <c r="N79" s="249"/>
      <c r="O79" s="250"/>
      <c r="P79" s="249"/>
      <c r="Q79" s="193"/>
      <c r="R79" s="249"/>
      <c r="S79" s="235"/>
      <c r="T79" s="239" t="s">
        <v>898</v>
      </c>
    </row>
    <row r="80" spans="1:20" x14ac:dyDescent="0.2">
      <c r="A80" s="261" t="s">
        <v>692</v>
      </c>
      <c r="B80" s="249"/>
      <c r="C80" s="249"/>
      <c r="D80" s="203" t="s">
        <v>137</v>
      </c>
      <c r="E80" s="193"/>
      <c r="F80" s="249"/>
      <c r="G80" s="249"/>
      <c r="H80" s="203"/>
      <c r="I80" s="249"/>
      <c r="J80" s="249"/>
      <c r="K80" s="193"/>
      <c r="L80" s="249"/>
      <c r="M80" s="193"/>
      <c r="N80" s="249"/>
      <c r="O80" s="250"/>
      <c r="P80" s="249"/>
      <c r="Q80" s="228" t="s">
        <v>896</v>
      </c>
      <c r="R80" s="249"/>
      <c r="S80" s="235"/>
      <c r="T80" s="249"/>
    </row>
    <row r="81" spans="1:20" x14ac:dyDescent="0.2">
      <c r="A81" s="258" t="s">
        <v>701</v>
      </c>
      <c r="B81" s="249"/>
      <c r="C81" s="249"/>
      <c r="D81" s="203" t="s">
        <v>941</v>
      </c>
      <c r="E81" s="193"/>
      <c r="F81" s="249"/>
      <c r="G81" s="249"/>
      <c r="H81" s="203"/>
      <c r="I81" s="249"/>
      <c r="J81" s="249"/>
      <c r="K81" s="193"/>
      <c r="L81" s="249"/>
      <c r="M81" s="193"/>
      <c r="N81" s="249"/>
      <c r="O81" s="250"/>
      <c r="P81" s="249"/>
      <c r="Q81" s="228" t="s">
        <v>896</v>
      </c>
      <c r="R81" s="249"/>
      <c r="S81" s="235"/>
      <c r="T81" s="249"/>
    </row>
    <row r="82" spans="1:20" x14ac:dyDescent="0.2">
      <c r="A82" s="258" t="s">
        <v>208</v>
      </c>
      <c r="B82" s="262" t="s">
        <v>208</v>
      </c>
      <c r="C82" s="249"/>
      <c r="D82" s="203"/>
      <c r="E82" s="193"/>
      <c r="F82" s="249"/>
      <c r="G82" s="249"/>
      <c r="H82" s="203"/>
      <c r="I82" s="249"/>
      <c r="J82" s="249"/>
      <c r="K82" s="193"/>
      <c r="L82" s="249"/>
      <c r="M82" s="193"/>
      <c r="N82" s="249"/>
      <c r="O82" s="250"/>
      <c r="P82" s="249"/>
      <c r="Q82" s="228"/>
      <c r="R82" s="249"/>
      <c r="S82" s="235"/>
      <c r="T82" s="249"/>
    </row>
  </sheetData>
  <autoFilter ref="A1:T82" xr:uid="{00000000-0009-0000-0000-000005000000}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B2449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ColWidth="12.5703125" defaultRowHeight="15.75" customHeight="1" x14ac:dyDescent="0.2"/>
  <cols>
    <col min="1" max="1" width="13.28515625" customWidth="1"/>
    <col min="2" max="2" width="14.85546875" customWidth="1"/>
    <col min="3" max="4" width="11.42578125" customWidth="1"/>
    <col min="5" max="5" width="17" customWidth="1"/>
    <col min="6" max="6" width="14.140625" customWidth="1"/>
    <col min="7" max="7" width="17.85546875" customWidth="1"/>
    <col min="8" max="8" width="16.7109375" customWidth="1"/>
    <col min="9" max="11" width="9.7109375" customWidth="1"/>
    <col min="12" max="13" width="11.7109375" customWidth="1"/>
    <col min="14" max="14" width="12.5703125" customWidth="1"/>
    <col min="15" max="15" width="12.42578125" customWidth="1"/>
    <col min="16" max="16" width="8.7109375" customWidth="1"/>
    <col min="17" max="17" width="7.28515625" customWidth="1"/>
    <col min="18" max="18" width="9.42578125" customWidth="1"/>
    <col min="19" max="19" width="10.7109375" customWidth="1"/>
    <col min="20" max="20" width="7.7109375" customWidth="1"/>
    <col min="21" max="21" width="8.85546875" customWidth="1"/>
    <col min="22" max="22" width="11.85546875" customWidth="1"/>
    <col min="23" max="23" width="11.140625" customWidth="1"/>
    <col min="24" max="24" width="10.7109375" customWidth="1"/>
    <col min="25" max="25" width="7.7109375" customWidth="1"/>
    <col min="26" max="26" width="9.85546875" customWidth="1"/>
    <col min="27" max="28" width="11.7109375" customWidth="1"/>
  </cols>
  <sheetData>
    <row r="1" spans="1:28" x14ac:dyDescent="0.2">
      <c r="A1" s="263" t="s">
        <v>0</v>
      </c>
      <c r="B1" s="264" t="s">
        <v>1</v>
      </c>
      <c r="C1" s="264" t="s">
        <v>2</v>
      </c>
      <c r="D1" s="264" t="s">
        <v>3</v>
      </c>
      <c r="E1" s="264" t="s">
        <v>711</v>
      </c>
      <c r="F1" s="265" t="s">
        <v>5</v>
      </c>
      <c r="G1" s="264" t="s">
        <v>6</v>
      </c>
      <c r="H1" s="264" t="s">
        <v>7</v>
      </c>
      <c r="I1" s="266" t="s">
        <v>9</v>
      </c>
      <c r="J1" s="264" t="s">
        <v>10</v>
      </c>
      <c r="K1" s="266" t="s">
        <v>13</v>
      </c>
      <c r="L1" s="267" t="s">
        <v>14</v>
      </c>
      <c r="M1" s="267" t="s">
        <v>11</v>
      </c>
      <c r="N1" s="268" t="s">
        <v>12</v>
      </c>
      <c r="O1" s="2" t="s">
        <v>16</v>
      </c>
      <c r="P1" s="3" t="s">
        <v>17</v>
      </c>
      <c r="Q1" s="267" t="s">
        <v>942</v>
      </c>
      <c r="R1" s="269" t="s">
        <v>943</v>
      </c>
      <c r="S1" s="267" t="s">
        <v>18</v>
      </c>
      <c r="T1" s="267" t="s">
        <v>944</v>
      </c>
      <c r="U1" s="15" t="s">
        <v>20</v>
      </c>
      <c r="V1" s="17" t="s">
        <v>23</v>
      </c>
      <c r="W1" s="17" t="s">
        <v>24</v>
      </c>
      <c r="X1" s="267" t="s">
        <v>25</v>
      </c>
      <c r="Y1" s="267" t="s">
        <v>945</v>
      </c>
      <c r="Z1" s="3" t="s">
        <v>28</v>
      </c>
      <c r="AA1" s="3" t="s">
        <v>946</v>
      </c>
      <c r="AB1" s="3" t="s">
        <v>947</v>
      </c>
    </row>
    <row r="2" spans="1:28" x14ac:dyDescent="0.2">
      <c r="A2" s="270" t="s">
        <v>286</v>
      </c>
      <c r="B2" s="270" t="s">
        <v>286</v>
      </c>
      <c r="C2" s="271">
        <v>43302</v>
      </c>
      <c r="D2" s="271">
        <v>43332</v>
      </c>
      <c r="E2" s="270" t="s">
        <v>267</v>
      </c>
      <c r="F2" s="133" t="s">
        <v>41</v>
      </c>
      <c r="G2" s="270" t="s">
        <v>35</v>
      </c>
      <c r="H2" s="272" t="s">
        <v>948</v>
      </c>
      <c r="I2" s="273">
        <v>60</v>
      </c>
      <c r="J2" s="270"/>
      <c r="K2" s="270">
        <f t="shared" ref="K2:K2449" si="0">I2*J2</f>
        <v>0</v>
      </c>
      <c r="L2" s="270"/>
      <c r="M2" s="270">
        <v>3600</v>
      </c>
      <c r="N2" s="274">
        <v>0</v>
      </c>
      <c r="O2" s="55"/>
      <c r="P2" s="45">
        <v>0</v>
      </c>
      <c r="Q2" s="270"/>
      <c r="R2" s="275">
        <v>0</v>
      </c>
      <c r="S2" s="270"/>
      <c r="T2" s="270">
        <v>3600</v>
      </c>
      <c r="U2" s="57">
        <v>1</v>
      </c>
      <c r="V2" s="276">
        <v>0.1</v>
      </c>
      <c r="W2" s="276">
        <v>0</v>
      </c>
      <c r="X2" s="270">
        <v>3240</v>
      </c>
      <c r="Y2" s="270">
        <v>360</v>
      </c>
      <c r="Z2" s="45" t="b">
        <v>1</v>
      </c>
      <c r="AA2" s="45" t="s">
        <v>38</v>
      </c>
      <c r="AB2" s="45" t="s">
        <v>38</v>
      </c>
    </row>
    <row r="3" spans="1:28" x14ac:dyDescent="0.2">
      <c r="A3" s="270" t="s">
        <v>286</v>
      </c>
      <c r="B3" s="270" t="s">
        <v>286</v>
      </c>
      <c r="C3" s="271">
        <v>43302</v>
      </c>
      <c r="D3" s="271">
        <v>43332</v>
      </c>
      <c r="E3" s="270" t="s">
        <v>267</v>
      </c>
      <c r="F3" s="133" t="s">
        <v>34</v>
      </c>
      <c r="G3" s="270" t="s">
        <v>35</v>
      </c>
      <c r="H3" s="272" t="s">
        <v>949</v>
      </c>
      <c r="I3" s="273">
        <v>15</v>
      </c>
      <c r="J3" s="270">
        <v>207</v>
      </c>
      <c r="K3" s="270">
        <f t="shared" si="0"/>
        <v>3105</v>
      </c>
      <c r="L3" s="270">
        <v>15784</v>
      </c>
      <c r="M3" s="270">
        <v>225</v>
      </c>
      <c r="N3" s="274">
        <v>4</v>
      </c>
      <c r="O3" s="55"/>
      <c r="P3" s="45">
        <v>4</v>
      </c>
      <c r="Q3" s="270">
        <v>239</v>
      </c>
      <c r="R3" s="275">
        <v>-5.5710000000000004E-3</v>
      </c>
      <c r="S3" s="270">
        <v>222</v>
      </c>
      <c r="T3" s="270">
        <v>226</v>
      </c>
      <c r="U3" s="57">
        <v>1</v>
      </c>
      <c r="V3" s="276">
        <v>0.1</v>
      </c>
      <c r="W3" s="276">
        <v>0</v>
      </c>
      <c r="X3" s="270">
        <v>203</v>
      </c>
      <c r="Y3" s="270">
        <v>23</v>
      </c>
      <c r="Z3" s="45" t="b">
        <v>1</v>
      </c>
      <c r="AA3" s="45" t="s">
        <v>38</v>
      </c>
      <c r="AB3" s="45" t="s">
        <v>38</v>
      </c>
    </row>
    <row r="4" spans="1:28" x14ac:dyDescent="0.2">
      <c r="A4" s="270" t="s">
        <v>286</v>
      </c>
      <c r="B4" s="270" t="s">
        <v>286</v>
      </c>
      <c r="C4" s="271">
        <v>43302</v>
      </c>
      <c r="D4" s="271">
        <v>43332</v>
      </c>
      <c r="E4" s="270" t="s">
        <v>267</v>
      </c>
      <c r="F4" s="133" t="s">
        <v>34</v>
      </c>
      <c r="G4" s="270" t="s">
        <v>35</v>
      </c>
      <c r="H4" s="272" t="s">
        <v>950</v>
      </c>
      <c r="I4" s="273">
        <v>30</v>
      </c>
      <c r="J4" s="270">
        <v>436</v>
      </c>
      <c r="K4" s="270">
        <f t="shared" si="0"/>
        <v>13080</v>
      </c>
      <c r="L4" s="270">
        <v>36613</v>
      </c>
      <c r="M4" s="270">
        <v>720</v>
      </c>
      <c r="N4" s="274">
        <v>16</v>
      </c>
      <c r="O4" s="55"/>
      <c r="P4" s="45">
        <v>16</v>
      </c>
      <c r="Q4" s="270">
        <v>1197</v>
      </c>
      <c r="R4" s="275">
        <v>-5.5710000000000004E-3</v>
      </c>
      <c r="S4" s="270">
        <v>1124</v>
      </c>
      <c r="T4" s="270">
        <v>1140</v>
      </c>
      <c r="U4" s="57">
        <v>1</v>
      </c>
      <c r="V4" s="276">
        <v>0.1</v>
      </c>
      <c r="W4" s="276">
        <v>0</v>
      </c>
      <c r="X4" s="270">
        <v>1026</v>
      </c>
      <c r="Y4" s="270">
        <v>114</v>
      </c>
      <c r="Z4" s="45" t="b">
        <v>1</v>
      </c>
      <c r="AA4" s="45" t="s">
        <v>38</v>
      </c>
      <c r="AB4" s="45" t="s">
        <v>38</v>
      </c>
    </row>
    <row r="5" spans="1:28" x14ac:dyDescent="0.2">
      <c r="A5" s="270" t="s">
        <v>286</v>
      </c>
      <c r="B5" s="270" t="s">
        <v>286</v>
      </c>
      <c r="C5" s="271">
        <v>43302</v>
      </c>
      <c r="D5" s="271">
        <v>43332</v>
      </c>
      <c r="E5" s="270" t="s">
        <v>267</v>
      </c>
      <c r="F5" s="133" t="s">
        <v>34</v>
      </c>
      <c r="G5" s="270" t="s">
        <v>35</v>
      </c>
      <c r="H5" s="272" t="s">
        <v>948</v>
      </c>
      <c r="I5" s="273">
        <v>60</v>
      </c>
      <c r="J5" s="270">
        <v>1191</v>
      </c>
      <c r="K5" s="270">
        <f t="shared" si="0"/>
        <v>71460</v>
      </c>
      <c r="L5" s="270">
        <v>80075</v>
      </c>
      <c r="M5" s="270">
        <v>6660</v>
      </c>
      <c r="N5" s="274">
        <v>71</v>
      </c>
      <c r="O5" s="55"/>
      <c r="P5" s="45">
        <v>71</v>
      </c>
      <c r="Q5" s="270">
        <v>5114</v>
      </c>
      <c r="R5" s="275">
        <v>-5.5710000000000004E-3</v>
      </c>
      <c r="S5" s="270">
        <v>4716</v>
      </c>
      <c r="T5" s="270">
        <v>4787</v>
      </c>
      <c r="U5" s="57">
        <v>1</v>
      </c>
      <c r="V5" s="276">
        <v>0.1</v>
      </c>
      <c r="W5" s="276">
        <v>0</v>
      </c>
      <c r="X5" s="270">
        <v>4309</v>
      </c>
      <c r="Y5" s="270">
        <v>479</v>
      </c>
      <c r="Z5" s="45" t="b">
        <v>1</v>
      </c>
      <c r="AA5" s="45" t="s">
        <v>38</v>
      </c>
      <c r="AB5" s="45" t="s">
        <v>38</v>
      </c>
    </row>
    <row r="6" spans="1:28" x14ac:dyDescent="0.2">
      <c r="A6" s="270" t="s">
        <v>145</v>
      </c>
      <c r="B6" s="270" t="s">
        <v>145</v>
      </c>
      <c r="C6" s="277">
        <v>43308</v>
      </c>
      <c r="D6" s="277">
        <v>43338</v>
      </c>
      <c r="E6" s="270" t="s">
        <v>267</v>
      </c>
      <c r="F6" s="96" t="s">
        <v>49</v>
      </c>
      <c r="G6" s="270" t="s">
        <v>35</v>
      </c>
      <c r="H6" s="272" t="s">
        <v>949</v>
      </c>
      <c r="I6" s="273">
        <v>15</v>
      </c>
      <c r="J6" s="270">
        <v>731</v>
      </c>
      <c r="K6" s="270">
        <f t="shared" si="0"/>
        <v>10965</v>
      </c>
      <c r="L6" s="270">
        <v>34515</v>
      </c>
      <c r="M6" s="270">
        <v>645</v>
      </c>
      <c r="N6" s="274">
        <v>13</v>
      </c>
      <c r="O6" s="55"/>
      <c r="P6" s="45">
        <v>13</v>
      </c>
      <c r="Q6" s="270">
        <v>266</v>
      </c>
      <c r="R6" s="275">
        <v>8.8999999999999995E-5</v>
      </c>
      <c r="S6" s="270">
        <v>267</v>
      </c>
      <c r="T6" s="270">
        <v>280</v>
      </c>
      <c r="U6" s="57">
        <v>1</v>
      </c>
      <c r="V6" s="276">
        <v>0.35</v>
      </c>
      <c r="W6" s="276">
        <v>0</v>
      </c>
      <c r="X6" s="270">
        <v>182</v>
      </c>
      <c r="Y6" s="270">
        <v>98</v>
      </c>
      <c r="Z6" s="45" t="b">
        <v>1</v>
      </c>
      <c r="AA6" s="45" t="s">
        <v>38</v>
      </c>
      <c r="AB6" s="45" t="s">
        <v>38</v>
      </c>
    </row>
    <row r="7" spans="1:28" x14ac:dyDescent="0.2">
      <c r="A7" s="270" t="s">
        <v>286</v>
      </c>
      <c r="B7" s="270" t="s">
        <v>286</v>
      </c>
      <c r="C7" s="271">
        <v>43333</v>
      </c>
      <c r="D7" s="271">
        <v>43363</v>
      </c>
      <c r="E7" s="270" t="s">
        <v>267</v>
      </c>
      <c r="F7" s="133" t="s">
        <v>34</v>
      </c>
      <c r="G7" s="270" t="s">
        <v>35</v>
      </c>
      <c r="H7" s="272" t="s">
        <v>951</v>
      </c>
      <c r="I7" s="273">
        <v>100</v>
      </c>
      <c r="J7" s="270">
        <v>1857</v>
      </c>
      <c r="K7" s="270">
        <f t="shared" si="0"/>
        <v>185700</v>
      </c>
      <c r="L7" s="270">
        <v>85550</v>
      </c>
      <c r="M7" s="270">
        <v>12100</v>
      </c>
      <c r="N7" s="274">
        <v>186</v>
      </c>
      <c r="O7" s="55"/>
      <c r="P7" s="45">
        <v>186</v>
      </c>
      <c r="Q7" s="270">
        <v>5873</v>
      </c>
      <c r="R7" s="275">
        <v>-2.9559999999999999E-3</v>
      </c>
      <c r="S7" s="270">
        <v>5324</v>
      </c>
      <c r="T7" s="270">
        <v>5510</v>
      </c>
      <c r="U7" s="57">
        <v>1</v>
      </c>
      <c r="V7" s="276">
        <v>0.17</v>
      </c>
      <c r="W7" s="276">
        <v>0</v>
      </c>
      <c r="X7" s="270">
        <v>4573</v>
      </c>
      <c r="Y7" s="270">
        <v>937</v>
      </c>
      <c r="Z7" s="45" t="b">
        <v>1</v>
      </c>
      <c r="AA7" s="45" t="s">
        <v>38</v>
      </c>
      <c r="AB7" s="45" t="s">
        <v>38</v>
      </c>
    </row>
    <row r="8" spans="1:28" x14ac:dyDescent="0.2">
      <c r="A8" s="270" t="s">
        <v>286</v>
      </c>
      <c r="B8" s="270" t="s">
        <v>286</v>
      </c>
      <c r="C8" s="271">
        <v>43333</v>
      </c>
      <c r="D8" s="271">
        <v>43363</v>
      </c>
      <c r="E8" s="270" t="s">
        <v>267</v>
      </c>
      <c r="F8" s="133" t="s">
        <v>34</v>
      </c>
      <c r="G8" s="270" t="s">
        <v>35</v>
      </c>
      <c r="H8" s="272" t="s">
        <v>950</v>
      </c>
      <c r="I8" s="273">
        <v>30</v>
      </c>
      <c r="J8" s="270">
        <v>128</v>
      </c>
      <c r="K8" s="270">
        <f t="shared" si="0"/>
        <v>3840</v>
      </c>
      <c r="L8" s="270">
        <v>6107</v>
      </c>
      <c r="M8" s="270">
        <v>60</v>
      </c>
      <c r="N8" s="274">
        <v>5</v>
      </c>
      <c r="O8" s="55"/>
      <c r="P8" s="45">
        <v>5</v>
      </c>
      <c r="Q8" s="270">
        <v>91</v>
      </c>
      <c r="R8" s="275">
        <v>-2.9559999999999999E-3</v>
      </c>
      <c r="S8" s="270">
        <v>80</v>
      </c>
      <c r="T8" s="270">
        <v>85</v>
      </c>
      <c r="U8" s="57">
        <v>1</v>
      </c>
      <c r="V8" s="276">
        <v>0.17</v>
      </c>
      <c r="W8" s="276">
        <v>0</v>
      </c>
      <c r="X8" s="270">
        <v>70</v>
      </c>
      <c r="Y8" s="270">
        <v>14</v>
      </c>
      <c r="Z8" s="45" t="b">
        <v>1</v>
      </c>
      <c r="AA8" s="45" t="s">
        <v>38</v>
      </c>
      <c r="AB8" s="45" t="s">
        <v>38</v>
      </c>
    </row>
    <row r="9" spans="1:28" x14ac:dyDescent="0.2">
      <c r="A9" s="270" t="s">
        <v>286</v>
      </c>
      <c r="B9" s="270" t="s">
        <v>286</v>
      </c>
      <c r="C9" s="271">
        <v>43333</v>
      </c>
      <c r="D9" s="271">
        <v>43363</v>
      </c>
      <c r="E9" s="270" t="s">
        <v>267</v>
      </c>
      <c r="F9" s="133" t="s">
        <v>34</v>
      </c>
      <c r="G9" s="270" t="s">
        <v>35</v>
      </c>
      <c r="H9" s="272" t="s">
        <v>948</v>
      </c>
      <c r="I9" s="273">
        <v>60</v>
      </c>
      <c r="J9" s="270">
        <v>202</v>
      </c>
      <c r="K9" s="270">
        <f t="shared" si="0"/>
        <v>12120</v>
      </c>
      <c r="L9" s="270">
        <v>15780</v>
      </c>
      <c r="M9" s="270">
        <v>3120</v>
      </c>
      <c r="N9" s="274">
        <v>12</v>
      </c>
      <c r="O9" s="55"/>
      <c r="P9" s="45">
        <v>12</v>
      </c>
      <c r="Q9" s="270">
        <v>1116</v>
      </c>
      <c r="R9" s="275">
        <v>-2.9559999999999999E-3</v>
      </c>
      <c r="S9" s="270">
        <v>1081</v>
      </c>
      <c r="T9" s="270">
        <v>1093</v>
      </c>
      <c r="U9" s="57">
        <v>1</v>
      </c>
      <c r="V9" s="276">
        <v>0.17</v>
      </c>
      <c r="W9" s="276">
        <v>0</v>
      </c>
      <c r="X9" s="270">
        <v>907</v>
      </c>
      <c r="Y9" s="270">
        <v>186</v>
      </c>
      <c r="Z9" s="45" t="b">
        <v>1</v>
      </c>
      <c r="AA9" s="45" t="s">
        <v>38</v>
      </c>
      <c r="AB9" s="45" t="s">
        <v>38</v>
      </c>
    </row>
    <row r="10" spans="1:28" x14ac:dyDescent="0.2">
      <c r="A10" s="270" t="s">
        <v>145</v>
      </c>
      <c r="B10" s="270" t="s">
        <v>145</v>
      </c>
      <c r="C10" s="277">
        <v>43339</v>
      </c>
      <c r="D10" s="277">
        <v>43369</v>
      </c>
      <c r="E10" s="270" t="s">
        <v>267</v>
      </c>
      <c r="F10" s="96" t="s">
        <v>49</v>
      </c>
      <c r="G10" s="270" t="s">
        <v>35</v>
      </c>
      <c r="H10" s="272" t="s">
        <v>949</v>
      </c>
      <c r="I10" s="273">
        <v>15</v>
      </c>
      <c r="J10" s="270">
        <v>1679</v>
      </c>
      <c r="K10" s="270">
        <f t="shared" si="0"/>
        <v>25185</v>
      </c>
      <c r="L10" s="270">
        <v>94005</v>
      </c>
      <c r="M10" s="270">
        <v>480</v>
      </c>
      <c r="N10" s="274">
        <v>30</v>
      </c>
      <c r="O10" s="55"/>
      <c r="P10" s="45">
        <v>30</v>
      </c>
      <c r="Q10" s="270">
        <v>1024</v>
      </c>
      <c r="R10" s="275">
        <v>-2.1840000000000002E-3</v>
      </c>
      <c r="S10" s="270">
        <v>969</v>
      </c>
      <c r="T10" s="270">
        <v>999</v>
      </c>
      <c r="U10" s="57">
        <v>1</v>
      </c>
      <c r="V10" s="276">
        <v>0.25</v>
      </c>
      <c r="W10" s="276">
        <v>0</v>
      </c>
      <c r="X10" s="270">
        <v>749</v>
      </c>
      <c r="Y10" s="270">
        <v>250</v>
      </c>
      <c r="Z10" s="45" t="b">
        <v>1</v>
      </c>
      <c r="AA10" s="45" t="s">
        <v>38</v>
      </c>
      <c r="AB10" s="45" t="s">
        <v>38</v>
      </c>
    </row>
    <row r="11" spans="1:28" x14ac:dyDescent="0.2">
      <c r="A11" s="270" t="s">
        <v>286</v>
      </c>
      <c r="B11" s="270" t="s">
        <v>286</v>
      </c>
      <c r="C11" s="271">
        <v>43364</v>
      </c>
      <c r="D11" s="271">
        <v>43393</v>
      </c>
      <c r="E11" s="270" t="s">
        <v>267</v>
      </c>
      <c r="F11" s="133" t="s">
        <v>34</v>
      </c>
      <c r="G11" s="270" t="s">
        <v>35</v>
      </c>
      <c r="H11" s="272" t="s">
        <v>951</v>
      </c>
      <c r="I11" s="273">
        <v>100</v>
      </c>
      <c r="J11" s="270">
        <v>1274</v>
      </c>
      <c r="K11" s="270">
        <f t="shared" si="0"/>
        <v>127400</v>
      </c>
      <c r="L11" s="270">
        <v>58651</v>
      </c>
      <c r="M11" s="270">
        <v>3600</v>
      </c>
      <c r="N11" s="274">
        <v>127</v>
      </c>
      <c r="O11" s="55"/>
      <c r="P11" s="45">
        <v>127</v>
      </c>
      <c r="Q11" s="270">
        <v>4022</v>
      </c>
      <c r="R11" s="275">
        <v>-2.6770000000000001E-3</v>
      </c>
      <c r="S11" s="270">
        <v>3681</v>
      </c>
      <c r="T11" s="270">
        <v>3808</v>
      </c>
      <c r="U11" s="57">
        <v>1</v>
      </c>
      <c r="V11" s="276">
        <v>0.25</v>
      </c>
      <c r="W11" s="276">
        <v>0</v>
      </c>
      <c r="X11" s="270">
        <v>2856</v>
      </c>
      <c r="Y11" s="270">
        <v>952</v>
      </c>
      <c r="Z11" s="45" t="b">
        <v>1</v>
      </c>
      <c r="AA11" s="45" t="s">
        <v>38</v>
      </c>
      <c r="AB11" s="45" t="s">
        <v>38</v>
      </c>
    </row>
    <row r="12" spans="1:28" x14ac:dyDescent="0.2">
      <c r="A12" s="270" t="s">
        <v>286</v>
      </c>
      <c r="B12" s="270" t="s">
        <v>286</v>
      </c>
      <c r="C12" s="271">
        <v>43364</v>
      </c>
      <c r="D12" s="271">
        <v>43393</v>
      </c>
      <c r="E12" s="270" t="s">
        <v>267</v>
      </c>
      <c r="F12" s="133" t="s">
        <v>34</v>
      </c>
      <c r="G12" s="270" t="s">
        <v>35</v>
      </c>
      <c r="H12" s="272" t="s">
        <v>948</v>
      </c>
      <c r="I12" s="273">
        <v>60</v>
      </c>
      <c r="J12" s="270">
        <v>238</v>
      </c>
      <c r="K12" s="270">
        <f t="shared" si="0"/>
        <v>14280</v>
      </c>
      <c r="L12" s="270">
        <v>7511</v>
      </c>
      <c r="M12" s="270">
        <v>240</v>
      </c>
      <c r="N12" s="274">
        <v>14</v>
      </c>
      <c r="O12" s="55"/>
      <c r="P12" s="45">
        <v>14</v>
      </c>
      <c r="Q12" s="270">
        <v>61</v>
      </c>
      <c r="R12" s="275">
        <v>-2.6770000000000001E-3</v>
      </c>
      <c r="S12" s="270">
        <v>22</v>
      </c>
      <c r="T12" s="270">
        <v>36</v>
      </c>
      <c r="U12" s="57">
        <v>1</v>
      </c>
      <c r="V12" s="276">
        <v>0.25</v>
      </c>
      <c r="W12" s="276">
        <v>0</v>
      </c>
      <c r="X12" s="270">
        <v>27</v>
      </c>
      <c r="Y12" s="270">
        <v>9</v>
      </c>
      <c r="Z12" s="45" t="b">
        <v>1</v>
      </c>
      <c r="AA12" s="45" t="s">
        <v>38</v>
      </c>
      <c r="AB12" s="45" t="s">
        <v>38</v>
      </c>
    </row>
    <row r="13" spans="1:28" x14ac:dyDescent="0.2">
      <c r="A13" s="270" t="s">
        <v>286</v>
      </c>
      <c r="B13" s="270" t="s">
        <v>286</v>
      </c>
      <c r="C13" s="271">
        <v>43364</v>
      </c>
      <c r="D13" s="271">
        <v>43393</v>
      </c>
      <c r="E13" s="270" t="s">
        <v>267</v>
      </c>
      <c r="F13" s="133" t="s">
        <v>34</v>
      </c>
      <c r="G13" s="270" t="s">
        <v>35</v>
      </c>
      <c r="H13" s="272" t="s">
        <v>950</v>
      </c>
      <c r="I13" s="273">
        <v>30</v>
      </c>
      <c r="J13" s="270">
        <v>163</v>
      </c>
      <c r="K13" s="270">
        <f t="shared" si="0"/>
        <v>4890</v>
      </c>
      <c r="L13" s="270">
        <v>19156</v>
      </c>
      <c r="M13" s="270">
        <v>990</v>
      </c>
      <c r="N13" s="274">
        <v>6</v>
      </c>
      <c r="O13" s="55"/>
      <c r="P13" s="45">
        <v>6</v>
      </c>
      <c r="Q13" s="270">
        <v>754</v>
      </c>
      <c r="R13" s="275">
        <v>-2.6770000000000001E-3</v>
      </c>
      <c r="S13" s="270">
        <v>741</v>
      </c>
      <c r="T13" s="270">
        <v>747</v>
      </c>
      <c r="U13" s="57">
        <v>1</v>
      </c>
      <c r="V13" s="276">
        <v>0.25</v>
      </c>
      <c r="W13" s="276">
        <v>0</v>
      </c>
      <c r="X13" s="270">
        <v>560</v>
      </c>
      <c r="Y13" s="270">
        <v>187</v>
      </c>
      <c r="Z13" s="45" t="b">
        <v>1</v>
      </c>
      <c r="AA13" s="45" t="s">
        <v>38</v>
      </c>
      <c r="AB13" s="45" t="s">
        <v>38</v>
      </c>
    </row>
    <row r="14" spans="1:28" x14ac:dyDescent="0.2">
      <c r="A14" s="270" t="s">
        <v>102</v>
      </c>
      <c r="B14" s="270" t="s">
        <v>102</v>
      </c>
      <c r="C14" s="277">
        <v>43364</v>
      </c>
      <c r="D14" s="278">
        <v>43393</v>
      </c>
      <c r="E14" s="270" t="s">
        <v>267</v>
      </c>
      <c r="F14" s="96" t="s">
        <v>34</v>
      </c>
      <c r="G14" s="270" t="s">
        <v>35</v>
      </c>
      <c r="H14" s="272" t="s">
        <v>949</v>
      </c>
      <c r="I14" s="273">
        <v>15</v>
      </c>
      <c r="J14" s="270">
        <v>1164</v>
      </c>
      <c r="K14" s="270">
        <f t="shared" si="0"/>
        <v>17460</v>
      </c>
      <c r="L14" s="270">
        <v>86156</v>
      </c>
      <c r="M14" s="270">
        <v>1425</v>
      </c>
      <c r="N14" s="274">
        <v>21</v>
      </c>
      <c r="O14" s="55"/>
      <c r="P14" s="45">
        <v>21</v>
      </c>
      <c r="Q14" s="270">
        <v>1273</v>
      </c>
      <c r="R14" s="275">
        <v>-2.6770000000000001E-3</v>
      </c>
      <c r="S14" s="270">
        <v>1226</v>
      </c>
      <c r="T14" s="270">
        <v>1247</v>
      </c>
      <c r="U14" s="57">
        <v>1</v>
      </c>
      <c r="V14" s="276">
        <v>0.17</v>
      </c>
      <c r="W14" s="276">
        <v>0</v>
      </c>
      <c r="X14" s="270">
        <v>1035</v>
      </c>
      <c r="Y14" s="270">
        <v>212</v>
      </c>
      <c r="Z14" s="45" t="b">
        <v>1</v>
      </c>
      <c r="AA14" s="45" t="s">
        <v>38</v>
      </c>
      <c r="AB14" s="45" t="s">
        <v>38</v>
      </c>
    </row>
    <row r="15" spans="1:28" x14ac:dyDescent="0.2">
      <c r="A15" s="270" t="s">
        <v>102</v>
      </c>
      <c r="B15" s="270" t="s">
        <v>102</v>
      </c>
      <c r="C15" s="277">
        <v>43364</v>
      </c>
      <c r="D15" s="278">
        <v>43393</v>
      </c>
      <c r="E15" s="270" t="s">
        <v>267</v>
      </c>
      <c r="F15" s="96" t="s">
        <v>34</v>
      </c>
      <c r="G15" s="270" t="s">
        <v>35</v>
      </c>
      <c r="H15" s="272" t="s">
        <v>950</v>
      </c>
      <c r="I15" s="273">
        <v>30</v>
      </c>
      <c r="J15" s="270">
        <v>1385</v>
      </c>
      <c r="K15" s="270">
        <f t="shared" si="0"/>
        <v>41550</v>
      </c>
      <c r="L15" s="270">
        <v>62620</v>
      </c>
      <c r="M15" s="270">
        <v>270</v>
      </c>
      <c r="N15" s="274">
        <v>50</v>
      </c>
      <c r="O15" s="55"/>
      <c r="P15" s="45">
        <v>50</v>
      </c>
      <c r="Q15" s="270">
        <v>794</v>
      </c>
      <c r="R15" s="275">
        <v>-2.6770000000000001E-3</v>
      </c>
      <c r="S15" s="270">
        <v>683</v>
      </c>
      <c r="T15" s="270">
        <v>733</v>
      </c>
      <c r="U15" s="57">
        <v>1</v>
      </c>
      <c r="V15" s="276">
        <v>0.17</v>
      </c>
      <c r="W15" s="276">
        <v>0</v>
      </c>
      <c r="X15" s="270">
        <v>608</v>
      </c>
      <c r="Y15" s="270">
        <v>125</v>
      </c>
      <c r="Z15" s="45" t="b">
        <v>1</v>
      </c>
      <c r="AA15" s="45" t="s">
        <v>38</v>
      </c>
      <c r="AB15" s="45" t="s">
        <v>38</v>
      </c>
    </row>
    <row r="16" spans="1:28" x14ac:dyDescent="0.2">
      <c r="A16" s="270" t="s">
        <v>145</v>
      </c>
      <c r="B16" s="270" t="s">
        <v>145</v>
      </c>
      <c r="C16" s="277">
        <v>43370</v>
      </c>
      <c r="D16" s="278">
        <v>43401</v>
      </c>
      <c r="E16" s="270" t="s">
        <v>267</v>
      </c>
      <c r="F16" s="96" t="s">
        <v>49</v>
      </c>
      <c r="G16" s="270" t="s">
        <v>35</v>
      </c>
      <c r="H16" s="272" t="s">
        <v>949</v>
      </c>
      <c r="I16" s="273">
        <v>15</v>
      </c>
      <c r="J16" s="270">
        <v>947</v>
      </c>
      <c r="K16" s="270">
        <f t="shared" si="0"/>
        <v>14205</v>
      </c>
      <c r="L16" s="270">
        <v>60519</v>
      </c>
      <c r="M16" s="270">
        <v>885</v>
      </c>
      <c r="N16" s="274">
        <v>17</v>
      </c>
      <c r="O16" s="55"/>
      <c r="P16" s="45">
        <v>17</v>
      </c>
      <c r="Q16" s="270">
        <v>788</v>
      </c>
      <c r="R16" s="275">
        <v>-1.887E-3</v>
      </c>
      <c r="S16" s="270">
        <v>761</v>
      </c>
      <c r="T16" s="270">
        <v>778</v>
      </c>
      <c r="U16" s="57">
        <v>1</v>
      </c>
      <c r="V16" s="276">
        <v>0.17</v>
      </c>
      <c r="W16" s="276">
        <v>0</v>
      </c>
      <c r="X16" s="270">
        <v>646</v>
      </c>
      <c r="Y16" s="270">
        <v>132</v>
      </c>
      <c r="Z16" s="45" t="b">
        <v>1</v>
      </c>
      <c r="AA16" s="45" t="s">
        <v>38</v>
      </c>
      <c r="AB16" s="45" t="s">
        <v>38</v>
      </c>
    </row>
    <row r="17" spans="1:28" x14ac:dyDescent="0.2">
      <c r="A17" s="270" t="s">
        <v>145</v>
      </c>
      <c r="B17" s="270" t="s">
        <v>145</v>
      </c>
      <c r="C17" s="277">
        <v>43370</v>
      </c>
      <c r="D17" s="278">
        <v>43401</v>
      </c>
      <c r="E17" s="270" t="s">
        <v>267</v>
      </c>
      <c r="F17" s="96" t="s">
        <v>49</v>
      </c>
      <c r="G17" s="270" t="s">
        <v>35</v>
      </c>
      <c r="H17" s="272" t="s">
        <v>950</v>
      </c>
      <c r="I17" s="273">
        <v>30</v>
      </c>
      <c r="J17" s="270">
        <v>994</v>
      </c>
      <c r="K17" s="270">
        <f t="shared" si="0"/>
        <v>29820</v>
      </c>
      <c r="L17" s="270">
        <v>68985</v>
      </c>
      <c r="M17" s="270">
        <v>1830</v>
      </c>
      <c r="N17" s="274">
        <v>36</v>
      </c>
      <c r="O17" s="55"/>
      <c r="P17" s="45">
        <v>36</v>
      </c>
      <c r="Q17" s="270">
        <v>1960</v>
      </c>
      <c r="R17" s="275">
        <v>-1.882E-3</v>
      </c>
      <c r="S17" s="270">
        <v>1904</v>
      </c>
      <c r="T17" s="270">
        <v>1940</v>
      </c>
      <c r="U17" s="57">
        <v>1</v>
      </c>
      <c r="V17" s="276">
        <v>0.17</v>
      </c>
      <c r="W17" s="276">
        <v>0</v>
      </c>
      <c r="X17" s="270">
        <v>1610</v>
      </c>
      <c r="Y17" s="270">
        <v>330</v>
      </c>
      <c r="Z17" s="45" t="b">
        <v>1</v>
      </c>
      <c r="AA17" s="45" t="s">
        <v>38</v>
      </c>
      <c r="AB17" s="45" t="s">
        <v>38</v>
      </c>
    </row>
    <row r="18" spans="1:28" x14ac:dyDescent="0.2">
      <c r="A18" s="270" t="s">
        <v>286</v>
      </c>
      <c r="B18" s="270" t="s">
        <v>286</v>
      </c>
      <c r="C18" s="271">
        <v>43394</v>
      </c>
      <c r="D18" s="271">
        <v>43424</v>
      </c>
      <c r="E18" s="270" t="s">
        <v>267</v>
      </c>
      <c r="F18" s="133" t="s">
        <v>34</v>
      </c>
      <c r="G18" s="270" t="s">
        <v>35</v>
      </c>
      <c r="H18" s="272" t="s">
        <v>950</v>
      </c>
      <c r="I18" s="273">
        <v>30</v>
      </c>
      <c r="J18" s="270">
        <v>422</v>
      </c>
      <c r="K18" s="270">
        <f t="shared" si="0"/>
        <v>12660</v>
      </c>
      <c r="L18" s="270">
        <v>39733</v>
      </c>
      <c r="M18" s="270">
        <v>660</v>
      </c>
      <c r="N18" s="274">
        <v>15</v>
      </c>
      <c r="O18" s="55"/>
      <c r="P18" s="45">
        <v>15</v>
      </c>
      <c r="Q18" s="270">
        <v>1399</v>
      </c>
      <c r="R18" s="275">
        <v>1.6080000000000001E-3</v>
      </c>
      <c r="S18" s="270">
        <v>1419</v>
      </c>
      <c r="T18" s="270">
        <v>1434</v>
      </c>
      <c r="U18" s="57">
        <v>1</v>
      </c>
      <c r="V18" s="276">
        <v>0.25</v>
      </c>
      <c r="W18" s="276">
        <v>0</v>
      </c>
      <c r="X18" s="270">
        <v>1076</v>
      </c>
      <c r="Y18" s="270">
        <v>359</v>
      </c>
      <c r="Z18" s="45" t="b">
        <v>1</v>
      </c>
      <c r="AA18" s="45" t="s">
        <v>38</v>
      </c>
      <c r="AB18" s="45" t="s">
        <v>38</v>
      </c>
    </row>
    <row r="19" spans="1:28" x14ac:dyDescent="0.2">
      <c r="A19" s="270" t="s">
        <v>286</v>
      </c>
      <c r="B19" s="270" t="s">
        <v>286</v>
      </c>
      <c r="C19" s="271">
        <v>43394</v>
      </c>
      <c r="D19" s="271">
        <v>43424</v>
      </c>
      <c r="E19" s="270" t="s">
        <v>267</v>
      </c>
      <c r="F19" s="133" t="s">
        <v>34</v>
      </c>
      <c r="G19" s="270" t="s">
        <v>35</v>
      </c>
      <c r="H19" s="272" t="s">
        <v>948</v>
      </c>
      <c r="I19" s="273">
        <v>60</v>
      </c>
      <c r="J19" s="270">
        <v>472</v>
      </c>
      <c r="K19" s="270">
        <f t="shared" si="0"/>
        <v>28320</v>
      </c>
      <c r="L19" s="270">
        <v>27242</v>
      </c>
      <c r="M19" s="270">
        <v>2280</v>
      </c>
      <c r="N19" s="274">
        <v>28</v>
      </c>
      <c r="O19" s="55"/>
      <c r="P19" s="45">
        <v>28</v>
      </c>
      <c r="Q19" s="270">
        <v>1518</v>
      </c>
      <c r="R19" s="275">
        <v>1.6080000000000001E-3</v>
      </c>
      <c r="S19" s="270">
        <v>1564</v>
      </c>
      <c r="T19" s="270">
        <v>1592</v>
      </c>
      <c r="U19" s="57">
        <v>1</v>
      </c>
      <c r="V19" s="276">
        <v>0.25</v>
      </c>
      <c r="W19" s="276">
        <v>0</v>
      </c>
      <c r="X19" s="270">
        <v>1194</v>
      </c>
      <c r="Y19" s="270">
        <v>398</v>
      </c>
      <c r="Z19" s="45" t="b">
        <v>1</v>
      </c>
      <c r="AA19" s="45" t="s">
        <v>38</v>
      </c>
      <c r="AB19" s="45" t="s">
        <v>38</v>
      </c>
    </row>
    <row r="20" spans="1:28" x14ac:dyDescent="0.2">
      <c r="A20" s="270" t="s">
        <v>286</v>
      </c>
      <c r="B20" s="270" t="s">
        <v>286</v>
      </c>
      <c r="C20" s="271">
        <v>43394</v>
      </c>
      <c r="D20" s="271">
        <v>43424</v>
      </c>
      <c r="E20" s="270" t="s">
        <v>267</v>
      </c>
      <c r="F20" s="133" t="s">
        <v>34</v>
      </c>
      <c r="G20" s="270" t="s">
        <v>35</v>
      </c>
      <c r="H20" s="272" t="s">
        <v>951</v>
      </c>
      <c r="I20" s="273">
        <v>100</v>
      </c>
      <c r="J20" s="270">
        <v>657</v>
      </c>
      <c r="K20" s="270">
        <f t="shared" si="0"/>
        <v>65700</v>
      </c>
      <c r="L20" s="270">
        <v>25656</v>
      </c>
      <c r="M20" s="270">
        <v>-2900</v>
      </c>
      <c r="N20" s="274">
        <v>66</v>
      </c>
      <c r="O20" s="55"/>
      <c r="P20" s="45">
        <v>66</v>
      </c>
      <c r="Q20" s="270">
        <v>1208</v>
      </c>
      <c r="R20" s="275">
        <v>1.6080000000000001E-3</v>
      </c>
      <c r="S20" s="270">
        <v>1313</v>
      </c>
      <c r="T20" s="270">
        <v>1379</v>
      </c>
      <c r="U20" s="57">
        <v>1</v>
      </c>
      <c r="V20" s="276">
        <v>0.25</v>
      </c>
      <c r="W20" s="276">
        <v>0</v>
      </c>
      <c r="X20" s="270">
        <v>1034</v>
      </c>
      <c r="Y20" s="270">
        <v>345</v>
      </c>
      <c r="Z20" s="45" t="b">
        <v>1</v>
      </c>
      <c r="AA20" s="45" t="s">
        <v>38</v>
      </c>
      <c r="AB20" s="45" t="s">
        <v>38</v>
      </c>
    </row>
    <row r="21" spans="1:28" x14ac:dyDescent="0.2">
      <c r="A21" s="270" t="s">
        <v>102</v>
      </c>
      <c r="B21" s="270" t="s">
        <v>102</v>
      </c>
      <c r="C21" s="278">
        <v>43394</v>
      </c>
      <c r="D21" s="278">
        <v>43424</v>
      </c>
      <c r="E21" s="270" t="s">
        <v>267</v>
      </c>
      <c r="F21" s="96" t="s">
        <v>34</v>
      </c>
      <c r="G21" s="270" t="s">
        <v>35</v>
      </c>
      <c r="H21" s="272" t="s">
        <v>949</v>
      </c>
      <c r="I21" s="273">
        <v>15</v>
      </c>
      <c r="J21" s="270">
        <v>170</v>
      </c>
      <c r="K21" s="270">
        <f t="shared" si="0"/>
        <v>2550</v>
      </c>
      <c r="L21" s="270">
        <v>10969</v>
      </c>
      <c r="M21" s="270">
        <v>630</v>
      </c>
      <c r="N21" s="274">
        <v>3</v>
      </c>
      <c r="O21" s="55"/>
      <c r="P21" s="45">
        <v>3</v>
      </c>
      <c r="Q21" s="270">
        <v>141</v>
      </c>
      <c r="R21" s="275">
        <v>1.6080000000000001E-3</v>
      </c>
      <c r="S21" s="270">
        <v>145</v>
      </c>
      <c r="T21" s="270">
        <v>148</v>
      </c>
      <c r="U21" s="57">
        <v>1</v>
      </c>
      <c r="V21" s="276">
        <v>0.17</v>
      </c>
      <c r="W21" s="276">
        <v>0</v>
      </c>
      <c r="X21" s="270">
        <v>123</v>
      </c>
      <c r="Y21" s="270">
        <v>25</v>
      </c>
      <c r="Z21" s="45" t="b">
        <v>1</v>
      </c>
      <c r="AA21" s="45" t="s">
        <v>38</v>
      </c>
      <c r="AB21" s="45" t="s">
        <v>38</v>
      </c>
    </row>
    <row r="22" spans="1:28" x14ac:dyDescent="0.2">
      <c r="A22" s="270" t="s">
        <v>102</v>
      </c>
      <c r="B22" s="270" t="s">
        <v>102</v>
      </c>
      <c r="C22" s="278">
        <v>43394</v>
      </c>
      <c r="D22" s="278">
        <v>43424</v>
      </c>
      <c r="E22" s="270" t="s">
        <v>267</v>
      </c>
      <c r="F22" s="96" t="s">
        <v>34</v>
      </c>
      <c r="G22" s="270" t="s">
        <v>35</v>
      </c>
      <c r="H22" s="272" t="s">
        <v>950</v>
      </c>
      <c r="I22" s="273">
        <v>30</v>
      </c>
      <c r="J22" s="270">
        <v>1969</v>
      </c>
      <c r="K22" s="270">
        <f t="shared" si="0"/>
        <v>59070</v>
      </c>
      <c r="L22" s="270">
        <v>119425</v>
      </c>
      <c r="M22" s="270">
        <v>2970</v>
      </c>
      <c r="N22" s="274">
        <v>71</v>
      </c>
      <c r="O22" s="55"/>
      <c r="P22" s="45">
        <v>71</v>
      </c>
      <c r="Q22" s="270">
        <v>2832</v>
      </c>
      <c r="R22" s="275">
        <v>1.6080000000000001E-3</v>
      </c>
      <c r="S22" s="270">
        <v>2927</v>
      </c>
      <c r="T22" s="270">
        <v>2998</v>
      </c>
      <c r="U22" s="57">
        <v>1</v>
      </c>
      <c r="V22" s="276">
        <v>0.17</v>
      </c>
      <c r="W22" s="276">
        <v>0</v>
      </c>
      <c r="X22" s="270">
        <v>2488</v>
      </c>
      <c r="Y22" s="270">
        <v>510</v>
      </c>
      <c r="Z22" s="45" t="b">
        <v>1</v>
      </c>
      <c r="AA22" s="45" t="s">
        <v>38</v>
      </c>
      <c r="AB22" s="45" t="s">
        <v>38</v>
      </c>
    </row>
    <row r="23" spans="1:28" x14ac:dyDescent="0.2">
      <c r="A23" s="270" t="s">
        <v>145</v>
      </c>
      <c r="B23" s="270" t="s">
        <v>145</v>
      </c>
      <c r="C23" s="278">
        <v>43402</v>
      </c>
      <c r="D23" s="278">
        <v>43429</v>
      </c>
      <c r="E23" s="270" t="s">
        <v>267</v>
      </c>
      <c r="F23" s="96" t="s">
        <v>49</v>
      </c>
      <c r="G23" s="270" t="s">
        <v>35</v>
      </c>
      <c r="H23" s="272" t="s">
        <v>949</v>
      </c>
      <c r="I23" s="273">
        <v>15</v>
      </c>
      <c r="J23" s="270">
        <v>1297</v>
      </c>
      <c r="K23" s="270">
        <f t="shared" si="0"/>
        <v>19455</v>
      </c>
      <c r="L23" s="270">
        <v>56833</v>
      </c>
      <c r="M23" s="270">
        <v>1170</v>
      </c>
      <c r="N23" s="274">
        <v>23</v>
      </c>
      <c r="O23" s="55"/>
      <c r="P23" s="45">
        <v>23</v>
      </c>
      <c r="Q23" s="270">
        <v>348</v>
      </c>
      <c r="R23" s="275">
        <v>-1E-3</v>
      </c>
      <c r="S23" s="270">
        <v>329</v>
      </c>
      <c r="T23" s="270">
        <v>352</v>
      </c>
      <c r="U23" s="57">
        <v>1</v>
      </c>
      <c r="V23" s="276">
        <v>0.25</v>
      </c>
      <c r="W23" s="276">
        <v>0</v>
      </c>
      <c r="X23" s="270">
        <v>264</v>
      </c>
      <c r="Y23" s="270">
        <v>88</v>
      </c>
      <c r="Z23" s="45" t="b">
        <v>1</v>
      </c>
      <c r="AA23" s="45" t="s">
        <v>38</v>
      </c>
      <c r="AB23" s="45" t="s">
        <v>38</v>
      </c>
    </row>
    <row r="24" spans="1:28" x14ac:dyDescent="0.2">
      <c r="A24" s="270" t="s">
        <v>145</v>
      </c>
      <c r="B24" s="270" t="s">
        <v>145</v>
      </c>
      <c r="C24" s="278">
        <v>43402</v>
      </c>
      <c r="D24" s="278">
        <v>43429</v>
      </c>
      <c r="E24" s="270" t="s">
        <v>267</v>
      </c>
      <c r="F24" s="96" t="s">
        <v>49</v>
      </c>
      <c r="G24" s="270" t="s">
        <v>35</v>
      </c>
      <c r="H24" s="272" t="s">
        <v>950</v>
      </c>
      <c r="I24" s="273">
        <v>30</v>
      </c>
      <c r="J24" s="270">
        <v>675</v>
      </c>
      <c r="K24" s="270">
        <f t="shared" si="0"/>
        <v>20250</v>
      </c>
      <c r="L24" s="270">
        <v>39318</v>
      </c>
      <c r="M24" s="270">
        <v>780</v>
      </c>
      <c r="N24" s="274">
        <v>24</v>
      </c>
      <c r="O24" s="55"/>
      <c r="P24" s="45">
        <v>24</v>
      </c>
      <c r="Q24" s="270">
        <v>909</v>
      </c>
      <c r="R24" s="275">
        <v>-9.8299999999999993E-4</v>
      </c>
      <c r="S24" s="270">
        <v>889</v>
      </c>
      <c r="T24" s="270">
        <v>913</v>
      </c>
      <c r="U24" s="57">
        <v>1</v>
      </c>
      <c r="V24" s="276">
        <v>0.25</v>
      </c>
      <c r="W24" s="276">
        <v>0</v>
      </c>
      <c r="X24" s="270">
        <v>685</v>
      </c>
      <c r="Y24" s="270">
        <v>228</v>
      </c>
      <c r="Z24" s="45" t="b">
        <v>1</v>
      </c>
      <c r="AA24" s="45" t="s">
        <v>38</v>
      </c>
      <c r="AB24" s="45" t="s">
        <v>38</v>
      </c>
    </row>
    <row r="25" spans="1:28" x14ac:dyDescent="0.2">
      <c r="A25" s="270" t="s">
        <v>145</v>
      </c>
      <c r="B25" s="270" t="s">
        <v>145</v>
      </c>
      <c r="C25" s="278">
        <v>43430</v>
      </c>
      <c r="D25" s="278">
        <v>43450</v>
      </c>
      <c r="E25" s="270" t="s">
        <v>267</v>
      </c>
      <c r="F25" s="96" t="s">
        <v>49</v>
      </c>
      <c r="G25" s="270" t="s">
        <v>35</v>
      </c>
      <c r="H25" s="272" t="s">
        <v>949</v>
      </c>
      <c r="I25" s="273">
        <v>15</v>
      </c>
      <c r="J25" s="270">
        <v>914</v>
      </c>
      <c r="K25" s="270">
        <f t="shared" si="0"/>
        <v>13710</v>
      </c>
      <c r="L25" s="270">
        <v>67336</v>
      </c>
      <c r="M25" s="270">
        <v>570</v>
      </c>
      <c r="N25" s="274">
        <v>16</v>
      </c>
      <c r="O25" s="55"/>
      <c r="P25" s="45">
        <v>16</v>
      </c>
      <c r="Q25" s="270">
        <v>1011</v>
      </c>
      <c r="R25" s="275">
        <v>7.175E-3</v>
      </c>
      <c r="S25" s="270">
        <v>1109</v>
      </c>
      <c r="T25" s="270">
        <v>1125</v>
      </c>
      <c r="U25" s="57">
        <v>1</v>
      </c>
      <c r="V25" s="276">
        <v>0.17</v>
      </c>
      <c r="W25" s="276">
        <v>0</v>
      </c>
      <c r="X25" s="270">
        <v>934</v>
      </c>
      <c r="Y25" s="270">
        <v>191</v>
      </c>
      <c r="Z25" s="45" t="b">
        <v>1</v>
      </c>
      <c r="AA25" s="45" t="s">
        <v>38</v>
      </c>
      <c r="AB25" s="45" t="s">
        <v>38</v>
      </c>
    </row>
    <row r="26" spans="1:28" x14ac:dyDescent="0.2">
      <c r="A26" s="270" t="s">
        <v>145</v>
      </c>
      <c r="B26" s="270" t="s">
        <v>145</v>
      </c>
      <c r="C26" s="278">
        <v>43430</v>
      </c>
      <c r="D26" s="278">
        <v>43450</v>
      </c>
      <c r="E26" s="270" t="s">
        <v>267</v>
      </c>
      <c r="F26" s="96" t="s">
        <v>49</v>
      </c>
      <c r="G26" s="270" t="s">
        <v>35</v>
      </c>
      <c r="H26" s="272" t="s">
        <v>950</v>
      </c>
      <c r="I26" s="273">
        <v>30</v>
      </c>
      <c r="J26" s="270">
        <v>686</v>
      </c>
      <c r="K26" s="270">
        <f t="shared" si="0"/>
        <v>20580</v>
      </c>
      <c r="L26" s="270">
        <v>43943</v>
      </c>
      <c r="M26" s="270">
        <v>300</v>
      </c>
      <c r="N26" s="274">
        <v>25</v>
      </c>
      <c r="O26" s="55"/>
      <c r="P26" s="45">
        <v>25</v>
      </c>
      <c r="Q26" s="270">
        <v>1147</v>
      </c>
      <c r="R26" s="275">
        <v>6.9890000000000004E-3</v>
      </c>
      <c r="S26" s="270">
        <v>1291</v>
      </c>
      <c r="T26" s="270">
        <v>1316</v>
      </c>
      <c r="U26" s="57">
        <v>1</v>
      </c>
      <c r="V26" s="276">
        <v>0.17</v>
      </c>
      <c r="W26" s="276">
        <v>0</v>
      </c>
      <c r="X26" s="270">
        <v>1092</v>
      </c>
      <c r="Y26" s="270">
        <v>224</v>
      </c>
      <c r="Z26" s="45" t="b">
        <v>1</v>
      </c>
      <c r="AA26" s="45" t="s">
        <v>38</v>
      </c>
      <c r="AB26" s="45" t="s">
        <v>38</v>
      </c>
    </row>
    <row r="27" spans="1:28" x14ac:dyDescent="0.2">
      <c r="A27" s="270" t="s">
        <v>286</v>
      </c>
      <c r="B27" s="270" t="s">
        <v>286</v>
      </c>
      <c r="C27" s="271">
        <v>43425</v>
      </c>
      <c r="D27" s="271">
        <v>43454</v>
      </c>
      <c r="E27" s="270" t="s">
        <v>267</v>
      </c>
      <c r="F27" s="133" t="s">
        <v>34</v>
      </c>
      <c r="G27" s="270" t="s">
        <v>35</v>
      </c>
      <c r="H27" s="272" t="s">
        <v>951</v>
      </c>
      <c r="I27" s="273">
        <v>100</v>
      </c>
      <c r="J27" s="270">
        <v>755</v>
      </c>
      <c r="K27" s="270">
        <f t="shared" si="0"/>
        <v>75500</v>
      </c>
      <c r="L27" s="270">
        <v>24877</v>
      </c>
      <c r="M27" s="270">
        <v>7400</v>
      </c>
      <c r="N27" s="274">
        <v>76</v>
      </c>
      <c r="O27" s="55"/>
      <c r="P27" s="45">
        <v>76</v>
      </c>
      <c r="Q27" s="270">
        <v>518</v>
      </c>
      <c r="R27" s="275">
        <v>-3.0000000000000001E-3</v>
      </c>
      <c r="S27" s="270">
        <v>292</v>
      </c>
      <c r="T27" s="270">
        <v>368</v>
      </c>
      <c r="U27" s="57">
        <v>1</v>
      </c>
      <c r="V27" s="276">
        <v>0.35</v>
      </c>
      <c r="W27" s="276">
        <v>0</v>
      </c>
      <c r="X27" s="270">
        <v>239</v>
      </c>
      <c r="Y27" s="270">
        <v>129</v>
      </c>
      <c r="Z27" s="45" t="b">
        <v>1</v>
      </c>
      <c r="AA27" s="45" t="s">
        <v>38</v>
      </c>
      <c r="AB27" s="45" t="s">
        <v>38</v>
      </c>
    </row>
    <row r="28" spans="1:28" x14ac:dyDescent="0.2">
      <c r="A28" s="270" t="s">
        <v>286</v>
      </c>
      <c r="B28" s="270" t="s">
        <v>286</v>
      </c>
      <c r="C28" s="271">
        <v>43425</v>
      </c>
      <c r="D28" s="271">
        <v>43454</v>
      </c>
      <c r="E28" s="270" t="s">
        <v>267</v>
      </c>
      <c r="F28" s="133" t="s">
        <v>34</v>
      </c>
      <c r="G28" s="270" t="s">
        <v>35</v>
      </c>
      <c r="H28" s="272" t="s">
        <v>948</v>
      </c>
      <c r="I28" s="273">
        <v>60</v>
      </c>
      <c r="J28" s="270">
        <v>315</v>
      </c>
      <c r="K28" s="270">
        <f t="shared" si="0"/>
        <v>18900</v>
      </c>
      <c r="L28" s="270">
        <v>9624</v>
      </c>
      <c r="M28" s="270">
        <v>780</v>
      </c>
      <c r="N28" s="274">
        <v>19</v>
      </c>
      <c r="O28" s="55"/>
      <c r="P28" s="45">
        <v>19</v>
      </c>
      <c r="Q28" s="270">
        <v>44</v>
      </c>
      <c r="R28" s="275">
        <v>-3.0000000000000001E-3</v>
      </c>
      <c r="S28" s="270">
        <v>-12</v>
      </c>
      <c r="T28" s="270">
        <v>7</v>
      </c>
      <c r="U28" s="57">
        <v>1</v>
      </c>
      <c r="V28" s="276">
        <v>0.35</v>
      </c>
      <c r="W28" s="276">
        <v>0</v>
      </c>
      <c r="X28" s="270">
        <v>4</v>
      </c>
      <c r="Y28" s="270">
        <v>2</v>
      </c>
      <c r="Z28" s="45" t="b">
        <v>1</v>
      </c>
      <c r="AA28" s="45" t="s">
        <v>38</v>
      </c>
      <c r="AB28" s="45" t="s">
        <v>38</v>
      </c>
    </row>
    <row r="29" spans="1:28" x14ac:dyDescent="0.2">
      <c r="A29" s="270" t="s">
        <v>286</v>
      </c>
      <c r="B29" s="270" t="s">
        <v>286</v>
      </c>
      <c r="C29" s="271">
        <v>43425</v>
      </c>
      <c r="D29" s="271">
        <v>43454</v>
      </c>
      <c r="E29" s="270" t="s">
        <v>267</v>
      </c>
      <c r="F29" s="133" t="s">
        <v>34</v>
      </c>
      <c r="G29" s="270" t="s">
        <v>35</v>
      </c>
      <c r="H29" s="272" t="s">
        <v>950</v>
      </c>
      <c r="I29" s="273">
        <v>30</v>
      </c>
      <c r="J29" s="270">
        <v>303</v>
      </c>
      <c r="K29" s="270">
        <f t="shared" si="0"/>
        <v>9090</v>
      </c>
      <c r="L29" s="270">
        <v>12969</v>
      </c>
      <c r="M29" s="270">
        <v>4530</v>
      </c>
      <c r="N29" s="274">
        <v>11</v>
      </c>
      <c r="O29" s="55"/>
      <c r="P29" s="45">
        <v>11</v>
      </c>
      <c r="Q29" s="270">
        <v>133</v>
      </c>
      <c r="R29" s="275">
        <v>-3.0000000000000001E-3</v>
      </c>
      <c r="S29" s="270">
        <v>105</v>
      </c>
      <c r="T29" s="270">
        <v>116</v>
      </c>
      <c r="U29" s="57">
        <v>1</v>
      </c>
      <c r="V29" s="276">
        <v>0.35</v>
      </c>
      <c r="W29" s="276">
        <v>0</v>
      </c>
      <c r="X29" s="270">
        <v>76</v>
      </c>
      <c r="Y29" s="270">
        <v>41</v>
      </c>
      <c r="Z29" s="45" t="b">
        <v>1</v>
      </c>
      <c r="AA29" s="45" t="s">
        <v>38</v>
      </c>
      <c r="AB29" s="45" t="s">
        <v>38</v>
      </c>
    </row>
    <row r="30" spans="1:28" x14ac:dyDescent="0.2">
      <c r="A30" s="270" t="s">
        <v>102</v>
      </c>
      <c r="B30" s="270" t="s">
        <v>102</v>
      </c>
      <c r="C30" s="278">
        <v>43425</v>
      </c>
      <c r="D30" s="278">
        <v>43454</v>
      </c>
      <c r="E30" s="270" t="s">
        <v>267</v>
      </c>
      <c r="F30" s="96" t="s">
        <v>34</v>
      </c>
      <c r="G30" s="270" t="s">
        <v>35</v>
      </c>
      <c r="H30" s="272" t="s">
        <v>949</v>
      </c>
      <c r="I30" s="273">
        <v>15</v>
      </c>
      <c r="J30" s="270">
        <v>104</v>
      </c>
      <c r="K30" s="270">
        <f t="shared" si="0"/>
        <v>1560</v>
      </c>
      <c r="L30" s="270">
        <v>8045</v>
      </c>
      <c r="M30" s="270">
        <v>585</v>
      </c>
      <c r="N30" s="274">
        <v>2</v>
      </c>
      <c r="O30" s="55"/>
      <c r="P30" s="45">
        <v>2</v>
      </c>
      <c r="Q30" s="270">
        <v>123</v>
      </c>
      <c r="R30" s="275">
        <v>1.735E-3</v>
      </c>
      <c r="S30" s="270">
        <v>126</v>
      </c>
      <c r="T30" s="270">
        <v>128</v>
      </c>
      <c r="U30" s="57">
        <v>1</v>
      </c>
      <c r="V30" s="276">
        <v>0.25</v>
      </c>
      <c r="W30" s="276">
        <v>0</v>
      </c>
      <c r="X30" s="270">
        <v>96</v>
      </c>
      <c r="Y30" s="270">
        <v>32</v>
      </c>
      <c r="Z30" s="45" t="b">
        <v>1</v>
      </c>
      <c r="AA30" s="45" t="s">
        <v>38</v>
      </c>
      <c r="AB30" s="45" t="s">
        <v>38</v>
      </c>
    </row>
    <row r="31" spans="1:28" x14ac:dyDescent="0.2">
      <c r="A31" s="270" t="s">
        <v>102</v>
      </c>
      <c r="B31" s="270" t="s">
        <v>102</v>
      </c>
      <c r="C31" s="278">
        <v>43425</v>
      </c>
      <c r="D31" s="278">
        <v>43454</v>
      </c>
      <c r="E31" s="270" t="s">
        <v>267</v>
      </c>
      <c r="F31" s="96" t="s">
        <v>34</v>
      </c>
      <c r="G31" s="270" t="s">
        <v>35</v>
      </c>
      <c r="H31" s="272" t="s">
        <v>950</v>
      </c>
      <c r="I31" s="273">
        <v>30</v>
      </c>
      <c r="J31" s="270">
        <v>787</v>
      </c>
      <c r="K31" s="270">
        <f t="shared" si="0"/>
        <v>23610</v>
      </c>
      <c r="L31" s="270">
        <v>44254</v>
      </c>
      <c r="M31" s="270">
        <v>1410</v>
      </c>
      <c r="N31" s="274">
        <v>28</v>
      </c>
      <c r="O31" s="55"/>
      <c r="P31" s="45">
        <v>28</v>
      </c>
      <c r="Q31" s="270">
        <v>937</v>
      </c>
      <c r="R31" s="275">
        <v>1.735E-3</v>
      </c>
      <c r="S31" s="270">
        <v>978</v>
      </c>
      <c r="T31" s="270">
        <v>1006</v>
      </c>
      <c r="U31" s="57">
        <v>1</v>
      </c>
      <c r="V31" s="276">
        <v>0.25</v>
      </c>
      <c r="W31" s="276">
        <v>0</v>
      </c>
      <c r="X31" s="270">
        <v>754</v>
      </c>
      <c r="Y31" s="270">
        <v>251</v>
      </c>
      <c r="Z31" s="45" t="b">
        <v>1</v>
      </c>
      <c r="AA31" s="45" t="s">
        <v>38</v>
      </c>
      <c r="AB31" s="45" t="s">
        <v>38</v>
      </c>
    </row>
    <row r="32" spans="1:28" x14ac:dyDescent="0.2">
      <c r="A32" s="270" t="s">
        <v>102</v>
      </c>
      <c r="B32" s="270" t="s">
        <v>102</v>
      </c>
      <c r="C32" s="278">
        <v>43425</v>
      </c>
      <c r="D32" s="278">
        <v>43454</v>
      </c>
      <c r="E32" s="270" t="s">
        <v>267</v>
      </c>
      <c r="F32" s="96" t="s">
        <v>34</v>
      </c>
      <c r="G32" s="270" t="s">
        <v>35</v>
      </c>
      <c r="H32" s="272" t="s">
        <v>948</v>
      </c>
      <c r="I32" s="273">
        <v>60</v>
      </c>
      <c r="J32" s="270">
        <v>1789</v>
      </c>
      <c r="K32" s="270">
        <f t="shared" si="0"/>
        <v>107340</v>
      </c>
      <c r="L32" s="270">
        <v>75619</v>
      </c>
      <c r="M32" s="270">
        <v>-540</v>
      </c>
      <c r="N32" s="274">
        <v>107</v>
      </c>
      <c r="O32" s="55"/>
      <c r="P32" s="45">
        <v>107</v>
      </c>
      <c r="Q32" s="270">
        <v>2625</v>
      </c>
      <c r="R32" s="275">
        <v>1.735E-3</v>
      </c>
      <c r="S32" s="270">
        <v>2811</v>
      </c>
      <c r="T32" s="270">
        <v>2918</v>
      </c>
      <c r="U32" s="57">
        <v>1</v>
      </c>
      <c r="V32" s="276">
        <v>0.25</v>
      </c>
      <c r="W32" s="276">
        <v>0</v>
      </c>
      <c r="X32" s="270">
        <v>2189</v>
      </c>
      <c r="Y32" s="270">
        <v>730</v>
      </c>
      <c r="Z32" s="45" t="b">
        <v>1</v>
      </c>
      <c r="AA32" s="45" t="s">
        <v>38</v>
      </c>
      <c r="AB32" s="45" t="s">
        <v>38</v>
      </c>
    </row>
    <row r="33" spans="1:28" x14ac:dyDescent="0.2">
      <c r="A33" s="270" t="s">
        <v>286</v>
      </c>
      <c r="B33" s="270" t="s">
        <v>286</v>
      </c>
      <c r="C33" s="271">
        <v>43455</v>
      </c>
      <c r="D33" s="271">
        <v>43485</v>
      </c>
      <c r="E33" s="270" t="s">
        <v>267</v>
      </c>
      <c r="F33" s="133" t="s">
        <v>34</v>
      </c>
      <c r="G33" s="270" t="s">
        <v>35</v>
      </c>
      <c r="H33" s="272" t="s">
        <v>952</v>
      </c>
      <c r="I33" s="273">
        <v>25</v>
      </c>
      <c r="J33" s="270">
        <v>374</v>
      </c>
      <c r="K33" s="270">
        <f t="shared" si="0"/>
        <v>9350</v>
      </c>
      <c r="L33" s="270">
        <v>19636</v>
      </c>
      <c r="M33" s="270">
        <v>550</v>
      </c>
      <c r="N33" s="274">
        <v>13</v>
      </c>
      <c r="O33" s="55"/>
      <c r="P33" s="45">
        <v>13</v>
      </c>
      <c r="Q33" s="270">
        <v>232</v>
      </c>
      <c r="R33" s="275">
        <v>-3.0000000000000001E-3</v>
      </c>
      <c r="S33" s="270">
        <v>204</v>
      </c>
      <c r="T33" s="270">
        <v>217</v>
      </c>
      <c r="U33" s="57">
        <v>1</v>
      </c>
      <c r="V33" s="276">
        <v>0.17</v>
      </c>
      <c r="W33" s="276">
        <v>0</v>
      </c>
      <c r="X33" s="270">
        <v>180</v>
      </c>
      <c r="Y33" s="270">
        <v>37</v>
      </c>
      <c r="Z33" s="45" t="b">
        <v>1</v>
      </c>
      <c r="AA33" s="45" t="s">
        <v>38</v>
      </c>
      <c r="AB33" s="45" t="s">
        <v>38</v>
      </c>
    </row>
    <row r="34" spans="1:28" x14ac:dyDescent="0.2">
      <c r="A34" s="270" t="s">
        <v>286</v>
      </c>
      <c r="B34" s="270" t="s">
        <v>286</v>
      </c>
      <c r="C34" s="271">
        <v>43455</v>
      </c>
      <c r="D34" s="271">
        <v>43485</v>
      </c>
      <c r="E34" s="270" t="s">
        <v>267</v>
      </c>
      <c r="F34" s="133" t="s">
        <v>34</v>
      </c>
      <c r="G34" s="270" t="s">
        <v>35</v>
      </c>
      <c r="H34" s="272" t="s">
        <v>950</v>
      </c>
      <c r="I34" s="273">
        <v>30</v>
      </c>
      <c r="J34" s="270">
        <v>278</v>
      </c>
      <c r="K34" s="270">
        <f t="shared" si="0"/>
        <v>8340</v>
      </c>
      <c r="L34" s="270">
        <v>23294</v>
      </c>
      <c r="M34" s="270">
        <v>60</v>
      </c>
      <c r="N34" s="274">
        <v>10</v>
      </c>
      <c r="O34" s="55"/>
      <c r="P34" s="45">
        <v>10</v>
      </c>
      <c r="Q34" s="270">
        <v>760</v>
      </c>
      <c r="R34" s="275">
        <v>-3.0000000000000001E-3</v>
      </c>
      <c r="S34" s="270">
        <v>735</v>
      </c>
      <c r="T34" s="270">
        <v>745</v>
      </c>
      <c r="U34" s="57">
        <v>1</v>
      </c>
      <c r="V34" s="276">
        <v>0.17</v>
      </c>
      <c r="W34" s="276">
        <v>0</v>
      </c>
      <c r="X34" s="270">
        <v>618</v>
      </c>
      <c r="Y34" s="270">
        <v>127</v>
      </c>
      <c r="Z34" s="45" t="b">
        <v>1</v>
      </c>
      <c r="AA34" s="45" t="s">
        <v>38</v>
      </c>
      <c r="AB34" s="45" t="s">
        <v>38</v>
      </c>
    </row>
    <row r="35" spans="1:28" x14ac:dyDescent="0.2">
      <c r="A35" s="270" t="s">
        <v>286</v>
      </c>
      <c r="B35" s="270" t="s">
        <v>286</v>
      </c>
      <c r="C35" s="271">
        <v>43455</v>
      </c>
      <c r="D35" s="271">
        <v>43485</v>
      </c>
      <c r="E35" s="270" t="s">
        <v>267</v>
      </c>
      <c r="F35" s="133" t="s">
        <v>34</v>
      </c>
      <c r="G35" s="270" t="s">
        <v>35</v>
      </c>
      <c r="H35" s="272" t="s">
        <v>948</v>
      </c>
      <c r="I35" s="273">
        <v>60</v>
      </c>
      <c r="J35" s="270">
        <v>487</v>
      </c>
      <c r="K35" s="270">
        <f t="shared" si="0"/>
        <v>29220</v>
      </c>
      <c r="L35" s="270">
        <v>24001</v>
      </c>
      <c r="M35" s="270">
        <v>2820</v>
      </c>
      <c r="N35" s="274">
        <v>29</v>
      </c>
      <c r="O35" s="55"/>
      <c r="P35" s="45">
        <v>29</v>
      </c>
      <c r="Q35" s="270">
        <v>1101</v>
      </c>
      <c r="R35" s="275">
        <v>-3.0000000000000001E-3</v>
      </c>
      <c r="S35" s="270">
        <v>1014</v>
      </c>
      <c r="T35" s="270">
        <v>1043</v>
      </c>
      <c r="U35" s="57">
        <v>1</v>
      </c>
      <c r="V35" s="276">
        <v>0.17</v>
      </c>
      <c r="W35" s="276">
        <v>0</v>
      </c>
      <c r="X35" s="270">
        <v>865</v>
      </c>
      <c r="Y35" s="270">
        <v>177</v>
      </c>
      <c r="Z35" s="45" t="b">
        <v>1</v>
      </c>
      <c r="AA35" s="45" t="s">
        <v>38</v>
      </c>
      <c r="AB35" s="45" t="s">
        <v>38</v>
      </c>
    </row>
    <row r="36" spans="1:28" x14ac:dyDescent="0.2">
      <c r="A36" s="270" t="s">
        <v>286</v>
      </c>
      <c r="B36" s="270" t="s">
        <v>286</v>
      </c>
      <c r="C36" s="271">
        <v>43455</v>
      </c>
      <c r="D36" s="271">
        <v>43485</v>
      </c>
      <c r="E36" s="270" t="s">
        <v>267</v>
      </c>
      <c r="F36" s="133" t="s">
        <v>34</v>
      </c>
      <c r="G36" s="270" t="s">
        <v>35</v>
      </c>
      <c r="H36" s="272" t="s">
        <v>951</v>
      </c>
      <c r="I36" s="273">
        <v>100</v>
      </c>
      <c r="J36" s="270">
        <v>982</v>
      </c>
      <c r="K36" s="270">
        <f t="shared" si="0"/>
        <v>98200</v>
      </c>
      <c r="L36" s="270">
        <v>46156</v>
      </c>
      <c r="M36" s="270">
        <v>2800</v>
      </c>
      <c r="N36" s="274">
        <v>98</v>
      </c>
      <c r="O36" s="55"/>
      <c r="P36" s="45">
        <v>98</v>
      </c>
      <c r="Q36" s="270">
        <v>3279</v>
      </c>
      <c r="R36" s="275">
        <v>-3.0000000000000001E-3</v>
      </c>
      <c r="S36" s="270">
        <v>2984</v>
      </c>
      <c r="T36" s="270">
        <v>3082</v>
      </c>
      <c r="U36" s="57">
        <v>1</v>
      </c>
      <c r="V36" s="276">
        <v>0.17</v>
      </c>
      <c r="W36" s="276">
        <v>0</v>
      </c>
      <c r="X36" s="270">
        <v>2558</v>
      </c>
      <c r="Y36" s="270">
        <v>524</v>
      </c>
      <c r="Z36" s="45" t="b">
        <v>1</v>
      </c>
      <c r="AA36" s="45" t="s">
        <v>38</v>
      </c>
      <c r="AB36" s="45" t="s">
        <v>38</v>
      </c>
    </row>
    <row r="37" spans="1:28" x14ac:dyDescent="0.2">
      <c r="A37" s="270" t="s">
        <v>102</v>
      </c>
      <c r="B37" s="270" t="s">
        <v>102</v>
      </c>
      <c r="C37" s="278">
        <v>43455</v>
      </c>
      <c r="D37" s="277">
        <v>43485</v>
      </c>
      <c r="E37" s="270" t="s">
        <v>267</v>
      </c>
      <c r="F37" s="96" t="s">
        <v>34</v>
      </c>
      <c r="G37" s="270" t="s">
        <v>35</v>
      </c>
      <c r="H37" s="272" t="s">
        <v>949</v>
      </c>
      <c r="I37" s="273">
        <v>15</v>
      </c>
      <c r="J37" s="270">
        <v>2</v>
      </c>
      <c r="K37" s="270">
        <f t="shared" si="0"/>
        <v>30</v>
      </c>
      <c r="L37" s="270">
        <v>904</v>
      </c>
      <c r="M37" s="270">
        <v>0</v>
      </c>
      <c r="N37" s="274">
        <v>0</v>
      </c>
      <c r="O37" s="55"/>
      <c r="P37" s="45">
        <v>0</v>
      </c>
      <c r="Q37" s="270">
        <v>23</v>
      </c>
      <c r="R37" s="275">
        <v>2.4190000000000001E-3</v>
      </c>
      <c r="S37" s="270">
        <v>23</v>
      </c>
      <c r="T37" s="270">
        <v>23</v>
      </c>
      <c r="U37" s="57">
        <v>1</v>
      </c>
      <c r="V37" s="276">
        <v>0.17</v>
      </c>
      <c r="W37" s="276">
        <v>0</v>
      </c>
      <c r="X37" s="270">
        <v>19</v>
      </c>
      <c r="Y37" s="270">
        <v>4</v>
      </c>
      <c r="Z37" s="45" t="b">
        <v>1</v>
      </c>
      <c r="AA37" s="45" t="s">
        <v>38</v>
      </c>
      <c r="AB37" s="45" t="s">
        <v>38</v>
      </c>
    </row>
    <row r="38" spans="1:28" x14ac:dyDescent="0.2">
      <c r="A38" s="270" t="s">
        <v>102</v>
      </c>
      <c r="B38" s="270" t="s">
        <v>102</v>
      </c>
      <c r="C38" s="278">
        <v>43455</v>
      </c>
      <c r="D38" s="277">
        <v>43485</v>
      </c>
      <c r="E38" s="270" t="s">
        <v>267</v>
      </c>
      <c r="F38" s="96" t="s">
        <v>34</v>
      </c>
      <c r="G38" s="270" t="s">
        <v>35</v>
      </c>
      <c r="H38" s="272" t="s">
        <v>948</v>
      </c>
      <c r="I38" s="273">
        <v>60</v>
      </c>
      <c r="J38" s="270">
        <v>1616</v>
      </c>
      <c r="K38" s="270">
        <f t="shared" si="0"/>
        <v>96960</v>
      </c>
      <c r="L38" s="270">
        <v>88401</v>
      </c>
      <c r="M38" s="270">
        <v>4020</v>
      </c>
      <c r="N38" s="274">
        <v>97</v>
      </c>
      <c r="O38" s="55"/>
      <c r="P38" s="45">
        <v>97</v>
      </c>
      <c r="Q38" s="270">
        <v>4647</v>
      </c>
      <c r="R38" s="275">
        <v>2.4190000000000001E-3</v>
      </c>
      <c r="S38" s="270">
        <v>4881</v>
      </c>
      <c r="T38" s="270">
        <v>4978</v>
      </c>
      <c r="U38" s="57">
        <v>1</v>
      </c>
      <c r="V38" s="276">
        <v>0.17</v>
      </c>
      <c r="W38" s="276">
        <v>0</v>
      </c>
      <c r="X38" s="270">
        <v>4132</v>
      </c>
      <c r="Y38" s="270">
        <v>846</v>
      </c>
      <c r="Z38" s="45" t="b">
        <v>1</v>
      </c>
      <c r="AA38" s="45" t="s">
        <v>38</v>
      </c>
      <c r="AB38" s="45" t="s">
        <v>38</v>
      </c>
    </row>
    <row r="39" spans="1:28" x14ac:dyDescent="0.2">
      <c r="A39" s="270" t="s">
        <v>145</v>
      </c>
      <c r="B39" s="270" t="s">
        <v>145</v>
      </c>
      <c r="C39" s="278">
        <v>43451</v>
      </c>
      <c r="D39" s="277">
        <v>43492</v>
      </c>
      <c r="E39" s="270" t="s">
        <v>267</v>
      </c>
      <c r="F39" s="96" t="s">
        <v>49</v>
      </c>
      <c r="G39" s="270" t="s">
        <v>35</v>
      </c>
      <c r="H39" s="272" t="s">
        <v>949</v>
      </c>
      <c r="I39" s="273">
        <v>15</v>
      </c>
      <c r="J39" s="270">
        <v>750</v>
      </c>
      <c r="K39" s="270">
        <f t="shared" si="0"/>
        <v>11250</v>
      </c>
      <c r="L39" s="270">
        <v>18527</v>
      </c>
      <c r="M39" s="270">
        <v>-570</v>
      </c>
      <c r="N39" s="274">
        <v>14</v>
      </c>
      <c r="O39" s="55"/>
      <c r="P39" s="45">
        <v>14</v>
      </c>
      <c r="Q39" s="270">
        <v>-201</v>
      </c>
      <c r="R39" s="275">
        <v>8.4599999999999996E-4</v>
      </c>
      <c r="S39" s="270">
        <v>-191</v>
      </c>
      <c r="T39" s="270">
        <v>-177</v>
      </c>
      <c r="U39" s="57">
        <v>1</v>
      </c>
      <c r="V39" s="276">
        <v>0.17</v>
      </c>
      <c r="W39" s="276">
        <v>0</v>
      </c>
      <c r="X39" s="270">
        <v>-147</v>
      </c>
      <c r="Y39" s="270">
        <v>-30</v>
      </c>
      <c r="Z39" s="45" t="b">
        <v>1</v>
      </c>
      <c r="AA39" s="45" t="s">
        <v>38</v>
      </c>
      <c r="AB39" s="45" t="s">
        <v>38</v>
      </c>
    </row>
    <row r="40" spans="1:28" x14ac:dyDescent="0.2">
      <c r="A40" s="270" t="s">
        <v>145</v>
      </c>
      <c r="B40" s="270" t="s">
        <v>145</v>
      </c>
      <c r="C40" s="278">
        <v>43451</v>
      </c>
      <c r="D40" s="277">
        <v>43492</v>
      </c>
      <c r="E40" s="270" t="s">
        <v>267</v>
      </c>
      <c r="F40" s="96" t="s">
        <v>49</v>
      </c>
      <c r="G40" s="270" t="s">
        <v>35</v>
      </c>
      <c r="H40" s="272" t="s">
        <v>950</v>
      </c>
      <c r="I40" s="273">
        <v>30</v>
      </c>
      <c r="J40" s="270">
        <v>2543</v>
      </c>
      <c r="K40" s="270">
        <f t="shared" si="0"/>
        <v>76290</v>
      </c>
      <c r="L40" s="270">
        <v>146857</v>
      </c>
      <c r="M40" s="270">
        <v>1920</v>
      </c>
      <c r="N40" s="274">
        <v>92</v>
      </c>
      <c r="O40" s="55"/>
      <c r="P40" s="45">
        <v>92</v>
      </c>
      <c r="Q40" s="270">
        <v>3353</v>
      </c>
      <c r="R40" s="275">
        <v>9.0399999999999996E-4</v>
      </c>
      <c r="S40" s="270">
        <v>3422</v>
      </c>
      <c r="T40" s="270">
        <v>3514</v>
      </c>
      <c r="U40" s="57">
        <v>1</v>
      </c>
      <c r="V40" s="276">
        <v>0.17</v>
      </c>
      <c r="W40" s="276">
        <v>0</v>
      </c>
      <c r="X40" s="270">
        <v>2917</v>
      </c>
      <c r="Y40" s="270">
        <v>597</v>
      </c>
      <c r="Z40" s="45" t="b">
        <v>1</v>
      </c>
      <c r="AA40" s="45" t="s">
        <v>38</v>
      </c>
      <c r="AB40" s="45" t="s">
        <v>38</v>
      </c>
    </row>
    <row r="41" spans="1:28" x14ac:dyDescent="0.2">
      <c r="A41" s="270" t="s">
        <v>286</v>
      </c>
      <c r="B41" s="270" t="s">
        <v>286</v>
      </c>
      <c r="C41" s="271">
        <v>43486</v>
      </c>
      <c r="D41" s="271">
        <v>43516</v>
      </c>
      <c r="E41" s="270" t="s">
        <v>267</v>
      </c>
      <c r="F41" s="133" t="s">
        <v>34</v>
      </c>
      <c r="G41" s="270" t="s">
        <v>35</v>
      </c>
      <c r="H41" s="272" t="s">
        <v>952</v>
      </c>
      <c r="I41" s="273">
        <v>25</v>
      </c>
      <c r="J41" s="270">
        <v>364</v>
      </c>
      <c r="K41" s="270">
        <f t="shared" si="0"/>
        <v>9100</v>
      </c>
      <c r="L41" s="270">
        <v>10621</v>
      </c>
      <c r="M41" s="270">
        <v>850</v>
      </c>
      <c r="N41" s="274">
        <v>13</v>
      </c>
      <c r="O41" s="55"/>
      <c r="P41" s="45">
        <v>13</v>
      </c>
      <c r="Q41" s="270">
        <v>-159</v>
      </c>
      <c r="R41" s="275">
        <v>-2.5000000000000001E-3</v>
      </c>
      <c r="S41" s="270">
        <v>-182</v>
      </c>
      <c r="T41" s="270">
        <v>-169</v>
      </c>
      <c r="U41" s="57">
        <v>1</v>
      </c>
      <c r="V41" s="276">
        <v>0.25</v>
      </c>
      <c r="W41" s="276">
        <v>0</v>
      </c>
      <c r="X41" s="270">
        <v>-127</v>
      </c>
      <c r="Y41" s="270">
        <v>-42</v>
      </c>
      <c r="Z41" s="45" t="b">
        <v>1</v>
      </c>
      <c r="AA41" s="45" t="s">
        <v>38</v>
      </c>
      <c r="AB41" s="45" t="s">
        <v>38</v>
      </c>
    </row>
    <row r="42" spans="1:28" x14ac:dyDescent="0.2">
      <c r="A42" s="270" t="s">
        <v>286</v>
      </c>
      <c r="B42" s="270" t="s">
        <v>286</v>
      </c>
      <c r="C42" s="271">
        <v>43486</v>
      </c>
      <c r="D42" s="271">
        <v>43516</v>
      </c>
      <c r="E42" s="270" t="s">
        <v>267</v>
      </c>
      <c r="F42" s="133" t="s">
        <v>34</v>
      </c>
      <c r="G42" s="270" t="s">
        <v>35</v>
      </c>
      <c r="H42" s="272" t="s">
        <v>950</v>
      </c>
      <c r="I42" s="273">
        <v>30</v>
      </c>
      <c r="J42" s="270">
        <v>572</v>
      </c>
      <c r="K42" s="270">
        <f t="shared" si="0"/>
        <v>17160</v>
      </c>
      <c r="L42" s="270">
        <v>47534</v>
      </c>
      <c r="M42" s="270">
        <v>1860</v>
      </c>
      <c r="N42" s="274">
        <v>21</v>
      </c>
      <c r="O42" s="55"/>
      <c r="P42" s="45">
        <v>21</v>
      </c>
      <c r="Q42" s="270">
        <v>1567</v>
      </c>
      <c r="R42" s="275">
        <v>-2.5000000000000001E-3</v>
      </c>
      <c r="S42" s="270">
        <v>1525</v>
      </c>
      <c r="T42" s="270">
        <v>1546</v>
      </c>
      <c r="U42" s="57">
        <v>1</v>
      </c>
      <c r="V42" s="276">
        <v>0.25</v>
      </c>
      <c r="W42" s="276">
        <v>0</v>
      </c>
      <c r="X42" s="270">
        <v>1159</v>
      </c>
      <c r="Y42" s="270">
        <v>386</v>
      </c>
      <c r="Z42" s="45" t="b">
        <v>1</v>
      </c>
      <c r="AA42" s="45" t="s">
        <v>38</v>
      </c>
      <c r="AB42" s="45" t="s">
        <v>38</v>
      </c>
    </row>
    <row r="43" spans="1:28" x14ac:dyDescent="0.2">
      <c r="A43" s="270" t="s">
        <v>286</v>
      </c>
      <c r="B43" s="270" t="s">
        <v>286</v>
      </c>
      <c r="C43" s="271">
        <v>43486</v>
      </c>
      <c r="D43" s="271">
        <v>43516</v>
      </c>
      <c r="E43" s="270" t="s">
        <v>267</v>
      </c>
      <c r="F43" s="133" t="s">
        <v>34</v>
      </c>
      <c r="G43" s="270" t="s">
        <v>35</v>
      </c>
      <c r="H43" s="272" t="s">
        <v>948</v>
      </c>
      <c r="I43" s="273">
        <v>60</v>
      </c>
      <c r="J43" s="270">
        <v>836</v>
      </c>
      <c r="K43" s="270">
        <f t="shared" si="0"/>
        <v>50160</v>
      </c>
      <c r="L43" s="270">
        <v>27494</v>
      </c>
      <c r="M43" s="270">
        <v>-2460</v>
      </c>
      <c r="N43" s="274">
        <v>50</v>
      </c>
      <c r="O43" s="55"/>
      <c r="P43" s="45">
        <v>50</v>
      </c>
      <c r="Q43" s="270">
        <v>408</v>
      </c>
      <c r="R43" s="275">
        <v>-2.5000000000000001E-3</v>
      </c>
      <c r="S43" s="270">
        <v>283</v>
      </c>
      <c r="T43" s="270">
        <v>333</v>
      </c>
      <c r="U43" s="57">
        <v>1</v>
      </c>
      <c r="V43" s="276">
        <v>0.25</v>
      </c>
      <c r="W43" s="276">
        <v>0</v>
      </c>
      <c r="X43" s="270">
        <v>249</v>
      </c>
      <c r="Y43" s="270">
        <v>83</v>
      </c>
      <c r="Z43" s="45" t="b">
        <v>1</v>
      </c>
      <c r="AA43" s="45" t="s">
        <v>38</v>
      </c>
      <c r="AB43" s="45" t="s">
        <v>38</v>
      </c>
    </row>
    <row r="44" spans="1:28" x14ac:dyDescent="0.2">
      <c r="A44" s="270" t="s">
        <v>286</v>
      </c>
      <c r="B44" s="270" t="s">
        <v>286</v>
      </c>
      <c r="C44" s="271">
        <v>43486</v>
      </c>
      <c r="D44" s="271">
        <v>43516</v>
      </c>
      <c r="E44" s="270" t="s">
        <v>267</v>
      </c>
      <c r="F44" s="133" t="s">
        <v>34</v>
      </c>
      <c r="G44" s="270" t="s">
        <v>35</v>
      </c>
      <c r="H44" s="272" t="s">
        <v>951</v>
      </c>
      <c r="I44" s="273">
        <v>100</v>
      </c>
      <c r="J44" s="270">
        <v>1327</v>
      </c>
      <c r="K44" s="270">
        <f t="shared" si="0"/>
        <v>132700</v>
      </c>
      <c r="L44" s="270">
        <v>35969</v>
      </c>
      <c r="M44" s="270">
        <v>2000</v>
      </c>
      <c r="N44" s="274">
        <v>133</v>
      </c>
      <c r="O44" s="55"/>
      <c r="P44" s="45">
        <v>133</v>
      </c>
      <c r="Q44" s="270">
        <v>-370</v>
      </c>
      <c r="R44" s="275">
        <v>-2.5000000000000001E-3</v>
      </c>
      <c r="S44" s="270">
        <v>-702</v>
      </c>
      <c r="T44" s="270">
        <v>-569</v>
      </c>
      <c r="U44" s="57">
        <v>1</v>
      </c>
      <c r="V44" s="276">
        <v>0.25</v>
      </c>
      <c r="W44" s="276">
        <v>0</v>
      </c>
      <c r="X44" s="270">
        <v>-427</v>
      </c>
      <c r="Y44" s="270">
        <v>-142</v>
      </c>
      <c r="Z44" s="45" t="b">
        <v>1</v>
      </c>
      <c r="AA44" s="45" t="s">
        <v>38</v>
      </c>
      <c r="AB44" s="45" t="s">
        <v>38</v>
      </c>
    </row>
    <row r="45" spans="1:28" x14ac:dyDescent="0.2">
      <c r="A45" s="270" t="s">
        <v>102</v>
      </c>
      <c r="B45" s="270" t="s">
        <v>102</v>
      </c>
      <c r="C45" s="277">
        <v>43486</v>
      </c>
      <c r="D45" s="277">
        <v>43516</v>
      </c>
      <c r="E45" s="270" t="s">
        <v>267</v>
      </c>
      <c r="F45" s="96" t="s">
        <v>34</v>
      </c>
      <c r="G45" s="270" t="s">
        <v>35</v>
      </c>
      <c r="H45" s="272" t="s">
        <v>950</v>
      </c>
      <c r="I45" s="273">
        <v>30</v>
      </c>
      <c r="J45" s="270">
        <v>160</v>
      </c>
      <c r="K45" s="270">
        <f t="shared" si="0"/>
        <v>4800</v>
      </c>
      <c r="L45" s="270">
        <v>7376</v>
      </c>
      <c r="M45" s="270">
        <v>60</v>
      </c>
      <c r="N45" s="274">
        <v>6</v>
      </c>
      <c r="O45" s="55"/>
      <c r="P45" s="45">
        <v>6</v>
      </c>
      <c r="Q45" s="270">
        <v>106</v>
      </c>
      <c r="R45" s="275">
        <v>-7.27E-4</v>
      </c>
      <c r="S45" s="270">
        <v>103</v>
      </c>
      <c r="T45" s="270">
        <v>109</v>
      </c>
      <c r="U45" s="57">
        <v>1</v>
      </c>
      <c r="V45" s="276">
        <v>0.1</v>
      </c>
      <c r="W45" s="276">
        <v>0</v>
      </c>
      <c r="X45" s="270">
        <v>98</v>
      </c>
      <c r="Y45" s="270">
        <v>11</v>
      </c>
      <c r="Z45" s="45" t="b">
        <v>1</v>
      </c>
      <c r="AA45" s="45" t="s">
        <v>38</v>
      </c>
      <c r="AB45" s="45" t="s">
        <v>38</v>
      </c>
    </row>
    <row r="46" spans="1:28" x14ac:dyDescent="0.2">
      <c r="A46" s="270" t="s">
        <v>102</v>
      </c>
      <c r="B46" s="270" t="s">
        <v>102</v>
      </c>
      <c r="C46" s="277">
        <v>43486</v>
      </c>
      <c r="D46" s="277">
        <v>43516</v>
      </c>
      <c r="E46" s="270" t="s">
        <v>267</v>
      </c>
      <c r="F46" s="96" t="s">
        <v>34</v>
      </c>
      <c r="G46" s="270" t="s">
        <v>35</v>
      </c>
      <c r="H46" s="272" t="s">
        <v>948</v>
      </c>
      <c r="I46" s="273">
        <v>60</v>
      </c>
      <c r="J46" s="270">
        <v>2142</v>
      </c>
      <c r="K46" s="270">
        <f t="shared" si="0"/>
        <v>128520</v>
      </c>
      <c r="L46" s="270">
        <v>116355</v>
      </c>
      <c r="M46" s="270">
        <v>8400</v>
      </c>
      <c r="N46" s="274">
        <v>129</v>
      </c>
      <c r="O46" s="55"/>
      <c r="P46" s="45">
        <v>129</v>
      </c>
      <c r="Q46" s="270">
        <v>6250</v>
      </c>
      <c r="R46" s="275">
        <v>-7.27E-4</v>
      </c>
      <c r="S46" s="270">
        <v>6156</v>
      </c>
      <c r="T46" s="270">
        <v>6285</v>
      </c>
      <c r="U46" s="57">
        <v>1</v>
      </c>
      <c r="V46" s="276">
        <v>0.1</v>
      </c>
      <c r="W46" s="276">
        <v>0</v>
      </c>
      <c r="X46" s="270">
        <v>5657</v>
      </c>
      <c r="Y46" s="270">
        <v>629</v>
      </c>
      <c r="Z46" s="45" t="b">
        <v>1</v>
      </c>
      <c r="AA46" s="45" t="s">
        <v>38</v>
      </c>
      <c r="AB46" s="45" t="s">
        <v>38</v>
      </c>
    </row>
    <row r="47" spans="1:28" x14ac:dyDescent="0.2">
      <c r="A47" s="270" t="s">
        <v>102</v>
      </c>
      <c r="B47" s="270" t="s">
        <v>102</v>
      </c>
      <c r="C47" s="277">
        <v>43486</v>
      </c>
      <c r="D47" s="277">
        <v>43516</v>
      </c>
      <c r="E47" s="270" t="s">
        <v>267</v>
      </c>
      <c r="F47" s="96" t="s">
        <v>34</v>
      </c>
      <c r="G47" s="270" t="s">
        <v>35</v>
      </c>
      <c r="H47" s="272" t="s">
        <v>951</v>
      </c>
      <c r="I47" s="273">
        <v>100</v>
      </c>
      <c r="J47" s="270">
        <v>235</v>
      </c>
      <c r="K47" s="270">
        <f t="shared" si="0"/>
        <v>23500</v>
      </c>
      <c r="L47" s="270">
        <v>14748</v>
      </c>
      <c r="M47" s="270">
        <v>2300</v>
      </c>
      <c r="N47" s="274">
        <v>24</v>
      </c>
      <c r="O47" s="55"/>
      <c r="P47" s="45">
        <v>24</v>
      </c>
      <c r="Q47" s="270">
        <v>1517</v>
      </c>
      <c r="R47" s="275">
        <v>-7.27E-4</v>
      </c>
      <c r="S47" s="270">
        <v>1500</v>
      </c>
      <c r="T47" s="270">
        <v>1524</v>
      </c>
      <c r="U47" s="57">
        <v>1</v>
      </c>
      <c r="V47" s="276">
        <v>0.1</v>
      </c>
      <c r="W47" s="276">
        <v>0</v>
      </c>
      <c r="X47" s="270">
        <v>1372</v>
      </c>
      <c r="Y47" s="270">
        <v>152</v>
      </c>
      <c r="Z47" s="45" t="b">
        <v>1</v>
      </c>
      <c r="AA47" s="45" t="s">
        <v>38</v>
      </c>
      <c r="AB47" s="45" t="s">
        <v>38</v>
      </c>
    </row>
    <row r="48" spans="1:28" x14ac:dyDescent="0.2">
      <c r="A48" s="270" t="s">
        <v>145</v>
      </c>
      <c r="B48" s="270" t="s">
        <v>145</v>
      </c>
      <c r="C48" s="277">
        <v>43493</v>
      </c>
      <c r="D48" s="277">
        <v>43520</v>
      </c>
      <c r="E48" s="270" t="s">
        <v>267</v>
      </c>
      <c r="F48" s="96" t="s">
        <v>49</v>
      </c>
      <c r="G48" s="270" t="s">
        <v>35</v>
      </c>
      <c r="H48" s="272" t="s">
        <v>950</v>
      </c>
      <c r="I48" s="273">
        <v>30</v>
      </c>
      <c r="J48" s="270">
        <v>1775</v>
      </c>
      <c r="K48" s="270">
        <f t="shared" si="0"/>
        <v>53250</v>
      </c>
      <c r="L48" s="270">
        <v>64777</v>
      </c>
      <c r="M48" s="270">
        <v>1590</v>
      </c>
      <c r="N48" s="274">
        <v>64</v>
      </c>
      <c r="O48" s="55"/>
      <c r="P48" s="45">
        <v>64</v>
      </c>
      <c r="Q48" s="270">
        <v>225</v>
      </c>
      <c r="R48" s="275">
        <v>-1.4009999999999999E-3</v>
      </c>
      <c r="S48" s="270">
        <v>150</v>
      </c>
      <c r="T48" s="270">
        <v>214</v>
      </c>
      <c r="U48" s="57">
        <v>1</v>
      </c>
      <c r="V48" s="276">
        <v>0.25</v>
      </c>
      <c r="W48" s="276">
        <v>0</v>
      </c>
      <c r="X48" s="270">
        <v>161</v>
      </c>
      <c r="Y48" s="270">
        <v>54</v>
      </c>
      <c r="Z48" s="45" t="b">
        <v>1</v>
      </c>
      <c r="AA48" s="45" t="s">
        <v>38</v>
      </c>
      <c r="AB48" s="45" t="s">
        <v>38</v>
      </c>
    </row>
    <row r="49" spans="1:28" x14ac:dyDescent="0.2">
      <c r="A49" s="270" t="s">
        <v>145</v>
      </c>
      <c r="B49" s="270" t="s">
        <v>145</v>
      </c>
      <c r="C49" s="277">
        <v>43493</v>
      </c>
      <c r="D49" s="277">
        <v>43520</v>
      </c>
      <c r="E49" s="270" t="s">
        <v>267</v>
      </c>
      <c r="F49" s="96" t="s">
        <v>49</v>
      </c>
      <c r="G49" s="270" t="s">
        <v>35</v>
      </c>
      <c r="H49" s="272" t="s">
        <v>948</v>
      </c>
      <c r="I49" s="273">
        <v>60</v>
      </c>
      <c r="J49" s="270">
        <v>632</v>
      </c>
      <c r="K49" s="270">
        <f t="shared" si="0"/>
        <v>37920</v>
      </c>
      <c r="L49" s="270">
        <v>6286</v>
      </c>
      <c r="M49" s="270">
        <v>2100</v>
      </c>
      <c r="N49" s="274">
        <v>38</v>
      </c>
      <c r="O49" s="55"/>
      <c r="P49" s="45">
        <v>38</v>
      </c>
      <c r="Q49" s="270">
        <v>-1335</v>
      </c>
      <c r="R49" s="275">
        <v>-1.3420000000000001E-3</v>
      </c>
      <c r="S49" s="270">
        <v>-1386</v>
      </c>
      <c r="T49" s="270">
        <v>-1348</v>
      </c>
      <c r="U49" s="57">
        <v>1</v>
      </c>
      <c r="V49" s="276">
        <v>0.25</v>
      </c>
      <c r="W49" s="276">
        <v>0</v>
      </c>
      <c r="X49" s="270">
        <v>-1011</v>
      </c>
      <c r="Y49" s="270">
        <v>-337</v>
      </c>
      <c r="Z49" s="45" t="b">
        <v>1</v>
      </c>
      <c r="AA49" s="45" t="s">
        <v>38</v>
      </c>
      <c r="AB49" s="45" t="s">
        <v>38</v>
      </c>
    </row>
    <row r="50" spans="1:28" x14ac:dyDescent="0.2">
      <c r="A50" s="270" t="s">
        <v>286</v>
      </c>
      <c r="B50" s="270" t="s">
        <v>286</v>
      </c>
      <c r="C50" s="271">
        <v>43517</v>
      </c>
      <c r="D50" s="271">
        <v>43544</v>
      </c>
      <c r="E50" s="270" t="s">
        <v>267</v>
      </c>
      <c r="F50" s="133" t="s">
        <v>34</v>
      </c>
      <c r="G50" s="270" t="s">
        <v>35</v>
      </c>
      <c r="H50" s="272" t="s">
        <v>949</v>
      </c>
      <c r="I50" s="273">
        <v>15</v>
      </c>
      <c r="J50" s="270">
        <v>22</v>
      </c>
      <c r="K50" s="270">
        <f t="shared" si="0"/>
        <v>330</v>
      </c>
      <c r="L50" s="270">
        <v>1518</v>
      </c>
      <c r="M50" s="270">
        <v>90</v>
      </c>
      <c r="N50" s="274">
        <v>0</v>
      </c>
      <c r="O50" s="55"/>
      <c r="P50" s="45">
        <v>0</v>
      </c>
      <c r="Q50" s="270">
        <v>21</v>
      </c>
      <c r="R50" s="275">
        <v>-2.5000000000000001E-3</v>
      </c>
      <c r="S50" s="270">
        <v>21</v>
      </c>
      <c r="T50" s="270">
        <v>21</v>
      </c>
      <c r="U50" s="57">
        <v>1</v>
      </c>
      <c r="V50" s="276">
        <v>0.1</v>
      </c>
      <c r="W50" s="276">
        <v>0</v>
      </c>
      <c r="X50" s="270">
        <v>19</v>
      </c>
      <c r="Y50" s="270">
        <v>2</v>
      </c>
      <c r="Z50" s="45" t="b">
        <v>1</v>
      </c>
      <c r="AA50" s="45" t="s">
        <v>38</v>
      </c>
      <c r="AB50" s="45" t="s">
        <v>38</v>
      </c>
    </row>
    <row r="51" spans="1:28" x14ac:dyDescent="0.2">
      <c r="A51" s="270" t="s">
        <v>286</v>
      </c>
      <c r="B51" s="270" t="s">
        <v>286</v>
      </c>
      <c r="C51" s="271">
        <v>43517</v>
      </c>
      <c r="D51" s="271">
        <v>43544</v>
      </c>
      <c r="E51" s="270" t="s">
        <v>267</v>
      </c>
      <c r="F51" s="133" t="s">
        <v>34</v>
      </c>
      <c r="G51" s="270" t="s">
        <v>35</v>
      </c>
      <c r="H51" s="272" t="s">
        <v>952</v>
      </c>
      <c r="I51" s="273">
        <v>25</v>
      </c>
      <c r="J51" s="270">
        <v>313</v>
      </c>
      <c r="K51" s="270">
        <f t="shared" si="0"/>
        <v>7825</v>
      </c>
      <c r="L51" s="270">
        <v>30156</v>
      </c>
      <c r="M51" s="270">
        <v>675</v>
      </c>
      <c r="N51" s="274">
        <v>11</v>
      </c>
      <c r="O51" s="55"/>
      <c r="P51" s="45">
        <v>11</v>
      </c>
      <c r="Q51" s="270">
        <v>838</v>
      </c>
      <c r="R51" s="275">
        <v>-2.5000000000000001E-3</v>
      </c>
      <c r="S51" s="270">
        <v>819</v>
      </c>
      <c r="T51" s="270">
        <v>830</v>
      </c>
      <c r="U51" s="57">
        <v>1</v>
      </c>
      <c r="V51" s="276">
        <v>0.1</v>
      </c>
      <c r="W51" s="276">
        <v>0</v>
      </c>
      <c r="X51" s="270">
        <v>747</v>
      </c>
      <c r="Y51" s="270">
        <v>83</v>
      </c>
      <c r="Z51" s="45" t="b">
        <v>1</v>
      </c>
      <c r="AA51" s="45" t="s">
        <v>38</v>
      </c>
      <c r="AB51" s="45" t="s">
        <v>38</v>
      </c>
    </row>
    <row r="52" spans="1:28" x14ac:dyDescent="0.2">
      <c r="A52" s="270" t="s">
        <v>286</v>
      </c>
      <c r="B52" s="270" t="s">
        <v>286</v>
      </c>
      <c r="C52" s="271">
        <v>43517</v>
      </c>
      <c r="D52" s="271">
        <v>43544</v>
      </c>
      <c r="E52" s="270" t="s">
        <v>267</v>
      </c>
      <c r="F52" s="133" t="s">
        <v>34</v>
      </c>
      <c r="G52" s="270" t="s">
        <v>35</v>
      </c>
      <c r="H52" s="272" t="s">
        <v>950</v>
      </c>
      <c r="I52" s="273">
        <v>30</v>
      </c>
      <c r="J52" s="270">
        <v>628</v>
      </c>
      <c r="K52" s="270">
        <f t="shared" si="0"/>
        <v>18840</v>
      </c>
      <c r="L52" s="270">
        <v>19305</v>
      </c>
      <c r="M52" s="270">
        <v>-180</v>
      </c>
      <c r="N52" s="274">
        <v>23</v>
      </c>
      <c r="O52" s="55"/>
      <c r="P52" s="45">
        <v>23</v>
      </c>
      <c r="Q52" s="270">
        <v>-123</v>
      </c>
      <c r="R52" s="275">
        <v>-2.5000000000000001E-3</v>
      </c>
      <c r="S52" s="270">
        <v>-170</v>
      </c>
      <c r="T52" s="270">
        <v>-147</v>
      </c>
      <c r="U52" s="57">
        <v>1</v>
      </c>
      <c r="V52" s="276">
        <v>0.1</v>
      </c>
      <c r="W52" s="276">
        <v>0</v>
      </c>
      <c r="X52" s="270">
        <v>-133</v>
      </c>
      <c r="Y52" s="270">
        <v>-15</v>
      </c>
      <c r="Z52" s="45" t="b">
        <v>1</v>
      </c>
      <c r="AA52" s="45" t="s">
        <v>38</v>
      </c>
      <c r="AB52" s="45" t="s">
        <v>38</v>
      </c>
    </row>
    <row r="53" spans="1:28" x14ac:dyDescent="0.2">
      <c r="A53" s="270" t="s">
        <v>286</v>
      </c>
      <c r="B53" s="270" t="s">
        <v>286</v>
      </c>
      <c r="C53" s="271">
        <v>43517</v>
      </c>
      <c r="D53" s="271">
        <v>43544</v>
      </c>
      <c r="E53" s="270" t="s">
        <v>267</v>
      </c>
      <c r="F53" s="133" t="s">
        <v>34</v>
      </c>
      <c r="G53" s="270" t="s">
        <v>35</v>
      </c>
      <c r="H53" s="272" t="s">
        <v>953</v>
      </c>
      <c r="I53" s="273">
        <v>40</v>
      </c>
      <c r="J53" s="270">
        <v>338</v>
      </c>
      <c r="K53" s="270">
        <f t="shared" si="0"/>
        <v>13520</v>
      </c>
      <c r="L53" s="270">
        <v>25946</v>
      </c>
      <c r="M53" s="270">
        <v>1600</v>
      </c>
      <c r="N53" s="274">
        <v>19</v>
      </c>
      <c r="O53" s="55"/>
      <c r="P53" s="45">
        <v>19</v>
      </c>
      <c r="Q53" s="270">
        <v>961</v>
      </c>
      <c r="R53" s="275">
        <v>-2.5000000000000001E-3</v>
      </c>
      <c r="S53" s="270">
        <v>927</v>
      </c>
      <c r="T53" s="270">
        <v>946</v>
      </c>
      <c r="U53" s="57">
        <v>1</v>
      </c>
      <c r="V53" s="276">
        <v>0.1</v>
      </c>
      <c r="W53" s="276">
        <v>0</v>
      </c>
      <c r="X53" s="270">
        <v>851</v>
      </c>
      <c r="Y53" s="270">
        <v>95</v>
      </c>
      <c r="Z53" s="45" t="b">
        <v>1</v>
      </c>
      <c r="AA53" s="45" t="s">
        <v>38</v>
      </c>
      <c r="AB53" s="45" t="s">
        <v>38</v>
      </c>
    </row>
    <row r="54" spans="1:28" x14ac:dyDescent="0.2">
      <c r="A54" s="270" t="s">
        <v>286</v>
      </c>
      <c r="B54" s="270" t="s">
        <v>286</v>
      </c>
      <c r="C54" s="271">
        <v>43517</v>
      </c>
      <c r="D54" s="271">
        <v>43544</v>
      </c>
      <c r="E54" s="270" t="s">
        <v>267</v>
      </c>
      <c r="F54" s="133" t="s">
        <v>34</v>
      </c>
      <c r="G54" s="270" t="s">
        <v>35</v>
      </c>
      <c r="H54" s="272" t="s">
        <v>948</v>
      </c>
      <c r="I54" s="273">
        <v>60</v>
      </c>
      <c r="J54" s="270">
        <v>606</v>
      </c>
      <c r="K54" s="270">
        <f t="shared" si="0"/>
        <v>36360</v>
      </c>
      <c r="L54" s="270">
        <v>35898</v>
      </c>
      <c r="M54" s="270">
        <v>2880</v>
      </c>
      <c r="N54" s="274">
        <v>36</v>
      </c>
      <c r="O54" s="55"/>
      <c r="P54" s="45">
        <v>36</v>
      </c>
      <c r="Q54" s="270">
        <v>2106</v>
      </c>
      <c r="R54" s="275">
        <v>-2.5000000000000001E-3</v>
      </c>
      <c r="S54" s="270">
        <v>2015</v>
      </c>
      <c r="T54" s="270">
        <v>2051</v>
      </c>
      <c r="U54" s="57">
        <v>1</v>
      </c>
      <c r="V54" s="276">
        <v>0.1</v>
      </c>
      <c r="W54" s="276">
        <v>0</v>
      </c>
      <c r="X54" s="270">
        <v>1846</v>
      </c>
      <c r="Y54" s="270">
        <v>205</v>
      </c>
      <c r="Z54" s="45" t="b">
        <v>1</v>
      </c>
      <c r="AA54" s="45" t="s">
        <v>38</v>
      </c>
      <c r="AB54" s="45" t="s">
        <v>38</v>
      </c>
    </row>
    <row r="55" spans="1:28" x14ac:dyDescent="0.2">
      <c r="A55" s="270" t="s">
        <v>286</v>
      </c>
      <c r="B55" s="270" t="s">
        <v>286</v>
      </c>
      <c r="C55" s="271">
        <v>43517</v>
      </c>
      <c r="D55" s="271">
        <v>43544</v>
      </c>
      <c r="E55" s="270" t="s">
        <v>267</v>
      </c>
      <c r="F55" s="133" t="s">
        <v>34</v>
      </c>
      <c r="G55" s="270" t="s">
        <v>35</v>
      </c>
      <c r="H55" s="272" t="s">
        <v>951</v>
      </c>
      <c r="I55" s="273">
        <v>100</v>
      </c>
      <c r="J55" s="270">
        <v>698</v>
      </c>
      <c r="K55" s="270">
        <f t="shared" si="0"/>
        <v>69800</v>
      </c>
      <c r="L55" s="270">
        <v>40608</v>
      </c>
      <c r="M55" s="270">
        <v>22400</v>
      </c>
      <c r="N55" s="274">
        <v>70</v>
      </c>
      <c r="O55" s="55"/>
      <c r="P55" s="45">
        <v>70</v>
      </c>
      <c r="Q55" s="270">
        <v>3903</v>
      </c>
      <c r="R55" s="275">
        <v>-2.5000000000000001E-3</v>
      </c>
      <c r="S55" s="270">
        <v>3728</v>
      </c>
      <c r="T55" s="270">
        <v>3798</v>
      </c>
      <c r="U55" s="57">
        <v>1</v>
      </c>
      <c r="V55" s="276">
        <v>0.1</v>
      </c>
      <c r="W55" s="276">
        <v>0</v>
      </c>
      <c r="X55" s="270">
        <v>3419</v>
      </c>
      <c r="Y55" s="270">
        <v>380</v>
      </c>
      <c r="Z55" s="45" t="b">
        <v>1</v>
      </c>
      <c r="AA55" s="45" t="s">
        <v>38</v>
      </c>
      <c r="AB55" s="45" t="s">
        <v>38</v>
      </c>
    </row>
    <row r="56" spans="1:28" x14ac:dyDescent="0.2">
      <c r="A56" s="270" t="s">
        <v>102</v>
      </c>
      <c r="B56" s="270" t="s">
        <v>102</v>
      </c>
      <c r="C56" s="277">
        <v>43517</v>
      </c>
      <c r="D56" s="277">
        <v>43544</v>
      </c>
      <c r="E56" s="270" t="s">
        <v>267</v>
      </c>
      <c r="F56" s="96" t="s">
        <v>34</v>
      </c>
      <c r="G56" s="270" t="s">
        <v>35</v>
      </c>
      <c r="H56" s="272" t="s">
        <v>949</v>
      </c>
      <c r="I56" s="273">
        <v>15</v>
      </c>
      <c r="J56" s="270">
        <v>1</v>
      </c>
      <c r="K56" s="270">
        <f t="shared" si="0"/>
        <v>15</v>
      </c>
      <c r="L56" s="270">
        <v>-196</v>
      </c>
      <c r="M56" s="270">
        <v>-15</v>
      </c>
      <c r="N56" s="274">
        <v>0</v>
      </c>
      <c r="O56" s="55"/>
      <c r="P56" s="45">
        <v>0</v>
      </c>
      <c r="Q56" s="270">
        <v>-6</v>
      </c>
      <c r="R56" s="275">
        <v>1.7799999999999999E-3</v>
      </c>
      <c r="S56" s="270">
        <v>-6</v>
      </c>
      <c r="T56" s="270">
        <v>-6</v>
      </c>
      <c r="U56" s="57">
        <v>1</v>
      </c>
      <c r="V56" s="276">
        <v>0.17</v>
      </c>
      <c r="W56" s="276">
        <v>0</v>
      </c>
      <c r="X56" s="270">
        <v>-5</v>
      </c>
      <c r="Y56" s="270">
        <v>-1</v>
      </c>
      <c r="Z56" s="45" t="b">
        <v>1</v>
      </c>
      <c r="AA56" s="45" t="s">
        <v>38</v>
      </c>
      <c r="AB56" s="45" t="s">
        <v>38</v>
      </c>
    </row>
    <row r="57" spans="1:28" x14ac:dyDescent="0.2">
      <c r="A57" s="270" t="s">
        <v>102</v>
      </c>
      <c r="B57" s="270" t="s">
        <v>102</v>
      </c>
      <c r="C57" s="277">
        <v>43517</v>
      </c>
      <c r="D57" s="277">
        <v>43544</v>
      </c>
      <c r="E57" s="270" t="s">
        <v>267</v>
      </c>
      <c r="F57" s="96" t="s">
        <v>34</v>
      </c>
      <c r="G57" s="270" t="s">
        <v>35</v>
      </c>
      <c r="H57" s="272" t="s">
        <v>950</v>
      </c>
      <c r="I57" s="273">
        <v>30</v>
      </c>
      <c r="J57" s="270">
        <v>139</v>
      </c>
      <c r="K57" s="270">
        <f t="shared" si="0"/>
        <v>4170</v>
      </c>
      <c r="L57" s="270">
        <v>10362</v>
      </c>
      <c r="M57" s="270">
        <v>690</v>
      </c>
      <c r="N57" s="274">
        <v>5</v>
      </c>
      <c r="O57" s="55"/>
      <c r="P57" s="45">
        <v>5</v>
      </c>
      <c r="Q57" s="270">
        <v>314</v>
      </c>
      <c r="R57" s="275">
        <v>1.7799999999999999E-3</v>
      </c>
      <c r="S57" s="270">
        <v>322</v>
      </c>
      <c r="T57" s="270">
        <v>327</v>
      </c>
      <c r="U57" s="57">
        <v>1</v>
      </c>
      <c r="V57" s="276">
        <v>0.17</v>
      </c>
      <c r="W57" s="276">
        <v>0</v>
      </c>
      <c r="X57" s="270">
        <v>271</v>
      </c>
      <c r="Y57" s="270">
        <v>56</v>
      </c>
      <c r="Z57" s="45" t="b">
        <v>1</v>
      </c>
      <c r="AA57" s="45" t="s">
        <v>38</v>
      </c>
      <c r="AB57" s="45" t="s">
        <v>38</v>
      </c>
    </row>
    <row r="58" spans="1:28" x14ac:dyDescent="0.2">
      <c r="A58" s="270" t="s">
        <v>102</v>
      </c>
      <c r="B58" s="270" t="s">
        <v>102</v>
      </c>
      <c r="C58" s="277">
        <v>43517</v>
      </c>
      <c r="D58" s="277">
        <v>43544</v>
      </c>
      <c r="E58" s="270" t="s">
        <v>267</v>
      </c>
      <c r="F58" s="96" t="s">
        <v>34</v>
      </c>
      <c r="G58" s="270" t="s">
        <v>35</v>
      </c>
      <c r="H58" s="272" t="s">
        <v>948</v>
      </c>
      <c r="I58" s="273">
        <v>60</v>
      </c>
      <c r="J58" s="270">
        <v>248</v>
      </c>
      <c r="K58" s="270">
        <f t="shared" si="0"/>
        <v>14880</v>
      </c>
      <c r="L58" s="270">
        <v>18988</v>
      </c>
      <c r="M58" s="270">
        <v>120</v>
      </c>
      <c r="N58" s="274">
        <v>15</v>
      </c>
      <c r="O58" s="55"/>
      <c r="P58" s="45">
        <v>15</v>
      </c>
      <c r="Q58" s="270">
        <v>1349</v>
      </c>
      <c r="R58" s="275">
        <v>1.7799999999999999E-3</v>
      </c>
      <c r="S58" s="270">
        <v>1375</v>
      </c>
      <c r="T58" s="270">
        <v>1390</v>
      </c>
      <c r="U58" s="57">
        <v>1</v>
      </c>
      <c r="V58" s="276">
        <v>0.17</v>
      </c>
      <c r="W58" s="276">
        <v>0</v>
      </c>
      <c r="X58" s="270">
        <v>1154</v>
      </c>
      <c r="Y58" s="270">
        <v>236</v>
      </c>
      <c r="Z58" s="45" t="b">
        <v>1</v>
      </c>
      <c r="AA58" s="45" t="s">
        <v>38</v>
      </c>
      <c r="AB58" s="45" t="s">
        <v>38</v>
      </c>
    </row>
    <row r="59" spans="1:28" x14ac:dyDescent="0.2">
      <c r="A59" s="270" t="s">
        <v>102</v>
      </c>
      <c r="B59" s="270" t="s">
        <v>102</v>
      </c>
      <c r="C59" s="277">
        <v>43517</v>
      </c>
      <c r="D59" s="277">
        <v>43544</v>
      </c>
      <c r="E59" s="270" t="s">
        <v>267</v>
      </c>
      <c r="F59" s="96" t="s">
        <v>34</v>
      </c>
      <c r="G59" s="270" t="s">
        <v>35</v>
      </c>
      <c r="H59" s="272" t="s">
        <v>951</v>
      </c>
      <c r="I59" s="273">
        <v>100</v>
      </c>
      <c r="J59" s="270">
        <v>1630</v>
      </c>
      <c r="K59" s="270">
        <f t="shared" si="0"/>
        <v>163000</v>
      </c>
      <c r="L59" s="270">
        <v>74192</v>
      </c>
      <c r="M59" s="270">
        <v>24200</v>
      </c>
      <c r="N59" s="274">
        <v>163</v>
      </c>
      <c r="O59" s="55"/>
      <c r="P59" s="45">
        <v>163</v>
      </c>
      <c r="Q59" s="270">
        <v>5215</v>
      </c>
      <c r="R59" s="275">
        <v>1.7799999999999999E-3</v>
      </c>
      <c r="S59" s="270">
        <v>5505</v>
      </c>
      <c r="T59" s="270">
        <v>5668</v>
      </c>
      <c r="U59" s="57">
        <v>1</v>
      </c>
      <c r="V59" s="276">
        <v>0.17</v>
      </c>
      <c r="W59" s="276">
        <v>0</v>
      </c>
      <c r="X59" s="270">
        <v>4705</v>
      </c>
      <c r="Y59" s="270">
        <v>964</v>
      </c>
      <c r="Z59" s="45" t="b">
        <v>1</v>
      </c>
      <c r="AA59" s="45" t="s">
        <v>38</v>
      </c>
      <c r="AB59" s="45" t="s">
        <v>38</v>
      </c>
    </row>
    <row r="60" spans="1:28" x14ac:dyDescent="0.2">
      <c r="A60" s="270" t="s">
        <v>145</v>
      </c>
      <c r="B60" s="270" t="s">
        <v>145</v>
      </c>
      <c r="C60" s="277">
        <v>43521</v>
      </c>
      <c r="D60" s="277">
        <v>43548</v>
      </c>
      <c r="E60" s="270" t="s">
        <v>267</v>
      </c>
      <c r="F60" s="96" t="s">
        <v>49</v>
      </c>
      <c r="G60" s="270" t="s">
        <v>35</v>
      </c>
      <c r="H60" s="272" t="s">
        <v>950</v>
      </c>
      <c r="I60" s="273">
        <v>30</v>
      </c>
      <c r="J60" s="270">
        <v>2297</v>
      </c>
      <c r="K60" s="270">
        <f t="shared" si="0"/>
        <v>68910</v>
      </c>
      <c r="L60" s="270">
        <v>129201</v>
      </c>
      <c r="M60" s="270">
        <v>-630</v>
      </c>
      <c r="N60" s="274">
        <v>83</v>
      </c>
      <c r="O60" s="55"/>
      <c r="P60" s="45">
        <v>83</v>
      </c>
      <c r="Q60" s="270">
        <v>2835</v>
      </c>
      <c r="R60" s="275">
        <v>1.477E-3</v>
      </c>
      <c r="S60" s="270">
        <v>2937</v>
      </c>
      <c r="T60" s="270">
        <v>3020</v>
      </c>
      <c r="U60" s="57">
        <v>1</v>
      </c>
      <c r="V60" s="276">
        <v>0.25</v>
      </c>
      <c r="W60" s="276">
        <v>0</v>
      </c>
      <c r="X60" s="270">
        <v>2265</v>
      </c>
      <c r="Y60" s="270">
        <v>755</v>
      </c>
      <c r="Z60" s="45" t="b">
        <v>1</v>
      </c>
      <c r="AA60" s="45" t="s">
        <v>38</v>
      </c>
      <c r="AB60" s="45" t="s">
        <v>38</v>
      </c>
    </row>
    <row r="61" spans="1:28" x14ac:dyDescent="0.2">
      <c r="A61" s="270" t="s">
        <v>286</v>
      </c>
      <c r="B61" s="270" t="s">
        <v>286</v>
      </c>
      <c r="C61" s="271">
        <v>43545</v>
      </c>
      <c r="D61" s="271">
        <v>43575</v>
      </c>
      <c r="E61" s="270" t="s">
        <v>267</v>
      </c>
      <c r="F61" s="133" t="s">
        <v>34</v>
      </c>
      <c r="G61" s="270" t="s">
        <v>35</v>
      </c>
      <c r="H61" s="272" t="s">
        <v>951</v>
      </c>
      <c r="I61" s="273">
        <v>100</v>
      </c>
      <c r="J61" s="270">
        <v>449</v>
      </c>
      <c r="K61" s="270">
        <f t="shared" si="0"/>
        <v>44900</v>
      </c>
      <c r="L61" s="270">
        <v>13456</v>
      </c>
      <c r="M61" s="270">
        <v>1600</v>
      </c>
      <c r="N61" s="274">
        <v>45</v>
      </c>
      <c r="O61" s="55"/>
      <c r="P61" s="45">
        <v>45</v>
      </c>
      <c r="Q61" s="270">
        <v>118</v>
      </c>
      <c r="R61" s="275">
        <v>-2.5000000000000001E-3</v>
      </c>
      <c r="S61" s="270">
        <v>5</v>
      </c>
      <c r="T61" s="270">
        <v>50</v>
      </c>
      <c r="U61" s="57">
        <v>1</v>
      </c>
      <c r="V61" s="276">
        <v>0.17</v>
      </c>
      <c r="W61" s="276">
        <v>0</v>
      </c>
      <c r="X61" s="270">
        <v>42</v>
      </c>
      <c r="Y61" s="270">
        <v>9</v>
      </c>
      <c r="Z61" s="45" t="b">
        <v>1</v>
      </c>
      <c r="AA61" s="45" t="s">
        <v>38</v>
      </c>
      <c r="AB61" s="45" t="s">
        <v>38</v>
      </c>
    </row>
    <row r="62" spans="1:28" x14ac:dyDescent="0.2">
      <c r="A62" s="270" t="s">
        <v>286</v>
      </c>
      <c r="B62" s="270" t="s">
        <v>286</v>
      </c>
      <c r="C62" s="271">
        <v>43545</v>
      </c>
      <c r="D62" s="271">
        <v>43575</v>
      </c>
      <c r="E62" s="270" t="s">
        <v>267</v>
      </c>
      <c r="F62" s="133" t="s">
        <v>34</v>
      </c>
      <c r="G62" s="270" t="s">
        <v>35</v>
      </c>
      <c r="H62" s="272" t="s">
        <v>948</v>
      </c>
      <c r="I62" s="273">
        <v>60</v>
      </c>
      <c r="J62" s="270">
        <v>402</v>
      </c>
      <c r="K62" s="270">
        <f t="shared" si="0"/>
        <v>24120</v>
      </c>
      <c r="L62" s="270">
        <v>4241</v>
      </c>
      <c r="M62" s="270">
        <v>2580</v>
      </c>
      <c r="N62" s="274">
        <v>24</v>
      </c>
      <c r="O62" s="55"/>
      <c r="P62" s="45">
        <v>24</v>
      </c>
      <c r="Q62" s="270">
        <v>-822</v>
      </c>
      <c r="R62" s="275">
        <v>-2.5000000000000001E-3</v>
      </c>
      <c r="S62" s="270">
        <v>-882</v>
      </c>
      <c r="T62" s="270">
        <v>-858</v>
      </c>
      <c r="U62" s="57">
        <v>1</v>
      </c>
      <c r="V62" s="276">
        <v>0.17</v>
      </c>
      <c r="W62" s="276">
        <v>0</v>
      </c>
      <c r="X62" s="270">
        <v>-712</v>
      </c>
      <c r="Y62" s="270">
        <v>-146</v>
      </c>
      <c r="Z62" s="45" t="b">
        <v>1</v>
      </c>
      <c r="AA62" s="45" t="s">
        <v>38</v>
      </c>
      <c r="AB62" s="45" t="s">
        <v>38</v>
      </c>
    </row>
    <row r="63" spans="1:28" x14ac:dyDescent="0.2">
      <c r="A63" s="270" t="s">
        <v>286</v>
      </c>
      <c r="B63" s="270" t="s">
        <v>286</v>
      </c>
      <c r="C63" s="271">
        <v>43545</v>
      </c>
      <c r="D63" s="271">
        <v>43575</v>
      </c>
      <c r="E63" s="270" t="s">
        <v>267</v>
      </c>
      <c r="F63" s="133" t="s">
        <v>34</v>
      </c>
      <c r="G63" s="270" t="s">
        <v>35</v>
      </c>
      <c r="H63" s="272" t="s">
        <v>953</v>
      </c>
      <c r="I63" s="273">
        <v>40</v>
      </c>
      <c r="J63" s="270">
        <v>508</v>
      </c>
      <c r="K63" s="270">
        <f t="shared" si="0"/>
        <v>20320</v>
      </c>
      <c r="L63" s="270">
        <v>22750</v>
      </c>
      <c r="M63" s="270">
        <v>-1200</v>
      </c>
      <c r="N63" s="274">
        <v>28</v>
      </c>
      <c r="O63" s="55"/>
      <c r="P63" s="45">
        <v>28</v>
      </c>
      <c r="Q63" s="270">
        <v>239</v>
      </c>
      <c r="R63" s="275">
        <v>-2.5000000000000001E-3</v>
      </c>
      <c r="S63" s="270">
        <v>188</v>
      </c>
      <c r="T63" s="270">
        <v>216</v>
      </c>
      <c r="U63" s="57">
        <v>1</v>
      </c>
      <c r="V63" s="276">
        <v>0.17</v>
      </c>
      <c r="W63" s="276">
        <v>0</v>
      </c>
      <c r="X63" s="270">
        <v>179</v>
      </c>
      <c r="Y63" s="270">
        <v>37</v>
      </c>
      <c r="Z63" s="45" t="b">
        <v>1</v>
      </c>
      <c r="AA63" s="45" t="s">
        <v>38</v>
      </c>
      <c r="AB63" s="45" t="s">
        <v>38</v>
      </c>
    </row>
    <row r="64" spans="1:28" x14ac:dyDescent="0.2">
      <c r="A64" s="270" t="s">
        <v>286</v>
      </c>
      <c r="B64" s="270" t="s">
        <v>286</v>
      </c>
      <c r="C64" s="271">
        <v>43545</v>
      </c>
      <c r="D64" s="271">
        <v>43575</v>
      </c>
      <c r="E64" s="270" t="s">
        <v>267</v>
      </c>
      <c r="F64" s="133" t="s">
        <v>34</v>
      </c>
      <c r="G64" s="270" t="s">
        <v>35</v>
      </c>
      <c r="H64" s="272" t="s">
        <v>950</v>
      </c>
      <c r="I64" s="273">
        <v>30</v>
      </c>
      <c r="J64" s="270">
        <v>322</v>
      </c>
      <c r="K64" s="270">
        <f t="shared" si="0"/>
        <v>9660</v>
      </c>
      <c r="L64" s="270">
        <v>23763</v>
      </c>
      <c r="M64" s="270">
        <v>240</v>
      </c>
      <c r="N64" s="274">
        <v>12</v>
      </c>
      <c r="O64" s="55"/>
      <c r="P64" s="45">
        <v>12</v>
      </c>
      <c r="Q64" s="270">
        <v>714</v>
      </c>
      <c r="R64" s="275">
        <v>-2.5000000000000001E-3</v>
      </c>
      <c r="S64" s="270">
        <v>690</v>
      </c>
      <c r="T64" s="270">
        <v>702</v>
      </c>
      <c r="U64" s="57">
        <v>1</v>
      </c>
      <c r="V64" s="276">
        <v>0.17</v>
      </c>
      <c r="W64" s="276">
        <v>0</v>
      </c>
      <c r="X64" s="270">
        <v>583</v>
      </c>
      <c r="Y64" s="270">
        <v>119</v>
      </c>
      <c r="Z64" s="45" t="b">
        <v>1</v>
      </c>
      <c r="AA64" s="45" t="s">
        <v>38</v>
      </c>
      <c r="AB64" s="45" t="s">
        <v>38</v>
      </c>
    </row>
    <row r="65" spans="1:28" x14ac:dyDescent="0.2">
      <c r="A65" s="270" t="s">
        <v>286</v>
      </c>
      <c r="B65" s="270" t="s">
        <v>286</v>
      </c>
      <c r="C65" s="271">
        <v>43545</v>
      </c>
      <c r="D65" s="271">
        <v>43575</v>
      </c>
      <c r="E65" s="270" t="s">
        <v>267</v>
      </c>
      <c r="F65" s="133" t="s">
        <v>34</v>
      </c>
      <c r="G65" s="270" t="s">
        <v>35</v>
      </c>
      <c r="H65" s="272" t="s">
        <v>949</v>
      </c>
      <c r="I65" s="273">
        <v>15</v>
      </c>
      <c r="J65" s="270">
        <v>6</v>
      </c>
      <c r="K65" s="270">
        <f t="shared" si="0"/>
        <v>90</v>
      </c>
      <c r="L65" s="270">
        <v>629</v>
      </c>
      <c r="M65" s="270">
        <v>-30</v>
      </c>
      <c r="N65" s="274">
        <v>0</v>
      </c>
      <c r="O65" s="55"/>
      <c r="P65" s="45">
        <v>0</v>
      </c>
      <c r="Q65" s="270">
        <v>12</v>
      </c>
      <c r="R65" s="275">
        <v>-2.5000000000000001E-3</v>
      </c>
      <c r="S65" s="270">
        <v>12</v>
      </c>
      <c r="T65" s="270">
        <v>12</v>
      </c>
      <c r="U65" s="57">
        <v>1</v>
      </c>
      <c r="V65" s="276">
        <v>0.17</v>
      </c>
      <c r="W65" s="276">
        <v>0</v>
      </c>
      <c r="X65" s="270">
        <v>10</v>
      </c>
      <c r="Y65" s="270">
        <v>2</v>
      </c>
      <c r="Z65" s="45" t="b">
        <v>1</v>
      </c>
      <c r="AA65" s="45" t="s">
        <v>38</v>
      </c>
      <c r="AB65" s="45" t="s">
        <v>38</v>
      </c>
    </row>
    <row r="66" spans="1:28" x14ac:dyDescent="0.2">
      <c r="A66" s="270" t="s">
        <v>102</v>
      </c>
      <c r="B66" s="270" t="s">
        <v>102</v>
      </c>
      <c r="C66" s="277">
        <v>43545</v>
      </c>
      <c r="D66" s="277">
        <v>43575</v>
      </c>
      <c r="E66" s="270" t="s">
        <v>267</v>
      </c>
      <c r="F66" s="96" t="s">
        <v>34</v>
      </c>
      <c r="G66" s="270" t="s">
        <v>35</v>
      </c>
      <c r="H66" s="272" t="s">
        <v>949</v>
      </c>
      <c r="I66" s="273">
        <v>15</v>
      </c>
      <c r="J66" s="270">
        <v>213</v>
      </c>
      <c r="K66" s="270">
        <f t="shared" si="0"/>
        <v>3195</v>
      </c>
      <c r="L66" s="270">
        <v>9343</v>
      </c>
      <c r="M66" s="270">
        <v>-225</v>
      </c>
      <c r="N66" s="274">
        <v>4</v>
      </c>
      <c r="O66" s="55"/>
      <c r="P66" s="45">
        <v>4</v>
      </c>
      <c r="Q66" s="270">
        <v>57</v>
      </c>
      <c r="R66" s="275">
        <v>7.26E-3</v>
      </c>
      <c r="S66" s="270">
        <v>81</v>
      </c>
      <c r="T66" s="270">
        <v>85</v>
      </c>
      <c r="U66" s="57">
        <v>1</v>
      </c>
      <c r="V66" s="276">
        <v>0.17</v>
      </c>
      <c r="W66" s="276">
        <v>0</v>
      </c>
      <c r="X66" s="270">
        <v>70</v>
      </c>
      <c r="Y66" s="270">
        <v>14</v>
      </c>
      <c r="Z66" s="45" t="b">
        <v>1</v>
      </c>
      <c r="AA66" s="45" t="s">
        <v>38</v>
      </c>
      <c r="AB66" s="45" t="s">
        <v>38</v>
      </c>
    </row>
    <row r="67" spans="1:28" x14ac:dyDescent="0.2">
      <c r="A67" s="270" t="s">
        <v>102</v>
      </c>
      <c r="B67" s="270" t="s">
        <v>102</v>
      </c>
      <c r="C67" s="277">
        <v>43545</v>
      </c>
      <c r="D67" s="277">
        <v>43575</v>
      </c>
      <c r="E67" s="270" t="s">
        <v>267</v>
      </c>
      <c r="F67" s="96" t="s">
        <v>34</v>
      </c>
      <c r="G67" s="270" t="s">
        <v>35</v>
      </c>
      <c r="H67" s="272" t="s">
        <v>951</v>
      </c>
      <c r="I67" s="273">
        <v>100</v>
      </c>
      <c r="J67" s="270">
        <v>2315</v>
      </c>
      <c r="K67" s="270">
        <f t="shared" si="0"/>
        <v>231500</v>
      </c>
      <c r="L67" s="270">
        <v>110641</v>
      </c>
      <c r="M67" s="270">
        <v>16100</v>
      </c>
      <c r="N67" s="274">
        <v>232</v>
      </c>
      <c r="O67" s="55"/>
      <c r="P67" s="45">
        <v>232</v>
      </c>
      <c r="Q67" s="270">
        <v>8402</v>
      </c>
      <c r="R67" s="275">
        <v>7.26E-3</v>
      </c>
      <c r="S67" s="270">
        <v>10083</v>
      </c>
      <c r="T67" s="270">
        <v>10315</v>
      </c>
      <c r="U67" s="57">
        <v>1</v>
      </c>
      <c r="V67" s="276">
        <v>0.17</v>
      </c>
      <c r="W67" s="276">
        <v>0</v>
      </c>
      <c r="X67" s="270">
        <v>8562</v>
      </c>
      <c r="Y67" s="270">
        <v>1754</v>
      </c>
      <c r="Z67" s="45" t="b">
        <v>1</v>
      </c>
      <c r="AA67" s="45" t="s">
        <v>38</v>
      </c>
      <c r="AB67" s="45" t="s">
        <v>38</v>
      </c>
    </row>
    <row r="68" spans="1:28" x14ac:dyDescent="0.2">
      <c r="A68" s="270" t="s">
        <v>145</v>
      </c>
      <c r="B68" s="270" t="s">
        <v>145</v>
      </c>
      <c r="C68" s="277">
        <v>43549</v>
      </c>
      <c r="D68" s="277">
        <v>43576</v>
      </c>
      <c r="E68" s="270" t="s">
        <v>300</v>
      </c>
      <c r="F68" s="96" t="s">
        <v>49</v>
      </c>
      <c r="G68" s="270" t="s">
        <v>35</v>
      </c>
      <c r="H68" s="272" t="s">
        <v>948</v>
      </c>
      <c r="I68" s="273">
        <v>60</v>
      </c>
      <c r="J68" s="270">
        <v>2423</v>
      </c>
      <c r="K68" s="270">
        <f t="shared" si="0"/>
        <v>145380</v>
      </c>
      <c r="L68" s="270">
        <v>122035</v>
      </c>
      <c r="M68" s="270">
        <v>14940</v>
      </c>
      <c r="N68" s="274">
        <v>145</v>
      </c>
      <c r="O68" s="55"/>
      <c r="P68" s="45">
        <v>145</v>
      </c>
      <c r="Q68" s="270">
        <v>5983</v>
      </c>
      <c r="R68" s="275">
        <v>-3.8779999999999999E-3</v>
      </c>
      <c r="S68" s="270">
        <v>5419</v>
      </c>
      <c r="T68" s="270">
        <v>5564</v>
      </c>
      <c r="U68" s="57">
        <v>1</v>
      </c>
      <c r="V68" s="276">
        <v>0.22500000000000001</v>
      </c>
      <c r="W68" s="276">
        <v>0.05</v>
      </c>
      <c r="X68" s="270">
        <v>4034</v>
      </c>
      <c r="Y68" s="270">
        <v>1530</v>
      </c>
      <c r="Z68" s="45" t="b">
        <v>1</v>
      </c>
      <c r="AA68" s="45" t="s">
        <v>38</v>
      </c>
      <c r="AB68" s="45" t="s">
        <v>38</v>
      </c>
    </row>
    <row r="69" spans="1:28" x14ac:dyDescent="0.2">
      <c r="A69" s="270" t="s">
        <v>286</v>
      </c>
      <c r="B69" s="270" t="s">
        <v>286</v>
      </c>
      <c r="C69" s="271">
        <v>43576</v>
      </c>
      <c r="D69" s="271">
        <v>43605</v>
      </c>
      <c r="E69" s="270" t="s">
        <v>267</v>
      </c>
      <c r="F69" s="133" t="s">
        <v>34</v>
      </c>
      <c r="G69" s="270" t="s">
        <v>35</v>
      </c>
      <c r="H69" s="272" t="s">
        <v>949</v>
      </c>
      <c r="I69" s="273">
        <v>15</v>
      </c>
      <c r="J69" s="270">
        <v>37</v>
      </c>
      <c r="K69" s="270">
        <f t="shared" si="0"/>
        <v>555</v>
      </c>
      <c r="L69" s="270">
        <v>1078</v>
      </c>
      <c r="M69" s="270">
        <v>-75</v>
      </c>
      <c r="N69" s="274">
        <v>1</v>
      </c>
      <c r="O69" s="55"/>
      <c r="P69" s="45">
        <v>1</v>
      </c>
      <c r="Q69" s="270">
        <v>-5</v>
      </c>
      <c r="R69" s="275">
        <v>-2.5000000000000001E-3</v>
      </c>
      <c r="S69" s="270">
        <v>-7</v>
      </c>
      <c r="T69" s="270">
        <v>-6</v>
      </c>
      <c r="U69" s="57">
        <v>1</v>
      </c>
      <c r="V69" s="276">
        <v>0.25</v>
      </c>
      <c r="W69" s="276">
        <v>0</v>
      </c>
      <c r="X69" s="270">
        <v>-4</v>
      </c>
      <c r="Y69" s="270">
        <v>-1</v>
      </c>
      <c r="Z69" s="45" t="b">
        <v>1</v>
      </c>
      <c r="AA69" s="45" t="s">
        <v>38</v>
      </c>
      <c r="AB69" s="45" t="s">
        <v>38</v>
      </c>
    </row>
    <row r="70" spans="1:28" x14ac:dyDescent="0.2">
      <c r="A70" s="270" t="s">
        <v>286</v>
      </c>
      <c r="B70" s="270" t="s">
        <v>286</v>
      </c>
      <c r="C70" s="271">
        <v>43576</v>
      </c>
      <c r="D70" s="271">
        <v>43605</v>
      </c>
      <c r="E70" s="270" t="s">
        <v>267</v>
      </c>
      <c r="F70" s="133" t="s">
        <v>34</v>
      </c>
      <c r="G70" s="270" t="s">
        <v>35</v>
      </c>
      <c r="H70" s="272" t="s">
        <v>950</v>
      </c>
      <c r="I70" s="273">
        <v>30</v>
      </c>
      <c r="J70" s="270">
        <v>320</v>
      </c>
      <c r="K70" s="270">
        <f t="shared" si="0"/>
        <v>9600</v>
      </c>
      <c r="L70" s="270">
        <v>24832</v>
      </c>
      <c r="M70" s="270">
        <v>1380</v>
      </c>
      <c r="N70" s="274">
        <v>12</v>
      </c>
      <c r="O70" s="55"/>
      <c r="P70" s="45">
        <v>12</v>
      </c>
      <c r="Q70" s="270">
        <v>778</v>
      </c>
      <c r="R70" s="275">
        <v>-2.5000000000000001E-3</v>
      </c>
      <c r="S70" s="270">
        <v>754</v>
      </c>
      <c r="T70" s="270">
        <v>766</v>
      </c>
      <c r="U70" s="57">
        <v>1</v>
      </c>
      <c r="V70" s="276">
        <v>0.25</v>
      </c>
      <c r="W70" s="276">
        <v>0</v>
      </c>
      <c r="X70" s="270">
        <v>575</v>
      </c>
      <c r="Y70" s="270">
        <v>192</v>
      </c>
      <c r="Z70" s="45" t="b">
        <v>1</v>
      </c>
      <c r="AA70" s="45" t="s">
        <v>38</v>
      </c>
      <c r="AB70" s="45" t="s">
        <v>38</v>
      </c>
    </row>
    <row r="71" spans="1:28" x14ac:dyDescent="0.2">
      <c r="A71" s="270" t="s">
        <v>286</v>
      </c>
      <c r="B71" s="270" t="s">
        <v>286</v>
      </c>
      <c r="C71" s="271">
        <v>43576</v>
      </c>
      <c r="D71" s="271">
        <v>43605</v>
      </c>
      <c r="E71" s="270" t="s">
        <v>267</v>
      </c>
      <c r="F71" s="133" t="s">
        <v>34</v>
      </c>
      <c r="G71" s="270" t="s">
        <v>35</v>
      </c>
      <c r="H71" s="272" t="s">
        <v>953</v>
      </c>
      <c r="I71" s="273">
        <v>40</v>
      </c>
      <c r="J71" s="270">
        <v>446</v>
      </c>
      <c r="K71" s="270">
        <f t="shared" si="0"/>
        <v>17840</v>
      </c>
      <c r="L71" s="270">
        <v>31143</v>
      </c>
      <c r="M71" s="270">
        <v>-80</v>
      </c>
      <c r="N71" s="274">
        <v>25</v>
      </c>
      <c r="O71" s="55"/>
      <c r="P71" s="45">
        <v>25</v>
      </c>
      <c r="Q71" s="270">
        <v>1038</v>
      </c>
      <c r="R71" s="275">
        <v>-2.5000000000000001E-3</v>
      </c>
      <c r="S71" s="270">
        <v>994</v>
      </c>
      <c r="T71" s="270">
        <v>1019</v>
      </c>
      <c r="U71" s="57">
        <v>1</v>
      </c>
      <c r="V71" s="276">
        <v>0.25</v>
      </c>
      <c r="W71" s="276">
        <v>0</v>
      </c>
      <c r="X71" s="270">
        <v>764</v>
      </c>
      <c r="Y71" s="270">
        <v>255</v>
      </c>
      <c r="Z71" s="45" t="b">
        <v>1</v>
      </c>
      <c r="AA71" s="45" t="s">
        <v>38</v>
      </c>
      <c r="AB71" s="45" t="s">
        <v>38</v>
      </c>
    </row>
    <row r="72" spans="1:28" x14ac:dyDescent="0.2">
      <c r="A72" s="270" t="s">
        <v>286</v>
      </c>
      <c r="B72" s="270" t="s">
        <v>286</v>
      </c>
      <c r="C72" s="271">
        <v>43576</v>
      </c>
      <c r="D72" s="271">
        <v>43605</v>
      </c>
      <c r="E72" s="270" t="s">
        <v>267</v>
      </c>
      <c r="F72" s="133" t="s">
        <v>34</v>
      </c>
      <c r="G72" s="270" t="s">
        <v>35</v>
      </c>
      <c r="H72" s="272" t="s">
        <v>948</v>
      </c>
      <c r="I72" s="273">
        <v>60</v>
      </c>
      <c r="J72" s="270">
        <v>269</v>
      </c>
      <c r="K72" s="270">
        <f t="shared" si="0"/>
        <v>16140</v>
      </c>
      <c r="L72" s="270">
        <v>6701</v>
      </c>
      <c r="M72" s="270">
        <v>60</v>
      </c>
      <c r="N72" s="274">
        <v>16</v>
      </c>
      <c r="O72" s="55"/>
      <c r="P72" s="45">
        <v>16</v>
      </c>
      <c r="Q72" s="270">
        <v>-112</v>
      </c>
      <c r="R72" s="275">
        <v>-2.5000000000000001E-3</v>
      </c>
      <c r="S72" s="270">
        <v>-152</v>
      </c>
      <c r="T72" s="270">
        <v>-136</v>
      </c>
      <c r="U72" s="57">
        <v>1</v>
      </c>
      <c r="V72" s="276">
        <v>0.25</v>
      </c>
      <c r="W72" s="276">
        <v>0</v>
      </c>
      <c r="X72" s="270">
        <v>-102</v>
      </c>
      <c r="Y72" s="270">
        <v>-34</v>
      </c>
      <c r="Z72" s="45" t="b">
        <v>1</v>
      </c>
      <c r="AA72" s="45" t="s">
        <v>38</v>
      </c>
      <c r="AB72" s="45" t="s">
        <v>38</v>
      </c>
    </row>
    <row r="73" spans="1:28" x14ac:dyDescent="0.2">
      <c r="A73" s="270" t="s">
        <v>286</v>
      </c>
      <c r="B73" s="270" t="s">
        <v>286</v>
      </c>
      <c r="C73" s="271">
        <v>43576</v>
      </c>
      <c r="D73" s="271">
        <v>43605</v>
      </c>
      <c r="E73" s="270" t="s">
        <v>267</v>
      </c>
      <c r="F73" s="133" t="s">
        <v>34</v>
      </c>
      <c r="G73" s="270" t="s">
        <v>35</v>
      </c>
      <c r="H73" s="272" t="s">
        <v>951</v>
      </c>
      <c r="I73" s="273">
        <v>100</v>
      </c>
      <c r="J73" s="270">
        <v>2</v>
      </c>
      <c r="K73" s="270">
        <f t="shared" si="0"/>
        <v>200</v>
      </c>
      <c r="L73" s="270">
        <v>-404</v>
      </c>
      <c r="M73" s="270">
        <v>0</v>
      </c>
      <c r="N73" s="274">
        <v>0</v>
      </c>
      <c r="O73" s="55"/>
      <c r="P73" s="45">
        <v>0</v>
      </c>
      <c r="Q73" s="270">
        <v>-87</v>
      </c>
      <c r="R73" s="275">
        <v>-2.5000000000000001E-3</v>
      </c>
      <c r="S73" s="270">
        <v>-88</v>
      </c>
      <c r="T73" s="270">
        <v>-88</v>
      </c>
      <c r="U73" s="57">
        <v>1</v>
      </c>
      <c r="V73" s="276">
        <v>0.25</v>
      </c>
      <c r="W73" s="276">
        <v>0</v>
      </c>
      <c r="X73" s="270">
        <v>-66</v>
      </c>
      <c r="Y73" s="270">
        <v>-22</v>
      </c>
      <c r="Z73" s="45" t="b">
        <v>1</v>
      </c>
      <c r="AA73" s="45" t="s">
        <v>38</v>
      </c>
      <c r="AB73" s="45" t="s">
        <v>38</v>
      </c>
    </row>
    <row r="74" spans="1:28" x14ac:dyDescent="0.2">
      <c r="A74" s="270" t="s">
        <v>102</v>
      </c>
      <c r="B74" s="270" t="s">
        <v>102</v>
      </c>
      <c r="C74" s="277">
        <v>43576</v>
      </c>
      <c r="D74" s="277">
        <v>43605</v>
      </c>
      <c r="E74" s="270" t="s">
        <v>267</v>
      </c>
      <c r="F74" s="96" t="s">
        <v>34</v>
      </c>
      <c r="G74" s="270" t="s">
        <v>35</v>
      </c>
      <c r="H74" s="272" t="s">
        <v>951</v>
      </c>
      <c r="I74" s="273">
        <v>100</v>
      </c>
      <c r="J74" s="270">
        <v>2053</v>
      </c>
      <c r="K74" s="270">
        <f t="shared" si="0"/>
        <v>205300</v>
      </c>
      <c r="L74" s="270">
        <v>68337</v>
      </c>
      <c r="M74" s="270">
        <v>-6700</v>
      </c>
      <c r="N74" s="274">
        <v>205</v>
      </c>
      <c r="O74" s="55"/>
      <c r="P74" s="45">
        <v>205</v>
      </c>
      <c r="Q74" s="270">
        <v>1825</v>
      </c>
      <c r="R74" s="275">
        <v>-3.5899999999999999E-3</v>
      </c>
      <c r="S74" s="270">
        <v>1088</v>
      </c>
      <c r="T74" s="270">
        <v>1293</v>
      </c>
      <c r="U74" s="57">
        <v>1</v>
      </c>
      <c r="V74" s="276">
        <v>0.25</v>
      </c>
      <c r="W74" s="276">
        <v>0</v>
      </c>
      <c r="X74" s="270">
        <v>970</v>
      </c>
      <c r="Y74" s="270">
        <v>323</v>
      </c>
      <c r="Z74" s="45" t="b">
        <v>1</v>
      </c>
      <c r="AA74" s="45" t="s">
        <v>38</v>
      </c>
      <c r="AB74" s="45" t="s">
        <v>38</v>
      </c>
    </row>
    <row r="75" spans="1:28" x14ac:dyDescent="0.2">
      <c r="A75" s="270" t="s">
        <v>145</v>
      </c>
      <c r="B75" s="270" t="s">
        <v>145</v>
      </c>
      <c r="C75" s="277">
        <v>43577</v>
      </c>
      <c r="D75" s="277">
        <v>43611</v>
      </c>
      <c r="E75" s="270" t="s">
        <v>300</v>
      </c>
      <c r="F75" s="96" t="s">
        <v>49</v>
      </c>
      <c r="G75" s="270" t="s">
        <v>35</v>
      </c>
      <c r="H75" s="272" t="s">
        <v>948</v>
      </c>
      <c r="I75" s="273">
        <v>60</v>
      </c>
      <c r="J75" s="270">
        <v>3988</v>
      </c>
      <c r="K75" s="270">
        <f t="shared" si="0"/>
        <v>239280</v>
      </c>
      <c r="L75" s="270">
        <v>183368</v>
      </c>
      <c r="M75" s="270">
        <v>4800</v>
      </c>
      <c r="N75" s="274">
        <v>239</v>
      </c>
      <c r="O75" s="55"/>
      <c r="P75" s="45">
        <v>239</v>
      </c>
      <c r="Q75" s="270">
        <v>7865</v>
      </c>
      <c r="R75" s="275">
        <v>-5.2700000000000004E-3</v>
      </c>
      <c r="S75" s="270">
        <v>6604</v>
      </c>
      <c r="T75" s="270">
        <v>6843</v>
      </c>
      <c r="U75" s="57">
        <v>1</v>
      </c>
      <c r="V75" s="276">
        <v>0.22500000000000001</v>
      </c>
      <c r="W75" s="276">
        <v>0.05</v>
      </c>
      <c r="X75" s="270">
        <v>4961</v>
      </c>
      <c r="Y75" s="270">
        <v>1882</v>
      </c>
      <c r="Z75" s="45" t="b">
        <v>1</v>
      </c>
      <c r="AA75" s="45" t="s">
        <v>38</v>
      </c>
      <c r="AB75" s="45" t="s">
        <v>38</v>
      </c>
    </row>
    <row r="76" spans="1:28" x14ac:dyDescent="0.2">
      <c r="A76" s="270" t="s">
        <v>286</v>
      </c>
      <c r="B76" s="270" t="s">
        <v>286</v>
      </c>
      <c r="C76" s="271">
        <v>43606</v>
      </c>
      <c r="D76" s="271">
        <v>43636</v>
      </c>
      <c r="E76" s="270" t="s">
        <v>267</v>
      </c>
      <c r="F76" s="133" t="s">
        <v>34</v>
      </c>
      <c r="G76" s="270" t="s">
        <v>35</v>
      </c>
      <c r="H76" s="272" t="s">
        <v>954</v>
      </c>
      <c r="I76" s="273">
        <v>7</v>
      </c>
      <c r="J76" s="270">
        <v>42</v>
      </c>
      <c r="K76" s="270">
        <f t="shared" si="0"/>
        <v>294</v>
      </c>
      <c r="L76" s="270">
        <v>2687</v>
      </c>
      <c r="M76" s="270">
        <v>-28</v>
      </c>
      <c r="N76" s="274">
        <v>0</v>
      </c>
      <c r="O76" s="55"/>
      <c r="P76" s="45">
        <v>0</v>
      </c>
      <c r="Q76" s="270">
        <v>13</v>
      </c>
      <c r="R76" s="275">
        <v>-2.0300000000000001E-3</v>
      </c>
      <c r="S76" s="270">
        <v>12</v>
      </c>
      <c r="T76" s="270">
        <v>12</v>
      </c>
      <c r="U76" s="57">
        <v>1</v>
      </c>
      <c r="V76" s="276">
        <v>0.25</v>
      </c>
      <c r="W76" s="276">
        <v>0</v>
      </c>
      <c r="X76" s="270">
        <v>9</v>
      </c>
      <c r="Y76" s="270">
        <v>3</v>
      </c>
      <c r="Z76" s="45" t="b">
        <v>1</v>
      </c>
      <c r="AA76" s="45" t="s">
        <v>38</v>
      </c>
      <c r="AB76" s="45" t="s">
        <v>38</v>
      </c>
    </row>
    <row r="77" spans="1:28" x14ac:dyDescent="0.2">
      <c r="A77" s="270" t="s">
        <v>286</v>
      </c>
      <c r="B77" s="270" t="s">
        <v>286</v>
      </c>
      <c r="C77" s="271">
        <v>43606</v>
      </c>
      <c r="D77" s="271">
        <v>43636</v>
      </c>
      <c r="E77" s="270" t="s">
        <v>267</v>
      </c>
      <c r="F77" s="133" t="s">
        <v>34</v>
      </c>
      <c r="G77" s="270" t="s">
        <v>35</v>
      </c>
      <c r="H77" s="272" t="s">
        <v>949</v>
      </c>
      <c r="I77" s="273">
        <v>15</v>
      </c>
      <c r="J77" s="270">
        <v>345</v>
      </c>
      <c r="K77" s="270">
        <f t="shared" si="0"/>
        <v>5175</v>
      </c>
      <c r="L77" s="270">
        <v>26368</v>
      </c>
      <c r="M77" s="270">
        <v>675</v>
      </c>
      <c r="N77" s="274">
        <v>6</v>
      </c>
      <c r="O77" s="55"/>
      <c r="P77" s="45">
        <v>6</v>
      </c>
      <c r="Q77" s="270">
        <v>408</v>
      </c>
      <c r="R77" s="275">
        <v>-2.0300000000000001E-3</v>
      </c>
      <c r="S77" s="270">
        <v>398</v>
      </c>
      <c r="T77" s="270">
        <v>404</v>
      </c>
      <c r="U77" s="57">
        <v>1</v>
      </c>
      <c r="V77" s="276">
        <v>0.25</v>
      </c>
      <c r="W77" s="276">
        <v>0</v>
      </c>
      <c r="X77" s="270">
        <v>303</v>
      </c>
      <c r="Y77" s="270">
        <v>101</v>
      </c>
      <c r="Z77" s="45" t="b">
        <v>1</v>
      </c>
      <c r="AA77" s="45" t="s">
        <v>38</v>
      </c>
      <c r="AB77" s="45" t="s">
        <v>38</v>
      </c>
    </row>
    <row r="78" spans="1:28" x14ac:dyDescent="0.2">
      <c r="A78" s="270" t="s">
        <v>286</v>
      </c>
      <c r="B78" s="270" t="s">
        <v>286</v>
      </c>
      <c r="C78" s="271">
        <v>43606</v>
      </c>
      <c r="D78" s="271">
        <v>43636</v>
      </c>
      <c r="E78" s="270" t="s">
        <v>267</v>
      </c>
      <c r="F78" s="133" t="s">
        <v>34</v>
      </c>
      <c r="G78" s="270" t="s">
        <v>35</v>
      </c>
      <c r="H78" s="272" t="s">
        <v>950</v>
      </c>
      <c r="I78" s="273">
        <v>30</v>
      </c>
      <c r="J78" s="270">
        <v>364</v>
      </c>
      <c r="K78" s="270">
        <f t="shared" si="0"/>
        <v>10920</v>
      </c>
      <c r="L78" s="270">
        <v>18468</v>
      </c>
      <c r="M78" s="270">
        <v>-240</v>
      </c>
      <c r="N78" s="274">
        <v>13</v>
      </c>
      <c r="O78" s="55"/>
      <c r="P78" s="45">
        <v>13</v>
      </c>
      <c r="Q78" s="270">
        <v>337</v>
      </c>
      <c r="R78" s="275">
        <v>-2.0300000000000001E-3</v>
      </c>
      <c r="S78" s="270">
        <v>315</v>
      </c>
      <c r="T78" s="270">
        <v>328</v>
      </c>
      <c r="U78" s="57">
        <v>1</v>
      </c>
      <c r="V78" s="276">
        <v>0.25</v>
      </c>
      <c r="W78" s="276">
        <v>0</v>
      </c>
      <c r="X78" s="270">
        <v>246</v>
      </c>
      <c r="Y78" s="270">
        <v>82</v>
      </c>
      <c r="Z78" s="45" t="b">
        <v>1</v>
      </c>
      <c r="AA78" s="45" t="s">
        <v>38</v>
      </c>
      <c r="AB78" s="45" t="s">
        <v>38</v>
      </c>
    </row>
    <row r="79" spans="1:28" x14ac:dyDescent="0.2">
      <c r="A79" s="270" t="s">
        <v>286</v>
      </c>
      <c r="B79" s="270" t="s">
        <v>286</v>
      </c>
      <c r="C79" s="271">
        <v>43606</v>
      </c>
      <c r="D79" s="271">
        <v>43636</v>
      </c>
      <c r="E79" s="270" t="s">
        <v>267</v>
      </c>
      <c r="F79" s="133" t="s">
        <v>34</v>
      </c>
      <c r="G79" s="270" t="s">
        <v>35</v>
      </c>
      <c r="H79" s="272" t="s">
        <v>953</v>
      </c>
      <c r="I79" s="273">
        <v>40</v>
      </c>
      <c r="J79" s="270">
        <v>449</v>
      </c>
      <c r="K79" s="270">
        <f t="shared" si="0"/>
        <v>17960</v>
      </c>
      <c r="L79" s="270">
        <v>31857</v>
      </c>
      <c r="M79" s="270">
        <v>1720</v>
      </c>
      <c r="N79" s="274">
        <v>25</v>
      </c>
      <c r="O79" s="55"/>
      <c r="P79" s="45">
        <v>25</v>
      </c>
      <c r="Q79" s="270">
        <v>1083</v>
      </c>
      <c r="R79" s="275">
        <v>-2.0300000000000001E-3</v>
      </c>
      <c r="S79" s="270">
        <v>1046</v>
      </c>
      <c r="T79" s="270">
        <v>1071</v>
      </c>
      <c r="U79" s="57">
        <v>1</v>
      </c>
      <c r="V79" s="276">
        <v>0.25</v>
      </c>
      <c r="W79" s="276">
        <v>0</v>
      </c>
      <c r="X79" s="270">
        <v>803</v>
      </c>
      <c r="Y79" s="270">
        <v>268</v>
      </c>
      <c r="Z79" s="45" t="b">
        <v>1</v>
      </c>
      <c r="AA79" s="45" t="s">
        <v>38</v>
      </c>
      <c r="AB79" s="45" t="s">
        <v>38</v>
      </c>
    </row>
    <row r="80" spans="1:28" x14ac:dyDescent="0.2">
      <c r="A80" s="270" t="s">
        <v>286</v>
      </c>
      <c r="B80" s="270" t="s">
        <v>286</v>
      </c>
      <c r="C80" s="271">
        <v>43606</v>
      </c>
      <c r="D80" s="271">
        <v>43636</v>
      </c>
      <c r="E80" s="270" t="s">
        <v>267</v>
      </c>
      <c r="F80" s="133" t="s">
        <v>34</v>
      </c>
      <c r="G80" s="270" t="s">
        <v>35</v>
      </c>
      <c r="H80" s="272" t="s">
        <v>948</v>
      </c>
      <c r="I80" s="273">
        <v>60</v>
      </c>
      <c r="J80" s="270">
        <v>335</v>
      </c>
      <c r="K80" s="270">
        <f t="shared" si="0"/>
        <v>20100</v>
      </c>
      <c r="L80" s="270">
        <v>19191</v>
      </c>
      <c r="M80" s="270">
        <v>-180</v>
      </c>
      <c r="N80" s="274">
        <v>20</v>
      </c>
      <c r="O80" s="55"/>
      <c r="P80" s="45">
        <v>20</v>
      </c>
      <c r="Q80" s="270">
        <v>1090</v>
      </c>
      <c r="R80" s="275">
        <v>-2.0300000000000001E-3</v>
      </c>
      <c r="S80" s="270">
        <v>1049</v>
      </c>
      <c r="T80" s="270">
        <v>1069</v>
      </c>
      <c r="U80" s="57">
        <v>1</v>
      </c>
      <c r="V80" s="276">
        <v>0.25</v>
      </c>
      <c r="W80" s="276">
        <v>0</v>
      </c>
      <c r="X80" s="270">
        <v>802</v>
      </c>
      <c r="Y80" s="270">
        <v>267</v>
      </c>
      <c r="Z80" s="45" t="b">
        <v>1</v>
      </c>
      <c r="AA80" s="45" t="s">
        <v>38</v>
      </c>
      <c r="AB80" s="45" t="s">
        <v>38</v>
      </c>
    </row>
    <row r="81" spans="1:28" x14ac:dyDescent="0.2">
      <c r="A81" s="270" t="s">
        <v>286</v>
      </c>
      <c r="B81" s="270" t="s">
        <v>286</v>
      </c>
      <c r="C81" s="271">
        <v>43606</v>
      </c>
      <c r="D81" s="271">
        <v>43636</v>
      </c>
      <c r="E81" s="270" t="s">
        <v>267</v>
      </c>
      <c r="F81" s="133" t="s">
        <v>34</v>
      </c>
      <c r="G81" s="270" t="s">
        <v>35</v>
      </c>
      <c r="H81" s="272" t="s">
        <v>951</v>
      </c>
      <c r="I81" s="273">
        <v>100</v>
      </c>
      <c r="J81" s="270">
        <v>428</v>
      </c>
      <c r="K81" s="270">
        <f t="shared" si="0"/>
        <v>42800</v>
      </c>
      <c r="L81" s="270">
        <v>22826</v>
      </c>
      <c r="M81" s="270">
        <v>-600</v>
      </c>
      <c r="N81" s="274">
        <v>43</v>
      </c>
      <c r="O81" s="55"/>
      <c r="P81" s="45">
        <v>43</v>
      </c>
      <c r="Q81" s="270">
        <v>2001</v>
      </c>
      <c r="R81" s="275">
        <v>-2.0300000000000001E-3</v>
      </c>
      <c r="S81" s="270">
        <v>1914</v>
      </c>
      <c r="T81" s="270">
        <v>1957</v>
      </c>
      <c r="U81" s="57">
        <v>1</v>
      </c>
      <c r="V81" s="276">
        <v>0.25</v>
      </c>
      <c r="W81" s="276">
        <v>0</v>
      </c>
      <c r="X81" s="270">
        <v>1468</v>
      </c>
      <c r="Y81" s="270">
        <v>489</v>
      </c>
      <c r="Z81" s="45" t="b">
        <v>1</v>
      </c>
      <c r="AA81" s="45" t="s">
        <v>38</v>
      </c>
      <c r="AB81" s="45" t="s">
        <v>38</v>
      </c>
    </row>
    <row r="82" spans="1:28" x14ac:dyDescent="0.2">
      <c r="A82" s="270" t="s">
        <v>286</v>
      </c>
      <c r="B82" s="270" t="s">
        <v>286</v>
      </c>
      <c r="C82" s="271">
        <v>43606</v>
      </c>
      <c r="D82" s="271">
        <v>43636</v>
      </c>
      <c r="E82" s="270" t="s">
        <v>267</v>
      </c>
      <c r="F82" s="133" t="s">
        <v>34</v>
      </c>
      <c r="G82" s="270" t="s">
        <v>35</v>
      </c>
      <c r="H82" s="272" t="s">
        <v>122</v>
      </c>
      <c r="I82" s="273">
        <v>3</v>
      </c>
      <c r="J82" s="270">
        <v>20</v>
      </c>
      <c r="K82" s="270">
        <f t="shared" si="0"/>
        <v>60</v>
      </c>
      <c r="L82" s="270">
        <v>3236</v>
      </c>
      <c r="M82" s="270">
        <v>21</v>
      </c>
      <c r="N82" s="274">
        <v>0</v>
      </c>
      <c r="O82" s="55"/>
      <c r="P82" s="45">
        <v>0</v>
      </c>
      <c r="Q82" s="270">
        <v>13</v>
      </c>
      <c r="R82" s="275">
        <v>-2.0300000000000001E-3</v>
      </c>
      <c r="S82" s="270">
        <v>13</v>
      </c>
      <c r="T82" s="270">
        <v>13</v>
      </c>
      <c r="U82" s="57">
        <v>1</v>
      </c>
      <c r="V82" s="276">
        <v>0.25</v>
      </c>
      <c r="W82" s="276">
        <v>0</v>
      </c>
      <c r="X82" s="270">
        <v>9</v>
      </c>
      <c r="Y82" s="270">
        <v>3</v>
      </c>
      <c r="Z82" s="45" t="b">
        <v>1</v>
      </c>
      <c r="AA82" s="45" t="s">
        <v>38</v>
      </c>
      <c r="AB82" s="45" t="s">
        <v>38</v>
      </c>
    </row>
    <row r="83" spans="1:28" x14ac:dyDescent="0.2">
      <c r="A83" s="270" t="s">
        <v>82</v>
      </c>
      <c r="B83" s="270" t="s">
        <v>82</v>
      </c>
      <c r="C83" s="277">
        <v>43612</v>
      </c>
      <c r="D83" s="277">
        <v>43636</v>
      </c>
      <c r="E83" s="270" t="s">
        <v>300</v>
      </c>
      <c r="F83" s="96" t="s">
        <v>34</v>
      </c>
      <c r="G83" s="270" t="s">
        <v>35</v>
      </c>
      <c r="H83" s="272" t="s">
        <v>950</v>
      </c>
      <c r="I83" s="273">
        <v>30</v>
      </c>
      <c r="J83" s="270">
        <v>1426</v>
      </c>
      <c r="K83" s="270">
        <f t="shared" si="0"/>
        <v>42780</v>
      </c>
      <c r="L83" s="270">
        <v>61626</v>
      </c>
      <c r="M83" s="270">
        <v>2910</v>
      </c>
      <c r="N83" s="274">
        <v>51</v>
      </c>
      <c r="O83" s="55"/>
      <c r="P83" s="45">
        <v>51</v>
      </c>
      <c r="Q83" s="270">
        <v>633</v>
      </c>
      <c r="R83" s="275">
        <v>-2.0300000000000001E-3</v>
      </c>
      <c r="S83" s="270">
        <v>546</v>
      </c>
      <c r="T83" s="270">
        <v>597</v>
      </c>
      <c r="U83" s="57">
        <v>1</v>
      </c>
      <c r="V83" s="276">
        <v>0.3</v>
      </c>
      <c r="W83" s="276">
        <v>0.1</v>
      </c>
      <c r="X83" s="270">
        <v>358</v>
      </c>
      <c r="Y83" s="270">
        <v>239</v>
      </c>
      <c r="Z83" s="45" t="b">
        <v>1</v>
      </c>
      <c r="AA83" s="45" t="s">
        <v>38</v>
      </c>
      <c r="AB83" s="45" t="s">
        <v>38</v>
      </c>
    </row>
    <row r="84" spans="1:28" x14ac:dyDescent="0.2">
      <c r="A84" s="270" t="s">
        <v>82</v>
      </c>
      <c r="B84" s="270" t="s">
        <v>82</v>
      </c>
      <c r="C84" s="277">
        <v>43612</v>
      </c>
      <c r="D84" s="277">
        <v>43636</v>
      </c>
      <c r="E84" s="270" t="s">
        <v>300</v>
      </c>
      <c r="F84" s="96" t="s">
        <v>34</v>
      </c>
      <c r="G84" s="270" t="s">
        <v>35</v>
      </c>
      <c r="H84" s="272" t="s">
        <v>953</v>
      </c>
      <c r="I84" s="273">
        <v>40</v>
      </c>
      <c r="J84" s="270">
        <v>410</v>
      </c>
      <c r="K84" s="270">
        <f t="shared" si="0"/>
        <v>16400</v>
      </c>
      <c r="L84" s="270">
        <v>18201</v>
      </c>
      <c r="M84" s="270">
        <v>480</v>
      </c>
      <c r="N84" s="274">
        <v>23</v>
      </c>
      <c r="O84" s="55"/>
      <c r="P84" s="45">
        <v>23</v>
      </c>
      <c r="Q84" s="270">
        <v>154</v>
      </c>
      <c r="R84" s="275">
        <v>-2.0300000000000001E-3</v>
      </c>
      <c r="S84" s="270">
        <v>120</v>
      </c>
      <c r="T84" s="270">
        <v>143</v>
      </c>
      <c r="U84" s="57">
        <v>1</v>
      </c>
      <c r="V84" s="276">
        <v>0.3</v>
      </c>
      <c r="W84" s="276">
        <v>0.1</v>
      </c>
      <c r="X84" s="270">
        <v>86</v>
      </c>
      <c r="Y84" s="270">
        <v>57</v>
      </c>
      <c r="Z84" s="45" t="b">
        <v>1</v>
      </c>
      <c r="AA84" s="45" t="s">
        <v>38</v>
      </c>
      <c r="AB84" s="45" t="s">
        <v>38</v>
      </c>
    </row>
    <row r="85" spans="1:28" x14ac:dyDescent="0.2">
      <c r="A85" s="270" t="s">
        <v>102</v>
      </c>
      <c r="B85" s="270" t="s">
        <v>102</v>
      </c>
      <c r="C85" s="277">
        <v>43606</v>
      </c>
      <c r="D85" s="277">
        <v>43636</v>
      </c>
      <c r="E85" s="270" t="s">
        <v>267</v>
      </c>
      <c r="F85" s="96" t="s">
        <v>34</v>
      </c>
      <c r="G85" s="270" t="s">
        <v>35</v>
      </c>
      <c r="H85" s="272" t="s">
        <v>949</v>
      </c>
      <c r="I85" s="273">
        <v>15</v>
      </c>
      <c r="J85" s="270">
        <v>21</v>
      </c>
      <c r="K85" s="270">
        <f t="shared" si="0"/>
        <v>315</v>
      </c>
      <c r="L85" s="270">
        <v>2920</v>
      </c>
      <c r="M85" s="270">
        <v>15</v>
      </c>
      <c r="N85" s="274">
        <v>0</v>
      </c>
      <c r="O85" s="55"/>
      <c r="P85" s="45">
        <v>0</v>
      </c>
      <c r="Q85" s="270">
        <v>62</v>
      </c>
      <c r="R85" s="275">
        <v>-2.0300000000000001E-3</v>
      </c>
      <c r="S85" s="270">
        <v>61</v>
      </c>
      <c r="T85" s="270">
        <v>61</v>
      </c>
      <c r="U85" s="57">
        <v>1</v>
      </c>
      <c r="V85" s="276">
        <v>0.17</v>
      </c>
      <c r="W85" s="276">
        <v>0</v>
      </c>
      <c r="X85" s="270">
        <v>51</v>
      </c>
      <c r="Y85" s="270">
        <v>10</v>
      </c>
      <c r="Z85" s="45" t="b">
        <v>1</v>
      </c>
      <c r="AA85" s="45" t="s">
        <v>38</v>
      </c>
      <c r="AB85" s="45" t="s">
        <v>38</v>
      </c>
    </row>
    <row r="86" spans="1:28" x14ac:dyDescent="0.2">
      <c r="A86" s="270" t="s">
        <v>102</v>
      </c>
      <c r="B86" s="270" t="s">
        <v>102</v>
      </c>
      <c r="C86" s="277">
        <v>43606</v>
      </c>
      <c r="D86" s="277">
        <v>43636</v>
      </c>
      <c r="E86" s="270" t="s">
        <v>267</v>
      </c>
      <c r="F86" s="96" t="s">
        <v>34</v>
      </c>
      <c r="G86" s="270" t="s">
        <v>35</v>
      </c>
      <c r="H86" s="272" t="s">
        <v>950</v>
      </c>
      <c r="I86" s="273">
        <v>30</v>
      </c>
      <c r="J86" s="270">
        <v>90</v>
      </c>
      <c r="K86" s="270">
        <f t="shared" si="0"/>
        <v>2700</v>
      </c>
      <c r="L86" s="270">
        <v>2914</v>
      </c>
      <c r="M86" s="270">
        <v>180</v>
      </c>
      <c r="N86" s="274">
        <v>3</v>
      </c>
      <c r="O86" s="55"/>
      <c r="P86" s="45">
        <v>3</v>
      </c>
      <c r="Q86" s="270">
        <v>-9</v>
      </c>
      <c r="R86" s="275">
        <v>-2.0300000000000001E-3</v>
      </c>
      <c r="S86" s="270">
        <v>-15</v>
      </c>
      <c r="T86" s="270">
        <v>-12</v>
      </c>
      <c r="U86" s="57">
        <v>1</v>
      </c>
      <c r="V86" s="276">
        <v>0.17</v>
      </c>
      <c r="W86" s="276">
        <v>0</v>
      </c>
      <c r="X86" s="270">
        <v>-10</v>
      </c>
      <c r="Y86" s="270">
        <v>-2</v>
      </c>
      <c r="Z86" s="45" t="b">
        <v>1</v>
      </c>
      <c r="AA86" s="45" t="s">
        <v>38</v>
      </c>
      <c r="AB86" s="45" t="s">
        <v>38</v>
      </c>
    </row>
    <row r="87" spans="1:28" x14ac:dyDescent="0.2">
      <c r="A87" s="270" t="s">
        <v>102</v>
      </c>
      <c r="B87" s="270" t="s">
        <v>102</v>
      </c>
      <c r="C87" s="277">
        <v>43606</v>
      </c>
      <c r="D87" s="277">
        <v>43636</v>
      </c>
      <c r="E87" s="270" t="s">
        <v>267</v>
      </c>
      <c r="F87" s="96" t="s">
        <v>34</v>
      </c>
      <c r="G87" s="270" t="s">
        <v>35</v>
      </c>
      <c r="H87" s="272" t="s">
        <v>953</v>
      </c>
      <c r="I87" s="273">
        <v>40</v>
      </c>
      <c r="J87" s="270">
        <v>20</v>
      </c>
      <c r="K87" s="270">
        <f t="shared" si="0"/>
        <v>800</v>
      </c>
      <c r="L87" s="270">
        <v>2811</v>
      </c>
      <c r="M87" s="270">
        <v>0</v>
      </c>
      <c r="N87" s="274">
        <v>1</v>
      </c>
      <c r="O87" s="55"/>
      <c r="P87" s="45">
        <v>1</v>
      </c>
      <c r="Q87" s="270">
        <v>152</v>
      </c>
      <c r="R87" s="275">
        <v>-2.0300000000000001E-3</v>
      </c>
      <c r="S87" s="270">
        <v>150</v>
      </c>
      <c r="T87" s="270">
        <v>151</v>
      </c>
      <c r="U87" s="57">
        <v>1</v>
      </c>
      <c r="V87" s="276">
        <v>0.17</v>
      </c>
      <c r="W87" s="276">
        <v>0</v>
      </c>
      <c r="X87" s="270">
        <v>125</v>
      </c>
      <c r="Y87" s="270">
        <v>26</v>
      </c>
      <c r="Z87" s="45" t="b">
        <v>1</v>
      </c>
      <c r="AA87" s="45" t="s">
        <v>38</v>
      </c>
      <c r="AB87" s="45" t="s">
        <v>38</v>
      </c>
    </row>
    <row r="88" spans="1:28" x14ac:dyDescent="0.2">
      <c r="A88" s="270" t="s">
        <v>102</v>
      </c>
      <c r="B88" s="270" t="s">
        <v>102</v>
      </c>
      <c r="C88" s="277">
        <v>43606</v>
      </c>
      <c r="D88" s="277">
        <v>43636</v>
      </c>
      <c r="E88" s="270" t="s">
        <v>267</v>
      </c>
      <c r="F88" s="96" t="s">
        <v>34</v>
      </c>
      <c r="G88" s="270" t="s">
        <v>35</v>
      </c>
      <c r="H88" s="272" t="s">
        <v>948</v>
      </c>
      <c r="I88" s="273">
        <v>60</v>
      </c>
      <c r="J88" s="270">
        <v>31</v>
      </c>
      <c r="K88" s="270">
        <f t="shared" si="0"/>
        <v>1860</v>
      </c>
      <c r="L88" s="270">
        <v>2452</v>
      </c>
      <c r="M88" s="270">
        <v>-180</v>
      </c>
      <c r="N88" s="274">
        <v>2</v>
      </c>
      <c r="O88" s="55"/>
      <c r="P88" s="45">
        <v>2</v>
      </c>
      <c r="Q88" s="270">
        <v>178</v>
      </c>
      <c r="R88" s="275">
        <v>-2.0300000000000001E-3</v>
      </c>
      <c r="S88" s="270">
        <v>174</v>
      </c>
      <c r="T88" s="270">
        <v>176</v>
      </c>
      <c r="U88" s="57">
        <v>1</v>
      </c>
      <c r="V88" s="276">
        <v>0.17</v>
      </c>
      <c r="W88" s="276">
        <v>0</v>
      </c>
      <c r="X88" s="270">
        <v>146</v>
      </c>
      <c r="Y88" s="270">
        <v>30</v>
      </c>
      <c r="Z88" s="45" t="b">
        <v>1</v>
      </c>
      <c r="AA88" s="45" t="s">
        <v>38</v>
      </c>
      <c r="AB88" s="45" t="s">
        <v>38</v>
      </c>
    </row>
    <row r="89" spans="1:28" x14ac:dyDescent="0.2">
      <c r="A89" s="270" t="s">
        <v>102</v>
      </c>
      <c r="B89" s="270" t="s">
        <v>102</v>
      </c>
      <c r="C89" s="277">
        <v>43606</v>
      </c>
      <c r="D89" s="277">
        <v>43636</v>
      </c>
      <c r="E89" s="270" t="s">
        <v>267</v>
      </c>
      <c r="F89" s="96" t="s">
        <v>34</v>
      </c>
      <c r="G89" s="270" t="s">
        <v>35</v>
      </c>
      <c r="H89" s="272" t="s">
        <v>951</v>
      </c>
      <c r="I89" s="273">
        <v>100</v>
      </c>
      <c r="J89" s="270">
        <v>2405</v>
      </c>
      <c r="K89" s="270">
        <f t="shared" si="0"/>
        <v>240500</v>
      </c>
      <c r="L89" s="270">
        <v>108654</v>
      </c>
      <c r="M89" s="270">
        <v>4500</v>
      </c>
      <c r="N89" s="274">
        <v>241</v>
      </c>
      <c r="O89" s="55"/>
      <c r="P89" s="45">
        <v>241</v>
      </c>
      <c r="Q89" s="270">
        <v>7541</v>
      </c>
      <c r="R89" s="275">
        <v>-2.0300000000000001E-3</v>
      </c>
      <c r="S89" s="270">
        <v>7053</v>
      </c>
      <c r="T89" s="270">
        <v>7294</v>
      </c>
      <c r="U89" s="57">
        <v>1</v>
      </c>
      <c r="V89" s="276">
        <v>0.17</v>
      </c>
      <c r="W89" s="276">
        <v>0</v>
      </c>
      <c r="X89" s="270">
        <v>6054</v>
      </c>
      <c r="Y89" s="270">
        <v>1240</v>
      </c>
      <c r="Z89" s="45" t="b">
        <v>1</v>
      </c>
      <c r="AA89" s="45" t="s">
        <v>38</v>
      </c>
      <c r="AB89" s="45" t="s">
        <v>38</v>
      </c>
    </row>
    <row r="90" spans="1:28" x14ac:dyDescent="0.2">
      <c r="A90" s="270" t="s">
        <v>286</v>
      </c>
      <c r="B90" s="270" t="s">
        <v>286</v>
      </c>
      <c r="C90" s="271">
        <v>43637</v>
      </c>
      <c r="D90" s="271">
        <v>43666</v>
      </c>
      <c r="E90" s="270" t="s">
        <v>267</v>
      </c>
      <c r="F90" s="133" t="s">
        <v>34</v>
      </c>
      <c r="G90" s="270" t="s">
        <v>35</v>
      </c>
      <c r="H90" s="272" t="s">
        <v>954</v>
      </c>
      <c r="I90" s="273">
        <v>7</v>
      </c>
      <c r="J90" s="270">
        <v>2</v>
      </c>
      <c r="K90" s="270">
        <f t="shared" si="0"/>
        <v>14</v>
      </c>
      <c r="L90" s="270">
        <v>-473</v>
      </c>
      <c r="M90" s="270">
        <v>-14</v>
      </c>
      <c r="N90" s="274">
        <v>0</v>
      </c>
      <c r="O90" s="55"/>
      <c r="P90" s="45">
        <v>0</v>
      </c>
      <c r="Q90" s="270">
        <v>-7</v>
      </c>
      <c r="R90" s="275">
        <v>6.6E-4</v>
      </c>
      <c r="S90" s="270">
        <v>-7</v>
      </c>
      <c r="T90" s="270">
        <v>-7</v>
      </c>
      <c r="U90" s="57">
        <v>1</v>
      </c>
      <c r="V90" s="276">
        <v>0.25</v>
      </c>
      <c r="W90" s="276">
        <v>0</v>
      </c>
      <c r="X90" s="270">
        <v>-5</v>
      </c>
      <c r="Y90" s="270">
        <v>-2</v>
      </c>
      <c r="Z90" s="45" t="b">
        <v>1</v>
      </c>
      <c r="AA90" s="45" t="s">
        <v>38</v>
      </c>
      <c r="AB90" s="45" t="s">
        <v>38</v>
      </c>
    </row>
    <row r="91" spans="1:28" x14ac:dyDescent="0.2">
      <c r="A91" s="270" t="s">
        <v>286</v>
      </c>
      <c r="B91" s="270" t="s">
        <v>286</v>
      </c>
      <c r="C91" s="271">
        <v>43637</v>
      </c>
      <c r="D91" s="271">
        <v>43666</v>
      </c>
      <c r="E91" s="270" t="s">
        <v>267</v>
      </c>
      <c r="F91" s="133" t="s">
        <v>34</v>
      </c>
      <c r="G91" s="270" t="s">
        <v>35</v>
      </c>
      <c r="H91" s="272" t="s">
        <v>949</v>
      </c>
      <c r="I91" s="273">
        <v>15</v>
      </c>
      <c r="J91" s="270">
        <v>14</v>
      </c>
      <c r="K91" s="270">
        <f t="shared" si="0"/>
        <v>210</v>
      </c>
      <c r="L91" s="270">
        <v>-573</v>
      </c>
      <c r="M91" s="270">
        <v>-30</v>
      </c>
      <c r="N91" s="274">
        <v>0</v>
      </c>
      <c r="O91" s="55"/>
      <c r="P91" s="45">
        <v>0</v>
      </c>
      <c r="Q91" s="270">
        <v>-30</v>
      </c>
      <c r="R91" s="275">
        <v>6.6E-4</v>
      </c>
      <c r="S91" s="270">
        <v>-29</v>
      </c>
      <c r="T91" s="270">
        <v>-29</v>
      </c>
      <c r="U91" s="57">
        <v>1</v>
      </c>
      <c r="V91" s="276">
        <v>0.25</v>
      </c>
      <c r="W91" s="276">
        <v>0</v>
      </c>
      <c r="X91" s="270">
        <v>-22</v>
      </c>
      <c r="Y91" s="270">
        <v>-7</v>
      </c>
      <c r="Z91" s="45" t="b">
        <v>1</v>
      </c>
      <c r="AA91" s="45" t="s">
        <v>38</v>
      </c>
      <c r="AB91" s="45" t="s">
        <v>38</v>
      </c>
    </row>
    <row r="92" spans="1:28" x14ac:dyDescent="0.2">
      <c r="A92" s="270" t="s">
        <v>286</v>
      </c>
      <c r="B92" s="270" t="s">
        <v>286</v>
      </c>
      <c r="C92" s="271">
        <v>43637</v>
      </c>
      <c r="D92" s="271">
        <v>43666</v>
      </c>
      <c r="E92" s="270" t="s">
        <v>267</v>
      </c>
      <c r="F92" s="133" t="s">
        <v>34</v>
      </c>
      <c r="G92" s="270" t="s">
        <v>35</v>
      </c>
      <c r="H92" s="272" t="s">
        <v>950</v>
      </c>
      <c r="I92" s="273">
        <v>30</v>
      </c>
      <c r="J92" s="270">
        <v>437</v>
      </c>
      <c r="K92" s="270">
        <f t="shared" si="0"/>
        <v>13110</v>
      </c>
      <c r="L92" s="270">
        <v>38645</v>
      </c>
      <c r="M92" s="270">
        <v>1530</v>
      </c>
      <c r="N92" s="274">
        <v>16</v>
      </c>
      <c r="O92" s="55"/>
      <c r="P92" s="45">
        <v>16</v>
      </c>
      <c r="Q92" s="270">
        <v>1328</v>
      </c>
      <c r="R92" s="275">
        <v>6.6E-4</v>
      </c>
      <c r="S92" s="270">
        <v>1337</v>
      </c>
      <c r="T92" s="270">
        <v>1353</v>
      </c>
      <c r="U92" s="57">
        <v>1</v>
      </c>
      <c r="V92" s="276">
        <v>0.25</v>
      </c>
      <c r="W92" s="276">
        <v>0</v>
      </c>
      <c r="X92" s="270">
        <v>1015</v>
      </c>
      <c r="Y92" s="270">
        <v>338</v>
      </c>
      <c r="Z92" s="45" t="b">
        <v>1</v>
      </c>
      <c r="AA92" s="45" t="s">
        <v>38</v>
      </c>
      <c r="AB92" s="45" t="s">
        <v>38</v>
      </c>
    </row>
    <row r="93" spans="1:28" x14ac:dyDescent="0.2">
      <c r="A93" s="270" t="s">
        <v>286</v>
      </c>
      <c r="B93" s="270" t="s">
        <v>286</v>
      </c>
      <c r="C93" s="271">
        <v>43637</v>
      </c>
      <c r="D93" s="271">
        <v>43666</v>
      </c>
      <c r="E93" s="270" t="s">
        <v>267</v>
      </c>
      <c r="F93" s="133" t="s">
        <v>34</v>
      </c>
      <c r="G93" s="270" t="s">
        <v>35</v>
      </c>
      <c r="H93" s="272" t="s">
        <v>953</v>
      </c>
      <c r="I93" s="273">
        <v>40</v>
      </c>
      <c r="J93" s="270">
        <v>737</v>
      </c>
      <c r="K93" s="270">
        <f t="shared" si="0"/>
        <v>29480</v>
      </c>
      <c r="L93" s="270">
        <v>56090</v>
      </c>
      <c r="M93" s="270">
        <v>4880</v>
      </c>
      <c r="N93" s="274">
        <v>41</v>
      </c>
      <c r="O93" s="55"/>
      <c r="P93" s="45">
        <v>41</v>
      </c>
      <c r="Q93" s="270">
        <v>2059</v>
      </c>
      <c r="R93" s="275">
        <v>6.6E-4</v>
      </c>
      <c r="S93" s="270">
        <v>2079</v>
      </c>
      <c r="T93" s="270">
        <v>2120</v>
      </c>
      <c r="U93" s="57">
        <v>1</v>
      </c>
      <c r="V93" s="276">
        <v>0.25</v>
      </c>
      <c r="W93" s="276">
        <v>0</v>
      </c>
      <c r="X93" s="270">
        <v>1590</v>
      </c>
      <c r="Y93" s="270">
        <v>530</v>
      </c>
      <c r="Z93" s="45" t="b">
        <v>1</v>
      </c>
      <c r="AA93" s="45" t="s">
        <v>38</v>
      </c>
      <c r="AB93" s="45" t="s">
        <v>38</v>
      </c>
    </row>
    <row r="94" spans="1:28" x14ac:dyDescent="0.2">
      <c r="A94" s="270" t="s">
        <v>286</v>
      </c>
      <c r="B94" s="270" t="s">
        <v>286</v>
      </c>
      <c r="C94" s="271">
        <v>43637</v>
      </c>
      <c r="D94" s="271">
        <v>43666</v>
      </c>
      <c r="E94" s="270" t="s">
        <v>267</v>
      </c>
      <c r="F94" s="133" t="s">
        <v>34</v>
      </c>
      <c r="G94" s="270" t="s">
        <v>35</v>
      </c>
      <c r="H94" s="272" t="s">
        <v>948</v>
      </c>
      <c r="I94" s="273">
        <v>60</v>
      </c>
      <c r="J94" s="270">
        <v>655</v>
      </c>
      <c r="K94" s="270">
        <f t="shared" si="0"/>
        <v>39300</v>
      </c>
      <c r="L94" s="270">
        <v>24789</v>
      </c>
      <c r="M94" s="270">
        <v>-960</v>
      </c>
      <c r="N94" s="274">
        <v>39</v>
      </c>
      <c r="O94" s="55"/>
      <c r="P94" s="45">
        <v>39</v>
      </c>
      <c r="Q94" s="270">
        <v>688</v>
      </c>
      <c r="R94" s="275">
        <v>6.6E-4</v>
      </c>
      <c r="S94" s="270">
        <v>714</v>
      </c>
      <c r="T94" s="270">
        <v>753</v>
      </c>
      <c r="U94" s="57">
        <v>1</v>
      </c>
      <c r="V94" s="276">
        <v>0.25</v>
      </c>
      <c r="W94" s="276">
        <v>0</v>
      </c>
      <c r="X94" s="270">
        <v>565</v>
      </c>
      <c r="Y94" s="270">
        <v>188</v>
      </c>
      <c r="Z94" s="45" t="b">
        <v>1</v>
      </c>
      <c r="AA94" s="45" t="s">
        <v>38</v>
      </c>
      <c r="AB94" s="45" t="s">
        <v>38</v>
      </c>
    </row>
    <row r="95" spans="1:28" x14ac:dyDescent="0.2">
      <c r="A95" s="270" t="s">
        <v>286</v>
      </c>
      <c r="B95" s="270" t="s">
        <v>286</v>
      </c>
      <c r="C95" s="271">
        <v>43637</v>
      </c>
      <c r="D95" s="271">
        <v>43666</v>
      </c>
      <c r="E95" s="270" t="s">
        <v>267</v>
      </c>
      <c r="F95" s="133" t="s">
        <v>34</v>
      </c>
      <c r="G95" s="270" t="s">
        <v>35</v>
      </c>
      <c r="H95" s="272" t="s">
        <v>951</v>
      </c>
      <c r="I95" s="273">
        <v>100</v>
      </c>
      <c r="J95" s="270">
        <v>695</v>
      </c>
      <c r="K95" s="270">
        <f t="shared" si="0"/>
        <v>69500</v>
      </c>
      <c r="L95" s="270">
        <v>12954</v>
      </c>
      <c r="M95" s="270">
        <v>-1700</v>
      </c>
      <c r="N95" s="274">
        <v>70</v>
      </c>
      <c r="O95" s="55"/>
      <c r="P95" s="45">
        <v>70</v>
      </c>
      <c r="Q95" s="270">
        <v>-1306</v>
      </c>
      <c r="R95" s="275">
        <v>6.6E-4</v>
      </c>
      <c r="S95" s="270">
        <v>-1260</v>
      </c>
      <c r="T95" s="270">
        <v>-1190</v>
      </c>
      <c r="U95" s="57">
        <v>1</v>
      </c>
      <c r="V95" s="276">
        <v>0.25</v>
      </c>
      <c r="W95" s="276">
        <v>0</v>
      </c>
      <c r="X95" s="270">
        <v>-892</v>
      </c>
      <c r="Y95" s="270">
        <v>-297</v>
      </c>
      <c r="Z95" s="45" t="b">
        <v>1</v>
      </c>
      <c r="AA95" s="45" t="s">
        <v>38</v>
      </c>
      <c r="AB95" s="45" t="s">
        <v>38</v>
      </c>
    </row>
    <row r="96" spans="1:28" x14ac:dyDescent="0.2">
      <c r="A96" s="270" t="s">
        <v>82</v>
      </c>
      <c r="B96" s="270" t="s">
        <v>82</v>
      </c>
      <c r="C96" s="277">
        <v>43637</v>
      </c>
      <c r="D96" s="277">
        <v>43666</v>
      </c>
      <c r="E96" s="270" t="s">
        <v>300</v>
      </c>
      <c r="F96" s="96" t="s">
        <v>34</v>
      </c>
      <c r="G96" s="270" t="s">
        <v>35</v>
      </c>
      <c r="H96" s="272" t="s">
        <v>950</v>
      </c>
      <c r="I96" s="273">
        <v>30</v>
      </c>
      <c r="J96" s="270">
        <v>2510</v>
      </c>
      <c r="K96" s="270">
        <f t="shared" si="0"/>
        <v>75300</v>
      </c>
      <c r="L96" s="270">
        <v>116041</v>
      </c>
      <c r="M96" s="270">
        <v>-1980</v>
      </c>
      <c r="N96" s="274">
        <v>90</v>
      </c>
      <c r="O96" s="55"/>
      <c r="P96" s="45">
        <v>90</v>
      </c>
      <c r="Q96" s="270">
        <v>1688</v>
      </c>
      <c r="R96" s="275">
        <v>0</v>
      </c>
      <c r="S96" s="270">
        <v>1688</v>
      </c>
      <c r="T96" s="270">
        <v>1778</v>
      </c>
      <c r="U96" s="57">
        <v>1</v>
      </c>
      <c r="V96" s="276">
        <v>0.3</v>
      </c>
      <c r="W96" s="276">
        <v>0.1</v>
      </c>
      <c r="X96" s="270">
        <v>1067</v>
      </c>
      <c r="Y96" s="270">
        <v>711</v>
      </c>
      <c r="Z96" s="45" t="b">
        <v>1</v>
      </c>
      <c r="AA96" s="45" t="s">
        <v>38</v>
      </c>
      <c r="AB96" s="45" t="s">
        <v>38</v>
      </c>
    </row>
    <row r="97" spans="1:28" x14ac:dyDescent="0.2">
      <c r="A97" s="270" t="s">
        <v>82</v>
      </c>
      <c r="B97" s="270" t="s">
        <v>82</v>
      </c>
      <c r="C97" s="277">
        <v>43637</v>
      </c>
      <c r="D97" s="277">
        <v>43666</v>
      </c>
      <c r="E97" s="270" t="s">
        <v>300</v>
      </c>
      <c r="F97" s="96" t="s">
        <v>34</v>
      </c>
      <c r="G97" s="270" t="s">
        <v>35</v>
      </c>
      <c r="H97" s="272" t="s">
        <v>953</v>
      </c>
      <c r="I97" s="273">
        <v>40</v>
      </c>
      <c r="J97" s="270">
        <v>90</v>
      </c>
      <c r="K97" s="270">
        <f t="shared" si="0"/>
        <v>3600</v>
      </c>
      <c r="L97" s="270">
        <v>10494</v>
      </c>
      <c r="M97" s="270">
        <v>880</v>
      </c>
      <c r="N97" s="274">
        <v>5</v>
      </c>
      <c r="O97" s="55"/>
      <c r="P97" s="45">
        <v>5</v>
      </c>
      <c r="Q97" s="270">
        <v>522</v>
      </c>
      <c r="R97" s="275">
        <v>0</v>
      </c>
      <c r="S97" s="270">
        <v>522</v>
      </c>
      <c r="T97" s="270">
        <v>527</v>
      </c>
      <c r="U97" s="57">
        <v>1</v>
      </c>
      <c r="V97" s="276">
        <v>0.3</v>
      </c>
      <c r="W97" s="276">
        <v>0.1</v>
      </c>
      <c r="X97" s="270">
        <v>316</v>
      </c>
      <c r="Y97" s="270">
        <v>211</v>
      </c>
      <c r="Z97" s="45" t="b">
        <v>1</v>
      </c>
      <c r="AA97" s="45" t="s">
        <v>38</v>
      </c>
      <c r="AB97" s="45" t="s">
        <v>38</v>
      </c>
    </row>
    <row r="98" spans="1:28" x14ac:dyDescent="0.2">
      <c r="A98" s="270" t="s">
        <v>102</v>
      </c>
      <c r="B98" s="270" t="s">
        <v>102</v>
      </c>
      <c r="C98" s="277">
        <v>43637</v>
      </c>
      <c r="D98" s="277">
        <v>43666</v>
      </c>
      <c r="E98" s="270" t="s">
        <v>267</v>
      </c>
      <c r="F98" s="96" t="s">
        <v>34</v>
      </c>
      <c r="G98" s="270" t="s">
        <v>35</v>
      </c>
      <c r="H98" s="272" t="s">
        <v>949</v>
      </c>
      <c r="I98" s="273">
        <v>15</v>
      </c>
      <c r="J98" s="270">
        <v>42</v>
      </c>
      <c r="K98" s="270">
        <f t="shared" si="0"/>
        <v>630</v>
      </c>
      <c r="L98" s="270">
        <v>7018</v>
      </c>
      <c r="M98" s="270">
        <v>150</v>
      </c>
      <c r="N98" s="274">
        <v>1</v>
      </c>
      <c r="O98" s="55"/>
      <c r="P98" s="45">
        <v>1</v>
      </c>
      <c r="Q98" s="270">
        <v>156</v>
      </c>
      <c r="R98" s="275">
        <v>6.6E-4</v>
      </c>
      <c r="S98" s="270">
        <v>157</v>
      </c>
      <c r="T98" s="270">
        <v>158</v>
      </c>
      <c r="U98" s="57">
        <v>1</v>
      </c>
      <c r="V98" s="276">
        <v>0.25</v>
      </c>
      <c r="W98" s="276">
        <v>0</v>
      </c>
      <c r="X98" s="270">
        <v>118</v>
      </c>
      <c r="Y98" s="270">
        <v>39</v>
      </c>
      <c r="Z98" s="45" t="b">
        <v>1</v>
      </c>
      <c r="AA98" s="45" t="s">
        <v>38</v>
      </c>
      <c r="AB98" s="45" t="s">
        <v>38</v>
      </c>
    </row>
    <row r="99" spans="1:28" x14ac:dyDescent="0.2">
      <c r="A99" s="270" t="s">
        <v>102</v>
      </c>
      <c r="B99" s="270" t="s">
        <v>102</v>
      </c>
      <c r="C99" s="277">
        <v>43637</v>
      </c>
      <c r="D99" s="277">
        <v>43666</v>
      </c>
      <c r="E99" s="270" t="s">
        <v>267</v>
      </c>
      <c r="F99" s="96" t="s">
        <v>34</v>
      </c>
      <c r="G99" s="270" t="s">
        <v>35</v>
      </c>
      <c r="H99" s="272" t="s">
        <v>950</v>
      </c>
      <c r="I99" s="273">
        <v>30</v>
      </c>
      <c r="J99" s="270">
        <v>9</v>
      </c>
      <c r="K99" s="270">
        <f t="shared" si="0"/>
        <v>270</v>
      </c>
      <c r="L99" s="270">
        <v>1442</v>
      </c>
      <c r="M99" s="270">
        <v>30</v>
      </c>
      <c r="N99" s="274">
        <v>0</v>
      </c>
      <c r="O99" s="55"/>
      <c r="P99" s="45">
        <v>0</v>
      </c>
      <c r="Q99" s="270">
        <v>64</v>
      </c>
      <c r="R99" s="275">
        <v>6.6E-4</v>
      </c>
      <c r="S99" s="270">
        <v>64</v>
      </c>
      <c r="T99" s="270">
        <v>64</v>
      </c>
      <c r="U99" s="57">
        <v>1</v>
      </c>
      <c r="V99" s="276">
        <v>0.25</v>
      </c>
      <c r="W99" s="276">
        <v>0</v>
      </c>
      <c r="X99" s="270">
        <v>48</v>
      </c>
      <c r="Y99" s="270">
        <v>16</v>
      </c>
      <c r="Z99" s="45" t="b">
        <v>1</v>
      </c>
      <c r="AA99" s="45" t="s">
        <v>38</v>
      </c>
      <c r="AB99" s="45" t="s">
        <v>38</v>
      </c>
    </row>
    <row r="100" spans="1:28" x14ac:dyDescent="0.2">
      <c r="A100" s="270" t="s">
        <v>102</v>
      </c>
      <c r="B100" s="270" t="s">
        <v>102</v>
      </c>
      <c r="C100" s="277">
        <v>43637</v>
      </c>
      <c r="D100" s="277">
        <v>43666</v>
      </c>
      <c r="E100" s="270" t="s">
        <v>267</v>
      </c>
      <c r="F100" s="96" t="s">
        <v>34</v>
      </c>
      <c r="G100" s="270" t="s">
        <v>35</v>
      </c>
      <c r="H100" s="272" t="s">
        <v>953</v>
      </c>
      <c r="I100" s="273">
        <v>40</v>
      </c>
      <c r="J100" s="270">
        <v>1697</v>
      </c>
      <c r="K100" s="270">
        <f t="shared" si="0"/>
        <v>67880</v>
      </c>
      <c r="L100" s="270">
        <v>81443</v>
      </c>
      <c r="M100" s="270">
        <v>-2760</v>
      </c>
      <c r="N100" s="274">
        <v>95</v>
      </c>
      <c r="O100" s="55"/>
      <c r="P100" s="45">
        <v>95</v>
      </c>
      <c r="Q100" s="270">
        <v>1201</v>
      </c>
      <c r="R100" s="275">
        <v>6.6E-4</v>
      </c>
      <c r="S100" s="270">
        <v>1246</v>
      </c>
      <c r="T100" s="270">
        <v>1341</v>
      </c>
      <c r="U100" s="57">
        <v>1</v>
      </c>
      <c r="V100" s="276">
        <v>0.25</v>
      </c>
      <c r="W100" s="276">
        <v>0</v>
      </c>
      <c r="X100" s="270">
        <v>1006</v>
      </c>
      <c r="Y100" s="270">
        <v>335</v>
      </c>
      <c r="Z100" s="45" t="b">
        <v>1</v>
      </c>
      <c r="AA100" s="45" t="s">
        <v>38</v>
      </c>
      <c r="AB100" s="45" t="s">
        <v>38</v>
      </c>
    </row>
    <row r="101" spans="1:28" x14ac:dyDescent="0.2">
      <c r="A101" s="270" t="s">
        <v>102</v>
      </c>
      <c r="B101" s="270" t="s">
        <v>102</v>
      </c>
      <c r="C101" s="277">
        <v>43637</v>
      </c>
      <c r="D101" s="277">
        <v>43666</v>
      </c>
      <c r="E101" s="270" t="s">
        <v>267</v>
      </c>
      <c r="F101" s="96" t="s">
        <v>34</v>
      </c>
      <c r="G101" s="270" t="s">
        <v>35</v>
      </c>
      <c r="H101" s="272" t="s">
        <v>948</v>
      </c>
      <c r="I101" s="273">
        <v>60</v>
      </c>
      <c r="J101" s="270">
        <v>297</v>
      </c>
      <c r="K101" s="270">
        <f t="shared" si="0"/>
        <v>17820</v>
      </c>
      <c r="L101" s="270">
        <v>-4401</v>
      </c>
      <c r="M101" s="270">
        <v>-2940</v>
      </c>
      <c r="N101" s="274">
        <v>18</v>
      </c>
      <c r="O101" s="55"/>
      <c r="P101" s="45">
        <v>18</v>
      </c>
      <c r="Q101" s="270">
        <v>-1461</v>
      </c>
      <c r="R101" s="275">
        <v>6.6E-4</v>
      </c>
      <c r="S101" s="270">
        <v>-1449</v>
      </c>
      <c r="T101" s="270">
        <v>-1431</v>
      </c>
      <c r="U101" s="57">
        <v>1</v>
      </c>
      <c r="V101" s="276">
        <v>0.25</v>
      </c>
      <c r="W101" s="276">
        <v>0</v>
      </c>
      <c r="X101" s="270">
        <v>-1074</v>
      </c>
      <c r="Y101" s="270">
        <v>-358</v>
      </c>
      <c r="Z101" s="45" t="b">
        <v>1</v>
      </c>
      <c r="AA101" s="45" t="s">
        <v>38</v>
      </c>
      <c r="AB101" s="45" t="s">
        <v>38</v>
      </c>
    </row>
    <row r="102" spans="1:28" x14ac:dyDescent="0.2">
      <c r="A102" s="270" t="s">
        <v>102</v>
      </c>
      <c r="B102" s="270" t="s">
        <v>102</v>
      </c>
      <c r="C102" s="277">
        <v>43637</v>
      </c>
      <c r="D102" s="277">
        <v>43666</v>
      </c>
      <c r="E102" s="270" t="s">
        <v>267</v>
      </c>
      <c r="F102" s="96" t="s">
        <v>34</v>
      </c>
      <c r="G102" s="270" t="s">
        <v>35</v>
      </c>
      <c r="H102" s="272" t="s">
        <v>951</v>
      </c>
      <c r="I102" s="273">
        <v>100</v>
      </c>
      <c r="J102" s="270">
        <v>891</v>
      </c>
      <c r="K102" s="270">
        <f t="shared" si="0"/>
        <v>89100</v>
      </c>
      <c r="L102" s="270">
        <v>10915</v>
      </c>
      <c r="M102" s="270">
        <v>-7500</v>
      </c>
      <c r="N102" s="274">
        <v>89</v>
      </c>
      <c r="O102" s="55"/>
      <c r="P102" s="45">
        <v>89</v>
      </c>
      <c r="Q102" s="270">
        <v>-2749</v>
      </c>
      <c r="R102" s="275">
        <v>6.6E-4</v>
      </c>
      <c r="S102" s="270">
        <v>-2690</v>
      </c>
      <c r="T102" s="270">
        <v>-2601</v>
      </c>
      <c r="U102" s="57">
        <v>1</v>
      </c>
      <c r="V102" s="276">
        <v>0.25</v>
      </c>
      <c r="W102" s="276">
        <v>0</v>
      </c>
      <c r="X102" s="270">
        <v>-1951</v>
      </c>
      <c r="Y102" s="270">
        <v>-650</v>
      </c>
      <c r="Z102" s="45" t="b">
        <v>1</v>
      </c>
      <c r="AA102" s="45" t="s">
        <v>38</v>
      </c>
      <c r="AB102" s="45" t="s">
        <v>38</v>
      </c>
    </row>
    <row r="103" spans="1:28" x14ac:dyDescent="0.2">
      <c r="A103" s="270" t="s">
        <v>145</v>
      </c>
      <c r="B103" s="270" t="s">
        <v>145</v>
      </c>
      <c r="C103" s="277">
        <v>43640</v>
      </c>
      <c r="D103" s="277">
        <v>43667</v>
      </c>
      <c r="E103" s="270" t="s">
        <v>300</v>
      </c>
      <c r="F103" s="96" t="s">
        <v>49</v>
      </c>
      <c r="G103" s="270" t="s">
        <v>35</v>
      </c>
      <c r="H103" s="272" t="s">
        <v>951</v>
      </c>
      <c r="I103" s="273">
        <v>100</v>
      </c>
      <c r="J103" s="270">
        <v>1555</v>
      </c>
      <c r="K103" s="270">
        <f t="shared" si="0"/>
        <v>155500</v>
      </c>
      <c r="L103" s="270">
        <v>68319</v>
      </c>
      <c r="M103" s="270">
        <v>800</v>
      </c>
      <c r="N103" s="274">
        <v>156</v>
      </c>
      <c r="O103" s="55"/>
      <c r="P103" s="45">
        <v>156</v>
      </c>
      <c r="Q103" s="270">
        <v>4511</v>
      </c>
      <c r="R103" s="275">
        <v>-3.3579999999999999E-3</v>
      </c>
      <c r="S103" s="270">
        <v>3988</v>
      </c>
      <c r="T103" s="270">
        <v>4144</v>
      </c>
      <c r="U103" s="57">
        <v>1</v>
      </c>
      <c r="V103" s="276">
        <v>0.22500000000000001</v>
      </c>
      <c r="W103" s="276">
        <v>7.4999999999999997E-2</v>
      </c>
      <c r="X103" s="270">
        <v>2901</v>
      </c>
      <c r="Y103" s="270">
        <v>1243</v>
      </c>
      <c r="Z103" s="45" t="b">
        <v>1</v>
      </c>
      <c r="AA103" s="45" t="s">
        <v>38</v>
      </c>
      <c r="AB103" s="45" t="s">
        <v>38</v>
      </c>
    </row>
    <row r="104" spans="1:28" x14ac:dyDescent="0.2">
      <c r="A104" s="270" t="s">
        <v>145</v>
      </c>
      <c r="B104" s="270" t="s">
        <v>145</v>
      </c>
      <c r="C104" s="277">
        <v>43668</v>
      </c>
      <c r="D104" s="277">
        <v>43695</v>
      </c>
      <c r="E104" s="270" t="s">
        <v>300</v>
      </c>
      <c r="F104" s="96" t="s">
        <v>49</v>
      </c>
      <c r="G104" s="270" t="s">
        <v>35</v>
      </c>
      <c r="H104" s="272" t="s">
        <v>950</v>
      </c>
      <c r="I104" s="273">
        <v>30</v>
      </c>
      <c r="J104" s="270">
        <v>3</v>
      </c>
      <c r="K104" s="270">
        <f t="shared" si="0"/>
        <v>90</v>
      </c>
      <c r="L104" s="270">
        <v>896</v>
      </c>
      <c r="M104" s="270">
        <v>0</v>
      </c>
      <c r="N104" s="274">
        <v>0</v>
      </c>
      <c r="O104" s="55"/>
      <c r="P104" s="45">
        <v>0</v>
      </c>
      <c r="Q104" s="270">
        <v>44</v>
      </c>
      <c r="R104" s="275">
        <v>-5.4089999999999997E-3</v>
      </c>
      <c r="S104" s="270">
        <v>44</v>
      </c>
      <c r="T104" s="270">
        <v>44</v>
      </c>
      <c r="U104" s="57">
        <v>1</v>
      </c>
      <c r="V104" s="276">
        <v>0.375</v>
      </c>
      <c r="W104" s="276">
        <v>0.125</v>
      </c>
      <c r="X104" s="270">
        <v>22</v>
      </c>
      <c r="Y104" s="270">
        <v>22</v>
      </c>
      <c r="Z104" s="45" t="b">
        <v>1</v>
      </c>
      <c r="AA104" s="45" t="s">
        <v>38</v>
      </c>
      <c r="AB104" s="45" t="s">
        <v>38</v>
      </c>
    </row>
    <row r="105" spans="1:28" x14ac:dyDescent="0.2">
      <c r="A105" s="270" t="s">
        <v>145</v>
      </c>
      <c r="B105" s="270" t="s">
        <v>145</v>
      </c>
      <c r="C105" s="277">
        <v>43668</v>
      </c>
      <c r="D105" s="277">
        <v>43695</v>
      </c>
      <c r="E105" s="270" t="s">
        <v>300</v>
      </c>
      <c r="F105" s="96" t="s">
        <v>49</v>
      </c>
      <c r="G105" s="270" t="s">
        <v>35</v>
      </c>
      <c r="H105" s="272" t="s">
        <v>948</v>
      </c>
      <c r="I105" s="273">
        <v>60</v>
      </c>
      <c r="J105" s="270">
        <v>58</v>
      </c>
      <c r="K105" s="270">
        <f t="shared" si="0"/>
        <v>3480</v>
      </c>
      <c r="L105" s="270">
        <v>5579</v>
      </c>
      <c r="M105" s="270">
        <v>420</v>
      </c>
      <c r="N105" s="274">
        <v>3</v>
      </c>
      <c r="O105" s="55"/>
      <c r="P105" s="45">
        <v>3</v>
      </c>
      <c r="Q105" s="270">
        <v>445</v>
      </c>
      <c r="R105" s="275">
        <v>-3.3059999999999999E-3</v>
      </c>
      <c r="S105" s="270">
        <v>433</v>
      </c>
      <c r="T105" s="270">
        <v>436</v>
      </c>
      <c r="U105" s="57">
        <v>1</v>
      </c>
      <c r="V105" s="276">
        <v>0.3</v>
      </c>
      <c r="W105" s="276">
        <v>0.1</v>
      </c>
      <c r="X105" s="270">
        <v>262</v>
      </c>
      <c r="Y105" s="270">
        <v>174</v>
      </c>
      <c r="Z105" s="45" t="b">
        <v>1</v>
      </c>
      <c r="AA105" s="45" t="s">
        <v>38</v>
      </c>
      <c r="AB105" s="45" t="s">
        <v>38</v>
      </c>
    </row>
    <row r="106" spans="1:28" x14ac:dyDescent="0.2">
      <c r="A106" s="270" t="s">
        <v>145</v>
      </c>
      <c r="B106" s="270" t="s">
        <v>145</v>
      </c>
      <c r="C106" s="277">
        <v>43668</v>
      </c>
      <c r="D106" s="277">
        <v>43695</v>
      </c>
      <c r="E106" s="270" t="s">
        <v>300</v>
      </c>
      <c r="F106" s="96" t="s">
        <v>49</v>
      </c>
      <c r="G106" s="270" t="s">
        <v>35</v>
      </c>
      <c r="H106" s="272" t="s">
        <v>951</v>
      </c>
      <c r="I106" s="273">
        <v>100</v>
      </c>
      <c r="J106" s="270">
        <v>1373</v>
      </c>
      <c r="K106" s="270">
        <f t="shared" si="0"/>
        <v>137300</v>
      </c>
      <c r="L106" s="270">
        <v>43749</v>
      </c>
      <c r="M106" s="270">
        <v>9500</v>
      </c>
      <c r="N106" s="274">
        <v>137</v>
      </c>
      <c r="O106" s="55"/>
      <c r="P106" s="45">
        <v>137</v>
      </c>
      <c r="Q106" s="270">
        <v>851</v>
      </c>
      <c r="R106" s="275">
        <v>-2.7260000000000001E-3</v>
      </c>
      <c r="S106" s="270">
        <v>477</v>
      </c>
      <c r="T106" s="270">
        <v>614</v>
      </c>
      <c r="U106" s="57">
        <v>1</v>
      </c>
      <c r="V106" s="276">
        <v>0.26250000000000001</v>
      </c>
      <c r="W106" s="276">
        <v>8.7499999999999994E-2</v>
      </c>
      <c r="X106" s="270">
        <v>399</v>
      </c>
      <c r="Y106" s="270">
        <v>215</v>
      </c>
      <c r="Z106" s="45" t="b">
        <v>1</v>
      </c>
      <c r="AA106" s="45" t="s">
        <v>38</v>
      </c>
      <c r="AB106" s="45" t="s">
        <v>38</v>
      </c>
    </row>
    <row r="107" spans="1:28" x14ac:dyDescent="0.2">
      <c r="A107" s="270" t="s">
        <v>286</v>
      </c>
      <c r="B107" s="270" t="s">
        <v>286</v>
      </c>
      <c r="C107" s="271">
        <v>43667</v>
      </c>
      <c r="D107" s="271">
        <v>43697</v>
      </c>
      <c r="E107" s="270" t="s">
        <v>267</v>
      </c>
      <c r="F107" s="133" t="s">
        <v>34</v>
      </c>
      <c r="G107" s="270" t="s">
        <v>35</v>
      </c>
      <c r="H107" s="272" t="s">
        <v>955</v>
      </c>
      <c r="I107" s="273">
        <v>1</v>
      </c>
      <c r="J107" s="270">
        <v>97</v>
      </c>
      <c r="K107" s="270">
        <f t="shared" si="0"/>
        <v>97</v>
      </c>
      <c r="L107" s="270">
        <v>17062</v>
      </c>
      <c r="M107" s="270">
        <v>35</v>
      </c>
      <c r="N107" s="274">
        <v>0</v>
      </c>
      <c r="O107" s="55"/>
      <c r="P107" s="45">
        <v>0</v>
      </c>
      <c r="Q107" s="270">
        <v>23</v>
      </c>
      <c r="R107" s="275">
        <v>1.6199999999999999E-3</v>
      </c>
      <c r="S107" s="270">
        <v>23</v>
      </c>
      <c r="T107" s="270">
        <v>23</v>
      </c>
      <c r="U107" s="57">
        <v>1</v>
      </c>
      <c r="V107" s="276">
        <v>0.25</v>
      </c>
      <c r="W107" s="276">
        <v>0</v>
      </c>
      <c r="X107" s="270">
        <v>17</v>
      </c>
      <c r="Y107" s="270">
        <v>6</v>
      </c>
      <c r="Z107" s="45" t="b">
        <v>1</v>
      </c>
      <c r="AA107" s="45" t="s">
        <v>38</v>
      </c>
      <c r="AB107" s="45" t="s">
        <v>38</v>
      </c>
    </row>
    <row r="108" spans="1:28" x14ac:dyDescent="0.2">
      <c r="A108" s="270" t="s">
        <v>286</v>
      </c>
      <c r="B108" s="270" t="s">
        <v>286</v>
      </c>
      <c r="C108" s="271">
        <v>43667</v>
      </c>
      <c r="D108" s="271">
        <v>43697</v>
      </c>
      <c r="E108" s="270" t="s">
        <v>267</v>
      </c>
      <c r="F108" s="133" t="s">
        <v>34</v>
      </c>
      <c r="G108" s="270" t="s">
        <v>35</v>
      </c>
      <c r="H108" s="272" t="s">
        <v>122</v>
      </c>
      <c r="I108" s="273">
        <v>3</v>
      </c>
      <c r="J108" s="270">
        <v>97</v>
      </c>
      <c r="K108" s="270">
        <f t="shared" si="0"/>
        <v>291</v>
      </c>
      <c r="L108" s="270">
        <v>4052</v>
      </c>
      <c r="M108" s="270">
        <v>-9</v>
      </c>
      <c r="N108" s="274">
        <v>0</v>
      </c>
      <c r="O108" s="55"/>
      <c r="P108" s="45">
        <v>0</v>
      </c>
      <c r="Q108" s="270">
        <v>-2</v>
      </c>
      <c r="R108" s="275">
        <v>1.6199999999999999E-3</v>
      </c>
      <c r="S108" s="270">
        <v>-2</v>
      </c>
      <c r="T108" s="270">
        <v>-2</v>
      </c>
      <c r="U108" s="57">
        <v>1</v>
      </c>
      <c r="V108" s="276">
        <v>0.25</v>
      </c>
      <c r="W108" s="276">
        <v>0</v>
      </c>
      <c r="X108" s="270">
        <v>-1</v>
      </c>
      <c r="Y108" s="270">
        <v>0</v>
      </c>
      <c r="Z108" s="45" t="b">
        <v>1</v>
      </c>
      <c r="AA108" s="45" t="s">
        <v>38</v>
      </c>
      <c r="AB108" s="45" t="s">
        <v>38</v>
      </c>
    </row>
    <row r="109" spans="1:28" x14ac:dyDescent="0.2">
      <c r="A109" s="270" t="s">
        <v>286</v>
      </c>
      <c r="B109" s="270" t="s">
        <v>286</v>
      </c>
      <c r="C109" s="271">
        <v>43667</v>
      </c>
      <c r="D109" s="271">
        <v>43697</v>
      </c>
      <c r="E109" s="270" t="s">
        <v>267</v>
      </c>
      <c r="F109" s="133" t="s">
        <v>34</v>
      </c>
      <c r="G109" s="270" t="s">
        <v>35</v>
      </c>
      <c r="H109" s="272" t="s">
        <v>956</v>
      </c>
      <c r="I109" s="273">
        <v>5</v>
      </c>
      <c r="J109" s="270">
        <v>58</v>
      </c>
      <c r="K109" s="270">
        <f t="shared" si="0"/>
        <v>290</v>
      </c>
      <c r="L109" s="270">
        <v>9992</v>
      </c>
      <c r="M109" s="270">
        <v>40</v>
      </c>
      <c r="N109" s="274">
        <v>0</v>
      </c>
      <c r="O109" s="55"/>
      <c r="P109" s="45">
        <v>0</v>
      </c>
      <c r="Q109" s="270">
        <v>66</v>
      </c>
      <c r="R109" s="275">
        <v>1.6199999999999999E-3</v>
      </c>
      <c r="S109" s="270">
        <v>66</v>
      </c>
      <c r="T109" s="270">
        <v>66</v>
      </c>
      <c r="U109" s="57">
        <v>1</v>
      </c>
      <c r="V109" s="276">
        <v>0.25</v>
      </c>
      <c r="W109" s="276">
        <v>0</v>
      </c>
      <c r="X109" s="270">
        <v>50</v>
      </c>
      <c r="Y109" s="270">
        <v>17</v>
      </c>
      <c r="Z109" s="45" t="b">
        <v>1</v>
      </c>
      <c r="AA109" s="45" t="s">
        <v>38</v>
      </c>
      <c r="AB109" s="45" t="s">
        <v>38</v>
      </c>
    </row>
    <row r="110" spans="1:28" x14ac:dyDescent="0.2">
      <c r="A110" s="270" t="s">
        <v>286</v>
      </c>
      <c r="B110" s="270" t="s">
        <v>286</v>
      </c>
      <c r="C110" s="271">
        <v>43667</v>
      </c>
      <c r="D110" s="271">
        <v>43697</v>
      </c>
      <c r="E110" s="270" t="s">
        <v>267</v>
      </c>
      <c r="F110" s="133" t="s">
        <v>34</v>
      </c>
      <c r="G110" s="270" t="s">
        <v>35</v>
      </c>
      <c r="H110" s="272" t="s">
        <v>954</v>
      </c>
      <c r="I110" s="273">
        <v>7</v>
      </c>
      <c r="J110" s="270">
        <v>81</v>
      </c>
      <c r="K110" s="270">
        <f t="shared" si="0"/>
        <v>567</v>
      </c>
      <c r="L110" s="270">
        <v>3734</v>
      </c>
      <c r="M110" s="270">
        <v>-21</v>
      </c>
      <c r="N110" s="274">
        <v>1</v>
      </c>
      <c r="O110" s="55"/>
      <c r="P110" s="45">
        <v>1</v>
      </c>
      <c r="Q110" s="270">
        <v>6</v>
      </c>
      <c r="R110" s="275">
        <v>1.6199999999999999E-3</v>
      </c>
      <c r="S110" s="270">
        <v>7</v>
      </c>
      <c r="T110" s="270">
        <v>8</v>
      </c>
      <c r="U110" s="57">
        <v>1</v>
      </c>
      <c r="V110" s="276">
        <v>0.25</v>
      </c>
      <c r="W110" s="276">
        <v>0</v>
      </c>
      <c r="X110" s="270">
        <v>6</v>
      </c>
      <c r="Y110" s="270">
        <v>2</v>
      </c>
      <c r="Z110" s="45" t="b">
        <v>1</v>
      </c>
      <c r="AA110" s="45" t="s">
        <v>38</v>
      </c>
      <c r="AB110" s="45" t="s">
        <v>38</v>
      </c>
    </row>
    <row r="111" spans="1:28" x14ac:dyDescent="0.2">
      <c r="A111" s="270" t="s">
        <v>286</v>
      </c>
      <c r="B111" s="270" t="s">
        <v>286</v>
      </c>
      <c r="C111" s="271">
        <v>43667</v>
      </c>
      <c r="D111" s="271">
        <v>43697</v>
      </c>
      <c r="E111" s="270" t="s">
        <v>267</v>
      </c>
      <c r="F111" s="133" t="s">
        <v>34</v>
      </c>
      <c r="G111" s="270" t="s">
        <v>35</v>
      </c>
      <c r="H111" s="272" t="s">
        <v>949</v>
      </c>
      <c r="I111" s="273">
        <v>15</v>
      </c>
      <c r="J111" s="270">
        <v>166</v>
      </c>
      <c r="K111" s="270">
        <f t="shared" si="0"/>
        <v>2490</v>
      </c>
      <c r="L111" s="270">
        <v>11472</v>
      </c>
      <c r="M111" s="270">
        <v>240</v>
      </c>
      <c r="N111" s="274">
        <v>3</v>
      </c>
      <c r="O111" s="55"/>
      <c r="P111" s="45">
        <v>3</v>
      </c>
      <c r="Q111" s="270">
        <v>163</v>
      </c>
      <c r="R111" s="275">
        <v>1.6199999999999999E-3</v>
      </c>
      <c r="S111" s="270">
        <v>167</v>
      </c>
      <c r="T111" s="270">
        <v>170</v>
      </c>
      <c r="U111" s="57">
        <v>1</v>
      </c>
      <c r="V111" s="276">
        <v>0.25</v>
      </c>
      <c r="W111" s="276">
        <v>0</v>
      </c>
      <c r="X111" s="270">
        <v>128</v>
      </c>
      <c r="Y111" s="270">
        <v>43</v>
      </c>
      <c r="Z111" s="45" t="b">
        <v>1</v>
      </c>
      <c r="AA111" s="45" t="s">
        <v>38</v>
      </c>
      <c r="AB111" s="45" t="s">
        <v>38</v>
      </c>
    </row>
    <row r="112" spans="1:28" x14ac:dyDescent="0.2">
      <c r="A112" s="270" t="s">
        <v>286</v>
      </c>
      <c r="B112" s="270" t="s">
        <v>286</v>
      </c>
      <c r="C112" s="271">
        <v>43667</v>
      </c>
      <c r="D112" s="271">
        <v>43697</v>
      </c>
      <c r="E112" s="270" t="s">
        <v>267</v>
      </c>
      <c r="F112" s="133" t="s">
        <v>34</v>
      </c>
      <c r="G112" s="270" t="s">
        <v>35</v>
      </c>
      <c r="H112" s="272" t="s">
        <v>950</v>
      </c>
      <c r="I112" s="273">
        <v>30</v>
      </c>
      <c r="J112" s="270">
        <v>583</v>
      </c>
      <c r="K112" s="270">
        <f t="shared" si="0"/>
        <v>17490</v>
      </c>
      <c r="L112" s="270">
        <v>45517</v>
      </c>
      <c r="M112" s="270">
        <v>270</v>
      </c>
      <c r="N112" s="274">
        <v>21</v>
      </c>
      <c r="O112" s="55"/>
      <c r="P112" s="45">
        <v>21</v>
      </c>
      <c r="Q112" s="270">
        <v>1438</v>
      </c>
      <c r="R112" s="275">
        <v>1.6199999999999999E-3</v>
      </c>
      <c r="S112" s="270">
        <v>1467</v>
      </c>
      <c r="T112" s="270">
        <v>1488</v>
      </c>
      <c r="U112" s="57">
        <v>1</v>
      </c>
      <c r="V112" s="276">
        <v>0.25</v>
      </c>
      <c r="W112" s="276">
        <v>0</v>
      </c>
      <c r="X112" s="270">
        <v>1116</v>
      </c>
      <c r="Y112" s="270">
        <v>372</v>
      </c>
      <c r="Z112" s="45" t="b">
        <v>1</v>
      </c>
      <c r="AA112" s="45" t="s">
        <v>38</v>
      </c>
      <c r="AB112" s="45" t="s">
        <v>38</v>
      </c>
    </row>
    <row r="113" spans="1:28" x14ac:dyDescent="0.2">
      <c r="A113" s="270" t="s">
        <v>286</v>
      </c>
      <c r="B113" s="270" t="s">
        <v>286</v>
      </c>
      <c r="C113" s="271">
        <v>43667</v>
      </c>
      <c r="D113" s="271">
        <v>43697</v>
      </c>
      <c r="E113" s="270" t="s">
        <v>267</v>
      </c>
      <c r="F113" s="133" t="s">
        <v>34</v>
      </c>
      <c r="G113" s="270" t="s">
        <v>35</v>
      </c>
      <c r="H113" s="272" t="s">
        <v>953</v>
      </c>
      <c r="I113" s="273">
        <v>40</v>
      </c>
      <c r="J113" s="270">
        <v>747</v>
      </c>
      <c r="K113" s="270">
        <f t="shared" si="0"/>
        <v>29880</v>
      </c>
      <c r="L113" s="270">
        <v>32239</v>
      </c>
      <c r="M113" s="270">
        <v>200</v>
      </c>
      <c r="N113" s="274">
        <v>42</v>
      </c>
      <c r="O113" s="55"/>
      <c r="P113" s="45">
        <v>42</v>
      </c>
      <c r="Q113" s="270">
        <v>271</v>
      </c>
      <c r="R113" s="275">
        <v>1.6199999999999999E-3</v>
      </c>
      <c r="S113" s="270">
        <v>319</v>
      </c>
      <c r="T113" s="270">
        <v>361</v>
      </c>
      <c r="U113" s="57">
        <v>1</v>
      </c>
      <c r="V113" s="276">
        <v>0.25</v>
      </c>
      <c r="W113" s="276">
        <v>0</v>
      </c>
      <c r="X113" s="270">
        <v>271</v>
      </c>
      <c r="Y113" s="270">
        <v>90</v>
      </c>
      <c r="Z113" s="45" t="b">
        <v>1</v>
      </c>
      <c r="AA113" s="45" t="s">
        <v>38</v>
      </c>
      <c r="AB113" s="45" t="s">
        <v>38</v>
      </c>
    </row>
    <row r="114" spans="1:28" x14ac:dyDescent="0.2">
      <c r="A114" s="270" t="s">
        <v>286</v>
      </c>
      <c r="B114" s="270" t="s">
        <v>286</v>
      </c>
      <c r="C114" s="271">
        <v>43667</v>
      </c>
      <c r="D114" s="271">
        <v>43697</v>
      </c>
      <c r="E114" s="270" t="s">
        <v>267</v>
      </c>
      <c r="F114" s="96" t="s">
        <v>34</v>
      </c>
      <c r="G114" s="270" t="s">
        <v>35</v>
      </c>
      <c r="H114" s="272" t="s">
        <v>948</v>
      </c>
      <c r="I114" s="273">
        <v>60</v>
      </c>
      <c r="J114" s="270">
        <v>443</v>
      </c>
      <c r="K114" s="270">
        <f t="shared" si="0"/>
        <v>26580</v>
      </c>
      <c r="L114" s="270">
        <v>15750</v>
      </c>
      <c r="M114" s="270">
        <v>-1920</v>
      </c>
      <c r="N114" s="274">
        <v>27</v>
      </c>
      <c r="O114" s="55"/>
      <c r="P114" s="45">
        <v>27</v>
      </c>
      <c r="Q114" s="270">
        <v>356</v>
      </c>
      <c r="R114" s="275">
        <v>1.6199999999999999E-3</v>
      </c>
      <c r="S114" s="270">
        <v>399</v>
      </c>
      <c r="T114" s="270">
        <v>426</v>
      </c>
      <c r="U114" s="57">
        <v>1</v>
      </c>
      <c r="V114" s="276">
        <v>0.25</v>
      </c>
      <c r="W114" s="276">
        <v>0</v>
      </c>
      <c r="X114" s="270">
        <v>320</v>
      </c>
      <c r="Y114" s="270">
        <v>107</v>
      </c>
      <c r="Z114" s="45" t="b">
        <v>1</v>
      </c>
      <c r="AA114" s="45" t="s">
        <v>38</v>
      </c>
      <c r="AB114" s="45" t="s">
        <v>38</v>
      </c>
    </row>
    <row r="115" spans="1:28" x14ac:dyDescent="0.2">
      <c r="A115" s="270" t="s">
        <v>286</v>
      </c>
      <c r="B115" s="270" t="s">
        <v>286</v>
      </c>
      <c r="C115" s="271">
        <v>43667</v>
      </c>
      <c r="D115" s="271">
        <v>43697</v>
      </c>
      <c r="E115" s="270" t="s">
        <v>267</v>
      </c>
      <c r="F115" s="96" t="s">
        <v>34</v>
      </c>
      <c r="G115" s="270" t="s">
        <v>35</v>
      </c>
      <c r="H115" s="272" t="s">
        <v>951</v>
      </c>
      <c r="I115" s="273">
        <v>100</v>
      </c>
      <c r="J115" s="270">
        <v>87</v>
      </c>
      <c r="K115" s="270">
        <f t="shared" si="0"/>
        <v>8700</v>
      </c>
      <c r="L115" s="270">
        <v>219</v>
      </c>
      <c r="M115" s="270">
        <v>-900</v>
      </c>
      <c r="N115" s="274">
        <v>9</v>
      </c>
      <c r="O115" s="55"/>
      <c r="P115" s="45">
        <v>9</v>
      </c>
      <c r="Q115" s="270">
        <v>-426</v>
      </c>
      <c r="R115" s="275">
        <v>1.6199999999999999E-3</v>
      </c>
      <c r="S115" s="270">
        <v>-412</v>
      </c>
      <c r="T115" s="270">
        <v>-403</v>
      </c>
      <c r="U115" s="57">
        <v>1</v>
      </c>
      <c r="V115" s="276">
        <v>0.25</v>
      </c>
      <c r="W115" s="276">
        <v>0</v>
      </c>
      <c r="X115" s="270">
        <v>-302</v>
      </c>
      <c r="Y115" s="270">
        <v>-101</v>
      </c>
      <c r="Z115" s="45" t="b">
        <v>1</v>
      </c>
      <c r="AA115" s="45" t="s">
        <v>38</v>
      </c>
      <c r="AB115" s="45" t="s">
        <v>38</v>
      </c>
    </row>
    <row r="116" spans="1:28" x14ac:dyDescent="0.2">
      <c r="A116" s="270" t="s">
        <v>82</v>
      </c>
      <c r="B116" s="270" t="s">
        <v>82</v>
      </c>
      <c r="C116" s="277">
        <v>43667</v>
      </c>
      <c r="D116" s="277">
        <v>43697</v>
      </c>
      <c r="E116" s="270" t="s">
        <v>300</v>
      </c>
      <c r="F116" s="96" t="s">
        <v>34</v>
      </c>
      <c r="G116" s="270" t="s">
        <v>35</v>
      </c>
      <c r="H116" s="272" t="s">
        <v>950</v>
      </c>
      <c r="I116" s="273">
        <v>30</v>
      </c>
      <c r="J116" s="270">
        <v>25</v>
      </c>
      <c r="K116" s="270">
        <f t="shared" si="0"/>
        <v>750</v>
      </c>
      <c r="L116" s="270">
        <v>-2010</v>
      </c>
      <c r="M116" s="270">
        <v>-150</v>
      </c>
      <c r="N116" s="274">
        <v>1</v>
      </c>
      <c r="O116" s="55"/>
      <c r="P116" s="45">
        <v>1</v>
      </c>
      <c r="Q116" s="270">
        <v>-161</v>
      </c>
      <c r="R116" s="275">
        <v>1.6199999999999999E-3</v>
      </c>
      <c r="S116" s="270">
        <v>-160</v>
      </c>
      <c r="T116" s="270">
        <v>-159</v>
      </c>
      <c r="U116" s="57">
        <v>1</v>
      </c>
      <c r="V116" s="276">
        <v>0.3</v>
      </c>
      <c r="W116" s="276">
        <v>0.1</v>
      </c>
      <c r="X116" s="270">
        <v>-95</v>
      </c>
      <c r="Y116" s="270">
        <v>-63</v>
      </c>
      <c r="Z116" s="45" t="b">
        <v>1</v>
      </c>
      <c r="AA116" s="45" t="s">
        <v>38</v>
      </c>
      <c r="AB116" s="45" t="s">
        <v>38</v>
      </c>
    </row>
    <row r="117" spans="1:28" x14ac:dyDescent="0.2">
      <c r="A117" s="270" t="s">
        <v>82</v>
      </c>
      <c r="B117" s="270" t="s">
        <v>82</v>
      </c>
      <c r="C117" s="277">
        <v>43667</v>
      </c>
      <c r="D117" s="277">
        <v>43697</v>
      </c>
      <c r="E117" s="270" t="s">
        <v>300</v>
      </c>
      <c r="F117" s="96" t="s">
        <v>34</v>
      </c>
      <c r="G117" s="270" t="s">
        <v>35</v>
      </c>
      <c r="H117" s="272" t="s">
        <v>953</v>
      </c>
      <c r="I117" s="273">
        <v>40</v>
      </c>
      <c r="J117" s="270">
        <v>805</v>
      </c>
      <c r="K117" s="270">
        <f t="shared" si="0"/>
        <v>32200</v>
      </c>
      <c r="L117" s="270">
        <v>36061</v>
      </c>
      <c r="M117" s="270">
        <v>0</v>
      </c>
      <c r="N117" s="274">
        <v>45</v>
      </c>
      <c r="O117" s="55"/>
      <c r="P117" s="45">
        <v>45</v>
      </c>
      <c r="Q117" s="270">
        <v>379</v>
      </c>
      <c r="R117" s="275">
        <v>1.6199999999999999E-3</v>
      </c>
      <c r="S117" s="270">
        <v>431</v>
      </c>
      <c r="T117" s="270">
        <v>476</v>
      </c>
      <c r="U117" s="57">
        <v>1</v>
      </c>
      <c r="V117" s="276">
        <v>0.3</v>
      </c>
      <c r="W117" s="276">
        <v>0.1</v>
      </c>
      <c r="X117" s="270">
        <v>286</v>
      </c>
      <c r="Y117" s="270">
        <v>190</v>
      </c>
      <c r="Z117" s="45" t="b">
        <v>1</v>
      </c>
      <c r="AA117" s="45" t="s">
        <v>38</v>
      </c>
      <c r="AB117" s="45" t="s">
        <v>38</v>
      </c>
    </row>
    <row r="118" spans="1:28" x14ac:dyDescent="0.2">
      <c r="A118" s="270" t="s">
        <v>82</v>
      </c>
      <c r="B118" s="270" t="s">
        <v>82</v>
      </c>
      <c r="C118" s="277">
        <v>43667</v>
      </c>
      <c r="D118" s="277">
        <v>43697</v>
      </c>
      <c r="E118" s="270" t="s">
        <v>300</v>
      </c>
      <c r="F118" s="96" t="s">
        <v>34</v>
      </c>
      <c r="G118" s="270" t="s">
        <v>35</v>
      </c>
      <c r="H118" s="272" t="s">
        <v>948</v>
      </c>
      <c r="I118" s="273">
        <v>60</v>
      </c>
      <c r="J118" s="270">
        <v>1695</v>
      </c>
      <c r="K118" s="270">
        <f t="shared" si="0"/>
        <v>101700</v>
      </c>
      <c r="L118" s="270">
        <v>57667</v>
      </c>
      <c r="M118" s="270">
        <v>960</v>
      </c>
      <c r="N118" s="274">
        <v>102</v>
      </c>
      <c r="O118" s="55"/>
      <c r="P118" s="45">
        <v>102</v>
      </c>
      <c r="Q118" s="270">
        <v>1045</v>
      </c>
      <c r="R118" s="275">
        <v>1.6199999999999999E-3</v>
      </c>
      <c r="S118" s="270">
        <v>1210</v>
      </c>
      <c r="T118" s="270">
        <v>1312</v>
      </c>
      <c r="U118" s="57">
        <v>1</v>
      </c>
      <c r="V118" s="276">
        <v>0.3</v>
      </c>
      <c r="W118" s="276">
        <v>0.1</v>
      </c>
      <c r="X118" s="270">
        <v>787</v>
      </c>
      <c r="Y118" s="270">
        <v>525</v>
      </c>
      <c r="Z118" s="45" t="b">
        <v>1</v>
      </c>
      <c r="AA118" s="45" t="s">
        <v>38</v>
      </c>
      <c r="AB118" s="45" t="s">
        <v>38</v>
      </c>
    </row>
    <row r="119" spans="1:28" x14ac:dyDescent="0.2">
      <c r="A119" s="270" t="s">
        <v>102</v>
      </c>
      <c r="B119" s="270" t="s">
        <v>102</v>
      </c>
      <c r="C119" s="277">
        <v>43667</v>
      </c>
      <c r="D119" s="277">
        <v>43697</v>
      </c>
      <c r="E119" s="270" t="s">
        <v>267</v>
      </c>
      <c r="F119" s="96" t="s">
        <v>34</v>
      </c>
      <c r="G119" s="270" t="s">
        <v>35</v>
      </c>
      <c r="H119" s="272" t="s">
        <v>950</v>
      </c>
      <c r="I119" s="273">
        <v>30</v>
      </c>
      <c r="J119" s="270">
        <v>127</v>
      </c>
      <c r="K119" s="270">
        <f t="shared" si="0"/>
        <v>3810</v>
      </c>
      <c r="L119" s="270">
        <v>5527</v>
      </c>
      <c r="M119" s="270">
        <v>690</v>
      </c>
      <c r="N119" s="274">
        <v>5</v>
      </c>
      <c r="O119" s="55"/>
      <c r="P119" s="45">
        <v>5</v>
      </c>
      <c r="Q119" s="270">
        <v>66</v>
      </c>
      <c r="R119" s="275">
        <v>1.6199999999999999E-3</v>
      </c>
      <c r="S119" s="270">
        <v>72</v>
      </c>
      <c r="T119" s="270">
        <v>77</v>
      </c>
      <c r="U119" s="57">
        <v>1</v>
      </c>
      <c r="V119" s="276">
        <v>0.25</v>
      </c>
      <c r="W119" s="276">
        <v>0</v>
      </c>
      <c r="X119" s="270">
        <v>58</v>
      </c>
      <c r="Y119" s="270">
        <v>19</v>
      </c>
      <c r="Z119" s="45" t="b">
        <v>1</v>
      </c>
      <c r="AA119" s="45" t="s">
        <v>38</v>
      </c>
      <c r="AB119" s="45" t="s">
        <v>38</v>
      </c>
    </row>
    <row r="120" spans="1:28" x14ac:dyDescent="0.2">
      <c r="A120" s="270" t="s">
        <v>102</v>
      </c>
      <c r="B120" s="270" t="s">
        <v>102</v>
      </c>
      <c r="C120" s="277">
        <v>43667</v>
      </c>
      <c r="D120" s="277">
        <v>43697</v>
      </c>
      <c r="E120" s="270" t="s">
        <v>267</v>
      </c>
      <c r="F120" s="96" t="s">
        <v>34</v>
      </c>
      <c r="G120" s="270" t="s">
        <v>35</v>
      </c>
      <c r="H120" s="272" t="s">
        <v>953</v>
      </c>
      <c r="I120" s="273">
        <v>40</v>
      </c>
      <c r="J120" s="270">
        <v>35</v>
      </c>
      <c r="K120" s="270">
        <f t="shared" si="0"/>
        <v>1400</v>
      </c>
      <c r="L120" s="270">
        <v>1118</v>
      </c>
      <c r="M120" s="270">
        <v>-160</v>
      </c>
      <c r="N120" s="274">
        <v>2</v>
      </c>
      <c r="O120" s="55"/>
      <c r="P120" s="45">
        <v>2</v>
      </c>
      <c r="Q120" s="270">
        <v>-17</v>
      </c>
      <c r="R120" s="275">
        <v>1.6199999999999999E-3</v>
      </c>
      <c r="S120" s="270">
        <v>-15</v>
      </c>
      <c r="T120" s="270">
        <v>-13</v>
      </c>
      <c r="U120" s="57">
        <v>1</v>
      </c>
      <c r="V120" s="276">
        <v>0.25</v>
      </c>
      <c r="W120" s="276">
        <v>0</v>
      </c>
      <c r="X120" s="270">
        <v>-9</v>
      </c>
      <c r="Y120" s="270">
        <v>-3</v>
      </c>
      <c r="Z120" s="45" t="b">
        <v>1</v>
      </c>
      <c r="AA120" s="45" t="s">
        <v>38</v>
      </c>
      <c r="AB120" s="45" t="s">
        <v>38</v>
      </c>
    </row>
    <row r="121" spans="1:28" x14ac:dyDescent="0.2">
      <c r="A121" s="270" t="s">
        <v>102</v>
      </c>
      <c r="B121" s="270" t="s">
        <v>102</v>
      </c>
      <c r="C121" s="277">
        <v>43667</v>
      </c>
      <c r="D121" s="277">
        <v>43697</v>
      </c>
      <c r="E121" s="270" t="s">
        <v>267</v>
      </c>
      <c r="F121" s="96" t="s">
        <v>34</v>
      </c>
      <c r="G121" s="270" t="s">
        <v>35</v>
      </c>
      <c r="H121" s="272" t="s">
        <v>948</v>
      </c>
      <c r="I121" s="273">
        <v>60</v>
      </c>
      <c r="J121" s="270">
        <v>359</v>
      </c>
      <c r="K121" s="270">
        <f t="shared" si="0"/>
        <v>21540</v>
      </c>
      <c r="L121" s="270">
        <v>17449</v>
      </c>
      <c r="M121" s="270">
        <v>1020</v>
      </c>
      <c r="N121" s="274">
        <v>22</v>
      </c>
      <c r="O121" s="55"/>
      <c r="P121" s="45">
        <v>22</v>
      </c>
      <c r="Q121" s="270">
        <v>815</v>
      </c>
      <c r="R121" s="275">
        <v>1.6199999999999999E-3</v>
      </c>
      <c r="S121" s="270">
        <v>850</v>
      </c>
      <c r="T121" s="270">
        <v>872</v>
      </c>
      <c r="U121" s="57">
        <v>1</v>
      </c>
      <c r="V121" s="276">
        <v>0.25</v>
      </c>
      <c r="W121" s="276">
        <v>0</v>
      </c>
      <c r="X121" s="270">
        <v>654</v>
      </c>
      <c r="Y121" s="270">
        <v>218</v>
      </c>
      <c r="Z121" s="45" t="b">
        <v>1</v>
      </c>
      <c r="AA121" s="45" t="s">
        <v>38</v>
      </c>
      <c r="AB121" s="45" t="s">
        <v>38</v>
      </c>
    </row>
    <row r="122" spans="1:28" x14ac:dyDescent="0.2">
      <c r="A122" s="270" t="s">
        <v>102</v>
      </c>
      <c r="B122" s="270" t="s">
        <v>102</v>
      </c>
      <c r="C122" s="277">
        <v>43667</v>
      </c>
      <c r="D122" s="277">
        <v>43697</v>
      </c>
      <c r="E122" s="270" t="s">
        <v>267</v>
      </c>
      <c r="F122" s="96" t="s">
        <v>34</v>
      </c>
      <c r="G122" s="270" t="s">
        <v>35</v>
      </c>
      <c r="H122" s="272" t="s">
        <v>951</v>
      </c>
      <c r="I122" s="273">
        <v>100</v>
      </c>
      <c r="J122" s="270">
        <v>1676</v>
      </c>
      <c r="K122" s="270">
        <f t="shared" si="0"/>
        <v>167600</v>
      </c>
      <c r="L122" s="270">
        <v>84203</v>
      </c>
      <c r="M122" s="270">
        <v>11400</v>
      </c>
      <c r="N122" s="274">
        <v>168</v>
      </c>
      <c r="O122" s="55"/>
      <c r="P122" s="45">
        <v>168</v>
      </c>
      <c r="Q122" s="270">
        <v>6858</v>
      </c>
      <c r="R122" s="275">
        <v>1.6199999999999999E-3</v>
      </c>
      <c r="S122" s="270">
        <v>7130</v>
      </c>
      <c r="T122" s="270">
        <v>7298</v>
      </c>
      <c r="U122" s="57">
        <v>1</v>
      </c>
      <c r="V122" s="276">
        <v>0.25</v>
      </c>
      <c r="W122" s="276">
        <v>0</v>
      </c>
      <c r="X122" s="270">
        <v>5473</v>
      </c>
      <c r="Y122" s="270">
        <v>1824</v>
      </c>
      <c r="Z122" s="45" t="b">
        <v>1</v>
      </c>
      <c r="AA122" s="45" t="s">
        <v>38</v>
      </c>
      <c r="AB122" s="45" t="s">
        <v>38</v>
      </c>
    </row>
    <row r="123" spans="1:28" x14ac:dyDescent="0.2">
      <c r="A123" s="270" t="s">
        <v>286</v>
      </c>
      <c r="B123" s="270" t="s">
        <v>286</v>
      </c>
      <c r="C123" s="271">
        <v>43698</v>
      </c>
      <c r="D123" s="271">
        <v>43728</v>
      </c>
      <c r="E123" s="270" t="s">
        <v>267</v>
      </c>
      <c r="F123" s="96" t="s">
        <v>34</v>
      </c>
      <c r="G123" s="270" t="s">
        <v>35</v>
      </c>
      <c r="H123" s="272" t="s">
        <v>122</v>
      </c>
      <c r="I123" s="273">
        <v>3</v>
      </c>
      <c r="J123" s="270">
        <v>117</v>
      </c>
      <c r="K123" s="270">
        <f t="shared" si="0"/>
        <v>351</v>
      </c>
      <c r="L123" s="270">
        <v>12172</v>
      </c>
      <c r="M123" s="270">
        <v>-6</v>
      </c>
      <c r="N123" s="274">
        <v>1</v>
      </c>
      <c r="O123" s="55"/>
      <c r="P123" s="45">
        <v>1</v>
      </c>
      <c r="Q123" s="270">
        <v>37</v>
      </c>
      <c r="R123" s="275">
        <v>1.75E-3</v>
      </c>
      <c r="S123" s="270">
        <v>38</v>
      </c>
      <c r="T123" s="270">
        <v>39</v>
      </c>
      <c r="U123" s="57">
        <v>1</v>
      </c>
      <c r="V123" s="276">
        <v>0.25</v>
      </c>
      <c r="W123" s="276">
        <v>0</v>
      </c>
      <c r="X123" s="270">
        <v>29</v>
      </c>
      <c r="Y123" s="270">
        <v>10</v>
      </c>
      <c r="Z123" s="45" t="b">
        <v>1</v>
      </c>
      <c r="AA123" s="45" t="s">
        <v>38</v>
      </c>
      <c r="AB123" s="45" t="s">
        <v>38</v>
      </c>
    </row>
    <row r="124" spans="1:28" x14ac:dyDescent="0.2">
      <c r="A124" s="270" t="s">
        <v>286</v>
      </c>
      <c r="B124" s="270" t="s">
        <v>286</v>
      </c>
      <c r="C124" s="271">
        <v>43698</v>
      </c>
      <c r="D124" s="271">
        <v>43728</v>
      </c>
      <c r="E124" s="270" t="s">
        <v>267</v>
      </c>
      <c r="F124" s="96" t="s">
        <v>34</v>
      </c>
      <c r="G124" s="270" t="s">
        <v>35</v>
      </c>
      <c r="H124" s="272" t="s">
        <v>956</v>
      </c>
      <c r="I124" s="273">
        <v>5</v>
      </c>
      <c r="J124" s="270">
        <v>47</v>
      </c>
      <c r="K124" s="270">
        <f t="shared" si="0"/>
        <v>235</v>
      </c>
      <c r="L124" s="270">
        <v>-2429</v>
      </c>
      <c r="M124" s="270">
        <v>-135</v>
      </c>
      <c r="N124" s="274">
        <v>0</v>
      </c>
      <c r="O124" s="55"/>
      <c r="P124" s="45">
        <v>0</v>
      </c>
      <c r="Q124" s="270">
        <v>-43</v>
      </c>
      <c r="R124" s="275">
        <v>1.75E-3</v>
      </c>
      <c r="S124" s="270">
        <v>-42</v>
      </c>
      <c r="T124" s="270">
        <v>-42</v>
      </c>
      <c r="U124" s="57">
        <v>1</v>
      </c>
      <c r="V124" s="276">
        <v>0.25</v>
      </c>
      <c r="W124" s="276">
        <v>0</v>
      </c>
      <c r="X124" s="270">
        <v>-32</v>
      </c>
      <c r="Y124" s="270">
        <v>-11</v>
      </c>
      <c r="Z124" s="45" t="b">
        <v>1</v>
      </c>
      <c r="AA124" s="45" t="s">
        <v>38</v>
      </c>
      <c r="AB124" s="45" t="s">
        <v>38</v>
      </c>
    </row>
    <row r="125" spans="1:28" x14ac:dyDescent="0.2">
      <c r="A125" s="270" t="s">
        <v>286</v>
      </c>
      <c r="B125" s="270" t="s">
        <v>286</v>
      </c>
      <c r="C125" s="271">
        <v>43698</v>
      </c>
      <c r="D125" s="271">
        <v>43728</v>
      </c>
      <c r="E125" s="270" t="s">
        <v>267</v>
      </c>
      <c r="F125" s="96" t="s">
        <v>34</v>
      </c>
      <c r="G125" s="270" t="s">
        <v>35</v>
      </c>
      <c r="H125" s="272" t="s">
        <v>954</v>
      </c>
      <c r="I125" s="273">
        <v>7</v>
      </c>
      <c r="J125" s="270">
        <v>191</v>
      </c>
      <c r="K125" s="270">
        <f t="shared" si="0"/>
        <v>1337</v>
      </c>
      <c r="L125" s="270">
        <v>17034</v>
      </c>
      <c r="M125" s="270">
        <v>98</v>
      </c>
      <c r="N125" s="274">
        <v>2</v>
      </c>
      <c r="O125" s="55"/>
      <c r="P125" s="45">
        <v>2</v>
      </c>
      <c r="Q125" s="270">
        <v>122</v>
      </c>
      <c r="R125" s="275">
        <v>1.75E-3</v>
      </c>
      <c r="S125" s="270">
        <v>124</v>
      </c>
      <c r="T125" s="270">
        <v>126</v>
      </c>
      <c r="U125" s="57">
        <v>1</v>
      </c>
      <c r="V125" s="276">
        <v>0.25</v>
      </c>
      <c r="W125" s="276">
        <v>0</v>
      </c>
      <c r="X125" s="270">
        <v>94</v>
      </c>
      <c r="Y125" s="270">
        <v>31</v>
      </c>
      <c r="Z125" s="45" t="b">
        <v>1</v>
      </c>
      <c r="AA125" s="45" t="s">
        <v>38</v>
      </c>
      <c r="AB125" s="45" t="s">
        <v>38</v>
      </c>
    </row>
    <row r="126" spans="1:28" x14ac:dyDescent="0.2">
      <c r="A126" s="270" t="s">
        <v>286</v>
      </c>
      <c r="B126" s="270" t="s">
        <v>286</v>
      </c>
      <c r="C126" s="271">
        <v>43698</v>
      </c>
      <c r="D126" s="271">
        <v>43728</v>
      </c>
      <c r="E126" s="270" t="s">
        <v>267</v>
      </c>
      <c r="F126" s="96" t="s">
        <v>34</v>
      </c>
      <c r="G126" s="270" t="s">
        <v>35</v>
      </c>
      <c r="H126" s="272" t="s">
        <v>949</v>
      </c>
      <c r="I126" s="273">
        <v>15</v>
      </c>
      <c r="J126" s="270">
        <v>27</v>
      </c>
      <c r="K126" s="270">
        <f t="shared" si="0"/>
        <v>405</v>
      </c>
      <c r="L126" s="270">
        <v>258</v>
      </c>
      <c r="M126" s="270">
        <v>-165</v>
      </c>
      <c r="N126" s="274">
        <v>0</v>
      </c>
      <c r="O126" s="55"/>
      <c r="P126" s="45">
        <v>0</v>
      </c>
      <c r="Q126" s="270">
        <v>-19</v>
      </c>
      <c r="R126" s="275">
        <v>1.75E-3</v>
      </c>
      <c r="S126" s="270">
        <v>-18</v>
      </c>
      <c r="T126" s="270">
        <v>-18</v>
      </c>
      <c r="U126" s="57">
        <v>1</v>
      </c>
      <c r="V126" s="276">
        <v>0.25</v>
      </c>
      <c r="W126" s="276">
        <v>0</v>
      </c>
      <c r="X126" s="270">
        <v>-13</v>
      </c>
      <c r="Y126" s="270">
        <v>-4</v>
      </c>
      <c r="Z126" s="45" t="b">
        <v>1</v>
      </c>
      <c r="AA126" s="45" t="s">
        <v>38</v>
      </c>
      <c r="AB126" s="45" t="s">
        <v>38</v>
      </c>
    </row>
    <row r="127" spans="1:28" x14ac:dyDescent="0.2">
      <c r="A127" s="270" t="s">
        <v>286</v>
      </c>
      <c r="B127" s="270" t="s">
        <v>286</v>
      </c>
      <c r="C127" s="271">
        <v>43698</v>
      </c>
      <c r="D127" s="271">
        <v>43728</v>
      </c>
      <c r="E127" s="270" t="s">
        <v>267</v>
      </c>
      <c r="F127" s="96" t="s">
        <v>34</v>
      </c>
      <c r="G127" s="270" t="s">
        <v>35</v>
      </c>
      <c r="H127" s="272" t="s">
        <v>950</v>
      </c>
      <c r="I127" s="273">
        <v>30</v>
      </c>
      <c r="J127" s="270">
        <v>638</v>
      </c>
      <c r="K127" s="270">
        <f t="shared" si="0"/>
        <v>19140</v>
      </c>
      <c r="L127" s="270">
        <v>48135</v>
      </c>
      <c r="M127" s="270">
        <v>2070</v>
      </c>
      <c r="N127" s="274">
        <v>23</v>
      </c>
      <c r="O127" s="55"/>
      <c r="P127" s="45">
        <v>23</v>
      </c>
      <c r="Q127" s="270">
        <v>1474</v>
      </c>
      <c r="R127" s="275">
        <v>1.75E-3</v>
      </c>
      <c r="S127" s="270">
        <v>1508</v>
      </c>
      <c r="T127" s="270">
        <v>1531</v>
      </c>
      <c r="U127" s="57">
        <v>1</v>
      </c>
      <c r="V127" s="276">
        <v>0.25</v>
      </c>
      <c r="W127" s="276">
        <v>0</v>
      </c>
      <c r="X127" s="270">
        <v>1148</v>
      </c>
      <c r="Y127" s="270">
        <v>383</v>
      </c>
      <c r="Z127" s="45" t="b">
        <v>1</v>
      </c>
      <c r="AA127" s="45" t="s">
        <v>38</v>
      </c>
      <c r="AB127" s="45" t="s">
        <v>38</v>
      </c>
    </row>
    <row r="128" spans="1:28" x14ac:dyDescent="0.2">
      <c r="A128" s="270" t="s">
        <v>286</v>
      </c>
      <c r="B128" s="270" t="s">
        <v>286</v>
      </c>
      <c r="C128" s="271">
        <v>43698</v>
      </c>
      <c r="D128" s="271">
        <v>43728</v>
      </c>
      <c r="E128" s="270" t="s">
        <v>267</v>
      </c>
      <c r="F128" s="96" t="s">
        <v>34</v>
      </c>
      <c r="G128" s="270" t="s">
        <v>35</v>
      </c>
      <c r="H128" s="272" t="s">
        <v>953</v>
      </c>
      <c r="I128" s="273">
        <v>40</v>
      </c>
      <c r="J128" s="270">
        <v>834</v>
      </c>
      <c r="K128" s="270">
        <f t="shared" si="0"/>
        <v>33360</v>
      </c>
      <c r="L128" s="270">
        <v>22055</v>
      </c>
      <c r="M128" s="270">
        <v>280</v>
      </c>
      <c r="N128" s="274">
        <v>47</v>
      </c>
      <c r="O128" s="55"/>
      <c r="P128" s="45">
        <v>47</v>
      </c>
      <c r="Q128" s="270">
        <v>-743</v>
      </c>
      <c r="R128" s="275">
        <v>1.75E-3</v>
      </c>
      <c r="S128" s="270">
        <v>-685</v>
      </c>
      <c r="T128" s="270">
        <v>-638</v>
      </c>
      <c r="U128" s="57">
        <v>1</v>
      </c>
      <c r="V128" s="276">
        <v>0.25</v>
      </c>
      <c r="W128" s="276">
        <v>0</v>
      </c>
      <c r="X128" s="270">
        <v>-478</v>
      </c>
      <c r="Y128" s="270">
        <v>-159</v>
      </c>
      <c r="Z128" s="45" t="b">
        <v>1</v>
      </c>
      <c r="AA128" s="45" t="s">
        <v>38</v>
      </c>
      <c r="AB128" s="45" t="s">
        <v>38</v>
      </c>
    </row>
    <row r="129" spans="1:28" x14ac:dyDescent="0.2">
      <c r="A129" s="270" t="s">
        <v>286</v>
      </c>
      <c r="B129" s="270" t="s">
        <v>286</v>
      </c>
      <c r="C129" s="271">
        <v>43698</v>
      </c>
      <c r="D129" s="271">
        <v>43728</v>
      </c>
      <c r="E129" s="270" t="s">
        <v>267</v>
      </c>
      <c r="F129" s="96" t="s">
        <v>34</v>
      </c>
      <c r="G129" s="270" t="s">
        <v>35</v>
      </c>
      <c r="H129" s="272" t="s">
        <v>948</v>
      </c>
      <c r="I129" s="273">
        <v>60</v>
      </c>
      <c r="J129" s="270">
        <v>506</v>
      </c>
      <c r="K129" s="270">
        <f t="shared" si="0"/>
        <v>30360</v>
      </c>
      <c r="L129" s="270">
        <v>24136</v>
      </c>
      <c r="M129" s="270">
        <v>-660</v>
      </c>
      <c r="N129" s="274">
        <v>30</v>
      </c>
      <c r="O129" s="55"/>
      <c r="P129" s="45">
        <v>30</v>
      </c>
      <c r="Q129" s="270">
        <v>1097</v>
      </c>
      <c r="R129" s="275">
        <v>1.75E-3</v>
      </c>
      <c r="S129" s="270">
        <v>1150</v>
      </c>
      <c r="T129" s="270">
        <v>1180</v>
      </c>
      <c r="U129" s="57">
        <v>1</v>
      </c>
      <c r="V129" s="276">
        <v>0.25</v>
      </c>
      <c r="W129" s="276">
        <v>0</v>
      </c>
      <c r="X129" s="270">
        <v>885</v>
      </c>
      <c r="Y129" s="270">
        <v>295</v>
      </c>
      <c r="Z129" s="45" t="b">
        <v>1</v>
      </c>
      <c r="AA129" s="45" t="s">
        <v>38</v>
      </c>
      <c r="AB129" s="45" t="s">
        <v>38</v>
      </c>
    </row>
    <row r="130" spans="1:28" x14ac:dyDescent="0.2">
      <c r="A130" s="270" t="s">
        <v>82</v>
      </c>
      <c r="B130" s="270" t="s">
        <v>82</v>
      </c>
      <c r="C130" s="277">
        <v>43698</v>
      </c>
      <c r="D130" s="277">
        <v>43728</v>
      </c>
      <c r="E130" s="270" t="s">
        <v>300</v>
      </c>
      <c r="F130" s="96" t="s">
        <v>34</v>
      </c>
      <c r="G130" s="270" t="s">
        <v>35</v>
      </c>
      <c r="H130" s="272" t="s">
        <v>950</v>
      </c>
      <c r="I130" s="273">
        <v>30</v>
      </c>
      <c r="J130" s="270">
        <v>1322</v>
      </c>
      <c r="K130" s="270">
        <f t="shared" si="0"/>
        <v>39660</v>
      </c>
      <c r="L130" s="270">
        <v>44904</v>
      </c>
      <c r="M130" s="270">
        <v>-780</v>
      </c>
      <c r="N130" s="274">
        <v>48</v>
      </c>
      <c r="O130" s="55"/>
      <c r="P130" s="45">
        <v>48</v>
      </c>
      <c r="Q130" s="270">
        <v>-118</v>
      </c>
      <c r="R130" s="275">
        <v>1.75E-3</v>
      </c>
      <c r="S130" s="270">
        <v>-49</v>
      </c>
      <c r="T130" s="270">
        <v>-1</v>
      </c>
      <c r="U130" s="57">
        <v>1</v>
      </c>
      <c r="V130" s="276">
        <v>0.3</v>
      </c>
      <c r="W130" s="276">
        <v>0.1</v>
      </c>
      <c r="X130" s="270">
        <v>0</v>
      </c>
      <c r="Y130" s="270">
        <v>0</v>
      </c>
      <c r="Z130" s="45" t="b">
        <v>1</v>
      </c>
      <c r="AA130" s="45" t="s">
        <v>38</v>
      </c>
      <c r="AB130" s="45" t="s">
        <v>38</v>
      </c>
    </row>
    <row r="131" spans="1:28" x14ac:dyDescent="0.2">
      <c r="A131" s="270" t="s">
        <v>82</v>
      </c>
      <c r="B131" s="270" t="s">
        <v>82</v>
      </c>
      <c r="C131" s="277">
        <v>43698</v>
      </c>
      <c r="D131" s="277">
        <v>43728</v>
      </c>
      <c r="E131" s="270" t="s">
        <v>300</v>
      </c>
      <c r="F131" s="96" t="s">
        <v>34</v>
      </c>
      <c r="G131" s="270" t="s">
        <v>35</v>
      </c>
      <c r="H131" s="272" t="s">
        <v>953</v>
      </c>
      <c r="I131" s="273">
        <v>40</v>
      </c>
      <c r="J131" s="270">
        <v>225</v>
      </c>
      <c r="K131" s="270">
        <f t="shared" si="0"/>
        <v>9000</v>
      </c>
      <c r="L131" s="270">
        <v>17857</v>
      </c>
      <c r="M131" s="270">
        <v>3240</v>
      </c>
      <c r="N131" s="274">
        <v>13</v>
      </c>
      <c r="O131" s="55"/>
      <c r="P131" s="45">
        <v>13</v>
      </c>
      <c r="Q131" s="270">
        <v>657</v>
      </c>
      <c r="R131" s="275">
        <v>1.75E-3</v>
      </c>
      <c r="S131" s="270">
        <v>673</v>
      </c>
      <c r="T131" s="270">
        <v>686</v>
      </c>
      <c r="U131" s="57">
        <v>1</v>
      </c>
      <c r="V131" s="276">
        <v>0.3</v>
      </c>
      <c r="W131" s="276">
        <v>0.1</v>
      </c>
      <c r="X131" s="270">
        <v>411</v>
      </c>
      <c r="Y131" s="270">
        <v>274</v>
      </c>
      <c r="Z131" s="45" t="b">
        <v>1</v>
      </c>
      <c r="AA131" s="45" t="s">
        <v>38</v>
      </c>
      <c r="AB131" s="45" t="s">
        <v>38</v>
      </c>
    </row>
    <row r="132" spans="1:28" x14ac:dyDescent="0.2">
      <c r="A132" s="270" t="s">
        <v>82</v>
      </c>
      <c r="B132" s="270" t="s">
        <v>82</v>
      </c>
      <c r="C132" s="277">
        <v>43698</v>
      </c>
      <c r="D132" s="277">
        <v>43728</v>
      </c>
      <c r="E132" s="270" t="s">
        <v>300</v>
      </c>
      <c r="F132" s="96" t="s">
        <v>34</v>
      </c>
      <c r="G132" s="270" t="s">
        <v>35</v>
      </c>
      <c r="H132" s="272" t="s">
        <v>948</v>
      </c>
      <c r="I132" s="273">
        <v>60</v>
      </c>
      <c r="J132" s="270">
        <v>834</v>
      </c>
      <c r="K132" s="270">
        <f t="shared" si="0"/>
        <v>50040</v>
      </c>
      <c r="L132" s="270">
        <v>25983</v>
      </c>
      <c r="M132" s="270">
        <v>-3000</v>
      </c>
      <c r="N132" s="274">
        <v>50</v>
      </c>
      <c r="O132" s="55"/>
      <c r="P132" s="45">
        <v>50</v>
      </c>
      <c r="Q132" s="270">
        <v>140</v>
      </c>
      <c r="R132" s="275">
        <v>1.75E-3</v>
      </c>
      <c r="S132" s="270">
        <v>228</v>
      </c>
      <c r="T132" s="270">
        <v>278</v>
      </c>
      <c r="U132" s="57">
        <v>1</v>
      </c>
      <c r="V132" s="276">
        <v>0.3</v>
      </c>
      <c r="W132" s="276">
        <v>0.1</v>
      </c>
      <c r="X132" s="270">
        <v>167</v>
      </c>
      <c r="Y132" s="270">
        <v>111</v>
      </c>
      <c r="Z132" s="45" t="b">
        <v>1</v>
      </c>
      <c r="AA132" s="45" t="s">
        <v>38</v>
      </c>
      <c r="AB132" s="45" t="s">
        <v>38</v>
      </c>
    </row>
    <row r="133" spans="1:28" x14ac:dyDescent="0.2">
      <c r="A133" s="270" t="s">
        <v>102</v>
      </c>
      <c r="B133" s="270" t="s">
        <v>102</v>
      </c>
      <c r="C133" s="277">
        <v>43698</v>
      </c>
      <c r="D133" s="277">
        <v>43728</v>
      </c>
      <c r="E133" s="270" t="s">
        <v>267</v>
      </c>
      <c r="F133" s="96" t="s">
        <v>34</v>
      </c>
      <c r="G133" s="270" t="s">
        <v>35</v>
      </c>
      <c r="H133" s="272" t="s">
        <v>951</v>
      </c>
      <c r="I133" s="273">
        <v>100</v>
      </c>
      <c r="J133" s="270">
        <v>2654</v>
      </c>
      <c r="K133" s="270">
        <f t="shared" si="0"/>
        <v>265400</v>
      </c>
      <c r="L133" s="270">
        <v>66718</v>
      </c>
      <c r="M133" s="270">
        <v>5500</v>
      </c>
      <c r="N133" s="274">
        <v>265</v>
      </c>
      <c r="O133" s="55"/>
      <c r="P133" s="45">
        <v>265</v>
      </c>
      <c r="Q133" s="270">
        <v>-1727</v>
      </c>
      <c r="R133" s="275">
        <v>1.75E-3</v>
      </c>
      <c r="S133" s="270">
        <v>-1262</v>
      </c>
      <c r="T133" s="270">
        <v>-997</v>
      </c>
      <c r="U133" s="57">
        <v>1</v>
      </c>
      <c r="V133" s="276">
        <v>0.35</v>
      </c>
      <c r="W133" s="276">
        <v>0</v>
      </c>
      <c r="X133" s="270">
        <v>-648</v>
      </c>
      <c r="Y133" s="270">
        <v>-349</v>
      </c>
      <c r="Z133" s="45" t="b">
        <v>1</v>
      </c>
      <c r="AA133" s="45" t="s">
        <v>38</v>
      </c>
      <c r="AB133" s="45" t="s">
        <v>38</v>
      </c>
    </row>
    <row r="134" spans="1:28" x14ac:dyDescent="0.2">
      <c r="A134" s="270" t="s">
        <v>102</v>
      </c>
      <c r="B134" s="270" t="s">
        <v>102</v>
      </c>
      <c r="C134" s="277">
        <v>43698</v>
      </c>
      <c r="D134" s="277">
        <v>43728</v>
      </c>
      <c r="E134" s="270" t="s">
        <v>267</v>
      </c>
      <c r="F134" s="96" t="s">
        <v>34</v>
      </c>
      <c r="G134" s="270" t="s">
        <v>35</v>
      </c>
      <c r="H134" s="272" t="s">
        <v>948</v>
      </c>
      <c r="I134" s="273">
        <v>60</v>
      </c>
      <c r="J134" s="270">
        <v>4</v>
      </c>
      <c r="K134" s="270">
        <f t="shared" si="0"/>
        <v>240</v>
      </c>
      <c r="L134" s="270">
        <v>245</v>
      </c>
      <c r="M134" s="270">
        <v>-120</v>
      </c>
      <c r="N134" s="274">
        <v>0</v>
      </c>
      <c r="O134" s="55"/>
      <c r="P134" s="45">
        <v>0</v>
      </c>
      <c r="Q134" s="270">
        <v>15</v>
      </c>
      <c r="R134" s="275">
        <v>1.75E-3</v>
      </c>
      <c r="S134" s="270">
        <v>15</v>
      </c>
      <c r="T134" s="270">
        <v>15</v>
      </c>
      <c r="U134" s="57">
        <v>1</v>
      </c>
      <c r="V134" s="276">
        <v>0.35</v>
      </c>
      <c r="W134" s="276">
        <v>0</v>
      </c>
      <c r="X134" s="270">
        <v>10</v>
      </c>
      <c r="Y134" s="270">
        <v>5</v>
      </c>
      <c r="Z134" s="45" t="b">
        <v>1</v>
      </c>
      <c r="AA134" s="45" t="s">
        <v>38</v>
      </c>
      <c r="AB134" s="45" t="s">
        <v>38</v>
      </c>
    </row>
    <row r="135" spans="1:28" x14ac:dyDescent="0.2">
      <c r="A135" s="270" t="s">
        <v>102</v>
      </c>
      <c r="B135" s="270" t="s">
        <v>102</v>
      </c>
      <c r="C135" s="277">
        <v>43698</v>
      </c>
      <c r="D135" s="277">
        <v>43728</v>
      </c>
      <c r="E135" s="270" t="s">
        <v>267</v>
      </c>
      <c r="F135" s="96" t="s">
        <v>34</v>
      </c>
      <c r="G135" s="270" t="s">
        <v>35</v>
      </c>
      <c r="H135" s="272" t="s">
        <v>950</v>
      </c>
      <c r="I135" s="273">
        <v>30</v>
      </c>
      <c r="J135" s="270">
        <v>1</v>
      </c>
      <c r="K135" s="270">
        <f t="shared" si="0"/>
        <v>30</v>
      </c>
      <c r="L135" s="270">
        <v>255</v>
      </c>
      <c r="M135" s="270">
        <v>-30</v>
      </c>
      <c r="N135" s="274">
        <v>0</v>
      </c>
      <c r="O135" s="55"/>
      <c r="P135" s="45">
        <v>0</v>
      </c>
      <c r="Q135" s="270">
        <v>12</v>
      </c>
      <c r="R135" s="275">
        <v>1.75E-3</v>
      </c>
      <c r="S135" s="270">
        <v>12</v>
      </c>
      <c r="T135" s="270">
        <v>12</v>
      </c>
      <c r="U135" s="57">
        <v>1</v>
      </c>
      <c r="V135" s="276">
        <v>0.35</v>
      </c>
      <c r="W135" s="276">
        <v>0</v>
      </c>
      <c r="X135" s="270">
        <v>8</v>
      </c>
      <c r="Y135" s="270">
        <v>4</v>
      </c>
      <c r="Z135" s="45" t="b">
        <v>1</v>
      </c>
      <c r="AA135" s="45" t="s">
        <v>38</v>
      </c>
      <c r="AB135" s="45" t="s">
        <v>38</v>
      </c>
    </row>
    <row r="136" spans="1:28" x14ac:dyDescent="0.2">
      <c r="A136" s="270" t="s">
        <v>102</v>
      </c>
      <c r="B136" s="270" t="s">
        <v>102</v>
      </c>
      <c r="C136" s="277">
        <v>43698</v>
      </c>
      <c r="D136" s="277">
        <v>43728</v>
      </c>
      <c r="E136" s="270" t="s">
        <v>267</v>
      </c>
      <c r="F136" s="96" t="s">
        <v>34</v>
      </c>
      <c r="G136" s="270" t="s">
        <v>35</v>
      </c>
      <c r="H136" s="272" t="s">
        <v>949</v>
      </c>
      <c r="I136" s="273">
        <v>15</v>
      </c>
      <c r="J136" s="270">
        <v>2</v>
      </c>
      <c r="K136" s="270">
        <f t="shared" si="0"/>
        <v>30</v>
      </c>
      <c r="L136" s="270">
        <v>-697</v>
      </c>
      <c r="M136" s="270">
        <v>-30</v>
      </c>
      <c r="N136" s="274">
        <v>0</v>
      </c>
      <c r="O136" s="55"/>
      <c r="P136" s="45">
        <v>0</v>
      </c>
      <c r="Q136" s="270">
        <v>-21</v>
      </c>
      <c r="R136" s="275">
        <v>1.75E-3</v>
      </c>
      <c r="S136" s="270">
        <v>-21</v>
      </c>
      <c r="T136" s="270">
        <v>-21</v>
      </c>
      <c r="U136" s="57">
        <v>1</v>
      </c>
      <c r="V136" s="276">
        <v>0.35</v>
      </c>
      <c r="W136" s="276">
        <v>0</v>
      </c>
      <c r="X136" s="270">
        <v>-14</v>
      </c>
      <c r="Y136" s="270">
        <v>-7</v>
      </c>
      <c r="Z136" s="45" t="b">
        <v>1</v>
      </c>
      <c r="AA136" s="45" t="s">
        <v>38</v>
      </c>
      <c r="AB136" s="45" t="s">
        <v>38</v>
      </c>
    </row>
    <row r="137" spans="1:28" x14ac:dyDescent="0.2">
      <c r="A137" s="270" t="s">
        <v>145</v>
      </c>
      <c r="B137" s="270" t="s">
        <v>145</v>
      </c>
      <c r="C137" s="277">
        <v>43696</v>
      </c>
      <c r="D137" s="277">
        <v>43730</v>
      </c>
      <c r="E137" s="270" t="s">
        <v>300</v>
      </c>
      <c r="F137" s="96" t="s">
        <v>49</v>
      </c>
      <c r="G137" s="270" t="s">
        <v>35</v>
      </c>
      <c r="H137" s="272" t="s">
        <v>951</v>
      </c>
      <c r="I137" s="273">
        <v>100</v>
      </c>
      <c r="J137" s="270">
        <v>581</v>
      </c>
      <c r="K137" s="270">
        <f t="shared" si="0"/>
        <v>58100</v>
      </c>
      <c r="L137" s="270">
        <v>38565</v>
      </c>
      <c r="M137" s="270">
        <v>1900</v>
      </c>
      <c r="N137" s="274">
        <v>58</v>
      </c>
      <c r="O137" s="55"/>
      <c r="P137" s="45">
        <v>58</v>
      </c>
      <c r="Q137" s="270">
        <v>4149</v>
      </c>
      <c r="R137" s="275">
        <v>-1.199E-3</v>
      </c>
      <c r="S137" s="270">
        <v>4079</v>
      </c>
      <c r="T137" s="270">
        <v>4137</v>
      </c>
      <c r="U137" s="57">
        <v>0.90900000000000003</v>
      </c>
      <c r="V137" s="276">
        <v>0.26250000000000001</v>
      </c>
      <c r="W137" s="276">
        <v>8.7499999999999994E-2</v>
      </c>
      <c r="X137" s="270">
        <v>2444</v>
      </c>
      <c r="Y137" s="270">
        <v>1316</v>
      </c>
      <c r="Z137" s="45" t="b">
        <v>1</v>
      </c>
      <c r="AA137" s="45" t="s">
        <v>50</v>
      </c>
      <c r="AB137" s="45" t="s">
        <v>38</v>
      </c>
    </row>
    <row r="138" spans="1:28" x14ac:dyDescent="0.2">
      <c r="A138" s="270" t="s">
        <v>286</v>
      </c>
      <c r="B138" s="270" t="s">
        <v>286</v>
      </c>
      <c r="C138" s="271">
        <v>43729</v>
      </c>
      <c r="D138" s="271">
        <v>43758</v>
      </c>
      <c r="E138" s="270" t="s">
        <v>267</v>
      </c>
      <c r="F138" s="96" t="s">
        <v>34</v>
      </c>
      <c r="G138" s="270" t="s">
        <v>35</v>
      </c>
      <c r="H138" s="272" t="s">
        <v>949</v>
      </c>
      <c r="I138" s="273">
        <v>15</v>
      </c>
      <c r="J138" s="270">
        <v>115</v>
      </c>
      <c r="K138" s="270">
        <f t="shared" si="0"/>
        <v>1725</v>
      </c>
      <c r="L138" s="270">
        <v>17847</v>
      </c>
      <c r="M138" s="270">
        <v>225</v>
      </c>
      <c r="N138" s="274">
        <v>2</v>
      </c>
      <c r="O138" s="55"/>
      <c r="P138" s="45">
        <v>2</v>
      </c>
      <c r="Q138" s="270">
        <v>390</v>
      </c>
      <c r="R138" s="275">
        <v>-1.8400000000000001E-3</v>
      </c>
      <c r="S138" s="270">
        <v>387</v>
      </c>
      <c r="T138" s="270">
        <v>389</v>
      </c>
      <c r="U138" s="57">
        <v>1</v>
      </c>
      <c r="V138" s="276">
        <v>0.25</v>
      </c>
      <c r="W138" s="276">
        <v>0</v>
      </c>
      <c r="X138" s="270">
        <v>292</v>
      </c>
      <c r="Y138" s="270">
        <v>97</v>
      </c>
      <c r="Z138" s="45" t="b">
        <v>1</v>
      </c>
      <c r="AA138" s="45" t="s">
        <v>38</v>
      </c>
      <c r="AB138" s="45" t="s">
        <v>38</v>
      </c>
    </row>
    <row r="139" spans="1:28" x14ac:dyDescent="0.2">
      <c r="A139" s="270" t="s">
        <v>286</v>
      </c>
      <c r="B139" s="270" t="s">
        <v>286</v>
      </c>
      <c r="C139" s="271">
        <v>43729</v>
      </c>
      <c r="D139" s="271">
        <v>43758</v>
      </c>
      <c r="E139" s="270" t="s">
        <v>267</v>
      </c>
      <c r="F139" s="96" t="s">
        <v>34</v>
      </c>
      <c r="G139" s="270" t="s">
        <v>35</v>
      </c>
      <c r="H139" s="272" t="s">
        <v>950</v>
      </c>
      <c r="I139" s="273">
        <v>30</v>
      </c>
      <c r="J139" s="270">
        <v>625</v>
      </c>
      <c r="K139" s="270">
        <f t="shared" si="0"/>
        <v>18750</v>
      </c>
      <c r="L139" s="270">
        <v>12744</v>
      </c>
      <c r="M139" s="270">
        <v>-1620</v>
      </c>
      <c r="N139" s="274">
        <v>23</v>
      </c>
      <c r="O139" s="55"/>
      <c r="P139" s="45">
        <v>23</v>
      </c>
      <c r="Q139" s="270">
        <v>-485</v>
      </c>
      <c r="R139" s="275">
        <v>-1.8400000000000001E-3</v>
      </c>
      <c r="S139" s="270">
        <v>-520</v>
      </c>
      <c r="T139" s="270">
        <v>-497</v>
      </c>
      <c r="U139" s="57">
        <v>1</v>
      </c>
      <c r="V139" s="276">
        <v>0.25</v>
      </c>
      <c r="W139" s="276">
        <v>0</v>
      </c>
      <c r="X139" s="270">
        <v>-373</v>
      </c>
      <c r="Y139" s="270">
        <v>-124</v>
      </c>
      <c r="Z139" s="45" t="b">
        <v>1</v>
      </c>
      <c r="AA139" s="45" t="s">
        <v>38</v>
      </c>
      <c r="AB139" s="45" t="s">
        <v>38</v>
      </c>
    </row>
    <row r="140" spans="1:28" x14ac:dyDescent="0.2">
      <c r="A140" s="270" t="s">
        <v>286</v>
      </c>
      <c r="B140" s="270" t="s">
        <v>286</v>
      </c>
      <c r="C140" s="271">
        <v>43729</v>
      </c>
      <c r="D140" s="271">
        <v>43758</v>
      </c>
      <c r="E140" s="270" t="s">
        <v>267</v>
      </c>
      <c r="F140" s="96" t="s">
        <v>34</v>
      </c>
      <c r="G140" s="270" t="s">
        <v>35</v>
      </c>
      <c r="H140" s="272" t="s">
        <v>953</v>
      </c>
      <c r="I140" s="273">
        <v>40</v>
      </c>
      <c r="J140" s="270">
        <v>875</v>
      </c>
      <c r="K140" s="270">
        <f t="shared" si="0"/>
        <v>35000</v>
      </c>
      <c r="L140" s="270">
        <v>71021</v>
      </c>
      <c r="M140" s="270">
        <v>-160</v>
      </c>
      <c r="N140" s="274">
        <v>49</v>
      </c>
      <c r="O140" s="55"/>
      <c r="P140" s="45">
        <v>49</v>
      </c>
      <c r="Q140" s="270">
        <v>2773</v>
      </c>
      <c r="R140" s="275">
        <v>-1.8400000000000001E-3</v>
      </c>
      <c r="S140" s="270">
        <v>2709</v>
      </c>
      <c r="T140" s="270">
        <v>2758</v>
      </c>
      <c r="U140" s="57">
        <v>1</v>
      </c>
      <c r="V140" s="276">
        <v>0.25</v>
      </c>
      <c r="W140" s="276">
        <v>0</v>
      </c>
      <c r="X140" s="270">
        <v>2068</v>
      </c>
      <c r="Y140" s="270">
        <v>689</v>
      </c>
      <c r="Z140" s="45" t="b">
        <v>1</v>
      </c>
      <c r="AA140" s="45" t="s">
        <v>38</v>
      </c>
      <c r="AB140" s="45" t="s">
        <v>38</v>
      </c>
    </row>
    <row r="141" spans="1:28" x14ac:dyDescent="0.2">
      <c r="A141" s="270" t="s">
        <v>286</v>
      </c>
      <c r="B141" s="270" t="s">
        <v>286</v>
      </c>
      <c r="C141" s="271">
        <v>43729</v>
      </c>
      <c r="D141" s="271">
        <v>43758</v>
      </c>
      <c r="E141" s="270" t="s">
        <v>267</v>
      </c>
      <c r="F141" s="96" t="s">
        <v>34</v>
      </c>
      <c r="G141" s="270" t="s">
        <v>35</v>
      </c>
      <c r="H141" s="272" t="s">
        <v>957</v>
      </c>
      <c r="I141" s="273">
        <v>15</v>
      </c>
      <c r="J141" s="270">
        <v>1</v>
      </c>
      <c r="K141" s="270">
        <f t="shared" si="0"/>
        <v>15</v>
      </c>
      <c r="L141" s="270">
        <v>-240</v>
      </c>
      <c r="M141" s="270">
        <v>-15</v>
      </c>
      <c r="N141" s="274">
        <v>0</v>
      </c>
      <c r="O141" s="55"/>
      <c r="P141" s="45">
        <v>0</v>
      </c>
      <c r="Q141" s="270">
        <v>-12</v>
      </c>
      <c r="R141" s="275">
        <v>-1.8400000000000001E-3</v>
      </c>
      <c r="S141" s="270">
        <v>-12</v>
      </c>
      <c r="T141" s="270">
        <v>-12</v>
      </c>
      <c r="U141" s="57">
        <v>1</v>
      </c>
      <c r="V141" s="276">
        <v>0.25</v>
      </c>
      <c r="W141" s="276">
        <v>0</v>
      </c>
      <c r="X141" s="270">
        <v>-9</v>
      </c>
      <c r="Y141" s="270">
        <v>-3</v>
      </c>
      <c r="Z141" s="45" t="b">
        <v>1</v>
      </c>
      <c r="AA141" s="45" t="s">
        <v>38</v>
      </c>
      <c r="AB141" s="45" t="s">
        <v>38</v>
      </c>
    </row>
    <row r="142" spans="1:28" x14ac:dyDescent="0.2">
      <c r="A142" s="270" t="s">
        <v>82</v>
      </c>
      <c r="B142" s="270" t="s">
        <v>82</v>
      </c>
      <c r="C142" s="277">
        <v>43729</v>
      </c>
      <c r="D142" s="278">
        <v>43758</v>
      </c>
      <c r="E142" s="270" t="s">
        <v>300</v>
      </c>
      <c r="F142" s="96" t="s">
        <v>34</v>
      </c>
      <c r="G142" s="270" t="s">
        <v>35</v>
      </c>
      <c r="H142" s="272" t="s">
        <v>950</v>
      </c>
      <c r="I142" s="273">
        <v>30</v>
      </c>
      <c r="J142" s="270">
        <v>2500</v>
      </c>
      <c r="K142" s="270">
        <f t="shared" si="0"/>
        <v>75000</v>
      </c>
      <c r="L142" s="270">
        <v>93073</v>
      </c>
      <c r="M142" s="270">
        <v>240</v>
      </c>
      <c r="N142" s="274">
        <v>90</v>
      </c>
      <c r="O142" s="55"/>
      <c r="P142" s="45">
        <v>90</v>
      </c>
      <c r="Q142" s="270">
        <v>419</v>
      </c>
      <c r="R142" s="275">
        <v>-1.8400000000000001E-3</v>
      </c>
      <c r="S142" s="270">
        <v>281</v>
      </c>
      <c r="T142" s="270">
        <v>371</v>
      </c>
      <c r="U142" s="57">
        <v>1</v>
      </c>
      <c r="V142" s="276">
        <v>0.3</v>
      </c>
      <c r="W142" s="276">
        <v>0.1</v>
      </c>
      <c r="X142" s="270">
        <v>223</v>
      </c>
      <c r="Y142" s="270">
        <v>149</v>
      </c>
      <c r="Z142" s="45" t="b">
        <v>1</v>
      </c>
      <c r="AA142" s="45" t="s">
        <v>38</v>
      </c>
      <c r="AB142" s="45" t="s">
        <v>38</v>
      </c>
    </row>
    <row r="143" spans="1:28" x14ac:dyDescent="0.2">
      <c r="A143" s="270" t="s">
        <v>102</v>
      </c>
      <c r="B143" s="270" t="s">
        <v>102</v>
      </c>
      <c r="C143" s="277">
        <v>43729</v>
      </c>
      <c r="D143" s="278">
        <v>43758</v>
      </c>
      <c r="E143" s="270" t="s">
        <v>267</v>
      </c>
      <c r="F143" s="96" t="s">
        <v>34</v>
      </c>
      <c r="G143" s="270" t="s">
        <v>35</v>
      </c>
      <c r="H143" s="272" t="s">
        <v>949</v>
      </c>
      <c r="I143" s="273">
        <v>15</v>
      </c>
      <c r="J143" s="270">
        <v>336</v>
      </c>
      <c r="K143" s="270">
        <f t="shared" si="0"/>
        <v>5040</v>
      </c>
      <c r="L143" s="270">
        <v>19520</v>
      </c>
      <c r="M143" s="270">
        <v>585</v>
      </c>
      <c r="N143" s="274">
        <v>6</v>
      </c>
      <c r="O143" s="55"/>
      <c r="P143" s="45">
        <v>6</v>
      </c>
      <c r="Q143" s="270">
        <v>225</v>
      </c>
      <c r="R143" s="275">
        <v>-1.8400000000000001E-3</v>
      </c>
      <c r="S143" s="270">
        <v>215</v>
      </c>
      <c r="T143" s="270">
        <v>221</v>
      </c>
      <c r="U143" s="57">
        <v>1</v>
      </c>
      <c r="V143" s="276">
        <v>0.35</v>
      </c>
      <c r="W143" s="276">
        <v>0</v>
      </c>
      <c r="X143" s="270">
        <v>144</v>
      </c>
      <c r="Y143" s="270">
        <v>78</v>
      </c>
      <c r="Z143" s="45" t="b">
        <v>1</v>
      </c>
      <c r="AA143" s="45" t="s">
        <v>38</v>
      </c>
      <c r="AB143" s="45" t="s">
        <v>38</v>
      </c>
    </row>
    <row r="144" spans="1:28" x14ac:dyDescent="0.2">
      <c r="A144" s="270" t="s">
        <v>102</v>
      </c>
      <c r="B144" s="270" t="s">
        <v>102</v>
      </c>
      <c r="C144" s="277">
        <v>43729</v>
      </c>
      <c r="D144" s="278">
        <v>43758</v>
      </c>
      <c r="E144" s="270" t="s">
        <v>267</v>
      </c>
      <c r="F144" s="96" t="s">
        <v>34</v>
      </c>
      <c r="G144" s="270" t="s">
        <v>35</v>
      </c>
      <c r="H144" s="272" t="s">
        <v>950</v>
      </c>
      <c r="I144" s="273">
        <v>30</v>
      </c>
      <c r="J144" s="270">
        <v>18</v>
      </c>
      <c r="K144" s="270">
        <f t="shared" si="0"/>
        <v>540</v>
      </c>
      <c r="L144" s="270">
        <v>1123</v>
      </c>
      <c r="M144" s="270">
        <v>90</v>
      </c>
      <c r="N144" s="274">
        <v>1</v>
      </c>
      <c r="O144" s="55"/>
      <c r="P144" s="45">
        <v>1</v>
      </c>
      <c r="Q144" s="270">
        <v>28</v>
      </c>
      <c r="R144" s="275">
        <v>-1.8400000000000001E-3</v>
      </c>
      <c r="S144" s="270">
        <v>27</v>
      </c>
      <c r="T144" s="270">
        <v>28</v>
      </c>
      <c r="U144" s="57">
        <v>1</v>
      </c>
      <c r="V144" s="276">
        <v>0.35</v>
      </c>
      <c r="W144" s="276">
        <v>0</v>
      </c>
      <c r="X144" s="270">
        <v>18</v>
      </c>
      <c r="Y144" s="270">
        <v>10</v>
      </c>
      <c r="Z144" s="45" t="b">
        <v>1</v>
      </c>
      <c r="AA144" s="45" t="s">
        <v>38</v>
      </c>
      <c r="AB144" s="45" t="s">
        <v>38</v>
      </c>
    </row>
    <row r="145" spans="1:28" x14ac:dyDescent="0.2">
      <c r="A145" s="270" t="s">
        <v>102</v>
      </c>
      <c r="B145" s="270" t="s">
        <v>102</v>
      </c>
      <c r="C145" s="277">
        <v>43729</v>
      </c>
      <c r="D145" s="278">
        <v>43758</v>
      </c>
      <c r="E145" s="270" t="s">
        <v>267</v>
      </c>
      <c r="F145" s="96" t="s">
        <v>34</v>
      </c>
      <c r="G145" s="270" t="s">
        <v>35</v>
      </c>
      <c r="H145" s="272" t="s">
        <v>953</v>
      </c>
      <c r="I145" s="273">
        <v>40</v>
      </c>
      <c r="J145" s="270">
        <v>920</v>
      </c>
      <c r="K145" s="270">
        <f t="shared" si="0"/>
        <v>36800</v>
      </c>
      <c r="L145" s="270">
        <v>38387</v>
      </c>
      <c r="M145" s="270">
        <v>680</v>
      </c>
      <c r="N145" s="274">
        <v>52</v>
      </c>
      <c r="O145" s="55"/>
      <c r="P145" s="45">
        <v>52</v>
      </c>
      <c r="Q145" s="270">
        <v>223</v>
      </c>
      <c r="R145" s="275">
        <v>-1.8400000000000001E-3</v>
      </c>
      <c r="S145" s="270">
        <v>156</v>
      </c>
      <c r="T145" s="270">
        <v>208</v>
      </c>
      <c r="U145" s="57">
        <v>1</v>
      </c>
      <c r="V145" s="276">
        <v>0.35</v>
      </c>
      <c r="W145" s="276">
        <v>0</v>
      </c>
      <c r="X145" s="270">
        <v>135</v>
      </c>
      <c r="Y145" s="270">
        <v>73</v>
      </c>
      <c r="Z145" s="45" t="b">
        <v>1</v>
      </c>
      <c r="AA145" s="45" t="s">
        <v>38</v>
      </c>
      <c r="AB145" s="45" t="s">
        <v>38</v>
      </c>
    </row>
    <row r="146" spans="1:28" x14ac:dyDescent="0.2">
      <c r="A146" s="270" t="s">
        <v>102</v>
      </c>
      <c r="B146" s="270" t="s">
        <v>102</v>
      </c>
      <c r="C146" s="277">
        <v>43729</v>
      </c>
      <c r="D146" s="278">
        <v>43758</v>
      </c>
      <c r="E146" s="270" t="s">
        <v>267</v>
      </c>
      <c r="F146" s="96" t="s">
        <v>34</v>
      </c>
      <c r="G146" s="270" t="s">
        <v>35</v>
      </c>
      <c r="H146" s="272" t="s">
        <v>948</v>
      </c>
      <c r="I146" s="273">
        <v>60</v>
      </c>
      <c r="J146" s="270">
        <v>15</v>
      </c>
      <c r="K146" s="270">
        <f t="shared" si="0"/>
        <v>900</v>
      </c>
      <c r="L146" s="270">
        <v>-1294</v>
      </c>
      <c r="M146" s="270">
        <v>120</v>
      </c>
      <c r="N146" s="274">
        <v>1</v>
      </c>
      <c r="O146" s="55"/>
      <c r="P146" s="45">
        <v>1</v>
      </c>
      <c r="Q146" s="270">
        <v>-195</v>
      </c>
      <c r="R146" s="275">
        <v>-1.8400000000000001E-3</v>
      </c>
      <c r="S146" s="270">
        <v>-197</v>
      </c>
      <c r="T146" s="270">
        <v>-196</v>
      </c>
      <c r="U146" s="57">
        <v>1</v>
      </c>
      <c r="V146" s="276">
        <v>0.35</v>
      </c>
      <c r="W146" s="276">
        <v>0</v>
      </c>
      <c r="X146" s="270">
        <v>-127</v>
      </c>
      <c r="Y146" s="270">
        <v>-69</v>
      </c>
      <c r="Z146" s="45" t="b">
        <v>1</v>
      </c>
      <c r="AA146" s="45" t="s">
        <v>38</v>
      </c>
      <c r="AB146" s="45" t="s">
        <v>38</v>
      </c>
    </row>
    <row r="147" spans="1:28" x14ac:dyDescent="0.2">
      <c r="A147" s="270" t="s">
        <v>102</v>
      </c>
      <c r="B147" s="270" t="s">
        <v>102</v>
      </c>
      <c r="C147" s="277">
        <v>43729</v>
      </c>
      <c r="D147" s="278">
        <v>43758</v>
      </c>
      <c r="E147" s="270" t="s">
        <v>267</v>
      </c>
      <c r="F147" s="96" t="s">
        <v>34</v>
      </c>
      <c r="G147" s="270" t="s">
        <v>35</v>
      </c>
      <c r="H147" s="272" t="s">
        <v>951</v>
      </c>
      <c r="I147" s="273">
        <v>100</v>
      </c>
      <c r="J147" s="270">
        <v>1409</v>
      </c>
      <c r="K147" s="270">
        <f t="shared" si="0"/>
        <v>140900</v>
      </c>
      <c r="L147" s="270">
        <v>41217</v>
      </c>
      <c r="M147" s="270">
        <v>-6600</v>
      </c>
      <c r="N147" s="274">
        <v>141</v>
      </c>
      <c r="O147" s="55"/>
      <c r="P147" s="45">
        <v>141</v>
      </c>
      <c r="Q147" s="270">
        <v>179</v>
      </c>
      <c r="R147" s="275">
        <v>-1.8400000000000001E-3</v>
      </c>
      <c r="S147" s="270">
        <v>-81</v>
      </c>
      <c r="T147" s="270">
        <v>60</v>
      </c>
      <c r="U147" s="57">
        <v>1</v>
      </c>
      <c r="V147" s="276">
        <v>0.35</v>
      </c>
      <c r="W147" s="276">
        <v>0</v>
      </c>
      <c r="X147" s="270">
        <v>39</v>
      </c>
      <c r="Y147" s="270">
        <v>21</v>
      </c>
      <c r="Z147" s="45" t="b">
        <v>1</v>
      </c>
      <c r="AA147" s="45" t="s">
        <v>38</v>
      </c>
      <c r="AB147" s="45" t="s">
        <v>38</v>
      </c>
    </row>
    <row r="148" spans="1:28" x14ac:dyDescent="0.2">
      <c r="A148" s="270" t="s">
        <v>145</v>
      </c>
      <c r="B148" s="270" t="s">
        <v>145</v>
      </c>
      <c r="C148" s="277">
        <v>43731</v>
      </c>
      <c r="D148" s="278">
        <v>43769</v>
      </c>
      <c r="E148" s="270" t="s">
        <v>300</v>
      </c>
      <c r="F148" s="96" t="s">
        <v>49</v>
      </c>
      <c r="G148" s="270" t="s">
        <v>35</v>
      </c>
      <c r="H148" s="272" t="s">
        <v>951</v>
      </c>
      <c r="I148" s="273">
        <v>100</v>
      </c>
      <c r="J148" s="270">
        <v>3002</v>
      </c>
      <c r="K148" s="270">
        <f t="shared" si="0"/>
        <v>300200</v>
      </c>
      <c r="L148" s="270">
        <v>138551</v>
      </c>
      <c r="M148" s="270">
        <v>4300</v>
      </c>
      <c r="N148" s="274">
        <v>300</v>
      </c>
      <c r="O148" s="55"/>
      <c r="P148" s="45">
        <v>300</v>
      </c>
      <c r="Q148" s="270">
        <v>9966</v>
      </c>
      <c r="R148" s="275">
        <v>1.2669999999999999E-3</v>
      </c>
      <c r="S148" s="270">
        <v>10346</v>
      </c>
      <c r="T148" s="270">
        <v>10646</v>
      </c>
      <c r="U148" s="57">
        <v>1</v>
      </c>
      <c r="V148" s="276">
        <v>0.16880000000000001</v>
      </c>
      <c r="W148" s="276">
        <v>5.6300000000000003E-2</v>
      </c>
      <c r="X148" s="270">
        <v>8250</v>
      </c>
      <c r="Y148" s="270">
        <v>2396</v>
      </c>
      <c r="Z148" s="45" t="b">
        <v>1</v>
      </c>
      <c r="AA148" s="45" t="s">
        <v>38</v>
      </c>
      <c r="AB148" s="45" t="s">
        <v>38</v>
      </c>
    </row>
    <row r="149" spans="1:28" x14ac:dyDescent="0.2">
      <c r="A149" s="270" t="s">
        <v>447</v>
      </c>
      <c r="B149" s="270" t="s">
        <v>910</v>
      </c>
      <c r="C149" s="277">
        <v>43731</v>
      </c>
      <c r="D149" s="277">
        <v>43769</v>
      </c>
      <c r="E149" s="270" t="s">
        <v>267</v>
      </c>
      <c r="F149" s="96" t="s">
        <v>49</v>
      </c>
      <c r="G149" s="270" t="s">
        <v>61</v>
      </c>
      <c r="H149" s="272" t="s">
        <v>63</v>
      </c>
      <c r="I149" s="273">
        <v>10</v>
      </c>
      <c r="J149" s="270">
        <v>2400</v>
      </c>
      <c r="K149" s="270">
        <f t="shared" si="0"/>
        <v>24000</v>
      </c>
      <c r="L149" s="270">
        <v>176725</v>
      </c>
      <c r="M149" s="270">
        <v>530</v>
      </c>
      <c r="N149" s="274">
        <v>495</v>
      </c>
      <c r="O149" s="55"/>
      <c r="P149" s="45">
        <v>495</v>
      </c>
      <c r="Q149" s="270">
        <v>1086</v>
      </c>
      <c r="R149" s="275">
        <v>1.297E-3</v>
      </c>
      <c r="S149" s="270">
        <v>1117</v>
      </c>
      <c r="T149" s="270">
        <v>1612</v>
      </c>
      <c r="U149" s="57">
        <v>1</v>
      </c>
      <c r="V149" s="276">
        <v>0.3</v>
      </c>
      <c r="W149" s="276">
        <v>0</v>
      </c>
      <c r="X149" s="270">
        <v>1128</v>
      </c>
      <c r="Y149" s="270">
        <v>484</v>
      </c>
      <c r="Z149" s="45" t="b">
        <v>1</v>
      </c>
      <c r="AA149" s="45" t="s">
        <v>50</v>
      </c>
      <c r="AB149" s="45" t="s">
        <v>50</v>
      </c>
    </row>
    <row r="150" spans="1:28" x14ac:dyDescent="0.2">
      <c r="A150" s="270" t="s">
        <v>447</v>
      </c>
      <c r="B150" s="270" t="s">
        <v>910</v>
      </c>
      <c r="C150" s="277">
        <v>43731</v>
      </c>
      <c r="D150" s="277">
        <v>43769</v>
      </c>
      <c r="E150" s="270" t="s">
        <v>267</v>
      </c>
      <c r="F150" s="96" t="s">
        <v>49</v>
      </c>
      <c r="G150" s="270" t="s">
        <v>61</v>
      </c>
      <c r="H150" s="272" t="s">
        <v>93</v>
      </c>
      <c r="I150" s="273">
        <v>25</v>
      </c>
      <c r="J150" s="270">
        <v>397</v>
      </c>
      <c r="K150" s="270">
        <f t="shared" si="0"/>
        <v>9925</v>
      </c>
      <c r="L150" s="270">
        <v>20057</v>
      </c>
      <c r="M150" s="270">
        <v>325</v>
      </c>
      <c r="N150" s="274">
        <v>205</v>
      </c>
      <c r="O150" s="55"/>
      <c r="P150" s="45">
        <v>205</v>
      </c>
      <c r="Q150" s="270">
        <v>32</v>
      </c>
      <c r="R150" s="275">
        <v>1.2229999999999999E-3</v>
      </c>
      <c r="S150" s="270">
        <v>44</v>
      </c>
      <c r="T150" s="270">
        <v>249</v>
      </c>
      <c r="U150" s="57">
        <v>1</v>
      </c>
      <c r="V150" s="276">
        <v>0.3</v>
      </c>
      <c r="W150" s="276">
        <v>0</v>
      </c>
      <c r="X150" s="270">
        <v>174</v>
      </c>
      <c r="Y150" s="270">
        <v>75</v>
      </c>
      <c r="Z150" s="45" t="b">
        <v>1</v>
      </c>
      <c r="AA150" s="45" t="s">
        <v>50</v>
      </c>
      <c r="AB150" s="45" t="s">
        <v>50</v>
      </c>
    </row>
    <row r="151" spans="1:28" x14ac:dyDescent="0.2">
      <c r="A151" s="270" t="s">
        <v>508</v>
      </c>
      <c r="B151" s="270" t="s">
        <v>508</v>
      </c>
      <c r="C151" s="277">
        <v>43739</v>
      </c>
      <c r="D151" s="278">
        <v>43769</v>
      </c>
      <c r="E151" s="270" t="s">
        <v>267</v>
      </c>
      <c r="F151" s="96" t="s">
        <v>49</v>
      </c>
      <c r="G151" s="270" t="s">
        <v>35</v>
      </c>
      <c r="H151" s="272" t="s">
        <v>950</v>
      </c>
      <c r="I151" s="273">
        <v>30</v>
      </c>
      <c r="J151" s="270">
        <v>3861</v>
      </c>
      <c r="K151" s="270">
        <f t="shared" si="0"/>
        <v>115830</v>
      </c>
      <c r="L151" s="270">
        <v>213397</v>
      </c>
      <c r="M151" s="270">
        <v>3330</v>
      </c>
      <c r="N151" s="274">
        <v>139</v>
      </c>
      <c r="O151" s="55"/>
      <c r="P151" s="45">
        <v>139</v>
      </c>
      <c r="Q151" s="270">
        <v>4554</v>
      </c>
      <c r="R151" s="275">
        <v>1.238E-3</v>
      </c>
      <c r="S151" s="270">
        <v>4697</v>
      </c>
      <c r="T151" s="270">
        <v>4836</v>
      </c>
      <c r="U151" s="57">
        <v>1</v>
      </c>
      <c r="V151" s="276">
        <v>0.23</v>
      </c>
      <c r="W151" s="276">
        <v>0</v>
      </c>
      <c r="X151" s="270">
        <v>3724</v>
      </c>
      <c r="Y151" s="270">
        <v>1112</v>
      </c>
      <c r="Z151" s="45" t="b">
        <v>1</v>
      </c>
      <c r="AA151" s="45" t="s">
        <v>38</v>
      </c>
      <c r="AB151" s="45" t="s">
        <v>38</v>
      </c>
    </row>
    <row r="152" spans="1:28" x14ac:dyDescent="0.2">
      <c r="A152" s="270" t="s">
        <v>286</v>
      </c>
      <c r="B152" s="270" t="s">
        <v>286</v>
      </c>
      <c r="C152" s="271">
        <v>43759</v>
      </c>
      <c r="D152" s="271">
        <v>43789</v>
      </c>
      <c r="E152" s="270" t="s">
        <v>267</v>
      </c>
      <c r="F152" s="96" t="s">
        <v>34</v>
      </c>
      <c r="G152" s="270" t="s">
        <v>35</v>
      </c>
      <c r="H152" s="272" t="s">
        <v>949</v>
      </c>
      <c r="I152" s="273">
        <v>15</v>
      </c>
      <c r="J152" s="270">
        <v>104</v>
      </c>
      <c r="K152" s="270">
        <f t="shared" si="0"/>
        <v>1560</v>
      </c>
      <c r="L152" s="270">
        <v>1437</v>
      </c>
      <c r="M152" s="270">
        <v>270</v>
      </c>
      <c r="N152" s="274">
        <v>2</v>
      </c>
      <c r="O152" s="55"/>
      <c r="P152" s="45">
        <v>2</v>
      </c>
      <c r="Q152" s="270">
        <v>-60</v>
      </c>
      <c r="R152" s="275">
        <v>-4.0600000000000002E-3</v>
      </c>
      <c r="S152" s="270">
        <v>-66</v>
      </c>
      <c r="T152" s="270">
        <v>-64</v>
      </c>
      <c r="U152" s="57">
        <v>1</v>
      </c>
      <c r="V152" s="276">
        <v>0.17</v>
      </c>
      <c r="W152" s="276">
        <v>0</v>
      </c>
      <c r="X152" s="270">
        <v>-53</v>
      </c>
      <c r="Y152" s="270">
        <v>-11</v>
      </c>
      <c r="Z152" s="45" t="b">
        <v>1</v>
      </c>
      <c r="AA152" s="45" t="s">
        <v>38</v>
      </c>
      <c r="AB152" s="45" t="s">
        <v>38</v>
      </c>
    </row>
    <row r="153" spans="1:28" x14ac:dyDescent="0.2">
      <c r="A153" s="270" t="s">
        <v>286</v>
      </c>
      <c r="B153" s="270" t="s">
        <v>286</v>
      </c>
      <c r="C153" s="271">
        <v>43759</v>
      </c>
      <c r="D153" s="271">
        <v>43789</v>
      </c>
      <c r="E153" s="270" t="s">
        <v>267</v>
      </c>
      <c r="F153" s="96" t="s">
        <v>34</v>
      </c>
      <c r="G153" s="270" t="s">
        <v>35</v>
      </c>
      <c r="H153" s="272" t="s">
        <v>950</v>
      </c>
      <c r="I153" s="273">
        <v>30</v>
      </c>
      <c r="J153" s="270">
        <v>395</v>
      </c>
      <c r="K153" s="270">
        <f t="shared" si="0"/>
        <v>11850</v>
      </c>
      <c r="L153" s="270">
        <v>39541</v>
      </c>
      <c r="M153" s="270">
        <v>240</v>
      </c>
      <c r="N153" s="274">
        <v>14</v>
      </c>
      <c r="O153" s="55"/>
      <c r="P153" s="45">
        <v>14</v>
      </c>
      <c r="Q153" s="270">
        <v>1459</v>
      </c>
      <c r="R153" s="275">
        <v>-4.0600000000000002E-3</v>
      </c>
      <c r="S153" s="270">
        <v>1411</v>
      </c>
      <c r="T153" s="270">
        <v>1425</v>
      </c>
      <c r="U153" s="57">
        <v>1</v>
      </c>
      <c r="V153" s="276">
        <v>0.17</v>
      </c>
      <c r="W153" s="276">
        <v>0</v>
      </c>
      <c r="X153" s="270">
        <v>1183</v>
      </c>
      <c r="Y153" s="270">
        <v>242</v>
      </c>
      <c r="Z153" s="45" t="b">
        <v>1</v>
      </c>
      <c r="AA153" s="45" t="s">
        <v>38</v>
      </c>
      <c r="AB153" s="45" t="s">
        <v>38</v>
      </c>
    </row>
    <row r="154" spans="1:28" x14ac:dyDescent="0.2">
      <c r="A154" s="270" t="s">
        <v>286</v>
      </c>
      <c r="B154" s="270" t="s">
        <v>286</v>
      </c>
      <c r="C154" s="271">
        <v>43759</v>
      </c>
      <c r="D154" s="271">
        <v>43789</v>
      </c>
      <c r="E154" s="270" t="s">
        <v>267</v>
      </c>
      <c r="F154" s="96" t="s">
        <v>34</v>
      </c>
      <c r="G154" s="270" t="s">
        <v>35</v>
      </c>
      <c r="H154" s="272" t="s">
        <v>953</v>
      </c>
      <c r="I154" s="273">
        <v>40</v>
      </c>
      <c r="J154" s="270">
        <v>610</v>
      </c>
      <c r="K154" s="270">
        <f t="shared" si="0"/>
        <v>24400</v>
      </c>
      <c r="L154" s="270">
        <v>34861</v>
      </c>
      <c r="M154" s="270">
        <v>-120</v>
      </c>
      <c r="N154" s="274">
        <v>34</v>
      </c>
      <c r="O154" s="55"/>
      <c r="P154" s="45">
        <v>34</v>
      </c>
      <c r="Q154" s="270">
        <v>846</v>
      </c>
      <c r="R154" s="275">
        <v>-4.0600000000000002E-3</v>
      </c>
      <c r="S154" s="270">
        <v>747</v>
      </c>
      <c r="T154" s="270">
        <v>781</v>
      </c>
      <c r="U154" s="57">
        <v>1</v>
      </c>
      <c r="V154" s="276">
        <v>0.17</v>
      </c>
      <c r="W154" s="276">
        <v>0</v>
      </c>
      <c r="X154" s="270">
        <v>648</v>
      </c>
      <c r="Y154" s="270">
        <v>133</v>
      </c>
      <c r="Z154" s="45" t="b">
        <v>1</v>
      </c>
      <c r="AA154" s="45" t="s">
        <v>38</v>
      </c>
      <c r="AB154" s="45" t="s">
        <v>38</v>
      </c>
    </row>
    <row r="155" spans="1:28" x14ac:dyDescent="0.2">
      <c r="A155" s="270" t="s">
        <v>286</v>
      </c>
      <c r="B155" s="270" t="s">
        <v>286</v>
      </c>
      <c r="C155" s="271">
        <v>43759</v>
      </c>
      <c r="D155" s="271">
        <v>43789</v>
      </c>
      <c r="E155" s="270" t="s">
        <v>267</v>
      </c>
      <c r="F155" s="96" t="s">
        <v>34</v>
      </c>
      <c r="G155" s="270" t="s">
        <v>35</v>
      </c>
      <c r="H155" s="272" t="s">
        <v>948</v>
      </c>
      <c r="I155" s="273">
        <v>60</v>
      </c>
      <c r="J155" s="270">
        <v>542</v>
      </c>
      <c r="K155" s="270">
        <f t="shared" si="0"/>
        <v>32520</v>
      </c>
      <c r="L155" s="270">
        <v>36388</v>
      </c>
      <c r="M155" s="270">
        <v>1500</v>
      </c>
      <c r="N155" s="274">
        <v>33</v>
      </c>
      <c r="O155" s="55"/>
      <c r="P155" s="45">
        <v>33</v>
      </c>
      <c r="Q155" s="270">
        <v>2369</v>
      </c>
      <c r="R155" s="275">
        <v>-4.0600000000000002E-3</v>
      </c>
      <c r="S155" s="270">
        <v>2237</v>
      </c>
      <c r="T155" s="270">
        <v>2270</v>
      </c>
      <c r="U155" s="57">
        <v>1</v>
      </c>
      <c r="V155" s="276">
        <v>0.17</v>
      </c>
      <c r="W155" s="276">
        <v>0</v>
      </c>
      <c r="X155" s="270">
        <v>1884</v>
      </c>
      <c r="Y155" s="270">
        <v>386</v>
      </c>
      <c r="Z155" s="45" t="b">
        <v>1</v>
      </c>
      <c r="AA155" s="45" t="s">
        <v>38</v>
      </c>
      <c r="AB155" s="45" t="s">
        <v>38</v>
      </c>
    </row>
    <row r="156" spans="1:28" x14ac:dyDescent="0.2">
      <c r="A156" s="270" t="s">
        <v>286</v>
      </c>
      <c r="B156" s="270" t="s">
        <v>286</v>
      </c>
      <c r="C156" s="271">
        <v>43759</v>
      </c>
      <c r="D156" s="271">
        <v>43789</v>
      </c>
      <c r="E156" s="270" t="s">
        <v>267</v>
      </c>
      <c r="F156" s="96" t="s">
        <v>34</v>
      </c>
      <c r="G156" s="270" t="s">
        <v>35</v>
      </c>
      <c r="H156" s="272" t="s">
        <v>951</v>
      </c>
      <c r="I156" s="273">
        <v>100</v>
      </c>
      <c r="J156" s="270">
        <v>85</v>
      </c>
      <c r="K156" s="270">
        <f t="shared" si="0"/>
        <v>8500</v>
      </c>
      <c r="L156" s="270">
        <v>3503</v>
      </c>
      <c r="M156" s="270">
        <v>-700</v>
      </c>
      <c r="N156" s="274">
        <v>9</v>
      </c>
      <c r="O156" s="55"/>
      <c r="P156" s="45">
        <v>9</v>
      </c>
      <c r="Q156" s="270">
        <v>203</v>
      </c>
      <c r="R156" s="275">
        <v>-4.0600000000000002E-3</v>
      </c>
      <c r="S156" s="270">
        <v>168</v>
      </c>
      <c r="T156" s="270">
        <v>177</v>
      </c>
      <c r="U156" s="57">
        <v>1</v>
      </c>
      <c r="V156" s="276">
        <v>0.17</v>
      </c>
      <c r="W156" s="276">
        <v>0</v>
      </c>
      <c r="X156" s="270">
        <v>147</v>
      </c>
      <c r="Y156" s="270">
        <v>30</v>
      </c>
      <c r="Z156" s="45" t="b">
        <v>1</v>
      </c>
      <c r="AA156" s="45" t="s">
        <v>38</v>
      </c>
      <c r="AB156" s="45" t="s">
        <v>38</v>
      </c>
    </row>
    <row r="157" spans="1:28" x14ac:dyDescent="0.2">
      <c r="A157" s="270" t="s">
        <v>286</v>
      </c>
      <c r="B157" s="270" t="s">
        <v>286</v>
      </c>
      <c r="C157" s="271">
        <v>43759</v>
      </c>
      <c r="D157" s="271">
        <v>43789</v>
      </c>
      <c r="E157" s="270" t="s">
        <v>267</v>
      </c>
      <c r="F157" s="96" t="s">
        <v>34</v>
      </c>
      <c r="G157" s="270" t="s">
        <v>35</v>
      </c>
      <c r="H157" s="272" t="s">
        <v>958</v>
      </c>
      <c r="I157" s="273">
        <v>7</v>
      </c>
      <c r="J157" s="270">
        <v>3</v>
      </c>
      <c r="K157" s="270">
        <f t="shared" si="0"/>
        <v>21</v>
      </c>
      <c r="L157" s="270">
        <v>266</v>
      </c>
      <c r="M157" s="270">
        <v>7</v>
      </c>
      <c r="N157" s="274">
        <v>0</v>
      </c>
      <c r="O157" s="55"/>
      <c r="P157" s="45">
        <v>0</v>
      </c>
      <c r="Q157" s="270">
        <v>4</v>
      </c>
      <c r="R157" s="275">
        <v>-4.0600000000000002E-3</v>
      </c>
      <c r="S157" s="270">
        <v>4</v>
      </c>
      <c r="T157" s="270">
        <v>4</v>
      </c>
      <c r="U157" s="57">
        <v>1</v>
      </c>
      <c r="V157" s="276">
        <v>0.17</v>
      </c>
      <c r="W157" s="276">
        <v>0</v>
      </c>
      <c r="X157" s="270">
        <v>3</v>
      </c>
      <c r="Y157" s="270">
        <v>1</v>
      </c>
      <c r="Z157" s="45" t="b">
        <v>1</v>
      </c>
      <c r="AA157" s="45" t="s">
        <v>38</v>
      </c>
      <c r="AB157" s="45" t="s">
        <v>38</v>
      </c>
    </row>
    <row r="158" spans="1:28" x14ac:dyDescent="0.2">
      <c r="A158" s="270" t="s">
        <v>286</v>
      </c>
      <c r="B158" s="270" t="s">
        <v>286</v>
      </c>
      <c r="C158" s="271">
        <v>43759</v>
      </c>
      <c r="D158" s="271">
        <v>43789</v>
      </c>
      <c r="E158" s="270" t="s">
        <v>267</v>
      </c>
      <c r="F158" s="96" t="s">
        <v>34</v>
      </c>
      <c r="G158" s="270" t="s">
        <v>35</v>
      </c>
      <c r="H158" s="272" t="s">
        <v>957</v>
      </c>
      <c r="I158" s="273">
        <v>15</v>
      </c>
      <c r="J158" s="270">
        <v>551</v>
      </c>
      <c r="K158" s="270">
        <f t="shared" si="0"/>
        <v>8265</v>
      </c>
      <c r="L158" s="270">
        <v>12205</v>
      </c>
      <c r="M158" s="270">
        <v>1665</v>
      </c>
      <c r="N158" s="274">
        <v>10</v>
      </c>
      <c r="O158" s="55"/>
      <c r="P158" s="45">
        <v>10</v>
      </c>
      <c r="Q158" s="270">
        <v>41</v>
      </c>
      <c r="R158" s="275">
        <v>-4.0600000000000002E-3</v>
      </c>
      <c r="S158" s="270">
        <v>8</v>
      </c>
      <c r="T158" s="270">
        <v>18</v>
      </c>
      <c r="U158" s="57">
        <v>1</v>
      </c>
      <c r="V158" s="276">
        <v>0.17</v>
      </c>
      <c r="W158" s="276">
        <v>0</v>
      </c>
      <c r="X158" s="270">
        <v>15</v>
      </c>
      <c r="Y158" s="270">
        <v>3</v>
      </c>
      <c r="Z158" s="45" t="b">
        <v>1</v>
      </c>
      <c r="AA158" s="45" t="s">
        <v>38</v>
      </c>
      <c r="AB158" s="45" t="s">
        <v>38</v>
      </c>
    </row>
    <row r="159" spans="1:28" x14ac:dyDescent="0.2">
      <c r="A159" s="270" t="s">
        <v>286</v>
      </c>
      <c r="B159" s="270" t="s">
        <v>286</v>
      </c>
      <c r="C159" s="271">
        <v>43759</v>
      </c>
      <c r="D159" s="271">
        <v>43789</v>
      </c>
      <c r="E159" s="270" t="s">
        <v>267</v>
      </c>
      <c r="F159" s="96" t="s">
        <v>34</v>
      </c>
      <c r="G159" s="270" t="s">
        <v>35</v>
      </c>
      <c r="H159" s="272" t="s">
        <v>959</v>
      </c>
      <c r="I159" s="273">
        <v>30</v>
      </c>
      <c r="J159" s="270">
        <v>519</v>
      </c>
      <c r="K159" s="270">
        <f t="shared" si="0"/>
        <v>15570</v>
      </c>
      <c r="L159" s="270">
        <v>928</v>
      </c>
      <c r="M159" s="270">
        <v>-1110</v>
      </c>
      <c r="N159" s="274">
        <v>19</v>
      </c>
      <c r="O159" s="55"/>
      <c r="P159" s="45">
        <v>19</v>
      </c>
      <c r="Q159" s="270">
        <v>-910</v>
      </c>
      <c r="R159" s="275">
        <v>-4.0600000000000002E-3</v>
      </c>
      <c r="S159" s="270">
        <v>-973</v>
      </c>
      <c r="T159" s="270">
        <v>-954</v>
      </c>
      <c r="U159" s="57">
        <v>1</v>
      </c>
      <c r="V159" s="276">
        <v>0.17</v>
      </c>
      <c r="W159" s="276">
        <v>0</v>
      </c>
      <c r="X159" s="270">
        <v>-792</v>
      </c>
      <c r="Y159" s="270">
        <v>-162</v>
      </c>
      <c r="Z159" s="45" t="b">
        <v>1</v>
      </c>
      <c r="AA159" s="45" t="s">
        <v>38</v>
      </c>
      <c r="AB159" s="45" t="s">
        <v>38</v>
      </c>
    </row>
    <row r="160" spans="1:28" x14ac:dyDescent="0.2">
      <c r="A160" s="270" t="s">
        <v>286</v>
      </c>
      <c r="B160" s="270" t="s">
        <v>286</v>
      </c>
      <c r="C160" s="271">
        <v>43759</v>
      </c>
      <c r="D160" s="271">
        <v>43789</v>
      </c>
      <c r="E160" s="270" t="s">
        <v>267</v>
      </c>
      <c r="F160" s="96" t="s">
        <v>34</v>
      </c>
      <c r="G160" s="270" t="s">
        <v>35</v>
      </c>
      <c r="H160" s="272" t="s">
        <v>960</v>
      </c>
      <c r="I160" s="273">
        <v>100</v>
      </c>
      <c r="J160" s="270">
        <v>1</v>
      </c>
      <c r="K160" s="270">
        <f t="shared" si="0"/>
        <v>100</v>
      </c>
      <c r="L160" s="270">
        <v>-326</v>
      </c>
      <c r="M160" s="270">
        <v>-100</v>
      </c>
      <c r="N160" s="274">
        <v>0</v>
      </c>
      <c r="O160" s="55"/>
      <c r="P160" s="45">
        <v>0</v>
      </c>
      <c r="Q160" s="270">
        <v>-108</v>
      </c>
      <c r="R160" s="275">
        <v>-4.0600000000000002E-3</v>
      </c>
      <c r="S160" s="270">
        <v>-108</v>
      </c>
      <c r="T160" s="270">
        <v>-108</v>
      </c>
      <c r="U160" s="57">
        <v>1</v>
      </c>
      <c r="V160" s="276">
        <v>0.17</v>
      </c>
      <c r="W160" s="276">
        <v>0</v>
      </c>
      <c r="X160" s="270">
        <v>-90</v>
      </c>
      <c r="Y160" s="270">
        <v>-18</v>
      </c>
      <c r="Z160" s="45" t="b">
        <v>1</v>
      </c>
      <c r="AA160" s="45" t="s">
        <v>38</v>
      </c>
      <c r="AB160" s="45" t="s">
        <v>38</v>
      </c>
    </row>
    <row r="161" spans="1:28" x14ac:dyDescent="0.2">
      <c r="A161" s="270" t="s">
        <v>82</v>
      </c>
      <c r="B161" s="270" t="s">
        <v>82</v>
      </c>
      <c r="C161" s="278">
        <v>43759</v>
      </c>
      <c r="D161" s="278">
        <v>43789</v>
      </c>
      <c r="E161" s="270" t="s">
        <v>300</v>
      </c>
      <c r="F161" s="96" t="s">
        <v>34</v>
      </c>
      <c r="G161" s="270" t="s">
        <v>35</v>
      </c>
      <c r="H161" s="272" t="s">
        <v>950</v>
      </c>
      <c r="I161" s="273">
        <v>30</v>
      </c>
      <c r="J161" s="270">
        <v>1540</v>
      </c>
      <c r="K161" s="270">
        <f t="shared" si="0"/>
        <v>46200</v>
      </c>
      <c r="L161" s="270">
        <v>61295</v>
      </c>
      <c r="M161" s="270">
        <v>-1650</v>
      </c>
      <c r="N161" s="274">
        <v>55</v>
      </c>
      <c r="O161" s="55"/>
      <c r="P161" s="45">
        <v>55</v>
      </c>
      <c r="Q161" s="270">
        <v>480</v>
      </c>
      <c r="R161" s="275">
        <v>-4.0600000000000002E-3</v>
      </c>
      <c r="S161" s="270">
        <v>292</v>
      </c>
      <c r="T161" s="270">
        <v>347</v>
      </c>
      <c r="U161" s="57">
        <v>1</v>
      </c>
      <c r="V161" s="276">
        <v>0.27500000000000002</v>
      </c>
      <c r="W161" s="276">
        <v>0.1</v>
      </c>
      <c r="X161" s="270">
        <v>217</v>
      </c>
      <c r="Y161" s="270">
        <v>130</v>
      </c>
      <c r="Z161" s="45" t="b">
        <v>1</v>
      </c>
      <c r="AA161" s="45" t="s">
        <v>38</v>
      </c>
      <c r="AB161" s="45" t="s">
        <v>38</v>
      </c>
    </row>
    <row r="162" spans="1:28" x14ac:dyDescent="0.2">
      <c r="A162" s="270" t="s">
        <v>82</v>
      </c>
      <c r="B162" s="270" t="s">
        <v>82</v>
      </c>
      <c r="C162" s="278">
        <v>43759</v>
      </c>
      <c r="D162" s="278">
        <v>43789</v>
      </c>
      <c r="E162" s="270" t="s">
        <v>300</v>
      </c>
      <c r="F162" s="96" t="s">
        <v>34</v>
      </c>
      <c r="G162" s="270" t="s">
        <v>35</v>
      </c>
      <c r="H162" s="272" t="s">
        <v>953</v>
      </c>
      <c r="I162" s="273">
        <v>40</v>
      </c>
      <c r="J162" s="270">
        <v>689</v>
      </c>
      <c r="K162" s="270">
        <f t="shared" si="0"/>
        <v>27560</v>
      </c>
      <c r="L162" s="270">
        <v>20932</v>
      </c>
      <c r="M162" s="270">
        <v>-1080</v>
      </c>
      <c r="N162" s="274">
        <v>39</v>
      </c>
      <c r="O162" s="55"/>
      <c r="P162" s="45">
        <v>39</v>
      </c>
      <c r="Q162" s="270">
        <v>-413</v>
      </c>
      <c r="R162" s="275">
        <v>-4.0600000000000002E-3</v>
      </c>
      <c r="S162" s="270">
        <v>-525</v>
      </c>
      <c r="T162" s="270">
        <v>-486</v>
      </c>
      <c r="U162" s="57">
        <v>1</v>
      </c>
      <c r="V162" s="276">
        <v>0.27500000000000002</v>
      </c>
      <c r="W162" s="276">
        <v>0.1</v>
      </c>
      <c r="X162" s="270">
        <v>-304</v>
      </c>
      <c r="Y162" s="270">
        <v>-182</v>
      </c>
      <c r="Z162" s="45" t="b">
        <v>1</v>
      </c>
      <c r="AA162" s="45" t="s">
        <v>38</v>
      </c>
      <c r="AB162" s="45" t="s">
        <v>38</v>
      </c>
    </row>
    <row r="163" spans="1:28" x14ac:dyDescent="0.2">
      <c r="A163" s="270" t="s">
        <v>102</v>
      </c>
      <c r="B163" s="270" t="s">
        <v>102</v>
      </c>
      <c r="C163" s="278">
        <v>43759</v>
      </c>
      <c r="D163" s="278">
        <v>43789</v>
      </c>
      <c r="E163" s="270" t="s">
        <v>267</v>
      </c>
      <c r="F163" s="96" t="s">
        <v>34</v>
      </c>
      <c r="G163" s="270" t="s">
        <v>35</v>
      </c>
      <c r="H163" s="272" t="s">
        <v>950</v>
      </c>
      <c r="I163" s="273">
        <v>30</v>
      </c>
      <c r="J163" s="270">
        <v>41</v>
      </c>
      <c r="K163" s="270">
        <f t="shared" si="0"/>
        <v>1230</v>
      </c>
      <c r="L163" s="270">
        <v>3994</v>
      </c>
      <c r="M163" s="270">
        <v>-30</v>
      </c>
      <c r="N163" s="274">
        <v>1</v>
      </c>
      <c r="O163" s="55"/>
      <c r="P163" s="45">
        <v>1</v>
      </c>
      <c r="Q163" s="270">
        <v>145</v>
      </c>
      <c r="R163" s="275">
        <v>-4.0600000000000002E-3</v>
      </c>
      <c r="S163" s="270">
        <v>140</v>
      </c>
      <c r="T163" s="270">
        <v>141</v>
      </c>
      <c r="U163" s="57">
        <v>1</v>
      </c>
      <c r="V163" s="276">
        <v>0.35</v>
      </c>
      <c r="W163" s="276">
        <v>0</v>
      </c>
      <c r="X163" s="270">
        <v>92</v>
      </c>
      <c r="Y163" s="270">
        <v>49</v>
      </c>
      <c r="Z163" s="45" t="b">
        <v>1</v>
      </c>
      <c r="AA163" s="45" t="s">
        <v>38</v>
      </c>
      <c r="AB163" s="45" t="s">
        <v>38</v>
      </c>
    </row>
    <row r="164" spans="1:28" x14ac:dyDescent="0.2">
      <c r="A164" s="270" t="s">
        <v>102</v>
      </c>
      <c r="B164" s="270" t="s">
        <v>102</v>
      </c>
      <c r="C164" s="278">
        <v>43759</v>
      </c>
      <c r="D164" s="278">
        <v>43789</v>
      </c>
      <c r="E164" s="270" t="s">
        <v>267</v>
      </c>
      <c r="F164" s="96" t="s">
        <v>34</v>
      </c>
      <c r="G164" s="270" t="s">
        <v>35</v>
      </c>
      <c r="H164" s="272" t="s">
        <v>953</v>
      </c>
      <c r="I164" s="273">
        <v>40</v>
      </c>
      <c r="J164" s="270">
        <v>2057</v>
      </c>
      <c r="K164" s="270">
        <f t="shared" si="0"/>
        <v>82280</v>
      </c>
      <c r="L164" s="270">
        <v>109122</v>
      </c>
      <c r="M164" s="270">
        <v>2000</v>
      </c>
      <c r="N164" s="274">
        <v>115</v>
      </c>
      <c r="O164" s="55"/>
      <c r="P164" s="45">
        <v>115</v>
      </c>
      <c r="Q164" s="270">
        <v>2228</v>
      </c>
      <c r="R164" s="275">
        <v>-4.0600000000000002E-3</v>
      </c>
      <c r="S164" s="270">
        <v>1894</v>
      </c>
      <c r="T164" s="270">
        <v>2009</v>
      </c>
      <c r="U164" s="57">
        <v>1</v>
      </c>
      <c r="V164" s="276">
        <v>0.35</v>
      </c>
      <c r="W164" s="276">
        <v>0</v>
      </c>
      <c r="X164" s="270">
        <v>1306</v>
      </c>
      <c r="Y164" s="270">
        <v>703</v>
      </c>
      <c r="Z164" s="45" t="b">
        <v>1</v>
      </c>
      <c r="AA164" s="45" t="s">
        <v>38</v>
      </c>
      <c r="AB164" s="45" t="s">
        <v>38</v>
      </c>
    </row>
    <row r="165" spans="1:28" x14ac:dyDescent="0.2">
      <c r="A165" s="270" t="s">
        <v>102</v>
      </c>
      <c r="B165" s="270" t="s">
        <v>102</v>
      </c>
      <c r="C165" s="278">
        <v>43759</v>
      </c>
      <c r="D165" s="278">
        <v>43789</v>
      </c>
      <c r="E165" s="270" t="s">
        <v>267</v>
      </c>
      <c r="F165" s="96" t="s">
        <v>34</v>
      </c>
      <c r="G165" s="270" t="s">
        <v>35</v>
      </c>
      <c r="H165" s="272" t="s">
        <v>948</v>
      </c>
      <c r="I165" s="273">
        <v>60</v>
      </c>
      <c r="J165" s="270">
        <v>254</v>
      </c>
      <c r="K165" s="270">
        <f t="shared" si="0"/>
        <v>15240</v>
      </c>
      <c r="L165" s="270">
        <v>18505</v>
      </c>
      <c r="M165" s="270">
        <v>1320</v>
      </c>
      <c r="N165" s="274">
        <v>15</v>
      </c>
      <c r="O165" s="55"/>
      <c r="P165" s="45">
        <v>15</v>
      </c>
      <c r="Q165" s="270">
        <v>1275</v>
      </c>
      <c r="R165" s="275">
        <v>-4.0600000000000002E-3</v>
      </c>
      <c r="S165" s="270">
        <v>1213</v>
      </c>
      <c r="T165" s="270">
        <v>1228</v>
      </c>
      <c r="U165" s="57">
        <v>1</v>
      </c>
      <c r="V165" s="276">
        <v>0.35</v>
      </c>
      <c r="W165" s="276">
        <v>0</v>
      </c>
      <c r="X165" s="270">
        <v>798</v>
      </c>
      <c r="Y165" s="270">
        <v>430</v>
      </c>
      <c r="Z165" s="45" t="b">
        <v>1</v>
      </c>
      <c r="AA165" s="45" t="s">
        <v>38</v>
      </c>
      <c r="AB165" s="45" t="s">
        <v>38</v>
      </c>
    </row>
    <row r="166" spans="1:28" x14ac:dyDescent="0.2">
      <c r="A166" s="270" t="s">
        <v>102</v>
      </c>
      <c r="B166" s="270" t="s">
        <v>102</v>
      </c>
      <c r="C166" s="278">
        <v>43759</v>
      </c>
      <c r="D166" s="278">
        <v>43789</v>
      </c>
      <c r="E166" s="270" t="s">
        <v>267</v>
      </c>
      <c r="F166" s="96" t="s">
        <v>34</v>
      </c>
      <c r="G166" s="270" t="s">
        <v>35</v>
      </c>
      <c r="H166" s="272" t="s">
        <v>951</v>
      </c>
      <c r="I166" s="273">
        <v>100</v>
      </c>
      <c r="J166" s="270">
        <v>120</v>
      </c>
      <c r="K166" s="270">
        <f t="shared" si="0"/>
        <v>12000</v>
      </c>
      <c r="L166" s="270">
        <v>13218</v>
      </c>
      <c r="M166" s="270">
        <v>5000</v>
      </c>
      <c r="N166" s="274">
        <v>12</v>
      </c>
      <c r="O166" s="55"/>
      <c r="P166" s="45">
        <v>12</v>
      </c>
      <c r="Q166" s="270">
        <v>1849</v>
      </c>
      <c r="R166" s="275">
        <v>-4.0600000000000002E-3</v>
      </c>
      <c r="S166" s="270">
        <v>1801</v>
      </c>
      <c r="T166" s="270">
        <v>1813</v>
      </c>
      <c r="U166" s="57">
        <v>1</v>
      </c>
      <c r="V166" s="276">
        <v>0.35</v>
      </c>
      <c r="W166" s="276">
        <v>0</v>
      </c>
      <c r="X166" s="270">
        <v>1178</v>
      </c>
      <c r="Y166" s="270">
        <v>634</v>
      </c>
      <c r="Z166" s="45" t="b">
        <v>1</v>
      </c>
      <c r="AA166" s="45" t="s">
        <v>38</v>
      </c>
      <c r="AB166" s="45" t="s">
        <v>38</v>
      </c>
    </row>
    <row r="167" spans="1:28" x14ac:dyDescent="0.2">
      <c r="A167" s="270" t="s">
        <v>145</v>
      </c>
      <c r="B167" s="270" t="s">
        <v>145</v>
      </c>
      <c r="C167" s="277">
        <v>43770</v>
      </c>
      <c r="D167" s="278">
        <v>43799</v>
      </c>
      <c r="E167" s="270" t="s">
        <v>300</v>
      </c>
      <c r="F167" s="96" t="s">
        <v>49</v>
      </c>
      <c r="G167" s="270" t="s">
        <v>35</v>
      </c>
      <c r="H167" s="272" t="s">
        <v>948</v>
      </c>
      <c r="I167" s="273">
        <v>60</v>
      </c>
      <c r="J167" s="270">
        <v>112</v>
      </c>
      <c r="K167" s="270">
        <f t="shared" si="0"/>
        <v>6720</v>
      </c>
      <c r="L167" s="270">
        <v>7205</v>
      </c>
      <c r="M167" s="270">
        <v>-420</v>
      </c>
      <c r="N167" s="274">
        <v>7</v>
      </c>
      <c r="O167" s="55"/>
      <c r="P167" s="45">
        <v>7</v>
      </c>
      <c r="Q167" s="270">
        <v>454</v>
      </c>
      <c r="R167" s="275">
        <v>-6.2300000000000003E-3</v>
      </c>
      <c r="S167" s="270">
        <v>412</v>
      </c>
      <c r="T167" s="270">
        <v>419</v>
      </c>
      <c r="U167" s="57">
        <v>1</v>
      </c>
      <c r="V167" s="276">
        <v>0.26250000000000001</v>
      </c>
      <c r="W167" s="276">
        <v>8.7499999999999994E-2</v>
      </c>
      <c r="X167" s="270">
        <v>272</v>
      </c>
      <c r="Y167" s="270">
        <v>147</v>
      </c>
      <c r="Z167" s="45" t="b">
        <v>1</v>
      </c>
      <c r="AA167" s="45" t="s">
        <v>38</v>
      </c>
      <c r="AB167" s="45" t="s">
        <v>38</v>
      </c>
    </row>
    <row r="168" spans="1:28" x14ac:dyDescent="0.2">
      <c r="A168" s="270" t="s">
        <v>145</v>
      </c>
      <c r="B168" s="270" t="s">
        <v>145</v>
      </c>
      <c r="C168" s="277">
        <v>43770</v>
      </c>
      <c r="D168" s="278">
        <v>43799</v>
      </c>
      <c r="E168" s="270" t="s">
        <v>300</v>
      </c>
      <c r="F168" s="96" t="s">
        <v>49</v>
      </c>
      <c r="G168" s="270" t="s">
        <v>35</v>
      </c>
      <c r="H168" s="272" t="s">
        <v>951</v>
      </c>
      <c r="I168" s="273">
        <v>100</v>
      </c>
      <c r="J168" s="270">
        <v>2878</v>
      </c>
      <c r="K168" s="270">
        <f t="shared" si="0"/>
        <v>287800</v>
      </c>
      <c r="L168" s="270">
        <v>97333</v>
      </c>
      <c r="M168" s="270">
        <v>7300</v>
      </c>
      <c r="N168" s="274">
        <v>288</v>
      </c>
      <c r="O168" s="55"/>
      <c r="P168" s="45">
        <v>288</v>
      </c>
      <c r="Q168" s="270">
        <v>2848</v>
      </c>
      <c r="R168" s="275">
        <v>-5.8339999999999998E-3</v>
      </c>
      <c r="S168" s="270">
        <v>1169</v>
      </c>
      <c r="T168" s="270">
        <v>1457</v>
      </c>
      <c r="U168" s="57">
        <v>1</v>
      </c>
      <c r="V168" s="276">
        <v>0.22500000000000001</v>
      </c>
      <c r="W168" s="276">
        <v>7.4999999999999997E-2</v>
      </c>
      <c r="X168" s="270">
        <v>1020</v>
      </c>
      <c r="Y168" s="270">
        <v>437</v>
      </c>
      <c r="Z168" s="45" t="b">
        <v>1</v>
      </c>
      <c r="AA168" s="45" t="s">
        <v>38</v>
      </c>
      <c r="AB168" s="45" t="s">
        <v>38</v>
      </c>
    </row>
    <row r="169" spans="1:28" x14ac:dyDescent="0.2">
      <c r="A169" s="270" t="s">
        <v>447</v>
      </c>
      <c r="B169" s="270" t="s">
        <v>910</v>
      </c>
      <c r="C169" s="277">
        <v>43770</v>
      </c>
      <c r="D169" s="277">
        <v>43799</v>
      </c>
      <c r="E169" s="270" t="s">
        <v>267</v>
      </c>
      <c r="F169" s="96" t="s">
        <v>49</v>
      </c>
      <c r="G169" s="270" t="s">
        <v>61</v>
      </c>
      <c r="H169" s="272" t="s">
        <v>63</v>
      </c>
      <c r="I169" s="273">
        <v>10</v>
      </c>
      <c r="J169" s="270">
        <v>368</v>
      </c>
      <c r="K169" s="270">
        <f t="shared" si="0"/>
        <v>3680</v>
      </c>
      <c r="L169" s="270">
        <v>40337</v>
      </c>
      <c r="M169" s="270">
        <v>860</v>
      </c>
      <c r="N169" s="274">
        <v>74</v>
      </c>
      <c r="O169" s="55"/>
      <c r="P169" s="45">
        <v>74</v>
      </c>
      <c r="Q169" s="270">
        <v>407</v>
      </c>
      <c r="R169" s="275">
        <v>-6.3210000000000002E-3</v>
      </c>
      <c r="S169" s="270">
        <v>384</v>
      </c>
      <c r="T169" s="270">
        <v>458</v>
      </c>
      <c r="U169" s="57">
        <v>1</v>
      </c>
      <c r="V169" s="276">
        <v>0.3</v>
      </c>
      <c r="W169" s="276">
        <v>0</v>
      </c>
      <c r="X169" s="270">
        <v>321</v>
      </c>
      <c r="Y169" s="270">
        <v>137</v>
      </c>
      <c r="Z169" s="45" t="b">
        <v>1</v>
      </c>
      <c r="AA169" s="45" t="s">
        <v>50</v>
      </c>
      <c r="AB169" s="45" t="s">
        <v>50</v>
      </c>
    </row>
    <row r="170" spans="1:28" x14ac:dyDescent="0.2">
      <c r="A170" s="270" t="s">
        <v>447</v>
      </c>
      <c r="B170" s="270" t="s">
        <v>910</v>
      </c>
      <c r="C170" s="277">
        <v>43770</v>
      </c>
      <c r="D170" s="277">
        <v>43799</v>
      </c>
      <c r="E170" s="270" t="s">
        <v>267</v>
      </c>
      <c r="F170" s="96" t="s">
        <v>49</v>
      </c>
      <c r="G170" s="270" t="s">
        <v>61</v>
      </c>
      <c r="H170" s="272" t="s">
        <v>93</v>
      </c>
      <c r="I170" s="273">
        <v>25</v>
      </c>
      <c r="J170" s="270">
        <v>1505</v>
      </c>
      <c r="K170" s="270">
        <f t="shared" si="0"/>
        <v>37625</v>
      </c>
      <c r="L170" s="270">
        <v>57017</v>
      </c>
      <c r="M170" s="270">
        <v>-600</v>
      </c>
      <c r="N170" s="274">
        <v>756</v>
      </c>
      <c r="O170" s="55"/>
      <c r="P170" s="45">
        <v>756</v>
      </c>
      <c r="Q170" s="270">
        <v>-744</v>
      </c>
      <c r="R170" s="275">
        <v>-5.6649999999999999E-3</v>
      </c>
      <c r="S170" s="270">
        <v>-957</v>
      </c>
      <c r="T170" s="270">
        <v>-201</v>
      </c>
      <c r="U170" s="57">
        <v>1</v>
      </c>
      <c r="V170" s="276">
        <v>0.3</v>
      </c>
      <c r="W170" s="276">
        <v>0</v>
      </c>
      <c r="X170" s="270">
        <v>-141</v>
      </c>
      <c r="Y170" s="270">
        <v>-60</v>
      </c>
      <c r="Z170" s="45" t="b">
        <v>1</v>
      </c>
      <c r="AA170" s="45" t="s">
        <v>50</v>
      </c>
      <c r="AB170" s="45" t="s">
        <v>50</v>
      </c>
    </row>
    <row r="171" spans="1:28" x14ac:dyDescent="0.2">
      <c r="A171" s="270" t="s">
        <v>508</v>
      </c>
      <c r="B171" s="270" t="s">
        <v>508</v>
      </c>
      <c r="C171" s="277">
        <v>43770</v>
      </c>
      <c r="D171" s="278">
        <v>43799</v>
      </c>
      <c r="E171" s="270" t="s">
        <v>267</v>
      </c>
      <c r="F171" s="96" t="s">
        <v>49</v>
      </c>
      <c r="G171" s="270" t="s">
        <v>35</v>
      </c>
      <c r="H171" s="272" t="s">
        <v>948</v>
      </c>
      <c r="I171" s="273">
        <v>60</v>
      </c>
      <c r="J171" s="270">
        <v>2501</v>
      </c>
      <c r="K171" s="270">
        <f t="shared" si="0"/>
        <v>150060</v>
      </c>
      <c r="L171" s="270">
        <v>88710</v>
      </c>
      <c r="M171" s="270">
        <v>6060</v>
      </c>
      <c r="N171" s="274">
        <v>150</v>
      </c>
      <c r="O171" s="55"/>
      <c r="P171" s="45">
        <v>150</v>
      </c>
      <c r="Q171" s="270">
        <v>1953</v>
      </c>
      <c r="R171" s="275">
        <v>-5.8560000000000001E-3</v>
      </c>
      <c r="S171" s="270">
        <v>1074</v>
      </c>
      <c r="T171" s="270">
        <v>1224</v>
      </c>
      <c r="U171" s="57">
        <v>1</v>
      </c>
      <c r="V171" s="276">
        <v>0.23</v>
      </c>
      <c r="W171" s="276">
        <v>0</v>
      </c>
      <c r="X171" s="270">
        <v>942</v>
      </c>
      <c r="Y171" s="270">
        <v>282</v>
      </c>
      <c r="Z171" s="45" t="b">
        <v>1</v>
      </c>
      <c r="AA171" s="45" t="s">
        <v>38</v>
      </c>
      <c r="AB171" s="45" t="s">
        <v>38</v>
      </c>
    </row>
    <row r="172" spans="1:28" x14ac:dyDescent="0.2">
      <c r="A172" s="270" t="s">
        <v>286</v>
      </c>
      <c r="B172" s="270" t="s">
        <v>286</v>
      </c>
      <c r="C172" s="271">
        <v>43790</v>
      </c>
      <c r="D172" s="271">
        <v>43819</v>
      </c>
      <c r="E172" s="270" t="s">
        <v>267</v>
      </c>
      <c r="F172" s="96" t="s">
        <v>34</v>
      </c>
      <c r="G172" s="270" t="s">
        <v>35</v>
      </c>
      <c r="H172" s="110" t="s">
        <v>961</v>
      </c>
      <c r="I172" s="273">
        <v>10</v>
      </c>
      <c r="J172" s="270">
        <v>121</v>
      </c>
      <c r="K172" s="270">
        <f t="shared" si="0"/>
        <v>1210</v>
      </c>
      <c r="L172" s="270">
        <v>2498</v>
      </c>
      <c r="M172" s="270">
        <v>-120</v>
      </c>
      <c r="N172" s="274">
        <v>2</v>
      </c>
      <c r="O172" s="55"/>
      <c r="P172" s="45">
        <v>2</v>
      </c>
      <c r="Q172" s="270">
        <v>-37</v>
      </c>
      <c r="R172" s="275">
        <v>-3.0000000000000001E-5</v>
      </c>
      <c r="S172" s="270">
        <v>-37</v>
      </c>
      <c r="T172" s="270">
        <v>-35</v>
      </c>
      <c r="U172" s="57">
        <v>1</v>
      </c>
      <c r="V172" s="276">
        <v>0.35</v>
      </c>
      <c r="W172" s="276">
        <v>0</v>
      </c>
      <c r="X172" s="270">
        <v>-23</v>
      </c>
      <c r="Y172" s="270">
        <v>-12</v>
      </c>
      <c r="Z172" s="45" t="b">
        <v>1</v>
      </c>
      <c r="AA172" s="45" t="s">
        <v>38</v>
      </c>
      <c r="AB172" s="45" t="s">
        <v>38</v>
      </c>
    </row>
    <row r="173" spans="1:28" x14ac:dyDescent="0.2">
      <c r="A173" s="270" t="s">
        <v>286</v>
      </c>
      <c r="B173" s="270" t="s">
        <v>286</v>
      </c>
      <c r="C173" s="271">
        <v>43790</v>
      </c>
      <c r="D173" s="271">
        <v>43819</v>
      </c>
      <c r="E173" s="270" t="s">
        <v>267</v>
      </c>
      <c r="F173" s="96" t="s">
        <v>34</v>
      </c>
      <c r="G173" s="270" t="s">
        <v>35</v>
      </c>
      <c r="H173" s="272" t="s">
        <v>949</v>
      </c>
      <c r="I173" s="273">
        <v>15</v>
      </c>
      <c r="J173" s="270">
        <v>140</v>
      </c>
      <c r="K173" s="270">
        <f t="shared" si="0"/>
        <v>2100</v>
      </c>
      <c r="L173" s="270">
        <v>6739</v>
      </c>
      <c r="M173" s="270">
        <v>30</v>
      </c>
      <c r="N173" s="274">
        <v>3</v>
      </c>
      <c r="O173" s="55"/>
      <c r="P173" s="45">
        <v>3</v>
      </c>
      <c r="Q173" s="270">
        <v>63</v>
      </c>
      <c r="R173" s="275">
        <v>-3.0000000000000001E-5</v>
      </c>
      <c r="S173" s="270">
        <v>62</v>
      </c>
      <c r="T173" s="270">
        <v>65</v>
      </c>
      <c r="U173" s="57">
        <v>1</v>
      </c>
      <c r="V173" s="276">
        <v>0.35</v>
      </c>
      <c r="W173" s="276">
        <v>0</v>
      </c>
      <c r="X173" s="270">
        <v>43</v>
      </c>
      <c r="Y173" s="270">
        <v>23</v>
      </c>
      <c r="Z173" s="45" t="b">
        <v>1</v>
      </c>
      <c r="AA173" s="45" t="s">
        <v>38</v>
      </c>
      <c r="AB173" s="45" t="s">
        <v>38</v>
      </c>
    </row>
    <row r="174" spans="1:28" x14ac:dyDescent="0.2">
      <c r="A174" s="270" t="s">
        <v>286</v>
      </c>
      <c r="B174" s="270" t="s">
        <v>286</v>
      </c>
      <c r="C174" s="271">
        <v>43790</v>
      </c>
      <c r="D174" s="271">
        <v>43819</v>
      </c>
      <c r="E174" s="270" t="s">
        <v>267</v>
      </c>
      <c r="F174" s="96" t="s">
        <v>34</v>
      </c>
      <c r="G174" s="270" t="s">
        <v>35</v>
      </c>
      <c r="H174" s="272" t="s">
        <v>962</v>
      </c>
      <c r="I174" s="273">
        <v>25</v>
      </c>
      <c r="J174" s="270">
        <v>598</v>
      </c>
      <c r="K174" s="270">
        <f t="shared" si="0"/>
        <v>14950</v>
      </c>
      <c r="L174" s="270">
        <v>18572</v>
      </c>
      <c r="M174" s="270">
        <v>-1000</v>
      </c>
      <c r="N174" s="274">
        <v>18</v>
      </c>
      <c r="O174" s="55"/>
      <c r="P174" s="45">
        <v>18</v>
      </c>
      <c r="Q174" s="270">
        <v>-31</v>
      </c>
      <c r="R174" s="275">
        <v>-3.0000000000000001E-5</v>
      </c>
      <c r="S174" s="270">
        <v>-31</v>
      </c>
      <c r="T174" s="270">
        <v>-13</v>
      </c>
      <c r="U174" s="57">
        <v>1</v>
      </c>
      <c r="V174" s="276">
        <v>0.35</v>
      </c>
      <c r="W174" s="276">
        <v>0</v>
      </c>
      <c r="X174" s="270">
        <v>-9</v>
      </c>
      <c r="Y174" s="270">
        <v>-5</v>
      </c>
      <c r="Z174" s="45" t="b">
        <v>1</v>
      </c>
      <c r="AA174" s="45" t="s">
        <v>38</v>
      </c>
      <c r="AB174" s="45" t="s">
        <v>38</v>
      </c>
    </row>
    <row r="175" spans="1:28" x14ac:dyDescent="0.2">
      <c r="A175" s="270" t="s">
        <v>286</v>
      </c>
      <c r="B175" s="270" t="s">
        <v>286</v>
      </c>
      <c r="C175" s="271">
        <v>43790</v>
      </c>
      <c r="D175" s="271">
        <v>43819</v>
      </c>
      <c r="E175" s="270" t="s">
        <v>267</v>
      </c>
      <c r="F175" s="96" t="s">
        <v>34</v>
      </c>
      <c r="G175" s="270" t="s">
        <v>35</v>
      </c>
      <c r="H175" s="272" t="s">
        <v>950</v>
      </c>
      <c r="I175" s="273">
        <v>30</v>
      </c>
      <c r="J175" s="270">
        <v>345</v>
      </c>
      <c r="K175" s="270">
        <f t="shared" si="0"/>
        <v>10350</v>
      </c>
      <c r="L175" s="270">
        <v>1459</v>
      </c>
      <c r="M175" s="270">
        <v>1860</v>
      </c>
      <c r="N175" s="274">
        <v>12</v>
      </c>
      <c r="O175" s="55"/>
      <c r="P175" s="45">
        <v>12</v>
      </c>
      <c r="Q175" s="270">
        <v>-541</v>
      </c>
      <c r="R175" s="275">
        <v>-3.0000000000000001E-5</v>
      </c>
      <c r="S175" s="270">
        <v>-541</v>
      </c>
      <c r="T175" s="270">
        <v>-529</v>
      </c>
      <c r="U175" s="57">
        <v>1</v>
      </c>
      <c r="V175" s="276">
        <v>0.35</v>
      </c>
      <c r="W175" s="276">
        <v>0</v>
      </c>
      <c r="X175" s="270">
        <v>-344</v>
      </c>
      <c r="Y175" s="270">
        <v>-185</v>
      </c>
      <c r="Z175" s="45" t="b">
        <v>1</v>
      </c>
      <c r="AA175" s="45" t="s">
        <v>38</v>
      </c>
      <c r="AB175" s="45" t="s">
        <v>38</v>
      </c>
    </row>
    <row r="176" spans="1:28" x14ac:dyDescent="0.2">
      <c r="A176" s="270" t="s">
        <v>286</v>
      </c>
      <c r="B176" s="270" t="s">
        <v>286</v>
      </c>
      <c r="C176" s="271">
        <v>43790</v>
      </c>
      <c r="D176" s="271">
        <v>43819</v>
      </c>
      <c r="E176" s="270" t="s">
        <v>267</v>
      </c>
      <c r="F176" s="96" t="s">
        <v>34</v>
      </c>
      <c r="G176" s="270" t="s">
        <v>35</v>
      </c>
      <c r="H176" s="272" t="s">
        <v>953</v>
      </c>
      <c r="I176" s="273">
        <v>40</v>
      </c>
      <c r="J176" s="270">
        <v>326</v>
      </c>
      <c r="K176" s="270">
        <f t="shared" si="0"/>
        <v>13040</v>
      </c>
      <c r="L176" s="270">
        <v>4459</v>
      </c>
      <c r="M176" s="270">
        <v>-1720</v>
      </c>
      <c r="N176" s="274">
        <v>18</v>
      </c>
      <c r="O176" s="55"/>
      <c r="P176" s="45">
        <v>18</v>
      </c>
      <c r="Q176" s="270">
        <v>-540</v>
      </c>
      <c r="R176" s="275">
        <v>-3.0000000000000001E-5</v>
      </c>
      <c r="S176" s="270">
        <v>-541</v>
      </c>
      <c r="T176" s="270">
        <v>-523</v>
      </c>
      <c r="U176" s="57">
        <v>1</v>
      </c>
      <c r="V176" s="276">
        <v>0.35</v>
      </c>
      <c r="W176" s="276">
        <v>0</v>
      </c>
      <c r="X176" s="270">
        <v>-340</v>
      </c>
      <c r="Y176" s="270">
        <v>-183</v>
      </c>
      <c r="Z176" s="45" t="b">
        <v>1</v>
      </c>
      <c r="AA176" s="45" t="s">
        <v>38</v>
      </c>
      <c r="AB176" s="45" t="s">
        <v>38</v>
      </c>
    </row>
    <row r="177" spans="1:28" x14ac:dyDescent="0.2">
      <c r="A177" s="270" t="s">
        <v>286</v>
      </c>
      <c r="B177" s="270" t="s">
        <v>286</v>
      </c>
      <c r="C177" s="271">
        <v>43790</v>
      </c>
      <c r="D177" s="271">
        <v>43819</v>
      </c>
      <c r="E177" s="270" t="s">
        <v>267</v>
      </c>
      <c r="F177" s="96" t="s">
        <v>34</v>
      </c>
      <c r="G177" s="270" t="s">
        <v>35</v>
      </c>
      <c r="H177" s="272" t="s">
        <v>963</v>
      </c>
      <c r="I177" s="273">
        <v>50</v>
      </c>
      <c r="J177" s="270">
        <v>226</v>
      </c>
      <c r="K177" s="270">
        <f t="shared" si="0"/>
        <v>11300</v>
      </c>
      <c r="L177" s="270">
        <v>5938</v>
      </c>
      <c r="M177" s="270">
        <v>50</v>
      </c>
      <c r="N177" s="274">
        <v>14</v>
      </c>
      <c r="O177" s="55"/>
      <c r="P177" s="45">
        <v>14</v>
      </c>
      <c r="Q177" s="270">
        <v>-124</v>
      </c>
      <c r="R177" s="275">
        <v>-3.0000000000000001E-5</v>
      </c>
      <c r="S177" s="270">
        <v>-125</v>
      </c>
      <c r="T177" s="270">
        <v>-111</v>
      </c>
      <c r="U177" s="57">
        <v>1</v>
      </c>
      <c r="V177" s="276">
        <v>0.35</v>
      </c>
      <c r="W177" s="276">
        <v>0</v>
      </c>
      <c r="X177" s="270">
        <v>-72</v>
      </c>
      <c r="Y177" s="270">
        <v>-39</v>
      </c>
      <c r="Z177" s="45" t="b">
        <v>1</v>
      </c>
      <c r="AA177" s="45" t="s">
        <v>38</v>
      </c>
      <c r="AB177" s="45" t="s">
        <v>38</v>
      </c>
    </row>
    <row r="178" spans="1:28" x14ac:dyDescent="0.2">
      <c r="A178" s="270" t="s">
        <v>286</v>
      </c>
      <c r="B178" s="270" t="s">
        <v>286</v>
      </c>
      <c r="C178" s="271">
        <v>43790</v>
      </c>
      <c r="D178" s="271">
        <v>43819</v>
      </c>
      <c r="E178" s="270" t="s">
        <v>267</v>
      </c>
      <c r="F178" s="96" t="s">
        <v>34</v>
      </c>
      <c r="G178" s="270" t="s">
        <v>35</v>
      </c>
      <c r="H178" s="272" t="s">
        <v>964</v>
      </c>
      <c r="I178" s="273">
        <v>50</v>
      </c>
      <c r="J178" s="270">
        <v>1</v>
      </c>
      <c r="K178" s="270">
        <f t="shared" si="0"/>
        <v>50</v>
      </c>
      <c r="L178" s="270">
        <v>-253</v>
      </c>
      <c r="M178" s="270">
        <v>-50</v>
      </c>
      <c r="N178" s="274">
        <v>0</v>
      </c>
      <c r="O178" s="55"/>
      <c r="P178" s="45">
        <v>0</v>
      </c>
      <c r="Q178" s="270">
        <v>-27</v>
      </c>
      <c r="R178" s="275">
        <v>-3.0000000000000001E-5</v>
      </c>
      <c r="S178" s="270">
        <v>-27</v>
      </c>
      <c r="T178" s="270">
        <v>-27</v>
      </c>
      <c r="U178" s="57">
        <v>1</v>
      </c>
      <c r="V178" s="276">
        <v>0.35</v>
      </c>
      <c r="W178" s="276">
        <v>0</v>
      </c>
      <c r="X178" s="270">
        <v>-18</v>
      </c>
      <c r="Y178" s="270">
        <v>-9</v>
      </c>
      <c r="Z178" s="45" t="b">
        <v>1</v>
      </c>
      <c r="AA178" s="45" t="s">
        <v>38</v>
      </c>
      <c r="AB178" s="45" t="s">
        <v>38</v>
      </c>
    </row>
    <row r="179" spans="1:28" x14ac:dyDescent="0.2">
      <c r="A179" s="270" t="s">
        <v>286</v>
      </c>
      <c r="B179" s="270" t="s">
        <v>286</v>
      </c>
      <c r="C179" s="271">
        <v>43790</v>
      </c>
      <c r="D179" s="271">
        <v>43819</v>
      </c>
      <c r="E179" s="270" t="s">
        <v>267</v>
      </c>
      <c r="F179" s="96" t="s">
        <v>34</v>
      </c>
      <c r="G179" s="270" t="s">
        <v>35</v>
      </c>
      <c r="H179" s="272" t="s">
        <v>948</v>
      </c>
      <c r="I179" s="273">
        <v>60</v>
      </c>
      <c r="J179" s="270">
        <v>167</v>
      </c>
      <c r="K179" s="270">
        <f t="shared" si="0"/>
        <v>10020</v>
      </c>
      <c r="L179" s="270">
        <v>-5397</v>
      </c>
      <c r="M179" s="270">
        <v>1380</v>
      </c>
      <c r="N179" s="274">
        <v>10</v>
      </c>
      <c r="O179" s="55"/>
      <c r="P179" s="45">
        <v>10</v>
      </c>
      <c r="Q179" s="270">
        <v>-1120</v>
      </c>
      <c r="R179" s="275">
        <v>-3.0000000000000001E-5</v>
      </c>
      <c r="S179" s="270">
        <v>-1120</v>
      </c>
      <c r="T179" s="270">
        <v>-1110</v>
      </c>
      <c r="U179" s="57">
        <v>1</v>
      </c>
      <c r="V179" s="276">
        <v>0.35</v>
      </c>
      <c r="W179" s="276">
        <v>0</v>
      </c>
      <c r="X179" s="270">
        <v>-722</v>
      </c>
      <c r="Y179" s="270">
        <v>-389</v>
      </c>
      <c r="Z179" s="45" t="b">
        <v>1</v>
      </c>
      <c r="AA179" s="45" t="s">
        <v>38</v>
      </c>
      <c r="AB179" s="45" t="s">
        <v>38</v>
      </c>
    </row>
    <row r="180" spans="1:28" x14ac:dyDescent="0.2">
      <c r="A180" s="270" t="s">
        <v>286</v>
      </c>
      <c r="B180" s="270" t="s">
        <v>286</v>
      </c>
      <c r="C180" s="271">
        <v>43790</v>
      </c>
      <c r="D180" s="271">
        <v>43819</v>
      </c>
      <c r="E180" s="270" t="s">
        <v>267</v>
      </c>
      <c r="F180" s="96" t="s">
        <v>34</v>
      </c>
      <c r="G180" s="270" t="s">
        <v>35</v>
      </c>
      <c r="H180" s="272" t="s">
        <v>951</v>
      </c>
      <c r="I180" s="273">
        <v>100</v>
      </c>
      <c r="J180" s="270">
        <v>61</v>
      </c>
      <c r="K180" s="270">
        <f t="shared" si="0"/>
        <v>6100</v>
      </c>
      <c r="L180" s="270">
        <v>-3033</v>
      </c>
      <c r="M180" s="270">
        <v>-1800</v>
      </c>
      <c r="N180" s="274">
        <v>6</v>
      </c>
      <c r="O180" s="55"/>
      <c r="P180" s="45">
        <v>6</v>
      </c>
      <c r="Q180" s="270">
        <v>-882</v>
      </c>
      <c r="R180" s="275">
        <v>-3.0000000000000001E-5</v>
      </c>
      <c r="S180" s="270">
        <v>-883</v>
      </c>
      <c r="T180" s="270">
        <v>-877</v>
      </c>
      <c r="U180" s="57">
        <v>1</v>
      </c>
      <c r="V180" s="276">
        <v>0.35</v>
      </c>
      <c r="W180" s="276">
        <v>0</v>
      </c>
      <c r="X180" s="270">
        <v>-570</v>
      </c>
      <c r="Y180" s="270">
        <v>-307</v>
      </c>
      <c r="Z180" s="45" t="b">
        <v>1</v>
      </c>
      <c r="AA180" s="45" t="s">
        <v>38</v>
      </c>
      <c r="AB180" s="45" t="s">
        <v>38</v>
      </c>
    </row>
    <row r="181" spans="1:28" x14ac:dyDescent="0.2">
      <c r="A181" s="270" t="s">
        <v>82</v>
      </c>
      <c r="B181" s="270" t="s">
        <v>82</v>
      </c>
      <c r="C181" s="278">
        <v>43790</v>
      </c>
      <c r="D181" s="278">
        <v>43819</v>
      </c>
      <c r="E181" s="270" t="s">
        <v>300</v>
      </c>
      <c r="F181" s="96" t="s">
        <v>34</v>
      </c>
      <c r="G181" s="270" t="s">
        <v>35</v>
      </c>
      <c r="H181" s="272" t="s">
        <v>962</v>
      </c>
      <c r="I181" s="273">
        <v>25</v>
      </c>
      <c r="J181" s="270">
        <v>807</v>
      </c>
      <c r="K181" s="270">
        <f t="shared" si="0"/>
        <v>20175</v>
      </c>
      <c r="L181" s="270">
        <v>47194</v>
      </c>
      <c r="M181" s="270">
        <v>1325</v>
      </c>
      <c r="N181" s="274">
        <v>24</v>
      </c>
      <c r="O181" s="55"/>
      <c r="P181" s="45">
        <v>24</v>
      </c>
      <c r="Q181" s="270">
        <v>932</v>
      </c>
      <c r="R181" s="275">
        <v>-3.0000000000000001E-5</v>
      </c>
      <c r="S181" s="270">
        <v>932</v>
      </c>
      <c r="T181" s="270">
        <v>956</v>
      </c>
      <c r="U181" s="57">
        <v>1</v>
      </c>
      <c r="V181" s="276">
        <v>0.27500000000000002</v>
      </c>
      <c r="W181" s="276">
        <v>0.1</v>
      </c>
      <c r="X181" s="270">
        <v>597</v>
      </c>
      <c r="Y181" s="270">
        <v>358</v>
      </c>
      <c r="Z181" s="45" t="b">
        <v>1</v>
      </c>
      <c r="AA181" s="45" t="s">
        <v>38</v>
      </c>
      <c r="AB181" s="45" t="s">
        <v>38</v>
      </c>
    </row>
    <row r="182" spans="1:28" x14ac:dyDescent="0.2">
      <c r="A182" s="270" t="s">
        <v>82</v>
      </c>
      <c r="B182" s="270" t="s">
        <v>82</v>
      </c>
      <c r="C182" s="278">
        <v>43790</v>
      </c>
      <c r="D182" s="278">
        <v>43819</v>
      </c>
      <c r="E182" s="270" t="s">
        <v>300</v>
      </c>
      <c r="F182" s="96" t="s">
        <v>34</v>
      </c>
      <c r="G182" s="270" t="s">
        <v>35</v>
      </c>
      <c r="H182" s="272" t="s">
        <v>953</v>
      </c>
      <c r="I182" s="273">
        <v>40</v>
      </c>
      <c r="J182" s="270">
        <v>720</v>
      </c>
      <c r="K182" s="270">
        <f t="shared" si="0"/>
        <v>28800</v>
      </c>
      <c r="L182" s="270">
        <v>33484</v>
      </c>
      <c r="M182" s="270">
        <v>2120</v>
      </c>
      <c r="N182" s="274">
        <v>40</v>
      </c>
      <c r="O182" s="55"/>
      <c r="P182" s="45">
        <v>40</v>
      </c>
      <c r="Q182" s="270">
        <v>460</v>
      </c>
      <c r="R182" s="275">
        <v>-3.0000000000000001E-5</v>
      </c>
      <c r="S182" s="270">
        <v>459</v>
      </c>
      <c r="T182" s="270">
        <v>499</v>
      </c>
      <c r="U182" s="57">
        <v>1</v>
      </c>
      <c r="V182" s="276">
        <v>0.27500000000000002</v>
      </c>
      <c r="W182" s="276">
        <v>0.1</v>
      </c>
      <c r="X182" s="270">
        <v>312</v>
      </c>
      <c r="Y182" s="270">
        <v>187</v>
      </c>
      <c r="Z182" s="45" t="b">
        <v>1</v>
      </c>
      <c r="AA182" s="45" t="s">
        <v>38</v>
      </c>
      <c r="AB182" s="45" t="s">
        <v>38</v>
      </c>
    </row>
    <row r="183" spans="1:28" x14ac:dyDescent="0.2">
      <c r="A183" s="270" t="s">
        <v>82</v>
      </c>
      <c r="B183" s="270" t="s">
        <v>82</v>
      </c>
      <c r="C183" s="278">
        <v>43790</v>
      </c>
      <c r="D183" s="278">
        <v>43819</v>
      </c>
      <c r="E183" s="270" t="s">
        <v>300</v>
      </c>
      <c r="F183" s="96" t="s">
        <v>34</v>
      </c>
      <c r="G183" s="270" t="s">
        <v>35</v>
      </c>
      <c r="H183" s="272" t="s">
        <v>963</v>
      </c>
      <c r="I183" s="273">
        <v>50</v>
      </c>
      <c r="J183" s="270">
        <v>497</v>
      </c>
      <c r="K183" s="270">
        <f t="shared" si="0"/>
        <v>24850</v>
      </c>
      <c r="L183" s="270">
        <v>24410</v>
      </c>
      <c r="M183" s="270">
        <v>2050</v>
      </c>
      <c r="N183" s="274">
        <v>30</v>
      </c>
      <c r="O183" s="55"/>
      <c r="P183" s="45">
        <v>30</v>
      </c>
      <c r="Q183" s="270">
        <v>713</v>
      </c>
      <c r="R183" s="275">
        <v>-3.0000000000000001E-5</v>
      </c>
      <c r="S183" s="270">
        <v>712</v>
      </c>
      <c r="T183" s="270">
        <v>742</v>
      </c>
      <c r="U183" s="57">
        <v>1</v>
      </c>
      <c r="V183" s="276">
        <v>0.27500000000000002</v>
      </c>
      <c r="W183" s="276">
        <v>0.1</v>
      </c>
      <c r="X183" s="270">
        <v>464</v>
      </c>
      <c r="Y183" s="270">
        <v>278</v>
      </c>
      <c r="Z183" s="45" t="b">
        <v>1</v>
      </c>
      <c r="AA183" s="45" t="s">
        <v>38</v>
      </c>
      <c r="AB183" s="45" t="s">
        <v>38</v>
      </c>
    </row>
    <row r="184" spans="1:28" x14ac:dyDescent="0.2">
      <c r="A184" s="270" t="s">
        <v>82</v>
      </c>
      <c r="B184" s="270" t="s">
        <v>82</v>
      </c>
      <c r="C184" s="278">
        <v>43790</v>
      </c>
      <c r="D184" s="278">
        <v>43819</v>
      </c>
      <c r="E184" s="270" t="s">
        <v>300</v>
      </c>
      <c r="F184" s="96" t="s">
        <v>34</v>
      </c>
      <c r="G184" s="270" t="s">
        <v>35</v>
      </c>
      <c r="H184" s="272" t="s">
        <v>964</v>
      </c>
      <c r="I184" s="273">
        <v>50</v>
      </c>
      <c r="J184" s="270">
        <v>186</v>
      </c>
      <c r="K184" s="270">
        <f t="shared" si="0"/>
        <v>9300</v>
      </c>
      <c r="L184" s="270">
        <v>15198</v>
      </c>
      <c r="M184" s="270">
        <v>600</v>
      </c>
      <c r="N184" s="274">
        <v>13</v>
      </c>
      <c r="O184" s="55"/>
      <c r="P184" s="45">
        <v>13</v>
      </c>
      <c r="Q184" s="270">
        <v>762</v>
      </c>
      <c r="R184" s="275">
        <v>-3.0000000000000001E-5</v>
      </c>
      <c r="S184" s="270">
        <v>761</v>
      </c>
      <c r="T184" s="270">
        <v>774</v>
      </c>
      <c r="U184" s="57">
        <v>1</v>
      </c>
      <c r="V184" s="276">
        <v>0.27500000000000002</v>
      </c>
      <c r="W184" s="276">
        <v>0.1</v>
      </c>
      <c r="X184" s="270">
        <v>484</v>
      </c>
      <c r="Y184" s="270">
        <v>290</v>
      </c>
      <c r="Z184" s="45" t="b">
        <v>1</v>
      </c>
      <c r="AA184" s="45" t="s">
        <v>38</v>
      </c>
      <c r="AB184" s="45" t="s">
        <v>38</v>
      </c>
    </row>
    <row r="185" spans="1:28" x14ac:dyDescent="0.2">
      <c r="A185" s="270" t="s">
        <v>102</v>
      </c>
      <c r="B185" s="270" t="s">
        <v>102</v>
      </c>
      <c r="C185" s="278">
        <v>43790</v>
      </c>
      <c r="D185" s="278">
        <v>43819</v>
      </c>
      <c r="E185" s="270" t="s">
        <v>267</v>
      </c>
      <c r="F185" s="96" t="s">
        <v>34</v>
      </c>
      <c r="G185" s="270" t="s">
        <v>35</v>
      </c>
      <c r="H185" s="272" t="s">
        <v>951</v>
      </c>
      <c r="I185" s="273">
        <v>100</v>
      </c>
      <c r="J185" s="270">
        <v>1807</v>
      </c>
      <c r="K185" s="270">
        <f t="shared" si="0"/>
        <v>180700</v>
      </c>
      <c r="L185" s="270">
        <v>50139</v>
      </c>
      <c r="M185" s="270">
        <v>5000</v>
      </c>
      <c r="N185" s="274">
        <v>181</v>
      </c>
      <c r="O185" s="55"/>
      <c r="P185" s="45">
        <v>181</v>
      </c>
      <c r="Q185" s="270">
        <v>-347</v>
      </c>
      <c r="R185" s="275">
        <v>-3.0000000000000001E-5</v>
      </c>
      <c r="S185" s="270">
        <v>-352</v>
      </c>
      <c r="T185" s="270">
        <v>-171</v>
      </c>
      <c r="U185" s="57">
        <v>1</v>
      </c>
      <c r="V185" s="276">
        <v>0.35</v>
      </c>
      <c r="W185" s="276">
        <v>0</v>
      </c>
      <c r="X185" s="270">
        <v>-111</v>
      </c>
      <c r="Y185" s="270">
        <v>-60</v>
      </c>
      <c r="Z185" s="45" t="b">
        <v>1</v>
      </c>
      <c r="AA185" s="45" t="s">
        <v>38</v>
      </c>
      <c r="AB185" s="45" t="s">
        <v>38</v>
      </c>
    </row>
    <row r="186" spans="1:28" x14ac:dyDescent="0.2">
      <c r="A186" s="270" t="s">
        <v>102</v>
      </c>
      <c r="B186" s="270" t="s">
        <v>102</v>
      </c>
      <c r="C186" s="278">
        <v>43790</v>
      </c>
      <c r="D186" s="278">
        <v>43819</v>
      </c>
      <c r="E186" s="270" t="s">
        <v>267</v>
      </c>
      <c r="F186" s="96" t="s">
        <v>34</v>
      </c>
      <c r="G186" s="270" t="s">
        <v>35</v>
      </c>
      <c r="H186" s="272" t="s">
        <v>948</v>
      </c>
      <c r="I186" s="273">
        <v>60</v>
      </c>
      <c r="J186" s="270">
        <v>333</v>
      </c>
      <c r="K186" s="270">
        <f t="shared" si="0"/>
        <v>19980</v>
      </c>
      <c r="L186" s="270">
        <v>10795</v>
      </c>
      <c r="M186" s="270">
        <v>1080</v>
      </c>
      <c r="N186" s="274">
        <v>20</v>
      </c>
      <c r="O186" s="55"/>
      <c r="P186" s="45">
        <v>20</v>
      </c>
      <c r="Q186" s="270">
        <v>138</v>
      </c>
      <c r="R186" s="275">
        <v>-3.0000000000000001E-5</v>
      </c>
      <c r="S186" s="270">
        <v>137</v>
      </c>
      <c r="T186" s="270">
        <v>157</v>
      </c>
      <c r="U186" s="57">
        <v>1</v>
      </c>
      <c r="V186" s="276">
        <v>0.35</v>
      </c>
      <c r="W186" s="276">
        <v>0</v>
      </c>
      <c r="X186" s="270">
        <v>102</v>
      </c>
      <c r="Y186" s="270">
        <v>55</v>
      </c>
      <c r="Z186" s="45" t="b">
        <v>1</v>
      </c>
      <c r="AA186" s="45" t="s">
        <v>38</v>
      </c>
      <c r="AB186" s="45" t="s">
        <v>38</v>
      </c>
    </row>
    <row r="187" spans="1:28" x14ac:dyDescent="0.2">
      <c r="A187" s="270" t="s">
        <v>102</v>
      </c>
      <c r="B187" s="270" t="s">
        <v>102</v>
      </c>
      <c r="C187" s="278">
        <v>43790</v>
      </c>
      <c r="D187" s="278">
        <v>43819</v>
      </c>
      <c r="E187" s="270" t="s">
        <v>267</v>
      </c>
      <c r="F187" s="96" t="s">
        <v>34</v>
      </c>
      <c r="G187" s="270" t="s">
        <v>35</v>
      </c>
      <c r="H187" s="272" t="s">
        <v>963</v>
      </c>
      <c r="I187" s="273">
        <v>50</v>
      </c>
      <c r="J187" s="270">
        <v>166</v>
      </c>
      <c r="K187" s="270">
        <f t="shared" si="0"/>
        <v>8300</v>
      </c>
      <c r="L187" s="270">
        <v>6028</v>
      </c>
      <c r="M187" s="270">
        <v>-1000</v>
      </c>
      <c r="N187" s="274">
        <v>10</v>
      </c>
      <c r="O187" s="55"/>
      <c r="P187" s="45">
        <v>10</v>
      </c>
      <c r="Q187" s="270">
        <v>29</v>
      </c>
      <c r="R187" s="275">
        <v>-3.0000000000000001E-5</v>
      </c>
      <c r="S187" s="270">
        <v>29</v>
      </c>
      <c r="T187" s="270">
        <v>39</v>
      </c>
      <c r="U187" s="57">
        <v>1</v>
      </c>
      <c r="V187" s="276">
        <v>0.35</v>
      </c>
      <c r="W187" s="276">
        <v>0</v>
      </c>
      <c r="X187" s="270">
        <v>25</v>
      </c>
      <c r="Y187" s="270">
        <v>14</v>
      </c>
      <c r="Z187" s="45" t="b">
        <v>1</v>
      </c>
      <c r="AA187" s="45" t="s">
        <v>38</v>
      </c>
      <c r="AB187" s="45" t="s">
        <v>38</v>
      </c>
    </row>
    <row r="188" spans="1:28" x14ac:dyDescent="0.2">
      <c r="A188" s="270" t="s">
        <v>102</v>
      </c>
      <c r="B188" s="270" t="s">
        <v>102</v>
      </c>
      <c r="C188" s="278">
        <v>43790</v>
      </c>
      <c r="D188" s="278">
        <v>43819</v>
      </c>
      <c r="E188" s="270" t="s">
        <v>267</v>
      </c>
      <c r="F188" s="96" t="s">
        <v>34</v>
      </c>
      <c r="G188" s="270" t="s">
        <v>35</v>
      </c>
      <c r="H188" s="272" t="s">
        <v>962</v>
      </c>
      <c r="I188" s="273">
        <v>25</v>
      </c>
      <c r="J188" s="270">
        <v>483</v>
      </c>
      <c r="K188" s="270">
        <f t="shared" si="0"/>
        <v>12075</v>
      </c>
      <c r="L188" s="270">
        <v>9706</v>
      </c>
      <c r="M188" s="270">
        <v>-925</v>
      </c>
      <c r="N188" s="274">
        <v>14</v>
      </c>
      <c r="O188" s="55"/>
      <c r="P188" s="45">
        <v>14</v>
      </c>
      <c r="Q188" s="270">
        <v>-324</v>
      </c>
      <c r="R188" s="275">
        <v>-3.0000000000000001E-5</v>
      </c>
      <c r="S188" s="270">
        <v>-325</v>
      </c>
      <c r="T188" s="270">
        <v>-311</v>
      </c>
      <c r="U188" s="57">
        <v>1</v>
      </c>
      <c r="V188" s="276">
        <v>0.35</v>
      </c>
      <c r="W188" s="276">
        <v>0</v>
      </c>
      <c r="X188" s="270">
        <v>-202</v>
      </c>
      <c r="Y188" s="270">
        <v>-109</v>
      </c>
      <c r="Z188" s="45" t="b">
        <v>1</v>
      </c>
      <c r="AA188" s="45" t="s">
        <v>38</v>
      </c>
      <c r="AB188" s="45" t="s">
        <v>38</v>
      </c>
    </row>
    <row r="189" spans="1:28" x14ac:dyDescent="0.2">
      <c r="A189" s="270" t="s">
        <v>206</v>
      </c>
      <c r="B189" s="270" t="s">
        <v>206</v>
      </c>
      <c r="C189" s="278">
        <v>43790</v>
      </c>
      <c r="D189" s="278">
        <v>43819</v>
      </c>
      <c r="E189" s="270" t="s">
        <v>267</v>
      </c>
      <c r="F189" s="96" t="s">
        <v>34</v>
      </c>
      <c r="G189" s="270" t="s">
        <v>35</v>
      </c>
      <c r="H189" s="272" t="s">
        <v>949</v>
      </c>
      <c r="I189" s="273">
        <v>15</v>
      </c>
      <c r="J189" s="270">
        <v>445</v>
      </c>
      <c r="K189" s="270">
        <f t="shared" si="0"/>
        <v>6675</v>
      </c>
      <c r="L189" s="270">
        <v>16402</v>
      </c>
      <c r="M189" s="270">
        <v>-60</v>
      </c>
      <c r="N189" s="274">
        <v>0</v>
      </c>
      <c r="O189" s="55"/>
      <c r="P189" s="45">
        <v>0</v>
      </c>
      <c r="Q189" s="270">
        <v>23</v>
      </c>
      <c r="R189" s="275">
        <v>-3.0000000000000001E-5</v>
      </c>
      <c r="S189" s="270">
        <v>23</v>
      </c>
      <c r="T189" s="270">
        <v>23</v>
      </c>
      <c r="U189" s="57">
        <v>1</v>
      </c>
      <c r="V189" s="276">
        <v>0.3</v>
      </c>
      <c r="W189" s="276">
        <v>0</v>
      </c>
      <c r="X189" s="270">
        <v>16</v>
      </c>
      <c r="Y189" s="270">
        <v>7</v>
      </c>
      <c r="Z189" s="45" t="b">
        <v>1</v>
      </c>
      <c r="AA189" s="45" t="s">
        <v>38</v>
      </c>
      <c r="AB189" s="45" t="s">
        <v>38</v>
      </c>
    </row>
    <row r="190" spans="1:28" x14ac:dyDescent="0.2">
      <c r="A190" s="270" t="s">
        <v>206</v>
      </c>
      <c r="B190" s="270" t="s">
        <v>206</v>
      </c>
      <c r="C190" s="278">
        <v>43790</v>
      </c>
      <c r="D190" s="278">
        <v>43819</v>
      </c>
      <c r="E190" s="270" t="s">
        <v>267</v>
      </c>
      <c r="F190" s="96" t="s">
        <v>34</v>
      </c>
      <c r="G190" s="270" t="s">
        <v>35</v>
      </c>
      <c r="H190" s="272" t="s">
        <v>962</v>
      </c>
      <c r="I190" s="273">
        <v>25</v>
      </c>
      <c r="J190" s="270">
        <v>1086</v>
      </c>
      <c r="K190" s="270">
        <f t="shared" si="0"/>
        <v>27150</v>
      </c>
      <c r="L190" s="270">
        <v>67803</v>
      </c>
      <c r="M190" s="270">
        <v>1575</v>
      </c>
      <c r="N190" s="274">
        <v>0</v>
      </c>
      <c r="O190" s="55"/>
      <c r="P190" s="45">
        <v>0</v>
      </c>
      <c r="Q190" s="270">
        <v>1392</v>
      </c>
      <c r="R190" s="275">
        <v>-3.0000000000000001E-5</v>
      </c>
      <c r="S190" s="270">
        <v>1391</v>
      </c>
      <c r="T190" s="270">
        <v>1391</v>
      </c>
      <c r="U190" s="57">
        <v>1</v>
      </c>
      <c r="V190" s="276">
        <v>0.3</v>
      </c>
      <c r="W190" s="276">
        <v>0</v>
      </c>
      <c r="X190" s="270">
        <v>974</v>
      </c>
      <c r="Y190" s="270">
        <v>417</v>
      </c>
      <c r="Z190" s="45" t="b">
        <v>1</v>
      </c>
      <c r="AA190" s="45" t="s">
        <v>38</v>
      </c>
      <c r="AB190" s="45" t="s">
        <v>38</v>
      </c>
    </row>
    <row r="191" spans="1:28" x14ac:dyDescent="0.2">
      <c r="A191" s="270" t="s">
        <v>206</v>
      </c>
      <c r="B191" s="270" t="s">
        <v>206</v>
      </c>
      <c r="C191" s="278">
        <v>43790</v>
      </c>
      <c r="D191" s="278">
        <v>43819</v>
      </c>
      <c r="E191" s="270" t="s">
        <v>267</v>
      </c>
      <c r="F191" s="96" t="s">
        <v>34</v>
      </c>
      <c r="G191" s="270" t="s">
        <v>35</v>
      </c>
      <c r="H191" s="272" t="s">
        <v>950</v>
      </c>
      <c r="I191" s="273">
        <v>30</v>
      </c>
      <c r="J191" s="270">
        <v>164</v>
      </c>
      <c r="K191" s="270">
        <f t="shared" si="0"/>
        <v>4920</v>
      </c>
      <c r="L191" s="270">
        <v>-2704</v>
      </c>
      <c r="M191" s="270">
        <v>-930</v>
      </c>
      <c r="N191" s="274">
        <v>0</v>
      </c>
      <c r="O191" s="55"/>
      <c r="P191" s="45">
        <v>0</v>
      </c>
      <c r="Q191" s="270">
        <v>-473</v>
      </c>
      <c r="R191" s="275">
        <v>-3.0000000000000001E-5</v>
      </c>
      <c r="S191" s="270">
        <v>-473</v>
      </c>
      <c r="T191" s="270">
        <v>-473</v>
      </c>
      <c r="U191" s="57">
        <v>1</v>
      </c>
      <c r="V191" s="276">
        <v>0.3</v>
      </c>
      <c r="W191" s="276">
        <v>0</v>
      </c>
      <c r="X191" s="270">
        <v>-331</v>
      </c>
      <c r="Y191" s="270">
        <v>-142</v>
      </c>
      <c r="Z191" s="45" t="b">
        <v>1</v>
      </c>
      <c r="AA191" s="45" t="s">
        <v>38</v>
      </c>
      <c r="AB191" s="45" t="s">
        <v>38</v>
      </c>
    </row>
    <row r="192" spans="1:28" x14ac:dyDescent="0.2">
      <c r="A192" s="270" t="s">
        <v>206</v>
      </c>
      <c r="B192" s="270" t="s">
        <v>939</v>
      </c>
      <c r="C192" s="277">
        <v>43790</v>
      </c>
      <c r="D192" s="277">
        <v>43819</v>
      </c>
      <c r="E192" s="270" t="s">
        <v>267</v>
      </c>
      <c r="F192" s="96" t="s">
        <v>34</v>
      </c>
      <c r="G192" s="270" t="s">
        <v>165</v>
      </c>
      <c r="H192" s="272" t="s">
        <v>63</v>
      </c>
      <c r="I192" s="273">
        <v>10</v>
      </c>
      <c r="J192" s="270">
        <v>238</v>
      </c>
      <c r="K192" s="270">
        <f t="shared" si="0"/>
        <v>2380</v>
      </c>
      <c r="L192" s="270">
        <v>24122</v>
      </c>
      <c r="M192" s="270">
        <v>450</v>
      </c>
      <c r="N192" s="274">
        <v>0</v>
      </c>
      <c r="O192" s="55"/>
      <c r="P192" s="45">
        <v>0</v>
      </c>
      <c r="Q192" s="270">
        <v>266</v>
      </c>
      <c r="R192" s="275">
        <v>-3.0000000000000001E-5</v>
      </c>
      <c r="S192" s="270">
        <v>266</v>
      </c>
      <c r="T192" s="270">
        <v>266</v>
      </c>
      <c r="U192" s="57">
        <v>1.1080000000000001</v>
      </c>
      <c r="V192" s="276">
        <v>0.3</v>
      </c>
      <c r="W192" s="276">
        <v>0</v>
      </c>
      <c r="X192" s="270">
        <v>207</v>
      </c>
      <c r="Y192" s="270">
        <v>89</v>
      </c>
      <c r="Z192" s="45" t="b">
        <v>1</v>
      </c>
      <c r="AA192" s="45" t="s">
        <v>38</v>
      </c>
      <c r="AB192" s="45" t="s">
        <v>50</v>
      </c>
    </row>
    <row r="193" spans="1:28" x14ac:dyDescent="0.2">
      <c r="A193" s="270" t="s">
        <v>206</v>
      </c>
      <c r="B193" s="270" t="s">
        <v>939</v>
      </c>
      <c r="C193" s="277">
        <v>43790</v>
      </c>
      <c r="D193" s="277">
        <v>43819</v>
      </c>
      <c r="E193" s="270" t="s">
        <v>267</v>
      </c>
      <c r="F193" s="96" t="s">
        <v>34</v>
      </c>
      <c r="G193" s="270" t="s">
        <v>165</v>
      </c>
      <c r="H193" s="272" t="s">
        <v>93</v>
      </c>
      <c r="I193" s="273">
        <v>25</v>
      </c>
      <c r="J193" s="270">
        <v>269</v>
      </c>
      <c r="K193" s="270">
        <f t="shared" si="0"/>
        <v>6725</v>
      </c>
      <c r="L193" s="270">
        <v>14263</v>
      </c>
      <c r="M193" s="270">
        <v>50</v>
      </c>
      <c r="N193" s="274">
        <v>0</v>
      </c>
      <c r="O193" s="55"/>
      <c r="P193" s="45">
        <v>0</v>
      </c>
      <c r="Q193" s="270">
        <v>152</v>
      </c>
      <c r="R193" s="275">
        <v>-3.0000000000000001E-5</v>
      </c>
      <c r="S193" s="270">
        <v>152</v>
      </c>
      <c r="T193" s="270">
        <v>152</v>
      </c>
      <c r="U193" s="57">
        <v>1.1080000000000001</v>
      </c>
      <c r="V193" s="276">
        <v>0.3</v>
      </c>
      <c r="W193" s="276">
        <v>0</v>
      </c>
      <c r="X193" s="270">
        <v>118</v>
      </c>
      <c r="Y193" s="270">
        <v>51</v>
      </c>
      <c r="Z193" s="45" t="b">
        <v>1</v>
      </c>
      <c r="AA193" s="45" t="s">
        <v>38</v>
      </c>
      <c r="AB193" s="45" t="s">
        <v>50</v>
      </c>
    </row>
    <row r="194" spans="1:28" x14ac:dyDescent="0.2">
      <c r="A194" s="270" t="s">
        <v>145</v>
      </c>
      <c r="B194" s="270" t="s">
        <v>145</v>
      </c>
      <c r="C194" s="277">
        <v>43800</v>
      </c>
      <c r="D194" s="278">
        <v>43821</v>
      </c>
      <c r="E194" s="270" t="s">
        <v>300</v>
      </c>
      <c r="F194" s="96" t="s">
        <v>49</v>
      </c>
      <c r="G194" s="270" t="s">
        <v>35</v>
      </c>
      <c r="H194" s="272" t="s">
        <v>951</v>
      </c>
      <c r="I194" s="273">
        <v>100</v>
      </c>
      <c r="J194" s="270">
        <v>2060</v>
      </c>
      <c r="K194" s="270">
        <f t="shared" si="0"/>
        <v>206000</v>
      </c>
      <c r="L194" s="270">
        <v>34884</v>
      </c>
      <c r="M194" s="270">
        <v>-12100</v>
      </c>
      <c r="N194" s="274">
        <v>206</v>
      </c>
      <c r="O194" s="55"/>
      <c r="P194" s="45">
        <v>206</v>
      </c>
      <c r="Q194" s="270">
        <v>-4533</v>
      </c>
      <c r="R194" s="275">
        <v>1.647E-3</v>
      </c>
      <c r="S194" s="270">
        <v>-4194</v>
      </c>
      <c r="T194" s="270">
        <v>-3988</v>
      </c>
      <c r="U194" s="57">
        <v>1</v>
      </c>
      <c r="V194" s="276">
        <v>0.16880000000000001</v>
      </c>
      <c r="W194" s="276">
        <v>5.6300000000000003E-2</v>
      </c>
      <c r="X194" s="270">
        <v>-3090</v>
      </c>
      <c r="Y194" s="270">
        <v>-898</v>
      </c>
      <c r="Z194" s="45" t="b">
        <v>1</v>
      </c>
      <c r="AA194" s="45" t="s">
        <v>38</v>
      </c>
      <c r="AB194" s="45" t="s">
        <v>38</v>
      </c>
    </row>
    <row r="195" spans="1:28" x14ac:dyDescent="0.2">
      <c r="A195" s="270" t="s">
        <v>447</v>
      </c>
      <c r="B195" s="270" t="s">
        <v>910</v>
      </c>
      <c r="C195" s="277">
        <v>43800</v>
      </c>
      <c r="D195" s="277">
        <v>43821</v>
      </c>
      <c r="E195" s="270" t="s">
        <v>267</v>
      </c>
      <c r="F195" s="96" t="s">
        <v>49</v>
      </c>
      <c r="G195" s="270" t="s">
        <v>61</v>
      </c>
      <c r="H195" s="272" t="s">
        <v>63</v>
      </c>
      <c r="I195" s="273">
        <v>10</v>
      </c>
      <c r="J195" s="270">
        <v>1264</v>
      </c>
      <c r="K195" s="270">
        <f t="shared" si="0"/>
        <v>12640</v>
      </c>
      <c r="L195" s="270">
        <v>104324</v>
      </c>
      <c r="M195" s="270">
        <v>950</v>
      </c>
      <c r="N195" s="274">
        <v>240</v>
      </c>
      <c r="O195" s="55"/>
      <c r="P195" s="45">
        <v>240</v>
      </c>
      <c r="Q195" s="270">
        <v>776</v>
      </c>
      <c r="R195" s="275">
        <v>1.784E-3</v>
      </c>
      <c r="S195" s="270">
        <v>799</v>
      </c>
      <c r="T195" s="270">
        <v>1039</v>
      </c>
      <c r="U195" s="57">
        <v>1</v>
      </c>
      <c r="V195" s="276">
        <v>0.3</v>
      </c>
      <c r="W195" s="276">
        <v>0</v>
      </c>
      <c r="X195" s="270">
        <v>727</v>
      </c>
      <c r="Y195" s="270">
        <v>312</v>
      </c>
      <c r="Z195" s="45" t="b">
        <v>1</v>
      </c>
      <c r="AA195" s="45" t="s">
        <v>50</v>
      </c>
      <c r="AB195" s="45" t="s">
        <v>50</v>
      </c>
    </row>
    <row r="196" spans="1:28" x14ac:dyDescent="0.2">
      <c r="A196" s="270" t="s">
        <v>508</v>
      </c>
      <c r="B196" s="270" t="s">
        <v>508</v>
      </c>
      <c r="C196" s="277">
        <v>43800</v>
      </c>
      <c r="D196" s="278">
        <v>43821</v>
      </c>
      <c r="E196" s="270" t="s">
        <v>267</v>
      </c>
      <c r="F196" s="96" t="s">
        <v>49</v>
      </c>
      <c r="G196" s="270" t="s">
        <v>35</v>
      </c>
      <c r="H196" s="272" t="s">
        <v>948</v>
      </c>
      <c r="I196" s="273">
        <v>60</v>
      </c>
      <c r="J196" s="270">
        <v>20</v>
      </c>
      <c r="K196" s="270">
        <f t="shared" si="0"/>
        <v>1200</v>
      </c>
      <c r="L196" s="270">
        <v>923</v>
      </c>
      <c r="M196" s="270">
        <v>-360</v>
      </c>
      <c r="N196" s="274">
        <v>1</v>
      </c>
      <c r="O196" s="55"/>
      <c r="P196" s="45">
        <v>1</v>
      </c>
      <c r="Q196" s="270">
        <v>40</v>
      </c>
      <c r="R196" s="275">
        <v>1.8090000000000001E-3</v>
      </c>
      <c r="S196" s="270">
        <v>42</v>
      </c>
      <c r="T196" s="270">
        <v>43</v>
      </c>
      <c r="U196" s="57">
        <v>1</v>
      </c>
      <c r="V196" s="276">
        <v>0.23</v>
      </c>
      <c r="W196" s="276">
        <v>0</v>
      </c>
      <c r="X196" s="270">
        <v>33</v>
      </c>
      <c r="Y196" s="270">
        <v>10</v>
      </c>
      <c r="Z196" s="45" t="b">
        <v>1</v>
      </c>
      <c r="AA196" s="45" t="s">
        <v>38</v>
      </c>
      <c r="AB196" s="45" t="s">
        <v>38</v>
      </c>
    </row>
    <row r="197" spans="1:28" x14ac:dyDescent="0.2">
      <c r="A197" s="270" t="s">
        <v>508</v>
      </c>
      <c r="B197" s="270" t="s">
        <v>508</v>
      </c>
      <c r="C197" s="277">
        <v>43802</v>
      </c>
      <c r="D197" s="278">
        <v>43821</v>
      </c>
      <c r="E197" s="270" t="s">
        <v>267</v>
      </c>
      <c r="F197" s="96" t="s">
        <v>49</v>
      </c>
      <c r="G197" s="270" t="s">
        <v>35</v>
      </c>
      <c r="H197" s="272" t="s">
        <v>951</v>
      </c>
      <c r="I197" s="273">
        <v>100</v>
      </c>
      <c r="J197" s="270">
        <v>144</v>
      </c>
      <c r="K197" s="270">
        <f t="shared" si="0"/>
        <v>14400</v>
      </c>
      <c r="L197" s="270">
        <v>241</v>
      </c>
      <c r="M197" s="270">
        <v>-2400</v>
      </c>
      <c r="N197" s="274">
        <v>14</v>
      </c>
      <c r="O197" s="55"/>
      <c r="P197" s="45">
        <v>14</v>
      </c>
      <c r="Q197" s="270">
        <v>-732</v>
      </c>
      <c r="R197" s="275">
        <v>1.6019999999999999E-3</v>
      </c>
      <c r="S197" s="270">
        <v>-709</v>
      </c>
      <c r="T197" s="270">
        <v>-695</v>
      </c>
      <c r="U197" s="57">
        <v>1</v>
      </c>
      <c r="V197" s="276">
        <v>0.23</v>
      </c>
      <c r="W197" s="276">
        <v>0</v>
      </c>
      <c r="X197" s="270">
        <v>-535</v>
      </c>
      <c r="Y197" s="270">
        <v>-160</v>
      </c>
      <c r="Z197" s="45" t="b">
        <v>1</v>
      </c>
      <c r="AA197" s="45" t="s">
        <v>38</v>
      </c>
      <c r="AB197" s="45" t="s">
        <v>38</v>
      </c>
    </row>
    <row r="198" spans="1:28" x14ac:dyDescent="0.2">
      <c r="A198" s="270" t="s">
        <v>508</v>
      </c>
      <c r="B198" s="270" t="s">
        <v>508</v>
      </c>
      <c r="C198" s="277">
        <v>43803</v>
      </c>
      <c r="D198" s="278">
        <v>43821</v>
      </c>
      <c r="E198" s="270" t="s">
        <v>267</v>
      </c>
      <c r="F198" s="96" t="s">
        <v>49</v>
      </c>
      <c r="G198" s="270" t="s">
        <v>35</v>
      </c>
      <c r="H198" s="272" t="s">
        <v>962</v>
      </c>
      <c r="I198" s="273">
        <v>25</v>
      </c>
      <c r="J198" s="270">
        <v>977</v>
      </c>
      <c r="K198" s="270">
        <f t="shared" si="0"/>
        <v>24425</v>
      </c>
      <c r="L198" s="270">
        <v>31510</v>
      </c>
      <c r="M198" s="270">
        <v>50</v>
      </c>
      <c r="N198" s="274">
        <v>29</v>
      </c>
      <c r="O198" s="55"/>
      <c r="P198" s="45">
        <v>29</v>
      </c>
      <c r="Q198" s="270">
        <v>-91</v>
      </c>
      <c r="R198" s="275">
        <v>1.665E-3</v>
      </c>
      <c r="S198" s="270">
        <v>-50</v>
      </c>
      <c r="T198" s="270">
        <v>-21</v>
      </c>
      <c r="U198" s="57">
        <v>1</v>
      </c>
      <c r="V198" s="276">
        <v>0.23</v>
      </c>
      <c r="W198" s="276">
        <v>0</v>
      </c>
      <c r="X198" s="270">
        <v>-16</v>
      </c>
      <c r="Y198" s="270">
        <v>-5</v>
      </c>
      <c r="Z198" s="45" t="b">
        <v>1</v>
      </c>
      <c r="AA198" s="45" t="s">
        <v>38</v>
      </c>
      <c r="AB198" s="45" t="s">
        <v>38</v>
      </c>
    </row>
    <row r="199" spans="1:28" x14ac:dyDescent="0.2">
      <c r="A199" s="270" t="s">
        <v>145</v>
      </c>
      <c r="B199" s="270" t="s">
        <v>145</v>
      </c>
      <c r="C199" s="277">
        <v>43800</v>
      </c>
      <c r="D199" s="277">
        <v>43830</v>
      </c>
      <c r="E199" s="270" t="s">
        <v>300</v>
      </c>
      <c r="F199" s="96" t="s">
        <v>49</v>
      </c>
      <c r="G199" s="270" t="s">
        <v>69</v>
      </c>
      <c r="H199" s="272" t="s">
        <v>72</v>
      </c>
      <c r="I199" s="273">
        <v>50</v>
      </c>
      <c r="J199" s="270">
        <v>679</v>
      </c>
      <c r="K199" s="270">
        <f t="shared" si="0"/>
        <v>33950</v>
      </c>
      <c r="L199" s="270">
        <v>30677</v>
      </c>
      <c r="M199" s="270">
        <v>1000</v>
      </c>
      <c r="N199" s="274">
        <v>699</v>
      </c>
      <c r="O199" s="55"/>
      <c r="P199" s="45">
        <v>699</v>
      </c>
      <c r="Q199" s="270">
        <v>1065</v>
      </c>
      <c r="R199" s="275">
        <v>4.5770000000000003E-3</v>
      </c>
      <c r="S199" s="270">
        <v>1220</v>
      </c>
      <c r="T199" s="270">
        <v>1919</v>
      </c>
      <c r="U199" s="57">
        <v>1</v>
      </c>
      <c r="V199" s="276">
        <v>0.16880000000000001</v>
      </c>
      <c r="W199" s="276">
        <v>5.6300000000000003E-2</v>
      </c>
      <c r="X199" s="270">
        <v>1487</v>
      </c>
      <c r="Y199" s="270">
        <v>432</v>
      </c>
      <c r="Z199" s="45" t="b">
        <v>1</v>
      </c>
      <c r="AA199" s="45" t="s">
        <v>38</v>
      </c>
      <c r="AB199" s="45" t="s">
        <v>38</v>
      </c>
    </row>
    <row r="200" spans="1:28" x14ac:dyDescent="0.2">
      <c r="A200" s="270" t="s">
        <v>286</v>
      </c>
      <c r="B200" s="270" t="s">
        <v>286</v>
      </c>
      <c r="C200" s="271">
        <v>43820</v>
      </c>
      <c r="D200" s="271">
        <v>43850</v>
      </c>
      <c r="E200" s="270" t="s">
        <v>267</v>
      </c>
      <c r="F200" s="96" t="s">
        <v>34</v>
      </c>
      <c r="G200" s="270" t="s">
        <v>35</v>
      </c>
      <c r="H200" s="110" t="s">
        <v>961</v>
      </c>
      <c r="I200" s="273">
        <v>10</v>
      </c>
      <c r="J200" s="270">
        <v>126</v>
      </c>
      <c r="K200" s="270">
        <f t="shared" si="0"/>
        <v>1260</v>
      </c>
      <c r="L200" s="270">
        <v>-2130</v>
      </c>
      <c r="M200" s="270">
        <v>-350</v>
      </c>
      <c r="N200" s="274">
        <v>2</v>
      </c>
      <c r="O200" s="55"/>
      <c r="P200" s="45">
        <v>2</v>
      </c>
      <c r="Q200" s="270">
        <v>-136</v>
      </c>
      <c r="R200" s="275">
        <v>2.7399999999999998E-3</v>
      </c>
      <c r="S200" s="270">
        <v>-132</v>
      </c>
      <c r="T200" s="270">
        <v>-130</v>
      </c>
      <c r="U200" s="57">
        <v>1</v>
      </c>
      <c r="V200" s="276">
        <v>0.35</v>
      </c>
      <c r="W200" s="276">
        <v>0</v>
      </c>
      <c r="X200" s="270">
        <v>-85</v>
      </c>
      <c r="Y200" s="270">
        <v>-46</v>
      </c>
      <c r="Z200" s="45" t="b">
        <v>1</v>
      </c>
      <c r="AA200" s="45" t="s">
        <v>38</v>
      </c>
      <c r="AB200" s="45" t="s">
        <v>38</v>
      </c>
    </row>
    <row r="201" spans="1:28" x14ac:dyDescent="0.2">
      <c r="A201" s="270" t="s">
        <v>286</v>
      </c>
      <c r="B201" s="270" t="s">
        <v>286</v>
      </c>
      <c r="C201" s="271">
        <v>43820</v>
      </c>
      <c r="D201" s="271">
        <v>43850</v>
      </c>
      <c r="E201" s="270" t="s">
        <v>267</v>
      </c>
      <c r="F201" s="96" t="s">
        <v>34</v>
      </c>
      <c r="G201" s="270" t="s">
        <v>35</v>
      </c>
      <c r="H201" s="272" t="s">
        <v>192</v>
      </c>
      <c r="I201" s="273">
        <v>10</v>
      </c>
      <c r="J201" s="270">
        <v>99</v>
      </c>
      <c r="K201" s="270">
        <f t="shared" si="0"/>
        <v>990</v>
      </c>
      <c r="L201" s="270">
        <v>12568</v>
      </c>
      <c r="M201" s="270">
        <v>60</v>
      </c>
      <c r="N201" s="274">
        <v>2</v>
      </c>
      <c r="O201" s="55"/>
      <c r="P201" s="45">
        <v>2</v>
      </c>
      <c r="Q201" s="270">
        <v>144</v>
      </c>
      <c r="R201" s="275">
        <v>2.7399999999999998E-3</v>
      </c>
      <c r="S201" s="270">
        <v>146</v>
      </c>
      <c r="T201" s="270">
        <v>148</v>
      </c>
      <c r="U201" s="57">
        <v>1</v>
      </c>
      <c r="V201" s="276">
        <v>0.35</v>
      </c>
      <c r="W201" s="276">
        <v>0</v>
      </c>
      <c r="X201" s="270">
        <v>96</v>
      </c>
      <c r="Y201" s="270">
        <v>52</v>
      </c>
      <c r="Z201" s="45" t="b">
        <v>1</v>
      </c>
      <c r="AA201" s="45" t="s">
        <v>38</v>
      </c>
      <c r="AB201" s="45" t="s">
        <v>38</v>
      </c>
    </row>
    <row r="202" spans="1:28" x14ac:dyDescent="0.2">
      <c r="A202" s="270" t="s">
        <v>286</v>
      </c>
      <c r="B202" s="270" t="s">
        <v>286</v>
      </c>
      <c r="C202" s="271">
        <v>43820</v>
      </c>
      <c r="D202" s="271">
        <v>43850</v>
      </c>
      <c r="E202" s="270" t="s">
        <v>267</v>
      </c>
      <c r="F202" s="96" t="s">
        <v>34</v>
      </c>
      <c r="G202" s="270" t="s">
        <v>35</v>
      </c>
      <c r="H202" s="272" t="s">
        <v>962</v>
      </c>
      <c r="I202" s="273">
        <v>25</v>
      </c>
      <c r="J202" s="270">
        <v>542</v>
      </c>
      <c r="K202" s="270">
        <f t="shared" si="0"/>
        <v>13550</v>
      </c>
      <c r="L202" s="270">
        <v>24787</v>
      </c>
      <c r="M202" s="270">
        <v>-625</v>
      </c>
      <c r="N202" s="274">
        <v>16</v>
      </c>
      <c r="O202" s="55"/>
      <c r="P202" s="45">
        <v>16</v>
      </c>
      <c r="Q202" s="270">
        <v>261</v>
      </c>
      <c r="R202" s="275">
        <v>2.7399999999999998E-3</v>
      </c>
      <c r="S202" s="270">
        <v>298</v>
      </c>
      <c r="T202" s="270">
        <v>314</v>
      </c>
      <c r="U202" s="57">
        <v>1</v>
      </c>
      <c r="V202" s="276">
        <v>0.35</v>
      </c>
      <c r="W202" s="276">
        <v>0</v>
      </c>
      <c r="X202" s="270">
        <v>204</v>
      </c>
      <c r="Y202" s="270">
        <v>110</v>
      </c>
      <c r="Z202" s="45" t="b">
        <v>1</v>
      </c>
      <c r="AA202" s="45" t="s">
        <v>38</v>
      </c>
      <c r="AB202" s="45" t="s">
        <v>38</v>
      </c>
    </row>
    <row r="203" spans="1:28" x14ac:dyDescent="0.2">
      <c r="A203" s="270" t="s">
        <v>286</v>
      </c>
      <c r="B203" s="270" t="s">
        <v>286</v>
      </c>
      <c r="C203" s="271">
        <v>43820</v>
      </c>
      <c r="D203" s="271">
        <v>43850</v>
      </c>
      <c r="E203" s="270" t="s">
        <v>267</v>
      </c>
      <c r="F203" s="96" t="s">
        <v>34</v>
      </c>
      <c r="G203" s="270" t="s">
        <v>35</v>
      </c>
      <c r="H203" s="272" t="s">
        <v>965</v>
      </c>
      <c r="I203" s="273">
        <v>25</v>
      </c>
      <c r="J203" s="270">
        <v>113</v>
      </c>
      <c r="K203" s="270">
        <f t="shared" si="0"/>
        <v>2825</v>
      </c>
      <c r="L203" s="270">
        <v>15508</v>
      </c>
      <c r="M203" s="270">
        <v>1000</v>
      </c>
      <c r="N203" s="274">
        <v>4</v>
      </c>
      <c r="O203" s="55"/>
      <c r="P203" s="45">
        <v>4</v>
      </c>
      <c r="Q203" s="270">
        <v>510</v>
      </c>
      <c r="R203" s="275">
        <v>2.7399999999999998E-3</v>
      </c>
      <c r="S203" s="270">
        <v>517</v>
      </c>
      <c r="T203" s="270">
        <v>521</v>
      </c>
      <c r="U203" s="57">
        <v>1</v>
      </c>
      <c r="V203" s="276">
        <v>0.35</v>
      </c>
      <c r="W203" s="276">
        <v>0</v>
      </c>
      <c r="X203" s="270">
        <v>339</v>
      </c>
      <c r="Y203" s="270">
        <v>182</v>
      </c>
      <c r="Z203" s="45" t="b">
        <v>1</v>
      </c>
      <c r="AA203" s="45" t="s">
        <v>38</v>
      </c>
      <c r="AB203" s="45" t="s">
        <v>38</v>
      </c>
    </row>
    <row r="204" spans="1:28" x14ac:dyDescent="0.2">
      <c r="A204" s="270" t="s">
        <v>286</v>
      </c>
      <c r="B204" s="270" t="s">
        <v>286</v>
      </c>
      <c r="C204" s="271">
        <v>43820</v>
      </c>
      <c r="D204" s="271">
        <v>43850</v>
      </c>
      <c r="E204" s="270" t="s">
        <v>267</v>
      </c>
      <c r="F204" s="96" t="s">
        <v>34</v>
      </c>
      <c r="G204" s="270" t="s">
        <v>35</v>
      </c>
      <c r="H204" s="272" t="s">
        <v>963</v>
      </c>
      <c r="I204" s="273">
        <v>50</v>
      </c>
      <c r="J204" s="270">
        <v>201</v>
      </c>
      <c r="K204" s="270">
        <f t="shared" si="0"/>
        <v>10050</v>
      </c>
      <c r="L204" s="270">
        <v>7081</v>
      </c>
      <c r="M204" s="270">
        <v>-500</v>
      </c>
      <c r="N204" s="274">
        <v>12</v>
      </c>
      <c r="O204" s="55"/>
      <c r="P204" s="45">
        <v>12</v>
      </c>
      <c r="Q204" s="270">
        <v>-3</v>
      </c>
      <c r="R204" s="275">
        <v>2.7399999999999998E-3</v>
      </c>
      <c r="S204" s="270">
        <v>24</v>
      </c>
      <c r="T204" s="270">
        <v>36</v>
      </c>
      <c r="U204" s="57">
        <v>1</v>
      </c>
      <c r="V204" s="276">
        <v>0.35</v>
      </c>
      <c r="W204" s="276">
        <v>0</v>
      </c>
      <c r="X204" s="270">
        <v>24</v>
      </c>
      <c r="Y204" s="270">
        <v>13</v>
      </c>
      <c r="Z204" s="45" t="b">
        <v>1</v>
      </c>
      <c r="AA204" s="45" t="s">
        <v>38</v>
      </c>
      <c r="AB204" s="45" t="s">
        <v>38</v>
      </c>
    </row>
    <row r="205" spans="1:28" x14ac:dyDescent="0.2">
      <c r="A205" s="270" t="s">
        <v>82</v>
      </c>
      <c r="B205" s="270" t="s">
        <v>82</v>
      </c>
      <c r="C205" s="278">
        <v>43820</v>
      </c>
      <c r="D205" s="277">
        <v>43850</v>
      </c>
      <c r="E205" s="270" t="s">
        <v>300</v>
      </c>
      <c r="F205" s="96" t="s">
        <v>34</v>
      </c>
      <c r="G205" s="270" t="s">
        <v>35</v>
      </c>
      <c r="H205" s="272" t="s">
        <v>192</v>
      </c>
      <c r="I205" s="273">
        <v>10</v>
      </c>
      <c r="J205" s="270">
        <v>60</v>
      </c>
      <c r="K205" s="270">
        <f t="shared" si="0"/>
        <v>600</v>
      </c>
      <c r="L205" s="270">
        <v>2690</v>
      </c>
      <c r="M205" s="270">
        <v>80</v>
      </c>
      <c r="N205" s="274">
        <v>1</v>
      </c>
      <c r="O205" s="55"/>
      <c r="P205" s="45">
        <v>1</v>
      </c>
      <c r="Q205" s="270">
        <v>-1</v>
      </c>
      <c r="R205" s="275">
        <v>2.7399999999999998E-3</v>
      </c>
      <c r="S205" s="270">
        <v>0</v>
      </c>
      <c r="T205" s="270">
        <v>1</v>
      </c>
      <c r="U205" s="57">
        <v>1</v>
      </c>
      <c r="V205" s="276">
        <v>0.25</v>
      </c>
      <c r="W205" s="276">
        <v>0.1</v>
      </c>
      <c r="X205" s="270">
        <v>1</v>
      </c>
      <c r="Y205" s="270">
        <v>1</v>
      </c>
      <c r="Z205" s="45" t="b">
        <v>1</v>
      </c>
      <c r="AA205" s="45" t="s">
        <v>38</v>
      </c>
      <c r="AB205" s="45" t="s">
        <v>38</v>
      </c>
    </row>
    <row r="206" spans="1:28" x14ac:dyDescent="0.2">
      <c r="A206" s="270" t="s">
        <v>82</v>
      </c>
      <c r="B206" s="270" t="s">
        <v>82</v>
      </c>
      <c r="C206" s="278">
        <v>43820</v>
      </c>
      <c r="D206" s="277">
        <v>43850</v>
      </c>
      <c r="E206" s="270" t="s">
        <v>300</v>
      </c>
      <c r="F206" s="96" t="s">
        <v>34</v>
      </c>
      <c r="G206" s="270" t="s">
        <v>35</v>
      </c>
      <c r="H206" s="272" t="s">
        <v>962</v>
      </c>
      <c r="I206" s="273">
        <v>25</v>
      </c>
      <c r="J206" s="270">
        <v>904</v>
      </c>
      <c r="K206" s="270">
        <f t="shared" si="0"/>
        <v>22600</v>
      </c>
      <c r="L206" s="270">
        <v>8660</v>
      </c>
      <c r="M206" s="270">
        <v>-775</v>
      </c>
      <c r="N206" s="274">
        <v>27</v>
      </c>
      <c r="O206" s="55"/>
      <c r="P206" s="45">
        <v>27</v>
      </c>
      <c r="Q206" s="270">
        <v>-1042</v>
      </c>
      <c r="R206" s="275">
        <v>2.7399999999999998E-3</v>
      </c>
      <c r="S206" s="270">
        <v>-980</v>
      </c>
      <c r="T206" s="270">
        <v>-953</v>
      </c>
      <c r="U206" s="57">
        <v>1</v>
      </c>
      <c r="V206" s="276">
        <v>0.25</v>
      </c>
      <c r="W206" s="276">
        <v>0.1</v>
      </c>
      <c r="X206" s="270">
        <v>-619</v>
      </c>
      <c r="Y206" s="270">
        <v>-333</v>
      </c>
      <c r="Z206" s="45" t="b">
        <v>1</v>
      </c>
      <c r="AA206" s="45" t="s">
        <v>38</v>
      </c>
      <c r="AB206" s="45" t="s">
        <v>38</v>
      </c>
    </row>
    <row r="207" spans="1:28" x14ac:dyDescent="0.2">
      <c r="A207" s="270" t="s">
        <v>82</v>
      </c>
      <c r="B207" s="270" t="s">
        <v>82</v>
      </c>
      <c r="C207" s="278">
        <v>43820</v>
      </c>
      <c r="D207" s="277">
        <v>43850</v>
      </c>
      <c r="E207" s="270" t="s">
        <v>300</v>
      </c>
      <c r="F207" s="96" t="s">
        <v>34</v>
      </c>
      <c r="G207" s="270" t="s">
        <v>35</v>
      </c>
      <c r="H207" s="272" t="s">
        <v>965</v>
      </c>
      <c r="I207" s="273">
        <v>25</v>
      </c>
      <c r="J207" s="270">
        <v>326</v>
      </c>
      <c r="K207" s="270">
        <f t="shared" si="0"/>
        <v>8150</v>
      </c>
      <c r="L207" s="270">
        <v>6286</v>
      </c>
      <c r="M207" s="270">
        <v>675</v>
      </c>
      <c r="N207" s="274">
        <v>11</v>
      </c>
      <c r="O207" s="55"/>
      <c r="P207" s="45">
        <v>11</v>
      </c>
      <c r="Q207" s="270">
        <v>-292</v>
      </c>
      <c r="R207" s="275">
        <v>2.7399999999999998E-3</v>
      </c>
      <c r="S207" s="270">
        <v>-270</v>
      </c>
      <c r="T207" s="270">
        <v>-259</v>
      </c>
      <c r="U207" s="57">
        <v>1</v>
      </c>
      <c r="V207" s="276">
        <v>0.25</v>
      </c>
      <c r="W207" s="276">
        <v>0.1</v>
      </c>
      <c r="X207" s="270">
        <v>-168</v>
      </c>
      <c r="Y207" s="270">
        <v>-91</v>
      </c>
      <c r="Z207" s="45" t="b">
        <v>1</v>
      </c>
      <c r="AA207" s="45" t="s">
        <v>38</v>
      </c>
      <c r="AB207" s="45" t="s">
        <v>38</v>
      </c>
    </row>
    <row r="208" spans="1:28" x14ac:dyDescent="0.2">
      <c r="A208" s="270" t="s">
        <v>82</v>
      </c>
      <c r="B208" s="270" t="s">
        <v>82</v>
      </c>
      <c r="C208" s="278">
        <v>43820</v>
      </c>
      <c r="D208" s="277">
        <v>43850</v>
      </c>
      <c r="E208" s="270" t="s">
        <v>300</v>
      </c>
      <c r="F208" s="96" t="s">
        <v>34</v>
      </c>
      <c r="G208" s="270" t="s">
        <v>35</v>
      </c>
      <c r="H208" s="272" t="s">
        <v>963</v>
      </c>
      <c r="I208" s="273">
        <v>50</v>
      </c>
      <c r="J208" s="270">
        <v>1983</v>
      </c>
      <c r="K208" s="270">
        <f t="shared" si="0"/>
        <v>99150</v>
      </c>
      <c r="L208" s="270">
        <v>82174</v>
      </c>
      <c r="M208" s="270">
        <v>10650</v>
      </c>
      <c r="N208" s="274">
        <v>119</v>
      </c>
      <c r="O208" s="55"/>
      <c r="P208" s="45">
        <v>119</v>
      </c>
      <c r="Q208" s="270">
        <v>1335</v>
      </c>
      <c r="R208" s="275">
        <v>2.7399999999999998E-3</v>
      </c>
      <c r="S208" s="270">
        <v>1606</v>
      </c>
      <c r="T208" s="270">
        <v>1725</v>
      </c>
      <c r="U208" s="57">
        <v>1</v>
      </c>
      <c r="V208" s="276">
        <v>0.25</v>
      </c>
      <c r="W208" s="276">
        <v>0.1</v>
      </c>
      <c r="X208" s="270">
        <v>1122</v>
      </c>
      <c r="Y208" s="270">
        <v>604</v>
      </c>
      <c r="Z208" s="45" t="b">
        <v>1</v>
      </c>
      <c r="AA208" s="45" t="s">
        <v>38</v>
      </c>
      <c r="AB208" s="45" t="s">
        <v>38</v>
      </c>
    </row>
    <row r="209" spans="1:28" x14ac:dyDescent="0.2">
      <c r="A209" s="270" t="s">
        <v>82</v>
      </c>
      <c r="B209" s="270" t="s">
        <v>82</v>
      </c>
      <c r="C209" s="278">
        <v>43820</v>
      </c>
      <c r="D209" s="277">
        <v>43850</v>
      </c>
      <c r="E209" s="270" t="s">
        <v>300</v>
      </c>
      <c r="F209" s="96" t="s">
        <v>34</v>
      </c>
      <c r="G209" s="270" t="s">
        <v>35</v>
      </c>
      <c r="H209" s="272" t="s">
        <v>964</v>
      </c>
      <c r="I209" s="273">
        <v>50</v>
      </c>
      <c r="J209" s="270">
        <v>162</v>
      </c>
      <c r="K209" s="270">
        <f t="shared" si="0"/>
        <v>8100</v>
      </c>
      <c r="L209" s="270">
        <v>2756</v>
      </c>
      <c r="M209" s="270">
        <v>-50</v>
      </c>
      <c r="N209" s="274">
        <v>11</v>
      </c>
      <c r="O209" s="55"/>
      <c r="P209" s="45">
        <v>11</v>
      </c>
      <c r="Q209" s="270">
        <v>-318</v>
      </c>
      <c r="R209" s="275">
        <v>2.7399999999999998E-3</v>
      </c>
      <c r="S209" s="270">
        <v>-296</v>
      </c>
      <c r="T209" s="270">
        <v>-285</v>
      </c>
      <c r="U209" s="57">
        <v>1</v>
      </c>
      <c r="V209" s="276">
        <v>0.25</v>
      </c>
      <c r="W209" s="276">
        <v>0.1</v>
      </c>
      <c r="X209" s="270">
        <v>-185</v>
      </c>
      <c r="Y209" s="270">
        <v>-100</v>
      </c>
      <c r="Z209" s="45" t="b">
        <v>1</v>
      </c>
      <c r="AA209" s="45" t="s">
        <v>38</v>
      </c>
      <c r="AB209" s="45" t="s">
        <v>38</v>
      </c>
    </row>
    <row r="210" spans="1:28" x14ac:dyDescent="0.2">
      <c r="A210" s="270" t="s">
        <v>102</v>
      </c>
      <c r="B210" s="270" t="s">
        <v>102</v>
      </c>
      <c r="C210" s="278">
        <v>43820</v>
      </c>
      <c r="D210" s="277">
        <v>43850</v>
      </c>
      <c r="E210" s="270" t="s">
        <v>267</v>
      </c>
      <c r="F210" s="96" t="s">
        <v>34</v>
      </c>
      <c r="G210" s="270" t="s">
        <v>35</v>
      </c>
      <c r="H210" s="272" t="s">
        <v>951</v>
      </c>
      <c r="I210" s="273">
        <v>100</v>
      </c>
      <c r="J210" s="270">
        <v>806</v>
      </c>
      <c r="K210" s="270">
        <f t="shared" si="0"/>
        <v>80600</v>
      </c>
      <c r="L210" s="270">
        <v>8199</v>
      </c>
      <c r="M210" s="270">
        <v>-7900</v>
      </c>
      <c r="N210" s="274">
        <v>81</v>
      </c>
      <c r="O210" s="55"/>
      <c r="P210" s="45">
        <v>81</v>
      </c>
      <c r="Q210" s="270">
        <v>-2783</v>
      </c>
      <c r="R210" s="275">
        <v>2.7399999999999998E-3</v>
      </c>
      <c r="S210" s="270">
        <v>-2563</v>
      </c>
      <c r="T210" s="270">
        <v>-2482</v>
      </c>
      <c r="U210" s="57">
        <v>1</v>
      </c>
      <c r="V210" s="276">
        <v>0.35</v>
      </c>
      <c r="W210" s="276">
        <v>0</v>
      </c>
      <c r="X210" s="270">
        <v>-1613</v>
      </c>
      <c r="Y210" s="270">
        <v>-869</v>
      </c>
      <c r="Z210" s="45" t="b">
        <v>1</v>
      </c>
      <c r="AA210" s="45" t="s">
        <v>38</v>
      </c>
      <c r="AB210" s="45" t="s">
        <v>38</v>
      </c>
    </row>
    <row r="211" spans="1:28" x14ac:dyDescent="0.2">
      <c r="A211" s="270" t="s">
        <v>102</v>
      </c>
      <c r="B211" s="270" t="s">
        <v>102</v>
      </c>
      <c r="C211" s="278">
        <v>43820</v>
      </c>
      <c r="D211" s="277">
        <v>43850</v>
      </c>
      <c r="E211" s="270" t="s">
        <v>267</v>
      </c>
      <c r="F211" s="96" t="s">
        <v>34</v>
      </c>
      <c r="G211" s="270" t="s">
        <v>35</v>
      </c>
      <c r="H211" s="272" t="s">
        <v>963</v>
      </c>
      <c r="I211" s="273">
        <v>50</v>
      </c>
      <c r="J211" s="270">
        <v>2332</v>
      </c>
      <c r="K211" s="270">
        <f t="shared" si="0"/>
        <v>116600</v>
      </c>
      <c r="L211" s="270">
        <v>73410</v>
      </c>
      <c r="M211" s="270">
        <v>-450</v>
      </c>
      <c r="N211" s="274">
        <v>140</v>
      </c>
      <c r="O211" s="55"/>
      <c r="P211" s="45">
        <v>140</v>
      </c>
      <c r="Q211" s="270">
        <v>-401</v>
      </c>
      <c r="R211" s="275">
        <v>2.7399999999999998E-3</v>
      </c>
      <c r="S211" s="270">
        <v>-82</v>
      </c>
      <c r="T211" s="270">
        <v>58</v>
      </c>
      <c r="U211" s="57">
        <v>1</v>
      </c>
      <c r="V211" s="276">
        <v>0.35</v>
      </c>
      <c r="W211" s="276">
        <v>0</v>
      </c>
      <c r="X211" s="270">
        <v>38</v>
      </c>
      <c r="Y211" s="270">
        <v>20</v>
      </c>
      <c r="Z211" s="45" t="b">
        <v>1</v>
      </c>
      <c r="AA211" s="45" t="s">
        <v>38</v>
      </c>
      <c r="AB211" s="45" t="s">
        <v>38</v>
      </c>
    </row>
    <row r="212" spans="1:28" x14ac:dyDescent="0.2">
      <c r="A212" s="270" t="s">
        <v>102</v>
      </c>
      <c r="B212" s="270" t="s">
        <v>102</v>
      </c>
      <c r="C212" s="278">
        <v>43820</v>
      </c>
      <c r="D212" s="277">
        <v>43850</v>
      </c>
      <c r="E212" s="270" t="s">
        <v>267</v>
      </c>
      <c r="F212" s="96" t="s">
        <v>34</v>
      </c>
      <c r="G212" s="270" t="s">
        <v>35</v>
      </c>
      <c r="H212" s="272" t="s">
        <v>962</v>
      </c>
      <c r="I212" s="273">
        <v>25</v>
      </c>
      <c r="J212" s="270">
        <v>38</v>
      </c>
      <c r="K212" s="270">
        <f t="shared" si="0"/>
        <v>950</v>
      </c>
      <c r="L212" s="270">
        <v>4328</v>
      </c>
      <c r="M212" s="270">
        <v>50</v>
      </c>
      <c r="N212" s="274">
        <v>1</v>
      </c>
      <c r="O212" s="55"/>
      <c r="P212" s="45">
        <v>1</v>
      </c>
      <c r="Q212" s="270">
        <v>149</v>
      </c>
      <c r="R212" s="275">
        <v>2.7399999999999998E-3</v>
      </c>
      <c r="S212" s="270">
        <v>152</v>
      </c>
      <c r="T212" s="270">
        <v>153</v>
      </c>
      <c r="U212" s="57">
        <v>1</v>
      </c>
      <c r="V212" s="276">
        <v>0.35</v>
      </c>
      <c r="W212" s="276">
        <v>0</v>
      </c>
      <c r="X212" s="270">
        <v>99</v>
      </c>
      <c r="Y212" s="270">
        <v>54</v>
      </c>
      <c r="Z212" s="45" t="b">
        <v>1</v>
      </c>
      <c r="AA212" s="45" t="s">
        <v>38</v>
      </c>
      <c r="AB212" s="45" t="s">
        <v>38</v>
      </c>
    </row>
    <row r="213" spans="1:28" x14ac:dyDescent="0.2">
      <c r="A213" s="270" t="s">
        <v>206</v>
      </c>
      <c r="B213" s="270" t="s">
        <v>939</v>
      </c>
      <c r="C213" s="277">
        <v>43820</v>
      </c>
      <c r="D213" s="277">
        <v>43850</v>
      </c>
      <c r="E213" s="270" t="s">
        <v>267</v>
      </c>
      <c r="F213" s="96" t="s">
        <v>34</v>
      </c>
      <c r="G213" s="270" t="s">
        <v>165</v>
      </c>
      <c r="H213" s="272" t="s">
        <v>93</v>
      </c>
      <c r="I213" s="273">
        <v>25</v>
      </c>
      <c r="J213" s="270">
        <v>345</v>
      </c>
      <c r="K213" s="270">
        <f t="shared" si="0"/>
        <v>8625</v>
      </c>
      <c r="L213" s="270">
        <v>27802</v>
      </c>
      <c r="M213" s="270">
        <v>300</v>
      </c>
      <c r="N213" s="274">
        <v>0</v>
      </c>
      <c r="O213" s="55"/>
      <c r="P213" s="45">
        <v>0</v>
      </c>
      <c r="Q213" s="270">
        <v>634</v>
      </c>
      <c r="R213" s="275">
        <v>2.7399999999999998E-3</v>
      </c>
      <c r="S213" s="270">
        <v>658</v>
      </c>
      <c r="T213" s="270">
        <v>658</v>
      </c>
      <c r="U213" s="57">
        <v>1.1100000000000001</v>
      </c>
      <c r="V213" s="276">
        <v>0.3</v>
      </c>
      <c r="W213" s="276">
        <v>0</v>
      </c>
      <c r="X213" s="270">
        <v>511</v>
      </c>
      <c r="Y213" s="270">
        <v>219</v>
      </c>
      <c r="Z213" s="45" t="b">
        <v>1</v>
      </c>
      <c r="AA213" s="45" t="s">
        <v>38</v>
      </c>
      <c r="AB213" s="45" t="s">
        <v>50</v>
      </c>
    </row>
    <row r="214" spans="1:28" x14ac:dyDescent="0.2">
      <c r="A214" s="270" t="s">
        <v>206</v>
      </c>
      <c r="B214" s="270" t="s">
        <v>206</v>
      </c>
      <c r="C214" s="278">
        <v>43820</v>
      </c>
      <c r="D214" s="277">
        <v>43850</v>
      </c>
      <c r="E214" s="270" t="s">
        <v>267</v>
      </c>
      <c r="F214" s="96" t="s">
        <v>34</v>
      </c>
      <c r="G214" s="270" t="s">
        <v>35</v>
      </c>
      <c r="H214" s="110" t="s">
        <v>961</v>
      </c>
      <c r="I214" s="273">
        <v>10</v>
      </c>
      <c r="J214" s="270">
        <v>6</v>
      </c>
      <c r="K214" s="270">
        <f t="shared" si="0"/>
        <v>60</v>
      </c>
      <c r="L214" s="270">
        <v>-876</v>
      </c>
      <c r="M214" s="270">
        <v>-40</v>
      </c>
      <c r="N214" s="274">
        <v>0</v>
      </c>
      <c r="O214" s="55"/>
      <c r="P214" s="45">
        <v>0</v>
      </c>
      <c r="Q214" s="270">
        <v>-21</v>
      </c>
      <c r="R214" s="275">
        <v>2.7399999999999998E-3</v>
      </c>
      <c r="S214" s="270">
        <v>-21</v>
      </c>
      <c r="T214" s="270">
        <v>-21</v>
      </c>
      <c r="U214" s="57">
        <v>1</v>
      </c>
      <c r="V214" s="276">
        <v>0.3</v>
      </c>
      <c r="W214" s="276">
        <v>0</v>
      </c>
      <c r="X214" s="270">
        <v>-14</v>
      </c>
      <c r="Y214" s="270">
        <v>-6</v>
      </c>
      <c r="Z214" s="45" t="b">
        <v>1</v>
      </c>
      <c r="AA214" s="45" t="s">
        <v>38</v>
      </c>
      <c r="AB214" s="45" t="s">
        <v>38</v>
      </c>
    </row>
    <row r="215" spans="1:28" x14ac:dyDescent="0.2">
      <c r="A215" s="270" t="s">
        <v>206</v>
      </c>
      <c r="B215" s="270" t="s">
        <v>206</v>
      </c>
      <c r="C215" s="278">
        <v>43820</v>
      </c>
      <c r="D215" s="277">
        <v>43850</v>
      </c>
      <c r="E215" s="270" t="s">
        <v>267</v>
      </c>
      <c r="F215" s="96" t="s">
        <v>34</v>
      </c>
      <c r="G215" s="270" t="s">
        <v>35</v>
      </c>
      <c r="H215" s="272" t="s">
        <v>962</v>
      </c>
      <c r="I215" s="273">
        <v>25</v>
      </c>
      <c r="J215" s="270">
        <v>1048</v>
      </c>
      <c r="K215" s="270">
        <f t="shared" si="0"/>
        <v>26200</v>
      </c>
      <c r="L215" s="270">
        <v>42595</v>
      </c>
      <c r="M215" s="270">
        <v>50</v>
      </c>
      <c r="N215" s="274">
        <v>0</v>
      </c>
      <c r="O215" s="55"/>
      <c r="P215" s="45">
        <v>0</v>
      </c>
      <c r="Q215" s="270">
        <v>252</v>
      </c>
      <c r="R215" s="275">
        <v>2.7399999999999998E-3</v>
      </c>
      <c r="S215" s="270">
        <v>324</v>
      </c>
      <c r="T215" s="270">
        <v>324</v>
      </c>
      <c r="U215" s="57">
        <v>1</v>
      </c>
      <c r="V215" s="276">
        <v>0.3</v>
      </c>
      <c r="W215" s="276">
        <v>0</v>
      </c>
      <c r="X215" s="270">
        <v>227</v>
      </c>
      <c r="Y215" s="270">
        <v>97</v>
      </c>
      <c r="Z215" s="45" t="b">
        <v>1</v>
      </c>
      <c r="AA215" s="45" t="s">
        <v>38</v>
      </c>
      <c r="AB215" s="45" t="s">
        <v>38</v>
      </c>
    </row>
    <row r="216" spans="1:28" x14ac:dyDescent="0.2">
      <c r="A216" s="270" t="s">
        <v>206</v>
      </c>
      <c r="B216" s="270" t="s">
        <v>206</v>
      </c>
      <c r="C216" s="278">
        <v>43820</v>
      </c>
      <c r="D216" s="277">
        <v>43850</v>
      </c>
      <c r="E216" s="270" t="s">
        <v>267</v>
      </c>
      <c r="F216" s="96" t="s">
        <v>34</v>
      </c>
      <c r="G216" s="270" t="s">
        <v>35</v>
      </c>
      <c r="H216" s="272" t="s">
        <v>965</v>
      </c>
      <c r="I216" s="273">
        <v>25</v>
      </c>
      <c r="J216" s="270">
        <v>457</v>
      </c>
      <c r="K216" s="270">
        <f t="shared" si="0"/>
        <v>11425</v>
      </c>
      <c r="L216" s="270">
        <v>14105</v>
      </c>
      <c r="M216" s="270">
        <v>-250</v>
      </c>
      <c r="N216" s="274">
        <v>0</v>
      </c>
      <c r="O216" s="55"/>
      <c r="P216" s="45">
        <v>0</v>
      </c>
      <c r="Q216" s="270">
        <v>-180</v>
      </c>
      <c r="R216" s="275">
        <v>2.7399999999999998E-3</v>
      </c>
      <c r="S216" s="270">
        <v>-149</v>
      </c>
      <c r="T216" s="270">
        <v>-149</v>
      </c>
      <c r="U216" s="57">
        <v>1</v>
      </c>
      <c r="V216" s="276">
        <v>0.3</v>
      </c>
      <c r="W216" s="276">
        <v>0</v>
      </c>
      <c r="X216" s="270">
        <v>-104</v>
      </c>
      <c r="Y216" s="270">
        <v>-45</v>
      </c>
      <c r="Z216" s="45" t="b">
        <v>1</v>
      </c>
      <c r="AA216" s="45" t="s">
        <v>38</v>
      </c>
      <c r="AB216" s="45" t="s">
        <v>38</v>
      </c>
    </row>
    <row r="217" spans="1:28" x14ac:dyDescent="0.2">
      <c r="A217" s="270" t="s">
        <v>145</v>
      </c>
      <c r="B217" s="270" t="s">
        <v>145</v>
      </c>
      <c r="C217" s="278">
        <v>43822</v>
      </c>
      <c r="D217" s="277">
        <v>43861</v>
      </c>
      <c r="E217" s="270" t="s">
        <v>300</v>
      </c>
      <c r="F217" s="96" t="s">
        <v>49</v>
      </c>
      <c r="G217" s="270" t="s">
        <v>35</v>
      </c>
      <c r="H217" s="272" t="s">
        <v>951</v>
      </c>
      <c r="I217" s="273">
        <v>100</v>
      </c>
      <c r="J217" s="270">
        <v>3111</v>
      </c>
      <c r="K217" s="270">
        <f t="shared" si="0"/>
        <v>311100</v>
      </c>
      <c r="L217" s="270">
        <v>77678</v>
      </c>
      <c r="M217" s="270">
        <v>-2700</v>
      </c>
      <c r="N217" s="274">
        <v>311</v>
      </c>
      <c r="O217" s="55"/>
      <c r="P217" s="45">
        <v>311</v>
      </c>
      <c r="Q217" s="270">
        <v>-2118</v>
      </c>
      <c r="R217" s="275">
        <v>4.3229999999999996E-3</v>
      </c>
      <c r="S217" s="270">
        <v>-773</v>
      </c>
      <c r="T217" s="270">
        <v>-462</v>
      </c>
      <c r="U217" s="57">
        <v>1</v>
      </c>
      <c r="V217" s="276">
        <v>0.16880000000000001</v>
      </c>
      <c r="W217" s="276">
        <v>5.6300000000000003E-2</v>
      </c>
      <c r="X217" s="270">
        <v>-358</v>
      </c>
      <c r="Y217" s="270">
        <v>-104</v>
      </c>
      <c r="Z217" s="45" t="b">
        <v>1</v>
      </c>
      <c r="AA217" s="45" t="s">
        <v>38</v>
      </c>
      <c r="AB217" s="45" t="s">
        <v>38</v>
      </c>
    </row>
    <row r="218" spans="1:28" x14ac:dyDescent="0.2">
      <c r="A218" s="270" t="s">
        <v>447</v>
      </c>
      <c r="B218" s="270" t="s">
        <v>910</v>
      </c>
      <c r="C218" s="277">
        <v>43822</v>
      </c>
      <c r="D218" s="277">
        <v>43861</v>
      </c>
      <c r="E218" s="270" t="s">
        <v>267</v>
      </c>
      <c r="F218" s="96" t="s">
        <v>49</v>
      </c>
      <c r="G218" s="270" t="s">
        <v>61</v>
      </c>
      <c r="H218" s="272" t="s">
        <v>63</v>
      </c>
      <c r="I218" s="273">
        <v>10</v>
      </c>
      <c r="J218" s="270">
        <v>3140</v>
      </c>
      <c r="K218" s="270">
        <f t="shared" si="0"/>
        <v>31400</v>
      </c>
      <c r="L218" s="270">
        <v>217287</v>
      </c>
      <c r="M218" s="270">
        <v>1050</v>
      </c>
      <c r="N218" s="274">
        <v>705</v>
      </c>
      <c r="O218" s="55"/>
      <c r="P218" s="45">
        <v>705</v>
      </c>
      <c r="Q218" s="270">
        <v>1167</v>
      </c>
      <c r="R218" s="275">
        <v>4.5100000000000001E-3</v>
      </c>
      <c r="S218" s="270">
        <v>1309</v>
      </c>
      <c r="T218" s="270">
        <v>2014</v>
      </c>
      <c r="U218" s="57">
        <v>1</v>
      </c>
      <c r="V218" s="276">
        <v>0.3</v>
      </c>
      <c r="W218" s="276">
        <v>0</v>
      </c>
      <c r="X218" s="270">
        <v>1410</v>
      </c>
      <c r="Y218" s="270">
        <v>604</v>
      </c>
      <c r="Z218" s="45" t="b">
        <v>1</v>
      </c>
      <c r="AA218" s="45" t="s">
        <v>50</v>
      </c>
      <c r="AB218" s="45" t="s">
        <v>50</v>
      </c>
    </row>
    <row r="219" spans="1:28" x14ac:dyDescent="0.2">
      <c r="A219" s="270" t="s">
        <v>508</v>
      </c>
      <c r="B219" s="270" t="s">
        <v>508</v>
      </c>
      <c r="C219" s="278">
        <v>43822</v>
      </c>
      <c r="D219" s="277">
        <v>43861</v>
      </c>
      <c r="E219" s="270" t="s">
        <v>267</v>
      </c>
      <c r="F219" s="96" t="s">
        <v>49</v>
      </c>
      <c r="G219" s="270" t="s">
        <v>35</v>
      </c>
      <c r="H219" s="272" t="s">
        <v>962</v>
      </c>
      <c r="I219" s="273">
        <v>25</v>
      </c>
      <c r="J219" s="270">
        <v>2556</v>
      </c>
      <c r="K219" s="270">
        <f t="shared" si="0"/>
        <v>63900</v>
      </c>
      <c r="L219" s="270">
        <v>144127</v>
      </c>
      <c r="M219" s="270">
        <v>1150</v>
      </c>
      <c r="N219" s="274">
        <v>77</v>
      </c>
      <c r="O219" s="55"/>
      <c r="P219" s="45">
        <v>77</v>
      </c>
      <c r="Q219" s="270">
        <v>2457</v>
      </c>
      <c r="R219" s="275">
        <v>4.5230000000000001E-3</v>
      </c>
      <c r="S219" s="270">
        <v>2746</v>
      </c>
      <c r="T219" s="270">
        <v>2823</v>
      </c>
      <c r="U219" s="57">
        <v>1</v>
      </c>
      <c r="V219" s="276">
        <v>0.23</v>
      </c>
      <c r="W219" s="276">
        <v>0</v>
      </c>
      <c r="X219" s="270">
        <v>2174</v>
      </c>
      <c r="Y219" s="270">
        <v>649</v>
      </c>
      <c r="Z219" s="45" t="b">
        <v>1</v>
      </c>
      <c r="AA219" s="45" t="s">
        <v>38</v>
      </c>
      <c r="AB219" s="45" t="s">
        <v>38</v>
      </c>
    </row>
    <row r="220" spans="1:28" x14ac:dyDescent="0.2">
      <c r="A220" s="270" t="s">
        <v>152</v>
      </c>
      <c r="B220" s="270" t="s">
        <v>152</v>
      </c>
      <c r="C220" s="277">
        <v>43831</v>
      </c>
      <c r="D220" s="277">
        <v>43871</v>
      </c>
      <c r="E220" s="270" t="s">
        <v>880</v>
      </c>
      <c r="F220" s="96" t="s">
        <v>41</v>
      </c>
      <c r="G220" s="270" t="s">
        <v>35</v>
      </c>
      <c r="H220" s="272" t="s">
        <v>951</v>
      </c>
      <c r="I220" s="273">
        <v>100</v>
      </c>
      <c r="J220" s="270">
        <v>2552</v>
      </c>
      <c r="K220" s="270">
        <f t="shared" si="0"/>
        <v>255200</v>
      </c>
      <c r="L220" s="270">
        <v>122000</v>
      </c>
      <c r="M220" s="270">
        <v>10000</v>
      </c>
      <c r="N220" s="274">
        <v>0</v>
      </c>
      <c r="O220" s="55"/>
      <c r="P220" s="45">
        <v>0</v>
      </c>
      <c r="Q220" s="270">
        <v>9269</v>
      </c>
      <c r="R220" s="275">
        <v>0</v>
      </c>
      <c r="S220" s="270">
        <v>9269</v>
      </c>
      <c r="T220" s="270">
        <v>10000</v>
      </c>
      <c r="U220" s="57">
        <v>1</v>
      </c>
      <c r="V220" s="276">
        <v>0</v>
      </c>
      <c r="W220" s="276">
        <v>0.12</v>
      </c>
      <c r="X220" s="270">
        <v>8800</v>
      </c>
      <c r="Y220" s="270">
        <v>1200</v>
      </c>
      <c r="Z220" s="45" t="b">
        <v>1</v>
      </c>
      <c r="AA220" s="45" t="s">
        <v>38</v>
      </c>
      <c r="AB220" s="45" t="s">
        <v>38</v>
      </c>
    </row>
    <row r="221" spans="1:28" x14ac:dyDescent="0.2">
      <c r="A221" s="270" t="s">
        <v>286</v>
      </c>
      <c r="B221" s="270" t="s">
        <v>286</v>
      </c>
      <c r="C221" s="271">
        <v>43851</v>
      </c>
      <c r="D221" s="271">
        <v>43881</v>
      </c>
      <c r="E221" s="270" t="s">
        <v>267</v>
      </c>
      <c r="F221" s="96" t="s">
        <v>34</v>
      </c>
      <c r="G221" s="270" t="s">
        <v>35</v>
      </c>
      <c r="H221" s="110" t="s">
        <v>961</v>
      </c>
      <c r="I221" s="273">
        <v>10</v>
      </c>
      <c r="J221" s="270">
        <v>233</v>
      </c>
      <c r="K221" s="270">
        <f t="shared" si="0"/>
        <v>2330</v>
      </c>
      <c r="L221" s="270">
        <v>15021</v>
      </c>
      <c r="M221" s="270">
        <v>-40</v>
      </c>
      <c r="N221" s="274">
        <v>3</v>
      </c>
      <c r="O221" s="55"/>
      <c r="P221" s="45">
        <v>3</v>
      </c>
      <c r="Q221" s="270">
        <v>103</v>
      </c>
      <c r="R221" s="275">
        <v>1.6900000000000001E-3</v>
      </c>
      <c r="S221" s="270">
        <v>107</v>
      </c>
      <c r="T221" s="270">
        <v>110</v>
      </c>
      <c r="U221" s="57">
        <v>1</v>
      </c>
      <c r="V221" s="276">
        <v>0.35</v>
      </c>
      <c r="W221" s="276">
        <v>0</v>
      </c>
      <c r="X221" s="270">
        <v>72</v>
      </c>
      <c r="Y221" s="270">
        <v>39</v>
      </c>
      <c r="Z221" s="45" t="b">
        <v>1</v>
      </c>
      <c r="AA221" s="45" t="s">
        <v>38</v>
      </c>
      <c r="AB221" s="45" t="s">
        <v>38</v>
      </c>
    </row>
    <row r="222" spans="1:28" x14ac:dyDescent="0.2">
      <c r="A222" s="270" t="s">
        <v>286</v>
      </c>
      <c r="B222" s="270" t="s">
        <v>286</v>
      </c>
      <c r="C222" s="271">
        <v>43851</v>
      </c>
      <c r="D222" s="271">
        <v>43881</v>
      </c>
      <c r="E222" s="270" t="s">
        <v>267</v>
      </c>
      <c r="F222" s="96" t="s">
        <v>34</v>
      </c>
      <c r="G222" s="270" t="s">
        <v>35</v>
      </c>
      <c r="H222" s="272" t="s">
        <v>192</v>
      </c>
      <c r="I222" s="273">
        <v>10</v>
      </c>
      <c r="J222" s="270">
        <v>94</v>
      </c>
      <c r="K222" s="270">
        <f t="shared" si="0"/>
        <v>940</v>
      </c>
      <c r="L222" s="270">
        <v>7779</v>
      </c>
      <c r="M222" s="270">
        <v>-20</v>
      </c>
      <c r="N222" s="274">
        <v>2</v>
      </c>
      <c r="O222" s="55"/>
      <c r="P222" s="45">
        <v>2</v>
      </c>
      <c r="Q222" s="270">
        <v>63</v>
      </c>
      <c r="R222" s="275">
        <v>1.6900000000000001E-3</v>
      </c>
      <c r="S222" s="270">
        <v>65</v>
      </c>
      <c r="T222" s="270">
        <v>67</v>
      </c>
      <c r="U222" s="57">
        <v>1</v>
      </c>
      <c r="V222" s="276">
        <v>0.35</v>
      </c>
      <c r="W222" s="276">
        <v>0</v>
      </c>
      <c r="X222" s="270">
        <v>44</v>
      </c>
      <c r="Y222" s="270">
        <v>23</v>
      </c>
      <c r="Z222" s="45" t="b">
        <v>1</v>
      </c>
      <c r="AA222" s="45" t="s">
        <v>38</v>
      </c>
      <c r="AB222" s="45" t="s">
        <v>38</v>
      </c>
    </row>
    <row r="223" spans="1:28" x14ac:dyDescent="0.2">
      <c r="A223" s="270" t="s">
        <v>286</v>
      </c>
      <c r="B223" s="270" t="s">
        <v>286</v>
      </c>
      <c r="C223" s="271">
        <v>43851</v>
      </c>
      <c r="D223" s="271">
        <v>43881</v>
      </c>
      <c r="E223" s="270" t="s">
        <v>267</v>
      </c>
      <c r="F223" s="96" t="s">
        <v>34</v>
      </c>
      <c r="G223" s="270" t="s">
        <v>35</v>
      </c>
      <c r="H223" s="272" t="s">
        <v>962</v>
      </c>
      <c r="I223" s="273">
        <v>25</v>
      </c>
      <c r="J223" s="270">
        <v>2129</v>
      </c>
      <c r="K223" s="270">
        <f t="shared" si="0"/>
        <v>53225</v>
      </c>
      <c r="L223" s="270">
        <v>107564</v>
      </c>
      <c r="M223" s="270">
        <v>2525</v>
      </c>
      <c r="N223" s="274">
        <v>64</v>
      </c>
      <c r="O223" s="55"/>
      <c r="P223" s="45">
        <v>64</v>
      </c>
      <c r="Q223" s="270">
        <v>1620</v>
      </c>
      <c r="R223" s="275">
        <v>1.6900000000000001E-3</v>
      </c>
      <c r="S223" s="270">
        <v>1710</v>
      </c>
      <c r="T223" s="270">
        <v>1774</v>
      </c>
      <c r="U223" s="57">
        <v>1</v>
      </c>
      <c r="V223" s="276">
        <v>0.35</v>
      </c>
      <c r="W223" s="276">
        <v>0</v>
      </c>
      <c r="X223" s="270">
        <v>1153</v>
      </c>
      <c r="Y223" s="270">
        <v>621</v>
      </c>
      <c r="Z223" s="45" t="b">
        <v>1</v>
      </c>
      <c r="AA223" s="45" t="s">
        <v>38</v>
      </c>
      <c r="AB223" s="45" t="s">
        <v>38</v>
      </c>
    </row>
    <row r="224" spans="1:28" x14ac:dyDescent="0.2">
      <c r="A224" s="270" t="s">
        <v>286</v>
      </c>
      <c r="B224" s="270" t="s">
        <v>286</v>
      </c>
      <c r="C224" s="271">
        <v>43851</v>
      </c>
      <c r="D224" s="271">
        <v>43881</v>
      </c>
      <c r="E224" s="270" t="s">
        <v>267</v>
      </c>
      <c r="F224" s="96" t="s">
        <v>34</v>
      </c>
      <c r="G224" s="270" t="s">
        <v>35</v>
      </c>
      <c r="H224" s="272" t="s">
        <v>951</v>
      </c>
      <c r="I224" s="273">
        <v>100</v>
      </c>
      <c r="J224" s="270">
        <v>1</v>
      </c>
      <c r="K224" s="270">
        <f t="shared" si="0"/>
        <v>100</v>
      </c>
      <c r="L224" s="270">
        <v>550</v>
      </c>
      <c r="M224" s="270">
        <v>200</v>
      </c>
      <c r="N224" s="274">
        <v>0</v>
      </c>
      <c r="O224" s="55"/>
      <c r="P224" s="45">
        <v>0</v>
      </c>
      <c r="Q224" s="270">
        <v>61</v>
      </c>
      <c r="R224" s="275">
        <v>1.6900000000000001E-3</v>
      </c>
      <c r="S224" s="270">
        <v>61</v>
      </c>
      <c r="T224" s="270">
        <v>61</v>
      </c>
      <c r="U224" s="57">
        <v>1</v>
      </c>
      <c r="V224" s="276">
        <v>0.35</v>
      </c>
      <c r="W224" s="276">
        <v>0</v>
      </c>
      <c r="X224" s="270">
        <v>39</v>
      </c>
      <c r="Y224" s="270">
        <v>21</v>
      </c>
      <c r="Z224" s="45" t="b">
        <v>1</v>
      </c>
      <c r="AA224" s="45" t="s">
        <v>38</v>
      </c>
      <c r="AB224" s="45" t="s">
        <v>38</v>
      </c>
    </row>
    <row r="225" spans="1:28" x14ac:dyDescent="0.2">
      <c r="A225" s="270" t="s">
        <v>82</v>
      </c>
      <c r="B225" s="270" t="s">
        <v>82</v>
      </c>
      <c r="C225" s="277">
        <v>43851</v>
      </c>
      <c r="D225" s="277">
        <v>43881</v>
      </c>
      <c r="E225" s="270" t="s">
        <v>300</v>
      </c>
      <c r="F225" s="96" t="s">
        <v>34</v>
      </c>
      <c r="G225" s="270" t="s">
        <v>35</v>
      </c>
      <c r="H225" s="110" t="s">
        <v>961</v>
      </c>
      <c r="I225" s="273">
        <v>10</v>
      </c>
      <c r="J225" s="270">
        <v>15</v>
      </c>
      <c r="K225" s="270">
        <f t="shared" si="0"/>
        <v>150</v>
      </c>
      <c r="L225" s="270">
        <v>532</v>
      </c>
      <c r="M225" s="270">
        <v>-30</v>
      </c>
      <c r="N225" s="274">
        <v>0</v>
      </c>
      <c r="O225" s="55"/>
      <c r="P225" s="45">
        <v>0</v>
      </c>
      <c r="Q225" s="270">
        <v>-1</v>
      </c>
      <c r="R225" s="275">
        <v>1.6900000000000001E-3</v>
      </c>
      <c r="S225" s="270">
        <v>-1</v>
      </c>
      <c r="T225" s="270">
        <v>-1</v>
      </c>
      <c r="U225" s="57">
        <v>1</v>
      </c>
      <c r="V225" s="276">
        <v>0.25</v>
      </c>
      <c r="W225" s="276">
        <v>0.1</v>
      </c>
      <c r="X225" s="270">
        <v>-1</v>
      </c>
      <c r="Y225" s="270">
        <v>0</v>
      </c>
      <c r="Z225" s="45" t="b">
        <v>1</v>
      </c>
      <c r="AA225" s="45" t="s">
        <v>38</v>
      </c>
      <c r="AB225" s="45" t="s">
        <v>38</v>
      </c>
    </row>
    <row r="226" spans="1:28" x14ac:dyDescent="0.2">
      <c r="A226" s="270" t="s">
        <v>82</v>
      </c>
      <c r="B226" s="270" t="s">
        <v>82</v>
      </c>
      <c r="C226" s="277">
        <v>43851</v>
      </c>
      <c r="D226" s="277">
        <v>43881</v>
      </c>
      <c r="E226" s="270" t="s">
        <v>300</v>
      </c>
      <c r="F226" s="96" t="s">
        <v>34</v>
      </c>
      <c r="G226" s="270" t="s">
        <v>35</v>
      </c>
      <c r="H226" s="272" t="s">
        <v>192</v>
      </c>
      <c r="I226" s="273">
        <v>10</v>
      </c>
      <c r="J226" s="270">
        <v>391</v>
      </c>
      <c r="K226" s="270">
        <f t="shared" si="0"/>
        <v>3910</v>
      </c>
      <c r="L226" s="270">
        <v>15166</v>
      </c>
      <c r="M226" s="270">
        <v>350</v>
      </c>
      <c r="N226" s="274">
        <v>6</v>
      </c>
      <c r="O226" s="55"/>
      <c r="P226" s="45">
        <v>6</v>
      </c>
      <c r="Q226" s="270">
        <v>-65</v>
      </c>
      <c r="R226" s="275">
        <v>1.6900000000000001E-3</v>
      </c>
      <c r="S226" s="270">
        <v>-58</v>
      </c>
      <c r="T226" s="270">
        <v>-52</v>
      </c>
      <c r="U226" s="57">
        <v>1</v>
      </c>
      <c r="V226" s="276">
        <v>0.25</v>
      </c>
      <c r="W226" s="276">
        <v>0.1</v>
      </c>
      <c r="X226" s="270">
        <v>-34</v>
      </c>
      <c r="Y226" s="270">
        <v>-18</v>
      </c>
      <c r="Z226" s="45" t="b">
        <v>1</v>
      </c>
      <c r="AA226" s="45" t="s">
        <v>38</v>
      </c>
      <c r="AB226" s="45" t="s">
        <v>38</v>
      </c>
    </row>
    <row r="227" spans="1:28" x14ac:dyDescent="0.2">
      <c r="A227" s="270" t="s">
        <v>82</v>
      </c>
      <c r="B227" s="270" t="s">
        <v>82</v>
      </c>
      <c r="C227" s="277">
        <v>43851</v>
      </c>
      <c r="D227" s="277">
        <v>43881</v>
      </c>
      <c r="E227" s="270" t="s">
        <v>300</v>
      </c>
      <c r="F227" s="96" t="s">
        <v>34</v>
      </c>
      <c r="G227" s="270" t="s">
        <v>35</v>
      </c>
      <c r="H227" s="272" t="s">
        <v>962</v>
      </c>
      <c r="I227" s="273">
        <v>25</v>
      </c>
      <c r="J227" s="270">
        <v>2158</v>
      </c>
      <c r="K227" s="270">
        <f t="shared" si="0"/>
        <v>53950</v>
      </c>
      <c r="L227" s="270">
        <v>50724</v>
      </c>
      <c r="M227" s="270">
        <v>-2400</v>
      </c>
      <c r="N227" s="274">
        <v>65</v>
      </c>
      <c r="O227" s="55"/>
      <c r="P227" s="45">
        <v>65</v>
      </c>
      <c r="Q227" s="270">
        <v>-1226</v>
      </c>
      <c r="R227" s="275">
        <v>1.6900000000000001E-3</v>
      </c>
      <c r="S227" s="270">
        <v>-1135</v>
      </c>
      <c r="T227" s="270">
        <v>-1070</v>
      </c>
      <c r="U227" s="57">
        <v>1</v>
      </c>
      <c r="V227" s="276">
        <v>0.25</v>
      </c>
      <c r="W227" s="276">
        <v>0.1</v>
      </c>
      <c r="X227" s="270">
        <v>-696</v>
      </c>
      <c r="Y227" s="270">
        <v>-375</v>
      </c>
      <c r="Z227" s="45" t="b">
        <v>1</v>
      </c>
      <c r="AA227" s="45" t="s">
        <v>38</v>
      </c>
      <c r="AB227" s="45" t="s">
        <v>38</v>
      </c>
    </row>
    <row r="228" spans="1:28" x14ac:dyDescent="0.2">
      <c r="A228" s="270" t="s">
        <v>82</v>
      </c>
      <c r="B228" s="270" t="s">
        <v>82</v>
      </c>
      <c r="C228" s="277">
        <v>43851</v>
      </c>
      <c r="D228" s="277">
        <v>43881</v>
      </c>
      <c r="E228" s="270" t="s">
        <v>300</v>
      </c>
      <c r="F228" s="96" t="s">
        <v>34</v>
      </c>
      <c r="G228" s="270" t="s">
        <v>35</v>
      </c>
      <c r="H228" s="272" t="s">
        <v>963</v>
      </c>
      <c r="I228" s="273">
        <v>50</v>
      </c>
      <c r="J228" s="270">
        <v>757</v>
      </c>
      <c r="K228" s="270">
        <f t="shared" si="0"/>
        <v>37850</v>
      </c>
      <c r="L228" s="270">
        <v>4514</v>
      </c>
      <c r="M228" s="270">
        <v>-900</v>
      </c>
      <c r="N228" s="274">
        <v>45</v>
      </c>
      <c r="O228" s="55"/>
      <c r="P228" s="45">
        <v>45</v>
      </c>
      <c r="Q228" s="270">
        <v>-2101</v>
      </c>
      <c r="R228" s="275">
        <v>1.6900000000000001E-3</v>
      </c>
      <c r="S228" s="270">
        <v>-2038</v>
      </c>
      <c r="T228" s="270">
        <v>-1993</v>
      </c>
      <c r="U228" s="57">
        <v>1</v>
      </c>
      <c r="V228" s="276">
        <v>0.25</v>
      </c>
      <c r="W228" s="276">
        <v>0.1</v>
      </c>
      <c r="X228" s="270">
        <v>-1295</v>
      </c>
      <c r="Y228" s="270">
        <v>-697</v>
      </c>
      <c r="Z228" s="45" t="b">
        <v>1</v>
      </c>
      <c r="AA228" s="45" t="s">
        <v>38</v>
      </c>
      <c r="AB228" s="45" t="s">
        <v>38</v>
      </c>
    </row>
    <row r="229" spans="1:28" x14ac:dyDescent="0.2">
      <c r="A229" s="270" t="s">
        <v>82</v>
      </c>
      <c r="B229" s="270" t="s">
        <v>82</v>
      </c>
      <c r="C229" s="277">
        <v>43851</v>
      </c>
      <c r="D229" s="277">
        <v>43881</v>
      </c>
      <c r="E229" s="270" t="s">
        <v>300</v>
      </c>
      <c r="F229" s="96" t="s">
        <v>34</v>
      </c>
      <c r="G229" s="270" t="s">
        <v>35</v>
      </c>
      <c r="H229" s="272" t="s">
        <v>964</v>
      </c>
      <c r="I229" s="273">
        <v>50</v>
      </c>
      <c r="J229" s="270">
        <v>377</v>
      </c>
      <c r="K229" s="270">
        <f t="shared" si="0"/>
        <v>18850</v>
      </c>
      <c r="L229" s="270">
        <v>3387</v>
      </c>
      <c r="M229" s="270">
        <v>-1150</v>
      </c>
      <c r="N229" s="274">
        <v>26</v>
      </c>
      <c r="O229" s="55"/>
      <c r="P229" s="45">
        <v>26</v>
      </c>
      <c r="Q229" s="270">
        <v>-1079</v>
      </c>
      <c r="R229" s="275">
        <v>1.6900000000000001E-3</v>
      </c>
      <c r="S229" s="270">
        <v>-1047</v>
      </c>
      <c r="T229" s="270">
        <v>-1021</v>
      </c>
      <c r="U229" s="57">
        <v>1</v>
      </c>
      <c r="V229" s="276">
        <v>0.25</v>
      </c>
      <c r="W229" s="276">
        <v>0.1</v>
      </c>
      <c r="X229" s="270">
        <v>-664</v>
      </c>
      <c r="Y229" s="270">
        <v>-358</v>
      </c>
      <c r="Z229" s="45" t="b">
        <v>1</v>
      </c>
      <c r="AA229" s="45" t="s">
        <v>38</v>
      </c>
      <c r="AB229" s="45" t="s">
        <v>38</v>
      </c>
    </row>
    <row r="230" spans="1:28" x14ac:dyDescent="0.2">
      <c r="A230" s="270" t="s">
        <v>102</v>
      </c>
      <c r="B230" s="270" t="s">
        <v>102</v>
      </c>
      <c r="C230" s="277">
        <v>43851</v>
      </c>
      <c r="D230" s="277">
        <v>43881</v>
      </c>
      <c r="E230" s="270" t="s">
        <v>267</v>
      </c>
      <c r="F230" s="96" t="s">
        <v>34</v>
      </c>
      <c r="G230" s="270" t="s">
        <v>35</v>
      </c>
      <c r="H230" s="272" t="s">
        <v>962</v>
      </c>
      <c r="I230" s="273">
        <v>25</v>
      </c>
      <c r="J230" s="270">
        <v>2621</v>
      </c>
      <c r="K230" s="270">
        <f t="shared" si="0"/>
        <v>65525</v>
      </c>
      <c r="L230" s="270">
        <v>79949</v>
      </c>
      <c r="M230" s="270">
        <v>550</v>
      </c>
      <c r="N230" s="274">
        <v>79</v>
      </c>
      <c r="O230" s="55"/>
      <c r="P230" s="45">
        <v>79</v>
      </c>
      <c r="Q230" s="270">
        <v>-493</v>
      </c>
      <c r="R230" s="275">
        <v>1.6900000000000001E-3</v>
      </c>
      <c r="S230" s="270">
        <v>-383</v>
      </c>
      <c r="T230" s="270">
        <v>-304</v>
      </c>
      <c r="U230" s="57">
        <v>1</v>
      </c>
      <c r="V230" s="276">
        <v>0.35</v>
      </c>
      <c r="W230" s="276">
        <v>0</v>
      </c>
      <c r="X230" s="270">
        <v>-197</v>
      </c>
      <c r="Y230" s="270">
        <v>-106</v>
      </c>
      <c r="Z230" s="45" t="b">
        <v>1</v>
      </c>
      <c r="AA230" s="45" t="s">
        <v>38</v>
      </c>
      <c r="AB230" s="45" t="s">
        <v>38</v>
      </c>
    </row>
    <row r="231" spans="1:28" x14ac:dyDescent="0.2">
      <c r="A231" s="270" t="s">
        <v>206</v>
      </c>
      <c r="B231" s="270" t="s">
        <v>939</v>
      </c>
      <c r="C231" s="277">
        <v>43851</v>
      </c>
      <c r="D231" s="277">
        <v>43881</v>
      </c>
      <c r="E231" s="270" t="s">
        <v>267</v>
      </c>
      <c r="F231" s="96" t="s">
        <v>34</v>
      </c>
      <c r="G231" s="270" t="s">
        <v>165</v>
      </c>
      <c r="H231" s="272" t="s">
        <v>93</v>
      </c>
      <c r="I231" s="273">
        <v>25</v>
      </c>
      <c r="J231" s="270">
        <v>963</v>
      </c>
      <c r="K231" s="270">
        <f t="shared" si="0"/>
        <v>24075</v>
      </c>
      <c r="L231" s="270">
        <v>52396</v>
      </c>
      <c r="M231" s="270">
        <v>-525</v>
      </c>
      <c r="N231" s="274">
        <v>0</v>
      </c>
      <c r="O231" s="55"/>
      <c r="P231" s="45">
        <v>0</v>
      </c>
      <c r="Q231" s="270">
        <v>606</v>
      </c>
      <c r="R231" s="275">
        <v>1.6900000000000001E-3</v>
      </c>
      <c r="S231" s="270">
        <v>647</v>
      </c>
      <c r="T231" s="270">
        <v>647</v>
      </c>
      <c r="U231" s="57">
        <v>1.079</v>
      </c>
      <c r="V231" s="276">
        <v>0.22</v>
      </c>
      <c r="W231" s="276">
        <v>0</v>
      </c>
      <c r="X231" s="270">
        <v>545</v>
      </c>
      <c r="Y231" s="270">
        <v>154</v>
      </c>
      <c r="Z231" s="45" t="b">
        <v>1</v>
      </c>
      <c r="AA231" s="45" t="s">
        <v>38</v>
      </c>
      <c r="AB231" s="45" t="s">
        <v>50</v>
      </c>
    </row>
    <row r="232" spans="1:28" x14ac:dyDescent="0.2">
      <c r="A232" s="270" t="s">
        <v>206</v>
      </c>
      <c r="B232" s="270" t="s">
        <v>206</v>
      </c>
      <c r="C232" s="277">
        <v>43851</v>
      </c>
      <c r="D232" s="277">
        <v>43881</v>
      </c>
      <c r="E232" s="270" t="s">
        <v>267</v>
      </c>
      <c r="F232" s="96" t="s">
        <v>34</v>
      </c>
      <c r="G232" s="270" t="s">
        <v>35</v>
      </c>
      <c r="H232" s="110" t="s">
        <v>961</v>
      </c>
      <c r="I232" s="273">
        <v>10</v>
      </c>
      <c r="J232" s="270">
        <v>8</v>
      </c>
      <c r="K232" s="270">
        <f t="shared" si="0"/>
        <v>80</v>
      </c>
      <c r="L232" s="270">
        <v>2304</v>
      </c>
      <c r="M232" s="270">
        <v>20</v>
      </c>
      <c r="N232" s="274">
        <v>0</v>
      </c>
      <c r="O232" s="55"/>
      <c r="P232" s="45">
        <v>0</v>
      </c>
      <c r="Q232" s="270">
        <v>37</v>
      </c>
      <c r="R232" s="275">
        <v>1.6900000000000001E-3</v>
      </c>
      <c r="S232" s="270">
        <v>37</v>
      </c>
      <c r="T232" s="270">
        <v>37</v>
      </c>
      <c r="U232" s="57">
        <v>1</v>
      </c>
      <c r="V232" s="276">
        <v>0.22</v>
      </c>
      <c r="W232" s="276">
        <v>0</v>
      </c>
      <c r="X232" s="270">
        <v>29</v>
      </c>
      <c r="Y232" s="270">
        <v>8</v>
      </c>
      <c r="Z232" s="45" t="b">
        <v>1</v>
      </c>
      <c r="AA232" s="45" t="s">
        <v>38</v>
      </c>
      <c r="AB232" s="45" t="s">
        <v>38</v>
      </c>
    </row>
    <row r="233" spans="1:28" x14ac:dyDescent="0.2">
      <c r="A233" s="270" t="s">
        <v>206</v>
      </c>
      <c r="B233" s="270" t="s">
        <v>206</v>
      </c>
      <c r="C233" s="277">
        <v>43851</v>
      </c>
      <c r="D233" s="277">
        <v>43881</v>
      </c>
      <c r="E233" s="270" t="s">
        <v>267</v>
      </c>
      <c r="F233" s="96" t="s">
        <v>34</v>
      </c>
      <c r="G233" s="270" t="s">
        <v>35</v>
      </c>
      <c r="H233" s="272" t="s">
        <v>192</v>
      </c>
      <c r="I233" s="273">
        <v>10</v>
      </c>
      <c r="J233" s="270">
        <v>6</v>
      </c>
      <c r="K233" s="270">
        <f t="shared" si="0"/>
        <v>60</v>
      </c>
      <c r="L233" s="270">
        <v>-444</v>
      </c>
      <c r="M233" s="270">
        <v>-30</v>
      </c>
      <c r="N233" s="274">
        <v>0</v>
      </c>
      <c r="O233" s="55"/>
      <c r="P233" s="45">
        <v>0</v>
      </c>
      <c r="Q233" s="270">
        <v>-13</v>
      </c>
      <c r="R233" s="275">
        <v>1.6900000000000001E-3</v>
      </c>
      <c r="S233" s="270">
        <v>-13</v>
      </c>
      <c r="T233" s="270">
        <v>-13</v>
      </c>
      <c r="U233" s="57">
        <v>1</v>
      </c>
      <c r="V233" s="276">
        <v>0.22</v>
      </c>
      <c r="W233" s="276">
        <v>0</v>
      </c>
      <c r="X233" s="270">
        <v>-10</v>
      </c>
      <c r="Y233" s="270">
        <v>-3</v>
      </c>
      <c r="Z233" s="45" t="b">
        <v>1</v>
      </c>
      <c r="AA233" s="45" t="s">
        <v>38</v>
      </c>
      <c r="AB233" s="45" t="s">
        <v>38</v>
      </c>
    </row>
    <row r="234" spans="1:28" x14ac:dyDescent="0.2">
      <c r="A234" s="270" t="s">
        <v>206</v>
      </c>
      <c r="B234" s="270" t="s">
        <v>206</v>
      </c>
      <c r="C234" s="277">
        <v>43851</v>
      </c>
      <c r="D234" s="277">
        <v>43881</v>
      </c>
      <c r="E234" s="270" t="s">
        <v>267</v>
      </c>
      <c r="F234" s="96" t="s">
        <v>34</v>
      </c>
      <c r="G234" s="270" t="s">
        <v>35</v>
      </c>
      <c r="H234" s="272" t="s">
        <v>962</v>
      </c>
      <c r="I234" s="273">
        <v>25</v>
      </c>
      <c r="J234" s="270">
        <v>1338</v>
      </c>
      <c r="K234" s="270">
        <f t="shared" si="0"/>
        <v>33450</v>
      </c>
      <c r="L234" s="270">
        <v>80445</v>
      </c>
      <c r="M234" s="270">
        <v>2200</v>
      </c>
      <c r="N234" s="274">
        <v>0</v>
      </c>
      <c r="O234" s="55"/>
      <c r="P234" s="45">
        <v>0</v>
      </c>
      <c r="Q234" s="270">
        <v>1599</v>
      </c>
      <c r="R234" s="275">
        <v>1.6900000000000001E-3</v>
      </c>
      <c r="S234" s="270">
        <v>1656</v>
      </c>
      <c r="T234" s="270">
        <v>1656</v>
      </c>
      <c r="U234" s="57">
        <v>1</v>
      </c>
      <c r="V234" s="276">
        <v>0.22</v>
      </c>
      <c r="W234" s="276">
        <v>0</v>
      </c>
      <c r="X234" s="270">
        <v>1292</v>
      </c>
      <c r="Y234" s="270">
        <v>364</v>
      </c>
      <c r="Z234" s="45" t="b">
        <v>1</v>
      </c>
      <c r="AA234" s="45" t="s">
        <v>38</v>
      </c>
      <c r="AB234" s="45" t="s">
        <v>38</v>
      </c>
    </row>
    <row r="235" spans="1:28" x14ac:dyDescent="0.2">
      <c r="A235" s="270" t="s">
        <v>145</v>
      </c>
      <c r="B235" s="270" t="s">
        <v>145</v>
      </c>
      <c r="C235" s="277">
        <v>43862</v>
      </c>
      <c r="D235" s="277">
        <v>43890</v>
      </c>
      <c r="E235" s="270" t="s">
        <v>300</v>
      </c>
      <c r="F235" s="96" t="s">
        <v>49</v>
      </c>
      <c r="G235" s="270" t="s">
        <v>35</v>
      </c>
      <c r="H235" s="272" t="s">
        <v>951</v>
      </c>
      <c r="I235" s="273">
        <v>100</v>
      </c>
      <c r="J235" s="270">
        <v>3233</v>
      </c>
      <c r="K235" s="270">
        <f t="shared" si="0"/>
        <v>323300</v>
      </c>
      <c r="L235" s="270">
        <v>132452</v>
      </c>
      <c r="M235" s="270">
        <v>1100</v>
      </c>
      <c r="N235" s="274">
        <v>323</v>
      </c>
      <c r="O235" s="55"/>
      <c r="P235" s="45">
        <v>323</v>
      </c>
      <c r="Q235" s="270">
        <v>7566</v>
      </c>
      <c r="R235" s="275">
        <v>-4.4999999999999997E-3</v>
      </c>
      <c r="S235" s="270">
        <v>6111</v>
      </c>
      <c r="T235" s="270">
        <v>6434</v>
      </c>
      <c r="U235" s="57">
        <v>1</v>
      </c>
      <c r="V235" s="276">
        <v>0.16880000000000001</v>
      </c>
      <c r="W235" s="276">
        <v>5.6300000000000003E-2</v>
      </c>
      <c r="X235" s="270">
        <v>4986</v>
      </c>
      <c r="Y235" s="270">
        <v>1448</v>
      </c>
      <c r="Z235" s="45" t="b">
        <v>1</v>
      </c>
      <c r="AA235" s="45" t="s">
        <v>38</v>
      </c>
      <c r="AB235" s="45" t="s">
        <v>38</v>
      </c>
    </row>
    <row r="236" spans="1:28" x14ac:dyDescent="0.2">
      <c r="A236" s="270" t="s">
        <v>447</v>
      </c>
      <c r="B236" s="270" t="s">
        <v>910</v>
      </c>
      <c r="C236" s="277">
        <v>43862</v>
      </c>
      <c r="D236" s="277">
        <v>43890</v>
      </c>
      <c r="E236" s="270" t="s">
        <v>267</v>
      </c>
      <c r="F236" s="96" t="s">
        <v>49</v>
      </c>
      <c r="G236" s="270" t="s">
        <v>61</v>
      </c>
      <c r="H236" s="272" t="s">
        <v>63</v>
      </c>
      <c r="I236" s="273">
        <v>10</v>
      </c>
      <c r="J236" s="270">
        <v>1672</v>
      </c>
      <c r="K236" s="270">
        <f t="shared" si="0"/>
        <v>16720</v>
      </c>
      <c r="L236" s="270">
        <v>108716</v>
      </c>
      <c r="M236" s="270">
        <v>920</v>
      </c>
      <c r="N236" s="274">
        <v>300</v>
      </c>
      <c r="O236" s="55"/>
      <c r="P236" s="45">
        <v>300</v>
      </c>
      <c r="Q236" s="270">
        <v>495</v>
      </c>
      <c r="R236" s="275">
        <v>-4.4600000000000004E-3</v>
      </c>
      <c r="S236" s="270">
        <v>420</v>
      </c>
      <c r="T236" s="270">
        <v>720</v>
      </c>
      <c r="U236" s="57">
        <v>1</v>
      </c>
      <c r="V236" s="276">
        <v>0.3</v>
      </c>
      <c r="W236" s="276">
        <v>0</v>
      </c>
      <c r="X236" s="270">
        <v>504</v>
      </c>
      <c r="Y236" s="270">
        <v>216</v>
      </c>
      <c r="Z236" s="45" t="b">
        <v>1</v>
      </c>
      <c r="AA236" s="45" t="s">
        <v>50</v>
      </c>
      <c r="AB236" s="45" t="s">
        <v>50</v>
      </c>
    </row>
    <row r="237" spans="1:28" x14ac:dyDescent="0.2">
      <c r="A237" s="270" t="s">
        <v>447</v>
      </c>
      <c r="B237" s="270" t="s">
        <v>910</v>
      </c>
      <c r="C237" s="277">
        <v>43862</v>
      </c>
      <c r="D237" s="277">
        <v>43890</v>
      </c>
      <c r="E237" s="270" t="s">
        <v>267</v>
      </c>
      <c r="F237" s="96" t="s">
        <v>41</v>
      </c>
      <c r="G237" s="270" t="s">
        <v>61</v>
      </c>
      <c r="H237" s="272" t="s">
        <v>63</v>
      </c>
      <c r="I237" s="273">
        <v>10</v>
      </c>
      <c r="J237" s="270"/>
      <c r="K237" s="270">
        <f t="shared" si="0"/>
        <v>0</v>
      </c>
      <c r="L237" s="270"/>
      <c r="M237" s="270">
        <v>1200</v>
      </c>
      <c r="N237" s="274">
        <v>0</v>
      </c>
      <c r="O237" s="55"/>
      <c r="P237" s="45">
        <v>0</v>
      </c>
      <c r="Q237" s="270"/>
      <c r="R237" s="275">
        <v>0</v>
      </c>
      <c r="S237" s="270"/>
      <c r="T237" s="270">
        <v>1200</v>
      </c>
      <c r="U237" s="57">
        <v>1</v>
      </c>
      <c r="V237" s="276">
        <v>0.3</v>
      </c>
      <c r="W237" s="276">
        <v>0</v>
      </c>
      <c r="X237" s="270">
        <v>840</v>
      </c>
      <c r="Y237" s="270">
        <v>360</v>
      </c>
      <c r="Z237" s="45" t="b">
        <v>1</v>
      </c>
      <c r="AA237" s="45" t="s">
        <v>50</v>
      </c>
      <c r="AB237" s="45" t="s">
        <v>50</v>
      </c>
    </row>
    <row r="238" spans="1:28" x14ac:dyDescent="0.2">
      <c r="A238" s="270" t="s">
        <v>508</v>
      </c>
      <c r="B238" s="270" t="s">
        <v>508</v>
      </c>
      <c r="C238" s="277">
        <v>43862</v>
      </c>
      <c r="D238" s="277">
        <v>43890</v>
      </c>
      <c r="E238" s="270" t="s">
        <v>267</v>
      </c>
      <c r="F238" s="96" t="s">
        <v>49</v>
      </c>
      <c r="G238" s="270" t="s">
        <v>35</v>
      </c>
      <c r="H238" s="272" t="s">
        <v>962</v>
      </c>
      <c r="I238" s="273">
        <v>25</v>
      </c>
      <c r="J238" s="270">
        <v>771</v>
      </c>
      <c r="K238" s="270">
        <f t="shared" si="0"/>
        <v>19275</v>
      </c>
      <c r="L238" s="270">
        <v>39232</v>
      </c>
      <c r="M238" s="270">
        <v>3800</v>
      </c>
      <c r="N238" s="274">
        <v>23</v>
      </c>
      <c r="O238" s="55"/>
      <c r="P238" s="45">
        <v>23</v>
      </c>
      <c r="Q238" s="270">
        <v>600</v>
      </c>
      <c r="R238" s="275">
        <v>-6.6309999999999997E-3</v>
      </c>
      <c r="S238" s="270">
        <v>472</v>
      </c>
      <c r="T238" s="270">
        <v>495</v>
      </c>
      <c r="U238" s="57">
        <v>1</v>
      </c>
      <c r="V238" s="276">
        <v>0.20499999999999999</v>
      </c>
      <c r="W238" s="276">
        <v>0</v>
      </c>
      <c r="X238" s="270">
        <v>394</v>
      </c>
      <c r="Y238" s="270">
        <v>101</v>
      </c>
      <c r="Z238" s="45" t="b">
        <v>1</v>
      </c>
      <c r="AA238" s="45" t="s">
        <v>38</v>
      </c>
      <c r="AB238" s="45" t="s">
        <v>38</v>
      </c>
    </row>
    <row r="239" spans="1:28" x14ac:dyDescent="0.2">
      <c r="A239" s="270" t="s">
        <v>508</v>
      </c>
      <c r="B239" s="270" t="s">
        <v>508</v>
      </c>
      <c r="C239" s="277">
        <v>43862</v>
      </c>
      <c r="D239" s="277">
        <v>43890</v>
      </c>
      <c r="E239" s="270" t="s">
        <v>267</v>
      </c>
      <c r="F239" s="96" t="s">
        <v>49</v>
      </c>
      <c r="G239" s="270" t="s">
        <v>35</v>
      </c>
      <c r="H239" s="272" t="s">
        <v>963</v>
      </c>
      <c r="I239" s="273">
        <v>50</v>
      </c>
      <c r="J239" s="270">
        <v>1762</v>
      </c>
      <c r="K239" s="270">
        <f t="shared" si="0"/>
        <v>88100</v>
      </c>
      <c r="L239" s="270">
        <v>66943</v>
      </c>
      <c r="M239" s="270">
        <v>-600</v>
      </c>
      <c r="N239" s="274">
        <v>106</v>
      </c>
      <c r="O239" s="55"/>
      <c r="P239" s="45">
        <v>106</v>
      </c>
      <c r="Q239" s="270">
        <v>618</v>
      </c>
      <c r="R239" s="275">
        <v>-4.7840000000000001E-3</v>
      </c>
      <c r="S239" s="270">
        <v>197</v>
      </c>
      <c r="T239" s="270">
        <v>303</v>
      </c>
      <c r="U239" s="57">
        <v>1</v>
      </c>
      <c r="V239" s="276">
        <v>0.20499999999999999</v>
      </c>
      <c r="W239" s="276">
        <v>0</v>
      </c>
      <c r="X239" s="270">
        <v>241</v>
      </c>
      <c r="Y239" s="270">
        <v>62</v>
      </c>
      <c r="Z239" s="45" t="b">
        <v>1</v>
      </c>
      <c r="AA239" s="45" t="s">
        <v>38</v>
      </c>
      <c r="AB239" s="45" t="s">
        <v>38</v>
      </c>
    </row>
    <row r="240" spans="1:28" x14ac:dyDescent="0.2">
      <c r="A240" s="270" t="s">
        <v>508</v>
      </c>
      <c r="B240" s="270" t="s">
        <v>508</v>
      </c>
      <c r="C240" s="277">
        <v>43891</v>
      </c>
      <c r="D240" s="277">
        <v>43903</v>
      </c>
      <c r="E240" s="270" t="s">
        <v>267</v>
      </c>
      <c r="F240" s="96" t="s">
        <v>49</v>
      </c>
      <c r="G240" s="270" t="s">
        <v>35</v>
      </c>
      <c r="H240" s="272" t="s">
        <v>962</v>
      </c>
      <c r="I240" s="273">
        <v>25</v>
      </c>
      <c r="J240" s="270">
        <v>1705</v>
      </c>
      <c r="K240" s="270">
        <f t="shared" si="0"/>
        <v>42625</v>
      </c>
      <c r="L240" s="270">
        <v>85570</v>
      </c>
      <c r="M240" s="270">
        <v>-550</v>
      </c>
      <c r="N240" s="274">
        <v>157</v>
      </c>
      <c r="O240" s="55"/>
      <c r="P240" s="45">
        <v>157</v>
      </c>
      <c r="Q240" s="270">
        <v>914</v>
      </c>
      <c r="R240" s="275">
        <v>4.2499999999999998E-4</v>
      </c>
      <c r="S240" s="270">
        <v>932</v>
      </c>
      <c r="T240" s="270">
        <v>1089</v>
      </c>
      <c r="U240" s="57">
        <v>1</v>
      </c>
      <c r="V240" s="276">
        <v>0.20499999999999999</v>
      </c>
      <c r="W240" s="276">
        <v>0</v>
      </c>
      <c r="X240" s="270">
        <v>866</v>
      </c>
      <c r="Y240" s="270">
        <v>223</v>
      </c>
      <c r="Z240" s="45" t="b">
        <v>1</v>
      </c>
      <c r="AA240" s="45" t="s">
        <v>38</v>
      </c>
      <c r="AB240" s="45" t="s">
        <v>38</v>
      </c>
    </row>
    <row r="241" spans="1:28" x14ac:dyDescent="0.2">
      <c r="A241" s="270" t="s">
        <v>286</v>
      </c>
      <c r="B241" s="270" t="s">
        <v>286</v>
      </c>
      <c r="C241" s="271">
        <v>43882</v>
      </c>
      <c r="D241" s="271">
        <v>43910</v>
      </c>
      <c r="E241" s="270" t="s">
        <v>267</v>
      </c>
      <c r="F241" s="96" t="s">
        <v>34</v>
      </c>
      <c r="G241" s="270" t="s">
        <v>35</v>
      </c>
      <c r="H241" s="110" t="s">
        <v>961</v>
      </c>
      <c r="I241" s="273">
        <v>10</v>
      </c>
      <c r="J241" s="270">
        <v>199</v>
      </c>
      <c r="K241" s="270">
        <f t="shared" si="0"/>
        <v>1990</v>
      </c>
      <c r="L241" s="270">
        <v>18572</v>
      </c>
      <c r="M241" s="270">
        <v>130</v>
      </c>
      <c r="N241" s="274">
        <v>0</v>
      </c>
      <c r="O241" s="55"/>
      <c r="P241" s="45">
        <v>0</v>
      </c>
      <c r="Q241" s="270">
        <v>196</v>
      </c>
      <c r="R241" s="275">
        <v>1.5200000000000001E-3</v>
      </c>
      <c r="S241" s="270">
        <v>199</v>
      </c>
      <c r="T241" s="270">
        <v>199</v>
      </c>
      <c r="U241" s="57">
        <v>1</v>
      </c>
      <c r="V241" s="276">
        <v>0.35</v>
      </c>
      <c r="W241" s="276">
        <v>0</v>
      </c>
      <c r="X241" s="270">
        <v>129</v>
      </c>
      <c r="Y241" s="270">
        <v>70</v>
      </c>
      <c r="Z241" s="45" t="b">
        <v>1</v>
      </c>
      <c r="AA241" s="45" t="s">
        <v>38</v>
      </c>
      <c r="AB241" s="45" t="s">
        <v>38</v>
      </c>
    </row>
    <row r="242" spans="1:28" x14ac:dyDescent="0.2">
      <c r="A242" s="270" t="s">
        <v>286</v>
      </c>
      <c r="B242" s="270" t="s">
        <v>286</v>
      </c>
      <c r="C242" s="271">
        <v>43882</v>
      </c>
      <c r="D242" s="271">
        <v>43910</v>
      </c>
      <c r="E242" s="270" t="s">
        <v>267</v>
      </c>
      <c r="F242" s="96" t="s">
        <v>34</v>
      </c>
      <c r="G242" s="270" t="s">
        <v>35</v>
      </c>
      <c r="H242" s="272" t="s">
        <v>963</v>
      </c>
      <c r="I242" s="273">
        <v>50</v>
      </c>
      <c r="J242" s="270">
        <v>81</v>
      </c>
      <c r="K242" s="270">
        <f t="shared" si="0"/>
        <v>4050</v>
      </c>
      <c r="L242" s="270">
        <v>92</v>
      </c>
      <c r="M242" s="270">
        <v>-1000</v>
      </c>
      <c r="N242" s="274">
        <v>1</v>
      </c>
      <c r="O242" s="55"/>
      <c r="P242" s="45">
        <v>1</v>
      </c>
      <c r="Q242" s="270">
        <v>-251</v>
      </c>
      <c r="R242" s="275">
        <v>1.5200000000000001E-3</v>
      </c>
      <c r="S242" s="270">
        <v>-244</v>
      </c>
      <c r="T242" s="270">
        <v>-243</v>
      </c>
      <c r="U242" s="57">
        <v>1</v>
      </c>
      <c r="V242" s="276">
        <v>0.35</v>
      </c>
      <c r="W242" s="276">
        <v>0</v>
      </c>
      <c r="X242" s="270">
        <v>-158</v>
      </c>
      <c r="Y242" s="270">
        <v>-85</v>
      </c>
      <c r="Z242" s="45" t="b">
        <v>1</v>
      </c>
      <c r="AA242" s="45" t="s">
        <v>38</v>
      </c>
      <c r="AB242" s="45" t="s">
        <v>38</v>
      </c>
    </row>
    <row r="243" spans="1:28" x14ac:dyDescent="0.2">
      <c r="A243" s="270" t="s">
        <v>286</v>
      </c>
      <c r="B243" s="270" t="s">
        <v>286</v>
      </c>
      <c r="C243" s="271">
        <v>43882</v>
      </c>
      <c r="D243" s="271">
        <v>43910</v>
      </c>
      <c r="E243" s="270" t="s">
        <v>267</v>
      </c>
      <c r="F243" s="96" t="s">
        <v>34</v>
      </c>
      <c r="G243" s="270" t="s">
        <v>35</v>
      </c>
      <c r="H243" s="272" t="s">
        <v>962</v>
      </c>
      <c r="I243" s="273">
        <v>25</v>
      </c>
      <c r="J243" s="270">
        <v>454</v>
      </c>
      <c r="K243" s="270">
        <f t="shared" si="0"/>
        <v>11350</v>
      </c>
      <c r="L243" s="270">
        <v>17840</v>
      </c>
      <c r="M243" s="270">
        <v>625</v>
      </c>
      <c r="N243" s="274">
        <v>1</v>
      </c>
      <c r="O243" s="55"/>
      <c r="P243" s="45">
        <v>1</v>
      </c>
      <c r="Q243" s="270">
        <v>105</v>
      </c>
      <c r="R243" s="275">
        <v>1.5200000000000001E-3</v>
      </c>
      <c r="S243" s="270">
        <v>123</v>
      </c>
      <c r="T243" s="270">
        <v>124</v>
      </c>
      <c r="U243" s="57">
        <v>1</v>
      </c>
      <c r="V243" s="276">
        <v>0.35</v>
      </c>
      <c r="W243" s="276">
        <v>0</v>
      </c>
      <c r="X243" s="270">
        <v>80</v>
      </c>
      <c r="Y243" s="270">
        <v>43</v>
      </c>
      <c r="Z243" s="45" t="b">
        <v>1</v>
      </c>
      <c r="AA243" s="45" t="s">
        <v>38</v>
      </c>
      <c r="AB243" s="45" t="s">
        <v>38</v>
      </c>
    </row>
    <row r="244" spans="1:28" x14ac:dyDescent="0.2">
      <c r="A244" s="270" t="s">
        <v>286</v>
      </c>
      <c r="B244" s="270" t="s">
        <v>286</v>
      </c>
      <c r="C244" s="271">
        <v>43882</v>
      </c>
      <c r="D244" s="271">
        <v>43910</v>
      </c>
      <c r="E244" s="270" t="s">
        <v>267</v>
      </c>
      <c r="F244" s="96" t="s">
        <v>34</v>
      </c>
      <c r="G244" s="270" t="s">
        <v>35</v>
      </c>
      <c r="H244" s="272" t="s">
        <v>965</v>
      </c>
      <c r="I244" s="273">
        <v>25</v>
      </c>
      <c r="J244" s="270">
        <v>577</v>
      </c>
      <c r="K244" s="270">
        <f t="shared" si="0"/>
        <v>14425</v>
      </c>
      <c r="L244" s="270">
        <v>27230</v>
      </c>
      <c r="M244" s="270">
        <v>575</v>
      </c>
      <c r="N244" s="274">
        <v>2</v>
      </c>
      <c r="O244" s="55"/>
      <c r="P244" s="45">
        <v>2</v>
      </c>
      <c r="Q244" s="270">
        <v>227</v>
      </c>
      <c r="R244" s="275">
        <v>1.5200000000000001E-3</v>
      </c>
      <c r="S244" s="270">
        <v>249</v>
      </c>
      <c r="T244" s="270">
        <v>251</v>
      </c>
      <c r="U244" s="57">
        <v>1</v>
      </c>
      <c r="V244" s="276">
        <v>0.35</v>
      </c>
      <c r="W244" s="276">
        <v>0</v>
      </c>
      <c r="X244" s="270">
        <v>163</v>
      </c>
      <c r="Y244" s="270">
        <v>88</v>
      </c>
      <c r="Z244" s="45" t="b">
        <v>1</v>
      </c>
      <c r="AA244" s="45" t="s">
        <v>38</v>
      </c>
      <c r="AB244" s="45" t="s">
        <v>38</v>
      </c>
    </row>
    <row r="245" spans="1:28" x14ac:dyDescent="0.2">
      <c r="A245" s="270" t="s">
        <v>82</v>
      </c>
      <c r="B245" s="270" t="s">
        <v>82</v>
      </c>
      <c r="C245" s="277">
        <v>43882</v>
      </c>
      <c r="D245" s="277">
        <v>43910</v>
      </c>
      <c r="E245" s="270" t="s">
        <v>300</v>
      </c>
      <c r="F245" s="96" t="s">
        <v>34</v>
      </c>
      <c r="G245" s="270" t="s">
        <v>35</v>
      </c>
      <c r="H245" s="110" t="s">
        <v>961</v>
      </c>
      <c r="I245" s="273">
        <v>10</v>
      </c>
      <c r="J245" s="270">
        <v>78</v>
      </c>
      <c r="K245" s="270">
        <f t="shared" si="0"/>
        <v>780</v>
      </c>
      <c r="L245" s="270">
        <v>3431</v>
      </c>
      <c r="M245" s="270">
        <v>-210</v>
      </c>
      <c r="N245" s="274">
        <v>15</v>
      </c>
      <c r="O245" s="55"/>
      <c r="P245" s="45">
        <v>15</v>
      </c>
      <c r="Q245" s="270">
        <v>6</v>
      </c>
      <c r="R245" s="275">
        <v>1.5200000000000001E-3</v>
      </c>
      <c r="S245" s="270">
        <v>7</v>
      </c>
      <c r="T245" s="270">
        <v>22</v>
      </c>
      <c r="U245" s="57">
        <v>1</v>
      </c>
      <c r="V245" s="276">
        <v>0.25</v>
      </c>
      <c r="W245" s="276">
        <v>0.1</v>
      </c>
      <c r="X245" s="270">
        <v>14</v>
      </c>
      <c r="Y245" s="270">
        <v>8</v>
      </c>
      <c r="Z245" s="45" t="b">
        <v>1</v>
      </c>
      <c r="AA245" s="45" t="s">
        <v>38</v>
      </c>
      <c r="AB245" s="45" t="s">
        <v>38</v>
      </c>
    </row>
    <row r="246" spans="1:28" x14ac:dyDescent="0.2">
      <c r="A246" s="270" t="s">
        <v>82</v>
      </c>
      <c r="B246" s="270" t="s">
        <v>82</v>
      </c>
      <c r="C246" s="277">
        <v>43882</v>
      </c>
      <c r="D246" s="277">
        <v>43910</v>
      </c>
      <c r="E246" s="270" t="s">
        <v>300</v>
      </c>
      <c r="F246" s="96" t="s">
        <v>34</v>
      </c>
      <c r="G246" s="270" t="s">
        <v>35</v>
      </c>
      <c r="H246" s="272" t="s">
        <v>962</v>
      </c>
      <c r="I246" s="273">
        <v>25</v>
      </c>
      <c r="J246" s="270">
        <v>220</v>
      </c>
      <c r="K246" s="270">
        <f t="shared" si="0"/>
        <v>5500</v>
      </c>
      <c r="L246" s="270">
        <v>11232</v>
      </c>
      <c r="M246" s="270">
        <v>225</v>
      </c>
      <c r="N246" s="274">
        <v>93</v>
      </c>
      <c r="O246" s="55"/>
      <c r="P246" s="45">
        <v>93</v>
      </c>
      <c r="Q246" s="270">
        <v>173</v>
      </c>
      <c r="R246" s="275">
        <v>1.5200000000000001E-3</v>
      </c>
      <c r="S246" s="270">
        <v>181</v>
      </c>
      <c r="T246" s="270">
        <v>274</v>
      </c>
      <c r="U246" s="57">
        <v>1</v>
      </c>
      <c r="V246" s="276">
        <v>0.25</v>
      </c>
      <c r="W246" s="276">
        <v>0.1</v>
      </c>
      <c r="X246" s="270">
        <v>178</v>
      </c>
      <c r="Y246" s="270">
        <v>96</v>
      </c>
      <c r="Z246" s="45" t="b">
        <v>1</v>
      </c>
      <c r="AA246" s="45" t="s">
        <v>38</v>
      </c>
      <c r="AB246" s="45" t="s">
        <v>38</v>
      </c>
    </row>
    <row r="247" spans="1:28" x14ac:dyDescent="0.2">
      <c r="A247" s="270" t="s">
        <v>82</v>
      </c>
      <c r="B247" s="270" t="s">
        <v>82</v>
      </c>
      <c r="C247" s="277">
        <v>43882</v>
      </c>
      <c r="D247" s="277">
        <v>43910</v>
      </c>
      <c r="E247" s="270" t="s">
        <v>300</v>
      </c>
      <c r="F247" s="96" t="s">
        <v>34</v>
      </c>
      <c r="G247" s="270" t="s">
        <v>35</v>
      </c>
      <c r="H247" s="272" t="s">
        <v>965</v>
      </c>
      <c r="I247" s="273">
        <v>25</v>
      </c>
      <c r="J247" s="270">
        <v>1088</v>
      </c>
      <c r="K247" s="270">
        <f t="shared" si="0"/>
        <v>27200</v>
      </c>
      <c r="L247" s="270">
        <v>28420</v>
      </c>
      <c r="M247" s="270">
        <v>1250</v>
      </c>
      <c r="N247" s="274">
        <v>539</v>
      </c>
      <c r="O247" s="55"/>
      <c r="P247" s="45">
        <v>539</v>
      </c>
      <c r="Q247" s="270">
        <v>-630</v>
      </c>
      <c r="R247" s="275">
        <v>1.5200000000000001E-3</v>
      </c>
      <c r="S247" s="270">
        <v>-589</v>
      </c>
      <c r="T247" s="270">
        <v>-50</v>
      </c>
      <c r="U247" s="57">
        <v>1</v>
      </c>
      <c r="V247" s="276">
        <v>0.25</v>
      </c>
      <c r="W247" s="276">
        <v>0.1</v>
      </c>
      <c r="X247" s="270">
        <v>-32</v>
      </c>
      <c r="Y247" s="270">
        <v>-17</v>
      </c>
      <c r="Z247" s="45" t="b">
        <v>1</v>
      </c>
      <c r="AA247" s="45" t="s">
        <v>38</v>
      </c>
      <c r="AB247" s="45" t="s">
        <v>38</v>
      </c>
    </row>
    <row r="248" spans="1:28" x14ac:dyDescent="0.2">
      <c r="A248" s="270" t="s">
        <v>82</v>
      </c>
      <c r="B248" s="270" t="s">
        <v>82</v>
      </c>
      <c r="C248" s="277">
        <v>43882</v>
      </c>
      <c r="D248" s="277">
        <v>43910</v>
      </c>
      <c r="E248" s="270" t="s">
        <v>300</v>
      </c>
      <c r="F248" s="96" t="s">
        <v>41</v>
      </c>
      <c r="G248" s="270" t="s">
        <v>35</v>
      </c>
      <c r="H248" s="110" t="s">
        <v>966</v>
      </c>
      <c r="I248" s="273">
        <v>10</v>
      </c>
      <c r="J248" s="270">
        <v>1</v>
      </c>
      <c r="K248" s="270">
        <f t="shared" si="0"/>
        <v>10</v>
      </c>
      <c r="L248" s="270"/>
      <c r="M248" s="270">
        <v>0</v>
      </c>
      <c r="N248" s="274">
        <v>0</v>
      </c>
      <c r="O248" s="55"/>
      <c r="P248" s="45">
        <v>0</v>
      </c>
      <c r="Q248" s="270"/>
      <c r="R248" s="275">
        <v>0</v>
      </c>
      <c r="S248" s="270"/>
      <c r="T248" s="270">
        <v>0</v>
      </c>
      <c r="U248" s="57">
        <v>1</v>
      </c>
      <c r="V248" s="276">
        <v>0.25</v>
      </c>
      <c r="W248" s="276">
        <v>0.1</v>
      </c>
      <c r="X248" s="270">
        <v>0</v>
      </c>
      <c r="Y248" s="270">
        <v>0</v>
      </c>
      <c r="Z248" s="45" t="b">
        <v>1</v>
      </c>
      <c r="AA248" s="45" t="s">
        <v>38</v>
      </c>
      <c r="AB248" s="45" t="s">
        <v>38</v>
      </c>
    </row>
    <row r="249" spans="1:28" x14ac:dyDescent="0.2">
      <c r="A249" s="96" t="s">
        <v>178</v>
      </c>
      <c r="B249" s="96" t="s">
        <v>178</v>
      </c>
      <c r="C249" s="277">
        <v>43882</v>
      </c>
      <c r="D249" s="277">
        <v>43910</v>
      </c>
      <c r="E249" s="270" t="s">
        <v>267</v>
      </c>
      <c r="F249" s="96" t="s">
        <v>34</v>
      </c>
      <c r="G249" s="270" t="s">
        <v>35</v>
      </c>
      <c r="H249" s="110" t="s">
        <v>961</v>
      </c>
      <c r="I249" s="273">
        <v>10</v>
      </c>
      <c r="J249" s="270">
        <v>246</v>
      </c>
      <c r="K249" s="270">
        <f t="shared" si="0"/>
        <v>2460</v>
      </c>
      <c r="L249" s="270">
        <v>2110</v>
      </c>
      <c r="M249" s="270">
        <v>-520</v>
      </c>
      <c r="N249" s="274">
        <v>0</v>
      </c>
      <c r="O249" s="55"/>
      <c r="P249" s="45">
        <v>0</v>
      </c>
      <c r="Q249" s="270">
        <v>-152</v>
      </c>
      <c r="R249" s="275">
        <v>-1.5E-3</v>
      </c>
      <c r="S249" s="270">
        <v>-156</v>
      </c>
      <c r="T249" s="270">
        <v>-156</v>
      </c>
      <c r="U249" s="57">
        <v>1</v>
      </c>
      <c r="V249" s="276">
        <v>0.25</v>
      </c>
      <c r="W249" s="276">
        <v>0</v>
      </c>
      <c r="X249" s="270">
        <v>-117</v>
      </c>
      <c r="Y249" s="270">
        <v>-39</v>
      </c>
      <c r="Z249" s="45" t="b">
        <v>1</v>
      </c>
      <c r="AA249" s="45" t="s">
        <v>38</v>
      </c>
      <c r="AB249" s="45" t="s">
        <v>38</v>
      </c>
    </row>
    <row r="250" spans="1:28" x14ac:dyDescent="0.2">
      <c r="A250" s="96" t="s">
        <v>178</v>
      </c>
      <c r="B250" s="96" t="s">
        <v>178</v>
      </c>
      <c r="C250" s="277">
        <v>43882</v>
      </c>
      <c r="D250" s="277">
        <v>43910</v>
      </c>
      <c r="E250" s="270" t="s">
        <v>267</v>
      </c>
      <c r="F250" s="96" t="s">
        <v>34</v>
      </c>
      <c r="G250" s="270" t="s">
        <v>35</v>
      </c>
      <c r="H250" s="272" t="s">
        <v>967</v>
      </c>
      <c r="I250" s="273">
        <v>5</v>
      </c>
      <c r="J250" s="270">
        <v>434</v>
      </c>
      <c r="K250" s="270">
        <f t="shared" si="0"/>
        <v>2170</v>
      </c>
      <c r="L250" s="270">
        <v>22650</v>
      </c>
      <c r="M250" s="270">
        <v>300</v>
      </c>
      <c r="N250" s="274">
        <v>0</v>
      </c>
      <c r="O250" s="55"/>
      <c r="P250" s="45">
        <v>0</v>
      </c>
      <c r="Q250" s="270">
        <v>41</v>
      </c>
      <c r="R250" s="275">
        <v>-1.5E-3</v>
      </c>
      <c r="S250" s="270">
        <v>38</v>
      </c>
      <c r="T250" s="270">
        <v>38</v>
      </c>
      <c r="U250" s="57">
        <v>1</v>
      </c>
      <c r="V250" s="276">
        <v>0.25</v>
      </c>
      <c r="W250" s="276">
        <v>0</v>
      </c>
      <c r="X250" s="270">
        <v>28</v>
      </c>
      <c r="Y250" s="270">
        <v>9</v>
      </c>
      <c r="Z250" s="45" t="b">
        <v>1</v>
      </c>
      <c r="AA250" s="45" t="s">
        <v>38</v>
      </c>
      <c r="AB250" s="45" t="s">
        <v>38</v>
      </c>
    </row>
    <row r="251" spans="1:28" x14ac:dyDescent="0.2">
      <c r="A251" s="96" t="s">
        <v>178</v>
      </c>
      <c r="B251" s="96" t="s">
        <v>178</v>
      </c>
      <c r="C251" s="277">
        <v>43882</v>
      </c>
      <c r="D251" s="277">
        <v>43910</v>
      </c>
      <c r="E251" s="270" t="s">
        <v>267</v>
      </c>
      <c r="F251" s="96" t="s">
        <v>34</v>
      </c>
      <c r="G251" s="270" t="s">
        <v>35</v>
      </c>
      <c r="H251" s="272" t="s">
        <v>968</v>
      </c>
      <c r="I251" s="273">
        <v>5</v>
      </c>
      <c r="J251" s="270">
        <v>169</v>
      </c>
      <c r="K251" s="270">
        <f t="shared" si="0"/>
        <v>845</v>
      </c>
      <c r="L251" s="270">
        <v>21495</v>
      </c>
      <c r="M251" s="270">
        <v>-20</v>
      </c>
      <c r="N251" s="274">
        <v>0</v>
      </c>
      <c r="O251" s="55"/>
      <c r="P251" s="45">
        <v>0</v>
      </c>
      <c r="Q251" s="270">
        <v>118</v>
      </c>
      <c r="R251" s="275">
        <v>-1.5E-3</v>
      </c>
      <c r="S251" s="270">
        <v>117</v>
      </c>
      <c r="T251" s="270">
        <v>117</v>
      </c>
      <c r="U251" s="57">
        <v>1</v>
      </c>
      <c r="V251" s="276">
        <v>0.25</v>
      </c>
      <c r="W251" s="276">
        <v>0</v>
      </c>
      <c r="X251" s="270">
        <v>88</v>
      </c>
      <c r="Y251" s="270">
        <v>29</v>
      </c>
      <c r="Z251" s="45" t="b">
        <v>1</v>
      </c>
      <c r="AA251" s="45" t="s">
        <v>38</v>
      </c>
      <c r="AB251" s="45" t="s">
        <v>38</v>
      </c>
    </row>
    <row r="252" spans="1:28" x14ac:dyDescent="0.2">
      <c r="A252" s="270" t="s">
        <v>102</v>
      </c>
      <c r="B252" s="270" t="s">
        <v>102</v>
      </c>
      <c r="C252" s="277">
        <v>43882</v>
      </c>
      <c r="D252" s="277">
        <v>43910</v>
      </c>
      <c r="E252" s="270" t="s">
        <v>267</v>
      </c>
      <c r="F252" s="96" t="s">
        <v>41</v>
      </c>
      <c r="G252" s="270" t="s">
        <v>35</v>
      </c>
      <c r="H252" s="110" t="s">
        <v>961</v>
      </c>
      <c r="I252" s="273">
        <v>10</v>
      </c>
      <c r="J252" s="270">
        <v>279</v>
      </c>
      <c r="K252" s="270">
        <f t="shared" si="0"/>
        <v>2790</v>
      </c>
      <c r="L252" s="270"/>
      <c r="M252" s="270">
        <v>160</v>
      </c>
      <c r="N252" s="274">
        <v>7</v>
      </c>
      <c r="O252" s="55"/>
      <c r="P252" s="45">
        <v>7</v>
      </c>
      <c r="Q252" s="270"/>
      <c r="R252" s="275">
        <v>0</v>
      </c>
      <c r="S252" s="270"/>
      <c r="T252" s="270">
        <v>167</v>
      </c>
      <c r="U252" s="57">
        <v>1</v>
      </c>
      <c r="V252" s="276">
        <v>0.35</v>
      </c>
      <c r="W252" s="276">
        <v>0</v>
      </c>
      <c r="X252" s="270">
        <v>109</v>
      </c>
      <c r="Y252" s="270">
        <v>58</v>
      </c>
      <c r="Z252" s="45" t="b">
        <v>1</v>
      </c>
      <c r="AA252" s="45" t="s">
        <v>38</v>
      </c>
      <c r="AB252" s="45" t="s">
        <v>38</v>
      </c>
    </row>
    <row r="253" spans="1:28" x14ac:dyDescent="0.2">
      <c r="A253" s="270" t="s">
        <v>102</v>
      </c>
      <c r="B253" s="270" t="s">
        <v>102</v>
      </c>
      <c r="C253" s="277">
        <v>43882</v>
      </c>
      <c r="D253" s="277">
        <v>43910</v>
      </c>
      <c r="E253" s="270" t="s">
        <v>267</v>
      </c>
      <c r="F253" s="96" t="s">
        <v>34</v>
      </c>
      <c r="G253" s="270" t="s">
        <v>35</v>
      </c>
      <c r="H253" s="272" t="s">
        <v>963</v>
      </c>
      <c r="I253" s="273">
        <v>50</v>
      </c>
      <c r="J253" s="270">
        <v>872</v>
      </c>
      <c r="K253" s="270">
        <f t="shared" si="0"/>
        <v>43600</v>
      </c>
      <c r="L253" s="270">
        <v>30144</v>
      </c>
      <c r="M253" s="270">
        <v>-250</v>
      </c>
      <c r="N253" s="274">
        <v>91</v>
      </c>
      <c r="O253" s="55"/>
      <c r="P253" s="45">
        <v>91</v>
      </c>
      <c r="Q253" s="270">
        <v>27</v>
      </c>
      <c r="R253" s="275">
        <v>1.5200000000000001E-3</v>
      </c>
      <c r="S253" s="270">
        <v>93</v>
      </c>
      <c r="T253" s="270">
        <v>184</v>
      </c>
      <c r="U253" s="57">
        <v>1</v>
      </c>
      <c r="V253" s="276">
        <v>0.35</v>
      </c>
      <c r="W253" s="276">
        <v>0</v>
      </c>
      <c r="X253" s="270">
        <v>120</v>
      </c>
      <c r="Y253" s="270">
        <v>64</v>
      </c>
      <c r="Z253" s="45" t="b">
        <v>1</v>
      </c>
      <c r="AA253" s="45" t="s">
        <v>38</v>
      </c>
      <c r="AB253" s="45" t="s">
        <v>38</v>
      </c>
    </row>
    <row r="254" spans="1:28" x14ac:dyDescent="0.2">
      <c r="A254" s="270" t="s">
        <v>102</v>
      </c>
      <c r="B254" s="270" t="s">
        <v>102</v>
      </c>
      <c r="C254" s="277">
        <v>43882</v>
      </c>
      <c r="D254" s="277">
        <v>43910</v>
      </c>
      <c r="E254" s="270" t="s">
        <v>267</v>
      </c>
      <c r="F254" s="96" t="s">
        <v>41</v>
      </c>
      <c r="G254" s="270" t="s">
        <v>35</v>
      </c>
      <c r="H254" s="272" t="s">
        <v>967</v>
      </c>
      <c r="I254" s="273">
        <v>5</v>
      </c>
      <c r="J254" s="270">
        <v>4</v>
      </c>
      <c r="K254" s="270">
        <f t="shared" si="0"/>
        <v>20</v>
      </c>
      <c r="L254" s="270"/>
      <c r="M254" s="270">
        <v>60</v>
      </c>
      <c r="N254" s="274">
        <v>0</v>
      </c>
      <c r="O254" s="55"/>
      <c r="P254" s="45">
        <v>0</v>
      </c>
      <c r="Q254" s="270"/>
      <c r="R254" s="275">
        <v>0</v>
      </c>
      <c r="S254" s="270"/>
      <c r="T254" s="270">
        <v>60</v>
      </c>
      <c r="U254" s="57">
        <v>1</v>
      </c>
      <c r="V254" s="276">
        <v>0.35</v>
      </c>
      <c r="W254" s="276">
        <v>0</v>
      </c>
      <c r="X254" s="270">
        <v>39</v>
      </c>
      <c r="Y254" s="270">
        <v>21</v>
      </c>
      <c r="Z254" s="45" t="b">
        <v>1</v>
      </c>
      <c r="AA254" s="45" t="s">
        <v>38</v>
      </c>
      <c r="AB254" s="45" t="s">
        <v>38</v>
      </c>
    </row>
    <row r="255" spans="1:28" x14ac:dyDescent="0.2">
      <c r="A255" s="270" t="s">
        <v>102</v>
      </c>
      <c r="B255" s="270" t="s">
        <v>102</v>
      </c>
      <c r="C255" s="277">
        <v>43882</v>
      </c>
      <c r="D255" s="277">
        <v>43910</v>
      </c>
      <c r="E255" s="270" t="s">
        <v>267</v>
      </c>
      <c r="F255" s="96" t="s">
        <v>34</v>
      </c>
      <c r="G255" s="270" t="s">
        <v>35</v>
      </c>
      <c r="H255" s="272" t="s">
        <v>962</v>
      </c>
      <c r="I255" s="273">
        <v>25</v>
      </c>
      <c r="J255" s="270">
        <v>79</v>
      </c>
      <c r="K255" s="270">
        <f t="shared" si="0"/>
        <v>1975</v>
      </c>
      <c r="L255" s="270">
        <v>3882</v>
      </c>
      <c r="M255" s="270">
        <v>350</v>
      </c>
      <c r="N255" s="274">
        <v>4</v>
      </c>
      <c r="O255" s="55"/>
      <c r="P255" s="45">
        <v>4</v>
      </c>
      <c r="Q255" s="270">
        <v>55</v>
      </c>
      <c r="R255" s="275">
        <v>1.5200000000000001E-3</v>
      </c>
      <c r="S255" s="270">
        <v>58</v>
      </c>
      <c r="T255" s="270">
        <v>62</v>
      </c>
      <c r="U255" s="57">
        <v>1</v>
      </c>
      <c r="V255" s="276">
        <v>0.35</v>
      </c>
      <c r="W255" s="276">
        <v>0</v>
      </c>
      <c r="X255" s="270">
        <v>40</v>
      </c>
      <c r="Y255" s="270">
        <v>22</v>
      </c>
      <c r="Z255" s="45" t="b">
        <v>1</v>
      </c>
      <c r="AA255" s="45" t="s">
        <v>38</v>
      </c>
      <c r="AB255" s="45" t="s">
        <v>38</v>
      </c>
    </row>
    <row r="256" spans="1:28" x14ac:dyDescent="0.2">
      <c r="A256" s="270" t="s">
        <v>102</v>
      </c>
      <c r="B256" s="270" t="s">
        <v>102</v>
      </c>
      <c r="C256" s="277">
        <v>43882</v>
      </c>
      <c r="D256" s="277">
        <v>43910</v>
      </c>
      <c r="E256" s="270" t="s">
        <v>267</v>
      </c>
      <c r="F256" s="96" t="s">
        <v>41</v>
      </c>
      <c r="G256" s="270" t="s">
        <v>35</v>
      </c>
      <c r="H256" s="272" t="s">
        <v>969</v>
      </c>
      <c r="I256" s="273">
        <v>5</v>
      </c>
      <c r="J256" s="270">
        <v>14</v>
      </c>
      <c r="K256" s="270">
        <f t="shared" si="0"/>
        <v>70</v>
      </c>
      <c r="L256" s="270"/>
      <c r="M256" s="270">
        <v>0</v>
      </c>
      <c r="N256" s="274">
        <v>0</v>
      </c>
      <c r="O256" s="55"/>
      <c r="P256" s="45">
        <v>0</v>
      </c>
      <c r="Q256" s="270"/>
      <c r="R256" s="275">
        <v>0</v>
      </c>
      <c r="S256" s="270"/>
      <c r="T256" s="270">
        <v>0</v>
      </c>
      <c r="U256" s="57">
        <v>1</v>
      </c>
      <c r="V256" s="276">
        <v>0.35</v>
      </c>
      <c r="W256" s="276">
        <v>0</v>
      </c>
      <c r="X256" s="270">
        <v>0</v>
      </c>
      <c r="Y256" s="270">
        <v>0</v>
      </c>
      <c r="Z256" s="45" t="b">
        <v>1</v>
      </c>
      <c r="AA256" s="45" t="s">
        <v>38</v>
      </c>
      <c r="AB256" s="45" t="s">
        <v>38</v>
      </c>
    </row>
    <row r="257" spans="1:28" x14ac:dyDescent="0.2">
      <c r="A257" s="270" t="s">
        <v>508</v>
      </c>
      <c r="B257" s="270" t="s">
        <v>508</v>
      </c>
      <c r="C257" s="277">
        <v>43904</v>
      </c>
      <c r="D257" s="277">
        <v>43910</v>
      </c>
      <c r="E257" s="270" t="s">
        <v>267</v>
      </c>
      <c r="F257" s="96" t="s">
        <v>34</v>
      </c>
      <c r="G257" s="270" t="s">
        <v>35</v>
      </c>
      <c r="H257" s="272" t="s">
        <v>962</v>
      </c>
      <c r="I257" s="273">
        <v>25</v>
      </c>
      <c r="J257" s="270">
        <v>1008</v>
      </c>
      <c r="K257" s="270">
        <f t="shared" si="0"/>
        <v>25200</v>
      </c>
      <c r="L257" s="270">
        <v>44491</v>
      </c>
      <c r="M257" s="270">
        <v>550</v>
      </c>
      <c r="N257" s="274">
        <v>93</v>
      </c>
      <c r="O257" s="55"/>
      <c r="P257" s="45">
        <v>93</v>
      </c>
      <c r="Q257" s="270">
        <v>466</v>
      </c>
      <c r="R257" s="275">
        <v>1.5200000000000001E-3</v>
      </c>
      <c r="S257" s="270">
        <v>505</v>
      </c>
      <c r="T257" s="270">
        <v>598</v>
      </c>
      <c r="U257" s="57">
        <v>1</v>
      </c>
      <c r="V257" s="276">
        <v>0.20499999999999999</v>
      </c>
      <c r="W257" s="276">
        <v>0</v>
      </c>
      <c r="X257" s="270">
        <v>475</v>
      </c>
      <c r="Y257" s="270">
        <v>123</v>
      </c>
      <c r="Z257" s="45" t="b">
        <v>1</v>
      </c>
      <c r="AA257" s="45" t="s">
        <v>38</v>
      </c>
      <c r="AB257" s="45" t="s">
        <v>38</v>
      </c>
    </row>
    <row r="258" spans="1:28" x14ac:dyDescent="0.2">
      <c r="A258" s="270" t="s">
        <v>206</v>
      </c>
      <c r="B258" s="270" t="s">
        <v>939</v>
      </c>
      <c r="C258" s="277">
        <v>43882</v>
      </c>
      <c r="D258" s="277">
        <v>43910</v>
      </c>
      <c r="E258" s="270" t="s">
        <v>267</v>
      </c>
      <c r="F258" s="96" t="s">
        <v>34</v>
      </c>
      <c r="G258" s="270" t="s">
        <v>165</v>
      </c>
      <c r="H258" s="272" t="s">
        <v>109</v>
      </c>
      <c r="I258" s="273">
        <v>50</v>
      </c>
      <c r="J258" s="270">
        <v>31</v>
      </c>
      <c r="K258" s="270">
        <f t="shared" si="0"/>
        <v>1550</v>
      </c>
      <c r="L258" s="270">
        <v>933</v>
      </c>
      <c r="M258" s="270">
        <v>-150</v>
      </c>
      <c r="N258" s="274">
        <v>0</v>
      </c>
      <c r="O258" s="55"/>
      <c r="P258" s="45">
        <v>0</v>
      </c>
      <c r="Q258" s="270">
        <v>-32</v>
      </c>
      <c r="R258" s="275">
        <v>1.5200000000000001E-3</v>
      </c>
      <c r="S258" s="270">
        <v>-29</v>
      </c>
      <c r="T258" s="270">
        <v>-29</v>
      </c>
      <c r="U258" s="57">
        <v>1.0760000000000001</v>
      </c>
      <c r="V258" s="276">
        <v>0.3</v>
      </c>
      <c r="W258" s="276">
        <v>0</v>
      </c>
      <c r="X258" s="270">
        <v>-22</v>
      </c>
      <c r="Y258" s="270">
        <v>-9</v>
      </c>
      <c r="Z258" s="45" t="b">
        <v>1</v>
      </c>
      <c r="AA258" s="45" t="s">
        <v>38</v>
      </c>
      <c r="AB258" s="45" t="s">
        <v>50</v>
      </c>
    </row>
    <row r="259" spans="1:28" x14ac:dyDescent="0.2">
      <c r="A259" s="270" t="s">
        <v>206</v>
      </c>
      <c r="B259" s="270" t="s">
        <v>939</v>
      </c>
      <c r="C259" s="277">
        <v>43882</v>
      </c>
      <c r="D259" s="277">
        <v>43910</v>
      </c>
      <c r="E259" s="270" t="s">
        <v>267</v>
      </c>
      <c r="F259" s="96" t="s">
        <v>34</v>
      </c>
      <c r="G259" s="270" t="s">
        <v>165</v>
      </c>
      <c r="H259" s="272" t="s">
        <v>93</v>
      </c>
      <c r="I259" s="273">
        <v>25</v>
      </c>
      <c r="J259" s="270">
        <v>402</v>
      </c>
      <c r="K259" s="270">
        <f t="shared" si="0"/>
        <v>10050</v>
      </c>
      <c r="L259" s="270">
        <v>21403</v>
      </c>
      <c r="M259" s="270">
        <v>225</v>
      </c>
      <c r="N259" s="274">
        <v>0</v>
      </c>
      <c r="O259" s="55"/>
      <c r="P259" s="45">
        <v>0</v>
      </c>
      <c r="Q259" s="270">
        <v>225</v>
      </c>
      <c r="R259" s="275">
        <v>1.5200000000000001E-3</v>
      </c>
      <c r="S259" s="270">
        <v>241</v>
      </c>
      <c r="T259" s="270">
        <v>241</v>
      </c>
      <c r="U259" s="57">
        <v>1.0760000000000001</v>
      </c>
      <c r="V259" s="276">
        <v>0.3</v>
      </c>
      <c r="W259" s="276">
        <v>0</v>
      </c>
      <c r="X259" s="270">
        <v>181</v>
      </c>
      <c r="Y259" s="270">
        <v>78</v>
      </c>
      <c r="Z259" s="45" t="b">
        <v>1</v>
      </c>
      <c r="AA259" s="45" t="s">
        <v>38</v>
      </c>
      <c r="AB259" s="45" t="s">
        <v>50</v>
      </c>
    </row>
    <row r="260" spans="1:28" x14ac:dyDescent="0.2">
      <c r="A260" s="270" t="s">
        <v>206</v>
      </c>
      <c r="B260" s="270" t="s">
        <v>206</v>
      </c>
      <c r="C260" s="277">
        <v>43882</v>
      </c>
      <c r="D260" s="277">
        <v>43910</v>
      </c>
      <c r="E260" s="270" t="s">
        <v>267</v>
      </c>
      <c r="F260" s="96" t="s">
        <v>34</v>
      </c>
      <c r="G260" s="270" t="s">
        <v>35</v>
      </c>
      <c r="H260" s="272" t="s">
        <v>963</v>
      </c>
      <c r="I260" s="273">
        <v>50</v>
      </c>
      <c r="J260" s="270">
        <v>596</v>
      </c>
      <c r="K260" s="270">
        <f t="shared" si="0"/>
        <v>29800</v>
      </c>
      <c r="L260" s="270">
        <v>22081</v>
      </c>
      <c r="M260" s="270">
        <v>-2600</v>
      </c>
      <c r="N260" s="274">
        <v>0</v>
      </c>
      <c r="O260" s="55"/>
      <c r="P260" s="45">
        <v>0</v>
      </c>
      <c r="Q260" s="270">
        <v>96</v>
      </c>
      <c r="R260" s="275">
        <v>1.5200000000000001E-3</v>
      </c>
      <c r="S260" s="270">
        <v>141</v>
      </c>
      <c r="T260" s="270">
        <v>141</v>
      </c>
      <c r="U260" s="57">
        <v>1</v>
      </c>
      <c r="V260" s="276">
        <v>0.3</v>
      </c>
      <c r="W260" s="276">
        <v>0</v>
      </c>
      <c r="X260" s="270">
        <v>99</v>
      </c>
      <c r="Y260" s="270">
        <v>42</v>
      </c>
      <c r="Z260" s="45" t="b">
        <v>1</v>
      </c>
      <c r="AA260" s="45" t="s">
        <v>38</v>
      </c>
      <c r="AB260" s="45" t="s">
        <v>38</v>
      </c>
    </row>
    <row r="261" spans="1:28" x14ac:dyDescent="0.2">
      <c r="A261" s="270" t="s">
        <v>206</v>
      </c>
      <c r="B261" s="270" t="s">
        <v>206</v>
      </c>
      <c r="C261" s="277">
        <v>43882</v>
      </c>
      <c r="D261" s="277">
        <v>43910</v>
      </c>
      <c r="E261" s="270" t="s">
        <v>267</v>
      </c>
      <c r="F261" s="96" t="s">
        <v>34</v>
      </c>
      <c r="G261" s="270" t="s">
        <v>35</v>
      </c>
      <c r="H261" s="272" t="s">
        <v>962</v>
      </c>
      <c r="I261" s="273">
        <v>25</v>
      </c>
      <c r="J261" s="270">
        <v>458</v>
      </c>
      <c r="K261" s="270">
        <f t="shared" si="0"/>
        <v>11450</v>
      </c>
      <c r="L261" s="270">
        <v>8604</v>
      </c>
      <c r="M261" s="270">
        <v>175</v>
      </c>
      <c r="N261" s="274">
        <v>0</v>
      </c>
      <c r="O261" s="55"/>
      <c r="P261" s="45">
        <v>0</v>
      </c>
      <c r="Q261" s="270">
        <v>-353</v>
      </c>
      <c r="R261" s="275">
        <v>1.5200000000000001E-3</v>
      </c>
      <c r="S261" s="270">
        <v>-336</v>
      </c>
      <c r="T261" s="270">
        <v>-336</v>
      </c>
      <c r="U261" s="57">
        <v>1</v>
      </c>
      <c r="V261" s="276">
        <v>0.3</v>
      </c>
      <c r="W261" s="276">
        <v>0</v>
      </c>
      <c r="X261" s="270">
        <v>-235</v>
      </c>
      <c r="Y261" s="270">
        <v>-101</v>
      </c>
      <c r="Z261" s="45" t="b">
        <v>1</v>
      </c>
      <c r="AA261" s="45" t="s">
        <v>38</v>
      </c>
      <c r="AB261" s="45" t="s">
        <v>38</v>
      </c>
    </row>
    <row r="262" spans="1:28" x14ac:dyDescent="0.2">
      <c r="A262" s="270" t="s">
        <v>206</v>
      </c>
      <c r="B262" s="270" t="s">
        <v>206</v>
      </c>
      <c r="C262" s="277">
        <v>43882</v>
      </c>
      <c r="D262" s="277">
        <v>43910</v>
      </c>
      <c r="E262" s="270" t="s">
        <v>267</v>
      </c>
      <c r="F262" s="96" t="s">
        <v>34</v>
      </c>
      <c r="G262" s="270" t="s">
        <v>35</v>
      </c>
      <c r="H262" s="272" t="s">
        <v>965</v>
      </c>
      <c r="I262" s="273">
        <v>25</v>
      </c>
      <c r="J262" s="270">
        <v>831</v>
      </c>
      <c r="K262" s="270">
        <f t="shared" si="0"/>
        <v>20775</v>
      </c>
      <c r="L262" s="270">
        <v>36082</v>
      </c>
      <c r="M262" s="270">
        <v>325</v>
      </c>
      <c r="N262" s="274">
        <v>0</v>
      </c>
      <c r="O262" s="55"/>
      <c r="P262" s="45">
        <v>0</v>
      </c>
      <c r="Q262" s="270">
        <v>140</v>
      </c>
      <c r="R262" s="275">
        <v>1.5200000000000001E-3</v>
      </c>
      <c r="S262" s="270">
        <v>171</v>
      </c>
      <c r="T262" s="270">
        <v>171</v>
      </c>
      <c r="U262" s="57">
        <v>1</v>
      </c>
      <c r="V262" s="276">
        <v>0.3</v>
      </c>
      <c r="W262" s="276">
        <v>0</v>
      </c>
      <c r="X262" s="270">
        <v>120</v>
      </c>
      <c r="Y262" s="270">
        <v>51</v>
      </c>
      <c r="Z262" s="45" t="b">
        <v>1</v>
      </c>
      <c r="AA262" s="45" t="s">
        <v>38</v>
      </c>
      <c r="AB262" s="45" t="s">
        <v>38</v>
      </c>
    </row>
    <row r="263" spans="1:28" x14ac:dyDescent="0.2">
      <c r="A263" s="270" t="s">
        <v>206</v>
      </c>
      <c r="B263" s="270" t="s">
        <v>206</v>
      </c>
      <c r="C263" s="277">
        <v>43882</v>
      </c>
      <c r="D263" s="277">
        <v>43910</v>
      </c>
      <c r="E263" s="270" t="s">
        <v>267</v>
      </c>
      <c r="F263" s="96" t="s">
        <v>34</v>
      </c>
      <c r="G263" s="270" t="s">
        <v>35</v>
      </c>
      <c r="H263" s="272" t="s">
        <v>970</v>
      </c>
      <c r="I263" s="273">
        <v>25</v>
      </c>
      <c r="J263" s="270">
        <v>5</v>
      </c>
      <c r="K263" s="270">
        <f t="shared" si="0"/>
        <v>125</v>
      </c>
      <c r="L263" s="270">
        <v>52</v>
      </c>
      <c r="M263" s="270">
        <v>25</v>
      </c>
      <c r="N263" s="274">
        <v>0</v>
      </c>
      <c r="O263" s="55"/>
      <c r="P263" s="45">
        <v>0</v>
      </c>
      <c r="Q263" s="270">
        <v>-5</v>
      </c>
      <c r="R263" s="275">
        <v>1.5200000000000001E-3</v>
      </c>
      <c r="S263" s="270">
        <v>-5</v>
      </c>
      <c r="T263" s="270">
        <v>-5</v>
      </c>
      <c r="U263" s="57">
        <v>1</v>
      </c>
      <c r="V263" s="276">
        <v>0.3</v>
      </c>
      <c r="W263" s="276">
        <v>0</v>
      </c>
      <c r="X263" s="270">
        <v>-3</v>
      </c>
      <c r="Y263" s="270">
        <v>-1</v>
      </c>
      <c r="Z263" s="45" t="b">
        <v>1</v>
      </c>
      <c r="AA263" s="45" t="s">
        <v>38</v>
      </c>
      <c r="AB263" s="45" t="s">
        <v>38</v>
      </c>
    </row>
    <row r="264" spans="1:28" x14ac:dyDescent="0.2">
      <c r="A264" s="270" t="s">
        <v>145</v>
      </c>
      <c r="B264" s="270" t="s">
        <v>145</v>
      </c>
      <c r="C264" s="277">
        <v>43891</v>
      </c>
      <c r="D264" s="277">
        <v>43921</v>
      </c>
      <c r="E264" s="270" t="s">
        <v>300</v>
      </c>
      <c r="F264" s="96" t="s">
        <v>49</v>
      </c>
      <c r="G264" s="270" t="s">
        <v>35</v>
      </c>
      <c r="H264" s="272" t="s">
        <v>951</v>
      </c>
      <c r="I264" s="273">
        <v>100</v>
      </c>
      <c r="J264" s="270">
        <v>3033</v>
      </c>
      <c r="K264" s="270">
        <f t="shared" si="0"/>
        <v>303300</v>
      </c>
      <c r="L264" s="270">
        <v>140430</v>
      </c>
      <c r="M264" s="270">
        <v>6100</v>
      </c>
      <c r="N264" s="274">
        <v>1310</v>
      </c>
      <c r="O264" s="55"/>
      <c r="P264" s="105">
        <v>1310</v>
      </c>
      <c r="Q264" s="270">
        <v>10153</v>
      </c>
      <c r="R264" s="275">
        <v>4.2099999999999999E-4</v>
      </c>
      <c r="S264" s="270">
        <v>10281</v>
      </c>
      <c r="T264" s="270">
        <v>11591</v>
      </c>
      <c r="U264" s="57">
        <v>1</v>
      </c>
      <c r="V264" s="276">
        <v>0.16880000000000001</v>
      </c>
      <c r="W264" s="276">
        <v>5.6300000000000003E-2</v>
      </c>
      <c r="X264" s="270">
        <v>8982</v>
      </c>
      <c r="Y264" s="270">
        <v>2609</v>
      </c>
      <c r="Z264" s="45" t="b">
        <v>1</v>
      </c>
      <c r="AA264" s="45" t="s">
        <v>38</v>
      </c>
      <c r="AB264" s="45" t="s">
        <v>38</v>
      </c>
    </row>
    <row r="265" spans="1:28" x14ac:dyDescent="0.2">
      <c r="A265" s="270" t="s">
        <v>447</v>
      </c>
      <c r="B265" s="270" t="s">
        <v>910</v>
      </c>
      <c r="C265" s="277">
        <v>43891</v>
      </c>
      <c r="D265" s="277">
        <v>43921</v>
      </c>
      <c r="E265" s="270" t="s">
        <v>300</v>
      </c>
      <c r="F265" s="96" t="s">
        <v>49</v>
      </c>
      <c r="G265" s="270" t="s">
        <v>61</v>
      </c>
      <c r="H265" s="272" t="s">
        <v>93</v>
      </c>
      <c r="I265" s="273">
        <v>25</v>
      </c>
      <c r="J265" s="270">
        <v>1502</v>
      </c>
      <c r="K265" s="270">
        <f t="shared" si="0"/>
        <v>37550</v>
      </c>
      <c r="L265" s="270">
        <v>110584</v>
      </c>
      <c r="M265" s="270">
        <v>4175</v>
      </c>
      <c r="N265" s="274">
        <v>770</v>
      </c>
      <c r="O265" s="55"/>
      <c r="P265" s="45">
        <v>770</v>
      </c>
      <c r="Q265" s="270">
        <v>1698</v>
      </c>
      <c r="R265" s="275">
        <v>4.75E-4</v>
      </c>
      <c r="S265" s="270">
        <v>1716</v>
      </c>
      <c r="T265" s="270">
        <v>2486</v>
      </c>
      <c r="U265" s="57">
        <v>1</v>
      </c>
      <c r="V265" s="276">
        <v>0.23499999999999999</v>
      </c>
      <c r="W265" s="276">
        <v>0.11</v>
      </c>
      <c r="X265" s="270">
        <v>1628</v>
      </c>
      <c r="Y265" s="270">
        <v>858</v>
      </c>
      <c r="Z265" s="45" t="b">
        <v>1</v>
      </c>
      <c r="AA265" s="45" t="s">
        <v>50</v>
      </c>
      <c r="AB265" s="45" t="s">
        <v>50</v>
      </c>
    </row>
    <row r="266" spans="1:28" x14ac:dyDescent="0.2">
      <c r="A266" s="279" t="s">
        <v>286</v>
      </c>
      <c r="B266" s="279" t="s">
        <v>286</v>
      </c>
      <c r="C266" s="271">
        <v>43911</v>
      </c>
      <c r="D266" s="271">
        <v>43941</v>
      </c>
      <c r="E266" s="270" t="s">
        <v>267</v>
      </c>
      <c r="F266" s="133" t="s">
        <v>34</v>
      </c>
      <c r="G266" s="279" t="s">
        <v>35</v>
      </c>
      <c r="H266" s="110" t="s">
        <v>961</v>
      </c>
      <c r="I266" s="280">
        <v>10</v>
      </c>
      <c r="J266" s="279">
        <v>214</v>
      </c>
      <c r="K266" s="270">
        <f t="shared" si="0"/>
        <v>2140</v>
      </c>
      <c r="L266" s="279">
        <v>15301</v>
      </c>
      <c r="M266" s="279">
        <v>100</v>
      </c>
      <c r="N266" s="274"/>
      <c r="O266" s="55"/>
      <c r="P266" s="96"/>
      <c r="Q266" s="279">
        <v>99</v>
      </c>
      <c r="R266" s="275">
        <v>-8.1999999999999998E-4</v>
      </c>
      <c r="S266" s="279">
        <v>97</v>
      </c>
      <c r="T266" s="279">
        <v>97</v>
      </c>
      <c r="U266" s="57">
        <v>1</v>
      </c>
      <c r="V266" s="276">
        <v>0.35</v>
      </c>
      <c r="W266" s="276">
        <v>0</v>
      </c>
      <c r="X266" s="279">
        <v>63</v>
      </c>
      <c r="Y266" s="279">
        <v>34</v>
      </c>
      <c r="Z266" s="45" t="b">
        <v>1</v>
      </c>
      <c r="AA266" s="45" t="s">
        <v>38</v>
      </c>
      <c r="AB266" s="45" t="s">
        <v>38</v>
      </c>
    </row>
    <row r="267" spans="1:28" x14ac:dyDescent="0.2">
      <c r="A267" s="279" t="s">
        <v>286</v>
      </c>
      <c r="B267" s="279" t="s">
        <v>286</v>
      </c>
      <c r="C267" s="271">
        <v>43911</v>
      </c>
      <c r="D267" s="271">
        <v>43941</v>
      </c>
      <c r="E267" s="270" t="s">
        <v>267</v>
      </c>
      <c r="F267" s="133" t="s">
        <v>34</v>
      </c>
      <c r="G267" s="279" t="s">
        <v>35</v>
      </c>
      <c r="H267" s="272" t="s">
        <v>962</v>
      </c>
      <c r="I267" s="280">
        <v>25</v>
      </c>
      <c r="J267" s="279">
        <v>772</v>
      </c>
      <c r="K267" s="270">
        <f t="shared" si="0"/>
        <v>19300</v>
      </c>
      <c r="L267" s="279">
        <v>37652</v>
      </c>
      <c r="M267" s="279">
        <v>-750</v>
      </c>
      <c r="N267" s="281">
        <v>40</v>
      </c>
      <c r="O267" s="55"/>
      <c r="P267" s="45">
        <v>40</v>
      </c>
      <c r="Q267" s="279">
        <v>524</v>
      </c>
      <c r="R267" s="275">
        <v>-8.1999999999999998E-4</v>
      </c>
      <c r="S267" s="279">
        <v>509</v>
      </c>
      <c r="T267" s="279">
        <v>549</v>
      </c>
      <c r="U267" s="57">
        <v>1</v>
      </c>
      <c r="V267" s="276">
        <v>0.35</v>
      </c>
      <c r="W267" s="276">
        <v>0</v>
      </c>
      <c r="X267" s="279">
        <v>357</v>
      </c>
      <c r="Y267" s="279">
        <v>192</v>
      </c>
      <c r="Z267" s="45" t="b">
        <v>1</v>
      </c>
      <c r="AA267" s="45" t="s">
        <v>38</v>
      </c>
      <c r="AB267" s="45" t="s">
        <v>38</v>
      </c>
    </row>
    <row r="268" spans="1:28" x14ac:dyDescent="0.2">
      <c r="A268" s="279" t="s">
        <v>286</v>
      </c>
      <c r="B268" s="279" t="s">
        <v>286</v>
      </c>
      <c r="C268" s="271">
        <v>43911</v>
      </c>
      <c r="D268" s="271">
        <v>43941</v>
      </c>
      <c r="E268" s="270" t="s">
        <v>267</v>
      </c>
      <c r="F268" s="133" t="s">
        <v>34</v>
      </c>
      <c r="G268" s="279" t="s">
        <v>35</v>
      </c>
      <c r="H268" s="272" t="s">
        <v>963</v>
      </c>
      <c r="I268" s="280">
        <v>50</v>
      </c>
      <c r="J268" s="279">
        <v>42</v>
      </c>
      <c r="K268" s="270">
        <f t="shared" si="0"/>
        <v>2100</v>
      </c>
      <c r="L268" s="279">
        <v>71</v>
      </c>
      <c r="M268" s="279">
        <v>250</v>
      </c>
      <c r="N268" s="274"/>
      <c r="O268" s="55"/>
      <c r="P268" s="96"/>
      <c r="Q268" s="279">
        <v>-128</v>
      </c>
      <c r="R268" s="275">
        <v>-8.1999999999999998E-4</v>
      </c>
      <c r="S268" s="279">
        <v>-129</v>
      </c>
      <c r="T268" s="279">
        <v>-129</v>
      </c>
      <c r="U268" s="57">
        <v>1</v>
      </c>
      <c r="V268" s="276">
        <v>0.35</v>
      </c>
      <c r="W268" s="276">
        <v>0</v>
      </c>
      <c r="X268" s="279">
        <v>-84</v>
      </c>
      <c r="Y268" s="279">
        <v>-45</v>
      </c>
      <c r="Z268" s="45" t="b">
        <v>1</v>
      </c>
      <c r="AA268" s="45" t="s">
        <v>38</v>
      </c>
      <c r="AB268" s="45" t="s">
        <v>38</v>
      </c>
    </row>
    <row r="269" spans="1:28" x14ac:dyDescent="0.2">
      <c r="A269" s="279" t="s">
        <v>82</v>
      </c>
      <c r="B269" s="279" t="s">
        <v>82</v>
      </c>
      <c r="C269" s="282">
        <v>43911</v>
      </c>
      <c r="D269" s="282">
        <v>43941</v>
      </c>
      <c r="E269" s="270" t="s">
        <v>300</v>
      </c>
      <c r="F269" s="133" t="s">
        <v>34</v>
      </c>
      <c r="G269" s="279" t="s">
        <v>35</v>
      </c>
      <c r="H269" s="272" t="s">
        <v>962</v>
      </c>
      <c r="I269" s="280">
        <v>25</v>
      </c>
      <c r="J269" s="279">
        <v>897</v>
      </c>
      <c r="K269" s="270">
        <f t="shared" si="0"/>
        <v>22425</v>
      </c>
      <c r="L269" s="279">
        <v>55265</v>
      </c>
      <c r="M269" s="279">
        <v>525</v>
      </c>
      <c r="N269" s="281">
        <v>179</v>
      </c>
      <c r="O269" s="55"/>
      <c r="P269" s="45">
        <v>179</v>
      </c>
      <c r="Q269" s="279">
        <v>1147</v>
      </c>
      <c r="R269" s="275">
        <v>-8.1999999999999998E-4</v>
      </c>
      <c r="S269" s="279">
        <v>1129</v>
      </c>
      <c r="T269" s="279">
        <v>1308</v>
      </c>
      <c r="U269" s="57">
        <v>1</v>
      </c>
      <c r="V269" s="276">
        <v>0.25</v>
      </c>
      <c r="W269" s="276">
        <v>0.1</v>
      </c>
      <c r="X269" s="279">
        <v>850</v>
      </c>
      <c r="Y269" s="279">
        <v>458</v>
      </c>
      <c r="Z269" s="45" t="b">
        <v>1</v>
      </c>
      <c r="AA269" s="45" t="s">
        <v>38</v>
      </c>
      <c r="AB269" s="45" t="s">
        <v>38</v>
      </c>
    </row>
    <row r="270" spans="1:28" x14ac:dyDescent="0.2">
      <c r="A270" s="279" t="s">
        <v>82</v>
      </c>
      <c r="B270" s="279" t="s">
        <v>82</v>
      </c>
      <c r="C270" s="282">
        <v>43911</v>
      </c>
      <c r="D270" s="282">
        <v>43941</v>
      </c>
      <c r="E270" s="270" t="s">
        <v>300</v>
      </c>
      <c r="F270" s="133" t="s">
        <v>34</v>
      </c>
      <c r="G270" s="279" t="s">
        <v>35</v>
      </c>
      <c r="H270" s="272" t="s">
        <v>963</v>
      </c>
      <c r="I270" s="280">
        <v>50</v>
      </c>
      <c r="J270" s="279">
        <v>963</v>
      </c>
      <c r="K270" s="270">
        <f t="shared" si="0"/>
        <v>48150</v>
      </c>
      <c r="L270" s="279">
        <v>30275</v>
      </c>
      <c r="M270" s="279">
        <v>2850</v>
      </c>
      <c r="N270" s="281">
        <v>384</v>
      </c>
      <c r="O270" s="55"/>
      <c r="P270" s="45">
        <v>384</v>
      </c>
      <c r="Q270" s="279">
        <v>-252</v>
      </c>
      <c r="R270" s="275">
        <v>-8.1999999999999998E-4</v>
      </c>
      <c r="S270" s="279">
        <v>-291</v>
      </c>
      <c r="T270" s="279">
        <v>93</v>
      </c>
      <c r="U270" s="57">
        <v>1</v>
      </c>
      <c r="V270" s="276">
        <v>0.25</v>
      </c>
      <c r="W270" s="276">
        <v>0.1</v>
      </c>
      <c r="X270" s="279">
        <v>60</v>
      </c>
      <c r="Y270" s="279">
        <v>32</v>
      </c>
      <c r="Z270" s="45" t="b">
        <v>1</v>
      </c>
      <c r="AA270" s="45" t="s">
        <v>38</v>
      </c>
      <c r="AB270" s="45" t="s">
        <v>38</v>
      </c>
    </row>
    <row r="271" spans="1:28" x14ac:dyDescent="0.2">
      <c r="A271" s="279" t="s">
        <v>82</v>
      </c>
      <c r="B271" s="279" t="s">
        <v>82</v>
      </c>
      <c r="C271" s="282">
        <v>43911</v>
      </c>
      <c r="D271" s="282">
        <v>43941</v>
      </c>
      <c r="E271" s="270" t="s">
        <v>300</v>
      </c>
      <c r="F271" s="133" t="s">
        <v>34</v>
      </c>
      <c r="G271" s="279" t="s">
        <v>35</v>
      </c>
      <c r="H271" s="272" t="s">
        <v>964</v>
      </c>
      <c r="I271" s="280">
        <v>50</v>
      </c>
      <c r="J271" s="279">
        <v>103</v>
      </c>
      <c r="K271" s="270">
        <f t="shared" si="0"/>
        <v>5150</v>
      </c>
      <c r="L271" s="279">
        <v>5085</v>
      </c>
      <c r="M271" s="279">
        <v>400</v>
      </c>
      <c r="N271" s="281">
        <v>48</v>
      </c>
      <c r="O271" s="55"/>
      <c r="P271" s="45">
        <v>48</v>
      </c>
      <c r="Q271" s="279">
        <v>107</v>
      </c>
      <c r="R271" s="275">
        <v>-8.1999999999999998E-4</v>
      </c>
      <c r="S271" s="279">
        <v>103</v>
      </c>
      <c r="T271" s="279">
        <v>151</v>
      </c>
      <c r="U271" s="57">
        <v>1</v>
      </c>
      <c r="V271" s="276">
        <v>0.25</v>
      </c>
      <c r="W271" s="276">
        <v>0.1</v>
      </c>
      <c r="X271" s="279">
        <v>98</v>
      </c>
      <c r="Y271" s="279">
        <v>53</v>
      </c>
      <c r="Z271" s="45" t="b">
        <v>1</v>
      </c>
      <c r="AA271" s="45" t="s">
        <v>38</v>
      </c>
      <c r="AB271" s="45" t="s">
        <v>38</v>
      </c>
    </row>
    <row r="272" spans="1:28" x14ac:dyDescent="0.2">
      <c r="A272" s="96" t="s">
        <v>178</v>
      </c>
      <c r="B272" s="96" t="s">
        <v>178</v>
      </c>
      <c r="C272" s="282">
        <v>43911</v>
      </c>
      <c r="D272" s="282">
        <v>43941</v>
      </c>
      <c r="E272" s="270" t="s">
        <v>267</v>
      </c>
      <c r="F272" s="133" t="s">
        <v>34</v>
      </c>
      <c r="G272" s="279" t="s">
        <v>35</v>
      </c>
      <c r="H272" s="272" t="s">
        <v>968</v>
      </c>
      <c r="I272" s="280">
        <v>5</v>
      </c>
      <c r="J272" s="279">
        <v>429</v>
      </c>
      <c r="K272" s="270">
        <f t="shared" si="0"/>
        <v>2145</v>
      </c>
      <c r="L272" s="279">
        <v>38610</v>
      </c>
      <c r="M272" s="279">
        <v>325</v>
      </c>
      <c r="N272" s="281">
        <v>5</v>
      </c>
      <c r="O272" s="55"/>
      <c r="P272" s="45">
        <v>5</v>
      </c>
      <c r="Q272" s="279">
        <v>160</v>
      </c>
      <c r="R272" s="275">
        <v>-1.5E-3</v>
      </c>
      <c r="S272" s="279">
        <v>156</v>
      </c>
      <c r="T272" s="279">
        <v>161</v>
      </c>
      <c r="U272" s="57">
        <v>1</v>
      </c>
      <c r="V272" s="276">
        <v>0.25</v>
      </c>
      <c r="W272" s="276">
        <v>0</v>
      </c>
      <c r="X272" s="279">
        <v>121</v>
      </c>
      <c r="Y272" s="279">
        <v>40</v>
      </c>
      <c r="Z272" s="45" t="b">
        <v>1</v>
      </c>
      <c r="AA272" s="45" t="s">
        <v>38</v>
      </c>
      <c r="AB272" s="45" t="s">
        <v>38</v>
      </c>
    </row>
    <row r="273" spans="1:28" x14ac:dyDescent="0.2">
      <c r="A273" s="96" t="s">
        <v>178</v>
      </c>
      <c r="B273" s="96" t="s">
        <v>178</v>
      </c>
      <c r="C273" s="282">
        <v>43911</v>
      </c>
      <c r="D273" s="282">
        <v>43941</v>
      </c>
      <c r="E273" s="270" t="s">
        <v>267</v>
      </c>
      <c r="F273" s="133" t="s">
        <v>34</v>
      </c>
      <c r="G273" s="279" t="s">
        <v>35</v>
      </c>
      <c r="H273" s="110" t="s">
        <v>961</v>
      </c>
      <c r="I273" s="280">
        <v>10</v>
      </c>
      <c r="J273" s="279">
        <v>616</v>
      </c>
      <c r="K273" s="270">
        <f t="shared" si="0"/>
        <v>6160</v>
      </c>
      <c r="L273" s="279">
        <v>32032</v>
      </c>
      <c r="M273" s="279">
        <v>20</v>
      </c>
      <c r="N273" s="281">
        <v>11</v>
      </c>
      <c r="O273" s="55"/>
      <c r="P273" s="45">
        <v>11</v>
      </c>
      <c r="Q273" s="279">
        <v>130</v>
      </c>
      <c r="R273" s="275">
        <v>-1.5E-3</v>
      </c>
      <c r="S273" s="279">
        <v>121</v>
      </c>
      <c r="T273" s="279">
        <v>132</v>
      </c>
      <c r="U273" s="57">
        <v>1</v>
      </c>
      <c r="V273" s="276">
        <v>0.25</v>
      </c>
      <c r="W273" s="276">
        <v>0</v>
      </c>
      <c r="X273" s="279">
        <v>99</v>
      </c>
      <c r="Y273" s="279">
        <v>33</v>
      </c>
      <c r="Z273" s="45" t="b">
        <v>1</v>
      </c>
      <c r="AA273" s="45" t="s">
        <v>38</v>
      </c>
      <c r="AB273" s="45" t="s">
        <v>38</v>
      </c>
    </row>
    <row r="274" spans="1:28" x14ac:dyDescent="0.2">
      <c r="A274" s="279" t="s">
        <v>102</v>
      </c>
      <c r="B274" s="279" t="s">
        <v>102</v>
      </c>
      <c r="C274" s="282">
        <v>43911</v>
      </c>
      <c r="D274" s="282">
        <v>43941</v>
      </c>
      <c r="E274" s="270" t="s">
        <v>267</v>
      </c>
      <c r="F274" s="133" t="s">
        <v>34</v>
      </c>
      <c r="G274" s="279" t="s">
        <v>35</v>
      </c>
      <c r="H274" s="272" t="s">
        <v>962</v>
      </c>
      <c r="I274" s="280">
        <v>25</v>
      </c>
      <c r="J274" s="279">
        <v>526</v>
      </c>
      <c r="K274" s="270">
        <f t="shared" si="0"/>
        <v>13150</v>
      </c>
      <c r="L274" s="279">
        <v>28233</v>
      </c>
      <c r="M274" s="279">
        <v>-375</v>
      </c>
      <c r="N274" s="281">
        <v>15</v>
      </c>
      <c r="O274" s="55"/>
      <c r="P274" s="45">
        <v>15</v>
      </c>
      <c r="Q274" s="279">
        <v>478</v>
      </c>
      <c r="R274" s="275">
        <v>-8.1999999999999998E-4</v>
      </c>
      <c r="S274" s="279">
        <v>467</v>
      </c>
      <c r="T274" s="279">
        <v>482</v>
      </c>
      <c r="U274" s="57">
        <v>1</v>
      </c>
      <c r="V274" s="276">
        <v>0.35</v>
      </c>
      <c r="W274" s="276">
        <v>0</v>
      </c>
      <c r="X274" s="279">
        <v>313</v>
      </c>
      <c r="Y274" s="279">
        <v>169</v>
      </c>
      <c r="Z274" s="45" t="b">
        <v>1</v>
      </c>
      <c r="AA274" s="45" t="s">
        <v>38</v>
      </c>
      <c r="AB274" s="45" t="s">
        <v>38</v>
      </c>
    </row>
    <row r="275" spans="1:28" x14ac:dyDescent="0.2">
      <c r="A275" s="279" t="s">
        <v>102</v>
      </c>
      <c r="B275" s="279" t="s">
        <v>102</v>
      </c>
      <c r="C275" s="282">
        <v>43911</v>
      </c>
      <c r="D275" s="282">
        <v>43941</v>
      </c>
      <c r="E275" s="270" t="s">
        <v>267</v>
      </c>
      <c r="F275" s="133" t="s">
        <v>34</v>
      </c>
      <c r="G275" s="279" t="s">
        <v>35</v>
      </c>
      <c r="H275" s="272" t="s">
        <v>963</v>
      </c>
      <c r="I275" s="280">
        <v>50</v>
      </c>
      <c r="J275" s="279">
        <v>2354</v>
      </c>
      <c r="K275" s="270">
        <f t="shared" si="0"/>
        <v>117700</v>
      </c>
      <c r="L275" s="279">
        <v>107757</v>
      </c>
      <c r="M275" s="279">
        <v>5050</v>
      </c>
      <c r="N275" s="281">
        <v>131</v>
      </c>
      <c r="O275" s="55"/>
      <c r="P275" s="45">
        <v>131</v>
      </c>
      <c r="Q275" s="279">
        <v>2539</v>
      </c>
      <c r="R275" s="275">
        <v>-8.1999999999999998E-4</v>
      </c>
      <c r="S275" s="279">
        <v>2442</v>
      </c>
      <c r="T275" s="279">
        <v>2573</v>
      </c>
      <c r="U275" s="57">
        <v>1</v>
      </c>
      <c r="V275" s="276">
        <v>0.35</v>
      </c>
      <c r="W275" s="276">
        <v>0</v>
      </c>
      <c r="X275" s="279">
        <v>1673</v>
      </c>
      <c r="Y275" s="279">
        <v>901</v>
      </c>
      <c r="Z275" s="45" t="b">
        <v>1</v>
      </c>
      <c r="AA275" s="45" t="s">
        <v>38</v>
      </c>
      <c r="AB275" s="45" t="s">
        <v>38</v>
      </c>
    </row>
    <row r="276" spans="1:28" x14ac:dyDescent="0.2">
      <c r="A276" s="279" t="s">
        <v>102</v>
      </c>
      <c r="B276" s="279" t="s">
        <v>102</v>
      </c>
      <c r="C276" s="282">
        <v>43911</v>
      </c>
      <c r="D276" s="282">
        <v>43941</v>
      </c>
      <c r="E276" s="270" t="s">
        <v>267</v>
      </c>
      <c r="F276" s="133" t="s">
        <v>34</v>
      </c>
      <c r="G276" s="279" t="s">
        <v>35</v>
      </c>
      <c r="H276" s="272" t="s">
        <v>951</v>
      </c>
      <c r="I276" s="280">
        <v>100</v>
      </c>
      <c r="J276" s="279">
        <v>989</v>
      </c>
      <c r="K276" s="270">
        <f t="shared" si="0"/>
        <v>98900</v>
      </c>
      <c r="L276" s="279">
        <v>20577</v>
      </c>
      <c r="M276" s="279">
        <v>-7100</v>
      </c>
      <c r="N276" s="281">
        <v>92</v>
      </c>
      <c r="O276" s="55"/>
      <c r="P276" s="45">
        <v>92</v>
      </c>
      <c r="Q276" s="279">
        <v>-1172</v>
      </c>
      <c r="R276" s="275">
        <v>-8.1999999999999998E-4</v>
      </c>
      <c r="S276" s="279">
        <v>-1253</v>
      </c>
      <c r="T276" s="279">
        <v>-1161</v>
      </c>
      <c r="U276" s="57">
        <v>1</v>
      </c>
      <c r="V276" s="276">
        <v>0.35</v>
      </c>
      <c r="W276" s="276">
        <v>0</v>
      </c>
      <c r="X276" s="279">
        <v>-755</v>
      </c>
      <c r="Y276" s="279">
        <v>-406</v>
      </c>
      <c r="Z276" s="45" t="b">
        <v>1</v>
      </c>
      <c r="AA276" s="45" t="s">
        <v>38</v>
      </c>
      <c r="AB276" s="45" t="s">
        <v>38</v>
      </c>
    </row>
    <row r="277" spans="1:28" x14ac:dyDescent="0.2">
      <c r="A277" s="279" t="s">
        <v>102</v>
      </c>
      <c r="B277" s="279" t="s">
        <v>102</v>
      </c>
      <c r="C277" s="282">
        <v>43911</v>
      </c>
      <c r="D277" s="282">
        <v>43941</v>
      </c>
      <c r="E277" s="270" t="s">
        <v>267</v>
      </c>
      <c r="F277" s="133" t="s">
        <v>41</v>
      </c>
      <c r="G277" s="279" t="s">
        <v>35</v>
      </c>
      <c r="H277" s="110" t="s">
        <v>961</v>
      </c>
      <c r="I277" s="280">
        <v>10</v>
      </c>
      <c r="J277" s="279">
        <v>2</v>
      </c>
      <c r="K277" s="270">
        <f t="shared" si="0"/>
        <v>20</v>
      </c>
      <c r="L277" s="279"/>
      <c r="M277" s="279">
        <v>30</v>
      </c>
      <c r="N277" s="274"/>
      <c r="O277" s="55"/>
      <c r="P277" s="96"/>
      <c r="Q277" s="279"/>
      <c r="R277" s="275">
        <v>0</v>
      </c>
      <c r="S277" s="279"/>
      <c r="T277" s="279">
        <v>30</v>
      </c>
      <c r="U277" s="57">
        <v>1</v>
      </c>
      <c r="V277" s="276">
        <v>0.35</v>
      </c>
      <c r="W277" s="276">
        <v>0</v>
      </c>
      <c r="X277" s="279">
        <v>20</v>
      </c>
      <c r="Y277" s="279">
        <v>11</v>
      </c>
      <c r="Z277" s="45" t="b">
        <v>1</v>
      </c>
      <c r="AA277" s="45" t="s">
        <v>38</v>
      </c>
      <c r="AB277" s="45" t="s">
        <v>38</v>
      </c>
    </row>
    <row r="278" spans="1:28" x14ac:dyDescent="0.2">
      <c r="A278" s="279" t="s">
        <v>102</v>
      </c>
      <c r="B278" s="279" t="s">
        <v>102</v>
      </c>
      <c r="C278" s="282">
        <v>43911</v>
      </c>
      <c r="D278" s="282">
        <v>43941</v>
      </c>
      <c r="E278" s="270" t="s">
        <v>267</v>
      </c>
      <c r="F278" s="133" t="s">
        <v>41</v>
      </c>
      <c r="G278" s="279" t="s">
        <v>35</v>
      </c>
      <c r="H278" s="110" t="s">
        <v>971</v>
      </c>
      <c r="I278" s="280">
        <v>50</v>
      </c>
      <c r="J278" s="279">
        <v>1</v>
      </c>
      <c r="K278" s="270">
        <f t="shared" si="0"/>
        <v>50</v>
      </c>
      <c r="L278" s="279"/>
      <c r="M278" s="279">
        <v>-50</v>
      </c>
      <c r="N278" s="274"/>
      <c r="O278" s="55"/>
      <c r="P278" s="96"/>
      <c r="Q278" s="279"/>
      <c r="R278" s="275">
        <v>0</v>
      </c>
      <c r="S278" s="279"/>
      <c r="T278" s="279">
        <v>-50</v>
      </c>
      <c r="U278" s="57">
        <v>1</v>
      </c>
      <c r="V278" s="276">
        <v>0.35</v>
      </c>
      <c r="W278" s="276">
        <v>0</v>
      </c>
      <c r="X278" s="279">
        <v>-33</v>
      </c>
      <c r="Y278" s="279">
        <v>-18</v>
      </c>
      <c r="Z278" s="45" t="b">
        <v>1</v>
      </c>
      <c r="AA278" s="45" t="s">
        <v>38</v>
      </c>
      <c r="AB278" s="45" t="s">
        <v>38</v>
      </c>
    </row>
    <row r="279" spans="1:28" x14ac:dyDescent="0.2">
      <c r="A279" s="279" t="s">
        <v>508</v>
      </c>
      <c r="B279" s="279" t="s">
        <v>508</v>
      </c>
      <c r="C279" s="282">
        <v>43911</v>
      </c>
      <c r="D279" s="282">
        <v>43941</v>
      </c>
      <c r="E279" s="270" t="s">
        <v>267</v>
      </c>
      <c r="F279" s="133" t="s">
        <v>34</v>
      </c>
      <c r="G279" s="279" t="s">
        <v>35</v>
      </c>
      <c r="H279" s="272" t="s">
        <v>962</v>
      </c>
      <c r="I279" s="280">
        <v>25</v>
      </c>
      <c r="J279" s="279">
        <v>1221</v>
      </c>
      <c r="K279" s="270">
        <f t="shared" si="0"/>
        <v>30525</v>
      </c>
      <c r="L279" s="279">
        <v>64010</v>
      </c>
      <c r="M279" s="279">
        <v>2825</v>
      </c>
      <c r="N279" s="281">
        <v>85</v>
      </c>
      <c r="O279" s="55"/>
      <c r="P279" s="45">
        <v>85</v>
      </c>
      <c r="Q279" s="279">
        <v>1038</v>
      </c>
      <c r="R279" s="275">
        <v>-8.1999999999999998E-4</v>
      </c>
      <c r="S279" s="279">
        <v>1013</v>
      </c>
      <c r="T279" s="279">
        <v>1098</v>
      </c>
      <c r="U279" s="57">
        <v>1</v>
      </c>
      <c r="V279" s="276">
        <v>0.18</v>
      </c>
      <c r="W279" s="276">
        <v>0</v>
      </c>
      <c r="X279" s="279">
        <v>900</v>
      </c>
      <c r="Y279" s="279">
        <v>198</v>
      </c>
      <c r="Z279" s="45" t="b">
        <v>1</v>
      </c>
      <c r="AA279" s="45" t="s">
        <v>38</v>
      </c>
      <c r="AB279" s="45" t="s">
        <v>38</v>
      </c>
    </row>
    <row r="280" spans="1:28" x14ac:dyDescent="0.2">
      <c r="A280" s="279" t="s">
        <v>508</v>
      </c>
      <c r="B280" s="279" t="s">
        <v>508</v>
      </c>
      <c r="C280" s="282">
        <v>43911</v>
      </c>
      <c r="D280" s="282">
        <v>43941</v>
      </c>
      <c r="E280" s="270" t="s">
        <v>267</v>
      </c>
      <c r="F280" s="133" t="s">
        <v>34</v>
      </c>
      <c r="G280" s="279" t="s">
        <v>35</v>
      </c>
      <c r="H280" s="272" t="s">
        <v>963</v>
      </c>
      <c r="I280" s="280">
        <v>50</v>
      </c>
      <c r="J280" s="279">
        <v>4128</v>
      </c>
      <c r="K280" s="270">
        <f t="shared" si="0"/>
        <v>206400</v>
      </c>
      <c r="L280" s="279">
        <v>240213</v>
      </c>
      <c r="M280" s="279">
        <v>10600</v>
      </c>
      <c r="N280" s="281">
        <v>576</v>
      </c>
      <c r="O280" s="55"/>
      <c r="P280" s="45">
        <v>576</v>
      </c>
      <c r="Q280" s="279">
        <v>9242</v>
      </c>
      <c r="R280" s="275">
        <v>-8.1999999999999998E-4</v>
      </c>
      <c r="S280" s="279">
        <v>9073</v>
      </c>
      <c r="T280" s="279">
        <v>9649</v>
      </c>
      <c r="U280" s="57">
        <v>1</v>
      </c>
      <c r="V280" s="276">
        <v>0.18</v>
      </c>
      <c r="W280" s="276">
        <v>0</v>
      </c>
      <c r="X280" s="279">
        <v>7912</v>
      </c>
      <c r="Y280" s="279">
        <v>1737</v>
      </c>
      <c r="Z280" s="45" t="b">
        <v>1</v>
      </c>
      <c r="AA280" s="45" t="s">
        <v>38</v>
      </c>
      <c r="AB280" s="45" t="s">
        <v>38</v>
      </c>
    </row>
    <row r="281" spans="1:28" x14ac:dyDescent="0.2">
      <c r="A281" s="279" t="s">
        <v>206</v>
      </c>
      <c r="B281" s="279" t="s">
        <v>939</v>
      </c>
      <c r="C281" s="282">
        <v>43911</v>
      </c>
      <c r="D281" s="282">
        <v>43941</v>
      </c>
      <c r="E281" s="270" t="s">
        <v>267</v>
      </c>
      <c r="F281" s="133" t="s">
        <v>34</v>
      </c>
      <c r="G281" s="279" t="s">
        <v>165</v>
      </c>
      <c r="H281" s="272" t="s">
        <v>93</v>
      </c>
      <c r="I281" s="280">
        <v>25</v>
      </c>
      <c r="J281" s="279">
        <v>102</v>
      </c>
      <c r="K281" s="270">
        <f t="shared" si="0"/>
        <v>2550</v>
      </c>
      <c r="L281" s="279">
        <v>6772</v>
      </c>
      <c r="M281" s="279">
        <v>-75</v>
      </c>
      <c r="N281" s="281">
        <v>0</v>
      </c>
      <c r="O281" s="55"/>
      <c r="P281" s="45">
        <v>0</v>
      </c>
      <c r="Q281" s="279">
        <v>121</v>
      </c>
      <c r="R281" s="275">
        <v>-8.1999999999999998E-4</v>
      </c>
      <c r="S281" s="279">
        <v>119</v>
      </c>
      <c r="T281" s="279">
        <v>119</v>
      </c>
      <c r="U281" s="57">
        <v>1.083</v>
      </c>
      <c r="V281" s="276">
        <v>0.26</v>
      </c>
      <c r="W281" s="276">
        <v>0</v>
      </c>
      <c r="X281" s="279">
        <v>95</v>
      </c>
      <c r="Y281" s="279">
        <v>33</v>
      </c>
      <c r="Z281" s="45" t="b">
        <v>1</v>
      </c>
      <c r="AA281" s="45" t="s">
        <v>38</v>
      </c>
      <c r="AB281" s="45" t="s">
        <v>50</v>
      </c>
    </row>
    <row r="282" spans="1:28" x14ac:dyDescent="0.2">
      <c r="A282" s="279" t="s">
        <v>206</v>
      </c>
      <c r="B282" s="279" t="s">
        <v>939</v>
      </c>
      <c r="C282" s="282">
        <v>43911</v>
      </c>
      <c r="D282" s="282">
        <v>43941</v>
      </c>
      <c r="E282" s="270" t="s">
        <v>267</v>
      </c>
      <c r="F282" s="133" t="s">
        <v>34</v>
      </c>
      <c r="G282" s="279" t="s">
        <v>165</v>
      </c>
      <c r="H282" s="272" t="s">
        <v>109</v>
      </c>
      <c r="I282" s="280">
        <v>50</v>
      </c>
      <c r="J282" s="279">
        <v>35</v>
      </c>
      <c r="K282" s="270">
        <f t="shared" si="0"/>
        <v>1750</v>
      </c>
      <c r="L282" s="279">
        <v>-588</v>
      </c>
      <c r="M282" s="279">
        <v>-650</v>
      </c>
      <c r="N282" s="281">
        <v>0</v>
      </c>
      <c r="O282" s="55"/>
      <c r="P282" s="45">
        <v>0</v>
      </c>
      <c r="Q282" s="279">
        <v>-186</v>
      </c>
      <c r="R282" s="275">
        <v>-8.1999999999999998E-4</v>
      </c>
      <c r="S282" s="279">
        <v>-188</v>
      </c>
      <c r="T282" s="279">
        <v>-188</v>
      </c>
      <c r="U282" s="57">
        <v>1.083</v>
      </c>
      <c r="V282" s="276">
        <v>0.26</v>
      </c>
      <c r="W282" s="276">
        <v>0</v>
      </c>
      <c r="X282" s="279">
        <v>-150</v>
      </c>
      <c r="Y282" s="279">
        <v>-53</v>
      </c>
      <c r="Z282" s="45" t="b">
        <v>1</v>
      </c>
      <c r="AA282" s="45" t="s">
        <v>38</v>
      </c>
      <c r="AB282" s="45" t="s">
        <v>50</v>
      </c>
    </row>
    <row r="283" spans="1:28" x14ac:dyDescent="0.2">
      <c r="A283" s="279" t="s">
        <v>206</v>
      </c>
      <c r="B283" s="279" t="s">
        <v>206</v>
      </c>
      <c r="C283" s="282">
        <v>43911</v>
      </c>
      <c r="D283" s="282">
        <v>43941</v>
      </c>
      <c r="E283" s="270" t="s">
        <v>267</v>
      </c>
      <c r="F283" s="133" t="s">
        <v>34</v>
      </c>
      <c r="G283" s="279" t="s">
        <v>35</v>
      </c>
      <c r="H283" s="272" t="s">
        <v>962</v>
      </c>
      <c r="I283" s="280">
        <v>25</v>
      </c>
      <c r="J283" s="279">
        <v>263</v>
      </c>
      <c r="K283" s="270">
        <f t="shared" si="0"/>
        <v>6575</v>
      </c>
      <c r="L283" s="279">
        <v>21234</v>
      </c>
      <c r="M283" s="279">
        <v>475</v>
      </c>
      <c r="N283" s="281">
        <v>50</v>
      </c>
      <c r="O283" s="55"/>
      <c r="P283" s="45">
        <v>50</v>
      </c>
      <c r="Q283" s="279">
        <v>562</v>
      </c>
      <c r="R283" s="275">
        <v>-8.1999999999999998E-4</v>
      </c>
      <c r="S283" s="279">
        <v>556</v>
      </c>
      <c r="T283" s="279">
        <v>606</v>
      </c>
      <c r="U283" s="57">
        <v>1</v>
      </c>
      <c r="V283" s="276">
        <v>0.26</v>
      </c>
      <c r="W283" s="276">
        <v>0</v>
      </c>
      <c r="X283" s="279">
        <v>449</v>
      </c>
      <c r="Y283" s="279">
        <v>158</v>
      </c>
      <c r="Z283" s="45" t="b">
        <v>1</v>
      </c>
      <c r="AA283" s="45" t="s">
        <v>38</v>
      </c>
      <c r="AB283" s="45" t="s">
        <v>38</v>
      </c>
    </row>
    <row r="284" spans="1:28" x14ac:dyDescent="0.2">
      <c r="A284" s="279" t="s">
        <v>206</v>
      </c>
      <c r="B284" s="279" t="s">
        <v>206</v>
      </c>
      <c r="C284" s="282">
        <v>43911</v>
      </c>
      <c r="D284" s="282">
        <v>43941</v>
      </c>
      <c r="E284" s="270" t="s">
        <v>267</v>
      </c>
      <c r="F284" s="133" t="s">
        <v>34</v>
      </c>
      <c r="G284" s="279" t="s">
        <v>35</v>
      </c>
      <c r="H284" s="272" t="s">
        <v>963</v>
      </c>
      <c r="I284" s="280">
        <v>50</v>
      </c>
      <c r="J284" s="279">
        <v>1762</v>
      </c>
      <c r="K284" s="270">
        <f t="shared" si="0"/>
        <v>88100</v>
      </c>
      <c r="L284" s="279">
        <v>76483</v>
      </c>
      <c r="M284" s="279">
        <v>-2900</v>
      </c>
      <c r="N284" s="281">
        <v>668</v>
      </c>
      <c r="O284" s="55"/>
      <c r="P284" s="45">
        <v>668</v>
      </c>
      <c r="Q284" s="279">
        <v>1386</v>
      </c>
      <c r="R284" s="275">
        <v>-8.1999999999999998E-4</v>
      </c>
      <c r="S284" s="279">
        <v>1314</v>
      </c>
      <c r="T284" s="279">
        <v>1982</v>
      </c>
      <c r="U284" s="57">
        <v>1</v>
      </c>
      <c r="V284" s="276">
        <v>0.26</v>
      </c>
      <c r="W284" s="276">
        <v>0</v>
      </c>
      <c r="X284" s="279">
        <v>1467</v>
      </c>
      <c r="Y284" s="279">
        <v>515</v>
      </c>
      <c r="Z284" s="45" t="b">
        <v>1</v>
      </c>
      <c r="AA284" s="45" t="s">
        <v>38</v>
      </c>
      <c r="AB284" s="45" t="s">
        <v>38</v>
      </c>
    </row>
    <row r="285" spans="1:28" x14ac:dyDescent="0.2">
      <c r="A285" s="279" t="s">
        <v>206</v>
      </c>
      <c r="B285" s="279" t="s">
        <v>206</v>
      </c>
      <c r="C285" s="282">
        <v>43911</v>
      </c>
      <c r="D285" s="282">
        <v>43941</v>
      </c>
      <c r="E285" s="270" t="s">
        <v>267</v>
      </c>
      <c r="F285" s="133" t="s">
        <v>34</v>
      </c>
      <c r="G285" s="279" t="s">
        <v>35</v>
      </c>
      <c r="H285" s="272" t="s">
        <v>964</v>
      </c>
      <c r="I285" s="280">
        <v>50</v>
      </c>
      <c r="J285" s="279">
        <v>78</v>
      </c>
      <c r="K285" s="270">
        <f t="shared" si="0"/>
        <v>3900</v>
      </c>
      <c r="L285" s="279">
        <v>3671</v>
      </c>
      <c r="M285" s="279">
        <v>900</v>
      </c>
      <c r="N285" s="281">
        <v>35</v>
      </c>
      <c r="O285" s="55"/>
      <c r="P285" s="45">
        <v>35</v>
      </c>
      <c r="Q285" s="279">
        <v>59</v>
      </c>
      <c r="R285" s="275">
        <v>-8.1999999999999998E-4</v>
      </c>
      <c r="S285" s="279">
        <v>56</v>
      </c>
      <c r="T285" s="279">
        <v>91</v>
      </c>
      <c r="U285" s="57">
        <v>1</v>
      </c>
      <c r="V285" s="276">
        <v>0.26</v>
      </c>
      <c r="W285" s="276">
        <v>0</v>
      </c>
      <c r="X285" s="279">
        <v>67</v>
      </c>
      <c r="Y285" s="279">
        <v>24</v>
      </c>
      <c r="Z285" s="45" t="b">
        <v>1</v>
      </c>
      <c r="AA285" s="45" t="s">
        <v>38</v>
      </c>
      <c r="AB285" s="45" t="s">
        <v>38</v>
      </c>
    </row>
    <row r="286" spans="1:28" x14ac:dyDescent="0.2">
      <c r="A286" s="279" t="s">
        <v>206</v>
      </c>
      <c r="B286" s="279" t="s">
        <v>206</v>
      </c>
      <c r="C286" s="282">
        <v>43911</v>
      </c>
      <c r="D286" s="282">
        <v>43941</v>
      </c>
      <c r="E286" s="270" t="s">
        <v>267</v>
      </c>
      <c r="F286" s="133" t="s">
        <v>34</v>
      </c>
      <c r="G286" s="279" t="s">
        <v>35</v>
      </c>
      <c r="H286" s="272" t="s">
        <v>951</v>
      </c>
      <c r="I286" s="280">
        <v>100</v>
      </c>
      <c r="J286" s="279">
        <v>198</v>
      </c>
      <c r="K286" s="270">
        <f t="shared" si="0"/>
        <v>19800</v>
      </c>
      <c r="L286" s="279">
        <v>9099</v>
      </c>
      <c r="M286" s="279">
        <v>-2900</v>
      </c>
      <c r="N286" s="281">
        <v>125.18</v>
      </c>
      <c r="O286" s="55"/>
      <c r="P286" s="45">
        <v>125</v>
      </c>
      <c r="Q286" s="279">
        <v>556</v>
      </c>
      <c r="R286" s="275">
        <v>-8.1999999999999998E-4</v>
      </c>
      <c r="S286" s="279">
        <v>540</v>
      </c>
      <c r="T286" s="279">
        <v>665</v>
      </c>
      <c r="U286" s="57">
        <v>1</v>
      </c>
      <c r="V286" s="276">
        <v>0.26</v>
      </c>
      <c r="W286" s="276">
        <v>0</v>
      </c>
      <c r="X286" s="279">
        <v>492</v>
      </c>
      <c r="Y286" s="279">
        <v>173</v>
      </c>
      <c r="Z286" s="45" t="b">
        <v>1</v>
      </c>
      <c r="AA286" s="45" t="s">
        <v>38</v>
      </c>
      <c r="AB286" s="45" t="s">
        <v>38</v>
      </c>
    </row>
    <row r="287" spans="1:28" x14ac:dyDescent="0.2">
      <c r="A287" s="279" t="s">
        <v>145</v>
      </c>
      <c r="B287" s="279" t="s">
        <v>145</v>
      </c>
      <c r="C287" s="282">
        <v>43922</v>
      </c>
      <c r="D287" s="282">
        <v>43951</v>
      </c>
      <c r="E287" s="270" t="s">
        <v>300</v>
      </c>
      <c r="F287" s="133" t="s">
        <v>49</v>
      </c>
      <c r="G287" s="279" t="s">
        <v>35</v>
      </c>
      <c r="H287" s="272" t="s">
        <v>951</v>
      </c>
      <c r="I287" s="280">
        <v>100</v>
      </c>
      <c r="J287" s="279">
        <v>3890</v>
      </c>
      <c r="K287" s="270">
        <f t="shared" si="0"/>
        <v>389000</v>
      </c>
      <c r="L287" s="279">
        <v>132289</v>
      </c>
      <c r="M287" s="279">
        <v>13900</v>
      </c>
      <c r="N287" s="281">
        <v>380</v>
      </c>
      <c r="O287" s="55"/>
      <c r="P287" s="45">
        <v>380</v>
      </c>
      <c r="Q287" s="279">
        <v>3987</v>
      </c>
      <c r="R287" s="275">
        <v>7.156E-3</v>
      </c>
      <c r="S287" s="279">
        <v>6771</v>
      </c>
      <c r="T287" s="279">
        <v>7151</v>
      </c>
      <c r="U287" s="57">
        <v>1</v>
      </c>
      <c r="V287" s="276">
        <v>0.16880000000000001</v>
      </c>
      <c r="W287" s="276">
        <v>5.6300000000000003E-2</v>
      </c>
      <c r="X287" s="279">
        <v>5541</v>
      </c>
      <c r="Y287" s="279">
        <v>1610</v>
      </c>
      <c r="Z287" s="45" t="b">
        <v>1</v>
      </c>
      <c r="AA287" s="45" t="s">
        <v>38</v>
      </c>
      <c r="AB287" s="45" t="s">
        <v>38</v>
      </c>
    </row>
    <row r="288" spans="1:28" x14ac:dyDescent="0.2">
      <c r="A288" s="279" t="s">
        <v>447</v>
      </c>
      <c r="B288" s="279" t="s">
        <v>910</v>
      </c>
      <c r="C288" s="282">
        <v>43922</v>
      </c>
      <c r="D288" s="282">
        <v>43951</v>
      </c>
      <c r="E288" s="270" t="s">
        <v>300</v>
      </c>
      <c r="F288" s="133" t="s">
        <v>49</v>
      </c>
      <c r="G288" s="279" t="s">
        <v>61</v>
      </c>
      <c r="H288" s="272" t="s">
        <v>93</v>
      </c>
      <c r="I288" s="280">
        <v>25</v>
      </c>
      <c r="J288" s="279">
        <v>1437</v>
      </c>
      <c r="K288" s="270">
        <f t="shared" si="0"/>
        <v>35925</v>
      </c>
      <c r="L288" s="279">
        <v>81529</v>
      </c>
      <c r="M288" s="279">
        <v>1150</v>
      </c>
      <c r="N288" s="281">
        <f>75+75+25+500+50</f>
        <v>725</v>
      </c>
      <c r="O288" s="55"/>
      <c r="P288" s="45">
        <v>725</v>
      </c>
      <c r="Q288" s="279">
        <v>521</v>
      </c>
      <c r="R288" s="275">
        <v>7.1729999999999997E-3</v>
      </c>
      <c r="S288" s="279">
        <v>779</v>
      </c>
      <c r="T288" s="279">
        <v>1504</v>
      </c>
      <c r="U288" s="57">
        <v>1</v>
      </c>
      <c r="V288" s="276">
        <v>0.23499999999999999</v>
      </c>
      <c r="W288" s="276">
        <v>0.11</v>
      </c>
      <c r="X288" s="279">
        <v>985</v>
      </c>
      <c r="Y288" s="279">
        <v>519</v>
      </c>
      <c r="Z288" s="45" t="b">
        <v>1</v>
      </c>
      <c r="AA288" s="45" t="s">
        <v>50</v>
      </c>
      <c r="AB288" s="45" t="s">
        <v>50</v>
      </c>
    </row>
    <row r="289" spans="1:28" x14ac:dyDescent="0.2">
      <c r="A289" s="96" t="s">
        <v>102</v>
      </c>
      <c r="B289" s="96" t="s">
        <v>972</v>
      </c>
      <c r="C289" s="277">
        <v>43922</v>
      </c>
      <c r="D289" s="277">
        <v>43951</v>
      </c>
      <c r="E289" s="270" t="s">
        <v>267</v>
      </c>
      <c r="F289" s="133" t="s">
        <v>34</v>
      </c>
      <c r="G289" s="270" t="s">
        <v>69</v>
      </c>
      <c r="H289" s="272" t="s">
        <v>71</v>
      </c>
      <c r="I289" s="280">
        <v>20</v>
      </c>
      <c r="J289" s="279">
        <v>72</v>
      </c>
      <c r="K289" s="270">
        <f t="shared" si="0"/>
        <v>1440</v>
      </c>
      <c r="L289" s="279">
        <v>6220.69</v>
      </c>
      <c r="M289" s="279">
        <v>580</v>
      </c>
      <c r="N289" s="274">
        <v>57</v>
      </c>
      <c r="O289" s="55"/>
      <c r="P289" s="45">
        <v>57</v>
      </c>
      <c r="Q289" s="279">
        <v>140</v>
      </c>
      <c r="R289" s="275">
        <v>-2.0200000000000001E-3</v>
      </c>
      <c r="S289" s="279">
        <v>137</v>
      </c>
      <c r="T289" s="279">
        <v>194</v>
      </c>
      <c r="U289" s="57">
        <v>1</v>
      </c>
      <c r="V289" s="276">
        <v>0.35</v>
      </c>
      <c r="W289" s="276">
        <v>0</v>
      </c>
      <c r="X289" s="279">
        <v>126</v>
      </c>
      <c r="Y289" s="279">
        <v>68</v>
      </c>
      <c r="Z289" s="45" t="b">
        <v>1</v>
      </c>
      <c r="AA289" s="45" t="s">
        <v>38</v>
      </c>
      <c r="AB289" s="45" t="s">
        <v>38</v>
      </c>
    </row>
    <row r="290" spans="1:28" x14ac:dyDescent="0.2">
      <c r="A290" s="96" t="s">
        <v>102</v>
      </c>
      <c r="B290" s="96" t="s">
        <v>972</v>
      </c>
      <c r="C290" s="277">
        <v>43922</v>
      </c>
      <c r="D290" s="277">
        <v>43951</v>
      </c>
      <c r="E290" s="270" t="s">
        <v>267</v>
      </c>
      <c r="F290" s="133" t="s">
        <v>34</v>
      </c>
      <c r="G290" s="270" t="s">
        <v>69</v>
      </c>
      <c r="H290" s="272" t="s">
        <v>72</v>
      </c>
      <c r="I290" s="280">
        <v>50</v>
      </c>
      <c r="J290" s="279">
        <v>1801</v>
      </c>
      <c r="K290" s="270">
        <f t="shared" si="0"/>
        <v>90050</v>
      </c>
      <c r="L290" s="279">
        <v>72308.789999999994</v>
      </c>
      <c r="M290" s="279">
        <v>2950</v>
      </c>
      <c r="N290" s="274">
        <v>2982</v>
      </c>
      <c r="O290" s="55"/>
      <c r="P290" s="105">
        <v>2982</v>
      </c>
      <c r="Q290" s="279">
        <v>1968</v>
      </c>
      <c r="R290" s="275">
        <v>-2.0200000000000001E-3</v>
      </c>
      <c r="S290" s="279">
        <v>1786</v>
      </c>
      <c r="T290" s="279">
        <v>4768</v>
      </c>
      <c r="U290" s="57">
        <v>1</v>
      </c>
      <c r="V290" s="276">
        <v>0.35</v>
      </c>
      <c r="W290" s="276">
        <v>0</v>
      </c>
      <c r="X290" s="279">
        <v>3099</v>
      </c>
      <c r="Y290" s="279">
        <v>1669</v>
      </c>
      <c r="Z290" s="45" t="b">
        <v>1</v>
      </c>
      <c r="AA290" s="45" t="s">
        <v>38</v>
      </c>
      <c r="AB290" s="45" t="s">
        <v>38</v>
      </c>
    </row>
    <row r="291" spans="1:28" x14ac:dyDescent="0.2">
      <c r="A291" s="96" t="s">
        <v>286</v>
      </c>
      <c r="B291" s="96" t="s">
        <v>286</v>
      </c>
      <c r="C291" s="283">
        <v>43942</v>
      </c>
      <c r="D291" s="284">
        <v>43971</v>
      </c>
      <c r="E291" s="270" t="s">
        <v>267</v>
      </c>
      <c r="F291" s="133" t="s">
        <v>34</v>
      </c>
      <c r="G291" s="96" t="s">
        <v>35</v>
      </c>
      <c r="H291" s="110" t="s">
        <v>961</v>
      </c>
      <c r="I291" s="58">
        <v>10</v>
      </c>
      <c r="J291" s="69">
        <v>76</v>
      </c>
      <c r="K291" s="270">
        <f t="shared" si="0"/>
        <v>760</v>
      </c>
      <c r="L291" s="279">
        <v>473</v>
      </c>
      <c r="M291" s="279">
        <v>-90</v>
      </c>
      <c r="N291" s="285">
        <v>4.5999999999999996</v>
      </c>
      <c r="O291" s="55"/>
      <c r="P291" s="45">
        <v>5</v>
      </c>
      <c r="Q291" s="279">
        <v>-47</v>
      </c>
      <c r="R291" s="275">
        <v>-2.0200000000000001E-3</v>
      </c>
      <c r="S291" s="279">
        <v>-49</v>
      </c>
      <c r="T291" s="279">
        <v>-44</v>
      </c>
      <c r="U291" s="57">
        <v>1</v>
      </c>
      <c r="V291" s="276">
        <v>0.25</v>
      </c>
      <c r="W291" s="276">
        <v>0</v>
      </c>
      <c r="X291" s="279">
        <v>-33</v>
      </c>
      <c r="Y291" s="279">
        <v>-11</v>
      </c>
      <c r="Z291" s="45" t="b">
        <v>1</v>
      </c>
      <c r="AA291" s="45" t="s">
        <v>38</v>
      </c>
      <c r="AB291" s="45" t="s">
        <v>38</v>
      </c>
    </row>
    <row r="292" spans="1:28" x14ac:dyDescent="0.2">
      <c r="A292" s="96" t="s">
        <v>286</v>
      </c>
      <c r="B292" s="96" t="s">
        <v>286</v>
      </c>
      <c r="C292" s="283">
        <v>43942</v>
      </c>
      <c r="D292" s="284">
        <v>43971</v>
      </c>
      <c r="E292" s="270" t="s">
        <v>267</v>
      </c>
      <c r="F292" s="133" t="s">
        <v>34</v>
      </c>
      <c r="G292" s="96" t="s">
        <v>35</v>
      </c>
      <c r="H292" s="110" t="s">
        <v>966</v>
      </c>
      <c r="I292" s="58">
        <v>10</v>
      </c>
      <c r="J292" s="69">
        <v>1824</v>
      </c>
      <c r="K292" s="270">
        <f t="shared" si="0"/>
        <v>18240</v>
      </c>
      <c r="L292" s="279">
        <v>53246</v>
      </c>
      <c r="M292" s="279">
        <v>-250</v>
      </c>
      <c r="N292" s="285">
        <v>111.4</v>
      </c>
      <c r="O292" s="55"/>
      <c r="P292" s="45">
        <v>111</v>
      </c>
      <c r="Q292" s="279">
        <v>291</v>
      </c>
      <c r="R292" s="275">
        <v>-2.0200000000000001E-3</v>
      </c>
      <c r="S292" s="279">
        <v>255</v>
      </c>
      <c r="T292" s="279">
        <v>366</v>
      </c>
      <c r="U292" s="57">
        <v>1</v>
      </c>
      <c r="V292" s="276">
        <v>0.25</v>
      </c>
      <c r="W292" s="276">
        <v>0</v>
      </c>
      <c r="X292" s="279">
        <v>274</v>
      </c>
      <c r="Y292" s="279">
        <v>91</v>
      </c>
      <c r="Z292" s="45" t="b">
        <v>1</v>
      </c>
      <c r="AA292" s="45" t="s">
        <v>38</v>
      </c>
      <c r="AB292" s="45" t="s">
        <v>38</v>
      </c>
    </row>
    <row r="293" spans="1:28" x14ac:dyDescent="0.2">
      <c r="A293" s="96" t="s">
        <v>286</v>
      </c>
      <c r="B293" s="96" t="s">
        <v>286</v>
      </c>
      <c r="C293" s="283">
        <v>43942</v>
      </c>
      <c r="D293" s="284">
        <v>43971</v>
      </c>
      <c r="E293" s="270" t="s">
        <v>267</v>
      </c>
      <c r="F293" s="133" t="s">
        <v>34</v>
      </c>
      <c r="G293" s="96" t="s">
        <v>35</v>
      </c>
      <c r="H293" s="272" t="s">
        <v>962</v>
      </c>
      <c r="I293" s="58">
        <v>25</v>
      </c>
      <c r="J293" s="69">
        <v>920</v>
      </c>
      <c r="K293" s="270">
        <f t="shared" si="0"/>
        <v>23000</v>
      </c>
      <c r="L293" s="279">
        <v>27714</v>
      </c>
      <c r="M293" s="279">
        <v>-650</v>
      </c>
      <c r="N293" s="285">
        <v>120.5</v>
      </c>
      <c r="O293" s="55"/>
      <c r="P293" s="45">
        <v>121</v>
      </c>
      <c r="Q293" s="279">
        <v>-177</v>
      </c>
      <c r="R293" s="275">
        <v>-2.0200000000000001E-3</v>
      </c>
      <c r="S293" s="279">
        <v>-223</v>
      </c>
      <c r="T293" s="279">
        <v>-103</v>
      </c>
      <c r="U293" s="57">
        <v>1</v>
      </c>
      <c r="V293" s="276">
        <v>0.25</v>
      </c>
      <c r="W293" s="276">
        <v>0</v>
      </c>
      <c r="X293" s="279">
        <v>-77</v>
      </c>
      <c r="Y293" s="279">
        <v>-26</v>
      </c>
      <c r="Z293" s="45" t="b">
        <v>1</v>
      </c>
      <c r="AA293" s="45" t="s">
        <v>38</v>
      </c>
      <c r="AB293" s="45" t="s">
        <v>38</v>
      </c>
    </row>
    <row r="294" spans="1:28" x14ac:dyDescent="0.2">
      <c r="A294" s="96" t="s">
        <v>286</v>
      </c>
      <c r="B294" s="96" t="s">
        <v>286</v>
      </c>
      <c r="C294" s="283">
        <v>43942</v>
      </c>
      <c r="D294" s="284">
        <v>43971</v>
      </c>
      <c r="E294" s="270" t="s">
        <v>267</v>
      </c>
      <c r="F294" s="133" t="s">
        <v>34</v>
      </c>
      <c r="G294" s="96" t="s">
        <v>35</v>
      </c>
      <c r="H294" s="110" t="s">
        <v>973</v>
      </c>
      <c r="I294" s="58">
        <v>25</v>
      </c>
      <c r="J294" s="69">
        <v>127</v>
      </c>
      <c r="K294" s="270">
        <f t="shared" si="0"/>
        <v>3175</v>
      </c>
      <c r="L294" s="279">
        <v>4418</v>
      </c>
      <c r="M294" s="279">
        <v>125</v>
      </c>
      <c r="N294" s="285">
        <v>16.600000000000001</v>
      </c>
      <c r="O294" s="55"/>
      <c r="P294" s="45">
        <v>17</v>
      </c>
      <c r="Q294" s="279">
        <v>141</v>
      </c>
      <c r="R294" s="275">
        <v>-2.0200000000000001E-3</v>
      </c>
      <c r="S294" s="279">
        <v>134</v>
      </c>
      <c r="T294" s="279">
        <v>151</v>
      </c>
      <c r="U294" s="57">
        <v>1</v>
      </c>
      <c r="V294" s="276">
        <v>0.25</v>
      </c>
      <c r="W294" s="276">
        <v>0</v>
      </c>
      <c r="X294" s="279">
        <v>113</v>
      </c>
      <c r="Y294" s="279">
        <v>38</v>
      </c>
      <c r="Z294" s="45" t="b">
        <v>1</v>
      </c>
      <c r="AA294" s="45" t="s">
        <v>38</v>
      </c>
      <c r="AB294" s="45" t="s">
        <v>38</v>
      </c>
    </row>
    <row r="295" spans="1:28" x14ac:dyDescent="0.2">
      <c r="A295" s="96" t="s">
        <v>286</v>
      </c>
      <c r="B295" s="96" t="s">
        <v>286</v>
      </c>
      <c r="C295" s="283">
        <v>43942</v>
      </c>
      <c r="D295" s="284">
        <v>43971</v>
      </c>
      <c r="E295" s="270" t="s">
        <v>267</v>
      </c>
      <c r="F295" s="133" t="s">
        <v>34</v>
      </c>
      <c r="G295" s="96" t="s">
        <v>35</v>
      </c>
      <c r="H295" s="110" t="s">
        <v>974</v>
      </c>
      <c r="I295" s="58">
        <v>5</v>
      </c>
      <c r="J295" s="69">
        <v>1</v>
      </c>
      <c r="K295" s="270">
        <f t="shared" si="0"/>
        <v>5</v>
      </c>
      <c r="L295" s="279">
        <v>579</v>
      </c>
      <c r="M295" s="279">
        <v>5</v>
      </c>
      <c r="N295" s="285">
        <v>0</v>
      </c>
      <c r="O295" s="55"/>
      <c r="P295" s="45">
        <v>0</v>
      </c>
      <c r="Q295" s="279">
        <v>8</v>
      </c>
      <c r="R295" s="275">
        <v>-2.0200000000000001E-3</v>
      </c>
      <c r="S295" s="279">
        <v>8</v>
      </c>
      <c r="T295" s="279">
        <v>8</v>
      </c>
      <c r="U295" s="57">
        <v>1</v>
      </c>
      <c r="V295" s="276">
        <v>0.25</v>
      </c>
      <c r="W295" s="276">
        <v>0</v>
      </c>
      <c r="X295" s="279">
        <v>6</v>
      </c>
      <c r="Y295" s="279">
        <v>2</v>
      </c>
      <c r="Z295" s="45" t="b">
        <v>1</v>
      </c>
      <c r="AA295" s="45" t="s">
        <v>38</v>
      </c>
      <c r="AB295" s="45" t="s">
        <v>38</v>
      </c>
    </row>
    <row r="296" spans="1:28" x14ac:dyDescent="0.2">
      <c r="A296" s="96" t="s">
        <v>286</v>
      </c>
      <c r="B296" s="96" t="s">
        <v>286</v>
      </c>
      <c r="C296" s="283">
        <v>43942</v>
      </c>
      <c r="D296" s="284">
        <v>43971</v>
      </c>
      <c r="E296" s="270" t="s">
        <v>267</v>
      </c>
      <c r="F296" s="133" t="s">
        <v>34</v>
      </c>
      <c r="G296" s="96" t="s">
        <v>35</v>
      </c>
      <c r="H296" s="272" t="s">
        <v>963</v>
      </c>
      <c r="I296" s="58">
        <v>50</v>
      </c>
      <c r="J296" s="69">
        <v>101</v>
      </c>
      <c r="K296" s="270">
        <f t="shared" si="0"/>
        <v>5050</v>
      </c>
      <c r="L296" s="279">
        <v>6126</v>
      </c>
      <c r="M296" s="279">
        <v>-650</v>
      </c>
      <c r="N296" s="285">
        <v>26.4</v>
      </c>
      <c r="O296" s="55"/>
      <c r="P296" s="45">
        <v>26</v>
      </c>
      <c r="Q296" s="279">
        <v>249</v>
      </c>
      <c r="R296" s="275">
        <v>-2.0200000000000001E-3</v>
      </c>
      <c r="S296" s="279">
        <v>239</v>
      </c>
      <c r="T296" s="279">
        <v>266</v>
      </c>
      <c r="U296" s="57">
        <v>1</v>
      </c>
      <c r="V296" s="276">
        <v>0.25</v>
      </c>
      <c r="W296" s="276">
        <v>0</v>
      </c>
      <c r="X296" s="279">
        <v>199</v>
      </c>
      <c r="Y296" s="279">
        <v>66</v>
      </c>
      <c r="Z296" s="45" t="b">
        <v>1</v>
      </c>
      <c r="AA296" s="45" t="s">
        <v>38</v>
      </c>
      <c r="AB296" s="45" t="s">
        <v>38</v>
      </c>
    </row>
    <row r="297" spans="1:28" x14ac:dyDescent="0.2">
      <c r="A297" s="96" t="s">
        <v>82</v>
      </c>
      <c r="B297" s="96" t="s">
        <v>82</v>
      </c>
      <c r="C297" s="283">
        <v>43942</v>
      </c>
      <c r="D297" s="284">
        <v>43971</v>
      </c>
      <c r="E297" s="270" t="s">
        <v>300</v>
      </c>
      <c r="F297" s="133" t="s">
        <v>34</v>
      </c>
      <c r="G297" s="96" t="s">
        <v>35</v>
      </c>
      <c r="H297" s="110" t="s">
        <v>961</v>
      </c>
      <c r="I297" s="58">
        <v>10</v>
      </c>
      <c r="J297" s="69">
        <v>86</v>
      </c>
      <c r="K297" s="270">
        <f t="shared" si="0"/>
        <v>860</v>
      </c>
      <c r="L297" s="279">
        <v>-5555</v>
      </c>
      <c r="M297" s="279">
        <v>-190</v>
      </c>
      <c r="N297" s="281">
        <v>2.8</v>
      </c>
      <c r="O297" s="55"/>
      <c r="P297" s="45">
        <v>3</v>
      </c>
      <c r="Q297" s="279">
        <v>-166</v>
      </c>
      <c r="R297" s="275">
        <v>-2.0200000000000001E-3</v>
      </c>
      <c r="S297" s="279">
        <v>-168</v>
      </c>
      <c r="T297" s="279">
        <v>-165</v>
      </c>
      <c r="U297" s="57">
        <v>1</v>
      </c>
      <c r="V297" s="276">
        <v>0.25</v>
      </c>
      <c r="W297" s="276">
        <v>0.1</v>
      </c>
      <c r="X297" s="279">
        <v>-107</v>
      </c>
      <c r="Y297" s="279">
        <v>-58</v>
      </c>
      <c r="Z297" s="45" t="b">
        <v>1</v>
      </c>
      <c r="AA297" s="45" t="s">
        <v>38</v>
      </c>
      <c r="AB297" s="45" t="s">
        <v>38</v>
      </c>
    </row>
    <row r="298" spans="1:28" x14ac:dyDescent="0.2">
      <c r="A298" s="96" t="s">
        <v>82</v>
      </c>
      <c r="B298" s="96" t="s">
        <v>82</v>
      </c>
      <c r="C298" s="283">
        <v>43942</v>
      </c>
      <c r="D298" s="284">
        <v>43971</v>
      </c>
      <c r="E298" s="270" t="s">
        <v>300</v>
      </c>
      <c r="F298" s="133" t="s">
        <v>34</v>
      </c>
      <c r="G298" s="96" t="s">
        <v>35</v>
      </c>
      <c r="H298" s="272" t="s">
        <v>962</v>
      </c>
      <c r="I298" s="58">
        <v>25</v>
      </c>
      <c r="J298" s="69">
        <v>400</v>
      </c>
      <c r="K298" s="270">
        <f t="shared" si="0"/>
        <v>10000</v>
      </c>
      <c r="L298" s="279">
        <v>10276</v>
      </c>
      <c r="M298" s="279">
        <v>575</v>
      </c>
      <c r="N298" s="281">
        <v>27.7</v>
      </c>
      <c r="O298" s="55"/>
      <c r="P298" s="45">
        <v>28</v>
      </c>
      <c r="Q298" s="279">
        <v>-160</v>
      </c>
      <c r="R298" s="275">
        <v>-2.0200000000000001E-3</v>
      </c>
      <c r="S298" s="279">
        <v>-180</v>
      </c>
      <c r="T298" s="279">
        <v>-152</v>
      </c>
      <c r="U298" s="57">
        <v>1</v>
      </c>
      <c r="V298" s="276">
        <v>0.25</v>
      </c>
      <c r="W298" s="276">
        <v>0.1</v>
      </c>
      <c r="X298" s="279">
        <v>-99</v>
      </c>
      <c r="Y298" s="279">
        <v>-53</v>
      </c>
      <c r="Z298" s="45" t="b">
        <v>1</v>
      </c>
      <c r="AA298" s="45" t="s">
        <v>38</v>
      </c>
      <c r="AB298" s="45" t="s">
        <v>38</v>
      </c>
    </row>
    <row r="299" spans="1:28" x14ac:dyDescent="0.2">
      <c r="A299" s="96" t="s">
        <v>82</v>
      </c>
      <c r="B299" s="96" t="s">
        <v>82</v>
      </c>
      <c r="C299" s="283">
        <v>43942</v>
      </c>
      <c r="D299" s="284">
        <v>43971</v>
      </c>
      <c r="E299" s="270" t="s">
        <v>300</v>
      </c>
      <c r="F299" s="133" t="s">
        <v>34</v>
      </c>
      <c r="G299" s="96" t="s">
        <v>35</v>
      </c>
      <c r="H299" s="272" t="s">
        <v>963</v>
      </c>
      <c r="I299" s="58">
        <v>50</v>
      </c>
      <c r="J299" s="69">
        <v>1487</v>
      </c>
      <c r="K299" s="270">
        <f t="shared" si="0"/>
        <v>74350</v>
      </c>
      <c r="L299" s="279">
        <v>44745</v>
      </c>
      <c r="M299" s="279">
        <v>-4850</v>
      </c>
      <c r="N299" s="281">
        <v>205.7</v>
      </c>
      <c r="O299" s="55"/>
      <c r="P299" s="45">
        <v>206</v>
      </c>
      <c r="Q299" s="279">
        <v>-576</v>
      </c>
      <c r="R299" s="275">
        <v>-2.0200000000000001E-3</v>
      </c>
      <c r="S299" s="279">
        <v>-726</v>
      </c>
      <c r="T299" s="279">
        <v>-521</v>
      </c>
      <c r="U299" s="57">
        <v>1</v>
      </c>
      <c r="V299" s="276">
        <v>0.25</v>
      </c>
      <c r="W299" s="276">
        <v>0.1</v>
      </c>
      <c r="X299" s="279">
        <v>-339</v>
      </c>
      <c r="Y299" s="279">
        <v>-182</v>
      </c>
      <c r="Z299" s="45" t="b">
        <v>1</v>
      </c>
      <c r="AA299" s="45" t="s">
        <v>38</v>
      </c>
      <c r="AB299" s="45" t="s">
        <v>38</v>
      </c>
    </row>
    <row r="300" spans="1:28" x14ac:dyDescent="0.2">
      <c r="A300" s="96" t="s">
        <v>178</v>
      </c>
      <c r="B300" s="96" t="s">
        <v>178</v>
      </c>
      <c r="C300" s="283">
        <v>43942</v>
      </c>
      <c r="D300" s="284">
        <v>43971</v>
      </c>
      <c r="E300" s="270" t="s">
        <v>267</v>
      </c>
      <c r="F300" s="133" t="s">
        <v>34</v>
      </c>
      <c r="G300" s="96" t="s">
        <v>35</v>
      </c>
      <c r="H300" s="110" t="s">
        <v>961</v>
      </c>
      <c r="I300" s="58">
        <v>10</v>
      </c>
      <c r="J300" s="69">
        <v>991</v>
      </c>
      <c r="K300" s="270">
        <f t="shared" si="0"/>
        <v>9910</v>
      </c>
      <c r="L300" s="279">
        <v>50605</v>
      </c>
      <c r="M300" s="279">
        <v>-530</v>
      </c>
      <c r="N300" s="281">
        <v>43.4</v>
      </c>
      <c r="O300" s="55"/>
      <c r="P300" s="45">
        <v>43</v>
      </c>
      <c r="Q300" s="279">
        <v>188</v>
      </c>
      <c r="R300" s="275">
        <v>-1.5E-3</v>
      </c>
      <c r="S300" s="279">
        <v>174</v>
      </c>
      <c r="T300" s="279">
        <v>217</v>
      </c>
      <c r="U300" s="57">
        <v>1</v>
      </c>
      <c r="V300" s="276">
        <v>0.25</v>
      </c>
      <c r="W300" s="276">
        <v>0</v>
      </c>
      <c r="X300" s="279">
        <v>163</v>
      </c>
      <c r="Y300" s="279">
        <v>54</v>
      </c>
      <c r="Z300" s="45" t="b">
        <v>1</v>
      </c>
      <c r="AA300" s="45" t="s">
        <v>38</v>
      </c>
      <c r="AB300" s="45" t="s">
        <v>38</v>
      </c>
    </row>
    <row r="301" spans="1:28" x14ac:dyDescent="0.2">
      <c r="A301" s="96" t="s">
        <v>178</v>
      </c>
      <c r="B301" s="96" t="s">
        <v>178</v>
      </c>
      <c r="C301" s="283">
        <v>43942</v>
      </c>
      <c r="D301" s="284">
        <v>43971</v>
      </c>
      <c r="E301" s="270" t="s">
        <v>267</v>
      </c>
      <c r="F301" s="133" t="s">
        <v>34</v>
      </c>
      <c r="G301" s="96" t="s">
        <v>35</v>
      </c>
      <c r="H301" s="272" t="s">
        <v>968</v>
      </c>
      <c r="I301" s="58">
        <v>5</v>
      </c>
      <c r="J301" s="69">
        <v>267</v>
      </c>
      <c r="K301" s="270">
        <f t="shared" si="0"/>
        <v>1335</v>
      </c>
      <c r="L301" s="279">
        <v>19143</v>
      </c>
      <c r="M301" s="279">
        <v>180</v>
      </c>
      <c r="N301" s="281">
        <v>6.7</v>
      </c>
      <c r="O301" s="55"/>
      <c r="P301" s="45">
        <v>7</v>
      </c>
      <c r="Q301" s="279">
        <v>55</v>
      </c>
      <c r="R301" s="275">
        <v>-1.5E-3</v>
      </c>
      <c r="S301" s="279">
        <v>53</v>
      </c>
      <c r="T301" s="279">
        <v>60</v>
      </c>
      <c r="U301" s="57">
        <v>1</v>
      </c>
      <c r="V301" s="276">
        <v>0.25</v>
      </c>
      <c r="W301" s="276">
        <v>0</v>
      </c>
      <c r="X301" s="279">
        <v>45</v>
      </c>
      <c r="Y301" s="279">
        <v>15</v>
      </c>
      <c r="Z301" s="45" t="b">
        <v>1</v>
      </c>
      <c r="AA301" s="45" t="s">
        <v>38</v>
      </c>
      <c r="AB301" s="45" t="s">
        <v>38</v>
      </c>
    </row>
    <row r="302" spans="1:28" x14ac:dyDescent="0.2">
      <c r="A302" s="96" t="s">
        <v>102</v>
      </c>
      <c r="B302" s="96" t="s">
        <v>102</v>
      </c>
      <c r="C302" s="283">
        <v>43942</v>
      </c>
      <c r="D302" s="284">
        <v>43971</v>
      </c>
      <c r="E302" s="270" t="s">
        <v>267</v>
      </c>
      <c r="F302" s="133" t="s">
        <v>41</v>
      </c>
      <c r="G302" s="96" t="s">
        <v>35</v>
      </c>
      <c r="H302" s="272" t="s">
        <v>975</v>
      </c>
      <c r="I302" s="58">
        <v>0.25</v>
      </c>
      <c r="J302" s="69">
        <v>7</v>
      </c>
      <c r="K302" s="270">
        <f t="shared" si="0"/>
        <v>1.75</v>
      </c>
      <c r="L302" s="279"/>
      <c r="M302" s="279">
        <v>-0.75</v>
      </c>
      <c r="N302" s="281">
        <v>0</v>
      </c>
      <c r="O302" s="55"/>
      <c r="P302" s="45">
        <v>0</v>
      </c>
      <c r="Q302" s="279"/>
      <c r="R302" s="275">
        <v>0</v>
      </c>
      <c r="S302" s="279"/>
      <c r="T302" s="279">
        <v>-1</v>
      </c>
      <c r="U302" s="57">
        <v>1</v>
      </c>
      <c r="V302" s="276">
        <v>0.35</v>
      </c>
      <c r="W302" s="276">
        <v>0</v>
      </c>
      <c r="X302" s="279">
        <v>0</v>
      </c>
      <c r="Y302" s="279">
        <v>0</v>
      </c>
      <c r="Z302" s="45" t="b">
        <v>1</v>
      </c>
      <c r="AA302" s="45" t="s">
        <v>38</v>
      </c>
      <c r="AB302" s="45" t="s">
        <v>38</v>
      </c>
    </row>
    <row r="303" spans="1:28" x14ac:dyDescent="0.2">
      <c r="A303" s="96" t="s">
        <v>102</v>
      </c>
      <c r="B303" s="96" t="s">
        <v>102</v>
      </c>
      <c r="C303" s="283">
        <v>43942</v>
      </c>
      <c r="D303" s="284">
        <v>43971</v>
      </c>
      <c r="E303" s="270" t="s">
        <v>267</v>
      </c>
      <c r="F303" s="133" t="s">
        <v>41</v>
      </c>
      <c r="G303" s="96" t="s">
        <v>35</v>
      </c>
      <c r="H303" s="272" t="s">
        <v>955</v>
      </c>
      <c r="I303" s="58">
        <v>1</v>
      </c>
      <c r="J303" s="69">
        <v>2</v>
      </c>
      <c r="K303" s="270">
        <f t="shared" si="0"/>
        <v>2</v>
      </c>
      <c r="L303" s="279"/>
      <c r="M303" s="279">
        <v>1</v>
      </c>
      <c r="N303" s="281">
        <v>0</v>
      </c>
      <c r="O303" s="55"/>
      <c r="P303" s="45">
        <v>0</v>
      </c>
      <c r="Q303" s="279"/>
      <c r="R303" s="275">
        <v>0</v>
      </c>
      <c r="S303" s="279"/>
      <c r="T303" s="279">
        <v>1</v>
      </c>
      <c r="U303" s="57">
        <v>1</v>
      </c>
      <c r="V303" s="276">
        <v>0.35</v>
      </c>
      <c r="W303" s="276">
        <v>0</v>
      </c>
      <c r="X303" s="279">
        <v>1</v>
      </c>
      <c r="Y303" s="279">
        <v>0</v>
      </c>
      <c r="Z303" s="45" t="b">
        <v>1</v>
      </c>
      <c r="AA303" s="45" t="s">
        <v>38</v>
      </c>
      <c r="AB303" s="45" t="s">
        <v>38</v>
      </c>
    </row>
    <row r="304" spans="1:28" x14ac:dyDescent="0.2">
      <c r="A304" s="96" t="s">
        <v>102</v>
      </c>
      <c r="B304" s="96" t="s">
        <v>102</v>
      </c>
      <c r="C304" s="283">
        <v>43942</v>
      </c>
      <c r="D304" s="284">
        <v>43971</v>
      </c>
      <c r="E304" s="270" t="s">
        <v>267</v>
      </c>
      <c r="F304" s="133" t="s">
        <v>34</v>
      </c>
      <c r="G304" s="96" t="s">
        <v>35</v>
      </c>
      <c r="H304" s="272" t="s">
        <v>963</v>
      </c>
      <c r="I304" s="58">
        <v>50</v>
      </c>
      <c r="J304" s="69">
        <v>116</v>
      </c>
      <c r="K304" s="270">
        <f t="shared" si="0"/>
        <v>5800</v>
      </c>
      <c r="L304" s="279">
        <v>4982</v>
      </c>
      <c r="M304" s="279">
        <v>500</v>
      </c>
      <c r="N304" s="281">
        <v>50</v>
      </c>
      <c r="O304" s="55"/>
      <c r="P304" s="45">
        <v>50</v>
      </c>
      <c r="Q304" s="279">
        <v>1140</v>
      </c>
      <c r="R304" s="275">
        <v>-2.0200000000000001E-3</v>
      </c>
      <c r="S304" s="279">
        <v>1129</v>
      </c>
      <c r="T304" s="279">
        <v>1179</v>
      </c>
      <c r="U304" s="57">
        <v>1</v>
      </c>
      <c r="V304" s="276">
        <v>0.35</v>
      </c>
      <c r="W304" s="276">
        <v>0</v>
      </c>
      <c r="X304" s="279">
        <v>766</v>
      </c>
      <c r="Y304" s="279">
        <v>413</v>
      </c>
      <c r="Z304" s="45" t="b">
        <v>1</v>
      </c>
      <c r="AA304" s="45" t="s">
        <v>38</v>
      </c>
      <c r="AB304" s="45" t="s">
        <v>38</v>
      </c>
    </row>
    <row r="305" spans="1:28" x14ac:dyDescent="0.2">
      <c r="A305" s="270" t="s">
        <v>508</v>
      </c>
      <c r="B305" s="270" t="s">
        <v>508</v>
      </c>
      <c r="C305" s="283">
        <v>43942</v>
      </c>
      <c r="D305" s="284">
        <v>43971</v>
      </c>
      <c r="E305" s="270" t="s">
        <v>267</v>
      </c>
      <c r="F305" s="96" t="s">
        <v>34</v>
      </c>
      <c r="G305" s="270" t="s">
        <v>35</v>
      </c>
      <c r="H305" s="272" t="s">
        <v>963</v>
      </c>
      <c r="I305" s="273">
        <v>50</v>
      </c>
      <c r="J305" s="270">
        <v>6002</v>
      </c>
      <c r="K305" s="270">
        <f t="shared" si="0"/>
        <v>300100</v>
      </c>
      <c r="L305" s="270">
        <v>331869</v>
      </c>
      <c r="M305" s="270">
        <v>8600</v>
      </c>
      <c r="N305" s="274">
        <v>1386.6</v>
      </c>
      <c r="O305" s="55"/>
      <c r="P305" s="105">
        <v>1387</v>
      </c>
      <c r="Q305" s="270">
        <v>11621</v>
      </c>
      <c r="R305" s="275">
        <v>-2.0200000000000001E-3</v>
      </c>
      <c r="S305" s="270">
        <v>11015</v>
      </c>
      <c r="T305" s="270">
        <v>12401</v>
      </c>
      <c r="U305" s="57">
        <v>1</v>
      </c>
      <c r="V305" s="276">
        <v>0.18</v>
      </c>
      <c r="W305" s="276">
        <v>0</v>
      </c>
      <c r="X305" s="270">
        <v>10169</v>
      </c>
      <c r="Y305" s="270">
        <v>2232</v>
      </c>
      <c r="Z305" s="45" t="b">
        <v>1</v>
      </c>
      <c r="AA305" s="45" t="s">
        <v>38</v>
      </c>
      <c r="AB305" s="45" t="s">
        <v>38</v>
      </c>
    </row>
    <row r="306" spans="1:28" x14ac:dyDescent="0.2">
      <c r="A306" s="96" t="s">
        <v>206</v>
      </c>
      <c r="B306" s="96" t="s">
        <v>206</v>
      </c>
      <c r="C306" s="283">
        <v>43942</v>
      </c>
      <c r="D306" s="284">
        <v>43971</v>
      </c>
      <c r="E306" s="270" t="s">
        <v>267</v>
      </c>
      <c r="F306" s="133" t="s">
        <v>34</v>
      </c>
      <c r="G306" s="96" t="s">
        <v>35</v>
      </c>
      <c r="H306" s="272" t="s">
        <v>951</v>
      </c>
      <c r="I306" s="58">
        <v>100</v>
      </c>
      <c r="J306" s="69">
        <v>175</v>
      </c>
      <c r="K306" s="270">
        <f t="shared" si="0"/>
        <v>17500</v>
      </c>
      <c r="L306" s="69">
        <v>720</v>
      </c>
      <c r="M306" s="69">
        <v>-100</v>
      </c>
      <c r="N306" s="281">
        <v>251.2</v>
      </c>
      <c r="O306" s="55"/>
      <c r="P306" s="45">
        <v>251</v>
      </c>
      <c r="Q306" s="69">
        <v>-832</v>
      </c>
      <c r="R306" s="275">
        <v>-2.0200000000000001E-3</v>
      </c>
      <c r="S306" s="69">
        <v>-868</v>
      </c>
      <c r="T306" s="69">
        <v>-616</v>
      </c>
      <c r="U306" s="57">
        <v>1</v>
      </c>
      <c r="V306" s="276">
        <v>0.26</v>
      </c>
      <c r="W306" s="276">
        <v>0</v>
      </c>
      <c r="X306" s="69">
        <v>-456</v>
      </c>
      <c r="Y306" s="69">
        <v>-160</v>
      </c>
      <c r="Z306" s="45" t="b">
        <v>1</v>
      </c>
      <c r="AA306" s="45" t="s">
        <v>38</v>
      </c>
      <c r="AB306" s="45" t="s">
        <v>38</v>
      </c>
    </row>
    <row r="307" spans="1:28" x14ac:dyDescent="0.2">
      <c r="A307" s="96" t="s">
        <v>206</v>
      </c>
      <c r="B307" s="96" t="s">
        <v>206</v>
      </c>
      <c r="C307" s="283">
        <v>43942</v>
      </c>
      <c r="D307" s="284">
        <v>43971</v>
      </c>
      <c r="E307" s="270" t="s">
        <v>267</v>
      </c>
      <c r="F307" s="133" t="s">
        <v>41</v>
      </c>
      <c r="G307" s="96" t="s">
        <v>35</v>
      </c>
      <c r="H307" s="272" t="s">
        <v>960</v>
      </c>
      <c r="I307" s="58">
        <v>100</v>
      </c>
      <c r="J307" s="69">
        <v>1</v>
      </c>
      <c r="K307" s="270">
        <f t="shared" si="0"/>
        <v>100</v>
      </c>
      <c r="L307" s="69"/>
      <c r="M307" s="69">
        <v>-100</v>
      </c>
      <c r="N307" s="281">
        <v>1.5</v>
      </c>
      <c r="O307" s="55"/>
      <c r="P307" s="45">
        <v>2</v>
      </c>
      <c r="Q307" s="69"/>
      <c r="R307" s="275">
        <v>0</v>
      </c>
      <c r="S307" s="69"/>
      <c r="T307" s="69">
        <v>-99</v>
      </c>
      <c r="U307" s="57">
        <v>1</v>
      </c>
      <c r="V307" s="276">
        <v>0.26</v>
      </c>
      <c r="W307" s="276">
        <v>0</v>
      </c>
      <c r="X307" s="69">
        <v>-73</v>
      </c>
      <c r="Y307" s="69">
        <v>-26</v>
      </c>
      <c r="Z307" s="45" t="b">
        <v>1</v>
      </c>
      <c r="AA307" s="45" t="s">
        <v>38</v>
      </c>
      <c r="AB307" s="45" t="s">
        <v>38</v>
      </c>
    </row>
    <row r="308" spans="1:28" x14ac:dyDescent="0.2">
      <c r="A308" s="96" t="s">
        <v>206</v>
      </c>
      <c r="B308" s="96" t="s">
        <v>206</v>
      </c>
      <c r="C308" s="283">
        <v>43942</v>
      </c>
      <c r="D308" s="284">
        <v>43971</v>
      </c>
      <c r="E308" s="270" t="s">
        <v>267</v>
      </c>
      <c r="F308" s="133" t="s">
        <v>34</v>
      </c>
      <c r="G308" s="96" t="s">
        <v>35</v>
      </c>
      <c r="H308" s="272" t="s">
        <v>962</v>
      </c>
      <c r="I308" s="58">
        <v>25</v>
      </c>
      <c r="J308" s="69">
        <v>25</v>
      </c>
      <c r="K308" s="270">
        <f t="shared" si="0"/>
        <v>625</v>
      </c>
      <c r="L308" s="69">
        <v>2402</v>
      </c>
      <c r="M308" s="69">
        <v>475</v>
      </c>
      <c r="N308" s="281">
        <v>11</v>
      </c>
      <c r="O308" s="55"/>
      <c r="P308" s="45">
        <v>11</v>
      </c>
      <c r="Q308" s="69">
        <v>71</v>
      </c>
      <c r="R308" s="275">
        <v>-2.0200000000000001E-3</v>
      </c>
      <c r="S308" s="69">
        <v>70</v>
      </c>
      <c r="T308" s="69">
        <v>81</v>
      </c>
      <c r="U308" s="57">
        <v>1</v>
      </c>
      <c r="V308" s="276">
        <v>0.26</v>
      </c>
      <c r="W308" s="276">
        <v>0</v>
      </c>
      <c r="X308" s="69">
        <v>60</v>
      </c>
      <c r="Y308" s="69">
        <v>21</v>
      </c>
      <c r="Z308" s="45" t="b">
        <v>1</v>
      </c>
      <c r="AA308" s="45" t="s">
        <v>38</v>
      </c>
      <c r="AB308" s="45" t="s">
        <v>38</v>
      </c>
    </row>
    <row r="309" spans="1:28" x14ac:dyDescent="0.2">
      <c r="A309" s="96" t="s">
        <v>206</v>
      </c>
      <c r="B309" s="96" t="s">
        <v>206</v>
      </c>
      <c r="C309" s="283">
        <v>43942</v>
      </c>
      <c r="D309" s="284">
        <v>43971</v>
      </c>
      <c r="E309" s="270" t="s">
        <v>267</v>
      </c>
      <c r="F309" s="133" t="s">
        <v>34</v>
      </c>
      <c r="G309" s="96" t="s">
        <v>35</v>
      </c>
      <c r="H309" s="110" t="s">
        <v>973</v>
      </c>
      <c r="I309" s="58">
        <v>25</v>
      </c>
      <c r="J309" s="69">
        <v>1</v>
      </c>
      <c r="K309" s="270">
        <f t="shared" si="0"/>
        <v>25</v>
      </c>
      <c r="L309" s="69">
        <v>-121</v>
      </c>
      <c r="M309" s="69">
        <v>100</v>
      </c>
      <c r="N309" s="281">
        <v>0.4</v>
      </c>
      <c r="O309" s="55"/>
      <c r="P309" s="45">
        <v>0</v>
      </c>
      <c r="Q309" s="69">
        <v>-11</v>
      </c>
      <c r="R309" s="275">
        <v>-2.0200000000000001E-3</v>
      </c>
      <c r="S309" s="69">
        <v>-11</v>
      </c>
      <c r="T309" s="69">
        <v>-11</v>
      </c>
      <c r="U309" s="57">
        <v>1</v>
      </c>
      <c r="V309" s="276">
        <v>0.26</v>
      </c>
      <c r="W309" s="276">
        <v>0</v>
      </c>
      <c r="X309" s="69">
        <v>-8</v>
      </c>
      <c r="Y309" s="69">
        <v>-3</v>
      </c>
      <c r="Z309" s="45" t="b">
        <v>1</v>
      </c>
      <c r="AA309" s="45" t="s">
        <v>38</v>
      </c>
      <c r="AB309" s="45" t="s">
        <v>38</v>
      </c>
    </row>
    <row r="310" spans="1:28" x14ac:dyDescent="0.2">
      <c r="A310" s="96" t="s">
        <v>206</v>
      </c>
      <c r="B310" s="96" t="s">
        <v>206</v>
      </c>
      <c r="C310" s="283">
        <v>43942</v>
      </c>
      <c r="D310" s="284">
        <v>43971</v>
      </c>
      <c r="E310" s="270" t="s">
        <v>267</v>
      </c>
      <c r="F310" s="133" t="s">
        <v>34</v>
      </c>
      <c r="G310" s="96" t="s">
        <v>35</v>
      </c>
      <c r="H310" s="272" t="s">
        <v>963</v>
      </c>
      <c r="I310" s="58">
        <v>50</v>
      </c>
      <c r="J310" s="69">
        <v>2152</v>
      </c>
      <c r="K310" s="270">
        <f t="shared" si="0"/>
        <v>107600</v>
      </c>
      <c r="L310" s="69">
        <v>75998</v>
      </c>
      <c r="M310" s="69">
        <v>-3350</v>
      </c>
      <c r="N310" s="281">
        <v>1878.1</v>
      </c>
      <c r="O310" s="55"/>
      <c r="P310" s="105">
        <v>1878</v>
      </c>
      <c r="Q310" s="69">
        <v>67</v>
      </c>
      <c r="R310" s="275">
        <v>-2.0200000000000001E-3</v>
      </c>
      <c r="S310" s="69">
        <v>-150</v>
      </c>
      <c r="T310" s="69">
        <v>1728</v>
      </c>
      <c r="U310" s="57">
        <v>1</v>
      </c>
      <c r="V310" s="276">
        <v>0.26</v>
      </c>
      <c r="W310" s="276">
        <v>0</v>
      </c>
      <c r="X310" s="69">
        <v>1279</v>
      </c>
      <c r="Y310" s="69">
        <v>449</v>
      </c>
      <c r="Z310" s="45" t="b">
        <v>1</v>
      </c>
      <c r="AA310" s="45" t="s">
        <v>38</v>
      </c>
      <c r="AB310" s="45" t="s">
        <v>38</v>
      </c>
    </row>
    <row r="311" spans="1:28" x14ac:dyDescent="0.2">
      <c r="A311" s="96" t="s">
        <v>206</v>
      </c>
      <c r="B311" s="96" t="s">
        <v>206</v>
      </c>
      <c r="C311" s="283">
        <v>43942</v>
      </c>
      <c r="D311" s="284">
        <v>43971</v>
      </c>
      <c r="E311" s="270" t="s">
        <v>267</v>
      </c>
      <c r="F311" s="133" t="s">
        <v>34</v>
      </c>
      <c r="G311" s="96" t="s">
        <v>35</v>
      </c>
      <c r="H311" s="110" t="s">
        <v>971</v>
      </c>
      <c r="I311" s="58">
        <v>50</v>
      </c>
      <c r="J311" s="69">
        <v>44</v>
      </c>
      <c r="K311" s="270">
        <f t="shared" si="0"/>
        <v>2200</v>
      </c>
      <c r="L311" s="69">
        <v>-414</v>
      </c>
      <c r="M311" s="69">
        <v>-1200</v>
      </c>
      <c r="N311" s="281">
        <v>38.6</v>
      </c>
      <c r="O311" s="55"/>
      <c r="P311" s="45">
        <v>39</v>
      </c>
      <c r="Q311" s="69">
        <v>-136</v>
      </c>
      <c r="R311" s="275">
        <v>-2.0200000000000001E-3</v>
      </c>
      <c r="S311" s="69">
        <v>-141</v>
      </c>
      <c r="T311" s="69">
        <v>-102</v>
      </c>
      <c r="U311" s="57">
        <v>1</v>
      </c>
      <c r="V311" s="276">
        <v>0.26</v>
      </c>
      <c r="W311" s="276">
        <v>0</v>
      </c>
      <c r="X311" s="69">
        <v>-75</v>
      </c>
      <c r="Y311" s="69">
        <v>-27</v>
      </c>
      <c r="Z311" s="45" t="b">
        <v>1</v>
      </c>
      <c r="AA311" s="45" t="s">
        <v>38</v>
      </c>
      <c r="AB311" s="45" t="s">
        <v>38</v>
      </c>
    </row>
    <row r="312" spans="1:28" x14ac:dyDescent="0.2">
      <c r="A312" s="279" t="s">
        <v>152</v>
      </c>
      <c r="B312" s="279" t="s">
        <v>152</v>
      </c>
      <c r="C312" s="283">
        <v>43872</v>
      </c>
      <c r="D312" s="284">
        <v>43975</v>
      </c>
      <c r="E312" s="270" t="s">
        <v>880</v>
      </c>
      <c r="F312" s="133" t="s">
        <v>41</v>
      </c>
      <c r="G312" s="279" t="s">
        <v>35</v>
      </c>
      <c r="H312" s="272" t="s">
        <v>951</v>
      </c>
      <c r="I312" s="273">
        <v>100</v>
      </c>
      <c r="J312" s="270">
        <v>4977</v>
      </c>
      <c r="K312" s="270">
        <f t="shared" si="0"/>
        <v>497700</v>
      </c>
      <c r="L312" s="270">
        <v>157000</v>
      </c>
      <c r="M312" s="270">
        <v>9400</v>
      </c>
      <c r="N312" s="274">
        <v>0</v>
      </c>
      <c r="O312" s="55"/>
      <c r="P312" s="45">
        <v>0</v>
      </c>
      <c r="Q312" s="270">
        <v>2786</v>
      </c>
      <c r="R312" s="275">
        <v>0</v>
      </c>
      <c r="S312" s="270">
        <v>2786</v>
      </c>
      <c r="T312" s="270">
        <v>9400</v>
      </c>
      <c r="U312" s="57">
        <v>1</v>
      </c>
      <c r="V312" s="276">
        <v>0</v>
      </c>
      <c r="W312" s="276">
        <v>0.12</v>
      </c>
      <c r="X312" s="270">
        <v>8272</v>
      </c>
      <c r="Y312" s="270">
        <v>1128</v>
      </c>
      <c r="Z312" s="45" t="b">
        <v>1</v>
      </c>
      <c r="AA312" s="45" t="s">
        <v>38</v>
      </c>
      <c r="AB312" s="45" t="s">
        <v>38</v>
      </c>
    </row>
    <row r="313" spans="1:28" x14ac:dyDescent="0.2">
      <c r="A313" s="279" t="s">
        <v>145</v>
      </c>
      <c r="B313" s="279" t="s">
        <v>145</v>
      </c>
      <c r="C313" s="283">
        <v>43952</v>
      </c>
      <c r="D313" s="284">
        <v>43982</v>
      </c>
      <c r="E313" s="270" t="s">
        <v>267</v>
      </c>
      <c r="F313" s="133" t="s">
        <v>49</v>
      </c>
      <c r="G313" s="279" t="s">
        <v>35</v>
      </c>
      <c r="H313" s="272" t="s">
        <v>951</v>
      </c>
      <c r="I313" s="280">
        <v>100</v>
      </c>
      <c r="J313" s="279">
        <v>1950</v>
      </c>
      <c r="K313" s="270">
        <f t="shared" si="0"/>
        <v>195000</v>
      </c>
      <c r="L313" s="279">
        <v>87653</v>
      </c>
      <c r="M313" s="279">
        <v>1400</v>
      </c>
      <c r="N313" s="274">
        <v>1777</v>
      </c>
      <c r="O313" s="55"/>
      <c r="P313" s="105">
        <v>1777</v>
      </c>
      <c r="Q313" s="279">
        <v>6030</v>
      </c>
      <c r="R313" s="275">
        <v>-3.6219999999999998E-3</v>
      </c>
      <c r="S313" s="279">
        <v>5324</v>
      </c>
      <c r="T313" s="279">
        <v>7101</v>
      </c>
      <c r="U313" s="57">
        <v>1</v>
      </c>
      <c r="V313" s="276">
        <v>0.12</v>
      </c>
      <c r="W313" s="276">
        <v>0</v>
      </c>
      <c r="X313" s="279">
        <v>6249</v>
      </c>
      <c r="Y313" s="279">
        <v>852</v>
      </c>
      <c r="Z313" s="45" t="b">
        <v>1</v>
      </c>
      <c r="AA313" s="45" t="s">
        <v>38</v>
      </c>
      <c r="AB313" s="45" t="s">
        <v>38</v>
      </c>
    </row>
    <row r="314" spans="1:28" x14ac:dyDescent="0.2">
      <c r="A314" s="96" t="s">
        <v>447</v>
      </c>
      <c r="B314" s="96" t="s">
        <v>910</v>
      </c>
      <c r="C314" s="283">
        <v>43952</v>
      </c>
      <c r="D314" s="284">
        <v>43982</v>
      </c>
      <c r="E314" s="270" t="s">
        <v>300</v>
      </c>
      <c r="F314" s="133" t="s">
        <v>49</v>
      </c>
      <c r="G314" s="279" t="s">
        <v>61</v>
      </c>
      <c r="H314" s="272" t="s">
        <v>93</v>
      </c>
      <c r="I314" s="280">
        <v>25</v>
      </c>
      <c r="J314" s="279">
        <v>1501</v>
      </c>
      <c r="K314" s="270">
        <f t="shared" si="0"/>
        <v>37525</v>
      </c>
      <c r="L314" s="279">
        <v>90574</v>
      </c>
      <c r="M314" s="279">
        <v>1200</v>
      </c>
      <c r="N314" s="274">
        <f>25+75+75+25+25+25+500+100+10</f>
        <v>860</v>
      </c>
      <c r="O314" s="55"/>
      <c r="P314" s="45">
        <v>860</v>
      </c>
      <c r="Q314" s="279">
        <v>791</v>
      </c>
      <c r="R314" s="275">
        <v>-3.588E-3</v>
      </c>
      <c r="S314" s="279">
        <v>656</v>
      </c>
      <c r="T314" s="279">
        <v>1516</v>
      </c>
      <c r="U314" s="57">
        <v>1</v>
      </c>
      <c r="V314" s="276">
        <v>0.23499999999999999</v>
      </c>
      <c r="W314" s="276">
        <v>0.11</v>
      </c>
      <c r="X314" s="279">
        <v>993</v>
      </c>
      <c r="Y314" s="279">
        <v>523</v>
      </c>
      <c r="Z314" s="45" t="b">
        <v>1</v>
      </c>
      <c r="AA314" s="45" t="s">
        <v>50</v>
      </c>
      <c r="AB314" s="45" t="s">
        <v>50</v>
      </c>
    </row>
    <row r="315" spans="1:28" x14ac:dyDescent="0.2">
      <c r="A315" s="96" t="s">
        <v>102</v>
      </c>
      <c r="B315" s="96" t="s">
        <v>972</v>
      </c>
      <c r="C315" s="277">
        <v>43952</v>
      </c>
      <c r="D315" s="277">
        <v>43982</v>
      </c>
      <c r="E315" s="270" t="s">
        <v>267</v>
      </c>
      <c r="F315" s="133" t="s">
        <v>34</v>
      </c>
      <c r="G315" s="270" t="s">
        <v>69</v>
      </c>
      <c r="H315" s="272" t="s">
        <v>71</v>
      </c>
      <c r="I315" s="58">
        <v>20</v>
      </c>
      <c r="J315" s="69">
        <v>39</v>
      </c>
      <c r="K315" s="270">
        <f t="shared" si="0"/>
        <v>780</v>
      </c>
      <c r="L315" s="270">
        <v>3242</v>
      </c>
      <c r="M315" s="270">
        <v>120</v>
      </c>
      <c r="N315" s="274">
        <v>29</v>
      </c>
      <c r="O315" s="55"/>
      <c r="P315" s="45">
        <v>29</v>
      </c>
      <c r="Q315" s="270">
        <v>71</v>
      </c>
      <c r="R315" s="275">
        <v>-1E-4</v>
      </c>
      <c r="S315" s="270">
        <v>71</v>
      </c>
      <c r="T315" s="270">
        <v>100</v>
      </c>
      <c r="U315" s="57">
        <v>1</v>
      </c>
      <c r="V315" s="276">
        <v>0.1</v>
      </c>
      <c r="W315" s="276">
        <v>0</v>
      </c>
      <c r="X315" s="270">
        <v>90</v>
      </c>
      <c r="Y315" s="270">
        <v>10</v>
      </c>
      <c r="Z315" s="45" t="b">
        <v>1</v>
      </c>
      <c r="AA315" s="45" t="s">
        <v>38</v>
      </c>
      <c r="AB315" s="45" t="s">
        <v>38</v>
      </c>
    </row>
    <row r="316" spans="1:28" x14ac:dyDescent="0.2">
      <c r="A316" s="96" t="s">
        <v>102</v>
      </c>
      <c r="B316" s="96" t="s">
        <v>972</v>
      </c>
      <c r="C316" s="277">
        <v>43952</v>
      </c>
      <c r="D316" s="277">
        <v>43982</v>
      </c>
      <c r="E316" s="270" t="s">
        <v>267</v>
      </c>
      <c r="F316" s="133" t="s">
        <v>34</v>
      </c>
      <c r="G316" s="270" t="s">
        <v>69</v>
      </c>
      <c r="H316" s="272" t="s">
        <v>72</v>
      </c>
      <c r="I316" s="58">
        <v>50</v>
      </c>
      <c r="J316" s="69">
        <v>3980</v>
      </c>
      <c r="K316" s="270">
        <f t="shared" si="0"/>
        <v>199000</v>
      </c>
      <c r="L316" s="270">
        <v>116001</v>
      </c>
      <c r="M316" s="270">
        <v>-3000</v>
      </c>
      <c r="N316" s="274">
        <v>6260</v>
      </c>
      <c r="O316" s="55"/>
      <c r="P316" s="105">
        <v>6260</v>
      </c>
      <c r="Q316" s="270">
        <v>211</v>
      </c>
      <c r="R316" s="275">
        <v>-1E-4</v>
      </c>
      <c r="S316" s="270">
        <v>191</v>
      </c>
      <c r="T316" s="270">
        <v>6451</v>
      </c>
      <c r="U316" s="57">
        <v>1</v>
      </c>
      <c r="V316" s="276">
        <v>0.1</v>
      </c>
      <c r="W316" s="276">
        <v>0</v>
      </c>
      <c r="X316" s="270">
        <v>5806</v>
      </c>
      <c r="Y316" s="270">
        <v>645</v>
      </c>
      <c r="Z316" s="45" t="b">
        <v>1</v>
      </c>
      <c r="AA316" s="45" t="s">
        <v>38</v>
      </c>
      <c r="AB316" s="45" t="s">
        <v>38</v>
      </c>
    </row>
    <row r="317" spans="1:28" x14ac:dyDescent="0.2">
      <c r="A317" s="270" t="s">
        <v>447</v>
      </c>
      <c r="B317" s="270" t="s">
        <v>910</v>
      </c>
      <c r="C317" s="277">
        <v>43983</v>
      </c>
      <c r="D317" s="277">
        <v>43985</v>
      </c>
      <c r="E317" s="270" t="s">
        <v>300</v>
      </c>
      <c r="F317" s="133" t="s">
        <v>49</v>
      </c>
      <c r="G317" s="279" t="s">
        <v>61</v>
      </c>
      <c r="H317" s="272" t="s">
        <v>63</v>
      </c>
      <c r="I317" s="273">
        <v>10</v>
      </c>
      <c r="J317" s="270">
        <v>53</v>
      </c>
      <c r="K317" s="270">
        <f t="shared" si="0"/>
        <v>530</v>
      </c>
      <c r="L317" s="270">
        <v>9182</v>
      </c>
      <c r="M317" s="270">
        <v>380</v>
      </c>
      <c r="N317" s="274"/>
      <c r="O317" s="55"/>
      <c r="P317" s="96"/>
      <c r="Q317" s="270">
        <v>120</v>
      </c>
      <c r="R317" s="275">
        <v>-5.6369999999999996E-3</v>
      </c>
      <c r="S317" s="270">
        <v>117</v>
      </c>
      <c r="T317" s="270">
        <v>117</v>
      </c>
      <c r="U317" s="57">
        <v>1</v>
      </c>
      <c r="V317" s="276">
        <v>0.23499999999999999</v>
      </c>
      <c r="W317" s="276">
        <v>0.11</v>
      </c>
      <c r="X317" s="270">
        <v>77</v>
      </c>
      <c r="Y317" s="270">
        <v>40</v>
      </c>
      <c r="Z317" s="45" t="b">
        <v>1</v>
      </c>
      <c r="AA317" s="45" t="s">
        <v>50</v>
      </c>
      <c r="AB317" s="45" t="s">
        <v>50</v>
      </c>
    </row>
    <row r="318" spans="1:28" x14ac:dyDescent="0.2">
      <c r="A318" s="279" t="s">
        <v>447</v>
      </c>
      <c r="B318" s="279" t="s">
        <v>910</v>
      </c>
      <c r="C318" s="277">
        <v>43983</v>
      </c>
      <c r="D318" s="277">
        <v>43985</v>
      </c>
      <c r="E318" s="270" t="s">
        <v>300</v>
      </c>
      <c r="F318" s="133" t="s">
        <v>49</v>
      </c>
      <c r="G318" s="279" t="s">
        <v>61</v>
      </c>
      <c r="H318" s="272" t="s">
        <v>93</v>
      </c>
      <c r="I318" s="273">
        <v>25</v>
      </c>
      <c r="J318" s="270">
        <v>80</v>
      </c>
      <c r="K318" s="270">
        <f t="shared" si="0"/>
        <v>2000</v>
      </c>
      <c r="L318" s="270">
        <v>2075</v>
      </c>
      <c r="M318" s="270">
        <v>-250</v>
      </c>
      <c r="N318" s="274"/>
      <c r="O318" s="55"/>
      <c r="P318" s="96"/>
      <c r="Q318" s="270">
        <v>-83</v>
      </c>
      <c r="R318" s="275">
        <v>-4.5019999999999999E-3</v>
      </c>
      <c r="S318" s="270">
        <v>-92</v>
      </c>
      <c r="T318" s="270">
        <v>-92</v>
      </c>
      <c r="U318" s="57">
        <v>1</v>
      </c>
      <c r="V318" s="276">
        <v>0.23499999999999999</v>
      </c>
      <c r="W318" s="276">
        <v>0.11</v>
      </c>
      <c r="X318" s="270">
        <v>-60</v>
      </c>
      <c r="Y318" s="270">
        <v>-32</v>
      </c>
      <c r="Z318" s="45" t="b">
        <v>1</v>
      </c>
      <c r="AA318" s="45" t="s">
        <v>50</v>
      </c>
      <c r="AB318" s="45" t="s">
        <v>50</v>
      </c>
    </row>
    <row r="319" spans="1:28" x14ac:dyDescent="0.2">
      <c r="A319" s="96" t="s">
        <v>286</v>
      </c>
      <c r="B319" s="96" t="s">
        <v>286</v>
      </c>
      <c r="C319" s="284">
        <v>43972</v>
      </c>
      <c r="D319" s="277">
        <v>44002</v>
      </c>
      <c r="E319" s="270" t="s">
        <v>267</v>
      </c>
      <c r="F319" s="133" t="s">
        <v>34</v>
      </c>
      <c r="G319" s="96" t="s">
        <v>35</v>
      </c>
      <c r="H319" s="110" t="s">
        <v>961</v>
      </c>
      <c r="I319" s="58">
        <v>10</v>
      </c>
      <c r="J319" s="69">
        <v>3</v>
      </c>
      <c r="K319" s="270">
        <f t="shared" si="0"/>
        <v>30</v>
      </c>
      <c r="L319" s="270">
        <v>474</v>
      </c>
      <c r="M319" s="270">
        <v>20</v>
      </c>
      <c r="N319" s="274">
        <v>0.1</v>
      </c>
      <c r="O319" s="55"/>
      <c r="P319" s="45">
        <v>0</v>
      </c>
      <c r="Q319" s="270">
        <v>7</v>
      </c>
      <c r="R319" s="275">
        <v>-1E-4</v>
      </c>
      <c r="S319" s="270">
        <v>7</v>
      </c>
      <c r="T319" s="270">
        <v>7</v>
      </c>
      <c r="U319" s="57">
        <v>1</v>
      </c>
      <c r="V319" s="276">
        <v>0.17</v>
      </c>
      <c r="W319" s="276">
        <v>0</v>
      </c>
      <c r="X319" s="270">
        <v>6</v>
      </c>
      <c r="Y319" s="270">
        <v>1</v>
      </c>
      <c r="Z319" s="45" t="b">
        <v>1</v>
      </c>
      <c r="AA319" s="45" t="s">
        <v>38</v>
      </c>
      <c r="AB319" s="45" t="s">
        <v>38</v>
      </c>
    </row>
    <row r="320" spans="1:28" x14ac:dyDescent="0.2">
      <c r="A320" s="96" t="s">
        <v>286</v>
      </c>
      <c r="B320" s="96" t="s">
        <v>286</v>
      </c>
      <c r="C320" s="284">
        <v>43972</v>
      </c>
      <c r="D320" s="277">
        <v>44002</v>
      </c>
      <c r="E320" s="270" t="s">
        <v>267</v>
      </c>
      <c r="F320" s="133" t="s">
        <v>34</v>
      </c>
      <c r="G320" s="96" t="s">
        <v>35</v>
      </c>
      <c r="H320" s="110" t="s">
        <v>966</v>
      </c>
      <c r="I320" s="58">
        <v>10</v>
      </c>
      <c r="J320" s="69">
        <v>961</v>
      </c>
      <c r="K320" s="270">
        <f t="shared" si="0"/>
        <v>9610</v>
      </c>
      <c r="L320" s="270">
        <v>28884</v>
      </c>
      <c r="M320" s="270">
        <v>160</v>
      </c>
      <c r="N320" s="274">
        <v>28.3</v>
      </c>
      <c r="O320" s="55"/>
      <c r="P320" s="45">
        <v>28</v>
      </c>
      <c r="Q320" s="270">
        <v>179</v>
      </c>
      <c r="R320" s="275">
        <v>-1E-4</v>
      </c>
      <c r="S320" s="270">
        <v>178</v>
      </c>
      <c r="T320" s="270">
        <v>206</v>
      </c>
      <c r="U320" s="57">
        <v>1</v>
      </c>
      <c r="V320" s="276">
        <v>0.17</v>
      </c>
      <c r="W320" s="276">
        <v>0</v>
      </c>
      <c r="X320" s="270">
        <v>171</v>
      </c>
      <c r="Y320" s="270">
        <v>35</v>
      </c>
      <c r="Z320" s="45" t="b">
        <v>1</v>
      </c>
      <c r="AA320" s="45" t="s">
        <v>38</v>
      </c>
      <c r="AB320" s="45" t="s">
        <v>38</v>
      </c>
    </row>
    <row r="321" spans="1:28" x14ac:dyDescent="0.2">
      <c r="A321" s="96" t="s">
        <v>286</v>
      </c>
      <c r="B321" s="96" t="s">
        <v>286</v>
      </c>
      <c r="C321" s="284">
        <v>43972</v>
      </c>
      <c r="D321" s="277">
        <v>44002</v>
      </c>
      <c r="E321" s="270" t="s">
        <v>267</v>
      </c>
      <c r="F321" s="133" t="s">
        <v>34</v>
      </c>
      <c r="G321" s="96" t="s">
        <v>35</v>
      </c>
      <c r="H321" s="272" t="s">
        <v>962</v>
      </c>
      <c r="I321" s="58">
        <v>25</v>
      </c>
      <c r="J321" s="69">
        <v>1011</v>
      </c>
      <c r="K321" s="270">
        <f t="shared" si="0"/>
        <v>25275</v>
      </c>
      <c r="L321" s="270">
        <v>69602</v>
      </c>
      <c r="M321" s="270">
        <v>2650</v>
      </c>
      <c r="N321" s="274">
        <v>63.7</v>
      </c>
      <c r="O321" s="55"/>
      <c r="P321" s="45">
        <v>64</v>
      </c>
      <c r="Q321" s="270">
        <v>1635</v>
      </c>
      <c r="R321" s="275">
        <v>-1E-4</v>
      </c>
      <c r="S321" s="270">
        <v>1633</v>
      </c>
      <c r="T321" s="270">
        <v>1696</v>
      </c>
      <c r="U321" s="57">
        <v>1</v>
      </c>
      <c r="V321" s="276">
        <v>0.17</v>
      </c>
      <c r="W321" s="276">
        <v>0</v>
      </c>
      <c r="X321" s="270">
        <v>1408</v>
      </c>
      <c r="Y321" s="270">
        <v>288</v>
      </c>
      <c r="Z321" s="45" t="b">
        <v>1</v>
      </c>
      <c r="AA321" s="45" t="s">
        <v>38</v>
      </c>
      <c r="AB321" s="45" t="s">
        <v>38</v>
      </c>
    </row>
    <row r="322" spans="1:28" x14ac:dyDescent="0.2">
      <c r="A322" s="96" t="s">
        <v>286</v>
      </c>
      <c r="B322" s="96" t="s">
        <v>286</v>
      </c>
      <c r="C322" s="284">
        <v>43972</v>
      </c>
      <c r="D322" s="277">
        <v>44002</v>
      </c>
      <c r="E322" s="270" t="s">
        <v>267</v>
      </c>
      <c r="F322" s="133" t="s">
        <v>34</v>
      </c>
      <c r="G322" s="96" t="s">
        <v>35</v>
      </c>
      <c r="H322" s="110" t="s">
        <v>973</v>
      </c>
      <c r="I322" s="58">
        <v>25</v>
      </c>
      <c r="J322" s="69">
        <v>996</v>
      </c>
      <c r="K322" s="270">
        <f t="shared" si="0"/>
        <v>24900</v>
      </c>
      <c r="L322" s="270">
        <v>25354</v>
      </c>
      <c r="M322" s="270">
        <v>2125</v>
      </c>
      <c r="N322" s="274">
        <v>62.8</v>
      </c>
      <c r="O322" s="55"/>
      <c r="P322" s="45">
        <v>63</v>
      </c>
      <c r="Q322" s="270">
        <v>381</v>
      </c>
      <c r="R322" s="275">
        <v>-1E-4</v>
      </c>
      <c r="S322" s="270">
        <v>379</v>
      </c>
      <c r="T322" s="270">
        <v>441</v>
      </c>
      <c r="U322" s="57">
        <v>1</v>
      </c>
      <c r="V322" s="276">
        <v>0.17</v>
      </c>
      <c r="W322" s="276">
        <v>0</v>
      </c>
      <c r="X322" s="270">
        <v>366</v>
      </c>
      <c r="Y322" s="270">
        <v>75</v>
      </c>
      <c r="Z322" s="45" t="b">
        <v>1</v>
      </c>
      <c r="AA322" s="45" t="s">
        <v>38</v>
      </c>
      <c r="AB322" s="45" t="s">
        <v>38</v>
      </c>
    </row>
    <row r="323" spans="1:28" x14ac:dyDescent="0.2">
      <c r="A323" s="96" t="s">
        <v>286</v>
      </c>
      <c r="B323" s="96" t="s">
        <v>286</v>
      </c>
      <c r="C323" s="284">
        <v>43972</v>
      </c>
      <c r="D323" s="277">
        <v>44002</v>
      </c>
      <c r="E323" s="270" t="s">
        <v>267</v>
      </c>
      <c r="F323" s="133" t="s">
        <v>34</v>
      </c>
      <c r="G323" s="96" t="s">
        <v>35</v>
      </c>
      <c r="H323" s="110" t="s">
        <v>974</v>
      </c>
      <c r="I323" s="58">
        <v>5</v>
      </c>
      <c r="J323" s="69">
        <v>6</v>
      </c>
      <c r="K323" s="270">
        <f t="shared" si="0"/>
        <v>30</v>
      </c>
      <c r="L323" s="270">
        <v>468</v>
      </c>
      <c r="M323" s="270">
        <v>0</v>
      </c>
      <c r="N323" s="274">
        <v>0.1</v>
      </c>
      <c r="O323" s="55"/>
      <c r="P323" s="45">
        <v>0</v>
      </c>
      <c r="Q323" s="270">
        <v>4</v>
      </c>
      <c r="R323" s="275">
        <v>-1E-4</v>
      </c>
      <c r="S323" s="270">
        <v>4</v>
      </c>
      <c r="T323" s="270">
        <v>5</v>
      </c>
      <c r="U323" s="57">
        <v>1</v>
      </c>
      <c r="V323" s="276">
        <v>0.17</v>
      </c>
      <c r="W323" s="276">
        <v>0</v>
      </c>
      <c r="X323" s="270">
        <v>4</v>
      </c>
      <c r="Y323" s="270">
        <v>1</v>
      </c>
      <c r="Z323" s="45" t="b">
        <v>1</v>
      </c>
      <c r="AA323" s="45" t="s">
        <v>38</v>
      </c>
      <c r="AB323" s="45" t="s">
        <v>38</v>
      </c>
    </row>
    <row r="324" spans="1:28" x14ac:dyDescent="0.2">
      <c r="A324" s="96" t="s">
        <v>82</v>
      </c>
      <c r="B324" s="96" t="s">
        <v>82</v>
      </c>
      <c r="C324" s="284">
        <v>43972</v>
      </c>
      <c r="D324" s="277">
        <v>44002</v>
      </c>
      <c r="E324" s="270" t="s">
        <v>300</v>
      </c>
      <c r="F324" s="133" t="s">
        <v>34</v>
      </c>
      <c r="G324" s="96" t="s">
        <v>35</v>
      </c>
      <c r="H324" s="110" t="s">
        <v>961</v>
      </c>
      <c r="I324" s="58">
        <v>10</v>
      </c>
      <c r="J324" s="69">
        <v>6</v>
      </c>
      <c r="K324" s="270">
        <f t="shared" si="0"/>
        <v>60</v>
      </c>
      <c r="L324" s="279">
        <v>414</v>
      </c>
      <c r="M324" s="279">
        <v>-10</v>
      </c>
      <c r="N324" s="274">
        <v>0.6</v>
      </c>
      <c r="O324" s="55"/>
      <c r="P324" s="45">
        <v>1</v>
      </c>
      <c r="Q324" s="279">
        <v>3</v>
      </c>
      <c r="R324" s="275">
        <v>-1E-4</v>
      </c>
      <c r="S324" s="279">
        <v>3</v>
      </c>
      <c r="T324" s="279">
        <v>4</v>
      </c>
      <c r="U324" s="57">
        <v>1</v>
      </c>
      <c r="V324" s="276">
        <v>0.25</v>
      </c>
      <c r="W324" s="276">
        <v>0.1</v>
      </c>
      <c r="X324" s="279">
        <v>2</v>
      </c>
      <c r="Y324" s="279">
        <v>1</v>
      </c>
      <c r="Z324" s="45" t="b">
        <v>1</v>
      </c>
      <c r="AA324" s="45" t="s">
        <v>38</v>
      </c>
      <c r="AB324" s="45" t="s">
        <v>38</v>
      </c>
    </row>
    <row r="325" spans="1:28" x14ac:dyDescent="0.2">
      <c r="A325" s="96" t="s">
        <v>82</v>
      </c>
      <c r="B325" s="96" t="s">
        <v>82</v>
      </c>
      <c r="C325" s="284">
        <v>43972</v>
      </c>
      <c r="D325" s="277">
        <v>44002</v>
      </c>
      <c r="E325" s="270" t="s">
        <v>300</v>
      </c>
      <c r="F325" s="133" t="s">
        <v>34</v>
      </c>
      <c r="G325" s="96" t="s">
        <v>35</v>
      </c>
      <c r="H325" s="272" t="s">
        <v>962</v>
      </c>
      <c r="I325" s="58">
        <v>25</v>
      </c>
      <c r="J325" s="69">
        <v>3012</v>
      </c>
      <c r="K325" s="270">
        <f t="shared" si="0"/>
        <v>75300</v>
      </c>
      <c r="L325" s="279">
        <v>91072</v>
      </c>
      <c r="M325" s="279">
        <v>1375</v>
      </c>
      <c r="N325" s="274">
        <v>625</v>
      </c>
      <c r="O325" s="55"/>
      <c r="P325" s="45">
        <v>625</v>
      </c>
      <c r="Q325" s="279">
        <v>-563</v>
      </c>
      <c r="R325" s="275">
        <v>-1E-4</v>
      </c>
      <c r="S325" s="279">
        <v>-571</v>
      </c>
      <c r="T325" s="279">
        <v>54</v>
      </c>
      <c r="U325" s="57">
        <v>1</v>
      </c>
      <c r="V325" s="276">
        <v>0.25</v>
      </c>
      <c r="W325" s="276">
        <v>0.1</v>
      </c>
      <c r="X325" s="279">
        <v>35</v>
      </c>
      <c r="Y325" s="279">
        <v>19</v>
      </c>
      <c r="Z325" s="45" t="b">
        <v>1</v>
      </c>
      <c r="AA325" s="45" t="s">
        <v>38</v>
      </c>
      <c r="AB325" s="45" t="s">
        <v>38</v>
      </c>
    </row>
    <row r="326" spans="1:28" x14ac:dyDescent="0.2">
      <c r="A326" s="96" t="s">
        <v>82</v>
      </c>
      <c r="B326" s="96" t="s">
        <v>82</v>
      </c>
      <c r="C326" s="284">
        <v>43972</v>
      </c>
      <c r="D326" s="277">
        <v>44002</v>
      </c>
      <c r="E326" s="270" t="s">
        <v>300</v>
      </c>
      <c r="F326" s="133" t="s">
        <v>34</v>
      </c>
      <c r="G326" s="96" t="s">
        <v>35</v>
      </c>
      <c r="H326" s="272" t="s">
        <v>963</v>
      </c>
      <c r="I326" s="58">
        <v>50</v>
      </c>
      <c r="J326" s="69">
        <v>1361</v>
      </c>
      <c r="K326" s="270">
        <f t="shared" si="0"/>
        <v>68050</v>
      </c>
      <c r="L326" s="279">
        <v>39875</v>
      </c>
      <c r="M326" s="279">
        <v>-2350</v>
      </c>
      <c r="N326" s="274">
        <v>564.79999999999995</v>
      </c>
      <c r="O326" s="55"/>
      <c r="P326" s="45">
        <v>565</v>
      </c>
      <c r="Q326" s="279">
        <v>-628</v>
      </c>
      <c r="R326" s="275">
        <v>-1E-4</v>
      </c>
      <c r="S326" s="279">
        <v>-635</v>
      </c>
      <c r="T326" s="279">
        <v>-70</v>
      </c>
      <c r="U326" s="57">
        <v>1</v>
      </c>
      <c r="V326" s="276">
        <v>0.25</v>
      </c>
      <c r="W326" s="276">
        <v>0.1</v>
      </c>
      <c r="X326" s="279">
        <v>-46</v>
      </c>
      <c r="Y326" s="279">
        <v>-25</v>
      </c>
      <c r="Z326" s="45" t="b">
        <v>1</v>
      </c>
      <c r="AA326" s="45" t="s">
        <v>38</v>
      </c>
      <c r="AB326" s="45" t="s">
        <v>38</v>
      </c>
    </row>
    <row r="327" spans="1:28" x14ac:dyDescent="0.2">
      <c r="A327" s="96" t="s">
        <v>154</v>
      </c>
      <c r="B327" s="96" t="s">
        <v>154</v>
      </c>
      <c r="C327" s="284">
        <v>43972</v>
      </c>
      <c r="D327" s="277">
        <v>44002</v>
      </c>
      <c r="E327" s="270" t="s">
        <v>267</v>
      </c>
      <c r="F327" s="133" t="s">
        <v>34</v>
      </c>
      <c r="G327" s="96" t="s">
        <v>35</v>
      </c>
      <c r="H327" s="110" t="s">
        <v>961</v>
      </c>
      <c r="I327" s="58">
        <v>10</v>
      </c>
      <c r="J327" s="69">
        <v>1113</v>
      </c>
      <c r="K327" s="270">
        <f t="shared" si="0"/>
        <v>11130</v>
      </c>
      <c r="L327" s="279">
        <v>65033</v>
      </c>
      <c r="M327" s="279">
        <v>270</v>
      </c>
      <c r="N327" s="274">
        <v>42</v>
      </c>
      <c r="O327" s="55"/>
      <c r="P327" s="45">
        <v>42</v>
      </c>
      <c r="Q327" s="279">
        <v>389</v>
      </c>
      <c r="R327" s="275">
        <v>-1E-4</v>
      </c>
      <c r="S327" s="279">
        <v>388</v>
      </c>
      <c r="T327" s="279">
        <v>430</v>
      </c>
      <c r="U327" s="57">
        <v>1</v>
      </c>
      <c r="V327" s="276">
        <v>0.3</v>
      </c>
      <c r="W327" s="276">
        <v>0</v>
      </c>
      <c r="X327" s="279">
        <v>301</v>
      </c>
      <c r="Y327" s="279">
        <v>129</v>
      </c>
      <c r="Z327" s="45" t="b">
        <v>1</v>
      </c>
      <c r="AA327" s="45" t="s">
        <v>38</v>
      </c>
      <c r="AB327" s="45" t="s">
        <v>38</v>
      </c>
    </row>
    <row r="328" spans="1:28" x14ac:dyDescent="0.2">
      <c r="A328" s="96" t="s">
        <v>154</v>
      </c>
      <c r="B328" s="96" t="s">
        <v>154</v>
      </c>
      <c r="C328" s="284">
        <v>43972</v>
      </c>
      <c r="D328" s="277">
        <v>44002</v>
      </c>
      <c r="E328" s="270" t="s">
        <v>267</v>
      </c>
      <c r="F328" s="133" t="s">
        <v>34</v>
      </c>
      <c r="G328" s="96" t="s">
        <v>35</v>
      </c>
      <c r="H328" s="272" t="s">
        <v>962</v>
      </c>
      <c r="I328" s="58">
        <v>25</v>
      </c>
      <c r="J328" s="69">
        <v>1675</v>
      </c>
      <c r="K328" s="270">
        <f t="shared" si="0"/>
        <v>41875</v>
      </c>
      <c r="L328" s="279">
        <v>61515</v>
      </c>
      <c r="M328" s="279">
        <v>2150</v>
      </c>
      <c r="N328" s="274">
        <v>135.4</v>
      </c>
      <c r="O328" s="55"/>
      <c r="P328" s="45">
        <v>135</v>
      </c>
      <c r="Q328" s="279">
        <v>211</v>
      </c>
      <c r="R328" s="275">
        <v>-1E-4</v>
      </c>
      <c r="S328" s="279">
        <v>207</v>
      </c>
      <c r="T328" s="279">
        <v>342</v>
      </c>
      <c r="U328" s="57">
        <v>1</v>
      </c>
      <c r="V328" s="276">
        <v>0.3</v>
      </c>
      <c r="W328" s="276">
        <v>0</v>
      </c>
      <c r="X328" s="279">
        <v>239</v>
      </c>
      <c r="Y328" s="279">
        <v>103</v>
      </c>
      <c r="Z328" s="45" t="b">
        <v>1</v>
      </c>
      <c r="AA328" s="45" t="s">
        <v>38</v>
      </c>
      <c r="AB328" s="45" t="s">
        <v>38</v>
      </c>
    </row>
    <row r="329" spans="1:28" x14ac:dyDescent="0.2">
      <c r="A329" s="96" t="s">
        <v>154</v>
      </c>
      <c r="B329" s="96" t="s">
        <v>154</v>
      </c>
      <c r="C329" s="284">
        <v>43972</v>
      </c>
      <c r="D329" s="277">
        <v>44002</v>
      </c>
      <c r="E329" s="270" t="s">
        <v>267</v>
      </c>
      <c r="F329" s="133" t="s">
        <v>34</v>
      </c>
      <c r="G329" s="96" t="s">
        <v>35</v>
      </c>
      <c r="H329" s="272" t="s">
        <v>968</v>
      </c>
      <c r="I329" s="58">
        <v>5</v>
      </c>
      <c r="J329" s="69">
        <v>2</v>
      </c>
      <c r="K329" s="270">
        <f t="shared" si="0"/>
        <v>10</v>
      </c>
      <c r="L329" s="279">
        <v>-1077</v>
      </c>
      <c r="M329" s="279">
        <v>-10</v>
      </c>
      <c r="N329" s="274">
        <v>0</v>
      </c>
      <c r="O329" s="55"/>
      <c r="P329" s="45">
        <v>0</v>
      </c>
      <c r="Q329" s="279">
        <v>-11</v>
      </c>
      <c r="R329" s="275">
        <v>-1E-4</v>
      </c>
      <c r="S329" s="279">
        <v>-11</v>
      </c>
      <c r="T329" s="279">
        <v>-11</v>
      </c>
      <c r="U329" s="57">
        <v>1</v>
      </c>
      <c r="V329" s="276">
        <v>0.3</v>
      </c>
      <c r="W329" s="276">
        <v>0</v>
      </c>
      <c r="X329" s="279">
        <v>-7</v>
      </c>
      <c r="Y329" s="279">
        <v>-3</v>
      </c>
      <c r="Z329" s="45" t="b">
        <v>1</v>
      </c>
      <c r="AA329" s="45" t="s">
        <v>38</v>
      </c>
      <c r="AB329" s="45" t="s">
        <v>38</v>
      </c>
    </row>
    <row r="330" spans="1:28" x14ac:dyDescent="0.2">
      <c r="A330" s="96" t="s">
        <v>178</v>
      </c>
      <c r="B330" s="96" t="s">
        <v>178</v>
      </c>
      <c r="C330" s="284">
        <v>43972</v>
      </c>
      <c r="D330" s="277">
        <v>44002</v>
      </c>
      <c r="E330" s="270" t="s">
        <v>267</v>
      </c>
      <c r="F330" s="133" t="s">
        <v>34</v>
      </c>
      <c r="G330" s="96" t="s">
        <v>35</v>
      </c>
      <c r="H330" s="110" t="s">
        <v>961</v>
      </c>
      <c r="I330" s="58">
        <v>10</v>
      </c>
      <c r="J330" s="69">
        <v>1142</v>
      </c>
      <c r="K330" s="270">
        <f t="shared" si="0"/>
        <v>11420</v>
      </c>
      <c r="L330" s="279">
        <v>28684</v>
      </c>
      <c r="M330" s="279">
        <v>-190</v>
      </c>
      <c r="N330" s="274"/>
      <c r="O330" s="55"/>
      <c r="P330" s="96"/>
      <c r="Q330" s="279">
        <v>-326</v>
      </c>
      <c r="R330" s="275">
        <v>-1.5E-3</v>
      </c>
      <c r="S330" s="279">
        <v>-343</v>
      </c>
      <c r="T330" s="279">
        <v>-343</v>
      </c>
      <c r="U330" s="57">
        <v>1</v>
      </c>
      <c r="V330" s="276">
        <v>0.25</v>
      </c>
      <c r="W330" s="276">
        <v>0</v>
      </c>
      <c r="X330" s="279">
        <v>-258</v>
      </c>
      <c r="Y330" s="279">
        <v>-86</v>
      </c>
      <c r="Z330" s="45" t="b">
        <v>1</v>
      </c>
      <c r="AA330" s="45" t="s">
        <v>38</v>
      </c>
      <c r="AB330" s="45" t="s">
        <v>38</v>
      </c>
    </row>
    <row r="331" spans="1:28" x14ac:dyDescent="0.2">
      <c r="A331" s="96" t="s">
        <v>178</v>
      </c>
      <c r="B331" s="96" t="s">
        <v>178</v>
      </c>
      <c r="C331" s="284">
        <v>43972</v>
      </c>
      <c r="D331" s="277">
        <v>44002</v>
      </c>
      <c r="E331" s="270" t="s">
        <v>267</v>
      </c>
      <c r="F331" s="133" t="s">
        <v>34</v>
      </c>
      <c r="G331" s="96" t="s">
        <v>35</v>
      </c>
      <c r="H331" s="272" t="s">
        <v>968</v>
      </c>
      <c r="I331" s="58">
        <v>5</v>
      </c>
      <c r="J331" s="69">
        <v>555</v>
      </c>
      <c r="K331" s="270">
        <f t="shared" si="0"/>
        <v>2775</v>
      </c>
      <c r="L331" s="279">
        <v>53279</v>
      </c>
      <c r="M331" s="279">
        <v>455</v>
      </c>
      <c r="N331" s="274"/>
      <c r="O331" s="55"/>
      <c r="P331" s="96"/>
      <c r="Q331" s="279">
        <v>240</v>
      </c>
      <c r="R331" s="275">
        <v>-1.5E-3</v>
      </c>
      <c r="S331" s="279">
        <v>236</v>
      </c>
      <c r="T331" s="279">
        <v>236</v>
      </c>
      <c r="U331" s="57">
        <v>1</v>
      </c>
      <c r="V331" s="276">
        <v>0.25</v>
      </c>
      <c r="W331" s="276">
        <v>0</v>
      </c>
      <c r="X331" s="279">
        <v>177</v>
      </c>
      <c r="Y331" s="279">
        <v>59</v>
      </c>
      <c r="Z331" s="45" t="b">
        <v>1</v>
      </c>
      <c r="AA331" s="45" t="s">
        <v>38</v>
      </c>
      <c r="AB331" s="45" t="s">
        <v>38</v>
      </c>
    </row>
    <row r="332" spans="1:28" x14ac:dyDescent="0.2">
      <c r="A332" s="96" t="s">
        <v>102</v>
      </c>
      <c r="B332" s="96" t="s">
        <v>102</v>
      </c>
      <c r="C332" s="284">
        <v>43972</v>
      </c>
      <c r="D332" s="277">
        <v>44002</v>
      </c>
      <c r="E332" s="270" t="s">
        <v>267</v>
      </c>
      <c r="F332" s="96" t="s">
        <v>41</v>
      </c>
      <c r="G332" s="96" t="s">
        <v>35</v>
      </c>
      <c r="H332" s="272" t="s">
        <v>975</v>
      </c>
      <c r="I332" s="58">
        <v>0.25</v>
      </c>
      <c r="J332" s="69">
        <v>6</v>
      </c>
      <c r="K332" s="270">
        <f t="shared" si="0"/>
        <v>1.5</v>
      </c>
      <c r="L332" s="270"/>
      <c r="M332" s="270">
        <v>-0.75</v>
      </c>
      <c r="N332" s="274">
        <v>0</v>
      </c>
      <c r="O332" s="55"/>
      <c r="P332" s="45">
        <v>0</v>
      </c>
      <c r="Q332" s="270"/>
      <c r="R332" s="275">
        <v>0</v>
      </c>
      <c r="S332" s="270"/>
      <c r="T332" s="270">
        <v>-1</v>
      </c>
      <c r="U332" s="57">
        <v>1</v>
      </c>
      <c r="V332" s="276">
        <v>0.1</v>
      </c>
      <c r="W332" s="276">
        <v>0</v>
      </c>
      <c r="X332" s="270">
        <v>-1</v>
      </c>
      <c r="Y332" s="270">
        <v>0</v>
      </c>
      <c r="Z332" s="45" t="b">
        <v>1</v>
      </c>
      <c r="AA332" s="45" t="s">
        <v>38</v>
      </c>
      <c r="AB332" s="45" t="s">
        <v>38</v>
      </c>
    </row>
    <row r="333" spans="1:28" x14ac:dyDescent="0.2">
      <c r="A333" s="96" t="s">
        <v>102</v>
      </c>
      <c r="B333" s="96" t="s">
        <v>102</v>
      </c>
      <c r="C333" s="284">
        <v>43972</v>
      </c>
      <c r="D333" s="277">
        <v>44002</v>
      </c>
      <c r="E333" s="270" t="s">
        <v>267</v>
      </c>
      <c r="F333" s="96" t="s">
        <v>41</v>
      </c>
      <c r="G333" s="96" t="s">
        <v>35</v>
      </c>
      <c r="H333" s="272" t="s">
        <v>955</v>
      </c>
      <c r="I333" s="58">
        <v>1</v>
      </c>
      <c r="J333" s="69">
        <v>1</v>
      </c>
      <c r="K333" s="270">
        <f t="shared" si="0"/>
        <v>1</v>
      </c>
      <c r="L333" s="270"/>
      <c r="M333" s="270">
        <v>-1</v>
      </c>
      <c r="N333" s="274">
        <v>0</v>
      </c>
      <c r="O333" s="55"/>
      <c r="P333" s="45">
        <v>0</v>
      </c>
      <c r="Q333" s="270"/>
      <c r="R333" s="275">
        <v>0</v>
      </c>
      <c r="S333" s="270"/>
      <c r="T333" s="270">
        <v>-1</v>
      </c>
      <c r="U333" s="57">
        <v>1</v>
      </c>
      <c r="V333" s="276">
        <v>0.1</v>
      </c>
      <c r="W333" s="276">
        <v>0</v>
      </c>
      <c r="X333" s="270">
        <v>-1</v>
      </c>
      <c r="Y333" s="270">
        <v>0</v>
      </c>
      <c r="Z333" s="45" t="b">
        <v>1</v>
      </c>
      <c r="AA333" s="45" t="s">
        <v>38</v>
      </c>
      <c r="AB333" s="45" t="s">
        <v>38</v>
      </c>
    </row>
    <row r="334" spans="1:28" x14ac:dyDescent="0.2">
      <c r="A334" s="96" t="s">
        <v>102</v>
      </c>
      <c r="B334" s="96" t="s">
        <v>102</v>
      </c>
      <c r="C334" s="284">
        <v>43972</v>
      </c>
      <c r="D334" s="277">
        <v>44002</v>
      </c>
      <c r="E334" s="270" t="s">
        <v>267</v>
      </c>
      <c r="F334" s="96" t="s">
        <v>34</v>
      </c>
      <c r="G334" s="96" t="s">
        <v>35</v>
      </c>
      <c r="H334" s="272" t="s">
        <v>951</v>
      </c>
      <c r="I334" s="58">
        <v>100</v>
      </c>
      <c r="J334" s="69">
        <v>2</v>
      </c>
      <c r="K334" s="270">
        <f t="shared" si="0"/>
        <v>200</v>
      </c>
      <c r="L334" s="270">
        <v>818</v>
      </c>
      <c r="M334" s="270">
        <v>0</v>
      </c>
      <c r="N334" s="274">
        <v>1.7</v>
      </c>
      <c r="O334" s="55"/>
      <c r="P334" s="45">
        <v>2</v>
      </c>
      <c r="Q334" s="270">
        <v>144</v>
      </c>
      <c r="R334" s="275">
        <v>-1E-4</v>
      </c>
      <c r="S334" s="270">
        <v>144</v>
      </c>
      <c r="T334" s="270">
        <v>145</v>
      </c>
      <c r="U334" s="57">
        <v>1</v>
      </c>
      <c r="V334" s="276">
        <v>0.1</v>
      </c>
      <c r="W334" s="276">
        <v>0</v>
      </c>
      <c r="X334" s="270">
        <v>131</v>
      </c>
      <c r="Y334" s="270">
        <v>15</v>
      </c>
      <c r="Z334" s="45" t="b">
        <v>1</v>
      </c>
      <c r="AA334" s="45" t="s">
        <v>38</v>
      </c>
      <c r="AB334" s="45" t="s">
        <v>38</v>
      </c>
    </row>
    <row r="335" spans="1:28" x14ac:dyDescent="0.2">
      <c r="A335" s="96" t="s">
        <v>102</v>
      </c>
      <c r="B335" s="96" t="s">
        <v>102</v>
      </c>
      <c r="C335" s="284">
        <v>43972</v>
      </c>
      <c r="D335" s="277">
        <v>44002</v>
      </c>
      <c r="E335" s="270" t="s">
        <v>267</v>
      </c>
      <c r="F335" s="96" t="s">
        <v>41</v>
      </c>
      <c r="G335" s="96" t="s">
        <v>35</v>
      </c>
      <c r="H335" s="110" t="s">
        <v>976</v>
      </c>
      <c r="I335" s="58">
        <v>2</v>
      </c>
      <c r="J335" s="69">
        <v>1</v>
      </c>
      <c r="K335" s="270">
        <f t="shared" si="0"/>
        <v>2</v>
      </c>
      <c r="L335" s="270"/>
      <c r="M335" s="270">
        <v>4</v>
      </c>
      <c r="N335" s="274">
        <v>0</v>
      </c>
      <c r="O335" s="55"/>
      <c r="P335" s="45">
        <v>0</v>
      </c>
      <c r="Q335" s="270"/>
      <c r="R335" s="275">
        <v>0</v>
      </c>
      <c r="S335" s="270"/>
      <c r="T335" s="270">
        <v>4</v>
      </c>
      <c r="U335" s="57">
        <v>1</v>
      </c>
      <c r="V335" s="276">
        <v>0.1</v>
      </c>
      <c r="W335" s="276">
        <v>0</v>
      </c>
      <c r="X335" s="270">
        <v>4</v>
      </c>
      <c r="Y335" s="270">
        <v>0</v>
      </c>
      <c r="Z335" s="45" t="b">
        <v>1</v>
      </c>
      <c r="AA335" s="45" t="s">
        <v>38</v>
      </c>
      <c r="AB335" s="45" t="s">
        <v>38</v>
      </c>
    </row>
    <row r="336" spans="1:28" x14ac:dyDescent="0.2">
      <c r="A336" s="96" t="s">
        <v>102</v>
      </c>
      <c r="B336" s="96" t="s">
        <v>102</v>
      </c>
      <c r="C336" s="284">
        <v>43972</v>
      </c>
      <c r="D336" s="277">
        <v>44002</v>
      </c>
      <c r="E336" s="270" t="s">
        <v>267</v>
      </c>
      <c r="F336" s="96" t="s">
        <v>34</v>
      </c>
      <c r="G336" s="96" t="s">
        <v>35</v>
      </c>
      <c r="H336" s="272" t="s">
        <v>962</v>
      </c>
      <c r="I336" s="58">
        <v>25</v>
      </c>
      <c r="J336" s="69">
        <v>21</v>
      </c>
      <c r="K336" s="270">
        <f t="shared" si="0"/>
        <v>525</v>
      </c>
      <c r="L336" s="270">
        <v>-1706</v>
      </c>
      <c r="M336" s="270">
        <v>-50</v>
      </c>
      <c r="N336" s="274">
        <v>5.3</v>
      </c>
      <c r="O336" s="55"/>
      <c r="P336" s="45">
        <v>5</v>
      </c>
      <c r="Q336" s="270">
        <v>-113</v>
      </c>
      <c r="R336" s="275">
        <v>-1E-4</v>
      </c>
      <c r="S336" s="270">
        <v>-113</v>
      </c>
      <c r="T336" s="270">
        <v>-108</v>
      </c>
      <c r="U336" s="57">
        <v>1</v>
      </c>
      <c r="V336" s="276">
        <v>0.1</v>
      </c>
      <c r="W336" s="276">
        <v>0</v>
      </c>
      <c r="X336" s="270">
        <v>-97</v>
      </c>
      <c r="Y336" s="270">
        <v>-11</v>
      </c>
      <c r="Z336" s="45" t="b">
        <v>1</v>
      </c>
      <c r="AA336" s="45" t="s">
        <v>38</v>
      </c>
      <c r="AB336" s="45" t="s">
        <v>38</v>
      </c>
    </row>
    <row r="337" spans="1:28" x14ac:dyDescent="0.2">
      <c r="A337" s="96" t="s">
        <v>102</v>
      </c>
      <c r="B337" s="96" t="s">
        <v>102</v>
      </c>
      <c r="C337" s="284">
        <v>43972</v>
      </c>
      <c r="D337" s="277">
        <v>44002</v>
      </c>
      <c r="E337" s="270" t="s">
        <v>267</v>
      </c>
      <c r="F337" s="96" t="s">
        <v>41</v>
      </c>
      <c r="G337" s="96" t="s">
        <v>35</v>
      </c>
      <c r="H337" s="110" t="s">
        <v>973</v>
      </c>
      <c r="I337" s="58">
        <v>25</v>
      </c>
      <c r="J337" s="69">
        <v>2</v>
      </c>
      <c r="K337" s="270">
        <f t="shared" si="0"/>
        <v>50</v>
      </c>
      <c r="L337" s="270"/>
      <c r="M337" s="270">
        <v>100</v>
      </c>
      <c r="N337" s="274">
        <v>0.5</v>
      </c>
      <c r="O337" s="55"/>
      <c r="P337" s="45">
        <v>1</v>
      </c>
      <c r="Q337" s="270"/>
      <c r="R337" s="275">
        <v>0</v>
      </c>
      <c r="S337" s="270"/>
      <c r="T337" s="270">
        <v>101</v>
      </c>
      <c r="U337" s="57">
        <v>1</v>
      </c>
      <c r="V337" s="276">
        <v>0.1</v>
      </c>
      <c r="W337" s="276">
        <v>0</v>
      </c>
      <c r="X337" s="270">
        <v>90</v>
      </c>
      <c r="Y337" s="270">
        <v>10</v>
      </c>
      <c r="Z337" s="45" t="b">
        <v>1</v>
      </c>
      <c r="AA337" s="45" t="s">
        <v>38</v>
      </c>
      <c r="AB337" s="45" t="s">
        <v>38</v>
      </c>
    </row>
    <row r="338" spans="1:28" x14ac:dyDescent="0.2">
      <c r="A338" s="96" t="s">
        <v>102</v>
      </c>
      <c r="B338" s="96" t="s">
        <v>102</v>
      </c>
      <c r="C338" s="284">
        <v>43972</v>
      </c>
      <c r="D338" s="277">
        <v>44002</v>
      </c>
      <c r="E338" s="270" t="s">
        <v>267</v>
      </c>
      <c r="F338" s="96" t="s">
        <v>41</v>
      </c>
      <c r="G338" s="96" t="s">
        <v>35</v>
      </c>
      <c r="H338" s="272" t="s">
        <v>968</v>
      </c>
      <c r="I338" s="58">
        <v>5</v>
      </c>
      <c r="J338" s="69">
        <v>3</v>
      </c>
      <c r="K338" s="270">
        <f t="shared" si="0"/>
        <v>15</v>
      </c>
      <c r="L338" s="270"/>
      <c r="M338" s="270">
        <v>15</v>
      </c>
      <c r="N338" s="274">
        <v>0.2</v>
      </c>
      <c r="O338" s="55"/>
      <c r="P338" s="45">
        <v>0</v>
      </c>
      <c r="Q338" s="270"/>
      <c r="R338" s="275">
        <v>0</v>
      </c>
      <c r="S338" s="270"/>
      <c r="T338" s="270">
        <v>15</v>
      </c>
      <c r="U338" s="57">
        <v>1</v>
      </c>
      <c r="V338" s="276">
        <v>0.1</v>
      </c>
      <c r="W338" s="276">
        <v>0</v>
      </c>
      <c r="X338" s="270">
        <v>14</v>
      </c>
      <c r="Y338" s="270">
        <v>2</v>
      </c>
      <c r="Z338" s="45" t="b">
        <v>1</v>
      </c>
      <c r="AA338" s="45" t="s">
        <v>38</v>
      </c>
      <c r="AB338" s="45" t="s">
        <v>38</v>
      </c>
    </row>
    <row r="339" spans="1:28" x14ac:dyDescent="0.2">
      <c r="A339" s="96" t="s">
        <v>102</v>
      </c>
      <c r="B339" s="96" t="s">
        <v>102</v>
      </c>
      <c r="C339" s="284">
        <v>43972</v>
      </c>
      <c r="D339" s="277">
        <v>44002</v>
      </c>
      <c r="E339" s="270" t="s">
        <v>267</v>
      </c>
      <c r="F339" s="96" t="s">
        <v>34</v>
      </c>
      <c r="G339" s="96" t="s">
        <v>35</v>
      </c>
      <c r="H339" s="272" t="s">
        <v>963</v>
      </c>
      <c r="I339" s="58">
        <v>50</v>
      </c>
      <c r="J339" s="69">
        <v>2392</v>
      </c>
      <c r="K339" s="270">
        <f t="shared" si="0"/>
        <v>119600</v>
      </c>
      <c r="L339" s="270">
        <v>61053</v>
      </c>
      <c r="M339" s="270">
        <v>-3050</v>
      </c>
      <c r="N339" s="274">
        <v>1212</v>
      </c>
      <c r="O339" s="55"/>
      <c r="P339" s="105">
        <v>1212</v>
      </c>
      <c r="Q339" s="270">
        <v>-1901</v>
      </c>
      <c r="R339" s="275">
        <v>-1E-4</v>
      </c>
      <c r="S339" s="270">
        <v>-1913</v>
      </c>
      <c r="T339" s="270">
        <v>-701</v>
      </c>
      <c r="U339" s="57">
        <v>1</v>
      </c>
      <c r="V339" s="276">
        <v>0.1</v>
      </c>
      <c r="W339" s="276">
        <v>0</v>
      </c>
      <c r="X339" s="270">
        <v>-631</v>
      </c>
      <c r="Y339" s="270">
        <v>-70</v>
      </c>
      <c r="Z339" s="45" t="b">
        <v>1</v>
      </c>
      <c r="AA339" s="45" t="s">
        <v>38</v>
      </c>
      <c r="AB339" s="45" t="s">
        <v>38</v>
      </c>
    </row>
    <row r="340" spans="1:28" x14ac:dyDescent="0.2">
      <c r="A340" s="96" t="s">
        <v>102</v>
      </c>
      <c r="B340" s="96" t="s">
        <v>102</v>
      </c>
      <c r="C340" s="284">
        <v>43972</v>
      </c>
      <c r="D340" s="277">
        <v>44002</v>
      </c>
      <c r="E340" s="270" t="s">
        <v>267</v>
      </c>
      <c r="F340" s="96" t="s">
        <v>34</v>
      </c>
      <c r="G340" s="96" t="s">
        <v>35</v>
      </c>
      <c r="H340" s="110" t="s">
        <v>971</v>
      </c>
      <c r="I340" s="58">
        <v>50</v>
      </c>
      <c r="J340" s="69">
        <v>1206</v>
      </c>
      <c r="K340" s="270">
        <f t="shared" si="0"/>
        <v>60300</v>
      </c>
      <c r="L340" s="270">
        <v>19311</v>
      </c>
      <c r="M340" s="270">
        <v>500</v>
      </c>
      <c r="N340" s="274">
        <v>599</v>
      </c>
      <c r="O340" s="55"/>
      <c r="P340" s="45">
        <v>599</v>
      </c>
      <c r="Q340" s="270">
        <v>-827</v>
      </c>
      <c r="R340" s="275">
        <v>-1E-4</v>
      </c>
      <c r="S340" s="270">
        <v>-833</v>
      </c>
      <c r="T340" s="270">
        <v>-234</v>
      </c>
      <c r="U340" s="57">
        <v>1</v>
      </c>
      <c r="V340" s="276">
        <v>0.1</v>
      </c>
      <c r="W340" s="276">
        <v>0</v>
      </c>
      <c r="X340" s="270">
        <v>-211</v>
      </c>
      <c r="Y340" s="270">
        <v>-23</v>
      </c>
      <c r="Z340" s="45" t="b">
        <v>1</v>
      </c>
      <c r="AA340" s="45" t="s">
        <v>38</v>
      </c>
      <c r="AB340" s="45" t="s">
        <v>38</v>
      </c>
    </row>
    <row r="341" spans="1:28" x14ac:dyDescent="0.2">
      <c r="A341" s="96" t="s">
        <v>102</v>
      </c>
      <c r="B341" s="96" t="s">
        <v>102</v>
      </c>
      <c r="C341" s="284">
        <v>43972</v>
      </c>
      <c r="D341" s="277">
        <v>44002</v>
      </c>
      <c r="E341" s="270" t="s">
        <v>267</v>
      </c>
      <c r="F341" s="96" t="s">
        <v>41</v>
      </c>
      <c r="G341" s="96" t="s">
        <v>35</v>
      </c>
      <c r="H341" s="110" t="s">
        <v>977</v>
      </c>
      <c r="I341" s="58">
        <v>500</v>
      </c>
      <c r="J341" s="69">
        <v>1</v>
      </c>
      <c r="K341" s="270">
        <f t="shared" si="0"/>
        <v>500</v>
      </c>
      <c r="L341" s="270"/>
      <c r="M341" s="270">
        <v>-500</v>
      </c>
      <c r="N341" s="274">
        <v>4.2</v>
      </c>
      <c r="O341" s="55"/>
      <c r="P341" s="45">
        <v>4</v>
      </c>
      <c r="Q341" s="270"/>
      <c r="R341" s="275">
        <v>0</v>
      </c>
      <c r="S341" s="270"/>
      <c r="T341" s="270">
        <v>-496</v>
      </c>
      <c r="U341" s="57">
        <v>1</v>
      </c>
      <c r="V341" s="276">
        <v>0.1</v>
      </c>
      <c r="W341" s="276">
        <v>0</v>
      </c>
      <c r="X341" s="270">
        <v>-446</v>
      </c>
      <c r="Y341" s="270">
        <v>-50</v>
      </c>
      <c r="Z341" s="45" t="b">
        <v>1</v>
      </c>
      <c r="AA341" s="45" t="s">
        <v>38</v>
      </c>
      <c r="AB341" s="45" t="s">
        <v>38</v>
      </c>
    </row>
    <row r="342" spans="1:28" x14ac:dyDescent="0.2">
      <c r="A342" s="96" t="s">
        <v>508</v>
      </c>
      <c r="B342" s="96" t="s">
        <v>508</v>
      </c>
      <c r="C342" s="284">
        <v>43972</v>
      </c>
      <c r="D342" s="277">
        <v>44002</v>
      </c>
      <c r="E342" s="270" t="s">
        <v>300</v>
      </c>
      <c r="F342" s="96" t="s">
        <v>34</v>
      </c>
      <c r="G342" s="96" t="s">
        <v>35</v>
      </c>
      <c r="H342" s="272" t="s">
        <v>951</v>
      </c>
      <c r="I342" s="58">
        <v>100</v>
      </c>
      <c r="J342" s="69">
        <v>3705</v>
      </c>
      <c r="K342" s="270">
        <f t="shared" si="0"/>
        <v>370500</v>
      </c>
      <c r="L342" s="270">
        <v>163620</v>
      </c>
      <c r="M342" s="270">
        <v>1800</v>
      </c>
      <c r="N342" s="274">
        <v>3629.5</v>
      </c>
      <c r="O342" s="55"/>
      <c r="P342" s="105">
        <v>3630</v>
      </c>
      <c r="Q342" s="270">
        <v>10904</v>
      </c>
      <c r="R342" s="275">
        <v>-1E-4</v>
      </c>
      <c r="S342" s="270">
        <v>10867</v>
      </c>
      <c r="T342" s="270">
        <v>14496</v>
      </c>
      <c r="U342" s="57">
        <v>1</v>
      </c>
      <c r="V342" s="276">
        <v>0.18</v>
      </c>
      <c r="W342" s="276">
        <v>0.08</v>
      </c>
      <c r="X342" s="270">
        <v>10727</v>
      </c>
      <c r="Y342" s="270">
        <v>3769</v>
      </c>
      <c r="Z342" s="45" t="b">
        <v>1</v>
      </c>
      <c r="AA342" s="45" t="s">
        <v>38</v>
      </c>
      <c r="AB342" s="45" t="s">
        <v>38</v>
      </c>
    </row>
    <row r="343" spans="1:28" x14ac:dyDescent="0.2">
      <c r="A343" s="96" t="s">
        <v>508</v>
      </c>
      <c r="B343" s="96" t="s">
        <v>508</v>
      </c>
      <c r="C343" s="284">
        <v>43972</v>
      </c>
      <c r="D343" s="277">
        <v>44002</v>
      </c>
      <c r="E343" s="270" t="s">
        <v>267</v>
      </c>
      <c r="F343" s="96" t="s">
        <v>41</v>
      </c>
      <c r="G343" s="96" t="s">
        <v>35</v>
      </c>
      <c r="H343" s="272" t="s">
        <v>962</v>
      </c>
      <c r="I343" s="58">
        <v>25</v>
      </c>
      <c r="J343" s="69">
        <v>29</v>
      </c>
      <c r="K343" s="270">
        <f t="shared" si="0"/>
        <v>725</v>
      </c>
      <c r="L343" s="270"/>
      <c r="M343" s="270">
        <v>450</v>
      </c>
      <c r="N343" s="274">
        <v>8.5</v>
      </c>
      <c r="O343" s="55"/>
      <c r="P343" s="45">
        <v>9</v>
      </c>
      <c r="Q343" s="270"/>
      <c r="R343" s="275">
        <v>0</v>
      </c>
      <c r="S343" s="270"/>
      <c r="T343" s="270">
        <v>459</v>
      </c>
      <c r="U343" s="57">
        <v>1</v>
      </c>
      <c r="V343" s="276">
        <v>0.18</v>
      </c>
      <c r="W343" s="276">
        <v>0</v>
      </c>
      <c r="X343" s="270">
        <v>376</v>
      </c>
      <c r="Y343" s="270">
        <v>83</v>
      </c>
      <c r="Z343" s="45" t="b">
        <v>1</v>
      </c>
      <c r="AA343" s="45" t="s">
        <v>38</v>
      </c>
      <c r="AB343" s="45" t="s">
        <v>38</v>
      </c>
    </row>
    <row r="344" spans="1:28" x14ac:dyDescent="0.2">
      <c r="A344" s="96" t="s">
        <v>206</v>
      </c>
      <c r="B344" s="96" t="s">
        <v>206</v>
      </c>
      <c r="C344" s="284">
        <v>43972</v>
      </c>
      <c r="D344" s="277">
        <v>44002</v>
      </c>
      <c r="E344" s="270" t="s">
        <v>267</v>
      </c>
      <c r="F344" s="133" t="s">
        <v>34</v>
      </c>
      <c r="G344" s="96" t="s">
        <v>35</v>
      </c>
      <c r="H344" s="272" t="s">
        <v>951</v>
      </c>
      <c r="I344" s="58">
        <v>100</v>
      </c>
      <c r="J344" s="69">
        <v>483</v>
      </c>
      <c r="K344" s="270">
        <f t="shared" si="0"/>
        <v>48300</v>
      </c>
      <c r="L344" s="270">
        <v>33009</v>
      </c>
      <c r="M344" s="270">
        <v>4100</v>
      </c>
      <c r="N344" s="274">
        <v>2970.8</v>
      </c>
      <c r="O344" s="55"/>
      <c r="P344" s="105">
        <v>2971</v>
      </c>
      <c r="Q344" s="270">
        <v>3558</v>
      </c>
      <c r="R344" s="275">
        <v>-1E-4</v>
      </c>
      <c r="S344" s="270">
        <v>3553</v>
      </c>
      <c r="T344" s="270">
        <v>6524</v>
      </c>
      <c r="U344" s="57">
        <v>1</v>
      </c>
      <c r="V344" s="276">
        <v>0.22</v>
      </c>
      <c r="W344" s="276">
        <v>0</v>
      </c>
      <c r="X344" s="270">
        <v>5089</v>
      </c>
      <c r="Y344" s="270">
        <v>1435</v>
      </c>
      <c r="Z344" s="45" t="b">
        <v>1</v>
      </c>
      <c r="AA344" s="45" t="s">
        <v>38</v>
      </c>
      <c r="AB344" s="45" t="s">
        <v>38</v>
      </c>
    </row>
    <row r="345" spans="1:28" x14ac:dyDescent="0.2">
      <c r="A345" s="96" t="s">
        <v>206</v>
      </c>
      <c r="B345" s="96" t="s">
        <v>206</v>
      </c>
      <c r="C345" s="284">
        <v>43972</v>
      </c>
      <c r="D345" s="277">
        <v>44002</v>
      </c>
      <c r="E345" s="270" t="s">
        <v>267</v>
      </c>
      <c r="F345" s="133" t="s">
        <v>34</v>
      </c>
      <c r="G345" s="96" t="s">
        <v>35</v>
      </c>
      <c r="H345" s="272" t="s">
        <v>960</v>
      </c>
      <c r="I345" s="58">
        <v>100</v>
      </c>
      <c r="J345" s="69">
        <v>7</v>
      </c>
      <c r="K345" s="270">
        <f t="shared" si="0"/>
        <v>700</v>
      </c>
      <c r="L345" s="270">
        <v>4</v>
      </c>
      <c r="M345" s="270">
        <v>-200</v>
      </c>
      <c r="N345" s="274">
        <v>43.1</v>
      </c>
      <c r="O345" s="55"/>
      <c r="P345" s="45">
        <v>43</v>
      </c>
      <c r="Q345" s="270">
        <v>-37</v>
      </c>
      <c r="R345" s="275">
        <v>-1E-4</v>
      </c>
      <c r="S345" s="270">
        <v>-38</v>
      </c>
      <c r="T345" s="270">
        <v>6</v>
      </c>
      <c r="U345" s="57">
        <v>1</v>
      </c>
      <c r="V345" s="276">
        <v>0.22</v>
      </c>
      <c r="W345" s="276">
        <v>0</v>
      </c>
      <c r="X345" s="270">
        <v>4</v>
      </c>
      <c r="Y345" s="270">
        <v>1</v>
      </c>
      <c r="Z345" s="45" t="b">
        <v>1</v>
      </c>
      <c r="AA345" s="45" t="s">
        <v>38</v>
      </c>
      <c r="AB345" s="45" t="s">
        <v>38</v>
      </c>
    </row>
    <row r="346" spans="1:28" x14ac:dyDescent="0.2">
      <c r="A346" s="96" t="s">
        <v>206</v>
      </c>
      <c r="B346" s="96" t="s">
        <v>206</v>
      </c>
      <c r="C346" s="284">
        <v>43972</v>
      </c>
      <c r="D346" s="277">
        <v>44002</v>
      </c>
      <c r="E346" s="270" t="s">
        <v>267</v>
      </c>
      <c r="F346" s="133" t="s">
        <v>34</v>
      </c>
      <c r="G346" s="96" t="s">
        <v>35</v>
      </c>
      <c r="H346" s="272" t="s">
        <v>962</v>
      </c>
      <c r="I346" s="58">
        <v>25</v>
      </c>
      <c r="J346" s="69">
        <v>31</v>
      </c>
      <c r="K346" s="270">
        <f t="shared" si="0"/>
        <v>775</v>
      </c>
      <c r="L346" s="270">
        <v>1434</v>
      </c>
      <c r="M346" s="270">
        <v>325</v>
      </c>
      <c r="N346" s="274">
        <v>57.2</v>
      </c>
      <c r="O346" s="55"/>
      <c r="P346" s="45">
        <v>57</v>
      </c>
      <c r="Q346" s="270">
        <v>16</v>
      </c>
      <c r="R346" s="275">
        <v>-1E-4</v>
      </c>
      <c r="S346" s="270">
        <v>16</v>
      </c>
      <c r="T346" s="270">
        <v>73</v>
      </c>
      <c r="U346" s="57">
        <v>1</v>
      </c>
      <c r="V346" s="276">
        <v>0.22</v>
      </c>
      <c r="W346" s="276">
        <v>0</v>
      </c>
      <c r="X346" s="270">
        <v>57</v>
      </c>
      <c r="Y346" s="270">
        <v>16</v>
      </c>
      <c r="Z346" s="45" t="b">
        <v>1</v>
      </c>
      <c r="AA346" s="45" t="s">
        <v>38</v>
      </c>
      <c r="AB346" s="45" t="s">
        <v>38</v>
      </c>
    </row>
    <row r="347" spans="1:28" x14ac:dyDescent="0.2">
      <c r="A347" s="96" t="s">
        <v>206</v>
      </c>
      <c r="B347" s="96" t="s">
        <v>206</v>
      </c>
      <c r="C347" s="284">
        <v>43972</v>
      </c>
      <c r="D347" s="277">
        <v>44002</v>
      </c>
      <c r="E347" s="270" t="s">
        <v>267</v>
      </c>
      <c r="F347" s="133" t="s">
        <v>34</v>
      </c>
      <c r="G347" s="96" t="s">
        <v>35</v>
      </c>
      <c r="H347" s="272" t="s">
        <v>963</v>
      </c>
      <c r="I347" s="58">
        <v>50</v>
      </c>
      <c r="J347" s="69">
        <v>1694</v>
      </c>
      <c r="K347" s="270">
        <f t="shared" si="0"/>
        <v>84700</v>
      </c>
      <c r="L347" s="270">
        <v>99680</v>
      </c>
      <c r="M347" s="270">
        <v>2000</v>
      </c>
      <c r="N347" s="274">
        <v>6251.5</v>
      </c>
      <c r="O347" s="55"/>
      <c r="P347" s="105">
        <v>6252</v>
      </c>
      <c r="Q347" s="270">
        <v>3774</v>
      </c>
      <c r="R347" s="275">
        <v>-1E-4</v>
      </c>
      <c r="S347" s="270">
        <v>3766</v>
      </c>
      <c r="T347" s="270">
        <v>10017</v>
      </c>
      <c r="U347" s="57">
        <v>1</v>
      </c>
      <c r="V347" s="276">
        <v>0.22</v>
      </c>
      <c r="W347" s="276">
        <v>0</v>
      </c>
      <c r="X347" s="270">
        <v>7813</v>
      </c>
      <c r="Y347" s="270">
        <v>2204</v>
      </c>
      <c r="Z347" s="45" t="b">
        <v>1</v>
      </c>
      <c r="AA347" s="45" t="s">
        <v>38</v>
      </c>
      <c r="AB347" s="45" t="s">
        <v>38</v>
      </c>
    </row>
    <row r="348" spans="1:28" x14ac:dyDescent="0.2">
      <c r="A348" s="96" t="s">
        <v>206</v>
      </c>
      <c r="B348" s="96" t="s">
        <v>206</v>
      </c>
      <c r="C348" s="284">
        <v>43972</v>
      </c>
      <c r="D348" s="277">
        <v>44002</v>
      </c>
      <c r="E348" s="270" t="s">
        <v>267</v>
      </c>
      <c r="F348" s="133" t="s">
        <v>34</v>
      </c>
      <c r="G348" s="96" t="s">
        <v>35</v>
      </c>
      <c r="H348" s="110" t="s">
        <v>971</v>
      </c>
      <c r="I348" s="58">
        <v>50</v>
      </c>
      <c r="J348" s="69">
        <v>32</v>
      </c>
      <c r="K348" s="270">
        <f t="shared" si="0"/>
        <v>1600</v>
      </c>
      <c r="L348" s="270">
        <v>-1428</v>
      </c>
      <c r="M348" s="270">
        <v>-800</v>
      </c>
      <c r="N348" s="274">
        <v>118.1</v>
      </c>
      <c r="O348" s="55"/>
      <c r="P348" s="45">
        <v>118</v>
      </c>
      <c r="Q348" s="270">
        <v>-327</v>
      </c>
      <c r="R348" s="275">
        <v>-1E-4</v>
      </c>
      <c r="S348" s="270">
        <v>-327</v>
      </c>
      <c r="T348" s="270">
        <v>-209</v>
      </c>
      <c r="U348" s="57">
        <v>1</v>
      </c>
      <c r="V348" s="276">
        <v>0.22</v>
      </c>
      <c r="W348" s="276">
        <v>0</v>
      </c>
      <c r="X348" s="270">
        <v>-163</v>
      </c>
      <c r="Y348" s="270">
        <v>-46</v>
      </c>
      <c r="Z348" s="45" t="b">
        <v>1</v>
      </c>
      <c r="AA348" s="45" t="s">
        <v>38</v>
      </c>
      <c r="AB348" s="45" t="s">
        <v>38</v>
      </c>
    </row>
    <row r="349" spans="1:28" x14ac:dyDescent="0.2">
      <c r="A349" s="96" t="s">
        <v>145</v>
      </c>
      <c r="B349" s="96" t="s">
        <v>145</v>
      </c>
      <c r="C349" s="284">
        <v>43983</v>
      </c>
      <c r="D349" s="277">
        <v>44012</v>
      </c>
      <c r="E349" s="270" t="s">
        <v>267</v>
      </c>
      <c r="F349" s="133" t="s">
        <v>49</v>
      </c>
      <c r="G349" s="279" t="s">
        <v>35</v>
      </c>
      <c r="H349" s="272" t="s">
        <v>951</v>
      </c>
      <c r="I349" s="58">
        <v>100</v>
      </c>
      <c r="J349" s="69">
        <v>2650</v>
      </c>
      <c r="K349" s="270">
        <f t="shared" si="0"/>
        <v>265000</v>
      </c>
      <c r="L349" s="270">
        <v>63870</v>
      </c>
      <c r="M349" s="270">
        <v>-100</v>
      </c>
      <c r="N349" s="274">
        <v>3297</v>
      </c>
      <c r="O349" s="55"/>
      <c r="P349" s="105">
        <v>3297</v>
      </c>
      <c r="Q349" s="270">
        <v>-2243</v>
      </c>
      <c r="R349" s="275">
        <v>-4.8149999999999998E-3</v>
      </c>
      <c r="S349" s="270">
        <v>-3519</v>
      </c>
      <c r="T349" s="270">
        <v>-222</v>
      </c>
      <c r="U349" s="57">
        <v>1</v>
      </c>
      <c r="V349" s="276">
        <v>0.12</v>
      </c>
      <c r="W349" s="276">
        <v>0</v>
      </c>
      <c r="X349" s="270">
        <v>-195</v>
      </c>
      <c r="Y349" s="270">
        <v>-27</v>
      </c>
      <c r="Z349" s="45" t="b">
        <v>1</v>
      </c>
      <c r="AA349" s="45" t="s">
        <v>38</v>
      </c>
      <c r="AB349" s="45" t="s">
        <v>38</v>
      </c>
    </row>
    <row r="350" spans="1:28" x14ac:dyDescent="0.2">
      <c r="A350" s="96" t="s">
        <v>145</v>
      </c>
      <c r="B350" s="96" t="s">
        <v>145</v>
      </c>
      <c r="C350" s="284">
        <v>43983</v>
      </c>
      <c r="D350" s="277">
        <v>44012</v>
      </c>
      <c r="E350" s="270" t="s">
        <v>267</v>
      </c>
      <c r="F350" s="133" t="s">
        <v>49</v>
      </c>
      <c r="G350" s="279" t="s">
        <v>35</v>
      </c>
      <c r="H350" s="272" t="s">
        <v>960</v>
      </c>
      <c r="I350" s="273">
        <v>100</v>
      </c>
      <c r="J350" s="270">
        <v>1156</v>
      </c>
      <c r="K350" s="270">
        <f t="shared" si="0"/>
        <v>115600</v>
      </c>
      <c r="L350" s="270">
        <v>10814</v>
      </c>
      <c r="M350" s="270">
        <v>700</v>
      </c>
      <c r="N350" s="274">
        <v>1457</v>
      </c>
      <c r="O350" s="55"/>
      <c r="P350" s="105">
        <v>1457</v>
      </c>
      <c r="Q350" s="270">
        <v>-2837</v>
      </c>
      <c r="R350" s="275">
        <v>-4.738E-3</v>
      </c>
      <c r="S350" s="270">
        <v>-3385</v>
      </c>
      <c r="T350" s="270">
        <v>-1928</v>
      </c>
      <c r="U350" s="57">
        <v>1</v>
      </c>
      <c r="V350" s="276">
        <v>0.12</v>
      </c>
      <c r="W350" s="276">
        <v>0</v>
      </c>
      <c r="X350" s="270">
        <v>-1697</v>
      </c>
      <c r="Y350" s="270">
        <v>-231</v>
      </c>
      <c r="Z350" s="45" t="b">
        <v>1</v>
      </c>
      <c r="AA350" s="45" t="s">
        <v>38</v>
      </c>
      <c r="AB350" s="45" t="s">
        <v>38</v>
      </c>
    </row>
    <row r="351" spans="1:28" x14ac:dyDescent="0.2">
      <c r="A351" s="96" t="s">
        <v>145</v>
      </c>
      <c r="B351" s="96" t="s">
        <v>145</v>
      </c>
      <c r="C351" s="284">
        <v>43983</v>
      </c>
      <c r="D351" s="277">
        <v>44012</v>
      </c>
      <c r="E351" s="270" t="s">
        <v>267</v>
      </c>
      <c r="F351" s="133" t="s">
        <v>49</v>
      </c>
      <c r="G351" s="279" t="s">
        <v>35</v>
      </c>
      <c r="H351" s="110" t="s">
        <v>971</v>
      </c>
      <c r="I351" s="273">
        <v>50</v>
      </c>
      <c r="J351" s="270">
        <v>292</v>
      </c>
      <c r="K351" s="270">
        <f t="shared" si="0"/>
        <v>14600</v>
      </c>
      <c r="L351" s="270">
        <v>2534</v>
      </c>
      <c r="M351" s="270">
        <v>-2750</v>
      </c>
      <c r="N351" s="274">
        <v>223</v>
      </c>
      <c r="O351" s="55"/>
      <c r="P351" s="45">
        <v>223</v>
      </c>
      <c r="Q351" s="270">
        <v>-540</v>
      </c>
      <c r="R351" s="275">
        <v>-4.6800000000000001E-3</v>
      </c>
      <c r="S351" s="270">
        <v>-608</v>
      </c>
      <c r="T351" s="270">
        <v>-385</v>
      </c>
      <c r="U351" s="57">
        <v>1</v>
      </c>
      <c r="V351" s="276">
        <v>0.12</v>
      </c>
      <c r="W351" s="276">
        <v>0</v>
      </c>
      <c r="X351" s="270">
        <v>-339</v>
      </c>
      <c r="Y351" s="270">
        <v>-46</v>
      </c>
      <c r="Z351" s="45" t="b">
        <v>1</v>
      </c>
      <c r="AA351" s="45" t="s">
        <v>38</v>
      </c>
      <c r="AB351" s="45" t="s">
        <v>38</v>
      </c>
    </row>
    <row r="352" spans="1:28" x14ac:dyDescent="0.2">
      <c r="A352" s="96" t="s">
        <v>145</v>
      </c>
      <c r="B352" s="96" t="s">
        <v>145</v>
      </c>
      <c r="C352" s="284">
        <v>43983</v>
      </c>
      <c r="D352" s="277">
        <v>44012</v>
      </c>
      <c r="E352" s="270" t="s">
        <v>267</v>
      </c>
      <c r="F352" s="96" t="s">
        <v>41</v>
      </c>
      <c r="G352" s="279" t="s">
        <v>35</v>
      </c>
      <c r="H352" s="110" t="s">
        <v>973</v>
      </c>
      <c r="I352" s="273">
        <v>25</v>
      </c>
      <c r="J352" s="270">
        <v>5</v>
      </c>
      <c r="K352" s="270">
        <f t="shared" si="0"/>
        <v>125</v>
      </c>
      <c r="L352" s="270"/>
      <c r="M352" s="270">
        <v>-75</v>
      </c>
      <c r="N352" s="274">
        <v>2</v>
      </c>
      <c r="O352" s="55"/>
      <c r="P352" s="45">
        <v>2</v>
      </c>
      <c r="Q352" s="270"/>
      <c r="R352" s="275">
        <v>0</v>
      </c>
      <c r="S352" s="270"/>
      <c r="T352" s="270">
        <v>-73</v>
      </c>
      <c r="U352" s="57">
        <v>1</v>
      </c>
      <c r="V352" s="276">
        <v>0.12</v>
      </c>
      <c r="W352" s="276">
        <v>0</v>
      </c>
      <c r="X352" s="270">
        <v>-64</v>
      </c>
      <c r="Y352" s="270">
        <v>-9</v>
      </c>
      <c r="Z352" s="45" t="b">
        <v>1</v>
      </c>
      <c r="AA352" s="45" t="s">
        <v>38</v>
      </c>
      <c r="AB352" s="45" t="s">
        <v>38</v>
      </c>
    </row>
    <row r="353" spans="1:28" x14ac:dyDescent="0.2">
      <c r="A353" s="96" t="s">
        <v>145</v>
      </c>
      <c r="B353" s="96" t="s">
        <v>145</v>
      </c>
      <c r="C353" s="284">
        <v>43983</v>
      </c>
      <c r="D353" s="277">
        <v>44012</v>
      </c>
      <c r="E353" s="270" t="s">
        <v>267</v>
      </c>
      <c r="F353" s="96" t="s">
        <v>41</v>
      </c>
      <c r="G353" s="279" t="s">
        <v>35</v>
      </c>
      <c r="H353" s="272" t="s">
        <v>962</v>
      </c>
      <c r="I353" s="273">
        <v>25</v>
      </c>
      <c r="J353" s="270">
        <v>12</v>
      </c>
      <c r="K353" s="270">
        <f t="shared" si="0"/>
        <v>300</v>
      </c>
      <c r="L353" s="270"/>
      <c r="M353" s="270">
        <v>50</v>
      </c>
      <c r="N353" s="274">
        <v>4</v>
      </c>
      <c r="O353" s="55"/>
      <c r="P353" s="45">
        <v>4</v>
      </c>
      <c r="Q353" s="270"/>
      <c r="R353" s="275">
        <v>0</v>
      </c>
      <c r="S353" s="270"/>
      <c r="T353" s="270">
        <v>54</v>
      </c>
      <c r="U353" s="57">
        <v>1</v>
      </c>
      <c r="V353" s="276">
        <v>0.12</v>
      </c>
      <c r="W353" s="276">
        <v>0</v>
      </c>
      <c r="X353" s="270">
        <v>48</v>
      </c>
      <c r="Y353" s="270">
        <v>6</v>
      </c>
      <c r="Z353" s="45" t="b">
        <v>1</v>
      </c>
      <c r="AA353" s="45" t="s">
        <v>38</v>
      </c>
      <c r="AB353" s="45" t="s">
        <v>38</v>
      </c>
    </row>
    <row r="354" spans="1:28" x14ac:dyDescent="0.2">
      <c r="A354" s="96" t="s">
        <v>145</v>
      </c>
      <c r="B354" s="96" t="s">
        <v>145</v>
      </c>
      <c r="C354" s="284">
        <v>43983</v>
      </c>
      <c r="D354" s="277">
        <v>44012</v>
      </c>
      <c r="E354" s="270" t="s">
        <v>267</v>
      </c>
      <c r="F354" s="96" t="s">
        <v>41</v>
      </c>
      <c r="G354" s="279" t="s">
        <v>35</v>
      </c>
      <c r="H354" s="272" t="s">
        <v>963</v>
      </c>
      <c r="I354" s="273">
        <v>50</v>
      </c>
      <c r="J354" s="270">
        <v>5</v>
      </c>
      <c r="K354" s="270">
        <f t="shared" si="0"/>
        <v>250</v>
      </c>
      <c r="L354" s="270"/>
      <c r="M354" s="270">
        <v>-150</v>
      </c>
      <c r="N354" s="274">
        <v>4</v>
      </c>
      <c r="O354" s="55"/>
      <c r="P354" s="45">
        <v>4</v>
      </c>
      <c r="Q354" s="270"/>
      <c r="R354" s="275">
        <v>0</v>
      </c>
      <c r="S354" s="270"/>
      <c r="T354" s="270">
        <v>-146</v>
      </c>
      <c r="U354" s="57">
        <v>1</v>
      </c>
      <c r="V354" s="276">
        <v>0.12</v>
      </c>
      <c r="W354" s="276">
        <v>0</v>
      </c>
      <c r="X354" s="270">
        <v>-128</v>
      </c>
      <c r="Y354" s="270">
        <v>-18</v>
      </c>
      <c r="Z354" s="45" t="b">
        <v>1</v>
      </c>
      <c r="AA354" s="45" t="s">
        <v>38</v>
      </c>
      <c r="AB354" s="45" t="s">
        <v>38</v>
      </c>
    </row>
    <row r="355" spans="1:28" x14ac:dyDescent="0.2">
      <c r="A355" s="96" t="s">
        <v>355</v>
      </c>
      <c r="B355" s="96" t="s">
        <v>978</v>
      </c>
      <c r="C355" s="277">
        <v>43991</v>
      </c>
      <c r="D355" s="277">
        <v>44012</v>
      </c>
      <c r="E355" s="270" t="s">
        <v>267</v>
      </c>
      <c r="F355" s="133" t="s">
        <v>34</v>
      </c>
      <c r="G355" s="270" t="s">
        <v>69</v>
      </c>
      <c r="H355" s="272" t="s">
        <v>75</v>
      </c>
      <c r="I355" s="273">
        <v>20</v>
      </c>
      <c r="J355" s="270">
        <v>275</v>
      </c>
      <c r="K355" s="270">
        <f t="shared" si="0"/>
        <v>5500</v>
      </c>
      <c r="L355" s="270">
        <v>2955</v>
      </c>
      <c r="M355" s="270">
        <v>-220</v>
      </c>
      <c r="N355" s="274">
        <v>183.96</v>
      </c>
      <c r="O355" s="55"/>
      <c r="P355" s="45">
        <v>184</v>
      </c>
      <c r="Q355" s="270">
        <v>-168</v>
      </c>
      <c r="R355" s="275">
        <v>-2.4399999999999999E-3</v>
      </c>
      <c r="S355" s="270">
        <v>-181</v>
      </c>
      <c r="T355" s="270">
        <v>3</v>
      </c>
      <c r="U355" s="57">
        <v>1</v>
      </c>
      <c r="V355" s="276">
        <v>0.125</v>
      </c>
      <c r="W355" s="276">
        <v>0</v>
      </c>
      <c r="X355" s="270">
        <v>2</v>
      </c>
      <c r="Y355" s="270">
        <v>0</v>
      </c>
      <c r="Z355" s="45" t="b">
        <v>1</v>
      </c>
      <c r="AA355" s="45" t="s">
        <v>38</v>
      </c>
      <c r="AB355" s="45" t="s">
        <v>38</v>
      </c>
    </row>
    <row r="356" spans="1:28" x14ac:dyDescent="0.2">
      <c r="A356" s="96" t="s">
        <v>355</v>
      </c>
      <c r="B356" s="96" t="s">
        <v>978</v>
      </c>
      <c r="C356" s="277">
        <v>43991</v>
      </c>
      <c r="D356" s="277">
        <v>44012</v>
      </c>
      <c r="E356" s="270" t="s">
        <v>267</v>
      </c>
      <c r="F356" s="133" t="s">
        <v>34</v>
      </c>
      <c r="G356" s="270" t="s">
        <v>69</v>
      </c>
      <c r="H356" s="272" t="s">
        <v>70</v>
      </c>
      <c r="I356" s="273">
        <v>100</v>
      </c>
      <c r="J356" s="270">
        <v>1395</v>
      </c>
      <c r="K356" s="270">
        <f t="shared" si="0"/>
        <v>139500</v>
      </c>
      <c r="L356" s="270">
        <v>41675</v>
      </c>
      <c r="M356" s="270">
        <v>5500</v>
      </c>
      <c r="N356" s="274">
        <v>3888.27</v>
      </c>
      <c r="O356" s="55"/>
      <c r="P356" s="105">
        <v>3888</v>
      </c>
      <c r="Q356" s="270">
        <v>341</v>
      </c>
      <c r="R356" s="275">
        <v>-2.4399999999999999E-3</v>
      </c>
      <c r="S356" s="270">
        <v>0</v>
      </c>
      <c r="T356" s="270">
        <v>3889</v>
      </c>
      <c r="U356" s="57">
        <v>1</v>
      </c>
      <c r="V356" s="276">
        <v>0.125</v>
      </c>
      <c r="W356" s="276">
        <v>0</v>
      </c>
      <c r="X356" s="270">
        <v>3402</v>
      </c>
      <c r="Y356" s="270">
        <v>486</v>
      </c>
      <c r="Z356" s="45" t="b">
        <v>1</v>
      </c>
      <c r="AA356" s="45" t="s">
        <v>38</v>
      </c>
      <c r="AB356" s="45" t="s">
        <v>38</v>
      </c>
    </row>
    <row r="357" spans="1:28" x14ac:dyDescent="0.2">
      <c r="A357" s="96" t="s">
        <v>355</v>
      </c>
      <c r="B357" s="96" t="s">
        <v>978</v>
      </c>
      <c r="C357" s="277">
        <v>43991</v>
      </c>
      <c r="D357" s="277">
        <v>44012</v>
      </c>
      <c r="E357" s="270" t="s">
        <v>267</v>
      </c>
      <c r="F357" s="133" t="s">
        <v>34</v>
      </c>
      <c r="G357" s="270" t="s">
        <v>69</v>
      </c>
      <c r="H357" s="272" t="s">
        <v>72</v>
      </c>
      <c r="I357" s="273">
        <v>50</v>
      </c>
      <c r="J357" s="270">
        <v>281</v>
      </c>
      <c r="K357" s="270">
        <f t="shared" si="0"/>
        <v>14050</v>
      </c>
      <c r="L357" s="270">
        <v>22577</v>
      </c>
      <c r="M357" s="270">
        <v>1050</v>
      </c>
      <c r="N357" s="274">
        <v>391.61</v>
      </c>
      <c r="O357" s="55"/>
      <c r="P357" s="45">
        <v>392</v>
      </c>
      <c r="Q357" s="270">
        <v>1374</v>
      </c>
      <c r="R357" s="275">
        <v>-2.4399999999999999E-3</v>
      </c>
      <c r="S357" s="270">
        <v>1340</v>
      </c>
      <c r="T357" s="270">
        <v>1731</v>
      </c>
      <c r="U357" s="57">
        <v>1</v>
      </c>
      <c r="V357" s="276">
        <v>0.125</v>
      </c>
      <c r="W357" s="276">
        <v>0</v>
      </c>
      <c r="X357" s="270">
        <v>1515</v>
      </c>
      <c r="Y357" s="270">
        <v>216</v>
      </c>
      <c r="Z357" s="45" t="b">
        <v>1</v>
      </c>
      <c r="AA357" s="45" t="s">
        <v>38</v>
      </c>
      <c r="AB357" s="45" t="s">
        <v>38</v>
      </c>
    </row>
    <row r="358" spans="1:28" x14ac:dyDescent="0.2">
      <c r="A358" s="96" t="s">
        <v>355</v>
      </c>
      <c r="B358" s="96" t="s">
        <v>978</v>
      </c>
      <c r="C358" s="277">
        <v>43991</v>
      </c>
      <c r="D358" s="277">
        <v>44012</v>
      </c>
      <c r="E358" s="270" t="s">
        <v>267</v>
      </c>
      <c r="F358" s="133" t="s">
        <v>34</v>
      </c>
      <c r="G358" s="270" t="s">
        <v>69</v>
      </c>
      <c r="H358" s="272" t="s">
        <v>142</v>
      </c>
      <c r="I358" s="273">
        <v>500</v>
      </c>
      <c r="J358" s="270">
        <v>1</v>
      </c>
      <c r="K358" s="270">
        <f t="shared" si="0"/>
        <v>500</v>
      </c>
      <c r="L358" s="270">
        <v>727</v>
      </c>
      <c r="M358" s="270">
        <v>-500</v>
      </c>
      <c r="N358" s="274">
        <v>11.15</v>
      </c>
      <c r="O358" s="55"/>
      <c r="P358" s="45">
        <v>11</v>
      </c>
      <c r="Q358" s="270">
        <v>676</v>
      </c>
      <c r="R358" s="275">
        <v>-2.4399999999999999E-3</v>
      </c>
      <c r="S358" s="270">
        <v>675</v>
      </c>
      <c r="T358" s="270">
        <v>686</v>
      </c>
      <c r="U358" s="57">
        <v>1</v>
      </c>
      <c r="V358" s="276">
        <v>0.125</v>
      </c>
      <c r="W358" s="276">
        <v>0</v>
      </c>
      <c r="X358" s="270">
        <v>600</v>
      </c>
      <c r="Y358" s="270">
        <v>86</v>
      </c>
      <c r="Z358" s="45" t="b">
        <v>1</v>
      </c>
      <c r="AA358" s="45" t="s">
        <v>38</v>
      </c>
      <c r="AB358" s="45" t="s">
        <v>38</v>
      </c>
    </row>
    <row r="359" spans="1:28" x14ac:dyDescent="0.2">
      <c r="A359" s="270" t="s">
        <v>447</v>
      </c>
      <c r="B359" s="270" t="s">
        <v>910</v>
      </c>
      <c r="C359" s="277">
        <v>43986</v>
      </c>
      <c r="D359" s="277">
        <v>44012</v>
      </c>
      <c r="E359" s="270" t="s">
        <v>300</v>
      </c>
      <c r="F359" s="133" t="s">
        <v>49</v>
      </c>
      <c r="G359" s="279" t="s">
        <v>61</v>
      </c>
      <c r="H359" s="272" t="s">
        <v>63</v>
      </c>
      <c r="I359" s="273">
        <v>10</v>
      </c>
      <c r="J359" s="270">
        <v>947</v>
      </c>
      <c r="K359" s="270">
        <f t="shared" si="0"/>
        <v>9470</v>
      </c>
      <c r="L359" s="270">
        <v>65023</v>
      </c>
      <c r="M359" s="270">
        <v>80</v>
      </c>
      <c r="N359" s="274">
        <v>400</v>
      </c>
      <c r="O359" s="55"/>
      <c r="P359" s="45">
        <v>400</v>
      </c>
      <c r="Q359" s="270">
        <v>357</v>
      </c>
      <c r="R359" s="275">
        <v>-5.0489999999999997E-3</v>
      </c>
      <c r="S359" s="270">
        <v>309</v>
      </c>
      <c r="T359" s="270">
        <v>709</v>
      </c>
      <c r="U359" s="57">
        <v>1</v>
      </c>
      <c r="V359" s="276">
        <v>0.23499999999999999</v>
      </c>
      <c r="W359" s="276">
        <v>0.11</v>
      </c>
      <c r="X359" s="270">
        <v>464</v>
      </c>
      <c r="Y359" s="270">
        <v>245</v>
      </c>
      <c r="Z359" s="45" t="b">
        <v>1</v>
      </c>
      <c r="AA359" s="45" t="s">
        <v>50</v>
      </c>
      <c r="AB359" s="45" t="s">
        <v>50</v>
      </c>
    </row>
    <row r="360" spans="1:28" x14ac:dyDescent="0.2">
      <c r="A360" s="96" t="s">
        <v>447</v>
      </c>
      <c r="B360" s="96" t="s">
        <v>910</v>
      </c>
      <c r="C360" s="277">
        <v>43986</v>
      </c>
      <c r="D360" s="277">
        <v>44012</v>
      </c>
      <c r="E360" s="270" t="s">
        <v>300</v>
      </c>
      <c r="F360" s="133" t="s">
        <v>49</v>
      </c>
      <c r="G360" s="279" t="s">
        <v>61</v>
      </c>
      <c r="H360" s="272" t="s">
        <v>93</v>
      </c>
      <c r="I360" s="273">
        <v>25</v>
      </c>
      <c r="J360" s="270">
        <v>1055</v>
      </c>
      <c r="K360" s="270">
        <f t="shared" si="0"/>
        <v>26375</v>
      </c>
      <c r="L360" s="270">
        <v>45748</v>
      </c>
      <c r="M360" s="270">
        <v>2200</v>
      </c>
      <c r="N360" s="274">
        <v>420</v>
      </c>
      <c r="O360" s="55"/>
      <c r="P360" s="45">
        <v>420</v>
      </c>
      <c r="Q360" s="270">
        <v>-221</v>
      </c>
      <c r="R360" s="275">
        <v>-4.8269999999999997E-3</v>
      </c>
      <c r="S360" s="270">
        <v>-348</v>
      </c>
      <c r="T360" s="270">
        <v>72</v>
      </c>
      <c r="U360" s="57">
        <v>1</v>
      </c>
      <c r="V360" s="276">
        <v>0.23499999999999999</v>
      </c>
      <c r="W360" s="276">
        <v>0.11</v>
      </c>
      <c r="X360" s="270">
        <v>47</v>
      </c>
      <c r="Y360" s="270">
        <v>25</v>
      </c>
      <c r="Z360" s="45" t="b">
        <v>1</v>
      </c>
      <c r="AA360" s="45" t="s">
        <v>50</v>
      </c>
      <c r="AB360" s="45" t="s">
        <v>50</v>
      </c>
    </row>
    <row r="361" spans="1:28" x14ac:dyDescent="0.2">
      <c r="A361" s="96" t="s">
        <v>102</v>
      </c>
      <c r="B361" s="96" t="s">
        <v>972</v>
      </c>
      <c r="C361" s="277">
        <v>43983</v>
      </c>
      <c r="D361" s="277">
        <v>44012</v>
      </c>
      <c r="E361" s="270" t="s">
        <v>267</v>
      </c>
      <c r="F361" s="133" t="s">
        <v>34</v>
      </c>
      <c r="G361" s="270" t="s">
        <v>69</v>
      </c>
      <c r="H361" s="272" t="s">
        <v>72</v>
      </c>
      <c r="I361" s="273">
        <v>50</v>
      </c>
      <c r="J361" s="270">
        <v>394</v>
      </c>
      <c r="K361" s="270">
        <f t="shared" si="0"/>
        <v>19700</v>
      </c>
      <c r="L361" s="270">
        <v>18867</v>
      </c>
      <c r="M361" s="270">
        <v>700</v>
      </c>
      <c r="N361" s="274">
        <v>260</v>
      </c>
      <c r="O361" s="55"/>
      <c r="P361" s="45">
        <v>260</v>
      </c>
      <c r="Q361" s="270">
        <v>718</v>
      </c>
      <c r="R361" s="275">
        <v>-2.4399999999999999E-3</v>
      </c>
      <c r="S361" s="270">
        <v>670</v>
      </c>
      <c r="T361" s="270">
        <v>930</v>
      </c>
      <c r="U361" s="57">
        <v>1</v>
      </c>
      <c r="V361" s="276">
        <v>0</v>
      </c>
      <c r="W361" s="276">
        <v>0</v>
      </c>
      <c r="X361" s="270">
        <v>930</v>
      </c>
      <c r="Y361" s="270">
        <v>0</v>
      </c>
      <c r="Z361" s="45" t="b">
        <v>1</v>
      </c>
      <c r="AA361" s="45" t="s">
        <v>38</v>
      </c>
      <c r="AB361" s="45" t="s">
        <v>38</v>
      </c>
    </row>
    <row r="362" spans="1:28" x14ac:dyDescent="0.2">
      <c r="A362" s="279" t="s">
        <v>286</v>
      </c>
      <c r="B362" s="279" t="s">
        <v>286</v>
      </c>
      <c r="C362" s="277">
        <v>44003</v>
      </c>
      <c r="D362" s="277">
        <v>44032</v>
      </c>
      <c r="E362" s="270" t="s">
        <v>267</v>
      </c>
      <c r="F362" s="133" t="s">
        <v>34</v>
      </c>
      <c r="G362" s="96" t="s">
        <v>35</v>
      </c>
      <c r="H362" s="110" t="s">
        <v>177</v>
      </c>
      <c r="I362" s="58">
        <v>5</v>
      </c>
      <c r="J362" s="69">
        <v>51</v>
      </c>
      <c r="K362" s="270">
        <f t="shared" si="0"/>
        <v>255</v>
      </c>
      <c r="L362" s="270">
        <v>2404</v>
      </c>
      <c r="M362" s="270">
        <v>20</v>
      </c>
      <c r="N362" s="274">
        <v>0.83</v>
      </c>
      <c r="O362" s="55"/>
      <c r="P362" s="45">
        <v>1</v>
      </c>
      <c r="Q362" s="270">
        <v>19</v>
      </c>
      <c r="R362" s="275">
        <v>-2.4399999999999999E-3</v>
      </c>
      <c r="S362" s="270">
        <v>18</v>
      </c>
      <c r="T362" s="270">
        <v>19</v>
      </c>
      <c r="U362" s="57">
        <v>1</v>
      </c>
      <c r="V362" s="276">
        <v>0.25</v>
      </c>
      <c r="W362" s="276">
        <v>0</v>
      </c>
      <c r="X362" s="270">
        <v>14</v>
      </c>
      <c r="Y362" s="270">
        <v>5</v>
      </c>
      <c r="Z362" s="45" t="b">
        <v>1</v>
      </c>
      <c r="AA362" s="45" t="s">
        <v>38</v>
      </c>
      <c r="AB362" s="45" t="s">
        <v>38</v>
      </c>
    </row>
    <row r="363" spans="1:28" x14ac:dyDescent="0.2">
      <c r="A363" s="279" t="s">
        <v>286</v>
      </c>
      <c r="B363" s="279" t="s">
        <v>286</v>
      </c>
      <c r="C363" s="277">
        <v>44003</v>
      </c>
      <c r="D363" s="277">
        <v>44032</v>
      </c>
      <c r="E363" s="270" t="s">
        <v>267</v>
      </c>
      <c r="F363" s="133" t="s">
        <v>34</v>
      </c>
      <c r="G363" s="96" t="s">
        <v>35</v>
      </c>
      <c r="H363" s="110" t="s">
        <v>979</v>
      </c>
      <c r="I363" s="58">
        <v>10</v>
      </c>
      <c r="J363" s="69">
        <v>7</v>
      </c>
      <c r="K363" s="270">
        <f t="shared" si="0"/>
        <v>70</v>
      </c>
      <c r="L363" s="270">
        <v>464</v>
      </c>
      <c r="M363" s="270">
        <v>30</v>
      </c>
      <c r="N363" s="274">
        <v>0.26</v>
      </c>
      <c r="O363" s="55"/>
      <c r="P363" s="45">
        <v>0</v>
      </c>
      <c r="Q363" s="270">
        <v>9</v>
      </c>
      <c r="R363" s="275">
        <v>-2.4399999999999999E-3</v>
      </c>
      <c r="S363" s="270">
        <v>8</v>
      </c>
      <c r="T363" s="270">
        <v>9</v>
      </c>
      <c r="U363" s="57">
        <v>1</v>
      </c>
      <c r="V363" s="276">
        <v>0.25</v>
      </c>
      <c r="W363" s="276">
        <v>0</v>
      </c>
      <c r="X363" s="270">
        <v>7</v>
      </c>
      <c r="Y363" s="270">
        <v>2</v>
      </c>
      <c r="Z363" s="45" t="b">
        <v>1</v>
      </c>
      <c r="AA363" s="45" t="s">
        <v>38</v>
      </c>
      <c r="AB363" s="45" t="s">
        <v>38</v>
      </c>
    </row>
    <row r="364" spans="1:28" x14ac:dyDescent="0.2">
      <c r="A364" s="279" t="s">
        <v>286</v>
      </c>
      <c r="B364" s="279" t="s">
        <v>286</v>
      </c>
      <c r="C364" s="277">
        <v>44003</v>
      </c>
      <c r="D364" s="277">
        <v>44032</v>
      </c>
      <c r="E364" s="270" t="s">
        <v>267</v>
      </c>
      <c r="F364" s="133" t="s">
        <v>34</v>
      </c>
      <c r="G364" s="96" t="s">
        <v>35</v>
      </c>
      <c r="H364" s="110" t="s">
        <v>966</v>
      </c>
      <c r="I364" s="58">
        <v>10</v>
      </c>
      <c r="J364" s="69">
        <v>149</v>
      </c>
      <c r="K364" s="270">
        <f t="shared" si="0"/>
        <v>1490</v>
      </c>
      <c r="L364" s="270">
        <v>3513</v>
      </c>
      <c r="M364" s="270">
        <v>320</v>
      </c>
      <c r="N364" s="274">
        <v>4.8600000000000003</v>
      </c>
      <c r="O364" s="55"/>
      <c r="P364" s="45">
        <v>5</v>
      </c>
      <c r="Q364" s="270">
        <v>4</v>
      </c>
      <c r="R364" s="275">
        <v>-2.4399999999999999E-3</v>
      </c>
      <c r="S364" s="270">
        <v>1</v>
      </c>
      <c r="T364" s="270">
        <v>6</v>
      </c>
      <c r="U364" s="57">
        <v>1</v>
      </c>
      <c r="V364" s="276">
        <v>0.25</v>
      </c>
      <c r="W364" s="276">
        <v>0</v>
      </c>
      <c r="X364" s="270">
        <v>4</v>
      </c>
      <c r="Y364" s="270">
        <v>1</v>
      </c>
      <c r="Z364" s="45" t="b">
        <v>1</v>
      </c>
      <c r="AA364" s="45" t="s">
        <v>38</v>
      </c>
      <c r="AB364" s="45" t="s">
        <v>38</v>
      </c>
    </row>
    <row r="365" spans="1:28" x14ac:dyDescent="0.2">
      <c r="A365" s="96" t="s">
        <v>286</v>
      </c>
      <c r="B365" s="96" t="s">
        <v>286</v>
      </c>
      <c r="C365" s="277">
        <v>44003</v>
      </c>
      <c r="D365" s="277">
        <v>44032</v>
      </c>
      <c r="E365" s="270" t="s">
        <v>267</v>
      </c>
      <c r="F365" s="133" t="s">
        <v>34</v>
      </c>
      <c r="G365" s="96" t="s">
        <v>35</v>
      </c>
      <c r="H365" s="110" t="s">
        <v>966</v>
      </c>
      <c r="I365" s="58">
        <v>10</v>
      </c>
      <c r="J365" s="69">
        <v>495</v>
      </c>
      <c r="K365" s="270">
        <f t="shared" si="0"/>
        <v>4950</v>
      </c>
      <c r="L365" s="270">
        <v>17625</v>
      </c>
      <c r="M365" s="270">
        <v>130</v>
      </c>
      <c r="N365" s="274">
        <v>16.16</v>
      </c>
      <c r="O365" s="55"/>
      <c r="P365" s="45">
        <v>16</v>
      </c>
      <c r="Q365" s="270">
        <v>198</v>
      </c>
      <c r="R365" s="275">
        <v>-2.4399999999999999E-3</v>
      </c>
      <c r="S365" s="270">
        <v>186</v>
      </c>
      <c r="T365" s="270">
        <v>202</v>
      </c>
      <c r="U365" s="57">
        <v>1</v>
      </c>
      <c r="V365" s="276">
        <v>0.25</v>
      </c>
      <c r="W365" s="276">
        <v>0</v>
      </c>
      <c r="X365" s="270">
        <v>151</v>
      </c>
      <c r="Y365" s="270">
        <v>50</v>
      </c>
      <c r="Z365" s="45" t="b">
        <v>1</v>
      </c>
      <c r="AA365" s="45" t="s">
        <v>38</v>
      </c>
      <c r="AB365" s="45" t="s">
        <v>38</v>
      </c>
    </row>
    <row r="366" spans="1:28" x14ac:dyDescent="0.2">
      <c r="A366" s="96" t="s">
        <v>286</v>
      </c>
      <c r="B366" s="96" t="s">
        <v>286</v>
      </c>
      <c r="C366" s="277">
        <v>44003</v>
      </c>
      <c r="D366" s="277">
        <v>44032</v>
      </c>
      <c r="E366" s="270" t="s">
        <v>267</v>
      </c>
      <c r="F366" s="133" t="s">
        <v>34</v>
      </c>
      <c r="G366" s="96" t="s">
        <v>35</v>
      </c>
      <c r="H366" s="110" t="s">
        <v>46</v>
      </c>
      <c r="I366" s="58">
        <v>25</v>
      </c>
      <c r="J366" s="69">
        <v>164</v>
      </c>
      <c r="K366" s="270">
        <f t="shared" si="0"/>
        <v>4100</v>
      </c>
      <c r="L366" s="270">
        <v>10664</v>
      </c>
      <c r="M366" s="270">
        <v>-150</v>
      </c>
      <c r="N366" s="274">
        <v>11.47</v>
      </c>
      <c r="O366" s="55"/>
      <c r="P366" s="45">
        <v>11</v>
      </c>
      <c r="Q366" s="270">
        <v>247</v>
      </c>
      <c r="R366" s="275">
        <v>-2.4399999999999999E-3</v>
      </c>
      <c r="S366" s="270">
        <v>237</v>
      </c>
      <c r="T366" s="270">
        <v>248</v>
      </c>
      <c r="U366" s="57">
        <v>1</v>
      </c>
      <c r="V366" s="276">
        <v>0.25</v>
      </c>
      <c r="W366" s="276">
        <v>0</v>
      </c>
      <c r="X366" s="270">
        <v>186</v>
      </c>
      <c r="Y366" s="270">
        <v>62</v>
      </c>
      <c r="Z366" s="45" t="b">
        <v>1</v>
      </c>
      <c r="AA366" s="45" t="s">
        <v>38</v>
      </c>
      <c r="AB366" s="45" t="s">
        <v>38</v>
      </c>
    </row>
    <row r="367" spans="1:28" x14ac:dyDescent="0.2">
      <c r="A367" s="96" t="s">
        <v>286</v>
      </c>
      <c r="B367" s="96" t="s">
        <v>286</v>
      </c>
      <c r="C367" s="277">
        <v>44003</v>
      </c>
      <c r="D367" s="277">
        <v>44032</v>
      </c>
      <c r="E367" s="270" t="s">
        <v>267</v>
      </c>
      <c r="F367" s="133" t="s">
        <v>34</v>
      </c>
      <c r="G367" s="96" t="s">
        <v>35</v>
      </c>
      <c r="H367" s="110" t="s">
        <v>87</v>
      </c>
      <c r="I367" s="58">
        <v>25</v>
      </c>
      <c r="J367" s="69">
        <v>701</v>
      </c>
      <c r="K367" s="270">
        <f t="shared" si="0"/>
        <v>17525</v>
      </c>
      <c r="L367" s="270">
        <v>8065</v>
      </c>
      <c r="M367" s="270">
        <v>2200</v>
      </c>
      <c r="N367" s="274">
        <v>49.04</v>
      </c>
      <c r="O367" s="55"/>
      <c r="P367" s="45">
        <v>49</v>
      </c>
      <c r="Q367" s="270">
        <v>-435</v>
      </c>
      <c r="R367" s="275">
        <v>-2.4399999999999999E-3</v>
      </c>
      <c r="S367" s="270">
        <v>-478</v>
      </c>
      <c r="T367" s="270">
        <v>-429</v>
      </c>
      <c r="U367" s="57">
        <v>1</v>
      </c>
      <c r="V367" s="276">
        <v>0.25</v>
      </c>
      <c r="W367" s="276">
        <v>0</v>
      </c>
      <c r="X367" s="270">
        <v>-321</v>
      </c>
      <c r="Y367" s="270">
        <v>-107</v>
      </c>
      <c r="Z367" s="45" t="b">
        <v>1</v>
      </c>
      <c r="AA367" s="45" t="s">
        <v>38</v>
      </c>
      <c r="AB367" s="45" t="s">
        <v>38</v>
      </c>
    </row>
    <row r="368" spans="1:28" x14ac:dyDescent="0.2">
      <c r="A368" s="96" t="s">
        <v>286</v>
      </c>
      <c r="B368" s="96" t="s">
        <v>286</v>
      </c>
      <c r="C368" s="277">
        <v>44003</v>
      </c>
      <c r="D368" s="277">
        <v>44032</v>
      </c>
      <c r="E368" s="270" t="s">
        <v>267</v>
      </c>
      <c r="F368" s="133" t="s">
        <v>34</v>
      </c>
      <c r="G368" s="96" t="s">
        <v>35</v>
      </c>
      <c r="H368" s="110" t="s">
        <v>962</v>
      </c>
      <c r="I368" s="58">
        <v>25</v>
      </c>
      <c r="J368" s="69">
        <v>462</v>
      </c>
      <c r="K368" s="270">
        <f t="shared" si="0"/>
        <v>11550</v>
      </c>
      <c r="L368" s="270">
        <v>20325</v>
      </c>
      <c r="M368" s="270">
        <v>-25</v>
      </c>
      <c r="N368" s="274">
        <v>32.32</v>
      </c>
      <c r="O368" s="55"/>
      <c r="P368" s="45">
        <v>32</v>
      </c>
      <c r="Q368" s="270">
        <v>253</v>
      </c>
      <c r="R368" s="275">
        <v>-2.4399999999999999E-3</v>
      </c>
      <c r="S368" s="270">
        <v>224</v>
      </c>
      <c r="T368" s="270">
        <v>257</v>
      </c>
      <c r="U368" s="57">
        <v>1</v>
      </c>
      <c r="V368" s="276">
        <v>0.25</v>
      </c>
      <c r="W368" s="276">
        <v>0</v>
      </c>
      <c r="X368" s="270">
        <v>192</v>
      </c>
      <c r="Y368" s="270">
        <v>64</v>
      </c>
      <c r="Z368" s="45" t="b">
        <v>1</v>
      </c>
      <c r="AA368" s="45" t="s">
        <v>38</v>
      </c>
      <c r="AB368" s="45" t="s">
        <v>38</v>
      </c>
    </row>
    <row r="369" spans="1:28" x14ac:dyDescent="0.2">
      <c r="A369" s="96" t="s">
        <v>286</v>
      </c>
      <c r="B369" s="96" t="s">
        <v>286</v>
      </c>
      <c r="C369" s="277">
        <v>44003</v>
      </c>
      <c r="D369" s="277">
        <v>44032</v>
      </c>
      <c r="E369" s="270" t="s">
        <v>267</v>
      </c>
      <c r="F369" s="133" t="s">
        <v>34</v>
      </c>
      <c r="G369" s="96" t="s">
        <v>35</v>
      </c>
      <c r="H369" s="110" t="s">
        <v>973</v>
      </c>
      <c r="I369" s="58">
        <v>25</v>
      </c>
      <c r="J369" s="69">
        <v>1189</v>
      </c>
      <c r="K369" s="270">
        <f t="shared" si="0"/>
        <v>29725</v>
      </c>
      <c r="L369" s="270">
        <v>37970</v>
      </c>
      <c r="M369" s="270">
        <v>1675</v>
      </c>
      <c r="N369" s="274">
        <v>83.18</v>
      </c>
      <c r="O369" s="55"/>
      <c r="P369" s="45">
        <v>83</v>
      </c>
      <c r="Q369" s="270">
        <v>1163</v>
      </c>
      <c r="R369" s="275">
        <v>-2.4399999999999999E-3</v>
      </c>
      <c r="S369" s="270">
        <v>1090</v>
      </c>
      <c r="T369" s="270">
        <v>1173</v>
      </c>
      <c r="U369" s="57">
        <v>1</v>
      </c>
      <c r="V369" s="276">
        <v>0.25</v>
      </c>
      <c r="W369" s="276">
        <v>0</v>
      </c>
      <c r="X369" s="270">
        <v>880</v>
      </c>
      <c r="Y369" s="270">
        <v>293</v>
      </c>
      <c r="Z369" s="45" t="b">
        <v>1</v>
      </c>
      <c r="AA369" s="45" t="s">
        <v>38</v>
      </c>
      <c r="AB369" s="45" t="s">
        <v>38</v>
      </c>
    </row>
    <row r="370" spans="1:28" x14ac:dyDescent="0.2">
      <c r="A370" s="96" t="s">
        <v>286</v>
      </c>
      <c r="B370" s="96" t="s">
        <v>286</v>
      </c>
      <c r="C370" s="277">
        <v>44003</v>
      </c>
      <c r="D370" s="277">
        <v>44032</v>
      </c>
      <c r="E370" s="270" t="s">
        <v>267</v>
      </c>
      <c r="F370" s="133" t="s">
        <v>34</v>
      </c>
      <c r="G370" s="96" t="s">
        <v>35</v>
      </c>
      <c r="H370" s="272" t="s">
        <v>963</v>
      </c>
      <c r="I370" s="58">
        <v>50</v>
      </c>
      <c r="J370" s="69">
        <v>184</v>
      </c>
      <c r="K370" s="270">
        <f t="shared" si="0"/>
        <v>9200</v>
      </c>
      <c r="L370" s="270">
        <v>486</v>
      </c>
      <c r="M370" s="270">
        <v>-550</v>
      </c>
      <c r="N370" s="274">
        <v>25.75</v>
      </c>
      <c r="O370" s="55"/>
      <c r="P370" s="45">
        <v>26</v>
      </c>
      <c r="Q370" s="270">
        <v>-510</v>
      </c>
      <c r="R370" s="275">
        <v>-2.4399999999999999E-3</v>
      </c>
      <c r="S370" s="270">
        <v>-532</v>
      </c>
      <c r="T370" s="270">
        <v>-507</v>
      </c>
      <c r="U370" s="57">
        <v>1</v>
      </c>
      <c r="V370" s="276">
        <v>0.25</v>
      </c>
      <c r="W370" s="276">
        <v>0</v>
      </c>
      <c r="X370" s="270">
        <v>-380</v>
      </c>
      <c r="Y370" s="270">
        <v>-127</v>
      </c>
      <c r="Z370" s="45" t="b">
        <v>1</v>
      </c>
      <c r="AA370" s="45" t="s">
        <v>38</v>
      </c>
      <c r="AB370" s="45" t="s">
        <v>38</v>
      </c>
    </row>
    <row r="371" spans="1:28" x14ac:dyDescent="0.2">
      <c r="A371" s="96" t="s">
        <v>286</v>
      </c>
      <c r="B371" s="96" t="s">
        <v>286</v>
      </c>
      <c r="C371" s="277">
        <v>44003</v>
      </c>
      <c r="D371" s="277">
        <v>44032</v>
      </c>
      <c r="E371" s="270" t="s">
        <v>267</v>
      </c>
      <c r="F371" s="133" t="s">
        <v>34</v>
      </c>
      <c r="G371" s="96" t="s">
        <v>35</v>
      </c>
      <c r="H371" s="110" t="s">
        <v>971</v>
      </c>
      <c r="I371" s="58">
        <v>50</v>
      </c>
      <c r="J371" s="69">
        <v>257</v>
      </c>
      <c r="K371" s="270">
        <f t="shared" si="0"/>
        <v>12850</v>
      </c>
      <c r="L371" s="270">
        <v>6718</v>
      </c>
      <c r="M371" s="270">
        <v>-300</v>
      </c>
      <c r="N371" s="274">
        <v>35.96</v>
      </c>
      <c r="O371" s="55"/>
      <c r="P371" s="45">
        <v>36</v>
      </c>
      <c r="Q371" s="270">
        <v>271</v>
      </c>
      <c r="R371" s="275">
        <v>-2.4399999999999999E-3</v>
      </c>
      <c r="S371" s="270">
        <v>239</v>
      </c>
      <c r="T371" s="270">
        <v>275</v>
      </c>
      <c r="U371" s="57">
        <v>1</v>
      </c>
      <c r="V371" s="276">
        <v>0.25</v>
      </c>
      <c r="W371" s="276">
        <v>0</v>
      </c>
      <c r="X371" s="270">
        <v>206</v>
      </c>
      <c r="Y371" s="270">
        <v>69</v>
      </c>
      <c r="Z371" s="45" t="b">
        <v>1</v>
      </c>
      <c r="AA371" s="45" t="s">
        <v>38</v>
      </c>
      <c r="AB371" s="45" t="s">
        <v>38</v>
      </c>
    </row>
    <row r="372" spans="1:28" x14ac:dyDescent="0.2">
      <c r="A372" s="96" t="s">
        <v>286</v>
      </c>
      <c r="B372" s="96" t="s">
        <v>286</v>
      </c>
      <c r="C372" s="277">
        <v>44003</v>
      </c>
      <c r="D372" s="277">
        <v>44032</v>
      </c>
      <c r="E372" s="270" t="s">
        <v>267</v>
      </c>
      <c r="F372" s="133" t="s">
        <v>34</v>
      </c>
      <c r="G372" s="96" t="s">
        <v>35</v>
      </c>
      <c r="H372" s="272" t="s">
        <v>963</v>
      </c>
      <c r="I372" s="58">
        <v>50</v>
      </c>
      <c r="J372" s="69">
        <v>561</v>
      </c>
      <c r="K372" s="270">
        <f t="shared" si="0"/>
        <v>28050</v>
      </c>
      <c r="L372" s="270">
        <v>21727</v>
      </c>
      <c r="M372" s="270">
        <v>-1550</v>
      </c>
      <c r="N372" s="274">
        <v>78.489999999999995</v>
      </c>
      <c r="O372" s="55"/>
      <c r="P372" s="45">
        <v>78</v>
      </c>
      <c r="Q372" s="270">
        <v>337</v>
      </c>
      <c r="R372" s="275">
        <v>-2.4399999999999999E-3</v>
      </c>
      <c r="S372" s="270">
        <v>269</v>
      </c>
      <c r="T372" s="270">
        <v>347</v>
      </c>
      <c r="U372" s="57">
        <v>1</v>
      </c>
      <c r="V372" s="276">
        <v>0.25</v>
      </c>
      <c r="W372" s="276">
        <v>0</v>
      </c>
      <c r="X372" s="270">
        <v>260</v>
      </c>
      <c r="Y372" s="270">
        <v>87</v>
      </c>
      <c r="Z372" s="45" t="b">
        <v>1</v>
      </c>
      <c r="AA372" s="45" t="s">
        <v>38</v>
      </c>
      <c r="AB372" s="45" t="s">
        <v>38</v>
      </c>
    </row>
    <row r="373" spans="1:28" x14ac:dyDescent="0.2">
      <c r="A373" s="96" t="s">
        <v>286</v>
      </c>
      <c r="B373" s="96" t="s">
        <v>286</v>
      </c>
      <c r="C373" s="277">
        <v>44003</v>
      </c>
      <c r="D373" s="277">
        <v>44032</v>
      </c>
      <c r="E373" s="270" t="s">
        <v>267</v>
      </c>
      <c r="F373" s="133" t="s">
        <v>34</v>
      </c>
      <c r="G373" s="96" t="s">
        <v>35</v>
      </c>
      <c r="H373" s="110" t="s">
        <v>971</v>
      </c>
      <c r="I373" s="58">
        <v>50</v>
      </c>
      <c r="J373" s="69">
        <v>212</v>
      </c>
      <c r="K373" s="270">
        <f t="shared" si="0"/>
        <v>10600</v>
      </c>
      <c r="L373" s="270">
        <v>6376</v>
      </c>
      <c r="M373" s="270">
        <v>150</v>
      </c>
      <c r="N373" s="274">
        <v>29.66</v>
      </c>
      <c r="O373" s="55"/>
      <c r="P373" s="45">
        <v>30</v>
      </c>
      <c r="Q373" s="270">
        <v>353</v>
      </c>
      <c r="R373" s="275">
        <v>-2.4399999999999999E-3</v>
      </c>
      <c r="S373" s="270">
        <v>327</v>
      </c>
      <c r="T373" s="270">
        <v>357</v>
      </c>
      <c r="U373" s="57">
        <v>1</v>
      </c>
      <c r="V373" s="276">
        <v>0.25</v>
      </c>
      <c r="W373" s="276">
        <v>0</v>
      </c>
      <c r="X373" s="270">
        <v>268</v>
      </c>
      <c r="Y373" s="270">
        <v>89</v>
      </c>
      <c r="Z373" s="45" t="b">
        <v>1</v>
      </c>
      <c r="AA373" s="45" t="s">
        <v>38</v>
      </c>
      <c r="AB373" s="45" t="s">
        <v>38</v>
      </c>
    </row>
    <row r="374" spans="1:28" x14ac:dyDescent="0.2">
      <c r="A374" s="96" t="s">
        <v>82</v>
      </c>
      <c r="B374" s="96" t="s">
        <v>82</v>
      </c>
      <c r="C374" s="277">
        <v>44003</v>
      </c>
      <c r="D374" s="277">
        <v>44032</v>
      </c>
      <c r="E374" s="270" t="s">
        <v>300</v>
      </c>
      <c r="F374" s="133" t="s">
        <v>34</v>
      </c>
      <c r="G374" s="96" t="s">
        <v>35</v>
      </c>
      <c r="H374" s="272" t="s">
        <v>46</v>
      </c>
      <c r="I374" s="58">
        <v>25</v>
      </c>
      <c r="J374" s="69">
        <v>1013</v>
      </c>
      <c r="K374" s="270">
        <f t="shared" si="0"/>
        <v>25325</v>
      </c>
      <c r="L374" s="279">
        <v>7088</v>
      </c>
      <c r="M374" s="279">
        <v>-875</v>
      </c>
      <c r="N374" s="274">
        <v>214</v>
      </c>
      <c r="O374" s="55"/>
      <c r="P374" s="45">
        <v>214</v>
      </c>
      <c r="Q374" s="279">
        <v>-1292</v>
      </c>
      <c r="R374" s="275">
        <v>-2.4399999999999999E-3</v>
      </c>
      <c r="S374" s="279">
        <v>-1354</v>
      </c>
      <c r="T374" s="279">
        <v>-1140</v>
      </c>
      <c r="U374" s="57">
        <v>1</v>
      </c>
      <c r="V374" s="276">
        <v>0.25</v>
      </c>
      <c r="W374" s="276">
        <v>0.1</v>
      </c>
      <c r="X374" s="279">
        <v>-741</v>
      </c>
      <c r="Y374" s="279">
        <v>-399</v>
      </c>
      <c r="Z374" s="45" t="b">
        <v>1</v>
      </c>
      <c r="AA374" s="45" t="s">
        <v>38</v>
      </c>
      <c r="AB374" s="45" t="s">
        <v>38</v>
      </c>
    </row>
    <row r="375" spans="1:28" x14ac:dyDescent="0.2">
      <c r="A375" s="96" t="s">
        <v>82</v>
      </c>
      <c r="B375" s="96" t="s">
        <v>82</v>
      </c>
      <c r="C375" s="277">
        <v>44003</v>
      </c>
      <c r="D375" s="277">
        <v>44032</v>
      </c>
      <c r="E375" s="270" t="s">
        <v>300</v>
      </c>
      <c r="F375" s="133" t="s">
        <v>34</v>
      </c>
      <c r="G375" s="96" t="s">
        <v>35</v>
      </c>
      <c r="H375" s="272" t="s">
        <v>962</v>
      </c>
      <c r="I375" s="58">
        <v>25</v>
      </c>
      <c r="J375" s="69">
        <v>937</v>
      </c>
      <c r="K375" s="270">
        <f t="shared" si="0"/>
        <v>23425</v>
      </c>
      <c r="L375" s="279">
        <v>14013</v>
      </c>
      <c r="M375" s="279">
        <v>-1100</v>
      </c>
      <c r="N375" s="274"/>
      <c r="O375" s="55"/>
      <c r="P375" s="96"/>
      <c r="Q375" s="279">
        <v>-844</v>
      </c>
      <c r="R375" s="275">
        <v>-2.4399999999999999E-3</v>
      </c>
      <c r="S375" s="279">
        <v>-901</v>
      </c>
      <c r="T375" s="279">
        <v>-901</v>
      </c>
      <c r="U375" s="57">
        <v>1</v>
      </c>
      <c r="V375" s="276">
        <v>0.25</v>
      </c>
      <c r="W375" s="276">
        <v>0.1</v>
      </c>
      <c r="X375" s="279">
        <v>-586</v>
      </c>
      <c r="Y375" s="279">
        <v>-316</v>
      </c>
      <c r="Z375" s="45" t="b">
        <v>1</v>
      </c>
      <c r="AA375" s="45" t="s">
        <v>38</v>
      </c>
      <c r="AB375" s="45" t="s">
        <v>38</v>
      </c>
    </row>
    <row r="376" spans="1:28" x14ac:dyDescent="0.2">
      <c r="A376" s="96" t="s">
        <v>82</v>
      </c>
      <c r="B376" s="96" t="s">
        <v>82</v>
      </c>
      <c r="C376" s="277">
        <v>44003</v>
      </c>
      <c r="D376" s="277">
        <v>44032</v>
      </c>
      <c r="E376" s="270" t="s">
        <v>300</v>
      </c>
      <c r="F376" s="133" t="s">
        <v>34</v>
      </c>
      <c r="G376" s="96" t="s">
        <v>35</v>
      </c>
      <c r="H376" s="272" t="s">
        <v>963</v>
      </c>
      <c r="I376" s="58">
        <v>50</v>
      </c>
      <c r="J376" s="69">
        <v>1</v>
      </c>
      <c r="K376" s="270">
        <f t="shared" si="0"/>
        <v>50</v>
      </c>
      <c r="L376" s="279">
        <v>-487</v>
      </c>
      <c r="M376" s="279">
        <v>-50</v>
      </c>
      <c r="N376" s="274"/>
      <c r="O376" s="55"/>
      <c r="P376" s="96"/>
      <c r="Q376" s="279">
        <v>-49</v>
      </c>
      <c r="R376" s="275">
        <v>-2.4399999999999999E-3</v>
      </c>
      <c r="S376" s="279">
        <v>-49</v>
      </c>
      <c r="T376" s="279">
        <v>-49</v>
      </c>
      <c r="U376" s="57">
        <v>1</v>
      </c>
      <c r="V376" s="276">
        <v>0.25</v>
      </c>
      <c r="W376" s="276">
        <v>0.1</v>
      </c>
      <c r="X376" s="279">
        <v>-32</v>
      </c>
      <c r="Y376" s="279">
        <v>-17</v>
      </c>
      <c r="Z376" s="45" t="b">
        <v>1</v>
      </c>
      <c r="AA376" s="45" t="s">
        <v>38</v>
      </c>
      <c r="AB376" s="45" t="s">
        <v>38</v>
      </c>
    </row>
    <row r="377" spans="1:28" x14ac:dyDescent="0.2">
      <c r="A377" s="96" t="s">
        <v>82</v>
      </c>
      <c r="B377" s="96" t="s">
        <v>82</v>
      </c>
      <c r="C377" s="277">
        <v>44003</v>
      </c>
      <c r="D377" s="277">
        <v>44032</v>
      </c>
      <c r="E377" s="270" t="s">
        <v>300</v>
      </c>
      <c r="F377" s="133" t="s">
        <v>34</v>
      </c>
      <c r="G377" s="96" t="s">
        <v>35</v>
      </c>
      <c r="H377" s="272" t="s">
        <v>963</v>
      </c>
      <c r="I377" s="58">
        <v>50</v>
      </c>
      <c r="J377" s="69">
        <v>299</v>
      </c>
      <c r="K377" s="270">
        <f t="shared" si="0"/>
        <v>14950</v>
      </c>
      <c r="L377" s="279">
        <v>6264</v>
      </c>
      <c r="M377" s="279">
        <v>-1900</v>
      </c>
      <c r="N377" s="274">
        <v>66</v>
      </c>
      <c r="O377" s="55"/>
      <c r="P377" s="45">
        <v>66</v>
      </c>
      <c r="Q377" s="279">
        <v>-371</v>
      </c>
      <c r="R377" s="275">
        <v>-2.4399999999999999E-3</v>
      </c>
      <c r="S377" s="279">
        <v>-408</v>
      </c>
      <c r="T377" s="279">
        <v>-342</v>
      </c>
      <c r="U377" s="57">
        <v>1</v>
      </c>
      <c r="V377" s="276">
        <v>0.25</v>
      </c>
      <c r="W377" s="276">
        <v>0.1</v>
      </c>
      <c r="X377" s="279">
        <v>-222</v>
      </c>
      <c r="Y377" s="279">
        <v>-120</v>
      </c>
      <c r="Z377" s="45" t="b">
        <v>1</v>
      </c>
      <c r="AA377" s="45" t="s">
        <v>38</v>
      </c>
      <c r="AB377" s="45" t="s">
        <v>38</v>
      </c>
    </row>
    <row r="378" spans="1:28" x14ac:dyDescent="0.2">
      <c r="A378" s="96" t="s">
        <v>154</v>
      </c>
      <c r="B378" s="96" t="s">
        <v>154</v>
      </c>
      <c r="C378" s="277">
        <v>44003</v>
      </c>
      <c r="D378" s="277">
        <v>44032</v>
      </c>
      <c r="E378" s="270" t="s">
        <v>267</v>
      </c>
      <c r="F378" s="133" t="s">
        <v>34</v>
      </c>
      <c r="G378" s="96" t="s">
        <v>35</v>
      </c>
      <c r="H378" s="272" t="s">
        <v>968</v>
      </c>
      <c r="I378" s="58">
        <v>5</v>
      </c>
      <c r="J378" s="69">
        <v>1</v>
      </c>
      <c r="K378" s="270">
        <f t="shared" si="0"/>
        <v>5</v>
      </c>
      <c r="L378" s="279">
        <v>-6</v>
      </c>
      <c r="M378" s="279">
        <v>5</v>
      </c>
      <c r="N378" s="274">
        <v>0.01</v>
      </c>
      <c r="O378" s="55"/>
      <c r="P378" s="45">
        <v>0</v>
      </c>
      <c r="Q378" s="279">
        <v>0</v>
      </c>
      <c r="R378" s="275">
        <v>-2.4399999999999999E-3</v>
      </c>
      <c r="S378" s="279">
        <v>-1</v>
      </c>
      <c r="T378" s="279">
        <v>0</v>
      </c>
      <c r="U378" s="57">
        <v>1</v>
      </c>
      <c r="V378" s="276">
        <v>0.2</v>
      </c>
      <c r="W378" s="276">
        <v>0</v>
      </c>
      <c r="X378" s="279">
        <v>0</v>
      </c>
      <c r="Y378" s="279">
        <v>0</v>
      </c>
      <c r="Z378" s="45" t="b">
        <v>1</v>
      </c>
      <c r="AA378" s="45" t="s">
        <v>38</v>
      </c>
      <c r="AB378" s="45" t="s">
        <v>38</v>
      </c>
    </row>
    <row r="379" spans="1:28" x14ac:dyDescent="0.2">
      <c r="A379" s="96" t="s">
        <v>154</v>
      </c>
      <c r="B379" s="96" t="s">
        <v>154</v>
      </c>
      <c r="C379" s="277">
        <v>44003</v>
      </c>
      <c r="D379" s="277">
        <v>44032</v>
      </c>
      <c r="E379" s="270" t="s">
        <v>267</v>
      </c>
      <c r="F379" s="133" t="s">
        <v>34</v>
      </c>
      <c r="G379" s="96" t="s">
        <v>35</v>
      </c>
      <c r="H379" s="272" t="s">
        <v>192</v>
      </c>
      <c r="I379" s="58">
        <v>10</v>
      </c>
      <c r="J379" s="69">
        <v>290</v>
      </c>
      <c r="K379" s="270">
        <f t="shared" si="0"/>
        <v>2900</v>
      </c>
      <c r="L379" s="279">
        <v>3080</v>
      </c>
      <c r="M379" s="279">
        <v>-350</v>
      </c>
      <c r="N379" s="274">
        <v>7.06</v>
      </c>
      <c r="O379" s="55"/>
      <c r="P379" s="45">
        <v>7</v>
      </c>
      <c r="Q379" s="279">
        <v>-187</v>
      </c>
      <c r="R379" s="275">
        <v>-2.4399999999999999E-3</v>
      </c>
      <c r="S379" s="279">
        <v>-194</v>
      </c>
      <c r="T379" s="279">
        <v>-187</v>
      </c>
      <c r="U379" s="57">
        <v>1</v>
      </c>
      <c r="V379" s="276">
        <v>0.2</v>
      </c>
      <c r="W379" s="276">
        <v>0</v>
      </c>
      <c r="X379" s="279">
        <v>-150</v>
      </c>
      <c r="Y379" s="279">
        <v>-37</v>
      </c>
      <c r="Z379" s="45" t="b">
        <v>1</v>
      </c>
      <c r="AA379" s="45" t="s">
        <v>38</v>
      </c>
      <c r="AB379" s="45" t="s">
        <v>38</v>
      </c>
    </row>
    <row r="380" spans="1:28" x14ac:dyDescent="0.2">
      <c r="A380" s="96" t="s">
        <v>154</v>
      </c>
      <c r="B380" s="96" t="s">
        <v>154</v>
      </c>
      <c r="C380" s="277">
        <v>44003</v>
      </c>
      <c r="D380" s="277">
        <v>44032</v>
      </c>
      <c r="E380" s="270" t="s">
        <v>267</v>
      </c>
      <c r="F380" s="133" t="s">
        <v>34</v>
      </c>
      <c r="G380" s="96" t="s">
        <v>35</v>
      </c>
      <c r="H380" s="110" t="s">
        <v>961</v>
      </c>
      <c r="I380" s="58">
        <v>10</v>
      </c>
      <c r="J380" s="69">
        <v>201</v>
      </c>
      <c r="K380" s="270">
        <f t="shared" si="0"/>
        <v>2010</v>
      </c>
      <c r="L380" s="279">
        <v>348</v>
      </c>
      <c r="M380" s="279">
        <v>-70</v>
      </c>
      <c r="N380" s="274">
        <v>4.28</v>
      </c>
      <c r="O380" s="55"/>
      <c r="P380" s="45">
        <v>4</v>
      </c>
      <c r="Q380" s="279">
        <v>-142</v>
      </c>
      <c r="R380" s="275">
        <v>-2.4399999999999999E-3</v>
      </c>
      <c r="S380" s="279">
        <v>-147</v>
      </c>
      <c r="T380" s="279">
        <v>-143</v>
      </c>
      <c r="U380" s="57">
        <v>1</v>
      </c>
      <c r="V380" s="276">
        <v>0.2</v>
      </c>
      <c r="W380" s="276">
        <v>0</v>
      </c>
      <c r="X380" s="279">
        <v>-114</v>
      </c>
      <c r="Y380" s="279">
        <v>-29</v>
      </c>
      <c r="Z380" s="45" t="b">
        <v>1</v>
      </c>
      <c r="AA380" s="45" t="s">
        <v>38</v>
      </c>
      <c r="AB380" s="45" t="s">
        <v>38</v>
      </c>
    </row>
    <row r="381" spans="1:28" x14ac:dyDescent="0.2">
      <c r="A381" s="96" t="s">
        <v>154</v>
      </c>
      <c r="B381" s="96" t="s">
        <v>154</v>
      </c>
      <c r="C381" s="277">
        <v>44003</v>
      </c>
      <c r="D381" s="277">
        <v>44032</v>
      </c>
      <c r="E381" s="270" t="s">
        <v>267</v>
      </c>
      <c r="F381" s="133" t="s">
        <v>34</v>
      </c>
      <c r="G381" s="96" t="s">
        <v>35</v>
      </c>
      <c r="H381" s="272" t="s">
        <v>46</v>
      </c>
      <c r="I381" s="58">
        <v>25</v>
      </c>
      <c r="J381" s="69">
        <v>693</v>
      </c>
      <c r="K381" s="270">
        <f t="shared" si="0"/>
        <v>17325</v>
      </c>
      <c r="L381" s="279">
        <v>11350</v>
      </c>
      <c r="M381" s="279">
        <v>-1000</v>
      </c>
      <c r="N381" s="274">
        <v>31.64</v>
      </c>
      <c r="O381" s="55"/>
      <c r="P381" s="45">
        <v>32</v>
      </c>
      <c r="Q381" s="279">
        <v>-583</v>
      </c>
      <c r="R381" s="275">
        <v>-2.4399999999999999E-3</v>
      </c>
      <c r="S381" s="279">
        <v>-625</v>
      </c>
      <c r="T381" s="279">
        <v>-593</v>
      </c>
      <c r="U381" s="57">
        <v>1</v>
      </c>
      <c r="V381" s="276">
        <v>0.2</v>
      </c>
      <c r="W381" s="276">
        <v>0</v>
      </c>
      <c r="X381" s="279">
        <v>-475</v>
      </c>
      <c r="Y381" s="279">
        <v>-119</v>
      </c>
      <c r="Z381" s="45" t="b">
        <v>1</v>
      </c>
      <c r="AA381" s="45" t="s">
        <v>38</v>
      </c>
      <c r="AB381" s="45" t="s">
        <v>38</v>
      </c>
    </row>
    <row r="382" spans="1:28" x14ac:dyDescent="0.2">
      <c r="A382" s="96" t="s">
        <v>154</v>
      </c>
      <c r="B382" s="96" t="s">
        <v>154</v>
      </c>
      <c r="C382" s="277">
        <v>44003</v>
      </c>
      <c r="D382" s="277">
        <v>44032</v>
      </c>
      <c r="E382" s="270" t="s">
        <v>267</v>
      </c>
      <c r="F382" s="133" t="s">
        <v>34</v>
      </c>
      <c r="G382" s="96" t="s">
        <v>35</v>
      </c>
      <c r="H382" s="272" t="s">
        <v>962</v>
      </c>
      <c r="I382" s="58">
        <v>25</v>
      </c>
      <c r="J382" s="69">
        <v>986</v>
      </c>
      <c r="K382" s="270">
        <f t="shared" si="0"/>
        <v>24650</v>
      </c>
      <c r="L382" s="279">
        <v>24167</v>
      </c>
      <c r="M382" s="279">
        <v>675</v>
      </c>
      <c r="N382" s="274">
        <v>45.01</v>
      </c>
      <c r="O382" s="55"/>
      <c r="P382" s="45">
        <v>45</v>
      </c>
      <c r="Q382" s="279">
        <v>-448</v>
      </c>
      <c r="R382" s="275">
        <v>-2.4399999999999999E-3</v>
      </c>
      <c r="S382" s="279">
        <v>-508</v>
      </c>
      <c r="T382" s="279">
        <v>-463</v>
      </c>
      <c r="U382" s="57">
        <v>1</v>
      </c>
      <c r="V382" s="276">
        <v>0.2</v>
      </c>
      <c r="W382" s="276">
        <v>0</v>
      </c>
      <c r="X382" s="279">
        <v>-371</v>
      </c>
      <c r="Y382" s="279">
        <v>-93</v>
      </c>
      <c r="Z382" s="45" t="b">
        <v>1</v>
      </c>
      <c r="AA382" s="45" t="s">
        <v>38</v>
      </c>
      <c r="AB382" s="45" t="s">
        <v>38</v>
      </c>
    </row>
    <row r="383" spans="1:28" x14ac:dyDescent="0.2">
      <c r="A383" s="96" t="s">
        <v>178</v>
      </c>
      <c r="B383" s="96" t="s">
        <v>178</v>
      </c>
      <c r="C383" s="277">
        <v>44003</v>
      </c>
      <c r="D383" s="277">
        <v>44032</v>
      </c>
      <c r="E383" s="270" t="s">
        <v>267</v>
      </c>
      <c r="F383" s="133" t="s">
        <v>34</v>
      </c>
      <c r="G383" s="96" t="s">
        <v>35</v>
      </c>
      <c r="H383" s="272" t="s">
        <v>39</v>
      </c>
      <c r="I383" s="58">
        <v>5</v>
      </c>
      <c r="J383" s="69">
        <v>132</v>
      </c>
      <c r="K383" s="270">
        <f t="shared" si="0"/>
        <v>660</v>
      </c>
      <c r="L383" s="279">
        <v>11018</v>
      </c>
      <c r="M383" s="279">
        <v>-5</v>
      </c>
      <c r="N383" s="274"/>
      <c r="O383" s="55"/>
      <c r="P383" s="96"/>
      <c r="Q383" s="279">
        <v>44</v>
      </c>
      <c r="R383" s="275">
        <v>-1.5E-3</v>
      </c>
      <c r="S383" s="279">
        <v>43</v>
      </c>
      <c r="T383" s="279">
        <v>43</v>
      </c>
      <c r="U383" s="57">
        <v>1</v>
      </c>
      <c r="V383" s="276">
        <v>0.25</v>
      </c>
      <c r="W383" s="276">
        <v>0</v>
      </c>
      <c r="X383" s="279">
        <v>32</v>
      </c>
      <c r="Y383" s="279">
        <v>11</v>
      </c>
      <c r="Z383" s="45" t="b">
        <v>1</v>
      </c>
      <c r="AA383" s="45" t="s">
        <v>38</v>
      </c>
      <c r="AB383" s="45" t="s">
        <v>38</v>
      </c>
    </row>
    <row r="384" spans="1:28" x14ac:dyDescent="0.2">
      <c r="A384" s="96" t="s">
        <v>178</v>
      </c>
      <c r="B384" s="96" t="s">
        <v>178</v>
      </c>
      <c r="C384" s="277">
        <v>44003</v>
      </c>
      <c r="D384" s="277">
        <v>44032</v>
      </c>
      <c r="E384" s="270" t="s">
        <v>267</v>
      </c>
      <c r="F384" s="133" t="s">
        <v>34</v>
      </c>
      <c r="G384" s="96" t="s">
        <v>35</v>
      </c>
      <c r="H384" s="272" t="s">
        <v>968</v>
      </c>
      <c r="I384" s="58">
        <v>5</v>
      </c>
      <c r="J384" s="69">
        <v>397</v>
      </c>
      <c r="K384" s="270">
        <f t="shared" si="0"/>
        <v>1985</v>
      </c>
      <c r="L384" s="279">
        <v>41119</v>
      </c>
      <c r="M384" s="279">
        <v>520</v>
      </c>
      <c r="N384" s="274"/>
      <c r="O384" s="55"/>
      <c r="P384" s="96"/>
      <c r="Q384" s="279">
        <v>206</v>
      </c>
      <c r="R384" s="275">
        <v>-1.5E-3</v>
      </c>
      <c r="S384" s="279">
        <v>203</v>
      </c>
      <c r="T384" s="279">
        <v>203</v>
      </c>
      <c r="U384" s="57">
        <v>1</v>
      </c>
      <c r="V384" s="276">
        <v>0.25</v>
      </c>
      <c r="W384" s="276">
        <v>0</v>
      </c>
      <c r="X384" s="279">
        <v>153</v>
      </c>
      <c r="Y384" s="279">
        <v>51</v>
      </c>
      <c r="Z384" s="45" t="b">
        <v>1</v>
      </c>
      <c r="AA384" s="45" t="s">
        <v>38</v>
      </c>
      <c r="AB384" s="45" t="s">
        <v>38</v>
      </c>
    </row>
    <row r="385" spans="1:28" x14ac:dyDescent="0.2">
      <c r="A385" s="96" t="s">
        <v>178</v>
      </c>
      <c r="B385" s="96" t="s">
        <v>178</v>
      </c>
      <c r="C385" s="277">
        <v>44003</v>
      </c>
      <c r="D385" s="277">
        <v>44032</v>
      </c>
      <c r="E385" s="270" t="s">
        <v>267</v>
      </c>
      <c r="F385" s="133" t="s">
        <v>34</v>
      </c>
      <c r="G385" s="96" t="s">
        <v>35</v>
      </c>
      <c r="H385" s="110" t="s">
        <v>961</v>
      </c>
      <c r="I385" s="58">
        <v>10</v>
      </c>
      <c r="J385" s="69">
        <v>402</v>
      </c>
      <c r="K385" s="270">
        <f t="shared" si="0"/>
        <v>4020</v>
      </c>
      <c r="L385" s="279">
        <v>11487</v>
      </c>
      <c r="M385" s="279">
        <v>170</v>
      </c>
      <c r="N385" s="274"/>
      <c r="O385" s="55"/>
      <c r="P385" s="96"/>
      <c r="Q385" s="279">
        <v>-73</v>
      </c>
      <c r="R385" s="275">
        <v>-1.5E-3</v>
      </c>
      <c r="S385" s="279">
        <v>-79</v>
      </c>
      <c r="T385" s="279">
        <v>-79</v>
      </c>
      <c r="U385" s="57">
        <v>1</v>
      </c>
      <c r="V385" s="276">
        <v>0.25</v>
      </c>
      <c r="W385" s="276">
        <v>0</v>
      </c>
      <c r="X385" s="279">
        <v>-59</v>
      </c>
      <c r="Y385" s="279">
        <v>-20</v>
      </c>
      <c r="Z385" s="45" t="b">
        <v>1</v>
      </c>
      <c r="AA385" s="45" t="s">
        <v>38</v>
      </c>
      <c r="AB385" s="45" t="s">
        <v>38</v>
      </c>
    </row>
    <row r="386" spans="1:28" x14ac:dyDescent="0.2">
      <c r="A386" s="96" t="s">
        <v>178</v>
      </c>
      <c r="B386" s="96" t="s">
        <v>178</v>
      </c>
      <c r="C386" s="277">
        <v>44003</v>
      </c>
      <c r="D386" s="277">
        <v>44032</v>
      </c>
      <c r="E386" s="270" t="s">
        <v>267</v>
      </c>
      <c r="F386" s="133" t="s">
        <v>34</v>
      </c>
      <c r="G386" s="96" t="s">
        <v>35</v>
      </c>
      <c r="H386" s="272" t="s">
        <v>192</v>
      </c>
      <c r="I386" s="58">
        <v>10</v>
      </c>
      <c r="J386" s="69">
        <v>373</v>
      </c>
      <c r="K386" s="270">
        <f t="shared" si="0"/>
        <v>3730</v>
      </c>
      <c r="L386" s="279">
        <v>13425</v>
      </c>
      <c r="M386" s="279">
        <v>10</v>
      </c>
      <c r="N386" s="274"/>
      <c r="O386" s="55"/>
      <c r="P386" s="96"/>
      <c r="Q386" s="279">
        <v>-55</v>
      </c>
      <c r="R386" s="275">
        <v>-1.5E-3</v>
      </c>
      <c r="S386" s="279">
        <v>-61</v>
      </c>
      <c r="T386" s="279">
        <v>-61</v>
      </c>
      <c r="U386" s="57">
        <v>1</v>
      </c>
      <c r="V386" s="276">
        <v>0.25</v>
      </c>
      <c r="W386" s="276">
        <v>0</v>
      </c>
      <c r="X386" s="279">
        <v>-46</v>
      </c>
      <c r="Y386" s="279">
        <v>-15</v>
      </c>
      <c r="Z386" s="45" t="b">
        <v>1</v>
      </c>
      <c r="AA386" s="45" t="s">
        <v>38</v>
      </c>
      <c r="AB386" s="45" t="s">
        <v>38</v>
      </c>
    </row>
    <row r="387" spans="1:28" x14ac:dyDescent="0.2">
      <c r="A387" s="96" t="s">
        <v>178</v>
      </c>
      <c r="B387" s="96" t="s">
        <v>178</v>
      </c>
      <c r="C387" s="277">
        <v>44003</v>
      </c>
      <c r="D387" s="277">
        <v>44032</v>
      </c>
      <c r="E387" s="270" t="s">
        <v>267</v>
      </c>
      <c r="F387" s="133" t="s">
        <v>34</v>
      </c>
      <c r="G387" s="96" t="s">
        <v>35</v>
      </c>
      <c r="H387" s="110" t="s">
        <v>961</v>
      </c>
      <c r="I387" s="58">
        <v>10</v>
      </c>
      <c r="J387" s="69">
        <v>228</v>
      </c>
      <c r="K387" s="270">
        <f t="shared" si="0"/>
        <v>2280</v>
      </c>
      <c r="L387" s="279">
        <v>14185</v>
      </c>
      <c r="M387" s="279">
        <v>100</v>
      </c>
      <c r="N387" s="274"/>
      <c r="O387" s="55"/>
      <c r="P387" s="96"/>
      <c r="Q387" s="279">
        <v>100</v>
      </c>
      <c r="R387" s="275">
        <v>-1.5E-3</v>
      </c>
      <c r="S387" s="279">
        <v>97</v>
      </c>
      <c r="T387" s="279">
        <v>97</v>
      </c>
      <c r="U387" s="57">
        <v>1</v>
      </c>
      <c r="V387" s="276">
        <v>0.25</v>
      </c>
      <c r="W387" s="276">
        <v>0</v>
      </c>
      <c r="X387" s="279">
        <v>73</v>
      </c>
      <c r="Y387" s="279">
        <v>24</v>
      </c>
      <c r="Z387" s="45" t="b">
        <v>1</v>
      </c>
      <c r="AA387" s="45" t="s">
        <v>38</v>
      </c>
      <c r="AB387" s="45" t="s">
        <v>38</v>
      </c>
    </row>
    <row r="388" spans="1:28" x14ac:dyDescent="0.2">
      <c r="A388" s="96" t="s">
        <v>102</v>
      </c>
      <c r="B388" s="96" t="s">
        <v>102</v>
      </c>
      <c r="C388" s="277">
        <v>44003</v>
      </c>
      <c r="D388" s="277">
        <v>44032</v>
      </c>
      <c r="E388" s="270" t="s">
        <v>267</v>
      </c>
      <c r="F388" s="96" t="s">
        <v>34</v>
      </c>
      <c r="G388" s="96" t="s">
        <v>35</v>
      </c>
      <c r="H388" s="272" t="s">
        <v>46</v>
      </c>
      <c r="I388" s="58">
        <v>25</v>
      </c>
      <c r="J388" s="69">
        <v>25</v>
      </c>
      <c r="K388" s="270">
        <f t="shared" si="0"/>
        <v>625</v>
      </c>
      <c r="L388" s="270">
        <v>1413</v>
      </c>
      <c r="M388" s="270">
        <v>75</v>
      </c>
      <c r="N388" s="274">
        <v>25.93</v>
      </c>
      <c r="O388" s="55"/>
      <c r="P388" s="45">
        <v>26</v>
      </c>
      <c r="Q388" s="270">
        <v>26</v>
      </c>
      <c r="R388" s="275">
        <v>-2.4399999999999999E-3</v>
      </c>
      <c r="S388" s="270">
        <v>25</v>
      </c>
      <c r="T388" s="270">
        <v>51</v>
      </c>
      <c r="U388" s="57">
        <v>1</v>
      </c>
      <c r="V388" s="276">
        <v>0</v>
      </c>
      <c r="W388" s="276">
        <v>0</v>
      </c>
      <c r="X388" s="270">
        <v>51</v>
      </c>
      <c r="Y388" s="270">
        <v>0</v>
      </c>
      <c r="Z388" s="45" t="b">
        <v>1</v>
      </c>
      <c r="AA388" s="45" t="s">
        <v>38</v>
      </c>
      <c r="AB388" s="45" t="s">
        <v>38</v>
      </c>
    </row>
    <row r="389" spans="1:28" x14ac:dyDescent="0.2">
      <c r="A389" s="96" t="s">
        <v>102</v>
      </c>
      <c r="B389" s="96" t="s">
        <v>102</v>
      </c>
      <c r="C389" s="277">
        <v>44003</v>
      </c>
      <c r="D389" s="277">
        <v>44032</v>
      </c>
      <c r="E389" s="270" t="s">
        <v>267</v>
      </c>
      <c r="F389" s="96" t="s">
        <v>34</v>
      </c>
      <c r="G389" s="96" t="s">
        <v>35</v>
      </c>
      <c r="H389" s="272" t="s">
        <v>962</v>
      </c>
      <c r="I389" s="58">
        <v>25</v>
      </c>
      <c r="J389" s="69">
        <v>110</v>
      </c>
      <c r="K389" s="270">
        <f t="shared" si="0"/>
        <v>2750</v>
      </c>
      <c r="L389" s="270">
        <v>8748</v>
      </c>
      <c r="M389" s="270">
        <v>400</v>
      </c>
      <c r="N389" s="274">
        <v>114.07</v>
      </c>
      <c r="O389" s="55"/>
      <c r="P389" s="45">
        <v>114</v>
      </c>
      <c r="Q389" s="270">
        <v>236</v>
      </c>
      <c r="R389" s="275">
        <v>-2.4399999999999999E-3</v>
      </c>
      <c r="S389" s="270">
        <v>229</v>
      </c>
      <c r="T389" s="270">
        <v>343</v>
      </c>
      <c r="U389" s="57">
        <v>1</v>
      </c>
      <c r="V389" s="276">
        <v>0</v>
      </c>
      <c r="W389" s="276">
        <v>0</v>
      </c>
      <c r="X389" s="270">
        <v>343</v>
      </c>
      <c r="Y389" s="270">
        <v>0</v>
      </c>
      <c r="Z389" s="45" t="b">
        <v>1</v>
      </c>
      <c r="AA389" s="45" t="s">
        <v>38</v>
      </c>
      <c r="AB389" s="45" t="s">
        <v>38</v>
      </c>
    </row>
    <row r="390" spans="1:28" x14ac:dyDescent="0.2">
      <c r="A390" s="96" t="s">
        <v>102</v>
      </c>
      <c r="B390" s="96" t="s">
        <v>102</v>
      </c>
      <c r="C390" s="277">
        <v>44003</v>
      </c>
      <c r="D390" s="277">
        <v>44032</v>
      </c>
      <c r="E390" s="270" t="s">
        <v>267</v>
      </c>
      <c r="F390" s="96" t="s">
        <v>34</v>
      </c>
      <c r="G390" s="96" t="s">
        <v>35</v>
      </c>
      <c r="H390" s="272" t="s">
        <v>963</v>
      </c>
      <c r="I390" s="58">
        <v>50</v>
      </c>
      <c r="J390" s="69">
        <v>167</v>
      </c>
      <c r="K390" s="270">
        <f t="shared" si="0"/>
        <v>8350</v>
      </c>
      <c r="L390" s="270">
        <v>2484</v>
      </c>
      <c r="M390" s="270">
        <v>-350</v>
      </c>
      <c r="N390" s="274">
        <v>346.37</v>
      </c>
      <c r="O390" s="55"/>
      <c r="P390" s="45">
        <v>346</v>
      </c>
      <c r="Q390" s="270">
        <v>-293</v>
      </c>
      <c r="R390" s="275">
        <v>-2.4399999999999999E-3</v>
      </c>
      <c r="S390" s="270">
        <v>-313</v>
      </c>
      <c r="T390" s="270">
        <v>33</v>
      </c>
      <c r="U390" s="57">
        <v>1</v>
      </c>
      <c r="V390" s="276">
        <v>0</v>
      </c>
      <c r="W390" s="276">
        <v>0</v>
      </c>
      <c r="X390" s="270">
        <v>33</v>
      </c>
      <c r="Y390" s="270">
        <v>0</v>
      </c>
      <c r="Z390" s="45" t="b">
        <v>1</v>
      </c>
      <c r="AA390" s="45" t="s">
        <v>38</v>
      </c>
      <c r="AB390" s="45" t="s">
        <v>38</v>
      </c>
    </row>
    <row r="391" spans="1:28" x14ac:dyDescent="0.2">
      <c r="A391" s="96" t="s">
        <v>102</v>
      </c>
      <c r="B391" s="96" t="s">
        <v>102</v>
      </c>
      <c r="C391" s="277">
        <v>44003</v>
      </c>
      <c r="D391" s="277">
        <v>44032</v>
      </c>
      <c r="E391" s="270" t="s">
        <v>267</v>
      </c>
      <c r="F391" s="96" t="s">
        <v>34</v>
      </c>
      <c r="G391" s="96" t="s">
        <v>35</v>
      </c>
      <c r="H391" s="110" t="s">
        <v>971</v>
      </c>
      <c r="I391" s="58">
        <v>50</v>
      </c>
      <c r="J391" s="69">
        <v>2566</v>
      </c>
      <c r="K391" s="270">
        <f t="shared" si="0"/>
        <v>128300</v>
      </c>
      <c r="L391" s="270">
        <v>50895</v>
      </c>
      <c r="M391" s="270">
        <v>-3650</v>
      </c>
      <c r="N391" s="274">
        <v>5322.09</v>
      </c>
      <c r="O391" s="55"/>
      <c r="P391" s="105">
        <v>5322</v>
      </c>
      <c r="Q391" s="270">
        <v>-141</v>
      </c>
      <c r="R391" s="275">
        <v>-2.4399999999999999E-3</v>
      </c>
      <c r="S391" s="270">
        <v>-454</v>
      </c>
      <c r="T391" s="270">
        <v>4868</v>
      </c>
      <c r="U391" s="57">
        <v>1</v>
      </c>
      <c r="V391" s="276">
        <v>0</v>
      </c>
      <c r="W391" s="276">
        <v>0</v>
      </c>
      <c r="X391" s="270">
        <v>4868</v>
      </c>
      <c r="Y391" s="270">
        <v>0</v>
      </c>
      <c r="Z391" s="45" t="b">
        <v>1</v>
      </c>
      <c r="AA391" s="45" t="s">
        <v>38</v>
      </c>
      <c r="AB391" s="45" t="s">
        <v>38</v>
      </c>
    </row>
    <row r="392" spans="1:28" x14ac:dyDescent="0.2">
      <c r="A392" s="96" t="s">
        <v>102</v>
      </c>
      <c r="B392" s="96" t="s">
        <v>102</v>
      </c>
      <c r="C392" s="277">
        <v>44003</v>
      </c>
      <c r="D392" s="277">
        <v>44032</v>
      </c>
      <c r="E392" s="270" t="s">
        <v>267</v>
      </c>
      <c r="F392" s="96" t="s">
        <v>34</v>
      </c>
      <c r="G392" s="96" t="s">
        <v>35</v>
      </c>
      <c r="H392" s="272" t="s">
        <v>963</v>
      </c>
      <c r="I392" s="58">
        <v>50</v>
      </c>
      <c r="J392" s="69">
        <v>1227</v>
      </c>
      <c r="K392" s="270">
        <f t="shared" si="0"/>
        <v>61350</v>
      </c>
      <c r="L392" s="270">
        <v>43365</v>
      </c>
      <c r="M392" s="270">
        <v>-4500</v>
      </c>
      <c r="N392" s="274">
        <v>2544.9</v>
      </c>
      <c r="O392" s="55"/>
      <c r="P392" s="105">
        <v>2545</v>
      </c>
      <c r="Q392" s="270">
        <v>195</v>
      </c>
      <c r="R392" s="275">
        <v>-2.4399999999999999E-3</v>
      </c>
      <c r="S392" s="270">
        <v>45</v>
      </c>
      <c r="T392" s="270">
        <v>2590</v>
      </c>
      <c r="U392" s="57">
        <v>1</v>
      </c>
      <c r="V392" s="276">
        <v>0</v>
      </c>
      <c r="W392" s="276">
        <v>0</v>
      </c>
      <c r="X392" s="270">
        <v>2590</v>
      </c>
      <c r="Y392" s="270">
        <v>0</v>
      </c>
      <c r="Z392" s="45" t="b">
        <v>1</v>
      </c>
      <c r="AA392" s="45" t="s">
        <v>38</v>
      </c>
      <c r="AB392" s="45" t="s">
        <v>38</v>
      </c>
    </row>
    <row r="393" spans="1:28" x14ac:dyDescent="0.2">
      <c r="A393" s="96" t="s">
        <v>102</v>
      </c>
      <c r="B393" s="96" t="s">
        <v>102</v>
      </c>
      <c r="C393" s="277">
        <v>44003</v>
      </c>
      <c r="D393" s="277">
        <v>44032</v>
      </c>
      <c r="E393" s="270" t="s">
        <v>267</v>
      </c>
      <c r="F393" s="96" t="s">
        <v>34</v>
      </c>
      <c r="G393" s="96" t="s">
        <v>35</v>
      </c>
      <c r="H393" s="110" t="s">
        <v>971</v>
      </c>
      <c r="I393" s="58">
        <v>50</v>
      </c>
      <c r="J393" s="69">
        <v>643</v>
      </c>
      <c r="K393" s="270">
        <f t="shared" si="0"/>
        <v>32150</v>
      </c>
      <c r="L393" s="270">
        <v>10673</v>
      </c>
      <c r="M393" s="270">
        <v>-2350</v>
      </c>
      <c r="N393" s="274">
        <v>1333.63</v>
      </c>
      <c r="O393" s="55"/>
      <c r="P393" s="105">
        <v>1334</v>
      </c>
      <c r="Q393" s="270">
        <v>-359</v>
      </c>
      <c r="R393" s="275">
        <v>-2.4399999999999999E-3</v>
      </c>
      <c r="S393" s="270">
        <v>-438</v>
      </c>
      <c r="T393" s="270">
        <v>896</v>
      </c>
      <c r="U393" s="57">
        <v>1</v>
      </c>
      <c r="V393" s="276">
        <v>0</v>
      </c>
      <c r="W393" s="276">
        <v>0</v>
      </c>
      <c r="X393" s="270">
        <v>896</v>
      </c>
      <c r="Y393" s="270">
        <v>0</v>
      </c>
      <c r="Z393" s="45" t="b">
        <v>1</v>
      </c>
      <c r="AA393" s="45" t="s">
        <v>38</v>
      </c>
      <c r="AB393" s="45" t="s">
        <v>38</v>
      </c>
    </row>
    <row r="394" spans="1:28" x14ac:dyDescent="0.2">
      <c r="A394" s="96" t="s">
        <v>508</v>
      </c>
      <c r="B394" s="96" t="s">
        <v>508</v>
      </c>
      <c r="C394" s="277">
        <v>44003</v>
      </c>
      <c r="D394" s="277">
        <v>44032</v>
      </c>
      <c r="E394" s="270" t="s">
        <v>300</v>
      </c>
      <c r="F394" s="96" t="s">
        <v>34</v>
      </c>
      <c r="G394" s="96" t="s">
        <v>35</v>
      </c>
      <c r="H394" s="272" t="s">
        <v>70</v>
      </c>
      <c r="I394" s="58">
        <v>100</v>
      </c>
      <c r="J394" s="69">
        <v>426</v>
      </c>
      <c r="K394" s="270">
        <f t="shared" si="0"/>
        <v>42600</v>
      </c>
      <c r="L394" s="270">
        <v>1342</v>
      </c>
      <c r="M394" s="270">
        <v>-3000</v>
      </c>
      <c r="N394" s="274">
        <v>278.77999999999997</v>
      </c>
      <c r="O394" s="55"/>
      <c r="P394" s="45">
        <v>279</v>
      </c>
      <c r="Q394" s="270">
        <v>-2049</v>
      </c>
      <c r="R394" s="275">
        <v>-2.4399999999999999E-3</v>
      </c>
      <c r="S394" s="270">
        <v>-2153</v>
      </c>
      <c r="T394" s="270">
        <v>-1874</v>
      </c>
      <c r="U394" s="57">
        <v>1</v>
      </c>
      <c r="V394" s="276">
        <v>0.18</v>
      </c>
      <c r="W394" s="276">
        <v>0.08</v>
      </c>
      <c r="X394" s="270">
        <v>-1387</v>
      </c>
      <c r="Y394" s="270">
        <v>-487</v>
      </c>
      <c r="Z394" s="45" t="b">
        <v>1</v>
      </c>
      <c r="AA394" s="45" t="s">
        <v>38</v>
      </c>
      <c r="AB394" s="45" t="s">
        <v>38</v>
      </c>
    </row>
    <row r="395" spans="1:28" x14ac:dyDescent="0.2">
      <c r="A395" s="96" t="s">
        <v>508</v>
      </c>
      <c r="B395" s="96" t="s">
        <v>508</v>
      </c>
      <c r="C395" s="277">
        <v>44003</v>
      </c>
      <c r="D395" s="277">
        <v>44032</v>
      </c>
      <c r="E395" s="270" t="s">
        <v>300</v>
      </c>
      <c r="F395" s="96" t="s">
        <v>34</v>
      </c>
      <c r="G395" s="96" t="s">
        <v>35</v>
      </c>
      <c r="H395" s="272" t="s">
        <v>951</v>
      </c>
      <c r="I395" s="58">
        <v>100</v>
      </c>
      <c r="J395" s="69">
        <v>1044</v>
      </c>
      <c r="K395" s="270">
        <f t="shared" si="0"/>
        <v>104400</v>
      </c>
      <c r="L395" s="270">
        <v>42112</v>
      </c>
      <c r="M395" s="270">
        <v>7100</v>
      </c>
      <c r="N395" s="274">
        <v>683.22</v>
      </c>
      <c r="O395" s="55"/>
      <c r="P395" s="45">
        <v>683</v>
      </c>
      <c r="Q395" s="270">
        <v>2319</v>
      </c>
      <c r="R395" s="275">
        <v>-2.4399999999999999E-3</v>
      </c>
      <c r="S395" s="270">
        <v>2064</v>
      </c>
      <c r="T395" s="270">
        <v>2747</v>
      </c>
      <c r="U395" s="57">
        <v>1</v>
      </c>
      <c r="V395" s="276">
        <v>0.18</v>
      </c>
      <c r="W395" s="276">
        <v>0.08</v>
      </c>
      <c r="X395" s="270">
        <v>2033</v>
      </c>
      <c r="Y395" s="270">
        <v>714</v>
      </c>
      <c r="Z395" s="45" t="b">
        <v>1</v>
      </c>
      <c r="AA395" s="45" t="s">
        <v>38</v>
      </c>
      <c r="AB395" s="45" t="s">
        <v>38</v>
      </c>
    </row>
    <row r="396" spans="1:28" x14ac:dyDescent="0.2">
      <c r="A396" s="96" t="s">
        <v>206</v>
      </c>
      <c r="B396" s="96" t="s">
        <v>206</v>
      </c>
      <c r="C396" s="277">
        <v>44003</v>
      </c>
      <c r="D396" s="277">
        <v>44032</v>
      </c>
      <c r="E396" s="270" t="s">
        <v>267</v>
      </c>
      <c r="F396" s="133" t="s">
        <v>34</v>
      </c>
      <c r="G396" s="96" t="s">
        <v>35</v>
      </c>
      <c r="H396" s="272" t="s">
        <v>46</v>
      </c>
      <c r="I396" s="58">
        <v>25</v>
      </c>
      <c r="J396" s="69">
        <v>1</v>
      </c>
      <c r="K396" s="270">
        <f t="shared" si="0"/>
        <v>25</v>
      </c>
      <c r="L396" s="270">
        <v>842</v>
      </c>
      <c r="M396" s="270">
        <v>100</v>
      </c>
      <c r="N396" s="274">
        <v>0.23</v>
      </c>
      <c r="O396" s="55"/>
      <c r="P396" s="45">
        <v>0</v>
      </c>
      <c r="Q396" s="270">
        <v>37</v>
      </c>
      <c r="R396" s="275">
        <v>-2.4399999999999999E-3</v>
      </c>
      <c r="S396" s="270">
        <v>37</v>
      </c>
      <c r="T396" s="270">
        <v>37</v>
      </c>
      <c r="U396" s="57">
        <v>1</v>
      </c>
      <c r="V396" s="276">
        <v>0.26</v>
      </c>
      <c r="W396" s="276">
        <v>0</v>
      </c>
      <c r="X396" s="270">
        <v>28</v>
      </c>
      <c r="Y396" s="270">
        <v>10</v>
      </c>
      <c r="Z396" s="45" t="b">
        <v>1</v>
      </c>
      <c r="AA396" s="45" t="s">
        <v>38</v>
      </c>
      <c r="AB396" s="45" t="s">
        <v>38</v>
      </c>
    </row>
    <row r="397" spans="1:28" x14ac:dyDescent="0.2">
      <c r="A397" s="96" t="s">
        <v>206</v>
      </c>
      <c r="B397" s="96" t="s">
        <v>206</v>
      </c>
      <c r="C397" s="277">
        <v>44003</v>
      </c>
      <c r="D397" s="277">
        <v>44032</v>
      </c>
      <c r="E397" s="270" t="s">
        <v>267</v>
      </c>
      <c r="F397" s="133" t="s">
        <v>34</v>
      </c>
      <c r="G397" s="96" t="s">
        <v>35</v>
      </c>
      <c r="H397" s="272" t="s">
        <v>963</v>
      </c>
      <c r="I397" s="58">
        <v>50</v>
      </c>
      <c r="J397" s="69">
        <v>435</v>
      </c>
      <c r="K397" s="270">
        <f t="shared" si="0"/>
        <v>21750</v>
      </c>
      <c r="L397" s="270">
        <v>-2675</v>
      </c>
      <c r="M397" s="270">
        <v>-2550</v>
      </c>
      <c r="N397" s="274">
        <v>195.93</v>
      </c>
      <c r="O397" s="55"/>
      <c r="P397" s="45">
        <v>196</v>
      </c>
      <c r="Q397" s="270">
        <v>-1778</v>
      </c>
      <c r="R397" s="275">
        <v>-2.4399999999999999E-3</v>
      </c>
      <c r="S397" s="270">
        <v>-1831</v>
      </c>
      <c r="T397" s="270">
        <v>-1636</v>
      </c>
      <c r="U397" s="57">
        <v>1</v>
      </c>
      <c r="V397" s="276">
        <v>0.26</v>
      </c>
      <c r="W397" s="276">
        <v>0</v>
      </c>
      <c r="X397" s="270">
        <v>-1210</v>
      </c>
      <c r="Y397" s="270">
        <v>-425</v>
      </c>
      <c r="Z397" s="45" t="b">
        <v>1</v>
      </c>
      <c r="AA397" s="45" t="s">
        <v>38</v>
      </c>
      <c r="AB397" s="45" t="s">
        <v>38</v>
      </c>
    </row>
    <row r="398" spans="1:28" x14ac:dyDescent="0.2">
      <c r="A398" s="96" t="s">
        <v>206</v>
      </c>
      <c r="B398" s="96" t="s">
        <v>206</v>
      </c>
      <c r="C398" s="277">
        <v>44003</v>
      </c>
      <c r="D398" s="277">
        <v>44032</v>
      </c>
      <c r="E398" s="270" t="s">
        <v>267</v>
      </c>
      <c r="F398" s="133" t="s">
        <v>34</v>
      </c>
      <c r="G398" s="96" t="s">
        <v>35</v>
      </c>
      <c r="H398" s="272" t="s">
        <v>963</v>
      </c>
      <c r="I398" s="58">
        <v>50</v>
      </c>
      <c r="J398" s="69">
        <v>782</v>
      </c>
      <c r="K398" s="270">
        <f t="shared" si="0"/>
        <v>39100</v>
      </c>
      <c r="L398" s="270">
        <v>16565</v>
      </c>
      <c r="M398" s="270">
        <v>-1450</v>
      </c>
      <c r="N398" s="274">
        <v>352.22</v>
      </c>
      <c r="O398" s="55"/>
      <c r="P398" s="45">
        <v>352</v>
      </c>
      <c r="Q398" s="270">
        <v>-1208</v>
      </c>
      <c r="R398" s="275">
        <v>-2.4399999999999999E-3</v>
      </c>
      <c r="S398" s="270">
        <v>-1303</v>
      </c>
      <c r="T398" s="270">
        <v>-951</v>
      </c>
      <c r="U398" s="57">
        <v>1</v>
      </c>
      <c r="V398" s="276">
        <v>0.26</v>
      </c>
      <c r="W398" s="276">
        <v>0</v>
      </c>
      <c r="X398" s="270">
        <v>-704</v>
      </c>
      <c r="Y398" s="270">
        <v>-247</v>
      </c>
      <c r="Z398" s="45" t="b">
        <v>1</v>
      </c>
      <c r="AA398" s="45" t="s">
        <v>38</v>
      </c>
      <c r="AB398" s="45" t="s">
        <v>38</v>
      </c>
    </row>
    <row r="399" spans="1:28" x14ac:dyDescent="0.2">
      <c r="A399" s="96" t="s">
        <v>206</v>
      </c>
      <c r="B399" s="96" t="s">
        <v>206</v>
      </c>
      <c r="C399" s="277">
        <v>44003</v>
      </c>
      <c r="D399" s="277">
        <v>44032</v>
      </c>
      <c r="E399" s="270" t="s">
        <v>267</v>
      </c>
      <c r="F399" s="133" t="s">
        <v>34</v>
      </c>
      <c r="G399" s="96" t="s">
        <v>35</v>
      </c>
      <c r="H399" s="272" t="s">
        <v>70</v>
      </c>
      <c r="I399" s="58">
        <v>100</v>
      </c>
      <c r="J399" s="69">
        <v>289</v>
      </c>
      <c r="K399" s="270">
        <f t="shared" si="0"/>
        <v>28900</v>
      </c>
      <c r="L399" s="270">
        <v>2308</v>
      </c>
      <c r="M399" s="270">
        <v>-2600</v>
      </c>
      <c r="N399" s="274">
        <v>216.95</v>
      </c>
      <c r="O399" s="55"/>
      <c r="P399" s="45">
        <v>217</v>
      </c>
      <c r="Q399" s="270">
        <v>-1308</v>
      </c>
      <c r="R399" s="275">
        <v>-2.4399999999999999E-3</v>
      </c>
      <c r="S399" s="270">
        <v>-1379</v>
      </c>
      <c r="T399" s="270">
        <v>-1162</v>
      </c>
      <c r="U399" s="57">
        <v>1</v>
      </c>
      <c r="V399" s="276">
        <v>0.26</v>
      </c>
      <c r="W399" s="276">
        <v>0</v>
      </c>
      <c r="X399" s="270">
        <v>-860</v>
      </c>
      <c r="Y399" s="270">
        <v>-302</v>
      </c>
      <c r="Z399" s="45" t="b">
        <v>1</v>
      </c>
      <c r="AA399" s="45" t="s">
        <v>38</v>
      </c>
      <c r="AB399" s="45" t="s">
        <v>38</v>
      </c>
    </row>
    <row r="400" spans="1:28" x14ac:dyDescent="0.2">
      <c r="A400" s="96" t="s">
        <v>206</v>
      </c>
      <c r="B400" s="96" t="s">
        <v>206</v>
      </c>
      <c r="C400" s="277">
        <v>44003</v>
      </c>
      <c r="D400" s="277">
        <v>44032</v>
      </c>
      <c r="E400" s="270" t="s">
        <v>267</v>
      </c>
      <c r="F400" s="133" t="s">
        <v>34</v>
      </c>
      <c r="G400" s="96" t="s">
        <v>35</v>
      </c>
      <c r="H400" s="272" t="s">
        <v>951</v>
      </c>
      <c r="I400" s="58">
        <v>100</v>
      </c>
      <c r="J400" s="69">
        <v>258</v>
      </c>
      <c r="K400" s="270">
        <f t="shared" si="0"/>
        <v>25800</v>
      </c>
      <c r="L400" s="270">
        <v>11558</v>
      </c>
      <c r="M400" s="270">
        <v>-200</v>
      </c>
      <c r="N400" s="274">
        <v>193.68</v>
      </c>
      <c r="O400" s="55"/>
      <c r="P400" s="45">
        <v>194</v>
      </c>
      <c r="Q400" s="270">
        <v>622</v>
      </c>
      <c r="R400" s="275">
        <v>-2.4399999999999999E-3</v>
      </c>
      <c r="S400" s="270">
        <v>559</v>
      </c>
      <c r="T400" s="270">
        <v>753</v>
      </c>
      <c r="U400" s="57">
        <v>1</v>
      </c>
      <c r="V400" s="276">
        <v>0.26</v>
      </c>
      <c r="W400" s="276">
        <v>0</v>
      </c>
      <c r="X400" s="270">
        <v>557</v>
      </c>
      <c r="Y400" s="270">
        <v>196</v>
      </c>
      <c r="Z400" s="45" t="b">
        <v>1</v>
      </c>
      <c r="AA400" s="45" t="s">
        <v>38</v>
      </c>
      <c r="AB400" s="45" t="s">
        <v>38</v>
      </c>
    </row>
    <row r="401" spans="1:28" x14ac:dyDescent="0.2">
      <c r="A401" s="96" t="s">
        <v>145</v>
      </c>
      <c r="B401" s="96" t="s">
        <v>145</v>
      </c>
      <c r="C401" s="277">
        <v>44013</v>
      </c>
      <c r="D401" s="277">
        <v>44043</v>
      </c>
      <c r="E401" s="270" t="s">
        <v>267</v>
      </c>
      <c r="F401" s="133" t="s">
        <v>49</v>
      </c>
      <c r="G401" s="279" t="s">
        <v>35</v>
      </c>
      <c r="H401" s="272" t="s">
        <v>84</v>
      </c>
      <c r="I401" s="273">
        <v>100</v>
      </c>
      <c r="J401" s="270">
        <v>38</v>
      </c>
      <c r="K401" s="270">
        <f t="shared" si="0"/>
        <v>3800</v>
      </c>
      <c r="L401" s="270">
        <v>561</v>
      </c>
      <c r="M401" s="270">
        <v>800</v>
      </c>
      <c r="N401" s="274">
        <v>21</v>
      </c>
      <c r="O401" s="55"/>
      <c r="P401" s="45">
        <v>21</v>
      </c>
      <c r="Q401" s="270">
        <v>-30</v>
      </c>
      <c r="R401" s="275">
        <v>7.7700000000000002E-4</v>
      </c>
      <c r="S401" s="270">
        <v>-27</v>
      </c>
      <c r="T401" s="270">
        <v>-6</v>
      </c>
      <c r="U401" s="57">
        <v>1</v>
      </c>
      <c r="V401" s="276">
        <v>0.12</v>
      </c>
      <c r="W401" s="276">
        <v>0</v>
      </c>
      <c r="X401" s="270">
        <v>-5</v>
      </c>
      <c r="Y401" s="270">
        <v>-1</v>
      </c>
      <c r="Z401" s="45" t="b">
        <v>1</v>
      </c>
      <c r="AA401" s="45" t="s">
        <v>38</v>
      </c>
      <c r="AB401" s="45" t="s">
        <v>38</v>
      </c>
    </row>
    <row r="402" spans="1:28" x14ac:dyDescent="0.2">
      <c r="A402" s="96" t="s">
        <v>145</v>
      </c>
      <c r="B402" s="96" t="s">
        <v>145</v>
      </c>
      <c r="C402" s="277">
        <v>44013</v>
      </c>
      <c r="D402" s="277">
        <v>44043</v>
      </c>
      <c r="E402" s="270" t="s">
        <v>267</v>
      </c>
      <c r="F402" s="133" t="s">
        <v>49</v>
      </c>
      <c r="G402" s="279" t="s">
        <v>35</v>
      </c>
      <c r="H402" s="110" t="s">
        <v>971</v>
      </c>
      <c r="I402" s="273">
        <v>50</v>
      </c>
      <c r="J402" s="270">
        <v>177</v>
      </c>
      <c r="K402" s="270">
        <f t="shared" si="0"/>
        <v>8850</v>
      </c>
      <c r="L402" s="270">
        <v>2575</v>
      </c>
      <c r="M402" s="270">
        <v>-400</v>
      </c>
      <c r="N402" s="274">
        <v>45</v>
      </c>
      <c r="O402" s="55"/>
      <c r="P402" s="45">
        <v>45</v>
      </c>
      <c r="Q402" s="270">
        <v>-165</v>
      </c>
      <c r="R402" s="275">
        <v>2.2910000000000001E-3</v>
      </c>
      <c r="S402" s="270">
        <v>-145</v>
      </c>
      <c r="T402" s="270">
        <v>-100</v>
      </c>
      <c r="U402" s="57">
        <v>1</v>
      </c>
      <c r="V402" s="276">
        <v>0.12</v>
      </c>
      <c r="W402" s="276">
        <v>0</v>
      </c>
      <c r="X402" s="270">
        <v>-88</v>
      </c>
      <c r="Y402" s="270">
        <v>-12</v>
      </c>
      <c r="Z402" s="45" t="b">
        <v>1</v>
      </c>
      <c r="AA402" s="45" t="s">
        <v>38</v>
      </c>
      <c r="AB402" s="45" t="s">
        <v>38</v>
      </c>
    </row>
    <row r="403" spans="1:28" x14ac:dyDescent="0.2">
      <c r="A403" s="96" t="s">
        <v>145</v>
      </c>
      <c r="B403" s="96" t="s">
        <v>145</v>
      </c>
      <c r="C403" s="277">
        <v>44013</v>
      </c>
      <c r="D403" s="277">
        <v>44043</v>
      </c>
      <c r="E403" s="270" t="s">
        <v>267</v>
      </c>
      <c r="F403" s="133" t="s">
        <v>49</v>
      </c>
      <c r="G403" s="279" t="s">
        <v>35</v>
      </c>
      <c r="H403" s="272" t="s">
        <v>70</v>
      </c>
      <c r="I403" s="273">
        <v>100</v>
      </c>
      <c r="J403" s="270">
        <v>2432</v>
      </c>
      <c r="K403" s="270">
        <f t="shared" si="0"/>
        <v>243200</v>
      </c>
      <c r="L403" s="270">
        <v>110506</v>
      </c>
      <c r="M403" s="270">
        <v>9100</v>
      </c>
      <c r="N403" s="274">
        <v>1029</v>
      </c>
      <c r="O403" s="55"/>
      <c r="P403" s="105">
        <v>1029</v>
      </c>
      <c r="Q403" s="270">
        <v>7644</v>
      </c>
      <c r="R403" s="275">
        <v>2.4529999999999999E-3</v>
      </c>
      <c r="S403" s="270">
        <v>8241</v>
      </c>
      <c r="T403" s="270">
        <v>9270</v>
      </c>
      <c r="U403" s="57">
        <v>1</v>
      </c>
      <c r="V403" s="276">
        <v>0.12</v>
      </c>
      <c r="W403" s="276">
        <v>0</v>
      </c>
      <c r="X403" s="270">
        <v>8158</v>
      </c>
      <c r="Y403" s="270">
        <v>1112</v>
      </c>
      <c r="Z403" s="45" t="b">
        <v>1</v>
      </c>
      <c r="AA403" s="45" t="s">
        <v>38</v>
      </c>
      <c r="AB403" s="45" t="s">
        <v>38</v>
      </c>
    </row>
    <row r="404" spans="1:28" x14ac:dyDescent="0.2">
      <c r="A404" s="96" t="s">
        <v>145</v>
      </c>
      <c r="B404" s="96" t="s">
        <v>145</v>
      </c>
      <c r="C404" s="277">
        <v>44013</v>
      </c>
      <c r="D404" s="277">
        <v>44043</v>
      </c>
      <c r="E404" s="270" t="s">
        <v>267</v>
      </c>
      <c r="F404" s="133" t="s">
        <v>41</v>
      </c>
      <c r="G404" s="279" t="s">
        <v>35</v>
      </c>
      <c r="H404" s="272" t="s">
        <v>963</v>
      </c>
      <c r="I404" s="273">
        <v>50</v>
      </c>
      <c r="J404" s="270">
        <v>18</v>
      </c>
      <c r="K404" s="270">
        <f t="shared" si="0"/>
        <v>900</v>
      </c>
      <c r="L404" s="270"/>
      <c r="M404" s="270">
        <v>450</v>
      </c>
      <c r="N404" s="274">
        <v>5</v>
      </c>
      <c r="O404" s="55"/>
      <c r="P404" s="45">
        <v>5</v>
      </c>
      <c r="Q404" s="270"/>
      <c r="R404" s="275">
        <v>0</v>
      </c>
      <c r="S404" s="270"/>
      <c r="T404" s="270">
        <v>455</v>
      </c>
      <c r="U404" s="57">
        <v>1</v>
      </c>
      <c r="V404" s="276">
        <v>0.12</v>
      </c>
      <c r="W404" s="276">
        <v>0</v>
      </c>
      <c r="X404" s="270">
        <v>400</v>
      </c>
      <c r="Y404" s="270">
        <v>55</v>
      </c>
      <c r="Z404" s="45" t="b">
        <v>1</v>
      </c>
      <c r="AA404" s="45" t="s">
        <v>38</v>
      </c>
      <c r="AB404" s="45" t="s">
        <v>38</v>
      </c>
    </row>
    <row r="405" spans="1:28" x14ac:dyDescent="0.2">
      <c r="A405" s="96" t="s">
        <v>355</v>
      </c>
      <c r="B405" s="96" t="s">
        <v>978</v>
      </c>
      <c r="C405" s="277">
        <v>44013</v>
      </c>
      <c r="D405" s="277">
        <v>44043</v>
      </c>
      <c r="E405" s="270" t="s">
        <v>267</v>
      </c>
      <c r="F405" s="133" t="s">
        <v>34</v>
      </c>
      <c r="G405" s="270" t="s">
        <v>69</v>
      </c>
      <c r="H405" s="272" t="s">
        <v>75</v>
      </c>
      <c r="I405" s="273">
        <v>20</v>
      </c>
      <c r="J405" s="270">
        <v>23</v>
      </c>
      <c r="K405" s="270">
        <f t="shared" si="0"/>
        <v>460</v>
      </c>
      <c r="L405" s="270">
        <v>135</v>
      </c>
      <c r="M405" s="270">
        <v>-80</v>
      </c>
      <c r="N405" s="274">
        <v>880</v>
      </c>
      <c r="O405" s="55"/>
      <c r="P405" s="45">
        <v>880</v>
      </c>
      <c r="Q405" s="270">
        <v>-21</v>
      </c>
      <c r="R405" s="275">
        <v>-2.8999999999999998E-3</v>
      </c>
      <c r="S405" s="270">
        <v>-22</v>
      </c>
      <c r="T405" s="270">
        <v>858</v>
      </c>
      <c r="U405" s="57">
        <v>1</v>
      </c>
      <c r="V405" s="276">
        <v>0.125</v>
      </c>
      <c r="W405" s="276">
        <v>0</v>
      </c>
      <c r="X405" s="270">
        <v>750</v>
      </c>
      <c r="Y405" s="270">
        <v>107</v>
      </c>
      <c r="Z405" s="45" t="b">
        <v>1</v>
      </c>
      <c r="AA405" s="45" t="s">
        <v>38</v>
      </c>
      <c r="AB405" s="45" t="s">
        <v>38</v>
      </c>
    </row>
    <row r="406" spans="1:28" x14ac:dyDescent="0.2">
      <c r="A406" s="96" t="s">
        <v>355</v>
      </c>
      <c r="B406" s="96" t="s">
        <v>978</v>
      </c>
      <c r="C406" s="277">
        <v>44013</v>
      </c>
      <c r="D406" s="277">
        <v>44043</v>
      </c>
      <c r="E406" s="270" t="s">
        <v>267</v>
      </c>
      <c r="F406" s="133" t="s">
        <v>34</v>
      </c>
      <c r="G406" s="270" t="s">
        <v>69</v>
      </c>
      <c r="H406" s="272" t="s">
        <v>70</v>
      </c>
      <c r="I406" s="273">
        <v>100</v>
      </c>
      <c r="J406" s="270">
        <v>2085</v>
      </c>
      <c r="K406" s="270">
        <f t="shared" si="0"/>
        <v>208500</v>
      </c>
      <c r="L406" s="270">
        <v>60046</v>
      </c>
      <c r="M406" s="270">
        <v>-5200</v>
      </c>
      <c r="N406" s="274">
        <v>6320</v>
      </c>
      <c r="O406" s="55"/>
      <c r="P406" s="105">
        <v>6320</v>
      </c>
      <c r="Q406" s="270">
        <v>85</v>
      </c>
      <c r="R406" s="275">
        <v>-2.8999999999999998E-3</v>
      </c>
      <c r="S406" s="270">
        <v>-519</v>
      </c>
      <c r="T406" s="270">
        <v>5801</v>
      </c>
      <c r="U406" s="57">
        <v>1</v>
      </c>
      <c r="V406" s="276">
        <v>0.125</v>
      </c>
      <c r="W406" s="276">
        <v>0</v>
      </c>
      <c r="X406" s="270">
        <v>5076</v>
      </c>
      <c r="Y406" s="270">
        <v>725</v>
      </c>
      <c r="Z406" s="45" t="b">
        <v>1</v>
      </c>
      <c r="AA406" s="45" t="s">
        <v>38</v>
      </c>
      <c r="AB406" s="45" t="s">
        <v>38</v>
      </c>
    </row>
    <row r="407" spans="1:28" x14ac:dyDescent="0.2">
      <c r="A407" s="96" t="s">
        <v>355</v>
      </c>
      <c r="B407" s="96" t="s">
        <v>978</v>
      </c>
      <c r="C407" s="277">
        <v>44013</v>
      </c>
      <c r="D407" s="277">
        <v>44043</v>
      </c>
      <c r="E407" s="270" t="s">
        <v>267</v>
      </c>
      <c r="F407" s="133" t="s">
        <v>34</v>
      </c>
      <c r="G407" s="270" t="s">
        <v>69</v>
      </c>
      <c r="H407" s="272" t="s">
        <v>71</v>
      </c>
      <c r="I407" s="273">
        <v>20</v>
      </c>
      <c r="J407" s="270">
        <v>2</v>
      </c>
      <c r="K407" s="270">
        <f t="shared" si="0"/>
        <v>40</v>
      </c>
      <c r="L407" s="270">
        <v>-144</v>
      </c>
      <c r="M407" s="270">
        <v>0</v>
      </c>
      <c r="N407" s="274">
        <v>40</v>
      </c>
      <c r="O407" s="55"/>
      <c r="P407" s="45">
        <v>40</v>
      </c>
      <c r="Q407" s="270">
        <v>-8</v>
      </c>
      <c r="R407" s="275">
        <v>-2.8999999999999998E-3</v>
      </c>
      <c r="S407" s="270">
        <v>-8</v>
      </c>
      <c r="T407" s="270">
        <v>32</v>
      </c>
      <c r="U407" s="57">
        <v>1</v>
      </c>
      <c r="V407" s="276">
        <v>0.125</v>
      </c>
      <c r="W407" s="276">
        <v>0</v>
      </c>
      <c r="X407" s="270">
        <v>28</v>
      </c>
      <c r="Y407" s="270">
        <v>4</v>
      </c>
      <c r="Z407" s="45" t="b">
        <v>1</v>
      </c>
      <c r="AA407" s="45" t="s">
        <v>38</v>
      </c>
      <c r="AB407" s="45" t="s">
        <v>38</v>
      </c>
    </row>
    <row r="408" spans="1:28" x14ac:dyDescent="0.2">
      <c r="A408" s="96" t="s">
        <v>355</v>
      </c>
      <c r="B408" s="96" t="s">
        <v>978</v>
      </c>
      <c r="C408" s="277">
        <v>44013</v>
      </c>
      <c r="D408" s="277">
        <v>44043</v>
      </c>
      <c r="E408" s="270" t="s">
        <v>267</v>
      </c>
      <c r="F408" s="133" t="s">
        <v>34</v>
      </c>
      <c r="G408" s="270" t="s">
        <v>69</v>
      </c>
      <c r="H408" s="272" t="s">
        <v>88</v>
      </c>
      <c r="I408" s="273">
        <v>250</v>
      </c>
      <c r="J408" s="270">
        <v>393</v>
      </c>
      <c r="K408" s="270">
        <f t="shared" si="0"/>
        <v>98250</v>
      </c>
      <c r="L408" s="270">
        <v>-373</v>
      </c>
      <c r="M408" s="270">
        <v>-10000</v>
      </c>
      <c r="N408" s="274">
        <v>300</v>
      </c>
      <c r="O408" s="55"/>
      <c r="P408" s="45">
        <v>300</v>
      </c>
      <c r="Q408" s="270">
        <v>-4266</v>
      </c>
      <c r="R408" s="275">
        <v>-2.8999999999999998E-3</v>
      </c>
      <c r="S408" s="270">
        <v>-4551</v>
      </c>
      <c r="T408" s="270">
        <v>-4251</v>
      </c>
      <c r="U408" s="57">
        <v>1</v>
      </c>
      <c r="V408" s="276">
        <v>0.125</v>
      </c>
      <c r="W408" s="276">
        <v>0</v>
      </c>
      <c r="X408" s="270">
        <v>-3719</v>
      </c>
      <c r="Y408" s="270">
        <v>-531</v>
      </c>
      <c r="Z408" s="45" t="b">
        <v>1</v>
      </c>
      <c r="AA408" s="45" t="s">
        <v>38</v>
      </c>
      <c r="AB408" s="45" t="s">
        <v>38</v>
      </c>
    </row>
    <row r="409" spans="1:28" x14ac:dyDescent="0.2">
      <c r="A409" s="96" t="s">
        <v>355</v>
      </c>
      <c r="B409" s="96" t="s">
        <v>978</v>
      </c>
      <c r="C409" s="277">
        <v>44013</v>
      </c>
      <c r="D409" s="277">
        <v>44043</v>
      </c>
      <c r="E409" s="270" t="s">
        <v>267</v>
      </c>
      <c r="F409" s="133" t="s">
        <v>34</v>
      </c>
      <c r="G409" s="270" t="s">
        <v>69</v>
      </c>
      <c r="H409" s="272" t="s">
        <v>72</v>
      </c>
      <c r="I409" s="273">
        <v>50</v>
      </c>
      <c r="J409" s="270">
        <v>347</v>
      </c>
      <c r="K409" s="270">
        <f t="shared" si="0"/>
        <v>17350</v>
      </c>
      <c r="L409" s="270">
        <v>6942</v>
      </c>
      <c r="M409" s="270">
        <v>-600</v>
      </c>
      <c r="N409" s="274">
        <v>1500</v>
      </c>
      <c r="O409" s="55"/>
      <c r="P409" s="105">
        <v>1500</v>
      </c>
      <c r="Q409" s="270">
        <v>-281</v>
      </c>
      <c r="R409" s="275">
        <v>-2.8999999999999998E-3</v>
      </c>
      <c r="S409" s="270">
        <v>-331</v>
      </c>
      <c r="T409" s="270">
        <v>1169</v>
      </c>
      <c r="U409" s="57">
        <v>1</v>
      </c>
      <c r="V409" s="276">
        <v>0.125</v>
      </c>
      <c r="W409" s="276">
        <v>0</v>
      </c>
      <c r="X409" s="270">
        <v>1022</v>
      </c>
      <c r="Y409" s="270">
        <v>146</v>
      </c>
      <c r="Z409" s="45" t="b">
        <v>1</v>
      </c>
      <c r="AA409" s="45" t="s">
        <v>38</v>
      </c>
      <c r="AB409" s="45" t="s">
        <v>38</v>
      </c>
    </row>
    <row r="410" spans="1:28" x14ac:dyDescent="0.2">
      <c r="A410" s="96" t="s">
        <v>447</v>
      </c>
      <c r="B410" s="96" t="s">
        <v>910</v>
      </c>
      <c r="C410" s="277">
        <v>44013</v>
      </c>
      <c r="D410" s="277">
        <v>44043</v>
      </c>
      <c r="E410" s="270" t="s">
        <v>300</v>
      </c>
      <c r="F410" s="133" t="s">
        <v>49</v>
      </c>
      <c r="G410" s="279" t="s">
        <v>61</v>
      </c>
      <c r="H410" s="272" t="s">
        <v>93</v>
      </c>
      <c r="I410" s="273">
        <v>25</v>
      </c>
      <c r="J410" s="270">
        <v>4132</v>
      </c>
      <c r="K410" s="270">
        <f t="shared" si="0"/>
        <v>103300</v>
      </c>
      <c r="L410" s="270">
        <v>196744</v>
      </c>
      <c r="M410" s="270">
        <v>-250</v>
      </c>
      <c r="N410" s="274">
        <f>75+75+25+25+25+50+25+25+25+25+100+25+25+25+25+50+1000+500+100+50+100</f>
        <v>2375</v>
      </c>
      <c r="O410" s="55"/>
      <c r="P410" s="105">
        <v>2375</v>
      </c>
      <c r="Q410" s="270">
        <v>-250</v>
      </c>
      <c r="R410" s="275">
        <v>4.1479999999999998E-3</v>
      </c>
      <c r="S410" s="270">
        <v>178</v>
      </c>
      <c r="T410" s="270">
        <v>2553</v>
      </c>
      <c r="U410" s="57">
        <v>1</v>
      </c>
      <c r="V410" s="276">
        <v>0.21</v>
      </c>
      <c r="W410" s="276">
        <v>0.11</v>
      </c>
      <c r="X410" s="270">
        <v>1736</v>
      </c>
      <c r="Y410" s="270">
        <v>817</v>
      </c>
      <c r="Z410" s="45" t="b">
        <v>1</v>
      </c>
      <c r="AA410" s="45" t="s">
        <v>50</v>
      </c>
      <c r="AB410" s="45" t="s">
        <v>50</v>
      </c>
    </row>
    <row r="411" spans="1:28" x14ac:dyDescent="0.2">
      <c r="A411" s="96" t="s">
        <v>286</v>
      </c>
      <c r="B411" s="96" t="s">
        <v>286</v>
      </c>
      <c r="C411" s="277">
        <v>44033</v>
      </c>
      <c r="D411" s="277">
        <v>44063</v>
      </c>
      <c r="E411" s="270" t="s">
        <v>267</v>
      </c>
      <c r="F411" s="133" t="s">
        <v>34</v>
      </c>
      <c r="G411" s="96" t="s">
        <v>35</v>
      </c>
      <c r="H411" s="272" t="s">
        <v>177</v>
      </c>
      <c r="I411" s="58">
        <v>5</v>
      </c>
      <c r="J411" s="69">
        <v>204</v>
      </c>
      <c r="K411" s="270">
        <f t="shared" si="0"/>
        <v>1020</v>
      </c>
      <c r="L411" s="270">
        <v>12475</v>
      </c>
      <c r="M411" s="270">
        <v>300</v>
      </c>
      <c r="N411" s="274">
        <v>4</v>
      </c>
      <c r="O411" s="55"/>
      <c r="P411" s="45">
        <v>4</v>
      </c>
      <c r="Q411" s="270">
        <v>115</v>
      </c>
      <c r="R411" s="275">
        <v>-2.8999999999999998E-3</v>
      </c>
      <c r="S411" s="270">
        <v>112</v>
      </c>
      <c r="T411" s="270">
        <v>116</v>
      </c>
      <c r="U411" s="57">
        <v>1</v>
      </c>
      <c r="V411" s="276">
        <v>0.25</v>
      </c>
      <c r="W411" s="276">
        <v>0</v>
      </c>
      <c r="X411" s="270">
        <v>87</v>
      </c>
      <c r="Y411" s="270">
        <v>29</v>
      </c>
      <c r="Z411" s="45" t="b">
        <v>1</v>
      </c>
      <c r="AA411" s="45" t="s">
        <v>38</v>
      </c>
      <c r="AB411" s="45" t="s">
        <v>38</v>
      </c>
    </row>
    <row r="412" spans="1:28" x14ac:dyDescent="0.2">
      <c r="A412" s="96" t="s">
        <v>286</v>
      </c>
      <c r="B412" s="96" t="s">
        <v>286</v>
      </c>
      <c r="C412" s="277">
        <v>44033</v>
      </c>
      <c r="D412" s="277">
        <v>44063</v>
      </c>
      <c r="E412" s="270" t="s">
        <v>267</v>
      </c>
      <c r="F412" s="133" t="s">
        <v>34</v>
      </c>
      <c r="G412" s="96" t="s">
        <v>35</v>
      </c>
      <c r="H412" s="272" t="s">
        <v>969</v>
      </c>
      <c r="I412" s="58">
        <v>5</v>
      </c>
      <c r="J412" s="69">
        <v>2</v>
      </c>
      <c r="K412" s="270">
        <f t="shared" si="0"/>
        <v>10</v>
      </c>
      <c r="L412" s="270">
        <v>-180</v>
      </c>
      <c r="M412" s="270">
        <v>15</v>
      </c>
      <c r="N412" s="274"/>
      <c r="O412" s="55"/>
      <c r="P412" s="96"/>
      <c r="Q412" s="270">
        <v>-4</v>
      </c>
      <c r="R412" s="275">
        <v>-2.8999999999999998E-3</v>
      </c>
      <c r="S412" s="270">
        <v>-4</v>
      </c>
      <c r="T412" s="270">
        <v>-4</v>
      </c>
      <c r="U412" s="57">
        <v>1</v>
      </c>
      <c r="V412" s="276">
        <v>0.25</v>
      </c>
      <c r="W412" s="276">
        <v>0</v>
      </c>
      <c r="X412" s="270">
        <v>-3</v>
      </c>
      <c r="Y412" s="270">
        <v>-1</v>
      </c>
      <c r="Z412" s="45" t="b">
        <v>1</v>
      </c>
      <c r="AA412" s="45" t="s">
        <v>38</v>
      </c>
      <c r="AB412" s="45" t="s">
        <v>38</v>
      </c>
    </row>
    <row r="413" spans="1:28" x14ac:dyDescent="0.2">
      <c r="A413" s="96" t="s">
        <v>286</v>
      </c>
      <c r="B413" s="96" t="s">
        <v>286</v>
      </c>
      <c r="C413" s="277">
        <v>44033</v>
      </c>
      <c r="D413" s="277">
        <v>44063</v>
      </c>
      <c r="E413" s="270" t="s">
        <v>267</v>
      </c>
      <c r="F413" s="133" t="s">
        <v>34</v>
      </c>
      <c r="G413" s="96" t="s">
        <v>35</v>
      </c>
      <c r="H413" s="110" t="s">
        <v>979</v>
      </c>
      <c r="I413" s="58">
        <v>10</v>
      </c>
      <c r="J413" s="69">
        <v>428</v>
      </c>
      <c r="K413" s="270">
        <f t="shared" si="0"/>
        <v>4280</v>
      </c>
      <c r="L413" s="270">
        <v>8461</v>
      </c>
      <c r="M413" s="270">
        <v>-470</v>
      </c>
      <c r="N413" s="274">
        <v>19</v>
      </c>
      <c r="O413" s="55"/>
      <c r="P413" s="45">
        <v>19</v>
      </c>
      <c r="Q413" s="270">
        <v>-102</v>
      </c>
      <c r="R413" s="275">
        <v>-2.8999999999999998E-3</v>
      </c>
      <c r="S413" s="270">
        <v>-114</v>
      </c>
      <c r="T413" s="270">
        <v>-95</v>
      </c>
      <c r="U413" s="57">
        <v>1</v>
      </c>
      <c r="V413" s="276">
        <v>0.25</v>
      </c>
      <c r="W413" s="276">
        <v>0</v>
      </c>
      <c r="X413" s="270">
        <v>-71</v>
      </c>
      <c r="Y413" s="270">
        <v>-24</v>
      </c>
      <c r="Z413" s="45" t="b">
        <v>1</v>
      </c>
      <c r="AA413" s="45" t="s">
        <v>38</v>
      </c>
      <c r="AB413" s="45" t="s">
        <v>38</v>
      </c>
    </row>
    <row r="414" spans="1:28" x14ac:dyDescent="0.2">
      <c r="A414" s="96" t="s">
        <v>286</v>
      </c>
      <c r="B414" s="96" t="s">
        <v>286</v>
      </c>
      <c r="C414" s="277">
        <v>44033</v>
      </c>
      <c r="D414" s="277">
        <v>44063</v>
      </c>
      <c r="E414" s="270" t="s">
        <v>267</v>
      </c>
      <c r="F414" s="133" t="s">
        <v>34</v>
      </c>
      <c r="G414" s="96" t="s">
        <v>35</v>
      </c>
      <c r="H414" s="110" t="s">
        <v>46</v>
      </c>
      <c r="I414" s="58">
        <v>25</v>
      </c>
      <c r="J414" s="69">
        <v>597</v>
      </c>
      <c r="K414" s="270">
        <f t="shared" si="0"/>
        <v>14925</v>
      </c>
      <c r="L414" s="270">
        <v>40400</v>
      </c>
      <c r="M414" s="270">
        <v>1025</v>
      </c>
      <c r="N414" s="274">
        <v>50</v>
      </c>
      <c r="O414" s="55"/>
      <c r="P414" s="45">
        <v>50</v>
      </c>
      <c r="Q414" s="270">
        <v>918</v>
      </c>
      <c r="R414" s="275">
        <v>-2.8999999999999998E-3</v>
      </c>
      <c r="S414" s="270">
        <v>874</v>
      </c>
      <c r="T414" s="270">
        <v>924</v>
      </c>
      <c r="U414" s="57">
        <v>1</v>
      </c>
      <c r="V414" s="276">
        <v>0.25</v>
      </c>
      <c r="W414" s="276">
        <v>0</v>
      </c>
      <c r="X414" s="270">
        <v>693</v>
      </c>
      <c r="Y414" s="270">
        <v>231</v>
      </c>
      <c r="Z414" s="45" t="b">
        <v>1</v>
      </c>
      <c r="AA414" s="45" t="s">
        <v>38</v>
      </c>
      <c r="AB414" s="45" t="s">
        <v>38</v>
      </c>
    </row>
    <row r="415" spans="1:28" x14ac:dyDescent="0.2">
      <c r="A415" s="96" t="s">
        <v>286</v>
      </c>
      <c r="B415" s="96" t="s">
        <v>286</v>
      </c>
      <c r="C415" s="277">
        <v>44033</v>
      </c>
      <c r="D415" s="277">
        <v>44063</v>
      </c>
      <c r="E415" s="270" t="s">
        <v>267</v>
      </c>
      <c r="F415" s="133" t="s">
        <v>34</v>
      </c>
      <c r="G415" s="96" t="s">
        <v>35</v>
      </c>
      <c r="H415" s="110" t="s">
        <v>87</v>
      </c>
      <c r="I415" s="58">
        <v>25</v>
      </c>
      <c r="J415" s="69">
        <v>1158</v>
      </c>
      <c r="K415" s="270">
        <f t="shared" si="0"/>
        <v>28950</v>
      </c>
      <c r="L415" s="270">
        <v>36242</v>
      </c>
      <c r="M415" s="270">
        <v>950</v>
      </c>
      <c r="N415" s="274">
        <v>97</v>
      </c>
      <c r="O415" s="55"/>
      <c r="P415" s="45">
        <v>97</v>
      </c>
      <c r="Q415" s="270">
        <v>947</v>
      </c>
      <c r="R415" s="275">
        <v>-2.8999999999999998E-3</v>
      </c>
      <c r="S415" s="270">
        <v>863</v>
      </c>
      <c r="T415" s="270">
        <v>960</v>
      </c>
      <c r="U415" s="57">
        <v>1</v>
      </c>
      <c r="V415" s="276">
        <v>0.25</v>
      </c>
      <c r="W415" s="276">
        <v>0</v>
      </c>
      <c r="X415" s="270">
        <v>720</v>
      </c>
      <c r="Y415" s="270">
        <v>240</v>
      </c>
      <c r="Z415" s="45" t="b">
        <v>1</v>
      </c>
      <c r="AA415" s="45" t="s">
        <v>38</v>
      </c>
      <c r="AB415" s="45" t="s">
        <v>38</v>
      </c>
    </row>
    <row r="416" spans="1:28" x14ac:dyDescent="0.2">
      <c r="A416" s="96" t="s">
        <v>286</v>
      </c>
      <c r="B416" s="96" t="s">
        <v>286</v>
      </c>
      <c r="C416" s="277">
        <v>44033</v>
      </c>
      <c r="D416" s="277">
        <v>44063</v>
      </c>
      <c r="E416" s="270" t="s">
        <v>267</v>
      </c>
      <c r="F416" s="133" t="s">
        <v>34</v>
      </c>
      <c r="G416" s="96" t="s">
        <v>35</v>
      </c>
      <c r="H416" s="272" t="s">
        <v>963</v>
      </c>
      <c r="I416" s="58">
        <v>50</v>
      </c>
      <c r="J416" s="69">
        <v>511</v>
      </c>
      <c r="K416" s="270">
        <f t="shared" si="0"/>
        <v>25550</v>
      </c>
      <c r="L416" s="270">
        <v>7133</v>
      </c>
      <c r="M416" s="270">
        <v>4750</v>
      </c>
      <c r="N416" s="274">
        <v>85</v>
      </c>
      <c r="O416" s="55"/>
      <c r="P416" s="45">
        <v>85</v>
      </c>
      <c r="Q416" s="270">
        <v>-969</v>
      </c>
      <c r="R416" s="275">
        <v>-2.8999999999999998E-3</v>
      </c>
      <c r="S416" s="270">
        <v>-1043</v>
      </c>
      <c r="T416" s="270">
        <v>-958</v>
      </c>
      <c r="U416" s="57">
        <v>1</v>
      </c>
      <c r="V416" s="276">
        <v>0.25</v>
      </c>
      <c r="W416" s="276">
        <v>0</v>
      </c>
      <c r="X416" s="270">
        <v>-718</v>
      </c>
      <c r="Y416" s="270">
        <v>-239</v>
      </c>
      <c r="Z416" s="45" t="b">
        <v>1</v>
      </c>
      <c r="AA416" s="45" t="s">
        <v>38</v>
      </c>
      <c r="AB416" s="45" t="s">
        <v>38</v>
      </c>
    </row>
    <row r="417" spans="1:28" x14ac:dyDescent="0.2">
      <c r="A417" s="96" t="s">
        <v>286</v>
      </c>
      <c r="B417" s="96" t="s">
        <v>286</v>
      </c>
      <c r="C417" s="277">
        <v>44033</v>
      </c>
      <c r="D417" s="277">
        <v>44063</v>
      </c>
      <c r="E417" s="270" t="s">
        <v>267</v>
      </c>
      <c r="F417" s="133" t="s">
        <v>34</v>
      </c>
      <c r="G417" s="96" t="s">
        <v>35</v>
      </c>
      <c r="H417" s="110" t="s">
        <v>971</v>
      </c>
      <c r="I417" s="58">
        <v>50</v>
      </c>
      <c r="J417" s="69">
        <v>163</v>
      </c>
      <c r="K417" s="270">
        <f t="shared" si="0"/>
        <v>8150</v>
      </c>
      <c r="L417" s="270">
        <v>4237</v>
      </c>
      <c r="M417" s="270">
        <v>-1000</v>
      </c>
      <c r="N417" s="274">
        <v>27</v>
      </c>
      <c r="O417" s="55"/>
      <c r="P417" s="45">
        <v>27</v>
      </c>
      <c r="Q417" s="270">
        <v>138</v>
      </c>
      <c r="R417" s="275">
        <v>-2.8999999999999998E-3</v>
      </c>
      <c r="S417" s="270">
        <v>115</v>
      </c>
      <c r="T417" s="270">
        <v>142</v>
      </c>
      <c r="U417" s="57">
        <v>1</v>
      </c>
      <c r="V417" s="276">
        <v>0.25</v>
      </c>
      <c r="W417" s="276">
        <v>0</v>
      </c>
      <c r="X417" s="270">
        <v>106</v>
      </c>
      <c r="Y417" s="270">
        <v>35</v>
      </c>
      <c r="Z417" s="45" t="b">
        <v>1</v>
      </c>
      <c r="AA417" s="45" t="s">
        <v>38</v>
      </c>
      <c r="AB417" s="45" t="s">
        <v>38</v>
      </c>
    </row>
    <row r="418" spans="1:28" x14ac:dyDescent="0.2">
      <c r="A418" s="96" t="s">
        <v>82</v>
      </c>
      <c r="B418" s="96" t="s">
        <v>82</v>
      </c>
      <c r="C418" s="277">
        <v>44033</v>
      </c>
      <c r="D418" s="277">
        <v>44063</v>
      </c>
      <c r="E418" s="270" t="s">
        <v>300</v>
      </c>
      <c r="F418" s="133" t="s">
        <v>34</v>
      </c>
      <c r="G418" s="96" t="s">
        <v>35</v>
      </c>
      <c r="H418" s="272" t="s">
        <v>46</v>
      </c>
      <c r="I418" s="58">
        <v>25</v>
      </c>
      <c r="J418" s="69">
        <v>616</v>
      </c>
      <c r="K418" s="270">
        <f t="shared" si="0"/>
        <v>15400</v>
      </c>
      <c r="L418" s="279">
        <v>16073</v>
      </c>
      <c r="M418" s="279">
        <v>650</v>
      </c>
      <c r="N418" s="274">
        <v>186</v>
      </c>
      <c r="O418" s="55"/>
      <c r="P418" s="45">
        <v>186</v>
      </c>
      <c r="Q418" s="279">
        <v>-240</v>
      </c>
      <c r="R418" s="275">
        <v>-2.8999999999999998E-3</v>
      </c>
      <c r="S418" s="279">
        <v>-285</v>
      </c>
      <c r="T418" s="279">
        <v>-99</v>
      </c>
      <c r="U418" s="57">
        <v>1</v>
      </c>
      <c r="V418" s="276">
        <v>0.25</v>
      </c>
      <c r="W418" s="276">
        <v>0.1</v>
      </c>
      <c r="X418" s="279">
        <v>-64</v>
      </c>
      <c r="Y418" s="279">
        <v>-35</v>
      </c>
      <c r="Z418" s="45" t="b">
        <v>1</v>
      </c>
      <c r="AA418" s="45" t="s">
        <v>38</v>
      </c>
      <c r="AB418" s="45" t="s">
        <v>38</v>
      </c>
    </row>
    <row r="419" spans="1:28" x14ac:dyDescent="0.2">
      <c r="A419" s="96" t="s">
        <v>82</v>
      </c>
      <c r="B419" s="96" t="s">
        <v>82</v>
      </c>
      <c r="C419" s="277">
        <v>44033</v>
      </c>
      <c r="D419" s="277">
        <v>44063</v>
      </c>
      <c r="E419" s="270" t="s">
        <v>300</v>
      </c>
      <c r="F419" s="133" t="s">
        <v>34</v>
      </c>
      <c r="G419" s="96" t="s">
        <v>35</v>
      </c>
      <c r="H419" s="272" t="s">
        <v>963</v>
      </c>
      <c r="I419" s="58">
        <v>50</v>
      </c>
      <c r="J419" s="69">
        <v>2085</v>
      </c>
      <c r="K419" s="270">
        <f t="shared" si="0"/>
        <v>104250</v>
      </c>
      <c r="L419" s="279">
        <v>119907</v>
      </c>
      <c r="M419" s="279">
        <v>7150</v>
      </c>
      <c r="N419" s="274">
        <v>1260</v>
      </c>
      <c r="O419" s="55"/>
      <c r="P419" s="105">
        <v>1260</v>
      </c>
      <c r="Q419" s="279">
        <v>4535</v>
      </c>
      <c r="R419" s="275">
        <v>-2.8999999999999998E-3</v>
      </c>
      <c r="S419" s="279">
        <v>4233</v>
      </c>
      <c r="T419" s="279">
        <v>5493</v>
      </c>
      <c r="U419" s="57">
        <v>1</v>
      </c>
      <c r="V419" s="276">
        <v>0.25</v>
      </c>
      <c r="W419" s="276">
        <v>0.1</v>
      </c>
      <c r="X419" s="279">
        <v>3570</v>
      </c>
      <c r="Y419" s="279">
        <v>1922</v>
      </c>
      <c r="Z419" s="45" t="b">
        <v>1</v>
      </c>
      <c r="AA419" s="45" t="s">
        <v>38</v>
      </c>
      <c r="AB419" s="45" t="s">
        <v>38</v>
      </c>
    </row>
    <row r="420" spans="1:28" x14ac:dyDescent="0.2">
      <c r="A420" s="96" t="s">
        <v>154</v>
      </c>
      <c r="B420" s="96" t="s">
        <v>154</v>
      </c>
      <c r="C420" s="277">
        <v>44033</v>
      </c>
      <c r="D420" s="277">
        <v>44063</v>
      </c>
      <c r="E420" s="270" t="s">
        <v>267</v>
      </c>
      <c r="F420" s="133" t="s">
        <v>34</v>
      </c>
      <c r="G420" s="96" t="s">
        <v>35</v>
      </c>
      <c r="H420" s="272" t="s">
        <v>86</v>
      </c>
      <c r="I420" s="58">
        <v>5</v>
      </c>
      <c r="J420" s="69">
        <v>5</v>
      </c>
      <c r="K420" s="270">
        <f t="shared" si="0"/>
        <v>25</v>
      </c>
      <c r="L420" s="279">
        <v>-158</v>
      </c>
      <c r="M420" s="279">
        <v>-10</v>
      </c>
      <c r="N420" s="274"/>
      <c r="O420" s="55"/>
      <c r="P420" s="96"/>
      <c r="Q420" s="279">
        <v>-3</v>
      </c>
      <c r="R420" s="275">
        <v>-2.8999999999999998E-3</v>
      </c>
      <c r="S420" s="279">
        <v>-3</v>
      </c>
      <c r="T420" s="279">
        <v>-3</v>
      </c>
      <c r="U420" s="57">
        <v>1</v>
      </c>
      <c r="V420" s="276">
        <v>0.2</v>
      </c>
      <c r="W420" s="276">
        <v>0</v>
      </c>
      <c r="X420" s="279">
        <v>-3</v>
      </c>
      <c r="Y420" s="279">
        <v>-1</v>
      </c>
      <c r="Z420" s="45" t="b">
        <v>1</v>
      </c>
      <c r="AA420" s="45" t="s">
        <v>38</v>
      </c>
      <c r="AB420" s="45" t="s">
        <v>38</v>
      </c>
    </row>
    <row r="421" spans="1:28" x14ac:dyDescent="0.2">
      <c r="A421" s="96" t="s">
        <v>154</v>
      </c>
      <c r="B421" s="96" t="s">
        <v>154</v>
      </c>
      <c r="C421" s="277">
        <v>44033</v>
      </c>
      <c r="D421" s="277">
        <v>44063</v>
      </c>
      <c r="E421" s="270" t="s">
        <v>267</v>
      </c>
      <c r="F421" s="133" t="s">
        <v>34</v>
      </c>
      <c r="G421" s="96" t="s">
        <v>35</v>
      </c>
      <c r="H421" s="272" t="s">
        <v>192</v>
      </c>
      <c r="I421" s="58">
        <v>10</v>
      </c>
      <c r="J421" s="69">
        <v>1071</v>
      </c>
      <c r="K421" s="270">
        <f t="shared" si="0"/>
        <v>10710</v>
      </c>
      <c r="L421" s="279">
        <v>55028</v>
      </c>
      <c r="M421" s="279">
        <v>330</v>
      </c>
      <c r="N421" s="274">
        <v>89</v>
      </c>
      <c r="O421" s="55"/>
      <c r="P421" s="45">
        <v>89</v>
      </c>
      <c r="Q421" s="279">
        <v>2</v>
      </c>
      <c r="R421" s="275">
        <v>-2.8999999999999998E-3</v>
      </c>
      <c r="S421" s="279">
        <v>-29</v>
      </c>
      <c r="T421" s="279">
        <v>60</v>
      </c>
      <c r="U421" s="57">
        <v>1</v>
      </c>
      <c r="V421" s="276">
        <v>0.2</v>
      </c>
      <c r="W421" s="276">
        <v>0</v>
      </c>
      <c r="X421" s="279">
        <v>48</v>
      </c>
      <c r="Y421" s="279">
        <v>12</v>
      </c>
      <c r="Z421" s="45" t="b">
        <v>1</v>
      </c>
      <c r="AA421" s="45" t="s">
        <v>38</v>
      </c>
      <c r="AB421" s="45" t="s">
        <v>38</v>
      </c>
    </row>
    <row r="422" spans="1:28" x14ac:dyDescent="0.2">
      <c r="A422" s="96" t="s">
        <v>154</v>
      </c>
      <c r="B422" s="96" t="s">
        <v>154</v>
      </c>
      <c r="C422" s="277">
        <v>44033</v>
      </c>
      <c r="D422" s="277">
        <v>44063</v>
      </c>
      <c r="E422" s="270" t="s">
        <v>267</v>
      </c>
      <c r="F422" s="133" t="s">
        <v>34</v>
      </c>
      <c r="G422" s="96" t="s">
        <v>35</v>
      </c>
      <c r="H422" s="272" t="s">
        <v>46</v>
      </c>
      <c r="I422" s="58">
        <v>25</v>
      </c>
      <c r="J422" s="69">
        <v>346</v>
      </c>
      <c r="K422" s="270">
        <f t="shared" si="0"/>
        <v>8650</v>
      </c>
      <c r="L422" s="279">
        <v>7810</v>
      </c>
      <c r="M422" s="279">
        <v>-375</v>
      </c>
      <c r="N422" s="274">
        <v>54</v>
      </c>
      <c r="O422" s="55"/>
      <c r="P422" s="45">
        <v>54</v>
      </c>
      <c r="Q422" s="279">
        <v>-255</v>
      </c>
      <c r="R422" s="275">
        <v>-2.8999999999999998E-3</v>
      </c>
      <c r="S422" s="279">
        <v>-280</v>
      </c>
      <c r="T422" s="279">
        <v>-226</v>
      </c>
      <c r="U422" s="57">
        <v>1</v>
      </c>
      <c r="V422" s="276">
        <v>0.2</v>
      </c>
      <c r="W422" s="276">
        <v>0</v>
      </c>
      <c r="X422" s="279">
        <v>-181</v>
      </c>
      <c r="Y422" s="279">
        <v>-45</v>
      </c>
      <c r="Z422" s="45" t="b">
        <v>1</v>
      </c>
      <c r="AA422" s="45" t="s">
        <v>38</v>
      </c>
      <c r="AB422" s="45" t="s">
        <v>38</v>
      </c>
    </row>
    <row r="423" spans="1:28" x14ac:dyDescent="0.2">
      <c r="A423" s="96" t="s">
        <v>178</v>
      </c>
      <c r="B423" s="96" t="s">
        <v>178</v>
      </c>
      <c r="C423" s="277">
        <v>44033</v>
      </c>
      <c r="D423" s="277">
        <v>44063</v>
      </c>
      <c r="E423" s="270" t="s">
        <v>267</v>
      </c>
      <c r="F423" s="133" t="s">
        <v>34</v>
      </c>
      <c r="G423" s="96" t="s">
        <v>35</v>
      </c>
      <c r="H423" s="272" t="s">
        <v>86</v>
      </c>
      <c r="I423" s="58">
        <v>5</v>
      </c>
      <c r="J423" s="69">
        <v>47</v>
      </c>
      <c r="K423" s="270">
        <f t="shared" si="0"/>
        <v>235</v>
      </c>
      <c r="L423" s="279">
        <v>6212</v>
      </c>
      <c r="M423" s="279">
        <v>25</v>
      </c>
      <c r="N423" s="274"/>
      <c r="O423" s="55"/>
      <c r="P423" s="96"/>
      <c r="Q423" s="279">
        <v>40</v>
      </c>
      <c r="R423" s="275">
        <v>-1.5E-3</v>
      </c>
      <c r="S423" s="279">
        <v>39</v>
      </c>
      <c r="T423" s="279">
        <v>39</v>
      </c>
      <c r="U423" s="57">
        <v>1</v>
      </c>
      <c r="V423" s="276">
        <v>0.25</v>
      </c>
      <c r="W423" s="276">
        <v>0</v>
      </c>
      <c r="X423" s="279">
        <v>29</v>
      </c>
      <c r="Y423" s="279">
        <v>10</v>
      </c>
      <c r="Z423" s="45" t="b">
        <v>1</v>
      </c>
      <c r="AA423" s="45" t="s">
        <v>38</v>
      </c>
      <c r="AB423" s="45" t="s">
        <v>38</v>
      </c>
    </row>
    <row r="424" spans="1:28" x14ac:dyDescent="0.2">
      <c r="A424" s="96" t="s">
        <v>178</v>
      </c>
      <c r="B424" s="96" t="s">
        <v>178</v>
      </c>
      <c r="C424" s="277">
        <v>44033</v>
      </c>
      <c r="D424" s="277">
        <v>44063</v>
      </c>
      <c r="E424" s="270" t="s">
        <v>267</v>
      </c>
      <c r="F424" s="133" t="s">
        <v>34</v>
      </c>
      <c r="G424" s="96" t="s">
        <v>35</v>
      </c>
      <c r="H424" s="272" t="s">
        <v>192</v>
      </c>
      <c r="I424" s="58">
        <v>10</v>
      </c>
      <c r="J424" s="69">
        <v>1251</v>
      </c>
      <c r="K424" s="270">
        <f t="shared" si="0"/>
        <v>12510</v>
      </c>
      <c r="L424" s="279">
        <v>55353</v>
      </c>
      <c r="M424" s="279">
        <v>360</v>
      </c>
      <c r="N424" s="274"/>
      <c r="O424" s="55"/>
      <c r="P424" s="96"/>
      <c r="Q424" s="279">
        <v>-38</v>
      </c>
      <c r="R424" s="275">
        <v>-1.5E-3</v>
      </c>
      <c r="S424" s="279">
        <v>-57</v>
      </c>
      <c r="T424" s="279">
        <v>-57</v>
      </c>
      <c r="U424" s="57">
        <v>1</v>
      </c>
      <c r="V424" s="276">
        <v>0.25</v>
      </c>
      <c r="W424" s="276">
        <v>0</v>
      </c>
      <c r="X424" s="279">
        <v>-43</v>
      </c>
      <c r="Y424" s="279">
        <v>-14</v>
      </c>
      <c r="Z424" s="45" t="b">
        <v>1</v>
      </c>
      <c r="AA424" s="45" t="s">
        <v>38</v>
      </c>
      <c r="AB424" s="45" t="s">
        <v>38</v>
      </c>
    </row>
    <row r="425" spans="1:28" x14ac:dyDescent="0.2">
      <c r="A425" s="96" t="s">
        <v>508</v>
      </c>
      <c r="B425" s="96" t="s">
        <v>508</v>
      </c>
      <c r="C425" s="277">
        <v>44033</v>
      </c>
      <c r="D425" s="277">
        <v>44063</v>
      </c>
      <c r="E425" s="270" t="s">
        <v>300</v>
      </c>
      <c r="F425" s="96" t="s">
        <v>34</v>
      </c>
      <c r="G425" s="96" t="s">
        <v>35</v>
      </c>
      <c r="H425" s="110" t="s">
        <v>70</v>
      </c>
      <c r="I425" s="58">
        <v>100</v>
      </c>
      <c r="J425" s="69">
        <v>2573</v>
      </c>
      <c r="K425" s="270">
        <f t="shared" si="0"/>
        <v>257300</v>
      </c>
      <c r="L425" s="270">
        <v>85625</v>
      </c>
      <c r="M425" s="270">
        <v>-5000</v>
      </c>
      <c r="N425" s="274">
        <v>2640</v>
      </c>
      <c r="O425" s="55"/>
      <c r="P425" s="105">
        <v>2640</v>
      </c>
      <c r="Q425" s="270">
        <v>2161</v>
      </c>
      <c r="R425" s="275">
        <v>-2.8999999999999998E-3</v>
      </c>
      <c r="S425" s="270">
        <v>1415</v>
      </c>
      <c r="T425" s="270">
        <v>4055</v>
      </c>
      <c r="U425" s="57">
        <v>1</v>
      </c>
      <c r="V425" s="276">
        <v>0.18</v>
      </c>
      <c r="W425" s="276">
        <v>0.08</v>
      </c>
      <c r="X425" s="270">
        <v>3001</v>
      </c>
      <c r="Y425" s="270">
        <v>1054</v>
      </c>
      <c r="Z425" s="45" t="b">
        <v>1</v>
      </c>
      <c r="AA425" s="45" t="s">
        <v>38</v>
      </c>
      <c r="AB425" s="45" t="s">
        <v>38</v>
      </c>
    </row>
    <row r="426" spans="1:28" x14ac:dyDescent="0.2">
      <c r="A426" s="96" t="s">
        <v>206</v>
      </c>
      <c r="B426" s="96" t="s">
        <v>206</v>
      </c>
      <c r="C426" s="277">
        <v>44033</v>
      </c>
      <c r="D426" s="277">
        <v>44063</v>
      </c>
      <c r="E426" s="270" t="s">
        <v>267</v>
      </c>
      <c r="F426" s="133" t="s">
        <v>34</v>
      </c>
      <c r="G426" s="96" t="s">
        <v>35</v>
      </c>
      <c r="H426" s="272" t="s">
        <v>963</v>
      </c>
      <c r="I426" s="58">
        <v>50</v>
      </c>
      <c r="J426" s="69">
        <v>960</v>
      </c>
      <c r="K426" s="270">
        <f t="shared" si="0"/>
        <v>48000</v>
      </c>
      <c r="L426" s="270">
        <v>54411</v>
      </c>
      <c r="M426" s="270">
        <v>550</v>
      </c>
      <c r="N426" s="274">
        <v>718</v>
      </c>
      <c r="O426" s="55"/>
      <c r="P426" s="45">
        <v>718</v>
      </c>
      <c r="Q426" s="270">
        <v>1712</v>
      </c>
      <c r="R426" s="275">
        <v>-2.8999999999999998E-3</v>
      </c>
      <c r="S426" s="270">
        <v>1573</v>
      </c>
      <c r="T426" s="270">
        <v>2291</v>
      </c>
      <c r="U426" s="57">
        <v>1</v>
      </c>
      <c r="V426" s="276">
        <v>0.26</v>
      </c>
      <c r="W426" s="276">
        <v>0</v>
      </c>
      <c r="X426" s="270">
        <v>1695</v>
      </c>
      <c r="Y426" s="270">
        <v>596</v>
      </c>
      <c r="Z426" s="45" t="b">
        <v>1</v>
      </c>
      <c r="AA426" s="45" t="s">
        <v>38</v>
      </c>
      <c r="AB426" s="45" t="s">
        <v>38</v>
      </c>
    </row>
    <row r="427" spans="1:28" x14ac:dyDescent="0.2">
      <c r="A427" s="96" t="s">
        <v>206</v>
      </c>
      <c r="B427" s="96" t="s">
        <v>206</v>
      </c>
      <c r="C427" s="277">
        <v>44033</v>
      </c>
      <c r="D427" s="277">
        <v>44063</v>
      </c>
      <c r="E427" s="270" t="s">
        <v>267</v>
      </c>
      <c r="F427" s="133" t="s">
        <v>34</v>
      </c>
      <c r="G427" s="96" t="s">
        <v>35</v>
      </c>
      <c r="H427" s="272" t="s">
        <v>70</v>
      </c>
      <c r="I427" s="58">
        <v>100</v>
      </c>
      <c r="J427" s="69">
        <v>825</v>
      </c>
      <c r="K427" s="270">
        <f t="shared" si="0"/>
        <v>82500</v>
      </c>
      <c r="L427" s="270">
        <v>32284</v>
      </c>
      <c r="M427" s="270">
        <v>-600</v>
      </c>
      <c r="N427" s="274">
        <v>1029</v>
      </c>
      <c r="O427" s="55"/>
      <c r="P427" s="105">
        <v>1029</v>
      </c>
      <c r="Q427" s="270">
        <v>1109</v>
      </c>
      <c r="R427" s="275">
        <v>-2.8999999999999998E-3</v>
      </c>
      <c r="S427" s="270">
        <v>870</v>
      </c>
      <c r="T427" s="270">
        <v>1899</v>
      </c>
      <c r="U427" s="57">
        <v>1</v>
      </c>
      <c r="V427" s="276">
        <v>0.26</v>
      </c>
      <c r="W427" s="276">
        <v>0</v>
      </c>
      <c r="X427" s="270">
        <v>1405</v>
      </c>
      <c r="Y427" s="270">
        <v>494</v>
      </c>
      <c r="Z427" s="45" t="b">
        <v>1</v>
      </c>
      <c r="AA427" s="45" t="s">
        <v>38</v>
      </c>
      <c r="AB427" s="45" t="s">
        <v>38</v>
      </c>
    </row>
    <row r="428" spans="1:28" x14ac:dyDescent="0.2">
      <c r="A428" s="96" t="s">
        <v>206</v>
      </c>
      <c r="B428" s="96" t="s">
        <v>206</v>
      </c>
      <c r="C428" s="277">
        <v>44033</v>
      </c>
      <c r="D428" s="277">
        <v>44063</v>
      </c>
      <c r="E428" s="270" t="s">
        <v>267</v>
      </c>
      <c r="F428" s="133" t="s">
        <v>34</v>
      </c>
      <c r="G428" s="96" t="s">
        <v>35</v>
      </c>
      <c r="H428" s="272" t="s">
        <v>84</v>
      </c>
      <c r="I428" s="58">
        <v>100</v>
      </c>
      <c r="J428" s="69">
        <v>20</v>
      </c>
      <c r="K428" s="270">
        <f t="shared" si="0"/>
        <v>2000</v>
      </c>
      <c r="L428" s="270">
        <v>397</v>
      </c>
      <c r="M428" s="270">
        <v>-500</v>
      </c>
      <c r="N428" s="274">
        <v>25</v>
      </c>
      <c r="O428" s="55"/>
      <c r="P428" s="45">
        <v>25</v>
      </c>
      <c r="Q428" s="270">
        <v>5</v>
      </c>
      <c r="R428" s="275">
        <v>-2.8999999999999998E-3</v>
      </c>
      <c r="S428" s="270">
        <v>-1</v>
      </c>
      <c r="T428" s="270">
        <v>24</v>
      </c>
      <c r="U428" s="57">
        <v>1</v>
      </c>
      <c r="V428" s="276">
        <v>0.26</v>
      </c>
      <c r="W428" s="276">
        <v>0</v>
      </c>
      <c r="X428" s="270">
        <v>18</v>
      </c>
      <c r="Y428" s="270">
        <v>6</v>
      </c>
      <c r="Z428" s="45" t="b">
        <v>1</v>
      </c>
      <c r="AA428" s="45" t="s">
        <v>38</v>
      </c>
      <c r="AB428" s="45" t="s">
        <v>38</v>
      </c>
    </row>
    <row r="429" spans="1:28" x14ac:dyDescent="0.2">
      <c r="A429" s="96" t="s">
        <v>145</v>
      </c>
      <c r="B429" s="96" t="s">
        <v>145</v>
      </c>
      <c r="C429" s="277">
        <v>44044</v>
      </c>
      <c r="D429" s="277">
        <v>44074</v>
      </c>
      <c r="E429" s="270" t="s">
        <v>267</v>
      </c>
      <c r="F429" s="133" t="s">
        <v>49</v>
      </c>
      <c r="G429" s="279" t="s">
        <v>35</v>
      </c>
      <c r="H429" s="272" t="s">
        <v>70</v>
      </c>
      <c r="I429" s="273">
        <v>100</v>
      </c>
      <c r="J429" s="270">
        <v>1900</v>
      </c>
      <c r="K429" s="270">
        <f t="shared" si="0"/>
        <v>190000</v>
      </c>
      <c r="L429" s="270">
        <v>65074</v>
      </c>
      <c r="M429" s="270">
        <v>2200</v>
      </c>
      <c r="N429" s="274">
        <v>2810</v>
      </c>
      <c r="O429" s="55"/>
      <c r="P429" s="105">
        <v>2810</v>
      </c>
      <c r="Q429" s="270">
        <v>1937</v>
      </c>
      <c r="R429" s="275">
        <v>-3.604E-3</v>
      </c>
      <c r="S429" s="270">
        <v>1252</v>
      </c>
      <c r="T429" s="270">
        <v>4062</v>
      </c>
      <c r="U429" s="57">
        <v>1</v>
      </c>
      <c r="V429" s="276">
        <v>0.12</v>
      </c>
      <c r="W429" s="276">
        <v>0</v>
      </c>
      <c r="X429" s="270">
        <v>3575</v>
      </c>
      <c r="Y429" s="270">
        <v>487</v>
      </c>
      <c r="Z429" s="45" t="b">
        <v>1</v>
      </c>
      <c r="AA429" s="45" t="s">
        <v>38</v>
      </c>
      <c r="AB429" s="45" t="s">
        <v>38</v>
      </c>
    </row>
    <row r="430" spans="1:28" x14ac:dyDescent="0.2">
      <c r="A430" s="96" t="s">
        <v>355</v>
      </c>
      <c r="B430" s="96" t="s">
        <v>978</v>
      </c>
      <c r="C430" s="277">
        <v>44044</v>
      </c>
      <c r="D430" s="277">
        <v>44074</v>
      </c>
      <c r="E430" s="270" t="s">
        <v>267</v>
      </c>
      <c r="F430" s="133" t="s">
        <v>34</v>
      </c>
      <c r="G430" s="270" t="s">
        <v>69</v>
      </c>
      <c r="H430" s="272" t="s">
        <v>70</v>
      </c>
      <c r="I430" s="273">
        <v>100</v>
      </c>
      <c r="J430" s="270">
        <v>2703</v>
      </c>
      <c r="K430" s="270">
        <f t="shared" si="0"/>
        <v>270300</v>
      </c>
      <c r="L430" s="270">
        <v>90352</v>
      </c>
      <c r="M430" s="270">
        <v>-3100</v>
      </c>
      <c r="N430" s="274">
        <v>7455</v>
      </c>
      <c r="O430" s="55"/>
      <c r="P430" s="105">
        <v>7455</v>
      </c>
      <c r="Q430" s="270">
        <v>2474</v>
      </c>
      <c r="R430" s="275">
        <v>2.31E-3</v>
      </c>
      <c r="S430" s="270">
        <v>3098</v>
      </c>
      <c r="T430" s="270">
        <v>10553</v>
      </c>
      <c r="U430" s="57">
        <v>1</v>
      </c>
      <c r="V430" s="276">
        <v>0.125</v>
      </c>
      <c r="W430" s="276">
        <v>0</v>
      </c>
      <c r="X430" s="270">
        <v>9234</v>
      </c>
      <c r="Y430" s="270">
        <v>1319</v>
      </c>
      <c r="Z430" s="45" t="b">
        <v>1</v>
      </c>
      <c r="AA430" s="45" t="s">
        <v>38</v>
      </c>
      <c r="AB430" s="45" t="s">
        <v>38</v>
      </c>
    </row>
    <row r="431" spans="1:28" x14ac:dyDescent="0.2">
      <c r="A431" s="96" t="s">
        <v>355</v>
      </c>
      <c r="B431" s="96" t="s">
        <v>978</v>
      </c>
      <c r="C431" s="277">
        <v>44044</v>
      </c>
      <c r="D431" s="277">
        <v>44074</v>
      </c>
      <c r="E431" s="270" t="s">
        <v>267</v>
      </c>
      <c r="F431" s="133" t="s">
        <v>34</v>
      </c>
      <c r="G431" s="270" t="s">
        <v>69</v>
      </c>
      <c r="H431" s="272" t="s">
        <v>71</v>
      </c>
      <c r="I431" s="273">
        <v>20</v>
      </c>
      <c r="J431" s="270">
        <v>5</v>
      </c>
      <c r="K431" s="270">
        <f t="shared" si="0"/>
        <v>100</v>
      </c>
      <c r="L431" s="270">
        <v>-380</v>
      </c>
      <c r="M431" s="270">
        <v>0</v>
      </c>
      <c r="N431" s="274">
        <v>3.32</v>
      </c>
      <c r="O431" s="55"/>
      <c r="P431" s="45">
        <v>3</v>
      </c>
      <c r="Q431" s="270">
        <v>-21</v>
      </c>
      <c r="R431" s="275">
        <v>2.31E-3</v>
      </c>
      <c r="S431" s="270">
        <v>-20</v>
      </c>
      <c r="T431" s="270">
        <v>-17</v>
      </c>
      <c r="U431" s="57">
        <v>1</v>
      </c>
      <c r="V431" s="276">
        <v>0.125</v>
      </c>
      <c r="W431" s="276">
        <v>0</v>
      </c>
      <c r="X431" s="270">
        <v>-15</v>
      </c>
      <c r="Y431" s="270">
        <v>-2</v>
      </c>
      <c r="Z431" s="45" t="b">
        <v>1</v>
      </c>
      <c r="AA431" s="45" t="s">
        <v>38</v>
      </c>
      <c r="AB431" s="45" t="s">
        <v>38</v>
      </c>
    </row>
    <row r="432" spans="1:28" x14ac:dyDescent="0.2">
      <c r="A432" s="96" t="s">
        <v>355</v>
      </c>
      <c r="B432" s="96" t="s">
        <v>978</v>
      </c>
      <c r="C432" s="277">
        <v>44044</v>
      </c>
      <c r="D432" s="277">
        <v>44074</v>
      </c>
      <c r="E432" s="270" t="s">
        <v>267</v>
      </c>
      <c r="F432" s="133" t="s">
        <v>34</v>
      </c>
      <c r="G432" s="270" t="s">
        <v>69</v>
      </c>
      <c r="H432" s="272" t="s">
        <v>75</v>
      </c>
      <c r="I432" s="273">
        <v>20</v>
      </c>
      <c r="J432" s="270">
        <v>229</v>
      </c>
      <c r="K432" s="270">
        <f t="shared" si="0"/>
        <v>4580</v>
      </c>
      <c r="L432" s="270">
        <v>326</v>
      </c>
      <c r="M432" s="270">
        <v>240</v>
      </c>
      <c r="N432" s="274">
        <v>152.08000000000001</v>
      </c>
      <c r="O432" s="55"/>
      <c r="P432" s="45">
        <v>152</v>
      </c>
      <c r="Q432" s="270">
        <v>-273</v>
      </c>
      <c r="R432" s="275">
        <v>2.31E-3</v>
      </c>
      <c r="S432" s="270">
        <v>-262</v>
      </c>
      <c r="T432" s="270">
        <v>-110</v>
      </c>
      <c r="U432" s="57">
        <v>1</v>
      </c>
      <c r="V432" s="276">
        <v>0.125</v>
      </c>
      <c r="W432" s="276">
        <v>0</v>
      </c>
      <c r="X432" s="270">
        <v>-96</v>
      </c>
      <c r="Y432" s="270">
        <v>-14</v>
      </c>
      <c r="Z432" s="45" t="b">
        <v>1</v>
      </c>
      <c r="AA432" s="45" t="s">
        <v>38</v>
      </c>
      <c r="AB432" s="45" t="s">
        <v>38</v>
      </c>
    </row>
    <row r="433" spans="1:28" x14ac:dyDescent="0.2">
      <c r="A433" s="96" t="s">
        <v>355</v>
      </c>
      <c r="B433" s="96" t="s">
        <v>978</v>
      </c>
      <c r="C433" s="277">
        <v>44044</v>
      </c>
      <c r="D433" s="277">
        <v>44074</v>
      </c>
      <c r="E433" s="270" t="s">
        <v>267</v>
      </c>
      <c r="F433" s="133" t="s">
        <v>34</v>
      </c>
      <c r="G433" s="270" t="s">
        <v>69</v>
      </c>
      <c r="H433" s="272" t="s">
        <v>88</v>
      </c>
      <c r="I433" s="273">
        <v>250</v>
      </c>
      <c r="J433" s="270">
        <v>147</v>
      </c>
      <c r="K433" s="270">
        <f t="shared" si="0"/>
        <v>36750</v>
      </c>
      <c r="L433" s="270">
        <v>-8093</v>
      </c>
      <c r="M433" s="270">
        <v>-9250</v>
      </c>
      <c r="N433" s="274">
        <v>813.54</v>
      </c>
      <c r="O433" s="55"/>
      <c r="P433" s="45">
        <v>814</v>
      </c>
      <c r="Q433" s="270">
        <v>-5402</v>
      </c>
      <c r="R433" s="275">
        <v>2.31E-3</v>
      </c>
      <c r="S433" s="270">
        <v>-5317</v>
      </c>
      <c r="T433" s="270">
        <v>-4503</v>
      </c>
      <c r="U433" s="57">
        <v>1</v>
      </c>
      <c r="V433" s="276">
        <v>0.125</v>
      </c>
      <c r="W433" s="276">
        <v>0</v>
      </c>
      <c r="X433" s="270">
        <v>-3940</v>
      </c>
      <c r="Y433" s="270">
        <v>-563</v>
      </c>
      <c r="Z433" s="45" t="b">
        <v>1</v>
      </c>
      <c r="AA433" s="45" t="s">
        <v>38</v>
      </c>
      <c r="AB433" s="45" t="s">
        <v>38</v>
      </c>
    </row>
    <row r="434" spans="1:28" x14ac:dyDescent="0.2">
      <c r="A434" s="96" t="s">
        <v>355</v>
      </c>
      <c r="B434" s="96" t="s">
        <v>978</v>
      </c>
      <c r="C434" s="277">
        <v>44044</v>
      </c>
      <c r="D434" s="277">
        <v>44074</v>
      </c>
      <c r="E434" s="270" t="s">
        <v>267</v>
      </c>
      <c r="F434" s="133" t="s">
        <v>34</v>
      </c>
      <c r="G434" s="270" t="s">
        <v>69</v>
      </c>
      <c r="H434" s="272" t="s">
        <v>72</v>
      </c>
      <c r="I434" s="273">
        <v>50</v>
      </c>
      <c r="J434" s="270">
        <v>301</v>
      </c>
      <c r="K434" s="270">
        <f t="shared" si="0"/>
        <v>15050</v>
      </c>
      <c r="L434" s="270">
        <v>15909</v>
      </c>
      <c r="M434" s="270">
        <v>1400</v>
      </c>
      <c r="N434" s="274">
        <v>416.46</v>
      </c>
      <c r="O434" s="55"/>
      <c r="P434" s="45">
        <v>416</v>
      </c>
      <c r="Q434" s="270">
        <v>690</v>
      </c>
      <c r="R434" s="275">
        <v>2.31E-3</v>
      </c>
      <c r="S434" s="270">
        <v>725</v>
      </c>
      <c r="T434" s="270">
        <v>1141</v>
      </c>
      <c r="U434" s="57">
        <v>1</v>
      </c>
      <c r="V434" s="276">
        <v>0.125</v>
      </c>
      <c r="W434" s="276">
        <v>0</v>
      </c>
      <c r="X434" s="270">
        <v>999</v>
      </c>
      <c r="Y434" s="270">
        <v>143</v>
      </c>
      <c r="Z434" s="45" t="b">
        <v>1</v>
      </c>
      <c r="AA434" s="45" t="s">
        <v>38</v>
      </c>
      <c r="AB434" s="45" t="s">
        <v>38</v>
      </c>
    </row>
    <row r="435" spans="1:28" x14ac:dyDescent="0.2">
      <c r="A435" s="96" t="s">
        <v>447</v>
      </c>
      <c r="B435" s="96" t="s">
        <v>910</v>
      </c>
      <c r="C435" s="277">
        <v>44044</v>
      </c>
      <c r="D435" s="277">
        <v>44074</v>
      </c>
      <c r="E435" s="270" t="s">
        <v>300</v>
      </c>
      <c r="F435" s="133" t="s">
        <v>49</v>
      </c>
      <c r="G435" s="279" t="s">
        <v>61</v>
      </c>
      <c r="H435" s="272" t="s">
        <v>93</v>
      </c>
      <c r="I435" s="273">
        <v>25</v>
      </c>
      <c r="J435" s="270">
        <v>2977</v>
      </c>
      <c r="K435" s="270">
        <f t="shared" si="0"/>
        <v>74425</v>
      </c>
      <c r="L435" s="270">
        <v>117375</v>
      </c>
      <c r="M435" s="270">
        <v>-950</v>
      </c>
      <c r="N435" s="274">
        <v>2045</v>
      </c>
      <c r="O435" s="55"/>
      <c r="P435" s="105">
        <v>2045</v>
      </c>
      <c r="Q435" s="270">
        <v>-1224</v>
      </c>
      <c r="R435" s="275">
        <v>-3.5109999999999998E-3</v>
      </c>
      <c r="S435" s="270">
        <v>-1485</v>
      </c>
      <c r="T435" s="270">
        <v>560</v>
      </c>
      <c r="U435" s="57">
        <v>1</v>
      </c>
      <c r="V435" s="276">
        <v>0.21</v>
      </c>
      <c r="W435" s="276">
        <v>0.11</v>
      </c>
      <c r="X435" s="270">
        <v>381</v>
      </c>
      <c r="Y435" s="270">
        <v>179</v>
      </c>
      <c r="Z435" s="45" t="b">
        <v>1</v>
      </c>
      <c r="AA435" s="45" t="s">
        <v>50</v>
      </c>
      <c r="AB435" s="45" t="s">
        <v>50</v>
      </c>
    </row>
    <row r="436" spans="1:28" x14ac:dyDescent="0.2">
      <c r="A436" s="96" t="s">
        <v>355</v>
      </c>
      <c r="B436" s="96" t="s">
        <v>978</v>
      </c>
      <c r="C436" s="277">
        <v>44075</v>
      </c>
      <c r="D436" s="277">
        <v>44078</v>
      </c>
      <c r="E436" s="270" t="s">
        <v>267</v>
      </c>
      <c r="F436" s="133" t="s">
        <v>34</v>
      </c>
      <c r="G436" s="270" t="s">
        <v>69</v>
      </c>
      <c r="H436" s="272" t="s">
        <v>70</v>
      </c>
      <c r="I436" s="273">
        <v>100</v>
      </c>
      <c r="J436" s="270">
        <v>435</v>
      </c>
      <c r="K436" s="270">
        <f t="shared" si="0"/>
        <v>43500</v>
      </c>
      <c r="L436" s="270">
        <v>14651</v>
      </c>
      <c r="M436" s="270">
        <v>-300</v>
      </c>
      <c r="N436" s="274">
        <v>1538.69</v>
      </c>
      <c r="O436" s="55"/>
      <c r="P436" s="105">
        <v>1539</v>
      </c>
      <c r="Q436" s="270">
        <v>419</v>
      </c>
      <c r="R436" s="275">
        <v>-1.0200000000000001E-3</v>
      </c>
      <c r="S436" s="270">
        <v>375</v>
      </c>
      <c r="T436" s="270">
        <v>1913</v>
      </c>
      <c r="U436" s="57">
        <v>1</v>
      </c>
      <c r="V436" s="276">
        <v>0.125</v>
      </c>
      <c r="W436" s="276">
        <v>0</v>
      </c>
      <c r="X436" s="270">
        <v>1674</v>
      </c>
      <c r="Y436" s="270">
        <v>239</v>
      </c>
      <c r="Z436" s="45" t="b">
        <v>1</v>
      </c>
      <c r="AA436" s="45" t="s">
        <v>38</v>
      </c>
      <c r="AB436" s="45" t="s">
        <v>38</v>
      </c>
    </row>
    <row r="437" spans="1:28" x14ac:dyDescent="0.2">
      <c r="A437" s="96" t="s">
        <v>355</v>
      </c>
      <c r="B437" s="96" t="s">
        <v>978</v>
      </c>
      <c r="C437" s="277">
        <v>44075</v>
      </c>
      <c r="D437" s="277">
        <v>44078</v>
      </c>
      <c r="E437" s="270" t="s">
        <v>267</v>
      </c>
      <c r="F437" s="133" t="s">
        <v>34</v>
      </c>
      <c r="G437" s="270" t="s">
        <v>69</v>
      </c>
      <c r="H437" s="272" t="s">
        <v>88</v>
      </c>
      <c r="I437" s="273">
        <v>250</v>
      </c>
      <c r="J437" s="270">
        <v>73</v>
      </c>
      <c r="K437" s="270">
        <f t="shared" si="0"/>
        <v>18250</v>
      </c>
      <c r="L437" s="270">
        <v>3692</v>
      </c>
      <c r="M437" s="270">
        <v>3250</v>
      </c>
      <c r="N437" s="274">
        <v>516.42999999999995</v>
      </c>
      <c r="O437" s="55"/>
      <c r="P437" s="45">
        <v>516</v>
      </c>
      <c r="Q437" s="270">
        <v>1008</v>
      </c>
      <c r="R437" s="275">
        <v>-1.0200000000000001E-3</v>
      </c>
      <c r="S437" s="270">
        <v>989</v>
      </c>
      <c r="T437" s="270">
        <v>1505</v>
      </c>
      <c r="U437" s="57">
        <v>1</v>
      </c>
      <c r="V437" s="276">
        <v>0.125</v>
      </c>
      <c r="W437" s="276">
        <v>0</v>
      </c>
      <c r="X437" s="270">
        <v>1317</v>
      </c>
      <c r="Y437" s="270">
        <v>188</v>
      </c>
      <c r="Z437" s="45" t="b">
        <v>1</v>
      </c>
      <c r="AA437" s="45" t="s">
        <v>38</v>
      </c>
      <c r="AB437" s="45" t="s">
        <v>38</v>
      </c>
    </row>
    <row r="438" spans="1:28" x14ac:dyDescent="0.2">
      <c r="A438" s="96" t="s">
        <v>355</v>
      </c>
      <c r="B438" s="96" t="s">
        <v>978</v>
      </c>
      <c r="C438" s="277">
        <v>44075</v>
      </c>
      <c r="D438" s="277">
        <v>44078</v>
      </c>
      <c r="E438" s="270" t="s">
        <v>267</v>
      </c>
      <c r="F438" s="133" t="s">
        <v>34</v>
      </c>
      <c r="G438" s="270" t="s">
        <v>69</v>
      </c>
      <c r="H438" s="272" t="s">
        <v>72</v>
      </c>
      <c r="I438" s="273">
        <v>50</v>
      </c>
      <c r="J438" s="270">
        <v>45</v>
      </c>
      <c r="K438" s="270">
        <f t="shared" si="0"/>
        <v>2250</v>
      </c>
      <c r="L438" s="270">
        <v>4415</v>
      </c>
      <c r="M438" s="270">
        <v>1100</v>
      </c>
      <c r="N438" s="274">
        <v>79.59</v>
      </c>
      <c r="O438" s="55"/>
      <c r="P438" s="45">
        <v>80</v>
      </c>
      <c r="Q438" s="270">
        <v>296</v>
      </c>
      <c r="R438" s="275">
        <v>-1.0200000000000001E-3</v>
      </c>
      <c r="S438" s="270">
        <v>293</v>
      </c>
      <c r="T438" s="270">
        <v>373</v>
      </c>
      <c r="U438" s="57">
        <v>1</v>
      </c>
      <c r="V438" s="276">
        <v>0.125</v>
      </c>
      <c r="W438" s="276">
        <v>0</v>
      </c>
      <c r="X438" s="270">
        <v>326</v>
      </c>
      <c r="Y438" s="270">
        <v>47</v>
      </c>
      <c r="Z438" s="45" t="b">
        <v>1</v>
      </c>
      <c r="AA438" s="45" t="s">
        <v>38</v>
      </c>
      <c r="AB438" s="45" t="s">
        <v>38</v>
      </c>
    </row>
    <row r="439" spans="1:28" x14ac:dyDescent="0.2">
      <c r="A439" s="96" t="s">
        <v>286</v>
      </c>
      <c r="B439" s="96" t="s">
        <v>286</v>
      </c>
      <c r="C439" s="277">
        <v>44064</v>
      </c>
      <c r="D439" s="277">
        <v>44094</v>
      </c>
      <c r="E439" s="270" t="s">
        <v>267</v>
      </c>
      <c r="F439" s="133" t="s">
        <v>34</v>
      </c>
      <c r="G439" s="96" t="s">
        <v>35</v>
      </c>
      <c r="H439" s="272" t="s">
        <v>177</v>
      </c>
      <c r="I439" s="58">
        <v>5</v>
      </c>
      <c r="J439" s="69">
        <v>141</v>
      </c>
      <c r="K439" s="270">
        <f t="shared" si="0"/>
        <v>705</v>
      </c>
      <c r="L439" s="270">
        <v>2891</v>
      </c>
      <c r="M439" s="270">
        <v>-45</v>
      </c>
      <c r="N439" s="274">
        <v>18</v>
      </c>
      <c r="O439" s="55"/>
      <c r="P439" s="45">
        <v>18</v>
      </c>
      <c r="Q439" s="270">
        <v>-8</v>
      </c>
      <c r="R439" s="275">
        <v>2.31E-3</v>
      </c>
      <c r="S439" s="270">
        <v>-6</v>
      </c>
      <c r="T439" s="270">
        <v>12</v>
      </c>
      <c r="U439" s="57">
        <v>1</v>
      </c>
      <c r="V439" s="276">
        <v>0.17</v>
      </c>
      <c r="W439" s="276">
        <v>0</v>
      </c>
      <c r="X439" s="270">
        <v>10</v>
      </c>
      <c r="Y439" s="270">
        <v>2</v>
      </c>
      <c r="Z439" s="45" t="b">
        <v>1</v>
      </c>
      <c r="AA439" s="45" t="s">
        <v>38</v>
      </c>
      <c r="AB439" s="45" t="s">
        <v>38</v>
      </c>
    </row>
    <row r="440" spans="1:28" x14ac:dyDescent="0.2">
      <c r="A440" s="96" t="s">
        <v>286</v>
      </c>
      <c r="B440" s="96" t="s">
        <v>286</v>
      </c>
      <c r="C440" s="277">
        <v>44064</v>
      </c>
      <c r="D440" s="277">
        <v>44094</v>
      </c>
      <c r="E440" s="270" t="s">
        <v>267</v>
      </c>
      <c r="F440" s="133" t="s">
        <v>34</v>
      </c>
      <c r="G440" s="96" t="s">
        <v>35</v>
      </c>
      <c r="H440" s="110" t="s">
        <v>979</v>
      </c>
      <c r="I440" s="58">
        <v>10</v>
      </c>
      <c r="J440" s="69">
        <v>205</v>
      </c>
      <c r="K440" s="270">
        <f t="shared" si="0"/>
        <v>2050</v>
      </c>
      <c r="L440" s="270">
        <v>4810</v>
      </c>
      <c r="M440" s="270">
        <v>-190</v>
      </c>
      <c r="N440" s="274">
        <v>70</v>
      </c>
      <c r="O440" s="55"/>
      <c r="P440" s="45">
        <v>70</v>
      </c>
      <c r="Q440" s="270">
        <v>-26</v>
      </c>
      <c r="R440" s="275">
        <v>2.31E-3</v>
      </c>
      <c r="S440" s="270">
        <v>-21</v>
      </c>
      <c r="T440" s="270">
        <v>49</v>
      </c>
      <c r="U440" s="57">
        <v>1</v>
      </c>
      <c r="V440" s="276">
        <v>0.17</v>
      </c>
      <c r="W440" s="276">
        <v>0</v>
      </c>
      <c r="X440" s="270">
        <v>41</v>
      </c>
      <c r="Y440" s="270">
        <v>8</v>
      </c>
      <c r="Z440" s="45" t="b">
        <v>1</v>
      </c>
      <c r="AA440" s="45" t="s">
        <v>38</v>
      </c>
      <c r="AB440" s="45" t="s">
        <v>38</v>
      </c>
    </row>
    <row r="441" spans="1:28" x14ac:dyDescent="0.2">
      <c r="A441" s="96" t="s">
        <v>286</v>
      </c>
      <c r="B441" s="96" t="s">
        <v>286</v>
      </c>
      <c r="C441" s="277">
        <v>44064</v>
      </c>
      <c r="D441" s="277">
        <v>44094</v>
      </c>
      <c r="E441" s="270" t="s">
        <v>267</v>
      </c>
      <c r="F441" s="133" t="s">
        <v>34</v>
      </c>
      <c r="G441" s="96" t="s">
        <v>35</v>
      </c>
      <c r="H441" s="110" t="s">
        <v>979</v>
      </c>
      <c r="I441" s="58">
        <v>10</v>
      </c>
      <c r="J441" s="69">
        <v>77</v>
      </c>
      <c r="K441" s="270">
        <f t="shared" si="0"/>
        <v>770</v>
      </c>
      <c r="L441" s="270">
        <v>1953</v>
      </c>
      <c r="M441" s="270">
        <v>-110</v>
      </c>
      <c r="N441" s="274">
        <v>13</v>
      </c>
      <c r="O441" s="55"/>
      <c r="P441" s="45">
        <v>13</v>
      </c>
      <c r="Q441" s="270">
        <v>-5</v>
      </c>
      <c r="R441" s="275">
        <v>2.31E-3</v>
      </c>
      <c r="S441" s="270">
        <v>-3</v>
      </c>
      <c r="T441" s="270">
        <v>10</v>
      </c>
      <c r="U441" s="57">
        <v>1</v>
      </c>
      <c r="V441" s="276">
        <v>0.17</v>
      </c>
      <c r="W441" s="276">
        <v>0</v>
      </c>
      <c r="X441" s="270">
        <v>8</v>
      </c>
      <c r="Y441" s="270">
        <v>2</v>
      </c>
      <c r="Z441" s="45" t="b">
        <v>1</v>
      </c>
      <c r="AA441" s="45" t="s">
        <v>38</v>
      </c>
      <c r="AB441" s="45" t="s">
        <v>38</v>
      </c>
    </row>
    <row r="442" spans="1:28" x14ac:dyDescent="0.2">
      <c r="A442" s="96" t="s">
        <v>286</v>
      </c>
      <c r="B442" s="96" t="s">
        <v>286</v>
      </c>
      <c r="C442" s="277">
        <v>44064</v>
      </c>
      <c r="D442" s="277">
        <v>44094</v>
      </c>
      <c r="E442" s="270" t="s">
        <v>267</v>
      </c>
      <c r="F442" s="133" t="s">
        <v>34</v>
      </c>
      <c r="G442" s="96" t="s">
        <v>35</v>
      </c>
      <c r="H442" s="110" t="s">
        <v>46</v>
      </c>
      <c r="I442" s="58">
        <v>25</v>
      </c>
      <c r="J442" s="69">
        <v>320</v>
      </c>
      <c r="K442" s="270">
        <f t="shared" si="0"/>
        <v>8000</v>
      </c>
      <c r="L442" s="270">
        <v>19233</v>
      </c>
      <c r="M442" s="270">
        <v>-125</v>
      </c>
      <c r="N442" s="274">
        <v>177</v>
      </c>
      <c r="O442" s="55"/>
      <c r="P442" s="45">
        <v>177</v>
      </c>
      <c r="Q442" s="270">
        <v>380</v>
      </c>
      <c r="R442" s="275">
        <v>2.31E-3</v>
      </c>
      <c r="S442" s="270">
        <v>398</v>
      </c>
      <c r="T442" s="270">
        <v>575</v>
      </c>
      <c r="U442" s="57">
        <v>1</v>
      </c>
      <c r="V442" s="276">
        <v>0.17</v>
      </c>
      <c r="W442" s="276">
        <v>0</v>
      </c>
      <c r="X442" s="270">
        <v>477</v>
      </c>
      <c r="Y442" s="270">
        <v>98</v>
      </c>
      <c r="Z442" s="45" t="b">
        <v>1</v>
      </c>
      <c r="AA442" s="45" t="s">
        <v>38</v>
      </c>
      <c r="AB442" s="45" t="s">
        <v>38</v>
      </c>
    </row>
    <row r="443" spans="1:28" x14ac:dyDescent="0.2">
      <c r="A443" s="96" t="s">
        <v>286</v>
      </c>
      <c r="B443" s="96" t="s">
        <v>286</v>
      </c>
      <c r="C443" s="277">
        <v>44064</v>
      </c>
      <c r="D443" s="277">
        <v>44094</v>
      </c>
      <c r="E443" s="270" t="s">
        <v>267</v>
      </c>
      <c r="F443" s="133" t="s">
        <v>34</v>
      </c>
      <c r="G443" s="96" t="s">
        <v>35</v>
      </c>
      <c r="H443" s="110" t="s">
        <v>87</v>
      </c>
      <c r="I443" s="58">
        <v>25</v>
      </c>
      <c r="J443" s="69">
        <v>1616</v>
      </c>
      <c r="K443" s="270">
        <f t="shared" si="0"/>
        <v>40400</v>
      </c>
      <c r="L443" s="270">
        <v>46243</v>
      </c>
      <c r="M443" s="270">
        <v>-100</v>
      </c>
      <c r="N443" s="274">
        <v>892</v>
      </c>
      <c r="O443" s="55"/>
      <c r="P443" s="45">
        <v>892</v>
      </c>
      <c r="Q443" s="270">
        <v>987</v>
      </c>
      <c r="R443" s="275">
        <v>2.31E-3</v>
      </c>
      <c r="S443" s="270">
        <v>1081</v>
      </c>
      <c r="T443" s="270">
        <v>1973</v>
      </c>
      <c r="U443" s="57">
        <v>1</v>
      </c>
      <c r="V443" s="276">
        <v>0.17</v>
      </c>
      <c r="W443" s="276">
        <v>0</v>
      </c>
      <c r="X443" s="270">
        <v>1637</v>
      </c>
      <c r="Y443" s="270">
        <v>335</v>
      </c>
      <c r="Z443" s="45" t="b">
        <v>1</v>
      </c>
      <c r="AA443" s="45" t="s">
        <v>38</v>
      </c>
      <c r="AB443" s="45" t="s">
        <v>38</v>
      </c>
    </row>
    <row r="444" spans="1:28" x14ac:dyDescent="0.2">
      <c r="A444" s="96" t="s">
        <v>286</v>
      </c>
      <c r="B444" s="96" t="s">
        <v>286</v>
      </c>
      <c r="C444" s="277">
        <v>44064</v>
      </c>
      <c r="D444" s="277">
        <v>44094</v>
      </c>
      <c r="E444" s="270" t="s">
        <v>267</v>
      </c>
      <c r="F444" s="133" t="s">
        <v>34</v>
      </c>
      <c r="G444" s="96" t="s">
        <v>35</v>
      </c>
      <c r="H444" s="272" t="s">
        <v>963</v>
      </c>
      <c r="I444" s="58">
        <v>50</v>
      </c>
      <c r="J444" s="69">
        <v>370</v>
      </c>
      <c r="K444" s="270">
        <f t="shared" si="0"/>
        <v>18500</v>
      </c>
      <c r="L444" s="270">
        <v>15340</v>
      </c>
      <c r="M444" s="270">
        <v>1300</v>
      </c>
      <c r="N444" s="274">
        <v>506</v>
      </c>
      <c r="O444" s="55"/>
      <c r="P444" s="45">
        <v>506</v>
      </c>
      <c r="Q444" s="270">
        <v>238</v>
      </c>
      <c r="R444" s="275">
        <v>2.31E-3</v>
      </c>
      <c r="S444" s="270">
        <v>280</v>
      </c>
      <c r="T444" s="270">
        <v>786</v>
      </c>
      <c r="U444" s="57">
        <v>1</v>
      </c>
      <c r="V444" s="276">
        <v>0.17</v>
      </c>
      <c r="W444" s="276">
        <v>0</v>
      </c>
      <c r="X444" s="270">
        <v>653</v>
      </c>
      <c r="Y444" s="270">
        <v>134</v>
      </c>
      <c r="Z444" s="45" t="b">
        <v>1</v>
      </c>
      <c r="AA444" s="45" t="s">
        <v>38</v>
      </c>
      <c r="AB444" s="45" t="s">
        <v>38</v>
      </c>
    </row>
    <row r="445" spans="1:28" x14ac:dyDescent="0.2">
      <c r="A445" s="96" t="s">
        <v>286</v>
      </c>
      <c r="B445" s="96" t="s">
        <v>286</v>
      </c>
      <c r="C445" s="277">
        <v>44064</v>
      </c>
      <c r="D445" s="277">
        <v>44094</v>
      </c>
      <c r="E445" s="270" t="s">
        <v>267</v>
      </c>
      <c r="F445" s="133" t="s">
        <v>34</v>
      </c>
      <c r="G445" s="96" t="s">
        <v>35</v>
      </c>
      <c r="H445" s="110" t="s">
        <v>971</v>
      </c>
      <c r="I445" s="58">
        <v>50</v>
      </c>
      <c r="J445" s="69">
        <v>598</v>
      </c>
      <c r="K445" s="270">
        <f t="shared" si="0"/>
        <v>29900</v>
      </c>
      <c r="L445" s="270">
        <v>8824</v>
      </c>
      <c r="M445" s="270">
        <v>300</v>
      </c>
      <c r="N445" s="274">
        <v>715</v>
      </c>
      <c r="O445" s="55"/>
      <c r="P445" s="45">
        <v>715</v>
      </c>
      <c r="Q445" s="270">
        <v>-539</v>
      </c>
      <c r="R445" s="275">
        <v>2.31E-3</v>
      </c>
      <c r="S445" s="270">
        <v>-470</v>
      </c>
      <c r="T445" s="270">
        <v>245</v>
      </c>
      <c r="U445" s="57">
        <v>1</v>
      </c>
      <c r="V445" s="276">
        <v>0.17</v>
      </c>
      <c r="W445" s="276">
        <v>0</v>
      </c>
      <c r="X445" s="270">
        <v>203</v>
      </c>
      <c r="Y445" s="270">
        <v>42</v>
      </c>
      <c r="Z445" s="45" t="b">
        <v>1</v>
      </c>
      <c r="AA445" s="45" t="s">
        <v>38</v>
      </c>
      <c r="AB445" s="45" t="s">
        <v>38</v>
      </c>
    </row>
    <row r="446" spans="1:28" x14ac:dyDescent="0.2">
      <c r="A446" s="96" t="s">
        <v>286</v>
      </c>
      <c r="B446" s="96" t="s">
        <v>286</v>
      </c>
      <c r="C446" s="277">
        <v>44064</v>
      </c>
      <c r="D446" s="277">
        <v>44094</v>
      </c>
      <c r="E446" s="270" t="s">
        <v>267</v>
      </c>
      <c r="F446" s="133" t="s">
        <v>34</v>
      </c>
      <c r="G446" s="96" t="s">
        <v>35</v>
      </c>
      <c r="H446" s="272" t="s">
        <v>963</v>
      </c>
      <c r="I446" s="58">
        <v>50</v>
      </c>
      <c r="J446" s="69">
        <v>84</v>
      </c>
      <c r="K446" s="270">
        <f t="shared" si="0"/>
        <v>4200</v>
      </c>
      <c r="L446" s="270">
        <v>4845</v>
      </c>
      <c r="M446" s="270">
        <v>1500</v>
      </c>
      <c r="N446" s="274"/>
      <c r="O446" s="55"/>
      <c r="P446" s="96"/>
      <c r="Q446" s="270">
        <v>184</v>
      </c>
      <c r="R446" s="275">
        <v>2.31E-3</v>
      </c>
      <c r="S446" s="270">
        <v>194</v>
      </c>
      <c r="T446" s="270">
        <v>194</v>
      </c>
      <c r="U446" s="57">
        <v>1</v>
      </c>
      <c r="V446" s="276">
        <v>0.17</v>
      </c>
      <c r="W446" s="276">
        <v>0</v>
      </c>
      <c r="X446" s="270">
        <v>161</v>
      </c>
      <c r="Y446" s="270">
        <v>33</v>
      </c>
      <c r="Z446" s="45" t="b">
        <v>1</v>
      </c>
      <c r="AA446" s="45" t="s">
        <v>38</v>
      </c>
      <c r="AB446" s="45" t="s">
        <v>38</v>
      </c>
    </row>
    <row r="447" spans="1:28" x14ac:dyDescent="0.2">
      <c r="A447" s="96" t="s">
        <v>286</v>
      </c>
      <c r="B447" s="96" t="s">
        <v>286</v>
      </c>
      <c r="C447" s="277">
        <v>44064</v>
      </c>
      <c r="D447" s="277">
        <v>44094</v>
      </c>
      <c r="E447" s="270" t="s">
        <v>267</v>
      </c>
      <c r="F447" s="133" t="s">
        <v>34</v>
      </c>
      <c r="G447" s="96" t="s">
        <v>35</v>
      </c>
      <c r="H447" s="110" t="s">
        <v>971</v>
      </c>
      <c r="I447" s="58">
        <v>50</v>
      </c>
      <c r="J447" s="69">
        <v>52</v>
      </c>
      <c r="K447" s="270">
        <f t="shared" si="0"/>
        <v>2600</v>
      </c>
      <c r="L447" s="270">
        <v>1805</v>
      </c>
      <c r="M447" s="270">
        <v>1600</v>
      </c>
      <c r="N447" s="274"/>
      <c r="O447" s="55"/>
      <c r="P447" s="96"/>
      <c r="Q447" s="270">
        <v>115</v>
      </c>
      <c r="R447" s="275">
        <v>2.31E-3</v>
      </c>
      <c r="S447" s="270">
        <v>121</v>
      </c>
      <c r="T447" s="270">
        <v>121</v>
      </c>
      <c r="U447" s="57">
        <v>1</v>
      </c>
      <c r="V447" s="276">
        <v>0.17</v>
      </c>
      <c r="W447" s="276">
        <v>0</v>
      </c>
      <c r="X447" s="270">
        <v>100</v>
      </c>
      <c r="Y447" s="270">
        <v>21</v>
      </c>
      <c r="Z447" s="45" t="b">
        <v>1</v>
      </c>
      <c r="AA447" s="45" t="s">
        <v>38</v>
      </c>
      <c r="AB447" s="45" t="s">
        <v>38</v>
      </c>
    </row>
    <row r="448" spans="1:28" x14ac:dyDescent="0.2">
      <c r="A448" s="96" t="s">
        <v>82</v>
      </c>
      <c r="B448" s="96" t="s">
        <v>82</v>
      </c>
      <c r="C448" s="277">
        <v>44064</v>
      </c>
      <c r="D448" s="277">
        <v>44094</v>
      </c>
      <c r="E448" s="270" t="s">
        <v>300</v>
      </c>
      <c r="F448" s="133" t="s">
        <v>34</v>
      </c>
      <c r="G448" s="96" t="s">
        <v>35</v>
      </c>
      <c r="H448" s="272" t="s">
        <v>192</v>
      </c>
      <c r="I448" s="58">
        <v>10</v>
      </c>
      <c r="J448" s="69">
        <v>135</v>
      </c>
      <c r="K448" s="270">
        <f t="shared" si="0"/>
        <v>1350</v>
      </c>
      <c r="L448" s="279">
        <v>5961</v>
      </c>
      <c r="M448" s="279">
        <v>90</v>
      </c>
      <c r="N448" s="274">
        <v>4</v>
      </c>
      <c r="O448" s="55"/>
      <c r="P448" s="45">
        <v>4</v>
      </c>
      <c r="Q448" s="279">
        <v>-5</v>
      </c>
      <c r="R448" s="275">
        <v>2.31E-3</v>
      </c>
      <c r="S448" s="279">
        <v>-2</v>
      </c>
      <c r="T448" s="279">
        <v>2</v>
      </c>
      <c r="U448" s="57">
        <v>1</v>
      </c>
      <c r="V448" s="276">
        <v>0.25</v>
      </c>
      <c r="W448" s="276">
        <v>0.1</v>
      </c>
      <c r="X448" s="279">
        <v>1</v>
      </c>
      <c r="Y448" s="279">
        <v>1</v>
      </c>
      <c r="Z448" s="45" t="b">
        <v>1</v>
      </c>
      <c r="AA448" s="45" t="s">
        <v>38</v>
      </c>
      <c r="AB448" s="45" t="s">
        <v>38</v>
      </c>
    </row>
    <row r="449" spans="1:28" x14ac:dyDescent="0.2">
      <c r="A449" s="96" t="s">
        <v>82</v>
      </c>
      <c r="B449" s="96" t="s">
        <v>82</v>
      </c>
      <c r="C449" s="277">
        <v>44064</v>
      </c>
      <c r="D449" s="277">
        <v>44094</v>
      </c>
      <c r="E449" s="270" t="s">
        <v>300</v>
      </c>
      <c r="F449" s="133" t="s">
        <v>34</v>
      </c>
      <c r="G449" s="96" t="s">
        <v>35</v>
      </c>
      <c r="H449" s="272" t="s">
        <v>46</v>
      </c>
      <c r="I449" s="58">
        <v>25</v>
      </c>
      <c r="J449" s="69">
        <v>1671</v>
      </c>
      <c r="K449" s="270">
        <f t="shared" si="0"/>
        <v>41775</v>
      </c>
      <c r="L449" s="279">
        <v>31462</v>
      </c>
      <c r="M449" s="279">
        <v>-600</v>
      </c>
      <c r="N449" s="274">
        <v>88</v>
      </c>
      <c r="O449" s="55"/>
      <c r="P449" s="45">
        <v>88</v>
      </c>
      <c r="Q449" s="279">
        <v>-1399</v>
      </c>
      <c r="R449" s="275">
        <v>2.31E-3</v>
      </c>
      <c r="S449" s="279">
        <v>-1303</v>
      </c>
      <c r="T449" s="279">
        <v>-1215</v>
      </c>
      <c r="U449" s="57">
        <v>1</v>
      </c>
      <c r="V449" s="276">
        <v>0.25</v>
      </c>
      <c r="W449" s="276">
        <v>0.1</v>
      </c>
      <c r="X449" s="279">
        <v>-789</v>
      </c>
      <c r="Y449" s="279">
        <v>-425</v>
      </c>
      <c r="Z449" s="45" t="b">
        <v>1</v>
      </c>
      <c r="AA449" s="45" t="s">
        <v>38</v>
      </c>
      <c r="AB449" s="45" t="s">
        <v>38</v>
      </c>
    </row>
    <row r="450" spans="1:28" x14ac:dyDescent="0.2">
      <c r="A450" s="96" t="s">
        <v>82</v>
      </c>
      <c r="B450" s="96" t="s">
        <v>82</v>
      </c>
      <c r="C450" s="277">
        <v>44064</v>
      </c>
      <c r="D450" s="277">
        <v>44094</v>
      </c>
      <c r="E450" s="270" t="s">
        <v>300</v>
      </c>
      <c r="F450" s="133" t="s">
        <v>34</v>
      </c>
      <c r="G450" s="96" t="s">
        <v>35</v>
      </c>
      <c r="H450" s="272" t="s">
        <v>963</v>
      </c>
      <c r="I450" s="58">
        <v>50</v>
      </c>
      <c r="J450" s="69">
        <v>1003</v>
      </c>
      <c r="K450" s="270">
        <f t="shared" si="0"/>
        <v>50150</v>
      </c>
      <c r="L450" s="279">
        <v>27193</v>
      </c>
      <c r="M450" s="279">
        <v>-3400</v>
      </c>
      <c r="N450" s="274">
        <v>135</v>
      </c>
      <c r="O450" s="55"/>
      <c r="P450" s="45">
        <v>135</v>
      </c>
      <c r="Q450" s="279">
        <v>-688</v>
      </c>
      <c r="R450" s="275">
        <v>2.31E-3</v>
      </c>
      <c r="S450" s="279">
        <v>-572</v>
      </c>
      <c r="T450" s="279">
        <v>-437</v>
      </c>
      <c r="U450" s="57">
        <v>1</v>
      </c>
      <c r="V450" s="276">
        <v>0.25</v>
      </c>
      <c r="W450" s="276">
        <v>0.1</v>
      </c>
      <c r="X450" s="279">
        <v>-284</v>
      </c>
      <c r="Y450" s="279">
        <v>-153</v>
      </c>
      <c r="Z450" s="45" t="b">
        <v>1</v>
      </c>
      <c r="AA450" s="45" t="s">
        <v>38</v>
      </c>
      <c r="AB450" s="45" t="s">
        <v>38</v>
      </c>
    </row>
    <row r="451" spans="1:28" x14ac:dyDescent="0.2">
      <c r="A451" s="96" t="s">
        <v>82</v>
      </c>
      <c r="B451" s="96" t="s">
        <v>82</v>
      </c>
      <c r="C451" s="277">
        <v>44064</v>
      </c>
      <c r="D451" s="277">
        <v>44094</v>
      </c>
      <c r="E451" s="270" t="s">
        <v>300</v>
      </c>
      <c r="F451" s="133" t="s">
        <v>34</v>
      </c>
      <c r="G451" s="96" t="s">
        <v>35</v>
      </c>
      <c r="H451" s="272" t="s">
        <v>963</v>
      </c>
      <c r="I451" s="58">
        <v>50</v>
      </c>
      <c r="J451" s="69">
        <v>271</v>
      </c>
      <c r="K451" s="270">
        <f t="shared" si="0"/>
        <v>13550</v>
      </c>
      <c r="L451" s="279">
        <v>-5989</v>
      </c>
      <c r="M451" s="279">
        <v>-3250</v>
      </c>
      <c r="N451" s="274"/>
      <c r="O451" s="55"/>
      <c r="P451" s="96"/>
      <c r="Q451" s="279">
        <v>-1427</v>
      </c>
      <c r="R451" s="275">
        <v>2.31E-3</v>
      </c>
      <c r="S451" s="279">
        <v>-1396</v>
      </c>
      <c r="T451" s="279">
        <v>-1396</v>
      </c>
      <c r="U451" s="57">
        <v>1</v>
      </c>
      <c r="V451" s="276">
        <v>0.25</v>
      </c>
      <c r="W451" s="276">
        <v>0.1</v>
      </c>
      <c r="X451" s="279">
        <v>-907</v>
      </c>
      <c r="Y451" s="279">
        <v>-488</v>
      </c>
      <c r="Z451" s="45" t="b">
        <v>1</v>
      </c>
      <c r="AA451" s="45" t="s">
        <v>38</v>
      </c>
      <c r="AB451" s="45" t="s">
        <v>38</v>
      </c>
    </row>
    <row r="452" spans="1:28" x14ac:dyDescent="0.2">
      <c r="A452" s="96" t="s">
        <v>154</v>
      </c>
      <c r="B452" s="96" t="s">
        <v>154</v>
      </c>
      <c r="C452" s="277">
        <v>44064</v>
      </c>
      <c r="D452" s="277">
        <v>44094</v>
      </c>
      <c r="E452" s="270" t="s">
        <v>267</v>
      </c>
      <c r="F452" s="133" t="s">
        <v>34</v>
      </c>
      <c r="G452" s="96" t="s">
        <v>35</v>
      </c>
      <c r="H452" s="272" t="s">
        <v>46</v>
      </c>
      <c r="I452" s="58">
        <v>25</v>
      </c>
      <c r="J452" s="69">
        <v>1617</v>
      </c>
      <c r="K452" s="270">
        <f t="shared" si="0"/>
        <v>40425</v>
      </c>
      <c r="L452" s="279">
        <v>55897</v>
      </c>
      <c r="M452" s="279">
        <v>1475</v>
      </c>
      <c r="N452" s="274">
        <v>175</v>
      </c>
      <c r="O452" s="55"/>
      <c r="P452" s="45">
        <v>175</v>
      </c>
      <c r="Q452" s="279">
        <v>4</v>
      </c>
      <c r="R452" s="275">
        <v>2.31E-3</v>
      </c>
      <c r="S452" s="279">
        <v>97</v>
      </c>
      <c r="T452" s="279">
        <v>272</v>
      </c>
      <c r="U452" s="57">
        <v>1</v>
      </c>
      <c r="V452" s="276">
        <v>0.2</v>
      </c>
      <c r="W452" s="276">
        <v>0</v>
      </c>
      <c r="X452" s="279">
        <v>218</v>
      </c>
      <c r="Y452" s="279">
        <v>54</v>
      </c>
      <c r="Z452" s="45" t="b">
        <v>1</v>
      </c>
      <c r="AA452" s="45" t="s">
        <v>38</v>
      </c>
      <c r="AB452" s="45" t="s">
        <v>38</v>
      </c>
    </row>
    <row r="453" spans="1:28" x14ac:dyDescent="0.2">
      <c r="A453" s="96" t="s">
        <v>178</v>
      </c>
      <c r="B453" s="96" t="s">
        <v>178</v>
      </c>
      <c r="C453" s="277">
        <v>44064</v>
      </c>
      <c r="D453" s="277">
        <v>44094</v>
      </c>
      <c r="E453" s="270" t="s">
        <v>267</v>
      </c>
      <c r="F453" s="133" t="s">
        <v>34</v>
      </c>
      <c r="G453" s="96" t="s">
        <v>35</v>
      </c>
      <c r="H453" s="272" t="s">
        <v>86</v>
      </c>
      <c r="I453" s="58">
        <v>5</v>
      </c>
      <c r="J453" s="69">
        <v>1714</v>
      </c>
      <c r="K453" s="270">
        <f t="shared" si="0"/>
        <v>8570</v>
      </c>
      <c r="L453" s="279">
        <v>117200</v>
      </c>
      <c r="M453" s="279">
        <v>25</v>
      </c>
      <c r="N453" s="274"/>
      <c r="O453" s="55"/>
      <c r="P453" s="96"/>
      <c r="Q453" s="279">
        <v>441</v>
      </c>
      <c r="R453" s="275">
        <v>-1.5E-3</v>
      </c>
      <c r="S453" s="279">
        <v>428</v>
      </c>
      <c r="T453" s="279">
        <v>428</v>
      </c>
      <c r="U453" s="57">
        <v>1</v>
      </c>
      <c r="V453" s="276">
        <v>0.2</v>
      </c>
      <c r="W453" s="276">
        <v>0</v>
      </c>
      <c r="X453" s="279">
        <v>342</v>
      </c>
      <c r="Y453" s="279">
        <v>86</v>
      </c>
      <c r="Z453" s="45" t="b">
        <v>1</v>
      </c>
      <c r="AA453" s="45" t="s">
        <v>38</v>
      </c>
      <c r="AB453" s="45" t="s">
        <v>38</v>
      </c>
    </row>
    <row r="454" spans="1:28" x14ac:dyDescent="0.2">
      <c r="A454" s="96" t="s">
        <v>508</v>
      </c>
      <c r="B454" s="96" t="s">
        <v>508</v>
      </c>
      <c r="C454" s="277">
        <v>44064</v>
      </c>
      <c r="D454" s="277">
        <v>44094</v>
      </c>
      <c r="E454" s="270" t="s">
        <v>300</v>
      </c>
      <c r="F454" s="96" t="s">
        <v>34</v>
      </c>
      <c r="G454" s="96" t="s">
        <v>35</v>
      </c>
      <c r="H454" s="110" t="s">
        <v>70</v>
      </c>
      <c r="I454" s="58">
        <v>100</v>
      </c>
      <c r="J454" s="69">
        <v>3313</v>
      </c>
      <c r="K454" s="270">
        <f t="shared" si="0"/>
        <v>331300</v>
      </c>
      <c r="L454" s="270">
        <v>211671</v>
      </c>
      <c r="M454" s="270">
        <v>12900</v>
      </c>
      <c r="N454" s="274">
        <v>610</v>
      </c>
      <c r="O454" s="55"/>
      <c r="P454" s="45">
        <v>610</v>
      </c>
      <c r="Q454" s="270">
        <v>21783</v>
      </c>
      <c r="R454" s="275">
        <v>2.31E-3</v>
      </c>
      <c r="S454" s="270">
        <v>22549</v>
      </c>
      <c r="T454" s="270">
        <v>23159</v>
      </c>
      <c r="U454" s="57">
        <v>1</v>
      </c>
      <c r="V454" s="276">
        <v>0.13500000000000001</v>
      </c>
      <c r="W454" s="276">
        <v>4.4999999999999998E-2</v>
      </c>
      <c r="X454" s="270">
        <v>18990</v>
      </c>
      <c r="Y454" s="270">
        <v>4169</v>
      </c>
      <c r="Z454" s="45" t="b">
        <v>1</v>
      </c>
      <c r="AA454" s="45" t="s">
        <v>38</v>
      </c>
      <c r="AB454" s="45" t="s">
        <v>38</v>
      </c>
    </row>
    <row r="455" spans="1:28" x14ac:dyDescent="0.2">
      <c r="A455" s="96" t="s">
        <v>191</v>
      </c>
      <c r="B455" s="96" t="s">
        <v>191</v>
      </c>
      <c r="C455" s="277">
        <v>44064</v>
      </c>
      <c r="D455" s="277">
        <v>44094</v>
      </c>
      <c r="E455" s="270" t="s">
        <v>267</v>
      </c>
      <c r="F455" s="96" t="s">
        <v>34</v>
      </c>
      <c r="G455" s="270" t="s">
        <v>35</v>
      </c>
      <c r="H455" s="272" t="s">
        <v>86</v>
      </c>
      <c r="I455" s="273">
        <v>5</v>
      </c>
      <c r="J455" s="270">
        <v>243</v>
      </c>
      <c r="K455" s="270">
        <f t="shared" si="0"/>
        <v>1215</v>
      </c>
      <c r="L455" s="270">
        <v>23336</v>
      </c>
      <c r="M455" s="270">
        <v>80</v>
      </c>
      <c r="N455" s="274">
        <v>16</v>
      </c>
      <c r="O455" s="55"/>
      <c r="P455" s="45">
        <v>16</v>
      </c>
      <c r="Q455" s="270">
        <v>124</v>
      </c>
      <c r="R455" s="275">
        <v>2.31E-3</v>
      </c>
      <c r="S455" s="270">
        <v>127</v>
      </c>
      <c r="T455" s="270">
        <v>143</v>
      </c>
      <c r="U455" s="57">
        <v>1</v>
      </c>
      <c r="V455" s="276">
        <v>0.25</v>
      </c>
      <c r="W455" s="276">
        <v>0</v>
      </c>
      <c r="X455" s="270">
        <v>107</v>
      </c>
      <c r="Y455" s="270">
        <v>36</v>
      </c>
      <c r="Z455" s="45" t="b">
        <v>1</v>
      </c>
      <c r="AA455" s="45" t="s">
        <v>38</v>
      </c>
      <c r="AB455" s="45" t="s">
        <v>38</v>
      </c>
    </row>
    <row r="456" spans="1:28" x14ac:dyDescent="0.2">
      <c r="A456" s="96" t="s">
        <v>191</v>
      </c>
      <c r="B456" s="96" t="s">
        <v>191</v>
      </c>
      <c r="C456" s="277">
        <v>44064</v>
      </c>
      <c r="D456" s="277">
        <v>44094</v>
      </c>
      <c r="E456" s="270" t="s">
        <v>267</v>
      </c>
      <c r="F456" s="96" t="s">
        <v>34</v>
      </c>
      <c r="G456" s="270" t="s">
        <v>35</v>
      </c>
      <c r="H456" s="272" t="s">
        <v>192</v>
      </c>
      <c r="I456" s="273">
        <v>10</v>
      </c>
      <c r="J456" s="270">
        <v>1420</v>
      </c>
      <c r="K456" s="270">
        <f t="shared" si="0"/>
        <v>14200</v>
      </c>
      <c r="L456" s="270">
        <v>78212</v>
      </c>
      <c r="M456" s="270">
        <v>750</v>
      </c>
      <c r="N456" s="274">
        <v>223</v>
      </c>
      <c r="O456" s="55"/>
      <c r="P456" s="45">
        <v>223</v>
      </c>
      <c r="Q456" s="270">
        <v>230</v>
      </c>
      <c r="R456" s="275">
        <v>2.31E-3</v>
      </c>
      <c r="S456" s="270">
        <v>263</v>
      </c>
      <c r="T456" s="270">
        <v>486</v>
      </c>
      <c r="U456" s="57">
        <v>1</v>
      </c>
      <c r="V456" s="276">
        <v>0.25</v>
      </c>
      <c r="W456" s="276">
        <v>0</v>
      </c>
      <c r="X456" s="270">
        <v>364</v>
      </c>
      <c r="Y456" s="270">
        <v>121</v>
      </c>
      <c r="Z456" s="45" t="b">
        <v>1</v>
      </c>
      <c r="AA456" s="45" t="s">
        <v>38</v>
      </c>
      <c r="AB456" s="45" t="s">
        <v>38</v>
      </c>
    </row>
    <row r="457" spans="1:28" x14ac:dyDescent="0.2">
      <c r="A457" s="96" t="s">
        <v>191</v>
      </c>
      <c r="B457" s="96" t="s">
        <v>191</v>
      </c>
      <c r="C457" s="277">
        <v>44064</v>
      </c>
      <c r="D457" s="277">
        <v>44094</v>
      </c>
      <c r="E457" s="270" t="s">
        <v>267</v>
      </c>
      <c r="F457" s="96" t="s">
        <v>34</v>
      </c>
      <c r="G457" s="270" t="s">
        <v>35</v>
      </c>
      <c r="H457" s="272" t="s">
        <v>192</v>
      </c>
      <c r="I457" s="273">
        <v>10</v>
      </c>
      <c r="J457" s="270">
        <v>8</v>
      </c>
      <c r="K457" s="270">
        <f t="shared" si="0"/>
        <v>80</v>
      </c>
      <c r="L457" s="270">
        <v>1873</v>
      </c>
      <c r="M457" s="270">
        <v>60</v>
      </c>
      <c r="N457" s="274"/>
      <c r="O457" s="55"/>
      <c r="P457" s="96"/>
      <c r="Q457" s="270">
        <v>28</v>
      </c>
      <c r="R457" s="275">
        <v>2.31E-3</v>
      </c>
      <c r="S457" s="270">
        <v>28</v>
      </c>
      <c r="T457" s="270">
        <v>28</v>
      </c>
      <c r="U457" s="57">
        <v>1</v>
      </c>
      <c r="V457" s="276">
        <v>0.25</v>
      </c>
      <c r="W457" s="276">
        <v>0</v>
      </c>
      <c r="X457" s="270">
        <v>21</v>
      </c>
      <c r="Y457" s="270">
        <v>7</v>
      </c>
      <c r="Z457" s="45" t="b">
        <v>1</v>
      </c>
      <c r="AA457" s="45" t="s">
        <v>38</v>
      </c>
      <c r="AB457" s="45" t="s">
        <v>38</v>
      </c>
    </row>
    <row r="458" spans="1:28" x14ac:dyDescent="0.2">
      <c r="A458" s="96" t="s">
        <v>206</v>
      </c>
      <c r="B458" s="96" t="s">
        <v>206</v>
      </c>
      <c r="C458" s="277">
        <v>44064</v>
      </c>
      <c r="D458" s="277">
        <v>44094</v>
      </c>
      <c r="E458" s="270" t="s">
        <v>267</v>
      </c>
      <c r="F458" s="133" t="s">
        <v>34</v>
      </c>
      <c r="G458" s="96" t="s">
        <v>35</v>
      </c>
      <c r="H458" s="272" t="s">
        <v>46</v>
      </c>
      <c r="I458" s="58">
        <v>25</v>
      </c>
      <c r="J458" s="69">
        <v>1</v>
      </c>
      <c r="K458" s="270">
        <f t="shared" si="0"/>
        <v>25</v>
      </c>
      <c r="L458" s="270">
        <v>-500</v>
      </c>
      <c r="M458" s="270">
        <v>-25</v>
      </c>
      <c r="N458" s="274">
        <v>1</v>
      </c>
      <c r="O458" s="55"/>
      <c r="P458" s="45">
        <v>1</v>
      </c>
      <c r="Q458" s="270">
        <v>-25</v>
      </c>
      <c r="R458" s="275">
        <v>2.31E-3</v>
      </c>
      <c r="S458" s="270">
        <v>-25</v>
      </c>
      <c r="T458" s="270">
        <v>-24</v>
      </c>
      <c r="U458" s="57">
        <v>1</v>
      </c>
      <c r="V458" s="276">
        <v>0.22</v>
      </c>
      <c r="W458" s="276">
        <v>0</v>
      </c>
      <c r="X458" s="270">
        <v>-19</v>
      </c>
      <c r="Y458" s="270">
        <v>-5</v>
      </c>
      <c r="Z458" s="45" t="b">
        <v>1</v>
      </c>
      <c r="AA458" s="45" t="s">
        <v>38</v>
      </c>
      <c r="AB458" s="45" t="s">
        <v>38</v>
      </c>
    </row>
    <row r="459" spans="1:28" x14ac:dyDescent="0.2">
      <c r="A459" s="96" t="s">
        <v>206</v>
      </c>
      <c r="B459" s="96" t="s">
        <v>206</v>
      </c>
      <c r="C459" s="277">
        <v>44064</v>
      </c>
      <c r="D459" s="277">
        <v>44094</v>
      </c>
      <c r="E459" s="270" t="s">
        <v>267</v>
      </c>
      <c r="F459" s="133" t="s">
        <v>34</v>
      </c>
      <c r="G459" s="96" t="s">
        <v>35</v>
      </c>
      <c r="H459" s="272" t="s">
        <v>963</v>
      </c>
      <c r="I459" s="58">
        <v>50</v>
      </c>
      <c r="J459" s="69">
        <v>175</v>
      </c>
      <c r="K459" s="270">
        <f t="shared" si="0"/>
        <v>8750</v>
      </c>
      <c r="L459" s="270">
        <v>6259</v>
      </c>
      <c r="M459" s="270">
        <v>-400</v>
      </c>
      <c r="N459" s="274">
        <v>248</v>
      </c>
      <c r="O459" s="55"/>
      <c r="P459" s="45">
        <v>248</v>
      </c>
      <c r="Q459" s="270">
        <v>-47</v>
      </c>
      <c r="R459" s="275">
        <v>2.31E-3</v>
      </c>
      <c r="S459" s="270">
        <v>-27</v>
      </c>
      <c r="T459" s="270">
        <v>221</v>
      </c>
      <c r="U459" s="57">
        <v>1</v>
      </c>
      <c r="V459" s="276">
        <v>0.22</v>
      </c>
      <c r="W459" s="276">
        <v>0</v>
      </c>
      <c r="X459" s="270">
        <v>172</v>
      </c>
      <c r="Y459" s="270">
        <v>49</v>
      </c>
      <c r="Z459" s="45" t="b">
        <v>1</v>
      </c>
      <c r="AA459" s="45" t="s">
        <v>38</v>
      </c>
      <c r="AB459" s="45" t="s">
        <v>38</v>
      </c>
    </row>
    <row r="460" spans="1:28" x14ac:dyDescent="0.2">
      <c r="A460" s="96" t="s">
        <v>206</v>
      </c>
      <c r="B460" s="96" t="s">
        <v>206</v>
      </c>
      <c r="C460" s="277">
        <v>44064</v>
      </c>
      <c r="D460" s="277">
        <v>44094</v>
      </c>
      <c r="E460" s="270" t="s">
        <v>267</v>
      </c>
      <c r="F460" s="133" t="s">
        <v>34</v>
      </c>
      <c r="G460" s="96" t="s">
        <v>35</v>
      </c>
      <c r="H460" s="272" t="s">
        <v>70</v>
      </c>
      <c r="I460" s="58">
        <v>100</v>
      </c>
      <c r="J460" s="69">
        <v>260</v>
      </c>
      <c r="K460" s="270">
        <f t="shared" si="0"/>
        <v>26000</v>
      </c>
      <c r="L460" s="270">
        <v>3545</v>
      </c>
      <c r="M460" s="270">
        <v>700</v>
      </c>
      <c r="N460" s="274">
        <v>607</v>
      </c>
      <c r="O460" s="55"/>
      <c r="P460" s="45">
        <v>607</v>
      </c>
      <c r="Q460" s="270">
        <v>-938</v>
      </c>
      <c r="R460" s="275">
        <v>2.31E-3</v>
      </c>
      <c r="S460" s="270">
        <v>-878</v>
      </c>
      <c r="T460" s="270">
        <v>-271</v>
      </c>
      <c r="U460" s="57">
        <v>1</v>
      </c>
      <c r="V460" s="276">
        <v>0.22</v>
      </c>
      <c r="W460" s="276">
        <v>0</v>
      </c>
      <c r="X460" s="270">
        <v>-211</v>
      </c>
      <c r="Y460" s="270">
        <v>-60</v>
      </c>
      <c r="Z460" s="45" t="b">
        <v>1</v>
      </c>
      <c r="AA460" s="45" t="s">
        <v>38</v>
      </c>
      <c r="AB460" s="45" t="s">
        <v>38</v>
      </c>
    </row>
    <row r="461" spans="1:28" x14ac:dyDescent="0.2">
      <c r="A461" s="96" t="s">
        <v>206</v>
      </c>
      <c r="B461" s="96" t="s">
        <v>206</v>
      </c>
      <c r="C461" s="277">
        <v>44064</v>
      </c>
      <c r="D461" s="277">
        <v>44094</v>
      </c>
      <c r="E461" s="270" t="s">
        <v>267</v>
      </c>
      <c r="F461" s="133" t="s">
        <v>34</v>
      </c>
      <c r="G461" s="96" t="s">
        <v>35</v>
      </c>
      <c r="H461" s="272" t="s">
        <v>84</v>
      </c>
      <c r="I461" s="58">
        <v>100</v>
      </c>
      <c r="J461" s="69">
        <v>20</v>
      </c>
      <c r="K461" s="270">
        <f t="shared" si="0"/>
        <v>2000</v>
      </c>
      <c r="L461" s="270">
        <v>-863</v>
      </c>
      <c r="M461" s="270">
        <v>-900</v>
      </c>
      <c r="N461" s="274">
        <v>46</v>
      </c>
      <c r="O461" s="55"/>
      <c r="P461" s="45">
        <v>46</v>
      </c>
      <c r="Q461" s="270">
        <v>-391</v>
      </c>
      <c r="R461" s="275">
        <v>2.31E-3</v>
      </c>
      <c r="S461" s="270">
        <v>-387</v>
      </c>
      <c r="T461" s="270">
        <v>-341</v>
      </c>
      <c r="U461" s="57">
        <v>1</v>
      </c>
      <c r="V461" s="276">
        <v>0.22</v>
      </c>
      <c r="W461" s="276">
        <v>0</v>
      </c>
      <c r="X461" s="270">
        <v>-266</v>
      </c>
      <c r="Y461" s="270">
        <v>-75</v>
      </c>
      <c r="Z461" s="45" t="b">
        <v>1</v>
      </c>
      <c r="AA461" s="45" t="s">
        <v>38</v>
      </c>
      <c r="AB461" s="45" t="s">
        <v>38</v>
      </c>
    </row>
    <row r="462" spans="1:28" x14ac:dyDescent="0.2">
      <c r="A462" s="96" t="s">
        <v>145</v>
      </c>
      <c r="B462" s="96" t="s">
        <v>145</v>
      </c>
      <c r="C462" s="277">
        <v>44075</v>
      </c>
      <c r="D462" s="277">
        <v>44104</v>
      </c>
      <c r="E462" s="270" t="s">
        <v>267</v>
      </c>
      <c r="F462" s="133" t="s">
        <v>41</v>
      </c>
      <c r="G462" s="279" t="s">
        <v>35</v>
      </c>
      <c r="H462" s="272" t="s">
        <v>46</v>
      </c>
      <c r="I462" s="273">
        <v>25</v>
      </c>
      <c r="J462" s="270">
        <v>2</v>
      </c>
      <c r="K462" s="270">
        <f t="shared" si="0"/>
        <v>50</v>
      </c>
      <c r="L462" s="270"/>
      <c r="M462" s="270">
        <v>-50</v>
      </c>
      <c r="N462" s="274"/>
      <c r="O462" s="55"/>
      <c r="P462" s="96"/>
      <c r="Q462" s="270"/>
      <c r="R462" s="275">
        <v>0</v>
      </c>
      <c r="S462" s="270"/>
      <c r="T462" s="270">
        <v>-50</v>
      </c>
      <c r="U462" s="57">
        <v>1</v>
      </c>
      <c r="V462" s="276">
        <v>0.12</v>
      </c>
      <c r="W462" s="276">
        <v>0</v>
      </c>
      <c r="X462" s="270">
        <v>-44</v>
      </c>
      <c r="Y462" s="270">
        <v>-6</v>
      </c>
      <c r="Z462" s="45" t="b">
        <v>1</v>
      </c>
      <c r="AA462" s="45" t="s">
        <v>38</v>
      </c>
      <c r="AB462" s="45" t="s">
        <v>38</v>
      </c>
    </row>
    <row r="463" spans="1:28" x14ac:dyDescent="0.2">
      <c r="A463" s="96" t="s">
        <v>145</v>
      </c>
      <c r="B463" s="96" t="s">
        <v>145</v>
      </c>
      <c r="C463" s="277">
        <v>44075</v>
      </c>
      <c r="D463" s="277">
        <v>44104</v>
      </c>
      <c r="E463" s="270" t="s">
        <v>267</v>
      </c>
      <c r="F463" s="133" t="s">
        <v>49</v>
      </c>
      <c r="G463" s="279" t="s">
        <v>35</v>
      </c>
      <c r="H463" s="272" t="s">
        <v>70</v>
      </c>
      <c r="I463" s="273">
        <v>100</v>
      </c>
      <c r="J463" s="270">
        <v>2497</v>
      </c>
      <c r="K463" s="270">
        <f t="shared" si="0"/>
        <v>249700</v>
      </c>
      <c r="L463" s="270">
        <v>89374</v>
      </c>
      <c r="M463" s="270">
        <v>10200</v>
      </c>
      <c r="N463" s="274">
        <v>2644</v>
      </c>
      <c r="O463" s="55"/>
      <c r="P463" s="105">
        <v>2644</v>
      </c>
      <c r="Q463" s="270">
        <v>3268</v>
      </c>
      <c r="R463" s="275">
        <v>2.4169999999999999E-3</v>
      </c>
      <c r="S463" s="270">
        <v>3871</v>
      </c>
      <c r="T463" s="270">
        <v>6515</v>
      </c>
      <c r="U463" s="57">
        <v>1</v>
      </c>
      <c r="V463" s="276">
        <v>0.12</v>
      </c>
      <c r="W463" s="276">
        <v>0</v>
      </c>
      <c r="X463" s="270">
        <v>5733</v>
      </c>
      <c r="Y463" s="270">
        <v>782</v>
      </c>
      <c r="Z463" s="45" t="b">
        <v>1</v>
      </c>
      <c r="AA463" s="45" t="s">
        <v>38</v>
      </c>
      <c r="AB463" s="45" t="s">
        <v>38</v>
      </c>
    </row>
    <row r="464" spans="1:28" x14ac:dyDescent="0.2">
      <c r="A464" s="96" t="s">
        <v>355</v>
      </c>
      <c r="B464" s="96" t="s">
        <v>978</v>
      </c>
      <c r="C464" s="277">
        <v>44079</v>
      </c>
      <c r="D464" s="277">
        <v>44104</v>
      </c>
      <c r="E464" s="270" t="s">
        <v>300</v>
      </c>
      <c r="F464" s="133" t="s">
        <v>34</v>
      </c>
      <c r="G464" s="270" t="s">
        <v>69</v>
      </c>
      <c r="H464" s="272" t="s">
        <v>70</v>
      </c>
      <c r="I464" s="273">
        <v>100</v>
      </c>
      <c r="J464" s="270">
        <v>147</v>
      </c>
      <c r="K464" s="270">
        <f t="shared" si="0"/>
        <v>14700</v>
      </c>
      <c r="L464" s="270">
        <f>21983-14651</f>
        <v>7332</v>
      </c>
      <c r="M464" s="270">
        <v>4500</v>
      </c>
      <c r="N464" s="274">
        <v>519.97</v>
      </c>
      <c r="O464" s="55"/>
      <c r="P464" s="45">
        <v>520</v>
      </c>
      <c r="Q464" s="270">
        <v>591</v>
      </c>
      <c r="R464" s="275">
        <v>-1.0200000000000001E-3</v>
      </c>
      <c r="S464" s="270">
        <v>576</v>
      </c>
      <c r="T464" s="270">
        <v>1096</v>
      </c>
      <c r="U464" s="57">
        <v>1</v>
      </c>
      <c r="V464" s="276">
        <v>0.125</v>
      </c>
      <c r="W464" s="276">
        <v>0.125</v>
      </c>
      <c r="X464" s="270">
        <v>822</v>
      </c>
      <c r="Y464" s="270">
        <v>274</v>
      </c>
      <c r="Z464" s="45" t="b">
        <v>1</v>
      </c>
      <c r="AA464" s="45" t="s">
        <v>38</v>
      </c>
      <c r="AB464" s="45" t="s">
        <v>38</v>
      </c>
    </row>
    <row r="465" spans="1:28" x14ac:dyDescent="0.2">
      <c r="A465" s="96" t="s">
        <v>355</v>
      </c>
      <c r="B465" s="96" t="s">
        <v>978</v>
      </c>
      <c r="C465" s="277">
        <v>44079</v>
      </c>
      <c r="D465" s="277">
        <v>44104</v>
      </c>
      <c r="E465" s="270" t="s">
        <v>300</v>
      </c>
      <c r="F465" s="133" t="s">
        <v>34</v>
      </c>
      <c r="G465" s="270" t="s">
        <v>69</v>
      </c>
      <c r="H465" s="272" t="s">
        <v>73</v>
      </c>
      <c r="I465" s="273">
        <v>100</v>
      </c>
      <c r="J465" s="270">
        <v>87</v>
      </c>
      <c r="K465" s="270">
        <f t="shared" si="0"/>
        <v>8700</v>
      </c>
      <c r="L465" s="270">
        <v>356</v>
      </c>
      <c r="M465" s="270">
        <v>-600</v>
      </c>
      <c r="N465" s="274">
        <v>307.74</v>
      </c>
      <c r="O465" s="55"/>
      <c r="P465" s="45">
        <v>308</v>
      </c>
      <c r="Q465" s="270">
        <v>-358</v>
      </c>
      <c r="R465" s="275">
        <v>-1.0200000000000001E-3</v>
      </c>
      <c r="S465" s="270">
        <v>-367</v>
      </c>
      <c r="T465" s="270">
        <v>-59</v>
      </c>
      <c r="U465" s="57">
        <v>1</v>
      </c>
      <c r="V465" s="276">
        <v>0.125</v>
      </c>
      <c r="W465" s="276">
        <v>0.125</v>
      </c>
      <c r="X465" s="270">
        <v>-44</v>
      </c>
      <c r="Y465" s="270">
        <v>-15</v>
      </c>
      <c r="Z465" s="45" t="b">
        <v>1</v>
      </c>
      <c r="AA465" s="45" t="s">
        <v>38</v>
      </c>
      <c r="AB465" s="45" t="s">
        <v>38</v>
      </c>
    </row>
    <row r="466" spans="1:28" x14ac:dyDescent="0.2">
      <c r="A466" s="96" t="s">
        <v>355</v>
      </c>
      <c r="B466" s="96" t="s">
        <v>978</v>
      </c>
      <c r="C466" s="277">
        <v>44079</v>
      </c>
      <c r="D466" s="277">
        <v>44104</v>
      </c>
      <c r="E466" s="270" t="s">
        <v>300</v>
      </c>
      <c r="F466" s="133" t="s">
        <v>34</v>
      </c>
      <c r="G466" s="270" t="s">
        <v>69</v>
      </c>
      <c r="H466" s="272" t="s">
        <v>75</v>
      </c>
      <c r="I466" s="273">
        <v>20</v>
      </c>
      <c r="J466" s="270">
        <v>116</v>
      </c>
      <c r="K466" s="270">
        <f t="shared" si="0"/>
        <v>2320</v>
      </c>
      <c r="L466" s="270">
        <v>3314</v>
      </c>
      <c r="M466" s="270">
        <v>-100</v>
      </c>
      <c r="N466" s="274">
        <v>98.48</v>
      </c>
      <c r="O466" s="55"/>
      <c r="P466" s="45">
        <v>98</v>
      </c>
      <c r="Q466" s="270">
        <v>58</v>
      </c>
      <c r="R466" s="275">
        <v>-1.0200000000000001E-3</v>
      </c>
      <c r="S466" s="270">
        <v>56</v>
      </c>
      <c r="T466" s="270">
        <v>154</v>
      </c>
      <c r="U466" s="57">
        <v>1</v>
      </c>
      <c r="V466" s="276">
        <v>0.125</v>
      </c>
      <c r="W466" s="276">
        <v>0.125</v>
      </c>
      <c r="X466" s="270">
        <v>116</v>
      </c>
      <c r="Y466" s="270">
        <v>39</v>
      </c>
      <c r="Z466" s="45" t="b">
        <v>1</v>
      </c>
      <c r="AA466" s="45" t="s">
        <v>38</v>
      </c>
      <c r="AB466" s="45" t="s">
        <v>38</v>
      </c>
    </row>
    <row r="467" spans="1:28" x14ac:dyDescent="0.2">
      <c r="A467" s="96" t="s">
        <v>355</v>
      </c>
      <c r="B467" s="96" t="s">
        <v>978</v>
      </c>
      <c r="C467" s="277">
        <v>44079</v>
      </c>
      <c r="D467" s="277">
        <v>44104</v>
      </c>
      <c r="E467" s="270" t="s">
        <v>300</v>
      </c>
      <c r="F467" s="133" t="s">
        <v>34</v>
      </c>
      <c r="G467" s="270" t="s">
        <v>69</v>
      </c>
      <c r="H467" s="272" t="s">
        <v>88</v>
      </c>
      <c r="I467" s="273">
        <v>250</v>
      </c>
      <c r="J467" s="270">
        <v>2051</v>
      </c>
      <c r="K467" s="270">
        <f t="shared" si="0"/>
        <v>512750</v>
      </c>
      <c r="L467" s="270">
        <f>30118-3692</f>
        <v>26426</v>
      </c>
      <c r="M467" s="270">
        <f>-28000-3250</f>
        <v>-31250</v>
      </c>
      <c r="N467" s="274">
        <v>14509.67</v>
      </c>
      <c r="O467" s="55"/>
      <c r="P467" s="105">
        <v>14510</v>
      </c>
      <c r="Q467" s="270">
        <v>-8685</v>
      </c>
      <c r="R467" s="275">
        <v>-1.0200000000000001E-3</v>
      </c>
      <c r="S467" s="270">
        <v>-9208</v>
      </c>
      <c r="T467" s="270">
        <v>5302</v>
      </c>
      <c r="U467" s="57">
        <v>1</v>
      </c>
      <c r="V467" s="276">
        <v>0.125</v>
      </c>
      <c r="W467" s="276">
        <v>0.125</v>
      </c>
      <c r="X467" s="270">
        <v>3976</v>
      </c>
      <c r="Y467" s="270">
        <v>1325</v>
      </c>
      <c r="Z467" s="45" t="b">
        <v>1</v>
      </c>
      <c r="AA467" s="45" t="s">
        <v>38</v>
      </c>
      <c r="AB467" s="45" t="s">
        <v>38</v>
      </c>
    </row>
    <row r="468" spans="1:28" x14ac:dyDescent="0.2">
      <c r="A468" s="96" t="s">
        <v>355</v>
      </c>
      <c r="B468" s="96" t="s">
        <v>978</v>
      </c>
      <c r="C468" s="277">
        <v>44079</v>
      </c>
      <c r="D468" s="277">
        <v>44104</v>
      </c>
      <c r="E468" s="270" t="s">
        <v>300</v>
      </c>
      <c r="F468" s="133" t="s">
        <v>34</v>
      </c>
      <c r="G468" s="270" t="s">
        <v>69</v>
      </c>
      <c r="H468" s="272" t="s">
        <v>76</v>
      </c>
      <c r="I468" s="273">
        <v>50</v>
      </c>
      <c r="J468" s="270">
        <v>37</v>
      </c>
      <c r="K468" s="270">
        <f t="shared" si="0"/>
        <v>1850</v>
      </c>
      <c r="L468" s="270">
        <v>821</v>
      </c>
      <c r="M468" s="270">
        <v>100</v>
      </c>
      <c r="N468" s="274">
        <v>65.44</v>
      </c>
      <c r="O468" s="55"/>
      <c r="P468" s="45">
        <v>65</v>
      </c>
      <c r="Q468" s="270">
        <v>29</v>
      </c>
      <c r="R468" s="275">
        <v>-1.0200000000000001E-3</v>
      </c>
      <c r="S468" s="270">
        <v>27</v>
      </c>
      <c r="T468" s="270">
        <v>93</v>
      </c>
      <c r="U468" s="57">
        <v>1</v>
      </c>
      <c r="V468" s="276">
        <v>0.125</v>
      </c>
      <c r="W468" s="276">
        <v>0.125</v>
      </c>
      <c r="X468" s="270">
        <v>70</v>
      </c>
      <c r="Y468" s="270">
        <v>23</v>
      </c>
      <c r="Z468" s="45" t="b">
        <v>1</v>
      </c>
      <c r="AA468" s="45" t="s">
        <v>38</v>
      </c>
      <c r="AB468" s="45" t="s">
        <v>38</v>
      </c>
    </row>
    <row r="469" spans="1:28" x14ac:dyDescent="0.2">
      <c r="A469" s="96" t="s">
        <v>447</v>
      </c>
      <c r="B469" s="96" t="s">
        <v>910</v>
      </c>
      <c r="C469" s="277">
        <v>44075</v>
      </c>
      <c r="D469" s="277">
        <v>44104</v>
      </c>
      <c r="E469" s="270" t="s">
        <v>300</v>
      </c>
      <c r="F469" s="133" t="s">
        <v>49</v>
      </c>
      <c r="G469" s="279" t="s">
        <v>61</v>
      </c>
      <c r="H469" s="272" t="s">
        <v>93</v>
      </c>
      <c r="I469" s="273">
        <v>25</v>
      </c>
      <c r="J469" s="270">
        <v>2082</v>
      </c>
      <c r="K469" s="270">
        <f t="shared" si="0"/>
        <v>52050</v>
      </c>
      <c r="L469" s="270">
        <v>123010</v>
      </c>
      <c r="M469" s="270">
        <v>1500</v>
      </c>
      <c r="N469" s="274">
        <v>1295</v>
      </c>
      <c r="O469" s="55"/>
      <c r="P469" s="105">
        <v>1295</v>
      </c>
      <c r="Q469" s="270">
        <v>1053</v>
      </c>
      <c r="R469" s="275">
        <v>2.4290000000000002E-3</v>
      </c>
      <c r="S469" s="270">
        <v>1179</v>
      </c>
      <c r="T469" s="270">
        <v>2474</v>
      </c>
      <c r="U469" s="57">
        <v>1</v>
      </c>
      <c r="V469" s="276">
        <v>0.21</v>
      </c>
      <c r="W469" s="276">
        <v>0.11</v>
      </c>
      <c r="X469" s="270">
        <v>1682</v>
      </c>
      <c r="Y469" s="270">
        <v>792</v>
      </c>
      <c r="Z469" s="45" t="b">
        <v>1</v>
      </c>
      <c r="AA469" s="45" t="s">
        <v>50</v>
      </c>
      <c r="AB469" s="45" t="s">
        <v>50</v>
      </c>
    </row>
    <row r="470" spans="1:28" x14ac:dyDescent="0.2">
      <c r="A470" s="96" t="s">
        <v>286</v>
      </c>
      <c r="B470" s="96" t="s">
        <v>286</v>
      </c>
      <c r="C470" s="277">
        <v>44095</v>
      </c>
      <c r="D470" s="277">
        <v>44124</v>
      </c>
      <c r="E470" s="270" t="s">
        <v>267</v>
      </c>
      <c r="F470" s="133" t="s">
        <v>34</v>
      </c>
      <c r="G470" s="96" t="s">
        <v>35</v>
      </c>
      <c r="H470" s="272" t="s">
        <v>177</v>
      </c>
      <c r="I470" s="58">
        <v>5</v>
      </c>
      <c r="J470" s="69">
        <v>10</v>
      </c>
      <c r="K470" s="270">
        <f t="shared" si="0"/>
        <v>50</v>
      </c>
      <c r="L470" s="270">
        <v>-1808</v>
      </c>
      <c r="M470" s="270">
        <v>-40</v>
      </c>
      <c r="N470" s="274"/>
      <c r="O470" s="55"/>
      <c r="P470" s="96"/>
      <c r="Q470" s="270">
        <v>-31</v>
      </c>
      <c r="R470" s="275">
        <v>-1.0200000000000001E-3</v>
      </c>
      <c r="S470" s="270">
        <v>-31</v>
      </c>
      <c r="T470" s="270">
        <v>-31</v>
      </c>
      <c r="U470" s="57">
        <v>1</v>
      </c>
      <c r="V470" s="276">
        <v>0.17</v>
      </c>
      <c r="W470" s="276">
        <v>0</v>
      </c>
      <c r="X470" s="270">
        <v>-26</v>
      </c>
      <c r="Y470" s="270">
        <v>-5</v>
      </c>
      <c r="Z470" s="45" t="b">
        <v>1</v>
      </c>
      <c r="AA470" s="45" t="s">
        <v>38</v>
      </c>
      <c r="AB470" s="45" t="s">
        <v>38</v>
      </c>
    </row>
    <row r="471" spans="1:28" x14ac:dyDescent="0.2">
      <c r="A471" s="96" t="s">
        <v>286</v>
      </c>
      <c r="B471" s="96" t="s">
        <v>286</v>
      </c>
      <c r="C471" s="277">
        <v>44095</v>
      </c>
      <c r="D471" s="277">
        <v>44124</v>
      </c>
      <c r="E471" s="270" t="s">
        <v>267</v>
      </c>
      <c r="F471" s="133" t="s">
        <v>34</v>
      </c>
      <c r="G471" s="96" t="s">
        <v>35</v>
      </c>
      <c r="H471" s="110" t="s">
        <v>979</v>
      </c>
      <c r="I471" s="58">
        <v>10</v>
      </c>
      <c r="J471" s="69">
        <v>504</v>
      </c>
      <c r="K471" s="270">
        <f t="shared" si="0"/>
        <v>5040</v>
      </c>
      <c r="L471" s="270">
        <v>21139</v>
      </c>
      <c r="M471" s="270">
        <v>710</v>
      </c>
      <c r="N471" s="274">
        <v>71</v>
      </c>
      <c r="O471" s="55"/>
      <c r="P471" s="45">
        <v>71</v>
      </c>
      <c r="Q471" s="270">
        <v>221</v>
      </c>
      <c r="R471" s="275">
        <v>-1.0200000000000001E-3</v>
      </c>
      <c r="S471" s="270">
        <v>216</v>
      </c>
      <c r="T471" s="270">
        <v>287</v>
      </c>
      <c r="U471" s="57">
        <v>1</v>
      </c>
      <c r="V471" s="276">
        <v>0.17</v>
      </c>
      <c r="W471" s="276">
        <v>0</v>
      </c>
      <c r="X471" s="270">
        <v>238</v>
      </c>
      <c r="Y471" s="270">
        <v>49</v>
      </c>
      <c r="Z471" s="45" t="b">
        <v>1</v>
      </c>
      <c r="AA471" s="45" t="s">
        <v>38</v>
      </c>
      <c r="AB471" s="45" t="s">
        <v>38</v>
      </c>
    </row>
    <row r="472" spans="1:28" x14ac:dyDescent="0.2">
      <c r="A472" s="96" t="s">
        <v>286</v>
      </c>
      <c r="B472" s="96" t="s">
        <v>286</v>
      </c>
      <c r="C472" s="277">
        <v>44095</v>
      </c>
      <c r="D472" s="277">
        <v>44124</v>
      </c>
      <c r="E472" s="270" t="s">
        <v>267</v>
      </c>
      <c r="F472" s="133" t="s">
        <v>34</v>
      </c>
      <c r="G472" s="96" t="s">
        <v>35</v>
      </c>
      <c r="H472" s="110" t="s">
        <v>46</v>
      </c>
      <c r="I472" s="58">
        <v>25</v>
      </c>
      <c r="J472" s="69">
        <v>238</v>
      </c>
      <c r="K472" s="270">
        <f t="shared" si="0"/>
        <v>5950</v>
      </c>
      <c r="L472" s="270">
        <v>16058</v>
      </c>
      <c r="M472" s="270">
        <v>400</v>
      </c>
      <c r="N472" s="274">
        <v>63</v>
      </c>
      <c r="O472" s="55"/>
      <c r="P472" s="45">
        <v>63</v>
      </c>
      <c r="Q472" s="270">
        <v>364</v>
      </c>
      <c r="R472" s="275">
        <v>-1.0200000000000001E-3</v>
      </c>
      <c r="S472" s="270">
        <v>358</v>
      </c>
      <c r="T472" s="270">
        <v>421</v>
      </c>
      <c r="U472" s="57">
        <v>1</v>
      </c>
      <c r="V472" s="276">
        <v>0.17</v>
      </c>
      <c r="W472" s="276">
        <v>0</v>
      </c>
      <c r="X472" s="270">
        <v>349</v>
      </c>
      <c r="Y472" s="270">
        <v>71</v>
      </c>
      <c r="Z472" s="45" t="b">
        <v>1</v>
      </c>
      <c r="AA472" s="45" t="s">
        <v>38</v>
      </c>
      <c r="AB472" s="45" t="s">
        <v>38</v>
      </c>
    </row>
    <row r="473" spans="1:28" x14ac:dyDescent="0.2">
      <c r="A473" s="96" t="s">
        <v>286</v>
      </c>
      <c r="B473" s="96" t="s">
        <v>286</v>
      </c>
      <c r="C473" s="277">
        <v>44095</v>
      </c>
      <c r="D473" s="277">
        <v>44124</v>
      </c>
      <c r="E473" s="270" t="s">
        <v>267</v>
      </c>
      <c r="F473" s="133" t="s">
        <v>34</v>
      </c>
      <c r="G473" s="96" t="s">
        <v>35</v>
      </c>
      <c r="H473" s="110" t="s">
        <v>87</v>
      </c>
      <c r="I473" s="58">
        <v>25</v>
      </c>
      <c r="J473" s="69">
        <v>1202</v>
      </c>
      <c r="K473" s="270">
        <f t="shared" si="0"/>
        <v>30050</v>
      </c>
      <c r="L473" s="270">
        <v>32756</v>
      </c>
      <c r="M473" s="270">
        <v>700</v>
      </c>
      <c r="N473" s="274">
        <v>316</v>
      </c>
      <c r="O473" s="55"/>
      <c r="P473" s="45">
        <v>316</v>
      </c>
      <c r="Q473" s="270">
        <v>608</v>
      </c>
      <c r="R473" s="275">
        <v>-1.0200000000000001E-3</v>
      </c>
      <c r="S473" s="270">
        <v>577</v>
      </c>
      <c r="T473" s="270">
        <v>893</v>
      </c>
      <c r="U473" s="57">
        <v>1</v>
      </c>
      <c r="V473" s="276">
        <v>0.17</v>
      </c>
      <c r="W473" s="276">
        <v>0</v>
      </c>
      <c r="X473" s="270">
        <v>741</v>
      </c>
      <c r="Y473" s="270">
        <v>152</v>
      </c>
      <c r="Z473" s="45" t="b">
        <v>1</v>
      </c>
      <c r="AA473" s="45" t="s">
        <v>38</v>
      </c>
      <c r="AB473" s="45" t="s">
        <v>38</v>
      </c>
    </row>
    <row r="474" spans="1:28" x14ac:dyDescent="0.2">
      <c r="A474" s="96" t="s">
        <v>286</v>
      </c>
      <c r="B474" s="96" t="s">
        <v>286</v>
      </c>
      <c r="C474" s="277">
        <v>44095</v>
      </c>
      <c r="D474" s="277">
        <v>44124</v>
      </c>
      <c r="E474" s="270" t="s">
        <v>267</v>
      </c>
      <c r="F474" s="133" t="s">
        <v>34</v>
      </c>
      <c r="G474" s="96" t="s">
        <v>35</v>
      </c>
      <c r="H474" s="272" t="s">
        <v>963</v>
      </c>
      <c r="I474" s="58">
        <v>50</v>
      </c>
      <c r="J474" s="69">
        <v>314</v>
      </c>
      <c r="K474" s="270">
        <f t="shared" si="0"/>
        <v>15700</v>
      </c>
      <c r="L474" s="270">
        <v>6290</v>
      </c>
      <c r="M474" s="270">
        <v>-600</v>
      </c>
      <c r="N474" s="274">
        <v>165</v>
      </c>
      <c r="O474" s="55"/>
      <c r="P474" s="45">
        <v>165</v>
      </c>
      <c r="Q474" s="270">
        <v>-422</v>
      </c>
      <c r="R474" s="275">
        <v>-1.0200000000000001E-3</v>
      </c>
      <c r="S474" s="270">
        <v>-438</v>
      </c>
      <c r="T474" s="270">
        <v>-273</v>
      </c>
      <c r="U474" s="57">
        <v>1</v>
      </c>
      <c r="V474" s="276">
        <v>0.17</v>
      </c>
      <c r="W474" s="276">
        <v>0</v>
      </c>
      <c r="X474" s="270">
        <v>-227</v>
      </c>
      <c r="Y474" s="270">
        <v>-46</v>
      </c>
      <c r="Z474" s="45" t="b">
        <v>1</v>
      </c>
      <c r="AA474" s="45" t="s">
        <v>38</v>
      </c>
      <c r="AB474" s="45" t="s">
        <v>38</v>
      </c>
    </row>
    <row r="475" spans="1:28" x14ac:dyDescent="0.2">
      <c r="A475" s="96" t="s">
        <v>286</v>
      </c>
      <c r="B475" s="96" t="s">
        <v>286</v>
      </c>
      <c r="C475" s="277">
        <v>44095</v>
      </c>
      <c r="D475" s="277">
        <v>44124</v>
      </c>
      <c r="E475" s="270" t="s">
        <v>267</v>
      </c>
      <c r="F475" s="133" t="s">
        <v>34</v>
      </c>
      <c r="G475" s="96" t="s">
        <v>35</v>
      </c>
      <c r="H475" s="110" t="s">
        <v>971</v>
      </c>
      <c r="I475" s="58">
        <v>50</v>
      </c>
      <c r="J475" s="69">
        <v>384</v>
      </c>
      <c r="K475" s="270">
        <f t="shared" si="0"/>
        <v>19200</v>
      </c>
      <c r="L475" s="270">
        <v>3825</v>
      </c>
      <c r="M475" s="270">
        <v>-1550</v>
      </c>
      <c r="N475" s="274">
        <v>202</v>
      </c>
      <c r="O475" s="55"/>
      <c r="P475" s="45">
        <v>202</v>
      </c>
      <c r="Q475" s="270">
        <v>-621</v>
      </c>
      <c r="R475" s="275">
        <v>-1.0200000000000001E-3</v>
      </c>
      <c r="S475" s="270">
        <v>-641</v>
      </c>
      <c r="T475" s="270">
        <v>-439</v>
      </c>
      <c r="U475" s="57">
        <v>1</v>
      </c>
      <c r="V475" s="276">
        <v>0.17</v>
      </c>
      <c r="W475" s="276">
        <v>0</v>
      </c>
      <c r="X475" s="270">
        <v>-364</v>
      </c>
      <c r="Y475" s="270">
        <v>-75</v>
      </c>
      <c r="Z475" s="45" t="b">
        <v>1</v>
      </c>
      <c r="AA475" s="45" t="s">
        <v>38</v>
      </c>
      <c r="AB475" s="45" t="s">
        <v>38</v>
      </c>
    </row>
    <row r="476" spans="1:28" x14ac:dyDescent="0.2">
      <c r="A476" s="96" t="s">
        <v>60</v>
      </c>
      <c r="B476" s="96" t="s">
        <v>60</v>
      </c>
      <c r="C476" s="277">
        <v>44095</v>
      </c>
      <c r="D476" s="277">
        <v>44124</v>
      </c>
      <c r="E476" s="270" t="s">
        <v>267</v>
      </c>
      <c r="F476" s="133" t="s">
        <v>34</v>
      </c>
      <c r="G476" s="270" t="s">
        <v>61</v>
      </c>
      <c r="H476" s="272" t="s">
        <v>980</v>
      </c>
      <c r="I476" s="273">
        <v>5</v>
      </c>
      <c r="J476" s="270">
        <v>140</v>
      </c>
      <c r="K476" s="270">
        <f t="shared" si="0"/>
        <v>700</v>
      </c>
      <c r="L476" s="270">
        <v>20823</v>
      </c>
      <c r="M476" s="270">
        <v>300</v>
      </c>
      <c r="N476" s="274"/>
      <c r="O476" s="55"/>
      <c r="P476" s="96"/>
      <c r="Q476" s="270">
        <v>128</v>
      </c>
      <c r="R476" s="275">
        <v>-1.0200000000000001E-3</v>
      </c>
      <c r="S476" s="270">
        <v>128</v>
      </c>
      <c r="T476" s="270">
        <v>128</v>
      </c>
      <c r="U476" s="57">
        <v>1</v>
      </c>
      <c r="V476" s="276">
        <v>0.3</v>
      </c>
      <c r="W476" s="276">
        <v>0</v>
      </c>
      <c r="X476" s="270">
        <v>89</v>
      </c>
      <c r="Y476" s="270">
        <v>38</v>
      </c>
      <c r="Z476" s="45" t="b">
        <v>1</v>
      </c>
      <c r="AA476" s="45" t="s">
        <v>50</v>
      </c>
      <c r="AB476" s="45" t="s">
        <v>50</v>
      </c>
    </row>
    <row r="477" spans="1:28" x14ac:dyDescent="0.2">
      <c r="A477" s="96" t="s">
        <v>60</v>
      </c>
      <c r="B477" s="96" t="s">
        <v>60</v>
      </c>
      <c r="C477" s="277">
        <v>44095</v>
      </c>
      <c r="D477" s="277">
        <v>44124</v>
      </c>
      <c r="E477" s="270" t="s">
        <v>267</v>
      </c>
      <c r="F477" s="133" t="s">
        <v>34</v>
      </c>
      <c r="G477" s="270" t="s">
        <v>61</v>
      </c>
      <c r="H477" s="272" t="s">
        <v>63</v>
      </c>
      <c r="I477" s="273">
        <v>10</v>
      </c>
      <c r="J477" s="270">
        <v>915</v>
      </c>
      <c r="K477" s="270">
        <f t="shared" si="0"/>
        <v>9150</v>
      </c>
      <c r="L477" s="270">
        <v>73990</v>
      </c>
      <c r="M477" s="270">
        <v>1030</v>
      </c>
      <c r="N477" s="274">
        <v>1</v>
      </c>
      <c r="O477" s="55"/>
      <c r="P477" s="45">
        <v>1</v>
      </c>
      <c r="Q477" s="270">
        <v>548</v>
      </c>
      <c r="R477" s="275">
        <v>-1.0200000000000001E-3</v>
      </c>
      <c r="S477" s="270">
        <v>539</v>
      </c>
      <c r="T477" s="270">
        <v>540</v>
      </c>
      <c r="U477" s="57">
        <v>1</v>
      </c>
      <c r="V477" s="276">
        <v>0.3</v>
      </c>
      <c r="W477" s="276">
        <v>0</v>
      </c>
      <c r="X477" s="270">
        <v>378</v>
      </c>
      <c r="Y477" s="270">
        <v>162</v>
      </c>
      <c r="Z477" s="45" t="b">
        <v>1</v>
      </c>
      <c r="AA477" s="45" t="s">
        <v>50</v>
      </c>
      <c r="AB477" s="45" t="s">
        <v>50</v>
      </c>
    </row>
    <row r="478" spans="1:28" x14ac:dyDescent="0.2">
      <c r="A478" s="96" t="s">
        <v>60</v>
      </c>
      <c r="B478" s="96" t="s">
        <v>60</v>
      </c>
      <c r="C478" s="277">
        <v>44095</v>
      </c>
      <c r="D478" s="277">
        <v>44124</v>
      </c>
      <c r="E478" s="270" t="s">
        <v>267</v>
      </c>
      <c r="F478" s="133" t="s">
        <v>34</v>
      </c>
      <c r="G478" s="270" t="s">
        <v>61</v>
      </c>
      <c r="H478" s="272" t="s">
        <v>93</v>
      </c>
      <c r="I478" s="273">
        <v>25</v>
      </c>
      <c r="J478" s="270">
        <v>113</v>
      </c>
      <c r="K478" s="270">
        <f t="shared" si="0"/>
        <v>2825</v>
      </c>
      <c r="L478" s="270">
        <v>3916</v>
      </c>
      <c r="M478" s="270">
        <v>150</v>
      </c>
      <c r="N478" s="274"/>
      <c r="O478" s="55"/>
      <c r="P478" s="96"/>
      <c r="Q478" s="270">
        <v>-68</v>
      </c>
      <c r="R478" s="275">
        <v>-1.0200000000000001E-3</v>
      </c>
      <c r="S478" s="270">
        <v>-71</v>
      </c>
      <c r="T478" s="270">
        <v>-71</v>
      </c>
      <c r="U478" s="57">
        <v>1</v>
      </c>
      <c r="V478" s="276">
        <v>0.3</v>
      </c>
      <c r="W478" s="276">
        <v>0</v>
      </c>
      <c r="X478" s="270">
        <v>-50</v>
      </c>
      <c r="Y478" s="270">
        <v>-21</v>
      </c>
      <c r="Z478" s="45" t="b">
        <v>1</v>
      </c>
      <c r="AA478" s="45" t="s">
        <v>50</v>
      </c>
      <c r="AB478" s="45" t="s">
        <v>50</v>
      </c>
    </row>
    <row r="479" spans="1:28" x14ac:dyDescent="0.2">
      <c r="A479" s="96" t="s">
        <v>82</v>
      </c>
      <c r="B479" s="96" t="s">
        <v>82</v>
      </c>
      <c r="C479" s="277">
        <v>44095</v>
      </c>
      <c r="D479" s="277">
        <v>44124</v>
      </c>
      <c r="E479" s="270" t="s">
        <v>300</v>
      </c>
      <c r="F479" s="133" t="s">
        <v>34</v>
      </c>
      <c r="G479" s="96" t="s">
        <v>35</v>
      </c>
      <c r="H479" s="272" t="s">
        <v>46</v>
      </c>
      <c r="I479" s="58">
        <v>25</v>
      </c>
      <c r="J479" s="69">
        <v>565</v>
      </c>
      <c r="K479" s="270">
        <f t="shared" si="0"/>
        <v>14125</v>
      </c>
      <c r="L479" s="279">
        <v>-4536</v>
      </c>
      <c r="M479" s="279">
        <v>-1975</v>
      </c>
      <c r="N479" s="274">
        <v>339</v>
      </c>
      <c r="O479" s="55"/>
      <c r="P479" s="45">
        <v>339</v>
      </c>
      <c r="Q479" s="279">
        <v>-1114</v>
      </c>
      <c r="R479" s="275">
        <v>-1.0200000000000001E-3</v>
      </c>
      <c r="S479" s="279">
        <v>-1129</v>
      </c>
      <c r="T479" s="279">
        <v>-790</v>
      </c>
      <c r="U479" s="57">
        <v>1</v>
      </c>
      <c r="V479" s="276">
        <v>0.25</v>
      </c>
      <c r="W479" s="276">
        <v>0.1</v>
      </c>
      <c r="X479" s="279">
        <v>-513</v>
      </c>
      <c r="Y479" s="279">
        <v>-276</v>
      </c>
      <c r="Z479" s="45" t="b">
        <v>1</v>
      </c>
      <c r="AA479" s="45" t="s">
        <v>38</v>
      </c>
      <c r="AB479" s="45" t="s">
        <v>38</v>
      </c>
    </row>
    <row r="480" spans="1:28" x14ac:dyDescent="0.2">
      <c r="A480" s="96" t="s">
        <v>82</v>
      </c>
      <c r="B480" s="96" t="s">
        <v>82</v>
      </c>
      <c r="C480" s="277">
        <v>44095</v>
      </c>
      <c r="D480" s="277">
        <v>44124</v>
      </c>
      <c r="E480" s="270" t="s">
        <v>300</v>
      </c>
      <c r="F480" s="133" t="s">
        <v>34</v>
      </c>
      <c r="G480" s="96" t="s">
        <v>35</v>
      </c>
      <c r="H480" s="272" t="s">
        <v>963</v>
      </c>
      <c r="I480" s="58">
        <v>50</v>
      </c>
      <c r="J480" s="69">
        <v>3577</v>
      </c>
      <c r="K480" s="270">
        <f t="shared" si="0"/>
        <v>178850</v>
      </c>
      <c r="L480" s="279">
        <v>73490</v>
      </c>
      <c r="M480" s="279">
        <v>-500</v>
      </c>
      <c r="N480" s="274">
        <v>4277</v>
      </c>
      <c r="O480" s="55"/>
      <c r="P480" s="105">
        <v>4277</v>
      </c>
      <c r="Q480" s="279">
        <v>-4633</v>
      </c>
      <c r="R480" s="275">
        <v>-1.0200000000000001E-3</v>
      </c>
      <c r="S480" s="279">
        <v>-4815</v>
      </c>
      <c r="T480" s="279">
        <v>-538</v>
      </c>
      <c r="U480" s="57">
        <v>1</v>
      </c>
      <c r="V480" s="276">
        <v>0.25</v>
      </c>
      <c r="W480" s="276">
        <v>0.1</v>
      </c>
      <c r="X480" s="279">
        <v>-350</v>
      </c>
      <c r="Y480" s="279">
        <v>-188</v>
      </c>
      <c r="Z480" s="45" t="b">
        <v>1</v>
      </c>
      <c r="AA480" s="45" t="s">
        <v>38</v>
      </c>
      <c r="AB480" s="45" t="s">
        <v>38</v>
      </c>
    </row>
    <row r="481" spans="1:28" x14ac:dyDescent="0.2">
      <c r="A481" s="96" t="s">
        <v>154</v>
      </c>
      <c r="B481" s="96" t="s">
        <v>154</v>
      </c>
      <c r="C481" s="277">
        <v>44095</v>
      </c>
      <c r="D481" s="277">
        <v>44124</v>
      </c>
      <c r="E481" s="270" t="s">
        <v>267</v>
      </c>
      <c r="F481" s="96" t="s">
        <v>34</v>
      </c>
      <c r="G481" s="270" t="s">
        <v>35</v>
      </c>
      <c r="H481" s="272" t="s">
        <v>86</v>
      </c>
      <c r="I481" s="273">
        <v>5</v>
      </c>
      <c r="J481" s="270">
        <v>1</v>
      </c>
      <c r="K481" s="270">
        <f t="shared" si="0"/>
        <v>5</v>
      </c>
      <c r="L481" s="270">
        <v>529</v>
      </c>
      <c r="M481" s="270">
        <v>-5</v>
      </c>
      <c r="N481" s="274"/>
      <c r="O481" s="55"/>
      <c r="P481" s="96"/>
      <c r="Q481" s="270">
        <v>4</v>
      </c>
      <c r="R481" s="275">
        <v>-1.0200000000000001E-3</v>
      </c>
      <c r="S481" s="270">
        <v>4</v>
      </c>
      <c r="T481" s="270">
        <v>4</v>
      </c>
      <c r="U481" s="57">
        <v>1</v>
      </c>
      <c r="V481" s="276">
        <v>0.2</v>
      </c>
      <c r="W481" s="276">
        <v>0</v>
      </c>
      <c r="X481" s="270">
        <v>4</v>
      </c>
      <c r="Y481" s="270">
        <v>1</v>
      </c>
      <c r="Z481" s="45" t="b">
        <v>1</v>
      </c>
      <c r="AA481" s="45" t="s">
        <v>38</v>
      </c>
      <c r="AB481" s="45" t="s">
        <v>38</v>
      </c>
    </row>
    <row r="482" spans="1:28" x14ac:dyDescent="0.2">
      <c r="A482" s="96" t="s">
        <v>154</v>
      </c>
      <c r="B482" s="96" t="s">
        <v>154</v>
      </c>
      <c r="C482" s="277">
        <v>44095</v>
      </c>
      <c r="D482" s="277">
        <v>44124</v>
      </c>
      <c r="E482" s="270" t="s">
        <v>267</v>
      </c>
      <c r="F482" s="96" t="s">
        <v>34</v>
      </c>
      <c r="G482" s="270" t="s">
        <v>35</v>
      </c>
      <c r="H482" s="272" t="s">
        <v>192</v>
      </c>
      <c r="I482" s="273">
        <v>10</v>
      </c>
      <c r="J482" s="270">
        <v>360</v>
      </c>
      <c r="K482" s="270">
        <f t="shared" si="0"/>
        <v>3600</v>
      </c>
      <c r="L482" s="270">
        <v>18188</v>
      </c>
      <c r="M482" s="270">
        <v>470</v>
      </c>
      <c r="N482" s="274">
        <v>16</v>
      </c>
      <c r="O482" s="55"/>
      <c r="P482" s="45">
        <v>16</v>
      </c>
      <c r="Q482" s="270">
        <v>28</v>
      </c>
      <c r="R482" s="275">
        <v>-1.0200000000000001E-3</v>
      </c>
      <c r="S482" s="270">
        <v>25</v>
      </c>
      <c r="T482" s="270">
        <v>41</v>
      </c>
      <c r="U482" s="57">
        <v>1</v>
      </c>
      <c r="V482" s="276">
        <v>0.2</v>
      </c>
      <c r="W482" s="276">
        <v>0</v>
      </c>
      <c r="X482" s="270">
        <v>33</v>
      </c>
      <c r="Y482" s="270">
        <v>8</v>
      </c>
      <c r="Z482" s="45" t="b">
        <v>1</v>
      </c>
      <c r="AA482" s="45" t="s">
        <v>38</v>
      </c>
      <c r="AB482" s="45" t="s">
        <v>38</v>
      </c>
    </row>
    <row r="483" spans="1:28" x14ac:dyDescent="0.2">
      <c r="A483" s="96" t="s">
        <v>154</v>
      </c>
      <c r="B483" s="96" t="s">
        <v>154</v>
      </c>
      <c r="C483" s="277">
        <v>44095</v>
      </c>
      <c r="D483" s="277">
        <v>44124</v>
      </c>
      <c r="E483" s="270" t="s">
        <v>267</v>
      </c>
      <c r="F483" s="96" t="s">
        <v>34</v>
      </c>
      <c r="G483" s="270" t="s">
        <v>35</v>
      </c>
      <c r="H483" s="272" t="s">
        <v>46</v>
      </c>
      <c r="I483" s="273">
        <v>25</v>
      </c>
      <c r="J483" s="270">
        <v>1946</v>
      </c>
      <c r="K483" s="270">
        <f t="shared" si="0"/>
        <v>48650</v>
      </c>
      <c r="L483" s="270">
        <v>24902</v>
      </c>
      <c r="M483" s="270">
        <v>-1700</v>
      </c>
      <c r="N483" s="274">
        <v>166</v>
      </c>
      <c r="O483" s="55"/>
      <c r="P483" s="45">
        <v>166</v>
      </c>
      <c r="Q483" s="270">
        <v>-1959</v>
      </c>
      <c r="R483" s="275">
        <v>-1.0200000000000001E-3</v>
      </c>
      <c r="S483" s="270">
        <v>-2009</v>
      </c>
      <c r="T483" s="270">
        <v>-1843</v>
      </c>
      <c r="U483" s="57">
        <v>1</v>
      </c>
      <c r="V483" s="276">
        <v>0.2</v>
      </c>
      <c r="W483" s="276">
        <v>0</v>
      </c>
      <c r="X483" s="270">
        <v>-1474</v>
      </c>
      <c r="Y483" s="270">
        <v>-369</v>
      </c>
      <c r="Z483" s="45" t="b">
        <v>1</v>
      </c>
      <c r="AA483" s="45" t="s">
        <v>38</v>
      </c>
      <c r="AB483" s="45" t="s">
        <v>38</v>
      </c>
    </row>
    <row r="484" spans="1:28" x14ac:dyDescent="0.2">
      <c r="A484" s="96" t="s">
        <v>178</v>
      </c>
      <c r="B484" s="96" t="s">
        <v>178</v>
      </c>
      <c r="C484" s="277">
        <v>44095</v>
      </c>
      <c r="D484" s="277">
        <v>44124</v>
      </c>
      <c r="E484" s="270" t="s">
        <v>267</v>
      </c>
      <c r="F484" s="133" t="s">
        <v>34</v>
      </c>
      <c r="G484" s="96" t="s">
        <v>35</v>
      </c>
      <c r="H484" s="272" t="s">
        <v>86</v>
      </c>
      <c r="I484" s="58">
        <v>5</v>
      </c>
      <c r="J484" s="69">
        <v>1375</v>
      </c>
      <c r="K484" s="270">
        <f t="shared" si="0"/>
        <v>6875</v>
      </c>
      <c r="L484" s="279">
        <v>104302</v>
      </c>
      <c r="M484" s="279">
        <v>40</v>
      </c>
      <c r="N484" s="274"/>
      <c r="O484" s="55"/>
      <c r="P484" s="96"/>
      <c r="Q484" s="279">
        <v>421</v>
      </c>
      <c r="R484" s="275">
        <v>-1.0200000000000001E-3</v>
      </c>
      <c r="S484" s="279">
        <v>414</v>
      </c>
      <c r="T484" s="279">
        <v>414</v>
      </c>
      <c r="U484" s="57">
        <v>1</v>
      </c>
      <c r="V484" s="276">
        <v>0.2</v>
      </c>
      <c r="W484" s="276">
        <v>0</v>
      </c>
      <c r="X484" s="279">
        <v>331</v>
      </c>
      <c r="Y484" s="279">
        <v>83</v>
      </c>
      <c r="Z484" s="45" t="b">
        <v>1</v>
      </c>
      <c r="AA484" s="45" t="s">
        <v>38</v>
      </c>
      <c r="AB484" s="45" t="s">
        <v>38</v>
      </c>
    </row>
    <row r="485" spans="1:28" x14ac:dyDescent="0.2">
      <c r="A485" s="96" t="s">
        <v>508</v>
      </c>
      <c r="B485" s="96" t="s">
        <v>508</v>
      </c>
      <c r="C485" s="277">
        <v>44095</v>
      </c>
      <c r="D485" s="277">
        <v>44124</v>
      </c>
      <c r="E485" s="270" t="s">
        <v>300</v>
      </c>
      <c r="F485" s="96" t="s">
        <v>34</v>
      </c>
      <c r="G485" s="96" t="s">
        <v>35</v>
      </c>
      <c r="H485" s="272" t="s">
        <v>963</v>
      </c>
      <c r="I485" s="58">
        <v>50</v>
      </c>
      <c r="J485" s="69">
        <v>3</v>
      </c>
      <c r="K485" s="270">
        <f t="shared" si="0"/>
        <v>150</v>
      </c>
      <c r="L485" s="270">
        <v>1077</v>
      </c>
      <c r="M485" s="270">
        <v>250</v>
      </c>
      <c r="N485" s="274">
        <v>1</v>
      </c>
      <c r="O485" s="55"/>
      <c r="P485" s="45">
        <v>1</v>
      </c>
      <c r="Q485" s="270">
        <v>91</v>
      </c>
      <c r="R485" s="275">
        <v>-1.0200000000000001E-3</v>
      </c>
      <c r="S485" s="270">
        <v>91</v>
      </c>
      <c r="T485" s="270">
        <v>92</v>
      </c>
      <c r="U485" s="57">
        <v>1</v>
      </c>
      <c r="V485" s="276">
        <v>0.13500000000000001</v>
      </c>
      <c r="W485" s="276">
        <v>4.4999999999999998E-2</v>
      </c>
      <c r="X485" s="270">
        <v>75</v>
      </c>
      <c r="Y485" s="270">
        <v>17</v>
      </c>
      <c r="Z485" s="45" t="b">
        <v>1</v>
      </c>
      <c r="AA485" s="45" t="s">
        <v>38</v>
      </c>
      <c r="AB485" s="45" t="s">
        <v>38</v>
      </c>
    </row>
    <row r="486" spans="1:28" x14ac:dyDescent="0.2">
      <c r="A486" s="96" t="s">
        <v>508</v>
      </c>
      <c r="B486" s="96" t="s">
        <v>508</v>
      </c>
      <c r="C486" s="277">
        <v>44095</v>
      </c>
      <c r="D486" s="277">
        <v>44124</v>
      </c>
      <c r="E486" s="270" t="s">
        <v>300</v>
      </c>
      <c r="F486" s="96" t="s">
        <v>34</v>
      </c>
      <c r="G486" s="96" t="s">
        <v>35</v>
      </c>
      <c r="H486" s="110" t="s">
        <v>70</v>
      </c>
      <c r="I486" s="58">
        <v>100</v>
      </c>
      <c r="J486" s="69">
        <v>1981</v>
      </c>
      <c r="K486" s="270">
        <f t="shared" si="0"/>
        <v>198100</v>
      </c>
      <c r="L486" s="270">
        <v>87501</v>
      </c>
      <c r="M486" s="270">
        <v>-700</v>
      </c>
      <c r="N486" s="274">
        <v>1162</v>
      </c>
      <c r="O486" s="55"/>
      <c r="P486" s="105">
        <v>1162</v>
      </c>
      <c r="Q486" s="270">
        <v>5733</v>
      </c>
      <c r="R486" s="275">
        <v>-1.0200000000000001E-3</v>
      </c>
      <c r="S486" s="270">
        <v>5531</v>
      </c>
      <c r="T486" s="270">
        <v>6693</v>
      </c>
      <c r="U486" s="57">
        <v>1</v>
      </c>
      <c r="V486" s="276">
        <v>0.13500000000000001</v>
      </c>
      <c r="W486" s="276">
        <v>4.4999999999999998E-2</v>
      </c>
      <c r="X486" s="270">
        <v>5488</v>
      </c>
      <c r="Y486" s="270">
        <v>1205</v>
      </c>
      <c r="Z486" s="45" t="b">
        <v>1</v>
      </c>
      <c r="AA486" s="45" t="s">
        <v>38</v>
      </c>
      <c r="AB486" s="45" t="s">
        <v>38</v>
      </c>
    </row>
    <row r="487" spans="1:28" x14ac:dyDescent="0.2">
      <c r="A487" s="96" t="s">
        <v>508</v>
      </c>
      <c r="B487" s="96" t="s">
        <v>508</v>
      </c>
      <c r="C487" s="277">
        <v>44095</v>
      </c>
      <c r="D487" s="277">
        <v>44124</v>
      </c>
      <c r="E487" s="270" t="s">
        <v>300</v>
      </c>
      <c r="F487" s="96" t="s">
        <v>34</v>
      </c>
      <c r="G487" s="96" t="s">
        <v>35</v>
      </c>
      <c r="H487" s="272" t="s">
        <v>981</v>
      </c>
      <c r="I487" s="58">
        <v>250</v>
      </c>
      <c r="J487" s="69">
        <v>1014</v>
      </c>
      <c r="K487" s="270">
        <f t="shared" si="0"/>
        <v>253500</v>
      </c>
      <c r="L487" s="270">
        <v>22256</v>
      </c>
      <c r="M487" s="270">
        <v>-1500</v>
      </c>
      <c r="N487" s="274">
        <v>1487</v>
      </c>
      <c r="O487" s="55"/>
      <c r="P487" s="105">
        <v>1487</v>
      </c>
      <c r="Q487" s="270">
        <v>-2509</v>
      </c>
      <c r="R487" s="275">
        <v>-1.0200000000000001E-3</v>
      </c>
      <c r="S487" s="270">
        <v>-2767</v>
      </c>
      <c r="T487" s="270">
        <v>-1280</v>
      </c>
      <c r="U487" s="57">
        <v>1</v>
      </c>
      <c r="V487" s="276">
        <v>0.15</v>
      </c>
      <c r="W487" s="276">
        <v>0.05</v>
      </c>
      <c r="X487" s="270">
        <v>-1024</v>
      </c>
      <c r="Y487" s="270">
        <v>-256</v>
      </c>
      <c r="Z487" s="45" t="b">
        <v>1</v>
      </c>
      <c r="AA487" s="45" t="s">
        <v>38</v>
      </c>
      <c r="AB487" s="45" t="s">
        <v>38</v>
      </c>
    </row>
    <row r="488" spans="1:28" x14ac:dyDescent="0.2">
      <c r="A488" s="96" t="s">
        <v>508</v>
      </c>
      <c r="B488" s="96" t="s">
        <v>508</v>
      </c>
      <c r="C488" s="277">
        <v>44095</v>
      </c>
      <c r="D488" s="277">
        <v>44124</v>
      </c>
      <c r="E488" s="270" t="s">
        <v>300</v>
      </c>
      <c r="F488" s="96" t="s">
        <v>41</v>
      </c>
      <c r="G488" s="96" t="s">
        <v>35</v>
      </c>
      <c r="H488" s="272" t="s">
        <v>142</v>
      </c>
      <c r="I488" s="58">
        <v>500</v>
      </c>
      <c r="J488" s="69">
        <v>1</v>
      </c>
      <c r="K488" s="270">
        <f t="shared" si="0"/>
        <v>500</v>
      </c>
      <c r="L488" s="270"/>
      <c r="M488" s="270">
        <v>-500</v>
      </c>
      <c r="N488" s="274">
        <v>3</v>
      </c>
      <c r="O488" s="55"/>
      <c r="P488" s="45">
        <v>3</v>
      </c>
      <c r="Q488" s="270"/>
      <c r="R488" s="275">
        <v>0</v>
      </c>
      <c r="S488" s="270"/>
      <c r="T488" s="270">
        <v>-497</v>
      </c>
      <c r="U488" s="57">
        <v>1</v>
      </c>
      <c r="V488" s="276">
        <v>0.15</v>
      </c>
      <c r="W488" s="276">
        <v>0.05</v>
      </c>
      <c r="X488" s="270">
        <v>-398</v>
      </c>
      <c r="Y488" s="270">
        <v>-99</v>
      </c>
      <c r="Z488" s="45" t="b">
        <v>1</v>
      </c>
      <c r="AA488" s="45" t="s">
        <v>38</v>
      </c>
      <c r="AB488" s="45" t="s">
        <v>38</v>
      </c>
    </row>
    <row r="489" spans="1:28" x14ac:dyDescent="0.2">
      <c r="A489" s="96" t="s">
        <v>191</v>
      </c>
      <c r="B489" s="96" t="s">
        <v>191</v>
      </c>
      <c r="C489" s="277">
        <v>44095</v>
      </c>
      <c r="D489" s="277">
        <v>44124</v>
      </c>
      <c r="E489" s="270" t="s">
        <v>267</v>
      </c>
      <c r="F489" s="96" t="s">
        <v>34</v>
      </c>
      <c r="G489" s="270" t="s">
        <v>35</v>
      </c>
      <c r="H489" s="272" t="s">
        <v>86</v>
      </c>
      <c r="I489" s="273">
        <v>5</v>
      </c>
      <c r="J489" s="270">
        <v>1854</v>
      </c>
      <c r="K489" s="270">
        <f t="shared" si="0"/>
        <v>9270</v>
      </c>
      <c r="L489" s="270">
        <v>126350</v>
      </c>
      <c r="M489" s="270">
        <v>405</v>
      </c>
      <c r="N489" s="274">
        <v>33</v>
      </c>
      <c r="O489" s="55"/>
      <c r="P489" s="45">
        <v>33</v>
      </c>
      <c r="Q489" s="270">
        <v>473</v>
      </c>
      <c r="R489" s="275">
        <v>-1.0200000000000001E-3</v>
      </c>
      <c r="S489" s="270">
        <v>463</v>
      </c>
      <c r="T489" s="270">
        <v>496</v>
      </c>
      <c r="U489" s="57">
        <v>1</v>
      </c>
      <c r="V489" s="276">
        <v>0.25</v>
      </c>
      <c r="W489" s="276">
        <v>0</v>
      </c>
      <c r="X489" s="270">
        <v>372</v>
      </c>
      <c r="Y489" s="270">
        <v>124</v>
      </c>
      <c r="Z489" s="45" t="b">
        <v>1</v>
      </c>
      <c r="AA489" s="45" t="s">
        <v>38</v>
      </c>
      <c r="AB489" s="45" t="s">
        <v>38</v>
      </c>
    </row>
    <row r="490" spans="1:28" x14ac:dyDescent="0.2">
      <c r="A490" s="96" t="s">
        <v>191</v>
      </c>
      <c r="B490" s="96" t="s">
        <v>191</v>
      </c>
      <c r="C490" s="277">
        <v>44095</v>
      </c>
      <c r="D490" s="277">
        <v>44124</v>
      </c>
      <c r="E490" s="270" t="s">
        <v>267</v>
      </c>
      <c r="F490" s="96" t="s">
        <v>34</v>
      </c>
      <c r="G490" s="270" t="s">
        <v>35</v>
      </c>
      <c r="H490" s="272" t="s">
        <v>192</v>
      </c>
      <c r="I490" s="273">
        <v>10</v>
      </c>
      <c r="J490" s="270">
        <v>510</v>
      </c>
      <c r="K490" s="270">
        <f t="shared" si="0"/>
        <v>5100</v>
      </c>
      <c r="L490" s="270">
        <v>38720</v>
      </c>
      <c r="M490" s="270">
        <v>480</v>
      </c>
      <c r="N490" s="274">
        <v>21</v>
      </c>
      <c r="O490" s="55"/>
      <c r="P490" s="45">
        <v>21</v>
      </c>
      <c r="Q490" s="270">
        <v>274</v>
      </c>
      <c r="R490" s="275">
        <v>-1.0200000000000001E-3</v>
      </c>
      <c r="S490" s="270">
        <v>269</v>
      </c>
      <c r="T490" s="270">
        <v>290</v>
      </c>
      <c r="U490" s="57">
        <v>1</v>
      </c>
      <c r="V490" s="276">
        <v>0.25</v>
      </c>
      <c r="W490" s="276">
        <v>0</v>
      </c>
      <c r="X490" s="270">
        <v>217</v>
      </c>
      <c r="Y490" s="270">
        <v>72</v>
      </c>
      <c r="Z490" s="45" t="b">
        <v>1</v>
      </c>
      <c r="AA490" s="45" t="s">
        <v>38</v>
      </c>
      <c r="AB490" s="45" t="s">
        <v>38</v>
      </c>
    </row>
    <row r="491" spans="1:28" x14ac:dyDescent="0.2">
      <c r="A491" s="96" t="s">
        <v>206</v>
      </c>
      <c r="B491" s="96" t="s">
        <v>982</v>
      </c>
      <c r="C491" s="277">
        <v>44095</v>
      </c>
      <c r="D491" s="277">
        <v>44124</v>
      </c>
      <c r="E491" s="270" t="s">
        <v>267</v>
      </c>
      <c r="F491" s="133" t="s">
        <v>34</v>
      </c>
      <c r="G491" s="96" t="s">
        <v>69</v>
      </c>
      <c r="H491" s="272" t="s">
        <v>70</v>
      </c>
      <c r="I491" s="58">
        <v>100</v>
      </c>
      <c r="J491" s="69">
        <v>3185</v>
      </c>
      <c r="K491" s="270">
        <f t="shared" si="0"/>
        <v>318500</v>
      </c>
      <c r="L491" s="270">
        <v>52418</v>
      </c>
      <c r="M491" s="270">
        <v>-100</v>
      </c>
      <c r="N491" s="274">
        <v>6092</v>
      </c>
      <c r="O491" s="55"/>
      <c r="P491" s="105">
        <v>6092</v>
      </c>
      <c r="Q491" s="270">
        <v>-7296</v>
      </c>
      <c r="R491" s="275">
        <v>-1.0200000000000001E-3</v>
      </c>
      <c r="S491" s="270">
        <v>-7621</v>
      </c>
      <c r="T491" s="270">
        <v>-1529</v>
      </c>
      <c r="U491" s="57">
        <v>1</v>
      </c>
      <c r="V491" s="276">
        <v>0.22</v>
      </c>
      <c r="W491" s="276">
        <v>0</v>
      </c>
      <c r="X491" s="270">
        <v>-1192</v>
      </c>
      <c r="Y491" s="270">
        <v>-336</v>
      </c>
      <c r="Z491" s="45" t="b">
        <v>1</v>
      </c>
      <c r="AA491" s="45" t="s">
        <v>38</v>
      </c>
      <c r="AB491" s="45" t="s">
        <v>38</v>
      </c>
    </row>
    <row r="492" spans="1:28" x14ac:dyDescent="0.2">
      <c r="A492" s="96" t="s">
        <v>206</v>
      </c>
      <c r="B492" s="96" t="s">
        <v>982</v>
      </c>
      <c r="C492" s="277">
        <v>44095</v>
      </c>
      <c r="D492" s="277">
        <v>44124</v>
      </c>
      <c r="E492" s="270" t="s">
        <v>267</v>
      </c>
      <c r="F492" s="133" t="s">
        <v>34</v>
      </c>
      <c r="G492" s="96" t="s">
        <v>69</v>
      </c>
      <c r="H492" s="272" t="s">
        <v>72</v>
      </c>
      <c r="I492" s="58">
        <v>50</v>
      </c>
      <c r="J492" s="69">
        <v>47</v>
      </c>
      <c r="K492" s="270">
        <f t="shared" si="0"/>
        <v>2350</v>
      </c>
      <c r="L492" s="270">
        <v>-1803</v>
      </c>
      <c r="M492" s="270">
        <v>-1350</v>
      </c>
      <c r="N492" s="274">
        <v>2050</v>
      </c>
      <c r="O492" s="55"/>
      <c r="P492" s="105">
        <v>2050</v>
      </c>
      <c r="Q492" s="270">
        <v>-297</v>
      </c>
      <c r="R492" s="275">
        <v>-1.0200000000000001E-3</v>
      </c>
      <c r="S492" s="270">
        <v>-300</v>
      </c>
      <c r="T492" s="270">
        <v>1750</v>
      </c>
      <c r="U492" s="57">
        <v>1</v>
      </c>
      <c r="V492" s="276">
        <v>0.22</v>
      </c>
      <c r="W492" s="276">
        <v>0</v>
      </c>
      <c r="X492" s="270">
        <v>1365</v>
      </c>
      <c r="Y492" s="270">
        <v>385</v>
      </c>
      <c r="Z492" s="45" t="b">
        <v>1</v>
      </c>
      <c r="AA492" s="45" t="s">
        <v>38</v>
      </c>
      <c r="AB492" s="45" t="s">
        <v>38</v>
      </c>
    </row>
    <row r="493" spans="1:28" x14ac:dyDescent="0.2">
      <c r="A493" s="96" t="s">
        <v>145</v>
      </c>
      <c r="B493" s="96" t="s">
        <v>145</v>
      </c>
      <c r="C493" s="277">
        <v>44105</v>
      </c>
      <c r="D493" s="277">
        <v>44135</v>
      </c>
      <c r="E493" s="270" t="s">
        <v>267</v>
      </c>
      <c r="F493" s="133" t="s">
        <v>49</v>
      </c>
      <c r="G493" s="279" t="s">
        <v>35</v>
      </c>
      <c r="H493" s="272" t="s">
        <v>70</v>
      </c>
      <c r="I493" s="273">
        <v>100</v>
      </c>
      <c r="J493" s="270">
        <v>2963</v>
      </c>
      <c r="K493" s="270">
        <f t="shared" si="0"/>
        <v>296300</v>
      </c>
      <c r="L493" s="270">
        <v>155537</v>
      </c>
      <c r="M493" s="270">
        <v>13000</v>
      </c>
      <c r="N493" s="274">
        <v>4357</v>
      </c>
      <c r="O493" s="55"/>
      <c r="P493" s="105">
        <v>4357</v>
      </c>
      <c r="Q493" s="270">
        <v>13157</v>
      </c>
      <c r="R493" s="275">
        <v>-6.2100000000000002E-4</v>
      </c>
      <c r="S493" s="270">
        <v>12973</v>
      </c>
      <c r="T493" s="270">
        <v>17330</v>
      </c>
      <c r="U493" s="57">
        <v>1</v>
      </c>
      <c r="V493" s="276">
        <v>0.12</v>
      </c>
      <c r="W493" s="276">
        <v>0</v>
      </c>
      <c r="X493" s="270">
        <v>15250</v>
      </c>
      <c r="Y493" s="270">
        <v>2080</v>
      </c>
      <c r="Z493" s="45" t="b">
        <v>1</v>
      </c>
      <c r="AA493" s="45" t="s">
        <v>38</v>
      </c>
      <c r="AB493" s="45" t="s">
        <v>38</v>
      </c>
    </row>
    <row r="494" spans="1:28" x14ac:dyDescent="0.2">
      <c r="A494" s="96" t="s">
        <v>145</v>
      </c>
      <c r="B494" s="96" t="s">
        <v>145</v>
      </c>
      <c r="C494" s="277">
        <v>44105</v>
      </c>
      <c r="D494" s="277">
        <v>44135</v>
      </c>
      <c r="E494" s="270" t="s">
        <v>267</v>
      </c>
      <c r="F494" s="133" t="s">
        <v>49</v>
      </c>
      <c r="G494" s="279" t="s">
        <v>35</v>
      </c>
      <c r="H494" s="272" t="s">
        <v>84</v>
      </c>
      <c r="I494" s="273">
        <v>100</v>
      </c>
      <c r="J494" s="270">
        <v>2</v>
      </c>
      <c r="K494" s="270">
        <f t="shared" si="0"/>
        <v>200</v>
      </c>
      <c r="L494" s="270">
        <v>-109</v>
      </c>
      <c r="M494" s="270">
        <v>100</v>
      </c>
      <c r="N494" s="274">
        <v>2</v>
      </c>
      <c r="O494" s="55"/>
      <c r="P494" s="45">
        <v>2</v>
      </c>
      <c r="Q494" s="270">
        <v>-45</v>
      </c>
      <c r="R494" s="275">
        <v>-7.5100000000000004E-4</v>
      </c>
      <c r="S494" s="270">
        <v>-45</v>
      </c>
      <c r="T494" s="270">
        <v>-43</v>
      </c>
      <c r="U494" s="57">
        <v>1</v>
      </c>
      <c r="V494" s="276">
        <v>0.12</v>
      </c>
      <c r="W494" s="276">
        <v>0</v>
      </c>
      <c r="X494" s="270">
        <v>-38</v>
      </c>
      <c r="Y494" s="270">
        <v>-5</v>
      </c>
      <c r="Z494" s="45" t="b">
        <v>1</v>
      </c>
      <c r="AA494" s="45" t="s">
        <v>38</v>
      </c>
      <c r="AB494" s="45" t="s">
        <v>38</v>
      </c>
    </row>
    <row r="495" spans="1:28" x14ac:dyDescent="0.2">
      <c r="A495" s="96" t="s">
        <v>355</v>
      </c>
      <c r="B495" s="96" t="s">
        <v>978</v>
      </c>
      <c r="C495" s="277">
        <v>44105</v>
      </c>
      <c r="D495" s="277">
        <v>44135</v>
      </c>
      <c r="E495" s="270" t="s">
        <v>300</v>
      </c>
      <c r="F495" s="133" t="s">
        <v>41</v>
      </c>
      <c r="G495" s="270" t="s">
        <v>69</v>
      </c>
      <c r="H495" s="272" t="s">
        <v>70</v>
      </c>
      <c r="I495" s="273">
        <v>100</v>
      </c>
      <c r="J495" s="270">
        <v>1</v>
      </c>
      <c r="K495" s="270">
        <f t="shared" si="0"/>
        <v>100</v>
      </c>
      <c r="L495" s="270">
        <v>0</v>
      </c>
      <c r="M495" s="270">
        <v>0</v>
      </c>
      <c r="N495" s="274">
        <v>1215</v>
      </c>
      <c r="O495" s="55"/>
      <c r="P495" s="105">
        <v>1215</v>
      </c>
      <c r="Q495" s="270">
        <v>-5</v>
      </c>
      <c r="R495" s="275">
        <v>0</v>
      </c>
      <c r="S495" s="270">
        <v>-5</v>
      </c>
      <c r="T495" s="270">
        <v>1215</v>
      </c>
      <c r="U495" s="57">
        <v>1</v>
      </c>
      <c r="V495" s="276">
        <v>0</v>
      </c>
      <c r="W495" s="276">
        <v>0.125</v>
      </c>
      <c r="X495" s="270">
        <v>1063</v>
      </c>
      <c r="Y495" s="270">
        <v>152</v>
      </c>
      <c r="Z495" s="45" t="b">
        <v>1</v>
      </c>
      <c r="AA495" s="45" t="s">
        <v>38</v>
      </c>
      <c r="AB495" s="45" t="s">
        <v>38</v>
      </c>
    </row>
    <row r="496" spans="1:28" x14ac:dyDescent="0.2">
      <c r="A496" s="96" t="s">
        <v>355</v>
      </c>
      <c r="B496" s="96" t="s">
        <v>978</v>
      </c>
      <c r="C496" s="277">
        <v>44105</v>
      </c>
      <c r="D496" s="277">
        <v>44135</v>
      </c>
      <c r="E496" s="270" t="s">
        <v>300</v>
      </c>
      <c r="F496" s="133" t="s">
        <v>34</v>
      </c>
      <c r="G496" s="270" t="s">
        <v>69</v>
      </c>
      <c r="H496" s="272" t="s">
        <v>70</v>
      </c>
      <c r="I496" s="273">
        <v>100</v>
      </c>
      <c r="J496" s="270">
        <v>386</v>
      </c>
      <c r="K496" s="270">
        <f t="shared" si="0"/>
        <v>38600</v>
      </c>
      <c r="L496" s="270">
        <v>16765</v>
      </c>
      <c r="M496" s="270">
        <v>-1100</v>
      </c>
      <c r="N496" s="274">
        <v>1052.27</v>
      </c>
      <c r="O496" s="55"/>
      <c r="P496" s="105">
        <v>1052</v>
      </c>
      <c r="Q496" s="270">
        <v>1083</v>
      </c>
      <c r="R496" s="275">
        <v>-3.0999999999999999E-3</v>
      </c>
      <c r="S496" s="270">
        <v>963</v>
      </c>
      <c r="T496" s="270">
        <v>2016</v>
      </c>
      <c r="U496" s="57">
        <v>1</v>
      </c>
      <c r="V496" s="276">
        <v>0</v>
      </c>
      <c r="W496" s="276">
        <v>0.125</v>
      </c>
      <c r="X496" s="270">
        <v>1764</v>
      </c>
      <c r="Y496" s="270">
        <v>252</v>
      </c>
      <c r="Z496" s="45" t="b">
        <v>1</v>
      </c>
      <c r="AA496" s="45" t="s">
        <v>38</v>
      </c>
      <c r="AB496" s="45" t="s">
        <v>38</v>
      </c>
    </row>
    <row r="497" spans="1:28" x14ac:dyDescent="0.2">
      <c r="A497" s="96" t="s">
        <v>355</v>
      </c>
      <c r="B497" s="96" t="s">
        <v>978</v>
      </c>
      <c r="C497" s="277">
        <v>44105</v>
      </c>
      <c r="D497" s="277">
        <v>44135</v>
      </c>
      <c r="E497" s="270" t="s">
        <v>300</v>
      </c>
      <c r="F497" s="133" t="s">
        <v>34</v>
      </c>
      <c r="G497" s="270" t="s">
        <v>69</v>
      </c>
      <c r="H497" s="272" t="s">
        <v>73</v>
      </c>
      <c r="I497" s="273">
        <v>100</v>
      </c>
      <c r="J497" s="270">
        <v>548</v>
      </c>
      <c r="K497" s="270">
        <f t="shared" si="0"/>
        <v>54800</v>
      </c>
      <c r="L497" s="270">
        <v>-9212</v>
      </c>
      <c r="M497" s="270">
        <v>-7100</v>
      </c>
      <c r="N497" s="274">
        <v>1493.9</v>
      </c>
      <c r="O497" s="55"/>
      <c r="P497" s="105">
        <v>1494</v>
      </c>
      <c r="Q497" s="270">
        <v>-5860</v>
      </c>
      <c r="R497" s="275">
        <v>-3.0999999999999999E-3</v>
      </c>
      <c r="S497" s="270">
        <v>-6030</v>
      </c>
      <c r="T497" s="270">
        <v>-4536</v>
      </c>
      <c r="U497" s="57">
        <v>1</v>
      </c>
      <c r="V497" s="276">
        <v>0</v>
      </c>
      <c r="W497" s="276">
        <v>0.125</v>
      </c>
      <c r="X497" s="270">
        <v>-3969</v>
      </c>
      <c r="Y497" s="270">
        <v>-567</v>
      </c>
      <c r="Z497" s="45" t="b">
        <v>1</v>
      </c>
      <c r="AA497" s="45" t="s">
        <v>38</v>
      </c>
      <c r="AB497" s="45" t="s">
        <v>38</v>
      </c>
    </row>
    <row r="498" spans="1:28" x14ac:dyDescent="0.2">
      <c r="A498" s="96" t="s">
        <v>355</v>
      </c>
      <c r="B498" s="96" t="s">
        <v>978</v>
      </c>
      <c r="C498" s="277">
        <v>44105</v>
      </c>
      <c r="D498" s="277">
        <v>44135</v>
      </c>
      <c r="E498" s="270" t="s">
        <v>300</v>
      </c>
      <c r="F498" s="133" t="s">
        <v>34</v>
      </c>
      <c r="G498" s="270" t="s">
        <v>69</v>
      </c>
      <c r="H498" s="272" t="s">
        <v>75</v>
      </c>
      <c r="I498" s="273">
        <v>20</v>
      </c>
      <c r="J498" s="270">
        <v>1</v>
      </c>
      <c r="K498" s="270">
        <f t="shared" si="0"/>
        <v>20</v>
      </c>
      <c r="L498" s="270">
        <v>8</v>
      </c>
      <c r="M498" s="270">
        <v>-20</v>
      </c>
      <c r="N498" s="274">
        <v>0.65</v>
      </c>
      <c r="O498" s="55"/>
      <c r="P498" s="45">
        <v>1</v>
      </c>
      <c r="Q498" s="270">
        <v>-1</v>
      </c>
      <c r="R498" s="275">
        <v>-3.0999999999999999E-3</v>
      </c>
      <c r="S498" s="270">
        <v>-1</v>
      </c>
      <c r="T498" s="270">
        <v>0</v>
      </c>
      <c r="U498" s="57">
        <v>1</v>
      </c>
      <c r="V498" s="276">
        <v>0</v>
      </c>
      <c r="W498" s="276">
        <v>0.125</v>
      </c>
      <c r="X498" s="270">
        <v>0</v>
      </c>
      <c r="Y498" s="270">
        <v>0</v>
      </c>
      <c r="Z498" s="45" t="b">
        <v>1</v>
      </c>
      <c r="AA498" s="45" t="s">
        <v>38</v>
      </c>
      <c r="AB498" s="45" t="s">
        <v>38</v>
      </c>
    </row>
    <row r="499" spans="1:28" x14ac:dyDescent="0.2">
      <c r="A499" s="96" t="s">
        <v>355</v>
      </c>
      <c r="B499" s="96" t="s">
        <v>978</v>
      </c>
      <c r="C499" s="277">
        <v>44105</v>
      </c>
      <c r="D499" s="277">
        <v>44135</v>
      </c>
      <c r="E499" s="270" t="s">
        <v>300</v>
      </c>
      <c r="F499" s="133" t="s">
        <v>34</v>
      </c>
      <c r="G499" s="270" t="s">
        <v>69</v>
      </c>
      <c r="H499" s="272" t="s">
        <v>88</v>
      </c>
      <c r="I499" s="273">
        <v>250</v>
      </c>
      <c r="J499" s="270">
        <v>1266</v>
      </c>
      <c r="K499" s="270">
        <f t="shared" si="0"/>
        <v>316500</v>
      </c>
      <c r="L499" s="270">
        <v>12795</v>
      </c>
      <c r="M499" s="270">
        <v>-14250</v>
      </c>
      <c r="N499" s="274">
        <v>6902.47</v>
      </c>
      <c r="O499" s="55"/>
      <c r="P499" s="105">
        <v>6902</v>
      </c>
      <c r="Q499" s="270">
        <v>-7045</v>
      </c>
      <c r="R499" s="275">
        <v>-3.0999999999999999E-3</v>
      </c>
      <c r="S499" s="270">
        <v>-8026</v>
      </c>
      <c r="T499" s="270">
        <v>-1123</v>
      </c>
      <c r="U499" s="57">
        <v>1</v>
      </c>
      <c r="V499" s="276">
        <v>0</v>
      </c>
      <c r="W499" s="276">
        <v>0.125</v>
      </c>
      <c r="X499" s="270">
        <v>-983</v>
      </c>
      <c r="Y499" s="270">
        <v>-140</v>
      </c>
      <c r="Z499" s="45" t="b">
        <v>1</v>
      </c>
      <c r="AA499" s="45" t="s">
        <v>38</v>
      </c>
      <c r="AB499" s="45" t="s">
        <v>38</v>
      </c>
    </row>
    <row r="500" spans="1:28" x14ac:dyDescent="0.2">
      <c r="A500" s="96" t="s">
        <v>355</v>
      </c>
      <c r="B500" s="96" t="s">
        <v>978</v>
      </c>
      <c r="C500" s="277">
        <v>44105</v>
      </c>
      <c r="D500" s="277">
        <v>44135</v>
      </c>
      <c r="E500" s="270" t="s">
        <v>300</v>
      </c>
      <c r="F500" s="133" t="s">
        <v>34</v>
      </c>
      <c r="G500" s="270" t="s">
        <v>69</v>
      </c>
      <c r="H500" s="272" t="s">
        <v>72</v>
      </c>
      <c r="I500" s="273">
        <v>50</v>
      </c>
      <c r="J500" s="270">
        <v>8</v>
      </c>
      <c r="K500" s="270">
        <f t="shared" si="0"/>
        <v>400</v>
      </c>
      <c r="L500" s="270">
        <v>718</v>
      </c>
      <c r="M500" s="270">
        <v>300</v>
      </c>
      <c r="N500" s="274">
        <v>10.9</v>
      </c>
      <c r="O500" s="55"/>
      <c r="P500" s="45">
        <v>11</v>
      </c>
      <c r="Q500" s="270">
        <v>46</v>
      </c>
      <c r="R500" s="275">
        <v>-3.0999999999999999E-3</v>
      </c>
      <c r="S500" s="270">
        <v>45</v>
      </c>
      <c r="T500" s="270">
        <v>56</v>
      </c>
      <c r="U500" s="57">
        <v>1</v>
      </c>
      <c r="V500" s="276">
        <v>0</v>
      </c>
      <c r="W500" s="276">
        <v>0.125</v>
      </c>
      <c r="X500" s="270">
        <v>49</v>
      </c>
      <c r="Y500" s="270">
        <v>7</v>
      </c>
      <c r="Z500" s="45" t="b">
        <v>1</v>
      </c>
      <c r="AA500" s="45" t="s">
        <v>38</v>
      </c>
      <c r="AB500" s="45" t="s">
        <v>38</v>
      </c>
    </row>
    <row r="501" spans="1:28" x14ac:dyDescent="0.2">
      <c r="A501" s="96" t="s">
        <v>355</v>
      </c>
      <c r="B501" s="96" t="s">
        <v>978</v>
      </c>
      <c r="C501" s="277">
        <v>44105</v>
      </c>
      <c r="D501" s="277">
        <v>44135</v>
      </c>
      <c r="E501" s="270" t="s">
        <v>300</v>
      </c>
      <c r="F501" s="133" t="s">
        <v>34</v>
      </c>
      <c r="G501" s="270" t="s">
        <v>69</v>
      </c>
      <c r="H501" s="272" t="s">
        <v>76</v>
      </c>
      <c r="I501" s="273">
        <v>50</v>
      </c>
      <c r="J501" s="270">
        <v>48</v>
      </c>
      <c r="K501" s="270">
        <f t="shared" si="0"/>
        <v>2400</v>
      </c>
      <c r="L501" s="270">
        <v>1286</v>
      </c>
      <c r="M501" s="270">
        <v>-600</v>
      </c>
      <c r="N501" s="274">
        <v>65.430000000000007</v>
      </c>
      <c r="O501" s="55"/>
      <c r="P501" s="45">
        <v>65</v>
      </c>
      <c r="Q501" s="270">
        <v>73</v>
      </c>
      <c r="R501" s="275">
        <v>-3.0999999999999999E-3</v>
      </c>
      <c r="S501" s="270">
        <v>65</v>
      </c>
      <c r="T501" s="270">
        <v>131</v>
      </c>
      <c r="U501" s="57">
        <v>1</v>
      </c>
      <c r="V501" s="276">
        <v>0</v>
      </c>
      <c r="W501" s="276">
        <v>0.125</v>
      </c>
      <c r="X501" s="270">
        <v>115</v>
      </c>
      <c r="Y501" s="270">
        <v>16</v>
      </c>
      <c r="Z501" s="45" t="b">
        <v>1</v>
      </c>
      <c r="AA501" s="45" t="s">
        <v>38</v>
      </c>
      <c r="AB501" s="45" t="s">
        <v>38</v>
      </c>
    </row>
    <row r="502" spans="1:28" x14ac:dyDescent="0.2">
      <c r="A502" s="96" t="s">
        <v>355</v>
      </c>
      <c r="B502" s="96" t="s">
        <v>978</v>
      </c>
      <c r="C502" s="277">
        <v>44105</v>
      </c>
      <c r="D502" s="277">
        <v>44135</v>
      </c>
      <c r="E502" s="270" t="s">
        <v>300</v>
      </c>
      <c r="F502" s="133" t="s">
        <v>34</v>
      </c>
      <c r="G502" s="270" t="s">
        <v>69</v>
      </c>
      <c r="H502" s="272" t="s">
        <v>142</v>
      </c>
      <c r="I502" s="273">
        <v>500</v>
      </c>
      <c r="J502" s="270">
        <v>1136</v>
      </c>
      <c r="K502" s="270">
        <f t="shared" si="0"/>
        <v>568000</v>
      </c>
      <c r="L502" s="270">
        <v>-10748</v>
      </c>
      <c r="M502" s="270">
        <v>-19000</v>
      </c>
      <c r="N502" s="274">
        <v>12387.37</v>
      </c>
      <c r="O502" s="55"/>
      <c r="P502" s="105">
        <v>12387</v>
      </c>
      <c r="Q502" s="270">
        <v>-33468</v>
      </c>
      <c r="R502" s="275">
        <v>-3.0999999999999999E-3</v>
      </c>
      <c r="S502" s="270">
        <v>-35228</v>
      </c>
      <c r="T502" s="270">
        <v>-22841</v>
      </c>
      <c r="U502" s="57">
        <v>1</v>
      </c>
      <c r="V502" s="276">
        <v>0</v>
      </c>
      <c r="W502" s="276">
        <v>0.125</v>
      </c>
      <c r="X502" s="270">
        <v>-19986</v>
      </c>
      <c r="Y502" s="270">
        <v>-2855</v>
      </c>
      <c r="Z502" s="45" t="b">
        <v>1</v>
      </c>
      <c r="AA502" s="45" t="s">
        <v>38</v>
      </c>
      <c r="AB502" s="45" t="s">
        <v>38</v>
      </c>
    </row>
    <row r="503" spans="1:28" x14ac:dyDescent="0.2">
      <c r="A503" s="96" t="s">
        <v>355</v>
      </c>
      <c r="B503" s="96" t="s">
        <v>978</v>
      </c>
      <c r="C503" s="277">
        <v>44105</v>
      </c>
      <c r="D503" s="277">
        <v>44135</v>
      </c>
      <c r="E503" s="270" t="s">
        <v>300</v>
      </c>
      <c r="F503" s="133" t="s">
        <v>34</v>
      </c>
      <c r="G503" s="270" t="s">
        <v>69</v>
      </c>
      <c r="H503" s="272" t="s">
        <v>70</v>
      </c>
      <c r="I503" s="273">
        <v>100</v>
      </c>
      <c r="J503" s="270">
        <v>45</v>
      </c>
      <c r="K503" s="270">
        <f t="shared" si="0"/>
        <v>4500</v>
      </c>
      <c r="L503" s="270">
        <v>854</v>
      </c>
      <c r="M503" s="270">
        <v>217</v>
      </c>
      <c r="N503" s="274"/>
      <c r="O503" s="55"/>
      <c r="P503" s="96"/>
      <c r="Q503" s="270">
        <v>90</v>
      </c>
      <c r="R503" s="275">
        <v>-3.0999999999999999E-3</v>
      </c>
      <c r="S503" s="270">
        <v>76</v>
      </c>
      <c r="T503" s="270">
        <v>76</v>
      </c>
      <c r="U503" s="57">
        <v>1</v>
      </c>
      <c r="V503" s="276">
        <v>0</v>
      </c>
      <c r="W503" s="276">
        <v>0.125</v>
      </c>
      <c r="X503" s="270">
        <v>67</v>
      </c>
      <c r="Y503" s="270">
        <v>10</v>
      </c>
      <c r="Z503" s="45" t="b">
        <v>1</v>
      </c>
      <c r="AA503" s="45" t="s">
        <v>38</v>
      </c>
      <c r="AB503" s="45" t="s">
        <v>38</v>
      </c>
    </row>
    <row r="504" spans="1:28" x14ac:dyDescent="0.2">
      <c r="A504" s="96" t="s">
        <v>447</v>
      </c>
      <c r="B504" s="96" t="s">
        <v>910</v>
      </c>
      <c r="C504" s="277">
        <v>44105</v>
      </c>
      <c r="D504" s="277">
        <v>44135</v>
      </c>
      <c r="E504" s="270" t="s">
        <v>300</v>
      </c>
      <c r="F504" s="133" t="s">
        <v>49</v>
      </c>
      <c r="G504" s="279" t="s">
        <v>61</v>
      </c>
      <c r="H504" s="272" t="s">
        <v>93</v>
      </c>
      <c r="I504" s="273">
        <v>25</v>
      </c>
      <c r="J504" s="270">
        <v>1100</v>
      </c>
      <c r="K504" s="270">
        <f t="shared" si="0"/>
        <v>27500</v>
      </c>
      <c r="L504" s="270">
        <v>66863</v>
      </c>
      <c r="M504" s="270">
        <v>2075</v>
      </c>
      <c r="N504" s="274">
        <v>1030</v>
      </c>
      <c r="O504" s="55"/>
      <c r="P504" s="105">
        <v>1030</v>
      </c>
      <c r="Q504" s="270">
        <v>641</v>
      </c>
      <c r="R504" s="275">
        <v>-5.9400000000000002E-4</v>
      </c>
      <c r="S504" s="270">
        <v>625</v>
      </c>
      <c r="T504" s="270">
        <v>1655</v>
      </c>
      <c r="U504" s="57">
        <v>1</v>
      </c>
      <c r="V504" s="276">
        <v>0.21</v>
      </c>
      <c r="W504" s="276">
        <v>0.11</v>
      </c>
      <c r="X504" s="270">
        <v>1125</v>
      </c>
      <c r="Y504" s="270">
        <v>530</v>
      </c>
      <c r="Z504" s="45" t="b">
        <v>1</v>
      </c>
      <c r="AA504" s="45" t="s">
        <v>50</v>
      </c>
      <c r="AB504" s="45" t="s">
        <v>50</v>
      </c>
    </row>
    <row r="505" spans="1:28" x14ac:dyDescent="0.2">
      <c r="A505" s="96" t="s">
        <v>447</v>
      </c>
      <c r="B505" s="96" t="s">
        <v>910</v>
      </c>
      <c r="C505" s="277">
        <v>44105</v>
      </c>
      <c r="D505" s="277">
        <v>44135</v>
      </c>
      <c r="E505" s="270" t="s">
        <v>300</v>
      </c>
      <c r="F505" s="133" t="s">
        <v>49</v>
      </c>
      <c r="G505" s="279" t="s">
        <v>61</v>
      </c>
      <c r="H505" s="272" t="s">
        <v>109</v>
      </c>
      <c r="I505" s="273">
        <v>50</v>
      </c>
      <c r="J505" s="270">
        <v>507</v>
      </c>
      <c r="K505" s="270">
        <f t="shared" si="0"/>
        <v>25350</v>
      </c>
      <c r="L505" s="270">
        <v>35535</v>
      </c>
      <c r="M505" s="270">
        <v>200</v>
      </c>
      <c r="N505" s="274">
        <v>700</v>
      </c>
      <c r="O505" s="55"/>
      <c r="P505" s="45">
        <v>700</v>
      </c>
      <c r="Q505" s="270">
        <v>1021</v>
      </c>
      <c r="R505" s="275">
        <v>-6.1399999999999996E-4</v>
      </c>
      <c r="S505" s="270">
        <v>1005</v>
      </c>
      <c r="T505" s="270">
        <v>1705</v>
      </c>
      <c r="U505" s="57">
        <v>1</v>
      </c>
      <c r="V505" s="276">
        <v>0.21</v>
      </c>
      <c r="W505" s="276">
        <v>0.11</v>
      </c>
      <c r="X505" s="270">
        <v>1159</v>
      </c>
      <c r="Y505" s="270">
        <v>546</v>
      </c>
      <c r="Z505" s="45" t="b">
        <v>1</v>
      </c>
      <c r="AA505" s="45" t="s">
        <v>50</v>
      </c>
      <c r="AB505" s="45" t="s">
        <v>50</v>
      </c>
    </row>
    <row r="506" spans="1:28" x14ac:dyDescent="0.2">
      <c r="A506" s="96" t="s">
        <v>206</v>
      </c>
      <c r="B506" s="96" t="s">
        <v>982</v>
      </c>
      <c r="C506" s="277">
        <v>44105</v>
      </c>
      <c r="D506" s="277">
        <v>44135</v>
      </c>
      <c r="E506" s="270" t="s">
        <v>267</v>
      </c>
      <c r="F506" s="133" t="s">
        <v>34</v>
      </c>
      <c r="G506" s="96" t="s">
        <v>69</v>
      </c>
      <c r="H506" s="272" t="s">
        <v>70</v>
      </c>
      <c r="I506" s="58">
        <v>100</v>
      </c>
      <c r="J506" s="69">
        <v>2891</v>
      </c>
      <c r="K506" s="270">
        <f t="shared" si="0"/>
        <v>289100</v>
      </c>
      <c r="L506" s="270">
        <v>34097</v>
      </c>
      <c r="M506" s="270">
        <v>1600</v>
      </c>
      <c r="N506" s="274">
        <v>5840</v>
      </c>
      <c r="O506" s="55"/>
      <c r="P506" s="105">
        <v>5840</v>
      </c>
      <c r="Q506" s="270">
        <v>-9169</v>
      </c>
      <c r="R506" s="275">
        <v>-3.0999999999999999E-3</v>
      </c>
      <c r="S506" s="270">
        <v>-10066</v>
      </c>
      <c r="T506" s="270">
        <v>-4226</v>
      </c>
      <c r="U506" s="57">
        <v>1</v>
      </c>
      <c r="V506" s="276">
        <v>0.22</v>
      </c>
      <c r="W506" s="276">
        <v>0</v>
      </c>
      <c r="X506" s="270">
        <v>-3296</v>
      </c>
      <c r="Y506" s="270">
        <v>-930</v>
      </c>
      <c r="Z506" s="45" t="b">
        <v>1</v>
      </c>
      <c r="AA506" s="45" t="s">
        <v>38</v>
      </c>
      <c r="AB506" s="45" t="s">
        <v>38</v>
      </c>
    </row>
    <row r="507" spans="1:28" x14ac:dyDescent="0.2">
      <c r="A507" s="96" t="s">
        <v>206</v>
      </c>
      <c r="B507" s="96" t="s">
        <v>982</v>
      </c>
      <c r="C507" s="277">
        <v>44105</v>
      </c>
      <c r="D507" s="277">
        <v>44135</v>
      </c>
      <c r="E507" s="270" t="s">
        <v>267</v>
      </c>
      <c r="F507" s="133" t="s">
        <v>34</v>
      </c>
      <c r="G507" s="96" t="s">
        <v>69</v>
      </c>
      <c r="H507" s="272" t="s">
        <v>73</v>
      </c>
      <c r="I507" s="58">
        <v>100</v>
      </c>
      <c r="J507" s="69">
        <v>534</v>
      </c>
      <c r="K507" s="270">
        <f t="shared" si="0"/>
        <v>53400</v>
      </c>
      <c r="L507" s="270">
        <v>-1329</v>
      </c>
      <c r="M507" s="270">
        <v>-7000</v>
      </c>
      <c r="N507" s="274">
        <v>1740</v>
      </c>
      <c r="O507" s="55"/>
      <c r="P507" s="105">
        <v>1740</v>
      </c>
      <c r="Q507" s="270">
        <v>-3302</v>
      </c>
      <c r="R507" s="275">
        <v>-3.0999999999999999E-3</v>
      </c>
      <c r="S507" s="270">
        <v>-3468</v>
      </c>
      <c r="T507" s="270">
        <v>-1728</v>
      </c>
      <c r="U507" s="57">
        <v>1</v>
      </c>
      <c r="V507" s="276">
        <v>0.22</v>
      </c>
      <c r="W507" s="276">
        <v>0</v>
      </c>
      <c r="X507" s="270">
        <v>-1348</v>
      </c>
      <c r="Y507" s="270">
        <v>-380</v>
      </c>
      <c r="Z507" s="45" t="b">
        <v>1</v>
      </c>
      <c r="AA507" s="45" t="s">
        <v>38</v>
      </c>
      <c r="AB507" s="45" t="s">
        <v>38</v>
      </c>
    </row>
    <row r="508" spans="1:28" x14ac:dyDescent="0.2">
      <c r="A508" s="96" t="s">
        <v>206</v>
      </c>
      <c r="B508" s="96" t="s">
        <v>982</v>
      </c>
      <c r="C508" s="277">
        <v>44105</v>
      </c>
      <c r="D508" s="277">
        <v>44135</v>
      </c>
      <c r="E508" s="270" t="s">
        <v>267</v>
      </c>
      <c r="F508" s="133" t="s">
        <v>34</v>
      </c>
      <c r="G508" s="96" t="s">
        <v>69</v>
      </c>
      <c r="H508" s="272" t="s">
        <v>72</v>
      </c>
      <c r="I508" s="58">
        <v>50</v>
      </c>
      <c r="J508" s="69">
        <v>189</v>
      </c>
      <c r="K508" s="270">
        <f t="shared" si="0"/>
        <v>9450</v>
      </c>
      <c r="L508" s="270">
        <v>10866</v>
      </c>
      <c r="M508" s="270">
        <v>-700</v>
      </c>
      <c r="N508" s="274">
        <f>50*80</f>
        <v>4000</v>
      </c>
      <c r="O508" s="55"/>
      <c r="P508" s="105">
        <v>4000</v>
      </c>
      <c r="Q508" s="270">
        <v>516</v>
      </c>
      <c r="R508" s="275">
        <v>-3.0999999999999999E-3</v>
      </c>
      <c r="S508" s="270">
        <v>487</v>
      </c>
      <c r="T508" s="270">
        <v>4487</v>
      </c>
      <c r="U508" s="57">
        <v>1</v>
      </c>
      <c r="V508" s="276">
        <v>0.22</v>
      </c>
      <c r="W508" s="276">
        <v>0</v>
      </c>
      <c r="X508" s="270">
        <v>3500</v>
      </c>
      <c r="Y508" s="270">
        <v>987</v>
      </c>
      <c r="Z508" s="45" t="b">
        <v>1</v>
      </c>
      <c r="AA508" s="45" t="s">
        <v>38</v>
      </c>
      <c r="AB508" s="45" t="s">
        <v>38</v>
      </c>
    </row>
    <row r="509" spans="1:28" x14ac:dyDescent="0.2">
      <c r="A509" s="96" t="s">
        <v>206</v>
      </c>
      <c r="B509" s="96" t="s">
        <v>982</v>
      </c>
      <c r="C509" s="277">
        <v>44105</v>
      </c>
      <c r="D509" s="277">
        <v>44135</v>
      </c>
      <c r="E509" s="270" t="s">
        <v>267</v>
      </c>
      <c r="F509" s="133" t="s">
        <v>34</v>
      </c>
      <c r="G509" s="96" t="s">
        <v>69</v>
      </c>
      <c r="H509" s="272" t="s">
        <v>76</v>
      </c>
      <c r="I509" s="58">
        <v>50</v>
      </c>
      <c r="J509" s="69">
        <v>55</v>
      </c>
      <c r="K509" s="270">
        <f t="shared" si="0"/>
        <v>2750</v>
      </c>
      <c r="L509" s="270">
        <v>-1220</v>
      </c>
      <c r="M509" s="270">
        <v>-1000</v>
      </c>
      <c r="N509" s="274">
        <v>300</v>
      </c>
      <c r="O509" s="55"/>
      <c r="P509" s="45">
        <v>300</v>
      </c>
      <c r="Q509" s="270">
        <v>-341</v>
      </c>
      <c r="R509" s="275">
        <v>-3.0999999999999999E-3</v>
      </c>
      <c r="S509" s="270">
        <v>-349</v>
      </c>
      <c r="T509" s="270">
        <v>-49</v>
      </c>
      <c r="U509" s="57">
        <v>1</v>
      </c>
      <c r="V509" s="276">
        <v>0.22</v>
      </c>
      <c r="W509" s="276">
        <v>0</v>
      </c>
      <c r="X509" s="270">
        <v>-38</v>
      </c>
      <c r="Y509" s="270">
        <v>-11</v>
      </c>
      <c r="Z509" s="45" t="b">
        <v>1</v>
      </c>
      <c r="AA509" s="45" t="s">
        <v>38</v>
      </c>
      <c r="AB509" s="45" t="s">
        <v>38</v>
      </c>
    </row>
    <row r="510" spans="1:28" x14ac:dyDescent="0.2">
      <c r="A510" s="96" t="s">
        <v>286</v>
      </c>
      <c r="B510" s="96" t="s">
        <v>286</v>
      </c>
      <c r="C510" s="277">
        <v>44125</v>
      </c>
      <c r="D510" s="277">
        <v>44155</v>
      </c>
      <c r="E510" s="270" t="s">
        <v>267</v>
      </c>
      <c r="F510" s="133" t="s">
        <v>34</v>
      </c>
      <c r="G510" s="96" t="s">
        <v>35</v>
      </c>
      <c r="H510" s="110" t="s">
        <v>979</v>
      </c>
      <c r="I510" s="58">
        <v>10</v>
      </c>
      <c r="J510" s="69">
        <v>352</v>
      </c>
      <c r="K510" s="270">
        <f t="shared" si="0"/>
        <v>3520</v>
      </c>
      <c r="L510" s="270">
        <v>4875</v>
      </c>
      <c r="M510" s="270">
        <v>-230</v>
      </c>
      <c r="N510" s="274">
        <v>8.1999999999999993</v>
      </c>
      <c r="O510" s="55"/>
      <c r="P510" s="45">
        <v>8</v>
      </c>
      <c r="Q510" s="270">
        <v>-135</v>
      </c>
      <c r="R510" s="275">
        <v>-1.97E-3</v>
      </c>
      <c r="S510" s="270">
        <v>-142</v>
      </c>
      <c r="T510" s="270">
        <v>-134</v>
      </c>
      <c r="U510" s="57">
        <v>1</v>
      </c>
      <c r="V510" s="276">
        <v>0.15</v>
      </c>
      <c r="W510" s="276">
        <v>0</v>
      </c>
      <c r="X510" s="270">
        <v>-114</v>
      </c>
      <c r="Y510" s="270">
        <v>-20</v>
      </c>
      <c r="Z510" s="45" t="b">
        <v>1</v>
      </c>
      <c r="AA510" s="45" t="s">
        <v>38</v>
      </c>
      <c r="AB510" s="45" t="s">
        <v>38</v>
      </c>
    </row>
    <row r="511" spans="1:28" x14ac:dyDescent="0.2">
      <c r="A511" s="96" t="s">
        <v>286</v>
      </c>
      <c r="B511" s="96" t="s">
        <v>286</v>
      </c>
      <c r="C511" s="277">
        <v>44125</v>
      </c>
      <c r="D511" s="277">
        <v>44155</v>
      </c>
      <c r="E511" s="270" t="s">
        <v>267</v>
      </c>
      <c r="F511" s="133" t="s">
        <v>34</v>
      </c>
      <c r="G511" s="96" t="s">
        <v>35</v>
      </c>
      <c r="H511" s="110" t="s">
        <v>46</v>
      </c>
      <c r="I511" s="58">
        <v>25</v>
      </c>
      <c r="J511" s="69">
        <v>398</v>
      </c>
      <c r="K511" s="270">
        <f t="shared" si="0"/>
        <v>9950</v>
      </c>
      <c r="L511" s="270">
        <v>9750</v>
      </c>
      <c r="M511" s="270">
        <v>-25</v>
      </c>
      <c r="N511" s="274">
        <v>17</v>
      </c>
      <c r="O511" s="55"/>
      <c r="P511" s="45">
        <v>17</v>
      </c>
      <c r="Q511" s="270">
        <v>-173</v>
      </c>
      <c r="R511" s="275">
        <v>-1.97E-3</v>
      </c>
      <c r="S511" s="270">
        <v>-192</v>
      </c>
      <c r="T511" s="270">
        <v>-175</v>
      </c>
      <c r="U511" s="57">
        <v>1</v>
      </c>
      <c r="V511" s="276">
        <v>0.15</v>
      </c>
      <c r="W511" s="276">
        <v>0</v>
      </c>
      <c r="X511" s="270">
        <v>-149</v>
      </c>
      <c r="Y511" s="270">
        <v>-26</v>
      </c>
      <c r="Z511" s="45" t="b">
        <v>1</v>
      </c>
      <c r="AA511" s="45" t="s">
        <v>38</v>
      </c>
      <c r="AB511" s="45" t="s">
        <v>38</v>
      </c>
    </row>
    <row r="512" spans="1:28" x14ac:dyDescent="0.2">
      <c r="A512" s="96" t="s">
        <v>286</v>
      </c>
      <c r="B512" s="96" t="s">
        <v>286</v>
      </c>
      <c r="C512" s="277">
        <v>44125</v>
      </c>
      <c r="D512" s="277">
        <v>44155</v>
      </c>
      <c r="E512" s="270" t="s">
        <v>267</v>
      </c>
      <c r="F512" s="133" t="s">
        <v>34</v>
      </c>
      <c r="G512" s="96" t="s">
        <v>35</v>
      </c>
      <c r="H512" s="110" t="s">
        <v>87</v>
      </c>
      <c r="I512" s="58">
        <v>25</v>
      </c>
      <c r="J512" s="69">
        <v>220</v>
      </c>
      <c r="K512" s="270">
        <f t="shared" si="0"/>
        <v>5500</v>
      </c>
      <c r="L512" s="270">
        <v>1367</v>
      </c>
      <c r="M512" s="270">
        <v>400</v>
      </c>
      <c r="N512" s="274">
        <v>9.6999999999999993</v>
      </c>
      <c r="O512" s="55"/>
      <c r="P512" s="45">
        <v>10</v>
      </c>
      <c r="Q512" s="270">
        <v>-234</v>
      </c>
      <c r="R512" s="275">
        <v>-1.97E-3</v>
      </c>
      <c r="S512" s="270">
        <v>-245</v>
      </c>
      <c r="T512" s="270">
        <v>-236</v>
      </c>
      <c r="U512" s="57">
        <v>1</v>
      </c>
      <c r="V512" s="276">
        <v>0.15</v>
      </c>
      <c r="W512" s="276">
        <v>0</v>
      </c>
      <c r="X512" s="270">
        <v>-200</v>
      </c>
      <c r="Y512" s="270">
        <v>-35</v>
      </c>
      <c r="Z512" s="45" t="b">
        <v>1</v>
      </c>
      <c r="AA512" s="45" t="s">
        <v>38</v>
      </c>
      <c r="AB512" s="45" t="s">
        <v>38</v>
      </c>
    </row>
    <row r="513" spans="1:28" x14ac:dyDescent="0.2">
      <c r="A513" s="96" t="s">
        <v>286</v>
      </c>
      <c r="B513" s="96" t="s">
        <v>286</v>
      </c>
      <c r="C513" s="277">
        <v>44125</v>
      </c>
      <c r="D513" s="277">
        <v>44155</v>
      </c>
      <c r="E513" s="270" t="s">
        <v>267</v>
      </c>
      <c r="F513" s="133" t="s">
        <v>34</v>
      </c>
      <c r="G513" s="96" t="s">
        <v>35</v>
      </c>
      <c r="H513" s="272" t="s">
        <v>963</v>
      </c>
      <c r="I513" s="58">
        <v>50</v>
      </c>
      <c r="J513" s="69">
        <v>53</v>
      </c>
      <c r="K513" s="270">
        <f t="shared" si="0"/>
        <v>2650</v>
      </c>
      <c r="L513" s="270">
        <v>-2714</v>
      </c>
      <c r="M513" s="270">
        <v>-1150</v>
      </c>
      <c r="N513" s="274">
        <v>4.7</v>
      </c>
      <c r="O513" s="55"/>
      <c r="P513" s="45">
        <v>5</v>
      </c>
      <c r="Q513" s="270">
        <v>-425</v>
      </c>
      <c r="R513" s="275">
        <v>-1.97E-3</v>
      </c>
      <c r="S513" s="270">
        <v>-430</v>
      </c>
      <c r="T513" s="270">
        <v>-426</v>
      </c>
      <c r="U513" s="57">
        <v>1</v>
      </c>
      <c r="V513" s="276">
        <v>0.15</v>
      </c>
      <c r="W513" s="276">
        <v>0</v>
      </c>
      <c r="X513" s="270">
        <v>-362</v>
      </c>
      <c r="Y513" s="270">
        <v>-64</v>
      </c>
      <c r="Z513" s="45" t="b">
        <v>1</v>
      </c>
      <c r="AA513" s="45" t="s">
        <v>38</v>
      </c>
      <c r="AB513" s="45" t="s">
        <v>38</v>
      </c>
    </row>
    <row r="514" spans="1:28" x14ac:dyDescent="0.2">
      <c r="A514" s="96" t="s">
        <v>60</v>
      </c>
      <c r="B514" s="96" t="s">
        <v>60</v>
      </c>
      <c r="C514" s="277">
        <v>44125</v>
      </c>
      <c r="D514" s="277">
        <v>44155</v>
      </c>
      <c r="E514" s="270" t="s">
        <v>267</v>
      </c>
      <c r="F514" s="133" t="s">
        <v>34</v>
      </c>
      <c r="G514" s="270" t="s">
        <v>61</v>
      </c>
      <c r="H514" s="272" t="s">
        <v>63</v>
      </c>
      <c r="I514" s="273">
        <v>10</v>
      </c>
      <c r="J514" s="270">
        <v>1095</v>
      </c>
      <c r="K514" s="270">
        <f t="shared" si="0"/>
        <v>10950</v>
      </c>
      <c r="L514" s="270">
        <v>88695</v>
      </c>
      <c r="M514" s="270">
        <v>370</v>
      </c>
      <c r="N514" s="274">
        <v>300</v>
      </c>
      <c r="O514" s="55"/>
      <c r="P514" s="45">
        <v>300</v>
      </c>
      <c r="Q514" s="270">
        <v>658</v>
      </c>
      <c r="R514" s="275">
        <v>-1.97E-3</v>
      </c>
      <c r="S514" s="270">
        <v>637</v>
      </c>
      <c r="T514" s="270">
        <v>937</v>
      </c>
      <c r="U514" s="57">
        <v>1</v>
      </c>
      <c r="V514" s="276">
        <v>0.25</v>
      </c>
      <c r="W514" s="276">
        <v>0</v>
      </c>
      <c r="X514" s="270">
        <v>703</v>
      </c>
      <c r="Y514" s="270">
        <v>234</v>
      </c>
      <c r="Z514" s="45" t="b">
        <v>1</v>
      </c>
      <c r="AA514" s="45" t="s">
        <v>50</v>
      </c>
      <c r="AB514" s="45" t="s">
        <v>50</v>
      </c>
    </row>
    <row r="515" spans="1:28" x14ac:dyDescent="0.2">
      <c r="A515" s="96" t="s">
        <v>60</v>
      </c>
      <c r="B515" s="96" t="s">
        <v>60</v>
      </c>
      <c r="C515" s="277">
        <v>44125</v>
      </c>
      <c r="D515" s="277">
        <v>44155</v>
      </c>
      <c r="E515" s="270" t="s">
        <v>267</v>
      </c>
      <c r="F515" s="133" t="s">
        <v>34</v>
      </c>
      <c r="G515" s="270" t="s">
        <v>61</v>
      </c>
      <c r="H515" s="272" t="s">
        <v>93</v>
      </c>
      <c r="I515" s="273">
        <v>25</v>
      </c>
      <c r="J515" s="270">
        <v>169</v>
      </c>
      <c r="K515" s="270">
        <f t="shared" si="0"/>
        <v>4225</v>
      </c>
      <c r="L515" s="270">
        <v>16224</v>
      </c>
      <c r="M515" s="270">
        <v>350</v>
      </c>
      <c r="N515" s="274">
        <v>65</v>
      </c>
      <c r="O515" s="55"/>
      <c r="P515" s="45">
        <v>65</v>
      </c>
      <c r="Q515" s="270">
        <v>369</v>
      </c>
      <c r="R515" s="275">
        <v>-1.97E-3</v>
      </c>
      <c r="S515" s="270">
        <v>361</v>
      </c>
      <c r="T515" s="270">
        <v>426</v>
      </c>
      <c r="U515" s="57">
        <v>1</v>
      </c>
      <c r="V515" s="276">
        <v>0.25</v>
      </c>
      <c r="W515" s="276">
        <v>0</v>
      </c>
      <c r="X515" s="270">
        <v>320</v>
      </c>
      <c r="Y515" s="270">
        <v>107</v>
      </c>
      <c r="Z515" s="45" t="b">
        <v>1</v>
      </c>
      <c r="AA515" s="45" t="s">
        <v>50</v>
      </c>
      <c r="AB515" s="45" t="s">
        <v>50</v>
      </c>
    </row>
    <row r="516" spans="1:28" x14ac:dyDescent="0.2">
      <c r="A516" s="96" t="s">
        <v>82</v>
      </c>
      <c r="B516" s="96" t="s">
        <v>82</v>
      </c>
      <c r="C516" s="277">
        <v>44125</v>
      </c>
      <c r="D516" s="277">
        <v>44155</v>
      </c>
      <c r="E516" s="270" t="s">
        <v>300</v>
      </c>
      <c r="F516" s="133" t="s">
        <v>34</v>
      </c>
      <c r="G516" s="96" t="s">
        <v>35</v>
      </c>
      <c r="H516" s="272" t="s">
        <v>192</v>
      </c>
      <c r="I516" s="58">
        <v>10</v>
      </c>
      <c r="J516" s="69">
        <v>3</v>
      </c>
      <c r="K516" s="270">
        <f t="shared" si="0"/>
        <v>30</v>
      </c>
      <c r="L516" s="279">
        <v>1603</v>
      </c>
      <c r="M516" s="279">
        <v>10</v>
      </c>
      <c r="N516" s="274">
        <v>2</v>
      </c>
      <c r="O516" s="55"/>
      <c r="P516" s="45">
        <v>2</v>
      </c>
      <c r="Q516" s="279">
        <v>27</v>
      </c>
      <c r="R516" s="275">
        <v>-1.97E-3</v>
      </c>
      <c r="S516" s="279">
        <v>27</v>
      </c>
      <c r="T516" s="279">
        <v>29</v>
      </c>
      <c r="U516" s="57">
        <v>1</v>
      </c>
      <c r="V516" s="276">
        <v>0.25</v>
      </c>
      <c r="W516" s="276">
        <v>0.1</v>
      </c>
      <c r="X516" s="279">
        <v>19</v>
      </c>
      <c r="Y516" s="279">
        <v>10</v>
      </c>
      <c r="Z516" s="45" t="b">
        <v>1</v>
      </c>
      <c r="AA516" s="45" t="s">
        <v>38</v>
      </c>
      <c r="AB516" s="45" t="s">
        <v>38</v>
      </c>
    </row>
    <row r="517" spans="1:28" x14ac:dyDescent="0.2">
      <c r="A517" s="96" t="s">
        <v>82</v>
      </c>
      <c r="B517" s="96" t="s">
        <v>82</v>
      </c>
      <c r="C517" s="277">
        <v>44125</v>
      </c>
      <c r="D517" s="277">
        <v>44155</v>
      </c>
      <c r="E517" s="270" t="s">
        <v>300</v>
      </c>
      <c r="F517" s="133" t="s">
        <v>34</v>
      </c>
      <c r="G517" s="96" t="s">
        <v>35</v>
      </c>
      <c r="H517" s="272" t="s">
        <v>46</v>
      </c>
      <c r="I517" s="58">
        <v>25</v>
      </c>
      <c r="J517" s="69">
        <v>139</v>
      </c>
      <c r="K517" s="270">
        <f t="shared" si="0"/>
        <v>3475</v>
      </c>
      <c r="L517" s="279">
        <v>8463</v>
      </c>
      <c r="M517" s="279">
        <v>-375</v>
      </c>
      <c r="N517" s="274">
        <v>202</v>
      </c>
      <c r="O517" s="55"/>
      <c r="P517" s="45">
        <v>202</v>
      </c>
      <c r="Q517" s="279">
        <v>170</v>
      </c>
      <c r="R517" s="275">
        <v>-1.97E-3</v>
      </c>
      <c r="S517" s="279">
        <v>163</v>
      </c>
      <c r="T517" s="279">
        <v>365</v>
      </c>
      <c r="U517" s="57">
        <v>1</v>
      </c>
      <c r="V517" s="276">
        <v>0.25</v>
      </c>
      <c r="W517" s="276">
        <v>0.1</v>
      </c>
      <c r="X517" s="279">
        <v>237</v>
      </c>
      <c r="Y517" s="279">
        <v>128</v>
      </c>
      <c r="Z517" s="45" t="b">
        <v>1</v>
      </c>
      <c r="AA517" s="45" t="s">
        <v>38</v>
      </c>
      <c r="AB517" s="45" t="s">
        <v>38</v>
      </c>
    </row>
    <row r="518" spans="1:28" x14ac:dyDescent="0.2">
      <c r="A518" s="96" t="s">
        <v>82</v>
      </c>
      <c r="B518" s="96" t="s">
        <v>82</v>
      </c>
      <c r="C518" s="277">
        <v>44125</v>
      </c>
      <c r="D518" s="277">
        <v>44155</v>
      </c>
      <c r="E518" s="270" t="s">
        <v>300</v>
      </c>
      <c r="F518" s="133" t="s">
        <v>34</v>
      </c>
      <c r="G518" s="96" t="s">
        <v>35</v>
      </c>
      <c r="H518" s="272" t="s">
        <v>963</v>
      </c>
      <c r="I518" s="58">
        <v>50</v>
      </c>
      <c r="J518" s="69">
        <v>4611</v>
      </c>
      <c r="K518" s="270">
        <f t="shared" si="0"/>
        <v>230550</v>
      </c>
      <c r="L518" s="279">
        <v>136683</v>
      </c>
      <c r="M518" s="279">
        <v>-700</v>
      </c>
      <c r="N518" s="274">
        <v>13042</v>
      </c>
      <c r="O518" s="55"/>
      <c r="P518" s="105">
        <v>13042</v>
      </c>
      <c r="Q518" s="279">
        <v>-1883</v>
      </c>
      <c r="R518" s="275">
        <v>-1.97E-3</v>
      </c>
      <c r="S518" s="279">
        <v>-2337</v>
      </c>
      <c r="T518" s="279">
        <v>10705</v>
      </c>
      <c r="U518" s="57">
        <v>1</v>
      </c>
      <c r="V518" s="276">
        <v>0.25</v>
      </c>
      <c r="W518" s="276">
        <v>0.1</v>
      </c>
      <c r="X518" s="279">
        <v>6958</v>
      </c>
      <c r="Y518" s="279">
        <v>3747</v>
      </c>
      <c r="Z518" s="45" t="b">
        <v>1</v>
      </c>
      <c r="AA518" s="45" t="s">
        <v>38</v>
      </c>
      <c r="AB518" s="45" t="s">
        <v>38</v>
      </c>
    </row>
    <row r="519" spans="1:28" x14ac:dyDescent="0.2">
      <c r="A519" s="96" t="s">
        <v>82</v>
      </c>
      <c r="B519" s="96" t="s">
        <v>82</v>
      </c>
      <c r="C519" s="277">
        <v>44125</v>
      </c>
      <c r="D519" s="277">
        <v>44155</v>
      </c>
      <c r="E519" s="270" t="s">
        <v>300</v>
      </c>
      <c r="F519" s="133" t="s">
        <v>41</v>
      </c>
      <c r="G519" s="96" t="s">
        <v>35</v>
      </c>
      <c r="H519" s="110" t="s">
        <v>971</v>
      </c>
      <c r="I519" s="273">
        <v>50</v>
      </c>
      <c r="J519" s="270">
        <v>2</v>
      </c>
      <c r="K519" s="270">
        <f t="shared" si="0"/>
        <v>100</v>
      </c>
      <c r="L519" s="270"/>
      <c r="M519" s="270">
        <v>0</v>
      </c>
      <c r="N519" s="274">
        <v>5</v>
      </c>
      <c r="O519" s="55"/>
      <c r="P519" s="45">
        <v>5</v>
      </c>
      <c r="Q519" s="270"/>
      <c r="R519" s="275">
        <v>0</v>
      </c>
      <c r="S519" s="270"/>
      <c r="T519" s="270">
        <v>5</v>
      </c>
      <c r="U519" s="57">
        <v>1</v>
      </c>
      <c r="V519" s="276">
        <v>0.25</v>
      </c>
      <c r="W519" s="276">
        <v>0.1</v>
      </c>
      <c r="X519" s="270">
        <v>3</v>
      </c>
      <c r="Y519" s="270">
        <v>2</v>
      </c>
      <c r="Z519" s="45" t="b">
        <v>1</v>
      </c>
      <c r="AA519" s="45" t="s">
        <v>38</v>
      </c>
      <c r="AB519" s="45" t="s">
        <v>38</v>
      </c>
    </row>
    <row r="520" spans="1:28" x14ac:dyDescent="0.2">
      <c r="A520" s="96" t="s">
        <v>82</v>
      </c>
      <c r="B520" s="96" t="s">
        <v>82</v>
      </c>
      <c r="C520" s="277">
        <v>44125</v>
      </c>
      <c r="D520" s="277">
        <v>44155</v>
      </c>
      <c r="E520" s="270" t="s">
        <v>300</v>
      </c>
      <c r="F520" s="133" t="s">
        <v>41</v>
      </c>
      <c r="G520" s="96" t="s">
        <v>35</v>
      </c>
      <c r="H520" s="272" t="s">
        <v>87</v>
      </c>
      <c r="I520" s="273">
        <v>25</v>
      </c>
      <c r="J520" s="270">
        <v>8</v>
      </c>
      <c r="K520" s="270">
        <f t="shared" si="0"/>
        <v>200</v>
      </c>
      <c r="L520" s="270"/>
      <c r="M520" s="270">
        <v>-25</v>
      </c>
      <c r="N520" s="274">
        <v>11</v>
      </c>
      <c r="O520" s="55"/>
      <c r="P520" s="45">
        <v>11</v>
      </c>
      <c r="Q520" s="270"/>
      <c r="R520" s="275">
        <v>0</v>
      </c>
      <c r="S520" s="270"/>
      <c r="T520" s="270">
        <v>-14</v>
      </c>
      <c r="U520" s="57">
        <v>1</v>
      </c>
      <c r="V520" s="276">
        <v>0.25</v>
      </c>
      <c r="W520" s="276">
        <v>0.1</v>
      </c>
      <c r="X520" s="270">
        <v>-9</v>
      </c>
      <c r="Y520" s="270">
        <v>-5</v>
      </c>
      <c r="Z520" s="45" t="b">
        <v>1</v>
      </c>
      <c r="AA520" s="45" t="s">
        <v>38</v>
      </c>
      <c r="AB520" s="45" t="s">
        <v>38</v>
      </c>
    </row>
    <row r="521" spans="1:28" x14ac:dyDescent="0.2">
      <c r="A521" s="96" t="s">
        <v>154</v>
      </c>
      <c r="B521" s="96" t="s">
        <v>154</v>
      </c>
      <c r="C521" s="277">
        <v>44125</v>
      </c>
      <c r="D521" s="277">
        <v>44155</v>
      </c>
      <c r="E521" s="270" t="s">
        <v>267</v>
      </c>
      <c r="F521" s="96" t="s">
        <v>34</v>
      </c>
      <c r="G521" s="270" t="s">
        <v>35</v>
      </c>
      <c r="H521" s="272" t="s">
        <v>83</v>
      </c>
      <c r="I521" s="273">
        <v>10</v>
      </c>
      <c r="J521" s="270">
        <v>708</v>
      </c>
      <c r="K521" s="270">
        <f t="shared" si="0"/>
        <v>7080</v>
      </c>
      <c r="L521" s="270">
        <v>57557</v>
      </c>
      <c r="M521" s="270">
        <v>710</v>
      </c>
      <c r="N521" s="274">
        <v>29</v>
      </c>
      <c r="O521" s="55"/>
      <c r="P521" s="45">
        <v>29</v>
      </c>
      <c r="Q521" s="270">
        <v>433</v>
      </c>
      <c r="R521" s="275">
        <v>-1.97E-3</v>
      </c>
      <c r="S521" s="270">
        <v>419</v>
      </c>
      <c r="T521" s="270">
        <v>448</v>
      </c>
      <c r="U521" s="57">
        <v>1</v>
      </c>
      <c r="V521" s="276">
        <v>0.2</v>
      </c>
      <c r="W521" s="276">
        <v>0</v>
      </c>
      <c r="X521" s="270">
        <v>358</v>
      </c>
      <c r="Y521" s="270">
        <v>90</v>
      </c>
      <c r="Z521" s="45" t="b">
        <v>1</v>
      </c>
      <c r="AA521" s="45" t="s">
        <v>38</v>
      </c>
      <c r="AB521" s="45" t="s">
        <v>38</v>
      </c>
    </row>
    <row r="522" spans="1:28" x14ac:dyDescent="0.2">
      <c r="A522" s="96" t="s">
        <v>154</v>
      </c>
      <c r="B522" s="96" t="s">
        <v>154</v>
      </c>
      <c r="C522" s="277">
        <v>44125</v>
      </c>
      <c r="D522" s="277">
        <v>44155</v>
      </c>
      <c r="E522" s="270" t="s">
        <v>267</v>
      </c>
      <c r="F522" s="96" t="s">
        <v>34</v>
      </c>
      <c r="G522" s="270" t="s">
        <v>35</v>
      </c>
      <c r="H522" s="272" t="s">
        <v>46</v>
      </c>
      <c r="I522" s="273">
        <v>25</v>
      </c>
      <c r="J522" s="270">
        <v>2378</v>
      </c>
      <c r="K522" s="270">
        <f t="shared" si="0"/>
        <v>59450</v>
      </c>
      <c r="L522" s="270">
        <v>69375</v>
      </c>
      <c r="M522" s="270">
        <v>-675</v>
      </c>
      <c r="N522" s="274">
        <v>184</v>
      </c>
      <c r="O522" s="55"/>
      <c r="P522" s="45">
        <v>184</v>
      </c>
      <c r="Q522" s="270">
        <v>-689</v>
      </c>
      <c r="R522" s="275">
        <v>-1.97E-3</v>
      </c>
      <c r="S522" s="270">
        <v>-806</v>
      </c>
      <c r="T522" s="270">
        <v>-622</v>
      </c>
      <c r="U522" s="57">
        <v>1</v>
      </c>
      <c r="V522" s="276">
        <v>0.2</v>
      </c>
      <c r="W522" s="276">
        <v>0</v>
      </c>
      <c r="X522" s="270">
        <v>-497</v>
      </c>
      <c r="Y522" s="270">
        <v>-124</v>
      </c>
      <c r="Z522" s="45" t="b">
        <v>1</v>
      </c>
      <c r="AA522" s="45" t="s">
        <v>38</v>
      </c>
      <c r="AB522" s="45" t="s">
        <v>38</v>
      </c>
    </row>
    <row r="523" spans="1:28" x14ac:dyDescent="0.2">
      <c r="A523" s="96" t="s">
        <v>178</v>
      </c>
      <c r="B523" s="96" t="s">
        <v>178</v>
      </c>
      <c r="C523" s="277">
        <v>44125</v>
      </c>
      <c r="D523" s="277">
        <v>44155</v>
      </c>
      <c r="E523" s="270" t="s">
        <v>267</v>
      </c>
      <c r="F523" s="133" t="s">
        <v>34</v>
      </c>
      <c r="G523" s="96" t="s">
        <v>35</v>
      </c>
      <c r="H523" s="272" t="s">
        <v>86</v>
      </c>
      <c r="I523" s="58">
        <v>5</v>
      </c>
      <c r="J523" s="69">
        <v>594</v>
      </c>
      <c r="K523" s="270">
        <f t="shared" si="0"/>
        <v>2970</v>
      </c>
      <c r="L523" s="279">
        <v>25722</v>
      </c>
      <c r="M523" s="279">
        <v>-55</v>
      </c>
      <c r="N523" s="274"/>
      <c r="O523" s="55"/>
      <c r="P523" s="96"/>
      <c r="Q523" s="279">
        <v>16</v>
      </c>
      <c r="R523" s="275">
        <v>-1.97E-3</v>
      </c>
      <c r="S523" s="279">
        <v>10</v>
      </c>
      <c r="T523" s="279">
        <v>10</v>
      </c>
      <c r="U523" s="57">
        <v>1</v>
      </c>
      <c r="V523" s="276">
        <v>0.2</v>
      </c>
      <c r="W523" s="276">
        <v>0</v>
      </c>
      <c r="X523" s="279">
        <v>8</v>
      </c>
      <c r="Y523" s="279">
        <v>2</v>
      </c>
      <c r="Z523" s="45" t="b">
        <v>1</v>
      </c>
      <c r="AA523" s="45" t="s">
        <v>38</v>
      </c>
      <c r="AB523" s="45" t="s">
        <v>38</v>
      </c>
    </row>
    <row r="524" spans="1:28" x14ac:dyDescent="0.2">
      <c r="A524" s="96" t="s">
        <v>178</v>
      </c>
      <c r="B524" s="96" t="s">
        <v>922</v>
      </c>
      <c r="C524" s="277">
        <v>44125</v>
      </c>
      <c r="D524" s="277">
        <v>44155</v>
      </c>
      <c r="E524" s="270" t="s">
        <v>267</v>
      </c>
      <c r="F524" s="133" t="s">
        <v>34</v>
      </c>
      <c r="G524" s="96" t="s">
        <v>61</v>
      </c>
      <c r="H524" s="272" t="s">
        <v>980</v>
      </c>
      <c r="I524" s="58">
        <v>5</v>
      </c>
      <c r="J524" s="69">
        <v>1503</v>
      </c>
      <c r="K524" s="270">
        <f t="shared" si="0"/>
        <v>7515</v>
      </c>
      <c r="L524" s="279">
        <v>136465</v>
      </c>
      <c r="M524" s="279">
        <v>-160</v>
      </c>
      <c r="N524" s="274"/>
      <c r="O524" s="55"/>
      <c r="P524" s="96"/>
      <c r="Q524" s="279">
        <v>586</v>
      </c>
      <c r="R524" s="275">
        <v>-1.97E-3</v>
      </c>
      <c r="S524" s="279">
        <v>571</v>
      </c>
      <c r="T524" s="279">
        <v>571</v>
      </c>
      <c r="U524" s="57">
        <v>1.1859999999999999</v>
      </c>
      <c r="V524" s="276">
        <v>0.2</v>
      </c>
      <c r="W524" s="276">
        <v>0</v>
      </c>
      <c r="X524" s="279">
        <v>542</v>
      </c>
      <c r="Y524" s="279">
        <v>135</v>
      </c>
      <c r="Z524" s="45" t="b">
        <v>1</v>
      </c>
      <c r="AA524" s="45" t="s">
        <v>38</v>
      </c>
      <c r="AB524" s="45" t="s">
        <v>50</v>
      </c>
    </row>
    <row r="525" spans="1:28" x14ac:dyDescent="0.2">
      <c r="A525" s="96" t="s">
        <v>508</v>
      </c>
      <c r="B525" s="96" t="s">
        <v>508</v>
      </c>
      <c r="C525" s="277">
        <v>44125</v>
      </c>
      <c r="D525" s="277">
        <v>44155</v>
      </c>
      <c r="E525" s="270" t="s">
        <v>300</v>
      </c>
      <c r="F525" s="96" t="s">
        <v>34</v>
      </c>
      <c r="G525" s="96" t="s">
        <v>35</v>
      </c>
      <c r="H525" s="272" t="s">
        <v>70</v>
      </c>
      <c r="I525" s="58">
        <v>100</v>
      </c>
      <c r="J525" s="69">
        <v>1997</v>
      </c>
      <c r="K525" s="270">
        <f t="shared" si="0"/>
        <v>199700</v>
      </c>
      <c r="L525" s="270">
        <v>81117</v>
      </c>
      <c r="M525" s="270">
        <v>-3300</v>
      </c>
      <c r="N525" s="274">
        <v>847</v>
      </c>
      <c r="O525" s="55"/>
      <c r="P525" s="45">
        <v>847</v>
      </c>
      <c r="Q525" s="270">
        <v>4420</v>
      </c>
      <c r="R525" s="275">
        <v>-1.97E-3</v>
      </c>
      <c r="S525" s="270">
        <v>4027</v>
      </c>
      <c r="T525" s="270">
        <v>4874</v>
      </c>
      <c r="U525" s="57">
        <v>1</v>
      </c>
      <c r="V525" s="276">
        <v>0.13500000000000001</v>
      </c>
      <c r="W525" s="276">
        <v>4.4999999999999998E-2</v>
      </c>
      <c r="X525" s="270">
        <v>3996</v>
      </c>
      <c r="Y525" s="270">
        <v>877</v>
      </c>
      <c r="Z525" s="45" t="b">
        <v>1</v>
      </c>
      <c r="AA525" s="45" t="s">
        <v>38</v>
      </c>
      <c r="AB525" s="45" t="s">
        <v>38</v>
      </c>
    </row>
    <row r="526" spans="1:28" x14ac:dyDescent="0.2">
      <c r="A526" s="96" t="s">
        <v>508</v>
      </c>
      <c r="B526" s="96" t="s">
        <v>508</v>
      </c>
      <c r="C526" s="277">
        <v>44125</v>
      </c>
      <c r="D526" s="277">
        <v>44155</v>
      </c>
      <c r="E526" s="270" t="s">
        <v>300</v>
      </c>
      <c r="F526" s="96" t="s">
        <v>34</v>
      </c>
      <c r="G526" s="96" t="s">
        <v>35</v>
      </c>
      <c r="H526" s="272" t="s">
        <v>88</v>
      </c>
      <c r="I526" s="58">
        <v>250</v>
      </c>
      <c r="J526" s="69">
        <v>4</v>
      </c>
      <c r="K526" s="270">
        <f t="shared" si="0"/>
        <v>1000</v>
      </c>
      <c r="L526" s="270">
        <v>90</v>
      </c>
      <c r="M526" s="270">
        <v>250</v>
      </c>
      <c r="N526" s="274">
        <v>4</v>
      </c>
      <c r="O526" s="55"/>
      <c r="P526" s="45">
        <v>4</v>
      </c>
      <c r="Q526" s="270">
        <v>-9</v>
      </c>
      <c r="R526" s="275">
        <v>-1.97E-3</v>
      </c>
      <c r="S526" s="270">
        <v>-11</v>
      </c>
      <c r="T526" s="270">
        <v>-7</v>
      </c>
      <c r="U526" s="57">
        <v>1</v>
      </c>
      <c r="V526" s="276">
        <v>0.15</v>
      </c>
      <c r="W526" s="276">
        <v>0.05</v>
      </c>
      <c r="X526" s="270">
        <v>-6</v>
      </c>
      <c r="Y526" s="270">
        <v>-1</v>
      </c>
      <c r="Z526" s="45" t="b">
        <v>1</v>
      </c>
      <c r="AA526" s="45" t="s">
        <v>38</v>
      </c>
      <c r="AB526" s="45" t="s">
        <v>38</v>
      </c>
    </row>
    <row r="527" spans="1:28" x14ac:dyDescent="0.2">
      <c r="A527" s="96" t="s">
        <v>191</v>
      </c>
      <c r="B527" s="96" t="s">
        <v>191</v>
      </c>
      <c r="C527" s="277">
        <v>44125</v>
      </c>
      <c r="D527" s="277">
        <v>44155</v>
      </c>
      <c r="E527" s="270" t="s">
        <v>267</v>
      </c>
      <c r="F527" s="96" t="s">
        <v>34</v>
      </c>
      <c r="G527" s="270" t="s">
        <v>35</v>
      </c>
      <c r="H527" s="272" t="s">
        <v>86</v>
      </c>
      <c r="I527" s="273">
        <v>5</v>
      </c>
      <c r="J527" s="270">
        <v>2743</v>
      </c>
      <c r="K527" s="270">
        <f t="shared" si="0"/>
        <v>13715</v>
      </c>
      <c r="L527" s="270">
        <v>221428</v>
      </c>
      <c r="M527" s="270">
        <v>765</v>
      </c>
      <c r="N527" s="274">
        <v>42</v>
      </c>
      <c r="O527" s="55"/>
      <c r="P527" s="45">
        <v>42</v>
      </c>
      <c r="Q527" s="270">
        <v>1016</v>
      </c>
      <c r="R527" s="275">
        <v>-1.97E-3</v>
      </c>
      <c r="S527" s="270">
        <v>989</v>
      </c>
      <c r="T527" s="270">
        <v>1031</v>
      </c>
      <c r="U527" s="57">
        <v>1</v>
      </c>
      <c r="V527" s="276">
        <v>0.25</v>
      </c>
      <c r="W527" s="276">
        <v>0</v>
      </c>
      <c r="X527" s="270">
        <v>773</v>
      </c>
      <c r="Y527" s="270">
        <v>258</v>
      </c>
      <c r="Z527" s="45" t="b">
        <v>1</v>
      </c>
      <c r="AA527" s="45" t="s">
        <v>38</v>
      </c>
      <c r="AB527" s="45" t="s">
        <v>38</v>
      </c>
    </row>
    <row r="528" spans="1:28" x14ac:dyDescent="0.2">
      <c r="A528" s="96" t="s">
        <v>191</v>
      </c>
      <c r="B528" s="96" t="s">
        <v>191</v>
      </c>
      <c r="C528" s="277">
        <v>44125</v>
      </c>
      <c r="D528" s="277">
        <v>44155</v>
      </c>
      <c r="E528" s="270" t="s">
        <v>267</v>
      </c>
      <c r="F528" s="96" t="s">
        <v>34</v>
      </c>
      <c r="G528" s="270" t="s">
        <v>35</v>
      </c>
      <c r="H528" s="272" t="s">
        <v>83</v>
      </c>
      <c r="I528" s="273">
        <v>10</v>
      </c>
      <c r="J528" s="270">
        <v>504</v>
      </c>
      <c r="K528" s="270">
        <f t="shared" si="0"/>
        <v>5040</v>
      </c>
      <c r="L528" s="270">
        <v>5749</v>
      </c>
      <c r="M528" s="270">
        <v>-70</v>
      </c>
      <c r="N528" s="274">
        <v>18</v>
      </c>
      <c r="O528" s="55"/>
      <c r="P528" s="45">
        <v>18</v>
      </c>
      <c r="Q528" s="270">
        <v>-319</v>
      </c>
      <c r="R528" s="275">
        <v>-1.97E-3</v>
      </c>
      <c r="S528" s="270">
        <v>-329</v>
      </c>
      <c r="T528" s="270">
        <v>-311</v>
      </c>
      <c r="U528" s="57">
        <v>1</v>
      </c>
      <c r="V528" s="276">
        <v>0.25</v>
      </c>
      <c r="W528" s="276">
        <v>0</v>
      </c>
      <c r="X528" s="270">
        <v>-233</v>
      </c>
      <c r="Y528" s="270">
        <v>-78</v>
      </c>
      <c r="Z528" s="45" t="b">
        <v>1</v>
      </c>
      <c r="AA528" s="45" t="s">
        <v>38</v>
      </c>
      <c r="AB528" s="45" t="s">
        <v>38</v>
      </c>
    </row>
    <row r="529" spans="1:28" x14ac:dyDescent="0.2">
      <c r="A529" s="96" t="s">
        <v>206</v>
      </c>
      <c r="B529" s="96" t="s">
        <v>206</v>
      </c>
      <c r="C529" s="277">
        <v>44125</v>
      </c>
      <c r="D529" s="277">
        <v>44155</v>
      </c>
      <c r="E529" s="270" t="s">
        <v>267</v>
      </c>
      <c r="F529" s="133" t="s">
        <v>34</v>
      </c>
      <c r="G529" s="96" t="s">
        <v>35</v>
      </c>
      <c r="H529" s="272" t="s">
        <v>72</v>
      </c>
      <c r="I529" s="58">
        <v>50</v>
      </c>
      <c r="J529" s="69">
        <v>1</v>
      </c>
      <c r="K529" s="270">
        <f t="shared" si="0"/>
        <v>50</v>
      </c>
      <c r="L529" s="270">
        <v>-500</v>
      </c>
      <c r="M529" s="270">
        <v>-50</v>
      </c>
      <c r="N529" s="274"/>
      <c r="O529" s="55"/>
      <c r="P529" s="96"/>
      <c r="Q529" s="270">
        <v>-50</v>
      </c>
      <c r="R529" s="275">
        <v>-1.97E-3</v>
      </c>
      <c r="S529" s="270">
        <v>-50</v>
      </c>
      <c r="T529" s="270">
        <v>-50</v>
      </c>
      <c r="U529" s="57">
        <v>1</v>
      </c>
      <c r="V529" s="276">
        <v>0.22</v>
      </c>
      <c r="W529" s="276">
        <v>0</v>
      </c>
      <c r="X529" s="270">
        <v>-39</v>
      </c>
      <c r="Y529" s="270">
        <v>-11</v>
      </c>
      <c r="Z529" s="45" t="b">
        <v>1</v>
      </c>
      <c r="AA529" s="45" t="s">
        <v>38</v>
      </c>
      <c r="AB529" s="45" t="s">
        <v>38</v>
      </c>
    </row>
    <row r="530" spans="1:28" x14ac:dyDescent="0.2">
      <c r="A530" s="96" t="s">
        <v>206</v>
      </c>
      <c r="B530" s="96" t="s">
        <v>206</v>
      </c>
      <c r="C530" s="277">
        <v>44125</v>
      </c>
      <c r="D530" s="277">
        <v>44155</v>
      </c>
      <c r="E530" s="270" t="s">
        <v>267</v>
      </c>
      <c r="F530" s="133" t="s">
        <v>34</v>
      </c>
      <c r="G530" s="96" t="s">
        <v>35</v>
      </c>
      <c r="H530" s="272" t="s">
        <v>70</v>
      </c>
      <c r="I530" s="58">
        <v>100</v>
      </c>
      <c r="J530" s="69">
        <v>13</v>
      </c>
      <c r="K530" s="270">
        <f t="shared" si="0"/>
        <v>1300</v>
      </c>
      <c r="L530" s="270">
        <v>2706</v>
      </c>
      <c r="M530" s="270">
        <v>700</v>
      </c>
      <c r="N530" s="274"/>
      <c r="O530" s="55"/>
      <c r="P530" s="96"/>
      <c r="Q530" s="270">
        <v>437</v>
      </c>
      <c r="R530" s="275">
        <v>-1.97E-3</v>
      </c>
      <c r="S530" s="270">
        <v>434</v>
      </c>
      <c r="T530" s="270">
        <v>434</v>
      </c>
      <c r="U530" s="57">
        <v>1</v>
      </c>
      <c r="V530" s="276">
        <v>0.22</v>
      </c>
      <c r="W530" s="276">
        <v>0</v>
      </c>
      <c r="X530" s="270">
        <v>339</v>
      </c>
      <c r="Y530" s="270">
        <v>96</v>
      </c>
      <c r="Z530" s="45" t="b">
        <v>1</v>
      </c>
      <c r="AA530" s="45" t="s">
        <v>38</v>
      </c>
      <c r="AB530" s="45" t="s">
        <v>38</v>
      </c>
    </row>
    <row r="531" spans="1:28" x14ac:dyDescent="0.2">
      <c r="A531" s="96" t="s">
        <v>145</v>
      </c>
      <c r="B531" s="96" t="s">
        <v>145</v>
      </c>
      <c r="C531" s="277">
        <v>44136</v>
      </c>
      <c r="D531" s="277">
        <v>44165</v>
      </c>
      <c r="E531" s="270" t="s">
        <v>267</v>
      </c>
      <c r="F531" s="133" t="s">
        <v>49</v>
      </c>
      <c r="G531" s="279" t="s">
        <v>35</v>
      </c>
      <c r="H531" s="272" t="s">
        <v>70</v>
      </c>
      <c r="I531" s="273">
        <v>100</v>
      </c>
      <c r="J531" s="270">
        <v>2041</v>
      </c>
      <c r="K531" s="270">
        <f t="shared" si="0"/>
        <v>204100</v>
      </c>
      <c r="L531" s="270">
        <v>53946</v>
      </c>
      <c r="M531" s="270">
        <v>-6200</v>
      </c>
      <c r="N531" s="274">
        <v>850</v>
      </c>
      <c r="O531" s="55"/>
      <c r="P531" s="45">
        <v>850</v>
      </c>
      <c r="Q531" s="270">
        <v>-910</v>
      </c>
      <c r="R531" s="275">
        <v>-8.7100000000000003E-4</v>
      </c>
      <c r="S531" s="270">
        <v>-1088</v>
      </c>
      <c r="T531" s="270">
        <v>-238</v>
      </c>
      <c r="U531" s="57">
        <v>1</v>
      </c>
      <c r="V531" s="276">
        <v>0.12</v>
      </c>
      <c r="W531" s="276">
        <v>0</v>
      </c>
      <c r="X531" s="270">
        <v>-209</v>
      </c>
      <c r="Y531" s="270">
        <v>-29</v>
      </c>
      <c r="Z531" s="45" t="b">
        <v>1</v>
      </c>
      <c r="AA531" s="45" t="s">
        <v>38</v>
      </c>
      <c r="AB531" s="45" t="s">
        <v>38</v>
      </c>
    </row>
    <row r="532" spans="1:28" x14ac:dyDescent="0.2">
      <c r="A532" s="96" t="s">
        <v>355</v>
      </c>
      <c r="B532" s="96" t="s">
        <v>978</v>
      </c>
      <c r="C532" s="277">
        <v>44136</v>
      </c>
      <c r="D532" s="277">
        <v>44165</v>
      </c>
      <c r="E532" s="270" t="s">
        <v>300</v>
      </c>
      <c r="F532" s="133" t="s">
        <v>41</v>
      </c>
      <c r="G532" s="270" t="s">
        <v>69</v>
      </c>
      <c r="H532" s="272" t="s">
        <v>70</v>
      </c>
      <c r="I532" s="273">
        <v>100</v>
      </c>
      <c r="J532" s="270">
        <v>1</v>
      </c>
      <c r="K532" s="270">
        <f t="shared" si="0"/>
        <v>100</v>
      </c>
      <c r="L532" s="270">
        <v>0</v>
      </c>
      <c r="M532" s="270">
        <v>0</v>
      </c>
      <c r="N532" s="274">
        <v>1606</v>
      </c>
      <c r="O532" s="55"/>
      <c r="P532" s="105">
        <v>1606</v>
      </c>
      <c r="Q532" s="270">
        <v>-5</v>
      </c>
      <c r="R532" s="275">
        <v>0</v>
      </c>
      <c r="S532" s="270">
        <v>-5</v>
      </c>
      <c r="T532" s="270">
        <v>1606</v>
      </c>
      <c r="U532" s="57">
        <v>1</v>
      </c>
      <c r="V532" s="276">
        <v>0</v>
      </c>
      <c r="W532" s="276">
        <v>0.125</v>
      </c>
      <c r="X532" s="270">
        <v>1405</v>
      </c>
      <c r="Y532" s="270">
        <v>201</v>
      </c>
      <c r="Z532" s="45" t="b">
        <v>1</v>
      </c>
      <c r="AA532" s="45" t="s">
        <v>38</v>
      </c>
      <c r="AB532" s="45" t="s">
        <v>38</v>
      </c>
    </row>
    <row r="533" spans="1:28" x14ac:dyDescent="0.2">
      <c r="A533" s="96" t="s">
        <v>355</v>
      </c>
      <c r="B533" s="96" t="s">
        <v>978</v>
      </c>
      <c r="C533" s="277">
        <v>44136</v>
      </c>
      <c r="D533" s="277">
        <v>44165</v>
      </c>
      <c r="E533" s="270" t="s">
        <v>300</v>
      </c>
      <c r="F533" s="133" t="s">
        <v>34</v>
      </c>
      <c r="G533" s="270" t="s">
        <v>69</v>
      </c>
      <c r="H533" s="272" t="s">
        <v>70</v>
      </c>
      <c r="I533" s="273">
        <v>100</v>
      </c>
      <c r="J533" s="270">
        <v>1372</v>
      </c>
      <c r="K533" s="270">
        <f t="shared" si="0"/>
        <v>137200</v>
      </c>
      <c r="L533" s="270">
        <v>30885</v>
      </c>
      <c r="M533" s="270">
        <v>9400</v>
      </c>
      <c r="N533" s="274">
        <v>4456.97</v>
      </c>
      <c r="O533" s="55"/>
      <c r="P533" s="105">
        <v>4457</v>
      </c>
      <c r="Q533" s="270">
        <v>-1574</v>
      </c>
      <c r="R533" s="275">
        <v>-5.2999999999999998E-4</v>
      </c>
      <c r="S533" s="270">
        <v>-1646</v>
      </c>
      <c r="T533" s="270">
        <v>2811</v>
      </c>
      <c r="U533" s="57">
        <v>1</v>
      </c>
      <c r="V533" s="276">
        <v>0</v>
      </c>
      <c r="W533" s="276">
        <v>0.125</v>
      </c>
      <c r="X533" s="270">
        <v>2459</v>
      </c>
      <c r="Y533" s="270">
        <v>351</v>
      </c>
      <c r="Z533" s="45" t="b">
        <v>1</v>
      </c>
      <c r="AA533" s="45" t="s">
        <v>38</v>
      </c>
      <c r="AB533" s="45" t="s">
        <v>38</v>
      </c>
    </row>
    <row r="534" spans="1:28" x14ac:dyDescent="0.2">
      <c r="A534" s="96" t="s">
        <v>355</v>
      </c>
      <c r="B534" s="96" t="s">
        <v>978</v>
      </c>
      <c r="C534" s="277">
        <v>44136</v>
      </c>
      <c r="D534" s="277">
        <v>44165</v>
      </c>
      <c r="E534" s="270" t="s">
        <v>300</v>
      </c>
      <c r="F534" s="133" t="s">
        <v>34</v>
      </c>
      <c r="G534" s="270" t="s">
        <v>69</v>
      </c>
      <c r="H534" s="272" t="s">
        <v>73</v>
      </c>
      <c r="I534" s="273">
        <v>100</v>
      </c>
      <c r="J534" s="270">
        <v>1112</v>
      </c>
      <c r="K534" s="270">
        <f t="shared" si="0"/>
        <v>111200</v>
      </c>
      <c r="L534" s="270">
        <v>1981</v>
      </c>
      <c r="M534" s="270">
        <v>-5100</v>
      </c>
      <c r="N534" s="274">
        <v>3612.36</v>
      </c>
      <c r="O534" s="55"/>
      <c r="P534" s="105">
        <v>3612</v>
      </c>
      <c r="Q534" s="270">
        <v>-5381</v>
      </c>
      <c r="R534" s="275">
        <v>-5.2999999999999998E-4</v>
      </c>
      <c r="S534" s="270">
        <v>-5440</v>
      </c>
      <c r="T534" s="270">
        <v>-1828</v>
      </c>
      <c r="U534" s="57">
        <v>1</v>
      </c>
      <c r="V534" s="276">
        <v>0</v>
      </c>
      <c r="W534" s="276">
        <v>0.125</v>
      </c>
      <c r="X534" s="270">
        <v>-1599</v>
      </c>
      <c r="Y534" s="270">
        <v>-228</v>
      </c>
      <c r="Z534" s="45" t="b">
        <v>1</v>
      </c>
      <c r="AA534" s="45" t="s">
        <v>38</v>
      </c>
      <c r="AB534" s="45" t="s">
        <v>38</v>
      </c>
    </row>
    <row r="535" spans="1:28" x14ac:dyDescent="0.2">
      <c r="A535" s="96" t="s">
        <v>355</v>
      </c>
      <c r="B535" s="96" t="s">
        <v>978</v>
      </c>
      <c r="C535" s="277">
        <v>44136</v>
      </c>
      <c r="D535" s="277">
        <v>44165</v>
      </c>
      <c r="E535" s="270" t="s">
        <v>300</v>
      </c>
      <c r="F535" s="133" t="s">
        <v>34</v>
      </c>
      <c r="G535" s="270" t="s">
        <v>69</v>
      </c>
      <c r="H535" s="272" t="s">
        <v>88</v>
      </c>
      <c r="I535" s="273">
        <v>250</v>
      </c>
      <c r="J535" s="270">
        <v>1527</v>
      </c>
      <c r="K535" s="270">
        <f t="shared" si="0"/>
        <v>381750</v>
      </c>
      <c r="L535" s="270">
        <v>30017</v>
      </c>
      <c r="M535" s="270">
        <v>40000</v>
      </c>
      <c r="N535" s="274">
        <v>9920.99</v>
      </c>
      <c r="O535" s="55"/>
      <c r="P535" s="105">
        <v>9921</v>
      </c>
      <c r="Q535" s="270">
        <v>-1517</v>
      </c>
      <c r="R535" s="275">
        <v>-5.2999999999999998E-4</v>
      </c>
      <c r="S535" s="270">
        <v>-1719</v>
      </c>
      <c r="T535" s="270">
        <v>8202</v>
      </c>
      <c r="U535" s="57">
        <v>1</v>
      </c>
      <c r="V535" s="276">
        <v>0</v>
      </c>
      <c r="W535" s="276">
        <v>0.125</v>
      </c>
      <c r="X535" s="270">
        <v>7177</v>
      </c>
      <c r="Y535" s="270">
        <v>1025</v>
      </c>
      <c r="Z535" s="45" t="b">
        <v>1</v>
      </c>
      <c r="AA535" s="45" t="s">
        <v>38</v>
      </c>
      <c r="AB535" s="45" t="s">
        <v>38</v>
      </c>
    </row>
    <row r="536" spans="1:28" x14ac:dyDescent="0.2">
      <c r="A536" s="96" t="s">
        <v>355</v>
      </c>
      <c r="B536" s="96" t="s">
        <v>978</v>
      </c>
      <c r="C536" s="277">
        <v>44136</v>
      </c>
      <c r="D536" s="277">
        <v>44165</v>
      </c>
      <c r="E536" s="270" t="s">
        <v>300</v>
      </c>
      <c r="F536" s="133" t="s">
        <v>34</v>
      </c>
      <c r="G536" s="270" t="s">
        <v>69</v>
      </c>
      <c r="H536" s="272" t="s">
        <v>72</v>
      </c>
      <c r="I536" s="273">
        <v>50</v>
      </c>
      <c r="J536" s="270">
        <v>89</v>
      </c>
      <c r="K536" s="270">
        <f t="shared" si="0"/>
        <v>4450</v>
      </c>
      <c r="L536" s="270">
        <v>9264</v>
      </c>
      <c r="M536" s="270">
        <v>-150</v>
      </c>
      <c r="N536" s="274">
        <v>144.56</v>
      </c>
      <c r="O536" s="55"/>
      <c r="P536" s="45">
        <v>145</v>
      </c>
      <c r="Q536" s="270">
        <v>635</v>
      </c>
      <c r="R536" s="275">
        <v>-5.2999999999999998E-4</v>
      </c>
      <c r="S536" s="270">
        <v>632</v>
      </c>
      <c r="T536" s="270">
        <v>777</v>
      </c>
      <c r="U536" s="57">
        <v>1</v>
      </c>
      <c r="V536" s="276">
        <v>0</v>
      </c>
      <c r="W536" s="276">
        <v>0.125</v>
      </c>
      <c r="X536" s="270">
        <v>680</v>
      </c>
      <c r="Y536" s="270">
        <v>97</v>
      </c>
      <c r="Z536" s="45" t="b">
        <v>1</v>
      </c>
      <c r="AA536" s="45" t="s">
        <v>38</v>
      </c>
      <c r="AB536" s="45" t="s">
        <v>38</v>
      </c>
    </row>
    <row r="537" spans="1:28" x14ac:dyDescent="0.2">
      <c r="A537" s="96" t="s">
        <v>355</v>
      </c>
      <c r="B537" s="96" t="s">
        <v>978</v>
      </c>
      <c r="C537" s="277">
        <v>44136</v>
      </c>
      <c r="D537" s="277">
        <v>44165</v>
      </c>
      <c r="E537" s="270" t="s">
        <v>300</v>
      </c>
      <c r="F537" s="133" t="s">
        <v>34</v>
      </c>
      <c r="G537" s="270" t="s">
        <v>69</v>
      </c>
      <c r="H537" s="272" t="s">
        <v>76</v>
      </c>
      <c r="I537" s="273">
        <v>50</v>
      </c>
      <c r="J537" s="270">
        <v>438</v>
      </c>
      <c r="K537" s="270">
        <f t="shared" si="0"/>
        <v>21900</v>
      </c>
      <c r="L537" s="270">
        <v>-867</v>
      </c>
      <c r="M537" s="270">
        <v>-150</v>
      </c>
      <c r="N537" s="274">
        <v>711.43</v>
      </c>
      <c r="O537" s="55"/>
      <c r="P537" s="45">
        <v>711</v>
      </c>
      <c r="Q537" s="270">
        <v>-1319</v>
      </c>
      <c r="R537" s="275">
        <v>-5.2999999999999998E-4</v>
      </c>
      <c r="S537" s="270">
        <v>-1331</v>
      </c>
      <c r="T537" s="270">
        <v>-619</v>
      </c>
      <c r="U537" s="57">
        <v>1</v>
      </c>
      <c r="V537" s="276">
        <v>0</v>
      </c>
      <c r="W537" s="276">
        <v>0.125</v>
      </c>
      <c r="X537" s="270">
        <v>-542</v>
      </c>
      <c r="Y537" s="270">
        <v>-77</v>
      </c>
      <c r="Z537" s="45" t="b">
        <v>1</v>
      </c>
      <c r="AA537" s="45" t="s">
        <v>38</v>
      </c>
      <c r="AB537" s="45" t="s">
        <v>38</v>
      </c>
    </row>
    <row r="538" spans="1:28" x14ac:dyDescent="0.2">
      <c r="A538" s="96" t="s">
        <v>447</v>
      </c>
      <c r="B538" s="96" t="s">
        <v>910</v>
      </c>
      <c r="C538" s="277">
        <v>44136</v>
      </c>
      <c r="D538" s="277">
        <v>44165</v>
      </c>
      <c r="E538" s="270" t="s">
        <v>300</v>
      </c>
      <c r="F538" s="133" t="s">
        <v>49</v>
      </c>
      <c r="G538" s="279" t="s">
        <v>61</v>
      </c>
      <c r="H538" s="272" t="s">
        <v>109</v>
      </c>
      <c r="I538" s="273">
        <v>50</v>
      </c>
      <c r="J538" s="270">
        <v>1280</v>
      </c>
      <c r="K538" s="270">
        <f t="shared" si="0"/>
        <v>64000</v>
      </c>
      <c r="L538" s="270">
        <v>82098</v>
      </c>
      <c r="M538" s="270">
        <v>-1050</v>
      </c>
      <c r="N538" s="274">
        <v>1450</v>
      </c>
      <c r="O538" s="55"/>
      <c r="P538" s="105">
        <v>1450</v>
      </c>
      <c r="Q538" s="270">
        <v>1876</v>
      </c>
      <c r="R538" s="275">
        <v>-8.9599999999999999E-4</v>
      </c>
      <c r="S538" s="270">
        <v>1819</v>
      </c>
      <c r="T538" s="270">
        <v>3269</v>
      </c>
      <c r="U538" s="57">
        <v>1</v>
      </c>
      <c r="V538" s="276">
        <v>0.21</v>
      </c>
      <c r="W538" s="276">
        <v>0.11</v>
      </c>
      <c r="X538" s="270">
        <v>2223</v>
      </c>
      <c r="Y538" s="270">
        <v>1046</v>
      </c>
      <c r="Z538" s="45" t="b">
        <v>1</v>
      </c>
      <c r="AA538" s="45" t="s">
        <v>50</v>
      </c>
      <c r="AB538" s="45" t="s">
        <v>50</v>
      </c>
    </row>
    <row r="539" spans="1:28" x14ac:dyDescent="0.2">
      <c r="A539" s="96" t="s">
        <v>206</v>
      </c>
      <c r="B539" s="96" t="s">
        <v>982</v>
      </c>
      <c r="C539" s="277">
        <v>44136</v>
      </c>
      <c r="D539" s="277">
        <v>44165</v>
      </c>
      <c r="E539" s="270" t="s">
        <v>267</v>
      </c>
      <c r="F539" s="133" t="s">
        <v>34</v>
      </c>
      <c r="G539" s="96" t="s">
        <v>69</v>
      </c>
      <c r="H539" s="272" t="s">
        <v>70</v>
      </c>
      <c r="I539" s="58">
        <v>100</v>
      </c>
      <c r="J539" s="69">
        <v>3385</v>
      </c>
      <c r="K539" s="270">
        <f t="shared" si="0"/>
        <v>338500</v>
      </c>
      <c r="L539" s="270">
        <v>49598</v>
      </c>
      <c r="M539" s="270">
        <v>-13500</v>
      </c>
      <c r="N539" s="274">
        <v>18850.849999999999</v>
      </c>
      <c r="O539" s="55"/>
      <c r="P539" s="105">
        <v>18851</v>
      </c>
      <c r="Q539" s="270">
        <v>-8908</v>
      </c>
      <c r="R539" s="275">
        <v>-5.3200000000000003E-4</v>
      </c>
      <c r="S539" s="270">
        <v>-9089</v>
      </c>
      <c r="T539" s="270">
        <v>9762</v>
      </c>
      <c r="U539" s="57">
        <v>1</v>
      </c>
      <c r="V539" s="276">
        <v>0.22</v>
      </c>
      <c r="W539" s="276">
        <v>0</v>
      </c>
      <c r="X539" s="270">
        <v>7615</v>
      </c>
      <c r="Y539" s="270">
        <v>2148</v>
      </c>
      <c r="Z539" s="45" t="b">
        <v>1</v>
      </c>
      <c r="AA539" s="45" t="s">
        <v>38</v>
      </c>
      <c r="AB539" s="45" t="s">
        <v>38</v>
      </c>
    </row>
    <row r="540" spans="1:28" x14ac:dyDescent="0.2">
      <c r="A540" s="96" t="s">
        <v>206</v>
      </c>
      <c r="B540" s="96" t="s">
        <v>982</v>
      </c>
      <c r="C540" s="277">
        <v>44136</v>
      </c>
      <c r="D540" s="277">
        <v>44165</v>
      </c>
      <c r="E540" s="270" t="s">
        <v>267</v>
      </c>
      <c r="F540" s="133" t="s">
        <v>34</v>
      </c>
      <c r="G540" s="96" t="s">
        <v>69</v>
      </c>
      <c r="H540" s="272" t="s">
        <v>73</v>
      </c>
      <c r="I540" s="58">
        <v>100</v>
      </c>
      <c r="J540" s="69">
        <v>1</v>
      </c>
      <c r="K540" s="270">
        <f t="shared" si="0"/>
        <v>100</v>
      </c>
      <c r="L540" s="270">
        <v>-109</v>
      </c>
      <c r="M540" s="270">
        <v>-100</v>
      </c>
      <c r="N540" s="274">
        <v>5.57</v>
      </c>
      <c r="O540" s="55"/>
      <c r="P540" s="45">
        <v>6</v>
      </c>
      <c r="Q540" s="270">
        <v>-40</v>
      </c>
      <c r="R540" s="275">
        <v>-5.3200000000000003E-4</v>
      </c>
      <c r="S540" s="270">
        <v>-40</v>
      </c>
      <c r="T540" s="270">
        <v>-34</v>
      </c>
      <c r="U540" s="57">
        <v>1</v>
      </c>
      <c r="V540" s="276">
        <v>0.22</v>
      </c>
      <c r="W540" s="276">
        <v>0</v>
      </c>
      <c r="X540" s="270">
        <v>-27</v>
      </c>
      <c r="Y540" s="270">
        <v>-8</v>
      </c>
      <c r="Z540" s="45" t="b">
        <v>1</v>
      </c>
      <c r="AA540" s="45" t="s">
        <v>38</v>
      </c>
      <c r="AB540" s="45" t="s">
        <v>38</v>
      </c>
    </row>
    <row r="541" spans="1:28" x14ac:dyDescent="0.2">
      <c r="A541" s="96" t="s">
        <v>206</v>
      </c>
      <c r="B541" s="96" t="s">
        <v>982</v>
      </c>
      <c r="C541" s="277">
        <v>44136</v>
      </c>
      <c r="D541" s="277">
        <v>44165</v>
      </c>
      <c r="E541" s="270" t="s">
        <v>267</v>
      </c>
      <c r="F541" s="133" t="s">
        <v>34</v>
      </c>
      <c r="G541" s="96" t="s">
        <v>69</v>
      </c>
      <c r="H541" s="272" t="s">
        <v>72</v>
      </c>
      <c r="I541" s="58">
        <v>50</v>
      </c>
      <c r="J541" s="69">
        <v>94</v>
      </c>
      <c r="K541" s="270">
        <f t="shared" si="0"/>
        <v>4700</v>
      </c>
      <c r="L541" s="270">
        <v>-67</v>
      </c>
      <c r="M541" s="270">
        <v>850</v>
      </c>
      <c r="N541" s="274">
        <v>261.74</v>
      </c>
      <c r="O541" s="55"/>
      <c r="P541" s="45">
        <v>262</v>
      </c>
      <c r="Q541" s="270">
        <v>-260</v>
      </c>
      <c r="R541" s="275">
        <v>-5.3200000000000003E-4</v>
      </c>
      <c r="S541" s="270">
        <v>-263</v>
      </c>
      <c r="T541" s="270">
        <v>-1</v>
      </c>
      <c r="U541" s="57">
        <v>1</v>
      </c>
      <c r="V541" s="276">
        <v>0.22</v>
      </c>
      <c r="W541" s="276">
        <v>0</v>
      </c>
      <c r="X541" s="270">
        <v>-1</v>
      </c>
      <c r="Y541" s="270">
        <v>0</v>
      </c>
      <c r="Z541" s="45" t="b">
        <v>1</v>
      </c>
      <c r="AA541" s="45" t="s">
        <v>38</v>
      </c>
      <c r="AB541" s="45" t="s">
        <v>38</v>
      </c>
    </row>
    <row r="542" spans="1:28" x14ac:dyDescent="0.2">
      <c r="A542" s="96" t="s">
        <v>206</v>
      </c>
      <c r="B542" s="96" t="s">
        <v>982</v>
      </c>
      <c r="C542" s="277">
        <v>44136</v>
      </c>
      <c r="D542" s="277">
        <v>44165</v>
      </c>
      <c r="E542" s="270" t="s">
        <v>267</v>
      </c>
      <c r="F542" s="133" t="s">
        <v>34</v>
      </c>
      <c r="G542" s="96" t="s">
        <v>69</v>
      </c>
      <c r="H542" s="272" t="s">
        <v>76</v>
      </c>
      <c r="I542" s="58">
        <v>50</v>
      </c>
      <c r="J542" s="69">
        <v>10</v>
      </c>
      <c r="K542" s="270">
        <f t="shared" si="0"/>
        <v>500</v>
      </c>
      <c r="L542" s="270">
        <v>173</v>
      </c>
      <c r="M542" s="270">
        <v>300</v>
      </c>
      <c r="N542" s="274">
        <v>27.84</v>
      </c>
      <c r="O542" s="55"/>
      <c r="P542" s="45">
        <v>28</v>
      </c>
      <c r="Q542" s="270">
        <v>0</v>
      </c>
      <c r="R542" s="275">
        <v>-5.3200000000000003E-4</v>
      </c>
      <c r="S542" s="270">
        <v>0</v>
      </c>
      <c r="T542" s="270">
        <v>28</v>
      </c>
      <c r="U542" s="57">
        <v>1</v>
      </c>
      <c r="V542" s="276">
        <v>0.22</v>
      </c>
      <c r="W542" s="276">
        <v>0</v>
      </c>
      <c r="X542" s="270">
        <v>22</v>
      </c>
      <c r="Y542" s="270">
        <v>6</v>
      </c>
      <c r="Z542" s="45" t="b">
        <v>1</v>
      </c>
      <c r="AA542" s="45" t="s">
        <v>38</v>
      </c>
      <c r="AB542" s="45" t="s">
        <v>38</v>
      </c>
    </row>
    <row r="543" spans="1:28" x14ac:dyDescent="0.2">
      <c r="A543" s="96" t="s">
        <v>286</v>
      </c>
      <c r="B543" s="96" t="s">
        <v>286</v>
      </c>
      <c r="C543" s="277">
        <v>44156</v>
      </c>
      <c r="D543" s="277">
        <v>44185</v>
      </c>
      <c r="E543" s="270" t="s">
        <v>267</v>
      </c>
      <c r="F543" s="133" t="s">
        <v>34</v>
      </c>
      <c r="G543" s="96" t="s">
        <v>35</v>
      </c>
      <c r="H543" s="272" t="s">
        <v>177</v>
      </c>
      <c r="I543" s="58">
        <v>5</v>
      </c>
      <c r="J543" s="69">
        <v>562</v>
      </c>
      <c r="K543" s="270">
        <f t="shared" si="0"/>
        <v>2810</v>
      </c>
      <c r="L543" s="270">
        <v>21242</v>
      </c>
      <c r="M543" s="270">
        <v>145</v>
      </c>
      <c r="N543" s="274">
        <v>5</v>
      </c>
      <c r="O543" s="55"/>
      <c r="P543" s="45">
        <v>5</v>
      </c>
      <c r="Q543" s="270">
        <v>117</v>
      </c>
      <c r="R543" s="275">
        <v>-5.3200000000000003E-4</v>
      </c>
      <c r="S543" s="270">
        <v>115</v>
      </c>
      <c r="T543" s="270">
        <v>120</v>
      </c>
      <c r="U543" s="57">
        <v>1</v>
      </c>
      <c r="V543" s="276">
        <v>0.15</v>
      </c>
      <c r="W543" s="276">
        <v>0</v>
      </c>
      <c r="X543" s="270">
        <v>102</v>
      </c>
      <c r="Y543" s="270">
        <v>18</v>
      </c>
      <c r="Z543" s="45" t="b">
        <v>1</v>
      </c>
      <c r="AA543" s="45" t="s">
        <v>38</v>
      </c>
      <c r="AB543" s="45" t="s">
        <v>38</v>
      </c>
    </row>
    <row r="544" spans="1:28" x14ac:dyDescent="0.2">
      <c r="A544" s="96" t="s">
        <v>286</v>
      </c>
      <c r="B544" s="96" t="s">
        <v>286</v>
      </c>
      <c r="C544" s="277">
        <v>44156</v>
      </c>
      <c r="D544" s="277">
        <v>44185</v>
      </c>
      <c r="E544" s="270" t="s">
        <v>267</v>
      </c>
      <c r="F544" s="133" t="s">
        <v>34</v>
      </c>
      <c r="G544" s="96" t="s">
        <v>35</v>
      </c>
      <c r="H544" s="272" t="s">
        <v>83</v>
      </c>
      <c r="I544" s="58">
        <v>10</v>
      </c>
      <c r="J544" s="69">
        <v>153</v>
      </c>
      <c r="K544" s="270">
        <f t="shared" si="0"/>
        <v>1530</v>
      </c>
      <c r="L544" s="270">
        <v>2715</v>
      </c>
      <c r="M544" s="270">
        <v>80</v>
      </c>
      <c r="N544" s="274">
        <v>3</v>
      </c>
      <c r="O544" s="55"/>
      <c r="P544" s="45">
        <v>3</v>
      </c>
      <c r="Q544" s="270">
        <v>-79</v>
      </c>
      <c r="R544" s="275">
        <v>-5.3200000000000003E-4</v>
      </c>
      <c r="S544" s="270">
        <v>-80</v>
      </c>
      <c r="T544" s="270">
        <v>-77</v>
      </c>
      <c r="U544" s="57">
        <v>1</v>
      </c>
      <c r="V544" s="276">
        <v>0.15</v>
      </c>
      <c r="W544" s="276">
        <v>0</v>
      </c>
      <c r="X544" s="270">
        <v>-66</v>
      </c>
      <c r="Y544" s="270">
        <v>-12</v>
      </c>
      <c r="Z544" s="45" t="b">
        <v>1</v>
      </c>
      <c r="AA544" s="45" t="s">
        <v>38</v>
      </c>
      <c r="AB544" s="45" t="s">
        <v>38</v>
      </c>
    </row>
    <row r="545" spans="1:28" x14ac:dyDescent="0.2">
      <c r="A545" s="96" t="s">
        <v>286</v>
      </c>
      <c r="B545" s="96" t="s">
        <v>286</v>
      </c>
      <c r="C545" s="277">
        <v>44156</v>
      </c>
      <c r="D545" s="277">
        <v>44185</v>
      </c>
      <c r="E545" s="270" t="s">
        <v>267</v>
      </c>
      <c r="F545" s="133" t="s">
        <v>34</v>
      </c>
      <c r="G545" s="96" t="s">
        <v>35</v>
      </c>
      <c r="H545" s="272" t="s">
        <v>983</v>
      </c>
      <c r="I545" s="58">
        <v>10</v>
      </c>
      <c r="J545" s="69">
        <v>1431</v>
      </c>
      <c r="K545" s="270">
        <f t="shared" si="0"/>
        <v>14310</v>
      </c>
      <c r="L545" s="270">
        <v>47834</v>
      </c>
      <c r="M545" s="270">
        <v>700</v>
      </c>
      <c r="N545" s="274">
        <v>29</v>
      </c>
      <c r="O545" s="55"/>
      <c r="P545" s="45">
        <v>29</v>
      </c>
      <c r="Q545" s="270">
        <v>220</v>
      </c>
      <c r="R545" s="275">
        <v>-5.3200000000000003E-4</v>
      </c>
      <c r="S545" s="270">
        <v>213</v>
      </c>
      <c r="T545" s="270">
        <v>242</v>
      </c>
      <c r="U545" s="57">
        <v>1</v>
      </c>
      <c r="V545" s="276">
        <v>0.15</v>
      </c>
      <c r="W545" s="276">
        <v>0</v>
      </c>
      <c r="X545" s="270">
        <v>206</v>
      </c>
      <c r="Y545" s="270">
        <v>36</v>
      </c>
      <c r="Z545" s="45" t="b">
        <v>1</v>
      </c>
      <c r="AA545" s="45" t="s">
        <v>38</v>
      </c>
      <c r="AB545" s="45" t="s">
        <v>38</v>
      </c>
    </row>
    <row r="546" spans="1:28" x14ac:dyDescent="0.2">
      <c r="A546" s="96" t="s">
        <v>286</v>
      </c>
      <c r="B546" s="96" t="s">
        <v>286</v>
      </c>
      <c r="C546" s="277">
        <v>44156</v>
      </c>
      <c r="D546" s="277">
        <v>44185</v>
      </c>
      <c r="E546" s="270" t="s">
        <v>267</v>
      </c>
      <c r="F546" s="133" t="s">
        <v>34</v>
      </c>
      <c r="G546" s="96" t="s">
        <v>35</v>
      </c>
      <c r="H546" s="272" t="s">
        <v>46</v>
      </c>
      <c r="I546" s="58">
        <v>25</v>
      </c>
      <c r="J546" s="69">
        <v>535</v>
      </c>
      <c r="K546" s="270">
        <f t="shared" si="0"/>
        <v>13375</v>
      </c>
      <c r="L546" s="270">
        <v>11966</v>
      </c>
      <c r="M546" s="270">
        <v>-1600</v>
      </c>
      <c r="N546" s="274">
        <v>20</v>
      </c>
      <c r="O546" s="55"/>
      <c r="P546" s="45">
        <v>20</v>
      </c>
      <c r="Q546" s="270">
        <v>-301</v>
      </c>
      <c r="R546" s="275">
        <v>-5.3200000000000003E-4</v>
      </c>
      <c r="S546" s="270">
        <v>-308</v>
      </c>
      <c r="T546" s="270">
        <v>-288</v>
      </c>
      <c r="U546" s="57">
        <v>1</v>
      </c>
      <c r="V546" s="276">
        <v>0.15</v>
      </c>
      <c r="W546" s="276">
        <v>0</v>
      </c>
      <c r="X546" s="270">
        <v>-245</v>
      </c>
      <c r="Y546" s="270">
        <v>-43</v>
      </c>
      <c r="Z546" s="45" t="b">
        <v>1</v>
      </c>
      <c r="AA546" s="45" t="s">
        <v>38</v>
      </c>
      <c r="AB546" s="45" t="s">
        <v>38</v>
      </c>
    </row>
    <row r="547" spans="1:28" x14ac:dyDescent="0.2">
      <c r="A547" s="96" t="s">
        <v>286</v>
      </c>
      <c r="B547" s="96" t="s">
        <v>286</v>
      </c>
      <c r="C547" s="277">
        <v>44156</v>
      </c>
      <c r="D547" s="277">
        <v>44185</v>
      </c>
      <c r="E547" s="270" t="s">
        <v>267</v>
      </c>
      <c r="F547" s="133" t="s">
        <v>34</v>
      </c>
      <c r="G547" s="96" t="s">
        <v>35</v>
      </c>
      <c r="H547" s="272" t="s">
        <v>87</v>
      </c>
      <c r="I547" s="58">
        <v>25</v>
      </c>
      <c r="J547" s="69">
        <v>214</v>
      </c>
      <c r="K547" s="270">
        <f t="shared" si="0"/>
        <v>5350</v>
      </c>
      <c r="L547" s="270">
        <v>4264</v>
      </c>
      <c r="M547" s="270">
        <v>-175</v>
      </c>
      <c r="N547" s="274">
        <v>8</v>
      </c>
      <c r="O547" s="55"/>
      <c r="P547" s="45">
        <v>8</v>
      </c>
      <c r="Q547" s="270">
        <v>-13</v>
      </c>
      <c r="R547" s="275">
        <v>-5.3200000000000003E-4</v>
      </c>
      <c r="S547" s="270">
        <v>-16</v>
      </c>
      <c r="T547" s="270">
        <v>-8</v>
      </c>
      <c r="U547" s="57">
        <v>1</v>
      </c>
      <c r="V547" s="276">
        <v>0.15</v>
      </c>
      <c r="W547" s="276">
        <v>0</v>
      </c>
      <c r="X547" s="270">
        <v>-7</v>
      </c>
      <c r="Y547" s="270">
        <v>-1</v>
      </c>
      <c r="Z547" s="45" t="b">
        <v>1</v>
      </c>
      <c r="AA547" s="45" t="s">
        <v>38</v>
      </c>
      <c r="AB547" s="45" t="s">
        <v>38</v>
      </c>
    </row>
    <row r="548" spans="1:28" x14ac:dyDescent="0.2">
      <c r="A548" s="96" t="s">
        <v>60</v>
      </c>
      <c r="B548" s="96" t="s">
        <v>60</v>
      </c>
      <c r="C548" s="277">
        <v>44156</v>
      </c>
      <c r="D548" s="277">
        <v>44185</v>
      </c>
      <c r="E548" s="270" t="s">
        <v>267</v>
      </c>
      <c r="F548" s="133" t="s">
        <v>34</v>
      </c>
      <c r="G548" s="270" t="s">
        <v>61</v>
      </c>
      <c r="H548" s="272" t="s">
        <v>63</v>
      </c>
      <c r="I548" s="273">
        <v>10</v>
      </c>
      <c r="J548" s="270">
        <v>1525</v>
      </c>
      <c r="K548" s="270">
        <f t="shared" si="0"/>
        <v>15250</v>
      </c>
      <c r="L548" s="270">
        <v>115900</v>
      </c>
      <c r="M548" s="270">
        <v>1520</v>
      </c>
      <c r="N548" s="274">
        <v>400</v>
      </c>
      <c r="O548" s="55"/>
      <c r="P548" s="45">
        <v>400</v>
      </c>
      <c r="Q548" s="270">
        <v>786</v>
      </c>
      <c r="R548" s="275">
        <v>-5.3200000000000003E-4</v>
      </c>
      <c r="S548" s="270">
        <v>778</v>
      </c>
      <c r="T548" s="270">
        <v>1178</v>
      </c>
      <c r="U548" s="57">
        <v>1</v>
      </c>
      <c r="V548" s="276">
        <v>0.25</v>
      </c>
      <c r="W548" s="276">
        <v>0</v>
      </c>
      <c r="X548" s="270">
        <v>883</v>
      </c>
      <c r="Y548" s="270">
        <v>294</v>
      </c>
      <c r="Z548" s="45" t="b">
        <v>1</v>
      </c>
      <c r="AA548" s="45" t="s">
        <v>50</v>
      </c>
      <c r="AB548" s="45" t="s">
        <v>50</v>
      </c>
    </row>
    <row r="549" spans="1:28" x14ac:dyDescent="0.2">
      <c r="A549" s="96" t="s">
        <v>60</v>
      </c>
      <c r="B549" s="96" t="s">
        <v>60</v>
      </c>
      <c r="C549" s="277">
        <v>44156</v>
      </c>
      <c r="D549" s="277">
        <v>44185</v>
      </c>
      <c r="E549" s="270" t="s">
        <v>267</v>
      </c>
      <c r="F549" s="133" t="s">
        <v>34</v>
      </c>
      <c r="G549" s="270" t="s">
        <v>61</v>
      </c>
      <c r="H549" s="272" t="s">
        <v>93</v>
      </c>
      <c r="I549" s="273">
        <v>25</v>
      </c>
      <c r="J549" s="270">
        <v>780</v>
      </c>
      <c r="K549" s="270">
        <f t="shared" si="0"/>
        <v>19500</v>
      </c>
      <c r="L549" s="270">
        <v>49140</v>
      </c>
      <c r="M549" s="270">
        <v>475</v>
      </c>
      <c r="N549" s="274">
        <v>295</v>
      </c>
      <c r="O549" s="55"/>
      <c r="P549" s="45">
        <v>295</v>
      </c>
      <c r="Q549" s="270">
        <v>516</v>
      </c>
      <c r="R549" s="275">
        <v>-5.3200000000000003E-4</v>
      </c>
      <c r="S549" s="270">
        <v>506</v>
      </c>
      <c r="T549" s="270">
        <v>801</v>
      </c>
      <c r="U549" s="57">
        <v>1</v>
      </c>
      <c r="V549" s="276">
        <v>0.25</v>
      </c>
      <c r="W549" s="276">
        <v>0</v>
      </c>
      <c r="X549" s="270">
        <v>601</v>
      </c>
      <c r="Y549" s="270">
        <v>200</v>
      </c>
      <c r="Z549" s="45" t="b">
        <v>1</v>
      </c>
      <c r="AA549" s="45" t="s">
        <v>50</v>
      </c>
      <c r="AB549" s="45" t="s">
        <v>50</v>
      </c>
    </row>
    <row r="550" spans="1:28" x14ac:dyDescent="0.2">
      <c r="A550" s="96" t="s">
        <v>82</v>
      </c>
      <c r="B550" s="96" t="s">
        <v>82</v>
      </c>
      <c r="C550" s="277">
        <v>44156</v>
      </c>
      <c r="D550" s="277">
        <v>44185</v>
      </c>
      <c r="E550" s="270" t="s">
        <v>300</v>
      </c>
      <c r="F550" s="133" t="s">
        <v>34</v>
      </c>
      <c r="G550" s="96" t="s">
        <v>35</v>
      </c>
      <c r="H550" s="272" t="s">
        <v>83</v>
      </c>
      <c r="I550" s="58">
        <v>10</v>
      </c>
      <c r="J550" s="69">
        <v>6</v>
      </c>
      <c r="K550" s="270">
        <f t="shared" si="0"/>
        <v>60</v>
      </c>
      <c r="L550" s="279">
        <v>-564</v>
      </c>
      <c r="M550" s="279">
        <v>20</v>
      </c>
      <c r="N550" s="274"/>
      <c r="O550" s="55"/>
      <c r="P550" s="96"/>
      <c r="Q550" s="279">
        <v>-15</v>
      </c>
      <c r="R550" s="275">
        <v>-5.3200000000000003E-4</v>
      </c>
      <c r="S550" s="279">
        <v>-15</v>
      </c>
      <c r="T550" s="279">
        <v>-15</v>
      </c>
      <c r="U550" s="57">
        <v>1</v>
      </c>
      <c r="V550" s="276">
        <v>0.25</v>
      </c>
      <c r="W550" s="276">
        <v>0.1</v>
      </c>
      <c r="X550" s="279">
        <v>-10</v>
      </c>
      <c r="Y550" s="279">
        <v>-5</v>
      </c>
      <c r="Z550" s="45" t="b">
        <v>1</v>
      </c>
      <c r="AA550" s="45" t="s">
        <v>38</v>
      </c>
      <c r="AB550" s="45" t="s">
        <v>38</v>
      </c>
    </row>
    <row r="551" spans="1:28" x14ac:dyDescent="0.2">
      <c r="A551" s="96" t="s">
        <v>82</v>
      </c>
      <c r="B551" s="96" t="s">
        <v>82</v>
      </c>
      <c r="C551" s="277">
        <v>44156</v>
      </c>
      <c r="D551" s="277">
        <v>44185</v>
      </c>
      <c r="E551" s="270" t="s">
        <v>300</v>
      </c>
      <c r="F551" s="133" t="s">
        <v>34</v>
      </c>
      <c r="G551" s="96" t="s">
        <v>35</v>
      </c>
      <c r="H551" s="272" t="s">
        <v>46</v>
      </c>
      <c r="I551" s="58">
        <v>25</v>
      </c>
      <c r="J551" s="69">
        <v>51</v>
      </c>
      <c r="K551" s="270">
        <f t="shared" si="0"/>
        <v>1275</v>
      </c>
      <c r="L551" s="279">
        <v>1914</v>
      </c>
      <c r="M551" s="279">
        <v>175</v>
      </c>
      <c r="N551" s="274">
        <v>7</v>
      </c>
      <c r="O551" s="55"/>
      <c r="P551" s="45">
        <v>7</v>
      </c>
      <c r="Q551" s="279">
        <v>7</v>
      </c>
      <c r="R551" s="275">
        <v>-5.3200000000000003E-4</v>
      </c>
      <c r="S551" s="279">
        <v>6</v>
      </c>
      <c r="T551" s="279">
        <v>13</v>
      </c>
      <c r="U551" s="57">
        <v>1</v>
      </c>
      <c r="V551" s="276">
        <v>0.25</v>
      </c>
      <c r="W551" s="276">
        <v>0.1</v>
      </c>
      <c r="X551" s="279">
        <v>9</v>
      </c>
      <c r="Y551" s="279">
        <v>5</v>
      </c>
      <c r="Z551" s="45" t="b">
        <v>1</v>
      </c>
      <c r="AA551" s="45" t="s">
        <v>38</v>
      </c>
      <c r="AB551" s="45" t="s">
        <v>38</v>
      </c>
    </row>
    <row r="552" spans="1:28" x14ac:dyDescent="0.2">
      <c r="A552" s="96" t="s">
        <v>82</v>
      </c>
      <c r="B552" s="96" t="s">
        <v>82</v>
      </c>
      <c r="C552" s="277">
        <v>44156</v>
      </c>
      <c r="D552" s="277">
        <v>44185</v>
      </c>
      <c r="E552" s="270" t="s">
        <v>300</v>
      </c>
      <c r="F552" s="133" t="s">
        <v>34</v>
      </c>
      <c r="G552" s="96" t="s">
        <v>35</v>
      </c>
      <c r="H552" s="272" t="s">
        <v>72</v>
      </c>
      <c r="I552" s="58">
        <v>50</v>
      </c>
      <c r="J552" s="69">
        <v>2980</v>
      </c>
      <c r="K552" s="270">
        <f t="shared" si="0"/>
        <v>149000</v>
      </c>
      <c r="L552" s="279">
        <v>40579</v>
      </c>
      <c r="M552" s="279">
        <v>-8000</v>
      </c>
      <c r="N552" s="274">
        <v>796</v>
      </c>
      <c r="O552" s="55"/>
      <c r="P552" s="45">
        <v>796</v>
      </c>
      <c r="Q552" s="279">
        <v>-6039</v>
      </c>
      <c r="R552" s="275">
        <v>-5.3200000000000003E-4</v>
      </c>
      <c r="S552" s="279">
        <v>-6118</v>
      </c>
      <c r="T552" s="279">
        <v>-5322</v>
      </c>
      <c r="U552" s="57">
        <v>1</v>
      </c>
      <c r="V552" s="276">
        <v>0.25</v>
      </c>
      <c r="W552" s="276">
        <v>0.1</v>
      </c>
      <c r="X552" s="279">
        <v>-3459</v>
      </c>
      <c r="Y552" s="279">
        <v>-1863</v>
      </c>
      <c r="Z552" s="45" t="b">
        <v>1</v>
      </c>
      <c r="AA552" s="45" t="s">
        <v>38</v>
      </c>
      <c r="AB552" s="45" t="s">
        <v>38</v>
      </c>
    </row>
    <row r="553" spans="1:28" x14ac:dyDescent="0.2">
      <c r="A553" s="96" t="s">
        <v>82</v>
      </c>
      <c r="B553" s="96" t="s">
        <v>82</v>
      </c>
      <c r="C553" s="277">
        <v>44156</v>
      </c>
      <c r="D553" s="277">
        <v>44185</v>
      </c>
      <c r="E553" s="270" t="s">
        <v>300</v>
      </c>
      <c r="F553" s="133" t="s">
        <v>41</v>
      </c>
      <c r="G553" s="96" t="s">
        <v>35</v>
      </c>
      <c r="H553" s="272" t="s">
        <v>87</v>
      </c>
      <c r="I553" s="273">
        <v>25</v>
      </c>
      <c r="J553" s="270">
        <v>6</v>
      </c>
      <c r="K553" s="270">
        <f t="shared" si="0"/>
        <v>150</v>
      </c>
      <c r="L553" s="270"/>
      <c r="M553" s="270">
        <v>175</v>
      </c>
      <c r="N553" s="274">
        <v>1</v>
      </c>
      <c r="O553" s="55"/>
      <c r="P553" s="45">
        <v>1</v>
      </c>
      <c r="Q553" s="270"/>
      <c r="R553" s="275">
        <v>0</v>
      </c>
      <c r="S553" s="270"/>
      <c r="T553" s="270">
        <v>176</v>
      </c>
      <c r="U553" s="57">
        <v>1</v>
      </c>
      <c r="V553" s="276">
        <v>0.25</v>
      </c>
      <c r="W553" s="276">
        <v>0.1</v>
      </c>
      <c r="X553" s="270">
        <v>114</v>
      </c>
      <c r="Y553" s="270">
        <v>62</v>
      </c>
      <c r="Z553" s="45" t="b">
        <v>1</v>
      </c>
      <c r="AA553" s="45" t="s">
        <v>38</v>
      </c>
      <c r="AB553" s="45" t="s">
        <v>38</v>
      </c>
    </row>
    <row r="554" spans="1:28" x14ac:dyDescent="0.2">
      <c r="A554" s="96" t="s">
        <v>154</v>
      </c>
      <c r="B554" s="96" t="s">
        <v>154</v>
      </c>
      <c r="C554" s="277">
        <v>44156</v>
      </c>
      <c r="D554" s="277">
        <v>44185</v>
      </c>
      <c r="E554" s="270" t="s">
        <v>267</v>
      </c>
      <c r="F554" s="96" t="s">
        <v>34</v>
      </c>
      <c r="G554" s="270" t="s">
        <v>35</v>
      </c>
      <c r="H554" s="272" t="s">
        <v>83</v>
      </c>
      <c r="I554" s="273">
        <v>10</v>
      </c>
      <c r="J554" s="270">
        <v>1439</v>
      </c>
      <c r="K554" s="270">
        <f t="shared" si="0"/>
        <v>14390</v>
      </c>
      <c r="L554" s="270">
        <v>87200</v>
      </c>
      <c r="M554" s="270">
        <v>210</v>
      </c>
      <c r="N554" s="274">
        <v>72</v>
      </c>
      <c r="O554" s="55"/>
      <c r="P554" s="45">
        <v>72</v>
      </c>
      <c r="Q554" s="270">
        <v>298</v>
      </c>
      <c r="R554" s="275">
        <v>-5.3200000000000003E-4</v>
      </c>
      <c r="S554" s="270">
        <v>291</v>
      </c>
      <c r="T554" s="270">
        <v>363</v>
      </c>
      <c r="U554" s="57">
        <v>1</v>
      </c>
      <c r="V554" s="276">
        <v>0.2</v>
      </c>
      <c r="W554" s="276">
        <v>0</v>
      </c>
      <c r="X554" s="270">
        <v>290</v>
      </c>
      <c r="Y554" s="270">
        <v>73</v>
      </c>
      <c r="Z554" s="45" t="b">
        <v>1</v>
      </c>
      <c r="AA554" s="45" t="s">
        <v>38</v>
      </c>
      <c r="AB554" s="45" t="s">
        <v>38</v>
      </c>
    </row>
    <row r="555" spans="1:28" x14ac:dyDescent="0.2">
      <c r="A555" s="96" t="s">
        <v>154</v>
      </c>
      <c r="B555" s="96" t="s">
        <v>154</v>
      </c>
      <c r="C555" s="277">
        <v>44156</v>
      </c>
      <c r="D555" s="277">
        <v>44185</v>
      </c>
      <c r="E555" s="270" t="s">
        <v>267</v>
      </c>
      <c r="F555" s="96" t="s">
        <v>34</v>
      </c>
      <c r="G555" s="270" t="s">
        <v>35</v>
      </c>
      <c r="H555" s="272" t="s">
        <v>46</v>
      </c>
      <c r="I555" s="273">
        <v>25</v>
      </c>
      <c r="J555" s="270">
        <v>580</v>
      </c>
      <c r="K555" s="270">
        <f t="shared" si="0"/>
        <v>14500</v>
      </c>
      <c r="L555" s="270">
        <v>12870</v>
      </c>
      <c r="M555" s="270">
        <v>-950</v>
      </c>
      <c r="N555" s="274">
        <v>55</v>
      </c>
      <c r="O555" s="55"/>
      <c r="P555" s="45">
        <v>55</v>
      </c>
      <c r="Q555" s="270">
        <v>-331</v>
      </c>
      <c r="R555" s="275">
        <v>-5.3200000000000003E-4</v>
      </c>
      <c r="S555" s="270">
        <v>-339</v>
      </c>
      <c r="T555" s="270">
        <v>-284</v>
      </c>
      <c r="U555" s="57">
        <v>1</v>
      </c>
      <c r="V555" s="276">
        <v>0.2</v>
      </c>
      <c r="W555" s="276">
        <v>0</v>
      </c>
      <c r="X555" s="270">
        <v>-227</v>
      </c>
      <c r="Y555" s="270">
        <v>-57</v>
      </c>
      <c r="Z555" s="45" t="b">
        <v>1</v>
      </c>
      <c r="AA555" s="45" t="s">
        <v>38</v>
      </c>
      <c r="AB555" s="45" t="s">
        <v>38</v>
      </c>
    </row>
    <row r="556" spans="1:28" x14ac:dyDescent="0.2">
      <c r="A556" s="96" t="s">
        <v>145</v>
      </c>
      <c r="B556" s="96" t="s">
        <v>145</v>
      </c>
      <c r="C556" s="277">
        <v>44166</v>
      </c>
      <c r="D556" s="277">
        <v>44185</v>
      </c>
      <c r="E556" s="270" t="s">
        <v>267</v>
      </c>
      <c r="F556" s="133" t="s">
        <v>49</v>
      </c>
      <c r="G556" s="279" t="s">
        <v>35</v>
      </c>
      <c r="H556" s="272" t="s">
        <v>70</v>
      </c>
      <c r="I556" s="273">
        <v>100</v>
      </c>
      <c r="J556" s="270">
        <v>2165</v>
      </c>
      <c r="K556" s="270">
        <f t="shared" si="0"/>
        <v>216500</v>
      </c>
      <c r="L556" s="270">
        <v>77964</v>
      </c>
      <c r="M556" s="270">
        <v>15700</v>
      </c>
      <c r="N556" s="274">
        <v>2047</v>
      </c>
      <c r="O556" s="55"/>
      <c r="P556" s="105">
        <v>2047</v>
      </c>
      <c r="Q556" s="270">
        <v>2922</v>
      </c>
      <c r="R556" s="275">
        <v>-3.0609999999999999E-3</v>
      </c>
      <c r="S556" s="270">
        <v>2259</v>
      </c>
      <c r="T556" s="270">
        <v>4306</v>
      </c>
      <c r="U556" s="57">
        <v>1</v>
      </c>
      <c r="V556" s="276">
        <v>0.12</v>
      </c>
      <c r="W556" s="276">
        <v>0</v>
      </c>
      <c r="X556" s="270">
        <v>3789</v>
      </c>
      <c r="Y556" s="270">
        <v>517</v>
      </c>
      <c r="Z556" s="45" t="b">
        <v>1</v>
      </c>
      <c r="AA556" s="45" t="s">
        <v>38</v>
      </c>
      <c r="AB556" s="45" t="s">
        <v>38</v>
      </c>
    </row>
    <row r="557" spans="1:28" x14ac:dyDescent="0.2">
      <c r="A557" s="96" t="s">
        <v>447</v>
      </c>
      <c r="B557" s="96" t="s">
        <v>910</v>
      </c>
      <c r="C557" s="277">
        <v>44166</v>
      </c>
      <c r="D557" s="277">
        <v>44185</v>
      </c>
      <c r="E557" s="270" t="s">
        <v>300</v>
      </c>
      <c r="F557" s="133" t="s">
        <v>49</v>
      </c>
      <c r="G557" s="279" t="s">
        <v>61</v>
      </c>
      <c r="H557" s="272" t="s">
        <v>109</v>
      </c>
      <c r="I557" s="273">
        <v>50</v>
      </c>
      <c r="J557" s="270">
        <v>1280</v>
      </c>
      <c r="K557" s="270">
        <f t="shared" si="0"/>
        <v>64000</v>
      </c>
      <c r="L557" s="270">
        <v>42447</v>
      </c>
      <c r="M557" s="270">
        <v>5000</v>
      </c>
      <c r="N557" s="274">
        <v>1650</v>
      </c>
      <c r="O557" s="55"/>
      <c r="P557" s="105">
        <v>1650</v>
      </c>
      <c r="Q557" s="270">
        <v>-1726</v>
      </c>
      <c r="R557" s="275">
        <v>-2.9420000000000002E-3</v>
      </c>
      <c r="S557" s="270">
        <v>-1914</v>
      </c>
      <c r="T557" s="270">
        <v>-264</v>
      </c>
      <c r="U557" s="57">
        <v>1</v>
      </c>
      <c r="V557" s="276">
        <v>0.21</v>
      </c>
      <c r="W557" s="276">
        <v>0.11</v>
      </c>
      <c r="X557" s="270">
        <v>-180</v>
      </c>
      <c r="Y557" s="270">
        <v>-84</v>
      </c>
      <c r="Z557" s="45" t="b">
        <v>1</v>
      </c>
      <c r="AA557" s="45" t="s">
        <v>50</v>
      </c>
      <c r="AB557" s="45" t="s">
        <v>50</v>
      </c>
    </row>
    <row r="558" spans="1:28" x14ac:dyDescent="0.2">
      <c r="A558" s="96" t="s">
        <v>178</v>
      </c>
      <c r="B558" s="96" t="s">
        <v>922</v>
      </c>
      <c r="C558" s="277">
        <v>44156</v>
      </c>
      <c r="D558" s="277">
        <v>44185</v>
      </c>
      <c r="E558" s="270" t="s">
        <v>267</v>
      </c>
      <c r="F558" s="133" t="s">
        <v>34</v>
      </c>
      <c r="G558" s="96" t="s">
        <v>61</v>
      </c>
      <c r="H558" s="272" t="s">
        <v>980</v>
      </c>
      <c r="I558" s="58">
        <v>5</v>
      </c>
      <c r="J558" s="69">
        <v>113</v>
      </c>
      <c r="K558" s="270">
        <f t="shared" si="0"/>
        <v>565</v>
      </c>
      <c r="L558" s="279">
        <v>14664</v>
      </c>
      <c r="M558" s="279">
        <v>140</v>
      </c>
      <c r="N558" s="274"/>
      <c r="O558" s="55"/>
      <c r="P558" s="96"/>
      <c r="Q558" s="279">
        <v>84</v>
      </c>
      <c r="R558" s="275">
        <v>-5.3200000000000003E-4</v>
      </c>
      <c r="S558" s="279">
        <v>84</v>
      </c>
      <c r="T558" s="279">
        <v>84</v>
      </c>
      <c r="U558" s="57">
        <v>1</v>
      </c>
      <c r="V558" s="276">
        <v>0.2</v>
      </c>
      <c r="W558" s="276">
        <v>0</v>
      </c>
      <c r="X558" s="279">
        <v>67</v>
      </c>
      <c r="Y558" s="279">
        <v>17</v>
      </c>
      <c r="Z558" s="45" t="b">
        <v>1</v>
      </c>
      <c r="AA558" s="45" t="s">
        <v>50</v>
      </c>
      <c r="AB558" s="45" t="s">
        <v>50</v>
      </c>
    </row>
    <row r="559" spans="1:28" x14ac:dyDescent="0.2">
      <c r="A559" s="96" t="s">
        <v>178</v>
      </c>
      <c r="B559" s="96" t="s">
        <v>922</v>
      </c>
      <c r="C559" s="277">
        <v>44156</v>
      </c>
      <c r="D559" s="277">
        <v>44185</v>
      </c>
      <c r="E559" s="270" t="s">
        <v>267</v>
      </c>
      <c r="F559" s="133" t="s">
        <v>34</v>
      </c>
      <c r="G559" s="96" t="s">
        <v>61</v>
      </c>
      <c r="H559" s="272" t="s">
        <v>63</v>
      </c>
      <c r="I559" s="58">
        <v>10</v>
      </c>
      <c r="J559" s="69">
        <v>1526</v>
      </c>
      <c r="K559" s="270">
        <f t="shared" si="0"/>
        <v>15260</v>
      </c>
      <c r="L559" s="279">
        <v>132279</v>
      </c>
      <c r="M559" s="279">
        <v>760</v>
      </c>
      <c r="N559" s="274"/>
      <c r="O559" s="55"/>
      <c r="P559" s="96"/>
      <c r="Q559" s="279">
        <v>1060</v>
      </c>
      <c r="R559" s="275">
        <v>-5.3200000000000003E-4</v>
      </c>
      <c r="S559" s="279">
        <v>1052</v>
      </c>
      <c r="T559" s="279">
        <v>1052</v>
      </c>
      <c r="U559" s="57">
        <v>1</v>
      </c>
      <c r="V559" s="276">
        <v>0.2</v>
      </c>
      <c r="W559" s="276">
        <v>0</v>
      </c>
      <c r="X559" s="279">
        <v>842</v>
      </c>
      <c r="Y559" s="279">
        <v>210</v>
      </c>
      <c r="Z559" s="45" t="b">
        <v>1</v>
      </c>
      <c r="AA559" s="45" t="s">
        <v>50</v>
      </c>
      <c r="AB559" s="45" t="s">
        <v>50</v>
      </c>
    </row>
    <row r="560" spans="1:28" x14ac:dyDescent="0.2">
      <c r="A560" s="96" t="s">
        <v>508</v>
      </c>
      <c r="B560" s="96" t="s">
        <v>508</v>
      </c>
      <c r="C560" s="277">
        <v>44156</v>
      </c>
      <c r="D560" s="277">
        <v>44185</v>
      </c>
      <c r="E560" s="270" t="s">
        <v>300</v>
      </c>
      <c r="F560" s="96" t="s">
        <v>34</v>
      </c>
      <c r="G560" s="96" t="s">
        <v>35</v>
      </c>
      <c r="H560" s="272" t="s">
        <v>70</v>
      </c>
      <c r="I560" s="58">
        <v>100</v>
      </c>
      <c r="J560" s="69">
        <v>3000</v>
      </c>
      <c r="K560" s="270">
        <f t="shared" si="0"/>
        <v>300000</v>
      </c>
      <c r="L560" s="270">
        <v>139749</v>
      </c>
      <c r="M560" s="270">
        <v>26600</v>
      </c>
      <c r="N560" s="274">
        <v>4693</v>
      </c>
      <c r="O560" s="55"/>
      <c r="P560" s="105">
        <v>4693</v>
      </c>
      <c r="Q560" s="270">
        <v>9764</v>
      </c>
      <c r="R560" s="275">
        <v>-5.3200000000000003E-4</v>
      </c>
      <c r="S560" s="270">
        <v>9605</v>
      </c>
      <c r="T560" s="270">
        <v>14298</v>
      </c>
      <c r="U560" s="57">
        <v>1</v>
      </c>
      <c r="V560" s="276">
        <v>0.13500000000000001</v>
      </c>
      <c r="W560" s="276">
        <v>4.4999999999999998E-2</v>
      </c>
      <c r="X560" s="270">
        <v>11724</v>
      </c>
      <c r="Y560" s="270">
        <v>2574</v>
      </c>
      <c r="Z560" s="45" t="b">
        <v>1</v>
      </c>
      <c r="AA560" s="45" t="s">
        <v>38</v>
      </c>
      <c r="AB560" s="45" t="s">
        <v>38</v>
      </c>
    </row>
    <row r="561" spans="1:28" x14ac:dyDescent="0.2">
      <c r="A561" s="96" t="s">
        <v>191</v>
      </c>
      <c r="B561" s="96" t="s">
        <v>191</v>
      </c>
      <c r="C561" s="277">
        <v>44156</v>
      </c>
      <c r="D561" s="277">
        <v>44185</v>
      </c>
      <c r="E561" s="270" t="s">
        <v>267</v>
      </c>
      <c r="F561" s="96" t="s">
        <v>34</v>
      </c>
      <c r="G561" s="270" t="s">
        <v>35</v>
      </c>
      <c r="H561" s="272" t="s">
        <v>86</v>
      </c>
      <c r="I561" s="273">
        <v>5</v>
      </c>
      <c r="J561" s="270">
        <v>2490</v>
      </c>
      <c r="K561" s="270">
        <f t="shared" si="0"/>
        <v>12450</v>
      </c>
      <c r="L561" s="270">
        <v>146059</v>
      </c>
      <c r="M561" s="270">
        <v>1180</v>
      </c>
      <c r="N561" s="274">
        <v>57</v>
      </c>
      <c r="O561" s="55"/>
      <c r="P561" s="45">
        <v>57</v>
      </c>
      <c r="Q561" s="270">
        <v>397</v>
      </c>
      <c r="R561" s="275">
        <v>-5.3200000000000003E-4</v>
      </c>
      <c r="S561" s="270">
        <v>391</v>
      </c>
      <c r="T561" s="270">
        <v>448</v>
      </c>
      <c r="U561" s="57">
        <v>1</v>
      </c>
      <c r="V561" s="276">
        <v>0.25</v>
      </c>
      <c r="W561" s="276">
        <v>0</v>
      </c>
      <c r="X561" s="270">
        <v>336</v>
      </c>
      <c r="Y561" s="270">
        <v>112</v>
      </c>
      <c r="Z561" s="45" t="b">
        <v>1</v>
      </c>
      <c r="AA561" s="45" t="s">
        <v>38</v>
      </c>
      <c r="AB561" s="45" t="s">
        <v>38</v>
      </c>
    </row>
    <row r="562" spans="1:28" x14ac:dyDescent="0.2">
      <c r="A562" s="96" t="s">
        <v>191</v>
      </c>
      <c r="B562" s="96" t="s">
        <v>191</v>
      </c>
      <c r="C562" s="277">
        <v>44156</v>
      </c>
      <c r="D562" s="277">
        <v>44185</v>
      </c>
      <c r="E562" s="270" t="s">
        <v>267</v>
      </c>
      <c r="F562" s="96" t="s">
        <v>34</v>
      </c>
      <c r="G562" s="270" t="s">
        <v>35</v>
      </c>
      <c r="H562" s="272" t="s">
        <v>83</v>
      </c>
      <c r="I562" s="273">
        <v>10</v>
      </c>
      <c r="J562" s="270">
        <v>140</v>
      </c>
      <c r="K562" s="270">
        <f t="shared" si="0"/>
        <v>1400</v>
      </c>
      <c r="L562" s="270">
        <v>1525</v>
      </c>
      <c r="M562" s="270">
        <v>-50</v>
      </c>
      <c r="N562" s="274">
        <v>7</v>
      </c>
      <c r="O562" s="55"/>
      <c r="P562" s="45">
        <v>7</v>
      </c>
      <c r="Q562" s="270">
        <v>-90</v>
      </c>
      <c r="R562" s="275">
        <v>-5.3200000000000003E-4</v>
      </c>
      <c r="S562" s="270">
        <v>-91</v>
      </c>
      <c r="T562" s="270">
        <v>-84</v>
      </c>
      <c r="U562" s="57">
        <v>1</v>
      </c>
      <c r="V562" s="276">
        <v>0.25</v>
      </c>
      <c r="W562" s="276">
        <v>0</v>
      </c>
      <c r="X562" s="270">
        <v>-63</v>
      </c>
      <c r="Y562" s="270">
        <v>-21</v>
      </c>
      <c r="Z562" s="45" t="b">
        <v>1</v>
      </c>
      <c r="AA562" s="45" t="s">
        <v>38</v>
      </c>
      <c r="AB562" s="45" t="s">
        <v>38</v>
      </c>
    </row>
    <row r="563" spans="1:28" x14ac:dyDescent="0.2">
      <c r="A563" s="96" t="s">
        <v>355</v>
      </c>
      <c r="B563" s="96" t="s">
        <v>978</v>
      </c>
      <c r="C563" s="277">
        <v>44166</v>
      </c>
      <c r="D563" s="277">
        <v>44196</v>
      </c>
      <c r="E563" s="270" t="s">
        <v>300</v>
      </c>
      <c r="F563" s="133" t="s">
        <v>34</v>
      </c>
      <c r="G563" s="270" t="s">
        <v>69</v>
      </c>
      <c r="H563" s="272" t="s">
        <v>70</v>
      </c>
      <c r="I563" s="273">
        <v>100</v>
      </c>
      <c r="J563" s="270">
        <v>785</v>
      </c>
      <c r="K563" s="270">
        <f t="shared" si="0"/>
        <v>78500</v>
      </c>
      <c r="L563" s="270">
        <v>6525</v>
      </c>
      <c r="M563" s="270">
        <v>-6400</v>
      </c>
      <c r="N563" s="274">
        <v>10036.19</v>
      </c>
      <c r="O563" s="55"/>
      <c r="P563" s="105">
        <v>10036</v>
      </c>
      <c r="Q563" s="270">
        <v>-3006</v>
      </c>
      <c r="R563" s="275">
        <v>-3.8899999999999998E-3</v>
      </c>
      <c r="S563" s="270">
        <v>-3312</v>
      </c>
      <c r="T563" s="270">
        <v>6725</v>
      </c>
      <c r="U563" s="57">
        <v>1</v>
      </c>
      <c r="V563" s="276">
        <v>0</v>
      </c>
      <c r="W563" s="276">
        <v>0.125</v>
      </c>
      <c r="X563" s="270">
        <v>5884</v>
      </c>
      <c r="Y563" s="270">
        <v>841</v>
      </c>
      <c r="Z563" s="45" t="b">
        <v>1</v>
      </c>
      <c r="AA563" s="45" t="s">
        <v>38</v>
      </c>
      <c r="AB563" s="45" t="s">
        <v>38</v>
      </c>
    </row>
    <row r="564" spans="1:28" x14ac:dyDescent="0.2">
      <c r="A564" s="96" t="s">
        <v>355</v>
      </c>
      <c r="B564" s="96" t="s">
        <v>978</v>
      </c>
      <c r="C564" s="277">
        <v>44166</v>
      </c>
      <c r="D564" s="277">
        <v>44196</v>
      </c>
      <c r="E564" s="270" t="s">
        <v>300</v>
      </c>
      <c r="F564" s="133" t="s">
        <v>34</v>
      </c>
      <c r="G564" s="270" t="s">
        <v>69</v>
      </c>
      <c r="H564" s="272" t="s">
        <v>73</v>
      </c>
      <c r="I564" s="273">
        <v>100</v>
      </c>
      <c r="J564" s="270">
        <v>587</v>
      </c>
      <c r="K564" s="270">
        <f t="shared" si="0"/>
        <v>58700</v>
      </c>
      <c r="L564" s="270">
        <v>-2389</v>
      </c>
      <c r="M564" s="270">
        <v>-6200</v>
      </c>
      <c r="N564" s="274">
        <v>7504.77</v>
      </c>
      <c r="O564" s="55"/>
      <c r="P564" s="105">
        <v>7505</v>
      </c>
      <c r="Q564" s="270">
        <v>-3922</v>
      </c>
      <c r="R564" s="275">
        <v>-3.8899999999999998E-3</v>
      </c>
      <c r="S564" s="270">
        <v>-4150</v>
      </c>
      <c r="T564" s="270">
        <v>3354</v>
      </c>
      <c r="U564" s="57">
        <v>1</v>
      </c>
      <c r="V564" s="276">
        <v>0</v>
      </c>
      <c r="W564" s="276">
        <v>0.125</v>
      </c>
      <c r="X564" s="270">
        <v>2935</v>
      </c>
      <c r="Y564" s="270">
        <v>419</v>
      </c>
      <c r="Z564" s="45" t="b">
        <v>1</v>
      </c>
      <c r="AA564" s="45" t="s">
        <v>38</v>
      </c>
      <c r="AB564" s="45" t="s">
        <v>38</v>
      </c>
    </row>
    <row r="565" spans="1:28" x14ac:dyDescent="0.2">
      <c r="A565" s="96" t="s">
        <v>355</v>
      </c>
      <c r="B565" s="96" t="s">
        <v>978</v>
      </c>
      <c r="C565" s="277">
        <v>44166</v>
      </c>
      <c r="D565" s="277">
        <v>44196</v>
      </c>
      <c r="E565" s="270" t="s">
        <v>300</v>
      </c>
      <c r="F565" s="133" t="s">
        <v>34</v>
      </c>
      <c r="G565" s="270" t="s">
        <v>69</v>
      </c>
      <c r="H565" s="272" t="s">
        <v>88</v>
      </c>
      <c r="I565" s="273">
        <v>250</v>
      </c>
      <c r="J565" s="270">
        <v>305</v>
      </c>
      <c r="K565" s="270">
        <f t="shared" si="0"/>
        <v>76250</v>
      </c>
      <c r="L565" s="270">
        <v>-1878</v>
      </c>
      <c r="M565" s="270">
        <v>-8000</v>
      </c>
      <c r="N565" s="274">
        <v>7798.82</v>
      </c>
      <c r="O565" s="55"/>
      <c r="P565" s="105">
        <v>7799</v>
      </c>
      <c r="Q565" s="270">
        <v>-4071</v>
      </c>
      <c r="R565" s="275">
        <v>-3.8899999999999998E-3</v>
      </c>
      <c r="S565" s="270">
        <v>-4367</v>
      </c>
      <c r="T565" s="270">
        <v>3432</v>
      </c>
      <c r="U565" s="57">
        <v>1</v>
      </c>
      <c r="V565" s="276">
        <v>0</v>
      </c>
      <c r="W565" s="276">
        <v>0.125</v>
      </c>
      <c r="X565" s="270">
        <v>3003</v>
      </c>
      <c r="Y565" s="270">
        <v>429</v>
      </c>
      <c r="Z565" s="45" t="b">
        <v>1</v>
      </c>
      <c r="AA565" s="45" t="s">
        <v>38</v>
      </c>
      <c r="AB565" s="45" t="s">
        <v>38</v>
      </c>
    </row>
    <row r="566" spans="1:28" x14ac:dyDescent="0.2">
      <c r="A566" s="96" t="s">
        <v>355</v>
      </c>
      <c r="B566" s="96" t="s">
        <v>978</v>
      </c>
      <c r="C566" s="277">
        <v>44166</v>
      </c>
      <c r="D566" s="277">
        <v>44196</v>
      </c>
      <c r="E566" s="270" t="s">
        <v>300</v>
      </c>
      <c r="F566" s="133" t="s">
        <v>34</v>
      </c>
      <c r="G566" s="270" t="s">
        <v>69</v>
      </c>
      <c r="H566" s="272" t="s">
        <v>72</v>
      </c>
      <c r="I566" s="273">
        <v>50</v>
      </c>
      <c r="J566" s="270">
        <v>76</v>
      </c>
      <c r="K566" s="270">
        <f t="shared" si="0"/>
        <v>3800</v>
      </c>
      <c r="L566" s="270">
        <v>7694</v>
      </c>
      <c r="M566" s="270">
        <v>1350</v>
      </c>
      <c r="N566" s="274">
        <v>485.83</v>
      </c>
      <c r="O566" s="55"/>
      <c r="P566" s="45">
        <v>486</v>
      </c>
      <c r="Q566" s="270">
        <v>522</v>
      </c>
      <c r="R566" s="275">
        <v>-3.8899999999999998E-3</v>
      </c>
      <c r="S566" s="270">
        <v>507</v>
      </c>
      <c r="T566" s="270">
        <v>993</v>
      </c>
      <c r="U566" s="57">
        <v>1</v>
      </c>
      <c r="V566" s="276">
        <v>0</v>
      </c>
      <c r="W566" s="276">
        <v>0.125</v>
      </c>
      <c r="X566" s="270">
        <v>869</v>
      </c>
      <c r="Y566" s="270">
        <v>124</v>
      </c>
      <c r="Z566" s="45" t="b">
        <v>1</v>
      </c>
      <c r="AA566" s="45" t="s">
        <v>38</v>
      </c>
      <c r="AB566" s="45" t="s">
        <v>38</v>
      </c>
    </row>
    <row r="567" spans="1:28" x14ac:dyDescent="0.2">
      <c r="A567" s="96" t="s">
        <v>355</v>
      </c>
      <c r="B567" s="96" t="s">
        <v>978</v>
      </c>
      <c r="C567" s="277">
        <v>44166</v>
      </c>
      <c r="D567" s="277">
        <v>44196</v>
      </c>
      <c r="E567" s="270" t="s">
        <v>300</v>
      </c>
      <c r="F567" s="133" t="s">
        <v>34</v>
      </c>
      <c r="G567" s="270" t="s">
        <v>69</v>
      </c>
      <c r="H567" s="272" t="s">
        <v>76</v>
      </c>
      <c r="I567" s="273">
        <v>50</v>
      </c>
      <c r="J567" s="270">
        <v>108</v>
      </c>
      <c r="K567" s="270">
        <f t="shared" si="0"/>
        <v>5400</v>
      </c>
      <c r="L567" s="270">
        <v>885</v>
      </c>
      <c r="M567" s="270">
        <v>-1350</v>
      </c>
      <c r="N567" s="274">
        <v>690.39</v>
      </c>
      <c r="O567" s="55"/>
      <c r="P567" s="45">
        <v>690</v>
      </c>
      <c r="Q567" s="270">
        <v>-152</v>
      </c>
      <c r="R567" s="275">
        <v>-3.8899999999999998E-3</v>
      </c>
      <c r="S567" s="270">
        <v>-173</v>
      </c>
      <c r="T567" s="270">
        <v>517</v>
      </c>
      <c r="U567" s="57">
        <v>1</v>
      </c>
      <c r="V567" s="276">
        <v>0</v>
      </c>
      <c r="W567" s="276">
        <v>0.125</v>
      </c>
      <c r="X567" s="270">
        <v>452</v>
      </c>
      <c r="Y567" s="270">
        <v>65</v>
      </c>
      <c r="Z567" s="45" t="b">
        <v>1</v>
      </c>
      <c r="AA567" s="45" t="s">
        <v>38</v>
      </c>
      <c r="AB567" s="45" t="s">
        <v>38</v>
      </c>
    </row>
    <row r="568" spans="1:28" x14ac:dyDescent="0.2">
      <c r="A568" s="96" t="s">
        <v>206</v>
      </c>
      <c r="B568" s="96" t="s">
        <v>982</v>
      </c>
      <c r="C568" s="277">
        <v>44166</v>
      </c>
      <c r="D568" s="277">
        <v>44196</v>
      </c>
      <c r="E568" s="270" t="s">
        <v>267</v>
      </c>
      <c r="F568" s="133" t="s">
        <v>34</v>
      </c>
      <c r="G568" s="96" t="s">
        <v>69</v>
      </c>
      <c r="H568" s="272" t="s">
        <v>70</v>
      </c>
      <c r="I568" s="58">
        <v>100</v>
      </c>
      <c r="J568" s="69">
        <v>3507</v>
      </c>
      <c r="K568" s="270">
        <f t="shared" si="0"/>
        <v>350700</v>
      </c>
      <c r="L568" s="270">
        <v>104514</v>
      </c>
      <c r="M568" s="270">
        <v>1100</v>
      </c>
      <c r="N568" s="274">
        <v>12000</v>
      </c>
      <c r="O568" s="55"/>
      <c r="P568" s="105">
        <v>12000</v>
      </c>
      <c r="Q568" s="270">
        <v>808</v>
      </c>
      <c r="R568" s="275">
        <v>-3.888E-3</v>
      </c>
      <c r="S568" s="270">
        <v>-555</v>
      </c>
      <c r="T568" s="270">
        <v>11445</v>
      </c>
      <c r="U568" s="57">
        <v>1</v>
      </c>
      <c r="V568" s="276">
        <v>0.22</v>
      </c>
      <c r="W568" s="276">
        <v>0</v>
      </c>
      <c r="X568" s="270">
        <v>8927</v>
      </c>
      <c r="Y568" s="270">
        <v>2518</v>
      </c>
      <c r="Z568" s="45" t="b">
        <v>1</v>
      </c>
      <c r="AA568" s="45" t="s">
        <v>38</v>
      </c>
      <c r="AB568" s="45" t="s">
        <v>38</v>
      </c>
    </row>
    <row r="569" spans="1:28" x14ac:dyDescent="0.2">
      <c r="A569" s="96" t="s">
        <v>206</v>
      </c>
      <c r="B569" s="96" t="s">
        <v>982</v>
      </c>
      <c r="C569" s="277">
        <v>44166</v>
      </c>
      <c r="D569" s="277">
        <v>44196</v>
      </c>
      <c r="E569" s="270" t="s">
        <v>267</v>
      </c>
      <c r="F569" s="133" t="s">
        <v>34</v>
      </c>
      <c r="G569" s="96" t="s">
        <v>69</v>
      </c>
      <c r="H569" s="272" t="s">
        <v>72</v>
      </c>
      <c r="I569" s="58">
        <v>50</v>
      </c>
      <c r="J569" s="69">
        <v>64</v>
      </c>
      <c r="K569" s="270">
        <f t="shared" si="0"/>
        <v>3200</v>
      </c>
      <c r="L569" s="270">
        <v>1630</v>
      </c>
      <c r="M569" s="270">
        <v>-50</v>
      </c>
      <c r="N569" s="274">
        <v>350</v>
      </c>
      <c r="O569" s="55"/>
      <c r="P569" s="45">
        <v>350</v>
      </c>
      <c r="Q569" s="270">
        <v>-19</v>
      </c>
      <c r="R569" s="275">
        <v>-3.888E-3</v>
      </c>
      <c r="S569" s="270">
        <v>-31</v>
      </c>
      <c r="T569" s="270">
        <v>319</v>
      </c>
      <c r="U569" s="57">
        <v>1</v>
      </c>
      <c r="V569" s="276">
        <v>0.22</v>
      </c>
      <c r="W569" s="276">
        <v>0</v>
      </c>
      <c r="X569" s="270">
        <v>249</v>
      </c>
      <c r="Y569" s="270">
        <v>70</v>
      </c>
      <c r="Z569" s="45" t="b">
        <v>1</v>
      </c>
      <c r="AA569" s="45" t="s">
        <v>38</v>
      </c>
      <c r="AB569" s="45" t="s">
        <v>38</v>
      </c>
    </row>
    <row r="570" spans="1:28" x14ac:dyDescent="0.2">
      <c r="A570" s="96" t="s">
        <v>286</v>
      </c>
      <c r="B570" s="96" t="s">
        <v>286</v>
      </c>
      <c r="C570" s="277">
        <v>44186</v>
      </c>
      <c r="D570" s="277">
        <v>44216</v>
      </c>
      <c r="E570" s="270" t="s">
        <v>267</v>
      </c>
      <c r="F570" s="133" t="s">
        <v>34</v>
      </c>
      <c r="G570" s="96" t="s">
        <v>35</v>
      </c>
      <c r="H570" s="272" t="s">
        <v>86</v>
      </c>
      <c r="I570" s="58">
        <v>5</v>
      </c>
      <c r="J570" s="69">
        <v>202</v>
      </c>
      <c r="K570" s="270">
        <f t="shared" si="0"/>
        <v>1010</v>
      </c>
      <c r="L570" s="270">
        <v>22329</v>
      </c>
      <c r="M570" s="270">
        <v>-25</v>
      </c>
      <c r="N570" s="274">
        <v>1</v>
      </c>
      <c r="O570" s="55"/>
      <c r="P570" s="45">
        <v>1</v>
      </c>
      <c r="Q570" s="270">
        <v>130</v>
      </c>
      <c r="R570" s="275">
        <v>-3.888E-3</v>
      </c>
      <c r="S570" s="270">
        <v>126</v>
      </c>
      <c r="T570" s="270">
        <v>127</v>
      </c>
      <c r="U570" s="57">
        <v>1</v>
      </c>
      <c r="V570" s="276">
        <v>0.15</v>
      </c>
      <c r="W570" s="276">
        <v>0</v>
      </c>
      <c r="X570" s="270">
        <v>108</v>
      </c>
      <c r="Y570" s="270">
        <v>19</v>
      </c>
      <c r="Z570" s="45" t="b">
        <v>1</v>
      </c>
      <c r="AA570" s="45" t="s">
        <v>38</v>
      </c>
      <c r="AB570" s="45" t="s">
        <v>38</v>
      </c>
    </row>
    <row r="571" spans="1:28" x14ac:dyDescent="0.2">
      <c r="A571" s="96" t="s">
        <v>286</v>
      </c>
      <c r="B571" s="96" t="s">
        <v>286</v>
      </c>
      <c r="C571" s="277">
        <v>44186</v>
      </c>
      <c r="D571" s="277">
        <v>44216</v>
      </c>
      <c r="E571" s="270" t="s">
        <v>267</v>
      </c>
      <c r="F571" s="133" t="s">
        <v>34</v>
      </c>
      <c r="G571" s="96" t="s">
        <v>35</v>
      </c>
      <c r="H571" s="272" t="s">
        <v>177</v>
      </c>
      <c r="I571" s="58">
        <v>5</v>
      </c>
      <c r="J571" s="69">
        <v>476</v>
      </c>
      <c r="K571" s="270">
        <f t="shared" si="0"/>
        <v>2380</v>
      </c>
      <c r="L571" s="270">
        <v>13281</v>
      </c>
      <c r="M571" s="270">
        <v>-15</v>
      </c>
      <c r="N571" s="274">
        <v>2</v>
      </c>
      <c r="O571" s="55"/>
      <c r="P571" s="45">
        <v>2</v>
      </c>
      <c r="Q571" s="270">
        <v>27</v>
      </c>
      <c r="R571" s="275">
        <v>-3.888E-3</v>
      </c>
      <c r="S571" s="270">
        <v>18</v>
      </c>
      <c r="T571" s="270">
        <v>20</v>
      </c>
      <c r="U571" s="57">
        <v>1</v>
      </c>
      <c r="V571" s="276">
        <v>0.15</v>
      </c>
      <c r="W571" s="276">
        <v>0</v>
      </c>
      <c r="X571" s="270">
        <v>17</v>
      </c>
      <c r="Y571" s="270">
        <v>3</v>
      </c>
      <c r="Z571" s="45" t="b">
        <v>1</v>
      </c>
      <c r="AA571" s="45" t="s">
        <v>38</v>
      </c>
      <c r="AB571" s="45" t="s">
        <v>38</v>
      </c>
    </row>
    <row r="572" spans="1:28" x14ac:dyDescent="0.2">
      <c r="A572" s="96" t="s">
        <v>286</v>
      </c>
      <c r="B572" s="96" t="s">
        <v>286</v>
      </c>
      <c r="C572" s="277">
        <v>44186</v>
      </c>
      <c r="D572" s="277">
        <v>44216</v>
      </c>
      <c r="E572" s="270" t="s">
        <v>267</v>
      </c>
      <c r="F572" s="133" t="s">
        <v>34</v>
      </c>
      <c r="G572" s="96" t="s">
        <v>35</v>
      </c>
      <c r="H572" s="272" t="s">
        <v>83</v>
      </c>
      <c r="I572" s="58">
        <v>10</v>
      </c>
      <c r="J572" s="69">
        <v>673</v>
      </c>
      <c r="K572" s="270">
        <f t="shared" si="0"/>
        <v>6730</v>
      </c>
      <c r="L572" s="270">
        <v>25187</v>
      </c>
      <c r="M572" s="270">
        <v>250</v>
      </c>
      <c r="N572" s="274">
        <v>7</v>
      </c>
      <c r="O572" s="55"/>
      <c r="P572" s="45">
        <v>7</v>
      </c>
      <c r="Q572" s="270">
        <v>-108</v>
      </c>
      <c r="R572" s="275">
        <v>-3.888E-3</v>
      </c>
      <c r="S572" s="270">
        <v>-135</v>
      </c>
      <c r="T572" s="270">
        <v>-128</v>
      </c>
      <c r="U572" s="57">
        <v>1</v>
      </c>
      <c r="V572" s="276">
        <v>0.15</v>
      </c>
      <c r="W572" s="276">
        <v>0</v>
      </c>
      <c r="X572" s="270">
        <v>-108</v>
      </c>
      <c r="Y572" s="270">
        <v>-19</v>
      </c>
      <c r="Z572" s="45" t="b">
        <v>1</v>
      </c>
      <c r="AA572" s="45" t="s">
        <v>38</v>
      </c>
      <c r="AB572" s="45" t="s">
        <v>38</v>
      </c>
    </row>
    <row r="573" spans="1:28" x14ac:dyDescent="0.2">
      <c r="A573" s="96" t="s">
        <v>286</v>
      </c>
      <c r="B573" s="96" t="s">
        <v>286</v>
      </c>
      <c r="C573" s="277">
        <v>44186</v>
      </c>
      <c r="D573" s="277">
        <v>44216</v>
      </c>
      <c r="E573" s="270" t="s">
        <v>267</v>
      </c>
      <c r="F573" s="133" t="s">
        <v>34</v>
      </c>
      <c r="G573" s="96" t="s">
        <v>35</v>
      </c>
      <c r="H573" s="272" t="s">
        <v>983</v>
      </c>
      <c r="I573" s="58">
        <v>10</v>
      </c>
      <c r="J573" s="69">
        <v>231</v>
      </c>
      <c r="K573" s="270">
        <f t="shared" si="0"/>
        <v>2310</v>
      </c>
      <c r="L573" s="270">
        <v>3812</v>
      </c>
      <c r="M573" s="270">
        <v>90</v>
      </c>
      <c r="N573" s="274">
        <v>2</v>
      </c>
      <c r="O573" s="55"/>
      <c r="P573" s="45">
        <v>2</v>
      </c>
      <c r="Q573" s="270">
        <v>-79</v>
      </c>
      <c r="R573" s="275">
        <v>-3.888E-3</v>
      </c>
      <c r="S573" s="270">
        <v>-88</v>
      </c>
      <c r="T573" s="270">
        <v>-86</v>
      </c>
      <c r="U573" s="57">
        <v>1</v>
      </c>
      <c r="V573" s="276">
        <v>0.15</v>
      </c>
      <c r="W573" s="276">
        <v>0</v>
      </c>
      <c r="X573" s="270">
        <v>-73</v>
      </c>
      <c r="Y573" s="270">
        <v>-13</v>
      </c>
      <c r="Z573" s="45" t="b">
        <v>1</v>
      </c>
      <c r="AA573" s="45" t="s">
        <v>38</v>
      </c>
      <c r="AB573" s="45" t="s">
        <v>38</v>
      </c>
    </row>
    <row r="574" spans="1:28" x14ac:dyDescent="0.2">
      <c r="A574" s="96" t="s">
        <v>286</v>
      </c>
      <c r="B574" s="96" t="s">
        <v>286</v>
      </c>
      <c r="C574" s="277">
        <v>44186</v>
      </c>
      <c r="D574" s="277">
        <v>44216</v>
      </c>
      <c r="E574" s="270" t="s">
        <v>267</v>
      </c>
      <c r="F574" s="133" t="s">
        <v>34</v>
      </c>
      <c r="G574" s="96" t="s">
        <v>35</v>
      </c>
      <c r="H574" s="272" t="s">
        <v>46</v>
      </c>
      <c r="I574" s="58">
        <v>25</v>
      </c>
      <c r="J574" s="69">
        <v>181</v>
      </c>
      <c r="K574" s="270">
        <f t="shared" si="0"/>
        <v>4525</v>
      </c>
      <c r="L574" s="270">
        <v>7959</v>
      </c>
      <c r="M574" s="270">
        <v>-175</v>
      </c>
      <c r="N574" s="274">
        <v>3</v>
      </c>
      <c r="O574" s="55"/>
      <c r="P574" s="45">
        <v>3</v>
      </c>
      <c r="Q574" s="270">
        <v>79</v>
      </c>
      <c r="R574" s="275">
        <v>-3.888E-3</v>
      </c>
      <c r="S574" s="270">
        <v>62</v>
      </c>
      <c r="T574" s="270">
        <v>65</v>
      </c>
      <c r="U574" s="57">
        <v>1</v>
      </c>
      <c r="V574" s="276">
        <v>0.15</v>
      </c>
      <c r="W574" s="276">
        <v>0</v>
      </c>
      <c r="X574" s="270">
        <v>55</v>
      </c>
      <c r="Y574" s="270">
        <v>10</v>
      </c>
      <c r="Z574" s="45" t="b">
        <v>1</v>
      </c>
      <c r="AA574" s="45" t="s">
        <v>38</v>
      </c>
      <c r="AB574" s="45" t="s">
        <v>38</v>
      </c>
    </row>
    <row r="575" spans="1:28" x14ac:dyDescent="0.2">
      <c r="A575" s="96" t="s">
        <v>286</v>
      </c>
      <c r="B575" s="96" t="s">
        <v>286</v>
      </c>
      <c r="C575" s="277">
        <v>44186</v>
      </c>
      <c r="D575" s="277">
        <v>44216</v>
      </c>
      <c r="E575" s="270" t="s">
        <v>267</v>
      </c>
      <c r="F575" s="133" t="s">
        <v>34</v>
      </c>
      <c r="G575" s="96" t="s">
        <v>35</v>
      </c>
      <c r="H575" s="272" t="s">
        <v>87</v>
      </c>
      <c r="I575" s="58">
        <v>25</v>
      </c>
      <c r="J575" s="69">
        <v>4</v>
      </c>
      <c r="K575" s="270">
        <f t="shared" si="0"/>
        <v>100</v>
      </c>
      <c r="L575" s="270">
        <v>-809</v>
      </c>
      <c r="M575" s="270">
        <v>-25</v>
      </c>
      <c r="N575" s="274"/>
      <c r="O575" s="55"/>
      <c r="P575" s="96"/>
      <c r="Q575" s="270">
        <v>-69</v>
      </c>
      <c r="R575" s="275">
        <v>-3.888E-3</v>
      </c>
      <c r="S575" s="270">
        <v>-69</v>
      </c>
      <c r="T575" s="270">
        <v>-69</v>
      </c>
      <c r="U575" s="57">
        <v>1</v>
      </c>
      <c r="V575" s="276">
        <v>0.15</v>
      </c>
      <c r="W575" s="276">
        <v>0</v>
      </c>
      <c r="X575" s="270">
        <v>-59</v>
      </c>
      <c r="Y575" s="270">
        <v>-10</v>
      </c>
      <c r="Z575" s="45" t="b">
        <v>1</v>
      </c>
      <c r="AA575" s="45" t="s">
        <v>38</v>
      </c>
      <c r="AB575" s="45" t="s">
        <v>38</v>
      </c>
    </row>
    <row r="576" spans="1:28" x14ac:dyDescent="0.2">
      <c r="A576" s="96" t="s">
        <v>60</v>
      </c>
      <c r="B576" s="96" t="s">
        <v>60</v>
      </c>
      <c r="C576" s="277">
        <v>44186</v>
      </c>
      <c r="D576" s="277">
        <v>44216</v>
      </c>
      <c r="E576" s="270" t="s">
        <v>267</v>
      </c>
      <c r="F576" s="133" t="s">
        <v>34</v>
      </c>
      <c r="G576" s="270" t="s">
        <v>61</v>
      </c>
      <c r="H576" s="272" t="s">
        <v>63</v>
      </c>
      <c r="I576" s="273">
        <v>10</v>
      </c>
      <c r="J576" s="270">
        <v>834</v>
      </c>
      <c r="K576" s="270">
        <f t="shared" si="0"/>
        <v>8340</v>
      </c>
      <c r="L576" s="270">
        <v>65052</v>
      </c>
      <c r="M576" s="270">
        <v>140</v>
      </c>
      <c r="N576" s="274">
        <v>400</v>
      </c>
      <c r="O576" s="55"/>
      <c r="P576" s="45">
        <v>400</v>
      </c>
      <c r="Q576" s="270">
        <v>456</v>
      </c>
      <c r="R576" s="275">
        <v>-3.888E-3</v>
      </c>
      <c r="S576" s="270">
        <v>423</v>
      </c>
      <c r="T576" s="270">
        <v>823</v>
      </c>
      <c r="U576" s="57">
        <v>1</v>
      </c>
      <c r="V576" s="276">
        <v>0.25</v>
      </c>
      <c r="W576" s="276">
        <v>0</v>
      </c>
      <c r="X576" s="270">
        <v>618</v>
      </c>
      <c r="Y576" s="270">
        <v>206</v>
      </c>
      <c r="Z576" s="45" t="b">
        <v>1</v>
      </c>
      <c r="AA576" s="45" t="s">
        <v>50</v>
      </c>
      <c r="AB576" s="45" t="s">
        <v>50</v>
      </c>
    </row>
    <row r="577" spans="1:28" x14ac:dyDescent="0.2">
      <c r="A577" s="96" t="s">
        <v>60</v>
      </c>
      <c r="B577" s="96" t="s">
        <v>60</v>
      </c>
      <c r="C577" s="277">
        <v>44186</v>
      </c>
      <c r="D577" s="277">
        <v>44216</v>
      </c>
      <c r="E577" s="270" t="s">
        <v>267</v>
      </c>
      <c r="F577" s="133" t="s">
        <v>34</v>
      </c>
      <c r="G577" s="270" t="s">
        <v>61</v>
      </c>
      <c r="H577" s="272" t="s">
        <v>93</v>
      </c>
      <c r="I577" s="273">
        <v>25</v>
      </c>
      <c r="J577" s="270">
        <v>444</v>
      </c>
      <c r="K577" s="270">
        <f t="shared" si="0"/>
        <v>11100</v>
      </c>
      <c r="L577" s="270">
        <v>28416</v>
      </c>
      <c r="M577" s="270">
        <v>500</v>
      </c>
      <c r="N577" s="274">
        <v>20</v>
      </c>
      <c r="O577" s="55"/>
      <c r="P577" s="45">
        <v>20</v>
      </c>
      <c r="Q577" s="270">
        <v>324</v>
      </c>
      <c r="R577" s="275">
        <v>-3.888E-3</v>
      </c>
      <c r="S577" s="270">
        <v>281</v>
      </c>
      <c r="T577" s="270">
        <v>301</v>
      </c>
      <c r="U577" s="57">
        <v>1</v>
      </c>
      <c r="V577" s="276">
        <v>0.25</v>
      </c>
      <c r="W577" s="276">
        <v>0</v>
      </c>
      <c r="X577" s="270">
        <v>226</v>
      </c>
      <c r="Y577" s="270">
        <v>75</v>
      </c>
      <c r="Z577" s="45" t="b">
        <v>1</v>
      </c>
      <c r="AA577" s="45" t="s">
        <v>50</v>
      </c>
      <c r="AB577" s="45" t="s">
        <v>50</v>
      </c>
    </row>
    <row r="578" spans="1:28" x14ac:dyDescent="0.2">
      <c r="A578" s="96" t="s">
        <v>82</v>
      </c>
      <c r="B578" s="96" t="s">
        <v>82</v>
      </c>
      <c r="C578" s="277">
        <v>44186</v>
      </c>
      <c r="D578" s="277">
        <v>44216</v>
      </c>
      <c r="E578" s="270" t="s">
        <v>300</v>
      </c>
      <c r="F578" s="133" t="s">
        <v>34</v>
      </c>
      <c r="G578" s="96" t="s">
        <v>35</v>
      </c>
      <c r="H578" s="272" t="s">
        <v>46</v>
      </c>
      <c r="I578" s="58">
        <v>25</v>
      </c>
      <c r="J578" s="69">
        <v>4356</v>
      </c>
      <c r="K578" s="270">
        <f t="shared" si="0"/>
        <v>108900</v>
      </c>
      <c r="L578" s="279">
        <v>176005</v>
      </c>
      <c r="M578" s="279">
        <v>3725</v>
      </c>
      <c r="N578" s="274">
        <v>6395</v>
      </c>
      <c r="O578" s="55"/>
      <c r="P578" s="105">
        <v>6395</v>
      </c>
      <c r="Q578" s="279">
        <v>1170</v>
      </c>
      <c r="R578" s="275">
        <v>-3.888E-3</v>
      </c>
      <c r="S578" s="279">
        <v>746</v>
      </c>
      <c r="T578" s="279">
        <v>7141</v>
      </c>
      <c r="U578" s="57">
        <v>1</v>
      </c>
      <c r="V578" s="276">
        <v>0.25</v>
      </c>
      <c r="W578" s="276">
        <v>0.1</v>
      </c>
      <c r="X578" s="279">
        <v>4642</v>
      </c>
      <c r="Y578" s="279">
        <v>2499</v>
      </c>
      <c r="Z578" s="45" t="b">
        <v>1</v>
      </c>
      <c r="AA578" s="45" t="s">
        <v>38</v>
      </c>
      <c r="AB578" s="45" t="s">
        <v>38</v>
      </c>
    </row>
    <row r="579" spans="1:28" x14ac:dyDescent="0.2">
      <c r="A579" s="96" t="s">
        <v>82</v>
      </c>
      <c r="B579" s="96" t="s">
        <v>82</v>
      </c>
      <c r="C579" s="277">
        <v>44186</v>
      </c>
      <c r="D579" s="277">
        <v>44216</v>
      </c>
      <c r="E579" s="270" t="s">
        <v>300</v>
      </c>
      <c r="F579" s="133" t="s">
        <v>34</v>
      </c>
      <c r="G579" s="96" t="s">
        <v>35</v>
      </c>
      <c r="H579" s="272" t="s">
        <v>72</v>
      </c>
      <c r="I579" s="58">
        <v>50</v>
      </c>
      <c r="J579" s="69">
        <v>1475</v>
      </c>
      <c r="K579" s="270">
        <f t="shared" si="0"/>
        <v>73750</v>
      </c>
      <c r="L579" s="279">
        <v>32762</v>
      </c>
      <c r="M579" s="279">
        <v>-6000</v>
      </c>
      <c r="N579" s="274">
        <v>4331</v>
      </c>
      <c r="O579" s="55"/>
      <c r="P579" s="105">
        <v>4331</v>
      </c>
      <c r="Q579" s="279">
        <v>-1691</v>
      </c>
      <c r="R579" s="275">
        <v>-3.888E-3</v>
      </c>
      <c r="S579" s="279">
        <v>-1978</v>
      </c>
      <c r="T579" s="279">
        <v>2353</v>
      </c>
      <c r="U579" s="57">
        <v>1</v>
      </c>
      <c r="V579" s="276">
        <v>0.25</v>
      </c>
      <c r="W579" s="276">
        <v>0.1</v>
      </c>
      <c r="X579" s="279">
        <v>1529</v>
      </c>
      <c r="Y579" s="279">
        <v>823</v>
      </c>
      <c r="Z579" s="45" t="b">
        <v>1</v>
      </c>
      <c r="AA579" s="45" t="s">
        <v>38</v>
      </c>
      <c r="AB579" s="45" t="s">
        <v>38</v>
      </c>
    </row>
    <row r="580" spans="1:28" x14ac:dyDescent="0.2">
      <c r="A580" s="96" t="s">
        <v>82</v>
      </c>
      <c r="B580" s="96" t="s">
        <v>82</v>
      </c>
      <c r="C580" s="277">
        <v>44186</v>
      </c>
      <c r="D580" s="277">
        <v>44216</v>
      </c>
      <c r="E580" s="270" t="s">
        <v>300</v>
      </c>
      <c r="F580" s="133" t="s">
        <v>41</v>
      </c>
      <c r="G580" s="96" t="s">
        <v>35</v>
      </c>
      <c r="H580" s="272" t="s">
        <v>87</v>
      </c>
      <c r="I580" s="273">
        <v>25</v>
      </c>
      <c r="J580" s="270">
        <v>17</v>
      </c>
      <c r="K580" s="270">
        <f t="shared" si="0"/>
        <v>425</v>
      </c>
      <c r="L580" s="270"/>
      <c r="M580" s="270">
        <v>-125</v>
      </c>
      <c r="N580" s="274">
        <v>25</v>
      </c>
      <c r="O580" s="55"/>
      <c r="P580" s="45">
        <v>25</v>
      </c>
      <c r="Q580" s="270"/>
      <c r="R580" s="275">
        <v>0</v>
      </c>
      <c r="S580" s="270"/>
      <c r="T580" s="270">
        <v>-100</v>
      </c>
      <c r="U580" s="57">
        <v>1</v>
      </c>
      <c r="V580" s="276">
        <v>0.25</v>
      </c>
      <c r="W580" s="276">
        <v>0.1</v>
      </c>
      <c r="X580" s="270">
        <v>-65</v>
      </c>
      <c r="Y580" s="270">
        <v>-35</v>
      </c>
      <c r="Z580" s="45" t="b">
        <v>1</v>
      </c>
      <c r="AA580" s="45" t="s">
        <v>38</v>
      </c>
      <c r="AB580" s="45" t="s">
        <v>38</v>
      </c>
    </row>
    <row r="581" spans="1:28" x14ac:dyDescent="0.2">
      <c r="A581" s="96" t="s">
        <v>82</v>
      </c>
      <c r="B581" s="96" t="s">
        <v>82</v>
      </c>
      <c r="C581" s="277">
        <v>44186</v>
      </c>
      <c r="D581" s="277">
        <v>44216</v>
      </c>
      <c r="E581" s="270" t="s">
        <v>300</v>
      </c>
      <c r="F581" s="133" t="s">
        <v>41</v>
      </c>
      <c r="G581" s="96" t="s">
        <v>35</v>
      </c>
      <c r="H581" s="272" t="s">
        <v>85</v>
      </c>
      <c r="I581" s="273">
        <v>50</v>
      </c>
      <c r="J581" s="270">
        <v>5</v>
      </c>
      <c r="K581" s="270">
        <f t="shared" si="0"/>
        <v>250</v>
      </c>
      <c r="L581" s="270"/>
      <c r="M581" s="270">
        <v>50</v>
      </c>
      <c r="N581" s="274">
        <v>15</v>
      </c>
      <c r="O581" s="55"/>
      <c r="P581" s="45">
        <v>15</v>
      </c>
      <c r="Q581" s="270"/>
      <c r="R581" s="275">
        <v>0</v>
      </c>
      <c r="S581" s="270"/>
      <c r="T581" s="270">
        <v>65</v>
      </c>
      <c r="U581" s="57">
        <v>1</v>
      </c>
      <c r="V581" s="276">
        <v>0.25</v>
      </c>
      <c r="W581" s="276">
        <v>0.1</v>
      </c>
      <c r="X581" s="270">
        <v>42</v>
      </c>
      <c r="Y581" s="270">
        <v>23</v>
      </c>
      <c r="Z581" s="45" t="b">
        <v>1</v>
      </c>
      <c r="AA581" s="45" t="s">
        <v>38</v>
      </c>
      <c r="AB581" s="45" t="s">
        <v>38</v>
      </c>
    </row>
    <row r="582" spans="1:28" x14ac:dyDescent="0.2">
      <c r="A582" s="96" t="s">
        <v>154</v>
      </c>
      <c r="B582" s="96" t="s">
        <v>154</v>
      </c>
      <c r="C582" s="277">
        <v>44186</v>
      </c>
      <c r="D582" s="277">
        <v>44216</v>
      </c>
      <c r="E582" s="270" t="s">
        <v>267</v>
      </c>
      <c r="F582" s="96" t="s">
        <v>34</v>
      </c>
      <c r="G582" s="270" t="s">
        <v>35</v>
      </c>
      <c r="H582" s="272" t="s">
        <v>83</v>
      </c>
      <c r="I582" s="273">
        <v>10</v>
      </c>
      <c r="J582" s="270">
        <v>426</v>
      </c>
      <c r="K582" s="270">
        <f t="shared" si="0"/>
        <v>4260</v>
      </c>
      <c r="L582" s="270">
        <v>82</v>
      </c>
      <c r="M582" s="270">
        <v>390</v>
      </c>
      <c r="N582" s="274">
        <v>6</v>
      </c>
      <c r="O582" s="55"/>
      <c r="P582" s="45">
        <v>6</v>
      </c>
      <c r="Q582" s="270">
        <v>-356</v>
      </c>
      <c r="R582" s="275">
        <v>-3.888E-3</v>
      </c>
      <c r="S582" s="270">
        <v>-373</v>
      </c>
      <c r="T582" s="270">
        <v>-367</v>
      </c>
      <c r="U582" s="57">
        <v>1</v>
      </c>
      <c r="V582" s="276">
        <v>0.2</v>
      </c>
      <c r="W582" s="276">
        <v>0</v>
      </c>
      <c r="X582" s="270">
        <v>-294</v>
      </c>
      <c r="Y582" s="270">
        <v>-73</v>
      </c>
      <c r="Z582" s="45" t="b">
        <v>1</v>
      </c>
      <c r="AA582" s="45" t="s">
        <v>38</v>
      </c>
      <c r="AB582" s="45" t="s">
        <v>38</v>
      </c>
    </row>
    <row r="583" spans="1:28" x14ac:dyDescent="0.2">
      <c r="A583" s="96" t="s">
        <v>178</v>
      </c>
      <c r="B583" s="96" t="s">
        <v>922</v>
      </c>
      <c r="C583" s="277">
        <v>44186</v>
      </c>
      <c r="D583" s="277">
        <v>44216</v>
      </c>
      <c r="E583" s="270" t="s">
        <v>267</v>
      </c>
      <c r="F583" s="133" t="s">
        <v>34</v>
      </c>
      <c r="G583" s="96" t="s">
        <v>61</v>
      </c>
      <c r="H583" s="272" t="s">
        <v>63</v>
      </c>
      <c r="I583" s="58">
        <v>10</v>
      </c>
      <c r="J583" s="69">
        <v>1412</v>
      </c>
      <c r="K583" s="270">
        <f t="shared" si="0"/>
        <v>14120</v>
      </c>
      <c r="L583" s="279">
        <v>144663</v>
      </c>
      <c r="M583" s="279">
        <v>1100</v>
      </c>
      <c r="N583" s="274"/>
      <c r="O583" s="55"/>
      <c r="P583" s="96"/>
      <c r="Q583" s="279">
        <v>1400</v>
      </c>
      <c r="R583" s="275">
        <v>-3.888E-3</v>
      </c>
      <c r="S583" s="279">
        <v>1345</v>
      </c>
      <c r="T583" s="279">
        <v>1345</v>
      </c>
      <c r="U583" s="57">
        <v>1</v>
      </c>
      <c r="V583" s="276">
        <v>0.2</v>
      </c>
      <c r="W583" s="276">
        <v>0</v>
      </c>
      <c r="X583" s="279">
        <v>1076</v>
      </c>
      <c r="Y583" s="279">
        <v>269</v>
      </c>
      <c r="Z583" s="45" t="b">
        <v>1</v>
      </c>
      <c r="AA583" s="45" t="s">
        <v>50</v>
      </c>
      <c r="AB583" s="45" t="s">
        <v>50</v>
      </c>
    </row>
    <row r="584" spans="1:28" x14ac:dyDescent="0.2">
      <c r="A584" s="96" t="s">
        <v>508</v>
      </c>
      <c r="B584" s="96" t="s">
        <v>508</v>
      </c>
      <c r="C584" s="277">
        <v>44186</v>
      </c>
      <c r="D584" s="277">
        <v>44216</v>
      </c>
      <c r="E584" s="270" t="s">
        <v>300</v>
      </c>
      <c r="F584" s="96" t="s">
        <v>34</v>
      </c>
      <c r="G584" s="96" t="s">
        <v>35</v>
      </c>
      <c r="H584" s="272" t="s">
        <v>70</v>
      </c>
      <c r="I584" s="58">
        <v>100</v>
      </c>
      <c r="J584" s="69">
        <v>1197</v>
      </c>
      <c r="K584" s="270">
        <f t="shared" si="0"/>
        <v>119700</v>
      </c>
      <c r="L584" s="270">
        <v>44269</v>
      </c>
      <c r="M584" s="270">
        <v>-1400</v>
      </c>
      <c r="N584" s="274">
        <v>462</v>
      </c>
      <c r="O584" s="55"/>
      <c r="P584" s="45">
        <v>462</v>
      </c>
      <c r="Q584" s="270">
        <v>1834</v>
      </c>
      <c r="R584" s="275">
        <v>-3.888E-3</v>
      </c>
      <c r="S584" s="270">
        <v>1368</v>
      </c>
      <c r="T584" s="270">
        <v>1830</v>
      </c>
      <c r="U584" s="57">
        <v>1</v>
      </c>
      <c r="V584" s="276">
        <v>0.13500000000000001</v>
      </c>
      <c r="W584" s="276">
        <v>4.4999999999999998E-2</v>
      </c>
      <c r="X584" s="270">
        <v>1501</v>
      </c>
      <c r="Y584" s="270">
        <v>329</v>
      </c>
      <c r="Z584" s="45" t="b">
        <v>1</v>
      </c>
      <c r="AA584" s="45" t="s">
        <v>38</v>
      </c>
      <c r="AB584" s="45" t="s">
        <v>38</v>
      </c>
    </row>
    <row r="585" spans="1:28" x14ac:dyDescent="0.2">
      <c r="A585" s="96" t="s">
        <v>191</v>
      </c>
      <c r="B585" s="96" t="s">
        <v>191</v>
      </c>
      <c r="C585" s="277">
        <v>44186</v>
      </c>
      <c r="D585" s="277">
        <v>44216</v>
      </c>
      <c r="E585" s="270" t="s">
        <v>267</v>
      </c>
      <c r="F585" s="96" t="s">
        <v>34</v>
      </c>
      <c r="G585" s="270" t="s">
        <v>35</v>
      </c>
      <c r="H585" s="272" t="s">
        <v>86</v>
      </c>
      <c r="I585" s="273">
        <v>5</v>
      </c>
      <c r="J585" s="270">
        <v>948</v>
      </c>
      <c r="K585" s="270">
        <f t="shared" si="0"/>
        <v>4740</v>
      </c>
      <c r="L585" s="270">
        <v>67343</v>
      </c>
      <c r="M585" s="270">
        <v>115</v>
      </c>
      <c r="N585" s="274">
        <v>16</v>
      </c>
      <c r="O585" s="55"/>
      <c r="P585" s="45">
        <v>16</v>
      </c>
      <c r="Q585" s="270">
        <v>267</v>
      </c>
      <c r="R585" s="275">
        <v>-3.888E-3</v>
      </c>
      <c r="S585" s="270">
        <v>248</v>
      </c>
      <c r="T585" s="270">
        <v>264</v>
      </c>
      <c r="U585" s="57">
        <v>1</v>
      </c>
      <c r="V585" s="276">
        <v>0.3</v>
      </c>
      <c r="W585" s="276">
        <v>0</v>
      </c>
      <c r="X585" s="270">
        <v>185</v>
      </c>
      <c r="Y585" s="270">
        <v>79</v>
      </c>
      <c r="Z585" s="45" t="b">
        <v>1</v>
      </c>
      <c r="AA585" s="45" t="s">
        <v>38</v>
      </c>
      <c r="AB585" s="45" t="s">
        <v>38</v>
      </c>
    </row>
    <row r="586" spans="1:28" x14ac:dyDescent="0.2">
      <c r="A586" s="96" t="s">
        <v>191</v>
      </c>
      <c r="B586" s="96" t="s">
        <v>191</v>
      </c>
      <c r="C586" s="277">
        <v>44186</v>
      </c>
      <c r="D586" s="277">
        <v>44216</v>
      </c>
      <c r="E586" s="270" t="s">
        <v>267</v>
      </c>
      <c r="F586" s="96" t="s">
        <v>34</v>
      </c>
      <c r="G586" s="270" t="s">
        <v>35</v>
      </c>
      <c r="H586" s="272" t="s">
        <v>83</v>
      </c>
      <c r="I586" s="273">
        <v>10</v>
      </c>
      <c r="J586" s="270">
        <v>212</v>
      </c>
      <c r="K586" s="270">
        <f t="shared" si="0"/>
        <v>2120</v>
      </c>
      <c r="L586" s="270">
        <v>21704</v>
      </c>
      <c r="M586" s="270">
        <v>340</v>
      </c>
      <c r="N586" s="274">
        <v>31</v>
      </c>
      <c r="O586" s="55"/>
      <c r="P586" s="45">
        <v>31</v>
      </c>
      <c r="Q586" s="270">
        <v>216</v>
      </c>
      <c r="R586" s="275">
        <v>-3.888E-3</v>
      </c>
      <c r="S586" s="270">
        <v>207</v>
      </c>
      <c r="T586" s="270">
        <v>238</v>
      </c>
      <c r="U586" s="57">
        <v>1</v>
      </c>
      <c r="V586" s="276">
        <v>0.3</v>
      </c>
      <c r="W586" s="276">
        <v>0</v>
      </c>
      <c r="X586" s="270">
        <v>167</v>
      </c>
      <c r="Y586" s="270">
        <v>72</v>
      </c>
      <c r="Z586" s="45" t="b">
        <v>1</v>
      </c>
      <c r="AA586" s="45" t="s">
        <v>38</v>
      </c>
      <c r="AB586" s="45" t="s">
        <v>38</v>
      </c>
    </row>
    <row r="587" spans="1:28" x14ac:dyDescent="0.2">
      <c r="A587" s="96" t="s">
        <v>145</v>
      </c>
      <c r="B587" s="96" t="s">
        <v>145</v>
      </c>
      <c r="C587" s="277">
        <v>44186</v>
      </c>
      <c r="D587" s="277">
        <v>44227</v>
      </c>
      <c r="E587" s="270" t="s">
        <v>267</v>
      </c>
      <c r="F587" s="133" t="s">
        <v>49</v>
      </c>
      <c r="G587" s="279" t="s">
        <v>35</v>
      </c>
      <c r="H587" s="272" t="s">
        <v>70</v>
      </c>
      <c r="I587" s="273">
        <v>100</v>
      </c>
      <c r="J587" s="270">
        <v>2566</v>
      </c>
      <c r="K587" s="270">
        <f t="shared" si="0"/>
        <v>256600</v>
      </c>
      <c r="L587" s="270">
        <v>123778</v>
      </c>
      <c r="M587" s="270">
        <v>1300</v>
      </c>
      <c r="N587" s="274">
        <v>4517</v>
      </c>
      <c r="O587" s="55"/>
      <c r="P587" s="105">
        <v>4517</v>
      </c>
      <c r="Q587" s="270">
        <v>9468</v>
      </c>
      <c r="R587" s="275">
        <v>-4.9200000000000003E-4</v>
      </c>
      <c r="S587" s="270">
        <v>9342</v>
      </c>
      <c r="T587" s="270">
        <v>13859</v>
      </c>
      <c r="U587" s="57">
        <v>1</v>
      </c>
      <c r="V587" s="276">
        <v>0.12</v>
      </c>
      <c r="W587" s="276">
        <v>0</v>
      </c>
      <c r="X587" s="270">
        <v>12196</v>
      </c>
      <c r="Y587" s="270">
        <v>1663</v>
      </c>
      <c r="Z587" s="45" t="b">
        <v>1</v>
      </c>
      <c r="AA587" s="45" t="s">
        <v>38</v>
      </c>
      <c r="AB587" s="45" t="s">
        <v>38</v>
      </c>
    </row>
    <row r="588" spans="1:28" x14ac:dyDescent="0.2">
      <c r="A588" s="96" t="s">
        <v>355</v>
      </c>
      <c r="B588" s="96" t="s">
        <v>978</v>
      </c>
      <c r="C588" s="277">
        <v>44197</v>
      </c>
      <c r="D588" s="277">
        <v>44227</v>
      </c>
      <c r="E588" s="270" t="s">
        <v>300</v>
      </c>
      <c r="F588" s="133" t="s">
        <v>34</v>
      </c>
      <c r="G588" s="270" t="s">
        <v>69</v>
      </c>
      <c r="H588" s="272" t="s">
        <v>70</v>
      </c>
      <c r="I588" s="273">
        <v>100</v>
      </c>
      <c r="J588" s="270">
        <v>982</v>
      </c>
      <c r="K588" s="270">
        <f t="shared" si="0"/>
        <v>98200</v>
      </c>
      <c r="L588" s="270">
        <v>23662</v>
      </c>
      <c r="M588" s="270">
        <v>-2200</v>
      </c>
      <c r="N588" s="274">
        <v>2971.7</v>
      </c>
      <c r="O588" s="55"/>
      <c r="P588" s="105">
        <v>2972</v>
      </c>
      <c r="Q588" s="270">
        <v>-832</v>
      </c>
      <c r="R588" s="275">
        <v>-3.31E-3</v>
      </c>
      <c r="S588" s="270">
        <v>-1157</v>
      </c>
      <c r="T588" s="270">
        <v>1814</v>
      </c>
      <c r="U588" s="57">
        <v>1</v>
      </c>
      <c r="V588" s="276">
        <v>0.15</v>
      </c>
      <c r="W588" s="276">
        <v>0.05</v>
      </c>
      <c r="X588" s="270">
        <v>1451</v>
      </c>
      <c r="Y588" s="270">
        <v>363</v>
      </c>
      <c r="Z588" s="45" t="b">
        <v>1</v>
      </c>
      <c r="AA588" s="45" t="s">
        <v>38</v>
      </c>
      <c r="AB588" s="45" t="s">
        <v>38</v>
      </c>
    </row>
    <row r="589" spans="1:28" x14ac:dyDescent="0.2">
      <c r="A589" s="96" t="s">
        <v>355</v>
      </c>
      <c r="B589" s="96" t="s">
        <v>978</v>
      </c>
      <c r="C589" s="277">
        <v>44197</v>
      </c>
      <c r="D589" s="277">
        <v>44227</v>
      </c>
      <c r="E589" s="270" t="s">
        <v>300</v>
      </c>
      <c r="F589" s="133" t="s">
        <v>34</v>
      </c>
      <c r="G589" s="270" t="s">
        <v>69</v>
      </c>
      <c r="H589" s="272" t="s">
        <v>71</v>
      </c>
      <c r="I589" s="273">
        <v>20</v>
      </c>
      <c r="J589" s="270">
        <v>1</v>
      </c>
      <c r="K589" s="270">
        <f t="shared" si="0"/>
        <v>20</v>
      </c>
      <c r="L589" s="270">
        <v>-1031</v>
      </c>
      <c r="M589" s="270">
        <v>-20</v>
      </c>
      <c r="N589" s="274">
        <v>0.73</v>
      </c>
      <c r="O589" s="55"/>
      <c r="P589" s="45">
        <v>1</v>
      </c>
      <c r="Q589" s="270">
        <v>-40</v>
      </c>
      <c r="R589" s="275">
        <v>-3.31E-3</v>
      </c>
      <c r="S589" s="270">
        <v>-40</v>
      </c>
      <c r="T589" s="270">
        <v>-39</v>
      </c>
      <c r="U589" s="57">
        <v>1</v>
      </c>
      <c r="V589" s="276">
        <v>0.15</v>
      </c>
      <c r="W589" s="276">
        <v>0.05</v>
      </c>
      <c r="X589" s="270">
        <v>-31</v>
      </c>
      <c r="Y589" s="270">
        <v>-8</v>
      </c>
      <c r="Z589" s="45" t="b">
        <v>1</v>
      </c>
      <c r="AA589" s="45" t="s">
        <v>38</v>
      </c>
      <c r="AB589" s="45" t="s">
        <v>38</v>
      </c>
    </row>
    <row r="590" spans="1:28" x14ac:dyDescent="0.2">
      <c r="A590" s="96" t="s">
        <v>355</v>
      </c>
      <c r="B590" s="96" t="s">
        <v>978</v>
      </c>
      <c r="C590" s="277">
        <v>44197</v>
      </c>
      <c r="D590" s="277">
        <v>44227</v>
      </c>
      <c r="E590" s="270" t="s">
        <v>300</v>
      </c>
      <c r="F590" s="133" t="s">
        <v>34</v>
      </c>
      <c r="G590" s="270" t="s">
        <v>69</v>
      </c>
      <c r="H590" s="272" t="s">
        <v>88</v>
      </c>
      <c r="I590" s="273">
        <v>250</v>
      </c>
      <c r="J590" s="270">
        <v>69</v>
      </c>
      <c r="K590" s="270">
        <f t="shared" si="0"/>
        <v>17250</v>
      </c>
      <c r="L590" s="270">
        <v>7390</v>
      </c>
      <c r="M590" s="270">
        <v>4750</v>
      </c>
      <c r="N590" s="274">
        <v>417.61</v>
      </c>
      <c r="O590" s="55"/>
      <c r="P590" s="45">
        <v>418</v>
      </c>
      <c r="Q590" s="270">
        <v>2821</v>
      </c>
      <c r="R590" s="275">
        <v>-3.31E-3</v>
      </c>
      <c r="S590" s="270">
        <v>2764</v>
      </c>
      <c r="T590" s="270">
        <v>3181</v>
      </c>
      <c r="U590" s="57">
        <v>1</v>
      </c>
      <c r="V590" s="276">
        <v>0.15</v>
      </c>
      <c r="W590" s="276">
        <v>0.05</v>
      </c>
      <c r="X590" s="270">
        <v>2545</v>
      </c>
      <c r="Y590" s="270">
        <v>636</v>
      </c>
      <c r="Z590" s="45" t="b">
        <v>1</v>
      </c>
      <c r="AA590" s="45" t="s">
        <v>38</v>
      </c>
      <c r="AB590" s="45" t="s">
        <v>38</v>
      </c>
    </row>
    <row r="591" spans="1:28" x14ac:dyDescent="0.2">
      <c r="A591" s="96" t="s">
        <v>355</v>
      </c>
      <c r="B591" s="96" t="s">
        <v>978</v>
      </c>
      <c r="C591" s="277">
        <v>44197</v>
      </c>
      <c r="D591" s="277">
        <v>44227</v>
      </c>
      <c r="E591" s="270" t="s">
        <v>300</v>
      </c>
      <c r="F591" s="133" t="s">
        <v>41</v>
      </c>
      <c r="G591" s="270" t="s">
        <v>69</v>
      </c>
      <c r="H591" s="272" t="s">
        <v>197</v>
      </c>
      <c r="I591" s="273">
        <v>3</v>
      </c>
      <c r="J591" s="270">
        <v>12</v>
      </c>
      <c r="K591" s="270">
        <f t="shared" si="0"/>
        <v>36</v>
      </c>
      <c r="L591" s="270"/>
      <c r="M591" s="270">
        <v>9</v>
      </c>
      <c r="N591" s="274">
        <v>1.74</v>
      </c>
      <c r="O591" s="55"/>
      <c r="P591" s="45">
        <v>2</v>
      </c>
      <c r="Q591" s="270"/>
      <c r="R591" s="275">
        <v>0</v>
      </c>
      <c r="S591" s="270"/>
      <c r="T591" s="270">
        <v>11</v>
      </c>
      <c r="U591" s="57">
        <v>1</v>
      </c>
      <c r="V591" s="276">
        <v>0.15</v>
      </c>
      <c r="W591" s="276">
        <v>0.05</v>
      </c>
      <c r="X591" s="270">
        <v>9</v>
      </c>
      <c r="Y591" s="270">
        <v>2</v>
      </c>
      <c r="Z591" s="45" t="b">
        <v>1</v>
      </c>
      <c r="AA591" s="45" t="s">
        <v>38</v>
      </c>
      <c r="AB591" s="45" t="s">
        <v>38</v>
      </c>
    </row>
    <row r="592" spans="1:28" x14ac:dyDescent="0.2">
      <c r="A592" s="96" t="s">
        <v>355</v>
      </c>
      <c r="B592" s="96" t="s">
        <v>978</v>
      </c>
      <c r="C592" s="277">
        <v>44197</v>
      </c>
      <c r="D592" s="277">
        <v>44227</v>
      </c>
      <c r="E592" s="270" t="s">
        <v>300</v>
      </c>
      <c r="F592" s="133" t="s">
        <v>41</v>
      </c>
      <c r="G592" s="270" t="s">
        <v>69</v>
      </c>
      <c r="H592" s="272" t="s">
        <v>984</v>
      </c>
      <c r="I592" s="273">
        <v>5</v>
      </c>
      <c r="J592" s="270">
        <v>3</v>
      </c>
      <c r="K592" s="270">
        <f t="shared" si="0"/>
        <v>15</v>
      </c>
      <c r="L592" s="270"/>
      <c r="M592" s="270">
        <v>0</v>
      </c>
      <c r="N592" s="274">
        <v>0.73</v>
      </c>
      <c r="O592" s="55"/>
      <c r="P592" s="45">
        <v>1</v>
      </c>
      <c r="Q592" s="270"/>
      <c r="R592" s="275">
        <v>0</v>
      </c>
      <c r="S592" s="270"/>
      <c r="T592" s="270">
        <v>1</v>
      </c>
      <c r="U592" s="57">
        <v>1</v>
      </c>
      <c r="V592" s="276">
        <v>0.15</v>
      </c>
      <c r="W592" s="276">
        <v>0.05</v>
      </c>
      <c r="X592" s="270">
        <v>1</v>
      </c>
      <c r="Y592" s="270">
        <v>0</v>
      </c>
      <c r="Z592" s="45" t="b">
        <v>1</v>
      </c>
      <c r="AA592" s="45" t="s">
        <v>38</v>
      </c>
      <c r="AB592" s="45" t="s">
        <v>38</v>
      </c>
    </row>
    <row r="593" spans="1:28" x14ac:dyDescent="0.2">
      <c r="A593" s="96" t="s">
        <v>355</v>
      </c>
      <c r="B593" s="96" t="s">
        <v>978</v>
      </c>
      <c r="C593" s="277">
        <v>44197</v>
      </c>
      <c r="D593" s="277">
        <v>44227</v>
      </c>
      <c r="E593" s="270" t="s">
        <v>300</v>
      </c>
      <c r="F593" s="133" t="s">
        <v>34</v>
      </c>
      <c r="G593" s="270" t="s">
        <v>69</v>
      </c>
      <c r="H593" s="272" t="s">
        <v>76</v>
      </c>
      <c r="I593" s="273">
        <v>50</v>
      </c>
      <c r="J593" s="270">
        <v>2</v>
      </c>
      <c r="K593" s="270">
        <f t="shared" si="0"/>
        <v>100</v>
      </c>
      <c r="L593" s="270">
        <v>-247</v>
      </c>
      <c r="M593" s="270">
        <v>0</v>
      </c>
      <c r="N593" s="274">
        <v>3.03</v>
      </c>
      <c r="O593" s="55"/>
      <c r="P593" s="45">
        <v>3</v>
      </c>
      <c r="Q593" s="270">
        <v>-43</v>
      </c>
      <c r="R593" s="275">
        <v>-3.31E-3</v>
      </c>
      <c r="S593" s="270">
        <v>-44</v>
      </c>
      <c r="T593" s="270">
        <v>-41</v>
      </c>
      <c r="U593" s="57">
        <v>1</v>
      </c>
      <c r="V593" s="276">
        <v>0.15</v>
      </c>
      <c r="W593" s="276">
        <v>0.05</v>
      </c>
      <c r="X593" s="270">
        <v>-32</v>
      </c>
      <c r="Y593" s="270">
        <v>-8</v>
      </c>
      <c r="Z593" s="45" t="b">
        <v>1</v>
      </c>
      <c r="AA593" s="45" t="s">
        <v>38</v>
      </c>
      <c r="AB593" s="45" t="s">
        <v>38</v>
      </c>
    </row>
    <row r="594" spans="1:28" x14ac:dyDescent="0.2">
      <c r="A594" s="96" t="s">
        <v>355</v>
      </c>
      <c r="B594" s="96" t="s">
        <v>978</v>
      </c>
      <c r="C594" s="277">
        <v>44197</v>
      </c>
      <c r="D594" s="277">
        <v>44227</v>
      </c>
      <c r="E594" s="270" t="s">
        <v>300</v>
      </c>
      <c r="F594" s="133" t="s">
        <v>34</v>
      </c>
      <c r="G594" s="270" t="s">
        <v>69</v>
      </c>
      <c r="H594" s="272" t="s">
        <v>72</v>
      </c>
      <c r="I594" s="273">
        <v>50</v>
      </c>
      <c r="J594" s="270">
        <v>112</v>
      </c>
      <c r="K594" s="270">
        <f t="shared" si="0"/>
        <v>5600</v>
      </c>
      <c r="L594" s="270">
        <v>4779</v>
      </c>
      <c r="M594" s="270">
        <v>1300</v>
      </c>
      <c r="N594" s="274">
        <v>169.47</v>
      </c>
      <c r="O594" s="55"/>
      <c r="P594" s="45">
        <v>169</v>
      </c>
      <c r="Q594" s="270">
        <v>148</v>
      </c>
      <c r="R594" s="275">
        <v>-3.31E-3</v>
      </c>
      <c r="S594" s="270">
        <v>130</v>
      </c>
      <c r="T594" s="270">
        <v>299</v>
      </c>
      <c r="U594" s="57">
        <v>1</v>
      </c>
      <c r="V594" s="276">
        <v>0.15</v>
      </c>
      <c r="W594" s="276">
        <v>0.05</v>
      </c>
      <c r="X594" s="270">
        <v>239</v>
      </c>
      <c r="Y594" s="270">
        <v>60</v>
      </c>
      <c r="Z594" s="45" t="b">
        <v>1</v>
      </c>
      <c r="AA594" s="45" t="s">
        <v>38</v>
      </c>
      <c r="AB594" s="45" t="s">
        <v>38</v>
      </c>
    </row>
    <row r="595" spans="1:28" x14ac:dyDescent="0.2">
      <c r="A595" s="96" t="s">
        <v>447</v>
      </c>
      <c r="B595" s="96" t="s">
        <v>910</v>
      </c>
      <c r="C595" s="277">
        <v>44186</v>
      </c>
      <c r="D595" s="277">
        <v>44227</v>
      </c>
      <c r="E595" s="270" t="s">
        <v>300</v>
      </c>
      <c r="F595" s="133" t="s">
        <v>49</v>
      </c>
      <c r="G595" s="279" t="s">
        <v>61</v>
      </c>
      <c r="H595" s="272" t="s">
        <v>109</v>
      </c>
      <c r="I595" s="273">
        <v>50</v>
      </c>
      <c r="J595" s="270">
        <v>3100</v>
      </c>
      <c r="K595" s="270">
        <f t="shared" si="0"/>
        <v>155000</v>
      </c>
      <c r="L595" s="270">
        <v>186997</v>
      </c>
      <c r="M595" s="270">
        <v>5700</v>
      </c>
      <c r="N595" s="274">
        <v>4225</v>
      </c>
      <c r="O595" s="55"/>
      <c r="P595" s="105">
        <v>4225</v>
      </c>
      <c r="Q595" s="270">
        <v>3436</v>
      </c>
      <c r="R595" s="275">
        <v>-4.8500000000000003E-4</v>
      </c>
      <c r="S595" s="270">
        <v>3361</v>
      </c>
      <c r="T595" s="270">
        <v>7586</v>
      </c>
      <c r="U595" s="57">
        <v>1</v>
      </c>
      <c r="V595" s="276">
        <v>0.21</v>
      </c>
      <c r="W595" s="276">
        <v>0.11</v>
      </c>
      <c r="X595" s="270">
        <v>5158</v>
      </c>
      <c r="Y595" s="270">
        <v>2428</v>
      </c>
      <c r="Z595" s="45" t="b">
        <v>1</v>
      </c>
      <c r="AA595" s="45" t="s">
        <v>50</v>
      </c>
      <c r="AB595" s="45" t="s">
        <v>50</v>
      </c>
    </row>
    <row r="596" spans="1:28" x14ac:dyDescent="0.2">
      <c r="A596" s="96" t="s">
        <v>473</v>
      </c>
      <c r="B596" s="270" t="s">
        <v>119</v>
      </c>
      <c r="C596" s="277">
        <v>44197</v>
      </c>
      <c r="D596" s="277">
        <v>44227</v>
      </c>
      <c r="E596" s="270" t="s">
        <v>267</v>
      </c>
      <c r="F596" s="96" t="s">
        <v>41</v>
      </c>
      <c r="G596" s="270" t="s">
        <v>69</v>
      </c>
      <c r="H596" s="272" t="s">
        <v>71</v>
      </c>
      <c r="I596" s="273">
        <v>20</v>
      </c>
      <c r="J596" s="270">
        <v>1</v>
      </c>
      <c r="K596" s="270">
        <f t="shared" si="0"/>
        <v>20</v>
      </c>
      <c r="L596" s="270"/>
      <c r="M596" s="270">
        <v>-3014</v>
      </c>
      <c r="N596" s="274">
        <v>1740</v>
      </c>
      <c r="O596" s="55"/>
      <c r="P596" s="105">
        <v>1740</v>
      </c>
      <c r="Q596" s="270"/>
      <c r="R596" s="275">
        <v>0</v>
      </c>
      <c r="S596" s="270"/>
      <c r="T596" s="270">
        <v>-1274</v>
      </c>
      <c r="U596" s="57">
        <v>1</v>
      </c>
      <c r="V596" s="276">
        <v>0.3</v>
      </c>
      <c r="W596" s="276">
        <v>0</v>
      </c>
      <c r="X596" s="270">
        <v>-892</v>
      </c>
      <c r="Y596" s="270">
        <v>-382</v>
      </c>
      <c r="Z596" s="45" t="b">
        <v>1</v>
      </c>
      <c r="AA596" s="45" t="s">
        <v>38</v>
      </c>
      <c r="AB596" s="45" t="s">
        <v>38</v>
      </c>
    </row>
    <row r="597" spans="1:28" x14ac:dyDescent="0.2">
      <c r="A597" s="96" t="s">
        <v>206</v>
      </c>
      <c r="B597" s="96" t="s">
        <v>982</v>
      </c>
      <c r="C597" s="277">
        <v>44197</v>
      </c>
      <c r="D597" s="277">
        <v>44227</v>
      </c>
      <c r="E597" s="270" t="s">
        <v>267</v>
      </c>
      <c r="F597" s="133" t="s">
        <v>41</v>
      </c>
      <c r="G597" s="96" t="s">
        <v>69</v>
      </c>
      <c r="H597" s="272" t="s">
        <v>40</v>
      </c>
      <c r="I597" s="58">
        <v>10</v>
      </c>
      <c r="J597" s="69">
        <v>1</v>
      </c>
      <c r="K597" s="270">
        <f t="shared" si="0"/>
        <v>10</v>
      </c>
      <c r="L597" s="270"/>
      <c r="M597" s="270">
        <v>20</v>
      </c>
      <c r="N597" s="274">
        <v>0.42</v>
      </c>
      <c r="O597" s="55"/>
      <c r="P597" s="45">
        <v>0</v>
      </c>
      <c r="Q597" s="270"/>
      <c r="R597" s="275">
        <v>0</v>
      </c>
      <c r="S597" s="270"/>
      <c r="T597" s="270">
        <v>20</v>
      </c>
      <c r="U597" s="57">
        <v>1</v>
      </c>
      <c r="V597" s="276">
        <v>0.22</v>
      </c>
      <c r="W597" s="276">
        <v>0</v>
      </c>
      <c r="X597" s="270">
        <v>16</v>
      </c>
      <c r="Y597" s="270">
        <v>4</v>
      </c>
      <c r="Z597" s="45" t="b">
        <v>1</v>
      </c>
      <c r="AA597" s="45" t="s">
        <v>38</v>
      </c>
      <c r="AB597" s="45" t="s">
        <v>38</v>
      </c>
    </row>
    <row r="598" spans="1:28" x14ac:dyDescent="0.2">
      <c r="A598" s="96" t="s">
        <v>206</v>
      </c>
      <c r="B598" s="96" t="s">
        <v>982</v>
      </c>
      <c r="C598" s="277">
        <v>44197</v>
      </c>
      <c r="D598" s="277">
        <v>44227</v>
      </c>
      <c r="E598" s="270" t="s">
        <v>267</v>
      </c>
      <c r="F598" s="133" t="s">
        <v>34</v>
      </c>
      <c r="G598" s="96" t="s">
        <v>69</v>
      </c>
      <c r="H598" s="272" t="s">
        <v>70</v>
      </c>
      <c r="I598" s="58">
        <v>100</v>
      </c>
      <c r="J598" s="69">
        <v>3863</v>
      </c>
      <c r="K598" s="270">
        <f t="shared" si="0"/>
        <v>386300</v>
      </c>
      <c r="L598" s="270">
        <v>38078</v>
      </c>
      <c r="M598" s="270">
        <v>-13600</v>
      </c>
      <c r="N598" s="274">
        <v>13413.58</v>
      </c>
      <c r="O598" s="55"/>
      <c r="P598" s="105">
        <v>13414</v>
      </c>
      <c r="Q598" s="270">
        <v>-13671</v>
      </c>
      <c r="R598" s="275">
        <v>-3.31E-3</v>
      </c>
      <c r="S598" s="270">
        <v>-14950</v>
      </c>
      <c r="T598" s="270">
        <v>-1536</v>
      </c>
      <c r="U598" s="57">
        <v>1</v>
      </c>
      <c r="V598" s="276">
        <v>0.22</v>
      </c>
      <c r="W598" s="276">
        <v>0</v>
      </c>
      <c r="X598" s="270">
        <v>-1198</v>
      </c>
      <c r="Y598" s="270">
        <v>-338</v>
      </c>
      <c r="Z598" s="45" t="b">
        <v>1</v>
      </c>
      <c r="AA598" s="45" t="s">
        <v>38</v>
      </c>
      <c r="AB598" s="45" t="s">
        <v>38</v>
      </c>
    </row>
    <row r="599" spans="1:28" x14ac:dyDescent="0.2">
      <c r="A599" s="96" t="s">
        <v>286</v>
      </c>
      <c r="B599" s="96" t="s">
        <v>286</v>
      </c>
      <c r="C599" s="277">
        <v>44217</v>
      </c>
      <c r="D599" s="277">
        <v>44247</v>
      </c>
      <c r="E599" s="270" t="s">
        <v>267</v>
      </c>
      <c r="F599" s="133" t="s">
        <v>34</v>
      </c>
      <c r="G599" s="96" t="s">
        <v>35</v>
      </c>
      <c r="H599" s="272" t="s">
        <v>86</v>
      </c>
      <c r="I599" s="58">
        <v>5</v>
      </c>
      <c r="J599" s="69">
        <v>292</v>
      </c>
      <c r="K599" s="270">
        <f t="shared" si="0"/>
        <v>1460</v>
      </c>
      <c r="L599" s="270">
        <v>27513</v>
      </c>
      <c r="M599" s="270">
        <v>55</v>
      </c>
      <c r="N599" s="274">
        <v>20</v>
      </c>
      <c r="O599" s="55"/>
      <c r="P599" s="45">
        <v>20</v>
      </c>
      <c r="Q599" s="270">
        <v>147</v>
      </c>
      <c r="R599" s="275">
        <v>-2.6900000000000001E-3</v>
      </c>
      <c r="S599" s="270">
        <v>143</v>
      </c>
      <c r="T599" s="270">
        <v>163</v>
      </c>
      <c r="U599" s="57">
        <v>1</v>
      </c>
      <c r="V599" s="276">
        <v>0.15</v>
      </c>
      <c r="W599" s="276">
        <v>0</v>
      </c>
      <c r="X599" s="270">
        <v>139</v>
      </c>
      <c r="Y599" s="270">
        <v>25</v>
      </c>
      <c r="Z599" s="45" t="b">
        <v>1</v>
      </c>
      <c r="AA599" s="45" t="s">
        <v>38</v>
      </c>
      <c r="AB599" s="45" t="s">
        <v>38</v>
      </c>
    </row>
    <row r="600" spans="1:28" x14ac:dyDescent="0.2">
      <c r="A600" s="96" t="s">
        <v>286</v>
      </c>
      <c r="B600" s="96" t="s">
        <v>286</v>
      </c>
      <c r="C600" s="277">
        <v>44217</v>
      </c>
      <c r="D600" s="277">
        <v>44247</v>
      </c>
      <c r="E600" s="270" t="s">
        <v>267</v>
      </c>
      <c r="F600" s="133" t="s">
        <v>34</v>
      </c>
      <c r="G600" s="96" t="s">
        <v>35</v>
      </c>
      <c r="H600" s="272" t="s">
        <v>177</v>
      </c>
      <c r="I600" s="58">
        <v>5</v>
      </c>
      <c r="J600" s="69">
        <v>312</v>
      </c>
      <c r="K600" s="270">
        <f t="shared" si="0"/>
        <v>1560</v>
      </c>
      <c r="L600" s="270">
        <v>10616</v>
      </c>
      <c r="M600" s="270">
        <v>95</v>
      </c>
      <c r="N600" s="274">
        <v>21</v>
      </c>
      <c r="O600" s="55"/>
      <c r="P600" s="45">
        <v>21</v>
      </c>
      <c r="Q600" s="270">
        <v>50</v>
      </c>
      <c r="R600" s="275">
        <v>-2.6900000000000001E-3</v>
      </c>
      <c r="S600" s="270">
        <v>46</v>
      </c>
      <c r="T600" s="270">
        <v>67</v>
      </c>
      <c r="U600" s="57">
        <v>1</v>
      </c>
      <c r="V600" s="276">
        <v>0.15</v>
      </c>
      <c r="W600" s="276">
        <v>0</v>
      </c>
      <c r="X600" s="270">
        <v>57</v>
      </c>
      <c r="Y600" s="270">
        <v>10</v>
      </c>
      <c r="Z600" s="45" t="b">
        <v>1</v>
      </c>
      <c r="AA600" s="45" t="s">
        <v>38</v>
      </c>
      <c r="AB600" s="45" t="s">
        <v>38</v>
      </c>
    </row>
    <row r="601" spans="1:28" x14ac:dyDescent="0.2">
      <c r="A601" s="96" t="s">
        <v>286</v>
      </c>
      <c r="B601" s="96" t="s">
        <v>286</v>
      </c>
      <c r="C601" s="277">
        <v>44217</v>
      </c>
      <c r="D601" s="277">
        <v>44247</v>
      </c>
      <c r="E601" s="270" t="s">
        <v>267</v>
      </c>
      <c r="F601" s="133" t="s">
        <v>34</v>
      </c>
      <c r="G601" s="96" t="s">
        <v>35</v>
      </c>
      <c r="H601" s="272" t="s">
        <v>83</v>
      </c>
      <c r="I601" s="58">
        <v>10</v>
      </c>
      <c r="J601" s="69">
        <v>664</v>
      </c>
      <c r="K601" s="270">
        <f t="shared" si="0"/>
        <v>6640</v>
      </c>
      <c r="L601" s="270">
        <v>52177</v>
      </c>
      <c r="M601" s="270">
        <v>900</v>
      </c>
      <c r="N601" s="274">
        <v>103</v>
      </c>
      <c r="O601" s="55"/>
      <c r="P601" s="45">
        <v>103</v>
      </c>
      <c r="Q601" s="270">
        <v>392</v>
      </c>
      <c r="R601" s="275">
        <v>-2.6900000000000001E-3</v>
      </c>
      <c r="S601" s="270">
        <v>374</v>
      </c>
      <c r="T601" s="270">
        <v>477</v>
      </c>
      <c r="U601" s="57">
        <v>1</v>
      </c>
      <c r="V601" s="276">
        <v>0.15</v>
      </c>
      <c r="W601" s="276">
        <v>0</v>
      </c>
      <c r="X601" s="270">
        <v>405</v>
      </c>
      <c r="Y601" s="270">
        <v>72</v>
      </c>
      <c r="Z601" s="45" t="b">
        <v>1</v>
      </c>
      <c r="AA601" s="45" t="s">
        <v>38</v>
      </c>
      <c r="AB601" s="45" t="s">
        <v>38</v>
      </c>
    </row>
    <row r="602" spans="1:28" x14ac:dyDescent="0.2">
      <c r="A602" s="96" t="s">
        <v>286</v>
      </c>
      <c r="B602" s="96" t="s">
        <v>286</v>
      </c>
      <c r="C602" s="277">
        <v>44217</v>
      </c>
      <c r="D602" s="277">
        <v>44247</v>
      </c>
      <c r="E602" s="270" t="s">
        <v>267</v>
      </c>
      <c r="F602" s="133" t="s">
        <v>34</v>
      </c>
      <c r="G602" s="96" t="s">
        <v>35</v>
      </c>
      <c r="H602" s="272" t="s">
        <v>983</v>
      </c>
      <c r="I602" s="58">
        <v>10</v>
      </c>
      <c r="J602" s="69">
        <v>108</v>
      </c>
      <c r="K602" s="270">
        <f t="shared" si="0"/>
        <v>1080</v>
      </c>
      <c r="L602" s="270">
        <v>357</v>
      </c>
      <c r="M602" s="270">
        <v>-300</v>
      </c>
      <c r="N602" s="274">
        <v>17</v>
      </c>
      <c r="O602" s="55"/>
      <c r="P602" s="45">
        <v>17</v>
      </c>
      <c r="Q602" s="270">
        <v>-77</v>
      </c>
      <c r="R602" s="275">
        <v>-2.6900000000000001E-3</v>
      </c>
      <c r="S602" s="270">
        <v>-80</v>
      </c>
      <c r="T602" s="270">
        <v>-63</v>
      </c>
      <c r="U602" s="57">
        <v>1</v>
      </c>
      <c r="V602" s="276">
        <v>0.15</v>
      </c>
      <c r="W602" s="276">
        <v>0</v>
      </c>
      <c r="X602" s="270">
        <v>-53</v>
      </c>
      <c r="Y602" s="270">
        <v>-9</v>
      </c>
      <c r="Z602" s="45" t="b">
        <v>1</v>
      </c>
      <c r="AA602" s="45" t="s">
        <v>38</v>
      </c>
      <c r="AB602" s="45" t="s">
        <v>38</v>
      </c>
    </row>
    <row r="603" spans="1:28" x14ac:dyDescent="0.2">
      <c r="A603" s="96" t="s">
        <v>286</v>
      </c>
      <c r="B603" s="96" t="s">
        <v>286</v>
      </c>
      <c r="C603" s="277">
        <v>44217</v>
      </c>
      <c r="D603" s="277">
        <v>44247</v>
      </c>
      <c r="E603" s="270" t="s">
        <v>267</v>
      </c>
      <c r="F603" s="133" t="s">
        <v>34</v>
      </c>
      <c r="G603" s="96" t="s">
        <v>35</v>
      </c>
      <c r="H603" s="272" t="s">
        <v>46</v>
      </c>
      <c r="I603" s="58">
        <v>25</v>
      </c>
      <c r="J603" s="69">
        <v>450</v>
      </c>
      <c r="K603" s="270">
        <f t="shared" si="0"/>
        <v>11250</v>
      </c>
      <c r="L603" s="270">
        <v>46168</v>
      </c>
      <c r="M603" s="270">
        <v>1125</v>
      </c>
      <c r="N603" s="274">
        <v>131</v>
      </c>
      <c r="O603" s="55"/>
      <c r="P603" s="45">
        <v>131</v>
      </c>
      <c r="Q603" s="270">
        <v>1423</v>
      </c>
      <c r="R603" s="275">
        <v>-2.6900000000000001E-3</v>
      </c>
      <c r="S603" s="270">
        <v>1393</v>
      </c>
      <c r="T603" s="270">
        <v>1524</v>
      </c>
      <c r="U603" s="57">
        <v>1</v>
      </c>
      <c r="V603" s="276">
        <v>0.15</v>
      </c>
      <c r="W603" s="276">
        <v>0</v>
      </c>
      <c r="X603" s="270">
        <v>1295</v>
      </c>
      <c r="Y603" s="270">
        <v>229</v>
      </c>
      <c r="Z603" s="45" t="b">
        <v>1</v>
      </c>
      <c r="AA603" s="45" t="s">
        <v>38</v>
      </c>
      <c r="AB603" s="45" t="s">
        <v>38</v>
      </c>
    </row>
    <row r="604" spans="1:28" x14ac:dyDescent="0.2">
      <c r="A604" s="96" t="s">
        <v>286</v>
      </c>
      <c r="B604" s="96" t="s">
        <v>286</v>
      </c>
      <c r="C604" s="277">
        <v>44217</v>
      </c>
      <c r="D604" s="277">
        <v>44247</v>
      </c>
      <c r="E604" s="270" t="s">
        <v>267</v>
      </c>
      <c r="F604" s="133" t="s">
        <v>34</v>
      </c>
      <c r="G604" s="96" t="s">
        <v>35</v>
      </c>
      <c r="H604" s="272" t="s">
        <v>87</v>
      </c>
      <c r="I604" s="58">
        <v>25</v>
      </c>
      <c r="J604" s="69">
        <v>97</v>
      </c>
      <c r="K604" s="270">
        <f t="shared" si="0"/>
        <v>2425</v>
      </c>
      <c r="L604" s="270">
        <v>-3062</v>
      </c>
      <c r="M604" s="270">
        <v>-400</v>
      </c>
      <c r="N604" s="274">
        <v>28</v>
      </c>
      <c r="O604" s="55"/>
      <c r="P604" s="45">
        <v>28</v>
      </c>
      <c r="Q604" s="270">
        <v>-389</v>
      </c>
      <c r="R604" s="275">
        <v>-2.6900000000000001E-3</v>
      </c>
      <c r="S604" s="270">
        <v>-395</v>
      </c>
      <c r="T604" s="270">
        <v>-367</v>
      </c>
      <c r="U604" s="57">
        <v>1</v>
      </c>
      <c r="V604" s="276">
        <v>0.15</v>
      </c>
      <c r="W604" s="276">
        <v>0</v>
      </c>
      <c r="X604" s="270">
        <v>-312</v>
      </c>
      <c r="Y604" s="270">
        <v>-55</v>
      </c>
      <c r="Z604" s="45" t="b">
        <v>1</v>
      </c>
      <c r="AA604" s="45" t="s">
        <v>38</v>
      </c>
      <c r="AB604" s="45" t="s">
        <v>38</v>
      </c>
    </row>
    <row r="605" spans="1:28" x14ac:dyDescent="0.2">
      <c r="A605" s="96" t="s">
        <v>286</v>
      </c>
      <c r="B605" s="96" t="s">
        <v>286</v>
      </c>
      <c r="C605" s="277">
        <v>44217</v>
      </c>
      <c r="D605" s="277">
        <v>44247</v>
      </c>
      <c r="E605" s="270" t="s">
        <v>267</v>
      </c>
      <c r="F605" s="133" t="s">
        <v>34</v>
      </c>
      <c r="G605" s="96" t="s">
        <v>35</v>
      </c>
      <c r="H605" s="272" t="s">
        <v>72</v>
      </c>
      <c r="I605" s="58">
        <v>50</v>
      </c>
      <c r="J605" s="69">
        <v>46</v>
      </c>
      <c r="K605" s="270">
        <f t="shared" si="0"/>
        <v>2300</v>
      </c>
      <c r="L605" s="270">
        <v>-1000</v>
      </c>
      <c r="M605" s="270">
        <v>100</v>
      </c>
      <c r="N605" s="274">
        <v>26</v>
      </c>
      <c r="O605" s="55"/>
      <c r="P605" s="45">
        <v>26</v>
      </c>
      <c r="Q605" s="270">
        <v>-237</v>
      </c>
      <c r="R605" s="275">
        <v>-2.6900000000000001E-3</v>
      </c>
      <c r="S605" s="270">
        <v>-243</v>
      </c>
      <c r="T605" s="270">
        <v>-217</v>
      </c>
      <c r="U605" s="57">
        <v>1</v>
      </c>
      <c r="V605" s="276">
        <v>0.15</v>
      </c>
      <c r="W605" s="276">
        <v>0</v>
      </c>
      <c r="X605" s="270">
        <v>-185</v>
      </c>
      <c r="Y605" s="270">
        <v>-33</v>
      </c>
      <c r="Z605" s="45" t="b">
        <v>1</v>
      </c>
      <c r="AA605" s="45" t="s">
        <v>38</v>
      </c>
      <c r="AB605" s="45" t="s">
        <v>38</v>
      </c>
    </row>
    <row r="606" spans="1:28" x14ac:dyDescent="0.2">
      <c r="A606" s="96" t="s">
        <v>286</v>
      </c>
      <c r="B606" s="96" t="s">
        <v>286</v>
      </c>
      <c r="C606" s="277">
        <v>44217</v>
      </c>
      <c r="D606" s="277">
        <v>44247</v>
      </c>
      <c r="E606" s="270" t="s">
        <v>267</v>
      </c>
      <c r="F606" s="133" t="s">
        <v>34</v>
      </c>
      <c r="G606" s="96" t="s">
        <v>35</v>
      </c>
      <c r="H606" s="272" t="s">
        <v>85</v>
      </c>
      <c r="I606" s="58">
        <v>50</v>
      </c>
      <c r="J606" s="69">
        <v>32</v>
      </c>
      <c r="K606" s="270">
        <f t="shared" si="0"/>
        <v>1600</v>
      </c>
      <c r="L606" s="270">
        <v>304</v>
      </c>
      <c r="M606" s="270">
        <v>-300</v>
      </c>
      <c r="N606" s="274">
        <v>19</v>
      </c>
      <c r="O606" s="55"/>
      <c r="P606" s="45">
        <v>19</v>
      </c>
      <c r="Q606" s="270">
        <v>-52</v>
      </c>
      <c r="R606" s="275">
        <v>-2.6900000000000001E-3</v>
      </c>
      <c r="S606" s="270">
        <v>-57</v>
      </c>
      <c r="T606" s="270">
        <v>-38</v>
      </c>
      <c r="U606" s="57">
        <v>1</v>
      </c>
      <c r="V606" s="276">
        <v>0.15</v>
      </c>
      <c r="W606" s="276">
        <v>0</v>
      </c>
      <c r="X606" s="270">
        <v>-32</v>
      </c>
      <c r="Y606" s="270">
        <v>-6</v>
      </c>
      <c r="Z606" s="45" t="b">
        <v>1</v>
      </c>
      <c r="AA606" s="45" t="s">
        <v>38</v>
      </c>
      <c r="AB606" s="45" t="s">
        <v>38</v>
      </c>
    </row>
    <row r="607" spans="1:28" x14ac:dyDescent="0.2">
      <c r="A607" s="96" t="s">
        <v>60</v>
      </c>
      <c r="B607" s="96" t="s">
        <v>60</v>
      </c>
      <c r="C607" s="277">
        <v>44217</v>
      </c>
      <c r="D607" s="277">
        <v>44247</v>
      </c>
      <c r="E607" s="270" t="s">
        <v>267</v>
      </c>
      <c r="F607" s="133" t="s">
        <v>34</v>
      </c>
      <c r="G607" s="270" t="s">
        <v>61</v>
      </c>
      <c r="H607" s="272" t="s">
        <v>63</v>
      </c>
      <c r="I607" s="273">
        <v>10</v>
      </c>
      <c r="J607" s="270">
        <v>1187</v>
      </c>
      <c r="K607" s="270">
        <f t="shared" si="0"/>
        <v>11870</v>
      </c>
      <c r="L607" s="270">
        <v>98521</v>
      </c>
      <c r="M607" s="270">
        <v>350</v>
      </c>
      <c r="N607" s="274">
        <v>40</v>
      </c>
      <c r="O607" s="55"/>
      <c r="P607" s="45">
        <v>40</v>
      </c>
      <c r="Q607" s="270">
        <v>755</v>
      </c>
      <c r="R607" s="275">
        <v>-2.6900000000000001E-3</v>
      </c>
      <c r="S607" s="270">
        <v>723</v>
      </c>
      <c r="T607" s="270">
        <v>763</v>
      </c>
      <c r="U607" s="57">
        <v>1</v>
      </c>
      <c r="V607" s="276">
        <v>0.25</v>
      </c>
      <c r="W607" s="276">
        <v>0</v>
      </c>
      <c r="X607" s="270">
        <v>572</v>
      </c>
      <c r="Y607" s="270">
        <v>191</v>
      </c>
      <c r="Z607" s="45" t="b">
        <v>1</v>
      </c>
      <c r="AA607" s="45" t="s">
        <v>50</v>
      </c>
      <c r="AB607" s="45" t="s">
        <v>50</v>
      </c>
    </row>
    <row r="608" spans="1:28" x14ac:dyDescent="0.2">
      <c r="A608" s="96" t="s">
        <v>82</v>
      </c>
      <c r="B608" s="96" t="s">
        <v>82</v>
      </c>
      <c r="C608" s="277">
        <v>44217</v>
      </c>
      <c r="D608" s="277">
        <v>44247</v>
      </c>
      <c r="E608" s="270" t="s">
        <v>300</v>
      </c>
      <c r="F608" s="133" t="s">
        <v>34</v>
      </c>
      <c r="G608" s="96" t="s">
        <v>35</v>
      </c>
      <c r="H608" s="272" t="s">
        <v>83</v>
      </c>
      <c r="I608" s="58">
        <v>10</v>
      </c>
      <c r="J608" s="69">
        <v>15</v>
      </c>
      <c r="K608" s="270">
        <f t="shared" si="0"/>
        <v>150</v>
      </c>
      <c r="L608" s="279">
        <v>2156</v>
      </c>
      <c r="M608" s="279">
        <v>-30</v>
      </c>
      <c r="N608" s="274">
        <v>8</v>
      </c>
      <c r="O608" s="55"/>
      <c r="P608" s="45">
        <v>8</v>
      </c>
      <c r="Q608" s="279">
        <v>27</v>
      </c>
      <c r="R608" s="275">
        <v>-2.6900000000000001E-3</v>
      </c>
      <c r="S608" s="279">
        <v>26</v>
      </c>
      <c r="T608" s="279">
        <v>34</v>
      </c>
      <c r="U608" s="57">
        <v>1</v>
      </c>
      <c r="V608" s="276">
        <v>0.15</v>
      </c>
      <c r="W608" s="276">
        <v>0.05</v>
      </c>
      <c r="X608" s="279">
        <v>27</v>
      </c>
      <c r="Y608" s="279">
        <v>7</v>
      </c>
      <c r="Z608" s="45" t="b">
        <v>1</v>
      </c>
      <c r="AA608" s="45" t="s">
        <v>38</v>
      </c>
      <c r="AB608" s="45" t="s">
        <v>38</v>
      </c>
    </row>
    <row r="609" spans="1:28" x14ac:dyDescent="0.2">
      <c r="A609" s="96" t="s">
        <v>82</v>
      </c>
      <c r="B609" s="96" t="s">
        <v>82</v>
      </c>
      <c r="C609" s="277">
        <v>44217</v>
      </c>
      <c r="D609" s="277">
        <v>44247</v>
      </c>
      <c r="E609" s="270" t="s">
        <v>300</v>
      </c>
      <c r="F609" s="133" t="s">
        <v>34</v>
      </c>
      <c r="G609" s="96" t="s">
        <v>35</v>
      </c>
      <c r="H609" s="272" t="s">
        <v>46</v>
      </c>
      <c r="I609" s="58">
        <v>25</v>
      </c>
      <c r="J609" s="69">
        <v>332</v>
      </c>
      <c r="K609" s="270">
        <f t="shared" si="0"/>
        <v>8300</v>
      </c>
      <c r="L609" s="279">
        <v>17620</v>
      </c>
      <c r="M609" s="279">
        <v>200</v>
      </c>
      <c r="N609" s="274">
        <v>329</v>
      </c>
      <c r="O609" s="55"/>
      <c r="P609" s="45">
        <v>329</v>
      </c>
      <c r="Q609" s="279">
        <v>286</v>
      </c>
      <c r="R609" s="275">
        <v>-2.6900000000000001E-3</v>
      </c>
      <c r="S609" s="279">
        <v>263</v>
      </c>
      <c r="T609" s="279">
        <v>592</v>
      </c>
      <c r="U609" s="57">
        <v>1</v>
      </c>
      <c r="V609" s="276">
        <v>0.15</v>
      </c>
      <c r="W609" s="276">
        <v>0.05</v>
      </c>
      <c r="X609" s="279">
        <v>474</v>
      </c>
      <c r="Y609" s="279">
        <v>118</v>
      </c>
      <c r="Z609" s="45" t="b">
        <v>1</v>
      </c>
      <c r="AA609" s="45" t="s">
        <v>38</v>
      </c>
      <c r="AB609" s="45" t="s">
        <v>38</v>
      </c>
    </row>
    <row r="610" spans="1:28" x14ac:dyDescent="0.2">
      <c r="A610" s="96" t="s">
        <v>82</v>
      </c>
      <c r="B610" s="96" t="s">
        <v>82</v>
      </c>
      <c r="C610" s="277">
        <v>44217</v>
      </c>
      <c r="D610" s="277">
        <v>44247</v>
      </c>
      <c r="E610" s="270" t="s">
        <v>300</v>
      </c>
      <c r="F610" s="133" t="s">
        <v>34</v>
      </c>
      <c r="G610" s="96" t="s">
        <v>35</v>
      </c>
      <c r="H610" s="272" t="s">
        <v>72</v>
      </c>
      <c r="I610" s="58">
        <v>50</v>
      </c>
      <c r="J610" s="69">
        <v>3383</v>
      </c>
      <c r="K610" s="270">
        <f t="shared" si="0"/>
        <v>169150</v>
      </c>
      <c r="L610" s="279">
        <v>80626</v>
      </c>
      <c r="M610" s="279">
        <v>-850</v>
      </c>
      <c r="N610" s="274">
        <v>6560</v>
      </c>
      <c r="O610" s="55"/>
      <c r="P610" s="105">
        <v>6560</v>
      </c>
      <c r="Q610" s="279">
        <v>-3350</v>
      </c>
      <c r="R610" s="275">
        <v>-2.6900000000000001E-3</v>
      </c>
      <c r="S610" s="279">
        <v>-3805</v>
      </c>
      <c r="T610" s="279">
        <v>2755</v>
      </c>
      <c r="U610" s="57">
        <v>1</v>
      </c>
      <c r="V610" s="276">
        <v>0.15</v>
      </c>
      <c r="W610" s="276">
        <v>0.05</v>
      </c>
      <c r="X610" s="279">
        <v>2204</v>
      </c>
      <c r="Y610" s="279">
        <v>551</v>
      </c>
      <c r="Z610" s="45" t="b">
        <v>1</v>
      </c>
      <c r="AA610" s="45" t="s">
        <v>38</v>
      </c>
      <c r="AB610" s="45" t="s">
        <v>38</v>
      </c>
    </row>
    <row r="611" spans="1:28" x14ac:dyDescent="0.2">
      <c r="A611" s="96" t="s">
        <v>82</v>
      </c>
      <c r="B611" s="96" t="s">
        <v>82</v>
      </c>
      <c r="C611" s="277">
        <v>44217</v>
      </c>
      <c r="D611" s="277">
        <v>44247</v>
      </c>
      <c r="E611" s="270" t="s">
        <v>300</v>
      </c>
      <c r="F611" s="133" t="s">
        <v>41</v>
      </c>
      <c r="G611" s="96" t="s">
        <v>35</v>
      </c>
      <c r="H611" s="272" t="s">
        <v>84</v>
      </c>
      <c r="I611" s="273">
        <v>100</v>
      </c>
      <c r="J611" s="270">
        <v>2</v>
      </c>
      <c r="K611" s="270">
        <f t="shared" si="0"/>
        <v>200</v>
      </c>
      <c r="L611" s="270"/>
      <c r="M611" s="270">
        <v>100</v>
      </c>
      <c r="N611" s="274">
        <v>6</v>
      </c>
      <c r="O611" s="55"/>
      <c r="P611" s="45">
        <v>6</v>
      </c>
      <c r="Q611" s="270"/>
      <c r="R611" s="275">
        <v>0</v>
      </c>
      <c r="S611" s="270"/>
      <c r="T611" s="270">
        <v>106</v>
      </c>
      <c r="U611" s="57">
        <v>1</v>
      </c>
      <c r="V611" s="276">
        <v>0.15</v>
      </c>
      <c r="W611" s="276">
        <v>0.05</v>
      </c>
      <c r="X611" s="270">
        <v>85</v>
      </c>
      <c r="Y611" s="270">
        <v>21</v>
      </c>
      <c r="Z611" s="45" t="b">
        <v>1</v>
      </c>
      <c r="AA611" s="45" t="s">
        <v>38</v>
      </c>
      <c r="AB611" s="45" t="s">
        <v>38</v>
      </c>
    </row>
    <row r="612" spans="1:28" x14ac:dyDescent="0.2">
      <c r="A612" s="96" t="s">
        <v>82</v>
      </c>
      <c r="B612" s="96" t="s">
        <v>82</v>
      </c>
      <c r="C612" s="277">
        <v>44217</v>
      </c>
      <c r="D612" s="277">
        <v>44247</v>
      </c>
      <c r="E612" s="270" t="s">
        <v>300</v>
      </c>
      <c r="F612" s="133" t="s">
        <v>41</v>
      </c>
      <c r="G612" s="96" t="s">
        <v>35</v>
      </c>
      <c r="H612" s="272" t="s">
        <v>85</v>
      </c>
      <c r="I612" s="273">
        <v>50</v>
      </c>
      <c r="J612" s="270">
        <v>2</v>
      </c>
      <c r="K612" s="270">
        <f t="shared" si="0"/>
        <v>100</v>
      </c>
      <c r="L612" s="270"/>
      <c r="M612" s="270">
        <v>-300</v>
      </c>
      <c r="N612" s="274">
        <v>6</v>
      </c>
      <c r="O612" s="55"/>
      <c r="P612" s="45">
        <v>6</v>
      </c>
      <c r="Q612" s="270"/>
      <c r="R612" s="275">
        <v>0</v>
      </c>
      <c r="S612" s="270"/>
      <c r="T612" s="270">
        <v>-294</v>
      </c>
      <c r="U612" s="57">
        <v>1</v>
      </c>
      <c r="V612" s="276">
        <v>0.15</v>
      </c>
      <c r="W612" s="276">
        <v>0.05</v>
      </c>
      <c r="X612" s="270">
        <v>-235</v>
      </c>
      <c r="Y612" s="270">
        <v>-59</v>
      </c>
      <c r="Z612" s="45" t="b">
        <v>1</v>
      </c>
      <c r="AA612" s="45" t="s">
        <v>38</v>
      </c>
      <c r="AB612" s="45" t="s">
        <v>38</v>
      </c>
    </row>
    <row r="613" spans="1:28" x14ac:dyDescent="0.2">
      <c r="A613" s="96" t="s">
        <v>154</v>
      </c>
      <c r="B613" s="96" t="s">
        <v>154</v>
      </c>
      <c r="C613" s="277">
        <v>44217</v>
      </c>
      <c r="D613" s="277">
        <v>44247</v>
      </c>
      <c r="E613" s="270" t="s">
        <v>267</v>
      </c>
      <c r="F613" s="96" t="s">
        <v>34</v>
      </c>
      <c r="G613" s="270" t="s">
        <v>35</v>
      </c>
      <c r="H613" s="272" t="s">
        <v>83</v>
      </c>
      <c r="I613" s="273">
        <v>10</v>
      </c>
      <c r="J613" s="270">
        <v>458</v>
      </c>
      <c r="K613" s="270">
        <f t="shared" si="0"/>
        <v>4580</v>
      </c>
      <c r="L613" s="270">
        <v>32732</v>
      </c>
      <c r="M613" s="270">
        <v>80</v>
      </c>
      <c r="N613" s="274">
        <v>2</v>
      </c>
      <c r="O613" s="55"/>
      <c r="P613" s="45">
        <v>2</v>
      </c>
      <c r="Q613" s="270">
        <v>782</v>
      </c>
      <c r="R613" s="275">
        <v>-2.6900000000000001E-3</v>
      </c>
      <c r="S613" s="270">
        <v>770</v>
      </c>
      <c r="T613" s="270">
        <v>772</v>
      </c>
      <c r="U613" s="57">
        <v>1</v>
      </c>
      <c r="V613" s="276">
        <v>0.2</v>
      </c>
      <c r="W613" s="276">
        <v>0</v>
      </c>
      <c r="X613" s="270">
        <v>617</v>
      </c>
      <c r="Y613" s="270">
        <v>154</v>
      </c>
      <c r="Z613" s="45" t="b">
        <v>1</v>
      </c>
      <c r="AA613" s="45" t="s">
        <v>38</v>
      </c>
      <c r="AB613" s="45" t="s">
        <v>38</v>
      </c>
    </row>
    <row r="614" spans="1:28" x14ac:dyDescent="0.2">
      <c r="A614" s="96" t="s">
        <v>178</v>
      </c>
      <c r="B614" s="96" t="s">
        <v>922</v>
      </c>
      <c r="C614" s="277">
        <v>44217</v>
      </c>
      <c r="D614" s="277">
        <v>44247</v>
      </c>
      <c r="E614" s="270" t="s">
        <v>267</v>
      </c>
      <c r="F614" s="133" t="s">
        <v>34</v>
      </c>
      <c r="G614" s="96" t="s">
        <v>61</v>
      </c>
      <c r="H614" s="272" t="s">
        <v>63</v>
      </c>
      <c r="I614" s="58">
        <v>10</v>
      </c>
      <c r="J614" s="69">
        <v>1782</v>
      </c>
      <c r="K614" s="270">
        <f t="shared" si="0"/>
        <v>17820</v>
      </c>
      <c r="L614" s="279">
        <v>162010</v>
      </c>
      <c r="M614" s="279">
        <v>1020</v>
      </c>
      <c r="N614" s="274"/>
      <c r="O614" s="55"/>
      <c r="P614" s="96"/>
      <c r="Q614" s="279">
        <v>1339</v>
      </c>
      <c r="R614" s="275">
        <v>-2.6900000000000001E-3</v>
      </c>
      <c r="S614" s="279">
        <v>1291</v>
      </c>
      <c r="T614" s="279">
        <v>1291</v>
      </c>
      <c r="U614" s="57">
        <v>1</v>
      </c>
      <c r="V614" s="276">
        <v>0.2</v>
      </c>
      <c r="W614" s="276">
        <v>0</v>
      </c>
      <c r="X614" s="279">
        <v>1033</v>
      </c>
      <c r="Y614" s="279">
        <v>258</v>
      </c>
      <c r="Z614" s="45" t="b">
        <v>1</v>
      </c>
      <c r="AA614" s="45" t="s">
        <v>50</v>
      </c>
      <c r="AB614" s="45" t="s">
        <v>50</v>
      </c>
    </row>
    <row r="615" spans="1:28" x14ac:dyDescent="0.2">
      <c r="A615" s="96" t="s">
        <v>508</v>
      </c>
      <c r="B615" s="96" t="s">
        <v>508</v>
      </c>
      <c r="C615" s="277">
        <v>44217</v>
      </c>
      <c r="D615" s="277">
        <v>44247</v>
      </c>
      <c r="E615" s="270" t="s">
        <v>300</v>
      </c>
      <c r="F615" s="96" t="s">
        <v>34</v>
      </c>
      <c r="G615" s="96" t="s">
        <v>35</v>
      </c>
      <c r="H615" s="272" t="s">
        <v>70</v>
      </c>
      <c r="I615" s="58">
        <v>100</v>
      </c>
      <c r="J615" s="69">
        <v>2594</v>
      </c>
      <c r="K615" s="270">
        <f t="shared" si="0"/>
        <v>259400</v>
      </c>
      <c r="L615" s="270">
        <v>78025</v>
      </c>
      <c r="M615" s="270">
        <v>1600</v>
      </c>
      <c r="N615" s="274">
        <v>3492</v>
      </c>
      <c r="O615" s="55"/>
      <c r="P615" s="105">
        <v>3492</v>
      </c>
      <c r="Q615" s="270">
        <v>617</v>
      </c>
      <c r="R615" s="275">
        <v>-2.6900000000000001E-3</v>
      </c>
      <c r="S615" s="270">
        <v>-81</v>
      </c>
      <c r="T615" s="270">
        <v>3411</v>
      </c>
      <c r="U615" s="57">
        <v>1</v>
      </c>
      <c r="V615" s="276">
        <v>0.13500000000000001</v>
      </c>
      <c r="W615" s="276">
        <v>4.4999999999999998E-2</v>
      </c>
      <c r="X615" s="270">
        <v>2797</v>
      </c>
      <c r="Y615" s="270">
        <v>614</v>
      </c>
      <c r="Z615" s="45" t="b">
        <v>1</v>
      </c>
      <c r="AA615" s="45" t="s">
        <v>38</v>
      </c>
      <c r="AB615" s="45" t="s">
        <v>38</v>
      </c>
    </row>
    <row r="616" spans="1:28" x14ac:dyDescent="0.2">
      <c r="A616" s="96" t="s">
        <v>508</v>
      </c>
      <c r="B616" s="96" t="s">
        <v>508</v>
      </c>
      <c r="C616" s="277">
        <v>44217</v>
      </c>
      <c r="D616" s="277">
        <v>44247</v>
      </c>
      <c r="E616" s="270" t="s">
        <v>300</v>
      </c>
      <c r="F616" s="96" t="s">
        <v>41</v>
      </c>
      <c r="G616" s="96" t="s">
        <v>35</v>
      </c>
      <c r="H616" s="272" t="s">
        <v>72</v>
      </c>
      <c r="I616" s="58">
        <v>50</v>
      </c>
      <c r="J616" s="69">
        <v>6</v>
      </c>
      <c r="K616" s="270">
        <f t="shared" si="0"/>
        <v>300</v>
      </c>
      <c r="L616" s="270"/>
      <c r="M616" s="270">
        <v>100</v>
      </c>
      <c r="N616" s="274">
        <v>5</v>
      </c>
      <c r="O616" s="55"/>
      <c r="P616" s="45">
        <v>5</v>
      </c>
      <c r="Q616" s="270"/>
      <c r="R616" s="275">
        <v>0</v>
      </c>
      <c r="S616" s="270"/>
      <c r="T616" s="270">
        <v>105</v>
      </c>
      <c r="U616" s="57">
        <v>1</v>
      </c>
      <c r="V616" s="276">
        <v>0.13500000000000001</v>
      </c>
      <c r="W616" s="276">
        <v>4.4999999999999998E-2</v>
      </c>
      <c r="X616" s="270">
        <v>86</v>
      </c>
      <c r="Y616" s="270">
        <v>19</v>
      </c>
      <c r="Z616" s="45" t="b">
        <v>1</v>
      </c>
      <c r="AA616" s="45" t="s">
        <v>38</v>
      </c>
      <c r="AB616" s="45" t="s">
        <v>38</v>
      </c>
    </row>
    <row r="617" spans="1:28" x14ac:dyDescent="0.2">
      <c r="A617" s="96" t="s">
        <v>508</v>
      </c>
      <c r="B617" s="96" t="s">
        <v>508</v>
      </c>
      <c r="C617" s="277">
        <v>44217</v>
      </c>
      <c r="D617" s="277">
        <v>44247</v>
      </c>
      <c r="E617" s="270" t="s">
        <v>300</v>
      </c>
      <c r="F617" s="96" t="s">
        <v>41</v>
      </c>
      <c r="G617" s="96" t="s">
        <v>35</v>
      </c>
      <c r="H617" s="272" t="s">
        <v>46</v>
      </c>
      <c r="I617" s="273">
        <v>25</v>
      </c>
      <c r="J617" s="270">
        <v>7</v>
      </c>
      <c r="K617" s="270">
        <f t="shared" si="0"/>
        <v>175</v>
      </c>
      <c r="L617" s="270"/>
      <c r="M617" s="270">
        <v>-75</v>
      </c>
      <c r="N617" s="274">
        <v>3</v>
      </c>
      <c r="O617" s="55"/>
      <c r="P617" s="45">
        <v>3</v>
      </c>
      <c r="Q617" s="270"/>
      <c r="R617" s="275">
        <v>0</v>
      </c>
      <c r="S617" s="270"/>
      <c r="T617" s="270">
        <v>-72</v>
      </c>
      <c r="U617" s="57">
        <v>1</v>
      </c>
      <c r="V617" s="276">
        <v>0.13500000000000001</v>
      </c>
      <c r="W617" s="276">
        <v>4.4999999999999998E-2</v>
      </c>
      <c r="X617" s="270">
        <v>-59</v>
      </c>
      <c r="Y617" s="270">
        <v>-13</v>
      </c>
      <c r="Z617" s="45" t="b">
        <v>1</v>
      </c>
      <c r="AA617" s="45" t="s">
        <v>38</v>
      </c>
      <c r="AB617" s="45" t="s">
        <v>38</v>
      </c>
    </row>
    <row r="618" spans="1:28" x14ac:dyDescent="0.2">
      <c r="A618" s="96" t="s">
        <v>191</v>
      </c>
      <c r="B618" s="96" t="s">
        <v>191</v>
      </c>
      <c r="C618" s="277">
        <v>44217</v>
      </c>
      <c r="D618" s="277">
        <v>44247</v>
      </c>
      <c r="E618" s="270" t="s">
        <v>267</v>
      </c>
      <c r="F618" s="96" t="s">
        <v>34</v>
      </c>
      <c r="G618" s="270" t="s">
        <v>35</v>
      </c>
      <c r="H618" s="272" t="s">
        <v>36</v>
      </c>
      <c r="I618" s="273">
        <v>2</v>
      </c>
      <c r="J618" s="270">
        <v>40</v>
      </c>
      <c r="K618" s="270">
        <f t="shared" si="0"/>
        <v>80</v>
      </c>
      <c r="L618" s="270">
        <v>7000</v>
      </c>
      <c r="M618" s="270">
        <v>18</v>
      </c>
      <c r="N618" s="274">
        <v>2</v>
      </c>
      <c r="O618" s="55"/>
      <c r="P618" s="45">
        <v>2</v>
      </c>
      <c r="Q618" s="270">
        <v>19</v>
      </c>
      <c r="R618" s="275">
        <v>-2.6900000000000001E-3</v>
      </c>
      <c r="S618" s="270">
        <v>18</v>
      </c>
      <c r="T618" s="270">
        <v>20</v>
      </c>
      <c r="U618" s="57">
        <v>1</v>
      </c>
      <c r="V618" s="276">
        <v>0.25</v>
      </c>
      <c r="W618" s="276">
        <v>0</v>
      </c>
      <c r="X618" s="270">
        <v>15</v>
      </c>
      <c r="Y618" s="270">
        <v>5</v>
      </c>
      <c r="Z618" s="45" t="b">
        <v>1</v>
      </c>
      <c r="AA618" s="45" t="s">
        <v>38</v>
      </c>
      <c r="AB618" s="45" t="s">
        <v>38</v>
      </c>
    </row>
    <row r="619" spans="1:28" x14ac:dyDescent="0.2">
      <c r="A619" s="96" t="s">
        <v>191</v>
      </c>
      <c r="B619" s="96" t="s">
        <v>191</v>
      </c>
      <c r="C619" s="277">
        <v>44217</v>
      </c>
      <c r="D619" s="277">
        <v>44247</v>
      </c>
      <c r="E619" s="270" t="s">
        <v>267</v>
      </c>
      <c r="F619" s="96" t="s">
        <v>34</v>
      </c>
      <c r="G619" s="270" t="s">
        <v>35</v>
      </c>
      <c r="H619" s="272" t="s">
        <v>86</v>
      </c>
      <c r="I619" s="273">
        <v>5</v>
      </c>
      <c r="J619" s="270">
        <v>1844</v>
      </c>
      <c r="K619" s="270">
        <f t="shared" si="0"/>
        <v>9220</v>
      </c>
      <c r="L619" s="270">
        <v>159087</v>
      </c>
      <c r="M619" s="270">
        <v>665</v>
      </c>
      <c r="N619" s="274">
        <v>200</v>
      </c>
      <c r="O619" s="55"/>
      <c r="P619" s="45">
        <v>200</v>
      </c>
      <c r="Q619" s="270">
        <v>790</v>
      </c>
      <c r="R619" s="275">
        <v>-2.6900000000000001E-3</v>
      </c>
      <c r="S619" s="270">
        <v>765</v>
      </c>
      <c r="T619" s="270">
        <v>965</v>
      </c>
      <c r="U619" s="57">
        <v>1</v>
      </c>
      <c r="V619" s="276">
        <v>0.25</v>
      </c>
      <c r="W619" s="276">
        <v>0</v>
      </c>
      <c r="X619" s="270">
        <v>724</v>
      </c>
      <c r="Y619" s="270">
        <v>241</v>
      </c>
      <c r="Z619" s="45" t="b">
        <v>1</v>
      </c>
      <c r="AA619" s="45" t="s">
        <v>38</v>
      </c>
      <c r="AB619" s="45" t="s">
        <v>38</v>
      </c>
    </row>
    <row r="620" spans="1:28" x14ac:dyDescent="0.2">
      <c r="A620" s="96" t="s">
        <v>191</v>
      </c>
      <c r="B620" s="96" t="s">
        <v>191</v>
      </c>
      <c r="C620" s="277">
        <v>44217</v>
      </c>
      <c r="D620" s="277">
        <v>44247</v>
      </c>
      <c r="E620" s="270" t="s">
        <v>267</v>
      </c>
      <c r="F620" s="96" t="s">
        <v>34</v>
      </c>
      <c r="G620" s="270" t="s">
        <v>35</v>
      </c>
      <c r="H620" s="272" t="s">
        <v>83</v>
      </c>
      <c r="I620" s="273">
        <v>10</v>
      </c>
      <c r="J620" s="270">
        <v>127</v>
      </c>
      <c r="K620" s="270">
        <f t="shared" si="0"/>
        <v>1270</v>
      </c>
      <c r="L620" s="270">
        <v>16650</v>
      </c>
      <c r="M620" s="270">
        <v>40</v>
      </c>
      <c r="N620" s="274">
        <v>31</v>
      </c>
      <c r="O620" s="55"/>
      <c r="P620" s="45">
        <v>31</v>
      </c>
      <c r="Q620" s="270">
        <v>195</v>
      </c>
      <c r="R620" s="275">
        <v>-2.6900000000000001E-3</v>
      </c>
      <c r="S620" s="270">
        <v>192</v>
      </c>
      <c r="T620" s="270">
        <v>223</v>
      </c>
      <c r="U620" s="57">
        <v>1</v>
      </c>
      <c r="V620" s="276">
        <v>0.25</v>
      </c>
      <c r="W620" s="276">
        <v>0</v>
      </c>
      <c r="X620" s="270">
        <v>167</v>
      </c>
      <c r="Y620" s="270">
        <v>56</v>
      </c>
      <c r="Z620" s="45" t="b">
        <v>1</v>
      </c>
      <c r="AA620" s="45" t="s">
        <v>38</v>
      </c>
      <c r="AB620" s="45" t="s">
        <v>38</v>
      </c>
    </row>
    <row r="621" spans="1:28" x14ac:dyDescent="0.2">
      <c r="A621" s="96" t="s">
        <v>145</v>
      </c>
      <c r="B621" s="96" t="s">
        <v>145</v>
      </c>
      <c r="C621" s="277">
        <v>44228</v>
      </c>
      <c r="D621" s="277">
        <v>44255</v>
      </c>
      <c r="E621" s="270" t="s">
        <v>267</v>
      </c>
      <c r="F621" s="133" t="s">
        <v>49</v>
      </c>
      <c r="G621" s="279" t="s">
        <v>35</v>
      </c>
      <c r="H621" s="272" t="s">
        <v>70</v>
      </c>
      <c r="I621" s="273">
        <v>100</v>
      </c>
      <c r="J621" s="270">
        <v>2609</v>
      </c>
      <c r="K621" s="270">
        <f t="shared" si="0"/>
        <v>260900</v>
      </c>
      <c r="L621" s="270">
        <v>105457</v>
      </c>
      <c r="M621" s="270">
        <v>-1300</v>
      </c>
      <c r="N621" s="274">
        <v>522</v>
      </c>
      <c r="O621" s="55"/>
      <c r="P621" s="45">
        <v>522</v>
      </c>
      <c r="Q621" s="270">
        <v>5677</v>
      </c>
      <c r="R621" s="275">
        <v>2.2109999999999999E-3</v>
      </c>
      <c r="S621" s="270">
        <v>6254</v>
      </c>
      <c r="T621" s="270">
        <v>6776</v>
      </c>
      <c r="U621" s="57">
        <v>1</v>
      </c>
      <c r="V621" s="276">
        <v>0.12</v>
      </c>
      <c r="W621" s="276">
        <v>0</v>
      </c>
      <c r="X621" s="270">
        <v>5963</v>
      </c>
      <c r="Y621" s="270">
        <v>813</v>
      </c>
      <c r="Z621" s="45" t="b">
        <v>1</v>
      </c>
      <c r="AA621" s="45" t="s">
        <v>38</v>
      </c>
      <c r="AB621" s="45" t="s">
        <v>38</v>
      </c>
    </row>
    <row r="622" spans="1:28" x14ac:dyDescent="0.2">
      <c r="A622" s="96" t="s">
        <v>355</v>
      </c>
      <c r="B622" s="96" t="s">
        <v>978</v>
      </c>
      <c r="C622" s="277">
        <v>44228</v>
      </c>
      <c r="D622" s="277">
        <v>44255</v>
      </c>
      <c r="E622" s="270" t="s">
        <v>300</v>
      </c>
      <c r="F622" s="133" t="s">
        <v>34</v>
      </c>
      <c r="G622" s="270" t="s">
        <v>69</v>
      </c>
      <c r="H622" s="272" t="s">
        <v>70</v>
      </c>
      <c r="I622" s="273">
        <v>100</v>
      </c>
      <c r="J622" s="270">
        <v>527</v>
      </c>
      <c r="K622" s="270">
        <f t="shared" si="0"/>
        <v>52700</v>
      </c>
      <c r="L622" s="270">
        <v>19</v>
      </c>
      <c r="M622" s="270">
        <v>-4000</v>
      </c>
      <c r="N622" s="274">
        <v>1279.26</v>
      </c>
      <c r="O622" s="55"/>
      <c r="P622" s="105">
        <v>1279</v>
      </c>
      <c r="Q622" s="270">
        <v>-2842</v>
      </c>
      <c r="R622" s="275">
        <v>-3.31E-3</v>
      </c>
      <c r="S622" s="270">
        <v>-3017</v>
      </c>
      <c r="T622" s="270">
        <v>-1737</v>
      </c>
      <c r="U622" s="57">
        <v>1</v>
      </c>
      <c r="V622" s="276">
        <v>0.15</v>
      </c>
      <c r="W622" s="276">
        <v>0.05</v>
      </c>
      <c r="X622" s="270">
        <v>-1390</v>
      </c>
      <c r="Y622" s="270">
        <v>-347</v>
      </c>
      <c r="Z622" s="45" t="b">
        <v>1</v>
      </c>
      <c r="AA622" s="45" t="s">
        <v>38</v>
      </c>
      <c r="AB622" s="45" t="s">
        <v>38</v>
      </c>
    </row>
    <row r="623" spans="1:28" x14ac:dyDescent="0.2">
      <c r="A623" s="96" t="s">
        <v>355</v>
      </c>
      <c r="B623" s="96" t="s">
        <v>978</v>
      </c>
      <c r="C623" s="277">
        <v>44228</v>
      </c>
      <c r="D623" s="277">
        <v>44255</v>
      </c>
      <c r="E623" s="270" t="s">
        <v>300</v>
      </c>
      <c r="F623" s="133" t="s">
        <v>34</v>
      </c>
      <c r="G623" s="270" t="s">
        <v>69</v>
      </c>
      <c r="H623" s="272" t="s">
        <v>88</v>
      </c>
      <c r="I623" s="273">
        <v>250</v>
      </c>
      <c r="J623" s="270">
        <v>355</v>
      </c>
      <c r="K623" s="270">
        <f t="shared" si="0"/>
        <v>88750</v>
      </c>
      <c r="L623" s="270">
        <v>-8122</v>
      </c>
      <c r="M623" s="270">
        <v>-5500</v>
      </c>
      <c r="N623" s="274">
        <v>1788.06</v>
      </c>
      <c r="O623" s="55"/>
      <c r="P623" s="105">
        <v>1788</v>
      </c>
      <c r="Q623" s="270">
        <v>-7583</v>
      </c>
      <c r="R623" s="275">
        <v>-3.31E-3</v>
      </c>
      <c r="S623" s="270">
        <v>-7876</v>
      </c>
      <c r="T623" s="270">
        <v>-6088</v>
      </c>
      <c r="U623" s="57">
        <v>1</v>
      </c>
      <c r="V623" s="276">
        <v>0.15</v>
      </c>
      <c r="W623" s="276">
        <v>0.05</v>
      </c>
      <c r="X623" s="270">
        <v>-4871</v>
      </c>
      <c r="Y623" s="270">
        <v>-1218</v>
      </c>
      <c r="Z623" s="45" t="b">
        <v>1</v>
      </c>
      <c r="AA623" s="45" t="s">
        <v>38</v>
      </c>
      <c r="AB623" s="45" t="s">
        <v>38</v>
      </c>
    </row>
    <row r="624" spans="1:28" x14ac:dyDescent="0.2">
      <c r="A624" s="96" t="s">
        <v>355</v>
      </c>
      <c r="B624" s="96" t="s">
        <v>978</v>
      </c>
      <c r="C624" s="277">
        <v>44228</v>
      </c>
      <c r="D624" s="277">
        <v>44255</v>
      </c>
      <c r="E624" s="270" t="s">
        <v>300</v>
      </c>
      <c r="F624" s="133" t="s">
        <v>41</v>
      </c>
      <c r="G624" s="270" t="s">
        <v>69</v>
      </c>
      <c r="H624" s="272" t="s">
        <v>197</v>
      </c>
      <c r="I624" s="273">
        <v>3</v>
      </c>
      <c r="J624" s="270">
        <v>1</v>
      </c>
      <c r="K624" s="270">
        <f t="shared" si="0"/>
        <v>3</v>
      </c>
      <c r="L624" s="270"/>
      <c r="M624" s="270">
        <v>0</v>
      </c>
      <c r="N624" s="274">
        <v>0.12</v>
      </c>
      <c r="O624" s="55"/>
      <c r="P624" s="45">
        <v>0</v>
      </c>
      <c r="Q624" s="270"/>
      <c r="R624" s="275">
        <v>0</v>
      </c>
      <c r="S624" s="270"/>
      <c r="T624" s="270">
        <v>0</v>
      </c>
      <c r="U624" s="57">
        <v>1</v>
      </c>
      <c r="V624" s="276">
        <v>0.15</v>
      </c>
      <c r="W624" s="276">
        <v>0.05</v>
      </c>
      <c r="X624" s="270">
        <v>0</v>
      </c>
      <c r="Y624" s="270">
        <v>0</v>
      </c>
      <c r="Z624" s="45" t="b">
        <v>1</v>
      </c>
      <c r="AA624" s="45" t="s">
        <v>38</v>
      </c>
      <c r="AB624" s="45" t="s">
        <v>38</v>
      </c>
    </row>
    <row r="625" spans="1:28" x14ac:dyDescent="0.2">
      <c r="A625" s="96" t="s">
        <v>355</v>
      </c>
      <c r="B625" s="96" t="s">
        <v>978</v>
      </c>
      <c r="C625" s="277">
        <v>44228</v>
      </c>
      <c r="D625" s="277">
        <v>44255</v>
      </c>
      <c r="E625" s="270" t="s">
        <v>300</v>
      </c>
      <c r="F625" s="133" t="s">
        <v>34</v>
      </c>
      <c r="G625" s="270" t="s">
        <v>69</v>
      </c>
      <c r="H625" s="272" t="s">
        <v>76</v>
      </c>
      <c r="I625" s="273">
        <v>50</v>
      </c>
      <c r="J625" s="270">
        <v>8</v>
      </c>
      <c r="K625" s="270">
        <f t="shared" si="0"/>
        <v>400</v>
      </c>
      <c r="L625" s="270">
        <v>300</v>
      </c>
      <c r="M625" s="270">
        <v>150</v>
      </c>
      <c r="N625" s="274">
        <v>9.69</v>
      </c>
      <c r="O625" s="55"/>
      <c r="P625" s="45">
        <v>10</v>
      </c>
      <c r="Q625" s="270">
        <v>27</v>
      </c>
      <c r="R625" s="275">
        <v>-3.31E-3</v>
      </c>
      <c r="S625" s="270">
        <v>25</v>
      </c>
      <c r="T625" s="270">
        <v>35</v>
      </c>
      <c r="U625" s="57">
        <v>1</v>
      </c>
      <c r="V625" s="276">
        <v>0.15</v>
      </c>
      <c r="W625" s="276">
        <v>0.05</v>
      </c>
      <c r="X625" s="270">
        <v>28</v>
      </c>
      <c r="Y625" s="270">
        <v>7</v>
      </c>
      <c r="Z625" s="45" t="b">
        <v>1</v>
      </c>
      <c r="AA625" s="45" t="s">
        <v>38</v>
      </c>
      <c r="AB625" s="45" t="s">
        <v>38</v>
      </c>
    </row>
    <row r="626" spans="1:28" x14ac:dyDescent="0.2">
      <c r="A626" s="96" t="s">
        <v>355</v>
      </c>
      <c r="B626" s="96" t="s">
        <v>978</v>
      </c>
      <c r="C626" s="277">
        <v>44228</v>
      </c>
      <c r="D626" s="277">
        <v>44255</v>
      </c>
      <c r="E626" s="270" t="s">
        <v>300</v>
      </c>
      <c r="F626" s="133" t="s">
        <v>34</v>
      </c>
      <c r="G626" s="270" t="s">
        <v>69</v>
      </c>
      <c r="H626" s="272" t="s">
        <v>72</v>
      </c>
      <c r="I626" s="273">
        <v>50</v>
      </c>
      <c r="J626" s="270">
        <v>94</v>
      </c>
      <c r="K626" s="270">
        <f t="shared" si="0"/>
        <v>4700</v>
      </c>
      <c r="L626" s="270">
        <v>9563</v>
      </c>
      <c r="M626" s="270">
        <v>600</v>
      </c>
      <c r="N626" s="274">
        <v>113.87</v>
      </c>
      <c r="O626" s="55"/>
      <c r="P626" s="45">
        <v>114</v>
      </c>
      <c r="Q626" s="270">
        <v>650</v>
      </c>
      <c r="R626" s="275">
        <v>-3.31E-3</v>
      </c>
      <c r="S626" s="270">
        <v>634</v>
      </c>
      <c r="T626" s="270">
        <v>748</v>
      </c>
      <c r="U626" s="57">
        <v>1</v>
      </c>
      <c r="V626" s="276">
        <v>0.15</v>
      </c>
      <c r="W626" s="276">
        <v>0.05</v>
      </c>
      <c r="X626" s="270">
        <v>598</v>
      </c>
      <c r="Y626" s="270">
        <v>150</v>
      </c>
      <c r="Z626" s="45" t="b">
        <v>1</v>
      </c>
      <c r="AA626" s="45" t="s">
        <v>38</v>
      </c>
      <c r="AB626" s="45" t="s">
        <v>38</v>
      </c>
    </row>
    <row r="627" spans="1:28" x14ac:dyDescent="0.2">
      <c r="A627" s="96" t="s">
        <v>447</v>
      </c>
      <c r="B627" s="96" t="s">
        <v>910</v>
      </c>
      <c r="C627" s="277">
        <v>44228</v>
      </c>
      <c r="D627" s="277">
        <v>44255</v>
      </c>
      <c r="E627" s="270" t="s">
        <v>300</v>
      </c>
      <c r="F627" s="133" t="s">
        <v>49</v>
      </c>
      <c r="G627" s="279" t="s">
        <v>61</v>
      </c>
      <c r="H627" s="272" t="s">
        <v>109</v>
      </c>
      <c r="I627" s="273">
        <v>50</v>
      </c>
      <c r="J627" s="270">
        <v>2061</v>
      </c>
      <c r="K627" s="270">
        <f t="shared" si="0"/>
        <v>103050</v>
      </c>
      <c r="L627" s="270">
        <v>95202</v>
      </c>
      <c r="M627" s="270">
        <v>-4300</v>
      </c>
      <c r="N627" s="274">
        <v>2150</v>
      </c>
      <c r="O627" s="55"/>
      <c r="P627" s="105">
        <v>2150</v>
      </c>
      <c r="Q627" s="270">
        <v>-346</v>
      </c>
      <c r="R627" s="275">
        <v>2.1570000000000001E-3</v>
      </c>
      <c r="S627" s="270">
        <v>-124</v>
      </c>
      <c r="T627" s="270">
        <v>2026</v>
      </c>
      <c r="U627" s="57">
        <v>1</v>
      </c>
      <c r="V627" s="276">
        <v>0.15</v>
      </c>
      <c r="W627" s="276">
        <v>0.1</v>
      </c>
      <c r="X627" s="270">
        <v>1520</v>
      </c>
      <c r="Y627" s="270">
        <v>507</v>
      </c>
      <c r="Z627" s="45" t="b">
        <v>1</v>
      </c>
      <c r="AA627" s="45" t="s">
        <v>50</v>
      </c>
      <c r="AB627" s="45" t="s">
        <v>50</v>
      </c>
    </row>
    <row r="628" spans="1:28" x14ac:dyDescent="0.2">
      <c r="A628" s="96" t="s">
        <v>473</v>
      </c>
      <c r="B628" s="270" t="s">
        <v>119</v>
      </c>
      <c r="C628" s="277">
        <v>44228</v>
      </c>
      <c r="D628" s="277">
        <v>44255</v>
      </c>
      <c r="E628" s="270" t="s">
        <v>267</v>
      </c>
      <c r="F628" s="96" t="s">
        <v>34</v>
      </c>
      <c r="G628" s="270" t="s">
        <v>69</v>
      </c>
      <c r="H628" s="272" t="s">
        <v>71</v>
      </c>
      <c r="I628" s="273">
        <v>20</v>
      </c>
      <c r="J628" s="270">
        <v>3439</v>
      </c>
      <c r="K628" s="270">
        <f t="shared" si="0"/>
        <v>68780</v>
      </c>
      <c r="L628" s="270">
        <v>43187</v>
      </c>
      <c r="M628" s="270">
        <v>-1300</v>
      </c>
      <c r="N628" s="274">
        <v>3380</v>
      </c>
      <c r="O628" s="55"/>
      <c r="P628" s="105">
        <v>3380</v>
      </c>
      <c r="Q628" s="270">
        <v>-2787</v>
      </c>
      <c r="R628" s="275">
        <v>-3.31E-3</v>
      </c>
      <c r="S628" s="270">
        <v>-3015</v>
      </c>
      <c r="T628" s="270">
        <v>365</v>
      </c>
      <c r="U628" s="57">
        <v>1</v>
      </c>
      <c r="V628" s="276">
        <v>0.3</v>
      </c>
      <c r="W628" s="276">
        <v>0</v>
      </c>
      <c r="X628" s="270">
        <v>256</v>
      </c>
      <c r="Y628" s="270">
        <v>110</v>
      </c>
      <c r="Z628" s="45" t="b">
        <v>1</v>
      </c>
      <c r="AA628" s="45" t="s">
        <v>38</v>
      </c>
      <c r="AB628" s="45" t="s">
        <v>38</v>
      </c>
    </row>
    <row r="629" spans="1:28" x14ac:dyDescent="0.2">
      <c r="A629" s="96" t="s">
        <v>206</v>
      </c>
      <c r="B629" s="96" t="s">
        <v>982</v>
      </c>
      <c r="C629" s="277">
        <v>44228</v>
      </c>
      <c r="D629" s="277">
        <v>44255</v>
      </c>
      <c r="E629" s="270" t="s">
        <v>267</v>
      </c>
      <c r="F629" s="133" t="s">
        <v>41</v>
      </c>
      <c r="G629" s="96" t="s">
        <v>69</v>
      </c>
      <c r="H629" s="272" t="s">
        <v>40</v>
      </c>
      <c r="I629" s="58">
        <v>10</v>
      </c>
      <c r="J629" s="69">
        <v>6</v>
      </c>
      <c r="K629" s="270">
        <f t="shared" si="0"/>
        <v>60</v>
      </c>
      <c r="L629" s="270"/>
      <c r="M629" s="270">
        <v>40</v>
      </c>
      <c r="N629" s="274">
        <v>5.47</v>
      </c>
      <c r="O629" s="55"/>
      <c r="P629" s="45">
        <v>5</v>
      </c>
      <c r="Q629" s="270"/>
      <c r="R629" s="275">
        <v>0</v>
      </c>
      <c r="S629" s="270"/>
      <c r="T629" s="270">
        <v>45</v>
      </c>
      <c r="U629" s="57">
        <v>1</v>
      </c>
      <c r="V629" s="276">
        <v>0.22</v>
      </c>
      <c r="W629" s="276">
        <v>0</v>
      </c>
      <c r="X629" s="270">
        <v>35</v>
      </c>
      <c r="Y629" s="270">
        <v>10</v>
      </c>
      <c r="Z629" s="45" t="b">
        <v>1</v>
      </c>
      <c r="AA629" s="45" t="s">
        <v>38</v>
      </c>
      <c r="AB629" s="45" t="s">
        <v>38</v>
      </c>
    </row>
    <row r="630" spans="1:28" x14ac:dyDescent="0.2">
      <c r="A630" s="96" t="s">
        <v>206</v>
      </c>
      <c r="B630" s="96" t="s">
        <v>982</v>
      </c>
      <c r="C630" s="277">
        <v>44228</v>
      </c>
      <c r="D630" s="277">
        <v>44255</v>
      </c>
      <c r="E630" s="270" t="s">
        <v>267</v>
      </c>
      <c r="F630" s="133" t="s">
        <v>34</v>
      </c>
      <c r="G630" s="96" t="s">
        <v>69</v>
      </c>
      <c r="H630" s="272" t="s">
        <v>70</v>
      </c>
      <c r="I630" s="58">
        <v>100</v>
      </c>
      <c r="J630" s="69">
        <v>2398</v>
      </c>
      <c r="K630" s="270">
        <f t="shared" si="0"/>
        <v>239800</v>
      </c>
      <c r="L630" s="270">
        <v>40051</v>
      </c>
      <c r="M630" s="270">
        <v>-9600</v>
      </c>
      <c r="N630" s="274">
        <v>18298.14</v>
      </c>
      <c r="O630" s="55"/>
      <c r="P630" s="105">
        <v>18298</v>
      </c>
      <c r="Q630" s="270">
        <v>-5377</v>
      </c>
      <c r="R630" s="275">
        <v>-3.31E-3</v>
      </c>
      <c r="S630" s="270">
        <v>-6171</v>
      </c>
      <c r="T630" s="270">
        <v>12127</v>
      </c>
      <c r="U630" s="57">
        <v>1</v>
      </c>
      <c r="V630" s="276">
        <v>0.22</v>
      </c>
      <c r="W630" s="276">
        <v>0</v>
      </c>
      <c r="X630" s="270">
        <v>9459</v>
      </c>
      <c r="Y630" s="270">
        <v>2668</v>
      </c>
      <c r="Z630" s="45" t="b">
        <v>1</v>
      </c>
      <c r="AA630" s="45" t="s">
        <v>38</v>
      </c>
      <c r="AB630" s="45" t="s">
        <v>38</v>
      </c>
    </row>
    <row r="631" spans="1:28" x14ac:dyDescent="0.2">
      <c r="A631" s="96" t="s">
        <v>206</v>
      </c>
      <c r="B631" s="96" t="s">
        <v>982</v>
      </c>
      <c r="C631" s="277">
        <v>44228</v>
      </c>
      <c r="D631" s="277">
        <v>44255</v>
      </c>
      <c r="E631" s="270" t="s">
        <v>267</v>
      </c>
      <c r="F631" s="133" t="s">
        <v>34</v>
      </c>
      <c r="G631" s="96" t="s">
        <v>69</v>
      </c>
      <c r="H631" s="272" t="s">
        <v>72</v>
      </c>
      <c r="I631" s="58">
        <v>50</v>
      </c>
      <c r="J631" s="69">
        <v>3</v>
      </c>
      <c r="K631" s="270">
        <f t="shared" si="0"/>
        <v>150</v>
      </c>
      <c r="L631" s="270">
        <v>1447</v>
      </c>
      <c r="M631" s="270">
        <v>0</v>
      </c>
      <c r="N631" s="274">
        <v>11.39</v>
      </c>
      <c r="O631" s="55"/>
      <c r="P631" s="45">
        <v>11</v>
      </c>
      <c r="Q631" s="270">
        <v>130</v>
      </c>
      <c r="R631" s="275">
        <v>-3.31E-3</v>
      </c>
      <c r="S631" s="270">
        <v>129</v>
      </c>
      <c r="T631" s="270">
        <v>140</v>
      </c>
      <c r="U631" s="57">
        <v>1</v>
      </c>
      <c r="V631" s="276">
        <v>0.22</v>
      </c>
      <c r="W631" s="276">
        <v>0</v>
      </c>
      <c r="X631" s="270">
        <v>110</v>
      </c>
      <c r="Y631" s="270">
        <v>31</v>
      </c>
      <c r="Z631" s="45" t="b">
        <v>1</v>
      </c>
      <c r="AA631" s="45" t="s">
        <v>38</v>
      </c>
      <c r="AB631" s="45" t="s">
        <v>38</v>
      </c>
    </row>
    <row r="632" spans="1:28" x14ac:dyDescent="0.2">
      <c r="A632" s="96" t="s">
        <v>355</v>
      </c>
      <c r="B632" s="270" t="s">
        <v>903</v>
      </c>
      <c r="C632" s="277">
        <v>44244</v>
      </c>
      <c r="D632" s="277">
        <v>44271</v>
      </c>
      <c r="E632" s="270" t="s">
        <v>300</v>
      </c>
      <c r="F632" s="133" t="s">
        <v>34</v>
      </c>
      <c r="G632" s="270" t="s">
        <v>80</v>
      </c>
      <c r="H632" s="272" t="s">
        <v>71</v>
      </c>
      <c r="I632" s="273">
        <v>20</v>
      </c>
      <c r="J632" s="270">
        <v>2</v>
      </c>
      <c r="K632" s="270">
        <f t="shared" si="0"/>
        <v>40</v>
      </c>
      <c r="L632" s="270">
        <v>38</v>
      </c>
      <c r="M632" s="270">
        <v>20</v>
      </c>
      <c r="N632" s="274">
        <v>2.38</v>
      </c>
      <c r="O632" s="55"/>
      <c r="P632" s="45">
        <v>2</v>
      </c>
      <c r="Q632" s="270">
        <v>-1</v>
      </c>
      <c r="R632" s="275">
        <v>-3.31E-3</v>
      </c>
      <c r="S632" s="270">
        <v>-1</v>
      </c>
      <c r="T632" s="270">
        <v>2</v>
      </c>
      <c r="U632" s="57">
        <v>1</v>
      </c>
      <c r="V632" s="276">
        <v>0.15</v>
      </c>
      <c r="W632" s="276">
        <v>0.05</v>
      </c>
      <c r="X632" s="270">
        <v>1</v>
      </c>
      <c r="Y632" s="270">
        <v>0</v>
      </c>
      <c r="Z632" s="45" t="b">
        <v>1</v>
      </c>
      <c r="AA632" s="45" t="s">
        <v>38</v>
      </c>
      <c r="AB632" s="45" t="s">
        <v>38</v>
      </c>
    </row>
    <row r="633" spans="1:28" x14ac:dyDescent="0.2">
      <c r="A633" s="96" t="s">
        <v>355</v>
      </c>
      <c r="B633" s="270" t="s">
        <v>903</v>
      </c>
      <c r="C633" s="277">
        <v>44244</v>
      </c>
      <c r="D633" s="277">
        <v>44271</v>
      </c>
      <c r="E633" s="270" t="s">
        <v>300</v>
      </c>
      <c r="F633" s="133" t="s">
        <v>34</v>
      </c>
      <c r="G633" s="270" t="s">
        <v>80</v>
      </c>
      <c r="H633" s="272" t="s">
        <v>72</v>
      </c>
      <c r="I633" s="273">
        <v>50</v>
      </c>
      <c r="J633" s="270">
        <v>1399</v>
      </c>
      <c r="K633" s="270">
        <f t="shared" si="0"/>
        <v>69950</v>
      </c>
      <c r="L633" s="270">
        <v>26134</v>
      </c>
      <c r="M633" s="270">
        <v>4700</v>
      </c>
      <c r="N633" s="274">
        <v>4169.17</v>
      </c>
      <c r="O633" s="55"/>
      <c r="P633" s="105">
        <v>4169</v>
      </c>
      <c r="Q633" s="270">
        <v>-2785</v>
      </c>
      <c r="R633" s="275">
        <v>-3.31E-3</v>
      </c>
      <c r="S633" s="270">
        <v>-3016</v>
      </c>
      <c r="T633" s="270">
        <v>1153</v>
      </c>
      <c r="U633" s="57">
        <v>1</v>
      </c>
      <c r="V633" s="276">
        <v>0.15</v>
      </c>
      <c r="W633" s="276">
        <v>0.05</v>
      </c>
      <c r="X633" s="270">
        <v>922</v>
      </c>
      <c r="Y633" s="270">
        <v>231</v>
      </c>
      <c r="Z633" s="45" t="b">
        <v>1</v>
      </c>
      <c r="AA633" s="45" t="s">
        <v>38</v>
      </c>
      <c r="AB633" s="45" t="s">
        <v>38</v>
      </c>
    </row>
    <row r="634" spans="1:28" x14ac:dyDescent="0.2">
      <c r="A634" s="96" t="s">
        <v>355</v>
      </c>
      <c r="B634" s="270" t="s">
        <v>903</v>
      </c>
      <c r="C634" s="277">
        <v>44244</v>
      </c>
      <c r="D634" s="277">
        <v>44271</v>
      </c>
      <c r="E634" s="270" t="s">
        <v>300</v>
      </c>
      <c r="F634" s="133" t="s">
        <v>34</v>
      </c>
      <c r="G634" s="270" t="s">
        <v>80</v>
      </c>
      <c r="H634" s="272" t="s">
        <v>70</v>
      </c>
      <c r="I634" s="273">
        <v>100</v>
      </c>
      <c r="J634" s="270">
        <v>2255</v>
      </c>
      <c r="K634" s="270">
        <f t="shared" si="0"/>
        <v>225500</v>
      </c>
      <c r="L634" s="270">
        <v>-2410</v>
      </c>
      <c r="M634" s="270">
        <v>-2800</v>
      </c>
      <c r="N634" s="274">
        <v>13440.28</v>
      </c>
      <c r="O634" s="55"/>
      <c r="P634" s="105">
        <v>13440</v>
      </c>
      <c r="Q634" s="270">
        <v>-15461</v>
      </c>
      <c r="R634" s="275">
        <v>-3.31E-3</v>
      </c>
      <c r="S634" s="270">
        <v>-16207</v>
      </c>
      <c r="T634" s="270">
        <v>-2767</v>
      </c>
      <c r="U634" s="57">
        <v>1</v>
      </c>
      <c r="V634" s="276">
        <v>0.15</v>
      </c>
      <c r="W634" s="276">
        <v>0.05</v>
      </c>
      <c r="X634" s="270">
        <v>-2214</v>
      </c>
      <c r="Y634" s="270">
        <v>-553</v>
      </c>
      <c r="Z634" s="45" t="b">
        <v>1</v>
      </c>
      <c r="AA634" s="45" t="s">
        <v>38</v>
      </c>
      <c r="AB634" s="45" t="s">
        <v>38</v>
      </c>
    </row>
    <row r="635" spans="1:28" x14ac:dyDescent="0.2">
      <c r="A635" s="96" t="s">
        <v>355</v>
      </c>
      <c r="B635" s="270" t="s">
        <v>903</v>
      </c>
      <c r="C635" s="277">
        <v>44244</v>
      </c>
      <c r="D635" s="277">
        <v>44271</v>
      </c>
      <c r="E635" s="270" t="s">
        <v>300</v>
      </c>
      <c r="F635" s="133" t="s">
        <v>34</v>
      </c>
      <c r="G635" s="270" t="s">
        <v>80</v>
      </c>
      <c r="H635" s="272" t="s">
        <v>153</v>
      </c>
      <c r="I635" s="273">
        <v>200</v>
      </c>
      <c r="J635" s="270">
        <v>375</v>
      </c>
      <c r="K635" s="270">
        <f t="shared" si="0"/>
        <v>75000</v>
      </c>
      <c r="L635" s="270">
        <v>728</v>
      </c>
      <c r="M635" s="270">
        <v>-4200</v>
      </c>
      <c r="N635" s="274">
        <v>4470.16</v>
      </c>
      <c r="O635" s="55"/>
      <c r="P635" s="105">
        <v>4470</v>
      </c>
      <c r="Q635" s="270">
        <v>-4929</v>
      </c>
      <c r="R635" s="275">
        <v>-3.31E-3</v>
      </c>
      <c r="S635" s="270">
        <v>-5177</v>
      </c>
      <c r="T635" s="270">
        <v>-707</v>
      </c>
      <c r="U635" s="57">
        <v>1</v>
      </c>
      <c r="V635" s="276">
        <v>0.15</v>
      </c>
      <c r="W635" s="276">
        <v>0.05</v>
      </c>
      <c r="X635" s="270">
        <v>-566</v>
      </c>
      <c r="Y635" s="270">
        <v>-141</v>
      </c>
      <c r="Z635" s="45" t="b">
        <v>1</v>
      </c>
      <c r="AA635" s="45" t="s">
        <v>38</v>
      </c>
      <c r="AB635" s="45" t="s">
        <v>38</v>
      </c>
    </row>
    <row r="636" spans="1:28" x14ac:dyDescent="0.2">
      <c r="A636" s="96" t="s">
        <v>286</v>
      </c>
      <c r="B636" s="96" t="s">
        <v>286</v>
      </c>
      <c r="C636" s="277">
        <v>44248</v>
      </c>
      <c r="D636" s="277">
        <v>44275</v>
      </c>
      <c r="E636" s="270" t="s">
        <v>267</v>
      </c>
      <c r="F636" s="133" t="s">
        <v>34</v>
      </c>
      <c r="G636" s="96" t="s">
        <v>35</v>
      </c>
      <c r="H636" s="272" t="s">
        <v>177</v>
      </c>
      <c r="I636" s="273">
        <v>5</v>
      </c>
      <c r="J636" s="270">
        <v>82</v>
      </c>
      <c r="K636" s="270">
        <f t="shared" si="0"/>
        <v>410</v>
      </c>
      <c r="L636" s="270">
        <v>1444</v>
      </c>
      <c r="M636" s="270">
        <v>0</v>
      </c>
      <c r="N636" s="274">
        <v>4</v>
      </c>
      <c r="O636" s="55"/>
      <c r="P636" s="45">
        <v>4</v>
      </c>
      <c r="Q636" s="270">
        <v>-3</v>
      </c>
      <c r="R636" s="275">
        <v>-3.31E-3</v>
      </c>
      <c r="S636" s="270">
        <v>-5</v>
      </c>
      <c r="T636" s="270">
        <v>-1</v>
      </c>
      <c r="U636" s="57">
        <v>1</v>
      </c>
      <c r="V636" s="276">
        <v>0.15</v>
      </c>
      <c r="W636" s="276">
        <v>0</v>
      </c>
      <c r="X636" s="270">
        <v>-1</v>
      </c>
      <c r="Y636" s="270">
        <v>0</v>
      </c>
      <c r="Z636" s="45" t="b">
        <v>1</v>
      </c>
      <c r="AA636" s="45" t="s">
        <v>38</v>
      </c>
      <c r="AB636" s="45" t="s">
        <v>38</v>
      </c>
    </row>
    <row r="637" spans="1:28" x14ac:dyDescent="0.2">
      <c r="A637" s="96" t="s">
        <v>286</v>
      </c>
      <c r="B637" s="96" t="s">
        <v>286</v>
      </c>
      <c r="C637" s="277">
        <v>44248</v>
      </c>
      <c r="D637" s="277">
        <v>44275</v>
      </c>
      <c r="E637" s="270" t="s">
        <v>267</v>
      </c>
      <c r="F637" s="133" t="s">
        <v>34</v>
      </c>
      <c r="G637" s="96" t="s">
        <v>35</v>
      </c>
      <c r="H637" s="272" t="s">
        <v>83</v>
      </c>
      <c r="I637" s="273">
        <v>10</v>
      </c>
      <c r="J637" s="270">
        <v>59</v>
      </c>
      <c r="K637" s="270">
        <f t="shared" si="0"/>
        <v>590</v>
      </c>
      <c r="L637" s="270">
        <v>987</v>
      </c>
      <c r="M637" s="270">
        <v>-80</v>
      </c>
      <c r="N637" s="274">
        <v>7</v>
      </c>
      <c r="O637" s="55"/>
      <c r="P637" s="45">
        <v>7</v>
      </c>
      <c r="Q637" s="270">
        <v>-30</v>
      </c>
      <c r="R637" s="275">
        <v>-3.31E-3</v>
      </c>
      <c r="S637" s="270">
        <v>-32</v>
      </c>
      <c r="T637" s="270">
        <v>-25</v>
      </c>
      <c r="U637" s="57">
        <v>1</v>
      </c>
      <c r="V637" s="276">
        <v>0.15</v>
      </c>
      <c r="W637" s="276">
        <v>0</v>
      </c>
      <c r="X637" s="270">
        <v>-21</v>
      </c>
      <c r="Y637" s="270">
        <v>-4</v>
      </c>
      <c r="Z637" s="45" t="b">
        <v>1</v>
      </c>
      <c r="AA637" s="45" t="s">
        <v>38</v>
      </c>
      <c r="AB637" s="45" t="s">
        <v>38</v>
      </c>
    </row>
    <row r="638" spans="1:28" x14ac:dyDescent="0.2">
      <c r="A638" s="96" t="s">
        <v>286</v>
      </c>
      <c r="B638" s="96" t="s">
        <v>286</v>
      </c>
      <c r="C638" s="277">
        <v>44248</v>
      </c>
      <c r="D638" s="277">
        <v>44275</v>
      </c>
      <c r="E638" s="270" t="s">
        <v>267</v>
      </c>
      <c r="F638" s="133" t="s">
        <v>34</v>
      </c>
      <c r="G638" s="96" t="s">
        <v>35</v>
      </c>
      <c r="H638" s="272" t="s">
        <v>983</v>
      </c>
      <c r="I638" s="273">
        <v>10</v>
      </c>
      <c r="J638" s="270">
        <v>368</v>
      </c>
      <c r="K638" s="270">
        <f t="shared" si="0"/>
        <v>3680</v>
      </c>
      <c r="L638" s="270">
        <v>14489</v>
      </c>
      <c r="M638" s="270">
        <v>220</v>
      </c>
      <c r="N638" s="274">
        <v>41</v>
      </c>
      <c r="O638" s="55"/>
      <c r="P638" s="45">
        <v>41</v>
      </c>
      <c r="Q638" s="270">
        <v>131</v>
      </c>
      <c r="R638" s="275">
        <v>-3.31E-3</v>
      </c>
      <c r="S638" s="270">
        <v>119</v>
      </c>
      <c r="T638" s="270">
        <v>160</v>
      </c>
      <c r="U638" s="57">
        <v>1</v>
      </c>
      <c r="V638" s="276">
        <v>0.15</v>
      </c>
      <c r="W638" s="276">
        <v>0</v>
      </c>
      <c r="X638" s="270">
        <v>136</v>
      </c>
      <c r="Y638" s="270">
        <v>24</v>
      </c>
      <c r="Z638" s="45" t="b">
        <v>1</v>
      </c>
      <c r="AA638" s="45" t="s">
        <v>38</v>
      </c>
      <c r="AB638" s="45" t="s">
        <v>38</v>
      </c>
    </row>
    <row r="639" spans="1:28" x14ac:dyDescent="0.2">
      <c r="A639" s="96" t="s">
        <v>286</v>
      </c>
      <c r="B639" s="96" t="s">
        <v>286</v>
      </c>
      <c r="C639" s="277">
        <v>44248</v>
      </c>
      <c r="D639" s="277">
        <v>44275</v>
      </c>
      <c r="E639" s="270" t="s">
        <v>267</v>
      </c>
      <c r="F639" s="133" t="s">
        <v>34</v>
      </c>
      <c r="G639" s="96" t="s">
        <v>35</v>
      </c>
      <c r="H639" s="272" t="s">
        <v>46</v>
      </c>
      <c r="I639" s="273">
        <v>25</v>
      </c>
      <c r="J639" s="270">
        <v>341</v>
      </c>
      <c r="K639" s="270">
        <f t="shared" si="0"/>
        <v>8525</v>
      </c>
      <c r="L639" s="270">
        <v>23169</v>
      </c>
      <c r="M639" s="270">
        <v>700</v>
      </c>
      <c r="N639" s="274">
        <v>72</v>
      </c>
      <c r="O639" s="55"/>
      <c r="P639" s="45">
        <v>72</v>
      </c>
      <c r="Q639" s="270">
        <v>530</v>
      </c>
      <c r="R639" s="275">
        <v>-3.31E-3</v>
      </c>
      <c r="S639" s="270">
        <v>502</v>
      </c>
      <c r="T639" s="270">
        <v>574</v>
      </c>
      <c r="U639" s="57">
        <v>1</v>
      </c>
      <c r="V639" s="276">
        <v>0.15</v>
      </c>
      <c r="W639" s="276">
        <v>0</v>
      </c>
      <c r="X639" s="270">
        <v>488</v>
      </c>
      <c r="Y639" s="270">
        <v>86</v>
      </c>
      <c r="Z639" s="45" t="b">
        <v>1</v>
      </c>
      <c r="AA639" s="45" t="s">
        <v>38</v>
      </c>
      <c r="AB639" s="45" t="s">
        <v>38</v>
      </c>
    </row>
    <row r="640" spans="1:28" x14ac:dyDescent="0.2">
      <c r="A640" s="96" t="s">
        <v>286</v>
      </c>
      <c r="B640" s="96" t="s">
        <v>286</v>
      </c>
      <c r="C640" s="277">
        <v>44248</v>
      </c>
      <c r="D640" s="277">
        <v>44275</v>
      </c>
      <c r="E640" s="270" t="s">
        <v>267</v>
      </c>
      <c r="F640" s="133" t="s">
        <v>34</v>
      </c>
      <c r="G640" s="96" t="s">
        <v>35</v>
      </c>
      <c r="H640" s="272" t="s">
        <v>87</v>
      </c>
      <c r="I640" s="273">
        <v>25</v>
      </c>
      <c r="J640" s="270">
        <v>199</v>
      </c>
      <c r="K640" s="270">
        <f t="shared" si="0"/>
        <v>4975</v>
      </c>
      <c r="L640" s="270">
        <v>4881</v>
      </c>
      <c r="M640" s="270">
        <v>-50</v>
      </c>
      <c r="N640" s="274">
        <v>42</v>
      </c>
      <c r="O640" s="55"/>
      <c r="P640" s="45">
        <v>42</v>
      </c>
      <c r="Q640" s="270">
        <v>61</v>
      </c>
      <c r="R640" s="275">
        <v>-3.31E-3</v>
      </c>
      <c r="S640" s="270">
        <v>44</v>
      </c>
      <c r="T640" s="270">
        <v>86</v>
      </c>
      <c r="U640" s="57">
        <v>1</v>
      </c>
      <c r="V640" s="276">
        <v>0.15</v>
      </c>
      <c r="W640" s="276">
        <v>0</v>
      </c>
      <c r="X640" s="270">
        <v>73</v>
      </c>
      <c r="Y640" s="270">
        <v>13</v>
      </c>
      <c r="Z640" s="45" t="b">
        <v>1</v>
      </c>
      <c r="AA640" s="45" t="s">
        <v>38</v>
      </c>
      <c r="AB640" s="45" t="s">
        <v>38</v>
      </c>
    </row>
    <row r="641" spans="1:28" x14ac:dyDescent="0.2">
      <c r="A641" s="96" t="s">
        <v>286</v>
      </c>
      <c r="B641" s="96" t="s">
        <v>286</v>
      </c>
      <c r="C641" s="277">
        <v>44248</v>
      </c>
      <c r="D641" s="277">
        <v>44275</v>
      </c>
      <c r="E641" s="270" t="s">
        <v>267</v>
      </c>
      <c r="F641" s="133" t="s">
        <v>34</v>
      </c>
      <c r="G641" s="96" t="s">
        <v>35</v>
      </c>
      <c r="H641" s="272" t="s">
        <v>72</v>
      </c>
      <c r="I641" s="273">
        <v>50</v>
      </c>
      <c r="J641" s="270">
        <v>151</v>
      </c>
      <c r="K641" s="270">
        <f t="shared" si="0"/>
        <v>7550</v>
      </c>
      <c r="L641" s="270">
        <v>-1371</v>
      </c>
      <c r="M641" s="270">
        <v>-2200</v>
      </c>
      <c r="N641" s="274">
        <v>64</v>
      </c>
      <c r="O641" s="55"/>
      <c r="P641" s="45">
        <v>64</v>
      </c>
      <c r="Q641" s="270">
        <v>-608</v>
      </c>
      <c r="R641" s="275">
        <v>-3.31E-3</v>
      </c>
      <c r="S641" s="270">
        <v>-633</v>
      </c>
      <c r="T641" s="270">
        <v>-569</v>
      </c>
      <c r="U641" s="57">
        <v>1</v>
      </c>
      <c r="V641" s="276">
        <v>0.15</v>
      </c>
      <c r="W641" s="276">
        <v>0</v>
      </c>
      <c r="X641" s="270">
        <v>-484</v>
      </c>
      <c r="Y641" s="270">
        <v>-85</v>
      </c>
      <c r="Z641" s="45" t="b">
        <v>1</v>
      </c>
      <c r="AA641" s="45" t="s">
        <v>38</v>
      </c>
      <c r="AB641" s="45" t="s">
        <v>38</v>
      </c>
    </row>
    <row r="642" spans="1:28" x14ac:dyDescent="0.2">
      <c r="A642" s="96" t="s">
        <v>286</v>
      </c>
      <c r="B642" s="96" t="s">
        <v>286</v>
      </c>
      <c r="C642" s="277">
        <v>44248</v>
      </c>
      <c r="D642" s="277">
        <v>44275</v>
      </c>
      <c r="E642" s="270" t="s">
        <v>267</v>
      </c>
      <c r="F642" s="133" t="s">
        <v>34</v>
      </c>
      <c r="G642" s="96" t="s">
        <v>35</v>
      </c>
      <c r="H642" s="272" t="s">
        <v>85</v>
      </c>
      <c r="I642" s="273">
        <v>50</v>
      </c>
      <c r="J642" s="270">
        <v>166</v>
      </c>
      <c r="K642" s="270">
        <f t="shared" si="0"/>
        <v>8300</v>
      </c>
      <c r="L642" s="270">
        <v>591</v>
      </c>
      <c r="M642" s="270">
        <v>-1650</v>
      </c>
      <c r="N642" s="274">
        <v>70</v>
      </c>
      <c r="O642" s="55"/>
      <c r="P642" s="45">
        <v>70</v>
      </c>
      <c r="Q642" s="270">
        <v>-438</v>
      </c>
      <c r="R642" s="275">
        <v>-3.31E-3</v>
      </c>
      <c r="S642" s="270">
        <v>-465</v>
      </c>
      <c r="T642" s="270">
        <v>-395</v>
      </c>
      <c r="U642" s="57">
        <v>1</v>
      </c>
      <c r="V642" s="276">
        <v>0.15</v>
      </c>
      <c r="W642" s="276">
        <v>0</v>
      </c>
      <c r="X642" s="270">
        <v>-336</v>
      </c>
      <c r="Y642" s="270">
        <v>-59</v>
      </c>
      <c r="Z642" s="45" t="b">
        <v>1</v>
      </c>
      <c r="AA642" s="45" t="s">
        <v>38</v>
      </c>
      <c r="AB642" s="45" t="s">
        <v>38</v>
      </c>
    </row>
    <row r="643" spans="1:28" x14ac:dyDescent="0.2">
      <c r="A643" s="96" t="s">
        <v>60</v>
      </c>
      <c r="B643" s="96" t="s">
        <v>60</v>
      </c>
      <c r="C643" s="277">
        <v>44248</v>
      </c>
      <c r="D643" s="277">
        <v>44275</v>
      </c>
      <c r="E643" s="270" t="s">
        <v>267</v>
      </c>
      <c r="F643" s="133" t="s">
        <v>34</v>
      </c>
      <c r="G643" s="96" t="s">
        <v>61</v>
      </c>
      <c r="H643" s="272" t="s">
        <v>63</v>
      </c>
      <c r="I643" s="273">
        <v>10</v>
      </c>
      <c r="J643" s="270">
        <v>1342</v>
      </c>
      <c r="K643" s="270">
        <f t="shared" si="0"/>
        <v>13420</v>
      </c>
      <c r="L643" s="270">
        <v>64416</v>
      </c>
      <c r="M643" s="270">
        <v>890</v>
      </c>
      <c r="N643" s="274">
        <v>147.53</v>
      </c>
      <c r="O643" s="55"/>
      <c r="P643" s="45">
        <v>148</v>
      </c>
      <c r="Q643" s="270">
        <v>-2</v>
      </c>
      <c r="R643" s="275">
        <v>-3.31E-3</v>
      </c>
      <c r="S643" s="270">
        <v>-47</v>
      </c>
      <c r="T643" s="270">
        <v>101</v>
      </c>
      <c r="U643" s="57">
        <v>1</v>
      </c>
      <c r="V643" s="276">
        <v>0.25</v>
      </c>
      <c r="W643" s="276">
        <v>0</v>
      </c>
      <c r="X643" s="270">
        <v>76</v>
      </c>
      <c r="Y643" s="270">
        <v>25</v>
      </c>
      <c r="Z643" s="45" t="b">
        <v>1</v>
      </c>
      <c r="AA643" s="45" t="s">
        <v>50</v>
      </c>
      <c r="AB643" s="45" t="s">
        <v>50</v>
      </c>
    </row>
    <row r="644" spans="1:28" x14ac:dyDescent="0.2">
      <c r="A644" s="96" t="s">
        <v>60</v>
      </c>
      <c r="B644" s="96" t="s">
        <v>60</v>
      </c>
      <c r="C644" s="277">
        <v>44248</v>
      </c>
      <c r="D644" s="277">
        <v>44275</v>
      </c>
      <c r="E644" s="270" t="s">
        <v>267</v>
      </c>
      <c r="F644" s="133" t="s">
        <v>34</v>
      </c>
      <c r="G644" s="96" t="s">
        <v>61</v>
      </c>
      <c r="H644" s="272" t="s">
        <v>93</v>
      </c>
      <c r="I644" s="273">
        <v>25</v>
      </c>
      <c r="J644" s="270">
        <v>482</v>
      </c>
      <c r="K644" s="270">
        <f t="shared" si="0"/>
        <v>12050</v>
      </c>
      <c r="L644" s="270">
        <v>18316</v>
      </c>
      <c r="M644" s="270">
        <v>-575</v>
      </c>
      <c r="N644" s="274">
        <v>132.47</v>
      </c>
      <c r="O644" s="55"/>
      <c r="P644" s="45">
        <v>132</v>
      </c>
      <c r="Q644" s="270">
        <v>-227</v>
      </c>
      <c r="R644" s="275">
        <v>-3.31E-3</v>
      </c>
      <c r="S644" s="270">
        <v>-267</v>
      </c>
      <c r="T644" s="270">
        <v>-134</v>
      </c>
      <c r="U644" s="57">
        <v>1</v>
      </c>
      <c r="V644" s="276">
        <v>0.25</v>
      </c>
      <c r="W644" s="276">
        <v>0</v>
      </c>
      <c r="X644" s="270">
        <v>-101</v>
      </c>
      <c r="Y644" s="270">
        <v>-34</v>
      </c>
      <c r="Z644" s="45" t="b">
        <v>1</v>
      </c>
      <c r="AA644" s="45" t="s">
        <v>50</v>
      </c>
      <c r="AB644" s="45" t="s">
        <v>50</v>
      </c>
    </row>
    <row r="645" spans="1:28" x14ac:dyDescent="0.2">
      <c r="A645" s="96" t="s">
        <v>82</v>
      </c>
      <c r="B645" s="96" t="s">
        <v>82</v>
      </c>
      <c r="C645" s="277">
        <v>44248</v>
      </c>
      <c r="D645" s="277">
        <v>44275</v>
      </c>
      <c r="E645" s="270" t="s">
        <v>300</v>
      </c>
      <c r="F645" s="133" t="s">
        <v>34</v>
      </c>
      <c r="G645" s="96" t="s">
        <v>35</v>
      </c>
      <c r="H645" s="272" t="s">
        <v>46</v>
      </c>
      <c r="I645" s="273">
        <v>25</v>
      </c>
      <c r="J645" s="270">
        <v>1069</v>
      </c>
      <c r="K645" s="270">
        <f t="shared" si="0"/>
        <v>26725</v>
      </c>
      <c r="L645" s="270">
        <v>19568</v>
      </c>
      <c r="M645" s="270">
        <v>-1450</v>
      </c>
      <c r="N645" s="274">
        <v>785</v>
      </c>
      <c r="O645" s="55"/>
      <c r="P645" s="45">
        <v>785</v>
      </c>
      <c r="Q645" s="270">
        <v>-818</v>
      </c>
      <c r="R645" s="275">
        <v>-3.31E-3</v>
      </c>
      <c r="S645" s="270">
        <v>-907</v>
      </c>
      <c r="T645" s="270">
        <v>-122</v>
      </c>
      <c r="U645" s="57">
        <v>1</v>
      </c>
      <c r="V645" s="276">
        <v>0.15</v>
      </c>
      <c r="W645" s="276">
        <v>0.05</v>
      </c>
      <c r="X645" s="270">
        <v>-97</v>
      </c>
      <c r="Y645" s="270">
        <v>-24</v>
      </c>
      <c r="Z645" s="45" t="b">
        <v>1</v>
      </c>
      <c r="AA645" s="45" t="s">
        <v>38</v>
      </c>
      <c r="AB645" s="45" t="s">
        <v>38</v>
      </c>
    </row>
    <row r="646" spans="1:28" x14ac:dyDescent="0.2">
      <c r="A646" s="96" t="s">
        <v>82</v>
      </c>
      <c r="B646" s="96" t="s">
        <v>82</v>
      </c>
      <c r="C646" s="277">
        <v>44248</v>
      </c>
      <c r="D646" s="277">
        <v>44275</v>
      </c>
      <c r="E646" s="270" t="s">
        <v>300</v>
      </c>
      <c r="F646" s="133" t="s">
        <v>34</v>
      </c>
      <c r="G646" s="96" t="s">
        <v>35</v>
      </c>
      <c r="H646" s="272" t="s">
        <v>72</v>
      </c>
      <c r="I646" s="273">
        <v>50</v>
      </c>
      <c r="J646" s="270">
        <v>3025</v>
      </c>
      <c r="K646" s="270">
        <f t="shared" si="0"/>
        <v>151250</v>
      </c>
      <c r="L646" s="270">
        <v>78243</v>
      </c>
      <c r="M646" s="270">
        <v>5000</v>
      </c>
      <c r="N646" s="274">
        <v>4425</v>
      </c>
      <c r="O646" s="55"/>
      <c r="P646" s="105">
        <v>4425</v>
      </c>
      <c r="Q646" s="270">
        <v>-2526</v>
      </c>
      <c r="R646" s="275">
        <v>-3.31E-3</v>
      </c>
      <c r="S646" s="270">
        <v>-3026</v>
      </c>
      <c r="T646" s="270">
        <v>1399</v>
      </c>
      <c r="U646" s="57">
        <v>1</v>
      </c>
      <c r="V646" s="276">
        <v>0.15</v>
      </c>
      <c r="W646" s="276">
        <v>0.05</v>
      </c>
      <c r="X646" s="270">
        <v>1119</v>
      </c>
      <c r="Y646" s="270">
        <v>280</v>
      </c>
      <c r="Z646" s="45" t="b">
        <v>1</v>
      </c>
      <c r="AA646" s="45" t="s">
        <v>38</v>
      </c>
      <c r="AB646" s="45" t="s">
        <v>38</v>
      </c>
    </row>
    <row r="647" spans="1:28" x14ac:dyDescent="0.2">
      <c r="A647" s="96" t="s">
        <v>82</v>
      </c>
      <c r="B647" s="96" t="s">
        <v>82</v>
      </c>
      <c r="C647" s="277">
        <v>44248</v>
      </c>
      <c r="D647" s="277">
        <v>44275</v>
      </c>
      <c r="E647" s="270" t="s">
        <v>300</v>
      </c>
      <c r="F647" s="133" t="s">
        <v>41</v>
      </c>
      <c r="G647" s="96" t="s">
        <v>35</v>
      </c>
      <c r="H647" s="272" t="s">
        <v>86</v>
      </c>
      <c r="I647" s="273">
        <v>5</v>
      </c>
      <c r="J647" s="270">
        <v>5</v>
      </c>
      <c r="K647" s="270">
        <f t="shared" si="0"/>
        <v>25</v>
      </c>
      <c r="L647" s="270"/>
      <c r="M647" s="270">
        <v>5</v>
      </c>
      <c r="N647" s="274">
        <v>1</v>
      </c>
      <c r="O647" s="55"/>
      <c r="P647" s="45">
        <v>1</v>
      </c>
      <c r="Q647" s="270"/>
      <c r="R647" s="275">
        <v>0</v>
      </c>
      <c r="S647" s="270"/>
      <c r="T647" s="270">
        <v>6</v>
      </c>
      <c r="U647" s="57">
        <v>1</v>
      </c>
      <c r="V647" s="276">
        <v>0.15</v>
      </c>
      <c r="W647" s="276">
        <v>0.05</v>
      </c>
      <c r="X647" s="270">
        <v>5</v>
      </c>
      <c r="Y647" s="270">
        <v>1</v>
      </c>
      <c r="Z647" s="45" t="b">
        <v>1</v>
      </c>
      <c r="AA647" s="45" t="s">
        <v>38</v>
      </c>
      <c r="AB647" s="45" t="s">
        <v>38</v>
      </c>
    </row>
    <row r="648" spans="1:28" x14ac:dyDescent="0.2">
      <c r="A648" s="96" t="s">
        <v>154</v>
      </c>
      <c r="B648" s="96" t="s">
        <v>154</v>
      </c>
      <c r="C648" s="277">
        <v>44248</v>
      </c>
      <c r="D648" s="277">
        <v>44275</v>
      </c>
      <c r="E648" s="270" t="s">
        <v>267</v>
      </c>
      <c r="F648" s="133" t="s">
        <v>34</v>
      </c>
      <c r="G648" s="96" t="s">
        <v>35</v>
      </c>
      <c r="H648" s="272" t="s">
        <v>83</v>
      </c>
      <c r="I648" s="273">
        <v>10</v>
      </c>
      <c r="J648" s="270">
        <v>873</v>
      </c>
      <c r="K648" s="270">
        <f t="shared" si="0"/>
        <v>8730</v>
      </c>
      <c r="L648" s="270">
        <v>48781</v>
      </c>
      <c r="M648" s="270">
        <v>-120</v>
      </c>
      <c r="N648" s="274">
        <v>70</v>
      </c>
      <c r="O648" s="55"/>
      <c r="P648" s="45">
        <v>70</v>
      </c>
      <c r="Q648" s="270">
        <v>149</v>
      </c>
      <c r="R648" s="275">
        <v>-3.31E-3</v>
      </c>
      <c r="S648" s="270">
        <v>120</v>
      </c>
      <c r="T648" s="270">
        <v>190</v>
      </c>
      <c r="U648" s="57">
        <v>1</v>
      </c>
      <c r="V648" s="276">
        <v>0.2</v>
      </c>
      <c r="W648" s="276">
        <v>0</v>
      </c>
      <c r="X648" s="270">
        <v>152</v>
      </c>
      <c r="Y648" s="270">
        <v>38</v>
      </c>
      <c r="Z648" s="45" t="b">
        <v>1</v>
      </c>
      <c r="AA648" s="45" t="s">
        <v>38</v>
      </c>
      <c r="AB648" s="45" t="s">
        <v>38</v>
      </c>
    </row>
    <row r="649" spans="1:28" x14ac:dyDescent="0.2">
      <c r="A649" s="96" t="s">
        <v>402</v>
      </c>
      <c r="B649" s="96" t="s">
        <v>402</v>
      </c>
      <c r="C649" s="277">
        <v>44248</v>
      </c>
      <c r="D649" s="277">
        <v>44275</v>
      </c>
      <c r="E649" s="270" t="s">
        <v>267</v>
      </c>
      <c r="F649" s="133" t="s">
        <v>34</v>
      </c>
      <c r="G649" s="96" t="s">
        <v>165</v>
      </c>
      <c r="H649" s="272" t="s">
        <v>55</v>
      </c>
      <c r="I649" s="273">
        <v>10</v>
      </c>
      <c r="J649" s="270">
        <v>2572</v>
      </c>
      <c r="K649" s="270">
        <f t="shared" si="0"/>
        <v>25720</v>
      </c>
      <c r="L649" s="270">
        <v>140432</v>
      </c>
      <c r="M649" s="270">
        <v>1460</v>
      </c>
      <c r="N649" s="274"/>
      <c r="O649" s="55"/>
      <c r="P649" s="96"/>
      <c r="Q649" s="270">
        <v>641</v>
      </c>
      <c r="R649" s="275">
        <v>-3.31E-3</v>
      </c>
      <c r="S649" s="270">
        <v>556</v>
      </c>
      <c r="T649" s="270">
        <v>556</v>
      </c>
      <c r="U649" s="57">
        <v>1.1950000000000001</v>
      </c>
      <c r="V649" s="276">
        <v>0.3</v>
      </c>
      <c r="W649" s="276">
        <v>0</v>
      </c>
      <c r="X649" s="270">
        <v>465</v>
      </c>
      <c r="Y649" s="270">
        <v>199</v>
      </c>
      <c r="Z649" s="45" t="b">
        <v>1</v>
      </c>
      <c r="AA649" s="45" t="s">
        <v>38</v>
      </c>
      <c r="AB649" s="45" t="s">
        <v>50</v>
      </c>
    </row>
    <row r="650" spans="1:28" x14ac:dyDescent="0.2">
      <c r="A650" s="96" t="s">
        <v>152</v>
      </c>
      <c r="B650" s="96" t="s">
        <v>152</v>
      </c>
      <c r="C650" s="284">
        <v>43976</v>
      </c>
      <c r="D650" s="277">
        <v>44275</v>
      </c>
      <c r="E650" s="270" t="s">
        <v>880</v>
      </c>
      <c r="F650" s="133" t="s">
        <v>41</v>
      </c>
      <c r="G650" s="279" t="s">
        <v>35</v>
      </c>
      <c r="H650" s="110" t="s">
        <v>70</v>
      </c>
      <c r="I650" s="58">
        <v>100</v>
      </c>
      <c r="J650" s="69">
        <v>6365</v>
      </c>
      <c r="K650" s="270">
        <f t="shared" si="0"/>
        <v>636500</v>
      </c>
      <c r="L650" s="270">
        <v>215000</v>
      </c>
      <c r="M650" s="270">
        <v>11300</v>
      </c>
      <c r="N650" s="274">
        <v>0</v>
      </c>
      <c r="O650" s="55"/>
      <c r="P650" s="45">
        <v>0</v>
      </c>
      <c r="Q650" s="270">
        <v>5926</v>
      </c>
      <c r="R650" s="275">
        <v>0</v>
      </c>
      <c r="S650" s="270">
        <v>5926</v>
      </c>
      <c r="T650" s="270">
        <v>11300</v>
      </c>
      <c r="U650" s="57">
        <v>1</v>
      </c>
      <c r="V650" s="276">
        <v>0</v>
      </c>
      <c r="W650" s="276">
        <v>0.12</v>
      </c>
      <c r="X650" s="270">
        <v>9944</v>
      </c>
      <c r="Y650" s="270">
        <v>1356</v>
      </c>
      <c r="Z650" s="45" t="b">
        <v>1</v>
      </c>
      <c r="AA650" s="45" t="s">
        <v>38</v>
      </c>
      <c r="AB650" s="45" t="s">
        <v>38</v>
      </c>
    </row>
    <row r="651" spans="1:28" x14ac:dyDescent="0.2">
      <c r="A651" s="96" t="s">
        <v>178</v>
      </c>
      <c r="B651" s="96" t="s">
        <v>922</v>
      </c>
      <c r="C651" s="277">
        <v>44248</v>
      </c>
      <c r="D651" s="277">
        <v>44275</v>
      </c>
      <c r="E651" s="270" t="s">
        <v>267</v>
      </c>
      <c r="F651" s="133" t="s">
        <v>34</v>
      </c>
      <c r="G651" s="96" t="s">
        <v>61</v>
      </c>
      <c r="H651" s="272" t="s">
        <v>63</v>
      </c>
      <c r="I651" s="273">
        <v>10</v>
      </c>
      <c r="J651" s="270">
        <v>781</v>
      </c>
      <c r="K651" s="270">
        <f t="shared" si="0"/>
        <v>7810</v>
      </c>
      <c r="L651" s="270">
        <v>44704</v>
      </c>
      <c r="M651" s="270">
        <v>230</v>
      </c>
      <c r="N651" s="274">
        <v>100</v>
      </c>
      <c r="O651" s="55"/>
      <c r="P651" s="45">
        <v>100</v>
      </c>
      <c r="Q651" s="270">
        <v>95</v>
      </c>
      <c r="R651" s="275">
        <v>-3.31E-3</v>
      </c>
      <c r="S651" s="270">
        <v>69</v>
      </c>
      <c r="T651" s="270">
        <v>169</v>
      </c>
      <c r="U651" s="57">
        <v>1</v>
      </c>
      <c r="V651" s="276">
        <v>0.2</v>
      </c>
      <c r="W651" s="276">
        <v>0</v>
      </c>
      <c r="X651" s="270">
        <v>135</v>
      </c>
      <c r="Y651" s="270">
        <v>34</v>
      </c>
      <c r="Z651" s="45" t="b">
        <v>1</v>
      </c>
      <c r="AA651" s="45" t="s">
        <v>50</v>
      </c>
      <c r="AB651" s="45" t="s">
        <v>50</v>
      </c>
    </row>
    <row r="652" spans="1:28" x14ac:dyDescent="0.2">
      <c r="A652" s="96" t="s">
        <v>508</v>
      </c>
      <c r="B652" s="96" t="s">
        <v>508</v>
      </c>
      <c r="C652" s="277">
        <v>44248</v>
      </c>
      <c r="D652" s="277">
        <v>44275</v>
      </c>
      <c r="E652" s="270" t="s">
        <v>300</v>
      </c>
      <c r="F652" s="133" t="s">
        <v>34</v>
      </c>
      <c r="G652" s="96" t="s">
        <v>35</v>
      </c>
      <c r="H652" s="272" t="s">
        <v>70</v>
      </c>
      <c r="I652" s="273">
        <v>100</v>
      </c>
      <c r="J652" s="270">
        <v>2045</v>
      </c>
      <c r="K652" s="270">
        <f t="shared" si="0"/>
        <v>204500</v>
      </c>
      <c r="L652" s="270">
        <v>85245</v>
      </c>
      <c r="M652" s="270">
        <v>0</v>
      </c>
      <c r="N652" s="274">
        <v>1547</v>
      </c>
      <c r="O652" s="55"/>
      <c r="P652" s="105">
        <v>1547</v>
      </c>
      <c r="Q652" s="270">
        <v>4530</v>
      </c>
      <c r="R652" s="275">
        <v>-3.31E-3</v>
      </c>
      <c r="S652" s="270">
        <v>3854</v>
      </c>
      <c r="T652" s="270">
        <v>5401</v>
      </c>
      <c r="U652" s="57">
        <v>1</v>
      </c>
      <c r="V652" s="276">
        <v>0.13500000000000001</v>
      </c>
      <c r="W652" s="276">
        <v>4.4999999999999998E-2</v>
      </c>
      <c r="X652" s="270">
        <v>4428</v>
      </c>
      <c r="Y652" s="270">
        <v>972</v>
      </c>
      <c r="Z652" s="45" t="b">
        <v>1</v>
      </c>
      <c r="AA652" s="45" t="s">
        <v>38</v>
      </c>
      <c r="AB652" s="45" t="s">
        <v>38</v>
      </c>
    </row>
    <row r="653" spans="1:28" x14ac:dyDescent="0.2">
      <c r="A653" s="96" t="s">
        <v>191</v>
      </c>
      <c r="B653" s="96" t="s">
        <v>191</v>
      </c>
      <c r="C653" s="277">
        <v>44248</v>
      </c>
      <c r="D653" s="277">
        <v>44275</v>
      </c>
      <c r="E653" s="270" t="s">
        <v>267</v>
      </c>
      <c r="F653" s="133" t="s">
        <v>34</v>
      </c>
      <c r="G653" s="96" t="s">
        <v>35</v>
      </c>
      <c r="H653" s="272" t="s">
        <v>86</v>
      </c>
      <c r="I653" s="273">
        <v>5</v>
      </c>
      <c r="J653" s="270">
        <v>156</v>
      </c>
      <c r="K653" s="270">
        <f t="shared" si="0"/>
        <v>780</v>
      </c>
      <c r="L653" s="270">
        <v>15627</v>
      </c>
      <c r="M653" s="270">
        <v>20</v>
      </c>
      <c r="N653" s="274">
        <v>17</v>
      </c>
      <c r="O653" s="55"/>
      <c r="P653" s="45">
        <v>17</v>
      </c>
      <c r="Q653" s="270">
        <v>83</v>
      </c>
      <c r="R653" s="275">
        <v>-3.31E-3</v>
      </c>
      <c r="S653" s="270">
        <v>80</v>
      </c>
      <c r="T653" s="270">
        <v>97</v>
      </c>
      <c r="U653" s="57">
        <v>1</v>
      </c>
      <c r="V653" s="276">
        <v>0.22</v>
      </c>
      <c r="W653" s="276">
        <v>0</v>
      </c>
      <c r="X653" s="270">
        <v>76</v>
      </c>
      <c r="Y653" s="270">
        <v>21</v>
      </c>
      <c r="Z653" s="45" t="b">
        <v>1</v>
      </c>
      <c r="AA653" s="45" t="s">
        <v>38</v>
      </c>
      <c r="AB653" s="45" t="s">
        <v>38</v>
      </c>
    </row>
    <row r="654" spans="1:28" x14ac:dyDescent="0.2">
      <c r="A654" s="96" t="s">
        <v>191</v>
      </c>
      <c r="B654" s="96" t="s">
        <v>191</v>
      </c>
      <c r="C654" s="277">
        <v>44248</v>
      </c>
      <c r="D654" s="277">
        <v>44275</v>
      </c>
      <c r="E654" s="270" t="s">
        <v>267</v>
      </c>
      <c r="F654" s="133" t="s">
        <v>34</v>
      </c>
      <c r="G654" s="96" t="s">
        <v>35</v>
      </c>
      <c r="H654" s="272" t="s">
        <v>83</v>
      </c>
      <c r="I654" s="273">
        <v>10</v>
      </c>
      <c r="J654" s="270">
        <v>135</v>
      </c>
      <c r="K654" s="270">
        <f t="shared" si="0"/>
        <v>1350</v>
      </c>
      <c r="L654" s="270">
        <v>8810</v>
      </c>
      <c r="M654" s="270">
        <v>150</v>
      </c>
      <c r="N654" s="274">
        <v>35</v>
      </c>
      <c r="O654" s="55"/>
      <c r="P654" s="45">
        <v>35</v>
      </c>
      <c r="Q654" s="270">
        <v>42</v>
      </c>
      <c r="R654" s="275">
        <v>-3.31E-3</v>
      </c>
      <c r="S654" s="270">
        <v>38</v>
      </c>
      <c r="T654" s="270">
        <v>73</v>
      </c>
      <c r="U654" s="57">
        <v>1</v>
      </c>
      <c r="V654" s="276">
        <v>0.22</v>
      </c>
      <c r="W654" s="276">
        <v>0</v>
      </c>
      <c r="X654" s="270">
        <v>57</v>
      </c>
      <c r="Y654" s="270">
        <v>16</v>
      </c>
      <c r="Z654" s="45" t="b">
        <v>1</v>
      </c>
      <c r="AA654" s="45" t="s">
        <v>38</v>
      </c>
      <c r="AB654" s="45" t="s">
        <v>38</v>
      </c>
    </row>
    <row r="655" spans="1:28" x14ac:dyDescent="0.2">
      <c r="A655" s="96" t="s">
        <v>191</v>
      </c>
      <c r="B655" s="96" t="s">
        <v>193</v>
      </c>
      <c r="C655" s="277">
        <v>44248</v>
      </c>
      <c r="D655" s="277">
        <v>44275</v>
      </c>
      <c r="E655" s="270" t="s">
        <v>267</v>
      </c>
      <c r="F655" s="133" t="s">
        <v>34</v>
      </c>
      <c r="G655" s="96" t="s">
        <v>80</v>
      </c>
      <c r="H655" s="272" t="s">
        <v>40</v>
      </c>
      <c r="I655" s="273">
        <v>10</v>
      </c>
      <c r="J655" s="270">
        <v>4477</v>
      </c>
      <c r="K655" s="270">
        <f t="shared" si="0"/>
        <v>44770</v>
      </c>
      <c r="L655" s="270">
        <v>141045</v>
      </c>
      <c r="M655" s="270">
        <v>-960</v>
      </c>
      <c r="N655" s="274">
        <v>3164.6</v>
      </c>
      <c r="O655" s="55"/>
      <c r="P655" s="105">
        <v>3165</v>
      </c>
      <c r="Q655" s="270">
        <v>-699</v>
      </c>
      <c r="R655" s="275">
        <v>-3.31E-3</v>
      </c>
      <c r="S655" s="270">
        <v>-847</v>
      </c>
      <c r="T655" s="270">
        <v>2318</v>
      </c>
      <c r="U655" s="57">
        <v>1</v>
      </c>
      <c r="V655" s="276">
        <v>0.22</v>
      </c>
      <c r="W655" s="276">
        <v>0</v>
      </c>
      <c r="X655" s="270">
        <v>1808</v>
      </c>
      <c r="Y655" s="270">
        <v>510</v>
      </c>
      <c r="Z655" s="45" t="b">
        <v>1</v>
      </c>
      <c r="AA655" s="45" t="s">
        <v>38</v>
      </c>
      <c r="AB655" s="45" t="s">
        <v>38</v>
      </c>
    </row>
    <row r="656" spans="1:28" x14ac:dyDescent="0.2">
      <c r="A656" s="96" t="s">
        <v>191</v>
      </c>
      <c r="B656" s="96" t="s">
        <v>193</v>
      </c>
      <c r="C656" s="277">
        <v>44248</v>
      </c>
      <c r="D656" s="277">
        <v>44275</v>
      </c>
      <c r="E656" s="270" t="s">
        <v>267</v>
      </c>
      <c r="F656" s="133" t="s">
        <v>34</v>
      </c>
      <c r="G656" s="96" t="s">
        <v>80</v>
      </c>
      <c r="H656" s="272" t="s">
        <v>40</v>
      </c>
      <c r="I656" s="273">
        <v>10</v>
      </c>
      <c r="J656" s="270">
        <v>3939</v>
      </c>
      <c r="K656" s="270">
        <f t="shared" si="0"/>
        <v>39390</v>
      </c>
      <c r="L656" s="270">
        <v>49163</v>
      </c>
      <c r="M656" s="270">
        <v>-2210</v>
      </c>
      <c r="N656" s="274">
        <v>2784.31</v>
      </c>
      <c r="O656" s="55"/>
      <c r="P656" s="105">
        <v>2784</v>
      </c>
      <c r="Q656" s="270">
        <v>-1500</v>
      </c>
      <c r="R656" s="275">
        <v>-3.31E-3</v>
      </c>
      <c r="S656" s="270">
        <v>-1631</v>
      </c>
      <c r="T656" s="270">
        <v>1154</v>
      </c>
      <c r="U656" s="57">
        <v>1</v>
      </c>
      <c r="V656" s="276">
        <v>0.22</v>
      </c>
      <c r="W656" s="276">
        <v>0</v>
      </c>
      <c r="X656" s="270">
        <v>900</v>
      </c>
      <c r="Y656" s="270">
        <v>254</v>
      </c>
      <c r="Z656" s="45" t="b">
        <v>1</v>
      </c>
      <c r="AA656" s="45" t="s">
        <v>38</v>
      </c>
      <c r="AB656" s="45" t="s">
        <v>38</v>
      </c>
    </row>
    <row r="657" spans="1:28" x14ac:dyDescent="0.2">
      <c r="A657" s="96" t="s">
        <v>191</v>
      </c>
      <c r="B657" s="96" t="s">
        <v>193</v>
      </c>
      <c r="C657" s="277">
        <v>44248</v>
      </c>
      <c r="D657" s="277">
        <v>44275</v>
      </c>
      <c r="E657" s="270" t="s">
        <v>267</v>
      </c>
      <c r="F657" s="133" t="s">
        <v>34</v>
      </c>
      <c r="G657" s="96" t="s">
        <v>80</v>
      </c>
      <c r="H657" s="272" t="s">
        <v>71</v>
      </c>
      <c r="I657" s="273">
        <v>20</v>
      </c>
      <c r="J657" s="270">
        <v>49</v>
      </c>
      <c r="K657" s="270">
        <f t="shared" si="0"/>
        <v>980</v>
      </c>
      <c r="L657" s="270">
        <v>369</v>
      </c>
      <c r="M657" s="270">
        <v>380</v>
      </c>
      <c r="N657" s="274">
        <v>69.27</v>
      </c>
      <c r="O657" s="55"/>
      <c r="P657" s="45">
        <v>69</v>
      </c>
      <c r="Q657" s="270">
        <v>-58</v>
      </c>
      <c r="R657" s="275">
        <v>-3.31E-3</v>
      </c>
      <c r="S657" s="270">
        <v>-61</v>
      </c>
      <c r="T657" s="270">
        <v>8</v>
      </c>
      <c r="U657" s="57">
        <v>1</v>
      </c>
      <c r="V657" s="276">
        <v>0.22</v>
      </c>
      <c r="W657" s="276">
        <v>0</v>
      </c>
      <c r="X657" s="270">
        <v>7</v>
      </c>
      <c r="Y657" s="270">
        <v>2</v>
      </c>
      <c r="Z657" s="45" t="b">
        <v>1</v>
      </c>
      <c r="AA657" s="45" t="s">
        <v>38</v>
      </c>
      <c r="AB657" s="45" t="s">
        <v>38</v>
      </c>
    </row>
    <row r="658" spans="1:28" x14ac:dyDescent="0.2">
      <c r="A658" s="96" t="s">
        <v>191</v>
      </c>
      <c r="B658" s="96" t="s">
        <v>193</v>
      </c>
      <c r="C658" s="277">
        <v>44248</v>
      </c>
      <c r="D658" s="277">
        <v>44275</v>
      </c>
      <c r="E658" s="270" t="s">
        <v>267</v>
      </c>
      <c r="F658" s="133" t="s">
        <v>34</v>
      </c>
      <c r="G658" s="96" t="s">
        <v>80</v>
      </c>
      <c r="H658" s="272" t="s">
        <v>71</v>
      </c>
      <c r="I658" s="273">
        <v>20</v>
      </c>
      <c r="J658" s="270">
        <v>89</v>
      </c>
      <c r="K658" s="270">
        <f t="shared" si="0"/>
        <v>1780</v>
      </c>
      <c r="L658" s="270">
        <v>-2422</v>
      </c>
      <c r="M658" s="270">
        <v>-20</v>
      </c>
      <c r="N658" s="274">
        <v>125.82</v>
      </c>
      <c r="O658" s="55"/>
      <c r="P658" s="45">
        <v>126</v>
      </c>
      <c r="Q658" s="270">
        <v>-272</v>
      </c>
      <c r="R658" s="275">
        <v>-3.31E-3</v>
      </c>
      <c r="S658" s="270">
        <v>-278</v>
      </c>
      <c r="T658" s="270">
        <v>-152</v>
      </c>
      <c r="U658" s="57">
        <v>1</v>
      </c>
      <c r="V658" s="276">
        <v>0.22</v>
      </c>
      <c r="W658" s="276">
        <v>0</v>
      </c>
      <c r="X658" s="270">
        <v>-119</v>
      </c>
      <c r="Y658" s="270">
        <v>-33</v>
      </c>
      <c r="Z658" s="45" t="b">
        <v>1</v>
      </c>
      <c r="AA658" s="45" t="s">
        <v>38</v>
      </c>
      <c r="AB658" s="45" t="s">
        <v>38</v>
      </c>
    </row>
    <row r="659" spans="1:28" x14ac:dyDescent="0.2">
      <c r="A659" s="96" t="s">
        <v>206</v>
      </c>
      <c r="B659" s="96" t="s">
        <v>206</v>
      </c>
      <c r="C659" s="277">
        <v>44248</v>
      </c>
      <c r="D659" s="277">
        <v>44275</v>
      </c>
      <c r="E659" s="270" t="s">
        <v>267</v>
      </c>
      <c r="F659" s="133" t="s">
        <v>34</v>
      </c>
      <c r="G659" s="96" t="s">
        <v>35</v>
      </c>
      <c r="H659" s="272" t="s">
        <v>83</v>
      </c>
      <c r="I659" s="273">
        <v>10</v>
      </c>
      <c r="J659" s="270">
        <v>3</v>
      </c>
      <c r="K659" s="270">
        <f t="shared" si="0"/>
        <v>30</v>
      </c>
      <c r="L659" s="270">
        <v>-630</v>
      </c>
      <c r="M659" s="270">
        <v>-30</v>
      </c>
      <c r="N659" s="274"/>
      <c r="O659" s="55"/>
      <c r="P659" s="96"/>
      <c r="Q659" s="270">
        <v>-14</v>
      </c>
      <c r="R659" s="275">
        <v>-3.31E-3</v>
      </c>
      <c r="S659" s="270">
        <v>-14</v>
      </c>
      <c r="T659" s="270">
        <v>-14</v>
      </c>
      <c r="U659" s="57">
        <v>1</v>
      </c>
      <c r="V659" s="276">
        <v>0.22</v>
      </c>
      <c r="W659" s="276">
        <v>0</v>
      </c>
      <c r="X659" s="270">
        <v>-11</v>
      </c>
      <c r="Y659" s="270">
        <v>-3</v>
      </c>
      <c r="Z659" s="45" t="b">
        <v>1</v>
      </c>
      <c r="AA659" s="45" t="s">
        <v>38</v>
      </c>
      <c r="AB659" s="45" t="s">
        <v>38</v>
      </c>
    </row>
    <row r="660" spans="1:28" x14ac:dyDescent="0.2">
      <c r="A660" s="96" t="s">
        <v>206</v>
      </c>
      <c r="B660" s="96" t="s">
        <v>206</v>
      </c>
      <c r="C660" s="277">
        <v>44248</v>
      </c>
      <c r="D660" s="277">
        <v>44275</v>
      </c>
      <c r="E660" s="270" t="s">
        <v>267</v>
      </c>
      <c r="F660" s="133" t="s">
        <v>34</v>
      </c>
      <c r="G660" s="96" t="s">
        <v>35</v>
      </c>
      <c r="H660" s="272" t="s">
        <v>72</v>
      </c>
      <c r="I660" s="273">
        <v>50</v>
      </c>
      <c r="J660" s="270">
        <v>19</v>
      </c>
      <c r="K660" s="270">
        <f t="shared" si="0"/>
        <v>950</v>
      </c>
      <c r="L660" s="270">
        <v>788</v>
      </c>
      <c r="M660" s="270">
        <v>-50</v>
      </c>
      <c r="N660" s="274"/>
      <c r="O660" s="55"/>
      <c r="P660" s="96"/>
      <c r="Q660" s="270">
        <v>7</v>
      </c>
      <c r="R660" s="275">
        <v>-3.31E-3</v>
      </c>
      <c r="S660" s="270">
        <v>4</v>
      </c>
      <c r="T660" s="270">
        <v>4</v>
      </c>
      <c r="U660" s="57">
        <v>1</v>
      </c>
      <c r="V660" s="276">
        <v>0.22</v>
      </c>
      <c r="W660" s="276">
        <v>0</v>
      </c>
      <c r="X660" s="270">
        <v>3</v>
      </c>
      <c r="Y660" s="270">
        <v>1</v>
      </c>
      <c r="Z660" s="45" t="b">
        <v>1</v>
      </c>
      <c r="AA660" s="45" t="s">
        <v>38</v>
      </c>
      <c r="AB660" s="45" t="s">
        <v>38</v>
      </c>
    </row>
    <row r="661" spans="1:28" x14ac:dyDescent="0.2">
      <c r="A661" s="96" t="s">
        <v>206</v>
      </c>
      <c r="B661" s="96" t="s">
        <v>206</v>
      </c>
      <c r="C661" s="277">
        <v>44248</v>
      </c>
      <c r="D661" s="277">
        <v>44275</v>
      </c>
      <c r="E661" s="270" t="s">
        <v>267</v>
      </c>
      <c r="F661" s="133" t="s">
        <v>34</v>
      </c>
      <c r="G661" s="96" t="s">
        <v>35</v>
      </c>
      <c r="H661" s="272" t="s">
        <v>70</v>
      </c>
      <c r="I661" s="273">
        <v>100</v>
      </c>
      <c r="J661" s="270">
        <v>60</v>
      </c>
      <c r="K661" s="270">
        <f t="shared" si="0"/>
        <v>6000</v>
      </c>
      <c r="L661" s="270">
        <v>-911</v>
      </c>
      <c r="M661" s="270">
        <v>-2100</v>
      </c>
      <c r="N661" s="274">
        <v>2</v>
      </c>
      <c r="O661" s="55"/>
      <c r="P661" s="45">
        <v>2</v>
      </c>
      <c r="Q661" s="270">
        <v>-524</v>
      </c>
      <c r="R661" s="275">
        <v>-3.31E-3</v>
      </c>
      <c r="S661" s="270">
        <v>-544</v>
      </c>
      <c r="T661" s="270">
        <v>-542</v>
      </c>
      <c r="U661" s="57">
        <v>1</v>
      </c>
      <c r="V661" s="276">
        <v>0.22</v>
      </c>
      <c r="W661" s="276">
        <v>0</v>
      </c>
      <c r="X661" s="270">
        <v>-423</v>
      </c>
      <c r="Y661" s="270">
        <v>-119</v>
      </c>
      <c r="Z661" s="45" t="b">
        <v>1</v>
      </c>
      <c r="AA661" s="45" t="s">
        <v>38</v>
      </c>
      <c r="AB661" s="45" t="s">
        <v>38</v>
      </c>
    </row>
    <row r="662" spans="1:28" x14ac:dyDescent="0.2">
      <c r="A662" s="96" t="s">
        <v>145</v>
      </c>
      <c r="B662" s="96" t="s">
        <v>145</v>
      </c>
      <c r="C662" s="277">
        <v>44256</v>
      </c>
      <c r="D662" s="277">
        <v>44286</v>
      </c>
      <c r="E662" s="270" t="s">
        <v>267</v>
      </c>
      <c r="F662" s="133" t="s">
        <v>49</v>
      </c>
      <c r="G662" s="279" t="s">
        <v>35</v>
      </c>
      <c r="H662" s="272" t="s">
        <v>70</v>
      </c>
      <c r="I662" s="273">
        <v>100</v>
      </c>
      <c r="J662" s="270">
        <v>2158</v>
      </c>
      <c r="K662" s="270">
        <f t="shared" si="0"/>
        <v>215800</v>
      </c>
      <c r="L662" s="270">
        <v>66214</v>
      </c>
      <c r="M662" s="270">
        <v>400</v>
      </c>
      <c r="N662" s="274">
        <v>2078</v>
      </c>
      <c r="O662" s="55"/>
      <c r="P662" s="105">
        <v>2078</v>
      </c>
      <c r="Q662" s="270">
        <v>757</v>
      </c>
      <c r="R662" s="275">
        <v>3.3679999999999999E-3</v>
      </c>
      <c r="S662" s="270">
        <v>1484</v>
      </c>
      <c r="T662" s="270">
        <v>3562</v>
      </c>
      <c r="U662" s="57">
        <v>1</v>
      </c>
      <c r="V662" s="276">
        <v>0.12</v>
      </c>
      <c r="W662" s="276">
        <v>0</v>
      </c>
      <c r="X662" s="270">
        <v>3135</v>
      </c>
      <c r="Y662" s="270">
        <v>427</v>
      </c>
      <c r="Z662" s="45" t="b">
        <v>1</v>
      </c>
      <c r="AA662" s="45" t="s">
        <v>38</v>
      </c>
      <c r="AB662" s="45" t="s">
        <v>38</v>
      </c>
    </row>
    <row r="663" spans="1:28" x14ac:dyDescent="0.2">
      <c r="A663" s="96" t="s">
        <v>355</v>
      </c>
      <c r="B663" s="270" t="s">
        <v>985</v>
      </c>
      <c r="C663" s="277">
        <v>44256</v>
      </c>
      <c r="D663" s="277">
        <v>44286</v>
      </c>
      <c r="E663" s="270" t="s">
        <v>300</v>
      </c>
      <c r="F663" s="133" t="s">
        <v>41</v>
      </c>
      <c r="G663" s="270" t="s">
        <v>69</v>
      </c>
      <c r="H663" s="272" t="s">
        <v>70</v>
      </c>
      <c r="I663" s="273">
        <v>100</v>
      </c>
      <c r="J663" s="270">
        <v>1</v>
      </c>
      <c r="K663" s="270">
        <f t="shared" si="0"/>
        <v>100</v>
      </c>
      <c r="L663" s="270">
        <v>0</v>
      </c>
      <c r="M663" s="270">
        <v>0</v>
      </c>
      <c r="N663" s="274">
        <v>228</v>
      </c>
      <c r="O663" s="55"/>
      <c r="P663" s="45">
        <v>228</v>
      </c>
      <c r="Q663" s="270">
        <v>-5</v>
      </c>
      <c r="R663" s="275">
        <v>0</v>
      </c>
      <c r="S663" s="270">
        <v>-5</v>
      </c>
      <c r="T663" s="270">
        <v>228</v>
      </c>
      <c r="U663" s="57">
        <v>1</v>
      </c>
      <c r="V663" s="276">
        <v>0.15</v>
      </c>
      <c r="W663" s="276">
        <v>0.05</v>
      </c>
      <c r="X663" s="270">
        <v>182</v>
      </c>
      <c r="Y663" s="270">
        <v>46</v>
      </c>
      <c r="Z663" s="45" t="b">
        <v>1</v>
      </c>
      <c r="AA663" s="45" t="s">
        <v>38</v>
      </c>
      <c r="AB663" s="45" t="s">
        <v>38</v>
      </c>
    </row>
    <row r="664" spans="1:28" x14ac:dyDescent="0.2">
      <c r="A664" s="270" t="s">
        <v>447</v>
      </c>
      <c r="B664" s="96" t="s">
        <v>910</v>
      </c>
      <c r="C664" s="277">
        <v>44256</v>
      </c>
      <c r="D664" s="277">
        <v>44286</v>
      </c>
      <c r="E664" s="270" t="s">
        <v>300</v>
      </c>
      <c r="F664" s="96" t="s">
        <v>49</v>
      </c>
      <c r="G664" s="270" t="s">
        <v>61</v>
      </c>
      <c r="H664" s="272" t="s">
        <v>109</v>
      </c>
      <c r="I664" s="273">
        <v>50</v>
      </c>
      <c r="J664" s="270">
        <v>2346</v>
      </c>
      <c r="K664" s="270">
        <f t="shared" si="0"/>
        <v>117300</v>
      </c>
      <c r="L664" s="270">
        <v>101782</v>
      </c>
      <c r="M664" s="270">
        <v>1000</v>
      </c>
      <c r="N664" s="274">
        <v>3000</v>
      </c>
      <c r="O664" s="55"/>
      <c r="P664" s="105">
        <v>3000</v>
      </c>
      <c r="Q664" s="270">
        <v>-1056</v>
      </c>
      <c r="R664" s="275">
        <v>3.3999999999999998E-3</v>
      </c>
      <c r="S664" s="270">
        <v>-657</v>
      </c>
      <c r="T664" s="270">
        <v>2343</v>
      </c>
      <c r="U664" s="57">
        <v>1</v>
      </c>
      <c r="V664" s="276">
        <v>0.15</v>
      </c>
      <c r="W664" s="276">
        <v>0.1</v>
      </c>
      <c r="X664" s="270">
        <v>1757</v>
      </c>
      <c r="Y664" s="270">
        <v>586</v>
      </c>
      <c r="Z664" s="45" t="b">
        <v>1</v>
      </c>
      <c r="AA664" s="45" t="s">
        <v>50</v>
      </c>
      <c r="AB664" s="45" t="s">
        <v>50</v>
      </c>
    </row>
    <row r="665" spans="1:28" x14ac:dyDescent="0.2">
      <c r="A665" s="96" t="s">
        <v>473</v>
      </c>
      <c r="B665" s="270" t="s">
        <v>119</v>
      </c>
      <c r="C665" s="277">
        <v>44256</v>
      </c>
      <c r="D665" s="277">
        <v>44286</v>
      </c>
      <c r="E665" s="270" t="s">
        <v>267</v>
      </c>
      <c r="F665" s="96" t="s">
        <v>34</v>
      </c>
      <c r="G665" s="270" t="s">
        <v>69</v>
      </c>
      <c r="H665" s="272" t="s">
        <v>71</v>
      </c>
      <c r="I665" s="273">
        <v>20</v>
      </c>
      <c r="J665" s="270">
        <v>2026</v>
      </c>
      <c r="K665" s="270">
        <f t="shared" si="0"/>
        <v>40520</v>
      </c>
      <c r="L665" s="270">
        <v>89727</v>
      </c>
      <c r="M665" s="270">
        <v>2660</v>
      </c>
      <c r="N665" s="274">
        <v>2280</v>
      </c>
      <c r="O665" s="55"/>
      <c r="P665" s="105">
        <v>2280</v>
      </c>
      <c r="Q665" s="270">
        <v>764</v>
      </c>
      <c r="R665" s="275">
        <v>-3.1199999999999999E-3</v>
      </c>
      <c r="S665" s="270">
        <v>638</v>
      </c>
      <c r="T665" s="270">
        <v>2918</v>
      </c>
      <c r="U665" s="57">
        <v>1</v>
      </c>
      <c r="V665" s="276">
        <v>0.22</v>
      </c>
      <c r="W665" s="276">
        <v>0</v>
      </c>
      <c r="X665" s="270">
        <v>2276</v>
      </c>
      <c r="Y665" s="270">
        <v>642</v>
      </c>
      <c r="Z665" s="45" t="b">
        <v>1</v>
      </c>
      <c r="AA665" s="45" t="s">
        <v>38</v>
      </c>
      <c r="AB665" s="45" t="s">
        <v>38</v>
      </c>
    </row>
    <row r="666" spans="1:28" x14ac:dyDescent="0.2">
      <c r="A666" s="96" t="s">
        <v>206</v>
      </c>
      <c r="B666" s="96" t="s">
        <v>982</v>
      </c>
      <c r="C666" s="277">
        <v>44256</v>
      </c>
      <c r="D666" s="277">
        <v>44286</v>
      </c>
      <c r="E666" s="270" t="s">
        <v>267</v>
      </c>
      <c r="F666" s="133" t="s">
        <v>34</v>
      </c>
      <c r="G666" s="96" t="s">
        <v>69</v>
      </c>
      <c r="H666" s="272" t="s">
        <v>73</v>
      </c>
      <c r="I666" s="273">
        <v>100</v>
      </c>
      <c r="J666" s="270">
        <v>130</v>
      </c>
      <c r="K666" s="270">
        <f t="shared" si="0"/>
        <v>13000</v>
      </c>
      <c r="L666" s="270">
        <v>3914</v>
      </c>
      <c r="M666" s="270">
        <v>4000</v>
      </c>
      <c r="N666" s="274">
        <v>680</v>
      </c>
      <c r="O666" s="55"/>
      <c r="P666" s="45">
        <v>680</v>
      </c>
      <c r="Q666" s="270">
        <v>532</v>
      </c>
      <c r="R666" s="275">
        <v>-3.1199999999999999E-3</v>
      </c>
      <c r="S666" s="270">
        <v>492</v>
      </c>
      <c r="T666" s="270">
        <v>1172</v>
      </c>
      <c r="U666" s="57">
        <v>1</v>
      </c>
      <c r="V666" s="276">
        <v>0.22</v>
      </c>
      <c r="W666" s="276">
        <v>0</v>
      </c>
      <c r="X666" s="270">
        <v>914</v>
      </c>
      <c r="Y666" s="270">
        <v>258</v>
      </c>
      <c r="Z666" s="45" t="b">
        <v>1</v>
      </c>
      <c r="AA666" s="45" t="s">
        <v>38</v>
      </c>
      <c r="AB666" s="45" t="s">
        <v>38</v>
      </c>
    </row>
    <row r="667" spans="1:28" x14ac:dyDescent="0.2">
      <c r="A667" s="96" t="s">
        <v>206</v>
      </c>
      <c r="B667" s="96" t="s">
        <v>982</v>
      </c>
      <c r="C667" s="277">
        <v>44256</v>
      </c>
      <c r="D667" s="277">
        <v>44286</v>
      </c>
      <c r="E667" s="270" t="s">
        <v>267</v>
      </c>
      <c r="F667" s="133" t="s">
        <v>34</v>
      </c>
      <c r="G667" s="96" t="s">
        <v>69</v>
      </c>
      <c r="H667" s="272" t="s">
        <v>70</v>
      </c>
      <c r="I667" s="273">
        <v>100</v>
      </c>
      <c r="J667" s="270">
        <v>4276</v>
      </c>
      <c r="K667" s="270">
        <f t="shared" si="0"/>
        <v>427600</v>
      </c>
      <c r="L667" s="270">
        <v>86451</v>
      </c>
      <c r="M667" s="270">
        <v>-15400</v>
      </c>
      <c r="N667" s="274">
        <v>14703</v>
      </c>
      <c r="O667" s="55"/>
      <c r="P667" s="105">
        <v>14703</v>
      </c>
      <c r="Q667" s="270">
        <v>-6743</v>
      </c>
      <c r="R667" s="275">
        <v>-3.1199999999999999E-3</v>
      </c>
      <c r="S667" s="270">
        <v>-8077</v>
      </c>
      <c r="T667" s="270">
        <v>6626</v>
      </c>
      <c r="U667" s="57">
        <v>1</v>
      </c>
      <c r="V667" s="276">
        <v>0.22</v>
      </c>
      <c r="W667" s="276">
        <v>0</v>
      </c>
      <c r="X667" s="270">
        <v>5168</v>
      </c>
      <c r="Y667" s="270">
        <v>1458</v>
      </c>
      <c r="Z667" s="45" t="b">
        <v>1</v>
      </c>
      <c r="AA667" s="45" t="s">
        <v>38</v>
      </c>
      <c r="AB667" s="45" t="s">
        <v>38</v>
      </c>
    </row>
    <row r="668" spans="1:28" x14ac:dyDescent="0.2">
      <c r="A668" s="96" t="s">
        <v>206</v>
      </c>
      <c r="B668" s="96" t="s">
        <v>982</v>
      </c>
      <c r="C668" s="277">
        <v>44256</v>
      </c>
      <c r="D668" s="277">
        <v>44286</v>
      </c>
      <c r="E668" s="270" t="s">
        <v>267</v>
      </c>
      <c r="F668" s="133" t="s">
        <v>34</v>
      </c>
      <c r="G668" s="96" t="s">
        <v>69</v>
      </c>
      <c r="H668" s="272" t="s">
        <v>72</v>
      </c>
      <c r="I668" s="273">
        <v>50</v>
      </c>
      <c r="J668" s="270">
        <v>30</v>
      </c>
      <c r="K668" s="270">
        <f t="shared" si="0"/>
        <v>1500</v>
      </c>
      <c r="L668" s="270">
        <v>-239</v>
      </c>
      <c r="M668" s="270">
        <v>50</v>
      </c>
      <c r="N668" s="274">
        <v>3</v>
      </c>
      <c r="O668" s="55"/>
      <c r="P668" s="45">
        <v>3</v>
      </c>
      <c r="Q668" s="270">
        <v>-104</v>
      </c>
      <c r="R668" s="275">
        <v>-3.1199999999999999E-3</v>
      </c>
      <c r="S668" s="270">
        <v>-108</v>
      </c>
      <c r="T668" s="270">
        <v>-105</v>
      </c>
      <c r="U668" s="57">
        <v>1</v>
      </c>
      <c r="V668" s="276">
        <v>0.22</v>
      </c>
      <c r="W668" s="276">
        <v>0</v>
      </c>
      <c r="X668" s="270">
        <v>-82</v>
      </c>
      <c r="Y668" s="270">
        <v>-23</v>
      </c>
      <c r="Z668" s="45" t="b">
        <v>1</v>
      </c>
      <c r="AA668" s="45" t="s">
        <v>38</v>
      </c>
      <c r="AB668" s="45" t="s">
        <v>38</v>
      </c>
    </row>
    <row r="669" spans="1:28" x14ac:dyDescent="0.2">
      <c r="A669" s="96" t="s">
        <v>206</v>
      </c>
      <c r="B669" s="96" t="s">
        <v>982</v>
      </c>
      <c r="C669" s="277">
        <v>44256</v>
      </c>
      <c r="D669" s="277">
        <v>44286</v>
      </c>
      <c r="E669" s="270" t="s">
        <v>267</v>
      </c>
      <c r="F669" s="133" t="s">
        <v>41</v>
      </c>
      <c r="G669" s="96" t="s">
        <v>69</v>
      </c>
      <c r="H669" s="272" t="s">
        <v>75</v>
      </c>
      <c r="I669" s="273">
        <v>20</v>
      </c>
      <c r="J669" s="270">
        <v>5</v>
      </c>
      <c r="K669" s="270">
        <f t="shared" si="0"/>
        <v>100</v>
      </c>
      <c r="L669" s="270"/>
      <c r="M669" s="270">
        <v>-100</v>
      </c>
      <c r="N669" s="274">
        <v>19</v>
      </c>
      <c r="O669" s="55"/>
      <c r="P669" s="45">
        <v>19</v>
      </c>
      <c r="Q669" s="270"/>
      <c r="R669" s="275">
        <v>0</v>
      </c>
      <c r="S669" s="270"/>
      <c r="T669" s="270">
        <v>-81</v>
      </c>
      <c r="U669" s="57">
        <v>1</v>
      </c>
      <c r="V669" s="276">
        <v>0.22</v>
      </c>
      <c r="W669" s="276">
        <v>0</v>
      </c>
      <c r="X669" s="270">
        <v>-63</v>
      </c>
      <c r="Y669" s="270">
        <v>-18</v>
      </c>
      <c r="Z669" s="45" t="b">
        <v>1</v>
      </c>
      <c r="AA669" s="45" t="s">
        <v>38</v>
      </c>
      <c r="AB669" s="45" t="s">
        <v>38</v>
      </c>
    </row>
    <row r="670" spans="1:28" x14ac:dyDescent="0.2">
      <c r="A670" s="96" t="s">
        <v>286</v>
      </c>
      <c r="B670" s="96" t="s">
        <v>286</v>
      </c>
      <c r="C670" s="277">
        <v>44276</v>
      </c>
      <c r="D670" s="277">
        <v>44306</v>
      </c>
      <c r="E670" s="270" t="s">
        <v>267</v>
      </c>
      <c r="F670" s="133" t="s">
        <v>34</v>
      </c>
      <c r="G670" s="96" t="s">
        <v>35</v>
      </c>
      <c r="H670" s="272" t="s">
        <v>177</v>
      </c>
      <c r="I670" s="273">
        <v>5</v>
      </c>
      <c r="J670" s="270">
        <v>12</v>
      </c>
      <c r="K670" s="270">
        <f t="shared" si="0"/>
        <v>60</v>
      </c>
      <c r="L670" s="270">
        <v>800</v>
      </c>
      <c r="M670" s="270">
        <v>60</v>
      </c>
      <c r="N670" s="274">
        <v>2</v>
      </c>
      <c r="O670" s="55"/>
      <c r="P670" s="45">
        <v>2</v>
      </c>
      <c r="Q670" s="270">
        <v>8</v>
      </c>
      <c r="R670" s="275">
        <v>-3.1199999999999999E-3</v>
      </c>
      <c r="S670" s="270">
        <v>8</v>
      </c>
      <c r="T670" s="270">
        <v>10</v>
      </c>
      <c r="U670" s="57">
        <v>1</v>
      </c>
      <c r="V670" s="276">
        <v>0.15</v>
      </c>
      <c r="W670" s="276">
        <v>0</v>
      </c>
      <c r="X670" s="270">
        <v>8</v>
      </c>
      <c r="Y670" s="270">
        <v>1</v>
      </c>
      <c r="Z670" s="45" t="b">
        <v>1</v>
      </c>
      <c r="AA670" s="45" t="s">
        <v>38</v>
      </c>
      <c r="AB670" s="45" t="s">
        <v>38</v>
      </c>
    </row>
    <row r="671" spans="1:28" x14ac:dyDescent="0.2">
      <c r="A671" s="96" t="s">
        <v>286</v>
      </c>
      <c r="B671" s="96" t="s">
        <v>286</v>
      </c>
      <c r="C671" s="277">
        <v>44276</v>
      </c>
      <c r="D671" s="277">
        <v>44306</v>
      </c>
      <c r="E671" s="270" t="s">
        <v>267</v>
      </c>
      <c r="F671" s="133" t="s">
        <v>34</v>
      </c>
      <c r="G671" s="96" t="s">
        <v>35</v>
      </c>
      <c r="H671" s="272" t="s">
        <v>983</v>
      </c>
      <c r="I671" s="273">
        <v>10</v>
      </c>
      <c r="J671" s="270">
        <v>224</v>
      </c>
      <c r="K671" s="270">
        <f t="shared" si="0"/>
        <v>2240</v>
      </c>
      <c r="L671" s="270">
        <v>1693</v>
      </c>
      <c r="M671" s="270">
        <v>-70</v>
      </c>
      <c r="N671" s="274">
        <v>96</v>
      </c>
      <c r="O671" s="55"/>
      <c r="P671" s="45">
        <v>96</v>
      </c>
      <c r="Q671" s="270">
        <v>-137</v>
      </c>
      <c r="R671" s="275">
        <v>-3.1199999999999999E-3</v>
      </c>
      <c r="S671" s="270">
        <v>-144</v>
      </c>
      <c r="T671" s="270">
        <v>-48</v>
      </c>
      <c r="U671" s="57">
        <v>1</v>
      </c>
      <c r="V671" s="276">
        <v>0.15</v>
      </c>
      <c r="W671" s="276">
        <v>0</v>
      </c>
      <c r="X671" s="270">
        <v>-41</v>
      </c>
      <c r="Y671" s="270">
        <v>-7</v>
      </c>
      <c r="Z671" s="45" t="b">
        <v>1</v>
      </c>
      <c r="AA671" s="45" t="s">
        <v>38</v>
      </c>
      <c r="AB671" s="45" t="s">
        <v>38</v>
      </c>
    </row>
    <row r="672" spans="1:28" x14ac:dyDescent="0.2">
      <c r="A672" s="96" t="s">
        <v>286</v>
      </c>
      <c r="B672" s="96" t="s">
        <v>286</v>
      </c>
      <c r="C672" s="277">
        <v>44276</v>
      </c>
      <c r="D672" s="277">
        <v>44306</v>
      </c>
      <c r="E672" s="270" t="s">
        <v>267</v>
      </c>
      <c r="F672" s="133" t="s">
        <v>34</v>
      </c>
      <c r="G672" s="96" t="s">
        <v>35</v>
      </c>
      <c r="H672" s="272" t="s">
        <v>46</v>
      </c>
      <c r="I672" s="273">
        <v>25</v>
      </c>
      <c r="J672" s="270">
        <v>384</v>
      </c>
      <c r="K672" s="270">
        <f t="shared" si="0"/>
        <v>9600</v>
      </c>
      <c r="L672" s="270">
        <v>18774</v>
      </c>
      <c r="M672" s="270">
        <v>475</v>
      </c>
      <c r="N672" s="274">
        <v>307</v>
      </c>
      <c r="O672" s="55"/>
      <c r="P672" s="45">
        <v>307</v>
      </c>
      <c r="Q672" s="270">
        <v>256</v>
      </c>
      <c r="R672" s="275">
        <v>-3.1199999999999999E-3</v>
      </c>
      <c r="S672" s="270">
        <v>226</v>
      </c>
      <c r="T672" s="270">
        <v>533</v>
      </c>
      <c r="U672" s="57">
        <v>1</v>
      </c>
      <c r="V672" s="276">
        <v>0.15</v>
      </c>
      <c r="W672" s="276">
        <v>0</v>
      </c>
      <c r="X672" s="270">
        <v>453</v>
      </c>
      <c r="Y672" s="270">
        <v>80</v>
      </c>
      <c r="Z672" s="45" t="b">
        <v>1</v>
      </c>
      <c r="AA672" s="45" t="s">
        <v>38</v>
      </c>
      <c r="AB672" s="45" t="s">
        <v>38</v>
      </c>
    </row>
    <row r="673" spans="1:28" x14ac:dyDescent="0.2">
      <c r="A673" s="96" t="s">
        <v>286</v>
      </c>
      <c r="B673" s="96" t="s">
        <v>286</v>
      </c>
      <c r="C673" s="277">
        <v>44276</v>
      </c>
      <c r="D673" s="277">
        <v>44306</v>
      </c>
      <c r="E673" s="270" t="s">
        <v>267</v>
      </c>
      <c r="F673" s="133" t="s">
        <v>34</v>
      </c>
      <c r="G673" s="96" t="s">
        <v>35</v>
      </c>
      <c r="H673" s="272" t="s">
        <v>87</v>
      </c>
      <c r="I673" s="273">
        <v>25</v>
      </c>
      <c r="J673" s="270">
        <v>2489</v>
      </c>
      <c r="K673" s="270">
        <f t="shared" si="0"/>
        <v>62225</v>
      </c>
      <c r="L673" s="270">
        <v>65491</v>
      </c>
      <c r="M673" s="270">
        <v>3150</v>
      </c>
      <c r="N673" s="274">
        <v>2016</v>
      </c>
      <c r="O673" s="55"/>
      <c r="P673" s="105">
        <v>2016</v>
      </c>
      <c r="Q673" s="270">
        <v>1078</v>
      </c>
      <c r="R673" s="275">
        <v>-3.1199999999999999E-3</v>
      </c>
      <c r="S673" s="270">
        <v>883</v>
      </c>
      <c r="T673" s="270">
        <v>2899</v>
      </c>
      <c r="U673" s="57">
        <v>1</v>
      </c>
      <c r="V673" s="276">
        <v>0.15</v>
      </c>
      <c r="W673" s="276">
        <v>0</v>
      </c>
      <c r="X673" s="270">
        <v>2465</v>
      </c>
      <c r="Y673" s="270">
        <v>435</v>
      </c>
      <c r="Z673" s="45" t="b">
        <v>1</v>
      </c>
      <c r="AA673" s="45" t="s">
        <v>38</v>
      </c>
      <c r="AB673" s="45" t="s">
        <v>38</v>
      </c>
    </row>
    <row r="674" spans="1:28" x14ac:dyDescent="0.2">
      <c r="A674" s="96" t="s">
        <v>286</v>
      </c>
      <c r="B674" s="96" t="s">
        <v>286</v>
      </c>
      <c r="C674" s="277">
        <v>44276</v>
      </c>
      <c r="D674" s="277">
        <v>44306</v>
      </c>
      <c r="E674" s="270" t="s">
        <v>267</v>
      </c>
      <c r="F674" s="133" t="s">
        <v>34</v>
      </c>
      <c r="G674" s="96" t="s">
        <v>35</v>
      </c>
      <c r="H674" s="272" t="s">
        <v>72</v>
      </c>
      <c r="I674" s="273">
        <v>50</v>
      </c>
      <c r="J674" s="270">
        <v>380</v>
      </c>
      <c r="K674" s="270">
        <f t="shared" si="0"/>
        <v>19000</v>
      </c>
      <c r="L674" s="270">
        <v>16474</v>
      </c>
      <c r="M674" s="270">
        <v>-2200</v>
      </c>
      <c r="N674" s="274">
        <v>610</v>
      </c>
      <c r="O674" s="55"/>
      <c r="P674" s="45">
        <v>610</v>
      </c>
      <c r="Q674" s="270">
        <v>311</v>
      </c>
      <c r="R674" s="275">
        <v>-3.1199999999999999E-3</v>
      </c>
      <c r="S674" s="270">
        <v>252</v>
      </c>
      <c r="T674" s="270">
        <v>862</v>
      </c>
      <c r="U674" s="57">
        <v>1</v>
      </c>
      <c r="V674" s="276">
        <v>0.15</v>
      </c>
      <c r="W674" s="276">
        <v>0</v>
      </c>
      <c r="X674" s="270">
        <v>733</v>
      </c>
      <c r="Y674" s="270">
        <v>129</v>
      </c>
      <c r="Z674" s="45" t="b">
        <v>1</v>
      </c>
      <c r="AA674" s="45" t="s">
        <v>38</v>
      </c>
      <c r="AB674" s="45" t="s">
        <v>38</v>
      </c>
    </row>
    <row r="675" spans="1:28" x14ac:dyDescent="0.2">
      <c r="A675" s="96" t="s">
        <v>286</v>
      </c>
      <c r="B675" s="96" t="s">
        <v>286</v>
      </c>
      <c r="C675" s="277">
        <v>44276</v>
      </c>
      <c r="D675" s="277">
        <v>44306</v>
      </c>
      <c r="E675" s="270" t="s">
        <v>267</v>
      </c>
      <c r="F675" s="133" t="s">
        <v>34</v>
      </c>
      <c r="G675" s="96" t="s">
        <v>35</v>
      </c>
      <c r="H675" s="272" t="s">
        <v>85</v>
      </c>
      <c r="I675" s="273">
        <v>50</v>
      </c>
      <c r="J675" s="270">
        <v>2864</v>
      </c>
      <c r="K675" s="270">
        <f t="shared" si="0"/>
        <v>143200</v>
      </c>
      <c r="L675" s="270">
        <v>46916</v>
      </c>
      <c r="M675" s="270">
        <v>-3175</v>
      </c>
      <c r="N675" s="274">
        <v>4608</v>
      </c>
      <c r="O675" s="55"/>
      <c r="P675" s="105">
        <v>4608</v>
      </c>
      <c r="Q675" s="270">
        <v>-1915</v>
      </c>
      <c r="R675" s="275">
        <v>-3.1199999999999999E-3</v>
      </c>
      <c r="S675" s="270">
        <v>-2362</v>
      </c>
      <c r="T675" s="270">
        <v>2246</v>
      </c>
      <c r="U675" s="57">
        <v>1</v>
      </c>
      <c r="V675" s="276">
        <v>0.15</v>
      </c>
      <c r="W675" s="276">
        <v>0</v>
      </c>
      <c r="X675" s="270">
        <v>1909</v>
      </c>
      <c r="Y675" s="270">
        <v>337</v>
      </c>
      <c r="Z675" s="45" t="b">
        <v>1</v>
      </c>
      <c r="AA675" s="45" t="s">
        <v>38</v>
      </c>
      <c r="AB675" s="45" t="s">
        <v>38</v>
      </c>
    </row>
    <row r="676" spans="1:28" x14ac:dyDescent="0.2">
      <c r="A676" s="270" t="s">
        <v>60</v>
      </c>
      <c r="B676" s="270" t="s">
        <v>60</v>
      </c>
      <c r="C676" s="277">
        <v>44276</v>
      </c>
      <c r="D676" s="277">
        <v>44306</v>
      </c>
      <c r="E676" s="270" t="s">
        <v>267</v>
      </c>
      <c r="F676" s="96" t="s">
        <v>34</v>
      </c>
      <c r="G676" s="270" t="s">
        <v>61</v>
      </c>
      <c r="H676" s="272" t="s">
        <v>63</v>
      </c>
      <c r="I676" s="273">
        <v>10</v>
      </c>
      <c r="J676" s="270">
        <v>2124</v>
      </c>
      <c r="K676" s="270">
        <f t="shared" si="0"/>
        <v>21240</v>
      </c>
      <c r="L676" s="270">
        <v>178768</v>
      </c>
      <c r="M676" s="270">
        <v>1950</v>
      </c>
      <c r="N676" s="274">
        <v>438</v>
      </c>
      <c r="O676" s="55"/>
      <c r="P676" s="45">
        <v>438</v>
      </c>
      <c r="Q676" s="270">
        <v>1401</v>
      </c>
      <c r="R676" s="275">
        <v>-3.1199999999999999E-3</v>
      </c>
      <c r="S676" s="270">
        <v>1335</v>
      </c>
      <c r="T676" s="270">
        <v>1773</v>
      </c>
      <c r="U676" s="57">
        <v>1</v>
      </c>
      <c r="V676" s="276">
        <v>0.25</v>
      </c>
      <c r="W676" s="276">
        <v>0</v>
      </c>
      <c r="X676" s="270">
        <v>1330</v>
      </c>
      <c r="Y676" s="270">
        <v>443</v>
      </c>
      <c r="Z676" s="45" t="b">
        <v>1</v>
      </c>
      <c r="AA676" s="45" t="s">
        <v>50</v>
      </c>
      <c r="AB676" s="45" t="s">
        <v>50</v>
      </c>
    </row>
    <row r="677" spans="1:28" x14ac:dyDescent="0.2">
      <c r="A677" s="270" t="s">
        <v>60</v>
      </c>
      <c r="B677" s="270" t="s">
        <v>60</v>
      </c>
      <c r="C677" s="277">
        <v>44276</v>
      </c>
      <c r="D677" s="277">
        <v>44306</v>
      </c>
      <c r="E677" s="270" t="s">
        <v>267</v>
      </c>
      <c r="F677" s="96" t="s">
        <v>34</v>
      </c>
      <c r="G677" s="270" t="s">
        <v>61</v>
      </c>
      <c r="H677" s="272" t="s">
        <v>93</v>
      </c>
      <c r="I677" s="273">
        <v>25</v>
      </c>
      <c r="J677" s="270">
        <v>376</v>
      </c>
      <c r="K677" s="270">
        <f t="shared" si="0"/>
        <v>9400</v>
      </c>
      <c r="L677" s="270">
        <v>10447</v>
      </c>
      <c r="M677" s="270">
        <v>-950</v>
      </c>
      <c r="N677" s="274">
        <v>51</v>
      </c>
      <c r="O677" s="55"/>
      <c r="P677" s="45">
        <v>51</v>
      </c>
      <c r="Q677" s="270">
        <v>-345</v>
      </c>
      <c r="R677" s="275">
        <v>-3.1199999999999999E-3</v>
      </c>
      <c r="S677" s="270">
        <v>-375</v>
      </c>
      <c r="T677" s="270">
        <v>-324</v>
      </c>
      <c r="U677" s="57">
        <v>1</v>
      </c>
      <c r="V677" s="276">
        <v>0.25</v>
      </c>
      <c r="W677" s="276">
        <v>0</v>
      </c>
      <c r="X677" s="270">
        <v>-243</v>
      </c>
      <c r="Y677" s="270">
        <v>-81</v>
      </c>
      <c r="Z677" s="45" t="b">
        <v>1</v>
      </c>
      <c r="AA677" s="45" t="s">
        <v>50</v>
      </c>
      <c r="AB677" s="45" t="s">
        <v>50</v>
      </c>
    </row>
    <row r="678" spans="1:28" x14ac:dyDescent="0.2">
      <c r="A678" s="270" t="s">
        <v>60</v>
      </c>
      <c r="B678" s="270" t="s">
        <v>60</v>
      </c>
      <c r="C678" s="277">
        <v>44276</v>
      </c>
      <c r="D678" s="277">
        <v>44306</v>
      </c>
      <c r="E678" s="270" t="s">
        <v>267</v>
      </c>
      <c r="F678" s="96" t="s">
        <v>41</v>
      </c>
      <c r="G678" s="270" t="s">
        <v>61</v>
      </c>
      <c r="H678" s="272" t="s">
        <v>109</v>
      </c>
      <c r="I678" s="273">
        <v>50</v>
      </c>
      <c r="J678" s="270">
        <v>5</v>
      </c>
      <c r="K678" s="270">
        <f t="shared" si="0"/>
        <v>250</v>
      </c>
      <c r="L678" s="270"/>
      <c r="M678" s="270">
        <v>-100</v>
      </c>
      <c r="N678" s="274">
        <v>1</v>
      </c>
      <c r="O678" s="55"/>
      <c r="P678" s="45">
        <v>1</v>
      </c>
      <c r="Q678" s="270"/>
      <c r="R678" s="275">
        <v>0</v>
      </c>
      <c r="S678" s="270"/>
      <c r="T678" s="270">
        <v>-99</v>
      </c>
      <c r="U678" s="57">
        <v>1</v>
      </c>
      <c r="V678" s="276">
        <v>0.25</v>
      </c>
      <c r="W678" s="276">
        <v>0</v>
      </c>
      <c r="X678" s="270">
        <v>-74</v>
      </c>
      <c r="Y678" s="270">
        <v>-25</v>
      </c>
      <c r="Z678" s="45" t="b">
        <v>1</v>
      </c>
      <c r="AA678" s="45" t="s">
        <v>50</v>
      </c>
      <c r="AB678" s="45" t="s">
        <v>50</v>
      </c>
    </row>
    <row r="679" spans="1:28" x14ac:dyDescent="0.2">
      <c r="A679" s="96" t="s">
        <v>82</v>
      </c>
      <c r="B679" s="96" t="s">
        <v>82</v>
      </c>
      <c r="C679" s="277">
        <v>44276</v>
      </c>
      <c r="D679" s="277">
        <v>44306</v>
      </c>
      <c r="E679" s="270" t="s">
        <v>300</v>
      </c>
      <c r="F679" s="133" t="s">
        <v>34</v>
      </c>
      <c r="G679" s="96" t="s">
        <v>35</v>
      </c>
      <c r="H679" s="272" t="s">
        <v>46</v>
      </c>
      <c r="I679" s="273">
        <v>25</v>
      </c>
      <c r="J679" s="270">
        <v>7097</v>
      </c>
      <c r="K679" s="270">
        <f t="shared" si="0"/>
        <v>177425</v>
      </c>
      <c r="L679" s="270">
        <v>226843</v>
      </c>
      <c r="M679" s="270">
        <v>-975</v>
      </c>
      <c r="N679" s="274">
        <v>4438</v>
      </c>
      <c r="O679" s="55"/>
      <c r="P679" s="105">
        <v>4438</v>
      </c>
      <c r="Q679" s="270">
        <v>-839</v>
      </c>
      <c r="R679" s="275">
        <v>-3.1199999999999999E-3</v>
      </c>
      <c r="S679" s="270">
        <v>-1393</v>
      </c>
      <c r="T679" s="270">
        <v>3045</v>
      </c>
      <c r="U679" s="57">
        <v>1</v>
      </c>
      <c r="V679" s="276">
        <v>0.15</v>
      </c>
      <c r="W679" s="276">
        <v>0.05</v>
      </c>
      <c r="X679" s="270">
        <v>2436</v>
      </c>
      <c r="Y679" s="270">
        <v>609</v>
      </c>
      <c r="Z679" s="45" t="b">
        <v>1</v>
      </c>
      <c r="AA679" s="45" t="s">
        <v>38</v>
      </c>
      <c r="AB679" s="45" t="s">
        <v>38</v>
      </c>
    </row>
    <row r="680" spans="1:28" x14ac:dyDescent="0.2">
      <c r="A680" s="96" t="s">
        <v>82</v>
      </c>
      <c r="B680" s="96" t="s">
        <v>82</v>
      </c>
      <c r="C680" s="277">
        <v>44276</v>
      </c>
      <c r="D680" s="277">
        <v>44306</v>
      </c>
      <c r="E680" s="270" t="s">
        <v>300</v>
      </c>
      <c r="F680" s="133" t="s">
        <v>34</v>
      </c>
      <c r="G680" s="96" t="s">
        <v>35</v>
      </c>
      <c r="H680" s="272" t="s">
        <v>72</v>
      </c>
      <c r="I680" s="273">
        <v>50</v>
      </c>
      <c r="J680" s="270">
        <v>309</v>
      </c>
      <c r="K680" s="270">
        <f t="shared" si="0"/>
        <v>15450</v>
      </c>
      <c r="L680" s="270">
        <v>13097</v>
      </c>
      <c r="M680" s="270">
        <v>-700</v>
      </c>
      <c r="N680" s="274">
        <v>387</v>
      </c>
      <c r="O680" s="55"/>
      <c r="P680" s="45">
        <v>387</v>
      </c>
      <c r="Q680" s="270">
        <v>225</v>
      </c>
      <c r="R680" s="275">
        <v>-3.1199999999999999E-3</v>
      </c>
      <c r="S680" s="270">
        <v>177</v>
      </c>
      <c r="T680" s="270">
        <v>564</v>
      </c>
      <c r="U680" s="57">
        <v>1</v>
      </c>
      <c r="V680" s="276">
        <v>0.15</v>
      </c>
      <c r="W680" s="276">
        <v>0.05</v>
      </c>
      <c r="X680" s="270">
        <v>451</v>
      </c>
      <c r="Y680" s="270">
        <v>113</v>
      </c>
      <c r="Z680" s="45" t="b">
        <v>1</v>
      </c>
      <c r="AA680" s="45" t="s">
        <v>38</v>
      </c>
      <c r="AB680" s="45" t="s">
        <v>38</v>
      </c>
    </row>
    <row r="681" spans="1:28" x14ac:dyDescent="0.2">
      <c r="A681" s="96" t="s">
        <v>82</v>
      </c>
      <c r="B681" s="96" t="s">
        <v>82</v>
      </c>
      <c r="C681" s="277">
        <v>44276</v>
      </c>
      <c r="D681" s="277">
        <v>44306</v>
      </c>
      <c r="E681" s="270" t="s">
        <v>300</v>
      </c>
      <c r="F681" s="133" t="s">
        <v>41</v>
      </c>
      <c r="G681" s="96" t="s">
        <v>35</v>
      </c>
      <c r="H681" s="272" t="s">
        <v>86</v>
      </c>
      <c r="I681" s="273">
        <v>5</v>
      </c>
      <c r="J681" s="270">
        <v>22</v>
      </c>
      <c r="K681" s="270">
        <f t="shared" si="0"/>
        <v>110</v>
      </c>
      <c r="L681" s="270"/>
      <c r="M681" s="270">
        <v>30</v>
      </c>
      <c r="N681" s="274">
        <v>3</v>
      </c>
      <c r="O681" s="55"/>
      <c r="P681" s="45">
        <v>3</v>
      </c>
      <c r="Q681" s="270"/>
      <c r="R681" s="275">
        <v>0</v>
      </c>
      <c r="S681" s="270"/>
      <c r="T681" s="270">
        <v>33</v>
      </c>
      <c r="U681" s="57">
        <v>1</v>
      </c>
      <c r="V681" s="276">
        <v>0.15</v>
      </c>
      <c r="W681" s="276">
        <v>0.05</v>
      </c>
      <c r="X681" s="270">
        <v>26</v>
      </c>
      <c r="Y681" s="270">
        <v>7</v>
      </c>
      <c r="Z681" s="45" t="b">
        <v>1</v>
      </c>
      <c r="AA681" s="45" t="s">
        <v>38</v>
      </c>
      <c r="AB681" s="45" t="s">
        <v>38</v>
      </c>
    </row>
    <row r="682" spans="1:28" x14ac:dyDescent="0.2">
      <c r="A682" s="96" t="s">
        <v>82</v>
      </c>
      <c r="B682" s="96" t="s">
        <v>82</v>
      </c>
      <c r="C682" s="277">
        <v>44276</v>
      </c>
      <c r="D682" s="277">
        <v>44306</v>
      </c>
      <c r="E682" s="270" t="s">
        <v>300</v>
      </c>
      <c r="F682" s="133" t="s">
        <v>41</v>
      </c>
      <c r="G682" s="96" t="s">
        <v>35</v>
      </c>
      <c r="H682" s="272" t="s">
        <v>85</v>
      </c>
      <c r="I682" s="273">
        <v>50</v>
      </c>
      <c r="J682" s="270">
        <v>2</v>
      </c>
      <c r="K682" s="270">
        <f t="shared" si="0"/>
        <v>100</v>
      </c>
      <c r="L682" s="270"/>
      <c r="M682" s="270">
        <v>200</v>
      </c>
      <c r="N682" s="274">
        <v>5</v>
      </c>
      <c r="O682" s="55"/>
      <c r="P682" s="45">
        <v>5</v>
      </c>
      <c r="Q682" s="270"/>
      <c r="R682" s="275">
        <v>0</v>
      </c>
      <c r="S682" s="270"/>
      <c r="T682" s="270">
        <v>205</v>
      </c>
      <c r="U682" s="57">
        <v>1</v>
      </c>
      <c r="V682" s="276">
        <v>0.15</v>
      </c>
      <c r="W682" s="276">
        <v>0.05</v>
      </c>
      <c r="X682" s="270">
        <v>164</v>
      </c>
      <c r="Y682" s="270">
        <v>41</v>
      </c>
      <c r="Z682" s="45" t="b">
        <v>1</v>
      </c>
      <c r="AA682" s="45" t="s">
        <v>38</v>
      </c>
      <c r="AB682" s="45" t="s">
        <v>38</v>
      </c>
    </row>
    <row r="683" spans="1:28" x14ac:dyDescent="0.2">
      <c r="A683" s="96" t="s">
        <v>154</v>
      </c>
      <c r="B683" s="96">
        <v>66.562200000000004</v>
      </c>
      <c r="C683" s="277">
        <v>44276</v>
      </c>
      <c r="D683" s="277">
        <v>44306</v>
      </c>
      <c r="E683" s="270" t="s">
        <v>267</v>
      </c>
      <c r="F683" s="96" t="s">
        <v>34</v>
      </c>
      <c r="G683" s="270" t="s">
        <v>61</v>
      </c>
      <c r="H683" s="272" t="s">
        <v>63</v>
      </c>
      <c r="I683" s="273">
        <v>10</v>
      </c>
      <c r="J683" s="270">
        <v>884</v>
      </c>
      <c r="K683" s="270">
        <f t="shared" si="0"/>
        <v>8840</v>
      </c>
      <c r="L683" s="270">
        <v>45968</v>
      </c>
      <c r="M683" s="270">
        <v>-550</v>
      </c>
      <c r="N683" s="274"/>
      <c r="O683" s="55"/>
      <c r="P683" s="96"/>
      <c r="Q683" s="270">
        <v>65</v>
      </c>
      <c r="R683" s="275">
        <v>-3.1199999999999999E-3</v>
      </c>
      <c r="S683" s="270">
        <v>37</v>
      </c>
      <c r="T683" s="270">
        <v>37</v>
      </c>
      <c r="U683" s="57">
        <v>1.2030000000000001</v>
      </c>
      <c r="V683" s="276">
        <v>0.2</v>
      </c>
      <c r="W683" s="276">
        <v>0</v>
      </c>
      <c r="X683" s="270">
        <v>36</v>
      </c>
      <c r="Y683" s="270">
        <v>9</v>
      </c>
      <c r="Z683" s="45" t="b">
        <v>1</v>
      </c>
      <c r="AA683" s="45" t="s">
        <v>38</v>
      </c>
      <c r="AB683" s="45" t="s">
        <v>50</v>
      </c>
    </row>
    <row r="684" spans="1:28" x14ac:dyDescent="0.2">
      <c r="A684" s="96" t="s">
        <v>154</v>
      </c>
      <c r="B684" s="96" t="s">
        <v>154</v>
      </c>
      <c r="C684" s="277">
        <v>44276</v>
      </c>
      <c r="D684" s="277">
        <v>44306</v>
      </c>
      <c r="E684" s="270" t="s">
        <v>267</v>
      </c>
      <c r="F684" s="96" t="s">
        <v>34</v>
      </c>
      <c r="G684" s="270" t="s">
        <v>35</v>
      </c>
      <c r="H684" s="272" t="s">
        <v>86</v>
      </c>
      <c r="I684" s="273">
        <v>5</v>
      </c>
      <c r="J684" s="270">
        <v>1</v>
      </c>
      <c r="K684" s="270">
        <f t="shared" si="0"/>
        <v>5</v>
      </c>
      <c r="L684" s="270">
        <v>-217</v>
      </c>
      <c r="M684" s="270">
        <v>-5</v>
      </c>
      <c r="N684" s="274"/>
      <c r="O684" s="55"/>
      <c r="P684" s="96"/>
      <c r="Q684" s="270">
        <v>-2</v>
      </c>
      <c r="R684" s="275">
        <v>-3.1199999999999999E-3</v>
      </c>
      <c r="S684" s="270">
        <v>-2</v>
      </c>
      <c r="T684" s="270">
        <v>-2</v>
      </c>
      <c r="U684" s="57">
        <v>1</v>
      </c>
      <c r="V684" s="276">
        <v>0.2</v>
      </c>
      <c r="W684" s="276">
        <v>0</v>
      </c>
      <c r="X684" s="270">
        <v>-2</v>
      </c>
      <c r="Y684" s="270">
        <v>0</v>
      </c>
      <c r="Z684" s="45" t="b">
        <v>1</v>
      </c>
      <c r="AA684" s="45" t="s">
        <v>38</v>
      </c>
      <c r="AB684" s="45" t="s">
        <v>38</v>
      </c>
    </row>
    <row r="685" spans="1:28" x14ac:dyDescent="0.2">
      <c r="A685" s="96" t="s">
        <v>154</v>
      </c>
      <c r="B685" s="96" t="s">
        <v>154</v>
      </c>
      <c r="C685" s="277">
        <v>44276</v>
      </c>
      <c r="D685" s="277">
        <v>44306</v>
      </c>
      <c r="E685" s="270" t="s">
        <v>267</v>
      </c>
      <c r="F685" s="96" t="s">
        <v>34</v>
      </c>
      <c r="G685" s="270" t="s">
        <v>35</v>
      </c>
      <c r="H685" s="272" t="s">
        <v>83</v>
      </c>
      <c r="I685" s="273">
        <v>10</v>
      </c>
      <c r="J685" s="270">
        <v>357</v>
      </c>
      <c r="K685" s="270">
        <f t="shared" si="0"/>
        <v>3570</v>
      </c>
      <c r="L685" s="270">
        <v>5006</v>
      </c>
      <c r="M685" s="270">
        <v>-210</v>
      </c>
      <c r="N685" s="274">
        <v>61</v>
      </c>
      <c r="O685" s="55"/>
      <c r="P685" s="45">
        <v>61</v>
      </c>
      <c r="Q685" s="270">
        <v>-209</v>
      </c>
      <c r="R685" s="275">
        <v>-3.1199999999999999E-3</v>
      </c>
      <c r="S685" s="270">
        <v>-220</v>
      </c>
      <c r="T685" s="270">
        <v>-159</v>
      </c>
      <c r="U685" s="57">
        <v>1</v>
      </c>
      <c r="V685" s="276">
        <v>0.2</v>
      </c>
      <c r="W685" s="276">
        <v>0</v>
      </c>
      <c r="X685" s="270">
        <v>-127</v>
      </c>
      <c r="Y685" s="270">
        <v>-32</v>
      </c>
      <c r="Z685" s="45" t="b">
        <v>1</v>
      </c>
      <c r="AA685" s="45" t="s">
        <v>38</v>
      </c>
      <c r="AB685" s="45" t="s">
        <v>38</v>
      </c>
    </row>
    <row r="686" spans="1:28" x14ac:dyDescent="0.2">
      <c r="A686" s="96" t="s">
        <v>355</v>
      </c>
      <c r="B686" s="270" t="s">
        <v>903</v>
      </c>
      <c r="C686" s="277">
        <v>44272</v>
      </c>
      <c r="D686" s="277">
        <v>44306</v>
      </c>
      <c r="E686" s="270" t="s">
        <v>300</v>
      </c>
      <c r="F686" s="133" t="s">
        <v>34</v>
      </c>
      <c r="G686" s="270" t="s">
        <v>80</v>
      </c>
      <c r="H686" s="272" t="s">
        <v>71</v>
      </c>
      <c r="I686" s="273">
        <v>20</v>
      </c>
      <c r="J686" s="270">
        <v>1641</v>
      </c>
      <c r="K686" s="270">
        <f t="shared" si="0"/>
        <v>32820</v>
      </c>
      <c r="L686" s="270">
        <v>32358</v>
      </c>
      <c r="M686" s="270">
        <v>-800</v>
      </c>
      <c r="N686" s="274">
        <v>2103.5100000000002</v>
      </c>
      <c r="O686" s="55"/>
      <c r="P686" s="105">
        <v>2104</v>
      </c>
      <c r="Q686" s="270">
        <v>-545</v>
      </c>
      <c r="R686" s="275">
        <v>-3.1199999999999999E-3</v>
      </c>
      <c r="S686" s="270">
        <v>-647</v>
      </c>
      <c r="T686" s="270">
        <v>1456</v>
      </c>
      <c r="U686" s="57">
        <v>1</v>
      </c>
      <c r="V686" s="276">
        <v>0.15</v>
      </c>
      <c r="W686" s="276">
        <v>0.05</v>
      </c>
      <c r="X686" s="270">
        <v>1165</v>
      </c>
      <c r="Y686" s="270">
        <v>291</v>
      </c>
      <c r="Z686" s="45" t="b">
        <v>1</v>
      </c>
      <c r="AA686" s="45" t="s">
        <v>38</v>
      </c>
      <c r="AB686" s="45" t="s">
        <v>38</v>
      </c>
    </row>
    <row r="687" spans="1:28" x14ac:dyDescent="0.2">
      <c r="A687" s="96" t="s">
        <v>355</v>
      </c>
      <c r="B687" s="270" t="s">
        <v>903</v>
      </c>
      <c r="C687" s="277">
        <v>44272</v>
      </c>
      <c r="D687" s="277">
        <v>44306</v>
      </c>
      <c r="E687" s="270" t="s">
        <v>300</v>
      </c>
      <c r="F687" s="133" t="s">
        <v>34</v>
      </c>
      <c r="G687" s="270" t="s">
        <v>80</v>
      </c>
      <c r="H687" s="272" t="s">
        <v>72</v>
      </c>
      <c r="I687" s="273">
        <v>50</v>
      </c>
      <c r="J687" s="270">
        <v>448</v>
      </c>
      <c r="K687" s="270">
        <f t="shared" si="0"/>
        <v>22400</v>
      </c>
      <c r="L687" s="270">
        <v>-4515</v>
      </c>
      <c r="M687" s="270">
        <v>-950</v>
      </c>
      <c r="N687" s="274">
        <v>1435.67</v>
      </c>
      <c r="O687" s="55"/>
      <c r="P687" s="105">
        <v>1436</v>
      </c>
      <c r="Q687" s="270">
        <v>-2292</v>
      </c>
      <c r="R687" s="275">
        <v>-3.1199999999999999E-3</v>
      </c>
      <c r="S687" s="270">
        <v>-2362</v>
      </c>
      <c r="T687" s="270">
        <v>-926</v>
      </c>
      <c r="U687" s="57">
        <v>1</v>
      </c>
      <c r="V687" s="276">
        <v>0.15</v>
      </c>
      <c r="W687" s="276">
        <v>0.05</v>
      </c>
      <c r="X687" s="270">
        <v>-741</v>
      </c>
      <c r="Y687" s="270">
        <v>-185</v>
      </c>
      <c r="Z687" s="45" t="b">
        <v>1</v>
      </c>
      <c r="AA687" s="45" t="s">
        <v>38</v>
      </c>
      <c r="AB687" s="45" t="s">
        <v>38</v>
      </c>
    </row>
    <row r="688" spans="1:28" x14ac:dyDescent="0.2">
      <c r="A688" s="96" t="s">
        <v>355</v>
      </c>
      <c r="B688" s="270" t="s">
        <v>903</v>
      </c>
      <c r="C688" s="277">
        <v>44272</v>
      </c>
      <c r="D688" s="277">
        <v>44306</v>
      </c>
      <c r="E688" s="270" t="s">
        <v>300</v>
      </c>
      <c r="F688" s="133" t="s">
        <v>34</v>
      </c>
      <c r="G688" s="270" t="s">
        <v>80</v>
      </c>
      <c r="H688" s="272" t="s">
        <v>70</v>
      </c>
      <c r="I688" s="273">
        <v>100</v>
      </c>
      <c r="J688" s="270">
        <v>445</v>
      </c>
      <c r="K688" s="270">
        <f t="shared" si="0"/>
        <v>44500</v>
      </c>
      <c r="L688" s="270">
        <v>-2</v>
      </c>
      <c r="M688" s="270">
        <v>-5300</v>
      </c>
      <c r="N688" s="274">
        <v>2852.11</v>
      </c>
      <c r="O688" s="55"/>
      <c r="P688" s="105">
        <v>2852</v>
      </c>
      <c r="Q688" s="270">
        <v>-3264</v>
      </c>
      <c r="R688" s="275">
        <v>-3.1199999999999999E-3</v>
      </c>
      <c r="S688" s="270">
        <v>-3403</v>
      </c>
      <c r="T688" s="270">
        <v>-551</v>
      </c>
      <c r="U688" s="57">
        <v>1</v>
      </c>
      <c r="V688" s="276">
        <v>0.15</v>
      </c>
      <c r="W688" s="276">
        <v>0.05</v>
      </c>
      <c r="X688" s="270">
        <v>-441</v>
      </c>
      <c r="Y688" s="270">
        <v>-110</v>
      </c>
      <c r="Z688" s="45" t="b">
        <v>1</v>
      </c>
      <c r="AA688" s="45" t="s">
        <v>38</v>
      </c>
      <c r="AB688" s="45" t="s">
        <v>38</v>
      </c>
    </row>
    <row r="689" spans="1:28" x14ac:dyDescent="0.2">
      <c r="A689" s="96" t="s">
        <v>355</v>
      </c>
      <c r="B689" s="270" t="s">
        <v>903</v>
      </c>
      <c r="C689" s="277">
        <v>44272</v>
      </c>
      <c r="D689" s="277">
        <v>44306</v>
      </c>
      <c r="E689" s="270" t="s">
        <v>300</v>
      </c>
      <c r="F689" s="133" t="s">
        <v>34</v>
      </c>
      <c r="G689" s="270" t="s">
        <v>80</v>
      </c>
      <c r="H689" s="272" t="s">
        <v>153</v>
      </c>
      <c r="I689" s="273">
        <v>200</v>
      </c>
      <c r="J689" s="270">
        <v>3</v>
      </c>
      <c r="K689" s="270">
        <f t="shared" si="0"/>
        <v>600</v>
      </c>
      <c r="L689" s="270">
        <v>-410</v>
      </c>
      <c r="M689" s="270">
        <v>-600</v>
      </c>
      <c r="N689" s="274">
        <v>38.46</v>
      </c>
      <c r="O689" s="55"/>
      <c r="P689" s="45">
        <v>38</v>
      </c>
      <c r="Q689" s="270">
        <v>-280</v>
      </c>
      <c r="R689" s="275">
        <v>-3.1199999999999999E-3</v>
      </c>
      <c r="S689" s="270">
        <v>-282</v>
      </c>
      <c r="T689" s="270">
        <v>-243</v>
      </c>
      <c r="U689" s="57">
        <v>1</v>
      </c>
      <c r="V689" s="276">
        <v>0.15</v>
      </c>
      <c r="W689" s="276">
        <v>0.05</v>
      </c>
      <c r="X689" s="270">
        <v>-195</v>
      </c>
      <c r="Y689" s="270">
        <v>-49</v>
      </c>
      <c r="Z689" s="45" t="b">
        <v>1</v>
      </c>
      <c r="AA689" s="45" t="s">
        <v>38</v>
      </c>
      <c r="AB689" s="45" t="s">
        <v>38</v>
      </c>
    </row>
    <row r="690" spans="1:28" x14ac:dyDescent="0.2">
      <c r="A690" s="96" t="s">
        <v>402</v>
      </c>
      <c r="B690" s="96" t="s">
        <v>402</v>
      </c>
      <c r="C690" s="277">
        <v>44276</v>
      </c>
      <c r="D690" s="277">
        <v>44306</v>
      </c>
      <c r="E690" s="270" t="s">
        <v>267</v>
      </c>
      <c r="F690" s="133" t="s">
        <v>34</v>
      </c>
      <c r="G690" s="96" t="s">
        <v>165</v>
      </c>
      <c r="H690" s="272" t="s">
        <v>216</v>
      </c>
      <c r="I690" s="273">
        <v>5</v>
      </c>
      <c r="J690" s="270">
        <v>104</v>
      </c>
      <c r="K690" s="270">
        <f t="shared" si="0"/>
        <v>520</v>
      </c>
      <c r="L690" s="270">
        <v>13082</v>
      </c>
      <c r="M690" s="270">
        <v>25</v>
      </c>
      <c r="N690" s="274"/>
      <c r="O690" s="55"/>
      <c r="P690" s="96"/>
      <c r="Q690" s="270">
        <v>78</v>
      </c>
      <c r="R690" s="275">
        <v>-3.1199999999999999E-3</v>
      </c>
      <c r="S690" s="270">
        <v>76</v>
      </c>
      <c r="T690" s="270">
        <v>76</v>
      </c>
      <c r="U690" s="57">
        <v>1.2030000000000001</v>
      </c>
      <c r="V690" s="276">
        <v>0.3</v>
      </c>
      <c r="W690" s="276">
        <v>0</v>
      </c>
      <c r="X690" s="270">
        <v>64</v>
      </c>
      <c r="Y690" s="270">
        <v>28</v>
      </c>
      <c r="Z690" s="45" t="b">
        <v>1</v>
      </c>
      <c r="AA690" s="45" t="s">
        <v>38</v>
      </c>
      <c r="AB690" s="45" t="s">
        <v>50</v>
      </c>
    </row>
    <row r="691" spans="1:28" x14ac:dyDescent="0.2">
      <c r="A691" s="96" t="s">
        <v>402</v>
      </c>
      <c r="B691" s="96" t="s">
        <v>402</v>
      </c>
      <c r="C691" s="277">
        <v>44276</v>
      </c>
      <c r="D691" s="277">
        <v>44306</v>
      </c>
      <c r="E691" s="270" t="s">
        <v>267</v>
      </c>
      <c r="F691" s="133" t="s">
        <v>34</v>
      </c>
      <c r="G691" s="96" t="s">
        <v>165</v>
      </c>
      <c r="H691" s="272" t="s">
        <v>166</v>
      </c>
      <c r="I691" s="273">
        <v>10</v>
      </c>
      <c r="J691" s="270">
        <v>1526</v>
      </c>
      <c r="K691" s="270">
        <f t="shared" si="0"/>
        <v>15260</v>
      </c>
      <c r="L691" s="270">
        <v>92960</v>
      </c>
      <c r="M691" s="270">
        <v>150</v>
      </c>
      <c r="N691" s="274"/>
      <c r="O691" s="55"/>
      <c r="P691" s="96"/>
      <c r="Q691" s="270">
        <v>554</v>
      </c>
      <c r="R691" s="275">
        <v>-3.1199999999999999E-3</v>
      </c>
      <c r="S691" s="270">
        <v>506</v>
      </c>
      <c r="T691" s="270">
        <v>506</v>
      </c>
      <c r="U691" s="57">
        <v>1.2030000000000001</v>
      </c>
      <c r="V691" s="276">
        <v>0.3</v>
      </c>
      <c r="W691" s="276">
        <v>0</v>
      </c>
      <c r="X691" s="270">
        <v>426</v>
      </c>
      <c r="Y691" s="270">
        <v>183</v>
      </c>
      <c r="Z691" s="45" t="b">
        <v>1</v>
      </c>
      <c r="AA691" s="45" t="s">
        <v>38</v>
      </c>
      <c r="AB691" s="45" t="s">
        <v>50</v>
      </c>
    </row>
    <row r="692" spans="1:28" x14ac:dyDescent="0.2">
      <c r="A692" s="96" t="s">
        <v>178</v>
      </c>
      <c r="B692" s="96" t="s">
        <v>178</v>
      </c>
      <c r="C692" s="277">
        <v>44276</v>
      </c>
      <c r="D692" s="277">
        <v>44306</v>
      </c>
      <c r="E692" s="270" t="s">
        <v>267</v>
      </c>
      <c r="F692" s="133" t="s">
        <v>34</v>
      </c>
      <c r="G692" s="96" t="s">
        <v>61</v>
      </c>
      <c r="H692" s="272" t="s">
        <v>63</v>
      </c>
      <c r="I692" s="273">
        <v>10</v>
      </c>
      <c r="J692" s="270">
        <v>1057</v>
      </c>
      <c r="K692" s="270">
        <f t="shared" si="0"/>
        <v>10570</v>
      </c>
      <c r="L692" s="270">
        <v>53907</v>
      </c>
      <c r="M692" s="270">
        <v>490</v>
      </c>
      <c r="N692" s="274">
        <v>80</v>
      </c>
      <c r="O692" s="55"/>
      <c r="P692" s="45">
        <v>80</v>
      </c>
      <c r="Q692" s="270">
        <v>38</v>
      </c>
      <c r="R692" s="275">
        <v>-3.1199999999999999E-3</v>
      </c>
      <c r="S692" s="270">
        <v>5</v>
      </c>
      <c r="T692" s="270">
        <v>85</v>
      </c>
      <c r="U692" s="57">
        <v>1</v>
      </c>
      <c r="V692" s="276">
        <v>0.2</v>
      </c>
      <c r="W692" s="276">
        <v>0</v>
      </c>
      <c r="X692" s="270">
        <v>68</v>
      </c>
      <c r="Y692" s="270">
        <v>17</v>
      </c>
      <c r="Z692" s="45" t="b">
        <v>1</v>
      </c>
      <c r="AA692" s="45" t="s">
        <v>50</v>
      </c>
      <c r="AB692" s="45" t="s">
        <v>50</v>
      </c>
    </row>
    <row r="693" spans="1:28" x14ac:dyDescent="0.2">
      <c r="A693" s="96" t="s">
        <v>508</v>
      </c>
      <c r="B693" s="96" t="s">
        <v>508</v>
      </c>
      <c r="C693" s="277">
        <v>44276</v>
      </c>
      <c r="D693" s="277">
        <v>44306</v>
      </c>
      <c r="E693" s="270" t="s">
        <v>300</v>
      </c>
      <c r="F693" s="133" t="s">
        <v>34</v>
      </c>
      <c r="G693" s="96" t="s">
        <v>35</v>
      </c>
      <c r="H693" s="272" t="s">
        <v>70</v>
      </c>
      <c r="I693" s="273">
        <v>100</v>
      </c>
      <c r="J693" s="270">
        <v>2350</v>
      </c>
      <c r="K693" s="270">
        <f t="shared" si="0"/>
        <v>235000</v>
      </c>
      <c r="L693" s="270">
        <v>116456</v>
      </c>
      <c r="M693" s="270">
        <v>8800</v>
      </c>
      <c r="N693" s="274">
        <v>956</v>
      </c>
      <c r="O693" s="55"/>
      <c r="P693" s="45">
        <v>956</v>
      </c>
      <c r="Q693" s="270">
        <v>9137</v>
      </c>
      <c r="R693" s="275">
        <v>-3.1199999999999999E-3</v>
      </c>
      <c r="S693" s="270">
        <v>8404</v>
      </c>
      <c r="T693" s="270">
        <v>9360</v>
      </c>
      <c r="U693" s="57">
        <v>1</v>
      </c>
      <c r="V693" s="276">
        <v>0.13500000000000001</v>
      </c>
      <c r="W693" s="276">
        <v>4.4999999999999998E-2</v>
      </c>
      <c r="X693" s="270">
        <v>7675</v>
      </c>
      <c r="Y693" s="270">
        <v>1685</v>
      </c>
      <c r="Z693" s="45" t="b">
        <v>1</v>
      </c>
      <c r="AA693" s="45" t="s">
        <v>38</v>
      </c>
      <c r="AB693" s="45" t="s">
        <v>38</v>
      </c>
    </row>
    <row r="694" spans="1:28" x14ac:dyDescent="0.2">
      <c r="A694" s="96" t="s">
        <v>191</v>
      </c>
      <c r="B694" s="96" t="s">
        <v>193</v>
      </c>
      <c r="C694" s="277">
        <v>44276</v>
      </c>
      <c r="D694" s="277">
        <v>44306</v>
      </c>
      <c r="E694" s="270" t="s">
        <v>267</v>
      </c>
      <c r="F694" s="133" t="s">
        <v>34</v>
      </c>
      <c r="G694" s="96" t="s">
        <v>80</v>
      </c>
      <c r="H694" s="272" t="s">
        <v>40</v>
      </c>
      <c r="I694" s="273">
        <v>10</v>
      </c>
      <c r="J694" s="270">
        <v>4690</v>
      </c>
      <c r="K694" s="270">
        <f t="shared" si="0"/>
        <v>46900</v>
      </c>
      <c r="L694" s="270">
        <v>30700</v>
      </c>
      <c r="M694" s="270">
        <v>-1660</v>
      </c>
      <c r="N694" s="274">
        <v>2840.1</v>
      </c>
      <c r="O694" s="55"/>
      <c r="P694" s="105">
        <v>2840</v>
      </c>
      <c r="Q694" s="270">
        <v>-2556</v>
      </c>
      <c r="R694" s="275">
        <v>-3.1199999999999999E-3</v>
      </c>
      <c r="S694" s="270">
        <v>-2702</v>
      </c>
      <c r="T694" s="270">
        <v>138</v>
      </c>
      <c r="U694" s="57">
        <v>1</v>
      </c>
      <c r="V694" s="276">
        <v>0.3</v>
      </c>
      <c r="W694" s="276">
        <v>0</v>
      </c>
      <c r="X694" s="270">
        <v>96</v>
      </c>
      <c r="Y694" s="270">
        <v>41</v>
      </c>
      <c r="Z694" s="45" t="b">
        <v>1</v>
      </c>
      <c r="AA694" s="45" t="s">
        <v>38</v>
      </c>
      <c r="AB694" s="45" t="s">
        <v>38</v>
      </c>
    </row>
    <row r="695" spans="1:28" x14ac:dyDescent="0.2">
      <c r="A695" s="96" t="s">
        <v>191</v>
      </c>
      <c r="B695" s="96" t="s">
        <v>193</v>
      </c>
      <c r="C695" s="277">
        <v>44276</v>
      </c>
      <c r="D695" s="277">
        <v>44306</v>
      </c>
      <c r="E695" s="270" t="s">
        <v>267</v>
      </c>
      <c r="F695" s="133" t="s">
        <v>34</v>
      </c>
      <c r="G695" s="96" t="s">
        <v>80</v>
      </c>
      <c r="H695" s="272" t="s">
        <v>71</v>
      </c>
      <c r="I695" s="273">
        <v>20</v>
      </c>
      <c r="J695" s="270">
        <v>4826</v>
      </c>
      <c r="K695" s="270">
        <f t="shared" si="0"/>
        <v>96520</v>
      </c>
      <c r="L695" s="270">
        <v>17633</v>
      </c>
      <c r="M695" s="270">
        <v>-9200</v>
      </c>
      <c r="N695" s="274">
        <v>5844.9</v>
      </c>
      <c r="O695" s="55"/>
      <c r="P695" s="105">
        <v>5845</v>
      </c>
      <c r="Q695" s="270">
        <v>-6064</v>
      </c>
      <c r="R695" s="275">
        <v>-3.1199999999999999E-3</v>
      </c>
      <c r="S695" s="270">
        <v>-6365</v>
      </c>
      <c r="T695" s="270">
        <v>-520</v>
      </c>
      <c r="U695" s="57">
        <v>1</v>
      </c>
      <c r="V695" s="276">
        <v>0.3</v>
      </c>
      <c r="W695" s="276">
        <v>0</v>
      </c>
      <c r="X695" s="270">
        <v>-364</v>
      </c>
      <c r="Y695" s="270">
        <v>-156</v>
      </c>
      <c r="Z695" s="45" t="b">
        <v>1</v>
      </c>
      <c r="AA695" s="45" t="s">
        <v>38</v>
      </c>
      <c r="AB695" s="45" t="s">
        <v>38</v>
      </c>
    </row>
    <row r="696" spans="1:28" x14ac:dyDescent="0.2">
      <c r="A696" s="96" t="s">
        <v>145</v>
      </c>
      <c r="B696" s="96" t="s">
        <v>145</v>
      </c>
      <c r="C696" s="277">
        <v>44287</v>
      </c>
      <c r="D696" s="277">
        <v>44316</v>
      </c>
      <c r="E696" s="270" t="s">
        <v>267</v>
      </c>
      <c r="F696" s="133" t="s">
        <v>49</v>
      </c>
      <c r="G696" s="279" t="s">
        <v>35</v>
      </c>
      <c r="H696" s="272" t="s">
        <v>70</v>
      </c>
      <c r="I696" s="273">
        <v>100</v>
      </c>
      <c r="J696" s="270">
        <v>2208</v>
      </c>
      <c r="K696" s="270">
        <f t="shared" si="0"/>
        <v>220800</v>
      </c>
      <c r="L696" s="270">
        <v>59584</v>
      </c>
      <c r="M696" s="270">
        <v>1400</v>
      </c>
      <c r="N696" s="274">
        <v>1755</v>
      </c>
      <c r="O696" s="55"/>
      <c r="P696" s="105">
        <v>1755</v>
      </c>
      <c r="Q696" s="270">
        <v>-755</v>
      </c>
      <c r="R696" s="275">
        <v>3.8699999999999997E-4</v>
      </c>
      <c r="S696" s="270">
        <v>-670</v>
      </c>
      <c r="T696" s="270">
        <v>1085</v>
      </c>
      <c r="U696" s="57">
        <v>1</v>
      </c>
      <c r="V696" s="276">
        <v>0.12</v>
      </c>
      <c r="W696" s="276">
        <v>0</v>
      </c>
      <c r="X696" s="270">
        <v>955</v>
      </c>
      <c r="Y696" s="270">
        <v>130</v>
      </c>
      <c r="Z696" s="45" t="b">
        <v>1</v>
      </c>
      <c r="AA696" s="45" t="s">
        <v>38</v>
      </c>
      <c r="AB696" s="45" t="s">
        <v>38</v>
      </c>
    </row>
    <row r="697" spans="1:28" x14ac:dyDescent="0.2">
      <c r="A697" s="96" t="s">
        <v>355</v>
      </c>
      <c r="B697" s="270" t="s">
        <v>985</v>
      </c>
      <c r="C697" s="277">
        <v>44287</v>
      </c>
      <c r="D697" s="277">
        <v>44316</v>
      </c>
      <c r="E697" s="270" t="s">
        <v>300</v>
      </c>
      <c r="F697" s="133" t="s">
        <v>34</v>
      </c>
      <c r="G697" s="270" t="s">
        <v>69</v>
      </c>
      <c r="H697" s="272" t="s">
        <v>70</v>
      </c>
      <c r="I697" s="273">
        <v>100</v>
      </c>
      <c r="J697" s="270">
        <v>509</v>
      </c>
      <c r="K697" s="270">
        <f t="shared" si="0"/>
        <v>50900</v>
      </c>
      <c r="L697" s="270">
        <v>-11527</v>
      </c>
      <c r="M697" s="270">
        <v>-5500</v>
      </c>
      <c r="N697" s="274">
        <v>1640.62</v>
      </c>
      <c r="O697" s="55"/>
      <c r="P697" s="105">
        <v>1641</v>
      </c>
      <c r="Q697" s="270">
        <v>-4928</v>
      </c>
      <c r="R697" s="275">
        <v>-3.14E-3</v>
      </c>
      <c r="S697" s="270">
        <v>-5088</v>
      </c>
      <c r="T697" s="270">
        <v>-3448</v>
      </c>
      <c r="U697" s="57">
        <v>1</v>
      </c>
      <c r="V697" s="276">
        <v>0.15</v>
      </c>
      <c r="W697" s="276">
        <v>0.05</v>
      </c>
      <c r="X697" s="270">
        <v>-2758</v>
      </c>
      <c r="Y697" s="270">
        <v>-690</v>
      </c>
      <c r="Z697" s="45" t="b">
        <v>1</v>
      </c>
      <c r="AA697" s="45" t="s">
        <v>38</v>
      </c>
      <c r="AB697" s="45" t="s">
        <v>38</v>
      </c>
    </row>
    <row r="698" spans="1:28" x14ac:dyDescent="0.2">
      <c r="A698" s="96" t="s">
        <v>355</v>
      </c>
      <c r="B698" s="270" t="s">
        <v>985</v>
      </c>
      <c r="C698" s="277">
        <v>44287</v>
      </c>
      <c r="D698" s="277">
        <v>44316</v>
      </c>
      <c r="E698" s="270" t="s">
        <v>300</v>
      </c>
      <c r="F698" s="133" t="s">
        <v>34</v>
      </c>
      <c r="G698" s="270" t="s">
        <v>69</v>
      </c>
      <c r="H698" s="272" t="s">
        <v>71</v>
      </c>
      <c r="I698" s="273">
        <v>20</v>
      </c>
      <c r="J698" s="270">
        <v>16</v>
      </c>
      <c r="K698" s="270">
        <f t="shared" si="0"/>
        <v>320</v>
      </c>
      <c r="L698" s="270">
        <v>1680</v>
      </c>
      <c r="M698" s="270">
        <v>20</v>
      </c>
      <c r="N698" s="274">
        <v>12.38</v>
      </c>
      <c r="O698" s="55"/>
      <c r="P698" s="45">
        <v>12</v>
      </c>
      <c r="Q698" s="270">
        <v>42</v>
      </c>
      <c r="R698" s="275">
        <v>-3.14E-3</v>
      </c>
      <c r="S698" s="270">
        <v>41</v>
      </c>
      <c r="T698" s="270">
        <v>54</v>
      </c>
      <c r="U698" s="57">
        <v>1</v>
      </c>
      <c r="V698" s="276">
        <v>0.15</v>
      </c>
      <c r="W698" s="276">
        <v>0.05</v>
      </c>
      <c r="X698" s="270">
        <v>43</v>
      </c>
      <c r="Y698" s="270">
        <v>11</v>
      </c>
      <c r="Z698" s="45" t="b">
        <v>1</v>
      </c>
      <c r="AA698" s="45" t="s">
        <v>38</v>
      </c>
      <c r="AB698" s="45" t="s">
        <v>38</v>
      </c>
    </row>
    <row r="699" spans="1:28" x14ac:dyDescent="0.2">
      <c r="A699" s="96" t="s">
        <v>355</v>
      </c>
      <c r="B699" s="270" t="s">
        <v>985</v>
      </c>
      <c r="C699" s="277">
        <v>44287</v>
      </c>
      <c r="D699" s="277">
        <v>44316</v>
      </c>
      <c r="E699" s="270" t="s">
        <v>300</v>
      </c>
      <c r="F699" s="133" t="s">
        <v>34</v>
      </c>
      <c r="G699" s="270" t="s">
        <v>69</v>
      </c>
      <c r="H699" s="272" t="s">
        <v>72</v>
      </c>
      <c r="I699" s="273">
        <v>50</v>
      </c>
      <c r="J699" s="270">
        <v>213</v>
      </c>
      <c r="K699" s="270">
        <f t="shared" si="0"/>
        <v>10650</v>
      </c>
      <c r="L699" s="270">
        <v>5100</v>
      </c>
      <c r="M699" s="270">
        <v>-600</v>
      </c>
      <c r="N699" s="274">
        <v>0</v>
      </c>
      <c r="O699" s="55"/>
      <c r="P699" s="45">
        <v>0</v>
      </c>
      <c r="Q699" s="270">
        <v>-92</v>
      </c>
      <c r="R699" s="275">
        <v>-3.14E-3</v>
      </c>
      <c r="S699" s="270">
        <v>-126</v>
      </c>
      <c r="T699" s="270">
        <v>-126</v>
      </c>
      <c r="U699" s="57">
        <v>1</v>
      </c>
      <c r="V699" s="276">
        <v>0.15</v>
      </c>
      <c r="W699" s="276">
        <v>0.05</v>
      </c>
      <c r="X699" s="270">
        <v>-101</v>
      </c>
      <c r="Y699" s="270">
        <v>-25</v>
      </c>
      <c r="Z699" s="45" t="b">
        <v>1</v>
      </c>
      <c r="AA699" s="45" t="s">
        <v>38</v>
      </c>
      <c r="AB699" s="45" t="s">
        <v>38</v>
      </c>
    </row>
    <row r="700" spans="1:28" x14ac:dyDescent="0.2">
      <c r="A700" s="96" t="s">
        <v>447</v>
      </c>
      <c r="B700" s="96" t="s">
        <v>910</v>
      </c>
      <c r="C700" s="277">
        <v>44287</v>
      </c>
      <c r="D700" s="277">
        <v>44316</v>
      </c>
      <c r="E700" s="270" t="s">
        <v>300</v>
      </c>
      <c r="F700" s="133" t="s">
        <v>49</v>
      </c>
      <c r="G700" s="279" t="s">
        <v>61</v>
      </c>
      <c r="H700" s="272" t="s">
        <v>109</v>
      </c>
      <c r="I700" s="273">
        <v>50</v>
      </c>
      <c r="J700" s="270">
        <v>486</v>
      </c>
      <c r="K700" s="270">
        <f t="shared" si="0"/>
        <v>24300</v>
      </c>
      <c r="L700" s="270">
        <v>16280</v>
      </c>
      <c r="M700" s="270">
        <v>1150</v>
      </c>
      <c r="N700" s="274">
        <v>581.77</v>
      </c>
      <c r="O700" s="55"/>
      <c r="P700" s="45">
        <v>582</v>
      </c>
      <c r="Q700" s="270">
        <v>-658</v>
      </c>
      <c r="R700" s="275">
        <v>3.8499999999999998E-4</v>
      </c>
      <c r="S700" s="270">
        <v>-649</v>
      </c>
      <c r="T700" s="270">
        <v>-67</v>
      </c>
      <c r="U700" s="57">
        <v>1</v>
      </c>
      <c r="V700" s="276">
        <v>0.15</v>
      </c>
      <c r="W700" s="276">
        <v>0.1</v>
      </c>
      <c r="X700" s="270">
        <v>-50</v>
      </c>
      <c r="Y700" s="270">
        <v>-17</v>
      </c>
      <c r="Z700" s="45" t="b">
        <v>1</v>
      </c>
      <c r="AA700" s="45" t="s">
        <v>50</v>
      </c>
      <c r="AB700" s="45" t="s">
        <v>50</v>
      </c>
    </row>
    <row r="701" spans="1:28" x14ac:dyDescent="0.2">
      <c r="A701" s="270" t="s">
        <v>447</v>
      </c>
      <c r="B701" s="96" t="s">
        <v>910</v>
      </c>
      <c r="C701" s="277">
        <v>44287</v>
      </c>
      <c r="D701" s="277">
        <v>44316</v>
      </c>
      <c r="E701" s="270" t="s">
        <v>300</v>
      </c>
      <c r="F701" s="96" t="s">
        <v>49</v>
      </c>
      <c r="G701" s="270" t="s">
        <v>61</v>
      </c>
      <c r="H701" s="272" t="s">
        <v>200</v>
      </c>
      <c r="I701" s="273">
        <v>100</v>
      </c>
      <c r="J701" s="270">
        <v>300</v>
      </c>
      <c r="K701" s="270">
        <f t="shared" si="0"/>
        <v>30000</v>
      </c>
      <c r="L701" s="270">
        <v>21335</v>
      </c>
      <c r="M701" s="270">
        <v>1800</v>
      </c>
      <c r="N701" s="274">
        <v>718.23</v>
      </c>
      <c r="O701" s="55"/>
      <c r="P701" s="45">
        <v>718</v>
      </c>
      <c r="Q701" s="270">
        <v>1244</v>
      </c>
      <c r="R701" s="275">
        <v>4.0400000000000001E-4</v>
      </c>
      <c r="S701" s="270">
        <v>1256</v>
      </c>
      <c r="T701" s="270">
        <v>1974</v>
      </c>
      <c r="U701" s="57">
        <v>1</v>
      </c>
      <c r="V701" s="276">
        <v>0.15</v>
      </c>
      <c r="W701" s="276">
        <v>0.1</v>
      </c>
      <c r="X701" s="270">
        <v>1481</v>
      </c>
      <c r="Y701" s="270">
        <v>494</v>
      </c>
      <c r="Z701" s="45" t="b">
        <v>1</v>
      </c>
      <c r="AA701" s="45" t="s">
        <v>50</v>
      </c>
      <c r="AB701" s="45" t="s">
        <v>50</v>
      </c>
    </row>
    <row r="702" spans="1:28" x14ac:dyDescent="0.2">
      <c r="A702" s="96" t="s">
        <v>473</v>
      </c>
      <c r="B702" s="270" t="s">
        <v>119</v>
      </c>
      <c r="C702" s="277">
        <v>44287</v>
      </c>
      <c r="D702" s="277">
        <v>44316</v>
      </c>
      <c r="E702" s="270" t="s">
        <v>267</v>
      </c>
      <c r="F702" s="96" t="s">
        <v>34</v>
      </c>
      <c r="G702" s="270" t="s">
        <v>69</v>
      </c>
      <c r="H702" s="272" t="s">
        <v>71</v>
      </c>
      <c r="I702" s="273">
        <v>20</v>
      </c>
      <c r="J702" s="270">
        <v>1466</v>
      </c>
      <c r="K702" s="270">
        <f t="shared" si="0"/>
        <v>29320</v>
      </c>
      <c r="L702" s="270">
        <v>12717</v>
      </c>
      <c r="M702" s="270">
        <v>-2180</v>
      </c>
      <c r="N702" s="281">
        <v>773</v>
      </c>
      <c r="O702" s="55"/>
      <c r="P702" s="45">
        <v>773</v>
      </c>
      <c r="Q702" s="270">
        <v>-1401</v>
      </c>
      <c r="R702" s="275">
        <v>-3.14E-3</v>
      </c>
      <c r="S702" s="270">
        <v>-1493</v>
      </c>
      <c r="T702" s="270">
        <v>-720</v>
      </c>
      <c r="U702" s="57">
        <v>1</v>
      </c>
      <c r="V702" s="276">
        <v>0.3</v>
      </c>
      <c r="W702" s="276">
        <v>0</v>
      </c>
      <c r="X702" s="270">
        <v>-504</v>
      </c>
      <c r="Y702" s="270">
        <v>-216</v>
      </c>
      <c r="Z702" s="45" t="b">
        <v>1</v>
      </c>
      <c r="AA702" s="45" t="s">
        <v>38</v>
      </c>
      <c r="AB702" s="45" t="s">
        <v>38</v>
      </c>
    </row>
    <row r="703" spans="1:28" x14ac:dyDescent="0.2">
      <c r="A703" s="96" t="s">
        <v>473</v>
      </c>
      <c r="B703" s="270" t="s">
        <v>119</v>
      </c>
      <c r="C703" s="277">
        <v>44287</v>
      </c>
      <c r="D703" s="277">
        <v>44316</v>
      </c>
      <c r="E703" s="270" t="s">
        <v>267</v>
      </c>
      <c r="F703" s="96" t="s">
        <v>41</v>
      </c>
      <c r="G703" s="270" t="s">
        <v>69</v>
      </c>
      <c r="H703" s="272" t="s">
        <v>72</v>
      </c>
      <c r="I703" s="273">
        <v>50</v>
      </c>
      <c r="J703" s="270">
        <v>20</v>
      </c>
      <c r="K703" s="270">
        <f t="shared" si="0"/>
        <v>1000</v>
      </c>
      <c r="L703" s="270"/>
      <c r="M703" s="270">
        <v>150</v>
      </c>
      <c r="N703" s="274"/>
      <c r="O703" s="55"/>
      <c r="P703" s="96"/>
      <c r="Q703" s="270"/>
      <c r="R703" s="275">
        <v>0</v>
      </c>
      <c r="S703" s="270"/>
      <c r="T703" s="270">
        <v>150</v>
      </c>
      <c r="U703" s="57">
        <v>1</v>
      </c>
      <c r="V703" s="276">
        <v>0.3</v>
      </c>
      <c r="W703" s="276">
        <v>0</v>
      </c>
      <c r="X703" s="270">
        <v>105</v>
      </c>
      <c r="Y703" s="270">
        <v>45</v>
      </c>
      <c r="Z703" s="45" t="b">
        <v>1</v>
      </c>
      <c r="AA703" s="45" t="s">
        <v>38</v>
      </c>
      <c r="AB703" s="45" t="s">
        <v>38</v>
      </c>
    </row>
    <row r="704" spans="1:28" x14ac:dyDescent="0.2">
      <c r="A704" s="96" t="s">
        <v>206</v>
      </c>
      <c r="B704" s="96" t="s">
        <v>940</v>
      </c>
      <c r="C704" s="277">
        <v>44287</v>
      </c>
      <c r="D704" s="277">
        <v>44316</v>
      </c>
      <c r="E704" s="270" t="s">
        <v>267</v>
      </c>
      <c r="F704" s="133" t="s">
        <v>34</v>
      </c>
      <c r="G704" s="96" t="s">
        <v>69</v>
      </c>
      <c r="H704" s="272" t="s">
        <v>77</v>
      </c>
      <c r="I704" s="273">
        <v>10</v>
      </c>
      <c r="J704" s="270">
        <v>5</v>
      </c>
      <c r="K704" s="270">
        <f t="shared" si="0"/>
        <v>50</v>
      </c>
      <c r="L704" s="270">
        <v>50</v>
      </c>
      <c r="M704" s="270">
        <v>20</v>
      </c>
      <c r="N704" s="274">
        <v>2.63</v>
      </c>
      <c r="O704" s="55"/>
      <c r="P704" s="45">
        <v>3</v>
      </c>
      <c r="Q704" s="270">
        <v>-2</v>
      </c>
      <c r="R704" s="275">
        <v>-3.14E-3</v>
      </c>
      <c r="S704" s="270">
        <v>-2</v>
      </c>
      <c r="T704" s="270">
        <v>1</v>
      </c>
      <c r="U704" s="57">
        <v>1</v>
      </c>
      <c r="V704" s="276">
        <v>0.22</v>
      </c>
      <c r="W704" s="276">
        <v>0</v>
      </c>
      <c r="X704" s="270">
        <v>1</v>
      </c>
      <c r="Y704" s="270">
        <v>0</v>
      </c>
      <c r="Z704" s="45" t="b">
        <v>1</v>
      </c>
      <c r="AA704" s="45" t="s">
        <v>38</v>
      </c>
      <c r="AB704" s="45" t="s">
        <v>38</v>
      </c>
    </row>
    <row r="705" spans="1:28" x14ac:dyDescent="0.2">
      <c r="A705" s="96" t="s">
        <v>206</v>
      </c>
      <c r="B705" s="96" t="s">
        <v>940</v>
      </c>
      <c r="C705" s="277">
        <v>44287</v>
      </c>
      <c r="D705" s="277">
        <v>44316</v>
      </c>
      <c r="E705" s="270" t="s">
        <v>267</v>
      </c>
      <c r="F705" s="133" t="s">
        <v>34</v>
      </c>
      <c r="G705" s="96" t="s">
        <v>69</v>
      </c>
      <c r="H705" s="272" t="s">
        <v>70</v>
      </c>
      <c r="I705" s="273">
        <v>100</v>
      </c>
      <c r="J705" s="270">
        <v>2543</v>
      </c>
      <c r="K705" s="270">
        <f t="shared" si="0"/>
        <v>254300</v>
      </c>
      <c r="L705" s="270">
        <v>-731</v>
      </c>
      <c r="M705" s="270">
        <v>-8900</v>
      </c>
      <c r="N705" s="274">
        <v>11166.1</v>
      </c>
      <c r="O705" s="55"/>
      <c r="P705" s="105">
        <v>11166</v>
      </c>
      <c r="Q705" s="270">
        <v>-13870</v>
      </c>
      <c r="R705" s="275">
        <v>-3.14E-3</v>
      </c>
      <c r="S705" s="270">
        <v>-14669</v>
      </c>
      <c r="T705" s="270">
        <v>-3503</v>
      </c>
      <c r="U705" s="57">
        <v>1</v>
      </c>
      <c r="V705" s="276">
        <v>0.22</v>
      </c>
      <c r="W705" s="276">
        <v>0</v>
      </c>
      <c r="X705" s="270">
        <v>-2732</v>
      </c>
      <c r="Y705" s="270">
        <v>-771</v>
      </c>
      <c r="Z705" s="45" t="b">
        <v>1</v>
      </c>
      <c r="AA705" s="45" t="s">
        <v>38</v>
      </c>
      <c r="AB705" s="45" t="s">
        <v>38</v>
      </c>
    </row>
    <row r="706" spans="1:28" x14ac:dyDescent="0.2">
      <c r="A706" s="96" t="s">
        <v>206</v>
      </c>
      <c r="B706" s="96" t="s">
        <v>940</v>
      </c>
      <c r="C706" s="277">
        <v>44287</v>
      </c>
      <c r="D706" s="277">
        <v>44316</v>
      </c>
      <c r="E706" s="270" t="s">
        <v>267</v>
      </c>
      <c r="F706" s="133" t="s">
        <v>34</v>
      </c>
      <c r="G706" s="96" t="s">
        <v>69</v>
      </c>
      <c r="H706" s="272" t="s">
        <v>75</v>
      </c>
      <c r="I706" s="273">
        <v>20</v>
      </c>
      <c r="J706" s="270">
        <v>76</v>
      </c>
      <c r="K706" s="270">
        <f t="shared" si="0"/>
        <v>1520</v>
      </c>
      <c r="L706" s="270">
        <v>3546</v>
      </c>
      <c r="M706" s="270">
        <v>300</v>
      </c>
      <c r="N706" s="274">
        <v>0</v>
      </c>
      <c r="O706" s="55"/>
      <c r="P706" s="45">
        <v>0</v>
      </c>
      <c r="Q706" s="270">
        <v>124</v>
      </c>
      <c r="R706" s="275">
        <v>-3.14E-3</v>
      </c>
      <c r="S706" s="270">
        <v>119</v>
      </c>
      <c r="T706" s="270">
        <v>119</v>
      </c>
      <c r="U706" s="57">
        <v>1</v>
      </c>
      <c r="V706" s="276">
        <v>0.22</v>
      </c>
      <c r="W706" s="276">
        <v>0</v>
      </c>
      <c r="X706" s="270">
        <v>93</v>
      </c>
      <c r="Y706" s="270">
        <v>26</v>
      </c>
      <c r="Z706" s="45" t="b">
        <v>1</v>
      </c>
      <c r="AA706" s="45" t="s">
        <v>38</v>
      </c>
      <c r="AB706" s="45" t="s">
        <v>38</v>
      </c>
    </row>
    <row r="707" spans="1:28" x14ac:dyDescent="0.2">
      <c r="A707" s="96" t="s">
        <v>206</v>
      </c>
      <c r="B707" s="96" t="s">
        <v>940</v>
      </c>
      <c r="C707" s="277">
        <v>44287</v>
      </c>
      <c r="D707" s="277">
        <v>44316</v>
      </c>
      <c r="E707" s="270" t="s">
        <v>267</v>
      </c>
      <c r="F707" s="133" t="s">
        <v>34</v>
      </c>
      <c r="G707" s="96" t="s">
        <v>69</v>
      </c>
      <c r="H707" s="272" t="s">
        <v>88</v>
      </c>
      <c r="I707" s="273">
        <v>250</v>
      </c>
      <c r="J707" s="270">
        <v>201</v>
      </c>
      <c r="K707" s="270">
        <f t="shared" si="0"/>
        <v>50250</v>
      </c>
      <c r="L707" s="270">
        <v>3737</v>
      </c>
      <c r="M707" s="270">
        <v>3500</v>
      </c>
      <c r="N707" s="274">
        <v>1765.15</v>
      </c>
      <c r="O707" s="55"/>
      <c r="P707" s="105">
        <v>1765</v>
      </c>
      <c r="Q707" s="270">
        <v>-302</v>
      </c>
      <c r="R707" s="275">
        <v>-3.14E-3</v>
      </c>
      <c r="S707" s="270">
        <v>-460</v>
      </c>
      <c r="T707" s="270">
        <v>1305</v>
      </c>
      <c r="U707" s="57">
        <v>1</v>
      </c>
      <c r="V707" s="276">
        <v>0.22</v>
      </c>
      <c r="W707" s="276">
        <v>0</v>
      </c>
      <c r="X707" s="270">
        <v>1018</v>
      </c>
      <c r="Y707" s="270">
        <v>287</v>
      </c>
      <c r="Z707" s="45" t="b">
        <v>1</v>
      </c>
      <c r="AA707" s="45" t="s">
        <v>38</v>
      </c>
      <c r="AB707" s="45" t="s">
        <v>38</v>
      </c>
    </row>
    <row r="708" spans="1:28" x14ac:dyDescent="0.2">
      <c r="A708" s="96" t="s">
        <v>206</v>
      </c>
      <c r="B708" s="96" t="s">
        <v>940</v>
      </c>
      <c r="C708" s="277">
        <v>44287</v>
      </c>
      <c r="D708" s="277">
        <v>44316</v>
      </c>
      <c r="E708" s="270" t="s">
        <v>267</v>
      </c>
      <c r="F708" s="133" t="s">
        <v>41</v>
      </c>
      <c r="G708" s="96" t="s">
        <v>69</v>
      </c>
      <c r="H708" s="272" t="s">
        <v>984</v>
      </c>
      <c r="I708" s="273">
        <v>5</v>
      </c>
      <c r="J708" s="270">
        <v>1</v>
      </c>
      <c r="K708" s="270">
        <f t="shared" si="0"/>
        <v>5</v>
      </c>
      <c r="L708" s="270"/>
      <c r="M708" s="270">
        <v>-5</v>
      </c>
      <c r="N708" s="274">
        <v>0.35</v>
      </c>
      <c r="O708" s="55"/>
      <c r="P708" s="45">
        <v>0</v>
      </c>
      <c r="Q708" s="270"/>
      <c r="R708" s="275">
        <v>-3.14E-3</v>
      </c>
      <c r="S708" s="270"/>
      <c r="T708" s="270">
        <v>-5</v>
      </c>
      <c r="U708" s="57">
        <v>1</v>
      </c>
      <c r="V708" s="276">
        <v>0.22</v>
      </c>
      <c r="W708" s="276">
        <v>0</v>
      </c>
      <c r="X708" s="270">
        <v>-4</v>
      </c>
      <c r="Y708" s="270">
        <v>-1</v>
      </c>
      <c r="Z708" s="45" t="b">
        <v>1</v>
      </c>
      <c r="AA708" s="45" t="s">
        <v>38</v>
      </c>
      <c r="AB708" s="45" t="s">
        <v>38</v>
      </c>
    </row>
    <row r="709" spans="1:28" x14ac:dyDescent="0.2">
      <c r="A709" s="96" t="s">
        <v>206</v>
      </c>
      <c r="B709" s="96" t="s">
        <v>940</v>
      </c>
      <c r="C709" s="277">
        <v>44287</v>
      </c>
      <c r="D709" s="277">
        <v>44316</v>
      </c>
      <c r="E709" s="270" t="s">
        <v>267</v>
      </c>
      <c r="F709" s="133" t="s">
        <v>34</v>
      </c>
      <c r="G709" s="96" t="s">
        <v>69</v>
      </c>
      <c r="H709" s="272" t="s">
        <v>39</v>
      </c>
      <c r="I709" s="273">
        <v>5</v>
      </c>
      <c r="J709" s="270">
        <v>1</v>
      </c>
      <c r="K709" s="270">
        <f t="shared" si="0"/>
        <v>5</v>
      </c>
      <c r="L709" s="270">
        <v>-155</v>
      </c>
      <c r="M709" s="270">
        <v>5</v>
      </c>
      <c r="N709" s="274">
        <v>0.35</v>
      </c>
      <c r="O709" s="55"/>
      <c r="P709" s="45">
        <v>0</v>
      </c>
      <c r="Q709" s="270">
        <v>-2</v>
      </c>
      <c r="R709" s="275">
        <v>-3.14E-3</v>
      </c>
      <c r="S709" s="270">
        <v>-2</v>
      </c>
      <c r="T709" s="270">
        <v>-2</v>
      </c>
      <c r="U709" s="57">
        <v>1</v>
      </c>
      <c r="V709" s="276">
        <v>0.22</v>
      </c>
      <c r="W709" s="276">
        <v>0</v>
      </c>
      <c r="X709" s="270">
        <v>-1</v>
      </c>
      <c r="Y709" s="270">
        <v>0</v>
      </c>
      <c r="Z709" s="45" t="b">
        <v>1</v>
      </c>
      <c r="AA709" s="45" t="s">
        <v>38</v>
      </c>
      <c r="AB709" s="45" t="s">
        <v>38</v>
      </c>
    </row>
    <row r="710" spans="1:28" x14ac:dyDescent="0.2">
      <c r="A710" s="96" t="s">
        <v>206</v>
      </c>
      <c r="B710" s="96" t="s">
        <v>940</v>
      </c>
      <c r="C710" s="277">
        <v>44287</v>
      </c>
      <c r="D710" s="277">
        <v>44316</v>
      </c>
      <c r="E710" s="270" t="s">
        <v>267</v>
      </c>
      <c r="F710" s="133" t="s">
        <v>34</v>
      </c>
      <c r="G710" s="96" t="s">
        <v>69</v>
      </c>
      <c r="H710" s="272" t="s">
        <v>72</v>
      </c>
      <c r="I710" s="273">
        <v>50</v>
      </c>
      <c r="J710" s="270">
        <v>4</v>
      </c>
      <c r="K710" s="270">
        <f t="shared" si="0"/>
        <v>200</v>
      </c>
      <c r="L710" s="270">
        <v>625</v>
      </c>
      <c r="M710" s="270">
        <v>-100</v>
      </c>
      <c r="N710" s="274">
        <v>8.7799999999999994</v>
      </c>
      <c r="O710" s="55"/>
      <c r="P710" s="45">
        <v>9</v>
      </c>
      <c r="Q710" s="270">
        <v>48</v>
      </c>
      <c r="R710" s="275">
        <v>-3.14E-3</v>
      </c>
      <c r="S710" s="270">
        <v>48</v>
      </c>
      <c r="T710" s="270">
        <v>56</v>
      </c>
      <c r="U710" s="57">
        <v>1</v>
      </c>
      <c r="V710" s="276">
        <v>0.22</v>
      </c>
      <c r="W710" s="276">
        <v>0</v>
      </c>
      <c r="X710" s="270">
        <v>44</v>
      </c>
      <c r="Y710" s="270">
        <v>12</v>
      </c>
      <c r="Z710" s="45" t="b">
        <v>1</v>
      </c>
      <c r="AA710" s="45" t="s">
        <v>38</v>
      </c>
      <c r="AB710" s="45" t="s">
        <v>38</v>
      </c>
    </row>
    <row r="711" spans="1:28" x14ac:dyDescent="0.2">
      <c r="A711" s="96" t="s">
        <v>206</v>
      </c>
      <c r="B711" s="96" t="s">
        <v>940</v>
      </c>
      <c r="C711" s="277">
        <v>44287</v>
      </c>
      <c r="D711" s="277">
        <v>44316</v>
      </c>
      <c r="E711" s="270" t="s">
        <v>267</v>
      </c>
      <c r="F711" s="133" t="s">
        <v>34</v>
      </c>
      <c r="G711" s="96" t="s">
        <v>69</v>
      </c>
      <c r="H711" s="272" t="s">
        <v>142</v>
      </c>
      <c r="I711" s="273">
        <v>500</v>
      </c>
      <c r="J711" s="270">
        <v>10</v>
      </c>
      <c r="K711" s="270">
        <f t="shared" si="0"/>
        <v>5000</v>
      </c>
      <c r="L711" s="270">
        <v>405</v>
      </c>
      <c r="M711" s="270">
        <v>-2500</v>
      </c>
      <c r="N711" s="274">
        <v>175.64</v>
      </c>
      <c r="O711" s="55"/>
      <c r="P711" s="45">
        <v>176</v>
      </c>
      <c r="Q711" s="270">
        <v>184</v>
      </c>
      <c r="R711" s="275">
        <v>-3.14E-3</v>
      </c>
      <c r="S711" s="270">
        <v>168</v>
      </c>
      <c r="T711" s="270">
        <v>344</v>
      </c>
      <c r="U711" s="57">
        <v>1</v>
      </c>
      <c r="V711" s="276">
        <v>0.22</v>
      </c>
      <c r="W711" s="276">
        <v>0</v>
      </c>
      <c r="X711" s="270">
        <v>268</v>
      </c>
      <c r="Y711" s="270">
        <v>76</v>
      </c>
      <c r="Z711" s="45" t="b">
        <v>1</v>
      </c>
      <c r="AA711" s="45" t="s">
        <v>38</v>
      </c>
      <c r="AB711" s="45" t="s">
        <v>38</v>
      </c>
    </row>
    <row r="712" spans="1:28" x14ac:dyDescent="0.2">
      <c r="A712" s="96" t="s">
        <v>286</v>
      </c>
      <c r="B712" s="96" t="s">
        <v>286</v>
      </c>
      <c r="C712" s="277">
        <v>44307</v>
      </c>
      <c r="D712" s="277">
        <v>44336</v>
      </c>
      <c r="E712" s="270" t="s">
        <v>267</v>
      </c>
      <c r="F712" s="133" t="s">
        <v>34</v>
      </c>
      <c r="G712" s="96" t="s">
        <v>35</v>
      </c>
      <c r="H712" s="272" t="s">
        <v>983</v>
      </c>
      <c r="I712" s="273">
        <v>10</v>
      </c>
      <c r="J712" s="270">
        <v>37</v>
      </c>
      <c r="K712" s="270">
        <f t="shared" si="0"/>
        <v>370</v>
      </c>
      <c r="L712" s="270">
        <v>-227</v>
      </c>
      <c r="M712" s="270">
        <v>-80</v>
      </c>
      <c r="N712" s="274">
        <v>17</v>
      </c>
      <c r="O712" s="55"/>
      <c r="P712" s="45">
        <v>17</v>
      </c>
      <c r="Q712" s="270">
        <v>-38</v>
      </c>
      <c r="R712" s="275">
        <v>-3.14E-3</v>
      </c>
      <c r="S712" s="270">
        <v>-39</v>
      </c>
      <c r="T712" s="270">
        <v>-22</v>
      </c>
      <c r="U712" s="57">
        <v>1</v>
      </c>
      <c r="V712" s="276">
        <v>0.15</v>
      </c>
      <c r="W712" s="276">
        <v>0</v>
      </c>
      <c r="X712" s="270">
        <v>-19</v>
      </c>
      <c r="Y712" s="270">
        <v>-3</v>
      </c>
      <c r="Z712" s="45" t="b">
        <v>1</v>
      </c>
      <c r="AA712" s="45" t="s">
        <v>38</v>
      </c>
      <c r="AB712" s="45" t="s">
        <v>38</v>
      </c>
    </row>
    <row r="713" spans="1:28" x14ac:dyDescent="0.2">
      <c r="A713" s="96" t="s">
        <v>286</v>
      </c>
      <c r="B713" s="96" t="s">
        <v>286</v>
      </c>
      <c r="C713" s="277">
        <v>44307</v>
      </c>
      <c r="D713" s="277">
        <v>44336</v>
      </c>
      <c r="E713" s="270" t="s">
        <v>267</v>
      </c>
      <c r="F713" s="133" t="s">
        <v>34</v>
      </c>
      <c r="G713" s="96" t="s">
        <v>35</v>
      </c>
      <c r="H713" s="272" t="s">
        <v>46</v>
      </c>
      <c r="I713" s="273">
        <v>25</v>
      </c>
      <c r="J713" s="270">
        <v>228</v>
      </c>
      <c r="K713" s="270">
        <f t="shared" si="0"/>
        <v>5700</v>
      </c>
      <c r="L713" s="270">
        <v>22238</v>
      </c>
      <c r="M713" s="270">
        <v>1125</v>
      </c>
      <c r="N713" s="274">
        <v>194</v>
      </c>
      <c r="O713" s="55"/>
      <c r="P713" s="45">
        <v>194</v>
      </c>
      <c r="Q713" s="270">
        <v>666</v>
      </c>
      <c r="R713" s="275">
        <v>-3.14E-3</v>
      </c>
      <c r="S713" s="270">
        <v>648</v>
      </c>
      <c r="T713" s="270">
        <v>842</v>
      </c>
      <c r="U713" s="57">
        <v>1</v>
      </c>
      <c r="V713" s="276">
        <v>0.15</v>
      </c>
      <c r="W713" s="276">
        <v>0</v>
      </c>
      <c r="X713" s="270">
        <v>716</v>
      </c>
      <c r="Y713" s="270">
        <v>126</v>
      </c>
      <c r="Z713" s="45" t="b">
        <v>1</v>
      </c>
      <c r="AA713" s="45" t="s">
        <v>38</v>
      </c>
      <c r="AB713" s="45" t="s">
        <v>38</v>
      </c>
    </row>
    <row r="714" spans="1:28" x14ac:dyDescent="0.2">
      <c r="A714" s="96" t="s">
        <v>286</v>
      </c>
      <c r="B714" s="96" t="s">
        <v>286</v>
      </c>
      <c r="C714" s="277">
        <v>44307</v>
      </c>
      <c r="D714" s="277">
        <v>44336</v>
      </c>
      <c r="E714" s="270" t="s">
        <v>267</v>
      </c>
      <c r="F714" s="133" t="s">
        <v>34</v>
      </c>
      <c r="G714" s="96" t="s">
        <v>35</v>
      </c>
      <c r="H714" s="272" t="s">
        <v>87</v>
      </c>
      <c r="I714" s="273">
        <v>25</v>
      </c>
      <c r="J714" s="270">
        <v>1021</v>
      </c>
      <c r="K714" s="270">
        <f t="shared" si="0"/>
        <v>25525</v>
      </c>
      <c r="L714" s="270">
        <v>22873</v>
      </c>
      <c r="M714" s="270">
        <v>-125</v>
      </c>
      <c r="N714" s="274">
        <v>870</v>
      </c>
      <c r="O714" s="55"/>
      <c r="P714" s="45">
        <v>870</v>
      </c>
      <c r="Q714" s="270">
        <v>134</v>
      </c>
      <c r="R714" s="275">
        <v>-3.14E-3</v>
      </c>
      <c r="S714" s="270">
        <v>53</v>
      </c>
      <c r="T714" s="270">
        <v>923</v>
      </c>
      <c r="U714" s="57">
        <v>1</v>
      </c>
      <c r="V714" s="276">
        <v>0.15</v>
      </c>
      <c r="W714" s="276">
        <v>0</v>
      </c>
      <c r="X714" s="270">
        <v>785</v>
      </c>
      <c r="Y714" s="270">
        <v>139</v>
      </c>
      <c r="Z714" s="45" t="b">
        <v>1</v>
      </c>
      <c r="AA714" s="45" t="s">
        <v>38</v>
      </c>
      <c r="AB714" s="45" t="s">
        <v>38</v>
      </c>
    </row>
    <row r="715" spans="1:28" x14ac:dyDescent="0.2">
      <c r="A715" s="96" t="s">
        <v>286</v>
      </c>
      <c r="B715" s="96" t="s">
        <v>286</v>
      </c>
      <c r="C715" s="277">
        <v>44307</v>
      </c>
      <c r="D715" s="277">
        <v>44336</v>
      </c>
      <c r="E715" s="270" t="s">
        <v>267</v>
      </c>
      <c r="F715" s="133" t="s">
        <v>34</v>
      </c>
      <c r="G715" s="96" t="s">
        <v>35</v>
      </c>
      <c r="H715" s="272" t="s">
        <v>72</v>
      </c>
      <c r="I715" s="273">
        <v>50</v>
      </c>
      <c r="J715" s="270">
        <v>227</v>
      </c>
      <c r="K715" s="270">
        <f t="shared" si="0"/>
        <v>11350</v>
      </c>
      <c r="L715" s="270">
        <v>3711</v>
      </c>
      <c r="M715" s="270">
        <v>-550</v>
      </c>
      <c r="N715" s="274">
        <v>399</v>
      </c>
      <c r="O715" s="55"/>
      <c r="P715" s="45">
        <v>399</v>
      </c>
      <c r="Q715" s="270">
        <v>-382</v>
      </c>
      <c r="R715" s="275">
        <v>-3.14E-3</v>
      </c>
      <c r="S715" s="270">
        <v>-418</v>
      </c>
      <c r="T715" s="270">
        <v>-19</v>
      </c>
      <c r="U715" s="57">
        <v>1</v>
      </c>
      <c r="V715" s="276">
        <v>0.15</v>
      </c>
      <c r="W715" s="276">
        <v>0</v>
      </c>
      <c r="X715" s="270">
        <v>-16</v>
      </c>
      <c r="Y715" s="270">
        <v>-3</v>
      </c>
      <c r="Z715" s="45" t="b">
        <v>1</v>
      </c>
      <c r="AA715" s="45" t="s">
        <v>38</v>
      </c>
      <c r="AB715" s="45" t="s">
        <v>38</v>
      </c>
    </row>
    <row r="716" spans="1:28" x14ac:dyDescent="0.2">
      <c r="A716" s="96" t="s">
        <v>286</v>
      </c>
      <c r="B716" s="96" t="s">
        <v>286</v>
      </c>
      <c r="C716" s="277">
        <v>44307</v>
      </c>
      <c r="D716" s="277">
        <v>44336</v>
      </c>
      <c r="E716" s="270" t="s">
        <v>267</v>
      </c>
      <c r="F716" s="133" t="s">
        <v>34</v>
      </c>
      <c r="G716" s="96" t="s">
        <v>35</v>
      </c>
      <c r="H716" s="272" t="s">
        <v>85</v>
      </c>
      <c r="I716" s="273">
        <v>50</v>
      </c>
      <c r="J716" s="270">
        <v>1080</v>
      </c>
      <c r="K716" s="270">
        <f t="shared" si="0"/>
        <v>54000</v>
      </c>
      <c r="L716" s="270">
        <v>2470</v>
      </c>
      <c r="M716" s="270">
        <v>-3350</v>
      </c>
      <c r="N716" s="274">
        <v>1850</v>
      </c>
      <c r="O716" s="55"/>
      <c r="P716" s="105">
        <v>1850</v>
      </c>
      <c r="Q716" s="270">
        <v>-3074</v>
      </c>
      <c r="R716" s="275">
        <v>-3.14E-3</v>
      </c>
      <c r="S716" s="270">
        <v>-3244</v>
      </c>
      <c r="T716" s="270">
        <v>-1394</v>
      </c>
      <c r="U716" s="57">
        <v>1</v>
      </c>
      <c r="V716" s="276">
        <v>0.15</v>
      </c>
      <c r="W716" s="276">
        <v>0</v>
      </c>
      <c r="X716" s="270">
        <v>-1185</v>
      </c>
      <c r="Y716" s="270">
        <v>-209</v>
      </c>
      <c r="Z716" s="45" t="b">
        <v>1</v>
      </c>
      <c r="AA716" s="45" t="s">
        <v>38</v>
      </c>
      <c r="AB716" s="45" t="s">
        <v>38</v>
      </c>
    </row>
    <row r="717" spans="1:28" x14ac:dyDescent="0.2">
      <c r="A717" s="96" t="s">
        <v>286</v>
      </c>
      <c r="B717" s="96" t="s">
        <v>286</v>
      </c>
      <c r="C717" s="277">
        <v>44307</v>
      </c>
      <c r="D717" s="277">
        <v>44336</v>
      </c>
      <c r="E717" s="270" t="s">
        <v>267</v>
      </c>
      <c r="F717" s="133" t="s">
        <v>34</v>
      </c>
      <c r="G717" s="96" t="s">
        <v>35</v>
      </c>
      <c r="H717" s="272" t="s">
        <v>84</v>
      </c>
      <c r="I717" s="273">
        <v>100</v>
      </c>
      <c r="J717" s="270">
        <v>96</v>
      </c>
      <c r="K717" s="270">
        <f t="shared" si="0"/>
        <v>9600</v>
      </c>
      <c r="L717" s="270">
        <v>1789</v>
      </c>
      <c r="M717" s="270">
        <v>-1600</v>
      </c>
      <c r="N717" s="274">
        <v>272</v>
      </c>
      <c r="O717" s="55"/>
      <c r="P717" s="45">
        <v>272</v>
      </c>
      <c r="Q717" s="270">
        <v>40</v>
      </c>
      <c r="R717" s="275">
        <v>-3.14E-3</v>
      </c>
      <c r="S717" s="270">
        <v>10</v>
      </c>
      <c r="T717" s="270">
        <v>282</v>
      </c>
      <c r="U717" s="57">
        <v>1</v>
      </c>
      <c r="V717" s="276">
        <v>0.15</v>
      </c>
      <c r="W717" s="276">
        <v>0</v>
      </c>
      <c r="X717" s="270">
        <v>240</v>
      </c>
      <c r="Y717" s="270">
        <v>42</v>
      </c>
      <c r="Z717" s="45" t="b">
        <v>1</v>
      </c>
      <c r="AA717" s="45" t="s">
        <v>38</v>
      </c>
      <c r="AB717" s="45" t="s">
        <v>38</v>
      </c>
    </row>
    <row r="718" spans="1:28" x14ac:dyDescent="0.2">
      <c r="A718" s="270" t="s">
        <v>60</v>
      </c>
      <c r="B718" s="270" t="s">
        <v>60</v>
      </c>
      <c r="C718" s="277">
        <v>44307</v>
      </c>
      <c r="D718" s="277">
        <v>44336</v>
      </c>
      <c r="E718" s="270" t="s">
        <v>267</v>
      </c>
      <c r="F718" s="96" t="s">
        <v>34</v>
      </c>
      <c r="G718" s="270" t="s">
        <v>61</v>
      </c>
      <c r="H718" s="272" t="s">
        <v>63</v>
      </c>
      <c r="I718" s="273">
        <v>10</v>
      </c>
      <c r="J718" s="270">
        <v>2013</v>
      </c>
      <c r="K718" s="270">
        <f t="shared" si="0"/>
        <v>20130</v>
      </c>
      <c r="L718" s="270">
        <v>158346</v>
      </c>
      <c r="M718" s="270">
        <v>2715</v>
      </c>
      <c r="N718" s="274">
        <v>53.67</v>
      </c>
      <c r="O718" s="55"/>
      <c r="P718" s="45">
        <v>54</v>
      </c>
      <c r="Q718" s="270">
        <v>1125</v>
      </c>
      <c r="R718" s="275">
        <v>-3.14E-3</v>
      </c>
      <c r="S718" s="270">
        <v>1061</v>
      </c>
      <c r="T718" s="270">
        <v>1115</v>
      </c>
      <c r="U718" s="57">
        <v>1</v>
      </c>
      <c r="V718" s="276">
        <v>0.25</v>
      </c>
      <c r="W718" s="276">
        <v>0</v>
      </c>
      <c r="X718" s="270">
        <v>836</v>
      </c>
      <c r="Y718" s="270">
        <v>279</v>
      </c>
      <c r="Z718" s="45" t="b">
        <v>1</v>
      </c>
      <c r="AA718" s="45" t="s">
        <v>50</v>
      </c>
      <c r="AB718" s="45" t="s">
        <v>50</v>
      </c>
    </row>
    <row r="719" spans="1:28" x14ac:dyDescent="0.2">
      <c r="A719" s="270" t="s">
        <v>60</v>
      </c>
      <c r="B719" s="270" t="s">
        <v>60</v>
      </c>
      <c r="C719" s="277">
        <v>44307</v>
      </c>
      <c r="D719" s="277">
        <v>44336</v>
      </c>
      <c r="E719" s="270" t="s">
        <v>267</v>
      </c>
      <c r="F719" s="96" t="s">
        <v>34</v>
      </c>
      <c r="G719" s="270" t="s">
        <v>61</v>
      </c>
      <c r="H719" s="272" t="s">
        <v>93</v>
      </c>
      <c r="I719" s="273">
        <v>25</v>
      </c>
      <c r="J719" s="270">
        <v>20</v>
      </c>
      <c r="K719" s="270">
        <f t="shared" si="0"/>
        <v>500</v>
      </c>
      <c r="L719" s="270">
        <v>1964</v>
      </c>
      <c r="M719" s="270">
        <v>-183</v>
      </c>
      <c r="N719" s="274">
        <v>1.33</v>
      </c>
      <c r="O719" s="55"/>
      <c r="P719" s="45">
        <v>1</v>
      </c>
      <c r="Q719" s="270">
        <v>46</v>
      </c>
      <c r="R719" s="275">
        <v>-3.14E-3</v>
      </c>
      <c r="S719" s="270">
        <v>44</v>
      </c>
      <c r="T719" s="270">
        <v>45</v>
      </c>
      <c r="U719" s="57">
        <v>1</v>
      </c>
      <c r="V719" s="276">
        <v>0.25</v>
      </c>
      <c r="W719" s="276">
        <v>0</v>
      </c>
      <c r="X719" s="270">
        <v>34</v>
      </c>
      <c r="Y719" s="270">
        <v>11</v>
      </c>
      <c r="Z719" s="45" t="b">
        <v>1</v>
      </c>
      <c r="AA719" s="45" t="s">
        <v>50</v>
      </c>
      <c r="AB719" s="45" t="s">
        <v>50</v>
      </c>
    </row>
    <row r="720" spans="1:28" x14ac:dyDescent="0.2">
      <c r="A720" s="96" t="s">
        <v>82</v>
      </c>
      <c r="B720" s="96" t="s">
        <v>82</v>
      </c>
      <c r="C720" s="277">
        <v>44307</v>
      </c>
      <c r="D720" s="277">
        <v>44336</v>
      </c>
      <c r="E720" s="270" t="s">
        <v>300</v>
      </c>
      <c r="F720" s="133" t="s">
        <v>34</v>
      </c>
      <c r="G720" s="96" t="s">
        <v>35</v>
      </c>
      <c r="H720" s="272" t="s">
        <v>83</v>
      </c>
      <c r="I720" s="273">
        <v>10</v>
      </c>
      <c r="J720" s="270">
        <v>1</v>
      </c>
      <c r="K720" s="270">
        <f t="shared" si="0"/>
        <v>10</v>
      </c>
      <c r="L720" s="270">
        <v>-272</v>
      </c>
      <c r="M720" s="270">
        <v>-10</v>
      </c>
      <c r="N720" s="274"/>
      <c r="O720" s="55"/>
      <c r="P720" s="96"/>
      <c r="Q720" s="270">
        <v>-6</v>
      </c>
      <c r="R720" s="275">
        <v>-3.14E-3</v>
      </c>
      <c r="S720" s="270">
        <v>-6</v>
      </c>
      <c r="T720" s="270">
        <v>-6</v>
      </c>
      <c r="U720" s="57">
        <v>1</v>
      </c>
      <c r="V720" s="276">
        <v>0.15</v>
      </c>
      <c r="W720" s="276">
        <v>0.05</v>
      </c>
      <c r="X720" s="270">
        <v>-5</v>
      </c>
      <c r="Y720" s="270">
        <v>-1</v>
      </c>
      <c r="Z720" s="45" t="b">
        <v>1</v>
      </c>
      <c r="AA720" s="45" t="s">
        <v>38</v>
      </c>
      <c r="AB720" s="45" t="s">
        <v>38</v>
      </c>
    </row>
    <row r="721" spans="1:28" x14ac:dyDescent="0.2">
      <c r="A721" s="96" t="s">
        <v>82</v>
      </c>
      <c r="B721" s="96" t="s">
        <v>82</v>
      </c>
      <c r="C721" s="277">
        <v>44307</v>
      </c>
      <c r="D721" s="277">
        <v>44336</v>
      </c>
      <c r="E721" s="270" t="s">
        <v>300</v>
      </c>
      <c r="F721" s="133" t="s">
        <v>34</v>
      </c>
      <c r="G721" s="96" t="s">
        <v>35</v>
      </c>
      <c r="H721" s="272" t="s">
        <v>46</v>
      </c>
      <c r="I721" s="273">
        <v>25</v>
      </c>
      <c r="J721" s="270">
        <v>170</v>
      </c>
      <c r="K721" s="270">
        <f t="shared" si="0"/>
        <v>4250</v>
      </c>
      <c r="L721" s="270">
        <v>3099</v>
      </c>
      <c r="M721" s="270">
        <v>-350</v>
      </c>
      <c r="N721" s="274">
        <v>128</v>
      </c>
      <c r="O721" s="55"/>
      <c r="P721" s="45">
        <v>128</v>
      </c>
      <c r="Q721" s="270">
        <v>-160</v>
      </c>
      <c r="R721" s="275">
        <v>-3.14E-3</v>
      </c>
      <c r="S721" s="270">
        <v>-174</v>
      </c>
      <c r="T721" s="270">
        <v>-46</v>
      </c>
      <c r="U721" s="57">
        <v>1</v>
      </c>
      <c r="V721" s="276">
        <v>0.15</v>
      </c>
      <c r="W721" s="276">
        <v>0.05</v>
      </c>
      <c r="X721" s="270">
        <v>-37</v>
      </c>
      <c r="Y721" s="270">
        <v>-9</v>
      </c>
      <c r="Z721" s="45" t="b">
        <v>1</v>
      </c>
      <c r="AA721" s="45" t="s">
        <v>38</v>
      </c>
      <c r="AB721" s="45" t="s">
        <v>38</v>
      </c>
    </row>
    <row r="722" spans="1:28" x14ac:dyDescent="0.2">
      <c r="A722" s="96" t="s">
        <v>82</v>
      </c>
      <c r="B722" s="96" t="s">
        <v>82</v>
      </c>
      <c r="C722" s="277">
        <v>44307</v>
      </c>
      <c r="D722" s="277">
        <v>44336</v>
      </c>
      <c r="E722" s="270" t="s">
        <v>300</v>
      </c>
      <c r="F722" s="133" t="s">
        <v>34</v>
      </c>
      <c r="G722" s="96" t="s">
        <v>35</v>
      </c>
      <c r="H722" s="272" t="s">
        <v>72</v>
      </c>
      <c r="I722" s="273">
        <v>50</v>
      </c>
      <c r="J722" s="270">
        <v>3021</v>
      </c>
      <c r="K722" s="270">
        <f t="shared" si="0"/>
        <v>151050</v>
      </c>
      <c r="L722" s="270">
        <v>66771</v>
      </c>
      <c r="M722" s="270">
        <v>250</v>
      </c>
      <c r="N722" s="274">
        <v>4570</v>
      </c>
      <c r="O722" s="55"/>
      <c r="P722" s="105">
        <v>4570</v>
      </c>
      <c r="Q722" s="270">
        <v>-3777</v>
      </c>
      <c r="R722" s="275">
        <v>-3.14E-3</v>
      </c>
      <c r="S722" s="270">
        <v>-4251</v>
      </c>
      <c r="T722" s="270">
        <v>319</v>
      </c>
      <c r="U722" s="57">
        <v>1</v>
      </c>
      <c r="V722" s="276">
        <v>0.15</v>
      </c>
      <c r="W722" s="276">
        <v>0.05</v>
      </c>
      <c r="X722" s="270">
        <v>255</v>
      </c>
      <c r="Y722" s="270">
        <v>64</v>
      </c>
      <c r="Z722" s="45" t="b">
        <v>1</v>
      </c>
      <c r="AA722" s="45" t="s">
        <v>38</v>
      </c>
      <c r="AB722" s="45" t="s">
        <v>38</v>
      </c>
    </row>
    <row r="723" spans="1:28" x14ac:dyDescent="0.2">
      <c r="A723" s="96" t="s">
        <v>154</v>
      </c>
      <c r="B723" s="96" t="s">
        <v>154</v>
      </c>
      <c r="C723" s="277">
        <v>44307</v>
      </c>
      <c r="D723" s="277">
        <v>44336</v>
      </c>
      <c r="E723" s="270" t="s">
        <v>267</v>
      </c>
      <c r="F723" s="96" t="s">
        <v>34</v>
      </c>
      <c r="G723" s="270" t="s">
        <v>35</v>
      </c>
      <c r="H723" s="272" t="s">
        <v>83</v>
      </c>
      <c r="I723" s="273">
        <v>10</v>
      </c>
      <c r="J723" s="270">
        <v>87</v>
      </c>
      <c r="K723" s="270">
        <f t="shared" si="0"/>
        <v>870</v>
      </c>
      <c r="L723" s="270">
        <v>5868</v>
      </c>
      <c r="M723" s="270">
        <v>160</v>
      </c>
      <c r="N723" s="274"/>
      <c r="O723" s="55"/>
      <c r="P723" s="96"/>
      <c r="Q723" s="270">
        <v>33</v>
      </c>
      <c r="R723" s="275">
        <v>-3.14E-3</v>
      </c>
      <c r="S723" s="270">
        <v>31</v>
      </c>
      <c r="T723" s="270">
        <v>31</v>
      </c>
      <c r="U723" s="57">
        <v>1</v>
      </c>
      <c r="V723" s="276">
        <v>0.2</v>
      </c>
      <c r="W723" s="276">
        <v>0</v>
      </c>
      <c r="X723" s="270">
        <v>25</v>
      </c>
      <c r="Y723" s="270">
        <v>6</v>
      </c>
      <c r="Z723" s="45" t="b">
        <v>1</v>
      </c>
      <c r="AA723" s="45" t="s">
        <v>38</v>
      </c>
      <c r="AB723" s="45" t="s">
        <v>38</v>
      </c>
    </row>
    <row r="724" spans="1:28" x14ac:dyDescent="0.2">
      <c r="A724" s="96" t="s">
        <v>154</v>
      </c>
      <c r="B724" s="96">
        <v>66.562200000000004</v>
      </c>
      <c r="C724" s="277">
        <v>44307</v>
      </c>
      <c r="D724" s="277">
        <v>44336</v>
      </c>
      <c r="E724" s="270" t="s">
        <v>267</v>
      </c>
      <c r="F724" s="96" t="s">
        <v>34</v>
      </c>
      <c r="G724" s="270" t="s">
        <v>61</v>
      </c>
      <c r="H724" s="272" t="s">
        <v>63</v>
      </c>
      <c r="I724" s="273">
        <v>10</v>
      </c>
      <c r="J724" s="270">
        <v>1820</v>
      </c>
      <c r="K724" s="270">
        <f t="shared" si="0"/>
        <v>18200</v>
      </c>
      <c r="L724" s="270">
        <v>109232</v>
      </c>
      <c r="M724" s="270">
        <v>367</v>
      </c>
      <c r="N724" s="274">
        <v>35</v>
      </c>
      <c r="O724" s="55"/>
      <c r="P724" s="45">
        <v>35</v>
      </c>
      <c r="Q724" s="270">
        <v>399</v>
      </c>
      <c r="R724" s="275">
        <v>-3.14E-3</v>
      </c>
      <c r="S724" s="270">
        <v>342</v>
      </c>
      <c r="T724" s="270">
        <v>377</v>
      </c>
      <c r="U724" s="57">
        <v>1.2230000000000001</v>
      </c>
      <c r="V724" s="276">
        <v>0.2</v>
      </c>
      <c r="W724" s="276">
        <v>0</v>
      </c>
      <c r="X724" s="270">
        <v>369</v>
      </c>
      <c r="Y724" s="270">
        <v>92</v>
      </c>
      <c r="Z724" s="45" t="b">
        <v>1</v>
      </c>
      <c r="AA724" s="45" t="s">
        <v>38</v>
      </c>
      <c r="AB724" s="45" t="s">
        <v>50</v>
      </c>
    </row>
    <row r="725" spans="1:28" x14ac:dyDescent="0.2">
      <c r="A725" s="96" t="s">
        <v>402</v>
      </c>
      <c r="B725" s="96" t="s">
        <v>402</v>
      </c>
      <c r="C725" s="277">
        <v>44307</v>
      </c>
      <c r="D725" s="277">
        <v>44336</v>
      </c>
      <c r="E725" s="270" t="s">
        <v>267</v>
      </c>
      <c r="F725" s="133" t="s">
        <v>34</v>
      </c>
      <c r="G725" s="96" t="s">
        <v>165</v>
      </c>
      <c r="H725" s="272" t="s">
        <v>166</v>
      </c>
      <c r="I725" s="273">
        <v>10</v>
      </c>
      <c r="J725" s="270">
        <v>2522</v>
      </c>
      <c r="K725" s="270">
        <f t="shared" si="0"/>
        <v>25220</v>
      </c>
      <c r="L725" s="270">
        <v>175502</v>
      </c>
      <c r="M725" s="270">
        <v>4310</v>
      </c>
      <c r="N725" s="274"/>
      <c r="O725" s="55"/>
      <c r="P725" s="96"/>
      <c r="Q725" s="270">
        <v>1316</v>
      </c>
      <c r="R725" s="275">
        <v>-3.14E-3</v>
      </c>
      <c r="S725" s="270">
        <v>1237</v>
      </c>
      <c r="T725" s="270">
        <v>1237</v>
      </c>
      <c r="U725" s="57">
        <v>1.2230000000000001</v>
      </c>
      <c r="V725" s="276">
        <v>0.25</v>
      </c>
      <c r="W725" s="276">
        <v>0</v>
      </c>
      <c r="X725" s="270">
        <v>1135</v>
      </c>
      <c r="Y725" s="270">
        <v>378</v>
      </c>
      <c r="Z725" s="45" t="b">
        <v>1</v>
      </c>
      <c r="AA725" s="45" t="s">
        <v>38</v>
      </c>
      <c r="AB725" s="45" t="s">
        <v>50</v>
      </c>
    </row>
    <row r="726" spans="1:28" x14ac:dyDescent="0.2">
      <c r="A726" s="96" t="s">
        <v>178</v>
      </c>
      <c r="B726" s="96" t="s">
        <v>178</v>
      </c>
      <c r="C726" s="277">
        <v>44307</v>
      </c>
      <c r="D726" s="277">
        <v>44336</v>
      </c>
      <c r="E726" s="270" t="s">
        <v>267</v>
      </c>
      <c r="F726" s="133" t="s">
        <v>34</v>
      </c>
      <c r="G726" s="96" t="s">
        <v>61</v>
      </c>
      <c r="H726" s="272" t="s">
        <v>980</v>
      </c>
      <c r="I726" s="273">
        <v>5</v>
      </c>
      <c r="J726" s="270">
        <v>205</v>
      </c>
      <c r="K726" s="270">
        <f t="shared" si="0"/>
        <v>1025</v>
      </c>
      <c r="L726" s="270">
        <v>30553</v>
      </c>
      <c r="M726" s="270">
        <v>312</v>
      </c>
      <c r="N726" s="274">
        <v>17.2</v>
      </c>
      <c r="O726" s="55"/>
      <c r="P726" s="45">
        <v>17</v>
      </c>
      <c r="Q726" s="270">
        <v>189</v>
      </c>
      <c r="R726" s="275">
        <v>-3.14E-3</v>
      </c>
      <c r="S726" s="270">
        <v>185</v>
      </c>
      <c r="T726" s="270">
        <v>203</v>
      </c>
      <c r="U726" s="57">
        <v>1</v>
      </c>
      <c r="V726" s="276">
        <v>0.2</v>
      </c>
      <c r="W726" s="276">
        <v>0</v>
      </c>
      <c r="X726" s="270">
        <v>162</v>
      </c>
      <c r="Y726" s="270">
        <v>41</v>
      </c>
      <c r="Z726" s="45" t="b">
        <v>1</v>
      </c>
      <c r="AA726" s="45" t="s">
        <v>50</v>
      </c>
      <c r="AB726" s="45" t="s">
        <v>50</v>
      </c>
    </row>
    <row r="727" spans="1:28" x14ac:dyDescent="0.2">
      <c r="A727" s="96" t="s">
        <v>178</v>
      </c>
      <c r="B727" s="96" t="s">
        <v>178</v>
      </c>
      <c r="C727" s="277">
        <v>44307</v>
      </c>
      <c r="D727" s="277">
        <v>44336</v>
      </c>
      <c r="E727" s="270" t="s">
        <v>267</v>
      </c>
      <c r="F727" s="133" t="s">
        <v>34</v>
      </c>
      <c r="G727" s="96" t="s">
        <v>61</v>
      </c>
      <c r="H727" s="272" t="s">
        <v>63</v>
      </c>
      <c r="I727" s="273">
        <v>10</v>
      </c>
      <c r="J727" s="270">
        <v>1298</v>
      </c>
      <c r="K727" s="270">
        <f t="shared" si="0"/>
        <v>12980</v>
      </c>
      <c r="L727" s="270">
        <v>74505</v>
      </c>
      <c r="M727" s="270">
        <v>770</v>
      </c>
      <c r="N727" s="274">
        <v>217.8</v>
      </c>
      <c r="O727" s="55"/>
      <c r="P727" s="45">
        <v>218</v>
      </c>
      <c r="Q727" s="270">
        <v>223</v>
      </c>
      <c r="R727" s="275">
        <v>-3.14E-3</v>
      </c>
      <c r="S727" s="270">
        <v>182</v>
      </c>
      <c r="T727" s="270">
        <v>400</v>
      </c>
      <c r="U727" s="57">
        <v>1</v>
      </c>
      <c r="V727" s="276">
        <v>0.2</v>
      </c>
      <c r="W727" s="276">
        <v>0</v>
      </c>
      <c r="X727" s="270">
        <v>320</v>
      </c>
      <c r="Y727" s="270">
        <v>80</v>
      </c>
      <c r="Z727" s="45" t="b">
        <v>1</v>
      </c>
      <c r="AA727" s="45" t="s">
        <v>50</v>
      </c>
      <c r="AB727" s="45" t="s">
        <v>50</v>
      </c>
    </row>
    <row r="728" spans="1:28" x14ac:dyDescent="0.2">
      <c r="A728" s="96" t="s">
        <v>508</v>
      </c>
      <c r="B728" s="96" t="s">
        <v>508</v>
      </c>
      <c r="C728" s="277">
        <v>44307</v>
      </c>
      <c r="D728" s="277">
        <v>44336</v>
      </c>
      <c r="E728" s="270" t="s">
        <v>300</v>
      </c>
      <c r="F728" s="133" t="s">
        <v>34</v>
      </c>
      <c r="G728" s="96" t="s">
        <v>35</v>
      </c>
      <c r="H728" s="272" t="s">
        <v>70</v>
      </c>
      <c r="I728" s="273">
        <v>100</v>
      </c>
      <c r="J728" s="270">
        <v>2426</v>
      </c>
      <c r="K728" s="270">
        <f t="shared" si="0"/>
        <v>242600</v>
      </c>
      <c r="L728" s="270">
        <v>111919</v>
      </c>
      <c r="M728" s="270">
        <v>15600</v>
      </c>
      <c r="N728" s="274">
        <v>2175</v>
      </c>
      <c r="O728" s="55"/>
      <c r="P728" s="105">
        <v>2175</v>
      </c>
      <c r="Q728" s="270">
        <v>7877</v>
      </c>
      <c r="R728" s="275">
        <v>-3.14E-3</v>
      </c>
      <c r="S728" s="270">
        <v>7115</v>
      </c>
      <c r="T728" s="270">
        <v>9290</v>
      </c>
      <c r="U728" s="57">
        <v>1</v>
      </c>
      <c r="V728" s="276">
        <v>0.13500000000000001</v>
      </c>
      <c r="W728" s="276">
        <v>4.4999999999999998E-2</v>
      </c>
      <c r="X728" s="270">
        <v>7618</v>
      </c>
      <c r="Y728" s="270">
        <v>1672</v>
      </c>
      <c r="Z728" s="45" t="b">
        <v>1</v>
      </c>
      <c r="AA728" s="45" t="s">
        <v>38</v>
      </c>
      <c r="AB728" s="45" t="s">
        <v>38</v>
      </c>
    </row>
    <row r="729" spans="1:28" x14ac:dyDescent="0.2">
      <c r="A729" s="96" t="s">
        <v>191</v>
      </c>
      <c r="B729" s="96" t="s">
        <v>193</v>
      </c>
      <c r="C729" s="277">
        <v>44307</v>
      </c>
      <c r="D729" s="277">
        <v>44336</v>
      </c>
      <c r="E729" s="270" t="s">
        <v>267</v>
      </c>
      <c r="F729" s="133" t="s">
        <v>34</v>
      </c>
      <c r="G729" s="96" t="s">
        <v>80</v>
      </c>
      <c r="H729" s="272" t="s">
        <v>71</v>
      </c>
      <c r="I729" s="273">
        <v>20</v>
      </c>
      <c r="J729" s="270">
        <v>7498</v>
      </c>
      <c r="K729" s="270">
        <f t="shared" si="0"/>
        <v>149960</v>
      </c>
      <c r="L729" s="270">
        <v>12652</v>
      </c>
      <c r="M729" s="270">
        <v>-11900</v>
      </c>
      <c r="N729" s="274">
        <v>8029</v>
      </c>
      <c r="O729" s="55"/>
      <c r="P729" s="105">
        <v>8029</v>
      </c>
      <c r="Q729" s="270">
        <v>-10269</v>
      </c>
      <c r="R729" s="275">
        <v>-3.14E-3</v>
      </c>
      <c r="S729" s="270">
        <v>-10740</v>
      </c>
      <c r="T729" s="270">
        <v>-2711</v>
      </c>
      <c r="U729" s="57">
        <v>1</v>
      </c>
      <c r="V729" s="276">
        <v>0.3</v>
      </c>
      <c r="W729" s="276">
        <v>0</v>
      </c>
      <c r="X729" s="270">
        <v>-1898</v>
      </c>
      <c r="Y729" s="270">
        <v>-813</v>
      </c>
      <c r="Z729" s="45" t="b">
        <v>1</v>
      </c>
      <c r="AA729" s="45" t="s">
        <v>38</v>
      </c>
      <c r="AB729" s="45" t="s">
        <v>38</v>
      </c>
    </row>
    <row r="730" spans="1:28" x14ac:dyDescent="0.2">
      <c r="A730" s="96" t="s">
        <v>191</v>
      </c>
      <c r="B730" s="96" t="s">
        <v>193</v>
      </c>
      <c r="C730" s="277">
        <v>44307</v>
      </c>
      <c r="D730" s="277">
        <v>44336</v>
      </c>
      <c r="E730" s="270" t="s">
        <v>267</v>
      </c>
      <c r="F730" s="133" t="s">
        <v>34</v>
      </c>
      <c r="G730" s="96" t="s">
        <v>80</v>
      </c>
      <c r="H730" s="272" t="s">
        <v>72</v>
      </c>
      <c r="I730" s="273">
        <v>50</v>
      </c>
      <c r="J730" s="270">
        <v>67</v>
      </c>
      <c r="K730" s="270">
        <f t="shared" si="0"/>
        <v>3350</v>
      </c>
      <c r="L730" s="270">
        <v>1355</v>
      </c>
      <c r="M730" s="270">
        <v>750</v>
      </c>
      <c r="N730" s="274">
        <f>179+3350</f>
        <v>3529</v>
      </c>
      <c r="O730" s="55"/>
      <c r="P730" s="105">
        <v>3529</v>
      </c>
      <c r="Q730" s="270">
        <v>-51</v>
      </c>
      <c r="R730" s="275">
        <v>-3.14E-3</v>
      </c>
      <c r="S730" s="270">
        <v>-61</v>
      </c>
      <c r="T730" s="270">
        <v>3468</v>
      </c>
      <c r="U730" s="57">
        <v>1</v>
      </c>
      <c r="V730" s="276">
        <v>0.3</v>
      </c>
      <c r="W730" s="276">
        <v>0</v>
      </c>
      <c r="X730" s="270">
        <v>2427</v>
      </c>
      <c r="Y730" s="270">
        <v>1040</v>
      </c>
      <c r="Z730" s="45" t="b">
        <v>1</v>
      </c>
      <c r="AA730" s="45" t="s">
        <v>38</v>
      </c>
      <c r="AB730" s="45" t="s">
        <v>38</v>
      </c>
    </row>
    <row r="731" spans="1:28" x14ac:dyDescent="0.2">
      <c r="A731" s="96" t="s">
        <v>206</v>
      </c>
      <c r="B731" s="96" t="s">
        <v>206</v>
      </c>
      <c r="C731" s="277">
        <v>44307</v>
      </c>
      <c r="D731" s="277">
        <v>44336</v>
      </c>
      <c r="E731" s="270" t="s">
        <v>267</v>
      </c>
      <c r="F731" s="133" t="s">
        <v>34</v>
      </c>
      <c r="G731" s="96" t="s">
        <v>35</v>
      </c>
      <c r="H731" s="272" t="s">
        <v>86</v>
      </c>
      <c r="I731" s="273">
        <v>5</v>
      </c>
      <c r="J731" s="270">
        <v>12</v>
      </c>
      <c r="K731" s="270">
        <f t="shared" si="0"/>
        <v>60</v>
      </c>
      <c r="L731" s="270">
        <v>1328</v>
      </c>
      <c r="M731" s="270">
        <v>-5</v>
      </c>
      <c r="N731" s="274">
        <v>6</v>
      </c>
      <c r="O731" s="55"/>
      <c r="P731" s="45">
        <v>6</v>
      </c>
      <c r="Q731" s="270">
        <v>8</v>
      </c>
      <c r="R731" s="275">
        <v>-3.14E-3</v>
      </c>
      <c r="S731" s="270">
        <v>7</v>
      </c>
      <c r="T731" s="270">
        <v>13</v>
      </c>
      <c r="U731" s="57">
        <v>1</v>
      </c>
      <c r="V731" s="276">
        <v>0.22</v>
      </c>
      <c r="W731" s="276">
        <v>0</v>
      </c>
      <c r="X731" s="270">
        <v>11</v>
      </c>
      <c r="Y731" s="270">
        <v>3</v>
      </c>
      <c r="Z731" s="45" t="b">
        <v>1</v>
      </c>
      <c r="AA731" s="45" t="s">
        <v>38</v>
      </c>
      <c r="AB731" s="45" t="s">
        <v>38</v>
      </c>
    </row>
    <row r="732" spans="1:28" x14ac:dyDescent="0.2">
      <c r="A732" s="96" t="s">
        <v>206</v>
      </c>
      <c r="B732" s="96" t="s">
        <v>206</v>
      </c>
      <c r="C732" s="277">
        <v>44307</v>
      </c>
      <c r="D732" s="277">
        <v>44336</v>
      </c>
      <c r="E732" s="270" t="s">
        <v>267</v>
      </c>
      <c r="F732" s="133" t="s">
        <v>34</v>
      </c>
      <c r="G732" s="96" t="s">
        <v>35</v>
      </c>
      <c r="H732" s="272" t="s">
        <v>83</v>
      </c>
      <c r="I732" s="273">
        <v>10</v>
      </c>
      <c r="J732" s="270">
        <v>18</v>
      </c>
      <c r="K732" s="270">
        <f t="shared" si="0"/>
        <v>180</v>
      </c>
      <c r="L732" s="270">
        <v>3989</v>
      </c>
      <c r="M732" s="270">
        <v>40</v>
      </c>
      <c r="N732" s="274">
        <v>12</v>
      </c>
      <c r="O732" s="55"/>
      <c r="P732" s="45">
        <v>12</v>
      </c>
      <c r="Q732" s="270">
        <v>57</v>
      </c>
      <c r="R732" s="275">
        <v>-3.14E-3</v>
      </c>
      <c r="S732" s="270">
        <v>56</v>
      </c>
      <c r="T732" s="270">
        <v>68</v>
      </c>
      <c r="U732" s="57">
        <v>1</v>
      </c>
      <c r="V732" s="276">
        <v>0.22</v>
      </c>
      <c r="W732" s="276">
        <v>0</v>
      </c>
      <c r="X732" s="270">
        <v>53</v>
      </c>
      <c r="Y732" s="270">
        <v>15</v>
      </c>
      <c r="Z732" s="45" t="b">
        <v>1</v>
      </c>
      <c r="AA732" s="45" t="s">
        <v>38</v>
      </c>
      <c r="AB732" s="45" t="s">
        <v>38</v>
      </c>
    </row>
    <row r="733" spans="1:28" x14ac:dyDescent="0.2">
      <c r="A733" s="96" t="s">
        <v>206</v>
      </c>
      <c r="B733" s="96" t="s">
        <v>206</v>
      </c>
      <c r="C733" s="277">
        <v>44307</v>
      </c>
      <c r="D733" s="277">
        <v>44336</v>
      </c>
      <c r="E733" s="270" t="s">
        <v>267</v>
      </c>
      <c r="F733" s="133" t="s">
        <v>34</v>
      </c>
      <c r="G733" s="96" t="s">
        <v>35</v>
      </c>
      <c r="H733" s="272" t="s">
        <v>72</v>
      </c>
      <c r="I733" s="273">
        <v>50</v>
      </c>
      <c r="J733" s="270">
        <v>56</v>
      </c>
      <c r="K733" s="270">
        <f t="shared" si="0"/>
        <v>2800</v>
      </c>
      <c r="L733" s="270">
        <v>-4279</v>
      </c>
      <c r="M733" s="270">
        <v>-400</v>
      </c>
      <c r="N733" s="274">
        <v>142</v>
      </c>
      <c r="O733" s="55"/>
      <c r="P733" s="45">
        <v>142</v>
      </c>
      <c r="Q733" s="270">
        <v>-579</v>
      </c>
      <c r="R733" s="275">
        <v>-3.14E-3</v>
      </c>
      <c r="S733" s="270">
        <v>-587</v>
      </c>
      <c r="T733" s="270">
        <v>-445</v>
      </c>
      <c r="U733" s="57">
        <v>1</v>
      </c>
      <c r="V733" s="276">
        <v>0.22</v>
      </c>
      <c r="W733" s="276">
        <v>0</v>
      </c>
      <c r="X733" s="270">
        <v>-347</v>
      </c>
      <c r="Y733" s="270">
        <v>-98</v>
      </c>
      <c r="Z733" s="45" t="b">
        <v>1</v>
      </c>
      <c r="AA733" s="45" t="s">
        <v>38</v>
      </c>
      <c r="AB733" s="45" t="s">
        <v>38</v>
      </c>
    </row>
    <row r="734" spans="1:28" x14ac:dyDescent="0.2">
      <c r="A734" s="96" t="s">
        <v>206</v>
      </c>
      <c r="B734" s="96" t="s">
        <v>206</v>
      </c>
      <c r="C734" s="277">
        <v>44307</v>
      </c>
      <c r="D734" s="277">
        <v>44336</v>
      </c>
      <c r="E734" s="270" t="s">
        <v>267</v>
      </c>
      <c r="F734" s="133" t="s">
        <v>34</v>
      </c>
      <c r="G734" s="96" t="s">
        <v>35</v>
      </c>
      <c r="H734" s="272" t="s">
        <v>70</v>
      </c>
      <c r="I734" s="273">
        <v>100</v>
      </c>
      <c r="J734" s="270">
        <v>1998</v>
      </c>
      <c r="K734" s="270">
        <f t="shared" si="0"/>
        <v>199800</v>
      </c>
      <c r="L734" s="270">
        <v>51769</v>
      </c>
      <c r="M734" s="270">
        <v>-10800</v>
      </c>
      <c r="N734" s="274">
        <v>8360</v>
      </c>
      <c r="O734" s="55"/>
      <c r="P734" s="105">
        <v>8360</v>
      </c>
      <c r="Q734" s="270">
        <v>-1311</v>
      </c>
      <c r="R734" s="275">
        <v>-3.14E-3</v>
      </c>
      <c r="S734" s="270">
        <v>-1939</v>
      </c>
      <c r="T734" s="270">
        <v>6421</v>
      </c>
      <c r="U734" s="57">
        <v>1</v>
      </c>
      <c r="V734" s="276">
        <v>0.22</v>
      </c>
      <c r="W734" s="276">
        <v>0</v>
      </c>
      <c r="X734" s="270">
        <v>5009</v>
      </c>
      <c r="Y734" s="270">
        <v>1413</v>
      </c>
      <c r="Z734" s="45" t="b">
        <v>1</v>
      </c>
      <c r="AA734" s="45" t="s">
        <v>38</v>
      </c>
      <c r="AB734" s="45" t="s">
        <v>38</v>
      </c>
    </row>
    <row r="735" spans="1:28" x14ac:dyDescent="0.2">
      <c r="A735" s="96" t="s">
        <v>145</v>
      </c>
      <c r="B735" s="96" t="s">
        <v>145</v>
      </c>
      <c r="C735" s="277">
        <v>44317</v>
      </c>
      <c r="D735" s="277">
        <v>44347</v>
      </c>
      <c r="E735" s="270" t="s">
        <v>267</v>
      </c>
      <c r="F735" s="133" t="s">
        <v>49</v>
      </c>
      <c r="G735" s="279" t="s">
        <v>35</v>
      </c>
      <c r="H735" s="272" t="s">
        <v>70</v>
      </c>
      <c r="I735" s="273">
        <v>100</v>
      </c>
      <c r="J735" s="270">
        <v>2093</v>
      </c>
      <c r="K735" s="270">
        <f t="shared" si="0"/>
        <v>209300</v>
      </c>
      <c r="L735" s="270">
        <v>55932</v>
      </c>
      <c r="M735" s="270">
        <v>1200</v>
      </c>
      <c r="N735" s="274">
        <v>2383</v>
      </c>
      <c r="O735" s="55"/>
      <c r="P735" s="105">
        <v>2383</v>
      </c>
      <c r="Q735" s="270">
        <v>-856</v>
      </c>
      <c r="R735" s="275">
        <v>8.4000000000000003E-4</v>
      </c>
      <c r="S735" s="270">
        <v>-680</v>
      </c>
      <c r="T735" s="270">
        <v>1703</v>
      </c>
      <c r="U735" s="57">
        <v>1</v>
      </c>
      <c r="V735" s="276">
        <v>0.12</v>
      </c>
      <c r="W735" s="276">
        <v>0</v>
      </c>
      <c r="X735" s="270">
        <v>1499</v>
      </c>
      <c r="Y735" s="270">
        <v>204</v>
      </c>
      <c r="Z735" s="45" t="b">
        <v>1</v>
      </c>
      <c r="AA735" s="45" t="s">
        <v>38</v>
      </c>
      <c r="AB735" s="45" t="s">
        <v>38</v>
      </c>
    </row>
    <row r="736" spans="1:28" x14ac:dyDescent="0.2">
      <c r="A736" s="96" t="s">
        <v>145</v>
      </c>
      <c r="B736" s="96" t="s">
        <v>145</v>
      </c>
      <c r="C736" s="277">
        <v>44317</v>
      </c>
      <c r="D736" s="277">
        <v>44347</v>
      </c>
      <c r="E736" s="270" t="s">
        <v>267</v>
      </c>
      <c r="F736" s="133" t="s">
        <v>41</v>
      </c>
      <c r="G736" s="279" t="s">
        <v>35</v>
      </c>
      <c r="H736" s="272" t="s">
        <v>72</v>
      </c>
      <c r="I736" s="273">
        <v>50</v>
      </c>
      <c r="J736" s="270">
        <v>29</v>
      </c>
      <c r="K736" s="270">
        <f t="shared" si="0"/>
        <v>1450</v>
      </c>
      <c r="L736" s="270"/>
      <c r="M736" s="270">
        <v>-400</v>
      </c>
      <c r="N736" s="274">
        <v>20</v>
      </c>
      <c r="O736" s="55"/>
      <c r="P736" s="45">
        <v>20</v>
      </c>
      <c r="Q736" s="270"/>
      <c r="R736" s="275">
        <v>0</v>
      </c>
      <c r="S736" s="270"/>
      <c r="T736" s="270">
        <v>-380</v>
      </c>
      <c r="U736" s="57">
        <v>1</v>
      </c>
      <c r="V736" s="276">
        <v>0.12</v>
      </c>
      <c r="W736" s="276">
        <v>0</v>
      </c>
      <c r="X736" s="270">
        <v>-334</v>
      </c>
      <c r="Y736" s="270">
        <v>-46</v>
      </c>
      <c r="Z736" s="45" t="b">
        <v>1</v>
      </c>
      <c r="AA736" s="45" t="s">
        <v>38</v>
      </c>
      <c r="AB736" s="45" t="s">
        <v>38</v>
      </c>
    </row>
    <row r="737" spans="1:28" x14ac:dyDescent="0.2">
      <c r="A737" s="96" t="s">
        <v>145</v>
      </c>
      <c r="B737" s="96" t="s">
        <v>145</v>
      </c>
      <c r="C737" s="277">
        <v>44317</v>
      </c>
      <c r="D737" s="277">
        <v>44347</v>
      </c>
      <c r="E737" s="270" t="s">
        <v>267</v>
      </c>
      <c r="F737" s="133" t="s">
        <v>41</v>
      </c>
      <c r="G737" s="279" t="s">
        <v>35</v>
      </c>
      <c r="H737" s="272" t="s">
        <v>46</v>
      </c>
      <c r="I737" s="273">
        <v>25</v>
      </c>
      <c r="J737" s="270">
        <v>19</v>
      </c>
      <c r="K737" s="270">
        <f t="shared" si="0"/>
        <v>475</v>
      </c>
      <c r="L737" s="270"/>
      <c r="M737" s="270">
        <v>250</v>
      </c>
      <c r="N737" s="274">
        <v>7</v>
      </c>
      <c r="O737" s="55"/>
      <c r="P737" s="45">
        <v>7</v>
      </c>
      <c r="Q737" s="270"/>
      <c r="R737" s="275">
        <v>0</v>
      </c>
      <c r="S737" s="270"/>
      <c r="T737" s="270">
        <v>257</v>
      </c>
      <c r="U737" s="57">
        <v>1</v>
      </c>
      <c r="V737" s="276">
        <v>0.12</v>
      </c>
      <c r="W737" s="276">
        <v>0</v>
      </c>
      <c r="X737" s="270">
        <v>226</v>
      </c>
      <c r="Y737" s="270">
        <v>31</v>
      </c>
      <c r="Z737" s="45" t="b">
        <v>1</v>
      </c>
      <c r="AA737" s="45" t="s">
        <v>38</v>
      </c>
      <c r="AB737" s="45" t="s">
        <v>38</v>
      </c>
    </row>
    <row r="738" spans="1:28" x14ac:dyDescent="0.2">
      <c r="A738" s="96" t="s">
        <v>145</v>
      </c>
      <c r="B738" s="96" t="s">
        <v>145</v>
      </c>
      <c r="C738" s="277">
        <v>44317</v>
      </c>
      <c r="D738" s="277">
        <v>44347</v>
      </c>
      <c r="E738" s="270" t="s">
        <v>267</v>
      </c>
      <c r="F738" s="133" t="s">
        <v>41</v>
      </c>
      <c r="G738" s="279" t="s">
        <v>35</v>
      </c>
      <c r="H738" s="272" t="s">
        <v>86</v>
      </c>
      <c r="I738" s="273">
        <v>5</v>
      </c>
      <c r="J738" s="270">
        <v>1</v>
      </c>
      <c r="K738" s="270">
        <f t="shared" si="0"/>
        <v>5</v>
      </c>
      <c r="L738" s="270"/>
      <c r="M738" s="270">
        <v>-5</v>
      </c>
      <c r="N738" s="274"/>
      <c r="O738" s="55"/>
      <c r="P738" s="96"/>
      <c r="Q738" s="270"/>
      <c r="R738" s="275">
        <v>0</v>
      </c>
      <c r="S738" s="270"/>
      <c r="T738" s="270">
        <v>-5</v>
      </c>
      <c r="U738" s="57">
        <v>1</v>
      </c>
      <c r="V738" s="276">
        <v>0.12</v>
      </c>
      <c r="W738" s="276">
        <v>0</v>
      </c>
      <c r="X738" s="270">
        <v>-4</v>
      </c>
      <c r="Y738" s="270">
        <v>-1</v>
      </c>
      <c r="Z738" s="45" t="b">
        <v>1</v>
      </c>
      <c r="AA738" s="45" t="s">
        <v>38</v>
      </c>
      <c r="AB738" s="45" t="s">
        <v>38</v>
      </c>
    </row>
    <row r="739" spans="1:28" x14ac:dyDescent="0.2">
      <c r="A739" s="96" t="s">
        <v>355</v>
      </c>
      <c r="B739" s="270" t="s">
        <v>985</v>
      </c>
      <c r="C739" s="277">
        <v>44317</v>
      </c>
      <c r="D739" s="277">
        <v>44347</v>
      </c>
      <c r="E739" s="270" t="s">
        <v>300</v>
      </c>
      <c r="F739" s="133" t="s">
        <v>34</v>
      </c>
      <c r="G739" s="270" t="s">
        <v>69</v>
      </c>
      <c r="H739" s="272" t="s">
        <v>70</v>
      </c>
      <c r="I739" s="273">
        <v>100</v>
      </c>
      <c r="J739" s="270">
        <v>94</v>
      </c>
      <c r="K739" s="270">
        <f t="shared" si="0"/>
        <v>9400</v>
      </c>
      <c r="L739" s="270">
        <v>-4008</v>
      </c>
      <c r="M739" s="270">
        <v>-1800</v>
      </c>
      <c r="N739" s="274">
        <v>377.16</v>
      </c>
      <c r="O739" s="55"/>
      <c r="P739" s="45">
        <v>377</v>
      </c>
      <c r="Q739" s="270">
        <v>-1265</v>
      </c>
      <c r="R739" s="275">
        <v>1.9300000000000001E-3</v>
      </c>
      <c r="S739" s="270">
        <v>-1247</v>
      </c>
      <c r="T739" s="270">
        <v>-870</v>
      </c>
      <c r="U739" s="57">
        <v>1</v>
      </c>
      <c r="V739" s="276">
        <v>0.15</v>
      </c>
      <c r="W739" s="276">
        <v>0.05</v>
      </c>
      <c r="X739" s="270">
        <v>-696</v>
      </c>
      <c r="Y739" s="270">
        <v>-174</v>
      </c>
      <c r="Z739" s="45" t="b">
        <v>1</v>
      </c>
      <c r="AA739" s="45" t="s">
        <v>38</v>
      </c>
      <c r="AB739" s="45" t="s">
        <v>38</v>
      </c>
    </row>
    <row r="740" spans="1:28" x14ac:dyDescent="0.2">
      <c r="A740" s="96" t="s">
        <v>355</v>
      </c>
      <c r="B740" s="270" t="s">
        <v>985</v>
      </c>
      <c r="C740" s="277">
        <v>44317</v>
      </c>
      <c r="D740" s="277">
        <v>44347</v>
      </c>
      <c r="E740" s="270" t="s">
        <v>300</v>
      </c>
      <c r="F740" s="133" t="s">
        <v>34</v>
      </c>
      <c r="G740" s="270" t="s">
        <v>69</v>
      </c>
      <c r="H740" s="272" t="s">
        <v>71</v>
      </c>
      <c r="I740" s="273">
        <v>20</v>
      </c>
      <c r="J740" s="270">
        <v>5</v>
      </c>
      <c r="K740" s="270">
        <f t="shared" si="0"/>
        <v>100</v>
      </c>
      <c r="L740" s="270">
        <v>-2002</v>
      </c>
      <c r="M740" s="270">
        <v>-100</v>
      </c>
      <c r="N740" s="274">
        <v>4.8099999999999996</v>
      </c>
      <c r="O740" s="55"/>
      <c r="P740" s="45">
        <v>5</v>
      </c>
      <c r="Q740" s="270">
        <v>-81</v>
      </c>
      <c r="R740" s="275">
        <v>1.9300000000000001E-3</v>
      </c>
      <c r="S740" s="270">
        <v>-81</v>
      </c>
      <c r="T740" s="270">
        <v>-76</v>
      </c>
      <c r="U740" s="57">
        <v>1</v>
      </c>
      <c r="V740" s="276">
        <v>0.15</v>
      </c>
      <c r="W740" s="276">
        <v>0.05</v>
      </c>
      <c r="X740" s="270">
        <v>-61</v>
      </c>
      <c r="Y740" s="270">
        <v>-15</v>
      </c>
      <c r="Z740" s="45" t="b">
        <v>1</v>
      </c>
      <c r="AA740" s="45" t="s">
        <v>38</v>
      </c>
      <c r="AB740" s="45" t="s">
        <v>38</v>
      </c>
    </row>
    <row r="741" spans="1:28" x14ac:dyDescent="0.2">
      <c r="A741" s="96" t="s">
        <v>355</v>
      </c>
      <c r="B741" s="270" t="s">
        <v>985</v>
      </c>
      <c r="C741" s="277">
        <v>44317</v>
      </c>
      <c r="D741" s="277">
        <v>44347</v>
      </c>
      <c r="E741" s="270" t="s">
        <v>300</v>
      </c>
      <c r="F741" s="133" t="s">
        <v>34</v>
      </c>
      <c r="G741" s="270" t="s">
        <v>69</v>
      </c>
      <c r="H741" s="272" t="s">
        <v>75</v>
      </c>
      <c r="I741" s="273">
        <v>20</v>
      </c>
      <c r="J741" s="270">
        <v>12</v>
      </c>
      <c r="K741" s="270">
        <f t="shared" si="0"/>
        <v>240</v>
      </c>
      <c r="L741" s="270">
        <v>328</v>
      </c>
      <c r="M741" s="270">
        <v>60</v>
      </c>
      <c r="N741" s="274">
        <v>0</v>
      </c>
      <c r="O741" s="55"/>
      <c r="P741" s="45">
        <v>0</v>
      </c>
      <c r="Q741" s="270">
        <v>5</v>
      </c>
      <c r="R741" s="275">
        <v>1.9300000000000001E-3</v>
      </c>
      <c r="S741" s="270">
        <v>6</v>
      </c>
      <c r="T741" s="270">
        <v>6</v>
      </c>
      <c r="U741" s="57">
        <v>1</v>
      </c>
      <c r="V741" s="276">
        <v>0.15</v>
      </c>
      <c r="W741" s="276">
        <v>0.05</v>
      </c>
      <c r="X741" s="270">
        <v>4</v>
      </c>
      <c r="Y741" s="270">
        <v>1</v>
      </c>
      <c r="Z741" s="45" t="b">
        <v>1</v>
      </c>
      <c r="AA741" s="45" t="s">
        <v>38</v>
      </c>
      <c r="AB741" s="45" t="s">
        <v>38</v>
      </c>
    </row>
    <row r="742" spans="1:28" x14ac:dyDescent="0.2">
      <c r="A742" s="96" t="s">
        <v>355</v>
      </c>
      <c r="B742" s="270" t="s">
        <v>985</v>
      </c>
      <c r="C742" s="277">
        <v>44317</v>
      </c>
      <c r="D742" s="277">
        <v>44347</v>
      </c>
      <c r="E742" s="270" t="s">
        <v>300</v>
      </c>
      <c r="F742" s="133" t="s">
        <v>34</v>
      </c>
      <c r="G742" s="270" t="s">
        <v>69</v>
      </c>
      <c r="H742" s="272" t="s">
        <v>72</v>
      </c>
      <c r="I742" s="273">
        <v>50</v>
      </c>
      <c r="J742" s="270">
        <v>4</v>
      </c>
      <c r="K742" s="270">
        <f t="shared" si="0"/>
        <v>200</v>
      </c>
      <c r="L742" s="270">
        <v>2326</v>
      </c>
      <c r="M742" s="270">
        <v>250</v>
      </c>
      <c r="N742" s="274">
        <v>8.02</v>
      </c>
      <c r="O742" s="55"/>
      <c r="P742" s="45">
        <v>8</v>
      </c>
      <c r="Q742" s="270">
        <v>209</v>
      </c>
      <c r="R742" s="275">
        <v>1.9300000000000001E-3</v>
      </c>
      <c r="S742" s="270">
        <v>209</v>
      </c>
      <c r="T742" s="270">
        <v>217</v>
      </c>
      <c r="U742" s="57">
        <v>1</v>
      </c>
      <c r="V742" s="276">
        <v>0.15</v>
      </c>
      <c r="W742" s="276">
        <v>0.05</v>
      </c>
      <c r="X742" s="270">
        <v>174</v>
      </c>
      <c r="Y742" s="270">
        <v>43</v>
      </c>
      <c r="Z742" s="45" t="b">
        <v>1</v>
      </c>
      <c r="AA742" s="45" t="s">
        <v>38</v>
      </c>
      <c r="AB742" s="45" t="s">
        <v>38</v>
      </c>
    </row>
    <row r="743" spans="1:28" x14ac:dyDescent="0.2">
      <c r="A743" s="270" t="s">
        <v>447</v>
      </c>
      <c r="B743" s="96" t="s">
        <v>66</v>
      </c>
      <c r="C743" s="277">
        <v>44317</v>
      </c>
      <c r="D743" s="277">
        <v>44347</v>
      </c>
      <c r="E743" s="270" t="s">
        <v>300</v>
      </c>
      <c r="F743" s="96" t="s">
        <v>49</v>
      </c>
      <c r="G743" s="270" t="s">
        <v>61</v>
      </c>
      <c r="H743" s="272" t="s">
        <v>109</v>
      </c>
      <c r="I743" s="273">
        <v>50</v>
      </c>
      <c r="J743" s="270">
        <v>1882</v>
      </c>
      <c r="K743" s="270">
        <f t="shared" si="0"/>
        <v>94100</v>
      </c>
      <c r="L743" s="270">
        <v>91626</v>
      </c>
      <c r="M743" s="270">
        <v>950</v>
      </c>
      <c r="N743" s="274">
        <v>2250</v>
      </c>
      <c r="O743" s="55"/>
      <c r="P743" s="105">
        <v>2250</v>
      </c>
      <c r="Q743" s="270">
        <v>122</v>
      </c>
      <c r="R743" s="275">
        <v>8.5099999999999998E-4</v>
      </c>
      <c r="S743" s="270">
        <v>202</v>
      </c>
      <c r="T743" s="270">
        <v>2452</v>
      </c>
      <c r="U743" s="57">
        <v>1</v>
      </c>
      <c r="V743" s="276">
        <v>0.15</v>
      </c>
      <c r="W743" s="276">
        <v>0.1</v>
      </c>
      <c r="X743" s="270">
        <v>1839</v>
      </c>
      <c r="Y743" s="270">
        <v>613</v>
      </c>
      <c r="Z743" s="45" t="b">
        <v>1</v>
      </c>
      <c r="AA743" s="45" t="s">
        <v>50</v>
      </c>
      <c r="AB743" s="45" t="s">
        <v>50</v>
      </c>
    </row>
    <row r="744" spans="1:28" x14ac:dyDescent="0.2">
      <c r="A744" s="96" t="s">
        <v>473</v>
      </c>
      <c r="B744" s="270" t="s">
        <v>120</v>
      </c>
      <c r="C744" s="277">
        <v>44317</v>
      </c>
      <c r="D744" s="277">
        <v>44347</v>
      </c>
      <c r="E744" s="270" t="s">
        <v>267</v>
      </c>
      <c r="F744" s="96" t="s">
        <v>34</v>
      </c>
      <c r="G744" s="270" t="s">
        <v>69</v>
      </c>
      <c r="H744" s="272" t="s">
        <v>71</v>
      </c>
      <c r="I744" s="273">
        <v>20</v>
      </c>
      <c r="J744" s="270">
        <v>408</v>
      </c>
      <c r="K744" s="270">
        <f t="shared" si="0"/>
        <v>8160</v>
      </c>
      <c r="L744" s="270">
        <v>9051</v>
      </c>
      <c r="M744" s="270">
        <v>-640</v>
      </c>
      <c r="N744" s="281">
        <v>998</v>
      </c>
      <c r="O744" s="55"/>
      <c r="P744" s="45">
        <v>998</v>
      </c>
      <c r="Q744" s="270">
        <v>-184</v>
      </c>
      <c r="R744" s="275">
        <v>1.9300000000000001E-3</v>
      </c>
      <c r="S744" s="270">
        <v>-168</v>
      </c>
      <c r="T744" s="270">
        <v>830</v>
      </c>
      <c r="U744" s="57">
        <v>1</v>
      </c>
      <c r="V744" s="276">
        <v>0.3</v>
      </c>
      <c r="W744" s="276">
        <v>0</v>
      </c>
      <c r="X744" s="270">
        <v>581</v>
      </c>
      <c r="Y744" s="270">
        <v>249</v>
      </c>
      <c r="Z744" s="45" t="b">
        <v>1</v>
      </c>
      <c r="AA744" s="45" t="s">
        <v>38</v>
      </c>
      <c r="AB744" s="45" t="s">
        <v>38</v>
      </c>
    </row>
    <row r="745" spans="1:28" x14ac:dyDescent="0.2">
      <c r="A745" s="96" t="s">
        <v>206</v>
      </c>
      <c r="B745" s="96" t="s">
        <v>940</v>
      </c>
      <c r="C745" s="277">
        <v>44317</v>
      </c>
      <c r="D745" s="277">
        <v>44347</v>
      </c>
      <c r="E745" s="270" t="s">
        <v>267</v>
      </c>
      <c r="F745" s="133" t="s">
        <v>41</v>
      </c>
      <c r="G745" s="96" t="s">
        <v>69</v>
      </c>
      <c r="H745" s="272" t="s">
        <v>40</v>
      </c>
      <c r="I745" s="273">
        <v>10</v>
      </c>
      <c r="J745" s="270">
        <v>1</v>
      </c>
      <c r="K745" s="270">
        <f t="shared" si="0"/>
        <v>10</v>
      </c>
      <c r="L745" s="270"/>
      <c r="M745" s="270">
        <v>30</v>
      </c>
      <c r="N745" s="274">
        <v>0.56999999999999995</v>
      </c>
      <c r="O745" s="55"/>
      <c r="P745" s="45">
        <v>1</v>
      </c>
      <c r="Q745" s="270"/>
      <c r="R745" s="275">
        <v>0</v>
      </c>
      <c r="S745" s="270"/>
      <c r="T745" s="270">
        <v>31</v>
      </c>
      <c r="U745" s="57">
        <v>1</v>
      </c>
      <c r="V745" s="276">
        <v>0.22</v>
      </c>
      <c r="W745" s="276">
        <v>0</v>
      </c>
      <c r="X745" s="270">
        <v>24</v>
      </c>
      <c r="Y745" s="270">
        <v>7</v>
      </c>
      <c r="Z745" s="45" t="b">
        <v>1</v>
      </c>
      <c r="AA745" s="45" t="s">
        <v>38</v>
      </c>
      <c r="AB745" s="45" t="s">
        <v>38</v>
      </c>
    </row>
    <row r="746" spans="1:28" x14ac:dyDescent="0.2">
      <c r="A746" s="96" t="s">
        <v>206</v>
      </c>
      <c r="B746" s="96" t="s">
        <v>940</v>
      </c>
      <c r="C746" s="277">
        <v>44317</v>
      </c>
      <c r="D746" s="277">
        <v>44347</v>
      </c>
      <c r="E746" s="270" t="s">
        <v>267</v>
      </c>
      <c r="F746" s="133" t="s">
        <v>34</v>
      </c>
      <c r="G746" s="96" t="s">
        <v>69</v>
      </c>
      <c r="H746" s="272" t="s">
        <v>70</v>
      </c>
      <c r="I746" s="273">
        <v>100</v>
      </c>
      <c r="J746" s="270">
        <v>3366</v>
      </c>
      <c r="K746" s="270">
        <f t="shared" si="0"/>
        <v>336600</v>
      </c>
      <c r="L746" s="270">
        <v>59137</v>
      </c>
      <c r="M746" s="270">
        <v>-12700</v>
      </c>
      <c r="N746" s="274">
        <v>16100.03</v>
      </c>
      <c r="O746" s="55"/>
      <c r="P746" s="105">
        <v>16100</v>
      </c>
      <c r="Q746" s="270">
        <v>-6994</v>
      </c>
      <c r="R746" s="275">
        <v>1.9300000000000001E-3</v>
      </c>
      <c r="S746" s="270">
        <v>-6344</v>
      </c>
      <c r="T746" s="270">
        <v>9756</v>
      </c>
      <c r="U746" s="57">
        <v>1</v>
      </c>
      <c r="V746" s="276">
        <v>0.22</v>
      </c>
      <c r="W746" s="276">
        <v>0</v>
      </c>
      <c r="X746" s="270">
        <v>7610</v>
      </c>
      <c r="Y746" s="270">
        <v>2146</v>
      </c>
      <c r="Z746" s="45" t="b">
        <v>1</v>
      </c>
      <c r="AA746" s="45" t="s">
        <v>38</v>
      </c>
      <c r="AB746" s="45" t="s">
        <v>38</v>
      </c>
    </row>
    <row r="747" spans="1:28" x14ac:dyDescent="0.2">
      <c r="A747" s="96" t="s">
        <v>206</v>
      </c>
      <c r="B747" s="96" t="s">
        <v>940</v>
      </c>
      <c r="C747" s="277">
        <v>44317</v>
      </c>
      <c r="D747" s="277">
        <v>44347</v>
      </c>
      <c r="E747" s="270" t="s">
        <v>267</v>
      </c>
      <c r="F747" s="133" t="s">
        <v>34</v>
      </c>
      <c r="G747" s="96" t="s">
        <v>69</v>
      </c>
      <c r="H747" s="272" t="s">
        <v>88</v>
      </c>
      <c r="I747" s="273">
        <v>250</v>
      </c>
      <c r="J747" s="270">
        <v>452</v>
      </c>
      <c r="K747" s="270">
        <f t="shared" si="0"/>
        <v>113000</v>
      </c>
      <c r="L747" s="270">
        <v>3289</v>
      </c>
      <c r="M747" s="270">
        <v>2000</v>
      </c>
      <c r="N747" s="274">
        <v>0</v>
      </c>
      <c r="O747" s="55"/>
      <c r="P747" s="45">
        <v>0</v>
      </c>
      <c r="Q747" s="270">
        <v>-3126</v>
      </c>
      <c r="R747" s="275">
        <v>1.9300000000000001E-3</v>
      </c>
      <c r="S747" s="270">
        <v>-2908</v>
      </c>
      <c r="T747" s="270">
        <v>-2908</v>
      </c>
      <c r="U747" s="57">
        <v>1</v>
      </c>
      <c r="V747" s="276">
        <v>0.22</v>
      </c>
      <c r="W747" s="276">
        <v>0</v>
      </c>
      <c r="X747" s="270">
        <v>-2268</v>
      </c>
      <c r="Y747" s="270">
        <v>-640</v>
      </c>
      <c r="Z747" s="45" t="b">
        <v>1</v>
      </c>
      <c r="AA747" s="45" t="s">
        <v>38</v>
      </c>
      <c r="AB747" s="45" t="s">
        <v>38</v>
      </c>
    </row>
    <row r="748" spans="1:28" x14ac:dyDescent="0.2">
      <c r="A748" s="96" t="s">
        <v>206</v>
      </c>
      <c r="B748" s="96" t="s">
        <v>940</v>
      </c>
      <c r="C748" s="277">
        <v>44317</v>
      </c>
      <c r="D748" s="277">
        <v>44347</v>
      </c>
      <c r="E748" s="270" t="s">
        <v>267</v>
      </c>
      <c r="F748" s="133" t="s">
        <v>34</v>
      </c>
      <c r="G748" s="96" t="s">
        <v>69</v>
      </c>
      <c r="H748" s="272" t="s">
        <v>72</v>
      </c>
      <c r="I748" s="273">
        <v>50</v>
      </c>
      <c r="J748" s="270">
        <v>24</v>
      </c>
      <c r="K748" s="270">
        <f t="shared" si="0"/>
        <v>1200</v>
      </c>
      <c r="L748" s="270">
        <v>-4081</v>
      </c>
      <c r="M748" s="270">
        <v>0</v>
      </c>
      <c r="N748" s="274">
        <v>57.4</v>
      </c>
      <c r="O748" s="55"/>
      <c r="P748" s="45">
        <v>57</v>
      </c>
      <c r="Q748" s="270">
        <v>-451</v>
      </c>
      <c r="R748" s="275">
        <v>1.9300000000000001E-3</v>
      </c>
      <c r="S748" s="270">
        <v>-449</v>
      </c>
      <c r="T748" s="270">
        <v>-392</v>
      </c>
      <c r="U748" s="57">
        <v>1</v>
      </c>
      <c r="V748" s="276">
        <v>0.22</v>
      </c>
      <c r="W748" s="276">
        <v>0</v>
      </c>
      <c r="X748" s="270">
        <v>-305</v>
      </c>
      <c r="Y748" s="270">
        <v>-86</v>
      </c>
      <c r="Z748" s="45" t="b">
        <v>1</v>
      </c>
      <c r="AA748" s="45" t="s">
        <v>38</v>
      </c>
      <c r="AB748" s="45" t="s">
        <v>38</v>
      </c>
    </row>
    <row r="749" spans="1:28" x14ac:dyDescent="0.2">
      <c r="A749" s="96" t="s">
        <v>286</v>
      </c>
      <c r="B749" s="96" t="s">
        <v>286</v>
      </c>
      <c r="C749" s="277">
        <v>44337</v>
      </c>
      <c r="D749" s="277">
        <v>44367</v>
      </c>
      <c r="E749" s="270" t="s">
        <v>267</v>
      </c>
      <c r="F749" s="133" t="s">
        <v>34</v>
      </c>
      <c r="G749" s="96" t="s">
        <v>35</v>
      </c>
      <c r="H749" s="272" t="s">
        <v>86</v>
      </c>
      <c r="I749" s="273">
        <v>5</v>
      </c>
      <c r="J749" s="270">
        <v>1</v>
      </c>
      <c r="K749" s="270">
        <f t="shared" si="0"/>
        <v>5</v>
      </c>
      <c r="L749" s="270">
        <v>0</v>
      </c>
      <c r="M749" s="270">
        <v>-5</v>
      </c>
      <c r="N749" s="274"/>
      <c r="O749" s="55"/>
      <c r="P749" s="96"/>
      <c r="Q749" s="270">
        <v>0</v>
      </c>
      <c r="R749" s="275">
        <v>-1.5E-3</v>
      </c>
      <c r="S749" s="270">
        <v>0</v>
      </c>
      <c r="T749" s="270">
        <v>0</v>
      </c>
      <c r="U749" s="57">
        <v>1</v>
      </c>
      <c r="V749" s="276">
        <v>0.15</v>
      </c>
      <c r="W749" s="276">
        <v>0</v>
      </c>
      <c r="X749" s="270">
        <v>0</v>
      </c>
      <c r="Y749" s="270">
        <v>0</v>
      </c>
      <c r="Z749" s="45" t="b">
        <v>1</v>
      </c>
      <c r="AA749" s="45" t="s">
        <v>38</v>
      </c>
      <c r="AB749" s="45" t="s">
        <v>38</v>
      </c>
    </row>
    <row r="750" spans="1:28" x14ac:dyDescent="0.2">
      <c r="A750" s="96" t="s">
        <v>286</v>
      </c>
      <c r="B750" s="96" t="s">
        <v>286</v>
      </c>
      <c r="C750" s="277">
        <v>44337</v>
      </c>
      <c r="D750" s="277">
        <v>44367</v>
      </c>
      <c r="E750" s="270" t="s">
        <v>267</v>
      </c>
      <c r="F750" s="133" t="s">
        <v>34</v>
      </c>
      <c r="G750" s="96" t="s">
        <v>35</v>
      </c>
      <c r="H750" s="272" t="s">
        <v>90</v>
      </c>
      <c r="I750" s="273">
        <v>5</v>
      </c>
      <c r="J750" s="270">
        <v>14</v>
      </c>
      <c r="K750" s="270">
        <f t="shared" si="0"/>
        <v>70</v>
      </c>
      <c r="L750" s="270">
        <v>2000</v>
      </c>
      <c r="M750" s="270">
        <v>20</v>
      </c>
      <c r="N750" s="274"/>
      <c r="O750" s="55"/>
      <c r="P750" s="96"/>
      <c r="Q750" s="270">
        <v>25</v>
      </c>
      <c r="R750" s="275">
        <v>-1.5E-3</v>
      </c>
      <c r="S750" s="270">
        <v>25</v>
      </c>
      <c r="T750" s="270">
        <v>25</v>
      </c>
      <c r="U750" s="57">
        <v>1</v>
      </c>
      <c r="V750" s="276">
        <v>0.15</v>
      </c>
      <c r="W750" s="276">
        <v>0</v>
      </c>
      <c r="X750" s="270">
        <v>21</v>
      </c>
      <c r="Y750" s="270">
        <v>4</v>
      </c>
      <c r="Z750" s="45" t="b">
        <v>1</v>
      </c>
      <c r="AA750" s="45" t="s">
        <v>38</v>
      </c>
      <c r="AB750" s="45" t="s">
        <v>38</v>
      </c>
    </row>
    <row r="751" spans="1:28" x14ac:dyDescent="0.2">
      <c r="A751" s="96" t="s">
        <v>286</v>
      </c>
      <c r="B751" s="96" t="s">
        <v>286</v>
      </c>
      <c r="C751" s="277">
        <v>44337</v>
      </c>
      <c r="D751" s="277">
        <v>44367</v>
      </c>
      <c r="E751" s="270" t="s">
        <v>267</v>
      </c>
      <c r="F751" s="133" t="s">
        <v>34</v>
      </c>
      <c r="G751" s="96" t="s">
        <v>35</v>
      </c>
      <c r="H751" s="272" t="s">
        <v>83</v>
      </c>
      <c r="I751" s="273">
        <v>10</v>
      </c>
      <c r="J751" s="270">
        <v>4</v>
      </c>
      <c r="K751" s="270">
        <f t="shared" si="0"/>
        <v>40</v>
      </c>
      <c r="L751" s="270">
        <v>900</v>
      </c>
      <c r="M751" s="270">
        <v>0</v>
      </c>
      <c r="N751" s="274"/>
      <c r="O751" s="55"/>
      <c r="P751" s="96"/>
      <c r="Q751" s="270">
        <v>13</v>
      </c>
      <c r="R751" s="275">
        <v>-1.5E-3</v>
      </c>
      <c r="S751" s="270">
        <v>13</v>
      </c>
      <c r="T751" s="270">
        <v>13</v>
      </c>
      <c r="U751" s="57">
        <v>1</v>
      </c>
      <c r="V751" s="276">
        <v>0.15</v>
      </c>
      <c r="W751" s="276">
        <v>0</v>
      </c>
      <c r="X751" s="270">
        <v>11</v>
      </c>
      <c r="Y751" s="270">
        <v>2</v>
      </c>
      <c r="Z751" s="45" t="b">
        <v>1</v>
      </c>
      <c r="AA751" s="45" t="s">
        <v>38</v>
      </c>
      <c r="AB751" s="45" t="s">
        <v>38</v>
      </c>
    </row>
    <row r="752" spans="1:28" x14ac:dyDescent="0.2">
      <c r="A752" s="96" t="s">
        <v>286</v>
      </c>
      <c r="B752" s="96" t="s">
        <v>286</v>
      </c>
      <c r="C752" s="277">
        <v>44337</v>
      </c>
      <c r="D752" s="277">
        <v>44367</v>
      </c>
      <c r="E752" s="270" t="s">
        <v>267</v>
      </c>
      <c r="F752" s="133" t="s">
        <v>34</v>
      </c>
      <c r="G752" s="96" t="s">
        <v>35</v>
      </c>
      <c r="H752" s="272" t="s">
        <v>983</v>
      </c>
      <c r="I752" s="273">
        <v>10</v>
      </c>
      <c r="J752" s="270">
        <v>10</v>
      </c>
      <c r="K752" s="270">
        <f t="shared" si="0"/>
        <v>100</v>
      </c>
      <c r="L752" s="270">
        <v>-700</v>
      </c>
      <c r="M752" s="270">
        <v>-40</v>
      </c>
      <c r="N752" s="274">
        <v>1</v>
      </c>
      <c r="O752" s="55"/>
      <c r="P752" s="45">
        <v>1</v>
      </c>
      <c r="Q752" s="270">
        <v>-28</v>
      </c>
      <c r="R752" s="275">
        <v>-1.5E-3</v>
      </c>
      <c r="S752" s="270">
        <v>-28</v>
      </c>
      <c r="T752" s="270">
        <v>-27</v>
      </c>
      <c r="U752" s="57">
        <v>1</v>
      </c>
      <c r="V752" s="276">
        <v>0.15</v>
      </c>
      <c r="W752" s="276">
        <v>0</v>
      </c>
      <c r="X752" s="270">
        <v>-23</v>
      </c>
      <c r="Y752" s="270">
        <v>-4</v>
      </c>
      <c r="Z752" s="45" t="b">
        <v>1</v>
      </c>
      <c r="AA752" s="45" t="s">
        <v>38</v>
      </c>
      <c r="AB752" s="45" t="s">
        <v>38</v>
      </c>
    </row>
    <row r="753" spans="1:28" x14ac:dyDescent="0.2">
      <c r="A753" s="96" t="s">
        <v>286</v>
      </c>
      <c r="B753" s="96" t="s">
        <v>286</v>
      </c>
      <c r="C753" s="277">
        <v>44337</v>
      </c>
      <c r="D753" s="277">
        <v>44367</v>
      </c>
      <c r="E753" s="270" t="s">
        <v>267</v>
      </c>
      <c r="F753" s="133" t="s">
        <v>34</v>
      </c>
      <c r="G753" s="96" t="s">
        <v>35</v>
      </c>
      <c r="H753" s="272" t="s">
        <v>46</v>
      </c>
      <c r="I753" s="273">
        <v>25</v>
      </c>
      <c r="J753" s="270">
        <v>446</v>
      </c>
      <c r="K753" s="270">
        <f t="shared" si="0"/>
        <v>11150</v>
      </c>
      <c r="L753" s="270">
        <v>18000</v>
      </c>
      <c r="M753" s="270">
        <v>950</v>
      </c>
      <c r="N753" s="274">
        <v>61</v>
      </c>
      <c r="O753" s="55"/>
      <c r="P753" s="45">
        <v>61</v>
      </c>
      <c r="Q753" s="270">
        <v>223</v>
      </c>
      <c r="R753" s="275">
        <v>-1.5E-3</v>
      </c>
      <c r="S753" s="270">
        <v>206</v>
      </c>
      <c r="T753" s="270">
        <v>267</v>
      </c>
      <c r="U753" s="57">
        <v>1</v>
      </c>
      <c r="V753" s="276">
        <v>0.15</v>
      </c>
      <c r="W753" s="276">
        <v>0</v>
      </c>
      <c r="X753" s="270">
        <v>227</v>
      </c>
      <c r="Y753" s="270">
        <v>40</v>
      </c>
      <c r="Z753" s="45" t="b">
        <v>1</v>
      </c>
      <c r="AA753" s="45" t="s">
        <v>38</v>
      </c>
      <c r="AB753" s="45" t="s">
        <v>38</v>
      </c>
    </row>
    <row r="754" spans="1:28" x14ac:dyDescent="0.2">
      <c r="A754" s="96" t="s">
        <v>286</v>
      </c>
      <c r="B754" s="96" t="s">
        <v>286</v>
      </c>
      <c r="C754" s="277">
        <v>44337</v>
      </c>
      <c r="D754" s="277">
        <v>44367</v>
      </c>
      <c r="E754" s="270" t="s">
        <v>267</v>
      </c>
      <c r="F754" s="133" t="s">
        <v>34</v>
      </c>
      <c r="G754" s="96" t="s">
        <v>35</v>
      </c>
      <c r="H754" s="272" t="s">
        <v>87</v>
      </c>
      <c r="I754" s="273">
        <v>25</v>
      </c>
      <c r="J754" s="270">
        <v>870</v>
      </c>
      <c r="K754" s="270">
        <f t="shared" si="0"/>
        <v>21750</v>
      </c>
      <c r="L754" s="270">
        <v>10000</v>
      </c>
      <c r="M754" s="270">
        <v>-1700</v>
      </c>
      <c r="N754" s="274">
        <v>119</v>
      </c>
      <c r="O754" s="55"/>
      <c r="P754" s="45">
        <v>119</v>
      </c>
      <c r="Q754" s="270">
        <v>-421</v>
      </c>
      <c r="R754" s="275">
        <v>-1.5E-3</v>
      </c>
      <c r="S754" s="270">
        <v>-453</v>
      </c>
      <c r="T754" s="270">
        <v>-334</v>
      </c>
      <c r="U754" s="57">
        <v>1</v>
      </c>
      <c r="V754" s="276">
        <v>0.15</v>
      </c>
      <c r="W754" s="276">
        <v>0</v>
      </c>
      <c r="X754" s="270">
        <v>-284</v>
      </c>
      <c r="Y754" s="270">
        <v>-50</v>
      </c>
      <c r="Z754" s="45" t="b">
        <v>1</v>
      </c>
      <c r="AA754" s="45" t="s">
        <v>38</v>
      </c>
      <c r="AB754" s="45" t="s">
        <v>38</v>
      </c>
    </row>
    <row r="755" spans="1:28" x14ac:dyDescent="0.2">
      <c r="A755" s="96" t="s">
        <v>286</v>
      </c>
      <c r="B755" s="96" t="s">
        <v>286</v>
      </c>
      <c r="C755" s="277">
        <v>44337</v>
      </c>
      <c r="D755" s="277">
        <v>44367</v>
      </c>
      <c r="E755" s="270" t="s">
        <v>267</v>
      </c>
      <c r="F755" s="133" t="s">
        <v>34</v>
      </c>
      <c r="G755" s="96" t="s">
        <v>35</v>
      </c>
      <c r="H755" s="272" t="s">
        <v>72</v>
      </c>
      <c r="I755" s="273">
        <v>50</v>
      </c>
      <c r="J755" s="270">
        <v>379</v>
      </c>
      <c r="K755" s="270">
        <f t="shared" si="0"/>
        <v>18950</v>
      </c>
      <c r="L755" s="270">
        <v>16000</v>
      </c>
      <c r="M755" s="270">
        <v>50</v>
      </c>
      <c r="N755" s="274">
        <v>105</v>
      </c>
      <c r="O755" s="55"/>
      <c r="P755" s="45">
        <v>105</v>
      </c>
      <c r="Q755" s="270">
        <v>444</v>
      </c>
      <c r="R755" s="275">
        <v>-1.5E-3</v>
      </c>
      <c r="S755" s="270">
        <v>415</v>
      </c>
      <c r="T755" s="270">
        <v>520</v>
      </c>
      <c r="U755" s="57">
        <v>1</v>
      </c>
      <c r="V755" s="276">
        <v>0.15</v>
      </c>
      <c r="W755" s="276">
        <v>0</v>
      </c>
      <c r="X755" s="270">
        <v>442</v>
      </c>
      <c r="Y755" s="270">
        <v>78</v>
      </c>
      <c r="Z755" s="45" t="b">
        <v>1</v>
      </c>
      <c r="AA755" s="45" t="s">
        <v>38</v>
      </c>
      <c r="AB755" s="45" t="s">
        <v>38</v>
      </c>
    </row>
    <row r="756" spans="1:28" x14ac:dyDescent="0.2">
      <c r="A756" s="96" t="s">
        <v>286</v>
      </c>
      <c r="B756" s="96" t="s">
        <v>286</v>
      </c>
      <c r="C756" s="277">
        <v>44337</v>
      </c>
      <c r="D756" s="277">
        <v>44367</v>
      </c>
      <c r="E756" s="270" t="s">
        <v>267</v>
      </c>
      <c r="F756" s="133" t="s">
        <v>34</v>
      </c>
      <c r="G756" s="96" t="s">
        <v>35</v>
      </c>
      <c r="H756" s="272" t="s">
        <v>85</v>
      </c>
      <c r="I756" s="273">
        <v>50</v>
      </c>
      <c r="J756" s="270">
        <v>480</v>
      </c>
      <c r="K756" s="270">
        <f t="shared" si="0"/>
        <v>24000</v>
      </c>
      <c r="L756" s="270">
        <v>5000</v>
      </c>
      <c r="M756" s="270">
        <v>-2550</v>
      </c>
      <c r="N756" s="274">
        <v>132</v>
      </c>
      <c r="O756" s="55"/>
      <c r="P756" s="45">
        <v>132</v>
      </c>
      <c r="Q756" s="270">
        <v>-544</v>
      </c>
      <c r="R756" s="275">
        <v>-1.5E-3</v>
      </c>
      <c r="S756" s="270">
        <v>-580</v>
      </c>
      <c r="T756" s="270">
        <v>-448</v>
      </c>
      <c r="U756" s="57">
        <v>1</v>
      </c>
      <c r="V756" s="276">
        <v>0.15</v>
      </c>
      <c r="W756" s="276">
        <v>0</v>
      </c>
      <c r="X756" s="270">
        <v>-381</v>
      </c>
      <c r="Y756" s="270">
        <v>-67</v>
      </c>
      <c r="Z756" s="45" t="b">
        <v>1</v>
      </c>
      <c r="AA756" s="45" t="s">
        <v>38</v>
      </c>
      <c r="AB756" s="45" t="s">
        <v>38</v>
      </c>
    </row>
    <row r="757" spans="1:28" x14ac:dyDescent="0.2">
      <c r="A757" s="270" t="s">
        <v>60</v>
      </c>
      <c r="B757" s="270" t="s">
        <v>60</v>
      </c>
      <c r="C757" s="277">
        <v>44337</v>
      </c>
      <c r="D757" s="277">
        <v>44367</v>
      </c>
      <c r="E757" s="270" t="s">
        <v>267</v>
      </c>
      <c r="F757" s="96" t="s">
        <v>34</v>
      </c>
      <c r="G757" s="270" t="s">
        <v>61</v>
      </c>
      <c r="H757" s="272" t="s">
        <v>93</v>
      </c>
      <c r="I757" s="273">
        <v>25</v>
      </c>
      <c r="J757" s="270">
        <v>596</v>
      </c>
      <c r="K757" s="270">
        <f t="shared" si="0"/>
        <v>14900</v>
      </c>
      <c r="L757" s="270">
        <v>49814</v>
      </c>
      <c r="M757" s="270">
        <v>1896</v>
      </c>
      <c r="N757" s="274">
        <v>44.02</v>
      </c>
      <c r="O757" s="55"/>
      <c r="P757" s="45">
        <v>44</v>
      </c>
      <c r="Q757" s="270">
        <v>966</v>
      </c>
      <c r="R757" s="275">
        <v>1.9300000000000001E-3</v>
      </c>
      <c r="S757" s="270">
        <v>995</v>
      </c>
      <c r="T757" s="270">
        <v>1039</v>
      </c>
      <c r="U757" s="57">
        <v>1</v>
      </c>
      <c r="V757" s="276">
        <v>0.3</v>
      </c>
      <c r="W757" s="276">
        <v>0</v>
      </c>
      <c r="X757" s="270">
        <v>727</v>
      </c>
      <c r="Y757" s="270">
        <v>312</v>
      </c>
      <c r="Z757" s="45" t="b">
        <v>1</v>
      </c>
      <c r="AA757" s="45" t="s">
        <v>50</v>
      </c>
      <c r="AB757" s="45" t="s">
        <v>50</v>
      </c>
    </row>
    <row r="758" spans="1:28" x14ac:dyDescent="0.2">
      <c r="A758" s="270" t="s">
        <v>60</v>
      </c>
      <c r="B758" s="270" t="s">
        <v>60</v>
      </c>
      <c r="C758" s="277">
        <v>44337</v>
      </c>
      <c r="D758" s="277">
        <v>44367</v>
      </c>
      <c r="E758" s="270" t="s">
        <v>267</v>
      </c>
      <c r="F758" s="96" t="s">
        <v>41</v>
      </c>
      <c r="G758" s="270" t="s">
        <v>61</v>
      </c>
      <c r="H758" s="272" t="s">
        <v>109</v>
      </c>
      <c r="I758" s="273">
        <v>50</v>
      </c>
      <c r="J758" s="270">
        <v>130</v>
      </c>
      <c r="K758" s="270">
        <f t="shared" si="0"/>
        <v>6500</v>
      </c>
      <c r="L758" s="270">
        <v>6593</v>
      </c>
      <c r="M758" s="270">
        <v>-350</v>
      </c>
      <c r="N758" s="274">
        <v>19.2</v>
      </c>
      <c r="O758" s="55"/>
      <c r="P758" s="45">
        <v>19</v>
      </c>
      <c r="Q758" s="270">
        <v>32</v>
      </c>
      <c r="R758" s="275">
        <v>1.9300000000000001E-3</v>
      </c>
      <c r="S758" s="270">
        <v>45</v>
      </c>
      <c r="T758" s="270">
        <v>-331</v>
      </c>
      <c r="U758" s="57">
        <v>1</v>
      </c>
      <c r="V758" s="276">
        <v>0.3</v>
      </c>
      <c r="W758" s="276">
        <v>0</v>
      </c>
      <c r="X758" s="270">
        <v>-232</v>
      </c>
      <c r="Y758" s="270">
        <v>-99</v>
      </c>
      <c r="Z758" s="45" t="b">
        <v>1</v>
      </c>
      <c r="AA758" s="45" t="s">
        <v>50</v>
      </c>
      <c r="AB758" s="45" t="s">
        <v>50</v>
      </c>
    </row>
    <row r="759" spans="1:28" x14ac:dyDescent="0.2">
      <c r="A759" s="270" t="s">
        <v>60</v>
      </c>
      <c r="B759" s="270" t="s">
        <v>60</v>
      </c>
      <c r="C759" s="277">
        <v>44337</v>
      </c>
      <c r="D759" s="277">
        <v>44367</v>
      </c>
      <c r="E759" s="270" t="s">
        <v>267</v>
      </c>
      <c r="F759" s="96" t="s">
        <v>41</v>
      </c>
      <c r="G759" s="270" t="s">
        <v>61</v>
      </c>
      <c r="H759" s="272" t="s">
        <v>200</v>
      </c>
      <c r="I759" s="273">
        <v>100</v>
      </c>
      <c r="J759" s="270">
        <v>22</v>
      </c>
      <c r="K759" s="270">
        <f t="shared" si="0"/>
        <v>2200</v>
      </c>
      <c r="L759" s="270">
        <v>-273</v>
      </c>
      <c r="M759" s="270">
        <v>700</v>
      </c>
      <c r="N759" s="274">
        <v>0</v>
      </c>
      <c r="O759" s="55"/>
      <c r="P759" s="45">
        <v>0</v>
      </c>
      <c r="Q759" s="270">
        <v>-242</v>
      </c>
      <c r="R759" s="275">
        <v>1.9300000000000001E-3</v>
      </c>
      <c r="S759" s="270">
        <v>-238</v>
      </c>
      <c r="T759" s="270">
        <v>700</v>
      </c>
      <c r="U759" s="57">
        <v>1</v>
      </c>
      <c r="V759" s="276">
        <v>0.3</v>
      </c>
      <c r="W759" s="276">
        <v>0</v>
      </c>
      <c r="X759" s="270">
        <v>490</v>
      </c>
      <c r="Y759" s="270">
        <v>210</v>
      </c>
      <c r="Z759" s="45" t="b">
        <v>1</v>
      </c>
      <c r="AA759" s="45" t="s">
        <v>50</v>
      </c>
      <c r="AB759" s="45" t="s">
        <v>50</v>
      </c>
    </row>
    <row r="760" spans="1:28" x14ac:dyDescent="0.2">
      <c r="A760" s="270" t="s">
        <v>60</v>
      </c>
      <c r="B760" s="270" t="s">
        <v>60</v>
      </c>
      <c r="C760" s="277">
        <v>44337</v>
      </c>
      <c r="D760" s="277">
        <v>44367</v>
      </c>
      <c r="E760" s="270" t="s">
        <v>267</v>
      </c>
      <c r="F760" s="96" t="s">
        <v>34</v>
      </c>
      <c r="G760" s="270" t="s">
        <v>61</v>
      </c>
      <c r="H760" s="272" t="s">
        <v>63</v>
      </c>
      <c r="I760" s="273">
        <v>10</v>
      </c>
      <c r="J760" s="270">
        <v>568</v>
      </c>
      <c r="K760" s="270">
        <f t="shared" si="0"/>
        <v>5680</v>
      </c>
      <c r="L760" s="270">
        <v>36524</v>
      </c>
      <c r="M760" s="270">
        <v>924</v>
      </c>
      <c r="N760" s="274">
        <v>16.78</v>
      </c>
      <c r="O760" s="55"/>
      <c r="P760" s="45">
        <v>17</v>
      </c>
      <c r="Q760" s="270">
        <v>169</v>
      </c>
      <c r="R760" s="275">
        <v>1.9300000000000001E-3</v>
      </c>
      <c r="S760" s="270">
        <v>180</v>
      </c>
      <c r="T760" s="270">
        <v>197</v>
      </c>
      <c r="U760" s="57">
        <v>1</v>
      </c>
      <c r="V760" s="276">
        <v>0.3</v>
      </c>
      <c r="W760" s="276">
        <v>0</v>
      </c>
      <c r="X760" s="270">
        <v>138</v>
      </c>
      <c r="Y760" s="270">
        <v>59</v>
      </c>
      <c r="Z760" s="45" t="b">
        <v>1</v>
      </c>
      <c r="AA760" s="45" t="s">
        <v>50</v>
      </c>
      <c r="AB760" s="45" t="s">
        <v>50</v>
      </c>
    </row>
    <row r="761" spans="1:28" x14ac:dyDescent="0.2">
      <c r="A761" s="96" t="s">
        <v>82</v>
      </c>
      <c r="B761" s="96" t="s">
        <v>82</v>
      </c>
      <c r="C761" s="277">
        <v>44337</v>
      </c>
      <c r="D761" s="277">
        <v>44367</v>
      </c>
      <c r="E761" s="270" t="s">
        <v>300</v>
      </c>
      <c r="F761" s="133" t="s">
        <v>34</v>
      </c>
      <c r="G761" s="96" t="s">
        <v>35</v>
      </c>
      <c r="H761" s="272" t="s">
        <v>46</v>
      </c>
      <c r="I761" s="273">
        <v>25</v>
      </c>
      <c r="J761" s="270">
        <v>4562</v>
      </c>
      <c r="K761" s="270">
        <f t="shared" si="0"/>
        <v>114050</v>
      </c>
      <c r="L761" s="270">
        <v>154632</v>
      </c>
      <c r="M761" s="270">
        <v>300</v>
      </c>
      <c r="N761" s="274">
        <v>3016</v>
      </c>
      <c r="O761" s="55"/>
      <c r="P761" s="105">
        <v>3016</v>
      </c>
      <c r="Q761" s="270">
        <v>-281</v>
      </c>
      <c r="R761" s="275">
        <v>1.9300000000000001E-3</v>
      </c>
      <c r="S761" s="270">
        <v>-61</v>
      </c>
      <c r="T761" s="270">
        <v>2955</v>
      </c>
      <c r="U761" s="57">
        <v>1</v>
      </c>
      <c r="V761" s="276">
        <v>0.15</v>
      </c>
      <c r="W761" s="276">
        <v>0.05</v>
      </c>
      <c r="X761" s="270">
        <v>2364</v>
      </c>
      <c r="Y761" s="270">
        <v>591</v>
      </c>
      <c r="Z761" s="45" t="b">
        <v>1</v>
      </c>
      <c r="AA761" s="45" t="s">
        <v>38</v>
      </c>
      <c r="AB761" s="45" t="s">
        <v>38</v>
      </c>
    </row>
    <row r="762" spans="1:28" x14ac:dyDescent="0.2">
      <c r="A762" s="96" t="s">
        <v>82</v>
      </c>
      <c r="B762" s="96" t="s">
        <v>82</v>
      </c>
      <c r="C762" s="277">
        <v>44337</v>
      </c>
      <c r="D762" s="277">
        <v>44367</v>
      </c>
      <c r="E762" s="270" t="s">
        <v>300</v>
      </c>
      <c r="F762" s="133" t="s">
        <v>34</v>
      </c>
      <c r="G762" s="96" t="s">
        <v>35</v>
      </c>
      <c r="H762" s="272" t="s">
        <v>72</v>
      </c>
      <c r="I762" s="273">
        <v>50</v>
      </c>
      <c r="J762" s="270">
        <v>979</v>
      </c>
      <c r="K762" s="270">
        <f t="shared" si="0"/>
        <v>48950</v>
      </c>
      <c r="L762" s="270">
        <v>20855</v>
      </c>
      <c r="M762" s="270">
        <v>-3250</v>
      </c>
      <c r="N762" s="274">
        <v>1295</v>
      </c>
      <c r="O762" s="55"/>
      <c r="P762" s="105">
        <v>1295</v>
      </c>
      <c r="Q762" s="270">
        <v>-1228</v>
      </c>
      <c r="R762" s="275">
        <v>1.9300000000000001E-3</v>
      </c>
      <c r="S762" s="270">
        <v>-1134</v>
      </c>
      <c r="T762" s="270">
        <v>161</v>
      </c>
      <c r="U762" s="57">
        <v>1</v>
      </c>
      <c r="V762" s="276">
        <v>0.15</v>
      </c>
      <c r="W762" s="276">
        <v>0.05</v>
      </c>
      <c r="X762" s="270">
        <v>129</v>
      </c>
      <c r="Y762" s="270">
        <v>32</v>
      </c>
      <c r="Z762" s="45" t="b">
        <v>1</v>
      </c>
      <c r="AA762" s="45" t="s">
        <v>38</v>
      </c>
      <c r="AB762" s="45" t="s">
        <v>38</v>
      </c>
    </row>
    <row r="763" spans="1:28" x14ac:dyDescent="0.2">
      <c r="A763" s="96" t="s">
        <v>154</v>
      </c>
      <c r="B763" s="96">
        <v>66.562200000000004</v>
      </c>
      <c r="C763" s="277">
        <v>44337</v>
      </c>
      <c r="D763" s="277">
        <v>44367</v>
      </c>
      <c r="E763" s="270" t="s">
        <v>267</v>
      </c>
      <c r="F763" s="96" t="s">
        <v>41</v>
      </c>
      <c r="G763" s="270" t="s">
        <v>61</v>
      </c>
      <c r="H763" s="272" t="s">
        <v>92</v>
      </c>
      <c r="I763" s="273">
        <v>10</v>
      </c>
      <c r="J763" s="270">
        <v>1</v>
      </c>
      <c r="K763" s="270">
        <f t="shared" si="0"/>
        <v>10</v>
      </c>
      <c r="L763" s="270">
        <v>674</v>
      </c>
      <c r="M763" s="270">
        <v>10</v>
      </c>
      <c r="N763" s="274">
        <v>0.01</v>
      </c>
      <c r="O763" s="55"/>
      <c r="P763" s="45">
        <v>0</v>
      </c>
      <c r="Q763" s="270">
        <v>20</v>
      </c>
      <c r="R763" s="275">
        <v>1.9300000000000001E-3</v>
      </c>
      <c r="S763" s="270">
        <v>20</v>
      </c>
      <c r="T763" s="270">
        <v>10</v>
      </c>
      <c r="U763" s="57">
        <v>1.1850000000000001</v>
      </c>
      <c r="V763" s="276">
        <v>0.2</v>
      </c>
      <c r="W763" s="276">
        <v>0</v>
      </c>
      <c r="X763" s="270">
        <v>9</v>
      </c>
      <c r="Y763" s="270">
        <v>2</v>
      </c>
      <c r="Z763" s="45" t="b">
        <v>1</v>
      </c>
      <c r="AA763" s="45" t="s">
        <v>38</v>
      </c>
      <c r="AB763" s="45" t="s">
        <v>50</v>
      </c>
    </row>
    <row r="764" spans="1:28" x14ac:dyDescent="0.2">
      <c r="A764" s="96" t="s">
        <v>154</v>
      </c>
      <c r="B764" s="96">
        <v>66.562200000000004</v>
      </c>
      <c r="C764" s="277">
        <v>44337</v>
      </c>
      <c r="D764" s="277">
        <v>44367</v>
      </c>
      <c r="E764" s="270" t="s">
        <v>267</v>
      </c>
      <c r="F764" s="96" t="s">
        <v>34</v>
      </c>
      <c r="G764" s="270" t="s">
        <v>61</v>
      </c>
      <c r="H764" s="272" t="s">
        <v>63</v>
      </c>
      <c r="I764" s="273">
        <v>10</v>
      </c>
      <c r="J764" s="270">
        <v>2244</v>
      </c>
      <c r="K764" s="270">
        <f t="shared" si="0"/>
        <v>22440</v>
      </c>
      <c r="L764" s="270">
        <v>119252</v>
      </c>
      <c r="M764" s="270">
        <v>-249</v>
      </c>
      <c r="N764" s="274">
        <v>64.989999999999995</v>
      </c>
      <c r="O764" s="55"/>
      <c r="P764" s="45">
        <v>65</v>
      </c>
      <c r="Q764" s="270">
        <v>211</v>
      </c>
      <c r="R764" s="275">
        <v>1.9300000000000001E-3</v>
      </c>
      <c r="S764" s="270">
        <v>254</v>
      </c>
      <c r="T764" s="270">
        <v>319</v>
      </c>
      <c r="U764" s="57">
        <v>1.1850000000000001</v>
      </c>
      <c r="V764" s="276">
        <v>0.2</v>
      </c>
      <c r="W764" s="276">
        <v>0</v>
      </c>
      <c r="X764" s="270">
        <v>303</v>
      </c>
      <c r="Y764" s="270">
        <v>76</v>
      </c>
      <c r="Z764" s="45" t="b">
        <v>1</v>
      </c>
      <c r="AA764" s="45" t="s">
        <v>38</v>
      </c>
      <c r="AB764" s="45" t="s">
        <v>50</v>
      </c>
    </row>
    <row r="765" spans="1:28" x14ac:dyDescent="0.2">
      <c r="A765" s="96" t="s">
        <v>402</v>
      </c>
      <c r="B765" s="96" t="s">
        <v>402</v>
      </c>
      <c r="C765" s="277">
        <v>44337</v>
      </c>
      <c r="D765" s="277">
        <v>44367</v>
      </c>
      <c r="E765" s="270" t="s">
        <v>267</v>
      </c>
      <c r="F765" s="133" t="s">
        <v>34</v>
      </c>
      <c r="G765" s="96" t="s">
        <v>165</v>
      </c>
      <c r="H765" s="272" t="s">
        <v>216</v>
      </c>
      <c r="I765" s="273">
        <v>5</v>
      </c>
      <c r="J765" s="270">
        <v>8</v>
      </c>
      <c r="K765" s="270">
        <f t="shared" si="0"/>
        <v>40</v>
      </c>
      <c r="L765" s="270">
        <v>-1041</v>
      </c>
      <c r="M765" s="270">
        <v>-15</v>
      </c>
      <c r="N765" s="274"/>
      <c r="O765" s="55"/>
      <c r="P765" s="96"/>
      <c r="Q765" s="270">
        <v>-13</v>
      </c>
      <c r="R765" s="275">
        <v>1.9300000000000001E-3</v>
      </c>
      <c r="S765" s="270">
        <v>-13</v>
      </c>
      <c r="T765" s="270">
        <v>-13</v>
      </c>
      <c r="U765" s="57">
        <v>1.1850000000000001</v>
      </c>
      <c r="V765" s="276">
        <v>0.3</v>
      </c>
      <c r="W765" s="276">
        <v>0</v>
      </c>
      <c r="X765" s="270">
        <v>-10</v>
      </c>
      <c r="Y765" s="270">
        <v>-4</v>
      </c>
      <c r="Z765" s="45" t="b">
        <v>1</v>
      </c>
      <c r="AA765" s="45" t="s">
        <v>38</v>
      </c>
      <c r="AB765" s="45" t="s">
        <v>50</v>
      </c>
    </row>
    <row r="766" spans="1:28" x14ac:dyDescent="0.2">
      <c r="A766" s="96" t="s">
        <v>402</v>
      </c>
      <c r="B766" s="96" t="s">
        <v>402</v>
      </c>
      <c r="C766" s="277">
        <v>44337</v>
      </c>
      <c r="D766" s="277">
        <v>44367</v>
      </c>
      <c r="E766" s="270" t="s">
        <v>267</v>
      </c>
      <c r="F766" s="133" t="s">
        <v>34</v>
      </c>
      <c r="G766" s="96" t="s">
        <v>165</v>
      </c>
      <c r="H766" s="272" t="s">
        <v>166</v>
      </c>
      <c r="I766" s="273">
        <v>10</v>
      </c>
      <c r="J766" s="270">
        <v>1835</v>
      </c>
      <c r="K766" s="270">
        <f t="shared" si="0"/>
        <v>18350</v>
      </c>
      <c r="L766" s="270">
        <v>109807</v>
      </c>
      <c r="M766" s="270">
        <v>850</v>
      </c>
      <c r="N766" s="274"/>
      <c r="O766" s="55"/>
      <c r="P766" s="96"/>
      <c r="Q766" s="270">
        <v>630</v>
      </c>
      <c r="R766" s="275">
        <v>1.9300000000000001E-3</v>
      </c>
      <c r="S766" s="270">
        <v>665</v>
      </c>
      <c r="T766" s="270">
        <v>665</v>
      </c>
      <c r="U766" s="57">
        <v>1.1850000000000001</v>
      </c>
      <c r="V766" s="276">
        <v>0.3</v>
      </c>
      <c r="W766" s="276">
        <v>0</v>
      </c>
      <c r="X766" s="270">
        <v>552</v>
      </c>
      <c r="Y766" s="270">
        <v>237</v>
      </c>
      <c r="Z766" s="45" t="b">
        <v>1</v>
      </c>
      <c r="AA766" s="45" t="s">
        <v>38</v>
      </c>
      <c r="AB766" s="45" t="s">
        <v>50</v>
      </c>
    </row>
    <row r="767" spans="1:28" x14ac:dyDescent="0.2">
      <c r="A767" s="96" t="s">
        <v>178</v>
      </c>
      <c r="B767" s="96" t="s">
        <v>178</v>
      </c>
      <c r="C767" s="277">
        <v>44337</v>
      </c>
      <c r="D767" s="277">
        <v>44367</v>
      </c>
      <c r="E767" s="270" t="s">
        <v>267</v>
      </c>
      <c r="F767" s="133" t="s">
        <v>41</v>
      </c>
      <c r="G767" s="96" t="s">
        <v>61</v>
      </c>
      <c r="H767" s="272" t="s">
        <v>63</v>
      </c>
      <c r="I767" s="273">
        <v>10</v>
      </c>
      <c r="J767" s="270">
        <v>0</v>
      </c>
      <c r="K767" s="270">
        <f t="shared" si="0"/>
        <v>0</v>
      </c>
      <c r="L767" s="270">
        <v>0</v>
      </c>
      <c r="M767" s="270">
        <v>6000</v>
      </c>
      <c r="N767" s="274"/>
      <c r="O767" s="55"/>
      <c r="P767" s="96"/>
      <c r="Q767" s="270"/>
      <c r="R767" s="275">
        <v>0</v>
      </c>
      <c r="S767" s="270"/>
      <c r="T767" s="270">
        <v>6000</v>
      </c>
      <c r="U767" s="57">
        <v>1</v>
      </c>
      <c r="V767" s="276">
        <v>0.15</v>
      </c>
      <c r="W767" s="276">
        <v>0</v>
      </c>
      <c r="X767" s="270">
        <v>5100</v>
      </c>
      <c r="Y767" s="270">
        <v>900</v>
      </c>
      <c r="Z767" s="45" t="b">
        <v>1</v>
      </c>
      <c r="AA767" s="45" t="s">
        <v>50</v>
      </c>
      <c r="AB767" s="45" t="s">
        <v>50</v>
      </c>
    </row>
    <row r="768" spans="1:28" x14ac:dyDescent="0.2">
      <c r="A768" s="96" t="s">
        <v>178</v>
      </c>
      <c r="B768" s="96" t="s">
        <v>178</v>
      </c>
      <c r="C768" s="277">
        <v>44337</v>
      </c>
      <c r="D768" s="277">
        <v>44367</v>
      </c>
      <c r="E768" s="270" t="s">
        <v>267</v>
      </c>
      <c r="F768" s="133" t="s">
        <v>34</v>
      </c>
      <c r="G768" s="96" t="s">
        <v>61</v>
      </c>
      <c r="H768" s="272" t="s">
        <v>63</v>
      </c>
      <c r="I768" s="273">
        <v>10</v>
      </c>
      <c r="J768" s="270">
        <v>840</v>
      </c>
      <c r="K768" s="270">
        <f t="shared" si="0"/>
        <v>8400</v>
      </c>
      <c r="L768" s="270">
        <v>31688</v>
      </c>
      <c r="M768" s="270">
        <v>1718</v>
      </c>
      <c r="N768" s="274">
        <v>17.28</v>
      </c>
      <c r="O768" s="55"/>
      <c r="P768" s="45">
        <v>17</v>
      </c>
      <c r="Q768" s="270">
        <v>-157</v>
      </c>
      <c r="R768" s="275">
        <v>1.9300000000000001E-3</v>
      </c>
      <c r="S768" s="270">
        <v>-141</v>
      </c>
      <c r="T768" s="270">
        <v>-123</v>
      </c>
      <c r="U768" s="57">
        <v>1</v>
      </c>
      <c r="V768" s="276">
        <v>0.25</v>
      </c>
      <c r="W768" s="276">
        <v>0</v>
      </c>
      <c r="X768" s="270">
        <v>-92</v>
      </c>
      <c r="Y768" s="270">
        <v>-31</v>
      </c>
      <c r="Z768" s="45" t="b">
        <v>1</v>
      </c>
      <c r="AA768" s="45" t="s">
        <v>50</v>
      </c>
      <c r="AB768" s="45" t="s">
        <v>50</v>
      </c>
    </row>
    <row r="769" spans="1:28" x14ac:dyDescent="0.2">
      <c r="A769" s="96" t="s">
        <v>178</v>
      </c>
      <c r="B769" s="96" t="s">
        <v>178</v>
      </c>
      <c r="C769" s="277">
        <v>44337</v>
      </c>
      <c r="D769" s="277">
        <v>44367</v>
      </c>
      <c r="E769" s="270" t="s">
        <v>267</v>
      </c>
      <c r="F769" s="133" t="s">
        <v>34</v>
      </c>
      <c r="G769" s="96" t="s">
        <v>61</v>
      </c>
      <c r="H769" s="272" t="s">
        <v>980</v>
      </c>
      <c r="I769" s="273">
        <v>5</v>
      </c>
      <c r="J769" s="270">
        <v>264</v>
      </c>
      <c r="K769" s="270">
        <f t="shared" si="0"/>
        <v>1320</v>
      </c>
      <c r="L769" s="270">
        <v>24334</v>
      </c>
      <c r="M769" s="270">
        <v>545</v>
      </c>
      <c r="N769" s="274">
        <v>2.72</v>
      </c>
      <c r="O769" s="55"/>
      <c r="P769" s="45">
        <v>3</v>
      </c>
      <c r="Q769" s="270">
        <v>106</v>
      </c>
      <c r="R769" s="275">
        <v>1.9300000000000001E-3</v>
      </c>
      <c r="S769" s="270">
        <v>109</v>
      </c>
      <c r="T769" s="270">
        <v>111</v>
      </c>
      <c r="U769" s="57">
        <v>1</v>
      </c>
      <c r="V769" s="276">
        <v>0.25</v>
      </c>
      <c r="W769" s="276">
        <v>0</v>
      </c>
      <c r="X769" s="270">
        <v>84</v>
      </c>
      <c r="Y769" s="270">
        <v>28</v>
      </c>
      <c r="Z769" s="45" t="b">
        <v>1</v>
      </c>
      <c r="AA769" s="45" t="s">
        <v>50</v>
      </c>
      <c r="AB769" s="45" t="s">
        <v>50</v>
      </c>
    </row>
    <row r="770" spans="1:28" x14ac:dyDescent="0.2">
      <c r="A770" s="96" t="s">
        <v>508</v>
      </c>
      <c r="B770" s="96" t="s">
        <v>508</v>
      </c>
      <c r="C770" s="277">
        <v>44337</v>
      </c>
      <c r="D770" s="277">
        <v>44367</v>
      </c>
      <c r="E770" s="270" t="s">
        <v>300</v>
      </c>
      <c r="F770" s="133" t="s">
        <v>34</v>
      </c>
      <c r="G770" s="96" t="s">
        <v>35</v>
      </c>
      <c r="H770" s="272" t="s">
        <v>70</v>
      </c>
      <c r="I770" s="273">
        <v>100</v>
      </c>
      <c r="J770" s="270">
        <v>2071</v>
      </c>
      <c r="K770" s="270">
        <f t="shared" si="0"/>
        <v>207100</v>
      </c>
      <c r="L770" s="270">
        <v>74573</v>
      </c>
      <c r="M770" s="270">
        <v>-3700</v>
      </c>
      <c r="N770" s="274">
        <v>593</v>
      </c>
      <c r="O770" s="55"/>
      <c r="P770" s="45">
        <v>593</v>
      </c>
      <c r="Q770" s="270">
        <v>2599</v>
      </c>
      <c r="R770" s="275">
        <v>1.9300000000000001E-3</v>
      </c>
      <c r="S770" s="270">
        <v>2999</v>
      </c>
      <c r="T770" s="270">
        <v>3592</v>
      </c>
      <c r="U770" s="57">
        <v>1</v>
      </c>
      <c r="V770" s="276">
        <v>0.13500000000000001</v>
      </c>
      <c r="W770" s="276">
        <v>4.4999999999999998E-2</v>
      </c>
      <c r="X770" s="270">
        <v>2945</v>
      </c>
      <c r="Y770" s="270">
        <v>646</v>
      </c>
      <c r="Z770" s="45" t="b">
        <v>1</v>
      </c>
      <c r="AA770" s="45" t="s">
        <v>38</v>
      </c>
      <c r="AB770" s="45" t="s">
        <v>38</v>
      </c>
    </row>
    <row r="771" spans="1:28" x14ac:dyDescent="0.2">
      <c r="A771" s="96" t="s">
        <v>508</v>
      </c>
      <c r="B771" s="96" t="s">
        <v>508</v>
      </c>
      <c r="C771" s="277">
        <v>44337</v>
      </c>
      <c r="D771" s="277">
        <v>44367</v>
      </c>
      <c r="E771" s="270" t="s">
        <v>300</v>
      </c>
      <c r="F771" s="133" t="s">
        <v>41</v>
      </c>
      <c r="G771" s="96" t="s">
        <v>35</v>
      </c>
      <c r="H771" s="272" t="s">
        <v>46</v>
      </c>
      <c r="I771" s="273">
        <v>25</v>
      </c>
      <c r="J771" s="270">
        <v>8</v>
      </c>
      <c r="K771" s="270">
        <f t="shared" si="0"/>
        <v>200</v>
      </c>
      <c r="L771" s="270"/>
      <c r="M771" s="270">
        <v>250</v>
      </c>
      <c r="N771" s="274">
        <v>1</v>
      </c>
      <c r="O771" s="55"/>
      <c r="P771" s="45">
        <v>1</v>
      </c>
      <c r="Q771" s="270"/>
      <c r="R771" s="275">
        <v>0</v>
      </c>
      <c r="S771" s="270"/>
      <c r="T771" s="270">
        <v>251</v>
      </c>
      <c r="U771" s="57">
        <v>1</v>
      </c>
      <c r="V771" s="276">
        <v>0.13500000000000001</v>
      </c>
      <c r="W771" s="276">
        <v>4.4999999999999998E-2</v>
      </c>
      <c r="X771" s="270">
        <v>206</v>
      </c>
      <c r="Y771" s="270">
        <v>45</v>
      </c>
      <c r="Z771" s="45" t="b">
        <v>1</v>
      </c>
      <c r="AA771" s="45" t="s">
        <v>38</v>
      </c>
      <c r="AB771" s="45" t="s">
        <v>38</v>
      </c>
    </row>
    <row r="772" spans="1:28" x14ac:dyDescent="0.2">
      <c r="A772" s="96" t="s">
        <v>113</v>
      </c>
      <c r="B772" s="96" t="s">
        <v>113</v>
      </c>
      <c r="C772" s="277">
        <v>44337</v>
      </c>
      <c r="D772" s="277">
        <v>44367</v>
      </c>
      <c r="E772" s="270" t="s">
        <v>267</v>
      </c>
      <c r="F772" s="133" t="s">
        <v>34</v>
      </c>
      <c r="G772" s="96" t="s">
        <v>35</v>
      </c>
      <c r="H772" s="272" t="s">
        <v>86</v>
      </c>
      <c r="I772" s="273">
        <v>5</v>
      </c>
      <c r="J772" s="270">
        <v>1</v>
      </c>
      <c r="K772" s="270">
        <f t="shared" si="0"/>
        <v>5</v>
      </c>
      <c r="L772" s="270">
        <v>376</v>
      </c>
      <c r="M772" s="270">
        <v>5</v>
      </c>
      <c r="N772" s="274"/>
      <c r="O772" s="55"/>
      <c r="P772" s="96"/>
      <c r="Q772" s="270">
        <v>3</v>
      </c>
      <c r="R772" s="275">
        <v>1.9300000000000001E-3</v>
      </c>
      <c r="S772" s="270">
        <v>3</v>
      </c>
      <c r="T772" s="270">
        <v>3</v>
      </c>
      <c r="U772" s="57">
        <v>1</v>
      </c>
      <c r="V772" s="276">
        <v>0.3</v>
      </c>
      <c r="W772" s="276">
        <v>0</v>
      </c>
      <c r="X772" s="270">
        <v>2</v>
      </c>
      <c r="Y772" s="270">
        <v>1</v>
      </c>
      <c r="Z772" s="45" t="b">
        <v>1</v>
      </c>
      <c r="AA772" s="45" t="s">
        <v>38</v>
      </c>
      <c r="AB772" s="45" t="s">
        <v>38</v>
      </c>
    </row>
    <row r="773" spans="1:28" x14ac:dyDescent="0.2">
      <c r="A773" s="96" t="s">
        <v>113</v>
      </c>
      <c r="B773" s="96" t="s">
        <v>113</v>
      </c>
      <c r="C773" s="277">
        <v>44337</v>
      </c>
      <c r="D773" s="277">
        <v>44367</v>
      </c>
      <c r="E773" s="270" t="s">
        <v>267</v>
      </c>
      <c r="F773" s="133" t="s">
        <v>34</v>
      </c>
      <c r="G773" s="96" t="s">
        <v>35</v>
      </c>
      <c r="H773" s="272" t="s">
        <v>40</v>
      </c>
      <c r="I773" s="273">
        <v>10</v>
      </c>
      <c r="J773" s="270">
        <v>1132</v>
      </c>
      <c r="K773" s="270">
        <f t="shared" si="0"/>
        <v>11320</v>
      </c>
      <c r="L773" s="270">
        <v>64596</v>
      </c>
      <c r="M773" s="270">
        <v>370</v>
      </c>
      <c r="N773" s="274">
        <v>14</v>
      </c>
      <c r="O773" s="55"/>
      <c r="P773" s="45">
        <v>14</v>
      </c>
      <c r="Q773" s="270">
        <v>337</v>
      </c>
      <c r="R773" s="275">
        <v>1.9300000000000001E-3</v>
      </c>
      <c r="S773" s="270">
        <v>359</v>
      </c>
      <c r="T773" s="270">
        <v>373</v>
      </c>
      <c r="U773" s="57">
        <v>1</v>
      </c>
      <c r="V773" s="276">
        <v>0.3</v>
      </c>
      <c r="W773" s="276">
        <v>0</v>
      </c>
      <c r="X773" s="270">
        <v>261</v>
      </c>
      <c r="Y773" s="270">
        <v>112</v>
      </c>
      <c r="Z773" s="45" t="b">
        <v>1</v>
      </c>
      <c r="AA773" s="45" t="s">
        <v>38</v>
      </c>
      <c r="AB773" s="45" t="s">
        <v>38</v>
      </c>
    </row>
    <row r="774" spans="1:28" x14ac:dyDescent="0.2">
      <c r="A774" s="96" t="s">
        <v>113</v>
      </c>
      <c r="B774" s="96" t="s">
        <v>113</v>
      </c>
      <c r="C774" s="277">
        <v>44337</v>
      </c>
      <c r="D774" s="277">
        <v>44367</v>
      </c>
      <c r="E774" s="270" t="s">
        <v>267</v>
      </c>
      <c r="F774" s="133" t="s">
        <v>34</v>
      </c>
      <c r="G774" s="96" t="s">
        <v>35</v>
      </c>
      <c r="H774" s="272" t="s">
        <v>83</v>
      </c>
      <c r="I774" s="273">
        <v>10</v>
      </c>
      <c r="J774" s="270">
        <v>689</v>
      </c>
      <c r="K774" s="270">
        <f t="shared" si="0"/>
        <v>6890</v>
      </c>
      <c r="L774" s="270">
        <v>31360</v>
      </c>
      <c r="M774" s="270">
        <v>-110</v>
      </c>
      <c r="N774" s="274">
        <v>10</v>
      </c>
      <c r="O774" s="55"/>
      <c r="P774" s="45">
        <v>10</v>
      </c>
      <c r="Q774" s="270">
        <v>-15</v>
      </c>
      <c r="R774" s="275">
        <v>1.9300000000000001E-3</v>
      </c>
      <c r="S774" s="270">
        <v>-1</v>
      </c>
      <c r="T774" s="270">
        <v>9</v>
      </c>
      <c r="U774" s="57">
        <v>1</v>
      </c>
      <c r="V774" s="276">
        <v>0.3</v>
      </c>
      <c r="W774" s="276">
        <v>0</v>
      </c>
      <c r="X774" s="270">
        <v>6</v>
      </c>
      <c r="Y774" s="270">
        <v>3</v>
      </c>
      <c r="Z774" s="45" t="b">
        <v>1</v>
      </c>
      <c r="AA774" s="45" t="s">
        <v>38</v>
      </c>
      <c r="AB774" s="45" t="s">
        <v>38</v>
      </c>
    </row>
    <row r="775" spans="1:28" x14ac:dyDescent="0.2">
      <c r="A775" s="96" t="s">
        <v>191</v>
      </c>
      <c r="B775" s="96" t="s">
        <v>193</v>
      </c>
      <c r="C775" s="277">
        <v>44337</v>
      </c>
      <c r="D775" s="277">
        <v>44367</v>
      </c>
      <c r="E775" s="270" t="s">
        <v>267</v>
      </c>
      <c r="F775" s="133" t="s">
        <v>34</v>
      </c>
      <c r="G775" s="96" t="s">
        <v>80</v>
      </c>
      <c r="H775" s="272" t="s">
        <v>71</v>
      </c>
      <c r="I775" s="273">
        <v>20</v>
      </c>
      <c r="J775" s="270">
        <v>5029</v>
      </c>
      <c r="K775" s="270">
        <f t="shared" si="0"/>
        <v>100580</v>
      </c>
      <c r="L775" s="270">
        <v>33583</v>
      </c>
      <c r="M775" s="270">
        <v>-3900</v>
      </c>
      <c r="N775" s="274">
        <v>6944.12</v>
      </c>
      <c r="O775" s="55"/>
      <c r="P775" s="105">
        <v>6944</v>
      </c>
      <c r="Q775" s="270">
        <v>-5444</v>
      </c>
      <c r="R775" s="275">
        <v>1.9300000000000001E-3</v>
      </c>
      <c r="S775" s="270">
        <v>-5250</v>
      </c>
      <c r="T775" s="270">
        <v>1695</v>
      </c>
      <c r="U775" s="57">
        <v>1</v>
      </c>
      <c r="V775" s="276">
        <v>0.22</v>
      </c>
      <c r="W775" s="276">
        <v>0</v>
      </c>
      <c r="X775" s="270">
        <v>1322</v>
      </c>
      <c r="Y775" s="270">
        <v>373</v>
      </c>
      <c r="Z775" s="45" t="b">
        <v>1</v>
      </c>
      <c r="AA775" s="45" t="s">
        <v>38</v>
      </c>
      <c r="AB775" s="45" t="s">
        <v>38</v>
      </c>
    </row>
    <row r="776" spans="1:28" x14ac:dyDescent="0.2">
      <c r="A776" s="96" t="s">
        <v>191</v>
      </c>
      <c r="B776" s="96" t="s">
        <v>193</v>
      </c>
      <c r="C776" s="277">
        <v>44337</v>
      </c>
      <c r="D776" s="277">
        <v>44367</v>
      </c>
      <c r="E776" s="270" t="s">
        <v>267</v>
      </c>
      <c r="F776" s="133" t="s">
        <v>34</v>
      </c>
      <c r="G776" s="96" t="s">
        <v>80</v>
      </c>
      <c r="H776" s="272" t="s">
        <v>72</v>
      </c>
      <c r="I776" s="273">
        <v>50</v>
      </c>
      <c r="J776" s="270">
        <v>13</v>
      </c>
      <c r="K776" s="270">
        <f t="shared" si="0"/>
        <v>650</v>
      </c>
      <c r="L776" s="270">
        <v>672</v>
      </c>
      <c r="M776" s="270">
        <v>100</v>
      </c>
      <c r="N776" s="274">
        <v>44.88</v>
      </c>
      <c r="O776" s="55"/>
      <c r="P776" s="45">
        <v>45</v>
      </c>
      <c r="Q776" s="270">
        <v>49</v>
      </c>
      <c r="R776" s="275">
        <v>1.9300000000000001E-3</v>
      </c>
      <c r="S776" s="270">
        <v>50</v>
      </c>
      <c r="T776" s="270">
        <v>95</v>
      </c>
      <c r="U776" s="57">
        <v>1</v>
      </c>
      <c r="V776" s="276">
        <v>0.22</v>
      </c>
      <c r="W776" s="276">
        <v>0</v>
      </c>
      <c r="X776" s="270">
        <v>74</v>
      </c>
      <c r="Y776" s="270">
        <v>21</v>
      </c>
      <c r="Z776" s="45" t="b">
        <v>1</v>
      </c>
      <c r="AA776" s="45" t="s">
        <v>38</v>
      </c>
      <c r="AB776" s="45" t="s">
        <v>38</v>
      </c>
    </row>
    <row r="777" spans="1:28" x14ac:dyDescent="0.2">
      <c r="A777" s="96" t="s">
        <v>206</v>
      </c>
      <c r="B777" s="96" t="s">
        <v>206</v>
      </c>
      <c r="C777" s="277">
        <v>44337</v>
      </c>
      <c r="D777" s="277">
        <v>44367</v>
      </c>
      <c r="E777" s="270" t="s">
        <v>267</v>
      </c>
      <c r="F777" s="133" t="s">
        <v>34</v>
      </c>
      <c r="G777" s="96" t="s">
        <v>35</v>
      </c>
      <c r="H777" s="272" t="s">
        <v>39</v>
      </c>
      <c r="I777" s="273">
        <v>5</v>
      </c>
      <c r="J777" s="270">
        <v>4</v>
      </c>
      <c r="K777" s="270">
        <f t="shared" si="0"/>
        <v>20</v>
      </c>
      <c r="L777" s="270">
        <v>0</v>
      </c>
      <c r="M777" s="270">
        <v>-5</v>
      </c>
      <c r="N777" s="274"/>
      <c r="O777" s="55"/>
      <c r="P777" s="96"/>
      <c r="Q777" s="270">
        <v>-73</v>
      </c>
      <c r="R777" s="275">
        <v>1.9300000000000001E-3</v>
      </c>
      <c r="S777" s="270">
        <v>-73</v>
      </c>
      <c r="T777" s="270">
        <v>-73</v>
      </c>
      <c r="U777" s="57">
        <v>1</v>
      </c>
      <c r="V777" s="276">
        <v>0.22</v>
      </c>
      <c r="W777" s="276">
        <v>0</v>
      </c>
      <c r="X777" s="270">
        <v>-57</v>
      </c>
      <c r="Y777" s="270">
        <v>-16</v>
      </c>
      <c r="Z777" s="45" t="b">
        <v>1</v>
      </c>
      <c r="AA777" s="45" t="s">
        <v>38</v>
      </c>
      <c r="AB777" s="45" t="s">
        <v>38</v>
      </c>
    </row>
    <row r="778" spans="1:28" x14ac:dyDescent="0.2">
      <c r="A778" s="96" t="s">
        <v>152</v>
      </c>
      <c r="B778" s="96" t="s">
        <v>152</v>
      </c>
      <c r="C778" s="277">
        <v>44276</v>
      </c>
      <c r="D778" s="277">
        <v>44369</v>
      </c>
      <c r="E778" s="270" t="s">
        <v>880</v>
      </c>
      <c r="F778" s="133" t="s">
        <v>41</v>
      </c>
      <c r="G778" s="279" t="s">
        <v>35</v>
      </c>
      <c r="H778" s="110" t="s">
        <v>70</v>
      </c>
      <c r="I778" s="273">
        <v>100</v>
      </c>
      <c r="J778" s="270">
        <v>9358</v>
      </c>
      <c r="K778" s="270">
        <f t="shared" si="0"/>
        <v>935800</v>
      </c>
      <c r="L778" s="270">
        <v>316100</v>
      </c>
      <c r="M778" s="270">
        <v>14500</v>
      </c>
      <c r="N778" s="274"/>
      <c r="O778" s="55"/>
      <c r="P778" s="96"/>
      <c r="Q778" s="270">
        <v>8713</v>
      </c>
      <c r="R778" s="275">
        <v>0</v>
      </c>
      <c r="S778" s="270">
        <v>8713</v>
      </c>
      <c r="T778" s="270">
        <v>14500</v>
      </c>
      <c r="U778" s="57">
        <v>1</v>
      </c>
      <c r="V778" s="276">
        <v>0</v>
      </c>
      <c r="W778" s="276">
        <v>0.12</v>
      </c>
      <c r="X778" s="270">
        <v>12760</v>
      </c>
      <c r="Y778" s="270">
        <v>1740</v>
      </c>
      <c r="Z778" s="45" t="b">
        <v>1</v>
      </c>
      <c r="AA778" s="45" t="s">
        <v>38</v>
      </c>
      <c r="AB778" s="45" t="s">
        <v>38</v>
      </c>
    </row>
    <row r="779" spans="1:28" x14ac:dyDescent="0.2">
      <c r="A779" s="96" t="s">
        <v>145</v>
      </c>
      <c r="B779" s="96" t="s">
        <v>145</v>
      </c>
      <c r="C779" s="277">
        <v>44348</v>
      </c>
      <c r="D779" s="277">
        <v>44377</v>
      </c>
      <c r="E779" s="270" t="s">
        <v>267</v>
      </c>
      <c r="F779" s="133" t="s">
        <v>49</v>
      </c>
      <c r="G779" s="279" t="s">
        <v>80</v>
      </c>
      <c r="H779" s="272" t="s">
        <v>70</v>
      </c>
      <c r="I779" s="273">
        <v>100</v>
      </c>
      <c r="J779" s="270">
        <v>962</v>
      </c>
      <c r="K779" s="270">
        <f t="shared" si="0"/>
        <v>96200</v>
      </c>
      <c r="L779" s="270">
        <v>7322</v>
      </c>
      <c r="M779" s="270">
        <v>-1200</v>
      </c>
      <c r="N779" s="274">
        <f>1656+2186</f>
        <v>3842</v>
      </c>
      <c r="O779" s="55"/>
      <c r="P779" s="105">
        <v>3842</v>
      </c>
      <c r="Q779" s="270">
        <v>-5292</v>
      </c>
      <c r="R779" s="275">
        <v>-7.9500000000000003E-4</v>
      </c>
      <c r="S779" s="270">
        <v>-5368</v>
      </c>
      <c r="T779" s="270">
        <v>-1526</v>
      </c>
      <c r="U779" s="57">
        <v>1</v>
      </c>
      <c r="V779" s="276">
        <v>0.12</v>
      </c>
      <c r="W779" s="276">
        <v>0</v>
      </c>
      <c r="X779" s="270">
        <v>-1343</v>
      </c>
      <c r="Y779" s="270">
        <v>-183</v>
      </c>
      <c r="Z779" s="45" t="b">
        <v>1</v>
      </c>
      <c r="AA779" s="45" t="s">
        <v>38</v>
      </c>
      <c r="AB779" s="45" t="s">
        <v>38</v>
      </c>
    </row>
    <row r="780" spans="1:28" x14ac:dyDescent="0.2">
      <c r="A780" s="96" t="s">
        <v>355</v>
      </c>
      <c r="B780" s="270" t="s">
        <v>986</v>
      </c>
      <c r="C780" s="277">
        <v>44348</v>
      </c>
      <c r="D780" s="277">
        <v>44377</v>
      </c>
      <c r="E780" s="270" t="s">
        <v>300</v>
      </c>
      <c r="F780" s="133" t="s">
        <v>41</v>
      </c>
      <c r="G780" s="270" t="s">
        <v>61</v>
      </c>
      <c r="H780" s="272" t="s">
        <v>93</v>
      </c>
      <c r="I780" s="273">
        <v>25</v>
      </c>
      <c r="J780" s="270">
        <v>274</v>
      </c>
      <c r="K780" s="270">
        <f t="shared" si="0"/>
        <v>6850</v>
      </c>
      <c r="L780" s="270">
        <v>29136</v>
      </c>
      <c r="M780" s="270">
        <v>1175</v>
      </c>
      <c r="N780" s="274">
        <v>26.62</v>
      </c>
      <c r="O780" s="55"/>
      <c r="P780" s="45">
        <v>27</v>
      </c>
      <c r="Q780" s="270">
        <v>717</v>
      </c>
      <c r="R780" s="275">
        <v>0</v>
      </c>
      <c r="S780" s="270">
        <v>717</v>
      </c>
      <c r="T780" s="270">
        <v>1202</v>
      </c>
      <c r="U780" s="57">
        <v>1.1850000000000001</v>
      </c>
      <c r="V780" s="276">
        <v>0.15</v>
      </c>
      <c r="W780" s="276">
        <v>0.05</v>
      </c>
      <c r="X780" s="270">
        <v>1139</v>
      </c>
      <c r="Y780" s="270">
        <v>285</v>
      </c>
      <c r="Z780" s="45" t="b">
        <v>1</v>
      </c>
      <c r="AA780" s="45" t="s">
        <v>38</v>
      </c>
      <c r="AB780" s="45" t="s">
        <v>50</v>
      </c>
    </row>
    <row r="781" spans="1:28" x14ac:dyDescent="0.2">
      <c r="A781" s="96" t="s">
        <v>355</v>
      </c>
      <c r="B781" s="270" t="s">
        <v>986</v>
      </c>
      <c r="C781" s="277">
        <v>44348</v>
      </c>
      <c r="D781" s="277">
        <v>44377</v>
      </c>
      <c r="E781" s="270" t="s">
        <v>300</v>
      </c>
      <c r="F781" s="133" t="s">
        <v>41</v>
      </c>
      <c r="G781" s="270" t="s">
        <v>61</v>
      </c>
      <c r="H781" s="272" t="s">
        <v>109</v>
      </c>
      <c r="I781" s="273">
        <v>50</v>
      </c>
      <c r="J781" s="270">
        <v>899</v>
      </c>
      <c r="K781" s="270">
        <f t="shared" si="0"/>
        <v>44950</v>
      </c>
      <c r="L781" s="270">
        <v>26147</v>
      </c>
      <c r="M781" s="270">
        <v>-1250</v>
      </c>
      <c r="N781" s="274">
        <f>183.38+420</f>
        <v>603.38</v>
      </c>
      <c r="O781" s="55"/>
      <c r="P781" s="45">
        <v>603</v>
      </c>
      <c r="Q781" s="270">
        <v>-1608</v>
      </c>
      <c r="R781" s="275">
        <v>0</v>
      </c>
      <c r="S781" s="270">
        <v>-1608</v>
      </c>
      <c r="T781" s="270">
        <v>-647</v>
      </c>
      <c r="U781" s="57">
        <v>1.1850000000000001</v>
      </c>
      <c r="V781" s="276">
        <v>0.15</v>
      </c>
      <c r="W781" s="276">
        <v>0.05</v>
      </c>
      <c r="X781" s="270">
        <v>-613</v>
      </c>
      <c r="Y781" s="270">
        <v>-153</v>
      </c>
      <c r="Z781" s="45" t="b">
        <v>1</v>
      </c>
      <c r="AA781" s="45" t="s">
        <v>38</v>
      </c>
      <c r="AB781" s="45" t="s">
        <v>50</v>
      </c>
    </row>
    <row r="782" spans="1:28" x14ac:dyDescent="0.2">
      <c r="A782" s="270" t="s">
        <v>447</v>
      </c>
      <c r="B782" s="96" t="s">
        <v>66</v>
      </c>
      <c r="C782" s="277">
        <v>44348</v>
      </c>
      <c r="D782" s="277">
        <v>44377</v>
      </c>
      <c r="E782" s="270" t="s">
        <v>267</v>
      </c>
      <c r="F782" s="96" t="s">
        <v>41</v>
      </c>
      <c r="G782" s="270" t="s">
        <v>61</v>
      </c>
      <c r="H782" s="272" t="s">
        <v>987</v>
      </c>
      <c r="I782" s="273">
        <v>50</v>
      </c>
      <c r="J782" s="270">
        <v>1</v>
      </c>
      <c r="K782" s="270">
        <f t="shared" si="0"/>
        <v>50</v>
      </c>
      <c r="L782" s="270">
        <v>75</v>
      </c>
      <c r="M782" s="270">
        <v>50</v>
      </c>
      <c r="N782" s="274">
        <f>1.04+50</f>
        <v>51.04</v>
      </c>
      <c r="O782" s="55"/>
      <c r="P782" s="45">
        <v>51</v>
      </c>
      <c r="Q782" s="270">
        <v>7</v>
      </c>
      <c r="R782" s="275">
        <v>0</v>
      </c>
      <c r="S782" s="270">
        <v>7</v>
      </c>
      <c r="T782" s="270">
        <v>101</v>
      </c>
      <c r="U782" s="57">
        <v>1</v>
      </c>
      <c r="V782" s="276">
        <v>0.15</v>
      </c>
      <c r="W782" s="276">
        <v>0</v>
      </c>
      <c r="X782" s="270">
        <v>86</v>
      </c>
      <c r="Y782" s="270">
        <v>15</v>
      </c>
      <c r="Z782" s="45" t="b">
        <v>1</v>
      </c>
      <c r="AA782" s="45" t="s">
        <v>50</v>
      </c>
      <c r="AB782" s="45" t="s">
        <v>50</v>
      </c>
    </row>
    <row r="783" spans="1:28" x14ac:dyDescent="0.2">
      <c r="A783" s="270" t="s">
        <v>447</v>
      </c>
      <c r="B783" s="96" t="s">
        <v>66</v>
      </c>
      <c r="C783" s="277">
        <v>44348</v>
      </c>
      <c r="D783" s="277">
        <v>44377</v>
      </c>
      <c r="E783" s="270" t="s">
        <v>267</v>
      </c>
      <c r="F783" s="96" t="s">
        <v>49</v>
      </c>
      <c r="G783" s="270" t="s">
        <v>61</v>
      </c>
      <c r="H783" s="272" t="s">
        <v>109</v>
      </c>
      <c r="I783" s="273">
        <v>50</v>
      </c>
      <c r="J783" s="270">
        <v>1216</v>
      </c>
      <c r="K783" s="270">
        <f t="shared" si="0"/>
        <v>60800</v>
      </c>
      <c r="L783" s="270">
        <v>52179</v>
      </c>
      <c r="M783" s="270">
        <v>350</v>
      </c>
      <c r="N783" s="274">
        <v>1268.96</v>
      </c>
      <c r="O783" s="55"/>
      <c r="P783" s="105">
        <v>1269</v>
      </c>
      <c r="Q783" s="270">
        <v>-560</v>
      </c>
      <c r="R783" s="275">
        <v>-8.3100000000000003E-4</v>
      </c>
      <c r="S783" s="270">
        <v>-611</v>
      </c>
      <c r="T783" s="270">
        <v>658</v>
      </c>
      <c r="U783" s="57">
        <v>1</v>
      </c>
      <c r="V783" s="276">
        <v>0.15</v>
      </c>
      <c r="W783" s="276">
        <v>0</v>
      </c>
      <c r="X783" s="270">
        <v>559</v>
      </c>
      <c r="Y783" s="270">
        <v>99</v>
      </c>
      <c r="Z783" s="45" t="b">
        <v>1</v>
      </c>
      <c r="AA783" s="45" t="s">
        <v>50</v>
      </c>
      <c r="AB783" s="45" t="s">
        <v>50</v>
      </c>
    </row>
    <row r="784" spans="1:28" x14ac:dyDescent="0.2">
      <c r="A784" s="279" t="s">
        <v>473</v>
      </c>
      <c r="B784" s="279" t="s">
        <v>121</v>
      </c>
      <c r="C784" s="282">
        <v>44348</v>
      </c>
      <c r="D784" s="282">
        <v>44377</v>
      </c>
      <c r="E784" s="279" t="s">
        <v>267</v>
      </c>
      <c r="F784" s="133" t="s">
        <v>41</v>
      </c>
      <c r="G784" s="279" t="s">
        <v>69</v>
      </c>
      <c r="H784" s="272" t="s">
        <v>42</v>
      </c>
      <c r="I784" s="280">
        <v>1</v>
      </c>
      <c r="J784" s="279">
        <v>26</v>
      </c>
      <c r="K784" s="270">
        <f t="shared" si="0"/>
        <v>26</v>
      </c>
      <c r="L784" s="279"/>
      <c r="M784" s="279">
        <v>10</v>
      </c>
      <c r="N784" s="281">
        <v>0.53</v>
      </c>
      <c r="O784" s="55"/>
      <c r="P784" s="45">
        <v>1</v>
      </c>
      <c r="Q784" s="279"/>
      <c r="R784" s="275">
        <v>0</v>
      </c>
      <c r="S784" s="279"/>
      <c r="T784" s="279">
        <v>11</v>
      </c>
      <c r="U784" s="57">
        <v>1</v>
      </c>
      <c r="V784" s="276">
        <v>0.3</v>
      </c>
      <c r="W784" s="276">
        <v>0</v>
      </c>
      <c r="X784" s="279">
        <v>7</v>
      </c>
      <c r="Y784" s="279">
        <v>3</v>
      </c>
      <c r="Z784" s="45" t="b">
        <v>1</v>
      </c>
      <c r="AA784" s="45" t="s">
        <v>38</v>
      </c>
      <c r="AB784" s="45" t="s">
        <v>38</v>
      </c>
    </row>
    <row r="785" spans="1:28" x14ac:dyDescent="0.2">
      <c r="A785" s="279" t="s">
        <v>473</v>
      </c>
      <c r="B785" s="279" t="s">
        <v>121</v>
      </c>
      <c r="C785" s="282">
        <v>44348</v>
      </c>
      <c r="D785" s="282">
        <v>44377</v>
      </c>
      <c r="E785" s="279" t="s">
        <v>267</v>
      </c>
      <c r="F785" s="133" t="s">
        <v>41</v>
      </c>
      <c r="G785" s="279" t="s">
        <v>69</v>
      </c>
      <c r="H785" s="272" t="s">
        <v>40</v>
      </c>
      <c r="I785" s="280">
        <v>10</v>
      </c>
      <c r="J785" s="279">
        <v>803</v>
      </c>
      <c r="K785" s="270">
        <f t="shared" si="0"/>
        <v>8030</v>
      </c>
      <c r="L785" s="279"/>
      <c r="M785" s="279">
        <v>-520</v>
      </c>
      <c r="N785" s="281">
        <v>122.84</v>
      </c>
      <c r="O785" s="55"/>
      <c r="P785" s="45">
        <v>123</v>
      </c>
      <c r="Q785" s="279"/>
      <c r="R785" s="275">
        <v>0</v>
      </c>
      <c r="S785" s="279"/>
      <c r="T785" s="279">
        <v>-397</v>
      </c>
      <c r="U785" s="57">
        <v>1</v>
      </c>
      <c r="V785" s="276">
        <v>0.3</v>
      </c>
      <c r="W785" s="276">
        <v>0</v>
      </c>
      <c r="X785" s="279">
        <v>-278</v>
      </c>
      <c r="Y785" s="279">
        <v>-119</v>
      </c>
      <c r="Z785" s="45" t="b">
        <v>1</v>
      </c>
      <c r="AA785" s="45" t="s">
        <v>38</v>
      </c>
      <c r="AB785" s="45" t="s">
        <v>38</v>
      </c>
    </row>
    <row r="786" spans="1:28" x14ac:dyDescent="0.2">
      <c r="A786" s="279" t="s">
        <v>473</v>
      </c>
      <c r="B786" s="279" t="s">
        <v>121</v>
      </c>
      <c r="C786" s="282">
        <v>44348</v>
      </c>
      <c r="D786" s="282">
        <v>44377</v>
      </c>
      <c r="E786" s="279" t="s">
        <v>267</v>
      </c>
      <c r="F786" s="133" t="s">
        <v>41</v>
      </c>
      <c r="G786" s="279" t="s">
        <v>69</v>
      </c>
      <c r="H786" s="272" t="s">
        <v>71</v>
      </c>
      <c r="I786" s="280">
        <v>20</v>
      </c>
      <c r="J786" s="279">
        <v>180</v>
      </c>
      <c r="K786" s="270">
        <f t="shared" si="0"/>
        <v>3600</v>
      </c>
      <c r="L786" s="279"/>
      <c r="M786" s="279">
        <v>-460</v>
      </c>
      <c r="N786" s="281">
        <v>0</v>
      </c>
      <c r="O786" s="55"/>
      <c r="P786" s="45">
        <v>0</v>
      </c>
      <c r="Q786" s="279"/>
      <c r="R786" s="275">
        <v>0</v>
      </c>
      <c r="S786" s="279"/>
      <c r="T786" s="279">
        <v>-460</v>
      </c>
      <c r="U786" s="57">
        <v>1</v>
      </c>
      <c r="V786" s="276">
        <v>0.3</v>
      </c>
      <c r="W786" s="276">
        <v>0</v>
      </c>
      <c r="X786" s="279">
        <v>-322</v>
      </c>
      <c r="Y786" s="279">
        <v>-138</v>
      </c>
      <c r="Z786" s="45" t="b">
        <v>1</v>
      </c>
      <c r="AA786" s="45" t="s">
        <v>38</v>
      </c>
      <c r="AB786" s="45" t="s">
        <v>38</v>
      </c>
    </row>
    <row r="787" spans="1:28" x14ac:dyDescent="0.2">
      <c r="A787" s="279" t="s">
        <v>473</v>
      </c>
      <c r="B787" s="279" t="s">
        <v>121</v>
      </c>
      <c r="C787" s="282">
        <v>44348</v>
      </c>
      <c r="D787" s="282">
        <v>44377</v>
      </c>
      <c r="E787" s="279" t="s">
        <v>267</v>
      </c>
      <c r="F787" s="133" t="s">
        <v>41</v>
      </c>
      <c r="G787" s="279" t="s">
        <v>69</v>
      </c>
      <c r="H787" s="272" t="s">
        <v>122</v>
      </c>
      <c r="I787" s="280">
        <v>3</v>
      </c>
      <c r="J787" s="279">
        <v>74</v>
      </c>
      <c r="K787" s="270">
        <f t="shared" si="0"/>
        <v>222</v>
      </c>
      <c r="L787" s="279"/>
      <c r="M787" s="279">
        <v>87</v>
      </c>
      <c r="N787" s="281">
        <v>4.53</v>
      </c>
      <c r="O787" s="55"/>
      <c r="P787" s="45">
        <v>5</v>
      </c>
      <c r="Q787" s="279"/>
      <c r="R787" s="275">
        <v>0</v>
      </c>
      <c r="S787" s="279"/>
      <c r="T787" s="279">
        <v>92</v>
      </c>
      <c r="U787" s="57">
        <v>1</v>
      </c>
      <c r="V787" s="276">
        <v>0.3</v>
      </c>
      <c r="W787" s="276">
        <v>0</v>
      </c>
      <c r="X787" s="279">
        <v>64</v>
      </c>
      <c r="Y787" s="279">
        <v>27</v>
      </c>
      <c r="Z787" s="45" t="b">
        <v>1</v>
      </c>
      <c r="AA787" s="45" t="s">
        <v>38</v>
      </c>
      <c r="AB787" s="45" t="s">
        <v>38</v>
      </c>
    </row>
    <row r="788" spans="1:28" x14ac:dyDescent="0.2">
      <c r="A788" s="279" t="s">
        <v>473</v>
      </c>
      <c r="B788" s="279" t="s">
        <v>121</v>
      </c>
      <c r="C788" s="282">
        <v>44348</v>
      </c>
      <c r="D788" s="282">
        <v>44377</v>
      </c>
      <c r="E788" s="279" t="s">
        <v>267</v>
      </c>
      <c r="F788" s="133" t="s">
        <v>41</v>
      </c>
      <c r="G788" s="279" t="s">
        <v>69</v>
      </c>
      <c r="H788" s="272" t="s">
        <v>39</v>
      </c>
      <c r="I788" s="280">
        <v>5</v>
      </c>
      <c r="J788" s="279">
        <v>1</v>
      </c>
      <c r="K788" s="270">
        <f t="shared" si="0"/>
        <v>5</v>
      </c>
      <c r="L788" s="279"/>
      <c r="M788" s="279">
        <v>-5</v>
      </c>
      <c r="N788" s="281">
        <v>0.1</v>
      </c>
      <c r="O788" s="55"/>
      <c r="P788" s="45">
        <v>0</v>
      </c>
      <c r="Q788" s="279"/>
      <c r="R788" s="275">
        <v>0</v>
      </c>
      <c r="S788" s="279"/>
      <c r="T788" s="279">
        <v>-5</v>
      </c>
      <c r="U788" s="57">
        <v>1</v>
      </c>
      <c r="V788" s="276">
        <v>0.3</v>
      </c>
      <c r="W788" s="276">
        <v>0</v>
      </c>
      <c r="X788" s="279">
        <v>-3</v>
      </c>
      <c r="Y788" s="279">
        <v>-1</v>
      </c>
      <c r="Z788" s="45" t="b">
        <v>1</v>
      </c>
      <c r="AA788" s="45" t="s">
        <v>38</v>
      </c>
      <c r="AB788" s="45" t="s">
        <v>38</v>
      </c>
    </row>
    <row r="789" spans="1:28" x14ac:dyDescent="0.2">
      <c r="A789" s="96" t="s">
        <v>286</v>
      </c>
      <c r="B789" s="96" t="s">
        <v>286</v>
      </c>
      <c r="C789" s="277">
        <v>44368</v>
      </c>
      <c r="D789" s="277">
        <v>44397</v>
      </c>
      <c r="E789" s="270" t="s">
        <v>267</v>
      </c>
      <c r="F789" s="133" t="s">
        <v>34</v>
      </c>
      <c r="G789" s="96" t="s">
        <v>35</v>
      </c>
      <c r="H789" s="272" t="s">
        <v>40</v>
      </c>
      <c r="I789" s="273">
        <v>10</v>
      </c>
      <c r="J789" s="270">
        <v>56</v>
      </c>
      <c r="K789" s="270">
        <f t="shared" si="0"/>
        <v>560</v>
      </c>
      <c r="L789" s="270">
        <v>5497</v>
      </c>
      <c r="M789" s="270">
        <v>0</v>
      </c>
      <c r="N789" s="274">
        <v>7</v>
      </c>
      <c r="O789" s="55"/>
      <c r="P789" s="45">
        <v>7</v>
      </c>
      <c r="Q789" s="270">
        <v>114</v>
      </c>
      <c r="R789" s="275">
        <v>-1.5E-3</v>
      </c>
      <c r="S789" s="270">
        <v>113</v>
      </c>
      <c r="T789" s="270">
        <v>120</v>
      </c>
      <c r="U789" s="57">
        <v>1</v>
      </c>
      <c r="V789" s="276">
        <v>0.15</v>
      </c>
      <c r="W789" s="276">
        <v>0</v>
      </c>
      <c r="X789" s="270">
        <v>102</v>
      </c>
      <c r="Y789" s="270">
        <v>18</v>
      </c>
      <c r="Z789" s="45" t="b">
        <v>1</v>
      </c>
      <c r="AA789" s="45" t="s">
        <v>38</v>
      </c>
      <c r="AB789" s="45" t="s">
        <v>38</v>
      </c>
    </row>
    <row r="790" spans="1:28" x14ac:dyDescent="0.2">
      <c r="A790" s="96" t="s">
        <v>286</v>
      </c>
      <c r="B790" s="96" t="s">
        <v>286</v>
      </c>
      <c r="C790" s="277">
        <v>44368</v>
      </c>
      <c r="D790" s="277">
        <v>44397</v>
      </c>
      <c r="E790" s="270" t="s">
        <v>267</v>
      </c>
      <c r="F790" s="133" t="s">
        <v>34</v>
      </c>
      <c r="G790" s="96" t="s">
        <v>35</v>
      </c>
      <c r="H790" s="272" t="s">
        <v>46</v>
      </c>
      <c r="I790" s="273">
        <v>25</v>
      </c>
      <c r="J790" s="270">
        <v>421</v>
      </c>
      <c r="K790" s="270">
        <f t="shared" si="0"/>
        <v>10525</v>
      </c>
      <c r="L790" s="270">
        <v>16792</v>
      </c>
      <c r="M790" s="270">
        <v>1500</v>
      </c>
      <c r="N790" s="274">
        <v>112</v>
      </c>
      <c r="O790" s="55"/>
      <c r="P790" s="45">
        <v>112</v>
      </c>
      <c r="Q790" s="270">
        <v>986</v>
      </c>
      <c r="R790" s="275">
        <v>-1.5E-3</v>
      </c>
      <c r="S790" s="270">
        <v>970</v>
      </c>
      <c r="T790" s="270">
        <v>1082</v>
      </c>
      <c r="U790" s="57">
        <v>1</v>
      </c>
      <c r="V790" s="276">
        <v>0.15</v>
      </c>
      <c r="W790" s="276">
        <v>0</v>
      </c>
      <c r="X790" s="270">
        <v>920</v>
      </c>
      <c r="Y790" s="270">
        <v>162</v>
      </c>
      <c r="Z790" s="45" t="b">
        <v>1</v>
      </c>
      <c r="AA790" s="45" t="s">
        <v>38</v>
      </c>
      <c r="AB790" s="45" t="s">
        <v>38</v>
      </c>
    </row>
    <row r="791" spans="1:28" x14ac:dyDescent="0.2">
      <c r="A791" s="96" t="s">
        <v>286</v>
      </c>
      <c r="B791" s="96" t="s">
        <v>286</v>
      </c>
      <c r="C791" s="277">
        <v>44368</v>
      </c>
      <c r="D791" s="277">
        <v>44397</v>
      </c>
      <c r="E791" s="270" t="s">
        <v>267</v>
      </c>
      <c r="F791" s="133" t="s">
        <v>34</v>
      </c>
      <c r="G791" s="96" t="s">
        <v>35</v>
      </c>
      <c r="H791" s="272" t="s">
        <v>87</v>
      </c>
      <c r="I791" s="273">
        <v>25</v>
      </c>
      <c r="J791" s="270">
        <v>1</v>
      </c>
      <c r="K791" s="270">
        <f t="shared" si="0"/>
        <v>25</v>
      </c>
      <c r="L791" s="270">
        <v>277</v>
      </c>
      <c r="M791" s="270">
        <v>50</v>
      </c>
      <c r="N791" s="274"/>
      <c r="O791" s="55"/>
      <c r="P791" s="96"/>
      <c r="Q791" s="270">
        <v>22</v>
      </c>
      <c r="R791" s="275">
        <v>-1.5E-3</v>
      </c>
      <c r="S791" s="270">
        <v>22</v>
      </c>
      <c r="T791" s="270">
        <v>22</v>
      </c>
      <c r="U791" s="57">
        <v>1</v>
      </c>
      <c r="V791" s="276">
        <v>0.15</v>
      </c>
      <c r="W791" s="276">
        <v>0</v>
      </c>
      <c r="X791" s="270">
        <v>19</v>
      </c>
      <c r="Y791" s="270">
        <v>3</v>
      </c>
      <c r="Z791" s="45" t="b">
        <v>1</v>
      </c>
      <c r="AA791" s="45" t="s">
        <v>38</v>
      </c>
      <c r="AB791" s="45" t="s">
        <v>38</v>
      </c>
    </row>
    <row r="792" spans="1:28" x14ac:dyDescent="0.2">
      <c r="A792" s="96" t="s">
        <v>286</v>
      </c>
      <c r="B792" s="96" t="s">
        <v>286</v>
      </c>
      <c r="C792" s="277">
        <v>44368</v>
      </c>
      <c r="D792" s="277">
        <v>44397</v>
      </c>
      <c r="E792" s="270" t="s">
        <v>267</v>
      </c>
      <c r="F792" s="133" t="s">
        <v>34</v>
      </c>
      <c r="G792" s="96" t="s">
        <v>35</v>
      </c>
      <c r="H792" s="272" t="s">
        <v>72</v>
      </c>
      <c r="I792" s="273">
        <v>50</v>
      </c>
      <c r="J792" s="270">
        <v>26</v>
      </c>
      <c r="K792" s="270">
        <f t="shared" si="0"/>
        <v>1300</v>
      </c>
      <c r="L792" s="270">
        <v>-127</v>
      </c>
      <c r="M792" s="270">
        <v>-450</v>
      </c>
      <c r="N792" s="274">
        <v>15</v>
      </c>
      <c r="O792" s="55"/>
      <c r="P792" s="45">
        <v>15</v>
      </c>
      <c r="Q792" s="270">
        <v>14</v>
      </c>
      <c r="R792" s="275">
        <v>-1.5E-3</v>
      </c>
      <c r="S792" s="270">
        <v>12</v>
      </c>
      <c r="T792" s="270">
        <v>27</v>
      </c>
      <c r="U792" s="57">
        <v>1</v>
      </c>
      <c r="V792" s="276">
        <v>0.15</v>
      </c>
      <c r="W792" s="276">
        <v>0</v>
      </c>
      <c r="X792" s="270">
        <v>23</v>
      </c>
      <c r="Y792" s="270">
        <v>4</v>
      </c>
      <c r="Z792" s="45" t="b">
        <v>1</v>
      </c>
      <c r="AA792" s="45" t="s">
        <v>38</v>
      </c>
      <c r="AB792" s="45" t="s">
        <v>38</v>
      </c>
    </row>
    <row r="793" spans="1:28" x14ac:dyDescent="0.2">
      <c r="A793" s="270" t="s">
        <v>60</v>
      </c>
      <c r="B793" s="270" t="s">
        <v>60</v>
      </c>
      <c r="C793" s="277">
        <v>44368</v>
      </c>
      <c r="D793" s="277">
        <v>44397</v>
      </c>
      <c r="E793" s="270" t="s">
        <v>267</v>
      </c>
      <c r="F793" s="96" t="s">
        <v>34</v>
      </c>
      <c r="G793" s="270" t="s">
        <v>61</v>
      </c>
      <c r="H793" s="272" t="s">
        <v>93</v>
      </c>
      <c r="I793" s="273">
        <v>25</v>
      </c>
      <c r="J793" s="270">
        <v>1430</v>
      </c>
      <c r="K793" s="270">
        <f t="shared" si="0"/>
        <v>35750</v>
      </c>
      <c r="L793" s="270">
        <v>70987</v>
      </c>
      <c r="M793" s="270">
        <v>2091</v>
      </c>
      <c r="N793" s="274">
        <v>954.73</v>
      </c>
      <c r="O793" s="55"/>
      <c r="P793" s="45">
        <v>955</v>
      </c>
      <c r="Q793" s="270">
        <v>109</v>
      </c>
      <c r="R793" s="275">
        <v>-8.7000000000000001E-4</v>
      </c>
      <c r="S793" s="270">
        <v>77</v>
      </c>
      <c r="T793" s="270">
        <v>1032</v>
      </c>
      <c r="U793" s="57">
        <v>1</v>
      </c>
      <c r="V793" s="276">
        <v>0.3</v>
      </c>
      <c r="W793" s="276">
        <v>0</v>
      </c>
      <c r="X793" s="270">
        <v>722</v>
      </c>
      <c r="Y793" s="270">
        <v>310</v>
      </c>
      <c r="Z793" s="45" t="b">
        <v>1</v>
      </c>
      <c r="AA793" s="45" t="s">
        <v>50</v>
      </c>
      <c r="AB793" s="45" t="s">
        <v>50</v>
      </c>
    </row>
    <row r="794" spans="1:28" x14ac:dyDescent="0.2">
      <c r="A794" s="270" t="s">
        <v>60</v>
      </c>
      <c r="B794" s="270" t="s">
        <v>60</v>
      </c>
      <c r="C794" s="277">
        <v>44368</v>
      </c>
      <c r="D794" s="277">
        <v>44397</v>
      </c>
      <c r="E794" s="270" t="s">
        <v>267</v>
      </c>
      <c r="F794" s="96" t="s">
        <v>34</v>
      </c>
      <c r="G794" s="270" t="s">
        <v>61</v>
      </c>
      <c r="H794" s="272" t="s">
        <v>63</v>
      </c>
      <c r="I794" s="273">
        <v>10</v>
      </c>
      <c r="J794" s="270">
        <v>1</v>
      </c>
      <c r="K794" s="270">
        <f t="shared" si="0"/>
        <v>10</v>
      </c>
      <c r="L794" s="270">
        <v>300</v>
      </c>
      <c r="M794" s="270">
        <v>12</v>
      </c>
      <c r="N794" s="274">
        <v>0.27</v>
      </c>
      <c r="O794" s="55"/>
      <c r="P794" s="45">
        <v>0</v>
      </c>
      <c r="Q794" s="270">
        <v>5</v>
      </c>
      <c r="R794" s="275">
        <v>-8.7000000000000001E-4</v>
      </c>
      <c r="S794" s="270">
        <v>5</v>
      </c>
      <c r="T794" s="270">
        <v>5</v>
      </c>
      <c r="U794" s="57">
        <v>1</v>
      </c>
      <c r="V794" s="276">
        <v>0.3</v>
      </c>
      <c r="W794" s="276">
        <v>0</v>
      </c>
      <c r="X794" s="270">
        <v>3</v>
      </c>
      <c r="Y794" s="270">
        <v>1</v>
      </c>
      <c r="Z794" s="45" t="b">
        <v>1</v>
      </c>
      <c r="AA794" s="45" t="s">
        <v>50</v>
      </c>
      <c r="AB794" s="45" t="s">
        <v>50</v>
      </c>
    </row>
    <row r="795" spans="1:28" x14ac:dyDescent="0.2">
      <c r="A795" s="96" t="s">
        <v>82</v>
      </c>
      <c r="B795" s="96" t="s">
        <v>82</v>
      </c>
      <c r="C795" s="277">
        <v>44368</v>
      </c>
      <c r="D795" s="277">
        <v>44397</v>
      </c>
      <c r="E795" s="270" t="s">
        <v>300</v>
      </c>
      <c r="F795" s="133" t="s">
        <v>34</v>
      </c>
      <c r="G795" s="96" t="s">
        <v>35</v>
      </c>
      <c r="H795" s="272" t="s">
        <v>46</v>
      </c>
      <c r="I795" s="273">
        <v>25</v>
      </c>
      <c r="J795" s="270">
        <v>1044</v>
      </c>
      <c r="K795" s="270">
        <f t="shared" si="0"/>
        <v>26100</v>
      </c>
      <c r="L795" s="270">
        <v>40921</v>
      </c>
      <c r="M795" s="270">
        <v>3150</v>
      </c>
      <c r="N795" s="274">
        <v>48</v>
      </c>
      <c r="O795" s="55"/>
      <c r="P795" s="45">
        <v>48</v>
      </c>
      <c r="Q795" s="270">
        <v>298</v>
      </c>
      <c r="R795" s="275">
        <v>-8.7000000000000001E-4</v>
      </c>
      <c r="S795" s="270">
        <v>275</v>
      </c>
      <c r="T795" s="270">
        <v>323</v>
      </c>
      <c r="U795" s="57">
        <v>1</v>
      </c>
      <c r="V795" s="276">
        <v>0.15</v>
      </c>
      <c r="W795" s="276">
        <v>0.05</v>
      </c>
      <c r="X795" s="270">
        <v>259</v>
      </c>
      <c r="Y795" s="270">
        <v>65</v>
      </c>
      <c r="Z795" s="45" t="b">
        <v>1</v>
      </c>
      <c r="AA795" s="45" t="s">
        <v>38</v>
      </c>
      <c r="AB795" s="45" t="s">
        <v>38</v>
      </c>
    </row>
    <row r="796" spans="1:28" x14ac:dyDescent="0.2">
      <c r="A796" s="96" t="s">
        <v>82</v>
      </c>
      <c r="B796" s="96" t="s">
        <v>82</v>
      </c>
      <c r="C796" s="277">
        <v>44368</v>
      </c>
      <c r="D796" s="277">
        <v>44397</v>
      </c>
      <c r="E796" s="270" t="s">
        <v>300</v>
      </c>
      <c r="F796" s="133" t="s">
        <v>34</v>
      </c>
      <c r="G796" s="96" t="s">
        <v>35</v>
      </c>
      <c r="H796" s="272" t="s">
        <v>72</v>
      </c>
      <c r="I796" s="273">
        <v>50</v>
      </c>
      <c r="J796" s="270">
        <v>1901</v>
      </c>
      <c r="K796" s="270">
        <f t="shared" si="0"/>
        <v>95050</v>
      </c>
      <c r="L796" s="270">
        <v>52670</v>
      </c>
      <c r="M796" s="270">
        <v>-1250</v>
      </c>
      <c r="N796" s="274">
        <v>174</v>
      </c>
      <c r="O796" s="55"/>
      <c r="P796" s="45">
        <v>174</v>
      </c>
      <c r="Q796" s="270">
        <v>-939</v>
      </c>
      <c r="R796" s="275">
        <v>-8.7000000000000001E-4</v>
      </c>
      <c r="S796" s="270">
        <v>-1022</v>
      </c>
      <c r="T796" s="270">
        <v>-848</v>
      </c>
      <c r="U796" s="57">
        <v>1</v>
      </c>
      <c r="V796" s="276">
        <v>0.15</v>
      </c>
      <c r="W796" s="276">
        <v>0.05</v>
      </c>
      <c r="X796" s="270">
        <v>-678</v>
      </c>
      <c r="Y796" s="270">
        <v>-170</v>
      </c>
      <c r="Z796" s="45" t="b">
        <v>1</v>
      </c>
      <c r="AA796" s="45" t="s">
        <v>38</v>
      </c>
      <c r="AB796" s="45" t="s">
        <v>38</v>
      </c>
    </row>
    <row r="797" spans="1:28" x14ac:dyDescent="0.2">
      <c r="A797" s="96" t="s">
        <v>82</v>
      </c>
      <c r="B797" s="96" t="s">
        <v>82</v>
      </c>
      <c r="C797" s="277">
        <v>44368</v>
      </c>
      <c r="D797" s="277">
        <v>44397</v>
      </c>
      <c r="E797" s="270" t="s">
        <v>300</v>
      </c>
      <c r="F797" s="133" t="s">
        <v>41</v>
      </c>
      <c r="G797" s="96" t="s">
        <v>35</v>
      </c>
      <c r="H797" s="272" t="s">
        <v>87</v>
      </c>
      <c r="I797" s="273">
        <v>25</v>
      </c>
      <c r="J797" s="270">
        <v>1</v>
      </c>
      <c r="K797" s="270">
        <f t="shared" si="0"/>
        <v>25</v>
      </c>
      <c r="L797" s="270"/>
      <c r="M797" s="270">
        <v>50</v>
      </c>
      <c r="N797" s="274"/>
      <c r="O797" s="55"/>
      <c r="P797" s="96"/>
      <c r="Q797" s="270"/>
      <c r="R797" s="275">
        <v>0</v>
      </c>
      <c r="S797" s="270"/>
      <c r="T797" s="270">
        <v>50</v>
      </c>
      <c r="U797" s="57">
        <v>1</v>
      </c>
      <c r="V797" s="276">
        <v>0.15</v>
      </c>
      <c r="W797" s="276">
        <v>0.05</v>
      </c>
      <c r="X797" s="270">
        <v>40</v>
      </c>
      <c r="Y797" s="270">
        <v>10</v>
      </c>
      <c r="Z797" s="45" t="b">
        <v>1</v>
      </c>
      <c r="AA797" s="45" t="s">
        <v>38</v>
      </c>
      <c r="AB797" s="45" t="s">
        <v>38</v>
      </c>
    </row>
    <row r="798" spans="1:28" x14ac:dyDescent="0.2">
      <c r="A798" s="96" t="s">
        <v>154</v>
      </c>
      <c r="B798" s="96">
        <v>66.562200000000004</v>
      </c>
      <c r="C798" s="277">
        <v>44368</v>
      </c>
      <c r="D798" s="277">
        <v>44397</v>
      </c>
      <c r="E798" s="270" t="s">
        <v>267</v>
      </c>
      <c r="F798" s="96" t="s">
        <v>34</v>
      </c>
      <c r="G798" s="270" t="s">
        <v>61</v>
      </c>
      <c r="H798" s="272" t="s">
        <v>63</v>
      </c>
      <c r="I798" s="273">
        <v>10</v>
      </c>
      <c r="J798" s="270">
        <v>1458</v>
      </c>
      <c r="K798" s="270">
        <f t="shared" si="0"/>
        <v>14580</v>
      </c>
      <c r="L798" s="270">
        <v>97256</v>
      </c>
      <c r="M798" s="270">
        <v>82</v>
      </c>
      <c r="N798" s="274">
        <v>110.49</v>
      </c>
      <c r="O798" s="55"/>
      <c r="P798" s="45">
        <v>110</v>
      </c>
      <c r="Q798" s="270">
        <v>473</v>
      </c>
      <c r="R798" s="275">
        <v>-8.7000000000000001E-4</v>
      </c>
      <c r="S798" s="270">
        <v>460</v>
      </c>
      <c r="T798" s="270">
        <v>571</v>
      </c>
      <c r="U798" s="57">
        <v>1.1779999999999999</v>
      </c>
      <c r="V798" s="276">
        <v>0.2</v>
      </c>
      <c r="W798" s="276">
        <v>0</v>
      </c>
      <c r="X798" s="270">
        <v>538</v>
      </c>
      <c r="Y798" s="270">
        <v>134</v>
      </c>
      <c r="Z798" s="45" t="b">
        <v>1</v>
      </c>
      <c r="AA798" s="45" t="s">
        <v>38</v>
      </c>
      <c r="AB798" s="45" t="s">
        <v>50</v>
      </c>
    </row>
    <row r="799" spans="1:28" x14ac:dyDescent="0.2">
      <c r="A799" s="96" t="s">
        <v>154</v>
      </c>
      <c r="B799" s="96">
        <v>66.562200000000004</v>
      </c>
      <c r="C799" s="277">
        <v>44368</v>
      </c>
      <c r="D799" s="277">
        <v>44397</v>
      </c>
      <c r="E799" s="270" t="s">
        <v>267</v>
      </c>
      <c r="F799" s="96" t="s">
        <v>34</v>
      </c>
      <c r="G799" s="270" t="s">
        <v>61</v>
      </c>
      <c r="H799" s="272" t="s">
        <v>93</v>
      </c>
      <c r="I799" s="273">
        <v>25</v>
      </c>
      <c r="J799" s="270">
        <v>103</v>
      </c>
      <c r="K799" s="270">
        <f t="shared" si="0"/>
        <v>2575</v>
      </c>
      <c r="L799" s="270">
        <v>2361</v>
      </c>
      <c r="M799" s="270">
        <v>-88</v>
      </c>
      <c r="N799" s="274">
        <v>19.510000000000002</v>
      </c>
      <c r="O799" s="55"/>
      <c r="P799" s="45">
        <v>20</v>
      </c>
      <c r="Q799" s="270">
        <v>-122</v>
      </c>
      <c r="R799" s="275">
        <v>-8.7000000000000001E-4</v>
      </c>
      <c r="S799" s="270">
        <v>-124</v>
      </c>
      <c r="T799" s="270">
        <v>-104</v>
      </c>
      <c r="U799" s="57">
        <v>1.1779999999999999</v>
      </c>
      <c r="V799" s="276">
        <v>0.2</v>
      </c>
      <c r="W799" s="276">
        <v>0</v>
      </c>
      <c r="X799" s="270">
        <v>-98</v>
      </c>
      <c r="Y799" s="270">
        <v>-25</v>
      </c>
      <c r="Z799" s="45" t="b">
        <v>1</v>
      </c>
      <c r="AA799" s="45" t="s">
        <v>38</v>
      </c>
      <c r="AB799" s="45" t="s">
        <v>50</v>
      </c>
    </row>
    <row r="800" spans="1:28" x14ac:dyDescent="0.2">
      <c r="A800" s="96" t="s">
        <v>154</v>
      </c>
      <c r="B800" s="96" t="s">
        <v>154</v>
      </c>
      <c r="C800" s="277">
        <v>44368</v>
      </c>
      <c r="D800" s="277">
        <v>44397</v>
      </c>
      <c r="E800" s="270" t="s">
        <v>267</v>
      </c>
      <c r="F800" s="96" t="s">
        <v>34</v>
      </c>
      <c r="G800" s="270" t="s">
        <v>35</v>
      </c>
      <c r="H800" s="272" t="s">
        <v>40</v>
      </c>
      <c r="I800" s="273">
        <v>10</v>
      </c>
      <c r="J800" s="270">
        <v>19</v>
      </c>
      <c r="K800" s="270">
        <f t="shared" si="0"/>
        <v>190</v>
      </c>
      <c r="L800" s="270">
        <v>-40</v>
      </c>
      <c r="M800" s="270">
        <v>100</v>
      </c>
      <c r="N800" s="274"/>
      <c r="O800" s="55"/>
      <c r="P800" s="96"/>
      <c r="Q800" s="270">
        <v>-15</v>
      </c>
      <c r="R800" s="275">
        <v>-8.7000000000000001E-4</v>
      </c>
      <c r="S800" s="270">
        <v>-15</v>
      </c>
      <c r="T800" s="270">
        <v>-15</v>
      </c>
      <c r="U800" s="57">
        <v>1</v>
      </c>
      <c r="V800" s="276">
        <v>0.2</v>
      </c>
      <c r="W800" s="276">
        <v>0</v>
      </c>
      <c r="X800" s="270">
        <v>-12</v>
      </c>
      <c r="Y800" s="270">
        <v>-3</v>
      </c>
      <c r="Z800" s="45" t="b">
        <v>1</v>
      </c>
      <c r="AA800" s="45" t="s">
        <v>38</v>
      </c>
      <c r="AB800" s="45" t="s">
        <v>38</v>
      </c>
    </row>
    <row r="801" spans="1:28" x14ac:dyDescent="0.2">
      <c r="A801" s="96" t="s">
        <v>154</v>
      </c>
      <c r="B801" s="96" t="s">
        <v>154</v>
      </c>
      <c r="C801" s="277">
        <v>44368</v>
      </c>
      <c r="D801" s="277">
        <v>44397</v>
      </c>
      <c r="E801" s="270" t="s">
        <v>267</v>
      </c>
      <c r="F801" s="96" t="s">
        <v>34</v>
      </c>
      <c r="G801" s="270" t="s">
        <v>35</v>
      </c>
      <c r="H801" s="272" t="s">
        <v>46</v>
      </c>
      <c r="I801" s="273">
        <v>25</v>
      </c>
      <c r="J801" s="270">
        <v>1175</v>
      </c>
      <c r="K801" s="270">
        <f t="shared" si="0"/>
        <v>29375</v>
      </c>
      <c r="L801" s="270">
        <v>28658</v>
      </c>
      <c r="M801" s="270">
        <v>1150</v>
      </c>
      <c r="N801" s="274">
        <v>94</v>
      </c>
      <c r="O801" s="55"/>
      <c r="P801" s="45">
        <v>94</v>
      </c>
      <c r="Q801" s="270">
        <v>-601</v>
      </c>
      <c r="R801" s="275">
        <v>-8.7000000000000001E-4</v>
      </c>
      <c r="S801" s="270">
        <v>-626</v>
      </c>
      <c r="T801" s="270">
        <v>-532</v>
      </c>
      <c r="U801" s="57">
        <v>1</v>
      </c>
      <c r="V801" s="276">
        <v>0.2</v>
      </c>
      <c r="W801" s="276">
        <v>0</v>
      </c>
      <c r="X801" s="270">
        <v>-426</v>
      </c>
      <c r="Y801" s="270">
        <v>-106</v>
      </c>
      <c r="Z801" s="45" t="b">
        <v>1</v>
      </c>
      <c r="AA801" s="45" t="s">
        <v>38</v>
      </c>
      <c r="AB801" s="45" t="s">
        <v>38</v>
      </c>
    </row>
    <row r="802" spans="1:28" x14ac:dyDescent="0.2">
      <c r="A802" s="96" t="s">
        <v>355</v>
      </c>
      <c r="B802" s="270" t="s">
        <v>986</v>
      </c>
      <c r="C802" s="277">
        <v>44378</v>
      </c>
      <c r="D802" s="277">
        <v>44397</v>
      </c>
      <c r="E802" s="270" t="s">
        <v>300</v>
      </c>
      <c r="F802" s="133" t="s">
        <v>41</v>
      </c>
      <c r="G802" s="270" t="s">
        <v>61</v>
      </c>
      <c r="H802" s="272" t="s">
        <v>109</v>
      </c>
      <c r="I802" s="273">
        <v>50</v>
      </c>
      <c r="J802" s="270">
        <v>244</v>
      </c>
      <c r="K802" s="270">
        <f t="shared" si="0"/>
        <v>12200</v>
      </c>
      <c r="L802" s="270">
        <v>6894</v>
      </c>
      <c r="M802" s="270">
        <v>-2650</v>
      </c>
      <c r="N802" s="274">
        <v>460.17</v>
      </c>
      <c r="O802" s="55"/>
      <c r="P802" s="45">
        <v>460</v>
      </c>
      <c r="Q802" s="270">
        <v>-455</v>
      </c>
      <c r="R802" s="275">
        <v>0</v>
      </c>
      <c r="S802" s="270">
        <v>-455</v>
      </c>
      <c r="T802" s="270">
        <v>-2190</v>
      </c>
      <c r="U802" s="57">
        <v>1.1779999999999999</v>
      </c>
      <c r="V802" s="276">
        <v>0.15</v>
      </c>
      <c r="W802" s="276">
        <v>0.05</v>
      </c>
      <c r="X802" s="270">
        <v>-2064</v>
      </c>
      <c r="Y802" s="270">
        <v>-516</v>
      </c>
      <c r="Z802" s="45" t="b">
        <v>1</v>
      </c>
      <c r="AA802" s="45" t="s">
        <v>38</v>
      </c>
      <c r="AB802" s="45" t="s">
        <v>50</v>
      </c>
    </row>
    <row r="803" spans="1:28" x14ac:dyDescent="0.2">
      <c r="A803" s="96" t="s">
        <v>355</v>
      </c>
      <c r="B803" s="270" t="s">
        <v>986</v>
      </c>
      <c r="C803" s="277">
        <v>44378</v>
      </c>
      <c r="D803" s="277">
        <v>44397</v>
      </c>
      <c r="E803" s="270" t="s">
        <v>300</v>
      </c>
      <c r="F803" s="133" t="s">
        <v>41</v>
      </c>
      <c r="G803" s="270" t="s">
        <v>61</v>
      </c>
      <c r="H803" s="272" t="s">
        <v>93</v>
      </c>
      <c r="I803" s="273">
        <v>25</v>
      </c>
      <c r="J803" s="270">
        <v>185</v>
      </c>
      <c r="K803" s="270">
        <f t="shared" si="0"/>
        <v>4625</v>
      </c>
      <c r="L803" s="270">
        <v>3674</v>
      </c>
      <c r="M803" s="270">
        <v>-25</v>
      </c>
      <c r="N803" s="274">
        <v>174.45</v>
      </c>
      <c r="O803" s="55"/>
      <c r="P803" s="45">
        <v>174</v>
      </c>
      <c r="Q803" s="270">
        <v>-243</v>
      </c>
      <c r="R803" s="275">
        <v>0</v>
      </c>
      <c r="S803" s="270">
        <v>-243</v>
      </c>
      <c r="T803" s="270">
        <v>149</v>
      </c>
      <c r="U803" s="57">
        <v>1.1779999999999999</v>
      </c>
      <c r="V803" s="276">
        <v>0.15</v>
      </c>
      <c r="W803" s="276">
        <v>0.05</v>
      </c>
      <c r="X803" s="270">
        <v>141</v>
      </c>
      <c r="Y803" s="270">
        <v>35</v>
      </c>
      <c r="Z803" s="45" t="b">
        <v>1</v>
      </c>
      <c r="AA803" s="45" t="s">
        <v>38</v>
      </c>
      <c r="AB803" s="45" t="s">
        <v>50</v>
      </c>
    </row>
    <row r="804" spans="1:28" x14ac:dyDescent="0.2">
      <c r="A804" s="96" t="s">
        <v>355</v>
      </c>
      <c r="B804" s="270" t="s">
        <v>986</v>
      </c>
      <c r="C804" s="277">
        <v>44378</v>
      </c>
      <c r="D804" s="277">
        <v>44397</v>
      </c>
      <c r="E804" s="270" t="s">
        <v>300</v>
      </c>
      <c r="F804" s="133" t="s">
        <v>41</v>
      </c>
      <c r="G804" s="270" t="s">
        <v>61</v>
      </c>
      <c r="H804" s="272" t="s">
        <v>980</v>
      </c>
      <c r="I804" s="273">
        <v>5</v>
      </c>
      <c r="J804" s="270">
        <v>1</v>
      </c>
      <c r="K804" s="270">
        <f t="shared" si="0"/>
        <v>5</v>
      </c>
      <c r="L804" s="270">
        <v>-307</v>
      </c>
      <c r="M804" s="270">
        <v>-5</v>
      </c>
      <c r="N804" s="274">
        <v>0</v>
      </c>
      <c r="O804" s="55"/>
      <c r="P804" s="45">
        <v>0</v>
      </c>
      <c r="Q804" s="270">
        <v>-3</v>
      </c>
      <c r="R804" s="275">
        <v>0</v>
      </c>
      <c r="S804" s="270">
        <v>-3</v>
      </c>
      <c r="T804" s="270">
        <v>-5</v>
      </c>
      <c r="U804" s="57">
        <v>1.1779999999999999</v>
      </c>
      <c r="V804" s="276">
        <v>0.15</v>
      </c>
      <c r="W804" s="276">
        <v>0.05</v>
      </c>
      <c r="X804" s="270">
        <v>-5</v>
      </c>
      <c r="Y804" s="270">
        <v>-1</v>
      </c>
      <c r="Z804" s="45" t="b">
        <v>1</v>
      </c>
      <c r="AA804" s="45" t="s">
        <v>38</v>
      </c>
      <c r="AB804" s="45" t="s">
        <v>50</v>
      </c>
    </row>
    <row r="805" spans="1:28" x14ac:dyDescent="0.2">
      <c r="A805" s="96" t="s">
        <v>355</v>
      </c>
      <c r="B805" s="270" t="s">
        <v>986</v>
      </c>
      <c r="C805" s="277">
        <v>44378</v>
      </c>
      <c r="D805" s="277">
        <v>44397</v>
      </c>
      <c r="E805" s="270" t="s">
        <v>300</v>
      </c>
      <c r="F805" s="133" t="s">
        <v>41</v>
      </c>
      <c r="G805" s="270" t="s">
        <v>61</v>
      </c>
      <c r="H805" s="272" t="s">
        <v>63</v>
      </c>
      <c r="I805" s="273">
        <v>10</v>
      </c>
      <c r="J805" s="270">
        <v>1</v>
      </c>
      <c r="K805" s="270">
        <f t="shared" si="0"/>
        <v>10</v>
      </c>
      <c r="L805" s="270">
        <v>389</v>
      </c>
      <c r="M805" s="270">
        <v>-10</v>
      </c>
      <c r="N805" s="274">
        <v>0.38</v>
      </c>
      <c r="O805" s="55"/>
      <c r="P805" s="45">
        <v>0</v>
      </c>
      <c r="Q805" s="270">
        <v>6</v>
      </c>
      <c r="R805" s="275">
        <v>0</v>
      </c>
      <c r="S805" s="270">
        <v>6</v>
      </c>
      <c r="T805" s="270">
        <v>-10</v>
      </c>
      <c r="U805" s="57">
        <v>1.1779999999999999</v>
      </c>
      <c r="V805" s="276">
        <v>0.15</v>
      </c>
      <c r="W805" s="276">
        <v>0.05</v>
      </c>
      <c r="X805" s="270">
        <v>-9</v>
      </c>
      <c r="Y805" s="270">
        <v>-2</v>
      </c>
      <c r="Z805" s="45" t="b">
        <v>1</v>
      </c>
      <c r="AA805" s="45" t="s">
        <v>38</v>
      </c>
      <c r="AB805" s="45" t="s">
        <v>50</v>
      </c>
    </row>
    <row r="806" spans="1:28" x14ac:dyDescent="0.2">
      <c r="A806" s="96" t="s">
        <v>402</v>
      </c>
      <c r="B806" s="96" t="s">
        <v>402</v>
      </c>
      <c r="C806" s="277">
        <v>44368</v>
      </c>
      <c r="D806" s="277">
        <v>44397</v>
      </c>
      <c r="E806" s="270" t="s">
        <v>267</v>
      </c>
      <c r="F806" s="133" t="s">
        <v>34</v>
      </c>
      <c r="G806" s="96" t="s">
        <v>165</v>
      </c>
      <c r="H806" s="272" t="s">
        <v>166</v>
      </c>
      <c r="I806" s="273">
        <v>10</v>
      </c>
      <c r="J806" s="270">
        <v>2485</v>
      </c>
      <c r="K806" s="270">
        <f t="shared" si="0"/>
        <v>24850</v>
      </c>
      <c r="L806" s="270">
        <v>157180</v>
      </c>
      <c r="M806" s="270">
        <v>1130</v>
      </c>
      <c r="N806" s="274"/>
      <c r="O806" s="55"/>
      <c r="P806" s="96"/>
      <c r="Q806" s="270">
        <v>975</v>
      </c>
      <c r="R806" s="275">
        <v>-8.7000000000000001E-4</v>
      </c>
      <c r="S806" s="270">
        <v>954</v>
      </c>
      <c r="T806" s="270">
        <v>954</v>
      </c>
      <c r="U806" s="57">
        <v>1.1779999999999999</v>
      </c>
      <c r="V806" s="276">
        <v>0.25</v>
      </c>
      <c r="W806" s="276">
        <v>0</v>
      </c>
      <c r="X806" s="270">
        <v>843</v>
      </c>
      <c r="Y806" s="270">
        <v>281</v>
      </c>
      <c r="Z806" s="45" t="b">
        <v>1</v>
      </c>
      <c r="AA806" s="45" t="s">
        <v>38</v>
      </c>
      <c r="AB806" s="45" t="s">
        <v>50</v>
      </c>
    </row>
    <row r="807" spans="1:28" x14ac:dyDescent="0.2">
      <c r="A807" s="270" t="s">
        <v>91</v>
      </c>
      <c r="B807" s="270" t="s">
        <v>91</v>
      </c>
      <c r="C807" s="277">
        <v>44368</v>
      </c>
      <c r="D807" s="277">
        <v>44397</v>
      </c>
      <c r="E807" s="270" t="s">
        <v>267</v>
      </c>
      <c r="F807" s="96" t="s">
        <v>34</v>
      </c>
      <c r="G807" s="270" t="s">
        <v>61</v>
      </c>
      <c r="H807" s="272" t="s">
        <v>63</v>
      </c>
      <c r="I807" s="273">
        <v>10</v>
      </c>
      <c r="J807" s="270">
        <v>1033</v>
      </c>
      <c r="K807" s="270">
        <f t="shared" si="0"/>
        <v>10330</v>
      </c>
      <c r="L807" s="270">
        <v>22907</v>
      </c>
      <c r="M807" s="270">
        <v>-554</v>
      </c>
      <c r="N807" s="274">
        <v>99.61</v>
      </c>
      <c r="O807" s="55"/>
      <c r="P807" s="45">
        <v>100</v>
      </c>
      <c r="Q807" s="270">
        <v>-485</v>
      </c>
      <c r="R807" s="275">
        <v>-8.7000000000000001E-4</v>
      </c>
      <c r="S807" s="270">
        <v>-494</v>
      </c>
      <c r="T807" s="270">
        <v>-395</v>
      </c>
      <c r="U807" s="57">
        <v>1</v>
      </c>
      <c r="V807" s="276">
        <v>0.3</v>
      </c>
      <c r="W807" s="276">
        <v>0</v>
      </c>
      <c r="X807" s="270">
        <v>-276</v>
      </c>
      <c r="Y807" s="270">
        <v>-118</v>
      </c>
      <c r="Z807" s="45" t="b">
        <v>1</v>
      </c>
      <c r="AA807" s="45" t="s">
        <v>50</v>
      </c>
      <c r="AB807" s="45" t="s">
        <v>50</v>
      </c>
    </row>
    <row r="808" spans="1:28" x14ac:dyDescent="0.2">
      <c r="A808" s="270" t="s">
        <v>91</v>
      </c>
      <c r="B808" s="270" t="s">
        <v>91</v>
      </c>
      <c r="C808" s="277">
        <v>44368</v>
      </c>
      <c r="D808" s="277">
        <v>44397</v>
      </c>
      <c r="E808" s="270" t="s">
        <v>267</v>
      </c>
      <c r="F808" s="96" t="s">
        <v>41</v>
      </c>
      <c r="G808" s="270" t="s">
        <v>61</v>
      </c>
      <c r="H808" s="272" t="s">
        <v>92</v>
      </c>
      <c r="I808" s="273">
        <v>10</v>
      </c>
      <c r="J808" s="270">
        <v>4</v>
      </c>
      <c r="K808" s="270">
        <f t="shared" si="0"/>
        <v>40</v>
      </c>
      <c r="L808" s="270">
        <v>-178</v>
      </c>
      <c r="M808" s="270">
        <v>0</v>
      </c>
      <c r="N808" s="274">
        <v>0.39</v>
      </c>
      <c r="O808" s="55"/>
      <c r="P808" s="45">
        <v>0</v>
      </c>
      <c r="Q808" s="270">
        <v>-9</v>
      </c>
      <c r="R808" s="275">
        <v>-8.7000000000000001E-4</v>
      </c>
      <c r="S808" s="270">
        <v>-9</v>
      </c>
      <c r="T808" s="270">
        <v>0</v>
      </c>
      <c r="U808" s="57">
        <v>1</v>
      </c>
      <c r="V808" s="276">
        <v>0.3</v>
      </c>
      <c r="W808" s="276">
        <v>0</v>
      </c>
      <c r="X808" s="270">
        <v>0</v>
      </c>
      <c r="Y808" s="270">
        <v>0</v>
      </c>
      <c r="Z808" s="45" t="b">
        <v>1</v>
      </c>
      <c r="AA808" s="45" t="s">
        <v>50</v>
      </c>
      <c r="AB808" s="45" t="s">
        <v>50</v>
      </c>
    </row>
    <row r="809" spans="1:28" x14ac:dyDescent="0.2">
      <c r="A809" s="96" t="s">
        <v>178</v>
      </c>
      <c r="B809" s="96" t="s">
        <v>178</v>
      </c>
      <c r="C809" s="277">
        <v>44368</v>
      </c>
      <c r="D809" s="277">
        <v>44397</v>
      </c>
      <c r="E809" s="270" t="s">
        <v>267</v>
      </c>
      <c r="F809" s="133" t="s">
        <v>34</v>
      </c>
      <c r="G809" s="96" t="s">
        <v>61</v>
      </c>
      <c r="H809" s="272" t="s">
        <v>63</v>
      </c>
      <c r="I809" s="273">
        <v>10</v>
      </c>
      <c r="J809" s="270">
        <v>1378</v>
      </c>
      <c r="K809" s="270">
        <f t="shared" si="0"/>
        <v>13780</v>
      </c>
      <c r="L809" s="270">
        <v>101601</v>
      </c>
      <c r="M809" s="270">
        <v>1166</v>
      </c>
      <c r="N809" s="274">
        <v>358.96</v>
      </c>
      <c r="O809" s="55"/>
      <c r="P809" s="45">
        <v>359</v>
      </c>
      <c r="Q809" s="270">
        <v>646</v>
      </c>
      <c r="R809" s="275">
        <v>-8.7000000000000001E-4</v>
      </c>
      <c r="S809" s="270">
        <v>634</v>
      </c>
      <c r="T809" s="270">
        <v>993</v>
      </c>
      <c r="U809" s="57">
        <v>1</v>
      </c>
      <c r="V809" s="276">
        <v>0.2</v>
      </c>
      <c r="W809" s="276">
        <v>0</v>
      </c>
      <c r="X809" s="270">
        <v>794</v>
      </c>
      <c r="Y809" s="270">
        <v>199</v>
      </c>
      <c r="Z809" s="45" t="b">
        <v>1</v>
      </c>
      <c r="AA809" s="45" t="s">
        <v>50</v>
      </c>
      <c r="AB809" s="45" t="s">
        <v>50</v>
      </c>
    </row>
    <row r="810" spans="1:28" x14ac:dyDescent="0.2">
      <c r="A810" s="96" t="s">
        <v>178</v>
      </c>
      <c r="B810" s="96" t="s">
        <v>178</v>
      </c>
      <c r="C810" s="277">
        <v>44368</v>
      </c>
      <c r="D810" s="277">
        <v>44397</v>
      </c>
      <c r="E810" s="270" t="s">
        <v>267</v>
      </c>
      <c r="F810" s="133" t="s">
        <v>34</v>
      </c>
      <c r="G810" s="96" t="s">
        <v>61</v>
      </c>
      <c r="H810" s="272" t="s">
        <v>980</v>
      </c>
      <c r="I810" s="273">
        <v>5</v>
      </c>
      <c r="J810" s="270">
        <v>8</v>
      </c>
      <c r="K810" s="270">
        <f t="shared" si="0"/>
        <v>40</v>
      </c>
      <c r="L810" s="270">
        <v>521</v>
      </c>
      <c r="M810" s="270">
        <v>-35</v>
      </c>
      <c r="N810" s="274">
        <v>1.04</v>
      </c>
      <c r="O810" s="55"/>
      <c r="P810" s="45">
        <v>1</v>
      </c>
      <c r="Q810" s="270">
        <v>1</v>
      </c>
      <c r="R810" s="275">
        <v>-8.7000000000000001E-4</v>
      </c>
      <c r="S810" s="270">
        <v>1</v>
      </c>
      <c r="T810" s="270">
        <v>2</v>
      </c>
      <c r="U810" s="57">
        <v>1</v>
      </c>
      <c r="V810" s="276">
        <v>0.2</v>
      </c>
      <c r="W810" s="276">
        <v>0</v>
      </c>
      <c r="X810" s="270">
        <v>2</v>
      </c>
      <c r="Y810" s="270">
        <v>0</v>
      </c>
      <c r="Z810" s="45" t="b">
        <v>1</v>
      </c>
      <c r="AA810" s="45" t="s">
        <v>50</v>
      </c>
      <c r="AB810" s="45" t="s">
        <v>50</v>
      </c>
    </row>
    <row r="811" spans="1:28" x14ac:dyDescent="0.2">
      <c r="A811" s="96" t="s">
        <v>508</v>
      </c>
      <c r="B811" s="96" t="s">
        <v>508</v>
      </c>
      <c r="C811" s="277">
        <v>44368</v>
      </c>
      <c r="D811" s="277">
        <v>44397</v>
      </c>
      <c r="E811" s="270" t="s">
        <v>300</v>
      </c>
      <c r="F811" s="133" t="s">
        <v>34</v>
      </c>
      <c r="G811" s="96" t="s">
        <v>35</v>
      </c>
      <c r="H811" s="272" t="s">
        <v>70</v>
      </c>
      <c r="I811" s="273">
        <v>100</v>
      </c>
      <c r="J811" s="270">
        <v>2022</v>
      </c>
      <c r="K811" s="270">
        <f t="shared" si="0"/>
        <v>202200</v>
      </c>
      <c r="L811" s="270">
        <v>62927</v>
      </c>
      <c r="M811" s="270">
        <v>-7600</v>
      </c>
      <c r="N811" s="274">
        <v>316</v>
      </c>
      <c r="O811" s="55"/>
      <c r="P811" s="45">
        <v>316</v>
      </c>
      <c r="Q811" s="270">
        <v>875</v>
      </c>
      <c r="R811" s="275">
        <v>-8.7000000000000001E-4</v>
      </c>
      <c r="S811" s="270">
        <v>699</v>
      </c>
      <c r="T811" s="270">
        <v>1015</v>
      </c>
      <c r="U811" s="57">
        <v>1</v>
      </c>
      <c r="V811" s="276">
        <v>0.13500000000000001</v>
      </c>
      <c r="W811" s="276">
        <v>4.4999999999999998E-2</v>
      </c>
      <c r="X811" s="270">
        <v>832</v>
      </c>
      <c r="Y811" s="270">
        <v>183</v>
      </c>
      <c r="Z811" s="45" t="b">
        <v>1</v>
      </c>
      <c r="AA811" s="45" t="s">
        <v>38</v>
      </c>
      <c r="AB811" s="45" t="s">
        <v>38</v>
      </c>
    </row>
    <row r="812" spans="1:28" x14ac:dyDescent="0.2">
      <c r="A812" s="96" t="s">
        <v>113</v>
      </c>
      <c r="B812" s="96" t="s">
        <v>113</v>
      </c>
      <c r="C812" s="277">
        <v>44368</v>
      </c>
      <c r="D812" s="277">
        <v>44397</v>
      </c>
      <c r="E812" s="270" t="s">
        <v>267</v>
      </c>
      <c r="F812" s="133" t="s">
        <v>34</v>
      </c>
      <c r="G812" s="96" t="s">
        <v>35</v>
      </c>
      <c r="H812" s="272" t="s">
        <v>39</v>
      </c>
      <c r="I812" s="273">
        <v>5</v>
      </c>
      <c r="J812" s="270">
        <v>1</v>
      </c>
      <c r="K812" s="270">
        <f t="shared" si="0"/>
        <v>5</v>
      </c>
      <c r="L812" s="270">
        <v>474</v>
      </c>
      <c r="M812" s="270">
        <v>5</v>
      </c>
      <c r="N812" s="274"/>
      <c r="O812" s="55"/>
      <c r="P812" s="96"/>
      <c r="Q812" s="270">
        <v>4</v>
      </c>
      <c r="R812" s="275">
        <v>-8.7000000000000001E-4</v>
      </c>
      <c r="S812" s="270">
        <v>4</v>
      </c>
      <c r="T812" s="270">
        <v>4</v>
      </c>
      <c r="U812" s="57">
        <v>1</v>
      </c>
      <c r="V812" s="276">
        <v>0.3</v>
      </c>
      <c r="W812" s="276">
        <v>0</v>
      </c>
      <c r="X812" s="270">
        <v>3</v>
      </c>
      <c r="Y812" s="270">
        <v>1</v>
      </c>
      <c r="Z812" s="45" t="b">
        <v>1</v>
      </c>
      <c r="AA812" s="45" t="s">
        <v>38</v>
      </c>
      <c r="AB812" s="45" t="s">
        <v>38</v>
      </c>
    </row>
    <row r="813" spans="1:28" x14ac:dyDescent="0.2">
      <c r="A813" s="96" t="s">
        <v>113</v>
      </c>
      <c r="B813" s="96" t="s">
        <v>113</v>
      </c>
      <c r="C813" s="277">
        <v>44368</v>
      </c>
      <c r="D813" s="277">
        <v>44397</v>
      </c>
      <c r="E813" s="270" t="s">
        <v>267</v>
      </c>
      <c r="F813" s="133" t="s">
        <v>34</v>
      </c>
      <c r="G813" s="96" t="s">
        <v>35</v>
      </c>
      <c r="H813" s="272" t="s">
        <v>40</v>
      </c>
      <c r="I813" s="273">
        <v>10</v>
      </c>
      <c r="J813" s="270">
        <v>1504</v>
      </c>
      <c r="K813" s="270">
        <f t="shared" si="0"/>
        <v>15040</v>
      </c>
      <c r="L813" s="270">
        <v>77133</v>
      </c>
      <c r="M813" s="270">
        <v>310</v>
      </c>
      <c r="N813" s="274">
        <v>284</v>
      </c>
      <c r="O813" s="55"/>
      <c r="P813" s="45">
        <v>284</v>
      </c>
      <c r="Q813" s="270">
        <v>305</v>
      </c>
      <c r="R813" s="275">
        <v>-8.7000000000000001E-4</v>
      </c>
      <c r="S813" s="270">
        <v>292</v>
      </c>
      <c r="T813" s="270">
        <v>576</v>
      </c>
      <c r="U813" s="57">
        <v>1</v>
      </c>
      <c r="V813" s="276">
        <v>0.3</v>
      </c>
      <c r="W813" s="276">
        <v>0</v>
      </c>
      <c r="X813" s="270">
        <v>403</v>
      </c>
      <c r="Y813" s="270">
        <v>173</v>
      </c>
      <c r="Z813" s="45" t="b">
        <v>1</v>
      </c>
      <c r="AA813" s="45" t="s">
        <v>38</v>
      </c>
      <c r="AB813" s="45" t="s">
        <v>38</v>
      </c>
    </row>
    <row r="814" spans="1:28" x14ac:dyDescent="0.2">
      <c r="A814" s="96" t="s">
        <v>191</v>
      </c>
      <c r="B814" s="96" t="s">
        <v>193</v>
      </c>
      <c r="C814" s="277">
        <v>44368</v>
      </c>
      <c r="D814" s="277">
        <v>44397</v>
      </c>
      <c r="E814" s="270" t="s">
        <v>267</v>
      </c>
      <c r="F814" s="133" t="s">
        <v>34</v>
      </c>
      <c r="G814" s="96" t="s">
        <v>80</v>
      </c>
      <c r="H814" s="272" t="s">
        <v>40</v>
      </c>
      <c r="I814" s="273">
        <v>10</v>
      </c>
      <c r="J814" s="270">
        <v>3263</v>
      </c>
      <c r="K814" s="270">
        <f t="shared" si="0"/>
        <v>32630</v>
      </c>
      <c r="L814" s="270">
        <v>13784</v>
      </c>
      <c r="M814" s="270">
        <v>-2270</v>
      </c>
      <c r="N814" s="274">
        <v>1640.83</v>
      </c>
      <c r="O814" s="55"/>
      <c r="P814" s="105">
        <v>1641</v>
      </c>
      <c r="Q814" s="270">
        <v>-1996</v>
      </c>
      <c r="R814" s="275">
        <v>-8.7000000000000001E-4</v>
      </c>
      <c r="S814" s="270">
        <v>-2025</v>
      </c>
      <c r="T814" s="270">
        <v>-384</v>
      </c>
      <c r="U814" s="57">
        <v>1</v>
      </c>
      <c r="V814" s="276">
        <v>0.22</v>
      </c>
      <c r="W814" s="276">
        <v>0</v>
      </c>
      <c r="X814" s="270">
        <v>-299</v>
      </c>
      <c r="Y814" s="270">
        <v>-84</v>
      </c>
      <c r="Z814" s="45" t="b">
        <v>1</v>
      </c>
      <c r="AA814" s="45" t="s">
        <v>38</v>
      </c>
      <c r="AB814" s="45" t="s">
        <v>38</v>
      </c>
    </row>
    <row r="815" spans="1:28" x14ac:dyDescent="0.2">
      <c r="A815" s="96" t="s">
        <v>191</v>
      </c>
      <c r="B815" s="96" t="s">
        <v>193</v>
      </c>
      <c r="C815" s="277">
        <v>44368</v>
      </c>
      <c r="D815" s="277">
        <v>44397</v>
      </c>
      <c r="E815" s="270" t="s">
        <v>267</v>
      </c>
      <c r="F815" s="133" t="s">
        <v>34</v>
      </c>
      <c r="G815" s="96" t="s">
        <v>80</v>
      </c>
      <c r="H815" s="272" t="s">
        <v>71</v>
      </c>
      <c r="I815" s="273">
        <v>20</v>
      </c>
      <c r="J815" s="270">
        <v>889</v>
      </c>
      <c r="K815" s="270">
        <f t="shared" si="0"/>
        <v>17780</v>
      </c>
      <c r="L815" s="270">
        <v>1845</v>
      </c>
      <c r="M815" s="270">
        <v>-2100</v>
      </c>
      <c r="N815" s="274">
        <v>894.08</v>
      </c>
      <c r="O815" s="55"/>
      <c r="P815" s="45">
        <v>894</v>
      </c>
      <c r="Q815" s="270">
        <v>-1198</v>
      </c>
      <c r="R815" s="275">
        <v>-8.7000000000000001E-4</v>
      </c>
      <c r="S815" s="270">
        <v>-1213</v>
      </c>
      <c r="T815" s="270">
        <v>-319</v>
      </c>
      <c r="U815" s="57">
        <v>1</v>
      </c>
      <c r="V815" s="276">
        <v>0.22</v>
      </c>
      <c r="W815" s="276">
        <v>0</v>
      </c>
      <c r="X815" s="270">
        <v>-249</v>
      </c>
      <c r="Y815" s="270">
        <v>-70</v>
      </c>
      <c r="Z815" s="45" t="b">
        <v>1</v>
      </c>
      <c r="AA815" s="45" t="s">
        <v>38</v>
      </c>
      <c r="AB815" s="45" t="s">
        <v>38</v>
      </c>
    </row>
    <row r="816" spans="1:28" x14ac:dyDescent="0.2">
      <c r="A816" s="96" t="s">
        <v>191</v>
      </c>
      <c r="B816" s="96" t="s">
        <v>193</v>
      </c>
      <c r="C816" s="277">
        <v>44368</v>
      </c>
      <c r="D816" s="277">
        <v>44397</v>
      </c>
      <c r="E816" s="270" t="s">
        <v>267</v>
      </c>
      <c r="F816" s="133" t="s">
        <v>34</v>
      </c>
      <c r="G816" s="96" t="s">
        <v>80</v>
      </c>
      <c r="H816" s="272" t="s">
        <v>72</v>
      </c>
      <c r="I816" s="273">
        <v>50</v>
      </c>
      <c r="J816" s="270">
        <v>6</v>
      </c>
      <c r="K816" s="270">
        <f t="shared" si="0"/>
        <v>300</v>
      </c>
      <c r="L816" s="270">
        <v>-348</v>
      </c>
      <c r="M816" s="270">
        <v>-150</v>
      </c>
      <c r="N816" s="274">
        <v>15.09</v>
      </c>
      <c r="O816" s="55"/>
      <c r="P816" s="45">
        <v>15</v>
      </c>
      <c r="Q816" s="270">
        <v>-72</v>
      </c>
      <c r="R816" s="275">
        <v>-8.7000000000000001E-4</v>
      </c>
      <c r="S816" s="270">
        <v>-72</v>
      </c>
      <c r="T816" s="270">
        <v>-57</v>
      </c>
      <c r="U816" s="57">
        <v>1</v>
      </c>
      <c r="V816" s="276">
        <v>0.22</v>
      </c>
      <c r="W816" s="276">
        <v>0</v>
      </c>
      <c r="X816" s="270">
        <v>-45</v>
      </c>
      <c r="Y816" s="270">
        <v>-13</v>
      </c>
      <c r="Z816" s="45" t="b">
        <v>1</v>
      </c>
      <c r="AA816" s="45" t="s">
        <v>38</v>
      </c>
      <c r="AB816" s="45" t="s">
        <v>38</v>
      </c>
    </row>
    <row r="817" spans="1:28" x14ac:dyDescent="0.2">
      <c r="A817" s="279" t="s">
        <v>145</v>
      </c>
      <c r="B817" s="279" t="s">
        <v>901</v>
      </c>
      <c r="C817" s="282">
        <v>44378</v>
      </c>
      <c r="D817" s="282">
        <v>44408</v>
      </c>
      <c r="E817" s="279" t="s">
        <v>267</v>
      </c>
      <c r="F817" s="133" t="s">
        <v>49</v>
      </c>
      <c r="G817" s="279" t="s">
        <v>69</v>
      </c>
      <c r="H817" s="272" t="s">
        <v>70</v>
      </c>
      <c r="I817" s="280">
        <v>100</v>
      </c>
      <c r="J817" s="279">
        <v>1324</v>
      </c>
      <c r="K817" s="270">
        <f t="shared" si="0"/>
        <v>132400</v>
      </c>
      <c r="L817" s="279">
        <v>10368</v>
      </c>
      <c r="M817" s="279">
        <v>-10700</v>
      </c>
      <c r="N817" s="281">
        <v>3940.57</v>
      </c>
      <c r="O817" s="55"/>
      <c r="P817" s="105">
        <v>3941</v>
      </c>
      <c r="Q817" s="279">
        <v>-5189</v>
      </c>
      <c r="R817" s="275">
        <v>-2.9550000000000002E-3</v>
      </c>
      <c r="S817" s="279">
        <v>-5580</v>
      </c>
      <c r="T817" s="279">
        <v>-1639</v>
      </c>
      <c r="U817" s="57">
        <v>1</v>
      </c>
      <c r="V817" s="276">
        <v>0.12</v>
      </c>
      <c r="W817" s="276">
        <v>0</v>
      </c>
      <c r="X817" s="279">
        <v>-1443</v>
      </c>
      <c r="Y817" s="279">
        <v>-197</v>
      </c>
      <c r="Z817" s="45" t="b">
        <v>1</v>
      </c>
      <c r="AA817" s="45" t="s">
        <v>38</v>
      </c>
      <c r="AB817" s="45" t="s">
        <v>38</v>
      </c>
    </row>
    <row r="818" spans="1:28" x14ac:dyDescent="0.2">
      <c r="A818" s="279" t="s">
        <v>145</v>
      </c>
      <c r="B818" s="279" t="s">
        <v>901</v>
      </c>
      <c r="C818" s="282">
        <v>44378</v>
      </c>
      <c r="D818" s="282">
        <v>44408</v>
      </c>
      <c r="E818" s="279" t="s">
        <v>267</v>
      </c>
      <c r="F818" s="133" t="s">
        <v>49</v>
      </c>
      <c r="G818" s="279" t="s">
        <v>69</v>
      </c>
      <c r="H818" s="272" t="s">
        <v>72</v>
      </c>
      <c r="I818" s="280">
        <v>50</v>
      </c>
      <c r="J818" s="279">
        <v>87</v>
      </c>
      <c r="K818" s="270">
        <f t="shared" si="0"/>
        <v>4350</v>
      </c>
      <c r="L818" s="279">
        <v>733</v>
      </c>
      <c r="M818" s="279">
        <v>500</v>
      </c>
      <c r="N818" s="281">
        <v>7.43</v>
      </c>
      <c r="O818" s="55"/>
      <c r="P818" s="45">
        <v>7</v>
      </c>
      <c r="Q818" s="279">
        <v>-168</v>
      </c>
      <c r="R818" s="275">
        <v>-2.3779999999999999E-3</v>
      </c>
      <c r="S818" s="279">
        <v>-178</v>
      </c>
      <c r="T818" s="279">
        <v>-171</v>
      </c>
      <c r="U818" s="57">
        <v>1</v>
      </c>
      <c r="V818" s="276">
        <v>0.12</v>
      </c>
      <c r="W818" s="276">
        <v>0</v>
      </c>
      <c r="X818" s="279">
        <v>-150</v>
      </c>
      <c r="Y818" s="279">
        <v>-20</v>
      </c>
      <c r="Z818" s="45" t="b">
        <v>1</v>
      </c>
      <c r="AA818" s="45" t="s">
        <v>38</v>
      </c>
      <c r="AB818" s="45" t="s">
        <v>38</v>
      </c>
    </row>
    <row r="819" spans="1:28" x14ac:dyDescent="0.2">
      <c r="A819" s="270" t="s">
        <v>447</v>
      </c>
      <c r="B819" s="96" t="s">
        <v>66</v>
      </c>
      <c r="C819" s="277">
        <v>44378</v>
      </c>
      <c r="D819" s="277">
        <v>44408</v>
      </c>
      <c r="E819" s="270" t="s">
        <v>300</v>
      </c>
      <c r="F819" s="96" t="s">
        <v>49</v>
      </c>
      <c r="G819" s="270" t="s">
        <v>61</v>
      </c>
      <c r="H819" s="272" t="s">
        <v>200</v>
      </c>
      <c r="I819" s="273">
        <v>100</v>
      </c>
      <c r="J819" s="270">
        <v>1718</v>
      </c>
      <c r="K819" s="270">
        <f t="shared" si="0"/>
        <v>171800</v>
      </c>
      <c r="L819" s="270">
        <v>71351</v>
      </c>
      <c r="M819" s="270">
        <v>5100</v>
      </c>
      <c r="N819" s="274">
        <v>5520</v>
      </c>
      <c r="O819" s="55"/>
      <c r="P819" s="105">
        <v>5520</v>
      </c>
      <c r="Q819" s="270">
        <v>-2015</v>
      </c>
      <c r="R819" s="275">
        <v>-2.04E-4</v>
      </c>
      <c r="S819" s="270">
        <v>-2050</v>
      </c>
      <c r="T819" s="270">
        <v>3470</v>
      </c>
      <c r="U819" s="57">
        <v>1</v>
      </c>
      <c r="V819" s="276">
        <v>0.15</v>
      </c>
      <c r="W819" s="276">
        <v>0.1</v>
      </c>
      <c r="X819" s="270">
        <v>2603</v>
      </c>
      <c r="Y819" s="270">
        <v>868</v>
      </c>
      <c r="Z819" s="45" t="b">
        <v>1</v>
      </c>
      <c r="AA819" s="45" t="s">
        <v>50</v>
      </c>
      <c r="AB819" s="45" t="s">
        <v>50</v>
      </c>
    </row>
    <row r="820" spans="1:28" x14ac:dyDescent="0.2">
      <c r="A820" s="96" t="s">
        <v>447</v>
      </c>
      <c r="B820" s="96" t="s">
        <v>66</v>
      </c>
      <c r="C820" s="277">
        <v>44378</v>
      </c>
      <c r="D820" s="277">
        <v>44408</v>
      </c>
      <c r="E820" s="270" t="s">
        <v>300</v>
      </c>
      <c r="F820" s="133" t="s">
        <v>41</v>
      </c>
      <c r="G820" s="270" t="s">
        <v>61</v>
      </c>
      <c r="H820" s="272" t="s">
        <v>184</v>
      </c>
      <c r="I820" s="273">
        <v>100</v>
      </c>
      <c r="J820" s="270">
        <v>2</v>
      </c>
      <c r="K820" s="270">
        <f t="shared" si="0"/>
        <v>200</v>
      </c>
      <c r="L820" s="270">
        <v>78</v>
      </c>
      <c r="M820" s="270">
        <v>100</v>
      </c>
      <c r="N820" s="274">
        <v>0</v>
      </c>
      <c r="O820" s="55"/>
      <c r="P820" s="45">
        <v>0</v>
      </c>
      <c r="Q820" s="270">
        <v>6</v>
      </c>
      <c r="R820" s="275">
        <v>0</v>
      </c>
      <c r="S820" s="270">
        <v>6</v>
      </c>
      <c r="T820" s="270">
        <v>100</v>
      </c>
      <c r="U820" s="57">
        <v>1</v>
      </c>
      <c r="V820" s="276">
        <v>0.15</v>
      </c>
      <c r="W820" s="276">
        <v>0.1</v>
      </c>
      <c r="X820" s="270">
        <v>75</v>
      </c>
      <c r="Y820" s="270">
        <v>25</v>
      </c>
      <c r="Z820" s="45" t="b">
        <v>1</v>
      </c>
      <c r="AA820" s="45" t="s">
        <v>50</v>
      </c>
      <c r="AB820" s="45" t="s">
        <v>50</v>
      </c>
    </row>
    <row r="821" spans="1:28" x14ac:dyDescent="0.2">
      <c r="A821" s="96" t="s">
        <v>286</v>
      </c>
      <c r="B821" s="96" t="s">
        <v>286</v>
      </c>
      <c r="C821" s="277">
        <v>44398</v>
      </c>
      <c r="D821" s="277">
        <v>44428</v>
      </c>
      <c r="E821" s="270" t="s">
        <v>267</v>
      </c>
      <c r="F821" s="133" t="s">
        <v>34</v>
      </c>
      <c r="G821" s="96" t="s">
        <v>35</v>
      </c>
      <c r="H821" s="272" t="s">
        <v>90</v>
      </c>
      <c r="I821" s="273">
        <v>5</v>
      </c>
      <c r="J821" s="270">
        <v>15</v>
      </c>
      <c r="K821" s="270">
        <f t="shared" si="0"/>
        <v>75</v>
      </c>
      <c r="L821" s="270">
        <v>463</v>
      </c>
      <c r="M821" s="270">
        <v>-25</v>
      </c>
      <c r="N821" s="274">
        <v>3</v>
      </c>
      <c r="O821" s="55"/>
      <c r="P821" s="45">
        <v>3</v>
      </c>
      <c r="Q821" s="270">
        <v>0</v>
      </c>
      <c r="R821" s="275">
        <v>-1.5E-3</v>
      </c>
      <c r="S821" s="270">
        <v>0</v>
      </c>
      <c r="T821" s="270">
        <v>3</v>
      </c>
      <c r="U821" s="57">
        <v>1</v>
      </c>
      <c r="V821" s="276">
        <v>0.15</v>
      </c>
      <c r="W821" s="276">
        <v>0</v>
      </c>
      <c r="X821" s="270">
        <v>3</v>
      </c>
      <c r="Y821" s="270">
        <v>0</v>
      </c>
      <c r="Z821" s="45" t="b">
        <v>1</v>
      </c>
      <c r="AA821" s="45" t="s">
        <v>38</v>
      </c>
      <c r="AB821" s="45" t="s">
        <v>38</v>
      </c>
    </row>
    <row r="822" spans="1:28" x14ac:dyDescent="0.2">
      <c r="A822" s="96" t="s">
        <v>286</v>
      </c>
      <c r="B822" s="96" t="s">
        <v>286</v>
      </c>
      <c r="C822" s="277">
        <v>44398</v>
      </c>
      <c r="D822" s="277">
        <v>44428</v>
      </c>
      <c r="E822" s="270" t="s">
        <v>267</v>
      </c>
      <c r="F822" s="133" t="s">
        <v>34</v>
      </c>
      <c r="G822" s="96" t="s">
        <v>35</v>
      </c>
      <c r="H822" s="272" t="s">
        <v>40</v>
      </c>
      <c r="I822" s="273">
        <v>10</v>
      </c>
      <c r="J822" s="270">
        <v>199</v>
      </c>
      <c r="K822" s="270">
        <f t="shared" si="0"/>
        <v>1990</v>
      </c>
      <c r="L822" s="270">
        <v>11544</v>
      </c>
      <c r="M822" s="270">
        <v>-60</v>
      </c>
      <c r="N822" s="274">
        <v>63</v>
      </c>
      <c r="O822" s="55"/>
      <c r="P822" s="45">
        <v>63</v>
      </c>
      <c r="Q822" s="270">
        <v>64</v>
      </c>
      <c r="R822" s="275">
        <v>-1.5E-3</v>
      </c>
      <c r="S822" s="270">
        <v>62</v>
      </c>
      <c r="T822" s="270">
        <v>125</v>
      </c>
      <c r="U822" s="57">
        <v>1</v>
      </c>
      <c r="V822" s="276">
        <v>0.15</v>
      </c>
      <c r="W822" s="276">
        <v>0</v>
      </c>
      <c r="X822" s="270">
        <v>106</v>
      </c>
      <c r="Y822" s="270">
        <v>19</v>
      </c>
      <c r="Z822" s="45" t="b">
        <v>1</v>
      </c>
      <c r="AA822" s="45" t="s">
        <v>38</v>
      </c>
      <c r="AB822" s="45" t="s">
        <v>38</v>
      </c>
    </row>
    <row r="823" spans="1:28" x14ac:dyDescent="0.2">
      <c r="A823" s="96" t="s">
        <v>286</v>
      </c>
      <c r="B823" s="96" t="s">
        <v>286</v>
      </c>
      <c r="C823" s="277">
        <v>44398</v>
      </c>
      <c r="D823" s="277">
        <v>44428</v>
      </c>
      <c r="E823" s="270" t="s">
        <v>267</v>
      </c>
      <c r="F823" s="133" t="s">
        <v>34</v>
      </c>
      <c r="G823" s="96" t="s">
        <v>35</v>
      </c>
      <c r="H823" s="272" t="s">
        <v>115</v>
      </c>
      <c r="I823" s="273">
        <v>10</v>
      </c>
      <c r="J823" s="270">
        <v>82</v>
      </c>
      <c r="K823" s="270">
        <f t="shared" si="0"/>
        <v>820</v>
      </c>
      <c r="L823" s="270">
        <v>2251</v>
      </c>
      <c r="M823" s="270">
        <v>70</v>
      </c>
      <c r="N823" s="274">
        <v>26</v>
      </c>
      <c r="O823" s="55"/>
      <c r="P823" s="45">
        <v>26</v>
      </c>
      <c r="Q823" s="270">
        <v>8</v>
      </c>
      <c r="R823" s="275">
        <v>-1.5E-3</v>
      </c>
      <c r="S823" s="270">
        <v>7</v>
      </c>
      <c r="T823" s="270">
        <v>33</v>
      </c>
      <c r="U823" s="57">
        <v>1</v>
      </c>
      <c r="V823" s="276">
        <v>0.15</v>
      </c>
      <c r="W823" s="276">
        <v>0</v>
      </c>
      <c r="X823" s="270">
        <v>28</v>
      </c>
      <c r="Y823" s="270">
        <v>5</v>
      </c>
      <c r="Z823" s="45" t="b">
        <v>1</v>
      </c>
      <c r="AA823" s="45" t="s">
        <v>38</v>
      </c>
      <c r="AB823" s="45" t="s">
        <v>38</v>
      </c>
    </row>
    <row r="824" spans="1:28" x14ac:dyDescent="0.2">
      <c r="A824" s="96" t="s">
        <v>286</v>
      </c>
      <c r="B824" s="96" t="s">
        <v>286</v>
      </c>
      <c r="C824" s="277">
        <v>44398</v>
      </c>
      <c r="D824" s="277">
        <v>44428</v>
      </c>
      <c r="E824" s="270" t="s">
        <v>267</v>
      </c>
      <c r="F824" s="133" t="s">
        <v>34</v>
      </c>
      <c r="G824" s="96" t="s">
        <v>35</v>
      </c>
      <c r="H824" s="272" t="s">
        <v>46</v>
      </c>
      <c r="I824" s="273">
        <v>25</v>
      </c>
      <c r="J824" s="270">
        <v>443</v>
      </c>
      <c r="K824" s="270">
        <f t="shared" si="0"/>
        <v>11075</v>
      </c>
      <c r="L824" s="270">
        <v>7027</v>
      </c>
      <c r="M824" s="270">
        <v>400</v>
      </c>
      <c r="N824" s="274">
        <v>309</v>
      </c>
      <c r="O824" s="55"/>
      <c r="P824" s="45">
        <v>309</v>
      </c>
      <c r="Q824" s="270">
        <v>-383</v>
      </c>
      <c r="R824" s="275">
        <v>-1.5E-3</v>
      </c>
      <c r="S824" s="270">
        <v>-400</v>
      </c>
      <c r="T824" s="270">
        <v>-91</v>
      </c>
      <c r="U824" s="57">
        <v>1</v>
      </c>
      <c r="V824" s="276">
        <v>0.15</v>
      </c>
      <c r="W824" s="276">
        <v>0</v>
      </c>
      <c r="X824" s="270">
        <v>-77</v>
      </c>
      <c r="Y824" s="270">
        <v>-14</v>
      </c>
      <c r="Z824" s="45" t="b">
        <v>1</v>
      </c>
      <c r="AA824" s="45" t="s">
        <v>38</v>
      </c>
      <c r="AB824" s="45" t="s">
        <v>38</v>
      </c>
    </row>
    <row r="825" spans="1:28" x14ac:dyDescent="0.2">
      <c r="A825" s="96" t="s">
        <v>286</v>
      </c>
      <c r="B825" s="96" t="s">
        <v>286</v>
      </c>
      <c r="C825" s="277">
        <v>44398</v>
      </c>
      <c r="D825" s="277">
        <v>44428</v>
      </c>
      <c r="E825" s="270" t="s">
        <v>267</v>
      </c>
      <c r="F825" s="133" t="s">
        <v>34</v>
      </c>
      <c r="G825" s="96" t="s">
        <v>35</v>
      </c>
      <c r="H825" s="272" t="s">
        <v>87</v>
      </c>
      <c r="I825" s="273">
        <v>25</v>
      </c>
      <c r="J825" s="270">
        <v>6</v>
      </c>
      <c r="K825" s="270">
        <f t="shared" si="0"/>
        <v>150</v>
      </c>
      <c r="L825" s="270">
        <v>-105</v>
      </c>
      <c r="M825" s="270">
        <v>-75</v>
      </c>
      <c r="N825" s="274">
        <v>4</v>
      </c>
      <c r="O825" s="55"/>
      <c r="P825" s="45">
        <v>4</v>
      </c>
      <c r="Q825" s="270">
        <v>-18</v>
      </c>
      <c r="R825" s="275">
        <v>-1.5E-3</v>
      </c>
      <c r="S825" s="270">
        <v>-18</v>
      </c>
      <c r="T825" s="270">
        <v>-14</v>
      </c>
      <c r="U825" s="57">
        <v>1</v>
      </c>
      <c r="V825" s="276">
        <v>0.15</v>
      </c>
      <c r="W825" s="276">
        <v>0</v>
      </c>
      <c r="X825" s="270">
        <v>-12</v>
      </c>
      <c r="Y825" s="270">
        <v>-2</v>
      </c>
      <c r="Z825" s="45" t="b">
        <v>1</v>
      </c>
      <c r="AA825" s="45" t="s">
        <v>38</v>
      </c>
      <c r="AB825" s="45" t="s">
        <v>38</v>
      </c>
    </row>
    <row r="826" spans="1:28" x14ac:dyDescent="0.2">
      <c r="A826" s="96" t="s">
        <v>286</v>
      </c>
      <c r="B826" s="96" t="s">
        <v>286</v>
      </c>
      <c r="C826" s="277">
        <v>44398</v>
      </c>
      <c r="D826" s="277">
        <v>44428</v>
      </c>
      <c r="E826" s="270" t="s">
        <v>267</v>
      </c>
      <c r="F826" s="133" t="s">
        <v>34</v>
      </c>
      <c r="G826" s="96" t="s">
        <v>35</v>
      </c>
      <c r="H826" s="272" t="s">
        <v>72</v>
      </c>
      <c r="I826" s="273">
        <v>50</v>
      </c>
      <c r="J826" s="270">
        <v>256</v>
      </c>
      <c r="K826" s="270">
        <f t="shared" si="0"/>
        <v>12800</v>
      </c>
      <c r="L826" s="270">
        <v>6045</v>
      </c>
      <c r="M826" s="270">
        <v>750</v>
      </c>
      <c r="N826" s="274">
        <v>350</v>
      </c>
      <c r="O826" s="55"/>
      <c r="P826" s="45">
        <v>350</v>
      </c>
      <c r="Q826" s="270">
        <v>-259</v>
      </c>
      <c r="R826" s="275">
        <v>-1.5E-3</v>
      </c>
      <c r="S826" s="270">
        <v>-278</v>
      </c>
      <c r="T826" s="270">
        <v>72</v>
      </c>
      <c r="U826" s="57">
        <v>1</v>
      </c>
      <c r="V826" s="276">
        <v>0.15</v>
      </c>
      <c r="W826" s="276">
        <v>0</v>
      </c>
      <c r="X826" s="270">
        <v>61</v>
      </c>
      <c r="Y826" s="270">
        <v>11</v>
      </c>
      <c r="Z826" s="45" t="b">
        <v>1</v>
      </c>
      <c r="AA826" s="45" t="s">
        <v>38</v>
      </c>
      <c r="AB826" s="45" t="s">
        <v>38</v>
      </c>
    </row>
    <row r="827" spans="1:28" x14ac:dyDescent="0.2">
      <c r="A827" s="96" t="s">
        <v>286</v>
      </c>
      <c r="B827" s="96" t="s">
        <v>988</v>
      </c>
      <c r="C827" s="277">
        <v>44398</v>
      </c>
      <c r="D827" s="277">
        <v>44428</v>
      </c>
      <c r="E827" s="270" t="s">
        <v>267</v>
      </c>
      <c r="F827" s="133" t="s">
        <v>34</v>
      </c>
      <c r="G827" s="270" t="s">
        <v>80</v>
      </c>
      <c r="H827" s="272" t="s">
        <v>42</v>
      </c>
      <c r="I827" s="273">
        <v>1</v>
      </c>
      <c r="J827" s="270">
        <v>6</v>
      </c>
      <c r="K827" s="270">
        <f t="shared" si="0"/>
        <v>6</v>
      </c>
      <c r="L827" s="270">
        <v>-157</v>
      </c>
      <c r="M827" s="270">
        <v>-1</v>
      </c>
      <c r="N827" s="274"/>
      <c r="O827" s="55"/>
      <c r="P827" s="96"/>
      <c r="Q827" s="270">
        <v>-1</v>
      </c>
      <c r="R827" s="275">
        <v>-1.5E-3</v>
      </c>
      <c r="S827" s="270">
        <v>-1</v>
      </c>
      <c r="T827" s="270">
        <v>-1</v>
      </c>
      <c r="U827" s="57">
        <v>1</v>
      </c>
      <c r="V827" s="276">
        <v>0.15</v>
      </c>
      <c r="W827" s="276">
        <v>0</v>
      </c>
      <c r="X827" s="270">
        <v>-1</v>
      </c>
      <c r="Y827" s="270">
        <v>0</v>
      </c>
      <c r="Z827" s="45" t="b">
        <v>1</v>
      </c>
      <c r="AA827" s="45" t="s">
        <v>38</v>
      </c>
      <c r="AB827" s="45" t="s">
        <v>38</v>
      </c>
    </row>
    <row r="828" spans="1:28" x14ac:dyDescent="0.2">
      <c r="A828" s="96" t="s">
        <v>286</v>
      </c>
      <c r="B828" s="96" t="s">
        <v>988</v>
      </c>
      <c r="C828" s="277">
        <v>44398</v>
      </c>
      <c r="D828" s="277">
        <v>44428</v>
      </c>
      <c r="E828" s="270" t="s">
        <v>267</v>
      </c>
      <c r="F828" s="133" t="s">
        <v>34</v>
      </c>
      <c r="G828" s="270" t="s">
        <v>80</v>
      </c>
      <c r="H828" s="272" t="s">
        <v>86</v>
      </c>
      <c r="I828" s="273">
        <v>5</v>
      </c>
      <c r="J828" s="270">
        <v>1</v>
      </c>
      <c r="K828" s="270">
        <f t="shared" si="0"/>
        <v>5</v>
      </c>
      <c r="L828" s="270">
        <v>-128</v>
      </c>
      <c r="M828" s="270">
        <v>-5</v>
      </c>
      <c r="N828" s="274"/>
      <c r="O828" s="55"/>
      <c r="P828" s="96"/>
      <c r="Q828" s="270">
        <v>-2</v>
      </c>
      <c r="R828" s="275">
        <v>-1.5E-3</v>
      </c>
      <c r="S828" s="270">
        <v>-2</v>
      </c>
      <c r="T828" s="270">
        <v>-2</v>
      </c>
      <c r="U828" s="57">
        <v>1</v>
      </c>
      <c r="V828" s="276">
        <v>0.15</v>
      </c>
      <c r="W828" s="276">
        <v>0</v>
      </c>
      <c r="X828" s="270">
        <v>-2</v>
      </c>
      <c r="Y828" s="270">
        <v>0</v>
      </c>
      <c r="Z828" s="45" t="b">
        <v>1</v>
      </c>
      <c r="AA828" s="45" t="s">
        <v>38</v>
      </c>
      <c r="AB828" s="45" t="s">
        <v>38</v>
      </c>
    </row>
    <row r="829" spans="1:28" x14ac:dyDescent="0.2">
      <c r="A829" s="96" t="s">
        <v>286</v>
      </c>
      <c r="B829" s="96" t="s">
        <v>988</v>
      </c>
      <c r="C829" s="277">
        <v>44398</v>
      </c>
      <c r="D829" s="277">
        <v>44428</v>
      </c>
      <c r="E829" s="270" t="s">
        <v>267</v>
      </c>
      <c r="F829" s="133" t="s">
        <v>34</v>
      </c>
      <c r="G829" s="270" t="s">
        <v>80</v>
      </c>
      <c r="H829" s="272" t="s">
        <v>40</v>
      </c>
      <c r="I829" s="273">
        <v>10</v>
      </c>
      <c r="J829" s="270">
        <v>521</v>
      </c>
      <c r="K829" s="270">
        <f t="shared" si="0"/>
        <v>5210</v>
      </c>
      <c r="L829" s="270">
        <v>-1687</v>
      </c>
      <c r="M829" s="270">
        <v>-300</v>
      </c>
      <c r="N829" s="274">
        <v>122.28</v>
      </c>
      <c r="O829" s="55"/>
      <c r="P829" s="45">
        <v>122</v>
      </c>
      <c r="Q829" s="270">
        <v>-431</v>
      </c>
      <c r="R829" s="275">
        <v>-1.5E-3</v>
      </c>
      <c r="S829" s="270">
        <v>-438</v>
      </c>
      <c r="T829" s="270">
        <v>-316</v>
      </c>
      <c r="U829" s="57">
        <v>1</v>
      </c>
      <c r="V829" s="276">
        <v>0.15</v>
      </c>
      <c r="W829" s="276">
        <v>0</v>
      </c>
      <c r="X829" s="270">
        <v>-269</v>
      </c>
      <c r="Y829" s="270">
        <v>-47</v>
      </c>
      <c r="Z829" s="45" t="b">
        <v>1</v>
      </c>
      <c r="AA829" s="45" t="s">
        <v>38</v>
      </c>
      <c r="AB829" s="45" t="s">
        <v>38</v>
      </c>
    </row>
    <row r="830" spans="1:28" x14ac:dyDescent="0.2">
      <c r="A830" s="96" t="s">
        <v>286</v>
      </c>
      <c r="B830" s="96" t="s">
        <v>988</v>
      </c>
      <c r="C830" s="277">
        <v>44398</v>
      </c>
      <c r="D830" s="277">
        <v>44428</v>
      </c>
      <c r="E830" s="270" t="s">
        <v>267</v>
      </c>
      <c r="F830" s="133" t="s">
        <v>34</v>
      </c>
      <c r="G830" s="270" t="s">
        <v>80</v>
      </c>
      <c r="H830" s="272" t="s">
        <v>71</v>
      </c>
      <c r="I830" s="273">
        <v>20</v>
      </c>
      <c r="J830" s="270">
        <v>312</v>
      </c>
      <c r="K830" s="270">
        <f t="shared" si="0"/>
        <v>6240</v>
      </c>
      <c r="L830" s="270">
        <v>-3554</v>
      </c>
      <c r="M830" s="270">
        <v>-980</v>
      </c>
      <c r="N830" s="274">
        <v>146.46</v>
      </c>
      <c r="O830" s="55"/>
      <c r="P830" s="45">
        <v>146</v>
      </c>
      <c r="Q830" s="270">
        <v>-662</v>
      </c>
      <c r="R830" s="275">
        <v>-1.5E-3</v>
      </c>
      <c r="S830" s="270">
        <v>-671</v>
      </c>
      <c r="T830" s="270">
        <v>-525</v>
      </c>
      <c r="U830" s="57">
        <v>1</v>
      </c>
      <c r="V830" s="276">
        <v>0.15</v>
      </c>
      <c r="W830" s="276">
        <v>0</v>
      </c>
      <c r="X830" s="270">
        <v>-446</v>
      </c>
      <c r="Y830" s="270">
        <v>-79</v>
      </c>
      <c r="Z830" s="45" t="b">
        <v>1</v>
      </c>
      <c r="AA830" s="45" t="s">
        <v>38</v>
      </c>
      <c r="AB830" s="45" t="s">
        <v>38</v>
      </c>
    </row>
    <row r="831" spans="1:28" x14ac:dyDescent="0.2">
      <c r="A831" s="270" t="s">
        <v>60</v>
      </c>
      <c r="B831" s="270" t="s">
        <v>60</v>
      </c>
      <c r="C831" s="282">
        <v>44398</v>
      </c>
      <c r="D831" s="282">
        <v>44428</v>
      </c>
      <c r="E831" s="270" t="s">
        <v>267</v>
      </c>
      <c r="F831" s="96" t="s">
        <v>34</v>
      </c>
      <c r="G831" s="270" t="s">
        <v>61</v>
      </c>
      <c r="H831" s="272" t="s">
        <v>93</v>
      </c>
      <c r="I831" s="273">
        <v>25</v>
      </c>
      <c r="J831" s="270">
        <v>1895</v>
      </c>
      <c r="K831" s="270">
        <f t="shared" si="0"/>
        <v>47375</v>
      </c>
      <c r="L831" s="270">
        <v>111920</v>
      </c>
      <c r="M831" s="270">
        <v>1960</v>
      </c>
      <c r="N831" s="274">
        <v>150</v>
      </c>
      <c r="O831" s="55"/>
      <c r="P831" s="45">
        <v>150</v>
      </c>
      <c r="Q831" s="270">
        <v>956</v>
      </c>
      <c r="R831" s="275">
        <v>-2.9399999999999999E-3</v>
      </c>
      <c r="S831" s="270">
        <v>817</v>
      </c>
      <c r="T831" s="270">
        <v>967</v>
      </c>
      <c r="U831" s="57">
        <v>1</v>
      </c>
      <c r="V831" s="276">
        <v>0.3</v>
      </c>
      <c r="W831" s="276">
        <v>0</v>
      </c>
      <c r="X831" s="270">
        <v>677</v>
      </c>
      <c r="Y831" s="270">
        <v>290</v>
      </c>
      <c r="Z831" s="45" t="b">
        <v>1</v>
      </c>
      <c r="AA831" s="45" t="s">
        <v>50</v>
      </c>
      <c r="AB831" s="45" t="s">
        <v>50</v>
      </c>
    </row>
    <row r="832" spans="1:28" x14ac:dyDescent="0.2">
      <c r="A832" s="96" t="s">
        <v>82</v>
      </c>
      <c r="B832" s="96" t="s">
        <v>82</v>
      </c>
      <c r="C832" s="277">
        <v>44398</v>
      </c>
      <c r="D832" s="277">
        <v>44428</v>
      </c>
      <c r="E832" s="270" t="s">
        <v>300</v>
      </c>
      <c r="F832" s="133" t="s">
        <v>34</v>
      </c>
      <c r="G832" s="96" t="s">
        <v>35</v>
      </c>
      <c r="H832" s="272" t="s">
        <v>46</v>
      </c>
      <c r="I832" s="273">
        <v>25</v>
      </c>
      <c r="J832" s="270">
        <v>1323</v>
      </c>
      <c r="K832" s="270">
        <f t="shared" si="0"/>
        <v>33075</v>
      </c>
      <c r="L832" s="270">
        <v>67344</v>
      </c>
      <c r="M832" s="270">
        <v>875</v>
      </c>
      <c r="N832" s="274">
        <v>1105</v>
      </c>
      <c r="O832" s="55"/>
      <c r="P832" s="105">
        <v>1105</v>
      </c>
      <c r="Q832" s="270">
        <v>1001</v>
      </c>
      <c r="R832" s="275">
        <v>-2.9399999999999999E-3</v>
      </c>
      <c r="S832" s="270">
        <v>904</v>
      </c>
      <c r="T832" s="270">
        <v>2009</v>
      </c>
      <c r="U832" s="57">
        <v>1</v>
      </c>
      <c r="V832" s="276">
        <v>0.15</v>
      </c>
      <c r="W832" s="276">
        <v>0.05</v>
      </c>
      <c r="X832" s="270">
        <v>1607</v>
      </c>
      <c r="Y832" s="270">
        <v>402</v>
      </c>
      <c r="Z832" s="45" t="b">
        <v>1</v>
      </c>
      <c r="AA832" s="45" t="s">
        <v>38</v>
      </c>
      <c r="AB832" s="45" t="s">
        <v>38</v>
      </c>
    </row>
    <row r="833" spans="1:28" x14ac:dyDescent="0.2">
      <c r="A833" s="96" t="s">
        <v>82</v>
      </c>
      <c r="B833" s="96" t="s">
        <v>82</v>
      </c>
      <c r="C833" s="277">
        <v>44398</v>
      </c>
      <c r="D833" s="277">
        <v>44428</v>
      </c>
      <c r="E833" s="270" t="s">
        <v>300</v>
      </c>
      <c r="F833" s="133" t="s">
        <v>34</v>
      </c>
      <c r="G833" s="96" t="s">
        <v>35</v>
      </c>
      <c r="H833" s="272" t="s">
        <v>72</v>
      </c>
      <c r="I833" s="273">
        <v>50</v>
      </c>
      <c r="J833" s="270">
        <v>5105</v>
      </c>
      <c r="K833" s="270">
        <f t="shared" si="0"/>
        <v>255250</v>
      </c>
      <c r="L833" s="270">
        <v>167195</v>
      </c>
      <c r="M833" s="270">
        <v>-50</v>
      </c>
      <c r="N833" s="274">
        <v>8536</v>
      </c>
      <c r="O833" s="55"/>
      <c r="P833" s="105">
        <v>8536</v>
      </c>
      <c r="Q833" s="270">
        <v>-855</v>
      </c>
      <c r="R833" s="275">
        <v>-2.9399999999999999E-3</v>
      </c>
      <c r="S833" s="270">
        <v>-1605</v>
      </c>
      <c r="T833" s="270">
        <v>6931</v>
      </c>
      <c r="U833" s="57">
        <v>1</v>
      </c>
      <c r="V833" s="276">
        <v>0.15</v>
      </c>
      <c r="W833" s="276">
        <v>0.05</v>
      </c>
      <c r="X833" s="270">
        <v>5545</v>
      </c>
      <c r="Y833" s="270">
        <v>1386</v>
      </c>
      <c r="Z833" s="45" t="b">
        <v>1</v>
      </c>
      <c r="AA833" s="45" t="s">
        <v>38</v>
      </c>
      <c r="AB833" s="45" t="s">
        <v>38</v>
      </c>
    </row>
    <row r="834" spans="1:28" x14ac:dyDescent="0.2">
      <c r="A834" s="96" t="s">
        <v>82</v>
      </c>
      <c r="B834" s="96" t="s">
        <v>82</v>
      </c>
      <c r="C834" s="277">
        <v>44398</v>
      </c>
      <c r="D834" s="277">
        <v>44428</v>
      </c>
      <c r="E834" s="270" t="s">
        <v>300</v>
      </c>
      <c r="F834" s="133" t="s">
        <v>34</v>
      </c>
      <c r="G834" s="96" t="s">
        <v>35</v>
      </c>
      <c r="H834" s="272" t="s">
        <v>70</v>
      </c>
      <c r="I834" s="273">
        <v>100</v>
      </c>
      <c r="J834" s="270">
        <v>6</v>
      </c>
      <c r="K834" s="270">
        <f t="shared" si="0"/>
        <v>600</v>
      </c>
      <c r="L834" s="270">
        <v>1373</v>
      </c>
      <c r="M834" s="270">
        <v>500</v>
      </c>
      <c r="N834" s="274">
        <v>17</v>
      </c>
      <c r="O834" s="55"/>
      <c r="P834" s="45">
        <v>17</v>
      </c>
      <c r="Q834" s="270">
        <v>225</v>
      </c>
      <c r="R834" s="275">
        <v>-2.9399999999999999E-3</v>
      </c>
      <c r="S834" s="270">
        <v>223</v>
      </c>
      <c r="T834" s="270">
        <v>240</v>
      </c>
      <c r="U834" s="57">
        <v>1</v>
      </c>
      <c r="V834" s="276">
        <v>0.15</v>
      </c>
      <c r="W834" s="276">
        <v>0.05</v>
      </c>
      <c r="X834" s="270">
        <v>192</v>
      </c>
      <c r="Y834" s="270">
        <v>48</v>
      </c>
      <c r="Z834" s="45" t="b">
        <v>1</v>
      </c>
      <c r="AA834" s="45" t="s">
        <v>38</v>
      </c>
      <c r="AB834" s="45" t="s">
        <v>38</v>
      </c>
    </row>
    <row r="835" spans="1:28" x14ac:dyDescent="0.2">
      <c r="A835" s="96" t="s">
        <v>154</v>
      </c>
      <c r="B835" s="279">
        <v>66.562200000000004</v>
      </c>
      <c r="C835" s="282">
        <v>44398</v>
      </c>
      <c r="D835" s="282">
        <v>44428</v>
      </c>
      <c r="E835" s="279" t="s">
        <v>267</v>
      </c>
      <c r="F835" s="133" t="s">
        <v>34</v>
      </c>
      <c r="G835" s="279" t="s">
        <v>61</v>
      </c>
      <c r="H835" s="272" t="s">
        <v>63</v>
      </c>
      <c r="I835" s="280">
        <v>10</v>
      </c>
      <c r="J835" s="279">
        <v>88</v>
      </c>
      <c r="K835" s="270">
        <f t="shared" si="0"/>
        <v>880</v>
      </c>
      <c r="L835" s="279">
        <v>639</v>
      </c>
      <c r="M835" s="279">
        <v>117</v>
      </c>
      <c r="N835" s="281">
        <v>19.63</v>
      </c>
      <c r="O835" s="55"/>
      <c r="P835" s="45">
        <v>20</v>
      </c>
      <c r="Q835" s="279">
        <v>-65</v>
      </c>
      <c r="R835" s="275">
        <v>-2.9399999999999999E-3</v>
      </c>
      <c r="S835" s="279">
        <v>-68</v>
      </c>
      <c r="T835" s="279">
        <v>-48</v>
      </c>
      <c r="U835" s="57">
        <v>1.17</v>
      </c>
      <c r="V835" s="276">
        <v>0.2</v>
      </c>
      <c r="W835" s="276">
        <v>0</v>
      </c>
      <c r="X835" s="279">
        <v>-45</v>
      </c>
      <c r="Y835" s="279">
        <v>-11</v>
      </c>
      <c r="Z835" s="45" t="b">
        <v>1</v>
      </c>
      <c r="AA835" s="45" t="s">
        <v>38</v>
      </c>
      <c r="AB835" s="45" t="s">
        <v>38</v>
      </c>
    </row>
    <row r="836" spans="1:28" x14ac:dyDescent="0.2">
      <c r="A836" s="96" t="s">
        <v>154</v>
      </c>
      <c r="B836" s="279">
        <v>66.562200000000004</v>
      </c>
      <c r="C836" s="282">
        <v>44398</v>
      </c>
      <c r="D836" s="282">
        <v>44428</v>
      </c>
      <c r="E836" s="279" t="s">
        <v>267</v>
      </c>
      <c r="F836" s="133" t="s">
        <v>34</v>
      </c>
      <c r="G836" s="279" t="s">
        <v>61</v>
      </c>
      <c r="H836" s="272" t="s">
        <v>93</v>
      </c>
      <c r="I836" s="280">
        <v>25</v>
      </c>
      <c r="J836" s="279">
        <v>58</v>
      </c>
      <c r="K836" s="270">
        <f t="shared" si="0"/>
        <v>1450</v>
      </c>
      <c r="L836" s="279">
        <v>-4600</v>
      </c>
      <c r="M836" s="279">
        <v>88</v>
      </c>
      <c r="N836" s="281">
        <v>0.37</v>
      </c>
      <c r="O836" s="55"/>
      <c r="P836" s="45">
        <v>0</v>
      </c>
      <c r="Q836" s="279">
        <v>-336</v>
      </c>
      <c r="R836" s="275">
        <v>-2.9399999999999999E-3</v>
      </c>
      <c r="S836" s="279">
        <v>-340</v>
      </c>
      <c r="T836" s="279">
        <v>-340</v>
      </c>
      <c r="U836" s="57">
        <v>1.17</v>
      </c>
      <c r="V836" s="276">
        <v>0.2</v>
      </c>
      <c r="W836" s="276">
        <v>0</v>
      </c>
      <c r="X836" s="279">
        <v>-318</v>
      </c>
      <c r="Y836" s="279">
        <v>-80</v>
      </c>
      <c r="Z836" s="45" t="b">
        <v>1</v>
      </c>
      <c r="AA836" s="45" t="s">
        <v>38</v>
      </c>
      <c r="AB836" s="45" t="s">
        <v>38</v>
      </c>
    </row>
    <row r="837" spans="1:28" x14ac:dyDescent="0.2">
      <c r="A837" s="96" t="s">
        <v>154</v>
      </c>
      <c r="B837" s="96" t="s">
        <v>154</v>
      </c>
      <c r="C837" s="282">
        <v>44398</v>
      </c>
      <c r="D837" s="282">
        <v>44428</v>
      </c>
      <c r="E837" s="279" t="s">
        <v>267</v>
      </c>
      <c r="F837" s="133" t="s">
        <v>34</v>
      </c>
      <c r="G837" s="270" t="s">
        <v>35</v>
      </c>
      <c r="H837" s="272" t="s">
        <v>40</v>
      </c>
      <c r="I837" s="273">
        <v>10</v>
      </c>
      <c r="J837" s="270">
        <v>1355</v>
      </c>
      <c r="K837" s="270">
        <f t="shared" si="0"/>
        <v>13550</v>
      </c>
      <c r="L837" s="270">
        <v>56513</v>
      </c>
      <c r="M837" s="270">
        <v>540</v>
      </c>
      <c r="N837" s="274">
        <v>535</v>
      </c>
      <c r="O837" s="55"/>
      <c r="P837" s="45">
        <v>535</v>
      </c>
      <c r="Q837" s="270">
        <v>33</v>
      </c>
      <c r="R837" s="275">
        <v>-2.9399999999999999E-3</v>
      </c>
      <c r="S837" s="270">
        <v>-7</v>
      </c>
      <c r="T837" s="270">
        <v>528</v>
      </c>
      <c r="U837" s="57">
        <v>1</v>
      </c>
      <c r="V837" s="276">
        <v>0.2</v>
      </c>
      <c r="W837" s="276">
        <v>0</v>
      </c>
      <c r="X837" s="270">
        <v>422</v>
      </c>
      <c r="Y837" s="270">
        <v>106</v>
      </c>
      <c r="Z837" s="45" t="b">
        <v>1</v>
      </c>
      <c r="AA837" s="45" t="s">
        <v>38</v>
      </c>
      <c r="AB837" s="45" t="s">
        <v>38</v>
      </c>
    </row>
    <row r="838" spans="1:28" x14ac:dyDescent="0.2">
      <c r="A838" s="96" t="s">
        <v>154</v>
      </c>
      <c r="B838" s="96" t="s">
        <v>154</v>
      </c>
      <c r="C838" s="282">
        <v>44398</v>
      </c>
      <c r="D838" s="282">
        <v>44428</v>
      </c>
      <c r="E838" s="279" t="s">
        <v>267</v>
      </c>
      <c r="F838" s="133" t="s">
        <v>34</v>
      </c>
      <c r="G838" s="270" t="s">
        <v>35</v>
      </c>
      <c r="H838" s="272" t="s">
        <v>46</v>
      </c>
      <c r="I838" s="273">
        <v>25</v>
      </c>
      <c r="J838" s="270">
        <v>826</v>
      </c>
      <c r="K838" s="270">
        <f t="shared" si="0"/>
        <v>20650</v>
      </c>
      <c r="L838" s="270">
        <v>13138</v>
      </c>
      <c r="M838" s="270">
        <v>-250</v>
      </c>
      <c r="N838" s="274">
        <v>699</v>
      </c>
      <c r="O838" s="55"/>
      <c r="P838" s="45">
        <v>699</v>
      </c>
      <c r="Q838" s="270">
        <v>-735</v>
      </c>
      <c r="R838" s="275">
        <v>-2.9399999999999999E-3</v>
      </c>
      <c r="S838" s="270">
        <v>-795</v>
      </c>
      <c r="T838" s="270">
        <v>-96</v>
      </c>
      <c r="U838" s="57">
        <v>1</v>
      </c>
      <c r="V838" s="276">
        <v>0.2</v>
      </c>
      <c r="W838" s="276">
        <v>0</v>
      </c>
      <c r="X838" s="270">
        <v>-77</v>
      </c>
      <c r="Y838" s="270">
        <v>-19</v>
      </c>
      <c r="Z838" s="45" t="b">
        <v>1</v>
      </c>
      <c r="AA838" s="45" t="s">
        <v>38</v>
      </c>
      <c r="AB838" s="45" t="s">
        <v>38</v>
      </c>
    </row>
    <row r="839" spans="1:28" x14ac:dyDescent="0.2">
      <c r="A839" s="279" t="s">
        <v>355</v>
      </c>
      <c r="B839" s="279" t="s">
        <v>989</v>
      </c>
      <c r="C839" s="282">
        <v>44398</v>
      </c>
      <c r="D839" s="282">
        <v>44428</v>
      </c>
      <c r="E839" s="279" t="s">
        <v>300</v>
      </c>
      <c r="F839" s="133" t="s">
        <v>34</v>
      </c>
      <c r="G839" s="279" t="s">
        <v>61</v>
      </c>
      <c r="H839" s="272" t="s">
        <v>93</v>
      </c>
      <c r="I839" s="280">
        <v>25</v>
      </c>
      <c r="J839" s="279">
        <v>956</v>
      </c>
      <c r="K839" s="270">
        <f t="shared" si="0"/>
        <v>23900</v>
      </c>
      <c r="L839" s="279">
        <v>68830</v>
      </c>
      <c r="M839" s="279">
        <v>1521</v>
      </c>
      <c r="N839" s="281">
        <v>434.35</v>
      </c>
      <c r="O839" s="55"/>
      <c r="P839" s="45">
        <v>434</v>
      </c>
      <c r="Q839" s="279">
        <v>1045</v>
      </c>
      <c r="R839" s="275">
        <v>-2.9399999999999999E-3</v>
      </c>
      <c r="S839" s="279">
        <v>975</v>
      </c>
      <c r="T839" s="279">
        <v>1409</v>
      </c>
      <c r="U839" s="57">
        <v>1.17</v>
      </c>
      <c r="V839" s="276">
        <v>0.15</v>
      </c>
      <c r="W839" s="276">
        <v>0.05</v>
      </c>
      <c r="X839" s="279">
        <v>1319</v>
      </c>
      <c r="Y839" s="279">
        <v>330</v>
      </c>
      <c r="Z839" s="45" t="b">
        <v>1</v>
      </c>
      <c r="AA839" s="45" t="s">
        <v>38</v>
      </c>
      <c r="AB839" s="45" t="s">
        <v>50</v>
      </c>
    </row>
    <row r="840" spans="1:28" x14ac:dyDescent="0.2">
      <c r="A840" s="279" t="s">
        <v>355</v>
      </c>
      <c r="B840" s="279" t="s">
        <v>989</v>
      </c>
      <c r="C840" s="282">
        <v>44398</v>
      </c>
      <c r="D840" s="282">
        <v>44428</v>
      </c>
      <c r="E840" s="279" t="s">
        <v>300</v>
      </c>
      <c r="F840" s="133" t="s">
        <v>34</v>
      </c>
      <c r="G840" s="279" t="s">
        <v>61</v>
      </c>
      <c r="H840" s="272" t="s">
        <v>109</v>
      </c>
      <c r="I840" s="280">
        <v>50</v>
      </c>
      <c r="J840" s="279">
        <v>1767</v>
      </c>
      <c r="K840" s="270">
        <f t="shared" si="0"/>
        <v>88350</v>
      </c>
      <c r="L840" s="279">
        <v>73395</v>
      </c>
      <c r="M840" s="279">
        <v>-2223</v>
      </c>
      <c r="N840" s="281">
        <v>1605.65</v>
      </c>
      <c r="O840" s="55"/>
      <c r="P840" s="105">
        <v>1606</v>
      </c>
      <c r="Q840" s="279">
        <v>-1035</v>
      </c>
      <c r="R840" s="275">
        <v>-2.9399999999999999E-3</v>
      </c>
      <c r="S840" s="279">
        <v>-1295</v>
      </c>
      <c r="T840" s="279">
        <v>311</v>
      </c>
      <c r="U840" s="57">
        <v>1.17</v>
      </c>
      <c r="V840" s="276">
        <v>0.15</v>
      </c>
      <c r="W840" s="276">
        <v>0.05</v>
      </c>
      <c r="X840" s="279">
        <v>291</v>
      </c>
      <c r="Y840" s="279">
        <v>73</v>
      </c>
      <c r="Z840" s="45" t="b">
        <v>1</v>
      </c>
      <c r="AA840" s="45" t="s">
        <v>38</v>
      </c>
      <c r="AB840" s="45" t="s">
        <v>50</v>
      </c>
    </row>
    <row r="841" spans="1:28" x14ac:dyDescent="0.2">
      <c r="A841" s="96" t="s">
        <v>402</v>
      </c>
      <c r="B841" s="96" t="s">
        <v>402</v>
      </c>
      <c r="C841" s="277">
        <v>44398</v>
      </c>
      <c r="D841" s="277">
        <v>44428</v>
      </c>
      <c r="E841" s="270" t="s">
        <v>267</v>
      </c>
      <c r="F841" s="133" t="s">
        <v>34</v>
      </c>
      <c r="G841" s="96" t="s">
        <v>165</v>
      </c>
      <c r="H841" s="272" t="s">
        <v>166</v>
      </c>
      <c r="I841" s="273">
        <v>10</v>
      </c>
      <c r="J841" s="270">
        <v>2548</v>
      </c>
      <c r="K841" s="270">
        <f t="shared" si="0"/>
        <v>25480</v>
      </c>
      <c r="L841" s="270">
        <v>180845</v>
      </c>
      <c r="M841" s="270">
        <v>960</v>
      </c>
      <c r="N841" s="274"/>
      <c r="O841" s="55"/>
      <c r="P841" s="96"/>
      <c r="Q841" s="270">
        <v>1383</v>
      </c>
      <c r="R841" s="275">
        <v>-2.9399999999999999E-3</v>
      </c>
      <c r="S841" s="270">
        <v>1308</v>
      </c>
      <c r="T841" s="270">
        <v>1308</v>
      </c>
      <c r="U841" s="57">
        <v>1.17</v>
      </c>
      <c r="V841" s="276">
        <v>0.25</v>
      </c>
      <c r="W841" s="276">
        <v>0</v>
      </c>
      <c r="X841" s="270">
        <v>1147</v>
      </c>
      <c r="Y841" s="270">
        <v>382</v>
      </c>
      <c r="Z841" s="45" t="b">
        <v>1</v>
      </c>
      <c r="AA841" s="45" t="s">
        <v>38</v>
      </c>
      <c r="AB841" s="45" t="s">
        <v>50</v>
      </c>
    </row>
    <row r="842" spans="1:28" x14ac:dyDescent="0.2">
      <c r="A842" s="279" t="s">
        <v>91</v>
      </c>
      <c r="B842" s="279" t="s">
        <v>91</v>
      </c>
      <c r="C842" s="282">
        <v>44398</v>
      </c>
      <c r="D842" s="282">
        <v>44428</v>
      </c>
      <c r="E842" s="279" t="s">
        <v>267</v>
      </c>
      <c r="F842" s="133" t="s">
        <v>34</v>
      </c>
      <c r="G842" s="279" t="s">
        <v>61</v>
      </c>
      <c r="H842" s="272" t="s">
        <v>63</v>
      </c>
      <c r="I842" s="280">
        <v>10</v>
      </c>
      <c r="J842" s="279">
        <v>1286</v>
      </c>
      <c r="K842" s="270">
        <f t="shared" si="0"/>
        <v>12860</v>
      </c>
      <c r="L842" s="279">
        <v>85613</v>
      </c>
      <c r="M842" s="279">
        <v>702</v>
      </c>
      <c r="N842" s="281">
        <v>255</v>
      </c>
      <c r="O842" s="55"/>
      <c r="P842" s="45">
        <v>255</v>
      </c>
      <c r="Q842" s="279">
        <v>436</v>
      </c>
      <c r="R842" s="275">
        <v>-2.9399999999999999E-3</v>
      </c>
      <c r="S842" s="279">
        <v>399</v>
      </c>
      <c r="T842" s="279">
        <v>654</v>
      </c>
      <c r="U842" s="57">
        <v>1</v>
      </c>
      <c r="V842" s="276">
        <v>0.3</v>
      </c>
      <c r="W842" s="276">
        <v>0</v>
      </c>
      <c r="X842" s="279">
        <v>458</v>
      </c>
      <c r="Y842" s="279">
        <v>196</v>
      </c>
      <c r="Z842" s="45" t="b">
        <v>1</v>
      </c>
      <c r="AA842" s="45" t="s">
        <v>50</v>
      </c>
      <c r="AB842" s="45" t="s">
        <v>50</v>
      </c>
    </row>
    <row r="843" spans="1:28" x14ac:dyDescent="0.2">
      <c r="A843" s="96" t="s">
        <v>473</v>
      </c>
      <c r="B843" s="270" t="s">
        <v>120</v>
      </c>
      <c r="C843" s="277">
        <v>44398</v>
      </c>
      <c r="D843" s="277">
        <v>44428</v>
      </c>
      <c r="E843" s="270" t="s">
        <v>267</v>
      </c>
      <c r="F843" s="96" t="s">
        <v>34</v>
      </c>
      <c r="G843" s="270" t="s">
        <v>35</v>
      </c>
      <c r="H843" s="272" t="s">
        <v>39</v>
      </c>
      <c r="I843" s="273">
        <v>5</v>
      </c>
      <c r="J843" s="270">
        <v>1354</v>
      </c>
      <c r="K843" s="270">
        <f t="shared" si="0"/>
        <v>6770</v>
      </c>
      <c r="L843" s="270">
        <v>47739</v>
      </c>
      <c r="M843" s="270">
        <v>-390</v>
      </c>
      <c r="N843" s="274">
        <v>200</v>
      </c>
      <c r="O843" s="55"/>
      <c r="P843" s="45">
        <v>200</v>
      </c>
      <c r="Q843" s="270">
        <v>-165</v>
      </c>
      <c r="R843" s="275">
        <v>-2.9399999999999999E-3</v>
      </c>
      <c r="S843" s="270">
        <v>-185</v>
      </c>
      <c r="T843" s="270">
        <v>15</v>
      </c>
      <c r="U843" s="57">
        <v>1</v>
      </c>
      <c r="V843" s="276">
        <v>0.3</v>
      </c>
      <c r="W843" s="276">
        <v>0</v>
      </c>
      <c r="X843" s="270">
        <v>11</v>
      </c>
      <c r="Y843" s="270">
        <v>5</v>
      </c>
      <c r="Z843" s="45" t="b">
        <v>1</v>
      </c>
      <c r="AA843" s="45" t="s">
        <v>38</v>
      </c>
      <c r="AB843" s="45" t="s">
        <v>38</v>
      </c>
    </row>
    <row r="844" spans="1:28" x14ac:dyDescent="0.2">
      <c r="A844" s="279" t="s">
        <v>178</v>
      </c>
      <c r="B844" s="279" t="s">
        <v>178</v>
      </c>
      <c r="C844" s="282">
        <v>44398</v>
      </c>
      <c r="D844" s="282">
        <v>44428</v>
      </c>
      <c r="E844" s="279" t="s">
        <v>267</v>
      </c>
      <c r="F844" s="133" t="s">
        <v>34</v>
      </c>
      <c r="G844" s="279" t="s">
        <v>61</v>
      </c>
      <c r="H844" s="272" t="s">
        <v>63</v>
      </c>
      <c r="I844" s="280">
        <v>10</v>
      </c>
      <c r="J844" s="279">
        <v>1019</v>
      </c>
      <c r="K844" s="270">
        <f t="shared" si="0"/>
        <v>10190</v>
      </c>
      <c r="L844" s="279">
        <v>52503</v>
      </c>
      <c r="M844" s="279">
        <v>-257</v>
      </c>
      <c r="N844" s="281">
        <v>0</v>
      </c>
      <c r="O844" s="55"/>
      <c r="P844" s="45">
        <v>0</v>
      </c>
      <c r="Q844" s="279">
        <v>63</v>
      </c>
      <c r="R844" s="275">
        <v>-2.9399999999999999E-3</v>
      </c>
      <c r="S844" s="279">
        <v>33</v>
      </c>
      <c r="T844" s="279">
        <v>33</v>
      </c>
      <c r="U844" s="57">
        <v>1</v>
      </c>
      <c r="V844" s="276">
        <v>0.2</v>
      </c>
      <c r="W844" s="276">
        <v>0</v>
      </c>
      <c r="X844" s="279">
        <v>26</v>
      </c>
      <c r="Y844" s="279">
        <v>7</v>
      </c>
      <c r="Z844" s="45" t="b">
        <v>1</v>
      </c>
      <c r="AA844" s="45" t="s">
        <v>50</v>
      </c>
      <c r="AB844" s="45" t="s">
        <v>50</v>
      </c>
    </row>
    <row r="845" spans="1:28" x14ac:dyDescent="0.2">
      <c r="A845" s="96" t="s">
        <v>508</v>
      </c>
      <c r="B845" s="96" t="s">
        <v>185</v>
      </c>
      <c r="C845" s="277">
        <v>44398</v>
      </c>
      <c r="D845" s="277">
        <v>44428</v>
      </c>
      <c r="E845" s="270" t="s">
        <v>300</v>
      </c>
      <c r="F845" s="133" t="s">
        <v>34</v>
      </c>
      <c r="G845" s="270" t="s">
        <v>80</v>
      </c>
      <c r="H845" s="272" t="s">
        <v>71</v>
      </c>
      <c r="I845" s="273">
        <v>20</v>
      </c>
      <c r="J845" s="270">
        <v>997</v>
      </c>
      <c r="K845" s="270">
        <f t="shared" si="0"/>
        <v>19940</v>
      </c>
      <c r="L845" s="270">
        <v>15922</v>
      </c>
      <c r="M845" s="270">
        <v>-1180</v>
      </c>
      <c r="N845" s="274">
        <v>1231.8699999999999</v>
      </c>
      <c r="O845" s="55"/>
      <c r="P845" s="105">
        <v>1232</v>
      </c>
      <c r="Q845" s="270">
        <v>-546</v>
      </c>
      <c r="R845" s="275">
        <v>-2.9399999999999999E-3</v>
      </c>
      <c r="S845" s="270">
        <v>-605</v>
      </c>
      <c r="T845" s="270">
        <v>627</v>
      </c>
      <c r="U845" s="57">
        <v>1</v>
      </c>
      <c r="V845" s="276">
        <v>0.13500000000000001</v>
      </c>
      <c r="W845" s="276">
        <v>4.4999999999999998E-2</v>
      </c>
      <c r="X845" s="270">
        <v>514</v>
      </c>
      <c r="Y845" s="270">
        <v>113</v>
      </c>
      <c r="Z845" s="45" t="b">
        <v>1</v>
      </c>
      <c r="AA845" s="45" t="s">
        <v>38</v>
      </c>
      <c r="AB845" s="45" t="s">
        <v>38</v>
      </c>
    </row>
    <row r="846" spans="1:28" x14ac:dyDescent="0.2">
      <c r="A846" s="96" t="s">
        <v>508</v>
      </c>
      <c r="B846" s="96" t="s">
        <v>185</v>
      </c>
      <c r="C846" s="277">
        <v>44398</v>
      </c>
      <c r="D846" s="277">
        <v>44428</v>
      </c>
      <c r="E846" s="270" t="s">
        <v>300</v>
      </c>
      <c r="F846" s="133" t="s">
        <v>34</v>
      </c>
      <c r="G846" s="270" t="s">
        <v>80</v>
      </c>
      <c r="H846" s="272" t="s">
        <v>72</v>
      </c>
      <c r="I846" s="273">
        <v>50</v>
      </c>
      <c r="J846" s="270">
        <v>10272</v>
      </c>
      <c r="K846" s="270">
        <f t="shared" si="0"/>
        <v>513600</v>
      </c>
      <c r="L846" s="270">
        <v>132888</v>
      </c>
      <c r="M846" s="270">
        <v>-7750</v>
      </c>
      <c r="N846" s="274">
        <f>31472.13+590</f>
        <v>32062.13</v>
      </c>
      <c r="O846" s="55"/>
      <c r="P846" s="105">
        <v>32062</v>
      </c>
      <c r="Q846" s="270">
        <v>-18589</v>
      </c>
      <c r="R846" s="275">
        <v>-2.9399999999999999E-3</v>
      </c>
      <c r="S846" s="270">
        <v>-20099</v>
      </c>
      <c r="T846" s="270">
        <v>11963</v>
      </c>
      <c r="U846" s="57">
        <v>1</v>
      </c>
      <c r="V846" s="276">
        <v>0.13500000000000001</v>
      </c>
      <c r="W846" s="276">
        <v>4.4999999999999998E-2</v>
      </c>
      <c r="X846" s="270">
        <v>9809</v>
      </c>
      <c r="Y846" s="270">
        <v>2153</v>
      </c>
      <c r="Z846" s="45" t="b">
        <v>1</v>
      </c>
      <c r="AA846" s="45" t="s">
        <v>38</v>
      </c>
      <c r="AB846" s="45" t="s">
        <v>38</v>
      </c>
    </row>
    <row r="847" spans="1:28" x14ac:dyDescent="0.2">
      <c r="A847" s="96" t="s">
        <v>508</v>
      </c>
      <c r="B847" s="96" t="s">
        <v>508</v>
      </c>
      <c r="C847" s="277">
        <v>44398</v>
      </c>
      <c r="D847" s="277">
        <v>44428</v>
      </c>
      <c r="E847" s="270" t="s">
        <v>300</v>
      </c>
      <c r="F847" s="133" t="s">
        <v>34</v>
      </c>
      <c r="G847" s="96" t="s">
        <v>35</v>
      </c>
      <c r="H847" s="272" t="s">
        <v>70</v>
      </c>
      <c r="I847" s="273">
        <v>100</v>
      </c>
      <c r="J847" s="270">
        <v>263</v>
      </c>
      <c r="K847" s="270">
        <f t="shared" si="0"/>
        <v>26300</v>
      </c>
      <c r="L847" s="270">
        <v>-89</v>
      </c>
      <c r="M847" s="270">
        <v>-2800</v>
      </c>
      <c r="N847" s="274">
        <v>82</v>
      </c>
      <c r="O847" s="55"/>
      <c r="P847" s="45">
        <v>82</v>
      </c>
      <c r="Q847" s="270">
        <v>-1437</v>
      </c>
      <c r="R847" s="275">
        <v>-2.9399999999999999E-3</v>
      </c>
      <c r="S847" s="270">
        <v>-1514</v>
      </c>
      <c r="T847" s="270">
        <v>-1432</v>
      </c>
      <c r="U847" s="57">
        <v>1</v>
      </c>
      <c r="V847" s="276">
        <v>0.13500000000000001</v>
      </c>
      <c r="W847" s="276">
        <v>4.4999999999999998E-2</v>
      </c>
      <c r="X847" s="270">
        <v>-1174</v>
      </c>
      <c r="Y847" s="270">
        <v>-258</v>
      </c>
      <c r="Z847" s="45" t="b">
        <v>1</v>
      </c>
      <c r="AA847" s="45" t="s">
        <v>38</v>
      </c>
      <c r="AB847" s="45" t="s">
        <v>38</v>
      </c>
    </row>
    <row r="848" spans="1:28" x14ac:dyDescent="0.2">
      <c r="A848" s="96" t="s">
        <v>508</v>
      </c>
      <c r="B848" s="96" t="s">
        <v>508</v>
      </c>
      <c r="C848" s="277">
        <v>44398</v>
      </c>
      <c r="D848" s="277">
        <v>44428</v>
      </c>
      <c r="E848" s="270" t="s">
        <v>300</v>
      </c>
      <c r="F848" s="133" t="s">
        <v>41</v>
      </c>
      <c r="G848" s="96" t="s">
        <v>35</v>
      </c>
      <c r="H848" s="272" t="s">
        <v>46</v>
      </c>
      <c r="I848" s="273">
        <v>25</v>
      </c>
      <c r="J848" s="270">
        <v>3</v>
      </c>
      <c r="K848" s="270">
        <f t="shared" si="0"/>
        <v>75</v>
      </c>
      <c r="L848" s="270"/>
      <c r="M848" s="270">
        <v>-25</v>
      </c>
      <c r="N848" s="274"/>
      <c r="O848" s="55"/>
      <c r="P848" s="96"/>
      <c r="Q848" s="270"/>
      <c r="R848" s="275">
        <v>0</v>
      </c>
      <c r="S848" s="270"/>
      <c r="T848" s="270">
        <v>-25</v>
      </c>
      <c r="U848" s="57">
        <v>1</v>
      </c>
      <c r="V848" s="276">
        <v>0.13500000000000001</v>
      </c>
      <c r="W848" s="276">
        <v>4.4999999999999998E-2</v>
      </c>
      <c r="X848" s="270">
        <v>-21</v>
      </c>
      <c r="Y848" s="270">
        <v>-5</v>
      </c>
      <c r="Z848" s="45" t="b">
        <v>1</v>
      </c>
      <c r="AA848" s="45" t="s">
        <v>38</v>
      </c>
      <c r="AB848" s="45" t="s">
        <v>38</v>
      </c>
    </row>
    <row r="849" spans="1:28" x14ac:dyDescent="0.2">
      <c r="A849" s="96" t="s">
        <v>113</v>
      </c>
      <c r="B849" s="96" t="s">
        <v>113</v>
      </c>
      <c r="C849" s="277">
        <v>44398</v>
      </c>
      <c r="D849" s="277">
        <v>44428</v>
      </c>
      <c r="E849" s="270" t="s">
        <v>267</v>
      </c>
      <c r="F849" s="133" t="s">
        <v>34</v>
      </c>
      <c r="G849" s="96" t="s">
        <v>35</v>
      </c>
      <c r="H849" s="272" t="s">
        <v>40</v>
      </c>
      <c r="I849" s="273">
        <v>10</v>
      </c>
      <c r="J849" s="270">
        <v>1504</v>
      </c>
      <c r="K849" s="270">
        <f t="shared" si="0"/>
        <v>15040</v>
      </c>
      <c r="L849" s="270">
        <v>55554</v>
      </c>
      <c r="M849" s="270">
        <v>-190</v>
      </c>
      <c r="N849" s="274">
        <v>52</v>
      </c>
      <c r="O849" s="55"/>
      <c r="P849" s="45">
        <v>52</v>
      </c>
      <c r="Q849" s="270">
        <v>-97</v>
      </c>
      <c r="R849" s="275">
        <v>-2.9399999999999999E-3</v>
      </c>
      <c r="S849" s="270">
        <v>-141</v>
      </c>
      <c r="T849" s="270">
        <v>-89</v>
      </c>
      <c r="U849" s="57">
        <v>1</v>
      </c>
      <c r="V849" s="276">
        <v>0.3</v>
      </c>
      <c r="W849" s="276">
        <v>0</v>
      </c>
      <c r="X849" s="270">
        <v>-62</v>
      </c>
      <c r="Y849" s="270">
        <v>-27</v>
      </c>
      <c r="Z849" s="45" t="b">
        <v>1</v>
      </c>
      <c r="AA849" s="45" t="s">
        <v>38</v>
      </c>
      <c r="AB849" s="45" t="s">
        <v>38</v>
      </c>
    </row>
    <row r="850" spans="1:28" x14ac:dyDescent="0.2">
      <c r="A850" s="96" t="s">
        <v>191</v>
      </c>
      <c r="B850" s="96" t="s">
        <v>193</v>
      </c>
      <c r="C850" s="277">
        <v>44398</v>
      </c>
      <c r="D850" s="277">
        <v>44428</v>
      </c>
      <c r="E850" s="270" t="s">
        <v>267</v>
      </c>
      <c r="F850" s="133" t="s">
        <v>34</v>
      </c>
      <c r="G850" s="96" t="s">
        <v>80</v>
      </c>
      <c r="H850" s="272" t="s">
        <v>122</v>
      </c>
      <c r="I850" s="273">
        <v>3</v>
      </c>
      <c r="J850" s="270">
        <v>845</v>
      </c>
      <c r="K850" s="270">
        <f t="shared" si="0"/>
        <v>2535</v>
      </c>
      <c r="L850" s="270">
        <v>25106</v>
      </c>
      <c r="M850" s="270">
        <v>171</v>
      </c>
      <c r="N850" s="274">
        <v>65.58</v>
      </c>
      <c r="O850" s="55"/>
      <c r="P850" s="45">
        <v>66</v>
      </c>
      <c r="Q850" s="270">
        <v>31</v>
      </c>
      <c r="R850" s="275">
        <v>-2.9399999999999999E-3</v>
      </c>
      <c r="S850" s="270">
        <v>23</v>
      </c>
      <c r="T850" s="270">
        <v>89</v>
      </c>
      <c r="U850" s="57">
        <v>1</v>
      </c>
      <c r="V850" s="276">
        <v>0.22</v>
      </c>
      <c r="W850" s="276">
        <v>0</v>
      </c>
      <c r="X850" s="270">
        <v>69</v>
      </c>
      <c r="Y850" s="270">
        <v>20</v>
      </c>
      <c r="Z850" s="45" t="b">
        <v>1</v>
      </c>
      <c r="AA850" s="45" t="s">
        <v>38</v>
      </c>
      <c r="AB850" s="45" t="s">
        <v>38</v>
      </c>
    </row>
    <row r="851" spans="1:28" x14ac:dyDescent="0.2">
      <c r="A851" s="96" t="s">
        <v>191</v>
      </c>
      <c r="B851" s="96" t="s">
        <v>193</v>
      </c>
      <c r="C851" s="277">
        <v>44398</v>
      </c>
      <c r="D851" s="277">
        <v>44428</v>
      </c>
      <c r="E851" s="270" t="s">
        <v>267</v>
      </c>
      <c r="F851" s="133" t="s">
        <v>34</v>
      </c>
      <c r="G851" s="96" t="s">
        <v>80</v>
      </c>
      <c r="H851" s="272" t="s">
        <v>86</v>
      </c>
      <c r="I851" s="273">
        <v>5</v>
      </c>
      <c r="J851" s="270">
        <v>5525</v>
      </c>
      <c r="K851" s="270">
        <f t="shared" si="0"/>
        <v>27625</v>
      </c>
      <c r="L851" s="270">
        <v>84365</v>
      </c>
      <c r="M851" s="270">
        <v>-685</v>
      </c>
      <c r="N851" s="274">
        <v>714.63</v>
      </c>
      <c r="O851" s="55"/>
      <c r="P851" s="45">
        <v>715</v>
      </c>
      <c r="Q851" s="270">
        <v>-822</v>
      </c>
      <c r="R851" s="275">
        <v>-2.9399999999999999E-3</v>
      </c>
      <c r="S851" s="270">
        <v>-904</v>
      </c>
      <c r="T851" s="270">
        <v>-189</v>
      </c>
      <c r="U851" s="57">
        <v>1</v>
      </c>
      <c r="V851" s="276">
        <v>0.22</v>
      </c>
      <c r="W851" s="276">
        <v>0</v>
      </c>
      <c r="X851" s="270">
        <v>-147</v>
      </c>
      <c r="Y851" s="270">
        <v>-42</v>
      </c>
      <c r="Z851" s="45" t="b">
        <v>1</v>
      </c>
      <c r="AA851" s="45" t="s">
        <v>38</v>
      </c>
      <c r="AB851" s="45" t="s">
        <v>38</v>
      </c>
    </row>
    <row r="852" spans="1:28" x14ac:dyDescent="0.2">
      <c r="A852" s="96" t="s">
        <v>191</v>
      </c>
      <c r="B852" s="96" t="s">
        <v>193</v>
      </c>
      <c r="C852" s="277">
        <v>44398</v>
      </c>
      <c r="D852" s="277">
        <v>44428</v>
      </c>
      <c r="E852" s="270" t="s">
        <v>267</v>
      </c>
      <c r="F852" s="133" t="s">
        <v>34</v>
      </c>
      <c r="G852" s="96" t="s">
        <v>80</v>
      </c>
      <c r="H852" s="272" t="s">
        <v>40</v>
      </c>
      <c r="I852" s="273">
        <v>10</v>
      </c>
      <c r="J852" s="270">
        <v>1008</v>
      </c>
      <c r="K852" s="270">
        <f t="shared" si="0"/>
        <v>10080</v>
      </c>
      <c r="L852" s="270">
        <v>18108</v>
      </c>
      <c r="M852" s="270">
        <v>-30</v>
      </c>
      <c r="N852" s="274">
        <v>260.76</v>
      </c>
      <c r="O852" s="55"/>
      <c r="P852" s="45">
        <v>261</v>
      </c>
      <c r="Q852" s="270">
        <v>-218</v>
      </c>
      <c r="R852" s="275">
        <v>-2.9399999999999999E-3</v>
      </c>
      <c r="S852" s="270">
        <v>-248</v>
      </c>
      <c r="T852" s="270">
        <v>13</v>
      </c>
      <c r="U852" s="57">
        <v>1</v>
      </c>
      <c r="V852" s="276">
        <v>0.22</v>
      </c>
      <c r="W852" s="276">
        <v>0</v>
      </c>
      <c r="X852" s="270">
        <v>10</v>
      </c>
      <c r="Y852" s="270">
        <v>3</v>
      </c>
      <c r="Z852" s="45" t="b">
        <v>1</v>
      </c>
      <c r="AA852" s="45" t="s">
        <v>38</v>
      </c>
      <c r="AB852" s="45" t="s">
        <v>38</v>
      </c>
    </row>
    <row r="853" spans="1:28" x14ac:dyDescent="0.2">
      <c r="A853" s="96" t="s">
        <v>191</v>
      </c>
      <c r="B853" s="96" t="s">
        <v>193</v>
      </c>
      <c r="C853" s="277">
        <v>44398</v>
      </c>
      <c r="D853" s="277">
        <v>44428</v>
      </c>
      <c r="E853" s="270" t="s">
        <v>267</v>
      </c>
      <c r="F853" s="133" t="s">
        <v>34</v>
      </c>
      <c r="G853" s="96" t="s">
        <v>80</v>
      </c>
      <c r="H853" s="272" t="s">
        <v>71</v>
      </c>
      <c r="I853" s="273">
        <v>20</v>
      </c>
      <c r="J853" s="270">
        <v>2</v>
      </c>
      <c r="K853" s="270">
        <f t="shared" si="0"/>
        <v>40</v>
      </c>
      <c r="L853" s="270">
        <v>-205</v>
      </c>
      <c r="M853" s="270">
        <v>-40</v>
      </c>
      <c r="N853" s="274">
        <v>1.03</v>
      </c>
      <c r="O853" s="55"/>
      <c r="P853" s="45">
        <v>1</v>
      </c>
      <c r="Q853" s="270">
        <v>-15</v>
      </c>
      <c r="R853" s="275">
        <v>-2.9399999999999999E-3</v>
      </c>
      <c r="S853" s="270">
        <v>-15</v>
      </c>
      <c r="T853" s="270">
        <v>-14</v>
      </c>
      <c r="U853" s="57">
        <v>1</v>
      </c>
      <c r="V853" s="276">
        <v>0.22</v>
      </c>
      <c r="W853" s="276">
        <v>0</v>
      </c>
      <c r="X853" s="270">
        <v>-11</v>
      </c>
      <c r="Y853" s="270">
        <v>-3</v>
      </c>
      <c r="Z853" s="45" t="b">
        <v>1</v>
      </c>
      <c r="AA853" s="45" t="s">
        <v>38</v>
      </c>
      <c r="AB853" s="45" t="s">
        <v>38</v>
      </c>
    </row>
    <row r="854" spans="1:28" x14ac:dyDescent="0.2">
      <c r="A854" s="279" t="s">
        <v>145</v>
      </c>
      <c r="B854" s="279" t="s">
        <v>901</v>
      </c>
      <c r="C854" s="282">
        <v>44409</v>
      </c>
      <c r="D854" s="282">
        <v>44439</v>
      </c>
      <c r="E854" s="279" t="s">
        <v>300</v>
      </c>
      <c r="F854" s="133" t="s">
        <v>49</v>
      </c>
      <c r="G854" s="279" t="s">
        <v>69</v>
      </c>
      <c r="H854" s="272" t="s">
        <v>72</v>
      </c>
      <c r="I854" s="280">
        <v>50</v>
      </c>
      <c r="J854" s="279">
        <v>39</v>
      </c>
      <c r="K854" s="270">
        <f t="shared" si="0"/>
        <v>1950</v>
      </c>
      <c r="L854" s="279">
        <v>601</v>
      </c>
      <c r="M854" s="279">
        <v>-300</v>
      </c>
      <c r="N854" s="281">
        <v>3527.84</v>
      </c>
      <c r="O854" s="55"/>
      <c r="P854" s="105">
        <v>3528</v>
      </c>
      <c r="Q854" s="279">
        <v>-48</v>
      </c>
      <c r="R854" s="275">
        <v>0</v>
      </c>
      <c r="S854" s="279">
        <v>-48</v>
      </c>
      <c r="T854" s="279">
        <v>3480</v>
      </c>
      <c r="U854" s="57">
        <v>1</v>
      </c>
      <c r="V854" s="276">
        <v>0.12</v>
      </c>
      <c r="W854" s="276">
        <v>0</v>
      </c>
      <c r="X854" s="279">
        <v>3063</v>
      </c>
      <c r="Y854" s="279">
        <v>418</v>
      </c>
      <c r="Z854" s="45" t="b">
        <v>1</v>
      </c>
      <c r="AA854" s="45" t="s">
        <v>38</v>
      </c>
      <c r="AB854" s="45" t="s">
        <v>38</v>
      </c>
    </row>
    <row r="855" spans="1:28" x14ac:dyDescent="0.2">
      <c r="A855" s="279" t="s">
        <v>145</v>
      </c>
      <c r="B855" s="279" t="s">
        <v>901</v>
      </c>
      <c r="C855" s="282">
        <v>44409</v>
      </c>
      <c r="D855" s="282">
        <v>44439</v>
      </c>
      <c r="E855" s="279" t="s">
        <v>300</v>
      </c>
      <c r="F855" s="133" t="s">
        <v>49</v>
      </c>
      <c r="G855" s="279" t="s">
        <v>69</v>
      </c>
      <c r="H855" s="272" t="s">
        <v>70</v>
      </c>
      <c r="I855" s="280">
        <v>100</v>
      </c>
      <c r="J855" s="279">
        <v>1685</v>
      </c>
      <c r="K855" s="270">
        <f t="shared" si="0"/>
        <v>168500</v>
      </c>
      <c r="L855" s="279">
        <v>7291</v>
      </c>
      <c r="M855" s="279">
        <v>-17400</v>
      </c>
      <c r="N855" s="281">
        <v>4372.16</v>
      </c>
      <c r="O855" s="55"/>
      <c r="P855" s="105">
        <v>4372</v>
      </c>
      <c r="Q855" s="279">
        <v>-7720</v>
      </c>
      <c r="R855" s="275">
        <v>0</v>
      </c>
      <c r="S855" s="279">
        <v>-7720</v>
      </c>
      <c r="T855" s="279">
        <v>-3347</v>
      </c>
      <c r="U855" s="57">
        <v>1</v>
      </c>
      <c r="V855" s="276">
        <v>0.12</v>
      </c>
      <c r="W855" s="276">
        <v>0</v>
      </c>
      <c r="X855" s="279">
        <v>-2946</v>
      </c>
      <c r="Y855" s="279">
        <v>-402</v>
      </c>
      <c r="Z855" s="45" t="b">
        <v>1</v>
      </c>
      <c r="AA855" s="45" t="s">
        <v>38</v>
      </c>
      <c r="AB855" s="45" t="s">
        <v>38</v>
      </c>
    </row>
    <row r="856" spans="1:28" x14ac:dyDescent="0.2">
      <c r="A856" s="279" t="s">
        <v>145</v>
      </c>
      <c r="B856" s="279" t="s">
        <v>901</v>
      </c>
      <c r="C856" s="282">
        <v>44409</v>
      </c>
      <c r="D856" s="282">
        <v>44439</v>
      </c>
      <c r="E856" s="279" t="s">
        <v>300</v>
      </c>
      <c r="F856" s="133" t="s">
        <v>41</v>
      </c>
      <c r="G856" s="279" t="s">
        <v>69</v>
      </c>
      <c r="H856" s="272" t="s">
        <v>88</v>
      </c>
      <c r="I856" s="280">
        <v>250</v>
      </c>
      <c r="J856" s="279">
        <v>105</v>
      </c>
      <c r="K856" s="270">
        <f t="shared" si="0"/>
        <v>26250</v>
      </c>
      <c r="L856" s="279">
        <v>-5331</v>
      </c>
      <c r="M856" s="279">
        <v>-4250</v>
      </c>
      <c r="N856" s="281">
        <v>0</v>
      </c>
      <c r="O856" s="55"/>
      <c r="P856" s="45">
        <v>0</v>
      </c>
      <c r="Q856" s="279">
        <v>-3643</v>
      </c>
      <c r="R856" s="275">
        <v>0</v>
      </c>
      <c r="S856" s="279">
        <v>-3643</v>
      </c>
      <c r="T856" s="279">
        <v>-4250</v>
      </c>
      <c r="U856" s="57">
        <v>1</v>
      </c>
      <c r="V856" s="276">
        <v>0.12</v>
      </c>
      <c r="W856" s="276">
        <v>0</v>
      </c>
      <c r="X856" s="279">
        <v>-3740</v>
      </c>
      <c r="Y856" s="279">
        <v>-510</v>
      </c>
      <c r="Z856" s="45" t="b">
        <v>1</v>
      </c>
      <c r="AA856" s="45" t="s">
        <v>38</v>
      </c>
      <c r="AB856" s="45" t="s">
        <v>38</v>
      </c>
    </row>
    <row r="857" spans="1:28" x14ac:dyDescent="0.2">
      <c r="A857" s="279" t="s">
        <v>447</v>
      </c>
      <c r="B857" s="279" t="s">
        <v>66</v>
      </c>
      <c r="C857" s="282">
        <v>44409</v>
      </c>
      <c r="D857" s="282">
        <v>44439</v>
      </c>
      <c r="E857" s="270" t="s">
        <v>300</v>
      </c>
      <c r="F857" s="133" t="s">
        <v>49</v>
      </c>
      <c r="G857" s="279" t="s">
        <v>61</v>
      </c>
      <c r="H857" s="272" t="s">
        <v>200</v>
      </c>
      <c r="I857" s="280">
        <v>100</v>
      </c>
      <c r="J857" s="279">
        <v>1171</v>
      </c>
      <c r="K857" s="270">
        <f t="shared" si="0"/>
        <v>117100</v>
      </c>
      <c r="L857" s="279">
        <v>27348</v>
      </c>
      <c r="M857" s="279">
        <v>-11400</v>
      </c>
      <c r="N857" s="281">
        <v>3890</v>
      </c>
      <c r="O857" s="55"/>
      <c r="P857" s="105">
        <v>3890</v>
      </c>
      <c r="Q857" s="279">
        <v>-5248</v>
      </c>
      <c r="R857" s="275">
        <v>-2.934E-3</v>
      </c>
      <c r="S857" s="279">
        <v>-5592</v>
      </c>
      <c r="T857" s="279">
        <v>-1702</v>
      </c>
      <c r="U857" s="57">
        <v>1</v>
      </c>
      <c r="V857" s="276">
        <v>0.15</v>
      </c>
      <c r="W857" s="276">
        <v>0.1</v>
      </c>
      <c r="X857" s="279">
        <v>-1277</v>
      </c>
      <c r="Y857" s="279">
        <v>-426</v>
      </c>
      <c r="Z857" s="45" t="b">
        <v>1</v>
      </c>
      <c r="AA857" s="45" t="s">
        <v>50</v>
      </c>
      <c r="AB857" s="45" t="s">
        <v>50</v>
      </c>
    </row>
    <row r="858" spans="1:28" x14ac:dyDescent="0.2">
      <c r="A858" s="96" t="s">
        <v>286</v>
      </c>
      <c r="B858" s="96" t="s">
        <v>286</v>
      </c>
      <c r="C858" s="277">
        <v>44429</v>
      </c>
      <c r="D858" s="277">
        <v>44459</v>
      </c>
      <c r="E858" s="270" t="s">
        <v>267</v>
      </c>
      <c r="F858" s="133" t="s">
        <v>34</v>
      </c>
      <c r="G858" s="96" t="s">
        <v>35</v>
      </c>
      <c r="H858" s="272" t="s">
        <v>90</v>
      </c>
      <c r="I858" s="273">
        <v>5</v>
      </c>
      <c r="J858" s="270">
        <v>7</v>
      </c>
      <c r="K858" s="270">
        <f t="shared" si="0"/>
        <v>35</v>
      </c>
      <c r="L858" s="270">
        <v>655</v>
      </c>
      <c r="M858" s="270">
        <v>15</v>
      </c>
      <c r="N858" s="274">
        <v>1</v>
      </c>
      <c r="O858" s="55"/>
      <c r="P858" s="45">
        <v>1</v>
      </c>
      <c r="Q858" s="270">
        <v>7</v>
      </c>
      <c r="R858" s="275">
        <v>-1.5E-3</v>
      </c>
      <c r="S858" s="270">
        <v>7</v>
      </c>
      <c r="T858" s="270">
        <v>8</v>
      </c>
      <c r="U858" s="57">
        <v>1</v>
      </c>
      <c r="V858" s="276">
        <v>0.15</v>
      </c>
      <c r="W858" s="276">
        <v>0</v>
      </c>
      <c r="X858" s="270">
        <v>7</v>
      </c>
      <c r="Y858" s="270">
        <v>1</v>
      </c>
      <c r="Z858" s="45" t="b">
        <v>1</v>
      </c>
      <c r="AA858" s="45" t="s">
        <v>38</v>
      </c>
      <c r="AB858" s="45" t="s">
        <v>38</v>
      </c>
    </row>
    <row r="859" spans="1:28" x14ac:dyDescent="0.2">
      <c r="A859" s="96" t="s">
        <v>286</v>
      </c>
      <c r="B859" s="96" t="s">
        <v>286</v>
      </c>
      <c r="C859" s="277">
        <v>44429</v>
      </c>
      <c r="D859" s="277">
        <v>44459</v>
      </c>
      <c r="E859" s="270" t="s">
        <v>267</v>
      </c>
      <c r="F859" s="133" t="s">
        <v>34</v>
      </c>
      <c r="G859" s="96" t="s">
        <v>35</v>
      </c>
      <c r="H859" s="272" t="s">
        <v>40</v>
      </c>
      <c r="I859" s="273">
        <v>10</v>
      </c>
      <c r="J859" s="270">
        <v>108</v>
      </c>
      <c r="K859" s="270">
        <f t="shared" si="0"/>
        <v>1080</v>
      </c>
      <c r="L859" s="270">
        <v>7926</v>
      </c>
      <c r="M859" s="270">
        <v>0</v>
      </c>
      <c r="N859" s="274">
        <v>26</v>
      </c>
      <c r="O859" s="55"/>
      <c r="P859" s="45">
        <v>26</v>
      </c>
      <c r="Q859" s="270">
        <v>65</v>
      </c>
      <c r="R859" s="275">
        <v>-1.5E-3</v>
      </c>
      <c r="S859" s="270">
        <v>64</v>
      </c>
      <c r="T859" s="270">
        <v>90</v>
      </c>
      <c r="U859" s="57">
        <v>1</v>
      </c>
      <c r="V859" s="276">
        <v>0.15</v>
      </c>
      <c r="W859" s="276">
        <v>0</v>
      </c>
      <c r="X859" s="270">
        <v>76</v>
      </c>
      <c r="Y859" s="270">
        <v>13</v>
      </c>
      <c r="Z859" s="45" t="b">
        <v>1</v>
      </c>
      <c r="AA859" s="45" t="s">
        <v>38</v>
      </c>
      <c r="AB859" s="45" t="s">
        <v>38</v>
      </c>
    </row>
    <row r="860" spans="1:28" x14ac:dyDescent="0.2">
      <c r="A860" s="96" t="s">
        <v>286</v>
      </c>
      <c r="B860" s="96" t="s">
        <v>286</v>
      </c>
      <c r="C860" s="277">
        <v>44429</v>
      </c>
      <c r="D860" s="277">
        <v>44459</v>
      </c>
      <c r="E860" s="270" t="s">
        <v>267</v>
      </c>
      <c r="F860" s="133" t="s">
        <v>34</v>
      </c>
      <c r="G860" s="96" t="s">
        <v>35</v>
      </c>
      <c r="H860" s="272" t="s">
        <v>46</v>
      </c>
      <c r="I860" s="273">
        <v>25</v>
      </c>
      <c r="J860" s="270">
        <v>294</v>
      </c>
      <c r="K860" s="270">
        <f t="shared" si="0"/>
        <v>7350</v>
      </c>
      <c r="L860" s="270">
        <v>17553</v>
      </c>
      <c r="M860" s="270">
        <v>1675</v>
      </c>
      <c r="N860" s="274">
        <v>152</v>
      </c>
      <c r="O860" s="55"/>
      <c r="P860" s="45">
        <v>152</v>
      </c>
      <c r="Q860" s="270">
        <v>343</v>
      </c>
      <c r="R860" s="275">
        <v>-1.5E-3</v>
      </c>
      <c r="S860" s="270">
        <v>332</v>
      </c>
      <c r="T860" s="270">
        <v>484</v>
      </c>
      <c r="U860" s="57">
        <v>1</v>
      </c>
      <c r="V860" s="276">
        <v>0.15</v>
      </c>
      <c r="W860" s="276">
        <v>0</v>
      </c>
      <c r="X860" s="270">
        <v>412</v>
      </c>
      <c r="Y860" s="270">
        <v>73</v>
      </c>
      <c r="Z860" s="45" t="b">
        <v>1</v>
      </c>
      <c r="AA860" s="45" t="s">
        <v>38</v>
      </c>
      <c r="AB860" s="45" t="s">
        <v>38</v>
      </c>
    </row>
    <row r="861" spans="1:28" x14ac:dyDescent="0.2">
      <c r="A861" s="96" t="s">
        <v>82</v>
      </c>
      <c r="B861" s="96" t="s">
        <v>82</v>
      </c>
      <c r="C861" s="277">
        <v>44429</v>
      </c>
      <c r="D861" s="277">
        <v>44459</v>
      </c>
      <c r="E861" s="270" t="s">
        <v>300</v>
      </c>
      <c r="F861" s="133" t="s">
        <v>34</v>
      </c>
      <c r="G861" s="96" t="s">
        <v>35</v>
      </c>
      <c r="H861" s="272" t="s">
        <v>40</v>
      </c>
      <c r="I861" s="273">
        <v>10</v>
      </c>
      <c r="J861" s="270">
        <v>1</v>
      </c>
      <c r="K861" s="270">
        <f t="shared" si="0"/>
        <v>10</v>
      </c>
      <c r="L861" s="270">
        <v>0</v>
      </c>
      <c r="M861" s="270">
        <v>-10</v>
      </c>
      <c r="N861" s="274"/>
      <c r="O861" s="55"/>
      <c r="P861" s="96"/>
      <c r="Q861" s="270">
        <v>-1</v>
      </c>
      <c r="R861" s="275">
        <v>-2.1299999999999999E-3</v>
      </c>
      <c r="S861" s="270">
        <v>-1</v>
      </c>
      <c r="T861" s="270">
        <v>-1</v>
      </c>
      <c r="U861" s="57">
        <v>1</v>
      </c>
      <c r="V861" s="276">
        <v>0.15</v>
      </c>
      <c r="W861" s="276">
        <v>0.05</v>
      </c>
      <c r="X861" s="270">
        <v>-1</v>
      </c>
      <c r="Y861" s="270">
        <v>0</v>
      </c>
      <c r="Z861" s="45" t="b">
        <v>1</v>
      </c>
      <c r="AA861" s="45" t="s">
        <v>38</v>
      </c>
      <c r="AB861" s="45" t="s">
        <v>38</v>
      </c>
    </row>
    <row r="862" spans="1:28" x14ac:dyDescent="0.2">
      <c r="A862" s="96" t="s">
        <v>82</v>
      </c>
      <c r="B862" s="96" t="s">
        <v>82</v>
      </c>
      <c r="C862" s="277">
        <v>44429</v>
      </c>
      <c r="D862" s="277">
        <v>44459</v>
      </c>
      <c r="E862" s="270" t="s">
        <v>300</v>
      </c>
      <c r="F862" s="133" t="s">
        <v>34</v>
      </c>
      <c r="G862" s="96" t="s">
        <v>35</v>
      </c>
      <c r="H862" s="272" t="s">
        <v>46</v>
      </c>
      <c r="I862" s="273">
        <v>25</v>
      </c>
      <c r="J862" s="270">
        <v>6</v>
      </c>
      <c r="K862" s="270">
        <f t="shared" si="0"/>
        <v>150</v>
      </c>
      <c r="L862" s="270">
        <v>-353</v>
      </c>
      <c r="M862" s="270">
        <v>-25</v>
      </c>
      <c r="N862" s="274">
        <v>5</v>
      </c>
      <c r="O862" s="55"/>
      <c r="P862" s="45">
        <v>5</v>
      </c>
      <c r="Q862" s="270">
        <v>-26</v>
      </c>
      <c r="R862" s="275">
        <v>-2.1299999999999999E-3</v>
      </c>
      <c r="S862" s="270">
        <v>-26</v>
      </c>
      <c r="T862" s="270">
        <v>-21</v>
      </c>
      <c r="U862" s="57">
        <v>1</v>
      </c>
      <c r="V862" s="276">
        <v>0.15</v>
      </c>
      <c r="W862" s="276">
        <v>0.05</v>
      </c>
      <c r="X862" s="270">
        <v>-17</v>
      </c>
      <c r="Y862" s="270">
        <v>-4</v>
      </c>
      <c r="Z862" s="45" t="b">
        <v>1</v>
      </c>
      <c r="AA862" s="45" t="s">
        <v>38</v>
      </c>
      <c r="AB862" s="45" t="s">
        <v>38</v>
      </c>
    </row>
    <row r="863" spans="1:28" x14ac:dyDescent="0.2">
      <c r="A863" s="96" t="s">
        <v>82</v>
      </c>
      <c r="B863" s="96" t="s">
        <v>82</v>
      </c>
      <c r="C863" s="277">
        <v>44429</v>
      </c>
      <c r="D863" s="277">
        <v>44459</v>
      </c>
      <c r="E863" s="270" t="s">
        <v>300</v>
      </c>
      <c r="F863" s="133" t="s">
        <v>34</v>
      </c>
      <c r="G863" s="96" t="s">
        <v>35</v>
      </c>
      <c r="H863" s="272" t="s">
        <v>72</v>
      </c>
      <c r="I863" s="273">
        <v>50</v>
      </c>
      <c r="J863" s="270">
        <v>4170</v>
      </c>
      <c r="K863" s="270">
        <f t="shared" si="0"/>
        <v>208500</v>
      </c>
      <c r="L863" s="270">
        <v>112484</v>
      </c>
      <c r="M863" s="270">
        <v>-5650</v>
      </c>
      <c r="N863" s="274">
        <v>5926</v>
      </c>
      <c r="O863" s="55"/>
      <c r="P863" s="105">
        <v>5926</v>
      </c>
      <c r="Q863" s="270">
        <v>-3223</v>
      </c>
      <c r="R863" s="275">
        <v>-2.1299999999999999E-3</v>
      </c>
      <c r="S863" s="270">
        <v>-3667</v>
      </c>
      <c r="T863" s="270">
        <v>2259</v>
      </c>
      <c r="U863" s="57">
        <v>1</v>
      </c>
      <c r="V863" s="276">
        <v>0.15</v>
      </c>
      <c r="W863" s="276">
        <v>0.05</v>
      </c>
      <c r="X863" s="270">
        <v>1807</v>
      </c>
      <c r="Y863" s="270">
        <v>452</v>
      </c>
      <c r="Z863" s="45" t="b">
        <v>1</v>
      </c>
      <c r="AA863" s="45" t="s">
        <v>38</v>
      </c>
      <c r="AB863" s="45" t="s">
        <v>38</v>
      </c>
    </row>
    <row r="864" spans="1:28" x14ac:dyDescent="0.2">
      <c r="A864" s="96" t="s">
        <v>154</v>
      </c>
      <c r="B864" s="96" t="s">
        <v>154</v>
      </c>
      <c r="C864" s="282">
        <v>44429</v>
      </c>
      <c r="D864" s="277">
        <v>44459</v>
      </c>
      <c r="E864" s="279" t="s">
        <v>267</v>
      </c>
      <c r="F864" s="133" t="s">
        <v>34</v>
      </c>
      <c r="G864" s="270" t="s">
        <v>35</v>
      </c>
      <c r="H864" s="272" t="s">
        <v>40</v>
      </c>
      <c r="I864" s="273">
        <v>10</v>
      </c>
      <c r="J864" s="270">
        <v>65</v>
      </c>
      <c r="K864" s="270">
        <f t="shared" si="0"/>
        <v>650</v>
      </c>
      <c r="L864" s="270">
        <v>587</v>
      </c>
      <c r="M864" s="270">
        <v>0</v>
      </c>
      <c r="N864" s="274">
        <v>3</v>
      </c>
      <c r="O864" s="55"/>
      <c r="P864" s="45">
        <v>3</v>
      </c>
      <c r="Q864" s="270">
        <v>-37</v>
      </c>
      <c r="R864" s="275">
        <v>-2.1299999999999999E-3</v>
      </c>
      <c r="S864" s="270">
        <v>-39</v>
      </c>
      <c r="T864" s="270">
        <v>-36</v>
      </c>
      <c r="U864" s="57">
        <v>1</v>
      </c>
      <c r="V864" s="276">
        <v>0.2</v>
      </c>
      <c r="W864" s="276">
        <v>0</v>
      </c>
      <c r="X864" s="270">
        <v>-29</v>
      </c>
      <c r="Y864" s="270">
        <v>-7</v>
      </c>
      <c r="Z864" s="45" t="b">
        <v>1</v>
      </c>
      <c r="AA864" s="45" t="s">
        <v>38</v>
      </c>
      <c r="AB864" s="45" t="s">
        <v>38</v>
      </c>
    </row>
    <row r="865" spans="1:28" x14ac:dyDescent="0.2">
      <c r="A865" s="279" t="s">
        <v>355</v>
      </c>
      <c r="B865" s="279" t="s">
        <v>989</v>
      </c>
      <c r="C865" s="282">
        <v>44429</v>
      </c>
      <c r="D865" s="282">
        <v>44459</v>
      </c>
      <c r="E865" s="279" t="s">
        <v>300</v>
      </c>
      <c r="F865" s="133" t="s">
        <v>34</v>
      </c>
      <c r="G865" s="279" t="s">
        <v>61</v>
      </c>
      <c r="H865" s="272" t="s">
        <v>93</v>
      </c>
      <c r="I865" s="280">
        <v>25</v>
      </c>
      <c r="J865" s="279">
        <v>7</v>
      </c>
      <c r="K865" s="270">
        <f t="shared" si="0"/>
        <v>175</v>
      </c>
      <c r="L865" s="279">
        <v>-1044</v>
      </c>
      <c r="M865" s="279">
        <v>-88</v>
      </c>
      <c r="N865" s="281">
        <v>406.89</v>
      </c>
      <c r="O865" s="55"/>
      <c r="P865" s="45">
        <v>407</v>
      </c>
      <c r="Q865" s="279">
        <v>-63</v>
      </c>
      <c r="R865" s="275">
        <v>-2.1299999999999999E-3</v>
      </c>
      <c r="S865" s="279">
        <v>-63</v>
      </c>
      <c r="T865" s="279">
        <v>344</v>
      </c>
      <c r="U865" s="57">
        <v>1.173</v>
      </c>
      <c r="V865" s="276">
        <v>0.15</v>
      </c>
      <c r="W865" s="276">
        <v>0.05</v>
      </c>
      <c r="X865" s="279">
        <v>323</v>
      </c>
      <c r="Y865" s="279">
        <v>81</v>
      </c>
      <c r="Z865" s="45" t="b">
        <v>1</v>
      </c>
      <c r="AA865" s="45" t="s">
        <v>38</v>
      </c>
      <c r="AB865" s="45" t="s">
        <v>50</v>
      </c>
    </row>
    <row r="866" spans="1:28" x14ac:dyDescent="0.2">
      <c r="A866" s="279" t="s">
        <v>355</v>
      </c>
      <c r="B866" s="279" t="s">
        <v>989</v>
      </c>
      <c r="C866" s="282">
        <v>44429</v>
      </c>
      <c r="D866" s="282">
        <v>44459</v>
      </c>
      <c r="E866" s="279" t="s">
        <v>300</v>
      </c>
      <c r="F866" s="133" t="s">
        <v>34</v>
      </c>
      <c r="G866" s="279" t="s">
        <v>61</v>
      </c>
      <c r="H866" s="272" t="s">
        <v>109</v>
      </c>
      <c r="I866" s="280">
        <v>50</v>
      </c>
      <c r="J866" s="279">
        <v>1993</v>
      </c>
      <c r="K866" s="270">
        <f t="shared" si="0"/>
        <v>99650</v>
      </c>
      <c r="L866" s="279">
        <v>120828</v>
      </c>
      <c r="M866" s="279">
        <v>2757</v>
      </c>
      <c r="N866" s="281">
        <v>3323.11</v>
      </c>
      <c r="O866" s="55"/>
      <c r="P866" s="105">
        <v>3323</v>
      </c>
      <c r="Q866" s="279">
        <v>2295</v>
      </c>
      <c r="R866" s="275">
        <v>-2.1299999999999999E-3</v>
      </c>
      <c r="S866" s="279">
        <v>2083</v>
      </c>
      <c r="T866" s="279">
        <v>5406</v>
      </c>
      <c r="U866" s="57">
        <v>1.173</v>
      </c>
      <c r="V866" s="276">
        <v>0.15</v>
      </c>
      <c r="W866" s="276">
        <v>0.05</v>
      </c>
      <c r="X866" s="279">
        <v>5073</v>
      </c>
      <c r="Y866" s="279">
        <v>1268</v>
      </c>
      <c r="Z866" s="45" t="b">
        <v>1</v>
      </c>
      <c r="AA866" s="45" t="s">
        <v>38</v>
      </c>
      <c r="AB866" s="45" t="s">
        <v>50</v>
      </c>
    </row>
    <row r="867" spans="1:28" x14ac:dyDescent="0.2">
      <c r="A867" s="279" t="s">
        <v>355</v>
      </c>
      <c r="B867" s="279" t="s">
        <v>989</v>
      </c>
      <c r="C867" s="282">
        <v>44429</v>
      </c>
      <c r="D867" s="282">
        <v>44459</v>
      </c>
      <c r="E867" s="279" t="s">
        <v>300</v>
      </c>
      <c r="F867" s="133" t="s">
        <v>34</v>
      </c>
      <c r="G867" s="279" t="s">
        <v>61</v>
      </c>
      <c r="H867" s="272" t="s">
        <v>200</v>
      </c>
      <c r="I867" s="280">
        <v>100</v>
      </c>
      <c r="J867" s="279">
        <v>768</v>
      </c>
      <c r="K867" s="270">
        <f t="shared" si="0"/>
        <v>76800</v>
      </c>
      <c r="L867" s="279">
        <v>34537</v>
      </c>
      <c r="M867" s="279">
        <v>-1304</v>
      </c>
      <c r="N867" s="281">
        <v>0</v>
      </c>
      <c r="O867" s="55"/>
      <c r="P867" s="45">
        <v>0</v>
      </c>
      <c r="Q867" s="279">
        <v>-420</v>
      </c>
      <c r="R867" s="275">
        <v>-2.1299999999999999E-3</v>
      </c>
      <c r="S867" s="279">
        <v>-584</v>
      </c>
      <c r="T867" s="279">
        <v>-584</v>
      </c>
      <c r="U867" s="57">
        <v>1.173</v>
      </c>
      <c r="V867" s="276">
        <v>0.15</v>
      </c>
      <c r="W867" s="276">
        <v>0.05</v>
      </c>
      <c r="X867" s="279">
        <v>-548</v>
      </c>
      <c r="Y867" s="279">
        <v>-137</v>
      </c>
      <c r="Z867" s="45" t="b">
        <v>1</v>
      </c>
      <c r="AA867" s="45" t="s">
        <v>38</v>
      </c>
      <c r="AB867" s="45" t="s">
        <v>50</v>
      </c>
    </row>
    <row r="868" spans="1:28" x14ac:dyDescent="0.2">
      <c r="A868" s="96" t="s">
        <v>402</v>
      </c>
      <c r="B868" s="96" t="s">
        <v>402</v>
      </c>
      <c r="C868" s="277">
        <v>44429</v>
      </c>
      <c r="D868" s="277">
        <v>44459</v>
      </c>
      <c r="E868" s="270" t="s">
        <v>267</v>
      </c>
      <c r="F868" s="133" t="s">
        <v>34</v>
      </c>
      <c r="G868" s="96" t="s">
        <v>165</v>
      </c>
      <c r="H868" s="272" t="s">
        <v>166</v>
      </c>
      <c r="I868" s="273">
        <v>10</v>
      </c>
      <c r="J868" s="270">
        <v>2521</v>
      </c>
      <c r="K868" s="270">
        <f t="shared" si="0"/>
        <v>25210</v>
      </c>
      <c r="L868" s="270">
        <v>163457</v>
      </c>
      <c r="M868" s="270">
        <v>1750</v>
      </c>
      <c r="N868" s="274"/>
      <c r="O868" s="55"/>
      <c r="P868" s="96"/>
      <c r="Q868" s="270">
        <v>1079</v>
      </c>
      <c r="R868" s="275">
        <v>-2.1299999999999999E-3</v>
      </c>
      <c r="S868" s="270">
        <v>1026</v>
      </c>
      <c r="T868" s="270">
        <v>1026</v>
      </c>
      <c r="U868" s="57">
        <v>1.173</v>
      </c>
      <c r="V868" s="276">
        <v>0.25</v>
      </c>
      <c r="W868" s="276">
        <v>0</v>
      </c>
      <c r="X868" s="270">
        <v>902</v>
      </c>
      <c r="Y868" s="270">
        <v>301</v>
      </c>
      <c r="Z868" s="45" t="b">
        <v>1</v>
      </c>
      <c r="AA868" s="45" t="s">
        <v>38</v>
      </c>
      <c r="AB868" s="45" t="s">
        <v>50</v>
      </c>
    </row>
    <row r="869" spans="1:28" x14ac:dyDescent="0.2">
      <c r="A869" s="279" t="s">
        <v>91</v>
      </c>
      <c r="B869" s="279" t="s">
        <v>91</v>
      </c>
      <c r="C869" s="282">
        <v>44429</v>
      </c>
      <c r="D869" s="282">
        <v>44459</v>
      </c>
      <c r="E869" s="279" t="s">
        <v>267</v>
      </c>
      <c r="F869" s="133" t="s">
        <v>34</v>
      </c>
      <c r="G869" s="279" t="s">
        <v>61</v>
      </c>
      <c r="H869" s="272" t="s">
        <v>93</v>
      </c>
      <c r="I869" s="280">
        <v>25</v>
      </c>
      <c r="J869" s="279">
        <v>371</v>
      </c>
      <c r="K869" s="270">
        <f t="shared" si="0"/>
        <v>9275</v>
      </c>
      <c r="L869" s="279">
        <v>28562</v>
      </c>
      <c r="M869" s="279">
        <v>968</v>
      </c>
      <c r="N869" s="281">
        <v>15</v>
      </c>
      <c r="O869" s="55"/>
      <c r="P869" s="45">
        <v>15</v>
      </c>
      <c r="Q869" s="279">
        <v>490</v>
      </c>
      <c r="R869" s="275">
        <v>-2.1299999999999999E-3</v>
      </c>
      <c r="S869" s="279">
        <v>470</v>
      </c>
      <c r="T869" s="279">
        <v>485</v>
      </c>
      <c r="U869" s="57">
        <v>1</v>
      </c>
      <c r="V869" s="276">
        <v>0.3</v>
      </c>
      <c r="W869" s="276">
        <v>0</v>
      </c>
      <c r="X869" s="279">
        <v>340</v>
      </c>
      <c r="Y869" s="279">
        <v>146</v>
      </c>
      <c r="Z869" s="45" t="b">
        <v>1</v>
      </c>
      <c r="AA869" s="45" t="s">
        <v>50</v>
      </c>
      <c r="AB869" s="45" t="s">
        <v>50</v>
      </c>
    </row>
    <row r="870" spans="1:28" x14ac:dyDescent="0.2">
      <c r="A870" s="96" t="s">
        <v>473</v>
      </c>
      <c r="B870" s="270" t="s">
        <v>120</v>
      </c>
      <c r="C870" s="277">
        <v>44429</v>
      </c>
      <c r="D870" s="277">
        <v>44459</v>
      </c>
      <c r="E870" s="270" t="s">
        <v>267</v>
      </c>
      <c r="F870" s="96" t="s">
        <v>34</v>
      </c>
      <c r="G870" s="270" t="s">
        <v>35</v>
      </c>
      <c r="H870" s="272" t="s">
        <v>39</v>
      </c>
      <c r="I870" s="280">
        <v>5</v>
      </c>
      <c r="J870" s="279">
        <v>1447</v>
      </c>
      <c r="K870" s="270">
        <f t="shared" si="0"/>
        <v>7235</v>
      </c>
      <c r="L870" s="279">
        <v>98596</v>
      </c>
      <c r="M870" s="279">
        <v>10</v>
      </c>
      <c r="N870" s="274">
        <v>5</v>
      </c>
      <c r="O870" s="55"/>
      <c r="P870" s="45">
        <v>5</v>
      </c>
      <c r="Q870" s="279">
        <v>254</v>
      </c>
      <c r="R870" s="275">
        <v>-2.1299999999999999E-3</v>
      </c>
      <c r="S870" s="279">
        <v>238</v>
      </c>
      <c r="T870" s="279">
        <v>243</v>
      </c>
      <c r="U870" s="57">
        <v>1</v>
      </c>
      <c r="V870" s="276">
        <v>0.3</v>
      </c>
      <c r="W870" s="276">
        <v>0</v>
      </c>
      <c r="X870" s="279">
        <v>170</v>
      </c>
      <c r="Y870" s="279">
        <v>73</v>
      </c>
      <c r="Z870" s="45" t="b">
        <v>1</v>
      </c>
      <c r="AA870" s="45" t="s">
        <v>38</v>
      </c>
      <c r="AB870" s="45" t="s">
        <v>38</v>
      </c>
    </row>
    <row r="871" spans="1:28" x14ac:dyDescent="0.2">
      <c r="A871" s="96" t="s">
        <v>473</v>
      </c>
      <c r="B871" s="270" t="s">
        <v>120</v>
      </c>
      <c r="C871" s="277">
        <v>44429</v>
      </c>
      <c r="D871" s="277">
        <v>44459</v>
      </c>
      <c r="E871" s="270" t="s">
        <v>267</v>
      </c>
      <c r="F871" s="96" t="s">
        <v>34</v>
      </c>
      <c r="G871" s="270" t="s">
        <v>35</v>
      </c>
      <c r="H871" s="272" t="s">
        <v>40</v>
      </c>
      <c r="I871" s="280">
        <v>10</v>
      </c>
      <c r="J871" s="279">
        <v>4</v>
      </c>
      <c r="K871" s="270">
        <f t="shared" si="0"/>
        <v>40</v>
      </c>
      <c r="L871" s="279">
        <v>-264</v>
      </c>
      <c r="M871" s="279">
        <v>10</v>
      </c>
      <c r="N871" s="274"/>
      <c r="O871" s="55"/>
      <c r="P871" s="96"/>
      <c r="Q871" s="279">
        <v>-8</v>
      </c>
      <c r="R871" s="275">
        <v>-2.1299999999999999E-3</v>
      </c>
      <c r="S871" s="279">
        <v>-8</v>
      </c>
      <c r="T871" s="279">
        <v>-8</v>
      </c>
      <c r="U871" s="57">
        <v>1</v>
      </c>
      <c r="V871" s="276">
        <v>0.3</v>
      </c>
      <c r="W871" s="276">
        <v>0</v>
      </c>
      <c r="X871" s="279">
        <v>-6</v>
      </c>
      <c r="Y871" s="279">
        <v>-2</v>
      </c>
      <c r="Z871" s="45" t="b">
        <v>1</v>
      </c>
      <c r="AA871" s="45" t="s">
        <v>38</v>
      </c>
      <c r="AB871" s="45" t="s">
        <v>38</v>
      </c>
    </row>
    <row r="872" spans="1:28" x14ac:dyDescent="0.2">
      <c r="A872" s="96" t="s">
        <v>473</v>
      </c>
      <c r="B872" s="270" t="s">
        <v>120</v>
      </c>
      <c r="C872" s="277">
        <v>44429</v>
      </c>
      <c r="D872" s="277">
        <v>44459</v>
      </c>
      <c r="E872" s="270" t="s">
        <v>267</v>
      </c>
      <c r="F872" s="96" t="s">
        <v>34</v>
      </c>
      <c r="G872" s="270" t="s">
        <v>35</v>
      </c>
      <c r="H872" s="272" t="s">
        <v>36</v>
      </c>
      <c r="I872" s="273">
        <v>2</v>
      </c>
      <c r="J872" s="270">
        <v>13</v>
      </c>
      <c r="K872" s="270">
        <f t="shared" si="0"/>
        <v>26</v>
      </c>
      <c r="L872" s="270"/>
      <c r="M872" s="270">
        <v>-12</v>
      </c>
      <c r="N872" s="274"/>
      <c r="O872" s="55"/>
      <c r="P872" s="96"/>
      <c r="Q872" s="270"/>
      <c r="R872" s="275">
        <v>0</v>
      </c>
      <c r="S872" s="270"/>
      <c r="T872" s="270"/>
      <c r="U872" s="57">
        <v>1</v>
      </c>
      <c r="V872" s="276">
        <v>0.3</v>
      </c>
      <c r="W872" s="276">
        <v>0</v>
      </c>
      <c r="X872" s="270"/>
      <c r="Y872" s="270"/>
      <c r="Z872" s="45" t="b">
        <v>1</v>
      </c>
      <c r="AA872" s="45" t="s">
        <v>38</v>
      </c>
      <c r="AB872" s="45" t="s">
        <v>38</v>
      </c>
    </row>
    <row r="873" spans="1:28" x14ac:dyDescent="0.2">
      <c r="A873" s="279" t="s">
        <v>178</v>
      </c>
      <c r="B873" s="279" t="s">
        <v>922</v>
      </c>
      <c r="C873" s="282">
        <v>44429</v>
      </c>
      <c r="D873" s="282">
        <v>44459</v>
      </c>
      <c r="E873" s="279" t="s">
        <v>267</v>
      </c>
      <c r="F873" s="133" t="s">
        <v>34</v>
      </c>
      <c r="G873" s="279" t="s">
        <v>61</v>
      </c>
      <c r="H873" s="272" t="s">
        <v>980</v>
      </c>
      <c r="I873" s="280">
        <v>5</v>
      </c>
      <c r="J873" s="279">
        <v>159</v>
      </c>
      <c r="K873" s="270">
        <f t="shared" si="0"/>
        <v>795</v>
      </c>
      <c r="L873" s="279">
        <v>19170</v>
      </c>
      <c r="M873" s="279">
        <v>164</v>
      </c>
      <c r="N873" s="281">
        <v>271.97000000000003</v>
      </c>
      <c r="O873" s="55"/>
      <c r="P873" s="45">
        <v>272</v>
      </c>
      <c r="Q873" s="279">
        <v>105</v>
      </c>
      <c r="R873" s="275">
        <v>-2.1299999999999999E-3</v>
      </c>
      <c r="S873" s="279">
        <v>103</v>
      </c>
      <c r="T873" s="279">
        <v>375</v>
      </c>
      <c r="U873" s="57">
        <v>1</v>
      </c>
      <c r="V873" s="276">
        <v>0.2</v>
      </c>
      <c r="W873" s="276">
        <v>0</v>
      </c>
      <c r="X873" s="279">
        <v>300</v>
      </c>
      <c r="Y873" s="279">
        <v>75</v>
      </c>
      <c r="Z873" s="45" t="b">
        <v>1</v>
      </c>
      <c r="AA873" s="45" t="s">
        <v>50</v>
      </c>
      <c r="AB873" s="45" t="s">
        <v>50</v>
      </c>
    </row>
    <row r="874" spans="1:28" x14ac:dyDescent="0.2">
      <c r="A874" s="279" t="s">
        <v>178</v>
      </c>
      <c r="B874" s="279" t="s">
        <v>922</v>
      </c>
      <c r="C874" s="282">
        <v>44429</v>
      </c>
      <c r="D874" s="282">
        <v>44459</v>
      </c>
      <c r="E874" s="279" t="s">
        <v>267</v>
      </c>
      <c r="F874" s="133" t="s">
        <v>34</v>
      </c>
      <c r="G874" s="279" t="s">
        <v>61</v>
      </c>
      <c r="H874" s="272" t="s">
        <v>63</v>
      </c>
      <c r="I874" s="280">
        <v>10</v>
      </c>
      <c r="J874" s="279">
        <v>979</v>
      </c>
      <c r="K874" s="270">
        <f t="shared" si="0"/>
        <v>9790</v>
      </c>
      <c r="L874" s="279">
        <v>85841</v>
      </c>
      <c r="M874" s="279">
        <v>575</v>
      </c>
      <c r="N874" s="281">
        <v>48.03</v>
      </c>
      <c r="O874" s="55"/>
      <c r="P874" s="45">
        <v>48</v>
      </c>
      <c r="Q874" s="279">
        <v>708</v>
      </c>
      <c r="R874" s="275">
        <v>-2.1299999999999999E-3</v>
      </c>
      <c r="S874" s="279">
        <v>687</v>
      </c>
      <c r="T874" s="279">
        <v>735</v>
      </c>
      <c r="U874" s="57">
        <v>1</v>
      </c>
      <c r="V874" s="276">
        <v>0.2</v>
      </c>
      <c r="W874" s="276">
        <v>0</v>
      </c>
      <c r="X874" s="279">
        <v>588</v>
      </c>
      <c r="Y874" s="279">
        <v>147</v>
      </c>
      <c r="Z874" s="45" t="b">
        <v>1</v>
      </c>
      <c r="AA874" s="45" t="s">
        <v>50</v>
      </c>
      <c r="AB874" s="45" t="s">
        <v>50</v>
      </c>
    </row>
    <row r="875" spans="1:28" x14ac:dyDescent="0.2">
      <c r="A875" s="96" t="s">
        <v>508</v>
      </c>
      <c r="B875" s="96" t="s">
        <v>185</v>
      </c>
      <c r="C875" s="277">
        <v>44429</v>
      </c>
      <c r="D875" s="277">
        <v>44459</v>
      </c>
      <c r="E875" s="270" t="s">
        <v>300</v>
      </c>
      <c r="F875" s="133" t="s">
        <v>34</v>
      </c>
      <c r="G875" s="270" t="s">
        <v>80</v>
      </c>
      <c r="H875" s="272" t="s">
        <v>72</v>
      </c>
      <c r="I875" s="273">
        <v>50</v>
      </c>
      <c r="J875" s="270">
        <v>114</v>
      </c>
      <c r="K875" s="270">
        <f t="shared" si="0"/>
        <v>5700</v>
      </c>
      <c r="L875" s="270">
        <v>3008</v>
      </c>
      <c r="M875" s="270">
        <v>150</v>
      </c>
      <c r="N875" s="274">
        <v>371.32</v>
      </c>
      <c r="O875" s="55"/>
      <c r="P875" s="45">
        <v>371</v>
      </c>
      <c r="Q875" s="270">
        <v>15</v>
      </c>
      <c r="R875" s="275">
        <v>-2.1299999999999999E-3</v>
      </c>
      <c r="S875" s="270">
        <v>3</v>
      </c>
      <c r="T875" s="270">
        <v>374</v>
      </c>
      <c r="U875" s="57">
        <v>1</v>
      </c>
      <c r="V875" s="276">
        <v>0.12</v>
      </c>
      <c r="W875" s="276">
        <v>0.04</v>
      </c>
      <c r="X875" s="270">
        <v>314</v>
      </c>
      <c r="Y875" s="270">
        <v>60</v>
      </c>
      <c r="Z875" s="45" t="b">
        <v>1</v>
      </c>
      <c r="AA875" s="45" t="s">
        <v>38</v>
      </c>
      <c r="AB875" s="45" t="s">
        <v>38</v>
      </c>
    </row>
    <row r="876" spans="1:28" x14ac:dyDescent="0.2">
      <c r="A876" s="96" t="s">
        <v>508</v>
      </c>
      <c r="B876" s="96" t="s">
        <v>185</v>
      </c>
      <c r="C876" s="277">
        <v>44429</v>
      </c>
      <c r="D876" s="277">
        <v>44459</v>
      </c>
      <c r="E876" s="270" t="s">
        <v>300</v>
      </c>
      <c r="F876" s="133" t="s">
        <v>34</v>
      </c>
      <c r="G876" s="270" t="s">
        <v>80</v>
      </c>
      <c r="H876" s="272" t="s">
        <v>70</v>
      </c>
      <c r="I876" s="273">
        <v>100</v>
      </c>
      <c r="J876" s="270">
        <v>10399</v>
      </c>
      <c r="K876" s="270">
        <f t="shared" si="0"/>
        <v>1039900</v>
      </c>
      <c r="L876" s="270">
        <v>81089</v>
      </c>
      <c r="M876" s="270">
        <v>-41500</v>
      </c>
      <c r="N876" s="274">
        <v>67743.679999999993</v>
      </c>
      <c r="O876" s="55"/>
      <c r="P876" s="105">
        <v>67744</v>
      </c>
      <c r="Q876" s="270">
        <v>-52905</v>
      </c>
      <c r="R876" s="275">
        <v>-2.1299999999999999E-3</v>
      </c>
      <c r="S876" s="270">
        <v>-55120</v>
      </c>
      <c r="T876" s="270">
        <v>12624</v>
      </c>
      <c r="U876" s="57">
        <v>1</v>
      </c>
      <c r="V876" s="276">
        <v>0.12</v>
      </c>
      <c r="W876" s="276">
        <v>0.04</v>
      </c>
      <c r="X876" s="270">
        <v>10604</v>
      </c>
      <c r="Y876" s="270">
        <v>2020</v>
      </c>
      <c r="Z876" s="45" t="b">
        <v>1</v>
      </c>
      <c r="AA876" s="45" t="s">
        <v>38</v>
      </c>
      <c r="AB876" s="45" t="s">
        <v>38</v>
      </c>
    </row>
    <row r="877" spans="1:28" x14ac:dyDescent="0.2">
      <c r="A877" s="96" t="s">
        <v>113</v>
      </c>
      <c r="B877" s="96" t="s">
        <v>113</v>
      </c>
      <c r="C877" s="277">
        <v>44429</v>
      </c>
      <c r="D877" s="277">
        <v>44459</v>
      </c>
      <c r="E877" s="270" t="s">
        <v>267</v>
      </c>
      <c r="F877" s="133" t="s">
        <v>34</v>
      </c>
      <c r="G877" s="96" t="s">
        <v>35</v>
      </c>
      <c r="H877" s="272" t="s">
        <v>39</v>
      </c>
      <c r="I877" s="273">
        <v>5</v>
      </c>
      <c r="J877" s="270">
        <v>2</v>
      </c>
      <c r="K877" s="270">
        <f t="shared" si="0"/>
        <v>10</v>
      </c>
      <c r="L877" s="270">
        <v>-159</v>
      </c>
      <c r="M877" s="270">
        <v>-10</v>
      </c>
      <c r="N877" s="274"/>
      <c r="O877" s="55"/>
      <c r="P877" s="96"/>
      <c r="Q877" s="270">
        <v>-2</v>
      </c>
      <c r="R877" s="275">
        <v>-2.1299999999999999E-3</v>
      </c>
      <c r="S877" s="270">
        <v>-2</v>
      </c>
      <c r="T877" s="270">
        <v>-2</v>
      </c>
      <c r="U877" s="57">
        <v>1</v>
      </c>
      <c r="V877" s="276">
        <v>0.3</v>
      </c>
      <c r="W877" s="276">
        <v>0</v>
      </c>
      <c r="X877" s="270">
        <v>-2</v>
      </c>
      <c r="Y877" s="270">
        <v>-1</v>
      </c>
      <c r="Z877" s="45" t="b">
        <v>1</v>
      </c>
      <c r="AA877" s="45" t="s">
        <v>38</v>
      </c>
      <c r="AB877" s="45" t="s">
        <v>38</v>
      </c>
    </row>
    <row r="878" spans="1:28" x14ac:dyDescent="0.2">
      <c r="A878" s="96" t="s">
        <v>113</v>
      </c>
      <c r="B878" s="96" t="s">
        <v>113</v>
      </c>
      <c r="C878" s="277">
        <v>44429</v>
      </c>
      <c r="D878" s="277">
        <v>44459</v>
      </c>
      <c r="E878" s="270" t="s">
        <v>267</v>
      </c>
      <c r="F878" s="133" t="s">
        <v>34</v>
      </c>
      <c r="G878" s="96" t="s">
        <v>35</v>
      </c>
      <c r="H878" s="272" t="s">
        <v>40</v>
      </c>
      <c r="I878" s="273">
        <v>10</v>
      </c>
      <c r="J878" s="270">
        <v>1549</v>
      </c>
      <c r="K878" s="270">
        <f t="shared" si="0"/>
        <v>15490</v>
      </c>
      <c r="L878" s="270">
        <v>41218</v>
      </c>
      <c r="M878" s="270">
        <v>-480</v>
      </c>
      <c r="N878" s="274">
        <v>211</v>
      </c>
      <c r="O878" s="55"/>
      <c r="P878" s="45">
        <v>211</v>
      </c>
      <c r="Q878" s="270">
        <v>-390</v>
      </c>
      <c r="R878" s="275">
        <v>-2.1299999999999999E-3</v>
      </c>
      <c r="S878" s="270">
        <v>-423</v>
      </c>
      <c r="T878" s="270">
        <v>-212</v>
      </c>
      <c r="U878" s="57">
        <v>1</v>
      </c>
      <c r="V878" s="276">
        <v>0.3</v>
      </c>
      <c r="W878" s="276">
        <v>0</v>
      </c>
      <c r="X878" s="270">
        <v>-149</v>
      </c>
      <c r="Y878" s="270">
        <v>-64</v>
      </c>
      <c r="Z878" s="45" t="b">
        <v>1</v>
      </c>
      <c r="AA878" s="45" t="s">
        <v>38</v>
      </c>
      <c r="AB878" s="45" t="s">
        <v>38</v>
      </c>
    </row>
    <row r="879" spans="1:28" x14ac:dyDescent="0.2">
      <c r="A879" s="96" t="s">
        <v>191</v>
      </c>
      <c r="B879" s="96" t="s">
        <v>193</v>
      </c>
      <c r="C879" s="277">
        <v>44429</v>
      </c>
      <c r="D879" s="277">
        <v>44459</v>
      </c>
      <c r="E879" s="270" t="s">
        <v>267</v>
      </c>
      <c r="F879" s="133" t="s">
        <v>34</v>
      </c>
      <c r="G879" s="96" t="s">
        <v>80</v>
      </c>
      <c r="H879" s="272" t="s">
        <v>86</v>
      </c>
      <c r="I879" s="273">
        <v>5</v>
      </c>
      <c r="J879" s="270">
        <v>15333</v>
      </c>
      <c r="K879" s="270">
        <f t="shared" si="0"/>
        <v>76665</v>
      </c>
      <c r="L879" s="270">
        <v>252465</v>
      </c>
      <c r="M879" s="270">
        <v>-920</v>
      </c>
      <c r="N879" s="274">
        <f>1732+1406+326*5</f>
        <v>4768</v>
      </c>
      <c r="O879" s="55"/>
      <c r="P879" s="105">
        <v>4768</v>
      </c>
      <c r="Q879" s="270">
        <v>-1991</v>
      </c>
      <c r="R879" s="275">
        <v>-2.1299999999999999E-3</v>
      </c>
      <c r="S879" s="270">
        <v>-2154</v>
      </c>
      <c r="T879" s="270">
        <v>2614</v>
      </c>
      <c r="U879" s="57">
        <v>1</v>
      </c>
      <c r="V879" s="276">
        <v>0.22</v>
      </c>
      <c r="W879" s="276">
        <v>0</v>
      </c>
      <c r="X879" s="270">
        <v>2039</v>
      </c>
      <c r="Y879" s="270">
        <v>575</v>
      </c>
      <c r="Z879" s="45" t="b">
        <v>1</v>
      </c>
      <c r="AA879" s="45" t="s">
        <v>38</v>
      </c>
      <c r="AB879" s="45" t="s">
        <v>38</v>
      </c>
    </row>
    <row r="880" spans="1:28" x14ac:dyDescent="0.2">
      <c r="A880" s="279" t="s">
        <v>145</v>
      </c>
      <c r="B880" s="279" t="s">
        <v>901</v>
      </c>
      <c r="C880" s="282">
        <v>44440</v>
      </c>
      <c r="D880" s="282">
        <v>44469</v>
      </c>
      <c r="E880" s="279" t="s">
        <v>300</v>
      </c>
      <c r="F880" s="133" t="s">
        <v>49</v>
      </c>
      <c r="G880" s="279" t="s">
        <v>69</v>
      </c>
      <c r="H880" s="272" t="s">
        <v>70</v>
      </c>
      <c r="I880" s="280">
        <v>100</v>
      </c>
      <c r="J880" s="279">
        <v>3059</v>
      </c>
      <c r="K880" s="270">
        <f t="shared" si="0"/>
        <v>305900</v>
      </c>
      <c r="L880" s="279">
        <v>64591</v>
      </c>
      <c r="M880" s="279">
        <v>-7900</v>
      </c>
      <c r="N880" s="281">
        <v>15292.69</v>
      </c>
      <c r="O880" s="55"/>
      <c r="P880" s="105">
        <v>15293</v>
      </c>
      <c r="Q880" s="279">
        <v>-4305</v>
      </c>
      <c r="R880" s="275">
        <v>-2.081E-3</v>
      </c>
      <c r="S880" s="279">
        <v>-4942</v>
      </c>
      <c r="T880" s="279">
        <v>10351</v>
      </c>
      <c r="U880" s="57">
        <v>1</v>
      </c>
      <c r="V880" s="276">
        <v>0.12</v>
      </c>
      <c r="W880" s="276">
        <v>0</v>
      </c>
      <c r="X880" s="279">
        <v>9109</v>
      </c>
      <c r="Y880" s="279">
        <v>1242</v>
      </c>
      <c r="Z880" s="45" t="b">
        <v>1</v>
      </c>
      <c r="AA880" s="45" t="s">
        <v>38</v>
      </c>
      <c r="AB880" s="45" t="s">
        <v>38</v>
      </c>
    </row>
    <row r="881" spans="1:28" x14ac:dyDescent="0.2">
      <c r="A881" s="279" t="s">
        <v>145</v>
      </c>
      <c r="B881" s="279" t="s">
        <v>901</v>
      </c>
      <c r="C881" s="282">
        <v>44440</v>
      </c>
      <c r="D881" s="282">
        <v>44469</v>
      </c>
      <c r="E881" s="279" t="s">
        <v>300</v>
      </c>
      <c r="F881" s="133" t="s">
        <v>49</v>
      </c>
      <c r="G881" s="279" t="s">
        <v>69</v>
      </c>
      <c r="H881" s="272" t="s">
        <v>88</v>
      </c>
      <c r="I881" s="280">
        <v>250</v>
      </c>
      <c r="J881" s="279">
        <v>456</v>
      </c>
      <c r="K881" s="270">
        <f t="shared" si="0"/>
        <v>114000</v>
      </c>
      <c r="L881" s="279">
        <v>827</v>
      </c>
      <c r="M881" s="279">
        <v>250</v>
      </c>
      <c r="N881" s="281">
        <v>52.31</v>
      </c>
      <c r="O881" s="55"/>
      <c r="P881" s="45">
        <v>52</v>
      </c>
      <c r="Q881" s="279">
        <v>-4347</v>
      </c>
      <c r="R881" s="275">
        <v>-2.029E-3</v>
      </c>
      <c r="S881" s="279">
        <v>-4578</v>
      </c>
      <c r="T881" s="279">
        <v>-4526</v>
      </c>
      <c r="U881" s="57">
        <v>1</v>
      </c>
      <c r="V881" s="276">
        <v>0.12</v>
      </c>
      <c r="W881" s="276">
        <v>0</v>
      </c>
      <c r="X881" s="279">
        <v>-3983</v>
      </c>
      <c r="Y881" s="279">
        <v>-543</v>
      </c>
      <c r="Z881" s="45" t="b">
        <v>1</v>
      </c>
      <c r="AA881" s="45" t="s">
        <v>38</v>
      </c>
      <c r="AB881" s="45" t="s">
        <v>38</v>
      </c>
    </row>
    <row r="882" spans="1:28" x14ac:dyDescent="0.2">
      <c r="A882" s="279" t="s">
        <v>145</v>
      </c>
      <c r="B882" s="279" t="s">
        <v>901</v>
      </c>
      <c r="C882" s="282">
        <v>44440</v>
      </c>
      <c r="D882" s="282">
        <v>44469</v>
      </c>
      <c r="E882" s="279" t="s">
        <v>300</v>
      </c>
      <c r="F882" s="133" t="s">
        <v>49</v>
      </c>
      <c r="G882" s="279" t="s">
        <v>69</v>
      </c>
      <c r="H882" s="272" t="s">
        <v>72</v>
      </c>
      <c r="I882" s="280">
        <v>50</v>
      </c>
      <c r="J882" s="279">
        <v>149</v>
      </c>
      <c r="K882" s="270">
        <f t="shared" si="0"/>
        <v>7450</v>
      </c>
      <c r="L882" s="279">
        <v>-3020</v>
      </c>
      <c r="M882" s="279">
        <v>-1700</v>
      </c>
      <c r="N882" s="281">
        <v>0</v>
      </c>
      <c r="O882" s="55"/>
      <c r="P882" s="45">
        <v>0</v>
      </c>
      <c r="Q882" s="279">
        <v>-688</v>
      </c>
      <c r="R882" s="275">
        <v>-1.9350000000000001E-3</v>
      </c>
      <c r="S882" s="279">
        <v>-702</v>
      </c>
      <c r="T882" s="279">
        <v>-702</v>
      </c>
      <c r="U882" s="57">
        <v>1</v>
      </c>
      <c r="V882" s="276">
        <v>0.12</v>
      </c>
      <c r="W882" s="276">
        <v>0</v>
      </c>
      <c r="X882" s="279">
        <v>-618</v>
      </c>
      <c r="Y882" s="279">
        <v>-84</v>
      </c>
      <c r="Z882" s="45" t="b">
        <v>1</v>
      </c>
      <c r="AA882" s="45" t="s">
        <v>38</v>
      </c>
      <c r="AB882" s="45" t="s">
        <v>38</v>
      </c>
    </row>
    <row r="883" spans="1:28" x14ac:dyDescent="0.2">
      <c r="A883" s="279" t="s">
        <v>447</v>
      </c>
      <c r="B883" s="279" t="s">
        <v>990</v>
      </c>
      <c r="C883" s="282">
        <v>44440</v>
      </c>
      <c r="D883" s="282">
        <v>44469</v>
      </c>
      <c r="E883" s="270" t="s">
        <v>300</v>
      </c>
      <c r="F883" s="133" t="s">
        <v>49</v>
      </c>
      <c r="G883" s="279" t="s">
        <v>61</v>
      </c>
      <c r="H883" s="272" t="s">
        <v>200</v>
      </c>
      <c r="I883" s="280">
        <v>100</v>
      </c>
      <c r="J883" s="279">
        <v>1715</v>
      </c>
      <c r="K883" s="270">
        <f t="shared" si="0"/>
        <v>171500</v>
      </c>
      <c r="L883" s="279">
        <v>90550</v>
      </c>
      <c r="M883" s="279">
        <v>-3800</v>
      </c>
      <c r="N883" s="281">
        <v>5300</v>
      </c>
      <c r="O883" s="55"/>
      <c r="P883" s="105">
        <v>5300</v>
      </c>
      <c r="Q883" s="279">
        <v>1504</v>
      </c>
      <c r="R883" s="275">
        <v>2.4239999999999999E-3</v>
      </c>
      <c r="S883" s="279">
        <v>1920</v>
      </c>
      <c r="T883" s="279">
        <v>7220</v>
      </c>
      <c r="U883" s="57">
        <v>1</v>
      </c>
      <c r="V883" s="276">
        <v>0.15</v>
      </c>
      <c r="W883" s="276">
        <v>0.1</v>
      </c>
      <c r="X883" s="279">
        <v>5415</v>
      </c>
      <c r="Y883" s="279">
        <v>1805</v>
      </c>
      <c r="Z883" s="45" t="b">
        <v>1</v>
      </c>
      <c r="AA883" s="45" t="s">
        <v>50</v>
      </c>
      <c r="AB883" s="45" t="s">
        <v>50</v>
      </c>
    </row>
    <row r="884" spans="1:28" x14ac:dyDescent="0.2">
      <c r="A884" s="96" t="s">
        <v>175</v>
      </c>
      <c r="B884" s="96" t="s">
        <v>175</v>
      </c>
      <c r="C884" s="282">
        <v>44440</v>
      </c>
      <c r="D884" s="282">
        <v>44469</v>
      </c>
      <c r="E884" s="279" t="s">
        <v>267</v>
      </c>
      <c r="F884" s="133" t="s">
        <v>49</v>
      </c>
      <c r="G884" s="270" t="s">
        <v>35</v>
      </c>
      <c r="H884" s="272" t="s">
        <v>86</v>
      </c>
      <c r="I884" s="280">
        <v>5</v>
      </c>
      <c r="J884" s="279">
        <v>2</v>
      </c>
      <c r="K884" s="270">
        <f t="shared" si="0"/>
        <v>10</v>
      </c>
      <c r="L884" s="279">
        <v>1286</v>
      </c>
      <c r="M884" s="279">
        <v>15</v>
      </c>
      <c r="N884" s="274"/>
      <c r="O884" s="55"/>
      <c r="P884" s="96"/>
      <c r="Q884" s="279">
        <v>11</v>
      </c>
      <c r="R884" s="275">
        <v>1.5E-3</v>
      </c>
      <c r="S884" s="279">
        <v>11</v>
      </c>
      <c r="T884" s="279">
        <v>11</v>
      </c>
      <c r="U884" s="57">
        <v>1</v>
      </c>
      <c r="V884" s="276">
        <v>0.17</v>
      </c>
      <c r="W884" s="276">
        <v>0</v>
      </c>
      <c r="X884" s="279">
        <v>9</v>
      </c>
      <c r="Y884" s="279">
        <v>2</v>
      </c>
      <c r="Z884" s="45" t="b">
        <v>1</v>
      </c>
      <c r="AA884" s="45" t="s">
        <v>38</v>
      </c>
      <c r="AB884" s="45" t="s">
        <v>38</v>
      </c>
    </row>
    <row r="885" spans="1:28" x14ac:dyDescent="0.2">
      <c r="A885" s="96" t="s">
        <v>175</v>
      </c>
      <c r="B885" s="96" t="s">
        <v>175</v>
      </c>
      <c r="C885" s="282">
        <v>44440</v>
      </c>
      <c r="D885" s="282">
        <v>44469</v>
      </c>
      <c r="E885" s="279" t="s">
        <v>267</v>
      </c>
      <c r="F885" s="133" t="s">
        <v>49</v>
      </c>
      <c r="G885" s="270" t="s">
        <v>35</v>
      </c>
      <c r="H885" s="272" t="s">
        <v>40</v>
      </c>
      <c r="I885" s="280">
        <v>10</v>
      </c>
      <c r="J885" s="279">
        <v>73</v>
      </c>
      <c r="K885" s="270">
        <f t="shared" si="0"/>
        <v>730</v>
      </c>
      <c r="L885" s="279">
        <v>2578</v>
      </c>
      <c r="M885" s="279">
        <v>-50</v>
      </c>
      <c r="N885" s="274">
        <v>30</v>
      </c>
      <c r="O885" s="55"/>
      <c r="P885" s="45">
        <v>30</v>
      </c>
      <c r="Q885" s="279">
        <v>-7</v>
      </c>
      <c r="R885" s="275">
        <v>1.5E-3</v>
      </c>
      <c r="S885" s="279">
        <v>-6</v>
      </c>
      <c r="T885" s="279">
        <v>24</v>
      </c>
      <c r="U885" s="57">
        <v>1</v>
      </c>
      <c r="V885" s="276">
        <v>0.17</v>
      </c>
      <c r="W885" s="276">
        <v>0</v>
      </c>
      <c r="X885" s="279">
        <v>20</v>
      </c>
      <c r="Y885" s="279">
        <v>4</v>
      </c>
      <c r="Z885" s="45" t="b">
        <v>1</v>
      </c>
      <c r="AA885" s="45" t="s">
        <v>38</v>
      </c>
      <c r="AB885" s="45" t="s">
        <v>38</v>
      </c>
    </row>
    <row r="886" spans="1:28" x14ac:dyDescent="0.2">
      <c r="A886" s="96" t="s">
        <v>175</v>
      </c>
      <c r="B886" s="96" t="s">
        <v>175</v>
      </c>
      <c r="C886" s="282">
        <v>44440</v>
      </c>
      <c r="D886" s="282">
        <v>44469</v>
      </c>
      <c r="E886" s="279" t="s">
        <v>267</v>
      </c>
      <c r="F886" s="133" t="s">
        <v>49</v>
      </c>
      <c r="G886" s="270" t="s">
        <v>35</v>
      </c>
      <c r="H886" s="272" t="s">
        <v>46</v>
      </c>
      <c r="I886" s="280">
        <v>25</v>
      </c>
      <c r="J886" s="279">
        <v>2804</v>
      </c>
      <c r="K886" s="270">
        <f t="shared" si="0"/>
        <v>70100</v>
      </c>
      <c r="L886" s="279">
        <v>114152.99999999999</v>
      </c>
      <c r="M886" s="279">
        <v>2925</v>
      </c>
      <c r="N886" s="274">
        <v>2441</v>
      </c>
      <c r="O886" s="55"/>
      <c r="P886" s="105">
        <v>2441</v>
      </c>
      <c r="Q886" s="279">
        <v>827</v>
      </c>
      <c r="R886" s="275">
        <v>1.5E-3</v>
      </c>
      <c r="S886" s="279">
        <v>933</v>
      </c>
      <c r="T886" s="279">
        <v>3374</v>
      </c>
      <c r="U886" s="57">
        <v>1</v>
      </c>
      <c r="V886" s="276">
        <v>0.17</v>
      </c>
      <c r="W886" s="276">
        <v>0</v>
      </c>
      <c r="X886" s="279">
        <v>2800</v>
      </c>
      <c r="Y886" s="279">
        <v>574</v>
      </c>
      <c r="Z886" s="45" t="b">
        <v>1</v>
      </c>
      <c r="AA886" s="45" t="s">
        <v>38</v>
      </c>
      <c r="AB886" s="45" t="s">
        <v>38</v>
      </c>
    </row>
    <row r="887" spans="1:28" x14ac:dyDescent="0.2">
      <c r="A887" s="96" t="s">
        <v>175</v>
      </c>
      <c r="B887" s="96" t="s">
        <v>175</v>
      </c>
      <c r="C887" s="282">
        <v>44440</v>
      </c>
      <c r="D887" s="282">
        <v>44469</v>
      </c>
      <c r="E887" s="279" t="s">
        <v>267</v>
      </c>
      <c r="F887" s="133" t="s">
        <v>49</v>
      </c>
      <c r="G887" s="270" t="s">
        <v>35</v>
      </c>
      <c r="H887" s="272" t="s">
        <v>72</v>
      </c>
      <c r="I887" s="280">
        <v>50</v>
      </c>
      <c r="J887" s="279">
        <v>82</v>
      </c>
      <c r="K887" s="270">
        <f t="shared" si="0"/>
        <v>4100</v>
      </c>
      <c r="L887" s="279">
        <v>-455</v>
      </c>
      <c r="M887" s="279">
        <v>-1150</v>
      </c>
      <c r="N887" s="274">
        <v>143</v>
      </c>
      <c r="O887" s="55"/>
      <c r="P887" s="45">
        <v>143</v>
      </c>
      <c r="Q887" s="279">
        <v>-305</v>
      </c>
      <c r="R887" s="275">
        <v>1.5E-3</v>
      </c>
      <c r="S887" s="279">
        <v>-298</v>
      </c>
      <c r="T887" s="279">
        <v>-155</v>
      </c>
      <c r="U887" s="57">
        <v>1</v>
      </c>
      <c r="V887" s="276">
        <v>0.17</v>
      </c>
      <c r="W887" s="276">
        <v>0</v>
      </c>
      <c r="X887" s="279">
        <v>-129</v>
      </c>
      <c r="Y887" s="279">
        <v>-26</v>
      </c>
      <c r="Z887" s="45" t="b">
        <v>1</v>
      </c>
      <c r="AA887" s="45" t="s">
        <v>38</v>
      </c>
      <c r="AB887" s="45" t="s">
        <v>38</v>
      </c>
    </row>
    <row r="888" spans="1:28" x14ac:dyDescent="0.2">
      <c r="A888" s="96" t="s">
        <v>286</v>
      </c>
      <c r="B888" s="96" t="s">
        <v>286</v>
      </c>
      <c r="C888" s="277">
        <v>44460</v>
      </c>
      <c r="D888" s="277">
        <v>44489</v>
      </c>
      <c r="E888" s="270" t="s">
        <v>267</v>
      </c>
      <c r="F888" s="133" t="s">
        <v>34</v>
      </c>
      <c r="G888" s="96" t="s">
        <v>35</v>
      </c>
      <c r="H888" s="272" t="s">
        <v>40</v>
      </c>
      <c r="I888" s="273">
        <v>10</v>
      </c>
      <c r="J888" s="270">
        <v>251</v>
      </c>
      <c r="K888" s="270">
        <f t="shared" si="0"/>
        <v>2510</v>
      </c>
      <c r="L888" s="270">
        <v>17006</v>
      </c>
      <c r="M888" s="270">
        <v>230</v>
      </c>
      <c r="N888" s="274">
        <v>62</v>
      </c>
      <c r="O888" s="55"/>
      <c r="P888" s="45">
        <v>62</v>
      </c>
      <c r="Q888" s="270">
        <v>122</v>
      </c>
      <c r="R888" s="275">
        <v>-1.5E-3</v>
      </c>
      <c r="S888" s="270">
        <v>118</v>
      </c>
      <c r="T888" s="270">
        <v>180</v>
      </c>
      <c r="U888" s="57">
        <v>1</v>
      </c>
      <c r="V888" s="276">
        <v>0.15</v>
      </c>
      <c r="W888" s="276">
        <v>0</v>
      </c>
      <c r="X888" s="270">
        <v>153</v>
      </c>
      <c r="Y888" s="270">
        <v>27</v>
      </c>
      <c r="Z888" s="45" t="b">
        <v>1</v>
      </c>
      <c r="AA888" s="45" t="s">
        <v>38</v>
      </c>
      <c r="AB888" s="45" t="s">
        <v>38</v>
      </c>
    </row>
    <row r="889" spans="1:28" x14ac:dyDescent="0.2">
      <c r="A889" s="96" t="s">
        <v>286</v>
      </c>
      <c r="B889" s="96" t="s">
        <v>286</v>
      </c>
      <c r="C889" s="277">
        <v>44460</v>
      </c>
      <c r="D889" s="277">
        <v>44489</v>
      </c>
      <c r="E889" s="270" t="s">
        <v>267</v>
      </c>
      <c r="F889" s="133" t="s">
        <v>34</v>
      </c>
      <c r="G889" s="96" t="s">
        <v>35</v>
      </c>
      <c r="H889" s="272" t="s">
        <v>115</v>
      </c>
      <c r="I889" s="273">
        <v>10</v>
      </c>
      <c r="J889" s="270">
        <v>601</v>
      </c>
      <c r="K889" s="270">
        <f t="shared" si="0"/>
        <v>6010</v>
      </c>
      <c r="L889" s="270">
        <v>14065</v>
      </c>
      <c r="M889" s="270">
        <v>-170</v>
      </c>
      <c r="N889" s="274">
        <v>149</v>
      </c>
      <c r="O889" s="55"/>
      <c r="P889" s="45">
        <v>149</v>
      </c>
      <c r="Q889" s="270">
        <v>-15</v>
      </c>
      <c r="R889" s="275">
        <v>-1.5E-3</v>
      </c>
      <c r="S889" s="270">
        <v>-24</v>
      </c>
      <c r="T889" s="270">
        <v>125</v>
      </c>
      <c r="U889" s="57">
        <v>1</v>
      </c>
      <c r="V889" s="276">
        <v>0.15</v>
      </c>
      <c r="W889" s="276">
        <v>0</v>
      </c>
      <c r="X889" s="270">
        <v>106</v>
      </c>
      <c r="Y889" s="270">
        <v>19</v>
      </c>
      <c r="Z889" s="45" t="b">
        <v>1</v>
      </c>
      <c r="AA889" s="45" t="s">
        <v>38</v>
      </c>
      <c r="AB889" s="45" t="s">
        <v>38</v>
      </c>
    </row>
    <row r="890" spans="1:28" x14ac:dyDescent="0.2">
      <c r="A890" s="96" t="s">
        <v>286</v>
      </c>
      <c r="B890" s="96" t="s">
        <v>286</v>
      </c>
      <c r="C890" s="277">
        <v>44460</v>
      </c>
      <c r="D890" s="277">
        <v>44489</v>
      </c>
      <c r="E890" s="270" t="s">
        <v>267</v>
      </c>
      <c r="F890" s="133" t="s">
        <v>34</v>
      </c>
      <c r="G890" s="96" t="s">
        <v>35</v>
      </c>
      <c r="H890" s="272" t="s">
        <v>46</v>
      </c>
      <c r="I890" s="273">
        <v>25</v>
      </c>
      <c r="J890" s="270">
        <v>1050</v>
      </c>
      <c r="K890" s="270">
        <f t="shared" si="0"/>
        <v>26250</v>
      </c>
      <c r="L890" s="270">
        <v>29870</v>
      </c>
      <c r="M890" s="270">
        <v>725</v>
      </c>
      <c r="N890" s="274">
        <v>561</v>
      </c>
      <c r="O890" s="55"/>
      <c r="P890" s="45">
        <v>561</v>
      </c>
      <c r="Q890" s="270">
        <v>-295</v>
      </c>
      <c r="R890" s="275">
        <v>-1.5E-3</v>
      </c>
      <c r="S890" s="270">
        <v>-335</v>
      </c>
      <c r="T890" s="270">
        <v>226</v>
      </c>
      <c r="U890" s="57">
        <v>1</v>
      </c>
      <c r="V890" s="276">
        <v>0.15</v>
      </c>
      <c r="W890" s="276">
        <v>0</v>
      </c>
      <c r="X890" s="270">
        <v>192</v>
      </c>
      <c r="Y890" s="270">
        <v>34</v>
      </c>
      <c r="Z890" s="45" t="b">
        <v>1</v>
      </c>
      <c r="AA890" s="45" t="s">
        <v>38</v>
      </c>
      <c r="AB890" s="45" t="s">
        <v>38</v>
      </c>
    </row>
    <row r="891" spans="1:28" x14ac:dyDescent="0.2">
      <c r="A891" s="96" t="s">
        <v>286</v>
      </c>
      <c r="B891" s="96" t="s">
        <v>286</v>
      </c>
      <c r="C891" s="277">
        <v>44460</v>
      </c>
      <c r="D891" s="277">
        <v>44489</v>
      </c>
      <c r="E891" s="270" t="s">
        <v>267</v>
      </c>
      <c r="F891" s="133" t="s">
        <v>34</v>
      </c>
      <c r="G891" s="96" t="s">
        <v>35</v>
      </c>
      <c r="H891" s="272" t="s">
        <v>87</v>
      </c>
      <c r="I891" s="273">
        <v>25</v>
      </c>
      <c r="J891" s="270">
        <v>260</v>
      </c>
      <c r="K891" s="270">
        <f t="shared" si="0"/>
        <v>6500</v>
      </c>
      <c r="L891" s="270">
        <v>3214</v>
      </c>
      <c r="M891" s="270">
        <v>-1175</v>
      </c>
      <c r="N891" s="274">
        <v>138</v>
      </c>
      <c r="O891" s="55"/>
      <c r="P891" s="45">
        <v>138</v>
      </c>
      <c r="Q891" s="270">
        <v>-168</v>
      </c>
      <c r="R891" s="275">
        <v>-1.5E-3</v>
      </c>
      <c r="S891" s="270">
        <v>-177</v>
      </c>
      <c r="T891" s="270">
        <v>-39</v>
      </c>
      <c r="U891" s="57">
        <v>1</v>
      </c>
      <c r="V891" s="276">
        <v>0.15</v>
      </c>
      <c r="W891" s="276">
        <v>0</v>
      </c>
      <c r="X891" s="270">
        <v>-34</v>
      </c>
      <c r="Y891" s="270">
        <v>-6</v>
      </c>
      <c r="Z891" s="45" t="b">
        <v>1</v>
      </c>
      <c r="AA891" s="45" t="s">
        <v>38</v>
      </c>
      <c r="AB891" s="45" t="s">
        <v>38</v>
      </c>
    </row>
    <row r="892" spans="1:28" x14ac:dyDescent="0.2">
      <c r="A892" s="96" t="s">
        <v>286</v>
      </c>
      <c r="B892" s="96" t="s">
        <v>286</v>
      </c>
      <c r="C892" s="277">
        <v>44460</v>
      </c>
      <c r="D892" s="277">
        <v>44489</v>
      </c>
      <c r="E892" s="270" t="s">
        <v>267</v>
      </c>
      <c r="F892" s="133" t="s">
        <v>34</v>
      </c>
      <c r="G892" s="96" t="s">
        <v>35</v>
      </c>
      <c r="H892" s="272" t="s">
        <v>72</v>
      </c>
      <c r="I892" s="273">
        <v>50</v>
      </c>
      <c r="J892" s="270">
        <v>104</v>
      </c>
      <c r="K892" s="270">
        <f t="shared" si="0"/>
        <v>5200</v>
      </c>
      <c r="L892" s="270">
        <v>9817</v>
      </c>
      <c r="M892" s="270">
        <v>600</v>
      </c>
      <c r="N892" s="274">
        <v>111</v>
      </c>
      <c r="O892" s="55"/>
      <c r="P892" s="45">
        <v>111</v>
      </c>
      <c r="Q892" s="270">
        <v>567</v>
      </c>
      <c r="R892" s="275">
        <v>-1.5E-3</v>
      </c>
      <c r="S892" s="270">
        <v>560</v>
      </c>
      <c r="T892" s="270">
        <v>671</v>
      </c>
      <c r="U892" s="57">
        <v>1</v>
      </c>
      <c r="V892" s="276">
        <v>0.15</v>
      </c>
      <c r="W892" s="276">
        <v>0</v>
      </c>
      <c r="X892" s="270">
        <v>570</v>
      </c>
      <c r="Y892" s="270">
        <v>101</v>
      </c>
      <c r="Z892" s="45" t="b">
        <v>1</v>
      </c>
      <c r="AA892" s="45" t="s">
        <v>38</v>
      </c>
      <c r="AB892" s="45" t="s">
        <v>38</v>
      </c>
    </row>
    <row r="893" spans="1:28" x14ac:dyDescent="0.2">
      <c r="A893" s="96" t="s">
        <v>286</v>
      </c>
      <c r="B893" s="96" t="s">
        <v>286</v>
      </c>
      <c r="C893" s="277">
        <v>44460</v>
      </c>
      <c r="D893" s="277">
        <v>44489</v>
      </c>
      <c r="E893" s="270" t="s">
        <v>267</v>
      </c>
      <c r="F893" s="133" t="s">
        <v>34</v>
      </c>
      <c r="G893" s="96" t="s">
        <v>35</v>
      </c>
      <c r="H893" s="272" t="s">
        <v>85</v>
      </c>
      <c r="I893" s="273">
        <v>50</v>
      </c>
      <c r="J893" s="270">
        <v>22</v>
      </c>
      <c r="K893" s="270">
        <f t="shared" si="0"/>
        <v>1100</v>
      </c>
      <c r="L893" s="270">
        <v>-146</v>
      </c>
      <c r="M893" s="270">
        <v>50</v>
      </c>
      <c r="N893" s="274">
        <v>23</v>
      </c>
      <c r="O893" s="55"/>
      <c r="P893" s="45">
        <v>23</v>
      </c>
      <c r="Q893" s="270">
        <v>-93</v>
      </c>
      <c r="R893" s="275">
        <v>-1.5E-3</v>
      </c>
      <c r="S893" s="270">
        <v>-95</v>
      </c>
      <c r="T893" s="270">
        <v>-72</v>
      </c>
      <c r="U893" s="57">
        <v>1</v>
      </c>
      <c r="V893" s="276">
        <v>0.15</v>
      </c>
      <c r="W893" s="276">
        <v>0</v>
      </c>
      <c r="X893" s="270">
        <v>-61</v>
      </c>
      <c r="Y893" s="270">
        <v>-11</v>
      </c>
      <c r="Z893" s="45" t="b">
        <v>1</v>
      </c>
      <c r="AA893" s="45" t="s">
        <v>38</v>
      </c>
      <c r="AB893" s="45" t="s">
        <v>38</v>
      </c>
    </row>
    <row r="894" spans="1:28" x14ac:dyDescent="0.2">
      <c r="A894" s="270" t="s">
        <v>60</v>
      </c>
      <c r="B894" s="270" t="s">
        <v>60</v>
      </c>
      <c r="C894" s="282">
        <v>44460</v>
      </c>
      <c r="D894" s="282">
        <v>44489</v>
      </c>
      <c r="E894" s="279" t="s">
        <v>267</v>
      </c>
      <c r="F894" s="133" t="s">
        <v>34</v>
      </c>
      <c r="G894" s="279" t="s">
        <v>61</v>
      </c>
      <c r="H894" s="272" t="s">
        <v>62</v>
      </c>
      <c r="I894" s="280">
        <v>10</v>
      </c>
      <c r="J894" s="279">
        <v>175</v>
      </c>
      <c r="K894" s="270">
        <f t="shared" si="0"/>
        <v>1750</v>
      </c>
      <c r="L894" s="279">
        <v>12078</v>
      </c>
      <c r="M894" s="279">
        <v>-70</v>
      </c>
      <c r="N894" s="281">
        <v>9.07</v>
      </c>
      <c r="O894" s="55"/>
      <c r="P894" s="45">
        <v>9</v>
      </c>
      <c r="Q894" s="279">
        <v>54</v>
      </c>
      <c r="R894" s="275">
        <v>-2.2399999999999998E-3</v>
      </c>
      <c r="S894" s="279">
        <v>50</v>
      </c>
      <c r="T894" s="279">
        <v>59</v>
      </c>
      <c r="U894" s="57">
        <v>1</v>
      </c>
      <c r="V894" s="276">
        <v>0.2</v>
      </c>
      <c r="W894" s="276">
        <v>0</v>
      </c>
      <c r="X894" s="279">
        <v>48</v>
      </c>
      <c r="Y894" s="279">
        <v>12</v>
      </c>
      <c r="Z894" s="45" t="b">
        <v>1</v>
      </c>
      <c r="AA894" s="45" t="s">
        <v>50</v>
      </c>
      <c r="AB894" s="45" t="s">
        <v>50</v>
      </c>
    </row>
    <row r="895" spans="1:28" x14ac:dyDescent="0.2">
      <c r="A895" s="270" t="s">
        <v>60</v>
      </c>
      <c r="B895" s="270" t="s">
        <v>60</v>
      </c>
      <c r="C895" s="282">
        <v>44460</v>
      </c>
      <c r="D895" s="282">
        <v>44489</v>
      </c>
      <c r="E895" s="279" t="s">
        <v>267</v>
      </c>
      <c r="F895" s="133" t="s">
        <v>34</v>
      </c>
      <c r="G895" s="279" t="s">
        <v>61</v>
      </c>
      <c r="H895" s="272" t="s">
        <v>63</v>
      </c>
      <c r="I895" s="280">
        <v>10</v>
      </c>
      <c r="J895" s="279">
        <v>625</v>
      </c>
      <c r="K895" s="270">
        <f t="shared" si="0"/>
        <v>6250</v>
      </c>
      <c r="L895" s="279">
        <v>30306</v>
      </c>
      <c r="M895" s="279">
        <v>58</v>
      </c>
      <c r="N895" s="281">
        <v>0.93</v>
      </c>
      <c r="O895" s="55"/>
      <c r="P895" s="45">
        <v>1</v>
      </c>
      <c r="Q895" s="279">
        <v>36</v>
      </c>
      <c r="R895" s="275">
        <v>-2.2399999999999998E-3</v>
      </c>
      <c r="S895" s="279">
        <v>22</v>
      </c>
      <c r="T895" s="279">
        <v>23</v>
      </c>
      <c r="U895" s="57">
        <v>1</v>
      </c>
      <c r="V895" s="276">
        <v>0.2</v>
      </c>
      <c r="W895" s="276">
        <v>0</v>
      </c>
      <c r="X895" s="279">
        <v>18</v>
      </c>
      <c r="Y895" s="279">
        <v>5</v>
      </c>
      <c r="Z895" s="45" t="b">
        <v>1</v>
      </c>
      <c r="AA895" s="45" t="s">
        <v>50</v>
      </c>
      <c r="AB895" s="45" t="s">
        <v>50</v>
      </c>
    </row>
    <row r="896" spans="1:28" x14ac:dyDescent="0.2">
      <c r="A896" s="96" t="s">
        <v>82</v>
      </c>
      <c r="B896" s="96" t="s">
        <v>82</v>
      </c>
      <c r="C896" s="277">
        <v>44460</v>
      </c>
      <c r="D896" s="277">
        <v>44489</v>
      </c>
      <c r="E896" s="270" t="s">
        <v>300</v>
      </c>
      <c r="F896" s="133" t="s">
        <v>34</v>
      </c>
      <c r="G896" s="96" t="s">
        <v>35</v>
      </c>
      <c r="H896" s="272" t="s">
        <v>40</v>
      </c>
      <c r="I896" s="273">
        <v>10</v>
      </c>
      <c r="J896" s="270">
        <v>9</v>
      </c>
      <c r="K896" s="270">
        <f t="shared" si="0"/>
        <v>90</v>
      </c>
      <c r="L896" s="270">
        <v>1921</v>
      </c>
      <c r="M896" s="270">
        <v>20</v>
      </c>
      <c r="N896" s="274">
        <v>5</v>
      </c>
      <c r="O896" s="55"/>
      <c r="P896" s="45">
        <v>5</v>
      </c>
      <c r="Q896" s="270">
        <v>29</v>
      </c>
      <c r="R896" s="275">
        <v>-2.2399999999999998E-3</v>
      </c>
      <c r="S896" s="270">
        <v>28</v>
      </c>
      <c r="T896" s="270">
        <v>33</v>
      </c>
      <c r="U896" s="57">
        <v>1</v>
      </c>
      <c r="V896" s="276">
        <v>0.15</v>
      </c>
      <c r="W896" s="276">
        <v>0.05</v>
      </c>
      <c r="X896" s="270">
        <v>27</v>
      </c>
      <c r="Y896" s="270">
        <v>7</v>
      </c>
      <c r="Z896" s="45" t="b">
        <v>1</v>
      </c>
      <c r="AA896" s="45" t="s">
        <v>38</v>
      </c>
      <c r="AB896" s="45" t="s">
        <v>38</v>
      </c>
    </row>
    <row r="897" spans="1:28" x14ac:dyDescent="0.2">
      <c r="A897" s="96" t="s">
        <v>82</v>
      </c>
      <c r="B897" s="96" t="s">
        <v>82</v>
      </c>
      <c r="C897" s="277">
        <v>44460</v>
      </c>
      <c r="D897" s="277">
        <v>44489</v>
      </c>
      <c r="E897" s="270" t="s">
        <v>300</v>
      </c>
      <c r="F897" s="133" t="s">
        <v>34</v>
      </c>
      <c r="G897" s="96" t="s">
        <v>35</v>
      </c>
      <c r="H897" s="272" t="s">
        <v>72</v>
      </c>
      <c r="I897" s="273">
        <v>50</v>
      </c>
      <c r="J897" s="270">
        <v>4158</v>
      </c>
      <c r="K897" s="270">
        <f t="shared" si="0"/>
        <v>207900</v>
      </c>
      <c r="L897" s="270">
        <v>64825</v>
      </c>
      <c r="M897" s="270">
        <v>-11100</v>
      </c>
      <c r="N897" s="274">
        <v>9804</v>
      </c>
      <c r="O897" s="55"/>
      <c r="P897" s="105">
        <v>9804</v>
      </c>
      <c r="Q897" s="270">
        <v>-7372</v>
      </c>
      <c r="R897" s="275">
        <v>-2.2399999999999998E-3</v>
      </c>
      <c r="S897" s="270">
        <v>-7838</v>
      </c>
      <c r="T897" s="270">
        <v>1966</v>
      </c>
      <c r="U897" s="57">
        <v>1</v>
      </c>
      <c r="V897" s="276">
        <v>0.15</v>
      </c>
      <c r="W897" s="276">
        <v>0.05</v>
      </c>
      <c r="X897" s="270">
        <v>1573</v>
      </c>
      <c r="Y897" s="270">
        <v>393</v>
      </c>
      <c r="Z897" s="45" t="b">
        <v>1</v>
      </c>
      <c r="AA897" s="45" t="s">
        <v>38</v>
      </c>
      <c r="AB897" s="45" t="s">
        <v>38</v>
      </c>
    </row>
    <row r="898" spans="1:28" x14ac:dyDescent="0.2">
      <c r="A898" s="96" t="s">
        <v>82</v>
      </c>
      <c r="B898" s="96" t="s">
        <v>82</v>
      </c>
      <c r="C898" s="277">
        <v>44460</v>
      </c>
      <c r="D898" s="277">
        <v>44489</v>
      </c>
      <c r="E898" s="270" t="s">
        <v>300</v>
      </c>
      <c r="F898" s="133" t="s">
        <v>34</v>
      </c>
      <c r="G898" s="96" t="s">
        <v>35</v>
      </c>
      <c r="H898" s="272" t="s">
        <v>70</v>
      </c>
      <c r="I898" s="273">
        <v>100</v>
      </c>
      <c r="J898" s="270">
        <v>4</v>
      </c>
      <c r="K898" s="270">
        <f t="shared" si="0"/>
        <v>400</v>
      </c>
      <c r="L898" s="270">
        <v>860</v>
      </c>
      <c r="M898" s="270">
        <v>600</v>
      </c>
      <c r="N898" s="274">
        <v>16</v>
      </c>
      <c r="O898" s="55"/>
      <c r="P898" s="45">
        <v>16</v>
      </c>
      <c r="Q898" s="270">
        <v>140</v>
      </c>
      <c r="R898" s="275">
        <v>-2.2399999999999998E-3</v>
      </c>
      <c r="S898" s="270">
        <v>139</v>
      </c>
      <c r="T898" s="270">
        <v>155</v>
      </c>
      <c r="U898" s="57">
        <v>1</v>
      </c>
      <c r="V898" s="276">
        <v>0.15</v>
      </c>
      <c r="W898" s="276">
        <v>0.05</v>
      </c>
      <c r="X898" s="270">
        <v>124</v>
      </c>
      <c r="Y898" s="270">
        <v>31</v>
      </c>
      <c r="Z898" s="45" t="b">
        <v>1</v>
      </c>
      <c r="AA898" s="45" t="s">
        <v>38</v>
      </c>
      <c r="AB898" s="45" t="s">
        <v>38</v>
      </c>
    </row>
    <row r="899" spans="1:28" x14ac:dyDescent="0.2">
      <c r="A899" s="96" t="s">
        <v>154</v>
      </c>
      <c r="B899" s="279">
        <v>66.562200000000004</v>
      </c>
      <c r="C899" s="282">
        <v>44460</v>
      </c>
      <c r="D899" s="282">
        <v>44489</v>
      </c>
      <c r="E899" s="279" t="s">
        <v>267</v>
      </c>
      <c r="F899" s="133" t="s">
        <v>34</v>
      </c>
      <c r="G899" s="279" t="s">
        <v>61</v>
      </c>
      <c r="H899" s="272" t="s">
        <v>62</v>
      </c>
      <c r="I899" s="280">
        <v>10</v>
      </c>
      <c r="J899" s="279">
        <v>419</v>
      </c>
      <c r="K899" s="270">
        <f t="shared" si="0"/>
        <v>4190</v>
      </c>
      <c r="L899" s="279">
        <v>37311</v>
      </c>
      <c r="M899" s="279">
        <v>-128</v>
      </c>
      <c r="N899" s="281">
        <v>14.99</v>
      </c>
      <c r="O899" s="55"/>
      <c r="P899" s="45">
        <v>15</v>
      </c>
      <c r="Q899" s="279">
        <v>264</v>
      </c>
      <c r="R899" s="275">
        <v>-2.2399999999999998E-3</v>
      </c>
      <c r="S899" s="279">
        <v>255</v>
      </c>
      <c r="T899" s="279">
        <v>270</v>
      </c>
      <c r="U899" s="57">
        <v>1.1659999999999999</v>
      </c>
      <c r="V899" s="276">
        <v>0.2</v>
      </c>
      <c r="W899" s="276">
        <v>0</v>
      </c>
      <c r="X899" s="279">
        <v>252</v>
      </c>
      <c r="Y899" s="279">
        <v>63</v>
      </c>
      <c r="Z899" s="45" t="b">
        <v>1</v>
      </c>
      <c r="AA899" s="45" t="s">
        <v>38</v>
      </c>
      <c r="AB899" s="45" t="s">
        <v>50</v>
      </c>
    </row>
    <row r="900" spans="1:28" x14ac:dyDescent="0.2">
      <c r="A900" s="96" t="s">
        <v>154</v>
      </c>
      <c r="B900" s="279">
        <v>66.562200000000004</v>
      </c>
      <c r="C900" s="282">
        <v>44460</v>
      </c>
      <c r="D900" s="282">
        <v>44489</v>
      </c>
      <c r="E900" s="279" t="s">
        <v>267</v>
      </c>
      <c r="F900" s="133" t="s">
        <v>34</v>
      </c>
      <c r="G900" s="279" t="s">
        <v>61</v>
      </c>
      <c r="H900" s="272" t="s">
        <v>64</v>
      </c>
      <c r="I900" s="280">
        <v>10</v>
      </c>
      <c r="J900" s="279">
        <v>8</v>
      </c>
      <c r="K900" s="270">
        <f t="shared" si="0"/>
        <v>80</v>
      </c>
      <c r="L900" s="279">
        <v>1911</v>
      </c>
      <c r="M900" s="279">
        <v>-12</v>
      </c>
      <c r="N900" s="281">
        <v>0.01</v>
      </c>
      <c r="O900" s="55"/>
      <c r="P900" s="45">
        <v>0</v>
      </c>
      <c r="Q900" s="279">
        <v>27</v>
      </c>
      <c r="R900" s="275">
        <v>-2.2399999999999998E-3</v>
      </c>
      <c r="S900" s="279">
        <v>27</v>
      </c>
      <c r="T900" s="279">
        <v>27</v>
      </c>
      <c r="U900" s="57">
        <v>1.1659999999999999</v>
      </c>
      <c r="V900" s="276">
        <v>0.2</v>
      </c>
      <c r="W900" s="276">
        <v>0</v>
      </c>
      <c r="X900" s="279">
        <v>25</v>
      </c>
      <c r="Y900" s="279">
        <v>6</v>
      </c>
      <c r="Z900" s="45" t="b">
        <v>1</v>
      </c>
      <c r="AA900" s="45" t="s">
        <v>38</v>
      </c>
      <c r="AB900" s="45" t="s">
        <v>50</v>
      </c>
    </row>
    <row r="901" spans="1:28" x14ac:dyDescent="0.2">
      <c r="A901" s="96" t="s">
        <v>154</v>
      </c>
      <c r="B901" s="279">
        <v>66.562200000000004</v>
      </c>
      <c r="C901" s="282">
        <v>44460</v>
      </c>
      <c r="D901" s="282">
        <v>44489</v>
      </c>
      <c r="E901" s="279" t="s">
        <v>267</v>
      </c>
      <c r="F901" s="133" t="s">
        <v>34</v>
      </c>
      <c r="G901" s="279" t="s">
        <v>61</v>
      </c>
      <c r="H901" s="272" t="s">
        <v>63</v>
      </c>
      <c r="I901" s="280">
        <v>10</v>
      </c>
      <c r="J901" s="279">
        <v>100</v>
      </c>
      <c r="K901" s="270">
        <f t="shared" si="0"/>
        <v>1000</v>
      </c>
      <c r="L901" s="279">
        <v>5446</v>
      </c>
      <c r="M901" s="279">
        <v>-23</v>
      </c>
      <c r="N901" s="281">
        <v>0</v>
      </c>
      <c r="O901" s="55"/>
      <c r="P901" s="45">
        <v>0</v>
      </c>
      <c r="Q901" s="279">
        <v>12</v>
      </c>
      <c r="R901" s="275">
        <v>-2.2399999999999998E-3</v>
      </c>
      <c r="S901" s="279">
        <v>10</v>
      </c>
      <c r="T901" s="279">
        <v>10</v>
      </c>
      <c r="U901" s="57">
        <v>1.1659999999999999</v>
      </c>
      <c r="V901" s="276">
        <v>0.2</v>
      </c>
      <c r="W901" s="276">
        <v>0</v>
      </c>
      <c r="X901" s="279">
        <v>9</v>
      </c>
      <c r="Y901" s="279">
        <v>2</v>
      </c>
      <c r="Z901" s="45" t="b">
        <v>1</v>
      </c>
      <c r="AA901" s="45" t="s">
        <v>38</v>
      </c>
      <c r="AB901" s="45" t="s">
        <v>50</v>
      </c>
    </row>
    <row r="902" spans="1:28" x14ac:dyDescent="0.2">
      <c r="A902" s="96" t="s">
        <v>154</v>
      </c>
      <c r="B902" s="96" t="s">
        <v>154</v>
      </c>
      <c r="C902" s="282">
        <v>44460</v>
      </c>
      <c r="D902" s="282">
        <v>44489</v>
      </c>
      <c r="E902" s="279" t="s">
        <v>267</v>
      </c>
      <c r="F902" s="133" t="s">
        <v>34</v>
      </c>
      <c r="G902" s="270" t="s">
        <v>35</v>
      </c>
      <c r="H902" s="272" t="s">
        <v>39</v>
      </c>
      <c r="I902" s="280">
        <v>5</v>
      </c>
      <c r="J902" s="279">
        <v>9</v>
      </c>
      <c r="K902" s="270">
        <f t="shared" si="0"/>
        <v>45</v>
      </c>
      <c r="L902" s="279">
        <v>3359</v>
      </c>
      <c r="M902" s="279">
        <v>10</v>
      </c>
      <c r="N902" s="274"/>
      <c r="O902" s="55"/>
      <c r="P902" s="96"/>
      <c r="Q902" s="279">
        <v>26</v>
      </c>
      <c r="R902" s="275">
        <v>-2.2399999999999998E-3</v>
      </c>
      <c r="S902" s="279">
        <v>26</v>
      </c>
      <c r="T902" s="279">
        <v>26</v>
      </c>
      <c r="U902" s="57">
        <v>1</v>
      </c>
      <c r="V902" s="276">
        <v>0.2</v>
      </c>
      <c r="W902" s="276">
        <v>0</v>
      </c>
      <c r="X902" s="279">
        <v>21</v>
      </c>
      <c r="Y902" s="279">
        <v>5</v>
      </c>
      <c r="Z902" s="45" t="b">
        <v>1</v>
      </c>
      <c r="AA902" s="45" t="s">
        <v>38</v>
      </c>
      <c r="AB902" s="45" t="s">
        <v>38</v>
      </c>
    </row>
    <row r="903" spans="1:28" x14ac:dyDescent="0.2">
      <c r="A903" s="96" t="s">
        <v>154</v>
      </c>
      <c r="B903" s="96" t="s">
        <v>154</v>
      </c>
      <c r="C903" s="282">
        <v>44460</v>
      </c>
      <c r="D903" s="282">
        <v>44489</v>
      </c>
      <c r="E903" s="279" t="s">
        <v>267</v>
      </c>
      <c r="F903" s="133" t="s">
        <v>34</v>
      </c>
      <c r="G903" s="270" t="s">
        <v>35</v>
      </c>
      <c r="H903" s="272" t="s">
        <v>40</v>
      </c>
      <c r="I903" s="280">
        <v>10</v>
      </c>
      <c r="J903" s="279">
        <v>66</v>
      </c>
      <c r="K903" s="270">
        <f t="shared" si="0"/>
        <v>660</v>
      </c>
      <c r="L903" s="279">
        <v>4954</v>
      </c>
      <c r="M903" s="279">
        <v>60</v>
      </c>
      <c r="N903" s="274">
        <v>12</v>
      </c>
      <c r="O903" s="55"/>
      <c r="P903" s="45">
        <v>12</v>
      </c>
      <c r="Q903" s="279">
        <v>42</v>
      </c>
      <c r="R903" s="275">
        <v>-2.2399999999999998E-3</v>
      </c>
      <c r="S903" s="279">
        <v>41</v>
      </c>
      <c r="T903" s="279">
        <v>53</v>
      </c>
      <c r="U903" s="57">
        <v>1</v>
      </c>
      <c r="V903" s="276">
        <v>0.2</v>
      </c>
      <c r="W903" s="276">
        <v>0</v>
      </c>
      <c r="X903" s="279">
        <v>42</v>
      </c>
      <c r="Y903" s="279">
        <v>11</v>
      </c>
      <c r="Z903" s="45" t="b">
        <v>1</v>
      </c>
      <c r="AA903" s="45" t="s">
        <v>38</v>
      </c>
      <c r="AB903" s="45" t="s">
        <v>38</v>
      </c>
    </row>
    <row r="904" spans="1:28" x14ac:dyDescent="0.2">
      <c r="A904" s="96" t="s">
        <v>89</v>
      </c>
      <c r="B904" s="96" t="s">
        <v>89</v>
      </c>
      <c r="C904" s="277">
        <v>44460</v>
      </c>
      <c r="D904" s="277">
        <v>44489</v>
      </c>
      <c r="E904" s="270" t="s">
        <v>267</v>
      </c>
      <c r="F904" s="133" t="s">
        <v>34</v>
      </c>
      <c r="G904" s="96" t="s">
        <v>35</v>
      </c>
      <c r="H904" s="272" t="s">
        <v>46</v>
      </c>
      <c r="I904" s="273">
        <v>25</v>
      </c>
      <c r="J904" s="270">
        <v>728</v>
      </c>
      <c r="K904" s="270">
        <f t="shared" si="0"/>
        <v>18200</v>
      </c>
      <c r="L904" s="270">
        <v>17421</v>
      </c>
      <c r="M904" s="270">
        <v>-175</v>
      </c>
      <c r="N904" s="274">
        <v>403</v>
      </c>
      <c r="O904" s="55"/>
      <c r="P904" s="45">
        <v>403</v>
      </c>
      <c r="Q904" s="270">
        <v>-357</v>
      </c>
      <c r="R904" s="275">
        <v>-2.2399999999999998E-3</v>
      </c>
      <c r="S904" s="270">
        <v>-398</v>
      </c>
      <c r="T904" s="270">
        <v>5</v>
      </c>
      <c r="U904" s="57">
        <v>1</v>
      </c>
      <c r="V904" s="276">
        <v>0</v>
      </c>
      <c r="W904" s="276">
        <v>0</v>
      </c>
      <c r="X904" s="270">
        <v>5</v>
      </c>
      <c r="Y904" s="270">
        <v>0</v>
      </c>
      <c r="Z904" s="45" t="b">
        <v>1</v>
      </c>
      <c r="AA904" s="45" t="s">
        <v>38</v>
      </c>
      <c r="AB904" s="45" t="s">
        <v>38</v>
      </c>
    </row>
    <row r="905" spans="1:28" x14ac:dyDescent="0.2">
      <c r="A905" s="96" t="s">
        <v>89</v>
      </c>
      <c r="B905" s="96" t="s">
        <v>89</v>
      </c>
      <c r="C905" s="277">
        <v>44460</v>
      </c>
      <c r="D905" s="277">
        <v>44489</v>
      </c>
      <c r="E905" s="270" t="s">
        <v>267</v>
      </c>
      <c r="F905" s="133" t="s">
        <v>34</v>
      </c>
      <c r="G905" s="96" t="s">
        <v>35</v>
      </c>
      <c r="H905" s="272" t="s">
        <v>72</v>
      </c>
      <c r="I905" s="273">
        <v>50</v>
      </c>
      <c r="J905" s="270">
        <v>3578</v>
      </c>
      <c r="K905" s="270">
        <f t="shared" si="0"/>
        <v>178900</v>
      </c>
      <c r="L905" s="270">
        <v>107417</v>
      </c>
      <c r="M905" s="270">
        <v>-6800</v>
      </c>
      <c r="N905" s="274">
        <v>3963</v>
      </c>
      <c r="O905" s="55"/>
      <c r="P905" s="105">
        <v>3963</v>
      </c>
      <c r="Q905" s="270">
        <v>-1497</v>
      </c>
      <c r="R905" s="275">
        <v>-2.2399999999999998E-3</v>
      </c>
      <c r="S905" s="270">
        <v>-1898</v>
      </c>
      <c r="T905" s="270">
        <v>2065</v>
      </c>
      <c r="U905" s="57">
        <v>1</v>
      </c>
      <c r="V905" s="276">
        <v>0</v>
      </c>
      <c r="W905" s="276">
        <v>0</v>
      </c>
      <c r="X905" s="270">
        <v>2065</v>
      </c>
      <c r="Y905" s="270">
        <v>0</v>
      </c>
      <c r="Z905" s="45" t="b">
        <v>1</v>
      </c>
      <c r="AA905" s="45" t="s">
        <v>38</v>
      </c>
      <c r="AB905" s="45" t="s">
        <v>38</v>
      </c>
    </row>
    <row r="906" spans="1:28" x14ac:dyDescent="0.2">
      <c r="A906" s="96" t="s">
        <v>89</v>
      </c>
      <c r="B906" s="96" t="s">
        <v>89</v>
      </c>
      <c r="C906" s="277">
        <v>44460</v>
      </c>
      <c r="D906" s="277">
        <v>44489</v>
      </c>
      <c r="E906" s="270" t="s">
        <v>267</v>
      </c>
      <c r="F906" s="133" t="s">
        <v>41</v>
      </c>
      <c r="G906" s="96" t="s">
        <v>35</v>
      </c>
      <c r="H906" s="272" t="s">
        <v>51</v>
      </c>
      <c r="I906" s="273">
        <v>0.25</v>
      </c>
      <c r="J906" s="270">
        <v>1</v>
      </c>
      <c r="K906" s="270">
        <f t="shared" si="0"/>
        <v>0.25</v>
      </c>
      <c r="L906" s="270"/>
      <c r="M906" s="270">
        <v>-0.25</v>
      </c>
      <c r="N906" s="274"/>
      <c r="O906" s="55"/>
      <c r="P906" s="96"/>
      <c r="Q906" s="270"/>
      <c r="R906" s="275">
        <v>0</v>
      </c>
      <c r="S906" s="270"/>
      <c r="T906" s="270">
        <v>0</v>
      </c>
      <c r="U906" s="57">
        <v>1</v>
      </c>
      <c r="V906" s="276">
        <v>0</v>
      </c>
      <c r="W906" s="276">
        <v>0</v>
      </c>
      <c r="X906" s="270">
        <v>0</v>
      </c>
      <c r="Y906" s="270">
        <v>0</v>
      </c>
      <c r="Z906" s="45" t="b">
        <v>1</v>
      </c>
      <c r="AA906" s="45" t="s">
        <v>38</v>
      </c>
      <c r="AB906" s="45" t="s">
        <v>38</v>
      </c>
    </row>
    <row r="907" spans="1:28" x14ac:dyDescent="0.2">
      <c r="A907" s="96" t="s">
        <v>89</v>
      </c>
      <c r="B907" s="96" t="s">
        <v>89</v>
      </c>
      <c r="C907" s="277">
        <v>44460</v>
      </c>
      <c r="D907" s="277">
        <v>44489</v>
      </c>
      <c r="E907" s="270" t="s">
        <v>267</v>
      </c>
      <c r="F907" s="133" t="s">
        <v>41</v>
      </c>
      <c r="G907" s="96" t="s">
        <v>35</v>
      </c>
      <c r="H907" s="272" t="s">
        <v>45</v>
      </c>
      <c r="I907" s="273">
        <v>0.25</v>
      </c>
      <c r="J907" s="270">
        <v>1</v>
      </c>
      <c r="K907" s="270">
        <f t="shared" si="0"/>
        <v>0.25</v>
      </c>
      <c r="L907" s="270"/>
      <c r="M907" s="270">
        <v>-0.25</v>
      </c>
      <c r="N907" s="274"/>
      <c r="O907" s="55"/>
      <c r="P907" s="96"/>
      <c r="Q907" s="270"/>
      <c r="R907" s="275">
        <v>0</v>
      </c>
      <c r="S907" s="270"/>
      <c r="T907" s="270">
        <v>0</v>
      </c>
      <c r="U907" s="57">
        <v>1</v>
      </c>
      <c r="V907" s="276">
        <v>0</v>
      </c>
      <c r="W907" s="276">
        <v>0</v>
      </c>
      <c r="X907" s="270">
        <v>0</v>
      </c>
      <c r="Y907" s="270">
        <v>0</v>
      </c>
      <c r="Z907" s="45" t="b">
        <v>1</v>
      </c>
      <c r="AA907" s="45" t="s">
        <v>38</v>
      </c>
      <c r="AB907" s="45" t="s">
        <v>38</v>
      </c>
    </row>
    <row r="908" spans="1:28" x14ac:dyDescent="0.2">
      <c r="A908" s="96" t="s">
        <v>89</v>
      </c>
      <c r="B908" s="96" t="s">
        <v>89</v>
      </c>
      <c r="C908" s="277">
        <v>44460</v>
      </c>
      <c r="D908" s="277">
        <v>44489</v>
      </c>
      <c r="E908" s="270" t="s">
        <v>267</v>
      </c>
      <c r="F908" s="133" t="s">
        <v>41</v>
      </c>
      <c r="G908" s="96" t="s">
        <v>35</v>
      </c>
      <c r="H908" s="272" t="s">
        <v>39</v>
      </c>
      <c r="I908" s="273">
        <v>5</v>
      </c>
      <c r="J908" s="270">
        <v>2</v>
      </c>
      <c r="K908" s="270">
        <f t="shared" si="0"/>
        <v>10</v>
      </c>
      <c r="L908" s="270"/>
      <c r="M908" s="270">
        <v>-10</v>
      </c>
      <c r="N908" s="274"/>
      <c r="O908" s="55"/>
      <c r="P908" s="96"/>
      <c r="Q908" s="270"/>
      <c r="R908" s="275">
        <v>0</v>
      </c>
      <c r="S908" s="270"/>
      <c r="T908" s="270">
        <v>-10</v>
      </c>
      <c r="U908" s="57">
        <v>1</v>
      </c>
      <c r="V908" s="276">
        <v>0</v>
      </c>
      <c r="W908" s="276">
        <v>0</v>
      </c>
      <c r="X908" s="270">
        <v>-10</v>
      </c>
      <c r="Y908" s="270">
        <v>0</v>
      </c>
      <c r="Z908" s="45" t="b">
        <v>1</v>
      </c>
      <c r="AA908" s="45" t="s">
        <v>38</v>
      </c>
      <c r="AB908" s="45" t="s">
        <v>38</v>
      </c>
    </row>
    <row r="909" spans="1:28" x14ac:dyDescent="0.2">
      <c r="A909" s="96" t="s">
        <v>89</v>
      </c>
      <c r="B909" s="96" t="s">
        <v>89</v>
      </c>
      <c r="C909" s="277">
        <v>44460</v>
      </c>
      <c r="D909" s="277">
        <v>44489</v>
      </c>
      <c r="E909" s="270" t="s">
        <v>267</v>
      </c>
      <c r="F909" s="133" t="s">
        <v>41</v>
      </c>
      <c r="G909" s="96" t="s">
        <v>35</v>
      </c>
      <c r="H909" s="272" t="s">
        <v>85</v>
      </c>
      <c r="I909" s="273">
        <v>50</v>
      </c>
      <c r="J909" s="270">
        <v>3</v>
      </c>
      <c r="K909" s="270">
        <f t="shared" si="0"/>
        <v>150</v>
      </c>
      <c r="L909" s="270"/>
      <c r="M909" s="270">
        <v>-150</v>
      </c>
      <c r="N909" s="274">
        <v>4</v>
      </c>
      <c r="O909" s="55"/>
      <c r="P909" s="45">
        <v>4</v>
      </c>
      <c r="Q909" s="270"/>
      <c r="R909" s="275">
        <v>0</v>
      </c>
      <c r="S909" s="270"/>
      <c r="T909" s="270">
        <v>-146</v>
      </c>
      <c r="U909" s="57">
        <v>1</v>
      </c>
      <c r="V909" s="276">
        <v>0</v>
      </c>
      <c r="W909" s="276">
        <v>0</v>
      </c>
      <c r="X909" s="270">
        <v>-146</v>
      </c>
      <c r="Y909" s="270">
        <v>0</v>
      </c>
      <c r="Z909" s="45" t="b">
        <v>1</v>
      </c>
      <c r="AA909" s="45" t="s">
        <v>38</v>
      </c>
      <c r="AB909" s="45" t="s">
        <v>38</v>
      </c>
    </row>
    <row r="910" spans="1:28" x14ac:dyDescent="0.2">
      <c r="A910" s="96" t="s">
        <v>89</v>
      </c>
      <c r="B910" s="96" t="s">
        <v>89</v>
      </c>
      <c r="C910" s="277">
        <v>44460</v>
      </c>
      <c r="D910" s="277">
        <v>44489</v>
      </c>
      <c r="E910" s="270" t="s">
        <v>267</v>
      </c>
      <c r="F910" s="133" t="s">
        <v>41</v>
      </c>
      <c r="G910" s="96" t="s">
        <v>35</v>
      </c>
      <c r="H910" s="272" t="s">
        <v>70</v>
      </c>
      <c r="I910" s="273">
        <v>100</v>
      </c>
      <c r="J910" s="270">
        <v>8</v>
      </c>
      <c r="K910" s="270">
        <f t="shared" si="0"/>
        <v>800</v>
      </c>
      <c r="L910" s="270"/>
      <c r="M910" s="270">
        <v>300</v>
      </c>
      <c r="N910" s="274">
        <v>15</v>
      </c>
      <c r="O910" s="55"/>
      <c r="P910" s="45">
        <v>15</v>
      </c>
      <c r="Q910" s="270"/>
      <c r="R910" s="275">
        <v>0</v>
      </c>
      <c r="S910" s="270"/>
      <c r="T910" s="270">
        <v>315</v>
      </c>
      <c r="U910" s="57">
        <v>1</v>
      </c>
      <c r="V910" s="276">
        <v>0</v>
      </c>
      <c r="W910" s="276">
        <v>0</v>
      </c>
      <c r="X910" s="270">
        <v>315</v>
      </c>
      <c r="Y910" s="270">
        <v>0</v>
      </c>
      <c r="Z910" s="45" t="b">
        <v>1</v>
      </c>
      <c r="AA910" s="45" t="s">
        <v>38</v>
      </c>
      <c r="AB910" s="45" t="s">
        <v>38</v>
      </c>
    </row>
    <row r="911" spans="1:28" x14ac:dyDescent="0.2">
      <c r="A911" s="279" t="s">
        <v>355</v>
      </c>
      <c r="B911" s="279" t="s">
        <v>989</v>
      </c>
      <c r="C911" s="282">
        <v>44460</v>
      </c>
      <c r="D911" s="282">
        <v>44489</v>
      </c>
      <c r="E911" s="279" t="s">
        <v>300</v>
      </c>
      <c r="F911" s="133" t="s">
        <v>34</v>
      </c>
      <c r="G911" s="279" t="s">
        <v>61</v>
      </c>
      <c r="H911" s="272" t="s">
        <v>94</v>
      </c>
      <c r="I911" s="280">
        <v>25</v>
      </c>
      <c r="J911" s="279">
        <v>397</v>
      </c>
      <c r="K911" s="270">
        <f t="shared" si="0"/>
        <v>9925</v>
      </c>
      <c r="L911" s="279">
        <v>1825</v>
      </c>
      <c r="M911" s="279">
        <v>-816</v>
      </c>
      <c r="N911" s="281">
        <v>3589.13</v>
      </c>
      <c r="O911" s="55"/>
      <c r="P911" s="105">
        <v>3589</v>
      </c>
      <c r="Q911" s="279">
        <v>-884</v>
      </c>
      <c r="R911" s="275">
        <v>-2.2399999999999998E-3</v>
      </c>
      <c r="S911" s="279">
        <v>-906</v>
      </c>
      <c r="T911" s="279">
        <v>2683</v>
      </c>
      <c r="U911" s="57">
        <v>1.1659999999999999</v>
      </c>
      <c r="V911" s="276">
        <v>0.15</v>
      </c>
      <c r="W911" s="276">
        <v>0.05</v>
      </c>
      <c r="X911" s="279">
        <v>2503</v>
      </c>
      <c r="Y911" s="279">
        <v>626</v>
      </c>
      <c r="Z911" s="45" t="b">
        <v>1</v>
      </c>
      <c r="AA911" s="45" t="s">
        <v>38</v>
      </c>
      <c r="AB911" s="45" t="s">
        <v>50</v>
      </c>
    </row>
    <row r="912" spans="1:28" x14ac:dyDescent="0.2">
      <c r="A912" s="279" t="s">
        <v>355</v>
      </c>
      <c r="B912" s="279" t="s">
        <v>989</v>
      </c>
      <c r="C912" s="282">
        <v>44460</v>
      </c>
      <c r="D912" s="282">
        <v>44489</v>
      </c>
      <c r="E912" s="279" t="s">
        <v>300</v>
      </c>
      <c r="F912" s="133" t="s">
        <v>34</v>
      </c>
      <c r="G912" s="279" t="s">
        <v>61</v>
      </c>
      <c r="H912" s="272" t="s">
        <v>65</v>
      </c>
      <c r="I912" s="280">
        <v>25</v>
      </c>
      <c r="J912" s="279">
        <v>44</v>
      </c>
      <c r="K912" s="270">
        <f t="shared" si="0"/>
        <v>1100</v>
      </c>
      <c r="L912" s="279">
        <v>2119</v>
      </c>
      <c r="M912" s="279">
        <v>-233</v>
      </c>
      <c r="N912" s="281">
        <v>11.41</v>
      </c>
      <c r="O912" s="55"/>
      <c r="P912" s="45">
        <v>11</v>
      </c>
      <c r="Q912" s="279">
        <v>-1</v>
      </c>
      <c r="R912" s="275">
        <v>-2.2399999999999998E-3</v>
      </c>
      <c r="S912" s="279">
        <v>-4</v>
      </c>
      <c r="T912" s="279">
        <v>8</v>
      </c>
      <c r="U912" s="57">
        <v>1.1659999999999999</v>
      </c>
      <c r="V912" s="276">
        <v>0.15</v>
      </c>
      <c r="W912" s="276">
        <v>0.05</v>
      </c>
      <c r="X912" s="279">
        <v>7</v>
      </c>
      <c r="Y912" s="279">
        <v>2</v>
      </c>
      <c r="Z912" s="45" t="b">
        <v>1</v>
      </c>
      <c r="AA912" s="45" t="s">
        <v>38</v>
      </c>
      <c r="AB912" s="45" t="s">
        <v>50</v>
      </c>
    </row>
    <row r="913" spans="1:28" x14ac:dyDescent="0.2">
      <c r="A913" s="279" t="s">
        <v>355</v>
      </c>
      <c r="B913" s="279" t="s">
        <v>989</v>
      </c>
      <c r="C913" s="282">
        <v>44460</v>
      </c>
      <c r="D913" s="282">
        <v>44489</v>
      </c>
      <c r="E913" s="279" t="s">
        <v>300</v>
      </c>
      <c r="F913" s="133" t="s">
        <v>34</v>
      </c>
      <c r="G913" s="279" t="s">
        <v>61</v>
      </c>
      <c r="H913" s="272" t="s">
        <v>93</v>
      </c>
      <c r="I913" s="280">
        <v>25</v>
      </c>
      <c r="J913" s="279">
        <v>6</v>
      </c>
      <c r="K913" s="270">
        <f t="shared" si="0"/>
        <v>150</v>
      </c>
      <c r="L913" s="279">
        <v>289</v>
      </c>
      <c r="M913" s="279">
        <v>-58</v>
      </c>
      <c r="N913" s="281">
        <v>0</v>
      </c>
      <c r="O913" s="55"/>
      <c r="P913" s="45">
        <v>0</v>
      </c>
      <c r="Q913" s="279">
        <v>0</v>
      </c>
      <c r="R913" s="275">
        <v>-2.2399999999999998E-3</v>
      </c>
      <c r="S913" s="279">
        <v>0</v>
      </c>
      <c r="T913" s="279">
        <v>0</v>
      </c>
      <c r="U913" s="57">
        <v>1.1659999999999999</v>
      </c>
      <c r="V913" s="276">
        <v>0.15</v>
      </c>
      <c r="W913" s="276">
        <v>0.05</v>
      </c>
      <c r="X913" s="279">
        <v>0</v>
      </c>
      <c r="Y913" s="279">
        <v>0</v>
      </c>
      <c r="Z913" s="45" t="b">
        <v>1</v>
      </c>
      <c r="AA913" s="45" t="s">
        <v>38</v>
      </c>
      <c r="AB913" s="45" t="s">
        <v>50</v>
      </c>
    </row>
    <row r="914" spans="1:28" x14ac:dyDescent="0.2">
      <c r="A914" s="279" t="s">
        <v>355</v>
      </c>
      <c r="B914" s="279" t="s">
        <v>989</v>
      </c>
      <c r="C914" s="282">
        <v>44460</v>
      </c>
      <c r="D914" s="282">
        <v>44489</v>
      </c>
      <c r="E914" s="279" t="s">
        <v>300</v>
      </c>
      <c r="F914" s="133" t="s">
        <v>34</v>
      </c>
      <c r="G914" s="279" t="s">
        <v>61</v>
      </c>
      <c r="H914" s="272" t="s">
        <v>991</v>
      </c>
      <c r="I914" s="280">
        <v>50</v>
      </c>
      <c r="J914" s="279">
        <v>569</v>
      </c>
      <c r="K914" s="270">
        <f t="shared" si="0"/>
        <v>28450</v>
      </c>
      <c r="L914" s="279">
        <v>12660</v>
      </c>
      <c r="M914" s="279">
        <v>-2157</v>
      </c>
      <c r="N914" s="281">
        <v>245.44</v>
      </c>
      <c r="O914" s="55"/>
      <c r="P914" s="45">
        <v>245</v>
      </c>
      <c r="Q914" s="279">
        <v>-1675</v>
      </c>
      <c r="R914" s="275">
        <v>-2.2399999999999998E-3</v>
      </c>
      <c r="S914" s="279">
        <v>-1738</v>
      </c>
      <c r="T914" s="279">
        <v>-1493</v>
      </c>
      <c r="U914" s="57">
        <v>1.1659999999999999</v>
      </c>
      <c r="V914" s="276">
        <v>0.15</v>
      </c>
      <c r="W914" s="276">
        <v>0.05</v>
      </c>
      <c r="X914" s="279">
        <v>-1393</v>
      </c>
      <c r="Y914" s="279">
        <v>-348</v>
      </c>
      <c r="Z914" s="45" t="b">
        <v>1</v>
      </c>
      <c r="AA914" s="45" t="s">
        <v>38</v>
      </c>
      <c r="AB914" s="45" t="s">
        <v>50</v>
      </c>
    </row>
    <row r="915" spans="1:28" x14ac:dyDescent="0.2">
      <c r="A915" s="279" t="s">
        <v>355</v>
      </c>
      <c r="B915" s="279" t="s">
        <v>989</v>
      </c>
      <c r="C915" s="282">
        <v>44460</v>
      </c>
      <c r="D915" s="282">
        <v>44489</v>
      </c>
      <c r="E915" s="279" t="s">
        <v>300</v>
      </c>
      <c r="F915" s="133" t="s">
        <v>34</v>
      </c>
      <c r="G915" s="279" t="s">
        <v>61</v>
      </c>
      <c r="H915" s="272" t="s">
        <v>111</v>
      </c>
      <c r="I915" s="280">
        <v>50</v>
      </c>
      <c r="J915" s="279">
        <v>44</v>
      </c>
      <c r="K915" s="270">
        <f t="shared" si="0"/>
        <v>2200</v>
      </c>
      <c r="L915" s="279">
        <v>2039</v>
      </c>
      <c r="M915" s="279">
        <v>466</v>
      </c>
      <c r="N915" s="281">
        <v>18.98</v>
      </c>
      <c r="O915" s="55"/>
      <c r="P915" s="45">
        <v>19</v>
      </c>
      <c r="Q915" s="279">
        <v>-10</v>
      </c>
      <c r="R915" s="275">
        <v>-2.2399999999999998E-3</v>
      </c>
      <c r="S915" s="279">
        <v>-15</v>
      </c>
      <c r="T915" s="279">
        <v>4</v>
      </c>
      <c r="U915" s="57">
        <v>1.1659999999999999</v>
      </c>
      <c r="V915" s="276">
        <v>0.15</v>
      </c>
      <c r="W915" s="276">
        <v>0.05</v>
      </c>
      <c r="X915" s="279">
        <v>4</v>
      </c>
      <c r="Y915" s="279">
        <v>1</v>
      </c>
      <c r="Z915" s="45" t="b">
        <v>1</v>
      </c>
      <c r="AA915" s="45" t="s">
        <v>38</v>
      </c>
      <c r="AB915" s="45" t="s">
        <v>50</v>
      </c>
    </row>
    <row r="916" spans="1:28" x14ac:dyDescent="0.2">
      <c r="A916" s="279" t="s">
        <v>355</v>
      </c>
      <c r="B916" s="279" t="s">
        <v>989</v>
      </c>
      <c r="C916" s="282">
        <v>44460</v>
      </c>
      <c r="D916" s="282">
        <v>44489</v>
      </c>
      <c r="E916" s="279" t="s">
        <v>300</v>
      </c>
      <c r="F916" s="133" t="s">
        <v>34</v>
      </c>
      <c r="G916" s="279" t="s">
        <v>61</v>
      </c>
      <c r="H916" s="272" t="s">
        <v>109</v>
      </c>
      <c r="I916" s="280">
        <v>50</v>
      </c>
      <c r="J916" s="279">
        <v>457</v>
      </c>
      <c r="K916" s="270">
        <f t="shared" si="0"/>
        <v>22850</v>
      </c>
      <c r="L916" s="279">
        <v>21173</v>
      </c>
      <c r="M916" s="279">
        <v>175</v>
      </c>
      <c r="N916" s="281">
        <v>197.13</v>
      </c>
      <c r="O916" s="55"/>
      <c r="P916" s="45">
        <v>197</v>
      </c>
      <c r="Q916" s="279">
        <v>-68</v>
      </c>
      <c r="R916" s="275">
        <v>-2.2399999999999998E-3</v>
      </c>
      <c r="S916" s="279">
        <v>-120</v>
      </c>
      <c r="T916" s="279">
        <v>78</v>
      </c>
      <c r="U916" s="57">
        <v>1.1659999999999999</v>
      </c>
      <c r="V916" s="276">
        <v>0.15</v>
      </c>
      <c r="W916" s="276">
        <v>0.05</v>
      </c>
      <c r="X916" s="279">
        <v>72</v>
      </c>
      <c r="Y916" s="279">
        <v>18</v>
      </c>
      <c r="Z916" s="45" t="b">
        <v>1</v>
      </c>
      <c r="AA916" s="45" t="s">
        <v>38</v>
      </c>
      <c r="AB916" s="45" t="s">
        <v>50</v>
      </c>
    </row>
    <row r="917" spans="1:28" x14ac:dyDescent="0.2">
      <c r="A917" s="279" t="s">
        <v>355</v>
      </c>
      <c r="B917" s="279" t="s">
        <v>989</v>
      </c>
      <c r="C917" s="282">
        <v>44460</v>
      </c>
      <c r="D917" s="282">
        <v>44489</v>
      </c>
      <c r="E917" s="279" t="s">
        <v>300</v>
      </c>
      <c r="F917" s="133" t="s">
        <v>34</v>
      </c>
      <c r="G917" s="279" t="s">
        <v>61</v>
      </c>
      <c r="H917" s="272" t="s">
        <v>992</v>
      </c>
      <c r="I917" s="280">
        <v>100</v>
      </c>
      <c r="J917" s="279">
        <v>474</v>
      </c>
      <c r="K917" s="270">
        <f t="shared" si="0"/>
        <v>47400</v>
      </c>
      <c r="L917" s="279">
        <v>8783</v>
      </c>
      <c r="M917" s="279">
        <v>-1399</v>
      </c>
      <c r="N917" s="281">
        <v>408.92</v>
      </c>
      <c r="O917" s="55"/>
      <c r="P917" s="45">
        <v>409</v>
      </c>
      <c r="Q917" s="279">
        <v>-4301</v>
      </c>
      <c r="R917" s="275">
        <v>-2.2399999999999998E-3</v>
      </c>
      <c r="S917" s="279">
        <v>-4407</v>
      </c>
      <c r="T917" s="279">
        <v>-3999</v>
      </c>
      <c r="U917" s="57">
        <v>1.1659999999999999</v>
      </c>
      <c r="V917" s="276">
        <v>0.15</v>
      </c>
      <c r="W917" s="276">
        <v>0.05</v>
      </c>
      <c r="X917" s="279">
        <v>-3730</v>
      </c>
      <c r="Y917" s="279">
        <v>-932</v>
      </c>
      <c r="Z917" s="45" t="b">
        <v>1</v>
      </c>
      <c r="AA917" s="45" t="s">
        <v>38</v>
      </c>
      <c r="AB917" s="45" t="s">
        <v>50</v>
      </c>
    </row>
    <row r="918" spans="1:28" x14ac:dyDescent="0.2">
      <c r="A918" s="279" t="s">
        <v>355</v>
      </c>
      <c r="B918" s="279" t="s">
        <v>989</v>
      </c>
      <c r="C918" s="282">
        <v>44460</v>
      </c>
      <c r="D918" s="282">
        <v>44489</v>
      </c>
      <c r="E918" s="279" t="s">
        <v>300</v>
      </c>
      <c r="F918" s="133" t="s">
        <v>34</v>
      </c>
      <c r="G918" s="279" t="s">
        <v>61</v>
      </c>
      <c r="H918" s="272" t="s">
        <v>200</v>
      </c>
      <c r="I918" s="280">
        <v>100</v>
      </c>
      <c r="J918" s="279">
        <v>590</v>
      </c>
      <c r="K918" s="270">
        <f t="shared" si="0"/>
        <v>59000</v>
      </c>
      <c r="L918" s="279">
        <v>13393</v>
      </c>
      <c r="M918" s="279">
        <v>-1516</v>
      </c>
      <c r="N918" s="281">
        <v>509</v>
      </c>
      <c r="O918" s="55"/>
      <c r="P918" s="45">
        <v>509</v>
      </c>
      <c r="Q918" s="279">
        <v>-2537</v>
      </c>
      <c r="R918" s="275">
        <v>-2.2399999999999998E-3</v>
      </c>
      <c r="S918" s="279">
        <v>-2669</v>
      </c>
      <c r="T918" s="279">
        <v>-2160</v>
      </c>
      <c r="U918" s="57">
        <v>1.1659999999999999</v>
      </c>
      <c r="V918" s="276">
        <v>0.15</v>
      </c>
      <c r="W918" s="276">
        <v>0.05</v>
      </c>
      <c r="X918" s="279">
        <v>-2015</v>
      </c>
      <c r="Y918" s="279">
        <v>-504</v>
      </c>
      <c r="Z918" s="45" t="b">
        <v>1</v>
      </c>
      <c r="AA918" s="45" t="s">
        <v>38</v>
      </c>
      <c r="AB918" s="45" t="s">
        <v>50</v>
      </c>
    </row>
    <row r="919" spans="1:28" x14ac:dyDescent="0.2">
      <c r="A919" s="279" t="s">
        <v>395</v>
      </c>
      <c r="B919" s="279" t="s">
        <v>395</v>
      </c>
      <c r="C919" s="282">
        <v>44460</v>
      </c>
      <c r="D919" s="282">
        <v>44489</v>
      </c>
      <c r="E919" s="279" t="s">
        <v>267</v>
      </c>
      <c r="F919" s="133" t="s">
        <v>34</v>
      </c>
      <c r="G919" s="279" t="s">
        <v>61</v>
      </c>
      <c r="H919" s="272" t="s">
        <v>94</v>
      </c>
      <c r="I919" s="280">
        <v>25</v>
      </c>
      <c r="J919" s="279">
        <v>24</v>
      </c>
      <c r="K919" s="270">
        <f t="shared" si="0"/>
        <v>600</v>
      </c>
      <c r="L919" s="279">
        <v>167</v>
      </c>
      <c r="M919" s="279">
        <v>-58</v>
      </c>
      <c r="N919" s="281">
        <v>384</v>
      </c>
      <c r="O919" s="55"/>
      <c r="P919" s="45">
        <v>384</v>
      </c>
      <c r="Q919" s="279">
        <v>-51</v>
      </c>
      <c r="R919" s="275">
        <v>-2.2399999999999998E-3</v>
      </c>
      <c r="S919" s="279">
        <v>-52</v>
      </c>
      <c r="T919" s="279">
        <v>332</v>
      </c>
      <c r="U919" s="57">
        <v>1</v>
      </c>
      <c r="V919" s="276">
        <v>0.19</v>
      </c>
      <c r="W919" s="276">
        <v>0</v>
      </c>
      <c r="X919" s="279">
        <v>269</v>
      </c>
      <c r="Y919" s="279">
        <v>63</v>
      </c>
      <c r="Z919" s="45" t="b">
        <v>1</v>
      </c>
      <c r="AA919" s="45" t="s">
        <v>50</v>
      </c>
      <c r="AB919" s="45" t="s">
        <v>50</v>
      </c>
    </row>
    <row r="920" spans="1:28" x14ac:dyDescent="0.2">
      <c r="A920" s="279" t="s">
        <v>395</v>
      </c>
      <c r="B920" s="279" t="s">
        <v>395</v>
      </c>
      <c r="C920" s="282">
        <v>44460</v>
      </c>
      <c r="D920" s="282">
        <v>44489</v>
      </c>
      <c r="E920" s="279" t="s">
        <v>267</v>
      </c>
      <c r="F920" s="133" t="s">
        <v>34</v>
      </c>
      <c r="G920" s="279" t="s">
        <v>61</v>
      </c>
      <c r="H920" s="272" t="s">
        <v>93</v>
      </c>
      <c r="I920" s="280">
        <v>25</v>
      </c>
      <c r="J920" s="279">
        <v>17</v>
      </c>
      <c r="K920" s="270">
        <f t="shared" si="0"/>
        <v>425</v>
      </c>
      <c r="L920" s="279">
        <v>2354</v>
      </c>
      <c r="M920" s="279">
        <v>29</v>
      </c>
      <c r="N920" s="281">
        <v>8</v>
      </c>
      <c r="O920" s="55"/>
      <c r="P920" s="45">
        <v>8</v>
      </c>
      <c r="Q920" s="279">
        <v>70</v>
      </c>
      <c r="R920" s="275">
        <v>-2.2399999999999998E-3</v>
      </c>
      <c r="S920" s="279">
        <v>69</v>
      </c>
      <c r="T920" s="279">
        <v>77</v>
      </c>
      <c r="U920" s="57">
        <v>1</v>
      </c>
      <c r="V920" s="276">
        <v>0.19</v>
      </c>
      <c r="W920" s="276">
        <v>0</v>
      </c>
      <c r="X920" s="279">
        <v>62</v>
      </c>
      <c r="Y920" s="279">
        <v>15</v>
      </c>
      <c r="Z920" s="45" t="b">
        <v>1</v>
      </c>
      <c r="AA920" s="45" t="s">
        <v>50</v>
      </c>
      <c r="AB920" s="45" t="s">
        <v>50</v>
      </c>
    </row>
    <row r="921" spans="1:28" x14ac:dyDescent="0.2">
      <c r="A921" s="279" t="s">
        <v>395</v>
      </c>
      <c r="B921" s="279" t="s">
        <v>395</v>
      </c>
      <c r="C921" s="282">
        <v>44460</v>
      </c>
      <c r="D921" s="282">
        <v>44489</v>
      </c>
      <c r="E921" s="279" t="s">
        <v>267</v>
      </c>
      <c r="F921" s="133" t="s">
        <v>34</v>
      </c>
      <c r="G921" s="279" t="s">
        <v>61</v>
      </c>
      <c r="H921" s="272" t="s">
        <v>991</v>
      </c>
      <c r="I921" s="280">
        <v>50</v>
      </c>
      <c r="J921" s="279">
        <v>885</v>
      </c>
      <c r="K921" s="270">
        <f t="shared" si="0"/>
        <v>44250</v>
      </c>
      <c r="L921" s="279">
        <v>27998</v>
      </c>
      <c r="M921" s="279">
        <v>-1166</v>
      </c>
      <c r="N921" s="281">
        <v>0</v>
      </c>
      <c r="O921" s="55"/>
      <c r="P921" s="45">
        <v>0</v>
      </c>
      <c r="Q921" s="279">
        <v>-1697</v>
      </c>
      <c r="R921" s="275">
        <v>-2.2399999999999998E-3</v>
      </c>
      <c r="S921" s="279">
        <v>-1796</v>
      </c>
      <c r="T921" s="279">
        <v>-1796</v>
      </c>
      <c r="U921" s="57">
        <v>1</v>
      </c>
      <c r="V921" s="276">
        <v>0.19</v>
      </c>
      <c r="W921" s="276">
        <v>0</v>
      </c>
      <c r="X921" s="279">
        <v>-1455</v>
      </c>
      <c r="Y921" s="279">
        <v>-341</v>
      </c>
      <c r="Z921" s="45" t="b">
        <v>1</v>
      </c>
      <c r="AA921" s="45" t="s">
        <v>50</v>
      </c>
      <c r="AB921" s="45" t="s">
        <v>50</v>
      </c>
    </row>
    <row r="922" spans="1:28" x14ac:dyDescent="0.2">
      <c r="A922" s="279" t="s">
        <v>395</v>
      </c>
      <c r="B922" s="279" t="s">
        <v>395</v>
      </c>
      <c r="C922" s="282">
        <v>44460</v>
      </c>
      <c r="D922" s="282">
        <v>44489</v>
      </c>
      <c r="E922" s="279" t="s">
        <v>267</v>
      </c>
      <c r="F922" s="133" t="s">
        <v>34</v>
      </c>
      <c r="G922" s="279" t="s">
        <v>61</v>
      </c>
      <c r="H922" s="272" t="s">
        <v>109</v>
      </c>
      <c r="I922" s="280">
        <v>50</v>
      </c>
      <c r="J922" s="279">
        <v>947</v>
      </c>
      <c r="K922" s="270">
        <f t="shared" si="0"/>
        <v>47350</v>
      </c>
      <c r="L922" s="279">
        <v>65174</v>
      </c>
      <c r="M922" s="279">
        <v>3498</v>
      </c>
      <c r="N922" s="281">
        <v>723</v>
      </c>
      <c r="O922" s="55"/>
      <c r="P922" s="45">
        <v>723</v>
      </c>
      <c r="Q922" s="279">
        <v>1797</v>
      </c>
      <c r="R922" s="275">
        <v>-2.2399999999999998E-3</v>
      </c>
      <c r="S922" s="279">
        <v>1691</v>
      </c>
      <c r="T922" s="279">
        <v>2414</v>
      </c>
      <c r="U922" s="57">
        <v>1</v>
      </c>
      <c r="V922" s="276">
        <v>0.19</v>
      </c>
      <c r="W922" s="276">
        <v>0</v>
      </c>
      <c r="X922" s="279">
        <v>1955</v>
      </c>
      <c r="Y922" s="279">
        <v>459</v>
      </c>
      <c r="Z922" s="45" t="b">
        <v>1</v>
      </c>
      <c r="AA922" s="45" t="s">
        <v>50</v>
      </c>
      <c r="AB922" s="45" t="s">
        <v>50</v>
      </c>
    </row>
    <row r="923" spans="1:28" x14ac:dyDescent="0.2">
      <c r="A923" s="279" t="s">
        <v>395</v>
      </c>
      <c r="B923" s="279" t="s">
        <v>395</v>
      </c>
      <c r="C923" s="282">
        <v>44460</v>
      </c>
      <c r="D923" s="282">
        <v>44489</v>
      </c>
      <c r="E923" s="279" t="s">
        <v>267</v>
      </c>
      <c r="F923" s="133" t="s">
        <v>34</v>
      </c>
      <c r="G923" s="279" t="s">
        <v>61</v>
      </c>
      <c r="H923" s="272" t="s">
        <v>992</v>
      </c>
      <c r="I923" s="280">
        <v>100</v>
      </c>
      <c r="J923" s="279">
        <v>433</v>
      </c>
      <c r="K923" s="270">
        <f t="shared" si="0"/>
        <v>43300</v>
      </c>
      <c r="L923" s="279">
        <v>31231</v>
      </c>
      <c r="M923" s="279">
        <v>-3731</v>
      </c>
      <c r="N923" s="281">
        <v>661</v>
      </c>
      <c r="O923" s="55"/>
      <c r="P923" s="45">
        <v>661</v>
      </c>
      <c r="Q923" s="279">
        <v>-104</v>
      </c>
      <c r="R923" s="275">
        <v>-2.2399999999999998E-3</v>
      </c>
      <c r="S923" s="279">
        <v>-201</v>
      </c>
      <c r="T923" s="279">
        <v>460</v>
      </c>
      <c r="U923" s="57">
        <v>1</v>
      </c>
      <c r="V923" s="276">
        <v>0.19</v>
      </c>
      <c r="W923" s="276">
        <v>0</v>
      </c>
      <c r="X923" s="279">
        <v>372</v>
      </c>
      <c r="Y923" s="279">
        <v>87</v>
      </c>
      <c r="Z923" s="45" t="b">
        <v>1</v>
      </c>
      <c r="AA923" s="45" t="s">
        <v>50</v>
      </c>
      <c r="AB923" s="45" t="s">
        <v>50</v>
      </c>
    </row>
    <row r="924" spans="1:28" x14ac:dyDescent="0.2">
      <c r="A924" s="279" t="s">
        <v>395</v>
      </c>
      <c r="B924" s="279" t="s">
        <v>395</v>
      </c>
      <c r="C924" s="282">
        <v>44460</v>
      </c>
      <c r="D924" s="282">
        <v>44489</v>
      </c>
      <c r="E924" s="279" t="s">
        <v>267</v>
      </c>
      <c r="F924" s="133" t="s">
        <v>34</v>
      </c>
      <c r="G924" s="279" t="s">
        <v>61</v>
      </c>
      <c r="H924" s="272" t="s">
        <v>993</v>
      </c>
      <c r="I924" s="280">
        <v>250</v>
      </c>
      <c r="J924" s="279">
        <v>115</v>
      </c>
      <c r="K924" s="270">
        <f t="shared" si="0"/>
        <v>28750</v>
      </c>
      <c r="L924" s="279">
        <v>6306</v>
      </c>
      <c r="M924" s="279">
        <v>-3498</v>
      </c>
      <c r="N924" s="281">
        <v>439</v>
      </c>
      <c r="O924" s="55"/>
      <c r="P924" s="45">
        <v>439</v>
      </c>
      <c r="Q924" s="279">
        <v>1519</v>
      </c>
      <c r="R924" s="275">
        <v>-2.2399999999999998E-3</v>
      </c>
      <c r="S924" s="279">
        <v>1454</v>
      </c>
      <c r="T924" s="279">
        <v>1893</v>
      </c>
      <c r="U924" s="57">
        <v>1</v>
      </c>
      <c r="V924" s="276">
        <v>0.19</v>
      </c>
      <c r="W924" s="276">
        <v>0</v>
      </c>
      <c r="X924" s="279">
        <v>1534</v>
      </c>
      <c r="Y924" s="279">
        <v>360</v>
      </c>
      <c r="Z924" s="45" t="b">
        <v>1</v>
      </c>
      <c r="AA924" s="45" t="s">
        <v>50</v>
      </c>
      <c r="AB924" s="45" t="s">
        <v>50</v>
      </c>
    </row>
    <row r="925" spans="1:28" x14ac:dyDescent="0.2">
      <c r="A925" s="279" t="s">
        <v>395</v>
      </c>
      <c r="B925" s="279" t="s">
        <v>395</v>
      </c>
      <c r="C925" s="282">
        <v>44460</v>
      </c>
      <c r="D925" s="282">
        <v>44489</v>
      </c>
      <c r="E925" s="279" t="s">
        <v>267</v>
      </c>
      <c r="F925" s="133" t="s">
        <v>34</v>
      </c>
      <c r="G925" s="279" t="s">
        <v>61</v>
      </c>
      <c r="H925" s="272" t="s">
        <v>994</v>
      </c>
      <c r="I925" s="273">
        <v>250</v>
      </c>
      <c r="J925" s="270">
        <v>23</v>
      </c>
      <c r="K925" s="270">
        <f t="shared" si="0"/>
        <v>5750</v>
      </c>
      <c r="L925" s="270">
        <v>1021</v>
      </c>
      <c r="M925" s="270">
        <v>-1458</v>
      </c>
      <c r="N925" s="274">
        <v>88</v>
      </c>
      <c r="O925" s="55"/>
      <c r="P925" s="45">
        <v>88</v>
      </c>
      <c r="Q925" s="270">
        <v>28</v>
      </c>
      <c r="R925" s="275">
        <v>-2.2399999999999998E-3</v>
      </c>
      <c r="S925" s="270">
        <v>15</v>
      </c>
      <c r="T925" s="270">
        <v>103</v>
      </c>
      <c r="U925" s="57">
        <v>1</v>
      </c>
      <c r="V925" s="276">
        <v>0.19</v>
      </c>
      <c r="W925" s="276">
        <v>0</v>
      </c>
      <c r="X925" s="270">
        <v>83</v>
      </c>
      <c r="Y925" s="270">
        <v>20</v>
      </c>
      <c r="Z925" s="45" t="b">
        <v>1</v>
      </c>
      <c r="AA925" s="45" t="s">
        <v>50</v>
      </c>
      <c r="AB925" s="45" t="s">
        <v>50</v>
      </c>
    </row>
    <row r="926" spans="1:28" x14ac:dyDescent="0.2">
      <c r="A926" s="279" t="s">
        <v>395</v>
      </c>
      <c r="B926" s="279" t="s">
        <v>395</v>
      </c>
      <c r="C926" s="282">
        <v>44460</v>
      </c>
      <c r="D926" s="282">
        <v>44489</v>
      </c>
      <c r="E926" s="279" t="s">
        <v>267</v>
      </c>
      <c r="F926" s="133" t="s">
        <v>34</v>
      </c>
      <c r="G926" s="279" t="s">
        <v>61</v>
      </c>
      <c r="H926" s="272" t="s">
        <v>200</v>
      </c>
      <c r="I926" s="273">
        <v>100</v>
      </c>
      <c r="J926" s="270">
        <v>207</v>
      </c>
      <c r="K926" s="270">
        <f t="shared" si="0"/>
        <v>20700</v>
      </c>
      <c r="L926" s="270">
        <v>3244</v>
      </c>
      <c r="M926" s="270">
        <v>0</v>
      </c>
      <c r="N926" s="274">
        <v>316</v>
      </c>
      <c r="O926" s="55"/>
      <c r="P926" s="45">
        <v>316</v>
      </c>
      <c r="Q926" s="270">
        <v>-1217</v>
      </c>
      <c r="R926" s="275">
        <v>-2.2399999999999998E-3</v>
      </c>
      <c r="S926" s="270">
        <v>-1264</v>
      </c>
      <c r="T926" s="270">
        <v>-948</v>
      </c>
      <c r="U926" s="57">
        <v>1</v>
      </c>
      <c r="V926" s="276">
        <v>0.19</v>
      </c>
      <c r="W926" s="276">
        <v>0</v>
      </c>
      <c r="X926" s="270">
        <v>-768</v>
      </c>
      <c r="Y926" s="270">
        <v>-180</v>
      </c>
      <c r="Z926" s="45" t="b">
        <v>1</v>
      </c>
      <c r="AA926" s="45" t="s">
        <v>50</v>
      </c>
      <c r="AB926" s="45" t="s">
        <v>50</v>
      </c>
    </row>
    <row r="927" spans="1:28" x14ac:dyDescent="0.2">
      <c r="A927" s="279" t="s">
        <v>395</v>
      </c>
      <c r="B927" s="279" t="s">
        <v>395</v>
      </c>
      <c r="C927" s="282">
        <v>44460</v>
      </c>
      <c r="D927" s="282">
        <v>44489</v>
      </c>
      <c r="E927" s="279" t="s">
        <v>267</v>
      </c>
      <c r="F927" s="133" t="s">
        <v>41</v>
      </c>
      <c r="G927" s="279" t="s">
        <v>61</v>
      </c>
      <c r="H927" s="272" t="s">
        <v>200</v>
      </c>
      <c r="I927" s="280">
        <v>100</v>
      </c>
      <c r="J927" s="279">
        <v>34</v>
      </c>
      <c r="K927" s="270">
        <f t="shared" si="0"/>
        <v>3400</v>
      </c>
      <c r="L927" s="279">
        <v>6016</v>
      </c>
      <c r="M927" s="279">
        <v>2100</v>
      </c>
      <c r="N927" s="281">
        <v>52</v>
      </c>
      <c r="O927" s="55"/>
      <c r="P927" s="45">
        <v>52</v>
      </c>
      <c r="Q927" s="279">
        <v>798</v>
      </c>
      <c r="R927" s="275">
        <v>0</v>
      </c>
      <c r="S927" s="279">
        <v>798</v>
      </c>
      <c r="T927" s="279">
        <v>2152</v>
      </c>
      <c r="U927" s="57">
        <v>1</v>
      </c>
      <c r="V927" s="276">
        <v>0.19</v>
      </c>
      <c r="W927" s="276">
        <v>0</v>
      </c>
      <c r="X927" s="279">
        <v>1743</v>
      </c>
      <c r="Y927" s="279">
        <v>409</v>
      </c>
      <c r="Z927" s="45" t="b">
        <v>1</v>
      </c>
      <c r="AA927" s="45" t="s">
        <v>50</v>
      </c>
      <c r="AB927" s="45" t="s">
        <v>50</v>
      </c>
    </row>
    <row r="928" spans="1:28" x14ac:dyDescent="0.2">
      <c r="A928" s="279" t="s">
        <v>395</v>
      </c>
      <c r="B928" s="279" t="s">
        <v>395</v>
      </c>
      <c r="C928" s="282">
        <v>44460</v>
      </c>
      <c r="D928" s="282">
        <v>44489</v>
      </c>
      <c r="E928" s="279" t="s">
        <v>267</v>
      </c>
      <c r="F928" s="133" t="s">
        <v>41</v>
      </c>
      <c r="G928" s="279" t="s">
        <v>61</v>
      </c>
      <c r="H928" s="272" t="s">
        <v>994</v>
      </c>
      <c r="I928" s="280">
        <v>250</v>
      </c>
      <c r="J928" s="279">
        <v>1</v>
      </c>
      <c r="K928" s="270">
        <f t="shared" si="0"/>
        <v>250</v>
      </c>
      <c r="L928" s="279">
        <v>-500</v>
      </c>
      <c r="M928" s="279">
        <v>-250</v>
      </c>
      <c r="N928" s="281">
        <v>4</v>
      </c>
      <c r="O928" s="55"/>
      <c r="P928" s="45">
        <v>4</v>
      </c>
      <c r="Q928" s="279">
        <v>-250</v>
      </c>
      <c r="R928" s="275">
        <v>0</v>
      </c>
      <c r="S928" s="279">
        <v>-250</v>
      </c>
      <c r="T928" s="279">
        <v>-246</v>
      </c>
      <c r="U928" s="57">
        <v>1</v>
      </c>
      <c r="V928" s="276">
        <v>0.19</v>
      </c>
      <c r="W928" s="276">
        <v>0</v>
      </c>
      <c r="X928" s="279">
        <v>-199</v>
      </c>
      <c r="Y928" s="279">
        <v>-47</v>
      </c>
      <c r="Z928" s="45" t="b">
        <v>1</v>
      </c>
      <c r="AA928" s="45" t="s">
        <v>50</v>
      </c>
      <c r="AB928" s="45" t="s">
        <v>50</v>
      </c>
    </row>
    <row r="929" spans="1:28" x14ac:dyDescent="0.2">
      <c r="A929" s="279" t="s">
        <v>395</v>
      </c>
      <c r="B929" s="270" t="s">
        <v>162</v>
      </c>
      <c r="C929" s="282">
        <v>44460</v>
      </c>
      <c r="D929" s="282">
        <v>44489</v>
      </c>
      <c r="E929" s="279" t="s">
        <v>267</v>
      </c>
      <c r="F929" s="133" t="s">
        <v>41</v>
      </c>
      <c r="G929" s="270" t="s">
        <v>35</v>
      </c>
      <c r="H929" s="272" t="s">
        <v>72</v>
      </c>
      <c r="I929" s="273">
        <v>50</v>
      </c>
      <c r="J929" s="270">
        <v>27</v>
      </c>
      <c r="K929" s="270">
        <f t="shared" si="0"/>
        <v>1350</v>
      </c>
      <c r="L929" s="270">
        <v>1026</v>
      </c>
      <c r="M929" s="270">
        <v>1200</v>
      </c>
      <c r="N929" s="274">
        <v>0</v>
      </c>
      <c r="O929" s="55"/>
      <c r="P929" s="45">
        <v>0</v>
      </c>
      <c r="Q929" s="270">
        <v>9</v>
      </c>
      <c r="R929" s="275">
        <v>0</v>
      </c>
      <c r="S929" s="270">
        <v>9</v>
      </c>
      <c r="T929" s="270">
        <v>1200</v>
      </c>
      <c r="U929" s="57">
        <v>1.1659999999999999</v>
      </c>
      <c r="V929" s="276">
        <v>0.19</v>
      </c>
      <c r="W929" s="276">
        <v>0</v>
      </c>
      <c r="X929" s="270">
        <v>1133</v>
      </c>
      <c r="Y929" s="270">
        <v>266</v>
      </c>
      <c r="Z929" s="45" t="b">
        <v>1</v>
      </c>
      <c r="AA929" s="45" t="s">
        <v>50</v>
      </c>
      <c r="AB929" s="45" t="s">
        <v>38</v>
      </c>
    </row>
    <row r="930" spans="1:28" x14ac:dyDescent="0.2">
      <c r="A930" s="96" t="s">
        <v>402</v>
      </c>
      <c r="B930" s="96" t="s">
        <v>402</v>
      </c>
      <c r="C930" s="277">
        <v>44460</v>
      </c>
      <c r="D930" s="277">
        <v>44489</v>
      </c>
      <c r="E930" s="270" t="s">
        <v>267</v>
      </c>
      <c r="F930" s="133" t="s">
        <v>34</v>
      </c>
      <c r="G930" s="96" t="s">
        <v>165</v>
      </c>
      <c r="H930" s="272" t="s">
        <v>166</v>
      </c>
      <c r="I930" s="273">
        <v>10</v>
      </c>
      <c r="J930" s="270">
        <v>2023</v>
      </c>
      <c r="K930" s="270">
        <f t="shared" si="0"/>
        <v>20230</v>
      </c>
      <c r="L930" s="270">
        <v>157742</v>
      </c>
      <c r="M930" s="270">
        <v>1560</v>
      </c>
      <c r="N930" s="274"/>
      <c r="O930" s="55"/>
      <c r="P930" s="96"/>
      <c r="Q930" s="270">
        <v>1352</v>
      </c>
      <c r="R930" s="275">
        <v>-2.2399999999999998E-3</v>
      </c>
      <c r="S930" s="270">
        <v>1306</v>
      </c>
      <c r="T930" s="270">
        <v>1306</v>
      </c>
      <c r="U930" s="57">
        <v>1.1659999999999999</v>
      </c>
      <c r="V930" s="276">
        <v>0.25</v>
      </c>
      <c r="W930" s="276">
        <v>0</v>
      </c>
      <c r="X930" s="270">
        <v>1142</v>
      </c>
      <c r="Y930" s="270">
        <v>381</v>
      </c>
      <c r="Z930" s="45" t="b">
        <v>1</v>
      </c>
      <c r="AA930" s="45" t="s">
        <v>38</v>
      </c>
      <c r="AB930" s="45" t="s">
        <v>50</v>
      </c>
    </row>
    <row r="931" spans="1:28" x14ac:dyDescent="0.2">
      <c r="A931" s="279" t="s">
        <v>91</v>
      </c>
      <c r="B931" s="279" t="s">
        <v>91</v>
      </c>
      <c r="C931" s="282">
        <v>44460</v>
      </c>
      <c r="D931" s="282">
        <v>44489</v>
      </c>
      <c r="E931" s="279" t="s">
        <v>267</v>
      </c>
      <c r="F931" s="133" t="s">
        <v>34</v>
      </c>
      <c r="G931" s="279" t="s">
        <v>61</v>
      </c>
      <c r="H931" s="272" t="s">
        <v>94</v>
      </c>
      <c r="I931" s="280">
        <v>25</v>
      </c>
      <c r="J931" s="279">
        <v>313</v>
      </c>
      <c r="K931" s="270">
        <f t="shared" si="0"/>
        <v>7825</v>
      </c>
      <c r="L931" s="279">
        <v>10414</v>
      </c>
      <c r="M931" s="279">
        <v>-758</v>
      </c>
      <c r="N931" s="281">
        <v>222.43</v>
      </c>
      <c r="O931" s="55"/>
      <c r="P931" s="45">
        <v>222</v>
      </c>
      <c r="Q931" s="279">
        <v>-283</v>
      </c>
      <c r="R931" s="275">
        <v>-2.2399999999999998E-3</v>
      </c>
      <c r="S931" s="279">
        <v>-300</v>
      </c>
      <c r="T931" s="279">
        <v>-78</v>
      </c>
      <c r="U931" s="57">
        <v>1</v>
      </c>
      <c r="V931" s="276">
        <v>0.3</v>
      </c>
      <c r="W931" s="276">
        <v>0</v>
      </c>
      <c r="X931" s="279">
        <v>-54</v>
      </c>
      <c r="Y931" s="279">
        <v>-23</v>
      </c>
      <c r="Z931" s="45" t="b">
        <v>1</v>
      </c>
      <c r="AA931" s="45" t="s">
        <v>50</v>
      </c>
      <c r="AB931" s="45" t="s">
        <v>50</v>
      </c>
    </row>
    <row r="932" spans="1:28" x14ac:dyDescent="0.2">
      <c r="A932" s="279" t="s">
        <v>91</v>
      </c>
      <c r="B932" s="279" t="s">
        <v>91</v>
      </c>
      <c r="C932" s="282">
        <v>44460</v>
      </c>
      <c r="D932" s="282">
        <v>44489</v>
      </c>
      <c r="E932" s="279" t="s">
        <v>267</v>
      </c>
      <c r="F932" s="133" t="s">
        <v>34</v>
      </c>
      <c r="G932" s="279" t="s">
        <v>61</v>
      </c>
      <c r="H932" s="272" t="s">
        <v>93</v>
      </c>
      <c r="I932" s="280">
        <v>25</v>
      </c>
      <c r="J932" s="279">
        <v>126</v>
      </c>
      <c r="K932" s="270">
        <f t="shared" si="0"/>
        <v>3150</v>
      </c>
      <c r="L932" s="279">
        <v>9937</v>
      </c>
      <c r="M932" s="279">
        <v>-292</v>
      </c>
      <c r="N932" s="281">
        <v>2.57</v>
      </c>
      <c r="O932" s="55"/>
      <c r="P932" s="45">
        <v>3</v>
      </c>
      <c r="Q932" s="279">
        <v>177</v>
      </c>
      <c r="R932" s="275">
        <v>-2.2399999999999998E-3</v>
      </c>
      <c r="S932" s="279">
        <v>170</v>
      </c>
      <c r="T932" s="279">
        <v>173</v>
      </c>
      <c r="U932" s="57">
        <v>1</v>
      </c>
      <c r="V932" s="276">
        <v>0.3</v>
      </c>
      <c r="W932" s="276">
        <v>0</v>
      </c>
      <c r="X932" s="279">
        <v>121</v>
      </c>
      <c r="Y932" s="279">
        <v>52</v>
      </c>
      <c r="Z932" s="45" t="b">
        <v>1</v>
      </c>
      <c r="AA932" s="45" t="s">
        <v>50</v>
      </c>
      <c r="AB932" s="45" t="s">
        <v>50</v>
      </c>
    </row>
    <row r="933" spans="1:28" x14ac:dyDescent="0.2">
      <c r="A933" s="96" t="s">
        <v>473</v>
      </c>
      <c r="B933" s="270" t="s">
        <v>120</v>
      </c>
      <c r="C933" s="277">
        <v>44460</v>
      </c>
      <c r="D933" s="277">
        <v>44489</v>
      </c>
      <c r="E933" s="270" t="s">
        <v>267</v>
      </c>
      <c r="F933" s="96" t="s">
        <v>34</v>
      </c>
      <c r="G933" s="270" t="s">
        <v>35</v>
      </c>
      <c r="H933" s="272" t="s">
        <v>39</v>
      </c>
      <c r="I933" s="280">
        <v>5</v>
      </c>
      <c r="J933" s="279">
        <v>1899</v>
      </c>
      <c r="K933" s="270">
        <f t="shared" si="0"/>
        <v>9495</v>
      </c>
      <c r="L933" s="279">
        <v>105368</v>
      </c>
      <c r="M933" s="279">
        <v>-180</v>
      </c>
      <c r="N933" s="274">
        <v>411</v>
      </c>
      <c r="O933" s="55"/>
      <c r="P933" s="45">
        <v>411</v>
      </c>
      <c r="Q933" s="279">
        <v>115</v>
      </c>
      <c r="R933" s="275">
        <v>-2.2399999999999998E-3</v>
      </c>
      <c r="S933" s="279">
        <v>94</v>
      </c>
      <c r="T933" s="279">
        <v>505</v>
      </c>
      <c r="U933" s="57">
        <v>1</v>
      </c>
      <c r="V933" s="276">
        <v>0.3</v>
      </c>
      <c r="W933" s="276">
        <v>0</v>
      </c>
      <c r="X933" s="279">
        <v>353</v>
      </c>
      <c r="Y933" s="279">
        <v>151</v>
      </c>
      <c r="Z933" s="45" t="b">
        <v>1</v>
      </c>
      <c r="AA933" s="45" t="s">
        <v>38</v>
      </c>
      <c r="AB933" s="45" t="s">
        <v>38</v>
      </c>
    </row>
    <row r="934" spans="1:28" x14ac:dyDescent="0.2">
      <c r="A934" s="279" t="s">
        <v>178</v>
      </c>
      <c r="B934" s="279" t="s">
        <v>922</v>
      </c>
      <c r="C934" s="282">
        <v>44460</v>
      </c>
      <c r="D934" s="282">
        <v>44489</v>
      </c>
      <c r="E934" s="279" t="s">
        <v>267</v>
      </c>
      <c r="F934" s="133" t="s">
        <v>34</v>
      </c>
      <c r="G934" s="279" t="s">
        <v>61</v>
      </c>
      <c r="H934" s="272" t="s">
        <v>995</v>
      </c>
      <c r="I934" s="280">
        <v>5</v>
      </c>
      <c r="J934" s="279">
        <v>20</v>
      </c>
      <c r="K934" s="270">
        <f t="shared" si="0"/>
        <v>100</v>
      </c>
      <c r="L934" s="279">
        <v>403</v>
      </c>
      <c r="M934" s="279">
        <v>0</v>
      </c>
      <c r="N934" s="281">
        <v>7.99</v>
      </c>
      <c r="O934" s="55"/>
      <c r="P934" s="45">
        <v>8</v>
      </c>
      <c r="Q934" s="279">
        <v>-4</v>
      </c>
      <c r="R934" s="275">
        <v>-2.2399999999999998E-3</v>
      </c>
      <c r="S934" s="279">
        <v>-4</v>
      </c>
      <c r="T934" s="279">
        <v>4</v>
      </c>
      <c r="U934" s="57">
        <v>1</v>
      </c>
      <c r="V934" s="276">
        <v>0.2</v>
      </c>
      <c r="W934" s="276">
        <v>0</v>
      </c>
      <c r="X934" s="279">
        <v>3</v>
      </c>
      <c r="Y934" s="279">
        <v>1</v>
      </c>
      <c r="Z934" s="45" t="b">
        <v>1</v>
      </c>
      <c r="AA934" s="45" t="s">
        <v>50</v>
      </c>
      <c r="AB934" s="45" t="s">
        <v>50</v>
      </c>
    </row>
    <row r="935" spans="1:28" x14ac:dyDescent="0.2">
      <c r="A935" s="279" t="s">
        <v>178</v>
      </c>
      <c r="B935" s="279" t="s">
        <v>922</v>
      </c>
      <c r="C935" s="282">
        <v>44460</v>
      </c>
      <c r="D935" s="282">
        <v>44489</v>
      </c>
      <c r="E935" s="279" t="s">
        <v>267</v>
      </c>
      <c r="F935" s="133" t="s">
        <v>34</v>
      </c>
      <c r="G935" s="279" t="s">
        <v>61</v>
      </c>
      <c r="H935" s="272" t="s">
        <v>980</v>
      </c>
      <c r="I935" s="280">
        <v>5</v>
      </c>
      <c r="J935" s="279">
        <v>36</v>
      </c>
      <c r="K935" s="270">
        <f t="shared" si="0"/>
        <v>180</v>
      </c>
      <c r="L935" s="279">
        <v>-4225</v>
      </c>
      <c r="M935" s="279">
        <v>-23</v>
      </c>
      <c r="N935" s="281">
        <v>0.41</v>
      </c>
      <c r="O935" s="55"/>
      <c r="P935" s="45">
        <v>0</v>
      </c>
      <c r="Q935" s="279">
        <v>-52</v>
      </c>
      <c r="R935" s="275">
        <v>-2.2399999999999998E-3</v>
      </c>
      <c r="S935" s="279">
        <v>-53</v>
      </c>
      <c r="T935" s="279">
        <v>-52</v>
      </c>
      <c r="U935" s="57">
        <v>1</v>
      </c>
      <c r="V935" s="276">
        <v>0.2</v>
      </c>
      <c r="W935" s="276">
        <v>0</v>
      </c>
      <c r="X935" s="279">
        <v>-42</v>
      </c>
      <c r="Y935" s="279">
        <v>-10</v>
      </c>
      <c r="Z935" s="45" t="b">
        <v>1</v>
      </c>
      <c r="AA935" s="45" t="s">
        <v>50</v>
      </c>
      <c r="AB935" s="45" t="s">
        <v>50</v>
      </c>
    </row>
    <row r="936" spans="1:28" x14ac:dyDescent="0.2">
      <c r="A936" s="279" t="s">
        <v>178</v>
      </c>
      <c r="B936" s="279" t="s">
        <v>922</v>
      </c>
      <c r="C936" s="282">
        <v>44460</v>
      </c>
      <c r="D936" s="282">
        <v>44489</v>
      </c>
      <c r="E936" s="279" t="s">
        <v>267</v>
      </c>
      <c r="F936" s="133" t="s">
        <v>34</v>
      </c>
      <c r="G936" s="279" t="s">
        <v>61</v>
      </c>
      <c r="H936" s="272" t="s">
        <v>62</v>
      </c>
      <c r="I936" s="280">
        <v>10</v>
      </c>
      <c r="J936" s="279">
        <v>542</v>
      </c>
      <c r="K936" s="270">
        <f t="shared" si="0"/>
        <v>5420</v>
      </c>
      <c r="L936" s="279">
        <v>32892</v>
      </c>
      <c r="M936" s="279">
        <v>-47</v>
      </c>
      <c r="N936" s="281">
        <v>0</v>
      </c>
      <c r="O936" s="55"/>
      <c r="P936" s="45">
        <v>0</v>
      </c>
      <c r="Q936" s="279">
        <v>80</v>
      </c>
      <c r="R936" s="275">
        <v>-2.2399999999999998E-3</v>
      </c>
      <c r="S936" s="279">
        <v>68</v>
      </c>
      <c r="T936" s="279">
        <v>68</v>
      </c>
      <c r="U936" s="57">
        <v>1</v>
      </c>
      <c r="V936" s="276">
        <v>0.2</v>
      </c>
      <c r="W936" s="276">
        <v>0</v>
      </c>
      <c r="X936" s="279">
        <v>54</v>
      </c>
      <c r="Y936" s="279">
        <v>14</v>
      </c>
      <c r="Z936" s="45" t="b">
        <v>1</v>
      </c>
      <c r="AA936" s="45" t="s">
        <v>50</v>
      </c>
      <c r="AB936" s="45" t="s">
        <v>50</v>
      </c>
    </row>
    <row r="937" spans="1:28" x14ac:dyDescent="0.2">
      <c r="A937" s="279" t="s">
        <v>178</v>
      </c>
      <c r="B937" s="279" t="s">
        <v>922</v>
      </c>
      <c r="C937" s="282">
        <v>44460</v>
      </c>
      <c r="D937" s="282">
        <v>44489</v>
      </c>
      <c r="E937" s="279" t="s">
        <v>267</v>
      </c>
      <c r="F937" s="133" t="s">
        <v>34</v>
      </c>
      <c r="G937" s="279" t="s">
        <v>61</v>
      </c>
      <c r="H937" s="272" t="s">
        <v>64</v>
      </c>
      <c r="I937" s="280">
        <v>10</v>
      </c>
      <c r="J937" s="279">
        <v>63</v>
      </c>
      <c r="K937" s="270">
        <f t="shared" si="0"/>
        <v>630</v>
      </c>
      <c r="L937" s="279">
        <v>1157</v>
      </c>
      <c r="M937" s="279">
        <v>-268</v>
      </c>
      <c r="N937" s="281">
        <v>0.24</v>
      </c>
      <c r="O937" s="55"/>
      <c r="P937" s="45">
        <v>0</v>
      </c>
      <c r="Q937" s="279">
        <v>-32</v>
      </c>
      <c r="R937" s="275">
        <v>-2.2399999999999998E-3</v>
      </c>
      <c r="S937" s="279">
        <v>-33</v>
      </c>
      <c r="T937" s="279">
        <v>-33</v>
      </c>
      <c r="U937" s="57">
        <v>1</v>
      </c>
      <c r="V937" s="276">
        <v>0.2</v>
      </c>
      <c r="W937" s="276">
        <v>0</v>
      </c>
      <c r="X937" s="279">
        <v>-26</v>
      </c>
      <c r="Y937" s="279">
        <v>-7</v>
      </c>
      <c r="Z937" s="45" t="b">
        <v>1</v>
      </c>
      <c r="AA937" s="45" t="s">
        <v>50</v>
      </c>
      <c r="AB937" s="45" t="s">
        <v>50</v>
      </c>
    </row>
    <row r="938" spans="1:28" x14ac:dyDescent="0.2">
      <c r="A938" s="279" t="s">
        <v>178</v>
      </c>
      <c r="B938" s="279" t="s">
        <v>922</v>
      </c>
      <c r="C938" s="282">
        <v>44460</v>
      </c>
      <c r="D938" s="282">
        <v>44489</v>
      </c>
      <c r="E938" s="279" t="s">
        <v>267</v>
      </c>
      <c r="F938" s="133" t="s">
        <v>34</v>
      </c>
      <c r="G938" s="279" t="s">
        <v>61</v>
      </c>
      <c r="H938" s="272" t="s">
        <v>63</v>
      </c>
      <c r="I938" s="280">
        <v>10</v>
      </c>
      <c r="J938" s="279">
        <v>355</v>
      </c>
      <c r="K938" s="270">
        <f t="shared" si="0"/>
        <v>3550</v>
      </c>
      <c r="L938" s="279">
        <v>16179</v>
      </c>
      <c r="M938" s="279">
        <v>175</v>
      </c>
      <c r="N938" s="281">
        <v>1.35</v>
      </c>
      <c r="O938" s="55"/>
      <c r="P938" s="45">
        <v>1</v>
      </c>
      <c r="Q938" s="279">
        <v>-13</v>
      </c>
      <c r="R938" s="275">
        <v>-2.2399999999999998E-3</v>
      </c>
      <c r="S938" s="279">
        <v>-20</v>
      </c>
      <c r="T938" s="279">
        <v>-19</v>
      </c>
      <c r="U938" s="57">
        <v>1</v>
      </c>
      <c r="V938" s="276">
        <v>0.2</v>
      </c>
      <c r="W938" s="276">
        <v>0</v>
      </c>
      <c r="X938" s="279">
        <v>-15</v>
      </c>
      <c r="Y938" s="279">
        <v>-4</v>
      </c>
      <c r="Z938" s="45" t="b">
        <v>1</v>
      </c>
      <c r="AA938" s="45" t="s">
        <v>50</v>
      </c>
      <c r="AB938" s="45" t="s">
        <v>50</v>
      </c>
    </row>
    <row r="939" spans="1:28" x14ac:dyDescent="0.2">
      <c r="A939" s="96" t="s">
        <v>508</v>
      </c>
      <c r="B939" s="96" t="s">
        <v>185</v>
      </c>
      <c r="C939" s="277">
        <v>44460</v>
      </c>
      <c r="D939" s="277">
        <v>44489</v>
      </c>
      <c r="E939" s="270" t="s">
        <v>300</v>
      </c>
      <c r="F939" s="133" t="s">
        <v>34</v>
      </c>
      <c r="G939" s="270" t="s">
        <v>80</v>
      </c>
      <c r="H939" s="272" t="s">
        <v>70</v>
      </c>
      <c r="I939" s="273">
        <v>100</v>
      </c>
      <c r="J939" s="270">
        <v>1160</v>
      </c>
      <c r="K939" s="270">
        <f t="shared" si="0"/>
        <v>116000</v>
      </c>
      <c r="L939" s="270">
        <v>17505</v>
      </c>
      <c r="M939" s="270">
        <v>-3800</v>
      </c>
      <c r="N939" s="274">
        <f>3276+1390+24*100</f>
        <v>7066</v>
      </c>
      <c r="O939" s="55"/>
      <c r="P939" s="105">
        <v>7066</v>
      </c>
      <c r="Q939" s="270">
        <v>-2420</v>
      </c>
      <c r="R939" s="275">
        <v>-2.2399999999999998E-3</v>
      </c>
      <c r="S939" s="270">
        <v>-2680</v>
      </c>
      <c r="T939" s="270">
        <v>4386</v>
      </c>
      <c r="U939" s="57">
        <v>1</v>
      </c>
      <c r="V939" s="276">
        <v>0.11</v>
      </c>
      <c r="W939" s="276">
        <v>0.03</v>
      </c>
      <c r="X939" s="270">
        <v>3772</v>
      </c>
      <c r="Y939" s="270">
        <v>614</v>
      </c>
      <c r="Z939" s="45" t="b">
        <v>1</v>
      </c>
      <c r="AA939" s="45" t="s">
        <v>38</v>
      </c>
      <c r="AB939" s="45" t="s">
        <v>38</v>
      </c>
    </row>
    <row r="940" spans="1:28" x14ac:dyDescent="0.2">
      <c r="A940" s="96" t="s">
        <v>113</v>
      </c>
      <c r="B940" s="96" t="s">
        <v>113</v>
      </c>
      <c r="C940" s="277">
        <v>44460</v>
      </c>
      <c r="D940" s="277">
        <v>44489</v>
      </c>
      <c r="E940" s="270" t="s">
        <v>267</v>
      </c>
      <c r="F940" s="133" t="s">
        <v>34</v>
      </c>
      <c r="G940" s="96" t="s">
        <v>35</v>
      </c>
      <c r="H940" s="272" t="s">
        <v>40</v>
      </c>
      <c r="I940" s="273">
        <v>10</v>
      </c>
      <c r="J940" s="270">
        <v>1973</v>
      </c>
      <c r="K940" s="270">
        <f t="shared" si="0"/>
        <v>19730</v>
      </c>
      <c r="L940" s="270">
        <v>98631</v>
      </c>
      <c r="M940" s="270">
        <v>420</v>
      </c>
      <c r="N940" s="274">
        <v>113</v>
      </c>
      <c r="O940" s="55"/>
      <c r="P940" s="45">
        <v>113</v>
      </c>
      <c r="Q940" s="270">
        <v>365</v>
      </c>
      <c r="R940" s="275">
        <v>-2.2399999999999998E-3</v>
      </c>
      <c r="S940" s="270">
        <v>321</v>
      </c>
      <c r="T940" s="270">
        <v>434</v>
      </c>
      <c r="U940" s="57">
        <v>1</v>
      </c>
      <c r="V940" s="276">
        <v>0.3</v>
      </c>
      <c r="W940" s="276">
        <v>0</v>
      </c>
      <c r="X940" s="270">
        <v>304</v>
      </c>
      <c r="Y940" s="270">
        <v>130</v>
      </c>
      <c r="Z940" s="45" t="b">
        <v>1</v>
      </c>
      <c r="AA940" s="45" t="s">
        <v>38</v>
      </c>
      <c r="AB940" s="45" t="s">
        <v>38</v>
      </c>
    </row>
    <row r="941" spans="1:28" x14ac:dyDescent="0.2">
      <c r="A941" s="96" t="s">
        <v>191</v>
      </c>
      <c r="B941" s="96" t="s">
        <v>193</v>
      </c>
      <c r="C941" s="277">
        <v>44460</v>
      </c>
      <c r="D941" s="277">
        <v>44489</v>
      </c>
      <c r="E941" s="270" t="s">
        <v>267</v>
      </c>
      <c r="F941" s="133" t="s">
        <v>34</v>
      </c>
      <c r="G941" s="96" t="s">
        <v>80</v>
      </c>
      <c r="H941" s="272" t="s">
        <v>86</v>
      </c>
      <c r="I941" s="273">
        <v>5</v>
      </c>
      <c r="J941" s="270">
        <v>1942</v>
      </c>
      <c r="K941" s="270">
        <f t="shared" si="0"/>
        <v>9710</v>
      </c>
      <c r="L941" s="270">
        <v>48550</v>
      </c>
      <c r="M941" s="270">
        <v>-165</v>
      </c>
      <c r="N941" s="274">
        <f>831+874</f>
        <v>1705</v>
      </c>
      <c r="O941" s="55"/>
      <c r="P941" s="105">
        <v>1705</v>
      </c>
      <c r="Q941" s="270">
        <v>-14</v>
      </c>
      <c r="R941" s="275">
        <v>-2.2399999999999998E-3</v>
      </c>
      <c r="S941" s="270">
        <v>-35</v>
      </c>
      <c r="T941" s="270">
        <v>1670</v>
      </c>
      <c r="U941" s="57">
        <v>1</v>
      </c>
      <c r="V941" s="276">
        <v>0.22</v>
      </c>
      <c r="W941" s="276">
        <v>0</v>
      </c>
      <c r="X941" s="270">
        <v>1302</v>
      </c>
      <c r="Y941" s="270">
        <v>367</v>
      </c>
      <c r="Z941" s="45" t="b">
        <v>1</v>
      </c>
      <c r="AA941" s="45" t="s">
        <v>38</v>
      </c>
      <c r="AB941" s="45" t="s">
        <v>38</v>
      </c>
    </row>
    <row r="942" spans="1:28" x14ac:dyDescent="0.2">
      <c r="A942" s="96" t="s">
        <v>191</v>
      </c>
      <c r="B942" s="96" t="s">
        <v>193</v>
      </c>
      <c r="C942" s="277">
        <v>44460</v>
      </c>
      <c r="D942" s="277">
        <v>44489</v>
      </c>
      <c r="E942" s="270" t="s">
        <v>267</v>
      </c>
      <c r="F942" s="133" t="s">
        <v>34</v>
      </c>
      <c r="G942" s="96" t="s">
        <v>80</v>
      </c>
      <c r="H942" s="272" t="s">
        <v>40</v>
      </c>
      <c r="I942" s="273">
        <v>10</v>
      </c>
      <c r="J942" s="270">
        <v>3690</v>
      </c>
      <c r="K942" s="270">
        <f t="shared" si="0"/>
        <v>36900</v>
      </c>
      <c r="L942" s="270">
        <v>39159</v>
      </c>
      <c r="M942" s="270">
        <v>-1960</v>
      </c>
      <c r="N942" s="274">
        <f>66*10+5*55</f>
        <v>935</v>
      </c>
      <c r="O942" s="55"/>
      <c r="P942" s="45">
        <v>935</v>
      </c>
      <c r="Q942" s="270">
        <v>-1502</v>
      </c>
      <c r="R942" s="275">
        <v>-2.2399999999999998E-3</v>
      </c>
      <c r="S942" s="270">
        <v>-1585</v>
      </c>
      <c r="T942" s="270">
        <v>-650</v>
      </c>
      <c r="U942" s="57">
        <v>1</v>
      </c>
      <c r="V942" s="276">
        <v>0.22</v>
      </c>
      <c r="W942" s="276">
        <v>0</v>
      </c>
      <c r="X942" s="270">
        <v>-507</v>
      </c>
      <c r="Y942" s="270">
        <v>-143</v>
      </c>
      <c r="Z942" s="45" t="b">
        <v>1</v>
      </c>
      <c r="AA942" s="45" t="s">
        <v>38</v>
      </c>
      <c r="AB942" s="45" t="s">
        <v>38</v>
      </c>
    </row>
    <row r="943" spans="1:28" x14ac:dyDescent="0.2">
      <c r="A943" s="279" t="s">
        <v>145</v>
      </c>
      <c r="B943" s="279" t="s">
        <v>901</v>
      </c>
      <c r="C943" s="282">
        <v>44470</v>
      </c>
      <c r="D943" s="282">
        <v>44500</v>
      </c>
      <c r="E943" s="279" t="s">
        <v>267</v>
      </c>
      <c r="F943" s="133" t="s">
        <v>49</v>
      </c>
      <c r="G943" s="279" t="s">
        <v>69</v>
      </c>
      <c r="H943" s="272" t="s">
        <v>70</v>
      </c>
      <c r="I943" s="280">
        <v>100</v>
      </c>
      <c r="J943" s="279">
        <v>2792</v>
      </c>
      <c r="K943" s="270">
        <f t="shared" si="0"/>
        <v>279200</v>
      </c>
      <c r="L943" s="279">
        <v>9589</v>
      </c>
      <c r="M943" s="279">
        <v>-10400</v>
      </c>
      <c r="N943" s="281">
        <v>13424.76</v>
      </c>
      <c r="O943" s="55"/>
      <c r="P943" s="105">
        <v>13425</v>
      </c>
      <c r="Q943" s="279">
        <v>-13264</v>
      </c>
      <c r="R943" s="275">
        <v>-3.1549999999999998E-3</v>
      </c>
      <c r="S943" s="279">
        <v>-14145</v>
      </c>
      <c r="T943" s="279">
        <v>-720</v>
      </c>
      <c r="U943" s="57">
        <v>1</v>
      </c>
      <c r="V943" s="276">
        <v>0.12</v>
      </c>
      <c r="W943" s="276">
        <v>0</v>
      </c>
      <c r="X943" s="279">
        <v>-634</v>
      </c>
      <c r="Y943" s="279">
        <v>-86</v>
      </c>
      <c r="Z943" s="45" t="b">
        <v>1</v>
      </c>
      <c r="AA943" s="45" t="s">
        <v>38</v>
      </c>
      <c r="AB943" s="45" t="s">
        <v>38</v>
      </c>
    </row>
    <row r="944" spans="1:28" x14ac:dyDescent="0.2">
      <c r="A944" s="279" t="s">
        <v>145</v>
      </c>
      <c r="B944" s="279" t="s">
        <v>901</v>
      </c>
      <c r="C944" s="282">
        <v>44470</v>
      </c>
      <c r="D944" s="282">
        <v>44500</v>
      </c>
      <c r="E944" s="279" t="s">
        <v>267</v>
      </c>
      <c r="F944" s="133" t="s">
        <v>49</v>
      </c>
      <c r="G944" s="279" t="s">
        <v>69</v>
      </c>
      <c r="H944" s="272" t="s">
        <v>72</v>
      </c>
      <c r="I944" s="280">
        <v>50</v>
      </c>
      <c r="J944" s="279">
        <v>995</v>
      </c>
      <c r="K944" s="270">
        <f t="shared" si="0"/>
        <v>49750</v>
      </c>
      <c r="L944" s="279">
        <v>25194</v>
      </c>
      <c r="M944" s="279">
        <v>1750</v>
      </c>
      <c r="N944" s="281">
        <v>137.24</v>
      </c>
      <c r="O944" s="55"/>
      <c r="P944" s="45">
        <v>137</v>
      </c>
      <c r="Q944" s="279">
        <v>2044</v>
      </c>
      <c r="R944" s="275">
        <v>-3.2850000000000002E-3</v>
      </c>
      <c r="S944" s="279">
        <v>1881</v>
      </c>
      <c r="T944" s="279">
        <v>2018</v>
      </c>
      <c r="U944" s="57">
        <v>1</v>
      </c>
      <c r="V944" s="276">
        <v>0.12</v>
      </c>
      <c r="W944" s="276">
        <v>0</v>
      </c>
      <c r="X944" s="279">
        <v>1776</v>
      </c>
      <c r="Y944" s="279">
        <v>242</v>
      </c>
      <c r="Z944" s="45" t="b">
        <v>1</v>
      </c>
      <c r="AA944" s="45" t="s">
        <v>38</v>
      </c>
      <c r="AB944" s="45" t="s">
        <v>38</v>
      </c>
    </row>
    <row r="945" spans="1:28" x14ac:dyDescent="0.2">
      <c r="A945" s="96" t="s">
        <v>145</v>
      </c>
      <c r="B945" s="96" t="s">
        <v>145</v>
      </c>
      <c r="C945" s="277">
        <v>44470</v>
      </c>
      <c r="D945" s="277">
        <v>44500</v>
      </c>
      <c r="E945" s="279" t="s">
        <v>267</v>
      </c>
      <c r="F945" s="133" t="s">
        <v>49</v>
      </c>
      <c r="G945" s="279" t="s">
        <v>35</v>
      </c>
      <c r="H945" s="272" t="s">
        <v>70</v>
      </c>
      <c r="I945" s="273">
        <v>100</v>
      </c>
      <c r="J945" s="270">
        <v>60</v>
      </c>
      <c r="K945" s="270">
        <f t="shared" si="0"/>
        <v>6000</v>
      </c>
      <c r="L945" s="270">
        <v>846</v>
      </c>
      <c r="M945" s="270">
        <v>300</v>
      </c>
      <c r="N945" s="274">
        <v>95</v>
      </c>
      <c r="O945" s="55"/>
      <c r="P945" s="45">
        <v>95</v>
      </c>
      <c r="Q945" s="270">
        <v>-165</v>
      </c>
      <c r="R945" s="275">
        <v>-2.0939999999999999E-3</v>
      </c>
      <c r="S945" s="270">
        <v>-178</v>
      </c>
      <c r="T945" s="270">
        <v>-83</v>
      </c>
      <c r="U945" s="57">
        <v>1</v>
      </c>
      <c r="V945" s="276">
        <v>0.12</v>
      </c>
      <c r="W945" s="276">
        <v>0</v>
      </c>
      <c r="X945" s="270">
        <v>-73</v>
      </c>
      <c r="Y945" s="270">
        <v>-10</v>
      </c>
      <c r="Z945" s="45" t="b">
        <v>1</v>
      </c>
      <c r="AA945" s="45" t="s">
        <v>38</v>
      </c>
      <c r="AB945" s="45" t="s">
        <v>38</v>
      </c>
    </row>
    <row r="946" spans="1:28" x14ac:dyDescent="0.2">
      <c r="A946" s="279" t="s">
        <v>447</v>
      </c>
      <c r="B946" s="279" t="s">
        <v>66</v>
      </c>
      <c r="C946" s="282">
        <v>44470</v>
      </c>
      <c r="D946" s="282">
        <v>44500</v>
      </c>
      <c r="E946" s="270" t="s">
        <v>300</v>
      </c>
      <c r="F946" s="133" t="s">
        <v>49</v>
      </c>
      <c r="G946" s="279" t="s">
        <v>61</v>
      </c>
      <c r="H946" s="272" t="s">
        <v>59</v>
      </c>
      <c r="I946" s="280">
        <v>100</v>
      </c>
      <c r="J946" s="279">
        <v>700</v>
      </c>
      <c r="K946" s="270">
        <f t="shared" si="0"/>
        <v>70000</v>
      </c>
      <c r="L946" s="279">
        <v>30352</v>
      </c>
      <c r="M946" s="279">
        <v>-5200</v>
      </c>
      <c r="N946" s="281">
        <f>875+1540</f>
        <v>2415</v>
      </c>
      <c r="O946" s="55"/>
      <c r="P946" s="105">
        <v>2415</v>
      </c>
      <c r="Q946" s="279">
        <v>-1066</v>
      </c>
      <c r="R946" s="275">
        <v>-2.0799999999999998E-3</v>
      </c>
      <c r="S946" s="279">
        <v>-1212</v>
      </c>
      <c r="T946" s="279">
        <v>1203</v>
      </c>
      <c r="U946" s="57">
        <v>1</v>
      </c>
      <c r="V946" s="276">
        <v>0.15</v>
      </c>
      <c r="W946" s="276">
        <v>0.1</v>
      </c>
      <c r="X946" s="279">
        <v>902</v>
      </c>
      <c r="Y946" s="279">
        <v>301</v>
      </c>
      <c r="Z946" s="45" t="b">
        <v>1</v>
      </c>
      <c r="AA946" s="45" t="s">
        <v>50</v>
      </c>
      <c r="AB946" s="45" t="s">
        <v>50</v>
      </c>
    </row>
    <row r="947" spans="1:28" x14ac:dyDescent="0.2">
      <c r="A947" s="96" t="s">
        <v>152</v>
      </c>
      <c r="B947" s="96" t="s">
        <v>152</v>
      </c>
      <c r="C947" s="277">
        <v>44370</v>
      </c>
      <c r="D947" s="277">
        <v>44500</v>
      </c>
      <c r="E947" s="270" t="s">
        <v>300</v>
      </c>
      <c r="F947" s="133" t="s">
        <v>41</v>
      </c>
      <c r="G947" s="279" t="s">
        <v>35</v>
      </c>
      <c r="H947" s="110" t="s">
        <v>70</v>
      </c>
      <c r="I947" s="273">
        <v>100</v>
      </c>
      <c r="J947" s="270">
        <v>5200</v>
      </c>
      <c r="K947" s="270">
        <f t="shared" si="0"/>
        <v>520000</v>
      </c>
      <c r="L947" s="286">
        <v>175649</v>
      </c>
      <c r="M947" s="286">
        <v>3700</v>
      </c>
      <c r="N947" s="274">
        <v>1871</v>
      </c>
      <c r="O947" s="55"/>
      <c r="P947" s="105">
        <v>1871</v>
      </c>
      <c r="Q947" s="286">
        <v>4842</v>
      </c>
      <c r="R947" s="275">
        <v>0</v>
      </c>
      <c r="S947" s="286">
        <v>4842</v>
      </c>
      <c r="T947" s="286">
        <v>5571</v>
      </c>
      <c r="U947" s="57">
        <v>1</v>
      </c>
      <c r="V947" s="276">
        <v>0.06</v>
      </c>
      <c r="W947" s="276">
        <v>0.12</v>
      </c>
      <c r="X947" s="286">
        <v>4568</v>
      </c>
      <c r="Y947" s="286">
        <v>1003</v>
      </c>
      <c r="Z947" s="45" t="b">
        <v>1</v>
      </c>
      <c r="AA947" s="45" t="s">
        <v>38</v>
      </c>
      <c r="AB947" s="45" t="s">
        <v>38</v>
      </c>
    </row>
    <row r="948" spans="1:28" x14ac:dyDescent="0.2">
      <c r="A948" s="279" t="s">
        <v>456</v>
      </c>
      <c r="B948" s="279" t="s">
        <v>110</v>
      </c>
      <c r="C948" s="282">
        <v>44470</v>
      </c>
      <c r="D948" s="282">
        <v>44500</v>
      </c>
      <c r="E948" s="279" t="s">
        <v>267</v>
      </c>
      <c r="F948" s="133" t="s">
        <v>49</v>
      </c>
      <c r="G948" s="279" t="s">
        <v>61</v>
      </c>
      <c r="H948" s="272" t="s">
        <v>65</v>
      </c>
      <c r="I948" s="280">
        <v>25</v>
      </c>
      <c r="J948" s="279">
        <v>1737</v>
      </c>
      <c r="K948" s="270">
        <f t="shared" si="0"/>
        <v>43425</v>
      </c>
      <c r="L948" s="279">
        <v>110070</v>
      </c>
      <c r="M948" s="279">
        <v>-1450</v>
      </c>
      <c r="N948" s="281">
        <v>1223.96</v>
      </c>
      <c r="O948" s="55"/>
      <c r="P948" s="105">
        <v>1224</v>
      </c>
      <c r="Q948" s="279">
        <v>822</v>
      </c>
      <c r="R948" s="275">
        <v>-2.1510000000000001E-3</v>
      </c>
      <c r="S948" s="279">
        <v>729</v>
      </c>
      <c r="T948" s="279">
        <v>1953</v>
      </c>
      <c r="U948" s="57">
        <v>1</v>
      </c>
      <c r="V948" s="276">
        <v>0.17</v>
      </c>
      <c r="W948" s="276">
        <v>0</v>
      </c>
      <c r="X948" s="279">
        <v>1621</v>
      </c>
      <c r="Y948" s="279">
        <v>332</v>
      </c>
      <c r="Z948" s="45" t="b">
        <v>1</v>
      </c>
      <c r="AA948" s="45" t="s">
        <v>50</v>
      </c>
      <c r="AB948" s="45" t="s">
        <v>50</v>
      </c>
    </row>
    <row r="949" spans="1:28" x14ac:dyDescent="0.2">
      <c r="A949" s="279" t="s">
        <v>456</v>
      </c>
      <c r="B949" s="279" t="s">
        <v>110</v>
      </c>
      <c r="C949" s="282">
        <v>44470</v>
      </c>
      <c r="D949" s="282">
        <v>44500</v>
      </c>
      <c r="E949" s="279" t="s">
        <v>267</v>
      </c>
      <c r="F949" s="133" t="s">
        <v>49</v>
      </c>
      <c r="G949" s="279" t="s">
        <v>61</v>
      </c>
      <c r="H949" s="272" t="s">
        <v>64</v>
      </c>
      <c r="I949" s="280">
        <v>10</v>
      </c>
      <c r="J949" s="279">
        <v>546</v>
      </c>
      <c r="K949" s="270">
        <f t="shared" si="0"/>
        <v>5460</v>
      </c>
      <c r="L949" s="279">
        <v>32208</v>
      </c>
      <c r="M949" s="279">
        <v>-620</v>
      </c>
      <c r="N949" s="281">
        <v>11.04</v>
      </c>
      <c r="O949" s="55"/>
      <c r="P949" s="45">
        <v>11</v>
      </c>
      <c r="Q949" s="279">
        <v>90</v>
      </c>
      <c r="R949" s="275">
        <v>-2.065E-3</v>
      </c>
      <c r="S949" s="279">
        <v>79</v>
      </c>
      <c r="T949" s="279">
        <v>90</v>
      </c>
      <c r="U949" s="57">
        <v>1</v>
      </c>
      <c r="V949" s="276">
        <v>0.17</v>
      </c>
      <c r="W949" s="276">
        <v>0</v>
      </c>
      <c r="X949" s="279">
        <v>75</v>
      </c>
      <c r="Y949" s="279">
        <v>15</v>
      </c>
      <c r="Z949" s="45" t="b">
        <v>1</v>
      </c>
      <c r="AA949" s="45" t="s">
        <v>50</v>
      </c>
      <c r="AB949" s="45" t="s">
        <v>50</v>
      </c>
    </row>
    <row r="950" spans="1:28" x14ac:dyDescent="0.2">
      <c r="A950" s="96" t="s">
        <v>175</v>
      </c>
      <c r="B950" s="96" t="s">
        <v>175</v>
      </c>
      <c r="C950" s="277">
        <v>44470</v>
      </c>
      <c r="D950" s="277">
        <v>44500</v>
      </c>
      <c r="E950" s="279" t="s">
        <v>267</v>
      </c>
      <c r="F950" s="133" t="s">
        <v>49</v>
      </c>
      <c r="G950" s="270" t="s">
        <v>35</v>
      </c>
      <c r="H950" s="272" t="s">
        <v>46</v>
      </c>
      <c r="I950" s="273">
        <v>25</v>
      </c>
      <c r="J950" s="270">
        <v>2460</v>
      </c>
      <c r="K950" s="270">
        <f t="shared" si="0"/>
        <v>61500</v>
      </c>
      <c r="L950" s="270">
        <v>96504</v>
      </c>
      <c r="M950" s="270">
        <v>-150</v>
      </c>
      <c r="N950" s="274">
        <v>507</v>
      </c>
      <c r="O950" s="55"/>
      <c r="P950" s="45">
        <v>507</v>
      </c>
      <c r="Q950" s="270">
        <v>538</v>
      </c>
      <c r="R950" s="275">
        <v>-2.0920000000000001E-3</v>
      </c>
      <c r="S950" s="270">
        <v>409</v>
      </c>
      <c r="T950" s="270">
        <v>916</v>
      </c>
      <c r="U950" s="57">
        <v>1</v>
      </c>
      <c r="V950" s="276">
        <v>0.17</v>
      </c>
      <c r="W950" s="276">
        <v>0</v>
      </c>
      <c r="X950" s="270">
        <v>760</v>
      </c>
      <c r="Y950" s="270">
        <v>156</v>
      </c>
      <c r="Z950" s="45" t="b">
        <v>1</v>
      </c>
      <c r="AA950" s="45" t="s">
        <v>38</v>
      </c>
      <c r="AB950" s="45" t="s">
        <v>38</v>
      </c>
    </row>
    <row r="951" spans="1:28" x14ac:dyDescent="0.2">
      <c r="A951" s="96" t="s">
        <v>175</v>
      </c>
      <c r="B951" s="96" t="s">
        <v>175</v>
      </c>
      <c r="C951" s="277">
        <v>44470</v>
      </c>
      <c r="D951" s="277">
        <v>44500</v>
      </c>
      <c r="E951" s="279" t="s">
        <v>267</v>
      </c>
      <c r="F951" s="133" t="s">
        <v>49</v>
      </c>
      <c r="G951" s="270" t="s">
        <v>35</v>
      </c>
      <c r="H951" s="272" t="s">
        <v>72</v>
      </c>
      <c r="I951" s="273">
        <v>50</v>
      </c>
      <c r="J951" s="270">
        <v>270</v>
      </c>
      <c r="K951" s="270">
        <f t="shared" si="0"/>
        <v>13500</v>
      </c>
      <c r="L951" s="270">
        <v>7104</v>
      </c>
      <c r="M951" s="270">
        <v>-150</v>
      </c>
      <c r="N951" s="274">
        <v>2318</v>
      </c>
      <c r="O951" s="55"/>
      <c r="P951" s="105">
        <v>2318</v>
      </c>
      <c r="Q951" s="270">
        <v>-205</v>
      </c>
      <c r="R951" s="275">
        <v>-2.0479999999999999E-3</v>
      </c>
      <c r="S951" s="270">
        <v>-233</v>
      </c>
      <c r="T951" s="270">
        <v>2085</v>
      </c>
      <c r="U951" s="57">
        <v>1</v>
      </c>
      <c r="V951" s="276">
        <v>0.17</v>
      </c>
      <c r="W951" s="276">
        <v>0</v>
      </c>
      <c r="X951" s="270">
        <v>1731</v>
      </c>
      <c r="Y951" s="270">
        <v>354</v>
      </c>
      <c r="Z951" s="45" t="b">
        <v>1</v>
      </c>
      <c r="AA951" s="45" t="s">
        <v>38</v>
      </c>
      <c r="AB951" s="45" t="s">
        <v>38</v>
      </c>
    </row>
    <row r="952" spans="1:28" x14ac:dyDescent="0.2">
      <c r="A952" s="96" t="s">
        <v>286</v>
      </c>
      <c r="B952" s="96" t="s">
        <v>286</v>
      </c>
      <c r="C952" s="277">
        <v>44490</v>
      </c>
      <c r="D952" s="277">
        <v>44520</v>
      </c>
      <c r="E952" s="270" t="s">
        <v>267</v>
      </c>
      <c r="F952" s="133" t="s">
        <v>34</v>
      </c>
      <c r="G952" s="96" t="s">
        <v>35</v>
      </c>
      <c r="H952" s="272" t="s">
        <v>39</v>
      </c>
      <c r="I952" s="273">
        <v>5</v>
      </c>
      <c r="J952" s="270">
        <v>6</v>
      </c>
      <c r="K952" s="270">
        <f t="shared" si="0"/>
        <v>30</v>
      </c>
      <c r="L952" s="270">
        <v>678</v>
      </c>
      <c r="M952" s="270">
        <v>-15</v>
      </c>
      <c r="N952" s="274">
        <v>2</v>
      </c>
      <c r="O952" s="55"/>
      <c r="P952" s="45">
        <v>2</v>
      </c>
      <c r="Q952" s="270">
        <v>4</v>
      </c>
      <c r="R952" s="275">
        <v>-1.5E-3</v>
      </c>
      <c r="S952" s="270">
        <v>4</v>
      </c>
      <c r="T952" s="270">
        <v>6</v>
      </c>
      <c r="U952" s="57">
        <v>1</v>
      </c>
      <c r="V952" s="276">
        <v>0.15</v>
      </c>
      <c r="W952" s="276">
        <v>0</v>
      </c>
      <c r="X952" s="270">
        <v>5</v>
      </c>
      <c r="Y952" s="270">
        <v>1</v>
      </c>
      <c r="Z952" s="45" t="b">
        <v>1</v>
      </c>
      <c r="AA952" s="45" t="s">
        <v>38</v>
      </c>
      <c r="AB952" s="45" t="s">
        <v>38</v>
      </c>
    </row>
    <row r="953" spans="1:28" x14ac:dyDescent="0.2">
      <c r="A953" s="96" t="s">
        <v>286</v>
      </c>
      <c r="B953" s="96" t="s">
        <v>286</v>
      </c>
      <c r="C953" s="277">
        <v>44490</v>
      </c>
      <c r="D953" s="277">
        <v>44520</v>
      </c>
      <c r="E953" s="270" t="s">
        <v>267</v>
      </c>
      <c r="F953" s="133" t="s">
        <v>34</v>
      </c>
      <c r="G953" s="96" t="s">
        <v>35</v>
      </c>
      <c r="H953" s="272" t="s">
        <v>90</v>
      </c>
      <c r="I953" s="273">
        <v>5</v>
      </c>
      <c r="J953" s="270">
        <v>1</v>
      </c>
      <c r="K953" s="270">
        <f t="shared" si="0"/>
        <v>5</v>
      </c>
      <c r="L953" s="270">
        <v>-198</v>
      </c>
      <c r="M953" s="270">
        <v>-5</v>
      </c>
      <c r="N953" s="274"/>
      <c r="O953" s="55"/>
      <c r="P953" s="96"/>
      <c r="Q953" s="270">
        <v>-3</v>
      </c>
      <c r="R953" s="275">
        <v>-1.5E-3</v>
      </c>
      <c r="S953" s="270">
        <v>-3</v>
      </c>
      <c r="T953" s="270">
        <v>-3</v>
      </c>
      <c r="U953" s="57">
        <v>1</v>
      </c>
      <c r="V953" s="276">
        <v>0.15</v>
      </c>
      <c r="W953" s="276">
        <v>0</v>
      </c>
      <c r="X953" s="270">
        <v>-3</v>
      </c>
      <c r="Y953" s="270">
        <v>-1</v>
      </c>
      <c r="Z953" s="45" t="b">
        <v>1</v>
      </c>
      <c r="AA953" s="45" t="s">
        <v>38</v>
      </c>
      <c r="AB953" s="45" t="s">
        <v>38</v>
      </c>
    </row>
    <row r="954" spans="1:28" x14ac:dyDescent="0.2">
      <c r="A954" s="96" t="s">
        <v>286</v>
      </c>
      <c r="B954" s="96" t="s">
        <v>286</v>
      </c>
      <c r="C954" s="277">
        <v>44490</v>
      </c>
      <c r="D954" s="277">
        <v>44520</v>
      </c>
      <c r="E954" s="270" t="s">
        <v>267</v>
      </c>
      <c r="F954" s="133" t="s">
        <v>34</v>
      </c>
      <c r="G954" s="96" t="s">
        <v>35</v>
      </c>
      <c r="H954" s="272" t="s">
        <v>40</v>
      </c>
      <c r="I954" s="273">
        <v>10</v>
      </c>
      <c r="J954" s="270">
        <v>1</v>
      </c>
      <c r="K954" s="270">
        <f t="shared" si="0"/>
        <v>10</v>
      </c>
      <c r="L954" s="270">
        <v>-24</v>
      </c>
      <c r="M954" s="270">
        <v>-10</v>
      </c>
      <c r="N954" s="274"/>
      <c r="O954" s="55"/>
      <c r="P954" s="96"/>
      <c r="Q954" s="270">
        <v>-1</v>
      </c>
      <c r="R954" s="275">
        <v>-1.5E-3</v>
      </c>
      <c r="S954" s="270">
        <v>-1</v>
      </c>
      <c r="T954" s="270">
        <v>-1</v>
      </c>
      <c r="U954" s="57">
        <v>1</v>
      </c>
      <c r="V954" s="276">
        <v>0.15</v>
      </c>
      <c r="W954" s="276">
        <v>0</v>
      </c>
      <c r="X954" s="270">
        <v>-1</v>
      </c>
      <c r="Y954" s="270">
        <v>0</v>
      </c>
      <c r="Z954" s="45" t="b">
        <v>1</v>
      </c>
      <c r="AA954" s="45" t="s">
        <v>38</v>
      </c>
      <c r="AB954" s="45" t="s">
        <v>38</v>
      </c>
    </row>
    <row r="955" spans="1:28" x14ac:dyDescent="0.2">
      <c r="A955" s="96" t="s">
        <v>286</v>
      </c>
      <c r="B955" s="96" t="s">
        <v>286</v>
      </c>
      <c r="C955" s="277">
        <v>44490</v>
      </c>
      <c r="D955" s="277">
        <v>44520</v>
      </c>
      <c r="E955" s="270" t="s">
        <v>267</v>
      </c>
      <c r="F955" s="133" t="s">
        <v>34</v>
      </c>
      <c r="G955" s="96" t="s">
        <v>35</v>
      </c>
      <c r="H955" s="272" t="s">
        <v>115</v>
      </c>
      <c r="I955" s="273">
        <v>10</v>
      </c>
      <c r="J955" s="270">
        <v>376</v>
      </c>
      <c r="K955" s="270">
        <f t="shared" si="0"/>
        <v>3760</v>
      </c>
      <c r="L955" s="270">
        <v>10468</v>
      </c>
      <c r="M955" s="270">
        <v>-140</v>
      </c>
      <c r="N955" s="274">
        <v>168</v>
      </c>
      <c r="O955" s="55"/>
      <c r="P955" s="45">
        <v>168</v>
      </c>
      <c r="Q955" s="270">
        <v>50</v>
      </c>
      <c r="R955" s="275">
        <v>-1.5E-3</v>
      </c>
      <c r="S955" s="270">
        <v>44</v>
      </c>
      <c r="T955" s="270">
        <v>212</v>
      </c>
      <c r="U955" s="57">
        <v>1</v>
      </c>
      <c r="V955" s="276">
        <v>0.15</v>
      </c>
      <c r="W955" s="276">
        <v>0</v>
      </c>
      <c r="X955" s="270">
        <v>181</v>
      </c>
      <c r="Y955" s="270">
        <v>32</v>
      </c>
      <c r="Z955" s="45" t="b">
        <v>1</v>
      </c>
      <c r="AA955" s="45" t="s">
        <v>38</v>
      </c>
      <c r="AB955" s="45" t="s">
        <v>38</v>
      </c>
    </row>
    <row r="956" spans="1:28" x14ac:dyDescent="0.2">
      <c r="A956" s="96" t="s">
        <v>286</v>
      </c>
      <c r="B956" s="96" t="s">
        <v>286</v>
      </c>
      <c r="C956" s="277">
        <v>44490</v>
      </c>
      <c r="D956" s="277">
        <v>44520</v>
      </c>
      <c r="E956" s="270" t="s">
        <v>267</v>
      </c>
      <c r="F956" s="133" t="s">
        <v>34</v>
      </c>
      <c r="G956" s="96" t="s">
        <v>35</v>
      </c>
      <c r="H956" s="272" t="s">
        <v>46</v>
      </c>
      <c r="I956" s="273">
        <v>25</v>
      </c>
      <c r="J956" s="270">
        <v>645</v>
      </c>
      <c r="K956" s="270">
        <f t="shared" si="0"/>
        <v>16125</v>
      </c>
      <c r="L956" s="270">
        <v>20335</v>
      </c>
      <c r="M956" s="270">
        <v>150</v>
      </c>
      <c r="N956" s="274">
        <v>619</v>
      </c>
      <c r="O956" s="55"/>
      <c r="P956" s="45">
        <v>619</v>
      </c>
      <c r="Q956" s="270">
        <v>-59</v>
      </c>
      <c r="R956" s="275">
        <v>-1.5E-3</v>
      </c>
      <c r="S956" s="270">
        <v>-83</v>
      </c>
      <c r="T956" s="270">
        <v>536</v>
      </c>
      <c r="U956" s="57">
        <v>1</v>
      </c>
      <c r="V956" s="276">
        <v>0.15</v>
      </c>
      <c r="W956" s="276">
        <v>0</v>
      </c>
      <c r="X956" s="270">
        <v>455</v>
      </c>
      <c r="Y956" s="270">
        <v>80</v>
      </c>
      <c r="Z956" s="45" t="b">
        <v>1</v>
      </c>
      <c r="AA956" s="45" t="s">
        <v>38</v>
      </c>
      <c r="AB956" s="45" t="s">
        <v>38</v>
      </c>
    </row>
    <row r="957" spans="1:28" x14ac:dyDescent="0.2">
      <c r="A957" s="96" t="s">
        <v>286</v>
      </c>
      <c r="B957" s="96" t="s">
        <v>286</v>
      </c>
      <c r="C957" s="277">
        <v>44490</v>
      </c>
      <c r="D957" s="277">
        <v>44520</v>
      </c>
      <c r="E957" s="270" t="s">
        <v>267</v>
      </c>
      <c r="F957" s="133" t="s">
        <v>34</v>
      </c>
      <c r="G957" s="96" t="s">
        <v>35</v>
      </c>
      <c r="H957" s="272" t="s">
        <v>87</v>
      </c>
      <c r="I957" s="273">
        <v>25</v>
      </c>
      <c r="J957" s="270">
        <v>2779</v>
      </c>
      <c r="K957" s="270">
        <f t="shared" si="0"/>
        <v>69475</v>
      </c>
      <c r="L957" s="270">
        <v>43198</v>
      </c>
      <c r="M957" s="270">
        <v>-575</v>
      </c>
      <c r="N957" s="274">
        <v>2658</v>
      </c>
      <c r="O957" s="55"/>
      <c r="P957" s="105">
        <v>2658</v>
      </c>
      <c r="Q957" s="270">
        <v>-978</v>
      </c>
      <c r="R957" s="275">
        <v>-1.5E-3</v>
      </c>
      <c r="S957" s="270">
        <v>-1082</v>
      </c>
      <c r="T957" s="270">
        <v>1576</v>
      </c>
      <c r="U957" s="57">
        <v>1</v>
      </c>
      <c r="V957" s="276">
        <v>0.15</v>
      </c>
      <c r="W957" s="276">
        <v>0</v>
      </c>
      <c r="X957" s="270">
        <v>1339</v>
      </c>
      <c r="Y957" s="270">
        <v>236</v>
      </c>
      <c r="Z957" s="45" t="b">
        <v>1</v>
      </c>
      <c r="AA957" s="45" t="s">
        <v>38</v>
      </c>
      <c r="AB957" s="45" t="s">
        <v>38</v>
      </c>
    </row>
    <row r="958" spans="1:28" x14ac:dyDescent="0.2">
      <c r="A958" s="96" t="s">
        <v>286</v>
      </c>
      <c r="B958" s="96" t="s">
        <v>286</v>
      </c>
      <c r="C958" s="277">
        <v>44490</v>
      </c>
      <c r="D958" s="277">
        <v>44520</v>
      </c>
      <c r="E958" s="270" t="s">
        <v>267</v>
      </c>
      <c r="F958" s="133" t="s">
        <v>34</v>
      </c>
      <c r="G958" s="96" t="s">
        <v>35</v>
      </c>
      <c r="H958" s="272" t="s">
        <v>72</v>
      </c>
      <c r="I958" s="273">
        <v>50</v>
      </c>
      <c r="J958" s="270">
        <v>205</v>
      </c>
      <c r="K958" s="270">
        <f t="shared" si="0"/>
        <v>10250</v>
      </c>
      <c r="L958" s="270">
        <v>7807</v>
      </c>
      <c r="M958" s="270">
        <v>450</v>
      </c>
      <c r="N958" s="274">
        <v>394</v>
      </c>
      <c r="O958" s="55"/>
      <c r="P958" s="45">
        <v>394</v>
      </c>
      <c r="Q958" s="270">
        <v>87</v>
      </c>
      <c r="R958" s="275">
        <v>-1.5E-3</v>
      </c>
      <c r="S958" s="270">
        <v>72</v>
      </c>
      <c r="T958" s="270">
        <v>466</v>
      </c>
      <c r="U958" s="57">
        <v>1</v>
      </c>
      <c r="V958" s="276">
        <v>0.15</v>
      </c>
      <c r="W958" s="276">
        <v>0</v>
      </c>
      <c r="X958" s="270">
        <v>396</v>
      </c>
      <c r="Y958" s="270">
        <v>70</v>
      </c>
      <c r="Z958" s="45" t="b">
        <v>1</v>
      </c>
      <c r="AA958" s="45" t="s">
        <v>38</v>
      </c>
      <c r="AB958" s="45" t="s">
        <v>38</v>
      </c>
    </row>
    <row r="959" spans="1:28" x14ac:dyDescent="0.2">
      <c r="A959" s="96" t="s">
        <v>286</v>
      </c>
      <c r="B959" s="96" t="s">
        <v>286</v>
      </c>
      <c r="C959" s="277">
        <v>44490</v>
      </c>
      <c r="D959" s="277">
        <v>44520</v>
      </c>
      <c r="E959" s="270" t="s">
        <v>267</v>
      </c>
      <c r="F959" s="133" t="s">
        <v>34</v>
      </c>
      <c r="G959" s="96" t="s">
        <v>35</v>
      </c>
      <c r="H959" s="272" t="s">
        <v>85</v>
      </c>
      <c r="I959" s="273">
        <v>50</v>
      </c>
      <c r="J959" s="270">
        <v>1</v>
      </c>
      <c r="K959" s="270">
        <f t="shared" si="0"/>
        <v>50</v>
      </c>
      <c r="L959" s="270">
        <v>-41</v>
      </c>
      <c r="M959" s="270">
        <v>-50</v>
      </c>
      <c r="N959" s="274">
        <v>2</v>
      </c>
      <c r="O959" s="55"/>
      <c r="P959" s="45">
        <v>2</v>
      </c>
      <c r="Q959" s="270">
        <v>-9</v>
      </c>
      <c r="R959" s="275">
        <v>-1.5E-3</v>
      </c>
      <c r="S959" s="270">
        <v>-10</v>
      </c>
      <c r="T959" s="270">
        <v>-8</v>
      </c>
      <c r="U959" s="57">
        <v>1</v>
      </c>
      <c r="V959" s="276">
        <v>0.15</v>
      </c>
      <c r="W959" s="276">
        <v>0</v>
      </c>
      <c r="X959" s="270">
        <v>-6</v>
      </c>
      <c r="Y959" s="270">
        <v>-1</v>
      </c>
      <c r="Z959" s="45" t="b">
        <v>1</v>
      </c>
      <c r="AA959" s="45" t="s">
        <v>38</v>
      </c>
      <c r="AB959" s="45" t="s">
        <v>38</v>
      </c>
    </row>
    <row r="960" spans="1:28" x14ac:dyDescent="0.2">
      <c r="A960" s="96" t="s">
        <v>286</v>
      </c>
      <c r="B960" s="96" t="s">
        <v>286</v>
      </c>
      <c r="C960" s="277">
        <v>44490</v>
      </c>
      <c r="D960" s="277">
        <v>44520</v>
      </c>
      <c r="E960" s="270" t="s">
        <v>267</v>
      </c>
      <c r="F960" s="133" t="s">
        <v>41</v>
      </c>
      <c r="G960" s="96" t="s">
        <v>35</v>
      </c>
      <c r="H960" s="272" t="s">
        <v>45</v>
      </c>
      <c r="I960" s="273">
        <v>0.25</v>
      </c>
      <c r="J960" s="270">
        <v>10</v>
      </c>
      <c r="K960" s="270">
        <f t="shared" si="0"/>
        <v>2.5</v>
      </c>
      <c r="L960" s="270"/>
      <c r="M960" s="270">
        <v>0</v>
      </c>
      <c r="N960" s="274"/>
      <c r="O960" s="55"/>
      <c r="P960" s="96"/>
      <c r="Q960" s="270"/>
      <c r="R960" s="275">
        <v>0</v>
      </c>
      <c r="S960" s="270"/>
      <c r="T960" s="270">
        <v>0</v>
      </c>
      <c r="U960" s="57">
        <v>1</v>
      </c>
      <c r="V960" s="276">
        <v>0.15</v>
      </c>
      <c r="W960" s="276">
        <v>0</v>
      </c>
      <c r="X960" s="270">
        <v>0</v>
      </c>
      <c r="Y960" s="270">
        <v>0</v>
      </c>
      <c r="Z960" s="45" t="b">
        <v>1</v>
      </c>
      <c r="AA960" s="45" t="s">
        <v>38</v>
      </c>
      <c r="AB960" s="45" t="s">
        <v>38</v>
      </c>
    </row>
    <row r="961" spans="1:28" x14ac:dyDescent="0.2">
      <c r="A961" s="96" t="s">
        <v>286</v>
      </c>
      <c r="B961" s="96" t="s">
        <v>286</v>
      </c>
      <c r="C961" s="277">
        <v>44490</v>
      </c>
      <c r="D961" s="277">
        <v>44520</v>
      </c>
      <c r="E961" s="270" t="s">
        <v>267</v>
      </c>
      <c r="F961" s="133" t="s">
        <v>41</v>
      </c>
      <c r="G961" s="96" t="s">
        <v>35</v>
      </c>
      <c r="H961" s="272" t="s">
        <v>42</v>
      </c>
      <c r="I961" s="273">
        <v>1</v>
      </c>
      <c r="J961" s="270">
        <v>4</v>
      </c>
      <c r="K961" s="270">
        <f t="shared" si="0"/>
        <v>4</v>
      </c>
      <c r="L961" s="270"/>
      <c r="M961" s="270">
        <v>-1</v>
      </c>
      <c r="N961" s="274"/>
      <c r="O961" s="55"/>
      <c r="P961" s="96"/>
      <c r="Q961" s="270"/>
      <c r="R961" s="275">
        <v>0</v>
      </c>
      <c r="S961" s="270"/>
      <c r="T961" s="270">
        <v>-1</v>
      </c>
      <c r="U961" s="57">
        <v>1</v>
      </c>
      <c r="V961" s="276">
        <v>0.15</v>
      </c>
      <c r="W961" s="276">
        <v>0</v>
      </c>
      <c r="X961" s="270">
        <v>-1</v>
      </c>
      <c r="Y961" s="270">
        <v>0</v>
      </c>
      <c r="Z961" s="45" t="b">
        <v>1</v>
      </c>
      <c r="AA961" s="45" t="s">
        <v>38</v>
      </c>
      <c r="AB961" s="45" t="s">
        <v>38</v>
      </c>
    </row>
    <row r="962" spans="1:28" x14ac:dyDescent="0.2">
      <c r="A962" s="96" t="s">
        <v>286</v>
      </c>
      <c r="B962" s="96" t="s">
        <v>286</v>
      </c>
      <c r="C962" s="277">
        <v>44490</v>
      </c>
      <c r="D962" s="277">
        <v>44520</v>
      </c>
      <c r="E962" s="270" t="s">
        <v>267</v>
      </c>
      <c r="F962" s="133" t="s">
        <v>41</v>
      </c>
      <c r="G962" s="96" t="s">
        <v>35</v>
      </c>
      <c r="H962" s="272" t="s">
        <v>36</v>
      </c>
      <c r="I962" s="273">
        <v>2</v>
      </c>
      <c r="J962" s="270">
        <v>2</v>
      </c>
      <c r="K962" s="270">
        <f t="shared" si="0"/>
        <v>4</v>
      </c>
      <c r="L962" s="270"/>
      <c r="M962" s="270">
        <v>8</v>
      </c>
      <c r="N962" s="274"/>
      <c r="O962" s="55"/>
      <c r="P962" s="96"/>
      <c r="Q962" s="270"/>
      <c r="R962" s="275">
        <v>0</v>
      </c>
      <c r="S962" s="270"/>
      <c r="T962" s="270">
        <v>8</v>
      </c>
      <c r="U962" s="57">
        <v>1</v>
      </c>
      <c r="V962" s="276">
        <v>0.15</v>
      </c>
      <c r="W962" s="276">
        <v>0</v>
      </c>
      <c r="X962" s="270">
        <v>7</v>
      </c>
      <c r="Y962" s="270">
        <v>1</v>
      </c>
      <c r="Z962" s="45" t="b">
        <v>1</v>
      </c>
      <c r="AA962" s="45" t="s">
        <v>38</v>
      </c>
      <c r="AB962" s="45" t="s">
        <v>38</v>
      </c>
    </row>
    <row r="963" spans="1:28" x14ac:dyDescent="0.2">
      <c r="A963" s="96" t="s">
        <v>286</v>
      </c>
      <c r="B963" s="96" t="s">
        <v>286</v>
      </c>
      <c r="C963" s="277">
        <v>44490</v>
      </c>
      <c r="D963" s="277">
        <v>44520</v>
      </c>
      <c r="E963" s="270" t="s">
        <v>267</v>
      </c>
      <c r="F963" s="133" t="s">
        <v>41</v>
      </c>
      <c r="G963" s="96" t="s">
        <v>35</v>
      </c>
      <c r="H963" s="272" t="s">
        <v>43</v>
      </c>
      <c r="I963" s="273">
        <v>2</v>
      </c>
      <c r="J963" s="270">
        <v>1</v>
      </c>
      <c r="K963" s="270">
        <f t="shared" si="0"/>
        <v>2</v>
      </c>
      <c r="L963" s="270"/>
      <c r="M963" s="270">
        <v>-2</v>
      </c>
      <c r="N963" s="274"/>
      <c r="O963" s="55"/>
      <c r="P963" s="96"/>
      <c r="Q963" s="270"/>
      <c r="R963" s="275">
        <v>0</v>
      </c>
      <c r="S963" s="270"/>
      <c r="T963" s="270">
        <v>-2</v>
      </c>
      <c r="U963" s="57">
        <v>1</v>
      </c>
      <c r="V963" s="276">
        <v>0.15</v>
      </c>
      <c r="W963" s="276">
        <v>0</v>
      </c>
      <c r="X963" s="270">
        <v>-2</v>
      </c>
      <c r="Y963" s="270">
        <v>0</v>
      </c>
      <c r="Z963" s="45" t="b">
        <v>1</v>
      </c>
      <c r="AA963" s="45" t="s">
        <v>38</v>
      </c>
      <c r="AB963" s="45" t="s">
        <v>38</v>
      </c>
    </row>
    <row r="964" spans="1:28" x14ac:dyDescent="0.2">
      <c r="A964" s="270" t="s">
        <v>60</v>
      </c>
      <c r="B964" s="270" t="s">
        <v>60</v>
      </c>
      <c r="C964" s="282">
        <v>44490</v>
      </c>
      <c r="D964" s="282">
        <v>44520</v>
      </c>
      <c r="E964" s="279" t="s">
        <v>267</v>
      </c>
      <c r="F964" s="133" t="s">
        <v>34</v>
      </c>
      <c r="G964" s="279" t="s">
        <v>61</v>
      </c>
      <c r="H964" s="272" t="s">
        <v>64</v>
      </c>
      <c r="I964" s="280">
        <v>10</v>
      </c>
      <c r="J964" s="279">
        <v>253</v>
      </c>
      <c r="K964" s="270">
        <f t="shared" si="0"/>
        <v>2530</v>
      </c>
      <c r="L964" s="279">
        <v>15636</v>
      </c>
      <c r="M964" s="279">
        <v>45</v>
      </c>
      <c r="N964" s="281">
        <v>4.88</v>
      </c>
      <c r="O964" s="55"/>
      <c r="P964" s="45">
        <v>5</v>
      </c>
      <c r="Q964" s="279">
        <v>59</v>
      </c>
      <c r="R964" s="275">
        <v>4.2000000000000002E-4</v>
      </c>
      <c r="S964" s="279">
        <v>60</v>
      </c>
      <c r="T964" s="279">
        <v>65</v>
      </c>
      <c r="U964" s="57">
        <v>1</v>
      </c>
      <c r="V964" s="276">
        <v>0.2</v>
      </c>
      <c r="W964" s="276">
        <v>0</v>
      </c>
      <c r="X964" s="279">
        <v>52</v>
      </c>
      <c r="Y964" s="279">
        <v>13</v>
      </c>
      <c r="Z964" s="45" t="b">
        <v>1</v>
      </c>
      <c r="AA964" s="45" t="s">
        <v>50</v>
      </c>
      <c r="AB964" s="45" t="s">
        <v>50</v>
      </c>
    </row>
    <row r="965" spans="1:28" x14ac:dyDescent="0.2">
      <c r="A965" s="270" t="s">
        <v>60</v>
      </c>
      <c r="B965" s="270" t="s">
        <v>60</v>
      </c>
      <c r="C965" s="282">
        <v>44490</v>
      </c>
      <c r="D965" s="282">
        <v>44520</v>
      </c>
      <c r="E965" s="279" t="s">
        <v>267</v>
      </c>
      <c r="F965" s="133" t="s">
        <v>34</v>
      </c>
      <c r="G965" s="279" t="s">
        <v>61</v>
      </c>
      <c r="H965" s="272" t="s">
        <v>65</v>
      </c>
      <c r="I965" s="280">
        <v>25</v>
      </c>
      <c r="J965" s="279">
        <v>221</v>
      </c>
      <c r="K965" s="270">
        <f t="shared" si="0"/>
        <v>5525</v>
      </c>
      <c r="L965" s="279">
        <v>16556</v>
      </c>
      <c r="M965" s="279">
        <v>-310</v>
      </c>
      <c r="N965" s="281">
        <v>0.12</v>
      </c>
      <c r="O965" s="55"/>
      <c r="P965" s="45">
        <v>0</v>
      </c>
      <c r="Q965" s="279">
        <v>260</v>
      </c>
      <c r="R965" s="275">
        <v>4.2000000000000002E-4</v>
      </c>
      <c r="S965" s="279">
        <v>263</v>
      </c>
      <c r="T965" s="279">
        <v>263</v>
      </c>
      <c r="U965" s="57">
        <v>1</v>
      </c>
      <c r="V965" s="276">
        <v>0.2</v>
      </c>
      <c r="W965" s="276">
        <v>0</v>
      </c>
      <c r="X965" s="279">
        <v>210</v>
      </c>
      <c r="Y965" s="279">
        <v>53</v>
      </c>
      <c r="Z965" s="45" t="b">
        <v>1</v>
      </c>
      <c r="AA965" s="45" t="s">
        <v>50</v>
      </c>
      <c r="AB965" s="45" t="s">
        <v>50</v>
      </c>
    </row>
    <row r="966" spans="1:28" x14ac:dyDescent="0.2">
      <c r="A966" s="96" t="s">
        <v>82</v>
      </c>
      <c r="B966" s="96" t="s">
        <v>82</v>
      </c>
      <c r="C966" s="277">
        <v>44490</v>
      </c>
      <c r="D966" s="277">
        <v>44520</v>
      </c>
      <c r="E966" s="270" t="s">
        <v>300</v>
      </c>
      <c r="F966" s="133" t="s">
        <v>34</v>
      </c>
      <c r="G966" s="96" t="s">
        <v>35</v>
      </c>
      <c r="H966" s="272" t="s">
        <v>72</v>
      </c>
      <c r="I966" s="273">
        <v>50</v>
      </c>
      <c r="J966" s="270">
        <v>3381</v>
      </c>
      <c r="K966" s="270">
        <f t="shared" si="0"/>
        <v>169050</v>
      </c>
      <c r="L966" s="270">
        <v>102060</v>
      </c>
      <c r="M966" s="270">
        <v>2050</v>
      </c>
      <c r="N966" s="274">
        <v>4230</v>
      </c>
      <c r="O966" s="55"/>
      <c r="P966" s="105">
        <v>4230</v>
      </c>
      <c r="Q966" s="270">
        <v>-1357</v>
      </c>
      <c r="R966" s="275">
        <v>4.2000000000000002E-4</v>
      </c>
      <c r="S966" s="270">
        <v>-1286</v>
      </c>
      <c r="T966" s="270">
        <v>2944</v>
      </c>
      <c r="U966" s="57">
        <v>1</v>
      </c>
      <c r="V966" s="276">
        <v>0.15</v>
      </c>
      <c r="W966" s="276">
        <v>0.05</v>
      </c>
      <c r="X966" s="270">
        <v>2355</v>
      </c>
      <c r="Y966" s="270">
        <v>589</v>
      </c>
      <c r="Z966" s="45" t="b">
        <v>1</v>
      </c>
      <c r="AA966" s="45" t="s">
        <v>38</v>
      </c>
      <c r="AB966" s="45" t="s">
        <v>38</v>
      </c>
    </row>
    <row r="967" spans="1:28" x14ac:dyDescent="0.2">
      <c r="A967" s="96" t="s">
        <v>82</v>
      </c>
      <c r="B967" s="96" t="s">
        <v>82</v>
      </c>
      <c r="C967" s="277">
        <v>44490</v>
      </c>
      <c r="D967" s="277">
        <v>44520</v>
      </c>
      <c r="E967" s="270" t="s">
        <v>300</v>
      </c>
      <c r="F967" s="133" t="s">
        <v>34</v>
      </c>
      <c r="G967" s="96" t="s">
        <v>35</v>
      </c>
      <c r="H967" s="272" t="s">
        <v>70</v>
      </c>
      <c r="I967" s="273">
        <v>100</v>
      </c>
      <c r="J967" s="270">
        <v>2</v>
      </c>
      <c r="K967" s="270">
        <f t="shared" si="0"/>
        <v>200</v>
      </c>
      <c r="L967" s="270">
        <v>-718</v>
      </c>
      <c r="M967" s="270">
        <v>-200</v>
      </c>
      <c r="N967" s="274">
        <v>4</v>
      </c>
      <c r="O967" s="55"/>
      <c r="P967" s="45">
        <v>4</v>
      </c>
      <c r="Q967" s="270">
        <v>-145</v>
      </c>
      <c r="R967" s="275">
        <v>4.2000000000000002E-4</v>
      </c>
      <c r="S967" s="270">
        <v>-145</v>
      </c>
      <c r="T967" s="270">
        <v>-141</v>
      </c>
      <c r="U967" s="57">
        <v>1</v>
      </c>
      <c r="V967" s="276">
        <v>0.15</v>
      </c>
      <c r="W967" s="276">
        <v>0.05</v>
      </c>
      <c r="X967" s="270">
        <v>-113</v>
      </c>
      <c r="Y967" s="270">
        <v>-28</v>
      </c>
      <c r="Z967" s="45" t="b">
        <v>1</v>
      </c>
      <c r="AA967" s="45" t="s">
        <v>38</v>
      </c>
      <c r="AB967" s="45" t="s">
        <v>38</v>
      </c>
    </row>
    <row r="968" spans="1:28" x14ac:dyDescent="0.2">
      <c r="A968" s="96" t="s">
        <v>82</v>
      </c>
      <c r="B968" s="96" t="s">
        <v>82</v>
      </c>
      <c r="C968" s="277">
        <v>44490</v>
      </c>
      <c r="D968" s="277">
        <v>44520</v>
      </c>
      <c r="E968" s="270" t="s">
        <v>300</v>
      </c>
      <c r="F968" s="133" t="s">
        <v>41</v>
      </c>
      <c r="G968" s="96" t="s">
        <v>35</v>
      </c>
      <c r="H968" s="272" t="s">
        <v>88</v>
      </c>
      <c r="I968" s="273">
        <v>250</v>
      </c>
      <c r="J968" s="270">
        <v>3</v>
      </c>
      <c r="K968" s="270">
        <f t="shared" si="0"/>
        <v>750</v>
      </c>
      <c r="L968" s="270"/>
      <c r="M968" s="270">
        <v>-750</v>
      </c>
      <c r="N968" s="274">
        <v>16</v>
      </c>
      <c r="O968" s="55"/>
      <c r="P968" s="45">
        <v>16</v>
      </c>
      <c r="Q968" s="270"/>
      <c r="R968" s="275">
        <v>0</v>
      </c>
      <c r="S968" s="270"/>
      <c r="T968" s="270">
        <v>-734</v>
      </c>
      <c r="U968" s="57">
        <v>1</v>
      </c>
      <c r="V968" s="276">
        <v>0.15</v>
      </c>
      <c r="W968" s="276">
        <v>0.05</v>
      </c>
      <c r="X968" s="270">
        <v>-587</v>
      </c>
      <c r="Y968" s="270">
        <v>-147</v>
      </c>
      <c r="Z968" s="45" t="b">
        <v>1</v>
      </c>
      <c r="AA968" s="45" t="s">
        <v>38</v>
      </c>
      <c r="AB968" s="45" t="s">
        <v>38</v>
      </c>
    </row>
    <row r="969" spans="1:28" x14ac:dyDescent="0.2">
      <c r="A969" s="96" t="s">
        <v>154</v>
      </c>
      <c r="B969" s="279">
        <v>66.562200000000004</v>
      </c>
      <c r="C969" s="282">
        <v>44490</v>
      </c>
      <c r="D969" s="282">
        <v>44520</v>
      </c>
      <c r="E969" s="279" t="s">
        <v>267</v>
      </c>
      <c r="F969" s="133" t="s">
        <v>34</v>
      </c>
      <c r="G969" s="279" t="s">
        <v>61</v>
      </c>
      <c r="H969" s="272" t="s">
        <v>64</v>
      </c>
      <c r="I969" s="280">
        <v>10</v>
      </c>
      <c r="J969" s="279">
        <v>1047</v>
      </c>
      <c r="K969" s="270">
        <f t="shared" si="0"/>
        <v>10470</v>
      </c>
      <c r="L969" s="279">
        <v>52628</v>
      </c>
      <c r="M969" s="279">
        <v>226</v>
      </c>
      <c r="N969" s="281">
        <v>5</v>
      </c>
      <c r="O969" s="55"/>
      <c r="P969" s="45">
        <v>5</v>
      </c>
      <c r="Q969" s="279">
        <v>27</v>
      </c>
      <c r="R969" s="275">
        <v>4.2000000000000002E-4</v>
      </c>
      <c r="S969" s="279">
        <v>31</v>
      </c>
      <c r="T969" s="279">
        <v>36</v>
      </c>
      <c r="U969" s="57">
        <v>1.1279999999999999</v>
      </c>
      <c r="V969" s="276">
        <v>0.2</v>
      </c>
      <c r="W969" s="276">
        <v>0</v>
      </c>
      <c r="X969" s="279">
        <v>33</v>
      </c>
      <c r="Y969" s="279">
        <v>8</v>
      </c>
      <c r="Z969" s="45" t="b">
        <v>1</v>
      </c>
      <c r="AA969" s="45" t="s">
        <v>38</v>
      </c>
      <c r="AB969" s="45" t="s">
        <v>50</v>
      </c>
    </row>
    <row r="970" spans="1:28" x14ac:dyDescent="0.2">
      <c r="A970" s="96" t="s">
        <v>154</v>
      </c>
      <c r="B970" s="96" t="s">
        <v>154</v>
      </c>
      <c r="C970" s="282">
        <v>44490</v>
      </c>
      <c r="D970" s="282">
        <v>44520</v>
      </c>
      <c r="E970" s="279" t="s">
        <v>267</v>
      </c>
      <c r="F970" s="133" t="s">
        <v>34</v>
      </c>
      <c r="G970" s="270" t="s">
        <v>35</v>
      </c>
      <c r="H970" s="272" t="s">
        <v>40</v>
      </c>
      <c r="I970" s="280">
        <v>10</v>
      </c>
      <c r="J970" s="279">
        <v>68</v>
      </c>
      <c r="K970" s="270">
        <f t="shared" si="0"/>
        <v>680</v>
      </c>
      <c r="L970" s="279">
        <v>-1601</v>
      </c>
      <c r="M970" s="279">
        <v>-220</v>
      </c>
      <c r="N970" s="274"/>
      <c r="O970" s="55"/>
      <c r="P970" s="96"/>
      <c r="Q970" s="279">
        <v>-80</v>
      </c>
      <c r="R970" s="275">
        <v>4.2000000000000002E-4</v>
      </c>
      <c r="S970" s="279">
        <v>-79</v>
      </c>
      <c r="T970" s="279">
        <v>-79</v>
      </c>
      <c r="U970" s="57">
        <v>1</v>
      </c>
      <c r="V970" s="276">
        <v>0.2</v>
      </c>
      <c r="W970" s="276">
        <v>0</v>
      </c>
      <c r="X970" s="279">
        <v>-64</v>
      </c>
      <c r="Y970" s="279">
        <v>-16</v>
      </c>
      <c r="Z970" s="45" t="b">
        <v>1</v>
      </c>
      <c r="AA970" s="45" t="s">
        <v>38</v>
      </c>
      <c r="AB970" s="45" t="s">
        <v>38</v>
      </c>
    </row>
    <row r="971" spans="1:28" x14ac:dyDescent="0.2">
      <c r="A971" s="96" t="s">
        <v>89</v>
      </c>
      <c r="B971" s="96" t="s">
        <v>89</v>
      </c>
      <c r="C971" s="277">
        <v>44490</v>
      </c>
      <c r="D971" s="277">
        <v>44520</v>
      </c>
      <c r="E971" s="270" t="s">
        <v>267</v>
      </c>
      <c r="F971" s="133" t="s">
        <v>34</v>
      </c>
      <c r="G971" s="96" t="s">
        <v>35</v>
      </c>
      <c r="H971" s="272" t="s">
        <v>40</v>
      </c>
      <c r="I971" s="273">
        <v>10</v>
      </c>
      <c r="J971" s="270">
        <v>1</v>
      </c>
      <c r="K971" s="270">
        <f t="shared" si="0"/>
        <v>10</v>
      </c>
      <c r="L971" s="270">
        <v>296</v>
      </c>
      <c r="M971" s="270">
        <v>-10</v>
      </c>
      <c r="N971" s="274"/>
      <c r="O971" s="55"/>
      <c r="P971" s="96"/>
      <c r="Q971" s="270">
        <v>5</v>
      </c>
      <c r="R971" s="275">
        <v>4.2000000000000002E-4</v>
      </c>
      <c r="S971" s="270">
        <v>5</v>
      </c>
      <c r="T971" s="270">
        <v>5</v>
      </c>
      <c r="U971" s="57">
        <v>1</v>
      </c>
      <c r="V971" s="276">
        <v>0.22</v>
      </c>
      <c r="W971" s="276">
        <v>0</v>
      </c>
      <c r="X971" s="270">
        <v>4</v>
      </c>
      <c r="Y971" s="270">
        <v>1</v>
      </c>
      <c r="Z971" s="45" t="b">
        <v>1</v>
      </c>
      <c r="AA971" s="45" t="s">
        <v>38</v>
      </c>
      <c r="AB971" s="45" t="s">
        <v>38</v>
      </c>
    </row>
    <row r="972" spans="1:28" x14ac:dyDescent="0.2">
      <c r="A972" s="96" t="s">
        <v>89</v>
      </c>
      <c r="B972" s="96" t="s">
        <v>89</v>
      </c>
      <c r="C972" s="277">
        <v>44490</v>
      </c>
      <c r="D972" s="277">
        <v>44520</v>
      </c>
      <c r="E972" s="270" t="s">
        <v>267</v>
      </c>
      <c r="F972" s="133" t="s">
        <v>34</v>
      </c>
      <c r="G972" s="96" t="s">
        <v>35</v>
      </c>
      <c r="H972" s="272" t="s">
        <v>46</v>
      </c>
      <c r="I972" s="273">
        <v>25</v>
      </c>
      <c r="J972" s="270">
        <v>13</v>
      </c>
      <c r="K972" s="270">
        <f t="shared" si="0"/>
        <v>325</v>
      </c>
      <c r="L972" s="270">
        <v>889</v>
      </c>
      <c r="M972" s="270">
        <v>25</v>
      </c>
      <c r="N972" s="274">
        <v>13</v>
      </c>
      <c r="O972" s="55"/>
      <c r="P972" s="45">
        <v>13</v>
      </c>
      <c r="Q972" s="270">
        <v>20</v>
      </c>
      <c r="R972" s="275">
        <v>4.2000000000000002E-4</v>
      </c>
      <c r="S972" s="270">
        <v>21</v>
      </c>
      <c r="T972" s="270">
        <v>34</v>
      </c>
      <c r="U972" s="57">
        <v>1</v>
      </c>
      <c r="V972" s="276">
        <v>0.22</v>
      </c>
      <c r="W972" s="276">
        <v>0</v>
      </c>
      <c r="X972" s="270">
        <v>26</v>
      </c>
      <c r="Y972" s="270">
        <v>7</v>
      </c>
      <c r="Z972" s="45" t="b">
        <v>1</v>
      </c>
      <c r="AA972" s="45" t="s">
        <v>38</v>
      </c>
      <c r="AB972" s="45" t="s">
        <v>38</v>
      </c>
    </row>
    <row r="973" spans="1:28" x14ac:dyDescent="0.2">
      <c r="A973" s="96" t="s">
        <v>89</v>
      </c>
      <c r="B973" s="96" t="s">
        <v>89</v>
      </c>
      <c r="C973" s="277">
        <v>44490</v>
      </c>
      <c r="D973" s="277">
        <v>44520</v>
      </c>
      <c r="E973" s="270" t="s">
        <v>267</v>
      </c>
      <c r="F973" s="133" t="s">
        <v>34</v>
      </c>
      <c r="G973" s="96" t="s">
        <v>35</v>
      </c>
      <c r="H973" s="272" t="s">
        <v>72</v>
      </c>
      <c r="I973" s="273">
        <v>50</v>
      </c>
      <c r="J973" s="270">
        <v>1880</v>
      </c>
      <c r="K973" s="270">
        <f t="shared" si="0"/>
        <v>94000</v>
      </c>
      <c r="L973" s="270">
        <v>26291</v>
      </c>
      <c r="M973" s="270">
        <v>-950</v>
      </c>
      <c r="N973" s="274">
        <v>3872</v>
      </c>
      <c r="O973" s="55"/>
      <c r="P973" s="105">
        <v>3872</v>
      </c>
      <c r="Q973" s="270">
        <v>-3578</v>
      </c>
      <c r="R973" s="275">
        <v>4.2000000000000002E-4</v>
      </c>
      <c r="S973" s="270">
        <v>-3539</v>
      </c>
      <c r="T973" s="270">
        <v>333</v>
      </c>
      <c r="U973" s="57">
        <v>1</v>
      </c>
      <c r="V973" s="276">
        <v>0.22</v>
      </c>
      <c r="W973" s="276">
        <v>0</v>
      </c>
      <c r="X973" s="270">
        <v>260</v>
      </c>
      <c r="Y973" s="270">
        <v>73</v>
      </c>
      <c r="Z973" s="45" t="b">
        <v>1</v>
      </c>
      <c r="AA973" s="45" t="s">
        <v>38</v>
      </c>
      <c r="AB973" s="45" t="s">
        <v>38</v>
      </c>
    </row>
    <row r="974" spans="1:28" x14ac:dyDescent="0.2">
      <c r="A974" s="96" t="s">
        <v>89</v>
      </c>
      <c r="B974" s="96" t="s">
        <v>89</v>
      </c>
      <c r="C974" s="277">
        <v>44490</v>
      </c>
      <c r="D974" s="277">
        <v>44520</v>
      </c>
      <c r="E974" s="270" t="s">
        <v>267</v>
      </c>
      <c r="F974" s="133" t="s">
        <v>41</v>
      </c>
      <c r="G974" s="96" t="s">
        <v>35</v>
      </c>
      <c r="H974" s="272" t="s">
        <v>90</v>
      </c>
      <c r="I974" s="273">
        <v>5</v>
      </c>
      <c r="J974" s="270">
        <v>1</v>
      </c>
      <c r="K974" s="270">
        <f t="shared" si="0"/>
        <v>5</v>
      </c>
      <c r="L974" s="270">
        <v>139</v>
      </c>
      <c r="M974" s="270">
        <v>35</v>
      </c>
      <c r="N974" s="274"/>
      <c r="O974" s="55"/>
      <c r="P974" s="96"/>
      <c r="Q974" s="270">
        <v>2</v>
      </c>
      <c r="R974" s="275">
        <v>0</v>
      </c>
      <c r="S974" s="270">
        <v>2</v>
      </c>
      <c r="T974" s="270">
        <v>35</v>
      </c>
      <c r="U974" s="57">
        <v>1</v>
      </c>
      <c r="V974" s="276">
        <v>0.22</v>
      </c>
      <c r="W974" s="276">
        <v>0</v>
      </c>
      <c r="X974" s="270">
        <v>27</v>
      </c>
      <c r="Y974" s="270">
        <v>8</v>
      </c>
      <c r="Z974" s="45" t="b">
        <v>1</v>
      </c>
      <c r="AA974" s="45" t="s">
        <v>38</v>
      </c>
      <c r="AB974" s="45" t="s">
        <v>38</v>
      </c>
    </row>
    <row r="975" spans="1:28" x14ac:dyDescent="0.2">
      <c r="A975" s="96" t="s">
        <v>89</v>
      </c>
      <c r="B975" s="96" t="s">
        <v>89</v>
      </c>
      <c r="C975" s="277">
        <v>44490</v>
      </c>
      <c r="D975" s="277">
        <v>44520</v>
      </c>
      <c r="E975" s="270" t="s">
        <v>267</v>
      </c>
      <c r="F975" s="133" t="s">
        <v>41</v>
      </c>
      <c r="G975" s="96" t="s">
        <v>35</v>
      </c>
      <c r="H975" s="272" t="s">
        <v>39</v>
      </c>
      <c r="I975" s="273">
        <v>5</v>
      </c>
      <c r="J975" s="270">
        <v>1</v>
      </c>
      <c r="K975" s="270">
        <f t="shared" si="0"/>
        <v>5</v>
      </c>
      <c r="L975" s="270">
        <v>140</v>
      </c>
      <c r="M975" s="270">
        <v>5</v>
      </c>
      <c r="N975" s="274"/>
      <c r="O975" s="55"/>
      <c r="P975" s="96"/>
      <c r="Q975" s="270">
        <v>1</v>
      </c>
      <c r="R975" s="275">
        <v>0</v>
      </c>
      <c r="S975" s="270">
        <v>1</v>
      </c>
      <c r="T975" s="270">
        <v>5</v>
      </c>
      <c r="U975" s="57">
        <v>1</v>
      </c>
      <c r="V975" s="276">
        <v>0.22</v>
      </c>
      <c r="W975" s="276">
        <v>0</v>
      </c>
      <c r="X975" s="270">
        <v>4</v>
      </c>
      <c r="Y975" s="270">
        <v>1</v>
      </c>
      <c r="Z975" s="45" t="b">
        <v>1</v>
      </c>
      <c r="AA975" s="45" t="s">
        <v>38</v>
      </c>
      <c r="AB975" s="45" t="s">
        <v>38</v>
      </c>
    </row>
    <row r="976" spans="1:28" x14ac:dyDescent="0.2">
      <c r="A976" s="96" t="s">
        <v>89</v>
      </c>
      <c r="B976" s="96" t="s">
        <v>89</v>
      </c>
      <c r="C976" s="277">
        <v>44490</v>
      </c>
      <c r="D976" s="277">
        <v>44520</v>
      </c>
      <c r="E976" s="270" t="s">
        <v>267</v>
      </c>
      <c r="F976" s="133" t="s">
        <v>41</v>
      </c>
      <c r="G976" s="96" t="s">
        <v>35</v>
      </c>
      <c r="H976" s="272" t="s">
        <v>70</v>
      </c>
      <c r="I976" s="273">
        <v>100</v>
      </c>
      <c r="J976" s="270">
        <v>2085</v>
      </c>
      <c r="K976" s="270">
        <f t="shared" si="0"/>
        <v>208500</v>
      </c>
      <c r="L976" s="270">
        <v>62975</v>
      </c>
      <c r="M976" s="270">
        <v>5700</v>
      </c>
      <c r="N976" s="274">
        <v>7219</v>
      </c>
      <c r="O976" s="55"/>
      <c r="P976" s="105">
        <v>7219</v>
      </c>
      <c r="Q976" s="270">
        <v>544</v>
      </c>
      <c r="R976" s="275">
        <v>0</v>
      </c>
      <c r="S976" s="270">
        <v>544</v>
      </c>
      <c r="T976" s="270">
        <v>12919</v>
      </c>
      <c r="U976" s="57">
        <v>1</v>
      </c>
      <c r="V976" s="276">
        <v>0.22</v>
      </c>
      <c r="W976" s="276">
        <v>0</v>
      </c>
      <c r="X976" s="270">
        <v>10077</v>
      </c>
      <c r="Y976" s="270">
        <v>2842</v>
      </c>
      <c r="Z976" s="45" t="b">
        <v>1</v>
      </c>
      <c r="AA976" s="45" t="s">
        <v>38</v>
      </c>
      <c r="AB976" s="45" t="s">
        <v>38</v>
      </c>
    </row>
    <row r="977" spans="1:28" x14ac:dyDescent="0.2">
      <c r="A977" s="279" t="s">
        <v>395</v>
      </c>
      <c r="B977" s="279" t="s">
        <v>395</v>
      </c>
      <c r="C977" s="282">
        <v>44490</v>
      </c>
      <c r="D977" s="282">
        <v>44520</v>
      </c>
      <c r="E977" s="279" t="s">
        <v>267</v>
      </c>
      <c r="F977" s="133" t="s">
        <v>34</v>
      </c>
      <c r="G977" s="279" t="s">
        <v>61</v>
      </c>
      <c r="H977" s="272" t="s">
        <v>65</v>
      </c>
      <c r="I977" s="280">
        <v>25</v>
      </c>
      <c r="J977" s="279">
        <v>10</v>
      </c>
      <c r="K977" s="270">
        <f t="shared" si="0"/>
        <v>250</v>
      </c>
      <c r="L977" s="279">
        <v>937</v>
      </c>
      <c r="M977" s="279">
        <v>-56</v>
      </c>
      <c r="N977" s="281">
        <v>188.54</v>
      </c>
      <c r="O977" s="55"/>
      <c r="P977" s="45">
        <v>189</v>
      </c>
      <c r="Q977" s="279">
        <v>20</v>
      </c>
      <c r="R977" s="275">
        <v>4.2000000000000002E-4</v>
      </c>
      <c r="S977" s="279">
        <v>20</v>
      </c>
      <c r="T977" s="279">
        <v>209</v>
      </c>
      <c r="U977" s="57">
        <v>1</v>
      </c>
      <c r="V977" s="276">
        <v>0.19</v>
      </c>
      <c r="W977" s="276">
        <v>0</v>
      </c>
      <c r="X977" s="279">
        <v>169</v>
      </c>
      <c r="Y977" s="279">
        <v>40</v>
      </c>
      <c r="Z977" s="45" t="b">
        <v>1</v>
      </c>
      <c r="AA977" s="45" t="s">
        <v>50</v>
      </c>
      <c r="AB977" s="45" t="s">
        <v>50</v>
      </c>
    </row>
    <row r="978" spans="1:28" x14ac:dyDescent="0.2">
      <c r="A978" s="279" t="s">
        <v>395</v>
      </c>
      <c r="B978" s="279" t="s">
        <v>395</v>
      </c>
      <c r="C978" s="282">
        <v>44490</v>
      </c>
      <c r="D978" s="282">
        <v>44520</v>
      </c>
      <c r="E978" s="279" t="s">
        <v>267</v>
      </c>
      <c r="F978" s="133" t="s">
        <v>34</v>
      </c>
      <c r="G978" s="279" t="s">
        <v>61</v>
      </c>
      <c r="H978" s="272" t="s">
        <v>111</v>
      </c>
      <c r="I978" s="280">
        <v>50</v>
      </c>
      <c r="J978" s="279">
        <v>880</v>
      </c>
      <c r="K978" s="270">
        <f t="shared" si="0"/>
        <v>44000</v>
      </c>
      <c r="L978" s="279">
        <v>58247</v>
      </c>
      <c r="M978" s="279">
        <v>2820</v>
      </c>
      <c r="N978" s="281">
        <v>475.92</v>
      </c>
      <c r="O978" s="55"/>
      <c r="P978" s="45">
        <v>476</v>
      </c>
      <c r="Q978" s="279">
        <v>1380</v>
      </c>
      <c r="R978" s="275">
        <v>4.2000000000000002E-4</v>
      </c>
      <c r="S978" s="279">
        <v>1398</v>
      </c>
      <c r="T978" s="279">
        <v>1874</v>
      </c>
      <c r="U978" s="57">
        <v>1</v>
      </c>
      <c r="V978" s="276">
        <v>0.19</v>
      </c>
      <c r="W978" s="276">
        <v>0</v>
      </c>
      <c r="X978" s="279">
        <v>1518</v>
      </c>
      <c r="Y978" s="279">
        <v>356</v>
      </c>
      <c r="Z978" s="45" t="b">
        <v>1</v>
      </c>
      <c r="AA978" s="45" t="s">
        <v>50</v>
      </c>
      <c r="AB978" s="45" t="s">
        <v>50</v>
      </c>
    </row>
    <row r="979" spans="1:28" x14ac:dyDescent="0.2">
      <c r="A979" s="279" t="s">
        <v>395</v>
      </c>
      <c r="B979" s="279" t="s">
        <v>395</v>
      </c>
      <c r="C979" s="282">
        <v>44490</v>
      </c>
      <c r="D979" s="282">
        <v>44520</v>
      </c>
      <c r="E979" s="279" t="s">
        <v>267</v>
      </c>
      <c r="F979" s="133" t="s">
        <v>34</v>
      </c>
      <c r="G979" s="279" t="s">
        <v>61</v>
      </c>
      <c r="H979" s="272" t="s">
        <v>59</v>
      </c>
      <c r="I979" s="280">
        <v>100</v>
      </c>
      <c r="J979" s="279">
        <v>763</v>
      </c>
      <c r="K979" s="270">
        <f t="shared" si="0"/>
        <v>76300</v>
      </c>
      <c r="L979" s="279">
        <v>53231</v>
      </c>
      <c r="M979" s="279">
        <v>-790</v>
      </c>
      <c r="N979" s="281">
        <v>0</v>
      </c>
      <c r="O979" s="55"/>
      <c r="P979" s="45">
        <v>0</v>
      </c>
      <c r="Q979" s="279">
        <v>2886</v>
      </c>
      <c r="R979" s="275">
        <v>4.2000000000000002E-4</v>
      </c>
      <c r="S979" s="279">
        <v>2918</v>
      </c>
      <c r="T979" s="279">
        <v>2918</v>
      </c>
      <c r="U979" s="57">
        <v>1</v>
      </c>
      <c r="V979" s="276">
        <v>0.19</v>
      </c>
      <c r="W979" s="276">
        <v>0</v>
      </c>
      <c r="X979" s="279">
        <v>2364</v>
      </c>
      <c r="Y979" s="279">
        <v>554</v>
      </c>
      <c r="Z979" s="45" t="b">
        <v>1</v>
      </c>
      <c r="AA979" s="45" t="s">
        <v>50</v>
      </c>
      <c r="AB979" s="45" t="s">
        <v>50</v>
      </c>
    </row>
    <row r="980" spans="1:28" x14ac:dyDescent="0.2">
      <c r="A980" s="279" t="s">
        <v>395</v>
      </c>
      <c r="B980" s="279" t="s">
        <v>395</v>
      </c>
      <c r="C980" s="282">
        <v>44490</v>
      </c>
      <c r="D980" s="282">
        <v>44520</v>
      </c>
      <c r="E980" s="279" t="s">
        <v>267</v>
      </c>
      <c r="F980" s="133" t="s">
        <v>34</v>
      </c>
      <c r="G980" s="279" t="s">
        <v>61</v>
      </c>
      <c r="H980" s="272" t="s">
        <v>996</v>
      </c>
      <c r="I980" s="280">
        <v>250</v>
      </c>
      <c r="J980" s="279">
        <v>124</v>
      </c>
      <c r="K980" s="270">
        <f t="shared" si="0"/>
        <v>31000</v>
      </c>
      <c r="L980" s="279">
        <v>281</v>
      </c>
      <c r="M980" s="279">
        <v>3666</v>
      </c>
      <c r="N980" s="281">
        <v>557.73</v>
      </c>
      <c r="O980" s="55"/>
      <c r="P980" s="45">
        <v>558</v>
      </c>
      <c r="Q980" s="279">
        <v>-2375</v>
      </c>
      <c r="R980" s="275">
        <v>4.2000000000000002E-4</v>
      </c>
      <c r="S980" s="279">
        <v>-2362</v>
      </c>
      <c r="T980" s="279">
        <v>-1804</v>
      </c>
      <c r="U980" s="57">
        <v>1</v>
      </c>
      <c r="V980" s="276">
        <v>0.19</v>
      </c>
      <c r="W980" s="276">
        <v>0</v>
      </c>
      <c r="X980" s="279">
        <v>-1461</v>
      </c>
      <c r="Y980" s="279">
        <v>-343</v>
      </c>
      <c r="Z980" s="45" t="b">
        <v>1</v>
      </c>
      <c r="AA980" s="45" t="s">
        <v>50</v>
      </c>
      <c r="AB980" s="45" t="s">
        <v>50</v>
      </c>
    </row>
    <row r="981" spans="1:28" x14ac:dyDescent="0.2">
      <c r="A981" s="279" t="s">
        <v>395</v>
      </c>
      <c r="B981" s="279" t="s">
        <v>395</v>
      </c>
      <c r="C981" s="282">
        <v>44490</v>
      </c>
      <c r="D981" s="282">
        <v>44520</v>
      </c>
      <c r="E981" s="279" t="s">
        <v>267</v>
      </c>
      <c r="F981" s="133" t="s">
        <v>34</v>
      </c>
      <c r="G981" s="279" t="s">
        <v>61</v>
      </c>
      <c r="H981" s="272" t="s">
        <v>997</v>
      </c>
      <c r="I981" s="280">
        <v>500</v>
      </c>
      <c r="J981" s="279">
        <v>3</v>
      </c>
      <c r="K981" s="270">
        <f t="shared" si="0"/>
        <v>1500</v>
      </c>
      <c r="L981" s="279">
        <v>541</v>
      </c>
      <c r="M981" s="279">
        <v>1692</v>
      </c>
      <c r="N981" s="281">
        <v>26.99</v>
      </c>
      <c r="O981" s="55"/>
      <c r="P981" s="45">
        <v>27</v>
      </c>
      <c r="Q981" s="279">
        <v>360</v>
      </c>
      <c r="R981" s="275">
        <v>4.2000000000000002E-4</v>
      </c>
      <c r="S981" s="279">
        <v>361</v>
      </c>
      <c r="T981" s="279">
        <v>388</v>
      </c>
      <c r="U981" s="57">
        <v>1</v>
      </c>
      <c r="V981" s="276">
        <v>0.19</v>
      </c>
      <c r="W981" s="276">
        <v>0</v>
      </c>
      <c r="X981" s="279">
        <v>314</v>
      </c>
      <c r="Y981" s="279">
        <v>74</v>
      </c>
      <c r="Z981" s="45" t="b">
        <v>1</v>
      </c>
      <c r="AA981" s="45" t="s">
        <v>50</v>
      </c>
      <c r="AB981" s="45" t="s">
        <v>50</v>
      </c>
    </row>
    <row r="982" spans="1:28" x14ac:dyDescent="0.2">
      <c r="A982" s="279" t="s">
        <v>395</v>
      </c>
      <c r="B982" s="279" t="s">
        <v>395</v>
      </c>
      <c r="C982" s="282">
        <v>44490</v>
      </c>
      <c r="D982" s="282">
        <v>44520</v>
      </c>
      <c r="E982" s="279" t="s">
        <v>267</v>
      </c>
      <c r="F982" s="133" t="s">
        <v>34</v>
      </c>
      <c r="G982" s="279" t="s">
        <v>61</v>
      </c>
      <c r="H982" s="272" t="s">
        <v>998</v>
      </c>
      <c r="I982" s="280">
        <v>500</v>
      </c>
      <c r="J982" s="279">
        <v>39</v>
      </c>
      <c r="K982" s="270">
        <f t="shared" si="0"/>
        <v>19500</v>
      </c>
      <c r="L982" s="279">
        <v>109</v>
      </c>
      <c r="M982" s="279">
        <v>-2256</v>
      </c>
      <c r="N982" s="281">
        <v>350.83</v>
      </c>
      <c r="O982" s="55"/>
      <c r="P982" s="45">
        <v>351</v>
      </c>
      <c r="Q982" s="279">
        <v>-1381</v>
      </c>
      <c r="R982" s="275">
        <v>4.2000000000000002E-4</v>
      </c>
      <c r="S982" s="279">
        <v>-1373</v>
      </c>
      <c r="T982" s="279">
        <v>-1022</v>
      </c>
      <c r="U982" s="57">
        <v>1</v>
      </c>
      <c r="V982" s="276">
        <v>0.19</v>
      </c>
      <c r="W982" s="276">
        <v>0</v>
      </c>
      <c r="X982" s="279">
        <v>-828</v>
      </c>
      <c r="Y982" s="279">
        <v>-194</v>
      </c>
      <c r="Z982" s="45" t="b">
        <v>1</v>
      </c>
      <c r="AA982" s="45" t="s">
        <v>50</v>
      </c>
      <c r="AB982" s="45" t="s">
        <v>50</v>
      </c>
    </row>
    <row r="983" spans="1:28" x14ac:dyDescent="0.2">
      <c r="A983" s="96" t="s">
        <v>402</v>
      </c>
      <c r="B983" s="96" t="s">
        <v>402</v>
      </c>
      <c r="C983" s="277">
        <v>44490</v>
      </c>
      <c r="D983" s="277">
        <v>44520</v>
      </c>
      <c r="E983" s="270" t="s">
        <v>267</v>
      </c>
      <c r="F983" s="133" t="s">
        <v>34</v>
      </c>
      <c r="G983" s="96" t="s">
        <v>165</v>
      </c>
      <c r="H983" s="272" t="s">
        <v>166</v>
      </c>
      <c r="I983" s="273">
        <v>10</v>
      </c>
      <c r="J983" s="270">
        <v>3117</v>
      </c>
      <c r="K983" s="270">
        <f t="shared" si="0"/>
        <v>31170</v>
      </c>
      <c r="L983" s="270">
        <v>165165</v>
      </c>
      <c r="M983" s="270">
        <v>300</v>
      </c>
      <c r="N983" s="274"/>
      <c r="O983" s="55"/>
      <c r="P983" s="96"/>
      <c r="Q983" s="270">
        <v>605</v>
      </c>
      <c r="R983" s="275">
        <v>4.2000000000000002E-4</v>
      </c>
      <c r="S983" s="270">
        <v>618</v>
      </c>
      <c r="T983" s="270">
        <v>618</v>
      </c>
      <c r="U983" s="57">
        <v>1.1279999999999999</v>
      </c>
      <c r="V983" s="276">
        <v>0.3</v>
      </c>
      <c r="W983" s="276">
        <v>0</v>
      </c>
      <c r="X983" s="270">
        <v>488</v>
      </c>
      <c r="Y983" s="270">
        <v>209</v>
      </c>
      <c r="Z983" s="45" t="b">
        <v>1</v>
      </c>
      <c r="AA983" s="45" t="s">
        <v>38</v>
      </c>
      <c r="AB983" s="45" t="s">
        <v>50</v>
      </c>
    </row>
    <row r="984" spans="1:28" x14ac:dyDescent="0.2">
      <c r="A984" s="279" t="s">
        <v>91</v>
      </c>
      <c r="B984" s="279" t="s">
        <v>91</v>
      </c>
      <c r="C984" s="282">
        <v>44490</v>
      </c>
      <c r="D984" s="282">
        <v>44520</v>
      </c>
      <c r="E984" s="279" t="s">
        <v>267</v>
      </c>
      <c r="F984" s="133" t="s">
        <v>34</v>
      </c>
      <c r="G984" s="279" t="s">
        <v>61</v>
      </c>
      <c r="H984" s="272" t="s">
        <v>65</v>
      </c>
      <c r="I984" s="280">
        <v>25</v>
      </c>
      <c r="J984" s="279">
        <v>1769</v>
      </c>
      <c r="K984" s="270">
        <f t="shared" si="0"/>
        <v>44225</v>
      </c>
      <c r="L984" s="279">
        <v>105324</v>
      </c>
      <c r="M984" s="279">
        <v>2284</v>
      </c>
      <c r="N984" s="281">
        <v>375</v>
      </c>
      <c r="O984" s="55"/>
      <c r="P984" s="45">
        <v>375</v>
      </c>
      <c r="Q984" s="279">
        <v>873</v>
      </c>
      <c r="R984" s="275">
        <v>4.2000000000000002E-4</v>
      </c>
      <c r="S984" s="279">
        <v>892</v>
      </c>
      <c r="T984" s="279">
        <v>1267</v>
      </c>
      <c r="U984" s="57">
        <v>1</v>
      </c>
      <c r="V984" s="276">
        <v>0.3</v>
      </c>
      <c r="W984" s="276">
        <v>0</v>
      </c>
      <c r="X984" s="279">
        <v>887</v>
      </c>
      <c r="Y984" s="279">
        <v>380</v>
      </c>
      <c r="Z984" s="45" t="b">
        <v>1</v>
      </c>
      <c r="AA984" s="45" t="s">
        <v>50</v>
      </c>
      <c r="AB984" s="45" t="s">
        <v>50</v>
      </c>
    </row>
    <row r="985" spans="1:28" x14ac:dyDescent="0.2">
      <c r="A985" s="96" t="s">
        <v>473</v>
      </c>
      <c r="B985" s="270" t="s">
        <v>120</v>
      </c>
      <c r="C985" s="277">
        <v>44490</v>
      </c>
      <c r="D985" s="277">
        <v>44520</v>
      </c>
      <c r="E985" s="270" t="s">
        <v>267</v>
      </c>
      <c r="F985" s="96" t="s">
        <v>34</v>
      </c>
      <c r="G985" s="270" t="s">
        <v>35</v>
      </c>
      <c r="H985" s="272" t="s">
        <v>39</v>
      </c>
      <c r="I985" s="280">
        <v>5</v>
      </c>
      <c r="J985" s="279">
        <v>1866</v>
      </c>
      <c r="K985" s="270">
        <f t="shared" si="0"/>
        <v>9330</v>
      </c>
      <c r="L985" s="279">
        <v>146072</v>
      </c>
      <c r="M985" s="279">
        <v>420</v>
      </c>
      <c r="N985" s="274">
        <v>265</v>
      </c>
      <c r="O985" s="55"/>
      <c r="P985" s="45">
        <v>265</v>
      </c>
      <c r="Q985" s="279">
        <v>498</v>
      </c>
      <c r="R985" s="275">
        <v>4.2000000000000002E-4</v>
      </c>
      <c r="S985" s="279">
        <v>502</v>
      </c>
      <c r="T985" s="279">
        <v>767</v>
      </c>
      <c r="U985" s="57">
        <v>1</v>
      </c>
      <c r="V985" s="276">
        <v>0.25</v>
      </c>
      <c r="W985" s="276">
        <v>0</v>
      </c>
      <c r="X985" s="279">
        <v>575</v>
      </c>
      <c r="Y985" s="279">
        <v>192</v>
      </c>
      <c r="Z985" s="45" t="b">
        <v>1</v>
      </c>
      <c r="AA985" s="45" t="s">
        <v>38</v>
      </c>
      <c r="AB985" s="45" t="s">
        <v>38</v>
      </c>
    </row>
    <row r="986" spans="1:28" x14ac:dyDescent="0.2">
      <c r="A986" s="96" t="s">
        <v>473</v>
      </c>
      <c r="B986" s="270" t="s">
        <v>120</v>
      </c>
      <c r="C986" s="277">
        <v>44490</v>
      </c>
      <c r="D986" s="277">
        <v>44520</v>
      </c>
      <c r="E986" s="270" t="s">
        <v>267</v>
      </c>
      <c r="F986" s="96" t="s">
        <v>34</v>
      </c>
      <c r="G986" s="270" t="s">
        <v>35</v>
      </c>
      <c r="H986" s="272" t="s">
        <v>40</v>
      </c>
      <c r="I986" s="280">
        <v>10</v>
      </c>
      <c r="J986" s="279">
        <v>2</v>
      </c>
      <c r="K986" s="270">
        <f t="shared" si="0"/>
        <v>20</v>
      </c>
      <c r="L986" s="279">
        <v>3</v>
      </c>
      <c r="M986" s="279">
        <v>-20</v>
      </c>
      <c r="N986" s="274"/>
      <c r="O986" s="55"/>
      <c r="P986" s="96"/>
      <c r="Q986" s="279">
        <v>-1</v>
      </c>
      <c r="R986" s="275">
        <v>4.2000000000000002E-4</v>
      </c>
      <c r="S986" s="279">
        <v>-1</v>
      </c>
      <c r="T986" s="279">
        <v>-1</v>
      </c>
      <c r="U986" s="57">
        <v>1</v>
      </c>
      <c r="V986" s="276">
        <v>0.25</v>
      </c>
      <c r="W986" s="276">
        <v>0</v>
      </c>
      <c r="X986" s="279">
        <v>-1</v>
      </c>
      <c r="Y986" s="279">
        <v>0</v>
      </c>
      <c r="Z986" s="45" t="b">
        <v>1</v>
      </c>
      <c r="AA986" s="45" t="s">
        <v>38</v>
      </c>
      <c r="AB986" s="45" t="s">
        <v>38</v>
      </c>
    </row>
    <row r="987" spans="1:28" x14ac:dyDescent="0.2">
      <c r="A987" s="279" t="s">
        <v>178</v>
      </c>
      <c r="B987" s="279" t="s">
        <v>922</v>
      </c>
      <c r="C987" s="282">
        <v>44490</v>
      </c>
      <c r="D987" s="282">
        <v>44520</v>
      </c>
      <c r="E987" s="279" t="s">
        <v>267</v>
      </c>
      <c r="F987" s="133" t="s">
        <v>34</v>
      </c>
      <c r="G987" s="279" t="s">
        <v>61</v>
      </c>
      <c r="H987" s="272" t="s">
        <v>126</v>
      </c>
      <c r="I987" s="280">
        <v>5</v>
      </c>
      <c r="J987" s="279">
        <v>161</v>
      </c>
      <c r="K987" s="270">
        <f t="shared" si="0"/>
        <v>805</v>
      </c>
      <c r="L987" s="279">
        <v>15892</v>
      </c>
      <c r="M987" s="279">
        <v>11</v>
      </c>
      <c r="N987" s="281">
        <v>281.83999999999997</v>
      </c>
      <c r="O987" s="55"/>
      <c r="P987" s="45">
        <v>282</v>
      </c>
      <c r="Q987" s="279">
        <v>73</v>
      </c>
      <c r="R987" s="275">
        <v>4.2000000000000002E-4</v>
      </c>
      <c r="S987" s="279">
        <v>73</v>
      </c>
      <c r="T987" s="279">
        <v>355</v>
      </c>
      <c r="U987" s="57">
        <v>1</v>
      </c>
      <c r="V987" s="276">
        <v>0.2</v>
      </c>
      <c r="W987" s="276">
        <v>0</v>
      </c>
      <c r="X987" s="279">
        <v>284</v>
      </c>
      <c r="Y987" s="279">
        <v>71</v>
      </c>
      <c r="Z987" s="45" t="b">
        <v>1</v>
      </c>
      <c r="AA987" s="45" t="s">
        <v>50</v>
      </c>
      <c r="AB987" s="45" t="s">
        <v>50</v>
      </c>
    </row>
    <row r="988" spans="1:28" x14ac:dyDescent="0.2">
      <c r="A988" s="279" t="s">
        <v>178</v>
      </c>
      <c r="B988" s="279" t="s">
        <v>922</v>
      </c>
      <c r="C988" s="282">
        <v>44490</v>
      </c>
      <c r="D988" s="282">
        <v>44520</v>
      </c>
      <c r="E988" s="279" t="s">
        <v>267</v>
      </c>
      <c r="F988" s="133" t="s">
        <v>34</v>
      </c>
      <c r="G988" s="279" t="s">
        <v>61</v>
      </c>
      <c r="H988" s="272" t="s">
        <v>64</v>
      </c>
      <c r="I988" s="280">
        <v>10</v>
      </c>
      <c r="J988" s="279">
        <v>959</v>
      </c>
      <c r="K988" s="270">
        <f t="shared" si="0"/>
        <v>9590</v>
      </c>
      <c r="L988" s="279">
        <v>24312</v>
      </c>
      <c r="M988" s="279">
        <v>-666</v>
      </c>
      <c r="N988" s="281">
        <v>48.16</v>
      </c>
      <c r="O988" s="55"/>
      <c r="P988" s="45">
        <v>48</v>
      </c>
      <c r="Q988" s="279">
        <v>-407</v>
      </c>
      <c r="R988" s="275">
        <v>4.2000000000000002E-4</v>
      </c>
      <c r="S988" s="279">
        <v>-403</v>
      </c>
      <c r="T988" s="279">
        <v>-355</v>
      </c>
      <c r="U988" s="57">
        <v>1</v>
      </c>
      <c r="V988" s="276">
        <v>0.2</v>
      </c>
      <c r="W988" s="276">
        <v>0</v>
      </c>
      <c r="X988" s="279">
        <v>-284</v>
      </c>
      <c r="Y988" s="279">
        <v>-71</v>
      </c>
      <c r="Z988" s="45" t="b">
        <v>1</v>
      </c>
      <c r="AA988" s="45" t="s">
        <v>50</v>
      </c>
      <c r="AB988" s="45" t="s">
        <v>50</v>
      </c>
    </row>
    <row r="989" spans="1:28" x14ac:dyDescent="0.2">
      <c r="A989" s="96" t="s">
        <v>508</v>
      </c>
      <c r="B989" s="96" t="s">
        <v>185</v>
      </c>
      <c r="C989" s="277">
        <v>44490</v>
      </c>
      <c r="D989" s="277">
        <v>44520</v>
      </c>
      <c r="E989" s="270" t="s">
        <v>300</v>
      </c>
      <c r="F989" s="133" t="s">
        <v>34</v>
      </c>
      <c r="G989" s="270" t="s">
        <v>80</v>
      </c>
      <c r="H989" s="272" t="s">
        <v>70</v>
      </c>
      <c r="I989" s="273">
        <v>100</v>
      </c>
      <c r="J989" s="270">
        <v>7301</v>
      </c>
      <c r="K989" s="270">
        <f t="shared" si="0"/>
        <v>730100</v>
      </c>
      <c r="L989" s="270">
        <v>74647</v>
      </c>
      <c r="M989" s="270">
        <v>-15700</v>
      </c>
      <c r="N989" s="274">
        <f>20608+14395+78*100</f>
        <v>42803</v>
      </c>
      <c r="O989" s="55"/>
      <c r="P989" s="105">
        <v>42803</v>
      </c>
      <c r="Q989" s="270">
        <v>-32066</v>
      </c>
      <c r="R989" s="275">
        <v>4.2000000000000002E-4</v>
      </c>
      <c r="S989" s="270">
        <v>-31760</v>
      </c>
      <c r="T989" s="270">
        <v>11043</v>
      </c>
      <c r="U989" s="57">
        <v>1</v>
      </c>
      <c r="V989" s="276">
        <v>0.11</v>
      </c>
      <c r="W989" s="276">
        <v>0.03</v>
      </c>
      <c r="X989" s="270">
        <v>9497</v>
      </c>
      <c r="Y989" s="270">
        <v>1546</v>
      </c>
      <c r="Z989" s="45" t="b">
        <v>1</v>
      </c>
      <c r="AA989" s="45" t="s">
        <v>38</v>
      </c>
      <c r="AB989" s="45" t="s">
        <v>38</v>
      </c>
    </row>
    <row r="990" spans="1:28" x14ac:dyDescent="0.2">
      <c r="A990" s="96" t="s">
        <v>113</v>
      </c>
      <c r="B990" s="96" t="s">
        <v>113</v>
      </c>
      <c r="C990" s="277">
        <v>44490</v>
      </c>
      <c r="D990" s="277">
        <v>44520</v>
      </c>
      <c r="E990" s="270" t="s">
        <v>267</v>
      </c>
      <c r="F990" s="133" t="s">
        <v>34</v>
      </c>
      <c r="G990" s="96" t="s">
        <v>35</v>
      </c>
      <c r="H990" s="272" t="s">
        <v>39</v>
      </c>
      <c r="I990" s="273">
        <v>5</v>
      </c>
      <c r="J990" s="270">
        <v>5</v>
      </c>
      <c r="K990" s="270">
        <f t="shared" si="0"/>
        <v>25</v>
      </c>
      <c r="L990" s="270">
        <v>839</v>
      </c>
      <c r="M990" s="270">
        <v>-5</v>
      </c>
      <c r="N990" s="274">
        <v>2</v>
      </c>
      <c r="O990" s="55"/>
      <c r="P990" s="45">
        <v>2</v>
      </c>
      <c r="Q990" s="270">
        <v>5</v>
      </c>
      <c r="R990" s="275">
        <v>4.2000000000000002E-4</v>
      </c>
      <c r="S990" s="270">
        <v>5</v>
      </c>
      <c r="T990" s="270">
        <v>7</v>
      </c>
      <c r="U990" s="57">
        <v>1</v>
      </c>
      <c r="V990" s="276">
        <v>0.25</v>
      </c>
      <c r="W990" s="276">
        <v>0</v>
      </c>
      <c r="X990" s="270">
        <v>6</v>
      </c>
      <c r="Y990" s="270">
        <v>2</v>
      </c>
      <c r="Z990" s="45" t="b">
        <v>1</v>
      </c>
      <c r="AA990" s="45" t="s">
        <v>38</v>
      </c>
      <c r="AB990" s="45" t="s">
        <v>38</v>
      </c>
    </row>
    <row r="991" spans="1:28" x14ac:dyDescent="0.2">
      <c r="A991" s="96" t="s">
        <v>113</v>
      </c>
      <c r="B991" s="96" t="s">
        <v>113</v>
      </c>
      <c r="C991" s="277">
        <v>44490</v>
      </c>
      <c r="D991" s="277">
        <v>44520</v>
      </c>
      <c r="E991" s="270" t="s">
        <v>267</v>
      </c>
      <c r="F991" s="133" t="s">
        <v>34</v>
      </c>
      <c r="G991" s="96" t="s">
        <v>35</v>
      </c>
      <c r="H991" s="272" t="s">
        <v>40</v>
      </c>
      <c r="I991" s="273">
        <v>10</v>
      </c>
      <c r="J991" s="270">
        <v>1853</v>
      </c>
      <c r="K991" s="270">
        <f t="shared" si="0"/>
        <v>18530</v>
      </c>
      <c r="L991" s="270">
        <v>55305</v>
      </c>
      <c r="M991" s="270">
        <v>-1390</v>
      </c>
      <c r="N991" s="274">
        <v>1353</v>
      </c>
      <c r="O991" s="55"/>
      <c r="P991" s="105">
        <v>1353</v>
      </c>
      <c r="Q991" s="270">
        <v>-352</v>
      </c>
      <c r="R991" s="275">
        <v>4.2000000000000002E-4</v>
      </c>
      <c r="S991" s="270">
        <v>-344</v>
      </c>
      <c r="T991" s="270">
        <v>1009</v>
      </c>
      <c r="U991" s="57">
        <v>1</v>
      </c>
      <c r="V991" s="276">
        <v>0.25</v>
      </c>
      <c r="W991" s="276">
        <v>0</v>
      </c>
      <c r="X991" s="270">
        <v>757</v>
      </c>
      <c r="Y991" s="270">
        <v>252</v>
      </c>
      <c r="Z991" s="45" t="b">
        <v>1</v>
      </c>
      <c r="AA991" s="45" t="s">
        <v>38</v>
      </c>
      <c r="AB991" s="45" t="s">
        <v>38</v>
      </c>
    </row>
    <row r="992" spans="1:28" x14ac:dyDescent="0.2">
      <c r="A992" s="96" t="s">
        <v>191</v>
      </c>
      <c r="B992" s="96" t="s">
        <v>191</v>
      </c>
      <c r="C992" s="277">
        <v>44490</v>
      </c>
      <c r="D992" s="277">
        <v>44520</v>
      </c>
      <c r="E992" s="270" t="s">
        <v>267</v>
      </c>
      <c r="F992" s="133" t="s">
        <v>34</v>
      </c>
      <c r="G992" s="96" t="s">
        <v>35</v>
      </c>
      <c r="H992" s="272" t="s">
        <v>39</v>
      </c>
      <c r="I992" s="273">
        <v>5</v>
      </c>
      <c r="J992" s="270">
        <v>661</v>
      </c>
      <c r="K992" s="270">
        <f t="shared" si="0"/>
        <v>3305</v>
      </c>
      <c r="L992" s="270">
        <v>50905</v>
      </c>
      <c r="M992" s="270">
        <v>365</v>
      </c>
      <c r="N992" s="274">
        <v>114</v>
      </c>
      <c r="O992" s="55"/>
      <c r="P992" s="45">
        <v>114</v>
      </c>
      <c r="Q992" s="270">
        <v>169</v>
      </c>
      <c r="R992" s="275">
        <v>4.2000000000000002E-4</v>
      </c>
      <c r="S992" s="270">
        <v>170</v>
      </c>
      <c r="T992" s="270">
        <v>284</v>
      </c>
      <c r="U992" s="57">
        <v>1</v>
      </c>
      <c r="V992" s="276">
        <v>0.3</v>
      </c>
      <c r="W992" s="276">
        <v>0</v>
      </c>
      <c r="X992" s="270">
        <v>199</v>
      </c>
      <c r="Y992" s="270">
        <v>85</v>
      </c>
      <c r="Z992" s="45" t="b">
        <v>1</v>
      </c>
      <c r="AA992" s="45" t="s">
        <v>38</v>
      </c>
      <c r="AB992" s="45" t="s">
        <v>38</v>
      </c>
    </row>
    <row r="993" spans="1:28" x14ac:dyDescent="0.2">
      <c r="A993" s="96" t="s">
        <v>191</v>
      </c>
      <c r="B993" s="96" t="s">
        <v>191</v>
      </c>
      <c r="C993" s="277">
        <v>44490</v>
      </c>
      <c r="D993" s="277">
        <v>44520</v>
      </c>
      <c r="E993" s="270" t="s">
        <v>267</v>
      </c>
      <c r="F993" s="133" t="s">
        <v>34</v>
      </c>
      <c r="G993" s="96" t="s">
        <v>35</v>
      </c>
      <c r="H993" s="272" t="s">
        <v>40</v>
      </c>
      <c r="I993" s="273">
        <v>10</v>
      </c>
      <c r="J993" s="270">
        <v>617</v>
      </c>
      <c r="K993" s="270">
        <f t="shared" si="0"/>
        <v>6170</v>
      </c>
      <c r="L993" s="270">
        <v>9990</v>
      </c>
      <c r="M993" s="270">
        <v>70</v>
      </c>
      <c r="N993" s="274">
        <v>186</v>
      </c>
      <c r="O993" s="55"/>
      <c r="P993" s="45">
        <v>186</v>
      </c>
      <c r="Q993" s="270">
        <v>-273</v>
      </c>
      <c r="R993" s="275">
        <v>4.2000000000000002E-4</v>
      </c>
      <c r="S993" s="270">
        <v>-271</v>
      </c>
      <c r="T993" s="270">
        <v>-85</v>
      </c>
      <c r="U993" s="57">
        <v>1</v>
      </c>
      <c r="V993" s="276">
        <v>0.3</v>
      </c>
      <c r="W993" s="276">
        <v>0</v>
      </c>
      <c r="X993" s="270">
        <v>-59</v>
      </c>
      <c r="Y993" s="270">
        <v>-25</v>
      </c>
      <c r="Z993" s="45" t="b">
        <v>1</v>
      </c>
      <c r="AA993" s="45" t="s">
        <v>38</v>
      </c>
      <c r="AB993" s="45" t="s">
        <v>38</v>
      </c>
    </row>
    <row r="994" spans="1:28" x14ac:dyDescent="0.2">
      <c r="A994" s="96" t="s">
        <v>191</v>
      </c>
      <c r="B994" s="96" t="s">
        <v>193</v>
      </c>
      <c r="C994" s="277">
        <v>44490</v>
      </c>
      <c r="D994" s="277">
        <v>44520</v>
      </c>
      <c r="E994" s="270" t="s">
        <v>267</v>
      </c>
      <c r="F994" s="133" t="s">
        <v>34</v>
      </c>
      <c r="G994" s="96" t="s">
        <v>80</v>
      </c>
      <c r="H994" s="272" t="s">
        <v>86</v>
      </c>
      <c r="I994" s="273">
        <v>5</v>
      </c>
      <c r="J994" s="270">
        <v>785</v>
      </c>
      <c r="K994" s="270">
        <f t="shared" si="0"/>
        <v>3925</v>
      </c>
      <c r="L994" s="270">
        <v>11116</v>
      </c>
      <c r="M994" s="270">
        <v>60</v>
      </c>
      <c r="N994" s="274">
        <f>14*5+60</f>
        <v>130</v>
      </c>
      <c r="O994" s="55"/>
      <c r="P994" s="45">
        <v>130</v>
      </c>
      <c r="Q994" s="270">
        <v>-128</v>
      </c>
      <c r="R994" s="275">
        <v>4.2000000000000002E-4</v>
      </c>
      <c r="S994" s="270">
        <v>-126</v>
      </c>
      <c r="T994" s="270">
        <v>4</v>
      </c>
      <c r="U994" s="57">
        <v>1</v>
      </c>
      <c r="V994" s="276">
        <v>0.3</v>
      </c>
      <c r="W994" s="276">
        <v>0</v>
      </c>
      <c r="X994" s="270">
        <v>3</v>
      </c>
      <c r="Y994" s="270">
        <v>1</v>
      </c>
      <c r="Z994" s="45" t="b">
        <v>1</v>
      </c>
      <c r="AA994" s="45" t="s">
        <v>38</v>
      </c>
      <c r="AB994" s="45" t="s">
        <v>38</v>
      </c>
    </row>
    <row r="995" spans="1:28" x14ac:dyDescent="0.2">
      <c r="A995" s="96" t="s">
        <v>191</v>
      </c>
      <c r="B995" s="96" t="s">
        <v>193</v>
      </c>
      <c r="C995" s="277">
        <v>44490</v>
      </c>
      <c r="D995" s="277">
        <v>44520</v>
      </c>
      <c r="E995" s="270" t="s">
        <v>267</v>
      </c>
      <c r="F995" s="133" t="s">
        <v>34</v>
      </c>
      <c r="G995" s="96" t="s">
        <v>80</v>
      </c>
      <c r="H995" s="272" t="s">
        <v>40</v>
      </c>
      <c r="I995" s="273">
        <v>10</v>
      </c>
      <c r="J995" s="270">
        <v>2</v>
      </c>
      <c r="K995" s="270">
        <f t="shared" si="0"/>
        <v>20</v>
      </c>
      <c r="L995" s="270">
        <v>340</v>
      </c>
      <c r="M995" s="270">
        <v>0</v>
      </c>
      <c r="N995" s="274">
        <v>2</v>
      </c>
      <c r="O995" s="55"/>
      <c r="P995" s="45">
        <v>2</v>
      </c>
      <c r="Q995" s="270">
        <v>8</v>
      </c>
      <c r="R995" s="275">
        <v>4.2000000000000002E-4</v>
      </c>
      <c r="S995" s="270">
        <v>8</v>
      </c>
      <c r="T995" s="270">
        <v>10</v>
      </c>
      <c r="U995" s="57">
        <v>1</v>
      </c>
      <c r="V995" s="276">
        <v>0.3</v>
      </c>
      <c r="W995" s="276">
        <v>0</v>
      </c>
      <c r="X995" s="270">
        <v>7</v>
      </c>
      <c r="Y995" s="270">
        <v>3</v>
      </c>
      <c r="Z995" s="45" t="b">
        <v>1</v>
      </c>
      <c r="AA995" s="45" t="s">
        <v>38</v>
      </c>
      <c r="AB995" s="45" t="s">
        <v>38</v>
      </c>
    </row>
    <row r="996" spans="1:28" x14ac:dyDescent="0.2">
      <c r="A996" s="96" t="s">
        <v>191</v>
      </c>
      <c r="B996" s="96" t="s">
        <v>191</v>
      </c>
      <c r="C996" s="277">
        <v>44490</v>
      </c>
      <c r="D996" s="277">
        <v>44520</v>
      </c>
      <c r="E996" s="270" t="s">
        <v>267</v>
      </c>
      <c r="F996" s="133" t="s">
        <v>41</v>
      </c>
      <c r="G996" s="96" t="s">
        <v>35</v>
      </c>
      <c r="H996" s="272" t="s">
        <v>45</v>
      </c>
      <c r="I996" s="273">
        <v>0.25</v>
      </c>
      <c r="J996" s="270">
        <v>4</v>
      </c>
      <c r="K996" s="270">
        <f t="shared" si="0"/>
        <v>1</v>
      </c>
      <c r="L996" s="270"/>
      <c r="M996" s="270">
        <v>1.5</v>
      </c>
      <c r="N996" s="274"/>
      <c r="O996" s="55"/>
      <c r="P996" s="96"/>
      <c r="Q996" s="270"/>
      <c r="R996" s="275">
        <v>0</v>
      </c>
      <c r="S996" s="270"/>
      <c r="T996" s="270">
        <v>2</v>
      </c>
      <c r="U996" s="57">
        <v>1</v>
      </c>
      <c r="V996" s="276">
        <v>0.3</v>
      </c>
      <c r="W996" s="276">
        <v>0</v>
      </c>
      <c r="X996" s="270">
        <v>1</v>
      </c>
      <c r="Y996" s="270">
        <v>0</v>
      </c>
      <c r="Z996" s="45" t="b">
        <v>1</v>
      </c>
      <c r="AA996" s="45" t="s">
        <v>38</v>
      </c>
      <c r="AB996" s="45" t="s">
        <v>38</v>
      </c>
    </row>
    <row r="997" spans="1:28" x14ac:dyDescent="0.2">
      <c r="A997" s="96" t="s">
        <v>191</v>
      </c>
      <c r="B997" s="96" t="s">
        <v>191</v>
      </c>
      <c r="C997" s="277">
        <v>44490</v>
      </c>
      <c r="D997" s="277">
        <v>44520</v>
      </c>
      <c r="E997" s="270" t="s">
        <v>267</v>
      </c>
      <c r="F997" s="133" t="s">
        <v>41</v>
      </c>
      <c r="G997" s="96" t="s">
        <v>35</v>
      </c>
      <c r="H997" s="272" t="s">
        <v>51</v>
      </c>
      <c r="I997" s="273">
        <v>0.25</v>
      </c>
      <c r="J997" s="270">
        <v>9</v>
      </c>
      <c r="K997" s="270">
        <f t="shared" si="0"/>
        <v>2.25</v>
      </c>
      <c r="L997" s="270"/>
      <c r="M997" s="270">
        <v>-1.75</v>
      </c>
      <c r="N997" s="274"/>
      <c r="O997" s="55"/>
      <c r="P997" s="96"/>
      <c r="Q997" s="270"/>
      <c r="R997" s="275">
        <v>0</v>
      </c>
      <c r="S997" s="270"/>
      <c r="T997" s="270">
        <v>-2</v>
      </c>
      <c r="U997" s="57">
        <v>1</v>
      </c>
      <c r="V997" s="276">
        <v>0.3</v>
      </c>
      <c r="W997" s="276">
        <v>0</v>
      </c>
      <c r="X997" s="270">
        <v>-1</v>
      </c>
      <c r="Y997" s="270">
        <v>-1</v>
      </c>
      <c r="Z997" s="45" t="b">
        <v>1</v>
      </c>
      <c r="AA997" s="45" t="s">
        <v>38</v>
      </c>
      <c r="AB997" s="45" t="s">
        <v>38</v>
      </c>
    </row>
    <row r="998" spans="1:28" x14ac:dyDescent="0.2">
      <c r="A998" s="279" t="s">
        <v>145</v>
      </c>
      <c r="B998" s="279" t="s">
        <v>901</v>
      </c>
      <c r="C998" s="287">
        <v>44501</v>
      </c>
      <c r="D998" s="287">
        <v>44530</v>
      </c>
      <c r="E998" s="279" t="s">
        <v>267</v>
      </c>
      <c r="F998" s="96" t="s">
        <v>49</v>
      </c>
      <c r="G998" s="279" t="s">
        <v>69</v>
      </c>
      <c r="H998" s="272" t="s">
        <v>70</v>
      </c>
      <c r="I998" s="280">
        <v>100</v>
      </c>
      <c r="J998" s="279">
        <v>2344</v>
      </c>
      <c r="K998" s="270">
        <f t="shared" si="0"/>
        <v>234400</v>
      </c>
      <c r="L998" s="279">
        <v>58763</v>
      </c>
      <c r="M998" s="279">
        <v>-6200</v>
      </c>
      <c r="N998" s="281">
        <v>9472</v>
      </c>
      <c r="O998" s="55"/>
      <c r="P998" s="105">
        <v>9472</v>
      </c>
      <c r="Q998" s="279">
        <v>-1556</v>
      </c>
      <c r="R998" s="275">
        <v>-4.3880000000000004E-3</v>
      </c>
      <c r="S998" s="279">
        <v>-2584</v>
      </c>
      <c r="T998" s="279">
        <v>6888</v>
      </c>
      <c r="U998" s="57">
        <v>1</v>
      </c>
      <c r="V998" s="276">
        <v>0.12</v>
      </c>
      <c r="W998" s="276">
        <v>0</v>
      </c>
      <c r="X998" s="279">
        <v>6061</v>
      </c>
      <c r="Y998" s="279">
        <v>827</v>
      </c>
      <c r="Z998" s="45" t="b">
        <v>1</v>
      </c>
      <c r="AA998" s="45" t="s">
        <v>38</v>
      </c>
      <c r="AB998" s="45" t="s">
        <v>38</v>
      </c>
    </row>
    <row r="999" spans="1:28" x14ac:dyDescent="0.2">
      <c r="A999" s="279" t="s">
        <v>145</v>
      </c>
      <c r="B999" s="279" t="s">
        <v>901</v>
      </c>
      <c r="C999" s="287">
        <v>44501</v>
      </c>
      <c r="D999" s="287">
        <v>44530</v>
      </c>
      <c r="E999" s="279" t="s">
        <v>267</v>
      </c>
      <c r="F999" s="96" t="s">
        <v>49</v>
      </c>
      <c r="G999" s="279" t="s">
        <v>69</v>
      </c>
      <c r="H999" s="272" t="s">
        <v>72</v>
      </c>
      <c r="I999" s="280">
        <v>50</v>
      </c>
      <c r="J999" s="279">
        <v>366</v>
      </c>
      <c r="K999" s="270">
        <f t="shared" si="0"/>
        <v>18300</v>
      </c>
      <c r="L999" s="279">
        <v>15601</v>
      </c>
      <c r="M999" s="279">
        <v>2000</v>
      </c>
      <c r="N999" s="281">
        <v>42</v>
      </c>
      <c r="O999" s="55"/>
      <c r="P999" s="45">
        <v>42</v>
      </c>
      <c r="Q999" s="279">
        <v>486</v>
      </c>
      <c r="R999" s="275">
        <v>-4.5110000000000003E-3</v>
      </c>
      <c r="S999" s="279">
        <v>403</v>
      </c>
      <c r="T999" s="279">
        <v>445</v>
      </c>
      <c r="U999" s="57">
        <v>1</v>
      </c>
      <c r="V999" s="276">
        <v>0.12</v>
      </c>
      <c r="W999" s="276">
        <v>0</v>
      </c>
      <c r="X999" s="279">
        <v>392</v>
      </c>
      <c r="Y999" s="279">
        <v>53</v>
      </c>
      <c r="Z999" s="45" t="b">
        <v>1</v>
      </c>
      <c r="AA999" s="45" t="s">
        <v>38</v>
      </c>
      <c r="AB999" s="45" t="s">
        <v>38</v>
      </c>
    </row>
    <row r="1000" spans="1:28" x14ac:dyDescent="0.2">
      <c r="A1000" s="279" t="s">
        <v>447</v>
      </c>
      <c r="B1000" s="279" t="s">
        <v>999</v>
      </c>
      <c r="C1000" s="282">
        <v>44501</v>
      </c>
      <c r="D1000" s="282">
        <v>44530</v>
      </c>
      <c r="E1000" s="279" t="s">
        <v>300</v>
      </c>
      <c r="F1000" s="133" t="s">
        <v>49</v>
      </c>
      <c r="G1000" s="279" t="s">
        <v>61</v>
      </c>
      <c r="H1000" s="272" t="s">
        <v>59</v>
      </c>
      <c r="I1000" s="280">
        <v>100</v>
      </c>
      <c r="J1000" s="279">
        <v>1912</v>
      </c>
      <c r="K1000" s="270">
        <f t="shared" si="0"/>
        <v>191200</v>
      </c>
      <c r="L1000" s="279">
        <v>140591</v>
      </c>
      <c r="M1000" s="279">
        <v>4800</v>
      </c>
      <c r="N1000" s="281">
        <v>6305</v>
      </c>
      <c r="O1000" s="55"/>
      <c r="P1000" s="105">
        <v>6305</v>
      </c>
      <c r="Q1000" s="279">
        <v>8350</v>
      </c>
      <c r="R1000" s="275">
        <v>-3.4629999999999999E-3</v>
      </c>
      <c r="S1000" s="279">
        <v>7688</v>
      </c>
      <c r="T1000" s="279">
        <v>13993</v>
      </c>
      <c r="U1000" s="57">
        <v>1</v>
      </c>
      <c r="V1000" s="276">
        <v>0.15</v>
      </c>
      <c r="W1000" s="276">
        <v>0.1</v>
      </c>
      <c r="X1000" s="279">
        <v>10495</v>
      </c>
      <c r="Y1000" s="279">
        <v>3498</v>
      </c>
      <c r="Z1000" s="45" t="b">
        <v>1</v>
      </c>
      <c r="AA1000" s="45" t="s">
        <v>50</v>
      </c>
      <c r="AB1000" s="45" t="s">
        <v>50</v>
      </c>
    </row>
    <row r="1001" spans="1:28" x14ac:dyDescent="0.2">
      <c r="A1001" s="96" t="s">
        <v>152</v>
      </c>
      <c r="B1001" s="96" t="s">
        <v>152</v>
      </c>
      <c r="C1001" s="277">
        <v>44501</v>
      </c>
      <c r="D1001" s="277">
        <v>44530</v>
      </c>
      <c r="E1001" s="270" t="s">
        <v>300</v>
      </c>
      <c r="F1001" s="133" t="s">
        <v>41</v>
      </c>
      <c r="G1001" s="279" t="s">
        <v>35</v>
      </c>
      <c r="H1001" s="110" t="s">
        <v>70</v>
      </c>
      <c r="I1001" s="273">
        <v>100</v>
      </c>
      <c r="J1001" s="270">
        <v>1010</v>
      </c>
      <c r="K1001" s="270">
        <f t="shared" si="0"/>
        <v>101000</v>
      </c>
      <c r="L1001" s="286">
        <v>34116</v>
      </c>
      <c r="M1001" s="286">
        <v>-6900</v>
      </c>
      <c r="N1001" s="274">
        <v>3082</v>
      </c>
      <c r="O1001" s="55"/>
      <c r="P1001" s="105">
        <v>3082</v>
      </c>
      <c r="Q1001" s="286">
        <v>940</v>
      </c>
      <c r="R1001" s="275">
        <v>0</v>
      </c>
      <c r="S1001" s="286">
        <v>940</v>
      </c>
      <c r="T1001" s="286">
        <v>-3818</v>
      </c>
      <c r="U1001" s="57">
        <v>1</v>
      </c>
      <c r="V1001" s="276">
        <v>0.06</v>
      </c>
      <c r="W1001" s="276">
        <v>0.12</v>
      </c>
      <c r="X1001" s="286">
        <v>-3131</v>
      </c>
      <c r="Y1001" s="286">
        <v>-687</v>
      </c>
      <c r="Z1001" s="45" t="b">
        <v>1</v>
      </c>
      <c r="AA1001" s="45" t="s">
        <v>38</v>
      </c>
      <c r="AB1001" s="45" t="s">
        <v>38</v>
      </c>
    </row>
    <row r="1002" spans="1:28" x14ac:dyDescent="0.2">
      <c r="A1002" s="279" t="s">
        <v>456</v>
      </c>
      <c r="B1002" s="279" t="s">
        <v>110</v>
      </c>
      <c r="C1002" s="282">
        <v>44501</v>
      </c>
      <c r="D1002" s="282">
        <v>44530</v>
      </c>
      <c r="E1002" s="279" t="s">
        <v>267</v>
      </c>
      <c r="F1002" s="133" t="s">
        <v>49</v>
      </c>
      <c r="G1002" s="279" t="s">
        <v>61</v>
      </c>
      <c r="H1002" s="272" t="s">
        <v>64</v>
      </c>
      <c r="I1002" s="280">
        <v>10</v>
      </c>
      <c r="J1002" s="279">
        <v>1262</v>
      </c>
      <c r="K1002" s="270">
        <f t="shared" si="0"/>
        <v>12620</v>
      </c>
      <c r="L1002" s="279">
        <v>93812</v>
      </c>
      <c r="M1002" s="279">
        <v>-1290</v>
      </c>
      <c r="N1002" s="281">
        <v>479.69</v>
      </c>
      <c r="O1002" s="55"/>
      <c r="P1002" s="45">
        <v>480</v>
      </c>
      <c r="Q1002" s="279">
        <v>708</v>
      </c>
      <c r="R1002" s="275">
        <v>-3.4429999999999999E-3</v>
      </c>
      <c r="S1002" s="279">
        <v>665</v>
      </c>
      <c r="T1002" s="279">
        <v>1145</v>
      </c>
      <c r="U1002" s="57">
        <v>1</v>
      </c>
      <c r="V1002" s="276">
        <v>0.17</v>
      </c>
      <c r="W1002" s="276">
        <v>0</v>
      </c>
      <c r="X1002" s="279">
        <v>950</v>
      </c>
      <c r="Y1002" s="279">
        <v>195</v>
      </c>
      <c r="Z1002" s="45" t="b">
        <v>1</v>
      </c>
      <c r="AA1002" s="45" t="s">
        <v>50</v>
      </c>
      <c r="AB1002" s="45" t="s">
        <v>50</v>
      </c>
    </row>
    <row r="1003" spans="1:28" x14ac:dyDescent="0.2">
      <c r="A1003" s="279" t="s">
        <v>456</v>
      </c>
      <c r="B1003" s="279" t="s">
        <v>110</v>
      </c>
      <c r="C1003" s="282">
        <v>44501</v>
      </c>
      <c r="D1003" s="282">
        <v>44530</v>
      </c>
      <c r="E1003" s="279" t="s">
        <v>267</v>
      </c>
      <c r="F1003" s="133" t="s">
        <v>49</v>
      </c>
      <c r="G1003" s="279" t="s">
        <v>61</v>
      </c>
      <c r="H1003" s="272" t="s">
        <v>65</v>
      </c>
      <c r="I1003" s="280">
        <v>25</v>
      </c>
      <c r="J1003" s="279">
        <v>495</v>
      </c>
      <c r="K1003" s="270">
        <f t="shared" si="0"/>
        <v>12375</v>
      </c>
      <c r="L1003" s="279">
        <v>30463</v>
      </c>
      <c r="M1003" s="279">
        <v>-1525</v>
      </c>
      <c r="N1003" s="281">
        <v>5.31</v>
      </c>
      <c r="O1003" s="55"/>
      <c r="P1003" s="45">
        <v>5</v>
      </c>
      <c r="Q1003" s="279">
        <v>296</v>
      </c>
      <c r="R1003" s="275">
        <v>-3.3660000000000001E-3</v>
      </c>
      <c r="S1003" s="279">
        <v>254</v>
      </c>
      <c r="T1003" s="279">
        <v>259</v>
      </c>
      <c r="U1003" s="57">
        <v>1</v>
      </c>
      <c r="V1003" s="276">
        <v>0.17</v>
      </c>
      <c r="W1003" s="276">
        <v>0</v>
      </c>
      <c r="X1003" s="279">
        <v>215</v>
      </c>
      <c r="Y1003" s="279">
        <v>44</v>
      </c>
      <c r="Z1003" s="45" t="b">
        <v>1</v>
      </c>
      <c r="AA1003" s="45" t="s">
        <v>50</v>
      </c>
      <c r="AB1003" s="45" t="s">
        <v>50</v>
      </c>
    </row>
    <row r="1004" spans="1:28" x14ac:dyDescent="0.2">
      <c r="A1004" s="96" t="s">
        <v>175</v>
      </c>
      <c r="B1004" s="96" t="s">
        <v>176</v>
      </c>
      <c r="C1004" s="277">
        <v>44501</v>
      </c>
      <c r="D1004" s="277">
        <v>44530</v>
      </c>
      <c r="E1004" s="279" t="s">
        <v>267</v>
      </c>
      <c r="F1004" s="133" t="s">
        <v>49</v>
      </c>
      <c r="G1004" s="270" t="s">
        <v>165</v>
      </c>
      <c r="H1004" s="272" t="s">
        <v>55</v>
      </c>
      <c r="I1004" s="273">
        <v>10</v>
      </c>
      <c r="J1004" s="270">
        <v>21</v>
      </c>
      <c r="K1004" s="270">
        <f t="shared" si="0"/>
        <v>210</v>
      </c>
      <c r="L1004" s="270">
        <v>-55</v>
      </c>
      <c r="M1004" s="270">
        <v>-60</v>
      </c>
      <c r="N1004" s="274"/>
      <c r="O1004" s="55"/>
      <c r="P1004" s="96"/>
      <c r="Q1004" s="270">
        <v>-17</v>
      </c>
      <c r="R1004" s="275">
        <v>0</v>
      </c>
      <c r="S1004" s="270">
        <v>-17</v>
      </c>
      <c r="T1004" s="270">
        <v>-17</v>
      </c>
      <c r="U1004" s="57">
        <v>1.1319999999999999</v>
      </c>
      <c r="V1004" s="276">
        <v>0.25</v>
      </c>
      <c r="W1004" s="276">
        <v>0</v>
      </c>
      <c r="X1004" s="270">
        <v>-14</v>
      </c>
      <c r="Y1004" s="270">
        <v>-5</v>
      </c>
      <c r="Z1004" s="45" t="b">
        <v>1</v>
      </c>
      <c r="AA1004" s="45" t="s">
        <v>38</v>
      </c>
      <c r="AB1004" s="45" t="s">
        <v>50</v>
      </c>
    </row>
    <row r="1005" spans="1:28" x14ac:dyDescent="0.2">
      <c r="A1005" s="96" t="s">
        <v>175</v>
      </c>
      <c r="B1005" s="96" t="s">
        <v>176</v>
      </c>
      <c r="C1005" s="277">
        <v>44501</v>
      </c>
      <c r="D1005" s="277">
        <v>44530</v>
      </c>
      <c r="E1005" s="279" t="s">
        <v>267</v>
      </c>
      <c r="F1005" s="133" t="s">
        <v>41</v>
      </c>
      <c r="G1005" s="270" t="s">
        <v>165</v>
      </c>
      <c r="H1005" s="272" t="s">
        <v>168</v>
      </c>
      <c r="I1005" s="273">
        <v>0.25</v>
      </c>
      <c r="J1005" s="270">
        <v>4</v>
      </c>
      <c r="K1005" s="270">
        <f t="shared" si="0"/>
        <v>1</v>
      </c>
      <c r="L1005" s="270"/>
      <c r="M1005" s="270">
        <v>0.75</v>
      </c>
      <c r="N1005" s="274"/>
      <c r="O1005" s="55"/>
      <c r="P1005" s="96"/>
      <c r="Q1005" s="270"/>
      <c r="R1005" s="275">
        <v>0</v>
      </c>
      <c r="S1005" s="270"/>
      <c r="T1005" s="270">
        <v>1</v>
      </c>
      <c r="U1005" s="57">
        <v>1.1319999999999999</v>
      </c>
      <c r="V1005" s="276">
        <v>0.25</v>
      </c>
      <c r="W1005" s="276">
        <v>0</v>
      </c>
      <c r="X1005" s="270">
        <v>1</v>
      </c>
      <c r="Y1005" s="270">
        <v>0</v>
      </c>
      <c r="Z1005" s="45" t="b">
        <v>1</v>
      </c>
      <c r="AA1005" s="45" t="s">
        <v>38</v>
      </c>
      <c r="AB1005" s="45" t="s">
        <v>50</v>
      </c>
    </row>
    <row r="1006" spans="1:28" x14ac:dyDescent="0.2">
      <c r="A1006" s="96" t="s">
        <v>175</v>
      </c>
      <c r="B1006" s="96" t="s">
        <v>175</v>
      </c>
      <c r="C1006" s="277">
        <v>44501</v>
      </c>
      <c r="D1006" s="277">
        <v>44530</v>
      </c>
      <c r="E1006" s="279" t="s">
        <v>267</v>
      </c>
      <c r="F1006" s="133" t="s">
        <v>49</v>
      </c>
      <c r="G1006" s="270" t="s">
        <v>35</v>
      </c>
      <c r="H1006" s="272" t="s">
        <v>40</v>
      </c>
      <c r="I1006" s="273">
        <v>10</v>
      </c>
      <c r="J1006" s="270">
        <v>19</v>
      </c>
      <c r="K1006" s="270">
        <f t="shared" si="0"/>
        <v>190</v>
      </c>
      <c r="L1006" s="270">
        <v>1056</v>
      </c>
      <c r="M1006" s="270">
        <v>60</v>
      </c>
      <c r="N1006" s="274">
        <v>10</v>
      </c>
      <c r="O1006" s="55"/>
      <c r="P1006" s="45">
        <v>10</v>
      </c>
      <c r="Q1006" s="270">
        <v>5</v>
      </c>
      <c r="R1006" s="275">
        <v>-1.6329999999999999E-3</v>
      </c>
      <c r="S1006" s="270">
        <v>5</v>
      </c>
      <c r="T1006" s="270">
        <v>15</v>
      </c>
      <c r="U1006" s="57">
        <v>1</v>
      </c>
      <c r="V1006" s="276">
        <v>0.25</v>
      </c>
      <c r="W1006" s="276">
        <v>0</v>
      </c>
      <c r="X1006" s="270">
        <v>11</v>
      </c>
      <c r="Y1006" s="270">
        <v>4</v>
      </c>
      <c r="Z1006" s="45" t="b">
        <v>1</v>
      </c>
      <c r="AA1006" s="45" t="s">
        <v>38</v>
      </c>
      <c r="AB1006" s="45" t="s">
        <v>38</v>
      </c>
    </row>
    <row r="1007" spans="1:28" x14ac:dyDescent="0.2">
      <c r="A1007" s="96" t="s">
        <v>175</v>
      </c>
      <c r="B1007" s="96" t="s">
        <v>175</v>
      </c>
      <c r="C1007" s="277">
        <v>44501</v>
      </c>
      <c r="D1007" s="277">
        <v>44530</v>
      </c>
      <c r="E1007" s="279" t="s">
        <v>267</v>
      </c>
      <c r="F1007" s="133" t="s">
        <v>49</v>
      </c>
      <c r="G1007" s="270" t="s">
        <v>35</v>
      </c>
      <c r="H1007" s="272" t="s">
        <v>87</v>
      </c>
      <c r="I1007" s="273">
        <v>25</v>
      </c>
      <c r="J1007" s="270">
        <v>40</v>
      </c>
      <c r="K1007" s="270">
        <f t="shared" si="0"/>
        <v>1000</v>
      </c>
      <c r="L1007" s="270">
        <v>1448</v>
      </c>
      <c r="M1007" s="270">
        <v>50</v>
      </c>
      <c r="N1007" s="274">
        <v>44</v>
      </c>
      <c r="O1007" s="55"/>
      <c r="P1007" s="45">
        <v>44</v>
      </c>
      <c r="Q1007" s="270">
        <v>48</v>
      </c>
      <c r="R1007" s="275">
        <v>-3.8760000000000001E-3</v>
      </c>
      <c r="S1007" s="270">
        <v>44</v>
      </c>
      <c r="T1007" s="270">
        <v>88</v>
      </c>
      <c r="U1007" s="57">
        <v>1</v>
      </c>
      <c r="V1007" s="276">
        <v>0.25</v>
      </c>
      <c r="W1007" s="276">
        <v>0</v>
      </c>
      <c r="X1007" s="270">
        <v>66</v>
      </c>
      <c r="Y1007" s="270">
        <v>22</v>
      </c>
      <c r="Z1007" s="45" t="b">
        <v>1</v>
      </c>
      <c r="AA1007" s="45" t="s">
        <v>38</v>
      </c>
      <c r="AB1007" s="45" t="s">
        <v>38</v>
      </c>
    </row>
    <row r="1008" spans="1:28" x14ac:dyDescent="0.2">
      <c r="A1008" s="96" t="s">
        <v>175</v>
      </c>
      <c r="B1008" s="96" t="s">
        <v>175</v>
      </c>
      <c r="C1008" s="277">
        <v>44501</v>
      </c>
      <c r="D1008" s="277">
        <v>44530</v>
      </c>
      <c r="E1008" s="279" t="s">
        <v>267</v>
      </c>
      <c r="F1008" s="133" t="s">
        <v>49</v>
      </c>
      <c r="G1008" s="270" t="s">
        <v>35</v>
      </c>
      <c r="H1008" s="272" t="s">
        <v>46</v>
      </c>
      <c r="I1008" s="273">
        <v>25</v>
      </c>
      <c r="J1008" s="270">
        <v>160</v>
      </c>
      <c r="K1008" s="270">
        <f t="shared" si="0"/>
        <v>4000</v>
      </c>
      <c r="L1008" s="270">
        <v>9218</v>
      </c>
      <c r="M1008" s="270">
        <v>550</v>
      </c>
      <c r="N1008" s="274">
        <v>181</v>
      </c>
      <c r="O1008" s="55"/>
      <c r="P1008" s="45">
        <v>181</v>
      </c>
      <c r="Q1008" s="270">
        <v>171</v>
      </c>
      <c r="R1008" s="275">
        <v>-3.581E-3</v>
      </c>
      <c r="S1008" s="270">
        <v>157</v>
      </c>
      <c r="T1008" s="270">
        <v>338</v>
      </c>
      <c r="U1008" s="57">
        <v>1</v>
      </c>
      <c r="V1008" s="276">
        <v>0.25</v>
      </c>
      <c r="W1008" s="276">
        <v>0</v>
      </c>
      <c r="X1008" s="270">
        <v>254</v>
      </c>
      <c r="Y1008" s="270">
        <v>85</v>
      </c>
      <c r="Z1008" s="45" t="b">
        <v>1</v>
      </c>
      <c r="AA1008" s="45" t="s">
        <v>38</v>
      </c>
      <c r="AB1008" s="45" t="s">
        <v>38</v>
      </c>
    </row>
    <row r="1009" spans="1:28" x14ac:dyDescent="0.2">
      <c r="A1009" s="96" t="s">
        <v>175</v>
      </c>
      <c r="B1009" s="96" t="s">
        <v>175</v>
      </c>
      <c r="C1009" s="277">
        <v>44501</v>
      </c>
      <c r="D1009" s="277">
        <v>44530</v>
      </c>
      <c r="E1009" s="279" t="s">
        <v>267</v>
      </c>
      <c r="F1009" s="133" t="s">
        <v>49</v>
      </c>
      <c r="G1009" s="270" t="s">
        <v>35</v>
      </c>
      <c r="H1009" s="272" t="s">
        <v>115</v>
      </c>
      <c r="I1009" s="273">
        <v>10</v>
      </c>
      <c r="J1009" s="270">
        <v>235</v>
      </c>
      <c r="K1009" s="270">
        <f t="shared" si="0"/>
        <v>2350</v>
      </c>
      <c r="L1009" s="270">
        <v>6618</v>
      </c>
      <c r="M1009" s="270">
        <v>100</v>
      </c>
      <c r="N1009" s="274">
        <v>120</v>
      </c>
      <c r="O1009" s="55"/>
      <c r="P1009" s="45">
        <v>120</v>
      </c>
      <c r="Q1009" s="270">
        <v>28</v>
      </c>
      <c r="R1009" s="275">
        <v>-3.1589999999999999E-3</v>
      </c>
      <c r="S1009" s="270">
        <v>21</v>
      </c>
      <c r="T1009" s="270">
        <v>141</v>
      </c>
      <c r="U1009" s="57">
        <v>1</v>
      </c>
      <c r="V1009" s="276">
        <v>0.25</v>
      </c>
      <c r="W1009" s="276">
        <v>0</v>
      </c>
      <c r="X1009" s="270">
        <v>106</v>
      </c>
      <c r="Y1009" s="270">
        <v>35</v>
      </c>
      <c r="Z1009" s="45" t="b">
        <v>1</v>
      </c>
      <c r="AA1009" s="45" t="s">
        <v>38</v>
      </c>
      <c r="AB1009" s="45" t="s">
        <v>38</v>
      </c>
    </row>
    <row r="1010" spans="1:28" x14ac:dyDescent="0.2">
      <c r="A1010" s="96" t="s">
        <v>175</v>
      </c>
      <c r="B1010" s="96" t="s">
        <v>175</v>
      </c>
      <c r="C1010" s="277">
        <v>44501</v>
      </c>
      <c r="D1010" s="277">
        <v>44530</v>
      </c>
      <c r="E1010" s="279" t="s">
        <v>267</v>
      </c>
      <c r="F1010" s="133" t="s">
        <v>41</v>
      </c>
      <c r="G1010" s="270" t="s">
        <v>35</v>
      </c>
      <c r="H1010" s="272" t="s">
        <v>51</v>
      </c>
      <c r="I1010" s="273">
        <v>0.25</v>
      </c>
      <c r="J1010" s="270">
        <v>3</v>
      </c>
      <c r="K1010" s="270">
        <f t="shared" si="0"/>
        <v>0.75</v>
      </c>
      <c r="L1010" s="270"/>
      <c r="M1010" s="270">
        <v>-0.75</v>
      </c>
      <c r="N1010" s="274"/>
      <c r="O1010" s="55"/>
      <c r="P1010" s="96"/>
      <c r="Q1010" s="270"/>
      <c r="R1010" s="275">
        <v>0</v>
      </c>
      <c r="S1010" s="270"/>
      <c r="T1010" s="270">
        <v>-1</v>
      </c>
      <c r="U1010" s="57">
        <v>1</v>
      </c>
      <c r="V1010" s="276">
        <v>0.25</v>
      </c>
      <c r="W1010" s="276">
        <v>0</v>
      </c>
      <c r="X1010" s="270">
        <v>-1</v>
      </c>
      <c r="Y1010" s="270">
        <v>0</v>
      </c>
      <c r="Z1010" s="45" t="b">
        <v>1</v>
      </c>
      <c r="AA1010" s="45" t="s">
        <v>38</v>
      </c>
      <c r="AB1010" s="45" t="s">
        <v>38</v>
      </c>
    </row>
    <row r="1011" spans="1:28" x14ac:dyDescent="0.2">
      <c r="A1011" s="270" t="s">
        <v>98</v>
      </c>
      <c r="B1011" s="270" t="s">
        <v>98</v>
      </c>
      <c r="C1011" s="277">
        <v>44503</v>
      </c>
      <c r="D1011" s="277">
        <v>44530</v>
      </c>
      <c r="E1011" s="270" t="s">
        <v>267</v>
      </c>
      <c r="F1011" s="96" t="s">
        <v>41</v>
      </c>
      <c r="G1011" s="270" t="s">
        <v>35</v>
      </c>
      <c r="H1011" s="272" t="s">
        <v>40</v>
      </c>
      <c r="I1011" s="273">
        <v>10</v>
      </c>
      <c r="J1011" s="270">
        <v>1</v>
      </c>
      <c r="K1011" s="270">
        <f t="shared" si="0"/>
        <v>10</v>
      </c>
      <c r="L1011" s="270">
        <v>-435</v>
      </c>
      <c r="M1011" s="270">
        <v>-10</v>
      </c>
      <c r="N1011" s="274"/>
      <c r="O1011" s="55"/>
      <c r="P1011" s="96"/>
      <c r="Q1011" s="270">
        <v>-9</v>
      </c>
      <c r="R1011" s="275">
        <v>0</v>
      </c>
      <c r="S1011" s="270">
        <v>-9</v>
      </c>
      <c r="T1011" s="270">
        <v>-10</v>
      </c>
      <c r="U1011" s="57">
        <v>1</v>
      </c>
      <c r="V1011" s="276">
        <v>0.25</v>
      </c>
      <c r="W1011" s="276">
        <v>0</v>
      </c>
      <c r="X1011" s="270">
        <v>-8</v>
      </c>
      <c r="Y1011" s="270">
        <v>-3</v>
      </c>
      <c r="Z1011" s="45" t="b">
        <v>1</v>
      </c>
      <c r="AA1011" s="45" t="s">
        <v>38</v>
      </c>
      <c r="AB1011" s="45" t="s">
        <v>38</v>
      </c>
    </row>
    <row r="1012" spans="1:28" x14ac:dyDescent="0.2">
      <c r="A1012" s="270" t="s">
        <v>98</v>
      </c>
      <c r="B1012" s="270" t="s">
        <v>98</v>
      </c>
      <c r="C1012" s="277">
        <v>44503</v>
      </c>
      <c r="D1012" s="277">
        <v>44530</v>
      </c>
      <c r="E1012" s="270" t="s">
        <v>267</v>
      </c>
      <c r="F1012" s="96" t="s">
        <v>41</v>
      </c>
      <c r="G1012" s="270" t="s">
        <v>35</v>
      </c>
      <c r="H1012" s="272" t="s">
        <v>46</v>
      </c>
      <c r="I1012" s="273">
        <v>25</v>
      </c>
      <c r="J1012" s="270">
        <v>16</v>
      </c>
      <c r="K1012" s="270">
        <f t="shared" si="0"/>
        <v>400</v>
      </c>
      <c r="L1012" s="270">
        <v>-3881</v>
      </c>
      <c r="M1012" s="270">
        <v>-125</v>
      </c>
      <c r="N1012" s="274">
        <v>19</v>
      </c>
      <c r="O1012" s="55"/>
      <c r="P1012" s="45">
        <v>19</v>
      </c>
      <c r="Q1012" s="270">
        <v>-206</v>
      </c>
      <c r="R1012" s="275">
        <v>0</v>
      </c>
      <c r="S1012" s="270">
        <v>-206</v>
      </c>
      <c r="T1012" s="270">
        <v>-106</v>
      </c>
      <c r="U1012" s="57">
        <v>1</v>
      </c>
      <c r="V1012" s="276">
        <v>0.25</v>
      </c>
      <c r="W1012" s="276">
        <v>0</v>
      </c>
      <c r="X1012" s="270">
        <v>-80</v>
      </c>
      <c r="Y1012" s="270">
        <v>-27</v>
      </c>
      <c r="Z1012" s="45" t="b">
        <v>1</v>
      </c>
      <c r="AA1012" s="45" t="s">
        <v>38</v>
      </c>
      <c r="AB1012" s="45" t="s">
        <v>38</v>
      </c>
    </row>
    <row r="1013" spans="1:28" x14ac:dyDescent="0.2">
      <c r="A1013" s="270" t="s">
        <v>98</v>
      </c>
      <c r="B1013" s="270" t="s">
        <v>98</v>
      </c>
      <c r="C1013" s="277">
        <v>44503</v>
      </c>
      <c r="D1013" s="277">
        <v>44530</v>
      </c>
      <c r="E1013" s="270" t="s">
        <v>267</v>
      </c>
      <c r="F1013" s="96" t="s">
        <v>41</v>
      </c>
      <c r="G1013" s="270" t="s">
        <v>35</v>
      </c>
      <c r="H1013" s="272" t="s">
        <v>115</v>
      </c>
      <c r="I1013" s="273">
        <v>10</v>
      </c>
      <c r="J1013" s="270">
        <v>545</v>
      </c>
      <c r="K1013" s="270">
        <f t="shared" si="0"/>
        <v>5450</v>
      </c>
      <c r="L1013" s="270">
        <v>6075</v>
      </c>
      <c r="M1013" s="270">
        <v>-1050</v>
      </c>
      <c r="N1013" s="274">
        <v>299</v>
      </c>
      <c r="O1013" s="55"/>
      <c r="P1013" s="45">
        <v>299</v>
      </c>
      <c r="Q1013" s="270">
        <v>-218</v>
      </c>
      <c r="R1013" s="275">
        <v>0</v>
      </c>
      <c r="S1013" s="270">
        <v>-218</v>
      </c>
      <c r="T1013" s="270">
        <v>-751</v>
      </c>
      <c r="U1013" s="57">
        <v>1</v>
      </c>
      <c r="V1013" s="276">
        <v>0.25</v>
      </c>
      <c r="W1013" s="276">
        <v>0</v>
      </c>
      <c r="X1013" s="270">
        <v>-563</v>
      </c>
      <c r="Y1013" s="270">
        <v>-188</v>
      </c>
      <c r="Z1013" s="45" t="b">
        <v>1</v>
      </c>
      <c r="AA1013" s="45" t="s">
        <v>38</v>
      </c>
      <c r="AB1013" s="45" t="s">
        <v>38</v>
      </c>
    </row>
    <row r="1014" spans="1:28" x14ac:dyDescent="0.2">
      <c r="A1014" s="270" t="s">
        <v>98</v>
      </c>
      <c r="B1014" s="270" t="s">
        <v>98</v>
      </c>
      <c r="C1014" s="277">
        <v>44503</v>
      </c>
      <c r="D1014" s="277">
        <v>44530</v>
      </c>
      <c r="E1014" s="270" t="s">
        <v>267</v>
      </c>
      <c r="F1014" s="96" t="s">
        <v>41</v>
      </c>
      <c r="G1014" s="270" t="s">
        <v>35</v>
      </c>
      <c r="H1014" s="272" t="s">
        <v>87</v>
      </c>
      <c r="I1014" s="273">
        <v>25</v>
      </c>
      <c r="J1014" s="270">
        <v>1668</v>
      </c>
      <c r="K1014" s="270">
        <f t="shared" si="0"/>
        <v>41700</v>
      </c>
      <c r="L1014" s="270">
        <v>20880</v>
      </c>
      <c r="M1014" s="270">
        <v>-425</v>
      </c>
      <c r="N1014" s="274">
        <v>1967</v>
      </c>
      <c r="O1014" s="55"/>
      <c r="P1014" s="105">
        <v>1967</v>
      </c>
      <c r="Q1014" s="270">
        <v>-1056</v>
      </c>
      <c r="R1014" s="275">
        <v>0</v>
      </c>
      <c r="S1014" s="270">
        <v>-1056</v>
      </c>
      <c r="T1014" s="270">
        <v>1542</v>
      </c>
      <c r="U1014" s="57">
        <v>1</v>
      </c>
      <c r="V1014" s="276">
        <v>0.25</v>
      </c>
      <c r="W1014" s="276">
        <v>0</v>
      </c>
      <c r="X1014" s="270">
        <v>1157</v>
      </c>
      <c r="Y1014" s="270">
        <v>386</v>
      </c>
      <c r="Z1014" s="45" t="b">
        <v>1</v>
      </c>
      <c r="AA1014" s="45" t="s">
        <v>38</v>
      </c>
      <c r="AB1014" s="45" t="s">
        <v>38</v>
      </c>
    </row>
    <row r="1015" spans="1:28" x14ac:dyDescent="0.2">
      <c r="A1015" s="96" t="s">
        <v>286</v>
      </c>
      <c r="B1015" s="96" t="s">
        <v>286</v>
      </c>
      <c r="C1015" s="277">
        <v>44521</v>
      </c>
      <c r="D1015" s="277">
        <v>44550</v>
      </c>
      <c r="E1015" s="270" t="s">
        <v>267</v>
      </c>
      <c r="F1015" s="133" t="s">
        <v>34</v>
      </c>
      <c r="G1015" s="96" t="s">
        <v>35</v>
      </c>
      <c r="H1015" s="272" t="s">
        <v>39</v>
      </c>
      <c r="I1015" s="273">
        <v>5</v>
      </c>
      <c r="J1015" s="270">
        <v>1</v>
      </c>
      <c r="K1015" s="270">
        <f t="shared" si="0"/>
        <v>5</v>
      </c>
      <c r="L1015" s="270">
        <v>-129</v>
      </c>
      <c r="M1015" s="270">
        <v>5</v>
      </c>
      <c r="N1015" s="274"/>
      <c r="O1015" s="55"/>
      <c r="P1015" s="96"/>
      <c r="Q1015" s="270">
        <v>-2</v>
      </c>
      <c r="R1015" s="275">
        <v>-1.5E-3</v>
      </c>
      <c r="S1015" s="270">
        <v>-2</v>
      </c>
      <c r="T1015" s="270">
        <v>-2</v>
      </c>
      <c r="U1015" s="57">
        <v>1</v>
      </c>
      <c r="V1015" s="276">
        <v>0.15</v>
      </c>
      <c r="W1015" s="276">
        <v>0</v>
      </c>
      <c r="X1015" s="270">
        <v>-1</v>
      </c>
      <c r="Y1015" s="270">
        <v>0</v>
      </c>
      <c r="Z1015" s="45" t="b">
        <v>1</v>
      </c>
      <c r="AA1015" s="45" t="s">
        <v>38</v>
      </c>
      <c r="AB1015" s="45" t="s">
        <v>38</v>
      </c>
    </row>
    <row r="1016" spans="1:28" x14ac:dyDescent="0.2">
      <c r="A1016" s="96" t="s">
        <v>286</v>
      </c>
      <c r="B1016" s="96" t="s">
        <v>286</v>
      </c>
      <c r="C1016" s="277">
        <v>44521</v>
      </c>
      <c r="D1016" s="277">
        <v>44550</v>
      </c>
      <c r="E1016" s="270" t="s">
        <v>267</v>
      </c>
      <c r="F1016" s="133" t="s">
        <v>34</v>
      </c>
      <c r="G1016" s="96" t="s">
        <v>35</v>
      </c>
      <c r="H1016" s="272" t="s">
        <v>90</v>
      </c>
      <c r="I1016" s="273">
        <v>5</v>
      </c>
      <c r="J1016" s="270">
        <v>1</v>
      </c>
      <c r="K1016" s="270">
        <f t="shared" si="0"/>
        <v>5</v>
      </c>
      <c r="L1016" s="270">
        <v>-141</v>
      </c>
      <c r="M1016" s="270">
        <v>-5</v>
      </c>
      <c r="N1016" s="274"/>
      <c r="O1016" s="55"/>
      <c r="P1016" s="96"/>
      <c r="Q1016" s="270">
        <v>-3</v>
      </c>
      <c r="R1016" s="275">
        <v>-1.5E-3</v>
      </c>
      <c r="S1016" s="270">
        <v>-3</v>
      </c>
      <c r="T1016" s="270">
        <v>-3</v>
      </c>
      <c r="U1016" s="57">
        <v>1</v>
      </c>
      <c r="V1016" s="276">
        <v>0.15</v>
      </c>
      <c r="W1016" s="276">
        <v>0</v>
      </c>
      <c r="X1016" s="270">
        <v>-2</v>
      </c>
      <c r="Y1016" s="270">
        <v>0</v>
      </c>
      <c r="Z1016" s="45" t="b">
        <v>1</v>
      </c>
      <c r="AA1016" s="45" t="s">
        <v>38</v>
      </c>
      <c r="AB1016" s="45" t="s">
        <v>38</v>
      </c>
    </row>
    <row r="1017" spans="1:28" x14ac:dyDescent="0.2">
      <c r="A1017" s="96" t="s">
        <v>286</v>
      </c>
      <c r="B1017" s="96" t="s">
        <v>286</v>
      </c>
      <c r="C1017" s="277">
        <v>44521</v>
      </c>
      <c r="D1017" s="277">
        <v>44550</v>
      </c>
      <c r="E1017" s="270" t="s">
        <v>267</v>
      </c>
      <c r="F1017" s="133" t="s">
        <v>34</v>
      </c>
      <c r="G1017" s="96" t="s">
        <v>35</v>
      </c>
      <c r="H1017" s="272" t="s">
        <v>40</v>
      </c>
      <c r="I1017" s="273">
        <v>10</v>
      </c>
      <c r="J1017" s="270">
        <v>1</v>
      </c>
      <c r="K1017" s="270">
        <f t="shared" si="0"/>
        <v>10</v>
      </c>
      <c r="L1017" s="270">
        <v>-754</v>
      </c>
      <c r="M1017" s="270">
        <v>-10</v>
      </c>
      <c r="N1017" s="274">
        <v>1</v>
      </c>
      <c r="O1017" s="55"/>
      <c r="P1017" s="45">
        <v>1</v>
      </c>
      <c r="Q1017" s="270">
        <v>-15</v>
      </c>
      <c r="R1017" s="275">
        <v>-1.5E-3</v>
      </c>
      <c r="S1017" s="270">
        <v>-15</v>
      </c>
      <c r="T1017" s="270">
        <v>-14</v>
      </c>
      <c r="U1017" s="57">
        <v>1</v>
      </c>
      <c r="V1017" s="276">
        <v>0.15</v>
      </c>
      <c r="W1017" s="276">
        <v>0</v>
      </c>
      <c r="X1017" s="270">
        <v>-12</v>
      </c>
      <c r="Y1017" s="270">
        <v>-2</v>
      </c>
      <c r="Z1017" s="45" t="b">
        <v>1</v>
      </c>
      <c r="AA1017" s="45" t="s">
        <v>38</v>
      </c>
      <c r="AB1017" s="45" t="s">
        <v>38</v>
      </c>
    </row>
    <row r="1018" spans="1:28" x14ac:dyDescent="0.2">
      <c r="A1018" s="96" t="s">
        <v>286</v>
      </c>
      <c r="B1018" s="96" t="s">
        <v>286</v>
      </c>
      <c r="C1018" s="277">
        <v>44521</v>
      </c>
      <c r="D1018" s="277">
        <v>44550</v>
      </c>
      <c r="E1018" s="270" t="s">
        <v>267</v>
      </c>
      <c r="F1018" s="133" t="s">
        <v>34</v>
      </c>
      <c r="G1018" s="96" t="s">
        <v>35</v>
      </c>
      <c r="H1018" s="272" t="s">
        <v>46</v>
      </c>
      <c r="I1018" s="273">
        <v>25</v>
      </c>
      <c r="J1018" s="270">
        <v>656</v>
      </c>
      <c r="K1018" s="270">
        <f t="shared" si="0"/>
        <v>16400</v>
      </c>
      <c r="L1018" s="270">
        <v>37269</v>
      </c>
      <c r="M1018" s="270">
        <v>850</v>
      </c>
      <c r="N1018" s="274">
        <v>624</v>
      </c>
      <c r="O1018" s="55"/>
      <c r="P1018" s="45">
        <v>624</v>
      </c>
      <c r="Q1018" s="270">
        <v>723</v>
      </c>
      <c r="R1018" s="275">
        <v>-1.5E-3</v>
      </c>
      <c r="S1018" s="270">
        <v>698</v>
      </c>
      <c r="T1018" s="270">
        <v>1322</v>
      </c>
      <c r="U1018" s="57">
        <v>1</v>
      </c>
      <c r="V1018" s="276">
        <v>0.15</v>
      </c>
      <c r="W1018" s="276">
        <v>0</v>
      </c>
      <c r="X1018" s="270">
        <v>1124</v>
      </c>
      <c r="Y1018" s="270">
        <v>198</v>
      </c>
      <c r="Z1018" s="45" t="b">
        <v>1</v>
      </c>
      <c r="AA1018" s="45" t="s">
        <v>38</v>
      </c>
      <c r="AB1018" s="45" t="s">
        <v>38</v>
      </c>
    </row>
    <row r="1019" spans="1:28" x14ac:dyDescent="0.2">
      <c r="A1019" s="96" t="s">
        <v>286</v>
      </c>
      <c r="B1019" s="96" t="s">
        <v>286</v>
      </c>
      <c r="C1019" s="277">
        <v>44521</v>
      </c>
      <c r="D1019" s="277">
        <v>44550</v>
      </c>
      <c r="E1019" s="270" t="s">
        <v>267</v>
      </c>
      <c r="F1019" s="133" t="s">
        <v>34</v>
      </c>
      <c r="G1019" s="96" t="s">
        <v>35</v>
      </c>
      <c r="H1019" s="272" t="s">
        <v>87</v>
      </c>
      <c r="I1019" s="273">
        <v>25</v>
      </c>
      <c r="J1019" s="270">
        <v>3257</v>
      </c>
      <c r="K1019" s="270">
        <f t="shared" si="0"/>
        <v>81425</v>
      </c>
      <c r="L1019" s="270">
        <v>45146</v>
      </c>
      <c r="M1019" s="270">
        <v>-2375</v>
      </c>
      <c r="N1019" s="274">
        <v>3091</v>
      </c>
      <c r="O1019" s="55"/>
      <c r="P1019" s="105">
        <v>3091</v>
      </c>
      <c r="Q1019" s="270">
        <v>-1500</v>
      </c>
      <c r="R1019" s="275">
        <v>-1.5E-3</v>
      </c>
      <c r="S1019" s="270">
        <v>-1622</v>
      </c>
      <c r="T1019" s="270">
        <v>1469</v>
      </c>
      <c r="U1019" s="57">
        <v>1</v>
      </c>
      <c r="V1019" s="276">
        <v>0.15</v>
      </c>
      <c r="W1019" s="276">
        <v>0</v>
      </c>
      <c r="X1019" s="270">
        <v>1249</v>
      </c>
      <c r="Y1019" s="270">
        <v>220</v>
      </c>
      <c r="Z1019" s="45" t="b">
        <v>1</v>
      </c>
      <c r="AA1019" s="45" t="s">
        <v>38</v>
      </c>
      <c r="AB1019" s="45" t="s">
        <v>38</v>
      </c>
    </row>
    <row r="1020" spans="1:28" x14ac:dyDescent="0.2">
      <c r="A1020" s="96" t="s">
        <v>286</v>
      </c>
      <c r="B1020" s="96" t="s">
        <v>286</v>
      </c>
      <c r="C1020" s="277">
        <v>44521</v>
      </c>
      <c r="D1020" s="277">
        <v>44550</v>
      </c>
      <c r="E1020" s="270" t="s">
        <v>267</v>
      </c>
      <c r="F1020" s="133" t="s">
        <v>34</v>
      </c>
      <c r="G1020" s="96" t="s">
        <v>35</v>
      </c>
      <c r="H1020" s="272" t="s">
        <v>72</v>
      </c>
      <c r="I1020" s="273">
        <v>50</v>
      </c>
      <c r="J1020" s="270">
        <v>245</v>
      </c>
      <c r="K1020" s="270">
        <f t="shared" si="0"/>
        <v>12250</v>
      </c>
      <c r="L1020" s="270">
        <v>17654</v>
      </c>
      <c r="M1020" s="270">
        <v>-650</v>
      </c>
      <c r="N1020" s="274">
        <v>464</v>
      </c>
      <c r="O1020" s="55"/>
      <c r="P1020" s="45">
        <v>464</v>
      </c>
      <c r="Q1020" s="270">
        <v>886</v>
      </c>
      <c r="R1020" s="275">
        <v>-1.5E-3</v>
      </c>
      <c r="S1020" s="270">
        <v>868</v>
      </c>
      <c r="T1020" s="270">
        <v>1332</v>
      </c>
      <c r="U1020" s="57">
        <v>1</v>
      </c>
      <c r="V1020" s="276">
        <v>0.15</v>
      </c>
      <c r="W1020" s="276">
        <v>0</v>
      </c>
      <c r="X1020" s="270">
        <v>1132</v>
      </c>
      <c r="Y1020" s="270">
        <v>200</v>
      </c>
      <c r="Z1020" s="45" t="b">
        <v>1</v>
      </c>
      <c r="AA1020" s="45" t="s">
        <v>38</v>
      </c>
      <c r="AB1020" s="45" t="s">
        <v>38</v>
      </c>
    </row>
    <row r="1021" spans="1:28" x14ac:dyDescent="0.2">
      <c r="A1021" s="96" t="s">
        <v>286</v>
      </c>
      <c r="B1021" s="96" t="s">
        <v>286</v>
      </c>
      <c r="C1021" s="277">
        <v>44521</v>
      </c>
      <c r="D1021" s="277">
        <v>44550</v>
      </c>
      <c r="E1021" s="270" t="s">
        <v>267</v>
      </c>
      <c r="F1021" s="133" t="s">
        <v>34</v>
      </c>
      <c r="G1021" s="96" t="s">
        <v>35</v>
      </c>
      <c r="H1021" s="272" t="s">
        <v>85</v>
      </c>
      <c r="I1021" s="273">
        <v>50</v>
      </c>
      <c r="J1021" s="270">
        <v>43</v>
      </c>
      <c r="K1021" s="270">
        <f t="shared" si="0"/>
        <v>2150</v>
      </c>
      <c r="L1021" s="270">
        <v>2101</v>
      </c>
      <c r="M1021" s="270">
        <v>800</v>
      </c>
      <c r="N1021" s="274">
        <v>83</v>
      </c>
      <c r="O1021" s="55"/>
      <c r="P1021" s="45">
        <v>83</v>
      </c>
      <c r="Q1021" s="270">
        <v>193</v>
      </c>
      <c r="R1021" s="275">
        <v>-1.5E-3</v>
      </c>
      <c r="S1021" s="270">
        <v>190</v>
      </c>
      <c r="T1021" s="270">
        <v>273</v>
      </c>
      <c r="U1021" s="57">
        <v>1</v>
      </c>
      <c r="V1021" s="276">
        <v>0.15</v>
      </c>
      <c r="W1021" s="276">
        <v>0</v>
      </c>
      <c r="X1021" s="270">
        <v>232</v>
      </c>
      <c r="Y1021" s="270">
        <v>41</v>
      </c>
      <c r="Z1021" s="45" t="b">
        <v>1</v>
      </c>
      <c r="AA1021" s="45" t="s">
        <v>38</v>
      </c>
      <c r="AB1021" s="45" t="s">
        <v>38</v>
      </c>
    </row>
    <row r="1022" spans="1:28" x14ac:dyDescent="0.2">
      <c r="A1022" s="96" t="s">
        <v>286</v>
      </c>
      <c r="B1022" s="96" t="s">
        <v>286</v>
      </c>
      <c r="C1022" s="277">
        <v>44521</v>
      </c>
      <c r="D1022" s="277">
        <v>44550</v>
      </c>
      <c r="E1022" s="270" t="s">
        <v>267</v>
      </c>
      <c r="F1022" s="133" t="s">
        <v>41</v>
      </c>
      <c r="G1022" s="96" t="s">
        <v>35</v>
      </c>
      <c r="H1022" s="272" t="s">
        <v>36</v>
      </c>
      <c r="I1022" s="273">
        <v>2</v>
      </c>
      <c r="J1022" s="270">
        <v>3</v>
      </c>
      <c r="K1022" s="270">
        <f t="shared" si="0"/>
        <v>6</v>
      </c>
      <c r="L1022" s="270"/>
      <c r="M1022" s="270">
        <v>-2</v>
      </c>
      <c r="N1022" s="274"/>
      <c r="O1022" s="55"/>
      <c r="P1022" s="96"/>
      <c r="Q1022" s="270"/>
      <c r="R1022" s="275">
        <v>0</v>
      </c>
      <c r="S1022" s="270"/>
      <c r="T1022" s="270">
        <v>-2</v>
      </c>
      <c r="U1022" s="57">
        <v>1</v>
      </c>
      <c r="V1022" s="276">
        <v>0.15</v>
      </c>
      <c r="W1022" s="276">
        <v>0</v>
      </c>
      <c r="X1022" s="270">
        <v>-2</v>
      </c>
      <c r="Y1022" s="270">
        <v>0</v>
      </c>
      <c r="Z1022" s="45" t="b">
        <v>1</v>
      </c>
      <c r="AA1022" s="45" t="s">
        <v>38</v>
      </c>
      <c r="AB1022" s="45" t="s">
        <v>38</v>
      </c>
    </row>
    <row r="1023" spans="1:28" x14ac:dyDescent="0.2">
      <c r="A1023" s="279" t="s">
        <v>60</v>
      </c>
      <c r="B1023" s="279" t="s">
        <v>60</v>
      </c>
      <c r="C1023" s="282">
        <v>44521</v>
      </c>
      <c r="D1023" s="282">
        <v>44550</v>
      </c>
      <c r="E1023" s="279" t="s">
        <v>267</v>
      </c>
      <c r="F1023" s="133" t="s">
        <v>34</v>
      </c>
      <c r="G1023" s="279" t="s">
        <v>61</v>
      </c>
      <c r="H1023" s="272" t="s">
        <v>64</v>
      </c>
      <c r="I1023" s="280">
        <v>10</v>
      </c>
      <c r="J1023" s="279">
        <v>127</v>
      </c>
      <c r="K1023" s="270">
        <f t="shared" si="0"/>
        <v>1270</v>
      </c>
      <c r="L1023" s="279">
        <v>7588</v>
      </c>
      <c r="M1023" s="279">
        <v>-90</v>
      </c>
      <c r="N1023" s="281">
        <v>0</v>
      </c>
      <c r="O1023" s="55"/>
      <c r="P1023" s="45">
        <v>0</v>
      </c>
      <c r="Q1023" s="279">
        <v>41</v>
      </c>
      <c r="R1023" s="275">
        <v>-1.5200000000000001E-3</v>
      </c>
      <c r="S1023" s="279">
        <v>39</v>
      </c>
      <c r="T1023" s="279">
        <v>39</v>
      </c>
      <c r="U1023" s="57">
        <v>1</v>
      </c>
      <c r="V1023" s="276">
        <v>0.2</v>
      </c>
      <c r="W1023" s="276">
        <v>0</v>
      </c>
      <c r="X1023" s="279">
        <v>31</v>
      </c>
      <c r="Y1023" s="279">
        <v>8</v>
      </c>
      <c r="Z1023" s="45" t="b">
        <v>1</v>
      </c>
      <c r="AA1023" s="45" t="s">
        <v>50</v>
      </c>
      <c r="AB1023" s="45" t="s">
        <v>50</v>
      </c>
    </row>
    <row r="1024" spans="1:28" x14ac:dyDescent="0.2">
      <c r="A1024" s="279" t="s">
        <v>60</v>
      </c>
      <c r="B1024" s="279" t="s">
        <v>60</v>
      </c>
      <c r="C1024" s="282">
        <v>44521</v>
      </c>
      <c r="D1024" s="282">
        <v>44550</v>
      </c>
      <c r="E1024" s="279" t="s">
        <v>267</v>
      </c>
      <c r="F1024" s="133" t="s">
        <v>34</v>
      </c>
      <c r="G1024" s="279" t="s">
        <v>61</v>
      </c>
      <c r="H1024" s="272" t="s">
        <v>65</v>
      </c>
      <c r="I1024" s="280">
        <v>25</v>
      </c>
      <c r="J1024" s="279">
        <v>33</v>
      </c>
      <c r="K1024" s="270">
        <f t="shared" si="0"/>
        <v>825</v>
      </c>
      <c r="L1024" s="279">
        <v>1810</v>
      </c>
      <c r="M1024" s="279">
        <v>-310</v>
      </c>
      <c r="N1024" s="281">
        <v>0</v>
      </c>
      <c r="O1024" s="55"/>
      <c r="P1024" s="45">
        <v>0</v>
      </c>
      <c r="Q1024" s="279">
        <v>9</v>
      </c>
      <c r="R1024" s="275">
        <v>-1.5200000000000001E-3</v>
      </c>
      <c r="S1024" s="279">
        <v>8</v>
      </c>
      <c r="T1024" s="279">
        <v>8</v>
      </c>
      <c r="U1024" s="57">
        <v>1</v>
      </c>
      <c r="V1024" s="276">
        <v>0.2</v>
      </c>
      <c r="W1024" s="276">
        <v>0</v>
      </c>
      <c r="X1024" s="279">
        <v>6</v>
      </c>
      <c r="Y1024" s="279">
        <v>2</v>
      </c>
      <c r="Z1024" s="45" t="b">
        <v>1</v>
      </c>
      <c r="AA1024" s="45" t="s">
        <v>50</v>
      </c>
      <c r="AB1024" s="45" t="s">
        <v>50</v>
      </c>
    </row>
    <row r="1025" spans="1:28" x14ac:dyDescent="0.2">
      <c r="A1025" s="96" t="s">
        <v>82</v>
      </c>
      <c r="B1025" s="96" t="s">
        <v>82</v>
      </c>
      <c r="C1025" s="277">
        <v>44521</v>
      </c>
      <c r="D1025" s="277">
        <v>44550</v>
      </c>
      <c r="E1025" s="270" t="s">
        <v>300</v>
      </c>
      <c r="F1025" s="133" t="s">
        <v>34</v>
      </c>
      <c r="G1025" s="96" t="s">
        <v>35</v>
      </c>
      <c r="H1025" s="272" t="s">
        <v>72</v>
      </c>
      <c r="I1025" s="273">
        <v>50</v>
      </c>
      <c r="J1025" s="270">
        <v>4037</v>
      </c>
      <c r="K1025" s="270">
        <f t="shared" si="0"/>
        <v>201850</v>
      </c>
      <c r="L1025" s="270">
        <v>37790</v>
      </c>
      <c r="M1025" s="270">
        <v>-8800</v>
      </c>
      <c r="N1025" s="274">
        <v>8775</v>
      </c>
      <c r="O1025" s="55"/>
      <c r="P1025" s="105">
        <v>8775</v>
      </c>
      <c r="Q1025" s="270">
        <v>-9079</v>
      </c>
      <c r="R1025" s="275">
        <v>-1.5200000000000001E-3</v>
      </c>
      <c r="S1025" s="270">
        <v>-9386</v>
      </c>
      <c r="T1025" s="270">
        <v>-611</v>
      </c>
      <c r="U1025" s="57">
        <v>1</v>
      </c>
      <c r="V1025" s="276">
        <v>0.15</v>
      </c>
      <c r="W1025" s="276">
        <v>0.05</v>
      </c>
      <c r="X1025" s="270">
        <v>-488</v>
      </c>
      <c r="Y1025" s="270">
        <v>-122</v>
      </c>
      <c r="Z1025" s="45" t="b">
        <v>1</v>
      </c>
      <c r="AA1025" s="45" t="s">
        <v>38</v>
      </c>
      <c r="AB1025" s="45" t="s">
        <v>38</v>
      </c>
    </row>
    <row r="1026" spans="1:28" x14ac:dyDescent="0.2">
      <c r="A1026" s="96" t="s">
        <v>154</v>
      </c>
      <c r="B1026" s="96" t="s">
        <v>154</v>
      </c>
      <c r="C1026" s="282">
        <v>44521</v>
      </c>
      <c r="D1026" s="282">
        <v>44550</v>
      </c>
      <c r="E1026" s="279" t="s">
        <v>267</v>
      </c>
      <c r="F1026" s="133" t="s">
        <v>34</v>
      </c>
      <c r="G1026" s="270" t="s">
        <v>35</v>
      </c>
      <c r="H1026" s="272" t="s">
        <v>40</v>
      </c>
      <c r="I1026" s="280">
        <v>10</v>
      </c>
      <c r="J1026" s="279">
        <v>83</v>
      </c>
      <c r="K1026" s="270">
        <f t="shared" si="0"/>
        <v>830</v>
      </c>
      <c r="L1026" s="279">
        <v>-106</v>
      </c>
      <c r="M1026" s="279">
        <v>-40</v>
      </c>
      <c r="N1026" s="274">
        <v>7</v>
      </c>
      <c r="O1026" s="55"/>
      <c r="P1026" s="45">
        <v>7</v>
      </c>
      <c r="Q1026" s="279">
        <v>-38</v>
      </c>
      <c r="R1026" s="275">
        <v>-1.5200000000000001E-3</v>
      </c>
      <c r="S1026" s="279">
        <v>-40</v>
      </c>
      <c r="T1026" s="279">
        <v>-33</v>
      </c>
      <c r="U1026" s="57">
        <v>1</v>
      </c>
      <c r="V1026" s="276">
        <v>0.2</v>
      </c>
      <c r="W1026" s="276">
        <v>0</v>
      </c>
      <c r="X1026" s="279">
        <v>-26</v>
      </c>
      <c r="Y1026" s="279">
        <v>-7</v>
      </c>
      <c r="Z1026" s="45" t="b">
        <v>1</v>
      </c>
      <c r="AA1026" s="45" t="s">
        <v>38</v>
      </c>
      <c r="AB1026" s="45" t="s">
        <v>38</v>
      </c>
    </row>
    <row r="1027" spans="1:28" x14ac:dyDescent="0.2">
      <c r="A1027" s="96" t="s">
        <v>89</v>
      </c>
      <c r="B1027" s="96" t="s">
        <v>89</v>
      </c>
      <c r="C1027" s="277">
        <v>44521</v>
      </c>
      <c r="D1027" s="277">
        <v>44550</v>
      </c>
      <c r="E1027" s="270" t="s">
        <v>267</v>
      </c>
      <c r="F1027" s="133" t="s">
        <v>41</v>
      </c>
      <c r="G1027" s="96" t="s">
        <v>35</v>
      </c>
      <c r="H1027" s="272" t="s">
        <v>70</v>
      </c>
      <c r="I1027" s="273">
        <v>100</v>
      </c>
      <c r="J1027" s="270">
        <v>1844</v>
      </c>
      <c r="K1027" s="270">
        <f t="shared" si="0"/>
        <v>184400</v>
      </c>
      <c r="L1027" s="270">
        <f>3*J1027</f>
        <v>5532</v>
      </c>
      <c r="M1027" s="270">
        <v>-14900</v>
      </c>
      <c r="N1027" s="274">
        <v>6405</v>
      </c>
      <c r="O1027" s="55"/>
      <c r="P1027" s="105">
        <v>6405</v>
      </c>
      <c r="Q1027" s="270">
        <v>-8921</v>
      </c>
      <c r="R1027" s="275">
        <v>0</v>
      </c>
      <c r="S1027" s="270">
        <v>-8921</v>
      </c>
      <c r="T1027" s="270">
        <v>-8495</v>
      </c>
      <c r="U1027" s="57">
        <v>1</v>
      </c>
      <c r="V1027" s="276">
        <v>0.22</v>
      </c>
      <c r="W1027" s="276">
        <v>0</v>
      </c>
      <c r="X1027" s="270">
        <v>-6626</v>
      </c>
      <c r="Y1027" s="270">
        <v>-1869</v>
      </c>
      <c r="Z1027" s="45" t="b">
        <v>1</v>
      </c>
      <c r="AA1027" s="45" t="s">
        <v>38</v>
      </c>
      <c r="AB1027" s="45" t="s">
        <v>38</v>
      </c>
    </row>
    <row r="1028" spans="1:28" x14ac:dyDescent="0.2">
      <c r="A1028" s="96" t="s">
        <v>89</v>
      </c>
      <c r="B1028" s="96" t="s">
        <v>89</v>
      </c>
      <c r="C1028" s="277">
        <v>44521</v>
      </c>
      <c r="D1028" s="277">
        <v>44550</v>
      </c>
      <c r="E1028" s="270" t="s">
        <v>267</v>
      </c>
      <c r="F1028" s="133" t="s">
        <v>41</v>
      </c>
      <c r="G1028" s="96" t="s">
        <v>35</v>
      </c>
      <c r="H1028" s="272" t="s">
        <v>46</v>
      </c>
      <c r="I1028" s="273">
        <v>25</v>
      </c>
      <c r="J1028" s="270">
        <v>261</v>
      </c>
      <c r="K1028" s="270">
        <f t="shared" si="0"/>
        <v>6525</v>
      </c>
      <c r="L1028" s="270"/>
      <c r="M1028" s="270">
        <v>-275</v>
      </c>
      <c r="N1028" s="274">
        <v>272</v>
      </c>
      <c r="O1028" s="55"/>
      <c r="P1028" s="45">
        <v>272</v>
      </c>
      <c r="Q1028" s="270"/>
      <c r="R1028" s="275">
        <v>0</v>
      </c>
      <c r="S1028" s="270"/>
      <c r="T1028" s="270">
        <v>-3</v>
      </c>
      <c r="U1028" s="57">
        <v>1</v>
      </c>
      <c r="V1028" s="276">
        <v>0.22</v>
      </c>
      <c r="W1028" s="276">
        <v>0</v>
      </c>
      <c r="X1028" s="270">
        <v>-2</v>
      </c>
      <c r="Y1028" s="270">
        <v>-1</v>
      </c>
      <c r="Z1028" s="45" t="b">
        <v>1</v>
      </c>
      <c r="AA1028" s="45" t="s">
        <v>38</v>
      </c>
      <c r="AB1028" s="45" t="s">
        <v>38</v>
      </c>
    </row>
    <row r="1029" spans="1:28" x14ac:dyDescent="0.2">
      <c r="A1029" s="96" t="s">
        <v>89</v>
      </c>
      <c r="B1029" s="96" t="s">
        <v>89</v>
      </c>
      <c r="C1029" s="277">
        <v>44521</v>
      </c>
      <c r="D1029" s="277">
        <v>44550</v>
      </c>
      <c r="E1029" s="270" t="s">
        <v>267</v>
      </c>
      <c r="F1029" s="133" t="s">
        <v>41</v>
      </c>
      <c r="G1029" s="96" t="s">
        <v>35</v>
      </c>
      <c r="H1029" s="272" t="s">
        <v>72</v>
      </c>
      <c r="I1029" s="273">
        <v>50</v>
      </c>
      <c r="J1029" s="270">
        <v>69</v>
      </c>
      <c r="K1029" s="270">
        <f t="shared" si="0"/>
        <v>3450</v>
      </c>
      <c r="L1029" s="270"/>
      <c r="M1029" s="270">
        <v>-50</v>
      </c>
      <c r="N1029" s="274">
        <v>143</v>
      </c>
      <c r="O1029" s="55"/>
      <c r="P1029" s="45">
        <v>143</v>
      </c>
      <c r="Q1029" s="270"/>
      <c r="R1029" s="275">
        <v>0</v>
      </c>
      <c r="S1029" s="270"/>
      <c r="T1029" s="270">
        <v>93</v>
      </c>
      <c r="U1029" s="57">
        <v>1</v>
      </c>
      <c r="V1029" s="276">
        <v>0.22</v>
      </c>
      <c r="W1029" s="276">
        <v>0</v>
      </c>
      <c r="X1029" s="270">
        <v>73</v>
      </c>
      <c r="Y1029" s="270">
        <v>20</v>
      </c>
      <c r="Z1029" s="45" t="b">
        <v>1</v>
      </c>
      <c r="AA1029" s="45" t="s">
        <v>38</v>
      </c>
      <c r="AB1029" s="45" t="s">
        <v>38</v>
      </c>
    </row>
    <row r="1030" spans="1:28" x14ac:dyDescent="0.2">
      <c r="A1030" s="96" t="s">
        <v>89</v>
      </c>
      <c r="B1030" s="96" t="s">
        <v>89</v>
      </c>
      <c r="C1030" s="277">
        <v>44521</v>
      </c>
      <c r="D1030" s="277">
        <v>44550</v>
      </c>
      <c r="E1030" s="270" t="s">
        <v>267</v>
      </c>
      <c r="F1030" s="133" t="s">
        <v>41</v>
      </c>
      <c r="G1030" s="96" t="s">
        <v>35</v>
      </c>
      <c r="H1030" s="272" t="s">
        <v>45</v>
      </c>
      <c r="I1030" s="273">
        <v>0.25</v>
      </c>
      <c r="J1030" s="270">
        <v>2</v>
      </c>
      <c r="K1030" s="270">
        <f t="shared" si="0"/>
        <v>0.5</v>
      </c>
      <c r="L1030" s="270"/>
      <c r="M1030" s="270">
        <v>-0.5</v>
      </c>
      <c r="N1030" s="274"/>
      <c r="O1030" s="55"/>
      <c r="P1030" s="96"/>
      <c r="Q1030" s="270"/>
      <c r="R1030" s="275">
        <v>0</v>
      </c>
      <c r="S1030" s="270"/>
      <c r="T1030" s="270">
        <v>-1</v>
      </c>
      <c r="U1030" s="57">
        <v>1</v>
      </c>
      <c r="V1030" s="276">
        <v>0.22</v>
      </c>
      <c r="W1030" s="276">
        <v>0</v>
      </c>
      <c r="X1030" s="270">
        <v>0</v>
      </c>
      <c r="Y1030" s="270">
        <v>0</v>
      </c>
      <c r="Z1030" s="45" t="b">
        <v>1</v>
      </c>
      <c r="AA1030" s="45" t="s">
        <v>38</v>
      </c>
      <c r="AB1030" s="45" t="s">
        <v>38</v>
      </c>
    </row>
    <row r="1031" spans="1:28" x14ac:dyDescent="0.2">
      <c r="A1031" s="96" t="s">
        <v>145</v>
      </c>
      <c r="B1031" s="96" t="s">
        <v>145</v>
      </c>
      <c r="C1031" s="277">
        <v>44531</v>
      </c>
      <c r="D1031" s="277">
        <v>44550</v>
      </c>
      <c r="E1031" s="279" t="s">
        <v>267</v>
      </c>
      <c r="F1031" s="133" t="s">
        <v>49</v>
      </c>
      <c r="G1031" s="279" t="s">
        <v>35</v>
      </c>
      <c r="H1031" s="272" t="s">
        <v>70</v>
      </c>
      <c r="I1031" s="273">
        <v>100</v>
      </c>
      <c r="J1031" s="270">
        <v>28</v>
      </c>
      <c r="K1031" s="270">
        <f t="shared" si="0"/>
        <v>2800</v>
      </c>
      <c r="L1031" s="270">
        <v>477</v>
      </c>
      <c r="M1031" s="270">
        <v>800</v>
      </c>
      <c r="N1031" s="274"/>
      <c r="O1031" s="55"/>
      <c r="P1031" s="96"/>
      <c r="Q1031" s="270">
        <v>-62</v>
      </c>
      <c r="R1031" s="275">
        <v>5.2839999999999996E-3</v>
      </c>
      <c r="S1031" s="270">
        <v>-47</v>
      </c>
      <c r="T1031" s="270">
        <v>-47</v>
      </c>
      <c r="U1031" s="57">
        <v>1</v>
      </c>
      <c r="V1031" s="276">
        <v>0.12</v>
      </c>
      <c r="W1031" s="276">
        <v>0</v>
      </c>
      <c r="X1031" s="270">
        <v>-41</v>
      </c>
      <c r="Y1031" s="270">
        <v>-6</v>
      </c>
      <c r="Z1031" s="45" t="b">
        <v>1</v>
      </c>
      <c r="AA1031" s="45" t="s">
        <v>38</v>
      </c>
      <c r="AB1031" s="45" t="s">
        <v>38</v>
      </c>
    </row>
    <row r="1032" spans="1:28" x14ac:dyDescent="0.2">
      <c r="A1032" s="279" t="s">
        <v>395</v>
      </c>
      <c r="B1032" s="279" t="s">
        <v>395</v>
      </c>
      <c r="C1032" s="282">
        <v>44521</v>
      </c>
      <c r="D1032" s="282">
        <v>44550</v>
      </c>
      <c r="E1032" s="279" t="s">
        <v>267</v>
      </c>
      <c r="F1032" s="133" t="s">
        <v>34</v>
      </c>
      <c r="G1032" s="279" t="s">
        <v>61</v>
      </c>
      <c r="H1032" s="272" t="s">
        <v>111</v>
      </c>
      <c r="I1032" s="280">
        <v>50</v>
      </c>
      <c r="J1032" s="279">
        <v>323</v>
      </c>
      <c r="K1032" s="270">
        <f t="shared" si="0"/>
        <v>16150</v>
      </c>
      <c r="L1032" s="279">
        <v>8314</v>
      </c>
      <c r="M1032" s="279">
        <v>-1974</v>
      </c>
      <c r="N1032" s="281">
        <v>5473.86</v>
      </c>
      <c r="O1032" s="55"/>
      <c r="P1032" s="105">
        <v>5474</v>
      </c>
      <c r="Q1032" s="279">
        <v>-575</v>
      </c>
      <c r="R1032" s="275">
        <v>-1.5200000000000001E-3</v>
      </c>
      <c r="S1032" s="279">
        <v>-599</v>
      </c>
      <c r="T1032" s="279">
        <v>4874</v>
      </c>
      <c r="U1032" s="57">
        <v>1</v>
      </c>
      <c r="V1032" s="276">
        <v>0.19</v>
      </c>
      <c r="W1032" s="276">
        <v>0</v>
      </c>
      <c r="X1032" s="279">
        <v>3948</v>
      </c>
      <c r="Y1032" s="279">
        <v>926</v>
      </c>
      <c r="Z1032" s="45" t="b">
        <v>1</v>
      </c>
      <c r="AA1032" s="45" t="s">
        <v>50</v>
      </c>
      <c r="AB1032" s="45" t="s">
        <v>50</v>
      </c>
    </row>
    <row r="1033" spans="1:28" x14ac:dyDescent="0.2">
      <c r="A1033" s="279" t="s">
        <v>395</v>
      </c>
      <c r="B1033" s="279" t="s">
        <v>395</v>
      </c>
      <c r="C1033" s="282">
        <v>44521</v>
      </c>
      <c r="D1033" s="282">
        <v>44550</v>
      </c>
      <c r="E1033" s="279" t="s">
        <v>267</v>
      </c>
      <c r="F1033" s="133" t="s">
        <v>34</v>
      </c>
      <c r="G1033" s="279" t="s">
        <v>61</v>
      </c>
      <c r="H1033" s="272" t="s">
        <v>59</v>
      </c>
      <c r="I1033" s="280">
        <v>100</v>
      </c>
      <c r="J1033" s="279">
        <v>455</v>
      </c>
      <c r="K1033" s="270">
        <f t="shared" si="0"/>
        <v>45500</v>
      </c>
      <c r="L1033" s="279">
        <v>29994</v>
      </c>
      <c r="M1033" s="279">
        <v>226</v>
      </c>
      <c r="N1033" s="281">
        <v>221.18</v>
      </c>
      <c r="O1033" s="55"/>
      <c r="P1033" s="45">
        <v>221</v>
      </c>
      <c r="Q1033" s="279">
        <v>1505</v>
      </c>
      <c r="R1033" s="275">
        <v>-1.5200000000000001E-3</v>
      </c>
      <c r="S1033" s="279">
        <v>1436</v>
      </c>
      <c r="T1033" s="279">
        <v>1657</v>
      </c>
      <c r="U1033" s="57">
        <v>1</v>
      </c>
      <c r="V1033" s="276">
        <v>0.19</v>
      </c>
      <c r="W1033" s="276">
        <v>0</v>
      </c>
      <c r="X1033" s="279">
        <v>1342</v>
      </c>
      <c r="Y1033" s="279">
        <v>315</v>
      </c>
      <c r="Z1033" s="45" t="b">
        <v>1</v>
      </c>
      <c r="AA1033" s="45" t="s">
        <v>50</v>
      </c>
      <c r="AB1033" s="45" t="s">
        <v>50</v>
      </c>
    </row>
    <row r="1034" spans="1:28" x14ac:dyDescent="0.2">
      <c r="A1034" s="279" t="s">
        <v>395</v>
      </c>
      <c r="B1034" s="279" t="s">
        <v>395</v>
      </c>
      <c r="C1034" s="282">
        <v>44521</v>
      </c>
      <c r="D1034" s="282">
        <v>44550</v>
      </c>
      <c r="E1034" s="279" t="s">
        <v>267</v>
      </c>
      <c r="F1034" s="133" t="s">
        <v>34</v>
      </c>
      <c r="G1034" s="279" t="s">
        <v>61</v>
      </c>
      <c r="H1034" s="272" t="s">
        <v>996</v>
      </c>
      <c r="I1034" s="280">
        <v>250</v>
      </c>
      <c r="J1034" s="279">
        <v>175</v>
      </c>
      <c r="K1034" s="270">
        <f t="shared" si="0"/>
        <v>43750</v>
      </c>
      <c r="L1034" s="279">
        <v>2686</v>
      </c>
      <c r="M1034" s="279">
        <v>-5922</v>
      </c>
      <c r="N1034" s="281">
        <v>0</v>
      </c>
      <c r="O1034" s="55"/>
      <c r="P1034" s="45">
        <v>0</v>
      </c>
      <c r="Q1034" s="279">
        <v>-2102</v>
      </c>
      <c r="R1034" s="275">
        <v>-1.5200000000000001E-3</v>
      </c>
      <c r="S1034" s="279">
        <v>-2168</v>
      </c>
      <c r="T1034" s="279">
        <v>-2168</v>
      </c>
      <c r="U1034" s="57">
        <v>1</v>
      </c>
      <c r="V1034" s="276">
        <v>0.19</v>
      </c>
      <c r="W1034" s="276">
        <v>0</v>
      </c>
      <c r="X1034" s="279">
        <v>-1756</v>
      </c>
      <c r="Y1034" s="279">
        <v>-412</v>
      </c>
      <c r="Z1034" s="45" t="b">
        <v>1</v>
      </c>
      <c r="AA1034" s="45" t="s">
        <v>50</v>
      </c>
      <c r="AB1034" s="45" t="s">
        <v>50</v>
      </c>
    </row>
    <row r="1035" spans="1:28" x14ac:dyDescent="0.2">
      <c r="A1035" s="279" t="s">
        <v>395</v>
      </c>
      <c r="B1035" s="279" t="s">
        <v>395</v>
      </c>
      <c r="C1035" s="282">
        <v>44521</v>
      </c>
      <c r="D1035" s="282">
        <v>44550</v>
      </c>
      <c r="E1035" s="279" t="s">
        <v>267</v>
      </c>
      <c r="F1035" s="133" t="s">
        <v>34</v>
      </c>
      <c r="G1035" s="279" t="s">
        <v>61</v>
      </c>
      <c r="H1035" s="272" t="s">
        <v>997</v>
      </c>
      <c r="I1035" s="280">
        <v>500</v>
      </c>
      <c r="J1035" s="279">
        <v>75</v>
      </c>
      <c r="K1035" s="270">
        <f t="shared" si="0"/>
        <v>37500</v>
      </c>
      <c r="L1035" s="279">
        <v>1471</v>
      </c>
      <c r="M1035" s="279">
        <v>-7896</v>
      </c>
      <c r="N1035" s="281">
        <v>606.44000000000005</v>
      </c>
      <c r="O1035" s="55"/>
      <c r="P1035" s="45">
        <v>606</v>
      </c>
      <c r="Q1035" s="279">
        <v>-1631</v>
      </c>
      <c r="R1035" s="275">
        <v>-1.5200000000000001E-3</v>
      </c>
      <c r="S1035" s="279">
        <v>-1688</v>
      </c>
      <c r="T1035" s="279">
        <v>-1082</v>
      </c>
      <c r="U1035" s="57">
        <v>1</v>
      </c>
      <c r="V1035" s="276">
        <v>0.19</v>
      </c>
      <c r="W1035" s="276">
        <v>0</v>
      </c>
      <c r="X1035" s="279">
        <v>-876</v>
      </c>
      <c r="Y1035" s="279">
        <v>-205</v>
      </c>
      <c r="Z1035" s="45" t="b">
        <v>1</v>
      </c>
      <c r="AA1035" s="45" t="s">
        <v>50</v>
      </c>
      <c r="AB1035" s="45" t="s">
        <v>50</v>
      </c>
    </row>
    <row r="1036" spans="1:28" x14ac:dyDescent="0.2">
      <c r="A1036" s="279" t="s">
        <v>395</v>
      </c>
      <c r="B1036" s="279" t="s">
        <v>395</v>
      </c>
      <c r="C1036" s="282">
        <v>44521</v>
      </c>
      <c r="D1036" s="282">
        <v>44550</v>
      </c>
      <c r="E1036" s="279" t="s">
        <v>267</v>
      </c>
      <c r="F1036" s="133" t="s">
        <v>34</v>
      </c>
      <c r="G1036" s="279" t="s">
        <v>61</v>
      </c>
      <c r="H1036" s="272" t="s">
        <v>998</v>
      </c>
      <c r="I1036" s="280">
        <v>500</v>
      </c>
      <c r="J1036" s="279">
        <v>6</v>
      </c>
      <c r="K1036" s="270">
        <f t="shared" si="0"/>
        <v>3000</v>
      </c>
      <c r="L1036" s="279">
        <v>-100</v>
      </c>
      <c r="M1036" s="279">
        <v>-564</v>
      </c>
      <c r="N1036" s="281">
        <v>48.52</v>
      </c>
      <c r="O1036" s="55"/>
      <c r="P1036" s="45">
        <v>49</v>
      </c>
      <c r="Q1036" s="279">
        <v>-390</v>
      </c>
      <c r="R1036" s="275">
        <v>-1.5200000000000001E-3</v>
      </c>
      <c r="S1036" s="279">
        <v>-395</v>
      </c>
      <c r="T1036" s="279">
        <v>-346</v>
      </c>
      <c r="U1036" s="57">
        <v>1</v>
      </c>
      <c r="V1036" s="276">
        <v>0.19</v>
      </c>
      <c r="W1036" s="276">
        <v>0</v>
      </c>
      <c r="X1036" s="279">
        <v>-281</v>
      </c>
      <c r="Y1036" s="279">
        <v>-66</v>
      </c>
      <c r="Z1036" s="45" t="b">
        <v>1</v>
      </c>
      <c r="AA1036" s="45" t="s">
        <v>50</v>
      </c>
      <c r="AB1036" s="45" t="s">
        <v>50</v>
      </c>
    </row>
    <row r="1037" spans="1:28" x14ac:dyDescent="0.2">
      <c r="A1037" s="96" t="s">
        <v>402</v>
      </c>
      <c r="B1037" s="96" t="s">
        <v>402</v>
      </c>
      <c r="C1037" s="277">
        <v>44521</v>
      </c>
      <c r="D1037" s="277">
        <v>44550</v>
      </c>
      <c r="E1037" s="270" t="s">
        <v>267</v>
      </c>
      <c r="F1037" s="133" t="s">
        <v>34</v>
      </c>
      <c r="G1037" s="96" t="s">
        <v>165</v>
      </c>
      <c r="H1037" s="272" t="s">
        <v>166</v>
      </c>
      <c r="I1037" s="273">
        <v>10</v>
      </c>
      <c r="J1037" s="270">
        <v>2337</v>
      </c>
      <c r="K1037" s="270">
        <f t="shared" si="0"/>
        <v>23370</v>
      </c>
      <c r="L1037" s="270">
        <v>134230</v>
      </c>
      <c r="M1037" s="270">
        <v>540</v>
      </c>
      <c r="N1037" s="274"/>
      <c r="O1037" s="55"/>
      <c r="P1037" s="96"/>
      <c r="Q1037" s="270">
        <v>699</v>
      </c>
      <c r="R1037" s="275">
        <v>-1.5200000000000001E-3</v>
      </c>
      <c r="S1037" s="270">
        <v>664</v>
      </c>
      <c r="T1037" s="270">
        <v>664</v>
      </c>
      <c r="U1037" s="57">
        <v>1.1279999999999999</v>
      </c>
      <c r="V1037" s="276">
        <v>0.25</v>
      </c>
      <c r="W1037" s="276">
        <v>0</v>
      </c>
      <c r="X1037" s="270">
        <v>562</v>
      </c>
      <c r="Y1037" s="270">
        <v>187</v>
      </c>
      <c r="Z1037" s="45" t="b">
        <v>1</v>
      </c>
      <c r="AA1037" s="45" t="s">
        <v>38</v>
      </c>
      <c r="AB1037" s="45" t="s">
        <v>50</v>
      </c>
    </row>
    <row r="1038" spans="1:28" x14ac:dyDescent="0.2">
      <c r="A1038" s="96" t="s">
        <v>402</v>
      </c>
      <c r="B1038" s="96" t="s">
        <v>402</v>
      </c>
      <c r="C1038" s="277">
        <v>44521</v>
      </c>
      <c r="D1038" s="277">
        <v>44550</v>
      </c>
      <c r="E1038" s="270" t="s">
        <v>267</v>
      </c>
      <c r="F1038" s="133" t="s">
        <v>34</v>
      </c>
      <c r="G1038" s="96" t="s">
        <v>165</v>
      </c>
      <c r="H1038" s="272" t="s">
        <v>167</v>
      </c>
      <c r="I1038" s="273">
        <v>25</v>
      </c>
      <c r="J1038" s="270">
        <v>463</v>
      </c>
      <c r="K1038" s="270">
        <f t="shared" si="0"/>
        <v>11575</v>
      </c>
      <c r="L1038" s="270">
        <v>32405</v>
      </c>
      <c r="M1038" s="270">
        <v>950</v>
      </c>
      <c r="N1038" s="274"/>
      <c r="O1038" s="55"/>
      <c r="P1038" s="96"/>
      <c r="Q1038" s="270">
        <v>613</v>
      </c>
      <c r="R1038" s="275">
        <v>-1.5200000000000001E-3</v>
      </c>
      <c r="S1038" s="270">
        <v>595</v>
      </c>
      <c r="T1038" s="270">
        <v>595</v>
      </c>
      <c r="U1038" s="57">
        <v>1.1279999999999999</v>
      </c>
      <c r="V1038" s="276">
        <v>0.25</v>
      </c>
      <c r="W1038" s="276">
        <v>0</v>
      </c>
      <c r="X1038" s="270">
        <v>503</v>
      </c>
      <c r="Y1038" s="270">
        <v>168</v>
      </c>
      <c r="Z1038" s="45" t="b">
        <v>1</v>
      </c>
      <c r="AA1038" s="45" t="s">
        <v>38</v>
      </c>
      <c r="AB1038" s="45" t="s">
        <v>50</v>
      </c>
    </row>
    <row r="1039" spans="1:28" x14ac:dyDescent="0.2">
      <c r="A1039" s="96" t="s">
        <v>402</v>
      </c>
      <c r="B1039" s="96" t="s">
        <v>163</v>
      </c>
      <c r="C1039" s="277">
        <v>44521</v>
      </c>
      <c r="D1039" s="277">
        <v>44550</v>
      </c>
      <c r="E1039" s="270" t="s">
        <v>267</v>
      </c>
      <c r="F1039" s="133" t="s">
        <v>34</v>
      </c>
      <c r="G1039" s="270" t="s">
        <v>35</v>
      </c>
      <c r="H1039" s="272" t="s">
        <v>40</v>
      </c>
      <c r="I1039" s="273">
        <v>10</v>
      </c>
      <c r="J1039" s="270">
        <v>486</v>
      </c>
      <c r="K1039" s="270">
        <f t="shared" si="0"/>
        <v>4860</v>
      </c>
      <c r="L1039" s="270">
        <v>19928</v>
      </c>
      <c r="M1039" s="270">
        <v>-60</v>
      </c>
      <c r="N1039" s="274">
        <v>60</v>
      </c>
      <c r="O1039" s="55"/>
      <c r="P1039" s="45">
        <v>60</v>
      </c>
      <c r="Q1039" s="270">
        <v>69</v>
      </c>
      <c r="R1039" s="275">
        <v>-1.5200000000000001E-3</v>
      </c>
      <c r="S1039" s="270">
        <v>62</v>
      </c>
      <c r="T1039" s="270">
        <v>122</v>
      </c>
      <c r="U1039" s="57">
        <v>1</v>
      </c>
      <c r="V1039" s="276">
        <v>0.25</v>
      </c>
      <c r="W1039" s="276">
        <v>0</v>
      </c>
      <c r="X1039" s="270">
        <v>91</v>
      </c>
      <c r="Y1039" s="270">
        <v>30</v>
      </c>
      <c r="Z1039" s="45" t="b">
        <v>1</v>
      </c>
      <c r="AA1039" s="45" t="s">
        <v>38</v>
      </c>
      <c r="AB1039" s="45" t="s">
        <v>38</v>
      </c>
    </row>
    <row r="1040" spans="1:28" x14ac:dyDescent="0.2">
      <c r="A1040" s="279" t="s">
        <v>91</v>
      </c>
      <c r="B1040" s="279" t="s">
        <v>91</v>
      </c>
      <c r="C1040" s="287">
        <v>44521</v>
      </c>
      <c r="D1040" s="287">
        <v>44550</v>
      </c>
      <c r="E1040" s="279" t="s">
        <v>267</v>
      </c>
      <c r="F1040" s="96" t="s">
        <v>34</v>
      </c>
      <c r="G1040" s="279" t="s">
        <v>61</v>
      </c>
      <c r="H1040" s="272" t="s">
        <v>65</v>
      </c>
      <c r="I1040" s="280">
        <v>25</v>
      </c>
      <c r="J1040" s="279">
        <v>483</v>
      </c>
      <c r="K1040" s="270">
        <f t="shared" si="0"/>
        <v>12075</v>
      </c>
      <c r="L1040" s="279">
        <v>23119</v>
      </c>
      <c r="M1040" s="279">
        <v>226</v>
      </c>
      <c r="N1040" s="281">
        <v>565</v>
      </c>
      <c r="O1040" s="55"/>
      <c r="P1040" s="45">
        <v>565</v>
      </c>
      <c r="Q1040" s="279">
        <v>67</v>
      </c>
      <c r="R1040" s="275">
        <v>-1.5200000000000001E-3</v>
      </c>
      <c r="S1040" s="279">
        <v>48</v>
      </c>
      <c r="T1040" s="279">
        <v>613</v>
      </c>
      <c r="U1040" s="57">
        <v>1</v>
      </c>
      <c r="V1040" s="276">
        <v>0.3</v>
      </c>
      <c r="W1040" s="276">
        <v>0</v>
      </c>
      <c r="X1040" s="279">
        <v>429</v>
      </c>
      <c r="Y1040" s="279">
        <v>184</v>
      </c>
      <c r="Z1040" s="45" t="b">
        <v>1</v>
      </c>
      <c r="AA1040" s="45" t="s">
        <v>50</v>
      </c>
      <c r="AB1040" s="45" t="s">
        <v>50</v>
      </c>
    </row>
    <row r="1041" spans="1:28" x14ac:dyDescent="0.2">
      <c r="A1041" s="279" t="s">
        <v>447</v>
      </c>
      <c r="B1041" s="279" t="s">
        <v>66</v>
      </c>
      <c r="C1041" s="282">
        <v>44531</v>
      </c>
      <c r="D1041" s="282">
        <v>44550</v>
      </c>
      <c r="E1041" s="279" t="s">
        <v>300</v>
      </c>
      <c r="F1041" s="133" t="s">
        <v>49</v>
      </c>
      <c r="G1041" s="279" t="s">
        <v>61</v>
      </c>
      <c r="H1041" s="272" t="s">
        <v>59</v>
      </c>
      <c r="I1041" s="280">
        <v>100</v>
      </c>
      <c r="J1041" s="279">
        <v>1024</v>
      </c>
      <c r="K1041" s="270">
        <f t="shared" si="0"/>
        <v>102400</v>
      </c>
      <c r="L1041" s="279">
        <v>39112</v>
      </c>
      <c r="M1041" s="279">
        <v>200</v>
      </c>
      <c r="N1041" s="281">
        <v>3600</v>
      </c>
      <c r="O1041" s="55"/>
      <c r="P1041" s="105">
        <v>3600</v>
      </c>
      <c r="Q1041" s="279">
        <v>-1973</v>
      </c>
      <c r="R1041" s="275">
        <v>-4.3689999999999996E-3</v>
      </c>
      <c r="S1041" s="279">
        <v>-2420</v>
      </c>
      <c r="T1041" s="279">
        <v>1180</v>
      </c>
      <c r="U1041" s="57">
        <v>1</v>
      </c>
      <c r="V1041" s="276">
        <v>0.15</v>
      </c>
      <c r="W1041" s="276">
        <v>0.1</v>
      </c>
      <c r="X1041" s="279">
        <v>885</v>
      </c>
      <c r="Y1041" s="279">
        <v>295</v>
      </c>
      <c r="Z1041" s="45" t="b">
        <v>1</v>
      </c>
      <c r="AA1041" s="45" t="s">
        <v>50</v>
      </c>
      <c r="AB1041" s="45" t="s">
        <v>50</v>
      </c>
    </row>
    <row r="1042" spans="1:28" x14ac:dyDescent="0.2">
      <c r="A1042" s="279" t="s">
        <v>456</v>
      </c>
      <c r="B1042" s="279" t="s">
        <v>110</v>
      </c>
      <c r="C1042" s="282">
        <v>44531</v>
      </c>
      <c r="D1042" s="282">
        <v>44550</v>
      </c>
      <c r="E1042" s="279" t="s">
        <v>267</v>
      </c>
      <c r="F1042" s="133" t="s">
        <v>49</v>
      </c>
      <c r="G1042" s="279" t="s">
        <v>61</v>
      </c>
      <c r="H1042" s="272" t="s">
        <v>126</v>
      </c>
      <c r="I1042" s="280">
        <v>5</v>
      </c>
      <c r="J1042" s="279">
        <v>1</v>
      </c>
      <c r="K1042" s="270">
        <f t="shared" si="0"/>
        <v>5</v>
      </c>
      <c r="L1042" s="279">
        <v>-387</v>
      </c>
      <c r="M1042" s="279">
        <v>-5</v>
      </c>
      <c r="N1042" s="281">
        <v>5.23</v>
      </c>
      <c r="O1042" s="55"/>
      <c r="P1042" s="45">
        <v>5</v>
      </c>
      <c r="Q1042" s="279">
        <v>-4</v>
      </c>
      <c r="R1042" s="275">
        <v>-1.1077999999999999E-2</v>
      </c>
      <c r="S1042" s="279">
        <v>-4</v>
      </c>
      <c r="T1042" s="279">
        <v>1</v>
      </c>
      <c r="U1042" s="57">
        <v>1</v>
      </c>
      <c r="V1042" s="276">
        <v>0.17</v>
      </c>
      <c r="W1042" s="276">
        <v>0</v>
      </c>
      <c r="X1042" s="279">
        <v>1</v>
      </c>
      <c r="Y1042" s="279">
        <v>0</v>
      </c>
      <c r="Z1042" s="45" t="b">
        <v>1</v>
      </c>
      <c r="AA1042" s="45" t="s">
        <v>50</v>
      </c>
      <c r="AB1042" s="45" t="s">
        <v>50</v>
      </c>
    </row>
    <row r="1043" spans="1:28" x14ac:dyDescent="0.2">
      <c r="A1043" s="279" t="s">
        <v>456</v>
      </c>
      <c r="B1043" s="279" t="s">
        <v>110</v>
      </c>
      <c r="C1043" s="282">
        <v>44531</v>
      </c>
      <c r="D1043" s="282">
        <v>44550</v>
      </c>
      <c r="E1043" s="279" t="s">
        <v>267</v>
      </c>
      <c r="F1043" s="133" t="s">
        <v>49</v>
      </c>
      <c r="G1043" s="279" t="s">
        <v>61</v>
      </c>
      <c r="H1043" s="272" t="s">
        <v>64</v>
      </c>
      <c r="I1043" s="280">
        <v>10</v>
      </c>
      <c r="J1043" s="279">
        <v>697</v>
      </c>
      <c r="K1043" s="270">
        <f t="shared" si="0"/>
        <v>6970</v>
      </c>
      <c r="L1043" s="279">
        <v>49432</v>
      </c>
      <c r="M1043" s="279">
        <v>-120</v>
      </c>
      <c r="N1043" s="281">
        <v>104.77</v>
      </c>
      <c r="O1043" s="55"/>
      <c r="P1043" s="45">
        <v>105</v>
      </c>
      <c r="Q1043" s="279">
        <v>265</v>
      </c>
      <c r="R1043" s="275">
        <v>-4.5110000000000003E-3</v>
      </c>
      <c r="S1043" s="279">
        <v>234</v>
      </c>
      <c r="T1043" s="279">
        <v>339</v>
      </c>
      <c r="U1043" s="57">
        <v>1</v>
      </c>
      <c r="V1043" s="276">
        <v>0.17</v>
      </c>
      <c r="W1043" s="276">
        <v>0</v>
      </c>
      <c r="X1043" s="279">
        <v>281</v>
      </c>
      <c r="Y1043" s="279">
        <v>58</v>
      </c>
      <c r="Z1043" s="45" t="b">
        <v>1</v>
      </c>
      <c r="AA1043" s="45" t="s">
        <v>50</v>
      </c>
      <c r="AB1043" s="45" t="s">
        <v>50</v>
      </c>
    </row>
    <row r="1044" spans="1:28" x14ac:dyDescent="0.2">
      <c r="A1044" s="279" t="s">
        <v>456</v>
      </c>
      <c r="B1044" s="279" t="s">
        <v>110</v>
      </c>
      <c r="C1044" s="282">
        <v>44531</v>
      </c>
      <c r="D1044" s="282">
        <v>44550</v>
      </c>
      <c r="E1044" s="279" t="s">
        <v>267</v>
      </c>
      <c r="F1044" s="133" t="s">
        <v>49</v>
      </c>
      <c r="G1044" s="279" t="s">
        <v>61</v>
      </c>
      <c r="H1044" s="272" t="s">
        <v>65</v>
      </c>
      <c r="I1044" s="280">
        <v>25</v>
      </c>
      <c r="J1044" s="279">
        <v>442</v>
      </c>
      <c r="K1044" s="270">
        <f t="shared" si="0"/>
        <v>11050</v>
      </c>
      <c r="L1044" s="279">
        <v>32612</v>
      </c>
      <c r="M1044" s="279">
        <v>-1050</v>
      </c>
      <c r="N1044" s="281">
        <v>0</v>
      </c>
      <c r="O1044" s="55"/>
      <c r="P1044" s="45">
        <v>0</v>
      </c>
      <c r="Q1044" s="279">
        <v>478</v>
      </c>
      <c r="R1044" s="275">
        <v>-4.6090000000000002E-3</v>
      </c>
      <c r="S1044" s="279">
        <v>427</v>
      </c>
      <c r="T1044" s="279">
        <v>427</v>
      </c>
      <c r="U1044" s="57">
        <v>1</v>
      </c>
      <c r="V1044" s="276">
        <v>0.17</v>
      </c>
      <c r="W1044" s="276">
        <v>0</v>
      </c>
      <c r="X1044" s="279">
        <v>354</v>
      </c>
      <c r="Y1044" s="279">
        <v>73</v>
      </c>
      <c r="Z1044" s="45" t="b">
        <v>1</v>
      </c>
      <c r="AA1044" s="45" t="s">
        <v>50</v>
      </c>
      <c r="AB1044" s="45" t="s">
        <v>50</v>
      </c>
    </row>
    <row r="1045" spans="1:28" x14ac:dyDescent="0.2">
      <c r="A1045" s="96" t="s">
        <v>473</v>
      </c>
      <c r="B1045" s="270" t="s">
        <v>120</v>
      </c>
      <c r="C1045" s="277">
        <v>44521</v>
      </c>
      <c r="D1045" s="277">
        <v>44550</v>
      </c>
      <c r="E1045" s="270" t="s">
        <v>267</v>
      </c>
      <c r="F1045" s="96" t="s">
        <v>34</v>
      </c>
      <c r="G1045" s="270" t="s">
        <v>35</v>
      </c>
      <c r="H1045" s="272" t="s">
        <v>39</v>
      </c>
      <c r="I1045" s="280">
        <v>5</v>
      </c>
      <c r="J1045" s="279">
        <v>28</v>
      </c>
      <c r="K1045" s="270">
        <f t="shared" si="0"/>
        <v>140</v>
      </c>
      <c r="L1045" s="279">
        <v>846</v>
      </c>
      <c r="M1045" s="279">
        <v>50</v>
      </c>
      <c r="N1045" s="274">
        <v>4</v>
      </c>
      <c r="O1045" s="55"/>
      <c r="P1045" s="45">
        <v>4</v>
      </c>
      <c r="Q1045" s="279">
        <v>-5</v>
      </c>
      <c r="R1045" s="275">
        <v>-1.5200000000000001E-3</v>
      </c>
      <c r="S1045" s="279">
        <v>-5</v>
      </c>
      <c r="T1045" s="279">
        <v>-1</v>
      </c>
      <c r="U1045" s="57">
        <v>1</v>
      </c>
      <c r="V1045" s="276">
        <v>0.3</v>
      </c>
      <c r="W1045" s="276">
        <v>0</v>
      </c>
      <c r="X1045" s="279">
        <v>-1</v>
      </c>
      <c r="Y1045" s="279">
        <v>0</v>
      </c>
      <c r="Z1045" s="45" t="b">
        <v>1</v>
      </c>
      <c r="AA1045" s="45" t="s">
        <v>38</v>
      </c>
      <c r="AB1045" s="45" t="s">
        <v>38</v>
      </c>
    </row>
    <row r="1046" spans="1:28" x14ac:dyDescent="0.2">
      <c r="A1046" s="96" t="s">
        <v>473</v>
      </c>
      <c r="B1046" s="270" t="s">
        <v>120</v>
      </c>
      <c r="C1046" s="277">
        <v>44521</v>
      </c>
      <c r="D1046" s="277">
        <v>44550</v>
      </c>
      <c r="E1046" s="270" t="s">
        <v>267</v>
      </c>
      <c r="F1046" s="96" t="s">
        <v>34</v>
      </c>
      <c r="G1046" s="270" t="s">
        <v>35</v>
      </c>
      <c r="H1046" s="272" t="s">
        <v>40</v>
      </c>
      <c r="I1046" s="280">
        <v>10</v>
      </c>
      <c r="J1046" s="279">
        <v>1659</v>
      </c>
      <c r="K1046" s="270">
        <f t="shared" si="0"/>
        <v>16590</v>
      </c>
      <c r="L1046" s="279">
        <v>70016</v>
      </c>
      <c r="M1046" s="279">
        <v>90</v>
      </c>
      <c r="N1046" s="274">
        <v>321</v>
      </c>
      <c r="O1046" s="55"/>
      <c r="P1046" s="45">
        <v>321</v>
      </c>
      <c r="Q1046" s="279">
        <v>57</v>
      </c>
      <c r="R1046" s="275">
        <v>-1.5200000000000001E-3</v>
      </c>
      <c r="S1046" s="279">
        <v>31</v>
      </c>
      <c r="T1046" s="279">
        <v>352</v>
      </c>
      <c r="U1046" s="57">
        <v>1</v>
      </c>
      <c r="V1046" s="276">
        <v>0.3</v>
      </c>
      <c r="W1046" s="276">
        <v>0</v>
      </c>
      <c r="X1046" s="279">
        <v>247</v>
      </c>
      <c r="Y1046" s="279">
        <v>106</v>
      </c>
      <c r="Z1046" s="45" t="b">
        <v>1</v>
      </c>
      <c r="AA1046" s="45" t="s">
        <v>38</v>
      </c>
      <c r="AB1046" s="45" t="s">
        <v>38</v>
      </c>
    </row>
    <row r="1047" spans="1:28" x14ac:dyDescent="0.2">
      <c r="A1047" s="96" t="s">
        <v>175</v>
      </c>
      <c r="B1047" s="96" t="s">
        <v>175</v>
      </c>
      <c r="C1047" s="277">
        <v>44531</v>
      </c>
      <c r="D1047" s="277">
        <v>44550</v>
      </c>
      <c r="E1047" s="279" t="s">
        <v>267</v>
      </c>
      <c r="F1047" s="133" t="s">
        <v>49</v>
      </c>
      <c r="G1047" s="270" t="s">
        <v>35</v>
      </c>
      <c r="H1047" s="272" t="s">
        <v>115</v>
      </c>
      <c r="I1047" s="273">
        <v>10</v>
      </c>
      <c r="J1047" s="270">
        <v>1359</v>
      </c>
      <c r="K1047" s="270">
        <f t="shared" si="0"/>
        <v>13590</v>
      </c>
      <c r="L1047" s="270">
        <v>15763</v>
      </c>
      <c r="M1047" s="270">
        <v>-1100</v>
      </c>
      <c r="N1047" s="274">
        <v>350</v>
      </c>
      <c r="O1047" s="55"/>
      <c r="P1047" s="45">
        <v>350</v>
      </c>
      <c r="Q1047" s="270">
        <v>-524</v>
      </c>
      <c r="R1047" s="275">
        <v>-4.2859999999999999E-3</v>
      </c>
      <c r="S1047" s="270">
        <v>-582</v>
      </c>
      <c r="T1047" s="270">
        <v>-232</v>
      </c>
      <c r="U1047" s="57">
        <v>1</v>
      </c>
      <c r="V1047" s="276">
        <v>0.25</v>
      </c>
      <c r="W1047" s="276">
        <v>0</v>
      </c>
      <c r="X1047" s="270">
        <v>-174</v>
      </c>
      <c r="Y1047" s="270">
        <v>-58</v>
      </c>
      <c r="Z1047" s="45" t="b">
        <v>1</v>
      </c>
      <c r="AA1047" s="45" t="s">
        <v>38</v>
      </c>
      <c r="AB1047" s="45" t="s">
        <v>38</v>
      </c>
    </row>
    <row r="1048" spans="1:28" x14ac:dyDescent="0.2">
      <c r="A1048" s="96" t="s">
        <v>175</v>
      </c>
      <c r="B1048" s="96" t="s">
        <v>175</v>
      </c>
      <c r="C1048" s="277">
        <v>44531</v>
      </c>
      <c r="D1048" s="277">
        <v>44550</v>
      </c>
      <c r="E1048" s="279" t="s">
        <v>267</v>
      </c>
      <c r="F1048" s="133" t="s">
        <v>49</v>
      </c>
      <c r="G1048" s="270" t="s">
        <v>35</v>
      </c>
      <c r="H1048" s="272" t="s">
        <v>40</v>
      </c>
      <c r="I1048" s="273">
        <v>10</v>
      </c>
      <c r="J1048" s="270">
        <v>5</v>
      </c>
      <c r="K1048" s="270">
        <f t="shared" si="0"/>
        <v>50</v>
      </c>
      <c r="L1048" s="270">
        <v>-1027</v>
      </c>
      <c r="M1048" s="270">
        <v>-20</v>
      </c>
      <c r="N1048" s="274">
        <v>1</v>
      </c>
      <c r="O1048" s="55"/>
      <c r="P1048" s="45">
        <v>1</v>
      </c>
      <c r="Q1048" s="270">
        <v>-23</v>
      </c>
      <c r="R1048" s="275">
        <v>-9.2350000000000002E-3</v>
      </c>
      <c r="S1048" s="270">
        <v>-23</v>
      </c>
      <c r="T1048" s="270">
        <v>-22</v>
      </c>
      <c r="U1048" s="57">
        <v>1</v>
      </c>
      <c r="V1048" s="276">
        <v>0.25</v>
      </c>
      <c r="W1048" s="276">
        <v>0</v>
      </c>
      <c r="X1048" s="270">
        <v>-17</v>
      </c>
      <c r="Y1048" s="270">
        <v>-6</v>
      </c>
      <c r="Z1048" s="45" t="b">
        <v>1</v>
      </c>
      <c r="AA1048" s="45" t="s">
        <v>38</v>
      </c>
      <c r="AB1048" s="45" t="s">
        <v>38</v>
      </c>
    </row>
    <row r="1049" spans="1:28" x14ac:dyDescent="0.2">
      <c r="A1049" s="96" t="s">
        <v>175</v>
      </c>
      <c r="B1049" s="96" t="s">
        <v>175</v>
      </c>
      <c r="C1049" s="277">
        <v>44531</v>
      </c>
      <c r="D1049" s="277">
        <v>44550</v>
      </c>
      <c r="E1049" s="279" t="s">
        <v>267</v>
      </c>
      <c r="F1049" s="133" t="s">
        <v>49</v>
      </c>
      <c r="G1049" s="270" t="s">
        <v>35</v>
      </c>
      <c r="H1049" s="272" t="s">
        <v>72</v>
      </c>
      <c r="I1049" s="273">
        <v>50</v>
      </c>
      <c r="J1049" s="270">
        <v>60</v>
      </c>
      <c r="K1049" s="270">
        <f t="shared" si="0"/>
        <v>3000</v>
      </c>
      <c r="L1049" s="288">
        <v>2002</v>
      </c>
      <c r="M1049" s="288">
        <v>700</v>
      </c>
      <c r="N1049" s="274">
        <v>66</v>
      </c>
      <c r="O1049" s="55"/>
      <c r="P1049" s="45">
        <v>66</v>
      </c>
      <c r="Q1049" s="288">
        <v>-6</v>
      </c>
      <c r="R1049" s="275">
        <v>-4.5380000000000004E-3</v>
      </c>
      <c r="S1049" s="288">
        <v>-20</v>
      </c>
      <c r="T1049" s="288">
        <v>46</v>
      </c>
      <c r="U1049" s="57">
        <v>1</v>
      </c>
      <c r="V1049" s="276">
        <v>0.25</v>
      </c>
      <c r="W1049" s="276">
        <v>0</v>
      </c>
      <c r="X1049" s="288">
        <v>35</v>
      </c>
      <c r="Y1049" s="288">
        <v>12</v>
      </c>
      <c r="Z1049" s="45" t="b">
        <v>1</v>
      </c>
      <c r="AA1049" s="45" t="s">
        <v>38</v>
      </c>
      <c r="AB1049" s="45" t="s">
        <v>38</v>
      </c>
    </row>
    <row r="1050" spans="1:28" x14ac:dyDescent="0.2">
      <c r="A1050" s="96" t="s">
        <v>175</v>
      </c>
      <c r="B1050" s="96" t="s">
        <v>175</v>
      </c>
      <c r="C1050" s="277">
        <v>44531</v>
      </c>
      <c r="D1050" s="277">
        <v>44550</v>
      </c>
      <c r="E1050" s="279" t="s">
        <v>267</v>
      </c>
      <c r="F1050" s="133" t="s">
        <v>49</v>
      </c>
      <c r="G1050" s="270" t="s">
        <v>35</v>
      </c>
      <c r="H1050" s="272" t="s">
        <v>46</v>
      </c>
      <c r="I1050" s="273">
        <v>25</v>
      </c>
      <c r="J1050" s="270">
        <v>730</v>
      </c>
      <c r="K1050" s="270">
        <f t="shared" si="0"/>
        <v>18250</v>
      </c>
      <c r="L1050" s="288">
        <v>31388</v>
      </c>
      <c r="M1050" s="288">
        <v>1375</v>
      </c>
      <c r="N1050" s="274">
        <v>404</v>
      </c>
      <c r="O1050" s="55"/>
      <c r="P1050" s="45">
        <v>404</v>
      </c>
      <c r="Q1050" s="288">
        <v>287</v>
      </c>
      <c r="R1050" s="275">
        <v>-4.5519999999999996E-3</v>
      </c>
      <c r="S1050" s="288">
        <v>204</v>
      </c>
      <c r="T1050" s="288">
        <v>608</v>
      </c>
      <c r="U1050" s="57">
        <v>1</v>
      </c>
      <c r="V1050" s="276">
        <v>0.25</v>
      </c>
      <c r="W1050" s="276">
        <v>0</v>
      </c>
      <c r="X1050" s="288">
        <v>456</v>
      </c>
      <c r="Y1050" s="288">
        <v>152</v>
      </c>
      <c r="Z1050" s="45" t="b">
        <v>1</v>
      </c>
      <c r="AA1050" s="45" t="s">
        <v>38</v>
      </c>
      <c r="AB1050" s="45" t="s">
        <v>38</v>
      </c>
    </row>
    <row r="1051" spans="1:28" x14ac:dyDescent="0.2">
      <c r="A1051" s="96" t="s">
        <v>175</v>
      </c>
      <c r="B1051" s="96" t="s">
        <v>175</v>
      </c>
      <c r="C1051" s="277">
        <v>44531</v>
      </c>
      <c r="D1051" s="277">
        <v>44550</v>
      </c>
      <c r="E1051" s="279" t="s">
        <v>267</v>
      </c>
      <c r="F1051" s="133" t="s">
        <v>41</v>
      </c>
      <c r="G1051" s="270" t="s">
        <v>35</v>
      </c>
      <c r="H1051" s="272" t="s">
        <v>177</v>
      </c>
      <c r="I1051" s="273">
        <v>5</v>
      </c>
      <c r="J1051" s="270">
        <v>24</v>
      </c>
      <c r="K1051" s="270">
        <f t="shared" si="0"/>
        <v>120</v>
      </c>
      <c r="L1051" s="270"/>
      <c r="M1051" s="270">
        <v>-20</v>
      </c>
      <c r="N1051" s="274">
        <v>3</v>
      </c>
      <c r="O1051" s="55"/>
      <c r="P1051" s="45">
        <v>3</v>
      </c>
      <c r="Q1051" s="270"/>
      <c r="R1051" s="275">
        <v>0</v>
      </c>
      <c r="S1051" s="270"/>
      <c r="T1051" s="270">
        <v>-17</v>
      </c>
      <c r="U1051" s="57">
        <v>1</v>
      </c>
      <c r="V1051" s="276">
        <v>0.25</v>
      </c>
      <c r="W1051" s="276">
        <v>0</v>
      </c>
      <c r="X1051" s="270">
        <v>-13</v>
      </c>
      <c r="Y1051" s="270">
        <v>-4</v>
      </c>
      <c r="Z1051" s="45" t="b">
        <v>1</v>
      </c>
      <c r="AA1051" s="45" t="s">
        <v>38</v>
      </c>
      <c r="AB1051" s="45" t="s">
        <v>38</v>
      </c>
    </row>
    <row r="1052" spans="1:28" x14ac:dyDescent="0.2">
      <c r="A1052" s="279" t="s">
        <v>178</v>
      </c>
      <c r="B1052" s="279" t="s">
        <v>1000</v>
      </c>
      <c r="C1052" s="282">
        <v>44521</v>
      </c>
      <c r="D1052" s="282">
        <v>44550</v>
      </c>
      <c r="E1052" s="279" t="s">
        <v>267</v>
      </c>
      <c r="F1052" s="133" t="s">
        <v>34</v>
      </c>
      <c r="G1052" s="279" t="s">
        <v>61</v>
      </c>
      <c r="H1052" s="272" t="s">
        <v>64</v>
      </c>
      <c r="I1052" s="280">
        <v>10</v>
      </c>
      <c r="J1052" s="279">
        <v>1335</v>
      </c>
      <c r="K1052" s="270">
        <f t="shared" si="0"/>
        <v>13350</v>
      </c>
      <c r="L1052" s="279">
        <v>82390</v>
      </c>
      <c r="M1052" s="279">
        <v>11</v>
      </c>
      <c r="N1052" s="281">
        <v>190</v>
      </c>
      <c r="O1052" s="55"/>
      <c r="P1052" s="45">
        <v>190</v>
      </c>
      <c r="Q1052" s="279">
        <v>331</v>
      </c>
      <c r="R1052" s="275">
        <v>-1.5200000000000001E-3</v>
      </c>
      <c r="S1052" s="279">
        <v>310</v>
      </c>
      <c r="T1052" s="279">
        <v>500</v>
      </c>
      <c r="U1052" s="57">
        <v>1</v>
      </c>
      <c r="V1052" s="276">
        <v>0.2</v>
      </c>
      <c r="W1052" s="276">
        <v>0</v>
      </c>
      <c r="X1052" s="279">
        <v>400</v>
      </c>
      <c r="Y1052" s="279">
        <v>100</v>
      </c>
      <c r="Z1052" s="45" t="b">
        <v>1</v>
      </c>
      <c r="AA1052" s="45" t="s">
        <v>50</v>
      </c>
      <c r="AB1052" s="45" t="s">
        <v>50</v>
      </c>
    </row>
    <row r="1053" spans="1:28" x14ac:dyDescent="0.2">
      <c r="A1053" s="96" t="s">
        <v>508</v>
      </c>
      <c r="B1053" s="96" t="s">
        <v>185</v>
      </c>
      <c r="C1053" s="277">
        <v>44521</v>
      </c>
      <c r="D1053" s="277">
        <v>44550</v>
      </c>
      <c r="E1053" s="270" t="s">
        <v>300</v>
      </c>
      <c r="F1053" s="133" t="s">
        <v>34</v>
      </c>
      <c r="G1053" s="270" t="s">
        <v>80</v>
      </c>
      <c r="H1053" s="272" t="s">
        <v>72</v>
      </c>
      <c r="I1053" s="273">
        <v>50</v>
      </c>
      <c r="J1053" s="270">
        <v>9</v>
      </c>
      <c r="K1053" s="270">
        <f t="shared" si="0"/>
        <v>450</v>
      </c>
      <c r="L1053" s="270">
        <v>-519</v>
      </c>
      <c r="M1053" s="270">
        <v>-200</v>
      </c>
      <c r="N1053" s="274">
        <v>27.14</v>
      </c>
      <c r="O1053" s="55"/>
      <c r="P1053" s="45">
        <v>27</v>
      </c>
      <c r="Q1053" s="270">
        <v>-108</v>
      </c>
      <c r="R1053" s="275">
        <v>-1.5200000000000001E-3</v>
      </c>
      <c r="S1053" s="270">
        <v>-108</v>
      </c>
      <c r="T1053" s="270">
        <v>-81</v>
      </c>
      <c r="U1053" s="57">
        <v>1</v>
      </c>
      <c r="V1053" s="276">
        <v>0.11</v>
      </c>
      <c r="W1053" s="276">
        <v>0.03</v>
      </c>
      <c r="X1053" s="270">
        <v>-70</v>
      </c>
      <c r="Y1053" s="270">
        <v>-11</v>
      </c>
      <c r="Z1053" s="45" t="b">
        <v>1</v>
      </c>
      <c r="AA1053" s="45" t="s">
        <v>38</v>
      </c>
      <c r="AB1053" s="45" t="s">
        <v>38</v>
      </c>
    </row>
    <row r="1054" spans="1:28" x14ac:dyDescent="0.2">
      <c r="A1054" s="96" t="s">
        <v>508</v>
      </c>
      <c r="B1054" s="96" t="s">
        <v>185</v>
      </c>
      <c r="C1054" s="277">
        <v>44521</v>
      </c>
      <c r="D1054" s="277">
        <v>44550</v>
      </c>
      <c r="E1054" s="270" t="s">
        <v>300</v>
      </c>
      <c r="F1054" s="133" t="s">
        <v>34</v>
      </c>
      <c r="G1054" s="270" t="s">
        <v>80</v>
      </c>
      <c r="H1054" s="272" t="s">
        <v>70</v>
      </c>
      <c r="I1054" s="273">
        <v>100</v>
      </c>
      <c r="J1054" s="270">
        <v>3208</v>
      </c>
      <c r="K1054" s="270">
        <f t="shared" si="0"/>
        <v>320800</v>
      </c>
      <c r="L1054" s="270">
        <v>7864</v>
      </c>
      <c r="M1054" s="270">
        <v>-18300</v>
      </c>
      <c r="N1054" s="274">
        <v>19348.36</v>
      </c>
      <c r="O1054" s="55"/>
      <c r="P1054" s="105">
        <v>19348</v>
      </c>
      <c r="Q1054" s="270">
        <v>-20928</v>
      </c>
      <c r="R1054" s="275">
        <v>-1.5200000000000001E-3</v>
      </c>
      <c r="S1054" s="270">
        <v>-21416</v>
      </c>
      <c r="T1054" s="270">
        <v>-2067</v>
      </c>
      <c r="U1054" s="57">
        <v>1</v>
      </c>
      <c r="V1054" s="276">
        <v>0.11</v>
      </c>
      <c r="W1054" s="276">
        <v>0.03</v>
      </c>
      <c r="X1054" s="270">
        <v>-1778</v>
      </c>
      <c r="Y1054" s="270">
        <v>-289</v>
      </c>
      <c r="Z1054" s="45" t="b">
        <v>1</v>
      </c>
      <c r="AA1054" s="45" t="s">
        <v>38</v>
      </c>
      <c r="AB1054" s="45" t="s">
        <v>38</v>
      </c>
    </row>
    <row r="1055" spans="1:28" x14ac:dyDescent="0.2">
      <c r="A1055" s="96" t="s">
        <v>508</v>
      </c>
      <c r="B1055" s="96" t="s">
        <v>185</v>
      </c>
      <c r="C1055" s="277">
        <v>44521</v>
      </c>
      <c r="D1055" s="277">
        <v>44550</v>
      </c>
      <c r="E1055" s="270" t="s">
        <v>300</v>
      </c>
      <c r="F1055" s="133" t="s">
        <v>34</v>
      </c>
      <c r="G1055" s="270" t="s">
        <v>80</v>
      </c>
      <c r="H1055" s="272" t="s">
        <v>153</v>
      </c>
      <c r="I1055" s="273">
        <v>200</v>
      </c>
      <c r="J1055" s="270">
        <v>5330</v>
      </c>
      <c r="K1055" s="270">
        <f t="shared" si="0"/>
        <v>1066000</v>
      </c>
      <c r="L1055" s="270">
        <v>32907</v>
      </c>
      <c r="M1055" s="270">
        <v>-67200</v>
      </c>
      <c r="N1055" s="274">
        <v>64293.5</v>
      </c>
      <c r="O1055" s="55"/>
      <c r="P1055" s="105">
        <v>64294</v>
      </c>
      <c r="Q1055" s="270">
        <v>-58127</v>
      </c>
      <c r="R1055" s="275">
        <v>-1.5200000000000001E-3</v>
      </c>
      <c r="S1055" s="270">
        <v>-59748</v>
      </c>
      <c r="T1055" s="270">
        <v>4546</v>
      </c>
      <c r="U1055" s="57">
        <v>1</v>
      </c>
      <c r="V1055" s="276">
        <v>0.11</v>
      </c>
      <c r="W1055" s="276">
        <v>0.03</v>
      </c>
      <c r="X1055" s="270">
        <v>3909</v>
      </c>
      <c r="Y1055" s="270">
        <v>636</v>
      </c>
      <c r="Z1055" s="45" t="b">
        <v>1</v>
      </c>
      <c r="AA1055" s="45" t="s">
        <v>38</v>
      </c>
      <c r="AB1055" s="45" t="s">
        <v>38</v>
      </c>
    </row>
    <row r="1056" spans="1:28" x14ac:dyDescent="0.2">
      <c r="A1056" s="96" t="s">
        <v>113</v>
      </c>
      <c r="B1056" s="96" t="s">
        <v>113</v>
      </c>
      <c r="C1056" s="277">
        <v>44521</v>
      </c>
      <c r="D1056" s="277">
        <v>44550</v>
      </c>
      <c r="E1056" s="270" t="s">
        <v>267</v>
      </c>
      <c r="F1056" s="133" t="s">
        <v>34</v>
      </c>
      <c r="G1056" s="96" t="s">
        <v>35</v>
      </c>
      <c r="H1056" s="272" t="s">
        <v>39</v>
      </c>
      <c r="I1056" s="273">
        <v>5</v>
      </c>
      <c r="J1056" s="270">
        <v>1</v>
      </c>
      <c r="K1056" s="270">
        <f t="shared" si="0"/>
        <v>5</v>
      </c>
      <c r="L1056" s="270">
        <v>159</v>
      </c>
      <c r="M1056" s="270">
        <v>10</v>
      </c>
      <c r="N1056" s="274"/>
      <c r="O1056" s="55"/>
      <c r="P1056" s="96"/>
      <c r="Q1056" s="270">
        <v>-5</v>
      </c>
      <c r="R1056" s="275">
        <v>-1.5200000000000001E-3</v>
      </c>
      <c r="S1056" s="270">
        <v>-5</v>
      </c>
      <c r="T1056" s="270">
        <v>-5</v>
      </c>
      <c r="U1056" s="57">
        <v>1</v>
      </c>
      <c r="V1056" s="276">
        <v>0.3</v>
      </c>
      <c r="W1056" s="276">
        <v>0</v>
      </c>
      <c r="X1056" s="270">
        <v>-4</v>
      </c>
      <c r="Y1056" s="270">
        <v>-2</v>
      </c>
      <c r="Z1056" s="45" t="b">
        <v>1</v>
      </c>
      <c r="AA1056" s="45" t="s">
        <v>38</v>
      </c>
      <c r="AB1056" s="45" t="s">
        <v>38</v>
      </c>
    </row>
    <row r="1057" spans="1:28" x14ac:dyDescent="0.2">
      <c r="A1057" s="96" t="s">
        <v>113</v>
      </c>
      <c r="B1057" s="96" t="s">
        <v>113</v>
      </c>
      <c r="C1057" s="277">
        <v>44521</v>
      </c>
      <c r="D1057" s="277">
        <v>44550</v>
      </c>
      <c r="E1057" s="270" t="s">
        <v>267</v>
      </c>
      <c r="F1057" s="133" t="s">
        <v>34</v>
      </c>
      <c r="G1057" s="96" t="s">
        <v>35</v>
      </c>
      <c r="H1057" s="272" t="s">
        <v>40</v>
      </c>
      <c r="I1057" s="273">
        <v>10</v>
      </c>
      <c r="J1057" s="270">
        <v>2373</v>
      </c>
      <c r="K1057" s="270">
        <f t="shared" si="0"/>
        <v>23730</v>
      </c>
      <c r="L1057" s="270">
        <v>69748</v>
      </c>
      <c r="M1057" s="270">
        <v>-950</v>
      </c>
      <c r="N1057" s="274">
        <v>350</v>
      </c>
      <c r="O1057" s="55"/>
      <c r="P1057" s="45">
        <v>350</v>
      </c>
      <c r="Q1057" s="270">
        <v>-440</v>
      </c>
      <c r="R1057" s="275">
        <v>-1.5200000000000001E-3</v>
      </c>
      <c r="S1057" s="270">
        <v>-476</v>
      </c>
      <c r="T1057" s="270">
        <v>-126</v>
      </c>
      <c r="U1057" s="57">
        <v>1</v>
      </c>
      <c r="V1057" s="276">
        <v>0.3</v>
      </c>
      <c r="W1057" s="276">
        <v>0</v>
      </c>
      <c r="X1057" s="270">
        <v>-88</v>
      </c>
      <c r="Y1057" s="270">
        <v>-38</v>
      </c>
      <c r="Z1057" s="45" t="b">
        <v>1</v>
      </c>
      <c r="AA1057" s="45" t="s">
        <v>38</v>
      </c>
      <c r="AB1057" s="45" t="s">
        <v>38</v>
      </c>
    </row>
    <row r="1058" spans="1:28" x14ac:dyDescent="0.2">
      <c r="A1058" s="96" t="s">
        <v>191</v>
      </c>
      <c r="B1058" s="96" t="s">
        <v>193</v>
      </c>
      <c r="C1058" s="277">
        <v>44521</v>
      </c>
      <c r="D1058" s="277">
        <v>44550</v>
      </c>
      <c r="E1058" s="270" t="s">
        <v>267</v>
      </c>
      <c r="F1058" s="133" t="s">
        <v>34</v>
      </c>
      <c r="G1058" s="96" t="s">
        <v>80</v>
      </c>
      <c r="H1058" s="272" t="s">
        <v>86</v>
      </c>
      <c r="I1058" s="273">
        <v>5</v>
      </c>
      <c r="J1058" s="270">
        <v>2060</v>
      </c>
      <c r="K1058" s="270">
        <f t="shared" si="0"/>
        <v>10300</v>
      </c>
      <c r="L1058" s="270">
        <v>39007</v>
      </c>
      <c r="M1058" s="270">
        <v>-100</v>
      </c>
      <c r="N1058" s="274">
        <v>500</v>
      </c>
      <c r="O1058" s="55"/>
      <c r="P1058" s="45">
        <v>500</v>
      </c>
      <c r="Q1058" s="270">
        <v>-194</v>
      </c>
      <c r="R1058" s="275">
        <v>-1.5200000000000001E-3</v>
      </c>
      <c r="S1058" s="270">
        <v>-210</v>
      </c>
      <c r="T1058" s="270">
        <v>290</v>
      </c>
      <c r="U1058" s="57">
        <v>1</v>
      </c>
      <c r="V1058" s="276">
        <v>0.25</v>
      </c>
      <c r="W1058" s="276">
        <v>0</v>
      </c>
      <c r="X1058" s="270">
        <v>218</v>
      </c>
      <c r="Y1058" s="270">
        <v>73</v>
      </c>
      <c r="Z1058" s="45" t="b">
        <v>1</v>
      </c>
      <c r="AA1058" s="45" t="s">
        <v>38</v>
      </c>
      <c r="AB1058" s="45" t="s">
        <v>38</v>
      </c>
    </row>
    <row r="1059" spans="1:28" x14ac:dyDescent="0.2">
      <c r="A1059" s="96" t="s">
        <v>191</v>
      </c>
      <c r="B1059" s="96" t="s">
        <v>193</v>
      </c>
      <c r="C1059" s="277">
        <v>44521</v>
      </c>
      <c r="D1059" s="277">
        <v>44550</v>
      </c>
      <c r="E1059" s="270" t="s">
        <v>267</v>
      </c>
      <c r="F1059" s="133" t="s">
        <v>34</v>
      </c>
      <c r="G1059" s="96" t="s">
        <v>80</v>
      </c>
      <c r="H1059" s="272" t="s">
        <v>40</v>
      </c>
      <c r="I1059" s="273">
        <v>10</v>
      </c>
      <c r="J1059" s="270">
        <v>3297</v>
      </c>
      <c r="K1059" s="270">
        <f t="shared" si="0"/>
        <v>32970</v>
      </c>
      <c r="L1059" s="270">
        <v>54635</v>
      </c>
      <c r="M1059" s="270">
        <v>-1460</v>
      </c>
      <c r="N1059" s="274">
        <v>1500</v>
      </c>
      <c r="O1059" s="55"/>
      <c r="P1059" s="105">
        <v>1500</v>
      </c>
      <c r="Q1059" s="270">
        <v>-820</v>
      </c>
      <c r="R1059" s="275">
        <v>-1.5200000000000001E-3</v>
      </c>
      <c r="S1059" s="270">
        <v>-870</v>
      </c>
      <c r="T1059" s="270">
        <v>630</v>
      </c>
      <c r="U1059" s="57">
        <v>1</v>
      </c>
      <c r="V1059" s="276">
        <v>0.25</v>
      </c>
      <c r="W1059" s="276">
        <v>0</v>
      </c>
      <c r="X1059" s="270">
        <v>472</v>
      </c>
      <c r="Y1059" s="270">
        <v>157</v>
      </c>
      <c r="Z1059" s="45" t="b">
        <v>1</v>
      </c>
      <c r="AA1059" s="45" t="s">
        <v>38</v>
      </c>
      <c r="AB1059" s="45" t="s">
        <v>38</v>
      </c>
    </row>
    <row r="1060" spans="1:28" x14ac:dyDescent="0.2">
      <c r="A1060" s="96" t="s">
        <v>191</v>
      </c>
      <c r="B1060" s="96" t="s">
        <v>193</v>
      </c>
      <c r="C1060" s="277">
        <v>44521</v>
      </c>
      <c r="D1060" s="277">
        <v>44550</v>
      </c>
      <c r="E1060" s="270" t="s">
        <v>267</v>
      </c>
      <c r="F1060" s="133" t="s">
        <v>34</v>
      </c>
      <c r="G1060" s="96" t="s">
        <v>80</v>
      </c>
      <c r="H1060" s="272" t="s">
        <v>71</v>
      </c>
      <c r="I1060" s="273">
        <v>20</v>
      </c>
      <c r="J1060" s="270">
        <v>62</v>
      </c>
      <c r="K1060" s="270">
        <f t="shared" si="0"/>
        <v>1240</v>
      </c>
      <c r="L1060" s="270">
        <v>505</v>
      </c>
      <c r="M1060" s="270">
        <v>-620</v>
      </c>
      <c r="N1060" s="274">
        <v>89</v>
      </c>
      <c r="O1060" s="55"/>
      <c r="P1060" s="45">
        <v>89</v>
      </c>
      <c r="Q1060" s="270">
        <v>-62</v>
      </c>
      <c r="R1060" s="275">
        <v>-1.5200000000000001E-3</v>
      </c>
      <c r="S1060" s="270">
        <v>-64</v>
      </c>
      <c r="T1060" s="270">
        <v>25</v>
      </c>
      <c r="U1060" s="57">
        <v>1</v>
      </c>
      <c r="V1060" s="276">
        <v>0.25</v>
      </c>
      <c r="W1060" s="276">
        <v>0</v>
      </c>
      <c r="X1060" s="270">
        <v>19</v>
      </c>
      <c r="Y1060" s="270">
        <v>6</v>
      </c>
      <c r="Z1060" s="45" t="b">
        <v>1</v>
      </c>
      <c r="AA1060" s="45" t="s">
        <v>38</v>
      </c>
      <c r="AB1060" s="45" t="s">
        <v>38</v>
      </c>
    </row>
    <row r="1061" spans="1:28" x14ac:dyDescent="0.2">
      <c r="A1061" s="96" t="s">
        <v>206</v>
      </c>
      <c r="B1061" s="96" t="s">
        <v>206</v>
      </c>
      <c r="C1061" s="277">
        <v>44521</v>
      </c>
      <c r="D1061" s="277">
        <v>44550</v>
      </c>
      <c r="E1061" s="270" t="s">
        <v>267</v>
      </c>
      <c r="F1061" s="133" t="s">
        <v>34</v>
      </c>
      <c r="G1061" s="96" t="s">
        <v>35</v>
      </c>
      <c r="H1061" s="272" t="s">
        <v>70</v>
      </c>
      <c r="I1061" s="273">
        <v>100</v>
      </c>
      <c r="J1061" s="270">
        <v>1243</v>
      </c>
      <c r="K1061" s="270">
        <f t="shared" si="0"/>
        <v>124300</v>
      </c>
      <c r="L1061" s="270">
        <v>25028</v>
      </c>
      <c r="M1061" s="270">
        <v>7200</v>
      </c>
      <c r="N1061" s="274">
        <v>3976</v>
      </c>
      <c r="O1061" s="55"/>
      <c r="P1061" s="105">
        <v>3976</v>
      </c>
      <c r="Q1061" s="270">
        <v>-2174</v>
      </c>
      <c r="R1061" s="275">
        <v>-1.5200000000000001E-3</v>
      </c>
      <c r="S1061" s="270">
        <v>-2363</v>
      </c>
      <c r="T1061" s="270">
        <v>1613</v>
      </c>
      <c r="U1061" s="57">
        <v>1</v>
      </c>
      <c r="V1061" s="276">
        <v>0.1</v>
      </c>
      <c r="W1061" s="276">
        <v>0</v>
      </c>
      <c r="X1061" s="270">
        <v>1452</v>
      </c>
      <c r="Y1061" s="270">
        <v>161</v>
      </c>
      <c r="Z1061" s="45" t="b">
        <v>1</v>
      </c>
      <c r="AA1061" s="45" t="s">
        <v>38</v>
      </c>
      <c r="AB1061" s="45" t="s">
        <v>38</v>
      </c>
    </row>
    <row r="1062" spans="1:28" x14ac:dyDescent="0.2">
      <c r="A1062" s="96" t="s">
        <v>206</v>
      </c>
      <c r="B1062" s="96" t="s">
        <v>206</v>
      </c>
      <c r="C1062" s="277">
        <v>44521</v>
      </c>
      <c r="D1062" s="277">
        <v>44550</v>
      </c>
      <c r="E1062" s="270" t="s">
        <v>267</v>
      </c>
      <c r="F1062" s="133" t="s">
        <v>34</v>
      </c>
      <c r="G1062" s="96" t="s">
        <v>35</v>
      </c>
      <c r="H1062" s="272" t="s">
        <v>84</v>
      </c>
      <c r="I1062" s="273">
        <v>100</v>
      </c>
      <c r="J1062" s="270">
        <v>35</v>
      </c>
      <c r="K1062" s="270">
        <f t="shared" si="0"/>
        <v>3500</v>
      </c>
      <c r="L1062" s="270">
        <v>1834</v>
      </c>
      <c r="M1062" s="270">
        <v>-1600</v>
      </c>
      <c r="N1062" s="274">
        <v>141</v>
      </c>
      <c r="O1062" s="55"/>
      <c r="P1062" s="45">
        <v>141</v>
      </c>
      <c r="Q1062" s="270">
        <v>684</v>
      </c>
      <c r="R1062" s="275">
        <v>-1.5200000000000001E-3</v>
      </c>
      <c r="S1062" s="270">
        <v>679</v>
      </c>
      <c r="T1062" s="270">
        <v>820</v>
      </c>
      <c r="U1062" s="57">
        <v>1</v>
      </c>
      <c r="V1062" s="276">
        <v>0.1</v>
      </c>
      <c r="W1062" s="276">
        <v>0</v>
      </c>
      <c r="X1062" s="270">
        <v>738</v>
      </c>
      <c r="Y1062" s="270">
        <v>82</v>
      </c>
      <c r="Z1062" s="45" t="b">
        <v>1</v>
      </c>
      <c r="AA1062" s="45" t="s">
        <v>38</v>
      </c>
      <c r="AB1062" s="45" t="s">
        <v>38</v>
      </c>
    </row>
    <row r="1063" spans="1:28" x14ac:dyDescent="0.2">
      <c r="A1063" s="96" t="s">
        <v>206</v>
      </c>
      <c r="B1063" s="96" t="s">
        <v>206</v>
      </c>
      <c r="C1063" s="277">
        <v>44521</v>
      </c>
      <c r="D1063" s="277">
        <v>44550</v>
      </c>
      <c r="E1063" s="270" t="s">
        <v>267</v>
      </c>
      <c r="F1063" s="133" t="s">
        <v>34</v>
      </c>
      <c r="G1063" s="96" t="s">
        <v>35</v>
      </c>
      <c r="H1063" s="272" t="s">
        <v>88</v>
      </c>
      <c r="I1063" s="273">
        <v>250</v>
      </c>
      <c r="J1063" s="270">
        <v>435</v>
      </c>
      <c r="K1063" s="270">
        <f t="shared" si="0"/>
        <v>108750</v>
      </c>
      <c r="L1063" s="270">
        <v>18612</v>
      </c>
      <c r="M1063" s="270">
        <v>-2250</v>
      </c>
      <c r="N1063" s="274">
        <v>3656</v>
      </c>
      <c r="O1063" s="55"/>
      <c r="P1063" s="105">
        <v>3656</v>
      </c>
      <c r="Q1063" s="270">
        <v>3521</v>
      </c>
      <c r="R1063" s="275">
        <v>-1.5200000000000001E-3</v>
      </c>
      <c r="S1063" s="270">
        <v>3356</v>
      </c>
      <c r="T1063" s="270">
        <v>7012</v>
      </c>
      <c r="U1063" s="57">
        <v>1</v>
      </c>
      <c r="V1063" s="276">
        <v>0.1</v>
      </c>
      <c r="W1063" s="276">
        <v>0</v>
      </c>
      <c r="X1063" s="270">
        <v>6310</v>
      </c>
      <c r="Y1063" s="270">
        <v>701</v>
      </c>
      <c r="Z1063" s="45" t="b">
        <v>1</v>
      </c>
      <c r="AA1063" s="45" t="s">
        <v>38</v>
      </c>
      <c r="AB1063" s="45" t="s">
        <v>38</v>
      </c>
    </row>
    <row r="1064" spans="1:28" x14ac:dyDescent="0.2">
      <c r="A1064" s="96" t="s">
        <v>206</v>
      </c>
      <c r="B1064" s="96" t="s">
        <v>206</v>
      </c>
      <c r="C1064" s="277">
        <v>44521</v>
      </c>
      <c r="D1064" s="277">
        <v>44550</v>
      </c>
      <c r="E1064" s="270" t="s">
        <v>267</v>
      </c>
      <c r="F1064" s="133" t="s">
        <v>34</v>
      </c>
      <c r="G1064" s="96" t="s">
        <v>35</v>
      </c>
      <c r="H1064" s="272" t="s">
        <v>148</v>
      </c>
      <c r="I1064" s="273">
        <v>250</v>
      </c>
      <c r="J1064" s="270">
        <v>216</v>
      </c>
      <c r="K1064" s="270">
        <f t="shared" si="0"/>
        <v>54000</v>
      </c>
      <c r="L1064" s="270">
        <v>3679</v>
      </c>
      <c r="M1064" s="270">
        <v>0</v>
      </c>
      <c r="N1064" s="274">
        <v>1533</v>
      </c>
      <c r="O1064" s="55"/>
      <c r="P1064" s="105">
        <v>1533</v>
      </c>
      <c r="Q1064" s="270">
        <v>94</v>
      </c>
      <c r="R1064" s="275">
        <v>-1.5200000000000001E-3</v>
      </c>
      <c r="S1064" s="270">
        <v>12</v>
      </c>
      <c r="T1064" s="270">
        <v>1545</v>
      </c>
      <c r="U1064" s="57">
        <v>1</v>
      </c>
      <c r="V1064" s="276">
        <v>0.1</v>
      </c>
      <c r="W1064" s="276">
        <v>0</v>
      </c>
      <c r="X1064" s="270">
        <v>1391</v>
      </c>
      <c r="Y1064" s="270">
        <v>155</v>
      </c>
      <c r="Z1064" s="45" t="b">
        <v>1</v>
      </c>
      <c r="AA1064" s="45" t="s">
        <v>38</v>
      </c>
      <c r="AB1064" s="45" t="s">
        <v>38</v>
      </c>
    </row>
    <row r="1065" spans="1:28" x14ac:dyDescent="0.2">
      <c r="A1065" s="96" t="s">
        <v>206</v>
      </c>
      <c r="B1065" s="96" t="s">
        <v>206</v>
      </c>
      <c r="C1065" s="277">
        <v>44521</v>
      </c>
      <c r="D1065" s="277">
        <v>44550</v>
      </c>
      <c r="E1065" s="270" t="s">
        <v>267</v>
      </c>
      <c r="F1065" s="133" t="s">
        <v>34</v>
      </c>
      <c r="G1065" s="96" t="s">
        <v>35</v>
      </c>
      <c r="H1065" s="272" t="s">
        <v>142</v>
      </c>
      <c r="I1065" s="273">
        <v>500</v>
      </c>
      <c r="J1065" s="270">
        <v>2</v>
      </c>
      <c r="K1065" s="270">
        <f t="shared" si="0"/>
        <v>1000</v>
      </c>
      <c r="L1065" s="270">
        <v>1033</v>
      </c>
      <c r="M1065" s="270">
        <v>2000</v>
      </c>
      <c r="N1065" s="274">
        <v>39</v>
      </c>
      <c r="O1065" s="55"/>
      <c r="P1065" s="45">
        <v>39</v>
      </c>
      <c r="Q1065" s="270">
        <v>921</v>
      </c>
      <c r="R1065" s="275">
        <v>-1.5200000000000001E-3</v>
      </c>
      <c r="S1065" s="270">
        <v>919</v>
      </c>
      <c r="T1065" s="270">
        <v>958</v>
      </c>
      <c r="U1065" s="57">
        <v>1</v>
      </c>
      <c r="V1065" s="276">
        <v>0.1</v>
      </c>
      <c r="W1065" s="276">
        <v>0</v>
      </c>
      <c r="X1065" s="270">
        <v>862</v>
      </c>
      <c r="Y1065" s="270">
        <v>96</v>
      </c>
      <c r="Z1065" s="45" t="b">
        <v>1</v>
      </c>
      <c r="AA1065" s="45" t="s">
        <v>38</v>
      </c>
      <c r="AB1065" s="45" t="s">
        <v>38</v>
      </c>
    </row>
    <row r="1066" spans="1:28" x14ac:dyDescent="0.2">
      <c r="A1066" s="279" t="s">
        <v>145</v>
      </c>
      <c r="B1066" s="279" t="s">
        <v>901</v>
      </c>
      <c r="C1066" s="282">
        <v>44531</v>
      </c>
      <c r="D1066" s="282">
        <v>44561</v>
      </c>
      <c r="E1066" s="279" t="s">
        <v>267</v>
      </c>
      <c r="F1066" s="133" t="s">
        <v>49</v>
      </c>
      <c r="G1066" s="279" t="s">
        <v>69</v>
      </c>
      <c r="H1066" s="272" t="s">
        <v>70</v>
      </c>
      <c r="I1066" s="280">
        <v>100</v>
      </c>
      <c r="J1066" s="279">
        <v>2441</v>
      </c>
      <c r="K1066" s="270">
        <f t="shared" si="0"/>
        <v>244100</v>
      </c>
      <c r="L1066" s="279">
        <v>37114</v>
      </c>
      <c r="M1066" s="279">
        <v>-1900</v>
      </c>
      <c r="N1066" s="281">
        <v>10694.24</v>
      </c>
      <c r="O1066" s="55"/>
      <c r="P1066" s="105">
        <v>10694</v>
      </c>
      <c r="Q1066" s="279">
        <v>-6169</v>
      </c>
      <c r="R1066" s="275">
        <v>3.8699999999999997E-4</v>
      </c>
      <c r="S1066" s="279">
        <v>-6075</v>
      </c>
      <c r="T1066" s="279">
        <v>4619</v>
      </c>
      <c r="U1066" s="57">
        <v>1</v>
      </c>
      <c r="V1066" s="276">
        <v>0.12</v>
      </c>
      <c r="W1066" s="276">
        <v>0</v>
      </c>
      <c r="X1066" s="279">
        <v>4065</v>
      </c>
      <c r="Y1066" s="279">
        <v>554</v>
      </c>
      <c r="Z1066" s="45" t="b">
        <v>1</v>
      </c>
      <c r="AA1066" s="45" t="s">
        <v>38</v>
      </c>
      <c r="AB1066" s="45" t="s">
        <v>38</v>
      </c>
    </row>
    <row r="1067" spans="1:28" x14ac:dyDescent="0.2">
      <c r="A1067" s="279" t="s">
        <v>145</v>
      </c>
      <c r="B1067" s="279" t="s">
        <v>901</v>
      </c>
      <c r="C1067" s="282">
        <v>44531</v>
      </c>
      <c r="D1067" s="282">
        <v>44561</v>
      </c>
      <c r="E1067" s="279" t="s">
        <v>267</v>
      </c>
      <c r="F1067" s="133" t="s">
        <v>49</v>
      </c>
      <c r="G1067" s="279" t="s">
        <v>69</v>
      </c>
      <c r="H1067" s="272" t="s">
        <v>72</v>
      </c>
      <c r="I1067" s="280">
        <v>50</v>
      </c>
      <c r="J1067" s="279">
        <v>14</v>
      </c>
      <c r="K1067" s="270">
        <f t="shared" si="0"/>
        <v>700</v>
      </c>
      <c r="L1067" s="279">
        <v>1222</v>
      </c>
      <c r="M1067" s="279">
        <v>-50</v>
      </c>
      <c r="N1067" s="281">
        <v>1.76</v>
      </c>
      <c r="O1067" s="55"/>
      <c r="P1067" s="45">
        <v>2</v>
      </c>
      <c r="Q1067" s="279">
        <v>78</v>
      </c>
      <c r="R1067" s="275">
        <v>5.1999999999999995E-4</v>
      </c>
      <c r="S1067" s="279">
        <v>78</v>
      </c>
      <c r="T1067" s="279">
        <v>80</v>
      </c>
      <c r="U1067" s="57">
        <v>1</v>
      </c>
      <c r="V1067" s="276">
        <v>0.12</v>
      </c>
      <c r="W1067" s="276">
        <v>0</v>
      </c>
      <c r="X1067" s="279">
        <v>70</v>
      </c>
      <c r="Y1067" s="279">
        <v>10</v>
      </c>
      <c r="Z1067" s="45" t="b">
        <v>1</v>
      </c>
      <c r="AA1067" s="45" t="s">
        <v>38</v>
      </c>
      <c r="AB1067" s="45" t="s">
        <v>38</v>
      </c>
    </row>
    <row r="1068" spans="1:28" x14ac:dyDescent="0.2">
      <c r="A1068" s="96" t="s">
        <v>152</v>
      </c>
      <c r="B1068" s="96" t="s">
        <v>152</v>
      </c>
      <c r="C1068" s="277">
        <v>44531</v>
      </c>
      <c r="D1068" s="277">
        <v>44561</v>
      </c>
      <c r="E1068" s="270" t="s">
        <v>300</v>
      </c>
      <c r="F1068" s="133" t="s">
        <v>41</v>
      </c>
      <c r="G1068" s="279" t="s">
        <v>35</v>
      </c>
      <c r="H1068" s="110" t="s">
        <v>70</v>
      </c>
      <c r="I1068" s="273">
        <v>100</v>
      </c>
      <c r="J1068" s="270">
        <v>1297</v>
      </c>
      <c r="K1068" s="270">
        <f t="shared" si="0"/>
        <v>129700</v>
      </c>
      <c r="L1068" s="286">
        <f>L780/J780*J1068</f>
        <v>137917.48905109489</v>
      </c>
      <c r="M1068" s="286">
        <v>7800</v>
      </c>
      <c r="N1068" s="274">
        <v>3616</v>
      </c>
      <c r="O1068" s="55"/>
      <c r="P1068" s="105">
        <v>3616</v>
      </c>
      <c r="Q1068" s="286">
        <v>-7004</v>
      </c>
      <c r="R1068" s="275">
        <v>0</v>
      </c>
      <c r="S1068" s="286">
        <v>-7004</v>
      </c>
      <c r="T1068" s="286">
        <v>11416</v>
      </c>
      <c r="U1068" s="57">
        <v>1</v>
      </c>
      <c r="V1068" s="276">
        <v>0.06</v>
      </c>
      <c r="W1068" s="276">
        <v>0.12</v>
      </c>
      <c r="X1068" s="286">
        <v>9361</v>
      </c>
      <c r="Y1068" s="286">
        <v>2055</v>
      </c>
      <c r="Z1068" s="45" t="b">
        <v>1</v>
      </c>
      <c r="AA1068" s="45" t="s">
        <v>38</v>
      </c>
      <c r="AB1068" s="45" t="s">
        <v>38</v>
      </c>
    </row>
    <row r="1069" spans="1:28" x14ac:dyDescent="0.2">
      <c r="A1069" s="270" t="s">
        <v>98</v>
      </c>
      <c r="B1069" s="270" t="s">
        <v>98</v>
      </c>
      <c r="C1069" s="277">
        <v>44531</v>
      </c>
      <c r="D1069" s="277">
        <v>44561</v>
      </c>
      <c r="E1069" s="270" t="s">
        <v>267</v>
      </c>
      <c r="F1069" s="96" t="s">
        <v>41</v>
      </c>
      <c r="G1069" s="270" t="s">
        <v>35</v>
      </c>
      <c r="H1069" s="272" t="s">
        <v>115</v>
      </c>
      <c r="I1069" s="273">
        <v>10</v>
      </c>
      <c r="J1069" s="270">
        <v>694</v>
      </c>
      <c r="K1069" s="270">
        <f t="shared" si="0"/>
        <v>6940</v>
      </c>
      <c r="L1069" s="270">
        <f>19*J1069</f>
        <v>13186</v>
      </c>
      <c r="M1069" s="270">
        <v>-320</v>
      </c>
      <c r="N1069" s="274">
        <v>305</v>
      </c>
      <c r="O1069" s="55"/>
      <c r="P1069" s="45">
        <v>305</v>
      </c>
      <c r="Q1069" s="270">
        <v>-110</v>
      </c>
      <c r="R1069" s="275">
        <v>0</v>
      </c>
      <c r="S1069" s="270">
        <v>-110</v>
      </c>
      <c r="T1069" s="270">
        <v>-15</v>
      </c>
      <c r="U1069" s="57">
        <v>1</v>
      </c>
      <c r="V1069" s="276">
        <v>0.25</v>
      </c>
      <c r="W1069" s="276">
        <v>0</v>
      </c>
      <c r="X1069" s="270">
        <v>-11</v>
      </c>
      <c r="Y1069" s="270">
        <v>-4</v>
      </c>
      <c r="Z1069" s="45" t="b">
        <v>1</v>
      </c>
      <c r="AA1069" s="45" t="s">
        <v>38</v>
      </c>
      <c r="AB1069" s="45" t="s">
        <v>38</v>
      </c>
    </row>
    <row r="1070" spans="1:28" x14ac:dyDescent="0.2">
      <c r="A1070" s="270" t="s">
        <v>98</v>
      </c>
      <c r="B1070" s="270" t="s">
        <v>98</v>
      </c>
      <c r="C1070" s="277">
        <v>44531</v>
      </c>
      <c r="D1070" s="277">
        <v>44561</v>
      </c>
      <c r="E1070" s="270" t="s">
        <v>267</v>
      </c>
      <c r="F1070" s="96" t="s">
        <v>41</v>
      </c>
      <c r="G1070" s="270" t="s">
        <v>35</v>
      </c>
      <c r="H1070" s="272" t="s">
        <v>87</v>
      </c>
      <c r="I1070" s="273">
        <v>25</v>
      </c>
      <c r="J1070" s="270">
        <v>2392</v>
      </c>
      <c r="K1070" s="270">
        <f t="shared" si="0"/>
        <v>59800</v>
      </c>
      <c r="L1070" s="270">
        <f>14*J1070</f>
        <v>33488</v>
      </c>
      <c r="M1070" s="270">
        <v>-1600</v>
      </c>
      <c r="N1070" s="274">
        <v>2255</v>
      </c>
      <c r="O1070" s="55"/>
      <c r="P1070" s="105">
        <v>2255</v>
      </c>
      <c r="Q1070" s="270">
        <v>-1240</v>
      </c>
      <c r="R1070" s="275">
        <v>0</v>
      </c>
      <c r="S1070" s="270">
        <v>-1240</v>
      </c>
      <c r="T1070" s="270">
        <v>655</v>
      </c>
      <c r="U1070" s="57">
        <v>1</v>
      </c>
      <c r="V1070" s="276">
        <v>0.25</v>
      </c>
      <c r="W1070" s="276">
        <v>0</v>
      </c>
      <c r="X1070" s="270">
        <v>491</v>
      </c>
      <c r="Y1070" s="270">
        <v>164</v>
      </c>
      <c r="Z1070" s="45" t="b">
        <v>1</v>
      </c>
      <c r="AA1070" s="45" t="s">
        <v>38</v>
      </c>
      <c r="AB1070" s="45" t="s">
        <v>38</v>
      </c>
    </row>
    <row r="1071" spans="1:28" x14ac:dyDescent="0.2">
      <c r="A1071" s="96" t="s">
        <v>286</v>
      </c>
      <c r="B1071" s="96" t="s">
        <v>286</v>
      </c>
      <c r="C1071" s="277">
        <v>44551</v>
      </c>
      <c r="D1071" s="277">
        <v>44581</v>
      </c>
      <c r="E1071" s="270" t="s">
        <v>267</v>
      </c>
      <c r="F1071" s="133" t="s">
        <v>34</v>
      </c>
      <c r="G1071" s="96" t="s">
        <v>35</v>
      </c>
      <c r="H1071" s="272" t="s">
        <v>46</v>
      </c>
      <c r="I1071" s="273">
        <v>25</v>
      </c>
      <c r="J1071" s="270">
        <v>333</v>
      </c>
      <c r="K1071" s="270">
        <f t="shared" si="0"/>
        <v>8325</v>
      </c>
      <c r="L1071" s="270">
        <v>26180</v>
      </c>
      <c r="M1071" s="270">
        <v>425</v>
      </c>
      <c r="N1071" s="274">
        <v>400</v>
      </c>
      <c r="O1071" s="55"/>
      <c r="P1071" s="45">
        <v>400</v>
      </c>
      <c r="Q1071" s="270">
        <v>681</v>
      </c>
      <c r="R1071" s="275">
        <v>-1.5E-3</v>
      </c>
      <c r="S1071" s="270">
        <v>668</v>
      </c>
      <c r="T1071" s="270">
        <v>1068</v>
      </c>
      <c r="U1071" s="57">
        <v>1</v>
      </c>
      <c r="V1071" s="276">
        <v>0.15</v>
      </c>
      <c r="W1071" s="276">
        <v>0</v>
      </c>
      <c r="X1071" s="270">
        <v>908</v>
      </c>
      <c r="Y1071" s="270">
        <v>160</v>
      </c>
      <c r="Z1071" s="45" t="b">
        <v>1</v>
      </c>
      <c r="AA1071" s="45" t="s">
        <v>38</v>
      </c>
      <c r="AB1071" s="45" t="s">
        <v>38</v>
      </c>
    </row>
    <row r="1072" spans="1:28" x14ac:dyDescent="0.2">
      <c r="A1072" s="96" t="s">
        <v>286</v>
      </c>
      <c r="B1072" s="96" t="s">
        <v>286</v>
      </c>
      <c r="C1072" s="277">
        <v>44551</v>
      </c>
      <c r="D1072" s="277">
        <v>44581</v>
      </c>
      <c r="E1072" s="270" t="s">
        <v>267</v>
      </c>
      <c r="F1072" s="133" t="s">
        <v>34</v>
      </c>
      <c r="G1072" s="96" t="s">
        <v>35</v>
      </c>
      <c r="H1072" s="272" t="s">
        <v>87</v>
      </c>
      <c r="I1072" s="273">
        <v>25</v>
      </c>
      <c r="J1072" s="270">
        <v>2596</v>
      </c>
      <c r="K1072" s="270">
        <f t="shared" si="0"/>
        <v>64900</v>
      </c>
      <c r="L1072" s="270">
        <v>32093</v>
      </c>
      <c r="M1072" s="270">
        <v>-1850</v>
      </c>
      <c r="N1072" s="274">
        <v>3113</v>
      </c>
      <c r="O1072" s="55"/>
      <c r="P1072" s="105">
        <v>3113</v>
      </c>
      <c r="Q1072" s="270">
        <v>-1674</v>
      </c>
      <c r="R1072" s="275">
        <v>-1.5E-3</v>
      </c>
      <c r="S1072" s="270">
        <v>-1771</v>
      </c>
      <c r="T1072" s="270">
        <v>1342</v>
      </c>
      <c r="U1072" s="57">
        <v>1</v>
      </c>
      <c r="V1072" s="276">
        <v>0.15</v>
      </c>
      <c r="W1072" s="276">
        <v>0</v>
      </c>
      <c r="X1072" s="270">
        <v>1140</v>
      </c>
      <c r="Y1072" s="270">
        <v>201</v>
      </c>
      <c r="Z1072" s="45" t="b">
        <v>1</v>
      </c>
      <c r="AA1072" s="45" t="s">
        <v>38</v>
      </c>
      <c r="AB1072" s="45" t="s">
        <v>38</v>
      </c>
    </row>
    <row r="1073" spans="1:28" x14ac:dyDescent="0.2">
      <c r="A1073" s="96" t="s">
        <v>286</v>
      </c>
      <c r="B1073" s="96" t="s">
        <v>286</v>
      </c>
      <c r="C1073" s="277">
        <v>44551</v>
      </c>
      <c r="D1073" s="277">
        <v>44581</v>
      </c>
      <c r="E1073" s="270" t="s">
        <v>267</v>
      </c>
      <c r="F1073" s="133" t="s">
        <v>34</v>
      </c>
      <c r="G1073" s="96" t="s">
        <v>35</v>
      </c>
      <c r="H1073" s="272" t="s">
        <v>72</v>
      </c>
      <c r="I1073" s="273">
        <v>50</v>
      </c>
      <c r="J1073" s="270">
        <v>229</v>
      </c>
      <c r="K1073" s="270">
        <f t="shared" si="0"/>
        <v>11450</v>
      </c>
      <c r="L1073" s="270">
        <v>5548</v>
      </c>
      <c r="M1073" s="270">
        <v>50</v>
      </c>
      <c r="N1073" s="274">
        <v>570</v>
      </c>
      <c r="O1073" s="55"/>
      <c r="P1073" s="45">
        <v>570</v>
      </c>
      <c r="Q1073" s="270">
        <v>-218</v>
      </c>
      <c r="R1073" s="275">
        <v>-1.5E-3</v>
      </c>
      <c r="S1073" s="270">
        <v>-236</v>
      </c>
      <c r="T1073" s="270">
        <v>334</v>
      </c>
      <c r="U1073" s="57">
        <v>1</v>
      </c>
      <c r="V1073" s="276">
        <v>0.15</v>
      </c>
      <c r="W1073" s="276">
        <v>0</v>
      </c>
      <c r="X1073" s="270">
        <v>284</v>
      </c>
      <c r="Y1073" s="270">
        <v>50</v>
      </c>
      <c r="Z1073" s="45" t="b">
        <v>1</v>
      </c>
      <c r="AA1073" s="45" t="s">
        <v>38</v>
      </c>
      <c r="AB1073" s="45" t="s">
        <v>38</v>
      </c>
    </row>
    <row r="1074" spans="1:28" x14ac:dyDescent="0.2">
      <c r="A1074" s="96" t="s">
        <v>286</v>
      </c>
      <c r="B1074" s="96" t="s">
        <v>286</v>
      </c>
      <c r="C1074" s="277">
        <v>44551</v>
      </c>
      <c r="D1074" s="277">
        <v>44581</v>
      </c>
      <c r="E1074" s="270" t="s">
        <v>267</v>
      </c>
      <c r="F1074" s="133" t="s">
        <v>34</v>
      </c>
      <c r="G1074" s="96" t="s">
        <v>35</v>
      </c>
      <c r="H1074" s="272" t="s">
        <v>85</v>
      </c>
      <c r="I1074" s="273">
        <v>50</v>
      </c>
      <c r="J1074" s="270">
        <v>27</v>
      </c>
      <c r="K1074" s="270">
        <f t="shared" si="0"/>
        <v>1350</v>
      </c>
      <c r="L1074" s="270">
        <v>1289</v>
      </c>
      <c r="M1074" s="270">
        <v>-100</v>
      </c>
      <c r="N1074" s="274">
        <v>67</v>
      </c>
      <c r="O1074" s="55"/>
      <c r="P1074" s="45">
        <v>67</v>
      </c>
      <c r="Q1074" s="270">
        <v>113</v>
      </c>
      <c r="R1074" s="275">
        <v>-1.5E-3</v>
      </c>
      <c r="S1074" s="270">
        <v>111</v>
      </c>
      <c r="T1074" s="270">
        <v>178</v>
      </c>
      <c r="U1074" s="57">
        <v>1</v>
      </c>
      <c r="V1074" s="276">
        <v>0.15</v>
      </c>
      <c r="W1074" s="276">
        <v>0</v>
      </c>
      <c r="X1074" s="270">
        <v>151</v>
      </c>
      <c r="Y1074" s="270">
        <v>27</v>
      </c>
      <c r="Z1074" s="45" t="b">
        <v>1</v>
      </c>
      <c r="AA1074" s="45" t="s">
        <v>38</v>
      </c>
      <c r="AB1074" s="45" t="s">
        <v>38</v>
      </c>
    </row>
    <row r="1075" spans="1:28" x14ac:dyDescent="0.2">
      <c r="A1075" s="279" t="s">
        <v>60</v>
      </c>
      <c r="B1075" s="279" t="s">
        <v>60</v>
      </c>
      <c r="C1075" s="287">
        <v>44551</v>
      </c>
      <c r="D1075" s="287">
        <v>44581</v>
      </c>
      <c r="E1075" s="279" t="s">
        <v>267</v>
      </c>
      <c r="F1075" s="96" t="s">
        <v>34</v>
      </c>
      <c r="G1075" s="279" t="s">
        <v>61</v>
      </c>
      <c r="H1075" s="272" t="s">
        <v>64</v>
      </c>
      <c r="I1075" s="280">
        <v>10</v>
      </c>
      <c r="J1075" s="279">
        <v>165</v>
      </c>
      <c r="K1075" s="270">
        <f t="shared" si="0"/>
        <v>1650</v>
      </c>
      <c r="L1075" s="279">
        <v>10603</v>
      </c>
      <c r="M1075" s="279">
        <v>-113</v>
      </c>
      <c r="N1075" s="281">
        <v>0</v>
      </c>
      <c r="O1075" s="55"/>
      <c r="P1075" s="45">
        <v>0</v>
      </c>
      <c r="Q1075" s="279">
        <v>46</v>
      </c>
      <c r="R1075" s="275">
        <v>-6.6E-4</v>
      </c>
      <c r="S1075" s="279">
        <v>45</v>
      </c>
      <c r="T1075" s="279">
        <v>45</v>
      </c>
      <c r="U1075" s="57">
        <v>1</v>
      </c>
      <c r="V1075" s="276">
        <v>0.2</v>
      </c>
      <c r="W1075" s="276">
        <v>0</v>
      </c>
      <c r="X1075" s="279">
        <v>36</v>
      </c>
      <c r="Y1075" s="279">
        <v>9</v>
      </c>
      <c r="Z1075" s="45" t="b">
        <v>1</v>
      </c>
      <c r="AA1075" s="45" t="s">
        <v>50</v>
      </c>
      <c r="AB1075" s="45" t="s">
        <v>50</v>
      </c>
    </row>
    <row r="1076" spans="1:28" x14ac:dyDescent="0.2">
      <c r="A1076" s="96" t="s">
        <v>82</v>
      </c>
      <c r="B1076" s="96" t="s">
        <v>82</v>
      </c>
      <c r="C1076" s="277">
        <v>44551</v>
      </c>
      <c r="D1076" s="277">
        <v>44581</v>
      </c>
      <c r="E1076" s="270" t="s">
        <v>300</v>
      </c>
      <c r="F1076" s="133" t="s">
        <v>34</v>
      </c>
      <c r="G1076" s="96" t="s">
        <v>35</v>
      </c>
      <c r="H1076" s="272" t="s">
        <v>72</v>
      </c>
      <c r="I1076" s="273">
        <v>50</v>
      </c>
      <c r="J1076" s="270">
        <v>4468</v>
      </c>
      <c r="K1076" s="270">
        <f t="shared" si="0"/>
        <v>223400</v>
      </c>
      <c r="L1076" s="270">
        <v>125450</v>
      </c>
      <c r="M1076" s="270">
        <v>-3250</v>
      </c>
      <c r="N1076" s="274">
        <v>9175</v>
      </c>
      <c r="O1076" s="55"/>
      <c r="P1076" s="105">
        <v>9175</v>
      </c>
      <c r="Q1076" s="270">
        <v>-2690</v>
      </c>
      <c r="R1076" s="275">
        <v>-6.6E-4</v>
      </c>
      <c r="S1076" s="270">
        <v>-2837</v>
      </c>
      <c r="T1076" s="270">
        <v>6338</v>
      </c>
      <c r="U1076" s="57">
        <v>1</v>
      </c>
      <c r="V1076" s="276">
        <v>0.15</v>
      </c>
      <c r="W1076" s="276">
        <v>0.05</v>
      </c>
      <c r="X1076" s="270">
        <v>5070</v>
      </c>
      <c r="Y1076" s="270">
        <v>1268</v>
      </c>
      <c r="Z1076" s="45" t="b">
        <v>1</v>
      </c>
      <c r="AA1076" s="45" t="s">
        <v>38</v>
      </c>
      <c r="AB1076" s="45" t="s">
        <v>38</v>
      </c>
    </row>
    <row r="1077" spans="1:28" x14ac:dyDescent="0.2">
      <c r="A1077" s="96" t="s">
        <v>154</v>
      </c>
      <c r="B1077" s="279" t="s">
        <v>1001</v>
      </c>
      <c r="C1077" s="287">
        <v>44551</v>
      </c>
      <c r="D1077" s="287">
        <v>44581</v>
      </c>
      <c r="E1077" s="279" t="s">
        <v>267</v>
      </c>
      <c r="F1077" s="133" t="s">
        <v>34</v>
      </c>
      <c r="G1077" s="279" t="s">
        <v>61</v>
      </c>
      <c r="H1077" s="272" t="s">
        <v>64</v>
      </c>
      <c r="I1077" s="280">
        <v>10</v>
      </c>
      <c r="J1077" s="279">
        <v>160</v>
      </c>
      <c r="K1077" s="270">
        <f t="shared" si="0"/>
        <v>1600</v>
      </c>
      <c r="L1077" s="279">
        <v>17077</v>
      </c>
      <c r="M1077" s="279">
        <v>-125</v>
      </c>
      <c r="N1077" s="281">
        <v>0</v>
      </c>
      <c r="O1077" s="55"/>
      <c r="P1077" s="45">
        <v>0</v>
      </c>
      <c r="Q1077" s="279">
        <v>167</v>
      </c>
      <c r="R1077" s="275">
        <v>-6.6E-4</v>
      </c>
      <c r="S1077" s="279">
        <v>166</v>
      </c>
      <c r="T1077" s="279">
        <v>166</v>
      </c>
      <c r="U1077" s="57">
        <v>1.1319999999999999</v>
      </c>
      <c r="V1077" s="276">
        <v>0.2</v>
      </c>
      <c r="W1077" s="276">
        <v>0</v>
      </c>
      <c r="X1077" s="279">
        <v>151</v>
      </c>
      <c r="Y1077" s="279">
        <v>38</v>
      </c>
      <c r="Z1077" s="45" t="b">
        <v>1</v>
      </c>
      <c r="AA1077" s="45" t="s">
        <v>38</v>
      </c>
      <c r="AB1077" s="45" t="s">
        <v>50</v>
      </c>
    </row>
    <row r="1078" spans="1:28" x14ac:dyDescent="0.2">
      <c r="A1078" s="96" t="s">
        <v>154</v>
      </c>
      <c r="B1078" s="96" t="s">
        <v>154</v>
      </c>
      <c r="C1078" s="287">
        <v>44551</v>
      </c>
      <c r="D1078" s="287">
        <v>44581</v>
      </c>
      <c r="E1078" s="279" t="s">
        <v>267</v>
      </c>
      <c r="F1078" s="133" t="s">
        <v>34</v>
      </c>
      <c r="G1078" s="270" t="s">
        <v>35</v>
      </c>
      <c r="H1078" s="272" t="s">
        <v>39</v>
      </c>
      <c r="I1078" s="280">
        <v>5</v>
      </c>
      <c r="J1078" s="279">
        <v>1</v>
      </c>
      <c r="K1078" s="270">
        <f t="shared" si="0"/>
        <v>5</v>
      </c>
      <c r="L1078" s="279">
        <v>-156</v>
      </c>
      <c r="M1078" s="279">
        <v>-5</v>
      </c>
      <c r="N1078" s="274"/>
      <c r="O1078" s="55"/>
      <c r="P1078" s="96"/>
      <c r="Q1078" s="279">
        <v>-2</v>
      </c>
      <c r="R1078" s="275">
        <v>-6.6E-4</v>
      </c>
      <c r="S1078" s="279">
        <v>-2</v>
      </c>
      <c r="T1078" s="279">
        <v>-2</v>
      </c>
      <c r="U1078" s="57">
        <v>1</v>
      </c>
      <c r="V1078" s="276">
        <v>0.2</v>
      </c>
      <c r="W1078" s="276">
        <v>0</v>
      </c>
      <c r="X1078" s="279">
        <v>-1</v>
      </c>
      <c r="Y1078" s="279">
        <v>0</v>
      </c>
      <c r="Z1078" s="45" t="b">
        <v>1</v>
      </c>
      <c r="AA1078" s="45" t="s">
        <v>38</v>
      </c>
      <c r="AB1078" s="45" t="s">
        <v>38</v>
      </c>
    </row>
    <row r="1079" spans="1:28" x14ac:dyDescent="0.2">
      <c r="A1079" s="96" t="s">
        <v>154</v>
      </c>
      <c r="B1079" s="96" t="s">
        <v>154</v>
      </c>
      <c r="C1079" s="287">
        <v>44551</v>
      </c>
      <c r="D1079" s="287">
        <v>44581</v>
      </c>
      <c r="E1079" s="279" t="s">
        <v>267</v>
      </c>
      <c r="F1079" s="133" t="s">
        <v>34</v>
      </c>
      <c r="G1079" s="270" t="s">
        <v>35</v>
      </c>
      <c r="H1079" s="272" t="s">
        <v>40</v>
      </c>
      <c r="I1079" s="280">
        <v>10</v>
      </c>
      <c r="J1079" s="279">
        <v>63</v>
      </c>
      <c r="K1079" s="270">
        <f t="shared" si="0"/>
        <v>630</v>
      </c>
      <c r="L1079" s="279">
        <v>5697</v>
      </c>
      <c r="M1079" s="279">
        <v>70</v>
      </c>
      <c r="N1079" s="274">
        <v>5</v>
      </c>
      <c r="O1079" s="55"/>
      <c r="P1079" s="45">
        <v>5</v>
      </c>
      <c r="Q1079" s="279">
        <v>-54</v>
      </c>
      <c r="R1079" s="275">
        <v>-6.6E-4</v>
      </c>
      <c r="S1079" s="279">
        <v>-55</v>
      </c>
      <c r="T1079" s="279">
        <v>-50</v>
      </c>
      <c r="U1079" s="57">
        <v>1</v>
      </c>
      <c r="V1079" s="276">
        <v>0.2</v>
      </c>
      <c r="W1079" s="276">
        <v>0</v>
      </c>
      <c r="X1079" s="279">
        <v>-40</v>
      </c>
      <c r="Y1079" s="279">
        <v>-10</v>
      </c>
      <c r="Z1079" s="45" t="b">
        <v>1</v>
      </c>
      <c r="AA1079" s="45" t="s">
        <v>38</v>
      </c>
      <c r="AB1079" s="45" t="s">
        <v>38</v>
      </c>
    </row>
    <row r="1080" spans="1:28" x14ac:dyDescent="0.2">
      <c r="A1080" s="96" t="s">
        <v>89</v>
      </c>
      <c r="B1080" s="96" t="s">
        <v>89</v>
      </c>
      <c r="C1080" s="277">
        <v>44551</v>
      </c>
      <c r="D1080" s="277">
        <v>44581</v>
      </c>
      <c r="E1080" s="270" t="s">
        <v>267</v>
      </c>
      <c r="F1080" s="133" t="s">
        <v>41</v>
      </c>
      <c r="G1080" s="96" t="s">
        <v>35</v>
      </c>
      <c r="H1080" s="272" t="s">
        <v>45</v>
      </c>
      <c r="I1080" s="273">
        <v>0.25</v>
      </c>
      <c r="J1080" s="270">
        <v>7</v>
      </c>
      <c r="K1080" s="270">
        <f t="shared" si="0"/>
        <v>1.75</v>
      </c>
      <c r="L1080" s="270"/>
      <c r="M1080" s="270">
        <v>0</v>
      </c>
      <c r="N1080" s="274">
        <v>0</v>
      </c>
      <c r="O1080" s="55"/>
      <c r="P1080" s="45">
        <v>0</v>
      </c>
      <c r="Q1080" s="270"/>
      <c r="R1080" s="275">
        <v>0</v>
      </c>
      <c r="S1080" s="270"/>
      <c r="T1080" s="270">
        <v>0</v>
      </c>
      <c r="U1080" s="57">
        <v>1</v>
      </c>
      <c r="V1080" s="276">
        <v>0.22</v>
      </c>
      <c r="W1080" s="276">
        <v>0</v>
      </c>
      <c r="X1080" s="270">
        <v>0</v>
      </c>
      <c r="Y1080" s="270">
        <v>0</v>
      </c>
      <c r="Z1080" s="45" t="b">
        <v>1</v>
      </c>
      <c r="AA1080" s="45" t="s">
        <v>38</v>
      </c>
      <c r="AB1080" s="45" t="s">
        <v>38</v>
      </c>
    </row>
    <row r="1081" spans="1:28" x14ac:dyDescent="0.2">
      <c r="A1081" s="96" t="s">
        <v>89</v>
      </c>
      <c r="B1081" s="96" t="s">
        <v>89</v>
      </c>
      <c r="C1081" s="277">
        <v>44551</v>
      </c>
      <c r="D1081" s="277">
        <v>44581</v>
      </c>
      <c r="E1081" s="270" t="s">
        <v>267</v>
      </c>
      <c r="F1081" s="133" t="s">
        <v>41</v>
      </c>
      <c r="G1081" s="96" t="s">
        <v>35</v>
      </c>
      <c r="H1081" s="272" t="s">
        <v>39</v>
      </c>
      <c r="I1081" s="273">
        <v>5</v>
      </c>
      <c r="J1081" s="270">
        <v>1</v>
      </c>
      <c r="K1081" s="270">
        <f t="shared" si="0"/>
        <v>5</v>
      </c>
      <c r="L1081" s="270"/>
      <c r="M1081" s="270">
        <v>-5</v>
      </c>
      <c r="N1081" s="274">
        <v>0</v>
      </c>
      <c r="O1081" s="55"/>
      <c r="P1081" s="45">
        <v>0</v>
      </c>
      <c r="Q1081" s="270"/>
      <c r="R1081" s="275">
        <v>0</v>
      </c>
      <c r="S1081" s="270"/>
      <c r="T1081" s="270">
        <v>-5</v>
      </c>
      <c r="U1081" s="57">
        <v>1</v>
      </c>
      <c r="V1081" s="276">
        <v>0.22</v>
      </c>
      <c r="W1081" s="276">
        <v>0</v>
      </c>
      <c r="X1081" s="270">
        <v>-4</v>
      </c>
      <c r="Y1081" s="270">
        <v>-1</v>
      </c>
      <c r="Z1081" s="45" t="b">
        <v>1</v>
      </c>
      <c r="AA1081" s="45" t="s">
        <v>38</v>
      </c>
      <c r="AB1081" s="45" t="s">
        <v>38</v>
      </c>
    </row>
    <row r="1082" spans="1:28" x14ac:dyDescent="0.2">
      <c r="A1082" s="96" t="s">
        <v>89</v>
      </c>
      <c r="B1082" s="96" t="s">
        <v>89</v>
      </c>
      <c r="C1082" s="277">
        <v>44551</v>
      </c>
      <c r="D1082" s="277">
        <v>44581</v>
      </c>
      <c r="E1082" s="270" t="s">
        <v>267</v>
      </c>
      <c r="F1082" s="133" t="s">
        <v>41</v>
      </c>
      <c r="G1082" s="96" t="s">
        <v>35</v>
      </c>
      <c r="H1082" s="272" t="s">
        <v>70</v>
      </c>
      <c r="I1082" s="273">
        <v>100</v>
      </c>
      <c r="J1082" s="270">
        <v>1155</v>
      </c>
      <c r="K1082" s="270">
        <f t="shared" si="0"/>
        <v>115500</v>
      </c>
      <c r="L1082" s="270">
        <f>13*J1082</f>
        <v>15015</v>
      </c>
      <c r="M1082" s="270">
        <v>-3200</v>
      </c>
      <c r="N1082" s="274">
        <v>1750</v>
      </c>
      <c r="O1082" s="55"/>
      <c r="P1082" s="105">
        <v>1750</v>
      </c>
      <c r="Q1082" s="270">
        <v>-3423</v>
      </c>
      <c r="R1082" s="275">
        <v>0</v>
      </c>
      <c r="S1082" s="270">
        <v>-3423</v>
      </c>
      <c r="T1082" s="270">
        <v>-1450</v>
      </c>
      <c r="U1082" s="57">
        <v>1</v>
      </c>
      <c r="V1082" s="276">
        <v>0.22</v>
      </c>
      <c r="W1082" s="276">
        <v>0</v>
      </c>
      <c r="X1082" s="270">
        <v>-1131</v>
      </c>
      <c r="Y1082" s="270">
        <v>-319</v>
      </c>
      <c r="Z1082" s="45" t="b">
        <v>1</v>
      </c>
      <c r="AA1082" s="45" t="s">
        <v>38</v>
      </c>
      <c r="AB1082" s="45" t="s">
        <v>38</v>
      </c>
    </row>
    <row r="1083" spans="1:28" x14ac:dyDescent="0.2">
      <c r="A1083" s="279" t="s">
        <v>355</v>
      </c>
      <c r="B1083" s="279" t="s">
        <v>989</v>
      </c>
      <c r="C1083" s="287">
        <v>44551</v>
      </c>
      <c r="D1083" s="287">
        <v>44581</v>
      </c>
      <c r="E1083" s="279" t="s">
        <v>300</v>
      </c>
      <c r="F1083" s="96" t="s">
        <v>34</v>
      </c>
      <c r="G1083" s="279" t="s">
        <v>61</v>
      </c>
      <c r="H1083" s="272" t="s">
        <v>65</v>
      </c>
      <c r="I1083" s="280">
        <v>25</v>
      </c>
      <c r="J1083" s="279">
        <v>1340</v>
      </c>
      <c r="K1083" s="270">
        <f t="shared" si="0"/>
        <v>33500</v>
      </c>
      <c r="L1083" s="279">
        <v>61372</v>
      </c>
      <c r="M1083" s="279">
        <v>-1953</v>
      </c>
      <c r="N1083" s="281">
        <v>145</v>
      </c>
      <c r="O1083" s="55"/>
      <c r="P1083" s="45">
        <v>145</v>
      </c>
      <c r="Q1083" s="279">
        <v>-185</v>
      </c>
      <c r="R1083" s="275">
        <v>-1.5E-3</v>
      </c>
      <c r="S1083" s="279">
        <v>-235</v>
      </c>
      <c r="T1083" s="279">
        <v>-90</v>
      </c>
      <c r="U1083" s="57">
        <v>1.1319999999999999</v>
      </c>
      <c r="V1083" s="276">
        <v>0.15</v>
      </c>
      <c r="W1083" s="276">
        <v>0.05</v>
      </c>
      <c r="X1083" s="279">
        <v>-81</v>
      </c>
      <c r="Y1083" s="279">
        <v>-20</v>
      </c>
      <c r="Z1083" s="45" t="b">
        <v>1</v>
      </c>
      <c r="AA1083" s="45" t="s">
        <v>38</v>
      </c>
      <c r="AB1083" s="45" t="s">
        <v>50</v>
      </c>
    </row>
    <row r="1084" spans="1:28" x14ac:dyDescent="0.2">
      <c r="A1084" s="279" t="s">
        <v>395</v>
      </c>
      <c r="B1084" s="279" t="s">
        <v>395</v>
      </c>
      <c r="C1084" s="287">
        <v>44551</v>
      </c>
      <c r="D1084" s="287">
        <v>44581</v>
      </c>
      <c r="E1084" s="279" t="s">
        <v>267</v>
      </c>
      <c r="F1084" s="96" t="s">
        <v>34</v>
      </c>
      <c r="G1084" s="279" t="s">
        <v>61</v>
      </c>
      <c r="H1084" s="272" t="s">
        <v>59</v>
      </c>
      <c r="I1084" s="280">
        <v>100</v>
      </c>
      <c r="J1084" s="279">
        <v>429</v>
      </c>
      <c r="K1084" s="270">
        <f t="shared" si="0"/>
        <v>42900</v>
      </c>
      <c r="L1084" s="279">
        <v>12589</v>
      </c>
      <c r="M1084" s="279">
        <v>-1924</v>
      </c>
      <c r="N1084" s="281">
        <v>516</v>
      </c>
      <c r="O1084" s="55"/>
      <c r="P1084" s="45">
        <v>516</v>
      </c>
      <c r="Q1084" s="279">
        <v>-1513</v>
      </c>
      <c r="R1084" s="275">
        <v>-6.6E-4</v>
      </c>
      <c r="S1084" s="279">
        <v>-1541</v>
      </c>
      <c r="T1084" s="279">
        <v>-1025</v>
      </c>
      <c r="U1084" s="57">
        <v>1.1319999999999999</v>
      </c>
      <c r="V1084" s="276">
        <v>0.19</v>
      </c>
      <c r="W1084" s="276">
        <v>0</v>
      </c>
      <c r="X1084" s="279">
        <v>-940</v>
      </c>
      <c r="Y1084" s="279">
        <v>-221</v>
      </c>
      <c r="Z1084" s="45" t="b">
        <v>1</v>
      </c>
      <c r="AA1084" s="45" t="s">
        <v>38</v>
      </c>
      <c r="AB1084" s="45" t="s">
        <v>50</v>
      </c>
    </row>
    <row r="1085" spans="1:28" x14ac:dyDescent="0.2">
      <c r="A1085" s="279" t="s">
        <v>395</v>
      </c>
      <c r="B1085" s="279" t="s">
        <v>395</v>
      </c>
      <c r="C1085" s="287">
        <v>44551</v>
      </c>
      <c r="D1085" s="287">
        <v>44581</v>
      </c>
      <c r="E1085" s="279" t="s">
        <v>267</v>
      </c>
      <c r="F1085" s="96" t="s">
        <v>34</v>
      </c>
      <c r="G1085" s="279" t="s">
        <v>61</v>
      </c>
      <c r="H1085" s="272" t="s">
        <v>111</v>
      </c>
      <c r="I1085" s="280">
        <v>50</v>
      </c>
      <c r="J1085" s="279">
        <v>166</v>
      </c>
      <c r="K1085" s="270">
        <f t="shared" si="0"/>
        <v>8300</v>
      </c>
      <c r="L1085" s="279">
        <v>20284</v>
      </c>
      <c r="M1085" s="279">
        <v>1019</v>
      </c>
      <c r="N1085" s="281">
        <v>6</v>
      </c>
      <c r="O1085" s="55"/>
      <c r="P1085" s="45">
        <v>6</v>
      </c>
      <c r="Q1085" s="279">
        <v>1101</v>
      </c>
      <c r="R1085" s="275">
        <v>-6.6E-4</v>
      </c>
      <c r="S1085" s="279">
        <v>1095</v>
      </c>
      <c r="T1085" s="279">
        <v>1101</v>
      </c>
      <c r="U1085" s="57">
        <v>1.1319999999999999</v>
      </c>
      <c r="V1085" s="276">
        <v>0.19</v>
      </c>
      <c r="W1085" s="276">
        <v>0</v>
      </c>
      <c r="X1085" s="279">
        <v>1010</v>
      </c>
      <c r="Y1085" s="279">
        <v>237</v>
      </c>
      <c r="Z1085" s="45" t="b">
        <v>1</v>
      </c>
      <c r="AA1085" s="45" t="s">
        <v>38</v>
      </c>
      <c r="AB1085" s="45" t="s">
        <v>50</v>
      </c>
    </row>
    <row r="1086" spans="1:28" x14ac:dyDescent="0.2">
      <c r="A1086" s="279" t="s">
        <v>395</v>
      </c>
      <c r="B1086" s="279" t="s">
        <v>395</v>
      </c>
      <c r="C1086" s="287">
        <v>44551</v>
      </c>
      <c r="D1086" s="287">
        <v>44581</v>
      </c>
      <c r="E1086" s="279" t="s">
        <v>267</v>
      </c>
      <c r="F1086" s="96" t="s">
        <v>34</v>
      </c>
      <c r="G1086" s="279" t="s">
        <v>61</v>
      </c>
      <c r="H1086" s="272" t="s">
        <v>996</v>
      </c>
      <c r="I1086" s="280">
        <v>250</v>
      </c>
      <c r="J1086" s="279">
        <v>43</v>
      </c>
      <c r="K1086" s="270">
        <f t="shared" si="0"/>
        <v>10750</v>
      </c>
      <c r="L1086" s="279">
        <v>2576</v>
      </c>
      <c r="M1086" s="279">
        <v>849</v>
      </c>
      <c r="N1086" s="281">
        <v>0</v>
      </c>
      <c r="O1086" s="55"/>
      <c r="P1086" s="45">
        <v>0</v>
      </c>
      <c r="Q1086" s="279">
        <v>343</v>
      </c>
      <c r="R1086" s="275">
        <v>-6.6E-4</v>
      </c>
      <c r="S1086" s="279">
        <v>336</v>
      </c>
      <c r="T1086" s="279">
        <v>336</v>
      </c>
      <c r="U1086" s="57">
        <v>1.1319999999999999</v>
      </c>
      <c r="V1086" s="276">
        <v>0.19</v>
      </c>
      <c r="W1086" s="276">
        <v>0</v>
      </c>
      <c r="X1086" s="279">
        <v>308</v>
      </c>
      <c r="Y1086" s="279">
        <v>72</v>
      </c>
      <c r="Z1086" s="45" t="b">
        <v>1</v>
      </c>
      <c r="AA1086" s="45" t="s">
        <v>38</v>
      </c>
      <c r="AB1086" s="45" t="s">
        <v>50</v>
      </c>
    </row>
    <row r="1087" spans="1:28" x14ac:dyDescent="0.2">
      <c r="A1087" s="279" t="s">
        <v>395</v>
      </c>
      <c r="B1087" s="279" t="s">
        <v>395</v>
      </c>
      <c r="C1087" s="287">
        <v>44551</v>
      </c>
      <c r="D1087" s="287">
        <v>44581</v>
      </c>
      <c r="E1087" s="279" t="s">
        <v>267</v>
      </c>
      <c r="F1087" s="96" t="s">
        <v>34</v>
      </c>
      <c r="G1087" s="279" t="s">
        <v>61</v>
      </c>
      <c r="H1087" s="272" t="s">
        <v>997</v>
      </c>
      <c r="I1087" s="280">
        <v>500</v>
      </c>
      <c r="J1087" s="279">
        <v>5</v>
      </c>
      <c r="K1087" s="270">
        <f t="shared" si="0"/>
        <v>2500</v>
      </c>
      <c r="L1087" s="279">
        <v>1263</v>
      </c>
      <c r="M1087" s="279">
        <v>566</v>
      </c>
      <c r="N1087" s="281">
        <v>3</v>
      </c>
      <c r="O1087" s="55"/>
      <c r="P1087" s="45">
        <v>3</v>
      </c>
      <c r="Q1087" s="279">
        <v>962</v>
      </c>
      <c r="R1087" s="275">
        <v>-6.6E-4</v>
      </c>
      <c r="S1087" s="279">
        <v>960</v>
      </c>
      <c r="T1087" s="279">
        <v>963</v>
      </c>
      <c r="U1087" s="57">
        <v>1.1319999999999999</v>
      </c>
      <c r="V1087" s="276">
        <v>0.19</v>
      </c>
      <c r="W1087" s="276">
        <v>0</v>
      </c>
      <c r="X1087" s="279">
        <v>883</v>
      </c>
      <c r="Y1087" s="279">
        <v>207</v>
      </c>
      <c r="Z1087" s="45" t="b">
        <v>1</v>
      </c>
      <c r="AA1087" s="45" t="s">
        <v>38</v>
      </c>
      <c r="AB1087" s="45" t="s">
        <v>50</v>
      </c>
    </row>
    <row r="1088" spans="1:28" x14ac:dyDescent="0.2">
      <c r="A1088" s="279" t="s">
        <v>395</v>
      </c>
      <c r="B1088" s="270" t="s">
        <v>162</v>
      </c>
      <c r="C1088" s="287">
        <v>44551</v>
      </c>
      <c r="D1088" s="287">
        <v>44581</v>
      </c>
      <c r="E1088" s="279" t="s">
        <v>267</v>
      </c>
      <c r="F1088" s="133" t="s">
        <v>41</v>
      </c>
      <c r="G1088" s="270" t="s">
        <v>35</v>
      </c>
      <c r="H1088" s="272" t="s">
        <v>84</v>
      </c>
      <c r="I1088" s="280">
        <v>100</v>
      </c>
      <c r="J1088" s="279">
        <v>1</v>
      </c>
      <c r="K1088" s="270">
        <f t="shared" si="0"/>
        <v>100</v>
      </c>
      <c r="L1088" s="279">
        <v>27</v>
      </c>
      <c r="M1088" s="279">
        <v>-100</v>
      </c>
      <c r="N1088" s="274">
        <v>2</v>
      </c>
      <c r="O1088" s="55"/>
      <c r="P1088" s="45">
        <v>2</v>
      </c>
      <c r="Q1088" s="279">
        <v>3</v>
      </c>
      <c r="R1088" s="275">
        <v>0</v>
      </c>
      <c r="S1088" s="279">
        <v>3</v>
      </c>
      <c r="T1088" s="279">
        <v>-98</v>
      </c>
      <c r="U1088" s="57">
        <v>1</v>
      </c>
      <c r="V1088" s="276">
        <v>0.19</v>
      </c>
      <c r="W1088" s="276">
        <v>0</v>
      </c>
      <c r="X1088" s="279">
        <v>-79</v>
      </c>
      <c r="Y1088" s="279">
        <v>-19</v>
      </c>
      <c r="Z1088" s="45" t="b">
        <v>1</v>
      </c>
      <c r="AA1088" s="45" t="s">
        <v>38</v>
      </c>
      <c r="AB1088" s="45" t="s">
        <v>38</v>
      </c>
    </row>
    <row r="1089" spans="1:28" x14ac:dyDescent="0.2">
      <c r="A1089" s="279" t="s">
        <v>395</v>
      </c>
      <c r="B1089" s="270" t="s">
        <v>162</v>
      </c>
      <c r="C1089" s="287">
        <v>44551</v>
      </c>
      <c r="D1089" s="287">
        <v>44581</v>
      </c>
      <c r="E1089" s="279" t="s">
        <v>267</v>
      </c>
      <c r="F1089" s="133" t="s">
        <v>41</v>
      </c>
      <c r="G1089" s="270" t="s">
        <v>35</v>
      </c>
      <c r="H1089" s="272" t="s">
        <v>46</v>
      </c>
      <c r="I1089" s="280">
        <v>25</v>
      </c>
      <c r="J1089" s="279">
        <v>10</v>
      </c>
      <c r="K1089" s="270">
        <f t="shared" si="0"/>
        <v>250</v>
      </c>
      <c r="L1089" s="279">
        <v>3594</v>
      </c>
      <c r="M1089" s="279">
        <v>150</v>
      </c>
      <c r="N1089" s="274">
        <v>7</v>
      </c>
      <c r="O1089" s="55"/>
      <c r="P1089" s="45">
        <v>7</v>
      </c>
      <c r="Q1089" s="279">
        <v>151</v>
      </c>
      <c r="R1089" s="275">
        <v>0</v>
      </c>
      <c r="S1089" s="279">
        <v>151</v>
      </c>
      <c r="T1089" s="279">
        <v>157</v>
      </c>
      <c r="U1089" s="57">
        <v>1</v>
      </c>
      <c r="V1089" s="276">
        <v>0.19</v>
      </c>
      <c r="W1089" s="276">
        <v>0</v>
      </c>
      <c r="X1089" s="279">
        <v>127</v>
      </c>
      <c r="Y1089" s="279">
        <v>30</v>
      </c>
      <c r="Z1089" s="45" t="b">
        <v>1</v>
      </c>
      <c r="AA1089" s="45" t="s">
        <v>38</v>
      </c>
      <c r="AB1089" s="45" t="s">
        <v>38</v>
      </c>
    </row>
    <row r="1090" spans="1:28" x14ac:dyDescent="0.2">
      <c r="A1090" s="279" t="s">
        <v>395</v>
      </c>
      <c r="B1090" s="270" t="s">
        <v>162</v>
      </c>
      <c r="C1090" s="287">
        <v>44551</v>
      </c>
      <c r="D1090" s="287">
        <v>44581</v>
      </c>
      <c r="E1090" s="279" t="s">
        <v>267</v>
      </c>
      <c r="F1090" s="133" t="s">
        <v>41</v>
      </c>
      <c r="G1090" s="270" t="s">
        <v>35</v>
      </c>
      <c r="H1090" s="272" t="s">
        <v>142</v>
      </c>
      <c r="I1090" s="280">
        <v>500</v>
      </c>
      <c r="J1090" s="279">
        <v>16</v>
      </c>
      <c r="K1090" s="270">
        <f t="shared" si="0"/>
        <v>8000</v>
      </c>
      <c r="L1090" s="279">
        <v>-2495</v>
      </c>
      <c r="M1090" s="279">
        <v>-4000</v>
      </c>
      <c r="N1090" s="274">
        <v>224</v>
      </c>
      <c r="O1090" s="55"/>
      <c r="P1090" s="45">
        <v>224</v>
      </c>
      <c r="Q1090" s="279">
        <v>-2753</v>
      </c>
      <c r="R1090" s="275">
        <v>0</v>
      </c>
      <c r="S1090" s="279">
        <v>-2753</v>
      </c>
      <c r="T1090" s="279">
        <v>-3776</v>
      </c>
      <c r="U1090" s="57">
        <v>1</v>
      </c>
      <c r="V1090" s="276">
        <v>0.19</v>
      </c>
      <c r="W1090" s="276">
        <v>0</v>
      </c>
      <c r="X1090" s="279">
        <v>-3059</v>
      </c>
      <c r="Y1090" s="279">
        <v>-717</v>
      </c>
      <c r="Z1090" s="45" t="b">
        <v>1</v>
      </c>
      <c r="AA1090" s="45" t="s">
        <v>38</v>
      </c>
      <c r="AB1090" s="45" t="s">
        <v>38</v>
      </c>
    </row>
    <row r="1091" spans="1:28" x14ac:dyDescent="0.2">
      <c r="A1091" s="279" t="s">
        <v>395</v>
      </c>
      <c r="B1091" s="270" t="s">
        <v>162</v>
      </c>
      <c r="C1091" s="287">
        <v>44551</v>
      </c>
      <c r="D1091" s="287">
        <v>44581</v>
      </c>
      <c r="E1091" s="279" t="s">
        <v>267</v>
      </c>
      <c r="F1091" s="133" t="s">
        <v>41</v>
      </c>
      <c r="G1091" s="270" t="s">
        <v>35</v>
      </c>
      <c r="H1091" s="272" t="s">
        <v>148</v>
      </c>
      <c r="I1091" s="280">
        <v>250</v>
      </c>
      <c r="J1091" s="279">
        <v>33</v>
      </c>
      <c r="K1091" s="270">
        <f t="shared" si="0"/>
        <v>8250</v>
      </c>
      <c r="L1091" s="279">
        <v>-298</v>
      </c>
      <c r="M1091" s="279">
        <v>-2000</v>
      </c>
      <c r="N1091" s="274">
        <v>211</v>
      </c>
      <c r="O1091" s="55"/>
      <c r="P1091" s="45">
        <v>211</v>
      </c>
      <c r="Q1091" s="279">
        <v>-659</v>
      </c>
      <c r="R1091" s="275">
        <v>0</v>
      </c>
      <c r="S1091" s="279">
        <v>-659</v>
      </c>
      <c r="T1091" s="279">
        <v>-1789</v>
      </c>
      <c r="U1091" s="57">
        <v>1</v>
      </c>
      <c r="V1091" s="276">
        <v>0.19</v>
      </c>
      <c r="W1091" s="276">
        <v>0</v>
      </c>
      <c r="X1091" s="279">
        <v>-1449</v>
      </c>
      <c r="Y1091" s="279">
        <v>-340</v>
      </c>
      <c r="Z1091" s="45" t="b">
        <v>1</v>
      </c>
      <c r="AA1091" s="45" t="s">
        <v>38</v>
      </c>
      <c r="AB1091" s="45" t="s">
        <v>38</v>
      </c>
    </row>
    <row r="1092" spans="1:28" x14ac:dyDescent="0.2">
      <c r="A1092" s="279" t="s">
        <v>395</v>
      </c>
      <c r="B1092" s="270" t="s">
        <v>162</v>
      </c>
      <c r="C1092" s="287">
        <v>44551</v>
      </c>
      <c r="D1092" s="287">
        <v>44581</v>
      </c>
      <c r="E1092" s="279" t="s">
        <v>267</v>
      </c>
      <c r="F1092" s="133" t="s">
        <v>41</v>
      </c>
      <c r="G1092" s="270" t="s">
        <v>35</v>
      </c>
      <c r="H1092" s="272" t="s">
        <v>88</v>
      </c>
      <c r="I1092" s="280">
        <v>250</v>
      </c>
      <c r="J1092" s="279">
        <v>153</v>
      </c>
      <c r="K1092" s="270">
        <f t="shared" si="0"/>
        <v>38250</v>
      </c>
      <c r="L1092" s="279">
        <v>-1383</v>
      </c>
      <c r="M1092" s="279">
        <v>-3000</v>
      </c>
      <c r="N1092" s="274">
        <v>954</v>
      </c>
      <c r="O1092" s="55"/>
      <c r="P1092" s="45">
        <v>954</v>
      </c>
      <c r="Q1092" s="279">
        <v>-2623</v>
      </c>
      <c r="R1092" s="275">
        <v>0</v>
      </c>
      <c r="S1092" s="279">
        <v>-2623</v>
      </c>
      <c r="T1092" s="279">
        <v>-2046</v>
      </c>
      <c r="U1092" s="57">
        <v>1</v>
      </c>
      <c r="V1092" s="276">
        <v>0.19</v>
      </c>
      <c r="W1092" s="276">
        <v>0</v>
      </c>
      <c r="X1092" s="279">
        <v>-1657</v>
      </c>
      <c r="Y1092" s="279">
        <v>-389</v>
      </c>
      <c r="Z1092" s="45" t="b">
        <v>1</v>
      </c>
      <c r="AA1092" s="45" t="s">
        <v>38</v>
      </c>
      <c r="AB1092" s="45" t="s">
        <v>38</v>
      </c>
    </row>
    <row r="1093" spans="1:28" x14ac:dyDescent="0.2">
      <c r="A1093" s="279" t="s">
        <v>395</v>
      </c>
      <c r="B1093" s="270" t="s">
        <v>162</v>
      </c>
      <c r="C1093" s="287">
        <v>44551</v>
      </c>
      <c r="D1093" s="287">
        <v>44581</v>
      </c>
      <c r="E1093" s="279" t="s">
        <v>267</v>
      </c>
      <c r="F1093" s="133" t="s">
        <v>41</v>
      </c>
      <c r="G1093" s="270" t="s">
        <v>35</v>
      </c>
      <c r="H1093" s="272" t="s">
        <v>72</v>
      </c>
      <c r="I1093" s="280">
        <v>50</v>
      </c>
      <c r="J1093" s="279">
        <v>548</v>
      </c>
      <c r="K1093" s="270">
        <f t="shared" si="0"/>
        <v>27400</v>
      </c>
      <c r="L1093" s="279">
        <v>31781</v>
      </c>
      <c r="M1093" s="279">
        <v>-750</v>
      </c>
      <c r="N1093" s="274">
        <v>787</v>
      </c>
      <c r="O1093" s="55"/>
      <c r="P1093" s="45">
        <v>787</v>
      </c>
      <c r="Q1093" s="279">
        <v>1193</v>
      </c>
      <c r="R1093" s="275">
        <v>0</v>
      </c>
      <c r="S1093" s="279">
        <v>1193</v>
      </c>
      <c r="T1093" s="279">
        <v>37</v>
      </c>
      <c r="U1093" s="57">
        <v>1</v>
      </c>
      <c r="V1093" s="276">
        <v>0.19</v>
      </c>
      <c r="W1093" s="276">
        <v>0</v>
      </c>
      <c r="X1093" s="279">
        <v>30</v>
      </c>
      <c r="Y1093" s="279">
        <v>7</v>
      </c>
      <c r="Z1093" s="45" t="b">
        <v>1</v>
      </c>
      <c r="AA1093" s="45" t="s">
        <v>38</v>
      </c>
      <c r="AB1093" s="45" t="s">
        <v>38</v>
      </c>
    </row>
    <row r="1094" spans="1:28" x14ac:dyDescent="0.2">
      <c r="A1094" s="279" t="s">
        <v>395</v>
      </c>
      <c r="B1094" s="270" t="s">
        <v>162</v>
      </c>
      <c r="C1094" s="287">
        <v>44551</v>
      </c>
      <c r="D1094" s="287">
        <v>44581</v>
      </c>
      <c r="E1094" s="279" t="s">
        <v>267</v>
      </c>
      <c r="F1094" s="133" t="s">
        <v>41</v>
      </c>
      <c r="G1094" s="270" t="s">
        <v>35</v>
      </c>
      <c r="H1094" s="272" t="s">
        <v>70</v>
      </c>
      <c r="I1094" s="280">
        <v>100</v>
      </c>
      <c r="J1094" s="279">
        <v>1121</v>
      </c>
      <c r="K1094" s="270">
        <f t="shared" si="0"/>
        <v>112100</v>
      </c>
      <c r="L1094" s="279">
        <v>29709</v>
      </c>
      <c r="M1094" s="279">
        <v>-4000</v>
      </c>
      <c r="N1094" s="274">
        <v>2649</v>
      </c>
      <c r="O1094" s="55"/>
      <c r="P1094" s="105">
        <v>2649</v>
      </c>
      <c r="Q1094" s="279">
        <v>-485</v>
      </c>
      <c r="R1094" s="275">
        <v>0</v>
      </c>
      <c r="S1094" s="279">
        <v>-485</v>
      </c>
      <c r="T1094" s="279">
        <v>-1351</v>
      </c>
      <c r="U1094" s="57">
        <v>1</v>
      </c>
      <c r="V1094" s="276">
        <v>0.19</v>
      </c>
      <c r="W1094" s="276">
        <v>0</v>
      </c>
      <c r="X1094" s="279">
        <v>-1094</v>
      </c>
      <c r="Y1094" s="279">
        <v>-257</v>
      </c>
      <c r="Z1094" s="45" t="b">
        <v>1</v>
      </c>
      <c r="AA1094" s="45" t="s">
        <v>38</v>
      </c>
      <c r="AB1094" s="45" t="s">
        <v>38</v>
      </c>
    </row>
    <row r="1095" spans="1:28" x14ac:dyDescent="0.2">
      <c r="A1095" s="96" t="s">
        <v>402</v>
      </c>
      <c r="B1095" s="96" t="s">
        <v>163</v>
      </c>
      <c r="C1095" s="277">
        <v>44551</v>
      </c>
      <c r="D1095" s="277">
        <v>44581</v>
      </c>
      <c r="E1095" s="270" t="s">
        <v>267</v>
      </c>
      <c r="F1095" s="133" t="s">
        <v>34</v>
      </c>
      <c r="G1095" s="270" t="s">
        <v>35</v>
      </c>
      <c r="H1095" s="272" t="s">
        <v>40</v>
      </c>
      <c r="I1095" s="273">
        <v>10</v>
      </c>
      <c r="J1095" s="270">
        <v>4040</v>
      </c>
      <c r="K1095" s="270">
        <f t="shared" si="0"/>
        <v>40400</v>
      </c>
      <c r="L1095" s="270">
        <v>199702</v>
      </c>
      <c r="M1095" s="270">
        <v>-630</v>
      </c>
      <c r="N1095" s="274">
        <v>1535</v>
      </c>
      <c r="O1095" s="55"/>
      <c r="P1095" s="105">
        <v>1535</v>
      </c>
      <c r="Q1095" s="270">
        <v>590</v>
      </c>
      <c r="R1095" s="275">
        <v>-6.6E-4</v>
      </c>
      <c r="S1095" s="270">
        <v>564</v>
      </c>
      <c r="T1095" s="270">
        <v>2099</v>
      </c>
      <c r="U1095" s="57">
        <v>1</v>
      </c>
      <c r="V1095" s="276">
        <v>0.25</v>
      </c>
      <c r="W1095" s="276">
        <v>0</v>
      </c>
      <c r="X1095" s="270">
        <v>1574</v>
      </c>
      <c r="Y1095" s="270">
        <v>525</v>
      </c>
      <c r="Z1095" s="45" t="b">
        <v>1</v>
      </c>
      <c r="AA1095" s="45" t="s">
        <v>38</v>
      </c>
      <c r="AB1095" s="45" t="s">
        <v>38</v>
      </c>
    </row>
    <row r="1096" spans="1:28" x14ac:dyDescent="0.2">
      <c r="A1096" s="96" t="s">
        <v>402</v>
      </c>
      <c r="B1096" s="96" t="s">
        <v>163</v>
      </c>
      <c r="C1096" s="277">
        <v>44551</v>
      </c>
      <c r="D1096" s="277">
        <v>44581</v>
      </c>
      <c r="E1096" s="270" t="s">
        <v>267</v>
      </c>
      <c r="F1096" s="133" t="s">
        <v>41</v>
      </c>
      <c r="G1096" s="270" t="s">
        <v>35</v>
      </c>
      <c r="H1096" s="272" t="s">
        <v>39</v>
      </c>
      <c r="I1096" s="273">
        <v>5</v>
      </c>
      <c r="J1096" s="270">
        <v>10</v>
      </c>
      <c r="K1096" s="270">
        <f t="shared" si="0"/>
        <v>50</v>
      </c>
      <c r="L1096" s="270"/>
      <c r="M1096" s="270">
        <v>-20</v>
      </c>
      <c r="N1096" s="274">
        <v>2</v>
      </c>
      <c r="O1096" s="55"/>
      <c r="P1096" s="45">
        <v>2</v>
      </c>
      <c r="Q1096" s="270"/>
      <c r="R1096" s="275">
        <v>0</v>
      </c>
      <c r="S1096" s="270"/>
      <c r="T1096" s="270">
        <v>-18</v>
      </c>
      <c r="U1096" s="57">
        <v>1</v>
      </c>
      <c r="V1096" s="276">
        <v>0.25</v>
      </c>
      <c r="W1096" s="276">
        <v>0</v>
      </c>
      <c r="X1096" s="270">
        <v>-14</v>
      </c>
      <c r="Y1096" s="270">
        <v>-5</v>
      </c>
      <c r="Z1096" s="45" t="b">
        <v>1</v>
      </c>
      <c r="AA1096" s="45" t="s">
        <v>38</v>
      </c>
      <c r="AB1096" s="45" t="s">
        <v>38</v>
      </c>
    </row>
    <row r="1097" spans="1:28" x14ac:dyDescent="0.2">
      <c r="A1097" s="279" t="s">
        <v>91</v>
      </c>
      <c r="B1097" s="279" t="s">
        <v>91</v>
      </c>
      <c r="C1097" s="287">
        <v>44551</v>
      </c>
      <c r="D1097" s="287">
        <v>44581</v>
      </c>
      <c r="E1097" s="279" t="s">
        <v>267</v>
      </c>
      <c r="F1097" s="96" t="s">
        <v>34</v>
      </c>
      <c r="G1097" s="279" t="s">
        <v>61</v>
      </c>
      <c r="H1097" s="272" t="s">
        <v>65</v>
      </c>
      <c r="I1097" s="280">
        <v>25</v>
      </c>
      <c r="J1097" s="279">
        <v>506</v>
      </c>
      <c r="K1097" s="270">
        <f t="shared" si="0"/>
        <v>12650</v>
      </c>
      <c r="L1097" s="279">
        <v>22513</v>
      </c>
      <c r="M1097" s="279">
        <v>-368</v>
      </c>
      <c r="N1097" s="281">
        <v>240</v>
      </c>
      <c r="O1097" s="55"/>
      <c r="P1097" s="45">
        <v>240</v>
      </c>
      <c r="Q1097" s="279">
        <v>-100</v>
      </c>
      <c r="R1097" s="275">
        <v>-6.6E-4</v>
      </c>
      <c r="S1097" s="279">
        <v>-108</v>
      </c>
      <c r="T1097" s="279">
        <v>132</v>
      </c>
      <c r="U1097" s="57">
        <v>1</v>
      </c>
      <c r="V1097" s="276">
        <v>0.3</v>
      </c>
      <c r="W1097" s="276">
        <v>0</v>
      </c>
      <c r="X1097" s="279">
        <v>92</v>
      </c>
      <c r="Y1097" s="279">
        <v>40</v>
      </c>
      <c r="Z1097" s="45" t="b">
        <v>1</v>
      </c>
      <c r="AA1097" s="45" t="s">
        <v>50</v>
      </c>
      <c r="AB1097" s="45" t="s">
        <v>50</v>
      </c>
    </row>
    <row r="1098" spans="1:28" x14ac:dyDescent="0.2">
      <c r="A1098" s="96" t="s">
        <v>473</v>
      </c>
      <c r="B1098" s="270" t="s">
        <v>120</v>
      </c>
      <c r="C1098" s="277">
        <v>44551</v>
      </c>
      <c r="D1098" s="277">
        <v>44581</v>
      </c>
      <c r="E1098" s="270" t="s">
        <v>267</v>
      </c>
      <c r="F1098" s="96" t="s">
        <v>34</v>
      </c>
      <c r="G1098" s="270" t="s">
        <v>35</v>
      </c>
      <c r="H1098" s="272" t="s">
        <v>40</v>
      </c>
      <c r="I1098" s="280">
        <v>10</v>
      </c>
      <c r="J1098" s="279">
        <v>2899</v>
      </c>
      <c r="K1098" s="270">
        <f t="shared" si="0"/>
        <v>28990</v>
      </c>
      <c r="L1098" s="279">
        <v>96710</v>
      </c>
      <c r="M1098" s="279">
        <v>320</v>
      </c>
      <c r="N1098" s="274">
        <v>1468</v>
      </c>
      <c r="O1098" s="55"/>
      <c r="P1098" s="105">
        <v>1468</v>
      </c>
      <c r="Q1098" s="279">
        <v>-371</v>
      </c>
      <c r="R1098" s="275">
        <v>-6.6E-4</v>
      </c>
      <c r="S1098" s="279">
        <v>-390</v>
      </c>
      <c r="T1098" s="279">
        <v>1078</v>
      </c>
      <c r="U1098" s="57">
        <v>1</v>
      </c>
      <c r="V1098" s="276">
        <v>0.25</v>
      </c>
      <c r="W1098" s="276">
        <v>0</v>
      </c>
      <c r="X1098" s="279">
        <v>808</v>
      </c>
      <c r="Y1098" s="279">
        <v>269</v>
      </c>
      <c r="Z1098" s="45" t="b">
        <v>1</v>
      </c>
      <c r="AA1098" s="45" t="s">
        <v>38</v>
      </c>
      <c r="AB1098" s="45" t="s">
        <v>38</v>
      </c>
    </row>
    <row r="1099" spans="1:28" x14ac:dyDescent="0.2">
      <c r="A1099" s="96" t="s">
        <v>473</v>
      </c>
      <c r="B1099" s="270" t="s">
        <v>120</v>
      </c>
      <c r="C1099" s="277">
        <v>44551</v>
      </c>
      <c r="D1099" s="277">
        <v>44581</v>
      </c>
      <c r="E1099" s="270" t="s">
        <v>267</v>
      </c>
      <c r="F1099" s="96" t="s">
        <v>41</v>
      </c>
      <c r="G1099" s="270" t="s">
        <v>35</v>
      </c>
      <c r="H1099" s="272" t="s">
        <v>115</v>
      </c>
      <c r="I1099" s="273">
        <v>10</v>
      </c>
      <c r="J1099" s="270">
        <v>6</v>
      </c>
      <c r="K1099" s="270">
        <f t="shared" si="0"/>
        <v>60</v>
      </c>
      <c r="L1099" s="270"/>
      <c r="M1099" s="270">
        <v>-10</v>
      </c>
      <c r="N1099" s="274">
        <v>3</v>
      </c>
      <c r="O1099" s="55"/>
      <c r="P1099" s="45">
        <v>3</v>
      </c>
      <c r="Q1099" s="270"/>
      <c r="R1099" s="275">
        <v>0</v>
      </c>
      <c r="S1099" s="270"/>
      <c r="T1099" s="270">
        <v>-7</v>
      </c>
      <c r="U1099" s="57">
        <v>1</v>
      </c>
      <c r="V1099" s="276">
        <v>0.25</v>
      </c>
      <c r="W1099" s="276">
        <v>0</v>
      </c>
      <c r="X1099" s="270">
        <v>-5</v>
      </c>
      <c r="Y1099" s="270">
        <v>-2</v>
      </c>
      <c r="Z1099" s="45" t="b">
        <v>1</v>
      </c>
      <c r="AA1099" s="45" t="s">
        <v>38</v>
      </c>
      <c r="AB1099" s="45" t="s">
        <v>38</v>
      </c>
    </row>
    <row r="1100" spans="1:28" x14ac:dyDescent="0.2">
      <c r="A1100" s="279" t="s">
        <v>178</v>
      </c>
      <c r="B1100" s="279" t="s">
        <v>1000</v>
      </c>
      <c r="C1100" s="282">
        <v>44551</v>
      </c>
      <c r="D1100" s="282">
        <v>44581</v>
      </c>
      <c r="E1100" s="279" t="s">
        <v>267</v>
      </c>
      <c r="F1100" s="133" t="s">
        <v>34</v>
      </c>
      <c r="G1100" s="279" t="s">
        <v>61</v>
      </c>
      <c r="H1100" s="272" t="s">
        <v>64</v>
      </c>
      <c r="I1100" s="280">
        <v>10</v>
      </c>
      <c r="J1100" s="279">
        <v>1837</v>
      </c>
      <c r="K1100" s="270">
        <f t="shared" si="0"/>
        <v>18370</v>
      </c>
      <c r="L1100" s="279">
        <v>172876</v>
      </c>
      <c r="M1100" s="279">
        <v>1245</v>
      </c>
      <c r="N1100" s="281">
        <v>170</v>
      </c>
      <c r="O1100" s="55"/>
      <c r="P1100" s="45">
        <v>170</v>
      </c>
      <c r="Q1100" s="279">
        <v>1503</v>
      </c>
      <c r="R1100" s="275">
        <v>-6.6E-4</v>
      </c>
      <c r="S1100" s="279">
        <v>1491</v>
      </c>
      <c r="T1100" s="279">
        <v>1661</v>
      </c>
      <c r="U1100" s="57">
        <v>1</v>
      </c>
      <c r="V1100" s="276">
        <v>0.2</v>
      </c>
      <c r="W1100" s="276">
        <v>0</v>
      </c>
      <c r="X1100" s="279">
        <v>1329</v>
      </c>
      <c r="Y1100" s="279">
        <v>332</v>
      </c>
      <c r="Z1100" s="45" t="b">
        <v>1</v>
      </c>
      <c r="AA1100" s="45" t="s">
        <v>50</v>
      </c>
      <c r="AB1100" s="45" t="s">
        <v>50</v>
      </c>
    </row>
    <row r="1101" spans="1:28" x14ac:dyDescent="0.2">
      <c r="A1101" s="96" t="s">
        <v>178</v>
      </c>
      <c r="B1101" s="96" t="s">
        <v>178</v>
      </c>
      <c r="C1101" s="282">
        <v>44551</v>
      </c>
      <c r="D1101" s="282">
        <v>44581</v>
      </c>
      <c r="E1101" s="279" t="s">
        <v>267</v>
      </c>
      <c r="F1101" s="133" t="s">
        <v>34</v>
      </c>
      <c r="G1101" s="270" t="s">
        <v>35</v>
      </c>
      <c r="H1101" s="272" t="s">
        <v>40</v>
      </c>
      <c r="I1101" s="280">
        <v>10</v>
      </c>
      <c r="J1101" s="279">
        <v>194</v>
      </c>
      <c r="K1101" s="270">
        <f t="shared" si="0"/>
        <v>1940</v>
      </c>
      <c r="L1101" s="279">
        <v>5839</v>
      </c>
      <c r="M1101" s="279">
        <v>-40</v>
      </c>
      <c r="N1101" s="274">
        <v>90</v>
      </c>
      <c r="O1101" s="55"/>
      <c r="P1101" s="45">
        <v>90</v>
      </c>
      <c r="Q1101" s="279">
        <v>-36</v>
      </c>
      <c r="R1101" s="275">
        <v>-6.6E-4</v>
      </c>
      <c r="S1101" s="279">
        <v>-38</v>
      </c>
      <c r="T1101" s="279">
        <v>52</v>
      </c>
      <c r="U1101" s="57">
        <v>0.88300000000000001</v>
      </c>
      <c r="V1101" s="276">
        <v>0.2</v>
      </c>
      <c r="W1101" s="276">
        <v>0</v>
      </c>
      <c r="X1101" s="279">
        <v>37</v>
      </c>
      <c r="Y1101" s="279">
        <v>9</v>
      </c>
      <c r="Z1101" s="45" t="b">
        <v>1</v>
      </c>
      <c r="AA1101" s="45" t="s">
        <v>50</v>
      </c>
      <c r="AB1101" s="45" t="s">
        <v>38</v>
      </c>
    </row>
    <row r="1102" spans="1:28" x14ac:dyDescent="0.2">
      <c r="A1102" s="96" t="s">
        <v>508</v>
      </c>
      <c r="B1102" s="96" t="s">
        <v>185</v>
      </c>
      <c r="C1102" s="277">
        <v>44551</v>
      </c>
      <c r="D1102" s="277">
        <v>44581</v>
      </c>
      <c r="E1102" s="270" t="s">
        <v>300</v>
      </c>
      <c r="F1102" s="133" t="s">
        <v>34</v>
      </c>
      <c r="G1102" s="270" t="s">
        <v>80</v>
      </c>
      <c r="H1102" s="272" t="s">
        <v>70</v>
      </c>
      <c r="I1102" s="273">
        <v>100</v>
      </c>
      <c r="J1102" s="270">
        <v>184</v>
      </c>
      <c r="K1102" s="270">
        <f t="shared" si="0"/>
        <v>18400</v>
      </c>
      <c r="L1102" s="270">
        <v>5118</v>
      </c>
      <c r="M1102" s="270">
        <v>-2900</v>
      </c>
      <c r="N1102" s="274">
        <v>1008.97</v>
      </c>
      <c r="O1102" s="55"/>
      <c r="P1102" s="105">
        <v>1009</v>
      </c>
      <c r="Q1102" s="270">
        <v>123</v>
      </c>
      <c r="R1102" s="275">
        <v>-6.5700000000000003E-4</v>
      </c>
      <c r="S1102" s="270">
        <v>111</v>
      </c>
      <c r="T1102" s="270">
        <v>1120</v>
      </c>
      <c r="U1102" s="57">
        <v>1</v>
      </c>
      <c r="V1102" s="276">
        <v>0.11</v>
      </c>
      <c r="W1102" s="276">
        <v>0.03</v>
      </c>
      <c r="X1102" s="270">
        <v>963</v>
      </c>
      <c r="Y1102" s="270">
        <v>157</v>
      </c>
      <c r="Z1102" s="45" t="b">
        <v>1</v>
      </c>
      <c r="AA1102" s="45" t="s">
        <v>38</v>
      </c>
      <c r="AB1102" s="45" t="s">
        <v>38</v>
      </c>
    </row>
    <row r="1103" spans="1:28" x14ac:dyDescent="0.2">
      <c r="A1103" s="96" t="s">
        <v>508</v>
      </c>
      <c r="B1103" s="96" t="s">
        <v>185</v>
      </c>
      <c r="C1103" s="277">
        <v>44551</v>
      </c>
      <c r="D1103" s="277">
        <v>44581</v>
      </c>
      <c r="E1103" s="270" t="s">
        <v>300</v>
      </c>
      <c r="F1103" s="133" t="s">
        <v>34</v>
      </c>
      <c r="G1103" s="270" t="s">
        <v>80</v>
      </c>
      <c r="H1103" s="272" t="s">
        <v>153</v>
      </c>
      <c r="I1103" s="273">
        <v>200</v>
      </c>
      <c r="J1103" s="270">
        <v>4985</v>
      </c>
      <c r="K1103" s="270">
        <f t="shared" si="0"/>
        <v>997000</v>
      </c>
      <c r="L1103" s="270">
        <v>58370</v>
      </c>
      <c r="M1103" s="270">
        <v>-33400</v>
      </c>
      <c r="N1103" s="274">
        <v>54671.03</v>
      </c>
      <c r="O1103" s="55"/>
      <c r="P1103" s="105">
        <v>54671</v>
      </c>
      <c r="Q1103" s="270">
        <v>-39530</v>
      </c>
      <c r="R1103" s="275">
        <v>-6.5700000000000003E-4</v>
      </c>
      <c r="S1103" s="270">
        <v>-40185</v>
      </c>
      <c r="T1103" s="270">
        <v>14486</v>
      </c>
      <c r="U1103" s="57">
        <v>1</v>
      </c>
      <c r="V1103" s="276">
        <v>0.11</v>
      </c>
      <c r="W1103" s="276">
        <v>0.03</v>
      </c>
      <c r="X1103" s="270">
        <v>12458</v>
      </c>
      <c r="Y1103" s="270">
        <v>2028</v>
      </c>
      <c r="Z1103" s="45" t="b">
        <v>1</v>
      </c>
      <c r="AA1103" s="45" t="s">
        <v>38</v>
      </c>
      <c r="AB1103" s="45" t="s">
        <v>38</v>
      </c>
    </row>
    <row r="1104" spans="1:28" x14ac:dyDescent="0.2">
      <c r="A1104" s="96" t="s">
        <v>113</v>
      </c>
      <c r="B1104" s="96" t="s">
        <v>113</v>
      </c>
      <c r="C1104" s="277">
        <v>44551</v>
      </c>
      <c r="D1104" s="277">
        <v>44581</v>
      </c>
      <c r="E1104" s="270" t="s">
        <v>267</v>
      </c>
      <c r="F1104" s="133" t="s">
        <v>34</v>
      </c>
      <c r="G1104" s="96" t="s">
        <v>35</v>
      </c>
      <c r="H1104" s="272" t="s">
        <v>40</v>
      </c>
      <c r="I1104" s="273">
        <v>10</v>
      </c>
      <c r="J1104" s="270">
        <v>2789</v>
      </c>
      <c r="K1104" s="270">
        <f t="shared" si="0"/>
        <v>27890</v>
      </c>
      <c r="L1104" s="270">
        <v>72965</v>
      </c>
      <c r="M1104" s="270">
        <v>-1040</v>
      </c>
      <c r="N1104" s="274">
        <v>1425</v>
      </c>
      <c r="O1104" s="55"/>
      <c r="P1104" s="105">
        <v>1425</v>
      </c>
      <c r="Q1104" s="270">
        <v>-725</v>
      </c>
      <c r="R1104" s="275">
        <v>-6.6E-4</v>
      </c>
      <c r="S1104" s="270">
        <v>-744</v>
      </c>
      <c r="T1104" s="270">
        <v>681</v>
      </c>
      <c r="U1104" s="57">
        <v>1</v>
      </c>
      <c r="V1104" s="276">
        <v>0.3</v>
      </c>
      <c r="W1104" s="276">
        <v>0</v>
      </c>
      <c r="X1104" s="270">
        <v>477</v>
      </c>
      <c r="Y1104" s="270">
        <v>204</v>
      </c>
      <c r="Z1104" s="45" t="b">
        <v>1</v>
      </c>
      <c r="AA1104" s="45" t="s">
        <v>38</v>
      </c>
      <c r="AB1104" s="45" t="s">
        <v>38</v>
      </c>
    </row>
    <row r="1105" spans="1:28" x14ac:dyDescent="0.2">
      <c r="A1105" s="96" t="s">
        <v>191</v>
      </c>
      <c r="B1105" s="96" t="s">
        <v>193</v>
      </c>
      <c r="C1105" s="277">
        <v>44551</v>
      </c>
      <c r="D1105" s="277">
        <v>44581</v>
      </c>
      <c r="E1105" s="270" t="s">
        <v>267</v>
      </c>
      <c r="F1105" s="133" t="s">
        <v>34</v>
      </c>
      <c r="G1105" s="96" t="s">
        <v>80</v>
      </c>
      <c r="H1105" s="272" t="s">
        <v>86</v>
      </c>
      <c r="I1105" s="273">
        <v>5</v>
      </c>
      <c r="J1105" s="270">
        <v>5788</v>
      </c>
      <c r="K1105" s="270">
        <f t="shared" si="0"/>
        <v>28940</v>
      </c>
      <c r="L1105" s="270">
        <v>101129</v>
      </c>
      <c r="M1105" s="270">
        <v>-155</v>
      </c>
      <c r="N1105" s="274">
        <f>2295</f>
        <v>2295</v>
      </c>
      <c r="O1105" s="55"/>
      <c r="P1105" s="105">
        <v>2295</v>
      </c>
      <c r="Q1105" s="270">
        <v>-676</v>
      </c>
      <c r="R1105" s="275">
        <v>-6.6E-4</v>
      </c>
      <c r="S1105" s="270">
        <v>-695</v>
      </c>
      <c r="T1105" s="270">
        <v>1600</v>
      </c>
      <c r="U1105" s="57">
        <v>1</v>
      </c>
      <c r="V1105" s="276">
        <v>0.25</v>
      </c>
      <c r="W1105" s="276">
        <v>0</v>
      </c>
      <c r="X1105" s="270">
        <v>1200</v>
      </c>
      <c r="Y1105" s="270">
        <v>400</v>
      </c>
      <c r="Z1105" s="45" t="b">
        <v>1</v>
      </c>
      <c r="AA1105" s="45" t="s">
        <v>38</v>
      </c>
      <c r="AB1105" s="45" t="s">
        <v>38</v>
      </c>
    </row>
    <row r="1106" spans="1:28" x14ac:dyDescent="0.2">
      <c r="A1106" s="96" t="s">
        <v>191</v>
      </c>
      <c r="B1106" s="96" t="s">
        <v>193</v>
      </c>
      <c r="C1106" s="277">
        <v>44551</v>
      </c>
      <c r="D1106" s="277">
        <v>44581</v>
      </c>
      <c r="E1106" s="270" t="s">
        <v>267</v>
      </c>
      <c r="F1106" s="133" t="s">
        <v>34</v>
      </c>
      <c r="G1106" s="96" t="s">
        <v>80</v>
      </c>
      <c r="H1106" s="272" t="s">
        <v>40</v>
      </c>
      <c r="I1106" s="273">
        <v>10</v>
      </c>
      <c r="J1106" s="270">
        <v>1036</v>
      </c>
      <c r="K1106" s="270">
        <f t="shared" si="0"/>
        <v>10360</v>
      </c>
      <c r="L1106" s="270">
        <v>17407</v>
      </c>
      <c r="M1106" s="270">
        <v>590</v>
      </c>
      <c r="N1106" s="274">
        <f>124*5</f>
        <v>620</v>
      </c>
      <c r="O1106" s="55"/>
      <c r="P1106" s="45">
        <v>620</v>
      </c>
      <c r="Q1106" s="270">
        <v>-259</v>
      </c>
      <c r="R1106" s="275">
        <v>-6.6E-4</v>
      </c>
      <c r="S1106" s="270">
        <v>-266</v>
      </c>
      <c r="T1106" s="270">
        <v>354</v>
      </c>
      <c r="U1106" s="57">
        <v>1</v>
      </c>
      <c r="V1106" s="276">
        <v>0.25</v>
      </c>
      <c r="W1106" s="276">
        <v>0</v>
      </c>
      <c r="X1106" s="270">
        <v>266</v>
      </c>
      <c r="Y1106" s="270">
        <v>89</v>
      </c>
      <c r="Z1106" s="45" t="b">
        <v>1</v>
      </c>
      <c r="AA1106" s="45" t="s">
        <v>38</v>
      </c>
      <c r="AB1106" s="45" t="s">
        <v>38</v>
      </c>
    </row>
    <row r="1107" spans="1:28" x14ac:dyDescent="0.2">
      <c r="A1107" s="96" t="s">
        <v>191</v>
      </c>
      <c r="B1107" s="96" t="s">
        <v>193</v>
      </c>
      <c r="C1107" s="277">
        <v>44551</v>
      </c>
      <c r="D1107" s="277">
        <v>44581</v>
      </c>
      <c r="E1107" s="270" t="s">
        <v>267</v>
      </c>
      <c r="F1107" s="133" t="s">
        <v>34</v>
      </c>
      <c r="G1107" s="96" t="s">
        <v>80</v>
      </c>
      <c r="H1107" s="272" t="s">
        <v>71</v>
      </c>
      <c r="I1107" s="273">
        <v>20</v>
      </c>
      <c r="J1107" s="270">
        <v>791</v>
      </c>
      <c r="K1107" s="270">
        <f t="shared" si="0"/>
        <v>15820</v>
      </c>
      <c r="L1107" s="270">
        <v>14230</v>
      </c>
      <c r="M1107" s="270">
        <v>-940</v>
      </c>
      <c r="N1107" s="274">
        <f>15*10+8*20</f>
        <v>310</v>
      </c>
      <c r="O1107" s="55"/>
      <c r="P1107" s="45">
        <v>310</v>
      </c>
      <c r="Q1107" s="270">
        <v>-341</v>
      </c>
      <c r="R1107" s="275">
        <v>-6.6E-4</v>
      </c>
      <c r="S1107" s="270">
        <v>-352</v>
      </c>
      <c r="T1107" s="270">
        <v>-42</v>
      </c>
      <c r="U1107" s="57">
        <v>1</v>
      </c>
      <c r="V1107" s="276">
        <v>0.25</v>
      </c>
      <c r="W1107" s="276">
        <v>0</v>
      </c>
      <c r="X1107" s="270">
        <v>-31</v>
      </c>
      <c r="Y1107" s="270">
        <v>-10</v>
      </c>
      <c r="Z1107" s="45" t="b">
        <v>1</v>
      </c>
      <c r="AA1107" s="45" t="s">
        <v>38</v>
      </c>
      <c r="AB1107" s="45" t="s">
        <v>38</v>
      </c>
    </row>
    <row r="1108" spans="1:28" x14ac:dyDescent="0.2">
      <c r="A1108" s="270" t="s">
        <v>98</v>
      </c>
      <c r="B1108" s="270" t="s">
        <v>98</v>
      </c>
      <c r="C1108" s="277">
        <v>44562</v>
      </c>
      <c r="D1108" s="277">
        <v>44581</v>
      </c>
      <c r="E1108" s="270" t="s">
        <v>267</v>
      </c>
      <c r="F1108" s="96" t="s">
        <v>41</v>
      </c>
      <c r="G1108" s="270" t="s">
        <v>80</v>
      </c>
      <c r="H1108" s="272" t="s">
        <v>71</v>
      </c>
      <c r="I1108" s="273">
        <v>20</v>
      </c>
      <c r="J1108" s="270">
        <v>413</v>
      </c>
      <c r="K1108" s="270">
        <f t="shared" si="0"/>
        <v>8260</v>
      </c>
      <c r="L1108" s="270">
        <v>6156</v>
      </c>
      <c r="M1108" s="270">
        <v>40</v>
      </c>
      <c r="N1108" s="274">
        <v>200</v>
      </c>
      <c r="O1108" s="55"/>
      <c r="P1108" s="45">
        <v>200</v>
      </c>
      <c r="Q1108" s="270">
        <v>-252</v>
      </c>
      <c r="R1108" s="275">
        <v>0</v>
      </c>
      <c r="S1108" s="270">
        <v>-252</v>
      </c>
      <c r="T1108" s="270">
        <v>240</v>
      </c>
      <c r="U1108" s="57">
        <v>1</v>
      </c>
      <c r="V1108" s="276">
        <v>0.25</v>
      </c>
      <c r="W1108" s="276">
        <v>0</v>
      </c>
      <c r="X1108" s="270">
        <v>180</v>
      </c>
      <c r="Y1108" s="270">
        <v>60</v>
      </c>
      <c r="Z1108" s="45" t="b">
        <v>1</v>
      </c>
      <c r="AA1108" s="45" t="s">
        <v>38</v>
      </c>
      <c r="AB1108" s="45" t="s">
        <v>38</v>
      </c>
    </row>
    <row r="1109" spans="1:28" x14ac:dyDescent="0.2">
      <c r="A1109" s="270" t="s">
        <v>98</v>
      </c>
      <c r="B1109" s="270" t="s">
        <v>98</v>
      </c>
      <c r="C1109" s="277">
        <v>44562</v>
      </c>
      <c r="D1109" s="277">
        <v>44581</v>
      </c>
      <c r="E1109" s="270" t="s">
        <v>267</v>
      </c>
      <c r="F1109" s="96" t="s">
        <v>41</v>
      </c>
      <c r="G1109" s="270" t="s">
        <v>80</v>
      </c>
      <c r="H1109" s="272" t="s">
        <v>40</v>
      </c>
      <c r="I1109" s="273">
        <v>10</v>
      </c>
      <c r="J1109" s="270">
        <v>400</v>
      </c>
      <c r="K1109" s="270">
        <f t="shared" si="0"/>
        <v>4000</v>
      </c>
      <c r="L1109" s="270">
        <v>2389</v>
      </c>
      <c r="M1109" s="270">
        <v>60</v>
      </c>
      <c r="N1109" s="274">
        <v>135</v>
      </c>
      <c r="O1109" s="55"/>
      <c r="P1109" s="45">
        <v>135</v>
      </c>
      <c r="Q1109" s="270">
        <v>-225</v>
      </c>
      <c r="R1109" s="275">
        <v>0</v>
      </c>
      <c r="S1109" s="270">
        <v>-225</v>
      </c>
      <c r="T1109" s="270">
        <v>195</v>
      </c>
      <c r="U1109" s="57">
        <v>1</v>
      </c>
      <c r="V1109" s="276">
        <v>0.25</v>
      </c>
      <c r="W1109" s="276">
        <v>0</v>
      </c>
      <c r="X1109" s="270">
        <v>146</v>
      </c>
      <c r="Y1109" s="270">
        <v>49</v>
      </c>
      <c r="Z1109" s="45" t="b">
        <v>1</v>
      </c>
      <c r="AA1109" s="45" t="s">
        <v>38</v>
      </c>
      <c r="AB1109" s="45" t="s">
        <v>38</v>
      </c>
    </row>
    <row r="1110" spans="1:28" x14ac:dyDescent="0.2">
      <c r="A1110" s="96" t="s">
        <v>206</v>
      </c>
      <c r="B1110" s="96" t="s">
        <v>206</v>
      </c>
      <c r="C1110" s="277">
        <v>44551</v>
      </c>
      <c r="D1110" s="277">
        <v>44581</v>
      </c>
      <c r="E1110" s="270" t="s">
        <v>267</v>
      </c>
      <c r="F1110" s="133" t="s">
        <v>34</v>
      </c>
      <c r="G1110" s="96" t="s">
        <v>35</v>
      </c>
      <c r="H1110" s="272" t="s">
        <v>70</v>
      </c>
      <c r="I1110" s="273">
        <v>100</v>
      </c>
      <c r="J1110" s="270">
        <v>718</v>
      </c>
      <c r="K1110" s="270">
        <f t="shared" si="0"/>
        <v>71800</v>
      </c>
      <c r="L1110" s="270">
        <v>-5742</v>
      </c>
      <c r="M1110" s="270">
        <v>-7700</v>
      </c>
      <c r="N1110" s="274">
        <v>3005</v>
      </c>
      <c r="O1110" s="55"/>
      <c r="P1110" s="105">
        <v>3005</v>
      </c>
      <c r="Q1110" s="270">
        <v>-4919</v>
      </c>
      <c r="R1110" s="275">
        <v>-6.6E-4</v>
      </c>
      <c r="S1110" s="270">
        <v>-4967</v>
      </c>
      <c r="T1110" s="270">
        <v>-1962</v>
      </c>
      <c r="U1110" s="57">
        <v>1</v>
      </c>
      <c r="V1110" s="276">
        <v>0.1</v>
      </c>
      <c r="W1110" s="276">
        <v>0</v>
      </c>
      <c r="X1110" s="270">
        <v>-1766</v>
      </c>
      <c r="Y1110" s="270">
        <v>-196</v>
      </c>
      <c r="Z1110" s="45" t="b">
        <v>1</v>
      </c>
      <c r="AA1110" s="45" t="s">
        <v>38</v>
      </c>
      <c r="AB1110" s="45" t="s">
        <v>38</v>
      </c>
    </row>
    <row r="1111" spans="1:28" x14ac:dyDescent="0.2">
      <c r="A1111" s="96" t="s">
        <v>206</v>
      </c>
      <c r="B1111" s="96" t="s">
        <v>206</v>
      </c>
      <c r="C1111" s="277">
        <v>44551</v>
      </c>
      <c r="D1111" s="277">
        <v>44581</v>
      </c>
      <c r="E1111" s="270" t="s">
        <v>267</v>
      </c>
      <c r="F1111" s="133" t="s">
        <v>34</v>
      </c>
      <c r="G1111" s="96" t="s">
        <v>35</v>
      </c>
      <c r="H1111" s="272" t="s">
        <v>88</v>
      </c>
      <c r="I1111" s="273">
        <v>250</v>
      </c>
      <c r="J1111" s="270">
        <v>671</v>
      </c>
      <c r="K1111" s="270">
        <f t="shared" si="0"/>
        <v>167750</v>
      </c>
      <c r="L1111" s="270">
        <v>-11348</v>
      </c>
      <c r="M1111" s="270">
        <v>-15500</v>
      </c>
      <c r="N1111" s="274">
        <v>7502</v>
      </c>
      <c r="O1111" s="55"/>
      <c r="P1111" s="105">
        <v>7502</v>
      </c>
      <c r="Q1111" s="270">
        <v>-13957</v>
      </c>
      <c r="R1111" s="275">
        <v>-6.6E-4</v>
      </c>
      <c r="S1111" s="270">
        <v>-14068</v>
      </c>
      <c r="T1111" s="270">
        <v>-6566</v>
      </c>
      <c r="U1111" s="57">
        <v>1</v>
      </c>
      <c r="V1111" s="276">
        <v>0.1</v>
      </c>
      <c r="W1111" s="276">
        <v>0</v>
      </c>
      <c r="X1111" s="270">
        <v>-5909</v>
      </c>
      <c r="Y1111" s="270">
        <v>-657</v>
      </c>
      <c r="Z1111" s="45" t="b">
        <v>1</v>
      </c>
      <c r="AA1111" s="45" t="s">
        <v>38</v>
      </c>
      <c r="AB1111" s="45" t="s">
        <v>38</v>
      </c>
    </row>
    <row r="1112" spans="1:28" x14ac:dyDescent="0.2">
      <c r="A1112" s="96" t="s">
        <v>206</v>
      </c>
      <c r="B1112" s="96" t="s">
        <v>206</v>
      </c>
      <c r="C1112" s="277">
        <v>44551</v>
      </c>
      <c r="D1112" s="277">
        <v>44581</v>
      </c>
      <c r="E1112" s="270" t="s">
        <v>267</v>
      </c>
      <c r="F1112" s="133" t="s">
        <v>34</v>
      </c>
      <c r="G1112" s="96" t="s">
        <v>35</v>
      </c>
      <c r="H1112" s="272" t="s">
        <v>148</v>
      </c>
      <c r="I1112" s="273">
        <v>250</v>
      </c>
      <c r="J1112" s="270">
        <v>205</v>
      </c>
      <c r="K1112" s="270">
        <f t="shared" si="0"/>
        <v>51250</v>
      </c>
      <c r="L1112" s="270">
        <v>1510</v>
      </c>
      <c r="M1112" s="270">
        <v>-3250</v>
      </c>
      <c r="N1112" s="274">
        <v>2209</v>
      </c>
      <c r="O1112" s="55"/>
      <c r="P1112" s="105">
        <v>2209</v>
      </c>
      <c r="Q1112" s="270">
        <v>-1432</v>
      </c>
      <c r="R1112" s="275">
        <v>-6.6E-4</v>
      </c>
      <c r="S1112" s="270">
        <v>-1466</v>
      </c>
      <c r="T1112" s="270">
        <v>743</v>
      </c>
      <c r="U1112" s="57">
        <v>1</v>
      </c>
      <c r="V1112" s="276">
        <v>0.1</v>
      </c>
      <c r="W1112" s="276">
        <v>0</v>
      </c>
      <c r="X1112" s="270">
        <v>669</v>
      </c>
      <c r="Y1112" s="270">
        <v>74</v>
      </c>
      <c r="Z1112" s="45" t="b">
        <v>1</v>
      </c>
      <c r="AA1112" s="45" t="s">
        <v>38</v>
      </c>
      <c r="AB1112" s="45" t="s">
        <v>38</v>
      </c>
    </row>
    <row r="1113" spans="1:28" x14ac:dyDescent="0.2">
      <c r="A1113" s="96" t="s">
        <v>206</v>
      </c>
      <c r="B1113" s="96" t="s">
        <v>206</v>
      </c>
      <c r="C1113" s="277">
        <v>44551</v>
      </c>
      <c r="D1113" s="277">
        <v>44581</v>
      </c>
      <c r="E1113" s="270" t="s">
        <v>267</v>
      </c>
      <c r="F1113" s="133" t="s">
        <v>34</v>
      </c>
      <c r="G1113" s="96" t="s">
        <v>35</v>
      </c>
      <c r="H1113" s="272" t="s">
        <v>142</v>
      </c>
      <c r="I1113" s="273">
        <v>500</v>
      </c>
      <c r="J1113" s="270">
        <v>19</v>
      </c>
      <c r="K1113" s="270">
        <f t="shared" si="0"/>
        <v>9500</v>
      </c>
      <c r="L1113" s="270">
        <v>-1652</v>
      </c>
      <c r="M1113" s="270">
        <v>2500</v>
      </c>
      <c r="N1113" s="274">
        <v>794</v>
      </c>
      <c r="O1113" s="55"/>
      <c r="P1113" s="45">
        <v>794</v>
      </c>
      <c r="Q1113" s="270">
        <v>-2036</v>
      </c>
      <c r="R1113" s="275">
        <v>-6.6E-4</v>
      </c>
      <c r="S1113" s="270">
        <v>-2042</v>
      </c>
      <c r="T1113" s="270">
        <v>-1248</v>
      </c>
      <c r="U1113" s="57">
        <v>1</v>
      </c>
      <c r="V1113" s="276">
        <v>0.1</v>
      </c>
      <c r="W1113" s="276">
        <v>0</v>
      </c>
      <c r="X1113" s="270">
        <v>-1123</v>
      </c>
      <c r="Y1113" s="270">
        <v>-125</v>
      </c>
      <c r="Z1113" s="45" t="b">
        <v>1</v>
      </c>
      <c r="AA1113" s="45" t="s">
        <v>38</v>
      </c>
      <c r="AB1113" s="45" t="s">
        <v>38</v>
      </c>
    </row>
    <row r="1114" spans="1:28" x14ac:dyDescent="0.2">
      <c r="A1114" s="96" t="s">
        <v>206</v>
      </c>
      <c r="B1114" s="96" t="s">
        <v>206</v>
      </c>
      <c r="C1114" s="277">
        <v>44551</v>
      </c>
      <c r="D1114" s="277">
        <v>44581</v>
      </c>
      <c r="E1114" s="270" t="s">
        <v>267</v>
      </c>
      <c r="F1114" s="133" t="s">
        <v>34</v>
      </c>
      <c r="G1114" s="96" t="s">
        <v>35</v>
      </c>
      <c r="H1114" s="272" t="s">
        <v>149</v>
      </c>
      <c r="I1114" s="273">
        <v>500</v>
      </c>
      <c r="J1114" s="270">
        <v>1</v>
      </c>
      <c r="K1114" s="270">
        <f t="shared" si="0"/>
        <v>500</v>
      </c>
      <c r="L1114" s="270">
        <v>-132</v>
      </c>
      <c r="M1114" s="270">
        <v>-500</v>
      </c>
      <c r="N1114" s="274">
        <v>40</v>
      </c>
      <c r="O1114" s="55"/>
      <c r="P1114" s="45">
        <v>40</v>
      </c>
      <c r="Q1114" s="270">
        <v>-232</v>
      </c>
      <c r="R1114" s="275">
        <v>-6.6E-4</v>
      </c>
      <c r="S1114" s="270">
        <v>-233</v>
      </c>
      <c r="T1114" s="270">
        <v>-193</v>
      </c>
      <c r="U1114" s="57">
        <v>1</v>
      </c>
      <c r="V1114" s="276">
        <v>0.1</v>
      </c>
      <c r="W1114" s="276">
        <v>0</v>
      </c>
      <c r="X1114" s="270">
        <v>-173</v>
      </c>
      <c r="Y1114" s="270">
        <v>-19</v>
      </c>
      <c r="Z1114" s="45" t="b">
        <v>1</v>
      </c>
      <c r="AA1114" s="45" t="s">
        <v>38</v>
      </c>
      <c r="AB1114" s="45" t="s">
        <v>38</v>
      </c>
    </row>
    <row r="1115" spans="1:28" x14ac:dyDescent="0.2">
      <c r="A1115" s="96" t="s">
        <v>145</v>
      </c>
      <c r="B1115" s="96" t="s">
        <v>145</v>
      </c>
      <c r="C1115" s="277">
        <v>44551</v>
      </c>
      <c r="D1115" s="277">
        <v>44592</v>
      </c>
      <c r="E1115" s="279" t="s">
        <v>267</v>
      </c>
      <c r="F1115" s="133" t="s">
        <v>49</v>
      </c>
      <c r="G1115" s="279" t="s">
        <v>35</v>
      </c>
      <c r="H1115" s="272" t="s">
        <v>85</v>
      </c>
      <c r="I1115" s="273">
        <v>50</v>
      </c>
      <c r="J1115" s="270">
        <v>2</v>
      </c>
      <c r="K1115" s="270">
        <f t="shared" si="0"/>
        <v>100</v>
      </c>
      <c r="L1115" s="270">
        <v>-77</v>
      </c>
      <c r="M1115" s="270">
        <v>0</v>
      </c>
      <c r="N1115" s="274">
        <v>4</v>
      </c>
      <c r="O1115" s="55"/>
      <c r="P1115" s="45">
        <v>4</v>
      </c>
      <c r="Q1115" s="270">
        <v>-18</v>
      </c>
      <c r="R1115" s="275">
        <v>2.9840000000000001E-3</v>
      </c>
      <c r="S1115" s="270">
        <v>-18</v>
      </c>
      <c r="T1115" s="270">
        <v>-14</v>
      </c>
      <c r="U1115" s="57">
        <v>1</v>
      </c>
      <c r="V1115" s="276">
        <v>0.12</v>
      </c>
      <c r="W1115" s="276">
        <v>0</v>
      </c>
      <c r="X1115" s="270">
        <v>-12</v>
      </c>
      <c r="Y1115" s="270">
        <v>-2</v>
      </c>
      <c r="Z1115" s="45" t="b">
        <v>1</v>
      </c>
      <c r="AA1115" s="45" t="s">
        <v>38</v>
      </c>
      <c r="AB1115" s="45" t="s">
        <v>38</v>
      </c>
    </row>
    <row r="1116" spans="1:28" x14ac:dyDescent="0.2">
      <c r="A1116" s="96" t="s">
        <v>145</v>
      </c>
      <c r="B1116" s="96" t="s">
        <v>145</v>
      </c>
      <c r="C1116" s="277">
        <v>44551</v>
      </c>
      <c r="D1116" s="277">
        <v>44592</v>
      </c>
      <c r="E1116" s="279" t="s">
        <v>267</v>
      </c>
      <c r="F1116" s="133" t="s">
        <v>49</v>
      </c>
      <c r="G1116" s="279" t="s">
        <v>35</v>
      </c>
      <c r="H1116" s="272" t="s">
        <v>84</v>
      </c>
      <c r="I1116" s="273">
        <v>100</v>
      </c>
      <c r="J1116" s="270">
        <v>10</v>
      </c>
      <c r="K1116" s="270">
        <f t="shared" si="0"/>
        <v>1000</v>
      </c>
      <c r="L1116" s="270">
        <v>-1041</v>
      </c>
      <c r="M1116" s="270">
        <v>-300</v>
      </c>
      <c r="N1116" s="274">
        <v>32</v>
      </c>
      <c r="O1116" s="55"/>
      <c r="P1116" s="45">
        <v>32</v>
      </c>
      <c r="Q1116" s="270">
        <v>-379</v>
      </c>
      <c r="R1116" s="275">
        <v>1.9100000000000001E-4</v>
      </c>
      <c r="S1116" s="270">
        <v>-379</v>
      </c>
      <c r="T1116" s="270">
        <v>-347</v>
      </c>
      <c r="U1116" s="57">
        <v>1</v>
      </c>
      <c r="V1116" s="276">
        <v>0.12</v>
      </c>
      <c r="W1116" s="276">
        <v>0</v>
      </c>
      <c r="X1116" s="270">
        <v>-305</v>
      </c>
      <c r="Y1116" s="270">
        <v>-42</v>
      </c>
      <c r="Z1116" s="45" t="b">
        <v>1</v>
      </c>
      <c r="AA1116" s="45" t="s">
        <v>38</v>
      </c>
      <c r="AB1116" s="45" t="s">
        <v>38</v>
      </c>
    </row>
    <row r="1117" spans="1:28" x14ac:dyDescent="0.2">
      <c r="A1117" s="96" t="s">
        <v>145</v>
      </c>
      <c r="B1117" s="96" t="s">
        <v>145</v>
      </c>
      <c r="C1117" s="277">
        <v>44551</v>
      </c>
      <c r="D1117" s="277">
        <v>44592</v>
      </c>
      <c r="E1117" s="279" t="s">
        <v>267</v>
      </c>
      <c r="F1117" s="133" t="s">
        <v>49</v>
      </c>
      <c r="G1117" s="279" t="s">
        <v>35</v>
      </c>
      <c r="H1117" s="272" t="s">
        <v>70</v>
      </c>
      <c r="I1117" s="273">
        <v>100</v>
      </c>
      <c r="J1117" s="270">
        <v>4489</v>
      </c>
      <c r="K1117" s="270">
        <f t="shared" si="0"/>
        <v>448900</v>
      </c>
      <c r="L1117" s="270">
        <v>112992</v>
      </c>
      <c r="M1117" s="270">
        <v>-3600</v>
      </c>
      <c r="N1117" s="274">
        <v>14424</v>
      </c>
      <c r="O1117" s="55"/>
      <c r="P1117" s="105">
        <v>14424</v>
      </c>
      <c r="Q1117" s="270">
        <v>-3063</v>
      </c>
      <c r="R1117" s="275">
        <v>3.4200000000000002E-4</v>
      </c>
      <c r="S1117" s="270">
        <v>-2909</v>
      </c>
      <c r="T1117" s="270">
        <v>11515</v>
      </c>
      <c r="U1117" s="57">
        <v>1</v>
      </c>
      <c r="V1117" s="276">
        <v>0.12</v>
      </c>
      <c r="W1117" s="276">
        <v>0</v>
      </c>
      <c r="X1117" s="270">
        <v>10133</v>
      </c>
      <c r="Y1117" s="270">
        <v>1382</v>
      </c>
      <c r="Z1117" s="45" t="b">
        <v>1</v>
      </c>
      <c r="AA1117" s="45" t="s">
        <v>38</v>
      </c>
      <c r="AB1117" s="45" t="s">
        <v>38</v>
      </c>
    </row>
    <row r="1118" spans="1:28" x14ac:dyDescent="0.2">
      <c r="A1118" s="279" t="s">
        <v>145</v>
      </c>
      <c r="B1118" s="279" t="s">
        <v>901</v>
      </c>
      <c r="C1118" s="282">
        <v>44562</v>
      </c>
      <c r="D1118" s="282">
        <v>44592</v>
      </c>
      <c r="E1118" s="279" t="s">
        <v>267</v>
      </c>
      <c r="F1118" s="133" t="s">
        <v>49</v>
      </c>
      <c r="G1118" s="279" t="s">
        <v>69</v>
      </c>
      <c r="H1118" s="272" t="s">
        <v>70</v>
      </c>
      <c r="I1118" s="280">
        <v>100</v>
      </c>
      <c r="J1118" s="279">
        <v>863</v>
      </c>
      <c r="K1118" s="270">
        <f t="shared" si="0"/>
        <v>86300</v>
      </c>
      <c r="L1118" s="279">
        <v>22171</v>
      </c>
      <c r="M1118" s="279">
        <v>2100</v>
      </c>
      <c r="N1118" s="281">
        <v>3666</v>
      </c>
      <c r="O1118" s="55"/>
      <c r="P1118" s="105">
        <v>3666</v>
      </c>
      <c r="Q1118" s="279">
        <v>-471</v>
      </c>
      <c r="R1118" s="275">
        <v>4.0000000000000003E-5</v>
      </c>
      <c r="S1118" s="279">
        <v>-468</v>
      </c>
      <c r="T1118" s="279">
        <v>3198</v>
      </c>
      <c r="U1118" s="57">
        <v>1</v>
      </c>
      <c r="V1118" s="276">
        <v>0.12</v>
      </c>
      <c r="W1118" s="276">
        <v>0</v>
      </c>
      <c r="X1118" s="279">
        <v>2814</v>
      </c>
      <c r="Y1118" s="279">
        <v>384</v>
      </c>
      <c r="Z1118" s="45" t="b">
        <v>1</v>
      </c>
      <c r="AA1118" s="45" t="s">
        <v>38</v>
      </c>
      <c r="AB1118" s="45" t="s">
        <v>38</v>
      </c>
    </row>
    <row r="1119" spans="1:28" x14ac:dyDescent="0.2">
      <c r="A1119" s="279" t="s">
        <v>447</v>
      </c>
      <c r="B1119" s="279" t="s">
        <v>66</v>
      </c>
      <c r="C1119" s="282">
        <v>44551</v>
      </c>
      <c r="D1119" s="282">
        <v>44592</v>
      </c>
      <c r="E1119" s="279" t="s">
        <v>300</v>
      </c>
      <c r="F1119" s="133" t="s">
        <v>49</v>
      </c>
      <c r="G1119" s="279" t="s">
        <v>61</v>
      </c>
      <c r="H1119" s="272" t="s">
        <v>59</v>
      </c>
      <c r="I1119" s="280">
        <v>100</v>
      </c>
      <c r="J1119" s="279">
        <v>2208</v>
      </c>
      <c r="K1119" s="270">
        <f t="shared" si="0"/>
        <v>220800</v>
      </c>
      <c r="L1119" s="279">
        <v>90184</v>
      </c>
      <c r="M1119" s="279">
        <v>-1100</v>
      </c>
      <c r="N1119" s="281">
        <v>7125</v>
      </c>
      <c r="O1119" s="55"/>
      <c r="P1119" s="105">
        <v>7125</v>
      </c>
      <c r="Q1119" s="279">
        <v>-3196</v>
      </c>
      <c r="R1119" s="275">
        <v>3.6600000000000001E-4</v>
      </c>
      <c r="S1119" s="279">
        <v>-3115</v>
      </c>
      <c r="T1119" s="279">
        <v>4010</v>
      </c>
      <c r="U1119" s="57">
        <v>1</v>
      </c>
      <c r="V1119" s="276">
        <v>0.1</v>
      </c>
      <c r="W1119" s="276">
        <v>0.1</v>
      </c>
      <c r="X1119" s="279">
        <v>3208</v>
      </c>
      <c r="Y1119" s="279">
        <v>802</v>
      </c>
      <c r="Z1119" s="45" t="b">
        <v>1</v>
      </c>
      <c r="AA1119" s="45" t="s">
        <v>50</v>
      </c>
      <c r="AB1119" s="45" t="s">
        <v>50</v>
      </c>
    </row>
    <row r="1120" spans="1:28" x14ac:dyDescent="0.2">
      <c r="A1120" s="96" t="s">
        <v>152</v>
      </c>
      <c r="B1120" s="96" t="s">
        <v>152</v>
      </c>
      <c r="C1120" s="277">
        <v>44562</v>
      </c>
      <c r="D1120" s="277">
        <v>44592</v>
      </c>
      <c r="E1120" s="270" t="s">
        <v>300</v>
      </c>
      <c r="F1120" s="133" t="s">
        <v>41</v>
      </c>
      <c r="G1120" s="279" t="s">
        <v>35</v>
      </c>
      <c r="H1120" s="110" t="s">
        <v>70</v>
      </c>
      <c r="I1120" s="273">
        <v>100</v>
      </c>
      <c r="J1120" s="270">
        <v>528</v>
      </c>
      <c r="K1120" s="270">
        <f t="shared" si="0"/>
        <v>52800</v>
      </c>
      <c r="L1120" s="270">
        <f>33*528</f>
        <v>17424</v>
      </c>
      <c r="M1120" s="270">
        <v>5800</v>
      </c>
      <c r="N1120" s="274">
        <v>1431</v>
      </c>
      <c r="O1120" s="55"/>
      <c r="P1120" s="105">
        <v>1431</v>
      </c>
      <c r="Q1120" s="270">
        <v>415</v>
      </c>
      <c r="R1120" s="275">
        <v>0</v>
      </c>
      <c r="S1120" s="270">
        <v>415</v>
      </c>
      <c r="T1120" s="270">
        <v>7231</v>
      </c>
      <c r="U1120" s="57">
        <v>1</v>
      </c>
      <c r="V1120" s="276">
        <v>0.06</v>
      </c>
      <c r="W1120" s="276">
        <v>0.12</v>
      </c>
      <c r="X1120" s="270">
        <v>5929</v>
      </c>
      <c r="Y1120" s="270">
        <v>1302</v>
      </c>
      <c r="Z1120" s="45" t="b">
        <v>1</v>
      </c>
      <c r="AA1120" s="45" t="s">
        <v>38</v>
      </c>
      <c r="AB1120" s="45" t="s">
        <v>38</v>
      </c>
    </row>
    <row r="1121" spans="1:28" x14ac:dyDescent="0.2">
      <c r="A1121" s="279" t="s">
        <v>456</v>
      </c>
      <c r="B1121" s="279" t="s">
        <v>110</v>
      </c>
      <c r="C1121" s="282">
        <v>44551</v>
      </c>
      <c r="D1121" s="282">
        <v>44592</v>
      </c>
      <c r="E1121" s="279" t="s">
        <v>267</v>
      </c>
      <c r="F1121" s="133" t="s">
        <v>49</v>
      </c>
      <c r="G1121" s="279" t="s">
        <v>61</v>
      </c>
      <c r="H1121" s="272" t="s">
        <v>64</v>
      </c>
      <c r="I1121" s="280">
        <v>10</v>
      </c>
      <c r="J1121" s="279">
        <v>1944</v>
      </c>
      <c r="K1121" s="270">
        <f t="shared" si="0"/>
        <v>19440</v>
      </c>
      <c r="L1121" s="279">
        <v>130093</v>
      </c>
      <c r="M1121" s="279">
        <v>-1260</v>
      </c>
      <c r="N1121" s="281">
        <v>768.62</v>
      </c>
      <c r="O1121" s="55"/>
      <c r="P1121" s="45">
        <v>769</v>
      </c>
      <c r="Q1121" s="279">
        <v>510</v>
      </c>
      <c r="R1121" s="275">
        <v>3.6600000000000001E-4</v>
      </c>
      <c r="S1121" s="279">
        <v>517</v>
      </c>
      <c r="T1121" s="279">
        <v>1286</v>
      </c>
      <c r="U1121" s="57">
        <v>1</v>
      </c>
      <c r="V1121" s="276">
        <v>0.17</v>
      </c>
      <c r="W1121" s="276">
        <v>0</v>
      </c>
      <c r="X1121" s="279">
        <v>1067</v>
      </c>
      <c r="Y1121" s="279">
        <v>219</v>
      </c>
      <c r="Z1121" s="45" t="b">
        <v>1</v>
      </c>
      <c r="AA1121" s="45" t="s">
        <v>50</v>
      </c>
      <c r="AB1121" s="45" t="s">
        <v>50</v>
      </c>
    </row>
    <row r="1122" spans="1:28" x14ac:dyDescent="0.2">
      <c r="A1122" s="279" t="s">
        <v>456</v>
      </c>
      <c r="B1122" s="279" t="s">
        <v>110</v>
      </c>
      <c r="C1122" s="282">
        <v>44551</v>
      </c>
      <c r="D1122" s="282">
        <v>44592</v>
      </c>
      <c r="E1122" s="279" t="s">
        <v>267</v>
      </c>
      <c r="F1122" s="133" t="s">
        <v>49</v>
      </c>
      <c r="G1122" s="279" t="s">
        <v>61</v>
      </c>
      <c r="H1122" s="272" t="s">
        <v>65</v>
      </c>
      <c r="I1122" s="280">
        <v>25</v>
      </c>
      <c r="J1122" s="279">
        <v>122</v>
      </c>
      <c r="K1122" s="270">
        <f t="shared" si="0"/>
        <v>3050</v>
      </c>
      <c r="L1122" s="279">
        <v>9594</v>
      </c>
      <c r="M1122" s="279">
        <v>-750</v>
      </c>
      <c r="N1122" s="281">
        <v>1.38</v>
      </c>
      <c r="O1122" s="55"/>
      <c r="P1122" s="45">
        <v>1</v>
      </c>
      <c r="Q1122" s="279">
        <v>155</v>
      </c>
      <c r="R1122" s="275">
        <v>4.3600000000000003E-4</v>
      </c>
      <c r="S1122" s="279">
        <v>156</v>
      </c>
      <c r="T1122" s="279">
        <v>157</v>
      </c>
      <c r="U1122" s="57">
        <v>1</v>
      </c>
      <c r="V1122" s="276">
        <v>0.17</v>
      </c>
      <c r="W1122" s="276">
        <v>0</v>
      </c>
      <c r="X1122" s="279">
        <v>131</v>
      </c>
      <c r="Y1122" s="279">
        <v>27</v>
      </c>
      <c r="Z1122" s="45" t="b">
        <v>1</v>
      </c>
      <c r="AA1122" s="45" t="s">
        <v>50</v>
      </c>
      <c r="AB1122" s="45" t="s">
        <v>50</v>
      </c>
    </row>
    <row r="1123" spans="1:28" x14ac:dyDescent="0.2">
      <c r="A1123" s="279" t="s">
        <v>456</v>
      </c>
      <c r="B1123" s="279" t="s">
        <v>110</v>
      </c>
      <c r="C1123" s="282">
        <v>44551</v>
      </c>
      <c r="D1123" s="282">
        <v>44592</v>
      </c>
      <c r="E1123" s="279" t="s">
        <v>267</v>
      </c>
      <c r="F1123" s="133" t="s">
        <v>41</v>
      </c>
      <c r="G1123" s="279" t="s">
        <v>61</v>
      </c>
      <c r="H1123" s="272" t="s">
        <v>111</v>
      </c>
      <c r="I1123" s="280">
        <v>50</v>
      </c>
      <c r="J1123" s="279">
        <v>1</v>
      </c>
      <c r="K1123" s="270">
        <f t="shared" si="0"/>
        <v>50</v>
      </c>
      <c r="L1123" s="279">
        <v>-335</v>
      </c>
      <c r="M1123" s="279">
        <v>50</v>
      </c>
      <c r="N1123" s="281">
        <v>0</v>
      </c>
      <c r="O1123" s="55"/>
      <c r="P1123" s="45">
        <v>0</v>
      </c>
      <c r="Q1123" s="279">
        <v>-35</v>
      </c>
      <c r="R1123" s="275">
        <v>0</v>
      </c>
      <c r="S1123" s="279">
        <v>-35</v>
      </c>
      <c r="T1123" s="279">
        <v>50</v>
      </c>
      <c r="U1123" s="57">
        <v>1</v>
      </c>
      <c r="V1123" s="276">
        <v>0.17</v>
      </c>
      <c r="W1123" s="276">
        <v>0</v>
      </c>
      <c r="X1123" s="279">
        <v>42</v>
      </c>
      <c r="Y1123" s="279">
        <v>9</v>
      </c>
      <c r="Z1123" s="45" t="b">
        <v>1</v>
      </c>
      <c r="AA1123" s="45" t="s">
        <v>50</v>
      </c>
      <c r="AB1123" s="45" t="s">
        <v>50</v>
      </c>
    </row>
    <row r="1124" spans="1:28" x14ac:dyDescent="0.2">
      <c r="A1124" s="96" t="s">
        <v>175</v>
      </c>
      <c r="B1124" s="96" t="s">
        <v>175</v>
      </c>
      <c r="C1124" s="277">
        <v>44551</v>
      </c>
      <c r="D1124" s="277">
        <v>44592</v>
      </c>
      <c r="E1124" s="279" t="s">
        <v>267</v>
      </c>
      <c r="F1124" s="133" t="s">
        <v>49</v>
      </c>
      <c r="G1124" s="270" t="s">
        <v>35</v>
      </c>
      <c r="H1124" s="272" t="s">
        <v>115</v>
      </c>
      <c r="I1124" s="273">
        <v>10</v>
      </c>
      <c r="J1124" s="270">
        <v>42</v>
      </c>
      <c r="K1124" s="270">
        <f t="shared" si="0"/>
        <v>420</v>
      </c>
      <c r="L1124" s="270">
        <v>1229</v>
      </c>
      <c r="M1124" s="270">
        <v>120</v>
      </c>
      <c r="N1124" s="274">
        <v>31</v>
      </c>
      <c r="O1124" s="55"/>
      <c r="P1124" s="45">
        <v>31</v>
      </c>
      <c r="Q1124" s="270">
        <v>6</v>
      </c>
      <c r="R1124" s="275">
        <v>1.2080000000000001E-3</v>
      </c>
      <c r="S1124" s="270">
        <v>7</v>
      </c>
      <c r="T1124" s="270">
        <v>38</v>
      </c>
      <c r="U1124" s="57">
        <v>1</v>
      </c>
      <c r="V1124" s="276">
        <v>0.17</v>
      </c>
      <c r="W1124" s="276">
        <v>0</v>
      </c>
      <c r="X1124" s="270">
        <v>32</v>
      </c>
      <c r="Y1124" s="270">
        <v>6</v>
      </c>
      <c r="Z1124" s="45" t="b">
        <v>1</v>
      </c>
      <c r="AA1124" s="45" t="s">
        <v>38</v>
      </c>
      <c r="AB1124" s="45" t="s">
        <v>38</v>
      </c>
    </row>
    <row r="1125" spans="1:28" x14ac:dyDescent="0.2">
      <c r="A1125" s="96" t="s">
        <v>175</v>
      </c>
      <c r="B1125" s="96" t="s">
        <v>175</v>
      </c>
      <c r="C1125" s="277">
        <v>44551</v>
      </c>
      <c r="D1125" s="277">
        <v>44592</v>
      </c>
      <c r="E1125" s="279" t="s">
        <v>267</v>
      </c>
      <c r="F1125" s="133" t="s">
        <v>49</v>
      </c>
      <c r="G1125" s="270" t="s">
        <v>35</v>
      </c>
      <c r="H1125" s="272" t="s">
        <v>40</v>
      </c>
      <c r="I1125" s="273">
        <v>10</v>
      </c>
      <c r="J1125" s="270">
        <v>107</v>
      </c>
      <c r="K1125" s="270">
        <f t="shared" si="0"/>
        <v>1070</v>
      </c>
      <c r="L1125" s="270">
        <v>5211</v>
      </c>
      <c r="M1125" s="270">
        <v>-90</v>
      </c>
      <c r="N1125" s="274">
        <v>80</v>
      </c>
      <c r="O1125" s="55"/>
      <c r="P1125" s="45">
        <v>80</v>
      </c>
      <c r="Q1125" s="270">
        <v>16</v>
      </c>
      <c r="R1125" s="275">
        <v>5.5599999999999996E-4</v>
      </c>
      <c r="S1125" s="270">
        <v>17</v>
      </c>
      <c r="T1125" s="270">
        <v>97</v>
      </c>
      <c r="U1125" s="57">
        <v>1</v>
      </c>
      <c r="V1125" s="276">
        <v>0.17</v>
      </c>
      <c r="W1125" s="276">
        <v>0</v>
      </c>
      <c r="X1125" s="270">
        <v>81</v>
      </c>
      <c r="Y1125" s="270">
        <v>16</v>
      </c>
      <c r="Z1125" s="45" t="b">
        <v>1</v>
      </c>
      <c r="AA1125" s="45" t="s">
        <v>38</v>
      </c>
      <c r="AB1125" s="45" t="s">
        <v>38</v>
      </c>
    </row>
    <row r="1126" spans="1:28" x14ac:dyDescent="0.2">
      <c r="A1126" s="96" t="s">
        <v>175</v>
      </c>
      <c r="B1126" s="96" t="s">
        <v>175</v>
      </c>
      <c r="C1126" s="277">
        <v>44551</v>
      </c>
      <c r="D1126" s="277">
        <v>44592</v>
      </c>
      <c r="E1126" s="279" t="s">
        <v>267</v>
      </c>
      <c r="F1126" s="133" t="s">
        <v>49</v>
      </c>
      <c r="G1126" s="270" t="s">
        <v>35</v>
      </c>
      <c r="H1126" s="272" t="s">
        <v>46</v>
      </c>
      <c r="I1126" s="273">
        <v>25</v>
      </c>
      <c r="J1126" s="270">
        <v>855</v>
      </c>
      <c r="K1126" s="270">
        <f t="shared" si="0"/>
        <v>21375</v>
      </c>
      <c r="L1126" s="270">
        <v>37237</v>
      </c>
      <c r="M1126" s="270">
        <v>-575</v>
      </c>
      <c r="N1126" s="274">
        <v>1369</v>
      </c>
      <c r="O1126" s="55"/>
      <c r="P1126" s="105">
        <v>1369</v>
      </c>
      <c r="Q1126" s="270">
        <v>358</v>
      </c>
      <c r="R1126" s="275">
        <v>3.6400000000000001E-4</v>
      </c>
      <c r="S1126" s="270">
        <v>366</v>
      </c>
      <c r="T1126" s="270">
        <v>1735</v>
      </c>
      <c r="U1126" s="57">
        <v>1</v>
      </c>
      <c r="V1126" s="276">
        <v>0.17</v>
      </c>
      <c r="W1126" s="276">
        <v>0</v>
      </c>
      <c r="X1126" s="270">
        <v>1440</v>
      </c>
      <c r="Y1126" s="270">
        <v>295</v>
      </c>
      <c r="Z1126" s="45" t="b">
        <v>1</v>
      </c>
      <c r="AA1126" s="45" t="s">
        <v>38</v>
      </c>
      <c r="AB1126" s="45" t="s">
        <v>38</v>
      </c>
    </row>
    <row r="1127" spans="1:28" x14ac:dyDescent="0.2">
      <c r="A1127" s="96" t="s">
        <v>175</v>
      </c>
      <c r="B1127" s="96" t="s">
        <v>175</v>
      </c>
      <c r="C1127" s="277">
        <v>44551</v>
      </c>
      <c r="D1127" s="277">
        <v>44592</v>
      </c>
      <c r="E1127" s="279" t="s">
        <v>267</v>
      </c>
      <c r="F1127" s="133" t="s">
        <v>49</v>
      </c>
      <c r="G1127" s="270" t="s">
        <v>35</v>
      </c>
      <c r="H1127" s="272" t="s">
        <v>72</v>
      </c>
      <c r="I1127" s="273">
        <v>50</v>
      </c>
      <c r="J1127" s="270">
        <v>392</v>
      </c>
      <c r="K1127" s="270">
        <f t="shared" si="0"/>
        <v>19600</v>
      </c>
      <c r="L1127" s="270">
        <v>24052</v>
      </c>
      <c r="M1127" s="270">
        <v>950</v>
      </c>
      <c r="N1127" s="274">
        <v>1254</v>
      </c>
      <c r="O1127" s="55"/>
      <c r="P1127" s="105">
        <v>1254</v>
      </c>
      <c r="Q1127" s="270">
        <v>976</v>
      </c>
      <c r="R1127" s="275">
        <v>3.79E-4</v>
      </c>
      <c r="S1127" s="270">
        <v>983</v>
      </c>
      <c r="T1127" s="270">
        <v>2237</v>
      </c>
      <c r="U1127" s="57">
        <v>1</v>
      </c>
      <c r="V1127" s="276">
        <v>0.17</v>
      </c>
      <c r="W1127" s="276">
        <v>0</v>
      </c>
      <c r="X1127" s="270">
        <v>1857</v>
      </c>
      <c r="Y1127" s="270">
        <v>380</v>
      </c>
      <c r="Z1127" s="45" t="b">
        <v>1</v>
      </c>
      <c r="AA1127" s="45" t="s">
        <v>38</v>
      </c>
      <c r="AB1127" s="45" t="s">
        <v>38</v>
      </c>
    </row>
    <row r="1128" spans="1:28" x14ac:dyDescent="0.2">
      <c r="A1128" s="270" t="s">
        <v>98</v>
      </c>
      <c r="B1128" s="270" t="s">
        <v>98</v>
      </c>
      <c r="C1128" s="277">
        <v>44582</v>
      </c>
      <c r="D1128" s="277">
        <v>44592</v>
      </c>
      <c r="E1128" s="270" t="s">
        <v>267</v>
      </c>
      <c r="F1128" s="96" t="s">
        <v>49</v>
      </c>
      <c r="G1128" s="270" t="s">
        <v>80</v>
      </c>
      <c r="H1128" s="272" t="s">
        <v>71</v>
      </c>
      <c r="I1128" s="273">
        <v>20</v>
      </c>
      <c r="J1128" s="270">
        <v>1514</v>
      </c>
      <c r="K1128" s="270">
        <f t="shared" si="0"/>
        <v>30280</v>
      </c>
      <c r="L1128" s="270">
        <v>17446</v>
      </c>
      <c r="M1128" s="270">
        <v>-560</v>
      </c>
      <c r="N1128" s="274">
        <f>1057-170</f>
        <v>887</v>
      </c>
      <c r="O1128" s="55"/>
      <c r="P1128" s="45">
        <v>887</v>
      </c>
      <c r="Q1128" s="270">
        <v>-1217</v>
      </c>
      <c r="R1128" s="275">
        <v>2.931E-3</v>
      </c>
      <c r="S1128" s="270">
        <v>-1128</v>
      </c>
      <c r="T1128" s="270">
        <v>-241</v>
      </c>
      <c r="U1128" s="57">
        <v>1</v>
      </c>
      <c r="V1128" s="276">
        <v>0.25</v>
      </c>
      <c r="W1128" s="276">
        <v>0</v>
      </c>
      <c r="X1128" s="270">
        <v>-181</v>
      </c>
      <c r="Y1128" s="270">
        <v>-60</v>
      </c>
      <c r="Z1128" s="45" t="b">
        <v>1</v>
      </c>
      <c r="AA1128" s="45" t="s">
        <v>38</v>
      </c>
      <c r="AB1128" s="45" t="s">
        <v>38</v>
      </c>
    </row>
    <row r="1129" spans="1:28" x14ac:dyDescent="0.2">
      <c r="A1129" s="270" t="s">
        <v>98</v>
      </c>
      <c r="B1129" s="270" t="s">
        <v>98</v>
      </c>
      <c r="C1129" s="277">
        <v>44582</v>
      </c>
      <c r="D1129" s="277">
        <v>44592</v>
      </c>
      <c r="E1129" s="270" t="s">
        <v>267</v>
      </c>
      <c r="F1129" s="96" t="s">
        <v>49</v>
      </c>
      <c r="G1129" s="270" t="s">
        <v>80</v>
      </c>
      <c r="H1129" s="272" t="s">
        <v>72</v>
      </c>
      <c r="I1129" s="273">
        <v>50</v>
      </c>
      <c r="J1129" s="270">
        <v>22</v>
      </c>
      <c r="K1129" s="270">
        <f t="shared" si="0"/>
        <v>1100</v>
      </c>
      <c r="L1129" s="270">
        <v>-431</v>
      </c>
      <c r="M1129" s="270">
        <v>-300</v>
      </c>
      <c r="N1129" s="274">
        <v>300</v>
      </c>
      <c r="O1129" s="55"/>
      <c r="P1129" s="45">
        <v>300</v>
      </c>
      <c r="Q1129" s="270">
        <v>-143</v>
      </c>
      <c r="R1129" s="275">
        <v>1.7874000000000001E-2</v>
      </c>
      <c r="S1129" s="270">
        <v>-123</v>
      </c>
      <c r="T1129" s="270">
        <v>177</v>
      </c>
      <c r="U1129" s="57">
        <v>1</v>
      </c>
      <c r="V1129" s="276">
        <v>0.25</v>
      </c>
      <c r="W1129" s="276">
        <v>0</v>
      </c>
      <c r="X1129" s="270">
        <v>133</v>
      </c>
      <c r="Y1129" s="270">
        <v>44</v>
      </c>
      <c r="Z1129" s="45" t="b">
        <v>1</v>
      </c>
      <c r="AA1129" s="45" t="s">
        <v>38</v>
      </c>
      <c r="AB1129" s="45" t="s">
        <v>38</v>
      </c>
    </row>
    <row r="1130" spans="1:28" x14ac:dyDescent="0.2">
      <c r="A1130" s="96" t="s">
        <v>286</v>
      </c>
      <c r="B1130" s="96" t="s">
        <v>286</v>
      </c>
      <c r="C1130" s="277">
        <v>44582</v>
      </c>
      <c r="D1130" s="277">
        <v>44612</v>
      </c>
      <c r="E1130" s="270" t="s">
        <v>267</v>
      </c>
      <c r="F1130" s="133" t="s">
        <v>34</v>
      </c>
      <c r="G1130" s="96" t="s">
        <v>35</v>
      </c>
      <c r="H1130" s="272" t="s">
        <v>39</v>
      </c>
      <c r="I1130" s="273">
        <v>5</v>
      </c>
      <c r="J1130" s="270">
        <v>3</v>
      </c>
      <c r="K1130" s="270">
        <f t="shared" si="0"/>
        <v>15</v>
      </c>
      <c r="L1130" s="270">
        <v>48</v>
      </c>
      <c r="M1130" s="270">
        <v>10</v>
      </c>
      <c r="N1130" s="274">
        <v>1</v>
      </c>
      <c r="O1130" s="55"/>
      <c r="P1130" s="45">
        <v>1</v>
      </c>
      <c r="Q1130" s="270">
        <v>-1</v>
      </c>
      <c r="R1130" s="275">
        <v>-1.5E-3</v>
      </c>
      <c r="S1130" s="270">
        <v>-1</v>
      </c>
      <c r="T1130" s="270">
        <v>0</v>
      </c>
      <c r="U1130" s="57">
        <v>1</v>
      </c>
      <c r="V1130" s="276">
        <v>0.15</v>
      </c>
      <c r="W1130" s="276">
        <v>0</v>
      </c>
      <c r="X1130" s="270">
        <v>0</v>
      </c>
      <c r="Y1130" s="270">
        <v>0</v>
      </c>
      <c r="Z1130" s="45" t="b">
        <v>1</v>
      </c>
      <c r="AA1130" s="45" t="s">
        <v>38</v>
      </c>
      <c r="AB1130" s="45" t="s">
        <v>38</v>
      </c>
    </row>
    <row r="1131" spans="1:28" x14ac:dyDescent="0.2">
      <c r="A1131" s="96" t="s">
        <v>286</v>
      </c>
      <c r="B1131" s="96" t="s">
        <v>286</v>
      </c>
      <c r="C1131" s="277">
        <v>44582</v>
      </c>
      <c r="D1131" s="277">
        <v>44612</v>
      </c>
      <c r="E1131" s="270" t="s">
        <v>267</v>
      </c>
      <c r="F1131" s="133" t="s">
        <v>34</v>
      </c>
      <c r="G1131" s="96" t="s">
        <v>35</v>
      </c>
      <c r="H1131" s="272" t="s">
        <v>40</v>
      </c>
      <c r="I1131" s="273">
        <v>10</v>
      </c>
      <c r="J1131" s="270">
        <v>1</v>
      </c>
      <c r="K1131" s="270">
        <f t="shared" si="0"/>
        <v>10</v>
      </c>
      <c r="L1131" s="270">
        <v>-299</v>
      </c>
      <c r="M1131" s="270">
        <v>-10</v>
      </c>
      <c r="N1131" s="274"/>
      <c r="O1131" s="55"/>
      <c r="P1131" s="96"/>
      <c r="Q1131" s="270">
        <v>-6</v>
      </c>
      <c r="R1131" s="275">
        <v>-1.5E-3</v>
      </c>
      <c r="S1131" s="270">
        <v>-6</v>
      </c>
      <c r="T1131" s="270">
        <v>-6</v>
      </c>
      <c r="U1131" s="57">
        <v>1</v>
      </c>
      <c r="V1131" s="276">
        <v>0.15</v>
      </c>
      <c r="W1131" s="276">
        <v>0</v>
      </c>
      <c r="X1131" s="270">
        <v>-5</v>
      </c>
      <c r="Y1131" s="270">
        <v>-1</v>
      </c>
      <c r="Z1131" s="45" t="b">
        <v>1</v>
      </c>
      <c r="AA1131" s="45" t="s">
        <v>38</v>
      </c>
      <c r="AB1131" s="45" t="s">
        <v>38</v>
      </c>
    </row>
    <row r="1132" spans="1:28" x14ac:dyDescent="0.2">
      <c r="A1132" s="96" t="s">
        <v>286</v>
      </c>
      <c r="B1132" s="96" t="s">
        <v>286</v>
      </c>
      <c r="C1132" s="277">
        <v>44582</v>
      </c>
      <c r="D1132" s="277">
        <v>44612</v>
      </c>
      <c r="E1132" s="270" t="s">
        <v>267</v>
      </c>
      <c r="F1132" s="133" t="s">
        <v>34</v>
      </c>
      <c r="G1132" s="96" t="s">
        <v>35</v>
      </c>
      <c r="H1132" s="272" t="s">
        <v>115</v>
      </c>
      <c r="I1132" s="273">
        <v>10</v>
      </c>
      <c r="J1132" s="270">
        <v>104</v>
      </c>
      <c r="K1132" s="270">
        <f t="shared" si="0"/>
        <v>1040</v>
      </c>
      <c r="L1132" s="270">
        <v>-4463</v>
      </c>
      <c r="M1132" s="270">
        <v>-140</v>
      </c>
      <c r="N1132" s="274">
        <v>46</v>
      </c>
      <c r="O1132" s="55"/>
      <c r="P1132" s="45">
        <v>46</v>
      </c>
      <c r="Q1132" s="270">
        <v>-213</v>
      </c>
      <c r="R1132" s="275">
        <v>-1.5E-3</v>
      </c>
      <c r="S1132" s="270">
        <v>-215</v>
      </c>
      <c r="T1132" s="270">
        <v>-169</v>
      </c>
      <c r="U1132" s="57">
        <v>1</v>
      </c>
      <c r="V1132" s="276">
        <v>0.15</v>
      </c>
      <c r="W1132" s="276">
        <v>0</v>
      </c>
      <c r="X1132" s="270">
        <v>-144</v>
      </c>
      <c r="Y1132" s="270">
        <v>-25</v>
      </c>
      <c r="Z1132" s="45" t="b">
        <v>1</v>
      </c>
      <c r="AA1132" s="45" t="s">
        <v>38</v>
      </c>
      <c r="AB1132" s="45" t="s">
        <v>38</v>
      </c>
    </row>
    <row r="1133" spans="1:28" x14ac:dyDescent="0.2">
      <c r="A1133" s="96" t="s">
        <v>286</v>
      </c>
      <c r="B1133" s="96" t="s">
        <v>286</v>
      </c>
      <c r="C1133" s="277">
        <v>44582</v>
      </c>
      <c r="D1133" s="277">
        <v>44612</v>
      </c>
      <c r="E1133" s="270" t="s">
        <v>267</v>
      </c>
      <c r="F1133" s="133" t="s">
        <v>34</v>
      </c>
      <c r="G1133" s="96" t="s">
        <v>35</v>
      </c>
      <c r="H1133" s="272" t="s">
        <v>46</v>
      </c>
      <c r="I1133" s="273">
        <v>25</v>
      </c>
      <c r="J1133" s="270">
        <v>407</v>
      </c>
      <c r="K1133" s="270">
        <f t="shared" si="0"/>
        <v>10175</v>
      </c>
      <c r="L1133" s="270">
        <v>7059</v>
      </c>
      <c r="M1133" s="270">
        <v>-475</v>
      </c>
      <c r="N1133" s="274">
        <v>383</v>
      </c>
      <c r="O1133" s="55"/>
      <c r="P1133" s="45">
        <v>383</v>
      </c>
      <c r="Q1133" s="270">
        <v>-324</v>
      </c>
      <c r="R1133" s="275">
        <v>-1.5E-3</v>
      </c>
      <c r="S1133" s="270">
        <v>-339</v>
      </c>
      <c r="T1133" s="270">
        <v>44</v>
      </c>
      <c r="U1133" s="57">
        <v>1</v>
      </c>
      <c r="V1133" s="276">
        <v>0.15</v>
      </c>
      <c r="W1133" s="276">
        <v>0</v>
      </c>
      <c r="X1133" s="270">
        <v>37</v>
      </c>
      <c r="Y1133" s="270">
        <v>7</v>
      </c>
      <c r="Z1133" s="45" t="b">
        <v>1</v>
      </c>
      <c r="AA1133" s="45" t="s">
        <v>38</v>
      </c>
      <c r="AB1133" s="45" t="s">
        <v>38</v>
      </c>
    </row>
    <row r="1134" spans="1:28" x14ac:dyDescent="0.2">
      <c r="A1134" s="96" t="s">
        <v>286</v>
      </c>
      <c r="B1134" s="96" t="s">
        <v>286</v>
      </c>
      <c r="C1134" s="277">
        <v>44582</v>
      </c>
      <c r="D1134" s="277">
        <v>44612</v>
      </c>
      <c r="E1134" s="270" t="s">
        <v>267</v>
      </c>
      <c r="F1134" s="133" t="s">
        <v>34</v>
      </c>
      <c r="G1134" s="96" t="s">
        <v>35</v>
      </c>
      <c r="H1134" s="272" t="s">
        <v>87</v>
      </c>
      <c r="I1134" s="273">
        <v>25</v>
      </c>
      <c r="J1134" s="270">
        <v>2645</v>
      </c>
      <c r="K1134" s="270">
        <f t="shared" si="0"/>
        <v>66125</v>
      </c>
      <c r="L1134" s="270">
        <v>20001</v>
      </c>
      <c r="M1134" s="270">
        <v>-3125</v>
      </c>
      <c r="N1134" s="274">
        <v>2488</v>
      </c>
      <c r="O1134" s="55"/>
      <c r="P1134" s="105">
        <v>2488</v>
      </c>
      <c r="Q1134" s="270">
        <v>-2687</v>
      </c>
      <c r="R1134" s="275">
        <v>-1.5E-3</v>
      </c>
      <c r="S1134" s="270">
        <v>-2786</v>
      </c>
      <c r="T1134" s="270">
        <v>-298</v>
      </c>
      <c r="U1134" s="57">
        <v>1</v>
      </c>
      <c r="V1134" s="276">
        <v>0.15</v>
      </c>
      <c r="W1134" s="276">
        <v>0</v>
      </c>
      <c r="X1134" s="270">
        <v>-253</v>
      </c>
      <c r="Y1134" s="270">
        <v>-45</v>
      </c>
      <c r="Z1134" s="45" t="b">
        <v>1</v>
      </c>
      <c r="AA1134" s="45" t="s">
        <v>38</v>
      </c>
      <c r="AB1134" s="45" t="s">
        <v>38</v>
      </c>
    </row>
    <row r="1135" spans="1:28" x14ac:dyDescent="0.2">
      <c r="A1135" s="96" t="s">
        <v>286</v>
      </c>
      <c r="B1135" s="96" t="s">
        <v>286</v>
      </c>
      <c r="C1135" s="277">
        <v>44582</v>
      </c>
      <c r="D1135" s="277">
        <v>44612</v>
      </c>
      <c r="E1135" s="270" t="s">
        <v>267</v>
      </c>
      <c r="F1135" s="133" t="s">
        <v>34</v>
      </c>
      <c r="G1135" s="96" t="s">
        <v>35</v>
      </c>
      <c r="H1135" s="272" t="s">
        <v>72</v>
      </c>
      <c r="I1135" s="273">
        <v>50</v>
      </c>
      <c r="J1135" s="270">
        <v>185</v>
      </c>
      <c r="K1135" s="270">
        <f t="shared" si="0"/>
        <v>9250</v>
      </c>
      <c r="L1135" s="270">
        <v>7237</v>
      </c>
      <c r="M1135" s="270">
        <v>-700</v>
      </c>
      <c r="N1135" s="274">
        <v>348</v>
      </c>
      <c r="O1135" s="55"/>
      <c r="P1135" s="45">
        <v>348</v>
      </c>
      <c r="Q1135" s="270">
        <v>79</v>
      </c>
      <c r="R1135" s="275">
        <v>-1.5E-3</v>
      </c>
      <c r="S1135" s="270">
        <v>65</v>
      </c>
      <c r="T1135" s="270">
        <v>413</v>
      </c>
      <c r="U1135" s="57">
        <v>1</v>
      </c>
      <c r="V1135" s="276">
        <v>0.15</v>
      </c>
      <c r="W1135" s="276">
        <v>0</v>
      </c>
      <c r="X1135" s="270">
        <v>351</v>
      </c>
      <c r="Y1135" s="270">
        <v>62</v>
      </c>
      <c r="Z1135" s="45" t="b">
        <v>1</v>
      </c>
      <c r="AA1135" s="45" t="s">
        <v>38</v>
      </c>
      <c r="AB1135" s="45" t="s">
        <v>38</v>
      </c>
    </row>
    <row r="1136" spans="1:28" x14ac:dyDescent="0.2">
      <c r="A1136" s="96" t="s">
        <v>286</v>
      </c>
      <c r="B1136" s="96" t="s">
        <v>286</v>
      </c>
      <c r="C1136" s="277">
        <v>44582</v>
      </c>
      <c r="D1136" s="277">
        <v>44612</v>
      </c>
      <c r="E1136" s="270" t="s">
        <v>267</v>
      </c>
      <c r="F1136" s="133" t="s">
        <v>34</v>
      </c>
      <c r="G1136" s="96" t="s">
        <v>35</v>
      </c>
      <c r="H1136" s="272" t="s">
        <v>85</v>
      </c>
      <c r="I1136" s="273">
        <v>50</v>
      </c>
      <c r="J1136" s="270">
        <v>223</v>
      </c>
      <c r="K1136" s="270">
        <f t="shared" si="0"/>
        <v>11150</v>
      </c>
      <c r="L1136" s="270">
        <v>4062</v>
      </c>
      <c r="M1136" s="270">
        <v>-250</v>
      </c>
      <c r="N1136" s="274">
        <v>419</v>
      </c>
      <c r="O1136" s="55"/>
      <c r="P1136" s="45">
        <v>419</v>
      </c>
      <c r="Q1136" s="270">
        <v>-86</v>
      </c>
      <c r="R1136" s="275">
        <v>-1.5E-3</v>
      </c>
      <c r="S1136" s="270">
        <v>-103</v>
      </c>
      <c r="T1136" s="270">
        <v>316</v>
      </c>
      <c r="U1136" s="57">
        <v>1</v>
      </c>
      <c r="V1136" s="276">
        <v>0.15</v>
      </c>
      <c r="W1136" s="276">
        <v>0</v>
      </c>
      <c r="X1136" s="270">
        <v>269</v>
      </c>
      <c r="Y1136" s="270">
        <v>47</v>
      </c>
      <c r="Z1136" s="45" t="b">
        <v>1</v>
      </c>
      <c r="AA1136" s="45" t="s">
        <v>38</v>
      </c>
      <c r="AB1136" s="45" t="s">
        <v>38</v>
      </c>
    </row>
    <row r="1137" spans="1:28" x14ac:dyDescent="0.2">
      <c r="A1137" s="96" t="s">
        <v>286</v>
      </c>
      <c r="B1137" s="96" t="s">
        <v>286</v>
      </c>
      <c r="C1137" s="277">
        <v>44582</v>
      </c>
      <c r="D1137" s="277">
        <v>44612</v>
      </c>
      <c r="E1137" s="270" t="s">
        <v>267</v>
      </c>
      <c r="F1137" s="133" t="s">
        <v>41</v>
      </c>
      <c r="G1137" s="96" t="s">
        <v>35</v>
      </c>
      <c r="H1137" s="272" t="s">
        <v>36</v>
      </c>
      <c r="I1137" s="273">
        <v>2</v>
      </c>
      <c r="J1137" s="270">
        <v>2</v>
      </c>
      <c r="K1137" s="270">
        <f t="shared" si="0"/>
        <v>4</v>
      </c>
      <c r="L1137" s="270"/>
      <c r="M1137" s="270">
        <v>-4</v>
      </c>
      <c r="N1137" s="274"/>
      <c r="O1137" s="55"/>
      <c r="P1137" s="96"/>
      <c r="Q1137" s="270"/>
      <c r="R1137" s="275">
        <v>0</v>
      </c>
      <c r="S1137" s="270"/>
      <c r="T1137" s="270">
        <v>-4</v>
      </c>
      <c r="U1137" s="57">
        <v>1</v>
      </c>
      <c r="V1137" s="276">
        <v>0.15</v>
      </c>
      <c r="W1137" s="276">
        <v>0</v>
      </c>
      <c r="X1137" s="270">
        <v>-3</v>
      </c>
      <c r="Y1137" s="270">
        <v>-1</v>
      </c>
      <c r="Z1137" s="45" t="b">
        <v>1</v>
      </c>
      <c r="AA1137" s="45" t="s">
        <v>38</v>
      </c>
      <c r="AB1137" s="45" t="s">
        <v>38</v>
      </c>
    </row>
    <row r="1138" spans="1:28" x14ac:dyDescent="0.2">
      <c r="A1138" s="96" t="s">
        <v>286</v>
      </c>
      <c r="B1138" s="96" t="s">
        <v>286</v>
      </c>
      <c r="C1138" s="277">
        <v>44582</v>
      </c>
      <c r="D1138" s="277">
        <v>44612</v>
      </c>
      <c r="E1138" s="270" t="s">
        <v>267</v>
      </c>
      <c r="F1138" s="133" t="s">
        <v>41</v>
      </c>
      <c r="G1138" s="96" t="s">
        <v>35</v>
      </c>
      <c r="H1138" s="272" t="s">
        <v>43</v>
      </c>
      <c r="I1138" s="273">
        <v>2</v>
      </c>
      <c r="J1138" s="270">
        <v>1</v>
      </c>
      <c r="K1138" s="270">
        <f t="shared" si="0"/>
        <v>2</v>
      </c>
      <c r="L1138" s="270"/>
      <c r="M1138" s="270">
        <v>4</v>
      </c>
      <c r="N1138" s="274"/>
      <c r="O1138" s="55"/>
      <c r="P1138" s="96"/>
      <c r="Q1138" s="270"/>
      <c r="R1138" s="275">
        <v>0</v>
      </c>
      <c r="S1138" s="270"/>
      <c r="T1138" s="270">
        <v>4</v>
      </c>
      <c r="U1138" s="57">
        <v>1</v>
      </c>
      <c r="V1138" s="276">
        <v>0.15</v>
      </c>
      <c r="W1138" s="276">
        <v>0</v>
      </c>
      <c r="X1138" s="270">
        <v>3</v>
      </c>
      <c r="Y1138" s="270">
        <v>1</v>
      </c>
      <c r="Z1138" s="45" t="b">
        <v>1</v>
      </c>
      <c r="AA1138" s="45" t="s">
        <v>38</v>
      </c>
      <c r="AB1138" s="45" t="s">
        <v>38</v>
      </c>
    </row>
    <row r="1139" spans="1:28" x14ac:dyDescent="0.2">
      <c r="A1139" s="96" t="s">
        <v>82</v>
      </c>
      <c r="B1139" s="96" t="s">
        <v>82</v>
      </c>
      <c r="C1139" s="277">
        <v>44582</v>
      </c>
      <c r="D1139" s="277">
        <v>44612</v>
      </c>
      <c r="E1139" s="270" t="s">
        <v>300</v>
      </c>
      <c r="F1139" s="133" t="s">
        <v>34</v>
      </c>
      <c r="G1139" s="96" t="s">
        <v>35</v>
      </c>
      <c r="H1139" s="272" t="s">
        <v>72</v>
      </c>
      <c r="I1139" s="273">
        <v>50</v>
      </c>
      <c r="J1139" s="270">
        <v>4767</v>
      </c>
      <c r="K1139" s="270">
        <f t="shared" si="0"/>
        <v>238350</v>
      </c>
      <c r="L1139" s="270">
        <v>126592</v>
      </c>
      <c r="M1139" s="270">
        <v>-6300</v>
      </c>
      <c r="N1139" s="274">
        <v>14000</v>
      </c>
      <c r="O1139" s="55"/>
      <c r="P1139" s="105">
        <v>14000</v>
      </c>
      <c r="Q1139" s="270">
        <v>-3269</v>
      </c>
      <c r="R1139" s="275">
        <v>-1.9000000000000001E-4</v>
      </c>
      <c r="S1139" s="270">
        <v>-3315</v>
      </c>
      <c r="T1139" s="270">
        <v>10685</v>
      </c>
      <c r="U1139" s="57">
        <v>1</v>
      </c>
      <c r="V1139" s="276">
        <v>0.15</v>
      </c>
      <c r="W1139" s="276">
        <v>0.05</v>
      </c>
      <c r="X1139" s="270">
        <v>8548</v>
      </c>
      <c r="Y1139" s="270">
        <v>2137</v>
      </c>
      <c r="Z1139" s="45" t="b">
        <v>1</v>
      </c>
      <c r="AA1139" s="45" t="s">
        <v>38</v>
      </c>
      <c r="AB1139" s="45" t="s">
        <v>38</v>
      </c>
    </row>
    <row r="1140" spans="1:28" x14ac:dyDescent="0.2">
      <c r="A1140" s="96" t="s">
        <v>154</v>
      </c>
      <c r="B1140" s="279" t="s">
        <v>1001</v>
      </c>
      <c r="C1140" s="282">
        <v>44582</v>
      </c>
      <c r="D1140" s="282">
        <v>44612</v>
      </c>
      <c r="E1140" s="279" t="s">
        <v>267</v>
      </c>
      <c r="F1140" s="133" t="s">
        <v>34</v>
      </c>
      <c r="G1140" s="279" t="s">
        <v>61</v>
      </c>
      <c r="H1140" s="272" t="s">
        <v>64</v>
      </c>
      <c r="I1140" s="280">
        <v>10</v>
      </c>
      <c r="J1140" s="279">
        <v>916</v>
      </c>
      <c r="K1140" s="270">
        <f t="shared" si="0"/>
        <v>9160</v>
      </c>
      <c r="L1140" s="279">
        <v>38261</v>
      </c>
      <c r="M1140" s="279">
        <v>-511</v>
      </c>
      <c r="N1140" s="281">
        <v>290</v>
      </c>
      <c r="O1140" s="55"/>
      <c r="P1140" s="45">
        <v>290</v>
      </c>
      <c r="Q1140" s="279">
        <v>-180</v>
      </c>
      <c r="R1140" s="275">
        <v>-1.9000000000000001E-4</v>
      </c>
      <c r="S1140" s="279">
        <v>-182</v>
      </c>
      <c r="T1140" s="279">
        <v>108</v>
      </c>
      <c r="U1140" s="57">
        <v>1.1359999999999999</v>
      </c>
      <c r="V1140" s="276">
        <v>0.2</v>
      </c>
      <c r="W1140" s="276">
        <v>0</v>
      </c>
      <c r="X1140" s="279">
        <v>98</v>
      </c>
      <c r="Y1140" s="279">
        <v>25</v>
      </c>
      <c r="Z1140" s="45" t="b">
        <v>1</v>
      </c>
      <c r="AA1140" s="45" t="s">
        <v>38</v>
      </c>
      <c r="AB1140" s="45" t="s">
        <v>50</v>
      </c>
    </row>
    <row r="1141" spans="1:28" x14ac:dyDescent="0.2">
      <c r="A1141" s="96" t="s">
        <v>154</v>
      </c>
      <c r="B1141" s="96" t="s">
        <v>154</v>
      </c>
      <c r="C1141" s="282">
        <v>44582</v>
      </c>
      <c r="D1141" s="282">
        <v>44612</v>
      </c>
      <c r="E1141" s="279" t="s">
        <v>267</v>
      </c>
      <c r="F1141" s="133" t="s">
        <v>34</v>
      </c>
      <c r="G1141" s="270" t="s">
        <v>35</v>
      </c>
      <c r="H1141" s="272" t="s">
        <v>40</v>
      </c>
      <c r="I1141" s="280">
        <v>10</v>
      </c>
      <c r="J1141" s="279">
        <v>53</v>
      </c>
      <c r="K1141" s="270">
        <f t="shared" si="0"/>
        <v>530</v>
      </c>
      <c r="L1141" s="279">
        <v>7780</v>
      </c>
      <c r="M1141" s="279">
        <v>20</v>
      </c>
      <c r="N1141" s="274">
        <v>4</v>
      </c>
      <c r="O1141" s="55"/>
      <c r="P1141" s="45">
        <v>4</v>
      </c>
      <c r="Q1141" s="279">
        <v>106</v>
      </c>
      <c r="R1141" s="275">
        <v>-1.9000000000000001E-4</v>
      </c>
      <c r="S1141" s="279">
        <v>106</v>
      </c>
      <c r="T1141" s="279">
        <v>110</v>
      </c>
      <c r="U1141" s="57">
        <v>1</v>
      </c>
      <c r="V1141" s="276">
        <v>0.2</v>
      </c>
      <c r="W1141" s="276">
        <v>0</v>
      </c>
      <c r="X1141" s="279">
        <v>88</v>
      </c>
      <c r="Y1141" s="279">
        <v>22</v>
      </c>
      <c r="Z1141" s="45" t="b">
        <v>1</v>
      </c>
      <c r="AA1141" s="45" t="s">
        <v>38</v>
      </c>
      <c r="AB1141" s="45" t="s">
        <v>38</v>
      </c>
    </row>
    <row r="1142" spans="1:28" x14ac:dyDescent="0.2">
      <c r="A1142" s="279" t="s">
        <v>355</v>
      </c>
      <c r="B1142" s="279" t="s">
        <v>989</v>
      </c>
      <c r="C1142" s="282">
        <v>44582</v>
      </c>
      <c r="D1142" s="282">
        <v>44612</v>
      </c>
      <c r="E1142" s="279" t="s">
        <v>300</v>
      </c>
      <c r="F1142" s="133" t="s">
        <v>34</v>
      </c>
      <c r="G1142" s="279" t="s">
        <v>61</v>
      </c>
      <c r="H1142" s="272" t="s">
        <v>64</v>
      </c>
      <c r="I1142" s="280">
        <v>10</v>
      </c>
      <c r="J1142" s="279">
        <v>632</v>
      </c>
      <c r="K1142" s="270">
        <f t="shared" si="0"/>
        <v>6320</v>
      </c>
      <c r="L1142" s="279">
        <v>43498</v>
      </c>
      <c r="M1142" s="279">
        <v>364</v>
      </c>
      <c r="N1142" s="281">
        <v>1747.99</v>
      </c>
      <c r="O1142" s="55"/>
      <c r="P1142" s="105">
        <v>1748</v>
      </c>
      <c r="Q1142" s="279">
        <v>228</v>
      </c>
      <c r="R1142" s="275">
        <v>-1.9000000000000001E-4</v>
      </c>
      <c r="S1142" s="279">
        <v>227</v>
      </c>
      <c r="T1142" s="279">
        <v>1975</v>
      </c>
      <c r="U1142" s="57">
        <v>1.1359999999999999</v>
      </c>
      <c r="V1142" s="276">
        <v>0.15</v>
      </c>
      <c r="W1142" s="276">
        <v>0.05</v>
      </c>
      <c r="X1142" s="279">
        <v>1795</v>
      </c>
      <c r="Y1142" s="279">
        <v>449</v>
      </c>
      <c r="Z1142" s="45" t="b">
        <v>1</v>
      </c>
      <c r="AA1142" s="45" t="s">
        <v>38</v>
      </c>
      <c r="AB1142" s="45" t="s">
        <v>50</v>
      </c>
    </row>
    <row r="1143" spans="1:28" x14ac:dyDescent="0.2">
      <c r="A1143" s="279" t="s">
        <v>355</v>
      </c>
      <c r="B1143" s="279" t="s">
        <v>989</v>
      </c>
      <c r="C1143" s="282">
        <v>44582</v>
      </c>
      <c r="D1143" s="282">
        <v>44612</v>
      </c>
      <c r="E1143" s="279" t="s">
        <v>300</v>
      </c>
      <c r="F1143" s="133" t="s">
        <v>34</v>
      </c>
      <c r="G1143" s="279" t="s">
        <v>61</v>
      </c>
      <c r="H1143" s="272" t="s">
        <v>65</v>
      </c>
      <c r="I1143" s="280">
        <v>25</v>
      </c>
      <c r="J1143" s="279">
        <v>2042</v>
      </c>
      <c r="K1143" s="270">
        <f t="shared" si="0"/>
        <v>51050</v>
      </c>
      <c r="L1143" s="279">
        <v>138353</v>
      </c>
      <c r="M1143" s="279">
        <v>1789</v>
      </c>
      <c r="N1143" s="281">
        <v>162.01</v>
      </c>
      <c r="O1143" s="55"/>
      <c r="P1143" s="45">
        <v>162</v>
      </c>
      <c r="Q1143" s="279">
        <v>1745</v>
      </c>
      <c r="R1143" s="275">
        <v>-1.9000000000000001E-4</v>
      </c>
      <c r="S1143" s="279">
        <v>1736</v>
      </c>
      <c r="T1143" s="279">
        <v>1898</v>
      </c>
      <c r="U1143" s="57">
        <v>1.1359999999999999</v>
      </c>
      <c r="V1143" s="276">
        <v>0.15</v>
      </c>
      <c r="W1143" s="276">
        <v>0.05</v>
      </c>
      <c r="X1143" s="279">
        <v>1725</v>
      </c>
      <c r="Y1143" s="279">
        <v>431</v>
      </c>
      <c r="Z1143" s="45" t="b">
        <v>1</v>
      </c>
      <c r="AA1143" s="45" t="s">
        <v>38</v>
      </c>
      <c r="AB1143" s="45" t="s">
        <v>50</v>
      </c>
    </row>
    <row r="1144" spans="1:28" x14ac:dyDescent="0.2">
      <c r="A1144" s="279" t="s">
        <v>395</v>
      </c>
      <c r="B1144" s="279" t="s">
        <v>395</v>
      </c>
      <c r="C1144" s="282">
        <v>44582</v>
      </c>
      <c r="D1144" s="282">
        <v>44612</v>
      </c>
      <c r="E1144" s="279" t="s">
        <v>267</v>
      </c>
      <c r="F1144" s="133" t="s">
        <v>34</v>
      </c>
      <c r="G1144" s="279" t="s">
        <v>61</v>
      </c>
      <c r="H1144" s="272" t="s">
        <v>111</v>
      </c>
      <c r="I1144" s="280">
        <v>50</v>
      </c>
      <c r="J1144" s="279">
        <v>237</v>
      </c>
      <c r="K1144" s="270">
        <f t="shared" si="0"/>
        <v>11850</v>
      </c>
      <c r="L1144" s="279">
        <v>4864</v>
      </c>
      <c r="M1144" s="279">
        <v>-1420</v>
      </c>
      <c r="N1144" s="281">
        <v>8357.77</v>
      </c>
      <c r="O1144" s="55"/>
      <c r="P1144" s="105">
        <v>8358</v>
      </c>
      <c r="Q1144" s="279">
        <v>-607</v>
      </c>
      <c r="R1144" s="275">
        <v>-1.9000000000000001E-4</v>
      </c>
      <c r="S1144" s="279">
        <v>-609</v>
      </c>
      <c r="T1144" s="279">
        <v>7749</v>
      </c>
      <c r="U1144" s="57">
        <v>1.1359999999999999</v>
      </c>
      <c r="V1144" s="276">
        <v>0.19</v>
      </c>
      <c r="W1144" s="276">
        <v>0</v>
      </c>
      <c r="X1144" s="279">
        <v>7130</v>
      </c>
      <c r="Y1144" s="279">
        <v>1672</v>
      </c>
      <c r="Z1144" s="45" t="b">
        <v>1</v>
      </c>
      <c r="AA1144" s="45" t="s">
        <v>38</v>
      </c>
      <c r="AB1144" s="45" t="s">
        <v>50</v>
      </c>
    </row>
    <row r="1145" spans="1:28" x14ac:dyDescent="0.2">
      <c r="A1145" s="279" t="s">
        <v>395</v>
      </c>
      <c r="B1145" s="279" t="s">
        <v>395</v>
      </c>
      <c r="C1145" s="282">
        <v>44582</v>
      </c>
      <c r="D1145" s="282">
        <v>44612</v>
      </c>
      <c r="E1145" s="279" t="s">
        <v>267</v>
      </c>
      <c r="F1145" s="133" t="s">
        <v>34</v>
      </c>
      <c r="G1145" s="279" t="s">
        <v>61</v>
      </c>
      <c r="H1145" s="272" t="s">
        <v>59</v>
      </c>
      <c r="I1145" s="280">
        <v>100</v>
      </c>
      <c r="J1145" s="279">
        <v>1216</v>
      </c>
      <c r="K1145" s="270">
        <f t="shared" si="0"/>
        <v>121600</v>
      </c>
      <c r="L1145" s="279">
        <v>35390</v>
      </c>
      <c r="M1145" s="279">
        <v>0</v>
      </c>
      <c r="N1145" s="281">
        <v>1230.07</v>
      </c>
      <c r="O1145" s="55"/>
      <c r="P1145" s="105">
        <v>1230</v>
      </c>
      <c r="Q1145" s="279">
        <v>-4311</v>
      </c>
      <c r="R1145" s="275">
        <v>-1.9000000000000001E-4</v>
      </c>
      <c r="S1145" s="279">
        <v>-4334</v>
      </c>
      <c r="T1145" s="279">
        <v>-3104</v>
      </c>
      <c r="U1145" s="57">
        <v>1.1359999999999999</v>
      </c>
      <c r="V1145" s="276">
        <v>0.19</v>
      </c>
      <c r="W1145" s="276">
        <v>0</v>
      </c>
      <c r="X1145" s="279">
        <v>-2856</v>
      </c>
      <c r="Y1145" s="279">
        <v>-670</v>
      </c>
      <c r="Z1145" s="45" t="b">
        <v>1</v>
      </c>
      <c r="AA1145" s="45" t="s">
        <v>38</v>
      </c>
      <c r="AB1145" s="45" t="s">
        <v>50</v>
      </c>
    </row>
    <row r="1146" spans="1:28" x14ac:dyDescent="0.2">
      <c r="A1146" s="279" t="s">
        <v>395</v>
      </c>
      <c r="B1146" s="279" t="s">
        <v>395</v>
      </c>
      <c r="C1146" s="282">
        <v>44582</v>
      </c>
      <c r="D1146" s="282">
        <v>44612</v>
      </c>
      <c r="E1146" s="279" t="s">
        <v>267</v>
      </c>
      <c r="F1146" s="133" t="s">
        <v>34</v>
      </c>
      <c r="G1146" s="279" t="s">
        <v>61</v>
      </c>
      <c r="H1146" s="272" t="s">
        <v>996</v>
      </c>
      <c r="I1146" s="280">
        <v>250</v>
      </c>
      <c r="J1146" s="279">
        <v>261</v>
      </c>
      <c r="K1146" s="270">
        <f t="shared" si="0"/>
        <v>65250</v>
      </c>
      <c r="L1146" s="279">
        <v>8913</v>
      </c>
      <c r="M1146" s="279">
        <v>-284</v>
      </c>
      <c r="N1146" s="281">
        <v>0</v>
      </c>
      <c r="O1146" s="55"/>
      <c r="P1146" s="45">
        <v>0</v>
      </c>
      <c r="Q1146" s="279">
        <v>-1085</v>
      </c>
      <c r="R1146" s="275">
        <v>-1.9000000000000001E-4</v>
      </c>
      <c r="S1146" s="279">
        <v>-1097</v>
      </c>
      <c r="T1146" s="279">
        <v>-1097</v>
      </c>
      <c r="U1146" s="57">
        <v>1.1359999999999999</v>
      </c>
      <c r="V1146" s="276">
        <v>0.19</v>
      </c>
      <c r="W1146" s="276">
        <v>0</v>
      </c>
      <c r="X1146" s="279">
        <v>-1010</v>
      </c>
      <c r="Y1146" s="279">
        <v>-237</v>
      </c>
      <c r="Z1146" s="45" t="b">
        <v>1</v>
      </c>
      <c r="AA1146" s="45" t="s">
        <v>38</v>
      </c>
      <c r="AB1146" s="45" t="s">
        <v>50</v>
      </c>
    </row>
    <row r="1147" spans="1:28" x14ac:dyDescent="0.2">
      <c r="A1147" s="279" t="s">
        <v>395</v>
      </c>
      <c r="B1147" s="279" t="s">
        <v>395</v>
      </c>
      <c r="C1147" s="282">
        <v>44582</v>
      </c>
      <c r="D1147" s="282">
        <v>44612</v>
      </c>
      <c r="E1147" s="279" t="s">
        <v>267</v>
      </c>
      <c r="F1147" s="133" t="s">
        <v>34</v>
      </c>
      <c r="G1147" s="279" t="s">
        <v>61</v>
      </c>
      <c r="H1147" s="272" t="s">
        <v>997</v>
      </c>
      <c r="I1147" s="280">
        <v>500</v>
      </c>
      <c r="J1147" s="279">
        <v>43</v>
      </c>
      <c r="K1147" s="270">
        <f t="shared" si="0"/>
        <v>21500</v>
      </c>
      <c r="L1147" s="279">
        <v>-201</v>
      </c>
      <c r="M1147" s="279">
        <v>-5112</v>
      </c>
      <c r="N1147" s="281">
        <v>723.51</v>
      </c>
      <c r="O1147" s="55"/>
      <c r="P1147" s="45">
        <v>724</v>
      </c>
      <c r="Q1147" s="279">
        <v>-1869</v>
      </c>
      <c r="R1147" s="275">
        <v>-1.9000000000000001E-4</v>
      </c>
      <c r="S1147" s="279">
        <v>-1873</v>
      </c>
      <c r="T1147" s="279">
        <v>-1150</v>
      </c>
      <c r="U1147" s="57">
        <v>1.1359999999999999</v>
      </c>
      <c r="V1147" s="276">
        <v>0.19</v>
      </c>
      <c r="W1147" s="276">
        <v>0</v>
      </c>
      <c r="X1147" s="279">
        <v>-1058</v>
      </c>
      <c r="Y1147" s="279">
        <v>-248</v>
      </c>
      <c r="Z1147" s="45" t="b">
        <v>1</v>
      </c>
      <c r="AA1147" s="45" t="s">
        <v>38</v>
      </c>
      <c r="AB1147" s="45" t="s">
        <v>50</v>
      </c>
    </row>
    <row r="1148" spans="1:28" x14ac:dyDescent="0.2">
      <c r="A1148" s="279" t="s">
        <v>395</v>
      </c>
      <c r="B1148" s="270" t="s">
        <v>162</v>
      </c>
      <c r="C1148" s="287">
        <v>44582</v>
      </c>
      <c r="D1148" s="282">
        <v>44612</v>
      </c>
      <c r="E1148" s="279" t="s">
        <v>267</v>
      </c>
      <c r="F1148" s="133" t="s">
        <v>41</v>
      </c>
      <c r="G1148" s="270" t="s">
        <v>35</v>
      </c>
      <c r="H1148" s="272" t="s">
        <v>70</v>
      </c>
      <c r="I1148" s="273">
        <v>100</v>
      </c>
      <c r="J1148" s="270">
        <v>143</v>
      </c>
      <c r="K1148" s="270">
        <f t="shared" si="0"/>
        <v>14300</v>
      </c>
      <c r="L1148" s="270">
        <v>11690</v>
      </c>
      <c r="M1148" s="270">
        <v>3700</v>
      </c>
      <c r="N1148" s="274">
        <v>64</v>
      </c>
      <c r="O1148" s="55"/>
      <c r="P1148" s="45">
        <v>64</v>
      </c>
      <c r="Q1148" s="270">
        <v>1419</v>
      </c>
      <c r="R1148" s="275">
        <v>0</v>
      </c>
      <c r="S1148" s="270">
        <v>1419</v>
      </c>
      <c r="T1148" s="270">
        <v>3764</v>
      </c>
      <c r="U1148" s="57">
        <v>1</v>
      </c>
      <c r="V1148" s="276">
        <v>0.19</v>
      </c>
      <c r="W1148" s="276">
        <v>0</v>
      </c>
      <c r="X1148" s="270">
        <v>3049</v>
      </c>
      <c r="Y1148" s="270">
        <v>715</v>
      </c>
      <c r="Z1148" s="45" t="b">
        <v>1</v>
      </c>
      <c r="AA1148" s="45" t="s">
        <v>38</v>
      </c>
      <c r="AB1148" s="45" t="s">
        <v>38</v>
      </c>
    </row>
    <row r="1149" spans="1:28" x14ac:dyDescent="0.2">
      <c r="A1149" s="279" t="s">
        <v>395</v>
      </c>
      <c r="B1149" s="270" t="s">
        <v>162</v>
      </c>
      <c r="C1149" s="287">
        <v>44582</v>
      </c>
      <c r="D1149" s="282">
        <v>44612</v>
      </c>
      <c r="E1149" s="279" t="s">
        <v>267</v>
      </c>
      <c r="F1149" s="133" t="s">
        <v>41</v>
      </c>
      <c r="G1149" s="270" t="s">
        <v>35</v>
      </c>
      <c r="H1149" s="272" t="s">
        <v>88</v>
      </c>
      <c r="I1149" s="273">
        <v>250</v>
      </c>
      <c r="J1149" s="270">
        <v>32</v>
      </c>
      <c r="K1149" s="270">
        <f t="shared" si="0"/>
        <v>8000</v>
      </c>
      <c r="L1149" s="270">
        <v>1351</v>
      </c>
      <c r="M1149" s="270">
        <v>-1000</v>
      </c>
      <c r="N1149" s="274">
        <v>36</v>
      </c>
      <c r="O1149" s="55"/>
      <c r="P1149" s="45">
        <v>36</v>
      </c>
      <c r="Q1149" s="270">
        <v>222</v>
      </c>
      <c r="R1149" s="275">
        <v>0</v>
      </c>
      <c r="S1149" s="270">
        <v>222</v>
      </c>
      <c r="T1149" s="270">
        <v>-964</v>
      </c>
      <c r="U1149" s="57">
        <v>1</v>
      </c>
      <c r="V1149" s="276">
        <v>0.19</v>
      </c>
      <c r="W1149" s="276">
        <v>0</v>
      </c>
      <c r="X1149" s="270">
        <v>-781</v>
      </c>
      <c r="Y1149" s="270">
        <v>-183</v>
      </c>
      <c r="Z1149" s="45" t="b">
        <v>1</v>
      </c>
      <c r="AA1149" s="45" t="s">
        <v>38</v>
      </c>
      <c r="AB1149" s="45" t="s">
        <v>38</v>
      </c>
    </row>
    <row r="1150" spans="1:28" x14ac:dyDescent="0.2">
      <c r="A1150" s="96" t="s">
        <v>402</v>
      </c>
      <c r="B1150" s="96" t="s">
        <v>163</v>
      </c>
      <c r="C1150" s="277">
        <v>44582</v>
      </c>
      <c r="D1150" s="277">
        <v>44612</v>
      </c>
      <c r="E1150" s="270" t="s">
        <v>267</v>
      </c>
      <c r="F1150" s="133" t="s">
        <v>34</v>
      </c>
      <c r="G1150" s="270" t="s">
        <v>35</v>
      </c>
      <c r="H1150" s="272" t="s">
        <v>40</v>
      </c>
      <c r="I1150" s="273">
        <v>10</v>
      </c>
      <c r="J1150" s="270">
        <v>3841</v>
      </c>
      <c r="K1150" s="270">
        <f t="shared" si="0"/>
        <v>38410</v>
      </c>
      <c r="L1150" s="270">
        <v>215009</v>
      </c>
      <c r="M1150" s="270">
        <v>1710</v>
      </c>
      <c r="N1150" s="274">
        <v>1761</v>
      </c>
      <c r="O1150" s="55"/>
      <c r="P1150" s="105">
        <v>1761</v>
      </c>
      <c r="Q1150" s="270">
        <v>1103</v>
      </c>
      <c r="R1150" s="275">
        <v>-1.9000000000000001E-4</v>
      </c>
      <c r="S1150" s="270">
        <v>1095</v>
      </c>
      <c r="T1150" s="270">
        <v>2856</v>
      </c>
      <c r="U1150" s="57">
        <v>1</v>
      </c>
      <c r="V1150" s="276">
        <v>0.25</v>
      </c>
      <c r="W1150" s="276">
        <v>0</v>
      </c>
      <c r="X1150" s="270">
        <v>2142</v>
      </c>
      <c r="Y1150" s="270">
        <v>714</v>
      </c>
      <c r="Z1150" s="45" t="b">
        <v>1</v>
      </c>
      <c r="AA1150" s="45" t="s">
        <v>38</v>
      </c>
      <c r="AB1150" s="45" t="s">
        <v>38</v>
      </c>
    </row>
    <row r="1151" spans="1:28" x14ac:dyDescent="0.2">
      <c r="A1151" s="96" t="s">
        <v>402</v>
      </c>
      <c r="B1151" s="96" t="s">
        <v>163</v>
      </c>
      <c r="C1151" s="277">
        <v>44582</v>
      </c>
      <c r="D1151" s="277">
        <v>44612</v>
      </c>
      <c r="E1151" s="270" t="s">
        <v>267</v>
      </c>
      <c r="F1151" s="133" t="s">
        <v>34</v>
      </c>
      <c r="G1151" s="270" t="s">
        <v>35</v>
      </c>
      <c r="H1151" s="272" t="s">
        <v>46</v>
      </c>
      <c r="I1151" s="273">
        <v>25</v>
      </c>
      <c r="J1151" s="270">
        <v>568</v>
      </c>
      <c r="K1151" s="270">
        <f t="shared" si="0"/>
        <v>14200</v>
      </c>
      <c r="L1151" s="270">
        <v>31589</v>
      </c>
      <c r="M1151" s="270">
        <v>725</v>
      </c>
      <c r="N1151" s="274">
        <v>558</v>
      </c>
      <c r="O1151" s="55"/>
      <c r="P1151" s="45">
        <v>558</v>
      </c>
      <c r="Q1151" s="270">
        <v>580</v>
      </c>
      <c r="R1151" s="275">
        <v>-1.9000000000000001E-4</v>
      </c>
      <c r="S1151" s="270">
        <v>578</v>
      </c>
      <c r="T1151" s="270">
        <v>1136</v>
      </c>
      <c r="U1151" s="57">
        <v>1</v>
      </c>
      <c r="V1151" s="276">
        <v>0.25</v>
      </c>
      <c r="W1151" s="276">
        <v>0</v>
      </c>
      <c r="X1151" s="270">
        <v>852</v>
      </c>
      <c r="Y1151" s="270">
        <v>284</v>
      </c>
      <c r="Z1151" s="45" t="b">
        <v>1</v>
      </c>
      <c r="AA1151" s="45" t="s">
        <v>38</v>
      </c>
      <c r="AB1151" s="45" t="s">
        <v>38</v>
      </c>
    </row>
    <row r="1152" spans="1:28" x14ac:dyDescent="0.2">
      <c r="A1152" s="279" t="s">
        <v>91</v>
      </c>
      <c r="B1152" s="279" t="s">
        <v>91</v>
      </c>
      <c r="C1152" s="282">
        <v>44582</v>
      </c>
      <c r="D1152" s="282">
        <v>44612</v>
      </c>
      <c r="E1152" s="279" t="s">
        <v>267</v>
      </c>
      <c r="F1152" s="133" t="s">
        <v>34</v>
      </c>
      <c r="G1152" s="279" t="s">
        <v>61</v>
      </c>
      <c r="H1152" s="272" t="s">
        <v>65</v>
      </c>
      <c r="I1152" s="280">
        <v>25</v>
      </c>
      <c r="J1152" s="279">
        <v>1190</v>
      </c>
      <c r="K1152" s="270">
        <f t="shared" si="0"/>
        <v>29750</v>
      </c>
      <c r="L1152" s="279">
        <v>50318</v>
      </c>
      <c r="M1152" s="279">
        <v>-312</v>
      </c>
      <c r="N1152" s="281">
        <v>632.5</v>
      </c>
      <c r="O1152" s="55"/>
      <c r="P1152" s="45">
        <v>633</v>
      </c>
      <c r="Q1152" s="279">
        <v>-340</v>
      </c>
      <c r="R1152" s="275">
        <v>-1.9000000000000001E-4</v>
      </c>
      <c r="S1152" s="279">
        <v>-346</v>
      </c>
      <c r="T1152" s="279">
        <v>287</v>
      </c>
      <c r="U1152" s="57">
        <v>1</v>
      </c>
      <c r="V1152" s="276">
        <v>0.3</v>
      </c>
      <c r="W1152" s="276">
        <v>0</v>
      </c>
      <c r="X1152" s="279">
        <v>201</v>
      </c>
      <c r="Y1152" s="279">
        <v>86</v>
      </c>
      <c r="Z1152" s="45" t="b">
        <v>1</v>
      </c>
      <c r="AA1152" s="45" t="s">
        <v>50</v>
      </c>
      <c r="AB1152" s="45" t="s">
        <v>50</v>
      </c>
    </row>
    <row r="1153" spans="1:28" x14ac:dyDescent="0.2">
      <c r="A1153" s="96" t="s">
        <v>473</v>
      </c>
      <c r="B1153" s="270" t="s">
        <v>120</v>
      </c>
      <c r="C1153" s="277">
        <v>44582</v>
      </c>
      <c r="D1153" s="277">
        <v>44612</v>
      </c>
      <c r="E1153" s="270" t="s">
        <v>267</v>
      </c>
      <c r="F1153" s="96" t="s">
        <v>34</v>
      </c>
      <c r="G1153" s="270" t="s">
        <v>35</v>
      </c>
      <c r="H1153" s="272" t="s">
        <v>39</v>
      </c>
      <c r="I1153" s="280">
        <v>5</v>
      </c>
      <c r="J1153" s="279">
        <v>10</v>
      </c>
      <c r="K1153" s="270">
        <f t="shared" si="0"/>
        <v>50</v>
      </c>
      <c r="L1153" s="279">
        <v>0</v>
      </c>
      <c r="M1153" s="279">
        <v>5</v>
      </c>
      <c r="N1153" s="274">
        <v>1</v>
      </c>
      <c r="O1153" s="55"/>
      <c r="P1153" s="45">
        <v>1</v>
      </c>
      <c r="Q1153" s="279">
        <v>-4</v>
      </c>
      <c r="R1153" s="275">
        <v>-1.9000000000000001E-4</v>
      </c>
      <c r="S1153" s="279">
        <v>-4</v>
      </c>
      <c r="T1153" s="279">
        <v>-3</v>
      </c>
      <c r="U1153" s="57">
        <v>1</v>
      </c>
      <c r="V1153" s="276">
        <v>0.25</v>
      </c>
      <c r="W1153" s="276">
        <v>0</v>
      </c>
      <c r="X1153" s="279">
        <v>-3</v>
      </c>
      <c r="Y1153" s="279">
        <v>-1</v>
      </c>
      <c r="Z1153" s="45" t="b">
        <v>1</v>
      </c>
      <c r="AA1153" s="45" t="s">
        <v>38</v>
      </c>
      <c r="AB1153" s="45" t="s">
        <v>38</v>
      </c>
    </row>
    <row r="1154" spans="1:28" x14ac:dyDescent="0.2">
      <c r="A1154" s="96" t="s">
        <v>473</v>
      </c>
      <c r="B1154" s="270" t="s">
        <v>120</v>
      </c>
      <c r="C1154" s="277">
        <v>44582</v>
      </c>
      <c r="D1154" s="277">
        <v>44612</v>
      </c>
      <c r="E1154" s="270" t="s">
        <v>267</v>
      </c>
      <c r="F1154" s="96" t="s">
        <v>34</v>
      </c>
      <c r="G1154" s="270" t="s">
        <v>35</v>
      </c>
      <c r="H1154" s="272" t="s">
        <v>40</v>
      </c>
      <c r="I1154" s="280">
        <v>10</v>
      </c>
      <c r="J1154" s="279">
        <v>1408</v>
      </c>
      <c r="K1154" s="270">
        <f t="shared" si="0"/>
        <v>14080</v>
      </c>
      <c r="L1154" s="279">
        <v>21434</v>
      </c>
      <c r="M1154" s="279">
        <v>-770</v>
      </c>
      <c r="N1154" s="274">
        <v>323</v>
      </c>
      <c r="O1154" s="55"/>
      <c r="P1154" s="45">
        <v>323</v>
      </c>
      <c r="Q1154" s="279">
        <v>-617</v>
      </c>
      <c r="R1154" s="275">
        <v>-1.9000000000000001E-4</v>
      </c>
      <c r="S1154" s="279">
        <v>-619</v>
      </c>
      <c r="T1154" s="279">
        <v>-296</v>
      </c>
      <c r="U1154" s="57">
        <v>1</v>
      </c>
      <c r="V1154" s="276">
        <v>0.25</v>
      </c>
      <c r="W1154" s="276">
        <v>0</v>
      </c>
      <c r="X1154" s="279">
        <v>-222</v>
      </c>
      <c r="Y1154" s="279">
        <v>-74</v>
      </c>
      <c r="Z1154" s="45" t="b">
        <v>1</v>
      </c>
      <c r="AA1154" s="45" t="s">
        <v>38</v>
      </c>
      <c r="AB1154" s="45" t="s">
        <v>38</v>
      </c>
    </row>
    <row r="1155" spans="1:28" x14ac:dyDescent="0.2">
      <c r="A1155" s="96" t="s">
        <v>178</v>
      </c>
      <c r="B1155" s="96" t="s">
        <v>178</v>
      </c>
      <c r="C1155" s="282">
        <v>44582</v>
      </c>
      <c r="D1155" s="277">
        <v>44612</v>
      </c>
      <c r="E1155" s="279" t="s">
        <v>267</v>
      </c>
      <c r="F1155" s="133" t="s">
        <v>34</v>
      </c>
      <c r="G1155" s="270" t="s">
        <v>35</v>
      </c>
      <c r="H1155" s="272" t="s">
        <v>40</v>
      </c>
      <c r="I1155" s="280">
        <v>10</v>
      </c>
      <c r="J1155" s="279">
        <v>1329</v>
      </c>
      <c r="K1155" s="270">
        <f t="shared" si="0"/>
        <v>13290</v>
      </c>
      <c r="L1155" s="279">
        <v>78954</v>
      </c>
      <c r="M1155" s="279">
        <v>360</v>
      </c>
      <c r="N1155" s="274">
        <v>275</v>
      </c>
      <c r="O1155" s="55"/>
      <c r="P1155" s="45">
        <v>275</v>
      </c>
      <c r="Q1155" s="279">
        <v>490</v>
      </c>
      <c r="R1155" s="275">
        <v>-1.9000000000000001E-4</v>
      </c>
      <c r="S1155" s="279">
        <v>487</v>
      </c>
      <c r="T1155" s="279">
        <v>762</v>
      </c>
      <c r="U1155" s="57">
        <v>1</v>
      </c>
      <c r="V1155" s="276">
        <v>0.2</v>
      </c>
      <c r="W1155" s="276">
        <v>0</v>
      </c>
      <c r="X1155" s="279">
        <v>610</v>
      </c>
      <c r="Y1155" s="279">
        <v>152</v>
      </c>
      <c r="Z1155" s="45" t="b">
        <v>1</v>
      </c>
      <c r="AA1155" s="45" t="s">
        <v>38</v>
      </c>
      <c r="AB1155" s="45" t="s">
        <v>38</v>
      </c>
    </row>
    <row r="1156" spans="1:28" x14ac:dyDescent="0.2">
      <c r="A1156" s="96" t="s">
        <v>178</v>
      </c>
      <c r="B1156" s="96" t="s">
        <v>178</v>
      </c>
      <c r="C1156" s="282">
        <v>44582</v>
      </c>
      <c r="D1156" s="277">
        <v>44612</v>
      </c>
      <c r="E1156" s="279" t="s">
        <v>267</v>
      </c>
      <c r="F1156" s="133" t="s">
        <v>34</v>
      </c>
      <c r="G1156" s="270" t="s">
        <v>35</v>
      </c>
      <c r="H1156" s="272" t="s">
        <v>115</v>
      </c>
      <c r="I1156" s="280">
        <v>10</v>
      </c>
      <c r="J1156" s="279">
        <v>1</v>
      </c>
      <c r="K1156" s="270">
        <f t="shared" si="0"/>
        <v>10</v>
      </c>
      <c r="L1156" s="279">
        <v>7</v>
      </c>
      <c r="M1156" s="279">
        <v>-10</v>
      </c>
      <c r="N1156" s="274"/>
      <c r="O1156" s="55"/>
      <c r="P1156" s="96"/>
      <c r="Q1156" s="279">
        <v>-1</v>
      </c>
      <c r="R1156" s="275">
        <v>-1.9000000000000001E-4</v>
      </c>
      <c r="S1156" s="279">
        <v>-1</v>
      </c>
      <c r="T1156" s="279">
        <v>-1</v>
      </c>
      <c r="U1156" s="57">
        <v>1</v>
      </c>
      <c r="V1156" s="276">
        <v>0.2</v>
      </c>
      <c r="W1156" s="276">
        <v>0</v>
      </c>
      <c r="X1156" s="279">
        <v>0</v>
      </c>
      <c r="Y1156" s="279">
        <v>0</v>
      </c>
      <c r="Z1156" s="45" t="b">
        <v>1</v>
      </c>
      <c r="AA1156" s="45" t="s">
        <v>38</v>
      </c>
      <c r="AB1156" s="45" t="s">
        <v>38</v>
      </c>
    </row>
    <row r="1157" spans="1:28" x14ac:dyDescent="0.2">
      <c r="A1157" s="279" t="s">
        <v>178</v>
      </c>
      <c r="B1157" s="279" t="s">
        <v>1000</v>
      </c>
      <c r="C1157" s="282">
        <v>44582</v>
      </c>
      <c r="D1157" s="277">
        <v>44612</v>
      </c>
      <c r="E1157" s="279" t="s">
        <v>267</v>
      </c>
      <c r="F1157" s="133" t="s">
        <v>34</v>
      </c>
      <c r="G1157" s="279" t="s">
        <v>61</v>
      </c>
      <c r="H1157" s="272" t="s">
        <v>64</v>
      </c>
      <c r="I1157" s="280">
        <v>10</v>
      </c>
      <c r="J1157" s="279">
        <v>348</v>
      </c>
      <c r="K1157" s="270">
        <f t="shared" si="0"/>
        <v>3480</v>
      </c>
      <c r="L1157" s="279">
        <v>24305</v>
      </c>
      <c r="M1157" s="279">
        <v>23</v>
      </c>
      <c r="N1157" s="281">
        <v>40</v>
      </c>
      <c r="O1157" s="55"/>
      <c r="P1157" s="45">
        <v>40</v>
      </c>
      <c r="Q1157" s="279">
        <v>132</v>
      </c>
      <c r="R1157" s="275">
        <v>-1.9000000000000001E-4</v>
      </c>
      <c r="S1157" s="279">
        <v>131</v>
      </c>
      <c r="T1157" s="279">
        <v>171</v>
      </c>
      <c r="U1157" s="57">
        <v>1.1359999999999999</v>
      </c>
      <c r="V1157" s="276">
        <v>0.2</v>
      </c>
      <c r="W1157" s="276">
        <v>0</v>
      </c>
      <c r="X1157" s="279">
        <v>156</v>
      </c>
      <c r="Y1157" s="279">
        <v>39</v>
      </c>
      <c r="Z1157" s="45" t="b">
        <v>1</v>
      </c>
      <c r="AA1157" s="45" t="s">
        <v>38</v>
      </c>
      <c r="AB1157" s="45" t="s">
        <v>50</v>
      </c>
    </row>
    <row r="1158" spans="1:28" x14ac:dyDescent="0.2">
      <c r="A1158" s="96" t="s">
        <v>508</v>
      </c>
      <c r="B1158" s="96" t="s">
        <v>185</v>
      </c>
      <c r="C1158" s="277">
        <v>44582</v>
      </c>
      <c r="D1158" s="277">
        <v>44612</v>
      </c>
      <c r="E1158" s="270" t="s">
        <v>300</v>
      </c>
      <c r="F1158" s="133" t="s">
        <v>34</v>
      </c>
      <c r="G1158" s="270" t="s">
        <v>80</v>
      </c>
      <c r="H1158" s="272" t="s">
        <v>70</v>
      </c>
      <c r="I1158" s="273">
        <v>100</v>
      </c>
      <c r="J1158" s="270">
        <v>10</v>
      </c>
      <c r="K1158" s="270">
        <f t="shared" si="0"/>
        <v>1000</v>
      </c>
      <c r="L1158" s="270">
        <v>-515</v>
      </c>
      <c r="M1158" s="270">
        <v>-800</v>
      </c>
      <c r="N1158" s="274">
        <v>409</v>
      </c>
      <c r="O1158" s="55"/>
      <c r="P1158" s="45">
        <v>409</v>
      </c>
      <c r="Q1158" s="270">
        <v>-214</v>
      </c>
      <c r="R1158" s="275">
        <v>-1.9000000000000001E-4</v>
      </c>
      <c r="S1158" s="270">
        <v>-215</v>
      </c>
      <c r="T1158" s="270">
        <v>194</v>
      </c>
      <c r="U1158" s="57">
        <v>1</v>
      </c>
      <c r="V1158" s="276">
        <v>0.11</v>
      </c>
      <c r="W1158" s="276">
        <v>0.03</v>
      </c>
      <c r="X1158" s="270">
        <v>167</v>
      </c>
      <c r="Y1158" s="270">
        <v>27</v>
      </c>
      <c r="Z1158" s="45" t="b">
        <v>1</v>
      </c>
      <c r="AA1158" s="45" t="s">
        <v>38</v>
      </c>
      <c r="AB1158" s="45" t="s">
        <v>38</v>
      </c>
    </row>
    <row r="1159" spans="1:28" x14ac:dyDescent="0.2">
      <c r="A1159" s="96" t="s">
        <v>508</v>
      </c>
      <c r="B1159" s="96" t="s">
        <v>185</v>
      </c>
      <c r="C1159" s="277">
        <v>44582</v>
      </c>
      <c r="D1159" s="277">
        <v>44612</v>
      </c>
      <c r="E1159" s="270" t="s">
        <v>300</v>
      </c>
      <c r="F1159" s="133" t="s">
        <v>34</v>
      </c>
      <c r="G1159" s="270" t="s">
        <v>80</v>
      </c>
      <c r="H1159" s="272" t="s">
        <v>153</v>
      </c>
      <c r="I1159" s="273">
        <v>200</v>
      </c>
      <c r="J1159" s="270">
        <v>4516</v>
      </c>
      <c r="K1159" s="270">
        <f t="shared" si="0"/>
        <v>903200</v>
      </c>
      <c r="L1159" s="270">
        <v>47183</v>
      </c>
      <c r="M1159" s="270">
        <v>-49800</v>
      </c>
      <c r="N1159" s="274">
        <f>47796+43*200+1200</f>
        <v>57596</v>
      </c>
      <c r="O1159" s="55"/>
      <c r="P1159" s="105">
        <v>57596</v>
      </c>
      <c r="Q1159" s="270">
        <v>-37968</v>
      </c>
      <c r="R1159" s="275">
        <v>-1.9000000000000001E-4</v>
      </c>
      <c r="S1159" s="270">
        <v>-38139</v>
      </c>
      <c r="T1159" s="270">
        <v>19457</v>
      </c>
      <c r="U1159" s="57">
        <v>1</v>
      </c>
      <c r="V1159" s="276">
        <v>0.11</v>
      </c>
      <c r="W1159" s="276">
        <v>0.03</v>
      </c>
      <c r="X1159" s="270">
        <v>16733</v>
      </c>
      <c r="Y1159" s="270">
        <v>2724</v>
      </c>
      <c r="Z1159" s="45" t="b">
        <v>1</v>
      </c>
      <c r="AA1159" s="45" t="s">
        <v>38</v>
      </c>
      <c r="AB1159" s="45" t="s">
        <v>38</v>
      </c>
    </row>
    <row r="1160" spans="1:28" x14ac:dyDescent="0.2">
      <c r="A1160" s="96" t="s">
        <v>113</v>
      </c>
      <c r="B1160" s="96" t="s">
        <v>113</v>
      </c>
      <c r="C1160" s="277">
        <v>44582</v>
      </c>
      <c r="D1160" s="277">
        <v>44612</v>
      </c>
      <c r="E1160" s="270" t="s">
        <v>267</v>
      </c>
      <c r="F1160" s="133" t="s">
        <v>34</v>
      </c>
      <c r="G1160" s="96" t="s">
        <v>35</v>
      </c>
      <c r="H1160" s="272" t="s">
        <v>40</v>
      </c>
      <c r="I1160" s="273">
        <v>10</v>
      </c>
      <c r="J1160" s="270">
        <v>1016</v>
      </c>
      <c r="K1160" s="270">
        <f t="shared" si="0"/>
        <v>10160</v>
      </c>
      <c r="L1160" s="270">
        <v>20037</v>
      </c>
      <c r="M1160" s="270">
        <v>210</v>
      </c>
      <c r="N1160" s="274">
        <v>1216</v>
      </c>
      <c r="O1160" s="55"/>
      <c r="P1160" s="105">
        <v>1216</v>
      </c>
      <c r="Q1160" s="270">
        <v>-330</v>
      </c>
      <c r="R1160" s="275">
        <v>-1.9000000000000001E-4</v>
      </c>
      <c r="S1160" s="270">
        <v>-332</v>
      </c>
      <c r="T1160" s="270">
        <v>884</v>
      </c>
      <c r="U1160" s="57">
        <v>1</v>
      </c>
      <c r="V1160" s="276">
        <v>0.25</v>
      </c>
      <c r="W1160" s="276">
        <v>0</v>
      </c>
      <c r="X1160" s="270">
        <v>663</v>
      </c>
      <c r="Y1160" s="270">
        <v>221</v>
      </c>
      <c r="Z1160" s="45" t="b">
        <v>1</v>
      </c>
      <c r="AA1160" s="45" t="s">
        <v>38</v>
      </c>
      <c r="AB1160" s="45" t="s">
        <v>38</v>
      </c>
    </row>
    <row r="1161" spans="1:28" x14ac:dyDescent="0.2">
      <c r="A1161" s="96" t="s">
        <v>191</v>
      </c>
      <c r="B1161" s="96" t="s">
        <v>193</v>
      </c>
      <c r="C1161" s="277">
        <v>44582</v>
      </c>
      <c r="D1161" s="277">
        <v>44612</v>
      </c>
      <c r="E1161" s="270" t="s">
        <v>267</v>
      </c>
      <c r="F1161" s="133" t="s">
        <v>34</v>
      </c>
      <c r="G1161" s="96" t="s">
        <v>80</v>
      </c>
      <c r="H1161" s="272" t="s">
        <v>40</v>
      </c>
      <c r="I1161" s="273">
        <v>10</v>
      </c>
      <c r="J1161" s="270">
        <v>1848</v>
      </c>
      <c r="K1161" s="270">
        <f t="shared" si="0"/>
        <v>18480</v>
      </c>
      <c r="L1161" s="270">
        <v>38866</v>
      </c>
      <c r="M1161" s="270">
        <v>830</v>
      </c>
      <c r="N1161" s="274">
        <v>975.06</v>
      </c>
      <c r="O1161" s="55"/>
      <c r="P1161" s="45">
        <v>975</v>
      </c>
      <c r="Q1161" s="270">
        <v>-237</v>
      </c>
      <c r="R1161" s="275">
        <v>-1.9000000000000001E-4</v>
      </c>
      <c r="S1161" s="270">
        <v>-241</v>
      </c>
      <c r="T1161" s="270">
        <v>734</v>
      </c>
      <c r="U1161" s="57">
        <v>1</v>
      </c>
      <c r="V1161" s="276">
        <v>0.22</v>
      </c>
      <c r="W1161" s="276">
        <v>0</v>
      </c>
      <c r="X1161" s="270">
        <v>573</v>
      </c>
      <c r="Y1161" s="270">
        <v>162</v>
      </c>
      <c r="Z1161" s="45" t="b">
        <v>1</v>
      </c>
      <c r="AA1161" s="45" t="s">
        <v>38</v>
      </c>
      <c r="AB1161" s="45" t="s">
        <v>38</v>
      </c>
    </row>
    <row r="1162" spans="1:28" x14ac:dyDescent="0.2">
      <c r="A1162" s="96" t="s">
        <v>191</v>
      </c>
      <c r="B1162" s="96" t="s">
        <v>193</v>
      </c>
      <c r="C1162" s="277">
        <v>44582</v>
      </c>
      <c r="D1162" s="277">
        <v>44612</v>
      </c>
      <c r="E1162" s="270" t="s">
        <v>267</v>
      </c>
      <c r="F1162" s="133" t="s">
        <v>34</v>
      </c>
      <c r="G1162" s="96" t="s">
        <v>80</v>
      </c>
      <c r="H1162" s="272" t="s">
        <v>71</v>
      </c>
      <c r="I1162" s="273">
        <v>20</v>
      </c>
      <c r="J1162" s="270">
        <v>3455</v>
      </c>
      <c r="K1162" s="270">
        <f t="shared" si="0"/>
        <v>69100</v>
      </c>
      <c r="L1162" s="270">
        <v>33942</v>
      </c>
      <c r="M1162" s="270">
        <v>-5280</v>
      </c>
      <c r="N1162" s="274">
        <v>3645.94</v>
      </c>
      <c r="O1162" s="55"/>
      <c r="P1162" s="105">
        <v>3646</v>
      </c>
      <c r="Q1162" s="270">
        <v>-3053</v>
      </c>
      <c r="R1162" s="275">
        <v>-1.9000000000000001E-4</v>
      </c>
      <c r="S1162" s="270">
        <v>-3067</v>
      </c>
      <c r="T1162" s="270">
        <v>579</v>
      </c>
      <c r="U1162" s="57">
        <v>1</v>
      </c>
      <c r="V1162" s="276">
        <v>0.22</v>
      </c>
      <c r="W1162" s="276">
        <v>0</v>
      </c>
      <c r="X1162" s="270">
        <v>452</v>
      </c>
      <c r="Y1162" s="270">
        <v>127</v>
      </c>
      <c r="Z1162" s="45" t="b">
        <v>1</v>
      </c>
      <c r="AA1162" s="45" t="s">
        <v>38</v>
      </c>
      <c r="AB1162" s="45" t="s">
        <v>38</v>
      </c>
    </row>
    <row r="1163" spans="1:28" x14ac:dyDescent="0.2">
      <c r="A1163" s="96" t="s">
        <v>206</v>
      </c>
      <c r="B1163" s="96" t="s">
        <v>206</v>
      </c>
      <c r="C1163" s="277">
        <v>44582</v>
      </c>
      <c r="D1163" s="277">
        <v>44612</v>
      </c>
      <c r="E1163" s="270" t="s">
        <v>267</v>
      </c>
      <c r="F1163" s="133" t="s">
        <v>34</v>
      </c>
      <c r="G1163" s="96" t="s">
        <v>35</v>
      </c>
      <c r="H1163" s="272" t="s">
        <v>39</v>
      </c>
      <c r="I1163" s="273">
        <v>5</v>
      </c>
      <c r="J1163" s="270">
        <v>1</v>
      </c>
      <c r="K1163" s="270">
        <f t="shared" si="0"/>
        <v>5</v>
      </c>
      <c r="L1163" s="270">
        <v>-363</v>
      </c>
      <c r="M1163" s="270">
        <v>-5</v>
      </c>
      <c r="N1163" s="274"/>
      <c r="O1163" s="55"/>
      <c r="P1163" s="96"/>
      <c r="Q1163" s="270">
        <v>-4</v>
      </c>
      <c r="R1163" s="275">
        <v>-1.9000000000000001E-4</v>
      </c>
      <c r="S1163" s="270">
        <v>-4</v>
      </c>
      <c r="T1163" s="270">
        <v>-4</v>
      </c>
      <c r="U1163" s="57">
        <v>1</v>
      </c>
      <c r="V1163" s="276">
        <v>0.1</v>
      </c>
      <c r="W1163" s="276">
        <v>0</v>
      </c>
      <c r="X1163" s="270">
        <v>-3</v>
      </c>
      <c r="Y1163" s="270">
        <v>0</v>
      </c>
      <c r="Z1163" s="45" t="b">
        <v>1</v>
      </c>
      <c r="AA1163" s="45" t="s">
        <v>38</v>
      </c>
      <c r="AB1163" s="45" t="s">
        <v>38</v>
      </c>
    </row>
    <row r="1164" spans="1:28" x14ac:dyDescent="0.2">
      <c r="A1164" s="96" t="s">
        <v>206</v>
      </c>
      <c r="B1164" s="96" t="s">
        <v>206</v>
      </c>
      <c r="C1164" s="277">
        <v>44582</v>
      </c>
      <c r="D1164" s="277">
        <v>44612</v>
      </c>
      <c r="E1164" s="270" t="s">
        <v>267</v>
      </c>
      <c r="F1164" s="133" t="s">
        <v>34</v>
      </c>
      <c r="G1164" s="96" t="s">
        <v>35</v>
      </c>
      <c r="H1164" s="272" t="s">
        <v>70</v>
      </c>
      <c r="I1164" s="273">
        <v>100</v>
      </c>
      <c r="J1164" s="270">
        <v>1073</v>
      </c>
      <c r="K1164" s="270">
        <f t="shared" si="0"/>
        <v>107300</v>
      </c>
      <c r="L1164" s="270">
        <v>27960</v>
      </c>
      <c r="M1164" s="270">
        <v>-3800</v>
      </c>
      <c r="N1164" s="274">
        <v>2826</v>
      </c>
      <c r="O1164" s="55"/>
      <c r="P1164" s="105">
        <v>2826</v>
      </c>
      <c r="Q1164" s="270">
        <v>-504</v>
      </c>
      <c r="R1164" s="275">
        <v>-1.9000000000000001E-4</v>
      </c>
      <c r="S1164" s="270">
        <v>-524</v>
      </c>
      <c r="T1164" s="270">
        <v>2302</v>
      </c>
      <c r="U1164" s="57">
        <v>1</v>
      </c>
      <c r="V1164" s="276">
        <v>0.1</v>
      </c>
      <c r="W1164" s="276">
        <v>0</v>
      </c>
      <c r="X1164" s="270">
        <v>2072</v>
      </c>
      <c r="Y1164" s="270">
        <v>230</v>
      </c>
      <c r="Z1164" s="45" t="b">
        <v>1</v>
      </c>
      <c r="AA1164" s="45" t="s">
        <v>38</v>
      </c>
      <c r="AB1164" s="45" t="s">
        <v>38</v>
      </c>
    </row>
    <row r="1165" spans="1:28" x14ac:dyDescent="0.2">
      <c r="A1165" s="96" t="s">
        <v>206</v>
      </c>
      <c r="B1165" s="96" t="s">
        <v>206</v>
      </c>
      <c r="C1165" s="277">
        <v>44582</v>
      </c>
      <c r="D1165" s="277">
        <v>44612</v>
      </c>
      <c r="E1165" s="270" t="s">
        <v>267</v>
      </c>
      <c r="F1165" s="133" t="s">
        <v>34</v>
      </c>
      <c r="G1165" s="96" t="s">
        <v>35</v>
      </c>
      <c r="H1165" s="272" t="s">
        <v>84</v>
      </c>
      <c r="I1165" s="273">
        <v>100</v>
      </c>
      <c r="J1165" s="270">
        <v>1</v>
      </c>
      <c r="K1165" s="270">
        <f t="shared" si="0"/>
        <v>100</v>
      </c>
      <c r="L1165" s="270">
        <v>-165</v>
      </c>
      <c r="M1165" s="270">
        <v>-100</v>
      </c>
      <c r="N1165" s="274">
        <v>3</v>
      </c>
      <c r="O1165" s="55"/>
      <c r="P1165" s="45">
        <v>3</v>
      </c>
      <c r="Q1165" s="270">
        <v>-57</v>
      </c>
      <c r="R1165" s="275">
        <v>-1.9000000000000001E-4</v>
      </c>
      <c r="S1165" s="270">
        <v>-57</v>
      </c>
      <c r="T1165" s="270">
        <v>-54</v>
      </c>
      <c r="U1165" s="57">
        <v>1</v>
      </c>
      <c r="V1165" s="276">
        <v>0.1</v>
      </c>
      <c r="W1165" s="276">
        <v>0</v>
      </c>
      <c r="X1165" s="270">
        <v>-49</v>
      </c>
      <c r="Y1165" s="270">
        <v>-5</v>
      </c>
      <c r="Z1165" s="45" t="b">
        <v>1</v>
      </c>
      <c r="AA1165" s="45" t="s">
        <v>38</v>
      </c>
      <c r="AB1165" s="45" t="s">
        <v>38</v>
      </c>
    </row>
    <row r="1166" spans="1:28" x14ac:dyDescent="0.2">
      <c r="A1166" s="96" t="s">
        <v>206</v>
      </c>
      <c r="B1166" s="96" t="s">
        <v>206</v>
      </c>
      <c r="C1166" s="277">
        <v>44582</v>
      </c>
      <c r="D1166" s="277">
        <v>44612</v>
      </c>
      <c r="E1166" s="270" t="s">
        <v>267</v>
      </c>
      <c r="F1166" s="133" t="s">
        <v>34</v>
      </c>
      <c r="G1166" s="96" t="s">
        <v>35</v>
      </c>
      <c r="H1166" s="272" t="s">
        <v>88</v>
      </c>
      <c r="I1166" s="273">
        <v>250</v>
      </c>
      <c r="J1166" s="270">
        <v>680</v>
      </c>
      <c r="K1166" s="270">
        <f t="shared" si="0"/>
        <v>170000</v>
      </c>
      <c r="L1166" s="270">
        <v>19011</v>
      </c>
      <c r="M1166" s="270">
        <v>1000</v>
      </c>
      <c r="N1166" s="274">
        <v>4478</v>
      </c>
      <c r="O1166" s="55"/>
      <c r="P1166" s="105">
        <v>4478</v>
      </c>
      <c r="Q1166" s="270">
        <v>209</v>
      </c>
      <c r="R1166" s="275">
        <v>-1.9000000000000001E-4</v>
      </c>
      <c r="S1166" s="270">
        <v>177</v>
      </c>
      <c r="T1166" s="270">
        <v>4655</v>
      </c>
      <c r="U1166" s="57">
        <v>1</v>
      </c>
      <c r="V1166" s="276">
        <v>0.1</v>
      </c>
      <c r="W1166" s="276">
        <v>0</v>
      </c>
      <c r="X1166" s="270">
        <v>4189</v>
      </c>
      <c r="Y1166" s="270">
        <v>465</v>
      </c>
      <c r="Z1166" s="45" t="b">
        <v>1</v>
      </c>
      <c r="AA1166" s="45" t="s">
        <v>38</v>
      </c>
      <c r="AB1166" s="45" t="s">
        <v>38</v>
      </c>
    </row>
    <row r="1167" spans="1:28" x14ac:dyDescent="0.2">
      <c r="A1167" s="96" t="s">
        <v>206</v>
      </c>
      <c r="B1167" s="96" t="s">
        <v>206</v>
      </c>
      <c r="C1167" s="277">
        <v>44582</v>
      </c>
      <c r="D1167" s="277">
        <v>44612</v>
      </c>
      <c r="E1167" s="270" t="s">
        <v>267</v>
      </c>
      <c r="F1167" s="133" t="s">
        <v>34</v>
      </c>
      <c r="G1167" s="96" t="s">
        <v>35</v>
      </c>
      <c r="H1167" s="272" t="s">
        <v>148</v>
      </c>
      <c r="I1167" s="273">
        <v>250</v>
      </c>
      <c r="J1167" s="270">
        <v>235</v>
      </c>
      <c r="K1167" s="270">
        <f t="shared" si="0"/>
        <v>58750</v>
      </c>
      <c r="L1167" s="270">
        <v>3881</v>
      </c>
      <c r="M1167" s="270">
        <v>1500</v>
      </c>
      <c r="N1167" s="274">
        <v>1548</v>
      </c>
      <c r="O1167" s="55"/>
      <c r="P1167" s="105">
        <v>1548</v>
      </c>
      <c r="Q1167" s="270">
        <v>43</v>
      </c>
      <c r="R1167" s="275">
        <v>-1.9000000000000001E-4</v>
      </c>
      <c r="S1167" s="270">
        <v>32</v>
      </c>
      <c r="T1167" s="270">
        <v>1580</v>
      </c>
      <c r="U1167" s="57">
        <v>1</v>
      </c>
      <c r="V1167" s="276">
        <v>0.1</v>
      </c>
      <c r="W1167" s="276">
        <v>0</v>
      </c>
      <c r="X1167" s="270">
        <v>1422</v>
      </c>
      <c r="Y1167" s="270">
        <v>158</v>
      </c>
      <c r="Z1167" s="45" t="b">
        <v>1</v>
      </c>
      <c r="AA1167" s="45" t="s">
        <v>38</v>
      </c>
      <c r="AB1167" s="45" t="s">
        <v>38</v>
      </c>
    </row>
    <row r="1168" spans="1:28" x14ac:dyDescent="0.2">
      <c r="A1168" s="96" t="s">
        <v>89</v>
      </c>
      <c r="B1168" s="96" t="s">
        <v>89</v>
      </c>
      <c r="C1168" s="277">
        <v>44582</v>
      </c>
      <c r="D1168" s="277">
        <v>44620</v>
      </c>
      <c r="E1168" s="270" t="s">
        <v>267</v>
      </c>
      <c r="F1168" s="133" t="s">
        <v>41</v>
      </c>
      <c r="G1168" s="96" t="s">
        <v>35</v>
      </c>
      <c r="H1168" s="272" t="s">
        <v>39</v>
      </c>
      <c r="I1168" s="273">
        <v>5</v>
      </c>
      <c r="J1168" s="270">
        <v>1</v>
      </c>
      <c r="K1168" s="270">
        <f t="shared" si="0"/>
        <v>5</v>
      </c>
      <c r="L1168" s="270">
        <v>659</v>
      </c>
      <c r="M1168" s="270">
        <v>5</v>
      </c>
      <c r="N1168" s="274"/>
      <c r="O1168" s="55"/>
      <c r="P1168" s="96"/>
      <c r="Q1168" s="270">
        <v>6</v>
      </c>
      <c r="R1168" s="275">
        <v>0</v>
      </c>
      <c r="S1168" s="270">
        <v>6</v>
      </c>
      <c r="T1168" s="270">
        <v>5</v>
      </c>
      <c r="U1168" s="57">
        <v>1</v>
      </c>
      <c r="V1168" s="276">
        <v>0.22</v>
      </c>
      <c r="W1168" s="276">
        <v>0</v>
      </c>
      <c r="X1168" s="270">
        <v>4</v>
      </c>
      <c r="Y1168" s="270">
        <v>1</v>
      </c>
      <c r="Z1168" s="45" t="b">
        <v>1</v>
      </c>
      <c r="AA1168" s="45" t="s">
        <v>38</v>
      </c>
      <c r="AB1168" s="45" t="s">
        <v>38</v>
      </c>
    </row>
    <row r="1169" spans="1:28" x14ac:dyDescent="0.2">
      <c r="A1169" s="96" t="s">
        <v>89</v>
      </c>
      <c r="B1169" s="96" t="s">
        <v>89</v>
      </c>
      <c r="C1169" s="277">
        <v>44582</v>
      </c>
      <c r="D1169" s="277">
        <v>44620</v>
      </c>
      <c r="E1169" s="270" t="s">
        <v>267</v>
      </c>
      <c r="F1169" s="133" t="s">
        <v>41</v>
      </c>
      <c r="G1169" s="96" t="s">
        <v>35</v>
      </c>
      <c r="H1169" s="272" t="s">
        <v>70</v>
      </c>
      <c r="I1169" s="273">
        <v>100</v>
      </c>
      <c r="J1169" s="270">
        <v>2669</v>
      </c>
      <c r="K1169" s="270">
        <f t="shared" si="0"/>
        <v>266900</v>
      </c>
      <c r="L1169" s="270">
        <f>30*269</f>
        <v>8070</v>
      </c>
      <c r="M1169" s="270">
        <v>4300</v>
      </c>
      <c r="N1169" s="274">
        <v>12257</v>
      </c>
      <c r="O1169" s="55"/>
      <c r="P1169" s="105">
        <v>12257</v>
      </c>
      <c r="Q1169" s="270">
        <v>-12900</v>
      </c>
      <c r="R1169" s="275">
        <v>0</v>
      </c>
      <c r="S1169" s="270">
        <v>-12900</v>
      </c>
      <c r="T1169" s="270">
        <v>16557</v>
      </c>
      <c r="U1169" s="57">
        <v>1</v>
      </c>
      <c r="V1169" s="276">
        <v>0.22</v>
      </c>
      <c r="W1169" s="276">
        <v>0</v>
      </c>
      <c r="X1169" s="270">
        <v>12914</v>
      </c>
      <c r="Y1169" s="270">
        <v>3643</v>
      </c>
      <c r="Z1169" s="45" t="b">
        <v>1</v>
      </c>
      <c r="AA1169" s="45" t="s">
        <v>38</v>
      </c>
      <c r="AB1169" s="45" t="s">
        <v>38</v>
      </c>
    </row>
    <row r="1170" spans="1:28" x14ac:dyDescent="0.2">
      <c r="A1170" s="96" t="s">
        <v>89</v>
      </c>
      <c r="B1170" s="96" t="s">
        <v>89</v>
      </c>
      <c r="C1170" s="277">
        <v>44582</v>
      </c>
      <c r="D1170" s="277">
        <v>44620</v>
      </c>
      <c r="E1170" s="270" t="s">
        <v>267</v>
      </c>
      <c r="F1170" s="133" t="s">
        <v>41</v>
      </c>
      <c r="G1170" s="96" t="s">
        <v>35</v>
      </c>
      <c r="H1170" s="272" t="s">
        <v>72</v>
      </c>
      <c r="I1170" s="273">
        <v>50</v>
      </c>
      <c r="J1170" s="270">
        <v>70</v>
      </c>
      <c r="K1170" s="270">
        <f t="shared" si="0"/>
        <v>3500</v>
      </c>
      <c r="L1170" s="270">
        <f>-12*J1170</f>
        <v>-840</v>
      </c>
      <c r="M1170" s="270">
        <v>-400</v>
      </c>
      <c r="N1170" s="274">
        <v>193</v>
      </c>
      <c r="O1170" s="55"/>
      <c r="P1170" s="45">
        <v>193</v>
      </c>
      <c r="Q1170" s="270">
        <v>-302</v>
      </c>
      <c r="R1170" s="275">
        <v>0</v>
      </c>
      <c r="S1170" s="270">
        <v>-302</v>
      </c>
      <c r="T1170" s="270">
        <v>-207</v>
      </c>
      <c r="U1170" s="57">
        <v>1</v>
      </c>
      <c r="V1170" s="276">
        <v>0.22</v>
      </c>
      <c r="W1170" s="276">
        <v>0</v>
      </c>
      <c r="X1170" s="270">
        <v>-161</v>
      </c>
      <c r="Y1170" s="270">
        <v>-46</v>
      </c>
      <c r="Z1170" s="45" t="b">
        <v>1</v>
      </c>
      <c r="AA1170" s="45" t="s">
        <v>38</v>
      </c>
      <c r="AB1170" s="45" t="s">
        <v>38</v>
      </c>
    </row>
    <row r="1171" spans="1:28" x14ac:dyDescent="0.2">
      <c r="A1171" s="96" t="s">
        <v>145</v>
      </c>
      <c r="B1171" s="96" t="s">
        <v>145</v>
      </c>
      <c r="C1171" s="277">
        <v>44593</v>
      </c>
      <c r="D1171" s="277">
        <v>44620</v>
      </c>
      <c r="E1171" s="279" t="s">
        <v>267</v>
      </c>
      <c r="F1171" s="133" t="s">
        <v>49</v>
      </c>
      <c r="G1171" s="279" t="s">
        <v>35</v>
      </c>
      <c r="H1171" s="272" t="s">
        <v>70</v>
      </c>
      <c r="I1171" s="273">
        <v>100</v>
      </c>
      <c r="J1171" s="270">
        <v>4669</v>
      </c>
      <c r="K1171" s="270">
        <f t="shared" si="0"/>
        <v>466900</v>
      </c>
      <c r="L1171" s="270">
        <v>94508</v>
      </c>
      <c r="M1171" s="270">
        <v>-16500</v>
      </c>
      <c r="N1171" s="274">
        <v>15706</v>
      </c>
      <c r="O1171" s="55"/>
      <c r="P1171" s="105">
        <v>15706</v>
      </c>
      <c r="Q1171" s="270">
        <v>-7499</v>
      </c>
      <c r="R1171" s="275">
        <v>1.9380000000000001E-3</v>
      </c>
      <c r="S1171" s="270">
        <v>-6594</v>
      </c>
      <c r="T1171" s="270">
        <v>9112</v>
      </c>
      <c r="U1171" s="57">
        <v>1</v>
      </c>
      <c r="V1171" s="276">
        <v>0.12</v>
      </c>
      <c r="W1171" s="276">
        <v>0</v>
      </c>
      <c r="X1171" s="270">
        <v>8019</v>
      </c>
      <c r="Y1171" s="270">
        <v>1093</v>
      </c>
      <c r="Z1171" s="45" t="b">
        <v>1</v>
      </c>
      <c r="AA1171" s="45" t="s">
        <v>38</v>
      </c>
      <c r="AB1171" s="45" t="s">
        <v>38</v>
      </c>
    </row>
    <row r="1172" spans="1:28" x14ac:dyDescent="0.2">
      <c r="A1172" s="96" t="s">
        <v>145</v>
      </c>
      <c r="B1172" s="96" t="s">
        <v>145</v>
      </c>
      <c r="C1172" s="277">
        <v>44593</v>
      </c>
      <c r="D1172" s="277">
        <v>44620</v>
      </c>
      <c r="E1172" s="279" t="s">
        <v>267</v>
      </c>
      <c r="F1172" s="133" t="s">
        <v>49</v>
      </c>
      <c r="G1172" s="279" t="s">
        <v>35</v>
      </c>
      <c r="H1172" s="272" t="s">
        <v>85</v>
      </c>
      <c r="I1172" s="273">
        <v>50</v>
      </c>
      <c r="J1172" s="270">
        <v>2</v>
      </c>
      <c r="K1172" s="270">
        <f t="shared" si="0"/>
        <v>100</v>
      </c>
      <c r="L1172" s="270">
        <v>164</v>
      </c>
      <c r="M1172" s="270">
        <v>50</v>
      </c>
      <c r="N1172" s="274">
        <v>4</v>
      </c>
      <c r="O1172" s="55"/>
      <c r="P1172" s="45">
        <v>4</v>
      </c>
      <c r="Q1172" s="270">
        <v>19</v>
      </c>
      <c r="R1172" s="275">
        <v>5.7899999999999998E-4</v>
      </c>
      <c r="S1172" s="270">
        <v>19</v>
      </c>
      <c r="T1172" s="270">
        <v>23</v>
      </c>
      <c r="U1172" s="57">
        <v>1</v>
      </c>
      <c r="V1172" s="276">
        <v>0.12</v>
      </c>
      <c r="W1172" s="276">
        <v>0</v>
      </c>
      <c r="X1172" s="270">
        <v>20</v>
      </c>
      <c r="Y1172" s="270">
        <v>3</v>
      </c>
      <c r="Z1172" s="45" t="b">
        <v>1</v>
      </c>
      <c r="AA1172" s="45" t="s">
        <v>38</v>
      </c>
      <c r="AB1172" s="45" t="s">
        <v>38</v>
      </c>
    </row>
    <row r="1173" spans="1:28" x14ac:dyDescent="0.2">
      <c r="A1173" s="96" t="s">
        <v>145</v>
      </c>
      <c r="B1173" s="96" t="s">
        <v>145</v>
      </c>
      <c r="C1173" s="277">
        <v>44593</v>
      </c>
      <c r="D1173" s="277">
        <v>44620</v>
      </c>
      <c r="E1173" s="279" t="s">
        <v>267</v>
      </c>
      <c r="F1173" s="133" t="s">
        <v>49</v>
      </c>
      <c r="G1173" s="279" t="s">
        <v>35</v>
      </c>
      <c r="H1173" s="272" t="s">
        <v>84</v>
      </c>
      <c r="I1173" s="273">
        <v>100</v>
      </c>
      <c r="J1173" s="270">
        <v>4330</v>
      </c>
      <c r="K1173" s="270">
        <f t="shared" si="0"/>
        <v>433000</v>
      </c>
      <c r="L1173" s="270">
        <v>39228</v>
      </c>
      <c r="M1173" s="270">
        <v>-3000</v>
      </c>
      <c r="N1173" s="274">
        <v>14565</v>
      </c>
      <c r="O1173" s="55"/>
      <c r="P1173" s="105">
        <v>14565</v>
      </c>
      <c r="Q1173" s="270">
        <v>-11128</v>
      </c>
      <c r="R1173" s="275">
        <v>1.921E-3</v>
      </c>
      <c r="S1173" s="270">
        <v>-10296</v>
      </c>
      <c r="T1173" s="270">
        <v>4269</v>
      </c>
      <c r="U1173" s="57">
        <v>1</v>
      </c>
      <c r="V1173" s="276">
        <v>0.12</v>
      </c>
      <c r="W1173" s="276">
        <v>0</v>
      </c>
      <c r="X1173" s="270">
        <v>3757</v>
      </c>
      <c r="Y1173" s="270">
        <v>512</v>
      </c>
      <c r="Z1173" s="45" t="b">
        <v>1</v>
      </c>
      <c r="AA1173" s="45" t="s">
        <v>38</v>
      </c>
      <c r="AB1173" s="45" t="s">
        <v>38</v>
      </c>
    </row>
    <row r="1174" spans="1:28" x14ac:dyDescent="0.2">
      <c r="A1174" s="279" t="s">
        <v>447</v>
      </c>
      <c r="B1174" s="279" t="s">
        <v>66</v>
      </c>
      <c r="C1174" s="282">
        <v>44593</v>
      </c>
      <c r="D1174" s="282">
        <v>44620</v>
      </c>
      <c r="E1174" s="279" t="s">
        <v>300</v>
      </c>
      <c r="F1174" s="133" t="s">
        <v>49</v>
      </c>
      <c r="G1174" s="279" t="s">
        <v>61</v>
      </c>
      <c r="H1174" s="272" t="s">
        <v>59</v>
      </c>
      <c r="I1174" s="280">
        <v>100</v>
      </c>
      <c r="J1174" s="279">
        <v>1513</v>
      </c>
      <c r="K1174" s="270">
        <f t="shared" si="0"/>
        <v>151300</v>
      </c>
      <c r="L1174" s="279">
        <v>54467</v>
      </c>
      <c r="M1174" s="279">
        <v>-11000</v>
      </c>
      <c r="N1174" s="281">
        <v>5235</v>
      </c>
      <c r="O1174" s="55"/>
      <c r="P1174" s="105">
        <v>5235</v>
      </c>
      <c r="Q1174" s="279">
        <v>-3695</v>
      </c>
      <c r="R1174" s="275">
        <v>1.926E-3</v>
      </c>
      <c r="S1174" s="279">
        <v>-3404</v>
      </c>
      <c r="T1174" s="279">
        <v>1831</v>
      </c>
      <c r="U1174" s="57">
        <v>1</v>
      </c>
      <c r="V1174" s="276">
        <v>0.1</v>
      </c>
      <c r="W1174" s="276">
        <v>0.1</v>
      </c>
      <c r="X1174" s="279">
        <v>1465</v>
      </c>
      <c r="Y1174" s="279">
        <v>366</v>
      </c>
      <c r="Z1174" s="45" t="b">
        <v>1</v>
      </c>
      <c r="AA1174" s="45" t="s">
        <v>50</v>
      </c>
      <c r="AB1174" s="45" t="s">
        <v>50</v>
      </c>
    </row>
    <row r="1175" spans="1:28" x14ac:dyDescent="0.2">
      <c r="A1175" s="96" t="s">
        <v>152</v>
      </c>
      <c r="B1175" s="96" t="s">
        <v>152</v>
      </c>
      <c r="C1175" s="277">
        <v>44593</v>
      </c>
      <c r="D1175" s="277">
        <v>44620</v>
      </c>
      <c r="E1175" s="270" t="s">
        <v>300</v>
      </c>
      <c r="F1175" s="133" t="s">
        <v>41</v>
      </c>
      <c r="G1175" s="279" t="s">
        <v>35</v>
      </c>
      <c r="H1175" s="110" t="s">
        <v>70</v>
      </c>
      <c r="I1175" s="273">
        <v>100</v>
      </c>
      <c r="J1175" s="270">
        <v>1196</v>
      </c>
      <c r="K1175" s="270">
        <f t="shared" si="0"/>
        <v>119600</v>
      </c>
      <c r="L1175" s="270">
        <f>33*1196</f>
        <v>39468</v>
      </c>
      <c r="M1175" s="270">
        <v>-5300</v>
      </c>
      <c r="N1175" s="274">
        <f>16055-N620-N761-N908-N1013-875</f>
        <v>11834</v>
      </c>
      <c r="O1175" s="55"/>
      <c r="P1175" s="105">
        <v>15178</v>
      </c>
      <c r="Q1175" s="270">
        <v>939</v>
      </c>
      <c r="R1175" s="275">
        <v>0</v>
      </c>
      <c r="S1175" s="270">
        <v>939</v>
      </c>
      <c r="T1175" s="270">
        <v>9878</v>
      </c>
      <c r="U1175" s="57">
        <v>1</v>
      </c>
      <c r="V1175" s="276">
        <v>0.15</v>
      </c>
      <c r="W1175" s="276">
        <v>0</v>
      </c>
      <c r="X1175" s="270">
        <v>8396</v>
      </c>
      <c r="Y1175" s="270">
        <v>1482</v>
      </c>
      <c r="Z1175" s="45" t="b">
        <v>1</v>
      </c>
      <c r="AA1175" s="45" t="s">
        <v>38</v>
      </c>
      <c r="AB1175" s="45" t="s">
        <v>38</v>
      </c>
    </row>
    <row r="1176" spans="1:28" x14ac:dyDescent="0.2">
      <c r="A1176" s="279" t="s">
        <v>456</v>
      </c>
      <c r="B1176" s="279" t="s">
        <v>110</v>
      </c>
      <c r="C1176" s="282">
        <v>44593</v>
      </c>
      <c r="D1176" s="282">
        <v>44620</v>
      </c>
      <c r="E1176" s="279" t="s">
        <v>267</v>
      </c>
      <c r="F1176" s="133" t="s">
        <v>49</v>
      </c>
      <c r="G1176" s="279" t="s">
        <v>61</v>
      </c>
      <c r="H1176" s="272" t="s">
        <v>65</v>
      </c>
      <c r="I1176" s="280">
        <v>25</v>
      </c>
      <c r="J1176" s="279">
        <v>129</v>
      </c>
      <c r="K1176" s="270">
        <f t="shared" si="0"/>
        <v>3225</v>
      </c>
      <c r="L1176" s="279">
        <v>13743</v>
      </c>
      <c r="M1176" s="279">
        <v>600</v>
      </c>
      <c r="N1176" s="281">
        <v>158.71</v>
      </c>
      <c r="O1176" s="55"/>
      <c r="P1176" s="45">
        <v>159</v>
      </c>
      <c r="Q1176" s="279">
        <v>330</v>
      </c>
      <c r="R1176" s="275">
        <v>2.0939999999999999E-3</v>
      </c>
      <c r="S1176" s="279">
        <v>337</v>
      </c>
      <c r="T1176" s="279">
        <v>496</v>
      </c>
      <c r="U1176" s="57">
        <v>1</v>
      </c>
      <c r="V1176" s="276">
        <v>0.25</v>
      </c>
      <c r="W1176" s="276">
        <v>0</v>
      </c>
      <c r="X1176" s="279">
        <v>372</v>
      </c>
      <c r="Y1176" s="279">
        <v>124</v>
      </c>
      <c r="Z1176" s="45" t="b">
        <v>1</v>
      </c>
      <c r="AA1176" s="45" t="s">
        <v>50</v>
      </c>
      <c r="AB1176" s="45" t="s">
        <v>50</v>
      </c>
    </row>
    <row r="1177" spans="1:28" x14ac:dyDescent="0.2">
      <c r="A1177" s="279" t="s">
        <v>456</v>
      </c>
      <c r="B1177" s="279" t="s">
        <v>110</v>
      </c>
      <c r="C1177" s="282">
        <v>44593</v>
      </c>
      <c r="D1177" s="282">
        <v>44620</v>
      </c>
      <c r="E1177" s="279" t="s">
        <v>267</v>
      </c>
      <c r="F1177" s="133" t="s">
        <v>49</v>
      </c>
      <c r="G1177" s="279" t="s">
        <v>61</v>
      </c>
      <c r="H1177" s="272" t="s">
        <v>64</v>
      </c>
      <c r="I1177" s="280">
        <v>10</v>
      </c>
      <c r="J1177" s="279">
        <v>745</v>
      </c>
      <c r="K1177" s="270">
        <f t="shared" si="0"/>
        <v>7450</v>
      </c>
      <c r="L1177" s="279">
        <v>48749</v>
      </c>
      <c r="M1177" s="279">
        <v>-1170</v>
      </c>
      <c r="N1177" s="281">
        <v>26.29</v>
      </c>
      <c r="O1177" s="55"/>
      <c r="P1177" s="45">
        <v>26</v>
      </c>
      <c r="Q1177" s="279">
        <v>210</v>
      </c>
      <c r="R1177" s="275">
        <v>2.026E-3</v>
      </c>
      <c r="S1177" s="279">
        <v>225</v>
      </c>
      <c r="T1177" s="279">
        <v>251</v>
      </c>
      <c r="U1177" s="57">
        <v>1</v>
      </c>
      <c r="V1177" s="276">
        <v>0.25</v>
      </c>
      <c r="W1177" s="276">
        <v>0</v>
      </c>
      <c r="X1177" s="279">
        <v>188</v>
      </c>
      <c r="Y1177" s="279">
        <v>63</v>
      </c>
      <c r="Z1177" s="45" t="b">
        <v>1</v>
      </c>
      <c r="AA1177" s="45" t="s">
        <v>50</v>
      </c>
      <c r="AB1177" s="45" t="s">
        <v>50</v>
      </c>
    </row>
    <row r="1178" spans="1:28" x14ac:dyDescent="0.2">
      <c r="A1178" s="96" t="s">
        <v>175</v>
      </c>
      <c r="B1178" s="96" t="s">
        <v>175</v>
      </c>
      <c r="C1178" s="277">
        <v>44593</v>
      </c>
      <c r="D1178" s="277">
        <v>44620</v>
      </c>
      <c r="E1178" s="279" t="s">
        <v>267</v>
      </c>
      <c r="F1178" s="133" t="s">
        <v>49</v>
      </c>
      <c r="G1178" s="270" t="s">
        <v>35</v>
      </c>
      <c r="H1178" s="272" t="s">
        <v>46</v>
      </c>
      <c r="I1178" s="273">
        <v>25</v>
      </c>
      <c r="J1178" s="270">
        <v>1387</v>
      </c>
      <c r="K1178" s="270">
        <f t="shared" si="0"/>
        <v>34675</v>
      </c>
      <c r="L1178" s="270">
        <v>69084</v>
      </c>
      <c r="M1178" s="270">
        <v>-325</v>
      </c>
      <c r="N1178" s="274">
        <v>1181</v>
      </c>
      <c r="O1178" s="55"/>
      <c r="P1178" s="105">
        <v>1181</v>
      </c>
      <c r="Q1178" s="270">
        <v>983</v>
      </c>
      <c r="R1178" s="275">
        <v>2.0370000000000002E-3</v>
      </c>
      <c r="S1178" s="270">
        <v>1054</v>
      </c>
      <c r="T1178" s="270">
        <v>2235</v>
      </c>
      <c r="U1178" s="57">
        <v>1</v>
      </c>
      <c r="V1178" s="276">
        <v>0.17</v>
      </c>
      <c r="W1178" s="276">
        <v>0</v>
      </c>
      <c r="X1178" s="270">
        <v>1855</v>
      </c>
      <c r="Y1178" s="270">
        <v>380</v>
      </c>
      <c r="Z1178" s="45" t="b">
        <v>1</v>
      </c>
      <c r="AA1178" s="45" t="s">
        <v>38</v>
      </c>
      <c r="AB1178" s="45" t="s">
        <v>38</v>
      </c>
    </row>
    <row r="1179" spans="1:28" x14ac:dyDescent="0.2">
      <c r="A1179" s="96" t="s">
        <v>175</v>
      </c>
      <c r="B1179" s="96" t="s">
        <v>175</v>
      </c>
      <c r="C1179" s="277">
        <v>44593</v>
      </c>
      <c r="D1179" s="277">
        <v>44620</v>
      </c>
      <c r="E1179" s="279" t="s">
        <v>267</v>
      </c>
      <c r="F1179" s="133" t="s">
        <v>49</v>
      </c>
      <c r="G1179" s="270" t="s">
        <v>35</v>
      </c>
      <c r="H1179" s="272" t="s">
        <v>72</v>
      </c>
      <c r="I1179" s="273">
        <v>50</v>
      </c>
      <c r="J1179" s="270">
        <v>443</v>
      </c>
      <c r="K1179" s="270">
        <f t="shared" si="0"/>
        <v>22150</v>
      </c>
      <c r="L1179" s="270">
        <v>15161</v>
      </c>
      <c r="M1179" s="270">
        <v>250</v>
      </c>
      <c r="N1179" s="274">
        <v>754</v>
      </c>
      <c r="O1179" s="55"/>
      <c r="P1179" s="45">
        <v>754</v>
      </c>
      <c r="Q1179" s="270">
        <v>-12</v>
      </c>
      <c r="R1179" s="275">
        <v>1.9840000000000001E-3</v>
      </c>
      <c r="S1179" s="270">
        <v>32</v>
      </c>
      <c r="T1179" s="270">
        <v>786</v>
      </c>
      <c r="U1179" s="57">
        <v>1</v>
      </c>
      <c r="V1179" s="276">
        <v>0.17</v>
      </c>
      <c r="W1179" s="276">
        <v>0</v>
      </c>
      <c r="X1179" s="270">
        <v>652</v>
      </c>
      <c r="Y1179" s="270">
        <v>134</v>
      </c>
      <c r="Z1179" s="45" t="b">
        <v>1</v>
      </c>
      <c r="AA1179" s="45" t="s">
        <v>38</v>
      </c>
      <c r="AB1179" s="45" t="s">
        <v>38</v>
      </c>
    </row>
    <row r="1180" spans="1:28" x14ac:dyDescent="0.2">
      <c r="A1180" s="96" t="s">
        <v>175</v>
      </c>
      <c r="B1180" s="96" t="s">
        <v>175</v>
      </c>
      <c r="C1180" s="277">
        <v>44593</v>
      </c>
      <c r="D1180" s="277">
        <v>44620</v>
      </c>
      <c r="E1180" s="279" t="s">
        <v>267</v>
      </c>
      <c r="F1180" s="133" t="s">
        <v>49</v>
      </c>
      <c r="G1180" s="270" t="s">
        <v>35</v>
      </c>
      <c r="H1180" s="272" t="s">
        <v>85</v>
      </c>
      <c r="I1180" s="273">
        <v>50</v>
      </c>
      <c r="J1180" s="270">
        <v>364</v>
      </c>
      <c r="K1180" s="270">
        <f t="shared" si="0"/>
        <v>18200</v>
      </c>
      <c r="L1180" s="270">
        <v>5410</v>
      </c>
      <c r="M1180" s="270">
        <v>-1050</v>
      </c>
      <c r="N1180" s="274">
        <v>620</v>
      </c>
      <c r="O1180" s="55"/>
      <c r="P1180" s="45">
        <v>620</v>
      </c>
      <c r="Q1180" s="270">
        <v>-329</v>
      </c>
      <c r="R1180" s="275">
        <v>1.913E-3</v>
      </c>
      <c r="S1180" s="270">
        <v>-294</v>
      </c>
      <c r="T1180" s="270">
        <v>326</v>
      </c>
      <c r="U1180" s="57">
        <v>1</v>
      </c>
      <c r="V1180" s="276">
        <v>0.17</v>
      </c>
      <c r="W1180" s="276">
        <v>0</v>
      </c>
      <c r="X1180" s="270">
        <v>271</v>
      </c>
      <c r="Y1180" s="270">
        <v>55</v>
      </c>
      <c r="Z1180" s="45" t="b">
        <v>1</v>
      </c>
      <c r="AA1180" s="45" t="s">
        <v>38</v>
      </c>
      <c r="AB1180" s="45" t="s">
        <v>38</v>
      </c>
    </row>
    <row r="1181" spans="1:28" x14ac:dyDescent="0.2">
      <c r="A1181" s="270" t="s">
        <v>98</v>
      </c>
      <c r="B1181" s="270" t="s">
        <v>98</v>
      </c>
      <c r="C1181" s="277">
        <v>44593</v>
      </c>
      <c r="D1181" s="277">
        <v>44620</v>
      </c>
      <c r="E1181" s="270" t="s">
        <v>267</v>
      </c>
      <c r="F1181" s="96" t="s">
        <v>49</v>
      </c>
      <c r="G1181" s="270" t="s">
        <v>35</v>
      </c>
      <c r="H1181" s="272" t="s">
        <v>87</v>
      </c>
      <c r="I1181" s="273">
        <v>25</v>
      </c>
      <c r="J1181" s="270">
        <v>5335</v>
      </c>
      <c r="K1181" s="270">
        <f t="shared" si="0"/>
        <v>133375</v>
      </c>
      <c r="L1181" s="270">
        <v>67550</v>
      </c>
      <c r="M1181" s="270">
        <v>-4625</v>
      </c>
      <c r="N1181" s="274">
        <v>4967</v>
      </c>
      <c r="O1181" s="55"/>
      <c r="P1181" s="105">
        <v>4967</v>
      </c>
      <c r="Q1181" s="270">
        <v>-3317</v>
      </c>
      <c r="R1181" s="275">
        <v>1.9189999999999999E-3</v>
      </c>
      <c r="S1181" s="270">
        <v>-3061</v>
      </c>
      <c r="T1181" s="270">
        <v>1906</v>
      </c>
      <c r="U1181" s="57">
        <v>1</v>
      </c>
      <c r="V1181" s="276">
        <v>0.25</v>
      </c>
      <c r="W1181" s="276">
        <v>0</v>
      </c>
      <c r="X1181" s="270">
        <v>1430</v>
      </c>
      <c r="Y1181" s="270">
        <v>477</v>
      </c>
      <c r="Z1181" s="45" t="b">
        <v>1</v>
      </c>
      <c r="AA1181" s="45" t="s">
        <v>38</v>
      </c>
      <c r="AB1181" s="45" t="s">
        <v>38</v>
      </c>
    </row>
    <row r="1182" spans="1:28" x14ac:dyDescent="0.2">
      <c r="A1182" s="270" t="s">
        <v>98</v>
      </c>
      <c r="B1182" s="270" t="s">
        <v>98</v>
      </c>
      <c r="C1182" s="277">
        <v>44593</v>
      </c>
      <c r="D1182" s="277">
        <v>44620</v>
      </c>
      <c r="E1182" s="270" t="s">
        <v>267</v>
      </c>
      <c r="F1182" s="96" t="s">
        <v>41</v>
      </c>
      <c r="G1182" s="270" t="s">
        <v>35</v>
      </c>
      <c r="H1182" s="272" t="s">
        <v>115</v>
      </c>
      <c r="I1182" s="273">
        <v>10</v>
      </c>
      <c r="J1182" s="270">
        <v>6</v>
      </c>
      <c r="K1182" s="270">
        <f t="shared" si="0"/>
        <v>60</v>
      </c>
      <c r="L1182" s="270"/>
      <c r="M1182" s="270">
        <v>-40</v>
      </c>
      <c r="N1182" s="274">
        <v>3</v>
      </c>
      <c r="O1182" s="55"/>
      <c r="P1182" s="45">
        <v>3</v>
      </c>
      <c r="Q1182" s="270"/>
      <c r="R1182" s="275">
        <v>0</v>
      </c>
      <c r="S1182" s="270"/>
      <c r="T1182" s="270">
        <v>-37</v>
      </c>
      <c r="U1182" s="57">
        <v>1</v>
      </c>
      <c r="V1182" s="276">
        <v>0.25</v>
      </c>
      <c r="W1182" s="276">
        <v>0</v>
      </c>
      <c r="X1182" s="270">
        <v>-28</v>
      </c>
      <c r="Y1182" s="270">
        <v>-9</v>
      </c>
      <c r="Z1182" s="45" t="b">
        <v>1</v>
      </c>
      <c r="AA1182" s="45" t="s">
        <v>38</v>
      </c>
      <c r="AB1182" s="45" t="s">
        <v>38</v>
      </c>
    </row>
    <row r="1183" spans="1:28" x14ac:dyDescent="0.2">
      <c r="A1183" s="96" t="s">
        <v>286</v>
      </c>
      <c r="B1183" s="96" t="s">
        <v>286</v>
      </c>
      <c r="C1183" s="277">
        <v>44613</v>
      </c>
      <c r="D1183" s="277">
        <v>44640</v>
      </c>
      <c r="E1183" s="270" t="s">
        <v>267</v>
      </c>
      <c r="F1183" s="133" t="s">
        <v>34</v>
      </c>
      <c r="G1183" s="96" t="s">
        <v>35</v>
      </c>
      <c r="H1183" s="272" t="s">
        <v>40</v>
      </c>
      <c r="I1183" s="273">
        <v>10</v>
      </c>
      <c r="J1183" s="270">
        <v>109</v>
      </c>
      <c r="K1183" s="270">
        <f t="shared" si="0"/>
        <v>1090</v>
      </c>
      <c r="L1183" s="270">
        <v>7540</v>
      </c>
      <c r="M1183" s="270">
        <v>-40</v>
      </c>
      <c r="N1183" s="274">
        <v>22</v>
      </c>
      <c r="O1183" s="55"/>
      <c r="P1183" s="45">
        <v>22</v>
      </c>
      <c r="Q1183" s="270">
        <v>58</v>
      </c>
      <c r="R1183" s="275">
        <v>-1.5E-3</v>
      </c>
      <c r="S1183" s="270">
        <v>56</v>
      </c>
      <c r="T1183" s="270">
        <v>78</v>
      </c>
      <c r="U1183" s="57">
        <v>1</v>
      </c>
      <c r="V1183" s="276">
        <v>0.15</v>
      </c>
      <c r="W1183" s="276">
        <v>0</v>
      </c>
      <c r="X1183" s="270">
        <v>66</v>
      </c>
      <c r="Y1183" s="270">
        <v>12</v>
      </c>
      <c r="Z1183" s="45" t="b">
        <v>1</v>
      </c>
      <c r="AA1183" s="45" t="s">
        <v>38</v>
      </c>
      <c r="AB1183" s="45" t="s">
        <v>38</v>
      </c>
    </row>
    <row r="1184" spans="1:28" x14ac:dyDescent="0.2">
      <c r="A1184" s="96" t="s">
        <v>286</v>
      </c>
      <c r="B1184" s="96" t="s">
        <v>286</v>
      </c>
      <c r="C1184" s="277">
        <v>44613</v>
      </c>
      <c r="D1184" s="277">
        <v>44640</v>
      </c>
      <c r="E1184" s="270" t="s">
        <v>267</v>
      </c>
      <c r="F1184" s="133" t="s">
        <v>34</v>
      </c>
      <c r="G1184" s="96" t="s">
        <v>35</v>
      </c>
      <c r="H1184" s="272" t="s">
        <v>115</v>
      </c>
      <c r="I1184" s="273">
        <v>10</v>
      </c>
      <c r="J1184" s="270">
        <v>19</v>
      </c>
      <c r="K1184" s="270">
        <f t="shared" si="0"/>
        <v>190</v>
      </c>
      <c r="L1184" s="270">
        <v>-1019</v>
      </c>
      <c r="M1184" s="270">
        <v>-100</v>
      </c>
      <c r="N1184" s="274">
        <v>4</v>
      </c>
      <c r="O1184" s="55"/>
      <c r="P1184" s="45">
        <v>4</v>
      </c>
      <c r="Q1184" s="270">
        <v>-45</v>
      </c>
      <c r="R1184" s="275">
        <v>-1.5E-3</v>
      </c>
      <c r="S1184" s="270">
        <v>-45</v>
      </c>
      <c r="T1184" s="270">
        <v>-41</v>
      </c>
      <c r="U1184" s="57">
        <v>1</v>
      </c>
      <c r="V1184" s="276">
        <v>0.15</v>
      </c>
      <c r="W1184" s="276">
        <v>0</v>
      </c>
      <c r="X1184" s="270">
        <v>-35</v>
      </c>
      <c r="Y1184" s="270">
        <v>-6</v>
      </c>
      <c r="Z1184" s="45" t="b">
        <v>1</v>
      </c>
      <c r="AA1184" s="45" t="s">
        <v>38</v>
      </c>
      <c r="AB1184" s="45" t="s">
        <v>38</v>
      </c>
    </row>
    <row r="1185" spans="1:28" x14ac:dyDescent="0.2">
      <c r="A1185" s="96" t="s">
        <v>286</v>
      </c>
      <c r="B1185" s="96" t="s">
        <v>286</v>
      </c>
      <c r="C1185" s="277">
        <v>44613</v>
      </c>
      <c r="D1185" s="277">
        <v>44640</v>
      </c>
      <c r="E1185" s="270" t="s">
        <v>267</v>
      </c>
      <c r="F1185" s="133" t="s">
        <v>34</v>
      </c>
      <c r="G1185" s="96" t="s">
        <v>35</v>
      </c>
      <c r="H1185" s="272" t="s">
        <v>46</v>
      </c>
      <c r="I1185" s="273">
        <v>25</v>
      </c>
      <c r="J1185" s="270">
        <v>530</v>
      </c>
      <c r="K1185" s="270">
        <f t="shared" si="0"/>
        <v>13250</v>
      </c>
      <c r="L1185" s="270">
        <v>43915</v>
      </c>
      <c r="M1185" s="270">
        <v>100</v>
      </c>
      <c r="N1185" s="274">
        <v>226</v>
      </c>
      <c r="O1185" s="55"/>
      <c r="P1185" s="45">
        <v>226</v>
      </c>
      <c r="Q1185" s="270">
        <v>1188</v>
      </c>
      <c r="R1185" s="275">
        <v>-1.5E-3</v>
      </c>
      <c r="S1185" s="270">
        <v>1168</v>
      </c>
      <c r="T1185" s="270">
        <v>1394</v>
      </c>
      <c r="U1185" s="57">
        <v>1</v>
      </c>
      <c r="V1185" s="276">
        <v>0.15</v>
      </c>
      <c r="W1185" s="276">
        <v>0</v>
      </c>
      <c r="X1185" s="270">
        <v>1185</v>
      </c>
      <c r="Y1185" s="270">
        <v>209</v>
      </c>
      <c r="Z1185" s="45" t="b">
        <v>1</v>
      </c>
      <c r="AA1185" s="45" t="s">
        <v>38</v>
      </c>
      <c r="AB1185" s="45" t="s">
        <v>38</v>
      </c>
    </row>
    <row r="1186" spans="1:28" x14ac:dyDescent="0.2">
      <c r="A1186" s="96" t="s">
        <v>286</v>
      </c>
      <c r="B1186" s="96" t="s">
        <v>286</v>
      </c>
      <c r="C1186" s="277">
        <v>44613</v>
      </c>
      <c r="D1186" s="277">
        <v>44640</v>
      </c>
      <c r="E1186" s="270" t="s">
        <v>267</v>
      </c>
      <c r="F1186" s="133" t="s">
        <v>34</v>
      </c>
      <c r="G1186" s="96" t="s">
        <v>35</v>
      </c>
      <c r="H1186" s="272" t="s">
        <v>87</v>
      </c>
      <c r="I1186" s="273">
        <v>25</v>
      </c>
      <c r="J1186" s="270">
        <v>592</v>
      </c>
      <c r="K1186" s="270">
        <f t="shared" si="0"/>
        <v>14800</v>
      </c>
      <c r="L1186" s="270">
        <v>15802</v>
      </c>
      <c r="M1186" s="270">
        <v>-1375</v>
      </c>
      <c r="N1186" s="274">
        <v>257</v>
      </c>
      <c r="O1186" s="55"/>
      <c r="P1186" s="45">
        <v>257</v>
      </c>
      <c r="Q1186" s="270">
        <v>274</v>
      </c>
      <c r="R1186" s="275">
        <v>-1.5E-3</v>
      </c>
      <c r="S1186" s="270">
        <v>252</v>
      </c>
      <c r="T1186" s="270">
        <v>509</v>
      </c>
      <c r="U1186" s="57">
        <v>1</v>
      </c>
      <c r="V1186" s="276">
        <v>0.15</v>
      </c>
      <c r="W1186" s="276">
        <v>0</v>
      </c>
      <c r="X1186" s="270">
        <v>432</v>
      </c>
      <c r="Y1186" s="270">
        <v>76</v>
      </c>
      <c r="Z1186" s="45" t="b">
        <v>1</v>
      </c>
      <c r="AA1186" s="45" t="s">
        <v>38</v>
      </c>
      <c r="AB1186" s="45" t="s">
        <v>38</v>
      </c>
    </row>
    <row r="1187" spans="1:28" x14ac:dyDescent="0.2">
      <c r="A1187" s="96" t="s">
        <v>82</v>
      </c>
      <c r="B1187" s="96" t="s">
        <v>82</v>
      </c>
      <c r="C1187" s="277">
        <v>44613</v>
      </c>
      <c r="D1187" s="277">
        <v>44640</v>
      </c>
      <c r="E1187" s="270" t="s">
        <v>300</v>
      </c>
      <c r="F1187" s="133" t="s">
        <v>34</v>
      </c>
      <c r="G1187" s="96" t="s">
        <v>35</v>
      </c>
      <c r="H1187" s="272" t="s">
        <v>72</v>
      </c>
      <c r="I1187" s="273">
        <v>50</v>
      </c>
      <c r="J1187" s="270">
        <v>20</v>
      </c>
      <c r="K1187" s="270">
        <f t="shared" si="0"/>
        <v>1000</v>
      </c>
      <c r="L1187" s="270">
        <v>1716</v>
      </c>
      <c r="M1187" s="270">
        <v>-350</v>
      </c>
      <c r="N1187" s="274">
        <v>16</v>
      </c>
      <c r="O1187" s="55"/>
      <c r="P1187" s="45">
        <v>16</v>
      </c>
      <c r="Q1187" s="270">
        <v>95</v>
      </c>
      <c r="R1187" s="275">
        <v>-8.1999999999999998E-4</v>
      </c>
      <c r="S1187" s="270">
        <v>94</v>
      </c>
      <c r="T1187" s="270">
        <v>110</v>
      </c>
      <c r="U1187" s="57">
        <v>1</v>
      </c>
      <c r="V1187" s="276">
        <v>0.15</v>
      </c>
      <c r="W1187" s="276">
        <v>0.05</v>
      </c>
      <c r="X1187" s="270">
        <v>88</v>
      </c>
      <c r="Y1187" s="270">
        <v>22</v>
      </c>
      <c r="Z1187" s="45" t="b">
        <v>1</v>
      </c>
      <c r="AA1187" s="45" t="s">
        <v>38</v>
      </c>
      <c r="AB1187" s="45" t="s">
        <v>38</v>
      </c>
    </row>
    <row r="1188" spans="1:28" x14ac:dyDescent="0.2">
      <c r="A1188" s="96" t="s">
        <v>82</v>
      </c>
      <c r="B1188" s="96" t="s">
        <v>82</v>
      </c>
      <c r="C1188" s="277">
        <v>44613</v>
      </c>
      <c r="D1188" s="277">
        <v>44640</v>
      </c>
      <c r="E1188" s="270" t="s">
        <v>300</v>
      </c>
      <c r="F1188" s="133" t="s">
        <v>34</v>
      </c>
      <c r="G1188" s="96" t="s">
        <v>35</v>
      </c>
      <c r="H1188" s="272" t="s">
        <v>70</v>
      </c>
      <c r="I1188" s="273">
        <v>100</v>
      </c>
      <c r="J1188" s="270">
        <v>1300</v>
      </c>
      <c r="K1188" s="270">
        <f t="shared" si="0"/>
        <v>130000</v>
      </c>
      <c r="L1188" s="270">
        <v>66506</v>
      </c>
      <c r="M1188" s="270">
        <v>-3400</v>
      </c>
      <c r="N1188" s="274">
        <v>1734</v>
      </c>
      <c r="O1188" s="55"/>
      <c r="P1188" s="105">
        <v>1734</v>
      </c>
      <c r="Q1188" s="270">
        <v>5415</v>
      </c>
      <c r="R1188" s="275">
        <v>-8.1999999999999998E-4</v>
      </c>
      <c r="S1188" s="270">
        <v>5309</v>
      </c>
      <c r="T1188" s="270">
        <v>7043</v>
      </c>
      <c r="U1188" s="57">
        <v>1</v>
      </c>
      <c r="V1188" s="276">
        <v>0.15</v>
      </c>
      <c r="W1188" s="276">
        <v>0.05</v>
      </c>
      <c r="X1188" s="270">
        <v>5634</v>
      </c>
      <c r="Y1188" s="270">
        <v>1409</v>
      </c>
      <c r="Z1188" s="45" t="b">
        <v>1</v>
      </c>
      <c r="AA1188" s="45" t="s">
        <v>38</v>
      </c>
      <c r="AB1188" s="45" t="s">
        <v>38</v>
      </c>
    </row>
    <row r="1189" spans="1:28" x14ac:dyDescent="0.2">
      <c r="A1189" s="96" t="s">
        <v>82</v>
      </c>
      <c r="B1189" s="96" t="s">
        <v>82</v>
      </c>
      <c r="C1189" s="277">
        <v>44613</v>
      </c>
      <c r="D1189" s="277">
        <v>44640</v>
      </c>
      <c r="E1189" s="270" t="s">
        <v>300</v>
      </c>
      <c r="F1189" s="133" t="s">
        <v>41</v>
      </c>
      <c r="G1189" s="96" t="s">
        <v>35</v>
      </c>
      <c r="H1189" s="272" t="s">
        <v>45</v>
      </c>
      <c r="I1189" s="273">
        <v>0.25</v>
      </c>
      <c r="J1189" s="270">
        <v>51</v>
      </c>
      <c r="K1189" s="270">
        <f t="shared" si="0"/>
        <v>12.75</v>
      </c>
      <c r="L1189" s="270"/>
      <c r="M1189" s="270">
        <v>-5</v>
      </c>
      <c r="N1189" s="274"/>
      <c r="O1189" s="55"/>
      <c r="P1189" s="96"/>
      <c r="Q1189" s="270"/>
      <c r="R1189" s="275">
        <v>0</v>
      </c>
      <c r="S1189" s="270"/>
      <c r="T1189" s="270">
        <v>-5</v>
      </c>
      <c r="U1189" s="57">
        <v>1</v>
      </c>
      <c r="V1189" s="276">
        <v>0.15</v>
      </c>
      <c r="W1189" s="276">
        <v>0.05</v>
      </c>
      <c r="X1189" s="270">
        <v>-4</v>
      </c>
      <c r="Y1189" s="270">
        <v>-1</v>
      </c>
      <c r="Z1189" s="45" t="b">
        <v>1</v>
      </c>
      <c r="AA1189" s="45" t="s">
        <v>38</v>
      </c>
      <c r="AB1189" s="45" t="s">
        <v>38</v>
      </c>
    </row>
    <row r="1190" spans="1:28" x14ac:dyDescent="0.2">
      <c r="A1190" s="96" t="s">
        <v>154</v>
      </c>
      <c r="B1190" s="279">
        <v>66.562200000000004</v>
      </c>
      <c r="C1190" s="287">
        <v>44613</v>
      </c>
      <c r="D1190" s="287">
        <v>44640</v>
      </c>
      <c r="E1190" s="279" t="s">
        <v>267</v>
      </c>
      <c r="F1190" s="96" t="s">
        <v>34</v>
      </c>
      <c r="G1190" s="279" t="s">
        <v>61</v>
      </c>
      <c r="H1190" s="272" t="s">
        <v>64</v>
      </c>
      <c r="I1190" s="280">
        <v>10</v>
      </c>
      <c r="J1190" s="279">
        <v>48</v>
      </c>
      <c r="K1190" s="270">
        <f t="shared" si="0"/>
        <v>480</v>
      </c>
      <c r="L1190" s="279">
        <v>1310</v>
      </c>
      <c r="M1190" s="279">
        <v>486</v>
      </c>
      <c r="N1190" s="281">
        <v>65</v>
      </c>
      <c r="O1190" s="55"/>
      <c r="P1190" s="45">
        <v>65</v>
      </c>
      <c r="Q1190" s="279">
        <v>-19</v>
      </c>
      <c r="R1190" s="275">
        <v>-8.1999999999999998E-4</v>
      </c>
      <c r="S1190" s="279">
        <v>-19</v>
      </c>
      <c r="T1190" s="279">
        <v>46</v>
      </c>
      <c r="U1190" s="57">
        <v>1.105</v>
      </c>
      <c r="V1190" s="276">
        <v>0.2</v>
      </c>
      <c r="W1190" s="276">
        <v>0</v>
      </c>
      <c r="X1190" s="279">
        <v>41</v>
      </c>
      <c r="Y1190" s="279">
        <v>10</v>
      </c>
      <c r="Z1190" s="45" t="b">
        <v>1</v>
      </c>
      <c r="AA1190" s="45" t="s">
        <v>38</v>
      </c>
      <c r="AB1190" s="45" t="s">
        <v>50</v>
      </c>
    </row>
    <row r="1191" spans="1:28" x14ac:dyDescent="0.2">
      <c r="A1191" s="96" t="s">
        <v>154</v>
      </c>
      <c r="B1191" s="96" t="s">
        <v>154</v>
      </c>
      <c r="C1191" s="287">
        <v>44613</v>
      </c>
      <c r="D1191" s="287">
        <v>44640</v>
      </c>
      <c r="E1191" s="279" t="s">
        <v>267</v>
      </c>
      <c r="F1191" s="96" t="s">
        <v>34</v>
      </c>
      <c r="G1191" s="270" t="s">
        <v>35</v>
      </c>
      <c r="H1191" s="272" t="s">
        <v>40</v>
      </c>
      <c r="I1191" s="280">
        <v>10</v>
      </c>
      <c r="J1191" s="279">
        <v>72</v>
      </c>
      <c r="K1191" s="270">
        <f t="shared" si="0"/>
        <v>720</v>
      </c>
      <c r="L1191" s="279">
        <v>2664</v>
      </c>
      <c r="M1191" s="279">
        <v>30</v>
      </c>
      <c r="N1191" s="274"/>
      <c r="O1191" s="55"/>
      <c r="P1191" s="96"/>
      <c r="Q1191" s="279">
        <v>-8</v>
      </c>
      <c r="R1191" s="275">
        <v>-8.1999999999999998E-4</v>
      </c>
      <c r="S1191" s="279">
        <v>-9</v>
      </c>
      <c r="T1191" s="279">
        <v>-9</v>
      </c>
      <c r="U1191" s="57">
        <v>1</v>
      </c>
      <c r="V1191" s="276">
        <v>0.2</v>
      </c>
      <c r="W1191" s="276">
        <v>0</v>
      </c>
      <c r="X1191" s="279">
        <v>-7</v>
      </c>
      <c r="Y1191" s="279">
        <v>-2</v>
      </c>
      <c r="Z1191" s="45" t="b">
        <v>1</v>
      </c>
      <c r="AA1191" s="45" t="s">
        <v>38</v>
      </c>
      <c r="AB1191" s="45" t="s">
        <v>38</v>
      </c>
    </row>
    <row r="1192" spans="1:28" x14ac:dyDescent="0.2">
      <c r="A1192" s="279" t="s">
        <v>355</v>
      </c>
      <c r="B1192" s="279" t="s">
        <v>989</v>
      </c>
      <c r="C1192" s="282">
        <v>44613</v>
      </c>
      <c r="D1192" s="282">
        <v>44640</v>
      </c>
      <c r="E1192" s="279" t="s">
        <v>300</v>
      </c>
      <c r="F1192" s="133" t="s">
        <v>34</v>
      </c>
      <c r="G1192" s="279" t="s">
        <v>61</v>
      </c>
      <c r="H1192" s="272" t="s">
        <v>64</v>
      </c>
      <c r="I1192" s="280">
        <v>10</v>
      </c>
      <c r="J1192" s="279">
        <v>739</v>
      </c>
      <c r="K1192" s="270">
        <f t="shared" si="0"/>
        <v>7390</v>
      </c>
      <c r="L1192" s="279">
        <v>31262</v>
      </c>
      <c r="M1192" s="279">
        <v>111</v>
      </c>
      <c r="N1192" s="281">
        <v>929.9</v>
      </c>
      <c r="O1192" s="55"/>
      <c r="P1192" s="45">
        <v>930</v>
      </c>
      <c r="Q1192" s="279">
        <v>-87</v>
      </c>
      <c r="R1192" s="275">
        <v>-8.1999999999999998E-4</v>
      </c>
      <c r="S1192" s="279">
        <v>-94</v>
      </c>
      <c r="T1192" s="279">
        <v>836</v>
      </c>
      <c r="U1192" s="57">
        <v>1</v>
      </c>
      <c r="V1192" s="276">
        <v>0.15</v>
      </c>
      <c r="W1192" s="276">
        <v>0.1</v>
      </c>
      <c r="X1192" s="279">
        <v>627</v>
      </c>
      <c r="Y1192" s="279">
        <v>209</v>
      </c>
      <c r="Z1192" s="45" t="b">
        <v>1</v>
      </c>
      <c r="AA1192" s="45" t="s">
        <v>50</v>
      </c>
      <c r="AB1192" s="45" t="s">
        <v>50</v>
      </c>
    </row>
    <row r="1193" spans="1:28" x14ac:dyDescent="0.2">
      <c r="A1193" s="279" t="s">
        <v>355</v>
      </c>
      <c r="B1193" s="279" t="s">
        <v>989</v>
      </c>
      <c r="C1193" s="282">
        <v>44613</v>
      </c>
      <c r="D1193" s="282">
        <v>44640</v>
      </c>
      <c r="E1193" s="279" t="s">
        <v>300</v>
      </c>
      <c r="F1193" s="133" t="s">
        <v>34</v>
      </c>
      <c r="G1193" s="279" t="s">
        <v>61</v>
      </c>
      <c r="H1193" s="289" t="s">
        <v>65</v>
      </c>
      <c r="I1193" s="280">
        <v>25</v>
      </c>
      <c r="J1193" s="279">
        <v>1388</v>
      </c>
      <c r="K1193" s="270">
        <f t="shared" si="0"/>
        <v>34700</v>
      </c>
      <c r="L1193" s="279">
        <v>77421</v>
      </c>
      <c r="M1193" s="279">
        <v>257</v>
      </c>
      <c r="N1193" s="281">
        <v>50.1</v>
      </c>
      <c r="O1193" s="55"/>
      <c r="P1193" s="45">
        <v>50</v>
      </c>
      <c r="Q1193" s="279">
        <v>395</v>
      </c>
      <c r="R1193" s="275">
        <v>-8.1999999999999998E-4</v>
      </c>
      <c r="S1193" s="279">
        <v>366</v>
      </c>
      <c r="T1193" s="279">
        <v>417</v>
      </c>
      <c r="U1193" s="57">
        <v>1</v>
      </c>
      <c r="V1193" s="276">
        <v>0.15</v>
      </c>
      <c r="W1193" s="276">
        <v>0.1</v>
      </c>
      <c r="X1193" s="279">
        <v>312</v>
      </c>
      <c r="Y1193" s="279">
        <v>104</v>
      </c>
      <c r="Z1193" s="45" t="b">
        <v>1</v>
      </c>
      <c r="AA1193" s="45" t="s">
        <v>50</v>
      </c>
      <c r="AB1193" s="45" t="s">
        <v>50</v>
      </c>
    </row>
    <row r="1194" spans="1:28" x14ac:dyDescent="0.2">
      <c r="A1194" s="96" t="s">
        <v>125</v>
      </c>
      <c r="B1194" s="96" t="s">
        <v>125</v>
      </c>
      <c r="C1194" s="277">
        <v>44628</v>
      </c>
      <c r="D1194" s="277">
        <v>44640</v>
      </c>
      <c r="E1194" s="270" t="s">
        <v>267</v>
      </c>
      <c r="F1194" s="96" t="s">
        <v>34</v>
      </c>
      <c r="G1194" s="270" t="s">
        <v>35</v>
      </c>
      <c r="H1194" s="272" t="s">
        <v>39</v>
      </c>
      <c r="I1194" s="273">
        <v>5</v>
      </c>
      <c r="J1194" s="270">
        <v>90</v>
      </c>
      <c r="K1194" s="270">
        <f t="shared" si="0"/>
        <v>450</v>
      </c>
      <c r="L1194" s="270">
        <f>33*90</f>
        <v>2970</v>
      </c>
      <c r="M1194" s="270">
        <v>0</v>
      </c>
      <c r="N1194" s="274">
        <v>6</v>
      </c>
      <c r="O1194" s="55"/>
      <c r="P1194" s="45">
        <v>6</v>
      </c>
      <c r="Q1194" s="270">
        <v>-13</v>
      </c>
      <c r="R1194" s="275">
        <v>-8.1999999999999998E-4</v>
      </c>
      <c r="S1194" s="270">
        <v>-13</v>
      </c>
      <c r="T1194" s="270">
        <v>-7</v>
      </c>
      <c r="U1194" s="57">
        <v>1</v>
      </c>
      <c r="V1194" s="276">
        <v>0.17</v>
      </c>
      <c r="W1194" s="276">
        <v>0</v>
      </c>
      <c r="X1194" s="270">
        <v>-6</v>
      </c>
      <c r="Y1194" s="270">
        <v>-1</v>
      </c>
      <c r="Z1194" s="45" t="b">
        <v>1</v>
      </c>
      <c r="AA1194" s="45" t="s">
        <v>38</v>
      </c>
      <c r="AB1194" s="45" t="s">
        <v>38</v>
      </c>
    </row>
    <row r="1195" spans="1:28" x14ac:dyDescent="0.2">
      <c r="A1195" s="96" t="s">
        <v>125</v>
      </c>
      <c r="B1195" s="96" t="s">
        <v>125</v>
      </c>
      <c r="C1195" s="277">
        <v>44628</v>
      </c>
      <c r="D1195" s="277">
        <v>44640</v>
      </c>
      <c r="E1195" s="270" t="s">
        <v>267</v>
      </c>
      <c r="F1195" s="96" t="s">
        <v>34</v>
      </c>
      <c r="G1195" s="270" t="s">
        <v>35</v>
      </c>
      <c r="H1195" s="272" t="s">
        <v>40</v>
      </c>
      <c r="I1195" s="273">
        <v>10</v>
      </c>
      <c r="J1195" s="270">
        <v>649</v>
      </c>
      <c r="K1195" s="270">
        <f t="shared" si="0"/>
        <v>6490</v>
      </c>
      <c r="L1195" s="270">
        <f>69*649</f>
        <v>44781</v>
      </c>
      <c r="M1195" s="270">
        <v>200</v>
      </c>
      <c r="N1195" s="274">
        <v>69</v>
      </c>
      <c r="O1195" s="55"/>
      <c r="P1195" s="45">
        <v>69</v>
      </c>
      <c r="Q1195" s="270">
        <v>341</v>
      </c>
      <c r="R1195" s="275">
        <v>-8.1999999999999998E-4</v>
      </c>
      <c r="S1195" s="270">
        <v>336</v>
      </c>
      <c r="T1195" s="270">
        <v>405</v>
      </c>
      <c r="U1195" s="57">
        <v>1</v>
      </c>
      <c r="V1195" s="276">
        <v>0.17</v>
      </c>
      <c r="W1195" s="276">
        <v>0</v>
      </c>
      <c r="X1195" s="270">
        <v>336</v>
      </c>
      <c r="Y1195" s="270">
        <v>69</v>
      </c>
      <c r="Z1195" s="45" t="b">
        <v>1</v>
      </c>
      <c r="AA1195" s="45" t="s">
        <v>38</v>
      </c>
      <c r="AB1195" s="45" t="s">
        <v>38</v>
      </c>
    </row>
    <row r="1196" spans="1:28" x14ac:dyDescent="0.2">
      <c r="A1196" s="279" t="s">
        <v>395</v>
      </c>
      <c r="B1196" s="279" t="s">
        <v>395</v>
      </c>
      <c r="C1196" s="287">
        <v>44613</v>
      </c>
      <c r="D1196" s="287">
        <v>44640</v>
      </c>
      <c r="E1196" s="279" t="s">
        <v>267</v>
      </c>
      <c r="F1196" s="96" t="s">
        <v>34</v>
      </c>
      <c r="G1196" s="279" t="s">
        <v>61</v>
      </c>
      <c r="H1196" s="272" t="s">
        <v>59</v>
      </c>
      <c r="I1196" s="280">
        <v>100</v>
      </c>
      <c r="J1196" s="279">
        <v>30</v>
      </c>
      <c r="K1196" s="270">
        <f t="shared" si="0"/>
        <v>3000</v>
      </c>
      <c r="L1196" s="279">
        <v>1401</v>
      </c>
      <c r="M1196" s="279">
        <v>-995</v>
      </c>
      <c r="N1196" s="281">
        <v>1155</v>
      </c>
      <c r="O1196" s="55"/>
      <c r="P1196" s="105">
        <v>1155</v>
      </c>
      <c r="Q1196" s="279">
        <v>-12</v>
      </c>
      <c r="R1196" s="275">
        <v>-8.1999999999999998E-4</v>
      </c>
      <c r="S1196" s="279">
        <v>-14</v>
      </c>
      <c r="T1196" s="279">
        <v>1141</v>
      </c>
      <c r="U1196" s="57">
        <v>1.083</v>
      </c>
      <c r="V1196" s="276">
        <v>0.19</v>
      </c>
      <c r="W1196" s="276">
        <v>0</v>
      </c>
      <c r="X1196" s="279">
        <v>1001</v>
      </c>
      <c r="Y1196" s="279">
        <v>235</v>
      </c>
      <c r="Z1196" s="45" t="b">
        <v>1</v>
      </c>
      <c r="AA1196" s="45" t="s">
        <v>38</v>
      </c>
      <c r="AB1196" s="45" t="s">
        <v>50</v>
      </c>
    </row>
    <row r="1197" spans="1:28" x14ac:dyDescent="0.2">
      <c r="A1197" s="96" t="s">
        <v>402</v>
      </c>
      <c r="B1197" s="96" t="s">
        <v>163</v>
      </c>
      <c r="C1197" s="277">
        <v>44613</v>
      </c>
      <c r="D1197" s="277">
        <v>44640</v>
      </c>
      <c r="E1197" s="270" t="s">
        <v>267</v>
      </c>
      <c r="F1197" s="133" t="s">
        <v>34</v>
      </c>
      <c r="G1197" s="270" t="s">
        <v>35</v>
      </c>
      <c r="H1197" s="272" t="s">
        <v>40</v>
      </c>
      <c r="I1197" s="273">
        <v>10</v>
      </c>
      <c r="J1197" s="270">
        <v>1035</v>
      </c>
      <c r="K1197" s="270">
        <f t="shared" si="0"/>
        <v>10350</v>
      </c>
      <c r="L1197" s="270">
        <v>33050</v>
      </c>
      <c r="M1197" s="270">
        <v>1010</v>
      </c>
      <c r="N1197" s="274">
        <v>52</v>
      </c>
      <c r="O1197" s="55"/>
      <c r="P1197" s="45">
        <v>52</v>
      </c>
      <c r="Q1197" s="270">
        <v>-174</v>
      </c>
      <c r="R1197" s="275">
        <v>-8.1999999999999998E-4</v>
      </c>
      <c r="S1197" s="270">
        <v>-182</v>
      </c>
      <c r="T1197" s="270">
        <v>-130</v>
      </c>
      <c r="U1197" s="57">
        <v>1</v>
      </c>
      <c r="V1197" s="276">
        <v>0.25</v>
      </c>
      <c r="W1197" s="276">
        <v>0</v>
      </c>
      <c r="X1197" s="270">
        <v>-98</v>
      </c>
      <c r="Y1197" s="270">
        <v>-33</v>
      </c>
      <c r="Z1197" s="45" t="b">
        <v>1</v>
      </c>
      <c r="AA1197" s="45" t="s">
        <v>38</v>
      </c>
      <c r="AB1197" s="45" t="s">
        <v>38</v>
      </c>
    </row>
    <row r="1198" spans="1:28" x14ac:dyDescent="0.2">
      <c r="A1198" s="96" t="s">
        <v>402</v>
      </c>
      <c r="B1198" s="96" t="s">
        <v>163</v>
      </c>
      <c r="C1198" s="277">
        <v>44613</v>
      </c>
      <c r="D1198" s="277">
        <v>44640</v>
      </c>
      <c r="E1198" s="270" t="s">
        <v>267</v>
      </c>
      <c r="F1198" s="133" t="s">
        <v>34</v>
      </c>
      <c r="G1198" s="270" t="s">
        <v>35</v>
      </c>
      <c r="H1198" s="272" t="s">
        <v>46</v>
      </c>
      <c r="I1198" s="273">
        <v>25</v>
      </c>
      <c r="J1198" s="270">
        <v>24</v>
      </c>
      <c r="K1198" s="270">
        <f t="shared" si="0"/>
        <v>600</v>
      </c>
      <c r="L1198" s="270">
        <v>849</v>
      </c>
      <c r="M1198" s="270">
        <v>-200</v>
      </c>
      <c r="N1198" s="274">
        <v>3</v>
      </c>
      <c r="O1198" s="55"/>
      <c r="P1198" s="45">
        <v>3</v>
      </c>
      <c r="Q1198" s="270">
        <v>0</v>
      </c>
      <c r="R1198" s="275">
        <v>-8.1999999999999998E-4</v>
      </c>
      <c r="S1198" s="270">
        <v>0</v>
      </c>
      <c r="T1198" s="270">
        <v>3</v>
      </c>
      <c r="U1198" s="57">
        <v>1</v>
      </c>
      <c r="V1198" s="276">
        <v>0.25</v>
      </c>
      <c r="W1198" s="276">
        <v>0</v>
      </c>
      <c r="X1198" s="270">
        <v>2</v>
      </c>
      <c r="Y1198" s="270">
        <v>1</v>
      </c>
      <c r="Z1198" s="45" t="b">
        <v>1</v>
      </c>
      <c r="AA1198" s="45" t="s">
        <v>38</v>
      </c>
      <c r="AB1198" s="45" t="s">
        <v>38</v>
      </c>
    </row>
    <row r="1199" spans="1:28" x14ac:dyDescent="0.2">
      <c r="A1199" s="279" t="s">
        <v>91</v>
      </c>
      <c r="B1199" s="279" t="s">
        <v>91</v>
      </c>
      <c r="C1199" s="282">
        <v>44613</v>
      </c>
      <c r="D1199" s="277">
        <v>44640</v>
      </c>
      <c r="E1199" s="279" t="s">
        <v>267</v>
      </c>
      <c r="F1199" s="133" t="s">
        <v>34</v>
      </c>
      <c r="G1199" s="279" t="s">
        <v>61</v>
      </c>
      <c r="H1199" s="272" t="s">
        <v>65</v>
      </c>
      <c r="I1199" s="273">
        <v>25</v>
      </c>
      <c r="J1199" s="270">
        <v>0</v>
      </c>
      <c r="K1199" s="270">
        <f t="shared" si="0"/>
        <v>0</v>
      </c>
      <c r="L1199" s="270">
        <v>0</v>
      </c>
      <c r="M1199" s="270">
        <v>0</v>
      </c>
      <c r="N1199" s="274"/>
      <c r="O1199" s="55"/>
      <c r="P1199" s="96"/>
      <c r="Q1199" s="270"/>
      <c r="R1199" s="275">
        <v>3.2399999999999998E-3</v>
      </c>
      <c r="S1199" s="270"/>
      <c r="T1199" s="270"/>
      <c r="U1199" s="57">
        <v>1</v>
      </c>
      <c r="V1199" s="276">
        <v>0.3</v>
      </c>
      <c r="W1199" s="276">
        <v>0</v>
      </c>
      <c r="X1199" s="270"/>
      <c r="Y1199" s="270"/>
      <c r="Z1199" s="45" t="b">
        <v>1</v>
      </c>
      <c r="AA1199" s="45" t="s">
        <v>38</v>
      </c>
      <c r="AB1199" s="45" t="s">
        <v>38</v>
      </c>
    </row>
    <row r="1200" spans="1:28" x14ac:dyDescent="0.2">
      <c r="A1200" s="96" t="s">
        <v>172</v>
      </c>
      <c r="B1200" s="96" t="s">
        <v>172</v>
      </c>
      <c r="C1200" s="277">
        <v>44620</v>
      </c>
      <c r="D1200" s="277">
        <v>44640</v>
      </c>
      <c r="E1200" s="270" t="s">
        <v>300</v>
      </c>
      <c r="F1200" s="133" t="s">
        <v>34</v>
      </c>
      <c r="G1200" s="96" t="s">
        <v>35</v>
      </c>
      <c r="H1200" s="272" t="s">
        <v>70</v>
      </c>
      <c r="I1200" s="273">
        <v>100</v>
      </c>
      <c r="J1200" s="270">
        <v>3553</v>
      </c>
      <c r="K1200" s="270">
        <f t="shared" si="0"/>
        <v>355300</v>
      </c>
      <c r="L1200" s="270">
        <f>121784-30602</f>
        <v>91182</v>
      </c>
      <c r="M1200" s="270">
        <v>-8200</v>
      </c>
      <c r="N1200" s="274">
        <v>4649</v>
      </c>
      <c r="O1200" s="55"/>
      <c r="P1200" s="105">
        <v>4649</v>
      </c>
      <c r="Q1200" s="270">
        <v>-2096</v>
      </c>
      <c r="R1200" s="275">
        <v>-8.1999999999999998E-4</v>
      </c>
      <c r="S1200" s="270">
        <v>-2387</v>
      </c>
      <c r="T1200" s="270">
        <v>2262</v>
      </c>
      <c r="U1200" s="57">
        <v>1</v>
      </c>
      <c r="V1200" s="276">
        <v>0.15</v>
      </c>
      <c r="W1200" s="276">
        <v>0.05</v>
      </c>
      <c r="X1200" s="270">
        <v>1809</v>
      </c>
      <c r="Y1200" s="270">
        <v>452</v>
      </c>
      <c r="Z1200" s="45" t="b">
        <v>1</v>
      </c>
      <c r="AA1200" s="45" t="s">
        <v>38</v>
      </c>
      <c r="AB1200" s="45" t="s">
        <v>38</v>
      </c>
    </row>
    <row r="1201" spans="1:28" x14ac:dyDescent="0.2">
      <c r="A1201" s="96" t="s">
        <v>172</v>
      </c>
      <c r="B1201" s="96" t="s">
        <v>172</v>
      </c>
      <c r="C1201" s="277">
        <v>44620</v>
      </c>
      <c r="D1201" s="277">
        <v>44640</v>
      </c>
      <c r="E1201" s="270" t="s">
        <v>300</v>
      </c>
      <c r="F1201" s="133" t="s">
        <v>34</v>
      </c>
      <c r="G1201" s="96" t="s">
        <v>35</v>
      </c>
      <c r="H1201" s="272" t="s">
        <v>84</v>
      </c>
      <c r="I1201" s="273">
        <v>100</v>
      </c>
      <c r="J1201" s="270">
        <v>3781</v>
      </c>
      <c r="K1201" s="270">
        <f t="shared" si="0"/>
        <v>378100</v>
      </c>
      <c r="L1201" s="270">
        <v>13796</v>
      </c>
      <c r="M1201" s="270">
        <v>-16300</v>
      </c>
      <c r="N1201" s="274">
        <v>4947</v>
      </c>
      <c r="O1201" s="55"/>
      <c r="P1201" s="105">
        <v>4947</v>
      </c>
      <c r="Q1201" s="270">
        <v>-16108</v>
      </c>
      <c r="R1201" s="275">
        <v>-8.1999999999999998E-4</v>
      </c>
      <c r="S1201" s="270">
        <v>-16418</v>
      </c>
      <c r="T1201" s="270">
        <v>-11471</v>
      </c>
      <c r="U1201" s="57">
        <v>1</v>
      </c>
      <c r="V1201" s="276">
        <v>0.15</v>
      </c>
      <c r="W1201" s="276">
        <v>0.05</v>
      </c>
      <c r="X1201" s="270">
        <v>-9177</v>
      </c>
      <c r="Y1201" s="270">
        <v>-2294</v>
      </c>
      <c r="Z1201" s="45" t="b">
        <v>1</v>
      </c>
      <c r="AA1201" s="45" t="s">
        <v>38</v>
      </c>
      <c r="AB1201" s="45" t="s">
        <v>38</v>
      </c>
    </row>
    <row r="1202" spans="1:28" x14ac:dyDescent="0.2">
      <c r="A1202" s="96" t="s">
        <v>473</v>
      </c>
      <c r="B1202" s="270" t="s">
        <v>120</v>
      </c>
      <c r="C1202" s="277">
        <v>44613</v>
      </c>
      <c r="D1202" s="277">
        <v>44640</v>
      </c>
      <c r="E1202" s="270" t="s">
        <v>267</v>
      </c>
      <c r="F1202" s="96" t="s">
        <v>34</v>
      </c>
      <c r="G1202" s="270" t="s">
        <v>35</v>
      </c>
      <c r="H1202" s="272" t="s">
        <v>39</v>
      </c>
      <c r="I1202" s="280">
        <v>5</v>
      </c>
      <c r="J1202" s="279">
        <v>3705</v>
      </c>
      <c r="K1202" s="270">
        <f t="shared" si="0"/>
        <v>18525</v>
      </c>
      <c r="L1202" s="279">
        <v>281090</v>
      </c>
      <c r="M1202" s="279">
        <v>730</v>
      </c>
      <c r="N1202" s="274">
        <v>270</v>
      </c>
      <c r="O1202" s="55"/>
      <c r="P1202" s="45">
        <v>270</v>
      </c>
      <c r="Q1202" s="279">
        <v>908</v>
      </c>
      <c r="R1202" s="275">
        <v>-8.1999999999999998E-4</v>
      </c>
      <c r="S1202" s="279">
        <v>893</v>
      </c>
      <c r="T1202" s="279">
        <v>1163</v>
      </c>
      <c r="U1202" s="57">
        <v>1</v>
      </c>
      <c r="V1202" s="276">
        <v>0.25</v>
      </c>
      <c r="W1202" s="276">
        <v>0</v>
      </c>
      <c r="X1202" s="279">
        <v>872</v>
      </c>
      <c r="Y1202" s="279">
        <v>291</v>
      </c>
      <c r="Z1202" s="45" t="b">
        <v>1</v>
      </c>
      <c r="AA1202" s="45" t="s">
        <v>38</v>
      </c>
      <c r="AB1202" s="45" t="s">
        <v>38</v>
      </c>
    </row>
    <row r="1203" spans="1:28" x14ac:dyDescent="0.2">
      <c r="A1203" s="96" t="s">
        <v>473</v>
      </c>
      <c r="B1203" s="270" t="s">
        <v>120</v>
      </c>
      <c r="C1203" s="277">
        <v>44613</v>
      </c>
      <c r="D1203" s="277">
        <v>44640</v>
      </c>
      <c r="E1203" s="270" t="s">
        <v>267</v>
      </c>
      <c r="F1203" s="96" t="s">
        <v>34</v>
      </c>
      <c r="G1203" s="270" t="s">
        <v>35</v>
      </c>
      <c r="H1203" s="272" t="s">
        <v>40</v>
      </c>
      <c r="I1203" s="280">
        <v>10</v>
      </c>
      <c r="J1203" s="279">
        <v>308</v>
      </c>
      <c r="K1203" s="270">
        <f t="shared" si="0"/>
        <v>3080</v>
      </c>
      <c r="L1203" s="279">
        <v>11920</v>
      </c>
      <c r="M1203" s="279">
        <v>-250</v>
      </c>
      <c r="N1203" s="274">
        <v>40</v>
      </c>
      <c r="O1203" s="55"/>
      <c r="P1203" s="45">
        <v>40</v>
      </c>
      <c r="Q1203" s="279">
        <v>-9</v>
      </c>
      <c r="R1203" s="275">
        <v>-8.1999999999999998E-4</v>
      </c>
      <c r="S1203" s="279">
        <v>-12</v>
      </c>
      <c r="T1203" s="279">
        <v>28</v>
      </c>
      <c r="U1203" s="57">
        <v>1</v>
      </c>
      <c r="V1203" s="276">
        <v>0.25</v>
      </c>
      <c r="W1203" s="276">
        <v>0</v>
      </c>
      <c r="X1203" s="279">
        <v>21</v>
      </c>
      <c r="Y1203" s="279">
        <v>7</v>
      </c>
      <c r="Z1203" s="45" t="b">
        <v>1</v>
      </c>
      <c r="AA1203" s="45" t="s">
        <v>38</v>
      </c>
      <c r="AB1203" s="45" t="s">
        <v>38</v>
      </c>
    </row>
    <row r="1204" spans="1:28" x14ac:dyDescent="0.2">
      <c r="A1204" s="279" t="s">
        <v>178</v>
      </c>
      <c r="B1204" s="279" t="s">
        <v>1000</v>
      </c>
      <c r="C1204" s="287">
        <v>44613</v>
      </c>
      <c r="D1204" s="287">
        <v>44640</v>
      </c>
      <c r="E1204" s="279" t="s">
        <v>267</v>
      </c>
      <c r="F1204" s="96" t="s">
        <v>34</v>
      </c>
      <c r="G1204" s="279" t="s">
        <v>61</v>
      </c>
      <c r="H1204" s="272" t="s">
        <v>64</v>
      </c>
      <c r="I1204" s="280">
        <v>10</v>
      </c>
      <c r="J1204" s="279">
        <v>7</v>
      </c>
      <c r="K1204" s="270">
        <f t="shared" si="0"/>
        <v>70</v>
      </c>
      <c r="L1204" s="279">
        <v>342</v>
      </c>
      <c r="M1204" s="279">
        <v>0</v>
      </c>
      <c r="N1204" s="281">
        <v>0</v>
      </c>
      <c r="O1204" s="55"/>
      <c r="P1204" s="45">
        <v>0</v>
      </c>
      <c r="Q1204" s="279">
        <v>0</v>
      </c>
      <c r="R1204" s="275">
        <v>-8.1999999999999998E-4</v>
      </c>
      <c r="S1204" s="279">
        <v>0</v>
      </c>
      <c r="T1204" s="279">
        <v>0</v>
      </c>
      <c r="U1204" s="57">
        <v>1.105</v>
      </c>
      <c r="V1204" s="276">
        <v>0.2</v>
      </c>
      <c r="W1204" s="276">
        <v>0</v>
      </c>
      <c r="X1204" s="279">
        <v>0</v>
      </c>
      <c r="Y1204" s="279">
        <v>0</v>
      </c>
      <c r="Z1204" s="45" t="b">
        <v>1</v>
      </c>
      <c r="AA1204" s="45" t="s">
        <v>38</v>
      </c>
      <c r="AB1204" s="45" t="s">
        <v>50</v>
      </c>
    </row>
    <row r="1205" spans="1:28" x14ac:dyDescent="0.2">
      <c r="A1205" s="96" t="s">
        <v>178</v>
      </c>
      <c r="B1205" s="96" t="s">
        <v>178</v>
      </c>
      <c r="C1205" s="287">
        <v>44613</v>
      </c>
      <c r="D1205" s="287">
        <v>44640</v>
      </c>
      <c r="E1205" s="279" t="s">
        <v>267</v>
      </c>
      <c r="F1205" s="133" t="s">
        <v>34</v>
      </c>
      <c r="G1205" s="270" t="s">
        <v>35</v>
      </c>
      <c r="H1205" s="272" t="s">
        <v>39</v>
      </c>
      <c r="I1205" s="280">
        <v>5</v>
      </c>
      <c r="J1205" s="279">
        <v>1</v>
      </c>
      <c r="K1205" s="270">
        <f t="shared" si="0"/>
        <v>5</v>
      </c>
      <c r="L1205" s="279">
        <v>643</v>
      </c>
      <c r="M1205" s="279">
        <v>10</v>
      </c>
      <c r="N1205" s="274"/>
      <c r="O1205" s="55"/>
      <c r="P1205" s="96"/>
      <c r="Q1205" s="279">
        <v>5</v>
      </c>
      <c r="R1205" s="275">
        <v>-8.1999999999999998E-4</v>
      </c>
      <c r="S1205" s="279">
        <v>5</v>
      </c>
      <c r="T1205" s="279">
        <v>5</v>
      </c>
      <c r="U1205" s="57">
        <v>1</v>
      </c>
      <c r="V1205" s="276">
        <v>0.2</v>
      </c>
      <c r="W1205" s="276">
        <v>0</v>
      </c>
      <c r="X1205" s="279">
        <v>4</v>
      </c>
      <c r="Y1205" s="279">
        <v>1</v>
      </c>
      <c r="Z1205" s="45" t="b">
        <v>1</v>
      </c>
      <c r="AA1205" s="45" t="s">
        <v>50</v>
      </c>
      <c r="AB1205" s="45" t="s">
        <v>38</v>
      </c>
    </row>
    <row r="1206" spans="1:28" x14ac:dyDescent="0.2">
      <c r="A1206" s="96" t="s">
        <v>178</v>
      </c>
      <c r="B1206" s="96" t="s">
        <v>178</v>
      </c>
      <c r="C1206" s="287">
        <v>44613</v>
      </c>
      <c r="D1206" s="287">
        <v>44640</v>
      </c>
      <c r="E1206" s="279" t="s">
        <v>267</v>
      </c>
      <c r="F1206" s="133" t="s">
        <v>34</v>
      </c>
      <c r="G1206" s="270" t="s">
        <v>35</v>
      </c>
      <c r="H1206" s="272" t="s">
        <v>40</v>
      </c>
      <c r="I1206" s="280">
        <v>10</v>
      </c>
      <c r="J1206" s="279">
        <v>1073</v>
      </c>
      <c r="K1206" s="270">
        <f t="shared" si="0"/>
        <v>10730</v>
      </c>
      <c r="L1206" s="279">
        <v>36217</v>
      </c>
      <c r="M1206" s="279">
        <v>250</v>
      </c>
      <c r="N1206" s="274">
        <v>99</v>
      </c>
      <c r="O1206" s="55"/>
      <c r="P1206" s="45">
        <v>99</v>
      </c>
      <c r="Q1206" s="279">
        <v>-132</v>
      </c>
      <c r="R1206" s="275">
        <v>-8.1999999999999998E-4</v>
      </c>
      <c r="S1206" s="279">
        <v>-140</v>
      </c>
      <c r="T1206" s="279">
        <v>-41</v>
      </c>
      <c r="U1206" s="57">
        <v>1</v>
      </c>
      <c r="V1206" s="276">
        <v>0.2</v>
      </c>
      <c r="W1206" s="276">
        <v>0</v>
      </c>
      <c r="X1206" s="279">
        <v>-33</v>
      </c>
      <c r="Y1206" s="279">
        <v>-8</v>
      </c>
      <c r="Z1206" s="45" t="b">
        <v>1</v>
      </c>
      <c r="AA1206" s="45" t="s">
        <v>38</v>
      </c>
      <c r="AB1206" s="45" t="s">
        <v>38</v>
      </c>
    </row>
    <row r="1207" spans="1:28" x14ac:dyDescent="0.2">
      <c r="A1207" s="96" t="s">
        <v>178</v>
      </c>
      <c r="B1207" s="96" t="s">
        <v>178</v>
      </c>
      <c r="C1207" s="287">
        <v>44613</v>
      </c>
      <c r="D1207" s="287">
        <v>44640</v>
      </c>
      <c r="E1207" s="279" t="s">
        <v>267</v>
      </c>
      <c r="F1207" s="133" t="s">
        <v>34</v>
      </c>
      <c r="G1207" s="270" t="s">
        <v>35</v>
      </c>
      <c r="H1207" s="272" t="s">
        <v>115</v>
      </c>
      <c r="I1207" s="280">
        <v>10</v>
      </c>
      <c r="J1207" s="279">
        <v>190</v>
      </c>
      <c r="K1207" s="270">
        <f t="shared" si="0"/>
        <v>1900</v>
      </c>
      <c r="L1207" s="279">
        <v>5015</v>
      </c>
      <c r="M1207" s="279">
        <v>450</v>
      </c>
      <c r="N1207" s="274">
        <v>561</v>
      </c>
      <c r="O1207" s="55"/>
      <c r="P1207" s="45">
        <v>561</v>
      </c>
      <c r="Q1207" s="279">
        <v>-37</v>
      </c>
      <c r="R1207" s="275">
        <v>-8.1999999999999998E-4</v>
      </c>
      <c r="S1207" s="279">
        <v>-39</v>
      </c>
      <c r="T1207" s="279">
        <v>522</v>
      </c>
      <c r="U1207" s="57">
        <v>1</v>
      </c>
      <c r="V1207" s="276">
        <v>0.2</v>
      </c>
      <c r="W1207" s="276">
        <v>0</v>
      </c>
      <c r="X1207" s="279">
        <v>418</v>
      </c>
      <c r="Y1207" s="279">
        <v>104</v>
      </c>
      <c r="Z1207" s="45" t="b">
        <v>1</v>
      </c>
      <c r="AA1207" s="45" t="s">
        <v>38</v>
      </c>
      <c r="AB1207" s="45" t="s">
        <v>38</v>
      </c>
    </row>
    <row r="1208" spans="1:28" x14ac:dyDescent="0.2">
      <c r="A1208" s="96" t="s">
        <v>508</v>
      </c>
      <c r="B1208" s="96" t="s">
        <v>185</v>
      </c>
      <c r="C1208" s="277">
        <v>44613</v>
      </c>
      <c r="D1208" s="277">
        <v>44640</v>
      </c>
      <c r="E1208" s="270" t="s">
        <v>300</v>
      </c>
      <c r="F1208" s="133" t="s">
        <v>34</v>
      </c>
      <c r="G1208" s="270" t="s">
        <v>80</v>
      </c>
      <c r="H1208" s="272" t="s">
        <v>153</v>
      </c>
      <c r="I1208" s="273">
        <v>200</v>
      </c>
      <c r="J1208" s="270">
        <v>1687</v>
      </c>
      <c r="K1208" s="270">
        <f t="shared" si="0"/>
        <v>337400</v>
      </c>
      <c r="L1208" s="270">
        <v>12506</v>
      </c>
      <c r="M1208" s="270">
        <v>-19200</v>
      </c>
      <c r="N1208" s="274">
        <f>600+16034+14*200</f>
        <v>19434</v>
      </c>
      <c r="O1208" s="55"/>
      <c r="P1208" s="105">
        <v>19434</v>
      </c>
      <c r="Q1208" s="270">
        <v>-17547</v>
      </c>
      <c r="R1208" s="275">
        <v>-8.1999999999999998E-4</v>
      </c>
      <c r="S1208" s="270">
        <v>-17824</v>
      </c>
      <c r="T1208" s="270">
        <v>1610</v>
      </c>
      <c r="U1208" s="57">
        <v>1</v>
      </c>
      <c r="V1208" s="276">
        <v>0.09</v>
      </c>
      <c r="W1208" s="276">
        <v>0.03</v>
      </c>
      <c r="X1208" s="270">
        <v>1417</v>
      </c>
      <c r="Y1208" s="270">
        <v>193</v>
      </c>
      <c r="Z1208" s="45" t="b">
        <v>1</v>
      </c>
      <c r="AA1208" s="45" t="s">
        <v>38</v>
      </c>
      <c r="AB1208" s="45" t="s">
        <v>38</v>
      </c>
    </row>
    <row r="1209" spans="1:28" x14ac:dyDescent="0.2">
      <c r="A1209" s="96" t="s">
        <v>113</v>
      </c>
      <c r="B1209" s="96" t="s">
        <v>113</v>
      </c>
      <c r="C1209" s="277">
        <v>44613</v>
      </c>
      <c r="D1209" s="277">
        <v>44640</v>
      </c>
      <c r="E1209" s="270" t="s">
        <v>267</v>
      </c>
      <c r="F1209" s="133" t="s">
        <v>34</v>
      </c>
      <c r="G1209" s="96" t="s">
        <v>35</v>
      </c>
      <c r="H1209" s="272" t="s">
        <v>39</v>
      </c>
      <c r="I1209" s="273">
        <v>5</v>
      </c>
      <c r="J1209" s="270">
        <v>162</v>
      </c>
      <c r="K1209" s="270">
        <f t="shared" si="0"/>
        <v>810</v>
      </c>
      <c r="L1209" s="270">
        <v>2702</v>
      </c>
      <c r="M1209" s="270">
        <v>-125</v>
      </c>
      <c r="N1209" s="274">
        <v>11</v>
      </c>
      <c r="O1209" s="55"/>
      <c r="P1209" s="45">
        <v>11</v>
      </c>
      <c r="Q1209" s="270">
        <v>-50</v>
      </c>
      <c r="R1209" s="275">
        <v>-8.1999999999999998E-4</v>
      </c>
      <c r="S1209" s="270">
        <v>-51</v>
      </c>
      <c r="T1209" s="270">
        <v>-40</v>
      </c>
      <c r="U1209" s="57">
        <v>1</v>
      </c>
      <c r="V1209" s="276">
        <v>0.3</v>
      </c>
      <c r="W1209" s="276">
        <v>0</v>
      </c>
      <c r="X1209" s="270">
        <v>-28</v>
      </c>
      <c r="Y1209" s="270">
        <v>-12</v>
      </c>
      <c r="Z1209" s="45" t="b">
        <v>1</v>
      </c>
      <c r="AA1209" s="45" t="s">
        <v>38</v>
      </c>
      <c r="AB1209" s="45" t="s">
        <v>38</v>
      </c>
    </row>
    <row r="1210" spans="1:28" x14ac:dyDescent="0.2">
      <c r="A1210" s="96" t="s">
        <v>113</v>
      </c>
      <c r="B1210" s="96" t="s">
        <v>113</v>
      </c>
      <c r="C1210" s="277">
        <v>44613</v>
      </c>
      <c r="D1210" s="277">
        <v>44640</v>
      </c>
      <c r="E1210" s="270" t="s">
        <v>267</v>
      </c>
      <c r="F1210" s="133" t="s">
        <v>34</v>
      </c>
      <c r="G1210" s="96" t="s">
        <v>35</v>
      </c>
      <c r="H1210" s="272" t="s">
        <v>40</v>
      </c>
      <c r="I1210" s="273">
        <v>10</v>
      </c>
      <c r="J1210" s="270">
        <v>2153</v>
      </c>
      <c r="K1210" s="270">
        <f t="shared" si="0"/>
        <v>21530</v>
      </c>
      <c r="L1210" s="270">
        <v>90754</v>
      </c>
      <c r="M1210" s="270">
        <v>70</v>
      </c>
      <c r="N1210" s="274">
        <v>264</v>
      </c>
      <c r="O1210" s="55"/>
      <c r="P1210" s="45">
        <v>264</v>
      </c>
      <c r="Q1210" s="270">
        <v>49</v>
      </c>
      <c r="R1210" s="275">
        <v>-8.1999999999999998E-4</v>
      </c>
      <c r="S1210" s="270">
        <v>32</v>
      </c>
      <c r="T1210" s="270">
        <v>296</v>
      </c>
      <c r="U1210" s="57">
        <v>1</v>
      </c>
      <c r="V1210" s="276">
        <v>0.3</v>
      </c>
      <c r="W1210" s="276">
        <v>0</v>
      </c>
      <c r="X1210" s="270">
        <v>207</v>
      </c>
      <c r="Y1210" s="270">
        <v>89</v>
      </c>
      <c r="Z1210" s="45" t="b">
        <v>1</v>
      </c>
      <c r="AA1210" s="45" t="s">
        <v>38</v>
      </c>
      <c r="AB1210" s="45" t="s">
        <v>38</v>
      </c>
    </row>
    <row r="1211" spans="1:28" x14ac:dyDescent="0.2">
      <c r="A1211" s="96" t="s">
        <v>191</v>
      </c>
      <c r="B1211" s="96" t="s">
        <v>193</v>
      </c>
      <c r="C1211" s="277">
        <v>44613</v>
      </c>
      <c r="D1211" s="277">
        <v>44640</v>
      </c>
      <c r="E1211" s="270" t="s">
        <v>267</v>
      </c>
      <c r="F1211" s="133" t="s">
        <v>34</v>
      </c>
      <c r="G1211" s="96" t="s">
        <v>80</v>
      </c>
      <c r="H1211" s="272" t="s">
        <v>40</v>
      </c>
      <c r="I1211" s="273">
        <v>10</v>
      </c>
      <c r="J1211" s="270">
        <v>2915</v>
      </c>
      <c r="K1211" s="270">
        <f t="shared" si="0"/>
        <v>29150</v>
      </c>
      <c r="L1211" s="270">
        <v>48916</v>
      </c>
      <c r="M1211" s="270">
        <v>-840</v>
      </c>
      <c r="N1211" s="274">
        <v>1468.42</v>
      </c>
      <c r="O1211" s="55"/>
      <c r="P1211" s="105">
        <v>1468</v>
      </c>
      <c r="Q1211" s="270">
        <v>-730</v>
      </c>
      <c r="R1211" s="275">
        <v>-8.1999999999999998E-4</v>
      </c>
      <c r="S1211" s="270">
        <v>-754</v>
      </c>
      <c r="T1211" s="270">
        <v>714</v>
      </c>
      <c r="U1211" s="57">
        <v>1</v>
      </c>
      <c r="V1211" s="276">
        <v>0.22</v>
      </c>
      <c r="W1211" s="276">
        <v>0</v>
      </c>
      <c r="X1211" s="270">
        <v>557</v>
      </c>
      <c r="Y1211" s="270">
        <v>157</v>
      </c>
      <c r="Z1211" s="45" t="b">
        <v>1</v>
      </c>
      <c r="AA1211" s="45" t="s">
        <v>38</v>
      </c>
      <c r="AB1211" s="45" t="s">
        <v>38</v>
      </c>
    </row>
    <row r="1212" spans="1:28" x14ac:dyDescent="0.2">
      <c r="A1212" s="96" t="s">
        <v>191</v>
      </c>
      <c r="B1212" s="96" t="s">
        <v>193</v>
      </c>
      <c r="C1212" s="277">
        <v>44613</v>
      </c>
      <c r="D1212" s="277">
        <v>44640</v>
      </c>
      <c r="E1212" s="270" t="s">
        <v>267</v>
      </c>
      <c r="F1212" s="133" t="s">
        <v>34</v>
      </c>
      <c r="G1212" s="96" t="s">
        <v>80</v>
      </c>
      <c r="H1212" s="272" t="s">
        <v>71</v>
      </c>
      <c r="I1212" s="273">
        <v>20</v>
      </c>
      <c r="J1212" s="270">
        <v>2746</v>
      </c>
      <c r="K1212" s="270">
        <f t="shared" si="0"/>
        <v>54920</v>
      </c>
      <c r="L1212" s="270">
        <v>42974</v>
      </c>
      <c r="M1212" s="270">
        <v>-1700</v>
      </c>
      <c r="N1212" s="274">
        <v>2766.58</v>
      </c>
      <c r="O1212" s="55"/>
      <c r="P1212" s="105">
        <v>2767</v>
      </c>
      <c r="Q1212" s="270">
        <v>-1555</v>
      </c>
      <c r="R1212" s="275">
        <v>-8.1999999999999998E-4</v>
      </c>
      <c r="S1212" s="270">
        <v>-1600</v>
      </c>
      <c r="T1212" s="270">
        <v>1167</v>
      </c>
      <c r="U1212" s="57">
        <v>1</v>
      </c>
      <c r="V1212" s="276">
        <v>0.22</v>
      </c>
      <c r="W1212" s="276">
        <v>0</v>
      </c>
      <c r="X1212" s="270">
        <v>910</v>
      </c>
      <c r="Y1212" s="270">
        <v>257</v>
      </c>
      <c r="Z1212" s="45" t="b">
        <v>1</v>
      </c>
      <c r="AA1212" s="45" t="s">
        <v>38</v>
      </c>
      <c r="AB1212" s="45" t="s">
        <v>38</v>
      </c>
    </row>
    <row r="1213" spans="1:28" x14ac:dyDescent="0.2">
      <c r="A1213" s="96" t="s">
        <v>195</v>
      </c>
      <c r="B1213" s="96" t="s">
        <v>195</v>
      </c>
      <c r="C1213" s="277">
        <v>44632</v>
      </c>
      <c r="D1213" s="277">
        <v>44640</v>
      </c>
      <c r="E1213" s="270" t="s">
        <v>267</v>
      </c>
      <c r="F1213" s="96" t="s">
        <v>34</v>
      </c>
      <c r="G1213" s="270" t="s">
        <v>35</v>
      </c>
      <c r="H1213" s="272" t="s">
        <v>40</v>
      </c>
      <c r="I1213" s="273">
        <v>10</v>
      </c>
      <c r="J1213" s="270">
        <v>404</v>
      </c>
      <c r="K1213" s="270">
        <f t="shared" si="0"/>
        <v>4040</v>
      </c>
      <c r="L1213" s="270">
        <f>68*404</f>
        <v>27472</v>
      </c>
      <c r="M1213" s="270">
        <v>500</v>
      </c>
      <c r="N1213" s="274">
        <v>45</v>
      </c>
      <c r="O1213" s="55"/>
      <c r="P1213" s="45">
        <v>45</v>
      </c>
      <c r="Q1213" s="270">
        <v>205</v>
      </c>
      <c r="R1213" s="275">
        <v>-8.1999999999999998E-4</v>
      </c>
      <c r="S1213" s="270">
        <v>202</v>
      </c>
      <c r="T1213" s="270">
        <v>247</v>
      </c>
      <c r="U1213" s="57">
        <v>1</v>
      </c>
      <c r="V1213" s="276">
        <v>0.23</v>
      </c>
      <c r="W1213" s="276">
        <v>0</v>
      </c>
      <c r="X1213" s="270">
        <v>190</v>
      </c>
      <c r="Y1213" s="270">
        <v>57</v>
      </c>
      <c r="Z1213" s="45" t="b">
        <v>1</v>
      </c>
      <c r="AA1213" s="45" t="s">
        <v>38</v>
      </c>
      <c r="AB1213" s="45" t="s">
        <v>38</v>
      </c>
    </row>
    <row r="1214" spans="1:28" x14ac:dyDescent="0.2">
      <c r="A1214" s="96" t="s">
        <v>206</v>
      </c>
      <c r="B1214" s="96" t="s">
        <v>206</v>
      </c>
      <c r="C1214" s="277">
        <v>44613</v>
      </c>
      <c r="D1214" s="277">
        <v>44640</v>
      </c>
      <c r="E1214" s="270" t="s">
        <v>267</v>
      </c>
      <c r="F1214" s="133" t="s">
        <v>34</v>
      </c>
      <c r="G1214" s="96" t="s">
        <v>35</v>
      </c>
      <c r="H1214" s="272" t="s">
        <v>70</v>
      </c>
      <c r="I1214" s="273">
        <v>100</v>
      </c>
      <c r="J1214" s="270">
        <v>498</v>
      </c>
      <c r="K1214" s="270">
        <f t="shared" si="0"/>
        <v>49800</v>
      </c>
      <c r="L1214" s="270">
        <v>5294</v>
      </c>
      <c r="M1214" s="270">
        <v>400</v>
      </c>
      <c r="N1214" s="274">
        <v>3747</v>
      </c>
      <c r="O1214" s="55"/>
      <c r="P1214" s="105">
        <v>3747</v>
      </c>
      <c r="Q1214" s="270">
        <v>-1697</v>
      </c>
      <c r="R1214" s="275">
        <v>-8.1999999999999998E-4</v>
      </c>
      <c r="S1214" s="270">
        <v>-1738</v>
      </c>
      <c r="T1214" s="270">
        <v>2009</v>
      </c>
      <c r="U1214" s="57">
        <v>1</v>
      </c>
      <c r="V1214" s="276">
        <v>0.1</v>
      </c>
      <c r="W1214" s="276">
        <v>0</v>
      </c>
      <c r="X1214" s="270">
        <v>1808</v>
      </c>
      <c r="Y1214" s="270">
        <v>201</v>
      </c>
      <c r="Z1214" s="45" t="b">
        <v>1</v>
      </c>
      <c r="AA1214" s="45" t="s">
        <v>38</v>
      </c>
      <c r="AB1214" s="45" t="s">
        <v>38</v>
      </c>
    </row>
    <row r="1215" spans="1:28" x14ac:dyDescent="0.2">
      <c r="A1215" s="96" t="s">
        <v>206</v>
      </c>
      <c r="B1215" s="96" t="s">
        <v>206</v>
      </c>
      <c r="C1215" s="277">
        <v>44613</v>
      </c>
      <c r="D1215" s="277">
        <v>44640</v>
      </c>
      <c r="E1215" s="270" t="s">
        <v>267</v>
      </c>
      <c r="F1215" s="133" t="s">
        <v>34</v>
      </c>
      <c r="G1215" s="96" t="s">
        <v>35</v>
      </c>
      <c r="H1215" s="272" t="s">
        <v>84</v>
      </c>
      <c r="I1215" s="273">
        <v>100</v>
      </c>
      <c r="J1215" s="270">
        <v>20</v>
      </c>
      <c r="K1215" s="270">
        <f t="shared" si="0"/>
        <v>2000</v>
      </c>
      <c r="L1215" s="270">
        <v>827</v>
      </c>
      <c r="M1215" s="270">
        <v>400</v>
      </c>
      <c r="N1215" s="274">
        <v>150</v>
      </c>
      <c r="O1215" s="55"/>
      <c r="P1215" s="45">
        <v>150</v>
      </c>
      <c r="Q1215" s="270">
        <v>150</v>
      </c>
      <c r="R1215" s="275">
        <v>-8.1999999999999998E-4</v>
      </c>
      <c r="S1215" s="270">
        <v>149</v>
      </c>
      <c r="T1215" s="270">
        <v>299</v>
      </c>
      <c r="U1215" s="57">
        <v>1</v>
      </c>
      <c r="V1215" s="276">
        <v>0.1</v>
      </c>
      <c r="W1215" s="276">
        <v>0</v>
      </c>
      <c r="X1215" s="270">
        <v>269</v>
      </c>
      <c r="Y1215" s="270">
        <v>30</v>
      </c>
      <c r="Z1215" s="45" t="b">
        <v>1</v>
      </c>
      <c r="AA1215" s="45" t="s">
        <v>38</v>
      </c>
      <c r="AB1215" s="45" t="s">
        <v>38</v>
      </c>
    </row>
    <row r="1216" spans="1:28" x14ac:dyDescent="0.2">
      <c r="A1216" s="96" t="s">
        <v>206</v>
      </c>
      <c r="B1216" s="96" t="s">
        <v>206</v>
      </c>
      <c r="C1216" s="277">
        <v>44613</v>
      </c>
      <c r="D1216" s="277">
        <v>44640</v>
      </c>
      <c r="E1216" s="270" t="s">
        <v>267</v>
      </c>
      <c r="F1216" s="133" t="s">
        <v>34</v>
      </c>
      <c r="G1216" s="96" t="s">
        <v>35</v>
      </c>
      <c r="H1216" s="272" t="s">
        <v>88</v>
      </c>
      <c r="I1216" s="273">
        <v>250</v>
      </c>
      <c r="J1216" s="270">
        <v>163</v>
      </c>
      <c r="K1216" s="270">
        <f t="shared" si="0"/>
        <v>40750</v>
      </c>
      <c r="L1216" s="270">
        <v>16300</v>
      </c>
      <c r="M1216" s="270">
        <v>6500</v>
      </c>
      <c r="N1216" s="274">
        <v>3066</v>
      </c>
      <c r="O1216" s="55"/>
      <c r="P1216" s="105">
        <v>3066</v>
      </c>
      <c r="Q1216" s="270">
        <v>5555</v>
      </c>
      <c r="R1216" s="275">
        <v>-8.1999999999999998E-4</v>
      </c>
      <c r="S1216" s="270">
        <v>5521</v>
      </c>
      <c r="T1216" s="270">
        <v>8587</v>
      </c>
      <c r="U1216" s="57">
        <v>1</v>
      </c>
      <c r="V1216" s="276">
        <v>0.1</v>
      </c>
      <c r="W1216" s="276">
        <v>0</v>
      </c>
      <c r="X1216" s="270">
        <v>7728</v>
      </c>
      <c r="Y1216" s="270">
        <v>859</v>
      </c>
      <c r="Z1216" s="45" t="b">
        <v>1</v>
      </c>
      <c r="AA1216" s="45" t="s">
        <v>38</v>
      </c>
      <c r="AB1216" s="45" t="s">
        <v>38</v>
      </c>
    </row>
    <row r="1217" spans="1:28" x14ac:dyDescent="0.2">
      <c r="A1217" s="96" t="s">
        <v>206</v>
      </c>
      <c r="B1217" s="96" t="s">
        <v>206</v>
      </c>
      <c r="C1217" s="277">
        <v>44613</v>
      </c>
      <c r="D1217" s="277">
        <v>44640</v>
      </c>
      <c r="E1217" s="270" t="s">
        <v>267</v>
      </c>
      <c r="F1217" s="133" t="s">
        <v>34</v>
      </c>
      <c r="G1217" s="96" t="s">
        <v>35</v>
      </c>
      <c r="H1217" s="272" t="s">
        <v>148</v>
      </c>
      <c r="I1217" s="273">
        <v>250</v>
      </c>
      <c r="J1217" s="270">
        <v>95</v>
      </c>
      <c r="K1217" s="270">
        <f t="shared" si="0"/>
        <v>23750</v>
      </c>
      <c r="L1217" s="270">
        <v>964</v>
      </c>
      <c r="M1217" s="270">
        <v>-1000</v>
      </c>
      <c r="N1217" s="274">
        <v>1787</v>
      </c>
      <c r="O1217" s="55"/>
      <c r="P1217" s="105">
        <v>1787</v>
      </c>
      <c r="Q1217" s="270">
        <v>-471</v>
      </c>
      <c r="R1217" s="275">
        <v>-8.1999999999999998E-4</v>
      </c>
      <c r="S1217" s="270">
        <v>-490</v>
      </c>
      <c r="T1217" s="270">
        <v>1297</v>
      </c>
      <c r="U1217" s="57">
        <v>1</v>
      </c>
      <c r="V1217" s="276">
        <v>0.1</v>
      </c>
      <c r="W1217" s="276">
        <v>0</v>
      </c>
      <c r="X1217" s="270">
        <v>1167</v>
      </c>
      <c r="Y1217" s="270">
        <v>130</v>
      </c>
      <c r="Z1217" s="45" t="b">
        <v>1</v>
      </c>
      <c r="AA1217" s="45" t="s">
        <v>38</v>
      </c>
      <c r="AB1217" s="45" t="s">
        <v>38</v>
      </c>
    </row>
    <row r="1218" spans="1:28" x14ac:dyDescent="0.2">
      <c r="A1218" s="279" t="s">
        <v>60</v>
      </c>
      <c r="B1218" s="279" t="s">
        <v>60</v>
      </c>
      <c r="C1218" s="287">
        <v>44613</v>
      </c>
      <c r="D1218" s="287">
        <v>44641</v>
      </c>
      <c r="E1218" s="279" t="s">
        <v>267</v>
      </c>
      <c r="F1218" s="96" t="s">
        <v>34</v>
      </c>
      <c r="G1218" s="279" t="s">
        <v>61</v>
      </c>
      <c r="H1218" s="272" t="s">
        <v>64</v>
      </c>
      <c r="I1218" s="280">
        <v>10</v>
      </c>
      <c r="J1218" s="279">
        <v>78</v>
      </c>
      <c r="K1218" s="270">
        <f t="shared" si="0"/>
        <v>780</v>
      </c>
      <c r="L1218" s="279">
        <v>8167</v>
      </c>
      <c r="M1218" s="279">
        <v>-177</v>
      </c>
      <c r="N1218" s="281">
        <v>0</v>
      </c>
      <c r="O1218" s="55"/>
      <c r="P1218" s="45">
        <v>0</v>
      </c>
      <c r="Q1218" s="279">
        <v>79</v>
      </c>
      <c r="R1218" s="275">
        <v>-8.1999999999999998E-4</v>
      </c>
      <c r="S1218" s="279">
        <v>78</v>
      </c>
      <c r="T1218" s="279">
        <v>78</v>
      </c>
      <c r="U1218" s="57">
        <v>1</v>
      </c>
      <c r="V1218" s="276">
        <v>0.2</v>
      </c>
      <c r="W1218" s="276">
        <v>0</v>
      </c>
      <c r="X1218" s="279">
        <v>63</v>
      </c>
      <c r="Y1218" s="279">
        <v>16</v>
      </c>
      <c r="Z1218" s="45" t="b">
        <v>1</v>
      </c>
      <c r="AA1218" s="45" t="s">
        <v>50</v>
      </c>
      <c r="AB1218" s="45" t="s">
        <v>50</v>
      </c>
    </row>
    <row r="1219" spans="1:28" x14ac:dyDescent="0.2">
      <c r="A1219" s="96" t="s">
        <v>89</v>
      </c>
      <c r="B1219" s="96" t="s">
        <v>89</v>
      </c>
      <c r="C1219" s="277">
        <v>44621</v>
      </c>
      <c r="D1219" s="277">
        <v>44651</v>
      </c>
      <c r="E1219" s="270" t="s">
        <v>267</v>
      </c>
      <c r="F1219" s="133" t="s">
        <v>41</v>
      </c>
      <c r="G1219" s="96" t="s">
        <v>35</v>
      </c>
      <c r="H1219" s="272" t="s">
        <v>70</v>
      </c>
      <c r="I1219" s="273">
        <v>100</v>
      </c>
      <c r="J1219" s="270">
        <v>2</v>
      </c>
      <c r="K1219" s="270">
        <f t="shared" si="0"/>
        <v>200</v>
      </c>
      <c r="L1219" s="270"/>
      <c r="M1219" s="270">
        <v>0</v>
      </c>
      <c r="N1219" s="274">
        <v>65</v>
      </c>
      <c r="O1219" s="55"/>
      <c r="P1219" s="45">
        <v>65</v>
      </c>
      <c r="Q1219" s="270"/>
      <c r="R1219" s="275">
        <v>0</v>
      </c>
      <c r="S1219" s="270"/>
      <c r="T1219" s="270">
        <v>65</v>
      </c>
      <c r="U1219" s="57">
        <v>1</v>
      </c>
      <c r="V1219" s="276">
        <v>0.22</v>
      </c>
      <c r="W1219" s="276">
        <v>0</v>
      </c>
      <c r="X1219" s="270">
        <v>51</v>
      </c>
      <c r="Y1219" s="270">
        <v>14</v>
      </c>
      <c r="Z1219" s="45" t="b">
        <v>1</v>
      </c>
      <c r="AA1219" s="45" t="s">
        <v>38</v>
      </c>
      <c r="AB1219" s="45" t="s">
        <v>38</v>
      </c>
    </row>
    <row r="1220" spans="1:28" x14ac:dyDescent="0.2">
      <c r="A1220" s="96" t="s">
        <v>89</v>
      </c>
      <c r="B1220" s="96" t="s">
        <v>89</v>
      </c>
      <c r="C1220" s="277">
        <v>44621</v>
      </c>
      <c r="D1220" s="277">
        <v>44651</v>
      </c>
      <c r="E1220" s="270" t="s">
        <v>267</v>
      </c>
      <c r="F1220" s="133" t="s">
        <v>41</v>
      </c>
      <c r="G1220" s="96" t="s">
        <v>35</v>
      </c>
      <c r="H1220" s="272" t="s">
        <v>46</v>
      </c>
      <c r="I1220" s="273">
        <v>25</v>
      </c>
      <c r="J1220" s="270">
        <v>1</v>
      </c>
      <c r="K1220" s="270">
        <f t="shared" si="0"/>
        <v>25</v>
      </c>
      <c r="L1220" s="270"/>
      <c r="M1220" s="270">
        <v>50</v>
      </c>
      <c r="N1220" s="274">
        <v>10</v>
      </c>
      <c r="O1220" s="55"/>
      <c r="P1220" s="45">
        <v>10</v>
      </c>
      <c r="Q1220" s="270"/>
      <c r="R1220" s="275">
        <v>0</v>
      </c>
      <c r="S1220" s="270"/>
      <c r="T1220" s="270">
        <v>60</v>
      </c>
      <c r="U1220" s="57">
        <v>1</v>
      </c>
      <c r="V1220" s="276">
        <v>0.22</v>
      </c>
      <c r="W1220" s="276">
        <v>0</v>
      </c>
      <c r="X1220" s="270">
        <v>47</v>
      </c>
      <c r="Y1220" s="270">
        <v>13</v>
      </c>
      <c r="Z1220" s="45" t="b">
        <v>1</v>
      </c>
      <c r="AA1220" s="45" t="s">
        <v>38</v>
      </c>
      <c r="AB1220" s="45" t="s">
        <v>38</v>
      </c>
    </row>
    <row r="1221" spans="1:28" x14ac:dyDescent="0.2">
      <c r="A1221" s="96" t="s">
        <v>145</v>
      </c>
      <c r="B1221" s="96" t="s">
        <v>145</v>
      </c>
      <c r="C1221" s="277">
        <v>44621</v>
      </c>
      <c r="D1221" s="277">
        <v>44651</v>
      </c>
      <c r="E1221" s="279" t="s">
        <v>267</v>
      </c>
      <c r="F1221" s="133" t="s">
        <v>49</v>
      </c>
      <c r="G1221" s="279" t="s">
        <v>35</v>
      </c>
      <c r="H1221" s="272" t="s">
        <v>70</v>
      </c>
      <c r="I1221" s="273">
        <v>100</v>
      </c>
      <c r="J1221" s="270">
        <v>246</v>
      </c>
      <c r="K1221" s="270">
        <f t="shared" si="0"/>
        <v>24600</v>
      </c>
      <c r="L1221" s="270">
        <v>9386</v>
      </c>
      <c r="M1221" s="270">
        <v>-1700</v>
      </c>
      <c r="N1221" s="274">
        <v>810</v>
      </c>
      <c r="O1221" s="55"/>
      <c r="P1221" s="45">
        <v>810</v>
      </c>
      <c r="Q1221" s="270">
        <v>421</v>
      </c>
      <c r="R1221" s="275">
        <v>1.39E-3</v>
      </c>
      <c r="S1221" s="270">
        <v>456</v>
      </c>
      <c r="T1221" s="270">
        <v>1266</v>
      </c>
      <c r="U1221" s="57">
        <v>1</v>
      </c>
      <c r="V1221" s="276">
        <v>0.12</v>
      </c>
      <c r="W1221" s="276">
        <v>0</v>
      </c>
      <c r="X1221" s="270">
        <v>1114</v>
      </c>
      <c r="Y1221" s="270">
        <v>152</v>
      </c>
      <c r="Z1221" s="45" t="b">
        <v>1</v>
      </c>
      <c r="AA1221" s="45" t="s">
        <v>38</v>
      </c>
      <c r="AB1221" s="45" t="s">
        <v>38</v>
      </c>
    </row>
    <row r="1222" spans="1:28" x14ac:dyDescent="0.2">
      <c r="A1222" s="96" t="s">
        <v>145</v>
      </c>
      <c r="B1222" s="96" t="s">
        <v>145</v>
      </c>
      <c r="C1222" s="277">
        <v>44621</v>
      </c>
      <c r="D1222" s="277">
        <v>44651</v>
      </c>
      <c r="E1222" s="279" t="s">
        <v>267</v>
      </c>
      <c r="F1222" s="133" t="s">
        <v>49</v>
      </c>
      <c r="G1222" s="279" t="s">
        <v>35</v>
      </c>
      <c r="H1222" s="272" t="s">
        <v>84</v>
      </c>
      <c r="I1222" s="273">
        <v>100</v>
      </c>
      <c r="J1222" s="270">
        <v>4183</v>
      </c>
      <c r="K1222" s="270">
        <f t="shared" si="0"/>
        <v>418300</v>
      </c>
      <c r="L1222" s="270">
        <v>39738</v>
      </c>
      <c r="M1222" s="270">
        <v>-7500</v>
      </c>
      <c r="N1222" s="274">
        <v>13820</v>
      </c>
      <c r="O1222" s="55"/>
      <c r="P1222" s="105">
        <v>13820</v>
      </c>
      <c r="Q1222" s="270">
        <v>-10335</v>
      </c>
      <c r="R1222" s="275">
        <v>1.338E-3</v>
      </c>
      <c r="S1222" s="270">
        <v>-9775</v>
      </c>
      <c r="T1222" s="270">
        <v>4045</v>
      </c>
      <c r="U1222" s="57">
        <v>1</v>
      </c>
      <c r="V1222" s="276">
        <v>0.12</v>
      </c>
      <c r="W1222" s="276">
        <v>0</v>
      </c>
      <c r="X1222" s="270">
        <v>3560</v>
      </c>
      <c r="Y1222" s="270">
        <v>485</v>
      </c>
      <c r="Z1222" s="45" t="b">
        <v>1</v>
      </c>
      <c r="AA1222" s="45" t="s">
        <v>38</v>
      </c>
      <c r="AB1222" s="45" t="s">
        <v>38</v>
      </c>
    </row>
    <row r="1223" spans="1:28" x14ac:dyDescent="0.2">
      <c r="A1223" s="96" t="s">
        <v>145</v>
      </c>
      <c r="B1223" s="96" t="s">
        <v>145</v>
      </c>
      <c r="C1223" s="277">
        <v>44621</v>
      </c>
      <c r="D1223" s="277">
        <v>44651</v>
      </c>
      <c r="E1223" s="279" t="s">
        <v>267</v>
      </c>
      <c r="F1223" s="133" t="s">
        <v>49</v>
      </c>
      <c r="G1223" s="279" t="s">
        <v>35</v>
      </c>
      <c r="H1223" s="272" t="s">
        <v>85</v>
      </c>
      <c r="I1223" s="273">
        <v>50</v>
      </c>
      <c r="J1223" s="270">
        <v>111</v>
      </c>
      <c r="K1223" s="270">
        <f t="shared" si="0"/>
        <v>5550</v>
      </c>
      <c r="L1223" s="270">
        <v>-1515</v>
      </c>
      <c r="M1223" s="270">
        <v>-1200</v>
      </c>
      <c r="N1223" s="274">
        <v>220</v>
      </c>
      <c r="O1223" s="55"/>
      <c r="P1223" s="45">
        <v>220</v>
      </c>
      <c r="Q1223" s="270">
        <v>-592</v>
      </c>
      <c r="R1223" s="275">
        <v>1.1360000000000001E-3</v>
      </c>
      <c r="S1223" s="270">
        <v>-586</v>
      </c>
      <c r="T1223" s="270">
        <v>-366</v>
      </c>
      <c r="U1223" s="57">
        <v>1</v>
      </c>
      <c r="V1223" s="276">
        <v>0.12</v>
      </c>
      <c r="W1223" s="276">
        <v>0</v>
      </c>
      <c r="X1223" s="270">
        <v>-322</v>
      </c>
      <c r="Y1223" s="270">
        <v>-44</v>
      </c>
      <c r="Z1223" s="45" t="b">
        <v>1</v>
      </c>
      <c r="AA1223" s="45" t="s">
        <v>38</v>
      </c>
      <c r="AB1223" s="45" t="s">
        <v>38</v>
      </c>
    </row>
    <row r="1224" spans="1:28" x14ac:dyDescent="0.2">
      <c r="A1224" s="279" t="s">
        <v>447</v>
      </c>
      <c r="B1224" s="279" t="s">
        <v>66</v>
      </c>
      <c r="C1224" s="287">
        <v>44621</v>
      </c>
      <c r="D1224" s="287">
        <v>44651</v>
      </c>
      <c r="E1224" s="279" t="s">
        <v>300</v>
      </c>
      <c r="F1224" s="96" t="s">
        <v>49</v>
      </c>
      <c r="G1224" s="279" t="s">
        <v>61</v>
      </c>
      <c r="H1224" s="289" t="s">
        <v>59</v>
      </c>
      <c r="I1224" s="280">
        <v>100</v>
      </c>
      <c r="J1224" s="279">
        <v>910</v>
      </c>
      <c r="K1224" s="270">
        <f t="shared" si="0"/>
        <v>91000</v>
      </c>
      <c r="L1224" s="279">
        <v>37989</v>
      </c>
      <c r="M1224" s="279">
        <v>-3200</v>
      </c>
      <c r="N1224" s="281">
        <v>3040</v>
      </c>
      <c r="O1224" s="55"/>
      <c r="P1224" s="105">
        <v>3040</v>
      </c>
      <c r="Q1224" s="279">
        <v>-1169</v>
      </c>
      <c r="R1224" s="275">
        <v>1.359E-3</v>
      </c>
      <c r="S1224" s="279">
        <v>-1045</v>
      </c>
      <c r="T1224" s="279">
        <v>1995</v>
      </c>
      <c r="U1224" s="57">
        <v>1</v>
      </c>
      <c r="V1224" s="276">
        <v>0.1</v>
      </c>
      <c r="W1224" s="276">
        <v>0.1</v>
      </c>
      <c r="X1224" s="279">
        <v>1596</v>
      </c>
      <c r="Y1224" s="279">
        <v>399</v>
      </c>
      <c r="Z1224" s="45" t="b">
        <v>1</v>
      </c>
      <c r="AA1224" s="45" t="s">
        <v>50</v>
      </c>
      <c r="AB1224" s="45" t="s">
        <v>50</v>
      </c>
    </row>
    <row r="1225" spans="1:28" x14ac:dyDescent="0.2">
      <c r="A1225" s="279" t="s">
        <v>447</v>
      </c>
      <c r="B1225" s="279" t="s">
        <v>66</v>
      </c>
      <c r="C1225" s="287">
        <v>44621</v>
      </c>
      <c r="D1225" s="287">
        <v>44651</v>
      </c>
      <c r="E1225" s="279" t="s">
        <v>300</v>
      </c>
      <c r="F1225" s="96" t="s">
        <v>49</v>
      </c>
      <c r="G1225" s="279" t="s">
        <v>35</v>
      </c>
      <c r="H1225" s="272" t="s">
        <v>72</v>
      </c>
      <c r="I1225" s="273">
        <v>50</v>
      </c>
      <c r="J1225" s="270">
        <v>18</v>
      </c>
      <c r="K1225" s="270">
        <f t="shared" si="0"/>
        <v>900</v>
      </c>
      <c r="L1225" s="270">
        <v>1173</v>
      </c>
      <c r="M1225" s="270">
        <v>200</v>
      </c>
      <c r="N1225" s="274">
        <v>10</v>
      </c>
      <c r="O1225" s="55"/>
      <c r="P1225" s="45">
        <v>10</v>
      </c>
      <c r="Q1225" s="270">
        <v>51</v>
      </c>
      <c r="R1225" s="275">
        <v>9.3899999999999995E-4</v>
      </c>
      <c r="S1225" s="270">
        <v>52</v>
      </c>
      <c r="T1225" s="270">
        <v>62</v>
      </c>
      <c r="U1225" s="57">
        <v>0.91500000000000004</v>
      </c>
      <c r="V1225" s="276">
        <v>0.1</v>
      </c>
      <c r="W1225" s="276">
        <v>0.1</v>
      </c>
      <c r="X1225" s="270">
        <v>45</v>
      </c>
      <c r="Y1225" s="270">
        <v>11</v>
      </c>
      <c r="Z1225" s="45" t="b">
        <v>1</v>
      </c>
      <c r="AA1225" s="45" t="s">
        <v>50</v>
      </c>
      <c r="AB1225" s="45" t="s">
        <v>38</v>
      </c>
    </row>
    <row r="1226" spans="1:28" x14ac:dyDescent="0.2">
      <c r="A1226" s="279" t="s">
        <v>447</v>
      </c>
      <c r="B1226" s="279" t="s">
        <v>66</v>
      </c>
      <c r="C1226" s="287">
        <v>44621</v>
      </c>
      <c r="D1226" s="287">
        <v>44651</v>
      </c>
      <c r="E1226" s="279" t="s">
        <v>300</v>
      </c>
      <c r="F1226" s="96" t="s">
        <v>49</v>
      </c>
      <c r="G1226" s="279" t="s">
        <v>35</v>
      </c>
      <c r="H1226" s="272" t="s">
        <v>70</v>
      </c>
      <c r="I1226" s="273">
        <v>100</v>
      </c>
      <c r="J1226" s="270">
        <v>81</v>
      </c>
      <c r="K1226" s="270">
        <f t="shared" si="0"/>
        <v>8100</v>
      </c>
      <c r="L1226" s="270">
        <v>3692</v>
      </c>
      <c r="M1226" s="270">
        <v>-600</v>
      </c>
      <c r="N1226" s="274">
        <v>75</v>
      </c>
      <c r="O1226" s="55"/>
      <c r="P1226" s="45">
        <v>75</v>
      </c>
      <c r="Q1226" s="270">
        <v>255</v>
      </c>
      <c r="R1226" s="275">
        <v>1.408E-3</v>
      </c>
      <c r="S1226" s="270">
        <v>266</v>
      </c>
      <c r="T1226" s="270">
        <v>341</v>
      </c>
      <c r="U1226" s="57">
        <v>0.91500000000000004</v>
      </c>
      <c r="V1226" s="276">
        <v>0.1</v>
      </c>
      <c r="W1226" s="276">
        <v>0.1</v>
      </c>
      <c r="X1226" s="270">
        <v>250</v>
      </c>
      <c r="Y1226" s="270">
        <v>62</v>
      </c>
      <c r="Z1226" s="45" t="b">
        <v>1</v>
      </c>
      <c r="AA1226" s="45" t="s">
        <v>50</v>
      </c>
      <c r="AB1226" s="45" t="s">
        <v>38</v>
      </c>
    </row>
    <row r="1227" spans="1:28" x14ac:dyDescent="0.2">
      <c r="A1227" s="96" t="s">
        <v>152</v>
      </c>
      <c r="B1227" s="96" t="s">
        <v>152</v>
      </c>
      <c r="C1227" s="277">
        <v>44621</v>
      </c>
      <c r="D1227" s="277">
        <v>44651</v>
      </c>
      <c r="E1227" s="270" t="s">
        <v>267</v>
      </c>
      <c r="F1227" s="133" t="s">
        <v>41</v>
      </c>
      <c r="G1227" s="279" t="s">
        <v>35</v>
      </c>
      <c r="H1227" s="110" t="s">
        <v>70</v>
      </c>
      <c r="I1227" s="273">
        <v>100</v>
      </c>
      <c r="J1227" s="270">
        <v>49</v>
      </c>
      <c r="K1227" s="270">
        <f t="shared" si="0"/>
        <v>4900</v>
      </c>
      <c r="L1227" s="270"/>
      <c r="M1227" s="270">
        <v>800</v>
      </c>
      <c r="N1227" s="274">
        <v>63</v>
      </c>
      <c r="O1227" s="55"/>
      <c r="P1227" s="45">
        <v>63</v>
      </c>
      <c r="Q1227" s="270"/>
      <c r="R1227" s="275">
        <v>0</v>
      </c>
      <c r="S1227" s="270"/>
      <c r="T1227" s="270">
        <v>863</v>
      </c>
      <c r="U1227" s="57">
        <v>1</v>
      </c>
      <c r="V1227" s="276">
        <v>0.15</v>
      </c>
      <c r="W1227" s="276">
        <v>0</v>
      </c>
      <c r="X1227" s="270">
        <v>734</v>
      </c>
      <c r="Y1227" s="270">
        <v>129</v>
      </c>
      <c r="Z1227" s="45" t="b">
        <v>1</v>
      </c>
      <c r="AA1227" s="45" t="s">
        <v>38</v>
      </c>
      <c r="AB1227" s="45" t="s">
        <v>38</v>
      </c>
    </row>
    <row r="1228" spans="1:28" x14ac:dyDescent="0.2">
      <c r="A1228" s="96" t="s">
        <v>152</v>
      </c>
      <c r="B1228" s="96" t="s">
        <v>152</v>
      </c>
      <c r="C1228" s="277">
        <v>44621</v>
      </c>
      <c r="D1228" s="277">
        <v>44651</v>
      </c>
      <c r="E1228" s="270" t="s">
        <v>267</v>
      </c>
      <c r="F1228" s="96" t="s">
        <v>49</v>
      </c>
      <c r="G1228" s="279" t="s">
        <v>35</v>
      </c>
      <c r="H1228" s="272" t="s">
        <v>88</v>
      </c>
      <c r="I1228" s="273">
        <v>250</v>
      </c>
      <c r="J1228" s="270">
        <v>296</v>
      </c>
      <c r="K1228" s="270">
        <f t="shared" si="0"/>
        <v>74000</v>
      </c>
      <c r="L1228" s="270">
        <v>-942</v>
      </c>
      <c r="M1228" s="270">
        <v>-2750</v>
      </c>
      <c r="N1228" s="274">
        <v>949</v>
      </c>
      <c r="O1228" s="55"/>
      <c r="P1228" s="45">
        <v>949</v>
      </c>
      <c r="Q1228" s="270">
        <v>-4261</v>
      </c>
      <c r="R1228" s="275">
        <v>1.134E-3</v>
      </c>
      <c r="S1228" s="270">
        <v>-4177</v>
      </c>
      <c r="T1228" s="270">
        <v>-3228</v>
      </c>
      <c r="U1228" s="57">
        <v>1</v>
      </c>
      <c r="V1228" s="276">
        <v>0.15</v>
      </c>
      <c r="W1228" s="276">
        <v>0</v>
      </c>
      <c r="X1228" s="270">
        <v>-2744</v>
      </c>
      <c r="Y1228" s="270">
        <v>-484</v>
      </c>
      <c r="Z1228" s="45" t="b">
        <v>1</v>
      </c>
      <c r="AA1228" s="45" t="s">
        <v>38</v>
      </c>
      <c r="AB1228" s="45" t="s">
        <v>38</v>
      </c>
    </row>
    <row r="1229" spans="1:28" x14ac:dyDescent="0.2">
      <c r="A1229" s="96" t="s">
        <v>152</v>
      </c>
      <c r="B1229" s="96" t="s">
        <v>152</v>
      </c>
      <c r="C1229" s="277">
        <v>44621</v>
      </c>
      <c r="D1229" s="277">
        <v>44651</v>
      </c>
      <c r="E1229" s="270" t="s">
        <v>267</v>
      </c>
      <c r="F1229" s="96" t="s">
        <v>49</v>
      </c>
      <c r="G1229" s="279" t="s">
        <v>35</v>
      </c>
      <c r="H1229" s="272" t="s">
        <v>142</v>
      </c>
      <c r="I1229" s="273">
        <v>500</v>
      </c>
      <c r="J1229" s="270">
        <v>6</v>
      </c>
      <c r="K1229" s="270">
        <f t="shared" si="0"/>
        <v>3000</v>
      </c>
      <c r="L1229" s="270">
        <v>596</v>
      </c>
      <c r="M1229" s="270">
        <v>0</v>
      </c>
      <c r="N1229" s="274">
        <v>38</v>
      </c>
      <c r="O1229" s="55"/>
      <c r="P1229" s="45">
        <v>38</v>
      </c>
      <c r="Q1229" s="270">
        <v>408</v>
      </c>
      <c r="R1229" s="275">
        <v>1.317E-3</v>
      </c>
      <c r="S1229" s="270">
        <v>412</v>
      </c>
      <c r="T1229" s="270">
        <v>450</v>
      </c>
      <c r="U1229" s="57">
        <v>1</v>
      </c>
      <c r="V1229" s="276">
        <v>0.15</v>
      </c>
      <c r="W1229" s="276">
        <v>0</v>
      </c>
      <c r="X1229" s="270">
        <v>383</v>
      </c>
      <c r="Y1229" s="270">
        <v>68</v>
      </c>
      <c r="Z1229" s="45" t="b">
        <v>1</v>
      </c>
      <c r="AA1229" s="45" t="s">
        <v>38</v>
      </c>
      <c r="AB1229" s="45" t="s">
        <v>38</v>
      </c>
    </row>
    <row r="1230" spans="1:28" x14ac:dyDescent="0.2">
      <c r="A1230" s="96" t="s">
        <v>152</v>
      </c>
      <c r="B1230" s="96" t="s">
        <v>152</v>
      </c>
      <c r="C1230" s="277">
        <v>44621</v>
      </c>
      <c r="D1230" s="277">
        <v>44651</v>
      </c>
      <c r="E1230" s="270" t="s">
        <v>267</v>
      </c>
      <c r="F1230" s="96" t="s">
        <v>49</v>
      </c>
      <c r="G1230" s="270" t="s">
        <v>80</v>
      </c>
      <c r="H1230" s="272" t="s">
        <v>72</v>
      </c>
      <c r="I1230" s="273">
        <v>50</v>
      </c>
      <c r="J1230" s="270">
        <v>833</v>
      </c>
      <c r="K1230" s="270">
        <f t="shared" si="0"/>
        <v>41650</v>
      </c>
      <c r="L1230" s="270">
        <v>14675</v>
      </c>
      <c r="M1230" s="270">
        <v>-2100</v>
      </c>
      <c r="N1230" s="274">
        <v>2243.77</v>
      </c>
      <c r="O1230" s="55"/>
      <c r="P1230" s="105">
        <v>2244</v>
      </c>
      <c r="Q1230" s="270">
        <v>-943</v>
      </c>
      <c r="R1230" s="275">
        <v>1.812E-3</v>
      </c>
      <c r="S1230" s="270">
        <v>-868</v>
      </c>
      <c r="T1230" s="270">
        <v>1376</v>
      </c>
      <c r="U1230" s="57">
        <v>1</v>
      </c>
      <c r="V1230" s="276">
        <v>0.15</v>
      </c>
      <c r="W1230" s="276">
        <v>0</v>
      </c>
      <c r="X1230" s="270">
        <v>1169</v>
      </c>
      <c r="Y1230" s="270">
        <v>206</v>
      </c>
      <c r="Z1230" s="45" t="b">
        <v>1</v>
      </c>
      <c r="AA1230" s="45" t="s">
        <v>38</v>
      </c>
      <c r="AB1230" s="45" t="s">
        <v>38</v>
      </c>
    </row>
    <row r="1231" spans="1:28" x14ac:dyDescent="0.2">
      <c r="A1231" s="96" t="s">
        <v>152</v>
      </c>
      <c r="B1231" s="96" t="s">
        <v>152</v>
      </c>
      <c r="C1231" s="277">
        <v>44621</v>
      </c>
      <c r="D1231" s="277">
        <v>44651</v>
      </c>
      <c r="E1231" s="270" t="s">
        <v>267</v>
      </c>
      <c r="F1231" s="96" t="s">
        <v>49</v>
      </c>
      <c r="G1231" s="270" t="s">
        <v>80</v>
      </c>
      <c r="H1231" s="110" t="s">
        <v>70</v>
      </c>
      <c r="I1231" s="273">
        <v>100</v>
      </c>
      <c r="J1231" s="270">
        <v>5933</v>
      </c>
      <c r="K1231" s="270">
        <f t="shared" si="0"/>
        <v>593300</v>
      </c>
      <c r="L1231" s="270">
        <v>64837</v>
      </c>
      <c r="M1231" s="270">
        <v>-20500</v>
      </c>
      <c r="N1231" s="274">
        <v>31962.23</v>
      </c>
      <c r="O1231" s="55"/>
      <c r="P1231" s="105">
        <v>31962</v>
      </c>
      <c r="Q1231" s="270">
        <v>-24856</v>
      </c>
      <c r="R1231" s="275">
        <v>-2.3499999999999999E-4</v>
      </c>
      <c r="S1231" s="270">
        <v>-24996</v>
      </c>
      <c r="T1231" s="270">
        <v>6966</v>
      </c>
      <c r="U1231" s="57">
        <v>1</v>
      </c>
      <c r="V1231" s="276">
        <v>0.15</v>
      </c>
      <c r="W1231" s="276">
        <v>0</v>
      </c>
      <c r="X1231" s="270">
        <v>5921</v>
      </c>
      <c r="Y1231" s="270">
        <v>1045</v>
      </c>
      <c r="Z1231" s="45" t="b">
        <v>1</v>
      </c>
      <c r="AA1231" s="45" t="s">
        <v>38</v>
      </c>
      <c r="AB1231" s="45" t="s">
        <v>38</v>
      </c>
    </row>
    <row r="1232" spans="1:28" x14ac:dyDescent="0.2">
      <c r="A1232" s="279" t="s">
        <v>456</v>
      </c>
      <c r="B1232" s="279" t="s">
        <v>110</v>
      </c>
      <c r="C1232" s="287">
        <v>44621</v>
      </c>
      <c r="D1232" s="287">
        <v>44651</v>
      </c>
      <c r="E1232" s="279" t="s">
        <v>267</v>
      </c>
      <c r="F1232" s="96" t="s">
        <v>49</v>
      </c>
      <c r="G1232" s="279" t="s">
        <v>61</v>
      </c>
      <c r="H1232" s="272" t="s">
        <v>64</v>
      </c>
      <c r="I1232" s="280">
        <v>10</v>
      </c>
      <c r="J1232" s="279">
        <v>588</v>
      </c>
      <c r="K1232" s="270">
        <f t="shared" si="0"/>
        <v>5880</v>
      </c>
      <c r="L1232" s="279">
        <v>50266</v>
      </c>
      <c r="M1232" s="279">
        <v>40</v>
      </c>
      <c r="N1232" s="281">
        <v>317</v>
      </c>
      <c r="O1232" s="55"/>
      <c r="P1232" s="45">
        <v>317</v>
      </c>
      <c r="Q1232" s="279">
        <v>379</v>
      </c>
      <c r="R1232" s="275">
        <v>1.258E-3</v>
      </c>
      <c r="S1232" s="279">
        <v>386</v>
      </c>
      <c r="T1232" s="279">
        <v>703</v>
      </c>
      <c r="U1232" s="57">
        <v>1</v>
      </c>
      <c r="V1232" s="276">
        <v>0.17</v>
      </c>
      <c r="W1232" s="276">
        <v>0</v>
      </c>
      <c r="X1232" s="279">
        <v>583</v>
      </c>
      <c r="Y1232" s="279">
        <v>120</v>
      </c>
      <c r="Z1232" s="45" t="b">
        <v>1</v>
      </c>
      <c r="AA1232" s="45" t="s">
        <v>50</v>
      </c>
      <c r="AB1232" s="45" t="s">
        <v>50</v>
      </c>
    </row>
    <row r="1233" spans="1:28" x14ac:dyDescent="0.2">
      <c r="A1233" s="279" t="s">
        <v>456</v>
      </c>
      <c r="B1233" s="279" t="s">
        <v>110</v>
      </c>
      <c r="C1233" s="287">
        <v>44621</v>
      </c>
      <c r="D1233" s="287">
        <v>44651</v>
      </c>
      <c r="E1233" s="279" t="s">
        <v>267</v>
      </c>
      <c r="F1233" s="96" t="s">
        <v>49</v>
      </c>
      <c r="G1233" s="279" t="s">
        <v>61</v>
      </c>
      <c r="H1233" s="272" t="s">
        <v>65</v>
      </c>
      <c r="I1233" s="280">
        <v>25</v>
      </c>
      <c r="J1233" s="279">
        <v>537</v>
      </c>
      <c r="K1233" s="270">
        <f t="shared" si="0"/>
        <v>13425</v>
      </c>
      <c r="L1233" s="279">
        <v>37822</v>
      </c>
      <c r="M1233" s="279">
        <v>-925</v>
      </c>
      <c r="N1233" s="281">
        <v>8</v>
      </c>
      <c r="O1233" s="55"/>
      <c r="P1233" s="45">
        <v>8</v>
      </c>
      <c r="Q1233" s="279">
        <v>499</v>
      </c>
      <c r="R1233" s="275">
        <v>1.2359999999999999E-3</v>
      </c>
      <c r="S1233" s="279">
        <v>516</v>
      </c>
      <c r="T1233" s="279">
        <v>524</v>
      </c>
      <c r="U1233" s="57">
        <v>1</v>
      </c>
      <c r="V1233" s="276">
        <v>0.17</v>
      </c>
      <c r="W1233" s="276">
        <v>0</v>
      </c>
      <c r="X1233" s="279">
        <v>435</v>
      </c>
      <c r="Y1233" s="279">
        <v>89</v>
      </c>
      <c r="Z1233" s="45" t="b">
        <v>1</v>
      </c>
      <c r="AA1233" s="45" t="s">
        <v>50</v>
      </c>
      <c r="AB1233" s="45" t="s">
        <v>50</v>
      </c>
    </row>
    <row r="1234" spans="1:28" x14ac:dyDescent="0.2">
      <c r="A1234" s="96" t="s">
        <v>175</v>
      </c>
      <c r="B1234" s="96" t="s">
        <v>175</v>
      </c>
      <c r="C1234" s="277">
        <v>44621</v>
      </c>
      <c r="D1234" s="277">
        <v>44651</v>
      </c>
      <c r="E1234" s="279" t="s">
        <v>267</v>
      </c>
      <c r="F1234" s="133" t="s">
        <v>49</v>
      </c>
      <c r="G1234" s="270" t="s">
        <v>35</v>
      </c>
      <c r="H1234" s="272" t="s">
        <v>46</v>
      </c>
      <c r="I1234" s="273">
        <v>25</v>
      </c>
      <c r="J1234" s="270">
        <v>124</v>
      </c>
      <c r="K1234" s="270">
        <f t="shared" si="0"/>
        <v>3100</v>
      </c>
      <c r="L1234" s="270">
        <v>5389</v>
      </c>
      <c r="M1234" s="270">
        <v>375</v>
      </c>
      <c r="N1234" s="274">
        <v>126</v>
      </c>
      <c r="O1234" s="55"/>
      <c r="P1234" s="45">
        <v>126</v>
      </c>
      <c r="Q1234" s="270">
        <v>51</v>
      </c>
      <c r="R1234" s="275">
        <v>1.155E-3</v>
      </c>
      <c r="S1234" s="270">
        <v>55</v>
      </c>
      <c r="T1234" s="270">
        <v>181</v>
      </c>
      <c r="U1234" s="57">
        <v>1</v>
      </c>
      <c r="V1234" s="276">
        <v>0.17</v>
      </c>
      <c r="W1234" s="276">
        <v>0</v>
      </c>
      <c r="X1234" s="270">
        <v>150</v>
      </c>
      <c r="Y1234" s="270">
        <v>31</v>
      </c>
      <c r="Z1234" s="45" t="b">
        <v>1</v>
      </c>
      <c r="AA1234" s="45" t="s">
        <v>38</v>
      </c>
      <c r="AB1234" s="45" t="s">
        <v>38</v>
      </c>
    </row>
    <row r="1235" spans="1:28" x14ac:dyDescent="0.2">
      <c r="A1235" s="96" t="s">
        <v>175</v>
      </c>
      <c r="B1235" s="96" t="s">
        <v>175</v>
      </c>
      <c r="C1235" s="277">
        <v>44621</v>
      </c>
      <c r="D1235" s="277">
        <v>44651</v>
      </c>
      <c r="E1235" s="279" t="s">
        <v>267</v>
      </c>
      <c r="F1235" s="133" t="s">
        <v>49</v>
      </c>
      <c r="G1235" s="270" t="s">
        <v>35</v>
      </c>
      <c r="H1235" s="272" t="s">
        <v>72</v>
      </c>
      <c r="I1235" s="273">
        <v>50</v>
      </c>
      <c r="J1235" s="270">
        <v>1164</v>
      </c>
      <c r="K1235" s="270">
        <f t="shared" si="0"/>
        <v>58200</v>
      </c>
      <c r="L1235" s="270">
        <v>40928</v>
      </c>
      <c r="M1235" s="270">
        <v>-700</v>
      </c>
      <c r="N1235" s="274">
        <v>2364</v>
      </c>
      <c r="O1235" s="55"/>
      <c r="P1235" s="105">
        <v>2364</v>
      </c>
      <c r="Q1235" s="270">
        <v>70</v>
      </c>
      <c r="R1235" s="275">
        <v>1.206E-3</v>
      </c>
      <c r="S1235" s="270">
        <v>140</v>
      </c>
      <c r="T1235" s="270">
        <v>2504</v>
      </c>
      <c r="U1235" s="57">
        <v>1</v>
      </c>
      <c r="V1235" s="276">
        <v>0.17</v>
      </c>
      <c r="W1235" s="276">
        <v>0</v>
      </c>
      <c r="X1235" s="270">
        <v>2078</v>
      </c>
      <c r="Y1235" s="270">
        <v>426</v>
      </c>
      <c r="Z1235" s="45" t="b">
        <v>1</v>
      </c>
      <c r="AA1235" s="45" t="s">
        <v>38</v>
      </c>
      <c r="AB1235" s="45" t="s">
        <v>38</v>
      </c>
    </row>
    <row r="1236" spans="1:28" x14ac:dyDescent="0.2">
      <c r="A1236" s="96" t="s">
        <v>175</v>
      </c>
      <c r="B1236" s="96" t="s">
        <v>175</v>
      </c>
      <c r="C1236" s="277">
        <v>44621</v>
      </c>
      <c r="D1236" s="277">
        <v>44651</v>
      </c>
      <c r="E1236" s="279" t="s">
        <v>267</v>
      </c>
      <c r="F1236" s="133" t="s">
        <v>49</v>
      </c>
      <c r="G1236" s="270" t="s">
        <v>35</v>
      </c>
      <c r="H1236" s="272" t="s">
        <v>85</v>
      </c>
      <c r="I1236" s="273">
        <v>50</v>
      </c>
      <c r="J1236" s="270">
        <v>276</v>
      </c>
      <c r="K1236" s="270">
        <f t="shared" si="0"/>
        <v>13800</v>
      </c>
      <c r="L1236" s="270">
        <v>-1304</v>
      </c>
      <c r="M1236" s="270">
        <v>-1350</v>
      </c>
      <c r="N1236" s="274">
        <v>560</v>
      </c>
      <c r="O1236" s="55"/>
      <c r="P1236" s="45">
        <v>560</v>
      </c>
      <c r="Q1236" s="270">
        <v>-1085</v>
      </c>
      <c r="R1236" s="275">
        <v>1.1379999999999999E-3</v>
      </c>
      <c r="S1236" s="270">
        <v>-1069</v>
      </c>
      <c r="T1236" s="270">
        <v>-509</v>
      </c>
      <c r="U1236" s="57">
        <v>1</v>
      </c>
      <c r="V1236" s="276">
        <v>0.17</v>
      </c>
      <c r="W1236" s="276">
        <v>0</v>
      </c>
      <c r="X1236" s="270">
        <v>-422</v>
      </c>
      <c r="Y1236" s="270">
        <v>-87</v>
      </c>
      <c r="Z1236" s="45" t="b">
        <v>1</v>
      </c>
      <c r="AA1236" s="45" t="s">
        <v>38</v>
      </c>
      <c r="AB1236" s="45" t="s">
        <v>38</v>
      </c>
    </row>
    <row r="1237" spans="1:28" x14ac:dyDescent="0.2">
      <c r="A1237" s="279" t="s">
        <v>144</v>
      </c>
      <c r="B1237" s="279" t="s">
        <v>144</v>
      </c>
      <c r="C1237" s="287">
        <v>44621</v>
      </c>
      <c r="D1237" s="287">
        <v>44651</v>
      </c>
      <c r="E1237" s="270" t="s">
        <v>267</v>
      </c>
      <c r="F1237" s="96" t="s">
        <v>49</v>
      </c>
      <c r="G1237" s="279" t="s">
        <v>35</v>
      </c>
      <c r="H1237" s="272" t="s">
        <v>46</v>
      </c>
      <c r="I1237" s="273">
        <v>25</v>
      </c>
      <c r="J1237" s="270">
        <v>77</v>
      </c>
      <c r="K1237" s="270">
        <f t="shared" si="0"/>
        <v>1925</v>
      </c>
      <c r="L1237" s="270">
        <v>6568</v>
      </c>
      <c r="M1237" s="270">
        <v>200</v>
      </c>
      <c r="N1237" s="274">
        <v>135</v>
      </c>
      <c r="O1237" s="55"/>
      <c r="P1237" s="45">
        <v>135</v>
      </c>
      <c r="Q1237" s="270">
        <v>181</v>
      </c>
      <c r="R1237" s="275">
        <v>1.3500000000000001E-3</v>
      </c>
      <c r="S1237" s="270">
        <v>184</v>
      </c>
      <c r="T1237" s="270">
        <v>319</v>
      </c>
      <c r="U1237" s="57">
        <v>1</v>
      </c>
      <c r="V1237" s="276">
        <v>0.17</v>
      </c>
      <c r="W1237" s="276">
        <v>0</v>
      </c>
      <c r="X1237" s="270">
        <v>265</v>
      </c>
      <c r="Y1237" s="270">
        <v>54</v>
      </c>
      <c r="Z1237" s="45" t="b">
        <v>1</v>
      </c>
      <c r="AA1237" s="45" t="s">
        <v>38</v>
      </c>
      <c r="AB1237" s="45" t="s">
        <v>38</v>
      </c>
    </row>
    <row r="1238" spans="1:28" x14ac:dyDescent="0.2">
      <c r="A1238" s="270" t="s">
        <v>98</v>
      </c>
      <c r="B1238" s="270" t="s">
        <v>98</v>
      </c>
      <c r="C1238" s="277">
        <v>44621</v>
      </c>
      <c r="D1238" s="277">
        <v>44651</v>
      </c>
      <c r="E1238" s="270" t="s">
        <v>267</v>
      </c>
      <c r="F1238" s="96" t="s">
        <v>49</v>
      </c>
      <c r="G1238" s="270" t="s">
        <v>35</v>
      </c>
      <c r="H1238" s="272" t="s">
        <v>87</v>
      </c>
      <c r="I1238" s="273">
        <v>25</v>
      </c>
      <c r="J1238" s="270">
        <v>518</v>
      </c>
      <c r="K1238" s="270">
        <f t="shared" si="0"/>
        <v>12950</v>
      </c>
      <c r="L1238" s="270">
        <v>12017</v>
      </c>
      <c r="M1238" s="270">
        <v>-1275</v>
      </c>
      <c r="N1238" s="274">
        <v>260</v>
      </c>
      <c r="O1238" s="55"/>
      <c r="P1238" s="45">
        <v>260</v>
      </c>
      <c r="Q1238" s="270">
        <v>100</v>
      </c>
      <c r="R1238" s="275">
        <v>1.1839999999999999E-3</v>
      </c>
      <c r="S1238" s="270">
        <v>115</v>
      </c>
      <c r="T1238" s="270">
        <v>375</v>
      </c>
      <c r="U1238" s="57">
        <v>1</v>
      </c>
      <c r="V1238" s="276">
        <v>0.35</v>
      </c>
      <c r="W1238" s="276">
        <v>0</v>
      </c>
      <c r="X1238" s="270">
        <v>244</v>
      </c>
      <c r="Y1238" s="270">
        <v>131</v>
      </c>
      <c r="Z1238" s="45" t="b">
        <v>1</v>
      </c>
      <c r="AA1238" s="45" t="s">
        <v>38</v>
      </c>
      <c r="AB1238" s="45" t="s">
        <v>38</v>
      </c>
    </row>
    <row r="1239" spans="1:28" x14ac:dyDescent="0.2">
      <c r="A1239" s="96" t="s">
        <v>286</v>
      </c>
      <c r="B1239" s="96" t="s">
        <v>286</v>
      </c>
      <c r="C1239" s="277">
        <v>44641</v>
      </c>
      <c r="D1239" s="277">
        <v>44671</v>
      </c>
      <c r="E1239" s="270" t="s">
        <v>267</v>
      </c>
      <c r="F1239" s="133" t="s">
        <v>34</v>
      </c>
      <c r="G1239" s="96" t="s">
        <v>35</v>
      </c>
      <c r="H1239" s="272" t="s">
        <v>39</v>
      </c>
      <c r="I1239" s="273">
        <v>5</v>
      </c>
      <c r="J1239" s="270">
        <v>1</v>
      </c>
      <c r="K1239" s="270">
        <f t="shared" si="0"/>
        <v>5</v>
      </c>
      <c r="L1239" s="270">
        <v>-64</v>
      </c>
      <c r="M1239" s="270">
        <v>10</v>
      </c>
      <c r="N1239" s="274">
        <v>0</v>
      </c>
      <c r="O1239" s="55"/>
      <c r="P1239" s="45">
        <v>0</v>
      </c>
      <c r="Q1239" s="270">
        <v>-1</v>
      </c>
      <c r="R1239" s="275">
        <v>-1.5E-3</v>
      </c>
      <c r="S1239" s="270">
        <v>-1</v>
      </c>
      <c r="T1239" s="270">
        <v>-1</v>
      </c>
      <c r="U1239" s="57">
        <v>1</v>
      </c>
      <c r="V1239" s="276">
        <v>0.15</v>
      </c>
      <c r="W1239" s="276">
        <v>0</v>
      </c>
      <c r="X1239" s="270">
        <v>-1</v>
      </c>
      <c r="Y1239" s="270">
        <v>0</v>
      </c>
      <c r="Z1239" s="45" t="b">
        <v>1</v>
      </c>
      <c r="AA1239" s="45" t="s">
        <v>38</v>
      </c>
      <c r="AB1239" s="45" t="s">
        <v>38</v>
      </c>
    </row>
    <row r="1240" spans="1:28" x14ac:dyDescent="0.2">
      <c r="A1240" s="96" t="s">
        <v>286</v>
      </c>
      <c r="B1240" s="96" t="s">
        <v>286</v>
      </c>
      <c r="C1240" s="277">
        <v>44641</v>
      </c>
      <c r="D1240" s="277">
        <v>44671</v>
      </c>
      <c r="E1240" s="270" t="s">
        <v>267</v>
      </c>
      <c r="F1240" s="133" t="s">
        <v>34</v>
      </c>
      <c r="G1240" s="96" t="s">
        <v>35</v>
      </c>
      <c r="H1240" s="272" t="s">
        <v>40</v>
      </c>
      <c r="I1240" s="273">
        <v>10</v>
      </c>
      <c r="J1240" s="270">
        <v>126</v>
      </c>
      <c r="K1240" s="270">
        <f t="shared" si="0"/>
        <v>1260</v>
      </c>
      <c r="L1240" s="270">
        <v>6834</v>
      </c>
      <c r="M1240" s="270">
        <v>-80</v>
      </c>
      <c r="N1240" s="274">
        <v>44</v>
      </c>
      <c r="O1240" s="55"/>
      <c r="P1240" s="45">
        <v>44</v>
      </c>
      <c r="Q1240" s="270">
        <v>32</v>
      </c>
      <c r="R1240" s="275">
        <v>-1.5E-3</v>
      </c>
      <c r="S1240" s="270">
        <v>30</v>
      </c>
      <c r="T1240" s="270">
        <v>74</v>
      </c>
      <c r="U1240" s="57">
        <v>1</v>
      </c>
      <c r="V1240" s="276">
        <v>0.15</v>
      </c>
      <c r="W1240" s="276">
        <v>0</v>
      </c>
      <c r="X1240" s="270">
        <v>63</v>
      </c>
      <c r="Y1240" s="270">
        <v>11</v>
      </c>
      <c r="Z1240" s="45" t="b">
        <v>1</v>
      </c>
      <c r="AA1240" s="45" t="s">
        <v>38</v>
      </c>
      <c r="AB1240" s="45" t="s">
        <v>38</v>
      </c>
    </row>
    <row r="1241" spans="1:28" x14ac:dyDescent="0.2">
      <c r="A1241" s="96" t="s">
        <v>286</v>
      </c>
      <c r="B1241" s="96" t="s">
        <v>286</v>
      </c>
      <c r="C1241" s="277">
        <v>44641</v>
      </c>
      <c r="D1241" s="277">
        <v>44671</v>
      </c>
      <c r="E1241" s="270" t="s">
        <v>267</v>
      </c>
      <c r="F1241" s="133" t="s">
        <v>34</v>
      </c>
      <c r="G1241" s="96" t="s">
        <v>35</v>
      </c>
      <c r="H1241" s="272" t="s">
        <v>46</v>
      </c>
      <c r="I1241" s="273">
        <v>25</v>
      </c>
      <c r="J1241" s="270">
        <v>307</v>
      </c>
      <c r="K1241" s="270">
        <f t="shared" si="0"/>
        <v>7675</v>
      </c>
      <c r="L1241" s="270">
        <v>-3287</v>
      </c>
      <c r="M1241" s="270">
        <v>-525</v>
      </c>
      <c r="N1241" s="274">
        <v>231</v>
      </c>
      <c r="O1241" s="55"/>
      <c r="P1241" s="45">
        <v>231</v>
      </c>
      <c r="Q1241" s="270">
        <v>-644</v>
      </c>
      <c r="R1241" s="275">
        <v>-1.5E-3</v>
      </c>
      <c r="S1241" s="270">
        <v>-655</v>
      </c>
      <c r="T1241" s="270">
        <v>-424</v>
      </c>
      <c r="U1241" s="57">
        <v>1</v>
      </c>
      <c r="V1241" s="276">
        <v>0.15</v>
      </c>
      <c r="W1241" s="276">
        <v>0</v>
      </c>
      <c r="X1241" s="270">
        <v>-360</v>
      </c>
      <c r="Y1241" s="270">
        <v>-64</v>
      </c>
      <c r="Z1241" s="45" t="b">
        <v>1</v>
      </c>
      <c r="AA1241" s="45" t="s">
        <v>38</v>
      </c>
      <c r="AB1241" s="45" t="s">
        <v>38</v>
      </c>
    </row>
    <row r="1242" spans="1:28" x14ac:dyDescent="0.2">
      <c r="A1242" s="96" t="s">
        <v>82</v>
      </c>
      <c r="B1242" s="96" t="s">
        <v>82</v>
      </c>
      <c r="C1242" s="277">
        <v>44641</v>
      </c>
      <c r="D1242" s="277">
        <v>44671</v>
      </c>
      <c r="E1242" s="270" t="s">
        <v>300</v>
      </c>
      <c r="F1242" s="133" t="s">
        <v>34</v>
      </c>
      <c r="G1242" s="96" t="s">
        <v>35</v>
      </c>
      <c r="H1242" s="272" t="s">
        <v>70</v>
      </c>
      <c r="I1242" s="273">
        <v>100</v>
      </c>
      <c r="J1242" s="270">
        <v>2500</v>
      </c>
      <c r="K1242" s="270">
        <f t="shared" si="0"/>
        <v>250000</v>
      </c>
      <c r="L1242" s="270">
        <v>47269</v>
      </c>
      <c r="M1242" s="270">
        <v>-7500</v>
      </c>
      <c r="N1242" s="274">
        <v>8804</v>
      </c>
      <c r="O1242" s="55"/>
      <c r="P1242" s="105">
        <v>8804</v>
      </c>
      <c r="Q1242" s="270">
        <v>-4641</v>
      </c>
      <c r="R1242" s="275">
        <v>3.2399999999999998E-3</v>
      </c>
      <c r="S1242" s="270">
        <v>-3831</v>
      </c>
      <c r="T1242" s="270">
        <v>4973</v>
      </c>
      <c r="U1242" s="57">
        <v>1</v>
      </c>
      <c r="V1242" s="276">
        <v>0.15</v>
      </c>
      <c r="W1242" s="276">
        <v>0.05</v>
      </c>
      <c r="X1242" s="270">
        <v>3978</v>
      </c>
      <c r="Y1242" s="270">
        <v>995</v>
      </c>
      <c r="Z1242" s="45" t="b">
        <v>1</v>
      </c>
      <c r="AA1242" s="45" t="s">
        <v>38</v>
      </c>
      <c r="AB1242" s="45" t="s">
        <v>38</v>
      </c>
    </row>
    <row r="1243" spans="1:28" x14ac:dyDescent="0.2">
      <c r="A1243" s="96" t="s">
        <v>82</v>
      </c>
      <c r="B1243" s="96" t="s">
        <v>82</v>
      </c>
      <c r="C1243" s="277">
        <v>44641</v>
      </c>
      <c r="D1243" s="277">
        <v>44671</v>
      </c>
      <c r="E1243" s="270" t="s">
        <v>300</v>
      </c>
      <c r="F1243" s="133" t="s">
        <v>41</v>
      </c>
      <c r="G1243" s="96" t="s">
        <v>35</v>
      </c>
      <c r="H1243" s="272" t="s">
        <v>39</v>
      </c>
      <c r="I1243" s="273">
        <v>5</v>
      </c>
      <c r="J1243" s="270">
        <v>1</v>
      </c>
      <c r="K1243" s="270">
        <f t="shared" si="0"/>
        <v>5</v>
      </c>
      <c r="L1243" s="270"/>
      <c r="M1243" s="270">
        <v>-5</v>
      </c>
      <c r="N1243" s="274">
        <v>1</v>
      </c>
      <c r="O1243" s="55"/>
      <c r="P1243" s="45">
        <v>1</v>
      </c>
      <c r="Q1243" s="270"/>
      <c r="R1243" s="275">
        <v>0</v>
      </c>
      <c r="S1243" s="270"/>
      <c r="T1243" s="270">
        <v>-4</v>
      </c>
      <c r="U1243" s="57">
        <v>1</v>
      </c>
      <c r="V1243" s="276">
        <v>0.15</v>
      </c>
      <c r="W1243" s="276">
        <v>0.05</v>
      </c>
      <c r="X1243" s="270">
        <v>-3</v>
      </c>
      <c r="Y1243" s="270">
        <v>-1</v>
      </c>
      <c r="Z1243" s="45" t="b">
        <v>1</v>
      </c>
      <c r="AA1243" s="45" t="s">
        <v>38</v>
      </c>
      <c r="AB1243" s="45" t="s">
        <v>38</v>
      </c>
    </row>
    <row r="1244" spans="1:28" x14ac:dyDescent="0.2">
      <c r="A1244" s="96" t="s">
        <v>154</v>
      </c>
      <c r="B1244" s="96" t="s">
        <v>154</v>
      </c>
      <c r="C1244" s="287">
        <v>44641</v>
      </c>
      <c r="D1244" s="277">
        <v>44671</v>
      </c>
      <c r="E1244" s="279" t="s">
        <v>267</v>
      </c>
      <c r="F1244" s="96" t="s">
        <v>34</v>
      </c>
      <c r="G1244" s="270" t="s">
        <v>35</v>
      </c>
      <c r="H1244" s="272" t="s">
        <v>39</v>
      </c>
      <c r="I1244" s="280">
        <v>5</v>
      </c>
      <c r="J1244" s="279">
        <v>3</v>
      </c>
      <c r="K1244" s="270">
        <f t="shared" si="0"/>
        <v>15</v>
      </c>
      <c r="L1244" s="279">
        <v>-33</v>
      </c>
      <c r="M1244" s="279">
        <v>0</v>
      </c>
      <c r="N1244" s="274"/>
      <c r="O1244" s="55"/>
      <c r="P1244" s="96"/>
      <c r="Q1244" s="279">
        <v>-2</v>
      </c>
      <c r="R1244" s="275">
        <v>3.2399999999999998E-3</v>
      </c>
      <c r="S1244" s="279">
        <v>-2</v>
      </c>
      <c r="T1244" s="279">
        <v>-2</v>
      </c>
      <c r="U1244" s="57">
        <v>1</v>
      </c>
      <c r="V1244" s="276">
        <v>0.2</v>
      </c>
      <c r="W1244" s="276">
        <v>0</v>
      </c>
      <c r="X1244" s="279">
        <v>-1</v>
      </c>
      <c r="Y1244" s="279">
        <v>0</v>
      </c>
      <c r="Z1244" s="45" t="b">
        <v>1</v>
      </c>
      <c r="AA1244" s="45" t="s">
        <v>38</v>
      </c>
      <c r="AB1244" s="45" t="s">
        <v>38</v>
      </c>
    </row>
    <row r="1245" spans="1:28" x14ac:dyDescent="0.2">
      <c r="A1245" s="96" t="s">
        <v>154</v>
      </c>
      <c r="B1245" s="96" t="s">
        <v>154</v>
      </c>
      <c r="C1245" s="287">
        <v>44641</v>
      </c>
      <c r="D1245" s="277">
        <v>44671</v>
      </c>
      <c r="E1245" s="279" t="s">
        <v>267</v>
      </c>
      <c r="F1245" s="96" t="s">
        <v>34</v>
      </c>
      <c r="G1245" s="270" t="s">
        <v>35</v>
      </c>
      <c r="H1245" s="272" t="s">
        <v>40</v>
      </c>
      <c r="I1245" s="280">
        <v>10</v>
      </c>
      <c r="J1245" s="279">
        <v>610</v>
      </c>
      <c r="K1245" s="270">
        <f t="shared" si="0"/>
        <v>6100</v>
      </c>
      <c r="L1245" s="279">
        <v>20130</v>
      </c>
      <c r="M1245" s="279">
        <v>-100</v>
      </c>
      <c r="N1245" s="274">
        <v>95</v>
      </c>
      <c r="O1245" s="55"/>
      <c r="P1245" s="45">
        <v>95</v>
      </c>
      <c r="Q1245" s="279">
        <v>-82</v>
      </c>
      <c r="R1245" s="275">
        <v>3.2399999999999998E-3</v>
      </c>
      <c r="S1245" s="279">
        <v>-62</v>
      </c>
      <c r="T1245" s="279">
        <v>33</v>
      </c>
      <c r="U1245" s="57">
        <v>1</v>
      </c>
      <c r="V1245" s="276">
        <v>0.2</v>
      </c>
      <c r="W1245" s="276">
        <v>0</v>
      </c>
      <c r="X1245" s="279">
        <v>26</v>
      </c>
      <c r="Y1245" s="279">
        <v>7</v>
      </c>
      <c r="Z1245" s="45" t="b">
        <v>1</v>
      </c>
      <c r="AA1245" s="45" t="s">
        <v>38</v>
      </c>
      <c r="AB1245" s="45" t="s">
        <v>38</v>
      </c>
    </row>
    <row r="1246" spans="1:28" x14ac:dyDescent="0.2">
      <c r="A1246" s="279" t="s">
        <v>355</v>
      </c>
      <c r="B1246" s="279" t="s">
        <v>903</v>
      </c>
      <c r="C1246" s="282">
        <v>44641</v>
      </c>
      <c r="D1246" s="282">
        <v>44671</v>
      </c>
      <c r="E1246" s="279" t="s">
        <v>300</v>
      </c>
      <c r="F1246" s="133" t="s">
        <v>34</v>
      </c>
      <c r="G1246" s="270" t="s">
        <v>80</v>
      </c>
      <c r="H1246" s="289" t="s">
        <v>71</v>
      </c>
      <c r="I1246" s="280">
        <v>20</v>
      </c>
      <c r="J1246" s="279">
        <v>1093</v>
      </c>
      <c r="K1246" s="270">
        <f t="shared" si="0"/>
        <v>21860</v>
      </c>
      <c r="L1246" s="279">
        <v>-756</v>
      </c>
      <c r="M1246" s="279">
        <v>-1260</v>
      </c>
      <c r="N1246" s="274">
        <f>814+9*20</f>
        <v>994</v>
      </c>
      <c r="O1246" s="55"/>
      <c r="P1246" s="45">
        <v>994</v>
      </c>
      <c r="Q1246" s="279">
        <v>-1647</v>
      </c>
      <c r="R1246" s="275">
        <v>3.2399999999999998E-3</v>
      </c>
      <c r="S1246" s="279">
        <v>-1576</v>
      </c>
      <c r="T1246" s="279">
        <v>-582</v>
      </c>
      <c r="U1246" s="57">
        <v>1</v>
      </c>
      <c r="V1246" s="276">
        <v>0.15</v>
      </c>
      <c r="W1246" s="276">
        <v>0.1</v>
      </c>
      <c r="X1246" s="279">
        <v>-436</v>
      </c>
      <c r="Y1246" s="279">
        <v>-145</v>
      </c>
      <c r="Z1246" s="45" t="b">
        <v>1</v>
      </c>
      <c r="AA1246" s="45" t="s">
        <v>38</v>
      </c>
      <c r="AB1246" s="45" t="s">
        <v>38</v>
      </c>
    </row>
    <row r="1247" spans="1:28" x14ac:dyDescent="0.2">
      <c r="A1247" s="279" t="s">
        <v>355</v>
      </c>
      <c r="B1247" s="279" t="s">
        <v>989</v>
      </c>
      <c r="C1247" s="282">
        <v>44641</v>
      </c>
      <c r="D1247" s="282">
        <v>44671</v>
      </c>
      <c r="E1247" s="279" t="s">
        <v>300</v>
      </c>
      <c r="F1247" s="133" t="s">
        <v>34</v>
      </c>
      <c r="G1247" s="279" t="s">
        <v>61</v>
      </c>
      <c r="H1247" s="289" t="s">
        <v>64</v>
      </c>
      <c r="I1247" s="280">
        <v>10</v>
      </c>
      <c r="J1247" s="279">
        <v>2</v>
      </c>
      <c r="K1247" s="270">
        <f t="shared" si="0"/>
        <v>20</v>
      </c>
      <c r="L1247" s="279">
        <v>0</v>
      </c>
      <c r="M1247" s="279">
        <v>-22</v>
      </c>
      <c r="N1247" s="281">
        <v>27.3</v>
      </c>
      <c r="O1247" s="55"/>
      <c r="P1247" s="45">
        <v>27</v>
      </c>
      <c r="Q1247" s="279">
        <v>-42</v>
      </c>
      <c r="R1247" s="275">
        <v>3.2399999999999998E-3</v>
      </c>
      <c r="S1247" s="279">
        <v>-42</v>
      </c>
      <c r="T1247" s="279">
        <v>-14</v>
      </c>
      <c r="U1247" s="57">
        <v>1</v>
      </c>
      <c r="V1247" s="276">
        <v>0.15</v>
      </c>
      <c r="W1247" s="276">
        <v>0.1</v>
      </c>
      <c r="X1247" s="279">
        <v>-11</v>
      </c>
      <c r="Y1247" s="279">
        <v>-4</v>
      </c>
      <c r="Z1247" s="45" t="b">
        <v>1</v>
      </c>
      <c r="AA1247" s="45" t="s">
        <v>50</v>
      </c>
      <c r="AB1247" s="45" t="s">
        <v>50</v>
      </c>
    </row>
    <row r="1248" spans="1:28" x14ac:dyDescent="0.2">
      <c r="A1248" s="279" t="s">
        <v>355</v>
      </c>
      <c r="B1248" s="279" t="s">
        <v>989</v>
      </c>
      <c r="C1248" s="282">
        <v>44641</v>
      </c>
      <c r="D1248" s="282">
        <v>44671</v>
      </c>
      <c r="E1248" s="279" t="s">
        <v>300</v>
      </c>
      <c r="F1248" s="133" t="s">
        <v>34</v>
      </c>
      <c r="G1248" s="279" t="s">
        <v>61</v>
      </c>
      <c r="H1248" s="289" t="s">
        <v>65</v>
      </c>
      <c r="I1248" s="280">
        <v>25</v>
      </c>
      <c r="J1248" s="279">
        <v>556</v>
      </c>
      <c r="K1248" s="270">
        <f t="shared" si="0"/>
        <v>13900</v>
      </c>
      <c r="L1248" s="279">
        <v>13700</v>
      </c>
      <c r="M1248" s="279">
        <v>-893</v>
      </c>
      <c r="N1248" s="281">
        <v>217.7</v>
      </c>
      <c r="O1248" s="55"/>
      <c r="P1248" s="45">
        <v>218</v>
      </c>
      <c r="Q1248" s="279">
        <v>-608</v>
      </c>
      <c r="R1248" s="275">
        <v>3.2399999999999998E-3</v>
      </c>
      <c r="S1248" s="279">
        <v>-563</v>
      </c>
      <c r="T1248" s="279">
        <v>-346</v>
      </c>
      <c r="U1248" s="57">
        <v>1</v>
      </c>
      <c r="V1248" s="276">
        <v>0.15</v>
      </c>
      <c r="W1248" s="276">
        <v>0.1</v>
      </c>
      <c r="X1248" s="279">
        <v>-259</v>
      </c>
      <c r="Y1248" s="279">
        <v>-86</v>
      </c>
      <c r="Z1248" s="45" t="b">
        <v>1</v>
      </c>
      <c r="AA1248" s="45" t="s">
        <v>50</v>
      </c>
      <c r="AB1248" s="45" t="s">
        <v>50</v>
      </c>
    </row>
    <row r="1249" spans="1:28" x14ac:dyDescent="0.2">
      <c r="A1249" s="96" t="s">
        <v>125</v>
      </c>
      <c r="B1249" s="96" t="s">
        <v>125</v>
      </c>
      <c r="C1249" s="277">
        <v>44641</v>
      </c>
      <c r="D1249" s="277">
        <v>44671</v>
      </c>
      <c r="E1249" s="270" t="s">
        <v>267</v>
      </c>
      <c r="F1249" s="96" t="s">
        <v>34</v>
      </c>
      <c r="G1249" s="270" t="s">
        <v>35</v>
      </c>
      <c r="H1249" s="272" t="s">
        <v>39</v>
      </c>
      <c r="I1249" s="273">
        <v>5</v>
      </c>
      <c r="J1249" s="270">
        <v>144</v>
      </c>
      <c r="K1249" s="270">
        <f t="shared" si="0"/>
        <v>720</v>
      </c>
      <c r="L1249" s="270">
        <v>-1895</v>
      </c>
      <c r="M1249" s="270">
        <v>-95</v>
      </c>
      <c r="N1249" s="274">
        <v>42</v>
      </c>
      <c r="O1249" s="55"/>
      <c r="P1249" s="45">
        <v>42</v>
      </c>
      <c r="Q1249" s="270">
        <v>-80</v>
      </c>
      <c r="R1249" s="275">
        <v>3.2399999999999998E-3</v>
      </c>
      <c r="S1249" s="270">
        <v>-78</v>
      </c>
      <c r="T1249" s="270">
        <v>-36</v>
      </c>
      <c r="U1249" s="57">
        <v>1</v>
      </c>
      <c r="V1249" s="276">
        <v>0.23</v>
      </c>
      <c r="W1249" s="276">
        <v>0</v>
      </c>
      <c r="X1249" s="270">
        <v>-28</v>
      </c>
      <c r="Y1249" s="270">
        <v>-8</v>
      </c>
      <c r="Z1249" s="45" t="b">
        <v>1</v>
      </c>
      <c r="AA1249" s="45" t="s">
        <v>38</v>
      </c>
      <c r="AB1249" s="45" t="s">
        <v>38</v>
      </c>
    </row>
    <row r="1250" spans="1:28" x14ac:dyDescent="0.2">
      <c r="A1250" s="96" t="s">
        <v>125</v>
      </c>
      <c r="B1250" s="96" t="s">
        <v>125</v>
      </c>
      <c r="C1250" s="277">
        <v>44641</v>
      </c>
      <c r="D1250" s="277">
        <v>44671</v>
      </c>
      <c r="E1250" s="270" t="s">
        <v>267</v>
      </c>
      <c r="F1250" s="96" t="s">
        <v>34</v>
      </c>
      <c r="G1250" s="270" t="s">
        <v>35</v>
      </c>
      <c r="H1250" s="272" t="s">
        <v>40</v>
      </c>
      <c r="I1250" s="273">
        <v>10</v>
      </c>
      <c r="J1250" s="270">
        <v>1299</v>
      </c>
      <c r="K1250" s="270">
        <f t="shared" si="0"/>
        <v>12990</v>
      </c>
      <c r="L1250" s="270">
        <v>65338</v>
      </c>
      <c r="M1250" s="270">
        <v>360</v>
      </c>
      <c r="N1250" s="274">
        <v>658</v>
      </c>
      <c r="O1250" s="55"/>
      <c r="P1250" s="45">
        <v>658</v>
      </c>
      <c r="Q1250" s="270">
        <v>237</v>
      </c>
      <c r="R1250" s="275">
        <v>3.2399999999999998E-3</v>
      </c>
      <c r="S1250" s="270">
        <v>279</v>
      </c>
      <c r="T1250" s="270">
        <v>937</v>
      </c>
      <c r="U1250" s="57">
        <v>1</v>
      </c>
      <c r="V1250" s="276">
        <v>0.23</v>
      </c>
      <c r="W1250" s="276">
        <v>0</v>
      </c>
      <c r="X1250" s="270">
        <v>722</v>
      </c>
      <c r="Y1250" s="270">
        <v>216</v>
      </c>
      <c r="Z1250" s="45" t="b">
        <v>1</v>
      </c>
      <c r="AA1250" s="45" t="s">
        <v>38</v>
      </c>
      <c r="AB1250" s="45" t="s">
        <v>38</v>
      </c>
    </row>
    <row r="1251" spans="1:28" x14ac:dyDescent="0.2">
      <c r="A1251" s="279" t="s">
        <v>395</v>
      </c>
      <c r="B1251" s="270" t="s">
        <v>162</v>
      </c>
      <c r="C1251" s="287">
        <v>44641</v>
      </c>
      <c r="D1251" s="277">
        <v>44671</v>
      </c>
      <c r="E1251" s="279" t="s">
        <v>267</v>
      </c>
      <c r="F1251" s="133" t="s">
        <v>41</v>
      </c>
      <c r="G1251" s="270" t="s">
        <v>35</v>
      </c>
      <c r="H1251" s="272" t="s">
        <v>70</v>
      </c>
      <c r="I1251" s="273">
        <v>100</v>
      </c>
      <c r="J1251" s="270">
        <v>83</v>
      </c>
      <c r="K1251" s="270">
        <f t="shared" si="0"/>
        <v>8300</v>
      </c>
      <c r="L1251" s="270">
        <v>2506</v>
      </c>
      <c r="M1251" s="270">
        <v>300</v>
      </c>
      <c r="N1251" s="274">
        <v>65</v>
      </c>
      <c r="O1251" s="55"/>
      <c r="P1251" s="45">
        <v>65</v>
      </c>
      <c r="Q1251" s="270">
        <v>21</v>
      </c>
      <c r="R1251" s="275">
        <v>0</v>
      </c>
      <c r="S1251" s="270">
        <v>21</v>
      </c>
      <c r="T1251" s="270">
        <v>365</v>
      </c>
      <c r="U1251" s="57">
        <v>1</v>
      </c>
      <c r="V1251" s="276">
        <v>0.19</v>
      </c>
      <c r="W1251" s="276">
        <v>0</v>
      </c>
      <c r="X1251" s="270">
        <v>296</v>
      </c>
      <c r="Y1251" s="270">
        <v>69</v>
      </c>
      <c r="Z1251" s="45" t="b">
        <v>1</v>
      </c>
      <c r="AA1251" s="45" t="s">
        <v>38</v>
      </c>
      <c r="AB1251" s="45" t="s">
        <v>38</v>
      </c>
    </row>
    <row r="1252" spans="1:28" x14ac:dyDescent="0.2">
      <c r="A1252" s="279" t="s">
        <v>395</v>
      </c>
      <c r="B1252" s="270" t="s">
        <v>162</v>
      </c>
      <c r="C1252" s="287">
        <v>44641</v>
      </c>
      <c r="D1252" s="277">
        <v>44671</v>
      </c>
      <c r="E1252" s="279" t="s">
        <v>267</v>
      </c>
      <c r="F1252" s="133" t="s">
        <v>41</v>
      </c>
      <c r="G1252" s="270" t="s">
        <v>35</v>
      </c>
      <c r="H1252" s="272" t="s">
        <v>72</v>
      </c>
      <c r="I1252" s="273">
        <v>50</v>
      </c>
      <c r="J1252" s="270">
        <v>550</v>
      </c>
      <c r="K1252" s="270">
        <f t="shared" si="0"/>
        <v>27500</v>
      </c>
      <c r="L1252" s="270">
        <v>12818</v>
      </c>
      <c r="M1252" s="270">
        <v>-2300</v>
      </c>
      <c r="N1252" s="274">
        <v>258</v>
      </c>
      <c r="O1252" s="55"/>
      <c r="P1252" s="45">
        <v>258</v>
      </c>
      <c r="Q1252" s="270">
        <v>-572</v>
      </c>
      <c r="R1252" s="275">
        <v>0</v>
      </c>
      <c r="S1252" s="270">
        <v>-572</v>
      </c>
      <c r="T1252" s="270">
        <v>-2042</v>
      </c>
      <c r="U1252" s="57">
        <v>1</v>
      </c>
      <c r="V1252" s="276">
        <v>0.19</v>
      </c>
      <c r="W1252" s="276">
        <v>0</v>
      </c>
      <c r="X1252" s="270">
        <v>-1654</v>
      </c>
      <c r="Y1252" s="270">
        <v>-388</v>
      </c>
      <c r="Z1252" s="45" t="b">
        <v>1</v>
      </c>
      <c r="AA1252" s="45" t="s">
        <v>38</v>
      </c>
      <c r="AB1252" s="45" t="s">
        <v>38</v>
      </c>
    </row>
    <row r="1253" spans="1:28" x14ac:dyDescent="0.2">
      <c r="A1253" s="279" t="s">
        <v>395</v>
      </c>
      <c r="B1253" s="270" t="s">
        <v>162</v>
      </c>
      <c r="C1253" s="287">
        <v>44641</v>
      </c>
      <c r="D1253" s="277">
        <v>44671</v>
      </c>
      <c r="E1253" s="279" t="s">
        <v>267</v>
      </c>
      <c r="F1253" s="133" t="s">
        <v>41</v>
      </c>
      <c r="G1253" s="270" t="s">
        <v>35</v>
      </c>
      <c r="H1253" s="272" t="s">
        <v>46</v>
      </c>
      <c r="I1253" s="273">
        <v>25</v>
      </c>
      <c r="J1253" s="270">
        <v>7</v>
      </c>
      <c r="K1253" s="270">
        <f t="shared" si="0"/>
        <v>175</v>
      </c>
      <c r="L1253" s="270">
        <v>631</v>
      </c>
      <c r="M1253" s="270">
        <v>-50</v>
      </c>
      <c r="N1253" s="274">
        <v>2</v>
      </c>
      <c r="O1253" s="55"/>
      <c r="P1253" s="45">
        <v>2</v>
      </c>
      <c r="Q1253" s="270">
        <v>18</v>
      </c>
      <c r="R1253" s="275">
        <v>0</v>
      </c>
      <c r="S1253" s="270">
        <v>18</v>
      </c>
      <c r="T1253" s="270">
        <v>-48</v>
      </c>
      <c r="U1253" s="57">
        <v>1</v>
      </c>
      <c r="V1253" s="276">
        <v>0.19</v>
      </c>
      <c r="W1253" s="276">
        <v>0</v>
      </c>
      <c r="X1253" s="270">
        <v>-39</v>
      </c>
      <c r="Y1253" s="270">
        <v>-9</v>
      </c>
      <c r="Z1253" s="45" t="b">
        <v>1</v>
      </c>
      <c r="AA1253" s="45" t="s">
        <v>38</v>
      </c>
      <c r="AB1253" s="45" t="s">
        <v>38</v>
      </c>
    </row>
    <row r="1254" spans="1:28" x14ac:dyDescent="0.2">
      <c r="A1254" s="96" t="s">
        <v>402</v>
      </c>
      <c r="B1254" s="96" t="s">
        <v>163</v>
      </c>
      <c r="C1254" s="277">
        <v>44641</v>
      </c>
      <c r="D1254" s="277">
        <v>44671</v>
      </c>
      <c r="E1254" s="270" t="s">
        <v>267</v>
      </c>
      <c r="F1254" s="133" t="s">
        <v>34</v>
      </c>
      <c r="G1254" s="270" t="s">
        <v>35</v>
      </c>
      <c r="H1254" s="272" t="s">
        <v>46</v>
      </c>
      <c r="I1254" s="273">
        <v>25</v>
      </c>
      <c r="J1254" s="270">
        <v>0</v>
      </c>
      <c r="K1254" s="270">
        <f t="shared" si="0"/>
        <v>0</v>
      </c>
      <c r="L1254" s="270"/>
      <c r="M1254" s="270">
        <v>0</v>
      </c>
      <c r="N1254" s="274"/>
      <c r="O1254" s="55"/>
      <c r="P1254" s="96"/>
      <c r="Q1254" s="270"/>
      <c r="R1254" s="275">
        <v>0</v>
      </c>
      <c r="S1254" s="270"/>
      <c r="T1254" s="270"/>
      <c r="U1254" s="57">
        <v>1</v>
      </c>
      <c r="V1254" s="276">
        <v>0</v>
      </c>
      <c r="W1254" s="276">
        <v>0</v>
      </c>
      <c r="X1254" s="270"/>
      <c r="Y1254" s="270"/>
      <c r="Z1254" s="45" t="b">
        <v>1</v>
      </c>
      <c r="AA1254" s="45" t="s">
        <v>38</v>
      </c>
      <c r="AB1254" s="45" t="s">
        <v>38</v>
      </c>
    </row>
    <row r="1255" spans="1:28" x14ac:dyDescent="0.2">
      <c r="A1255" s="279" t="s">
        <v>91</v>
      </c>
      <c r="B1255" s="279" t="s">
        <v>96</v>
      </c>
      <c r="C1255" s="282">
        <v>44641</v>
      </c>
      <c r="D1255" s="277">
        <v>44671</v>
      </c>
      <c r="E1255" s="279" t="s">
        <v>267</v>
      </c>
      <c r="F1255" s="133" t="s">
        <v>34</v>
      </c>
      <c r="G1255" s="279" t="s">
        <v>35</v>
      </c>
      <c r="H1255" s="272" t="s">
        <v>46</v>
      </c>
      <c r="I1255" s="273">
        <v>25</v>
      </c>
      <c r="J1255" s="270">
        <v>99</v>
      </c>
      <c r="K1255" s="270">
        <f t="shared" si="0"/>
        <v>2475</v>
      </c>
      <c r="L1255" s="270">
        <v>-428</v>
      </c>
      <c r="M1255" s="270">
        <v>-100</v>
      </c>
      <c r="N1255" s="274">
        <v>48</v>
      </c>
      <c r="O1255" s="55"/>
      <c r="P1255" s="45">
        <v>48</v>
      </c>
      <c r="Q1255" s="270">
        <v>-178</v>
      </c>
      <c r="R1255" s="275">
        <v>3.2399999999999998E-3</v>
      </c>
      <c r="S1255" s="270">
        <v>-170</v>
      </c>
      <c r="T1255" s="270">
        <v>-122</v>
      </c>
      <c r="U1255" s="57">
        <v>1</v>
      </c>
      <c r="V1255" s="276">
        <v>0.3</v>
      </c>
      <c r="W1255" s="276">
        <v>0</v>
      </c>
      <c r="X1255" s="270">
        <v>-86</v>
      </c>
      <c r="Y1255" s="270">
        <v>-37</v>
      </c>
      <c r="Z1255" s="45" t="b">
        <v>1</v>
      </c>
      <c r="AA1255" s="45" t="s">
        <v>38</v>
      </c>
      <c r="AB1255" s="45" t="s">
        <v>38</v>
      </c>
    </row>
    <row r="1256" spans="1:28" x14ac:dyDescent="0.2">
      <c r="A1256" s="96" t="s">
        <v>172</v>
      </c>
      <c r="B1256" s="96" t="s">
        <v>172</v>
      </c>
      <c r="C1256" s="277">
        <v>44641</v>
      </c>
      <c r="D1256" s="277">
        <v>44671</v>
      </c>
      <c r="E1256" s="270" t="s">
        <v>300</v>
      </c>
      <c r="F1256" s="133" t="s">
        <v>34</v>
      </c>
      <c r="G1256" s="96" t="s">
        <v>35</v>
      </c>
      <c r="H1256" s="272" t="s">
        <v>70</v>
      </c>
      <c r="I1256" s="273">
        <v>100</v>
      </c>
      <c r="J1256" s="270">
        <v>6732</v>
      </c>
      <c r="K1256" s="270">
        <f t="shared" si="0"/>
        <v>673200</v>
      </c>
      <c r="L1256" s="270">
        <v>166833</v>
      </c>
      <c r="M1256" s="270">
        <v>17400</v>
      </c>
      <c r="N1256" s="274">
        <v>32911</v>
      </c>
      <c r="O1256" s="55"/>
      <c r="P1256" s="105">
        <v>32911</v>
      </c>
      <c r="Q1256" s="270">
        <v>-5083</v>
      </c>
      <c r="R1256" s="275">
        <v>3.2399999999999998E-3</v>
      </c>
      <c r="S1256" s="270">
        <v>-2902</v>
      </c>
      <c r="T1256" s="270">
        <v>30009</v>
      </c>
      <c r="U1256" s="57">
        <v>1</v>
      </c>
      <c r="V1256" s="276">
        <v>0.15</v>
      </c>
      <c r="W1256" s="276">
        <v>0.05</v>
      </c>
      <c r="X1256" s="270">
        <v>24007</v>
      </c>
      <c r="Y1256" s="270">
        <v>6002</v>
      </c>
      <c r="Z1256" s="45" t="b">
        <v>1</v>
      </c>
      <c r="AA1256" s="45" t="s">
        <v>38</v>
      </c>
      <c r="AB1256" s="45" t="s">
        <v>38</v>
      </c>
    </row>
    <row r="1257" spans="1:28" x14ac:dyDescent="0.2">
      <c r="A1257" s="96" t="s">
        <v>172</v>
      </c>
      <c r="B1257" s="96" t="s">
        <v>172</v>
      </c>
      <c r="C1257" s="277">
        <v>44641</v>
      </c>
      <c r="D1257" s="277">
        <v>44671</v>
      </c>
      <c r="E1257" s="270" t="s">
        <v>300</v>
      </c>
      <c r="F1257" s="133" t="s">
        <v>34</v>
      </c>
      <c r="G1257" s="96" t="s">
        <v>35</v>
      </c>
      <c r="H1257" s="272" t="s">
        <v>84</v>
      </c>
      <c r="I1257" s="273">
        <v>100</v>
      </c>
      <c r="J1257" s="270">
        <v>23</v>
      </c>
      <c r="K1257" s="270">
        <f t="shared" si="0"/>
        <v>2300</v>
      </c>
      <c r="L1257" s="270">
        <v>1774</v>
      </c>
      <c r="M1257" s="270">
        <v>1700</v>
      </c>
      <c r="N1257" s="274">
        <v>112</v>
      </c>
      <c r="O1257" s="55"/>
      <c r="P1257" s="45">
        <v>112</v>
      </c>
      <c r="Q1257" s="270">
        <v>430</v>
      </c>
      <c r="R1257" s="275">
        <v>3.2399999999999998E-3</v>
      </c>
      <c r="S1257" s="270">
        <v>437</v>
      </c>
      <c r="T1257" s="270">
        <v>549</v>
      </c>
      <c r="U1257" s="57">
        <v>1</v>
      </c>
      <c r="V1257" s="276">
        <v>0.15</v>
      </c>
      <c r="W1257" s="276">
        <v>0.05</v>
      </c>
      <c r="X1257" s="270">
        <v>440</v>
      </c>
      <c r="Y1257" s="270">
        <v>110</v>
      </c>
      <c r="Z1257" s="45" t="b">
        <v>1</v>
      </c>
      <c r="AA1257" s="45" t="s">
        <v>38</v>
      </c>
      <c r="AB1257" s="45" t="s">
        <v>38</v>
      </c>
    </row>
    <row r="1258" spans="1:28" x14ac:dyDescent="0.2">
      <c r="A1258" s="96" t="s">
        <v>172</v>
      </c>
      <c r="B1258" s="96" t="s">
        <v>172</v>
      </c>
      <c r="C1258" s="277">
        <v>44641</v>
      </c>
      <c r="D1258" s="277">
        <v>44671</v>
      </c>
      <c r="E1258" s="270" t="s">
        <v>300</v>
      </c>
      <c r="F1258" s="133" t="s">
        <v>34</v>
      </c>
      <c r="G1258" s="96" t="s">
        <v>35</v>
      </c>
      <c r="H1258" s="272" t="s">
        <v>88</v>
      </c>
      <c r="I1258" s="273">
        <v>250</v>
      </c>
      <c r="J1258" s="270">
        <v>1234</v>
      </c>
      <c r="K1258" s="270">
        <f t="shared" si="0"/>
        <v>308500</v>
      </c>
      <c r="L1258" s="270">
        <v>24218</v>
      </c>
      <c r="M1258" s="270">
        <v>-3500</v>
      </c>
      <c r="N1258" s="274">
        <v>15082</v>
      </c>
      <c r="O1258" s="55"/>
      <c r="P1258" s="105">
        <v>15082</v>
      </c>
      <c r="Q1258" s="270">
        <v>-4542</v>
      </c>
      <c r="R1258" s="275">
        <v>3.2399999999999998E-3</v>
      </c>
      <c r="S1258" s="270">
        <v>-3542</v>
      </c>
      <c r="T1258" s="270">
        <v>11540</v>
      </c>
      <c r="U1258" s="57">
        <v>1</v>
      </c>
      <c r="V1258" s="276">
        <v>0.15</v>
      </c>
      <c r="W1258" s="276">
        <v>0.05</v>
      </c>
      <c r="X1258" s="270">
        <v>9232</v>
      </c>
      <c r="Y1258" s="270">
        <v>2308</v>
      </c>
      <c r="Z1258" s="45" t="b">
        <v>1</v>
      </c>
      <c r="AA1258" s="45" t="s">
        <v>38</v>
      </c>
      <c r="AB1258" s="45" t="s">
        <v>38</v>
      </c>
    </row>
    <row r="1259" spans="1:28" x14ac:dyDescent="0.2">
      <c r="A1259" s="96" t="s">
        <v>172</v>
      </c>
      <c r="B1259" s="96" t="s">
        <v>172</v>
      </c>
      <c r="C1259" s="277">
        <v>44641</v>
      </c>
      <c r="D1259" s="277">
        <v>44671</v>
      </c>
      <c r="E1259" s="270" t="s">
        <v>300</v>
      </c>
      <c r="F1259" s="133" t="s">
        <v>41</v>
      </c>
      <c r="G1259" s="96" t="s">
        <v>35</v>
      </c>
      <c r="H1259" s="272" t="s">
        <v>39</v>
      </c>
      <c r="I1259" s="273">
        <v>5</v>
      </c>
      <c r="J1259" s="270">
        <v>1</v>
      </c>
      <c r="K1259" s="270">
        <f t="shared" si="0"/>
        <v>5</v>
      </c>
      <c r="L1259" s="270"/>
      <c r="M1259" s="270">
        <v>-5</v>
      </c>
      <c r="N1259" s="274"/>
      <c r="O1259" s="55"/>
      <c r="P1259" s="96"/>
      <c r="Q1259" s="270"/>
      <c r="R1259" s="275">
        <v>0</v>
      </c>
      <c r="S1259" s="270"/>
      <c r="T1259" s="270">
        <v>-5</v>
      </c>
      <c r="U1259" s="57">
        <v>1</v>
      </c>
      <c r="V1259" s="276">
        <v>0.15</v>
      </c>
      <c r="W1259" s="276">
        <v>0.05</v>
      </c>
      <c r="X1259" s="270">
        <v>-4</v>
      </c>
      <c r="Y1259" s="270">
        <v>-1</v>
      </c>
      <c r="Z1259" s="45" t="b">
        <v>1</v>
      </c>
      <c r="AA1259" s="45" t="s">
        <v>38</v>
      </c>
      <c r="AB1259" s="45" t="s">
        <v>38</v>
      </c>
    </row>
    <row r="1260" spans="1:28" x14ac:dyDescent="0.2">
      <c r="A1260" s="96" t="s">
        <v>473</v>
      </c>
      <c r="B1260" s="270" t="s">
        <v>120</v>
      </c>
      <c r="C1260" s="277">
        <v>44641</v>
      </c>
      <c r="D1260" s="277">
        <v>44671</v>
      </c>
      <c r="E1260" s="270" t="s">
        <v>267</v>
      </c>
      <c r="F1260" s="96" t="s">
        <v>34</v>
      </c>
      <c r="G1260" s="270" t="s">
        <v>35</v>
      </c>
      <c r="H1260" s="272" t="s">
        <v>39</v>
      </c>
      <c r="I1260" s="280">
        <v>5</v>
      </c>
      <c r="J1260" s="279">
        <v>3</v>
      </c>
      <c r="K1260" s="270">
        <f t="shared" si="0"/>
        <v>15</v>
      </c>
      <c r="L1260" s="279">
        <v>262</v>
      </c>
      <c r="M1260" s="279">
        <v>-15</v>
      </c>
      <c r="N1260" s="274">
        <v>1</v>
      </c>
      <c r="O1260" s="55"/>
      <c r="P1260" s="45">
        <v>1</v>
      </c>
      <c r="Q1260" s="279">
        <v>1</v>
      </c>
      <c r="R1260" s="275">
        <v>3.2399999999999998E-3</v>
      </c>
      <c r="S1260" s="279">
        <v>1</v>
      </c>
      <c r="T1260" s="279">
        <v>2</v>
      </c>
      <c r="U1260" s="57">
        <v>1</v>
      </c>
      <c r="V1260" s="276">
        <v>0.25</v>
      </c>
      <c r="W1260" s="276">
        <v>0</v>
      </c>
      <c r="X1260" s="279">
        <v>2</v>
      </c>
      <c r="Y1260" s="279">
        <v>1</v>
      </c>
      <c r="Z1260" s="45" t="b">
        <v>1</v>
      </c>
      <c r="AA1260" s="45" t="s">
        <v>38</v>
      </c>
      <c r="AB1260" s="45" t="s">
        <v>38</v>
      </c>
    </row>
    <row r="1261" spans="1:28" x14ac:dyDescent="0.2">
      <c r="A1261" s="96" t="s">
        <v>473</v>
      </c>
      <c r="B1261" s="270" t="s">
        <v>120</v>
      </c>
      <c r="C1261" s="277">
        <v>44641</v>
      </c>
      <c r="D1261" s="277">
        <v>44671</v>
      </c>
      <c r="E1261" s="270" t="s">
        <v>267</v>
      </c>
      <c r="F1261" s="96" t="s">
        <v>34</v>
      </c>
      <c r="G1261" s="270" t="s">
        <v>35</v>
      </c>
      <c r="H1261" s="272" t="s">
        <v>40</v>
      </c>
      <c r="I1261" s="280">
        <v>10</v>
      </c>
      <c r="J1261" s="279">
        <v>2226</v>
      </c>
      <c r="K1261" s="270">
        <f t="shared" si="0"/>
        <v>22260</v>
      </c>
      <c r="L1261" s="279">
        <v>116093</v>
      </c>
      <c r="M1261" s="279">
        <v>-30</v>
      </c>
      <c r="N1261" s="274">
        <v>1104</v>
      </c>
      <c r="O1261" s="55"/>
      <c r="P1261" s="105">
        <v>1104</v>
      </c>
      <c r="Q1261" s="279">
        <v>482</v>
      </c>
      <c r="R1261" s="275">
        <v>3.2399999999999998E-3</v>
      </c>
      <c r="S1261" s="279">
        <v>554</v>
      </c>
      <c r="T1261" s="279">
        <v>1658</v>
      </c>
      <c r="U1261" s="57">
        <v>1</v>
      </c>
      <c r="V1261" s="276">
        <v>0.25</v>
      </c>
      <c r="W1261" s="276">
        <v>0</v>
      </c>
      <c r="X1261" s="279">
        <v>1244</v>
      </c>
      <c r="Y1261" s="279">
        <v>415</v>
      </c>
      <c r="Z1261" s="45" t="b">
        <v>1</v>
      </c>
      <c r="AA1261" s="45" t="s">
        <v>38</v>
      </c>
      <c r="AB1261" s="45" t="s">
        <v>38</v>
      </c>
    </row>
    <row r="1262" spans="1:28" x14ac:dyDescent="0.2">
      <c r="A1262" s="96" t="s">
        <v>178</v>
      </c>
      <c r="B1262" s="96" t="s">
        <v>178</v>
      </c>
      <c r="C1262" s="287">
        <v>44641</v>
      </c>
      <c r="D1262" s="277">
        <v>44671</v>
      </c>
      <c r="E1262" s="279" t="s">
        <v>267</v>
      </c>
      <c r="F1262" s="133" t="s">
        <v>34</v>
      </c>
      <c r="G1262" s="270" t="s">
        <v>35</v>
      </c>
      <c r="H1262" s="272" t="s">
        <v>39</v>
      </c>
      <c r="I1262" s="280">
        <v>5</v>
      </c>
      <c r="J1262" s="279">
        <v>42</v>
      </c>
      <c r="K1262" s="270">
        <f t="shared" si="0"/>
        <v>210</v>
      </c>
      <c r="L1262" s="279">
        <v>2176</v>
      </c>
      <c r="M1262" s="279">
        <v>0</v>
      </c>
      <c r="N1262" s="274">
        <v>11</v>
      </c>
      <c r="O1262" s="55"/>
      <c r="P1262" s="45">
        <v>11</v>
      </c>
      <c r="Q1262" s="279">
        <v>1</v>
      </c>
      <c r="R1262" s="275">
        <v>3.2399999999999998E-3</v>
      </c>
      <c r="S1262" s="279">
        <v>2</v>
      </c>
      <c r="T1262" s="279">
        <v>13</v>
      </c>
      <c r="U1262" s="57">
        <v>1</v>
      </c>
      <c r="V1262" s="276">
        <v>0.2</v>
      </c>
      <c r="W1262" s="276">
        <v>0</v>
      </c>
      <c r="X1262" s="279">
        <v>10</v>
      </c>
      <c r="Y1262" s="279">
        <v>3</v>
      </c>
      <c r="Z1262" s="45" t="b">
        <v>1</v>
      </c>
      <c r="AA1262" s="45" t="s">
        <v>38</v>
      </c>
      <c r="AB1262" s="45" t="s">
        <v>38</v>
      </c>
    </row>
    <row r="1263" spans="1:28" x14ac:dyDescent="0.2">
      <c r="A1263" s="96" t="s">
        <v>178</v>
      </c>
      <c r="B1263" s="96" t="s">
        <v>178</v>
      </c>
      <c r="C1263" s="287">
        <v>44641</v>
      </c>
      <c r="D1263" s="277">
        <v>44671</v>
      </c>
      <c r="E1263" s="279" t="s">
        <v>267</v>
      </c>
      <c r="F1263" s="133" t="s">
        <v>34</v>
      </c>
      <c r="G1263" s="270" t="s">
        <v>35</v>
      </c>
      <c r="H1263" s="272" t="s">
        <v>90</v>
      </c>
      <c r="I1263" s="280">
        <v>5</v>
      </c>
      <c r="J1263" s="279">
        <v>405</v>
      </c>
      <c r="K1263" s="270">
        <f t="shared" si="0"/>
        <v>2025</v>
      </c>
      <c r="L1263" s="279">
        <v>8998</v>
      </c>
      <c r="M1263" s="279">
        <v>35</v>
      </c>
      <c r="N1263" s="274">
        <v>102</v>
      </c>
      <c r="O1263" s="55"/>
      <c r="P1263" s="45">
        <v>102</v>
      </c>
      <c r="Q1263" s="279">
        <v>-43</v>
      </c>
      <c r="R1263" s="275">
        <v>3.2399999999999998E-3</v>
      </c>
      <c r="S1263" s="279">
        <v>-36</v>
      </c>
      <c r="T1263" s="279">
        <v>66</v>
      </c>
      <c r="U1263" s="57">
        <v>1</v>
      </c>
      <c r="V1263" s="276">
        <v>0.2</v>
      </c>
      <c r="W1263" s="276">
        <v>0</v>
      </c>
      <c r="X1263" s="279">
        <v>53</v>
      </c>
      <c r="Y1263" s="279">
        <v>13</v>
      </c>
      <c r="Z1263" s="45" t="b">
        <v>1</v>
      </c>
      <c r="AA1263" s="45" t="s">
        <v>38</v>
      </c>
      <c r="AB1263" s="45" t="s">
        <v>38</v>
      </c>
    </row>
    <row r="1264" spans="1:28" x14ac:dyDescent="0.2">
      <c r="A1264" s="96" t="s">
        <v>178</v>
      </c>
      <c r="B1264" s="96" t="s">
        <v>178</v>
      </c>
      <c r="C1264" s="287">
        <v>44641</v>
      </c>
      <c r="D1264" s="277">
        <v>44671</v>
      </c>
      <c r="E1264" s="279" t="s">
        <v>267</v>
      </c>
      <c r="F1264" s="133" t="s">
        <v>34</v>
      </c>
      <c r="G1264" s="270" t="s">
        <v>35</v>
      </c>
      <c r="H1264" s="272" t="s">
        <v>40</v>
      </c>
      <c r="I1264" s="280">
        <v>10</v>
      </c>
      <c r="J1264" s="279">
        <v>1172</v>
      </c>
      <c r="K1264" s="270">
        <f t="shared" si="0"/>
        <v>11720</v>
      </c>
      <c r="L1264" s="279">
        <v>81540</v>
      </c>
      <c r="M1264" s="279">
        <v>870</v>
      </c>
      <c r="N1264" s="274">
        <v>518</v>
      </c>
      <c r="O1264" s="55"/>
      <c r="P1264" s="45">
        <v>518</v>
      </c>
      <c r="Q1264" s="279">
        <v>628</v>
      </c>
      <c r="R1264" s="275">
        <v>3.2399999999999998E-3</v>
      </c>
      <c r="S1264" s="279">
        <v>666</v>
      </c>
      <c r="T1264" s="279">
        <v>1184</v>
      </c>
      <c r="U1264" s="57">
        <v>1</v>
      </c>
      <c r="V1264" s="276">
        <v>0.2</v>
      </c>
      <c r="W1264" s="276">
        <v>0</v>
      </c>
      <c r="X1264" s="279">
        <v>948</v>
      </c>
      <c r="Y1264" s="279">
        <v>237</v>
      </c>
      <c r="Z1264" s="45" t="b">
        <v>1</v>
      </c>
      <c r="AA1264" s="45" t="s">
        <v>38</v>
      </c>
      <c r="AB1264" s="45" t="s">
        <v>38</v>
      </c>
    </row>
    <row r="1265" spans="1:28" x14ac:dyDescent="0.2">
      <c r="A1265" s="96" t="s">
        <v>178</v>
      </c>
      <c r="B1265" s="96" t="s">
        <v>178</v>
      </c>
      <c r="C1265" s="287">
        <v>44641</v>
      </c>
      <c r="D1265" s="277">
        <v>44671</v>
      </c>
      <c r="E1265" s="279" t="s">
        <v>267</v>
      </c>
      <c r="F1265" s="133" t="s">
        <v>34</v>
      </c>
      <c r="G1265" s="270" t="s">
        <v>35</v>
      </c>
      <c r="H1265" s="272" t="s">
        <v>115</v>
      </c>
      <c r="I1265" s="280">
        <v>10</v>
      </c>
      <c r="J1265" s="279">
        <v>1799</v>
      </c>
      <c r="K1265" s="270">
        <f t="shared" si="0"/>
        <v>17990</v>
      </c>
      <c r="L1265" s="279">
        <v>20742</v>
      </c>
      <c r="M1265" s="279">
        <v>-1200</v>
      </c>
      <c r="N1265" s="274">
        <v>794</v>
      </c>
      <c r="O1265" s="55"/>
      <c r="P1265" s="45">
        <v>794</v>
      </c>
      <c r="Q1265" s="279">
        <v>-697</v>
      </c>
      <c r="R1265" s="275">
        <v>3.2399999999999998E-3</v>
      </c>
      <c r="S1265" s="279">
        <v>-639</v>
      </c>
      <c r="T1265" s="279">
        <v>155</v>
      </c>
      <c r="U1265" s="57">
        <v>1</v>
      </c>
      <c r="V1265" s="276">
        <v>0.2</v>
      </c>
      <c r="W1265" s="276">
        <v>0</v>
      </c>
      <c r="X1265" s="279">
        <v>124</v>
      </c>
      <c r="Y1265" s="279">
        <v>31</v>
      </c>
      <c r="Z1265" s="45" t="b">
        <v>1</v>
      </c>
      <c r="AA1265" s="45" t="s">
        <v>38</v>
      </c>
      <c r="AB1265" s="45" t="s">
        <v>38</v>
      </c>
    </row>
    <row r="1266" spans="1:28" x14ac:dyDescent="0.2">
      <c r="A1266" s="96" t="s">
        <v>508</v>
      </c>
      <c r="B1266" s="96" t="s">
        <v>185</v>
      </c>
      <c r="C1266" s="277">
        <v>44641</v>
      </c>
      <c r="D1266" s="277">
        <v>44671</v>
      </c>
      <c r="E1266" s="270" t="s">
        <v>300</v>
      </c>
      <c r="F1266" s="133" t="s">
        <v>34</v>
      </c>
      <c r="G1266" s="270" t="s">
        <v>80</v>
      </c>
      <c r="H1266" s="272" t="s">
        <v>70</v>
      </c>
      <c r="I1266" s="273">
        <v>100</v>
      </c>
      <c r="J1266" s="270">
        <v>2</v>
      </c>
      <c r="K1266" s="270">
        <f t="shared" si="0"/>
        <v>200</v>
      </c>
      <c r="L1266" s="270">
        <v>148</v>
      </c>
      <c r="M1266" s="270">
        <v>-200</v>
      </c>
      <c r="N1266" s="274"/>
      <c r="O1266" s="55"/>
      <c r="P1266" s="96"/>
      <c r="Q1266" s="270">
        <v>28</v>
      </c>
      <c r="R1266" s="275">
        <v>3.2399999999999998E-3</v>
      </c>
      <c r="S1266" s="270">
        <v>29</v>
      </c>
      <c r="T1266" s="270">
        <v>29</v>
      </c>
      <c r="U1266" s="57">
        <v>1</v>
      </c>
      <c r="V1266" s="276">
        <v>0.09</v>
      </c>
      <c r="W1266" s="276">
        <v>0.03</v>
      </c>
      <c r="X1266" s="270">
        <v>25</v>
      </c>
      <c r="Y1266" s="270">
        <v>3</v>
      </c>
      <c r="Z1266" s="45" t="b">
        <v>1</v>
      </c>
      <c r="AA1266" s="45" t="s">
        <v>38</v>
      </c>
      <c r="AB1266" s="45" t="s">
        <v>38</v>
      </c>
    </row>
    <row r="1267" spans="1:28" x14ac:dyDescent="0.2">
      <c r="A1267" s="96" t="s">
        <v>508</v>
      </c>
      <c r="B1267" s="96" t="s">
        <v>185</v>
      </c>
      <c r="C1267" s="277">
        <v>44641</v>
      </c>
      <c r="D1267" s="277">
        <v>44671</v>
      </c>
      <c r="E1267" s="270" t="s">
        <v>300</v>
      </c>
      <c r="F1267" s="133" t="s">
        <v>34</v>
      </c>
      <c r="G1267" s="270" t="s">
        <v>80</v>
      </c>
      <c r="H1267" s="272" t="s">
        <v>153</v>
      </c>
      <c r="I1267" s="273">
        <v>200</v>
      </c>
      <c r="J1267" s="270">
        <v>4513</v>
      </c>
      <c r="K1267" s="270">
        <f t="shared" si="0"/>
        <v>902600</v>
      </c>
      <c r="L1267" s="270">
        <v>38941</v>
      </c>
      <c r="M1267" s="270">
        <v>-65200</v>
      </c>
      <c r="N1267" s="274">
        <v>49114</v>
      </c>
      <c r="O1267" s="55"/>
      <c r="P1267" s="105">
        <v>49114</v>
      </c>
      <c r="Q1267" s="270">
        <v>-43788</v>
      </c>
      <c r="R1267" s="275">
        <v>3.2399999999999998E-3</v>
      </c>
      <c r="S1267" s="270">
        <v>-40863</v>
      </c>
      <c r="T1267" s="270">
        <v>8251</v>
      </c>
      <c r="U1267" s="57">
        <v>1</v>
      </c>
      <c r="V1267" s="276">
        <v>0.09</v>
      </c>
      <c r="W1267" s="276">
        <v>0.03</v>
      </c>
      <c r="X1267" s="270">
        <v>7261</v>
      </c>
      <c r="Y1267" s="270">
        <v>990</v>
      </c>
      <c r="Z1267" s="45" t="b">
        <v>1</v>
      </c>
      <c r="AA1267" s="45" t="s">
        <v>38</v>
      </c>
      <c r="AB1267" s="45" t="s">
        <v>38</v>
      </c>
    </row>
    <row r="1268" spans="1:28" x14ac:dyDescent="0.2">
      <c r="A1268" s="96" t="s">
        <v>113</v>
      </c>
      <c r="B1268" s="96" t="s">
        <v>113</v>
      </c>
      <c r="C1268" s="277">
        <v>44641</v>
      </c>
      <c r="D1268" s="277">
        <v>44671</v>
      </c>
      <c r="E1268" s="270" t="s">
        <v>267</v>
      </c>
      <c r="F1268" s="133" t="s">
        <v>34</v>
      </c>
      <c r="G1268" s="96" t="s">
        <v>35</v>
      </c>
      <c r="H1268" s="272" t="s">
        <v>39</v>
      </c>
      <c r="I1268" s="273">
        <v>5</v>
      </c>
      <c r="J1268" s="270">
        <v>12</v>
      </c>
      <c r="K1268" s="270">
        <f t="shared" si="0"/>
        <v>60</v>
      </c>
      <c r="L1268" s="270">
        <v>1356</v>
      </c>
      <c r="M1268" s="270">
        <v>15</v>
      </c>
      <c r="N1268" s="274">
        <v>3</v>
      </c>
      <c r="O1268" s="55"/>
      <c r="P1268" s="45">
        <v>3</v>
      </c>
      <c r="Q1268" s="270">
        <v>7</v>
      </c>
      <c r="R1268" s="275">
        <v>3.2399999999999998E-3</v>
      </c>
      <c r="S1268" s="270">
        <v>7</v>
      </c>
      <c r="T1268" s="270">
        <v>10</v>
      </c>
      <c r="U1268" s="57">
        <v>1</v>
      </c>
      <c r="V1268" s="276">
        <v>0.3</v>
      </c>
      <c r="W1268" s="276">
        <v>0</v>
      </c>
      <c r="X1268" s="270">
        <v>7</v>
      </c>
      <c r="Y1268" s="270">
        <v>3</v>
      </c>
      <c r="Z1268" s="45" t="b">
        <v>1</v>
      </c>
      <c r="AA1268" s="45" t="s">
        <v>38</v>
      </c>
      <c r="AB1268" s="45" t="s">
        <v>38</v>
      </c>
    </row>
    <row r="1269" spans="1:28" x14ac:dyDescent="0.2">
      <c r="A1269" s="96" t="s">
        <v>113</v>
      </c>
      <c r="B1269" s="96" t="s">
        <v>113</v>
      </c>
      <c r="C1269" s="277">
        <v>44641</v>
      </c>
      <c r="D1269" s="277">
        <v>44671</v>
      </c>
      <c r="E1269" s="270" t="s">
        <v>267</v>
      </c>
      <c r="F1269" s="133" t="s">
        <v>34</v>
      </c>
      <c r="G1269" s="96" t="s">
        <v>35</v>
      </c>
      <c r="H1269" s="272" t="s">
        <v>40</v>
      </c>
      <c r="I1269" s="273">
        <v>10</v>
      </c>
      <c r="J1269" s="270">
        <v>3011</v>
      </c>
      <c r="K1269" s="270">
        <f t="shared" si="0"/>
        <v>30110</v>
      </c>
      <c r="L1269" s="270">
        <v>82416</v>
      </c>
      <c r="M1269" s="270">
        <v>-1030</v>
      </c>
      <c r="N1269" s="274">
        <v>1332</v>
      </c>
      <c r="O1269" s="55"/>
      <c r="P1269" s="105">
        <v>1332</v>
      </c>
      <c r="Q1269" s="270">
        <v>-716</v>
      </c>
      <c r="R1269" s="275">
        <v>3.2399999999999998E-3</v>
      </c>
      <c r="S1269" s="270">
        <v>-619</v>
      </c>
      <c r="T1269" s="270">
        <v>713</v>
      </c>
      <c r="U1269" s="57">
        <v>1</v>
      </c>
      <c r="V1269" s="276">
        <v>0.3</v>
      </c>
      <c r="W1269" s="276">
        <v>0</v>
      </c>
      <c r="X1269" s="270">
        <v>499</v>
      </c>
      <c r="Y1269" s="270">
        <v>214</v>
      </c>
      <c r="Z1269" s="45" t="b">
        <v>1</v>
      </c>
      <c r="AA1269" s="45" t="s">
        <v>38</v>
      </c>
      <c r="AB1269" s="45" t="s">
        <v>38</v>
      </c>
    </row>
    <row r="1270" spans="1:28" x14ac:dyDescent="0.2">
      <c r="A1270" s="96" t="s">
        <v>191</v>
      </c>
      <c r="B1270" s="96" t="s">
        <v>193</v>
      </c>
      <c r="C1270" s="277">
        <v>44641</v>
      </c>
      <c r="D1270" s="277">
        <v>44671</v>
      </c>
      <c r="E1270" s="270" t="s">
        <v>267</v>
      </c>
      <c r="F1270" s="133" t="s">
        <v>34</v>
      </c>
      <c r="G1270" s="96" t="s">
        <v>80</v>
      </c>
      <c r="H1270" s="272" t="s">
        <v>40</v>
      </c>
      <c r="I1270" s="273">
        <v>10</v>
      </c>
      <c r="J1270" s="270">
        <v>2</v>
      </c>
      <c r="K1270" s="270">
        <f t="shared" si="0"/>
        <v>20</v>
      </c>
      <c r="L1270" s="270">
        <v>-808</v>
      </c>
      <c r="M1270" s="270">
        <v>30</v>
      </c>
      <c r="N1270" s="274">
        <v>1.1299999999999999</v>
      </c>
      <c r="O1270" s="55"/>
      <c r="P1270" s="45">
        <v>1</v>
      </c>
      <c r="Q1270" s="270">
        <v>-25</v>
      </c>
      <c r="R1270" s="275">
        <v>3.2399999999999998E-3</v>
      </c>
      <c r="S1270" s="270">
        <v>-25</v>
      </c>
      <c r="T1270" s="270">
        <v>-24</v>
      </c>
      <c r="U1270" s="57">
        <v>1</v>
      </c>
      <c r="V1270" s="276">
        <v>0.22</v>
      </c>
      <c r="W1270" s="276">
        <v>0</v>
      </c>
      <c r="X1270" s="270">
        <v>-18</v>
      </c>
      <c r="Y1270" s="270">
        <v>-5</v>
      </c>
      <c r="Z1270" s="45" t="b">
        <v>1</v>
      </c>
      <c r="AA1270" s="45" t="s">
        <v>38</v>
      </c>
      <c r="AB1270" s="45" t="s">
        <v>38</v>
      </c>
    </row>
    <row r="1271" spans="1:28" x14ac:dyDescent="0.2">
      <c r="A1271" s="96" t="s">
        <v>191</v>
      </c>
      <c r="B1271" s="96" t="s">
        <v>193</v>
      </c>
      <c r="C1271" s="277">
        <v>44641</v>
      </c>
      <c r="D1271" s="277">
        <v>44671</v>
      </c>
      <c r="E1271" s="270" t="s">
        <v>267</v>
      </c>
      <c r="F1271" s="133" t="s">
        <v>34</v>
      </c>
      <c r="G1271" s="96" t="s">
        <v>80</v>
      </c>
      <c r="H1271" s="272" t="s">
        <v>71</v>
      </c>
      <c r="I1271" s="273">
        <v>20</v>
      </c>
      <c r="J1271" s="270">
        <v>427</v>
      </c>
      <c r="K1271" s="270">
        <f t="shared" si="0"/>
        <v>8540</v>
      </c>
      <c r="L1271" s="270">
        <v>17142</v>
      </c>
      <c r="M1271" s="270">
        <v>-420</v>
      </c>
      <c r="N1271" s="274">
        <v>481.6</v>
      </c>
      <c r="O1271" s="55"/>
      <c r="P1271" s="45">
        <v>482</v>
      </c>
      <c r="Q1271" s="270">
        <v>360</v>
      </c>
      <c r="R1271" s="275">
        <v>3.2399999999999998E-3</v>
      </c>
      <c r="S1271" s="270">
        <v>388</v>
      </c>
      <c r="T1271" s="270">
        <v>869</v>
      </c>
      <c r="U1271" s="57">
        <v>1</v>
      </c>
      <c r="V1271" s="276">
        <v>0.22</v>
      </c>
      <c r="W1271" s="276">
        <v>0</v>
      </c>
      <c r="X1271" s="270">
        <v>678</v>
      </c>
      <c r="Y1271" s="270">
        <v>191</v>
      </c>
      <c r="Z1271" s="45" t="b">
        <v>1</v>
      </c>
      <c r="AA1271" s="45" t="s">
        <v>38</v>
      </c>
      <c r="AB1271" s="45" t="s">
        <v>38</v>
      </c>
    </row>
    <row r="1272" spans="1:28" x14ac:dyDescent="0.2">
      <c r="A1272" s="96" t="s">
        <v>191</v>
      </c>
      <c r="B1272" s="96" t="s">
        <v>193</v>
      </c>
      <c r="C1272" s="277">
        <v>44641</v>
      </c>
      <c r="D1272" s="277">
        <v>44671</v>
      </c>
      <c r="E1272" s="270" t="s">
        <v>267</v>
      </c>
      <c r="F1272" s="133" t="s">
        <v>34</v>
      </c>
      <c r="G1272" s="96" t="s">
        <v>80</v>
      </c>
      <c r="H1272" s="272" t="s">
        <v>72</v>
      </c>
      <c r="I1272" s="273">
        <v>50</v>
      </c>
      <c r="J1272" s="270">
        <v>1923</v>
      </c>
      <c r="K1272" s="270">
        <f t="shared" si="0"/>
        <v>96150</v>
      </c>
      <c r="L1272" s="270">
        <v>28945</v>
      </c>
      <c r="M1272" s="270">
        <v>750</v>
      </c>
      <c r="N1272" s="274">
        <v>5422.27</v>
      </c>
      <c r="O1272" s="55"/>
      <c r="P1272" s="105">
        <v>5422</v>
      </c>
      <c r="Q1272" s="270">
        <v>-2888</v>
      </c>
      <c r="R1272" s="275">
        <v>3.2399999999999998E-3</v>
      </c>
      <c r="S1272" s="270">
        <v>-2576</v>
      </c>
      <c r="T1272" s="270">
        <v>2846</v>
      </c>
      <c r="U1272" s="57">
        <v>1</v>
      </c>
      <c r="V1272" s="276">
        <v>0.22</v>
      </c>
      <c r="W1272" s="276">
        <v>0</v>
      </c>
      <c r="X1272" s="270">
        <v>2220</v>
      </c>
      <c r="Y1272" s="270">
        <v>626</v>
      </c>
      <c r="Z1272" s="45" t="b">
        <v>1</v>
      </c>
      <c r="AA1272" s="45" t="s">
        <v>38</v>
      </c>
      <c r="AB1272" s="45" t="s">
        <v>38</v>
      </c>
    </row>
    <row r="1273" spans="1:28" x14ac:dyDescent="0.2">
      <c r="A1273" s="96" t="s">
        <v>195</v>
      </c>
      <c r="B1273" s="96" t="s">
        <v>195</v>
      </c>
      <c r="C1273" s="277">
        <v>44641</v>
      </c>
      <c r="D1273" s="277">
        <v>44671</v>
      </c>
      <c r="E1273" s="270" t="s">
        <v>267</v>
      </c>
      <c r="F1273" s="96" t="s">
        <v>34</v>
      </c>
      <c r="G1273" s="270" t="s">
        <v>35</v>
      </c>
      <c r="H1273" s="272" t="s">
        <v>40</v>
      </c>
      <c r="I1273" s="273">
        <v>10</v>
      </c>
      <c r="J1273" s="270">
        <v>1932</v>
      </c>
      <c r="K1273" s="270">
        <f t="shared" si="0"/>
        <v>19320</v>
      </c>
      <c r="L1273" s="270">
        <v>125504</v>
      </c>
      <c r="M1273" s="270">
        <v>460</v>
      </c>
      <c r="N1273" s="274">
        <v>380</v>
      </c>
      <c r="O1273" s="55"/>
      <c r="P1273" s="45">
        <v>380</v>
      </c>
      <c r="Q1273" s="270">
        <v>892</v>
      </c>
      <c r="R1273" s="275">
        <v>3.2399999999999998E-3</v>
      </c>
      <c r="S1273" s="270">
        <v>955</v>
      </c>
      <c r="T1273" s="270">
        <v>1335</v>
      </c>
      <c r="U1273" s="57">
        <v>1</v>
      </c>
      <c r="V1273" s="276">
        <v>0.23</v>
      </c>
      <c r="W1273" s="276">
        <v>0</v>
      </c>
      <c r="X1273" s="270">
        <v>1028</v>
      </c>
      <c r="Y1273" s="270">
        <v>307</v>
      </c>
      <c r="Z1273" s="45" t="b">
        <v>1</v>
      </c>
      <c r="AA1273" s="45" t="s">
        <v>38</v>
      </c>
      <c r="AB1273" s="45" t="s">
        <v>38</v>
      </c>
    </row>
    <row r="1274" spans="1:28" x14ac:dyDescent="0.2">
      <c r="A1274" s="96" t="s">
        <v>195</v>
      </c>
      <c r="B1274" s="96" t="s">
        <v>195</v>
      </c>
      <c r="C1274" s="277">
        <v>44641</v>
      </c>
      <c r="D1274" s="277">
        <v>44671</v>
      </c>
      <c r="E1274" s="270" t="s">
        <v>267</v>
      </c>
      <c r="F1274" s="96" t="s">
        <v>34</v>
      </c>
      <c r="G1274" s="270" t="s">
        <v>35</v>
      </c>
      <c r="H1274" s="272" t="s">
        <v>46</v>
      </c>
      <c r="I1274" s="273">
        <v>25</v>
      </c>
      <c r="J1274" s="270">
        <v>250</v>
      </c>
      <c r="K1274" s="270">
        <f t="shared" si="0"/>
        <v>6250</v>
      </c>
      <c r="L1274" s="270">
        <v>217</v>
      </c>
      <c r="M1274" s="270">
        <v>-775</v>
      </c>
      <c r="N1274" s="274">
        <v>105</v>
      </c>
      <c r="O1274" s="55"/>
      <c r="P1274" s="45">
        <v>105</v>
      </c>
      <c r="Q1274" s="270">
        <v>-386</v>
      </c>
      <c r="R1274" s="275">
        <v>3.2399999999999998E-3</v>
      </c>
      <c r="S1274" s="270">
        <v>-366</v>
      </c>
      <c r="T1274" s="270">
        <v>-261</v>
      </c>
      <c r="U1274" s="57">
        <v>1</v>
      </c>
      <c r="V1274" s="276">
        <v>0.23</v>
      </c>
      <c r="W1274" s="276">
        <v>0</v>
      </c>
      <c r="X1274" s="270">
        <v>-201</v>
      </c>
      <c r="Y1274" s="270">
        <v>-60</v>
      </c>
      <c r="Z1274" s="45" t="b">
        <v>1</v>
      </c>
      <c r="AA1274" s="45" t="s">
        <v>38</v>
      </c>
      <c r="AB1274" s="45" t="s">
        <v>38</v>
      </c>
    </row>
    <row r="1275" spans="1:28" x14ac:dyDescent="0.2">
      <c r="A1275" s="96" t="s">
        <v>206</v>
      </c>
      <c r="B1275" s="96" t="s">
        <v>207</v>
      </c>
      <c r="C1275" s="277">
        <v>44641</v>
      </c>
      <c r="D1275" s="277">
        <v>44671</v>
      </c>
      <c r="E1275" s="270" t="s">
        <v>267</v>
      </c>
      <c r="F1275" s="133" t="s">
        <v>34</v>
      </c>
      <c r="G1275" s="270" t="s">
        <v>80</v>
      </c>
      <c r="H1275" s="272" t="s">
        <v>71</v>
      </c>
      <c r="I1275" s="273">
        <v>20</v>
      </c>
      <c r="J1275" s="270">
        <v>84</v>
      </c>
      <c r="K1275" s="270">
        <f t="shared" si="0"/>
        <v>1680</v>
      </c>
      <c r="L1275" s="270">
        <v>2562</v>
      </c>
      <c r="M1275" s="270">
        <v>-160</v>
      </c>
      <c r="N1275" s="274"/>
      <c r="O1275" s="55"/>
      <c r="P1275" s="96"/>
      <c r="Q1275" s="270">
        <v>24</v>
      </c>
      <c r="R1275" s="275">
        <v>3.2399999999999998E-3</v>
      </c>
      <c r="S1275" s="270">
        <v>30</v>
      </c>
      <c r="T1275" s="270">
        <v>30</v>
      </c>
      <c r="U1275" s="57">
        <v>1</v>
      </c>
      <c r="V1275" s="276">
        <v>0.1</v>
      </c>
      <c r="W1275" s="276">
        <v>0</v>
      </c>
      <c r="X1275" s="270">
        <v>27</v>
      </c>
      <c r="Y1275" s="270">
        <v>3</v>
      </c>
      <c r="Z1275" s="45" t="b">
        <v>1</v>
      </c>
      <c r="AA1275" s="45" t="s">
        <v>38</v>
      </c>
      <c r="AB1275" s="45" t="s">
        <v>38</v>
      </c>
    </row>
    <row r="1276" spans="1:28" x14ac:dyDescent="0.2">
      <c r="A1276" s="96" t="s">
        <v>206</v>
      </c>
      <c r="B1276" s="96" t="s">
        <v>206</v>
      </c>
      <c r="C1276" s="277">
        <v>44641</v>
      </c>
      <c r="D1276" s="277">
        <v>44671</v>
      </c>
      <c r="E1276" s="270" t="s">
        <v>267</v>
      </c>
      <c r="F1276" s="133" t="s">
        <v>34</v>
      </c>
      <c r="G1276" s="96" t="s">
        <v>35</v>
      </c>
      <c r="H1276" s="272" t="s">
        <v>39</v>
      </c>
      <c r="I1276" s="273">
        <v>5</v>
      </c>
      <c r="J1276" s="270">
        <v>1</v>
      </c>
      <c r="K1276" s="270">
        <f t="shared" si="0"/>
        <v>5</v>
      </c>
      <c r="L1276" s="270">
        <v>164</v>
      </c>
      <c r="M1276" s="270">
        <v>-5</v>
      </c>
      <c r="N1276" s="274"/>
      <c r="O1276" s="55"/>
      <c r="P1276" s="96"/>
      <c r="Q1276" s="270">
        <v>1</v>
      </c>
      <c r="R1276" s="275">
        <v>3.2399999999999998E-3</v>
      </c>
      <c r="S1276" s="270">
        <v>1</v>
      </c>
      <c r="T1276" s="270">
        <v>1</v>
      </c>
      <c r="U1276" s="57">
        <v>1</v>
      </c>
      <c r="V1276" s="276">
        <v>0.1</v>
      </c>
      <c r="W1276" s="276">
        <v>0</v>
      </c>
      <c r="X1276" s="270">
        <v>1</v>
      </c>
      <c r="Y1276" s="270">
        <v>0</v>
      </c>
      <c r="Z1276" s="45" t="b">
        <v>1</v>
      </c>
      <c r="AA1276" s="45" t="s">
        <v>38</v>
      </c>
      <c r="AB1276" s="45" t="s">
        <v>38</v>
      </c>
    </row>
    <row r="1277" spans="1:28" x14ac:dyDescent="0.2">
      <c r="A1277" s="96" t="s">
        <v>206</v>
      </c>
      <c r="B1277" s="96" t="s">
        <v>206</v>
      </c>
      <c r="C1277" s="277">
        <v>44641</v>
      </c>
      <c r="D1277" s="277">
        <v>44671</v>
      </c>
      <c r="E1277" s="270" t="s">
        <v>267</v>
      </c>
      <c r="F1277" s="133" t="s">
        <v>34</v>
      </c>
      <c r="G1277" s="96" t="s">
        <v>35</v>
      </c>
      <c r="H1277" s="272" t="s">
        <v>70</v>
      </c>
      <c r="I1277" s="273">
        <v>100</v>
      </c>
      <c r="J1277" s="270">
        <v>522</v>
      </c>
      <c r="K1277" s="270">
        <f t="shared" si="0"/>
        <v>52200</v>
      </c>
      <c r="L1277" s="270">
        <v>7177</v>
      </c>
      <c r="M1277" s="270">
        <v>200</v>
      </c>
      <c r="N1277" s="274">
        <v>768</v>
      </c>
      <c r="O1277" s="55"/>
      <c r="P1277" s="45">
        <v>768</v>
      </c>
      <c r="Q1277" s="270">
        <v>-1474</v>
      </c>
      <c r="R1277" s="275">
        <v>3.2399999999999998E-3</v>
      </c>
      <c r="S1277" s="270">
        <v>-1304</v>
      </c>
      <c r="T1277" s="270">
        <v>-536</v>
      </c>
      <c r="U1277" s="57">
        <v>1</v>
      </c>
      <c r="V1277" s="276">
        <v>0.1</v>
      </c>
      <c r="W1277" s="276">
        <v>0</v>
      </c>
      <c r="X1277" s="270">
        <v>-483</v>
      </c>
      <c r="Y1277" s="270">
        <v>-54</v>
      </c>
      <c r="Z1277" s="45" t="b">
        <v>1</v>
      </c>
      <c r="AA1277" s="45" t="s">
        <v>38</v>
      </c>
      <c r="AB1277" s="45" t="s">
        <v>38</v>
      </c>
    </row>
    <row r="1278" spans="1:28" x14ac:dyDescent="0.2">
      <c r="A1278" s="96" t="s">
        <v>206</v>
      </c>
      <c r="B1278" s="96" t="s">
        <v>206</v>
      </c>
      <c r="C1278" s="277">
        <v>44641</v>
      </c>
      <c r="D1278" s="277">
        <v>44671</v>
      </c>
      <c r="E1278" s="270" t="s">
        <v>267</v>
      </c>
      <c r="F1278" s="133" t="s">
        <v>34</v>
      </c>
      <c r="G1278" s="96" t="s">
        <v>35</v>
      </c>
      <c r="H1278" s="272" t="s">
        <v>84</v>
      </c>
      <c r="I1278" s="273">
        <v>100</v>
      </c>
      <c r="J1278" s="270">
        <v>1</v>
      </c>
      <c r="K1278" s="270">
        <f t="shared" si="0"/>
        <v>100</v>
      </c>
      <c r="L1278" s="270">
        <v>395</v>
      </c>
      <c r="M1278" s="270">
        <v>-100</v>
      </c>
      <c r="N1278" s="274">
        <v>1</v>
      </c>
      <c r="O1278" s="55"/>
      <c r="P1278" s="45">
        <v>1</v>
      </c>
      <c r="Q1278" s="270">
        <v>118</v>
      </c>
      <c r="R1278" s="275">
        <v>3.2399999999999998E-3</v>
      </c>
      <c r="S1278" s="270">
        <v>118</v>
      </c>
      <c r="T1278" s="270">
        <v>119</v>
      </c>
      <c r="U1278" s="57">
        <v>1</v>
      </c>
      <c r="V1278" s="276">
        <v>0.1</v>
      </c>
      <c r="W1278" s="276">
        <v>0</v>
      </c>
      <c r="X1278" s="270">
        <v>107</v>
      </c>
      <c r="Y1278" s="270">
        <v>12</v>
      </c>
      <c r="Z1278" s="45" t="b">
        <v>1</v>
      </c>
      <c r="AA1278" s="45" t="s">
        <v>38</v>
      </c>
      <c r="AB1278" s="45" t="s">
        <v>38</v>
      </c>
    </row>
    <row r="1279" spans="1:28" x14ac:dyDescent="0.2">
      <c r="A1279" s="96" t="s">
        <v>206</v>
      </c>
      <c r="B1279" s="96" t="s">
        <v>206</v>
      </c>
      <c r="C1279" s="277">
        <v>44641</v>
      </c>
      <c r="D1279" s="277">
        <v>44671</v>
      </c>
      <c r="E1279" s="270" t="s">
        <v>267</v>
      </c>
      <c r="F1279" s="133" t="s">
        <v>34</v>
      </c>
      <c r="G1279" s="96" t="s">
        <v>35</v>
      </c>
      <c r="H1279" s="272" t="s">
        <v>88</v>
      </c>
      <c r="I1279" s="273">
        <v>250</v>
      </c>
      <c r="J1279" s="270">
        <v>673</v>
      </c>
      <c r="K1279" s="270">
        <f t="shared" si="0"/>
        <v>168250</v>
      </c>
      <c r="L1279" s="270">
        <v>13328</v>
      </c>
      <c r="M1279" s="270">
        <v>12250</v>
      </c>
      <c r="N1279" s="274">
        <v>2476</v>
      </c>
      <c r="O1279" s="55"/>
      <c r="P1279" s="105">
        <v>2476</v>
      </c>
      <c r="Q1279" s="270">
        <v>-2421</v>
      </c>
      <c r="R1279" s="275">
        <v>3.2399999999999998E-3</v>
      </c>
      <c r="S1279" s="270">
        <v>-1875</v>
      </c>
      <c r="T1279" s="270">
        <v>601</v>
      </c>
      <c r="U1279" s="57">
        <v>1</v>
      </c>
      <c r="V1279" s="276">
        <v>0.1</v>
      </c>
      <c r="W1279" s="276">
        <v>0</v>
      </c>
      <c r="X1279" s="270">
        <v>541</v>
      </c>
      <c r="Y1279" s="270">
        <v>60</v>
      </c>
      <c r="Z1279" s="45" t="b">
        <v>1</v>
      </c>
      <c r="AA1279" s="45" t="s">
        <v>38</v>
      </c>
      <c r="AB1279" s="45" t="s">
        <v>38</v>
      </c>
    </row>
    <row r="1280" spans="1:28" x14ac:dyDescent="0.2">
      <c r="A1280" s="96" t="s">
        <v>206</v>
      </c>
      <c r="B1280" s="96" t="s">
        <v>206</v>
      </c>
      <c r="C1280" s="277">
        <v>44641</v>
      </c>
      <c r="D1280" s="277">
        <v>44671</v>
      </c>
      <c r="E1280" s="270" t="s">
        <v>267</v>
      </c>
      <c r="F1280" s="133" t="s">
        <v>34</v>
      </c>
      <c r="G1280" s="96" t="s">
        <v>35</v>
      </c>
      <c r="H1280" s="272" t="s">
        <v>148</v>
      </c>
      <c r="I1280" s="273">
        <v>250</v>
      </c>
      <c r="J1280" s="270">
        <v>107</v>
      </c>
      <c r="K1280" s="270">
        <f t="shared" si="0"/>
        <v>26750</v>
      </c>
      <c r="L1280" s="270">
        <v>-117</v>
      </c>
      <c r="M1280" s="270">
        <v>1500</v>
      </c>
      <c r="N1280" s="274">
        <v>394</v>
      </c>
      <c r="O1280" s="55"/>
      <c r="P1280" s="45">
        <v>394</v>
      </c>
      <c r="Q1280" s="270">
        <v>-1472</v>
      </c>
      <c r="R1280" s="275">
        <v>3.2399999999999998E-3</v>
      </c>
      <c r="S1280" s="270">
        <v>-1385</v>
      </c>
      <c r="T1280" s="270">
        <v>-991</v>
      </c>
      <c r="U1280" s="57">
        <v>1</v>
      </c>
      <c r="V1280" s="276">
        <v>0.1</v>
      </c>
      <c r="W1280" s="276">
        <v>0</v>
      </c>
      <c r="X1280" s="270">
        <v>-892</v>
      </c>
      <c r="Y1280" s="270">
        <v>-99</v>
      </c>
      <c r="Z1280" s="45" t="b">
        <v>1</v>
      </c>
      <c r="AA1280" s="45" t="s">
        <v>38</v>
      </c>
      <c r="AB1280" s="45" t="s">
        <v>38</v>
      </c>
    </row>
    <row r="1281" spans="1:28" x14ac:dyDescent="0.2">
      <c r="A1281" s="96" t="s">
        <v>206</v>
      </c>
      <c r="B1281" s="96" t="s">
        <v>206</v>
      </c>
      <c r="C1281" s="277">
        <v>44641</v>
      </c>
      <c r="D1281" s="277">
        <v>44671</v>
      </c>
      <c r="E1281" s="270" t="s">
        <v>267</v>
      </c>
      <c r="F1281" s="133" t="s">
        <v>34</v>
      </c>
      <c r="G1281" s="96" t="s">
        <v>35</v>
      </c>
      <c r="H1281" s="272" t="s">
        <v>142</v>
      </c>
      <c r="I1281" s="273">
        <v>500</v>
      </c>
      <c r="J1281" s="270">
        <v>2</v>
      </c>
      <c r="K1281" s="270">
        <f t="shared" si="0"/>
        <v>1000</v>
      </c>
      <c r="L1281" s="270">
        <v>-450</v>
      </c>
      <c r="M1281" s="270">
        <v>500</v>
      </c>
      <c r="N1281" s="274">
        <v>15</v>
      </c>
      <c r="O1281" s="55"/>
      <c r="P1281" s="45">
        <v>15</v>
      </c>
      <c r="Q1281" s="270">
        <v>-474</v>
      </c>
      <c r="R1281" s="275">
        <v>3.2399999999999998E-3</v>
      </c>
      <c r="S1281" s="270">
        <v>-471</v>
      </c>
      <c r="T1281" s="270">
        <v>-456</v>
      </c>
      <c r="U1281" s="57">
        <v>1</v>
      </c>
      <c r="V1281" s="276">
        <v>0.1</v>
      </c>
      <c r="W1281" s="276">
        <v>0</v>
      </c>
      <c r="X1281" s="270">
        <v>-410</v>
      </c>
      <c r="Y1281" s="270">
        <v>-46</v>
      </c>
      <c r="Z1281" s="45" t="b">
        <v>1</v>
      </c>
      <c r="AA1281" s="45" t="s">
        <v>38</v>
      </c>
      <c r="AB1281" s="45" t="s">
        <v>38</v>
      </c>
    </row>
    <row r="1282" spans="1:28" x14ac:dyDescent="0.2">
      <c r="A1282" s="270" t="s">
        <v>58</v>
      </c>
      <c r="B1282" s="270" t="s">
        <v>48</v>
      </c>
      <c r="C1282" s="277">
        <v>44649</v>
      </c>
      <c r="D1282" s="277">
        <v>44681</v>
      </c>
      <c r="E1282" s="270" t="s">
        <v>267</v>
      </c>
      <c r="F1282" s="133" t="s">
        <v>49</v>
      </c>
      <c r="G1282" s="270" t="s">
        <v>35</v>
      </c>
      <c r="H1282" s="270" t="s">
        <v>46</v>
      </c>
      <c r="I1282" s="273">
        <v>25</v>
      </c>
      <c r="J1282" s="270">
        <v>322</v>
      </c>
      <c r="K1282" s="270">
        <f t="shared" si="0"/>
        <v>8050</v>
      </c>
      <c r="L1282" s="286">
        <f>322*22.2</f>
        <v>7148.4</v>
      </c>
      <c r="M1282" s="286">
        <v>-50</v>
      </c>
      <c r="N1282" s="274">
        <v>144</v>
      </c>
      <c r="O1282" s="55"/>
      <c r="P1282" s="45">
        <v>144</v>
      </c>
      <c r="Q1282" s="286">
        <v>-184</v>
      </c>
      <c r="R1282" s="275">
        <v>1.02E-4</v>
      </c>
      <c r="S1282" s="286">
        <v>-183</v>
      </c>
      <c r="T1282" s="286">
        <v>-39</v>
      </c>
      <c r="U1282" s="57">
        <v>1</v>
      </c>
      <c r="V1282" s="276">
        <v>0.23</v>
      </c>
      <c r="W1282" s="276">
        <v>0</v>
      </c>
      <c r="X1282" s="286">
        <v>-30</v>
      </c>
      <c r="Y1282" s="286">
        <v>-9</v>
      </c>
      <c r="Z1282" s="45" t="b">
        <v>1</v>
      </c>
      <c r="AA1282" s="45" t="s">
        <v>38</v>
      </c>
      <c r="AB1282" s="45" t="s">
        <v>38</v>
      </c>
    </row>
    <row r="1283" spans="1:28" x14ac:dyDescent="0.2">
      <c r="A1283" s="270" t="s">
        <v>58</v>
      </c>
      <c r="B1283" s="270" t="s">
        <v>48</v>
      </c>
      <c r="C1283" s="277">
        <v>44649</v>
      </c>
      <c r="D1283" s="277">
        <v>44681</v>
      </c>
      <c r="E1283" s="270" t="s">
        <v>267</v>
      </c>
      <c r="F1283" s="133" t="s">
        <v>49</v>
      </c>
      <c r="G1283" s="270" t="s">
        <v>35</v>
      </c>
      <c r="H1283" s="270" t="s">
        <v>40</v>
      </c>
      <c r="I1283" s="273">
        <v>10</v>
      </c>
      <c r="J1283" s="270">
        <v>1951</v>
      </c>
      <c r="K1283" s="270">
        <f t="shared" si="0"/>
        <v>19510</v>
      </c>
      <c r="L1283" s="286">
        <f>53.45*1951</f>
        <v>104280.95000000001</v>
      </c>
      <c r="M1283" s="286">
        <v>-60</v>
      </c>
      <c r="N1283" s="274">
        <v>408</v>
      </c>
      <c r="O1283" s="55"/>
      <c r="P1283" s="45">
        <v>408</v>
      </c>
      <c r="Q1283" s="286">
        <v>469</v>
      </c>
      <c r="R1283" s="275">
        <v>1.4899999999999999E-4</v>
      </c>
      <c r="S1283" s="286">
        <v>472</v>
      </c>
      <c r="T1283" s="286">
        <v>880</v>
      </c>
      <c r="U1283" s="57">
        <v>1</v>
      </c>
      <c r="V1283" s="276">
        <v>0.23</v>
      </c>
      <c r="W1283" s="276">
        <v>0</v>
      </c>
      <c r="X1283" s="286">
        <v>678</v>
      </c>
      <c r="Y1283" s="286">
        <v>202</v>
      </c>
      <c r="Z1283" s="45" t="b">
        <v>1</v>
      </c>
      <c r="AA1283" s="45" t="s">
        <v>38</v>
      </c>
      <c r="AB1283" s="45" t="s">
        <v>38</v>
      </c>
    </row>
    <row r="1284" spans="1:28" x14ac:dyDescent="0.2">
      <c r="A1284" s="270" t="s">
        <v>58</v>
      </c>
      <c r="B1284" s="270" t="s">
        <v>48</v>
      </c>
      <c r="C1284" s="277">
        <v>44649</v>
      </c>
      <c r="D1284" s="277">
        <v>44681</v>
      </c>
      <c r="E1284" s="270" t="s">
        <v>267</v>
      </c>
      <c r="F1284" s="133" t="s">
        <v>41</v>
      </c>
      <c r="G1284" s="270" t="s">
        <v>35</v>
      </c>
      <c r="H1284" s="270" t="s">
        <v>42</v>
      </c>
      <c r="I1284" s="273">
        <v>1</v>
      </c>
      <c r="J1284" s="270">
        <v>22</v>
      </c>
      <c r="K1284" s="270">
        <f t="shared" si="0"/>
        <v>22</v>
      </c>
      <c r="L1284" s="270"/>
      <c r="M1284" s="270">
        <v>6</v>
      </c>
      <c r="N1284" s="274"/>
      <c r="O1284" s="55"/>
      <c r="P1284" s="96"/>
      <c r="Q1284" s="270"/>
      <c r="R1284" s="275">
        <v>0</v>
      </c>
      <c r="S1284" s="270"/>
      <c r="T1284" s="270">
        <v>6</v>
      </c>
      <c r="U1284" s="57">
        <v>1</v>
      </c>
      <c r="V1284" s="276">
        <v>0.23</v>
      </c>
      <c r="W1284" s="276">
        <v>0</v>
      </c>
      <c r="X1284" s="270">
        <v>5</v>
      </c>
      <c r="Y1284" s="270">
        <v>1</v>
      </c>
      <c r="Z1284" s="45" t="b">
        <v>1</v>
      </c>
      <c r="AA1284" s="45" t="s">
        <v>38</v>
      </c>
      <c r="AB1284" s="45" t="s">
        <v>38</v>
      </c>
    </row>
    <row r="1285" spans="1:28" x14ac:dyDescent="0.2">
      <c r="A1285" s="270" t="s">
        <v>58</v>
      </c>
      <c r="B1285" s="270" t="s">
        <v>48</v>
      </c>
      <c r="C1285" s="277">
        <v>44649</v>
      </c>
      <c r="D1285" s="277">
        <v>44681</v>
      </c>
      <c r="E1285" s="270" t="s">
        <v>267</v>
      </c>
      <c r="F1285" s="133" t="s">
        <v>41</v>
      </c>
      <c r="G1285" s="270" t="s">
        <v>35</v>
      </c>
      <c r="H1285" s="270" t="s">
        <v>45</v>
      </c>
      <c r="I1285" s="273">
        <v>0.25</v>
      </c>
      <c r="J1285" s="270">
        <v>1</v>
      </c>
      <c r="K1285" s="270">
        <f t="shared" si="0"/>
        <v>0.25</v>
      </c>
      <c r="L1285" s="270"/>
      <c r="M1285" s="270">
        <v>0</v>
      </c>
      <c r="N1285" s="274"/>
      <c r="O1285" s="55"/>
      <c r="P1285" s="96"/>
      <c r="Q1285" s="270"/>
      <c r="R1285" s="275">
        <v>0</v>
      </c>
      <c r="S1285" s="270"/>
      <c r="T1285" s="270">
        <v>0</v>
      </c>
      <c r="U1285" s="57">
        <v>1</v>
      </c>
      <c r="V1285" s="276">
        <v>0.23</v>
      </c>
      <c r="W1285" s="276">
        <v>0</v>
      </c>
      <c r="X1285" s="270">
        <v>0</v>
      </c>
      <c r="Y1285" s="270">
        <v>0</v>
      </c>
      <c r="Z1285" s="45" t="b">
        <v>1</v>
      </c>
      <c r="AA1285" s="45" t="s">
        <v>38</v>
      </c>
      <c r="AB1285" s="45" t="s">
        <v>38</v>
      </c>
    </row>
    <row r="1286" spans="1:28" x14ac:dyDescent="0.2">
      <c r="A1286" s="270" t="s">
        <v>58</v>
      </c>
      <c r="B1286" s="270" t="s">
        <v>48</v>
      </c>
      <c r="C1286" s="277">
        <v>44649</v>
      </c>
      <c r="D1286" s="277">
        <v>44681</v>
      </c>
      <c r="E1286" s="270" t="s">
        <v>267</v>
      </c>
      <c r="F1286" s="133" t="s">
        <v>41</v>
      </c>
      <c r="G1286" s="270" t="s">
        <v>35</v>
      </c>
      <c r="H1286" s="270" t="s">
        <v>39</v>
      </c>
      <c r="I1286" s="273">
        <v>5</v>
      </c>
      <c r="J1286" s="270">
        <v>209</v>
      </c>
      <c r="K1286" s="270">
        <f t="shared" si="0"/>
        <v>1045</v>
      </c>
      <c r="L1286" s="270"/>
      <c r="M1286" s="270">
        <v>90</v>
      </c>
      <c r="N1286" s="274">
        <v>25</v>
      </c>
      <c r="O1286" s="55"/>
      <c r="P1286" s="45">
        <v>25</v>
      </c>
      <c r="Q1286" s="270"/>
      <c r="R1286" s="275">
        <v>0</v>
      </c>
      <c r="S1286" s="270"/>
      <c r="T1286" s="270">
        <v>115</v>
      </c>
      <c r="U1286" s="57">
        <v>1</v>
      </c>
      <c r="V1286" s="276">
        <v>0.23</v>
      </c>
      <c r="W1286" s="276">
        <v>0</v>
      </c>
      <c r="X1286" s="270">
        <v>89</v>
      </c>
      <c r="Y1286" s="270">
        <v>26</v>
      </c>
      <c r="Z1286" s="45" t="b">
        <v>1</v>
      </c>
      <c r="AA1286" s="45" t="s">
        <v>38</v>
      </c>
      <c r="AB1286" s="45" t="s">
        <v>38</v>
      </c>
    </row>
    <row r="1287" spans="1:28" x14ac:dyDescent="0.2">
      <c r="A1287" s="96" t="s">
        <v>145</v>
      </c>
      <c r="B1287" s="96" t="s">
        <v>145</v>
      </c>
      <c r="C1287" s="277">
        <v>44652</v>
      </c>
      <c r="D1287" s="277">
        <v>44681</v>
      </c>
      <c r="E1287" s="279" t="s">
        <v>267</v>
      </c>
      <c r="F1287" s="133" t="s">
        <v>49</v>
      </c>
      <c r="G1287" s="279" t="s">
        <v>35</v>
      </c>
      <c r="H1287" s="272" t="s">
        <v>85</v>
      </c>
      <c r="I1287" s="273">
        <v>50</v>
      </c>
      <c r="J1287" s="270">
        <v>1099</v>
      </c>
      <c r="K1287" s="270">
        <f t="shared" si="0"/>
        <v>54950</v>
      </c>
      <c r="L1287" s="270">
        <v>2882</v>
      </c>
      <c r="M1287" s="270">
        <v>-1400</v>
      </c>
      <c r="N1287" s="274">
        <v>2203</v>
      </c>
      <c r="O1287" s="55"/>
      <c r="P1287" s="105">
        <v>2203</v>
      </c>
      <c r="Q1287" s="270">
        <v>-3071</v>
      </c>
      <c r="R1287" s="275">
        <v>3.1799999999999998E-4</v>
      </c>
      <c r="S1287" s="270">
        <v>-3054</v>
      </c>
      <c r="T1287" s="270">
        <v>-851</v>
      </c>
      <c r="U1287" s="57">
        <v>1</v>
      </c>
      <c r="V1287" s="276">
        <v>0.12</v>
      </c>
      <c r="W1287" s="276">
        <v>0</v>
      </c>
      <c r="X1287" s="270">
        <v>-749</v>
      </c>
      <c r="Y1287" s="270">
        <v>-102</v>
      </c>
      <c r="Z1287" s="45" t="b">
        <v>1</v>
      </c>
      <c r="AA1287" s="45" t="s">
        <v>38</v>
      </c>
      <c r="AB1287" s="45" t="s">
        <v>38</v>
      </c>
    </row>
    <row r="1288" spans="1:28" x14ac:dyDescent="0.2">
      <c r="A1288" s="96" t="s">
        <v>145</v>
      </c>
      <c r="B1288" s="96" t="s">
        <v>145</v>
      </c>
      <c r="C1288" s="277">
        <v>44652</v>
      </c>
      <c r="D1288" s="277">
        <v>44681</v>
      </c>
      <c r="E1288" s="279" t="s">
        <v>267</v>
      </c>
      <c r="F1288" s="133" t="s">
        <v>49</v>
      </c>
      <c r="G1288" s="279" t="s">
        <v>35</v>
      </c>
      <c r="H1288" s="272" t="s">
        <v>70</v>
      </c>
      <c r="I1288" s="273">
        <v>100</v>
      </c>
      <c r="J1288" s="270">
        <v>419</v>
      </c>
      <c r="K1288" s="270">
        <f t="shared" si="0"/>
        <v>41900</v>
      </c>
      <c r="L1288" s="270">
        <v>2697</v>
      </c>
      <c r="M1288" s="270">
        <v>2900</v>
      </c>
      <c r="N1288" s="274">
        <v>1400</v>
      </c>
      <c r="O1288" s="55"/>
      <c r="P1288" s="105">
        <v>1400</v>
      </c>
      <c r="Q1288" s="270">
        <v>-1757</v>
      </c>
      <c r="R1288" s="275">
        <v>3.1300000000000002E-4</v>
      </c>
      <c r="S1288" s="270">
        <v>-1744</v>
      </c>
      <c r="T1288" s="270">
        <v>-344</v>
      </c>
      <c r="U1288" s="57">
        <v>1</v>
      </c>
      <c r="V1288" s="276">
        <v>0.12</v>
      </c>
      <c r="W1288" s="276">
        <v>0</v>
      </c>
      <c r="X1288" s="270">
        <v>-303</v>
      </c>
      <c r="Y1288" s="270">
        <v>-41</v>
      </c>
      <c r="Z1288" s="45" t="b">
        <v>1</v>
      </c>
      <c r="AA1288" s="45" t="s">
        <v>38</v>
      </c>
      <c r="AB1288" s="45" t="s">
        <v>38</v>
      </c>
    </row>
    <row r="1289" spans="1:28" x14ac:dyDescent="0.2">
      <c r="A1289" s="96" t="s">
        <v>145</v>
      </c>
      <c r="B1289" s="96" t="s">
        <v>145</v>
      </c>
      <c r="C1289" s="277">
        <v>44652</v>
      </c>
      <c r="D1289" s="277">
        <v>44681</v>
      </c>
      <c r="E1289" s="279" t="s">
        <v>267</v>
      </c>
      <c r="F1289" s="133" t="s">
        <v>49</v>
      </c>
      <c r="G1289" s="279" t="s">
        <v>35</v>
      </c>
      <c r="H1289" s="272" t="s">
        <v>84</v>
      </c>
      <c r="I1289" s="273">
        <v>100</v>
      </c>
      <c r="J1289" s="270">
        <v>4777</v>
      </c>
      <c r="K1289" s="270">
        <f t="shared" si="0"/>
        <v>477700</v>
      </c>
      <c r="L1289" s="270">
        <v>56885</v>
      </c>
      <c r="M1289" s="270">
        <v>1000</v>
      </c>
      <c r="N1289" s="274">
        <v>15972</v>
      </c>
      <c r="O1289" s="55"/>
      <c r="P1289" s="105">
        <v>15972</v>
      </c>
      <c r="Q1289" s="270">
        <v>-8026</v>
      </c>
      <c r="R1289" s="275">
        <v>3.2200000000000002E-4</v>
      </c>
      <c r="S1289" s="270">
        <v>-7872</v>
      </c>
      <c r="T1289" s="270">
        <v>8100</v>
      </c>
      <c r="U1289" s="57">
        <v>1</v>
      </c>
      <c r="V1289" s="276">
        <v>0.12</v>
      </c>
      <c r="W1289" s="276">
        <v>0</v>
      </c>
      <c r="X1289" s="270">
        <v>7128</v>
      </c>
      <c r="Y1289" s="270">
        <v>972</v>
      </c>
      <c r="Z1289" s="45" t="b">
        <v>1</v>
      </c>
      <c r="AA1289" s="45" t="s">
        <v>38</v>
      </c>
      <c r="AB1289" s="45" t="s">
        <v>38</v>
      </c>
    </row>
    <row r="1290" spans="1:28" x14ac:dyDescent="0.2">
      <c r="A1290" s="96" t="s">
        <v>145</v>
      </c>
      <c r="B1290" s="96" t="s">
        <v>145</v>
      </c>
      <c r="C1290" s="277">
        <v>44652</v>
      </c>
      <c r="D1290" s="277">
        <v>44681</v>
      </c>
      <c r="E1290" s="279" t="s">
        <v>267</v>
      </c>
      <c r="F1290" s="133" t="s">
        <v>49</v>
      </c>
      <c r="G1290" s="279" t="s">
        <v>35</v>
      </c>
      <c r="H1290" s="272" t="s">
        <v>148</v>
      </c>
      <c r="I1290" s="273">
        <v>250</v>
      </c>
      <c r="J1290" s="270">
        <v>691</v>
      </c>
      <c r="K1290" s="270">
        <f t="shared" si="0"/>
        <v>172750</v>
      </c>
      <c r="L1290" s="270">
        <v>6948</v>
      </c>
      <c r="M1290" s="270">
        <v>-7000</v>
      </c>
      <c r="N1290" s="274">
        <v>5798</v>
      </c>
      <c r="O1290" s="55"/>
      <c r="P1290" s="105">
        <v>5798</v>
      </c>
      <c r="Q1290" s="270">
        <v>-3474</v>
      </c>
      <c r="R1290" s="275">
        <v>3.1799999999999998E-4</v>
      </c>
      <c r="S1290" s="270">
        <v>-3419</v>
      </c>
      <c r="T1290" s="270">
        <v>2379</v>
      </c>
      <c r="U1290" s="57">
        <v>1</v>
      </c>
      <c r="V1290" s="276">
        <v>0.12</v>
      </c>
      <c r="W1290" s="276">
        <v>0</v>
      </c>
      <c r="X1290" s="270">
        <v>2094</v>
      </c>
      <c r="Y1290" s="270">
        <v>285</v>
      </c>
      <c r="Z1290" s="45" t="b">
        <v>1</v>
      </c>
      <c r="AA1290" s="45" t="s">
        <v>38</v>
      </c>
      <c r="AB1290" s="45" t="s">
        <v>38</v>
      </c>
    </row>
    <row r="1291" spans="1:28" x14ac:dyDescent="0.2">
      <c r="A1291" s="96" t="s">
        <v>145</v>
      </c>
      <c r="B1291" s="96" t="s">
        <v>145</v>
      </c>
      <c r="C1291" s="277">
        <v>44652</v>
      </c>
      <c r="D1291" s="277">
        <v>44681</v>
      </c>
      <c r="E1291" s="279" t="s">
        <v>267</v>
      </c>
      <c r="F1291" s="133" t="s">
        <v>49</v>
      </c>
      <c r="G1291" s="279" t="s">
        <v>35</v>
      </c>
      <c r="H1291" s="272" t="s">
        <v>88</v>
      </c>
      <c r="I1291" s="273">
        <v>250</v>
      </c>
      <c r="J1291" s="270">
        <v>485</v>
      </c>
      <c r="K1291" s="270">
        <f t="shared" si="0"/>
        <v>121250</v>
      </c>
      <c r="L1291" s="270">
        <v>-1422</v>
      </c>
      <c r="M1291" s="270">
        <v>-7750</v>
      </c>
      <c r="N1291" s="274">
        <v>4052</v>
      </c>
      <c r="O1291" s="55"/>
      <c r="P1291" s="105">
        <v>4052</v>
      </c>
      <c r="Q1291" s="270">
        <v>-6925</v>
      </c>
      <c r="R1291" s="275">
        <v>3.0899999999999998E-4</v>
      </c>
      <c r="S1291" s="270">
        <v>-6887</v>
      </c>
      <c r="T1291" s="270">
        <v>-2835</v>
      </c>
      <c r="U1291" s="57">
        <v>1</v>
      </c>
      <c r="V1291" s="276">
        <v>0.12</v>
      </c>
      <c r="W1291" s="276">
        <v>0</v>
      </c>
      <c r="X1291" s="270">
        <v>-2495</v>
      </c>
      <c r="Y1291" s="270">
        <v>-340</v>
      </c>
      <c r="Z1291" s="45" t="b">
        <v>1</v>
      </c>
      <c r="AA1291" s="45" t="s">
        <v>38</v>
      </c>
      <c r="AB1291" s="45" t="s">
        <v>38</v>
      </c>
    </row>
    <row r="1292" spans="1:28" x14ac:dyDescent="0.2">
      <c r="A1292" s="279" t="s">
        <v>155</v>
      </c>
      <c r="B1292" s="279" t="s">
        <v>155</v>
      </c>
      <c r="C1292" s="282">
        <v>44662</v>
      </c>
      <c r="D1292" s="282">
        <v>44681</v>
      </c>
      <c r="E1292" s="279" t="s">
        <v>267</v>
      </c>
      <c r="F1292" s="133" t="s">
        <v>49</v>
      </c>
      <c r="G1292" s="279" t="s">
        <v>69</v>
      </c>
      <c r="H1292" s="289" t="s">
        <v>40</v>
      </c>
      <c r="I1292" s="45">
        <v>10</v>
      </c>
      <c r="J1292" s="96">
        <v>2906</v>
      </c>
      <c r="K1292" s="270">
        <f t="shared" si="0"/>
        <v>29060</v>
      </c>
      <c r="L1292" s="270">
        <v>128322</v>
      </c>
      <c r="M1292" s="270">
        <v>-760</v>
      </c>
      <c r="N1292" s="281">
        <v>1100</v>
      </c>
      <c r="O1292" s="55"/>
      <c r="P1292" s="105">
        <v>1100</v>
      </c>
      <c r="Q1292" s="270">
        <v>539</v>
      </c>
      <c r="R1292" s="275">
        <v>-1.4090000000000001E-3</v>
      </c>
      <c r="S1292" s="270">
        <v>498</v>
      </c>
      <c r="T1292" s="270">
        <v>1598</v>
      </c>
      <c r="U1292" s="57">
        <v>1</v>
      </c>
      <c r="V1292" s="276">
        <v>0.17</v>
      </c>
      <c r="W1292" s="276">
        <v>0</v>
      </c>
      <c r="X1292" s="270">
        <v>1326</v>
      </c>
      <c r="Y1292" s="270">
        <v>272</v>
      </c>
      <c r="Z1292" s="45" t="b">
        <v>1</v>
      </c>
      <c r="AA1292" s="45" t="s">
        <v>38</v>
      </c>
      <c r="AB1292" s="45" t="s">
        <v>38</v>
      </c>
    </row>
    <row r="1293" spans="1:28" x14ac:dyDescent="0.2">
      <c r="A1293" s="279" t="s">
        <v>447</v>
      </c>
      <c r="B1293" s="279" t="s">
        <v>66</v>
      </c>
      <c r="C1293" s="282">
        <v>44652</v>
      </c>
      <c r="D1293" s="282">
        <v>44681</v>
      </c>
      <c r="E1293" s="279" t="s">
        <v>300</v>
      </c>
      <c r="F1293" s="133" t="s">
        <v>49</v>
      </c>
      <c r="G1293" s="279" t="s">
        <v>61</v>
      </c>
      <c r="H1293" s="289" t="s">
        <v>135</v>
      </c>
      <c r="I1293" s="280">
        <v>250</v>
      </c>
      <c r="J1293" s="279">
        <v>797</v>
      </c>
      <c r="K1293" s="270">
        <f t="shared" si="0"/>
        <v>199250</v>
      </c>
      <c r="L1293" s="279">
        <v>26605</v>
      </c>
      <c r="M1293" s="279">
        <v>18250</v>
      </c>
      <c r="N1293" s="281">
        <v>12321.56</v>
      </c>
      <c r="O1293" s="55"/>
      <c r="P1293" s="105">
        <v>12322</v>
      </c>
      <c r="Q1293" s="279">
        <v>-3324</v>
      </c>
      <c r="R1293" s="275">
        <v>3.2299999999999999E-4</v>
      </c>
      <c r="S1293" s="279">
        <v>-3260</v>
      </c>
      <c r="T1293" s="279">
        <v>9062</v>
      </c>
      <c r="U1293" s="57">
        <v>1</v>
      </c>
      <c r="V1293" s="276">
        <v>0.1875</v>
      </c>
      <c r="W1293" s="276">
        <v>6.25E-2</v>
      </c>
      <c r="X1293" s="279">
        <v>6796</v>
      </c>
      <c r="Y1293" s="279">
        <v>2265</v>
      </c>
      <c r="Z1293" s="45" t="b">
        <v>1</v>
      </c>
      <c r="AA1293" s="45" t="s">
        <v>50</v>
      </c>
      <c r="AB1293" s="45" t="s">
        <v>50</v>
      </c>
    </row>
    <row r="1294" spans="1:28" x14ac:dyDescent="0.2">
      <c r="A1294" s="279" t="s">
        <v>447</v>
      </c>
      <c r="B1294" s="279" t="s">
        <v>66</v>
      </c>
      <c r="C1294" s="282">
        <v>44652</v>
      </c>
      <c r="D1294" s="282">
        <v>44681</v>
      </c>
      <c r="E1294" s="279" t="s">
        <v>300</v>
      </c>
      <c r="F1294" s="133" t="s">
        <v>49</v>
      </c>
      <c r="G1294" s="279" t="s">
        <v>61</v>
      </c>
      <c r="H1294" s="289" t="s">
        <v>59</v>
      </c>
      <c r="I1294" s="280">
        <v>100</v>
      </c>
      <c r="J1294" s="279">
        <v>1248</v>
      </c>
      <c r="K1294" s="270">
        <f t="shared" si="0"/>
        <v>124800</v>
      </c>
      <c r="L1294" s="279">
        <v>79179</v>
      </c>
      <c r="M1294" s="279">
        <v>4000</v>
      </c>
      <c r="N1294" s="281">
        <v>553.44000000000005</v>
      </c>
      <c r="O1294" s="55"/>
      <c r="P1294" s="45">
        <v>553</v>
      </c>
      <c r="Q1294" s="279">
        <v>3294</v>
      </c>
      <c r="R1294" s="275">
        <v>3.3500000000000001E-4</v>
      </c>
      <c r="S1294" s="279">
        <v>3336</v>
      </c>
      <c r="T1294" s="279">
        <v>3889</v>
      </c>
      <c r="U1294" s="57">
        <v>1</v>
      </c>
      <c r="V1294" s="276">
        <v>0.1875</v>
      </c>
      <c r="W1294" s="276">
        <v>6.25E-2</v>
      </c>
      <c r="X1294" s="279">
        <v>2917</v>
      </c>
      <c r="Y1294" s="279">
        <v>972</v>
      </c>
      <c r="Z1294" s="45" t="b">
        <v>1</v>
      </c>
      <c r="AA1294" s="45" t="s">
        <v>50</v>
      </c>
      <c r="AB1294" s="45" t="s">
        <v>50</v>
      </c>
    </row>
    <row r="1295" spans="1:28" x14ac:dyDescent="0.2">
      <c r="A1295" s="96" t="s">
        <v>152</v>
      </c>
      <c r="B1295" s="96" t="s">
        <v>152</v>
      </c>
      <c r="C1295" s="277">
        <v>44652</v>
      </c>
      <c r="D1295" s="277">
        <v>44681</v>
      </c>
      <c r="E1295" s="270" t="s">
        <v>267</v>
      </c>
      <c r="F1295" s="96" t="s">
        <v>49</v>
      </c>
      <c r="G1295" s="270" t="s">
        <v>80</v>
      </c>
      <c r="H1295" s="110" t="s">
        <v>70</v>
      </c>
      <c r="I1295" s="273">
        <v>100</v>
      </c>
      <c r="J1295" s="270">
        <v>14189</v>
      </c>
      <c r="K1295" s="270">
        <f t="shared" si="0"/>
        <v>1418900</v>
      </c>
      <c r="L1295" s="270">
        <v>159427</v>
      </c>
      <c r="M1295" s="270">
        <v>-70000</v>
      </c>
      <c r="N1295" s="274">
        <v>73253.61</v>
      </c>
      <c r="O1295" s="55"/>
      <c r="P1295" s="105">
        <v>73254</v>
      </c>
      <c r="Q1295" s="270">
        <v>-59966</v>
      </c>
      <c r="R1295" s="275">
        <v>1.2400000000000001E-4</v>
      </c>
      <c r="S1295" s="270">
        <v>-59790</v>
      </c>
      <c r="T1295" s="270">
        <v>13464</v>
      </c>
      <c r="U1295" s="57">
        <v>1</v>
      </c>
      <c r="V1295" s="276">
        <v>0.15</v>
      </c>
      <c r="W1295" s="276">
        <v>0</v>
      </c>
      <c r="X1295" s="270">
        <v>11444</v>
      </c>
      <c r="Y1295" s="270">
        <v>2020</v>
      </c>
      <c r="Z1295" s="45" t="b">
        <v>1</v>
      </c>
      <c r="AA1295" s="45" t="s">
        <v>38</v>
      </c>
      <c r="AB1295" s="45" t="s">
        <v>38</v>
      </c>
    </row>
    <row r="1296" spans="1:28" x14ac:dyDescent="0.2">
      <c r="A1296" s="96" t="s">
        <v>152</v>
      </c>
      <c r="B1296" s="96" t="s">
        <v>152</v>
      </c>
      <c r="C1296" s="277">
        <v>44652</v>
      </c>
      <c r="D1296" s="277">
        <v>44681</v>
      </c>
      <c r="E1296" s="270" t="s">
        <v>267</v>
      </c>
      <c r="F1296" s="96" t="s">
        <v>41</v>
      </c>
      <c r="G1296" s="270" t="s">
        <v>80</v>
      </c>
      <c r="H1296" s="110" t="s">
        <v>153</v>
      </c>
      <c r="I1296" s="273">
        <v>200</v>
      </c>
      <c r="J1296" s="270">
        <v>1129</v>
      </c>
      <c r="K1296" s="270">
        <f t="shared" si="0"/>
        <v>225800</v>
      </c>
      <c r="L1296" s="270">
        <v>-141</v>
      </c>
      <c r="M1296" s="270">
        <v>-26400</v>
      </c>
      <c r="N1296" s="274">
        <v>11657.39</v>
      </c>
      <c r="O1296" s="55"/>
      <c r="P1296" s="105">
        <v>11657</v>
      </c>
      <c r="Q1296" s="270">
        <v>-16640</v>
      </c>
      <c r="R1296" s="275">
        <v>0</v>
      </c>
      <c r="S1296" s="270">
        <v>-16640</v>
      </c>
      <c r="T1296" s="270">
        <v>-14743</v>
      </c>
      <c r="U1296" s="57">
        <v>1</v>
      </c>
      <c r="V1296" s="276">
        <v>0.15</v>
      </c>
      <c r="W1296" s="276">
        <v>0</v>
      </c>
      <c r="X1296" s="270">
        <v>-12531</v>
      </c>
      <c r="Y1296" s="270">
        <v>-2211</v>
      </c>
      <c r="Z1296" s="45" t="b">
        <v>1</v>
      </c>
      <c r="AA1296" s="45" t="s">
        <v>38</v>
      </c>
      <c r="AB1296" s="45" t="s">
        <v>38</v>
      </c>
    </row>
    <row r="1297" spans="1:28" x14ac:dyDescent="0.2">
      <c r="A1297" s="279" t="s">
        <v>456</v>
      </c>
      <c r="B1297" s="279" t="s">
        <v>110</v>
      </c>
      <c r="C1297" s="282">
        <v>44652</v>
      </c>
      <c r="D1297" s="282">
        <v>44681</v>
      </c>
      <c r="E1297" s="279" t="s">
        <v>267</v>
      </c>
      <c r="F1297" s="133" t="s">
        <v>49</v>
      </c>
      <c r="G1297" s="279" t="s">
        <v>61</v>
      </c>
      <c r="H1297" s="272" t="s">
        <v>64</v>
      </c>
      <c r="I1297" s="280">
        <v>10</v>
      </c>
      <c r="J1297" s="279">
        <v>133</v>
      </c>
      <c r="K1297" s="270">
        <f t="shared" si="0"/>
        <v>1330</v>
      </c>
      <c r="L1297" s="279">
        <v>7749</v>
      </c>
      <c r="M1297" s="279">
        <v>-170</v>
      </c>
      <c r="N1297" s="281">
        <v>370.38</v>
      </c>
      <c r="O1297" s="55"/>
      <c r="P1297" s="45">
        <v>370</v>
      </c>
      <c r="Q1297" s="279">
        <v>20</v>
      </c>
      <c r="R1297" s="275">
        <v>5.6599999999999999E-4</v>
      </c>
      <c r="S1297" s="279">
        <v>21</v>
      </c>
      <c r="T1297" s="279">
        <v>391</v>
      </c>
      <c r="U1297" s="57">
        <v>1</v>
      </c>
      <c r="V1297" s="276">
        <v>0.25</v>
      </c>
      <c r="W1297" s="276">
        <v>0</v>
      </c>
      <c r="X1297" s="279">
        <v>294</v>
      </c>
      <c r="Y1297" s="279">
        <v>98</v>
      </c>
      <c r="Z1297" s="45" t="b">
        <v>1</v>
      </c>
      <c r="AA1297" s="45" t="s">
        <v>50</v>
      </c>
      <c r="AB1297" s="45" t="s">
        <v>50</v>
      </c>
    </row>
    <row r="1298" spans="1:28" x14ac:dyDescent="0.2">
      <c r="A1298" s="279" t="s">
        <v>456</v>
      </c>
      <c r="B1298" s="279" t="s">
        <v>110</v>
      </c>
      <c r="C1298" s="282">
        <v>44652</v>
      </c>
      <c r="D1298" s="282">
        <v>44681</v>
      </c>
      <c r="E1298" s="279" t="s">
        <v>267</v>
      </c>
      <c r="F1298" s="133" t="s">
        <v>49</v>
      </c>
      <c r="G1298" s="279" t="s">
        <v>61</v>
      </c>
      <c r="H1298" s="272" t="s">
        <v>65</v>
      </c>
      <c r="I1298" s="280">
        <v>25</v>
      </c>
      <c r="J1298" s="279">
        <v>805</v>
      </c>
      <c r="K1298" s="270">
        <f t="shared" si="0"/>
        <v>20125</v>
      </c>
      <c r="L1298" s="279">
        <v>57825</v>
      </c>
      <c r="M1298" s="279">
        <v>-1550</v>
      </c>
      <c r="N1298" s="281">
        <v>64.62</v>
      </c>
      <c r="O1298" s="55"/>
      <c r="P1298" s="45">
        <v>65</v>
      </c>
      <c r="Q1298" s="279">
        <v>800</v>
      </c>
      <c r="R1298" s="275">
        <v>3.21E-4</v>
      </c>
      <c r="S1298" s="279">
        <v>806</v>
      </c>
      <c r="T1298" s="279">
        <v>871</v>
      </c>
      <c r="U1298" s="57">
        <v>1</v>
      </c>
      <c r="V1298" s="276">
        <v>0.25</v>
      </c>
      <c r="W1298" s="276">
        <v>0</v>
      </c>
      <c r="X1298" s="279">
        <v>653</v>
      </c>
      <c r="Y1298" s="279">
        <v>218</v>
      </c>
      <c r="Z1298" s="45" t="b">
        <v>1</v>
      </c>
      <c r="AA1298" s="45" t="s">
        <v>50</v>
      </c>
      <c r="AB1298" s="45" t="s">
        <v>50</v>
      </c>
    </row>
    <row r="1299" spans="1:28" x14ac:dyDescent="0.2">
      <c r="A1299" s="96" t="s">
        <v>175</v>
      </c>
      <c r="B1299" s="96" t="s">
        <v>175</v>
      </c>
      <c r="C1299" s="277">
        <v>44652</v>
      </c>
      <c r="D1299" s="277">
        <v>44681</v>
      </c>
      <c r="E1299" s="279" t="s">
        <v>267</v>
      </c>
      <c r="F1299" s="133" t="s">
        <v>49</v>
      </c>
      <c r="G1299" s="270" t="s">
        <v>35</v>
      </c>
      <c r="H1299" s="272" t="s">
        <v>115</v>
      </c>
      <c r="I1299" s="273">
        <v>10</v>
      </c>
      <c r="J1299" s="270">
        <v>2</v>
      </c>
      <c r="K1299" s="270">
        <f t="shared" si="0"/>
        <v>20</v>
      </c>
      <c r="L1299" s="270">
        <v>-204</v>
      </c>
      <c r="M1299" s="270">
        <v>-20</v>
      </c>
      <c r="N1299" s="274"/>
      <c r="O1299" s="55"/>
      <c r="P1299" s="96"/>
      <c r="Q1299" s="270">
        <v>-8</v>
      </c>
      <c r="R1299" s="275">
        <v>-1.4168999999999999E-2</v>
      </c>
      <c r="S1299" s="270">
        <v>-8</v>
      </c>
      <c r="T1299" s="270">
        <v>-8</v>
      </c>
      <c r="U1299" s="57">
        <v>1</v>
      </c>
      <c r="V1299" s="276">
        <v>0.25</v>
      </c>
      <c r="W1299" s="276">
        <v>0</v>
      </c>
      <c r="X1299" s="270">
        <v>-6</v>
      </c>
      <c r="Y1299" s="270">
        <v>-2</v>
      </c>
      <c r="Z1299" s="45" t="b">
        <v>1</v>
      </c>
      <c r="AA1299" s="45" t="s">
        <v>38</v>
      </c>
      <c r="AB1299" s="45" t="s">
        <v>38</v>
      </c>
    </row>
    <row r="1300" spans="1:28" x14ac:dyDescent="0.2">
      <c r="A1300" s="96" t="s">
        <v>175</v>
      </c>
      <c r="B1300" s="96" t="s">
        <v>175</v>
      </c>
      <c r="C1300" s="277">
        <v>44652</v>
      </c>
      <c r="D1300" s="277">
        <v>44681</v>
      </c>
      <c r="E1300" s="279" t="s">
        <v>267</v>
      </c>
      <c r="F1300" s="133" t="s">
        <v>49</v>
      </c>
      <c r="G1300" s="270" t="s">
        <v>35</v>
      </c>
      <c r="H1300" s="272" t="s">
        <v>46</v>
      </c>
      <c r="I1300" s="273">
        <v>25</v>
      </c>
      <c r="J1300" s="270">
        <v>390</v>
      </c>
      <c r="K1300" s="270">
        <f t="shared" si="0"/>
        <v>9750</v>
      </c>
      <c r="L1300" s="270">
        <v>10022</v>
      </c>
      <c r="M1300" s="270">
        <v>-1025</v>
      </c>
      <c r="N1300" s="274">
        <v>364</v>
      </c>
      <c r="O1300" s="55"/>
      <c r="P1300" s="45">
        <v>364</v>
      </c>
      <c r="Q1300" s="270">
        <v>-159</v>
      </c>
      <c r="R1300" s="275">
        <v>3.4900000000000003E-4</v>
      </c>
      <c r="S1300" s="270">
        <v>-156</v>
      </c>
      <c r="T1300" s="270">
        <v>208</v>
      </c>
      <c r="U1300" s="57">
        <v>1</v>
      </c>
      <c r="V1300" s="276">
        <v>0.25</v>
      </c>
      <c r="W1300" s="276">
        <v>0</v>
      </c>
      <c r="X1300" s="270">
        <v>156</v>
      </c>
      <c r="Y1300" s="270">
        <v>52</v>
      </c>
      <c r="Z1300" s="45" t="b">
        <v>1</v>
      </c>
      <c r="AA1300" s="45" t="s">
        <v>38</v>
      </c>
      <c r="AB1300" s="45" t="s">
        <v>38</v>
      </c>
    </row>
    <row r="1301" spans="1:28" x14ac:dyDescent="0.2">
      <c r="A1301" s="96" t="s">
        <v>175</v>
      </c>
      <c r="B1301" s="96" t="s">
        <v>175</v>
      </c>
      <c r="C1301" s="277">
        <v>44652</v>
      </c>
      <c r="D1301" s="277">
        <v>44681</v>
      </c>
      <c r="E1301" s="279" t="s">
        <v>267</v>
      </c>
      <c r="F1301" s="133" t="s">
        <v>49</v>
      </c>
      <c r="G1301" s="270" t="s">
        <v>35</v>
      </c>
      <c r="H1301" s="272" t="s">
        <v>87</v>
      </c>
      <c r="I1301" s="273">
        <v>25</v>
      </c>
      <c r="J1301" s="270">
        <v>1</v>
      </c>
      <c r="K1301" s="270">
        <f t="shared" si="0"/>
        <v>25</v>
      </c>
      <c r="L1301" s="270">
        <v>-8</v>
      </c>
      <c r="M1301" s="270">
        <v>-25</v>
      </c>
      <c r="N1301" s="274"/>
      <c r="O1301" s="55"/>
      <c r="P1301" s="96"/>
      <c r="Q1301" s="270">
        <v>-2</v>
      </c>
      <c r="R1301" s="275">
        <v>8.7240000000000009E-3</v>
      </c>
      <c r="S1301" s="270">
        <v>-2</v>
      </c>
      <c r="T1301" s="270">
        <v>-2</v>
      </c>
      <c r="U1301" s="57">
        <v>1</v>
      </c>
      <c r="V1301" s="276">
        <v>0.25</v>
      </c>
      <c r="W1301" s="276">
        <v>0</v>
      </c>
      <c r="X1301" s="270">
        <v>-2</v>
      </c>
      <c r="Y1301" s="270">
        <v>-1</v>
      </c>
      <c r="Z1301" s="45" t="b">
        <v>1</v>
      </c>
      <c r="AA1301" s="45" t="s">
        <v>38</v>
      </c>
      <c r="AB1301" s="45" t="s">
        <v>38</v>
      </c>
    </row>
    <row r="1302" spans="1:28" x14ac:dyDescent="0.2">
      <c r="A1302" s="96" t="s">
        <v>175</v>
      </c>
      <c r="B1302" s="96" t="s">
        <v>175</v>
      </c>
      <c r="C1302" s="277">
        <v>44652</v>
      </c>
      <c r="D1302" s="277">
        <v>44681</v>
      </c>
      <c r="E1302" s="279" t="s">
        <v>267</v>
      </c>
      <c r="F1302" s="133" t="s">
        <v>49</v>
      </c>
      <c r="G1302" s="270" t="s">
        <v>35</v>
      </c>
      <c r="H1302" s="272" t="s">
        <v>85</v>
      </c>
      <c r="I1302" s="273">
        <v>50</v>
      </c>
      <c r="J1302" s="270">
        <v>326</v>
      </c>
      <c r="K1302" s="270">
        <f t="shared" si="0"/>
        <v>16300</v>
      </c>
      <c r="L1302" s="270">
        <v>116</v>
      </c>
      <c r="M1302" s="270">
        <v>-100</v>
      </c>
      <c r="N1302" s="274">
        <v>609</v>
      </c>
      <c r="O1302" s="55"/>
      <c r="P1302" s="45">
        <v>609</v>
      </c>
      <c r="Q1302" s="270">
        <v>-1025</v>
      </c>
      <c r="R1302" s="275">
        <v>3.2400000000000001E-4</v>
      </c>
      <c r="S1302" s="270">
        <v>-1020</v>
      </c>
      <c r="T1302" s="270">
        <v>-411</v>
      </c>
      <c r="U1302" s="57">
        <v>1</v>
      </c>
      <c r="V1302" s="276">
        <v>0.25</v>
      </c>
      <c r="W1302" s="276">
        <v>0</v>
      </c>
      <c r="X1302" s="270">
        <v>-308</v>
      </c>
      <c r="Y1302" s="270">
        <v>-103</v>
      </c>
      <c r="Z1302" s="45" t="b">
        <v>1</v>
      </c>
      <c r="AA1302" s="45" t="s">
        <v>38</v>
      </c>
      <c r="AB1302" s="45" t="s">
        <v>38</v>
      </c>
    </row>
    <row r="1303" spans="1:28" x14ac:dyDescent="0.2">
      <c r="A1303" s="96" t="s">
        <v>175</v>
      </c>
      <c r="B1303" s="96" t="s">
        <v>175</v>
      </c>
      <c r="C1303" s="277">
        <v>44652</v>
      </c>
      <c r="D1303" s="277">
        <v>44681</v>
      </c>
      <c r="E1303" s="279" t="s">
        <v>267</v>
      </c>
      <c r="F1303" s="133" t="s">
        <v>49</v>
      </c>
      <c r="G1303" s="270" t="s">
        <v>35</v>
      </c>
      <c r="H1303" s="272" t="s">
        <v>72</v>
      </c>
      <c r="I1303" s="273">
        <v>50</v>
      </c>
      <c r="J1303" s="270">
        <v>978</v>
      </c>
      <c r="K1303" s="270">
        <f t="shared" si="0"/>
        <v>48900</v>
      </c>
      <c r="L1303" s="270">
        <v>27373</v>
      </c>
      <c r="M1303" s="270">
        <v>-2350</v>
      </c>
      <c r="N1303" s="274">
        <v>1827</v>
      </c>
      <c r="O1303" s="55"/>
      <c r="P1303" s="105">
        <v>1827</v>
      </c>
      <c r="Q1303" s="270">
        <v>-592</v>
      </c>
      <c r="R1303" s="275">
        <v>3.21E-4</v>
      </c>
      <c r="S1303" s="270">
        <v>-576</v>
      </c>
      <c r="T1303" s="270">
        <v>1251</v>
      </c>
      <c r="U1303" s="57">
        <v>1</v>
      </c>
      <c r="V1303" s="276">
        <v>0.25</v>
      </c>
      <c r="W1303" s="276">
        <v>0</v>
      </c>
      <c r="X1303" s="270">
        <v>938</v>
      </c>
      <c r="Y1303" s="270">
        <v>313</v>
      </c>
      <c r="Z1303" s="45" t="b">
        <v>1</v>
      </c>
      <c r="AA1303" s="45" t="s">
        <v>38</v>
      </c>
      <c r="AB1303" s="45" t="s">
        <v>38</v>
      </c>
    </row>
    <row r="1304" spans="1:28" x14ac:dyDescent="0.2">
      <c r="A1304" s="279" t="s">
        <v>144</v>
      </c>
      <c r="B1304" s="279" t="s">
        <v>144</v>
      </c>
      <c r="C1304" s="287">
        <v>44652</v>
      </c>
      <c r="D1304" s="287">
        <v>44681</v>
      </c>
      <c r="E1304" s="270" t="s">
        <v>267</v>
      </c>
      <c r="F1304" s="96" t="s">
        <v>41</v>
      </c>
      <c r="G1304" s="270" t="s">
        <v>53</v>
      </c>
      <c r="H1304" s="272" t="s">
        <v>54</v>
      </c>
      <c r="I1304" s="273">
        <v>5</v>
      </c>
      <c r="J1304" s="270">
        <v>12</v>
      </c>
      <c r="K1304" s="270">
        <f t="shared" si="0"/>
        <v>60</v>
      </c>
      <c r="L1304" s="270">
        <v>244</v>
      </c>
      <c r="M1304" s="270">
        <v>-3.08</v>
      </c>
      <c r="N1304" s="274"/>
      <c r="O1304" s="55">
        <v>0.5</v>
      </c>
      <c r="P1304" s="45">
        <v>2</v>
      </c>
      <c r="Q1304" s="270">
        <v>-2</v>
      </c>
      <c r="R1304" s="275">
        <v>0</v>
      </c>
      <c r="S1304" s="270">
        <v>-2</v>
      </c>
      <c r="T1304" s="270">
        <v>-1</v>
      </c>
      <c r="U1304" s="57">
        <v>1.083</v>
      </c>
      <c r="V1304" s="276">
        <v>0.17</v>
      </c>
      <c r="W1304" s="276">
        <v>0</v>
      </c>
      <c r="X1304" s="270">
        <v>-1</v>
      </c>
      <c r="Y1304" s="270">
        <v>0</v>
      </c>
      <c r="Z1304" s="45" t="b">
        <v>1</v>
      </c>
      <c r="AA1304" s="45" t="s">
        <v>38</v>
      </c>
      <c r="AB1304" s="45" t="s">
        <v>50</v>
      </c>
    </row>
    <row r="1305" spans="1:28" x14ac:dyDescent="0.2">
      <c r="A1305" s="279" t="s">
        <v>144</v>
      </c>
      <c r="B1305" s="279" t="s">
        <v>144</v>
      </c>
      <c r="C1305" s="287">
        <v>44652</v>
      </c>
      <c r="D1305" s="287">
        <v>44681</v>
      </c>
      <c r="E1305" s="270" t="s">
        <v>267</v>
      </c>
      <c r="F1305" s="96" t="s">
        <v>41</v>
      </c>
      <c r="G1305" s="270" t="s">
        <v>53</v>
      </c>
      <c r="H1305" s="272" t="s">
        <v>55</v>
      </c>
      <c r="I1305" s="273">
        <v>10</v>
      </c>
      <c r="J1305" s="270">
        <v>1702</v>
      </c>
      <c r="K1305" s="270">
        <f t="shared" si="0"/>
        <v>17020</v>
      </c>
      <c r="L1305" s="270">
        <v>99431</v>
      </c>
      <c r="M1305" s="270">
        <v>-873.92</v>
      </c>
      <c r="N1305" s="274"/>
      <c r="O1305" s="55">
        <v>0.5</v>
      </c>
      <c r="P1305" s="45">
        <v>596</v>
      </c>
      <c r="Q1305" s="270">
        <v>531</v>
      </c>
      <c r="R1305" s="275">
        <v>0</v>
      </c>
      <c r="S1305" s="270">
        <v>531</v>
      </c>
      <c r="T1305" s="270">
        <v>-278</v>
      </c>
      <c r="U1305" s="57">
        <v>1.083</v>
      </c>
      <c r="V1305" s="276">
        <v>0.17</v>
      </c>
      <c r="W1305" s="276">
        <v>0</v>
      </c>
      <c r="X1305" s="270">
        <v>-250</v>
      </c>
      <c r="Y1305" s="270">
        <v>-51</v>
      </c>
      <c r="Z1305" s="45" t="b">
        <v>1</v>
      </c>
      <c r="AA1305" s="45" t="s">
        <v>38</v>
      </c>
      <c r="AB1305" s="45" t="s">
        <v>50</v>
      </c>
    </row>
    <row r="1306" spans="1:28" x14ac:dyDescent="0.2">
      <c r="A1306" s="96" t="s">
        <v>561</v>
      </c>
      <c r="B1306" s="96" t="s">
        <v>79</v>
      </c>
      <c r="C1306" s="277">
        <v>44657</v>
      </c>
      <c r="D1306" s="277">
        <v>44681</v>
      </c>
      <c r="E1306" s="270" t="s">
        <v>267</v>
      </c>
      <c r="F1306" s="96" t="s">
        <v>41</v>
      </c>
      <c r="G1306" s="270" t="s">
        <v>80</v>
      </c>
      <c r="H1306" s="272" t="s">
        <v>40</v>
      </c>
      <c r="I1306" s="273">
        <v>10</v>
      </c>
      <c r="J1306" s="270">
        <v>6439</v>
      </c>
      <c r="K1306" s="270">
        <f t="shared" si="0"/>
        <v>64390</v>
      </c>
      <c r="L1306" s="270">
        <v>75577</v>
      </c>
      <c r="M1306" s="270">
        <v>-1393</v>
      </c>
      <c r="N1306" s="274">
        <f>1664+480</f>
        <v>2144</v>
      </c>
      <c r="O1306" s="55"/>
      <c r="P1306" s="105">
        <v>2144</v>
      </c>
      <c r="Q1306" s="270">
        <v>-2548</v>
      </c>
      <c r="R1306" s="275">
        <v>0</v>
      </c>
      <c r="S1306" s="270">
        <v>-2548</v>
      </c>
      <c r="T1306" s="270">
        <v>751</v>
      </c>
      <c r="U1306" s="57">
        <v>1</v>
      </c>
      <c r="V1306" s="276">
        <v>0.3</v>
      </c>
      <c r="W1306" s="276">
        <v>0</v>
      </c>
      <c r="X1306" s="270">
        <v>526</v>
      </c>
      <c r="Y1306" s="270">
        <v>225</v>
      </c>
      <c r="Z1306" s="45" t="b">
        <v>1</v>
      </c>
      <c r="AA1306" s="45" t="s">
        <v>38</v>
      </c>
      <c r="AB1306" s="45" t="s">
        <v>38</v>
      </c>
    </row>
    <row r="1307" spans="1:28" x14ac:dyDescent="0.2">
      <c r="A1307" s="279" t="s">
        <v>98</v>
      </c>
      <c r="B1307" s="279" t="s">
        <v>99</v>
      </c>
      <c r="C1307" s="282">
        <v>44652</v>
      </c>
      <c r="D1307" s="282">
        <v>44681</v>
      </c>
      <c r="E1307" s="279" t="s">
        <v>267</v>
      </c>
      <c r="F1307" s="133" t="s">
        <v>41</v>
      </c>
      <c r="G1307" s="279" t="s">
        <v>61</v>
      </c>
      <c r="H1307" s="289" t="s">
        <v>203</v>
      </c>
      <c r="I1307" s="280">
        <v>10</v>
      </c>
      <c r="J1307" s="279">
        <v>2</v>
      </c>
      <c r="K1307" s="270">
        <f t="shared" si="0"/>
        <v>20</v>
      </c>
      <c r="L1307" s="279">
        <v>49</v>
      </c>
      <c r="M1307" s="279">
        <v>30</v>
      </c>
      <c r="N1307" s="281">
        <v>82.92</v>
      </c>
      <c r="O1307" s="55"/>
      <c r="P1307" s="45">
        <v>83</v>
      </c>
      <c r="Q1307" s="279">
        <v>0</v>
      </c>
      <c r="R1307" s="275">
        <v>0</v>
      </c>
      <c r="S1307" s="279">
        <v>0</v>
      </c>
      <c r="T1307" s="279">
        <v>113</v>
      </c>
      <c r="U1307" s="57">
        <v>1.0549999999999999</v>
      </c>
      <c r="V1307" s="276">
        <v>0.25</v>
      </c>
      <c r="W1307" s="276">
        <v>0</v>
      </c>
      <c r="X1307" s="279">
        <v>89</v>
      </c>
      <c r="Y1307" s="279">
        <v>30</v>
      </c>
      <c r="Z1307" s="45" t="b">
        <v>1</v>
      </c>
      <c r="AA1307" s="45" t="s">
        <v>38</v>
      </c>
      <c r="AB1307" s="45" t="s">
        <v>50</v>
      </c>
    </row>
    <row r="1308" spans="1:28" x14ac:dyDescent="0.2">
      <c r="A1308" s="279" t="s">
        <v>98</v>
      </c>
      <c r="B1308" s="279" t="s">
        <v>99</v>
      </c>
      <c r="C1308" s="282">
        <v>44652</v>
      </c>
      <c r="D1308" s="282">
        <v>44681</v>
      </c>
      <c r="E1308" s="279" t="s">
        <v>267</v>
      </c>
      <c r="F1308" s="133" t="s">
        <v>41</v>
      </c>
      <c r="G1308" s="279" t="s">
        <v>61</v>
      </c>
      <c r="H1308" s="289" t="s">
        <v>139</v>
      </c>
      <c r="I1308" s="280">
        <v>25</v>
      </c>
      <c r="J1308" s="279">
        <v>687</v>
      </c>
      <c r="K1308" s="270">
        <f t="shared" si="0"/>
        <v>17175</v>
      </c>
      <c r="L1308" s="279">
        <v>16976</v>
      </c>
      <c r="M1308" s="279">
        <v>-1350</v>
      </c>
      <c r="N1308" s="281">
        <v>817.08</v>
      </c>
      <c r="O1308" s="55"/>
      <c r="P1308" s="45">
        <v>817</v>
      </c>
      <c r="Q1308" s="279">
        <v>-268</v>
      </c>
      <c r="R1308" s="275">
        <v>0</v>
      </c>
      <c r="S1308" s="279">
        <v>-268</v>
      </c>
      <c r="T1308" s="279">
        <v>-533</v>
      </c>
      <c r="U1308" s="57">
        <v>1.0549999999999999</v>
      </c>
      <c r="V1308" s="276">
        <v>0.25</v>
      </c>
      <c r="W1308" s="276">
        <v>0</v>
      </c>
      <c r="X1308" s="279">
        <v>-422</v>
      </c>
      <c r="Y1308" s="279">
        <v>-141</v>
      </c>
      <c r="Z1308" s="45" t="b">
        <v>1</v>
      </c>
      <c r="AA1308" s="45" t="s">
        <v>38</v>
      </c>
      <c r="AB1308" s="45" t="s">
        <v>50</v>
      </c>
    </row>
    <row r="1309" spans="1:28" x14ac:dyDescent="0.2">
      <c r="A1309" s="279" t="s">
        <v>98</v>
      </c>
      <c r="B1309" s="279" t="s">
        <v>99</v>
      </c>
      <c r="C1309" s="282">
        <v>44652</v>
      </c>
      <c r="D1309" s="282">
        <v>44681</v>
      </c>
      <c r="E1309" s="279" t="s">
        <v>267</v>
      </c>
      <c r="F1309" s="133" t="s">
        <v>41</v>
      </c>
      <c r="G1309" s="279" t="s">
        <v>61</v>
      </c>
      <c r="H1309" s="289" t="s">
        <v>105</v>
      </c>
      <c r="I1309" s="280">
        <v>50</v>
      </c>
      <c r="J1309" s="279">
        <v>1559</v>
      </c>
      <c r="K1309" s="270">
        <f t="shared" si="0"/>
        <v>77950</v>
      </c>
      <c r="L1309" s="279">
        <v>7897</v>
      </c>
      <c r="M1309" s="279">
        <v>-4600</v>
      </c>
      <c r="N1309" s="281">
        <v>0</v>
      </c>
      <c r="O1309" s="55"/>
      <c r="P1309" s="45">
        <v>0</v>
      </c>
      <c r="Q1309" s="279">
        <v>-5827</v>
      </c>
      <c r="R1309" s="275">
        <v>0</v>
      </c>
      <c r="S1309" s="279">
        <v>-5827</v>
      </c>
      <c r="T1309" s="279">
        <v>-4600</v>
      </c>
      <c r="U1309" s="57">
        <v>1.0549999999999999</v>
      </c>
      <c r="V1309" s="276">
        <v>0.25</v>
      </c>
      <c r="W1309" s="276">
        <v>0</v>
      </c>
      <c r="X1309" s="279">
        <v>-3640</v>
      </c>
      <c r="Y1309" s="279">
        <v>-1213</v>
      </c>
      <c r="Z1309" s="45" t="b">
        <v>1</v>
      </c>
      <c r="AA1309" s="45" t="s">
        <v>38</v>
      </c>
      <c r="AB1309" s="45" t="s">
        <v>50</v>
      </c>
    </row>
    <row r="1310" spans="1:28" x14ac:dyDescent="0.2">
      <c r="A1310" s="279" t="s">
        <v>98</v>
      </c>
      <c r="B1310" s="279" t="s">
        <v>99</v>
      </c>
      <c r="C1310" s="282">
        <v>44652</v>
      </c>
      <c r="D1310" s="282">
        <v>44681</v>
      </c>
      <c r="E1310" s="279" t="s">
        <v>267</v>
      </c>
      <c r="F1310" s="133" t="s">
        <v>49</v>
      </c>
      <c r="G1310" s="270" t="s">
        <v>35</v>
      </c>
      <c r="H1310" s="272" t="s">
        <v>87</v>
      </c>
      <c r="I1310" s="273">
        <v>25</v>
      </c>
      <c r="J1310" s="270">
        <v>187</v>
      </c>
      <c r="K1310" s="270">
        <f t="shared" si="0"/>
        <v>4675</v>
      </c>
      <c r="L1310" s="270">
        <v>5800</v>
      </c>
      <c r="M1310" s="270">
        <v>-700</v>
      </c>
      <c r="N1310" s="274"/>
      <c r="O1310" s="55"/>
      <c r="P1310" s="96"/>
      <c r="Q1310" s="270">
        <v>183</v>
      </c>
      <c r="R1310" s="275">
        <v>2.5000000000000001E-4</v>
      </c>
      <c r="S1310" s="270">
        <v>184</v>
      </c>
      <c r="T1310" s="270">
        <v>184</v>
      </c>
      <c r="U1310" s="57">
        <v>1</v>
      </c>
      <c r="V1310" s="276">
        <v>0.25</v>
      </c>
      <c r="W1310" s="276">
        <v>0</v>
      </c>
      <c r="X1310" s="270">
        <v>138</v>
      </c>
      <c r="Y1310" s="270">
        <v>46</v>
      </c>
      <c r="Z1310" s="45" t="b">
        <v>1</v>
      </c>
      <c r="AA1310" s="45" t="s">
        <v>38</v>
      </c>
      <c r="AB1310" s="45" t="s">
        <v>38</v>
      </c>
    </row>
    <row r="1311" spans="1:28" x14ac:dyDescent="0.2">
      <c r="A1311" s="279" t="s">
        <v>98</v>
      </c>
      <c r="B1311" s="279" t="s">
        <v>99</v>
      </c>
      <c r="C1311" s="282">
        <v>44682</v>
      </c>
      <c r="D1311" s="282">
        <v>44697</v>
      </c>
      <c r="E1311" s="279" t="s">
        <v>267</v>
      </c>
      <c r="F1311" s="133" t="s">
        <v>41</v>
      </c>
      <c r="G1311" s="279" t="s">
        <v>61</v>
      </c>
      <c r="H1311" s="272" t="s">
        <v>179</v>
      </c>
      <c r="I1311" s="280">
        <v>25</v>
      </c>
      <c r="J1311" s="279">
        <v>55</v>
      </c>
      <c r="K1311" s="270">
        <f t="shared" si="0"/>
        <v>1375</v>
      </c>
      <c r="L1311" s="279">
        <v>1711</v>
      </c>
      <c r="M1311" s="279">
        <v>175</v>
      </c>
      <c r="N1311" s="281">
        <v>1039</v>
      </c>
      <c r="O1311" s="55"/>
      <c r="P1311" s="105">
        <v>1039</v>
      </c>
      <c r="Q1311" s="279">
        <v>-46</v>
      </c>
      <c r="R1311" s="275">
        <v>0</v>
      </c>
      <c r="S1311" s="279">
        <v>-46</v>
      </c>
      <c r="T1311" s="279">
        <v>1214</v>
      </c>
      <c r="U1311" s="57">
        <v>1.07</v>
      </c>
      <c r="V1311" s="276">
        <v>0.25</v>
      </c>
      <c r="W1311" s="276">
        <v>0</v>
      </c>
      <c r="X1311" s="279">
        <v>974</v>
      </c>
      <c r="Y1311" s="279">
        <v>325</v>
      </c>
      <c r="Z1311" s="45" t="b">
        <v>1</v>
      </c>
      <c r="AA1311" s="45" t="s">
        <v>38</v>
      </c>
      <c r="AB1311" s="45" t="s">
        <v>50</v>
      </c>
    </row>
    <row r="1312" spans="1:28" x14ac:dyDescent="0.2">
      <c r="A1312" s="279" t="s">
        <v>98</v>
      </c>
      <c r="B1312" s="279" t="s">
        <v>99</v>
      </c>
      <c r="C1312" s="282">
        <v>44682</v>
      </c>
      <c r="D1312" s="282">
        <v>44697</v>
      </c>
      <c r="E1312" s="279" t="s">
        <v>267</v>
      </c>
      <c r="F1312" s="133" t="s">
        <v>41</v>
      </c>
      <c r="G1312" s="279" t="s">
        <v>61</v>
      </c>
      <c r="H1312" s="289" t="s">
        <v>139</v>
      </c>
      <c r="I1312" s="280">
        <v>25</v>
      </c>
      <c r="J1312" s="279">
        <v>915</v>
      </c>
      <c r="K1312" s="270">
        <f t="shared" si="0"/>
        <v>22875</v>
      </c>
      <c r="L1312" s="279">
        <v>26164</v>
      </c>
      <c r="M1312" s="279">
        <v>1000</v>
      </c>
      <c r="N1312" s="281">
        <v>496</v>
      </c>
      <c r="O1312" s="55"/>
      <c r="P1312" s="45">
        <v>496</v>
      </c>
      <c r="Q1312" s="279">
        <v>-90</v>
      </c>
      <c r="R1312" s="275">
        <v>0</v>
      </c>
      <c r="S1312" s="279">
        <v>-90</v>
      </c>
      <c r="T1312" s="279">
        <v>1496</v>
      </c>
      <c r="U1312" s="57">
        <v>1.07</v>
      </c>
      <c r="V1312" s="276">
        <v>0.25</v>
      </c>
      <c r="W1312" s="276">
        <v>0</v>
      </c>
      <c r="X1312" s="279">
        <v>1201</v>
      </c>
      <c r="Y1312" s="279">
        <v>400</v>
      </c>
      <c r="Z1312" s="45" t="b">
        <v>1</v>
      </c>
      <c r="AA1312" s="45" t="s">
        <v>38</v>
      </c>
      <c r="AB1312" s="45" t="s">
        <v>50</v>
      </c>
    </row>
    <row r="1313" spans="1:28" x14ac:dyDescent="0.2">
      <c r="A1313" s="279" t="s">
        <v>98</v>
      </c>
      <c r="B1313" s="279" t="s">
        <v>99</v>
      </c>
      <c r="C1313" s="282">
        <v>44682</v>
      </c>
      <c r="D1313" s="282">
        <v>44697</v>
      </c>
      <c r="E1313" s="279" t="s">
        <v>267</v>
      </c>
      <c r="F1313" s="133" t="s">
        <v>41</v>
      </c>
      <c r="G1313" s="279" t="s">
        <v>61</v>
      </c>
      <c r="H1313" s="289" t="s">
        <v>105</v>
      </c>
      <c r="I1313" s="280">
        <v>50</v>
      </c>
      <c r="J1313" s="279">
        <v>567</v>
      </c>
      <c r="K1313" s="270">
        <f t="shared" si="0"/>
        <v>28350</v>
      </c>
      <c r="L1313" s="279">
        <v>8000</v>
      </c>
      <c r="M1313" s="279">
        <v>-3050</v>
      </c>
      <c r="N1313" s="281">
        <v>0</v>
      </c>
      <c r="O1313" s="55"/>
      <c r="P1313" s="45">
        <v>0</v>
      </c>
      <c r="Q1313" s="279">
        <v>-1348</v>
      </c>
      <c r="R1313" s="275">
        <v>0</v>
      </c>
      <c r="S1313" s="279">
        <v>-1348</v>
      </c>
      <c r="T1313" s="279">
        <v>-3050</v>
      </c>
      <c r="U1313" s="57">
        <v>1.07</v>
      </c>
      <c r="V1313" s="276">
        <v>0.25</v>
      </c>
      <c r="W1313" s="276">
        <v>0</v>
      </c>
      <c r="X1313" s="279">
        <v>-2448</v>
      </c>
      <c r="Y1313" s="279">
        <v>-816</v>
      </c>
      <c r="Z1313" s="45" t="b">
        <v>1</v>
      </c>
      <c r="AA1313" s="45" t="s">
        <v>38</v>
      </c>
      <c r="AB1313" s="45" t="s">
        <v>50</v>
      </c>
    </row>
    <row r="1314" spans="1:28" x14ac:dyDescent="0.2">
      <c r="A1314" s="279" t="s">
        <v>98</v>
      </c>
      <c r="B1314" s="279" t="s">
        <v>99</v>
      </c>
      <c r="C1314" s="282">
        <v>44682</v>
      </c>
      <c r="D1314" s="282">
        <v>44697</v>
      </c>
      <c r="E1314" s="279" t="s">
        <v>267</v>
      </c>
      <c r="F1314" s="133" t="s">
        <v>41</v>
      </c>
      <c r="G1314" s="279" t="s">
        <v>61</v>
      </c>
      <c r="H1314" s="289" t="s">
        <v>140</v>
      </c>
      <c r="I1314" s="280">
        <v>25</v>
      </c>
      <c r="J1314" s="279">
        <v>1932</v>
      </c>
      <c r="K1314" s="270">
        <f t="shared" si="0"/>
        <v>48300</v>
      </c>
      <c r="L1314" s="279">
        <v>39207</v>
      </c>
      <c r="M1314" s="279">
        <v>-2550</v>
      </c>
      <c r="N1314" s="281">
        <v>1242</v>
      </c>
      <c r="O1314" s="55"/>
      <c r="P1314" s="105">
        <v>1242</v>
      </c>
      <c r="Q1314" s="279">
        <v>-1395</v>
      </c>
      <c r="R1314" s="275">
        <v>0</v>
      </c>
      <c r="S1314" s="279">
        <v>-1395</v>
      </c>
      <c r="T1314" s="279">
        <v>-1308</v>
      </c>
      <c r="U1314" s="57">
        <v>1.07</v>
      </c>
      <c r="V1314" s="276">
        <v>0.25</v>
      </c>
      <c r="W1314" s="276">
        <v>0</v>
      </c>
      <c r="X1314" s="279">
        <v>-1050</v>
      </c>
      <c r="Y1314" s="279">
        <v>-350</v>
      </c>
      <c r="Z1314" s="45" t="b">
        <v>1</v>
      </c>
      <c r="AA1314" s="45" t="s">
        <v>38</v>
      </c>
      <c r="AB1314" s="45" t="s">
        <v>50</v>
      </c>
    </row>
    <row r="1315" spans="1:28" x14ac:dyDescent="0.2">
      <c r="A1315" s="279" t="s">
        <v>98</v>
      </c>
      <c r="B1315" s="279" t="s">
        <v>99</v>
      </c>
      <c r="C1315" s="282">
        <v>44682</v>
      </c>
      <c r="D1315" s="282">
        <v>44697</v>
      </c>
      <c r="E1315" s="279" t="s">
        <v>267</v>
      </c>
      <c r="F1315" s="133" t="s">
        <v>41</v>
      </c>
      <c r="G1315" s="279" t="s">
        <v>61</v>
      </c>
      <c r="H1315" s="289" t="s">
        <v>106</v>
      </c>
      <c r="I1315" s="280">
        <v>50</v>
      </c>
      <c r="J1315" s="279">
        <v>186</v>
      </c>
      <c r="K1315" s="270">
        <f t="shared" si="0"/>
        <v>9300</v>
      </c>
      <c r="L1315" s="279">
        <v>2355</v>
      </c>
      <c r="M1315" s="279">
        <v>-1850</v>
      </c>
      <c r="N1315" s="281">
        <v>168</v>
      </c>
      <c r="O1315" s="55"/>
      <c r="P1315" s="45">
        <v>168</v>
      </c>
      <c r="Q1315" s="279">
        <v>-482</v>
      </c>
      <c r="R1315" s="275">
        <v>0</v>
      </c>
      <c r="S1315" s="279">
        <v>-482</v>
      </c>
      <c r="T1315" s="279">
        <v>-1682</v>
      </c>
      <c r="U1315" s="57">
        <v>1.07</v>
      </c>
      <c r="V1315" s="276">
        <v>0.25</v>
      </c>
      <c r="W1315" s="276">
        <v>0</v>
      </c>
      <c r="X1315" s="279">
        <v>-1350</v>
      </c>
      <c r="Y1315" s="279">
        <v>-450</v>
      </c>
      <c r="Z1315" s="45" t="b">
        <v>1</v>
      </c>
      <c r="AA1315" s="45" t="s">
        <v>38</v>
      </c>
      <c r="AB1315" s="45" t="s">
        <v>50</v>
      </c>
    </row>
    <row r="1316" spans="1:28" x14ac:dyDescent="0.2">
      <c r="A1316" s="279" t="s">
        <v>98</v>
      </c>
      <c r="B1316" s="279" t="s">
        <v>99</v>
      </c>
      <c r="C1316" s="282">
        <v>44682</v>
      </c>
      <c r="D1316" s="282">
        <v>44697</v>
      </c>
      <c r="E1316" s="279" t="s">
        <v>267</v>
      </c>
      <c r="F1316" s="133" t="s">
        <v>41</v>
      </c>
      <c r="G1316" s="279" t="s">
        <v>61</v>
      </c>
      <c r="H1316" s="289" t="s">
        <v>199</v>
      </c>
      <c r="I1316" s="280">
        <v>100</v>
      </c>
      <c r="J1316" s="279">
        <v>36</v>
      </c>
      <c r="K1316" s="270">
        <f t="shared" si="0"/>
        <v>3600</v>
      </c>
      <c r="L1316" s="279">
        <v>-89</v>
      </c>
      <c r="M1316" s="279">
        <v>-500</v>
      </c>
      <c r="N1316" s="281">
        <v>65</v>
      </c>
      <c r="O1316" s="55"/>
      <c r="P1316" s="45">
        <v>65</v>
      </c>
      <c r="Q1316" s="279">
        <v>-351</v>
      </c>
      <c r="R1316" s="275">
        <v>0</v>
      </c>
      <c r="S1316" s="279">
        <v>-351</v>
      </c>
      <c r="T1316" s="279">
        <v>-435</v>
      </c>
      <c r="U1316" s="57">
        <v>1.07</v>
      </c>
      <c r="V1316" s="276">
        <v>0.25</v>
      </c>
      <c r="W1316" s="276">
        <v>0</v>
      </c>
      <c r="X1316" s="279">
        <v>-349</v>
      </c>
      <c r="Y1316" s="279">
        <v>-116</v>
      </c>
      <c r="Z1316" s="45" t="b">
        <v>1</v>
      </c>
      <c r="AA1316" s="45" t="s">
        <v>38</v>
      </c>
      <c r="AB1316" s="45" t="s">
        <v>50</v>
      </c>
    </row>
    <row r="1317" spans="1:28" x14ac:dyDescent="0.2">
      <c r="A1317" s="279" t="s">
        <v>98</v>
      </c>
      <c r="B1317" s="279" t="s">
        <v>99</v>
      </c>
      <c r="C1317" s="282">
        <v>44682</v>
      </c>
      <c r="D1317" s="282">
        <v>44697</v>
      </c>
      <c r="E1317" s="279" t="s">
        <v>267</v>
      </c>
      <c r="F1317" s="133" t="s">
        <v>41</v>
      </c>
      <c r="G1317" s="279" t="s">
        <v>61</v>
      </c>
      <c r="H1317" s="289" t="s">
        <v>134</v>
      </c>
      <c r="I1317" s="280">
        <v>250</v>
      </c>
      <c r="J1317" s="279">
        <v>3</v>
      </c>
      <c r="K1317" s="270">
        <f t="shared" si="0"/>
        <v>750</v>
      </c>
      <c r="L1317" s="279">
        <v>-495</v>
      </c>
      <c r="M1317" s="279">
        <v>250</v>
      </c>
      <c r="N1317" s="281">
        <v>14</v>
      </c>
      <c r="O1317" s="55"/>
      <c r="P1317" s="45">
        <v>14</v>
      </c>
      <c r="Q1317" s="279">
        <v>-437</v>
      </c>
      <c r="R1317" s="275">
        <v>0</v>
      </c>
      <c r="S1317" s="279">
        <v>-437</v>
      </c>
      <c r="T1317" s="279">
        <v>264</v>
      </c>
      <c r="U1317" s="57">
        <v>1.07</v>
      </c>
      <c r="V1317" s="276">
        <v>0.25</v>
      </c>
      <c r="W1317" s="276">
        <v>0</v>
      </c>
      <c r="X1317" s="279">
        <v>212</v>
      </c>
      <c r="Y1317" s="279">
        <v>71</v>
      </c>
      <c r="Z1317" s="45" t="b">
        <v>1</v>
      </c>
      <c r="AA1317" s="45" t="s">
        <v>38</v>
      </c>
      <c r="AB1317" s="45" t="s">
        <v>50</v>
      </c>
    </row>
    <row r="1318" spans="1:28" x14ac:dyDescent="0.2">
      <c r="A1318" s="279" t="s">
        <v>98</v>
      </c>
      <c r="B1318" s="279" t="s">
        <v>99</v>
      </c>
      <c r="C1318" s="282">
        <v>44682</v>
      </c>
      <c r="D1318" s="282">
        <v>44697</v>
      </c>
      <c r="E1318" s="279" t="s">
        <v>267</v>
      </c>
      <c r="F1318" s="133" t="s">
        <v>41</v>
      </c>
      <c r="G1318" s="279" t="s">
        <v>61</v>
      </c>
      <c r="H1318" s="289" t="s">
        <v>67</v>
      </c>
      <c r="I1318" s="280">
        <v>500</v>
      </c>
      <c r="J1318" s="279">
        <v>1</v>
      </c>
      <c r="K1318" s="270">
        <f t="shared" si="0"/>
        <v>500</v>
      </c>
      <c r="L1318" s="279">
        <v>-221</v>
      </c>
      <c r="M1318" s="279">
        <v>500</v>
      </c>
      <c r="N1318" s="281">
        <v>9</v>
      </c>
      <c r="O1318" s="55"/>
      <c r="P1318" s="45">
        <v>9</v>
      </c>
      <c r="Q1318" s="279">
        <v>-376</v>
      </c>
      <c r="R1318" s="275">
        <v>0</v>
      </c>
      <c r="S1318" s="279">
        <v>-376</v>
      </c>
      <c r="T1318" s="279">
        <v>509</v>
      </c>
      <c r="U1318" s="57">
        <v>1.07</v>
      </c>
      <c r="V1318" s="276">
        <v>0.25</v>
      </c>
      <c r="W1318" s="276">
        <v>0</v>
      </c>
      <c r="X1318" s="279">
        <v>408</v>
      </c>
      <c r="Y1318" s="279">
        <v>136</v>
      </c>
      <c r="Z1318" s="45" t="b">
        <v>1</v>
      </c>
      <c r="AA1318" s="45" t="s">
        <v>38</v>
      </c>
      <c r="AB1318" s="45" t="s">
        <v>50</v>
      </c>
    </row>
    <row r="1319" spans="1:28" x14ac:dyDescent="0.2">
      <c r="A1319" s="279" t="s">
        <v>98</v>
      </c>
      <c r="B1319" s="279" t="s">
        <v>99</v>
      </c>
      <c r="C1319" s="282">
        <v>44682</v>
      </c>
      <c r="D1319" s="282">
        <v>44697</v>
      </c>
      <c r="E1319" s="279" t="s">
        <v>267</v>
      </c>
      <c r="F1319" s="133" t="s">
        <v>41</v>
      </c>
      <c r="G1319" s="279" t="s">
        <v>61</v>
      </c>
      <c r="H1319" s="289" t="s">
        <v>59</v>
      </c>
      <c r="I1319" s="280">
        <v>100</v>
      </c>
      <c r="J1319" s="279">
        <v>3</v>
      </c>
      <c r="K1319" s="270">
        <f t="shared" si="0"/>
        <v>300</v>
      </c>
      <c r="L1319" s="279">
        <v>-28</v>
      </c>
      <c r="M1319" s="279">
        <v>-300</v>
      </c>
      <c r="N1319" s="281">
        <v>5</v>
      </c>
      <c r="O1319" s="55"/>
      <c r="P1319" s="45">
        <v>5</v>
      </c>
      <c r="Q1319" s="279">
        <v>-32</v>
      </c>
      <c r="R1319" s="275">
        <v>0</v>
      </c>
      <c r="S1319" s="279">
        <v>-32</v>
      </c>
      <c r="T1319" s="279">
        <v>-295</v>
      </c>
      <c r="U1319" s="57">
        <v>1.07</v>
      </c>
      <c r="V1319" s="276">
        <v>0.25</v>
      </c>
      <c r="W1319" s="276">
        <v>0</v>
      </c>
      <c r="X1319" s="279">
        <v>-237</v>
      </c>
      <c r="Y1319" s="279">
        <v>-79</v>
      </c>
      <c r="Z1319" s="45" t="b">
        <v>1</v>
      </c>
      <c r="AA1319" s="45" t="s">
        <v>38</v>
      </c>
      <c r="AB1319" s="45" t="s">
        <v>50</v>
      </c>
    </row>
    <row r="1320" spans="1:28" x14ac:dyDescent="0.2">
      <c r="A1320" s="96" t="s">
        <v>145</v>
      </c>
      <c r="B1320" s="96" t="s">
        <v>145</v>
      </c>
      <c r="C1320" s="277">
        <v>44682</v>
      </c>
      <c r="D1320" s="277">
        <v>44699</v>
      </c>
      <c r="E1320" s="279" t="s">
        <v>267</v>
      </c>
      <c r="F1320" s="133" t="s">
        <v>49</v>
      </c>
      <c r="G1320" s="279" t="s">
        <v>35</v>
      </c>
      <c r="H1320" s="272" t="s">
        <v>85</v>
      </c>
      <c r="I1320" s="273">
        <v>50</v>
      </c>
      <c r="J1320" s="270">
        <v>189</v>
      </c>
      <c r="K1320" s="270">
        <f t="shared" si="0"/>
        <v>9450</v>
      </c>
      <c r="L1320" s="270">
        <f>22*189</f>
        <v>4158</v>
      </c>
      <c r="M1320" s="270">
        <v>-350</v>
      </c>
      <c r="N1320" s="274">
        <v>427.04</v>
      </c>
      <c r="O1320" s="55"/>
      <c r="P1320" s="45">
        <v>427</v>
      </c>
      <c r="Q1320" s="270">
        <v>34</v>
      </c>
      <c r="R1320" s="275">
        <v>-1.5E-3</v>
      </c>
      <c r="S1320" s="270">
        <v>20</v>
      </c>
      <c r="T1320" s="270">
        <v>447</v>
      </c>
      <c r="U1320" s="57">
        <v>1</v>
      </c>
      <c r="V1320" s="276">
        <v>0.12</v>
      </c>
      <c r="W1320" s="276">
        <v>0</v>
      </c>
      <c r="X1320" s="270">
        <v>393</v>
      </c>
      <c r="Y1320" s="270">
        <v>54</v>
      </c>
      <c r="Z1320" s="45" t="b">
        <v>1</v>
      </c>
      <c r="AA1320" s="45" t="s">
        <v>38</v>
      </c>
      <c r="AB1320" s="45" t="s">
        <v>38</v>
      </c>
    </row>
    <row r="1321" spans="1:28" x14ac:dyDescent="0.2">
      <c r="A1321" s="96" t="s">
        <v>145</v>
      </c>
      <c r="B1321" s="96" t="s">
        <v>145</v>
      </c>
      <c r="C1321" s="277">
        <v>44682</v>
      </c>
      <c r="D1321" s="277">
        <v>44699</v>
      </c>
      <c r="E1321" s="279" t="s">
        <v>267</v>
      </c>
      <c r="F1321" s="133" t="s">
        <v>49</v>
      </c>
      <c r="G1321" s="279" t="s">
        <v>35</v>
      </c>
      <c r="H1321" s="272" t="s">
        <v>70</v>
      </c>
      <c r="I1321" s="273">
        <v>100</v>
      </c>
      <c r="J1321" s="270">
        <v>131</v>
      </c>
      <c r="K1321" s="270">
        <f t="shared" si="0"/>
        <v>13100</v>
      </c>
      <c r="L1321" s="270">
        <f>74*131</f>
        <v>9694</v>
      </c>
      <c r="M1321" s="270">
        <v>1300</v>
      </c>
      <c r="N1321" s="274">
        <v>493.32</v>
      </c>
      <c r="O1321" s="55"/>
      <c r="P1321" s="45">
        <v>0</v>
      </c>
      <c r="Q1321" s="270">
        <v>1105</v>
      </c>
      <c r="R1321" s="275">
        <v>-1.5E-3</v>
      </c>
      <c r="S1321" s="270">
        <v>1085</v>
      </c>
      <c r="T1321" s="270">
        <v>1085</v>
      </c>
      <c r="U1321" s="57">
        <v>1</v>
      </c>
      <c r="V1321" s="276">
        <v>0.12</v>
      </c>
      <c r="W1321" s="276">
        <v>0</v>
      </c>
      <c r="X1321" s="270">
        <v>955</v>
      </c>
      <c r="Y1321" s="270">
        <v>130</v>
      </c>
      <c r="Z1321" s="45" t="b">
        <v>1</v>
      </c>
      <c r="AA1321" s="45" t="s">
        <v>38</v>
      </c>
      <c r="AB1321" s="45" t="s">
        <v>38</v>
      </c>
    </row>
    <row r="1322" spans="1:28" x14ac:dyDescent="0.2">
      <c r="A1322" s="96" t="s">
        <v>145</v>
      </c>
      <c r="B1322" s="96" t="s">
        <v>145</v>
      </c>
      <c r="C1322" s="277">
        <v>44682</v>
      </c>
      <c r="D1322" s="277">
        <v>44699</v>
      </c>
      <c r="E1322" s="279" t="s">
        <v>267</v>
      </c>
      <c r="F1322" s="133" t="s">
        <v>49</v>
      </c>
      <c r="G1322" s="279" t="s">
        <v>35</v>
      </c>
      <c r="H1322" s="272" t="s">
        <v>84</v>
      </c>
      <c r="I1322" s="273">
        <v>100</v>
      </c>
      <c r="J1322" s="270">
        <v>2329</v>
      </c>
      <c r="K1322" s="270">
        <f t="shared" si="0"/>
        <v>232900</v>
      </c>
      <c r="L1322" s="270">
        <f>16*2329</f>
        <v>37264</v>
      </c>
      <c r="M1322" s="270">
        <v>-5200</v>
      </c>
      <c r="N1322" s="274">
        <v>8770.56</v>
      </c>
      <c r="O1322" s="55"/>
      <c r="P1322" s="105">
        <v>8771</v>
      </c>
      <c r="Q1322" s="270">
        <v>-1017</v>
      </c>
      <c r="R1322" s="275">
        <v>-1.5E-3</v>
      </c>
      <c r="S1322" s="270">
        <v>-1367</v>
      </c>
      <c r="T1322" s="270">
        <v>7404</v>
      </c>
      <c r="U1322" s="57">
        <v>1</v>
      </c>
      <c r="V1322" s="276">
        <v>0.12</v>
      </c>
      <c r="W1322" s="276">
        <v>0</v>
      </c>
      <c r="X1322" s="270">
        <v>6515</v>
      </c>
      <c r="Y1322" s="270">
        <v>888</v>
      </c>
      <c r="Z1322" s="45" t="b">
        <v>1</v>
      </c>
      <c r="AA1322" s="45" t="s">
        <v>38</v>
      </c>
      <c r="AB1322" s="45" t="s">
        <v>38</v>
      </c>
    </row>
    <row r="1323" spans="1:28" x14ac:dyDescent="0.2">
      <c r="A1323" s="96" t="s">
        <v>145</v>
      </c>
      <c r="B1323" s="96" t="s">
        <v>145</v>
      </c>
      <c r="C1323" s="277">
        <v>44682</v>
      </c>
      <c r="D1323" s="277">
        <v>44699</v>
      </c>
      <c r="E1323" s="279" t="s">
        <v>267</v>
      </c>
      <c r="F1323" s="133" t="s">
        <v>49</v>
      </c>
      <c r="G1323" s="279" t="s">
        <v>35</v>
      </c>
      <c r="H1323" s="272" t="s">
        <v>148</v>
      </c>
      <c r="I1323" s="273">
        <v>250</v>
      </c>
      <c r="J1323" s="270">
        <v>494</v>
      </c>
      <c r="K1323" s="270">
        <f t="shared" si="0"/>
        <v>123500</v>
      </c>
      <c r="L1323" s="270">
        <f>5*494</f>
        <v>2470</v>
      </c>
      <c r="M1323" s="270">
        <v>-12250</v>
      </c>
      <c r="N1323" s="274">
        <v>4650.7700000000004</v>
      </c>
      <c r="O1323" s="55"/>
      <c r="P1323" s="105">
        <v>4651</v>
      </c>
      <c r="Q1323" s="270">
        <v>-4482</v>
      </c>
      <c r="R1323" s="275">
        <v>-1.5E-3</v>
      </c>
      <c r="S1323" s="270">
        <v>-4667</v>
      </c>
      <c r="T1323" s="270">
        <v>-16</v>
      </c>
      <c r="U1323" s="57">
        <v>1</v>
      </c>
      <c r="V1323" s="276">
        <v>0.12</v>
      </c>
      <c r="W1323" s="276">
        <v>0</v>
      </c>
      <c r="X1323" s="270">
        <v>-14</v>
      </c>
      <c r="Y1323" s="270">
        <v>-2</v>
      </c>
      <c r="Z1323" s="45" t="b">
        <v>1</v>
      </c>
      <c r="AA1323" s="45" t="s">
        <v>38</v>
      </c>
      <c r="AB1323" s="45" t="s">
        <v>38</v>
      </c>
    </row>
    <row r="1324" spans="1:28" x14ac:dyDescent="0.2">
      <c r="A1324" s="96" t="s">
        <v>145</v>
      </c>
      <c r="B1324" s="96" t="s">
        <v>145</v>
      </c>
      <c r="C1324" s="277">
        <v>44682</v>
      </c>
      <c r="D1324" s="277">
        <v>44699</v>
      </c>
      <c r="E1324" s="279" t="s">
        <v>267</v>
      </c>
      <c r="F1324" s="133" t="s">
        <v>49</v>
      </c>
      <c r="G1324" s="279" t="s">
        <v>35</v>
      </c>
      <c r="H1324" s="272" t="s">
        <v>88</v>
      </c>
      <c r="I1324" s="273">
        <v>250</v>
      </c>
      <c r="J1324" s="270">
        <v>831</v>
      </c>
      <c r="K1324" s="270">
        <f t="shared" si="0"/>
        <v>207750</v>
      </c>
      <c r="L1324" s="270">
        <f>-8*831</f>
        <v>-6648</v>
      </c>
      <c r="M1324" s="270">
        <v>-15000</v>
      </c>
      <c r="N1324" s="274">
        <v>7823.46</v>
      </c>
      <c r="O1324" s="55"/>
      <c r="P1324" s="105">
        <v>7823</v>
      </c>
      <c r="Q1324" s="270">
        <v>-13916</v>
      </c>
      <c r="R1324" s="275">
        <v>-1.5E-3</v>
      </c>
      <c r="S1324" s="270">
        <v>-14227</v>
      </c>
      <c r="T1324" s="270">
        <v>-6404</v>
      </c>
      <c r="U1324" s="57">
        <v>1</v>
      </c>
      <c r="V1324" s="276">
        <v>0.12</v>
      </c>
      <c r="W1324" s="276">
        <v>0</v>
      </c>
      <c r="X1324" s="270">
        <v>-5635</v>
      </c>
      <c r="Y1324" s="270">
        <v>-768</v>
      </c>
      <c r="Z1324" s="45" t="b">
        <v>1</v>
      </c>
      <c r="AA1324" s="45" t="s">
        <v>38</v>
      </c>
      <c r="AB1324" s="45" t="s">
        <v>38</v>
      </c>
    </row>
    <row r="1325" spans="1:28" x14ac:dyDescent="0.2">
      <c r="A1325" s="96" t="s">
        <v>286</v>
      </c>
      <c r="B1325" s="96" t="s">
        <v>286</v>
      </c>
      <c r="C1325" s="277">
        <v>44672</v>
      </c>
      <c r="D1325" s="277">
        <v>44701</v>
      </c>
      <c r="E1325" s="270" t="s">
        <v>267</v>
      </c>
      <c r="F1325" s="133" t="s">
        <v>34</v>
      </c>
      <c r="G1325" s="96" t="s">
        <v>35</v>
      </c>
      <c r="H1325" s="272" t="s">
        <v>90</v>
      </c>
      <c r="I1325" s="273">
        <v>5</v>
      </c>
      <c r="J1325" s="270">
        <v>5</v>
      </c>
      <c r="K1325" s="270">
        <f t="shared" si="0"/>
        <v>25</v>
      </c>
      <c r="L1325" s="270">
        <v>-372</v>
      </c>
      <c r="M1325" s="270">
        <v>5</v>
      </c>
      <c r="N1325" s="274">
        <v>1</v>
      </c>
      <c r="O1325" s="55"/>
      <c r="P1325" s="45">
        <v>1</v>
      </c>
      <c r="Q1325" s="270">
        <v>-8</v>
      </c>
      <c r="R1325" s="275">
        <v>-1.5E-3</v>
      </c>
      <c r="S1325" s="270">
        <v>-8</v>
      </c>
      <c r="T1325" s="270">
        <v>-7</v>
      </c>
      <c r="U1325" s="57">
        <v>1</v>
      </c>
      <c r="V1325" s="276">
        <v>0.15</v>
      </c>
      <c r="W1325" s="276">
        <v>0</v>
      </c>
      <c r="X1325" s="270">
        <v>-6</v>
      </c>
      <c r="Y1325" s="270">
        <v>-1</v>
      </c>
      <c r="Z1325" s="45" t="b">
        <v>1</v>
      </c>
      <c r="AA1325" s="45" t="s">
        <v>38</v>
      </c>
      <c r="AB1325" s="45" t="s">
        <v>38</v>
      </c>
    </row>
    <row r="1326" spans="1:28" x14ac:dyDescent="0.2">
      <c r="A1326" s="96" t="s">
        <v>286</v>
      </c>
      <c r="B1326" s="96" t="s">
        <v>286</v>
      </c>
      <c r="C1326" s="277">
        <v>44672</v>
      </c>
      <c r="D1326" s="277">
        <v>44701</v>
      </c>
      <c r="E1326" s="270" t="s">
        <v>267</v>
      </c>
      <c r="F1326" s="133" t="s">
        <v>34</v>
      </c>
      <c r="G1326" s="96" t="s">
        <v>35</v>
      </c>
      <c r="H1326" s="272" t="s">
        <v>40</v>
      </c>
      <c r="I1326" s="273">
        <v>10</v>
      </c>
      <c r="J1326" s="270">
        <v>460</v>
      </c>
      <c r="K1326" s="270">
        <f t="shared" si="0"/>
        <v>4600</v>
      </c>
      <c r="L1326" s="270">
        <v>18400</v>
      </c>
      <c r="M1326" s="270">
        <v>-350</v>
      </c>
      <c r="N1326" s="274">
        <v>154</v>
      </c>
      <c r="O1326" s="55"/>
      <c r="P1326" s="45">
        <v>154</v>
      </c>
      <c r="Q1326" s="270">
        <v>-3</v>
      </c>
      <c r="R1326" s="275">
        <v>-1.5E-3</v>
      </c>
      <c r="S1326" s="270">
        <v>-10</v>
      </c>
      <c r="T1326" s="270">
        <v>144</v>
      </c>
      <c r="U1326" s="57">
        <v>1</v>
      </c>
      <c r="V1326" s="276">
        <v>0.15</v>
      </c>
      <c r="W1326" s="276">
        <v>0</v>
      </c>
      <c r="X1326" s="270">
        <v>123</v>
      </c>
      <c r="Y1326" s="270">
        <v>22</v>
      </c>
      <c r="Z1326" s="45" t="b">
        <v>1</v>
      </c>
      <c r="AA1326" s="45" t="s">
        <v>38</v>
      </c>
      <c r="AB1326" s="45" t="s">
        <v>38</v>
      </c>
    </row>
    <row r="1327" spans="1:28" x14ac:dyDescent="0.2">
      <c r="A1327" s="96" t="s">
        <v>286</v>
      </c>
      <c r="B1327" s="96" t="s">
        <v>286</v>
      </c>
      <c r="C1327" s="277">
        <v>44672</v>
      </c>
      <c r="D1327" s="277">
        <v>44701</v>
      </c>
      <c r="E1327" s="270" t="s">
        <v>267</v>
      </c>
      <c r="F1327" s="133" t="s">
        <v>34</v>
      </c>
      <c r="G1327" s="96" t="s">
        <v>35</v>
      </c>
      <c r="H1327" s="272" t="s">
        <v>115</v>
      </c>
      <c r="I1327" s="273">
        <v>10</v>
      </c>
      <c r="J1327" s="270">
        <v>205</v>
      </c>
      <c r="K1327" s="270">
        <f t="shared" si="0"/>
        <v>2050</v>
      </c>
      <c r="L1327" s="270">
        <v>-337</v>
      </c>
      <c r="M1327" s="270">
        <v>-500</v>
      </c>
      <c r="N1327" s="274">
        <v>69</v>
      </c>
      <c r="O1327" s="55"/>
      <c r="P1327" s="45">
        <v>69</v>
      </c>
      <c r="Q1327" s="270">
        <v>-162</v>
      </c>
      <c r="R1327" s="275">
        <v>-1.5E-3</v>
      </c>
      <c r="S1327" s="270">
        <v>-165</v>
      </c>
      <c r="T1327" s="270">
        <v>-96</v>
      </c>
      <c r="U1327" s="57">
        <v>1</v>
      </c>
      <c r="V1327" s="276">
        <v>0.15</v>
      </c>
      <c r="W1327" s="276">
        <v>0</v>
      </c>
      <c r="X1327" s="270">
        <v>-82</v>
      </c>
      <c r="Y1327" s="270">
        <v>-14</v>
      </c>
      <c r="Z1327" s="45" t="b">
        <v>1</v>
      </c>
      <c r="AA1327" s="45" t="s">
        <v>38</v>
      </c>
      <c r="AB1327" s="45" t="s">
        <v>38</v>
      </c>
    </row>
    <row r="1328" spans="1:28" x14ac:dyDescent="0.2">
      <c r="A1328" s="96" t="s">
        <v>286</v>
      </c>
      <c r="B1328" s="96" t="s">
        <v>286</v>
      </c>
      <c r="C1328" s="277">
        <v>44672</v>
      </c>
      <c r="D1328" s="277">
        <v>44701</v>
      </c>
      <c r="E1328" s="270" t="s">
        <v>267</v>
      </c>
      <c r="F1328" s="133" t="s">
        <v>34</v>
      </c>
      <c r="G1328" s="96" t="s">
        <v>35</v>
      </c>
      <c r="H1328" s="272" t="s">
        <v>46</v>
      </c>
      <c r="I1328" s="273">
        <v>25</v>
      </c>
      <c r="J1328" s="270">
        <v>757</v>
      </c>
      <c r="K1328" s="270">
        <f t="shared" si="0"/>
        <v>18925</v>
      </c>
      <c r="L1328" s="270">
        <v>23296</v>
      </c>
      <c r="M1328" s="270">
        <v>150</v>
      </c>
      <c r="N1328" s="274">
        <v>542</v>
      </c>
      <c r="O1328" s="55"/>
      <c r="P1328" s="45">
        <v>542</v>
      </c>
      <c r="Q1328" s="270">
        <v>-131</v>
      </c>
      <c r="R1328" s="275">
        <v>-1.5E-3</v>
      </c>
      <c r="S1328" s="270">
        <v>-160</v>
      </c>
      <c r="T1328" s="270">
        <v>382</v>
      </c>
      <c r="U1328" s="57">
        <v>1</v>
      </c>
      <c r="V1328" s="276">
        <v>0.15</v>
      </c>
      <c r="W1328" s="276">
        <v>0</v>
      </c>
      <c r="X1328" s="270">
        <v>325</v>
      </c>
      <c r="Y1328" s="270">
        <v>57</v>
      </c>
      <c r="Z1328" s="45" t="b">
        <v>1</v>
      </c>
      <c r="AA1328" s="45" t="s">
        <v>38</v>
      </c>
      <c r="AB1328" s="45" t="s">
        <v>38</v>
      </c>
    </row>
    <row r="1329" spans="1:28" x14ac:dyDescent="0.2">
      <c r="A1329" s="96" t="s">
        <v>286</v>
      </c>
      <c r="B1329" s="96" t="s">
        <v>286</v>
      </c>
      <c r="C1329" s="277">
        <v>44672</v>
      </c>
      <c r="D1329" s="277">
        <v>44701</v>
      </c>
      <c r="E1329" s="270" t="s">
        <v>267</v>
      </c>
      <c r="F1329" s="133" t="s">
        <v>34</v>
      </c>
      <c r="G1329" s="96" t="s">
        <v>35</v>
      </c>
      <c r="H1329" s="272" t="s">
        <v>87</v>
      </c>
      <c r="I1329" s="273">
        <v>25</v>
      </c>
      <c r="J1329" s="270">
        <v>187</v>
      </c>
      <c r="K1329" s="270">
        <f t="shared" si="0"/>
        <v>4675</v>
      </c>
      <c r="L1329" s="270">
        <v>1032</v>
      </c>
      <c r="M1329" s="270">
        <v>125</v>
      </c>
      <c r="N1329" s="274">
        <v>134</v>
      </c>
      <c r="O1329" s="55"/>
      <c r="P1329" s="45">
        <v>134</v>
      </c>
      <c r="Q1329" s="270">
        <v>-219</v>
      </c>
      <c r="R1329" s="275">
        <v>-1.5E-3</v>
      </c>
      <c r="S1329" s="270">
        <v>-226</v>
      </c>
      <c r="T1329" s="270">
        <v>-92</v>
      </c>
      <c r="U1329" s="57">
        <v>1</v>
      </c>
      <c r="V1329" s="276">
        <v>0.15</v>
      </c>
      <c r="W1329" s="276">
        <v>0</v>
      </c>
      <c r="X1329" s="270">
        <v>-79</v>
      </c>
      <c r="Y1329" s="270">
        <v>-14</v>
      </c>
      <c r="Z1329" s="45" t="b">
        <v>1</v>
      </c>
      <c r="AA1329" s="45" t="s">
        <v>38</v>
      </c>
      <c r="AB1329" s="45" t="s">
        <v>38</v>
      </c>
    </row>
    <row r="1330" spans="1:28" x14ac:dyDescent="0.2">
      <c r="A1330" s="96" t="s">
        <v>82</v>
      </c>
      <c r="B1330" s="96" t="s">
        <v>82</v>
      </c>
      <c r="C1330" s="277">
        <v>44672</v>
      </c>
      <c r="D1330" s="277">
        <v>44701</v>
      </c>
      <c r="E1330" s="270" t="s">
        <v>300</v>
      </c>
      <c r="F1330" s="133" t="s">
        <v>34</v>
      </c>
      <c r="G1330" s="96" t="s">
        <v>35</v>
      </c>
      <c r="H1330" s="272" t="s">
        <v>72</v>
      </c>
      <c r="I1330" s="273">
        <v>50</v>
      </c>
      <c r="J1330" s="270">
        <v>52</v>
      </c>
      <c r="K1330" s="270">
        <f t="shared" si="0"/>
        <v>2600</v>
      </c>
      <c r="L1330" s="270">
        <v>-896</v>
      </c>
      <c r="M1330" s="270">
        <v>150</v>
      </c>
      <c r="N1330" s="274">
        <v>97</v>
      </c>
      <c r="O1330" s="55"/>
      <c r="P1330" s="45">
        <v>97</v>
      </c>
      <c r="Q1330" s="270">
        <v>-251</v>
      </c>
      <c r="R1330" s="275">
        <v>8.8000000000000003E-4</v>
      </c>
      <c r="S1330" s="270">
        <v>-249</v>
      </c>
      <c r="T1330" s="270">
        <v>-152</v>
      </c>
      <c r="U1330" s="57">
        <v>1</v>
      </c>
      <c r="V1330" s="276">
        <v>0.15</v>
      </c>
      <c r="W1330" s="276">
        <v>0.05</v>
      </c>
      <c r="X1330" s="270">
        <v>-122</v>
      </c>
      <c r="Y1330" s="270">
        <v>-30</v>
      </c>
      <c r="Z1330" s="45" t="b">
        <v>1</v>
      </c>
      <c r="AA1330" s="45" t="s">
        <v>38</v>
      </c>
      <c r="AB1330" s="45" t="s">
        <v>38</v>
      </c>
    </row>
    <row r="1331" spans="1:28" x14ac:dyDescent="0.2">
      <c r="A1331" s="96" t="s">
        <v>82</v>
      </c>
      <c r="B1331" s="96" t="s">
        <v>82</v>
      </c>
      <c r="C1331" s="277">
        <v>44672</v>
      </c>
      <c r="D1331" s="277">
        <v>44701</v>
      </c>
      <c r="E1331" s="270" t="s">
        <v>300</v>
      </c>
      <c r="F1331" s="133" t="s">
        <v>34</v>
      </c>
      <c r="G1331" s="96" t="s">
        <v>35</v>
      </c>
      <c r="H1331" s="272" t="s">
        <v>70</v>
      </c>
      <c r="I1331" s="273">
        <v>100</v>
      </c>
      <c r="J1331" s="270">
        <v>4601</v>
      </c>
      <c r="K1331" s="270">
        <f t="shared" si="0"/>
        <v>460100</v>
      </c>
      <c r="L1331" s="270">
        <v>71768</v>
      </c>
      <c r="M1331" s="270">
        <v>-200</v>
      </c>
      <c r="N1331" s="274">
        <v>14341</v>
      </c>
      <c r="O1331" s="55"/>
      <c r="P1331" s="105">
        <v>14341</v>
      </c>
      <c r="Q1331" s="270">
        <v>-11529</v>
      </c>
      <c r="R1331" s="275">
        <v>8.8000000000000003E-4</v>
      </c>
      <c r="S1331" s="270">
        <v>-11124</v>
      </c>
      <c r="T1331" s="270">
        <v>3217</v>
      </c>
      <c r="U1331" s="57">
        <v>1</v>
      </c>
      <c r="V1331" s="276">
        <v>0.15</v>
      </c>
      <c r="W1331" s="276">
        <v>0.05</v>
      </c>
      <c r="X1331" s="270">
        <v>2574</v>
      </c>
      <c r="Y1331" s="270">
        <v>643</v>
      </c>
      <c r="Z1331" s="45" t="b">
        <v>1</v>
      </c>
      <c r="AA1331" s="45" t="s">
        <v>38</v>
      </c>
      <c r="AB1331" s="45" t="s">
        <v>38</v>
      </c>
    </row>
    <row r="1332" spans="1:28" x14ac:dyDescent="0.2">
      <c r="A1332" s="96" t="s">
        <v>82</v>
      </c>
      <c r="B1332" s="96" t="s">
        <v>82</v>
      </c>
      <c r="C1332" s="277">
        <v>44672</v>
      </c>
      <c r="D1332" s="277">
        <v>44701</v>
      </c>
      <c r="E1332" s="270" t="s">
        <v>300</v>
      </c>
      <c r="F1332" s="133" t="s">
        <v>34</v>
      </c>
      <c r="G1332" s="96" t="s">
        <v>35</v>
      </c>
      <c r="H1332" s="272" t="s">
        <v>84</v>
      </c>
      <c r="I1332" s="273">
        <v>100</v>
      </c>
      <c r="J1332" s="270">
        <v>68</v>
      </c>
      <c r="K1332" s="270">
        <f t="shared" si="0"/>
        <v>6800</v>
      </c>
      <c r="L1332" s="270">
        <v>274</v>
      </c>
      <c r="M1332" s="270">
        <v>2200</v>
      </c>
      <c r="N1332" s="274">
        <v>212</v>
      </c>
      <c r="O1332" s="55"/>
      <c r="P1332" s="45">
        <v>212</v>
      </c>
      <c r="Q1332" s="270">
        <v>-290</v>
      </c>
      <c r="R1332" s="275">
        <v>8.8000000000000003E-4</v>
      </c>
      <c r="S1332" s="270">
        <v>-284</v>
      </c>
      <c r="T1332" s="270">
        <v>-72</v>
      </c>
      <c r="U1332" s="57">
        <v>1</v>
      </c>
      <c r="V1332" s="276">
        <v>0.15</v>
      </c>
      <c r="W1332" s="276">
        <v>0.05</v>
      </c>
      <c r="X1332" s="270">
        <v>-57</v>
      </c>
      <c r="Y1332" s="270">
        <v>-14</v>
      </c>
      <c r="Z1332" s="45" t="b">
        <v>1</v>
      </c>
      <c r="AA1332" s="45" t="s">
        <v>38</v>
      </c>
      <c r="AB1332" s="45" t="s">
        <v>38</v>
      </c>
    </row>
    <row r="1333" spans="1:28" x14ac:dyDescent="0.2">
      <c r="A1333" s="96" t="s">
        <v>154</v>
      </c>
      <c r="B1333" s="96" t="s">
        <v>154</v>
      </c>
      <c r="C1333" s="277">
        <v>44672</v>
      </c>
      <c r="D1333" s="277">
        <v>44701</v>
      </c>
      <c r="E1333" s="279" t="s">
        <v>267</v>
      </c>
      <c r="F1333" s="96" t="s">
        <v>34</v>
      </c>
      <c r="G1333" s="270" t="s">
        <v>35</v>
      </c>
      <c r="H1333" s="272" t="s">
        <v>40</v>
      </c>
      <c r="I1333" s="273">
        <v>10</v>
      </c>
      <c r="J1333" s="270">
        <v>0</v>
      </c>
      <c r="K1333" s="270">
        <f t="shared" si="0"/>
        <v>0</v>
      </c>
      <c r="L1333" s="270"/>
      <c r="M1333" s="270">
        <v>0</v>
      </c>
      <c r="N1333" s="274"/>
      <c r="O1333" s="55"/>
      <c r="P1333" s="96"/>
      <c r="Q1333" s="270"/>
      <c r="R1333" s="275">
        <v>0</v>
      </c>
      <c r="S1333" s="270"/>
      <c r="T1333" s="270"/>
      <c r="U1333" s="57">
        <v>1</v>
      </c>
      <c r="V1333" s="276">
        <v>0.2</v>
      </c>
      <c r="W1333" s="276">
        <v>0</v>
      </c>
      <c r="X1333" s="270"/>
      <c r="Y1333" s="270"/>
      <c r="Z1333" s="45" t="b">
        <v>1</v>
      </c>
      <c r="AA1333" s="45" t="s">
        <v>38</v>
      </c>
      <c r="AB1333" s="45" t="s">
        <v>38</v>
      </c>
    </row>
    <row r="1334" spans="1:28" x14ac:dyDescent="0.2">
      <c r="A1334" s="96" t="s">
        <v>125</v>
      </c>
      <c r="B1334" s="96" t="s">
        <v>125</v>
      </c>
      <c r="C1334" s="277">
        <v>44672</v>
      </c>
      <c r="D1334" s="277">
        <v>44701</v>
      </c>
      <c r="E1334" s="270" t="s">
        <v>267</v>
      </c>
      <c r="F1334" s="96" t="s">
        <v>34</v>
      </c>
      <c r="G1334" s="270" t="s">
        <v>35</v>
      </c>
      <c r="H1334" s="272" t="s">
        <v>40</v>
      </c>
      <c r="I1334" s="273">
        <v>10</v>
      </c>
      <c r="J1334" s="270">
        <v>1308</v>
      </c>
      <c r="K1334" s="270">
        <f t="shared" si="0"/>
        <v>13080</v>
      </c>
      <c r="L1334" s="270">
        <v>66660</v>
      </c>
      <c r="M1334" s="270">
        <v>190</v>
      </c>
      <c r="N1334" s="274">
        <v>801</v>
      </c>
      <c r="O1334" s="55"/>
      <c r="P1334" s="45">
        <v>801</v>
      </c>
      <c r="Q1334" s="270">
        <v>255</v>
      </c>
      <c r="R1334" s="275">
        <v>8.8000000000000003E-4</v>
      </c>
      <c r="S1334" s="270">
        <v>266</v>
      </c>
      <c r="T1334" s="270">
        <v>1067</v>
      </c>
      <c r="U1334" s="57">
        <v>1</v>
      </c>
      <c r="V1334" s="276">
        <v>0.23</v>
      </c>
      <c r="W1334" s="276">
        <v>0</v>
      </c>
      <c r="X1334" s="270">
        <v>822</v>
      </c>
      <c r="Y1334" s="270">
        <v>245</v>
      </c>
      <c r="Z1334" s="45" t="b">
        <v>1</v>
      </c>
      <c r="AA1334" s="45" t="s">
        <v>38</v>
      </c>
      <c r="AB1334" s="45" t="s">
        <v>38</v>
      </c>
    </row>
    <row r="1335" spans="1:28" x14ac:dyDescent="0.2">
      <c r="A1335" s="96" t="s">
        <v>125</v>
      </c>
      <c r="B1335" s="96" t="s">
        <v>125</v>
      </c>
      <c r="C1335" s="277">
        <v>44672</v>
      </c>
      <c r="D1335" s="277">
        <v>44701</v>
      </c>
      <c r="E1335" s="270" t="s">
        <v>267</v>
      </c>
      <c r="F1335" s="96" t="s">
        <v>34</v>
      </c>
      <c r="G1335" s="270" t="s">
        <v>35</v>
      </c>
      <c r="H1335" s="272" t="s">
        <v>46</v>
      </c>
      <c r="I1335" s="273">
        <v>25</v>
      </c>
      <c r="J1335" s="270">
        <v>195</v>
      </c>
      <c r="K1335" s="270">
        <f t="shared" si="0"/>
        <v>4875</v>
      </c>
      <c r="L1335" s="270">
        <v>3603</v>
      </c>
      <c r="M1335" s="270">
        <v>0</v>
      </c>
      <c r="N1335" s="274">
        <v>256</v>
      </c>
      <c r="O1335" s="55"/>
      <c r="P1335" s="45">
        <v>256</v>
      </c>
      <c r="Q1335" s="270">
        <v>-145</v>
      </c>
      <c r="R1335" s="275">
        <v>8.8000000000000003E-4</v>
      </c>
      <c r="S1335" s="270">
        <v>-141</v>
      </c>
      <c r="T1335" s="270">
        <v>115</v>
      </c>
      <c r="U1335" s="57">
        <v>1</v>
      </c>
      <c r="V1335" s="276">
        <v>0.23</v>
      </c>
      <c r="W1335" s="276">
        <v>0</v>
      </c>
      <c r="X1335" s="270">
        <v>89</v>
      </c>
      <c r="Y1335" s="270">
        <v>27</v>
      </c>
      <c r="Z1335" s="45" t="b">
        <v>1</v>
      </c>
      <c r="AA1335" s="45" t="s">
        <v>38</v>
      </c>
      <c r="AB1335" s="45" t="s">
        <v>38</v>
      </c>
    </row>
    <row r="1336" spans="1:28" x14ac:dyDescent="0.2">
      <c r="A1336" s="279" t="s">
        <v>395</v>
      </c>
      <c r="B1336" s="270" t="s">
        <v>162</v>
      </c>
      <c r="C1336" s="277">
        <v>44672</v>
      </c>
      <c r="D1336" s="277">
        <v>44701</v>
      </c>
      <c r="E1336" s="279" t="s">
        <v>267</v>
      </c>
      <c r="F1336" s="133" t="s">
        <v>41</v>
      </c>
      <c r="G1336" s="270" t="s">
        <v>35</v>
      </c>
      <c r="H1336" s="272" t="s">
        <v>45</v>
      </c>
      <c r="I1336" s="273">
        <v>0.25</v>
      </c>
      <c r="J1336" s="270">
        <v>31</v>
      </c>
      <c r="K1336" s="270">
        <f t="shared" si="0"/>
        <v>7.75</v>
      </c>
      <c r="L1336" s="286">
        <f>1870/21*31</f>
        <v>2760.4761904761904</v>
      </c>
      <c r="M1336" s="286">
        <v>2</v>
      </c>
      <c r="N1336" s="274"/>
      <c r="O1336" s="55"/>
      <c r="P1336" s="96"/>
      <c r="Q1336" s="286">
        <v>1</v>
      </c>
      <c r="R1336" s="275">
        <v>0</v>
      </c>
      <c r="S1336" s="286">
        <v>1</v>
      </c>
      <c r="T1336" s="286">
        <v>2</v>
      </c>
      <c r="U1336" s="57">
        <v>1</v>
      </c>
      <c r="V1336" s="276">
        <v>0.19</v>
      </c>
      <c r="W1336" s="276">
        <v>0</v>
      </c>
      <c r="X1336" s="286">
        <v>2</v>
      </c>
      <c r="Y1336" s="286">
        <v>0</v>
      </c>
      <c r="Z1336" s="45" t="b">
        <v>1</v>
      </c>
      <c r="AA1336" s="45" t="s">
        <v>38</v>
      </c>
      <c r="AB1336" s="45" t="s">
        <v>38</v>
      </c>
    </row>
    <row r="1337" spans="1:28" x14ac:dyDescent="0.2">
      <c r="A1337" s="279" t="s">
        <v>395</v>
      </c>
      <c r="B1337" s="270" t="s">
        <v>162</v>
      </c>
      <c r="C1337" s="277">
        <v>44672</v>
      </c>
      <c r="D1337" s="277">
        <v>44701</v>
      </c>
      <c r="E1337" s="279" t="s">
        <v>267</v>
      </c>
      <c r="F1337" s="133" t="s">
        <v>41</v>
      </c>
      <c r="G1337" s="270" t="s">
        <v>35</v>
      </c>
      <c r="H1337" s="272" t="s">
        <v>70</v>
      </c>
      <c r="I1337" s="273">
        <v>100</v>
      </c>
      <c r="J1337" s="270">
        <v>2150</v>
      </c>
      <c r="K1337" s="270">
        <f t="shared" si="0"/>
        <v>215000</v>
      </c>
      <c r="L1337" s="286">
        <f t="shared" ref="L1337:L1338" si="1">61399/2159*J1337</f>
        <v>61143.052339045855</v>
      </c>
      <c r="M1337" s="286">
        <v>4400</v>
      </c>
      <c r="N1337" s="274">
        <v>8634</v>
      </c>
      <c r="O1337" s="55"/>
      <c r="P1337" s="105">
        <v>8634</v>
      </c>
      <c r="Q1337" s="286">
        <v>-150</v>
      </c>
      <c r="R1337" s="275">
        <v>0</v>
      </c>
      <c r="S1337" s="286">
        <v>-150</v>
      </c>
      <c r="T1337" s="286">
        <v>13034</v>
      </c>
      <c r="U1337" s="57">
        <v>1</v>
      </c>
      <c r="V1337" s="276">
        <v>0.19</v>
      </c>
      <c r="W1337" s="276">
        <v>0</v>
      </c>
      <c r="X1337" s="286">
        <v>10558</v>
      </c>
      <c r="Y1337" s="286">
        <v>2476</v>
      </c>
      <c r="Z1337" s="45" t="b">
        <v>1</v>
      </c>
      <c r="AA1337" s="45" t="s">
        <v>38</v>
      </c>
      <c r="AB1337" s="45" t="s">
        <v>38</v>
      </c>
    </row>
    <row r="1338" spans="1:28" x14ac:dyDescent="0.2">
      <c r="A1338" s="279" t="s">
        <v>395</v>
      </c>
      <c r="B1338" s="270" t="s">
        <v>162</v>
      </c>
      <c r="C1338" s="277">
        <v>44672</v>
      </c>
      <c r="D1338" s="277">
        <v>44701</v>
      </c>
      <c r="E1338" s="279" t="s">
        <v>267</v>
      </c>
      <c r="F1338" s="133" t="s">
        <v>41</v>
      </c>
      <c r="G1338" s="270" t="s">
        <v>35</v>
      </c>
      <c r="H1338" s="272" t="s">
        <v>84</v>
      </c>
      <c r="I1338" s="273">
        <v>100</v>
      </c>
      <c r="J1338" s="270">
        <v>9</v>
      </c>
      <c r="K1338" s="270">
        <f t="shared" si="0"/>
        <v>900</v>
      </c>
      <c r="L1338" s="286">
        <f t="shared" si="1"/>
        <v>255.94766095414545</v>
      </c>
      <c r="M1338" s="286">
        <v>-400</v>
      </c>
      <c r="N1338" s="274">
        <v>36</v>
      </c>
      <c r="O1338" s="55"/>
      <c r="P1338" s="45">
        <v>36</v>
      </c>
      <c r="Q1338" s="286">
        <v>31</v>
      </c>
      <c r="R1338" s="275">
        <v>0</v>
      </c>
      <c r="S1338" s="286">
        <v>31</v>
      </c>
      <c r="T1338" s="286">
        <v>-364</v>
      </c>
      <c r="U1338" s="57">
        <v>1</v>
      </c>
      <c r="V1338" s="276">
        <v>0.19</v>
      </c>
      <c r="W1338" s="276">
        <v>0</v>
      </c>
      <c r="X1338" s="286">
        <v>-295</v>
      </c>
      <c r="Y1338" s="286">
        <v>-69</v>
      </c>
      <c r="Z1338" s="45" t="b">
        <v>1</v>
      </c>
      <c r="AA1338" s="45" t="s">
        <v>38</v>
      </c>
      <c r="AB1338" s="45" t="s">
        <v>38</v>
      </c>
    </row>
    <row r="1339" spans="1:28" x14ac:dyDescent="0.2">
      <c r="A1339" s="279" t="s">
        <v>395</v>
      </c>
      <c r="B1339" s="270" t="s">
        <v>162</v>
      </c>
      <c r="C1339" s="277">
        <v>44672</v>
      </c>
      <c r="D1339" s="277">
        <v>44701</v>
      </c>
      <c r="E1339" s="279" t="s">
        <v>267</v>
      </c>
      <c r="F1339" s="133" t="s">
        <v>41</v>
      </c>
      <c r="G1339" s="270" t="s">
        <v>35</v>
      </c>
      <c r="H1339" s="272" t="s">
        <v>46</v>
      </c>
      <c r="I1339" s="273">
        <v>25</v>
      </c>
      <c r="J1339" s="270">
        <v>32</v>
      </c>
      <c r="K1339" s="270">
        <f t="shared" si="0"/>
        <v>800</v>
      </c>
      <c r="L1339" s="270">
        <f>1391/16*32</f>
        <v>2782</v>
      </c>
      <c r="M1339" s="270">
        <v>300</v>
      </c>
      <c r="N1339" s="274">
        <v>39</v>
      </c>
      <c r="O1339" s="55"/>
      <c r="P1339" s="45">
        <v>39</v>
      </c>
      <c r="Q1339" s="270">
        <v>78</v>
      </c>
      <c r="R1339" s="275">
        <v>0</v>
      </c>
      <c r="S1339" s="270">
        <v>78</v>
      </c>
      <c r="T1339" s="270">
        <v>339</v>
      </c>
      <c r="U1339" s="57">
        <v>1</v>
      </c>
      <c r="V1339" s="276">
        <v>0.19</v>
      </c>
      <c r="W1339" s="276">
        <v>0</v>
      </c>
      <c r="X1339" s="270">
        <v>275</v>
      </c>
      <c r="Y1339" s="270">
        <v>64</v>
      </c>
      <c r="Z1339" s="45" t="b">
        <v>1</v>
      </c>
      <c r="AA1339" s="45" t="s">
        <v>38</v>
      </c>
      <c r="AB1339" s="45" t="s">
        <v>38</v>
      </c>
    </row>
    <row r="1340" spans="1:28" x14ac:dyDescent="0.2">
      <c r="A1340" s="279" t="s">
        <v>395</v>
      </c>
      <c r="B1340" s="270" t="s">
        <v>162</v>
      </c>
      <c r="C1340" s="277">
        <v>44672</v>
      </c>
      <c r="D1340" s="277">
        <v>44701</v>
      </c>
      <c r="E1340" s="279" t="s">
        <v>267</v>
      </c>
      <c r="F1340" s="133" t="s">
        <v>41</v>
      </c>
      <c r="G1340" s="270" t="s">
        <v>35</v>
      </c>
      <c r="H1340" s="272" t="s">
        <v>87</v>
      </c>
      <c r="I1340" s="273">
        <v>25</v>
      </c>
      <c r="J1340" s="270">
        <v>12</v>
      </c>
      <c r="K1340" s="270">
        <f t="shared" si="0"/>
        <v>300</v>
      </c>
      <c r="L1340" s="270">
        <f>1391/16*12</f>
        <v>1043.25</v>
      </c>
      <c r="M1340" s="270">
        <v>-100</v>
      </c>
      <c r="N1340" s="274">
        <v>14</v>
      </c>
      <c r="O1340" s="55"/>
      <c r="P1340" s="45">
        <v>14</v>
      </c>
      <c r="Q1340" s="270">
        <v>61</v>
      </c>
      <c r="R1340" s="275">
        <v>0</v>
      </c>
      <c r="S1340" s="270">
        <v>61</v>
      </c>
      <c r="T1340" s="270">
        <v>-86</v>
      </c>
      <c r="U1340" s="57">
        <v>1</v>
      </c>
      <c r="V1340" s="276">
        <v>0.19</v>
      </c>
      <c r="W1340" s="276">
        <v>0</v>
      </c>
      <c r="X1340" s="270">
        <v>-70</v>
      </c>
      <c r="Y1340" s="270">
        <v>-16</v>
      </c>
      <c r="Z1340" s="45" t="b">
        <v>1</v>
      </c>
      <c r="AA1340" s="45" t="s">
        <v>38</v>
      </c>
      <c r="AB1340" s="45" t="s">
        <v>38</v>
      </c>
    </row>
    <row r="1341" spans="1:28" x14ac:dyDescent="0.2">
      <c r="A1341" s="279" t="s">
        <v>395</v>
      </c>
      <c r="B1341" s="270" t="s">
        <v>162</v>
      </c>
      <c r="C1341" s="277">
        <v>44672</v>
      </c>
      <c r="D1341" s="277">
        <v>44701</v>
      </c>
      <c r="E1341" s="279" t="s">
        <v>267</v>
      </c>
      <c r="F1341" s="133" t="s">
        <v>41</v>
      </c>
      <c r="G1341" s="270" t="s">
        <v>35</v>
      </c>
      <c r="H1341" s="272" t="s">
        <v>88</v>
      </c>
      <c r="I1341" s="273">
        <v>250</v>
      </c>
      <c r="J1341" s="270">
        <v>39</v>
      </c>
      <c r="K1341" s="270">
        <f t="shared" si="0"/>
        <v>9750</v>
      </c>
      <c r="L1341" s="270">
        <v>-2050</v>
      </c>
      <c r="M1341" s="270">
        <v>-2750</v>
      </c>
      <c r="N1341" s="274">
        <v>391</v>
      </c>
      <c r="O1341" s="55"/>
      <c r="P1341" s="45">
        <v>391</v>
      </c>
      <c r="Q1341" s="270">
        <v>-1466</v>
      </c>
      <c r="R1341" s="275">
        <v>0</v>
      </c>
      <c r="S1341" s="270">
        <v>-1466</v>
      </c>
      <c r="T1341" s="270">
        <v>-2359</v>
      </c>
      <c r="U1341" s="57">
        <v>1</v>
      </c>
      <c r="V1341" s="276">
        <v>0.19</v>
      </c>
      <c r="W1341" s="276">
        <v>0</v>
      </c>
      <c r="X1341" s="270">
        <v>-1911</v>
      </c>
      <c r="Y1341" s="270">
        <v>-448</v>
      </c>
      <c r="Z1341" s="45" t="b">
        <v>1</v>
      </c>
      <c r="AA1341" s="45" t="s">
        <v>38</v>
      </c>
      <c r="AB1341" s="45" t="s">
        <v>38</v>
      </c>
    </row>
    <row r="1342" spans="1:28" x14ac:dyDescent="0.2">
      <c r="A1342" s="279" t="s">
        <v>395</v>
      </c>
      <c r="B1342" s="270" t="s">
        <v>162</v>
      </c>
      <c r="C1342" s="277">
        <v>44672</v>
      </c>
      <c r="D1342" s="277">
        <v>44701</v>
      </c>
      <c r="E1342" s="279" t="s">
        <v>267</v>
      </c>
      <c r="F1342" s="133" t="s">
        <v>41</v>
      </c>
      <c r="G1342" s="270" t="s">
        <v>35</v>
      </c>
      <c r="H1342" s="272" t="s">
        <v>72</v>
      </c>
      <c r="I1342" s="273">
        <v>50</v>
      </c>
      <c r="J1342" s="270">
        <v>83</v>
      </c>
      <c r="K1342" s="270">
        <f t="shared" si="0"/>
        <v>4150</v>
      </c>
      <c r="L1342" s="286">
        <f t="shared" ref="L1342:L1343" si="2">3148/75*J1342</f>
        <v>3483.7866666666669</v>
      </c>
      <c r="M1342" s="286">
        <v>450</v>
      </c>
      <c r="N1342" s="274">
        <v>200</v>
      </c>
      <c r="O1342" s="55"/>
      <c r="P1342" s="45">
        <v>200</v>
      </c>
      <c r="Q1342" s="286">
        <v>57</v>
      </c>
      <c r="R1342" s="275">
        <v>0</v>
      </c>
      <c r="S1342" s="286">
        <v>57</v>
      </c>
      <c r="T1342" s="286">
        <v>650</v>
      </c>
      <c r="U1342" s="57">
        <v>1</v>
      </c>
      <c r="V1342" s="276">
        <v>0.19</v>
      </c>
      <c r="W1342" s="276">
        <v>0</v>
      </c>
      <c r="X1342" s="286">
        <v>527</v>
      </c>
      <c r="Y1342" s="286">
        <v>124</v>
      </c>
      <c r="Z1342" s="45" t="b">
        <v>1</v>
      </c>
      <c r="AA1342" s="45" t="s">
        <v>38</v>
      </c>
      <c r="AB1342" s="45" t="s">
        <v>38</v>
      </c>
    </row>
    <row r="1343" spans="1:28" x14ac:dyDescent="0.2">
      <c r="A1343" s="279" t="s">
        <v>395</v>
      </c>
      <c r="B1343" s="270" t="s">
        <v>162</v>
      </c>
      <c r="C1343" s="277">
        <v>44672</v>
      </c>
      <c r="D1343" s="277">
        <v>44701</v>
      </c>
      <c r="E1343" s="279" t="s">
        <v>267</v>
      </c>
      <c r="F1343" s="133" t="s">
        <v>41</v>
      </c>
      <c r="G1343" s="270" t="s">
        <v>35</v>
      </c>
      <c r="H1343" s="272" t="s">
        <v>85</v>
      </c>
      <c r="I1343" s="273">
        <v>50</v>
      </c>
      <c r="J1343" s="270">
        <v>4</v>
      </c>
      <c r="K1343" s="270">
        <f t="shared" si="0"/>
        <v>200</v>
      </c>
      <c r="L1343" s="286">
        <f t="shared" si="2"/>
        <v>167.89333333333335</v>
      </c>
      <c r="M1343" s="286">
        <v>-100</v>
      </c>
      <c r="N1343" s="274">
        <v>10</v>
      </c>
      <c r="O1343" s="55"/>
      <c r="P1343" s="45">
        <v>10</v>
      </c>
      <c r="Q1343" s="286">
        <v>13</v>
      </c>
      <c r="R1343" s="275">
        <v>0</v>
      </c>
      <c r="S1343" s="286">
        <v>13</v>
      </c>
      <c r="T1343" s="286">
        <v>-90</v>
      </c>
      <c r="U1343" s="57">
        <v>1</v>
      </c>
      <c r="V1343" s="276">
        <v>0.19</v>
      </c>
      <c r="W1343" s="276">
        <v>0</v>
      </c>
      <c r="X1343" s="286">
        <v>-73</v>
      </c>
      <c r="Y1343" s="286">
        <v>-17</v>
      </c>
      <c r="Z1343" s="45" t="b">
        <v>1</v>
      </c>
      <c r="AA1343" s="45" t="s">
        <v>38</v>
      </c>
      <c r="AB1343" s="45" t="s">
        <v>38</v>
      </c>
    </row>
    <row r="1344" spans="1:28" x14ac:dyDescent="0.2">
      <c r="A1344" s="279" t="s">
        <v>395</v>
      </c>
      <c r="B1344" s="270" t="s">
        <v>162</v>
      </c>
      <c r="C1344" s="277">
        <v>44672</v>
      </c>
      <c r="D1344" s="277">
        <v>44701</v>
      </c>
      <c r="E1344" s="279" t="s">
        <v>267</v>
      </c>
      <c r="F1344" s="133" t="s">
        <v>41</v>
      </c>
      <c r="G1344" s="270" t="s">
        <v>35</v>
      </c>
      <c r="H1344" s="272" t="s">
        <v>142</v>
      </c>
      <c r="I1344" s="273">
        <v>500</v>
      </c>
      <c r="J1344" s="270">
        <v>5</v>
      </c>
      <c r="K1344" s="270">
        <f t="shared" si="0"/>
        <v>2500</v>
      </c>
      <c r="L1344" s="270">
        <v>-747</v>
      </c>
      <c r="M1344" s="270">
        <v>-1500</v>
      </c>
      <c r="N1344" s="274">
        <v>100</v>
      </c>
      <c r="O1344" s="55"/>
      <c r="P1344" s="45">
        <v>100</v>
      </c>
      <c r="Q1344" s="270">
        <v>-829</v>
      </c>
      <c r="R1344" s="275">
        <v>0</v>
      </c>
      <c r="S1344" s="270">
        <v>-829</v>
      </c>
      <c r="T1344" s="270">
        <v>-1400</v>
      </c>
      <c r="U1344" s="57">
        <v>1</v>
      </c>
      <c r="V1344" s="276">
        <v>0.19</v>
      </c>
      <c r="W1344" s="276">
        <v>0</v>
      </c>
      <c r="X1344" s="270">
        <v>-1134</v>
      </c>
      <c r="Y1344" s="270">
        <v>-266</v>
      </c>
      <c r="Z1344" s="45" t="b">
        <v>1</v>
      </c>
      <c r="AA1344" s="45" t="s">
        <v>38</v>
      </c>
      <c r="AB1344" s="45" t="s">
        <v>38</v>
      </c>
    </row>
    <row r="1345" spans="1:28" x14ac:dyDescent="0.2">
      <c r="A1345" s="96" t="s">
        <v>402</v>
      </c>
      <c r="B1345" s="96" t="s">
        <v>163</v>
      </c>
      <c r="C1345" s="277">
        <v>44672</v>
      </c>
      <c r="D1345" s="277">
        <v>44701</v>
      </c>
      <c r="E1345" s="270" t="s">
        <v>267</v>
      </c>
      <c r="F1345" s="133" t="s">
        <v>34</v>
      </c>
      <c r="G1345" s="270" t="s">
        <v>35</v>
      </c>
      <c r="H1345" s="272" t="s">
        <v>40</v>
      </c>
      <c r="I1345" s="273">
        <v>10</v>
      </c>
      <c r="J1345" s="270">
        <v>1706</v>
      </c>
      <c r="K1345" s="270">
        <f t="shared" si="0"/>
        <v>17060</v>
      </c>
      <c r="L1345" s="270">
        <v>118874</v>
      </c>
      <c r="M1345" s="270">
        <v>850</v>
      </c>
      <c r="N1345" s="274">
        <v>815</v>
      </c>
      <c r="O1345" s="55"/>
      <c r="P1345" s="45">
        <v>815</v>
      </c>
      <c r="Q1345" s="270">
        <v>887</v>
      </c>
      <c r="R1345" s="275">
        <v>8.8000000000000003E-4</v>
      </c>
      <c r="S1345" s="270">
        <v>902</v>
      </c>
      <c r="T1345" s="270">
        <v>1717</v>
      </c>
      <c r="U1345" s="57">
        <v>1</v>
      </c>
      <c r="V1345" s="276">
        <v>0.2</v>
      </c>
      <c r="W1345" s="276">
        <v>0</v>
      </c>
      <c r="X1345" s="270">
        <v>1374</v>
      </c>
      <c r="Y1345" s="270">
        <v>343</v>
      </c>
      <c r="Z1345" s="45" t="b">
        <v>1</v>
      </c>
      <c r="AA1345" s="45" t="s">
        <v>38</v>
      </c>
      <c r="AB1345" s="45" t="s">
        <v>38</v>
      </c>
    </row>
    <row r="1346" spans="1:28" x14ac:dyDescent="0.2">
      <c r="A1346" s="279" t="s">
        <v>91</v>
      </c>
      <c r="B1346" s="279" t="s">
        <v>96</v>
      </c>
      <c r="C1346" s="277">
        <v>44672</v>
      </c>
      <c r="D1346" s="277">
        <v>44701</v>
      </c>
      <c r="E1346" s="279" t="s">
        <v>267</v>
      </c>
      <c r="F1346" s="133" t="s">
        <v>34</v>
      </c>
      <c r="G1346" s="279" t="s">
        <v>35</v>
      </c>
      <c r="H1346" s="272" t="s">
        <v>46</v>
      </c>
      <c r="I1346" s="273">
        <v>25</v>
      </c>
      <c r="J1346" s="270">
        <v>58</v>
      </c>
      <c r="K1346" s="270">
        <f t="shared" si="0"/>
        <v>1450</v>
      </c>
      <c r="L1346" s="270">
        <v>6005</v>
      </c>
      <c r="M1346" s="270">
        <v>0</v>
      </c>
      <c r="N1346" s="274">
        <v>1</v>
      </c>
      <c r="O1346" s="55"/>
      <c r="P1346" s="45">
        <v>1</v>
      </c>
      <c r="Q1346" s="270">
        <v>187</v>
      </c>
      <c r="R1346" s="275">
        <v>8.8000000000000003E-4</v>
      </c>
      <c r="S1346" s="270">
        <v>188</v>
      </c>
      <c r="T1346" s="270">
        <v>189</v>
      </c>
      <c r="U1346" s="57">
        <v>1</v>
      </c>
      <c r="V1346" s="276">
        <v>0.3</v>
      </c>
      <c r="W1346" s="276">
        <v>0</v>
      </c>
      <c r="X1346" s="270">
        <v>132</v>
      </c>
      <c r="Y1346" s="270">
        <v>57</v>
      </c>
      <c r="Z1346" s="45" t="b">
        <v>1</v>
      </c>
      <c r="AA1346" s="45" t="s">
        <v>38</v>
      </c>
      <c r="AB1346" s="45" t="s">
        <v>38</v>
      </c>
    </row>
    <row r="1347" spans="1:28" x14ac:dyDescent="0.2">
      <c r="A1347" s="96" t="s">
        <v>172</v>
      </c>
      <c r="B1347" s="96" t="s">
        <v>172</v>
      </c>
      <c r="C1347" s="277">
        <v>44672</v>
      </c>
      <c r="D1347" s="277">
        <v>44701</v>
      </c>
      <c r="E1347" s="270" t="s">
        <v>300</v>
      </c>
      <c r="F1347" s="133" t="s">
        <v>34</v>
      </c>
      <c r="G1347" s="96" t="s">
        <v>35</v>
      </c>
      <c r="H1347" s="272" t="s">
        <v>70</v>
      </c>
      <c r="I1347" s="273">
        <v>100</v>
      </c>
      <c r="J1347" s="270">
        <v>4338</v>
      </c>
      <c r="K1347" s="270">
        <f t="shared" si="0"/>
        <v>433800</v>
      </c>
      <c r="L1347" s="270">
        <v>122159</v>
      </c>
      <c r="M1347" s="270">
        <v>-4300</v>
      </c>
      <c r="N1347" s="274">
        <v>7135</v>
      </c>
      <c r="O1347" s="55"/>
      <c r="P1347" s="105">
        <v>7135</v>
      </c>
      <c r="Q1347" s="270">
        <v>-549</v>
      </c>
      <c r="R1347" s="275">
        <v>-1.5E-3</v>
      </c>
      <c r="S1347" s="270">
        <v>-1200</v>
      </c>
      <c r="T1347" s="270">
        <v>5935</v>
      </c>
      <c r="U1347" s="57">
        <v>1</v>
      </c>
      <c r="V1347" s="276">
        <v>0.15</v>
      </c>
      <c r="W1347" s="276">
        <v>0.05</v>
      </c>
      <c r="X1347" s="270">
        <v>4748</v>
      </c>
      <c r="Y1347" s="270">
        <v>1187</v>
      </c>
      <c r="Z1347" s="45" t="b">
        <v>1</v>
      </c>
      <c r="AA1347" s="45" t="s">
        <v>38</v>
      </c>
      <c r="AB1347" s="45" t="s">
        <v>38</v>
      </c>
    </row>
    <row r="1348" spans="1:28" x14ac:dyDescent="0.2">
      <c r="A1348" s="96" t="s">
        <v>172</v>
      </c>
      <c r="B1348" s="96" t="s">
        <v>172</v>
      </c>
      <c r="C1348" s="277">
        <v>44672</v>
      </c>
      <c r="D1348" s="277">
        <v>44701</v>
      </c>
      <c r="E1348" s="270" t="s">
        <v>300</v>
      </c>
      <c r="F1348" s="133" t="s">
        <v>34</v>
      </c>
      <c r="G1348" s="96" t="s">
        <v>35</v>
      </c>
      <c r="H1348" s="272" t="s">
        <v>84</v>
      </c>
      <c r="I1348" s="273">
        <v>100</v>
      </c>
      <c r="J1348" s="270">
        <v>2258</v>
      </c>
      <c r="K1348" s="270">
        <f t="shared" si="0"/>
        <v>225800</v>
      </c>
      <c r="L1348" s="270">
        <v>21437</v>
      </c>
      <c r="M1348" s="270">
        <v>3200</v>
      </c>
      <c r="N1348" s="274">
        <v>3714</v>
      </c>
      <c r="O1348" s="55"/>
      <c r="P1348" s="105">
        <v>3714</v>
      </c>
      <c r="Q1348" s="270">
        <v>-5507</v>
      </c>
      <c r="R1348" s="275">
        <v>-1.5E-3</v>
      </c>
      <c r="S1348" s="270">
        <v>-5845</v>
      </c>
      <c r="T1348" s="270">
        <v>-2131</v>
      </c>
      <c r="U1348" s="57">
        <v>1</v>
      </c>
      <c r="V1348" s="276">
        <v>0.15</v>
      </c>
      <c r="W1348" s="276">
        <v>0.05</v>
      </c>
      <c r="X1348" s="270">
        <v>-1705</v>
      </c>
      <c r="Y1348" s="270">
        <v>-426</v>
      </c>
      <c r="Z1348" s="45" t="b">
        <v>1</v>
      </c>
      <c r="AA1348" s="45" t="s">
        <v>38</v>
      </c>
      <c r="AB1348" s="45" t="s">
        <v>38</v>
      </c>
    </row>
    <row r="1349" spans="1:28" x14ac:dyDescent="0.2">
      <c r="A1349" s="96" t="s">
        <v>172</v>
      </c>
      <c r="B1349" s="96" t="s">
        <v>172</v>
      </c>
      <c r="C1349" s="277">
        <v>44672</v>
      </c>
      <c r="D1349" s="277">
        <v>44701</v>
      </c>
      <c r="E1349" s="270" t="s">
        <v>300</v>
      </c>
      <c r="F1349" s="133" t="s">
        <v>41</v>
      </c>
      <c r="G1349" s="96" t="s">
        <v>35</v>
      </c>
      <c r="H1349" s="272" t="s">
        <v>45</v>
      </c>
      <c r="I1349" s="273">
        <v>0.25</v>
      </c>
      <c r="J1349" s="270">
        <v>7</v>
      </c>
      <c r="K1349" s="270">
        <f t="shared" si="0"/>
        <v>1.75</v>
      </c>
      <c r="L1349" s="270"/>
      <c r="M1349" s="270">
        <v>1</v>
      </c>
      <c r="N1349" s="274"/>
      <c r="O1349" s="55"/>
      <c r="P1349" s="96"/>
      <c r="Q1349" s="270"/>
      <c r="R1349" s="275">
        <v>0</v>
      </c>
      <c r="S1349" s="270"/>
      <c r="T1349" s="270">
        <v>1</v>
      </c>
      <c r="U1349" s="57">
        <v>1</v>
      </c>
      <c r="V1349" s="276">
        <v>0.15</v>
      </c>
      <c r="W1349" s="276">
        <v>0.05</v>
      </c>
      <c r="X1349" s="270">
        <v>1</v>
      </c>
      <c r="Y1349" s="270">
        <v>0</v>
      </c>
      <c r="Z1349" s="45" t="b">
        <v>1</v>
      </c>
      <c r="AA1349" s="45" t="s">
        <v>38</v>
      </c>
      <c r="AB1349" s="45" t="s">
        <v>38</v>
      </c>
    </row>
    <row r="1350" spans="1:28" x14ac:dyDescent="0.2">
      <c r="A1350" s="96" t="s">
        <v>172</v>
      </c>
      <c r="B1350" s="96" t="s">
        <v>172</v>
      </c>
      <c r="C1350" s="277">
        <v>44672</v>
      </c>
      <c r="D1350" s="277">
        <v>44701</v>
      </c>
      <c r="E1350" s="270" t="s">
        <v>300</v>
      </c>
      <c r="F1350" s="133" t="s">
        <v>41</v>
      </c>
      <c r="G1350" s="96" t="s">
        <v>35</v>
      </c>
      <c r="H1350" s="272" t="s">
        <v>72</v>
      </c>
      <c r="I1350" s="273">
        <v>50</v>
      </c>
      <c r="J1350" s="270">
        <v>1</v>
      </c>
      <c r="K1350" s="270">
        <f t="shared" si="0"/>
        <v>50</v>
      </c>
      <c r="L1350" s="270"/>
      <c r="M1350" s="270">
        <v>-50</v>
      </c>
      <c r="N1350" s="274">
        <v>1</v>
      </c>
      <c r="O1350" s="55"/>
      <c r="P1350" s="45">
        <v>1</v>
      </c>
      <c r="Q1350" s="270"/>
      <c r="R1350" s="275">
        <v>0</v>
      </c>
      <c r="S1350" s="270"/>
      <c r="T1350" s="270">
        <v>-49</v>
      </c>
      <c r="U1350" s="57">
        <v>1</v>
      </c>
      <c r="V1350" s="276">
        <v>0.15</v>
      </c>
      <c r="W1350" s="276">
        <v>0.05</v>
      </c>
      <c r="X1350" s="270">
        <v>-39</v>
      </c>
      <c r="Y1350" s="270">
        <v>-10</v>
      </c>
      <c r="Z1350" s="45" t="b">
        <v>1</v>
      </c>
      <c r="AA1350" s="45" t="s">
        <v>38</v>
      </c>
      <c r="AB1350" s="45" t="s">
        <v>38</v>
      </c>
    </row>
    <row r="1351" spans="1:28" x14ac:dyDescent="0.2">
      <c r="A1351" s="279" t="s">
        <v>466</v>
      </c>
      <c r="B1351" s="279" t="s">
        <v>118</v>
      </c>
      <c r="C1351" s="282">
        <v>44672</v>
      </c>
      <c r="D1351" s="277">
        <v>44701</v>
      </c>
      <c r="E1351" s="279" t="s">
        <v>300</v>
      </c>
      <c r="F1351" s="133" t="s">
        <v>34</v>
      </c>
      <c r="G1351" s="270" t="s">
        <v>80</v>
      </c>
      <c r="H1351" s="270" t="s">
        <v>70</v>
      </c>
      <c r="I1351" s="273">
        <v>100</v>
      </c>
      <c r="J1351" s="270">
        <v>8252</v>
      </c>
      <c r="K1351" s="270">
        <f t="shared" si="0"/>
        <v>825200</v>
      </c>
      <c r="L1351" s="270">
        <v>76719</v>
      </c>
      <c r="M1351" s="270">
        <v>-41600</v>
      </c>
      <c r="N1351" s="274">
        <v>46848</v>
      </c>
      <c r="O1351" s="55"/>
      <c r="P1351" s="105">
        <v>46848</v>
      </c>
      <c r="Q1351" s="270">
        <v>-38444</v>
      </c>
      <c r="R1351" s="275">
        <v>8.8000000000000003E-4</v>
      </c>
      <c r="S1351" s="270">
        <v>-37718</v>
      </c>
      <c r="T1351" s="270">
        <v>9130</v>
      </c>
      <c r="U1351" s="57">
        <v>1</v>
      </c>
      <c r="V1351" s="276">
        <v>0.15</v>
      </c>
      <c r="W1351" s="276">
        <v>0.05</v>
      </c>
      <c r="X1351" s="270">
        <v>7304</v>
      </c>
      <c r="Y1351" s="270">
        <v>1826</v>
      </c>
      <c r="Z1351" s="45" t="b">
        <v>1</v>
      </c>
      <c r="AA1351" s="45" t="s">
        <v>38</v>
      </c>
      <c r="AB1351" s="45" t="s">
        <v>38</v>
      </c>
    </row>
    <row r="1352" spans="1:28" x14ac:dyDescent="0.2">
      <c r="A1352" s="96" t="s">
        <v>473</v>
      </c>
      <c r="B1352" s="270" t="s">
        <v>120</v>
      </c>
      <c r="C1352" s="277">
        <v>44672</v>
      </c>
      <c r="D1352" s="277">
        <v>44701</v>
      </c>
      <c r="E1352" s="270" t="s">
        <v>267</v>
      </c>
      <c r="F1352" s="96" t="s">
        <v>34</v>
      </c>
      <c r="G1352" s="270" t="s">
        <v>35</v>
      </c>
      <c r="H1352" s="272" t="s">
        <v>39</v>
      </c>
      <c r="I1352" s="280">
        <v>5</v>
      </c>
      <c r="J1352" s="279">
        <v>2</v>
      </c>
      <c r="K1352" s="270">
        <f t="shared" si="0"/>
        <v>10</v>
      </c>
      <c r="L1352" s="279">
        <v>1385</v>
      </c>
      <c r="M1352" s="279">
        <v>15</v>
      </c>
      <c r="N1352" s="274">
        <v>1</v>
      </c>
      <c r="O1352" s="55"/>
      <c r="P1352" s="45">
        <v>1</v>
      </c>
      <c r="Q1352" s="279">
        <v>12</v>
      </c>
      <c r="R1352" s="275">
        <v>8.8000000000000003E-4</v>
      </c>
      <c r="S1352" s="279">
        <v>12</v>
      </c>
      <c r="T1352" s="279">
        <v>13</v>
      </c>
      <c r="U1352" s="57">
        <v>1</v>
      </c>
      <c r="V1352" s="276">
        <v>0.25</v>
      </c>
      <c r="W1352" s="276">
        <v>0</v>
      </c>
      <c r="X1352" s="279">
        <v>9</v>
      </c>
      <c r="Y1352" s="279">
        <v>3</v>
      </c>
      <c r="Z1352" s="45" t="b">
        <v>1</v>
      </c>
      <c r="AA1352" s="45" t="s">
        <v>38</v>
      </c>
      <c r="AB1352" s="45" t="s">
        <v>38</v>
      </c>
    </row>
    <row r="1353" spans="1:28" x14ac:dyDescent="0.2">
      <c r="A1353" s="96" t="s">
        <v>473</v>
      </c>
      <c r="B1353" s="270" t="s">
        <v>120</v>
      </c>
      <c r="C1353" s="277">
        <v>44672</v>
      </c>
      <c r="D1353" s="277">
        <v>44701</v>
      </c>
      <c r="E1353" s="270" t="s">
        <v>267</v>
      </c>
      <c r="F1353" s="96" t="s">
        <v>34</v>
      </c>
      <c r="G1353" s="270" t="s">
        <v>35</v>
      </c>
      <c r="H1353" s="272" t="s">
        <v>40</v>
      </c>
      <c r="I1353" s="280">
        <v>10</v>
      </c>
      <c r="J1353" s="279">
        <v>2757</v>
      </c>
      <c r="K1353" s="270">
        <f t="shared" si="0"/>
        <v>27570</v>
      </c>
      <c r="L1353" s="279">
        <v>164495</v>
      </c>
      <c r="M1353" s="279">
        <v>200</v>
      </c>
      <c r="N1353" s="274">
        <v>1503</v>
      </c>
      <c r="O1353" s="55"/>
      <c r="P1353" s="105">
        <v>1503</v>
      </c>
      <c r="Q1353" s="279">
        <v>977</v>
      </c>
      <c r="R1353" s="275">
        <v>8.8000000000000003E-4</v>
      </c>
      <c r="S1353" s="279">
        <v>1001</v>
      </c>
      <c r="T1353" s="279">
        <v>2504</v>
      </c>
      <c r="U1353" s="57">
        <v>1</v>
      </c>
      <c r="V1353" s="276">
        <v>0.25</v>
      </c>
      <c r="W1353" s="276">
        <v>0</v>
      </c>
      <c r="X1353" s="279">
        <v>1878</v>
      </c>
      <c r="Y1353" s="279">
        <v>626</v>
      </c>
      <c r="Z1353" s="45" t="b">
        <v>1</v>
      </c>
      <c r="AA1353" s="45" t="s">
        <v>38</v>
      </c>
      <c r="AB1353" s="45" t="s">
        <v>38</v>
      </c>
    </row>
    <row r="1354" spans="1:28" x14ac:dyDescent="0.2">
      <c r="A1354" s="96" t="s">
        <v>178</v>
      </c>
      <c r="B1354" s="96" t="s">
        <v>178</v>
      </c>
      <c r="C1354" s="277">
        <v>44672</v>
      </c>
      <c r="D1354" s="277">
        <v>44701</v>
      </c>
      <c r="E1354" s="279" t="s">
        <v>267</v>
      </c>
      <c r="F1354" s="133" t="s">
        <v>34</v>
      </c>
      <c r="G1354" s="270" t="s">
        <v>35</v>
      </c>
      <c r="H1354" s="272" t="s">
        <v>39</v>
      </c>
      <c r="I1354" s="280">
        <v>5</v>
      </c>
      <c r="J1354" s="279">
        <v>16</v>
      </c>
      <c r="K1354" s="270">
        <f t="shared" si="0"/>
        <v>80</v>
      </c>
      <c r="L1354" s="279">
        <v>1437</v>
      </c>
      <c r="M1354" s="279">
        <v>0</v>
      </c>
      <c r="N1354" s="274">
        <v>3</v>
      </c>
      <c r="O1354" s="55"/>
      <c r="P1354" s="45">
        <v>3</v>
      </c>
      <c r="Q1354" s="279">
        <v>6</v>
      </c>
      <c r="R1354" s="275">
        <v>8.8000000000000003E-4</v>
      </c>
      <c r="S1354" s="279">
        <v>6</v>
      </c>
      <c r="T1354" s="279">
        <v>9</v>
      </c>
      <c r="U1354" s="57">
        <v>1</v>
      </c>
      <c r="V1354" s="276">
        <v>0.2</v>
      </c>
      <c r="W1354" s="276">
        <v>0</v>
      </c>
      <c r="X1354" s="279">
        <v>7</v>
      </c>
      <c r="Y1354" s="279">
        <v>2</v>
      </c>
      <c r="Z1354" s="45" t="b">
        <v>1</v>
      </c>
      <c r="AA1354" s="45" t="s">
        <v>38</v>
      </c>
      <c r="AB1354" s="45" t="s">
        <v>38</v>
      </c>
    </row>
    <row r="1355" spans="1:28" x14ac:dyDescent="0.2">
      <c r="A1355" s="96" t="s">
        <v>178</v>
      </c>
      <c r="B1355" s="96" t="s">
        <v>178</v>
      </c>
      <c r="C1355" s="277">
        <v>44672</v>
      </c>
      <c r="D1355" s="277">
        <v>44701</v>
      </c>
      <c r="E1355" s="279" t="s">
        <v>267</v>
      </c>
      <c r="F1355" s="133" t="s">
        <v>34</v>
      </c>
      <c r="G1355" s="270" t="s">
        <v>35</v>
      </c>
      <c r="H1355" s="272" t="s">
        <v>90</v>
      </c>
      <c r="I1355" s="280">
        <v>5</v>
      </c>
      <c r="J1355" s="279">
        <v>19</v>
      </c>
      <c r="K1355" s="270">
        <f t="shared" si="0"/>
        <v>95</v>
      </c>
      <c r="L1355" s="279">
        <v>-695</v>
      </c>
      <c r="M1355" s="279">
        <v>-45</v>
      </c>
      <c r="N1355" s="274">
        <v>4</v>
      </c>
      <c r="O1355" s="55"/>
      <c r="P1355" s="45">
        <v>4</v>
      </c>
      <c r="Q1355" s="279">
        <v>-19</v>
      </c>
      <c r="R1355" s="275">
        <v>8.8000000000000003E-4</v>
      </c>
      <c r="S1355" s="279">
        <v>-19</v>
      </c>
      <c r="T1355" s="279">
        <v>-15</v>
      </c>
      <c r="U1355" s="57">
        <v>1</v>
      </c>
      <c r="V1355" s="276">
        <v>0.2</v>
      </c>
      <c r="W1355" s="276">
        <v>0</v>
      </c>
      <c r="X1355" s="279">
        <v>-12</v>
      </c>
      <c r="Y1355" s="279">
        <v>-3</v>
      </c>
      <c r="Z1355" s="45" t="b">
        <v>1</v>
      </c>
      <c r="AA1355" s="45" t="s">
        <v>38</v>
      </c>
      <c r="AB1355" s="45" t="s">
        <v>38</v>
      </c>
    </row>
    <row r="1356" spans="1:28" x14ac:dyDescent="0.2">
      <c r="A1356" s="96" t="s">
        <v>178</v>
      </c>
      <c r="B1356" s="96" t="s">
        <v>178</v>
      </c>
      <c r="C1356" s="277">
        <v>44672</v>
      </c>
      <c r="D1356" s="277">
        <v>44701</v>
      </c>
      <c r="E1356" s="279" t="s">
        <v>267</v>
      </c>
      <c r="F1356" s="133" t="s">
        <v>34</v>
      </c>
      <c r="G1356" s="270" t="s">
        <v>35</v>
      </c>
      <c r="H1356" s="272" t="s">
        <v>40</v>
      </c>
      <c r="I1356" s="280">
        <v>10</v>
      </c>
      <c r="J1356" s="279">
        <v>1840</v>
      </c>
      <c r="K1356" s="270">
        <f t="shared" si="0"/>
        <v>18400</v>
      </c>
      <c r="L1356" s="279">
        <v>98455</v>
      </c>
      <c r="M1356" s="279">
        <v>320</v>
      </c>
      <c r="N1356" s="274">
        <v>625</v>
      </c>
      <c r="O1356" s="55"/>
      <c r="P1356" s="45">
        <v>625</v>
      </c>
      <c r="Q1356" s="279">
        <v>444</v>
      </c>
      <c r="R1356" s="275">
        <v>8.8000000000000003E-4</v>
      </c>
      <c r="S1356" s="279">
        <v>461</v>
      </c>
      <c r="T1356" s="279">
        <v>1086</v>
      </c>
      <c r="U1356" s="57">
        <v>1</v>
      </c>
      <c r="V1356" s="276">
        <v>0.2</v>
      </c>
      <c r="W1356" s="276">
        <v>0</v>
      </c>
      <c r="X1356" s="279">
        <v>868</v>
      </c>
      <c r="Y1356" s="279">
        <v>217</v>
      </c>
      <c r="Z1356" s="45" t="b">
        <v>1</v>
      </c>
      <c r="AA1356" s="45" t="s">
        <v>38</v>
      </c>
      <c r="AB1356" s="45" t="s">
        <v>38</v>
      </c>
    </row>
    <row r="1357" spans="1:28" x14ac:dyDescent="0.2">
      <c r="A1357" s="96" t="s">
        <v>178</v>
      </c>
      <c r="B1357" s="96" t="s">
        <v>178</v>
      </c>
      <c r="C1357" s="277">
        <v>44672</v>
      </c>
      <c r="D1357" s="277">
        <v>44701</v>
      </c>
      <c r="E1357" s="279" t="s">
        <v>267</v>
      </c>
      <c r="F1357" s="133" t="s">
        <v>34</v>
      </c>
      <c r="G1357" s="270" t="s">
        <v>35</v>
      </c>
      <c r="H1357" s="272" t="s">
        <v>115</v>
      </c>
      <c r="I1357" s="280">
        <v>10</v>
      </c>
      <c r="J1357" s="279">
        <v>348</v>
      </c>
      <c r="K1357" s="270">
        <f t="shared" si="0"/>
        <v>3480</v>
      </c>
      <c r="L1357" s="279">
        <v>-93</v>
      </c>
      <c r="M1357" s="279">
        <v>-350</v>
      </c>
      <c r="N1357" s="274">
        <v>118</v>
      </c>
      <c r="O1357" s="55"/>
      <c r="P1357" s="45">
        <v>118</v>
      </c>
      <c r="Q1357" s="279">
        <v>-260</v>
      </c>
      <c r="R1357" s="275">
        <v>8.8000000000000003E-4</v>
      </c>
      <c r="S1357" s="279">
        <v>-257</v>
      </c>
      <c r="T1357" s="279">
        <v>-139</v>
      </c>
      <c r="U1357" s="57">
        <v>1</v>
      </c>
      <c r="V1357" s="276">
        <v>0.2</v>
      </c>
      <c r="W1357" s="276">
        <v>0</v>
      </c>
      <c r="X1357" s="279">
        <v>-111</v>
      </c>
      <c r="Y1357" s="279">
        <v>-28</v>
      </c>
      <c r="Z1357" s="45" t="b">
        <v>1</v>
      </c>
      <c r="AA1357" s="45" t="s">
        <v>38</v>
      </c>
      <c r="AB1357" s="45" t="s">
        <v>38</v>
      </c>
    </row>
    <row r="1358" spans="1:28" x14ac:dyDescent="0.2">
      <c r="A1358" s="96" t="s">
        <v>178</v>
      </c>
      <c r="B1358" s="279" t="s">
        <v>1000</v>
      </c>
      <c r="C1358" s="277">
        <v>44672</v>
      </c>
      <c r="D1358" s="277">
        <v>44701</v>
      </c>
      <c r="E1358" s="279" t="s">
        <v>267</v>
      </c>
      <c r="F1358" s="96" t="s">
        <v>34</v>
      </c>
      <c r="G1358" s="279" t="s">
        <v>61</v>
      </c>
      <c r="H1358" s="272" t="s">
        <v>64</v>
      </c>
      <c r="I1358" s="280">
        <v>10</v>
      </c>
      <c r="J1358" s="279">
        <v>31</v>
      </c>
      <c r="K1358" s="270">
        <f t="shared" si="0"/>
        <v>310</v>
      </c>
      <c r="L1358" s="279">
        <v>-922</v>
      </c>
      <c r="M1358" s="279">
        <v>42</v>
      </c>
      <c r="N1358" s="274"/>
      <c r="O1358" s="55"/>
      <c r="P1358" s="96"/>
      <c r="Q1358" s="279">
        <v>-44</v>
      </c>
      <c r="R1358" s="275">
        <v>8.8000000000000003E-4</v>
      </c>
      <c r="S1358" s="279">
        <v>-44</v>
      </c>
      <c r="T1358" s="279">
        <v>-44</v>
      </c>
      <c r="U1358" s="57">
        <v>1.0549999999999999</v>
      </c>
      <c r="V1358" s="276">
        <v>0.2</v>
      </c>
      <c r="W1358" s="276">
        <v>0</v>
      </c>
      <c r="X1358" s="279">
        <v>-37</v>
      </c>
      <c r="Y1358" s="279">
        <v>-9</v>
      </c>
      <c r="Z1358" s="45" t="b">
        <v>1</v>
      </c>
      <c r="AA1358" s="45" t="s">
        <v>38</v>
      </c>
      <c r="AB1358" s="45" t="s">
        <v>50</v>
      </c>
    </row>
    <row r="1359" spans="1:28" x14ac:dyDescent="0.2">
      <c r="A1359" s="96" t="s">
        <v>102</v>
      </c>
      <c r="B1359" s="96" t="s">
        <v>97</v>
      </c>
      <c r="C1359" s="277">
        <v>44672</v>
      </c>
      <c r="D1359" s="277">
        <v>44701</v>
      </c>
      <c r="E1359" s="270" t="s">
        <v>267</v>
      </c>
      <c r="F1359" s="96" t="s">
        <v>34</v>
      </c>
      <c r="G1359" s="270" t="s">
        <v>80</v>
      </c>
      <c r="H1359" s="272" t="s">
        <v>71</v>
      </c>
      <c r="I1359" s="273">
        <v>20</v>
      </c>
      <c r="J1359" s="270">
        <v>3731</v>
      </c>
      <c r="K1359" s="270">
        <f t="shared" si="0"/>
        <v>74620</v>
      </c>
      <c r="L1359" s="270">
        <v>32609</v>
      </c>
      <c r="M1359" s="270">
        <v>-1820</v>
      </c>
      <c r="N1359" s="274">
        <v>4122</v>
      </c>
      <c r="O1359" s="55"/>
      <c r="P1359" s="105">
        <v>4122</v>
      </c>
      <c r="Q1359" s="270">
        <v>-3569</v>
      </c>
      <c r="R1359" s="275">
        <v>8.8000000000000003E-4</v>
      </c>
      <c r="S1359" s="270">
        <v>-3503</v>
      </c>
      <c r="T1359" s="270">
        <v>619</v>
      </c>
      <c r="U1359" s="57">
        <v>1</v>
      </c>
      <c r="V1359" s="276">
        <v>0.2</v>
      </c>
      <c r="W1359" s="276">
        <v>0</v>
      </c>
      <c r="X1359" s="270">
        <v>495</v>
      </c>
      <c r="Y1359" s="270">
        <v>124</v>
      </c>
      <c r="Z1359" s="45" t="b">
        <v>1</v>
      </c>
      <c r="AA1359" s="45" t="s">
        <v>38</v>
      </c>
      <c r="AB1359" s="45" t="s">
        <v>38</v>
      </c>
    </row>
    <row r="1360" spans="1:28" x14ac:dyDescent="0.2">
      <c r="A1360" s="96" t="s">
        <v>102</v>
      </c>
      <c r="B1360" s="96" t="s">
        <v>97</v>
      </c>
      <c r="C1360" s="277">
        <v>44672</v>
      </c>
      <c r="D1360" s="277">
        <v>44701</v>
      </c>
      <c r="E1360" s="270" t="s">
        <v>267</v>
      </c>
      <c r="F1360" s="96" t="s">
        <v>34</v>
      </c>
      <c r="G1360" s="270" t="s">
        <v>80</v>
      </c>
      <c r="H1360" s="272" t="s">
        <v>72</v>
      </c>
      <c r="I1360" s="273">
        <v>50</v>
      </c>
      <c r="J1360" s="270">
        <v>569</v>
      </c>
      <c r="K1360" s="270">
        <f t="shared" si="0"/>
        <v>28450</v>
      </c>
      <c r="L1360" s="270">
        <v>2136</v>
      </c>
      <c r="M1360" s="270">
        <v>-4250</v>
      </c>
      <c r="N1360" s="274">
        <v>1727</v>
      </c>
      <c r="O1360" s="55"/>
      <c r="P1360" s="105">
        <v>1727</v>
      </c>
      <c r="Q1360" s="270">
        <v>-1769</v>
      </c>
      <c r="R1360" s="275">
        <v>8.8000000000000003E-4</v>
      </c>
      <c r="S1360" s="270">
        <v>-1744</v>
      </c>
      <c r="T1360" s="270">
        <v>-17</v>
      </c>
      <c r="U1360" s="57">
        <v>1</v>
      </c>
      <c r="V1360" s="276">
        <v>0.2</v>
      </c>
      <c r="W1360" s="276">
        <v>0</v>
      </c>
      <c r="X1360" s="270">
        <v>-14</v>
      </c>
      <c r="Y1360" s="270">
        <v>-3</v>
      </c>
      <c r="Z1360" s="45" t="b">
        <v>1</v>
      </c>
      <c r="AA1360" s="45" t="s">
        <v>38</v>
      </c>
      <c r="AB1360" s="45" t="s">
        <v>38</v>
      </c>
    </row>
    <row r="1361" spans="1:28" x14ac:dyDescent="0.2">
      <c r="A1361" s="96" t="s">
        <v>102</v>
      </c>
      <c r="B1361" s="96" t="s">
        <v>97</v>
      </c>
      <c r="C1361" s="277">
        <v>44672</v>
      </c>
      <c r="D1361" s="277">
        <v>44701</v>
      </c>
      <c r="E1361" s="270" t="s">
        <v>267</v>
      </c>
      <c r="F1361" s="96" t="s">
        <v>34</v>
      </c>
      <c r="G1361" s="270" t="s">
        <v>80</v>
      </c>
      <c r="H1361" s="272" t="s">
        <v>70</v>
      </c>
      <c r="I1361" s="273">
        <v>100</v>
      </c>
      <c r="J1361" s="270">
        <v>1</v>
      </c>
      <c r="K1361" s="270">
        <f t="shared" si="0"/>
        <v>100</v>
      </c>
      <c r="L1361" s="270">
        <v>182</v>
      </c>
      <c r="M1361" s="270">
        <v>-100</v>
      </c>
      <c r="N1361" s="274">
        <v>6.07</v>
      </c>
      <c r="O1361" s="55"/>
      <c r="P1361" s="45">
        <v>6</v>
      </c>
      <c r="Q1361" s="270">
        <v>45</v>
      </c>
      <c r="R1361" s="275">
        <v>8.8000000000000003E-4</v>
      </c>
      <c r="S1361" s="270">
        <v>45</v>
      </c>
      <c r="T1361" s="270">
        <v>51</v>
      </c>
      <c r="U1361" s="57">
        <v>1</v>
      </c>
      <c r="V1361" s="276">
        <v>0.2</v>
      </c>
      <c r="W1361" s="276">
        <v>0</v>
      </c>
      <c r="X1361" s="270">
        <v>41</v>
      </c>
      <c r="Y1361" s="270">
        <v>10</v>
      </c>
      <c r="Z1361" s="45" t="b">
        <v>1</v>
      </c>
      <c r="AA1361" s="45" t="s">
        <v>38</v>
      </c>
      <c r="AB1361" s="45" t="s">
        <v>38</v>
      </c>
    </row>
    <row r="1362" spans="1:28" x14ac:dyDescent="0.2">
      <c r="A1362" s="96" t="s">
        <v>102</v>
      </c>
      <c r="B1362" s="96" t="s">
        <v>107</v>
      </c>
      <c r="C1362" s="277">
        <v>44672</v>
      </c>
      <c r="D1362" s="277">
        <v>44701</v>
      </c>
      <c r="E1362" s="270" t="s">
        <v>267</v>
      </c>
      <c r="F1362" s="96" t="s">
        <v>34</v>
      </c>
      <c r="G1362" s="270" t="s">
        <v>61</v>
      </c>
      <c r="H1362" s="272" t="s">
        <v>179</v>
      </c>
      <c r="I1362" s="273">
        <v>25</v>
      </c>
      <c r="J1362" s="270">
        <v>18</v>
      </c>
      <c r="K1362" s="270">
        <f t="shared" si="0"/>
        <v>450</v>
      </c>
      <c r="L1362" s="270">
        <v>1893</v>
      </c>
      <c r="M1362" s="270">
        <v>264</v>
      </c>
      <c r="N1362" s="274">
        <v>45</v>
      </c>
      <c r="O1362" s="55"/>
      <c r="P1362" s="45">
        <v>45</v>
      </c>
      <c r="Q1362" s="270">
        <v>44</v>
      </c>
      <c r="R1362" s="275">
        <v>8.8000000000000003E-4</v>
      </c>
      <c r="S1362" s="270">
        <v>44</v>
      </c>
      <c r="T1362" s="270">
        <v>89</v>
      </c>
      <c r="U1362" s="57">
        <v>1.0549999999999999</v>
      </c>
      <c r="V1362" s="276">
        <v>0.2</v>
      </c>
      <c r="W1362" s="276">
        <v>0</v>
      </c>
      <c r="X1362" s="270">
        <v>75</v>
      </c>
      <c r="Y1362" s="270">
        <v>19</v>
      </c>
      <c r="Z1362" s="45" t="b">
        <v>1</v>
      </c>
      <c r="AA1362" s="45" t="s">
        <v>38</v>
      </c>
      <c r="AB1362" s="45" t="s">
        <v>50</v>
      </c>
    </row>
    <row r="1363" spans="1:28" x14ac:dyDescent="0.2">
      <c r="A1363" s="96" t="s">
        <v>102</v>
      </c>
      <c r="B1363" s="96" t="s">
        <v>107</v>
      </c>
      <c r="C1363" s="277">
        <v>44672</v>
      </c>
      <c r="D1363" s="277">
        <v>44701</v>
      </c>
      <c r="E1363" s="270" t="s">
        <v>267</v>
      </c>
      <c r="F1363" s="96" t="s">
        <v>34</v>
      </c>
      <c r="G1363" s="270" t="s">
        <v>61</v>
      </c>
      <c r="H1363" s="272" t="s">
        <v>112</v>
      </c>
      <c r="I1363" s="273">
        <v>50</v>
      </c>
      <c r="J1363" s="270">
        <v>557</v>
      </c>
      <c r="K1363" s="270">
        <f t="shared" si="0"/>
        <v>27850</v>
      </c>
      <c r="L1363" s="270">
        <v>31649</v>
      </c>
      <c r="M1363" s="270">
        <v>475</v>
      </c>
      <c r="N1363" s="274">
        <v>200</v>
      </c>
      <c r="O1363" s="55"/>
      <c r="P1363" s="45">
        <v>200</v>
      </c>
      <c r="Q1363" s="270">
        <v>363</v>
      </c>
      <c r="R1363" s="275">
        <v>8.8000000000000003E-4</v>
      </c>
      <c r="S1363" s="270">
        <v>388</v>
      </c>
      <c r="T1363" s="270">
        <v>588</v>
      </c>
      <c r="U1363" s="57">
        <v>1.0549999999999999</v>
      </c>
      <c r="V1363" s="276">
        <v>0.2</v>
      </c>
      <c r="W1363" s="276">
        <v>0</v>
      </c>
      <c r="X1363" s="270">
        <v>496</v>
      </c>
      <c r="Y1363" s="270">
        <v>124</v>
      </c>
      <c r="Z1363" s="45" t="b">
        <v>1</v>
      </c>
      <c r="AA1363" s="45" t="s">
        <v>38</v>
      </c>
      <c r="AB1363" s="45" t="s">
        <v>50</v>
      </c>
    </row>
    <row r="1364" spans="1:28" x14ac:dyDescent="0.2">
      <c r="A1364" s="96" t="s">
        <v>102</v>
      </c>
      <c r="B1364" s="96" t="s">
        <v>102</v>
      </c>
      <c r="C1364" s="277">
        <v>44672</v>
      </c>
      <c r="D1364" s="277">
        <v>44701</v>
      </c>
      <c r="E1364" s="270" t="s">
        <v>267</v>
      </c>
      <c r="F1364" s="96" t="s">
        <v>34</v>
      </c>
      <c r="G1364" s="270" t="s">
        <v>35</v>
      </c>
      <c r="H1364" s="272" t="s">
        <v>46</v>
      </c>
      <c r="I1364" s="273">
        <v>25</v>
      </c>
      <c r="J1364" s="270">
        <v>51</v>
      </c>
      <c r="K1364" s="270">
        <f t="shared" si="0"/>
        <v>1275</v>
      </c>
      <c r="L1364" s="270">
        <v>3448</v>
      </c>
      <c r="M1364" s="270">
        <v>175</v>
      </c>
      <c r="N1364" s="274">
        <v>214</v>
      </c>
      <c r="O1364" s="55"/>
      <c r="P1364" s="45">
        <v>214</v>
      </c>
      <c r="Q1364" s="270">
        <v>78</v>
      </c>
      <c r="R1364" s="275">
        <v>8.8000000000000003E-4</v>
      </c>
      <c r="S1364" s="270">
        <v>79</v>
      </c>
      <c r="T1364" s="270">
        <v>293</v>
      </c>
      <c r="U1364" s="57">
        <v>1</v>
      </c>
      <c r="V1364" s="276">
        <v>0.2</v>
      </c>
      <c r="W1364" s="276">
        <v>0</v>
      </c>
      <c r="X1364" s="270">
        <v>235</v>
      </c>
      <c r="Y1364" s="270">
        <v>59</v>
      </c>
      <c r="Z1364" s="45" t="b">
        <v>1</v>
      </c>
      <c r="AA1364" s="45" t="s">
        <v>38</v>
      </c>
      <c r="AB1364" s="45" t="s">
        <v>38</v>
      </c>
    </row>
    <row r="1365" spans="1:28" x14ac:dyDescent="0.2">
      <c r="A1365" s="96" t="s">
        <v>102</v>
      </c>
      <c r="B1365" s="96" t="s">
        <v>102</v>
      </c>
      <c r="C1365" s="277">
        <v>44672</v>
      </c>
      <c r="D1365" s="277">
        <v>44701</v>
      </c>
      <c r="E1365" s="270" t="s">
        <v>267</v>
      </c>
      <c r="F1365" s="96" t="s">
        <v>34</v>
      </c>
      <c r="G1365" s="270" t="s">
        <v>35</v>
      </c>
      <c r="H1365" s="272" t="s">
        <v>72</v>
      </c>
      <c r="I1365" s="273">
        <v>50</v>
      </c>
      <c r="J1365" s="270">
        <v>28</v>
      </c>
      <c r="K1365" s="270">
        <f t="shared" si="0"/>
        <v>1400</v>
      </c>
      <c r="L1365" s="270">
        <v>780</v>
      </c>
      <c r="M1365" s="270">
        <v>0</v>
      </c>
      <c r="N1365" s="274">
        <v>235</v>
      </c>
      <c r="O1365" s="55"/>
      <c r="P1365" s="45">
        <v>235</v>
      </c>
      <c r="Q1365" s="270">
        <v>-17</v>
      </c>
      <c r="R1365" s="275">
        <v>8.8000000000000003E-4</v>
      </c>
      <c r="S1365" s="270">
        <v>-16</v>
      </c>
      <c r="T1365" s="270">
        <v>219</v>
      </c>
      <c r="U1365" s="57">
        <v>1</v>
      </c>
      <c r="V1365" s="276">
        <v>0.2</v>
      </c>
      <c r="W1365" s="276">
        <v>0</v>
      </c>
      <c r="X1365" s="270">
        <v>175</v>
      </c>
      <c r="Y1365" s="270">
        <v>44</v>
      </c>
      <c r="Z1365" s="45" t="b">
        <v>1</v>
      </c>
      <c r="AA1365" s="45" t="s">
        <v>38</v>
      </c>
      <c r="AB1365" s="45" t="s">
        <v>38</v>
      </c>
    </row>
    <row r="1366" spans="1:28" x14ac:dyDescent="0.2">
      <c r="A1366" s="96" t="s">
        <v>508</v>
      </c>
      <c r="B1366" s="96" t="s">
        <v>185</v>
      </c>
      <c r="C1366" s="277">
        <v>44672</v>
      </c>
      <c r="D1366" s="277">
        <v>44701</v>
      </c>
      <c r="E1366" s="270" t="s">
        <v>300</v>
      </c>
      <c r="F1366" s="133" t="s">
        <v>34</v>
      </c>
      <c r="G1366" s="270" t="s">
        <v>80</v>
      </c>
      <c r="H1366" s="272" t="s">
        <v>70</v>
      </c>
      <c r="I1366" s="273">
        <v>100</v>
      </c>
      <c r="J1366" s="270">
        <v>466</v>
      </c>
      <c r="K1366" s="270">
        <f t="shared" si="0"/>
        <v>46600</v>
      </c>
      <c r="L1366" s="270">
        <v>5102</v>
      </c>
      <c r="M1366" s="270">
        <v>-3300</v>
      </c>
      <c r="N1366" s="274">
        <v>2532.75</v>
      </c>
      <c r="O1366" s="55"/>
      <c r="P1366" s="105">
        <v>2533</v>
      </c>
      <c r="Q1366" s="270">
        <v>-1950</v>
      </c>
      <c r="R1366" s="275">
        <v>8.8000000000000003E-4</v>
      </c>
      <c r="S1366" s="270">
        <v>-1909</v>
      </c>
      <c r="T1366" s="270">
        <v>624</v>
      </c>
      <c r="U1366" s="57">
        <v>1</v>
      </c>
      <c r="V1366" s="276">
        <v>0.09</v>
      </c>
      <c r="W1366" s="276">
        <v>0.03</v>
      </c>
      <c r="X1366" s="270">
        <v>549</v>
      </c>
      <c r="Y1366" s="270">
        <v>75</v>
      </c>
      <c r="Z1366" s="45" t="b">
        <v>1</v>
      </c>
      <c r="AA1366" s="45" t="s">
        <v>38</v>
      </c>
      <c r="AB1366" s="45" t="s">
        <v>38</v>
      </c>
    </row>
    <row r="1367" spans="1:28" x14ac:dyDescent="0.2">
      <c r="A1367" s="96" t="s">
        <v>508</v>
      </c>
      <c r="B1367" s="96" t="s">
        <v>185</v>
      </c>
      <c r="C1367" s="277">
        <v>44672</v>
      </c>
      <c r="D1367" s="277">
        <v>44701</v>
      </c>
      <c r="E1367" s="270" t="s">
        <v>300</v>
      </c>
      <c r="F1367" s="133" t="s">
        <v>34</v>
      </c>
      <c r="G1367" s="270" t="s">
        <v>80</v>
      </c>
      <c r="H1367" s="272" t="s">
        <v>153</v>
      </c>
      <c r="I1367" s="273">
        <v>200</v>
      </c>
      <c r="J1367" s="270">
        <v>2709</v>
      </c>
      <c r="K1367" s="270">
        <f t="shared" si="0"/>
        <v>541800</v>
      </c>
      <c r="L1367" s="270">
        <v>6716</v>
      </c>
      <c r="M1367" s="270">
        <v>-22200</v>
      </c>
      <c r="N1367" s="274">
        <v>29447.25</v>
      </c>
      <c r="O1367" s="55"/>
      <c r="P1367" s="105">
        <v>29447</v>
      </c>
      <c r="Q1367" s="270">
        <v>-35868</v>
      </c>
      <c r="R1367" s="275">
        <v>8.8000000000000003E-4</v>
      </c>
      <c r="S1367" s="270">
        <v>-35391</v>
      </c>
      <c r="T1367" s="270">
        <v>-5944</v>
      </c>
      <c r="U1367" s="57">
        <v>1</v>
      </c>
      <c r="V1367" s="276">
        <v>0.09</v>
      </c>
      <c r="W1367" s="276">
        <v>0.03</v>
      </c>
      <c r="X1367" s="270">
        <v>-5231</v>
      </c>
      <c r="Y1367" s="270">
        <v>-713</v>
      </c>
      <c r="Z1367" s="45" t="b">
        <v>1</v>
      </c>
      <c r="AA1367" s="45" t="s">
        <v>38</v>
      </c>
      <c r="AB1367" s="45" t="s">
        <v>38</v>
      </c>
    </row>
    <row r="1368" spans="1:28" x14ac:dyDescent="0.2">
      <c r="A1368" s="96" t="s">
        <v>113</v>
      </c>
      <c r="B1368" s="96" t="s">
        <v>113</v>
      </c>
      <c r="C1368" s="277">
        <v>44672</v>
      </c>
      <c r="D1368" s="277">
        <v>44701</v>
      </c>
      <c r="E1368" s="270" t="s">
        <v>267</v>
      </c>
      <c r="F1368" s="133" t="s">
        <v>34</v>
      </c>
      <c r="G1368" s="96" t="s">
        <v>35</v>
      </c>
      <c r="H1368" s="272" t="s">
        <v>40</v>
      </c>
      <c r="I1368" s="273">
        <v>10</v>
      </c>
      <c r="J1368" s="270">
        <v>2691</v>
      </c>
      <c r="K1368" s="270">
        <f t="shared" si="0"/>
        <v>26910</v>
      </c>
      <c r="L1368" s="270">
        <v>81314</v>
      </c>
      <c r="M1368" s="270">
        <v>-990</v>
      </c>
      <c r="N1368" s="274">
        <v>1945</v>
      </c>
      <c r="O1368" s="55"/>
      <c r="P1368" s="105">
        <v>1945</v>
      </c>
      <c r="Q1368" s="270">
        <v>-500</v>
      </c>
      <c r="R1368" s="275">
        <v>8.8000000000000003E-4</v>
      </c>
      <c r="S1368" s="270">
        <v>-476</v>
      </c>
      <c r="T1368" s="270">
        <v>1469</v>
      </c>
      <c r="U1368" s="57">
        <v>1</v>
      </c>
      <c r="V1368" s="276">
        <v>0.25</v>
      </c>
      <c r="W1368" s="276">
        <v>0</v>
      </c>
      <c r="X1368" s="270">
        <v>1102</v>
      </c>
      <c r="Y1368" s="270">
        <v>367</v>
      </c>
      <c r="Z1368" s="45" t="b">
        <v>1</v>
      </c>
      <c r="AA1368" s="45" t="s">
        <v>38</v>
      </c>
      <c r="AB1368" s="45" t="s">
        <v>38</v>
      </c>
    </row>
    <row r="1369" spans="1:28" x14ac:dyDescent="0.2">
      <c r="A1369" s="96" t="s">
        <v>191</v>
      </c>
      <c r="B1369" s="96" t="s">
        <v>193</v>
      </c>
      <c r="C1369" s="277">
        <v>44672</v>
      </c>
      <c r="D1369" s="277">
        <v>44701</v>
      </c>
      <c r="E1369" s="270" t="s">
        <v>267</v>
      </c>
      <c r="F1369" s="133" t="s">
        <v>34</v>
      </c>
      <c r="G1369" s="96" t="s">
        <v>80</v>
      </c>
      <c r="H1369" s="272" t="s">
        <v>71</v>
      </c>
      <c r="I1369" s="273">
        <v>20</v>
      </c>
      <c r="J1369" s="270">
        <v>4073</v>
      </c>
      <c r="K1369" s="270">
        <f t="shared" si="0"/>
        <v>81460</v>
      </c>
      <c r="L1369" s="270">
        <v>53269</v>
      </c>
      <c r="M1369" s="270">
        <v>-3200</v>
      </c>
      <c r="N1369" s="274">
        <v>3502.07</v>
      </c>
      <c r="O1369" s="55"/>
      <c r="P1369" s="105">
        <v>3502</v>
      </c>
      <c r="Q1369" s="270">
        <v>-2909</v>
      </c>
      <c r="R1369" s="275">
        <v>8.8000000000000003E-4</v>
      </c>
      <c r="S1369" s="270">
        <v>-2837</v>
      </c>
      <c r="T1369" s="270">
        <v>665</v>
      </c>
      <c r="U1369" s="57">
        <v>1</v>
      </c>
      <c r="V1369" s="276">
        <v>0.3</v>
      </c>
      <c r="W1369" s="276">
        <v>0</v>
      </c>
      <c r="X1369" s="270">
        <v>465</v>
      </c>
      <c r="Y1369" s="270">
        <v>199</v>
      </c>
      <c r="Z1369" s="45" t="b">
        <v>1</v>
      </c>
      <c r="AA1369" s="45" t="s">
        <v>38</v>
      </c>
      <c r="AB1369" s="45" t="s">
        <v>38</v>
      </c>
    </row>
    <row r="1370" spans="1:28" x14ac:dyDescent="0.2">
      <c r="A1370" s="96" t="s">
        <v>191</v>
      </c>
      <c r="B1370" s="96" t="s">
        <v>193</v>
      </c>
      <c r="C1370" s="277">
        <v>44672</v>
      </c>
      <c r="D1370" s="277">
        <v>44701</v>
      </c>
      <c r="E1370" s="270" t="s">
        <v>267</v>
      </c>
      <c r="F1370" s="133" t="s">
        <v>34</v>
      </c>
      <c r="G1370" s="96" t="s">
        <v>80</v>
      </c>
      <c r="H1370" s="272" t="s">
        <v>72</v>
      </c>
      <c r="I1370" s="273">
        <v>50</v>
      </c>
      <c r="J1370" s="270">
        <v>1524</v>
      </c>
      <c r="K1370" s="270">
        <f t="shared" si="0"/>
        <v>76200</v>
      </c>
      <c r="L1370" s="270">
        <v>5566</v>
      </c>
      <c r="M1370" s="270">
        <v>-8250</v>
      </c>
      <c r="N1370" s="274">
        <v>3275.93</v>
      </c>
      <c r="O1370" s="55"/>
      <c r="P1370" s="105">
        <v>3276</v>
      </c>
      <c r="Q1370" s="270">
        <v>-4787</v>
      </c>
      <c r="R1370" s="275">
        <v>8.8000000000000003E-4</v>
      </c>
      <c r="S1370" s="270">
        <v>-4720</v>
      </c>
      <c r="T1370" s="270">
        <v>-1444</v>
      </c>
      <c r="U1370" s="57">
        <v>1</v>
      </c>
      <c r="V1370" s="276">
        <v>0.3</v>
      </c>
      <c r="W1370" s="276">
        <v>0</v>
      </c>
      <c r="X1370" s="270">
        <v>-1011</v>
      </c>
      <c r="Y1370" s="270">
        <v>-433</v>
      </c>
      <c r="Z1370" s="45" t="b">
        <v>1</v>
      </c>
      <c r="AA1370" s="45" t="s">
        <v>38</v>
      </c>
      <c r="AB1370" s="45" t="s">
        <v>38</v>
      </c>
    </row>
    <row r="1371" spans="1:28" x14ac:dyDescent="0.2">
      <c r="A1371" s="96" t="s">
        <v>195</v>
      </c>
      <c r="B1371" s="96" t="s">
        <v>195</v>
      </c>
      <c r="C1371" s="277">
        <v>44672</v>
      </c>
      <c r="D1371" s="277">
        <v>44701</v>
      </c>
      <c r="E1371" s="270" t="s">
        <v>267</v>
      </c>
      <c r="F1371" s="96" t="s">
        <v>34</v>
      </c>
      <c r="G1371" s="270" t="s">
        <v>35</v>
      </c>
      <c r="H1371" s="272" t="s">
        <v>40</v>
      </c>
      <c r="I1371" s="273">
        <v>10</v>
      </c>
      <c r="J1371" s="270">
        <v>164</v>
      </c>
      <c r="K1371" s="270">
        <f t="shared" si="0"/>
        <v>1640</v>
      </c>
      <c r="L1371" s="270">
        <v>17179</v>
      </c>
      <c r="M1371" s="270">
        <v>460</v>
      </c>
      <c r="N1371" s="274">
        <v>28</v>
      </c>
      <c r="O1371" s="55"/>
      <c r="P1371" s="45">
        <v>28</v>
      </c>
      <c r="Q1371" s="270">
        <v>194</v>
      </c>
      <c r="R1371" s="275">
        <v>8.8000000000000003E-4</v>
      </c>
      <c r="S1371" s="270">
        <v>195</v>
      </c>
      <c r="T1371" s="270">
        <v>223</v>
      </c>
      <c r="U1371" s="57">
        <v>1</v>
      </c>
      <c r="V1371" s="276">
        <v>0.3</v>
      </c>
      <c r="W1371" s="276">
        <v>0</v>
      </c>
      <c r="X1371" s="270">
        <v>156</v>
      </c>
      <c r="Y1371" s="270">
        <v>67</v>
      </c>
      <c r="Z1371" s="45" t="b">
        <v>1</v>
      </c>
      <c r="AA1371" s="45" t="s">
        <v>38</v>
      </c>
      <c r="AB1371" s="45" t="s">
        <v>38</v>
      </c>
    </row>
    <row r="1372" spans="1:28" x14ac:dyDescent="0.2">
      <c r="A1372" s="96" t="s">
        <v>206</v>
      </c>
      <c r="B1372" s="96" t="s">
        <v>206</v>
      </c>
      <c r="C1372" s="277">
        <v>44672</v>
      </c>
      <c r="D1372" s="277">
        <v>44701</v>
      </c>
      <c r="E1372" s="270" t="s">
        <v>267</v>
      </c>
      <c r="F1372" s="133" t="s">
        <v>34</v>
      </c>
      <c r="G1372" s="96" t="s">
        <v>35</v>
      </c>
      <c r="H1372" s="272" t="s">
        <v>70</v>
      </c>
      <c r="I1372" s="273">
        <v>100</v>
      </c>
      <c r="J1372" s="270">
        <v>193</v>
      </c>
      <c r="K1372" s="270">
        <f t="shared" si="0"/>
        <v>19300</v>
      </c>
      <c r="L1372" s="270">
        <v>858</v>
      </c>
      <c r="M1372" s="270">
        <v>-1800</v>
      </c>
      <c r="N1372" s="274">
        <v>622</v>
      </c>
      <c r="O1372" s="55"/>
      <c r="P1372" s="45">
        <v>622</v>
      </c>
      <c r="Q1372" s="270">
        <v>-881</v>
      </c>
      <c r="R1372" s="275">
        <v>8.8000000000000003E-4</v>
      </c>
      <c r="S1372" s="270">
        <v>-864</v>
      </c>
      <c r="T1372" s="270">
        <v>-242</v>
      </c>
      <c r="U1372" s="57">
        <v>1</v>
      </c>
      <c r="V1372" s="276">
        <v>0.1</v>
      </c>
      <c r="W1372" s="276">
        <v>0</v>
      </c>
      <c r="X1372" s="270">
        <v>-218</v>
      </c>
      <c r="Y1372" s="270">
        <v>-24</v>
      </c>
      <c r="Z1372" s="45" t="b">
        <v>1</v>
      </c>
      <c r="AA1372" s="45" t="s">
        <v>38</v>
      </c>
      <c r="AB1372" s="45" t="s">
        <v>38</v>
      </c>
    </row>
    <row r="1373" spans="1:28" x14ac:dyDescent="0.2">
      <c r="A1373" s="96" t="s">
        <v>206</v>
      </c>
      <c r="B1373" s="96" t="s">
        <v>206</v>
      </c>
      <c r="C1373" s="277">
        <v>44672</v>
      </c>
      <c r="D1373" s="277">
        <v>44701</v>
      </c>
      <c r="E1373" s="270" t="s">
        <v>267</v>
      </c>
      <c r="F1373" s="133" t="s">
        <v>34</v>
      </c>
      <c r="G1373" s="96" t="s">
        <v>35</v>
      </c>
      <c r="H1373" s="272" t="s">
        <v>84</v>
      </c>
      <c r="I1373" s="273">
        <v>100</v>
      </c>
      <c r="J1373" s="270">
        <v>580</v>
      </c>
      <c r="K1373" s="270">
        <f t="shared" si="0"/>
        <v>58000</v>
      </c>
      <c r="L1373" s="270">
        <v>2835</v>
      </c>
      <c r="M1373" s="270">
        <v>-200</v>
      </c>
      <c r="N1373" s="274">
        <v>1871</v>
      </c>
      <c r="O1373" s="55"/>
      <c r="P1373" s="105">
        <v>1871</v>
      </c>
      <c r="Q1373" s="270">
        <v>-2246</v>
      </c>
      <c r="R1373" s="275">
        <v>8.8000000000000003E-4</v>
      </c>
      <c r="S1373" s="270">
        <v>-2195</v>
      </c>
      <c r="T1373" s="270">
        <v>-324</v>
      </c>
      <c r="U1373" s="57">
        <v>1</v>
      </c>
      <c r="V1373" s="276">
        <v>0.1</v>
      </c>
      <c r="W1373" s="276">
        <v>0</v>
      </c>
      <c r="X1373" s="270">
        <v>-292</v>
      </c>
      <c r="Y1373" s="270">
        <v>-32</v>
      </c>
      <c r="Z1373" s="45" t="b">
        <v>1</v>
      </c>
      <c r="AA1373" s="45" t="s">
        <v>38</v>
      </c>
      <c r="AB1373" s="45" t="s">
        <v>38</v>
      </c>
    </row>
    <row r="1374" spans="1:28" x14ac:dyDescent="0.2">
      <c r="A1374" s="96" t="s">
        <v>206</v>
      </c>
      <c r="B1374" s="96" t="s">
        <v>206</v>
      </c>
      <c r="C1374" s="277">
        <v>44672</v>
      </c>
      <c r="D1374" s="277">
        <v>44701</v>
      </c>
      <c r="E1374" s="270" t="s">
        <v>267</v>
      </c>
      <c r="F1374" s="133" t="s">
        <v>34</v>
      </c>
      <c r="G1374" s="96" t="s">
        <v>35</v>
      </c>
      <c r="H1374" s="272" t="s">
        <v>88</v>
      </c>
      <c r="I1374" s="273">
        <v>250</v>
      </c>
      <c r="J1374" s="270">
        <v>473</v>
      </c>
      <c r="K1374" s="270">
        <f t="shared" si="0"/>
        <v>118250</v>
      </c>
      <c r="L1374" s="270">
        <v>10056</v>
      </c>
      <c r="M1374" s="270">
        <v>-2750</v>
      </c>
      <c r="N1374" s="274">
        <v>3815</v>
      </c>
      <c r="O1374" s="55"/>
      <c r="P1374" s="105">
        <v>3815</v>
      </c>
      <c r="Q1374" s="270">
        <v>-1378</v>
      </c>
      <c r="R1374" s="275">
        <v>8.8000000000000003E-4</v>
      </c>
      <c r="S1374" s="270">
        <v>-1274</v>
      </c>
      <c r="T1374" s="270">
        <v>2541</v>
      </c>
      <c r="U1374" s="57">
        <v>1</v>
      </c>
      <c r="V1374" s="276">
        <v>0.1</v>
      </c>
      <c r="W1374" s="276">
        <v>0</v>
      </c>
      <c r="X1374" s="270">
        <v>2287</v>
      </c>
      <c r="Y1374" s="270">
        <v>254</v>
      </c>
      <c r="Z1374" s="45" t="b">
        <v>1</v>
      </c>
      <c r="AA1374" s="45" t="s">
        <v>38</v>
      </c>
      <c r="AB1374" s="45" t="s">
        <v>38</v>
      </c>
    </row>
    <row r="1375" spans="1:28" x14ac:dyDescent="0.2">
      <c r="A1375" s="96" t="s">
        <v>206</v>
      </c>
      <c r="B1375" s="96" t="s">
        <v>206</v>
      </c>
      <c r="C1375" s="277">
        <v>44672</v>
      </c>
      <c r="D1375" s="277">
        <v>44701</v>
      </c>
      <c r="E1375" s="270" t="s">
        <v>267</v>
      </c>
      <c r="F1375" s="133" t="s">
        <v>34</v>
      </c>
      <c r="G1375" s="96" t="s">
        <v>35</v>
      </c>
      <c r="H1375" s="272" t="s">
        <v>148</v>
      </c>
      <c r="I1375" s="273">
        <v>250</v>
      </c>
      <c r="J1375" s="270">
        <v>563</v>
      </c>
      <c r="K1375" s="270">
        <f t="shared" si="0"/>
        <v>140750</v>
      </c>
      <c r="L1375" s="270">
        <v>6333</v>
      </c>
      <c r="M1375" s="270">
        <v>-17000</v>
      </c>
      <c r="N1375" s="274">
        <v>4540</v>
      </c>
      <c r="O1375" s="55"/>
      <c r="P1375" s="105">
        <v>4540</v>
      </c>
      <c r="Q1375" s="270">
        <v>-2304</v>
      </c>
      <c r="R1375" s="275">
        <v>8.8000000000000003E-4</v>
      </c>
      <c r="S1375" s="270">
        <v>-2180</v>
      </c>
      <c r="T1375" s="270">
        <v>2360</v>
      </c>
      <c r="U1375" s="57">
        <v>1</v>
      </c>
      <c r="V1375" s="276">
        <v>0.1</v>
      </c>
      <c r="W1375" s="276">
        <v>0</v>
      </c>
      <c r="X1375" s="270">
        <v>2124</v>
      </c>
      <c r="Y1375" s="270">
        <v>236</v>
      </c>
      <c r="Z1375" s="45" t="b">
        <v>1</v>
      </c>
      <c r="AA1375" s="45" t="s">
        <v>38</v>
      </c>
      <c r="AB1375" s="45" t="s">
        <v>38</v>
      </c>
    </row>
    <row r="1376" spans="1:28" x14ac:dyDescent="0.2">
      <c r="A1376" s="270" t="s">
        <v>58</v>
      </c>
      <c r="B1376" s="270" t="s">
        <v>48</v>
      </c>
      <c r="C1376" s="277">
        <v>44682</v>
      </c>
      <c r="D1376" s="277">
        <v>44712</v>
      </c>
      <c r="E1376" s="270" t="s">
        <v>267</v>
      </c>
      <c r="F1376" s="133" t="s">
        <v>49</v>
      </c>
      <c r="G1376" s="270" t="s">
        <v>35</v>
      </c>
      <c r="H1376" s="270" t="s">
        <v>40</v>
      </c>
      <c r="I1376" s="273">
        <v>10</v>
      </c>
      <c r="J1376" s="270">
        <v>1337</v>
      </c>
      <c r="K1376" s="270">
        <f t="shared" si="0"/>
        <v>13370</v>
      </c>
      <c r="L1376" s="270">
        <v>74892</v>
      </c>
      <c r="M1376" s="270">
        <v>-280</v>
      </c>
      <c r="N1376" s="274">
        <v>473</v>
      </c>
      <c r="O1376" s="55"/>
      <c r="P1376" s="45">
        <v>473</v>
      </c>
      <c r="Q1376" s="270">
        <v>212</v>
      </c>
      <c r="R1376" s="275">
        <v>-1.4480000000000001E-3</v>
      </c>
      <c r="S1376" s="270">
        <v>193</v>
      </c>
      <c r="T1376" s="270">
        <v>666</v>
      </c>
      <c r="U1376" s="57">
        <v>1</v>
      </c>
      <c r="V1376" s="276">
        <v>0.3</v>
      </c>
      <c r="W1376" s="276">
        <v>0</v>
      </c>
      <c r="X1376" s="270">
        <v>466</v>
      </c>
      <c r="Y1376" s="270">
        <v>200</v>
      </c>
      <c r="Z1376" s="45" t="b">
        <v>1</v>
      </c>
      <c r="AA1376" s="45" t="s">
        <v>38</v>
      </c>
      <c r="AB1376" s="45" t="s">
        <v>38</v>
      </c>
    </row>
    <row r="1377" spans="1:28" x14ac:dyDescent="0.2">
      <c r="A1377" s="270" t="s">
        <v>58</v>
      </c>
      <c r="B1377" s="270" t="s">
        <v>48</v>
      </c>
      <c r="C1377" s="277">
        <v>44682</v>
      </c>
      <c r="D1377" s="277">
        <v>44712</v>
      </c>
      <c r="E1377" s="270" t="s">
        <v>267</v>
      </c>
      <c r="F1377" s="133" t="s">
        <v>49</v>
      </c>
      <c r="G1377" s="270" t="s">
        <v>35</v>
      </c>
      <c r="H1377" s="270" t="s">
        <v>46</v>
      </c>
      <c r="I1377" s="273">
        <v>25</v>
      </c>
      <c r="J1377" s="270">
        <v>346</v>
      </c>
      <c r="K1377" s="270">
        <f t="shared" si="0"/>
        <v>8650</v>
      </c>
      <c r="L1377" s="270">
        <v>-3473</v>
      </c>
      <c r="M1377" s="270">
        <v>-750</v>
      </c>
      <c r="N1377" s="274">
        <v>263</v>
      </c>
      <c r="O1377" s="55"/>
      <c r="P1377" s="45">
        <v>263</v>
      </c>
      <c r="Q1377" s="270">
        <v>-820</v>
      </c>
      <c r="R1377" s="275">
        <v>-1.3179999999999999E-3</v>
      </c>
      <c r="S1377" s="270">
        <v>-831</v>
      </c>
      <c r="T1377" s="270">
        <v>-568</v>
      </c>
      <c r="U1377" s="57">
        <v>1</v>
      </c>
      <c r="V1377" s="276">
        <v>0.3</v>
      </c>
      <c r="W1377" s="276">
        <v>0</v>
      </c>
      <c r="X1377" s="270">
        <v>-398</v>
      </c>
      <c r="Y1377" s="270">
        <v>-170</v>
      </c>
      <c r="Z1377" s="45" t="b">
        <v>1</v>
      </c>
      <c r="AA1377" s="45" t="s">
        <v>38</v>
      </c>
      <c r="AB1377" s="45" t="s">
        <v>38</v>
      </c>
    </row>
    <row r="1378" spans="1:28" x14ac:dyDescent="0.2">
      <c r="A1378" s="270" t="s">
        <v>58</v>
      </c>
      <c r="B1378" s="270" t="s">
        <v>48</v>
      </c>
      <c r="C1378" s="277">
        <v>44682</v>
      </c>
      <c r="D1378" s="277">
        <v>44712</v>
      </c>
      <c r="E1378" s="270" t="s">
        <v>267</v>
      </c>
      <c r="F1378" s="133" t="s">
        <v>41</v>
      </c>
      <c r="G1378" s="270" t="s">
        <v>35</v>
      </c>
      <c r="H1378" s="270" t="s">
        <v>45</v>
      </c>
      <c r="I1378" s="273">
        <v>0.25</v>
      </c>
      <c r="J1378" s="270">
        <v>1</v>
      </c>
      <c r="K1378" s="270">
        <f t="shared" si="0"/>
        <v>0.25</v>
      </c>
      <c r="L1378" s="270"/>
      <c r="M1378" s="270">
        <v>1</v>
      </c>
      <c r="N1378" s="274"/>
      <c r="O1378" s="55"/>
      <c r="P1378" s="96"/>
      <c r="Q1378" s="270"/>
      <c r="R1378" s="275">
        <v>0</v>
      </c>
      <c r="S1378" s="270"/>
      <c r="T1378" s="270">
        <v>1</v>
      </c>
      <c r="U1378" s="57">
        <v>1</v>
      </c>
      <c r="V1378" s="276">
        <v>0.3</v>
      </c>
      <c r="W1378" s="276">
        <v>0</v>
      </c>
      <c r="X1378" s="270">
        <v>1</v>
      </c>
      <c r="Y1378" s="270">
        <v>0</v>
      </c>
      <c r="Z1378" s="45" t="b">
        <v>1</v>
      </c>
      <c r="AA1378" s="45" t="s">
        <v>38</v>
      </c>
      <c r="AB1378" s="45" t="s">
        <v>38</v>
      </c>
    </row>
    <row r="1379" spans="1:28" x14ac:dyDescent="0.2">
      <c r="A1379" s="270" t="s">
        <v>58</v>
      </c>
      <c r="B1379" s="270" t="s">
        <v>48</v>
      </c>
      <c r="C1379" s="277">
        <v>44682</v>
      </c>
      <c r="D1379" s="277">
        <v>44712</v>
      </c>
      <c r="E1379" s="270" t="s">
        <v>267</v>
      </c>
      <c r="F1379" s="133" t="s">
        <v>41</v>
      </c>
      <c r="G1379" s="270" t="s">
        <v>35</v>
      </c>
      <c r="H1379" s="270" t="s">
        <v>39</v>
      </c>
      <c r="I1379" s="273">
        <v>5</v>
      </c>
      <c r="J1379" s="270">
        <v>613</v>
      </c>
      <c r="K1379" s="270">
        <f t="shared" si="0"/>
        <v>3065</v>
      </c>
      <c r="L1379" s="270"/>
      <c r="M1379" s="270">
        <v>-120</v>
      </c>
      <c r="N1379" s="274">
        <v>124</v>
      </c>
      <c r="O1379" s="55"/>
      <c r="P1379" s="45">
        <v>124</v>
      </c>
      <c r="Q1379" s="270"/>
      <c r="R1379" s="275">
        <v>0</v>
      </c>
      <c r="S1379" s="270"/>
      <c r="T1379" s="270">
        <v>4</v>
      </c>
      <c r="U1379" s="57">
        <v>1</v>
      </c>
      <c r="V1379" s="276">
        <v>0.3</v>
      </c>
      <c r="W1379" s="276">
        <v>0</v>
      </c>
      <c r="X1379" s="270">
        <v>3</v>
      </c>
      <c r="Y1379" s="270">
        <v>1</v>
      </c>
      <c r="Z1379" s="45" t="b">
        <v>1</v>
      </c>
      <c r="AA1379" s="45" t="s">
        <v>38</v>
      </c>
      <c r="AB1379" s="45" t="s">
        <v>38</v>
      </c>
    </row>
    <row r="1380" spans="1:28" x14ac:dyDescent="0.2">
      <c r="A1380" s="96" t="s">
        <v>89</v>
      </c>
      <c r="B1380" s="96" t="s">
        <v>89</v>
      </c>
      <c r="C1380" s="277">
        <v>44682</v>
      </c>
      <c r="D1380" s="277">
        <v>44712</v>
      </c>
      <c r="E1380" s="270" t="s">
        <v>267</v>
      </c>
      <c r="F1380" s="133" t="s">
        <v>41</v>
      </c>
      <c r="G1380" s="96" t="s">
        <v>35</v>
      </c>
      <c r="H1380" s="272" t="s">
        <v>72</v>
      </c>
      <c r="I1380" s="273">
        <v>50</v>
      </c>
      <c r="J1380" s="270">
        <v>192</v>
      </c>
      <c r="K1380" s="270">
        <f t="shared" si="0"/>
        <v>9600</v>
      </c>
      <c r="L1380" s="270">
        <v>3668</v>
      </c>
      <c r="M1380" s="270">
        <v>-750</v>
      </c>
      <c r="N1380" s="274">
        <v>481</v>
      </c>
      <c r="O1380" s="55"/>
      <c r="P1380" s="45">
        <v>481</v>
      </c>
      <c r="Q1380" s="270">
        <v>-274</v>
      </c>
      <c r="R1380" s="275">
        <v>0</v>
      </c>
      <c r="S1380" s="270">
        <v>-274</v>
      </c>
      <c r="T1380" s="270">
        <v>-269</v>
      </c>
      <c r="U1380" s="57">
        <v>1</v>
      </c>
      <c r="V1380" s="276">
        <v>0.22</v>
      </c>
      <c r="W1380" s="276">
        <v>0</v>
      </c>
      <c r="X1380" s="270">
        <v>-210</v>
      </c>
      <c r="Y1380" s="270">
        <v>-59</v>
      </c>
      <c r="Z1380" s="45" t="b">
        <v>1</v>
      </c>
      <c r="AA1380" s="45" t="s">
        <v>38</v>
      </c>
      <c r="AB1380" s="45" t="s">
        <v>38</v>
      </c>
    </row>
    <row r="1381" spans="1:28" x14ac:dyDescent="0.2">
      <c r="A1381" s="96" t="s">
        <v>89</v>
      </c>
      <c r="B1381" s="96" t="s">
        <v>89</v>
      </c>
      <c r="C1381" s="277">
        <v>44682</v>
      </c>
      <c r="D1381" s="277">
        <v>44712</v>
      </c>
      <c r="E1381" s="270" t="s">
        <v>267</v>
      </c>
      <c r="F1381" s="133" t="s">
        <v>41</v>
      </c>
      <c r="G1381" s="96" t="s">
        <v>35</v>
      </c>
      <c r="H1381" s="272" t="s">
        <v>70</v>
      </c>
      <c r="I1381" s="273">
        <v>100</v>
      </c>
      <c r="J1381" s="270">
        <v>1914</v>
      </c>
      <c r="K1381" s="270">
        <f t="shared" si="0"/>
        <v>191400</v>
      </c>
      <c r="L1381" s="270">
        <v>18072</v>
      </c>
      <c r="M1381" s="270">
        <v>-6800</v>
      </c>
      <c r="N1381" s="274">
        <v>8000</v>
      </c>
      <c r="O1381" s="55"/>
      <c r="P1381" s="105">
        <v>8000</v>
      </c>
      <c r="Q1381" s="270">
        <v>-6948</v>
      </c>
      <c r="R1381" s="275">
        <v>0</v>
      </c>
      <c r="S1381" s="270">
        <v>-6948</v>
      </c>
      <c r="T1381" s="270">
        <v>1200</v>
      </c>
      <c r="U1381" s="57">
        <v>1</v>
      </c>
      <c r="V1381" s="276">
        <v>0.22</v>
      </c>
      <c r="W1381" s="276">
        <v>0</v>
      </c>
      <c r="X1381" s="270">
        <v>936</v>
      </c>
      <c r="Y1381" s="270">
        <v>264</v>
      </c>
      <c r="Z1381" s="45" t="b">
        <v>1</v>
      </c>
      <c r="AA1381" s="45" t="s">
        <v>38</v>
      </c>
      <c r="AB1381" s="45" t="s">
        <v>38</v>
      </c>
    </row>
    <row r="1382" spans="1:28" x14ac:dyDescent="0.2">
      <c r="A1382" s="96" t="s">
        <v>145</v>
      </c>
      <c r="B1382" s="96" t="s">
        <v>145</v>
      </c>
      <c r="C1382" s="277">
        <v>44700</v>
      </c>
      <c r="D1382" s="277">
        <v>44712</v>
      </c>
      <c r="E1382" s="270" t="s">
        <v>300</v>
      </c>
      <c r="F1382" s="133" t="s">
        <v>49</v>
      </c>
      <c r="G1382" s="279" t="s">
        <v>35</v>
      </c>
      <c r="H1382" s="272" t="s">
        <v>70</v>
      </c>
      <c r="I1382" s="273">
        <v>100</v>
      </c>
      <c r="J1382" s="270">
        <v>3</v>
      </c>
      <c r="K1382" s="270">
        <f t="shared" si="0"/>
        <v>300</v>
      </c>
      <c r="L1382" s="270">
        <f>-412*3</f>
        <v>-1236</v>
      </c>
      <c r="M1382" s="270">
        <v>-300</v>
      </c>
      <c r="N1382" s="274">
        <v>11.3</v>
      </c>
      <c r="O1382" s="55"/>
      <c r="P1382" s="45">
        <v>11</v>
      </c>
      <c r="Q1382" s="270">
        <v>-248</v>
      </c>
      <c r="R1382" s="275">
        <v>-1.5E-3</v>
      </c>
      <c r="S1382" s="270">
        <v>-248</v>
      </c>
      <c r="T1382" s="270">
        <v>-237</v>
      </c>
      <c r="U1382" s="57">
        <v>1</v>
      </c>
      <c r="V1382" s="276">
        <v>0.17499999999999999</v>
      </c>
      <c r="W1382" s="276">
        <v>7.4999999999999997E-2</v>
      </c>
      <c r="X1382" s="270">
        <v>-178</v>
      </c>
      <c r="Y1382" s="270">
        <v>-59</v>
      </c>
      <c r="Z1382" s="45" t="b">
        <v>1</v>
      </c>
      <c r="AA1382" s="45" t="s">
        <v>38</v>
      </c>
      <c r="AB1382" s="45" t="s">
        <v>38</v>
      </c>
    </row>
    <row r="1383" spans="1:28" x14ac:dyDescent="0.2">
      <c r="A1383" s="96" t="s">
        <v>145</v>
      </c>
      <c r="B1383" s="96" t="s">
        <v>145</v>
      </c>
      <c r="C1383" s="277">
        <v>44700</v>
      </c>
      <c r="D1383" s="277">
        <v>44712</v>
      </c>
      <c r="E1383" s="270" t="s">
        <v>300</v>
      </c>
      <c r="F1383" s="133" t="s">
        <v>49</v>
      </c>
      <c r="G1383" s="279" t="s">
        <v>35</v>
      </c>
      <c r="H1383" s="272" t="s">
        <v>84</v>
      </c>
      <c r="I1383" s="273">
        <v>100</v>
      </c>
      <c r="J1383" s="270">
        <v>1009</v>
      </c>
      <c r="K1383" s="270">
        <f t="shared" si="0"/>
        <v>100900</v>
      </c>
      <c r="L1383" s="270">
        <f>7*1009</f>
        <v>7063</v>
      </c>
      <c r="M1383" s="270">
        <v>-4500</v>
      </c>
      <c r="N1383" s="274">
        <v>3799.7</v>
      </c>
      <c r="O1383" s="55"/>
      <c r="P1383" s="105">
        <v>3800</v>
      </c>
      <c r="Q1383" s="270">
        <v>-3278</v>
      </c>
      <c r="R1383" s="275">
        <v>-1.5E-3</v>
      </c>
      <c r="S1383" s="270">
        <v>-3429</v>
      </c>
      <c r="T1383" s="270">
        <v>371</v>
      </c>
      <c r="U1383" s="57">
        <v>1</v>
      </c>
      <c r="V1383" s="276">
        <v>0.17499999999999999</v>
      </c>
      <c r="W1383" s="276">
        <v>7.4999999999999997E-2</v>
      </c>
      <c r="X1383" s="270">
        <v>278</v>
      </c>
      <c r="Y1383" s="270">
        <v>93</v>
      </c>
      <c r="Z1383" s="45" t="b">
        <v>1</v>
      </c>
      <c r="AA1383" s="45" t="s">
        <v>38</v>
      </c>
      <c r="AB1383" s="45" t="s">
        <v>38</v>
      </c>
    </row>
    <row r="1384" spans="1:28" x14ac:dyDescent="0.2">
      <c r="A1384" s="96" t="s">
        <v>145</v>
      </c>
      <c r="B1384" s="96" t="s">
        <v>145</v>
      </c>
      <c r="C1384" s="277">
        <v>44700</v>
      </c>
      <c r="D1384" s="277">
        <v>44712</v>
      </c>
      <c r="E1384" s="270" t="s">
        <v>300</v>
      </c>
      <c r="F1384" s="133" t="s">
        <v>49</v>
      </c>
      <c r="G1384" s="279" t="s">
        <v>35</v>
      </c>
      <c r="H1384" s="272" t="s">
        <v>148</v>
      </c>
      <c r="I1384" s="273">
        <v>250</v>
      </c>
      <c r="J1384" s="270">
        <v>327</v>
      </c>
      <c r="K1384" s="270">
        <f t="shared" si="0"/>
        <v>81750</v>
      </c>
      <c r="L1384" s="270">
        <f>15*327</f>
        <v>4905</v>
      </c>
      <c r="M1384" s="270">
        <v>-500</v>
      </c>
      <c r="N1384" s="274">
        <v>3078.55</v>
      </c>
      <c r="O1384" s="55"/>
      <c r="P1384" s="105">
        <v>3079</v>
      </c>
      <c r="Q1384" s="270">
        <v>-406</v>
      </c>
      <c r="R1384" s="275">
        <v>-1.5E-3</v>
      </c>
      <c r="S1384" s="270">
        <v>-529</v>
      </c>
      <c r="T1384" s="270">
        <v>2549</v>
      </c>
      <c r="U1384" s="57">
        <v>1</v>
      </c>
      <c r="V1384" s="276">
        <v>0.17499999999999999</v>
      </c>
      <c r="W1384" s="276">
        <v>7.4999999999999997E-2</v>
      </c>
      <c r="X1384" s="270">
        <v>1912</v>
      </c>
      <c r="Y1384" s="270">
        <v>637</v>
      </c>
      <c r="Z1384" s="45" t="b">
        <v>1</v>
      </c>
      <c r="AA1384" s="45" t="s">
        <v>38</v>
      </c>
      <c r="AB1384" s="45" t="s">
        <v>38</v>
      </c>
    </row>
    <row r="1385" spans="1:28" x14ac:dyDescent="0.2">
      <c r="A1385" s="96" t="s">
        <v>145</v>
      </c>
      <c r="B1385" s="96" t="s">
        <v>145</v>
      </c>
      <c r="C1385" s="277">
        <v>44700</v>
      </c>
      <c r="D1385" s="277">
        <v>44712</v>
      </c>
      <c r="E1385" s="270" t="s">
        <v>300</v>
      </c>
      <c r="F1385" s="133" t="s">
        <v>49</v>
      </c>
      <c r="G1385" s="279" t="s">
        <v>35</v>
      </c>
      <c r="H1385" s="272" t="s">
        <v>88</v>
      </c>
      <c r="I1385" s="273">
        <v>250</v>
      </c>
      <c r="J1385" s="270">
        <v>435</v>
      </c>
      <c r="K1385" s="270">
        <f t="shared" si="0"/>
        <v>108750</v>
      </c>
      <c r="L1385" s="270">
        <f>47*435</f>
        <v>20445</v>
      </c>
      <c r="M1385" s="270">
        <v>4750</v>
      </c>
      <c r="N1385" s="274">
        <v>4095.31</v>
      </c>
      <c r="O1385" s="55"/>
      <c r="P1385" s="105">
        <v>4095</v>
      </c>
      <c r="Q1385" s="270">
        <v>3955</v>
      </c>
      <c r="R1385" s="275">
        <v>-1.5E-3</v>
      </c>
      <c r="S1385" s="270">
        <v>3792</v>
      </c>
      <c r="T1385" s="270">
        <v>7887</v>
      </c>
      <c r="U1385" s="57">
        <v>1</v>
      </c>
      <c r="V1385" s="276">
        <v>0.17499999999999999</v>
      </c>
      <c r="W1385" s="276">
        <v>7.4999999999999997E-2</v>
      </c>
      <c r="X1385" s="270">
        <v>5915</v>
      </c>
      <c r="Y1385" s="270">
        <v>1972</v>
      </c>
      <c r="Z1385" s="45" t="b">
        <v>1</v>
      </c>
      <c r="AA1385" s="45" t="s">
        <v>38</v>
      </c>
      <c r="AB1385" s="45" t="s">
        <v>38</v>
      </c>
    </row>
    <row r="1386" spans="1:28" x14ac:dyDescent="0.2">
      <c r="A1386" s="279" t="s">
        <v>155</v>
      </c>
      <c r="B1386" s="279" t="s">
        <v>155</v>
      </c>
      <c r="C1386" s="282">
        <v>44682</v>
      </c>
      <c r="D1386" s="282">
        <v>44712</v>
      </c>
      <c r="E1386" s="279" t="s">
        <v>267</v>
      </c>
      <c r="F1386" s="133" t="s">
        <v>49</v>
      </c>
      <c r="G1386" s="270" t="s">
        <v>35</v>
      </c>
      <c r="H1386" s="289" t="s">
        <v>39</v>
      </c>
      <c r="I1386" s="273">
        <v>5</v>
      </c>
      <c r="J1386" s="270">
        <v>121</v>
      </c>
      <c r="K1386" s="270">
        <f t="shared" si="0"/>
        <v>605</v>
      </c>
      <c r="L1386" s="270">
        <v>-4515</v>
      </c>
      <c r="M1386" s="270">
        <v>-50</v>
      </c>
      <c r="N1386" s="274"/>
      <c r="O1386" s="55"/>
      <c r="P1386" s="96"/>
      <c r="Q1386" s="270">
        <v>-94</v>
      </c>
      <c r="R1386" s="275">
        <v>-1.405E-3</v>
      </c>
      <c r="S1386" s="270">
        <v>-95</v>
      </c>
      <c r="T1386" s="270">
        <v>-95</v>
      </c>
      <c r="U1386" s="57">
        <v>1</v>
      </c>
      <c r="V1386" s="276">
        <v>0.3</v>
      </c>
      <c r="W1386" s="276">
        <v>0</v>
      </c>
      <c r="X1386" s="270">
        <v>-66</v>
      </c>
      <c r="Y1386" s="270">
        <v>-28</v>
      </c>
      <c r="Z1386" s="45" t="b">
        <v>1</v>
      </c>
      <c r="AA1386" s="45" t="s">
        <v>38</v>
      </c>
      <c r="AB1386" s="45" t="s">
        <v>38</v>
      </c>
    </row>
    <row r="1387" spans="1:28" x14ac:dyDescent="0.2">
      <c r="A1387" s="279" t="s">
        <v>155</v>
      </c>
      <c r="B1387" s="279" t="s">
        <v>155</v>
      </c>
      <c r="C1387" s="282">
        <v>44682</v>
      </c>
      <c r="D1387" s="282">
        <v>44712</v>
      </c>
      <c r="E1387" s="279" t="s">
        <v>267</v>
      </c>
      <c r="F1387" s="133" t="s">
        <v>49</v>
      </c>
      <c r="G1387" s="279" t="s">
        <v>69</v>
      </c>
      <c r="H1387" s="289" t="s">
        <v>77</v>
      </c>
      <c r="I1387" s="280">
        <v>10</v>
      </c>
      <c r="J1387" s="279">
        <v>2827</v>
      </c>
      <c r="K1387" s="270">
        <f t="shared" si="0"/>
        <v>28270</v>
      </c>
      <c r="L1387" s="279">
        <v>12317</v>
      </c>
      <c r="M1387" s="279">
        <v>-1760</v>
      </c>
      <c r="N1387" s="281">
        <v>1438.05</v>
      </c>
      <c r="O1387" s="55"/>
      <c r="P1387" s="105">
        <v>1438</v>
      </c>
      <c r="Q1387" s="279">
        <v>-1426</v>
      </c>
      <c r="R1387" s="275">
        <v>-4.862E-3</v>
      </c>
      <c r="S1387" s="279">
        <v>-1563</v>
      </c>
      <c r="T1387" s="279">
        <v>-125</v>
      </c>
      <c r="U1387" s="57">
        <v>1</v>
      </c>
      <c r="V1387" s="276">
        <v>0.3</v>
      </c>
      <c r="W1387" s="276">
        <v>0</v>
      </c>
      <c r="X1387" s="279">
        <v>-87</v>
      </c>
      <c r="Y1387" s="279">
        <v>-37</v>
      </c>
      <c r="Z1387" s="45" t="b">
        <v>1</v>
      </c>
      <c r="AA1387" s="45" t="s">
        <v>38</v>
      </c>
      <c r="AB1387" s="45" t="s">
        <v>38</v>
      </c>
    </row>
    <row r="1388" spans="1:28" x14ac:dyDescent="0.2">
      <c r="A1388" s="279" t="s">
        <v>155</v>
      </c>
      <c r="B1388" s="279" t="s">
        <v>155</v>
      </c>
      <c r="C1388" s="282">
        <v>44682</v>
      </c>
      <c r="D1388" s="282">
        <v>44712</v>
      </c>
      <c r="E1388" s="279" t="s">
        <v>267</v>
      </c>
      <c r="F1388" s="133" t="s">
        <v>49</v>
      </c>
      <c r="G1388" s="279" t="s">
        <v>69</v>
      </c>
      <c r="H1388" s="289" t="s">
        <v>40</v>
      </c>
      <c r="I1388" s="280">
        <v>10</v>
      </c>
      <c r="J1388" s="279">
        <v>1203</v>
      </c>
      <c r="K1388" s="270">
        <f t="shared" si="0"/>
        <v>12030</v>
      </c>
      <c r="L1388" s="279">
        <v>40006</v>
      </c>
      <c r="M1388" s="279">
        <v>-40</v>
      </c>
      <c r="N1388" s="281">
        <v>611.95000000000005</v>
      </c>
      <c r="O1388" s="55"/>
      <c r="P1388" s="45">
        <v>612</v>
      </c>
      <c r="Q1388" s="279">
        <v>-22</v>
      </c>
      <c r="R1388" s="275">
        <v>-5.0629999999999998E-3</v>
      </c>
      <c r="S1388" s="279">
        <v>-83</v>
      </c>
      <c r="T1388" s="279">
        <v>529</v>
      </c>
      <c r="U1388" s="57">
        <v>1</v>
      </c>
      <c r="V1388" s="276">
        <v>0.3</v>
      </c>
      <c r="W1388" s="276">
        <v>0</v>
      </c>
      <c r="X1388" s="279">
        <v>370</v>
      </c>
      <c r="Y1388" s="279">
        <v>159</v>
      </c>
      <c r="Z1388" s="45" t="b">
        <v>1</v>
      </c>
      <c r="AA1388" s="45" t="s">
        <v>38</v>
      </c>
      <c r="AB1388" s="45" t="s">
        <v>38</v>
      </c>
    </row>
    <row r="1389" spans="1:28" x14ac:dyDescent="0.2">
      <c r="A1389" s="279" t="s">
        <v>157</v>
      </c>
      <c r="B1389" s="279" t="s">
        <v>157</v>
      </c>
      <c r="C1389" s="282">
        <v>44684</v>
      </c>
      <c r="D1389" s="282">
        <v>44712</v>
      </c>
      <c r="E1389" s="279" t="s">
        <v>267</v>
      </c>
      <c r="F1389" s="133" t="s">
        <v>41</v>
      </c>
      <c r="G1389" s="279" t="s">
        <v>53</v>
      </c>
      <c r="H1389" s="289" t="s">
        <v>54</v>
      </c>
      <c r="I1389" s="280">
        <v>5</v>
      </c>
      <c r="J1389" s="279">
        <v>1</v>
      </c>
      <c r="K1389" s="270">
        <f t="shared" si="0"/>
        <v>5</v>
      </c>
      <c r="L1389" s="279">
        <v>131</v>
      </c>
      <c r="M1389" s="279">
        <v>0.17</v>
      </c>
      <c r="N1389" s="281"/>
      <c r="O1389" s="55">
        <v>0.5</v>
      </c>
      <c r="P1389" s="45">
        <v>0</v>
      </c>
      <c r="Q1389" s="279">
        <v>4</v>
      </c>
      <c r="R1389" s="275">
        <v>0</v>
      </c>
      <c r="S1389" s="279">
        <v>4</v>
      </c>
      <c r="T1389" s="279">
        <v>0</v>
      </c>
      <c r="U1389" s="57">
        <v>1.05</v>
      </c>
      <c r="V1389" s="276">
        <v>0.17</v>
      </c>
      <c r="W1389" s="276">
        <v>0</v>
      </c>
      <c r="X1389" s="279">
        <v>0</v>
      </c>
      <c r="Y1389" s="279">
        <v>0</v>
      </c>
      <c r="Z1389" s="45" t="b">
        <v>1</v>
      </c>
      <c r="AA1389" s="45" t="s">
        <v>38</v>
      </c>
      <c r="AB1389" s="45" t="s">
        <v>50</v>
      </c>
    </row>
    <row r="1390" spans="1:28" x14ac:dyDescent="0.2">
      <c r="A1390" s="279" t="s">
        <v>157</v>
      </c>
      <c r="B1390" s="279" t="s">
        <v>157</v>
      </c>
      <c r="C1390" s="282">
        <v>44684</v>
      </c>
      <c r="D1390" s="282">
        <v>44712</v>
      </c>
      <c r="E1390" s="279" t="s">
        <v>267</v>
      </c>
      <c r="F1390" s="133" t="s">
        <v>41</v>
      </c>
      <c r="G1390" s="279" t="s">
        <v>53</v>
      </c>
      <c r="H1390" s="289" t="s">
        <v>55</v>
      </c>
      <c r="I1390" s="280">
        <v>10</v>
      </c>
      <c r="J1390" s="279">
        <v>5</v>
      </c>
      <c r="K1390" s="270">
        <f t="shared" si="0"/>
        <v>50</v>
      </c>
      <c r="L1390" s="279">
        <v>-1006</v>
      </c>
      <c r="M1390" s="279">
        <v>1.67</v>
      </c>
      <c r="N1390" s="281"/>
      <c r="O1390" s="55">
        <v>0.5</v>
      </c>
      <c r="P1390" s="45">
        <v>2</v>
      </c>
      <c r="Q1390" s="279">
        <v>-22</v>
      </c>
      <c r="R1390" s="275">
        <v>0</v>
      </c>
      <c r="S1390" s="279">
        <v>-22</v>
      </c>
      <c r="T1390" s="279">
        <v>3</v>
      </c>
      <c r="U1390" s="57">
        <v>1.05</v>
      </c>
      <c r="V1390" s="276">
        <v>0.17</v>
      </c>
      <c r="W1390" s="276">
        <v>0</v>
      </c>
      <c r="X1390" s="279">
        <v>3</v>
      </c>
      <c r="Y1390" s="279">
        <v>1</v>
      </c>
      <c r="Z1390" s="45" t="b">
        <v>1</v>
      </c>
      <c r="AA1390" s="45" t="s">
        <v>38</v>
      </c>
      <c r="AB1390" s="45" t="s">
        <v>50</v>
      </c>
    </row>
    <row r="1391" spans="1:28" x14ac:dyDescent="0.2">
      <c r="A1391" s="279" t="s">
        <v>157</v>
      </c>
      <c r="B1391" s="279" t="s">
        <v>157</v>
      </c>
      <c r="C1391" s="282">
        <v>44684</v>
      </c>
      <c r="D1391" s="282">
        <v>44712</v>
      </c>
      <c r="E1391" s="279" t="s">
        <v>267</v>
      </c>
      <c r="F1391" s="133" t="s">
        <v>41</v>
      </c>
      <c r="G1391" s="279" t="s">
        <v>53</v>
      </c>
      <c r="H1391" s="289" t="s">
        <v>56</v>
      </c>
      <c r="I1391" s="280">
        <v>20</v>
      </c>
      <c r="J1391" s="279">
        <v>2212</v>
      </c>
      <c r="K1391" s="270">
        <f t="shared" si="0"/>
        <v>44240</v>
      </c>
      <c r="L1391" s="279">
        <v>68572</v>
      </c>
      <c r="M1391" s="279">
        <v>1475.17</v>
      </c>
      <c r="N1391" s="281"/>
      <c r="O1391" s="55">
        <v>0.5</v>
      </c>
      <c r="P1391" s="105">
        <v>1548</v>
      </c>
      <c r="Q1391" s="279">
        <v>-866</v>
      </c>
      <c r="R1391" s="275">
        <v>0</v>
      </c>
      <c r="S1391" s="279">
        <v>-866</v>
      </c>
      <c r="T1391" s="279">
        <v>3024</v>
      </c>
      <c r="U1391" s="57">
        <v>1.05</v>
      </c>
      <c r="V1391" s="276">
        <v>0.17</v>
      </c>
      <c r="W1391" s="276">
        <v>0</v>
      </c>
      <c r="X1391" s="279">
        <v>2635</v>
      </c>
      <c r="Y1391" s="279">
        <v>540</v>
      </c>
      <c r="Z1391" s="45" t="b">
        <v>1</v>
      </c>
      <c r="AA1391" s="45" t="s">
        <v>38</v>
      </c>
      <c r="AB1391" s="45" t="s">
        <v>50</v>
      </c>
    </row>
    <row r="1392" spans="1:28" x14ac:dyDescent="0.2">
      <c r="A1392" s="279" t="s">
        <v>447</v>
      </c>
      <c r="B1392" s="279" t="s">
        <v>66</v>
      </c>
      <c r="C1392" s="282">
        <v>44682</v>
      </c>
      <c r="D1392" s="282">
        <v>44712</v>
      </c>
      <c r="E1392" s="279" t="s">
        <v>300</v>
      </c>
      <c r="F1392" s="133" t="s">
        <v>49</v>
      </c>
      <c r="G1392" s="279" t="s">
        <v>61</v>
      </c>
      <c r="H1392" s="289" t="s">
        <v>59</v>
      </c>
      <c r="I1392" s="280">
        <v>100</v>
      </c>
      <c r="J1392" s="279">
        <v>150</v>
      </c>
      <c r="K1392" s="270">
        <f t="shared" si="0"/>
        <v>15000</v>
      </c>
      <c r="L1392" s="279">
        <v>19013</v>
      </c>
      <c r="M1392" s="279">
        <v>3000</v>
      </c>
      <c r="N1392" s="281">
        <v>17622.990000000002</v>
      </c>
      <c r="O1392" s="55"/>
      <c r="P1392" s="105">
        <v>17623</v>
      </c>
      <c r="Q1392" s="279">
        <v>2104</v>
      </c>
      <c r="R1392" s="275">
        <v>-1.5460000000000001E-3</v>
      </c>
      <c r="S1392" s="279">
        <v>2080</v>
      </c>
      <c r="T1392" s="279">
        <v>19703</v>
      </c>
      <c r="U1392" s="57">
        <v>1</v>
      </c>
      <c r="V1392" s="276">
        <v>0.1875</v>
      </c>
      <c r="W1392" s="276">
        <v>6.25E-2</v>
      </c>
      <c r="X1392" s="279">
        <v>14778</v>
      </c>
      <c r="Y1392" s="279">
        <v>4926</v>
      </c>
      <c r="Z1392" s="45" t="b">
        <v>1</v>
      </c>
      <c r="AA1392" s="45" t="s">
        <v>50</v>
      </c>
      <c r="AB1392" s="45" t="s">
        <v>50</v>
      </c>
    </row>
    <row r="1393" spans="1:28" x14ac:dyDescent="0.2">
      <c r="A1393" s="279" t="s">
        <v>447</v>
      </c>
      <c r="B1393" s="279" t="s">
        <v>66</v>
      </c>
      <c r="C1393" s="282">
        <v>44682</v>
      </c>
      <c r="D1393" s="282">
        <v>44712</v>
      </c>
      <c r="E1393" s="279" t="s">
        <v>300</v>
      </c>
      <c r="F1393" s="133" t="s">
        <v>49</v>
      </c>
      <c r="G1393" s="279" t="s">
        <v>61</v>
      </c>
      <c r="H1393" s="289" t="s">
        <v>135</v>
      </c>
      <c r="I1393" s="280">
        <v>250</v>
      </c>
      <c r="J1393" s="279">
        <v>1444</v>
      </c>
      <c r="K1393" s="270">
        <f t="shared" si="0"/>
        <v>361000</v>
      </c>
      <c r="L1393" s="279">
        <v>46921</v>
      </c>
      <c r="M1393" s="279">
        <v>0</v>
      </c>
      <c r="N1393" s="281">
        <v>3852.01</v>
      </c>
      <c r="O1393" s="55"/>
      <c r="P1393" s="105">
        <v>3852</v>
      </c>
      <c r="Q1393" s="279">
        <v>-6840</v>
      </c>
      <c r="R1393" s="275">
        <v>-1.3519999999999999E-3</v>
      </c>
      <c r="S1393" s="279">
        <v>-7328</v>
      </c>
      <c r="T1393" s="279">
        <v>-3476</v>
      </c>
      <c r="U1393" s="57">
        <v>1</v>
      </c>
      <c r="V1393" s="276">
        <v>0.1875</v>
      </c>
      <c r="W1393" s="276">
        <v>6.25E-2</v>
      </c>
      <c r="X1393" s="279">
        <v>-2607</v>
      </c>
      <c r="Y1393" s="279">
        <v>-869</v>
      </c>
      <c r="Z1393" s="45" t="b">
        <v>1</v>
      </c>
      <c r="AA1393" s="45" t="s">
        <v>50</v>
      </c>
      <c r="AB1393" s="45" t="s">
        <v>50</v>
      </c>
    </row>
    <row r="1394" spans="1:28" x14ac:dyDescent="0.2">
      <c r="A1394" s="279" t="s">
        <v>447</v>
      </c>
      <c r="B1394" s="279" t="s">
        <v>66</v>
      </c>
      <c r="C1394" s="282">
        <v>44682</v>
      </c>
      <c r="D1394" s="282">
        <v>44712</v>
      </c>
      <c r="E1394" s="279" t="s">
        <v>300</v>
      </c>
      <c r="F1394" s="133" t="s">
        <v>49</v>
      </c>
      <c r="G1394" s="279" t="s">
        <v>61</v>
      </c>
      <c r="H1394" s="289" t="s">
        <v>100</v>
      </c>
      <c r="I1394" s="280">
        <v>500</v>
      </c>
      <c r="J1394" s="279">
        <v>345</v>
      </c>
      <c r="K1394" s="270">
        <f t="shared" si="0"/>
        <v>172500</v>
      </c>
      <c r="L1394" s="279">
        <v>18414</v>
      </c>
      <c r="M1394" s="279">
        <v>-7500</v>
      </c>
      <c r="N1394" s="281">
        <v>0</v>
      </c>
      <c r="O1394" s="55"/>
      <c r="P1394" s="45">
        <v>0</v>
      </c>
      <c r="Q1394" s="279">
        <v>3330</v>
      </c>
      <c r="R1394" s="275">
        <v>-1.405E-3</v>
      </c>
      <c r="S1394" s="279">
        <v>3087</v>
      </c>
      <c r="T1394" s="279">
        <v>3087</v>
      </c>
      <c r="U1394" s="57">
        <v>1</v>
      </c>
      <c r="V1394" s="276">
        <v>0.1875</v>
      </c>
      <c r="W1394" s="276">
        <v>6.25E-2</v>
      </c>
      <c r="X1394" s="279">
        <v>2315</v>
      </c>
      <c r="Y1394" s="279">
        <v>772</v>
      </c>
      <c r="Z1394" s="45" t="b">
        <v>1</v>
      </c>
      <c r="AA1394" s="45" t="s">
        <v>50</v>
      </c>
      <c r="AB1394" s="45" t="s">
        <v>50</v>
      </c>
    </row>
    <row r="1395" spans="1:28" x14ac:dyDescent="0.2">
      <c r="A1395" s="96" t="s">
        <v>152</v>
      </c>
      <c r="B1395" s="96" t="s">
        <v>152</v>
      </c>
      <c r="C1395" s="277">
        <v>44682</v>
      </c>
      <c r="D1395" s="277">
        <v>44712</v>
      </c>
      <c r="E1395" s="270" t="s">
        <v>267</v>
      </c>
      <c r="F1395" s="96" t="s">
        <v>41</v>
      </c>
      <c r="G1395" s="270" t="s">
        <v>80</v>
      </c>
      <c r="H1395" s="110" t="s">
        <v>153</v>
      </c>
      <c r="I1395" s="273">
        <v>200</v>
      </c>
      <c r="J1395" s="270">
        <v>1728</v>
      </c>
      <c r="K1395" s="270">
        <f t="shared" si="0"/>
        <v>345600</v>
      </c>
      <c r="L1395" s="270">
        <v>2916</v>
      </c>
      <c r="M1395" s="270">
        <v>-29600</v>
      </c>
      <c r="N1395" s="274">
        <v>20699.89</v>
      </c>
      <c r="O1395" s="55"/>
      <c r="P1395" s="105">
        <v>20700</v>
      </c>
      <c r="Q1395" s="270">
        <v>-23666</v>
      </c>
      <c r="R1395" s="275">
        <v>0</v>
      </c>
      <c r="S1395" s="270">
        <v>-23666</v>
      </c>
      <c r="T1395" s="270">
        <v>-8900</v>
      </c>
      <c r="U1395" s="57">
        <v>1</v>
      </c>
      <c r="V1395" s="276">
        <v>0.15</v>
      </c>
      <c r="W1395" s="276">
        <v>0</v>
      </c>
      <c r="X1395" s="270">
        <v>-7565</v>
      </c>
      <c r="Y1395" s="270">
        <v>-1335</v>
      </c>
      <c r="Z1395" s="45" t="b">
        <v>1</v>
      </c>
      <c r="AA1395" s="45" t="s">
        <v>38</v>
      </c>
      <c r="AB1395" s="45" t="s">
        <v>38</v>
      </c>
    </row>
    <row r="1396" spans="1:28" x14ac:dyDescent="0.2">
      <c r="A1396" s="96" t="s">
        <v>152</v>
      </c>
      <c r="B1396" s="96" t="s">
        <v>152</v>
      </c>
      <c r="C1396" s="277">
        <v>44682</v>
      </c>
      <c r="D1396" s="277">
        <v>44712</v>
      </c>
      <c r="E1396" s="270" t="s">
        <v>267</v>
      </c>
      <c r="F1396" s="96" t="s">
        <v>49</v>
      </c>
      <c r="G1396" s="270" t="s">
        <v>80</v>
      </c>
      <c r="H1396" s="110" t="s">
        <v>70</v>
      </c>
      <c r="I1396" s="273">
        <v>100</v>
      </c>
      <c r="J1396" s="270">
        <v>9178</v>
      </c>
      <c r="K1396" s="270">
        <f t="shared" si="0"/>
        <v>917800</v>
      </c>
      <c r="L1396" s="270">
        <v>61200</v>
      </c>
      <c r="M1396" s="270">
        <v>-65500</v>
      </c>
      <c r="N1396" s="274">
        <v>54972.11</v>
      </c>
      <c r="O1396" s="55"/>
      <c r="P1396" s="105">
        <v>54972</v>
      </c>
      <c r="Q1396" s="270">
        <v>-49623</v>
      </c>
      <c r="R1396" s="275">
        <v>-1.304E-3</v>
      </c>
      <c r="S1396" s="270">
        <v>-50820</v>
      </c>
      <c r="T1396" s="270">
        <v>4152</v>
      </c>
      <c r="U1396" s="57">
        <v>1</v>
      </c>
      <c r="V1396" s="276">
        <v>0.15</v>
      </c>
      <c r="W1396" s="276">
        <v>0</v>
      </c>
      <c r="X1396" s="270">
        <v>3529</v>
      </c>
      <c r="Y1396" s="270">
        <v>623</v>
      </c>
      <c r="Z1396" s="45" t="b">
        <v>1</v>
      </c>
      <c r="AA1396" s="45" t="s">
        <v>38</v>
      </c>
      <c r="AB1396" s="45" t="s">
        <v>38</v>
      </c>
    </row>
    <row r="1397" spans="1:28" x14ac:dyDescent="0.2">
      <c r="A1397" s="279" t="s">
        <v>456</v>
      </c>
      <c r="B1397" s="279" t="s">
        <v>110</v>
      </c>
      <c r="C1397" s="282">
        <v>44682</v>
      </c>
      <c r="D1397" s="282">
        <v>44712</v>
      </c>
      <c r="E1397" s="279" t="s">
        <v>267</v>
      </c>
      <c r="F1397" s="133" t="s">
        <v>49</v>
      </c>
      <c r="G1397" s="279" t="s">
        <v>61</v>
      </c>
      <c r="H1397" s="289" t="s">
        <v>64</v>
      </c>
      <c r="I1397" s="280">
        <v>10</v>
      </c>
      <c r="J1397" s="279">
        <v>100</v>
      </c>
      <c r="K1397" s="270">
        <f t="shared" si="0"/>
        <v>1000</v>
      </c>
      <c r="L1397" s="279">
        <v>5910</v>
      </c>
      <c r="M1397" s="279">
        <v>-60</v>
      </c>
      <c r="N1397" s="281">
        <v>237.56</v>
      </c>
      <c r="O1397" s="55"/>
      <c r="P1397" s="45">
        <v>238</v>
      </c>
      <c r="Q1397" s="279">
        <v>22</v>
      </c>
      <c r="R1397" s="275">
        <v>-1.735E-3</v>
      </c>
      <c r="S1397" s="279">
        <v>20</v>
      </c>
      <c r="T1397" s="279">
        <v>258</v>
      </c>
      <c r="U1397" s="57">
        <v>1</v>
      </c>
      <c r="V1397" s="276">
        <v>0.17</v>
      </c>
      <c r="W1397" s="276">
        <v>0</v>
      </c>
      <c r="X1397" s="279">
        <v>214</v>
      </c>
      <c r="Y1397" s="279">
        <v>44</v>
      </c>
      <c r="Z1397" s="45" t="b">
        <v>1</v>
      </c>
      <c r="AA1397" s="45" t="s">
        <v>50</v>
      </c>
      <c r="AB1397" s="45" t="s">
        <v>50</v>
      </c>
    </row>
    <row r="1398" spans="1:28" x14ac:dyDescent="0.2">
      <c r="A1398" s="279" t="s">
        <v>456</v>
      </c>
      <c r="B1398" s="279" t="s">
        <v>110</v>
      </c>
      <c r="C1398" s="282">
        <v>44682</v>
      </c>
      <c r="D1398" s="282">
        <v>44712</v>
      </c>
      <c r="E1398" s="279" t="s">
        <v>267</v>
      </c>
      <c r="F1398" s="133" t="s">
        <v>49</v>
      </c>
      <c r="G1398" s="279" t="s">
        <v>61</v>
      </c>
      <c r="H1398" s="289" t="s">
        <v>65</v>
      </c>
      <c r="I1398" s="280">
        <v>25</v>
      </c>
      <c r="J1398" s="279">
        <v>28</v>
      </c>
      <c r="K1398" s="270">
        <f t="shared" si="0"/>
        <v>700</v>
      </c>
      <c r="L1398" s="279">
        <v>3278</v>
      </c>
      <c r="M1398" s="279">
        <v>275</v>
      </c>
      <c r="N1398" s="281">
        <v>1.91</v>
      </c>
      <c r="O1398" s="55"/>
      <c r="P1398" s="45">
        <v>2</v>
      </c>
      <c r="Q1398" s="279">
        <v>88</v>
      </c>
      <c r="R1398" s="275">
        <v>-1.431E-3</v>
      </c>
      <c r="S1398" s="279">
        <v>87</v>
      </c>
      <c r="T1398" s="279">
        <v>89</v>
      </c>
      <c r="U1398" s="57">
        <v>1</v>
      </c>
      <c r="V1398" s="276">
        <v>0.17</v>
      </c>
      <c r="W1398" s="276">
        <v>0</v>
      </c>
      <c r="X1398" s="279">
        <v>74</v>
      </c>
      <c r="Y1398" s="279">
        <v>15</v>
      </c>
      <c r="Z1398" s="45" t="b">
        <v>1</v>
      </c>
      <c r="AA1398" s="45" t="s">
        <v>50</v>
      </c>
      <c r="AB1398" s="45" t="s">
        <v>50</v>
      </c>
    </row>
    <row r="1399" spans="1:28" x14ac:dyDescent="0.2">
      <c r="A1399" s="279" t="s">
        <v>456</v>
      </c>
      <c r="B1399" s="279" t="s">
        <v>110</v>
      </c>
      <c r="C1399" s="282">
        <v>44682</v>
      </c>
      <c r="D1399" s="282">
        <v>44712</v>
      </c>
      <c r="E1399" s="279" t="s">
        <v>267</v>
      </c>
      <c r="F1399" s="133" t="s">
        <v>49</v>
      </c>
      <c r="G1399" s="279" t="s">
        <v>61</v>
      </c>
      <c r="H1399" s="289" t="s">
        <v>227</v>
      </c>
      <c r="I1399" s="280">
        <v>10</v>
      </c>
      <c r="J1399" s="279">
        <v>656</v>
      </c>
      <c r="K1399" s="270">
        <f t="shared" si="0"/>
        <v>6560</v>
      </c>
      <c r="L1399" s="279">
        <v>56231</v>
      </c>
      <c r="M1399" s="279">
        <v>320</v>
      </c>
      <c r="N1399" s="281">
        <v>0</v>
      </c>
      <c r="O1399" s="55"/>
      <c r="P1399" s="45">
        <v>0</v>
      </c>
      <c r="Q1399" s="279">
        <v>409</v>
      </c>
      <c r="R1399" s="275">
        <v>-1.4779999999999999E-3</v>
      </c>
      <c r="S1399" s="279">
        <v>399</v>
      </c>
      <c r="T1399" s="279">
        <v>399</v>
      </c>
      <c r="U1399" s="57">
        <v>1</v>
      </c>
      <c r="V1399" s="276">
        <v>0.17</v>
      </c>
      <c r="W1399" s="276">
        <v>0</v>
      </c>
      <c r="X1399" s="279">
        <v>331</v>
      </c>
      <c r="Y1399" s="279">
        <v>68</v>
      </c>
      <c r="Z1399" s="45" t="b">
        <v>1</v>
      </c>
      <c r="AA1399" s="45" t="s">
        <v>50</v>
      </c>
      <c r="AB1399" s="45" t="s">
        <v>50</v>
      </c>
    </row>
    <row r="1400" spans="1:28" x14ac:dyDescent="0.2">
      <c r="A1400" s="279" t="s">
        <v>456</v>
      </c>
      <c r="B1400" s="279" t="s">
        <v>110</v>
      </c>
      <c r="C1400" s="282">
        <v>44682</v>
      </c>
      <c r="D1400" s="282">
        <v>44712</v>
      </c>
      <c r="E1400" s="279" t="s">
        <v>267</v>
      </c>
      <c r="F1400" s="133" t="s">
        <v>49</v>
      </c>
      <c r="G1400" s="279" t="s">
        <v>61</v>
      </c>
      <c r="H1400" s="272" t="s">
        <v>179</v>
      </c>
      <c r="I1400" s="280">
        <v>25</v>
      </c>
      <c r="J1400" s="279">
        <v>272</v>
      </c>
      <c r="K1400" s="270">
        <f t="shared" si="0"/>
        <v>6800</v>
      </c>
      <c r="L1400" s="279">
        <v>18289</v>
      </c>
      <c r="M1400" s="279">
        <v>525</v>
      </c>
      <c r="N1400" s="281">
        <v>15.53</v>
      </c>
      <c r="O1400" s="55"/>
      <c r="P1400" s="45">
        <v>16</v>
      </c>
      <c r="Q1400" s="279">
        <v>179</v>
      </c>
      <c r="R1400" s="275">
        <v>5.8520000000000004E-3</v>
      </c>
      <c r="S1400" s="279">
        <v>219</v>
      </c>
      <c r="T1400" s="279">
        <v>235</v>
      </c>
      <c r="U1400" s="57">
        <v>1</v>
      </c>
      <c r="V1400" s="276">
        <v>0.17</v>
      </c>
      <c r="W1400" s="276">
        <v>0</v>
      </c>
      <c r="X1400" s="279">
        <v>195</v>
      </c>
      <c r="Y1400" s="279">
        <v>40</v>
      </c>
      <c r="Z1400" s="45" t="b">
        <v>1</v>
      </c>
      <c r="AA1400" s="45" t="s">
        <v>50</v>
      </c>
      <c r="AB1400" s="45" t="s">
        <v>50</v>
      </c>
    </row>
    <row r="1401" spans="1:28" x14ac:dyDescent="0.2">
      <c r="A1401" s="96" t="s">
        <v>175</v>
      </c>
      <c r="B1401" s="96" t="s">
        <v>175</v>
      </c>
      <c r="C1401" s="277">
        <v>44682</v>
      </c>
      <c r="D1401" s="277">
        <v>44712</v>
      </c>
      <c r="E1401" s="279" t="s">
        <v>267</v>
      </c>
      <c r="F1401" s="133" t="s">
        <v>49</v>
      </c>
      <c r="G1401" s="270" t="s">
        <v>35</v>
      </c>
      <c r="H1401" s="272" t="s">
        <v>115</v>
      </c>
      <c r="I1401" s="273">
        <v>10</v>
      </c>
      <c r="J1401" s="270">
        <v>25</v>
      </c>
      <c r="K1401" s="270">
        <f t="shared" si="0"/>
        <v>250</v>
      </c>
      <c r="L1401" s="270">
        <v>964</v>
      </c>
      <c r="M1401" s="270">
        <v>-40</v>
      </c>
      <c r="N1401" s="274">
        <v>12</v>
      </c>
      <c r="O1401" s="55"/>
      <c r="P1401" s="45">
        <v>12</v>
      </c>
      <c r="Q1401" s="270">
        <v>11</v>
      </c>
      <c r="R1401" s="275">
        <v>1.16E-4</v>
      </c>
      <c r="S1401" s="270">
        <v>11</v>
      </c>
      <c r="T1401" s="270">
        <v>23</v>
      </c>
      <c r="U1401" s="57">
        <v>1</v>
      </c>
      <c r="V1401" s="276">
        <v>0.25</v>
      </c>
      <c r="W1401" s="276">
        <v>0</v>
      </c>
      <c r="X1401" s="270">
        <v>17</v>
      </c>
      <c r="Y1401" s="270">
        <v>6</v>
      </c>
      <c r="Z1401" s="45" t="b">
        <v>1</v>
      </c>
      <c r="AA1401" s="45" t="s">
        <v>38</v>
      </c>
      <c r="AB1401" s="45" t="s">
        <v>38</v>
      </c>
    </row>
    <row r="1402" spans="1:28" x14ac:dyDescent="0.2">
      <c r="A1402" s="96" t="s">
        <v>175</v>
      </c>
      <c r="B1402" s="96" t="s">
        <v>175</v>
      </c>
      <c r="C1402" s="277">
        <v>44682</v>
      </c>
      <c r="D1402" s="277">
        <v>44712</v>
      </c>
      <c r="E1402" s="279" t="s">
        <v>267</v>
      </c>
      <c r="F1402" s="133" t="s">
        <v>49</v>
      </c>
      <c r="G1402" s="270" t="s">
        <v>35</v>
      </c>
      <c r="H1402" s="272" t="s">
        <v>46</v>
      </c>
      <c r="I1402" s="273">
        <v>25</v>
      </c>
      <c r="J1402" s="270">
        <v>600</v>
      </c>
      <c r="K1402" s="270">
        <f t="shared" si="0"/>
        <v>15000</v>
      </c>
      <c r="L1402" s="270">
        <v>-5346</v>
      </c>
      <c r="M1402" s="270">
        <v>-1350</v>
      </c>
      <c r="N1402" s="274">
        <v>610</v>
      </c>
      <c r="O1402" s="55"/>
      <c r="P1402" s="45">
        <v>610</v>
      </c>
      <c r="Q1402" s="270">
        <v>-1202</v>
      </c>
      <c r="R1402" s="275">
        <v>-1.2780000000000001E-3</v>
      </c>
      <c r="S1402" s="270">
        <v>-1221</v>
      </c>
      <c r="T1402" s="270">
        <v>-611</v>
      </c>
      <c r="U1402" s="57">
        <v>1</v>
      </c>
      <c r="V1402" s="276">
        <v>0.25</v>
      </c>
      <c r="W1402" s="276">
        <v>0</v>
      </c>
      <c r="X1402" s="270">
        <v>-458</v>
      </c>
      <c r="Y1402" s="270">
        <v>-153</v>
      </c>
      <c r="Z1402" s="45" t="b">
        <v>1</v>
      </c>
      <c r="AA1402" s="45" t="s">
        <v>38</v>
      </c>
      <c r="AB1402" s="45" t="s">
        <v>38</v>
      </c>
    </row>
    <row r="1403" spans="1:28" x14ac:dyDescent="0.2">
      <c r="A1403" s="96" t="s">
        <v>175</v>
      </c>
      <c r="B1403" s="96" t="s">
        <v>175</v>
      </c>
      <c r="C1403" s="277">
        <v>44682</v>
      </c>
      <c r="D1403" s="277">
        <v>44712</v>
      </c>
      <c r="E1403" s="279" t="s">
        <v>267</v>
      </c>
      <c r="F1403" s="133" t="s">
        <v>49</v>
      </c>
      <c r="G1403" s="270" t="s">
        <v>35</v>
      </c>
      <c r="H1403" s="272" t="s">
        <v>72</v>
      </c>
      <c r="I1403" s="273">
        <v>50</v>
      </c>
      <c r="J1403" s="270">
        <v>1195</v>
      </c>
      <c r="K1403" s="270">
        <f t="shared" si="0"/>
        <v>59750</v>
      </c>
      <c r="L1403" s="270">
        <v>40816</v>
      </c>
      <c r="M1403" s="270">
        <v>-5250</v>
      </c>
      <c r="N1403" s="274">
        <v>2428</v>
      </c>
      <c r="O1403" s="55"/>
      <c r="P1403" s="105">
        <v>2428</v>
      </c>
      <c r="Q1403" s="270">
        <v>-10</v>
      </c>
      <c r="R1403" s="275">
        <v>-1.377E-3</v>
      </c>
      <c r="S1403" s="270">
        <v>-92</v>
      </c>
      <c r="T1403" s="270">
        <v>2336</v>
      </c>
      <c r="U1403" s="57">
        <v>1</v>
      </c>
      <c r="V1403" s="276">
        <v>0.25</v>
      </c>
      <c r="W1403" s="276">
        <v>0</v>
      </c>
      <c r="X1403" s="270">
        <v>1752</v>
      </c>
      <c r="Y1403" s="270">
        <v>584</v>
      </c>
      <c r="Z1403" s="45" t="b">
        <v>1</v>
      </c>
      <c r="AA1403" s="45" t="s">
        <v>38</v>
      </c>
      <c r="AB1403" s="45" t="s">
        <v>38</v>
      </c>
    </row>
    <row r="1404" spans="1:28" x14ac:dyDescent="0.2">
      <c r="A1404" s="279" t="s">
        <v>144</v>
      </c>
      <c r="B1404" s="279" t="s">
        <v>144</v>
      </c>
      <c r="C1404" s="277">
        <v>44682</v>
      </c>
      <c r="D1404" s="277">
        <v>44712</v>
      </c>
      <c r="E1404" s="270" t="s">
        <v>267</v>
      </c>
      <c r="F1404" s="96" t="s">
        <v>49</v>
      </c>
      <c r="G1404" s="279" t="s">
        <v>35</v>
      </c>
      <c r="H1404" s="272" t="s">
        <v>46</v>
      </c>
      <c r="I1404" s="273">
        <v>25</v>
      </c>
      <c r="J1404" s="270">
        <v>2970</v>
      </c>
      <c r="K1404" s="270">
        <f t="shared" si="0"/>
        <v>74250</v>
      </c>
      <c r="L1404" s="270">
        <v>142463</v>
      </c>
      <c r="M1404" s="270">
        <v>1425</v>
      </c>
      <c r="N1404" s="274">
        <v>3514</v>
      </c>
      <c r="O1404" s="55"/>
      <c r="P1404" s="105">
        <v>3514</v>
      </c>
      <c r="Q1404" s="270">
        <v>1852</v>
      </c>
      <c r="R1404" s="275">
        <v>-1.4170000000000001E-3</v>
      </c>
      <c r="S1404" s="270">
        <v>1747</v>
      </c>
      <c r="T1404" s="270">
        <v>5261</v>
      </c>
      <c r="U1404" s="57">
        <v>1</v>
      </c>
      <c r="V1404" s="276">
        <v>0.17</v>
      </c>
      <c r="W1404" s="276">
        <v>0</v>
      </c>
      <c r="X1404" s="270">
        <v>4367</v>
      </c>
      <c r="Y1404" s="270">
        <v>894</v>
      </c>
      <c r="Z1404" s="45" t="b">
        <v>1</v>
      </c>
      <c r="AA1404" s="45" t="s">
        <v>38</v>
      </c>
      <c r="AB1404" s="45" t="s">
        <v>38</v>
      </c>
    </row>
    <row r="1405" spans="1:28" x14ac:dyDescent="0.2">
      <c r="A1405" s="279" t="s">
        <v>144</v>
      </c>
      <c r="B1405" s="279" t="s">
        <v>144</v>
      </c>
      <c r="C1405" s="277">
        <v>44682</v>
      </c>
      <c r="D1405" s="277">
        <v>44712</v>
      </c>
      <c r="E1405" s="270" t="s">
        <v>267</v>
      </c>
      <c r="F1405" s="96" t="s">
        <v>49</v>
      </c>
      <c r="G1405" s="279" t="s">
        <v>35</v>
      </c>
      <c r="H1405" s="272" t="s">
        <v>86</v>
      </c>
      <c r="I1405" s="273">
        <v>5</v>
      </c>
      <c r="J1405" s="270">
        <v>10</v>
      </c>
      <c r="K1405" s="270">
        <f t="shared" si="0"/>
        <v>50</v>
      </c>
      <c r="L1405" s="270">
        <v>1986</v>
      </c>
      <c r="M1405" s="270">
        <v>25</v>
      </c>
      <c r="N1405" s="274">
        <v>3</v>
      </c>
      <c r="O1405" s="55"/>
      <c r="P1405" s="45">
        <v>3</v>
      </c>
      <c r="Q1405" s="270">
        <v>15</v>
      </c>
      <c r="R1405" s="275">
        <v>-3.0291999999999999E-2</v>
      </c>
      <c r="S1405" s="270">
        <v>13</v>
      </c>
      <c r="T1405" s="270">
        <v>16</v>
      </c>
      <c r="U1405" s="57">
        <v>1</v>
      </c>
      <c r="V1405" s="276">
        <v>0.17</v>
      </c>
      <c r="W1405" s="276">
        <v>0</v>
      </c>
      <c r="X1405" s="270">
        <v>13</v>
      </c>
      <c r="Y1405" s="270">
        <v>3</v>
      </c>
      <c r="Z1405" s="45" t="b">
        <v>1</v>
      </c>
      <c r="AA1405" s="45" t="s">
        <v>38</v>
      </c>
      <c r="AB1405" s="45" t="s">
        <v>38</v>
      </c>
    </row>
    <row r="1406" spans="1:28" x14ac:dyDescent="0.2">
      <c r="A1406" s="279" t="s">
        <v>144</v>
      </c>
      <c r="B1406" s="279" t="s">
        <v>144</v>
      </c>
      <c r="C1406" s="277">
        <v>44682</v>
      </c>
      <c r="D1406" s="277">
        <v>44712</v>
      </c>
      <c r="E1406" s="270" t="s">
        <v>267</v>
      </c>
      <c r="F1406" s="96" t="s">
        <v>49</v>
      </c>
      <c r="G1406" s="279" t="s">
        <v>35</v>
      </c>
      <c r="H1406" s="272" t="s">
        <v>40</v>
      </c>
      <c r="I1406" s="273">
        <v>10</v>
      </c>
      <c r="J1406" s="270">
        <v>30</v>
      </c>
      <c r="K1406" s="270">
        <f t="shared" si="0"/>
        <v>300</v>
      </c>
      <c r="L1406" s="270">
        <v>649</v>
      </c>
      <c r="M1406" s="270">
        <v>-190</v>
      </c>
      <c r="N1406" s="274">
        <v>16</v>
      </c>
      <c r="O1406" s="55"/>
      <c r="P1406" s="45">
        <v>16</v>
      </c>
      <c r="Q1406" s="270">
        <v>-10</v>
      </c>
      <c r="R1406" s="275">
        <v>-2.349E-3</v>
      </c>
      <c r="S1406" s="270">
        <v>-11</v>
      </c>
      <c r="T1406" s="270">
        <v>5</v>
      </c>
      <c r="U1406" s="57">
        <v>1</v>
      </c>
      <c r="V1406" s="276">
        <v>0.17</v>
      </c>
      <c r="W1406" s="276">
        <v>0</v>
      </c>
      <c r="X1406" s="270">
        <v>4</v>
      </c>
      <c r="Y1406" s="270">
        <v>1</v>
      </c>
      <c r="Z1406" s="45" t="b">
        <v>1</v>
      </c>
      <c r="AA1406" s="45" t="s">
        <v>38</v>
      </c>
      <c r="AB1406" s="45" t="s">
        <v>38</v>
      </c>
    </row>
    <row r="1407" spans="1:28" x14ac:dyDescent="0.2">
      <c r="A1407" s="279" t="s">
        <v>144</v>
      </c>
      <c r="B1407" s="279" t="s">
        <v>144</v>
      </c>
      <c r="C1407" s="277">
        <v>44687</v>
      </c>
      <c r="D1407" s="277">
        <v>44712</v>
      </c>
      <c r="E1407" s="270" t="s">
        <v>267</v>
      </c>
      <c r="F1407" s="96" t="s">
        <v>49</v>
      </c>
      <c r="G1407" s="279" t="s">
        <v>35</v>
      </c>
      <c r="H1407" s="272" t="s">
        <v>72</v>
      </c>
      <c r="I1407" s="273">
        <v>50</v>
      </c>
      <c r="J1407" s="270">
        <v>7</v>
      </c>
      <c r="K1407" s="270">
        <f t="shared" si="0"/>
        <v>350</v>
      </c>
      <c r="L1407" s="270">
        <v>-1417</v>
      </c>
      <c r="M1407" s="270">
        <v>-100</v>
      </c>
      <c r="N1407" s="274">
        <v>17</v>
      </c>
      <c r="O1407" s="55"/>
      <c r="P1407" s="45">
        <v>17</v>
      </c>
      <c r="Q1407" s="270">
        <v>-154</v>
      </c>
      <c r="R1407" s="275">
        <v>-6.3699999999999998E-4</v>
      </c>
      <c r="S1407" s="270">
        <v>-154</v>
      </c>
      <c r="T1407" s="270">
        <v>-137</v>
      </c>
      <c r="U1407" s="57">
        <v>1</v>
      </c>
      <c r="V1407" s="276">
        <v>0.17</v>
      </c>
      <c r="W1407" s="276">
        <v>0</v>
      </c>
      <c r="X1407" s="270">
        <v>-114</v>
      </c>
      <c r="Y1407" s="270">
        <v>-23</v>
      </c>
      <c r="Z1407" s="45" t="b">
        <v>1</v>
      </c>
      <c r="AA1407" s="45" t="s">
        <v>38</v>
      </c>
      <c r="AB1407" s="45" t="s">
        <v>38</v>
      </c>
    </row>
    <row r="1408" spans="1:28" x14ac:dyDescent="0.2">
      <c r="A1408" s="279" t="s">
        <v>189</v>
      </c>
      <c r="B1408" s="279" t="s">
        <v>189</v>
      </c>
      <c r="C1408" s="282">
        <v>44685</v>
      </c>
      <c r="D1408" s="282">
        <v>44712</v>
      </c>
      <c r="E1408" s="279" t="s">
        <v>267</v>
      </c>
      <c r="F1408" s="133" t="s">
        <v>41</v>
      </c>
      <c r="G1408" s="279" t="s">
        <v>53</v>
      </c>
      <c r="H1408" s="289" t="s">
        <v>54</v>
      </c>
      <c r="I1408" s="280">
        <v>5</v>
      </c>
      <c r="J1408" s="279">
        <v>5</v>
      </c>
      <c r="K1408" s="270">
        <f t="shared" si="0"/>
        <v>25</v>
      </c>
      <c r="L1408" s="279">
        <v>0</v>
      </c>
      <c r="M1408" s="279">
        <v>-1.3</v>
      </c>
      <c r="N1408" s="281"/>
      <c r="O1408" s="55">
        <v>0.5</v>
      </c>
      <c r="P1408" s="45">
        <v>1</v>
      </c>
      <c r="Q1408" s="279">
        <v>-2</v>
      </c>
      <c r="R1408" s="275">
        <v>0</v>
      </c>
      <c r="S1408" s="279">
        <v>-2</v>
      </c>
      <c r="T1408" s="279">
        <v>0</v>
      </c>
      <c r="U1408" s="57">
        <v>1</v>
      </c>
      <c r="V1408" s="276">
        <v>0.3</v>
      </c>
      <c r="W1408" s="276">
        <v>0</v>
      </c>
      <c r="X1408" s="279">
        <v>0</v>
      </c>
      <c r="Y1408" s="279">
        <v>0</v>
      </c>
      <c r="Z1408" s="45" t="b">
        <v>1</v>
      </c>
      <c r="AA1408" s="45" t="s">
        <v>38</v>
      </c>
      <c r="AB1408" s="45" t="s">
        <v>38</v>
      </c>
    </row>
    <row r="1409" spans="1:28" x14ac:dyDescent="0.2">
      <c r="A1409" s="279" t="s">
        <v>189</v>
      </c>
      <c r="B1409" s="279" t="s">
        <v>189</v>
      </c>
      <c r="C1409" s="282">
        <v>44685</v>
      </c>
      <c r="D1409" s="282">
        <v>44712</v>
      </c>
      <c r="E1409" s="279" t="s">
        <v>267</v>
      </c>
      <c r="F1409" s="133" t="s">
        <v>41</v>
      </c>
      <c r="G1409" s="279" t="s">
        <v>53</v>
      </c>
      <c r="H1409" s="289" t="s">
        <v>55</v>
      </c>
      <c r="I1409" s="280">
        <v>10</v>
      </c>
      <c r="J1409" s="279">
        <v>10</v>
      </c>
      <c r="K1409" s="270">
        <f t="shared" si="0"/>
        <v>100</v>
      </c>
      <c r="L1409" s="279">
        <v>-150</v>
      </c>
      <c r="M1409" s="279">
        <v>-5.19</v>
      </c>
      <c r="N1409" s="281"/>
      <c r="O1409" s="55">
        <v>0.5</v>
      </c>
      <c r="P1409" s="45">
        <v>4</v>
      </c>
      <c r="Q1409" s="279">
        <v>-10</v>
      </c>
      <c r="R1409" s="275">
        <v>0</v>
      </c>
      <c r="S1409" s="279">
        <v>-10</v>
      </c>
      <c r="T1409" s="279">
        <v>-2</v>
      </c>
      <c r="U1409" s="57">
        <v>1</v>
      </c>
      <c r="V1409" s="276">
        <v>0.3</v>
      </c>
      <c r="W1409" s="276">
        <v>0</v>
      </c>
      <c r="X1409" s="279">
        <v>-1</v>
      </c>
      <c r="Y1409" s="279">
        <v>-1</v>
      </c>
      <c r="Z1409" s="45" t="b">
        <v>1</v>
      </c>
      <c r="AA1409" s="45" t="s">
        <v>38</v>
      </c>
      <c r="AB1409" s="45" t="s">
        <v>38</v>
      </c>
    </row>
    <row r="1410" spans="1:28" x14ac:dyDescent="0.2">
      <c r="A1410" s="279" t="s">
        <v>189</v>
      </c>
      <c r="B1410" s="279" t="s">
        <v>189</v>
      </c>
      <c r="C1410" s="282">
        <v>44685</v>
      </c>
      <c r="D1410" s="282">
        <v>44712</v>
      </c>
      <c r="E1410" s="279" t="s">
        <v>267</v>
      </c>
      <c r="F1410" s="133" t="s">
        <v>41</v>
      </c>
      <c r="G1410" s="279" t="s">
        <v>53</v>
      </c>
      <c r="H1410" s="289" t="s">
        <v>56</v>
      </c>
      <c r="I1410" s="280">
        <v>20</v>
      </c>
      <c r="J1410" s="279">
        <v>1315</v>
      </c>
      <c r="K1410" s="270">
        <f t="shared" si="0"/>
        <v>26300</v>
      </c>
      <c r="L1410" s="279">
        <v>53915</v>
      </c>
      <c r="M1410" s="279">
        <v>-1363.98</v>
      </c>
      <c r="N1410" s="281"/>
      <c r="O1410" s="55">
        <v>0.5</v>
      </c>
      <c r="P1410" s="45">
        <v>921</v>
      </c>
      <c r="Q1410" s="279">
        <v>-30</v>
      </c>
      <c r="R1410" s="275">
        <v>0</v>
      </c>
      <c r="S1410" s="279">
        <v>-30</v>
      </c>
      <c r="T1410" s="279">
        <v>-443</v>
      </c>
      <c r="U1410" s="57">
        <v>1</v>
      </c>
      <c r="V1410" s="276">
        <v>0.3</v>
      </c>
      <c r="W1410" s="276">
        <v>0</v>
      </c>
      <c r="X1410" s="279">
        <v>-310</v>
      </c>
      <c r="Y1410" s="279">
        <v>-133</v>
      </c>
      <c r="Z1410" s="45" t="b">
        <v>1</v>
      </c>
      <c r="AA1410" s="45" t="s">
        <v>38</v>
      </c>
      <c r="AB1410" s="45" t="s">
        <v>38</v>
      </c>
    </row>
    <row r="1411" spans="1:28" x14ac:dyDescent="0.2">
      <c r="A1411" s="279" t="s">
        <v>189</v>
      </c>
      <c r="B1411" s="279" t="s">
        <v>189</v>
      </c>
      <c r="C1411" s="282">
        <v>44685</v>
      </c>
      <c r="D1411" s="282">
        <v>44712</v>
      </c>
      <c r="E1411" s="279" t="s">
        <v>267</v>
      </c>
      <c r="F1411" s="133" t="s">
        <v>41</v>
      </c>
      <c r="G1411" s="279" t="s">
        <v>53</v>
      </c>
      <c r="H1411" s="289" t="s">
        <v>57</v>
      </c>
      <c r="I1411" s="280">
        <v>50</v>
      </c>
      <c r="J1411" s="279">
        <v>183</v>
      </c>
      <c r="K1411" s="270">
        <f t="shared" si="0"/>
        <v>9150</v>
      </c>
      <c r="L1411" s="279">
        <v>-3294</v>
      </c>
      <c r="M1411" s="279">
        <v>-474.54</v>
      </c>
      <c r="N1411" s="281"/>
      <c r="O1411" s="55">
        <v>0.5</v>
      </c>
      <c r="P1411" s="45">
        <v>320</v>
      </c>
      <c r="Q1411" s="279">
        <v>-1005</v>
      </c>
      <c r="R1411" s="275">
        <v>0</v>
      </c>
      <c r="S1411" s="279">
        <v>-1005</v>
      </c>
      <c r="T1411" s="279">
        <v>-154</v>
      </c>
      <c r="U1411" s="57">
        <v>1</v>
      </c>
      <c r="V1411" s="276">
        <v>0.3</v>
      </c>
      <c r="W1411" s="276">
        <v>0</v>
      </c>
      <c r="X1411" s="279">
        <v>-108</v>
      </c>
      <c r="Y1411" s="279">
        <v>-46</v>
      </c>
      <c r="Z1411" s="45" t="b">
        <v>1</v>
      </c>
      <c r="AA1411" s="45" t="s">
        <v>38</v>
      </c>
      <c r="AB1411" s="45" t="s">
        <v>38</v>
      </c>
    </row>
    <row r="1412" spans="1:28" x14ac:dyDescent="0.2">
      <c r="A1412" s="96" t="s">
        <v>561</v>
      </c>
      <c r="B1412" s="96" t="s">
        <v>79</v>
      </c>
      <c r="C1412" s="277">
        <v>44682</v>
      </c>
      <c r="D1412" s="277">
        <v>44712</v>
      </c>
      <c r="E1412" s="270" t="s">
        <v>267</v>
      </c>
      <c r="F1412" s="96" t="s">
        <v>41</v>
      </c>
      <c r="G1412" s="270" t="s">
        <v>80</v>
      </c>
      <c r="H1412" s="272" t="s">
        <v>71</v>
      </c>
      <c r="I1412" s="273">
        <v>20</v>
      </c>
      <c r="J1412" s="270">
        <v>3906</v>
      </c>
      <c r="K1412" s="270">
        <f t="shared" si="0"/>
        <v>78120</v>
      </c>
      <c r="L1412" s="270">
        <v>12689</v>
      </c>
      <c r="M1412" s="270">
        <v>-4880</v>
      </c>
      <c r="N1412" s="274">
        <v>4037.46</v>
      </c>
      <c r="O1412" s="55"/>
      <c r="P1412" s="105">
        <v>4037</v>
      </c>
      <c r="Q1412" s="270">
        <v>-4999</v>
      </c>
      <c r="R1412" s="275">
        <v>0</v>
      </c>
      <c r="S1412" s="270">
        <v>-4999</v>
      </c>
      <c r="T1412" s="270">
        <v>-843</v>
      </c>
      <c r="U1412" s="57">
        <v>1</v>
      </c>
      <c r="V1412" s="276">
        <v>0.17</v>
      </c>
      <c r="W1412" s="276">
        <v>0</v>
      </c>
      <c r="X1412" s="270">
        <v>-699</v>
      </c>
      <c r="Y1412" s="270">
        <v>-143</v>
      </c>
      <c r="Z1412" s="45" t="b">
        <v>1</v>
      </c>
      <c r="AA1412" s="45" t="s">
        <v>38</v>
      </c>
      <c r="AB1412" s="45" t="s">
        <v>38</v>
      </c>
    </row>
    <row r="1413" spans="1:28" x14ac:dyDescent="0.2">
      <c r="A1413" s="96" t="s">
        <v>561</v>
      </c>
      <c r="B1413" s="96" t="s">
        <v>79</v>
      </c>
      <c r="C1413" s="277">
        <v>44682</v>
      </c>
      <c r="D1413" s="277">
        <v>44712</v>
      </c>
      <c r="E1413" s="270" t="s">
        <v>267</v>
      </c>
      <c r="F1413" s="96" t="s">
        <v>41</v>
      </c>
      <c r="G1413" s="270" t="s">
        <v>80</v>
      </c>
      <c r="H1413" s="272" t="s">
        <v>40</v>
      </c>
      <c r="I1413" s="273">
        <v>10</v>
      </c>
      <c r="J1413" s="270">
        <v>2201</v>
      </c>
      <c r="K1413" s="270">
        <f t="shared" si="0"/>
        <v>22010</v>
      </c>
      <c r="L1413" s="270">
        <v>46501</v>
      </c>
      <c r="M1413" s="270">
        <v>-370</v>
      </c>
      <c r="N1413" s="274">
        <v>1137.54</v>
      </c>
      <c r="O1413" s="55"/>
      <c r="P1413" s="105">
        <v>1138</v>
      </c>
      <c r="Q1413" s="270">
        <v>-276</v>
      </c>
      <c r="R1413" s="275">
        <v>0</v>
      </c>
      <c r="S1413" s="270">
        <v>-276</v>
      </c>
      <c r="T1413" s="270">
        <v>768</v>
      </c>
      <c r="U1413" s="57">
        <v>1</v>
      </c>
      <c r="V1413" s="276">
        <v>0.17</v>
      </c>
      <c r="W1413" s="276">
        <v>0</v>
      </c>
      <c r="X1413" s="270">
        <v>637</v>
      </c>
      <c r="Y1413" s="270">
        <v>130</v>
      </c>
      <c r="Z1413" s="45" t="b">
        <v>1</v>
      </c>
      <c r="AA1413" s="45" t="s">
        <v>38</v>
      </c>
      <c r="AB1413" s="45" t="s">
        <v>38</v>
      </c>
    </row>
    <row r="1414" spans="1:28" x14ac:dyDescent="0.2">
      <c r="A1414" s="279" t="s">
        <v>195</v>
      </c>
      <c r="B1414" s="279" t="s">
        <v>196</v>
      </c>
      <c r="C1414" s="282">
        <v>44682</v>
      </c>
      <c r="D1414" s="282">
        <v>44712</v>
      </c>
      <c r="E1414" s="279" t="s">
        <v>267</v>
      </c>
      <c r="F1414" s="96" t="s">
        <v>34</v>
      </c>
      <c r="G1414" s="279" t="s">
        <v>69</v>
      </c>
      <c r="H1414" s="289" t="s">
        <v>71</v>
      </c>
      <c r="I1414" s="273">
        <v>20</v>
      </c>
      <c r="J1414" s="270">
        <v>1467</v>
      </c>
      <c r="K1414" s="270">
        <f t="shared" si="0"/>
        <v>29340</v>
      </c>
      <c r="L1414" s="270">
        <v>81147</v>
      </c>
      <c r="M1414" s="270">
        <v>120</v>
      </c>
      <c r="N1414" s="281">
        <v>1595.45</v>
      </c>
      <c r="O1414" s="55"/>
      <c r="P1414" s="105">
        <v>1595</v>
      </c>
      <c r="Q1414" s="270">
        <v>1159</v>
      </c>
      <c r="R1414" s="275">
        <v>1.73E-3</v>
      </c>
      <c r="S1414" s="270">
        <v>1210</v>
      </c>
      <c r="T1414" s="270">
        <v>2805</v>
      </c>
      <c r="U1414" s="57">
        <v>1</v>
      </c>
      <c r="V1414" s="276">
        <v>0.17</v>
      </c>
      <c r="W1414" s="276">
        <v>0</v>
      </c>
      <c r="X1414" s="270">
        <v>2328</v>
      </c>
      <c r="Y1414" s="270">
        <v>477</v>
      </c>
      <c r="Z1414" s="45" t="b">
        <v>1</v>
      </c>
      <c r="AA1414" s="45" t="s">
        <v>38</v>
      </c>
      <c r="AB1414" s="45" t="s">
        <v>38</v>
      </c>
    </row>
    <row r="1415" spans="1:28" x14ac:dyDescent="0.2">
      <c r="A1415" s="279" t="s">
        <v>195</v>
      </c>
      <c r="B1415" s="279" t="s">
        <v>196</v>
      </c>
      <c r="C1415" s="282">
        <v>44682</v>
      </c>
      <c r="D1415" s="282">
        <v>44712</v>
      </c>
      <c r="E1415" s="96" t="s">
        <v>267</v>
      </c>
      <c r="F1415" s="96" t="s">
        <v>41</v>
      </c>
      <c r="G1415" s="279" t="s">
        <v>69</v>
      </c>
      <c r="H1415" s="289" t="s">
        <v>197</v>
      </c>
      <c r="I1415" s="280">
        <v>3</v>
      </c>
      <c r="J1415" s="279">
        <v>3</v>
      </c>
      <c r="K1415" s="270">
        <f t="shared" si="0"/>
        <v>9</v>
      </c>
      <c r="L1415" s="279"/>
      <c r="M1415" s="279">
        <v>21</v>
      </c>
      <c r="N1415" s="281">
        <v>0.12</v>
      </c>
      <c r="O1415" s="55"/>
      <c r="P1415" s="45">
        <v>0</v>
      </c>
      <c r="Q1415" s="279"/>
      <c r="R1415" s="275">
        <v>0</v>
      </c>
      <c r="S1415" s="279"/>
      <c r="T1415" s="279">
        <v>21</v>
      </c>
      <c r="U1415" s="57">
        <v>1</v>
      </c>
      <c r="V1415" s="276">
        <v>0.17</v>
      </c>
      <c r="W1415" s="276">
        <v>0</v>
      </c>
      <c r="X1415" s="279">
        <v>18</v>
      </c>
      <c r="Y1415" s="279">
        <v>4</v>
      </c>
      <c r="Z1415" s="45" t="b">
        <v>1</v>
      </c>
      <c r="AA1415" s="45" t="s">
        <v>38</v>
      </c>
      <c r="AB1415" s="45" t="s">
        <v>38</v>
      </c>
    </row>
    <row r="1416" spans="1:28" x14ac:dyDescent="0.2">
      <c r="A1416" s="279" t="s">
        <v>195</v>
      </c>
      <c r="B1416" s="279" t="s">
        <v>196</v>
      </c>
      <c r="C1416" s="282">
        <v>44682</v>
      </c>
      <c r="D1416" s="282">
        <v>44712</v>
      </c>
      <c r="E1416" s="96" t="s">
        <v>267</v>
      </c>
      <c r="F1416" s="96" t="s">
        <v>41</v>
      </c>
      <c r="G1416" s="279" t="s">
        <v>69</v>
      </c>
      <c r="H1416" s="289" t="s">
        <v>39</v>
      </c>
      <c r="I1416" s="280">
        <v>5</v>
      </c>
      <c r="J1416" s="279">
        <v>1</v>
      </c>
      <c r="K1416" s="270">
        <f t="shared" si="0"/>
        <v>5</v>
      </c>
      <c r="L1416" s="279"/>
      <c r="M1416" s="279">
        <v>0</v>
      </c>
      <c r="N1416" s="281">
        <v>0</v>
      </c>
      <c r="O1416" s="55"/>
      <c r="P1416" s="45">
        <v>0</v>
      </c>
      <c r="Q1416" s="279"/>
      <c r="R1416" s="275">
        <v>0</v>
      </c>
      <c r="S1416" s="279"/>
      <c r="T1416" s="279">
        <v>0</v>
      </c>
      <c r="U1416" s="57">
        <v>1</v>
      </c>
      <c r="V1416" s="276">
        <v>0.17</v>
      </c>
      <c r="W1416" s="276">
        <v>0</v>
      </c>
      <c r="X1416" s="279">
        <v>0</v>
      </c>
      <c r="Y1416" s="279">
        <v>0</v>
      </c>
      <c r="Z1416" s="45" t="b">
        <v>1</v>
      </c>
      <c r="AA1416" s="45" t="s">
        <v>38</v>
      </c>
      <c r="AB1416" s="45" t="s">
        <v>38</v>
      </c>
    </row>
    <row r="1417" spans="1:28" x14ac:dyDescent="0.2">
      <c r="A1417" s="279" t="s">
        <v>195</v>
      </c>
      <c r="B1417" s="279" t="s">
        <v>196</v>
      </c>
      <c r="C1417" s="282">
        <v>44682</v>
      </c>
      <c r="D1417" s="282">
        <v>44712</v>
      </c>
      <c r="E1417" s="96" t="s">
        <v>267</v>
      </c>
      <c r="F1417" s="96" t="s">
        <v>41</v>
      </c>
      <c r="G1417" s="279" t="s">
        <v>69</v>
      </c>
      <c r="H1417" s="289" t="s">
        <v>72</v>
      </c>
      <c r="I1417" s="280">
        <v>50</v>
      </c>
      <c r="J1417" s="279">
        <v>56</v>
      </c>
      <c r="K1417" s="270">
        <f t="shared" si="0"/>
        <v>2800</v>
      </c>
      <c r="L1417" s="279"/>
      <c r="M1417" s="279">
        <v>-750</v>
      </c>
      <c r="N1417" s="281">
        <v>2.42</v>
      </c>
      <c r="O1417" s="55"/>
      <c r="P1417" s="45">
        <v>2</v>
      </c>
      <c r="Q1417" s="279"/>
      <c r="R1417" s="275">
        <v>0</v>
      </c>
      <c r="S1417" s="279"/>
      <c r="T1417" s="279">
        <v>-748</v>
      </c>
      <c r="U1417" s="57">
        <v>1</v>
      </c>
      <c r="V1417" s="276">
        <v>0.17</v>
      </c>
      <c r="W1417" s="276">
        <v>0</v>
      </c>
      <c r="X1417" s="279">
        <v>-620</v>
      </c>
      <c r="Y1417" s="279">
        <v>-127</v>
      </c>
      <c r="Z1417" s="45" t="b">
        <v>1</v>
      </c>
      <c r="AA1417" s="45" t="s">
        <v>38</v>
      </c>
      <c r="AB1417" s="45" t="s">
        <v>38</v>
      </c>
    </row>
    <row r="1418" spans="1:28" x14ac:dyDescent="0.2">
      <c r="A1418" s="279" t="s">
        <v>232</v>
      </c>
      <c r="B1418" s="279" t="s">
        <v>198</v>
      </c>
      <c r="C1418" s="282">
        <v>44682</v>
      </c>
      <c r="D1418" s="282">
        <v>44712</v>
      </c>
      <c r="E1418" s="279" t="s">
        <v>267</v>
      </c>
      <c r="F1418" s="133" t="s">
        <v>41</v>
      </c>
      <c r="G1418" s="279" t="s">
        <v>53</v>
      </c>
      <c r="H1418" s="289" t="s">
        <v>55</v>
      </c>
      <c r="I1418" s="280">
        <v>10</v>
      </c>
      <c r="J1418" s="279">
        <v>10</v>
      </c>
      <c r="K1418" s="270">
        <f t="shared" si="0"/>
        <v>100</v>
      </c>
      <c r="L1418" s="279">
        <v>-66</v>
      </c>
      <c r="M1418" s="279">
        <v>-4.38</v>
      </c>
      <c r="N1418" s="281"/>
      <c r="O1418" s="55">
        <v>0.5</v>
      </c>
      <c r="P1418" s="45">
        <v>4</v>
      </c>
      <c r="Q1418" s="279">
        <v>-9</v>
      </c>
      <c r="R1418" s="275">
        <v>0</v>
      </c>
      <c r="S1418" s="279">
        <v>-9</v>
      </c>
      <c r="T1418" s="279">
        <v>-1</v>
      </c>
      <c r="U1418" s="57">
        <v>0.93500000000000005</v>
      </c>
      <c r="V1418" s="276">
        <v>0.3</v>
      </c>
      <c r="W1418" s="276">
        <v>0</v>
      </c>
      <c r="X1418" s="279">
        <v>-1</v>
      </c>
      <c r="Y1418" s="279">
        <v>0</v>
      </c>
      <c r="Z1418" s="45" t="b">
        <v>1</v>
      </c>
      <c r="AA1418" s="45" t="s">
        <v>50</v>
      </c>
      <c r="AB1418" s="45" t="s">
        <v>38</v>
      </c>
    </row>
    <row r="1419" spans="1:28" x14ac:dyDescent="0.2">
      <c r="A1419" s="279" t="s">
        <v>232</v>
      </c>
      <c r="B1419" s="279" t="s">
        <v>198</v>
      </c>
      <c r="C1419" s="282">
        <v>44682</v>
      </c>
      <c r="D1419" s="282">
        <v>44712</v>
      </c>
      <c r="E1419" s="279" t="s">
        <v>267</v>
      </c>
      <c r="F1419" s="133" t="s">
        <v>41</v>
      </c>
      <c r="G1419" s="279" t="s">
        <v>53</v>
      </c>
      <c r="H1419" s="289" t="s">
        <v>56</v>
      </c>
      <c r="I1419" s="280">
        <v>20</v>
      </c>
      <c r="J1419" s="279">
        <v>2214</v>
      </c>
      <c r="K1419" s="270">
        <f t="shared" si="0"/>
        <v>44280</v>
      </c>
      <c r="L1419" s="279">
        <v>66466</v>
      </c>
      <c r="M1419" s="279">
        <v>-1941.62</v>
      </c>
      <c r="N1419" s="281"/>
      <c r="O1419" s="55">
        <v>0.5</v>
      </c>
      <c r="P1419" s="105">
        <v>1550</v>
      </c>
      <c r="Q1419" s="279">
        <v>-947</v>
      </c>
      <c r="R1419" s="275">
        <v>0</v>
      </c>
      <c r="S1419" s="279">
        <v>-947</v>
      </c>
      <c r="T1419" s="279">
        <v>-392</v>
      </c>
      <c r="U1419" s="57">
        <v>0.93500000000000005</v>
      </c>
      <c r="V1419" s="276">
        <v>0.3</v>
      </c>
      <c r="W1419" s="276">
        <v>0</v>
      </c>
      <c r="X1419" s="279">
        <v>-256</v>
      </c>
      <c r="Y1419" s="279">
        <v>-110</v>
      </c>
      <c r="Z1419" s="45" t="b">
        <v>1</v>
      </c>
      <c r="AA1419" s="45" t="s">
        <v>50</v>
      </c>
      <c r="AB1419" s="45" t="s">
        <v>38</v>
      </c>
    </row>
    <row r="1420" spans="1:28" x14ac:dyDescent="0.2">
      <c r="A1420" s="279" t="s">
        <v>98</v>
      </c>
      <c r="B1420" s="279" t="s">
        <v>99</v>
      </c>
      <c r="C1420" s="282">
        <v>44698</v>
      </c>
      <c r="D1420" s="282">
        <v>44712</v>
      </c>
      <c r="E1420" s="279" t="s">
        <v>267</v>
      </c>
      <c r="F1420" s="133" t="s">
        <v>49</v>
      </c>
      <c r="G1420" s="279" t="s">
        <v>61</v>
      </c>
      <c r="H1420" s="272" t="s">
        <v>179</v>
      </c>
      <c r="I1420" s="280">
        <v>25</v>
      </c>
      <c r="J1420" s="279">
        <v>11</v>
      </c>
      <c r="K1420" s="270">
        <f t="shared" si="0"/>
        <v>275</v>
      </c>
      <c r="L1420" s="279">
        <v>1811</v>
      </c>
      <c r="M1420" s="279">
        <v>125</v>
      </c>
      <c r="N1420" s="281">
        <v>5</v>
      </c>
      <c r="O1420" s="55"/>
      <c r="P1420" s="45">
        <v>5</v>
      </c>
      <c r="Q1420" s="279">
        <v>57</v>
      </c>
      <c r="R1420" s="275">
        <v>-3.862E-3</v>
      </c>
      <c r="S1420" s="279">
        <v>56</v>
      </c>
      <c r="T1420" s="279">
        <v>61</v>
      </c>
      <c r="U1420" s="57">
        <v>1.07</v>
      </c>
      <c r="V1420" s="276">
        <v>0.25</v>
      </c>
      <c r="W1420" s="276">
        <v>0</v>
      </c>
      <c r="X1420" s="279">
        <v>49</v>
      </c>
      <c r="Y1420" s="279">
        <v>16</v>
      </c>
      <c r="Z1420" s="45" t="b">
        <v>1</v>
      </c>
      <c r="AA1420" s="45" t="s">
        <v>38</v>
      </c>
      <c r="AB1420" s="45" t="s">
        <v>50</v>
      </c>
    </row>
    <row r="1421" spans="1:28" x14ac:dyDescent="0.2">
      <c r="A1421" s="279" t="s">
        <v>98</v>
      </c>
      <c r="B1421" s="279" t="s">
        <v>99</v>
      </c>
      <c r="C1421" s="282">
        <v>44698</v>
      </c>
      <c r="D1421" s="282">
        <v>44712</v>
      </c>
      <c r="E1421" s="279" t="s">
        <v>267</v>
      </c>
      <c r="F1421" s="133" t="s">
        <v>49</v>
      </c>
      <c r="G1421" s="279" t="s">
        <v>61</v>
      </c>
      <c r="H1421" s="272" t="s">
        <v>112</v>
      </c>
      <c r="I1421" s="280">
        <v>50</v>
      </c>
      <c r="J1421" s="279">
        <v>850</v>
      </c>
      <c r="K1421" s="270">
        <f t="shared" si="0"/>
        <v>42500</v>
      </c>
      <c r="L1421" s="279">
        <v>43413</v>
      </c>
      <c r="M1421" s="279">
        <v>-1735</v>
      </c>
      <c r="N1421" s="281">
        <v>766</v>
      </c>
      <c r="O1421" s="55"/>
      <c r="P1421" s="45">
        <v>766</v>
      </c>
      <c r="Q1421" s="279">
        <v>97</v>
      </c>
      <c r="R1421" s="275">
        <v>-1.3730000000000001E-3</v>
      </c>
      <c r="S1421" s="279">
        <v>39</v>
      </c>
      <c r="T1421" s="279">
        <v>805</v>
      </c>
      <c r="U1421" s="57">
        <v>1.07</v>
      </c>
      <c r="V1421" s="276">
        <v>0.25</v>
      </c>
      <c r="W1421" s="276">
        <v>0</v>
      </c>
      <c r="X1421" s="279">
        <v>646</v>
      </c>
      <c r="Y1421" s="279">
        <v>215</v>
      </c>
      <c r="Z1421" s="45" t="b">
        <v>1</v>
      </c>
      <c r="AA1421" s="45" t="s">
        <v>38</v>
      </c>
      <c r="AB1421" s="45" t="s">
        <v>50</v>
      </c>
    </row>
    <row r="1422" spans="1:28" x14ac:dyDescent="0.2">
      <c r="A1422" s="279" t="s">
        <v>98</v>
      </c>
      <c r="B1422" s="279" t="s">
        <v>99</v>
      </c>
      <c r="C1422" s="282">
        <v>44704</v>
      </c>
      <c r="D1422" s="282">
        <v>44712</v>
      </c>
      <c r="E1422" s="279" t="s">
        <v>267</v>
      </c>
      <c r="F1422" s="133" t="s">
        <v>49</v>
      </c>
      <c r="G1422" s="279" t="s">
        <v>61</v>
      </c>
      <c r="H1422" s="289" t="s">
        <v>59</v>
      </c>
      <c r="I1422" s="280">
        <v>100</v>
      </c>
      <c r="J1422" s="279">
        <v>432</v>
      </c>
      <c r="K1422" s="270">
        <f t="shared" si="0"/>
        <v>43200</v>
      </c>
      <c r="L1422" s="279">
        <v>6153</v>
      </c>
      <c r="M1422" s="279">
        <v>-1654</v>
      </c>
      <c r="N1422" s="281">
        <v>779</v>
      </c>
      <c r="O1422" s="55"/>
      <c r="P1422" s="45">
        <v>779</v>
      </c>
      <c r="Q1422" s="279">
        <v>-2777</v>
      </c>
      <c r="R1422" s="275">
        <v>-1.302E-3</v>
      </c>
      <c r="S1422" s="279">
        <v>-2833</v>
      </c>
      <c r="T1422" s="279">
        <v>-2054</v>
      </c>
      <c r="U1422" s="57">
        <v>1.07</v>
      </c>
      <c r="V1422" s="276">
        <v>0.25</v>
      </c>
      <c r="W1422" s="276">
        <v>0</v>
      </c>
      <c r="X1422" s="279">
        <v>-1648</v>
      </c>
      <c r="Y1422" s="279">
        <v>-549</v>
      </c>
      <c r="Z1422" s="45" t="b">
        <v>1</v>
      </c>
      <c r="AA1422" s="45" t="s">
        <v>38</v>
      </c>
      <c r="AB1422" s="45" t="s">
        <v>50</v>
      </c>
    </row>
    <row r="1423" spans="1:28" x14ac:dyDescent="0.2">
      <c r="A1423" s="279" t="s">
        <v>98</v>
      </c>
      <c r="B1423" s="279" t="s">
        <v>98</v>
      </c>
      <c r="C1423" s="282">
        <v>44682</v>
      </c>
      <c r="D1423" s="282">
        <v>44712</v>
      </c>
      <c r="E1423" s="279" t="s">
        <v>267</v>
      </c>
      <c r="F1423" s="133" t="s">
        <v>41</v>
      </c>
      <c r="G1423" s="270" t="s">
        <v>35</v>
      </c>
      <c r="H1423" s="272" t="s">
        <v>87</v>
      </c>
      <c r="I1423" s="273">
        <v>25</v>
      </c>
      <c r="J1423" s="270">
        <v>101</v>
      </c>
      <c r="K1423" s="270">
        <f t="shared" si="0"/>
        <v>2525</v>
      </c>
      <c r="L1423" s="270"/>
      <c r="M1423" s="270">
        <v>275</v>
      </c>
      <c r="N1423" s="274">
        <v>20</v>
      </c>
      <c r="O1423" s="55"/>
      <c r="P1423" s="45">
        <v>20</v>
      </c>
      <c r="Q1423" s="270"/>
      <c r="R1423" s="275">
        <v>0</v>
      </c>
      <c r="S1423" s="270"/>
      <c r="T1423" s="270">
        <v>295</v>
      </c>
      <c r="U1423" s="57">
        <v>1</v>
      </c>
      <c r="V1423" s="276">
        <v>0.25</v>
      </c>
      <c r="W1423" s="276">
        <v>0</v>
      </c>
      <c r="X1423" s="270">
        <v>221</v>
      </c>
      <c r="Y1423" s="270">
        <v>74</v>
      </c>
      <c r="Z1423" s="45" t="b">
        <v>1</v>
      </c>
      <c r="AA1423" s="45" t="s">
        <v>38</v>
      </c>
      <c r="AB1423" s="45" t="s">
        <v>38</v>
      </c>
    </row>
    <row r="1424" spans="1:28" x14ac:dyDescent="0.2">
      <c r="A1424" s="96" t="s">
        <v>286</v>
      </c>
      <c r="B1424" s="96" t="s">
        <v>286</v>
      </c>
      <c r="C1424" s="277">
        <v>44702</v>
      </c>
      <c r="D1424" s="277">
        <v>44732</v>
      </c>
      <c r="E1424" s="270" t="s">
        <v>267</v>
      </c>
      <c r="F1424" s="133" t="s">
        <v>34</v>
      </c>
      <c r="G1424" s="96" t="s">
        <v>35</v>
      </c>
      <c r="H1424" s="272" t="s">
        <v>39</v>
      </c>
      <c r="I1424" s="273">
        <v>5</v>
      </c>
      <c r="J1424" s="270">
        <v>1</v>
      </c>
      <c r="K1424" s="270">
        <f t="shared" si="0"/>
        <v>5</v>
      </c>
      <c r="L1424" s="270">
        <v>52</v>
      </c>
      <c r="M1424" s="270">
        <v>10</v>
      </c>
      <c r="N1424" s="274"/>
      <c r="O1424" s="55"/>
      <c r="P1424" s="96"/>
      <c r="Q1424" s="270">
        <v>0</v>
      </c>
      <c r="R1424" s="275">
        <v>-1.5E-3</v>
      </c>
      <c r="S1424" s="270">
        <v>0</v>
      </c>
      <c r="T1424" s="270">
        <v>0</v>
      </c>
      <c r="U1424" s="57">
        <v>1</v>
      </c>
      <c r="V1424" s="276">
        <v>0.15</v>
      </c>
      <c r="W1424" s="276">
        <v>0</v>
      </c>
      <c r="X1424" s="270">
        <v>0</v>
      </c>
      <c r="Y1424" s="270">
        <v>0</v>
      </c>
      <c r="Z1424" s="45" t="b">
        <v>1</v>
      </c>
      <c r="AA1424" s="45" t="s">
        <v>38</v>
      </c>
      <c r="AB1424" s="45" t="s">
        <v>38</v>
      </c>
    </row>
    <row r="1425" spans="1:28" x14ac:dyDescent="0.2">
      <c r="A1425" s="96" t="s">
        <v>286</v>
      </c>
      <c r="B1425" s="96" t="s">
        <v>286</v>
      </c>
      <c r="C1425" s="277">
        <v>44702</v>
      </c>
      <c r="D1425" s="277">
        <v>44732</v>
      </c>
      <c r="E1425" s="270" t="s">
        <v>267</v>
      </c>
      <c r="F1425" s="133" t="s">
        <v>34</v>
      </c>
      <c r="G1425" s="96" t="s">
        <v>35</v>
      </c>
      <c r="H1425" s="272" t="s">
        <v>40</v>
      </c>
      <c r="I1425" s="273">
        <v>10</v>
      </c>
      <c r="J1425" s="270">
        <v>614</v>
      </c>
      <c r="K1425" s="270">
        <f t="shared" si="0"/>
        <v>6140</v>
      </c>
      <c r="L1425" s="270">
        <v>26252</v>
      </c>
      <c r="M1425" s="270">
        <v>50</v>
      </c>
      <c r="N1425" s="274">
        <v>270</v>
      </c>
      <c r="O1425" s="55"/>
      <c r="P1425" s="45">
        <v>270</v>
      </c>
      <c r="Q1425" s="270">
        <v>62</v>
      </c>
      <c r="R1425" s="275">
        <v>-1.5E-3</v>
      </c>
      <c r="S1425" s="270">
        <v>52</v>
      </c>
      <c r="T1425" s="270">
        <v>322</v>
      </c>
      <c r="U1425" s="57">
        <v>1</v>
      </c>
      <c r="V1425" s="276">
        <v>0.15</v>
      </c>
      <c r="W1425" s="276">
        <v>0</v>
      </c>
      <c r="X1425" s="270">
        <v>274</v>
      </c>
      <c r="Y1425" s="270">
        <v>48</v>
      </c>
      <c r="Z1425" s="45" t="b">
        <v>1</v>
      </c>
      <c r="AA1425" s="45" t="s">
        <v>38</v>
      </c>
      <c r="AB1425" s="45" t="s">
        <v>38</v>
      </c>
    </row>
    <row r="1426" spans="1:28" x14ac:dyDescent="0.2">
      <c r="A1426" s="96" t="s">
        <v>286</v>
      </c>
      <c r="B1426" s="96" t="s">
        <v>286</v>
      </c>
      <c r="C1426" s="277">
        <v>44702</v>
      </c>
      <c r="D1426" s="277">
        <v>44732</v>
      </c>
      <c r="E1426" s="270" t="s">
        <v>267</v>
      </c>
      <c r="F1426" s="133" t="s">
        <v>34</v>
      </c>
      <c r="G1426" s="96" t="s">
        <v>35</v>
      </c>
      <c r="H1426" s="272" t="s">
        <v>115</v>
      </c>
      <c r="I1426" s="273">
        <v>10</v>
      </c>
      <c r="J1426" s="270">
        <v>472</v>
      </c>
      <c r="K1426" s="270">
        <f t="shared" si="0"/>
        <v>4720</v>
      </c>
      <c r="L1426" s="270">
        <v>1146</v>
      </c>
      <c r="M1426" s="270">
        <v>-670</v>
      </c>
      <c r="N1426" s="274">
        <v>208</v>
      </c>
      <c r="O1426" s="55"/>
      <c r="P1426" s="45">
        <v>208</v>
      </c>
      <c r="Q1426" s="270">
        <v>-288</v>
      </c>
      <c r="R1426" s="275">
        <v>-1.5E-3</v>
      </c>
      <c r="S1426" s="270">
        <v>-295</v>
      </c>
      <c r="T1426" s="270">
        <v>-87</v>
      </c>
      <c r="U1426" s="57">
        <v>1</v>
      </c>
      <c r="V1426" s="276">
        <v>0.15</v>
      </c>
      <c r="W1426" s="276">
        <v>0</v>
      </c>
      <c r="X1426" s="270">
        <v>-74</v>
      </c>
      <c r="Y1426" s="270">
        <v>-13</v>
      </c>
      <c r="Z1426" s="45" t="b">
        <v>1</v>
      </c>
      <c r="AA1426" s="45" t="s">
        <v>38</v>
      </c>
      <c r="AB1426" s="45" t="s">
        <v>38</v>
      </c>
    </row>
    <row r="1427" spans="1:28" x14ac:dyDescent="0.2">
      <c r="A1427" s="96" t="s">
        <v>286</v>
      </c>
      <c r="B1427" s="96" t="s">
        <v>286</v>
      </c>
      <c r="C1427" s="277">
        <v>44702</v>
      </c>
      <c r="D1427" s="277">
        <v>44732</v>
      </c>
      <c r="E1427" s="270" t="s">
        <v>267</v>
      </c>
      <c r="F1427" s="133" t="s">
        <v>34</v>
      </c>
      <c r="G1427" s="96" t="s">
        <v>35</v>
      </c>
      <c r="H1427" s="272" t="s">
        <v>46</v>
      </c>
      <c r="I1427" s="273">
        <v>25</v>
      </c>
      <c r="J1427" s="270">
        <v>1004</v>
      </c>
      <c r="K1427" s="270">
        <f t="shared" si="0"/>
        <v>25100</v>
      </c>
      <c r="L1427" s="270">
        <v>54002</v>
      </c>
      <c r="M1427" s="270">
        <v>-400</v>
      </c>
      <c r="N1427" s="274">
        <v>947</v>
      </c>
      <c r="O1427" s="55"/>
      <c r="P1427" s="45">
        <v>947</v>
      </c>
      <c r="Q1427" s="270">
        <v>1018</v>
      </c>
      <c r="R1427" s="275">
        <v>-1.5E-3</v>
      </c>
      <c r="S1427" s="270">
        <v>980</v>
      </c>
      <c r="T1427" s="270">
        <v>1927</v>
      </c>
      <c r="U1427" s="57">
        <v>1</v>
      </c>
      <c r="V1427" s="276">
        <v>0.15</v>
      </c>
      <c r="W1427" s="276">
        <v>0</v>
      </c>
      <c r="X1427" s="270">
        <v>1638</v>
      </c>
      <c r="Y1427" s="270">
        <v>289</v>
      </c>
      <c r="Z1427" s="45" t="b">
        <v>0</v>
      </c>
      <c r="AA1427" s="45" t="s">
        <v>38</v>
      </c>
      <c r="AB1427" s="45" t="s">
        <v>38</v>
      </c>
    </row>
    <row r="1428" spans="1:28" x14ac:dyDescent="0.2">
      <c r="A1428" s="96" t="s">
        <v>286</v>
      </c>
      <c r="B1428" s="96" t="s">
        <v>286</v>
      </c>
      <c r="C1428" s="277">
        <v>44702</v>
      </c>
      <c r="D1428" s="277">
        <v>44732</v>
      </c>
      <c r="E1428" s="270" t="s">
        <v>267</v>
      </c>
      <c r="F1428" s="133" t="s">
        <v>34</v>
      </c>
      <c r="G1428" s="96" t="s">
        <v>35</v>
      </c>
      <c r="H1428" s="272" t="s">
        <v>87</v>
      </c>
      <c r="I1428" s="273">
        <v>25</v>
      </c>
      <c r="J1428" s="270">
        <v>1</v>
      </c>
      <c r="K1428" s="270">
        <f t="shared" si="0"/>
        <v>25</v>
      </c>
      <c r="L1428" s="270">
        <v>295</v>
      </c>
      <c r="M1428" s="270">
        <v>50</v>
      </c>
      <c r="N1428" s="274">
        <v>1</v>
      </c>
      <c r="O1428" s="55"/>
      <c r="P1428" s="45">
        <v>1</v>
      </c>
      <c r="Q1428" s="270">
        <v>21</v>
      </c>
      <c r="R1428" s="275">
        <v>-1.5E-3</v>
      </c>
      <c r="S1428" s="270">
        <v>21</v>
      </c>
      <c r="T1428" s="270">
        <v>22</v>
      </c>
      <c r="U1428" s="57">
        <v>1</v>
      </c>
      <c r="V1428" s="276">
        <v>0.15</v>
      </c>
      <c r="W1428" s="276">
        <v>0</v>
      </c>
      <c r="X1428" s="270">
        <v>19</v>
      </c>
      <c r="Y1428" s="270">
        <v>3</v>
      </c>
      <c r="Z1428" s="45" t="b">
        <v>1</v>
      </c>
      <c r="AA1428" s="45" t="s">
        <v>38</v>
      </c>
      <c r="AB1428" s="45" t="s">
        <v>38</v>
      </c>
    </row>
    <row r="1429" spans="1:28" x14ac:dyDescent="0.2">
      <c r="A1429" s="96" t="s">
        <v>286</v>
      </c>
      <c r="B1429" s="96" t="s">
        <v>286</v>
      </c>
      <c r="C1429" s="277">
        <v>44702</v>
      </c>
      <c r="D1429" s="277">
        <v>44732</v>
      </c>
      <c r="E1429" s="270" t="s">
        <v>267</v>
      </c>
      <c r="F1429" s="133" t="s">
        <v>34</v>
      </c>
      <c r="G1429" s="96" t="s">
        <v>35</v>
      </c>
      <c r="H1429" s="272" t="s">
        <v>72</v>
      </c>
      <c r="I1429" s="273">
        <v>50</v>
      </c>
      <c r="J1429" s="270">
        <v>1</v>
      </c>
      <c r="K1429" s="270">
        <f t="shared" si="0"/>
        <v>50</v>
      </c>
      <c r="L1429" s="270">
        <v>398</v>
      </c>
      <c r="M1429" s="270">
        <v>100</v>
      </c>
      <c r="N1429" s="274">
        <v>2</v>
      </c>
      <c r="O1429" s="55"/>
      <c r="P1429" s="45">
        <v>2</v>
      </c>
      <c r="Q1429" s="270">
        <v>34</v>
      </c>
      <c r="R1429" s="275">
        <v>-1.5E-3</v>
      </c>
      <c r="S1429" s="270">
        <v>34</v>
      </c>
      <c r="T1429" s="270">
        <v>36</v>
      </c>
      <c r="U1429" s="57">
        <v>1</v>
      </c>
      <c r="V1429" s="276">
        <v>0.15</v>
      </c>
      <c r="W1429" s="276">
        <v>0</v>
      </c>
      <c r="X1429" s="270">
        <v>30</v>
      </c>
      <c r="Y1429" s="270">
        <v>5</v>
      </c>
      <c r="Z1429" s="45" t="b">
        <v>1</v>
      </c>
      <c r="AA1429" s="45" t="s">
        <v>38</v>
      </c>
      <c r="AB1429" s="45" t="s">
        <v>38</v>
      </c>
    </row>
    <row r="1430" spans="1:28" x14ac:dyDescent="0.2">
      <c r="A1430" s="96" t="s">
        <v>82</v>
      </c>
      <c r="B1430" s="96" t="s">
        <v>82</v>
      </c>
      <c r="C1430" s="277">
        <v>44702</v>
      </c>
      <c r="D1430" s="277">
        <v>44732</v>
      </c>
      <c r="E1430" s="270" t="s">
        <v>300</v>
      </c>
      <c r="F1430" s="133" t="s">
        <v>34</v>
      </c>
      <c r="G1430" s="96" t="s">
        <v>35</v>
      </c>
      <c r="H1430" s="272" t="s">
        <v>70</v>
      </c>
      <c r="I1430" s="273">
        <v>100</v>
      </c>
      <c r="J1430" s="270">
        <v>1275</v>
      </c>
      <c r="K1430" s="270">
        <f t="shared" si="0"/>
        <v>127500</v>
      </c>
      <c r="L1430" s="270">
        <v>30193</v>
      </c>
      <c r="M1430" s="270">
        <v>-2700</v>
      </c>
      <c r="N1430" s="274">
        <v>6950</v>
      </c>
      <c r="O1430" s="55"/>
      <c r="P1430" s="105">
        <v>6950</v>
      </c>
      <c r="Q1430" s="270">
        <v>-1226</v>
      </c>
      <c r="R1430" s="275">
        <v>1.73E-3</v>
      </c>
      <c r="S1430" s="270">
        <v>-1005</v>
      </c>
      <c r="T1430" s="270">
        <v>5945</v>
      </c>
      <c r="U1430" s="57">
        <v>1</v>
      </c>
      <c r="V1430" s="276">
        <v>0.15</v>
      </c>
      <c r="W1430" s="276">
        <v>0.05</v>
      </c>
      <c r="X1430" s="270">
        <v>4756</v>
      </c>
      <c r="Y1430" s="270">
        <v>1189</v>
      </c>
      <c r="Z1430" s="45" t="b">
        <v>1</v>
      </c>
      <c r="AA1430" s="45" t="s">
        <v>38</v>
      </c>
      <c r="AB1430" s="45" t="s">
        <v>38</v>
      </c>
    </row>
    <row r="1431" spans="1:28" x14ac:dyDescent="0.2">
      <c r="A1431" s="96" t="s">
        <v>154</v>
      </c>
      <c r="B1431" s="96" t="s">
        <v>154</v>
      </c>
      <c r="C1431" s="277">
        <v>44702</v>
      </c>
      <c r="D1431" s="277">
        <v>44732</v>
      </c>
      <c r="E1431" s="279" t="s">
        <v>267</v>
      </c>
      <c r="F1431" s="96" t="s">
        <v>34</v>
      </c>
      <c r="G1431" s="270" t="s">
        <v>35</v>
      </c>
      <c r="H1431" s="272" t="s">
        <v>39</v>
      </c>
      <c r="I1431" s="280">
        <v>5</v>
      </c>
      <c r="J1431" s="279">
        <v>54</v>
      </c>
      <c r="K1431" s="270">
        <f t="shared" si="0"/>
        <v>270</v>
      </c>
      <c r="L1431" s="279">
        <v>7309</v>
      </c>
      <c r="M1431" s="279">
        <v>150</v>
      </c>
      <c r="N1431" s="274">
        <v>6</v>
      </c>
      <c r="O1431" s="55"/>
      <c r="P1431" s="45">
        <v>6</v>
      </c>
      <c r="Q1431" s="279">
        <v>42</v>
      </c>
      <c r="R1431" s="275">
        <v>1.73E-3</v>
      </c>
      <c r="S1431" s="279">
        <v>43</v>
      </c>
      <c r="T1431" s="279">
        <v>49</v>
      </c>
      <c r="U1431" s="57">
        <v>1</v>
      </c>
      <c r="V1431" s="276">
        <v>0.2</v>
      </c>
      <c r="W1431" s="276">
        <v>0</v>
      </c>
      <c r="X1431" s="279">
        <v>39</v>
      </c>
      <c r="Y1431" s="279">
        <v>10</v>
      </c>
      <c r="Z1431" s="45" t="b">
        <v>1</v>
      </c>
      <c r="AA1431" s="45" t="s">
        <v>38</v>
      </c>
      <c r="AB1431" s="45" t="s">
        <v>38</v>
      </c>
    </row>
    <row r="1432" spans="1:28" x14ac:dyDescent="0.2">
      <c r="A1432" s="96" t="s">
        <v>154</v>
      </c>
      <c r="B1432" s="96" t="s">
        <v>154</v>
      </c>
      <c r="C1432" s="277">
        <v>44702</v>
      </c>
      <c r="D1432" s="277">
        <v>44732</v>
      </c>
      <c r="E1432" s="279" t="s">
        <v>267</v>
      </c>
      <c r="F1432" s="96" t="s">
        <v>34</v>
      </c>
      <c r="G1432" s="270" t="s">
        <v>35</v>
      </c>
      <c r="H1432" s="272" t="s">
        <v>40</v>
      </c>
      <c r="I1432" s="280">
        <v>10</v>
      </c>
      <c r="J1432" s="279">
        <v>72</v>
      </c>
      <c r="K1432" s="270">
        <f t="shared" si="0"/>
        <v>720</v>
      </c>
      <c r="L1432" s="279">
        <v>5116</v>
      </c>
      <c r="M1432" s="279">
        <v>150</v>
      </c>
      <c r="N1432" s="274">
        <v>14</v>
      </c>
      <c r="O1432" s="55"/>
      <c r="P1432" s="45">
        <v>14</v>
      </c>
      <c r="Q1432" s="279">
        <v>41</v>
      </c>
      <c r="R1432" s="275">
        <v>1.73E-3</v>
      </c>
      <c r="S1432" s="279">
        <v>42</v>
      </c>
      <c r="T1432" s="279">
        <v>56</v>
      </c>
      <c r="U1432" s="57">
        <v>1</v>
      </c>
      <c r="V1432" s="276">
        <v>0.2</v>
      </c>
      <c r="W1432" s="276">
        <v>0</v>
      </c>
      <c r="X1432" s="279">
        <v>45</v>
      </c>
      <c r="Y1432" s="279">
        <v>11</v>
      </c>
      <c r="Z1432" s="45" t="b">
        <v>1</v>
      </c>
      <c r="AA1432" s="45" t="s">
        <v>38</v>
      </c>
      <c r="AB1432" s="45" t="s">
        <v>38</v>
      </c>
    </row>
    <row r="1433" spans="1:28" x14ac:dyDescent="0.2">
      <c r="A1433" s="279" t="s">
        <v>355</v>
      </c>
      <c r="B1433" s="279" t="s">
        <v>989</v>
      </c>
      <c r="C1433" s="282">
        <v>44702</v>
      </c>
      <c r="D1433" s="282">
        <v>44732</v>
      </c>
      <c r="E1433" s="279" t="s">
        <v>300</v>
      </c>
      <c r="F1433" s="133" t="s">
        <v>34</v>
      </c>
      <c r="G1433" s="279" t="s">
        <v>61</v>
      </c>
      <c r="H1433" s="289" t="s">
        <v>227</v>
      </c>
      <c r="I1433" s="280">
        <v>10</v>
      </c>
      <c r="J1433" s="279">
        <v>191</v>
      </c>
      <c r="K1433" s="270">
        <f t="shared" si="0"/>
        <v>1910</v>
      </c>
      <c r="L1433" s="279">
        <v>19316</v>
      </c>
      <c r="M1433" s="279">
        <v>168</v>
      </c>
      <c r="N1433" s="281">
        <v>146.74</v>
      </c>
      <c r="O1433" s="55"/>
      <c r="P1433" s="45">
        <v>147</v>
      </c>
      <c r="Q1433" s="279">
        <v>164</v>
      </c>
      <c r="R1433" s="275">
        <v>1.73E-3</v>
      </c>
      <c r="S1433" s="279">
        <v>167</v>
      </c>
      <c r="T1433" s="279">
        <v>314</v>
      </c>
      <c r="U1433" s="57">
        <v>1</v>
      </c>
      <c r="V1433" s="276">
        <v>0.15</v>
      </c>
      <c r="W1433" s="276">
        <v>0.1</v>
      </c>
      <c r="X1433" s="279">
        <v>235</v>
      </c>
      <c r="Y1433" s="279">
        <v>78</v>
      </c>
      <c r="Z1433" s="45" t="b">
        <v>1</v>
      </c>
      <c r="AA1433" s="45" t="s">
        <v>50</v>
      </c>
      <c r="AB1433" s="45" t="s">
        <v>50</v>
      </c>
    </row>
    <row r="1434" spans="1:28" x14ac:dyDescent="0.2">
      <c r="A1434" s="279" t="s">
        <v>355</v>
      </c>
      <c r="B1434" s="279" t="s">
        <v>989</v>
      </c>
      <c r="C1434" s="282">
        <v>44702</v>
      </c>
      <c r="D1434" s="282">
        <v>44732</v>
      </c>
      <c r="E1434" s="279" t="s">
        <v>300</v>
      </c>
      <c r="F1434" s="133" t="s">
        <v>34</v>
      </c>
      <c r="G1434" s="279" t="s">
        <v>61</v>
      </c>
      <c r="H1434" s="272" t="s">
        <v>179</v>
      </c>
      <c r="I1434" s="280">
        <v>25</v>
      </c>
      <c r="J1434" s="279">
        <v>148</v>
      </c>
      <c r="K1434" s="270">
        <f t="shared" si="0"/>
        <v>3700</v>
      </c>
      <c r="L1434" s="279">
        <v>8114</v>
      </c>
      <c r="M1434" s="279">
        <v>-737</v>
      </c>
      <c r="N1434" s="281">
        <v>3.26</v>
      </c>
      <c r="O1434" s="55"/>
      <c r="P1434" s="45">
        <v>3</v>
      </c>
      <c r="Q1434" s="279">
        <v>39</v>
      </c>
      <c r="R1434" s="275">
        <v>1.73E-3</v>
      </c>
      <c r="S1434" s="279">
        <v>46</v>
      </c>
      <c r="T1434" s="279">
        <v>49</v>
      </c>
      <c r="U1434" s="57">
        <v>1</v>
      </c>
      <c r="V1434" s="276">
        <v>0.15</v>
      </c>
      <c r="W1434" s="276">
        <v>0.1</v>
      </c>
      <c r="X1434" s="279">
        <v>37</v>
      </c>
      <c r="Y1434" s="279">
        <v>12</v>
      </c>
      <c r="Z1434" s="45" t="b">
        <v>1</v>
      </c>
      <c r="AA1434" s="45" t="s">
        <v>50</v>
      </c>
      <c r="AB1434" s="45" t="s">
        <v>50</v>
      </c>
    </row>
    <row r="1435" spans="1:28" x14ac:dyDescent="0.2">
      <c r="A1435" s="279" t="s">
        <v>355</v>
      </c>
      <c r="B1435" s="279" t="s">
        <v>989</v>
      </c>
      <c r="C1435" s="282">
        <v>44702</v>
      </c>
      <c r="D1435" s="282">
        <v>44732</v>
      </c>
      <c r="E1435" s="279" t="s">
        <v>300</v>
      </c>
      <c r="F1435" s="133" t="s">
        <v>41</v>
      </c>
      <c r="G1435" s="279" t="s">
        <v>61</v>
      </c>
      <c r="H1435" s="289" t="s">
        <v>1002</v>
      </c>
      <c r="I1435" s="280">
        <v>20</v>
      </c>
      <c r="J1435" s="279">
        <v>11</v>
      </c>
      <c r="K1435" s="270">
        <f t="shared" si="0"/>
        <v>220</v>
      </c>
      <c r="L1435" s="279">
        <v>-121</v>
      </c>
      <c r="M1435" s="279">
        <v>-68</v>
      </c>
      <c r="N1435" s="281">
        <v>0</v>
      </c>
      <c r="O1435" s="55"/>
      <c r="P1435" s="45">
        <v>0</v>
      </c>
      <c r="Q1435" s="279">
        <v>0</v>
      </c>
      <c r="R1435" s="275">
        <v>0</v>
      </c>
      <c r="S1435" s="279">
        <v>0</v>
      </c>
      <c r="T1435" s="279">
        <v>-68</v>
      </c>
      <c r="U1435" s="57">
        <v>1</v>
      </c>
      <c r="V1435" s="276">
        <v>0.15</v>
      </c>
      <c r="W1435" s="276">
        <v>0.1</v>
      </c>
      <c r="X1435" s="279">
        <v>-51</v>
      </c>
      <c r="Y1435" s="279">
        <v>-17</v>
      </c>
      <c r="Z1435" s="45" t="b">
        <v>1</v>
      </c>
      <c r="AA1435" s="45" t="s">
        <v>50</v>
      </c>
      <c r="AB1435" s="45" t="s">
        <v>50</v>
      </c>
    </row>
    <row r="1436" spans="1:28" x14ac:dyDescent="0.2">
      <c r="A1436" s="96" t="s">
        <v>125</v>
      </c>
      <c r="B1436" s="96" t="s">
        <v>125</v>
      </c>
      <c r="C1436" s="277">
        <v>44702</v>
      </c>
      <c r="D1436" s="277">
        <v>44732</v>
      </c>
      <c r="E1436" s="270" t="s">
        <v>267</v>
      </c>
      <c r="F1436" s="96" t="s">
        <v>34</v>
      </c>
      <c r="G1436" s="270" t="s">
        <v>35</v>
      </c>
      <c r="H1436" s="272" t="s">
        <v>39</v>
      </c>
      <c r="I1436" s="273">
        <v>5</v>
      </c>
      <c r="J1436" s="270">
        <v>12</v>
      </c>
      <c r="K1436" s="270">
        <f t="shared" si="0"/>
        <v>60</v>
      </c>
      <c r="L1436" s="270">
        <v>1463</v>
      </c>
      <c r="M1436" s="270">
        <v>-20</v>
      </c>
      <c r="N1436" s="274"/>
      <c r="O1436" s="55"/>
      <c r="P1436" s="96"/>
      <c r="Q1436" s="270">
        <v>8</v>
      </c>
      <c r="R1436" s="275">
        <v>1.73E-3</v>
      </c>
      <c r="S1436" s="270">
        <v>8</v>
      </c>
      <c r="T1436" s="270">
        <v>8</v>
      </c>
      <c r="U1436" s="57">
        <v>1</v>
      </c>
      <c r="V1436" s="276">
        <v>0.23</v>
      </c>
      <c r="W1436" s="276">
        <v>0</v>
      </c>
      <c r="X1436" s="270">
        <v>6</v>
      </c>
      <c r="Y1436" s="270">
        <v>2</v>
      </c>
      <c r="Z1436" s="45" t="b">
        <v>1</v>
      </c>
      <c r="AA1436" s="45" t="s">
        <v>38</v>
      </c>
      <c r="AB1436" s="45" t="s">
        <v>38</v>
      </c>
    </row>
    <row r="1437" spans="1:28" x14ac:dyDescent="0.2">
      <c r="A1437" s="96" t="s">
        <v>125</v>
      </c>
      <c r="B1437" s="96" t="s">
        <v>125</v>
      </c>
      <c r="C1437" s="277">
        <v>44702</v>
      </c>
      <c r="D1437" s="277">
        <v>44732</v>
      </c>
      <c r="E1437" s="270" t="s">
        <v>267</v>
      </c>
      <c r="F1437" s="96" t="s">
        <v>34</v>
      </c>
      <c r="G1437" s="270" t="s">
        <v>35</v>
      </c>
      <c r="H1437" s="272" t="s">
        <v>40</v>
      </c>
      <c r="I1437" s="273">
        <v>10</v>
      </c>
      <c r="J1437" s="270">
        <v>883</v>
      </c>
      <c r="K1437" s="270">
        <f t="shared" si="0"/>
        <v>8830</v>
      </c>
      <c r="L1437" s="270">
        <v>40163</v>
      </c>
      <c r="M1437" s="270">
        <v>350</v>
      </c>
      <c r="N1437" s="274">
        <v>675</v>
      </c>
      <c r="O1437" s="55"/>
      <c r="P1437" s="45">
        <v>675</v>
      </c>
      <c r="Q1437" s="270">
        <v>83</v>
      </c>
      <c r="R1437" s="275">
        <v>1.73E-3</v>
      </c>
      <c r="S1437" s="270">
        <v>99</v>
      </c>
      <c r="T1437" s="270">
        <v>774</v>
      </c>
      <c r="U1437" s="57">
        <v>1</v>
      </c>
      <c r="V1437" s="276">
        <v>0.23</v>
      </c>
      <c r="W1437" s="276">
        <v>0</v>
      </c>
      <c r="X1437" s="270">
        <v>596</v>
      </c>
      <c r="Y1437" s="270">
        <v>178</v>
      </c>
      <c r="Z1437" s="45" t="b">
        <v>1</v>
      </c>
      <c r="AA1437" s="45" t="s">
        <v>38</v>
      </c>
      <c r="AB1437" s="45" t="s">
        <v>38</v>
      </c>
    </row>
    <row r="1438" spans="1:28" x14ac:dyDescent="0.2">
      <c r="A1438" s="279" t="s">
        <v>395</v>
      </c>
      <c r="B1438" s="270" t="s">
        <v>162</v>
      </c>
      <c r="C1438" s="277">
        <v>44702</v>
      </c>
      <c r="D1438" s="277">
        <v>44732</v>
      </c>
      <c r="E1438" s="279" t="s">
        <v>267</v>
      </c>
      <c r="F1438" s="133" t="s">
        <v>41</v>
      </c>
      <c r="G1438" s="270" t="s">
        <v>35</v>
      </c>
      <c r="H1438" s="272" t="s">
        <v>84</v>
      </c>
      <c r="I1438" s="273">
        <v>100</v>
      </c>
      <c r="J1438" s="270">
        <v>129</v>
      </c>
      <c r="K1438" s="270">
        <f t="shared" si="0"/>
        <v>12900</v>
      </c>
      <c r="L1438" s="270"/>
      <c r="M1438" s="270">
        <v>-500</v>
      </c>
      <c r="N1438" s="274">
        <v>376</v>
      </c>
      <c r="O1438" s="55"/>
      <c r="P1438" s="45">
        <v>376</v>
      </c>
      <c r="Q1438" s="270"/>
      <c r="R1438" s="275">
        <v>0</v>
      </c>
      <c r="S1438" s="270"/>
      <c r="T1438" s="270">
        <v>-124</v>
      </c>
      <c r="U1438" s="57">
        <v>1</v>
      </c>
      <c r="V1438" s="276">
        <v>0.19</v>
      </c>
      <c r="W1438" s="276">
        <v>0</v>
      </c>
      <c r="X1438" s="270">
        <v>-100</v>
      </c>
      <c r="Y1438" s="270">
        <v>-24</v>
      </c>
      <c r="Z1438" s="45" t="b">
        <v>1</v>
      </c>
      <c r="AA1438" s="45" t="s">
        <v>38</v>
      </c>
      <c r="AB1438" s="45" t="s">
        <v>38</v>
      </c>
    </row>
    <row r="1439" spans="1:28" x14ac:dyDescent="0.2">
      <c r="A1439" s="279" t="s">
        <v>395</v>
      </c>
      <c r="B1439" s="270" t="s">
        <v>162</v>
      </c>
      <c r="C1439" s="277">
        <v>44702</v>
      </c>
      <c r="D1439" s="277">
        <v>44732</v>
      </c>
      <c r="E1439" s="279" t="s">
        <v>267</v>
      </c>
      <c r="F1439" s="133" t="s">
        <v>41</v>
      </c>
      <c r="G1439" s="270" t="s">
        <v>35</v>
      </c>
      <c r="H1439" s="272" t="s">
        <v>72</v>
      </c>
      <c r="I1439" s="273">
        <v>50</v>
      </c>
      <c r="J1439" s="270">
        <v>42</v>
      </c>
      <c r="K1439" s="270">
        <f t="shared" si="0"/>
        <v>2100</v>
      </c>
      <c r="L1439" s="270">
        <v>2486</v>
      </c>
      <c r="M1439" s="270">
        <v>100</v>
      </c>
      <c r="N1439" s="274">
        <v>73</v>
      </c>
      <c r="O1439" s="55"/>
      <c r="P1439" s="45">
        <v>73</v>
      </c>
      <c r="Q1439" s="270">
        <v>96</v>
      </c>
      <c r="R1439" s="275">
        <v>0</v>
      </c>
      <c r="S1439" s="270">
        <v>96</v>
      </c>
      <c r="T1439" s="270">
        <v>173</v>
      </c>
      <c r="U1439" s="57">
        <v>1</v>
      </c>
      <c r="V1439" s="276">
        <v>0.19</v>
      </c>
      <c r="W1439" s="276">
        <v>0</v>
      </c>
      <c r="X1439" s="270">
        <v>140</v>
      </c>
      <c r="Y1439" s="270">
        <v>33</v>
      </c>
      <c r="Z1439" s="45" t="b">
        <v>1</v>
      </c>
      <c r="AA1439" s="45" t="s">
        <v>38</v>
      </c>
      <c r="AB1439" s="45" t="s">
        <v>38</v>
      </c>
    </row>
    <row r="1440" spans="1:28" x14ac:dyDescent="0.2">
      <c r="A1440" s="279" t="s">
        <v>395</v>
      </c>
      <c r="B1440" s="270" t="s">
        <v>162</v>
      </c>
      <c r="C1440" s="277">
        <v>44702</v>
      </c>
      <c r="D1440" s="277">
        <v>44732</v>
      </c>
      <c r="E1440" s="279" t="s">
        <v>267</v>
      </c>
      <c r="F1440" s="133" t="s">
        <v>41</v>
      </c>
      <c r="G1440" s="270" t="s">
        <v>35</v>
      </c>
      <c r="H1440" s="272" t="s">
        <v>45</v>
      </c>
      <c r="I1440" s="273">
        <v>0.25</v>
      </c>
      <c r="J1440" s="270">
        <v>34</v>
      </c>
      <c r="K1440" s="270">
        <f t="shared" si="0"/>
        <v>8.5</v>
      </c>
      <c r="L1440" s="270">
        <v>6847</v>
      </c>
      <c r="M1440" s="270">
        <v>2</v>
      </c>
      <c r="N1440" s="274"/>
      <c r="O1440" s="55"/>
      <c r="P1440" s="96"/>
      <c r="Q1440" s="270">
        <v>2</v>
      </c>
      <c r="R1440" s="275">
        <v>0</v>
      </c>
      <c r="S1440" s="270">
        <v>2</v>
      </c>
      <c r="T1440" s="270">
        <v>2</v>
      </c>
      <c r="U1440" s="57">
        <v>1</v>
      </c>
      <c r="V1440" s="276">
        <v>0.19</v>
      </c>
      <c r="W1440" s="276">
        <v>0</v>
      </c>
      <c r="X1440" s="270">
        <v>2</v>
      </c>
      <c r="Y1440" s="270">
        <v>0</v>
      </c>
      <c r="Z1440" s="45" t="b">
        <v>1</v>
      </c>
      <c r="AA1440" s="45" t="s">
        <v>38</v>
      </c>
      <c r="AB1440" s="45" t="s">
        <v>38</v>
      </c>
    </row>
    <row r="1441" spans="1:28" x14ac:dyDescent="0.2">
      <c r="A1441" s="279" t="s">
        <v>395</v>
      </c>
      <c r="B1441" s="270" t="s">
        <v>162</v>
      </c>
      <c r="C1441" s="277">
        <v>44702</v>
      </c>
      <c r="D1441" s="277">
        <v>44732</v>
      </c>
      <c r="E1441" s="279" t="s">
        <v>267</v>
      </c>
      <c r="F1441" s="133" t="s">
        <v>41</v>
      </c>
      <c r="G1441" s="270" t="s">
        <v>35</v>
      </c>
      <c r="H1441" s="272" t="s">
        <v>142</v>
      </c>
      <c r="I1441" s="273">
        <v>500</v>
      </c>
      <c r="J1441" s="270">
        <v>16</v>
      </c>
      <c r="K1441" s="270">
        <f t="shared" si="0"/>
        <v>8000</v>
      </c>
      <c r="L1441" s="270">
        <v>918</v>
      </c>
      <c r="M1441" s="270">
        <v>-5000</v>
      </c>
      <c r="N1441" s="274">
        <v>233</v>
      </c>
      <c r="O1441" s="55"/>
      <c r="P1441" s="45">
        <v>233</v>
      </c>
      <c r="Q1441" s="270">
        <v>457</v>
      </c>
      <c r="R1441" s="275">
        <v>0</v>
      </c>
      <c r="S1441" s="270">
        <v>457</v>
      </c>
      <c r="T1441" s="270">
        <v>-4767</v>
      </c>
      <c r="U1441" s="57">
        <v>1</v>
      </c>
      <c r="V1441" s="276">
        <v>0.19</v>
      </c>
      <c r="W1441" s="276">
        <v>0</v>
      </c>
      <c r="X1441" s="270">
        <v>-3861</v>
      </c>
      <c r="Y1441" s="270">
        <v>-906</v>
      </c>
      <c r="Z1441" s="45" t="b">
        <v>1</v>
      </c>
      <c r="AA1441" s="45" t="s">
        <v>38</v>
      </c>
      <c r="AB1441" s="45" t="s">
        <v>38</v>
      </c>
    </row>
    <row r="1442" spans="1:28" x14ac:dyDescent="0.2">
      <c r="A1442" s="279" t="s">
        <v>395</v>
      </c>
      <c r="B1442" s="270" t="s">
        <v>162</v>
      </c>
      <c r="C1442" s="277">
        <v>44702</v>
      </c>
      <c r="D1442" s="277">
        <v>44732</v>
      </c>
      <c r="E1442" s="279" t="s">
        <v>267</v>
      </c>
      <c r="F1442" s="133" t="s">
        <v>41</v>
      </c>
      <c r="G1442" s="270" t="s">
        <v>35</v>
      </c>
      <c r="H1442" s="272" t="s">
        <v>70</v>
      </c>
      <c r="I1442" s="273">
        <v>100</v>
      </c>
      <c r="J1442" s="270">
        <v>2112</v>
      </c>
      <c r="K1442" s="270">
        <f t="shared" si="0"/>
        <v>211200</v>
      </c>
      <c r="L1442" s="270">
        <v>49045</v>
      </c>
      <c r="M1442" s="270">
        <v>1000</v>
      </c>
      <c r="N1442" s="274">
        <v>6157</v>
      </c>
      <c r="O1442" s="55"/>
      <c r="P1442" s="105">
        <v>6157</v>
      </c>
      <c r="Q1442" s="270">
        <v>-2212</v>
      </c>
      <c r="R1442" s="275">
        <v>0</v>
      </c>
      <c r="S1442" s="270">
        <v>-2212</v>
      </c>
      <c r="T1442" s="270">
        <v>7157</v>
      </c>
      <c r="U1442" s="57">
        <v>1</v>
      </c>
      <c r="V1442" s="276">
        <v>0.19</v>
      </c>
      <c r="W1442" s="276">
        <v>0</v>
      </c>
      <c r="X1442" s="270">
        <v>5797</v>
      </c>
      <c r="Y1442" s="270">
        <v>1360</v>
      </c>
      <c r="Z1442" s="45" t="b">
        <v>1</v>
      </c>
      <c r="AA1442" s="45" t="s">
        <v>38</v>
      </c>
      <c r="AB1442" s="45" t="s">
        <v>38</v>
      </c>
    </row>
    <row r="1443" spans="1:28" x14ac:dyDescent="0.2">
      <c r="A1443" s="279" t="s">
        <v>395</v>
      </c>
      <c r="B1443" s="270" t="s">
        <v>162</v>
      </c>
      <c r="C1443" s="277">
        <v>44702</v>
      </c>
      <c r="D1443" s="277">
        <v>44732</v>
      </c>
      <c r="E1443" s="279" t="s">
        <v>267</v>
      </c>
      <c r="F1443" s="133" t="s">
        <v>41</v>
      </c>
      <c r="G1443" s="270" t="s">
        <v>35</v>
      </c>
      <c r="H1443" s="272" t="s">
        <v>46</v>
      </c>
      <c r="I1443" s="273">
        <v>25</v>
      </c>
      <c r="J1443" s="270">
        <v>11</v>
      </c>
      <c r="K1443" s="270">
        <f t="shared" si="0"/>
        <v>275</v>
      </c>
      <c r="L1443" s="270">
        <v>2918</v>
      </c>
      <c r="M1443" s="270">
        <v>50</v>
      </c>
      <c r="N1443" s="274">
        <v>10</v>
      </c>
      <c r="O1443" s="55"/>
      <c r="P1443" s="45">
        <v>10</v>
      </c>
      <c r="Q1443" s="270">
        <v>118</v>
      </c>
      <c r="R1443" s="275">
        <v>0</v>
      </c>
      <c r="S1443" s="270">
        <v>118</v>
      </c>
      <c r="T1443" s="270">
        <v>60</v>
      </c>
      <c r="U1443" s="57">
        <v>1</v>
      </c>
      <c r="V1443" s="276">
        <v>0.19</v>
      </c>
      <c r="W1443" s="276">
        <v>0</v>
      </c>
      <c r="X1443" s="270">
        <v>49</v>
      </c>
      <c r="Y1443" s="270">
        <v>11</v>
      </c>
      <c r="Z1443" s="45" t="b">
        <v>1</v>
      </c>
      <c r="AA1443" s="45" t="s">
        <v>38</v>
      </c>
      <c r="AB1443" s="45" t="s">
        <v>38</v>
      </c>
    </row>
    <row r="1444" spans="1:28" x14ac:dyDescent="0.2">
      <c r="A1444" s="279" t="s">
        <v>395</v>
      </c>
      <c r="B1444" s="270" t="s">
        <v>162</v>
      </c>
      <c r="C1444" s="277">
        <v>44702</v>
      </c>
      <c r="D1444" s="277">
        <v>44732</v>
      </c>
      <c r="E1444" s="279" t="s">
        <v>267</v>
      </c>
      <c r="F1444" s="133" t="s">
        <v>41</v>
      </c>
      <c r="G1444" s="270" t="s">
        <v>35</v>
      </c>
      <c r="H1444" s="272" t="s">
        <v>88</v>
      </c>
      <c r="I1444" s="273">
        <v>250</v>
      </c>
      <c r="J1444" s="270">
        <v>178</v>
      </c>
      <c r="K1444" s="270">
        <f t="shared" si="0"/>
        <v>44500</v>
      </c>
      <c r="L1444" s="270">
        <v>-970</v>
      </c>
      <c r="M1444" s="270">
        <v>-5000</v>
      </c>
      <c r="N1444" s="274">
        <v>1297</v>
      </c>
      <c r="O1444" s="55"/>
      <c r="P1444" s="105">
        <v>1297</v>
      </c>
      <c r="Q1444" s="270">
        <v>-2752</v>
      </c>
      <c r="R1444" s="275">
        <v>0</v>
      </c>
      <c r="S1444" s="270">
        <v>-2752</v>
      </c>
      <c r="T1444" s="270">
        <v>-3703</v>
      </c>
      <c r="U1444" s="57">
        <v>1</v>
      </c>
      <c r="V1444" s="276">
        <v>0.19</v>
      </c>
      <c r="W1444" s="276">
        <v>0</v>
      </c>
      <c r="X1444" s="270">
        <v>-2999</v>
      </c>
      <c r="Y1444" s="270">
        <v>-704</v>
      </c>
      <c r="Z1444" s="45" t="b">
        <v>1</v>
      </c>
      <c r="AA1444" s="45" t="s">
        <v>38</v>
      </c>
      <c r="AB1444" s="45" t="s">
        <v>38</v>
      </c>
    </row>
    <row r="1445" spans="1:28" x14ac:dyDescent="0.2">
      <c r="A1445" s="279" t="s">
        <v>395</v>
      </c>
      <c r="B1445" s="270" t="s">
        <v>162</v>
      </c>
      <c r="C1445" s="277">
        <v>44702</v>
      </c>
      <c r="D1445" s="277">
        <v>44732</v>
      </c>
      <c r="E1445" s="279" t="s">
        <v>267</v>
      </c>
      <c r="F1445" s="133" t="s">
        <v>41</v>
      </c>
      <c r="G1445" s="270" t="s">
        <v>35</v>
      </c>
      <c r="H1445" s="272" t="s">
        <v>148</v>
      </c>
      <c r="I1445" s="273">
        <v>250</v>
      </c>
      <c r="J1445" s="270">
        <v>69</v>
      </c>
      <c r="K1445" s="270">
        <f t="shared" si="0"/>
        <v>17250</v>
      </c>
      <c r="L1445" s="270"/>
      <c r="M1445" s="270">
        <v>1750</v>
      </c>
      <c r="N1445" s="274">
        <v>503</v>
      </c>
      <c r="O1445" s="55"/>
      <c r="P1445" s="45">
        <v>503</v>
      </c>
      <c r="Q1445" s="270"/>
      <c r="R1445" s="275">
        <v>0</v>
      </c>
      <c r="S1445" s="270"/>
      <c r="T1445" s="270">
        <v>2253</v>
      </c>
      <c r="U1445" s="57">
        <v>1</v>
      </c>
      <c r="V1445" s="276">
        <v>0.19</v>
      </c>
      <c r="W1445" s="276">
        <v>0</v>
      </c>
      <c r="X1445" s="270">
        <v>1825</v>
      </c>
      <c r="Y1445" s="270">
        <v>428</v>
      </c>
      <c r="Z1445" s="45" t="b">
        <v>1</v>
      </c>
      <c r="AA1445" s="45" t="s">
        <v>38</v>
      </c>
      <c r="AB1445" s="45" t="s">
        <v>38</v>
      </c>
    </row>
    <row r="1446" spans="1:28" x14ac:dyDescent="0.2">
      <c r="A1446" s="96" t="s">
        <v>402</v>
      </c>
      <c r="B1446" s="96" t="s">
        <v>163</v>
      </c>
      <c r="C1446" s="277">
        <v>44702</v>
      </c>
      <c r="D1446" s="277">
        <v>44732</v>
      </c>
      <c r="E1446" s="270" t="s">
        <v>267</v>
      </c>
      <c r="F1446" s="133" t="s">
        <v>34</v>
      </c>
      <c r="G1446" s="270" t="s">
        <v>35</v>
      </c>
      <c r="H1446" s="272" t="s">
        <v>40</v>
      </c>
      <c r="I1446" s="273">
        <v>10</v>
      </c>
      <c r="J1446" s="270">
        <v>2310</v>
      </c>
      <c r="K1446" s="270">
        <f t="shared" si="0"/>
        <v>23100</v>
      </c>
      <c r="L1446" s="270">
        <v>139324</v>
      </c>
      <c r="M1446" s="270">
        <v>940</v>
      </c>
      <c r="N1446" s="274">
        <v>750</v>
      </c>
      <c r="O1446" s="55"/>
      <c r="P1446" s="45">
        <v>750</v>
      </c>
      <c r="Q1446" s="270">
        <v>813</v>
      </c>
      <c r="R1446" s="275">
        <v>1.73E-3</v>
      </c>
      <c r="S1446" s="270">
        <v>853</v>
      </c>
      <c r="T1446" s="270">
        <v>1603</v>
      </c>
      <c r="U1446" s="57">
        <v>1</v>
      </c>
      <c r="V1446" s="276">
        <v>0.2</v>
      </c>
      <c r="W1446" s="276">
        <v>0</v>
      </c>
      <c r="X1446" s="270">
        <v>1282</v>
      </c>
      <c r="Y1446" s="270">
        <v>321</v>
      </c>
      <c r="Z1446" s="45" t="b">
        <v>1</v>
      </c>
      <c r="AA1446" s="45" t="s">
        <v>38</v>
      </c>
      <c r="AB1446" s="45" t="s">
        <v>38</v>
      </c>
    </row>
    <row r="1447" spans="1:28" x14ac:dyDescent="0.2">
      <c r="A1447" s="96" t="s">
        <v>402</v>
      </c>
      <c r="B1447" s="96" t="s">
        <v>163</v>
      </c>
      <c r="C1447" s="277">
        <v>44702</v>
      </c>
      <c r="D1447" s="277">
        <v>44732</v>
      </c>
      <c r="E1447" s="270" t="s">
        <v>267</v>
      </c>
      <c r="F1447" s="133" t="s">
        <v>34</v>
      </c>
      <c r="G1447" s="270" t="s">
        <v>35</v>
      </c>
      <c r="H1447" s="272" t="s">
        <v>46</v>
      </c>
      <c r="I1447" s="273">
        <v>25</v>
      </c>
      <c r="J1447" s="270">
        <v>2055</v>
      </c>
      <c r="K1447" s="270">
        <f t="shared" si="0"/>
        <v>51375</v>
      </c>
      <c r="L1447" s="270">
        <v>96822</v>
      </c>
      <c r="M1447" s="270">
        <v>2350</v>
      </c>
      <c r="N1447" s="274">
        <v>1430</v>
      </c>
      <c r="O1447" s="55"/>
      <c r="P1447" s="105">
        <v>1430</v>
      </c>
      <c r="Q1447" s="270">
        <v>1128</v>
      </c>
      <c r="R1447" s="275">
        <v>1.73E-3</v>
      </c>
      <c r="S1447" s="270">
        <v>1217</v>
      </c>
      <c r="T1447" s="270">
        <v>2647</v>
      </c>
      <c r="U1447" s="57">
        <v>1</v>
      </c>
      <c r="V1447" s="276">
        <v>0.2</v>
      </c>
      <c r="W1447" s="276">
        <v>0</v>
      </c>
      <c r="X1447" s="270">
        <v>2117</v>
      </c>
      <c r="Y1447" s="270">
        <v>529</v>
      </c>
      <c r="Z1447" s="45" t="b">
        <v>1</v>
      </c>
      <c r="AA1447" s="45" t="s">
        <v>38</v>
      </c>
      <c r="AB1447" s="45" t="s">
        <v>38</v>
      </c>
    </row>
    <row r="1448" spans="1:28" x14ac:dyDescent="0.2">
      <c r="A1448" s="279" t="s">
        <v>91</v>
      </c>
      <c r="B1448" s="279" t="s">
        <v>96</v>
      </c>
      <c r="C1448" s="277">
        <v>44702</v>
      </c>
      <c r="D1448" s="277">
        <v>44732</v>
      </c>
      <c r="E1448" s="279" t="s">
        <v>267</v>
      </c>
      <c r="F1448" s="133" t="s">
        <v>34</v>
      </c>
      <c r="G1448" s="279" t="s">
        <v>35</v>
      </c>
      <c r="H1448" s="272" t="s">
        <v>46</v>
      </c>
      <c r="I1448" s="273">
        <v>25</v>
      </c>
      <c r="J1448" s="270">
        <v>595</v>
      </c>
      <c r="K1448" s="270">
        <f t="shared" si="0"/>
        <v>14875</v>
      </c>
      <c r="L1448" s="270">
        <v>23984</v>
      </c>
      <c r="M1448" s="270">
        <v>-75</v>
      </c>
      <c r="N1448" s="274">
        <v>559</v>
      </c>
      <c r="O1448" s="55"/>
      <c r="P1448" s="45">
        <v>559</v>
      </c>
      <c r="Q1448" s="270">
        <v>160</v>
      </c>
      <c r="R1448" s="275">
        <v>1.73E-3</v>
      </c>
      <c r="S1448" s="270">
        <v>186</v>
      </c>
      <c r="T1448" s="270">
        <v>745</v>
      </c>
      <c r="U1448" s="57">
        <v>1</v>
      </c>
      <c r="V1448" s="276">
        <v>0.3</v>
      </c>
      <c r="W1448" s="276">
        <v>0</v>
      </c>
      <c r="X1448" s="270">
        <v>521</v>
      </c>
      <c r="Y1448" s="270">
        <v>223</v>
      </c>
      <c r="Z1448" s="45" t="b">
        <v>1</v>
      </c>
      <c r="AA1448" s="45" t="s">
        <v>38</v>
      </c>
      <c r="AB1448" s="45" t="s">
        <v>38</v>
      </c>
    </row>
    <row r="1449" spans="1:28" x14ac:dyDescent="0.2">
      <c r="A1449" s="96" t="s">
        <v>172</v>
      </c>
      <c r="B1449" s="96" t="s">
        <v>172</v>
      </c>
      <c r="C1449" s="277">
        <v>44702</v>
      </c>
      <c r="D1449" s="277">
        <v>44732</v>
      </c>
      <c r="E1449" s="270" t="s">
        <v>300</v>
      </c>
      <c r="F1449" s="133" t="s">
        <v>34</v>
      </c>
      <c r="G1449" s="96" t="s">
        <v>35</v>
      </c>
      <c r="H1449" s="272" t="s">
        <v>70</v>
      </c>
      <c r="I1449" s="273">
        <v>100</v>
      </c>
      <c r="J1449" s="270">
        <v>7412</v>
      </c>
      <c r="K1449" s="270">
        <f t="shared" si="0"/>
        <v>741200</v>
      </c>
      <c r="L1449" s="270">
        <v>177039</v>
      </c>
      <c r="M1449" s="270">
        <v>-4000</v>
      </c>
      <c r="N1449" s="274">
        <v>25493</v>
      </c>
      <c r="O1449" s="55"/>
      <c r="P1449" s="105">
        <v>25493</v>
      </c>
      <c r="Q1449" s="270">
        <v>-6618</v>
      </c>
      <c r="R1449" s="275">
        <v>-1.5E-3</v>
      </c>
      <c r="S1449" s="270">
        <v>-7730</v>
      </c>
      <c r="T1449" s="270">
        <v>17763</v>
      </c>
      <c r="U1449" s="57">
        <v>1</v>
      </c>
      <c r="V1449" s="276">
        <v>0.12089999999999999</v>
      </c>
      <c r="W1449" s="276">
        <v>4.0300000000000002E-2</v>
      </c>
      <c r="X1449" s="270">
        <v>14899</v>
      </c>
      <c r="Y1449" s="270">
        <v>2864</v>
      </c>
      <c r="Z1449" s="45" t="b">
        <v>1</v>
      </c>
      <c r="AA1449" s="45" t="s">
        <v>38</v>
      </c>
      <c r="AB1449" s="45" t="s">
        <v>38</v>
      </c>
    </row>
    <row r="1450" spans="1:28" x14ac:dyDescent="0.2">
      <c r="A1450" s="96" t="s">
        <v>172</v>
      </c>
      <c r="B1450" s="96" t="s">
        <v>172</v>
      </c>
      <c r="C1450" s="277">
        <v>44702</v>
      </c>
      <c r="D1450" s="277">
        <v>44732</v>
      </c>
      <c r="E1450" s="270" t="s">
        <v>300</v>
      </c>
      <c r="F1450" s="133" t="s">
        <v>34</v>
      </c>
      <c r="G1450" s="96" t="s">
        <v>35</v>
      </c>
      <c r="H1450" s="272" t="s">
        <v>84</v>
      </c>
      <c r="I1450" s="273">
        <v>100</v>
      </c>
      <c r="J1450" s="270">
        <v>716</v>
      </c>
      <c r="K1450" s="270">
        <f t="shared" si="0"/>
        <v>71600</v>
      </c>
      <c r="L1450" s="270">
        <v>3637</v>
      </c>
      <c r="M1450" s="270">
        <v>-6000</v>
      </c>
      <c r="N1450" s="274">
        <v>2463</v>
      </c>
      <c r="O1450" s="55"/>
      <c r="P1450" s="105">
        <v>2463</v>
      </c>
      <c r="Q1450" s="270">
        <v>-2709</v>
      </c>
      <c r="R1450" s="275">
        <v>-1.5E-3</v>
      </c>
      <c r="S1450" s="270">
        <v>-2816</v>
      </c>
      <c r="T1450" s="270">
        <v>-353</v>
      </c>
      <c r="U1450" s="57">
        <v>1</v>
      </c>
      <c r="V1450" s="276">
        <v>0.12089999999999999</v>
      </c>
      <c r="W1450" s="276">
        <v>4.0300000000000002E-2</v>
      </c>
      <c r="X1450" s="270">
        <v>-296</v>
      </c>
      <c r="Y1450" s="270">
        <v>-57</v>
      </c>
      <c r="Z1450" s="45" t="b">
        <v>1</v>
      </c>
      <c r="AA1450" s="45" t="s">
        <v>38</v>
      </c>
      <c r="AB1450" s="45" t="s">
        <v>38</v>
      </c>
    </row>
    <row r="1451" spans="1:28" x14ac:dyDescent="0.2">
      <c r="A1451" s="96" t="s">
        <v>172</v>
      </c>
      <c r="B1451" s="96" t="s">
        <v>172</v>
      </c>
      <c r="C1451" s="277">
        <v>44702</v>
      </c>
      <c r="D1451" s="277">
        <v>44732</v>
      </c>
      <c r="E1451" s="270" t="s">
        <v>300</v>
      </c>
      <c r="F1451" s="133" t="s">
        <v>34</v>
      </c>
      <c r="G1451" s="96" t="s">
        <v>35</v>
      </c>
      <c r="H1451" s="272" t="s">
        <v>88</v>
      </c>
      <c r="I1451" s="273">
        <v>250</v>
      </c>
      <c r="J1451" s="270">
        <v>707</v>
      </c>
      <c r="K1451" s="270">
        <f t="shared" si="0"/>
        <v>176750</v>
      </c>
      <c r="L1451" s="270">
        <v>-533</v>
      </c>
      <c r="M1451" s="270">
        <v>-11000</v>
      </c>
      <c r="N1451" s="274">
        <v>6079</v>
      </c>
      <c r="O1451" s="55"/>
      <c r="P1451" s="105">
        <v>6079</v>
      </c>
      <c r="Q1451" s="270">
        <v>-9317</v>
      </c>
      <c r="R1451" s="275">
        <v>-1.5E-3</v>
      </c>
      <c r="S1451" s="270">
        <v>-9582</v>
      </c>
      <c r="T1451" s="270">
        <v>-3503</v>
      </c>
      <c r="U1451" s="57">
        <v>1</v>
      </c>
      <c r="V1451" s="276">
        <v>0.12089999999999999</v>
      </c>
      <c r="W1451" s="276">
        <v>4.0300000000000002E-2</v>
      </c>
      <c r="X1451" s="270">
        <v>-2938</v>
      </c>
      <c r="Y1451" s="270">
        <v>-565</v>
      </c>
      <c r="Z1451" s="45" t="b">
        <v>1</v>
      </c>
      <c r="AA1451" s="45" t="s">
        <v>38</v>
      </c>
      <c r="AB1451" s="45" t="s">
        <v>38</v>
      </c>
    </row>
    <row r="1452" spans="1:28" x14ac:dyDescent="0.2">
      <c r="A1452" s="96" t="s">
        <v>172</v>
      </c>
      <c r="B1452" s="96" t="s">
        <v>172</v>
      </c>
      <c r="C1452" s="277">
        <v>44702</v>
      </c>
      <c r="D1452" s="277">
        <v>44732</v>
      </c>
      <c r="E1452" s="270" t="s">
        <v>300</v>
      </c>
      <c r="F1452" s="133" t="s">
        <v>34</v>
      </c>
      <c r="G1452" s="96" t="s">
        <v>35</v>
      </c>
      <c r="H1452" s="272" t="s">
        <v>148</v>
      </c>
      <c r="I1452" s="273">
        <v>250</v>
      </c>
      <c r="J1452" s="270">
        <v>37</v>
      </c>
      <c r="K1452" s="270">
        <f t="shared" si="0"/>
        <v>9250</v>
      </c>
      <c r="L1452" s="270">
        <v>-303</v>
      </c>
      <c r="M1452" s="270">
        <v>3000</v>
      </c>
      <c r="N1452" s="274">
        <v>318</v>
      </c>
      <c r="O1452" s="55"/>
      <c r="P1452" s="45">
        <v>318</v>
      </c>
      <c r="Q1452" s="270">
        <v>-712</v>
      </c>
      <c r="R1452" s="275">
        <v>-1.5E-3</v>
      </c>
      <c r="S1452" s="270">
        <v>-726</v>
      </c>
      <c r="T1452" s="270">
        <v>-408</v>
      </c>
      <c r="U1452" s="57">
        <v>1</v>
      </c>
      <c r="V1452" s="276">
        <v>0.12089999999999999</v>
      </c>
      <c r="W1452" s="276">
        <v>4.0300000000000002E-2</v>
      </c>
      <c r="X1452" s="270">
        <v>-342</v>
      </c>
      <c r="Y1452" s="270">
        <v>-66</v>
      </c>
      <c r="Z1452" s="45" t="b">
        <v>1</v>
      </c>
      <c r="AA1452" s="45" t="s">
        <v>38</v>
      </c>
      <c r="AB1452" s="45" t="s">
        <v>38</v>
      </c>
    </row>
    <row r="1453" spans="1:28" x14ac:dyDescent="0.2">
      <c r="A1453" s="96" t="s">
        <v>172</v>
      </c>
      <c r="B1453" s="96" t="s">
        <v>172</v>
      </c>
      <c r="C1453" s="277">
        <v>44702</v>
      </c>
      <c r="D1453" s="277">
        <v>44732</v>
      </c>
      <c r="E1453" s="270" t="s">
        <v>300</v>
      </c>
      <c r="F1453" s="133" t="s">
        <v>34</v>
      </c>
      <c r="G1453" s="96" t="s">
        <v>35</v>
      </c>
      <c r="H1453" s="272" t="s">
        <v>72</v>
      </c>
      <c r="I1453" s="273">
        <v>50</v>
      </c>
      <c r="J1453" s="270">
        <v>23</v>
      </c>
      <c r="K1453" s="270">
        <f t="shared" si="0"/>
        <v>1150</v>
      </c>
      <c r="L1453" s="270"/>
      <c r="M1453" s="270">
        <v>650</v>
      </c>
      <c r="N1453" s="274">
        <v>47</v>
      </c>
      <c r="O1453" s="55"/>
      <c r="P1453" s="45">
        <v>47</v>
      </c>
      <c r="Q1453" s="270"/>
      <c r="R1453" s="275">
        <v>0</v>
      </c>
      <c r="S1453" s="270"/>
      <c r="T1453" s="270">
        <v>47</v>
      </c>
      <c r="U1453" s="57">
        <v>1</v>
      </c>
      <c r="V1453" s="276">
        <v>0.12089999999999999</v>
      </c>
      <c r="W1453" s="276">
        <v>4.0300000000000002E-2</v>
      </c>
      <c r="X1453" s="270">
        <v>39</v>
      </c>
      <c r="Y1453" s="270">
        <v>8</v>
      </c>
      <c r="Z1453" s="45" t="b">
        <v>1</v>
      </c>
      <c r="AA1453" s="45" t="s">
        <v>38</v>
      </c>
      <c r="AB1453" s="45" t="s">
        <v>38</v>
      </c>
    </row>
    <row r="1454" spans="1:28" x14ac:dyDescent="0.2">
      <c r="A1454" s="279" t="s">
        <v>466</v>
      </c>
      <c r="B1454" s="279" t="s">
        <v>118</v>
      </c>
      <c r="C1454" s="277">
        <v>44702</v>
      </c>
      <c r="D1454" s="277">
        <v>44732</v>
      </c>
      <c r="E1454" s="279" t="s">
        <v>300</v>
      </c>
      <c r="F1454" s="133" t="s">
        <v>34</v>
      </c>
      <c r="G1454" s="270" t="s">
        <v>80</v>
      </c>
      <c r="H1454" s="270" t="s">
        <v>71</v>
      </c>
      <c r="I1454" s="273">
        <v>20</v>
      </c>
      <c r="J1454" s="270">
        <v>56</v>
      </c>
      <c r="K1454" s="270">
        <f t="shared" si="0"/>
        <v>1120</v>
      </c>
      <c r="L1454" s="270">
        <v>648</v>
      </c>
      <c r="M1454" s="270">
        <v>-240</v>
      </c>
      <c r="N1454" s="274">
        <v>61.48</v>
      </c>
      <c r="O1454" s="55"/>
      <c r="P1454" s="45">
        <v>61</v>
      </c>
      <c r="Q1454" s="270">
        <v>-45</v>
      </c>
      <c r="R1454" s="275">
        <v>1.73E-3</v>
      </c>
      <c r="S1454" s="270">
        <v>-43</v>
      </c>
      <c r="T1454" s="270">
        <v>19</v>
      </c>
      <c r="U1454" s="57">
        <v>1</v>
      </c>
      <c r="V1454" s="276">
        <v>0.15</v>
      </c>
      <c r="W1454" s="276">
        <v>0.05</v>
      </c>
      <c r="X1454" s="270">
        <v>15</v>
      </c>
      <c r="Y1454" s="270">
        <v>4</v>
      </c>
      <c r="Z1454" s="45" t="b">
        <v>1</v>
      </c>
      <c r="AA1454" s="45" t="s">
        <v>38</v>
      </c>
      <c r="AB1454" s="45" t="s">
        <v>38</v>
      </c>
    </row>
    <row r="1455" spans="1:28" x14ac:dyDescent="0.2">
      <c r="A1455" s="279" t="s">
        <v>466</v>
      </c>
      <c r="B1455" s="279" t="s">
        <v>118</v>
      </c>
      <c r="C1455" s="277">
        <v>44702</v>
      </c>
      <c r="D1455" s="277">
        <v>44732</v>
      </c>
      <c r="E1455" s="279" t="s">
        <v>300</v>
      </c>
      <c r="F1455" s="133" t="s">
        <v>34</v>
      </c>
      <c r="G1455" s="270" t="s">
        <v>80</v>
      </c>
      <c r="H1455" s="270" t="s">
        <v>72</v>
      </c>
      <c r="I1455" s="273">
        <v>50</v>
      </c>
      <c r="J1455" s="270">
        <v>44</v>
      </c>
      <c r="K1455" s="270">
        <f t="shared" si="0"/>
        <v>2200</v>
      </c>
      <c r="L1455" s="270">
        <v>98</v>
      </c>
      <c r="M1455" s="270">
        <v>-450</v>
      </c>
      <c r="N1455" s="274">
        <v>120.75</v>
      </c>
      <c r="O1455" s="55"/>
      <c r="P1455" s="45">
        <v>121</v>
      </c>
      <c r="Q1455" s="270">
        <v>-147</v>
      </c>
      <c r="R1455" s="275">
        <v>1.73E-3</v>
      </c>
      <c r="S1455" s="270">
        <v>-143</v>
      </c>
      <c r="T1455" s="270">
        <v>-23</v>
      </c>
      <c r="U1455" s="57">
        <v>1</v>
      </c>
      <c r="V1455" s="276">
        <v>0.15</v>
      </c>
      <c r="W1455" s="276">
        <v>0.05</v>
      </c>
      <c r="X1455" s="270">
        <v>-18</v>
      </c>
      <c r="Y1455" s="270">
        <v>-5</v>
      </c>
      <c r="Z1455" s="45" t="b">
        <v>1</v>
      </c>
      <c r="AA1455" s="45" t="s">
        <v>38</v>
      </c>
      <c r="AB1455" s="45" t="s">
        <v>38</v>
      </c>
    </row>
    <row r="1456" spans="1:28" x14ac:dyDescent="0.2">
      <c r="A1456" s="279" t="s">
        <v>466</v>
      </c>
      <c r="B1456" s="279" t="s">
        <v>118</v>
      </c>
      <c r="C1456" s="277">
        <v>44702</v>
      </c>
      <c r="D1456" s="277">
        <v>44732</v>
      </c>
      <c r="E1456" s="279" t="s">
        <v>300</v>
      </c>
      <c r="F1456" s="133" t="s">
        <v>34</v>
      </c>
      <c r="G1456" s="270" t="s">
        <v>80</v>
      </c>
      <c r="H1456" s="270" t="s">
        <v>70</v>
      </c>
      <c r="I1456" s="273">
        <v>100</v>
      </c>
      <c r="J1456" s="270">
        <v>2577</v>
      </c>
      <c r="K1456" s="270">
        <f t="shared" si="0"/>
        <v>257700</v>
      </c>
      <c r="L1456" s="270">
        <v>19738</v>
      </c>
      <c r="M1456" s="270">
        <v>-19200</v>
      </c>
      <c r="N1456" s="274">
        <v>14144.77</v>
      </c>
      <c r="O1456" s="55"/>
      <c r="P1456" s="105">
        <v>14145</v>
      </c>
      <c r="Q1456" s="270">
        <v>-13220</v>
      </c>
      <c r="R1456" s="275">
        <v>1.73E-3</v>
      </c>
      <c r="S1456" s="270">
        <v>-12774</v>
      </c>
      <c r="T1456" s="270">
        <v>1371</v>
      </c>
      <c r="U1456" s="57">
        <v>1</v>
      </c>
      <c r="V1456" s="276">
        <v>0.15</v>
      </c>
      <c r="W1456" s="276">
        <v>0.05</v>
      </c>
      <c r="X1456" s="270">
        <v>1097</v>
      </c>
      <c r="Y1456" s="270">
        <v>274</v>
      </c>
      <c r="Z1456" s="45" t="b">
        <v>1</v>
      </c>
      <c r="AA1456" s="45" t="s">
        <v>38</v>
      </c>
      <c r="AB1456" s="45" t="s">
        <v>38</v>
      </c>
    </row>
    <row r="1457" spans="1:28" x14ac:dyDescent="0.2">
      <c r="A1457" s="96" t="s">
        <v>473</v>
      </c>
      <c r="B1457" s="270" t="s">
        <v>120</v>
      </c>
      <c r="C1457" s="277">
        <v>44702</v>
      </c>
      <c r="D1457" s="277">
        <v>44732</v>
      </c>
      <c r="E1457" s="270" t="s">
        <v>267</v>
      </c>
      <c r="F1457" s="96" t="s">
        <v>34</v>
      </c>
      <c r="G1457" s="270" t="s">
        <v>35</v>
      </c>
      <c r="H1457" s="272" t="s">
        <v>40</v>
      </c>
      <c r="I1457" s="280">
        <v>10</v>
      </c>
      <c r="J1457" s="279">
        <v>4647</v>
      </c>
      <c r="K1457" s="270">
        <f t="shared" si="0"/>
        <v>46470</v>
      </c>
      <c r="L1457" s="279">
        <v>217602</v>
      </c>
      <c r="M1457" s="279">
        <v>-290</v>
      </c>
      <c r="N1457" s="274">
        <v>2900</v>
      </c>
      <c r="O1457" s="55"/>
      <c r="P1457" s="105">
        <v>2900</v>
      </c>
      <c r="Q1457" s="279">
        <v>553</v>
      </c>
      <c r="R1457" s="275">
        <v>1.73E-3</v>
      </c>
      <c r="S1457" s="279">
        <v>633</v>
      </c>
      <c r="T1457" s="279">
        <v>3533</v>
      </c>
      <c r="U1457" s="57">
        <v>1</v>
      </c>
      <c r="V1457" s="276">
        <v>0.25</v>
      </c>
      <c r="W1457" s="276">
        <v>0</v>
      </c>
      <c r="X1457" s="279">
        <v>2650</v>
      </c>
      <c r="Y1457" s="279">
        <v>883</v>
      </c>
      <c r="Z1457" s="45" t="b">
        <v>1</v>
      </c>
      <c r="AA1457" s="45" t="s">
        <v>38</v>
      </c>
      <c r="AB1457" s="45" t="s">
        <v>38</v>
      </c>
    </row>
    <row r="1458" spans="1:28" x14ac:dyDescent="0.2">
      <c r="A1458" s="96" t="s">
        <v>178</v>
      </c>
      <c r="B1458" s="96" t="s">
        <v>178</v>
      </c>
      <c r="C1458" s="277">
        <v>44702</v>
      </c>
      <c r="D1458" s="277">
        <v>44732</v>
      </c>
      <c r="E1458" s="279" t="s">
        <v>267</v>
      </c>
      <c r="F1458" s="133" t="s">
        <v>34</v>
      </c>
      <c r="G1458" s="270" t="s">
        <v>35</v>
      </c>
      <c r="H1458" s="272" t="s">
        <v>40</v>
      </c>
      <c r="I1458" s="280">
        <v>10</v>
      </c>
      <c r="J1458" s="279">
        <v>1020</v>
      </c>
      <c r="K1458" s="270">
        <f t="shared" si="0"/>
        <v>10200</v>
      </c>
      <c r="L1458" s="279">
        <v>39315</v>
      </c>
      <c r="M1458" s="279">
        <v>-420</v>
      </c>
      <c r="N1458" s="274">
        <v>617</v>
      </c>
      <c r="O1458" s="55"/>
      <c r="P1458" s="45">
        <v>617</v>
      </c>
      <c r="Q1458" s="279">
        <v>-34</v>
      </c>
      <c r="R1458" s="275">
        <v>1.73E-3</v>
      </c>
      <c r="S1458" s="279">
        <v>-16</v>
      </c>
      <c r="T1458" s="279">
        <v>601</v>
      </c>
      <c r="U1458" s="57">
        <v>1</v>
      </c>
      <c r="V1458" s="276">
        <v>0.2</v>
      </c>
      <c r="W1458" s="276">
        <v>0</v>
      </c>
      <c r="X1458" s="279">
        <v>481</v>
      </c>
      <c r="Y1458" s="279">
        <v>120</v>
      </c>
      <c r="Z1458" s="45" t="b">
        <v>1</v>
      </c>
      <c r="AA1458" s="45" t="s">
        <v>38</v>
      </c>
      <c r="AB1458" s="45" t="s">
        <v>38</v>
      </c>
    </row>
    <row r="1459" spans="1:28" x14ac:dyDescent="0.2">
      <c r="A1459" s="96" t="s">
        <v>178</v>
      </c>
      <c r="B1459" s="96" t="s">
        <v>178</v>
      </c>
      <c r="C1459" s="277">
        <v>44702</v>
      </c>
      <c r="D1459" s="277">
        <v>44732</v>
      </c>
      <c r="E1459" s="279" t="s">
        <v>267</v>
      </c>
      <c r="F1459" s="133" t="s">
        <v>34</v>
      </c>
      <c r="G1459" s="270" t="s">
        <v>35</v>
      </c>
      <c r="H1459" s="272" t="s">
        <v>115</v>
      </c>
      <c r="I1459" s="280">
        <v>10</v>
      </c>
      <c r="J1459" s="279">
        <v>1518</v>
      </c>
      <c r="K1459" s="270">
        <f t="shared" si="0"/>
        <v>15180</v>
      </c>
      <c r="L1459" s="279">
        <v>20622</v>
      </c>
      <c r="M1459" s="279">
        <v>-20</v>
      </c>
      <c r="N1459" s="274">
        <v>918</v>
      </c>
      <c r="O1459" s="55"/>
      <c r="P1459" s="45">
        <v>918</v>
      </c>
      <c r="Q1459" s="279">
        <v>-493</v>
      </c>
      <c r="R1459" s="275">
        <v>1.73E-3</v>
      </c>
      <c r="S1459" s="279">
        <v>-467</v>
      </c>
      <c r="T1459" s="279">
        <v>451</v>
      </c>
      <c r="U1459" s="57">
        <v>1</v>
      </c>
      <c r="V1459" s="276">
        <v>0.2</v>
      </c>
      <c r="W1459" s="276">
        <v>0</v>
      </c>
      <c r="X1459" s="279">
        <v>361</v>
      </c>
      <c r="Y1459" s="279">
        <v>90</v>
      </c>
      <c r="Z1459" s="45" t="b">
        <v>1</v>
      </c>
      <c r="AA1459" s="45" t="s">
        <v>38</v>
      </c>
      <c r="AB1459" s="45" t="s">
        <v>38</v>
      </c>
    </row>
    <row r="1460" spans="1:28" x14ac:dyDescent="0.2">
      <c r="A1460" s="96" t="s">
        <v>102</v>
      </c>
      <c r="B1460" s="96" t="s">
        <v>107</v>
      </c>
      <c r="C1460" s="277">
        <v>44702</v>
      </c>
      <c r="D1460" s="277">
        <v>44732</v>
      </c>
      <c r="E1460" s="270" t="s">
        <v>267</v>
      </c>
      <c r="F1460" s="96" t="s">
        <v>34</v>
      </c>
      <c r="G1460" s="270" t="s">
        <v>61</v>
      </c>
      <c r="H1460" s="272" t="s">
        <v>112</v>
      </c>
      <c r="I1460" s="273">
        <v>50</v>
      </c>
      <c r="J1460" s="270">
        <v>1664</v>
      </c>
      <c r="K1460" s="270">
        <f t="shared" si="0"/>
        <v>83200</v>
      </c>
      <c r="L1460" s="270">
        <v>82565</v>
      </c>
      <c r="M1460" s="270">
        <v>-2369</v>
      </c>
      <c r="N1460" s="274">
        <v>1940</v>
      </c>
      <c r="O1460" s="55"/>
      <c r="P1460" s="105">
        <v>1940</v>
      </c>
      <c r="Q1460" s="270">
        <v>-28</v>
      </c>
      <c r="R1460" s="275">
        <v>1.73E-3</v>
      </c>
      <c r="S1460" s="270">
        <v>116</v>
      </c>
      <c r="T1460" s="270">
        <v>2056</v>
      </c>
      <c r="U1460" s="57">
        <v>1.0529999999999999</v>
      </c>
      <c r="V1460" s="276">
        <v>0.15</v>
      </c>
      <c r="W1460" s="276">
        <v>0</v>
      </c>
      <c r="X1460" s="270">
        <v>1840</v>
      </c>
      <c r="Y1460" s="270">
        <v>325</v>
      </c>
      <c r="Z1460" s="45" t="b">
        <v>1</v>
      </c>
      <c r="AA1460" s="45" t="s">
        <v>38</v>
      </c>
      <c r="AB1460" s="45" t="s">
        <v>50</v>
      </c>
    </row>
    <row r="1461" spans="1:28" x14ac:dyDescent="0.2">
      <c r="A1461" s="96" t="s">
        <v>102</v>
      </c>
      <c r="B1461" s="96" t="s">
        <v>102</v>
      </c>
      <c r="C1461" s="277">
        <v>44702</v>
      </c>
      <c r="D1461" s="277">
        <v>44732</v>
      </c>
      <c r="E1461" s="270" t="s">
        <v>267</v>
      </c>
      <c r="F1461" s="96" t="s">
        <v>34</v>
      </c>
      <c r="G1461" s="270" t="s">
        <v>80</v>
      </c>
      <c r="H1461" s="272" t="s">
        <v>72</v>
      </c>
      <c r="I1461" s="273">
        <v>50</v>
      </c>
      <c r="J1461" s="270">
        <v>747</v>
      </c>
      <c r="K1461" s="270">
        <f t="shared" si="0"/>
        <v>37350</v>
      </c>
      <c r="L1461" s="270">
        <v>15417</v>
      </c>
      <c r="M1461" s="270">
        <v>-3200</v>
      </c>
      <c r="N1461" s="274">
        <f>2030+5*50</f>
        <v>2280</v>
      </c>
      <c r="O1461" s="55"/>
      <c r="P1461" s="105">
        <v>2280</v>
      </c>
      <c r="Q1461" s="270">
        <v>-521</v>
      </c>
      <c r="R1461" s="275">
        <v>1.73E-3</v>
      </c>
      <c r="S1461" s="270">
        <v>-457</v>
      </c>
      <c r="T1461" s="270">
        <v>1823</v>
      </c>
      <c r="U1461" s="57">
        <v>1</v>
      </c>
      <c r="V1461" s="276">
        <v>0.15</v>
      </c>
      <c r="W1461" s="276">
        <v>0</v>
      </c>
      <c r="X1461" s="270">
        <v>1550</v>
      </c>
      <c r="Y1461" s="270">
        <v>273</v>
      </c>
      <c r="Z1461" s="45" t="b">
        <v>1</v>
      </c>
      <c r="AA1461" s="45" t="s">
        <v>38</v>
      </c>
      <c r="AB1461" s="45" t="s">
        <v>38</v>
      </c>
    </row>
    <row r="1462" spans="1:28" x14ac:dyDescent="0.2">
      <c r="A1462" s="96" t="s">
        <v>102</v>
      </c>
      <c r="B1462" s="96" t="s">
        <v>102</v>
      </c>
      <c r="C1462" s="277">
        <v>44702</v>
      </c>
      <c r="D1462" s="277">
        <v>44732</v>
      </c>
      <c r="E1462" s="270" t="s">
        <v>267</v>
      </c>
      <c r="F1462" s="96" t="s">
        <v>34</v>
      </c>
      <c r="G1462" s="270" t="s">
        <v>35</v>
      </c>
      <c r="H1462" s="272" t="s">
        <v>46</v>
      </c>
      <c r="I1462" s="273">
        <v>25</v>
      </c>
      <c r="J1462" s="270">
        <v>157</v>
      </c>
      <c r="K1462" s="270">
        <f t="shared" si="0"/>
        <v>3925</v>
      </c>
      <c r="L1462" s="270">
        <v>6020</v>
      </c>
      <c r="M1462" s="270">
        <v>-625</v>
      </c>
      <c r="N1462" s="274">
        <v>35</v>
      </c>
      <c r="O1462" s="55"/>
      <c r="P1462" s="45">
        <v>35</v>
      </c>
      <c r="Q1462" s="270">
        <v>28</v>
      </c>
      <c r="R1462" s="275">
        <v>1.73E-3</v>
      </c>
      <c r="S1462" s="270">
        <v>35</v>
      </c>
      <c r="T1462" s="270">
        <v>70</v>
      </c>
      <c r="U1462" s="57">
        <v>1</v>
      </c>
      <c r="V1462" s="276">
        <v>0.15</v>
      </c>
      <c r="W1462" s="276">
        <v>0</v>
      </c>
      <c r="X1462" s="270">
        <v>59</v>
      </c>
      <c r="Y1462" s="270">
        <v>10</v>
      </c>
      <c r="Z1462" s="45" t="b">
        <v>1</v>
      </c>
      <c r="AA1462" s="45" t="s">
        <v>38</v>
      </c>
      <c r="AB1462" s="45" t="s">
        <v>38</v>
      </c>
    </row>
    <row r="1463" spans="1:28" x14ac:dyDescent="0.2">
      <c r="A1463" s="96" t="s">
        <v>102</v>
      </c>
      <c r="B1463" s="96" t="s">
        <v>102</v>
      </c>
      <c r="C1463" s="277">
        <v>44702</v>
      </c>
      <c r="D1463" s="277">
        <v>44732</v>
      </c>
      <c r="E1463" s="270" t="s">
        <v>267</v>
      </c>
      <c r="F1463" s="96" t="s">
        <v>34</v>
      </c>
      <c r="G1463" s="270" t="s">
        <v>35</v>
      </c>
      <c r="H1463" s="272" t="s">
        <v>72</v>
      </c>
      <c r="I1463" s="273">
        <v>50</v>
      </c>
      <c r="J1463" s="270">
        <v>253</v>
      </c>
      <c r="K1463" s="270">
        <f t="shared" si="0"/>
        <v>12650</v>
      </c>
      <c r="L1463" s="270">
        <v>11376</v>
      </c>
      <c r="M1463" s="270">
        <v>-850</v>
      </c>
      <c r="N1463" s="274">
        <v>115</v>
      </c>
      <c r="O1463" s="55"/>
      <c r="P1463" s="45">
        <v>115</v>
      </c>
      <c r="Q1463" s="270">
        <v>245</v>
      </c>
      <c r="R1463" s="275">
        <v>1.73E-3</v>
      </c>
      <c r="S1463" s="270">
        <v>267</v>
      </c>
      <c r="T1463" s="270">
        <v>382</v>
      </c>
      <c r="U1463" s="57">
        <v>1</v>
      </c>
      <c r="V1463" s="276">
        <v>0.15</v>
      </c>
      <c r="W1463" s="276">
        <v>0</v>
      </c>
      <c r="X1463" s="270">
        <v>325</v>
      </c>
      <c r="Y1463" s="270">
        <v>57</v>
      </c>
      <c r="Z1463" s="45" t="b">
        <v>1</v>
      </c>
      <c r="AA1463" s="45" t="s">
        <v>38</v>
      </c>
      <c r="AB1463" s="45" t="s">
        <v>38</v>
      </c>
    </row>
    <row r="1464" spans="1:28" x14ac:dyDescent="0.2">
      <c r="A1464" s="96" t="s">
        <v>508</v>
      </c>
      <c r="B1464" s="96" t="s">
        <v>185</v>
      </c>
      <c r="C1464" s="277">
        <v>44702</v>
      </c>
      <c r="D1464" s="277">
        <v>44732</v>
      </c>
      <c r="E1464" s="270" t="s">
        <v>300</v>
      </c>
      <c r="F1464" s="133" t="s">
        <v>34</v>
      </c>
      <c r="G1464" s="270" t="s">
        <v>80</v>
      </c>
      <c r="H1464" s="272" t="s">
        <v>70</v>
      </c>
      <c r="I1464" s="273">
        <v>100</v>
      </c>
      <c r="J1464" s="270">
        <v>9217</v>
      </c>
      <c r="K1464" s="270">
        <f t="shared" si="0"/>
        <v>921700</v>
      </c>
      <c r="L1464" s="270">
        <v>46830</v>
      </c>
      <c r="M1464" s="270">
        <v>-41500</v>
      </c>
      <c r="N1464" s="274">
        <f>45344+66*100</f>
        <v>51944</v>
      </c>
      <c r="O1464" s="55"/>
      <c r="P1464" s="105">
        <v>51944</v>
      </c>
      <c r="Q1464" s="270">
        <v>-54117</v>
      </c>
      <c r="R1464" s="275">
        <v>1.73E-3</v>
      </c>
      <c r="S1464" s="270">
        <v>-52523</v>
      </c>
      <c r="T1464" s="270">
        <v>-579</v>
      </c>
      <c r="U1464" s="57">
        <v>1</v>
      </c>
      <c r="V1464" s="276">
        <v>0.09</v>
      </c>
      <c r="W1464" s="276">
        <v>0.03</v>
      </c>
      <c r="X1464" s="270">
        <v>-509</v>
      </c>
      <c r="Y1464" s="270">
        <v>-69</v>
      </c>
      <c r="Z1464" s="45" t="b">
        <v>1</v>
      </c>
      <c r="AA1464" s="45" t="s">
        <v>38</v>
      </c>
      <c r="AB1464" s="45" t="s">
        <v>38</v>
      </c>
    </row>
    <row r="1465" spans="1:28" x14ac:dyDescent="0.2">
      <c r="A1465" s="96" t="s">
        <v>113</v>
      </c>
      <c r="B1465" s="96" t="s">
        <v>113</v>
      </c>
      <c r="C1465" s="277">
        <v>44702</v>
      </c>
      <c r="D1465" s="277">
        <v>44732</v>
      </c>
      <c r="E1465" s="270" t="s">
        <v>267</v>
      </c>
      <c r="F1465" s="133" t="s">
        <v>34</v>
      </c>
      <c r="G1465" s="96" t="s">
        <v>35</v>
      </c>
      <c r="H1465" s="272" t="s">
        <v>40</v>
      </c>
      <c r="I1465" s="273">
        <v>10</v>
      </c>
      <c r="J1465" s="270">
        <v>2783</v>
      </c>
      <c r="K1465" s="270">
        <f t="shared" si="0"/>
        <v>27830</v>
      </c>
      <c r="L1465" s="270">
        <v>109853</v>
      </c>
      <c r="M1465" s="270">
        <v>810</v>
      </c>
      <c r="N1465" s="274">
        <v>1455</v>
      </c>
      <c r="O1465" s="55"/>
      <c r="P1465" s="105">
        <v>1455</v>
      </c>
      <c r="Q1465" s="270">
        <v>-75</v>
      </c>
      <c r="R1465" s="275">
        <v>1.73E-3</v>
      </c>
      <c r="S1465" s="270">
        <v>-27</v>
      </c>
      <c r="T1465" s="270">
        <v>1428</v>
      </c>
      <c r="U1465" s="57">
        <v>1</v>
      </c>
      <c r="V1465" s="276">
        <v>0.25</v>
      </c>
      <c r="W1465" s="276">
        <v>0</v>
      </c>
      <c r="X1465" s="270">
        <v>1071</v>
      </c>
      <c r="Y1465" s="270">
        <v>357</v>
      </c>
      <c r="Z1465" s="45" t="b">
        <v>1</v>
      </c>
      <c r="AA1465" s="45" t="s">
        <v>38</v>
      </c>
      <c r="AB1465" s="45" t="s">
        <v>38</v>
      </c>
    </row>
    <row r="1466" spans="1:28" x14ac:dyDescent="0.2">
      <c r="A1466" s="96" t="s">
        <v>191</v>
      </c>
      <c r="B1466" s="96" t="s">
        <v>193</v>
      </c>
      <c r="C1466" s="277">
        <v>44702</v>
      </c>
      <c r="D1466" s="277">
        <v>44732</v>
      </c>
      <c r="E1466" s="270" t="s">
        <v>267</v>
      </c>
      <c r="F1466" s="133" t="s">
        <v>34</v>
      </c>
      <c r="G1466" s="96" t="s">
        <v>80</v>
      </c>
      <c r="H1466" s="272" t="s">
        <v>71</v>
      </c>
      <c r="I1466" s="273">
        <v>20</v>
      </c>
      <c r="J1466" s="270">
        <v>4956</v>
      </c>
      <c r="K1466" s="270">
        <f t="shared" si="0"/>
        <v>99120</v>
      </c>
      <c r="L1466" s="270">
        <v>45693</v>
      </c>
      <c r="M1466" s="270">
        <v>-4480</v>
      </c>
      <c r="N1466" s="274">
        <f>50*20+4814</f>
        <v>5814</v>
      </c>
      <c r="O1466" s="55"/>
      <c r="P1466" s="105">
        <v>5814</v>
      </c>
      <c r="Q1466" s="270">
        <v>-4640</v>
      </c>
      <c r="R1466" s="275">
        <v>1.73E-3</v>
      </c>
      <c r="S1466" s="270">
        <v>-4468</v>
      </c>
      <c r="T1466" s="270">
        <v>1346</v>
      </c>
      <c r="U1466" s="57">
        <v>1</v>
      </c>
      <c r="V1466" s="276">
        <v>0.3</v>
      </c>
      <c r="W1466" s="276">
        <v>0</v>
      </c>
      <c r="X1466" s="270">
        <v>942</v>
      </c>
      <c r="Y1466" s="270">
        <v>404</v>
      </c>
      <c r="Z1466" s="45" t="b">
        <v>1</v>
      </c>
      <c r="AA1466" s="45" t="s">
        <v>38</v>
      </c>
      <c r="AB1466" s="45" t="s">
        <v>38</v>
      </c>
    </row>
    <row r="1467" spans="1:28" x14ac:dyDescent="0.2">
      <c r="A1467" s="96" t="s">
        <v>191</v>
      </c>
      <c r="B1467" s="96" t="s">
        <v>193</v>
      </c>
      <c r="C1467" s="277">
        <v>44702</v>
      </c>
      <c r="D1467" s="277">
        <v>44732</v>
      </c>
      <c r="E1467" s="270" t="s">
        <v>267</v>
      </c>
      <c r="F1467" s="133" t="s">
        <v>34</v>
      </c>
      <c r="G1467" s="96" t="s">
        <v>80</v>
      </c>
      <c r="H1467" s="272" t="s">
        <v>72</v>
      </c>
      <c r="I1467" s="273">
        <v>50</v>
      </c>
      <c r="J1467" s="270">
        <v>1</v>
      </c>
      <c r="K1467" s="270">
        <f t="shared" si="0"/>
        <v>50</v>
      </c>
      <c r="L1467" s="270">
        <v>531</v>
      </c>
      <c r="M1467" s="270">
        <v>50</v>
      </c>
      <c r="N1467" s="274"/>
      <c r="O1467" s="55"/>
      <c r="P1467" s="96"/>
      <c r="Q1467" s="270">
        <v>73</v>
      </c>
      <c r="R1467" s="275">
        <v>1.73E-3</v>
      </c>
      <c r="S1467" s="270">
        <v>73</v>
      </c>
      <c r="T1467" s="270">
        <v>73</v>
      </c>
      <c r="U1467" s="57">
        <v>1</v>
      </c>
      <c r="V1467" s="276">
        <v>0.3</v>
      </c>
      <c r="W1467" s="276">
        <v>0</v>
      </c>
      <c r="X1467" s="270">
        <v>51</v>
      </c>
      <c r="Y1467" s="270">
        <v>22</v>
      </c>
      <c r="Z1467" s="45" t="b">
        <v>1</v>
      </c>
      <c r="AA1467" s="45" t="s">
        <v>38</v>
      </c>
      <c r="AB1467" s="45" t="s">
        <v>38</v>
      </c>
    </row>
    <row r="1468" spans="1:28" x14ac:dyDescent="0.2">
      <c r="A1468" s="96" t="s">
        <v>195</v>
      </c>
      <c r="B1468" s="96" t="s">
        <v>195</v>
      </c>
      <c r="C1468" s="277">
        <v>44702</v>
      </c>
      <c r="D1468" s="277">
        <v>44732</v>
      </c>
      <c r="E1468" s="96" t="s">
        <v>267</v>
      </c>
      <c r="F1468" s="96" t="s">
        <v>34</v>
      </c>
      <c r="G1468" s="270" t="s">
        <v>35</v>
      </c>
      <c r="H1468" s="289" t="s">
        <v>46</v>
      </c>
      <c r="I1468" s="273">
        <v>25</v>
      </c>
      <c r="J1468" s="270">
        <v>959</v>
      </c>
      <c r="K1468" s="270">
        <f t="shared" si="0"/>
        <v>23975</v>
      </c>
      <c r="L1468" s="270">
        <v>44649</v>
      </c>
      <c r="M1468" s="270">
        <v>-375</v>
      </c>
      <c r="N1468" s="274">
        <v>380</v>
      </c>
      <c r="O1468" s="55"/>
      <c r="P1468" s="45">
        <v>380</v>
      </c>
      <c r="Q1468" s="270">
        <v>535</v>
      </c>
      <c r="R1468" s="275">
        <v>1.73E-3</v>
      </c>
      <c r="S1468" s="270">
        <v>577</v>
      </c>
      <c r="T1468" s="270">
        <v>957</v>
      </c>
      <c r="U1468" s="57">
        <v>1</v>
      </c>
      <c r="V1468" s="276">
        <v>0.17</v>
      </c>
      <c r="W1468" s="276">
        <v>0</v>
      </c>
      <c r="X1468" s="270">
        <v>794</v>
      </c>
      <c r="Y1468" s="270">
        <v>163</v>
      </c>
      <c r="Z1468" s="45" t="b">
        <v>1</v>
      </c>
      <c r="AA1468" s="45" t="s">
        <v>38</v>
      </c>
      <c r="AB1468" s="45" t="s">
        <v>38</v>
      </c>
    </row>
    <row r="1469" spans="1:28" x14ac:dyDescent="0.2">
      <c r="A1469" s="96" t="s">
        <v>206</v>
      </c>
      <c r="B1469" s="96" t="s">
        <v>206</v>
      </c>
      <c r="C1469" s="277">
        <v>44702</v>
      </c>
      <c r="D1469" s="277">
        <v>44732</v>
      </c>
      <c r="E1469" s="270" t="s">
        <v>267</v>
      </c>
      <c r="F1469" s="133" t="s">
        <v>34</v>
      </c>
      <c r="G1469" s="96" t="s">
        <v>35</v>
      </c>
      <c r="H1469" s="272" t="s">
        <v>70</v>
      </c>
      <c r="I1469" s="273">
        <v>100</v>
      </c>
      <c r="J1469" s="270">
        <v>341</v>
      </c>
      <c r="K1469" s="270">
        <f t="shared" si="0"/>
        <v>34100</v>
      </c>
      <c r="L1469" s="270">
        <v>-3815</v>
      </c>
      <c r="M1469" s="270">
        <v>-3000</v>
      </c>
      <c r="N1469" s="274">
        <v>1231</v>
      </c>
      <c r="O1469" s="55"/>
      <c r="P1469" s="105">
        <v>1231</v>
      </c>
      <c r="Q1469" s="270">
        <v>-2462</v>
      </c>
      <c r="R1469" s="275">
        <v>1.73E-3</v>
      </c>
      <c r="S1469" s="270">
        <v>-2403</v>
      </c>
      <c r="T1469" s="270">
        <v>-1172</v>
      </c>
      <c r="U1469" s="57">
        <v>1</v>
      </c>
      <c r="V1469" s="276">
        <v>0.1</v>
      </c>
      <c r="W1469" s="276">
        <v>0</v>
      </c>
      <c r="X1469" s="270">
        <v>-1054</v>
      </c>
      <c r="Y1469" s="270">
        <v>-117</v>
      </c>
      <c r="Z1469" s="45" t="b">
        <v>1</v>
      </c>
      <c r="AA1469" s="45" t="s">
        <v>38</v>
      </c>
      <c r="AB1469" s="45" t="s">
        <v>38</v>
      </c>
    </row>
    <row r="1470" spans="1:28" x14ac:dyDescent="0.2">
      <c r="A1470" s="96" t="s">
        <v>206</v>
      </c>
      <c r="B1470" s="96" t="s">
        <v>206</v>
      </c>
      <c r="C1470" s="277">
        <v>44702</v>
      </c>
      <c r="D1470" s="277">
        <v>44732</v>
      </c>
      <c r="E1470" s="270" t="s">
        <v>267</v>
      </c>
      <c r="F1470" s="133" t="s">
        <v>34</v>
      </c>
      <c r="G1470" s="96" t="s">
        <v>35</v>
      </c>
      <c r="H1470" s="272" t="s">
        <v>84</v>
      </c>
      <c r="I1470" s="273">
        <v>100</v>
      </c>
      <c r="J1470" s="270">
        <v>426</v>
      </c>
      <c r="K1470" s="270">
        <f t="shared" si="0"/>
        <v>42600</v>
      </c>
      <c r="L1470" s="270">
        <v>3092</v>
      </c>
      <c r="M1470" s="270">
        <v>-1300</v>
      </c>
      <c r="N1470" s="274">
        <v>1538</v>
      </c>
      <c r="O1470" s="55"/>
      <c r="P1470" s="105">
        <v>1538</v>
      </c>
      <c r="Q1470" s="270">
        <v>-1216</v>
      </c>
      <c r="R1470" s="275">
        <v>1.73E-3</v>
      </c>
      <c r="S1470" s="270">
        <v>-1142</v>
      </c>
      <c r="T1470" s="270">
        <v>396</v>
      </c>
      <c r="U1470" s="57">
        <v>1</v>
      </c>
      <c r="V1470" s="276">
        <v>0.1</v>
      </c>
      <c r="W1470" s="276">
        <v>0</v>
      </c>
      <c r="X1470" s="270">
        <v>356</v>
      </c>
      <c r="Y1470" s="270">
        <v>40</v>
      </c>
      <c r="Z1470" s="45" t="b">
        <v>1</v>
      </c>
      <c r="AA1470" s="45" t="s">
        <v>38</v>
      </c>
      <c r="AB1470" s="45" t="s">
        <v>38</v>
      </c>
    </row>
    <row r="1471" spans="1:28" x14ac:dyDescent="0.2">
      <c r="A1471" s="96" t="s">
        <v>206</v>
      </c>
      <c r="B1471" s="96" t="s">
        <v>206</v>
      </c>
      <c r="C1471" s="277">
        <v>44702</v>
      </c>
      <c r="D1471" s="277">
        <v>44732</v>
      </c>
      <c r="E1471" s="270" t="s">
        <v>267</v>
      </c>
      <c r="F1471" s="133" t="s">
        <v>34</v>
      </c>
      <c r="G1471" s="96" t="s">
        <v>35</v>
      </c>
      <c r="H1471" s="272" t="s">
        <v>88</v>
      </c>
      <c r="I1471" s="273">
        <v>250</v>
      </c>
      <c r="J1471" s="270">
        <v>703</v>
      </c>
      <c r="K1471" s="270">
        <f t="shared" si="0"/>
        <v>175750</v>
      </c>
      <c r="L1471" s="270">
        <v>-2333</v>
      </c>
      <c r="M1471" s="270">
        <v>5000</v>
      </c>
      <c r="N1471" s="274">
        <v>6345</v>
      </c>
      <c r="O1471" s="55"/>
      <c r="P1471" s="105">
        <v>6345</v>
      </c>
      <c r="Q1471" s="270">
        <v>-9675</v>
      </c>
      <c r="R1471" s="275">
        <v>1.73E-3</v>
      </c>
      <c r="S1471" s="270">
        <v>-9371</v>
      </c>
      <c r="T1471" s="270">
        <v>-3026</v>
      </c>
      <c r="U1471" s="57">
        <v>1</v>
      </c>
      <c r="V1471" s="276">
        <v>0.1</v>
      </c>
      <c r="W1471" s="276">
        <v>0</v>
      </c>
      <c r="X1471" s="270">
        <v>-2724</v>
      </c>
      <c r="Y1471" s="270">
        <v>-303</v>
      </c>
      <c r="Z1471" s="45" t="b">
        <v>1</v>
      </c>
      <c r="AA1471" s="45" t="s">
        <v>38</v>
      </c>
      <c r="AB1471" s="45" t="s">
        <v>38</v>
      </c>
    </row>
    <row r="1472" spans="1:28" x14ac:dyDescent="0.2">
      <c r="A1472" s="96" t="s">
        <v>206</v>
      </c>
      <c r="B1472" s="96" t="s">
        <v>206</v>
      </c>
      <c r="C1472" s="277">
        <v>44702</v>
      </c>
      <c r="D1472" s="277">
        <v>44732</v>
      </c>
      <c r="E1472" s="270" t="s">
        <v>267</v>
      </c>
      <c r="F1472" s="133" t="s">
        <v>34</v>
      </c>
      <c r="G1472" s="96" t="s">
        <v>35</v>
      </c>
      <c r="H1472" s="272" t="s">
        <v>148</v>
      </c>
      <c r="I1472" s="273">
        <v>250</v>
      </c>
      <c r="J1472" s="270">
        <v>408</v>
      </c>
      <c r="K1472" s="270">
        <f t="shared" si="0"/>
        <v>102000</v>
      </c>
      <c r="L1472" s="270">
        <v>217</v>
      </c>
      <c r="M1472" s="270">
        <v>500</v>
      </c>
      <c r="N1472" s="274">
        <v>3682</v>
      </c>
      <c r="O1472" s="55"/>
      <c r="P1472" s="105">
        <v>3682</v>
      </c>
      <c r="Q1472" s="270">
        <v>-4809</v>
      </c>
      <c r="R1472" s="275">
        <v>1.73E-3</v>
      </c>
      <c r="S1472" s="270">
        <v>-4633</v>
      </c>
      <c r="T1472" s="270">
        <v>-951</v>
      </c>
      <c r="U1472" s="57">
        <v>1</v>
      </c>
      <c r="V1472" s="276">
        <v>0.1</v>
      </c>
      <c r="W1472" s="276">
        <v>0</v>
      </c>
      <c r="X1472" s="270">
        <v>-856</v>
      </c>
      <c r="Y1472" s="270">
        <v>-95</v>
      </c>
      <c r="Z1472" s="45" t="b">
        <v>1</v>
      </c>
      <c r="AA1472" s="45" t="s">
        <v>38</v>
      </c>
      <c r="AB1472" s="45" t="s">
        <v>38</v>
      </c>
    </row>
    <row r="1473" spans="1:28" x14ac:dyDescent="0.2">
      <c r="A1473" s="96" t="s">
        <v>206</v>
      </c>
      <c r="B1473" s="96" t="s">
        <v>206</v>
      </c>
      <c r="C1473" s="277">
        <v>44702</v>
      </c>
      <c r="D1473" s="277">
        <v>44732</v>
      </c>
      <c r="E1473" s="270" t="s">
        <v>267</v>
      </c>
      <c r="F1473" s="133" t="s">
        <v>34</v>
      </c>
      <c r="G1473" s="96" t="s">
        <v>35</v>
      </c>
      <c r="H1473" s="272" t="s">
        <v>142</v>
      </c>
      <c r="I1473" s="273">
        <v>500</v>
      </c>
      <c r="J1473" s="270">
        <v>3</v>
      </c>
      <c r="K1473" s="270">
        <f t="shared" si="0"/>
        <v>1500</v>
      </c>
      <c r="L1473" s="270">
        <v>-441</v>
      </c>
      <c r="M1473" s="270">
        <v>-1500</v>
      </c>
      <c r="N1473" s="274">
        <v>54</v>
      </c>
      <c r="O1473" s="55"/>
      <c r="P1473" s="45">
        <v>54</v>
      </c>
      <c r="Q1473" s="270">
        <v>-487</v>
      </c>
      <c r="R1473" s="275">
        <v>1.73E-3</v>
      </c>
      <c r="S1473" s="270">
        <v>-484</v>
      </c>
      <c r="T1473" s="270">
        <v>-430</v>
      </c>
      <c r="U1473" s="57">
        <v>1</v>
      </c>
      <c r="V1473" s="276">
        <v>0.1</v>
      </c>
      <c r="W1473" s="276">
        <v>0</v>
      </c>
      <c r="X1473" s="270">
        <v>-387</v>
      </c>
      <c r="Y1473" s="270">
        <v>-43</v>
      </c>
      <c r="Z1473" s="45" t="b">
        <v>1</v>
      </c>
      <c r="AA1473" s="45" t="s">
        <v>38</v>
      </c>
      <c r="AB1473" s="45" t="s">
        <v>38</v>
      </c>
    </row>
    <row r="1474" spans="1:28" x14ac:dyDescent="0.2">
      <c r="A1474" s="279" t="s">
        <v>144</v>
      </c>
      <c r="B1474" s="279" t="s">
        <v>144</v>
      </c>
      <c r="C1474" s="277">
        <v>44713</v>
      </c>
      <c r="D1474" s="277">
        <v>44736</v>
      </c>
      <c r="E1474" s="270" t="s">
        <v>267</v>
      </c>
      <c r="F1474" s="96" t="s">
        <v>41</v>
      </c>
      <c r="G1474" s="279" t="s">
        <v>35</v>
      </c>
      <c r="H1474" s="272" t="s">
        <v>72</v>
      </c>
      <c r="I1474" s="273">
        <v>50</v>
      </c>
      <c r="J1474" s="270">
        <v>85</v>
      </c>
      <c r="K1474" s="270">
        <f t="shared" si="0"/>
        <v>4250</v>
      </c>
      <c r="L1474" s="270"/>
      <c r="M1474" s="270">
        <v>-50</v>
      </c>
      <c r="N1474" s="274">
        <v>44</v>
      </c>
      <c r="O1474" s="55"/>
      <c r="P1474" s="45">
        <v>44</v>
      </c>
      <c r="Q1474" s="270"/>
      <c r="R1474" s="275">
        <v>0</v>
      </c>
      <c r="S1474" s="270"/>
      <c r="T1474" s="270">
        <v>-6</v>
      </c>
      <c r="U1474" s="57">
        <v>1</v>
      </c>
      <c r="V1474" s="276">
        <v>0.15</v>
      </c>
      <c r="W1474" s="276">
        <v>0</v>
      </c>
      <c r="X1474" s="270">
        <v>-5</v>
      </c>
      <c r="Y1474" s="270">
        <v>-1</v>
      </c>
      <c r="Z1474" s="45" t="b">
        <v>1</v>
      </c>
      <c r="AA1474" s="45" t="s">
        <v>38</v>
      </c>
      <c r="AB1474" s="45" t="s">
        <v>38</v>
      </c>
    </row>
    <row r="1475" spans="1:28" x14ac:dyDescent="0.2">
      <c r="A1475" s="270" t="s">
        <v>58</v>
      </c>
      <c r="B1475" s="270" t="s">
        <v>48</v>
      </c>
      <c r="C1475" s="277">
        <v>44713</v>
      </c>
      <c r="D1475" s="277">
        <v>44742</v>
      </c>
      <c r="E1475" s="270" t="s">
        <v>267</v>
      </c>
      <c r="F1475" s="133" t="s">
        <v>49</v>
      </c>
      <c r="G1475" s="270" t="s">
        <v>35</v>
      </c>
      <c r="H1475" s="270" t="s">
        <v>40</v>
      </c>
      <c r="I1475" s="273">
        <v>10</v>
      </c>
      <c r="J1475" s="270">
        <v>2139</v>
      </c>
      <c r="K1475" s="270">
        <f t="shared" si="0"/>
        <v>21390</v>
      </c>
      <c r="L1475" s="270">
        <v>126061</v>
      </c>
      <c r="M1475" s="270">
        <v>-30</v>
      </c>
      <c r="N1475" s="274">
        <v>1122</v>
      </c>
      <c r="O1475" s="55"/>
      <c r="P1475" s="105">
        <v>1122</v>
      </c>
      <c r="Q1475" s="270">
        <v>729</v>
      </c>
      <c r="R1475" s="275">
        <v>-5.3049999999999998E-3</v>
      </c>
      <c r="S1475" s="270">
        <v>616</v>
      </c>
      <c r="T1475" s="270">
        <v>1738</v>
      </c>
      <c r="U1475" s="57">
        <v>1</v>
      </c>
      <c r="V1475" s="276">
        <v>0.17</v>
      </c>
      <c r="W1475" s="276">
        <v>0</v>
      </c>
      <c r="X1475" s="270">
        <v>1443</v>
      </c>
      <c r="Y1475" s="270">
        <v>295</v>
      </c>
      <c r="Z1475" s="45" t="b">
        <v>1</v>
      </c>
      <c r="AA1475" s="45" t="s">
        <v>38</v>
      </c>
      <c r="AB1475" s="45" t="s">
        <v>38</v>
      </c>
    </row>
    <row r="1476" spans="1:28" x14ac:dyDescent="0.2">
      <c r="A1476" s="270" t="s">
        <v>58</v>
      </c>
      <c r="B1476" s="270" t="s">
        <v>48</v>
      </c>
      <c r="C1476" s="277">
        <v>44713</v>
      </c>
      <c r="D1476" s="277">
        <v>44742</v>
      </c>
      <c r="E1476" s="270" t="s">
        <v>267</v>
      </c>
      <c r="F1476" s="133" t="s">
        <v>41</v>
      </c>
      <c r="G1476" s="270" t="s">
        <v>35</v>
      </c>
      <c r="H1476" s="270" t="s">
        <v>39</v>
      </c>
      <c r="I1476" s="273">
        <v>5</v>
      </c>
      <c r="J1476" s="270">
        <v>3</v>
      </c>
      <c r="K1476" s="270">
        <f t="shared" si="0"/>
        <v>15</v>
      </c>
      <c r="L1476" s="270"/>
      <c r="M1476" s="270">
        <v>10</v>
      </c>
      <c r="N1476" s="274">
        <v>1</v>
      </c>
      <c r="O1476" s="55"/>
      <c r="P1476" s="45">
        <v>1</v>
      </c>
      <c r="Q1476" s="270"/>
      <c r="R1476" s="275">
        <v>0</v>
      </c>
      <c r="S1476" s="270"/>
      <c r="T1476" s="270">
        <v>11</v>
      </c>
      <c r="U1476" s="57">
        <v>1</v>
      </c>
      <c r="V1476" s="276">
        <v>0.17</v>
      </c>
      <c r="W1476" s="276">
        <v>0</v>
      </c>
      <c r="X1476" s="270">
        <v>9</v>
      </c>
      <c r="Y1476" s="270">
        <v>2</v>
      </c>
      <c r="Z1476" s="45" t="b">
        <v>1</v>
      </c>
      <c r="AA1476" s="45" t="s">
        <v>38</v>
      </c>
      <c r="AB1476" s="45" t="s">
        <v>38</v>
      </c>
    </row>
    <row r="1477" spans="1:28" x14ac:dyDescent="0.2">
      <c r="A1477" s="270" t="s">
        <v>58</v>
      </c>
      <c r="B1477" s="270" t="s">
        <v>48</v>
      </c>
      <c r="C1477" s="277">
        <v>44713</v>
      </c>
      <c r="D1477" s="277">
        <v>44742</v>
      </c>
      <c r="E1477" s="270" t="s">
        <v>267</v>
      </c>
      <c r="F1477" s="133" t="s">
        <v>41</v>
      </c>
      <c r="G1477" s="270" t="s">
        <v>35</v>
      </c>
      <c r="H1477" s="270" t="s">
        <v>46</v>
      </c>
      <c r="I1477" s="273">
        <v>25</v>
      </c>
      <c r="J1477" s="270">
        <v>135</v>
      </c>
      <c r="K1477" s="270">
        <f t="shared" si="0"/>
        <v>3375</v>
      </c>
      <c r="L1477" s="270"/>
      <c r="M1477" s="270">
        <v>525</v>
      </c>
      <c r="N1477" s="274">
        <v>152</v>
      </c>
      <c r="O1477" s="55"/>
      <c r="P1477" s="45">
        <v>152</v>
      </c>
      <c r="Q1477" s="270"/>
      <c r="R1477" s="275">
        <v>0</v>
      </c>
      <c r="S1477" s="270"/>
      <c r="T1477" s="270">
        <v>677</v>
      </c>
      <c r="U1477" s="57">
        <v>1</v>
      </c>
      <c r="V1477" s="276">
        <v>0.17</v>
      </c>
      <c r="W1477" s="276">
        <v>0</v>
      </c>
      <c r="X1477" s="270">
        <v>562</v>
      </c>
      <c r="Y1477" s="270">
        <v>115</v>
      </c>
      <c r="Z1477" s="45" t="b">
        <v>1</v>
      </c>
      <c r="AA1477" s="45" t="s">
        <v>38</v>
      </c>
      <c r="AB1477" s="45" t="s">
        <v>38</v>
      </c>
    </row>
    <row r="1478" spans="1:28" x14ac:dyDescent="0.2">
      <c r="A1478" s="279" t="s">
        <v>60</v>
      </c>
      <c r="B1478" s="279" t="s">
        <v>60</v>
      </c>
      <c r="C1478" s="282">
        <v>44713</v>
      </c>
      <c r="D1478" s="282">
        <v>44742</v>
      </c>
      <c r="E1478" s="279" t="s">
        <v>267</v>
      </c>
      <c r="F1478" s="133" t="s">
        <v>41</v>
      </c>
      <c r="G1478" s="279" t="s">
        <v>69</v>
      </c>
      <c r="H1478" s="289" t="s">
        <v>40</v>
      </c>
      <c r="I1478" s="280">
        <v>10</v>
      </c>
      <c r="J1478" s="279">
        <v>352</v>
      </c>
      <c r="K1478" s="270">
        <f t="shared" si="0"/>
        <v>3520</v>
      </c>
      <c r="L1478" s="279"/>
      <c r="M1478" s="279">
        <v>750</v>
      </c>
      <c r="N1478" s="281">
        <v>418.19</v>
      </c>
      <c r="O1478" s="55"/>
      <c r="P1478" s="45">
        <v>418</v>
      </c>
      <c r="Q1478" s="279"/>
      <c r="R1478" s="275">
        <v>0</v>
      </c>
      <c r="S1478" s="279"/>
      <c r="T1478" s="279">
        <v>1168</v>
      </c>
      <c r="U1478" s="57">
        <v>1.0209999999999999</v>
      </c>
      <c r="V1478" s="276">
        <v>0.2</v>
      </c>
      <c r="W1478" s="276">
        <v>0</v>
      </c>
      <c r="X1478" s="279">
        <v>954</v>
      </c>
      <c r="Y1478" s="279">
        <v>239</v>
      </c>
      <c r="Z1478" s="45" t="b">
        <v>1</v>
      </c>
      <c r="AA1478" s="45" t="s">
        <v>50</v>
      </c>
      <c r="AB1478" s="45" t="s">
        <v>38</v>
      </c>
    </row>
    <row r="1479" spans="1:28" x14ac:dyDescent="0.2">
      <c r="A1479" s="279" t="s">
        <v>60</v>
      </c>
      <c r="B1479" s="279" t="s">
        <v>60</v>
      </c>
      <c r="C1479" s="282">
        <v>44713</v>
      </c>
      <c r="D1479" s="282">
        <v>44742</v>
      </c>
      <c r="E1479" s="279" t="s">
        <v>267</v>
      </c>
      <c r="F1479" s="133" t="s">
        <v>41</v>
      </c>
      <c r="G1479" s="279" t="s">
        <v>69</v>
      </c>
      <c r="H1479" s="289" t="s">
        <v>70</v>
      </c>
      <c r="I1479" s="280">
        <v>100</v>
      </c>
      <c r="J1479" s="279">
        <v>2</v>
      </c>
      <c r="K1479" s="270">
        <f t="shared" si="0"/>
        <v>200</v>
      </c>
      <c r="L1479" s="279"/>
      <c r="M1479" s="279">
        <v>-200</v>
      </c>
      <c r="N1479" s="281">
        <v>0.06</v>
      </c>
      <c r="O1479" s="55"/>
      <c r="P1479" s="45">
        <v>0</v>
      </c>
      <c r="Q1479" s="279"/>
      <c r="R1479" s="275">
        <v>0</v>
      </c>
      <c r="S1479" s="279"/>
      <c r="T1479" s="279">
        <v>-200</v>
      </c>
      <c r="U1479" s="57">
        <v>1.0209999999999999</v>
      </c>
      <c r="V1479" s="276">
        <v>0.2</v>
      </c>
      <c r="W1479" s="276">
        <v>0</v>
      </c>
      <c r="X1479" s="279">
        <v>-163</v>
      </c>
      <c r="Y1479" s="279">
        <v>-41</v>
      </c>
      <c r="Z1479" s="45" t="b">
        <v>1</v>
      </c>
      <c r="AA1479" s="45" t="s">
        <v>50</v>
      </c>
      <c r="AB1479" s="45" t="s">
        <v>38</v>
      </c>
    </row>
    <row r="1480" spans="1:28" x14ac:dyDescent="0.2">
      <c r="A1480" s="279" t="s">
        <v>60</v>
      </c>
      <c r="B1480" s="279" t="s">
        <v>60</v>
      </c>
      <c r="C1480" s="282">
        <v>44713</v>
      </c>
      <c r="D1480" s="282">
        <v>44742</v>
      </c>
      <c r="E1480" s="279" t="s">
        <v>267</v>
      </c>
      <c r="F1480" s="133" t="s">
        <v>41</v>
      </c>
      <c r="G1480" s="279" t="s">
        <v>69</v>
      </c>
      <c r="H1480" s="289" t="s">
        <v>71</v>
      </c>
      <c r="I1480" s="280">
        <v>20</v>
      </c>
      <c r="J1480" s="279">
        <v>455</v>
      </c>
      <c r="K1480" s="270">
        <f t="shared" si="0"/>
        <v>9100</v>
      </c>
      <c r="L1480" s="279">
        <f>26*J1480</f>
        <v>11830</v>
      </c>
      <c r="M1480" s="279">
        <v>140</v>
      </c>
      <c r="N1480" s="281">
        <v>0</v>
      </c>
      <c r="O1480" s="55"/>
      <c r="P1480" s="45">
        <v>0</v>
      </c>
      <c r="Q1480" s="279">
        <v>-140</v>
      </c>
      <c r="R1480" s="275">
        <v>0</v>
      </c>
      <c r="S1480" s="279">
        <v>-140</v>
      </c>
      <c r="T1480" s="279">
        <v>140</v>
      </c>
      <c r="U1480" s="57">
        <v>1.0209999999999999</v>
      </c>
      <c r="V1480" s="276">
        <v>0.2</v>
      </c>
      <c r="W1480" s="276">
        <v>0</v>
      </c>
      <c r="X1480" s="279">
        <v>114</v>
      </c>
      <c r="Y1480" s="279">
        <v>29</v>
      </c>
      <c r="Z1480" s="45" t="b">
        <v>1</v>
      </c>
      <c r="AA1480" s="45" t="s">
        <v>50</v>
      </c>
      <c r="AB1480" s="45" t="s">
        <v>38</v>
      </c>
    </row>
    <row r="1481" spans="1:28" x14ac:dyDescent="0.2">
      <c r="A1481" s="279" t="s">
        <v>60</v>
      </c>
      <c r="B1481" s="279" t="s">
        <v>60</v>
      </c>
      <c r="C1481" s="282">
        <v>44713</v>
      </c>
      <c r="D1481" s="282">
        <v>44742</v>
      </c>
      <c r="E1481" s="279" t="s">
        <v>267</v>
      </c>
      <c r="F1481" s="133" t="s">
        <v>41</v>
      </c>
      <c r="G1481" s="279" t="s">
        <v>69</v>
      </c>
      <c r="H1481" s="289" t="s">
        <v>39</v>
      </c>
      <c r="I1481" s="280">
        <v>5</v>
      </c>
      <c r="J1481" s="279">
        <v>197</v>
      </c>
      <c r="K1481" s="270">
        <f t="shared" si="0"/>
        <v>985</v>
      </c>
      <c r="L1481" s="279"/>
      <c r="M1481" s="279">
        <v>260</v>
      </c>
      <c r="N1481" s="281">
        <v>1.49</v>
      </c>
      <c r="O1481" s="55"/>
      <c r="P1481" s="45">
        <v>1</v>
      </c>
      <c r="Q1481" s="279"/>
      <c r="R1481" s="275">
        <v>0</v>
      </c>
      <c r="S1481" s="279"/>
      <c r="T1481" s="279">
        <v>261</v>
      </c>
      <c r="U1481" s="57">
        <v>1.0209999999999999</v>
      </c>
      <c r="V1481" s="276">
        <v>0.2</v>
      </c>
      <c r="W1481" s="276">
        <v>0</v>
      </c>
      <c r="X1481" s="279">
        <v>214</v>
      </c>
      <c r="Y1481" s="279">
        <v>53</v>
      </c>
      <c r="Z1481" s="45" t="b">
        <v>1</v>
      </c>
      <c r="AA1481" s="45" t="s">
        <v>50</v>
      </c>
      <c r="AB1481" s="45" t="s">
        <v>38</v>
      </c>
    </row>
    <row r="1482" spans="1:28" x14ac:dyDescent="0.2">
      <c r="A1482" s="279" t="s">
        <v>60</v>
      </c>
      <c r="B1482" s="279" t="s">
        <v>60</v>
      </c>
      <c r="C1482" s="282">
        <v>44713</v>
      </c>
      <c r="D1482" s="282">
        <v>44742</v>
      </c>
      <c r="E1482" s="279" t="s">
        <v>267</v>
      </c>
      <c r="F1482" s="133" t="s">
        <v>41</v>
      </c>
      <c r="G1482" s="279" t="s">
        <v>69</v>
      </c>
      <c r="H1482" s="289" t="s">
        <v>72</v>
      </c>
      <c r="I1482" s="280">
        <v>50</v>
      </c>
      <c r="J1482" s="279">
        <v>48</v>
      </c>
      <c r="K1482" s="270">
        <f t="shared" si="0"/>
        <v>2400</v>
      </c>
      <c r="L1482" s="279"/>
      <c r="M1482" s="279">
        <v>-300</v>
      </c>
      <c r="N1482" s="281">
        <v>2.27</v>
      </c>
      <c r="O1482" s="55"/>
      <c r="P1482" s="45">
        <v>2</v>
      </c>
      <c r="Q1482" s="279"/>
      <c r="R1482" s="275">
        <v>0</v>
      </c>
      <c r="S1482" s="279"/>
      <c r="T1482" s="279">
        <v>-298</v>
      </c>
      <c r="U1482" s="57">
        <v>1.0209999999999999</v>
      </c>
      <c r="V1482" s="276">
        <v>0.2</v>
      </c>
      <c r="W1482" s="276">
        <v>0</v>
      </c>
      <c r="X1482" s="279">
        <v>-243</v>
      </c>
      <c r="Y1482" s="279">
        <v>-61</v>
      </c>
      <c r="Z1482" s="45" t="b">
        <v>1</v>
      </c>
      <c r="AA1482" s="45" t="s">
        <v>50</v>
      </c>
      <c r="AB1482" s="45" t="s">
        <v>38</v>
      </c>
    </row>
    <row r="1483" spans="1:28" x14ac:dyDescent="0.2">
      <c r="A1483" s="96" t="s">
        <v>89</v>
      </c>
      <c r="B1483" s="96" t="s">
        <v>89</v>
      </c>
      <c r="C1483" s="277">
        <v>44713</v>
      </c>
      <c r="D1483" s="277">
        <v>44742</v>
      </c>
      <c r="E1483" s="270" t="s">
        <v>267</v>
      </c>
      <c r="F1483" s="133" t="s">
        <v>41</v>
      </c>
      <c r="G1483" s="96" t="s">
        <v>35</v>
      </c>
      <c r="H1483" s="272" t="s">
        <v>70</v>
      </c>
      <c r="I1483" s="273">
        <v>100</v>
      </c>
      <c r="J1483" s="270">
        <v>1800</v>
      </c>
      <c r="K1483" s="270">
        <f t="shared" si="0"/>
        <v>180000</v>
      </c>
      <c r="L1483" s="270">
        <v>6651</v>
      </c>
      <c r="M1483" s="270">
        <v>-6400</v>
      </c>
      <c r="N1483" s="274">
        <v>7334</v>
      </c>
      <c r="O1483" s="55"/>
      <c r="P1483" s="105">
        <v>7334</v>
      </c>
      <c r="Q1483" s="270">
        <v>-8473</v>
      </c>
      <c r="R1483" s="275">
        <v>0</v>
      </c>
      <c r="S1483" s="270">
        <v>-8473</v>
      </c>
      <c r="T1483" s="270">
        <v>934</v>
      </c>
      <c r="U1483" s="57">
        <v>1</v>
      </c>
      <c r="V1483" s="276">
        <v>0.22</v>
      </c>
      <c r="W1483" s="276">
        <v>0</v>
      </c>
      <c r="X1483" s="270">
        <v>729</v>
      </c>
      <c r="Y1483" s="270">
        <v>205</v>
      </c>
      <c r="Z1483" s="45" t="b">
        <v>1</v>
      </c>
      <c r="AA1483" s="45" t="s">
        <v>38</v>
      </c>
      <c r="AB1483" s="45" t="s">
        <v>38</v>
      </c>
    </row>
    <row r="1484" spans="1:28" x14ac:dyDescent="0.2">
      <c r="A1484" s="96" t="s">
        <v>89</v>
      </c>
      <c r="B1484" s="96" t="s">
        <v>89</v>
      </c>
      <c r="C1484" s="277">
        <v>44713</v>
      </c>
      <c r="D1484" s="277">
        <v>44742</v>
      </c>
      <c r="E1484" s="270" t="s">
        <v>267</v>
      </c>
      <c r="F1484" s="133" t="s">
        <v>41</v>
      </c>
      <c r="G1484" s="96" t="s">
        <v>35</v>
      </c>
      <c r="H1484" s="272" t="s">
        <v>72</v>
      </c>
      <c r="I1484" s="273">
        <v>50</v>
      </c>
      <c r="J1484" s="270">
        <v>252</v>
      </c>
      <c r="K1484" s="270">
        <f t="shared" si="0"/>
        <v>12600</v>
      </c>
      <c r="L1484" s="270">
        <v>1854</v>
      </c>
      <c r="M1484" s="270">
        <v>-1300</v>
      </c>
      <c r="N1484" s="274">
        <v>616</v>
      </c>
      <c r="O1484" s="55"/>
      <c r="P1484" s="45">
        <v>616</v>
      </c>
      <c r="Q1484" s="270">
        <v>-635</v>
      </c>
      <c r="R1484" s="275">
        <v>0</v>
      </c>
      <c r="S1484" s="270">
        <v>-635</v>
      </c>
      <c r="T1484" s="270">
        <v>-684</v>
      </c>
      <c r="U1484" s="57">
        <v>1</v>
      </c>
      <c r="V1484" s="276">
        <v>0.22</v>
      </c>
      <c r="W1484" s="276">
        <v>0</v>
      </c>
      <c r="X1484" s="270">
        <v>-534</v>
      </c>
      <c r="Y1484" s="270">
        <v>-150</v>
      </c>
      <c r="Z1484" s="45" t="b">
        <v>1</v>
      </c>
      <c r="AA1484" s="45" t="s">
        <v>38</v>
      </c>
      <c r="AB1484" s="45" t="s">
        <v>38</v>
      </c>
    </row>
    <row r="1485" spans="1:28" x14ac:dyDescent="0.2">
      <c r="A1485" s="96" t="s">
        <v>145</v>
      </c>
      <c r="B1485" s="96" t="s">
        <v>145</v>
      </c>
      <c r="C1485" s="277">
        <v>44713</v>
      </c>
      <c r="D1485" s="277">
        <v>44742</v>
      </c>
      <c r="E1485" s="270" t="s">
        <v>300</v>
      </c>
      <c r="F1485" s="133" t="s">
        <v>41</v>
      </c>
      <c r="G1485" s="279" t="s">
        <v>35</v>
      </c>
      <c r="H1485" s="272" t="s">
        <v>88</v>
      </c>
      <c r="I1485" s="273">
        <v>250</v>
      </c>
      <c r="J1485" s="270">
        <v>0</v>
      </c>
      <c r="K1485" s="270">
        <f t="shared" si="0"/>
        <v>0</v>
      </c>
      <c r="L1485" s="270">
        <v>0</v>
      </c>
      <c r="M1485" s="270">
        <v>0</v>
      </c>
      <c r="N1485" s="274"/>
      <c r="O1485" s="55"/>
      <c r="P1485" s="96"/>
      <c r="Q1485" s="270"/>
      <c r="R1485" s="275">
        <v>0</v>
      </c>
      <c r="S1485" s="270"/>
      <c r="T1485" s="270">
        <v>0</v>
      </c>
      <c r="U1485" s="57">
        <v>1</v>
      </c>
      <c r="V1485" s="276">
        <v>0</v>
      </c>
      <c r="W1485" s="276">
        <v>0</v>
      </c>
      <c r="X1485" s="270">
        <v>0</v>
      </c>
      <c r="Y1485" s="270">
        <v>0</v>
      </c>
      <c r="Z1485" s="45" t="b">
        <v>1</v>
      </c>
      <c r="AA1485" s="45" t="s">
        <v>38</v>
      </c>
      <c r="AB1485" s="45" t="s">
        <v>38</v>
      </c>
    </row>
    <row r="1486" spans="1:28" x14ac:dyDescent="0.2">
      <c r="A1486" s="279" t="s">
        <v>155</v>
      </c>
      <c r="B1486" s="279" t="s">
        <v>155</v>
      </c>
      <c r="C1486" s="282">
        <v>44713</v>
      </c>
      <c r="D1486" s="282">
        <v>44742</v>
      </c>
      <c r="E1486" s="279" t="s">
        <v>267</v>
      </c>
      <c r="F1486" s="133" t="s">
        <v>49</v>
      </c>
      <c r="G1486" s="270" t="s">
        <v>35</v>
      </c>
      <c r="H1486" s="289" t="s">
        <v>39</v>
      </c>
      <c r="I1486" s="280">
        <v>5</v>
      </c>
      <c r="J1486" s="279">
        <v>293</v>
      </c>
      <c r="K1486" s="270">
        <f t="shared" si="0"/>
        <v>1465</v>
      </c>
      <c r="L1486" s="279">
        <v>9971</v>
      </c>
      <c r="M1486" s="279">
        <v>270</v>
      </c>
      <c r="N1486" s="281">
        <v>69</v>
      </c>
      <c r="O1486" s="55"/>
      <c r="P1486" s="45">
        <v>69</v>
      </c>
      <c r="Q1486" s="279">
        <v>-39</v>
      </c>
      <c r="R1486" s="275">
        <v>-4.8690000000000001E-3</v>
      </c>
      <c r="S1486" s="279">
        <v>-46</v>
      </c>
      <c r="T1486" s="279">
        <v>23</v>
      </c>
      <c r="U1486" s="57">
        <v>1</v>
      </c>
      <c r="V1486" s="276">
        <v>0.3</v>
      </c>
      <c r="W1486" s="276">
        <v>0</v>
      </c>
      <c r="X1486" s="279">
        <v>16</v>
      </c>
      <c r="Y1486" s="279">
        <v>7</v>
      </c>
      <c r="Z1486" s="45" t="b">
        <v>1</v>
      </c>
      <c r="AA1486" s="45" t="s">
        <v>38</v>
      </c>
      <c r="AB1486" s="45" t="s">
        <v>38</v>
      </c>
    </row>
    <row r="1487" spans="1:28" x14ac:dyDescent="0.2">
      <c r="A1487" s="279" t="s">
        <v>155</v>
      </c>
      <c r="B1487" s="279" t="s">
        <v>155</v>
      </c>
      <c r="C1487" s="282">
        <v>44713</v>
      </c>
      <c r="D1487" s="282">
        <v>44742</v>
      </c>
      <c r="E1487" s="279" t="s">
        <v>267</v>
      </c>
      <c r="F1487" s="133" t="s">
        <v>49</v>
      </c>
      <c r="G1487" s="279" t="s">
        <v>69</v>
      </c>
      <c r="H1487" s="272" t="s">
        <v>122</v>
      </c>
      <c r="I1487" s="273">
        <v>3</v>
      </c>
      <c r="J1487" s="270">
        <v>15</v>
      </c>
      <c r="K1487" s="270">
        <f t="shared" si="0"/>
        <v>45</v>
      </c>
      <c r="L1487" s="270">
        <v>3894</v>
      </c>
      <c r="M1487" s="270">
        <v>33</v>
      </c>
      <c r="N1487" s="274"/>
      <c r="O1487" s="55"/>
      <c r="P1487" s="96"/>
      <c r="Q1487" s="270">
        <v>18</v>
      </c>
      <c r="R1487" s="275">
        <v>0</v>
      </c>
      <c r="S1487" s="270">
        <v>18</v>
      </c>
      <c r="T1487" s="270">
        <v>18</v>
      </c>
      <c r="U1487" s="57">
        <v>1</v>
      </c>
      <c r="V1487" s="276">
        <v>0.17</v>
      </c>
      <c r="W1487" s="276">
        <v>0</v>
      </c>
      <c r="X1487" s="270">
        <v>15</v>
      </c>
      <c r="Y1487" s="270">
        <v>3</v>
      </c>
      <c r="Z1487" s="45" t="b">
        <v>1</v>
      </c>
      <c r="AA1487" s="45" t="s">
        <v>38</v>
      </c>
      <c r="AB1487" s="45" t="s">
        <v>38</v>
      </c>
    </row>
    <row r="1488" spans="1:28" x14ac:dyDescent="0.2">
      <c r="A1488" s="279" t="s">
        <v>155</v>
      </c>
      <c r="B1488" s="279" t="s">
        <v>155</v>
      </c>
      <c r="C1488" s="282">
        <v>44713</v>
      </c>
      <c r="D1488" s="282">
        <v>44742</v>
      </c>
      <c r="E1488" s="279" t="s">
        <v>267</v>
      </c>
      <c r="F1488" s="133" t="s">
        <v>49</v>
      </c>
      <c r="G1488" s="279" t="s">
        <v>69</v>
      </c>
      <c r="H1488" s="289" t="s">
        <v>40</v>
      </c>
      <c r="I1488" s="273">
        <v>10</v>
      </c>
      <c r="J1488" s="270">
        <v>1856</v>
      </c>
      <c r="K1488" s="270">
        <f t="shared" si="0"/>
        <v>18560</v>
      </c>
      <c r="L1488" s="270">
        <v>114738</v>
      </c>
      <c r="M1488" s="270">
        <v>620</v>
      </c>
      <c r="N1488" s="274">
        <v>510</v>
      </c>
      <c r="O1488" s="55"/>
      <c r="P1488" s="45">
        <v>510</v>
      </c>
      <c r="Q1488" s="270">
        <v>957</v>
      </c>
      <c r="R1488" s="275">
        <v>2.2650000000000001E-3</v>
      </c>
      <c r="S1488" s="270">
        <v>999</v>
      </c>
      <c r="T1488" s="270">
        <v>1509</v>
      </c>
      <c r="U1488" s="57">
        <v>1</v>
      </c>
      <c r="V1488" s="276">
        <v>0.17</v>
      </c>
      <c r="W1488" s="276">
        <v>0</v>
      </c>
      <c r="X1488" s="270">
        <v>1252</v>
      </c>
      <c r="Y1488" s="270">
        <v>257</v>
      </c>
      <c r="Z1488" s="45" t="b">
        <v>1</v>
      </c>
      <c r="AA1488" s="45" t="s">
        <v>38</v>
      </c>
      <c r="AB1488" s="45" t="s">
        <v>38</v>
      </c>
    </row>
    <row r="1489" spans="1:28" x14ac:dyDescent="0.2">
      <c r="A1489" s="270" t="s">
        <v>157</v>
      </c>
      <c r="B1489" s="270" t="s">
        <v>157</v>
      </c>
      <c r="C1489" s="277">
        <v>44713</v>
      </c>
      <c r="D1489" s="277">
        <v>44742</v>
      </c>
      <c r="E1489" s="270" t="s">
        <v>267</v>
      </c>
      <c r="F1489" s="96" t="s">
        <v>41</v>
      </c>
      <c r="G1489" s="270" t="s">
        <v>53</v>
      </c>
      <c r="H1489" s="272" t="s">
        <v>54</v>
      </c>
      <c r="I1489" s="273">
        <v>5</v>
      </c>
      <c r="J1489" s="270">
        <v>8</v>
      </c>
      <c r="K1489" s="270">
        <f t="shared" si="0"/>
        <v>40</v>
      </c>
      <c r="L1489" s="270">
        <v>813</v>
      </c>
      <c r="M1489" s="270">
        <v>-1.01</v>
      </c>
      <c r="N1489" s="274"/>
      <c r="O1489" s="55">
        <v>0.5</v>
      </c>
      <c r="P1489" s="45">
        <v>1</v>
      </c>
      <c r="Q1489" s="270">
        <v>4</v>
      </c>
      <c r="R1489" s="275">
        <v>0</v>
      </c>
      <c r="S1489" s="270">
        <v>4</v>
      </c>
      <c r="T1489" s="270">
        <v>0</v>
      </c>
      <c r="U1489" s="57">
        <v>1.0529999999999999</v>
      </c>
      <c r="V1489" s="276">
        <v>0.23</v>
      </c>
      <c r="W1489" s="276">
        <v>0</v>
      </c>
      <c r="X1489" s="270">
        <v>0</v>
      </c>
      <c r="Y1489" s="270">
        <v>0</v>
      </c>
      <c r="Z1489" s="45" t="b">
        <v>1</v>
      </c>
      <c r="AA1489" s="45" t="s">
        <v>38</v>
      </c>
      <c r="AB1489" s="45" t="s">
        <v>50</v>
      </c>
    </row>
    <row r="1490" spans="1:28" x14ac:dyDescent="0.2">
      <c r="A1490" s="270" t="s">
        <v>157</v>
      </c>
      <c r="B1490" s="270" t="s">
        <v>157</v>
      </c>
      <c r="C1490" s="277">
        <v>44713</v>
      </c>
      <c r="D1490" s="277">
        <v>44742</v>
      </c>
      <c r="E1490" s="270" t="s">
        <v>267</v>
      </c>
      <c r="F1490" s="96" t="s">
        <v>41</v>
      </c>
      <c r="G1490" s="270" t="s">
        <v>53</v>
      </c>
      <c r="H1490" s="272" t="s">
        <v>55</v>
      </c>
      <c r="I1490" s="273">
        <v>10</v>
      </c>
      <c r="J1490" s="270">
        <v>10</v>
      </c>
      <c r="K1490" s="270">
        <f t="shared" si="0"/>
        <v>100</v>
      </c>
      <c r="L1490" s="270">
        <v>284</v>
      </c>
      <c r="M1490" s="270">
        <v>-2.52</v>
      </c>
      <c r="N1490" s="274"/>
      <c r="O1490" s="55">
        <v>0.5</v>
      </c>
      <c r="P1490" s="45">
        <v>4</v>
      </c>
      <c r="Q1490" s="270">
        <v>-2</v>
      </c>
      <c r="R1490" s="275">
        <v>0</v>
      </c>
      <c r="S1490" s="270">
        <v>-2</v>
      </c>
      <c r="T1490" s="270">
        <v>1</v>
      </c>
      <c r="U1490" s="57">
        <v>1.0529999999999999</v>
      </c>
      <c r="V1490" s="276">
        <v>0.23</v>
      </c>
      <c r="W1490" s="276">
        <v>0</v>
      </c>
      <c r="X1490" s="270">
        <v>1</v>
      </c>
      <c r="Y1490" s="270">
        <v>0</v>
      </c>
      <c r="Z1490" s="45" t="b">
        <v>1</v>
      </c>
      <c r="AA1490" s="45" t="s">
        <v>38</v>
      </c>
      <c r="AB1490" s="45" t="s">
        <v>50</v>
      </c>
    </row>
    <row r="1491" spans="1:28" x14ac:dyDescent="0.2">
      <c r="A1491" s="270" t="s">
        <v>157</v>
      </c>
      <c r="B1491" s="270" t="s">
        <v>157</v>
      </c>
      <c r="C1491" s="277">
        <v>44713</v>
      </c>
      <c r="D1491" s="277">
        <v>44742</v>
      </c>
      <c r="E1491" s="270" t="s">
        <v>267</v>
      </c>
      <c r="F1491" s="96" t="s">
        <v>41</v>
      </c>
      <c r="G1491" s="270" t="s">
        <v>53</v>
      </c>
      <c r="H1491" s="272" t="s">
        <v>56</v>
      </c>
      <c r="I1491" s="273">
        <v>20</v>
      </c>
      <c r="J1491" s="270">
        <v>1305</v>
      </c>
      <c r="K1491" s="270">
        <f t="shared" si="0"/>
        <v>26100</v>
      </c>
      <c r="L1491" s="270">
        <v>69594</v>
      </c>
      <c r="M1491" s="270">
        <v>-658.47</v>
      </c>
      <c r="N1491" s="274"/>
      <c r="O1491" s="55">
        <v>0.5</v>
      </c>
      <c r="P1491" s="45">
        <v>914</v>
      </c>
      <c r="Q1491" s="270">
        <v>562</v>
      </c>
      <c r="R1491" s="275">
        <v>0</v>
      </c>
      <c r="S1491" s="270">
        <v>562</v>
      </c>
      <c r="T1491" s="270">
        <v>255</v>
      </c>
      <c r="U1491" s="57">
        <v>1.0529999999999999</v>
      </c>
      <c r="V1491" s="276">
        <v>0.23</v>
      </c>
      <c r="W1491" s="276">
        <v>0</v>
      </c>
      <c r="X1491" s="270">
        <v>207</v>
      </c>
      <c r="Y1491" s="270">
        <v>62</v>
      </c>
      <c r="Z1491" s="45" t="b">
        <v>1</v>
      </c>
      <c r="AA1491" s="45" t="s">
        <v>38</v>
      </c>
      <c r="AB1491" s="45" t="s">
        <v>50</v>
      </c>
    </row>
    <row r="1492" spans="1:28" x14ac:dyDescent="0.2">
      <c r="A1492" s="270" t="s">
        <v>157</v>
      </c>
      <c r="B1492" s="270" t="s">
        <v>157</v>
      </c>
      <c r="C1492" s="277">
        <v>44713</v>
      </c>
      <c r="D1492" s="277">
        <v>44742</v>
      </c>
      <c r="E1492" s="270" t="s">
        <v>267</v>
      </c>
      <c r="F1492" s="96" t="s">
        <v>41</v>
      </c>
      <c r="G1492" s="270" t="s">
        <v>35</v>
      </c>
      <c r="H1492" s="272" t="s">
        <v>46</v>
      </c>
      <c r="I1492" s="273">
        <v>25</v>
      </c>
      <c r="J1492" s="270">
        <v>972</v>
      </c>
      <c r="K1492" s="270">
        <f t="shared" si="0"/>
        <v>24300</v>
      </c>
      <c r="L1492" s="270">
        <v>69599</v>
      </c>
      <c r="M1492" s="270">
        <v>775</v>
      </c>
      <c r="N1492" s="274">
        <v>270</v>
      </c>
      <c r="O1492" s="55"/>
      <c r="P1492" s="45">
        <v>270</v>
      </c>
      <c r="Q1492" s="270">
        <v>1671</v>
      </c>
      <c r="R1492" s="275">
        <v>0</v>
      </c>
      <c r="S1492" s="270">
        <v>1671</v>
      </c>
      <c r="T1492" s="270">
        <v>1045</v>
      </c>
      <c r="U1492" s="57">
        <v>1</v>
      </c>
      <c r="V1492" s="276">
        <v>0.23</v>
      </c>
      <c r="W1492" s="276">
        <v>0</v>
      </c>
      <c r="X1492" s="270">
        <v>805</v>
      </c>
      <c r="Y1492" s="270">
        <v>240</v>
      </c>
      <c r="Z1492" s="45" t="b">
        <v>1</v>
      </c>
      <c r="AA1492" s="45" t="s">
        <v>38</v>
      </c>
      <c r="AB1492" s="45" t="s">
        <v>38</v>
      </c>
    </row>
    <row r="1493" spans="1:28" x14ac:dyDescent="0.2">
      <c r="A1493" s="270" t="s">
        <v>157</v>
      </c>
      <c r="B1493" s="270" t="s">
        <v>157</v>
      </c>
      <c r="C1493" s="277">
        <v>44713</v>
      </c>
      <c r="D1493" s="277">
        <v>44742</v>
      </c>
      <c r="E1493" s="270" t="s">
        <v>267</v>
      </c>
      <c r="F1493" s="96" t="s">
        <v>41</v>
      </c>
      <c r="G1493" s="270" t="s">
        <v>35</v>
      </c>
      <c r="H1493" s="272" t="s">
        <v>72</v>
      </c>
      <c r="I1493" s="273">
        <v>50</v>
      </c>
      <c r="J1493" s="270">
        <v>1</v>
      </c>
      <c r="K1493" s="270">
        <f t="shared" si="0"/>
        <v>50</v>
      </c>
      <c r="L1493" s="270">
        <v>-518</v>
      </c>
      <c r="M1493" s="270">
        <v>-50</v>
      </c>
      <c r="N1493" s="274">
        <v>2</v>
      </c>
      <c r="O1493" s="55"/>
      <c r="P1493" s="45">
        <v>2</v>
      </c>
      <c r="Q1493" s="270">
        <v>-51</v>
      </c>
      <c r="R1493" s="275">
        <v>0</v>
      </c>
      <c r="S1493" s="270">
        <v>-51</v>
      </c>
      <c r="T1493" s="270">
        <v>-48</v>
      </c>
      <c r="U1493" s="57">
        <v>1</v>
      </c>
      <c r="V1493" s="276">
        <v>0.23</v>
      </c>
      <c r="W1493" s="276">
        <v>0</v>
      </c>
      <c r="X1493" s="270">
        <v>-37</v>
      </c>
      <c r="Y1493" s="270">
        <v>-11</v>
      </c>
      <c r="Z1493" s="45" t="b">
        <v>1</v>
      </c>
      <c r="AA1493" s="45" t="s">
        <v>38</v>
      </c>
      <c r="AB1493" s="45" t="s">
        <v>38</v>
      </c>
    </row>
    <row r="1494" spans="1:28" x14ac:dyDescent="0.2">
      <c r="A1494" s="279" t="s">
        <v>150</v>
      </c>
      <c r="B1494" s="279" t="s">
        <v>150</v>
      </c>
      <c r="C1494" s="282">
        <v>44715</v>
      </c>
      <c r="D1494" s="282">
        <v>44742</v>
      </c>
      <c r="E1494" s="279" t="s">
        <v>267</v>
      </c>
      <c r="F1494" s="133" t="s">
        <v>41</v>
      </c>
      <c r="G1494" s="279" t="s">
        <v>53</v>
      </c>
      <c r="H1494" s="289" t="s">
        <v>54</v>
      </c>
      <c r="I1494" s="280">
        <v>5</v>
      </c>
      <c r="J1494" s="279">
        <v>231</v>
      </c>
      <c r="K1494" s="270">
        <f t="shared" si="0"/>
        <v>1155</v>
      </c>
      <c r="L1494" s="279">
        <v>20860</v>
      </c>
      <c r="M1494" s="279">
        <f>45-40</f>
        <v>5</v>
      </c>
      <c r="N1494" s="281"/>
      <c r="O1494" s="55">
        <v>0.5</v>
      </c>
      <c r="P1494" s="45">
        <v>40</v>
      </c>
      <c r="Q1494" s="279">
        <v>104</v>
      </c>
      <c r="R1494" s="275">
        <v>0</v>
      </c>
      <c r="S1494" s="279">
        <v>104</v>
      </c>
      <c r="T1494" s="279">
        <v>45</v>
      </c>
      <c r="U1494" s="57">
        <v>1</v>
      </c>
      <c r="V1494" s="276">
        <v>0.23</v>
      </c>
      <c r="W1494" s="276">
        <v>0</v>
      </c>
      <c r="X1494" s="279">
        <v>35</v>
      </c>
      <c r="Y1494" s="279">
        <v>10</v>
      </c>
      <c r="Z1494" s="45" t="b">
        <v>1</v>
      </c>
      <c r="AA1494" s="45" t="s">
        <v>38</v>
      </c>
      <c r="AB1494" s="45" t="s">
        <v>38</v>
      </c>
    </row>
    <row r="1495" spans="1:28" x14ac:dyDescent="0.2">
      <c r="A1495" s="279" t="s">
        <v>150</v>
      </c>
      <c r="B1495" s="279" t="s">
        <v>150</v>
      </c>
      <c r="C1495" s="282">
        <v>44715</v>
      </c>
      <c r="D1495" s="282">
        <v>44742</v>
      </c>
      <c r="E1495" s="279" t="s">
        <v>267</v>
      </c>
      <c r="F1495" s="133" t="s">
        <v>41</v>
      </c>
      <c r="G1495" s="279" t="s">
        <v>53</v>
      </c>
      <c r="H1495" s="289" t="s">
        <v>55</v>
      </c>
      <c r="I1495" s="280">
        <v>10</v>
      </c>
      <c r="J1495" s="279">
        <v>1121</v>
      </c>
      <c r="K1495" s="270">
        <f t="shared" si="0"/>
        <v>11210</v>
      </c>
      <c r="L1495" s="279">
        <v>54452</v>
      </c>
      <c r="M1495" s="279">
        <f>437-300</f>
        <v>137</v>
      </c>
      <c r="N1495" s="281"/>
      <c r="O1495" s="55">
        <v>0.5</v>
      </c>
      <c r="P1495" s="45">
        <v>392</v>
      </c>
      <c r="Q1495" s="279">
        <v>146</v>
      </c>
      <c r="R1495" s="275">
        <v>0</v>
      </c>
      <c r="S1495" s="279">
        <v>146</v>
      </c>
      <c r="T1495" s="279">
        <v>529</v>
      </c>
      <c r="U1495" s="57">
        <v>1</v>
      </c>
      <c r="V1495" s="276">
        <v>0.23</v>
      </c>
      <c r="W1495" s="276">
        <v>0</v>
      </c>
      <c r="X1495" s="279">
        <v>408</v>
      </c>
      <c r="Y1495" s="279">
        <v>122</v>
      </c>
      <c r="Z1495" s="45" t="b">
        <v>1</v>
      </c>
      <c r="AA1495" s="45" t="s">
        <v>38</v>
      </c>
      <c r="AB1495" s="45" t="s">
        <v>38</v>
      </c>
    </row>
    <row r="1496" spans="1:28" x14ac:dyDescent="0.2">
      <c r="A1496" s="279" t="s">
        <v>150</v>
      </c>
      <c r="B1496" s="279" t="s">
        <v>150</v>
      </c>
      <c r="C1496" s="282">
        <v>44715</v>
      </c>
      <c r="D1496" s="282">
        <v>44742</v>
      </c>
      <c r="E1496" s="279" t="s">
        <v>267</v>
      </c>
      <c r="F1496" s="133" t="s">
        <v>41</v>
      </c>
      <c r="G1496" s="279" t="s">
        <v>53</v>
      </c>
      <c r="H1496" s="289" t="s">
        <v>56</v>
      </c>
      <c r="I1496" s="280">
        <v>20</v>
      </c>
      <c r="J1496" s="279">
        <v>25</v>
      </c>
      <c r="K1496" s="270">
        <f t="shared" si="0"/>
        <v>500</v>
      </c>
      <c r="L1496" s="279">
        <v>4679</v>
      </c>
      <c r="M1496" s="279">
        <v>0</v>
      </c>
      <c r="N1496" s="281"/>
      <c r="O1496" s="55">
        <v>0.5</v>
      </c>
      <c r="P1496" s="45">
        <v>18</v>
      </c>
      <c r="Q1496" s="279">
        <v>134</v>
      </c>
      <c r="R1496" s="275">
        <v>0</v>
      </c>
      <c r="S1496" s="279">
        <v>134</v>
      </c>
      <c r="T1496" s="279">
        <v>18</v>
      </c>
      <c r="U1496" s="57">
        <v>1</v>
      </c>
      <c r="V1496" s="276">
        <v>0.23</v>
      </c>
      <c r="W1496" s="276">
        <v>0</v>
      </c>
      <c r="X1496" s="279">
        <v>13</v>
      </c>
      <c r="Y1496" s="279">
        <v>4</v>
      </c>
      <c r="Z1496" s="45" t="b">
        <v>1</v>
      </c>
      <c r="AA1496" s="45" t="s">
        <v>38</v>
      </c>
      <c r="AB1496" s="45" t="s">
        <v>38</v>
      </c>
    </row>
    <row r="1497" spans="1:28" x14ac:dyDescent="0.2">
      <c r="A1497" s="279" t="s">
        <v>447</v>
      </c>
      <c r="B1497" s="279" t="s">
        <v>66</v>
      </c>
      <c r="C1497" s="282">
        <v>44713</v>
      </c>
      <c r="D1497" s="282">
        <v>44742</v>
      </c>
      <c r="E1497" s="279" t="s">
        <v>300</v>
      </c>
      <c r="F1497" s="133" t="s">
        <v>49</v>
      </c>
      <c r="G1497" s="279" t="s">
        <v>61</v>
      </c>
      <c r="H1497" s="289" t="s">
        <v>59</v>
      </c>
      <c r="I1497" s="280">
        <v>100</v>
      </c>
      <c r="J1497" s="279">
        <v>399</v>
      </c>
      <c r="K1497" s="270">
        <f t="shared" si="0"/>
        <v>39900</v>
      </c>
      <c r="L1497" s="279">
        <v>9261</v>
      </c>
      <c r="M1497" s="279">
        <v>-3000</v>
      </c>
      <c r="N1497" s="281">
        <f>23999.83-300</f>
        <v>23699.83</v>
      </c>
      <c r="O1497" s="55"/>
      <c r="P1497" s="105">
        <v>23700</v>
      </c>
      <c r="Q1497" s="279">
        <v>-1850</v>
      </c>
      <c r="R1497" s="275">
        <v>-4.8919999999999996E-3</v>
      </c>
      <c r="S1497" s="279">
        <v>-2045</v>
      </c>
      <c r="T1497" s="279">
        <v>21655</v>
      </c>
      <c r="U1497" s="57">
        <v>1</v>
      </c>
      <c r="V1497" s="276">
        <v>0.16500000000000001</v>
      </c>
      <c r="W1497" s="276">
        <v>5.5E-2</v>
      </c>
      <c r="X1497" s="279">
        <v>16891</v>
      </c>
      <c r="Y1497" s="279">
        <v>4764</v>
      </c>
      <c r="Z1497" s="45" t="b">
        <v>1</v>
      </c>
      <c r="AA1497" s="45" t="s">
        <v>50</v>
      </c>
      <c r="AB1497" s="45" t="s">
        <v>50</v>
      </c>
    </row>
    <row r="1498" spans="1:28" x14ac:dyDescent="0.2">
      <c r="A1498" s="279" t="s">
        <v>447</v>
      </c>
      <c r="B1498" s="279" t="s">
        <v>66</v>
      </c>
      <c r="C1498" s="282">
        <v>44713</v>
      </c>
      <c r="D1498" s="282">
        <v>44742</v>
      </c>
      <c r="E1498" s="279" t="s">
        <v>300</v>
      </c>
      <c r="F1498" s="133" t="s">
        <v>49</v>
      </c>
      <c r="G1498" s="279" t="s">
        <v>61</v>
      </c>
      <c r="H1498" s="289" t="s">
        <v>135</v>
      </c>
      <c r="I1498" s="280">
        <v>250</v>
      </c>
      <c r="J1498" s="279">
        <v>1507</v>
      </c>
      <c r="K1498" s="270">
        <f t="shared" si="0"/>
        <v>376750</v>
      </c>
      <c r="L1498" s="279">
        <v>66203</v>
      </c>
      <c r="M1498" s="279">
        <v>7500</v>
      </c>
      <c r="N1498" s="281">
        <f>2600.17-50</f>
        <v>2550.17</v>
      </c>
      <c r="O1498" s="55"/>
      <c r="P1498" s="105">
        <v>2550</v>
      </c>
      <c r="Q1498" s="279">
        <v>995</v>
      </c>
      <c r="R1498" s="275">
        <v>-5.1479999999999998E-3</v>
      </c>
      <c r="S1498" s="279">
        <v>-945</v>
      </c>
      <c r="T1498" s="279">
        <v>1605</v>
      </c>
      <c r="U1498" s="57">
        <v>1</v>
      </c>
      <c r="V1498" s="276">
        <v>0.16500000000000001</v>
      </c>
      <c r="W1498" s="276">
        <v>5.5E-2</v>
      </c>
      <c r="X1498" s="279">
        <v>1252</v>
      </c>
      <c r="Y1498" s="279">
        <v>353</v>
      </c>
      <c r="Z1498" s="45" t="b">
        <v>1</v>
      </c>
      <c r="AA1498" s="45" t="s">
        <v>50</v>
      </c>
      <c r="AB1498" s="45" t="s">
        <v>50</v>
      </c>
    </row>
    <row r="1499" spans="1:28" x14ac:dyDescent="0.2">
      <c r="A1499" s="279" t="s">
        <v>447</v>
      </c>
      <c r="B1499" s="279" t="s">
        <v>66</v>
      </c>
      <c r="C1499" s="282">
        <v>44713</v>
      </c>
      <c r="D1499" s="282">
        <v>44742</v>
      </c>
      <c r="E1499" s="279" t="s">
        <v>300</v>
      </c>
      <c r="F1499" s="133" t="s">
        <v>49</v>
      </c>
      <c r="G1499" s="279" t="s">
        <v>61</v>
      </c>
      <c r="H1499" s="289" t="s">
        <v>100</v>
      </c>
      <c r="I1499" s="280">
        <v>500</v>
      </c>
      <c r="J1499" s="279">
        <v>493</v>
      </c>
      <c r="K1499" s="270">
        <f t="shared" si="0"/>
        <v>246500</v>
      </c>
      <c r="L1499" s="279">
        <v>24751</v>
      </c>
      <c r="M1499" s="279">
        <v>-2000</v>
      </c>
      <c r="N1499" s="281">
        <v>0</v>
      </c>
      <c r="O1499" s="55"/>
      <c r="P1499" s="45">
        <v>0</v>
      </c>
      <c r="Q1499" s="279">
        <v>3484</v>
      </c>
      <c r="R1499" s="275">
        <v>-5.2050000000000004E-3</v>
      </c>
      <c r="S1499" s="279">
        <v>2201</v>
      </c>
      <c r="T1499" s="279">
        <v>2201</v>
      </c>
      <c r="U1499" s="57">
        <v>1</v>
      </c>
      <c r="V1499" s="276">
        <v>0.16500000000000001</v>
      </c>
      <c r="W1499" s="276">
        <v>5.5E-2</v>
      </c>
      <c r="X1499" s="279">
        <v>1717</v>
      </c>
      <c r="Y1499" s="279">
        <v>484</v>
      </c>
      <c r="Z1499" s="45" t="b">
        <v>1</v>
      </c>
      <c r="AA1499" s="45" t="s">
        <v>50</v>
      </c>
      <c r="AB1499" s="45" t="s">
        <v>50</v>
      </c>
    </row>
    <row r="1500" spans="1:28" x14ac:dyDescent="0.2">
      <c r="A1500" s="96" t="s">
        <v>152</v>
      </c>
      <c r="B1500" s="96" t="s">
        <v>152</v>
      </c>
      <c r="C1500" s="277">
        <v>44713</v>
      </c>
      <c r="D1500" s="277">
        <v>44742</v>
      </c>
      <c r="E1500" s="270" t="s">
        <v>267</v>
      </c>
      <c r="F1500" s="96" t="s">
        <v>49</v>
      </c>
      <c r="G1500" s="270" t="s">
        <v>80</v>
      </c>
      <c r="H1500" s="110" t="s">
        <v>70</v>
      </c>
      <c r="I1500" s="273">
        <v>100</v>
      </c>
      <c r="J1500" s="270">
        <v>8918</v>
      </c>
      <c r="K1500" s="270">
        <f t="shared" si="0"/>
        <v>891800</v>
      </c>
      <c r="L1500" s="270">
        <v>45269</v>
      </c>
      <c r="M1500" s="270">
        <v>-83600</v>
      </c>
      <c r="N1500" s="274">
        <v>50585.24</v>
      </c>
      <c r="O1500" s="55"/>
      <c r="P1500" s="105">
        <v>50585</v>
      </c>
      <c r="Q1500" s="270">
        <v>-52342</v>
      </c>
      <c r="R1500" s="275">
        <v>-7.0740000000000004E-3</v>
      </c>
      <c r="S1500" s="270">
        <v>-58650</v>
      </c>
      <c r="T1500" s="270">
        <v>-8065</v>
      </c>
      <c r="U1500" s="57">
        <v>1</v>
      </c>
      <c r="V1500" s="276">
        <v>0.15</v>
      </c>
      <c r="W1500" s="276">
        <v>0</v>
      </c>
      <c r="X1500" s="270">
        <v>-6855</v>
      </c>
      <c r="Y1500" s="270">
        <v>-1210</v>
      </c>
      <c r="Z1500" s="45" t="b">
        <v>1</v>
      </c>
      <c r="AA1500" s="45" t="s">
        <v>38</v>
      </c>
      <c r="AB1500" s="45" t="s">
        <v>38</v>
      </c>
    </row>
    <row r="1501" spans="1:28" x14ac:dyDescent="0.2">
      <c r="A1501" s="96" t="s">
        <v>152</v>
      </c>
      <c r="B1501" s="96" t="s">
        <v>152</v>
      </c>
      <c r="C1501" s="277">
        <v>44713</v>
      </c>
      <c r="D1501" s="277">
        <v>44742</v>
      </c>
      <c r="E1501" s="270" t="s">
        <v>267</v>
      </c>
      <c r="F1501" s="96" t="s">
        <v>41</v>
      </c>
      <c r="G1501" s="270" t="s">
        <v>80</v>
      </c>
      <c r="H1501" s="110" t="s">
        <v>153</v>
      </c>
      <c r="I1501" s="273">
        <v>200</v>
      </c>
      <c r="J1501" s="270">
        <v>217</v>
      </c>
      <c r="K1501" s="270">
        <f t="shared" si="0"/>
        <v>43400</v>
      </c>
      <c r="L1501" s="270">
        <v>-767</v>
      </c>
      <c r="M1501" s="270">
        <v>-3200</v>
      </c>
      <c r="N1501" s="274">
        <v>2461.7600000000002</v>
      </c>
      <c r="O1501" s="55"/>
      <c r="P1501" s="105">
        <v>2462</v>
      </c>
      <c r="Q1501" s="270">
        <v>-3624</v>
      </c>
      <c r="R1501" s="275">
        <v>0</v>
      </c>
      <c r="S1501" s="270">
        <v>-3624</v>
      </c>
      <c r="T1501" s="270">
        <v>-738</v>
      </c>
      <c r="U1501" s="57">
        <v>1</v>
      </c>
      <c r="V1501" s="276">
        <v>0.15</v>
      </c>
      <c r="W1501" s="276">
        <v>0</v>
      </c>
      <c r="X1501" s="270">
        <v>-628</v>
      </c>
      <c r="Y1501" s="270">
        <v>-111</v>
      </c>
      <c r="Z1501" s="45" t="b">
        <v>1</v>
      </c>
      <c r="AA1501" s="45" t="s">
        <v>38</v>
      </c>
      <c r="AB1501" s="45" t="s">
        <v>38</v>
      </c>
    </row>
    <row r="1502" spans="1:28" x14ac:dyDescent="0.2">
      <c r="A1502" s="279" t="s">
        <v>456</v>
      </c>
      <c r="B1502" s="279" t="s">
        <v>110</v>
      </c>
      <c r="C1502" s="282">
        <v>44713</v>
      </c>
      <c r="D1502" s="282">
        <v>44742</v>
      </c>
      <c r="E1502" s="279" t="s">
        <v>267</v>
      </c>
      <c r="F1502" s="133" t="s">
        <v>41</v>
      </c>
      <c r="G1502" s="279" t="s">
        <v>61</v>
      </c>
      <c r="H1502" s="289" t="s">
        <v>132</v>
      </c>
      <c r="I1502" s="280">
        <v>5</v>
      </c>
      <c r="J1502" s="279">
        <v>1119</v>
      </c>
      <c r="K1502" s="270">
        <f t="shared" si="0"/>
        <v>5595</v>
      </c>
      <c r="L1502" s="279">
        <v>41150</v>
      </c>
      <c r="M1502" s="279">
        <v>-300</v>
      </c>
      <c r="N1502" s="281">
        <v>95.86</v>
      </c>
      <c r="O1502" s="55"/>
      <c r="P1502" s="45">
        <v>96</v>
      </c>
      <c r="Q1502" s="279">
        <v>-132</v>
      </c>
      <c r="R1502" s="275">
        <v>0</v>
      </c>
      <c r="S1502" s="279">
        <v>-132</v>
      </c>
      <c r="T1502" s="279">
        <v>-204</v>
      </c>
      <c r="U1502" s="57">
        <v>1</v>
      </c>
      <c r="V1502" s="276">
        <v>0.25</v>
      </c>
      <c r="W1502" s="276">
        <v>0</v>
      </c>
      <c r="X1502" s="279">
        <v>-153</v>
      </c>
      <c r="Y1502" s="279">
        <v>-51</v>
      </c>
      <c r="Z1502" s="45" t="b">
        <v>1</v>
      </c>
      <c r="AA1502" s="45" t="s">
        <v>50</v>
      </c>
      <c r="AB1502" s="45" t="s">
        <v>50</v>
      </c>
    </row>
    <row r="1503" spans="1:28" x14ac:dyDescent="0.2">
      <c r="A1503" s="279" t="s">
        <v>456</v>
      </c>
      <c r="B1503" s="279" t="s">
        <v>110</v>
      </c>
      <c r="C1503" s="282">
        <v>44713</v>
      </c>
      <c r="D1503" s="282">
        <v>44742</v>
      </c>
      <c r="E1503" s="279" t="s">
        <v>267</v>
      </c>
      <c r="F1503" s="133" t="s">
        <v>41</v>
      </c>
      <c r="G1503" s="279" t="s">
        <v>61</v>
      </c>
      <c r="H1503" s="289" t="s">
        <v>227</v>
      </c>
      <c r="I1503" s="280">
        <v>10</v>
      </c>
      <c r="J1503" s="279">
        <v>56</v>
      </c>
      <c r="K1503" s="270">
        <f t="shared" si="0"/>
        <v>560</v>
      </c>
      <c r="L1503" s="279">
        <v>1655</v>
      </c>
      <c r="M1503" s="279">
        <v>50</v>
      </c>
      <c r="N1503" s="281">
        <v>0.14000000000000001</v>
      </c>
      <c r="O1503" s="55"/>
      <c r="P1503" s="45">
        <v>0</v>
      </c>
      <c r="Q1503" s="279">
        <v>-20</v>
      </c>
      <c r="R1503" s="275">
        <v>0</v>
      </c>
      <c r="S1503" s="279">
        <v>-20</v>
      </c>
      <c r="T1503" s="279">
        <v>50</v>
      </c>
      <c r="U1503" s="57">
        <v>1</v>
      </c>
      <c r="V1503" s="276">
        <v>0.25</v>
      </c>
      <c r="W1503" s="276">
        <v>0</v>
      </c>
      <c r="X1503" s="279">
        <v>38</v>
      </c>
      <c r="Y1503" s="279">
        <v>13</v>
      </c>
      <c r="Z1503" s="45" t="b">
        <v>1</v>
      </c>
      <c r="AA1503" s="45" t="s">
        <v>50</v>
      </c>
      <c r="AB1503" s="45" t="s">
        <v>50</v>
      </c>
    </row>
    <row r="1504" spans="1:28" x14ac:dyDescent="0.2">
      <c r="A1504" s="96" t="s">
        <v>175</v>
      </c>
      <c r="B1504" s="96" t="s">
        <v>175</v>
      </c>
      <c r="C1504" s="277">
        <v>44713</v>
      </c>
      <c r="D1504" s="277">
        <v>44742</v>
      </c>
      <c r="E1504" s="279" t="s">
        <v>267</v>
      </c>
      <c r="F1504" s="133" t="s">
        <v>49</v>
      </c>
      <c r="G1504" s="270" t="s">
        <v>35</v>
      </c>
      <c r="H1504" s="272" t="s">
        <v>72</v>
      </c>
      <c r="I1504" s="273">
        <v>50</v>
      </c>
      <c r="J1504" s="270">
        <v>275</v>
      </c>
      <c r="K1504" s="270">
        <f t="shared" si="0"/>
        <v>13750</v>
      </c>
      <c r="L1504" s="270">
        <v>-1134</v>
      </c>
      <c r="M1504" s="270">
        <v>-1050</v>
      </c>
      <c r="N1504" s="274">
        <v>512</v>
      </c>
      <c r="O1504" s="55"/>
      <c r="P1504" s="45">
        <v>512</v>
      </c>
      <c r="Q1504" s="270">
        <v>-985</v>
      </c>
      <c r="R1504" s="275">
        <v>-4.79E-3</v>
      </c>
      <c r="S1504" s="270">
        <v>-1051</v>
      </c>
      <c r="T1504" s="270">
        <v>-539</v>
      </c>
      <c r="U1504" s="57">
        <v>1</v>
      </c>
      <c r="V1504" s="276">
        <v>0.25</v>
      </c>
      <c r="W1504" s="276">
        <v>0</v>
      </c>
      <c r="X1504" s="270">
        <v>-404</v>
      </c>
      <c r="Y1504" s="270">
        <v>-135</v>
      </c>
      <c r="Z1504" s="45" t="b">
        <v>1</v>
      </c>
      <c r="AA1504" s="45" t="s">
        <v>38</v>
      </c>
      <c r="AB1504" s="45" t="s">
        <v>38</v>
      </c>
    </row>
    <row r="1505" spans="1:28" x14ac:dyDescent="0.2">
      <c r="A1505" s="96" t="s">
        <v>175</v>
      </c>
      <c r="B1505" s="96" t="s">
        <v>175</v>
      </c>
      <c r="C1505" s="277">
        <v>44713</v>
      </c>
      <c r="D1505" s="277">
        <v>44742</v>
      </c>
      <c r="E1505" s="279" t="s">
        <v>267</v>
      </c>
      <c r="F1505" s="133" t="s">
        <v>49</v>
      </c>
      <c r="G1505" s="270" t="s">
        <v>35</v>
      </c>
      <c r="H1505" s="272" t="s">
        <v>85</v>
      </c>
      <c r="I1505" s="273">
        <v>50</v>
      </c>
      <c r="J1505" s="270">
        <v>1229</v>
      </c>
      <c r="K1505" s="270">
        <f t="shared" si="0"/>
        <v>61450</v>
      </c>
      <c r="L1505" s="270">
        <v>1202</v>
      </c>
      <c r="M1505" s="270">
        <v>-600</v>
      </c>
      <c r="N1505" s="274">
        <v>2288</v>
      </c>
      <c r="O1505" s="55"/>
      <c r="P1505" s="105">
        <v>2288</v>
      </c>
      <c r="Q1505" s="270">
        <v>-3747</v>
      </c>
      <c r="R1505" s="275">
        <v>-4.816E-3</v>
      </c>
      <c r="S1505" s="270">
        <v>-4043</v>
      </c>
      <c r="T1505" s="270">
        <v>-1755</v>
      </c>
      <c r="U1505" s="57">
        <v>1</v>
      </c>
      <c r="V1505" s="276">
        <v>0.25</v>
      </c>
      <c r="W1505" s="276">
        <v>0</v>
      </c>
      <c r="X1505" s="270">
        <v>-1316</v>
      </c>
      <c r="Y1505" s="270">
        <v>-439</v>
      </c>
      <c r="Z1505" s="45" t="b">
        <v>1</v>
      </c>
      <c r="AA1505" s="45" t="s">
        <v>38</v>
      </c>
      <c r="AB1505" s="45" t="s">
        <v>38</v>
      </c>
    </row>
    <row r="1506" spans="1:28" x14ac:dyDescent="0.2">
      <c r="A1506" s="279" t="s">
        <v>144</v>
      </c>
      <c r="B1506" s="279" t="s">
        <v>144</v>
      </c>
      <c r="C1506" s="277">
        <v>44713</v>
      </c>
      <c r="D1506" s="277">
        <v>44742</v>
      </c>
      <c r="E1506" s="270" t="s">
        <v>267</v>
      </c>
      <c r="F1506" s="96" t="s">
        <v>49</v>
      </c>
      <c r="G1506" s="279" t="s">
        <v>35</v>
      </c>
      <c r="H1506" s="272" t="s">
        <v>46</v>
      </c>
      <c r="I1506" s="273">
        <v>25</v>
      </c>
      <c r="J1506" s="270">
        <v>2074</v>
      </c>
      <c r="K1506" s="270">
        <f t="shared" si="0"/>
        <v>51850</v>
      </c>
      <c r="L1506" s="270">
        <v>77743</v>
      </c>
      <c r="M1506" s="270">
        <v>2575</v>
      </c>
      <c r="N1506" s="274">
        <v>1763</v>
      </c>
      <c r="O1506" s="55"/>
      <c r="P1506" s="105">
        <v>1763</v>
      </c>
      <c r="Q1506" s="270">
        <v>286</v>
      </c>
      <c r="R1506" s="275">
        <v>-5.1799999999999997E-3</v>
      </c>
      <c r="S1506" s="270">
        <v>17</v>
      </c>
      <c r="T1506" s="270">
        <v>1780</v>
      </c>
      <c r="U1506" s="57">
        <v>1</v>
      </c>
      <c r="V1506" s="276">
        <v>0.15</v>
      </c>
      <c r="W1506" s="276">
        <v>0</v>
      </c>
      <c r="X1506" s="270">
        <v>1513</v>
      </c>
      <c r="Y1506" s="270">
        <v>267</v>
      </c>
      <c r="Z1506" s="45" t="b">
        <v>1</v>
      </c>
      <c r="AA1506" s="45" t="s">
        <v>38</v>
      </c>
      <c r="AB1506" s="45" t="s">
        <v>38</v>
      </c>
    </row>
    <row r="1507" spans="1:28" x14ac:dyDescent="0.2">
      <c r="A1507" s="279" t="s">
        <v>144</v>
      </c>
      <c r="B1507" s="279" t="s">
        <v>144</v>
      </c>
      <c r="C1507" s="277">
        <v>44737</v>
      </c>
      <c r="D1507" s="277">
        <v>44742</v>
      </c>
      <c r="E1507" s="270" t="s">
        <v>267</v>
      </c>
      <c r="F1507" s="96" t="s">
        <v>49</v>
      </c>
      <c r="G1507" s="279" t="s">
        <v>35</v>
      </c>
      <c r="H1507" s="272" t="s">
        <v>72</v>
      </c>
      <c r="I1507" s="273">
        <v>50</v>
      </c>
      <c r="J1507" s="270">
        <v>378</v>
      </c>
      <c r="K1507" s="270">
        <f t="shared" si="0"/>
        <v>18900</v>
      </c>
      <c r="L1507" s="270">
        <v>29319</v>
      </c>
      <c r="M1507" s="270">
        <v>1750</v>
      </c>
      <c r="N1507" s="274">
        <f>787-44</f>
        <v>743</v>
      </c>
      <c r="O1507" s="55"/>
      <c r="P1507" s="45">
        <v>743</v>
      </c>
      <c r="Q1507" s="270">
        <v>1509</v>
      </c>
      <c r="R1507" s="275">
        <v>-5.5399999999999998E-3</v>
      </c>
      <c r="S1507" s="270">
        <v>1404</v>
      </c>
      <c r="T1507" s="270">
        <v>2147</v>
      </c>
      <c r="U1507" s="57">
        <v>1</v>
      </c>
      <c r="V1507" s="276">
        <v>0.15</v>
      </c>
      <c r="W1507" s="276">
        <v>0</v>
      </c>
      <c r="X1507" s="270">
        <v>1825</v>
      </c>
      <c r="Y1507" s="270">
        <v>322</v>
      </c>
      <c r="Z1507" s="45" t="b">
        <v>1</v>
      </c>
      <c r="AA1507" s="45" t="s">
        <v>38</v>
      </c>
      <c r="AB1507" s="45" t="s">
        <v>38</v>
      </c>
    </row>
    <row r="1508" spans="1:28" x14ac:dyDescent="0.2">
      <c r="A1508" s="270" t="s">
        <v>189</v>
      </c>
      <c r="B1508" s="270" t="s">
        <v>189</v>
      </c>
      <c r="C1508" s="277">
        <v>44713</v>
      </c>
      <c r="D1508" s="277">
        <v>44742</v>
      </c>
      <c r="E1508" s="270" t="s">
        <v>267</v>
      </c>
      <c r="F1508" s="96" t="s">
        <v>41</v>
      </c>
      <c r="G1508" s="270" t="s">
        <v>53</v>
      </c>
      <c r="H1508" s="272" t="s">
        <v>54</v>
      </c>
      <c r="I1508" s="273">
        <v>5</v>
      </c>
      <c r="J1508" s="270">
        <v>8</v>
      </c>
      <c r="K1508" s="270">
        <f t="shared" si="0"/>
        <v>40</v>
      </c>
      <c r="L1508" s="270">
        <v>-31</v>
      </c>
      <c r="M1508" s="270">
        <v>-0.5</v>
      </c>
      <c r="N1508" s="274"/>
      <c r="O1508" s="55">
        <v>0.5</v>
      </c>
      <c r="P1508" s="45">
        <v>1</v>
      </c>
      <c r="Q1508" s="270">
        <v>-3</v>
      </c>
      <c r="R1508" s="275">
        <v>0</v>
      </c>
      <c r="S1508" s="270">
        <v>-3</v>
      </c>
      <c r="T1508" s="270">
        <v>1</v>
      </c>
      <c r="U1508" s="57">
        <v>1</v>
      </c>
      <c r="V1508" s="276">
        <v>0.3</v>
      </c>
      <c r="W1508" s="276">
        <v>0</v>
      </c>
      <c r="X1508" s="270">
        <v>1</v>
      </c>
      <c r="Y1508" s="270">
        <v>0</v>
      </c>
      <c r="Z1508" s="45" t="b">
        <v>1</v>
      </c>
      <c r="AA1508" s="45" t="s">
        <v>38</v>
      </c>
      <c r="AB1508" s="45" t="s">
        <v>38</v>
      </c>
    </row>
    <row r="1509" spans="1:28" x14ac:dyDescent="0.2">
      <c r="A1509" s="270" t="s">
        <v>189</v>
      </c>
      <c r="B1509" s="270" t="s">
        <v>189</v>
      </c>
      <c r="C1509" s="277">
        <v>44713</v>
      </c>
      <c r="D1509" s="277">
        <v>44742</v>
      </c>
      <c r="E1509" s="270" t="s">
        <v>267</v>
      </c>
      <c r="F1509" s="96" t="s">
        <v>41</v>
      </c>
      <c r="G1509" s="270" t="s">
        <v>53</v>
      </c>
      <c r="H1509" s="272" t="s">
        <v>55</v>
      </c>
      <c r="I1509" s="273">
        <v>10</v>
      </c>
      <c r="J1509" s="270">
        <v>4</v>
      </c>
      <c r="K1509" s="270">
        <f t="shared" si="0"/>
        <v>40</v>
      </c>
      <c r="L1509" s="270">
        <v>168</v>
      </c>
      <c r="M1509" s="270">
        <v>-0.5</v>
      </c>
      <c r="N1509" s="274"/>
      <c r="O1509" s="55">
        <v>0.5</v>
      </c>
      <c r="P1509" s="45">
        <v>1</v>
      </c>
      <c r="Q1509" s="270">
        <v>0</v>
      </c>
      <c r="R1509" s="275">
        <v>0</v>
      </c>
      <c r="S1509" s="270">
        <v>0</v>
      </c>
      <c r="T1509" s="270">
        <v>1</v>
      </c>
      <c r="U1509" s="57">
        <v>1</v>
      </c>
      <c r="V1509" s="276">
        <v>0.3</v>
      </c>
      <c r="W1509" s="276">
        <v>0</v>
      </c>
      <c r="X1509" s="270">
        <v>1</v>
      </c>
      <c r="Y1509" s="270">
        <v>0</v>
      </c>
      <c r="Z1509" s="45" t="b">
        <v>1</v>
      </c>
      <c r="AA1509" s="45" t="s">
        <v>38</v>
      </c>
      <c r="AB1509" s="45" t="s">
        <v>38</v>
      </c>
    </row>
    <row r="1510" spans="1:28" x14ac:dyDescent="0.2">
      <c r="A1510" s="270" t="s">
        <v>189</v>
      </c>
      <c r="B1510" s="270" t="s">
        <v>189</v>
      </c>
      <c r="C1510" s="277">
        <v>44713</v>
      </c>
      <c r="D1510" s="277">
        <v>44742</v>
      </c>
      <c r="E1510" s="270" t="s">
        <v>267</v>
      </c>
      <c r="F1510" s="96" t="s">
        <v>41</v>
      </c>
      <c r="G1510" s="270" t="s">
        <v>53</v>
      </c>
      <c r="H1510" s="272" t="s">
        <v>56</v>
      </c>
      <c r="I1510" s="273">
        <v>20</v>
      </c>
      <c r="J1510" s="270">
        <v>1718</v>
      </c>
      <c r="K1510" s="270">
        <f t="shared" si="0"/>
        <v>34360</v>
      </c>
      <c r="L1510" s="270">
        <v>62360</v>
      </c>
      <c r="M1510" s="270">
        <v>-429.1</v>
      </c>
      <c r="N1510" s="274"/>
      <c r="O1510" s="55">
        <v>0.5</v>
      </c>
      <c r="P1510" s="105">
        <v>1203</v>
      </c>
      <c r="Q1510" s="270">
        <v>-337</v>
      </c>
      <c r="R1510" s="275">
        <v>0</v>
      </c>
      <c r="S1510" s="270">
        <v>-337</v>
      </c>
      <c r="T1510" s="270">
        <v>774</v>
      </c>
      <c r="U1510" s="57">
        <v>1</v>
      </c>
      <c r="V1510" s="276">
        <v>0.3</v>
      </c>
      <c r="W1510" s="276">
        <v>0</v>
      </c>
      <c r="X1510" s="270">
        <v>541</v>
      </c>
      <c r="Y1510" s="270">
        <v>232</v>
      </c>
      <c r="Z1510" s="45" t="b">
        <v>1</v>
      </c>
      <c r="AA1510" s="45" t="s">
        <v>38</v>
      </c>
      <c r="AB1510" s="45" t="s">
        <v>38</v>
      </c>
    </row>
    <row r="1511" spans="1:28" x14ac:dyDescent="0.2">
      <c r="A1511" s="270" t="s">
        <v>189</v>
      </c>
      <c r="B1511" s="270" t="s">
        <v>189</v>
      </c>
      <c r="C1511" s="277">
        <v>44713</v>
      </c>
      <c r="D1511" s="277">
        <v>44742</v>
      </c>
      <c r="E1511" s="270" t="s">
        <v>267</v>
      </c>
      <c r="F1511" s="96" t="s">
        <v>41</v>
      </c>
      <c r="G1511" s="270" t="s">
        <v>53</v>
      </c>
      <c r="H1511" s="272" t="s">
        <v>57</v>
      </c>
      <c r="I1511" s="273">
        <v>50</v>
      </c>
      <c r="J1511" s="270">
        <v>160</v>
      </c>
      <c r="K1511" s="270">
        <f t="shared" si="0"/>
        <v>8000</v>
      </c>
      <c r="L1511" s="270">
        <v>4860</v>
      </c>
      <c r="M1511" s="270">
        <v>-99.91</v>
      </c>
      <c r="N1511" s="274"/>
      <c r="O1511" s="55">
        <v>0.5</v>
      </c>
      <c r="P1511" s="45">
        <v>280</v>
      </c>
      <c r="Q1511" s="270">
        <v>-166</v>
      </c>
      <c r="R1511" s="275">
        <v>0</v>
      </c>
      <c r="S1511" s="270">
        <v>-166</v>
      </c>
      <c r="T1511" s="270">
        <v>180</v>
      </c>
      <c r="U1511" s="57">
        <v>1</v>
      </c>
      <c r="V1511" s="276">
        <v>0.3</v>
      </c>
      <c r="W1511" s="276">
        <v>0</v>
      </c>
      <c r="X1511" s="270">
        <v>126</v>
      </c>
      <c r="Y1511" s="270">
        <v>54</v>
      </c>
      <c r="Z1511" s="45" t="b">
        <v>1</v>
      </c>
      <c r="AA1511" s="45" t="s">
        <v>38</v>
      </c>
      <c r="AB1511" s="45" t="s">
        <v>38</v>
      </c>
    </row>
    <row r="1512" spans="1:28" x14ac:dyDescent="0.2">
      <c r="A1512" s="96" t="s">
        <v>561</v>
      </c>
      <c r="B1512" s="96" t="s">
        <v>79</v>
      </c>
      <c r="C1512" s="277">
        <v>44713</v>
      </c>
      <c r="D1512" s="277">
        <v>44742</v>
      </c>
      <c r="E1512" s="270" t="s">
        <v>267</v>
      </c>
      <c r="F1512" s="96" t="s">
        <v>41</v>
      </c>
      <c r="G1512" s="270" t="s">
        <v>80</v>
      </c>
      <c r="H1512" s="272" t="s">
        <v>71</v>
      </c>
      <c r="I1512" s="273">
        <v>20</v>
      </c>
      <c r="J1512" s="270">
        <v>6427</v>
      </c>
      <c r="K1512" s="270">
        <f t="shared" si="0"/>
        <v>128540</v>
      </c>
      <c r="L1512" s="270">
        <v>55430</v>
      </c>
      <c r="M1512" s="270">
        <v>-4580</v>
      </c>
      <c r="N1512" s="274">
        <f>5730+20*58</f>
        <v>6890</v>
      </c>
      <c r="O1512" s="55"/>
      <c r="P1512" s="105">
        <v>6890</v>
      </c>
      <c r="Q1512" s="270">
        <v>-6237</v>
      </c>
      <c r="R1512" s="275">
        <v>0</v>
      </c>
      <c r="S1512" s="270">
        <v>-6237</v>
      </c>
      <c r="T1512" s="270">
        <v>2310</v>
      </c>
      <c r="U1512" s="57">
        <v>1</v>
      </c>
      <c r="V1512" s="276">
        <v>0.17</v>
      </c>
      <c r="W1512" s="276">
        <v>0</v>
      </c>
      <c r="X1512" s="270">
        <v>1917</v>
      </c>
      <c r="Y1512" s="270">
        <v>393</v>
      </c>
      <c r="Z1512" s="45" t="b">
        <v>1</v>
      </c>
      <c r="AA1512" s="45" t="s">
        <v>38</v>
      </c>
      <c r="AB1512" s="45" t="s">
        <v>38</v>
      </c>
    </row>
    <row r="1513" spans="1:28" x14ac:dyDescent="0.2">
      <c r="A1513" s="279" t="s">
        <v>195</v>
      </c>
      <c r="B1513" s="279" t="s">
        <v>196</v>
      </c>
      <c r="C1513" s="277">
        <v>44713</v>
      </c>
      <c r="D1513" s="277">
        <v>44742</v>
      </c>
      <c r="E1513" s="96" t="s">
        <v>267</v>
      </c>
      <c r="F1513" s="96" t="s">
        <v>41</v>
      </c>
      <c r="G1513" s="279" t="s">
        <v>69</v>
      </c>
      <c r="H1513" s="289" t="s">
        <v>40</v>
      </c>
      <c r="I1513" s="273">
        <v>10</v>
      </c>
      <c r="J1513" s="270">
        <v>2</v>
      </c>
      <c r="K1513" s="270">
        <f t="shared" si="0"/>
        <v>20</v>
      </c>
      <c r="L1513" s="270">
        <v>792</v>
      </c>
      <c r="M1513" s="270">
        <v>100</v>
      </c>
      <c r="N1513" s="274">
        <v>74</v>
      </c>
      <c r="O1513" s="55"/>
      <c r="P1513" s="45">
        <v>74</v>
      </c>
      <c r="Q1513" s="270">
        <v>14</v>
      </c>
      <c r="R1513" s="275">
        <v>-1.335E-3</v>
      </c>
      <c r="S1513" s="270">
        <v>13</v>
      </c>
      <c r="T1513" s="270">
        <v>174</v>
      </c>
      <c r="U1513" s="57">
        <v>0.996</v>
      </c>
      <c r="V1513" s="276">
        <v>0.3</v>
      </c>
      <c r="W1513" s="276">
        <v>0</v>
      </c>
      <c r="X1513" s="270">
        <v>121</v>
      </c>
      <c r="Y1513" s="270">
        <v>52</v>
      </c>
      <c r="Z1513" s="45" t="b">
        <v>1</v>
      </c>
      <c r="AA1513" s="45" t="s">
        <v>50</v>
      </c>
      <c r="AB1513" s="45" t="s">
        <v>38</v>
      </c>
    </row>
    <row r="1514" spans="1:28" x14ac:dyDescent="0.2">
      <c r="A1514" s="279" t="s">
        <v>195</v>
      </c>
      <c r="B1514" s="279" t="s">
        <v>196</v>
      </c>
      <c r="C1514" s="277">
        <v>44713</v>
      </c>
      <c r="D1514" s="277">
        <v>44742</v>
      </c>
      <c r="E1514" s="96" t="s">
        <v>267</v>
      </c>
      <c r="F1514" s="96" t="s">
        <v>41</v>
      </c>
      <c r="G1514" s="279" t="s">
        <v>69</v>
      </c>
      <c r="H1514" s="289" t="s">
        <v>71</v>
      </c>
      <c r="I1514" s="273">
        <v>20</v>
      </c>
      <c r="J1514" s="270">
        <v>363</v>
      </c>
      <c r="K1514" s="270">
        <f t="shared" si="0"/>
        <v>7260</v>
      </c>
      <c r="L1514" s="270">
        <v>1769</v>
      </c>
      <c r="M1514" s="270">
        <v>-460</v>
      </c>
      <c r="N1514" s="274">
        <v>388</v>
      </c>
      <c r="O1514" s="55"/>
      <c r="P1514" s="45">
        <v>388</v>
      </c>
      <c r="Q1514" s="270">
        <v>-399</v>
      </c>
      <c r="R1514" s="275">
        <v>-1.335E-3</v>
      </c>
      <c r="S1514" s="270">
        <v>-408</v>
      </c>
      <c r="T1514" s="270">
        <v>-72</v>
      </c>
      <c r="U1514" s="57">
        <v>0.996</v>
      </c>
      <c r="V1514" s="276">
        <v>0.3</v>
      </c>
      <c r="W1514" s="276">
        <v>0</v>
      </c>
      <c r="X1514" s="270">
        <v>-50</v>
      </c>
      <c r="Y1514" s="270">
        <v>-22</v>
      </c>
      <c r="Z1514" s="45" t="b">
        <v>1</v>
      </c>
      <c r="AA1514" s="45" t="s">
        <v>50</v>
      </c>
      <c r="AB1514" s="45" t="s">
        <v>38</v>
      </c>
    </row>
    <row r="1515" spans="1:28" x14ac:dyDescent="0.2">
      <c r="A1515" s="279" t="s">
        <v>195</v>
      </c>
      <c r="B1515" s="279" t="s">
        <v>196</v>
      </c>
      <c r="C1515" s="282">
        <v>44713</v>
      </c>
      <c r="D1515" s="282">
        <v>44742</v>
      </c>
      <c r="E1515" s="279" t="s">
        <v>267</v>
      </c>
      <c r="F1515" s="133" t="s">
        <v>41</v>
      </c>
      <c r="G1515" s="279" t="s">
        <v>69</v>
      </c>
      <c r="H1515" s="289" t="s">
        <v>39</v>
      </c>
      <c r="I1515" s="280">
        <v>5</v>
      </c>
      <c r="J1515" s="279">
        <v>17</v>
      </c>
      <c r="K1515" s="270">
        <f t="shared" si="0"/>
        <v>85</v>
      </c>
      <c r="L1515" s="279"/>
      <c r="M1515" s="279">
        <v>5</v>
      </c>
      <c r="N1515" s="281">
        <v>0</v>
      </c>
      <c r="O1515" s="55"/>
      <c r="P1515" s="45">
        <v>0</v>
      </c>
      <c r="Q1515" s="279"/>
      <c r="R1515" s="275">
        <v>0</v>
      </c>
      <c r="S1515" s="279"/>
      <c r="T1515" s="279">
        <v>5</v>
      </c>
      <c r="U1515" s="57">
        <v>0.996</v>
      </c>
      <c r="V1515" s="276">
        <v>0.3</v>
      </c>
      <c r="W1515" s="276">
        <v>0</v>
      </c>
      <c r="X1515" s="279">
        <v>3</v>
      </c>
      <c r="Y1515" s="279">
        <v>1</v>
      </c>
      <c r="Z1515" s="45" t="b">
        <v>1</v>
      </c>
      <c r="AA1515" s="45" t="s">
        <v>50</v>
      </c>
      <c r="AB1515" s="45" t="s">
        <v>38</v>
      </c>
    </row>
    <row r="1516" spans="1:28" x14ac:dyDescent="0.2">
      <c r="A1516" s="279" t="s">
        <v>232</v>
      </c>
      <c r="B1516" s="279" t="s">
        <v>198</v>
      </c>
      <c r="C1516" s="282">
        <v>44713</v>
      </c>
      <c r="D1516" s="282">
        <v>44742</v>
      </c>
      <c r="E1516" s="279" t="s">
        <v>267</v>
      </c>
      <c r="F1516" s="133" t="s">
        <v>41</v>
      </c>
      <c r="G1516" s="279" t="s">
        <v>53</v>
      </c>
      <c r="H1516" s="289" t="s">
        <v>55</v>
      </c>
      <c r="I1516" s="280">
        <v>10</v>
      </c>
      <c r="J1516" s="279">
        <v>8</v>
      </c>
      <c r="K1516" s="270">
        <f t="shared" si="0"/>
        <v>80</v>
      </c>
      <c r="L1516" s="279">
        <v>-448</v>
      </c>
      <c r="M1516" s="279">
        <v>-1.82</v>
      </c>
      <c r="N1516" s="281"/>
      <c r="O1516" s="55">
        <v>0.5</v>
      </c>
      <c r="P1516" s="45">
        <v>3</v>
      </c>
      <c r="Q1516" s="279">
        <v>-14</v>
      </c>
      <c r="R1516" s="275">
        <v>0</v>
      </c>
      <c r="S1516" s="279">
        <v>-14</v>
      </c>
      <c r="T1516" s="279">
        <v>1</v>
      </c>
      <c r="U1516" s="57">
        <v>0.93500000000000005</v>
      </c>
      <c r="V1516" s="276">
        <v>0.3</v>
      </c>
      <c r="W1516" s="276">
        <v>0</v>
      </c>
      <c r="X1516" s="279">
        <v>1</v>
      </c>
      <c r="Y1516" s="279">
        <v>0</v>
      </c>
      <c r="Z1516" s="45" t="b">
        <v>1</v>
      </c>
      <c r="AA1516" s="45" t="s">
        <v>50</v>
      </c>
      <c r="AB1516" s="45" t="s">
        <v>38</v>
      </c>
    </row>
    <row r="1517" spans="1:28" x14ac:dyDescent="0.2">
      <c r="A1517" s="279" t="s">
        <v>232</v>
      </c>
      <c r="B1517" s="279" t="s">
        <v>198</v>
      </c>
      <c r="C1517" s="282">
        <v>44713</v>
      </c>
      <c r="D1517" s="282">
        <v>44742</v>
      </c>
      <c r="E1517" s="279" t="s">
        <v>267</v>
      </c>
      <c r="F1517" s="133" t="s">
        <v>41</v>
      </c>
      <c r="G1517" s="279" t="s">
        <v>53</v>
      </c>
      <c r="H1517" s="289" t="s">
        <v>56</v>
      </c>
      <c r="I1517" s="280">
        <v>20</v>
      </c>
      <c r="J1517" s="279">
        <v>1892</v>
      </c>
      <c r="K1517" s="270">
        <f t="shared" si="0"/>
        <v>37840</v>
      </c>
      <c r="L1517" s="279">
        <v>93921</v>
      </c>
      <c r="M1517" s="279">
        <v>-862.18</v>
      </c>
      <c r="N1517" s="281"/>
      <c r="O1517" s="55">
        <v>0.5</v>
      </c>
      <c r="P1517" s="105">
        <v>1324</v>
      </c>
      <c r="Q1517" s="279">
        <v>558</v>
      </c>
      <c r="R1517" s="275">
        <v>0</v>
      </c>
      <c r="S1517" s="279">
        <v>558</v>
      </c>
      <c r="T1517" s="279">
        <v>462</v>
      </c>
      <c r="U1517" s="57">
        <v>0.93500000000000005</v>
      </c>
      <c r="V1517" s="276">
        <v>0.3</v>
      </c>
      <c r="W1517" s="276">
        <v>0</v>
      </c>
      <c r="X1517" s="279">
        <v>302</v>
      </c>
      <c r="Y1517" s="279">
        <v>130</v>
      </c>
      <c r="Z1517" s="45" t="b">
        <v>1</v>
      </c>
      <c r="AA1517" s="45" t="s">
        <v>50</v>
      </c>
      <c r="AB1517" s="45" t="s">
        <v>38</v>
      </c>
    </row>
    <row r="1518" spans="1:28" x14ac:dyDescent="0.2">
      <c r="A1518" s="279" t="s">
        <v>98</v>
      </c>
      <c r="B1518" s="279" t="s">
        <v>99</v>
      </c>
      <c r="C1518" s="282">
        <v>44713</v>
      </c>
      <c r="D1518" s="282">
        <v>44742</v>
      </c>
      <c r="E1518" s="279" t="s">
        <v>267</v>
      </c>
      <c r="F1518" s="133" t="s">
        <v>49</v>
      </c>
      <c r="G1518" s="279" t="s">
        <v>61</v>
      </c>
      <c r="H1518" s="272" t="s">
        <v>112</v>
      </c>
      <c r="I1518" s="280">
        <v>50</v>
      </c>
      <c r="J1518" s="279">
        <v>401</v>
      </c>
      <c r="K1518" s="270">
        <f t="shared" si="0"/>
        <v>20050</v>
      </c>
      <c r="L1518" s="279">
        <v>9157</v>
      </c>
      <c r="M1518" s="279">
        <v>-2300</v>
      </c>
      <c r="N1518" s="281">
        <v>475</v>
      </c>
      <c r="O1518" s="55"/>
      <c r="P1518" s="45">
        <v>475</v>
      </c>
      <c r="Q1518" s="279">
        <v>-977</v>
      </c>
      <c r="R1518" s="275">
        <v>-4.8799999999999998E-3</v>
      </c>
      <c r="S1518" s="279">
        <v>-1075</v>
      </c>
      <c r="T1518" s="279">
        <v>-600</v>
      </c>
      <c r="U1518" s="57">
        <v>1.0209999999999999</v>
      </c>
      <c r="V1518" s="276">
        <v>0.25</v>
      </c>
      <c r="W1518" s="276">
        <v>0</v>
      </c>
      <c r="X1518" s="279">
        <v>-459</v>
      </c>
      <c r="Y1518" s="279">
        <v>-153</v>
      </c>
      <c r="Z1518" s="45" t="b">
        <v>1</v>
      </c>
      <c r="AA1518" s="45" t="s">
        <v>38</v>
      </c>
      <c r="AB1518" s="45" t="s">
        <v>50</v>
      </c>
    </row>
    <row r="1519" spans="1:28" x14ac:dyDescent="0.2">
      <c r="A1519" s="96" t="s">
        <v>286</v>
      </c>
      <c r="B1519" s="96" t="s">
        <v>286</v>
      </c>
      <c r="C1519" s="277">
        <v>44733</v>
      </c>
      <c r="D1519" s="277">
        <v>44762</v>
      </c>
      <c r="E1519" s="270" t="s">
        <v>267</v>
      </c>
      <c r="F1519" s="133" t="s">
        <v>34</v>
      </c>
      <c r="G1519" s="96" t="s">
        <v>35</v>
      </c>
      <c r="H1519" s="272" t="s">
        <v>40</v>
      </c>
      <c r="I1519" s="273">
        <v>10</v>
      </c>
      <c r="J1519" s="270">
        <v>459</v>
      </c>
      <c r="K1519" s="270">
        <f t="shared" si="0"/>
        <v>4590</v>
      </c>
      <c r="L1519" s="270">
        <v>7128</v>
      </c>
      <c r="M1519" s="270">
        <v>-250</v>
      </c>
      <c r="N1519" s="274">
        <v>149</v>
      </c>
      <c r="O1519" s="55"/>
      <c r="P1519" s="45">
        <v>149</v>
      </c>
      <c r="Q1519" s="270">
        <v>-209</v>
      </c>
      <c r="R1519" s="275">
        <v>-1.335E-3</v>
      </c>
      <c r="S1519" s="270">
        <v>-215</v>
      </c>
      <c r="T1519" s="270">
        <v>-66</v>
      </c>
      <c r="U1519" s="57">
        <v>1</v>
      </c>
      <c r="V1519" s="276">
        <v>0.15</v>
      </c>
      <c r="W1519" s="276">
        <v>0</v>
      </c>
      <c r="X1519" s="270">
        <v>-56</v>
      </c>
      <c r="Y1519" s="270">
        <v>-10</v>
      </c>
      <c r="Z1519" s="45" t="b">
        <v>1</v>
      </c>
      <c r="AA1519" s="45" t="s">
        <v>38</v>
      </c>
      <c r="AB1519" s="45" t="s">
        <v>38</v>
      </c>
    </row>
    <row r="1520" spans="1:28" x14ac:dyDescent="0.2">
      <c r="A1520" s="96" t="s">
        <v>286</v>
      </c>
      <c r="B1520" s="96" t="s">
        <v>286</v>
      </c>
      <c r="C1520" s="277">
        <v>44733</v>
      </c>
      <c r="D1520" s="277">
        <v>44762</v>
      </c>
      <c r="E1520" s="270" t="s">
        <v>267</v>
      </c>
      <c r="F1520" s="133" t="s">
        <v>34</v>
      </c>
      <c r="G1520" s="96" t="s">
        <v>35</v>
      </c>
      <c r="H1520" s="272" t="s">
        <v>115</v>
      </c>
      <c r="I1520" s="273">
        <v>10</v>
      </c>
      <c r="J1520" s="270">
        <v>139</v>
      </c>
      <c r="K1520" s="270">
        <f t="shared" si="0"/>
        <v>1390</v>
      </c>
      <c r="L1520" s="270">
        <v>-709</v>
      </c>
      <c r="M1520" s="270">
        <v>-100</v>
      </c>
      <c r="N1520" s="274">
        <v>45</v>
      </c>
      <c r="O1520" s="55"/>
      <c r="P1520" s="45">
        <v>45</v>
      </c>
      <c r="Q1520" s="270">
        <v>-175</v>
      </c>
      <c r="R1520" s="275">
        <v>-1.335E-3</v>
      </c>
      <c r="S1520" s="270">
        <v>-176</v>
      </c>
      <c r="T1520" s="270">
        <v>-131</v>
      </c>
      <c r="U1520" s="57">
        <v>1</v>
      </c>
      <c r="V1520" s="276">
        <v>0.15</v>
      </c>
      <c r="W1520" s="276">
        <v>0</v>
      </c>
      <c r="X1520" s="270">
        <v>-112</v>
      </c>
      <c r="Y1520" s="270">
        <v>-20</v>
      </c>
      <c r="Z1520" s="45" t="b">
        <v>1</v>
      </c>
      <c r="AA1520" s="45" t="s">
        <v>38</v>
      </c>
      <c r="AB1520" s="45" t="s">
        <v>38</v>
      </c>
    </row>
    <row r="1521" spans="1:28" x14ac:dyDescent="0.2">
      <c r="A1521" s="96" t="s">
        <v>286</v>
      </c>
      <c r="B1521" s="96" t="s">
        <v>286</v>
      </c>
      <c r="C1521" s="277">
        <v>44733</v>
      </c>
      <c r="D1521" s="277">
        <v>44762</v>
      </c>
      <c r="E1521" s="270" t="s">
        <v>267</v>
      </c>
      <c r="F1521" s="133" t="s">
        <v>34</v>
      </c>
      <c r="G1521" s="96" t="s">
        <v>35</v>
      </c>
      <c r="H1521" s="272" t="s">
        <v>46</v>
      </c>
      <c r="I1521" s="273">
        <v>25</v>
      </c>
      <c r="J1521" s="270">
        <v>797</v>
      </c>
      <c r="K1521" s="270">
        <f t="shared" si="0"/>
        <v>19925</v>
      </c>
      <c r="L1521" s="270">
        <v>24309</v>
      </c>
      <c r="M1521" s="270">
        <v>575</v>
      </c>
      <c r="N1521" s="274">
        <v>553</v>
      </c>
      <c r="O1521" s="55"/>
      <c r="P1521" s="45">
        <v>553</v>
      </c>
      <c r="Q1521" s="270">
        <v>-198</v>
      </c>
      <c r="R1521" s="275">
        <v>-1.335E-3</v>
      </c>
      <c r="S1521" s="270">
        <v>-225</v>
      </c>
      <c r="T1521" s="270">
        <v>328</v>
      </c>
      <c r="U1521" s="57">
        <v>1</v>
      </c>
      <c r="V1521" s="276">
        <v>0.15</v>
      </c>
      <c r="W1521" s="276">
        <v>0</v>
      </c>
      <c r="X1521" s="270">
        <v>279</v>
      </c>
      <c r="Y1521" s="270">
        <v>49</v>
      </c>
      <c r="Z1521" s="45" t="b">
        <v>1</v>
      </c>
      <c r="AA1521" s="45" t="s">
        <v>38</v>
      </c>
      <c r="AB1521" s="45" t="s">
        <v>38</v>
      </c>
    </row>
    <row r="1522" spans="1:28" x14ac:dyDescent="0.2">
      <c r="A1522" s="96" t="s">
        <v>286</v>
      </c>
      <c r="B1522" s="96" t="s">
        <v>286</v>
      </c>
      <c r="C1522" s="277">
        <v>44733</v>
      </c>
      <c r="D1522" s="277">
        <v>44762</v>
      </c>
      <c r="E1522" s="270" t="s">
        <v>267</v>
      </c>
      <c r="F1522" s="133" t="s">
        <v>34</v>
      </c>
      <c r="G1522" s="96" t="s">
        <v>35</v>
      </c>
      <c r="H1522" s="272" t="s">
        <v>87</v>
      </c>
      <c r="I1522" s="273">
        <v>25</v>
      </c>
      <c r="J1522" s="270">
        <v>40</v>
      </c>
      <c r="K1522" s="270">
        <f t="shared" si="0"/>
        <v>1000</v>
      </c>
      <c r="L1522" s="270">
        <v>-1484</v>
      </c>
      <c r="M1522" s="270">
        <v>-175</v>
      </c>
      <c r="N1522" s="274">
        <v>28</v>
      </c>
      <c r="O1522" s="55"/>
      <c r="P1522" s="45">
        <v>28</v>
      </c>
      <c r="Q1522" s="270">
        <v>-192</v>
      </c>
      <c r="R1522" s="275">
        <v>-1.335E-3</v>
      </c>
      <c r="S1522" s="270">
        <v>-193</v>
      </c>
      <c r="T1522" s="270">
        <v>-165</v>
      </c>
      <c r="U1522" s="57">
        <v>1</v>
      </c>
      <c r="V1522" s="276">
        <v>0.15</v>
      </c>
      <c r="W1522" s="276">
        <v>0</v>
      </c>
      <c r="X1522" s="270">
        <v>-140</v>
      </c>
      <c r="Y1522" s="270">
        <v>-25</v>
      </c>
      <c r="Z1522" s="45" t="b">
        <v>1</v>
      </c>
      <c r="AA1522" s="45" t="s">
        <v>38</v>
      </c>
      <c r="AB1522" s="45" t="s">
        <v>38</v>
      </c>
    </row>
    <row r="1523" spans="1:28" x14ac:dyDescent="0.2">
      <c r="A1523" s="96" t="s">
        <v>82</v>
      </c>
      <c r="B1523" s="96" t="s">
        <v>82</v>
      </c>
      <c r="C1523" s="277">
        <v>44733</v>
      </c>
      <c r="D1523" s="277">
        <v>44762</v>
      </c>
      <c r="E1523" s="270" t="s">
        <v>300</v>
      </c>
      <c r="F1523" s="133" t="s">
        <v>34</v>
      </c>
      <c r="G1523" s="96" t="s">
        <v>35</v>
      </c>
      <c r="H1523" s="272" t="s">
        <v>70</v>
      </c>
      <c r="I1523" s="273">
        <v>100</v>
      </c>
      <c r="J1523" s="270">
        <v>1700</v>
      </c>
      <c r="K1523" s="270">
        <f t="shared" si="0"/>
        <v>170000</v>
      </c>
      <c r="L1523" s="270">
        <v>48559</v>
      </c>
      <c r="M1523" s="270">
        <v>-3300</v>
      </c>
      <c r="N1523" s="274">
        <v>2900</v>
      </c>
      <c r="O1523" s="55"/>
      <c r="P1523" s="105">
        <v>2900</v>
      </c>
      <c r="Q1523" s="270">
        <v>-172</v>
      </c>
      <c r="R1523" s="275">
        <v>-1.335E-3</v>
      </c>
      <c r="S1523" s="270">
        <v>-399</v>
      </c>
      <c r="T1523" s="270">
        <v>2501</v>
      </c>
      <c r="U1523" s="57">
        <v>1</v>
      </c>
      <c r="V1523" s="276">
        <v>0.15</v>
      </c>
      <c r="W1523" s="276">
        <v>0.05</v>
      </c>
      <c r="X1523" s="270">
        <v>2001</v>
      </c>
      <c r="Y1523" s="270">
        <v>500</v>
      </c>
      <c r="Z1523" s="45" t="b">
        <v>1</v>
      </c>
      <c r="AA1523" s="45" t="s">
        <v>38</v>
      </c>
      <c r="AB1523" s="45" t="s">
        <v>38</v>
      </c>
    </row>
    <row r="1524" spans="1:28" x14ac:dyDescent="0.2">
      <c r="A1524" s="279" t="s">
        <v>355</v>
      </c>
      <c r="B1524" s="279" t="s">
        <v>903</v>
      </c>
      <c r="C1524" s="282">
        <v>44733</v>
      </c>
      <c r="D1524" s="282">
        <v>44762</v>
      </c>
      <c r="E1524" s="279" t="s">
        <v>300</v>
      </c>
      <c r="F1524" s="133" t="s">
        <v>34</v>
      </c>
      <c r="G1524" s="270" t="s">
        <v>80</v>
      </c>
      <c r="H1524" s="289" t="s">
        <v>71</v>
      </c>
      <c r="I1524" s="273">
        <v>20</v>
      </c>
      <c r="J1524" s="270">
        <v>1</v>
      </c>
      <c r="K1524" s="270">
        <f t="shared" si="0"/>
        <v>20</v>
      </c>
      <c r="L1524" s="270">
        <v>-96</v>
      </c>
      <c r="M1524" s="270">
        <v>-20</v>
      </c>
      <c r="N1524" s="274">
        <f>7.09*8</f>
        <v>56.72</v>
      </c>
      <c r="O1524" s="55"/>
      <c r="P1524" s="45">
        <v>57</v>
      </c>
      <c r="Q1524" s="270">
        <v>-7</v>
      </c>
      <c r="R1524" s="275">
        <v>-1.5E-3</v>
      </c>
      <c r="S1524" s="270">
        <v>-7</v>
      </c>
      <c r="T1524" s="270">
        <v>50</v>
      </c>
      <c r="U1524" s="57">
        <v>1</v>
      </c>
      <c r="V1524" s="276">
        <v>0.15</v>
      </c>
      <c r="W1524" s="276">
        <v>0.1</v>
      </c>
      <c r="X1524" s="270">
        <v>37</v>
      </c>
      <c r="Y1524" s="270">
        <v>12</v>
      </c>
      <c r="Z1524" s="45" t="b">
        <v>1</v>
      </c>
      <c r="AA1524" s="45" t="s">
        <v>38</v>
      </c>
      <c r="AB1524" s="45" t="s">
        <v>38</v>
      </c>
    </row>
    <row r="1525" spans="1:28" x14ac:dyDescent="0.2">
      <c r="A1525" s="279" t="s">
        <v>355</v>
      </c>
      <c r="B1525" s="279" t="s">
        <v>903</v>
      </c>
      <c r="C1525" s="282">
        <v>44733</v>
      </c>
      <c r="D1525" s="282">
        <v>44762</v>
      </c>
      <c r="E1525" s="279" t="s">
        <v>300</v>
      </c>
      <c r="F1525" s="96" t="s">
        <v>41</v>
      </c>
      <c r="G1525" s="270" t="s">
        <v>80</v>
      </c>
      <c r="H1525" s="289" t="s">
        <v>40</v>
      </c>
      <c r="I1525" s="273">
        <v>10</v>
      </c>
      <c r="J1525" s="270">
        <v>369</v>
      </c>
      <c r="K1525" s="270">
        <f t="shared" si="0"/>
        <v>3690</v>
      </c>
      <c r="L1525" s="270">
        <f>20*369</f>
        <v>7380</v>
      </c>
      <c r="M1525" s="270">
        <v>110</v>
      </c>
      <c r="N1525" s="274">
        <f>4*10+82.25+33.64</f>
        <v>155.88999999999999</v>
      </c>
      <c r="O1525" s="55"/>
      <c r="P1525" s="45">
        <v>156</v>
      </c>
      <c r="Q1525" s="270">
        <v>-58</v>
      </c>
      <c r="R1525" s="275">
        <v>0</v>
      </c>
      <c r="S1525" s="270">
        <v>-58</v>
      </c>
      <c r="T1525" s="270">
        <v>266</v>
      </c>
      <c r="U1525" s="57">
        <v>1</v>
      </c>
      <c r="V1525" s="276">
        <v>0.15</v>
      </c>
      <c r="W1525" s="276">
        <v>0.1</v>
      </c>
      <c r="X1525" s="270">
        <v>199</v>
      </c>
      <c r="Y1525" s="270">
        <v>66</v>
      </c>
      <c r="Z1525" s="45" t="b">
        <v>1</v>
      </c>
      <c r="AA1525" s="45" t="s">
        <v>38</v>
      </c>
      <c r="AB1525" s="45" t="s">
        <v>38</v>
      </c>
    </row>
    <row r="1526" spans="1:28" x14ac:dyDescent="0.2">
      <c r="A1526" s="279" t="s">
        <v>355</v>
      </c>
      <c r="B1526" s="279" t="s">
        <v>989</v>
      </c>
      <c r="C1526" s="282">
        <v>44733</v>
      </c>
      <c r="D1526" s="277">
        <v>44762</v>
      </c>
      <c r="E1526" s="270" t="s">
        <v>300</v>
      </c>
      <c r="F1526" s="96" t="s">
        <v>34</v>
      </c>
      <c r="G1526" s="270" t="s">
        <v>61</v>
      </c>
      <c r="H1526" s="289" t="s">
        <v>227</v>
      </c>
      <c r="I1526" s="273">
        <v>10</v>
      </c>
      <c r="J1526" s="270">
        <v>1521</v>
      </c>
      <c r="K1526" s="270">
        <f t="shared" si="0"/>
        <v>15210</v>
      </c>
      <c r="L1526" s="270">
        <v>77751</v>
      </c>
      <c r="M1526" s="270">
        <v>-1246</v>
      </c>
      <c r="N1526" s="274">
        <v>510</v>
      </c>
      <c r="O1526" s="55"/>
      <c r="P1526" s="45">
        <v>510</v>
      </c>
      <c r="Q1526" s="270">
        <v>-45</v>
      </c>
      <c r="R1526" s="275">
        <v>-1.335E-3</v>
      </c>
      <c r="S1526" s="270">
        <v>-65</v>
      </c>
      <c r="T1526" s="270">
        <v>445</v>
      </c>
      <c r="U1526" s="57">
        <v>1</v>
      </c>
      <c r="V1526" s="276">
        <v>0.15</v>
      </c>
      <c r="W1526" s="276">
        <v>0.1</v>
      </c>
      <c r="X1526" s="270">
        <v>334</v>
      </c>
      <c r="Y1526" s="270">
        <v>111</v>
      </c>
      <c r="Z1526" s="45" t="b">
        <v>1</v>
      </c>
      <c r="AA1526" s="45" t="s">
        <v>50</v>
      </c>
      <c r="AB1526" s="45" t="s">
        <v>50</v>
      </c>
    </row>
    <row r="1527" spans="1:28" x14ac:dyDescent="0.2">
      <c r="A1527" s="279" t="s">
        <v>355</v>
      </c>
      <c r="B1527" s="279" t="s">
        <v>989</v>
      </c>
      <c r="C1527" s="282">
        <v>44733</v>
      </c>
      <c r="D1527" s="277">
        <v>44762</v>
      </c>
      <c r="E1527" s="270" t="s">
        <v>300</v>
      </c>
      <c r="F1527" s="96" t="s">
        <v>34</v>
      </c>
      <c r="G1527" s="270" t="s">
        <v>61</v>
      </c>
      <c r="H1527" s="272" t="s">
        <v>179</v>
      </c>
      <c r="I1527" s="273">
        <v>25</v>
      </c>
      <c r="J1527" s="270">
        <v>80</v>
      </c>
      <c r="K1527" s="270">
        <f t="shared" si="0"/>
        <v>2000</v>
      </c>
      <c r="L1527" s="270">
        <v>5676</v>
      </c>
      <c r="M1527" s="270">
        <v>77</v>
      </c>
      <c r="N1527" s="274">
        <v>1</v>
      </c>
      <c r="O1527" s="55"/>
      <c r="P1527" s="45">
        <v>1</v>
      </c>
      <c r="Q1527" s="270">
        <v>71</v>
      </c>
      <c r="R1527" s="275">
        <v>-1.335E-3</v>
      </c>
      <c r="S1527" s="270">
        <v>68</v>
      </c>
      <c r="T1527" s="270">
        <v>69</v>
      </c>
      <c r="U1527" s="57">
        <v>1</v>
      </c>
      <c r="V1527" s="276">
        <v>0.15</v>
      </c>
      <c r="W1527" s="276">
        <v>0.1</v>
      </c>
      <c r="X1527" s="270">
        <v>52</v>
      </c>
      <c r="Y1527" s="270">
        <v>17</v>
      </c>
      <c r="Z1527" s="45" t="b">
        <v>1</v>
      </c>
      <c r="AA1527" s="45" t="s">
        <v>50</v>
      </c>
      <c r="AB1527" s="45" t="s">
        <v>50</v>
      </c>
    </row>
    <row r="1528" spans="1:28" x14ac:dyDescent="0.2">
      <c r="A1528" s="96" t="s">
        <v>125</v>
      </c>
      <c r="B1528" s="96" t="s">
        <v>125</v>
      </c>
      <c r="C1528" s="277">
        <v>44733</v>
      </c>
      <c r="D1528" s="277">
        <v>44762</v>
      </c>
      <c r="E1528" s="270" t="s">
        <v>267</v>
      </c>
      <c r="F1528" s="96" t="s">
        <v>34</v>
      </c>
      <c r="G1528" s="270" t="s">
        <v>35</v>
      </c>
      <c r="H1528" s="272" t="s">
        <v>39</v>
      </c>
      <c r="I1528" s="273">
        <v>5</v>
      </c>
      <c r="J1528" s="270">
        <v>258</v>
      </c>
      <c r="K1528" s="270">
        <f t="shared" si="0"/>
        <v>1290</v>
      </c>
      <c r="L1528" s="270">
        <v>6431</v>
      </c>
      <c r="M1528" s="270">
        <v>-45</v>
      </c>
      <c r="N1528" s="274">
        <v>74</v>
      </c>
      <c r="O1528" s="55"/>
      <c r="P1528" s="45">
        <v>74</v>
      </c>
      <c r="Q1528" s="270">
        <v>-55</v>
      </c>
      <c r="R1528" s="275">
        <v>-1.335E-3</v>
      </c>
      <c r="S1528" s="270">
        <v>-57</v>
      </c>
      <c r="T1528" s="270">
        <v>17</v>
      </c>
      <c r="U1528" s="57">
        <v>1</v>
      </c>
      <c r="V1528" s="276">
        <v>0.17</v>
      </c>
      <c r="W1528" s="276">
        <v>0</v>
      </c>
      <c r="X1528" s="270">
        <v>14</v>
      </c>
      <c r="Y1528" s="270">
        <v>3</v>
      </c>
      <c r="Z1528" s="45" t="b">
        <v>1</v>
      </c>
      <c r="AA1528" s="45" t="s">
        <v>38</v>
      </c>
      <c r="AB1528" s="45" t="s">
        <v>38</v>
      </c>
    </row>
    <row r="1529" spans="1:28" x14ac:dyDescent="0.2">
      <c r="A1529" s="96" t="s">
        <v>125</v>
      </c>
      <c r="B1529" s="96" t="s">
        <v>125</v>
      </c>
      <c r="C1529" s="277">
        <v>44733</v>
      </c>
      <c r="D1529" s="277">
        <v>44762</v>
      </c>
      <c r="E1529" s="270" t="s">
        <v>267</v>
      </c>
      <c r="F1529" s="96" t="s">
        <v>34</v>
      </c>
      <c r="G1529" s="270" t="s">
        <v>35</v>
      </c>
      <c r="H1529" s="272" t="s">
        <v>40</v>
      </c>
      <c r="I1529" s="273">
        <v>10</v>
      </c>
      <c r="J1529" s="270">
        <v>2074</v>
      </c>
      <c r="K1529" s="270">
        <f t="shared" si="0"/>
        <v>20740</v>
      </c>
      <c r="L1529" s="270">
        <v>121120</v>
      </c>
      <c r="M1529" s="270">
        <v>940</v>
      </c>
      <c r="N1529" s="274">
        <v>1035</v>
      </c>
      <c r="O1529" s="55"/>
      <c r="P1529" s="105">
        <v>1035</v>
      </c>
      <c r="Q1529" s="270">
        <v>687</v>
      </c>
      <c r="R1529" s="275">
        <v>-1.335E-3</v>
      </c>
      <c r="S1529" s="270">
        <v>659</v>
      </c>
      <c r="T1529" s="270">
        <v>1694</v>
      </c>
      <c r="U1529" s="57">
        <v>1</v>
      </c>
      <c r="V1529" s="276">
        <v>0.17</v>
      </c>
      <c r="W1529" s="276">
        <v>0</v>
      </c>
      <c r="X1529" s="270">
        <v>1406</v>
      </c>
      <c r="Y1529" s="270">
        <v>288</v>
      </c>
      <c r="Z1529" s="45" t="b">
        <v>1</v>
      </c>
      <c r="AA1529" s="45" t="s">
        <v>38</v>
      </c>
      <c r="AB1529" s="45" t="s">
        <v>38</v>
      </c>
    </row>
    <row r="1530" spans="1:28" x14ac:dyDescent="0.2">
      <c r="A1530" s="279" t="s">
        <v>395</v>
      </c>
      <c r="B1530" s="270" t="s">
        <v>162</v>
      </c>
      <c r="C1530" s="277">
        <v>44733</v>
      </c>
      <c r="D1530" s="277">
        <v>44762</v>
      </c>
      <c r="E1530" s="279" t="s">
        <v>267</v>
      </c>
      <c r="F1530" s="133" t="s">
        <v>41</v>
      </c>
      <c r="G1530" s="270" t="s">
        <v>35</v>
      </c>
      <c r="H1530" s="272" t="s">
        <v>45</v>
      </c>
      <c r="I1530" s="273">
        <v>0.25</v>
      </c>
      <c r="J1530" s="270">
        <v>16</v>
      </c>
      <c r="K1530" s="270">
        <f t="shared" si="0"/>
        <v>4</v>
      </c>
      <c r="L1530" s="270"/>
      <c r="M1530" s="270">
        <v>2</v>
      </c>
      <c r="N1530" s="274">
        <v>0.18</v>
      </c>
      <c r="O1530" s="55"/>
      <c r="P1530" s="45">
        <v>0</v>
      </c>
      <c r="Q1530" s="270"/>
      <c r="R1530" s="275">
        <v>0</v>
      </c>
      <c r="S1530" s="270"/>
      <c r="T1530" s="270">
        <v>2</v>
      </c>
      <c r="U1530" s="57">
        <v>1</v>
      </c>
      <c r="V1530" s="276">
        <v>0.19</v>
      </c>
      <c r="W1530" s="276">
        <v>0</v>
      </c>
      <c r="X1530" s="270">
        <v>2</v>
      </c>
      <c r="Y1530" s="270">
        <v>0</v>
      </c>
      <c r="Z1530" s="45" t="b">
        <v>1</v>
      </c>
      <c r="AA1530" s="45" t="s">
        <v>38</v>
      </c>
      <c r="AB1530" s="45" t="s">
        <v>38</v>
      </c>
    </row>
    <row r="1531" spans="1:28" x14ac:dyDescent="0.2">
      <c r="A1531" s="279" t="s">
        <v>395</v>
      </c>
      <c r="B1531" s="270" t="s">
        <v>162</v>
      </c>
      <c r="C1531" s="277">
        <v>44733</v>
      </c>
      <c r="D1531" s="277">
        <v>44762</v>
      </c>
      <c r="E1531" s="279" t="s">
        <v>267</v>
      </c>
      <c r="F1531" s="133" t="s">
        <v>41</v>
      </c>
      <c r="G1531" s="270" t="s">
        <v>35</v>
      </c>
      <c r="H1531" s="272" t="s">
        <v>51</v>
      </c>
      <c r="I1531" s="273">
        <v>0.25</v>
      </c>
      <c r="J1531" s="270">
        <v>12</v>
      </c>
      <c r="K1531" s="270">
        <f t="shared" si="0"/>
        <v>3</v>
      </c>
      <c r="L1531" s="270"/>
      <c r="M1531" s="270">
        <v>2</v>
      </c>
      <c r="N1531" s="274">
        <v>0.14000000000000001</v>
      </c>
      <c r="O1531" s="55"/>
      <c r="P1531" s="45">
        <v>0</v>
      </c>
      <c r="Q1531" s="270"/>
      <c r="R1531" s="275">
        <v>0</v>
      </c>
      <c r="S1531" s="270"/>
      <c r="T1531" s="270">
        <v>2</v>
      </c>
      <c r="U1531" s="57">
        <v>1</v>
      </c>
      <c r="V1531" s="276">
        <v>0.19</v>
      </c>
      <c r="W1531" s="276">
        <v>0</v>
      </c>
      <c r="X1531" s="270">
        <v>2</v>
      </c>
      <c r="Y1531" s="270">
        <v>0</v>
      </c>
      <c r="Z1531" s="45" t="b">
        <v>1</v>
      </c>
      <c r="AA1531" s="45" t="s">
        <v>38</v>
      </c>
      <c r="AB1531" s="45" t="s">
        <v>38</v>
      </c>
    </row>
    <row r="1532" spans="1:28" x14ac:dyDescent="0.2">
      <c r="A1532" s="279" t="s">
        <v>395</v>
      </c>
      <c r="B1532" s="270" t="s">
        <v>162</v>
      </c>
      <c r="C1532" s="277">
        <v>44733</v>
      </c>
      <c r="D1532" s="277">
        <v>44762</v>
      </c>
      <c r="E1532" s="279" t="s">
        <v>267</v>
      </c>
      <c r="F1532" s="133" t="s">
        <v>41</v>
      </c>
      <c r="G1532" s="270" t="s">
        <v>35</v>
      </c>
      <c r="H1532" s="272" t="s">
        <v>70</v>
      </c>
      <c r="I1532" s="273">
        <v>100</v>
      </c>
      <c r="J1532" s="270">
        <v>1345</v>
      </c>
      <c r="K1532" s="270">
        <f t="shared" si="0"/>
        <v>134500</v>
      </c>
      <c r="L1532" s="286">
        <f t="shared" ref="L1532:L1533" si="3">52764/1624*J1532</f>
        <v>43699.248768472906</v>
      </c>
      <c r="M1532" s="286">
        <v>1600</v>
      </c>
      <c r="N1532" s="274">
        <v>3823.43</v>
      </c>
      <c r="O1532" s="55"/>
      <c r="P1532" s="105">
        <v>3823</v>
      </c>
      <c r="Q1532" s="286">
        <v>928</v>
      </c>
      <c r="R1532" s="275">
        <v>0</v>
      </c>
      <c r="S1532" s="286">
        <v>928</v>
      </c>
      <c r="T1532" s="286">
        <v>5423</v>
      </c>
      <c r="U1532" s="57">
        <v>1</v>
      </c>
      <c r="V1532" s="276">
        <v>0.19</v>
      </c>
      <c r="W1532" s="276">
        <v>0</v>
      </c>
      <c r="X1532" s="286">
        <v>4393</v>
      </c>
      <c r="Y1532" s="286">
        <v>1030</v>
      </c>
      <c r="Z1532" s="45" t="b">
        <v>1</v>
      </c>
      <c r="AA1532" s="45" t="s">
        <v>38</v>
      </c>
      <c r="AB1532" s="45" t="s">
        <v>38</v>
      </c>
    </row>
    <row r="1533" spans="1:28" x14ac:dyDescent="0.2">
      <c r="A1533" s="279" t="s">
        <v>395</v>
      </c>
      <c r="B1533" s="270" t="s">
        <v>162</v>
      </c>
      <c r="C1533" s="277">
        <v>44733</v>
      </c>
      <c r="D1533" s="277">
        <v>44762</v>
      </c>
      <c r="E1533" s="279" t="s">
        <v>267</v>
      </c>
      <c r="F1533" s="133" t="s">
        <v>41</v>
      </c>
      <c r="G1533" s="270" t="s">
        <v>35</v>
      </c>
      <c r="H1533" s="272" t="s">
        <v>84</v>
      </c>
      <c r="I1533" s="273">
        <v>100</v>
      </c>
      <c r="J1533" s="270">
        <v>279</v>
      </c>
      <c r="K1533" s="270">
        <f t="shared" si="0"/>
        <v>27900</v>
      </c>
      <c r="L1533" s="286">
        <f t="shared" si="3"/>
        <v>9064.7512315270942</v>
      </c>
      <c r="M1533" s="286">
        <v>-700</v>
      </c>
      <c r="N1533" s="274">
        <v>793.11</v>
      </c>
      <c r="O1533" s="55"/>
      <c r="P1533" s="45">
        <v>793</v>
      </c>
      <c r="Q1533" s="286">
        <v>1325</v>
      </c>
      <c r="R1533" s="275">
        <v>0</v>
      </c>
      <c r="S1533" s="286">
        <v>1325</v>
      </c>
      <c r="T1533" s="286">
        <v>93</v>
      </c>
      <c r="U1533" s="57">
        <v>1</v>
      </c>
      <c r="V1533" s="276">
        <v>0.19</v>
      </c>
      <c r="W1533" s="276">
        <v>0</v>
      </c>
      <c r="X1533" s="286">
        <v>75</v>
      </c>
      <c r="Y1533" s="286">
        <v>18</v>
      </c>
      <c r="Z1533" s="45" t="b">
        <v>1</v>
      </c>
      <c r="AA1533" s="45" t="s">
        <v>38</v>
      </c>
      <c r="AB1533" s="45" t="s">
        <v>38</v>
      </c>
    </row>
    <row r="1534" spans="1:28" x14ac:dyDescent="0.2">
      <c r="A1534" s="279" t="s">
        <v>395</v>
      </c>
      <c r="B1534" s="270" t="s">
        <v>162</v>
      </c>
      <c r="C1534" s="277">
        <v>44733</v>
      </c>
      <c r="D1534" s="277">
        <v>44762</v>
      </c>
      <c r="E1534" s="279" t="s">
        <v>267</v>
      </c>
      <c r="F1534" s="133" t="s">
        <v>41</v>
      </c>
      <c r="G1534" s="270" t="s">
        <v>35</v>
      </c>
      <c r="H1534" s="272" t="s">
        <v>88</v>
      </c>
      <c r="I1534" s="273">
        <v>250</v>
      </c>
      <c r="J1534" s="270">
        <v>285</v>
      </c>
      <c r="K1534" s="270">
        <f t="shared" si="0"/>
        <v>71250</v>
      </c>
      <c r="L1534" s="286">
        <f t="shared" ref="L1534:L1535" si="4">10775/471*J1534</f>
        <v>6519.9044585987258</v>
      </c>
      <c r="M1534" s="286">
        <v>3500</v>
      </c>
      <c r="N1534" s="274">
        <v>2025.42</v>
      </c>
      <c r="O1534" s="55"/>
      <c r="P1534" s="105">
        <v>2025</v>
      </c>
      <c r="Q1534" s="286">
        <v>-614</v>
      </c>
      <c r="R1534" s="275">
        <v>0</v>
      </c>
      <c r="S1534" s="286">
        <v>-614</v>
      </c>
      <c r="T1534" s="286">
        <v>5525</v>
      </c>
      <c r="U1534" s="57">
        <v>1</v>
      </c>
      <c r="V1534" s="276">
        <v>0.19</v>
      </c>
      <c r="W1534" s="276">
        <v>0</v>
      </c>
      <c r="X1534" s="286">
        <v>4476</v>
      </c>
      <c r="Y1534" s="286">
        <v>1050</v>
      </c>
      <c r="Z1534" s="45" t="b">
        <v>1</v>
      </c>
      <c r="AA1534" s="45" t="s">
        <v>38</v>
      </c>
      <c r="AB1534" s="45" t="s">
        <v>38</v>
      </c>
    </row>
    <row r="1535" spans="1:28" x14ac:dyDescent="0.2">
      <c r="A1535" s="279" t="s">
        <v>395</v>
      </c>
      <c r="B1535" s="270" t="s">
        <v>162</v>
      </c>
      <c r="C1535" s="277">
        <v>44733</v>
      </c>
      <c r="D1535" s="277">
        <v>44762</v>
      </c>
      <c r="E1535" s="279" t="s">
        <v>267</v>
      </c>
      <c r="F1535" s="133" t="s">
        <v>41</v>
      </c>
      <c r="G1535" s="270" t="s">
        <v>35</v>
      </c>
      <c r="H1535" s="272" t="s">
        <v>148</v>
      </c>
      <c r="I1535" s="273">
        <v>250</v>
      </c>
      <c r="J1535" s="270">
        <v>186</v>
      </c>
      <c r="K1535" s="270">
        <f t="shared" si="0"/>
        <v>46500</v>
      </c>
      <c r="L1535" s="286">
        <f t="shared" si="4"/>
        <v>4255.0955414012733</v>
      </c>
      <c r="M1535" s="286">
        <v>4500</v>
      </c>
      <c r="N1535" s="274">
        <v>1321.85</v>
      </c>
      <c r="O1535" s="55"/>
      <c r="P1535" s="105">
        <v>1322</v>
      </c>
      <c r="Q1535" s="286">
        <v>932</v>
      </c>
      <c r="R1535" s="275">
        <v>0</v>
      </c>
      <c r="S1535" s="286">
        <v>932</v>
      </c>
      <c r="T1535" s="286">
        <v>5822</v>
      </c>
      <c r="U1535" s="57">
        <v>1</v>
      </c>
      <c r="V1535" s="276">
        <v>0.19</v>
      </c>
      <c r="W1535" s="276">
        <v>0</v>
      </c>
      <c r="X1535" s="286">
        <v>4716</v>
      </c>
      <c r="Y1535" s="286">
        <v>1106</v>
      </c>
      <c r="Z1535" s="45" t="b">
        <v>1</v>
      </c>
      <c r="AA1535" s="45" t="s">
        <v>38</v>
      </c>
      <c r="AB1535" s="45" t="s">
        <v>38</v>
      </c>
    </row>
    <row r="1536" spans="1:28" x14ac:dyDescent="0.2">
      <c r="A1536" s="279" t="s">
        <v>395</v>
      </c>
      <c r="B1536" s="270" t="s">
        <v>162</v>
      </c>
      <c r="C1536" s="277">
        <v>44733</v>
      </c>
      <c r="D1536" s="277">
        <v>44762</v>
      </c>
      <c r="E1536" s="279" t="s">
        <v>267</v>
      </c>
      <c r="F1536" s="133" t="s">
        <v>41</v>
      </c>
      <c r="G1536" s="270" t="s">
        <v>35</v>
      </c>
      <c r="H1536" s="272" t="s">
        <v>85</v>
      </c>
      <c r="I1536" s="273">
        <v>50</v>
      </c>
      <c r="J1536" s="270">
        <v>4</v>
      </c>
      <c r="K1536" s="270">
        <f t="shared" si="0"/>
        <v>200</v>
      </c>
      <c r="L1536" s="286">
        <v>274</v>
      </c>
      <c r="M1536" s="286">
        <v>0</v>
      </c>
      <c r="N1536" s="274">
        <v>6.82</v>
      </c>
      <c r="O1536" s="55"/>
      <c r="P1536" s="45">
        <v>7</v>
      </c>
      <c r="Q1536" s="286">
        <v>30</v>
      </c>
      <c r="R1536" s="275">
        <v>0</v>
      </c>
      <c r="S1536" s="286">
        <v>30</v>
      </c>
      <c r="T1536" s="286">
        <v>7</v>
      </c>
      <c r="U1536" s="57">
        <v>1</v>
      </c>
      <c r="V1536" s="276">
        <v>0.19</v>
      </c>
      <c r="W1536" s="276">
        <v>0</v>
      </c>
      <c r="X1536" s="286">
        <v>6</v>
      </c>
      <c r="Y1536" s="286">
        <v>1</v>
      </c>
      <c r="Z1536" s="45" t="b">
        <v>1</v>
      </c>
      <c r="AA1536" s="45" t="s">
        <v>38</v>
      </c>
      <c r="AB1536" s="45" t="s">
        <v>38</v>
      </c>
    </row>
    <row r="1537" spans="1:28" x14ac:dyDescent="0.2">
      <c r="A1537" s="279" t="s">
        <v>395</v>
      </c>
      <c r="B1537" s="270" t="s">
        <v>162</v>
      </c>
      <c r="C1537" s="277">
        <v>44733</v>
      </c>
      <c r="D1537" s="277">
        <v>44762</v>
      </c>
      <c r="E1537" s="279" t="s">
        <v>267</v>
      </c>
      <c r="F1537" s="133" t="s">
        <v>41</v>
      </c>
      <c r="G1537" s="270" t="s">
        <v>35</v>
      </c>
      <c r="H1537" s="272" t="s">
        <v>142</v>
      </c>
      <c r="I1537" s="273">
        <v>500</v>
      </c>
      <c r="J1537" s="270">
        <v>18</v>
      </c>
      <c r="K1537" s="270">
        <f t="shared" si="0"/>
        <v>9000</v>
      </c>
      <c r="L1537" s="286">
        <f t="shared" ref="L1537:L1538" si="5">-2035/33*J1537</f>
        <v>-1110</v>
      </c>
      <c r="M1537" s="286">
        <v>-5500</v>
      </c>
      <c r="N1537" s="274">
        <v>255.84</v>
      </c>
      <c r="O1537" s="55"/>
      <c r="P1537" s="45">
        <v>256</v>
      </c>
      <c r="Q1537" s="286">
        <v>-1501</v>
      </c>
      <c r="R1537" s="275">
        <v>0</v>
      </c>
      <c r="S1537" s="286">
        <v>-1501</v>
      </c>
      <c r="T1537" s="286">
        <v>-5244</v>
      </c>
      <c r="U1537" s="57">
        <v>1</v>
      </c>
      <c r="V1537" s="276">
        <v>0.19</v>
      </c>
      <c r="W1537" s="276">
        <v>0</v>
      </c>
      <c r="X1537" s="286">
        <v>-4248</v>
      </c>
      <c r="Y1537" s="286">
        <v>-996</v>
      </c>
      <c r="Z1537" s="45" t="b">
        <v>1</v>
      </c>
      <c r="AA1537" s="45" t="s">
        <v>38</v>
      </c>
      <c r="AB1537" s="45" t="s">
        <v>38</v>
      </c>
    </row>
    <row r="1538" spans="1:28" x14ac:dyDescent="0.2">
      <c r="A1538" s="279" t="s">
        <v>395</v>
      </c>
      <c r="B1538" s="270" t="s">
        <v>162</v>
      </c>
      <c r="C1538" s="277">
        <v>44733</v>
      </c>
      <c r="D1538" s="277">
        <v>44762</v>
      </c>
      <c r="E1538" s="279" t="s">
        <v>267</v>
      </c>
      <c r="F1538" s="133" t="s">
        <v>41</v>
      </c>
      <c r="G1538" s="270" t="s">
        <v>35</v>
      </c>
      <c r="H1538" s="272" t="s">
        <v>149</v>
      </c>
      <c r="I1538" s="273">
        <v>500</v>
      </c>
      <c r="J1538" s="270">
        <v>15</v>
      </c>
      <c r="K1538" s="270">
        <f t="shared" si="0"/>
        <v>7500</v>
      </c>
      <c r="L1538" s="286">
        <f t="shared" si="5"/>
        <v>-925</v>
      </c>
      <c r="M1538" s="286">
        <v>5000</v>
      </c>
      <c r="N1538" s="274">
        <v>213.2</v>
      </c>
      <c r="O1538" s="55"/>
      <c r="P1538" s="45">
        <v>213</v>
      </c>
      <c r="Q1538" s="286">
        <v>-1831</v>
      </c>
      <c r="R1538" s="275">
        <v>0</v>
      </c>
      <c r="S1538" s="286">
        <v>-1831</v>
      </c>
      <c r="T1538" s="286">
        <v>5213</v>
      </c>
      <c r="U1538" s="57">
        <v>1</v>
      </c>
      <c r="V1538" s="276">
        <v>0.19</v>
      </c>
      <c r="W1538" s="276">
        <v>0</v>
      </c>
      <c r="X1538" s="286">
        <v>4223</v>
      </c>
      <c r="Y1538" s="286">
        <v>991</v>
      </c>
      <c r="Z1538" s="45" t="b">
        <v>1</v>
      </c>
      <c r="AA1538" s="45" t="s">
        <v>38</v>
      </c>
      <c r="AB1538" s="45" t="s">
        <v>38</v>
      </c>
    </row>
    <row r="1539" spans="1:28" x14ac:dyDescent="0.2">
      <c r="A1539" s="96" t="s">
        <v>402</v>
      </c>
      <c r="B1539" s="96" t="s">
        <v>163</v>
      </c>
      <c r="C1539" s="277">
        <v>44733</v>
      </c>
      <c r="D1539" s="277">
        <v>44762</v>
      </c>
      <c r="E1539" s="270" t="s">
        <v>267</v>
      </c>
      <c r="F1539" s="133" t="s">
        <v>34</v>
      </c>
      <c r="G1539" s="270" t="s">
        <v>35</v>
      </c>
      <c r="H1539" s="272" t="s">
        <v>40</v>
      </c>
      <c r="I1539" s="273">
        <v>10</v>
      </c>
      <c r="J1539" s="270">
        <v>2221</v>
      </c>
      <c r="K1539" s="270">
        <f t="shared" si="0"/>
        <v>22210</v>
      </c>
      <c r="L1539" s="270">
        <v>99244</v>
      </c>
      <c r="M1539" s="270">
        <v>100</v>
      </c>
      <c r="N1539" s="274">
        <v>560</v>
      </c>
      <c r="O1539" s="55"/>
      <c r="P1539" s="45">
        <v>560</v>
      </c>
      <c r="Q1539" s="270">
        <v>146</v>
      </c>
      <c r="R1539" s="275">
        <v>-1.335E-3</v>
      </c>
      <c r="S1539" s="270">
        <v>116</v>
      </c>
      <c r="T1539" s="270">
        <v>676</v>
      </c>
      <c r="U1539" s="57">
        <v>1</v>
      </c>
      <c r="V1539" s="276">
        <v>0.3</v>
      </c>
      <c r="W1539" s="276">
        <v>0</v>
      </c>
      <c r="X1539" s="270">
        <v>473</v>
      </c>
      <c r="Y1539" s="270">
        <v>203</v>
      </c>
      <c r="Z1539" s="45" t="b">
        <v>1</v>
      </c>
      <c r="AA1539" s="45" t="s">
        <v>38</v>
      </c>
      <c r="AB1539" s="45" t="s">
        <v>38</v>
      </c>
    </row>
    <row r="1540" spans="1:28" x14ac:dyDescent="0.2">
      <c r="A1540" s="96" t="s">
        <v>402</v>
      </c>
      <c r="B1540" s="96" t="s">
        <v>163</v>
      </c>
      <c r="C1540" s="277">
        <v>44733</v>
      </c>
      <c r="D1540" s="277">
        <v>44762</v>
      </c>
      <c r="E1540" s="270" t="s">
        <v>267</v>
      </c>
      <c r="F1540" s="133" t="s">
        <v>34</v>
      </c>
      <c r="G1540" s="270" t="s">
        <v>35</v>
      </c>
      <c r="H1540" s="272" t="s">
        <v>46</v>
      </c>
      <c r="I1540" s="273">
        <v>25</v>
      </c>
      <c r="J1540" s="270">
        <v>1157</v>
      </c>
      <c r="K1540" s="270">
        <f t="shared" si="0"/>
        <v>28925</v>
      </c>
      <c r="L1540" s="270">
        <v>23770</v>
      </c>
      <c r="M1540" s="270">
        <v>325</v>
      </c>
      <c r="N1540" s="274">
        <v>625</v>
      </c>
      <c r="O1540" s="55"/>
      <c r="P1540" s="45">
        <v>625</v>
      </c>
      <c r="Q1540" s="270">
        <v>-789</v>
      </c>
      <c r="R1540" s="275">
        <v>-1.335E-3</v>
      </c>
      <c r="S1540" s="270">
        <v>-827</v>
      </c>
      <c r="T1540" s="270">
        <v>-202</v>
      </c>
      <c r="U1540" s="57">
        <v>1</v>
      </c>
      <c r="V1540" s="276">
        <v>0.3</v>
      </c>
      <c r="W1540" s="276">
        <v>0</v>
      </c>
      <c r="X1540" s="270">
        <v>-142</v>
      </c>
      <c r="Y1540" s="270">
        <v>-61</v>
      </c>
      <c r="Z1540" s="45" t="b">
        <v>1</v>
      </c>
      <c r="AA1540" s="45" t="s">
        <v>38</v>
      </c>
      <c r="AB1540" s="45" t="s">
        <v>38</v>
      </c>
    </row>
    <row r="1541" spans="1:28" x14ac:dyDescent="0.2">
      <c r="A1541" s="279" t="s">
        <v>91</v>
      </c>
      <c r="B1541" s="279" t="s">
        <v>96</v>
      </c>
      <c r="C1541" s="277">
        <v>44733</v>
      </c>
      <c r="D1541" s="277">
        <v>44762</v>
      </c>
      <c r="E1541" s="279" t="s">
        <v>267</v>
      </c>
      <c r="F1541" s="133" t="s">
        <v>34</v>
      </c>
      <c r="G1541" s="279" t="s">
        <v>35</v>
      </c>
      <c r="H1541" s="272" t="s">
        <v>46</v>
      </c>
      <c r="I1541" s="273">
        <v>25</v>
      </c>
      <c r="J1541" s="270">
        <v>520</v>
      </c>
      <c r="K1541" s="270">
        <f t="shared" si="0"/>
        <v>13000</v>
      </c>
      <c r="L1541" s="270">
        <v>9772</v>
      </c>
      <c r="M1541" s="270">
        <v>-450</v>
      </c>
      <c r="N1541" s="274">
        <v>460</v>
      </c>
      <c r="O1541" s="55"/>
      <c r="P1541" s="45">
        <v>460</v>
      </c>
      <c r="Q1541" s="270">
        <v>-379</v>
      </c>
      <c r="R1541" s="275">
        <v>-1.335E-3</v>
      </c>
      <c r="S1541" s="270">
        <v>-396</v>
      </c>
      <c r="T1541" s="270">
        <v>64</v>
      </c>
      <c r="U1541" s="57">
        <v>1</v>
      </c>
      <c r="V1541" s="276">
        <v>0.3</v>
      </c>
      <c r="W1541" s="276">
        <v>0</v>
      </c>
      <c r="X1541" s="270">
        <v>45</v>
      </c>
      <c r="Y1541" s="270">
        <v>19</v>
      </c>
      <c r="Z1541" s="45" t="b">
        <v>1</v>
      </c>
      <c r="AA1541" s="45" t="s">
        <v>38</v>
      </c>
      <c r="AB1541" s="45" t="s">
        <v>38</v>
      </c>
    </row>
    <row r="1542" spans="1:28" x14ac:dyDescent="0.2">
      <c r="A1542" s="96" t="s">
        <v>172</v>
      </c>
      <c r="B1542" s="96" t="s">
        <v>172</v>
      </c>
      <c r="C1542" s="277">
        <v>44733</v>
      </c>
      <c r="D1542" s="277">
        <v>44762</v>
      </c>
      <c r="E1542" s="270" t="s">
        <v>300</v>
      </c>
      <c r="F1542" s="133" t="s">
        <v>34</v>
      </c>
      <c r="G1542" s="96" t="s">
        <v>35</v>
      </c>
      <c r="H1542" s="272" t="s">
        <v>70</v>
      </c>
      <c r="I1542" s="273">
        <v>100</v>
      </c>
      <c r="J1542" s="270">
        <v>11801</v>
      </c>
      <c r="K1542" s="270">
        <f t="shared" si="0"/>
        <v>1180100</v>
      </c>
      <c r="L1542" s="270">
        <v>272805</v>
      </c>
      <c r="M1542" s="270">
        <v>-18600</v>
      </c>
      <c r="N1542" s="274">
        <v>47624</v>
      </c>
      <c r="O1542" s="55"/>
      <c r="P1542" s="105">
        <v>47624</v>
      </c>
      <c r="Q1542" s="270">
        <v>-12594</v>
      </c>
      <c r="R1542" s="275">
        <v>-1.5E-3</v>
      </c>
      <c r="S1542" s="270">
        <v>-14364</v>
      </c>
      <c r="T1542" s="270">
        <v>33260</v>
      </c>
      <c r="U1542" s="57">
        <v>1</v>
      </c>
      <c r="V1542" s="276">
        <v>0.1125</v>
      </c>
      <c r="W1542" s="276">
        <v>3.7499999999999999E-2</v>
      </c>
      <c r="X1542" s="270">
        <v>28271</v>
      </c>
      <c r="Y1542" s="270">
        <v>4989</v>
      </c>
      <c r="Z1542" s="45" t="b">
        <v>1</v>
      </c>
      <c r="AA1542" s="45" t="s">
        <v>38</v>
      </c>
      <c r="AB1542" s="45" t="s">
        <v>38</v>
      </c>
    </row>
    <row r="1543" spans="1:28" x14ac:dyDescent="0.2">
      <c r="A1543" s="96" t="s">
        <v>172</v>
      </c>
      <c r="B1543" s="96" t="s">
        <v>172</v>
      </c>
      <c r="C1543" s="277">
        <v>44733</v>
      </c>
      <c r="D1543" s="277">
        <v>44762</v>
      </c>
      <c r="E1543" s="270" t="s">
        <v>300</v>
      </c>
      <c r="F1543" s="133" t="s">
        <v>34</v>
      </c>
      <c r="G1543" s="96" t="s">
        <v>35</v>
      </c>
      <c r="H1543" s="272" t="s">
        <v>84</v>
      </c>
      <c r="I1543" s="273">
        <v>100</v>
      </c>
      <c r="J1543" s="270">
        <v>32</v>
      </c>
      <c r="K1543" s="270">
        <f t="shared" si="0"/>
        <v>3200</v>
      </c>
      <c r="L1543" s="270">
        <v>1045</v>
      </c>
      <c r="M1543" s="270">
        <v>300</v>
      </c>
      <c r="N1543" s="274">
        <v>129</v>
      </c>
      <c r="O1543" s="55"/>
      <c r="P1543" s="45">
        <v>129</v>
      </c>
      <c r="Q1543" s="270">
        <v>154</v>
      </c>
      <c r="R1543" s="275">
        <v>-1.5E-3</v>
      </c>
      <c r="S1543" s="270">
        <v>149</v>
      </c>
      <c r="T1543" s="270">
        <v>278</v>
      </c>
      <c r="U1543" s="57">
        <v>1</v>
      </c>
      <c r="V1543" s="276">
        <v>0.1125</v>
      </c>
      <c r="W1543" s="276">
        <v>3.7499999999999999E-2</v>
      </c>
      <c r="X1543" s="270">
        <v>236</v>
      </c>
      <c r="Y1543" s="270">
        <v>42</v>
      </c>
      <c r="Z1543" s="45" t="b">
        <v>1</v>
      </c>
      <c r="AA1543" s="45" t="s">
        <v>38</v>
      </c>
      <c r="AB1543" s="45" t="s">
        <v>38</v>
      </c>
    </row>
    <row r="1544" spans="1:28" x14ac:dyDescent="0.2">
      <c r="A1544" s="96" t="s">
        <v>172</v>
      </c>
      <c r="B1544" s="96" t="s">
        <v>172</v>
      </c>
      <c r="C1544" s="277">
        <v>44733</v>
      </c>
      <c r="D1544" s="277">
        <v>44762</v>
      </c>
      <c r="E1544" s="270" t="s">
        <v>300</v>
      </c>
      <c r="F1544" s="133" t="s">
        <v>34</v>
      </c>
      <c r="G1544" s="96" t="s">
        <v>35</v>
      </c>
      <c r="H1544" s="272" t="s">
        <v>88</v>
      </c>
      <c r="I1544" s="273">
        <v>250</v>
      </c>
      <c r="J1544" s="270">
        <v>503</v>
      </c>
      <c r="K1544" s="270">
        <f t="shared" si="0"/>
        <v>125750</v>
      </c>
      <c r="L1544" s="270">
        <v>1075</v>
      </c>
      <c r="M1544" s="270">
        <v>-24000</v>
      </c>
      <c r="N1544" s="274">
        <v>5075</v>
      </c>
      <c r="O1544" s="55"/>
      <c r="P1544" s="105">
        <v>5075</v>
      </c>
      <c r="Q1544" s="270">
        <v>-5984</v>
      </c>
      <c r="R1544" s="275">
        <v>-1.5E-3</v>
      </c>
      <c r="S1544" s="270">
        <v>-6172</v>
      </c>
      <c r="T1544" s="270">
        <v>-1097</v>
      </c>
      <c r="U1544" s="57">
        <v>1</v>
      </c>
      <c r="V1544" s="276">
        <v>0.1125</v>
      </c>
      <c r="W1544" s="276">
        <v>3.7499999999999999E-2</v>
      </c>
      <c r="X1544" s="270">
        <v>-933</v>
      </c>
      <c r="Y1544" s="270">
        <v>-165</v>
      </c>
      <c r="Z1544" s="45" t="b">
        <v>1</v>
      </c>
      <c r="AA1544" s="45" t="s">
        <v>38</v>
      </c>
      <c r="AB1544" s="45" t="s">
        <v>38</v>
      </c>
    </row>
    <row r="1545" spans="1:28" x14ac:dyDescent="0.2">
      <c r="A1545" s="96" t="s">
        <v>172</v>
      </c>
      <c r="B1545" s="96" t="s">
        <v>172</v>
      </c>
      <c r="C1545" s="277">
        <v>44733</v>
      </c>
      <c r="D1545" s="277">
        <v>44762</v>
      </c>
      <c r="E1545" s="270" t="s">
        <v>300</v>
      </c>
      <c r="F1545" s="133" t="s">
        <v>34</v>
      </c>
      <c r="G1545" s="96" t="s">
        <v>35</v>
      </c>
      <c r="H1545" s="272" t="s">
        <v>142</v>
      </c>
      <c r="I1545" s="273">
        <v>500</v>
      </c>
      <c r="J1545" s="270">
        <v>1</v>
      </c>
      <c r="K1545" s="270">
        <f t="shared" si="0"/>
        <v>500</v>
      </c>
      <c r="L1545" s="270">
        <v>-54</v>
      </c>
      <c r="M1545" s="270">
        <v>-500</v>
      </c>
      <c r="N1545" s="274">
        <v>20</v>
      </c>
      <c r="O1545" s="55"/>
      <c r="P1545" s="45">
        <v>20</v>
      </c>
      <c r="Q1545" s="270">
        <v>-76</v>
      </c>
      <c r="R1545" s="275">
        <v>-1.5E-3</v>
      </c>
      <c r="S1545" s="270">
        <v>-77</v>
      </c>
      <c r="T1545" s="270">
        <v>-57</v>
      </c>
      <c r="U1545" s="57">
        <v>1</v>
      </c>
      <c r="V1545" s="276">
        <v>0.1125</v>
      </c>
      <c r="W1545" s="276">
        <v>3.7499999999999999E-2</v>
      </c>
      <c r="X1545" s="270">
        <v>-48</v>
      </c>
      <c r="Y1545" s="270">
        <v>-9</v>
      </c>
      <c r="Z1545" s="45" t="b">
        <v>1</v>
      </c>
      <c r="AA1545" s="45" t="s">
        <v>38</v>
      </c>
      <c r="AB1545" s="45" t="s">
        <v>38</v>
      </c>
    </row>
    <row r="1546" spans="1:28" x14ac:dyDescent="0.2">
      <c r="A1546" s="96" t="s">
        <v>172</v>
      </c>
      <c r="B1546" s="96" t="s">
        <v>172</v>
      </c>
      <c r="C1546" s="277">
        <v>44733</v>
      </c>
      <c r="D1546" s="277">
        <v>44762</v>
      </c>
      <c r="E1546" s="270" t="s">
        <v>300</v>
      </c>
      <c r="F1546" s="133" t="s">
        <v>41</v>
      </c>
      <c r="G1546" s="96" t="s">
        <v>35</v>
      </c>
      <c r="H1546" s="272" t="s">
        <v>85</v>
      </c>
      <c r="I1546" s="273">
        <v>50</v>
      </c>
      <c r="J1546" s="270">
        <v>1</v>
      </c>
      <c r="K1546" s="270">
        <f t="shared" si="0"/>
        <v>50</v>
      </c>
      <c r="L1546" s="270"/>
      <c r="M1546" s="270">
        <v>-50</v>
      </c>
      <c r="N1546" s="274">
        <v>2</v>
      </c>
      <c r="O1546" s="55"/>
      <c r="P1546" s="45">
        <v>2</v>
      </c>
      <c r="Q1546" s="270"/>
      <c r="R1546" s="275">
        <v>0</v>
      </c>
      <c r="S1546" s="270"/>
      <c r="T1546" s="270">
        <v>-48</v>
      </c>
      <c r="U1546" s="57">
        <v>1</v>
      </c>
      <c r="V1546" s="276">
        <v>0.1125</v>
      </c>
      <c r="W1546" s="276">
        <v>3.7499999999999999E-2</v>
      </c>
      <c r="X1546" s="270">
        <v>-41</v>
      </c>
      <c r="Y1546" s="270">
        <v>-7</v>
      </c>
      <c r="Z1546" s="45" t="b">
        <v>1</v>
      </c>
      <c r="AA1546" s="45" t="s">
        <v>38</v>
      </c>
      <c r="AB1546" s="45" t="s">
        <v>38</v>
      </c>
    </row>
    <row r="1547" spans="1:28" x14ac:dyDescent="0.2">
      <c r="A1547" s="279" t="s">
        <v>466</v>
      </c>
      <c r="B1547" s="279" t="s">
        <v>118</v>
      </c>
      <c r="C1547" s="277">
        <v>44733</v>
      </c>
      <c r="D1547" s="277">
        <v>44762</v>
      </c>
      <c r="E1547" s="279" t="s">
        <v>300</v>
      </c>
      <c r="F1547" s="133" t="s">
        <v>34</v>
      </c>
      <c r="G1547" s="270" t="s">
        <v>80</v>
      </c>
      <c r="H1547" s="270" t="s">
        <v>72</v>
      </c>
      <c r="I1547" s="273">
        <v>50</v>
      </c>
      <c r="J1547" s="270">
        <v>500</v>
      </c>
      <c r="K1547" s="270">
        <f t="shared" si="0"/>
        <v>25000</v>
      </c>
      <c r="L1547" s="270">
        <v>14234</v>
      </c>
      <c r="M1547" s="270">
        <v>3150</v>
      </c>
      <c r="N1547" s="274">
        <v>1476</v>
      </c>
      <c r="O1547" s="55"/>
      <c r="P1547" s="105">
        <v>1476</v>
      </c>
      <c r="Q1547" s="270">
        <v>214</v>
      </c>
      <c r="R1547" s="275">
        <v>-1.335E-3</v>
      </c>
      <c r="S1547" s="270">
        <v>181</v>
      </c>
      <c r="T1547" s="270">
        <v>1657</v>
      </c>
      <c r="U1547" s="57">
        <v>1</v>
      </c>
      <c r="V1547" s="276">
        <v>0.15</v>
      </c>
      <c r="W1547" s="276">
        <v>0.05</v>
      </c>
      <c r="X1547" s="270">
        <v>1325</v>
      </c>
      <c r="Y1547" s="270">
        <v>331</v>
      </c>
      <c r="Z1547" s="45" t="b">
        <v>1</v>
      </c>
      <c r="AA1547" s="45" t="s">
        <v>38</v>
      </c>
      <c r="AB1547" s="45" t="s">
        <v>38</v>
      </c>
    </row>
    <row r="1548" spans="1:28" x14ac:dyDescent="0.2">
      <c r="A1548" s="96" t="s">
        <v>473</v>
      </c>
      <c r="B1548" s="270" t="s">
        <v>120</v>
      </c>
      <c r="C1548" s="277">
        <v>44733</v>
      </c>
      <c r="D1548" s="277">
        <v>44762</v>
      </c>
      <c r="E1548" s="270" t="s">
        <v>267</v>
      </c>
      <c r="F1548" s="96" t="s">
        <v>34</v>
      </c>
      <c r="G1548" s="270" t="s">
        <v>35</v>
      </c>
      <c r="H1548" s="272" t="s">
        <v>39</v>
      </c>
      <c r="I1548" s="280">
        <v>5</v>
      </c>
      <c r="J1548" s="279">
        <v>35</v>
      </c>
      <c r="K1548" s="270">
        <f t="shared" si="0"/>
        <v>175</v>
      </c>
      <c r="L1548" s="279">
        <v>3533</v>
      </c>
      <c r="M1548" s="279">
        <v>-5</v>
      </c>
      <c r="N1548" s="274">
        <v>8.1999999999999993</v>
      </c>
      <c r="O1548" s="55"/>
      <c r="P1548" s="45">
        <v>8</v>
      </c>
      <c r="Q1548" s="279">
        <v>17</v>
      </c>
      <c r="R1548" s="275">
        <v>-1.335E-3</v>
      </c>
      <c r="S1548" s="279">
        <v>16</v>
      </c>
      <c r="T1548" s="279">
        <v>24</v>
      </c>
      <c r="U1548" s="57">
        <v>1</v>
      </c>
      <c r="V1548" s="276">
        <v>0.22</v>
      </c>
      <c r="W1548" s="276">
        <v>0</v>
      </c>
      <c r="X1548" s="279">
        <v>19</v>
      </c>
      <c r="Y1548" s="279">
        <v>5</v>
      </c>
      <c r="Z1548" s="45" t="b">
        <v>0</v>
      </c>
      <c r="AA1548" s="45" t="s">
        <v>38</v>
      </c>
      <c r="AB1548" s="45" t="s">
        <v>38</v>
      </c>
    </row>
    <row r="1549" spans="1:28" x14ac:dyDescent="0.2">
      <c r="A1549" s="96" t="s">
        <v>473</v>
      </c>
      <c r="B1549" s="270" t="s">
        <v>120</v>
      </c>
      <c r="C1549" s="277">
        <v>44733</v>
      </c>
      <c r="D1549" s="277">
        <v>44762</v>
      </c>
      <c r="E1549" s="270" t="s">
        <v>267</v>
      </c>
      <c r="F1549" s="96" t="s">
        <v>34</v>
      </c>
      <c r="G1549" s="270" t="s">
        <v>35</v>
      </c>
      <c r="H1549" s="272" t="s">
        <v>40</v>
      </c>
      <c r="I1549" s="280">
        <v>10</v>
      </c>
      <c r="J1549" s="279">
        <v>20</v>
      </c>
      <c r="K1549" s="270">
        <f t="shared" si="0"/>
        <v>200</v>
      </c>
      <c r="L1549" s="279">
        <v>3037</v>
      </c>
      <c r="M1549" s="279">
        <v>20</v>
      </c>
      <c r="N1549" s="274">
        <v>8.1999999999999993</v>
      </c>
      <c r="O1549" s="55"/>
      <c r="P1549" s="45">
        <v>8</v>
      </c>
      <c r="Q1549" s="279">
        <v>41</v>
      </c>
      <c r="R1549" s="275">
        <v>-1.335E-3</v>
      </c>
      <c r="S1549" s="279">
        <v>41</v>
      </c>
      <c r="T1549" s="279">
        <v>49</v>
      </c>
      <c r="U1549" s="57">
        <v>1</v>
      </c>
      <c r="V1549" s="276">
        <v>0.22</v>
      </c>
      <c r="W1549" s="276">
        <v>0</v>
      </c>
      <c r="X1549" s="279">
        <v>38</v>
      </c>
      <c r="Y1549" s="279">
        <v>11</v>
      </c>
      <c r="Z1549" s="45" t="b">
        <v>0</v>
      </c>
      <c r="AA1549" s="45" t="s">
        <v>38</v>
      </c>
      <c r="AB1549" s="45" t="s">
        <v>38</v>
      </c>
    </row>
    <row r="1550" spans="1:28" x14ac:dyDescent="0.2">
      <c r="A1550" s="96" t="s">
        <v>473</v>
      </c>
      <c r="B1550" s="270" t="s">
        <v>120</v>
      </c>
      <c r="C1550" s="277">
        <v>44733</v>
      </c>
      <c r="D1550" s="277">
        <v>44762</v>
      </c>
      <c r="E1550" s="270" t="s">
        <v>267</v>
      </c>
      <c r="F1550" s="96" t="s">
        <v>34</v>
      </c>
      <c r="G1550" s="270" t="s">
        <v>35</v>
      </c>
      <c r="H1550" s="272" t="s">
        <v>46</v>
      </c>
      <c r="I1550" s="280">
        <v>25</v>
      </c>
      <c r="J1550" s="279">
        <v>2104</v>
      </c>
      <c r="K1550" s="270">
        <f t="shared" si="0"/>
        <v>52600</v>
      </c>
      <c r="L1550" s="279">
        <v>55996</v>
      </c>
      <c r="M1550" s="279">
        <v>-2100</v>
      </c>
      <c r="N1550" s="274">
        <v>1847.61</v>
      </c>
      <c r="O1550" s="55"/>
      <c r="P1550" s="105">
        <v>1848</v>
      </c>
      <c r="Q1550" s="279">
        <v>-771</v>
      </c>
      <c r="R1550" s="275">
        <v>-1.335E-3</v>
      </c>
      <c r="S1550" s="279">
        <v>-841</v>
      </c>
      <c r="T1550" s="279">
        <v>1007</v>
      </c>
      <c r="U1550" s="57">
        <v>1</v>
      </c>
      <c r="V1550" s="276">
        <v>0.22</v>
      </c>
      <c r="W1550" s="276">
        <v>0</v>
      </c>
      <c r="X1550" s="279">
        <v>785</v>
      </c>
      <c r="Y1550" s="279">
        <v>222</v>
      </c>
      <c r="Z1550" s="45" t="b">
        <v>0</v>
      </c>
      <c r="AA1550" s="45" t="s">
        <v>38</v>
      </c>
      <c r="AB1550" s="45" t="s">
        <v>38</v>
      </c>
    </row>
    <row r="1551" spans="1:28" x14ac:dyDescent="0.2">
      <c r="A1551" s="96" t="s">
        <v>178</v>
      </c>
      <c r="B1551" s="96" t="s">
        <v>178</v>
      </c>
      <c r="C1551" s="277">
        <v>44733</v>
      </c>
      <c r="D1551" s="277">
        <v>44762</v>
      </c>
      <c r="E1551" s="279" t="s">
        <v>267</v>
      </c>
      <c r="F1551" s="133" t="s">
        <v>34</v>
      </c>
      <c r="G1551" s="270" t="s">
        <v>35</v>
      </c>
      <c r="H1551" s="272" t="s">
        <v>40</v>
      </c>
      <c r="I1551" s="280">
        <v>10</v>
      </c>
      <c r="J1551" s="279">
        <v>745</v>
      </c>
      <c r="K1551" s="270">
        <f t="shared" si="0"/>
        <v>7450</v>
      </c>
      <c r="L1551" s="279">
        <v>46482</v>
      </c>
      <c r="M1551" s="279">
        <v>330</v>
      </c>
      <c r="N1551" s="274">
        <v>162.55000000000001</v>
      </c>
      <c r="O1551" s="55"/>
      <c r="P1551" s="45">
        <v>163</v>
      </c>
      <c r="Q1551" s="279">
        <v>301</v>
      </c>
      <c r="R1551" s="275">
        <v>-1.335E-3</v>
      </c>
      <c r="S1551" s="279">
        <v>291</v>
      </c>
      <c r="T1551" s="279">
        <v>454</v>
      </c>
      <c r="U1551" s="57">
        <v>1</v>
      </c>
      <c r="V1551" s="276">
        <v>0.25</v>
      </c>
      <c r="W1551" s="276">
        <v>0</v>
      </c>
      <c r="X1551" s="279">
        <v>340</v>
      </c>
      <c r="Y1551" s="279">
        <v>113</v>
      </c>
      <c r="Z1551" s="45" t="b">
        <v>1</v>
      </c>
      <c r="AA1551" s="45" t="s">
        <v>38</v>
      </c>
      <c r="AB1551" s="45" t="s">
        <v>38</v>
      </c>
    </row>
    <row r="1552" spans="1:28" x14ac:dyDescent="0.2">
      <c r="A1552" s="96" t="s">
        <v>178</v>
      </c>
      <c r="B1552" s="96" t="s">
        <v>178</v>
      </c>
      <c r="C1552" s="277">
        <v>44733</v>
      </c>
      <c r="D1552" s="277">
        <v>44762</v>
      </c>
      <c r="E1552" s="279" t="s">
        <v>267</v>
      </c>
      <c r="F1552" s="133" t="s">
        <v>34</v>
      </c>
      <c r="G1552" s="270" t="s">
        <v>35</v>
      </c>
      <c r="H1552" s="272" t="s">
        <v>115</v>
      </c>
      <c r="I1552" s="280">
        <v>10</v>
      </c>
      <c r="J1552" s="279">
        <v>1290</v>
      </c>
      <c r="K1552" s="270">
        <f t="shared" si="0"/>
        <v>12900</v>
      </c>
      <c r="L1552" s="279">
        <v>22852</v>
      </c>
      <c r="M1552" s="279">
        <v>-580</v>
      </c>
      <c r="N1552" s="274">
        <v>281.45</v>
      </c>
      <c r="O1552" s="55"/>
      <c r="P1552" s="45">
        <v>281</v>
      </c>
      <c r="Q1552" s="279">
        <v>-256</v>
      </c>
      <c r="R1552" s="275">
        <v>-1.335E-3</v>
      </c>
      <c r="S1552" s="279">
        <v>-273</v>
      </c>
      <c r="T1552" s="279">
        <v>8</v>
      </c>
      <c r="U1552" s="57">
        <v>1</v>
      </c>
      <c r="V1552" s="276">
        <v>0.25</v>
      </c>
      <c r="W1552" s="276">
        <v>0</v>
      </c>
      <c r="X1552" s="279">
        <v>6</v>
      </c>
      <c r="Y1552" s="279">
        <v>2</v>
      </c>
      <c r="Z1552" s="45" t="b">
        <v>1</v>
      </c>
      <c r="AA1552" s="45" t="s">
        <v>38</v>
      </c>
      <c r="AB1552" s="45" t="s">
        <v>38</v>
      </c>
    </row>
    <row r="1553" spans="1:28" x14ac:dyDescent="0.2">
      <c r="A1553" s="96" t="s">
        <v>102</v>
      </c>
      <c r="B1553" s="96" t="s">
        <v>102</v>
      </c>
      <c r="C1553" s="277">
        <v>44733</v>
      </c>
      <c r="D1553" s="277">
        <v>44762</v>
      </c>
      <c r="E1553" s="270" t="s">
        <v>267</v>
      </c>
      <c r="F1553" s="96" t="s">
        <v>34</v>
      </c>
      <c r="G1553" s="270" t="s">
        <v>35</v>
      </c>
      <c r="H1553" s="272" t="s">
        <v>72</v>
      </c>
      <c r="I1553" s="273">
        <v>50</v>
      </c>
      <c r="J1553" s="270">
        <v>125</v>
      </c>
      <c r="K1553" s="270">
        <f t="shared" si="0"/>
        <v>6250</v>
      </c>
      <c r="L1553" s="270">
        <v>13797</v>
      </c>
      <c r="M1553" s="270">
        <v>-150</v>
      </c>
      <c r="N1553" s="274">
        <v>75</v>
      </c>
      <c r="O1553" s="55"/>
      <c r="P1553" s="45">
        <v>75</v>
      </c>
      <c r="Q1553" s="270">
        <v>876</v>
      </c>
      <c r="R1553" s="275">
        <v>-1.335E-3</v>
      </c>
      <c r="S1553" s="270">
        <v>867</v>
      </c>
      <c r="T1553" s="270">
        <v>942</v>
      </c>
      <c r="U1553" s="57">
        <v>1</v>
      </c>
      <c r="V1553" s="276">
        <v>0.2</v>
      </c>
      <c r="W1553" s="276">
        <v>0</v>
      </c>
      <c r="X1553" s="270">
        <v>754</v>
      </c>
      <c r="Y1553" s="270">
        <v>188</v>
      </c>
      <c r="Z1553" s="45" t="b">
        <v>1</v>
      </c>
      <c r="AA1553" s="45" t="s">
        <v>38</v>
      </c>
      <c r="AB1553" s="45" t="s">
        <v>38</v>
      </c>
    </row>
    <row r="1554" spans="1:28" x14ac:dyDescent="0.2">
      <c r="A1554" s="96" t="s">
        <v>102</v>
      </c>
      <c r="B1554" s="96" t="s">
        <v>97</v>
      </c>
      <c r="C1554" s="277">
        <v>44733</v>
      </c>
      <c r="D1554" s="277">
        <v>44762</v>
      </c>
      <c r="E1554" s="270" t="s">
        <v>267</v>
      </c>
      <c r="F1554" s="96" t="s">
        <v>34</v>
      </c>
      <c r="G1554" s="270" t="s">
        <v>80</v>
      </c>
      <c r="H1554" s="272" t="s">
        <v>71</v>
      </c>
      <c r="I1554" s="273">
        <v>20</v>
      </c>
      <c r="J1554" s="270">
        <v>9</v>
      </c>
      <c r="K1554" s="270">
        <f t="shared" si="0"/>
        <v>180</v>
      </c>
      <c r="L1554" s="270">
        <v>-312</v>
      </c>
      <c r="M1554" s="270">
        <v>40</v>
      </c>
      <c r="N1554" s="274"/>
      <c r="O1554" s="55"/>
      <c r="P1554" s="96"/>
      <c r="Q1554" s="270">
        <v>-31</v>
      </c>
      <c r="R1554" s="275">
        <v>-1.335E-3</v>
      </c>
      <c r="S1554" s="270">
        <v>-31</v>
      </c>
      <c r="T1554" s="270">
        <v>-31</v>
      </c>
      <c r="U1554" s="57">
        <v>1</v>
      </c>
      <c r="V1554" s="276">
        <v>0.2</v>
      </c>
      <c r="W1554" s="276">
        <v>0</v>
      </c>
      <c r="X1554" s="270">
        <v>-25</v>
      </c>
      <c r="Y1554" s="270">
        <v>-6</v>
      </c>
      <c r="Z1554" s="45" t="b">
        <v>1</v>
      </c>
      <c r="AA1554" s="45" t="s">
        <v>38</v>
      </c>
      <c r="AB1554" s="45" t="s">
        <v>38</v>
      </c>
    </row>
    <row r="1555" spans="1:28" x14ac:dyDescent="0.2">
      <c r="A1555" s="96" t="s">
        <v>102</v>
      </c>
      <c r="B1555" s="96" t="s">
        <v>97</v>
      </c>
      <c r="C1555" s="277">
        <v>44733</v>
      </c>
      <c r="D1555" s="277">
        <v>44762</v>
      </c>
      <c r="E1555" s="270" t="s">
        <v>267</v>
      </c>
      <c r="F1555" s="96" t="s">
        <v>34</v>
      </c>
      <c r="G1555" s="270" t="s">
        <v>80</v>
      </c>
      <c r="H1555" s="272" t="s">
        <v>72</v>
      </c>
      <c r="I1555" s="273">
        <v>50</v>
      </c>
      <c r="J1555" s="270">
        <v>689</v>
      </c>
      <c r="K1555" s="270">
        <f t="shared" si="0"/>
        <v>34450</v>
      </c>
      <c r="L1555" s="270">
        <v>16792</v>
      </c>
      <c r="M1555" s="270">
        <v>-3400</v>
      </c>
      <c r="N1555" s="274">
        <f>1302+4*50</f>
        <v>1502</v>
      </c>
      <c r="O1555" s="55"/>
      <c r="P1555" s="105">
        <v>1502</v>
      </c>
      <c r="Q1555" s="270">
        <v>-134</v>
      </c>
      <c r="R1555" s="275">
        <v>-1.335E-3</v>
      </c>
      <c r="S1555" s="270">
        <v>-180</v>
      </c>
      <c r="T1555" s="270">
        <v>1322</v>
      </c>
      <c r="U1555" s="57">
        <v>1</v>
      </c>
      <c r="V1555" s="276">
        <v>0.2</v>
      </c>
      <c r="W1555" s="276">
        <v>0</v>
      </c>
      <c r="X1555" s="270">
        <v>1058</v>
      </c>
      <c r="Y1555" s="270">
        <v>264</v>
      </c>
      <c r="Z1555" s="45" t="b">
        <v>1</v>
      </c>
      <c r="AA1555" s="45" t="s">
        <v>38</v>
      </c>
      <c r="AB1555" s="45" t="s">
        <v>38</v>
      </c>
    </row>
    <row r="1556" spans="1:28" x14ac:dyDescent="0.2">
      <c r="A1556" s="279" t="s">
        <v>102</v>
      </c>
      <c r="B1556" s="96" t="s">
        <v>107</v>
      </c>
      <c r="C1556" s="282">
        <v>44733</v>
      </c>
      <c r="D1556" s="277">
        <v>44762</v>
      </c>
      <c r="E1556" s="279" t="s">
        <v>267</v>
      </c>
      <c r="F1556" s="133" t="s">
        <v>34</v>
      </c>
      <c r="G1556" s="279" t="s">
        <v>61</v>
      </c>
      <c r="H1556" s="272" t="s">
        <v>112</v>
      </c>
      <c r="I1556" s="280">
        <v>50</v>
      </c>
      <c r="J1556" s="279">
        <v>160</v>
      </c>
      <c r="K1556" s="270">
        <f t="shared" si="0"/>
        <v>8000</v>
      </c>
      <c r="L1556" s="279">
        <v>10754</v>
      </c>
      <c r="M1556" s="279">
        <v>562</v>
      </c>
      <c r="N1556" s="281">
        <v>4005.41</v>
      </c>
      <c r="O1556" s="55"/>
      <c r="P1556" s="105">
        <v>4005</v>
      </c>
      <c r="Q1556" s="279">
        <v>246</v>
      </c>
      <c r="R1556" s="275">
        <v>-1.335E-3</v>
      </c>
      <c r="S1556" s="279">
        <v>236</v>
      </c>
      <c r="T1556" s="279">
        <v>4241</v>
      </c>
      <c r="U1556" s="57">
        <v>1.0209999999999999</v>
      </c>
      <c r="V1556" s="276">
        <v>0.2</v>
      </c>
      <c r="W1556" s="276">
        <v>0</v>
      </c>
      <c r="X1556" s="279">
        <v>3464</v>
      </c>
      <c r="Y1556" s="279">
        <v>866</v>
      </c>
      <c r="Z1556" s="45" t="b">
        <v>1</v>
      </c>
      <c r="AA1556" s="45" t="s">
        <v>38</v>
      </c>
      <c r="AB1556" s="45" t="s">
        <v>50</v>
      </c>
    </row>
    <row r="1557" spans="1:28" x14ac:dyDescent="0.2">
      <c r="A1557" s="279" t="s">
        <v>102</v>
      </c>
      <c r="B1557" s="96" t="s">
        <v>107</v>
      </c>
      <c r="C1557" s="282">
        <v>44733</v>
      </c>
      <c r="D1557" s="277">
        <v>44762</v>
      </c>
      <c r="E1557" s="279" t="s">
        <v>267</v>
      </c>
      <c r="F1557" s="133" t="s">
        <v>34</v>
      </c>
      <c r="G1557" s="279" t="s">
        <v>61</v>
      </c>
      <c r="H1557" s="289" t="s">
        <v>59</v>
      </c>
      <c r="I1557" s="280">
        <v>100</v>
      </c>
      <c r="J1557" s="279">
        <v>1768</v>
      </c>
      <c r="K1557" s="270">
        <f t="shared" si="0"/>
        <v>176800</v>
      </c>
      <c r="L1557" s="279">
        <v>62817</v>
      </c>
      <c r="M1557" s="279">
        <v>-7862</v>
      </c>
      <c r="N1557" s="281">
        <v>1269.5899999999999</v>
      </c>
      <c r="O1557" s="55"/>
      <c r="P1557" s="105">
        <v>1270</v>
      </c>
      <c r="Q1557" s="279">
        <v>-4373</v>
      </c>
      <c r="R1557" s="275">
        <v>-1.335E-3</v>
      </c>
      <c r="S1557" s="279">
        <v>-4609</v>
      </c>
      <c r="T1557" s="279">
        <v>-3340</v>
      </c>
      <c r="U1557" s="57">
        <v>1.0209999999999999</v>
      </c>
      <c r="V1557" s="276">
        <v>0.2</v>
      </c>
      <c r="W1557" s="276">
        <v>0</v>
      </c>
      <c r="X1557" s="279">
        <v>-2728</v>
      </c>
      <c r="Y1557" s="279">
        <v>-682</v>
      </c>
      <c r="Z1557" s="45" t="b">
        <v>1</v>
      </c>
      <c r="AA1557" s="45" t="s">
        <v>38</v>
      </c>
      <c r="AB1557" s="45" t="s">
        <v>50</v>
      </c>
    </row>
    <row r="1558" spans="1:28" x14ac:dyDescent="0.2">
      <c r="A1558" s="279" t="s">
        <v>102</v>
      </c>
      <c r="B1558" s="96" t="s">
        <v>107</v>
      </c>
      <c r="C1558" s="282">
        <v>44733</v>
      </c>
      <c r="D1558" s="277">
        <v>44762</v>
      </c>
      <c r="E1558" s="279" t="s">
        <v>267</v>
      </c>
      <c r="F1558" s="133" t="s">
        <v>34</v>
      </c>
      <c r="G1558" s="279" t="s">
        <v>61</v>
      </c>
      <c r="H1558" s="289" t="s">
        <v>199</v>
      </c>
      <c r="I1558" s="280">
        <v>100</v>
      </c>
      <c r="J1558" s="279">
        <v>4</v>
      </c>
      <c r="K1558" s="270">
        <f t="shared" si="0"/>
        <v>400</v>
      </c>
      <c r="L1558" s="279">
        <v>119</v>
      </c>
      <c r="M1558" s="279">
        <v>408</v>
      </c>
      <c r="N1558" s="281">
        <v>0</v>
      </c>
      <c r="O1558" s="55"/>
      <c r="P1558" s="45">
        <v>0</v>
      </c>
      <c r="Q1558" s="279">
        <v>0</v>
      </c>
      <c r="R1558" s="275">
        <v>-1.335E-3</v>
      </c>
      <c r="S1558" s="279">
        <v>-1</v>
      </c>
      <c r="T1558" s="279">
        <v>-1</v>
      </c>
      <c r="U1558" s="57">
        <v>1.0209999999999999</v>
      </c>
      <c r="V1558" s="276">
        <v>0.2</v>
      </c>
      <c r="W1558" s="276">
        <v>0</v>
      </c>
      <c r="X1558" s="279">
        <v>-1</v>
      </c>
      <c r="Y1558" s="279">
        <v>0</v>
      </c>
      <c r="Z1558" s="45" t="b">
        <v>1</v>
      </c>
      <c r="AA1558" s="45" t="s">
        <v>38</v>
      </c>
      <c r="AB1558" s="45" t="s">
        <v>50</v>
      </c>
    </row>
    <row r="1559" spans="1:28" x14ac:dyDescent="0.2">
      <c r="A1559" s="96" t="s">
        <v>508</v>
      </c>
      <c r="B1559" s="96" t="s">
        <v>185</v>
      </c>
      <c r="C1559" s="277">
        <v>44733</v>
      </c>
      <c r="D1559" s="277">
        <v>44762</v>
      </c>
      <c r="E1559" s="270" t="s">
        <v>300</v>
      </c>
      <c r="F1559" s="133" t="s">
        <v>34</v>
      </c>
      <c r="G1559" s="270" t="s">
        <v>80</v>
      </c>
      <c r="H1559" s="272" t="s">
        <v>70</v>
      </c>
      <c r="I1559" s="273">
        <v>100</v>
      </c>
      <c r="J1559" s="270">
        <v>6225</v>
      </c>
      <c r="K1559" s="270">
        <f t="shared" si="0"/>
        <v>622500</v>
      </c>
      <c r="L1559" s="270">
        <v>65112</v>
      </c>
      <c r="M1559" s="270">
        <v>-35500</v>
      </c>
      <c r="N1559" s="274">
        <v>38110</v>
      </c>
      <c r="O1559" s="55"/>
      <c r="P1559" s="105">
        <v>38110</v>
      </c>
      <c r="Q1559" s="270">
        <v>-26919</v>
      </c>
      <c r="R1559" s="275">
        <v>-1.335E-3</v>
      </c>
      <c r="S1559" s="270">
        <v>-27750</v>
      </c>
      <c r="T1559" s="270">
        <v>10360</v>
      </c>
      <c r="U1559" s="57">
        <v>1</v>
      </c>
      <c r="V1559" s="276">
        <v>0.09</v>
      </c>
      <c r="W1559" s="276">
        <v>0.03</v>
      </c>
      <c r="X1559" s="270">
        <v>9117</v>
      </c>
      <c r="Y1559" s="270">
        <v>1243</v>
      </c>
      <c r="Z1559" s="45" t="b">
        <v>1</v>
      </c>
      <c r="AA1559" s="45" t="s">
        <v>38</v>
      </c>
      <c r="AB1559" s="45" t="s">
        <v>38</v>
      </c>
    </row>
    <row r="1560" spans="1:28" x14ac:dyDescent="0.2">
      <c r="A1560" s="96" t="s">
        <v>113</v>
      </c>
      <c r="B1560" s="96" t="s">
        <v>113</v>
      </c>
      <c r="C1560" s="277">
        <v>44733</v>
      </c>
      <c r="D1560" s="277">
        <v>44762</v>
      </c>
      <c r="E1560" s="270" t="s">
        <v>267</v>
      </c>
      <c r="F1560" s="133" t="s">
        <v>34</v>
      </c>
      <c r="G1560" s="96" t="s">
        <v>35</v>
      </c>
      <c r="H1560" s="272" t="s">
        <v>39</v>
      </c>
      <c r="I1560" s="273">
        <v>5</v>
      </c>
      <c r="J1560" s="270">
        <v>2</v>
      </c>
      <c r="K1560" s="270">
        <f t="shared" si="0"/>
        <v>10</v>
      </c>
      <c r="L1560" s="270">
        <v>-276</v>
      </c>
      <c r="M1560" s="270">
        <v>0</v>
      </c>
      <c r="N1560" s="274"/>
      <c r="O1560" s="55"/>
      <c r="P1560" s="96"/>
      <c r="Q1560" s="270">
        <v>-3</v>
      </c>
      <c r="R1560" s="275">
        <v>-1.335E-3</v>
      </c>
      <c r="S1560" s="270">
        <v>-3</v>
      </c>
      <c r="T1560" s="270">
        <v>-3</v>
      </c>
      <c r="U1560" s="57">
        <v>1</v>
      </c>
      <c r="V1560" s="276">
        <v>0.25</v>
      </c>
      <c r="W1560" s="276">
        <v>0</v>
      </c>
      <c r="X1560" s="270">
        <v>-3</v>
      </c>
      <c r="Y1560" s="270">
        <v>-1</v>
      </c>
      <c r="Z1560" s="45" t="b">
        <v>1</v>
      </c>
      <c r="AA1560" s="45" t="s">
        <v>38</v>
      </c>
      <c r="AB1560" s="45" t="s">
        <v>38</v>
      </c>
    </row>
    <row r="1561" spans="1:28" x14ac:dyDescent="0.2">
      <c r="A1561" s="96" t="s">
        <v>113</v>
      </c>
      <c r="B1561" s="96" t="s">
        <v>113</v>
      </c>
      <c r="C1561" s="277">
        <v>44733</v>
      </c>
      <c r="D1561" s="277">
        <v>44762</v>
      </c>
      <c r="E1561" s="270" t="s">
        <v>267</v>
      </c>
      <c r="F1561" s="133" t="s">
        <v>34</v>
      </c>
      <c r="G1561" s="96" t="s">
        <v>35</v>
      </c>
      <c r="H1561" s="272" t="s">
        <v>40</v>
      </c>
      <c r="I1561" s="273">
        <v>10</v>
      </c>
      <c r="J1561" s="270">
        <v>2952</v>
      </c>
      <c r="K1561" s="270">
        <f t="shared" si="0"/>
        <v>29520</v>
      </c>
      <c r="L1561" s="270">
        <v>94078</v>
      </c>
      <c r="M1561" s="270">
        <v>-760</v>
      </c>
      <c r="N1561" s="274">
        <v>1825</v>
      </c>
      <c r="O1561" s="55"/>
      <c r="P1561" s="105">
        <v>1825</v>
      </c>
      <c r="Q1561" s="270">
        <v>-459</v>
      </c>
      <c r="R1561" s="275">
        <v>-1.335E-3</v>
      </c>
      <c r="S1561" s="270">
        <v>-498</v>
      </c>
      <c r="T1561" s="270">
        <v>1327</v>
      </c>
      <c r="U1561" s="57">
        <v>1</v>
      </c>
      <c r="V1561" s="276">
        <v>0.25</v>
      </c>
      <c r="W1561" s="276">
        <v>0</v>
      </c>
      <c r="X1561" s="270">
        <v>995</v>
      </c>
      <c r="Y1561" s="270">
        <v>332</v>
      </c>
      <c r="Z1561" s="45" t="b">
        <v>1</v>
      </c>
      <c r="AA1561" s="45" t="s">
        <v>38</v>
      </c>
      <c r="AB1561" s="45" t="s">
        <v>38</v>
      </c>
    </row>
    <row r="1562" spans="1:28" x14ac:dyDescent="0.2">
      <c r="A1562" s="96" t="s">
        <v>191</v>
      </c>
      <c r="B1562" s="96" t="s">
        <v>193</v>
      </c>
      <c r="C1562" s="277">
        <v>44733</v>
      </c>
      <c r="D1562" s="277">
        <v>44762</v>
      </c>
      <c r="E1562" s="270" t="s">
        <v>267</v>
      </c>
      <c r="F1562" s="133" t="s">
        <v>34</v>
      </c>
      <c r="G1562" s="96" t="s">
        <v>80</v>
      </c>
      <c r="H1562" s="272" t="s">
        <v>40</v>
      </c>
      <c r="I1562" s="273">
        <v>10</v>
      </c>
      <c r="J1562" s="270">
        <v>107</v>
      </c>
      <c r="K1562" s="270">
        <f t="shared" si="0"/>
        <v>1070</v>
      </c>
      <c r="L1562" s="270">
        <v>1049</v>
      </c>
      <c r="M1562" s="270">
        <v>-140</v>
      </c>
      <c r="N1562" s="274">
        <v>53.71</v>
      </c>
      <c r="O1562" s="55"/>
      <c r="P1562" s="45">
        <v>54</v>
      </c>
      <c r="Q1562" s="270">
        <v>-48</v>
      </c>
      <c r="R1562" s="275">
        <v>-1.335E-3</v>
      </c>
      <c r="S1562" s="270">
        <v>-50</v>
      </c>
      <c r="T1562" s="270">
        <v>4</v>
      </c>
      <c r="U1562" s="57">
        <v>1</v>
      </c>
      <c r="V1562" s="276">
        <v>0.3</v>
      </c>
      <c r="W1562" s="276">
        <v>0</v>
      </c>
      <c r="X1562" s="270">
        <v>3</v>
      </c>
      <c r="Y1562" s="270">
        <v>1</v>
      </c>
      <c r="Z1562" s="45" t="b">
        <v>1</v>
      </c>
      <c r="AA1562" s="45" t="s">
        <v>38</v>
      </c>
      <c r="AB1562" s="45" t="s">
        <v>38</v>
      </c>
    </row>
    <row r="1563" spans="1:28" x14ac:dyDescent="0.2">
      <c r="A1563" s="96" t="s">
        <v>191</v>
      </c>
      <c r="B1563" s="96" t="s">
        <v>193</v>
      </c>
      <c r="C1563" s="277">
        <v>44733</v>
      </c>
      <c r="D1563" s="277">
        <v>44762</v>
      </c>
      <c r="E1563" s="270" t="s">
        <v>267</v>
      </c>
      <c r="F1563" s="133" t="s">
        <v>34</v>
      </c>
      <c r="G1563" s="96" t="s">
        <v>80</v>
      </c>
      <c r="H1563" s="272" t="s">
        <v>71</v>
      </c>
      <c r="I1563" s="273">
        <v>20</v>
      </c>
      <c r="J1563" s="270">
        <v>5617</v>
      </c>
      <c r="K1563" s="270">
        <f t="shared" si="0"/>
        <v>112340</v>
      </c>
      <c r="L1563" s="270">
        <v>72272</v>
      </c>
      <c r="M1563" s="270">
        <v>-1120</v>
      </c>
      <c r="N1563" s="274">
        <v>5639.34</v>
      </c>
      <c r="O1563" s="55"/>
      <c r="P1563" s="105">
        <v>5639</v>
      </c>
      <c r="Q1563" s="270">
        <v>-4080</v>
      </c>
      <c r="R1563" s="275">
        <v>-1.335E-3</v>
      </c>
      <c r="S1563" s="270">
        <v>-4230</v>
      </c>
      <c r="T1563" s="270">
        <v>1409</v>
      </c>
      <c r="U1563" s="57">
        <v>1</v>
      </c>
      <c r="V1563" s="276">
        <v>0.3</v>
      </c>
      <c r="W1563" s="276">
        <v>0</v>
      </c>
      <c r="X1563" s="270">
        <v>987</v>
      </c>
      <c r="Y1563" s="270">
        <v>423</v>
      </c>
      <c r="Z1563" s="45" t="b">
        <v>1</v>
      </c>
      <c r="AA1563" s="45" t="s">
        <v>38</v>
      </c>
      <c r="AB1563" s="45" t="s">
        <v>38</v>
      </c>
    </row>
    <row r="1564" spans="1:28" x14ac:dyDescent="0.2">
      <c r="A1564" s="96" t="s">
        <v>191</v>
      </c>
      <c r="B1564" s="96" t="s">
        <v>193</v>
      </c>
      <c r="C1564" s="277">
        <v>44733</v>
      </c>
      <c r="D1564" s="277">
        <v>44762</v>
      </c>
      <c r="E1564" s="270" t="s">
        <v>267</v>
      </c>
      <c r="F1564" s="133" t="s">
        <v>34</v>
      </c>
      <c r="G1564" s="96" t="s">
        <v>80</v>
      </c>
      <c r="H1564" s="272" t="s">
        <v>72</v>
      </c>
      <c r="I1564" s="273">
        <v>50</v>
      </c>
      <c r="J1564" s="270">
        <v>498</v>
      </c>
      <c r="K1564" s="270">
        <f t="shared" si="0"/>
        <v>24900</v>
      </c>
      <c r="L1564" s="270">
        <v>2919</v>
      </c>
      <c r="M1564" s="270">
        <v>-3800</v>
      </c>
      <c r="N1564" s="274">
        <v>1249.95</v>
      </c>
      <c r="O1564" s="55"/>
      <c r="P1564" s="105">
        <v>1250</v>
      </c>
      <c r="Q1564" s="270">
        <v>-1406</v>
      </c>
      <c r="R1564" s="275">
        <v>-1.335E-3</v>
      </c>
      <c r="S1564" s="270">
        <v>-1439</v>
      </c>
      <c r="T1564" s="270">
        <v>-189</v>
      </c>
      <c r="U1564" s="57">
        <v>1</v>
      </c>
      <c r="V1564" s="276">
        <v>0.3</v>
      </c>
      <c r="W1564" s="276">
        <v>0</v>
      </c>
      <c r="X1564" s="270">
        <v>-133</v>
      </c>
      <c r="Y1564" s="270">
        <v>-57</v>
      </c>
      <c r="Z1564" s="45" t="b">
        <v>1</v>
      </c>
      <c r="AA1564" s="45" t="s">
        <v>38</v>
      </c>
      <c r="AB1564" s="45" t="s">
        <v>38</v>
      </c>
    </row>
    <row r="1565" spans="1:28" x14ac:dyDescent="0.2">
      <c r="A1565" s="96" t="s">
        <v>195</v>
      </c>
      <c r="B1565" s="96" t="s">
        <v>195</v>
      </c>
      <c r="C1565" s="277">
        <v>44733</v>
      </c>
      <c r="D1565" s="277">
        <v>44762</v>
      </c>
      <c r="E1565" s="270" t="s">
        <v>267</v>
      </c>
      <c r="F1565" s="96" t="s">
        <v>34</v>
      </c>
      <c r="G1565" s="270" t="s">
        <v>35</v>
      </c>
      <c r="H1565" s="289" t="s">
        <v>39</v>
      </c>
      <c r="I1565" s="273">
        <v>5</v>
      </c>
      <c r="J1565" s="270">
        <v>1</v>
      </c>
      <c r="K1565" s="270">
        <f t="shared" si="0"/>
        <v>5</v>
      </c>
      <c r="L1565" s="270">
        <v>-9</v>
      </c>
      <c r="M1565" s="270">
        <v>-5</v>
      </c>
      <c r="N1565" s="274"/>
      <c r="O1565" s="55"/>
      <c r="P1565" s="96"/>
      <c r="Q1565" s="270">
        <v>-1</v>
      </c>
      <c r="R1565" s="275">
        <v>-1.335E-3</v>
      </c>
      <c r="S1565" s="270">
        <v>-1</v>
      </c>
      <c r="T1565" s="270">
        <v>-1</v>
      </c>
      <c r="U1565" s="57">
        <v>0.996</v>
      </c>
      <c r="V1565" s="276">
        <v>0.3</v>
      </c>
      <c r="W1565" s="276">
        <v>0</v>
      </c>
      <c r="X1565" s="270">
        <v>0</v>
      </c>
      <c r="Y1565" s="270">
        <v>0</v>
      </c>
      <c r="Z1565" s="45" t="b">
        <v>1</v>
      </c>
      <c r="AA1565" s="45" t="s">
        <v>50</v>
      </c>
      <c r="AB1565" s="45" t="s">
        <v>38</v>
      </c>
    </row>
    <row r="1566" spans="1:28" x14ac:dyDescent="0.2">
      <c r="A1566" s="96" t="s">
        <v>195</v>
      </c>
      <c r="B1566" s="96" t="s">
        <v>195</v>
      </c>
      <c r="C1566" s="277">
        <v>44733</v>
      </c>
      <c r="D1566" s="277">
        <v>44762</v>
      </c>
      <c r="E1566" s="270" t="s">
        <v>267</v>
      </c>
      <c r="F1566" s="96" t="s">
        <v>34</v>
      </c>
      <c r="G1566" s="270" t="s">
        <v>35</v>
      </c>
      <c r="H1566" s="289" t="s">
        <v>46</v>
      </c>
      <c r="I1566" s="273">
        <v>25</v>
      </c>
      <c r="J1566" s="270">
        <v>1904</v>
      </c>
      <c r="K1566" s="270">
        <f t="shared" si="0"/>
        <v>47600</v>
      </c>
      <c r="L1566" s="270">
        <v>30799</v>
      </c>
      <c r="M1566" s="270">
        <v>-2000</v>
      </c>
      <c r="N1566" s="274">
        <v>889</v>
      </c>
      <c r="O1566" s="55"/>
      <c r="P1566" s="45">
        <v>889</v>
      </c>
      <c r="Q1566" s="270">
        <v>-1619</v>
      </c>
      <c r="R1566" s="275">
        <v>-1.335E-3</v>
      </c>
      <c r="S1566" s="270">
        <v>-1682</v>
      </c>
      <c r="T1566" s="270">
        <v>-793</v>
      </c>
      <c r="U1566" s="57">
        <v>0.996</v>
      </c>
      <c r="V1566" s="276">
        <v>0.3</v>
      </c>
      <c r="W1566" s="276">
        <v>0</v>
      </c>
      <c r="X1566" s="270">
        <v>-553</v>
      </c>
      <c r="Y1566" s="270">
        <v>-237</v>
      </c>
      <c r="Z1566" s="45" t="b">
        <v>1</v>
      </c>
      <c r="AA1566" s="45" t="s">
        <v>50</v>
      </c>
      <c r="AB1566" s="45" t="s">
        <v>38</v>
      </c>
    </row>
    <row r="1567" spans="1:28" x14ac:dyDescent="0.2">
      <c r="A1567" s="96" t="s">
        <v>195</v>
      </c>
      <c r="B1567" s="96" t="s">
        <v>195</v>
      </c>
      <c r="C1567" s="277">
        <v>44733</v>
      </c>
      <c r="D1567" s="277">
        <v>44762</v>
      </c>
      <c r="E1567" s="270" t="s">
        <v>267</v>
      </c>
      <c r="F1567" s="96" t="s">
        <v>41</v>
      </c>
      <c r="G1567" s="270" t="s">
        <v>35</v>
      </c>
      <c r="H1567" s="289" t="s">
        <v>47</v>
      </c>
      <c r="I1567" s="273">
        <v>1</v>
      </c>
      <c r="J1567" s="270">
        <v>2</v>
      </c>
      <c r="K1567" s="270">
        <f t="shared" si="0"/>
        <v>2</v>
      </c>
      <c r="L1567" s="270"/>
      <c r="M1567" s="270">
        <v>0</v>
      </c>
      <c r="N1567" s="274"/>
      <c r="O1567" s="55"/>
      <c r="P1567" s="96"/>
      <c r="Q1567" s="270"/>
      <c r="R1567" s="275">
        <v>0</v>
      </c>
      <c r="S1567" s="270"/>
      <c r="T1567" s="270">
        <v>0</v>
      </c>
      <c r="U1567" s="57">
        <v>0.996</v>
      </c>
      <c r="V1567" s="276">
        <v>0.3</v>
      </c>
      <c r="W1567" s="276">
        <v>0</v>
      </c>
      <c r="X1567" s="270">
        <v>0</v>
      </c>
      <c r="Y1567" s="270">
        <v>0</v>
      </c>
      <c r="Z1567" s="45" t="b">
        <v>1</v>
      </c>
      <c r="AA1567" s="45" t="s">
        <v>50</v>
      </c>
      <c r="AB1567" s="45" t="s">
        <v>38</v>
      </c>
    </row>
    <row r="1568" spans="1:28" x14ac:dyDescent="0.2">
      <c r="A1568" s="96" t="s">
        <v>195</v>
      </c>
      <c r="B1568" s="96" t="s">
        <v>195</v>
      </c>
      <c r="C1568" s="277">
        <v>44733</v>
      </c>
      <c r="D1568" s="277">
        <v>44762</v>
      </c>
      <c r="E1568" s="270" t="s">
        <v>267</v>
      </c>
      <c r="F1568" s="96" t="s">
        <v>41</v>
      </c>
      <c r="G1568" s="270" t="s">
        <v>35</v>
      </c>
      <c r="H1568" s="289" t="s">
        <v>36</v>
      </c>
      <c r="I1568" s="273">
        <v>2</v>
      </c>
      <c r="J1568" s="270">
        <v>44</v>
      </c>
      <c r="K1568" s="270">
        <f t="shared" si="0"/>
        <v>88</v>
      </c>
      <c r="L1568" s="270"/>
      <c r="M1568" s="270">
        <v>6</v>
      </c>
      <c r="N1568" s="274">
        <v>2</v>
      </c>
      <c r="O1568" s="55"/>
      <c r="P1568" s="45">
        <v>2</v>
      </c>
      <c r="Q1568" s="270"/>
      <c r="R1568" s="275">
        <v>0</v>
      </c>
      <c r="S1568" s="270"/>
      <c r="T1568" s="270">
        <v>8</v>
      </c>
      <c r="U1568" s="57">
        <v>0.996</v>
      </c>
      <c r="V1568" s="276">
        <v>0.3</v>
      </c>
      <c r="W1568" s="276">
        <v>0</v>
      </c>
      <c r="X1568" s="270">
        <v>6</v>
      </c>
      <c r="Y1568" s="270">
        <v>2</v>
      </c>
      <c r="Z1568" s="45" t="b">
        <v>1</v>
      </c>
      <c r="AA1568" s="45" t="s">
        <v>50</v>
      </c>
      <c r="AB1568" s="45" t="s">
        <v>38</v>
      </c>
    </row>
    <row r="1569" spans="1:28" x14ac:dyDescent="0.2">
      <c r="A1569" s="96" t="s">
        <v>195</v>
      </c>
      <c r="B1569" s="96" t="s">
        <v>195</v>
      </c>
      <c r="C1569" s="277">
        <v>44733</v>
      </c>
      <c r="D1569" s="277">
        <v>44762</v>
      </c>
      <c r="E1569" s="270" t="s">
        <v>267</v>
      </c>
      <c r="F1569" s="96" t="s">
        <v>41</v>
      </c>
      <c r="G1569" s="270" t="s">
        <v>35</v>
      </c>
      <c r="H1569" s="289" t="s">
        <v>51</v>
      </c>
      <c r="I1569" s="273">
        <v>0.25</v>
      </c>
      <c r="J1569" s="270">
        <v>2</v>
      </c>
      <c r="K1569" s="270">
        <f t="shared" si="0"/>
        <v>0.5</v>
      </c>
      <c r="L1569" s="270"/>
      <c r="M1569" s="270">
        <v>-1</v>
      </c>
      <c r="N1569" s="274"/>
      <c r="O1569" s="55"/>
      <c r="P1569" s="96"/>
      <c r="Q1569" s="270"/>
      <c r="R1569" s="275">
        <v>0</v>
      </c>
      <c r="S1569" s="270"/>
      <c r="T1569" s="270">
        <v>-1</v>
      </c>
      <c r="U1569" s="57">
        <v>0.996</v>
      </c>
      <c r="V1569" s="276">
        <v>0.3</v>
      </c>
      <c r="W1569" s="276">
        <v>0</v>
      </c>
      <c r="X1569" s="270">
        <v>-1</v>
      </c>
      <c r="Y1569" s="270">
        <v>0</v>
      </c>
      <c r="Z1569" s="45" t="b">
        <v>1</v>
      </c>
      <c r="AA1569" s="45" t="s">
        <v>50</v>
      </c>
      <c r="AB1569" s="45" t="s">
        <v>38</v>
      </c>
    </row>
    <row r="1570" spans="1:28" x14ac:dyDescent="0.2">
      <c r="A1570" s="96" t="s">
        <v>124</v>
      </c>
      <c r="B1570" s="96" t="s">
        <v>124</v>
      </c>
      <c r="C1570" s="277">
        <v>44738</v>
      </c>
      <c r="D1570" s="277">
        <v>44762</v>
      </c>
      <c r="E1570" s="270" t="s">
        <v>267</v>
      </c>
      <c r="F1570" s="96" t="s">
        <v>34</v>
      </c>
      <c r="G1570" s="270" t="s">
        <v>35</v>
      </c>
      <c r="H1570" s="272" t="s">
        <v>115</v>
      </c>
      <c r="I1570" s="273">
        <v>10</v>
      </c>
      <c r="J1570" s="270">
        <v>14983</v>
      </c>
      <c r="K1570" s="270">
        <f t="shared" si="0"/>
        <v>149830</v>
      </c>
      <c r="L1570" s="270">
        <v>248440</v>
      </c>
      <c r="M1570" s="270">
        <v>-5340</v>
      </c>
      <c r="N1570" s="274">
        <v>3592</v>
      </c>
      <c r="O1570" s="55"/>
      <c r="P1570" s="105">
        <v>3592</v>
      </c>
      <c r="Q1570" s="270">
        <v>-3492</v>
      </c>
      <c r="R1570" s="275">
        <v>-1.335E-3</v>
      </c>
      <c r="S1570" s="270">
        <v>-3692</v>
      </c>
      <c r="T1570" s="270">
        <v>-100</v>
      </c>
      <c r="U1570" s="57">
        <v>1</v>
      </c>
      <c r="V1570" s="276">
        <v>0.12</v>
      </c>
      <c r="W1570" s="276">
        <v>0</v>
      </c>
      <c r="X1570" s="270">
        <v>-88</v>
      </c>
      <c r="Y1570" s="270">
        <v>-12</v>
      </c>
      <c r="Z1570" s="45" t="b">
        <v>1</v>
      </c>
      <c r="AA1570" s="45" t="s">
        <v>38</v>
      </c>
      <c r="AB1570" s="45" t="s">
        <v>38</v>
      </c>
    </row>
    <row r="1571" spans="1:28" x14ac:dyDescent="0.2">
      <c r="A1571" s="96" t="s">
        <v>206</v>
      </c>
      <c r="B1571" s="96" t="s">
        <v>206</v>
      </c>
      <c r="C1571" s="277">
        <v>44733</v>
      </c>
      <c r="D1571" s="277">
        <v>44762</v>
      </c>
      <c r="E1571" s="270" t="s">
        <v>267</v>
      </c>
      <c r="F1571" s="133" t="s">
        <v>34</v>
      </c>
      <c r="G1571" s="96" t="s">
        <v>35</v>
      </c>
      <c r="H1571" s="272" t="s">
        <v>70</v>
      </c>
      <c r="I1571" s="273">
        <v>100</v>
      </c>
      <c r="J1571" s="270">
        <v>698</v>
      </c>
      <c r="K1571" s="270">
        <f t="shared" si="0"/>
        <v>69800</v>
      </c>
      <c r="L1571" s="270">
        <v>2831</v>
      </c>
      <c r="M1571" s="270">
        <v>-2700</v>
      </c>
      <c r="N1571" s="274">
        <v>2741</v>
      </c>
      <c r="O1571" s="55"/>
      <c r="P1571" s="105">
        <v>2741</v>
      </c>
      <c r="Q1571" s="270">
        <v>-3239</v>
      </c>
      <c r="R1571" s="275">
        <v>-1.335E-3</v>
      </c>
      <c r="S1571" s="270">
        <v>-3332</v>
      </c>
      <c r="T1571" s="270">
        <v>-591</v>
      </c>
      <c r="U1571" s="57">
        <v>1</v>
      </c>
      <c r="V1571" s="276">
        <v>0.1</v>
      </c>
      <c r="W1571" s="276">
        <v>0</v>
      </c>
      <c r="X1571" s="270">
        <v>-532</v>
      </c>
      <c r="Y1571" s="270">
        <v>-59</v>
      </c>
      <c r="Z1571" s="45" t="b">
        <v>1</v>
      </c>
      <c r="AA1571" s="45" t="s">
        <v>38</v>
      </c>
      <c r="AB1571" s="45" t="s">
        <v>38</v>
      </c>
    </row>
    <row r="1572" spans="1:28" x14ac:dyDescent="0.2">
      <c r="A1572" s="96" t="s">
        <v>206</v>
      </c>
      <c r="B1572" s="96" t="s">
        <v>206</v>
      </c>
      <c r="C1572" s="277">
        <v>44733</v>
      </c>
      <c r="D1572" s="277">
        <v>44762</v>
      </c>
      <c r="E1572" s="270" t="s">
        <v>267</v>
      </c>
      <c r="F1572" s="133" t="s">
        <v>34</v>
      </c>
      <c r="G1572" s="96" t="s">
        <v>35</v>
      </c>
      <c r="H1572" s="272" t="s">
        <v>84</v>
      </c>
      <c r="I1572" s="273">
        <v>100</v>
      </c>
      <c r="J1572" s="270">
        <v>428</v>
      </c>
      <c r="K1572" s="270">
        <f t="shared" si="0"/>
        <v>42800</v>
      </c>
      <c r="L1572" s="270">
        <v>3164</v>
      </c>
      <c r="M1572" s="270">
        <v>-1600</v>
      </c>
      <c r="N1572" s="274">
        <v>1681</v>
      </c>
      <c r="O1572" s="55"/>
      <c r="P1572" s="105">
        <v>1681</v>
      </c>
      <c r="Q1572" s="270">
        <v>-1323</v>
      </c>
      <c r="R1572" s="275">
        <v>-1.335E-3</v>
      </c>
      <c r="S1572" s="270">
        <v>-1380</v>
      </c>
      <c r="T1572" s="270">
        <v>301</v>
      </c>
      <c r="U1572" s="57">
        <v>1</v>
      </c>
      <c r="V1572" s="276">
        <v>0.1</v>
      </c>
      <c r="W1572" s="276">
        <v>0</v>
      </c>
      <c r="X1572" s="270">
        <v>271</v>
      </c>
      <c r="Y1572" s="270">
        <v>30</v>
      </c>
      <c r="Z1572" s="45" t="b">
        <v>1</v>
      </c>
      <c r="AA1572" s="45" t="s">
        <v>38</v>
      </c>
      <c r="AB1572" s="45" t="s">
        <v>38</v>
      </c>
    </row>
    <row r="1573" spans="1:28" x14ac:dyDescent="0.2">
      <c r="A1573" s="96" t="s">
        <v>206</v>
      </c>
      <c r="B1573" s="96" t="s">
        <v>206</v>
      </c>
      <c r="C1573" s="277">
        <v>44733</v>
      </c>
      <c r="D1573" s="277">
        <v>44762</v>
      </c>
      <c r="E1573" s="270" t="s">
        <v>267</v>
      </c>
      <c r="F1573" s="133" t="s">
        <v>34</v>
      </c>
      <c r="G1573" s="96" t="s">
        <v>35</v>
      </c>
      <c r="H1573" s="272" t="s">
        <v>88</v>
      </c>
      <c r="I1573" s="273">
        <v>250</v>
      </c>
      <c r="J1573" s="270">
        <v>686</v>
      </c>
      <c r="K1573" s="270">
        <f t="shared" si="0"/>
        <v>171500</v>
      </c>
      <c r="L1573" s="270">
        <v>1040</v>
      </c>
      <c r="M1573" s="270">
        <v>-750</v>
      </c>
      <c r="N1573" s="274">
        <v>6735</v>
      </c>
      <c r="O1573" s="55"/>
      <c r="P1573" s="105">
        <v>6735</v>
      </c>
      <c r="Q1573" s="270">
        <v>-8361</v>
      </c>
      <c r="R1573" s="275">
        <v>-1.335E-3</v>
      </c>
      <c r="S1573" s="270">
        <v>-8590</v>
      </c>
      <c r="T1573" s="270">
        <v>-1855</v>
      </c>
      <c r="U1573" s="57">
        <v>1</v>
      </c>
      <c r="V1573" s="276">
        <v>0.1</v>
      </c>
      <c r="W1573" s="276">
        <v>0</v>
      </c>
      <c r="X1573" s="270">
        <v>-1669</v>
      </c>
      <c r="Y1573" s="270">
        <v>-185</v>
      </c>
      <c r="Z1573" s="45" t="b">
        <v>1</v>
      </c>
      <c r="AA1573" s="45" t="s">
        <v>38</v>
      </c>
      <c r="AB1573" s="45" t="s">
        <v>38</v>
      </c>
    </row>
    <row r="1574" spans="1:28" x14ac:dyDescent="0.2">
      <c r="A1574" s="96" t="s">
        <v>206</v>
      </c>
      <c r="B1574" s="96" t="s">
        <v>206</v>
      </c>
      <c r="C1574" s="277">
        <v>44733</v>
      </c>
      <c r="D1574" s="277">
        <v>44762</v>
      </c>
      <c r="E1574" s="270" t="s">
        <v>267</v>
      </c>
      <c r="F1574" s="133" t="s">
        <v>34</v>
      </c>
      <c r="G1574" s="96" t="s">
        <v>35</v>
      </c>
      <c r="H1574" s="272" t="s">
        <v>148</v>
      </c>
      <c r="I1574" s="273">
        <v>250</v>
      </c>
      <c r="J1574" s="270">
        <v>305</v>
      </c>
      <c r="K1574" s="270">
        <f t="shared" si="0"/>
        <v>76250</v>
      </c>
      <c r="L1574" s="270">
        <v>197</v>
      </c>
      <c r="M1574" s="270">
        <v>-8000</v>
      </c>
      <c r="N1574" s="274">
        <v>2995</v>
      </c>
      <c r="O1574" s="55"/>
      <c r="P1574" s="105">
        <v>2995</v>
      </c>
      <c r="Q1574" s="270">
        <v>-3780</v>
      </c>
      <c r="R1574" s="275">
        <v>-1.335E-3</v>
      </c>
      <c r="S1574" s="270">
        <v>-3882</v>
      </c>
      <c r="T1574" s="270">
        <v>-887</v>
      </c>
      <c r="U1574" s="57">
        <v>1</v>
      </c>
      <c r="V1574" s="276">
        <v>0.1</v>
      </c>
      <c r="W1574" s="276">
        <v>0</v>
      </c>
      <c r="X1574" s="270">
        <v>-798</v>
      </c>
      <c r="Y1574" s="270">
        <v>-89</v>
      </c>
      <c r="Z1574" s="45" t="b">
        <v>1</v>
      </c>
      <c r="AA1574" s="45" t="s">
        <v>38</v>
      </c>
      <c r="AB1574" s="45" t="s">
        <v>38</v>
      </c>
    </row>
    <row r="1575" spans="1:28" x14ac:dyDescent="0.2">
      <c r="A1575" s="96" t="s">
        <v>206</v>
      </c>
      <c r="B1575" s="96" t="s">
        <v>206</v>
      </c>
      <c r="C1575" s="277">
        <v>44733</v>
      </c>
      <c r="D1575" s="277">
        <v>44762</v>
      </c>
      <c r="E1575" s="270" t="s">
        <v>267</v>
      </c>
      <c r="F1575" s="133" t="s">
        <v>34</v>
      </c>
      <c r="G1575" s="96" t="s">
        <v>35</v>
      </c>
      <c r="H1575" s="272" t="s">
        <v>142</v>
      </c>
      <c r="I1575" s="273">
        <v>500</v>
      </c>
      <c r="J1575" s="270">
        <v>5</v>
      </c>
      <c r="K1575" s="270">
        <f t="shared" si="0"/>
        <v>2500</v>
      </c>
      <c r="L1575" s="270">
        <v>-1141</v>
      </c>
      <c r="M1575" s="270">
        <v>2000</v>
      </c>
      <c r="N1575" s="274">
        <v>98</v>
      </c>
      <c r="O1575" s="55"/>
      <c r="P1575" s="45">
        <v>98</v>
      </c>
      <c r="Q1575" s="270">
        <v>-1200</v>
      </c>
      <c r="R1575" s="275">
        <v>-1.335E-3</v>
      </c>
      <c r="S1575" s="270">
        <v>-1203</v>
      </c>
      <c r="T1575" s="270">
        <v>-1105</v>
      </c>
      <c r="U1575" s="57">
        <v>1</v>
      </c>
      <c r="V1575" s="276">
        <v>0.1</v>
      </c>
      <c r="W1575" s="276">
        <v>0</v>
      </c>
      <c r="X1575" s="270">
        <v>-995</v>
      </c>
      <c r="Y1575" s="270">
        <v>-111</v>
      </c>
      <c r="Z1575" s="45" t="b">
        <v>1</v>
      </c>
      <c r="AA1575" s="45" t="s">
        <v>38</v>
      </c>
      <c r="AB1575" s="45" t="s">
        <v>38</v>
      </c>
    </row>
    <row r="1576" spans="1:28" x14ac:dyDescent="0.2">
      <c r="A1576" s="270" t="s">
        <v>58</v>
      </c>
      <c r="B1576" s="270" t="s">
        <v>48</v>
      </c>
      <c r="C1576" s="277">
        <v>44743</v>
      </c>
      <c r="D1576" s="277">
        <v>44773</v>
      </c>
      <c r="E1576" s="270" t="s">
        <v>267</v>
      </c>
      <c r="F1576" s="133" t="s">
        <v>49</v>
      </c>
      <c r="G1576" s="270" t="s">
        <v>35</v>
      </c>
      <c r="H1576" s="270" t="s">
        <v>40</v>
      </c>
      <c r="I1576" s="273">
        <v>10</v>
      </c>
      <c r="J1576" s="270">
        <v>3456</v>
      </c>
      <c r="K1576" s="270">
        <f t="shared" si="0"/>
        <v>34560</v>
      </c>
      <c r="L1576" s="270">
        <v>218147</v>
      </c>
      <c r="M1576" s="270">
        <v>1560</v>
      </c>
      <c r="N1576" s="274">
        <v>1651.14</v>
      </c>
      <c r="O1576" s="55"/>
      <c r="P1576" s="105">
        <v>1651</v>
      </c>
      <c r="Q1576" s="270">
        <v>1444</v>
      </c>
      <c r="R1576" s="275">
        <v>2.14E-3</v>
      </c>
      <c r="S1576" s="270">
        <v>1518</v>
      </c>
      <c r="T1576" s="270">
        <v>3169</v>
      </c>
      <c r="U1576" s="57">
        <v>1</v>
      </c>
      <c r="V1576" s="276">
        <v>0.17</v>
      </c>
      <c r="W1576" s="276">
        <v>0</v>
      </c>
      <c r="X1576" s="270">
        <v>2630</v>
      </c>
      <c r="Y1576" s="270">
        <v>539</v>
      </c>
      <c r="Z1576" s="45" t="b">
        <v>1</v>
      </c>
      <c r="AA1576" s="45" t="s">
        <v>38</v>
      </c>
      <c r="AB1576" s="45" t="s">
        <v>38</v>
      </c>
    </row>
    <row r="1577" spans="1:28" x14ac:dyDescent="0.2">
      <c r="A1577" s="270" t="s">
        <v>58</v>
      </c>
      <c r="B1577" s="270" t="s">
        <v>48</v>
      </c>
      <c r="C1577" s="277">
        <v>44743</v>
      </c>
      <c r="D1577" s="277">
        <v>44773</v>
      </c>
      <c r="E1577" s="270" t="s">
        <v>267</v>
      </c>
      <c r="F1577" s="133" t="s">
        <v>49</v>
      </c>
      <c r="G1577" s="270" t="s">
        <v>35</v>
      </c>
      <c r="H1577" s="270" t="s">
        <v>46</v>
      </c>
      <c r="I1577" s="273">
        <v>25</v>
      </c>
      <c r="J1577" s="270">
        <v>824</v>
      </c>
      <c r="K1577" s="270">
        <f t="shared" si="0"/>
        <v>20600</v>
      </c>
      <c r="L1577" s="270">
        <v>24990</v>
      </c>
      <c r="M1577" s="270">
        <v>-925</v>
      </c>
      <c r="N1577" s="274">
        <v>843.59</v>
      </c>
      <c r="O1577" s="55"/>
      <c r="P1577" s="45">
        <v>844</v>
      </c>
      <c r="Q1577" s="270">
        <v>-160</v>
      </c>
      <c r="R1577" s="275">
        <v>2.0349999999999999E-3</v>
      </c>
      <c r="S1577" s="270">
        <v>-118</v>
      </c>
      <c r="T1577" s="270">
        <v>726</v>
      </c>
      <c r="U1577" s="57">
        <v>1</v>
      </c>
      <c r="V1577" s="276">
        <v>0.17</v>
      </c>
      <c r="W1577" s="276">
        <v>0</v>
      </c>
      <c r="X1577" s="270">
        <v>602</v>
      </c>
      <c r="Y1577" s="270">
        <v>123</v>
      </c>
      <c r="Z1577" s="45" t="b">
        <v>1</v>
      </c>
      <c r="AA1577" s="45" t="s">
        <v>38</v>
      </c>
      <c r="AB1577" s="45" t="s">
        <v>38</v>
      </c>
    </row>
    <row r="1578" spans="1:28" x14ac:dyDescent="0.2">
      <c r="A1578" s="270" t="s">
        <v>58</v>
      </c>
      <c r="B1578" s="270" t="s">
        <v>48</v>
      </c>
      <c r="C1578" s="277">
        <v>44743</v>
      </c>
      <c r="D1578" s="277">
        <v>44773</v>
      </c>
      <c r="E1578" s="270" t="s">
        <v>267</v>
      </c>
      <c r="F1578" s="133" t="s">
        <v>41</v>
      </c>
      <c r="G1578" s="270" t="s">
        <v>35</v>
      </c>
      <c r="H1578" s="270" t="s">
        <v>39</v>
      </c>
      <c r="I1578" s="273">
        <v>5</v>
      </c>
      <c r="J1578" s="270">
        <v>1</v>
      </c>
      <c r="K1578" s="270">
        <f t="shared" si="0"/>
        <v>5</v>
      </c>
      <c r="L1578" s="270"/>
      <c r="M1578" s="270">
        <v>-5</v>
      </c>
      <c r="N1578" s="274"/>
      <c r="O1578" s="55"/>
      <c r="P1578" s="96"/>
      <c r="Q1578" s="270"/>
      <c r="R1578" s="275">
        <v>0</v>
      </c>
      <c r="S1578" s="270"/>
      <c r="T1578" s="270">
        <v>-5</v>
      </c>
      <c r="U1578" s="57">
        <v>1</v>
      </c>
      <c r="V1578" s="276">
        <v>0.17</v>
      </c>
      <c r="W1578" s="276">
        <v>0</v>
      </c>
      <c r="X1578" s="270">
        <v>-4</v>
      </c>
      <c r="Y1578" s="270">
        <v>-1</v>
      </c>
      <c r="Z1578" s="45" t="b">
        <v>1</v>
      </c>
      <c r="AA1578" s="45" t="s">
        <v>38</v>
      </c>
      <c r="AB1578" s="45" t="s">
        <v>38</v>
      </c>
    </row>
    <row r="1579" spans="1:28" x14ac:dyDescent="0.2">
      <c r="A1579" s="96" t="s">
        <v>89</v>
      </c>
      <c r="B1579" s="96" t="s">
        <v>89</v>
      </c>
      <c r="C1579" s="277">
        <v>44743</v>
      </c>
      <c r="D1579" s="277">
        <v>44773</v>
      </c>
      <c r="E1579" s="270" t="s">
        <v>267</v>
      </c>
      <c r="F1579" s="133" t="s">
        <v>41</v>
      </c>
      <c r="G1579" s="96" t="s">
        <v>35</v>
      </c>
      <c r="H1579" s="272" t="s">
        <v>70</v>
      </c>
      <c r="I1579" s="273">
        <v>100</v>
      </c>
      <c r="J1579" s="270">
        <v>3</v>
      </c>
      <c r="K1579" s="270">
        <f t="shared" si="0"/>
        <v>300</v>
      </c>
      <c r="L1579" s="270">
        <v>-1500</v>
      </c>
      <c r="M1579" s="270">
        <v>-300</v>
      </c>
      <c r="N1579" s="274">
        <v>11</v>
      </c>
      <c r="O1579" s="55"/>
      <c r="P1579" s="45">
        <v>11</v>
      </c>
      <c r="Q1579" s="270">
        <v>-297</v>
      </c>
      <c r="R1579" s="275">
        <v>0</v>
      </c>
      <c r="S1579" s="270">
        <v>-297</v>
      </c>
      <c r="T1579" s="270">
        <v>-289</v>
      </c>
      <c r="U1579" s="57">
        <v>1</v>
      </c>
      <c r="V1579" s="290"/>
      <c r="W1579" s="276">
        <v>0</v>
      </c>
      <c r="X1579" s="270">
        <v>-289</v>
      </c>
      <c r="Y1579" s="270">
        <v>0</v>
      </c>
      <c r="Z1579" s="45" t="b">
        <v>0</v>
      </c>
      <c r="AA1579" s="45" t="s">
        <v>38</v>
      </c>
      <c r="AB1579" s="45" t="s">
        <v>38</v>
      </c>
    </row>
    <row r="1580" spans="1:28" x14ac:dyDescent="0.2">
      <c r="A1580" s="96" t="s">
        <v>89</v>
      </c>
      <c r="B1580" s="96" t="s">
        <v>89</v>
      </c>
      <c r="C1580" s="277">
        <v>44743</v>
      </c>
      <c r="D1580" s="277">
        <v>44773</v>
      </c>
      <c r="E1580" s="270" t="s">
        <v>267</v>
      </c>
      <c r="F1580" s="133" t="s">
        <v>41</v>
      </c>
      <c r="G1580" s="96" t="s">
        <v>35</v>
      </c>
      <c r="H1580" s="272" t="s">
        <v>72</v>
      </c>
      <c r="I1580" s="273">
        <v>50</v>
      </c>
      <c r="J1580" s="270">
        <v>3005</v>
      </c>
      <c r="K1580" s="270">
        <f t="shared" si="0"/>
        <v>150250</v>
      </c>
      <c r="L1580" s="270">
        <v>52432</v>
      </c>
      <c r="M1580" s="270">
        <v>-7250</v>
      </c>
      <c r="N1580" s="274">
        <v>6593</v>
      </c>
      <c r="O1580" s="55"/>
      <c r="P1580" s="105">
        <v>6593</v>
      </c>
      <c r="Q1580" s="270">
        <v>-4755</v>
      </c>
      <c r="R1580" s="275">
        <v>0</v>
      </c>
      <c r="S1580" s="270">
        <v>-4755</v>
      </c>
      <c r="T1580" s="270">
        <v>-657</v>
      </c>
      <c r="U1580" s="57">
        <v>1</v>
      </c>
      <c r="V1580" s="290"/>
      <c r="W1580" s="276">
        <v>0</v>
      </c>
      <c r="X1580" s="270">
        <v>-657</v>
      </c>
      <c r="Y1580" s="270">
        <v>0</v>
      </c>
      <c r="Z1580" s="45" t="b">
        <v>0</v>
      </c>
      <c r="AA1580" s="45" t="s">
        <v>38</v>
      </c>
      <c r="AB1580" s="45" t="s">
        <v>38</v>
      </c>
    </row>
    <row r="1581" spans="1:28" x14ac:dyDescent="0.2">
      <c r="A1581" s="96" t="s">
        <v>89</v>
      </c>
      <c r="B1581" s="96" t="s">
        <v>89</v>
      </c>
      <c r="C1581" s="277">
        <v>44743</v>
      </c>
      <c r="D1581" s="277">
        <v>44773</v>
      </c>
      <c r="E1581" s="270" t="s">
        <v>267</v>
      </c>
      <c r="F1581" s="133" t="s">
        <v>41</v>
      </c>
      <c r="G1581" s="96" t="s">
        <v>35</v>
      </c>
      <c r="H1581" s="272" t="s">
        <v>39</v>
      </c>
      <c r="I1581" s="273">
        <v>5</v>
      </c>
      <c r="J1581" s="270">
        <v>2</v>
      </c>
      <c r="K1581" s="270">
        <f t="shared" si="0"/>
        <v>10</v>
      </c>
      <c r="L1581" s="270">
        <v>1200</v>
      </c>
      <c r="M1581" s="270">
        <v>20</v>
      </c>
      <c r="N1581" s="274">
        <v>1</v>
      </c>
      <c r="O1581" s="55"/>
      <c r="P1581" s="45">
        <v>1</v>
      </c>
      <c r="Q1581" s="270">
        <v>10</v>
      </c>
      <c r="R1581" s="275">
        <v>0</v>
      </c>
      <c r="S1581" s="270">
        <v>10</v>
      </c>
      <c r="T1581" s="270">
        <v>21</v>
      </c>
      <c r="U1581" s="57">
        <v>1</v>
      </c>
      <c r="V1581" s="290"/>
      <c r="W1581" s="276">
        <v>0</v>
      </c>
      <c r="X1581" s="270">
        <v>21</v>
      </c>
      <c r="Y1581" s="270">
        <v>0</v>
      </c>
      <c r="Z1581" s="45" t="b">
        <v>0</v>
      </c>
      <c r="AA1581" s="45" t="s">
        <v>38</v>
      </c>
      <c r="AB1581" s="45" t="s">
        <v>38</v>
      </c>
    </row>
    <row r="1582" spans="1:28" x14ac:dyDescent="0.2">
      <c r="A1582" s="96" t="s">
        <v>145</v>
      </c>
      <c r="B1582" s="96" t="s">
        <v>145</v>
      </c>
      <c r="C1582" s="277">
        <v>44743</v>
      </c>
      <c r="D1582" s="277">
        <v>44773</v>
      </c>
      <c r="E1582" s="270" t="s">
        <v>300</v>
      </c>
      <c r="F1582" s="133" t="s">
        <v>49</v>
      </c>
      <c r="G1582" s="279" t="s">
        <v>35</v>
      </c>
      <c r="H1582" s="272" t="s">
        <v>70</v>
      </c>
      <c r="I1582" s="273">
        <v>100</v>
      </c>
      <c r="J1582" s="270">
        <v>119</v>
      </c>
      <c r="K1582" s="270">
        <f t="shared" si="0"/>
        <v>11900</v>
      </c>
      <c r="L1582" s="270">
        <v>220</v>
      </c>
      <c r="M1582" s="270">
        <v>-800</v>
      </c>
      <c r="N1582" s="274">
        <v>442.25</v>
      </c>
      <c r="O1582" s="55"/>
      <c r="P1582" s="45">
        <v>442</v>
      </c>
      <c r="Q1582" s="270">
        <v>-601</v>
      </c>
      <c r="R1582" s="275">
        <v>1.9629999999999999E-3</v>
      </c>
      <c r="S1582" s="270">
        <v>-578</v>
      </c>
      <c r="T1582" s="270">
        <v>-136</v>
      </c>
      <c r="U1582" s="57">
        <v>1</v>
      </c>
      <c r="V1582" s="276">
        <v>0.17499999999999999</v>
      </c>
      <c r="W1582" s="276">
        <v>7.4999999999999997E-2</v>
      </c>
      <c r="X1582" s="270">
        <v>-102</v>
      </c>
      <c r="Y1582" s="270">
        <v>-34</v>
      </c>
      <c r="Z1582" s="45" t="b">
        <v>1</v>
      </c>
      <c r="AA1582" s="45" t="s">
        <v>38</v>
      </c>
      <c r="AB1582" s="45" t="s">
        <v>38</v>
      </c>
    </row>
    <row r="1583" spans="1:28" x14ac:dyDescent="0.2">
      <c r="A1583" s="96" t="s">
        <v>145</v>
      </c>
      <c r="B1583" s="96" t="s">
        <v>145</v>
      </c>
      <c r="C1583" s="277">
        <v>44743</v>
      </c>
      <c r="D1583" s="277">
        <v>44773</v>
      </c>
      <c r="E1583" s="270" t="s">
        <v>300</v>
      </c>
      <c r="F1583" s="133" t="s">
        <v>49</v>
      </c>
      <c r="G1583" s="279" t="s">
        <v>35</v>
      </c>
      <c r="H1583" s="272" t="s">
        <v>84</v>
      </c>
      <c r="I1583" s="273">
        <v>100</v>
      </c>
      <c r="J1583" s="270">
        <v>4229</v>
      </c>
      <c r="K1583" s="270">
        <f t="shared" si="0"/>
        <v>422900</v>
      </c>
      <c r="L1583" s="270">
        <v>44264</v>
      </c>
      <c r="M1583" s="270">
        <v>-15300</v>
      </c>
      <c r="N1583" s="274">
        <v>15716.45</v>
      </c>
      <c r="O1583" s="55"/>
      <c r="P1583" s="105">
        <v>15716</v>
      </c>
      <c r="Q1583" s="270">
        <v>-9009</v>
      </c>
      <c r="R1583" s="275">
        <v>2.0179999999999998E-3</v>
      </c>
      <c r="S1583" s="270">
        <v>-8156</v>
      </c>
      <c r="T1583" s="270">
        <v>7560</v>
      </c>
      <c r="U1583" s="57">
        <v>1</v>
      </c>
      <c r="V1583" s="276">
        <v>0.17499999999999999</v>
      </c>
      <c r="W1583" s="276">
        <v>7.4999999999999997E-2</v>
      </c>
      <c r="X1583" s="270">
        <v>5670</v>
      </c>
      <c r="Y1583" s="270">
        <v>1890</v>
      </c>
      <c r="Z1583" s="45" t="b">
        <v>1</v>
      </c>
      <c r="AA1583" s="45" t="s">
        <v>38</v>
      </c>
      <c r="AB1583" s="45" t="s">
        <v>38</v>
      </c>
    </row>
    <row r="1584" spans="1:28" x14ac:dyDescent="0.2">
      <c r="A1584" s="96" t="s">
        <v>145</v>
      </c>
      <c r="B1584" s="96" t="s">
        <v>145</v>
      </c>
      <c r="C1584" s="277">
        <v>44743</v>
      </c>
      <c r="D1584" s="277">
        <v>44773</v>
      </c>
      <c r="E1584" s="270" t="s">
        <v>300</v>
      </c>
      <c r="F1584" s="133" t="s">
        <v>49</v>
      </c>
      <c r="G1584" s="279" t="s">
        <v>35</v>
      </c>
      <c r="H1584" s="272" t="s">
        <v>88</v>
      </c>
      <c r="I1584" s="273">
        <v>250</v>
      </c>
      <c r="J1584" s="270">
        <v>938</v>
      </c>
      <c r="K1584" s="270">
        <f t="shared" si="0"/>
        <v>234500</v>
      </c>
      <c r="L1584" s="270">
        <v>18783</v>
      </c>
      <c r="M1584" s="270">
        <v>-8750</v>
      </c>
      <c r="N1584" s="274">
        <v>8714.84</v>
      </c>
      <c r="O1584" s="55"/>
      <c r="P1584" s="105">
        <v>8715</v>
      </c>
      <c r="Q1584" s="270">
        <v>-3276</v>
      </c>
      <c r="R1584" s="275">
        <v>2.032E-3</v>
      </c>
      <c r="S1584" s="270">
        <v>-2800</v>
      </c>
      <c r="T1584" s="270">
        <v>5915</v>
      </c>
      <c r="U1584" s="57">
        <v>1</v>
      </c>
      <c r="V1584" s="276">
        <v>0.17499999999999999</v>
      </c>
      <c r="W1584" s="276">
        <v>7.4999999999999997E-2</v>
      </c>
      <c r="X1584" s="270">
        <v>4436</v>
      </c>
      <c r="Y1584" s="270">
        <v>1479</v>
      </c>
      <c r="Z1584" s="45" t="b">
        <v>1</v>
      </c>
      <c r="AA1584" s="45" t="s">
        <v>38</v>
      </c>
      <c r="AB1584" s="45" t="s">
        <v>38</v>
      </c>
    </row>
    <row r="1585" spans="1:28" x14ac:dyDescent="0.2">
      <c r="A1585" s="96" t="s">
        <v>145</v>
      </c>
      <c r="B1585" s="96" t="s">
        <v>145</v>
      </c>
      <c r="C1585" s="277">
        <v>44743</v>
      </c>
      <c r="D1585" s="277">
        <v>44773</v>
      </c>
      <c r="E1585" s="270" t="s">
        <v>300</v>
      </c>
      <c r="F1585" s="133" t="s">
        <v>49</v>
      </c>
      <c r="G1585" s="279" t="s">
        <v>35</v>
      </c>
      <c r="H1585" s="272" t="s">
        <v>148</v>
      </c>
      <c r="I1585" s="273">
        <v>250</v>
      </c>
      <c r="J1585" s="270">
        <v>837</v>
      </c>
      <c r="K1585" s="270">
        <f t="shared" si="0"/>
        <v>209250</v>
      </c>
      <c r="L1585" s="270">
        <v>5659</v>
      </c>
      <c r="M1585" s="270">
        <v>-26750</v>
      </c>
      <c r="N1585" s="274">
        <v>7776.46</v>
      </c>
      <c r="O1585" s="55"/>
      <c r="P1585" s="105">
        <v>7776</v>
      </c>
      <c r="Q1585" s="270">
        <v>-6367</v>
      </c>
      <c r="R1585" s="275">
        <v>2E-3</v>
      </c>
      <c r="S1585" s="270">
        <v>-5948</v>
      </c>
      <c r="T1585" s="270">
        <v>1828</v>
      </c>
      <c r="U1585" s="57">
        <v>1</v>
      </c>
      <c r="V1585" s="276">
        <v>0.17499999999999999</v>
      </c>
      <c r="W1585" s="276">
        <v>7.4999999999999997E-2</v>
      </c>
      <c r="X1585" s="270">
        <v>1371</v>
      </c>
      <c r="Y1585" s="270">
        <v>457</v>
      </c>
      <c r="Z1585" s="45" t="b">
        <v>1</v>
      </c>
      <c r="AA1585" s="45" t="s">
        <v>38</v>
      </c>
      <c r="AB1585" s="45" t="s">
        <v>38</v>
      </c>
    </row>
    <row r="1586" spans="1:28" x14ac:dyDescent="0.2">
      <c r="A1586" s="279" t="s">
        <v>155</v>
      </c>
      <c r="B1586" s="279" t="s">
        <v>155</v>
      </c>
      <c r="C1586" s="282">
        <v>44743</v>
      </c>
      <c r="D1586" s="282">
        <v>44773</v>
      </c>
      <c r="E1586" s="279" t="s">
        <v>267</v>
      </c>
      <c r="F1586" s="133" t="s">
        <v>49</v>
      </c>
      <c r="G1586" s="270" t="s">
        <v>35</v>
      </c>
      <c r="H1586" s="289" t="s">
        <v>39</v>
      </c>
      <c r="I1586" s="273">
        <v>5</v>
      </c>
      <c r="J1586" s="270">
        <v>398</v>
      </c>
      <c r="K1586" s="270">
        <f t="shared" si="0"/>
        <v>1990</v>
      </c>
      <c r="L1586" s="270">
        <v>28638</v>
      </c>
      <c r="M1586" s="270">
        <v>160</v>
      </c>
      <c r="N1586" s="274">
        <v>149</v>
      </c>
      <c r="O1586" s="55"/>
      <c r="P1586" s="45">
        <v>149</v>
      </c>
      <c r="Q1586" s="270">
        <v>84</v>
      </c>
      <c r="R1586" s="275">
        <v>2.2490000000000001E-3</v>
      </c>
      <c r="S1586" s="270">
        <v>88</v>
      </c>
      <c r="T1586" s="270">
        <v>237</v>
      </c>
      <c r="U1586" s="57">
        <v>1</v>
      </c>
      <c r="V1586" s="276">
        <v>0.17</v>
      </c>
      <c r="W1586" s="276">
        <v>0</v>
      </c>
      <c r="X1586" s="270">
        <v>197</v>
      </c>
      <c r="Y1586" s="270">
        <v>40</v>
      </c>
      <c r="Z1586" s="45" t="b">
        <v>1</v>
      </c>
      <c r="AA1586" s="45" t="s">
        <v>38</v>
      </c>
      <c r="AB1586" s="45" t="s">
        <v>38</v>
      </c>
    </row>
    <row r="1587" spans="1:28" x14ac:dyDescent="0.2">
      <c r="A1587" s="279" t="s">
        <v>155</v>
      </c>
      <c r="B1587" s="279" t="s">
        <v>155</v>
      </c>
      <c r="C1587" s="282">
        <v>44743</v>
      </c>
      <c r="D1587" s="282">
        <v>44773</v>
      </c>
      <c r="E1587" s="279" t="s">
        <v>267</v>
      </c>
      <c r="F1587" s="133" t="s">
        <v>49</v>
      </c>
      <c r="G1587" s="270" t="s">
        <v>35</v>
      </c>
      <c r="H1587" s="289" t="s">
        <v>40</v>
      </c>
      <c r="I1587" s="273">
        <v>10</v>
      </c>
      <c r="J1587" s="270">
        <v>493</v>
      </c>
      <c r="K1587" s="270">
        <f t="shared" si="0"/>
        <v>4930</v>
      </c>
      <c r="L1587" s="270">
        <v>19214</v>
      </c>
      <c r="M1587" s="270">
        <v>90</v>
      </c>
      <c r="N1587" s="274">
        <v>69</v>
      </c>
      <c r="O1587" s="55"/>
      <c r="P1587" s="45">
        <v>69</v>
      </c>
      <c r="Q1587" s="270">
        <v>-12</v>
      </c>
      <c r="R1587" s="275">
        <v>2.1050000000000001E-3</v>
      </c>
      <c r="S1587" s="270">
        <v>-2</v>
      </c>
      <c r="T1587" s="270">
        <v>67</v>
      </c>
      <c r="U1587" s="57">
        <v>1</v>
      </c>
      <c r="V1587" s="276">
        <v>0.17</v>
      </c>
      <c r="W1587" s="276">
        <v>0</v>
      </c>
      <c r="X1587" s="270">
        <v>56</v>
      </c>
      <c r="Y1587" s="270">
        <v>11</v>
      </c>
      <c r="Z1587" s="45" t="b">
        <v>1</v>
      </c>
      <c r="AA1587" s="45" t="s">
        <v>38</v>
      </c>
      <c r="AB1587" s="45" t="s">
        <v>38</v>
      </c>
    </row>
    <row r="1588" spans="1:28" x14ac:dyDescent="0.2">
      <c r="A1588" s="279" t="s">
        <v>155</v>
      </c>
      <c r="B1588" s="279" t="s">
        <v>155</v>
      </c>
      <c r="C1588" s="282">
        <v>44743</v>
      </c>
      <c r="D1588" s="282">
        <v>44773</v>
      </c>
      <c r="E1588" s="279" t="s">
        <v>267</v>
      </c>
      <c r="F1588" s="133" t="s">
        <v>49</v>
      </c>
      <c r="G1588" s="279" t="s">
        <v>69</v>
      </c>
      <c r="H1588" s="289" t="s">
        <v>40</v>
      </c>
      <c r="I1588" s="273">
        <v>10</v>
      </c>
      <c r="J1588" s="270">
        <v>673</v>
      </c>
      <c r="K1588" s="270">
        <f t="shared" si="0"/>
        <v>6730</v>
      </c>
      <c r="L1588" s="270">
        <v>29057</v>
      </c>
      <c r="M1588" s="270">
        <v>1750</v>
      </c>
      <c r="N1588" s="274">
        <v>350</v>
      </c>
      <c r="O1588" s="55"/>
      <c r="P1588" s="45">
        <v>350</v>
      </c>
      <c r="Q1588" s="270">
        <v>112</v>
      </c>
      <c r="R1588" s="275">
        <v>-6.6E-4</v>
      </c>
      <c r="S1588" s="270">
        <v>108</v>
      </c>
      <c r="T1588" s="270">
        <v>458</v>
      </c>
      <c r="U1588" s="57">
        <v>1</v>
      </c>
      <c r="V1588" s="276">
        <v>0.17</v>
      </c>
      <c r="W1588" s="276">
        <v>0</v>
      </c>
      <c r="X1588" s="270">
        <v>380</v>
      </c>
      <c r="Y1588" s="270">
        <v>78</v>
      </c>
      <c r="Z1588" s="45" t="b">
        <v>1</v>
      </c>
      <c r="AA1588" s="45" t="s">
        <v>38</v>
      </c>
      <c r="AB1588" s="45" t="s">
        <v>38</v>
      </c>
    </row>
    <row r="1589" spans="1:28" x14ac:dyDescent="0.2">
      <c r="A1589" s="279" t="s">
        <v>155</v>
      </c>
      <c r="B1589" s="279" t="s">
        <v>155</v>
      </c>
      <c r="C1589" s="282">
        <v>44773</v>
      </c>
      <c r="D1589" s="282">
        <v>44773</v>
      </c>
      <c r="E1589" s="279" t="s">
        <v>267</v>
      </c>
      <c r="F1589" s="133" t="s">
        <v>49</v>
      </c>
      <c r="G1589" s="279" t="s">
        <v>69</v>
      </c>
      <c r="H1589" s="289" t="s">
        <v>40</v>
      </c>
      <c r="I1589" s="273">
        <v>10</v>
      </c>
      <c r="J1589" s="270">
        <v>97</v>
      </c>
      <c r="K1589" s="270">
        <f t="shared" si="0"/>
        <v>970</v>
      </c>
      <c r="L1589" s="270">
        <v>4410</v>
      </c>
      <c r="M1589" s="270">
        <v>10</v>
      </c>
      <c r="N1589" s="274">
        <v>13</v>
      </c>
      <c r="O1589" s="55"/>
      <c r="P1589" s="45">
        <v>13</v>
      </c>
      <c r="Q1589" s="270">
        <v>20</v>
      </c>
      <c r="R1589" s="275">
        <v>-3.6699999999999998E-4</v>
      </c>
      <c r="S1589" s="270">
        <v>20</v>
      </c>
      <c r="T1589" s="270">
        <v>33</v>
      </c>
      <c r="U1589" s="57">
        <v>1</v>
      </c>
      <c r="V1589" s="276">
        <v>0.17</v>
      </c>
      <c r="W1589" s="276">
        <v>0</v>
      </c>
      <c r="X1589" s="270">
        <v>27</v>
      </c>
      <c r="Y1589" s="270">
        <v>6</v>
      </c>
      <c r="Z1589" s="45" t="b">
        <v>1</v>
      </c>
      <c r="AA1589" s="45" t="s">
        <v>38</v>
      </c>
      <c r="AB1589" s="45" t="s">
        <v>38</v>
      </c>
    </row>
    <row r="1590" spans="1:28" x14ac:dyDescent="0.2">
      <c r="A1590" s="279" t="s">
        <v>157</v>
      </c>
      <c r="B1590" s="279" t="s">
        <v>157</v>
      </c>
      <c r="C1590" s="282">
        <v>44743</v>
      </c>
      <c r="D1590" s="282">
        <v>44773</v>
      </c>
      <c r="E1590" s="279" t="s">
        <v>267</v>
      </c>
      <c r="F1590" s="133" t="s">
        <v>41</v>
      </c>
      <c r="G1590" s="279" t="s">
        <v>53</v>
      </c>
      <c r="H1590" s="289" t="s">
        <v>54</v>
      </c>
      <c r="I1590" s="280">
        <v>5</v>
      </c>
      <c r="J1590" s="279">
        <v>3</v>
      </c>
      <c r="K1590" s="270">
        <f t="shared" si="0"/>
        <v>15</v>
      </c>
      <c r="L1590" s="279">
        <v>-302</v>
      </c>
      <c r="M1590" s="279">
        <v>-0.03</v>
      </c>
      <c r="N1590" s="281"/>
      <c r="O1590" s="55">
        <v>0.5</v>
      </c>
      <c r="P1590" s="45">
        <v>1</v>
      </c>
      <c r="Q1590" s="279">
        <v>-4</v>
      </c>
      <c r="R1590" s="275">
        <v>0</v>
      </c>
      <c r="S1590" s="279">
        <v>-4</v>
      </c>
      <c r="T1590" s="279">
        <v>0</v>
      </c>
      <c r="U1590" s="57">
        <v>1</v>
      </c>
      <c r="V1590" s="276">
        <v>0.23</v>
      </c>
      <c r="W1590" s="276">
        <v>0</v>
      </c>
      <c r="X1590" s="279">
        <v>0</v>
      </c>
      <c r="Y1590" s="279">
        <v>0</v>
      </c>
      <c r="Z1590" s="45" t="b">
        <v>1</v>
      </c>
      <c r="AA1590" s="45" t="s">
        <v>38</v>
      </c>
      <c r="AB1590" s="45" t="s">
        <v>50</v>
      </c>
    </row>
    <row r="1591" spans="1:28" x14ac:dyDescent="0.2">
      <c r="A1591" s="279" t="s">
        <v>157</v>
      </c>
      <c r="B1591" s="279" t="s">
        <v>157</v>
      </c>
      <c r="C1591" s="282">
        <v>44743</v>
      </c>
      <c r="D1591" s="282">
        <v>44773</v>
      </c>
      <c r="E1591" s="279" t="s">
        <v>267</v>
      </c>
      <c r="F1591" s="133" t="s">
        <v>41</v>
      </c>
      <c r="G1591" s="279" t="s">
        <v>53</v>
      </c>
      <c r="H1591" s="289" t="s">
        <v>56</v>
      </c>
      <c r="I1591" s="280">
        <v>20</v>
      </c>
      <c r="J1591" s="279">
        <v>1614</v>
      </c>
      <c r="K1591" s="270">
        <f t="shared" si="0"/>
        <v>32280</v>
      </c>
      <c r="L1591" s="279">
        <v>71602</v>
      </c>
      <c r="M1591" s="279">
        <v>-69.83</v>
      </c>
      <c r="N1591" s="281"/>
      <c r="O1591" s="55">
        <v>0.5</v>
      </c>
      <c r="P1591" s="105">
        <v>1130</v>
      </c>
      <c r="Q1591" s="279">
        <v>163</v>
      </c>
      <c r="R1591" s="275">
        <v>0</v>
      </c>
      <c r="S1591" s="279">
        <v>163</v>
      </c>
      <c r="T1591" s="279">
        <v>1060</v>
      </c>
      <c r="U1591" s="57">
        <v>1</v>
      </c>
      <c r="V1591" s="276">
        <v>0.23</v>
      </c>
      <c r="W1591" s="276">
        <v>0</v>
      </c>
      <c r="X1591" s="279">
        <v>816</v>
      </c>
      <c r="Y1591" s="279">
        <v>244</v>
      </c>
      <c r="Z1591" s="45" t="b">
        <v>1</v>
      </c>
      <c r="AA1591" s="45" t="s">
        <v>38</v>
      </c>
      <c r="AB1591" s="45" t="s">
        <v>50</v>
      </c>
    </row>
    <row r="1592" spans="1:28" x14ac:dyDescent="0.2">
      <c r="A1592" s="279" t="s">
        <v>157</v>
      </c>
      <c r="B1592" s="279" t="s">
        <v>157</v>
      </c>
      <c r="C1592" s="282">
        <v>44743</v>
      </c>
      <c r="D1592" s="282">
        <v>44773</v>
      </c>
      <c r="E1592" s="279" t="s">
        <v>267</v>
      </c>
      <c r="F1592" s="133" t="s">
        <v>41</v>
      </c>
      <c r="G1592" s="279" t="s">
        <v>53</v>
      </c>
      <c r="H1592" s="289" t="s">
        <v>57</v>
      </c>
      <c r="I1592" s="280">
        <v>50</v>
      </c>
      <c r="J1592" s="279">
        <v>66</v>
      </c>
      <c r="K1592" s="270">
        <f t="shared" si="0"/>
        <v>3300</v>
      </c>
      <c r="L1592" s="279">
        <v>3810</v>
      </c>
      <c r="M1592" s="279">
        <v>-7.14</v>
      </c>
      <c r="N1592" s="281"/>
      <c r="O1592" s="55">
        <v>0.5</v>
      </c>
      <c r="P1592" s="45">
        <v>116</v>
      </c>
      <c r="Q1592" s="279">
        <v>98</v>
      </c>
      <c r="R1592" s="275">
        <v>0</v>
      </c>
      <c r="S1592" s="279">
        <v>98</v>
      </c>
      <c r="T1592" s="279">
        <v>108</v>
      </c>
      <c r="U1592" s="57">
        <v>1</v>
      </c>
      <c r="V1592" s="276">
        <v>0.23</v>
      </c>
      <c r="W1592" s="276">
        <v>0</v>
      </c>
      <c r="X1592" s="279">
        <v>83</v>
      </c>
      <c r="Y1592" s="279">
        <v>25</v>
      </c>
      <c r="Z1592" s="45" t="b">
        <v>1</v>
      </c>
      <c r="AA1592" s="45" t="s">
        <v>38</v>
      </c>
      <c r="AB1592" s="45" t="s">
        <v>50</v>
      </c>
    </row>
    <row r="1593" spans="1:28" x14ac:dyDescent="0.2">
      <c r="A1593" s="279" t="s">
        <v>150</v>
      </c>
      <c r="B1593" s="279" t="s">
        <v>150</v>
      </c>
      <c r="C1593" s="282">
        <v>44743</v>
      </c>
      <c r="D1593" s="282">
        <v>44773</v>
      </c>
      <c r="E1593" s="279" t="s">
        <v>267</v>
      </c>
      <c r="F1593" s="133" t="s">
        <v>41</v>
      </c>
      <c r="G1593" s="279" t="s">
        <v>53</v>
      </c>
      <c r="H1593" s="289" t="s">
        <v>55</v>
      </c>
      <c r="I1593" s="280">
        <v>10</v>
      </c>
      <c r="J1593" s="279">
        <v>1627</v>
      </c>
      <c r="K1593" s="270">
        <f t="shared" si="0"/>
        <v>16270</v>
      </c>
      <c r="L1593" s="279">
        <v>64621</v>
      </c>
      <c r="M1593" s="279">
        <v>-192.34</v>
      </c>
      <c r="N1593" s="281"/>
      <c r="O1593" s="55">
        <v>0.5</v>
      </c>
      <c r="P1593" s="45">
        <v>569</v>
      </c>
      <c r="Q1593" s="279">
        <v>-54</v>
      </c>
      <c r="R1593" s="275">
        <v>0</v>
      </c>
      <c r="S1593" s="279">
        <v>-54</v>
      </c>
      <c r="T1593" s="279">
        <v>377</v>
      </c>
      <c r="U1593" s="57">
        <v>1</v>
      </c>
      <c r="V1593" s="276">
        <v>0.23</v>
      </c>
      <c r="W1593" s="276">
        <v>0</v>
      </c>
      <c r="X1593" s="279">
        <v>290</v>
      </c>
      <c r="Y1593" s="279">
        <v>87</v>
      </c>
      <c r="Z1593" s="45" t="b">
        <v>1</v>
      </c>
      <c r="AA1593" s="45" t="s">
        <v>38</v>
      </c>
      <c r="AB1593" s="45" t="s">
        <v>38</v>
      </c>
    </row>
    <row r="1594" spans="1:28" x14ac:dyDescent="0.2">
      <c r="A1594" s="279" t="s">
        <v>150</v>
      </c>
      <c r="B1594" s="279" t="s">
        <v>150</v>
      </c>
      <c r="C1594" s="282">
        <v>44743</v>
      </c>
      <c r="D1594" s="282">
        <v>44773</v>
      </c>
      <c r="E1594" s="279" t="s">
        <v>267</v>
      </c>
      <c r="F1594" s="133" t="s">
        <v>41</v>
      </c>
      <c r="G1594" s="279" t="s">
        <v>53</v>
      </c>
      <c r="H1594" s="289" t="s">
        <v>56</v>
      </c>
      <c r="I1594" s="280">
        <v>20</v>
      </c>
      <c r="J1594" s="279">
        <v>375</v>
      </c>
      <c r="K1594" s="270">
        <f t="shared" si="0"/>
        <v>7500</v>
      </c>
      <c r="L1594" s="279">
        <v>13099</v>
      </c>
      <c r="M1594" s="279">
        <v>-88.66</v>
      </c>
      <c r="N1594" s="281"/>
      <c r="O1594" s="55">
        <v>0.5</v>
      </c>
      <c r="P1594" s="45">
        <v>263</v>
      </c>
      <c r="Q1594" s="279">
        <v>-93</v>
      </c>
      <c r="R1594" s="275">
        <v>0</v>
      </c>
      <c r="S1594" s="279">
        <v>-93</v>
      </c>
      <c r="T1594" s="279">
        <v>174</v>
      </c>
      <c r="U1594" s="57">
        <v>1</v>
      </c>
      <c r="V1594" s="276">
        <v>0.23</v>
      </c>
      <c r="W1594" s="276">
        <v>0</v>
      </c>
      <c r="X1594" s="279">
        <v>134</v>
      </c>
      <c r="Y1594" s="279">
        <v>40</v>
      </c>
      <c r="Z1594" s="45" t="b">
        <v>1</v>
      </c>
      <c r="AA1594" s="45" t="s">
        <v>38</v>
      </c>
      <c r="AB1594" s="45" t="s">
        <v>38</v>
      </c>
    </row>
    <row r="1595" spans="1:28" x14ac:dyDescent="0.2">
      <c r="A1595" s="279" t="s">
        <v>447</v>
      </c>
      <c r="B1595" s="279" t="s">
        <v>66</v>
      </c>
      <c r="C1595" s="282">
        <v>44743</v>
      </c>
      <c r="D1595" s="282">
        <v>44773</v>
      </c>
      <c r="E1595" s="279" t="s">
        <v>300</v>
      </c>
      <c r="F1595" s="133" t="s">
        <v>49</v>
      </c>
      <c r="G1595" s="279" t="s">
        <v>61</v>
      </c>
      <c r="H1595" s="289" t="s">
        <v>59</v>
      </c>
      <c r="I1595" s="280">
        <v>100</v>
      </c>
      <c r="J1595" s="279">
        <v>96</v>
      </c>
      <c r="K1595" s="270">
        <f t="shared" si="0"/>
        <v>9600</v>
      </c>
      <c r="L1595" s="279">
        <v>1041</v>
      </c>
      <c r="M1595" s="279">
        <v>-1900</v>
      </c>
      <c r="N1595" s="281">
        <f>20191.06-300</f>
        <v>19891.060000000001</v>
      </c>
      <c r="O1595" s="55"/>
      <c r="P1595" s="105">
        <v>19891</v>
      </c>
      <c r="Q1595" s="279">
        <v>-660</v>
      </c>
      <c r="R1595" s="275">
        <v>1.9530000000000001E-3</v>
      </c>
      <c r="S1595" s="279">
        <v>-641</v>
      </c>
      <c r="T1595" s="279">
        <v>19250</v>
      </c>
      <c r="U1595" s="57">
        <v>1</v>
      </c>
      <c r="V1595" s="276">
        <v>0.16500000000000001</v>
      </c>
      <c r="W1595" s="276">
        <v>5.5E-2</v>
      </c>
      <c r="X1595" s="279">
        <v>15015</v>
      </c>
      <c r="Y1595" s="279">
        <v>4235</v>
      </c>
      <c r="Z1595" s="45" t="b">
        <v>1</v>
      </c>
      <c r="AA1595" s="45" t="s">
        <v>50</v>
      </c>
      <c r="AB1595" s="45" t="s">
        <v>50</v>
      </c>
    </row>
    <row r="1596" spans="1:28" x14ac:dyDescent="0.2">
      <c r="A1596" s="279" t="s">
        <v>447</v>
      </c>
      <c r="B1596" s="279" t="s">
        <v>66</v>
      </c>
      <c r="C1596" s="282">
        <v>44743</v>
      </c>
      <c r="D1596" s="282">
        <v>44773</v>
      </c>
      <c r="E1596" s="279" t="s">
        <v>300</v>
      </c>
      <c r="F1596" s="133" t="s">
        <v>49</v>
      </c>
      <c r="G1596" s="279" t="s">
        <v>61</v>
      </c>
      <c r="H1596" s="289" t="s">
        <v>100</v>
      </c>
      <c r="I1596" s="280">
        <v>500</v>
      </c>
      <c r="J1596" s="279">
        <v>391</v>
      </c>
      <c r="K1596" s="270">
        <f t="shared" si="0"/>
        <v>195500</v>
      </c>
      <c r="L1596" s="279">
        <v>26001</v>
      </c>
      <c r="M1596" s="279">
        <v>2500</v>
      </c>
      <c r="N1596" s="281">
        <f>2358.94-50</f>
        <v>2308.94</v>
      </c>
      <c r="O1596" s="55"/>
      <c r="P1596" s="105">
        <v>2309</v>
      </c>
      <c r="Q1596" s="279">
        <v>8598</v>
      </c>
      <c r="R1596" s="275">
        <v>2.1519999999999998E-3</v>
      </c>
      <c r="S1596" s="279">
        <v>9019</v>
      </c>
      <c r="T1596" s="279">
        <v>11328</v>
      </c>
      <c r="U1596" s="57">
        <v>1</v>
      </c>
      <c r="V1596" s="276">
        <v>0.16500000000000001</v>
      </c>
      <c r="W1596" s="276">
        <v>5.5E-2</v>
      </c>
      <c r="X1596" s="279">
        <v>8836</v>
      </c>
      <c r="Y1596" s="279">
        <v>2492</v>
      </c>
      <c r="Z1596" s="45" t="b">
        <v>1</v>
      </c>
      <c r="AA1596" s="45" t="s">
        <v>50</v>
      </c>
      <c r="AB1596" s="45" t="s">
        <v>50</v>
      </c>
    </row>
    <row r="1597" spans="1:28" x14ac:dyDescent="0.2">
      <c r="A1597" s="279" t="s">
        <v>447</v>
      </c>
      <c r="B1597" s="279" t="s">
        <v>66</v>
      </c>
      <c r="C1597" s="282">
        <v>44743</v>
      </c>
      <c r="D1597" s="282">
        <v>44773</v>
      </c>
      <c r="E1597" s="279" t="s">
        <v>300</v>
      </c>
      <c r="F1597" s="133" t="s">
        <v>49</v>
      </c>
      <c r="G1597" s="279" t="s">
        <v>61</v>
      </c>
      <c r="H1597" s="289" t="s">
        <v>135</v>
      </c>
      <c r="I1597" s="280">
        <v>250</v>
      </c>
      <c r="J1597" s="279">
        <v>1032</v>
      </c>
      <c r="K1597" s="270">
        <f t="shared" si="0"/>
        <v>258000</v>
      </c>
      <c r="L1597" s="279">
        <v>24336</v>
      </c>
      <c r="M1597" s="279">
        <v>-8250</v>
      </c>
      <c r="N1597" s="281">
        <v>0</v>
      </c>
      <c r="O1597" s="55"/>
      <c r="P1597" s="45">
        <v>0</v>
      </c>
      <c r="Q1597" s="279">
        <v>-8936</v>
      </c>
      <c r="R1597" s="275">
        <v>1.993E-3</v>
      </c>
      <c r="S1597" s="279">
        <v>-8422</v>
      </c>
      <c r="T1597" s="279">
        <v>-8422</v>
      </c>
      <c r="U1597" s="57">
        <v>1</v>
      </c>
      <c r="V1597" s="276">
        <v>0.16500000000000001</v>
      </c>
      <c r="W1597" s="276">
        <v>5.5E-2</v>
      </c>
      <c r="X1597" s="279">
        <v>-6569</v>
      </c>
      <c r="Y1597" s="279">
        <v>-1853</v>
      </c>
      <c r="Z1597" s="45" t="b">
        <v>1</v>
      </c>
      <c r="AA1597" s="45" t="s">
        <v>50</v>
      </c>
      <c r="AB1597" s="45" t="s">
        <v>50</v>
      </c>
    </row>
    <row r="1598" spans="1:28" x14ac:dyDescent="0.2">
      <c r="A1598" s="96" t="s">
        <v>152</v>
      </c>
      <c r="B1598" s="96" t="s">
        <v>152</v>
      </c>
      <c r="C1598" s="277">
        <v>44743</v>
      </c>
      <c r="D1598" s="277">
        <v>44773</v>
      </c>
      <c r="E1598" s="270" t="s">
        <v>267</v>
      </c>
      <c r="F1598" s="96" t="s">
        <v>49</v>
      </c>
      <c r="G1598" s="270" t="s">
        <v>80</v>
      </c>
      <c r="H1598" s="110" t="s">
        <v>70</v>
      </c>
      <c r="I1598" s="273">
        <v>100</v>
      </c>
      <c r="J1598" s="270">
        <v>4314</v>
      </c>
      <c r="K1598" s="270">
        <f t="shared" si="0"/>
        <v>431400</v>
      </c>
      <c r="L1598" s="270">
        <v>29721</v>
      </c>
      <c r="M1598" s="270">
        <v>-16100</v>
      </c>
      <c r="N1598" s="274">
        <f>20819+26*100</f>
        <v>23419</v>
      </c>
      <c r="O1598" s="55"/>
      <c r="P1598" s="105">
        <v>23419</v>
      </c>
      <c r="Q1598" s="270">
        <v>-23454</v>
      </c>
      <c r="R1598" s="275">
        <v>1.949E-3</v>
      </c>
      <c r="S1598" s="270">
        <v>-22613</v>
      </c>
      <c r="T1598" s="270">
        <v>806</v>
      </c>
      <c r="U1598" s="57">
        <v>1</v>
      </c>
      <c r="V1598" s="276">
        <v>0.15</v>
      </c>
      <c r="W1598" s="276">
        <v>0</v>
      </c>
      <c r="X1598" s="270">
        <v>685</v>
      </c>
      <c r="Y1598" s="270">
        <v>121</v>
      </c>
      <c r="Z1598" s="45" t="b">
        <v>1</v>
      </c>
      <c r="AA1598" s="45" t="s">
        <v>38</v>
      </c>
      <c r="AB1598" s="45" t="s">
        <v>38</v>
      </c>
    </row>
    <row r="1599" spans="1:28" x14ac:dyDescent="0.2">
      <c r="A1599" s="279" t="s">
        <v>456</v>
      </c>
      <c r="B1599" s="279" t="s">
        <v>110</v>
      </c>
      <c r="C1599" s="282">
        <v>44743</v>
      </c>
      <c r="D1599" s="282">
        <v>44773</v>
      </c>
      <c r="E1599" s="279" t="s">
        <v>267</v>
      </c>
      <c r="F1599" s="133" t="s">
        <v>41</v>
      </c>
      <c r="G1599" s="279" t="s">
        <v>61</v>
      </c>
      <c r="H1599" s="289" t="s">
        <v>132</v>
      </c>
      <c r="I1599" s="280">
        <v>5</v>
      </c>
      <c r="J1599" s="279">
        <v>1025</v>
      </c>
      <c r="K1599" s="270">
        <f t="shared" si="0"/>
        <v>5125</v>
      </c>
      <c r="L1599" s="291">
        <v>48868</v>
      </c>
      <c r="M1599" s="291">
        <v>-525</v>
      </c>
      <c r="N1599" s="281">
        <v>16</v>
      </c>
      <c r="O1599" s="55"/>
      <c r="P1599" s="45">
        <v>16</v>
      </c>
      <c r="Q1599" s="291">
        <v>-20</v>
      </c>
      <c r="R1599" s="275">
        <v>0</v>
      </c>
      <c r="S1599" s="291">
        <v>-20</v>
      </c>
      <c r="T1599" s="291">
        <v>-509</v>
      </c>
      <c r="U1599" s="57">
        <v>1</v>
      </c>
      <c r="V1599" s="276">
        <v>0.25</v>
      </c>
      <c r="W1599" s="276">
        <v>0</v>
      </c>
      <c r="X1599" s="291">
        <v>-382</v>
      </c>
      <c r="Y1599" s="291">
        <v>-127</v>
      </c>
      <c r="Z1599" s="45" t="b">
        <v>1</v>
      </c>
      <c r="AA1599" s="45" t="s">
        <v>50</v>
      </c>
      <c r="AB1599" s="45" t="s">
        <v>50</v>
      </c>
    </row>
    <row r="1600" spans="1:28" x14ac:dyDescent="0.2">
      <c r="A1600" s="96" t="s">
        <v>175</v>
      </c>
      <c r="B1600" s="96" t="s">
        <v>175</v>
      </c>
      <c r="C1600" s="277">
        <v>44743</v>
      </c>
      <c r="D1600" s="277">
        <v>44773</v>
      </c>
      <c r="E1600" s="279" t="s">
        <v>267</v>
      </c>
      <c r="F1600" s="133" t="s">
        <v>49</v>
      </c>
      <c r="G1600" s="270" t="s">
        <v>35</v>
      </c>
      <c r="H1600" s="272" t="s">
        <v>40</v>
      </c>
      <c r="I1600" s="273">
        <v>10</v>
      </c>
      <c r="J1600" s="270">
        <v>1</v>
      </c>
      <c r="K1600" s="270">
        <f t="shared" si="0"/>
        <v>10</v>
      </c>
      <c r="L1600" s="270">
        <v>1022</v>
      </c>
      <c r="M1600" s="270">
        <v>20</v>
      </c>
      <c r="N1600" s="274">
        <v>1</v>
      </c>
      <c r="O1600" s="55"/>
      <c r="P1600" s="45">
        <v>1</v>
      </c>
      <c r="Q1600" s="270">
        <v>18</v>
      </c>
      <c r="R1600" s="275">
        <v>-6.5499999999999998E-4</v>
      </c>
      <c r="S1600" s="270">
        <v>18</v>
      </c>
      <c r="T1600" s="270">
        <v>19</v>
      </c>
      <c r="U1600" s="57">
        <v>1</v>
      </c>
      <c r="V1600" s="276">
        <v>0.25</v>
      </c>
      <c r="W1600" s="276">
        <v>0</v>
      </c>
      <c r="X1600" s="270">
        <v>14</v>
      </c>
      <c r="Y1600" s="270">
        <v>5</v>
      </c>
      <c r="Z1600" s="45" t="b">
        <v>1</v>
      </c>
      <c r="AA1600" s="45" t="s">
        <v>38</v>
      </c>
      <c r="AB1600" s="45" t="s">
        <v>38</v>
      </c>
    </row>
    <row r="1601" spans="1:28" x14ac:dyDescent="0.2">
      <c r="A1601" s="96" t="s">
        <v>175</v>
      </c>
      <c r="B1601" s="96" t="s">
        <v>175</v>
      </c>
      <c r="C1601" s="277">
        <v>44743</v>
      </c>
      <c r="D1601" s="277">
        <v>44773</v>
      </c>
      <c r="E1601" s="279" t="s">
        <v>267</v>
      </c>
      <c r="F1601" s="133" t="s">
        <v>49</v>
      </c>
      <c r="G1601" s="270" t="s">
        <v>35</v>
      </c>
      <c r="H1601" s="272" t="s">
        <v>46</v>
      </c>
      <c r="I1601" s="273">
        <v>25</v>
      </c>
      <c r="J1601" s="270">
        <v>524</v>
      </c>
      <c r="K1601" s="270">
        <f t="shared" si="0"/>
        <v>13100</v>
      </c>
      <c r="L1601" s="270">
        <v>14655</v>
      </c>
      <c r="M1601" s="270">
        <v>450</v>
      </c>
      <c r="N1601" s="274">
        <v>680</v>
      </c>
      <c r="O1601" s="55"/>
      <c r="P1601" s="45">
        <v>680</v>
      </c>
      <c r="Q1601" s="270">
        <v>-165</v>
      </c>
      <c r="R1601" s="275">
        <v>2.0630000000000002E-3</v>
      </c>
      <c r="S1601" s="270">
        <v>-138</v>
      </c>
      <c r="T1601" s="270">
        <v>542</v>
      </c>
      <c r="U1601" s="57">
        <v>1</v>
      </c>
      <c r="V1601" s="276">
        <v>0.25</v>
      </c>
      <c r="W1601" s="276">
        <v>0</v>
      </c>
      <c r="X1601" s="270">
        <v>407</v>
      </c>
      <c r="Y1601" s="270">
        <v>136</v>
      </c>
      <c r="Z1601" s="45" t="b">
        <v>1</v>
      </c>
      <c r="AA1601" s="45" t="s">
        <v>38</v>
      </c>
      <c r="AB1601" s="45" t="s">
        <v>38</v>
      </c>
    </row>
    <row r="1602" spans="1:28" x14ac:dyDescent="0.2">
      <c r="A1602" s="96" t="s">
        <v>175</v>
      </c>
      <c r="B1602" s="96" t="s">
        <v>175</v>
      </c>
      <c r="C1602" s="277">
        <v>44743</v>
      </c>
      <c r="D1602" s="277">
        <v>44773</v>
      </c>
      <c r="E1602" s="279" t="s">
        <v>267</v>
      </c>
      <c r="F1602" s="133" t="s">
        <v>49</v>
      </c>
      <c r="G1602" s="270" t="s">
        <v>35</v>
      </c>
      <c r="H1602" s="272" t="s">
        <v>72</v>
      </c>
      <c r="I1602" s="273">
        <v>50</v>
      </c>
      <c r="J1602" s="270">
        <v>1238</v>
      </c>
      <c r="K1602" s="270">
        <f t="shared" si="0"/>
        <v>61900</v>
      </c>
      <c r="L1602" s="270">
        <v>3440</v>
      </c>
      <c r="M1602" s="270">
        <v>-2900</v>
      </c>
      <c r="N1602" s="274">
        <v>3217</v>
      </c>
      <c r="O1602" s="55"/>
      <c r="P1602" s="105">
        <v>3217</v>
      </c>
      <c r="Q1602" s="270">
        <v>-3647</v>
      </c>
      <c r="R1602" s="275">
        <v>1.949E-3</v>
      </c>
      <c r="S1602" s="270">
        <v>-3526</v>
      </c>
      <c r="T1602" s="270">
        <v>-309</v>
      </c>
      <c r="U1602" s="57">
        <v>1</v>
      </c>
      <c r="V1602" s="276">
        <v>0.25</v>
      </c>
      <c r="W1602" s="276">
        <v>0</v>
      </c>
      <c r="X1602" s="270">
        <v>-232</v>
      </c>
      <c r="Y1602" s="270">
        <v>-77</v>
      </c>
      <c r="Z1602" s="45" t="b">
        <v>1</v>
      </c>
      <c r="AA1602" s="45" t="s">
        <v>38</v>
      </c>
      <c r="AB1602" s="45" t="s">
        <v>38</v>
      </c>
    </row>
    <row r="1603" spans="1:28" x14ac:dyDescent="0.2">
      <c r="A1603" s="96" t="s">
        <v>175</v>
      </c>
      <c r="B1603" s="96" t="s">
        <v>175</v>
      </c>
      <c r="C1603" s="277">
        <v>44743</v>
      </c>
      <c r="D1603" s="277">
        <v>44773</v>
      </c>
      <c r="E1603" s="279" t="s">
        <v>267</v>
      </c>
      <c r="F1603" s="133" t="s">
        <v>41</v>
      </c>
      <c r="G1603" s="270" t="s">
        <v>35</v>
      </c>
      <c r="H1603" s="272" t="s">
        <v>42</v>
      </c>
      <c r="I1603" s="273">
        <v>1</v>
      </c>
      <c r="J1603" s="270">
        <v>3</v>
      </c>
      <c r="K1603" s="270">
        <f t="shared" si="0"/>
        <v>3</v>
      </c>
      <c r="L1603" s="270"/>
      <c r="M1603" s="270">
        <v>0</v>
      </c>
      <c r="N1603" s="274"/>
      <c r="O1603" s="55"/>
      <c r="P1603" s="96"/>
      <c r="Q1603" s="270"/>
      <c r="R1603" s="275">
        <v>0</v>
      </c>
      <c r="S1603" s="270"/>
      <c r="T1603" s="270">
        <v>0</v>
      </c>
      <c r="U1603" s="57">
        <v>1</v>
      </c>
      <c r="V1603" s="276">
        <v>0.25</v>
      </c>
      <c r="W1603" s="276">
        <v>0</v>
      </c>
      <c r="X1603" s="270">
        <v>0</v>
      </c>
      <c r="Y1603" s="270">
        <v>0</v>
      </c>
      <c r="Z1603" s="45" t="b">
        <v>1</v>
      </c>
      <c r="AA1603" s="45" t="s">
        <v>38</v>
      </c>
      <c r="AB1603" s="45" t="s">
        <v>38</v>
      </c>
    </row>
    <row r="1604" spans="1:28" x14ac:dyDescent="0.2">
      <c r="A1604" s="96" t="s">
        <v>175</v>
      </c>
      <c r="B1604" s="96" t="s">
        <v>175</v>
      </c>
      <c r="C1604" s="277">
        <v>44743</v>
      </c>
      <c r="D1604" s="277">
        <v>44773</v>
      </c>
      <c r="E1604" s="279" t="s">
        <v>267</v>
      </c>
      <c r="F1604" s="133" t="s">
        <v>41</v>
      </c>
      <c r="G1604" s="270" t="s">
        <v>35</v>
      </c>
      <c r="H1604" s="272" t="s">
        <v>36</v>
      </c>
      <c r="I1604" s="273">
        <v>2</v>
      </c>
      <c r="J1604" s="270">
        <v>3</v>
      </c>
      <c r="K1604" s="270">
        <f t="shared" si="0"/>
        <v>6</v>
      </c>
      <c r="L1604" s="270"/>
      <c r="M1604" s="270">
        <v>2</v>
      </c>
      <c r="N1604" s="274"/>
      <c r="O1604" s="55"/>
      <c r="P1604" s="96"/>
      <c r="Q1604" s="270"/>
      <c r="R1604" s="275">
        <v>0</v>
      </c>
      <c r="S1604" s="270"/>
      <c r="T1604" s="270">
        <v>2</v>
      </c>
      <c r="U1604" s="57">
        <v>1</v>
      </c>
      <c r="V1604" s="276">
        <v>0.25</v>
      </c>
      <c r="W1604" s="276">
        <v>0</v>
      </c>
      <c r="X1604" s="270">
        <v>2</v>
      </c>
      <c r="Y1604" s="270">
        <v>1</v>
      </c>
      <c r="Z1604" s="45" t="b">
        <v>1</v>
      </c>
      <c r="AA1604" s="45" t="s">
        <v>38</v>
      </c>
      <c r="AB1604" s="45" t="s">
        <v>38</v>
      </c>
    </row>
    <row r="1605" spans="1:28" x14ac:dyDescent="0.2">
      <c r="A1605" s="96" t="s">
        <v>175</v>
      </c>
      <c r="B1605" s="96" t="s">
        <v>175</v>
      </c>
      <c r="C1605" s="277">
        <v>44743</v>
      </c>
      <c r="D1605" s="277">
        <v>44773</v>
      </c>
      <c r="E1605" s="279" t="s">
        <v>267</v>
      </c>
      <c r="F1605" s="133" t="s">
        <v>41</v>
      </c>
      <c r="G1605" s="270" t="s">
        <v>35</v>
      </c>
      <c r="H1605" s="272" t="s">
        <v>39</v>
      </c>
      <c r="I1605" s="273">
        <v>5</v>
      </c>
      <c r="J1605" s="270">
        <v>3</v>
      </c>
      <c r="K1605" s="270">
        <f t="shared" si="0"/>
        <v>15</v>
      </c>
      <c r="L1605" s="270"/>
      <c r="M1605" s="270">
        <v>-15</v>
      </c>
      <c r="N1605" s="274">
        <v>1</v>
      </c>
      <c r="O1605" s="55"/>
      <c r="P1605" s="45">
        <v>1</v>
      </c>
      <c r="Q1605" s="270"/>
      <c r="R1605" s="275">
        <v>0</v>
      </c>
      <c r="S1605" s="270"/>
      <c r="T1605" s="270">
        <v>-14</v>
      </c>
      <c r="U1605" s="57">
        <v>1</v>
      </c>
      <c r="V1605" s="276">
        <v>0.25</v>
      </c>
      <c r="W1605" s="276">
        <v>0</v>
      </c>
      <c r="X1605" s="270">
        <v>-11</v>
      </c>
      <c r="Y1605" s="270">
        <v>-4</v>
      </c>
      <c r="Z1605" s="45" t="b">
        <v>1</v>
      </c>
      <c r="AA1605" s="45" t="s">
        <v>38</v>
      </c>
      <c r="AB1605" s="45" t="s">
        <v>38</v>
      </c>
    </row>
    <row r="1606" spans="1:28" x14ac:dyDescent="0.2">
      <c r="A1606" s="279" t="s">
        <v>144</v>
      </c>
      <c r="B1606" s="279" t="s">
        <v>144</v>
      </c>
      <c r="C1606" s="277">
        <v>44743</v>
      </c>
      <c r="D1606" s="277">
        <v>44773</v>
      </c>
      <c r="E1606" s="270" t="s">
        <v>267</v>
      </c>
      <c r="F1606" s="96" t="s">
        <v>49</v>
      </c>
      <c r="G1606" s="279" t="s">
        <v>35</v>
      </c>
      <c r="H1606" s="272" t="s">
        <v>86</v>
      </c>
      <c r="I1606" s="273">
        <v>5</v>
      </c>
      <c r="J1606" s="270">
        <v>1</v>
      </c>
      <c r="K1606" s="270">
        <f t="shared" si="0"/>
        <v>5</v>
      </c>
      <c r="L1606" s="270">
        <v>-635</v>
      </c>
      <c r="M1606" s="270">
        <v>-5</v>
      </c>
      <c r="N1606" s="274"/>
      <c r="O1606" s="55"/>
      <c r="P1606" s="96"/>
      <c r="Q1606" s="270">
        <v>-6</v>
      </c>
      <c r="R1606" s="275">
        <v>3.8781000000000003E-2</v>
      </c>
      <c r="S1606" s="270">
        <v>-6</v>
      </c>
      <c r="T1606" s="270">
        <v>-6</v>
      </c>
      <c r="U1606" s="57">
        <v>1</v>
      </c>
      <c r="V1606" s="276">
        <v>0.1</v>
      </c>
      <c r="W1606" s="276">
        <v>0</v>
      </c>
      <c r="X1606" s="270">
        <v>-5</v>
      </c>
      <c r="Y1606" s="270">
        <v>-1</v>
      </c>
      <c r="Z1606" s="45" t="b">
        <v>1</v>
      </c>
      <c r="AA1606" s="45" t="s">
        <v>38</v>
      </c>
      <c r="AB1606" s="45" t="s">
        <v>38</v>
      </c>
    </row>
    <row r="1607" spans="1:28" x14ac:dyDescent="0.2">
      <c r="A1607" s="279" t="s">
        <v>144</v>
      </c>
      <c r="B1607" s="279" t="s">
        <v>144</v>
      </c>
      <c r="C1607" s="277">
        <v>44743</v>
      </c>
      <c r="D1607" s="277">
        <v>44773</v>
      </c>
      <c r="E1607" s="270" t="s">
        <v>267</v>
      </c>
      <c r="F1607" s="96" t="s">
        <v>49</v>
      </c>
      <c r="G1607" s="279" t="s">
        <v>35</v>
      </c>
      <c r="H1607" s="272" t="s">
        <v>46</v>
      </c>
      <c r="I1607" s="273">
        <v>25</v>
      </c>
      <c r="J1607" s="270">
        <v>890</v>
      </c>
      <c r="K1607" s="270">
        <f t="shared" si="0"/>
        <v>22250</v>
      </c>
      <c r="L1607" s="270">
        <v>53221</v>
      </c>
      <c r="M1607" s="270">
        <v>2075</v>
      </c>
      <c r="N1607" s="274">
        <v>1091</v>
      </c>
      <c r="O1607" s="55"/>
      <c r="P1607" s="105">
        <v>1091</v>
      </c>
      <c r="Q1607" s="270">
        <v>1043</v>
      </c>
      <c r="R1607" s="275">
        <v>2.1489999999999999E-3</v>
      </c>
      <c r="S1607" s="270">
        <v>1091</v>
      </c>
      <c r="T1607" s="270">
        <v>2182</v>
      </c>
      <c r="U1607" s="57">
        <v>1</v>
      </c>
      <c r="V1607" s="276">
        <v>0.1</v>
      </c>
      <c r="W1607" s="276">
        <v>0</v>
      </c>
      <c r="X1607" s="270">
        <v>1964</v>
      </c>
      <c r="Y1607" s="270">
        <v>218</v>
      </c>
      <c r="Z1607" s="45" t="b">
        <v>1</v>
      </c>
      <c r="AA1607" s="45" t="s">
        <v>38</v>
      </c>
      <c r="AB1607" s="45" t="s">
        <v>38</v>
      </c>
    </row>
    <row r="1608" spans="1:28" x14ac:dyDescent="0.2">
      <c r="A1608" s="279" t="s">
        <v>144</v>
      </c>
      <c r="B1608" s="279" t="s">
        <v>144</v>
      </c>
      <c r="C1608" s="277">
        <v>44743</v>
      </c>
      <c r="D1608" s="277">
        <v>44773</v>
      </c>
      <c r="E1608" s="270" t="s">
        <v>267</v>
      </c>
      <c r="F1608" s="96" t="s">
        <v>49</v>
      </c>
      <c r="G1608" s="279" t="s">
        <v>35</v>
      </c>
      <c r="H1608" s="272" t="s">
        <v>72</v>
      </c>
      <c r="I1608" s="273">
        <v>50</v>
      </c>
      <c r="J1608" s="270">
        <v>1056</v>
      </c>
      <c r="K1608" s="270">
        <f t="shared" si="0"/>
        <v>52800</v>
      </c>
      <c r="L1608" s="270">
        <v>31760</v>
      </c>
      <c r="M1608" s="270">
        <v>-750</v>
      </c>
      <c r="N1608" s="274">
        <v>2589</v>
      </c>
      <c r="O1608" s="55"/>
      <c r="P1608" s="105">
        <v>2589</v>
      </c>
      <c r="Q1608" s="270">
        <v>-435</v>
      </c>
      <c r="R1608" s="275">
        <v>2.0370000000000002E-3</v>
      </c>
      <c r="S1608" s="270">
        <v>-327</v>
      </c>
      <c r="T1608" s="270">
        <v>2262</v>
      </c>
      <c r="U1608" s="57">
        <v>1</v>
      </c>
      <c r="V1608" s="276">
        <v>0.1</v>
      </c>
      <c r="W1608" s="276">
        <v>0</v>
      </c>
      <c r="X1608" s="270">
        <v>2036</v>
      </c>
      <c r="Y1608" s="270">
        <v>226</v>
      </c>
      <c r="Z1608" s="45" t="b">
        <v>1</v>
      </c>
      <c r="AA1608" s="45" t="s">
        <v>38</v>
      </c>
      <c r="AB1608" s="45" t="s">
        <v>38</v>
      </c>
    </row>
    <row r="1609" spans="1:28" x14ac:dyDescent="0.2">
      <c r="A1609" s="279" t="s">
        <v>144</v>
      </c>
      <c r="B1609" s="279" t="s">
        <v>144</v>
      </c>
      <c r="C1609" s="277">
        <v>44743</v>
      </c>
      <c r="D1609" s="277">
        <v>44773</v>
      </c>
      <c r="E1609" s="270" t="s">
        <v>267</v>
      </c>
      <c r="F1609" s="96" t="s">
        <v>41</v>
      </c>
      <c r="G1609" s="279" t="s">
        <v>35</v>
      </c>
      <c r="H1609" s="272" t="s">
        <v>45</v>
      </c>
      <c r="I1609" s="273">
        <v>0.25</v>
      </c>
      <c r="J1609" s="270">
        <v>2</v>
      </c>
      <c r="K1609" s="270">
        <f t="shared" si="0"/>
        <v>0.5</v>
      </c>
      <c r="L1609" s="270"/>
      <c r="M1609" s="270">
        <v>0</v>
      </c>
      <c r="N1609" s="274"/>
      <c r="O1609" s="55"/>
      <c r="P1609" s="96"/>
      <c r="Q1609" s="270"/>
      <c r="R1609" s="275">
        <v>0</v>
      </c>
      <c r="S1609" s="270"/>
      <c r="T1609" s="270">
        <v>0</v>
      </c>
      <c r="U1609" s="57">
        <v>1</v>
      </c>
      <c r="V1609" s="276">
        <v>0.1</v>
      </c>
      <c r="W1609" s="276">
        <v>0</v>
      </c>
      <c r="X1609" s="270">
        <v>0</v>
      </c>
      <c r="Y1609" s="270">
        <v>0</v>
      </c>
      <c r="Z1609" s="45" t="b">
        <v>1</v>
      </c>
      <c r="AA1609" s="45" t="s">
        <v>38</v>
      </c>
      <c r="AB1609" s="45" t="s">
        <v>38</v>
      </c>
    </row>
    <row r="1610" spans="1:28" x14ac:dyDescent="0.2">
      <c r="A1610" s="279" t="s">
        <v>189</v>
      </c>
      <c r="B1610" s="279" t="s">
        <v>189</v>
      </c>
      <c r="C1610" s="282">
        <v>44743</v>
      </c>
      <c r="D1610" s="282">
        <v>44773</v>
      </c>
      <c r="E1610" s="279" t="s">
        <v>267</v>
      </c>
      <c r="F1610" s="133" t="s">
        <v>41</v>
      </c>
      <c r="G1610" s="279" t="s">
        <v>53</v>
      </c>
      <c r="H1610" s="289" t="s">
        <v>54</v>
      </c>
      <c r="I1610" s="280">
        <v>5</v>
      </c>
      <c r="J1610" s="279">
        <v>9</v>
      </c>
      <c r="K1610" s="270">
        <f t="shared" si="0"/>
        <v>45</v>
      </c>
      <c r="L1610" s="279">
        <v>157</v>
      </c>
      <c r="M1610" s="279">
        <v>2.19</v>
      </c>
      <c r="N1610" s="281"/>
      <c r="O1610" s="55">
        <v>0.5</v>
      </c>
      <c r="P1610" s="45">
        <v>2</v>
      </c>
      <c r="Q1610" s="279">
        <v>-2</v>
      </c>
      <c r="R1610" s="275">
        <v>0</v>
      </c>
      <c r="S1610" s="279">
        <v>-2</v>
      </c>
      <c r="T1610" s="279">
        <v>4</v>
      </c>
      <c r="U1610" s="57">
        <v>1</v>
      </c>
      <c r="V1610" s="276">
        <v>0.17</v>
      </c>
      <c r="W1610" s="276">
        <v>0</v>
      </c>
      <c r="X1610" s="279">
        <v>3</v>
      </c>
      <c r="Y1610" s="279">
        <v>1</v>
      </c>
      <c r="Z1610" s="45" t="b">
        <v>1</v>
      </c>
      <c r="AA1610" s="45" t="s">
        <v>38</v>
      </c>
      <c r="AB1610" s="45" t="s">
        <v>38</v>
      </c>
    </row>
    <row r="1611" spans="1:28" x14ac:dyDescent="0.2">
      <c r="A1611" s="279" t="s">
        <v>189</v>
      </c>
      <c r="B1611" s="279" t="s">
        <v>189</v>
      </c>
      <c r="C1611" s="282">
        <v>44743</v>
      </c>
      <c r="D1611" s="282">
        <v>44773</v>
      </c>
      <c r="E1611" s="279" t="s">
        <v>267</v>
      </c>
      <c r="F1611" s="133" t="s">
        <v>41</v>
      </c>
      <c r="G1611" s="279" t="s">
        <v>53</v>
      </c>
      <c r="H1611" s="289" t="s">
        <v>55</v>
      </c>
      <c r="I1611" s="280">
        <v>10</v>
      </c>
      <c r="J1611" s="279">
        <v>6</v>
      </c>
      <c r="K1611" s="270">
        <f t="shared" si="0"/>
        <v>60</v>
      </c>
      <c r="L1611" s="279">
        <v>149</v>
      </c>
      <c r="M1611" s="279">
        <v>2.91</v>
      </c>
      <c r="N1611" s="281"/>
      <c r="O1611" s="55">
        <v>0.5</v>
      </c>
      <c r="P1611" s="45">
        <v>2</v>
      </c>
      <c r="Q1611" s="279">
        <v>-2</v>
      </c>
      <c r="R1611" s="275">
        <v>0</v>
      </c>
      <c r="S1611" s="279">
        <v>-2</v>
      </c>
      <c r="T1611" s="279">
        <v>5</v>
      </c>
      <c r="U1611" s="57">
        <v>1</v>
      </c>
      <c r="V1611" s="276">
        <v>0.17</v>
      </c>
      <c r="W1611" s="276">
        <v>0</v>
      </c>
      <c r="X1611" s="279">
        <v>4</v>
      </c>
      <c r="Y1611" s="279">
        <v>1</v>
      </c>
      <c r="Z1611" s="45" t="b">
        <v>1</v>
      </c>
      <c r="AA1611" s="45" t="s">
        <v>38</v>
      </c>
      <c r="AB1611" s="45" t="s">
        <v>38</v>
      </c>
    </row>
    <row r="1612" spans="1:28" x14ac:dyDescent="0.2">
      <c r="A1612" s="279" t="s">
        <v>189</v>
      </c>
      <c r="B1612" s="279" t="s">
        <v>189</v>
      </c>
      <c r="C1612" s="282">
        <v>44743</v>
      </c>
      <c r="D1612" s="282">
        <v>44773</v>
      </c>
      <c r="E1612" s="279" t="s">
        <v>267</v>
      </c>
      <c r="F1612" s="133" t="s">
        <v>41</v>
      </c>
      <c r="G1612" s="279" t="s">
        <v>53</v>
      </c>
      <c r="H1612" s="289" t="s">
        <v>56</v>
      </c>
      <c r="I1612" s="280">
        <v>20</v>
      </c>
      <c r="J1612" s="279">
        <v>1556</v>
      </c>
      <c r="K1612" s="270">
        <f t="shared" si="0"/>
        <v>31120</v>
      </c>
      <c r="L1612" s="279">
        <v>60702</v>
      </c>
      <c r="M1612" s="279">
        <v>1511.05</v>
      </c>
      <c r="N1612" s="281"/>
      <c r="O1612" s="55">
        <v>0.5</v>
      </c>
      <c r="P1612" s="105">
        <v>1089</v>
      </c>
      <c r="Q1612" s="279">
        <v>-150</v>
      </c>
      <c r="R1612" s="275">
        <v>0</v>
      </c>
      <c r="S1612" s="279">
        <v>-150</v>
      </c>
      <c r="T1612" s="279">
        <v>2600</v>
      </c>
      <c r="U1612" s="57">
        <v>1</v>
      </c>
      <c r="V1612" s="276">
        <v>0.17</v>
      </c>
      <c r="W1612" s="276">
        <v>0</v>
      </c>
      <c r="X1612" s="279">
        <v>2158</v>
      </c>
      <c r="Y1612" s="279">
        <v>442</v>
      </c>
      <c r="Z1612" s="45" t="b">
        <v>1</v>
      </c>
      <c r="AA1612" s="45" t="s">
        <v>38</v>
      </c>
      <c r="AB1612" s="45" t="s">
        <v>38</v>
      </c>
    </row>
    <row r="1613" spans="1:28" x14ac:dyDescent="0.2">
      <c r="A1613" s="279" t="s">
        <v>189</v>
      </c>
      <c r="B1613" s="279" t="s">
        <v>189</v>
      </c>
      <c r="C1613" s="282">
        <v>44743</v>
      </c>
      <c r="D1613" s="282">
        <v>44773</v>
      </c>
      <c r="E1613" s="279" t="s">
        <v>267</v>
      </c>
      <c r="F1613" s="133" t="s">
        <v>41</v>
      </c>
      <c r="G1613" s="279" t="s">
        <v>53</v>
      </c>
      <c r="H1613" s="289" t="s">
        <v>57</v>
      </c>
      <c r="I1613" s="280">
        <v>50</v>
      </c>
      <c r="J1613" s="279">
        <v>189</v>
      </c>
      <c r="K1613" s="270">
        <f t="shared" si="0"/>
        <v>9450</v>
      </c>
      <c r="L1613" s="279">
        <v>7756</v>
      </c>
      <c r="M1613" s="279">
        <v>458.85</v>
      </c>
      <c r="N1613" s="281"/>
      <c r="O1613" s="55">
        <v>0.5</v>
      </c>
      <c r="P1613" s="45">
        <v>331</v>
      </c>
      <c r="Q1613" s="279">
        <v>-10</v>
      </c>
      <c r="R1613" s="275">
        <v>0</v>
      </c>
      <c r="S1613" s="279">
        <v>-10</v>
      </c>
      <c r="T1613" s="279">
        <v>790</v>
      </c>
      <c r="U1613" s="57">
        <v>1</v>
      </c>
      <c r="V1613" s="276">
        <v>0.17</v>
      </c>
      <c r="W1613" s="276">
        <v>0</v>
      </c>
      <c r="X1613" s="279">
        <v>655</v>
      </c>
      <c r="Y1613" s="279">
        <v>134</v>
      </c>
      <c r="Z1613" s="45" t="b">
        <v>1</v>
      </c>
      <c r="AA1613" s="45" t="s">
        <v>38</v>
      </c>
      <c r="AB1613" s="45" t="s">
        <v>38</v>
      </c>
    </row>
    <row r="1614" spans="1:28" x14ac:dyDescent="0.2">
      <c r="A1614" s="96" t="s">
        <v>561</v>
      </c>
      <c r="B1614" s="96" t="s">
        <v>79</v>
      </c>
      <c r="C1614" s="277">
        <v>44743</v>
      </c>
      <c r="D1614" s="277">
        <v>44773</v>
      </c>
      <c r="E1614" s="270" t="s">
        <v>267</v>
      </c>
      <c r="F1614" s="96" t="s">
        <v>41</v>
      </c>
      <c r="G1614" s="270" t="s">
        <v>80</v>
      </c>
      <c r="H1614" s="272" t="s">
        <v>71</v>
      </c>
      <c r="I1614" s="273">
        <v>20</v>
      </c>
      <c r="J1614" s="270">
        <v>7523</v>
      </c>
      <c r="K1614" s="270">
        <f t="shared" si="0"/>
        <v>150460</v>
      </c>
      <c r="L1614" s="270">
        <v>119819</v>
      </c>
      <c r="M1614" s="270">
        <v>-220</v>
      </c>
      <c r="N1614" s="274">
        <f>5360+67*20</f>
        <v>6700</v>
      </c>
      <c r="O1614" s="55"/>
      <c r="P1614" s="105">
        <v>6700</v>
      </c>
      <c r="Q1614" s="270">
        <v>-4140</v>
      </c>
      <c r="R1614" s="275">
        <v>0</v>
      </c>
      <c r="S1614" s="270">
        <v>-4140</v>
      </c>
      <c r="T1614" s="270">
        <v>6480</v>
      </c>
      <c r="U1614" s="57">
        <v>1</v>
      </c>
      <c r="V1614" s="276">
        <v>0.17</v>
      </c>
      <c r="W1614" s="276">
        <v>0</v>
      </c>
      <c r="X1614" s="270">
        <v>5378</v>
      </c>
      <c r="Y1614" s="270">
        <v>1102</v>
      </c>
      <c r="Z1614" s="45" t="b">
        <v>1</v>
      </c>
      <c r="AA1614" s="45" t="s">
        <v>38</v>
      </c>
      <c r="AB1614" s="45" t="s">
        <v>38</v>
      </c>
    </row>
    <row r="1615" spans="1:28" x14ac:dyDescent="0.2">
      <c r="A1615" s="279" t="s">
        <v>232</v>
      </c>
      <c r="B1615" s="279" t="s">
        <v>198</v>
      </c>
      <c r="C1615" s="282">
        <v>44743</v>
      </c>
      <c r="D1615" s="282">
        <v>44773</v>
      </c>
      <c r="E1615" s="279" t="s">
        <v>267</v>
      </c>
      <c r="F1615" s="133" t="s">
        <v>41</v>
      </c>
      <c r="G1615" s="279" t="s">
        <v>53</v>
      </c>
      <c r="H1615" s="289" t="s">
        <v>56</v>
      </c>
      <c r="I1615" s="280">
        <v>20</v>
      </c>
      <c r="J1615" s="279">
        <v>3031</v>
      </c>
      <c r="K1615" s="270">
        <f t="shared" si="0"/>
        <v>60620</v>
      </c>
      <c r="L1615" s="279">
        <v>153126</v>
      </c>
      <c r="M1615" s="279">
        <v>5465</v>
      </c>
      <c r="N1615" s="281"/>
      <c r="O1615" s="55">
        <v>0.5</v>
      </c>
      <c r="P1615" s="105">
        <v>2122</v>
      </c>
      <c r="Q1615" s="279">
        <v>993</v>
      </c>
      <c r="R1615" s="275">
        <v>0</v>
      </c>
      <c r="S1615" s="279">
        <v>993</v>
      </c>
      <c r="T1615" s="279">
        <v>7587</v>
      </c>
      <c r="U1615" s="57">
        <v>0.97899999999999998</v>
      </c>
      <c r="V1615" s="276">
        <v>0.17</v>
      </c>
      <c r="W1615" s="276">
        <v>0</v>
      </c>
      <c r="X1615" s="279">
        <v>6167</v>
      </c>
      <c r="Y1615" s="279">
        <v>1263</v>
      </c>
      <c r="Z1615" s="45" t="b">
        <v>1</v>
      </c>
      <c r="AA1615" s="45" t="s">
        <v>50</v>
      </c>
      <c r="AB1615" s="45" t="s">
        <v>38</v>
      </c>
    </row>
    <row r="1616" spans="1:28" x14ac:dyDescent="0.2">
      <c r="A1616" s="279" t="s">
        <v>98</v>
      </c>
      <c r="B1616" s="279" t="s">
        <v>98</v>
      </c>
      <c r="C1616" s="277">
        <v>44743</v>
      </c>
      <c r="D1616" s="277">
        <v>44773</v>
      </c>
      <c r="E1616" s="279" t="s">
        <v>267</v>
      </c>
      <c r="F1616" s="133" t="s">
        <v>41</v>
      </c>
      <c r="G1616" s="270" t="s">
        <v>35</v>
      </c>
      <c r="H1616" s="272" t="s">
        <v>46</v>
      </c>
      <c r="I1616" s="273">
        <v>25</v>
      </c>
      <c r="J1616" s="270">
        <v>1</v>
      </c>
      <c r="K1616" s="270">
        <f t="shared" si="0"/>
        <v>25</v>
      </c>
      <c r="L1616" s="270"/>
      <c r="M1616" s="270">
        <v>-25</v>
      </c>
      <c r="N1616" s="274">
        <v>1</v>
      </c>
      <c r="O1616" s="55"/>
      <c r="P1616" s="45">
        <v>1</v>
      </c>
      <c r="Q1616" s="270"/>
      <c r="R1616" s="275">
        <v>0</v>
      </c>
      <c r="S1616" s="270"/>
      <c r="T1616" s="270">
        <v>-24</v>
      </c>
      <c r="U1616" s="57">
        <v>1</v>
      </c>
      <c r="V1616" s="276">
        <v>0.25</v>
      </c>
      <c r="W1616" s="276">
        <v>0</v>
      </c>
      <c r="X1616" s="270">
        <v>-18</v>
      </c>
      <c r="Y1616" s="270">
        <v>-6</v>
      </c>
      <c r="Z1616" s="45" t="b">
        <v>1</v>
      </c>
      <c r="AA1616" s="45" t="s">
        <v>38</v>
      </c>
      <c r="AB1616" s="45" t="s">
        <v>38</v>
      </c>
    </row>
    <row r="1617" spans="1:28" x14ac:dyDescent="0.2">
      <c r="A1617" s="279" t="s">
        <v>98</v>
      </c>
      <c r="B1617" s="279" t="s">
        <v>98</v>
      </c>
      <c r="C1617" s="277">
        <v>44743</v>
      </c>
      <c r="D1617" s="277">
        <v>44773</v>
      </c>
      <c r="E1617" s="279" t="s">
        <v>267</v>
      </c>
      <c r="F1617" s="133" t="s">
        <v>41</v>
      </c>
      <c r="G1617" s="270" t="s">
        <v>35</v>
      </c>
      <c r="H1617" s="272" t="s">
        <v>51</v>
      </c>
      <c r="I1617" s="273">
        <v>0.25</v>
      </c>
      <c r="J1617" s="270">
        <v>8</v>
      </c>
      <c r="K1617" s="270">
        <f t="shared" si="0"/>
        <v>2</v>
      </c>
      <c r="L1617" s="270">
        <f>104*J1617</f>
        <v>832</v>
      </c>
      <c r="M1617" s="270">
        <v>-1</v>
      </c>
      <c r="N1617" s="274"/>
      <c r="O1617" s="55"/>
      <c r="P1617" s="96"/>
      <c r="Q1617" s="270">
        <v>0</v>
      </c>
      <c r="R1617" s="275">
        <v>0</v>
      </c>
      <c r="S1617" s="270">
        <v>0</v>
      </c>
      <c r="T1617" s="270">
        <v>-1</v>
      </c>
      <c r="U1617" s="57">
        <v>1</v>
      </c>
      <c r="V1617" s="276">
        <v>0.25</v>
      </c>
      <c r="W1617" s="276">
        <v>0</v>
      </c>
      <c r="X1617" s="270">
        <v>-1</v>
      </c>
      <c r="Y1617" s="270">
        <v>0</v>
      </c>
      <c r="Z1617" s="45" t="b">
        <v>1</v>
      </c>
      <c r="AA1617" s="45" t="s">
        <v>38</v>
      </c>
      <c r="AB1617" s="45" t="s">
        <v>38</v>
      </c>
    </row>
    <row r="1618" spans="1:28" x14ac:dyDescent="0.2">
      <c r="A1618" s="279" t="s">
        <v>98</v>
      </c>
      <c r="B1618" s="279" t="s">
        <v>98</v>
      </c>
      <c r="C1618" s="277">
        <v>44743</v>
      </c>
      <c r="D1618" s="277">
        <v>44773</v>
      </c>
      <c r="E1618" s="279" t="s">
        <v>267</v>
      </c>
      <c r="F1618" s="133" t="s">
        <v>49</v>
      </c>
      <c r="G1618" s="270" t="s">
        <v>35</v>
      </c>
      <c r="H1618" s="272" t="s">
        <v>85</v>
      </c>
      <c r="I1618" s="273">
        <v>50</v>
      </c>
      <c r="J1618" s="270">
        <v>3242</v>
      </c>
      <c r="K1618" s="270">
        <f t="shared" si="0"/>
        <v>162100</v>
      </c>
      <c r="L1618" s="270">
        <f>16*J1618</f>
        <v>51872</v>
      </c>
      <c r="M1618" s="270">
        <v>-5400</v>
      </c>
      <c r="N1618" s="274">
        <v>6639</v>
      </c>
      <c r="O1618" s="55"/>
      <c r="P1618" s="105">
        <v>6639</v>
      </c>
      <c r="Q1618" s="270">
        <v>-2359</v>
      </c>
      <c r="R1618" s="275">
        <v>-9.9999999999999995E-7</v>
      </c>
      <c r="S1618" s="270">
        <v>-2359</v>
      </c>
      <c r="T1618" s="270">
        <v>4280</v>
      </c>
      <c r="U1618" s="57">
        <v>1</v>
      </c>
      <c r="V1618" s="276">
        <v>0.25</v>
      </c>
      <c r="W1618" s="276">
        <v>0</v>
      </c>
      <c r="X1618" s="270">
        <v>3210</v>
      </c>
      <c r="Y1618" s="270">
        <v>1070</v>
      </c>
      <c r="Z1618" s="45" t="b">
        <v>1</v>
      </c>
      <c r="AA1618" s="45" t="s">
        <v>38</v>
      </c>
      <c r="AB1618" s="45" t="s">
        <v>38</v>
      </c>
    </row>
    <row r="1619" spans="1:28" x14ac:dyDescent="0.2">
      <c r="A1619" s="279" t="s">
        <v>98</v>
      </c>
      <c r="B1619" s="279" t="s">
        <v>98</v>
      </c>
      <c r="C1619" s="277">
        <v>44743</v>
      </c>
      <c r="D1619" s="277">
        <v>44773</v>
      </c>
      <c r="E1619" s="279" t="s">
        <v>267</v>
      </c>
      <c r="F1619" s="133" t="s">
        <v>49</v>
      </c>
      <c r="G1619" s="270" t="s">
        <v>35</v>
      </c>
      <c r="H1619" s="272" t="s">
        <v>87</v>
      </c>
      <c r="I1619" s="273">
        <v>25</v>
      </c>
      <c r="J1619" s="270">
        <v>4185</v>
      </c>
      <c r="K1619" s="270">
        <f t="shared" si="0"/>
        <v>104625</v>
      </c>
      <c r="L1619" s="270">
        <f>15*J1619</f>
        <v>62775</v>
      </c>
      <c r="M1619" s="270">
        <v>-4300</v>
      </c>
      <c r="N1619" s="274">
        <v>4260</v>
      </c>
      <c r="O1619" s="55"/>
      <c r="P1619" s="105">
        <v>4260</v>
      </c>
      <c r="Q1619" s="270">
        <v>-1846</v>
      </c>
      <c r="R1619" s="275">
        <v>-9.9999999999999995E-7</v>
      </c>
      <c r="S1619" s="270">
        <v>-1846</v>
      </c>
      <c r="T1619" s="270">
        <v>2414</v>
      </c>
      <c r="U1619" s="57">
        <v>1</v>
      </c>
      <c r="V1619" s="276">
        <v>0.25</v>
      </c>
      <c r="W1619" s="276">
        <v>0</v>
      </c>
      <c r="X1619" s="270">
        <v>1811</v>
      </c>
      <c r="Y1619" s="270">
        <v>604</v>
      </c>
      <c r="Z1619" s="45" t="b">
        <v>1</v>
      </c>
      <c r="AA1619" s="45" t="s">
        <v>38</v>
      </c>
      <c r="AB1619" s="45" t="s">
        <v>38</v>
      </c>
    </row>
    <row r="1620" spans="1:28" x14ac:dyDescent="0.2">
      <c r="A1620" s="279" t="s">
        <v>133</v>
      </c>
      <c r="B1620" s="279" t="s">
        <v>133</v>
      </c>
      <c r="C1620" s="282">
        <v>44743</v>
      </c>
      <c r="D1620" s="282">
        <v>44773</v>
      </c>
      <c r="E1620" s="279" t="s">
        <v>267</v>
      </c>
      <c r="F1620" s="133" t="s">
        <v>41</v>
      </c>
      <c r="G1620" s="279" t="s">
        <v>61</v>
      </c>
      <c r="H1620" s="289" t="s">
        <v>182</v>
      </c>
      <c r="I1620" s="280">
        <v>2</v>
      </c>
      <c r="J1620" s="279">
        <v>1282</v>
      </c>
      <c r="K1620" s="270">
        <f t="shared" si="0"/>
        <v>2564</v>
      </c>
      <c r="L1620" s="279"/>
      <c r="M1620" s="279">
        <v>-52</v>
      </c>
      <c r="N1620" s="281">
        <v>180.26</v>
      </c>
      <c r="O1620" s="55"/>
      <c r="P1620" s="45">
        <v>180</v>
      </c>
      <c r="Q1620" s="279"/>
      <c r="R1620" s="275">
        <v>0</v>
      </c>
      <c r="S1620" s="279"/>
      <c r="T1620" s="279">
        <v>128</v>
      </c>
      <c r="U1620" s="57">
        <v>1</v>
      </c>
      <c r="V1620" s="276">
        <v>0.17</v>
      </c>
      <c r="W1620" s="276">
        <v>0</v>
      </c>
      <c r="X1620" s="279">
        <v>106</v>
      </c>
      <c r="Y1620" s="279">
        <v>22</v>
      </c>
      <c r="Z1620" s="45" t="b">
        <v>1</v>
      </c>
      <c r="AA1620" s="45" t="s">
        <v>50</v>
      </c>
      <c r="AB1620" s="45" t="s">
        <v>50</v>
      </c>
    </row>
    <row r="1621" spans="1:28" x14ac:dyDescent="0.2">
      <c r="A1621" s="279" t="s">
        <v>133</v>
      </c>
      <c r="B1621" s="279" t="s">
        <v>133</v>
      </c>
      <c r="C1621" s="282">
        <v>44743</v>
      </c>
      <c r="D1621" s="282">
        <v>44773</v>
      </c>
      <c r="E1621" s="279" t="s">
        <v>267</v>
      </c>
      <c r="F1621" s="133" t="s">
        <v>41</v>
      </c>
      <c r="G1621" s="279" t="s">
        <v>61</v>
      </c>
      <c r="H1621" s="289" t="s">
        <v>132</v>
      </c>
      <c r="I1621" s="280">
        <v>5</v>
      </c>
      <c r="J1621" s="279">
        <v>1174</v>
      </c>
      <c r="K1621" s="270">
        <f t="shared" si="0"/>
        <v>5870</v>
      </c>
      <c r="L1621" s="279"/>
      <c r="M1621" s="279">
        <v>-255</v>
      </c>
      <c r="N1621" s="281">
        <v>4.74</v>
      </c>
      <c r="O1621" s="55"/>
      <c r="P1621" s="45">
        <v>5</v>
      </c>
      <c r="Q1621" s="279"/>
      <c r="R1621" s="275">
        <v>0</v>
      </c>
      <c r="S1621" s="279"/>
      <c r="T1621" s="279">
        <v>-250</v>
      </c>
      <c r="U1621" s="57">
        <v>1</v>
      </c>
      <c r="V1621" s="276">
        <v>0.17</v>
      </c>
      <c r="W1621" s="276">
        <v>0</v>
      </c>
      <c r="X1621" s="279">
        <v>-208</v>
      </c>
      <c r="Y1621" s="279">
        <v>-43</v>
      </c>
      <c r="Z1621" s="45" t="b">
        <v>1</v>
      </c>
      <c r="AA1621" s="45" t="s">
        <v>50</v>
      </c>
      <c r="AB1621" s="45" t="s">
        <v>50</v>
      </c>
    </row>
    <row r="1622" spans="1:28" x14ac:dyDescent="0.2">
      <c r="A1622" s="96" t="s">
        <v>286</v>
      </c>
      <c r="B1622" s="96" t="s">
        <v>286</v>
      </c>
      <c r="C1622" s="277">
        <v>44763</v>
      </c>
      <c r="D1622" s="277">
        <v>44793</v>
      </c>
      <c r="E1622" s="270" t="s">
        <v>267</v>
      </c>
      <c r="F1622" s="133" t="s">
        <v>34</v>
      </c>
      <c r="G1622" s="96" t="s">
        <v>35</v>
      </c>
      <c r="H1622" s="272" t="s">
        <v>39</v>
      </c>
      <c r="I1622" s="273">
        <v>5</v>
      </c>
      <c r="J1622" s="270">
        <v>1</v>
      </c>
      <c r="K1622" s="270">
        <f t="shared" si="0"/>
        <v>5</v>
      </c>
      <c r="L1622" s="270">
        <v>585</v>
      </c>
      <c r="M1622" s="270">
        <v>10</v>
      </c>
      <c r="N1622" s="274">
        <v>0</v>
      </c>
      <c r="O1622" s="55"/>
      <c r="P1622" s="45">
        <v>0</v>
      </c>
      <c r="Q1622" s="270">
        <v>5</v>
      </c>
      <c r="R1622" s="275">
        <v>8.3000000000000001E-4</v>
      </c>
      <c r="S1622" s="270">
        <v>5</v>
      </c>
      <c r="T1622" s="270">
        <v>5</v>
      </c>
      <c r="U1622" s="57">
        <v>1</v>
      </c>
      <c r="V1622" s="276">
        <v>0.15</v>
      </c>
      <c r="W1622" s="276">
        <v>0</v>
      </c>
      <c r="X1622" s="270">
        <v>4</v>
      </c>
      <c r="Y1622" s="270">
        <v>1</v>
      </c>
      <c r="Z1622" s="45" t="b">
        <v>1</v>
      </c>
      <c r="AA1622" s="45" t="s">
        <v>38</v>
      </c>
      <c r="AB1622" s="45" t="s">
        <v>38</v>
      </c>
    </row>
    <row r="1623" spans="1:28" x14ac:dyDescent="0.2">
      <c r="A1623" s="96" t="s">
        <v>286</v>
      </c>
      <c r="B1623" s="96" t="s">
        <v>286</v>
      </c>
      <c r="C1623" s="277">
        <v>44763</v>
      </c>
      <c r="D1623" s="277">
        <v>44793</v>
      </c>
      <c r="E1623" s="270" t="s">
        <v>267</v>
      </c>
      <c r="F1623" s="133" t="s">
        <v>34</v>
      </c>
      <c r="G1623" s="96" t="s">
        <v>35</v>
      </c>
      <c r="H1623" s="272" t="s">
        <v>40</v>
      </c>
      <c r="I1623" s="273">
        <v>10</v>
      </c>
      <c r="J1623" s="270">
        <v>595</v>
      </c>
      <c r="K1623" s="270">
        <f t="shared" si="0"/>
        <v>5950</v>
      </c>
      <c r="L1623" s="270">
        <v>41246</v>
      </c>
      <c r="M1623" s="270">
        <v>-20</v>
      </c>
      <c r="N1623" s="274">
        <v>207</v>
      </c>
      <c r="O1623" s="55"/>
      <c r="P1623" s="45">
        <v>207</v>
      </c>
      <c r="Q1623" s="270">
        <v>370</v>
      </c>
      <c r="R1623" s="275">
        <v>8.3000000000000001E-4</v>
      </c>
      <c r="S1623" s="270">
        <v>375</v>
      </c>
      <c r="T1623" s="270">
        <v>582</v>
      </c>
      <c r="U1623" s="57">
        <v>1</v>
      </c>
      <c r="V1623" s="276">
        <v>0.15</v>
      </c>
      <c r="W1623" s="276">
        <v>0</v>
      </c>
      <c r="X1623" s="270">
        <v>495</v>
      </c>
      <c r="Y1623" s="270">
        <v>87</v>
      </c>
      <c r="Z1623" s="45" t="b">
        <v>1</v>
      </c>
      <c r="AA1623" s="45" t="s">
        <v>38</v>
      </c>
      <c r="AB1623" s="45" t="s">
        <v>38</v>
      </c>
    </row>
    <row r="1624" spans="1:28" x14ac:dyDescent="0.2">
      <c r="A1624" s="96" t="s">
        <v>286</v>
      </c>
      <c r="B1624" s="96" t="s">
        <v>286</v>
      </c>
      <c r="C1624" s="277">
        <v>44763</v>
      </c>
      <c r="D1624" s="277">
        <v>44793</v>
      </c>
      <c r="E1624" s="270" t="s">
        <v>267</v>
      </c>
      <c r="F1624" s="133" t="s">
        <v>34</v>
      </c>
      <c r="G1624" s="96" t="s">
        <v>35</v>
      </c>
      <c r="H1624" s="272" t="s">
        <v>115</v>
      </c>
      <c r="I1624" s="273">
        <v>10</v>
      </c>
      <c r="J1624" s="270">
        <v>124</v>
      </c>
      <c r="K1624" s="270">
        <f t="shared" si="0"/>
        <v>1240</v>
      </c>
      <c r="L1624" s="270">
        <v>1411</v>
      </c>
      <c r="M1624" s="270">
        <v>20</v>
      </c>
      <c r="N1624" s="274">
        <v>43</v>
      </c>
      <c r="O1624" s="55"/>
      <c r="P1624" s="45">
        <v>43</v>
      </c>
      <c r="Q1624" s="270">
        <v>-37</v>
      </c>
      <c r="R1624" s="275">
        <v>8.3000000000000001E-4</v>
      </c>
      <c r="S1624" s="270">
        <v>-36</v>
      </c>
      <c r="T1624" s="270">
        <v>7</v>
      </c>
      <c r="U1624" s="57">
        <v>1</v>
      </c>
      <c r="V1624" s="276">
        <v>0.15</v>
      </c>
      <c r="W1624" s="276">
        <v>0</v>
      </c>
      <c r="X1624" s="270">
        <v>6</v>
      </c>
      <c r="Y1624" s="270">
        <v>1</v>
      </c>
      <c r="Z1624" s="45" t="b">
        <v>1</v>
      </c>
      <c r="AA1624" s="45" t="s">
        <v>38</v>
      </c>
      <c r="AB1624" s="45" t="s">
        <v>38</v>
      </c>
    </row>
    <row r="1625" spans="1:28" x14ac:dyDescent="0.2">
      <c r="A1625" s="96" t="s">
        <v>286</v>
      </c>
      <c r="B1625" s="96" t="s">
        <v>286</v>
      </c>
      <c r="C1625" s="277">
        <v>44763</v>
      </c>
      <c r="D1625" s="277">
        <v>44793</v>
      </c>
      <c r="E1625" s="270" t="s">
        <v>267</v>
      </c>
      <c r="F1625" s="133" t="s">
        <v>34</v>
      </c>
      <c r="G1625" s="96" t="s">
        <v>35</v>
      </c>
      <c r="H1625" s="272" t="s">
        <v>46</v>
      </c>
      <c r="I1625" s="273">
        <v>25</v>
      </c>
      <c r="J1625" s="270">
        <v>1028</v>
      </c>
      <c r="K1625" s="270">
        <f t="shared" si="0"/>
        <v>25700</v>
      </c>
      <c r="L1625" s="270">
        <v>58179</v>
      </c>
      <c r="M1625" s="270">
        <v>2275</v>
      </c>
      <c r="N1625" s="274">
        <v>767</v>
      </c>
      <c r="O1625" s="55"/>
      <c r="P1625" s="45">
        <v>767</v>
      </c>
      <c r="Q1625" s="270">
        <v>1252</v>
      </c>
      <c r="R1625" s="275">
        <v>8.3000000000000001E-4</v>
      </c>
      <c r="S1625" s="270">
        <v>1274</v>
      </c>
      <c r="T1625" s="270">
        <v>2041</v>
      </c>
      <c r="U1625" s="57">
        <v>1</v>
      </c>
      <c r="V1625" s="276">
        <v>0.15</v>
      </c>
      <c r="W1625" s="276">
        <v>0</v>
      </c>
      <c r="X1625" s="270">
        <v>1734</v>
      </c>
      <c r="Y1625" s="270">
        <v>306</v>
      </c>
      <c r="Z1625" s="45" t="b">
        <v>0</v>
      </c>
      <c r="AA1625" s="45" t="s">
        <v>38</v>
      </c>
      <c r="AB1625" s="45" t="s">
        <v>38</v>
      </c>
    </row>
    <row r="1626" spans="1:28" x14ac:dyDescent="0.2">
      <c r="A1626" s="96" t="s">
        <v>286</v>
      </c>
      <c r="B1626" s="96" t="s">
        <v>286</v>
      </c>
      <c r="C1626" s="277">
        <v>44763</v>
      </c>
      <c r="D1626" s="277">
        <v>44793</v>
      </c>
      <c r="E1626" s="270" t="s">
        <v>267</v>
      </c>
      <c r="F1626" s="133" t="s">
        <v>34</v>
      </c>
      <c r="G1626" s="96" t="s">
        <v>35</v>
      </c>
      <c r="H1626" s="272" t="s">
        <v>87</v>
      </c>
      <c r="I1626" s="273">
        <v>25</v>
      </c>
      <c r="J1626" s="270">
        <v>91</v>
      </c>
      <c r="K1626" s="270">
        <f t="shared" si="0"/>
        <v>2275</v>
      </c>
      <c r="L1626" s="270">
        <v>4541</v>
      </c>
      <c r="M1626" s="270">
        <v>475</v>
      </c>
      <c r="N1626" s="274">
        <v>68</v>
      </c>
      <c r="O1626" s="55"/>
      <c r="P1626" s="45">
        <v>68</v>
      </c>
      <c r="Q1626" s="270">
        <v>223</v>
      </c>
      <c r="R1626" s="275">
        <v>8.3000000000000001E-4</v>
      </c>
      <c r="S1626" s="270">
        <v>225</v>
      </c>
      <c r="T1626" s="270">
        <v>293</v>
      </c>
      <c r="U1626" s="57">
        <v>1</v>
      </c>
      <c r="V1626" s="276">
        <v>0.15</v>
      </c>
      <c r="W1626" s="276">
        <v>0</v>
      </c>
      <c r="X1626" s="270">
        <v>249</v>
      </c>
      <c r="Y1626" s="270">
        <v>44</v>
      </c>
      <c r="Z1626" s="45" t="b">
        <v>1</v>
      </c>
      <c r="AA1626" s="45" t="s">
        <v>38</v>
      </c>
      <c r="AB1626" s="45" t="s">
        <v>38</v>
      </c>
    </row>
    <row r="1627" spans="1:28" x14ac:dyDescent="0.2">
      <c r="A1627" s="96" t="s">
        <v>82</v>
      </c>
      <c r="B1627" s="96" t="s">
        <v>82</v>
      </c>
      <c r="C1627" s="277">
        <v>44763</v>
      </c>
      <c r="D1627" s="277">
        <v>44793</v>
      </c>
      <c r="E1627" s="270" t="s">
        <v>300</v>
      </c>
      <c r="F1627" s="133" t="s">
        <v>34</v>
      </c>
      <c r="G1627" s="96" t="s">
        <v>35</v>
      </c>
      <c r="H1627" s="272" t="s">
        <v>70</v>
      </c>
      <c r="I1627" s="273">
        <v>100</v>
      </c>
      <c r="J1627" s="270">
        <v>3500</v>
      </c>
      <c r="K1627" s="270">
        <f t="shared" si="0"/>
        <v>350000</v>
      </c>
      <c r="L1627" s="270">
        <v>63286</v>
      </c>
      <c r="M1627" s="270">
        <v>-12400</v>
      </c>
      <c r="N1627" s="274">
        <v>16100</v>
      </c>
      <c r="O1627" s="55"/>
      <c r="P1627" s="105">
        <v>16100</v>
      </c>
      <c r="Q1627" s="270">
        <v>-7038</v>
      </c>
      <c r="R1627" s="275">
        <v>8.3000000000000001E-4</v>
      </c>
      <c r="S1627" s="270">
        <v>-6748</v>
      </c>
      <c r="T1627" s="270">
        <v>9352</v>
      </c>
      <c r="U1627" s="57">
        <v>1</v>
      </c>
      <c r="V1627" s="276">
        <v>0.15</v>
      </c>
      <c r="W1627" s="276">
        <v>0.05</v>
      </c>
      <c r="X1627" s="270">
        <v>7482</v>
      </c>
      <c r="Y1627" s="270">
        <v>1870</v>
      </c>
      <c r="Z1627" s="45" t="b">
        <v>1</v>
      </c>
      <c r="AA1627" s="45" t="s">
        <v>38</v>
      </c>
      <c r="AB1627" s="45" t="s">
        <v>38</v>
      </c>
    </row>
    <row r="1628" spans="1:28" x14ac:dyDescent="0.2">
      <c r="A1628" s="96" t="s">
        <v>154</v>
      </c>
      <c r="B1628" s="96" t="s">
        <v>154</v>
      </c>
      <c r="C1628" s="277">
        <v>44763</v>
      </c>
      <c r="D1628" s="277">
        <v>44793</v>
      </c>
      <c r="E1628" s="279" t="s">
        <v>267</v>
      </c>
      <c r="F1628" s="96" t="s">
        <v>34</v>
      </c>
      <c r="G1628" s="270" t="s">
        <v>35</v>
      </c>
      <c r="H1628" s="272" t="s">
        <v>39</v>
      </c>
      <c r="I1628" s="280">
        <v>5</v>
      </c>
      <c r="J1628" s="279">
        <v>23</v>
      </c>
      <c r="K1628" s="270">
        <f t="shared" si="0"/>
        <v>115</v>
      </c>
      <c r="L1628" s="279">
        <v>2936</v>
      </c>
      <c r="M1628" s="279">
        <v>25</v>
      </c>
      <c r="N1628" s="274">
        <v>1</v>
      </c>
      <c r="O1628" s="55"/>
      <c r="P1628" s="45">
        <v>1</v>
      </c>
      <c r="Q1628" s="279">
        <v>16</v>
      </c>
      <c r="R1628" s="275">
        <v>8.3000000000000001E-4</v>
      </c>
      <c r="S1628" s="279">
        <v>16</v>
      </c>
      <c r="T1628" s="279">
        <v>17</v>
      </c>
      <c r="U1628" s="57">
        <v>1</v>
      </c>
      <c r="V1628" s="276">
        <v>0.2</v>
      </c>
      <c r="W1628" s="276">
        <v>0</v>
      </c>
      <c r="X1628" s="279">
        <v>14</v>
      </c>
      <c r="Y1628" s="279">
        <v>3</v>
      </c>
      <c r="Z1628" s="45" t="b">
        <v>1</v>
      </c>
      <c r="AA1628" s="45" t="s">
        <v>38</v>
      </c>
      <c r="AB1628" s="45" t="s">
        <v>38</v>
      </c>
    </row>
    <row r="1629" spans="1:28" x14ac:dyDescent="0.2">
      <c r="A1629" s="279" t="s">
        <v>355</v>
      </c>
      <c r="B1629" s="279" t="s">
        <v>903</v>
      </c>
      <c r="C1629" s="282">
        <v>44763</v>
      </c>
      <c r="D1629" s="282">
        <v>44793</v>
      </c>
      <c r="E1629" s="270" t="s">
        <v>300</v>
      </c>
      <c r="F1629" s="133" t="s">
        <v>34</v>
      </c>
      <c r="G1629" s="270" t="s">
        <v>80</v>
      </c>
      <c r="H1629" s="289" t="s">
        <v>40</v>
      </c>
      <c r="I1629" s="280">
        <v>10</v>
      </c>
      <c r="J1629" s="279">
        <v>3713</v>
      </c>
      <c r="K1629" s="270">
        <f t="shared" si="0"/>
        <v>37130</v>
      </c>
      <c r="L1629" s="279">
        <v>80587</v>
      </c>
      <c r="M1629" s="279">
        <v>-440</v>
      </c>
      <c r="N1629" s="274">
        <v>1769.06</v>
      </c>
      <c r="O1629" s="55"/>
      <c r="P1629" s="105">
        <v>1769</v>
      </c>
      <c r="Q1629" s="279">
        <v>-405</v>
      </c>
      <c r="R1629" s="275">
        <v>-1.5E-3</v>
      </c>
      <c r="S1629" s="279">
        <v>-460</v>
      </c>
      <c r="T1629" s="279">
        <v>1309</v>
      </c>
      <c r="U1629" s="57">
        <v>1</v>
      </c>
      <c r="V1629" s="276">
        <v>0.15</v>
      </c>
      <c r="W1629" s="276">
        <v>0.1</v>
      </c>
      <c r="X1629" s="279">
        <v>982</v>
      </c>
      <c r="Y1629" s="279">
        <v>327</v>
      </c>
      <c r="Z1629" s="45" t="b">
        <v>1</v>
      </c>
      <c r="AA1629" s="45" t="s">
        <v>38</v>
      </c>
      <c r="AB1629" s="45" t="s">
        <v>38</v>
      </c>
    </row>
    <row r="1630" spans="1:28" x14ac:dyDescent="0.2">
      <c r="A1630" s="279" t="s">
        <v>355</v>
      </c>
      <c r="B1630" s="279" t="s">
        <v>903</v>
      </c>
      <c r="C1630" s="282">
        <v>44763</v>
      </c>
      <c r="D1630" s="282">
        <v>44793</v>
      </c>
      <c r="E1630" s="279" t="s">
        <v>300</v>
      </c>
      <c r="F1630" s="133" t="s">
        <v>34</v>
      </c>
      <c r="G1630" s="270" t="s">
        <v>80</v>
      </c>
      <c r="H1630" s="289" t="s">
        <v>71</v>
      </c>
      <c r="I1630" s="280">
        <v>20</v>
      </c>
      <c r="J1630" s="279">
        <v>150</v>
      </c>
      <c r="K1630" s="270">
        <f t="shared" si="0"/>
        <v>3000</v>
      </c>
      <c r="L1630" s="279">
        <v>2111</v>
      </c>
      <c r="M1630" s="279">
        <v>-320</v>
      </c>
      <c r="N1630" s="274">
        <v>142.94</v>
      </c>
      <c r="O1630" s="55"/>
      <c r="P1630" s="45">
        <v>143</v>
      </c>
      <c r="Q1630" s="279">
        <v>-223</v>
      </c>
      <c r="R1630" s="275">
        <v>-1.5E-3</v>
      </c>
      <c r="S1630" s="279">
        <v>-227</v>
      </c>
      <c r="T1630" s="279">
        <v>-84</v>
      </c>
      <c r="U1630" s="57">
        <v>1</v>
      </c>
      <c r="V1630" s="276">
        <v>0.15</v>
      </c>
      <c r="W1630" s="276">
        <v>0.1</v>
      </c>
      <c r="X1630" s="279">
        <v>-63</v>
      </c>
      <c r="Y1630" s="279">
        <v>-21</v>
      </c>
      <c r="Z1630" s="45" t="b">
        <v>1</v>
      </c>
      <c r="AA1630" s="45" t="s">
        <v>38</v>
      </c>
      <c r="AB1630" s="45" t="s">
        <v>38</v>
      </c>
    </row>
    <row r="1631" spans="1:28" x14ac:dyDescent="0.2">
      <c r="A1631" s="279" t="s">
        <v>355</v>
      </c>
      <c r="B1631" s="279" t="s">
        <v>902</v>
      </c>
      <c r="C1631" s="282">
        <v>44763</v>
      </c>
      <c r="D1631" s="282">
        <v>44793</v>
      </c>
      <c r="E1631" s="270" t="s">
        <v>300</v>
      </c>
      <c r="F1631" s="133" t="s">
        <v>34</v>
      </c>
      <c r="G1631" s="279" t="s">
        <v>61</v>
      </c>
      <c r="H1631" s="289" t="s">
        <v>63</v>
      </c>
      <c r="I1631" s="280">
        <v>10</v>
      </c>
      <c r="J1631" s="279">
        <v>1</v>
      </c>
      <c r="K1631" s="270">
        <f t="shared" si="0"/>
        <v>10</v>
      </c>
      <c r="L1631" s="279">
        <v>-100</v>
      </c>
      <c r="M1631" s="279">
        <v>-10</v>
      </c>
      <c r="N1631" s="281">
        <v>465.8</v>
      </c>
      <c r="O1631" s="55"/>
      <c r="P1631" s="45">
        <v>466</v>
      </c>
      <c r="Q1631" s="279">
        <v>-3</v>
      </c>
      <c r="R1631" s="275">
        <v>8.3000000000000001E-4</v>
      </c>
      <c r="S1631" s="279">
        <v>-3</v>
      </c>
      <c r="T1631" s="279">
        <v>463</v>
      </c>
      <c r="U1631" s="57">
        <v>1</v>
      </c>
      <c r="V1631" s="276">
        <v>0.15</v>
      </c>
      <c r="W1631" s="276">
        <v>0.1</v>
      </c>
      <c r="X1631" s="279">
        <v>347</v>
      </c>
      <c r="Y1631" s="279">
        <v>116</v>
      </c>
      <c r="Z1631" s="45" t="b">
        <v>1</v>
      </c>
      <c r="AA1631" s="45" t="s">
        <v>50</v>
      </c>
      <c r="AB1631" s="45" t="s">
        <v>50</v>
      </c>
    </row>
    <row r="1632" spans="1:28" x14ac:dyDescent="0.2">
      <c r="A1632" s="279" t="s">
        <v>355</v>
      </c>
      <c r="B1632" s="279" t="s">
        <v>902</v>
      </c>
      <c r="C1632" s="282">
        <v>44763</v>
      </c>
      <c r="D1632" s="282">
        <v>44793</v>
      </c>
      <c r="E1632" s="270" t="s">
        <v>300</v>
      </c>
      <c r="F1632" s="133" t="s">
        <v>34</v>
      </c>
      <c r="G1632" s="279" t="s">
        <v>61</v>
      </c>
      <c r="H1632" s="289" t="s">
        <v>93</v>
      </c>
      <c r="I1632" s="280">
        <v>25</v>
      </c>
      <c r="J1632" s="279">
        <v>31</v>
      </c>
      <c r="K1632" s="270">
        <f t="shared" si="0"/>
        <v>775</v>
      </c>
      <c r="L1632" s="279">
        <v>263</v>
      </c>
      <c r="M1632" s="279">
        <v>-225</v>
      </c>
      <c r="N1632" s="281">
        <v>414.2</v>
      </c>
      <c r="O1632" s="55"/>
      <c r="P1632" s="45">
        <v>414</v>
      </c>
      <c r="Q1632" s="279">
        <v>-55</v>
      </c>
      <c r="R1632" s="275">
        <v>8.3000000000000001E-4</v>
      </c>
      <c r="S1632" s="279">
        <v>-54</v>
      </c>
      <c r="T1632" s="279">
        <v>360</v>
      </c>
      <c r="U1632" s="57">
        <v>1</v>
      </c>
      <c r="V1632" s="276">
        <v>0.15</v>
      </c>
      <c r="W1632" s="276">
        <v>0.1</v>
      </c>
      <c r="X1632" s="279">
        <v>270</v>
      </c>
      <c r="Y1632" s="279">
        <v>90</v>
      </c>
      <c r="Z1632" s="45" t="b">
        <v>1</v>
      </c>
      <c r="AA1632" s="45" t="s">
        <v>50</v>
      </c>
      <c r="AB1632" s="45" t="s">
        <v>50</v>
      </c>
    </row>
    <row r="1633" spans="1:28" x14ac:dyDescent="0.2">
      <c r="A1633" s="279" t="s">
        <v>355</v>
      </c>
      <c r="B1633" s="279" t="s">
        <v>902</v>
      </c>
      <c r="C1633" s="282">
        <v>44763</v>
      </c>
      <c r="D1633" s="282">
        <v>44793</v>
      </c>
      <c r="E1633" s="270" t="s">
        <v>300</v>
      </c>
      <c r="F1633" s="133" t="s">
        <v>34</v>
      </c>
      <c r="G1633" s="279" t="s">
        <v>61</v>
      </c>
      <c r="H1633" s="272" t="s">
        <v>179</v>
      </c>
      <c r="I1633" s="280">
        <v>25</v>
      </c>
      <c r="J1633" s="279">
        <v>1307</v>
      </c>
      <c r="K1633" s="270">
        <f t="shared" si="0"/>
        <v>32675</v>
      </c>
      <c r="L1633" s="279">
        <v>38233</v>
      </c>
      <c r="M1633" s="279">
        <v>-3012</v>
      </c>
      <c r="N1633" s="281"/>
      <c r="O1633" s="55"/>
      <c r="P1633" s="96"/>
      <c r="Q1633" s="279">
        <v>-1299</v>
      </c>
      <c r="R1633" s="275">
        <v>8.3000000000000001E-4</v>
      </c>
      <c r="S1633" s="279">
        <v>-1272</v>
      </c>
      <c r="T1633" s="279">
        <v>-1272</v>
      </c>
      <c r="U1633" s="57">
        <v>1</v>
      </c>
      <c r="V1633" s="276">
        <v>0.15</v>
      </c>
      <c r="W1633" s="276">
        <v>0.1</v>
      </c>
      <c r="X1633" s="279">
        <v>-954</v>
      </c>
      <c r="Y1633" s="279">
        <v>-318</v>
      </c>
      <c r="Z1633" s="45" t="b">
        <v>1</v>
      </c>
      <c r="AA1633" s="45" t="s">
        <v>50</v>
      </c>
      <c r="AB1633" s="45" t="s">
        <v>50</v>
      </c>
    </row>
    <row r="1634" spans="1:28" x14ac:dyDescent="0.2">
      <c r="A1634" s="96" t="s">
        <v>125</v>
      </c>
      <c r="B1634" s="96" t="s">
        <v>125</v>
      </c>
      <c r="C1634" s="277">
        <v>44763</v>
      </c>
      <c r="D1634" s="277">
        <v>44793</v>
      </c>
      <c r="E1634" s="270" t="s">
        <v>267</v>
      </c>
      <c r="F1634" s="96" t="s">
        <v>34</v>
      </c>
      <c r="G1634" s="270" t="s">
        <v>35</v>
      </c>
      <c r="H1634" s="272" t="s">
        <v>39</v>
      </c>
      <c r="I1634" s="273">
        <v>5</v>
      </c>
      <c r="J1634" s="270">
        <v>85</v>
      </c>
      <c r="K1634" s="270">
        <f t="shared" si="0"/>
        <v>425</v>
      </c>
      <c r="L1634" s="270">
        <v>877</v>
      </c>
      <c r="M1634" s="270">
        <v>-45</v>
      </c>
      <c r="N1634" s="274">
        <v>25</v>
      </c>
      <c r="O1634" s="55"/>
      <c r="P1634" s="45">
        <v>25</v>
      </c>
      <c r="Q1634" s="270">
        <v>-29</v>
      </c>
      <c r="R1634" s="275">
        <v>8.3000000000000001E-4</v>
      </c>
      <c r="S1634" s="270">
        <v>-29</v>
      </c>
      <c r="T1634" s="270">
        <v>-4</v>
      </c>
      <c r="U1634" s="57">
        <v>1</v>
      </c>
      <c r="V1634" s="276">
        <v>0.3</v>
      </c>
      <c r="W1634" s="276">
        <v>0</v>
      </c>
      <c r="X1634" s="270">
        <v>-3</v>
      </c>
      <c r="Y1634" s="270">
        <v>-1</v>
      </c>
      <c r="Z1634" s="45" t="b">
        <v>1</v>
      </c>
      <c r="AA1634" s="45" t="s">
        <v>38</v>
      </c>
      <c r="AB1634" s="45" t="s">
        <v>38</v>
      </c>
    </row>
    <row r="1635" spans="1:28" x14ac:dyDescent="0.2">
      <c r="A1635" s="96" t="s">
        <v>125</v>
      </c>
      <c r="B1635" s="96" t="s">
        <v>125</v>
      </c>
      <c r="C1635" s="277">
        <v>44763</v>
      </c>
      <c r="D1635" s="277">
        <v>44793</v>
      </c>
      <c r="E1635" s="270" t="s">
        <v>267</v>
      </c>
      <c r="F1635" s="96" t="s">
        <v>34</v>
      </c>
      <c r="G1635" s="270" t="s">
        <v>35</v>
      </c>
      <c r="H1635" s="272" t="s">
        <v>40</v>
      </c>
      <c r="I1635" s="273">
        <v>10</v>
      </c>
      <c r="J1635" s="270">
        <v>1184</v>
      </c>
      <c r="K1635" s="270">
        <f t="shared" si="0"/>
        <v>11840</v>
      </c>
      <c r="L1635" s="270">
        <v>31874</v>
      </c>
      <c r="M1635" s="270">
        <v>-1020</v>
      </c>
      <c r="N1635" s="274">
        <v>606</v>
      </c>
      <c r="O1635" s="55"/>
      <c r="P1635" s="45">
        <v>606</v>
      </c>
      <c r="Q1635" s="270">
        <v>-281</v>
      </c>
      <c r="R1635" s="275">
        <v>8.3000000000000001E-4</v>
      </c>
      <c r="S1635" s="270">
        <v>-272</v>
      </c>
      <c r="T1635" s="270">
        <v>334</v>
      </c>
      <c r="U1635" s="57">
        <v>1</v>
      </c>
      <c r="V1635" s="276">
        <v>0.3</v>
      </c>
      <c r="W1635" s="276">
        <v>0</v>
      </c>
      <c r="X1635" s="270">
        <v>234</v>
      </c>
      <c r="Y1635" s="270">
        <v>100</v>
      </c>
      <c r="Z1635" s="45" t="b">
        <v>1</v>
      </c>
      <c r="AA1635" s="45" t="s">
        <v>38</v>
      </c>
      <c r="AB1635" s="45" t="s">
        <v>38</v>
      </c>
    </row>
    <row r="1636" spans="1:28" x14ac:dyDescent="0.2">
      <c r="A1636" s="96" t="s">
        <v>125</v>
      </c>
      <c r="B1636" s="96" t="s">
        <v>125</v>
      </c>
      <c r="C1636" s="277">
        <v>44763</v>
      </c>
      <c r="D1636" s="277">
        <v>44793</v>
      </c>
      <c r="E1636" s="270" t="s">
        <v>267</v>
      </c>
      <c r="F1636" s="96" t="s">
        <v>34</v>
      </c>
      <c r="G1636" s="270" t="s">
        <v>35</v>
      </c>
      <c r="H1636" s="272" t="s">
        <v>46</v>
      </c>
      <c r="I1636" s="273">
        <v>25</v>
      </c>
      <c r="J1636" s="270">
        <v>13</v>
      </c>
      <c r="K1636" s="270">
        <f t="shared" si="0"/>
        <v>325</v>
      </c>
      <c r="L1636" s="270">
        <v>-925</v>
      </c>
      <c r="M1636" s="270">
        <v>-75</v>
      </c>
      <c r="N1636" s="274">
        <v>14</v>
      </c>
      <c r="O1636" s="55"/>
      <c r="P1636" s="45">
        <v>14</v>
      </c>
      <c r="Q1636" s="270">
        <v>-64</v>
      </c>
      <c r="R1636" s="275">
        <v>8.3000000000000001E-4</v>
      </c>
      <c r="S1636" s="270">
        <v>-63</v>
      </c>
      <c r="T1636" s="270">
        <v>-49</v>
      </c>
      <c r="U1636" s="57">
        <v>1</v>
      </c>
      <c r="V1636" s="276">
        <v>0.3</v>
      </c>
      <c r="W1636" s="276">
        <v>0</v>
      </c>
      <c r="X1636" s="270">
        <v>-35</v>
      </c>
      <c r="Y1636" s="270">
        <v>-15</v>
      </c>
      <c r="Z1636" s="45" t="b">
        <v>1</v>
      </c>
      <c r="AA1636" s="45" t="s">
        <v>38</v>
      </c>
      <c r="AB1636" s="45" t="s">
        <v>38</v>
      </c>
    </row>
    <row r="1637" spans="1:28" x14ac:dyDescent="0.2">
      <c r="A1637" s="96" t="s">
        <v>402</v>
      </c>
      <c r="B1637" s="96" t="s">
        <v>163</v>
      </c>
      <c r="C1637" s="277">
        <v>44763</v>
      </c>
      <c r="D1637" s="277">
        <v>44793</v>
      </c>
      <c r="E1637" s="270" t="s">
        <v>267</v>
      </c>
      <c r="F1637" s="133" t="s">
        <v>34</v>
      </c>
      <c r="G1637" s="270" t="s">
        <v>35</v>
      </c>
      <c r="H1637" s="272" t="s">
        <v>40</v>
      </c>
      <c r="I1637" s="273">
        <v>10</v>
      </c>
      <c r="J1637" s="270">
        <v>4332</v>
      </c>
      <c r="K1637" s="270">
        <f t="shared" si="0"/>
        <v>43320</v>
      </c>
      <c r="L1637" s="270">
        <v>209816</v>
      </c>
      <c r="M1637" s="270">
        <v>-1010</v>
      </c>
      <c r="N1637" s="274">
        <v>1080</v>
      </c>
      <c r="O1637" s="55"/>
      <c r="P1637" s="105">
        <v>1080</v>
      </c>
      <c r="Q1637" s="270">
        <v>582</v>
      </c>
      <c r="R1637" s="275">
        <v>8.3000000000000001E-4</v>
      </c>
      <c r="S1637" s="270">
        <v>618</v>
      </c>
      <c r="T1637" s="270">
        <v>1698</v>
      </c>
      <c r="U1637" s="57">
        <v>1</v>
      </c>
      <c r="V1637" s="276">
        <v>0.25</v>
      </c>
      <c r="W1637" s="276">
        <v>0</v>
      </c>
      <c r="X1637" s="270">
        <v>1273</v>
      </c>
      <c r="Y1637" s="270">
        <v>424</v>
      </c>
      <c r="Z1637" s="45" t="b">
        <v>1</v>
      </c>
      <c r="AA1637" s="45" t="s">
        <v>38</v>
      </c>
      <c r="AB1637" s="45" t="s">
        <v>38</v>
      </c>
    </row>
    <row r="1638" spans="1:28" x14ac:dyDescent="0.2">
      <c r="A1638" s="96" t="s">
        <v>402</v>
      </c>
      <c r="B1638" s="96" t="s">
        <v>163</v>
      </c>
      <c r="C1638" s="277">
        <v>44763</v>
      </c>
      <c r="D1638" s="277">
        <v>44793</v>
      </c>
      <c r="E1638" s="270" t="s">
        <v>267</v>
      </c>
      <c r="F1638" s="133" t="s">
        <v>41</v>
      </c>
      <c r="G1638" s="270" t="s">
        <v>35</v>
      </c>
      <c r="H1638" s="272" t="s">
        <v>39</v>
      </c>
      <c r="I1638" s="273">
        <v>5</v>
      </c>
      <c r="J1638" s="270">
        <v>3</v>
      </c>
      <c r="K1638" s="270">
        <f t="shared" si="0"/>
        <v>15</v>
      </c>
      <c r="L1638" s="270"/>
      <c r="M1638" s="270">
        <v>-15</v>
      </c>
      <c r="N1638" s="274"/>
      <c r="O1638" s="55"/>
      <c r="P1638" s="96"/>
      <c r="Q1638" s="270"/>
      <c r="R1638" s="275">
        <v>0</v>
      </c>
      <c r="S1638" s="270"/>
      <c r="T1638" s="270">
        <v>-15</v>
      </c>
      <c r="U1638" s="57">
        <v>1</v>
      </c>
      <c r="V1638" s="276">
        <v>0.25</v>
      </c>
      <c r="W1638" s="276">
        <v>0</v>
      </c>
      <c r="X1638" s="270">
        <v>-11</v>
      </c>
      <c r="Y1638" s="270">
        <v>-4</v>
      </c>
      <c r="Z1638" s="45" t="b">
        <v>1</v>
      </c>
      <c r="AA1638" s="45" t="s">
        <v>38</v>
      </c>
      <c r="AB1638" s="45" t="s">
        <v>38</v>
      </c>
    </row>
    <row r="1639" spans="1:28" x14ac:dyDescent="0.2">
      <c r="A1639" s="96" t="s">
        <v>402</v>
      </c>
      <c r="B1639" s="96" t="s">
        <v>163</v>
      </c>
      <c r="C1639" s="277">
        <v>44763</v>
      </c>
      <c r="D1639" s="277">
        <v>44793</v>
      </c>
      <c r="E1639" s="270" t="s">
        <v>267</v>
      </c>
      <c r="F1639" s="133" t="s">
        <v>41</v>
      </c>
      <c r="G1639" s="270" t="s">
        <v>35</v>
      </c>
      <c r="H1639" s="272" t="s">
        <v>42</v>
      </c>
      <c r="I1639" s="273">
        <v>1</v>
      </c>
      <c r="J1639" s="270">
        <v>2</v>
      </c>
      <c r="K1639" s="270">
        <f t="shared" si="0"/>
        <v>2</v>
      </c>
      <c r="L1639" s="270"/>
      <c r="M1639" s="270">
        <v>3</v>
      </c>
      <c r="N1639" s="274"/>
      <c r="O1639" s="55"/>
      <c r="P1639" s="96"/>
      <c r="Q1639" s="270"/>
      <c r="R1639" s="275">
        <v>0</v>
      </c>
      <c r="S1639" s="270"/>
      <c r="T1639" s="270">
        <v>3</v>
      </c>
      <c r="U1639" s="57">
        <v>1</v>
      </c>
      <c r="V1639" s="276">
        <v>0.25</v>
      </c>
      <c r="W1639" s="276">
        <v>0</v>
      </c>
      <c r="X1639" s="270">
        <v>2</v>
      </c>
      <c r="Y1639" s="270">
        <v>1</v>
      </c>
      <c r="Z1639" s="45" t="b">
        <v>1</v>
      </c>
      <c r="AA1639" s="45" t="s">
        <v>38</v>
      </c>
      <c r="AB1639" s="45" t="s">
        <v>38</v>
      </c>
    </row>
    <row r="1640" spans="1:28" x14ac:dyDescent="0.2">
      <c r="A1640" s="279" t="s">
        <v>91</v>
      </c>
      <c r="B1640" s="279" t="s">
        <v>96</v>
      </c>
      <c r="C1640" s="277">
        <v>44763</v>
      </c>
      <c r="D1640" s="277">
        <v>44793</v>
      </c>
      <c r="E1640" s="279" t="s">
        <v>267</v>
      </c>
      <c r="F1640" s="133" t="s">
        <v>34</v>
      </c>
      <c r="G1640" s="279" t="s">
        <v>35</v>
      </c>
      <c r="H1640" s="272" t="s">
        <v>46</v>
      </c>
      <c r="I1640" s="273">
        <v>25</v>
      </c>
      <c r="J1640" s="270">
        <v>998</v>
      </c>
      <c r="K1640" s="270">
        <f t="shared" si="0"/>
        <v>24950</v>
      </c>
      <c r="L1640" s="270">
        <v>15715</v>
      </c>
      <c r="M1640" s="270">
        <v>-2100</v>
      </c>
      <c r="N1640" s="274">
        <v>909</v>
      </c>
      <c r="O1640" s="55"/>
      <c r="P1640" s="45">
        <v>909</v>
      </c>
      <c r="Q1640" s="270">
        <v>-868</v>
      </c>
      <c r="R1640" s="275">
        <v>8.3000000000000001E-4</v>
      </c>
      <c r="S1640" s="270">
        <v>-848</v>
      </c>
      <c r="T1640" s="270">
        <v>61</v>
      </c>
      <c r="U1640" s="57">
        <v>1</v>
      </c>
      <c r="V1640" s="276">
        <v>0.3</v>
      </c>
      <c r="W1640" s="276">
        <v>0</v>
      </c>
      <c r="X1640" s="270">
        <v>43</v>
      </c>
      <c r="Y1640" s="270">
        <v>18</v>
      </c>
      <c r="Z1640" s="45" t="b">
        <v>1</v>
      </c>
      <c r="AA1640" s="45" t="s">
        <v>38</v>
      </c>
      <c r="AB1640" s="45" t="s">
        <v>38</v>
      </c>
    </row>
    <row r="1641" spans="1:28" x14ac:dyDescent="0.2">
      <c r="A1641" s="96" t="s">
        <v>172</v>
      </c>
      <c r="B1641" s="96" t="s">
        <v>172</v>
      </c>
      <c r="C1641" s="277">
        <v>44763</v>
      </c>
      <c r="D1641" s="277">
        <v>44793</v>
      </c>
      <c r="E1641" s="270" t="s">
        <v>300</v>
      </c>
      <c r="F1641" s="133" t="s">
        <v>34</v>
      </c>
      <c r="G1641" s="96" t="s">
        <v>35</v>
      </c>
      <c r="H1641" s="272" t="s">
        <v>70</v>
      </c>
      <c r="I1641" s="273">
        <v>100</v>
      </c>
      <c r="J1641" s="270">
        <v>2479</v>
      </c>
      <c r="K1641" s="270">
        <f t="shared" si="0"/>
        <v>247900</v>
      </c>
      <c r="L1641" s="270">
        <v>60667</v>
      </c>
      <c r="M1641" s="270">
        <v>5200</v>
      </c>
      <c r="N1641" s="274">
        <v>6306</v>
      </c>
      <c r="O1641" s="55"/>
      <c r="P1641" s="105">
        <v>6306</v>
      </c>
      <c r="Q1641" s="270">
        <v>-2016</v>
      </c>
      <c r="R1641" s="275">
        <v>-1.5E-3</v>
      </c>
      <c r="S1641" s="270">
        <v>-2388</v>
      </c>
      <c r="T1641" s="270">
        <v>3918</v>
      </c>
      <c r="U1641" s="57">
        <v>1</v>
      </c>
      <c r="V1641" s="276">
        <v>0.1125</v>
      </c>
      <c r="W1641" s="276">
        <v>3.7499999999999999E-2</v>
      </c>
      <c r="X1641" s="270">
        <v>3331</v>
      </c>
      <c r="Y1641" s="270">
        <v>588</v>
      </c>
      <c r="Z1641" s="45" t="b">
        <v>1</v>
      </c>
      <c r="AA1641" s="45" t="s">
        <v>38</v>
      </c>
      <c r="AB1641" s="45" t="s">
        <v>38</v>
      </c>
    </row>
    <row r="1642" spans="1:28" x14ac:dyDescent="0.2">
      <c r="A1642" s="96" t="s">
        <v>172</v>
      </c>
      <c r="B1642" s="96" t="s">
        <v>172</v>
      </c>
      <c r="C1642" s="277">
        <v>44763</v>
      </c>
      <c r="D1642" s="277">
        <v>44793</v>
      </c>
      <c r="E1642" s="270" t="s">
        <v>300</v>
      </c>
      <c r="F1642" s="133" t="s">
        <v>34</v>
      </c>
      <c r="G1642" s="96" t="s">
        <v>35</v>
      </c>
      <c r="H1642" s="272" t="s">
        <v>84</v>
      </c>
      <c r="I1642" s="273">
        <v>100</v>
      </c>
      <c r="J1642" s="270">
        <v>251</v>
      </c>
      <c r="K1642" s="270">
        <f t="shared" si="0"/>
        <v>25100</v>
      </c>
      <c r="L1642" s="270">
        <v>495</v>
      </c>
      <c r="M1642" s="270">
        <v>-1200</v>
      </c>
      <c r="N1642" s="274">
        <v>638</v>
      </c>
      <c r="O1642" s="55"/>
      <c r="P1642" s="45">
        <v>638</v>
      </c>
      <c r="Q1642" s="270">
        <v>-1201</v>
      </c>
      <c r="R1642" s="275">
        <v>-1.5E-3</v>
      </c>
      <c r="S1642" s="270">
        <v>-1238</v>
      </c>
      <c r="T1642" s="270">
        <v>-600</v>
      </c>
      <c r="U1642" s="57">
        <v>1</v>
      </c>
      <c r="V1642" s="276">
        <v>0.1125</v>
      </c>
      <c r="W1642" s="276">
        <v>3.7499999999999999E-2</v>
      </c>
      <c r="X1642" s="270">
        <v>-510</v>
      </c>
      <c r="Y1642" s="270">
        <v>-90</v>
      </c>
      <c r="Z1642" s="45" t="b">
        <v>1</v>
      </c>
      <c r="AA1642" s="45" t="s">
        <v>38</v>
      </c>
      <c r="AB1642" s="45" t="s">
        <v>38</v>
      </c>
    </row>
    <row r="1643" spans="1:28" x14ac:dyDescent="0.2">
      <c r="A1643" s="96" t="s">
        <v>172</v>
      </c>
      <c r="B1643" s="96" t="s">
        <v>172</v>
      </c>
      <c r="C1643" s="277">
        <v>44763</v>
      </c>
      <c r="D1643" s="277">
        <v>44793</v>
      </c>
      <c r="E1643" s="270" t="s">
        <v>300</v>
      </c>
      <c r="F1643" s="133" t="s">
        <v>34</v>
      </c>
      <c r="G1643" s="96" t="s">
        <v>35</v>
      </c>
      <c r="H1643" s="272" t="s">
        <v>88</v>
      </c>
      <c r="I1643" s="273">
        <v>250</v>
      </c>
      <c r="J1643" s="270">
        <v>161</v>
      </c>
      <c r="K1643" s="270">
        <f t="shared" si="0"/>
        <v>40250</v>
      </c>
      <c r="L1643" s="270">
        <v>-4005</v>
      </c>
      <c r="M1643" s="270">
        <v>1750</v>
      </c>
      <c r="N1643" s="274">
        <v>1024</v>
      </c>
      <c r="O1643" s="55"/>
      <c r="P1643" s="105">
        <v>1024</v>
      </c>
      <c r="Q1643" s="270">
        <v>-3958</v>
      </c>
      <c r="R1643" s="275">
        <v>-1.5E-3</v>
      </c>
      <c r="S1643" s="270">
        <v>-4019</v>
      </c>
      <c r="T1643" s="270">
        <v>-2995</v>
      </c>
      <c r="U1643" s="57">
        <v>1</v>
      </c>
      <c r="V1643" s="276">
        <v>0.1125</v>
      </c>
      <c r="W1643" s="276">
        <v>3.7499999999999999E-2</v>
      </c>
      <c r="X1643" s="270">
        <v>-2546</v>
      </c>
      <c r="Y1643" s="270">
        <v>-449</v>
      </c>
      <c r="Z1643" s="45" t="b">
        <v>1</v>
      </c>
      <c r="AA1643" s="45" t="s">
        <v>38</v>
      </c>
      <c r="AB1643" s="45" t="s">
        <v>38</v>
      </c>
    </row>
    <row r="1644" spans="1:28" x14ac:dyDescent="0.2">
      <c r="A1644" s="96" t="s">
        <v>172</v>
      </c>
      <c r="B1644" s="96" t="s">
        <v>172</v>
      </c>
      <c r="C1644" s="277">
        <v>44763</v>
      </c>
      <c r="D1644" s="277">
        <v>44793</v>
      </c>
      <c r="E1644" s="270" t="s">
        <v>300</v>
      </c>
      <c r="F1644" s="133" t="s">
        <v>41</v>
      </c>
      <c r="G1644" s="96" t="s">
        <v>35</v>
      </c>
      <c r="H1644" s="272" t="s">
        <v>45</v>
      </c>
      <c r="I1644" s="273">
        <v>0.25</v>
      </c>
      <c r="J1644" s="270">
        <v>3</v>
      </c>
      <c r="K1644" s="270">
        <f t="shared" si="0"/>
        <v>0.75</v>
      </c>
      <c r="L1644" s="270"/>
      <c r="M1644" s="270">
        <v>5</v>
      </c>
      <c r="N1644" s="274"/>
      <c r="O1644" s="55"/>
      <c r="P1644" s="96"/>
      <c r="Q1644" s="270"/>
      <c r="R1644" s="275">
        <v>0</v>
      </c>
      <c r="S1644" s="270"/>
      <c r="T1644" s="270">
        <v>5</v>
      </c>
      <c r="U1644" s="57">
        <v>1</v>
      </c>
      <c r="V1644" s="276">
        <v>0.1125</v>
      </c>
      <c r="W1644" s="276">
        <v>3.7499999999999999E-2</v>
      </c>
      <c r="X1644" s="270">
        <v>4</v>
      </c>
      <c r="Y1644" s="270">
        <v>1</v>
      </c>
      <c r="Z1644" s="45" t="b">
        <v>1</v>
      </c>
      <c r="AA1644" s="45" t="s">
        <v>38</v>
      </c>
      <c r="AB1644" s="45" t="s">
        <v>38</v>
      </c>
    </row>
    <row r="1645" spans="1:28" x14ac:dyDescent="0.2">
      <c r="A1645" s="96" t="s">
        <v>172</v>
      </c>
      <c r="B1645" s="96" t="s">
        <v>172</v>
      </c>
      <c r="C1645" s="277">
        <v>44763</v>
      </c>
      <c r="D1645" s="277">
        <v>44793</v>
      </c>
      <c r="E1645" s="270" t="s">
        <v>300</v>
      </c>
      <c r="F1645" s="133" t="s">
        <v>41</v>
      </c>
      <c r="G1645" s="96" t="s">
        <v>35</v>
      </c>
      <c r="H1645" s="272" t="s">
        <v>51</v>
      </c>
      <c r="I1645" s="273">
        <v>0.25</v>
      </c>
      <c r="J1645" s="270">
        <v>1</v>
      </c>
      <c r="K1645" s="270">
        <f t="shared" si="0"/>
        <v>0.25</v>
      </c>
      <c r="L1645" s="270"/>
      <c r="M1645" s="270">
        <v>0</v>
      </c>
      <c r="N1645" s="274"/>
      <c r="O1645" s="55"/>
      <c r="P1645" s="96"/>
      <c r="Q1645" s="270"/>
      <c r="R1645" s="275">
        <v>0</v>
      </c>
      <c r="S1645" s="270"/>
      <c r="T1645" s="270">
        <v>0</v>
      </c>
      <c r="U1645" s="57">
        <v>1</v>
      </c>
      <c r="V1645" s="276">
        <v>0.1125</v>
      </c>
      <c r="W1645" s="276">
        <v>3.7499999999999999E-2</v>
      </c>
      <c r="X1645" s="270">
        <v>0</v>
      </c>
      <c r="Y1645" s="270">
        <v>0</v>
      </c>
      <c r="Z1645" s="45" t="b">
        <v>1</v>
      </c>
      <c r="AA1645" s="45" t="s">
        <v>38</v>
      </c>
      <c r="AB1645" s="45" t="s">
        <v>38</v>
      </c>
    </row>
    <row r="1646" spans="1:28" x14ac:dyDescent="0.2">
      <c r="A1646" s="96" t="s">
        <v>172</v>
      </c>
      <c r="B1646" s="96" t="s">
        <v>172</v>
      </c>
      <c r="C1646" s="277">
        <v>44763</v>
      </c>
      <c r="D1646" s="277">
        <v>44793</v>
      </c>
      <c r="E1646" s="270" t="s">
        <v>300</v>
      </c>
      <c r="F1646" s="133" t="s">
        <v>41</v>
      </c>
      <c r="G1646" s="96" t="s">
        <v>35</v>
      </c>
      <c r="H1646" s="272" t="s">
        <v>173</v>
      </c>
      <c r="I1646" s="273">
        <v>100</v>
      </c>
      <c r="J1646" s="270">
        <v>3</v>
      </c>
      <c r="K1646" s="270">
        <f t="shared" si="0"/>
        <v>300</v>
      </c>
      <c r="L1646" s="270"/>
      <c r="M1646" s="270">
        <v>92</v>
      </c>
      <c r="N1646" s="274">
        <v>3</v>
      </c>
      <c r="O1646" s="55"/>
      <c r="P1646" s="45">
        <v>3</v>
      </c>
      <c r="Q1646" s="270"/>
      <c r="R1646" s="275">
        <v>0</v>
      </c>
      <c r="S1646" s="270"/>
      <c r="T1646" s="270">
        <v>95</v>
      </c>
      <c r="U1646" s="57">
        <v>1</v>
      </c>
      <c r="V1646" s="276">
        <v>0.1125</v>
      </c>
      <c r="W1646" s="276">
        <v>3.7499999999999999E-2</v>
      </c>
      <c r="X1646" s="270">
        <v>81</v>
      </c>
      <c r="Y1646" s="270">
        <v>14</v>
      </c>
      <c r="Z1646" s="45" t="b">
        <v>1</v>
      </c>
      <c r="AA1646" s="45" t="s">
        <v>38</v>
      </c>
      <c r="AB1646" s="45" t="s">
        <v>38</v>
      </c>
    </row>
    <row r="1647" spans="1:28" x14ac:dyDescent="0.2">
      <c r="A1647" s="279" t="s">
        <v>466</v>
      </c>
      <c r="B1647" s="279" t="s">
        <v>118</v>
      </c>
      <c r="C1647" s="277">
        <v>44763</v>
      </c>
      <c r="D1647" s="277">
        <v>44793</v>
      </c>
      <c r="E1647" s="279" t="s">
        <v>300</v>
      </c>
      <c r="F1647" s="133" t="s">
        <v>34</v>
      </c>
      <c r="G1647" s="270" t="s">
        <v>80</v>
      </c>
      <c r="H1647" s="270" t="s">
        <v>72</v>
      </c>
      <c r="I1647" s="273">
        <v>50</v>
      </c>
      <c r="J1647" s="270">
        <v>114</v>
      </c>
      <c r="K1647" s="270">
        <f t="shared" si="0"/>
        <v>5700</v>
      </c>
      <c r="L1647" s="270">
        <v>4022</v>
      </c>
      <c r="M1647" s="270">
        <v>900</v>
      </c>
      <c r="N1647" s="274">
        <v>316.10000000000002</v>
      </c>
      <c r="O1647" s="55"/>
      <c r="P1647" s="45">
        <v>316</v>
      </c>
      <c r="Q1647" s="270">
        <v>161</v>
      </c>
      <c r="R1647" s="275">
        <v>8.3000000000000001E-4</v>
      </c>
      <c r="S1647" s="270">
        <v>165</v>
      </c>
      <c r="T1647" s="270">
        <v>481</v>
      </c>
      <c r="U1647" s="57">
        <v>1</v>
      </c>
      <c r="V1647" s="276">
        <v>0.15</v>
      </c>
      <c r="W1647" s="276">
        <v>0.05</v>
      </c>
      <c r="X1647" s="270">
        <v>385</v>
      </c>
      <c r="Y1647" s="270">
        <v>96</v>
      </c>
      <c r="Z1647" s="45" t="b">
        <v>1</v>
      </c>
      <c r="AA1647" s="45" t="s">
        <v>38</v>
      </c>
      <c r="AB1647" s="45" t="s">
        <v>38</v>
      </c>
    </row>
    <row r="1648" spans="1:28" x14ac:dyDescent="0.2">
      <c r="A1648" s="279" t="s">
        <v>466</v>
      </c>
      <c r="B1648" s="279" t="s">
        <v>118</v>
      </c>
      <c r="C1648" s="277">
        <v>44763</v>
      </c>
      <c r="D1648" s="277">
        <v>44793</v>
      </c>
      <c r="E1648" s="279" t="s">
        <v>300</v>
      </c>
      <c r="F1648" s="133" t="s">
        <v>34</v>
      </c>
      <c r="G1648" s="270" t="s">
        <v>80</v>
      </c>
      <c r="H1648" s="270" t="s">
        <v>70</v>
      </c>
      <c r="I1648" s="273">
        <v>100</v>
      </c>
      <c r="J1648" s="270">
        <v>5509</v>
      </c>
      <c r="K1648" s="270">
        <f t="shared" si="0"/>
        <v>550900</v>
      </c>
      <c r="L1648" s="270">
        <v>33755</v>
      </c>
      <c r="M1648" s="270">
        <v>-21100</v>
      </c>
      <c r="N1648" s="274">
        <v>30550.9</v>
      </c>
      <c r="O1648" s="55"/>
      <c r="P1648" s="105">
        <v>30551</v>
      </c>
      <c r="Q1648" s="270">
        <v>-30689</v>
      </c>
      <c r="R1648" s="275">
        <v>8.3000000000000001E-4</v>
      </c>
      <c r="S1648" s="270">
        <v>-30231</v>
      </c>
      <c r="T1648" s="270">
        <v>319</v>
      </c>
      <c r="U1648" s="57">
        <v>1</v>
      </c>
      <c r="V1648" s="276">
        <v>0.15</v>
      </c>
      <c r="W1648" s="276">
        <v>0.05</v>
      </c>
      <c r="X1648" s="270">
        <v>256</v>
      </c>
      <c r="Y1648" s="270">
        <v>64</v>
      </c>
      <c r="Z1648" s="45" t="b">
        <v>1</v>
      </c>
      <c r="AA1648" s="45" t="s">
        <v>38</v>
      </c>
      <c r="AB1648" s="45" t="s">
        <v>38</v>
      </c>
    </row>
    <row r="1649" spans="1:28" x14ac:dyDescent="0.2">
      <c r="A1649" s="96" t="s">
        <v>473</v>
      </c>
      <c r="B1649" s="270" t="s">
        <v>120</v>
      </c>
      <c r="C1649" s="277">
        <v>44763</v>
      </c>
      <c r="D1649" s="277">
        <v>44793</v>
      </c>
      <c r="E1649" s="270" t="s">
        <v>267</v>
      </c>
      <c r="F1649" s="96" t="s">
        <v>34</v>
      </c>
      <c r="G1649" s="270" t="s">
        <v>35</v>
      </c>
      <c r="H1649" s="272" t="s">
        <v>39</v>
      </c>
      <c r="I1649" s="280">
        <v>5</v>
      </c>
      <c r="J1649" s="279">
        <v>1</v>
      </c>
      <c r="K1649" s="270">
        <f t="shared" si="0"/>
        <v>5</v>
      </c>
      <c r="L1649" s="279">
        <v>-670</v>
      </c>
      <c r="M1649" s="279">
        <v>-5</v>
      </c>
      <c r="N1649" s="274"/>
      <c r="O1649" s="55"/>
      <c r="P1649" s="96"/>
      <c r="Q1649" s="279">
        <v>-6</v>
      </c>
      <c r="R1649" s="275">
        <v>8.3000000000000001E-4</v>
      </c>
      <c r="S1649" s="279">
        <v>-6</v>
      </c>
      <c r="T1649" s="279">
        <v>-6</v>
      </c>
      <c r="U1649" s="57">
        <v>1</v>
      </c>
      <c r="V1649" s="276">
        <v>0.3</v>
      </c>
      <c r="W1649" s="276">
        <v>0</v>
      </c>
      <c r="X1649" s="279">
        <v>-5</v>
      </c>
      <c r="Y1649" s="279">
        <v>-2</v>
      </c>
      <c r="Z1649" s="45" t="b">
        <v>0</v>
      </c>
      <c r="AA1649" s="45" t="s">
        <v>38</v>
      </c>
      <c r="AB1649" s="45" t="s">
        <v>38</v>
      </c>
    </row>
    <row r="1650" spans="1:28" x14ac:dyDescent="0.2">
      <c r="A1650" s="96" t="s">
        <v>473</v>
      </c>
      <c r="B1650" s="270" t="s">
        <v>120</v>
      </c>
      <c r="C1650" s="277">
        <v>44763</v>
      </c>
      <c r="D1650" s="277">
        <v>44793</v>
      </c>
      <c r="E1650" s="270" t="s">
        <v>267</v>
      </c>
      <c r="F1650" s="96" t="s">
        <v>34</v>
      </c>
      <c r="G1650" s="270" t="s">
        <v>35</v>
      </c>
      <c r="H1650" s="272" t="s">
        <v>46</v>
      </c>
      <c r="I1650" s="280">
        <v>25</v>
      </c>
      <c r="J1650" s="279">
        <v>1102</v>
      </c>
      <c r="K1650" s="270">
        <f t="shared" si="0"/>
        <v>27550</v>
      </c>
      <c r="L1650" s="279">
        <v>36779</v>
      </c>
      <c r="M1650" s="279">
        <v>225</v>
      </c>
      <c r="N1650" s="274">
        <v>1255</v>
      </c>
      <c r="O1650" s="55"/>
      <c r="P1650" s="105">
        <v>1255</v>
      </c>
      <c r="Q1650" s="279">
        <v>-58</v>
      </c>
      <c r="R1650" s="275">
        <v>8.3000000000000001E-4</v>
      </c>
      <c r="S1650" s="279">
        <v>-35</v>
      </c>
      <c r="T1650" s="279">
        <v>1220</v>
      </c>
      <c r="U1650" s="57">
        <v>1</v>
      </c>
      <c r="V1650" s="276">
        <v>0.3</v>
      </c>
      <c r="W1650" s="276">
        <v>0</v>
      </c>
      <c r="X1650" s="279">
        <v>854</v>
      </c>
      <c r="Y1650" s="279">
        <v>366</v>
      </c>
      <c r="Z1650" s="45" t="b">
        <v>0</v>
      </c>
      <c r="AA1650" s="45" t="s">
        <v>38</v>
      </c>
      <c r="AB1650" s="45" t="s">
        <v>38</v>
      </c>
    </row>
    <row r="1651" spans="1:28" x14ac:dyDescent="0.2">
      <c r="A1651" s="96" t="s">
        <v>473</v>
      </c>
      <c r="B1651" s="270" t="s">
        <v>120</v>
      </c>
      <c r="C1651" s="277">
        <v>44763</v>
      </c>
      <c r="D1651" s="277">
        <v>44793</v>
      </c>
      <c r="E1651" s="270" t="s">
        <v>267</v>
      </c>
      <c r="F1651" s="96" t="s">
        <v>41</v>
      </c>
      <c r="G1651" s="270" t="s">
        <v>35</v>
      </c>
      <c r="H1651" s="272" t="s">
        <v>40</v>
      </c>
      <c r="I1651" s="273">
        <v>10</v>
      </c>
      <c r="J1651" s="270">
        <v>0</v>
      </c>
      <c r="K1651" s="270">
        <f t="shared" si="0"/>
        <v>0</v>
      </c>
      <c r="L1651" s="270">
        <v>0</v>
      </c>
      <c r="M1651" s="270">
        <v>83</v>
      </c>
      <c r="N1651" s="274"/>
      <c r="O1651" s="55"/>
      <c r="P1651" s="96"/>
      <c r="Q1651" s="270"/>
      <c r="R1651" s="275">
        <v>0</v>
      </c>
      <c r="S1651" s="270"/>
      <c r="T1651" s="270">
        <v>83</v>
      </c>
      <c r="U1651" s="57">
        <v>1</v>
      </c>
      <c r="V1651" s="276">
        <v>1</v>
      </c>
      <c r="W1651" s="276">
        <v>0</v>
      </c>
      <c r="X1651" s="270">
        <v>0</v>
      </c>
      <c r="Y1651" s="270">
        <v>83</v>
      </c>
      <c r="Z1651" s="45" t="b">
        <v>0</v>
      </c>
      <c r="AA1651" s="45" t="s">
        <v>38</v>
      </c>
      <c r="AB1651" s="45" t="s">
        <v>38</v>
      </c>
    </row>
    <row r="1652" spans="1:28" x14ac:dyDescent="0.2">
      <c r="A1652" s="96" t="s">
        <v>178</v>
      </c>
      <c r="B1652" s="96" t="s">
        <v>178</v>
      </c>
      <c r="C1652" s="277">
        <v>44763</v>
      </c>
      <c r="D1652" s="277">
        <v>44793</v>
      </c>
      <c r="E1652" s="279" t="s">
        <v>267</v>
      </c>
      <c r="F1652" s="133" t="s">
        <v>34</v>
      </c>
      <c r="G1652" s="270" t="s">
        <v>35</v>
      </c>
      <c r="H1652" s="272" t="s">
        <v>40</v>
      </c>
      <c r="I1652" s="280">
        <v>10</v>
      </c>
      <c r="J1652" s="279">
        <v>1940</v>
      </c>
      <c r="K1652" s="270">
        <f t="shared" si="0"/>
        <v>19400</v>
      </c>
      <c r="L1652" s="279">
        <v>135302</v>
      </c>
      <c r="M1652" s="279">
        <v>1390</v>
      </c>
      <c r="N1652" s="274">
        <v>1148</v>
      </c>
      <c r="O1652" s="55"/>
      <c r="P1652" s="105">
        <v>1148</v>
      </c>
      <c r="Q1652" s="279">
        <v>1046</v>
      </c>
      <c r="R1652" s="275">
        <v>8.3000000000000001E-4</v>
      </c>
      <c r="S1652" s="279">
        <v>1062</v>
      </c>
      <c r="T1652" s="279">
        <v>2210</v>
      </c>
      <c r="U1652" s="57">
        <v>1</v>
      </c>
      <c r="V1652" s="276">
        <v>0.17</v>
      </c>
      <c r="W1652" s="276">
        <v>0</v>
      </c>
      <c r="X1652" s="279">
        <v>1835</v>
      </c>
      <c r="Y1652" s="279">
        <v>376</v>
      </c>
      <c r="Z1652" s="45" t="b">
        <v>1</v>
      </c>
      <c r="AA1652" s="45" t="s">
        <v>38</v>
      </c>
      <c r="AB1652" s="45" t="s">
        <v>38</v>
      </c>
    </row>
    <row r="1653" spans="1:28" x14ac:dyDescent="0.2">
      <c r="A1653" s="96" t="s">
        <v>178</v>
      </c>
      <c r="B1653" s="96" t="s">
        <v>178</v>
      </c>
      <c r="C1653" s="277">
        <v>44763</v>
      </c>
      <c r="D1653" s="277">
        <v>44793</v>
      </c>
      <c r="E1653" s="279" t="s">
        <v>267</v>
      </c>
      <c r="F1653" s="133" t="s">
        <v>34</v>
      </c>
      <c r="G1653" s="270" t="s">
        <v>35</v>
      </c>
      <c r="H1653" s="272" t="s">
        <v>115</v>
      </c>
      <c r="I1653" s="280">
        <v>10</v>
      </c>
      <c r="J1653" s="279">
        <v>787</v>
      </c>
      <c r="K1653" s="270">
        <f t="shared" si="0"/>
        <v>7870</v>
      </c>
      <c r="L1653" s="279">
        <v>10015</v>
      </c>
      <c r="M1653" s="279">
        <v>-580</v>
      </c>
      <c r="N1653" s="274">
        <v>465</v>
      </c>
      <c r="O1653" s="55"/>
      <c r="P1653" s="45">
        <v>465</v>
      </c>
      <c r="Q1653" s="279">
        <v>-276</v>
      </c>
      <c r="R1653" s="275">
        <v>8.3000000000000001E-4</v>
      </c>
      <c r="S1653" s="279">
        <v>-270</v>
      </c>
      <c r="T1653" s="279">
        <v>195</v>
      </c>
      <c r="U1653" s="57">
        <v>1</v>
      </c>
      <c r="V1653" s="276">
        <v>0.17</v>
      </c>
      <c r="W1653" s="276">
        <v>0</v>
      </c>
      <c r="X1653" s="279">
        <v>162</v>
      </c>
      <c r="Y1653" s="279">
        <v>33</v>
      </c>
      <c r="Z1653" s="45" t="b">
        <v>1</v>
      </c>
      <c r="AA1653" s="45" t="s">
        <v>38</v>
      </c>
      <c r="AB1653" s="45" t="s">
        <v>38</v>
      </c>
    </row>
    <row r="1654" spans="1:28" x14ac:dyDescent="0.2">
      <c r="A1654" s="96" t="s">
        <v>102</v>
      </c>
      <c r="B1654" s="96" t="s">
        <v>97</v>
      </c>
      <c r="C1654" s="282">
        <v>44763</v>
      </c>
      <c r="D1654" s="282">
        <v>44793</v>
      </c>
      <c r="E1654" s="270" t="s">
        <v>267</v>
      </c>
      <c r="F1654" s="96" t="s">
        <v>34</v>
      </c>
      <c r="G1654" s="270" t="s">
        <v>80</v>
      </c>
      <c r="H1654" s="272" t="s">
        <v>72</v>
      </c>
      <c r="I1654" s="280">
        <v>50</v>
      </c>
      <c r="J1654" s="279">
        <v>1158</v>
      </c>
      <c r="K1654" s="270">
        <f t="shared" si="0"/>
        <v>57900</v>
      </c>
      <c r="L1654" s="279">
        <v>7805</v>
      </c>
      <c r="M1654" s="279">
        <v>-4600</v>
      </c>
      <c r="N1654" s="274">
        <v>3660</v>
      </c>
      <c r="O1654" s="55"/>
      <c r="P1654" s="105">
        <v>3660</v>
      </c>
      <c r="Q1654" s="279">
        <v>-3123</v>
      </c>
      <c r="R1654" s="275">
        <v>8.3000000000000001E-4</v>
      </c>
      <c r="S1654" s="279">
        <v>-3075</v>
      </c>
      <c r="T1654" s="279">
        <v>585</v>
      </c>
      <c r="U1654" s="57">
        <v>1</v>
      </c>
      <c r="V1654" s="276">
        <v>0.25</v>
      </c>
      <c r="W1654" s="276">
        <v>0</v>
      </c>
      <c r="X1654" s="279">
        <v>439</v>
      </c>
      <c r="Y1654" s="279">
        <v>146</v>
      </c>
      <c r="Z1654" s="45" t="b">
        <v>1</v>
      </c>
      <c r="AA1654" s="45" t="s">
        <v>38</v>
      </c>
      <c r="AB1654" s="45" t="s">
        <v>50</v>
      </c>
    </row>
    <row r="1655" spans="1:28" x14ac:dyDescent="0.2">
      <c r="A1655" s="96" t="s">
        <v>102</v>
      </c>
      <c r="B1655" s="96" t="s">
        <v>102</v>
      </c>
      <c r="C1655" s="282">
        <v>44763</v>
      </c>
      <c r="D1655" s="282">
        <v>44793</v>
      </c>
      <c r="E1655" s="270" t="s">
        <v>267</v>
      </c>
      <c r="F1655" s="96" t="s">
        <v>34</v>
      </c>
      <c r="G1655" s="270" t="s">
        <v>35</v>
      </c>
      <c r="H1655" s="272" t="s">
        <v>72</v>
      </c>
      <c r="I1655" s="280">
        <v>50</v>
      </c>
      <c r="J1655" s="279">
        <v>93</v>
      </c>
      <c r="K1655" s="270">
        <f t="shared" si="0"/>
        <v>4650</v>
      </c>
      <c r="L1655" s="279">
        <v>-2110</v>
      </c>
      <c r="M1655" s="279">
        <v>-650</v>
      </c>
      <c r="N1655" s="274"/>
      <c r="O1655" s="55"/>
      <c r="P1655" s="96"/>
      <c r="Q1655" s="279">
        <v>-493</v>
      </c>
      <c r="R1655" s="275">
        <v>8.3000000000000001E-4</v>
      </c>
      <c r="S1655" s="279">
        <v>-489</v>
      </c>
      <c r="T1655" s="279">
        <v>-489</v>
      </c>
      <c r="U1655" s="57">
        <v>1</v>
      </c>
      <c r="V1655" s="276">
        <v>0.25</v>
      </c>
      <c r="W1655" s="276">
        <v>0</v>
      </c>
      <c r="X1655" s="279">
        <v>-367</v>
      </c>
      <c r="Y1655" s="279">
        <v>-122</v>
      </c>
      <c r="Z1655" s="45" t="b">
        <v>1</v>
      </c>
      <c r="AA1655" s="45" t="s">
        <v>38</v>
      </c>
      <c r="AB1655" s="45" t="s">
        <v>50</v>
      </c>
    </row>
    <row r="1656" spans="1:28" x14ac:dyDescent="0.2">
      <c r="A1656" s="279" t="s">
        <v>102</v>
      </c>
      <c r="B1656" s="279" t="s">
        <v>107</v>
      </c>
      <c r="C1656" s="282">
        <v>44763</v>
      </c>
      <c r="D1656" s="282">
        <v>44793</v>
      </c>
      <c r="E1656" s="279" t="s">
        <v>267</v>
      </c>
      <c r="F1656" s="133" t="s">
        <v>34</v>
      </c>
      <c r="G1656" s="279" t="s">
        <v>61</v>
      </c>
      <c r="H1656" s="289" t="s">
        <v>109</v>
      </c>
      <c r="I1656" s="280">
        <v>50</v>
      </c>
      <c r="J1656" s="279">
        <v>66</v>
      </c>
      <c r="K1656" s="270">
        <f t="shared" si="0"/>
        <v>3300</v>
      </c>
      <c r="L1656" s="279">
        <v>1830</v>
      </c>
      <c r="M1656" s="279">
        <v>-450</v>
      </c>
      <c r="N1656" s="281">
        <v>1430.53</v>
      </c>
      <c r="O1656" s="55"/>
      <c r="P1656" s="105">
        <v>1431</v>
      </c>
      <c r="Q1656" s="279">
        <v>-117</v>
      </c>
      <c r="R1656" s="275">
        <v>8.3000000000000001E-4</v>
      </c>
      <c r="S1656" s="279">
        <v>-114</v>
      </c>
      <c r="T1656" s="279">
        <v>1316</v>
      </c>
      <c r="U1656" s="57">
        <v>1.004</v>
      </c>
      <c r="V1656" s="276">
        <v>0.25</v>
      </c>
      <c r="W1656" s="276">
        <v>0</v>
      </c>
      <c r="X1656" s="279">
        <v>991</v>
      </c>
      <c r="Y1656" s="279">
        <v>330</v>
      </c>
      <c r="Z1656" s="45" t="b">
        <v>1</v>
      </c>
      <c r="AA1656" s="45" t="s">
        <v>38</v>
      </c>
      <c r="AB1656" s="45" t="s">
        <v>50</v>
      </c>
    </row>
    <row r="1657" spans="1:28" x14ac:dyDescent="0.2">
      <c r="A1657" s="279" t="s">
        <v>102</v>
      </c>
      <c r="B1657" s="279" t="s">
        <v>107</v>
      </c>
      <c r="C1657" s="282">
        <v>44763</v>
      </c>
      <c r="D1657" s="282">
        <v>44793</v>
      </c>
      <c r="E1657" s="279" t="s">
        <v>267</v>
      </c>
      <c r="F1657" s="133" t="s">
        <v>34</v>
      </c>
      <c r="G1657" s="279" t="s">
        <v>61</v>
      </c>
      <c r="H1657" s="272" t="s">
        <v>112</v>
      </c>
      <c r="I1657" s="280">
        <v>50</v>
      </c>
      <c r="J1657" s="279">
        <v>509</v>
      </c>
      <c r="K1657" s="270">
        <f t="shared" si="0"/>
        <v>25450</v>
      </c>
      <c r="L1657" s="279">
        <v>22597</v>
      </c>
      <c r="M1657" s="279">
        <v>904</v>
      </c>
      <c r="N1657" s="281">
        <v>316.45999999999998</v>
      </c>
      <c r="O1657" s="55"/>
      <c r="P1657" s="45">
        <v>316</v>
      </c>
      <c r="Q1657" s="279">
        <v>-249</v>
      </c>
      <c r="R1657" s="275">
        <v>8.3000000000000001E-4</v>
      </c>
      <c r="S1657" s="279">
        <v>-228</v>
      </c>
      <c r="T1657" s="279">
        <v>89</v>
      </c>
      <c r="U1657" s="57">
        <v>1.004</v>
      </c>
      <c r="V1657" s="276">
        <v>0.25</v>
      </c>
      <c r="W1657" s="276">
        <v>0</v>
      </c>
      <c r="X1657" s="279">
        <v>67</v>
      </c>
      <c r="Y1657" s="279">
        <v>22</v>
      </c>
      <c r="Z1657" s="45" t="b">
        <v>1</v>
      </c>
      <c r="AA1657" s="45" t="s">
        <v>38</v>
      </c>
      <c r="AB1657" s="45" t="s">
        <v>50</v>
      </c>
    </row>
    <row r="1658" spans="1:28" x14ac:dyDescent="0.2">
      <c r="A1658" s="279" t="s">
        <v>102</v>
      </c>
      <c r="B1658" s="279" t="s">
        <v>107</v>
      </c>
      <c r="C1658" s="282">
        <v>44763</v>
      </c>
      <c r="D1658" s="282">
        <v>44793</v>
      </c>
      <c r="E1658" s="279" t="s">
        <v>267</v>
      </c>
      <c r="F1658" s="133" t="s">
        <v>34</v>
      </c>
      <c r="G1658" s="279" t="s">
        <v>61</v>
      </c>
      <c r="H1658" s="289" t="s">
        <v>184</v>
      </c>
      <c r="I1658" s="280">
        <v>100</v>
      </c>
      <c r="J1658" s="279">
        <v>23</v>
      </c>
      <c r="K1658" s="270">
        <f t="shared" si="0"/>
        <v>2300</v>
      </c>
      <c r="L1658" s="279">
        <v>-53</v>
      </c>
      <c r="M1658" s="279">
        <v>400</v>
      </c>
      <c r="N1658" s="281">
        <v>0</v>
      </c>
      <c r="O1658" s="55"/>
      <c r="P1658" s="45">
        <v>0</v>
      </c>
      <c r="Q1658" s="279">
        <v>-219</v>
      </c>
      <c r="R1658" s="275">
        <v>8.3000000000000001E-4</v>
      </c>
      <c r="S1658" s="279">
        <v>-217</v>
      </c>
      <c r="T1658" s="279">
        <v>-217</v>
      </c>
      <c r="U1658" s="57">
        <v>1.004</v>
      </c>
      <c r="V1658" s="276">
        <v>0.25</v>
      </c>
      <c r="W1658" s="276">
        <v>0</v>
      </c>
      <c r="X1658" s="279">
        <v>-163</v>
      </c>
      <c r="Y1658" s="279">
        <v>-54</v>
      </c>
      <c r="Z1658" s="45" t="b">
        <v>1</v>
      </c>
      <c r="AA1658" s="45" t="s">
        <v>38</v>
      </c>
      <c r="AB1658" s="45" t="s">
        <v>50</v>
      </c>
    </row>
    <row r="1659" spans="1:28" x14ac:dyDescent="0.2">
      <c r="A1659" s="279" t="s">
        <v>102</v>
      </c>
      <c r="B1659" s="279" t="s">
        <v>107</v>
      </c>
      <c r="C1659" s="282">
        <v>44763</v>
      </c>
      <c r="D1659" s="282">
        <v>44793</v>
      </c>
      <c r="E1659" s="279" t="s">
        <v>267</v>
      </c>
      <c r="F1659" s="133" t="s">
        <v>34</v>
      </c>
      <c r="G1659" s="279" t="s">
        <v>61</v>
      </c>
      <c r="H1659" s="289" t="s">
        <v>200</v>
      </c>
      <c r="I1659" s="280">
        <v>100</v>
      </c>
      <c r="J1659" s="279">
        <v>1464</v>
      </c>
      <c r="K1659" s="270">
        <f t="shared" si="0"/>
        <v>146400</v>
      </c>
      <c r="L1659" s="279">
        <v>49984</v>
      </c>
      <c r="M1659" s="279">
        <v>-2400</v>
      </c>
      <c r="N1659" s="281">
        <v>3028.01</v>
      </c>
      <c r="O1659" s="55"/>
      <c r="P1659" s="105">
        <v>3028</v>
      </c>
      <c r="Q1659" s="279">
        <v>-3877</v>
      </c>
      <c r="R1659" s="275">
        <v>8.3000000000000001E-4</v>
      </c>
      <c r="S1659" s="279">
        <v>-3755</v>
      </c>
      <c r="T1659" s="279">
        <v>-727</v>
      </c>
      <c r="U1659" s="57">
        <v>1.004</v>
      </c>
      <c r="V1659" s="276">
        <v>0.25</v>
      </c>
      <c r="W1659" s="276">
        <v>0</v>
      </c>
      <c r="X1659" s="279">
        <v>-548</v>
      </c>
      <c r="Y1659" s="279">
        <v>-183</v>
      </c>
      <c r="Z1659" s="45" t="b">
        <v>1</v>
      </c>
      <c r="AA1659" s="45" t="s">
        <v>38</v>
      </c>
      <c r="AB1659" s="45" t="s">
        <v>50</v>
      </c>
    </row>
    <row r="1660" spans="1:28" x14ac:dyDescent="0.2">
      <c r="A1660" s="96" t="s">
        <v>508</v>
      </c>
      <c r="B1660" s="96" t="s">
        <v>185</v>
      </c>
      <c r="C1660" s="277">
        <v>44763</v>
      </c>
      <c r="D1660" s="277">
        <v>44793</v>
      </c>
      <c r="E1660" s="270" t="s">
        <v>300</v>
      </c>
      <c r="F1660" s="133" t="s">
        <v>34</v>
      </c>
      <c r="G1660" s="270" t="s">
        <v>80</v>
      </c>
      <c r="H1660" s="272" t="s">
        <v>70</v>
      </c>
      <c r="I1660" s="273">
        <v>100</v>
      </c>
      <c r="J1660" s="270">
        <v>6023</v>
      </c>
      <c r="K1660" s="270">
        <f t="shared" si="0"/>
        <v>602300</v>
      </c>
      <c r="L1660" s="270">
        <v>72341</v>
      </c>
      <c r="M1660" s="270">
        <v>-17000</v>
      </c>
      <c r="N1660" s="274">
        <v>34261.599999999999</v>
      </c>
      <c r="O1660" s="55"/>
      <c r="P1660" s="105">
        <v>34262</v>
      </c>
      <c r="Q1660" s="270">
        <v>-23358</v>
      </c>
      <c r="R1660" s="275">
        <v>8.3000000000000001E-4</v>
      </c>
      <c r="S1660" s="270">
        <v>-22858</v>
      </c>
      <c r="T1660" s="270">
        <v>11404</v>
      </c>
      <c r="U1660" s="57">
        <v>1</v>
      </c>
      <c r="V1660" s="276">
        <v>0.09</v>
      </c>
      <c r="W1660" s="276">
        <v>0.03</v>
      </c>
      <c r="X1660" s="270">
        <v>10035</v>
      </c>
      <c r="Y1660" s="270">
        <v>1368</v>
      </c>
      <c r="Z1660" s="45" t="b">
        <v>1</v>
      </c>
      <c r="AA1660" s="45" t="s">
        <v>38</v>
      </c>
      <c r="AB1660" s="45" t="s">
        <v>38</v>
      </c>
    </row>
    <row r="1661" spans="1:28" x14ac:dyDescent="0.2">
      <c r="A1661" s="96" t="s">
        <v>113</v>
      </c>
      <c r="B1661" s="96" t="s">
        <v>113</v>
      </c>
      <c r="C1661" s="277">
        <v>44763</v>
      </c>
      <c r="D1661" s="277">
        <v>44793</v>
      </c>
      <c r="E1661" s="270" t="s">
        <v>267</v>
      </c>
      <c r="F1661" s="133" t="s">
        <v>34</v>
      </c>
      <c r="G1661" s="96" t="s">
        <v>35</v>
      </c>
      <c r="H1661" s="272" t="s">
        <v>40</v>
      </c>
      <c r="I1661" s="273">
        <v>10</v>
      </c>
      <c r="J1661" s="270">
        <v>2673</v>
      </c>
      <c r="K1661" s="270">
        <f t="shared" si="0"/>
        <v>26730</v>
      </c>
      <c r="L1661" s="270">
        <v>47481</v>
      </c>
      <c r="M1661" s="270">
        <v>-1840</v>
      </c>
      <c r="N1661" s="274">
        <v>165</v>
      </c>
      <c r="O1661" s="55"/>
      <c r="P1661" s="45">
        <v>165</v>
      </c>
      <c r="Q1661" s="270">
        <v>-1107</v>
      </c>
      <c r="R1661" s="275">
        <v>8.3000000000000001E-4</v>
      </c>
      <c r="S1661" s="270">
        <v>-1085</v>
      </c>
      <c r="T1661" s="270">
        <v>-920</v>
      </c>
      <c r="U1661" s="57">
        <v>1</v>
      </c>
      <c r="V1661" s="276">
        <v>0.3</v>
      </c>
      <c r="W1661" s="276">
        <v>0</v>
      </c>
      <c r="X1661" s="270">
        <v>-644</v>
      </c>
      <c r="Y1661" s="270">
        <v>-276</v>
      </c>
      <c r="Z1661" s="45" t="b">
        <v>1</v>
      </c>
      <c r="AA1661" s="45" t="s">
        <v>38</v>
      </c>
      <c r="AB1661" s="45" t="s">
        <v>38</v>
      </c>
    </row>
    <row r="1662" spans="1:28" x14ac:dyDescent="0.2">
      <c r="A1662" s="96" t="s">
        <v>191</v>
      </c>
      <c r="B1662" s="96" t="s">
        <v>193</v>
      </c>
      <c r="C1662" s="277">
        <v>44763</v>
      </c>
      <c r="D1662" s="277">
        <v>44793</v>
      </c>
      <c r="E1662" s="270" t="s">
        <v>267</v>
      </c>
      <c r="F1662" s="133" t="s">
        <v>34</v>
      </c>
      <c r="G1662" s="96" t="s">
        <v>80</v>
      </c>
      <c r="H1662" s="272" t="s">
        <v>86</v>
      </c>
      <c r="I1662" s="273">
        <v>5</v>
      </c>
      <c r="J1662" s="270">
        <v>958</v>
      </c>
      <c r="K1662" s="270">
        <f t="shared" si="0"/>
        <v>4790</v>
      </c>
      <c r="L1662" s="270">
        <v>37334</v>
      </c>
      <c r="M1662" s="270">
        <v>130</v>
      </c>
      <c r="N1662" s="274">
        <v>224.97</v>
      </c>
      <c r="O1662" s="55"/>
      <c r="P1662" s="45">
        <v>225</v>
      </c>
      <c r="Q1662" s="270">
        <v>186</v>
      </c>
      <c r="R1662" s="275">
        <v>8.3000000000000001E-4</v>
      </c>
      <c r="S1662" s="270">
        <v>190</v>
      </c>
      <c r="T1662" s="270">
        <v>415</v>
      </c>
      <c r="U1662" s="57">
        <v>1</v>
      </c>
      <c r="V1662" s="276">
        <v>0.25</v>
      </c>
      <c r="W1662" s="276">
        <v>0</v>
      </c>
      <c r="X1662" s="270">
        <v>311</v>
      </c>
      <c r="Y1662" s="270">
        <v>104</v>
      </c>
      <c r="Z1662" s="45" t="b">
        <v>1</v>
      </c>
      <c r="AA1662" s="45" t="s">
        <v>38</v>
      </c>
      <c r="AB1662" s="45" t="s">
        <v>38</v>
      </c>
    </row>
    <row r="1663" spans="1:28" x14ac:dyDescent="0.2">
      <c r="A1663" s="96" t="s">
        <v>191</v>
      </c>
      <c r="B1663" s="96" t="s">
        <v>193</v>
      </c>
      <c r="C1663" s="277">
        <v>44763</v>
      </c>
      <c r="D1663" s="277">
        <v>44793</v>
      </c>
      <c r="E1663" s="270" t="s">
        <v>267</v>
      </c>
      <c r="F1663" s="133" t="s">
        <v>34</v>
      </c>
      <c r="G1663" s="96" t="s">
        <v>80</v>
      </c>
      <c r="H1663" s="272" t="s">
        <v>40</v>
      </c>
      <c r="I1663" s="273">
        <v>10</v>
      </c>
      <c r="J1663" s="270">
        <v>2500</v>
      </c>
      <c r="K1663" s="270">
        <f t="shared" si="0"/>
        <v>25000</v>
      </c>
      <c r="L1663" s="270">
        <v>44842</v>
      </c>
      <c r="M1663" s="270">
        <v>210</v>
      </c>
      <c r="N1663" s="274">
        <v>1174.1600000000001</v>
      </c>
      <c r="O1663" s="55"/>
      <c r="P1663" s="105">
        <v>1174</v>
      </c>
      <c r="Q1663" s="270">
        <v>-543</v>
      </c>
      <c r="R1663" s="275">
        <v>8.3000000000000001E-4</v>
      </c>
      <c r="S1663" s="270">
        <v>-523</v>
      </c>
      <c r="T1663" s="270">
        <v>652</v>
      </c>
      <c r="U1663" s="57">
        <v>1</v>
      </c>
      <c r="V1663" s="276">
        <v>0.25</v>
      </c>
      <c r="W1663" s="276">
        <v>0</v>
      </c>
      <c r="X1663" s="270">
        <v>489</v>
      </c>
      <c r="Y1663" s="270">
        <v>163</v>
      </c>
      <c r="Z1663" s="45" t="b">
        <v>1</v>
      </c>
      <c r="AA1663" s="45" t="s">
        <v>38</v>
      </c>
      <c r="AB1663" s="45" t="s">
        <v>38</v>
      </c>
    </row>
    <row r="1664" spans="1:28" x14ac:dyDescent="0.2">
      <c r="A1664" s="96" t="s">
        <v>191</v>
      </c>
      <c r="B1664" s="96" t="s">
        <v>193</v>
      </c>
      <c r="C1664" s="277">
        <v>44763</v>
      </c>
      <c r="D1664" s="277">
        <v>44793</v>
      </c>
      <c r="E1664" s="270" t="s">
        <v>267</v>
      </c>
      <c r="F1664" s="133" t="s">
        <v>34</v>
      </c>
      <c r="G1664" s="96" t="s">
        <v>80</v>
      </c>
      <c r="H1664" s="272" t="s">
        <v>71</v>
      </c>
      <c r="I1664" s="273">
        <v>20</v>
      </c>
      <c r="J1664" s="270">
        <v>1502</v>
      </c>
      <c r="K1664" s="270">
        <f t="shared" si="0"/>
        <v>30040</v>
      </c>
      <c r="L1664" s="270">
        <v>17898</v>
      </c>
      <c r="M1664" s="270">
        <v>-2940</v>
      </c>
      <c r="N1664" s="274">
        <v>1410.87</v>
      </c>
      <c r="O1664" s="55"/>
      <c r="P1664" s="105">
        <v>1411</v>
      </c>
      <c r="Q1664" s="270">
        <v>-1173</v>
      </c>
      <c r="R1664" s="275">
        <v>8.3000000000000001E-4</v>
      </c>
      <c r="S1664" s="270">
        <v>-1148</v>
      </c>
      <c r="T1664" s="270">
        <v>263</v>
      </c>
      <c r="U1664" s="57">
        <v>1</v>
      </c>
      <c r="V1664" s="276">
        <v>0.25</v>
      </c>
      <c r="W1664" s="276">
        <v>0</v>
      </c>
      <c r="X1664" s="270">
        <v>197</v>
      </c>
      <c r="Y1664" s="270">
        <v>66</v>
      </c>
      <c r="Z1664" s="45" t="b">
        <v>1</v>
      </c>
      <c r="AA1664" s="45" t="s">
        <v>38</v>
      </c>
      <c r="AB1664" s="45" t="s">
        <v>38</v>
      </c>
    </row>
    <row r="1665" spans="1:28" x14ac:dyDescent="0.2">
      <c r="A1665" s="96" t="s">
        <v>195</v>
      </c>
      <c r="B1665" s="96" t="s">
        <v>195</v>
      </c>
      <c r="C1665" s="277">
        <v>44763</v>
      </c>
      <c r="D1665" s="277">
        <v>44793</v>
      </c>
      <c r="E1665" s="96" t="s">
        <v>267</v>
      </c>
      <c r="F1665" s="96" t="s">
        <v>34</v>
      </c>
      <c r="G1665" s="270" t="s">
        <v>35</v>
      </c>
      <c r="H1665" s="289" t="s">
        <v>39</v>
      </c>
      <c r="I1665" s="280">
        <v>5</v>
      </c>
      <c r="J1665" s="279">
        <v>6</v>
      </c>
      <c r="K1665" s="270">
        <f t="shared" si="0"/>
        <v>30</v>
      </c>
      <c r="L1665" s="279">
        <v>973</v>
      </c>
      <c r="M1665" s="279">
        <v>10</v>
      </c>
      <c r="N1665" s="274">
        <v>1</v>
      </c>
      <c r="O1665" s="55"/>
      <c r="P1665" s="45">
        <v>1</v>
      </c>
      <c r="Q1665" s="279">
        <v>6</v>
      </c>
      <c r="R1665" s="275">
        <v>8.3000000000000001E-4</v>
      </c>
      <c r="S1665" s="279">
        <v>6</v>
      </c>
      <c r="T1665" s="279">
        <v>7</v>
      </c>
      <c r="U1665" s="57">
        <v>0.996</v>
      </c>
      <c r="V1665" s="276">
        <v>0.3</v>
      </c>
      <c r="W1665" s="276">
        <v>0</v>
      </c>
      <c r="X1665" s="279">
        <v>5</v>
      </c>
      <c r="Y1665" s="279">
        <v>2</v>
      </c>
      <c r="Z1665" s="45" t="b">
        <v>1</v>
      </c>
      <c r="AA1665" s="45" t="s">
        <v>50</v>
      </c>
      <c r="AB1665" s="45" t="s">
        <v>38</v>
      </c>
    </row>
    <row r="1666" spans="1:28" x14ac:dyDescent="0.2">
      <c r="A1666" s="96" t="s">
        <v>195</v>
      </c>
      <c r="B1666" s="96" t="s">
        <v>195</v>
      </c>
      <c r="C1666" s="277">
        <v>44763</v>
      </c>
      <c r="D1666" s="277">
        <v>44793</v>
      </c>
      <c r="E1666" s="270" t="s">
        <v>267</v>
      </c>
      <c r="F1666" s="96" t="s">
        <v>34</v>
      </c>
      <c r="G1666" s="270" t="s">
        <v>35</v>
      </c>
      <c r="H1666" s="289" t="s">
        <v>40</v>
      </c>
      <c r="I1666" s="280">
        <v>10</v>
      </c>
      <c r="J1666" s="279">
        <v>12</v>
      </c>
      <c r="K1666" s="270">
        <f t="shared" si="0"/>
        <v>120</v>
      </c>
      <c r="L1666" s="279">
        <v>2049</v>
      </c>
      <c r="M1666" s="279">
        <v>-20</v>
      </c>
      <c r="N1666" s="274">
        <v>3</v>
      </c>
      <c r="O1666" s="55"/>
      <c r="P1666" s="45">
        <v>3</v>
      </c>
      <c r="Q1666" s="279">
        <v>29</v>
      </c>
      <c r="R1666" s="275">
        <v>8.3000000000000001E-4</v>
      </c>
      <c r="S1666" s="279">
        <v>29</v>
      </c>
      <c r="T1666" s="279">
        <v>32</v>
      </c>
      <c r="U1666" s="57">
        <v>0.996</v>
      </c>
      <c r="V1666" s="276">
        <v>0.3</v>
      </c>
      <c r="W1666" s="276">
        <v>0</v>
      </c>
      <c r="X1666" s="279">
        <v>22</v>
      </c>
      <c r="Y1666" s="279">
        <v>10</v>
      </c>
      <c r="Z1666" s="45" t="b">
        <v>1</v>
      </c>
      <c r="AA1666" s="45" t="s">
        <v>50</v>
      </c>
      <c r="AB1666" s="45" t="s">
        <v>38</v>
      </c>
    </row>
    <row r="1667" spans="1:28" x14ac:dyDescent="0.2">
      <c r="A1667" s="96" t="s">
        <v>195</v>
      </c>
      <c r="B1667" s="96" t="s">
        <v>195</v>
      </c>
      <c r="C1667" s="277">
        <v>44763</v>
      </c>
      <c r="D1667" s="277">
        <v>44793</v>
      </c>
      <c r="E1667" s="270" t="s">
        <v>267</v>
      </c>
      <c r="F1667" s="96" t="s">
        <v>34</v>
      </c>
      <c r="G1667" s="270" t="s">
        <v>35</v>
      </c>
      <c r="H1667" s="289" t="s">
        <v>46</v>
      </c>
      <c r="I1667" s="280">
        <v>25</v>
      </c>
      <c r="J1667" s="279">
        <v>1250</v>
      </c>
      <c r="K1667" s="270">
        <f t="shared" si="0"/>
        <v>31250</v>
      </c>
      <c r="L1667" s="279">
        <v>44115</v>
      </c>
      <c r="M1667" s="279">
        <v>1025</v>
      </c>
      <c r="N1667" s="274">
        <v>718</v>
      </c>
      <c r="O1667" s="55"/>
      <c r="P1667" s="45">
        <v>718</v>
      </c>
      <c r="Q1667" s="279">
        <v>45</v>
      </c>
      <c r="R1667" s="275">
        <v>8.3000000000000001E-4</v>
      </c>
      <c r="S1667" s="279">
        <v>71</v>
      </c>
      <c r="T1667" s="279">
        <v>789</v>
      </c>
      <c r="U1667" s="57">
        <v>0.996</v>
      </c>
      <c r="V1667" s="276">
        <v>0.3</v>
      </c>
      <c r="W1667" s="276">
        <v>0</v>
      </c>
      <c r="X1667" s="279">
        <v>550</v>
      </c>
      <c r="Y1667" s="279">
        <v>236</v>
      </c>
      <c r="Z1667" s="45" t="b">
        <v>1</v>
      </c>
      <c r="AA1667" s="45" t="s">
        <v>50</v>
      </c>
      <c r="AB1667" s="45" t="s">
        <v>38</v>
      </c>
    </row>
    <row r="1668" spans="1:28" x14ac:dyDescent="0.2">
      <c r="A1668" s="96" t="s">
        <v>195</v>
      </c>
      <c r="B1668" s="96" t="s">
        <v>195</v>
      </c>
      <c r="C1668" s="277">
        <v>44763</v>
      </c>
      <c r="D1668" s="277">
        <v>44793</v>
      </c>
      <c r="E1668" s="270" t="s">
        <v>267</v>
      </c>
      <c r="F1668" s="96" t="s">
        <v>41</v>
      </c>
      <c r="G1668" s="270" t="s">
        <v>35</v>
      </c>
      <c r="H1668" s="289" t="s">
        <v>51</v>
      </c>
      <c r="I1668" s="273">
        <v>0.25</v>
      </c>
      <c r="J1668" s="270">
        <v>4</v>
      </c>
      <c r="K1668" s="270">
        <f t="shared" si="0"/>
        <v>1</v>
      </c>
      <c r="L1668" s="270"/>
      <c r="M1668" s="270">
        <v>0</v>
      </c>
      <c r="N1668" s="274"/>
      <c r="O1668" s="55"/>
      <c r="P1668" s="96"/>
      <c r="Q1668" s="270"/>
      <c r="R1668" s="275">
        <v>0</v>
      </c>
      <c r="S1668" s="270"/>
      <c r="T1668" s="270">
        <v>0</v>
      </c>
      <c r="U1668" s="57">
        <v>0.996</v>
      </c>
      <c r="V1668" s="276">
        <v>0.3</v>
      </c>
      <c r="W1668" s="276">
        <v>0</v>
      </c>
      <c r="X1668" s="270">
        <v>0</v>
      </c>
      <c r="Y1668" s="270">
        <v>0</v>
      </c>
      <c r="Z1668" s="45" t="b">
        <v>1</v>
      </c>
      <c r="AA1668" s="45" t="s">
        <v>50</v>
      </c>
      <c r="AB1668" s="45" t="s">
        <v>38</v>
      </c>
    </row>
    <row r="1669" spans="1:28" x14ac:dyDescent="0.2">
      <c r="A1669" s="96" t="s">
        <v>195</v>
      </c>
      <c r="B1669" s="96" t="s">
        <v>195</v>
      </c>
      <c r="C1669" s="277">
        <v>44763</v>
      </c>
      <c r="D1669" s="277">
        <v>44793</v>
      </c>
      <c r="E1669" s="270" t="s">
        <v>267</v>
      </c>
      <c r="F1669" s="96" t="s">
        <v>41</v>
      </c>
      <c r="G1669" s="270" t="s">
        <v>35</v>
      </c>
      <c r="H1669" s="289" t="s">
        <v>36</v>
      </c>
      <c r="I1669" s="273">
        <v>2</v>
      </c>
      <c r="J1669" s="270">
        <v>2</v>
      </c>
      <c r="K1669" s="270">
        <f t="shared" si="0"/>
        <v>4</v>
      </c>
      <c r="L1669" s="270"/>
      <c r="M1669" s="270">
        <v>-4</v>
      </c>
      <c r="N1669" s="274"/>
      <c r="O1669" s="55"/>
      <c r="P1669" s="96"/>
      <c r="Q1669" s="270"/>
      <c r="R1669" s="275">
        <v>0</v>
      </c>
      <c r="S1669" s="270"/>
      <c r="T1669" s="270">
        <v>-4</v>
      </c>
      <c r="U1669" s="57">
        <v>0.996</v>
      </c>
      <c r="V1669" s="276">
        <v>0.3</v>
      </c>
      <c r="W1669" s="276">
        <v>0</v>
      </c>
      <c r="X1669" s="270">
        <v>-3</v>
      </c>
      <c r="Y1669" s="270">
        <v>-1</v>
      </c>
      <c r="Z1669" s="45" t="b">
        <v>1</v>
      </c>
      <c r="AA1669" s="45" t="s">
        <v>50</v>
      </c>
      <c r="AB1669" s="45" t="s">
        <v>38</v>
      </c>
    </row>
    <row r="1670" spans="1:28" x14ac:dyDescent="0.2">
      <c r="A1670" s="96" t="s">
        <v>124</v>
      </c>
      <c r="B1670" s="96" t="s">
        <v>124</v>
      </c>
      <c r="C1670" s="277">
        <v>44763</v>
      </c>
      <c r="D1670" s="277">
        <v>44793</v>
      </c>
      <c r="E1670" s="270" t="s">
        <v>267</v>
      </c>
      <c r="F1670" s="96" t="s">
        <v>34</v>
      </c>
      <c r="G1670" s="270" t="s">
        <v>35</v>
      </c>
      <c r="H1670" s="272" t="s">
        <v>90</v>
      </c>
      <c r="I1670" s="273">
        <v>5</v>
      </c>
      <c r="J1670" s="270">
        <v>2</v>
      </c>
      <c r="K1670" s="270">
        <f t="shared" si="0"/>
        <v>10</v>
      </c>
      <c r="L1670" s="270">
        <v>167</v>
      </c>
      <c r="M1670" s="270">
        <v>-10</v>
      </c>
      <c r="N1670" s="274">
        <v>1</v>
      </c>
      <c r="O1670" s="55"/>
      <c r="P1670" s="45">
        <v>1</v>
      </c>
      <c r="Q1670" s="270">
        <v>2</v>
      </c>
      <c r="R1670" s="275">
        <v>8.3000000000000001E-4</v>
      </c>
      <c r="S1670" s="270">
        <v>2</v>
      </c>
      <c r="T1670" s="270">
        <v>3</v>
      </c>
      <c r="U1670" s="57">
        <v>1</v>
      </c>
      <c r="V1670" s="276">
        <v>0.12</v>
      </c>
      <c r="W1670" s="276">
        <v>0</v>
      </c>
      <c r="X1670" s="270">
        <v>2</v>
      </c>
      <c r="Y1670" s="270">
        <v>0</v>
      </c>
      <c r="Z1670" s="45" t="b">
        <v>1</v>
      </c>
      <c r="AA1670" s="45" t="s">
        <v>38</v>
      </c>
      <c r="AB1670" s="45" t="s">
        <v>38</v>
      </c>
    </row>
    <row r="1671" spans="1:28" x14ac:dyDescent="0.2">
      <c r="A1671" s="96" t="s">
        <v>124</v>
      </c>
      <c r="B1671" s="96" t="s">
        <v>124</v>
      </c>
      <c r="C1671" s="277">
        <v>44763</v>
      </c>
      <c r="D1671" s="277">
        <v>44793</v>
      </c>
      <c r="E1671" s="270" t="s">
        <v>267</v>
      </c>
      <c r="F1671" s="96" t="s">
        <v>34</v>
      </c>
      <c r="G1671" s="270" t="s">
        <v>35</v>
      </c>
      <c r="H1671" s="272" t="s">
        <v>115</v>
      </c>
      <c r="I1671" s="273">
        <v>10</v>
      </c>
      <c r="J1671" s="270">
        <v>5891</v>
      </c>
      <c r="K1671" s="270">
        <f t="shared" si="0"/>
        <v>58910</v>
      </c>
      <c r="L1671" s="270">
        <v>77583</v>
      </c>
      <c r="M1671" s="270">
        <v>-2830</v>
      </c>
      <c r="N1671" s="274">
        <v>3046</v>
      </c>
      <c r="O1671" s="55"/>
      <c r="P1671" s="105">
        <v>3046</v>
      </c>
      <c r="Q1671" s="270">
        <v>-1987</v>
      </c>
      <c r="R1671" s="275">
        <v>8.3000000000000001E-4</v>
      </c>
      <c r="S1671" s="270">
        <v>-1939</v>
      </c>
      <c r="T1671" s="270">
        <v>1107</v>
      </c>
      <c r="U1671" s="57">
        <v>1</v>
      </c>
      <c r="V1671" s="276">
        <v>0.12</v>
      </c>
      <c r="W1671" s="276">
        <v>0</v>
      </c>
      <c r="X1671" s="270">
        <v>975</v>
      </c>
      <c r="Y1671" s="270">
        <v>133</v>
      </c>
      <c r="Z1671" s="45" t="b">
        <v>1</v>
      </c>
      <c r="AA1671" s="45" t="s">
        <v>38</v>
      </c>
      <c r="AB1671" s="45" t="s">
        <v>38</v>
      </c>
    </row>
    <row r="1672" spans="1:28" x14ac:dyDescent="0.2">
      <c r="A1672" s="96" t="s">
        <v>124</v>
      </c>
      <c r="B1672" s="96" t="s">
        <v>124</v>
      </c>
      <c r="C1672" s="277">
        <v>44763</v>
      </c>
      <c r="D1672" s="277">
        <v>44793</v>
      </c>
      <c r="E1672" s="270" t="s">
        <v>267</v>
      </c>
      <c r="F1672" s="96" t="s">
        <v>34</v>
      </c>
      <c r="G1672" s="270" t="s">
        <v>35</v>
      </c>
      <c r="H1672" s="272" t="s">
        <v>87</v>
      </c>
      <c r="I1672" s="273">
        <v>25</v>
      </c>
      <c r="J1672" s="270">
        <v>10950</v>
      </c>
      <c r="K1672" s="270">
        <f t="shared" si="0"/>
        <v>273750</v>
      </c>
      <c r="L1672" s="270">
        <v>149043</v>
      </c>
      <c r="M1672" s="270">
        <v>-5650</v>
      </c>
      <c r="N1672" s="274">
        <v>12133</v>
      </c>
      <c r="O1672" s="55"/>
      <c r="P1672" s="105">
        <v>12133</v>
      </c>
      <c r="Q1672" s="270">
        <v>-6005</v>
      </c>
      <c r="R1672" s="275">
        <v>8.3000000000000001E-4</v>
      </c>
      <c r="S1672" s="270">
        <v>-5777</v>
      </c>
      <c r="T1672" s="270">
        <v>6356</v>
      </c>
      <c r="U1672" s="57">
        <v>1</v>
      </c>
      <c r="V1672" s="276">
        <v>0.12</v>
      </c>
      <c r="W1672" s="276">
        <v>0</v>
      </c>
      <c r="X1672" s="270">
        <v>5593</v>
      </c>
      <c r="Y1672" s="270">
        <v>763</v>
      </c>
      <c r="Z1672" s="45" t="b">
        <v>1</v>
      </c>
      <c r="AA1672" s="45" t="s">
        <v>38</v>
      </c>
      <c r="AB1672" s="45" t="s">
        <v>38</v>
      </c>
    </row>
    <row r="1673" spans="1:28" x14ac:dyDescent="0.2">
      <c r="A1673" s="96" t="s">
        <v>124</v>
      </c>
      <c r="B1673" s="96" t="s">
        <v>124</v>
      </c>
      <c r="C1673" s="277">
        <v>44763</v>
      </c>
      <c r="D1673" s="277">
        <v>44793</v>
      </c>
      <c r="E1673" s="270" t="s">
        <v>267</v>
      </c>
      <c r="F1673" s="96" t="s">
        <v>34</v>
      </c>
      <c r="G1673" s="270" t="s">
        <v>35</v>
      </c>
      <c r="H1673" s="272" t="s">
        <v>85</v>
      </c>
      <c r="I1673" s="273">
        <v>50</v>
      </c>
      <c r="J1673" s="270">
        <v>1160</v>
      </c>
      <c r="K1673" s="270">
        <f t="shared" si="0"/>
        <v>58000</v>
      </c>
      <c r="L1673" s="270">
        <v>24135</v>
      </c>
      <c r="M1673" s="270">
        <v>-1000</v>
      </c>
      <c r="N1673" s="274">
        <v>2570</v>
      </c>
      <c r="O1673" s="55"/>
      <c r="P1673" s="105">
        <v>2570</v>
      </c>
      <c r="Q1673" s="270">
        <v>17</v>
      </c>
      <c r="R1673" s="275">
        <v>8.3000000000000001E-4</v>
      </c>
      <c r="S1673" s="270">
        <v>66</v>
      </c>
      <c r="T1673" s="270">
        <v>2636</v>
      </c>
      <c r="U1673" s="57">
        <v>1</v>
      </c>
      <c r="V1673" s="276">
        <v>0.12</v>
      </c>
      <c r="W1673" s="276">
        <v>0</v>
      </c>
      <c r="X1673" s="270">
        <v>2319</v>
      </c>
      <c r="Y1673" s="270">
        <v>316</v>
      </c>
      <c r="Z1673" s="45" t="b">
        <v>1</v>
      </c>
      <c r="AA1673" s="45" t="s">
        <v>38</v>
      </c>
      <c r="AB1673" s="45" t="s">
        <v>38</v>
      </c>
    </row>
    <row r="1674" spans="1:28" x14ac:dyDescent="0.2">
      <c r="A1674" s="270" t="s">
        <v>600</v>
      </c>
      <c r="B1674" s="270" t="s">
        <v>116</v>
      </c>
      <c r="C1674" s="277">
        <v>44765</v>
      </c>
      <c r="D1674" s="277">
        <v>44793</v>
      </c>
      <c r="E1674" s="270" t="s">
        <v>267</v>
      </c>
      <c r="F1674" s="96" t="s">
        <v>34</v>
      </c>
      <c r="G1674" s="270" t="s">
        <v>80</v>
      </c>
      <c r="H1674" s="272" t="s">
        <v>72</v>
      </c>
      <c r="I1674" s="273">
        <v>50</v>
      </c>
      <c r="J1674" s="270">
        <v>6744</v>
      </c>
      <c r="K1674" s="270">
        <f t="shared" si="0"/>
        <v>337200</v>
      </c>
      <c r="L1674" s="270">
        <v>48104</v>
      </c>
      <c r="M1674" s="270">
        <v>-11650</v>
      </c>
      <c r="N1674" s="274">
        <v>17407</v>
      </c>
      <c r="O1674" s="55"/>
      <c r="P1674" s="105">
        <v>17407</v>
      </c>
      <c r="Q1674" s="270">
        <v>-17809</v>
      </c>
      <c r="R1674" s="275">
        <v>8.3000000000000001E-4</v>
      </c>
      <c r="S1674" s="270">
        <v>-17529</v>
      </c>
      <c r="T1674" s="270">
        <v>-122</v>
      </c>
      <c r="U1674" s="57">
        <v>1</v>
      </c>
      <c r="V1674" s="276">
        <v>0.3</v>
      </c>
      <c r="W1674" s="276">
        <v>0</v>
      </c>
      <c r="X1674" s="270">
        <v>-85</v>
      </c>
      <c r="Y1674" s="270">
        <v>-37</v>
      </c>
      <c r="Z1674" s="45" t="b">
        <v>1</v>
      </c>
      <c r="AA1674" s="45" t="s">
        <v>38</v>
      </c>
      <c r="AB1674" s="45" t="s">
        <v>38</v>
      </c>
    </row>
    <row r="1675" spans="1:28" x14ac:dyDescent="0.2">
      <c r="A1675" s="96" t="s">
        <v>206</v>
      </c>
      <c r="B1675" s="96" t="s">
        <v>206</v>
      </c>
      <c r="C1675" s="277">
        <v>44763</v>
      </c>
      <c r="D1675" s="277">
        <v>44793</v>
      </c>
      <c r="E1675" s="270" t="s">
        <v>267</v>
      </c>
      <c r="F1675" s="133" t="s">
        <v>34</v>
      </c>
      <c r="G1675" s="96" t="s">
        <v>35</v>
      </c>
      <c r="H1675" s="272" t="s">
        <v>39</v>
      </c>
      <c r="I1675" s="273">
        <v>5</v>
      </c>
      <c r="J1675" s="270">
        <v>1</v>
      </c>
      <c r="K1675" s="270">
        <f t="shared" si="0"/>
        <v>5</v>
      </c>
      <c r="L1675" s="270">
        <v>-62</v>
      </c>
      <c r="M1675" s="270">
        <v>-5</v>
      </c>
      <c r="N1675" s="274"/>
      <c r="O1675" s="55"/>
      <c r="P1675" s="96"/>
      <c r="Q1675" s="270">
        <v>-1</v>
      </c>
      <c r="R1675" s="275">
        <v>8.3000000000000001E-4</v>
      </c>
      <c r="S1675" s="270">
        <v>-1</v>
      </c>
      <c r="T1675" s="270">
        <v>-1</v>
      </c>
      <c r="U1675" s="57">
        <v>1</v>
      </c>
      <c r="V1675" s="276">
        <v>0.1</v>
      </c>
      <c r="W1675" s="276">
        <v>0</v>
      </c>
      <c r="X1675" s="270">
        <v>-1</v>
      </c>
      <c r="Y1675" s="270">
        <v>0</v>
      </c>
      <c r="Z1675" s="45" t="b">
        <v>1</v>
      </c>
      <c r="AA1675" s="45" t="s">
        <v>38</v>
      </c>
      <c r="AB1675" s="45" t="s">
        <v>38</v>
      </c>
    </row>
    <row r="1676" spans="1:28" x14ac:dyDescent="0.2">
      <c r="A1676" s="96" t="s">
        <v>206</v>
      </c>
      <c r="B1676" s="96" t="s">
        <v>206</v>
      </c>
      <c r="C1676" s="277">
        <v>44763</v>
      </c>
      <c r="D1676" s="277">
        <v>44793</v>
      </c>
      <c r="E1676" s="270" t="s">
        <v>267</v>
      </c>
      <c r="F1676" s="133" t="s">
        <v>34</v>
      </c>
      <c r="G1676" s="96" t="s">
        <v>35</v>
      </c>
      <c r="H1676" s="272" t="s">
        <v>70</v>
      </c>
      <c r="I1676" s="273">
        <v>100</v>
      </c>
      <c r="J1676" s="270">
        <v>871</v>
      </c>
      <c r="K1676" s="270">
        <f t="shared" si="0"/>
        <v>87100</v>
      </c>
      <c r="L1676" s="270">
        <v>12674</v>
      </c>
      <c r="M1676" s="270">
        <v>-4900</v>
      </c>
      <c r="N1676" s="274">
        <v>3290</v>
      </c>
      <c r="O1676" s="55"/>
      <c r="P1676" s="105">
        <v>3290</v>
      </c>
      <c r="Q1676" s="270">
        <v>-2328</v>
      </c>
      <c r="R1676" s="275">
        <v>8.3000000000000001E-4</v>
      </c>
      <c r="S1676" s="270">
        <v>-2256</v>
      </c>
      <c r="T1676" s="270">
        <v>1034</v>
      </c>
      <c r="U1676" s="57">
        <v>1</v>
      </c>
      <c r="V1676" s="276">
        <v>0.1</v>
      </c>
      <c r="W1676" s="276">
        <v>0</v>
      </c>
      <c r="X1676" s="270">
        <v>931</v>
      </c>
      <c r="Y1676" s="270">
        <v>103</v>
      </c>
      <c r="Z1676" s="45" t="b">
        <v>1</v>
      </c>
      <c r="AA1676" s="45" t="s">
        <v>38</v>
      </c>
      <c r="AB1676" s="45" t="s">
        <v>38</v>
      </c>
    </row>
    <row r="1677" spans="1:28" x14ac:dyDescent="0.2">
      <c r="A1677" s="96" t="s">
        <v>206</v>
      </c>
      <c r="B1677" s="96" t="s">
        <v>206</v>
      </c>
      <c r="C1677" s="277">
        <v>44763</v>
      </c>
      <c r="D1677" s="277">
        <v>44793</v>
      </c>
      <c r="E1677" s="270" t="s">
        <v>267</v>
      </c>
      <c r="F1677" s="133" t="s">
        <v>34</v>
      </c>
      <c r="G1677" s="96" t="s">
        <v>35</v>
      </c>
      <c r="H1677" s="272" t="s">
        <v>84</v>
      </c>
      <c r="I1677" s="273">
        <v>100</v>
      </c>
      <c r="J1677" s="270">
        <v>681</v>
      </c>
      <c r="K1677" s="270">
        <f t="shared" si="0"/>
        <v>68100</v>
      </c>
      <c r="L1677" s="270">
        <v>1732</v>
      </c>
      <c r="M1677" s="270">
        <v>-3200</v>
      </c>
      <c r="N1677" s="274">
        <v>2572</v>
      </c>
      <c r="O1677" s="55"/>
      <c r="P1677" s="105">
        <v>2572</v>
      </c>
      <c r="Q1677" s="270">
        <v>-3136</v>
      </c>
      <c r="R1677" s="275">
        <v>8.3000000000000001E-4</v>
      </c>
      <c r="S1677" s="270">
        <v>-3080</v>
      </c>
      <c r="T1677" s="270">
        <v>-508</v>
      </c>
      <c r="U1677" s="57">
        <v>1</v>
      </c>
      <c r="V1677" s="276">
        <v>0.1</v>
      </c>
      <c r="W1677" s="276">
        <v>0</v>
      </c>
      <c r="X1677" s="270">
        <v>-457</v>
      </c>
      <c r="Y1677" s="270">
        <v>-51</v>
      </c>
      <c r="Z1677" s="45" t="b">
        <v>1</v>
      </c>
      <c r="AA1677" s="45" t="s">
        <v>38</v>
      </c>
      <c r="AB1677" s="45" t="s">
        <v>38</v>
      </c>
    </row>
    <row r="1678" spans="1:28" x14ac:dyDescent="0.2">
      <c r="A1678" s="96" t="s">
        <v>206</v>
      </c>
      <c r="B1678" s="96" t="s">
        <v>206</v>
      </c>
      <c r="C1678" s="277">
        <v>44763</v>
      </c>
      <c r="D1678" s="277">
        <v>44793</v>
      </c>
      <c r="E1678" s="270" t="s">
        <v>267</v>
      </c>
      <c r="F1678" s="133" t="s">
        <v>34</v>
      </c>
      <c r="G1678" s="96" t="s">
        <v>35</v>
      </c>
      <c r="H1678" s="272" t="s">
        <v>88</v>
      </c>
      <c r="I1678" s="273">
        <v>250</v>
      </c>
      <c r="J1678" s="270">
        <v>832</v>
      </c>
      <c r="K1678" s="270">
        <f t="shared" si="0"/>
        <v>208000</v>
      </c>
      <c r="L1678" s="270">
        <v>32704</v>
      </c>
      <c r="M1678" s="270">
        <v>2750</v>
      </c>
      <c r="N1678" s="274">
        <v>7855</v>
      </c>
      <c r="O1678" s="55"/>
      <c r="P1678" s="105">
        <v>7855</v>
      </c>
      <c r="Q1678" s="270">
        <v>4631</v>
      </c>
      <c r="R1678" s="275">
        <v>8.3000000000000001E-4</v>
      </c>
      <c r="S1678" s="270">
        <v>4803</v>
      </c>
      <c r="T1678" s="270">
        <v>12658</v>
      </c>
      <c r="U1678" s="57">
        <v>1</v>
      </c>
      <c r="V1678" s="276">
        <v>0.1</v>
      </c>
      <c r="W1678" s="276">
        <v>0</v>
      </c>
      <c r="X1678" s="270">
        <v>11393</v>
      </c>
      <c r="Y1678" s="270">
        <v>1266</v>
      </c>
      <c r="Z1678" s="45" t="b">
        <v>1</v>
      </c>
      <c r="AA1678" s="45" t="s">
        <v>38</v>
      </c>
      <c r="AB1678" s="45" t="s">
        <v>38</v>
      </c>
    </row>
    <row r="1679" spans="1:28" x14ac:dyDescent="0.2">
      <c r="A1679" s="96" t="s">
        <v>206</v>
      </c>
      <c r="B1679" s="96" t="s">
        <v>206</v>
      </c>
      <c r="C1679" s="277">
        <v>44763</v>
      </c>
      <c r="D1679" s="277">
        <v>44793</v>
      </c>
      <c r="E1679" s="270" t="s">
        <v>267</v>
      </c>
      <c r="F1679" s="133" t="s">
        <v>34</v>
      </c>
      <c r="G1679" s="96" t="s">
        <v>35</v>
      </c>
      <c r="H1679" s="272" t="s">
        <v>148</v>
      </c>
      <c r="I1679" s="273">
        <v>250</v>
      </c>
      <c r="J1679" s="270">
        <v>380</v>
      </c>
      <c r="K1679" s="270">
        <f t="shared" si="0"/>
        <v>95000</v>
      </c>
      <c r="L1679" s="270">
        <v>-3148</v>
      </c>
      <c r="M1679" s="270">
        <v>-8500</v>
      </c>
      <c r="N1679" s="274">
        <v>3588</v>
      </c>
      <c r="O1679" s="55"/>
      <c r="P1679" s="105">
        <v>3588</v>
      </c>
      <c r="Q1679" s="270">
        <v>-7367</v>
      </c>
      <c r="R1679" s="275">
        <v>8.3000000000000001E-4</v>
      </c>
      <c r="S1679" s="270">
        <v>-7288</v>
      </c>
      <c r="T1679" s="270">
        <v>-3700</v>
      </c>
      <c r="U1679" s="57">
        <v>1</v>
      </c>
      <c r="V1679" s="276">
        <v>0.1</v>
      </c>
      <c r="W1679" s="276">
        <v>0</v>
      </c>
      <c r="X1679" s="270">
        <v>-3330</v>
      </c>
      <c r="Y1679" s="270">
        <v>-370</v>
      </c>
      <c r="Z1679" s="45" t="b">
        <v>1</v>
      </c>
      <c r="AA1679" s="45" t="s">
        <v>38</v>
      </c>
      <c r="AB1679" s="45" t="s">
        <v>38</v>
      </c>
    </row>
    <row r="1680" spans="1:28" x14ac:dyDescent="0.2">
      <c r="A1680" s="270" t="s">
        <v>58</v>
      </c>
      <c r="B1680" s="270" t="s">
        <v>48</v>
      </c>
      <c r="C1680" s="277">
        <v>44774</v>
      </c>
      <c r="D1680" s="277">
        <v>44804</v>
      </c>
      <c r="E1680" s="270" t="s">
        <v>267</v>
      </c>
      <c r="F1680" s="133" t="s">
        <v>49</v>
      </c>
      <c r="G1680" s="270" t="s">
        <v>35</v>
      </c>
      <c r="H1680" s="270" t="s">
        <v>40</v>
      </c>
      <c r="I1680" s="273">
        <v>10</v>
      </c>
      <c r="J1680" s="270">
        <v>2938</v>
      </c>
      <c r="K1680" s="270">
        <f t="shared" si="0"/>
        <v>29380</v>
      </c>
      <c r="L1680" s="270">
        <v>194942</v>
      </c>
      <c r="M1680" s="270">
        <v>1220</v>
      </c>
      <c r="N1680" s="274">
        <v>1541</v>
      </c>
      <c r="O1680" s="55"/>
      <c r="P1680" s="105">
        <v>1541</v>
      </c>
      <c r="Q1680" s="270">
        <v>1388</v>
      </c>
      <c r="R1680" s="275">
        <v>-7.3899999999999997E-4</v>
      </c>
      <c r="S1680" s="270">
        <v>1366</v>
      </c>
      <c r="T1680" s="270">
        <v>2907</v>
      </c>
      <c r="U1680" s="57">
        <v>1</v>
      </c>
      <c r="V1680" s="276">
        <v>0.17</v>
      </c>
      <c r="W1680" s="276">
        <v>0</v>
      </c>
      <c r="X1680" s="270">
        <v>2413</v>
      </c>
      <c r="Y1680" s="270">
        <v>494</v>
      </c>
      <c r="Z1680" s="45" t="b">
        <v>1</v>
      </c>
      <c r="AA1680" s="45" t="s">
        <v>50</v>
      </c>
      <c r="AB1680" s="45" t="s">
        <v>38</v>
      </c>
    </row>
    <row r="1681" spans="1:28" x14ac:dyDescent="0.2">
      <c r="A1681" s="270" t="s">
        <v>58</v>
      </c>
      <c r="B1681" s="270" t="s">
        <v>48</v>
      </c>
      <c r="C1681" s="277">
        <v>44774</v>
      </c>
      <c r="D1681" s="277">
        <v>44804</v>
      </c>
      <c r="E1681" s="270" t="s">
        <v>267</v>
      </c>
      <c r="F1681" s="133" t="s">
        <v>49</v>
      </c>
      <c r="G1681" s="270" t="s">
        <v>35</v>
      </c>
      <c r="H1681" s="270" t="s">
        <v>46</v>
      </c>
      <c r="I1681" s="273">
        <v>25</v>
      </c>
      <c r="J1681" s="270">
        <v>1277</v>
      </c>
      <c r="K1681" s="270">
        <f t="shared" si="0"/>
        <v>31925</v>
      </c>
      <c r="L1681" s="270">
        <v>38812</v>
      </c>
      <c r="M1681" s="270">
        <v>3775</v>
      </c>
      <c r="N1681" s="274">
        <v>1435</v>
      </c>
      <c r="O1681" s="55"/>
      <c r="P1681" s="105">
        <v>1435</v>
      </c>
      <c r="Q1681" s="270">
        <v>-258</v>
      </c>
      <c r="R1681" s="275">
        <v>-7.2099999999999996E-4</v>
      </c>
      <c r="S1681" s="270">
        <v>-281</v>
      </c>
      <c r="T1681" s="270">
        <v>1154</v>
      </c>
      <c r="U1681" s="57">
        <v>1</v>
      </c>
      <c r="V1681" s="276">
        <v>0.17</v>
      </c>
      <c r="W1681" s="276">
        <v>0</v>
      </c>
      <c r="X1681" s="270">
        <v>958</v>
      </c>
      <c r="Y1681" s="270">
        <v>196</v>
      </c>
      <c r="Z1681" s="45" t="b">
        <v>1</v>
      </c>
      <c r="AA1681" s="45" t="s">
        <v>50</v>
      </c>
      <c r="AB1681" s="45" t="s">
        <v>38</v>
      </c>
    </row>
    <row r="1682" spans="1:28" x14ac:dyDescent="0.2">
      <c r="A1682" s="270" t="s">
        <v>58</v>
      </c>
      <c r="B1682" s="270" t="s">
        <v>48</v>
      </c>
      <c r="C1682" s="277">
        <v>44774</v>
      </c>
      <c r="D1682" s="277">
        <v>44804</v>
      </c>
      <c r="E1682" s="270" t="s">
        <v>267</v>
      </c>
      <c r="F1682" s="133" t="s">
        <v>41</v>
      </c>
      <c r="G1682" s="270" t="s">
        <v>35</v>
      </c>
      <c r="H1682" s="272" t="s">
        <v>42</v>
      </c>
      <c r="I1682" s="273">
        <v>1</v>
      </c>
      <c r="J1682" s="270">
        <v>20</v>
      </c>
      <c r="K1682" s="270">
        <f t="shared" si="0"/>
        <v>20</v>
      </c>
      <c r="L1682" s="270"/>
      <c r="M1682" s="270">
        <v>1</v>
      </c>
      <c r="N1682" s="274">
        <v>1</v>
      </c>
      <c r="O1682" s="55"/>
      <c r="P1682" s="45">
        <v>1</v>
      </c>
      <c r="Q1682" s="270"/>
      <c r="R1682" s="275">
        <v>0</v>
      </c>
      <c r="S1682" s="270"/>
      <c r="T1682" s="270">
        <v>2</v>
      </c>
      <c r="U1682" s="57">
        <v>1</v>
      </c>
      <c r="V1682" s="276">
        <v>0.17</v>
      </c>
      <c r="W1682" s="276">
        <v>0</v>
      </c>
      <c r="X1682" s="270">
        <v>2</v>
      </c>
      <c r="Y1682" s="270">
        <v>0</v>
      </c>
      <c r="Z1682" s="45" t="b">
        <v>1</v>
      </c>
      <c r="AA1682" s="45" t="s">
        <v>50</v>
      </c>
      <c r="AB1682" s="45" t="s">
        <v>38</v>
      </c>
    </row>
    <row r="1683" spans="1:28" x14ac:dyDescent="0.2">
      <c r="A1683" s="270" t="s">
        <v>58</v>
      </c>
      <c r="B1683" s="270" t="s">
        <v>48</v>
      </c>
      <c r="C1683" s="277">
        <v>44774</v>
      </c>
      <c r="D1683" s="277">
        <v>44804</v>
      </c>
      <c r="E1683" s="270" t="s">
        <v>267</v>
      </c>
      <c r="F1683" s="133" t="s">
        <v>41</v>
      </c>
      <c r="G1683" s="270" t="s">
        <v>35</v>
      </c>
      <c r="H1683" s="270" t="s">
        <v>39</v>
      </c>
      <c r="I1683" s="273">
        <v>5</v>
      </c>
      <c r="J1683" s="270">
        <v>5</v>
      </c>
      <c r="K1683" s="270">
        <f t="shared" si="0"/>
        <v>25</v>
      </c>
      <c r="L1683" s="270"/>
      <c r="M1683" s="270">
        <v>-25</v>
      </c>
      <c r="N1683" s="274">
        <v>2</v>
      </c>
      <c r="O1683" s="55"/>
      <c r="P1683" s="45">
        <v>2</v>
      </c>
      <c r="Q1683" s="270"/>
      <c r="R1683" s="275">
        <v>0</v>
      </c>
      <c r="S1683" s="270"/>
      <c r="T1683" s="270">
        <v>-23</v>
      </c>
      <c r="U1683" s="57">
        <v>1</v>
      </c>
      <c r="V1683" s="276">
        <v>0.17</v>
      </c>
      <c r="W1683" s="276">
        <v>0</v>
      </c>
      <c r="X1683" s="270">
        <v>-19</v>
      </c>
      <c r="Y1683" s="270">
        <v>-4</v>
      </c>
      <c r="Z1683" s="45" t="b">
        <v>1</v>
      </c>
      <c r="AA1683" s="45" t="s">
        <v>50</v>
      </c>
      <c r="AB1683" s="45" t="s">
        <v>38</v>
      </c>
    </row>
    <row r="1684" spans="1:28" x14ac:dyDescent="0.2">
      <c r="A1684" s="270" t="s">
        <v>58</v>
      </c>
      <c r="B1684" s="270" t="s">
        <v>48</v>
      </c>
      <c r="C1684" s="277">
        <v>44774</v>
      </c>
      <c r="D1684" s="277">
        <v>44804</v>
      </c>
      <c r="E1684" s="270" t="s">
        <v>267</v>
      </c>
      <c r="F1684" s="133" t="s">
        <v>41</v>
      </c>
      <c r="G1684" s="270" t="s">
        <v>35</v>
      </c>
      <c r="H1684" s="272" t="s">
        <v>45</v>
      </c>
      <c r="I1684" s="273">
        <v>0.25</v>
      </c>
      <c r="J1684" s="270">
        <v>12</v>
      </c>
      <c r="K1684" s="270">
        <f t="shared" si="0"/>
        <v>3</v>
      </c>
      <c r="L1684" s="270"/>
      <c r="M1684" s="270">
        <v>-1</v>
      </c>
      <c r="N1684" s="274"/>
      <c r="O1684" s="55"/>
      <c r="P1684" s="96"/>
      <c r="Q1684" s="270"/>
      <c r="R1684" s="275">
        <v>0</v>
      </c>
      <c r="S1684" s="270"/>
      <c r="T1684" s="270">
        <v>-1</v>
      </c>
      <c r="U1684" s="57">
        <v>1</v>
      </c>
      <c r="V1684" s="276">
        <v>0.17</v>
      </c>
      <c r="W1684" s="276">
        <v>0</v>
      </c>
      <c r="X1684" s="270">
        <v>-1</v>
      </c>
      <c r="Y1684" s="270">
        <v>0</v>
      </c>
      <c r="Z1684" s="45" t="b">
        <v>1</v>
      </c>
      <c r="AA1684" s="45" t="s">
        <v>50</v>
      </c>
      <c r="AB1684" s="45" t="s">
        <v>38</v>
      </c>
    </row>
    <row r="1685" spans="1:28" x14ac:dyDescent="0.2">
      <c r="A1685" s="270" t="s">
        <v>58</v>
      </c>
      <c r="B1685" s="270" t="s">
        <v>48</v>
      </c>
      <c r="C1685" s="277">
        <v>44774</v>
      </c>
      <c r="D1685" s="277">
        <v>44804</v>
      </c>
      <c r="E1685" s="270" t="s">
        <v>267</v>
      </c>
      <c r="F1685" s="133" t="s">
        <v>41</v>
      </c>
      <c r="G1685" s="270" t="s">
        <v>35</v>
      </c>
      <c r="H1685" s="272" t="s">
        <v>36</v>
      </c>
      <c r="I1685" s="273">
        <v>2</v>
      </c>
      <c r="J1685" s="270">
        <v>2</v>
      </c>
      <c r="K1685" s="270">
        <f t="shared" si="0"/>
        <v>4</v>
      </c>
      <c r="L1685" s="270"/>
      <c r="M1685" s="270">
        <v>-4</v>
      </c>
      <c r="N1685" s="274"/>
      <c r="O1685" s="55"/>
      <c r="P1685" s="96"/>
      <c r="Q1685" s="270"/>
      <c r="R1685" s="275">
        <v>0</v>
      </c>
      <c r="S1685" s="270"/>
      <c r="T1685" s="270">
        <v>-4</v>
      </c>
      <c r="U1685" s="57">
        <v>1</v>
      </c>
      <c r="V1685" s="276">
        <v>0.17</v>
      </c>
      <c r="W1685" s="276">
        <v>0</v>
      </c>
      <c r="X1685" s="270">
        <v>-3</v>
      </c>
      <c r="Y1685" s="270">
        <v>-1</v>
      </c>
      <c r="Z1685" s="45" t="b">
        <v>1</v>
      </c>
      <c r="AA1685" s="45" t="s">
        <v>50</v>
      </c>
      <c r="AB1685" s="45" t="s">
        <v>38</v>
      </c>
    </row>
    <row r="1686" spans="1:28" x14ac:dyDescent="0.2">
      <c r="A1686" s="270" t="s">
        <v>58</v>
      </c>
      <c r="B1686" s="270" t="s">
        <v>48</v>
      </c>
      <c r="C1686" s="277">
        <v>44774</v>
      </c>
      <c r="D1686" s="277">
        <v>44804</v>
      </c>
      <c r="E1686" s="270" t="s">
        <v>267</v>
      </c>
      <c r="F1686" s="133" t="s">
        <v>41</v>
      </c>
      <c r="G1686" s="270" t="s">
        <v>35</v>
      </c>
      <c r="H1686" s="272" t="s">
        <v>51</v>
      </c>
      <c r="I1686" s="273">
        <v>0.25</v>
      </c>
      <c r="J1686" s="270">
        <v>2</v>
      </c>
      <c r="K1686" s="270">
        <f t="shared" si="0"/>
        <v>0.5</v>
      </c>
      <c r="L1686" s="270"/>
      <c r="M1686" s="270">
        <v>0</v>
      </c>
      <c r="N1686" s="274"/>
      <c r="O1686" s="55"/>
      <c r="P1686" s="96"/>
      <c r="Q1686" s="270"/>
      <c r="R1686" s="275">
        <v>0</v>
      </c>
      <c r="S1686" s="270"/>
      <c r="T1686" s="270">
        <v>0</v>
      </c>
      <c r="U1686" s="57">
        <v>1</v>
      </c>
      <c r="V1686" s="276">
        <v>0.17</v>
      </c>
      <c r="W1686" s="276">
        <v>0</v>
      </c>
      <c r="X1686" s="270">
        <v>0</v>
      </c>
      <c r="Y1686" s="270">
        <v>0</v>
      </c>
      <c r="Z1686" s="45" t="b">
        <v>1</v>
      </c>
      <c r="AA1686" s="45" t="s">
        <v>50</v>
      </c>
      <c r="AB1686" s="45" t="s">
        <v>38</v>
      </c>
    </row>
    <row r="1687" spans="1:28" x14ac:dyDescent="0.2">
      <c r="A1687" s="279" t="s">
        <v>60</v>
      </c>
      <c r="B1687" s="279" t="s">
        <v>60</v>
      </c>
      <c r="C1687" s="282">
        <v>44774</v>
      </c>
      <c r="D1687" s="282">
        <v>44804</v>
      </c>
      <c r="E1687" s="279" t="s">
        <v>267</v>
      </c>
      <c r="F1687" s="133" t="s">
        <v>41</v>
      </c>
      <c r="G1687" s="279" t="s">
        <v>69</v>
      </c>
      <c r="H1687" s="289" t="s">
        <v>73</v>
      </c>
      <c r="I1687" s="280">
        <v>100</v>
      </c>
      <c r="J1687" s="279">
        <v>1</v>
      </c>
      <c r="K1687" s="270">
        <f t="shared" si="0"/>
        <v>100</v>
      </c>
      <c r="L1687" s="279">
        <f t="shared" ref="L1687:L1688" si="6">7*J1687</f>
        <v>7</v>
      </c>
      <c r="M1687" s="279">
        <v>-100</v>
      </c>
      <c r="N1687" s="281">
        <v>18.87</v>
      </c>
      <c r="O1687" s="55"/>
      <c r="P1687" s="45">
        <v>19</v>
      </c>
      <c r="Q1687" s="279">
        <v>-3</v>
      </c>
      <c r="R1687" s="275">
        <v>0</v>
      </c>
      <c r="S1687" s="279">
        <v>-3</v>
      </c>
      <c r="T1687" s="279">
        <v>-81</v>
      </c>
      <c r="U1687" s="57">
        <v>1.004</v>
      </c>
      <c r="V1687" s="290"/>
      <c r="W1687" s="276">
        <v>0</v>
      </c>
      <c r="X1687" s="279">
        <v>-81</v>
      </c>
      <c r="Y1687" s="279">
        <v>0</v>
      </c>
      <c r="Z1687" s="45" t="b">
        <v>0</v>
      </c>
      <c r="AA1687" s="45" t="s">
        <v>50</v>
      </c>
      <c r="AB1687" s="45" t="s">
        <v>38</v>
      </c>
    </row>
    <row r="1688" spans="1:28" x14ac:dyDescent="0.2">
      <c r="A1688" s="279" t="s">
        <v>60</v>
      </c>
      <c r="B1688" s="279" t="s">
        <v>60</v>
      </c>
      <c r="C1688" s="282">
        <v>44774</v>
      </c>
      <c r="D1688" s="282">
        <v>44804</v>
      </c>
      <c r="E1688" s="279" t="s">
        <v>267</v>
      </c>
      <c r="F1688" s="133" t="s">
        <v>41</v>
      </c>
      <c r="G1688" s="279" t="s">
        <v>69</v>
      </c>
      <c r="H1688" s="289" t="s">
        <v>75</v>
      </c>
      <c r="I1688" s="280">
        <v>20</v>
      </c>
      <c r="J1688" s="279">
        <v>2332</v>
      </c>
      <c r="K1688" s="270">
        <f t="shared" si="0"/>
        <v>46640</v>
      </c>
      <c r="L1688" s="279">
        <f t="shared" si="6"/>
        <v>16324</v>
      </c>
      <c r="M1688" s="279">
        <v>-2640</v>
      </c>
      <c r="N1688" s="281">
        <v>1515.1</v>
      </c>
      <c r="O1688" s="55"/>
      <c r="P1688" s="105">
        <v>1515</v>
      </c>
      <c r="Q1688" s="279">
        <v>-1968</v>
      </c>
      <c r="R1688" s="275">
        <v>0</v>
      </c>
      <c r="S1688" s="279">
        <v>-1968</v>
      </c>
      <c r="T1688" s="279">
        <v>-1125</v>
      </c>
      <c r="U1688" s="57">
        <v>1.004</v>
      </c>
      <c r="V1688" s="290"/>
      <c r="W1688" s="276">
        <v>0</v>
      </c>
      <c r="X1688" s="279">
        <v>-1129</v>
      </c>
      <c r="Y1688" s="279">
        <v>0</v>
      </c>
      <c r="Z1688" s="45" t="b">
        <v>0</v>
      </c>
      <c r="AA1688" s="45" t="s">
        <v>50</v>
      </c>
      <c r="AB1688" s="45" t="s">
        <v>38</v>
      </c>
    </row>
    <row r="1689" spans="1:28" x14ac:dyDescent="0.2">
      <c r="A1689" s="279" t="s">
        <v>60</v>
      </c>
      <c r="B1689" s="279" t="s">
        <v>60</v>
      </c>
      <c r="C1689" s="282">
        <v>44774</v>
      </c>
      <c r="D1689" s="282">
        <v>44804</v>
      </c>
      <c r="E1689" s="279" t="s">
        <v>267</v>
      </c>
      <c r="F1689" s="133" t="s">
        <v>41</v>
      </c>
      <c r="G1689" s="279" t="s">
        <v>69</v>
      </c>
      <c r="H1689" s="289" t="s">
        <v>71</v>
      </c>
      <c r="I1689" s="280">
        <v>20</v>
      </c>
      <c r="J1689" s="279">
        <v>112</v>
      </c>
      <c r="K1689" s="270">
        <f t="shared" si="0"/>
        <v>2240</v>
      </c>
      <c r="L1689" s="279">
        <f>23*J1689</f>
        <v>2576</v>
      </c>
      <c r="M1689" s="279">
        <v>60</v>
      </c>
      <c r="N1689" s="281">
        <v>0</v>
      </c>
      <c r="O1689" s="55"/>
      <c r="P1689" s="45">
        <v>0</v>
      </c>
      <c r="Q1689" s="279">
        <v>-47</v>
      </c>
      <c r="R1689" s="275">
        <v>0</v>
      </c>
      <c r="S1689" s="279">
        <v>-47</v>
      </c>
      <c r="T1689" s="279">
        <v>60</v>
      </c>
      <c r="U1689" s="57">
        <v>1.004</v>
      </c>
      <c r="V1689" s="290"/>
      <c r="W1689" s="276">
        <v>0</v>
      </c>
      <c r="X1689" s="279">
        <v>60</v>
      </c>
      <c r="Y1689" s="279">
        <v>0</v>
      </c>
      <c r="Z1689" s="45" t="b">
        <v>0</v>
      </c>
      <c r="AA1689" s="45" t="s">
        <v>50</v>
      </c>
      <c r="AB1689" s="45" t="s">
        <v>38</v>
      </c>
    </row>
    <row r="1690" spans="1:28" x14ac:dyDescent="0.2">
      <c r="A1690" s="279" t="s">
        <v>60</v>
      </c>
      <c r="B1690" s="279" t="s">
        <v>60</v>
      </c>
      <c r="C1690" s="282">
        <v>44774</v>
      </c>
      <c r="D1690" s="282">
        <v>44804</v>
      </c>
      <c r="E1690" s="279" t="s">
        <v>267</v>
      </c>
      <c r="F1690" s="133" t="s">
        <v>41</v>
      </c>
      <c r="G1690" s="279" t="s">
        <v>69</v>
      </c>
      <c r="H1690" s="289" t="s">
        <v>76</v>
      </c>
      <c r="I1690" s="280">
        <v>50</v>
      </c>
      <c r="J1690" s="279">
        <v>36</v>
      </c>
      <c r="K1690" s="270">
        <f t="shared" si="0"/>
        <v>1800</v>
      </c>
      <c r="L1690" s="279">
        <f>7*J1690</f>
        <v>252</v>
      </c>
      <c r="M1690" s="279">
        <v>150</v>
      </c>
      <c r="N1690" s="281">
        <v>32.42</v>
      </c>
      <c r="O1690" s="55"/>
      <c r="P1690" s="45">
        <v>32</v>
      </c>
      <c r="Q1690" s="279">
        <v>-58</v>
      </c>
      <c r="R1690" s="275">
        <v>0</v>
      </c>
      <c r="S1690" s="279">
        <v>-58</v>
      </c>
      <c r="T1690" s="279">
        <v>182</v>
      </c>
      <c r="U1690" s="57">
        <v>1.004</v>
      </c>
      <c r="V1690" s="290"/>
      <c r="W1690" s="276">
        <v>0</v>
      </c>
      <c r="X1690" s="279">
        <v>183</v>
      </c>
      <c r="Y1690" s="279">
        <v>0</v>
      </c>
      <c r="Z1690" s="45" t="b">
        <v>0</v>
      </c>
      <c r="AA1690" s="45" t="s">
        <v>50</v>
      </c>
      <c r="AB1690" s="45" t="s">
        <v>38</v>
      </c>
    </row>
    <row r="1691" spans="1:28" x14ac:dyDescent="0.2">
      <c r="A1691" s="279" t="s">
        <v>60</v>
      </c>
      <c r="B1691" s="279" t="s">
        <v>60</v>
      </c>
      <c r="C1691" s="282">
        <v>44774</v>
      </c>
      <c r="D1691" s="282">
        <v>44804</v>
      </c>
      <c r="E1691" s="279" t="s">
        <v>267</v>
      </c>
      <c r="F1691" s="133" t="s">
        <v>41</v>
      </c>
      <c r="G1691" s="279" t="s">
        <v>69</v>
      </c>
      <c r="H1691" s="289" t="s">
        <v>72</v>
      </c>
      <c r="I1691" s="280">
        <v>50</v>
      </c>
      <c r="J1691" s="279">
        <v>14</v>
      </c>
      <c r="K1691" s="270">
        <f t="shared" si="0"/>
        <v>700</v>
      </c>
      <c r="L1691" s="279">
        <f>23*14</f>
        <v>322</v>
      </c>
      <c r="M1691" s="279">
        <v>-100</v>
      </c>
      <c r="N1691" s="281">
        <v>12.61</v>
      </c>
      <c r="O1691" s="55"/>
      <c r="P1691" s="45">
        <v>13</v>
      </c>
      <c r="Q1691" s="279">
        <v>-7</v>
      </c>
      <c r="R1691" s="275">
        <v>0</v>
      </c>
      <c r="S1691" s="279">
        <v>-7</v>
      </c>
      <c r="T1691" s="279">
        <v>-87</v>
      </c>
      <c r="U1691" s="57">
        <v>1.004</v>
      </c>
      <c r="V1691" s="290"/>
      <c r="W1691" s="276">
        <v>0</v>
      </c>
      <c r="X1691" s="279">
        <v>-88</v>
      </c>
      <c r="Y1691" s="279">
        <v>0</v>
      </c>
      <c r="Z1691" s="45" t="b">
        <v>0</v>
      </c>
      <c r="AA1691" s="45" t="s">
        <v>50</v>
      </c>
      <c r="AB1691" s="45" t="s">
        <v>38</v>
      </c>
    </row>
    <row r="1692" spans="1:28" x14ac:dyDescent="0.2">
      <c r="A1692" s="96" t="s">
        <v>89</v>
      </c>
      <c r="B1692" s="96" t="s">
        <v>89</v>
      </c>
      <c r="C1692" s="277">
        <v>44774</v>
      </c>
      <c r="D1692" s="277">
        <v>44804</v>
      </c>
      <c r="E1692" s="270" t="s">
        <v>267</v>
      </c>
      <c r="F1692" s="133" t="s">
        <v>41</v>
      </c>
      <c r="G1692" s="96" t="s">
        <v>35</v>
      </c>
      <c r="H1692" s="272" t="s">
        <v>85</v>
      </c>
      <c r="I1692" s="273">
        <v>50</v>
      </c>
      <c r="J1692" s="270">
        <v>2</v>
      </c>
      <c r="K1692" s="270">
        <f t="shared" si="0"/>
        <v>100</v>
      </c>
      <c r="L1692" s="270"/>
      <c r="M1692" s="270">
        <v>-100</v>
      </c>
      <c r="N1692" s="274">
        <v>4</v>
      </c>
      <c r="O1692" s="55"/>
      <c r="P1692" s="45">
        <v>4</v>
      </c>
      <c r="Q1692" s="270"/>
      <c r="R1692" s="275">
        <v>0</v>
      </c>
      <c r="S1692" s="270"/>
      <c r="T1692" s="270">
        <v>-96</v>
      </c>
      <c r="U1692" s="57">
        <v>1</v>
      </c>
      <c r="V1692" s="290"/>
      <c r="W1692" s="276">
        <v>0</v>
      </c>
      <c r="X1692" s="270">
        <v>-96</v>
      </c>
      <c r="Y1692" s="270">
        <v>0</v>
      </c>
      <c r="Z1692" s="45" t="b">
        <v>0</v>
      </c>
      <c r="AA1692" s="45" t="s">
        <v>38</v>
      </c>
      <c r="AB1692" s="45" t="s">
        <v>38</v>
      </c>
    </row>
    <row r="1693" spans="1:28" x14ac:dyDescent="0.2">
      <c r="A1693" s="96" t="s">
        <v>89</v>
      </c>
      <c r="B1693" s="96" t="s">
        <v>89</v>
      </c>
      <c r="C1693" s="277">
        <v>44774</v>
      </c>
      <c r="D1693" s="277">
        <v>44804</v>
      </c>
      <c r="E1693" s="270" t="s">
        <v>267</v>
      </c>
      <c r="F1693" s="133" t="s">
        <v>41</v>
      </c>
      <c r="G1693" s="96" t="s">
        <v>35</v>
      </c>
      <c r="H1693" s="272" t="s">
        <v>72</v>
      </c>
      <c r="I1693" s="273">
        <v>50</v>
      </c>
      <c r="J1693" s="270">
        <v>3196</v>
      </c>
      <c r="K1693" s="270">
        <f t="shared" si="0"/>
        <v>159800</v>
      </c>
      <c r="L1693" s="270">
        <v>30227</v>
      </c>
      <c r="M1693" s="270">
        <v>-7850</v>
      </c>
      <c r="N1693" s="274">
        <v>6737</v>
      </c>
      <c r="O1693" s="55"/>
      <c r="P1693" s="105">
        <v>6737</v>
      </c>
      <c r="Q1693" s="270">
        <v>-7425</v>
      </c>
      <c r="R1693" s="275">
        <v>0</v>
      </c>
      <c r="S1693" s="270">
        <v>-7425</v>
      </c>
      <c r="T1693" s="270">
        <v>-1113</v>
      </c>
      <c r="U1693" s="57">
        <v>1</v>
      </c>
      <c r="V1693" s="290"/>
      <c r="W1693" s="276">
        <v>0</v>
      </c>
      <c r="X1693" s="270">
        <v>-1113</v>
      </c>
      <c r="Y1693" s="270">
        <v>0</v>
      </c>
      <c r="Z1693" s="45" t="b">
        <v>0</v>
      </c>
      <c r="AA1693" s="45" t="s">
        <v>38</v>
      </c>
      <c r="AB1693" s="45" t="s">
        <v>38</v>
      </c>
    </row>
    <row r="1694" spans="1:28" x14ac:dyDescent="0.2">
      <c r="A1694" s="96" t="s">
        <v>89</v>
      </c>
      <c r="B1694" s="96" t="s">
        <v>89</v>
      </c>
      <c r="C1694" s="277">
        <v>44774</v>
      </c>
      <c r="D1694" s="277">
        <v>44804</v>
      </c>
      <c r="E1694" s="270" t="s">
        <v>267</v>
      </c>
      <c r="F1694" s="133" t="s">
        <v>41</v>
      </c>
      <c r="G1694" s="96" t="s">
        <v>35</v>
      </c>
      <c r="H1694" s="272" t="s">
        <v>39</v>
      </c>
      <c r="I1694" s="273">
        <v>5</v>
      </c>
      <c r="J1694" s="270">
        <v>1</v>
      </c>
      <c r="K1694" s="270">
        <f t="shared" si="0"/>
        <v>5</v>
      </c>
      <c r="L1694" s="270"/>
      <c r="M1694" s="270">
        <v>10</v>
      </c>
      <c r="N1694" s="274"/>
      <c r="O1694" s="55"/>
      <c r="P1694" s="96"/>
      <c r="Q1694" s="270"/>
      <c r="R1694" s="275">
        <v>0</v>
      </c>
      <c r="S1694" s="270"/>
      <c r="T1694" s="270">
        <v>10</v>
      </c>
      <c r="U1694" s="57">
        <v>1</v>
      </c>
      <c r="V1694" s="290"/>
      <c r="W1694" s="276">
        <v>0</v>
      </c>
      <c r="X1694" s="270">
        <v>10</v>
      </c>
      <c r="Y1694" s="270">
        <v>0</v>
      </c>
      <c r="Z1694" s="45" t="b">
        <v>0</v>
      </c>
      <c r="AA1694" s="45" t="s">
        <v>38</v>
      </c>
      <c r="AB1694" s="45" t="s">
        <v>38</v>
      </c>
    </row>
    <row r="1695" spans="1:28" x14ac:dyDescent="0.2">
      <c r="A1695" s="96" t="s">
        <v>89</v>
      </c>
      <c r="B1695" s="96" t="s">
        <v>89</v>
      </c>
      <c r="C1695" s="277">
        <v>44774</v>
      </c>
      <c r="D1695" s="277">
        <v>44804</v>
      </c>
      <c r="E1695" s="270" t="s">
        <v>267</v>
      </c>
      <c r="F1695" s="133" t="s">
        <v>41</v>
      </c>
      <c r="G1695" s="96" t="s">
        <v>35</v>
      </c>
      <c r="H1695" s="272" t="s">
        <v>46</v>
      </c>
      <c r="I1695" s="273">
        <v>25</v>
      </c>
      <c r="J1695" s="270">
        <v>13</v>
      </c>
      <c r="K1695" s="270">
        <f t="shared" si="0"/>
        <v>325</v>
      </c>
      <c r="L1695" s="270">
        <v>741</v>
      </c>
      <c r="M1695" s="270">
        <v>-100</v>
      </c>
      <c r="N1695" s="274">
        <v>14</v>
      </c>
      <c r="O1695" s="55"/>
      <c r="P1695" s="45">
        <v>14</v>
      </c>
      <c r="Q1695" s="270">
        <v>14</v>
      </c>
      <c r="R1695" s="275">
        <v>0</v>
      </c>
      <c r="S1695" s="270">
        <v>14</v>
      </c>
      <c r="T1695" s="270">
        <v>-86</v>
      </c>
      <c r="U1695" s="57">
        <v>1</v>
      </c>
      <c r="V1695" s="290"/>
      <c r="W1695" s="276">
        <v>0</v>
      </c>
      <c r="X1695" s="270">
        <v>-86</v>
      </c>
      <c r="Y1695" s="270">
        <v>0</v>
      </c>
      <c r="Z1695" s="45" t="b">
        <v>0</v>
      </c>
      <c r="AA1695" s="45" t="s">
        <v>38</v>
      </c>
      <c r="AB1695" s="45" t="s">
        <v>38</v>
      </c>
    </row>
    <row r="1696" spans="1:28" x14ac:dyDescent="0.2">
      <c r="A1696" s="96" t="s">
        <v>145</v>
      </c>
      <c r="B1696" s="96" t="s">
        <v>145</v>
      </c>
      <c r="C1696" s="277">
        <v>44774</v>
      </c>
      <c r="D1696" s="277">
        <v>44804</v>
      </c>
      <c r="E1696" s="270" t="s">
        <v>300</v>
      </c>
      <c r="F1696" s="133" t="s">
        <v>49</v>
      </c>
      <c r="G1696" s="279" t="s">
        <v>35</v>
      </c>
      <c r="H1696" s="272" t="s">
        <v>85</v>
      </c>
      <c r="I1696" s="273">
        <v>50</v>
      </c>
      <c r="J1696" s="270">
        <v>1</v>
      </c>
      <c r="K1696" s="270">
        <f t="shared" si="0"/>
        <v>50</v>
      </c>
      <c r="L1696" s="270">
        <v>27</v>
      </c>
      <c r="M1696" s="270">
        <v>-50</v>
      </c>
      <c r="N1696" s="274">
        <v>2</v>
      </c>
      <c r="O1696" s="55"/>
      <c r="P1696" s="45">
        <v>2</v>
      </c>
      <c r="Q1696" s="270">
        <v>1</v>
      </c>
      <c r="R1696" s="275">
        <v>5.5699999999999999E-4</v>
      </c>
      <c r="S1696" s="270">
        <v>1</v>
      </c>
      <c r="T1696" s="270">
        <v>3</v>
      </c>
      <c r="U1696" s="57">
        <v>1</v>
      </c>
      <c r="V1696" s="276">
        <v>0.17499999999999999</v>
      </c>
      <c r="W1696" s="276">
        <v>7.4999999999999997E-2</v>
      </c>
      <c r="X1696" s="270">
        <v>2</v>
      </c>
      <c r="Y1696" s="270">
        <v>1</v>
      </c>
      <c r="Z1696" s="45" t="b">
        <v>1</v>
      </c>
      <c r="AA1696" s="45" t="s">
        <v>38</v>
      </c>
      <c r="AB1696" s="45" t="s">
        <v>38</v>
      </c>
    </row>
    <row r="1697" spans="1:28" x14ac:dyDescent="0.2">
      <c r="A1697" s="96" t="s">
        <v>145</v>
      </c>
      <c r="B1697" s="96" t="s">
        <v>145</v>
      </c>
      <c r="C1697" s="277">
        <v>44774</v>
      </c>
      <c r="D1697" s="277">
        <v>44804</v>
      </c>
      <c r="E1697" s="270" t="s">
        <v>300</v>
      </c>
      <c r="F1697" s="133" t="s">
        <v>49</v>
      </c>
      <c r="G1697" s="279" t="s">
        <v>35</v>
      </c>
      <c r="H1697" s="272" t="s">
        <v>70</v>
      </c>
      <c r="I1697" s="273">
        <v>100</v>
      </c>
      <c r="J1697" s="270">
        <v>106</v>
      </c>
      <c r="K1697" s="270">
        <f t="shared" si="0"/>
        <v>10600</v>
      </c>
      <c r="L1697" s="270">
        <v>2047</v>
      </c>
      <c r="M1697" s="270">
        <v>900</v>
      </c>
      <c r="N1697" s="274">
        <v>409</v>
      </c>
      <c r="O1697" s="55"/>
      <c r="P1697" s="45">
        <v>409</v>
      </c>
      <c r="Q1697" s="270">
        <v>-189</v>
      </c>
      <c r="R1697" s="275">
        <v>-6.8599999999999998E-4</v>
      </c>
      <c r="S1697" s="270">
        <v>-196</v>
      </c>
      <c r="T1697" s="270">
        <v>213</v>
      </c>
      <c r="U1697" s="57">
        <v>1</v>
      </c>
      <c r="V1697" s="276">
        <v>0.17499999999999999</v>
      </c>
      <c r="W1697" s="276">
        <v>7.4999999999999997E-2</v>
      </c>
      <c r="X1697" s="270">
        <v>160</v>
      </c>
      <c r="Y1697" s="270">
        <v>53</v>
      </c>
      <c r="Z1697" s="45" t="b">
        <v>1</v>
      </c>
      <c r="AA1697" s="45" t="s">
        <v>38</v>
      </c>
      <c r="AB1697" s="45" t="s">
        <v>38</v>
      </c>
    </row>
    <row r="1698" spans="1:28" x14ac:dyDescent="0.2">
      <c r="A1698" s="96" t="s">
        <v>145</v>
      </c>
      <c r="B1698" s="96" t="s">
        <v>145</v>
      </c>
      <c r="C1698" s="277">
        <v>44774</v>
      </c>
      <c r="D1698" s="277">
        <v>44804</v>
      </c>
      <c r="E1698" s="270" t="s">
        <v>300</v>
      </c>
      <c r="F1698" s="133" t="s">
        <v>49</v>
      </c>
      <c r="G1698" s="279" t="s">
        <v>35</v>
      </c>
      <c r="H1698" s="272" t="s">
        <v>84</v>
      </c>
      <c r="I1698" s="273">
        <v>100</v>
      </c>
      <c r="J1698" s="270">
        <v>2365</v>
      </c>
      <c r="K1698" s="270">
        <f t="shared" si="0"/>
        <v>236500</v>
      </c>
      <c r="L1698" s="270">
        <v>14527</v>
      </c>
      <c r="M1698" s="270">
        <v>29700</v>
      </c>
      <c r="N1698" s="274">
        <v>9147</v>
      </c>
      <c r="O1698" s="55"/>
      <c r="P1698" s="105">
        <v>9147</v>
      </c>
      <c r="Q1698" s="270">
        <v>-8228</v>
      </c>
      <c r="R1698" s="275">
        <v>-6.8900000000000005E-4</v>
      </c>
      <c r="S1698" s="270">
        <v>-8391</v>
      </c>
      <c r="T1698" s="270">
        <v>756</v>
      </c>
      <c r="U1698" s="57">
        <v>1</v>
      </c>
      <c r="V1698" s="276">
        <v>0.17499999999999999</v>
      </c>
      <c r="W1698" s="276">
        <v>7.4999999999999997E-2</v>
      </c>
      <c r="X1698" s="270">
        <v>567</v>
      </c>
      <c r="Y1698" s="270">
        <v>189</v>
      </c>
      <c r="Z1698" s="45" t="b">
        <v>1</v>
      </c>
      <c r="AA1698" s="45" t="s">
        <v>38</v>
      </c>
      <c r="AB1698" s="45" t="s">
        <v>38</v>
      </c>
    </row>
    <row r="1699" spans="1:28" x14ac:dyDescent="0.2">
      <c r="A1699" s="96" t="s">
        <v>145</v>
      </c>
      <c r="B1699" s="96" t="s">
        <v>145</v>
      </c>
      <c r="C1699" s="277">
        <v>44774</v>
      </c>
      <c r="D1699" s="277">
        <v>44804</v>
      </c>
      <c r="E1699" s="270" t="s">
        <v>300</v>
      </c>
      <c r="F1699" s="133" t="s">
        <v>49</v>
      </c>
      <c r="G1699" s="279" t="s">
        <v>35</v>
      </c>
      <c r="H1699" s="272" t="s">
        <v>88</v>
      </c>
      <c r="I1699" s="273">
        <v>250</v>
      </c>
      <c r="J1699" s="270">
        <v>1242</v>
      </c>
      <c r="K1699" s="270">
        <f t="shared" si="0"/>
        <v>310500</v>
      </c>
      <c r="L1699" s="270">
        <v>18013</v>
      </c>
      <c r="M1699" s="270">
        <v>-7000</v>
      </c>
      <c r="N1699" s="274">
        <v>11979</v>
      </c>
      <c r="O1699" s="55"/>
      <c r="P1699" s="105">
        <v>11979</v>
      </c>
      <c r="Q1699" s="270">
        <v>-7521</v>
      </c>
      <c r="R1699" s="275">
        <v>-6.9999999999999999E-4</v>
      </c>
      <c r="S1699" s="270">
        <v>-7738</v>
      </c>
      <c r="T1699" s="270">
        <v>4241</v>
      </c>
      <c r="U1699" s="57">
        <v>1</v>
      </c>
      <c r="V1699" s="276">
        <v>0.17499999999999999</v>
      </c>
      <c r="W1699" s="276">
        <v>7.4999999999999997E-2</v>
      </c>
      <c r="X1699" s="270">
        <v>3181</v>
      </c>
      <c r="Y1699" s="270">
        <v>1060</v>
      </c>
      <c r="Z1699" s="45" t="b">
        <v>1</v>
      </c>
      <c r="AA1699" s="45" t="s">
        <v>38</v>
      </c>
      <c r="AB1699" s="45" t="s">
        <v>38</v>
      </c>
    </row>
    <row r="1700" spans="1:28" x14ac:dyDescent="0.2">
      <c r="A1700" s="96" t="s">
        <v>145</v>
      </c>
      <c r="B1700" s="96" t="s">
        <v>145</v>
      </c>
      <c r="C1700" s="277">
        <v>44774</v>
      </c>
      <c r="D1700" s="277">
        <v>44804</v>
      </c>
      <c r="E1700" s="270" t="s">
        <v>300</v>
      </c>
      <c r="F1700" s="133" t="s">
        <v>49</v>
      </c>
      <c r="G1700" s="279" t="s">
        <v>35</v>
      </c>
      <c r="H1700" s="272" t="s">
        <v>148</v>
      </c>
      <c r="I1700" s="273">
        <v>250</v>
      </c>
      <c r="J1700" s="270">
        <v>797</v>
      </c>
      <c r="K1700" s="270">
        <f t="shared" si="0"/>
        <v>199250</v>
      </c>
      <c r="L1700" s="270">
        <v>18559</v>
      </c>
      <c r="M1700" s="270">
        <v>1750</v>
      </c>
      <c r="N1700" s="274">
        <v>7687</v>
      </c>
      <c r="O1700" s="55"/>
      <c r="P1700" s="105">
        <v>7687</v>
      </c>
      <c r="Q1700" s="270">
        <v>4263</v>
      </c>
      <c r="R1700" s="275">
        <v>-7.3099999999999999E-4</v>
      </c>
      <c r="S1700" s="270">
        <v>4117</v>
      </c>
      <c r="T1700" s="270">
        <v>11804</v>
      </c>
      <c r="U1700" s="57">
        <v>1</v>
      </c>
      <c r="V1700" s="276">
        <v>0.17499999999999999</v>
      </c>
      <c r="W1700" s="276">
        <v>7.4999999999999997E-2</v>
      </c>
      <c r="X1700" s="270">
        <v>8853</v>
      </c>
      <c r="Y1700" s="270">
        <v>2951</v>
      </c>
      <c r="Z1700" s="45" t="b">
        <v>1</v>
      </c>
      <c r="AA1700" s="45" t="s">
        <v>38</v>
      </c>
      <c r="AB1700" s="45" t="s">
        <v>38</v>
      </c>
    </row>
    <row r="1701" spans="1:28" x14ac:dyDescent="0.2">
      <c r="A1701" s="96" t="s">
        <v>145</v>
      </c>
      <c r="B1701" s="96" t="s">
        <v>145</v>
      </c>
      <c r="C1701" s="277">
        <v>44774</v>
      </c>
      <c r="D1701" s="277">
        <v>44804</v>
      </c>
      <c r="E1701" s="270" t="s">
        <v>300</v>
      </c>
      <c r="F1701" s="133" t="s">
        <v>49</v>
      </c>
      <c r="G1701" s="279" t="s">
        <v>35</v>
      </c>
      <c r="H1701" s="272" t="s">
        <v>142</v>
      </c>
      <c r="I1701" s="273">
        <v>500</v>
      </c>
      <c r="J1701" s="270">
        <v>124</v>
      </c>
      <c r="K1701" s="270">
        <f t="shared" si="0"/>
        <v>62000</v>
      </c>
      <c r="L1701" s="270">
        <v>4597</v>
      </c>
      <c r="M1701" s="270">
        <v>5500</v>
      </c>
      <c r="N1701" s="274">
        <v>2392</v>
      </c>
      <c r="O1701" s="55"/>
      <c r="P1701" s="105">
        <v>2392</v>
      </c>
      <c r="Q1701" s="270">
        <v>1173</v>
      </c>
      <c r="R1701" s="275">
        <v>-7.2900000000000005E-4</v>
      </c>
      <c r="S1701" s="270">
        <v>1128</v>
      </c>
      <c r="T1701" s="270">
        <v>3520</v>
      </c>
      <c r="U1701" s="57">
        <v>1</v>
      </c>
      <c r="V1701" s="276">
        <v>0.17499999999999999</v>
      </c>
      <c r="W1701" s="276">
        <v>7.4999999999999997E-2</v>
      </c>
      <c r="X1701" s="270">
        <v>2640</v>
      </c>
      <c r="Y1701" s="270">
        <v>880</v>
      </c>
      <c r="Z1701" s="45" t="b">
        <v>1</v>
      </c>
      <c r="AA1701" s="45" t="s">
        <v>38</v>
      </c>
      <c r="AB1701" s="45" t="s">
        <v>38</v>
      </c>
    </row>
    <row r="1702" spans="1:28" x14ac:dyDescent="0.2">
      <c r="A1702" s="96" t="s">
        <v>145</v>
      </c>
      <c r="B1702" s="96" t="s">
        <v>145</v>
      </c>
      <c r="C1702" s="277">
        <v>44774</v>
      </c>
      <c r="D1702" s="277">
        <v>44804</v>
      </c>
      <c r="E1702" s="270" t="s">
        <v>300</v>
      </c>
      <c r="F1702" s="133" t="s">
        <v>49</v>
      </c>
      <c r="G1702" s="279" t="s">
        <v>35</v>
      </c>
      <c r="H1702" s="272" t="s">
        <v>149</v>
      </c>
      <c r="I1702" s="273">
        <v>500</v>
      </c>
      <c r="J1702" s="270">
        <v>121</v>
      </c>
      <c r="K1702" s="270">
        <f t="shared" si="0"/>
        <v>60500</v>
      </c>
      <c r="L1702" s="270">
        <v>1306</v>
      </c>
      <c r="M1702" s="270">
        <v>-5500</v>
      </c>
      <c r="N1702" s="274">
        <v>2334</v>
      </c>
      <c r="O1702" s="55"/>
      <c r="P1702" s="105">
        <v>2334</v>
      </c>
      <c r="Q1702" s="270">
        <v>-1027</v>
      </c>
      <c r="R1702" s="275">
        <v>-7.18E-4</v>
      </c>
      <c r="S1702" s="270">
        <v>-1070</v>
      </c>
      <c r="T1702" s="270">
        <v>1264</v>
      </c>
      <c r="U1702" s="57">
        <v>1</v>
      </c>
      <c r="V1702" s="276">
        <v>0.17499999999999999</v>
      </c>
      <c r="W1702" s="276">
        <v>7.4999999999999997E-2</v>
      </c>
      <c r="X1702" s="270">
        <v>948</v>
      </c>
      <c r="Y1702" s="270">
        <v>316</v>
      </c>
      <c r="Z1702" s="45" t="b">
        <v>1</v>
      </c>
      <c r="AA1702" s="45" t="s">
        <v>38</v>
      </c>
      <c r="AB1702" s="45" t="s">
        <v>38</v>
      </c>
    </row>
    <row r="1703" spans="1:28" x14ac:dyDescent="0.2">
      <c r="A1703" s="279" t="s">
        <v>155</v>
      </c>
      <c r="B1703" s="279" t="s">
        <v>155</v>
      </c>
      <c r="C1703" s="277">
        <v>44774</v>
      </c>
      <c r="D1703" s="277">
        <v>44804</v>
      </c>
      <c r="E1703" s="279" t="s">
        <v>267</v>
      </c>
      <c r="F1703" s="133" t="s">
        <v>49</v>
      </c>
      <c r="G1703" s="270" t="s">
        <v>35</v>
      </c>
      <c r="H1703" s="289" t="s">
        <v>39</v>
      </c>
      <c r="I1703" s="273">
        <v>5</v>
      </c>
      <c r="J1703" s="270">
        <v>183</v>
      </c>
      <c r="K1703" s="270">
        <f t="shared" si="0"/>
        <v>915</v>
      </c>
      <c r="L1703" s="270">
        <v>5349</v>
      </c>
      <c r="M1703" s="270">
        <v>-25</v>
      </c>
      <c r="N1703" s="274">
        <v>48</v>
      </c>
      <c r="O1703" s="55"/>
      <c r="P1703" s="45">
        <v>48</v>
      </c>
      <c r="Q1703" s="270">
        <v>-32</v>
      </c>
      <c r="R1703" s="275">
        <v>-8.6300000000000005E-4</v>
      </c>
      <c r="S1703" s="270">
        <v>-33</v>
      </c>
      <c r="T1703" s="270">
        <v>15</v>
      </c>
      <c r="U1703" s="57">
        <v>1</v>
      </c>
      <c r="V1703" s="276">
        <v>0.17</v>
      </c>
      <c r="W1703" s="276">
        <v>0</v>
      </c>
      <c r="X1703" s="270">
        <v>12</v>
      </c>
      <c r="Y1703" s="270">
        <v>3</v>
      </c>
      <c r="Z1703" s="45" t="b">
        <v>1</v>
      </c>
      <c r="AA1703" s="45" t="s">
        <v>38</v>
      </c>
      <c r="AB1703" s="45" t="s">
        <v>38</v>
      </c>
    </row>
    <row r="1704" spans="1:28" x14ac:dyDescent="0.2">
      <c r="A1704" s="279" t="s">
        <v>155</v>
      </c>
      <c r="B1704" s="279" t="s">
        <v>155</v>
      </c>
      <c r="C1704" s="277">
        <v>44774</v>
      </c>
      <c r="D1704" s="277">
        <v>44804</v>
      </c>
      <c r="E1704" s="279" t="s">
        <v>267</v>
      </c>
      <c r="F1704" s="133" t="s">
        <v>49</v>
      </c>
      <c r="G1704" s="270" t="s">
        <v>35</v>
      </c>
      <c r="H1704" s="289" t="s">
        <v>40</v>
      </c>
      <c r="I1704" s="273">
        <v>10</v>
      </c>
      <c r="J1704" s="270">
        <v>1864</v>
      </c>
      <c r="K1704" s="270">
        <f t="shared" si="0"/>
        <v>18640</v>
      </c>
      <c r="L1704" s="270">
        <v>94085</v>
      </c>
      <c r="M1704" s="270">
        <v>190</v>
      </c>
      <c r="N1704" s="274">
        <v>856</v>
      </c>
      <c r="O1704" s="55"/>
      <c r="P1704" s="45">
        <v>856</v>
      </c>
      <c r="Q1704" s="270">
        <v>346</v>
      </c>
      <c r="R1704" s="275">
        <v>-7.2099999999999996E-4</v>
      </c>
      <c r="S1704" s="270">
        <v>333</v>
      </c>
      <c r="T1704" s="270">
        <v>1189</v>
      </c>
      <c r="U1704" s="57">
        <v>1</v>
      </c>
      <c r="V1704" s="276">
        <v>0.17</v>
      </c>
      <c r="W1704" s="276">
        <v>0</v>
      </c>
      <c r="X1704" s="270">
        <v>987</v>
      </c>
      <c r="Y1704" s="270">
        <v>202</v>
      </c>
      <c r="Z1704" s="45" t="b">
        <v>1</v>
      </c>
      <c r="AA1704" s="45" t="s">
        <v>38</v>
      </c>
      <c r="AB1704" s="45" t="s">
        <v>38</v>
      </c>
    </row>
    <row r="1705" spans="1:28" x14ac:dyDescent="0.2">
      <c r="A1705" s="279" t="s">
        <v>157</v>
      </c>
      <c r="B1705" s="279" t="s">
        <v>157</v>
      </c>
      <c r="C1705" s="282">
        <v>44774</v>
      </c>
      <c r="D1705" s="282">
        <v>44804</v>
      </c>
      <c r="E1705" s="279" t="s">
        <v>267</v>
      </c>
      <c r="F1705" s="133" t="s">
        <v>41</v>
      </c>
      <c r="G1705" s="279" t="s">
        <v>158</v>
      </c>
      <c r="H1705" s="289" t="s">
        <v>159</v>
      </c>
      <c r="I1705" s="280">
        <v>1000</v>
      </c>
      <c r="J1705" s="279">
        <v>859</v>
      </c>
      <c r="K1705" s="270">
        <f t="shared" si="0"/>
        <v>859000</v>
      </c>
      <c r="L1705" s="279"/>
      <c r="M1705" s="279">
        <v>56000</v>
      </c>
      <c r="N1705" s="281">
        <v>165667</v>
      </c>
      <c r="O1705" s="55"/>
      <c r="P1705" s="105">
        <v>165667</v>
      </c>
      <c r="Q1705" s="279"/>
      <c r="R1705" s="275">
        <v>0</v>
      </c>
      <c r="S1705" s="279"/>
      <c r="T1705" s="279">
        <v>221667</v>
      </c>
      <c r="U1705" s="57">
        <v>1.4999999999999999E-2</v>
      </c>
      <c r="V1705" s="276">
        <v>0.17</v>
      </c>
      <c r="W1705" s="276">
        <v>0</v>
      </c>
      <c r="X1705" s="279">
        <v>2686</v>
      </c>
      <c r="Y1705" s="279">
        <v>550</v>
      </c>
      <c r="Z1705" s="45" t="b">
        <v>1</v>
      </c>
      <c r="AA1705" s="45" t="s">
        <v>38</v>
      </c>
      <c r="AB1705" s="45" t="s">
        <v>1003</v>
      </c>
    </row>
    <row r="1706" spans="1:28" x14ac:dyDescent="0.2">
      <c r="A1706" s="279" t="s">
        <v>157</v>
      </c>
      <c r="B1706" s="279" t="s">
        <v>157</v>
      </c>
      <c r="C1706" s="282">
        <v>44774</v>
      </c>
      <c r="D1706" s="282">
        <v>44804</v>
      </c>
      <c r="E1706" s="279" t="s">
        <v>267</v>
      </c>
      <c r="F1706" s="133" t="s">
        <v>41</v>
      </c>
      <c r="G1706" s="279" t="s">
        <v>158</v>
      </c>
      <c r="H1706" s="289" t="s">
        <v>160</v>
      </c>
      <c r="I1706" s="280">
        <v>2500</v>
      </c>
      <c r="J1706" s="279">
        <v>1809</v>
      </c>
      <c r="K1706" s="270">
        <f t="shared" si="0"/>
        <v>4522500</v>
      </c>
      <c r="L1706" s="279"/>
      <c r="M1706" s="279">
        <v>165833.34</v>
      </c>
      <c r="N1706" s="281"/>
      <c r="O1706" s="55"/>
      <c r="P1706" s="96"/>
      <c r="Q1706" s="279"/>
      <c r="R1706" s="275">
        <v>0</v>
      </c>
      <c r="S1706" s="279"/>
      <c r="T1706" s="279">
        <v>165833</v>
      </c>
      <c r="U1706" s="57">
        <v>1.4999999999999999E-2</v>
      </c>
      <c r="V1706" s="276">
        <v>0.17</v>
      </c>
      <c r="W1706" s="276">
        <v>0</v>
      </c>
      <c r="X1706" s="279">
        <v>2010</v>
      </c>
      <c r="Y1706" s="279">
        <v>412</v>
      </c>
      <c r="Z1706" s="45" t="b">
        <v>1</v>
      </c>
      <c r="AA1706" s="45" t="s">
        <v>38</v>
      </c>
      <c r="AB1706" s="45" t="s">
        <v>1003</v>
      </c>
    </row>
    <row r="1707" spans="1:28" x14ac:dyDescent="0.2">
      <c r="A1707" s="279" t="s">
        <v>157</v>
      </c>
      <c r="B1707" s="279" t="s">
        <v>157</v>
      </c>
      <c r="C1707" s="282">
        <v>44774</v>
      </c>
      <c r="D1707" s="282">
        <v>44804</v>
      </c>
      <c r="E1707" s="279" t="s">
        <v>267</v>
      </c>
      <c r="F1707" s="133" t="s">
        <v>41</v>
      </c>
      <c r="G1707" s="279" t="s">
        <v>158</v>
      </c>
      <c r="H1707" s="289" t="s">
        <v>161</v>
      </c>
      <c r="I1707" s="280">
        <v>5000</v>
      </c>
      <c r="J1707" s="279">
        <v>130</v>
      </c>
      <c r="K1707" s="270">
        <f t="shared" si="0"/>
        <v>650000</v>
      </c>
      <c r="L1707" s="279"/>
      <c r="M1707" s="279">
        <v>-65000</v>
      </c>
      <c r="N1707" s="281"/>
      <c r="O1707" s="55"/>
      <c r="P1707" s="96"/>
      <c r="Q1707" s="279"/>
      <c r="R1707" s="275">
        <v>0</v>
      </c>
      <c r="S1707" s="279"/>
      <c r="T1707" s="279">
        <v>-65000</v>
      </c>
      <c r="U1707" s="57">
        <v>1.4999999999999999E-2</v>
      </c>
      <c r="V1707" s="276">
        <v>0.17</v>
      </c>
      <c r="W1707" s="276">
        <v>0</v>
      </c>
      <c r="X1707" s="279">
        <v>-788</v>
      </c>
      <c r="Y1707" s="279">
        <v>-161</v>
      </c>
      <c r="Z1707" s="45" t="b">
        <v>1</v>
      </c>
      <c r="AA1707" s="45" t="s">
        <v>38</v>
      </c>
      <c r="AB1707" s="45" t="s">
        <v>1003</v>
      </c>
    </row>
    <row r="1708" spans="1:28" x14ac:dyDescent="0.2">
      <c r="A1708" s="279" t="s">
        <v>150</v>
      </c>
      <c r="B1708" s="279" t="s">
        <v>150</v>
      </c>
      <c r="C1708" s="282">
        <v>44774</v>
      </c>
      <c r="D1708" s="282">
        <v>44804</v>
      </c>
      <c r="E1708" s="279" t="s">
        <v>267</v>
      </c>
      <c r="F1708" s="133" t="s">
        <v>41</v>
      </c>
      <c r="G1708" s="279" t="s">
        <v>53</v>
      </c>
      <c r="H1708" s="289" t="s">
        <v>55</v>
      </c>
      <c r="I1708" s="280">
        <v>10</v>
      </c>
      <c r="J1708" s="279">
        <v>1099</v>
      </c>
      <c r="K1708" s="270">
        <f t="shared" si="0"/>
        <v>10990</v>
      </c>
      <c r="L1708" s="279">
        <v>58247</v>
      </c>
      <c r="M1708" s="279">
        <v>-90.72</v>
      </c>
      <c r="N1708" s="281"/>
      <c r="O1708" s="55">
        <v>0.5</v>
      </c>
      <c r="P1708" s="45">
        <v>385</v>
      </c>
      <c r="Q1708" s="279">
        <v>233</v>
      </c>
      <c r="R1708" s="275">
        <v>0</v>
      </c>
      <c r="S1708" s="279">
        <v>233</v>
      </c>
      <c r="T1708" s="279">
        <v>294</v>
      </c>
      <c r="U1708" s="57">
        <v>1</v>
      </c>
      <c r="V1708" s="276">
        <v>0.3</v>
      </c>
      <c r="W1708" s="276">
        <v>0</v>
      </c>
      <c r="X1708" s="279">
        <v>206</v>
      </c>
      <c r="Y1708" s="279">
        <v>88</v>
      </c>
      <c r="Z1708" s="45" t="b">
        <v>1</v>
      </c>
      <c r="AA1708" s="45" t="s">
        <v>38</v>
      </c>
      <c r="AB1708" s="45" t="s">
        <v>38</v>
      </c>
    </row>
    <row r="1709" spans="1:28" x14ac:dyDescent="0.2">
      <c r="A1709" s="279" t="s">
        <v>150</v>
      </c>
      <c r="B1709" s="279" t="s">
        <v>150</v>
      </c>
      <c r="C1709" s="282">
        <v>44774</v>
      </c>
      <c r="D1709" s="282">
        <v>44804</v>
      </c>
      <c r="E1709" s="279" t="s">
        <v>267</v>
      </c>
      <c r="F1709" s="133" t="s">
        <v>41</v>
      </c>
      <c r="G1709" s="279" t="s">
        <v>53</v>
      </c>
      <c r="H1709" s="289" t="s">
        <v>56</v>
      </c>
      <c r="I1709" s="280">
        <v>20</v>
      </c>
      <c r="J1709" s="279">
        <v>250</v>
      </c>
      <c r="K1709" s="270">
        <f t="shared" si="0"/>
        <v>5000</v>
      </c>
      <c r="L1709" s="279">
        <v>5750</v>
      </c>
      <c r="M1709" s="279">
        <v>-41.28</v>
      </c>
      <c r="N1709" s="281"/>
      <c r="O1709" s="55">
        <v>0.5</v>
      </c>
      <c r="P1709" s="45">
        <v>175</v>
      </c>
      <c r="Q1709" s="279">
        <v>-172</v>
      </c>
      <c r="R1709" s="275">
        <v>0</v>
      </c>
      <c r="S1709" s="279">
        <v>-172</v>
      </c>
      <c r="T1709" s="279">
        <v>134</v>
      </c>
      <c r="U1709" s="57">
        <v>1</v>
      </c>
      <c r="V1709" s="276">
        <v>0.3</v>
      </c>
      <c r="W1709" s="276">
        <v>0</v>
      </c>
      <c r="X1709" s="279">
        <v>94</v>
      </c>
      <c r="Y1709" s="279">
        <v>40</v>
      </c>
      <c r="Z1709" s="45" t="b">
        <v>1</v>
      </c>
      <c r="AA1709" s="45" t="s">
        <v>38</v>
      </c>
      <c r="AB1709" s="45" t="s">
        <v>38</v>
      </c>
    </row>
    <row r="1710" spans="1:28" x14ac:dyDescent="0.2">
      <c r="A1710" s="279" t="s">
        <v>395</v>
      </c>
      <c r="B1710" s="270" t="s">
        <v>162</v>
      </c>
      <c r="C1710" s="277">
        <v>44763</v>
      </c>
      <c r="D1710" s="277">
        <v>44804</v>
      </c>
      <c r="E1710" s="279" t="s">
        <v>267</v>
      </c>
      <c r="F1710" s="133" t="s">
        <v>41</v>
      </c>
      <c r="G1710" s="270" t="s">
        <v>35</v>
      </c>
      <c r="H1710" s="272" t="s">
        <v>45</v>
      </c>
      <c r="I1710" s="273">
        <v>0.25</v>
      </c>
      <c r="J1710" s="270">
        <v>1</v>
      </c>
      <c r="K1710" s="270">
        <f t="shared" si="0"/>
        <v>0.25</v>
      </c>
      <c r="L1710" s="270"/>
      <c r="M1710" s="270">
        <v>0</v>
      </c>
      <c r="N1710" s="274"/>
      <c r="O1710" s="55"/>
      <c r="P1710" s="96"/>
      <c r="Q1710" s="270"/>
      <c r="R1710" s="275">
        <v>0</v>
      </c>
      <c r="S1710" s="270"/>
      <c r="T1710" s="270">
        <v>0</v>
      </c>
      <c r="U1710" s="57">
        <v>1</v>
      </c>
      <c r="V1710" s="276">
        <v>0.19</v>
      </c>
      <c r="W1710" s="276">
        <v>0</v>
      </c>
      <c r="X1710" s="270">
        <v>0</v>
      </c>
      <c r="Y1710" s="270">
        <v>0</v>
      </c>
      <c r="Z1710" s="45" t="b">
        <v>1</v>
      </c>
      <c r="AA1710" s="45" t="s">
        <v>38</v>
      </c>
      <c r="AB1710" s="45" t="s">
        <v>38</v>
      </c>
    </row>
    <row r="1711" spans="1:28" x14ac:dyDescent="0.2">
      <c r="A1711" s="279" t="s">
        <v>395</v>
      </c>
      <c r="B1711" s="270" t="s">
        <v>162</v>
      </c>
      <c r="C1711" s="277">
        <v>44763</v>
      </c>
      <c r="D1711" s="277">
        <v>44804</v>
      </c>
      <c r="E1711" s="279" t="s">
        <v>267</v>
      </c>
      <c r="F1711" s="133" t="s">
        <v>41</v>
      </c>
      <c r="G1711" s="270" t="s">
        <v>35</v>
      </c>
      <c r="H1711" s="272" t="s">
        <v>51</v>
      </c>
      <c r="I1711" s="273">
        <v>0.25</v>
      </c>
      <c r="J1711" s="270">
        <v>3</v>
      </c>
      <c r="K1711" s="270">
        <f t="shared" si="0"/>
        <v>0.75</v>
      </c>
      <c r="L1711" s="270"/>
      <c r="M1711" s="270">
        <v>-1</v>
      </c>
      <c r="N1711" s="274"/>
      <c r="O1711" s="55"/>
      <c r="P1711" s="96"/>
      <c r="Q1711" s="270"/>
      <c r="R1711" s="275">
        <v>0</v>
      </c>
      <c r="S1711" s="270"/>
      <c r="T1711" s="270">
        <v>-1</v>
      </c>
      <c r="U1711" s="57">
        <v>1</v>
      </c>
      <c r="V1711" s="276">
        <v>0.19</v>
      </c>
      <c r="W1711" s="276">
        <v>0</v>
      </c>
      <c r="X1711" s="270">
        <v>-1</v>
      </c>
      <c r="Y1711" s="270">
        <v>0</v>
      </c>
      <c r="Z1711" s="45" t="b">
        <v>1</v>
      </c>
      <c r="AA1711" s="45" t="s">
        <v>38</v>
      </c>
      <c r="AB1711" s="45" t="s">
        <v>38</v>
      </c>
    </row>
    <row r="1712" spans="1:28" x14ac:dyDescent="0.2">
      <c r="A1712" s="279" t="s">
        <v>395</v>
      </c>
      <c r="B1712" s="270" t="s">
        <v>162</v>
      </c>
      <c r="C1712" s="277">
        <v>44763</v>
      </c>
      <c r="D1712" s="277">
        <v>44804</v>
      </c>
      <c r="E1712" s="279" t="s">
        <v>267</v>
      </c>
      <c r="F1712" s="133" t="s">
        <v>41</v>
      </c>
      <c r="G1712" s="270" t="s">
        <v>35</v>
      </c>
      <c r="H1712" s="272" t="s">
        <v>70</v>
      </c>
      <c r="I1712" s="273">
        <v>100</v>
      </c>
      <c r="J1712" s="270">
        <v>1528</v>
      </c>
      <c r="K1712" s="270">
        <f t="shared" si="0"/>
        <v>152800</v>
      </c>
      <c r="L1712" s="270">
        <v>11540</v>
      </c>
      <c r="M1712" s="270">
        <v>-3600</v>
      </c>
      <c r="N1712" s="274">
        <v>6831</v>
      </c>
      <c r="O1712" s="55"/>
      <c r="P1712" s="105">
        <v>6831</v>
      </c>
      <c r="Q1712" s="270">
        <v>-6088</v>
      </c>
      <c r="R1712" s="275">
        <v>0</v>
      </c>
      <c r="S1712" s="270">
        <v>-6088</v>
      </c>
      <c r="T1712" s="270">
        <v>3231</v>
      </c>
      <c r="U1712" s="57">
        <v>1</v>
      </c>
      <c r="V1712" s="276">
        <v>0.19</v>
      </c>
      <c r="W1712" s="276">
        <v>0</v>
      </c>
      <c r="X1712" s="270">
        <v>2617</v>
      </c>
      <c r="Y1712" s="270">
        <v>614</v>
      </c>
      <c r="Z1712" s="45" t="b">
        <v>1</v>
      </c>
      <c r="AA1712" s="45" t="s">
        <v>38</v>
      </c>
      <c r="AB1712" s="45" t="s">
        <v>38</v>
      </c>
    </row>
    <row r="1713" spans="1:28" x14ac:dyDescent="0.2">
      <c r="A1713" s="279" t="s">
        <v>395</v>
      </c>
      <c r="B1713" s="270" t="s">
        <v>162</v>
      </c>
      <c r="C1713" s="277">
        <v>44763</v>
      </c>
      <c r="D1713" s="277">
        <v>44804</v>
      </c>
      <c r="E1713" s="279" t="s">
        <v>267</v>
      </c>
      <c r="F1713" s="133" t="s">
        <v>41</v>
      </c>
      <c r="G1713" s="270" t="s">
        <v>35</v>
      </c>
      <c r="H1713" s="272" t="s">
        <v>84</v>
      </c>
      <c r="I1713" s="273">
        <v>100</v>
      </c>
      <c r="J1713" s="270">
        <v>954</v>
      </c>
      <c r="K1713" s="270">
        <f t="shared" si="0"/>
        <v>95400</v>
      </c>
      <c r="L1713" s="270">
        <v>7205</v>
      </c>
      <c r="M1713" s="270">
        <v>3200</v>
      </c>
      <c r="N1713" s="274">
        <v>4265</v>
      </c>
      <c r="O1713" s="55"/>
      <c r="P1713" s="105">
        <v>4265</v>
      </c>
      <c r="Q1713" s="270">
        <v>-2901</v>
      </c>
      <c r="R1713" s="275">
        <v>0</v>
      </c>
      <c r="S1713" s="270">
        <v>-2901</v>
      </c>
      <c r="T1713" s="270">
        <v>7465</v>
      </c>
      <c r="U1713" s="57">
        <v>1</v>
      </c>
      <c r="V1713" s="276">
        <v>0.19</v>
      </c>
      <c r="W1713" s="276">
        <v>0</v>
      </c>
      <c r="X1713" s="270">
        <v>6047</v>
      </c>
      <c r="Y1713" s="270">
        <v>1418</v>
      </c>
      <c r="Z1713" s="45" t="b">
        <v>1</v>
      </c>
      <c r="AA1713" s="45" t="s">
        <v>38</v>
      </c>
      <c r="AB1713" s="45" t="s">
        <v>38</v>
      </c>
    </row>
    <row r="1714" spans="1:28" x14ac:dyDescent="0.2">
      <c r="A1714" s="279" t="s">
        <v>395</v>
      </c>
      <c r="B1714" s="270" t="s">
        <v>162</v>
      </c>
      <c r="C1714" s="277">
        <v>44763</v>
      </c>
      <c r="D1714" s="277">
        <v>44804</v>
      </c>
      <c r="E1714" s="279" t="s">
        <v>267</v>
      </c>
      <c r="F1714" s="133" t="s">
        <v>41</v>
      </c>
      <c r="G1714" s="270" t="s">
        <v>35</v>
      </c>
      <c r="H1714" s="272" t="s">
        <v>143</v>
      </c>
      <c r="I1714" s="273">
        <v>1000</v>
      </c>
      <c r="J1714" s="270">
        <v>1</v>
      </c>
      <c r="K1714" s="270">
        <f t="shared" si="0"/>
        <v>1000</v>
      </c>
      <c r="L1714" s="270"/>
      <c r="M1714" s="270">
        <v>-1000</v>
      </c>
      <c r="N1714" s="274">
        <v>45</v>
      </c>
      <c r="O1714" s="55"/>
      <c r="P1714" s="45">
        <v>45</v>
      </c>
      <c r="Q1714" s="270"/>
      <c r="R1714" s="275">
        <v>0</v>
      </c>
      <c r="S1714" s="270"/>
      <c r="T1714" s="270">
        <v>-955</v>
      </c>
      <c r="U1714" s="57">
        <v>1</v>
      </c>
      <c r="V1714" s="276">
        <v>0.19</v>
      </c>
      <c r="W1714" s="276">
        <v>0</v>
      </c>
      <c r="X1714" s="270">
        <v>-774</v>
      </c>
      <c r="Y1714" s="270">
        <v>-181</v>
      </c>
      <c r="Z1714" s="45" t="b">
        <v>1</v>
      </c>
      <c r="AA1714" s="45" t="s">
        <v>38</v>
      </c>
      <c r="AB1714" s="45" t="s">
        <v>38</v>
      </c>
    </row>
    <row r="1715" spans="1:28" x14ac:dyDescent="0.2">
      <c r="A1715" s="279" t="s">
        <v>395</v>
      </c>
      <c r="B1715" s="270" t="s">
        <v>162</v>
      </c>
      <c r="C1715" s="277">
        <v>44763</v>
      </c>
      <c r="D1715" s="277">
        <v>44804</v>
      </c>
      <c r="E1715" s="279" t="s">
        <v>267</v>
      </c>
      <c r="F1715" s="133" t="s">
        <v>41</v>
      </c>
      <c r="G1715" s="270" t="s">
        <v>35</v>
      </c>
      <c r="H1715" s="272" t="s">
        <v>88</v>
      </c>
      <c r="I1715" s="273">
        <v>250</v>
      </c>
      <c r="J1715" s="270">
        <v>913</v>
      </c>
      <c r="K1715" s="270">
        <f t="shared" si="0"/>
        <v>228250</v>
      </c>
      <c r="L1715" s="270">
        <v>1381</v>
      </c>
      <c r="M1715" s="270">
        <v>-15000</v>
      </c>
      <c r="N1715" s="274">
        <v>10204</v>
      </c>
      <c r="O1715" s="55"/>
      <c r="P1715" s="105">
        <v>10204</v>
      </c>
      <c r="Q1715" s="270">
        <v>-11129</v>
      </c>
      <c r="R1715" s="275">
        <v>0</v>
      </c>
      <c r="S1715" s="270">
        <v>-11129</v>
      </c>
      <c r="T1715" s="270">
        <v>-4796</v>
      </c>
      <c r="U1715" s="57">
        <v>1</v>
      </c>
      <c r="V1715" s="276">
        <v>0.19</v>
      </c>
      <c r="W1715" s="276">
        <v>0</v>
      </c>
      <c r="X1715" s="270">
        <v>-3885</v>
      </c>
      <c r="Y1715" s="270">
        <v>-911</v>
      </c>
      <c r="Z1715" s="45" t="b">
        <v>1</v>
      </c>
      <c r="AA1715" s="45" t="s">
        <v>38</v>
      </c>
      <c r="AB1715" s="45" t="s">
        <v>38</v>
      </c>
    </row>
    <row r="1716" spans="1:28" x14ac:dyDescent="0.2">
      <c r="A1716" s="279" t="s">
        <v>395</v>
      </c>
      <c r="B1716" s="270" t="s">
        <v>162</v>
      </c>
      <c r="C1716" s="277">
        <v>44763</v>
      </c>
      <c r="D1716" s="277">
        <v>44804</v>
      </c>
      <c r="E1716" s="279" t="s">
        <v>267</v>
      </c>
      <c r="F1716" s="133" t="s">
        <v>41</v>
      </c>
      <c r="G1716" s="270" t="s">
        <v>35</v>
      </c>
      <c r="H1716" s="272" t="s">
        <v>148</v>
      </c>
      <c r="I1716" s="273">
        <v>250</v>
      </c>
      <c r="J1716" s="270">
        <v>813</v>
      </c>
      <c r="K1716" s="270">
        <f t="shared" si="0"/>
        <v>203250</v>
      </c>
      <c r="L1716" s="270">
        <v>1230</v>
      </c>
      <c r="M1716" s="270">
        <v>-3250</v>
      </c>
      <c r="N1716" s="274">
        <v>9087</v>
      </c>
      <c r="O1716" s="55"/>
      <c r="P1716" s="105">
        <v>9087</v>
      </c>
      <c r="Q1716" s="270">
        <v>-9525</v>
      </c>
      <c r="R1716" s="275">
        <v>0</v>
      </c>
      <c r="S1716" s="270">
        <v>-9525</v>
      </c>
      <c r="T1716" s="270">
        <v>5837</v>
      </c>
      <c r="U1716" s="57">
        <v>1</v>
      </c>
      <c r="V1716" s="276">
        <v>0.19</v>
      </c>
      <c r="W1716" s="276">
        <v>0</v>
      </c>
      <c r="X1716" s="270">
        <v>4728</v>
      </c>
      <c r="Y1716" s="270">
        <v>1109</v>
      </c>
      <c r="Z1716" s="45" t="b">
        <v>1</v>
      </c>
      <c r="AA1716" s="45" t="s">
        <v>38</v>
      </c>
      <c r="AB1716" s="45" t="s">
        <v>38</v>
      </c>
    </row>
    <row r="1717" spans="1:28" x14ac:dyDescent="0.2">
      <c r="A1717" s="279" t="s">
        <v>395</v>
      </c>
      <c r="B1717" s="270" t="s">
        <v>162</v>
      </c>
      <c r="C1717" s="277">
        <v>44763</v>
      </c>
      <c r="D1717" s="277">
        <v>44804</v>
      </c>
      <c r="E1717" s="279" t="s">
        <v>267</v>
      </c>
      <c r="F1717" s="133" t="s">
        <v>41</v>
      </c>
      <c r="G1717" s="270" t="s">
        <v>35</v>
      </c>
      <c r="H1717" s="272" t="s">
        <v>72</v>
      </c>
      <c r="I1717" s="273">
        <v>50</v>
      </c>
      <c r="J1717" s="270">
        <v>1</v>
      </c>
      <c r="K1717" s="270">
        <f t="shared" si="0"/>
        <v>50</v>
      </c>
      <c r="L1717" s="270"/>
      <c r="M1717" s="270">
        <v>-50</v>
      </c>
      <c r="N1717" s="274">
        <v>3</v>
      </c>
      <c r="O1717" s="55"/>
      <c r="P1717" s="45">
        <v>3</v>
      </c>
      <c r="Q1717" s="270"/>
      <c r="R1717" s="275">
        <v>0</v>
      </c>
      <c r="S1717" s="270"/>
      <c r="T1717" s="270">
        <v>-47</v>
      </c>
      <c r="U1717" s="57">
        <v>1</v>
      </c>
      <c r="V1717" s="276">
        <v>0.19</v>
      </c>
      <c r="W1717" s="276">
        <v>0</v>
      </c>
      <c r="X1717" s="270">
        <v>-38</v>
      </c>
      <c r="Y1717" s="270">
        <v>-9</v>
      </c>
      <c r="Z1717" s="45" t="b">
        <v>1</v>
      </c>
      <c r="AA1717" s="45" t="s">
        <v>38</v>
      </c>
      <c r="AB1717" s="45" t="s">
        <v>38</v>
      </c>
    </row>
    <row r="1718" spans="1:28" x14ac:dyDescent="0.2">
      <c r="A1718" s="279" t="s">
        <v>395</v>
      </c>
      <c r="B1718" s="270" t="s">
        <v>162</v>
      </c>
      <c r="C1718" s="277">
        <v>44763</v>
      </c>
      <c r="D1718" s="277">
        <v>44804</v>
      </c>
      <c r="E1718" s="279" t="s">
        <v>267</v>
      </c>
      <c r="F1718" s="133" t="s">
        <v>41</v>
      </c>
      <c r="G1718" s="270" t="s">
        <v>35</v>
      </c>
      <c r="H1718" s="272" t="s">
        <v>85</v>
      </c>
      <c r="I1718" s="273">
        <v>50</v>
      </c>
      <c r="J1718" s="270">
        <v>6</v>
      </c>
      <c r="K1718" s="270">
        <f t="shared" si="0"/>
        <v>300</v>
      </c>
      <c r="L1718" s="270"/>
      <c r="M1718" s="270">
        <v>-50</v>
      </c>
      <c r="N1718" s="274">
        <v>16</v>
      </c>
      <c r="O1718" s="55"/>
      <c r="P1718" s="45">
        <v>16</v>
      </c>
      <c r="Q1718" s="270"/>
      <c r="R1718" s="275">
        <v>0</v>
      </c>
      <c r="S1718" s="270"/>
      <c r="T1718" s="270">
        <v>-34</v>
      </c>
      <c r="U1718" s="57">
        <v>1</v>
      </c>
      <c r="V1718" s="276">
        <v>0.19</v>
      </c>
      <c r="W1718" s="276">
        <v>0</v>
      </c>
      <c r="X1718" s="270">
        <v>-28</v>
      </c>
      <c r="Y1718" s="270">
        <v>-6</v>
      </c>
      <c r="Z1718" s="45" t="b">
        <v>1</v>
      </c>
      <c r="AA1718" s="45" t="s">
        <v>38</v>
      </c>
      <c r="AB1718" s="45" t="s">
        <v>38</v>
      </c>
    </row>
    <row r="1719" spans="1:28" x14ac:dyDescent="0.2">
      <c r="A1719" s="279" t="s">
        <v>395</v>
      </c>
      <c r="B1719" s="270" t="s">
        <v>162</v>
      </c>
      <c r="C1719" s="277">
        <v>44763</v>
      </c>
      <c r="D1719" s="277">
        <v>44804</v>
      </c>
      <c r="E1719" s="279" t="s">
        <v>267</v>
      </c>
      <c r="F1719" s="133" t="s">
        <v>41</v>
      </c>
      <c r="G1719" s="270" t="s">
        <v>35</v>
      </c>
      <c r="H1719" s="272" t="s">
        <v>142</v>
      </c>
      <c r="I1719" s="273">
        <v>500</v>
      </c>
      <c r="J1719" s="270">
        <v>49</v>
      </c>
      <c r="K1719" s="270">
        <f t="shared" si="0"/>
        <v>24500</v>
      </c>
      <c r="L1719" s="270">
        <v>408</v>
      </c>
      <c r="M1719" s="270">
        <v>0</v>
      </c>
      <c r="N1719" s="274">
        <v>1095</v>
      </c>
      <c r="O1719" s="55"/>
      <c r="P1719" s="105">
        <v>1095</v>
      </c>
      <c r="Q1719" s="270">
        <v>-861</v>
      </c>
      <c r="R1719" s="275">
        <v>0</v>
      </c>
      <c r="S1719" s="270">
        <v>-861</v>
      </c>
      <c r="T1719" s="270">
        <v>1095</v>
      </c>
      <c r="U1719" s="57">
        <v>1</v>
      </c>
      <c r="V1719" s="276">
        <v>0.19</v>
      </c>
      <c r="W1719" s="276">
        <v>0</v>
      </c>
      <c r="X1719" s="270">
        <v>887</v>
      </c>
      <c r="Y1719" s="270">
        <v>208</v>
      </c>
      <c r="Z1719" s="45" t="b">
        <v>1</v>
      </c>
      <c r="AA1719" s="45" t="s">
        <v>38</v>
      </c>
      <c r="AB1719" s="45" t="s">
        <v>38</v>
      </c>
    </row>
    <row r="1720" spans="1:28" x14ac:dyDescent="0.2">
      <c r="A1720" s="279" t="s">
        <v>395</v>
      </c>
      <c r="B1720" s="270" t="s">
        <v>162</v>
      </c>
      <c r="C1720" s="277">
        <v>44763</v>
      </c>
      <c r="D1720" s="277">
        <v>44804</v>
      </c>
      <c r="E1720" s="279" t="s">
        <v>267</v>
      </c>
      <c r="F1720" s="133" t="s">
        <v>41</v>
      </c>
      <c r="G1720" s="270" t="s">
        <v>35</v>
      </c>
      <c r="H1720" s="272" t="s">
        <v>149</v>
      </c>
      <c r="I1720" s="273">
        <v>500</v>
      </c>
      <c r="J1720" s="270">
        <v>27</v>
      </c>
      <c r="K1720" s="270">
        <f t="shared" si="0"/>
        <v>13500</v>
      </c>
      <c r="L1720" s="286">
        <v>225</v>
      </c>
      <c r="M1720" s="286">
        <v>5500</v>
      </c>
      <c r="N1720" s="274">
        <v>604</v>
      </c>
      <c r="O1720" s="55"/>
      <c r="P1720" s="45">
        <v>604</v>
      </c>
      <c r="Q1720" s="286">
        <v>-333</v>
      </c>
      <c r="R1720" s="275">
        <v>0</v>
      </c>
      <c r="S1720" s="286">
        <v>-333</v>
      </c>
      <c r="T1720" s="286">
        <v>6104</v>
      </c>
      <c r="U1720" s="57">
        <v>1</v>
      </c>
      <c r="V1720" s="276">
        <v>0.19</v>
      </c>
      <c r="W1720" s="276">
        <v>0</v>
      </c>
      <c r="X1720" s="286">
        <v>4944</v>
      </c>
      <c r="Y1720" s="286">
        <v>1160</v>
      </c>
      <c r="Z1720" s="45" t="b">
        <v>1</v>
      </c>
      <c r="AA1720" s="45" t="s">
        <v>38</v>
      </c>
      <c r="AB1720" s="45" t="s">
        <v>38</v>
      </c>
    </row>
    <row r="1721" spans="1:28" x14ac:dyDescent="0.2">
      <c r="A1721" s="279" t="s">
        <v>447</v>
      </c>
      <c r="B1721" s="279" t="s">
        <v>66</v>
      </c>
      <c r="C1721" s="282">
        <v>44774</v>
      </c>
      <c r="D1721" s="282">
        <v>44804</v>
      </c>
      <c r="E1721" s="279" t="s">
        <v>300</v>
      </c>
      <c r="F1721" s="133" t="s">
        <v>49</v>
      </c>
      <c r="G1721" s="279" t="s">
        <v>61</v>
      </c>
      <c r="H1721" s="289" t="s">
        <v>100</v>
      </c>
      <c r="I1721" s="280">
        <v>500</v>
      </c>
      <c r="J1721" s="279">
        <v>272</v>
      </c>
      <c r="K1721" s="270">
        <f t="shared" si="0"/>
        <v>136000</v>
      </c>
      <c r="L1721" s="279">
        <v>-12827</v>
      </c>
      <c r="M1721" s="279">
        <v>-36000</v>
      </c>
      <c r="N1721" s="281">
        <f>8436.4</f>
        <v>8436.4</v>
      </c>
      <c r="O1721" s="55"/>
      <c r="P1721" s="105">
        <v>8436</v>
      </c>
      <c r="Q1721" s="279">
        <v>-22334</v>
      </c>
      <c r="R1721" s="275">
        <v>-6.0400000000000004E-4</v>
      </c>
      <c r="S1721" s="279">
        <v>-22416</v>
      </c>
      <c r="T1721" s="279">
        <v>-13980</v>
      </c>
      <c r="U1721" s="57">
        <v>1</v>
      </c>
      <c r="V1721" s="276">
        <v>0.15</v>
      </c>
      <c r="W1721" s="276">
        <v>0.05</v>
      </c>
      <c r="X1721" s="279">
        <v>-11184</v>
      </c>
      <c r="Y1721" s="279">
        <v>-2796</v>
      </c>
      <c r="Z1721" s="45" t="b">
        <v>1</v>
      </c>
      <c r="AA1721" s="45" t="s">
        <v>50</v>
      </c>
      <c r="AB1721" s="45" t="s">
        <v>50</v>
      </c>
    </row>
    <row r="1722" spans="1:28" x14ac:dyDescent="0.2">
      <c r="A1722" s="279" t="s">
        <v>447</v>
      </c>
      <c r="B1722" s="279" t="s">
        <v>66</v>
      </c>
      <c r="C1722" s="282">
        <v>44774</v>
      </c>
      <c r="D1722" s="282">
        <v>44804</v>
      </c>
      <c r="E1722" s="279" t="s">
        <v>300</v>
      </c>
      <c r="F1722" s="133" t="s">
        <v>49</v>
      </c>
      <c r="G1722" s="279" t="s">
        <v>61</v>
      </c>
      <c r="H1722" s="289" t="s">
        <v>67</v>
      </c>
      <c r="I1722" s="280">
        <v>500</v>
      </c>
      <c r="J1722" s="279">
        <v>13</v>
      </c>
      <c r="K1722" s="270">
        <f t="shared" si="0"/>
        <v>6500</v>
      </c>
      <c r="L1722" s="279">
        <v>-145</v>
      </c>
      <c r="M1722" s="279">
        <v>2500</v>
      </c>
      <c r="N1722" s="281">
        <v>11.57</v>
      </c>
      <c r="O1722" s="55"/>
      <c r="P1722" s="45">
        <v>12</v>
      </c>
      <c r="Q1722" s="279">
        <v>-733</v>
      </c>
      <c r="R1722" s="275">
        <v>-5.7499999999999999E-4</v>
      </c>
      <c r="S1722" s="279">
        <v>-737</v>
      </c>
      <c r="T1722" s="279">
        <v>-725</v>
      </c>
      <c r="U1722" s="57">
        <v>1</v>
      </c>
      <c r="V1722" s="276">
        <v>0.15</v>
      </c>
      <c r="W1722" s="276">
        <v>0.05</v>
      </c>
      <c r="X1722" s="279">
        <v>-580</v>
      </c>
      <c r="Y1722" s="279">
        <v>-145</v>
      </c>
      <c r="Z1722" s="45" t="b">
        <v>1</v>
      </c>
      <c r="AA1722" s="45" t="s">
        <v>50</v>
      </c>
      <c r="AB1722" s="45" t="s">
        <v>50</v>
      </c>
    </row>
    <row r="1723" spans="1:28" x14ac:dyDescent="0.2">
      <c r="A1723" s="279" t="s">
        <v>447</v>
      </c>
      <c r="B1723" s="279" t="s">
        <v>66</v>
      </c>
      <c r="C1723" s="282">
        <v>44774</v>
      </c>
      <c r="D1723" s="282">
        <v>44804</v>
      </c>
      <c r="E1723" s="279" t="s">
        <v>300</v>
      </c>
      <c r="F1723" s="133" t="s">
        <v>49</v>
      </c>
      <c r="G1723" s="279" t="s">
        <v>61</v>
      </c>
      <c r="H1723" s="289" t="s">
        <v>59</v>
      </c>
      <c r="I1723" s="280">
        <v>100</v>
      </c>
      <c r="J1723" s="279">
        <v>16</v>
      </c>
      <c r="K1723" s="270">
        <f t="shared" si="0"/>
        <v>1600</v>
      </c>
      <c r="L1723" s="279">
        <v>1092</v>
      </c>
      <c r="M1723" s="279">
        <v>-400</v>
      </c>
      <c r="N1723" s="281">
        <v>0</v>
      </c>
      <c r="O1723" s="55"/>
      <c r="P1723" s="45">
        <v>0</v>
      </c>
      <c r="Q1723" s="279">
        <v>56</v>
      </c>
      <c r="R1723" s="275">
        <v>-7.1000000000000002E-4</v>
      </c>
      <c r="S1723" s="279">
        <v>55</v>
      </c>
      <c r="T1723" s="279">
        <v>55</v>
      </c>
      <c r="U1723" s="57">
        <v>1</v>
      </c>
      <c r="V1723" s="276">
        <v>0.15</v>
      </c>
      <c r="W1723" s="276">
        <v>0.05</v>
      </c>
      <c r="X1723" s="279">
        <v>44</v>
      </c>
      <c r="Y1723" s="279">
        <v>11</v>
      </c>
      <c r="Z1723" s="45" t="b">
        <v>1</v>
      </c>
      <c r="AA1723" s="45" t="s">
        <v>50</v>
      </c>
      <c r="AB1723" s="45" t="s">
        <v>50</v>
      </c>
    </row>
    <row r="1724" spans="1:28" x14ac:dyDescent="0.2">
      <c r="A1724" s="279" t="s">
        <v>447</v>
      </c>
      <c r="B1724" s="279" t="s">
        <v>66</v>
      </c>
      <c r="C1724" s="282">
        <v>44774</v>
      </c>
      <c r="D1724" s="282">
        <v>44804</v>
      </c>
      <c r="E1724" s="279" t="s">
        <v>300</v>
      </c>
      <c r="F1724" s="133" t="s">
        <v>49</v>
      </c>
      <c r="G1724" s="279" t="s">
        <v>61</v>
      </c>
      <c r="H1724" s="289" t="s">
        <v>135</v>
      </c>
      <c r="I1724" s="280">
        <v>250</v>
      </c>
      <c r="J1724" s="279">
        <v>1121</v>
      </c>
      <c r="K1724" s="270">
        <f t="shared" si="0"/>
        <v>280250</v>
      </c>
      <c r="L1724" s="279">
        <v>13309</v>
      </c>
      <c r="M1724" s="279">
        <v>-27175</v>
      </c>
      <c r="N1724" s="281">
        <f>-175+8294.64</f>
        <v>8119.6399999999994</v>
      </c>
      <c r="O1724" s="55"/>
      <c r="P1724" s="105">
        <v>8120</v>
      </c>
      <c r="Q1724" s="279">
        <v>-15698</v>
      </c>
      <c r="R1724" s="275">
        <v>-6.7900000000000002E-4</v>
      </c>
      <c r="S1724" s="279">
        <v>-15888</v>
      </c>
      <c r="T1724" s="279">
        <v>-7768</v>
      </c>
      <c r="U1724" s="57">
        <v>1</v>
      </c>
      <c r="V1724" s="276">
        <v>0.15</v>
      </c>
      <c r="W1724" s="276">
        <v>0.05</v>
      </c>
      <c r="X1724" s="279">
        <v>-6215</v>
      </c>
      <c r="Y1724" s="279">
        <v>-1554</v>
      </c>
      <c r="Z1724" s="45" t="b">
        <v>1</v>
      </c>
      <c r="AA1724" s="45" t="s">
        <v>50</v>
      </c>
      <c r="AB1724" s="45" t="s">
        <v>50</v>
      </c>
    </row>
    <row r="1725" spans="1:28" x14ac:dyDescent="0.2">
      <c r="A1725" s="279" t="s">
        <v>447</v>
      </c>
      <c r="B1725" s="279" t="s">
        <v>66</v>
      </c>
      <c r="C1725" s="282">
        <v>44774</v>
      </c>
      <c r="D1725" s="282">
        <v>44804</v>
      </c>
      <c r="E1725" s="279" t="s">
        <v>300</v>
      </c>
      <c r="F1725" s="133" t="s">
        <v>49</v>
      </c>
      <c r="G1725" s="279" t="s">
        <v>61</v>
      </c>
      <c r="H1725" s="289" t="s">
        <v>134</v>
      </c>
      <c r="I1725" s="280">
        <v>250</v>
      </c>
      <c r="J1725" s="279">
        <v>1</v>
      </c>
      <c r="K1725" s="270">
        <f t="shared" si="0"/>
        <v>250</v>
      </c>
      <c r="L1725" s="279">
        <v>378</v>
      </c>
      <c r="M1725" s="279">
        <v>500</v>
      </c>
      <c r="N1725" s="281">
        <v>7.4</v>
      </c>
      <c r="O1725" s="55"/>
      <c r="P1725" s="45">
        <v>7</v>
      </c>
      <c r="Q1725" s="279">
        <v>269</v>
      </c>
      <c r="R1725" s="275">
        <v>-4.2220000000000001E-3</v>
      </c>
      <c r="S1725" s="279">
        <v>268</v>
      </c>
      <c r="T1725" s="279">
        <v>275</v>
      </c>
      <c r="U1725" s="57">
        <v>1</v>
      </c>
      <c r="V1725" s="276">
        <v>0.15</v>
      </c>
      <c r="W1725" s="276">
        <v>0.05</v>
      </c>
      <c r="X1725" s="279">
        <v>220</v>
      </c>
      <c r="Y1725" s="279">
        <v>55</v>
      </c>
      <c r="Z1725" s="45" t="b">
        <v>1</v>
      </c>
      <c r="AA1725" s="45" t="s">
        <v>50</v>
      </c>
      <c r="AB1725" s="45" t="s">
        <v>50</v>
      </c>
    </row>
    <row r="1726" spans="1:28" x14ac:dyDescent="0.2">
      <c r="A1726" s="96" t="s">
        <v>152</v>
      </c>
      <c r="B1726" s="96" t="s">
        <v>152</v>
      </c>
      <c r="C1726" s="277">
        <v>44774</v>
      </c>
      <c r="D1726" s="277">
        <v>44804</v>
      </c>
      <c r="E1726" s="270" t="s">
        <v>267</v>
      </c>
      <c r="F1726" s="96" t="s">
        <v>49</v>
      </c>
      <c r="G1726" s="270" t="s">
        <v>80</v>
      </c>
      <c r="H1726" s="110" t="s">
        <v>70</v>
      </c>
      <c r="I1726" s="273">
        <v>100</v>
      </c>
      <c r="J1726" s="270">
        <v>6021</v>
      </c>
      <c r="K1726" s="270">
        <f t="shared" si="0"/>
        <v>602100</v>
      </c>
      <c r="L1726" s="270">
        <v>79909</v>
      </c>
      <c r="M1726" s="270">
        <v>-21100</v>
      </c>
      <c r="N1726" s="274">
        <f>29423+36*100</f>
        <v>33023</v>
      </c>
      <c r="O1726" s="55"/>
      <c r="P1726" s="105">
        <v>33023</v>
      </c>
      <c r="Q1726" s="270">
        <v>-21166</v>
      </c>
      <c r="R1726" s="275">
        <v>-2.3839999999999998E-3</v>
      </c>
      <c r="S1726" s="270">
        <v>-22601</v>
      </c>
      <c r="T1726" s="270">
        <v>10422</v>
      </c>
      <c r="U1726" s="57">
        <v>1</v>
      </c>
      <c r="V1726" s="276">
        <v>0.15</v>
      </c>
      <c r="W1726" s="276">
        <v>0</v>
      </c>
      <c r="X1726" s="270">
        <v>8859</v>
      </c>
      <c r="Y1726" s="270">
        <v>1563</v>
      </c>
      <c r="Z1726" s="45" t="b">
        <v>1</v>
      </c>
      <c r="AA1726" s="45" t="s">
        <v>38</v>
      </c>
      <c r="AB1726" s="45" t="s">
        <v>38</v>
      </c>
    </row>
    <row r="1727" spans="1:28" x14ac:dyDescent="0.2">
      <c r="A1727" s="279" t="s">
        <v>456</v>
      </c>
      <c r="B1727" s="279" t="s">
        <v>110</v>
      </c>
      <c r="C1727" s="282">
        <v>44774</v>
      </c>
      <c r="D1727" s="282">
        <v>44804</v>
      </c>
      <c r="E1727" s="279" t="s">
        <v>267</v>
      </c>
      <c r="F1727" s="133" t="s">
        <v>41</v>
      </c>
      <c r="G1727" s="279" t="s">
        <v>61</v>
      </c>
      <c r="H1727" s="289" t="s">
        <v>132</v>
      </c>
      <c r="I1727" s="280">
        <v>5</v>
      </c>
      <c r="J1727" s="279">
        <v>701</v>
      </c>
      <c r="K1727" s="270">
        <f t="shared" si="0"/>
        <v>3505</v>
      </c>
      <c r="L1727" s="279">
        <v>51359</v>
      </c>
      <c r="M1727" s="279">
        <v>120</v>
      </c>
      <c r="N1727" s="281">
        <v>139.30000000000001</v>
      </c>
      <c r="O1727" s="55"/>
      <c r="P1727" s="45">
        <v>139</v>
      </c>
      <c r="Q1727" s="279">
        <v>149</v>
      </c>
      <c r="R1727" s="275">
        <v>0</v>
      </c>
      <c r="S1727" s="279">
        <v>149</v>
      </c>
      <c r="T1727" s="279">
        <v>259</v>
      </c>
      <c r="U1727" s="57">
        <v>1</v>
      </c>
      <c r="V1727" s="276">
        <v>0.25</v>
      </c>
      <c r="W1727" s="276">
        <v>0</v>
      </c>
      <c r="X1727" s="279">
        <v>194</v>
      </c>
      <c r="Y1727" s="279">
        <v>65</v>
      </c>
      <c r="Z1727" s="45" t="b">
        <v>1</v>
      </c>
      <c r="AA1727" s="45" t="s">
        <v>50</v>
      </c>
      <c r="AB1727" s="45" t="s">
        <v>50</v>
      </c>
    </row>
    <row r="1728" spans="1:28" x14ac:dyDescent="0.2">
      <c r="A1728" s="96" t="s">
        <v>175</v>
      </c>
      <c r="B1728" s="96" t="s">
        <v>175</v>
      </c>
      <c r="C1728" s="277">
        <v>44774</v>
      </c>
      <c r="D1728" s="277">
        <v>44804</v>
      </c>
      <c r="E1728" s="279" t="s">
        <v>267</v>
      </c>
      <c r="F1728" s="133" t="s">
        <v>49</v>
      </c>
      <c r="G1728" s="270" t="s">
        <v>35</v>
      </c>
      <c r="H1728" s="272" t="s">
        <v>40</v>
      </c>
      <c r="I1728" s="273">
        <v>10</v>
      </c>
      <c r="J1728" s="270">
        <v>12</v>
      </c>
      <c r="K1728" s="270">
        <f t="shared" si="0"/>
        <v>120</v>
      </c>
      <c r="L1728" s="270">
        <v>633</v>
      </c>
      <c r="M1728" s="270">
        <v>20</v>
      </c>
      <c r="N1728" s="274">
        <v>6</v>
      </c>
      <c r="O1728" s="55"/>
      <c r="P1728" s="45">
        <v>6</v>
      </c>
      <c r="Q1728" s="270">
        <v>3</v>
      </c>
      <c r="R1728" s="275">
        <v>2.2409999999999999E-3</v>
      </c>
      <c r="S1728" s="270">
        <v>3</v>
      </c>
      <c r="T1728" s="270">
        <v>9</v>
      </c>
      <c r="U1728" s="57">
        <v>1</v>
      </c>
      <c r="V1728" s="276">
        <v>0.25</v>
      </c>
      <c r="W1728" s="276">
        <v>0</v>
      </c>
      <c r="X1728" s="270">
        <v>7</v>
      </c>
      <c r="Y1728" s="270">
        <v>2</v>
      </c>
      <c r="Z1728" s="45" t="b">
        <v>1</v>
      </c>
      <c r="AA1728" s="45" t="s">
        <v>38</v>
      </c>
      <c r="AB1728" s="45" t="s">
        <v>38</v>
      </c>
    </row>
    <row r="1729" spans="1:28" x14ac:dyDescent="0.2">
      <c r="A1729" s="96" t="s">
        <v>175</v>
      </c>
      <c r="B1729" s="96" t="s">
        <v>175</v>
      </c>
      <c r="C1729" s="277">
        <v>44774</v>
      </c>
      <c r="D1729" s="277">
        <v>44804</v>
      </c>
      <c r="E1729" s="279" t="s">
        <v>267</v>
      </c>
      <c r="F1729" s="133" t="s">
        <v>49</v>
      </c>
      <c r="G1729" s="270" t="s">
        <v>35</v>
      </c>
      <c r="H1729" s="272" t="s">
        <v>46</v>
      </c>
      <c r="I1729" s="273">
        <v>25</v>
      </c>
      <c r="J1729" s="270">
        <v>1972</v>
      </c>
      <c r="K1729" s="270">
        <f t="shared" si="0"/>
        <v>49300</v>
      </c>
      <c r="L1729" s="270">
        <v>67894</v>
      </c>
      <c r="M1729" s="270">
        <v>-250</v>
      </c>
      <c r="N1729" s="274">
        <v>2011</v>
      </c>
      <c r="O1729" s="55"/>
      <c r="P1729" s="105">
        <v>2011</v>
      </c>
      <c r="Q1729" s="270">
        <v>-8</v>
      </c>
      <c r="R1729" s="275">
        <v>-7.1400000000000001E-4</v>
      </c>
      <c r="S1729" s="270">
        <v>-43</v>
      </c>
      <c r="T1729" s="270">
        <v>1968</v>
      </c>
      <c r="U1729" s="57">
        <v>1</v>
      </c>
      <c r="V1729" s="276">
        <v>0.25</v>
      </c>
      <c r="W1729" s="276">
        <v>0</v>
      </c>
      <c r="X1729" s="270">
        <v>1476</v>
      </c>
      <c r="Y1729" s="270">
        <v>492</v>
      </c>
      <c r="Z1729" s="45" t="b">
        <v>1</v>
      </c>
      <c r="AA1729" s="45" t="s">
        <v>38</v>
      </c>
      <c r="AB1729" s="45" t="s">
        <v>38</v>
      </c>
    </row>
    <row r="1730" spans="1:28" x14ac:dyDescent="0.2">
      <c r="A1730" s="96" t="s">
        <v>175</v>
      </c>
      <c r="B1730" s="96" t="s">
        <v>175</v>
      </c>
      <c r="C1730" s="277">
        <v>44774</v>
      </c>
      <c r="D1730" s="277">
        <v>44804</v>
      </c>
      <c r="E1730" s="279" t="s">
        <v>267</v>
      </c>
      <c r="F1730" s="133" t="s">
        <v>49</v>
      </c>
      <c r="G1730" s="270" t="s">
        <v>35</v>
      </c>
      <c r="H1730" s="272" t="s">
        <v>72</v>
      </c>
      <c r="I1730" s="273">
        <v>50</v>
      </c>
      <c r="J1730" s="270">
        <v>511</v>
      </c>
      <c r="K1730" s="270">
        <f t="shared" si="0"/>
        <v>25550</v>
      </c>
      <c r="L1730" s="270">
        <v>3602</v>
      </c>
      <c r="M1730" s="270">
        <v>-800</v>
      </c>
      <c r="N1730" s="274">
        <v>1042</v>
      </c>
      <c r="O1730" s="55"/>
      <c r="P1730" s="105">
        <v>1042</v>
      </c>
      <c r="Q1730" s="270">
        <v>-1301</v>
      </c>
      <c r="R1730" s="275">
        <v>-6.9499999999999998E-4</v>
      </c>
      <c r="S1730" s="270">
        <v>-1319</v>
      </c>
      <c r="T1730" s="270">
        <v>-277</v>
      </c>
      <c r="U1730" s="57">
        <v>1</v>
      </c>
      <c r="V1730" s="276">
        <v>0.25</v>
      </c>
      <c r="W1730" s="276">
        <v>0</v>
      </c>
      <c r="X1730" s="270">
        <v>-208</v>
      </c>
      <c r="Y1730" s="270">
        <v>-69</v>
      </c>
      <c r="Z1730" s="45" t="b">
        <v>1</v>
      </c>
      <c r="AA1730" s="45" t="s">
        <v>38</v>
      </c>
      <c r="AB1730" s="45" t="s">
        <v>38</v>
      </c>
    </row>
    <row r="1731" spans="1:28" x14ac:dyDescent="0.2">
      <c r="A1731" s="96" t="s">
        <v>175</v>
      </c>
      <c r="B1731" s="96" t="s">
        <v>175</v>
      </c>
      <c r="C1731" s="277">
        <v>44774</v>
      </c>
      <c r="D1731" s="277">
        <v>44804</v>
      </c>
      <c r="E1731" s="279" t="s">
        <v>267</v>
      </c>
      <c r="F1731" s="133" t="s">
        <v>41</v>
      </c>
      <c r="G1731" s="270" t="s">
        <v>35</v>
      </c>
      <c r="H1731" s="272" t="s">
        <v>39</v>
      </c>
      <c r="I1731" s="273">
        <v>5</v>
      </c>
      <c r="J1731" s="270">
        <v>2</v>
      </c>
      <c r="K1731" s="270">
        <f t="shared" si="0"/>
        <v>10</v>
      </c>
      <c r="L1731" s="270"/>
      <c r="M1731" s="270">
        <v>5</v>
      </c>
      <c r="N1731" s="274">
        <v>0</v>
      </c>
      <c r="O1731" s="55"/>
      <c r="P1731" s="45">
        <v>0</v>
      </c>
      <c r="Q1731" s="270"/>
      <c r="R1731" s="275">
        <v>0</v>
      </c>
      <c r="S1731" s="270"/>
      <c r="T1731" s="270">
        <v>5</v>
      </c>
      <c r="U1731" s="57">
        <v>1</v>
      </c>
      <c r="V1731" s="276">
        <v>0.25</v>
      </c>
      <c r="W1731" s="276">
        <v>0</v>
      </c>
      <c r="X1731" s="270">
        <v>4</v>
      </c>
      <c r="Y1731" s="270">
        <v>1</v>
      </c>
      <c r="Z1731" s="45" t="b">
        <v>1</v>
      </c>
      <c r="AA1731" s="45" t="s">
        <v>38</v>
      </c>
      <c r="AB1731" s="45" t="s">
        <v>38</v>
      </c>
    </row>
    <row r="1732" spans="1:28" x14ac:dyDescent="0.2">
      <c r="A1732" s="279" t="s">
        <v>189</v>
      </c>
      <c r="B1732" s="279" t="s">
        <v>189</v>
      </c>
      <c r="C1732" s="282">
        <v>44774</v>
      </c>
      <c r="D1732" s="282">
        <v>44804</v>
      </c>
      <c r="E1732" s="279" t="s">
        <v>267</v>
      </c>
      <c r="F1732" s="133" t="s">
        <v>41</v>
      </c>
      <c r="G1732" s="279" t="s">
        <v>53</v>
      </c>
      <c r="H1732" s="289" t="s">
        <v>54</v>
      </c>
      <c r="I1732" s="280">
        <v>5</v>
      </c>
      <c r="J1732" s="279">
        <v>5</v>
      </c>
      <c r="K1732" s="270">
        <f t="shared" si="0"/>
        <v>25</v>
      </c>
      <c r="L1732" s="279">
        <v>26</v>
      </c>
      <c r="M1732" s="279">
        <v>-2.39</v>
      </c>
      <c r="N1732" s="281"/>
      <c r="O1732" s="55">
        <v>0.5</v>
      </c>
      <c r="P1732" s="45">
        <v>1</v>
      </c>
      <c r="Q1732" s="279">
        <v>-2</v>
      </c>
      <c r="R1732" s="275">
        <v>0</v>
      </c>
      <c r="S1732" s="279">
        <v>-2</v>
      </c>
      <c r="T1732" s="279">
        <v>-2</v>
      </c>
      <c r="U1732" s="57">
        <v>1</v>
      </c>
      <c r="V1732" s="276">
        <v>0.16020000000000001</v>
      </c>
      <c r="W1732" s="276">
        <v>0</v>
      </c>
      <c r="X1732" s="279">
        <v>-1</v>
      </c>
      <c r="Y1732" s="279">
        <v>0</v>
      </c>
      <c r="Z1732" s="45" t="b">
        <v>1</v>
      </c>
      <c r="AA1732" s="45" t="s">
        <v>38</v>
      </c>
      <c r="AB1732" s="45" t="s">
        <v>38</v>
      </c>
    </row>
    <row r="1733" spans="1:28" x14ac:dyDescent="0.2">
      <c r="A1733" s="279" t="s">
        <v>189</v>
      </c>
      <c r="B1733" s="279" t="s">
        <v>189</v>
      </c>
      <c r="C1733" s="282">
        <v>44774</v>
      </c>
      <c r="D1733" s="282">
        <v>44804</v>
      </c>
      <c r="E1733" s="279" t="s">
        <v>267</v>
      </c>
      <c r="F1733" s="133" t="s">
        <v>41</v>
      </c>
      <c r="G1733" s="279" t="s">
        <v>53</v>
      </c>
      <c r="H1733" s="289" t="s">
        <v>55</v>
      </c>
      <c r="I1733" s="280">
        <v>10</v>
      </c>
      <c r="J1733" s="279">
        <v>5</v>
      </c>
      <c r="K1733" s="270">
        <f t="shared" si="0"/>
        <v>50</v>
      </c>
      <c r="L1733" s="279">
        <v>61</v>
      </c>
      <c r="M1733" s="279">
        <v>-4.78</v>
      </c>
      <c r="N1733" s="281"/>
      <c r="O1733" s="55">
        <v>0.5</v>
      </c>
      <c r="P1733" s="45">
        <v>2</v>
      </c>
      <c r="Q1733" s="279">
        <v>-3</v>
      </c>
      <c r="R1733" s="275">
        <v>0</v>
      </c>
      <c r="S1733" s="279">
        <v>-3</v>
      </c>
      <c r="T1733" s="279">
        <v>-3</v>
      </c>
      <c r="U1733" s="57">
        <v>1</v>
      </c>
      <c r="V1733" s="276">
        <v>0.16020000000000001</v>
      </c>
      <c r="W1733" s="276">
        <v>0</v>
      </c>
      <c r="X1733" s="279">
        <v>-3</v>
      </c>
      <c r="Y1733" s="279">
        <v>0</v>
      </c>
      <c r="Z1733" s="45" t="b">
        <v>1</v>
      </c>
      <c r="AA1733" s="45" t="s">
        <v>38</v>
      </c>
      <c r="AB1733" s="45" t="s">
        <v>38</v>
      </c>
    </row>
    <row r="1734" spans="1:28" x14ac:dyDescent="0.2">
      <c r="A1734" s="279" t="s">
        <v>189</v>
      </c>
      <c r="B1734" s="279" t="s">
        <v>189</v>
      </c>
      <c r="C1734" s="282">
        <v>44774</v>
      </c>
      <c r="D1734" s="282">
        <v>44804</v>
      </c>
      <c r="E1734" s="279" t="s">
        <v>267</v>
      </c>
      <c r="F1734" s="133" t="s">
        <v>41</v>
      </c>
      <c r="G1734" s="279" t="s">
        <v>53</v>
      </c>
      <c r="H1734" s="289" t="s">
        <v>56</v>
      </c>
      <c r="I1734" s="280">
        <v>20</v>
      </c>
      <c r="J1734" s="279">
        <v>1370</v>
      </c>
      <c r="K1734" s="270">
        <f t="shared" si="0"/>
        <v>27400</v>
      </c>
      <c r="L1734" s="279">
        <v>57900</v>
      </c>
      <c r="M1734" s="279">
        <v>-2620.94</v>
      </c>
      <c r="N1734" s="281"/>
      <c r="O1734" s="55">
        <v>0.5</v>
      </c>
      <c r="P1734" s="45">
        <v>959</v>
      </c>
      <c r="Q1734" s="279">
        <v>32</v>
      </c>
      <c r="R1734" s="275">
        <v>0</v>
      </c>
      <c r="S1734" s="279">
        <v>32</v>
      </c>
      <c r="T1734" s="279">
        <v>-1662</v>
      </c>
      <c r="U1734" s="57">
        <v>1</v>
      </c>
      <c r="V1734" s="276">
        <v>0.16020000000000001</v>
      </c>
      <c r="W1734" s="276">
        <v>0</v>
      </c>
      <c r="X1734" s="279">
        <v>-1396</v>
      </c>
      <c r="Y1734" s="279">
        <v>-266</v>
      </c>
      <c r="Z1734" s="45" t="b">
        <v>1</v>
      </c>
      <c r="AA1734" s="45" t="s">
        <v>38</v>
      </c>
      <c r="AB1734" s="45" t="s">
        <v>38</v>
      </c>
    </row>
    <row r="1735" spans="1:28" x14ac:dyDescent="0.2">
      <c r="A1735" s="279" t="s">
        <v>189</v>
      </c>
      <c r="B1735" s="279" t="s">
        <v>189</v>
      </c>
      <c r="C1735" s="282">
        <v>44774</v>
      </c>
      <c r="D1735" s="282">
        <v>44804</v>
      </c>
      <c r="E1735" s="279" t="s">
        <v>267</v>
      </c>
      <c r="F1735" s="133" t="s">
        <v>41</v>
      </c>
      <c r="G1735" s="279" t="s">
        <v>53</v>
      </c>
      <c r="H1735" s="289" t="s">
        <v>57</v>
      </c>
      <c r="I1735" s="280">
        <v>50</v>
      </c>
      <c r="J1735" s="279">
        <v>157</v>
      </c>
      <c r="K1735" s="270">
        <f t="shared" si="0"/>
        <v>7850</v>
      </c>
      <c r="L1735" s="279">
        <v>-10146</v>
      </c>
      <c r="M1735" s="279">
        <v>-750.89</v>
      </c>
      <c r="N1735" s="281"/>
      <c r="O1735" s="55">
        <v>0.5</v>
      </c>
      <c r="P1735" s="45">
        <v>275</v>
      </c>
      <c r="Q1735" s="279">
        <v>-1536</v>
      </c>
      <c r="R1735" s="275">
        <v>0</v>
      </c>
      <c r="S1735" s="279">
        <v>-1536</v>
      </c>
      <c r="T1735" s="279">
        <v>-476</v>
      </c>
      <c r="U1735" s="57">
        <v>1</v>
      </c>
      <c r="V1735" s="276">
        <v>0.16020000000000001</v>
      </c>
      <c r="W1735" s="276">
        <v>0</v>
      </c>
      <c r="X1735" s="279">
        <v>-400</v>
      </c>
      <c r="Y1735" s="279">
        <v>-76</v>
      </c>
      <c r="Z1735" s="45" t="b">
        <v>1</v>
      </c>
      <c r="AA1735" s="45" t="s">
        <v>38</v>
      </c>
      <c r="AB1735" s="45" t="s">
        <v>38</v>
      </c>
    </row>
    <row r="1736" spans="1:28" x14ac:dyDescent="0.2">
      <c r="A1736" s="96" t="s">
        <v>561</v>
      </c>
      <c r="B1736" s="96" t="s">
        <v>79</v>
      </c>
      <c r="C1736" s="277">
        <v>44774</v>
      </c>
      <c r="D1736" s="277">
        <v>44804</v>
      </c>
      <c r="E1736" s="270" t="s">
        <v>267</v>
      </c>
      <c r="F1736" s="96" t="s">
        <v>41</v>
      </c>
      <c r="G1736" s="270" t="s">
        <v>80</v>
      </c>
      <c r="H1736" s="272" t="s">
        <v>72</v>
      </c>
      <c r="I1736" s="273">
        <v>50</v>
      </c>
      <c r="J1736" s="270">
        <v>6140</v>
      </c>
      <c r="K1736" s="270">
        <f t="shared" si="0"/>
        <v>307000</v>
      </c>
      <c r="L1736" s="270">
        <v>40077</v>
      </c>
      <c r="M1736" s="270">
        <v>-8250</v>
      </c>
      <c r="N1736" s="274">
        <v>14957</v>
      </c>
      <c r="O1736" s="55"/>
      <c r="P1736" s="105">
        <v>14957</v>
      </c>
      <c r="Q1736" s="270">
        <v>-16749</v>
      </c>
      <c r="R1736" s="275">
        <v>0</v>
      </c>
      <c r="S1736" s="270">
        <v>-16749</v>
      </c>
      <c r="T1736" s="270">
        <v>6707</v>
      </c>
      <c r="U1736" s="57">
        <v>1</v>
      </c>
      <c r="V1736" s="276">
        <v>0.23</v>
      </c>
      <c r="W1736" s="276">
        <v>0</v>
      </c>
      <c r="X1736" s="270">
        <v>5164</v>
      </c>
      <c r="Y1736" s="270">
        <v>1543</v>
      </c>
      <c r="Z1736" s="45" t="b">
        <v>1</v>
      </c>
      <c r="AA1736" s="45" t="s">
        <v>38</v>
      </c>
      <c r="AB1736" s="45" t="s">
        <v>38</v>
      </c>
    </row>
    <row r="1737" spans="1:28" x14ac:dyDescent="0.2">
      <c r="A1737" s="279" t="s">
        <v>195</v>
      </c>
      <c r="B1737" s="279" t="s">
        <v>196</v>
      </c>
      <c r="C1737" s="277">
        <v>44774</v>
      </c>
      <c r="D1737" s="277">
        <v>44804</v>
      </c>
      <c r="E1737" s="96" t="s">
        <v>267</v>
      </c>
      <c r="F1737" s="96" t="s">
        <v>34</v>
      </c>
      <c r="G1737" s="279" t="s">
        <v>69</v>
      </c>
      <c r="H1737" s="289" t="s">
        <v>40</v>
      </c>
      <c r="I1737" s="280">
        <v>10</v>
      </c>
      <c r="J1737" s="279">
        <v>44</v>
      </c>
      <c r="K1737" s="270">
        <f t="shared" si="0"/>
        <v>440</v>
      </c>
      <c r="L1737" s="279">
        <v>4428</v>
      </c>
      <c r="M1737" s="279">
        <v>130</v>
      </c>
      <c r="N1737" s="274">
        <v>17.5</v>
      </c>
      <c r="O1737" s="55"/>
      <c r="P1737" s="45">
        <v>18</v>
      </c>
      <c r="Q1737" s="279">
        <v>55</v>
      </c>
      <c r="R1737" s="275">
        <v>-5.8E-4</v>
      </c>
      <c r="S1737" s="279">
        <v>54</v>
      </c>
      <c r="T1737" s="279">
        <v>72</v>
      </c>
      <c r="U1737" s="57">
        <v>1.0029999999999999</v>
      </c>
      <c r="V1737" s="276">
        <v>0.17</v>
      </c>
      <c r="W1737" s="276">
        <v>0</v>
      </c>
      <c r="X1737" s="279">
        <v>60</v>
      </c>
      <c r="Y1737" s="279">
        <v>12</v>
      </c>
      <c r="Z1737" s="45" t="b">
        <v>1</v>
      </c>
      <c r="AA1737" s="45" t="s">
        <v>50</v>
      </c>
      <c r="AB1737" s="45" t="s">
        <v>38</v>
      </c>
    </row>
    <row r="1738" spans="1:28" x14ac:dyDescent="0.2">
      <c r="A1738" s="279" t="s">
        <v>232</v>
      </c>
      <c r="B1738" s="279" t="s">
        <v>198</v>
      </c>
      <c r="C1738" s="282">
        <v>44774</v>
      </c>
      <c r="D1738" s="282">
        <v>44804</v>
      </c>
      <c r="E1738" s="279" t="s">
        <v>267</v>
      </c>
      <c r="F1738" s="133" t="s">
        <v>41</v>
      </c>
      <c r="G1738" s="279" t="s">
        <v>53</v>
      </c>
      <c r="H1738" s="289" t="s">
        <v>55</v>
      </c>
      <c r="I1738" s="280">
        <v>10</v>
      </c>
      <c r="J1738" s="279">
        <v>5</v>
      </c>
      <c r="K1738" s="270">
        <f t="shared" si="0"/>
        <v>50</v>
      </c>
      <c r="L1738" s="279">
        <v>-218</v>
      </c>
      <c r="M1738" s="279">
        <v>1</v>
      </c>
      <c r="N1738" s="274"/>
      <c r="O1738" s="55">
        <v>0.5</v>
      </c>
      <c r="P1738" s="45">
        <v>2</v>
      </c>
      <c r="Q1738" s="279">
        <v>-8</v>
      </c>
      <c r="R1738" s="275">
        <v>0</v>
      </c>
      <c r="S1738" s="279">
        <v>-8</v>
      </c>
      <c r="T1738" s="279">
        <v>3</v>
      </c>
      <c r="U1738" s="57">
        <v>1</v>
      </c>
      <c r="V1738" s="276">
        <v>0.23</v>
      </c>
      <c r="W1738" s="276">
        <v>0</v>
      </c>
      <c r="X1738" s="279">
        <v>2</v>
      </c>
      <c r="Y1738" s="279">
        <v>1</v>
      </c>
      <c r="Z1738" s="45" t="b">
        <v>1</v>
      </c>
      <c r="AA1738" s="45" t="s">
        <v>38</v>
      </c>
      <c r="AB1738" s="45" t="s">
        <v>38</v>
      </c>
    </row>
    <row r="1739" spans="1:28" x14ac:dyDescent="0.2">
      <c r="A1739" s="279" t="s">
        <v>232</v>
      </c>
      <c r="B1739" s="279" t="s">
        <v>198</v>
      </c>
      <c r="C1739" s="282">
        <v>44774</v>
      </c>
      <c r="D1739" s="282">
        <v>44804</v>
      </c>
      <c r="E1739" s="279" t="s">
        <v>267</v>
      </c>
      <c r="F1739" s="133" t="s">
        <v>41</v>
      </c>
      <c r="G1739" s="279" t="s">
        <v>53</v>
      </c>
      <c r="H1739" s="289" t="s">
        <v>56</v>
      </c>
      <c r="I1739" s="280">
        <v>20</v>
      </c>
      <c r="J1739" s="279">
        <v>1239</v>
      </c>
      <c r="K1739" s="270">
        <f t="shared" si="0"/>
        <v>24780</v>
      </c>
      <c r="L1739" s="279">
        <v>41776</v>
      </c>
      <c r="M1739" s="279">
        <v>69</v>
      </c>
      <c r="N1739" s="274"/>
      <c r="O1739" s="55">
        <v>0.5</v>
      </c>
      <c r="P1739" s="45">
        <v>867</v>
      </c>
      <c r="Q1739" s="279">
        <v>-361</v>
      </c>
      <c r="R1739" s="275">
        <v>0</v>
      </c>
      <c r="S1739" s="279">
        <v>-361</v>
      </c>
      <c r="T1739" s="279">
        <v>936</v>
      </c>
      <c r="U1739" s="57">
        <v>1</v>
      </c>
      <c r="V1739" s="276">
        <v>0.23</v>
      </c>
      <c r="W1739" s="276">
        <v>0</v>
      </c>
      <c r="X1739" s="279">
        <v>721</v>
      </c>
      <c r="Y1739" s="279">
        <v>215</v>
      </c>
      <c r="Z1739" s="45" t="b">
        <v>1</v>
      </c>
      <c r="AA1739" s="45" t="s">
        <v>38</v>
      </c>
      <c r="AB1739" s="45" t="s">
        <v>38</v>
      </c>
    </row>
    <row r="1740" spans="1:28" x14ac:dyDescent="0.2">
      <c r="A1740" s="279" t="s">
        <v>98</v>
      </c>
      <c r="B1740" s="279" t="s">
        <v>98</v>
      </c>
      <c r="C1740" s="277">
        <v>44774</v>
      </c>
      <c r="D1740" s="277">
        <v>44804</v>
      </c>
      <c r="E1740" s="279" t="s">
        <v>267</v>
      </c>
      <c r="F1740" s="133" t="s">
        <v>49</v>
      </c>
      <c r="G1740" s="270" t="s">
        <v>35</v>
      </c>
      <c r="H1740" s="272" t="s">
        <v>87</v>
      </c>
      <c r="I1740" s="273">
        <v>25</v>
      </c>
      <c r="J1740" s="270">
        <v>880</v>
      </c>
      <c r="K1740" s="270">
        <f t="shared" si="0"/>
        <v>22000</v>
      </c>
      <c r="L1740" s="270">
        <v>11273</v>
      </c>
      <c r="M1740" s="270">
        <v>400</v>
      </c>
      <c r="N1740" s="274">
        <v>909</v>
      </c>
      <c r="O1740" s="55"/>
      <c r="P1740" s="45">
        <v>909</v>
      </c>
      <c r="Q1740" s="270">
        <v>-537</v>
      </c>
      <c r="R1740" s="275">
        <v>-6.8099999999999996E-4</v>
      </c>
      <c r="S1740" s="270">
        <v>-552</v>
      </c>
      <c r="T1740" s="270">
        <v>357</v>
      </c>
      <c r="U1740" s="57">
        <v>1</v>
      </c>
      <c r="V1740" s="276">
        <v>0.25</v>
      </c>
      <c r="W1740" s="276">
        <v>0</v>
      </c>
      <c r="X1740" s="270">
        <v>268</v>
      </c>
      <c r="Y1740" s="270">
        <v>89</v>
      </c>
      <c r="Z1740" s="45" t="b">
        <v>1</v>
      </c>
      <c r="AA1740" s="45" t="s">
        <v>38</v>
      </c>
      <c r="AB1740" s="45" t="s">
        <v>38</v>
      </c>
    </row>
    <row r="1741" spans="1:28" x14ac:dyDescent="0.2">
      <c r="A1741" s="279" t="s">
        <v>98</v>
      </c>
      <c r="B1741" s="279" t="s">
        <v>98</v>
      </c>
      <c r="C1741" s="277">
        <v>44774</v>
      </c>
      <c r="D1741" s="277">
        <v>44804</v>
      </c>
      <c r="E1741" s="279" t="s">
        <v>267</v>
      </c>
      <c r="F1741" s="133" t="s">
        <v>49</v>
      </c>
      <c r="G1741" s="270" t="s">
        <v>35</v>
      </c>
      <c r="H1741" s="272" t="s">
        <v>85</v>
      </c>
      <c r="I1741" s="273">
        <v>50</v>
      </c>
      <c r="J1741" s="270">
        <v>4310</v>
      </c>
      <c r="K1741" s="270">
        <f t="shared" si="0"/>
        <v>215500</v>
      </c>
      <c r="L1741" s="270">
        <v>79376</v>
      </c>
      <c r="M1741" s="270">
        <v>-6900</v>
      </c>
      <c r="N1741" s="274">
        <v>8903</v>
      </c>
      <c r="O1741" s="55"/>
      <c r="P1741" s="105">
        <v>8903</v>
      </c>
      <c r="Q1741" s="270">
        <v>-1504</v>
      </c>
      <c r="R1741" s="275">
        <v>-7.0799999999999997E-4</v>
      </c>
      <c r="S1741" s="270">
        <v>-1657</v>
      </c>
      <c r="T1741" s="270">
        <v>7246</v>
      </c>
      <c r="U1741" s="57">
        <v>1</v>
      </c>
      <c r="V1741" s="276">
        <v>0.25</v>
      </c>
      <c r="W1741" s="276">
        <v>0</v>
      </c>
      <c r="X1741" s="270">
        <v>5435</v>
      </c>
      <c r="Y1741" s="270">
        <v>1812</v>
      </c>
      <c r="Z1741" s="45" t="b">
        <v>1</v>
      </c>
      <c r="AA1741" s="45" t="s">
        <v>38</v>
      </c>
      <c r="AB1741" s="45" t="s">
        <v>38</v>
      </c>
    </row>
    <row r="1742" spans="1:28" x14ac:dyDescent="0.2">
      <c r="A1742" s="279" t="s">
        <v>98</v>
      </c>
      <c r="B1742" s="279" t="s">
        <v>98</v>
      </c>
      <c r="C1742" s="277">
        <v>44774</v>
      </c>
      <c r="D1742" s="277">
        <v>44804</v>
      </c>
      <c r="E1742" s="279" t="s">
        <v>267</v>
      </c>
      <c r="F1742" s="133" t="s">
        <v>49</v>
      </c>
      <c r="G1742" s="270" t="s">
        <v>35</v>
      </c>
      <c r="H1742" s="272" t="s">
        <v>84</v>
      </c>
      <c r="I1742" s="273">
        <v>100</v>
      </c>
      <c r="J1742" s="270">
        <v>650</v>
      </c>
      <c r="K1742" s="270">
        <f t="shared" si="0"/>
        <v>65000</v>
      </c>
      <c r="L1742" s="270">
        <v>9316</v>
      </c>
      <c r="M1742" s="270">
        <v>-100</v>
      </c>
      <c r="N1742" s="274">
        <v>2238</v>
      </c>
      <c r="O1742" s="55"/>
      <c r="P1742" s="105">
        <v>2238</v>
      </c>
      <c r="Q1742" s="270">
        <v>-600</v>
      </c>
      <c r="R1742" s="275">
        <v>-7.1000000000000002E-4</v>
      </c>
      <c r="S1742" s="270">
        <v>-646</v>
      </c>
      <c r="T1742" s="270">
        <v>1592</v>
      </c>
      <c r="U1742" s="57">
        <v>1</v>
      </c>
      <c r="V1742" s="276">
        <v>0.25</v>
      </c>
      <c r="W1742" s="276">
        <v>0</v>
      </c>
      <c r="X1742" s="270">
        <v>1194</v>
      </c>
      <c r="Y1742" s="270">
        <v>398</v>
      </c>
      <c r="Z1742" s="45" t="b">
        <v>1</v>
      </c>
      <c r="AA1742" s="45" t="s">
        <v>38</v>
      </c>
      <c r="AB1742" s="45" t="s">
        <v>38</v>
      </c>
    </row>
    <row r="1743" spans="1:28" x14ac:dyDescent="0.2">
      <c r="A1743" s="279" t="s">
        <v>98</v>
      </c>
      <c r="B1743" s="279" t="s">
        <v>98</v>
      </c>
      <c r="C1743" s="277">
        <v>44774</v>
      </c>
      <c r="D1743" s="277">
        <v>44804</v>
      </c>
      <c r="E1743" s="279" t="s">
        <v>267</v>
      </c>
      <c r="F1743" s="133" t="s">
        <v>41</v>
      </c>
      <c r="G1743" s="270" t="s">
        <v>35</v>
      </c>
      <c r="H1743" s="272" t="s">
        <v>51</v>
      </c>
      <c r="I1743" s="273">
        <v>0.25</v>
      </c>
      <c r="J1743" s="270">
        <v>5</v>
      </c>
      <c r="K1743" s="270">
        <f t="shared" si="0"/>
        <v>1.25</v>
      </c>
      <c r="L1743" s="270">
        <v>-600</v>
      </c>
      <c r="M1743" s="270">
        <v>2</v>
      </c>
      <c r="N1743" s="274">
        <v>0</v>
      </c>
      <c r="O1743" s="55"/>
      <c r="P1743" s="45">
        <v>0</v>
      </c>
      <c r="Q1743" s="270">
        <v>-1</v>
      </c>
      <c r="R1743" s="275">
        <v>0</v>
      </c>
      <c r="S1743" s="270">
        <v>-1</v>
      </c>
      <c r="T1743" s="270">
        <v>2</v>
      </c>
      <c r="U1743" s="57">
        <v>1</v>
      </c>
      <c r="V1743" s="276">
        <v>0.25</v>
      </c>
      <c r="W1743" s="276">
        <v>0</v>
      </c>
      <c r="X1743" s="270">
        <v>2</v>
      </c>
      <c r="Y1743" s="270">
        <v>1</v>
      </c>
      <c r="Z1743" s="45" t="b">
        <v>1</v>
      </c>
      <c r="AA1743" s="45" t="s">
        <v>38</v>
      </c>
      <c r="AB1743" s="45" t="s">
        <v>38</v>
      </c>
    </row>
    <row r="1744" spans="1:28" x14ac:dyDescent="0.2">
      <c r="A1744" s="279" t="s">
        <v>133</v>
      </c>
      <c r="B1744" s="279" t="s">
        <v>133</v>
      </c>
      <c r="C1744" s="282">
        <v>44774</v>
      </c>
      <c r="D1744" s="282">
        <v>44804</v>
      </c>
      <c r="E1744" s="279" t="s">
        <v>267</v>
      </c>
      <c r="F1744" s="133" t="s">
        <v>41</v>
      </c>
      <c r="G1744" s="279" t="s">
        <v>61</v>
      </c>
      <c r="H1744" s="289" t="s">
        <v>182</v>
      </c>
      <c r="I1744" s="280">
        <v>2</v>
      </c>
      <c r="J1744" s="279">
        <v>287</v>
      </c>
      <c r="K1744" s="270">
        <f t="shared" si="0"/>
        <v>574</v>
      </c>
      <c r="L1744" s="279">
        <v>36141</v>
      </c>
      <c r="M1744" s="279">
        <v>102</v>
      </c>
      <c r="N1744" s="281">
        <v>241.16</v>
      </c>
      <c r="O1744" s="55"/>
      <c r="P1744" s="45">
        <v>241</v>
      </c>
      <c r="Q1744" s="279">
        <v>79</v>
      </c>
      <c r="R1744" s="275">
        <v>0</v>
      </c>
      <c r="S1744" s="279">
        <v>79</v>
      </c>
      <c r="T1744" s="279">
        <v>343</v>
      </c>
      <c r="U1744" s="57">
        <v>1</v>
      </c>
      <c r="V1744" s="276">
        <v>0.17</v>
      </c>
      <c r="W1744" s="276">
        <v>0</v>
      </c>
      <c r="X1744" s="279">
        <v>285</v>
      </c>
      <c r="Y1744" s="279">
        <v>58</v>
      </c>
      <c r="Z1744" s="45" t="b">
        <v>1</v>
      </c>
      <c r="AA1744" s="45" t="s">
        <v>50</v>
      </c>
      <c r="AB1744" s="45" t="s">
        <v>50</v>
      </c>
    </row>
    <row r="1745" spans="1:28" x14ac:dyDescent="0.2">
      <c r="A1745" s="279" t="s">
        <v>133</v>
      </c>
      <c r="B1745" s="279" t="s">
        <v>133</v>
      </c>
      <c r="C1745" s="282">
        <v>44774</v>
      </c>
      <c r="D1745" s="282">
        <v>44804</v>
      </c>
      <c r="E1745" s="279" t="s">
        <v>267</v>
      </c>
      <c r="F1745" s="133" t="s">
        <v>41</v>
      </c>
      <c r="G1745" s="279" t="s">
        <v>61</v>
      </c>
      <c r="H1745" s="289" t="s">
        <v>132</v>
      </c>
      <c r="I1745" s="280">
        <v>5</v>
      </c>
      <c r="J1745" s="279">
        <v>2856</v>
      </c>
      <c r="K1745" s="270">
        <f t="shared" si="0"/>
        <v>14280</v>
      </c>
      <c r="L1745" s="279">
        <v>218773</v>
      </c>
      <c r="M1745" s="279">
        <v>1070</v>
      </c>
      <c r="N1745" s="281">
        <v>68.84</v>
      </c>
      <c r="O1745" s="55"/>
      <c r="P1745" s="45">
        <v>69</v>
      </c>
      <c r="Q1745" s="279">
        <v>691</v>
      </c>
      <c r="R1745" s="275">
        <v>0</v>
      </c>
      <c r="S1745" s="279">
        <v>691</v>
      </c>
      <c r="T1745" s="279">
        <v>1139</v>
      </c>
      <c r="U1745" s="57">
        <v>1</v>
      </c>
      <c r="V1745" s="276">
        <v>0.17</v>
      </c>
      <c r="W1745" s="276">
        <v>0</v>
      </c>
      <c r="X1745" s="279">
        <v>945</v>
      </c>
      <c r="Y1745" s="279">
        <v>194</v>
      </c>
      <c r="Z1745" s="45" t="b">
        <v>1</v>
      </c>
      <c r="AA1745" s="45" t="s">
        <v>50</v>
      </c>
      <c r="AB1745" s="45" t="s">
        <v>50</v>
      </c>
    </row>
    <row r="1746" spans="1:28" x14ac:dyDescent="0.2">
      <c r="A1746" s="279" t="s">
        <v>133</v>
      </c>
      <c r="B1746" s="279" t="s">
        <v>133</v>
      </c>
      <c r="C1746" s="282">
        <v>44774</v>
      </c>
      <c r="D1746" s="282">
        <v>44804</v>
      </c>
      <c r="E1746" s="279" t="s">
        <v>267</v>
      </c>
      <c r="F1746" s="133" t="s">
        <v>41</v>
      </c>
      <c r="G1746" s="279" t="s">
        <v>61</v>
      </c>
      <c r="H1746" s="289" t="s">
        <v>227</v>
      </c>
      <c r="I1746" s="280">
        <v>10</v>
      </c>
      <c r="J1746" s="279">
        <v>5</v>
      </c>
      <c r="K1746" s="270">
        <f t="shared" si="0"/>
        <v>50</v>
      </c>
      <c r="L1746" s="279">
        <v>-1532</v>
      </c>
      <c r="M1746" s="279">
        <v>-10</v>
      </c>
      <c r="N1746" s="281">
        <v>0</v>
      </c>
      <c r="O1746" s="55"/>
      <c r="P1746" s="45">
        <v>0</v>
      </c>
      <c r="Q1746" s="279">
        <v>-32</v>
      </c>
      <c r="R1746" s="275">
        <v>0</v>
      </c>
      <c r="S1746" s="279">
        <v>-32</v>
      </c>
      <c r="T1746" s="279">
        <v>-10</v>
      </c>
      <c r="U1746" s="57">
        <v>1</v>
      </c>
      <c r="V1746" s="276">
        <v>0.17</v>
      </c>
      <c r="W1746" s="276">
        <v>0</v>
      </c>
      <c r="X1746" s="279">
        <v>-8</v>
      </c>
      <c r="Y1746" s="279">
        <v>-2</v>
      </c>
      <c r="Z1746" s="45" t="b">
        <v>1</v>
      </c>
      <c r="AA1746" s="45" t="s">
        <v>50</v>
      </c>
      <c r="AB1746" s="45" t="s">
        <v>50</v>
      </c>
    </row>
    <row r="1747" spans="1:28" x14ac:dyDescent="0.2">
      <c r="A1747" s="96" t="s">
        <v>286</v>
      </c>
      <c r="B1747" s="96" t="s">
        <v>286</v>
      </c>
      <c r="C1747" s="277">
        <v>44794</v>
      </c>
      <c r="D1747" s="277">
        <v>44824</v>
      </c>
      <c r="E1747" s="270" t="s">
        <v>267</v>
      </c>
      <c r="F1747" s="133" t="s">
        <v>34</v>
      </c>
      <c r="G1747" s="96" t="s">
        <v>35</v>
      </c>
      <c r="H1747" s="272" t="s">
        <v>90</v>
      </c>
      <c r="I1747" s="273">
        <v>5</v>
      </c>
      <c r="J1747" s="270">
        <v>2</v>
      </c>
      <c r="K1747" s="270">
        <f t="shared" si="0"/>
        <v>10</v>
      </c>
      <c r="L1747" s="270">
        <v>-425</v>
      </c>
      <c r="M1747" s="270">
        <v>-10</v>
      </c>
      <c r="N1747" s="274"/>
      <c r="O1747" s="55"/>
      <c r="P1747" s="96"/>
      <c r="Q1747" s="270">
        <v>-7</v>
      </c>
      <c r="R1747" s="275">
        <v>-5.8E-4</v>
      </c>
      <c r="S1747" s="270">
        <v>-7</v>
      </c>
      <c r="T1747" s="270">
        <v>-7</v>
      </c>
      <c r="U1747" s="57">
        <v>1</v>
      </c>
      <c r="V1747" s="276">
        <v>0.15</v>
      </c>
      <c r="W1747" s="276">
        <v>0</v>
      </c>
      <c r="X1747" s="270">
        <v>-6</v>
      </c>
      <c r="Y1747" s="270">
        <v>-1</v>
      </c>
      <c r="Z1747" s="45" t="b">
        <v>1</v>
      </c>
      <c r="AA1747" s="45" t="s">
        <v>38</v>
      </c>
      <c r="AB1747" s="45" t="s">
        <v>38</v>
      </c>
    </row>
    <row r="1748" spans="1:28" x14ac:dyDescent="0.2">
      <c r="A1748" s="96" t="s">
        <v>286</v>
      </c>
      <c r="B1748" s="96" t="s">
        <v>286</v>
      </c>
      <c r="C1748" s="277">
        <v>44794</v>
      </c>
      <c r="D1748" s="277">
        <v>44824</v>
      </c>
      <c r="E1748" s="270" t="s">
        <v>267</v>
      </c>
      <c r="F1748" s="133" t="s">
        <v>34</v>
      </c>
      <c r="G1748" s="96" t="s">
        <v>35</v>
      </c>
      <c r="H1748" s="272" t="s">
        <v>40</v>
      </c>
      <c r="I1748" s="273">
        <v>10</v>
      </c>
      <c r="J1748" s="270">
        <v>472</v>
      </c>
      <c r="K1748" s="270">
        <f t="shared" si="0"/>
        <v>4720</v>
      </c>
      <c r="L1748" s="270">
        <v>23698</v>
      </c>
      <c r="M1748" s="270">
        <v>80</v>
      </c>
      <c r="N1748" s="274">
        <v>150</v>
      </c>
      <c r="O1748" s="55"/>
      <c r="P1748" s="45">
        <v>150</v>
      </c>
      <c r="Q1748" s="270">
        <v>85</v>
      </c>
      <c r="R1748" s="275">
        <v>-5.8E-4</v>
      </c>
      <c r="S1748" s="270">
        <v>83</v>
      </c>
      <c r="T1748" s="270">
        <v>233</v>
      </c>
      <c r="U1748" s="57">
        <v>1</v>
      </c>
      <c r="V1748" s="276">
        <v>0.15</v>
      </c>
      <c r="W1748" s="276">
        <v>0</v>
      </c>
      <c r="X1748" s="270">
        <v>198</v>
      </c>
      <c r="Y1748" s="270">
        <v>35</v>
      </c>
      <c r="Z1748" s="45" t="b">
        <v>1</v>
      </c>
      <c r="AA1748" s="45" t="s">
        <v>38</v>
      </c>
      <c r="AB1748" s="45" t="s">
        <v>38</v>
      </c>
    </row>
    <row r="1749" spans="1:28" x14ac:dyDescent="0.2">
      <c r="A1749" s="96" t="s">
        <v>286</v>
      </c>
      <c r="B1749" s="96" t="s">
        <v>286</v>
      </c>
      <c r="C1749" s="277">
        <v>44794</v>
      </c>
      <c r="D1749" s="277">
        <v>44824</v>
      </c>
      <c r="E1749" s="270" t="s">
        <v>267</v>
      </c>
      <c r="F1749" s="133" t="s">
        <v>34</v>
      </c>
      <c r="G1749" s="96" t="s">
        <v>35</v>
      </c>
      <c r="H1749" s="272" t="s">
        <v>115</v>
      </c>
      <c r="I1749" s="273">
        <v>10</v>
      </c>
      <c r="J1749" s="270">
        <v>206</v>
      </c>
      <c r="K1749" s="270">
        <f t="shared" si="0"/>
        <v>2060</v>
      </c>
      <c r="L1749" s="270">
        <v>3671</v>
      </c>
      <c r="M1749" s="270">
        <v>10</v>
      </c>
      <c r="N1749" s="274">
        <v>65</v>
      </c>
      <c r="O1749" s="55"/>
      <c r="P1749" s="45">
        <v>65</v>
      </c>
      <c r="Q1749" s="270">
        <v>-40</v>
      </c>
      <c r="R1749" s="275">
        <v>-5.8E-4</v>
      </c>
      <c r="S1749" s="270">
        <v>-41</v>
      </c>
      <c r="T1749" s="270">
        <v>24</v>
      </c>
      <c r="U1749" s="57">
        <v>1</v>
      </c>
      <c r="V1749" s="276">
        <v>0.15</v>
      </c>
      <c r="W1749" s="276">
        <v>0</v>
      </c>
      <c r="X1749" s="270">
        <v>20</v>
      </c>
      <c r="Y1749" s="270">
        <v>4</v>
      </c>
      <c r="Z1749" s="45" t="b">
        <v>1</v>
      </c>
      <c r="AA1749" s="45" t="s">
        <v>38</v>
      </c>
      <c r="AB1749" s="45" t="s">
        <v>38</v>
      </c>
    </row>
    <row r="1750" spans="1:28" x14ac:dyDescent="0.2">
      <c r="A1750" s="96" t="s">
        <v>286</v>
      </c>
      <c r="B1750" s="96" t="s">
        <v>286</v>
      </c>
      <c r="C1750" s="277">
        <v>44794</v>
      </c>
      <c r="D1750" s="277">
        <v>44824</v>
      </c>
      <c r="E1750" s="270" t="s">
        <v>267</v>
      </c>
      <c r="F1750" s="133" t="s">
        <v>34</v>
      </c>
      <c r="G1750" s="96" t="s">
        <v>35</v>
      </c>
      <c r="H1750" s="272" t="s">
        <v>46</v>
      </c>
      <c r="I1750" s="273">
        <v>25</v>
      </c>
      <c r="J1750" s="270">
        <v>763</v>
      </c>
      <c r="K1750" s="270">
        <f t="shared" si="0"/>
        <v>19075</v>
      </c>
      <c r="L1750" s="270">
        <v>22894</v>
      </c>
      <c r="M1750" s="270">
        <v>525</v>
      </c>
      <c r="N1750" s="274">
        <v>130</v>
      </c>
      <c r="O1750" s="55"/>
      <c r="P1750" s="45">
        <v>130</v>
      </c>
      <c r="Q1750" s="270">
        <v>-159</v>
      </c>
      <c r="R1750" s="275">
        <v>-5.8E-4</v>
      </c>
      <c r="S1750" s="270">
        <v>-171</v>
      </c>
      <c r="T1750" s="270">
        <v>-41</v>
      </c>
      <c r="U1750" s="57">
        <v>1</v>
      </c>
      <c r="V1750" s="276">
        <v>0.15</v>
      </c>
      <c r="W1750" s="276">
        <v>0</v>
      </c>
      <c r="X1750" s="270">
        <v>-34</v>
      </c>
      <c r="Y1750" s="270">
        <v>-6</v>
      </c>
      <c r="Z1750" s="45" t="b">
        <v>1</v>
      </c>
      <c r="AA1750" s="45" t="s">
        <v>38</v>
      </c>
      <c r="AB1750" s="45" t="s">
        <v>38</v>
      </c>
    </row>
    <row r="1751" spans="1:28" x14ac:dyDescent="0.2">
      <c r="A1751" s="96" t="s">
        <v>286</v>
      </c>
      <c r="B1751" s="96" t="s">
        <v>286</v>
      </c>
      <c r="C1751" s="277">
        <v>44794</v>
      </c>
      <c r="D1751" s="277">
        <v>44824</v>
      </c>
      <c r="E1751" s="270" t="s">
        <v>267</v>
      </c>
      <c r="F1751" s="133" t="s">
        <v>34</v>
      </c>
      <c r="G1751" s="96" t="s">
        <v>35</v>
      </c>
      <c r="H1751" s="272" t="s">
        <v>87</v>
      </c>
      <c r="I1751" s="273">
        <v>25</v>
      </c>
      <c r="J1751" s="270">
        <v>192</v>
      </c>
      <c r="K1751" s="270">
        <f t="shared" si="0"/>
        <v>4800</v>
      </c>
      <c r="L1751" s="270">
        <v>4472</v>
      </c>
      <c r="M1751" s="270">
        <v>-275</v>
      </c>
      <c r="N1751" s="274">
        <v>520</v>
      </c>
      <c r="O1751" s="55"/>
      <c r="P1751" s="45">
        <v>520</v>
      </c>
      <c r="Q1751" s="270">
        <v>38</v>
      </c>
      <c r="R1751" s="275">
        <v>-5.8E-4</v>
      </c>
      <c r="S1751" s="270">
        <v>36</v>
      </c>
      <c r="T1751" s="270">
        <v>556</v>
      </c>
      <c r="U1751" s="57">
        <v>1</v>
      </c>
      <c r="V1751" s="276">
        <v>0.15</v>
      </c>
      <c r="W1751" s="276">
        <v>0</v>
      </c>
      <c r="X1751" s="270">
        <v>472</v>
      </c>
      <c r="Y1751" s="270">
        <v>83</v>
      </c>
      <c r="Z1751" s="45" t="b">
        <v>1</v>
      </c>
      <c r="AA1751" s="45" t="s">
        <v>38</v>
      </c>
      <c r="AB1751" s="45" t="s">
        <v>38</v>
      </c>
    </row>
    <row r="1752" spans="1:28" x14ac:dyDescent="0.2">
      <c r="A1752" s="96" t="s">
        <v>82</v>
      </c>
      <c r="B1752" s="96" t="s">
        <v>82</v>
      </c>
      <c r="C1752" s="277">
        <v>44794</v>
      </c>
      <c r="D1752" s="277">
        <v>44824</v>
      </c>
      <c r="E1752" s="270" t="s">
        <v>300</v>
      </c>
      <c r="F1752" s="133" t="s">
        <v>34</v>
      </c>
      <c r="G1752" s="96" t="s">
        <v>35</v>
      </c>
      <c r="H1752" s="272" t="s">
        <v>70</v>
      </c>
      <c r="I1752" s="273">
        <v>100</v>
      </c>
      <c r="J1752" s="270">
        <v>2801</v>
      </c>
      <c r="K1752" s="270">
        <f t="shared" si="0"/>
        <v>280100</v>
      </c>
      <c r="L1752" s="270">
        <v>61184</v>
      </c>
      <c r="M1752" s="270">
        <v>1100</v>
      </c>
      <c r="N1752" s="274">
        <v>10200</v>
      </c>
      <c r="O1752" s="55"/>
      <c r="P1752" s="105">
        <v>10200</v>
      </c>
      <c r="Q1752" s="270">
        <v>-3567</v>
      </c>
      <c r="R1752" s="275">
        <v>-5.8E-4</v>
      </c>
      <c r="S1752" s="270">
        <v>-3729</v>
      </c>
      <c r="T1752" s="270">
        <v>6471</v>
      </c>
      <c r="U1752" s="57">
        <v>1</v>
      </c>
      <c r="V1752" s="276">
        <v>0.15</v>
      </c>
      <c r="W1752" s="276">
        <v>0.05</v>
      </c>
      <c r="X1752" s="270">
        <v>5177</v>
      </c>
      <c r="Y1752" s="270">
        <v>1294</v>
      </c>
      <c r="Z1752" s="45" t="b">
        <v>1</v>
      </c>
      <c r="AA1752" s="45" t="s">
        <v>38</v>
      </c>
      <c r="AB1752" s="45" t="s">
        <v>38</v>
      </c>
    </row>
    <row r="1753" spans="1:28" x14ac:dyDescent="0.2">
      <c r="A1753" s="96" t="s">
        <v>154</v>
      </c>
      <c r="B1753" s="96" t="s">
        <v>154</v>
      </c>
      <c r="C1753" s="277">
        <v>44794</v>
      </c>
      <c r="D1753" s="277">
        <v>44824</v>
      </c>
      <c r="E1753" s="279" t="s">
        <v>267</v>
      </c>
      <c r="F1753" s="96" t="s">
        <v>34</v>
      </c>
      <c r="G1753" s="270" t="s">
        <v>35</v>
      </c>
      <c r="H1753" s="272" t="s">
        <v>39</v>
      </c>
      <c r="I1753" s="273">
        <v>5</v>
      </c>
      <c r="J1753" s="270">
        <v>123</v>
      </c>
      <c r="K1753" s="270">
        <f t="shared" si="0"/>
        <v>615</v>
      </c>
      <c r="L1753" s="270">
        <v>-658</v>
      </c>
      <c r="M1753" s="270">
        <v>-120</v>
      </c>
      <c r="N1753" s="274"/>
      <c r="O1753" s="55"/>
      <c r="P1753" s="96"/>
      <c r="Q1753" s="270">
        <v>-60</v>
      </c>
      <c r="R1753" s="275">
        <v>-5.8E-4</v>
      </c>
      <c r="S1753" s="270">
        <v>-60</v>
      </c>
      <c r="T1753" s="270">
        <v>-60</v>
      </c>
      <c r="U1753" s="57">
        <v>1</v>
      </c>
      <c r="V1753" s="276">
        <v>0.2</v>
      </c>
      <c r="W1753" s="276">
        <v>0</v>
      </c>
      <c r="X1753" s="270">
        <v>-48</v>
      </c>
      <c r="Y1753" s="270">
        <v>-12</v>
      </c>
      <c r="Z1753" s="45" t="b">
        <v>1</v>
      </c>
      <c r="AA1753" s="45" t="s">
        <v>38</v>
      </c>
      <c r="AB1753" s="45" t="s">
        <v>38</v>
      </c>
    </row>
    <row r="1754" spans="1:28" x14ac:dyDescent="0.2">
      <c r="A1754" s="279" t="s">
        <v>355</v>
      </c>
      <c r="B1754" s="279" t="s">
        <v>902</v>
      </c>
      <c r="C1754" s="282">
        <v>44794</v>
      </c>
      <c r="D1754" s="282">
        <v>44824</v>
      </c>
      <c r="E1754" s="270" t="s">
        <v>300</v>
      </c>
      <c r="F1754" s="133" t="s">
        <v>34</v>
      </c>
      <c r="G1754" s="279" t="s">
        <v>61</v>
      </c>
      <c r="H1754" s="289" t="s">
        <v>1004</v>
      </c>
      <c r="I1754" s="280">
        <v>10</v>
      </c>
      <c r="J1754" s="279">
        <v>730</v>
      </c>
      <c r="K1754" s="270">
        <f t="shared" si="0"/>
        <v>7300</v>
      </c>
      <c r="L1754" s="279">
        <v>16628</v>
      </c>
      <c r="M1754" s="279">
        <v>-390</v>
      </c>
      <c r="N1754" s="281">
        <v>1619.94</v>
      </c>
      <c r="O1754" s="55"/>
      <c r="P1754" s="105">
        <v>1620</v>
      </c>
      <c r="Q1754" s="279">
        <v>-124</v>
      </c>
      <c r="R1754" s="275">
        <v>-5.8E-4</v>
      </c>
      <c r="S1754" s="279">
        <v>-129</v>
      </c>
      <c r="T1754" s="279">
        <v>1491</v>
      </c>
      <c r="U1754" s="57">
        <v>1</v>
      </c>
      <c r="V1754" s="276">
        <v>0.1</v>
      </c>
      <c r="W1754" s="276">
        <v>0.1</v>
      </c>
      <c r="X1754" s="279">
        <v>1193</v>
      </c>
      <c r="Y1754" s="279">
        <v>298</v>
      </c>
      <c r="Z1754" s="45" t="b">
        <v>1</v>
      </c>
      <c r="AA1754" s="45" t="s">
        <v>50</v>
      </c>
      <c r="AB1754" s="45" t="s">
        <v>50</v>
      </c>
    </row>
    <row r="1755" spans="1:28" x14ac:dyDescent="0.2">
      <c r="A1755" s="279" t="s">
        <v>355</v>
      </c>
      <c r="B1755" s="279" t="s">
        <v>902</v>
      </c>
      <c r="C1755" s="282">
        <v>44794</v>
      </c>
      <c r="D1755" s="282">
        <v>44824</v>
      </c>
      <c r="E1755" s="270" t="s">
        <v>300</v>
      </c>
      <c r="F1755" s="133" t="s">
        <v>34</v>
      </c>
      <c r="G1755" s="279" t="s">
        <v>61</v>
      </c>
      <c r="H1755" s="289" t="s">
        <v>227</v>
      </c>
      <c r="I1755" s="280">
        <v>10</v>
      </c>
      <c r="J1755" s="279">
        <v>865</v>
      </c>
      <c r="K1755" s="270">
        <f t="shared" si="0"/>
        <v>8650</v>
      </c>
      <c r="L1755" s="279">
        <v>73412</v>
      </c>
      <c r="M1755" s="279">
        <v>750</v>
      </c>
      <c r="N1755" s="281">
        <v>55.06</v>
      </c>
      <c r="O1755" s="55"/>
      <c r="P1755" s="45">
        <v>55</v>
      </c>
      <c r="Q1755" s="279">
        <v>591</v>
      </c>
      <c r="R1755" s="275">
        <v>-5.8E-4</v>
      </c>
      <c r="S1755" s="279">
        <v>586</v>
      </c>
      <c r="T1755" s="279">
        <v>641</v>
      </c>
      <c r="U1755" s="57">
        <v>1</v>
      </c>
      <c r="V1755" s="276">
        <v>0.1</v>
      </c>
      <c r="W1755" s="276">
        <v>0.1</v>
      </c>
      <c r="X1755" s="279">
        <v>513</v>
      </c>
      <c r="Y1755" s="279">
        <v>128</v>
      </c>
      <c r="Z1755" s="45" t="b">
        <v>1</v>
      </c>
      <c r="AA1755" s="45" t="s">
        <v>50</v>
      </c>
      <c r="AB1755" s="45" t="s">
        <v>50</v>
      </c>
    </row>
    <row r="1756" spans="1:28" x14ac:dyDescent="0.2">
      <c r="A1756" s="279" t="s">
        <v>355</v>
      </c>
      <c r="B1756" s="279" t="s">
        <v>902</v>
      </c>
      <c r="C1756" s="282">
        <v>44794</v>
      </c>
      <c r="D1756" s="282">
        <v>44824</v>
      </c>
      <c r="E1756" s="270" t="s">
        <v>300</v>
      </c>
      <c r="F1756" s="133" t="s">
        <v>34</v>
      </c>
      <c r="G1756" s="279" t="s">
        <v>61</v>
      </c>
      <c r="H1756" s="272" t="s">
        <v>179</v>
      </c>
      <c r="I1756" s="280">
        <v>25</v>
      </c>
      <c r="J1756" s="279">
        <v>2093</v>
      </c>
      <c r="K1756" s="270">
        <f t="shared" si="0"/>
        <v>52325</v>
      </c>
      <c r="L1756" s="279">
        <v>153074</v>
      </c>
      <c r="M1756" s="279">
        <v>2325</v>
      </c>
      <c r="N1756" s="281">
        <v>0</v>
      </c>
      <c r="O1756" s="55"/>
      <c r="P1756" s="45">
        <v>0</v>
      </c>
      <c r="Q1756" s="279">
        <v>2417</v>
      </c>
      <c r="R1756" s="275">
        <v>-5.8E-4</v>
      </c>
      <c r="S1756" s="279">
        <v>2387</v>
      </c>
      <c r="T1756" s="279">
        <v>2387</v>
      </c>
      <c r="U1756" s="57">
        <v>1</v>
      </c>
      <c r="V1756" s="276">
        <v>0.1</v>
      </c>
      <c r="W1756" s="276">
        <v>0.1</v>
      </c>
      <c r="X1756" s="279">
        <v>1909</v>
      </c>
      <c r="Y1756" s="279">
        <v>477</v>
      </c>
      <c r="Z1756" s="45" t="b">
        <v>1</v>
      </c>
      <c r="AA1756" s="45" t="s">
        <v>50</v>
      </c>
      <c r="AB1756" s="45" t="s">
        <v>50</v>
      </c>
    </row>
    <row r="1757" spans="1:28" x14ac:dyDescent="0.2">
      <c r="A1757" s="279" t="s">
        <v>355</v>
      </c>
      <c r="B1757" s="279" t="s">
        <v>903</v>
      </c>
      <c r="C1757" s="282">
        <v>44794</v>
      </c>
      <c r="D1757" s="282">
        <v>44824</v>
      </c>
      <c r="E1757" s="270" t="s">
        <v>300</v>
      </c>
      <c r="F1757" s="133" t="s">
        <v>34</v>
      </c>
      <c r="G1757" s="270" t="s">
        <v>80</v>
      </c>
      <c r="H1757" s="289" t="s">
        <v>71</v>
      </c>
      <c r="I1757" s="280">
        <v>20</v>
      </c>
      <c r="J1757" s="279">
        <v>1058</v>
      </c>
      <c r="K1757" s="270">
        <f t="shared" si="0"/>
        <v>21160</v>
      </c>
      <c r="L1757" s="279">
        <v>13002</v>
      </c>
      <c r="M1757" s="279">
        <v>-740</v>
      </c>
      <c r="N1757" s="274">
        <f>7*20+797</f>
        <v>937</v>
      </c>
      <c r="O1757" s="55"/>
      <c r="P1757" s="45">
        <v>937</v>
      </c>
      <c r="Q1757" s="279">
        <v>-845</v>
      </c>
      <c r="R1757" s="275">
        <v>-1.5E-3</v>
      </c>
      <c r="S1757" s="279">
        <v>-876</v>
      </c>
      <c r="T1757" s="279">
        <v>61</v>
      </c>
      <c r="U1757" s="57">
        <v>1</v>
      </c>
      <c r="V1757" s="276">
        <v>0.1</v>
      </c>
      <c r="W1757" s="276">
        <v>0.1</v>
      </c>
      <c r="X1757" s="279">
        <v>48</v>
      </c>
      <c r="Y1757" s="279">
        <v>12</v>
      </c>
      <c r="Z1757" s="45" t="b">
        <v>1</v>
      </c>
      <c r="AA1757" s="45" t="s">
        <v>38</v>
      </c>
      <c r="AB1757" s="45" t="s">
        <v>38</v>
      </c>
    </row>
    <row r="1758" spans="1:28" x14ac:dyDescent="0.2">
      <c r="A1758" s="96" t="s">
        <v>125</v>
      </c>
      <c r="B1758" s="96" t="s">
        <v>125</v>
      </c>
      <c r="C1758" s="277">
        <v>44794</v>
      </c>
      <c r="D1758" s="277">
        <v>44824</v>
      </c>
      <c r="E1758" s="270" t="s">
        <v>267</v>
      </c>
      <c r="F1758" s="96" t="s">
        <v>34</v>
      </c>
      <c r="G1758" s="270" t="s">
        <v>35</v>
      </c>
      <c r="H1758" s="272" t="s">
        <v>39</v>
      </c>
      <c r="I1758" s="273">
        <v>5</v>
      </c>
      <c r="J1758" s="270">
        <v>37</v>
      </c>
      <c r="K1758" s="270">
        <f t="shared" si="0"/>
        <v>185</v>
      </c>
      <c r="L1758" s="270">
        <v>3620</v>
      </c>
      <c r="M1758" s="270">
        <v>-25</v>
      </c>
      <c r="N1758" s="274">
        <v>10</v>
      </c>
      <c r="O1758" s="55"/>
      <c r="P1758" s="45">
        <v>10</v>
      </c>
      <c r="Q1758" s="270">
        <v>16</v>
      </c>
      <c r="R1758" s="275">
        <v>-5.8E-4</v>
      </c>
      <c r="S1758" s="270">
        <v>16</v>
      </c>
      <c r="T1758" s="270">
        <v>26</v>
      </c>
      <c r="U1758" s="57">
        <v>1</v>
      </c>
      <c r="V1758" s="276">
        <v>0.23</v>
      </c>
      <c r="W1758" s="276">
        <v>0</v>
      </c>
      <c r="X1758" s="270">
        <v>20</v>
      </c>
      <c r="Y1758" s="270">
        <v>6</v>
      </c>
      <c r="Z1758" s="45" t="b">
        <v>1</v>
      </c>
      <c r="AA1758" s="45" t="s">
        <v>38</v>
      </c>
      <c r="AB1758" s="45" t="s">
        <v>38</v>
      </c>
    </row>
    <row r="1759" spans="1:28" x14ac:dyDescent="0.2">
      <c r="A1759" s="96" t="s">
        <v>125</v>
      </c>
      <c r="B1759" s="96" t="s">
        <v>125</v>
      </c>
      <c r="C1759" s="277">
        <v>44794</v>
      </c>
      <c r="D1759" s="277">
        <v>44824</v>
      </c>
      <c r="E1759" s="270" t="s">
        <v>267</v>
      </c>
      <c r="F1759" s="96" t="s">
        <v>34</v>
      </c>
      <c r="G1759" s="270" t="s">
        <v>35</v>
      </c>
      <c r="H1759" s="272" t="s">
        <v>40</v>
      </c>
      <c r="I1759" s="273">
        <v>10</v>
      </c>
      <c r="J1759" s="270">
        <v>1509</v>
      </c>
      <c r="K1759" s="270">
        <f t="shared" si="0"/>
        <v>15090</v>
      </c>
      <c r="L1759" s="270">
        <v>55523</v>
      </c>
      <c r="M1759" s="270">
        <v>-200</v>
      </c>
      <c r="N1759" s="274">
        <v>735</v>
      </c>
      <c r="O1759" s="55"/>
      <c r="P1759" s="45">
        <v>735</v>
      </c>
      <c r="Q1759" s="270">
        <v>-98</v>
      </c>
      <c r="R1759" s="275">
        <v>-5.8E-4</v>
      </c>
      <c r="S1759" s="270">
        <v>-107</v>
      </c>
      <c r="T1759" s="270">
        <v>628</v>
      </c>
      <c r="U1759" s="57">
        <v>1</v>
      </c>
      <c r="V1759" s="276">
        <v>0.23</v>
      </c>
      <c r="W1759" s="276">
        <v>0</v>
      </c>
      <c r="X1759" s="270">
        <v>484</v>
      </c>
      <c r="Y1759" s="270">
        <v>144</v>
      </c>
      <c r="Z1759" s="45" t="b">
        <v>1</v>
      </c>
      <c r="AA1759" s="45" t="s">
        <v>38</v>
      </c>
      <c r="AB1759" s="45" t="s">
        <v>38</v>
      </c>
    </row>
    <row r="1760" spans="1:28" x14ac:dyDescent="0.2">
      <c r="A1760" s="96" t="s">
        <v>402</v>
      </c>
      <c r="B1760" s="96" t="s">
        <v>163</v>
      </c>
      <c r="C1760" s="277">
        <v>44794</v>
      </c>
      <c r="D1760" s="277">
        <v>44824</v>
      </c>
      <c r="E1760" s="270" t="s">
        <v>267</v>
      </c>
      <c r="F1760" s="133" t="s">
        <v>34</v>
      </c>
      <c r="G1760" s="270" t="s">
        <v>35</v>
      </c>
      <c r="H1760" s="272" t="s">
        <v>40</v>
      </c>
      <c r="I1760" s="273">
        <v>10</v>
      </c>
      <c r="J1760" s="270">
        <v>4128</v>
      </c>
      <c r="K1760" s="270">
        <f t="shared" si="0"/>
        <v>41280</v>
      </c>
      <c r="L1760" s="270">
        <v>140697</v>
      </c>
      <c r="M1760" s="270">
        <v>550</v>
      </c>
      <c r="N1760" s="274">
        <v>1103</v>
      </c>
      <c r="O1760" s="55"/>
      <c r="P1760" s="105">
        <v>1103</v>
      </c>
      <c r="Q1760" s="270">
        <v>-531</v>
      </c>
      <c r="R1760" s="275">
        <v>-5.8E-4</v>
      </c>
      <c r="S1760" s="270">
        <v>-555</v>
      </c>
      <c r="T1760" s="270">
        <v>548</v>
      </c>
      <c r="U1760" s="57">
        <v>1</v>
      </c>
      <c r="V1760" s="276">
        <v>0.25</v>
      </c>
      <c r="W1760" s="276">
        <v>0</v>
      </c>
      <c r="X1760" s="270">
        <v>411</v>
      </c>
      <c r="Y1760" s="270">
        <v>137</v>
      </c>
      <c r="Z1760" s="45" t="b">
        <v>1</v>
      </c>
      <c r="AA1760" s="45" t="s">
        <v>38</v>
      </c>
      <c r="AB1760" s="45" t="s">
        <v>38</v>
      </c>
    </row>
    <row r="1761" spans="1:28" x14ac:dyDescent="0.2">
      <c r="A1761" s="96" t="s">
        <v>402</v>
      </c>
      <c r="B1761" s="96" t="s">
        <v>163</v>
      </c>
      <c r="C1761" s="277">
        <v>44794</v>
      </c>
      <c r="D1761" s="277">
        <v>44824</v>
      </c>
      <c r="E1761" s="270" t="s">
        <v>267</v>
      </c>
      <c r="F1761" s="133" t="s">
        <v>34</v>
      </c>
      <c r="G1761" s="270" t="s">
        <v>35</v>
      </c>
      <c r="H1761" s="272" t="s">
        <v>46</v>
      </c>
      <c r="I1761" s="273">
        <v>25</v>
      </c>
      <c r="J1761" s="270">
        <v>370</v>
      </c>
      <c r="K1761" s="270">
        <f t="shared" si="0"/>
        <v>9250</v>
      </c>
      <c r="L1761" s="270">
        <v>-6067</v>
      </c>
      <c r="M1761" s="270">
        <v>-1350</v>
      </c>
      <c r="N1761" s="274">
        <v>212</v>
      </c>
      <c r="O1761" s="55"/>
      <c r="P1761" s="45">
        <v>212</v>
      </c>
      <c r="Q1761" s="270">
        <v>-885</v>
      </c>
      <c r="R1761" s="275">
        <v>-5.8E-4</v>
      </c>
      <c r="S1761" s="270">
        <v>-891</v>
      </c>
      <c r="T1761" s="270">
        <v>-679</v>
      </c>
      <c r="U1761" s="57">
        <v>1</v>
      </c>
      <c r="V1761" s="276">
        <v>0.25</v>
      </c>
      <c r="W1761" s="276">
        <v>0</v>
      </c>
      <c r="X1761" s="270">
        <v>-509</v>
      </c>
      <c r="Y1761" s="270">
        <v>-170</v>
      </c>
      <c r="Z1761" s="45" t="b">
        <v>1</v>
      </c>
      <c r="AA1761" s="45" t="s">
        <v>38</v>
      </c>
      <c r="AB1761" s="45" t="s">
        <v>38</v>
      </c>
    </row>
    <row r="1762" spans="1:28" x14ac:dyDescent="0.2">
      <c r="A1762" s="279" t="s">
        <v>91</v>
      </c>
      <c r="B1762" s="279" t="s">
        <v>96</v>
      </c>
      <c r="C1762" s="277">
        <v>44794</v>
      </c>
      <c r="D1762" s="277">
        <v>44824</v>
      </c>
      <c r="E1762" s="279" t="s">
        <v>267</v>
      </c>
      <c r="F1762" s="133" t="s">
        <v>34</v>
      </c>
      <c r="G1762" s="279" t="s">
        <v>35</v>
      </c>
      <c r="H1762" s="272" t="s">
        <v>46</v>
      </c>
      <c r="I1762" s="273">
        <v>25</v>
      </c>
      <c r="J1762" s="270">
        <v>1600</v>
      </c>
      <c r="K1762" s="270">
        <f t="shared" si="0"/>
        <v>40000</v>
      </c>
      <c r="L1762" s="270">
        <v>37627</v>
      </c>
      <c r="M1762" s="270">
        <v>-1475</v>
      </c>
      <c r="N1762" s="274">
        <v>1437</v>
      </c>
      <c r="O1762" s="55"/>
      <c r="P1762" s="105">
        <v>1437</v>
      </c>
      <c r="Q1762" s="270">
        <v>-816</v>
      </c>
      <c r="R1762" s="275">
        <v>-5.8E-4</v>
      </c>
      <c r="S1762" s="270">
        <v>-839</v>
      </c>
      <c r="T1762" s="270">
        <v>598</v>
      </c>
      <c r="U1762" s="57">
        <v>1</v>
      </c>
      <c r="V1762" s="276">
        <v>0.3</v>
      </c>
      <c r="W1762" s="276">
        <v>0</v>
      </c>
      <c r="X1762" s="270">
        <v>419</v>
      </c>
      <c r="Y1762" s="270">
        <v>179</v>
      </c>
      <c r="Z1762" s="45" t="b">
        <v>1</v>
      </c>
      <c r="AA1762" s="45" t="s">
        <v>38</v>
      </c>
      <c r="AB1762" s="45" t="s">
        <v>38</v>
      </c>
    </row>
    <row r="1763" spans="1:28" x14ac:dyDescent="0.2">
      <c r="A1763" s="279" t="s">
        <v>91</v>
      </c>
      <c r="B1763" s="279" t="s">
        <v>96</v>
      </c>
      <c r="C1763" s="277">
        <v>44794</v>
      </c>
      <c r="D1763" s="277">
        <v>44824</v>
      </c>
      <c r="E1763" s="279" t="s">
        <v>267</v>
      </c>
      <c r="F1763" s="133" t="s">
        <v>41</v>
      </c>
      <c r="G1763" s="279" t="s">
        <v>35</v>
      </c>
      <c r="H1763" s="272" t="s">
        <v>39</v>
      </c>
      <c r="I1763" s="273">
        <v>5</v>
      </c>
      <c r="J1763" s="270">
        <v>1</v>
      </c>
      <c r="K1763" s="270">
        <f t="shared" si="0"/>
        <v>5</v>
      </c>
      <c r="L1763" s="270"/>
      <c r="M1763" s="270">
        <v>10</v>
      </c>
      <c r="N1763" s="274"/>
      <c r="O1763" s="55"/>
      <c r="P1763" s="96"/>
      <c r="Q1763" s="270"/>
      <c r="R1763" s="275">
        <v>0</v>
      </c>
      <c r="S1763" s="270"/>
      <c r="T1763" s="270">
        <v>10</v>
      </c>
      <c r="U1763" s="57">
        <v>1</v>
      </c>
      <c r="V1763" s="276">
        <v>0.3</v>
      </c>
      <c r="W1763" s="276">
        <v>0</v>
      </c>
      <c r="X1763" s="270">
        <v>7</v>
      </c>
      <c r="Y1763" s="270">
        <v>3</v>
      </c>
      <c r="Z1763" s="45" t="b">
        <v>1</v>
      </c>
      <c r="AA1763" s="45" t="s">
        <v>38</v>
      </c>
      <c r="AB1763" s="45" t="s">
        <v>38</v>
      </c>
    </row>
    <row r="1764" spans="1:28" x14ac:dyDescent="0.2">
      <c r="A1764" s="279" t="s">
        <v>91</v>
      </c>
      <c r="B1764" s="279" t="s">
        <v>96</v>
      </c>
      <c r="C1764" s="277">
        <v>44794</v>
      </c>
      <c r="D1764" s="277">
        <v>44824</v>
      </c>
      <c r="E1764" s="279" t="s">
        <v>267</v>
      </c>
      <c r="F1764" s="133" t="s">
        <v>41</v>
      </c>
      <c r="G1764" s="279" t="s">
        <v>35</v>
      </c>
      <c r="H1764" s="272" t="s">
        <v>90</v>
      </c>
      <c r="I1764" s="273">
        <v>5</v>
      </c>
      <c r="J1764" s="270">
        <v>1</v>
      </c>
      <c r="K1764" s="270">
        <f t="shared" si="0"/>
        <v>5</v>
      </c>
      <c r="L1764" s="270"/>
      <c r="M1764" s="270">
        <v>-5</v>
      </c>
      <c r="N1764" s="274"/>
      <c r="O1764" s="55"/>
      <c r="P1764" s="96"/>
      <c r="Q1764" s="270"/>
      <c r="R1764" s="275">
        <v>0</v>
      </c>
      <c r="S1764" s="270"/>
      <c r="T1764" s="270">
        <v>-5</v>
      </c>
      <c r="U1764" s="57">
        <v>1</v>
      </c>
      <c r="V1764" s="276">
        <v>0.3</v>
      </c>
      <c r="W1764" s="276">
        <v>0</v>
      </c>
      <c r="X1764" s="270">
        <v>-4</v>
      </c>
      <c r="Y1764" s="270">
        <v>-2</v>
      </c>
      <c r="Z1764" s="45" t="b">
        <v>1</v>
      </c>
      <c r="AA1764" s="45" t="s">
        <v>38</v>
      </c>
      <c r="AB1764" s="45" t="s">
        <v>38</v>
      </c>
    </row>
    <row r="1765" spans="1:28" x14ac:dyDescent="0.2">
      <c r="A1765" s="279" t="s">
        <v>91</v>
      </c>
      <c r="B1765" s="279" t="s">
        <v>96</v>
      </c>
      <c r="C1765" s="277">
        <v>44794</v>
      </c>
      <c r="D1765" s="277">
        <v>44824</v>
      </c>
      <c r="E1765" s="279" t="s">
        <v>267</v>
      </c>
      <c r="F1765" s="133" t="s">
        <v>41</v>
      </c>
      <c r="G1765" s="279" t="s">
        <v>35</v>
      </c>
      <c r="H1765" s="272" t="s">
        <v>72</v>
      </c>
      <c r="I1765" s="273">
        <v>50</v>
      </c>
      <c r="J1765" s="270">
        <v>4</v>
      </c>
      <c r="K1765" s="270">
        <f t="shared" si="0"/>
        <v>200</v>
      </c>
      <c r="L1765" s="270"/>
      <c r="M1765" s="270">
        <v>200</v>
      </c>
      <c r="N1765" s="274">
        <v>7</v>
      </c>
      <c r="O1765" s="55"/>
      <c r="P1765" s="45">
        <v>7</v>
      </c>
      <c r="Q1765" s="270"/>
      <c r="R1765" s="275">
        <v>0</v>
      </c>
      <c r="S1765" s="270"/>
      <c r="T1765" s="270">
        <v>207</v>
      </c>
      <c r="U1765" s="57">
        <v>1</v>
      </c>
      <c r="V1765" s="276">
        <v>0.3</v>
      </c>
      <c r="W1765" s="276">
        <v>0</v>
      </c>
      <c r="X1765" s="270">
        <v>145</v>
      </c>
      <c r="Y1765" s="270">
        <v>62</v>
      </c>
      <c r="Z1765" s="45" t="b">
        <v>1</v>
      </c>
      <c r="AA1765" s="45" t="s">
        <v>38</v>
      </c>
      <c r="AB1765" s="45" t="s">
        <v>38</v>
      </c>
    </row>
    <row r="1766" spans="1:28" x14ac:dyDescent="0.2">
      <c r="A1766" s="96" t="s">
        <v>172</v>
      </c>
      <c r="B1766" s="96" t="s">
        <v>172</v>
      </c>
      <c r="C1766" s="277">
        <v>44794</v>
      </c>
      <c r="D1766" s="277">
        <v>44824</v>
      </c>
      <c r="E1766" s="270" t="s">
        <v>300</v>
      </c>
      <c r="F1766" s="133" t="s">
        <v>34</v>
      </c>
      <c r="G1766" s="96" t="s">
        <v>35</v>
      </c>
      <c r="H1766" s="272" t="s">
        <v>72</v>
      </c>
      <c r="I1766" s="273">
        <v>50</v>
      </c>
      <c r="J1766" s="270">
        <v>1656</v>
      </c>
      <c r="K1766" s="270">
        <f t="shared" si="0"/>
        <v>82800</v>
      </c>
      <c r="L1766" s="270">
        <v>13328</v>
      </c>
      <c r="M1766" s="270">
        <v>-5400</v>
      </c>
      <c r="N1766" s="274">
        <v>3271</v>
      </c>
      <c r="O1766" s="55"/>
      <c r="P1766" s="105">
        <v>3271</v>
      </c>
      <c r="Q1766" s="270">
        <v>-4063</v>
      </c>
      <c r="R1766" s="275">
        <v>-1.5E-3</v>
      </c>
      <c r="S1766" s="270">
        <v>-4188</v>
      </c>
      <c r="T1766" s="270">
        <v>-917</v>
      </c>
      <c r="U1766" s="57">
        <v>1</v>
      </c>
      <c r="V1766" s="276">
        <v>0.1125</v>
      </c>
      <c r="W1766" s="276">
        <v>3.7499999999999999E-2</v>
      </c>
      <c r="X1766" s="270">
        <v>-779</v>
      </c>
      <c r="Y1766" s="270">
        <v>-138</v>
      </c>
      <c r="Z1766" s="45" t="b">
        <v>1</v>
      </c>
      <c r="AA1766" s="45" t="s">
        <v>38</v>
      </c>
      <c r="AB1766" s="45" t="s">
        <v>38</v>
      </c>
    </row>
    <row r="1767" spans="1:28" x14ac:dyDescent="0.2">
      <c r="A1767" s="96" t="s">
        <v>172</v>
      </c>
      <c r="B1767" s="96" t="s">
        <v>172</v>
      </c>
      <c r="C1767" s="277">
        <v>44794</v>
      </c>
      <c r="D1767" s="277">
        <v>44824</v>
      </c>
      <c r="E1767" s="270" t="s">
        <v>300</v>
      </c>
      <c r="F1767" s="133" t="s">
        <v>34</v>
      </c>
      <c r="G1767" s="96" t="s">
        <v>35</v>
      </c>
      <c r="H1767" s="272" t="s">
        <v>85</v>
      </c>
      <c r="I1767" s="273">
        <v>50</v>
      </c>
      <c r="J1767" s="270">
        <v>260</v>
      </c>
      <c r="K1767" s="270">
        <f t="shared" si="0"/>
        <v>13000</v>
      </c>
      <c r="L1767" s="270">
        <v>3621</v>
      </c>
      <c r="M1767" s="270">
        <v>300</v>
      </c>
      <c r="N1767" s="274">
        <v>513</v>
      </c>
      <c r="O1767" s="55"/>
      <c r="P1767" s="45">
        <v>513</v>
      </c>
      <c r="Q1767" s="270">
        <v>-272</v>
      </c>
      <c r="R1767" s="275">
        <v>-1.5E-3</v>
      </c>
      <c r="S1767" s="270">
        <v>-292</v>
      </c>
      <c r="T1767" s="270">
        <v>221</v>
      </c>
      <c r="U1767" s="57">
        <v>1</v>
      </c>
      <c r="V1767" s="276">
        <v>0.1125</v>
      </c>
      <c r="W1767" s="276">
        <v>3.7499999999999999E-2</v>
      </c>
      <c r="X1767" s="270">
        <v>188</v>
      </c>
      <c r="Y1767" s="270">
        <v>33</v>
      </c>
      <c r="Z1767" s="45" t="b">
        <v>1</v>
      </c>
      <c r="AA1767" s="45" t="s">
        <v>38</v>
      </c>
      <c r="AB1767" s="45" t="s">
        <v>38</v>
      </c>
    </row>
    <row r="1768" spans="1:28" x14ac:dyDescent="0.2">
      <c r="A1768" s="96" t="s">
        <v>172</v>
      </c>
      <c r="B1768" s="96" t="s">
        <v>172</v>
      </c>
      <c r="C1768" s="277">
        <v>44794</v>
      </c>
      <c r="D1768" s="277">
        <v>44824</v>
      </c>
      <c r="E1768" s="270" t="s">
        <v>300</v>
      </c>
      <c r="F1768" s="133" t="s">
        <v>34</v>
      </c>
      <c r="G1768" s="96" t="s">
        <v>35</v>
      </c>
      <c r="H1768" s="272" t="s">
        <v>70</v>
      </c>
      <c r="I1768" s="273">
        <v>100</v>
      </c>
      <c r="J1768" s="270">
        <v>5742</v>
      </c>
      <c r="K1768" s="270">
        <f t="shared" si="0"/>
        <v>574200</v>
      </c>
      <c r="L1768" s="270">
        <v>87189</v>
      </c>
      <c r="M1768" s="270">
        <v>8400</v>
      </c>
      <c r="N1768" s="274">
        <v>18902</v>
      </c>
      <c r="O1768" s="55"/>
      <c r="P1768" s="105">
        <v>18902</v>
      </c>
      <c r="Q1768" s="270">
        <v>-14665</v>
      </c>
      <c r="R1768" s="275">
        <v>-1.5E-3</v>
      </c>
      <c r="S1768" s="270">
        <v>-15526</v>
      </c>
      <c r="T1768" s="270">
        <v>3376</v>
      </c>
      <c r="U1768" s="57">
        <v>1</v>
      </c>
      <c r="V1768" s="276">
        <v>0.1125</v>
      </c>
      <c r="W1768" s="276">
        <v>3.7499999999999999E-2</v>
      </c>
      <c r="X1768" s="270">
        <v>2869</v>
      </c>
      <c r="Y1768" s="270">
        <v>506</v>
      </c>
      <c r="Z1768" s="45" t="b">
        <v>1</v>
      </c>
      <c r="AA1768" s="45" t="s">
        <v>38</v>
      </c>
      <c r="AB1768" s="45" t="s">
        <v>38</v>
      </c>
    </row>
    <row r="1769" spans="1:28" x14ac:dyDescent="0.2">
      <c r="A1769" s="96" t="s">
        <v>172</v>
      </c>
      <c r="B1769" s="96" t="s">
        <v>172</v>
      </c>
      <c r="C1769" s="277">
        <v>44794</v>
      </c>
      <c r="D1769" s="277">
        <v>44824</v>
      </c>
      <c r="E1769" s="270" t="s">
        <v>300</v>
      </c>
      <c r="F1769" s="133" t="s">
        <v>34</v>
      </c>
      <c r="G1769" s="96" t="s">
        <v>35</v>
      </c>
      <c r="H1769" s="272" t="s">
        <v>84</v>
      </c>
      <c r="I1769" s="273">
        <v>100</v>
      </c>
      <c r="J1769" s="270">
        <v>938</v>
      </c>
      <c r="K1769" s="270">
        <f t="shared" si="0"/>
        <v>93800</v>
      </c>
      <c r="L1769" s="270">
        <v>5828</v>
      </c>
      <c r="M1769" s="270">
        <v>500</v>
      </c>
      <c r="N1769" s="274">
        <v>3088</v>
      </c>
      <c r="O1769" s="55"/>
      <c r="P1769" s="105">
        <v>3088</v>
      </c>
      <c r="Q1769" s="270">
        <v>-3245</v>
      </c>
      <c r="R1769" s="275">
        <v>-1.5E-3</v>
      </c>
      <c r="S1769" s="270">
        <v>-3385</v>
      </c>
      <c r="T1769" s="270">
        <v>-297</v>
      </c>
      <c r="U1769" s="57">
        <v>1</v>
      </c>
      <c r="V1769" s="276">
        <v>0.1125</v>
      </c>
      <c r="W1769" s="276">
        <v>3.7499999999999999E-2</v>
      </c>
      <c r="X1769" s="270">
        <v>-253</v>
      </c>
      <c r="Y1769" s="270">
        <v>-45</v>
      </c>
      <c r="Z1769" s="45" t="b">
        <v>1</v>
      </c>
      <c r="AA1769" s="45" t="s">
        <v>38</v>
      </c>
      <c r="AB1769" s="45" t="s">
        <v>38</v>
      </c>
    </row>
    <row r="1770" spans="1:28" x14ac:dyDescent="0.2">
      <c r="A1770" s="96" t="s">
        <v>172</v>
      </c>
      <c r="B1770" s="96" t="s">
        <v>172</v>
      </c>
      <c r="C1770" s="277">
        <v>44794</v>
      </c>
      <c r="D1770" s="277">
        <v>44824</v>
      </c>
      <c r="E1770" s="270" t="s">
        <v>300</v>
      </c>
      <c r="F1770" s="133" t="s">
        <v>34</v>
      </c>
      <c r="G1770" s="96" t="s">
        <v>35</v>
      </c>
      <c r="H1770" s="272" t="s">
        <v>88</v>
      </c>
      <c r="I1770" s="273">
        <v>250</v>
      </c>
      <c r="J1770" s="270">
        <v>967</v>
      </c>
      <c r="K1770" s="270">
        <f t="shared" si="0"/>
        <v>241750</v>
      </c>
      <c r="L1770" s="270">
        <v>25598</v>
      </c>
      <c r="M1770" s="270">
        <v>19500</v>
      </c>
      <c r="N1770" s="274">
        <v>7958</v>
      </c>
      <c r="O1770" s="55"/>
      <c r="P1770" s="105">
        <v>7958</v>
      </c>
      <c r="Q1770" s="270">
        <v>-449</v>
      </c>
      <c r="R1770" s="275">
        <v>-1.5E-3</v>
      </c>
      <c r="S1770" s="270">
        <v>-812</v>
      </c>
      <c r="T1770" s="270">
        <v>7146</v>
      </c>
      <c r="U1770" s="57">
        <v>1</v>
      </c>
      <c r="V1770" s="276">
        <v>0.1125</v>
      </c>
      <c r="W1770" s="276">
        <v>3.7499999999999999E-2</v>
      </c>
      <c r="X1770" s="270">
        <v>6074</v>
      </c>
      <c r="Y1770" s="270">
        <v>1072</v>
      </c>
      <c r="Z1770" s="45" t="b">
        <v>1</v>
      </c>
      <c r="AA1770" s="45" t="s">
        <v>38</v>
      </c>
      <c r="AB1770" s="45" t="s">
        <v>38</v>
      </c>
    </row>
    <row r="1771" spans="1:28" x14ac:dyDescent="0.2">
      <c r="A1771" s="96" t="s">
        <v>172</v>
      </c>
      <c r="B1771" s="96" t="s">
        <v>172</v>
      </c>
      <c r="C1771" s="277">
        <v>44794</v>
      </c>
      <c r="D1771" s="277">
        <v>44824</v>
      </c>
      <c r="E1771" s="270" t="s">
        <v>300</v>
      </c>
      <c r="F1771" s="133" t="s">
        <v>34</v>
      </c>
      <c r="G1771" s="96" t="s">
        <v>35</v>
      </c>
      <c r="H1771" s="272" t="s">
        <v>148</v>
      </c>
      <c r="I1771" s="273">
        <v>250</v>
      </c>
      <c r="J1771" s="270">
        <v>50</v>
      </c>
      <c r="K1771" s="270">
        <f t="shared" si="0"/>
        <v>12500</v>
      </c>
      <c r="L1771" s="270">
        <v>1925</v>
      </c>
      <c r="M1771" s="270">
        <v>4500</v>
      </c>
      <c r="N1771" s="274">
        <v>411</v>
      </c>
      <c r="O1771" s="55"/>
      <c r="P1771" s="45">
        <v>411</v>
      </c>
      <c r="Q1771" s="270">
        <v>862</v>
      </c>
      <c r="R1771" s="275">
        <v>-1.5E-3</v>
      </c>
      <c r="S1771" s="270">
        <v>843</v>
      </c>
      <c r="T1771" s="270">
        <v>1254</v>
      </c>
      <c r="U1771" s="57">
        <v>1</v>
      </c>
      <c r="V1771" s="276">
        <v>0.1125</v>
      </c>
      <c r="W1771" s="276">
        <v>3.7499999999999999E-2</v>
      </c>
      <c r="X1771" s="270">
        <v>1066</v>
      </c>
      <c r="Y1771" s="270">
        <v>188</v>
      </c>
      <c r="Z1771" s="45" t="b">
        <v>1</v>
      </c>
      <c r="AA1771" s="45" t="s">
        <v>38</v>
      </c>
      <c r="AB1771" s="45" t="s">
        <v>38</v>
      </c>
    </row>
    <row r="1772" spans="1:28" x14ac:dyDescent="0.2">
      <c r="A1772" s="279" t="s">
        <v>466</v>
      </c>
      <c r="B1772" s="279" t="s">
        <v>118</v>
      </c>
      <c r="C1772" s="277">
        <v>44794</v>
      </c>
      <c r="D1772" s="277">
        <v>44824</v>
      </c>
      <c r="E1772" s="279" t="s">
        <v>300</v>
      </c>
      <c r="F1772" s="133" t="s">
        <v>34</v>
      </c>
      <c r="G1772" s="270" t="s">
        <v>80</v>
      </c>
      <c r="H1772" s="270" t="s">
        <v>71</v>
      </c>
      <c r="I1772" s="273">
        <v>20</v>
      </c>
      <c r="J1772" s="270">
        <v>1</v>
      </c>
      <c r="K1772" s="270">
        <f t="shared" si="0"/>
        <v>20</v>
      </c>
      <c r="L1772" s="270">
        <v>408</v>
      </c>
      <c r="M1772" s="270">
        <v>-20</v>
      </c>
      <c r="N1772" s="274">
        <v>4.7</v>
      </c>
      <c r="O1772" s="55"/>
      <c r="P1772" s="45">
        <v>5</v>
      </c>
      <c r="Q1772" s="270">
        <v>22</v>
      </c>
      <c r="R1772" s="275">
        <v>-5.8E-4</v>
      </c>
      <c r="S1772" s="270">
        <v>22</v>
      </c>
      <c r="T1772" s="270">
        <v>27</v>
      </c>
      <c r="U1772" s="57">
        <v>1</v>
      </c>
      <c r="V1772" s="276">
        <v>0.15</v>
      </c>
      <c r="W1772" s="276">
        <v>0.05</v>
      </c>
      <c r="X1772" s="270">
        <v>21</v>
      </c>
      <c r="Y1772" s="270">
        <v>5</v>
      </c>
      <c r="Z1772" s="45" t="b">
        <v>1</v>
      </c>
      <c r="AA1772" s="45" t="s">
        <v>38</v>
      </c>
      <c r="AB1772" s="45" t="s">
        <v>38</v>
      </c>
    </row>
    <row r="1773" spans="1:28" x14ac:dyDescent="0.2">
      <c r="A1773" s="279" t="s">
        <v>466</v>
      </c>
      <c r="B1773" s="279" t="s">
        <v>118</v>
      </c>
      <c r="C1773" s="277">
        <v>44794</v>
      </c>
      <c r="D1773" s="277">
        <v>44824</v>
      </c>
      <c r="E1773" s="279" t="s">
        <v>300</v>
      </c>
      <c r="F1773" s="133" t="s">
        <v>34</v>
      </c>
      <c r="G1773" s="270" t="s">
        <v>80</v>
      </c>
      <c r="H1773" s="270" t="s">
        <v>70</v>
      </c>
      <c r="I1773" s="273">
        <v>100</v>
      </c>
      <c r="J1773" s="270">
        <v>10285</v>
      </c>
      <c r="K1773" s="270">
        <f t="shared" si="0"/>
        <v>1028500</v>
      </c>
      <c r="L1773" s="270">
        <v>96156</v>
      </c>
      <c r="M1773" s="270">
        <v>-57900</v>
      </c>
      <c r="N1773" s="274">
        <v>57613</v>
      </c>
      <c r="O1773" s="55"/>
      <c r="P1773" s="105">
        <v>57613</v>
      </c>
      <c r="Q1773" s="270">
        <v>-47761</v>
      </c>
      <c r="R1773" s="275">
        <v>-5.8E-4</v>
      </c>
      <c r="S1773" s="270">
        <v>-48358</v>
      </c>
      <c r="T1773" s="270">
        <v>9255</v>
      </c>
      <c r="U1773" s="57">
        <v>1</v>
      </c>
      <c r="V1773" s="276">
        <v>0.15</v>
      </c>
      <c r="W1773" s="276">
        <v>0.05</v>
      </c>
      <c r="X1773" s="270">
        <v>7404</v>
      </c>
      <c r="Y1773" s="270">
        <v>1851</v>
      </c>
      <c r="Z1773" s="45" t="b">
        <v>1</v>
      </c>
      <c r="AA1773" s="45" t="s">
        <v>38</v>
      </c>
      <c r="AB1773" s="45" t="s">
        <v>38</v>
      </c>
    </row>
    <row r="1774" spans="1:28" x14ac:dyDescent="0.2">
      <c r="A1774" s="96" t="s">
        <v>473</v>
      </c>
      <c r="B1774" s="270" t="s">
        <v>120</v>
      </c>
      <c r="C1774" s="277">
        <v>44794</v>
      </c>
      <c r="D1774" s="277">
        <v>44824</v>
      </c>
      <c r="E1774" s="270" t="s">
        <v>267</v>
      </c>
      <c r="F1774" s="96" t="s">
        <v>34</v>
      </c>
      <c r="G1774" s="270" t="s">
        <v>35</v>
      </c>
      <c r="H1774" s="272" t="s">
        <v>46</v>
      </c>
      <c r="I1774" s="280">
        <v>25</v>
      </c>
      <c r="J1774" s="279">
        <v>1652</v>
      </c>
      <c r="K1774" s="270">
        <f t="shared" si="0"/>
        <v>41300</v>
      </c>
      <c r="L1774" s="279">
        <v>34435</v>
      </c>
      <c r="M1774" s="279">
        <v>-75</v>
      </c>
      <c r="N1774" s="274">
        <v>1750</v>
      </c>
      <c r="O1774" s="55"/>
      <c r="P1774" s="105">
        <v>1750</v>
      </c>
      <c r="Q1774" s="279">
        <v>-1047</v>
      </c>
      <c r="R1774" s="275">
        <v>-5.8E-4</v>
      </c>
      <c r="S1774" s="279">
        <v>-1071</v>
      </c>
      <c r="T1774" s="279">
        <v>679</v>
      </c>
      <c r="U1774" s="57">
        <v>1</v>
      </c>
      <c r="V1774" s="276">
        <v>0.3</v>
      </c>
      <c r="W1774" s="276">
        <v>0</v>
      </c>
      <c r="X1774" s="279">
        <v>475</v>
      </c>
      <c r="Y1774" s="279">
        <v>204</v>
      </c>
      <c r="Z1774" s="45" t="b">
        <v>0</v>
      </c>
      <c r="AA1774" s="45" t="s">
        <v>38</v>
      </c>
      <c r="AB1774" s="45" t="s">
        <v>38</v>
      </c>
    </row>
    <row r="1775" spans="1:28" x14ac:dyDescent="0.2">
      <c r="A1775" s="96" t="s">
        <v>178</v>
      </c>
      <c r="B1775" s="96" t="s">
        <v>178</v>
      </c>
      <c r="C1775" s="277">
        <v>44794</v>
      </c>
      <c r="D1775" s="277">
        <v>44824</v>
      </c>
      <c r="E1775" s="279" t="s">
        <v>267</v>
      </c>
      <c r="F1775" s="133" t="s">
        <v>34</v>
      </c>
      <c r="G1775" s="270" t="s">
        <v>35</v>
      </c>
      <c r="H1775" s="272" t="s">
        <v>40</v>
      </c>
      <c r="I1775" s="280">
        <v>10</v>
      </c>
      <c r="J1775" s="279">
        <v>1177</v>
      </c>
      <c r="K1775" s="270">
        <f t="shared" si="0"/>
        <v>11770</v>
      </c>
      <c r="L1775" s="279">
        <v>44716</v>
      </c>
      <c r="M1775" s="279">
        <v>-370</v>
      </c>
      <c r="N1775" s="274">
        <v>522</v>
      </c>
      <c r="O1775" s="55"/>
      <c r="P1775" s="45">
        <v>522</v>
      </c>
      <c r="Q1775" s="279">
        <v>-41</v>
      </c>
      <c r="R1775" s="275">
        <v>-5.8E-4</v>
      </c>
      <c r="S1775" s="279">
        <v>-48</v>
      </c>
      <c r="T1775" s="279">
        <v>474</v>
      </c>
      <c r="U1775" s="57">
        <v>1</v>
      </c>
      <c r="V1775" s="276">
        <v>0.23</v>
      </c>
      <c r="W1775" s="276">
        <v>0</v>
      </c>
      <c r="X1775" s="279">
        <v>365</v>
      </c>
      <c r="Y1775" s="279">
        <v>109</v>
      </c>
      <c r="Z1775" s="45" t="b">
        <v>1</v>
      </c>
      <c r="AA1775" s="45" t="s">
        <v>38</v>
      </c>
      <c r="AB1775" s="45" t="s">
        <v>38</v>
      </c>
    </row>
    <row r="1776" spans="1:28" x14ac:dyDescent="0.2">
      <c r="A1776" s="96" t="s">
        <v>178</v>
      </c>
      <c r="B1776" s="96" t="s">
        <v>178</v>
      </c>
      <c r="C1776" s="277">
        <v>44794</v>
      </c>
      <c r="D1776" s="277">
        <v>44824</v>
      </c>
      <c r="E1776" s="279" t="s">
        <v>267</v>
      </c>
      <c r="F1776" s="133" t="s">
        <v>34</v>
      </c>
      <c r="G1776" s="270" t="s">
        <v>35</v>
      </c>
      <c r="H1776" s="272" t="s">
        <v>115</v>
      </c>
      <c r="I1776" s="280">
        <v>10</v>
      </c>
      <c r="J1776" s="279">
        <v>1079</v>
      </c>
      <c r="K1776" s="270">
        <f t="shared" si="0"/>
        <v>10790</v>
      </c>
      <c r="L1776" s="279">
        <v>11085</v>
      </c>
      <c r="M1776" s="279">
        <v>-510</v>
      </c>
      <c r="N1776" s="274">
        <v>478</v>
      </c>
      <c r="O1776" s="55"/>
      <c r="P1776" s="45">
        <v>478</v>
      </c>
      <c r="Q1776" s="279">
        <v>-450</v>
      </c>
      <c r="R1776" s="275">
        <v>-5.8E-4</v>
      </c>
      <c r="S1776" s="279">
        <v>-456</v>
      </c>
      <c r="T1776" s="279">
        <v>22</v>
      </c>
      <c r="U1776" s="57">
        <v>1</v>
      </c>
      <c r="V1776" s="276">
        <v>0.23</v>
      </c>
      <c r="W1776" s="276">
        <v>0</v>
      </c>
      <c r="X1776" s="279">
        <v>17</v>
      </c>
      <c r="Y1776" s="279">
        <v>5</v>
      </c>
      <c r="Z1776" s="45" t="b">
        <v>1</v>
      </c>
      <c r="AA1776" s="45" t="s">
        <v>38</v>
      </c>
      <c r="AB1776" s="45" t="s">
        <v>38</v>
      </c>
    </row>
    <row r="1777" spans="1:28" x14ac:dyDescent="0.2">
      <c r="A1777" s="96" t="s">
        <v>178</v>
      </c>
      <c r="B1777" s="96" t="s">
        <v>178</v>
      </c>
      <c r="C1777" s="277">
        <v>44794</v>
      </c>
      <c r="D1777" s="277">
        <v>44824</v>
      </c>
      <c r="E1777" s="279" t="s">
        <v>267</v>
      </c>
      <c r="F1777" s="133" t="s">
        <v>34</v>
      </c>
      <c r="G1777" s="270" t="s">
        <v>35</v>
      </c>
      <c r="H1777" s="272" t="s">
        <v>46</v>
      </c>
      <c r="I1777" s="280">
        <v>25</v>
      </c>
      <c r="J1777" s="279">
        <v>205</v>
      </c>
      <c r="K1777" s="270">
        <f t="shared" si="0"/>
        <v>5125</v>
      </c>
      <c r="L1777" s="279">
        <v>-4818</v>
      </c>
      <c r="M1777" s="279">
        <v>-275</v>
      </c>
      <c r="N1777" s="274">
        <v>195</v>
      </c>
      <c r="O1777" s="55"/>
      <c r="P1777" s="45">
        <v>195</v>
      </c>
      <c r="Q1777" s="279">
        <v>-544</v>
      </c>
      <c r="R1777" s="275">
        <v>-5.8E-4</v>
      </c>
      <c r="S1777" s="279">
        <v>-547</v>
      </c>
      <c r="T1777" s="279">
        <v>-352</v>
      </c>
      <c r="U1777" s="57">
        <v>1</v>
      </c>
      <c r="V1777" s="276">
        <v>0.23</v>
      </c>
      <c r="W1777" s="276">
        <v>0</v>
      </c>
      <c r="X1777" s="279">
        <v>-271</v>
      </c>
      <c r="Y1777" s="279">
        <v>-81</v>
      </c>
      <c r="Z1777" s="45" t="b">
        <v>1</v>
      </c>
      <c r="AA1777" s="45" t="s">
        <v>38</v>
      </c>
      <c r="AB1777" s="45" t="s">
        <v>38</v>
      </c>
    </row>
    <row r="1778" spans="1:28" x14ac:dyDescent="0.2">
      <c r="A1778" s="279" t="s">
        <v>102</v>
      </c>
      <c r="B1778" s="279" t="s">
        <v>107</v>
      </c>
      <c r="C1778" s="282">
        <v>44794</v>
      </c>
      <c r="D1778" s="282">
        <v>44824</v>
      </c>
      <c r="E1778" s="279" t="s">
        <v>267</v>
      </c>
      <c r="F1778" s="133" t="s">
        <v>34</v>
      </c>
      <c r="G1778" s="279" t="s">
        <v>61</v>
      </c>
      <c r="H1778" s="289" t="s">
        <v>109</v>
      </c>
      <c r="I1778" s="280">
        <v>50</v>
      </c>
      <c r="J1778" s="279">
        <v>1679</v>
      </c>
      <c r="K1778" s="270">
        <f t="shared" si="0"/>
        <v>83950</v>
      </c>
      <c r="L1778" s="279">
        <v>64197</v>
      </c>
      <c r="M1778" s="279">
        <v>-3600</v>
      </c>
      <c r="N1778" s="281">
        <v>2736.63</v>
      </c>
      <c r="O1778" s="55"/>
      <c r="P1778" s="105">
        <v>2737</v>
      </c>
      <c r="Q1778" s="279">
        <v>-1324</v>
      </c>
      <c r="R1778" s="275">
        <v>-5.8E-4</v>
      </c>
      <c r="S1778" s="279">
        <v>-1373</v>
      </c>
      <c r="T1778" s="279">
        <v>1364</v>
      </c>
      <c r="U1778" s="57">
        <v>1</v>
      </c>
      <c r="V1778" s="276">
        <v>0.25</v>
      </c>
      <c r="W1778" s="276">
        <v>0</v>
      </c>
      <c r="X1778" s="279">
        <v>1023</v>
      </c>
      <c r="Y1778" s="279">
        <v>341</v>
      </c>
      <c r="Z1778" s="45" t="b">
        <v>1</v>
      </c>
      <c r="AA1778" s="45" t="s">
        <v>50</v>
      </c>
      <c r="AB1778" s="45" t="s">
        <v>50</v>
      </c>
    </row>
    <row r="1779" spans="1:28" x14ac:dyDescent="0.2">
      <c r="A1779" s="279" t="s">
        <v>102</v>
      </c>
      <c r="B1779" s="279" t="s">
        <v>107</v>
      </c>
      <c r="C1779" s="282">
        <v>44794</v>
      </c>
      <c r="D1779" s="282">
        <v>44824</v>
      </c>
      <c r="E1779" s="279" t="s">
        <v>267</v>
      </c>
      <c r="F1779" s="133" t="s">
        <v>34</v>
      </c>
      <c r="G1779" s="279" t="s">
        <v>61</v>
      </c>
      <c r="H1779" s="289" t="s">
        <v>59</v>
      </c>
      <c r="I1779" s="280">
        <v>100</v>
      </c>
      <c r="J1779" s="279">
        <v>179</v>
      </c>
      <c r="K1779" s="270">
        <f t="shared" si="0"/>
        <v>17900</v>
      </c>
      <c r="L1779" s="279">
        <v>9374</v>
      </c>
      <c r="M1779" s="279">
        <v>-1500</v>
      </c>
      <c r="N1779" s="281">
        <v>8.3699999999999992</v>
      </c>
      <c r="O1779" s="55"/>
      <c r="P1779" s="45">
        <v>8</v>
      </c>
      <c r="Q1779" s="279">
        <v>120</v>
      </c>
      <c r="R1779" s="275">
        <v>-5.8E-4</v>
      </c>
      <c r="S1779" s="279">
        <v>110</v>
      </c>
      <c r="T1779" s="279">
        <v>118</v>
      </c>
      <c r="U1779" s="57">
        <v>1</v>
      </c>
      <c r="V1779" s="276">
        <v>0.25</v>
      </c>
      <c r="W1779" s="276">
        <v>0</v>
      </c>
      <c r="X1779" s="279">
        <v>88</v>
      </c>
      <c r="Y1779" s="279">
        <v>29</v>
      </c>
      <c r="Z1779" s="45" t="b">
        <v>1</v>
      </c>
      <c r="AA1779" s="45" t="s">
        <v>50</v>
      </c>
      <c r="AB1779" s="45" t="s">
        <v>50</v>
      </c>
    </row>
    <row r="1780" spans="1:28" x14ac:dyDescent="0.2">
      <c r="A1780" s="96" t="s">
        <v>508</v>
      </c>
      <c r="B1780" s="96" t="s">
        <v>185</v>
      </c>
      <c r="C1780" s="277">
        <v>44794</v>
      </c>
      <c r="D1780" s="277">
        <v>44824</v>
      </c>
      <c r="E1780" s="270" t="s">
        <v>300</v>
      </c>
      <c r="F1780" s="133" t="s">
        <v>34</v>
      </c>
      <c r="G1780" s="270" t="s">
        <v>80</v>
      </c>
      <c r="H1780" s="272" t="s">
        <v>70</v>
      </c>
      <c r="I1780" s="273">
        <v>100</v>
      </c>
      <c r="J1780" s="270">
        <v>5437</v>
      </c>
      <c r="K1780" s="270">
        <f t="shared" si="0"/>
        <v>543700</v>
      </c>
      <c r="L1780" s="270">
        <v>91683</v>
      </c>
      <c r="M1780" s="270">
        <v>-3000</v>
      </c>
      <c r="N1780" s="274">
        <f>31*100+1000+26736</f>
        <v>30836</v>
      </c>
      <c r="O1780" s="55"/>
      <c r="P1780" s="105">
        <v>30836</v>
      </c>
      <c r="Q1780" s="270">
        <v>-13496</v>
      </c>
      <c r="R1780" s="275">
        <v>-5.8E-4</v>
      </c>
      <c r="S1780" s="270">
        <v>-13811</v>
      </c>
      <c r="T1780" s="270">
        <v>17025</v>
      </c>
      <c r="U1780" s="57">
        <v>1</v>
      </c>
      <c r="V1780" s="276">
        <v>0.09</v>
      </c>
      <c r="W1780" s="276">
        <v>0.03</v>
      </c>
      <c r="X1780" s="270">
        <v>14982</v>
      </c>
      <c r="Y1780" s="270">
        <v>2043</v>
      </c>
      <c r="Z1780" s="45" t="b">
        <v>1</v>
      </c>
      <c r="AA1780" s="45" t="s">
        <v>38</v>
      </c>
      <c r="AB1780" s="45" t="s">
        <v>38</v>
      </c>
    </row>
    <row r="1781" spans="1:28" x14ac:dyDescent="0.2">
      <c r="A1781" s="96" t="s">
        <v>113</v>
      </c>
      <c r="B1781" s="96" t="s">
        <v>113</v>
      </c>
      <c r="C1781" s="277">
        <v>44794</v>
      </c>
      <c r="D1781" s="277">
        <v>44824</v>
      </c>
      <c r="E1781" s="270" t="s">
        <v>267</v>
      </c>
      <c r="F1781" s="133" t="s">
        <v>34</v>
      </c>
      <c r="G1781" s="96" t="s">
        <v>35</v>
      </c>
      <c r="H1781" s="272" t="s">
        <v>40</v>
      </c>
      <c r="I1781" s="273">
        <v>10</v>
      </c>
      <c r="J1781" s="270">
        <v>3082</v>
      </c>
      <c r="K1781" s="270">
        <f t="shared" si="0"/>
        <v>30820</v>
      </c>
      <c r="L1781" s="270">
        <v>59631</v>
      </c>
      <c r="M1781" s="270">
        <v>-2510</v>
      </c>
      <c r="N1781" s="274">
        <v>2470</v>
      </c>
      <c r="O1781" s="55"/>
      <c r="P1781" s="105">
        <v>2470</v>
      </c>
      <c r="Q1781" s="270">
        <v>-1187</v>
      </c>
      <c r="R1781" s="275">
        <v>-5.8E-4</v>
      </c>
      <c r="S1781" s="270">
        <v>-1205</v>
      </c>
      <c r="T1781" s="270">
        <v>1265</v>
      </c>
      <c r="U1781" s="57">
        <v>1</v>
      </c>
      <c r="V1781" s="276">
        <v>0.3</v>
      </c>
      <c r="W1781" s="276">
        <v>0</v>
      </c>
      <c r="X1781" s="270">
        <v>886</v>
      </c>
      <c r="Y1781" s="270">
        <v>380</v>
      </c>
      <c r="Z1781" s="45" t="b">
        <v>1</v>
      </c>
      <c r="AA1781" s="45" t="s">
        <v>38</v>
      </c>
      <c r="AB1781" s="45" t="s">
        <v>38</v>
      </c>
    </row>
    <row r="1782" spans="1:28" x14ac:dyDescent="0.2">
      <c r="A1782" s="96" t="s">
        <v>191</v>
      </c>
      <c r="B1782" s="96" t="s">
        <v>193</v>
      </c>
      <c r="C1782" s="277">
        <v>44794</v>
      </c>
      <c r="D1782" s="277">
        <v>44824</v>
      </c>
      <c r="E1782" s="270" t="s">
        <v>267</v>
      </c>
      <c r="F1782" s="133" t="s">
        <v>34</v>
      </c>
      <c r="G1782" s="96" t="s">
        <v>80</v>
      </c>
      <c r="H1782" s="272" t="s">
        <v>86</v>
      </c>
      <c r="I1782" s="273">
        <v>5</v>
      </c>
      <c r="J1782" s="270">
        <v>2473</v>
      </c>
      <c r="K1782" s="270">
        <f t="shared" si="0"/>
        <v>12365</v>
      </c>
      <c r="L1782" s="270">
        <v>67866</v>
      </c>
      <c r="M1782" s="270">
        <v>-90</v>
      </c>
      <c r="N1782" s="274">
        <v>659.9</v>
      </c>
      <c r="O1782" s="55"/>
      <c r="P1782" s="45">
        <v>660</v>
      </c>
      <c r="Q1782" s="270">
        <v>69</v>
      </c>
      <c r="R1782" s="275">
        <v>-5.8E-4</v>
      </c>
      <c r="S1782" s="270">
        <v>62</v>
      </c>
      <c r="T1782" s="270">
        <v>722</v>
      </c>
      <c r="U1782" s="57">
        <v>1</v>
      </c>
      <c r="V1782" s="276">
        <v>0.25</v>
      </c>
      <c r="W1782" s="276">
        <v>0</v>
      </c>
      <c r="X1782" s="270">
        <v>542</v>
      </c>
      <c r="Y1782" s="270">
        <v>181</v>
      </c>
      <c r="Z1782" s="45" t="b">
        <v>1</v>
      </c>
      <c r="AA1782" s="45" t="s">
        <v>38</v>
      </c>
      <c r="AB1782" s="45" t="s">
        <v>38</v>
      </c>
    </row>
    <row r="1783" spans="1:28" x14ac:dyDescent="0.2">
      <c r="A1783" s="96" t="s">
        <v>191</v>
      </c>
      <c r="B1783" s="96" t="s">
        <v>193</v>
      </c>
      <c r="C1783" s="277">
        <v>44794</v>
      </c>
      <c r="D1783" s="277">
        <v>44824</v>
      </c>
      <c r="E1783" s="270" t="s">
        <v>267</v>
      </c>
      <c r="F1783" s="133" t="s">
        <v>34</v>
      </c>
      <c r="G1783" s="96" t="s">
        <v>80</v>
      </c>
      <c r="H1783" s="272" t="s">
        <v>40</v>
      </c>
      <c r="I1783" s="273">
        <v>10</v>
      </c>
      <c r="J1783" s="270">
        <v>2192</v>
      </c>
      <c r="K1783" s="270">
        <f t="shared" si="0"/>
        <v>21920</v>
      </c>
      <c r="L1783" s="270">
        <v>55121</v>
      </c>
      <c r="M1783" s="270">
        <v>-390</v>
      </c>
      <c r="N1783" s="274">
        <v>1169.83</v>
      </c>
      <c r="O1783" s="55"/>
      <c r="P1783" s="105">
        <v>1170</v>
      </c>
      <c r="Q1783" s="270">
        <v>-22</v>
      </c>
      <c r="R1783" s="275">
        <v>-5.8E-4</v>
      </c>
      <c r="S1783" s="270">
        <v>-34</v>
      </c>
      <c r="T1783" s="270">
        <v>1135</v>
      </c>
      <c r="U1783" s="57">
        <v>1</v>
      </c>
      <c r="V1783" s="276">
        <v>0.25</v>
      </c>
      <c r="W1783" s="276">
        <v>0</v>
      </c>
      <c r="X1783" s="270">
        <v>852</v>
      </c>
      <c r="Y1783" s="270">
        <v>284</v>
      </c>
      <c r="Z1783" s="45" t="b">
        <v>1</v>
      </c>
      <c r="AA1783" s="45" t="s">
        <v>38</v>
      </c>
      <c r="AB1783" s="45" t="s">
        <v>38</v>
      </c>
    </row>
    <row r="1784" spans="1:28" x14ac:dyDescent="0.2">
      <c r="A1784" s="96" t="s">
        <v>191</v>
      </c>
      <c r="B1784" s="96" t="s">
        <v>193</v>
      </c>
      <c r="C1784" s="277">
        <v>44794</v>
      </c>
      <c r="D1784" s="277">
        <v>44824</v>
      </c>
      <c r="E1784" s="270" t="s">
        <v>267</v>
      </c>
      <c r="F1784" s="133" t="s">
        <v>34</v>
      </c>
      <c r="G1784" s="96" t="s">
        <v>80</v>
      </c>
      <c r="H1784" s="272" t="s">
        <v>71</v>
      </c>
      <c r="I1784" s="273">
        <v>20</v>
      </c>
      <c r="J1784" s="270">
        <v>7</v>
      </c>
      <c r="K1784" s="270">
        <f t="shared" si="0"/>
        <v>140</v>
      </c>
      <c r="L1784" s="270">
        <v>-857</v>
      </c>
      <c r="M1784" s="270">
        <v>60</v>
      </c>
      <c r="N1784" s="274">
        <v>7.47</v>
      </c>
      <c r="O1784" s="55"/>
      <c r="P1784" s="45">
        <v>7</v>
      </c>
      <c r="Q1784" s="270">
        <v>-60</v>
      </c>
      <c r="R1784" s="275">
        <v>-5.8E-4</v>
      </c>
      <c r="S1784" s="270">
        <v>-60</v>
      </c>
      <c r="T1784" s="270">
        <v>-52</v>
      </c>
      <c r="U1784" s="57">
        <v>1</v>
      </c>
      <c r="V1784" s="276">
        <v>0.25</v>
      </c>
      <c r="W1784" s="276">
        <v>0</v>
      </c>
      <c r="X1784" s="270">
        <v>-39</v>
      </c>
      <c r="Y1784" s="270">
        <v>-13</v>
      </c>
      <c r="Z1784" s="45" t="b">
        <v>1</v>
      </c>
      <c r="AA1784" s="45" t="s">
        <v>38</v>
      </c>
      <c r="AB1784" s="45" t="s">
        <v>38</v>
      </c>
    </row>
    <row r="1785" spans="1:28" x14ac:dyDescent="0.2">
      <c r="A1785" s="96" t="s">
        <v>195</v>
      </c>
      <c r="B1785" s="96" t="s">
        <v>195</v>
      </c>
      <c r="C1785" s="277">
        <v>44794</v>
      </c>
      <c r="D1785" s="277">
        <v>44824</v>
      </c>
      <c r="E1785" s="270" t="s">
        <v>267</v>
      </c>
      <c r="F1785" s="96" t="s">
        <v>34</v>
      </c>
      <c r="G1785" s="270" t="s">
        <v>35</v>
      </c>
      <c r="H1785" s="289" t="s">
        <v>39</v>
      </c>
      <c r="I1785" s="280">
        <v>5</v>
      </c>
      <c r="J1785" s="279">
        <v>122</v>
      </c>
      <c r="K1785" s="270">
        <f t="shared" si="0"/>
        <v>610</v>
      </c>
      <c r="L1785" s="279">
        <v>8511</v>
      </c>
      <c r="M1785" s="279">
        <v>55</v>
      </c>
      <c r="N1785" s="274">
        <v>37</v>
      </c>
      <c r="O1785" s="55"/>
      <c r="P1785" s="45">
        <v>37</v>
      </c>
      <c r="Q1785" s="279">
        <v>23</v>
      </c>
      <c r="R1785" s="275">
        <v>-5.8E-4</v>
      </c>
      <c r="S1785" s="279">
        <v>23</v>
      </c>
      <c r="T1785" s="279">
        <v>60</v>
      </c>
      <c r="U1785" s="57">
        <v>1.0029999999999999</v>
      </c>
      <c r="V1785" s="276">
        <v>0.17</v>
      </c>
      <c r="W1785" s="276">
        <v>0</v>
      </c>
      <c r="X1785" s="279">
        <v>50</v>
      </c>
      <c r="Y1785" s="279">
        <v>10</v>
      </c>
      <c r="Z1785" s="45" t="b">
        <v>1</v>
      </c>
      <c r="AA1785" s="45" t="s">
        <v>50</v>
      </c>
      <c r="AB1785" s="45" t="s">
        <v>38</v>
      </c>
    </row>
    <row r="1786" spans="1:28" x14ac:dyDescent="0.2">
      <c r="A1786" s="96" t="s">
        <v>195</v>
      </c>
      <c r="B1786" s="96" t="s">
        <v>195</v>
      </c>
      <c r="C1786" s="277">
        <v>44794</v>
      </c>
      <c r="D1786" s="277">
        <v>44824</v>
      </c>
      <c r="E1786" s="270" t="s">
        <v>267</v>
      </c>
      <c r="F1786" s="96" t="s">
        <v>34</v>
      </c>
      <c r="G1786" s="270" t="s">
        <v>35</v>
      </c>
      <c r="H1786" s="289" t="s">
        <v>40</v>
      </c>
      <c r="I1786" s="280">
        <v>10</v>
      </c>
      <c r="J1786" s="279">
        <v>19</v>
      </c>
      <c r="K1786" s="270">
        <f t="shared" si="0"/>
        <v>190</v>
      </c>
      <c r="L1786" s="279">
        <v>2062</v>
      </c>
      <c r="M1786" s="279">
        <v>0</v>
      </c>
      <c r="N1786" s="274">
        <v>10</v>
      </c>
      <c r="O1786" s="55"/>
      <c r="P1786" s="45">
        <v>10</v>
      </c>
      <c r="Q1786" s="279">
        <v>24</v>
      </c>
      <c r="R1786" s="275">
        <v>-5.8E-4</v>
      </c>
      <c r="S1786" s="279">
        <v>24</v>
      </c>
      <c r="T1786" s="279">
        <v>34</v>
      </c>
      <c r="U1786" s="57">
        <v>1.0029999999999999</v>
      </c>
      <c r="V1786" s="276">
        <v>0.17</v>
      </c>
      <c r="W1786" s="276">
        <v>0</v>
      </c>
      <c r="X1786" s="279">
        <v>28</v>
      </c>
      <c r="Y1786" s="279">
        <v>6</v>
      </c>
      <c r="Z1786" s="45" t="b">
        <v>1</v>
      </c>
      <c r="AA1786" s="45" t="s">
        <v>50</v>
      </c>
      <c r="AB1786" s="45" t="s">
        <v>38</v>
      </c>
    </row>
    <row r="1787" spans="1:28" x14ac:dyDescent="0.2">
      <c r="A1787" s="96" t="s">
        <v>195</v>
      </c>
      <c r="B1787" s="96" t="s">
        <v>195</v>
      </c>
      <c r="C1787" s="277">
        <v>44794</v>
      </c>
      <c r="D1787" s="277">
        <v>44824</v>
      </c>
      <c r="E1787" s="270" t="s">
        <v>267</v>
      </c>
      <c r="F1787" s="96" t="s">
        <v>34</v>
      </c>
      <c r="G1787" s="270" t="s">
        <v>35</v>
      </c>
      <c r="H1787" s="289" t="s">
        <v>46</v>
      </c>
      <c r="I1787" s="280">
        <v>25</v>
      </c>
      <c r="J1787" s="279">
        <v>1774</v>
      </c>
      <c r="K1787" s="270">
        <f t="shared" si="0"/>
        <v>44350</v>
      </c>
      <c r="L1787" s="279">
        <v>63008</v>
      </c>
      <c r="M1787" s="279">
        <v>-750</v>
      </c>
      <c r="N1787" s="274">
        <v>2008</v>
      </c>
      <c r="O1787" s="55"/>
      <c r="P1787" s="105">
        <v>2008</v>
      </c>
      <c r="Q1787" s="279">
        <v>82</v>
      </c>
      <c r="R1787" s="275">
        <v>-5.8E-4</v>
      </c>
      <c r="S1787" s="279">
        <v>57</v>
      </c>
      <c r="T1787" s="279">
        <v>2065</v>
      </c>
      <c r="U1787" s="57">
        <v>1.0029999999999999</v>
      </c>
      <c r="V1787" s="276">
        <v>0.17</v>
      </c>
      <c r="W1787" s="276">
        <v>0</v>
      </c>
      <c r="X1787" s="279">
        <v>1719</v>
      </c>
      <c r="Y1787" s="279">
        <v>352</v>
      </c>
      <c r="Z1787" s="45" t="b">
        <v>1</v>
      </c>
      <c r="AA1787" s="45" t="s">
        <v>50</v>
      </c>
      <c r="AB1787" s="45" t="s">
        <v>38</v>
      </c>
    </row>
    <row r="1788" spans="1:28" x14ac:dyDescent="0.2">
      <c r="A1788" s="96" t="s">
        <v>195</v>
      </c>
      <c r="B1788" s="96" t="s">
        <v>195</v>
      </c>
      <c r="C1788" s="277">
        <v>44794</v>
      </c>
      <c r="D1788" s="277">
        <v>44824</v>
      </c>
      <c r="E1788" s="270" t="s">
        <v>267</v>
      </c>
      <c r="F1788" s="96" t="s">
        <v>41</v>
      </c>
      <c r="G1788" s="270" t="s">
        <v>35</v>
      </c>
      <c r="H1788" s="289" t="s">
        <v>51</v>
      </c>
      <c r="I1788" s="273">
        <v>0.25</v>
      </c>
      <c r="J1788" s="270">
        <v>2</v>
      </c>
      <c r="K1788" s="270">
        <f t="shared" si="0"/>
        <v>0.5</v>
      </c>
      <c r="L1788" s="270"/>
      <c r="M1788" s="270">
        <v>-0.5</v>
      </c>
      <c r="N1788" s="274"/>
      <c r="O1788" s="55"/>
      <c r="P1788" s="96"/>
      <c r="Q1788" s="270"/>
      <c r="R1788" s="275">
        <v>0</v>
      </c>
      <c r="S1788" s="270"/>
      <c r="T1788" s="270">
        <v>-1</v>
      </c>
      <c r="U1788" s="57">
        <v>1.0029999999999999</v>
      </c>
      <c r="V1788" s="276">
        <v>0.17</v>
      </c>
      <c r="W1788" s="276">
        <v>0</v>
      </c>
      <c r="X1788" s="270">
        <v>0</v>
      </c>
      <c r="Y1788" s="270">
        <v>0</v>
      </c>
      <c r="Z1788" s="45" t="b">
        <v>1</v>
      </c>
      <c r="AA1788" s="45" t="s">
        <v>50</v>
      </c>
      <c r="AB1788" s="45" t="s">
        <v>38</v>
      </c>
    </row>
    <row r="1789" spans="1:28" x14ac:dyDescent="0.2">
      <c r="A1789" s="96" t="s">
        <v>195</v>
      </c>
      <c r="B1789" s="96" t="s">
        <v>195</v>
      </c>
      <c r="C1789" s="277">
        <v>44794</v>
      </c>
      <c r="D1789" s="277">
        <v>44824</v>
      </c>
      <c r="E1789" s="270" t="s">
        <v>267</v>
      </c>
      <c r="F1789" s="96" t="s">
        <v>41</v>
      </c>
      <c r="G1789" s="270" t="s">
        <v>35</v>
      </c>
      <c r="H1789" s="289" t="s">
        <v>47</v>
      </c>
      <c r="I1789" s="273">
        <v>1</v>
      </c>
      <c r="J1789" s="270">
        <v>1</v>
      </c>
      <c r="K1789" s="270">
        <f t="shared" si="0"/>
        <v>1</v>
      </c>
      <c r="L1789" s="270"/>
      <c r="M1789" s="270">
        <v>-1</v>
      </c>
      <c r="N1789" s="274"/>
      <c r="O1789" s="55"/>
      <c r="P1789" s="96"/>
      <c r="Q1789" s="270"/>
      <c r="R1789" s="275">
        <v>0</v>
      </c>
      <c r="S1789" s="270"/>
      <c r="T1789" s="270">
        <v>-1</v>
      </c>
      <c r="U1789" s="57">
        <v>1.0029999999999999</v>
      </c>
      <c r="V1789" s="276">
        <v>0.17</v>
      </c>
      <c r="W1789" s="276">
        <v>0</v>
      </c>
      <c r="X1789" s="270">
        <v>-1</v>
      </c>
      <c r="Y1789" s="270">
        <v>0</v>
      </c>
      <c r="Z1789" s="45" t="b">
        <v>1</v>
      </c>
      <c r="AA1789" s="45" t="s">
        <v>50</v>
      </c>
      <c r="AB1789" s="45" t="s">
        <v>38</v>
      </c>
    </row>
    <row r="1790" spans="1:28" x14ac:dyDescent="0.2">
      <c r="A1790" s="96" t="s">
        <v>124</v>
      </c>
      <c r="B1790" s="96" t="s">
        <v>124</v>
      </c>
      <c r="C1790" s="277">
        <v>44794</v>
      </c>
      <c r="D1790" s="277">
        <v>44824</v>
      </c>
      <c r="E1790" s="270" t="s">
        <v>267</v>
      </c>
      <c r="F1790" s="96" t="s">
        <v>34</v>
      </c>
      <c r="G1790" s="270" t="s">
        <v>35</v>
      </c>
      <c r="H1790" s="272" t="s">
        <v>90</v>
      </c>
      <c r="I1790" s="273">
        <v>5</v>
      </c>
      <c r="J1790" s="270">
        <v>3</v>
      </c>
      <c r="K1790" s="270">
        <f t="shared" si="0"/>
        <v>15</v>
      </c>
      <c r="L1790" s="270">
        <v>137</v>
      </c>
      <c r="M1790" s="270">
        <v>-5</v>
      </c>
      <c r="N1790" s="274">
        <v>1</v>
      </c>
      <c r="O1790" s="55"/>
      <c r="P1790" s="45">
        <v>1</v>
      </c>
      <c r="Q1790" s="270">
        <v>1</v>
      </c>
      <c r="R1790" s="275">
        <v>-5.8E-4</v>
      </c>
      <c r="S1790" s="270">
        <v>1</v>
      </c>
      <c r="T1790" s="270">
        <v>2</v>
      </c>
      <c r="U1790" s="57">
        <v>1</v>
      </c>
      <c r="V1790" s="276">
        <v>0.23</v>
      </c>
      <c r="W1790" s="276">
        <v>0</v>
      </c>
      <c r="X1790" s="270">
        <v>1</v>
      </c>
      <c r="Y1790" s="270">
        <v>0</v>
      </c>
      <c r="Z1790" s="45" t="b">
        <v>1</v>
      </c>
      <c r="AA1790" s="45" t="s">
        <v>38</v>
      </c>
      <c r="AB1790" s="45" t="s">
        <v>38</v>
      </c>
    </row>
    <row r="1791" spans="1:28" x14ac:dyDescent="0.2">
      <c r="A1791" s="96" t="s">
        <v>124</v>
      </c>
      <c r="B1791" s="96" t="s">
        <v>124</v>
      </c>
      <c r="C1791" s="277">
        <v>44794</v>
      </c>
      <c r="D1791" s="277">
        <v>44824</v>
      </c>
      <c r="E1791" s="270" t="s">
        <v>267</v>
      </c>
      <c r="F1791" s="96" t="s">
        <v>34</v>
      </c>
      <c r="G1791" s="270" t="s">
        <v>35</v>
      </c>
      <c r="H1791" s="272" t="s">
        <v>115</v>
      </c>
      <c r="I1791" s="273">
        <v>10</v>
      </c>
      <c r="J1791" s="270">
        <v>2283</v>
      </c>
      <c r="K1791" s="270">
        <f t="shared" si="0"/>
        <v>22830</v>
      </c>
      <c r="L1791" s="270">
        <v>32383</v>
      </c>
      <c r="M1791" s="270">
        <v>-990</v>
      </c>
      <c r="N1791" s="274">
        <v>748</v>
      </c>
      <c r="O1791" s="55"/>
      <c r="P1791" s="45">
        <v>748</v>
      </c>
      <c r="Q1791" s="270">
        <v>-688</v>
      </c>
      <c r="R1791" s="275">
        <v>-5.8E-4</v>
      </c>
      <c r="S1791" s="270">
        <v>-701</v>
      </c>
      <c r="T1791" s="270">
        <v>47</v>
      </c>
      <c r="U1791" s="57">
        <v>1</v>
      </c>
      <c r="V1791" s="276">
        <v>0.23</v>
      </c>
      <c r="W1791" s="276">
        <v>0</v>
      </c>
      <c r="X1791" s="270">
        <v>36</v>
      </c>
      <c r="Y1791" s="270">
        <v>11</v>
      </c>
      <c r="Z1791" s="45" t="b">
        <v>1</v>
      </c>
      <c r="AA1791" s="45" t="s">
        <v>38</v>
      </c>
      <c r="AB1791" s="45" t="s">
        <v>38</v>
      </c>
    </row>
    <row r="1792" spans="1:28" x14ac:dyDescent="0.2">
      <c r="A1792" s="96" t="s">
        <v>124</v>
      </c>
      <c r="B1792" s="96" t="s">
        <v>124</v>
      </c>
      <c r="C1792" s="277">
        <v>44794</v>
      </c>
      <c r="D1792" s="277">
        <v>44824</v>
      </c>
      <c r="E1792" s="270" t="s">
        <v>267</v>
      </c>
      <c r="F1792" s="96" t="s">
        <v>34</v>
      </c>
      <c r="G1792" s="270" t="s">
        <v>35</v>
      </c>
      <c r="H1792" s="272" t="s">
        <v>87</v>
      </c>
      <c r="I1792" s="273">
        <v>25</v>
      </c>
      <c r="J1792" s="270">
        <v>16446</v>
      </c>
      <c r="K1792" s="270">
        <f t="shared" si="0"/>
        <v>411150</v>
      </c>
      <c r="L1792" s="270">
        <v>166165</v>
      </c>
      <c r="M1792" s="270">
        <v>-14600</v>
      </c>
      <c r="N1792" s="274">
        <v>11546</v>
      </c>
      <c r="O1792" s="55"/>
      <c r="P1792" s="105">
        <v>11546</v>
      </c>
      <c r="Q1792" s="270">
        <v>-13292</v>
      </c>
      <c r="R1792" s="275">
        <v>-5.8E-4</v>
      </c>
      <c r="S1792" s="270">
        <v>-13531</v>
      </c>
      <c r="T1792" s="270">
        <v>-1985</v>
      </c>
      <c r="U1792" s="57">
        <v>1</v>
      </c>
      <c r="V1792" s="276">
        <v>0.23</v>
      </c>
      <c r="W1792" s="276">
        <v>0</v>
      </c>
      <c r="X1792" s="270">
        <v>-1528</v>
      </c>
      <c r="Y1792" s="270">
        <v>-457</v>
      </c>
      <c r="Z1792" s="45" t="b">
        <v>1</v>
      </c>
      <c r="AA1792" s="45" t="s">
        <v>38</v>
      </c>
      <c r="AB1792" s="45" t="s">
        <v>38</v>
      </c>
    </row>
    <row r="1793" spans="1:28" x14ac:dyDescent="0.2">
      <c r="A1793" s="96" t="s">
        <v>124</v>
      </c>
      <c r="B1793" s="96" t="s">
        <v>124</v>
      </c>
      <c r="C1793" s="277">
        <v>44794</v>
      </c>
      <c r="D1793" s="277">
        <v>44824</v>
      </c>
      <c r="E1793" s="270" t="s">
        <v>267</v>
      </c>
      <c r="F1793" s="96" t="s">
        <v>34</v>
      </c>
      <c r="G1793" s="270" t="s">
        <v>35</v>
      </c>
      <c r="H1793" s="272" t="s">
        <v>85</v>
      </c>
      <c r="I1793" s="273">
        <v>50</v>
      </c>
      <c r="J1793" s="270">
        <v>1859</v>
      </c>
      <c r="K1793" s="270">
        <f t="shared" si="0"/>
        <v>92950</v>
      </c>
      <c r="L1793" s="270">
        <v>21980</v>
      </c>
      <c r="M1793" s="270">
        <v>-450</v>
      </c>
      <c r="N1793" s="274">
        <v>2610</v>
      </c>
      <c r="O1793" s="55"/>
      <c r="P1793" s="105">
        <v>2610</v>
      </c>
      <c r="Q1793" s="270">
        <v>-2511</v>
      </c>
      <c r="R1793" s="275">
        <v>-5.8E-4</v>
      </c>
      <c r="S1793" s="270">
        <v>-2565</v>
      </c>
      <c r="T1793" s="270">
        <v>45</v>
      </c>
      <c r="U1793" s="57">
        <v>1</v>
      </c>
      <c r="V1793" s="276">
        <v>0.23</v>
      </c>
      <c r="W1793" s="276">
        <v>0</v>
      </c>
      <c r="X1793" s="270">
        <v>35</v>
      </c>
      <c r="Y1793" s="270">
        <v>10</v>
      </c>
      <c r="Z1793" s="45" t="b">
        <v>1</v>
      </c>
      <c r="AA1793" s="45" t="s">
        <v>38</v>
      </c>
      <c r="AB1793" s="45" t="s">
        <v>38</v>
      </c>
    </row>
    <row r="1794" spans="1:28" x14ac:dyDescent="0.2">
      <c r="A1794" s="270" t="s">
        <v>114</v>
      </c>
      <c r="B1794" s="270" t="s">
        <v>114</v>
      </c>
      <c r="C1794" s="277">
        <v>44802</v>
      </c>
      <c r="D1794" s="277">
        <v>44824</v>
      </c>
      <c r="E1794" s="270" t="s">
        <v>267</v>
      </c>
      <c r="F1794" s="96" t="s">
        <v>34</v>
      </c>
      <c r="G1794" s="270" t="s">
        <v>35</v>
      </c>
      <c r="H1794" s="272" t="s">
        <v>39</v>
      </c>
      <c r="I1794" s="273">
        <v>5</v>
      </c>
      <c r="J1794" s="270">
        <v>121</v>
      </c>
      <c r="K1794" s="270">
        <f t="shared" si="0"/>
        <v>605</v>
      </c>
      <c r="L1794" s="270">
        <v>-865</v>
      </c>
      <c r="M1794" s="270">
        <v>-80</v>
      </c>
      <c r="N1794" s="274">
        <v>14</v>
      </c>
      <c r="O1794" s="55"/>
      <c r="P1794" s="45">
        <v>14</v>
      </c>
      <c r="Q1794" s="270">
        <v>-61</v>
      </c>
      <c r="R1794" s="275">
        <v>-5.8E-4</v>
      </c>
      <c r="S1794" s="270">
        <v>-61</v>
      </c>
      <c r="T1794" s="270">
        <v>-47</v>
      </c>
      <c r="U1794" s="57">
        <v>1</v>
      </c>
      <c r="V1794" s="276">
        <v>0.3</v>
      </c>
      <c r="W1794" s="276">
        <v>0</v>
      </c>
      <c r="X1794" s="270">
        <v>-33</v>
      </c>
      <c r="Y1794" s="270">
        <v>-14</v>
      </c>
      <c r="Z1794" s="45" t="b">
        <v>1</v>
      </c>
      <c r="AA1794" s="45" t="s">
        <v>38</v>
      </c>
      <c r="AB1794" s="45" t="s">
        <v>38</v>
      </c>
    </row>
    <row r="1795" spans="1:28" x14ac:dyDescent="0.2">
      <c r="A1795" s="270" t="s">
        <v>114</v>
      </c>
      <c r="B1795" s="270" t="s">
        <v>114</v>
      </c>
      <c r="C1795" s="277">
        <v>44802</v>
      </c>
      <c r="D1795" s="277">
        <v>44824</v>
      </c>
      <c r="E1795" s="270" t="s">
        <v>267</v>
      </c>
      <c r="F1795" s="96" t="s">
        <v>34</v>
      </c>
      <c r="G1795" s="270" t="s">
        <v>35</v>
      </c>
      <c r="H1795" s="272" t="s">
        <v>90</v>
      </c>
      <c r="I1795" s="273">
        <v>5</v>
      </c>
      <c r="J1795" s="270">
        <v>1393</v>
      </c>
      <c r="K1795" s="270">
        <f t="shared" si="0"/>
        <v>6965</v>
      </c>
      <c r="L1795" s="286">
        <f>14550/1392*1393</f>
        <v>14560.452586206897</v>
      </c>
      <c r="M1795" s="286">
        <v>-490</v>
      </c>
      <c r="N1795" s="274">
        <v>160</v>
      </c>
      <c r="O1795" s="55"/>
      <c r="P1795" s="45">
        <v>160</v>
      </c>
      <c r="Q1795" s="286">
        <v>-394</v>
      </c>
      <c r="R1795" s="275">
        <v>-5.8E-4</v>
      </c>
      <c r="S1795" s="286">
        <v>-398</v>
      </c>
      <c r="T1795" s="286">
        <v>-238</v>
      </c>
      <c r="U1795" s="57">
        <v>1</v>
      </c>
      <c r="V1795" s="276">
        <v>0.3</v>
      </c>
      <c r="W1795" s="276">
        <v>0</v>
      </c>
      <c r="X1795" s="286">
        <v>-166</v>
      </c>
      <c r="Y1795" s="286">
        <v>-71</v>
      </c>
      <c r="Z1795" s="45" t="b">
        <v>1</v>
      </c>
      <c r="AA1795" s="45" t="s">
        <v>38</v>
      </c>
      <c r="AB1795" s="45" t="s">
        <v>38</v>
      </c>
    </row>
    <row r="1796" spans="1:28" x14ac:dyDescent="0.2">
      <c r="A1796" s="270" t="s">
        <v>114</v>
      </c>
      <c r="B1796" s="270" t="s">
        <v>114</v>
      </c>
      <c r="C1796" s="277">
        <v>44802</v>
      </c>
      <c r="D1796" s="277">
        <v>44824</v>
      </c>
      <c r="E1796" s="270" t="s">
        <v>267</v>
      </c>
      <c r="F1796" s="96" t="s">
        <v>34</v>
      </c>
      <c r="G1796" s="270" t="s">
        <v>35</v>
      </c>
      <c r="H1796" s="272" t="s">
        <v>40</v>
      </c>
      <c r="I1796" s="273">
        <v>10</v>
      </c>
      <c r="J1796" s="270">
        <v>891</v>
      </c>
      <c r="K1796" s="270">
        <f t="shared" si="0"/>
        <v>8910</v>
      </c>
      <c r="L1796" s="286">
        <f>33521/874*891</f>
        <v>34173.010297482841</v>
      </c>
      <c r="M1796" s="286">
        <v>-550</v>
      </c>
      <c r="N1796" s="274">
        <v>182</v>
      </c>
      <c r="O1796" s="55"/>
      <c r="P1796" s="45">
        <v>182</v>
      </c>
      <c r="Q1796" s="286">
        <v>-33</v>
      </c>
      <c r="R1796" s="275">
        <v>-5.8E-4</v>
      </c>
      <c r="S1796" s="286">
        <v>-38</v>
      </c>
      <c r="T1796" s="286">
        <v>144</v>
      </c>
      <c r="U1796" s="57">
        <v>1</v>
      </c>
      <c r="V1796" s="276">
        <v>0.3</v>
      </c>
      <c r="W1796" s="276">
        <v>0</v>
      </c>
      <c r="X1796" s="286">
        <v>101</v>
      </c>
      <c r="Y1796" s="286">
        <v>43</v>
      </c>
      <c r="Z1796" s="45" t="b">
        <v>1</v>
      </c>
      <c r="AA1796" s="45" t="s">
        <v>38</v>
      </c>
      <c r="AB1796" s="45" t="s">
        <v>38</v>
      </c>
    </row>
    <row r="1797" spans="1:28" x14ac:dyDescent="0.2">
      <c r="A1797" s="270" t="s">
        <v>114</v>
      </c>
      <c r="B1797" s="270" t="s">
        <v>114</v>
      </c>
      <c r="C1797" s="277">
        <v>44802</v>
      </c>
      <c r="D1797" s="277">
        <v>44824</v>
      </c>
      <c r="E1797" s="270" t="s">
        <v>267</v>
      </c>
      <c r="F1797" s="96" t="s">
        <v>34</v>
      </c>
      <c r="G1797" s="270" t="s">
        <v>35</v>
      </c>
      <c r="H1797" s="272" t="s">
        <v>115</v>
      </c>
      <c r="I1797" s="273">
        <v>10</v>
      </c>
      <c r="J1797" s="270">
        <v>1801</v>
      </c>
      <c r="K1797" s="270">
        <f t="shared" si="0"/>
        <v>18010</v>
      </c>
      <c r="L1797" s="270">
        <v>23238</v>
      </c>
      <c r="M1797" s="270">
        <v>-1800</v>
      </c>
      <c r="N1797" s="274">
        <v>369</v>
      </c>
      <c r="O1797" s="55"/>
      <c r="P1797" s="45">
        <v>369</v>
      </c>
      <c r="Q1797" s="270">
        <v>-622</v>
      </c>
      <c r="R1797" s="275">
        <v>-5.8E-4</v>
      </c>
      <c r="S1797" s="270">
        <v>-633</v>
      </c>
      <c r="T1797" s="270">
        <v>-264</v>
      </c>
      <c r="U1797" s="57">
        <v>1</v>
      </c>
      <c r="V1797" s="276">
        <v>0.3</v>
      </c>
      <c r="W1797" s="276">
        <v>0</v>
      </c>
      <c r="X1797" s="270">
        <v>-185</v>
      </c>
      <c r="Y1797" s="270">
        <v>-79</v>
      </c>
      <c r="Z1797" s="45" t="b">
        <v>1</v>
      </c>
      <c r="AA1797" s="45" t="s">
        <v>38</v>
      </c>
      <c r="AB1797" s="45" t="s">
        <v>38</v>
      </c>
    </row>
    <row r="1798" spans="1:28" x14ac:dyDescent="0.2">
      <c r="A1798" s="270" t="s">
        <v>114</v>
      </c>
      <c r="B1798" s="270" t="s">
        <v>114</v>
      </c>
      <c r="C1798" s="277">
        <v>44802</v>
      </c>
      <c r="D1798" s="277">
        <v>44824</v>
      </c>
      <c r="E1798" s="270" t="s">
        <v>267</v>
      </c>
      <c r="F1798" s="96" t="s">
        <v>41</v>
      </c>
      <c r="G1798" s="270" t="s">
        <v>35</v>
      </c>
      <c r="H1798" s="272" t="s">
        <v>45</v>
      </c>
      <c r="I1798" s="273">
        <v>0.25</v>
      </c>
      <c r="J1798" s="270">
        <v>36</v>
      </c>
      <c r="K1798" s="270">
        <f t="shared" si="0"/>
        <v>9</v>
      </c>
      <c r="L1798" s="270">
        <v>1765</v>
      </c>
      <c r="M1798" s="270">
        <v>-1</v>
      </c>
      <c r="N1798" s="274"/>
      <c r="O1798" s="55"/>
      <c r="P1798" s="96"/>
      <c r="Q1798" s="270">
        <v>0</v>
      </c>
      <c r="R1798" s="275">
        <v>0</v>
      </c>
      <c r="S1798" s="270">
        <v>0</v>
      </c>
      <c r="T1798" s="270">
        <v>-1</v>
      </c>
      <c r="U1798" s="57">
        <v>1</v>
      </c>
      <c r="V1798" s="276">
        <v>0.3</v>
      </c>
      <c r="W1798" s="276">
        <v>0</v>
      </c>
      <c r="X1798" s="270">
        <v>-1</v>
      </c>
      <c r="Y1798" s="270">
        <v>0</v>
      </c>
      <c r="Z1798" s="45" t="b">
        <v>1</v>
      </c>
      <c r="AA1798" s="45" t="s">
        <v>38</v>
      </c>
      <c r="AB1798" s="45" t="s">
        <v>38</v>
      </c>
    </row>
    <row r="1799" spans="1:28" x14ac:dyDescent="0.2">
      <c r="A1799" s="270" t="s">
        <v>114</v>
      </c>
      <c r="B1799" s="270" t="s">
        <v>114</v>
      </c>
      <c r="C1799" s="277">
        <v>44802</v>
      </c>
      <c r="D1799" s="277">
        <v>44824</v>
      </c>
      <c r="E1799" s="270" t="s">
        <v>267</v>
      </c>
      <c r="F1799" s="96" t="s">
        <v>41</v>
      </c>
      <c r="G1799" s="270" t="s">
        <v>35</v>
      </c>
      <c r="H1799" s="272" t="s">
        <v>51</v>
      </c>
      <c r="I1799" s="273">
        <v>0.25</v>
      </c>
      <c r="J1799" s="270">
        <v>2</v>
      </c>
      <c r="K1799" s="270">
        <f t="shared" si="0"/>
        <v>0.5</v>
      </c>
      <c r="L1799" s="270">
        <v>357</v>
      </c>
      <c r="M1799" s="270">
        <v>0</v>
      </c>
      <c r="N1799" s="274"/>
      <c r="O1799" s="55"/>
      <c r="P1799" s="96"/>
      <c r="Q1799" s="270">
        <v>0</v>
      </c>
      <c r="R1799" s="275">
        <v>0</v>
      </c>
      <c r="S1799" s="270">
        <v>0</v>
      </c>
      <c r="T1799" s="270">
        <v>0</v>
      </c>
      <c r="U1799" s="57">
        <v>1</v>
      </c>
      <c r="V1799" s="276">
        <v>0.3</v>
      </c>
      <c r="W1799" s="276">
        <v>0</v>
      </c>
      <c r="X1799" s="270">
        <v>0</v>
      </c>
      <c r="Y1799" s="270">
        <v>0</v>
      </c>
      <c r="Z1799" s="45" t="b">
        <v>1</v>
      </c>
      <c r="AA1799" s="45" t="s">
        <v>38</v>
      </c>
      <c r="AB1799" s="45" t="s">
        <v>38</v>
      </c>
    </row>
    <row r="1800" spans="1:28" x14ac:dyDescent="0.2">
      <c r="A1800" s="270" t="s">
        <v>114</v>
      </c>
      <c r="B1800" s="270" t="s">
        <v>114</v>
      </c>
      <c r="C1800" s="277">
        <v>44802</v>
      </c>
      <c r="D1800" s="277">
        <v>44824</v>
      </c>
      <c r="E1800" s="270" t="s">
        <v>267</v>
      </c>
      <c r="F1800" s="96" t="s">
        <v>41</v>
      </c>
      <c r="G1800" s="270" t="s">
        <v>35</v>
      </c>
      <c r="H1800" s="272" t="s">
        <v>42</v>
      </c>
      <c r="I1800" s="273">
        <v>1</v>
      </c>
      <c r="J1800" s="270">
        <v>1</v>
      </c>
      <c r="K1800" s="270">
        <f t="shared" si="0"/>
        <v>1</v>
      </c>
      <c r="L1800" s="270">
        <v>-31</v>
      </c>
      <c r="M1800" s="270">
        <v>-1</v>
      </c>
      <c r="N1800" s="274"/>
      <c r="O1800" s="55"/>
      <c r="P1800" s="96"/>
      <c r="Q1800" s="270">
        <v>0</v>
      </c>
      <c r="R1800" s="275">
        <v>0</v>
      </c>
      <c r="S1800" s="270">
        <v>0</v>
      </c>
      <c r="T1800" s="270">
        <v>-1</v>
      </c>
      <c r="U1800" s="57">
        <v>1</v>
      </c>
      <c r="V1800" s="276">
        <v>0.3</v>
      </c>
      <c r="W1800" s="276">
        <v>0</v>
      </c>
      <c r="X1800" s="270">
        <v>-1</v>
      </c>
      <c r="Y1800" s="270">
        <v>0</v>
      </c>
      <c r="Z1800" s="45" t="b">
        <v>1</v>
      </c>
      <c r="AA1800" s="45" t="s">
        <v>38</v>
      </c>
      <c r="AB1800" s="45" t="s">
        <v>38</v>
      </c>
    </row>
    <row r="1801" spans="1:28" x14ac:dyDescent="0.2">
      <c r="A1801" s="270" t="s">
        <v>600</v>
      </c>
      <c r="B1801" s="270" t="s">
        <v>116</v>
      </c>
      <c r="C1801" s="277">
        <v>44794</v>
      </c>
      <c r="D1801" s="277">
        <v>44824</v>
      </c>
      <c r="E1801" s="270" t="s">
        <v>267</v>
      </c>
      <c r="F1801" s="96" t="s">
        <v>34</v>
      </c>
      <c r="G1801" s="270" t="s">
        <v>80</v>
      </c>
      <c r="H1801" s="272" t="s">
        <v>72</v>
      </c>
      <c r="I1801" s="273">
        <v>50</v>
      </c>
      <c r="J1801" s="270">
        <v>1266</v>
      </c>
      <c r="K1801" s="270">
        <f t="shared" si="0"/>
        <v>63300</v>
      </c>
      <c r="L1801" s="270">
        <v>4786</v>
      </c>
      <c r="M1801" s="270">
        <v>-4850</v>
      </c>
      <c r="N1801" s="274">
        <f>2109</f>
        <v>2109</v>
      </c>
      <c r="O1801" s="55"/>
      <c r="P1801" s="105">
        <v>2109</v>
      </c>
      <c r="Q1801" s="270">
        <v>-3954</v>
      </c>
      <c r="R1801" s="275">
        <v>-5.8E-4</v>
      </c>
      <c r="S1801" s="270">
        <v>-3990</v>
      </c>
      <c r="T1801" s="270">
        <v>-1881</v>
      </c>
      <c r="U1801" s="57">
        <v>1</v>
      </c>
      <c r="V1801" s="276">
        <v>0.3</v>
      </c>
      <c r="W1801" s="276">
        <v>0</v>
      </c>
      <c r="X1801" s="270">
        <v>-1317</v>
      </c>
      <c r="Y1801" s="270">
        <v>-564</v>
      </c>
      <c r="Z1801" s="45" t="b">
        <v>1</v>
      </c>
      <c r="AA1801" s="45" t="s">
        <v>38</v>
      </c>
      <c r="AB1801" s="45" t="s">
        <v>38</v>
      </c>
    </row>
    <row r="1802" spans="1:28" x14ac:dyDescent="0.2">
      <c r="A1802" s="96" t="s">
        <v>206</v>
      </c>
      <c r="B1802" s="96" t="s">
        <v>206</v>
      </c>
      <c r="C1802" s="277">
        <v>44794</v>
      </c>
      <c r="D1802" s="277">
        <v>44824</v>
      </c>
      <c r="E1802" s="270" t="s">
        <v>267</v>
      </c>
      <c r="F1802" s="133" t="s">
        <v>34</v>
      </c>
      <c r="G1802" s="96" t="s">
        <v>35</v>
      </c>
      <c r="H1802" s="272" t="s">
        <v>70</v>
      </c>
      <c r="I1802" s="273">
        <v>100</v>
      </c>
      <c r="J1802" s="270">
        <v>579</v>
      </c>
      <c r="K1802" s="270">
        <f t="shared" si="0"/>
        <v>57900</v>
      </c>
      <c r="L1802" s="270">
        <v>25285</v>
      </c>
      <c r="M1802" s="270">
        <v>-3700</v>
      </c>
      <c r="N1802" s="274">
        <v>2303</v>
      </c>
      <c r="O1802" s="55"/>
      <c r="P1802" s="105">
        <v>2303</v>
      </c>
      <c r="Q1802" s="270">
        <v>1613</v>
      </c>
      <c r="R1802" s="275">
        <v>-5.8E-4</v>
      </c>
      <c r="S1802" s="270">
        <v>1579</v>
      </c>
      <c r="T1802" s="270">
        <v>3882</v>
      </c>
      <c r="U1802" s="57">
        <v>1</v>
      </c>
      <c r="V1802" s="276">
        <v>0.1</v>
      </c>
      <c r="W1802" s="276">
        <v>0</v>
      </c>
      <c r="X1802" s="270">
        <v>3494</v>
      </c>
      <c r="Y1802" s="270">
        <v>388</v>
      </c>
      <c r="Z1802" s="45" t="b">
        <v>1</v>
      </c>
      <c r="AA1802" s="45" t="s">
        <v>38</v>
      </c>
      <c r="AB1802" s="45" t="s">
        <v>38</v>
      </c>
    </row>
    <row r="1803" spans="1:28" x14ac:dyDescent="0.2">
      <c r="A1803" s="96" t="s">
        <v>206</v>
      </c>
      <c r="B1803" s="96" t="s">
        <v>206</v>
      </c>
      <c r="C1803" s="277">
        <v>44794</v>
      </c>
      <c r="D1803" s="277">
        <v>44824</v>
      </c>
      <c r="E1803" s="270" t="s">
        <v>267</v>
      </c>
      <c r="F1803" s="133" t="s">
        <v>34</v>
      </c>
      <c r="G1803" s="96" t="s">
        <v>35</v>
      </c>
      <c r="H1803" s="272" t="s">
        <v>84</v>
      </c>
      <c r="I1803" s="273">
        <v>100</v>
      </c>
      <c r="J1803" s="270">
        <v>287</v>
      </c>
      <c r="K1803" s="270">
        <f t="shared" si="0"/>
        <v>28700</v>
      </c>
      <c r="L1803" s="270">
        <v>-6661</v>
      </c>
      <c r="M1803" s="270">
        <v>-4300</v>
      </c>
      <c r="N1803" s="274">
        <v>1142</v>
      </c>
      <c r="O1803" s="55"/>
      <c r="P1803" s="105">
        <v>1142</v>
      </c>
      <c r="Q1803" s="270">
        <v>-3631</v>
      </c>
      <c r="R1803" s="275">
        <v>-5.8E-4</v>
      </c>
      <c r="S1803" s="270">
        <v>-3647</v>
      </c>
      <c r="T1803" s="270">
        <v>-2505</v>
      </c>
      <c r="U1803" s="57">
        <v>1</v>
      </c>
      <c r="V1803" s="276">
        <v>0.1</v>
      </c>
      <c r="W1803" s="276">
        <v>0</v>
      </c>
      <c r="X1803" s="270">
        <v>-2255</v>
      </c>
      <c r="Y1803" s="270">
        <v>-251</v>
      </c>
      <c r="Z1803" s="45" t="b">
        <v>1</v>
      </c>
      <c r="AA1803" s="45" t="s">
        <v>38</v>
      </c>
      <c r="AB1803" s="45" t="s">
        <v>38</v>
      </c>
    </row>
    <row r="1804" spans="1:28" x14ac:dyDescent="0.2">
      <c r="A1804" s="96" t="s">
        <v>206</v>
      </c>
      <c r="B1804" s="96" t="s">
        <v>206</v>
      </c>
      <c r="C1804" s="277">
        <v>44794</v>
      </c>
      <c r="D1804" s="277">
        <v>44824</v>
      </c>
      <c r="E1804" s="270" t="s">
        <v>267</v>
      </c>
      <c r="F1804" s="133" t="s">
        <v>34</v>
      </c>
      <c r="G1804" s="96" t="s">
        <v>35</v>
      </c>
      <c r="H1804" s="272" t="s">
        <v>88</v>
      </c>
      <c r="I1804" s="273">
        <v>250</v>
      </c>
      <c r="J1804" s="270">
        <v>667</v>
      </c>
      <c r="K1804" s="270">
        <f t="shared" si="0"/>
        <v>166750</v>
      </c>
      <c r="L1804" s="270">
        <v>-11651</v>
      </c>
      <c r="M1804" s="270">
        <v>-13000</v>
      </c>
      <c r="N1804" s="274">
        <v>6635</v>
      </c>
      <c r="O1804" s="55"/>
      <c r="P1804" s="105">
        <v>6635</v>
      </c>
      <c r="Q1804" s="270">
        <v>-14078</v>
      </c>
      <c r="R1804" s="275">
        <v>-5.8E-4</v>
      </c>
      <c r="S1804" s="270">
        <v>-14174</v>
      </c>
      <c r="T1804" s="270">
        <v>-7539</v>
      </c>
      <c r="U1804" s="57">
        <v>1</v>
      </c>
      <c r="V1804" s="276">
        <v>0.1</v>
      </c>
      <c r="W1804" s="276">
        <v>0</v>
      </c>
      <c r="X1804" s="270">
        <v>-6785</v>
      </c>
      <c r="Y1804" s="270">
        <v>-754</v>
      </c>
      <c r="Z1804" s="45" t="b">
        <v>1</v>
      </c>
      <c r="AA1804" s="45" t="s">
        <v>38</v>
      </c>
      <c r="AB1804" s="45" t="s">
        <v>38</v>
      </c>
    </row>
    <row r="1805" spans="1:28" x14ac:dyDescent="0.2">
      <c r="A1805" s="96" t="s">
        <v>206</v>
      </c>
      <c r="B1805" s="96" t="s">
        <v>206</v>
      </c>
      <c r="C1805" s="277">
        <v>44794</v>
      </c>
      <c r="D1805" s="277">
        <v>44824</v>
      </c>
      <c r="E1805" s="270" t="s">
        <v>267</v>
      </c>
      <c r="F1805" s="133" t="s">
        <v>34</v>
      </c>
      <c r="G1805" s="96" t="s">
        <v>35</v>
      </c>
      <c r="H1805" s="272" t="s">
        <v>148</v>
      </c>
      <c r="I1805" s="273">
        <v>250</v>
      </c>
      <c r="J1805" s="270">
        <v>203</v>
      </c>
      <c r="K1805" s="270">
        <f t="shared" si="0"/>
        <v>50750</v>
      </c>
      <c r="L1805" s="270">
        <v>5745</v>
      </c>
      <c r="M1805" s="270">
        <v>4500</v>
      </c>
      <c r="N1805" s="274">
        <v>2019</v>
      </c>
      <c r="O1805" s="55"/>
      <c r="P1805" s="105">
        <v>2019</v>
      </c>
      <c r="Q1805" s="270">
        <v>1879</v>
      </c>
      <c r="R1805" s="275">
        <v>-5.8E-4</v>
      </c>
      <c r="S1805" s="270">
        <v>1850</v>
      </c>
      <c r="T1805" s="270">
        <v>3869</v>
      </c>
      <c r="U1805" s="57">
        <v>1</v>
      </c>
      <c r="V1805" s="276">
        <v>0.1</v>
      </c>
      <c r="W1805" s="276">
        <v>0</v>
      </c>
      <c r="X1805" s="270">
        <v>3482</v>
      </c>
      <c r="Y1805" s="270">
        <v>387</v>
      </c>
      <c r="Z1805" s="45" t="b">
        <v>1</v>
      </c>
      <c r="AA1805" s="45" t="s">
        <v>38</v>
      </c>
      <c r="AB1805" s="45" t="s">
        <v>38</v>
      </c>
    </row>
    <row r="1806" spans="1:28" x14ac:dyDescent="0.2">
      <c r="A1806" s="270" t="s">
        <v>58</v>
      </c>
      <c r="B1806" s="279" t="s">
        <v>52</v>
      </c>
      <c r="C1806" s="282">
        <v>44805</v>
      </c>
      <c r="D1806" s="282">
        <v>44834</v>
      </c>
      <c r="E1806" s="279" t="s">
        <v>267</v>
      </c>
      <c r="F1806" s="133" t="s">
        <v>41</v>
      </c>
      <c r="G1806" s="279" t="s">
        <v>53</v>
      </c>
      <c r="H1806" s="289" t="s">
        <v>54</v>
      </c>
      <c r="I1806" s="280">
        <v>5</v>
      </c>
      <c r="J1806" s="279">
        <v>50</v>
      </c>
      <c r="K1806" s="270">
        <f t="shared" si="0"/>
        <v>250</v>
      </c>
      <c r="L1806" s="279"/>
      <c r="M1806" s="279">
        <v>7.89</v>
      </c>
      <c r="N1806" s="281"/>
      <c r="O1806" s="55">
        <v>0.5</v>
      </c>
      <c r="P1806" s="45">
        <v>9</v>
      </c>
      <c r="Q1806" s="279"/>
      <c r="R1806" s="275">
        <v>0</v>
      </c>
      <c r="S1806" s="279"/>
      <c r="T1806" s="279">
        <v>17</v>
      </c>
      <c r="U1806" s="57">
        <v>0.97</v>
      </c>
      <c r="V1806" s="276">
        <v>0.17</v>
      </c>
      <c r="W1806" s="276">
        <v>0</v>
      </c>
      <c r="X1806" s="279">
        <v>13</v>
      </c>
      <c r="Y1806" s="279">
        <v>3</v>
      </c>
      <c r="Z1806" s="45" t="b">
        <v>1</v>
      </c>
      <c r="AA1806" s="45" t="s">
        <v>38</v>
      </c>
      <c r="AB1806" s="45" t="s">
        <v>50</v>
      </c>
    </row>
    <row r="1807" spans="1:28" x14ac:dyDescent="0.2">
      <c r="A1807" s="270" t="s">
        <v>58</v>
      </c>
      <c r="B1807" s="279" t="s">
        <v>52</v>
      </c>
      <c r="C1807" s="282">
        <v>44805</v>
      </c>
      <c r="D1807" s="282">
        <v>44834</v>
      </c>
      <c r="E1807" s="279" t="s">
        <v>267</v>
      </c>
      <c r="F1807" s="133" t="s">
        <v>41</v>
      </c>
      <c r="G1807" s="279" t="s">
        <v>53</v>
      </c>
      <c r="H1807" s="289" t="s">
        <v>55</v>
      </c>
      <c r="I1807" s="280">
        <v>10</v>
      </c>
      <c r="J1807" s="279">
        <v>1598</v>
      </c>
      <c r="K1807" s="270">
        <f t="shared" si="0"/>
        <v>15980</v>
      </c>
      <c r="L1807" s="279"/>
      <c r="M1807" s="279">
        <v>504.17</v>
      </c>
      <c r="N1807" s="281"/>
      <c r="O1807" s="55">
        <v>0.5</v>
      </c>
      <c r="P1807" s="45">
        <v>559</v>
      </c>
      <c r="Q1807" s="279"/>
      <c r="R1807" s="275">
        <v>0</v>
      </c>
      <c r="S1807" s="279"/>
      <c r="T1807" s="279">
        <v>1063</v>
      </c>
      <c r="U1807" s="57">
        <v>0.97</v>
      </c>
      <c r="V1807" s="276">
        <v>0.17</v>
      </c>
      <c r="W1807" s="276">
        <v>0</v>
      </c>
      <c r="X1807" s="279">
        <v>856</v>
      </c>
      <c r="Y1807" s="279">
        <v>175</v>
      </c>
      <c r="Z1807" s="45" t="b">
        <v>1</v>
      </c>
      <c r="AA1807" s="45" t="s">
        <v>38</v>
      </c>
      <c r="AB1807" s="45" t="s">
        <v>50</v>
      </c>
    </row>
    <row r="1808" spans="1:28" x14ac:dyDescent="0.2">
      <c r="A1808" s="270" t="s">
        <v>58</v>
      </c>
      <c r="B1808" s="279" t="s">
        <v>52</v>
      </c>
      <c r="C1808" s="282">
        <v>44805</v>
      </c>
      <c r="D1808" s="282">
        <v>44834</v>
      </c>
      <c r="E1808" s="279" t="s">
        <v>267</v>
      </c>
      <c r="F1808" s="133" t="s">
        <v>41</v>
      </c>
      <c r="G1808" s="279" t="s">
        <v>53</v>
      </c>
      <c r="H1808" s="289" t="s">
        <v>56</v>
      </c>
      <c r="I1808" s="280">
        <v>20</v>
      </c>
      <c r="J1808" s="279">
        <v>1623</v>
      </c>
      <c r="K1808" s="270">
        <f t="shared" si="0"/>
        <v>32460</v>
      </c>
      <c r="L1808" s="279"/>
      <c r="M1808" s="279">
        <v>1024.1199999999999</v>
      </c>
      <c r="N1808" s="281"/>
      <c r="O1808" s="55">
        <v>0.5</v>
      </c>
      <c r="P1808" s="105">
        <v>1136</v>
      </c>
      <c r="Q1808" s="279"/>
      <c r="R1808" s="275">
        <v>0</v>
      </c>
      <c r="S1808" s="279"/>
      <c r="T1808" s="279">
        <v>2160</v>
      </c>
      <c r="U1808" s="57">
        <v>0.97</v>
      </c>
      <c r="V1808" s="276">
        <v>0.17</v>
      </c>
      <c r="W1808" s="276">
        <v>0</v>
      </c>
      <c r="X1808" s="279">
        <v>1739</v>
      </c>
      <c r="Y1808" s="279">
        <v>356</v>
      </c>
      <c r="Z1808" s="45" t="b">
        <v>1</v>
      </c>
      <c r="AA1808" s="45" t="s">
        <v>38</v>
      </c>
      <c r="AB1808" s="45" t="s">
        <v>50</v>
      </c>
    </row>
    <row r="1809" spans="1:28" x14ac:dyDescent="0.2">
      <c r="A1809" s="270" t="s">
        <v>58</v>
      </c>
      <c r="B1809" s="279" t="s">
        <v>52</v>
      </c>
      <c r="C1809" s="282">
        <v>44805</v>
      </c>
      <c r="D1809" s="282">
        <v>44834</v>
      </c>
      <c r="E1809" s="279" t="s">
        <v>267</v>
      </c>
      <c r="F1809" s="133" t="s">
        <v>41</v>
      </c>
      <c r="G1809" s="279" t="s">
        <v>53</v>
      </c>
      <c r="H1809" s="289" t="s">
        <v>57</v>
      </c>
      <c r="I1809" s="280">
        <v>50</v>
      </c>
      <c r="J1809" s="279">
        <v>17</v>
      </c>
      <c r="K1809" s="270">
        <f t="shared" si="0"/>
        <v>850</v>
      </c>
      <c r="L1809" s="279"/>
      <c r="M1809" s="279">
        <v>26.82</v>
      </c>
      <c r="N1809" s="281"/>
      <c r="O1809" s="55">
        <v>0.5</v>
      </c>
      <c r="P1809" s="45">
        <v>30</v>
      </c>
      <c r="Q1809" s="279"/>
      <c r="R1809" s="275">
        <v>0</v>
      </c>
      <c r="S1809" s="279"/>
      <c r="T1809" s="279">
        <v>57</v>
      </c>
      <c r="U1809" s="57">
        <v>0.97</v>
      </c>
      <c r="V1809" s="276">
        <v>0.17</v>
      </c>
      <c r="W1809" s="276">
        <v>0</v>
      </c>
      <c r="X1809" s="279">
        <v>46</v>
      </c>
      <c r="Y1809" s="279">
        <v>9</v>
      </c>
      <c r="Z1809" s="45" t="b">
        <v>1</v>
      </c>
      <c r="AA1809" s="45" t="s">
        <v>38</v>
      </c>
      <c r="AB1809" s="45" t="s">
        <v>50</v>
      </c>
    </row>
    <row r="1810" spans="1:28" x14ac:dyDescent="0.2">
      <c r="A1810" s="279" t="s">
        <v>60</v>
      </c>
      <c r="B1810" s="279" t="s">
        <v>60</v>
      </c>
      <c r="C1810" s="282">
        <v>44805</v>
      </c>
      <c r="D1810" s="282">
        <v>44834</v>
      </c>
      <c r="E1810" s="279" t="s">
        <v>267</v>
      </c>
      <c r="F1810" s="133" t="s">
        <v>41</v>
      </c>
      <c r="G1810" s="279" t="s">
        <v>69</v>
      </c>
      <c r="H1810" s="289" t="s">
        <v>77</v>
      </c>
      <c r="I1810" s="280">
        <v>10</v>
      </c>
      <c r="J1810" s="279">
        <v>196</v>
      </c>
      <c r="K1810" s="270">
        <f t="shared" si="0"/>
        <v>1960</v>
      </c>
      <c r="L1810" s="279">
        <f>J1810*7</f>
        <v>1372</v>
      </c>
      <c r="M1810" s="279">
        <v>-180</v>
      </c>
      <c r="N1810" s="281">
        <v>65.33</v>
      </c>
      <c r="O1810" s="55"/>
      <c r="P1810" s="45">
        <v>65</v>
      </c>
      <c r="Q1810" s="279">
        <v>-83</v>
      </c>
      <c r="R1810" s="275">
        <v>0</v>
      </c>
      <c r="S1810" s="279">
        <v>-83</v>
      </c>
      <c r="T1810" s="279">
        <v>-115</v>
      </c>
      <c r="U1810" s="57">
        <v>1</v>
      </c>
      <c r="V1810" s="290"/>
      <c r="W1810" s="276">
        <v>0</v>
      </c>
      <c r="X1810" s="279">
        <v>-115</v>
      </c>
      <c r="Y1810" s="279">
        <v>0</v>
      </c>
      <c r="Z1810" s="45" t="b">
        <v>0</v>
      </c>
      <c r="AA1810" s="45" t="s">
        <v>38</v>
      </c>
      <c r="AB1810" s="45" t="s">
        <v>38</v>
      </c>
    </row>
    <row r="1811" spans="1:28" x14ac:dyDescent="0.2">
      <c r="A1811" s="279" t="s">
        <v>60</v>
      </c>
      <c r="B1811" s="279" t="s">
        <v>60</v>
      </c>
      <c r="C1811" s="282">
        <v>44805</v>
      </c>
      <c r="D1811" s="282">
        <v>44834</v>
      </c>
      <c r="E1811" s="279" t="s">
        <v>267</v>
      </c>
      <c r="F1811" s="133" t="s">
        <v>41</v>
      </c>
      <c r="G1811" s="279" t="s">
        <v>69</v>
      </c>
      <c r="H1811" s="289" t="s">
        <v>40</v>
      </c>
      <c r="I1811" s="280">
        <v>10</v>
      </c>
      <c r="J1811" s="279">
        <v>70</v>
      </c>
      <c r="K1811" s="270">
        <f t="shared" si="0"/>
        <v>700</v>
      </c>
      <c r="L1811" s="279">
        <f>82*46</f>
        <v>3772</v>
      </c>
      <c r="M1811" s="279">
        <v>40</v>
      </c>
      <c r="N1811" s="281">
        <v>0.67</v>
      </c>
      <c r="O1811" s="55"/>
      <c r="P1811" s="45">
        <v>1</v>
      </c>
      <c r="Q1811" s="279">
        <v>26</v>
      </c>
      <c r="R1811" s="275">
        <v>0</v>
      </c>
      <c r="S1811" s="279">
        <v>26</v>
      </c>
      <c r="T1811" s="279">
        <v>41</v>
      </c>
      <c r="U1811" s="57">
        <v>1</v>
      </c>
      <c r="V1811" s="290"/>
      <c r="W1811" s="276">
        <v>0</v>
      </c>
      <c r="X1811" s="279">
        <v>41</v>
      </c>
      <c r="Y1811" s="279">
        <v>0</v>
      </c>
      <c r="Z1811" s="45" t="b">
        <v>0</v>
      </c>
      <c r="AA1811" s="45" t="s">
        <v>38</v>
      </c>
      <c r="AB1811" s="45" t="s">
        <v>38</v>
      </c>
    </row>
    <row r="1812" spans="1:28" x14ac:dyDescent="0.2">
      <c r="A1812" s="96" t="s">
        <v>89</v>
      </c>
      <c r="B1812" s="96" t="s">
        <v>89</v>
      </c>
      <c r="C1812" s="277">
        <v>44805</v>
      </c>
      <c r="D1812" s="277">
        <v>44834</v>
      </c>
      <c r="E1812" s="270" t="s">
        <v>267</v>
      </c>
      <c r="F1812" s="133" t="s">
        <v>41</v>
      </c>
      <c r="G1812" s="96" t="s">
        <v>35</v>
      </c>
      <c r="H1812" s="272" t="s">
        <v>46</v>
      </c>
      <c r="I1812" s="273">
        <v>25</v>
      </c>
      <c r="J1812" s="270">
        <v>166</v>
      </c>
      <c r="K1812" s="270">
        <f t="shared" si="0"/>
        <v>4150</v>
      </c>
      <c r="L1812" s="270">
        <v>20167</v>
      </c>
      <c r="M1812" s="270">
        <v>1125</v>
      </c>
      <c r="N1812" s="274">
        <v>162</v>
      </c>
      <c r="O1812" s="55"/>
      <c r="P1812" s="45">
        <v>162</v>
      </c>
      <c r="Q1812" s="270">
        <v>669</v>
      </c>
      <c r="R1812" s="275">
        <v>0</v>
      </c>
      <c r="S1812" s="270">
        <v>669</v>
      </c>
      <c r="T1812" s="270">
        <v>1287</v>
      </c>
      <c r="U1812" s="57">
        <v>1</v>
      </c>
      <c r="V1812" s="290"/>
      <c r="W1812" s="276">
        <v>0</v>
      </c>
      <c r="X1812" s="270">
        <v>1287</v>
      </c>
      <c r="Y1812" s="270">
        <v>0</v>
      </c>
      <c r="Z1812" s="45" t="b">
        <v>0</v>
      </c>
      <c r="AA1812" s="45" t="s">
        <v>38</v>
      </c>
      <c r="AB1812" s="45" t="s">
        <v>38</v>
      </c>
    </row>
    <row r="1813" spans="1:28" x14ac:dyDescent="0.2">
      <c r="A1813" s="96" t="s">
        <v>89</v>
      </c>
      <c r="B1813" s="96" t="s">
        <v>89</v>
      </c>
      <c r="C1813" s="277">
        <v>44805</v>
      </c>
      <c r="D1813" s="277">
        <v>44834</v>
      </c>
      <c r="E1813" s="270" t="s">
        <v>267</v>
      </c>
      <c r="F1813" s="133" t="s">
        <v>41</v>
      </c>
      <c r="G1813" s="96" t="s">
        <v>35</v>
      </c>
      <c r="H1813" s="272" t="s">
        <v>72</v>
      </c>
      <c r="I1813" s="273">
        <v>50</v>
      </c>
      <c r="J1813" s="270">
        <v>6001</v>
      </c>
      <c r="K1813" s="270">
        <f t="shared" si="0"/>
        <v>300050</v>
      </c>
      <c r="L1813" s="270">
        <v>-9735</v>
      </c>
      <c r="M1813" s="270">
        <v>-19400</v>
      </c>
      <c r="N1813" s="274">
        <v>11738</v>
      </c>
      <c r="O1813" s="55"/>
      <c r="P1813" s="105">
        <v>11738</v>
      </c>
      <c r="Q1813" s="270">
        <v>-20106</v>
      </c>
      <c r="R1813" s="275">
        <v>0</v>
      </c>
      <c r="S1813" s="270">
        <v>-20106</v>
      </c>
      <c r="T1813" s="270">
        <v>-7662</v>
      </c>
      <c r="U1813" s="57">
        <v>1</v>
      </c>
      <c r="V1813" s="290"/>
      <c r="W1813" s="276">
        <v>0</v>
      </c>
      <c r="X1813" s="270">
        <v>-7662</v>
      </c>
      <c r="Y1813" s="270">
        <v>0</v>
      </c>
      <c r="Z1813" s="45" t="b">
        <v>0</v>
      </c>
      <c r="AA1813" s="45" t="s">
        <v>38</v>
      </c>
      <c r="AB1813" s="45" t="s">
        <v>38</v>
      </c>
    </row>
    <row r="1814" spans="1:28" x14ac:dyDescent="0.2">
      <c r="A1814" s="96" t="s">
        <v>145</v>
      </c>
      <c r="B1814" s="96" t="s">
        <v>145</v>
      </c>
      <c r="C1814" s="277">
        <v>44805</v>
      </c>
      <c r="D1814" s="277">
        <v>44834</v>
      </c>
      <c r="E1814" s="270" t="s">
        <v>300</v>
      </c>
      <c r="F1814" s="133" t="s">
        <v>49</v>
      </c>
      <c r="G1814" s="279" t="s">
        <v>35</v>
      </c>
      <c r="H1814" s="272" t="s">
        <v>70</v>
      </c>
      <c r="I1814" s="273">
        <v>100</v>
      </c>
      <c r="J1814" s="270">
        <v>296</v>
      </c>
      <c r="K1814" s="270">
        <f t="shared" si="0"/>
        <v>29600</v>
      </c>
      <c r="L1814" s="270">
        <v>3761</v>
      </c>
      <c r="M1814" s="270">
        <v>-600</v>
      </c>
      <c r="N1814" s="274">
        <v>1034</v>
      </c>
      <c r="O1814" s="55"/>
      <c r="P1814" s="105">
        <v>1034</v>
      </c>
      <c r="Q1814" s="270">
        <v>-860</v>
      </c>
      <c r="R1814" s="275">
        <v>4.3070000000000001E-3</v>
      </c>
      <c r="S1814" s="270">
        <v>-732</v>
      </c>
      <c r="T1814" s="270">
        <v>302</v>
      </c>
      <c r="U1814" s="57">
        <v>1</v>
      </c>
      <c r="V1814" s="276">
        <v>0.17499999999999999</v>
      </c>
      <c r="W1814" s="276">
        <v>7.4999999999999997E-2</v>
      </c>
      <c r="X1814" s="270">
        <v>226</v>
      </c>
      <c r="Y1814" s="270">
        <v>75</v>
      </c>
      <c r="Z1814" s="45" t="b">
        <v>1</v>
      </c>
      <c r="AA1814" s="45" t="s">
        <v>38</v>
      </c>
      <c r="AB1814" s="45" t="s">
        <v>38</v>
      </c>
    </row>
    <row r="1815" spans="1:28" x14ac:dyDescent="0.2">
      <c r="A1815" s="96" t="s">
        <v>145</v>
      </c>
      <c r="B1815" s="96" t="s">
        <v>145</v>
      </c>
      <c r="C1815" s="277">
        <v>44805</v>
      </c>
      <c r="D1815" s="277">
        <v>44834</v>
      </c>
      <c r="E1815" s="270" t="s">
        <v>300</v>
      </c>
      <c r="F1815" s="133" t="s">
        <v>49</v>
      </c>
      <c r="G1815" s="279" t="s">
        <v>35</v>
      </c>
      <c r="H1815" s="272" t="s">
        <v>84</v>
      </c>
      <c r="I1815" s="273">
        <v>100</v>
      </c>
      <c r="J1815" s="270">
        <v>4259</v>
      </c>
      <c r="K1815" s="270">
        <f t="shared" si="0"/>
        <v>425900</v>
      </c>
      <c r="L1815" s="270">
        <v>56823</v>
      </c>
      <c r="M1815" s="270">
        <v>18700</v>
      </c>
      <c r="N1815" s="274">
        <v>14889</v>
      </c>
      <c r="O1815" s="55"/>
      <c r="P1815" s="105">
        <v>14889</v>
      </c>
      <c r="Q1815" s="270">
        <v>-4765</v>
      </c>
      <c r="R1815" s="275">
        <v>4.3839999999999999E-3</v>
      </c>
      <c r="S1815" s="270">
        <v>-2898</v>
      </c>
      <c r="T1815" s="270">
        <v>11991</v>
      </c>
      <c r="U1815" s="57">
        <v>1</v>
      </c>
      <c r="V1815" s="276">
        <v>0.17499999999999999</v>
      </c>
      <c r="W1815" s="276">
        <v>7.4999999999999997E-2</v>
      </c>
      <c r="X1815" s="270">
        <v>8993</v>
      </c>
      <c r="Y1815" s="270">
        <v>2998</v>
      </c>
      <c r="Z1815" s="45" t="b">
        <v>1</v>
      </c>
      <c r="AA1815" s="45" t="s">
        <v>38</v>
      </c>
      <c r="AB1815" s="45" t="s">
        <v>38</v>
      </c>
    </row>
    <row r="1816" spans="1:28" x14ac:dyDescent="0.2">
      <c r="A1816" s="96" t="s">
        <v>145</v>
      </c>
      <c r="B1816" s="96" t="s">
        <v>145</v>
      </c>
      <c r="C1816" s="277">
        <v>44805</v>
      </c>
      <c r="D1816" s="277">
        <v>44834</v>
      </c>
      <c r="E1816" s="270" t="s">
        <v>300</v>
      </c>
      <c r="F1816" s="133" t="s">
        <v>49</v>
      </c>
      <c r="G1816" s="279" t="s">
        <v>35</v>
      </c>
      <c r="H1816" s="272" t="s">
        <v>148</v>
      </c>
      <c r="I1816" s="273">
        <v>250</v>
      </c>
      <c r="J1816" s="270">
        <v>751</v>
      </c>
      <c r="K1816" s="270">
        <f t="shared" si="0"/>
        <v>187750</v>
      </c>
      <c r="L1816" s="270">
        <v>10192</v>
      </c>
      <c r="M1816" s="270">
        <v>-5000</v>
      </c>
      <c r="N1816" s="274">
        <v>6558</v>
      </c>
      <c r="O1816" s="55"/>
      <c r="P1816" s="105">
        <v>6558</v>
      </c>
      <c r="Q1816" s="270">
        <v>-1495</v>
      </c>
      <c r="R1816" s="275">
        <v>4.3990000000000001E-3</v>
      </c>
      <c r="S1816" s="270">
        <v>-669</v>
      </c>
      <c r="T1816" s="270">
        <v>5889</v>
      </c>
      <c r="U1816" s="57">
        <v>1</v>
      </c>
      <c r="V1816" s="276">
        <v>0.17499999999999999</v>
      </c>
      <c r="W1816" s="276">
        <v>7.4999999999999997E-2</v>
      </c>
      <c r="X1816" s="270">
        <v>4417</v>
      </c>
      <c r="Y1816" s="270">
        <v>1472</v>
      </c>
      <c r="Z1816" s="45" t="b">
        <v>1</v>
      </c>
      <c r="AA1816" s="45" t="s">
        <v>38</v>
      </c>
      <c r="AB1816" s="45" t="s">
        <v>38</v>
      </c>
    </row>
    <row r="1817" spans="1:28" x14ac:dyDescent="0.2">
      <c r="A1817" s="96" t="s">
        <v>145</v>
      </c>
      <c r="B1817" s="96" t="s">
        <v>145</v>
      </c>
      <c r="C1817" s="277">
        <v>44805</v>
      </c>
      <c r="D1817" s="277">
        <v>44834</v>
      </c>
      <c r="E1817" s="270" t="s">
        <v>300</v>
      </c>
      <c r="F1817" s="133" t="s">
        <v>49</v>
      </c>
      <c r="G1817" s="279" t="s">
        <v>35</v>
      </c>
      <c r="H1817" s="272" t="s">
        <v>88</v>
      </c>
      <c r="I1817" s="273">
        <v>250</v>
      </c>
      <c r="J1817" s="270">
        <v>938</v>
      </c>
      <c r="K1817" s="270">
        <f t="shared" si="0"/>
        <v>234500</v>
      </c>
      <c r="L1817" s="270">
        <v>14111</v>
      </c>
      <c r="M1817" s="270">
        <v>-7250</v>
      </c>
      <c r="N1817" s="274">
        <v>8199</v>
      </c>
      <c r="O1817" s="55"/>
      <c r="P1817" s="105">
        <v>8199</v>
      </c>
      <c r="Q1817" s="270">
        <v>-5205</v>
      </c>
      <c r="R1817" s="275">
        <v>4.333E-3</v>
      </c>
      <c r="S1817" s="270">
        <v>-4189</v>
      </c>
      <c r="T1817" s="270">
        <v>4010</v>
      </c>
      <c r="U1817" s="57">
        <v>1</v>
      </c>
      <c r="V1817" s="276">
        <v>0.17499999999999999</v>
      </c>
      <c r="W1817" s="276">
        <v>7.4999999999999997E-2</v>
      </c>
      <c r="X1817" s="270">
        <v>3007</v>
      </c>
      <c r="Y1817" s="270">
        <v>1002</v>
      </c>
      <c r="Z1817" s="45" t="b">
        <v>1</v>
      </c>
      <c r="AA1817" s="45" t="s">
        <v>38</v>
      </c>
      <c r="AB1817" s="45" t="s">
        <v>38</v>
      </c>
    </row>
    <row r="1818" spans="1:28" x14ac:dyDescent="0.2">
      <c r="A1818" s="96" t="s">
        <v>145</v>
      </c>
      <c r="B1818" s="96" t="s">
        <v>145</v>
      </c>
      <c r="C1818" s="277">
        <v>44805</v>
      </c>
      <c r="D1818" s="277">
        <v>44834</v>
      </c>
      <c r="E1818" s="270" t="s">
        <v>300</v>
      </c>
      <c r="F1818" s="133" t="s">
        <v>49</v>
      </c>
      <c r="G1818" s="279" t="s">
        <v>35</v>
      </c>
      <c r="H1818" s="272" t="s">
        <v>149</v>
      </c>
      <c r="I1818" s="273">
        <v>500</v>
      </c>
      <c r="J1818" s="270">
        <v>4</v>
      </c>
      <c r="K1818" s="270">
        <f t="shared" si="0"/>
        <v>2000</v>
      </c>
      <c r="L1818" s="270">
        <v>142</v>
      </c>
      <c r="M1818" s="270">
        <v>500</v>
      </c>
      <c r="N1818" s="274">
        <v>70</v>
      </c>
      <c r="O1818" s="55"/>
      <c r="P1818" s="45">
        <v>70</v>
      </c>
      <c r="Q1818" s="270">
        <v>123</v>
      </c>
      <c r="R1818" s="275">
        <v>4.5250000000000004E-3</v>
      </c>
      <c r="S1818" s="270">
        <v>132</v>
      </c>
      <c r="T1818" s="270">
        <v>202</v>
      </c>
      <c r="U1818" s="57">
        <v>1</v>
      </c>
      <c r="V1818" s="276">
        <v>0.17499999999999999</v>
      </c>
      <c r="W1818" s="276">
        <v>7.4999999999999997E-2</v>
      </c>
      <c r="X1818" s="270">
        <v>152</v>
      </c>
      <c r="Y1818" s="270">
        <v>51</v>
      </c>
      <c r="Z1818" s="45" t="b">
        <v>1</v>
      </c>
      <c r="AA1818" s="45" t="s">
        <v>38</v>
      </c>
      <c r="AB1818" s="45" t="s">
        <v>38</v>
      </c>
    </row>
    <row r="1819" spans="1:28" x14ac:dyDescent="0.2">
      <c r="A1819" s="279" t="s">
        <v>155</v>
      </c>
      <c r="B1819" s="279" t="s">
        <v>155</v>
      </c>
      <c r="C1819" s="277">
        <v>44805</v>
      </c>
      <c r="D1819" s="277">
        <v>44834</v>
      </c>
      <c r="E1819" s="279" t="s">
        <v>267</v>
      </c>
      <c r="F1819" s="133" t="s">
        <v>49</v>
      </c>
      <c r="G1819" s="270" t="s">
        <v>35</v>
      </c>
      <c r="H1819" s="289" t="s">
        <v>39</v>
      </c>
      <c r="I1819" s="273">
        <v>5</v>
      </c>
      <c r="J1819" s="270">
        <v>274</v>
      </c>
      <c r="K1819" s="270">
        <f t="shared" si="0"/>
        <v>1370</v>
      </c>
      <c r="L1819" s="270">
        <v>13794</v>
      </c>
      <c r="M1819" s="270">
        <v>-20</v>
      </c>
      <c r="N1819" s="274">
        <v>35.909999999999997</v>
      </c>
      <c r="O1819" s="55"/>
      <c r="P1819" s="45">
        <v>36</v>
      </c>
      <c r="Q1819" s="270">
        <v>4</v>
      </c>
      <c r="R1819" s="275">
        <v>4.365E-3</v>
      </c>
      <c r="S1819" s="270">
        <v>10</v>
      </c>
      <c r="T1819" s="270">
        <v>46</v>
      </c>
      <c r="U1819" s="57">
        <v>1</v>
      </c>
      <c r="V1819" s="276">
        <v>0.3</v>
      </c>
      <c r="W1819" s="276">
        <v>0</v>
      </c>
      <c r="X1819" s="270">
        <v>32</v>
      </c>
      <c r="Y1819" s="270">
        <v>14</v>
      </c>
      <c r="Z1819" s="45" t="b">
        <v>1</v>
      </c>
      <c r="AA1819" s="45" t="s">
        <v>38</v>
      </c>
      <c r="AB1819" s="45" t="s">
        <v>38</v>
      </c>
    </row>
    <row r="1820" spans="1:28" x14ac:dyDescent="0.2">
      <c r="A1820" s="279" t="s">
        <v>155</v>
      </c>
      <c r="B1820" s="279" t="s">
        <v>155</v>
      </c>
      <c r="C1820" s="277">
        <v>44805</v>
      </c>
      <c r="D1820" s="277">
        <v>44834</v>
      </c>
      <c r="E1820" s="279" t="s">
        <v>267</v>
      </c>
      <c r="F1820" s="133" t="s">
        <v>49</v>
      </c>
      <c r="G1820" s="270" t="s">
        <v>35</v>
      </c>
      <c r="H1820" s="289" t="s">
        <v>40</v>
      </c>
      <c r="I1820" s="273">
        <v>10</v>
      </c>
      <c r="J1820" s="270">
        <v>2856</v>
      </c>
      <c r="K1820" s="270">
        <f t="shared" si="0"/>
        <v>28560</v>
      </c>
      <c r="L1820" s="270">
        <v>81431</v>
      </c>
      <c r="M1820" s="270">
        <v>-1300</v>
      </c>
      <c r="N1820" s="274">
        <v>654.97</v>
      </c>
      <c r="O1820" s="55"/>
      <c r="P1820" s="45">
        <v>655</v>
      </c>
      <c r="Q1820" s="270">
        <v>-620</v>
      </c>
      <c r="R1820" s="275">
        <v>4.333E-3</v>
      </c>
      <c r="S1820" s="270">
        <v>-496</v>
      </c>
      <c r="T1820" s="270">
        <v>159</v>
      </c>
      <c r="U1820" s="57">
        <v>1</v>
      </c>
      <c r="V1820" s="276">
        <v>0.3</v>
      </c>
      <c r="W1820" s="276">
        <v>0</v>
      </c>
      <c r="X1820" s="270">
        <v>111</v>
      </c>
      <c r="Y1820" s="270">
        <v>48</v>
      </c>
      <c r="Z1820" s="45" t="b">
        <v>1</v>
      </c>
      <c r="AA1820" s="45" t="s">
        <v>38</v>
      </c>
      <c r="AB1820" s="45" t="s">
        <v>38</v>
      </c>
    </row>
    <row r="1821" spans="1:28" x14ac:dyDescent="0.2">
      <c r="A1821" s="279" t="s">
        <v>155</v>
      </c>
      <c r="B1821" s="279" t="s">
        <v>155</v>
      </c>
      <c r="C1821" s="277">
        <v>44805</v>
      </c>
      <c r="D1821" s="277">
        <v>44834</v>
      </c>
      <c r="E1821" s="279" t="s">
        <v>267</v>
      </c>
      <c r="F1821" s="133" t="s">
        <v>49</v>
      </c>
      <c r="G1821" s="270" t="s">
        <v>35</v>
      </c>
      <c r="H1821" s="272" t="s">
        <v>46</v>
      </c>
      <c r="I1821" s="273">
        <v>25</v>
      </c>
      <c r="J1821" s="270">
        <v>277</v>
      </c>
      <c r="K1821" s="270">
        <f t="shared" si="0"/>
        <v>6925</v>
      </c>
      <c r="L1821" s="270">
        <v>12324</v>
      </c>
      <c r="M1821" s="270">
        <v>25</v>
      </c>
      <c r="N1821" s="274">
        <v>136.12</v>
      </c>
      <c r="O1821" s="55"/>
      <c r="P1821" s="45">
        <v>136</v>
      </c>
      <c r="Q1821" s="270">
        <v>128</v>
      </c>
      <c r="R1821" s="275">
        <v>4.4609999999999997E-3</v>
      </c>
      <c r="S1821" s="270">
        <v>159</v>
      </c>
      <c r="T1821" s="270">
        <v>295</v>
      </c>
      <c r="U1821" s="57">
        <v>1</v>
      </c>
      <c r="V1821" s="276">
        <v>0.3</v>
      </c>
      <c r="W1821" s="276">
        <v>0</v>
      </c>
      <c r="X1821" s="270">
        <v>207</v>
      </c>
      <c r="Y1821" s="270">
        <v>89</v>
      </c>
      <c r="Z1821" s="45" t="b">
        <v>1</v>
      </c>
      <c r="AA1821" s="45" t="s">
        <v>38</v>
      </c>
      <c r="AB1821" s="45" t="s">
        <v>38</v>
      </c>
    </row>
    <row r="1822" spans="1:28" x14ac:dyDescent="0.2">
      <c r="A1822" s="279" t="s">
        <v>155</v>
      </c>
      <c r="B1822" s="279" t="s">
        <v>155</v>
      </c>
      <c r="C1822" s="277">
        <v>44805</v>
      </c>
      <c r="D1822" s="277">
        <v>44834</v>
      </c>
      <c r="E1822" s="279" t="s">
        <v>267</v>
      </c>
      <c r="F1822" s="133" t="s">
        <v>49</v>
      </c>
      <c r="G1822" s="279" t="s">
        <v>69</v>
      </c>
      <c r="H1822" s="289" t="s">
        <v>40</v>
      </c>
      <c r="I1822" s="273">
        <v>10</v>
      </c>
      <c r="J1822" s="270">
        <v>667</v>
      </c>
      <c r="K1822" s="270">
        <f t="shared" si="0"/>
        <v>6670</v>
      </c>
      <c r="L1822" s="270">
        <v>43769</v>
      </c>
      <c r="M1822" s="270">
        <v>190</v>
      </c>
      <c r="N1822" s="274">
        <v>127</v>
      </c>
      <c r="O1822" s="55"/>
      <c r="P1822" s="45">
        <v>127</v>
      </c>
      <c r="Q1822" s="270">
        <v>391</v>
      </c>
      <c r="R1822" s="275">
        <v>-5.5909999999999996E-3</v>
      </c>
      <c r="S1822" s="270">
        <v>354</v>
      </c>
      <c r="T1822" s="270">
        <v>481</v>
      </c>
      <c r="U1822" s="57">
        <v>1</v>
      </c>
      <c r="V1822" s="276">
        <v>0.17</v>
      </c>
      <c r="W1822" s="276">
        <v>0</v>
      </c>
      <c r="X1822" s="270">
        <v>399</v>
      </c>
      <c r="Y1822" s="270">
        <v>82</v>
      </c>
      <c r="Z1822" s="45" t="b">
        <v>1</v>
      </c>
      <c r="AA1822" s="45" t="s">
        <v>38</v>
      </c>
      <c r="AB1822" s="45" t="s">
        <v>38</v>
      </c>
    </row>
    <row r="1823" spans="1:28" x14ac:dyDescent="0.2">
      <c r="A1823" s="279" t="s">
        <v>157</v>
      </c>
      <c r="B1823" s="279" t="s">
        <v>157</v>
      </c>
      <c r="C1823" s="282">
        <v>44805</v>
      </c>
      <c r="D1823" s="282">
        <v>44834</v>
      </c>
      <c r="E1823" s="279" t="s">
        <v>267</v>
      </c>
      <c r="F1823" s="133" t="s">
        <v>41</v>
      </c>
      <c r="G1823" s="279" t="s">
        <v>158</v>
      </c>
      <c r="H1823" s="289" t="s">
        <v>160</v>
      </c>
      <c r="I1823" s="280">
        <v>2500</v>
      </c>
      <c r="J1823" s="279">
        <v>826</v>
      </c>
      <c r="K1823" s="270">
        <f t="shared" si="0"/>
        <v>2065000</v>
      </c>
      <c r="L1823" s="279"/>
      <c r="M1823" s="279">
        <v>235000</v>
      </c>
      <c r="N1823" s="281">
        <v>120857</v>
      </c>
      <c r="O1823" s="55"/>
      <c r="P1823" s="105">
        <v>120857</v>
      </c>
      <c r="Q1823" s="279"/>
      <c r="R1823" s="275">
        <v>0</v>
      </c>
      <c r="S1823" s="279"/>
      <c r="T1823" s="279">
        <v>355857</v>
      </c>
      <c r="U1823" s="57">
        <v>1.4999999999999999E-2</v>
      </c>
      <c r="V1823" s="276">
        <v>0.17</v>
      </c>
      <c r="W1823" s="276">
        <v>0</v>
      </c>
      <c r="X1823" s="279">
        <v>4312</v>
      </c>
      <c r="Y1823" s="279">
        <v>883</v>
      </c>
      <c r="Z1823" s="45" t="b">
        <v>1</v>
      </c>
      <c r="AA1823" s="45" t="s">
        <v>38</v>
      </c>
      <c r="AB1823" s="45" t="s">
        <v>1003</v>
      </c>
    </row>
    <row r="1824" spans="1:28" x14ac:dyDescent="0.2">
      <c r="A1824" s="270" t="s">
        <v>157</v>
      </c>
      <c r="B1824" s="270" t="s">
        <v>157</v>
      </c>
      <c r="C1824" s="277">
        <v>44805</v>
      </c>
      <c r="D1824" s="277">
        <v>44834</v>
      </c>
      <c r="E1824" s="270" t="s">
        <v>267</v>
      </c>
      <c r="F1824" s="96" t="s">
        <v>41</v>
      </c>
      <c r="G1824" s="270" t="s">
        <v>158</v>
      </c>
      <c r="H1824" s="289" t="s">
        <v>161</v>
      </c>
      <c r="I1824" s="273">
        <v>5000</v>
      </c>
      <c r="J1824" s="270">
        <v>565</v>
      </c>
      <c r="K1824" s="270">
        <f t="shared" si="0"/>
        <v>2825000</v>
      </c>
      <c r="L1824" s="270"/>
      <c r="M1824" s="270">
        <v>-175000</v>
      </c>
      <c r="N1824" s="274">
        <v>2371</v>
      </c>
      <c r="O1824" s="55"/>
      <c r="P1824" s="105">
        <v>2371</v>
      </c>
      <c r="Q1824" s="270"/>
      <c r="R1824" s="275">
        <v>0</v>
      </c>
      <c r="S1824" s="270"/>
      <c r="T1824" s="270">
        <v>-172629</v>
      </c>
      <c r="U1824" s="57">
        <v>1.4999999999999999E-2</v>
      </c>
      <c r="V1824" s="276">
        <v>0.17</v>
      </c>
      <c r="W1824" s="276">
        <v>0</v>
      </c>
      <c r="X1824" s="270">
        <v>-2092</v>
      </c>
      <c r="Y1824" s="270">
        <v>-428</v>
      </c>
      <c r="Z1824" s="45" t="b">
        <v>1</v>
      </c>
      <c r="AA1824" s="45" t="s">
        <v>38</v>
      </c>
      <c r="AB1824" s="45" t="s">
        <v>1003</v>
      </c>
    </row>
    <row r="1825" spans="1:28" x14ac:dyDescent="0.2">
      <c r="A1825" s="279" t="s">
        <v>150</v>
      </c>
      <c r="B1825" s="279" t="s">
        <v>150</v>
      </c>
      <c r="C1825" s="282">
        <v>44805</v>
      </c>
      <c r="D1825" s="282">
        <v>44834</v>
      </c>
      <c r="E1825" s="279" t="s">
        <v>267</v>
      </c>
      <c r="F1825" s="133" t="s">
        <v>41</v>
      </c>
      <c r="G1825" s="279" t="s">
        <v>53</v>
      </c>
      <c r="H1825" s="289" t="s">
        <v>55</v>
      </c>
      <c r="I1825" s="280">
        <v>10</v>
      </c>
      <c r="J1825" s="279">
        <v>2552</v>
      </c>
      <c r="K1825" s="270">
        <f t="shared" si="0"/>
        <v>25520</v>
      </c>
      <c r="L1825" s="279">
        <v>132704</v>
      </c>
      <c r="M1825" s="279">
        <v>-128</v>
      </c>
      <c r="N1825" s="281"/>
      <c r="O1825" s="55">
        <v>0.5</v>
      </c>
      <c r="P1825" s="45">
        <v>893</v>
      </c>
      <c r="Q1825" s="279">
        <v>494</v>
      </c>
      <c r="R1825" s="275">
        <v>0</v>
      </c>
      <c r="S1825" s="279">
        <v>494</v>
      </c>
      <c r="T1825" s="279">
        <v>765</v>
      </c>
      <c r="U1825" s="57">
        <v>1</v>
      </c>
      <c r="V1825" s="276">
        <v>0.17</v>
      </c>
      <c r="W1825" s="276">
        <v>0</v>
      </c>
      <c r="X1825" s="279">
        <v>635</v>
      </c>
      <c r="Y1825" s="279">
        <v>130</v>
      </c>
      <c r="Z1825" s="45" t="b">
        <v>1</v>
      </c>
      <c r="AA1825" s="45" t="s">
        <v>38</v>
      </c>
      <c r="AB1825" s="45" t="s">
        <v>38</v>
      </c>
    </row>
    <row r="1826" spans="1:28" x14ac:dyDescent="0.2">
      <c r="A1826" s="279" t="s">
        <v>150</v>
      </c>
      <c r="B1826" s="279" t="s">
        <v>150</v>
      </c>
      <c r="C1826" s="282">
        <v>44805</v>
      </c>
      <c r="D1826" s="282">
        <v>44834</v>
      </c>
      <c r="E1826" s="279" t="s">
        <v>267</v>
      </c>
      <c r="F1826" s="133" t="s">
        <v>41</v>
      </c>
      <c r="G1826" s="279" t="s">
        <v>53</v>
      </c>
      <c r="H1826" s="289" t="s">
        <v>56</v>
      </c>
      <c r="I1826" s="280">
        <v>20</v>
      </c>
      <c r="J1826" s="279">
        <v>961</v>
      </c>
      <c r="K1826" s="270">
        <f t="shared" si="0"/>
        <v>19220</v>
      </c>
      <c r="L1826" s="279">
        <v>36518</v>
      </c>
      <c r="M1826" s="279">
        <v>-97</v>
      </c>
      <c r="N1826" s="281"/>
      <c r="O1826" s="55">
        <v>0.5</v>
      </c>
      <c r="P1826" s="45">
        <v>673</v>
      </c>
      <c r="Q1826" s="279">
        <v>-128</v>
      </c>
      <c r="R1826" s="275">
        <v>0</v>
      </c>
      <c r="S1826" s="279">
        <v>-128</v>
      </c>
      <c r="T1826" s="279">
        <v>576</v>
      </c>
      <c r="U1826" s="57">
        <v>1</v>
      </c>
      <c r="V1826" s="276">
        <v>0.17</v>
      </c>
      <c r="W1826" s="276">
        <v>0</v>
      </c>
      <c r="X1826" s="279">
        <v>478</v>
      </c>
      <c r="Y1826" s="279">
        <v>98</v>
      </c>
      <c r="Z1826" s="45" t="b">
        <v>1</v>
      </c>
      <c r="AA1826" s="45" t="s">
        <v>38</v>
      </c>
      <c r="AB1826" s="45" t="s">
        <v>38</v>
      </c>
    </row>
    <row r="1827" spans="1:28" x14ac:dyDescent="0.2">
      <c r="A1827" s="279" t="s">
        <v>395</v>
      </c>
      <c r="B1827" s="270" t="s">
        <v>162</v>
      </c>
      <c r="C1827" s="277">
        <v>44805</v>
      </c>
      <c r="D1827" s="277">
        <v>44834</v>
      </c>
      <c r="E1827" s="279" t="s">
        <v>267</v>
      </c>
      <c r="F1827" s="133" t="s">
        <v>41</v>
      </c>
      <c r="G1827" s="270" t="s">
        <v>35</v>
      </c>
      <c r="H1827" s="272" t="s">
        <v>70</v>
      </c>
      <c r="I1827" s="273">
        <v>100</v>
      </c>
      <c r="J1827" s="270">
        <v>652</v>
      </c>
      <c r="K1827" s="270">
        <f t="shared" si="0"/>
        <v>65200</v>
      </c>
      <c r="L1827" s="286">
        <f t="shared" ref="L1827:L1828" si="7">53522/1430*J1827</f>
        <v>24403.03776223776</v>
      </c>
      <c r="M1827" s="286">
        <v>200</v>
      </c>
      <c r="N1827" s="274">
        <v>2841.74</v>
      </c>
      <c r="O1827" s="55"/>
      <c r="P1827" s="105">
        <v>2842</v>
      </c>
      <c r="Q1827" s="286">
        <v>1053</v>
      </c>
      <c r="R1827" s="275">
        <v>0</v>
      </c>
      <c r="S1827" s="286">
        <v>1053</v>
      </c>
      <c r="T1827" s="286">
        <v>3042</v>
      </c>
      <c r="U1827" s="57">
        <v>1</v>
      </c>
      <c r="V1827" s="276">
        <v>0.19</v>
      </c>
      <c r="W1827" s="276">
        <v>0</v>
      </c>
      <c r="X1827" s="286">
        <v>2464</v>
      </c>
      <c r="Y1827" s="286">
        <v>578</v>
      </c>
      <c r="Z1827" s="45" t="b">
        <v>1</v>
      </c>
      <c r="AA1827" s="45" t="s">
        <v>38</v>
      </c>
      <c r="AB1827" s="45" t="s">
        <v>38</v>
      </c>
    </row>
    <row r="1828" spans="1:28" x14ac:dyDescent="0.2">
      <c r="A1828" s="279" t="s">
        <v>395</v>
      </c>
      <c r="B1828" s="270" t="s">
        <v>162</v>
      </c>
      <c r="C1828" s="277">
        <v>44805</v>
      </c>
      <c r="D1828" s="277">
        <v>44834</v>
      </c>
      <c r="E1828" s="279" t="s">
        <v>267</v>
      </c>
      <c r="F1828" s="133" t="s">
        <v>41</v>
      </c>
      <c r="G1828" s="270" t="s">
        <v>35</v>
      </c>
      <c r="H1828" s="272" t="s">
        <v>84</v>
      </c>
      <c r="I1828" s="273">
        <v>100</v>
      </c>
      <c r="J1828" s="270">
        <v>778</v>
      </c>
      <c r="K1828" s="270">
        <f t="shared" si="0"/>
        <v>77800</v>
      </c>
      <c r="L1828" s="286">
        <f t="shared" si="7"/>
        <v>29118.962237762236</v>
      </c>
      <c r="M1828" s="286">
        <v>-2200</v>
      </c>
      <c r="N1828" s="274">
        <v>3390.91</v>
      </c>
      <c r="O1828" s="55"/>
      <c r="P1828" s="105">
        <v>3391</v>
      </c>
      <c r="Q1828" s="286">
        <v>4895</v>
      </c>
      <c r="R1828" s="275">
        <v>0</v>
      </c>
      <c r="S1828" s="286">
        <v>4895</v>
      </c>
      <c r="T1828" s="286">
        <v>1191</v>
      </c>
      <c r="U1828" s="57">
        <v>1</v>
      </c>
      <c r="V1828" s="276">
        <v>0.19</v>
      </c>
      <c r="W1828" s="276">
        <v>0</v>
      </c>
      <c r="X1828" s="286">
        <v>965</v>
      </c>
      <c r="Y1828" s="286">
        <v>226</v>
      </c>
      <c r="Z1828" s="45" t="b">
        <v>1</v>
      </c>
      <c r="AA1828" s="45" t="s">
        <v>38</v>
      </c>
      <c r="AB1828" s="45" t="s">
        <v>38</v>
      </c>
    </row>
    <row r="1829" spans="1:28" x14ac:dyDescent="0.2">
      <c r="A1829" s="279" t="s">
        <v>395</v>
      </c>
      <c r="B1829" s="270" t="s">
        <v>162</v>
      </c>
      <c r="C1829" s="277">
        <v>44805</v>
      </c>
      <c r="D1829" s="277">
        <v>44834</v>
      </c>
      <c r="E1829" s="279" t="s">
        <v>267</v>
      </c>
      <c r="F1829" s="133" t="s">
        <v>41</v>
      </c>
      <c r="G1829" s="270" t="s">
        <v>35</v>
      </c>
      <c r="H1829" s="272" t="s">
        <v>143</v>
      </c>
      <c r="I1829" s="273">
        <v>1000</v>
      </c>
      <c r="J1829" s="270">
        <v>4</v>
      </c>
      <c r="K1829" s="270">
        <f t="shared" si="0"/>
        <v>4000</v>
      </c>
      <c r="L1829" s="286">
        <v>46</v>
      </c>
      <c r="M1829" s="286">
        <v>-1000</v>
      </c>
      <c r="N1829" s="274">
        <v>174.34</v>
      </c>
      <c r="O1829" s="55"/>
      <c r="P1829" s="45">
        <v>174</v>
      </c>
      <c r="Q1829" s="286">
        <v>-115</v>
      </c>
      <c r="R1829" s="275">
        <v>0</v>
      </c>
      <c r="S1829" s="286">
        <v>-115</v>
      </c>
      <c r="T1829" s="286">
        <v>-826</v>
      </c>
      <c r="U1829" s="57">
        <v>1</v>
      </c>
      <c r="V1829" s="276">
        <v>0.19</v>
      </c>
      <c r="W1829" s="276">
        <v>0</v>
      </c>
      <c r="X1829" s="286">
        <v>-669</v>
      </c>
      <c r="Y1829" s="286">
        <v>-157</v>
      </c>
      <c r="Z1829" s="45" t="b">
        <v>1</v>
      </c>
      <c r="AA1829" s="45" t="s">
        <v>38</v>
      </c>
      <c r="AB1829" s="45" t="s">
        <v>38</v>
      </c>
    </row>
    <row r="1830" spans="1:28" x14ac:dyDescent="0.2">
      <c r="A1830" s="279" t="s">
        <v>395</v>
      </c>
      <c r="B1830" s="270" t="s">
        <v>162</v>
      </c>
      <c r="C1830" s="277">
        <v>44805</v>
      </c>
      <c r="D1830" s="277">
        <v>44834</v>
      </c>
      <c r="E1830" s="279" t="s">
        <v>267</v>
      </c>
      <c r="F1830" s="133" t="s">
        <v>41</v>
      </c>
      <c r="G1830" s="270" t="s">
        <v>35</v>
      </c>
      <c r="H1830" s="272" t="s">
        <v>88</v>
      </c>
      <c r="I1830" s="273">
        <v>250</v>
      </c>
      <c r="J1830" s="270">
        <v>631</v>
      </c>
      <c r="K1830" s="270">
        <f t="shared" si="0"/>
        <v>157750</v>
      </c>
      <c r="L1830" s="286">
        <f t="shared" ref="L1830:L1831" si="8">16932/1150*J1830</f>
        <v>9290.5147826086959</v>
      </c>
      <c r="M1830" s="286">
        <v>3000</v>
      </c>
      <c r="N1830" s="274">
        <v>6875.52</v>
      </c>
      <c r="O1830" s="55"/>
      <c r="P1830" s="105">
        <v>6876</v>
      </c>
      <c r="Q1830" s="286">
        <v>-3775</v>
      </c>
      <c r="R1830" s="275">
        <v>0</v>
      </c>
      <c r="S1830" s="286">
        <v>-3775</v>
      </c>
      <c r="T1830" s="286">
        <v>9876</v>
      </c>
      <c r="U1830" s="57">
        <v>1</v>
      </c>
      <c r="V1830" s="276">
        <v>0.19</v>
      </c>
      <c r="W1830" s="276">
        <v>0</v>
      </c>
      <c r="X1830" s="286">
        <v>7999</v>
      </c>
      <c r="Y1830" s="286">
        <v>1876</v>
      </c>
      <c r="Z1830" s="45" t="b">
        <v>1</v>
      </c>
      <c r="AA1830" s="45" t="s">
        <v>38</v>
      </c>
      <c r="AB1830" s="45" t="s">
        <v>38</v>
      </c>
    </row>
    <row r="1831" spans="1:28" x14ac:dyDescent="0.2">
      <c r="A1831" s="279" t="s">
        <v>395</v>
      </c>
      <c r="B1831" s="270" t="s">
        <v>162</v>
      </c>
      <c r="C1831" s="277">
        <v>44805</v>
      </c>
      <c r="D1831" s="277">
        <v>44834</v>
      </c>
      <c r="E1831" s="279" t="s">
        <v>267</v>
      </c>
      <c r="F1831" s="133" t="s">
        <v>41</v>
      </c>
      <c r="G1831" s="270" t="s">
        <v>35</v>
      </c>
      <c r="H1831" s="272" t="s">
        <v>148</v>
      </c>
      <c r="I1831" s="273">
        <v>250</v>
      </c>
      <c r="J1831" s="270">
        <v>519</v>
      </c>
      <c r="K1831" s="270">
        <f t="shared" si="0"/>
        <v>129750</v>
      </c>
      <c r="L1831" s="286">
        <f t="shared" si="8"/>
        <v>7641.485217391305</v>
      </c>
      <c r="M1831" s="286">
        <v>-8250</v>
      </c>
      <c r="N1831" s="274">
        <v>5655.14</v>
      </c>
      <c r="O1831" s="55"/>
      <c r="P1831" s="105">
        <v>5655</v>
      </c>
      <c r="Q1831" s="286">
        <v>-712</v>
      </c>
      <c r="R1831" s="275">
        <v>0</v>
      </c>
      <c r="S1831" s="286">
        <v>-712</v>
      </c>
      <c r="T1831" s="286">
        <v>-2595</v>
      </c>
      <c r="U1831" s="57">
        <v>1</v>
      </c>
      <c r="V1831" s="276">
        <v>0.19</v>
      </c>
      <c r="W1831" s="276">
        <v>0</v>
      </c>
      <c r="X1831" s="286">
        <v>-2102</v>
      </c>
      <c r="Y1831" s="286">
        <v>-493</v>
      </c>
      <c r="Z1831" s="45" t="b">
        <v>1</v>
      </c>
      <c r="AA1831" s="45" t="s">
        <v>38</v>
      </c>
      <c r="AB1831" s="45" t="s">
        <v>38</v>
      </c>
    </row>
    <row r="1832" spans="1:28" x14ac:dyDescent="0.2">
      <c r="A1832" s="279" t="s">
        <v>395</v>
      </c>
      <c r="B1832" s="270" t="s">
        <v>162</v>
      </c>
      <c r="C1832" s="277">
        <v>44805</v>
      </c>
      <c r="D1832" s="277">
        <v>44834</v>
      </c>
      <c r="E1832" s="279" t="s">
        <v>267</v>
      </c>
      <c r="F1832" s="133" t="s">
        <v>41</v>
      </c>
      <c r="G1832" s="270" t="s">
        <v>35</v>
      </c>
      <c r="H1832" s="272" t="s">
        <v>142</v>
      </c>
      <c r="I1832" s="273">
        <v>500</v>
      </c>
      <c r="J1832" s="270">
        <v>137</v>
      </c>
      <c r="K1832" s="270">
        <f t="shared" si="0"/>
        <v>68500</v>
      </c>
      <c r="L1832" s="286">
        <f>-3651/191*137</f>
        <v>-2618.7801047120415</v>
      </c>
      <c r="M1832" s="286">
        <v>-1000</v>
      </c>
      <c r="N1832" s="274">
        <v>2985.57</v>
      </c>
      <c r="O1832" s="55"/>
      <c r="P1832" s="105">
        <v>2986</v>
      </c>
      <c r="Q1832" s="286">
        <v>-5942</v>
      </c>
      <c r="R1832" s="275">
        <v>0</v>
      </c>
      <c r="S1832" s="286">
        <v>-5942</v>
      </c>
      <c r="T1832" s="286">
        <v>1986</v>
      </c>
      <c r="U1832" s="57">
        <v>1</v>
      </c>
      <c r="V1832" s="276">
        <v>0.19</v>
      </c>
      <c r="W1832" s="276">
        <v>0</v>
      </c>
      <c r="X1832" s="286">
        <v>1608</v>
      </c>
      <c r="Y1832" s="286">
        <v>377</v>
      </c>
      <c r="Z1832" s="45" t="b">
        <v>1</v>
      </c>
      <c r="AA1832" s="45" t="s">
        <v>38</v>
      </c>
      <c r="AB1832" s="45" t="s">
        <v>38</v>
      </c>
    </row>
    <row r="1833" spans="1:28" x14ac:dyDescent="0.2">
      <c r="A1833" s="279" t="s">
        <v>395</v>
      </c>
      <c r="B1833" s="270" t="s">
        <v>162</v>
      </c>
      <c r="C1833" s="277">
        <v>44805</v>
      </c>
      <c r="D1833" s="277">
        <v>44834</v>
      </c>
      <c r="E1833" s="279" t="s">
        <v>267</v>
      </c>
      <c r="F1833" s="133" t="s">
        <v>41</v>
      </c>
      <c r="G1833" s="270" t="s">
        <v>35</v>
      </c>
      <c r="H1833" s="272" t="s">
        <v>149</v>
      </c>
      <c r="I1833" s="273">
        <v>500</v>
      </c>
      <c r="J1833" s="270">
        <v>54</v>
      </c>
      <c r="K1833" s="270">
        <f t="shared" si="0"/>
        <v>27000</v>
      </c>
      <c r="L1833" s="286">
        <f>-3651/191*54</f>
        <v>-1032.219895287958</v>
      </c>
      <c r="M1833" s="286">
        <v>0</v>
      </c>
      <c r="N1833" s="274">
        <v>1176.79</v>
      </c>
      <c r="O1833" s="55"/>
      <c r="P1833" s="105">
        <v>1177</v>
      </c>
      <c r="Q1833" s="286">
        <v>-2989</v>
      </c>
      <c r="R1833" s="275">
        <v>0</v>
      </c>
      <c r="S1833" s="286">
        <v>-2989</v>
      </c>
      <c r="T1833" s="286">
        <v>1177</v>
      </c>
      <c r="U1833" s="57">
        <v>1</v>
      </c>
      <c r="V1833" s="276">
        <v>0.19</v>
      </c>
      <c r="W1833" s="276">
        <v>0</v>
      </c>
      <c r="X1833" s="286">
        <v>953</v>
      </c>
      <c r="Y1833" s="286">
        <v>224</v>
      </c>
      <c r="Z1833" s="45" t="b">
        <v>1</v>
      </c>
      <c r="AA1833" s="45" t="s">
        <v>38</v>
      </c>
      <c r="AB1833" s="45" t="s">
        <v>38</v>
      </c>
    </row>
    <row r="1834" spans="1:28" x14ac:dyDescent="0.2">
      <c r="A1834" s="279" t="s">
        <v>447</v>
      </c>
      <c r="B1834" s="279" t="s">
        <v>66</v>
      </c>
      <c r="C1834" s="282">
        <v>44805</v>
      </c>
      <c r="D1834" s="282">
        <v>44834</v>
      </c>
      <c r="E1834" s="279" t="s">
        <v>300</v>
      </c>
      <c r="F1834" s="133" t="s">
        <v>49</v>
      </c>
      <c r="G1834" s="279" t="s">
        <v>61</v>
      </c>
      <c r="H1834" s="289" t="s">
        <v>100</v>
      </c>
      <c r="I1834" s="280">
        <v>500</v>
      </c>
      <c r="J1834" s="279">
        <v>387</v>
      </c>
      <c r="K1834" s="270">
        <f t="shared" si="0"/>
        <v>193500</v>
      </c>
      <c r="L1834" s="279">
        <v>33953</v>
      </c>
      <c r="M1834" s="279">
        <v>8000</v>
      </c>
      <c r="N1834" s="281">
        <v>17802.87</v>
      </c>
      <c r="O1834" s="55"/>
      <c r="P1834" s="105">
        <v>17803</v>
      </c>
      <c r="Q1834" s="279">
        <v>15538</v>
      </c>
      <c r="R1834" s="275">
        <v>4.8040000000000001E-3</v>
      </c>
      <c r="S1834" s="279">
        <v>16468</v>
      </c>
      <c r="T1834" s="279">
        <v>34271</v>
      </c>
      <c r="U1834" s="57">
        <v>1</v>
      </c>
      <c r="V1834" s="276">
        <v>0.15</v>
      </c>
      <c r="W1834" s="276">
        <v>0.05</v>
      </c>
      <c r="X1834" s="279">
        <v>27417</v>
      </c>
      <c r="Y1834" s="279">
        <v>6854</v>
      </c>
      <c r="Z1834" s="45" t="b">
        <v>1</v>
      </c>
      <c r="AA1834" s="45" t="s">
        <v>50</v>
      </c>
      <c r="AB1834" s="45" t="s">
        <v>50</v>
      </c>
    </row>
    <row r="1835" spans="1:28" x14ac:dyDescent="0.2">
      <c r="A1835" s="279" t="s">
        <v>447</v>
      </c>
      <c r="B1835" s="279" t="s">
        <v>66</v>
      </c>
      <c r="C1835" s="282">
        <v>44805</v>
      </c>
      <c r="D1835" s="282">
        <v>44834</v>
      </c>
      <c r="E1835" s="279" t="s">
        <v>300</v>
      </c>
      <c r="F1835" s="133" t="s">
        <v>49</v>
      </c>
      <c r="G1835" s="279" t="s">
        <v>61</v>
      </c>
      <c r="H1835" s="289" t="s">
        <v>135</v>
      </c>
      <c r="I1835" s="280">
        <v>250</v>
      </c>
      <c r="J1835" s="279">
        <v>983</v>
      </c>
      <c r="K1835" s="270">
        <f t="shared" si="0"/>
        <v>245750</v>
      </c>
      <c r="L1835" s="279">
        <v>46249</v>
      </c>
      <c r="M1835" s="279">
        <v>15000</v>
      </c>
      <c r="N1835" s="281">
        <v>1297.1300000000001</v>
      </c>
      <c r="O1835" s="55"/>
      <c r="P1835" s="105">
        <v>1297</v>
      </c>
      <c r="Q1835" s="279">
        <v>1419</v>
      </c>
      <c r="R1835" s="275">
        <v>4.4739999999999997E-3</v>
      </c>
      <c r="S1835" s="279">
        <v>2518</v>
      </c>
      <c r="T1835" s="279">
        <v>3815</v>
      </c>
      <c r="U1835" s="57">
        <v>1</v>
      </c>
      <c r="V1835" s="276">
        <v>0.15</v>
      </c>
      <c r="W1835" s="276">
        <v>0.05</v>
      </c>
      <c r="X1835" s="279">
        <v>3052</v>
      </c>
      <c r="Y1835" s="279">
        <v>763</v>
      </c>
      <c r="Z1835" s="45" t="b">
        <v>1</v>
      </c>
      <c r="AA1835" s="45" t="s">
        <v>50</v>
      </c>
      <c r="AB1835" s="45" t="s">
        <v>50</v>
      </c>
    </row>
    <row r="1836" spans="1:28" x14ac:dyDescent="0.2">
      <c r="A1836" s="279" t="s">
        <v>447</v>
      </c>
      <c r="B1836" s="279" t="s">
        <v>66</v>
      </c>
      <c r="C1836" s="282">
        <v>44805</v>
      </c>
      <c r="D1836" s="282">
        <v>44834</v>
      </c>
      <c r="E1836" s="279" t="s">
        <v>300</v>
      </c>
      <c r="F1836" s="133" t="s">
        <v>49</v>
      </c>
      <c r="G1836" s="279" t="s">
        <v>61</v>
      </c>
      <c r="H1836" s="289" t="s">
        <v>67</v>
      </c>
      <c r="I1836" s="273">
        <v>500</v>
      </c>
      <c r="J1836" s="270">
        <v>1</v>
      </c>
      <c r="K1836" s="270">
        <f t="shared" si="0"/>
        <v>500</v>
      </c>
      <c r="L1836" s="270">
        <v>-33</v>
      </c>
      <c r="M1836" s="270">
        <v>-500</v>
      </c>
      <c r="N1836" s="274"/>
      <c r="O1836" s="55"/>
      <c r="P1836" s="96"/>
      <c r="Q1836" s="270">
        <v>-91</v>
      </c>
      <c r="R1836" s="275">
        <v>2.5839999999999999E-3</v>
      </c>
      <c r="S1836" s="270">
        <v>-89</v>
      </c>
      <c r="T1836" s="270">
        <v>-89</v>
      </c>
      <c r="U1836" s="57">
        <v>1</v>
      </c>
      <c r="V1836" s="276">
        <v>0.15</v>
      </c>
      <c r="W1836" s="276">
        <v>0.05</v>
      </c>
      <c r="X1836" s="270">
        <v>-71</v>
      </c>
      <c r="Y1836" s="270">
        <v>-18</v>
      </c>
      <c r="Z1836" s="45" t="b">
        <v>1</v>
      </c>
      <c r="AA1836" s="45" t="s">
        <v>50</v>
      </c>
      <c r="AB1836" s="45" t="s">
        <v>50</v>
      </c>
    </row>
    <row r="1837" spans="1:28" x14ac:dyDescent="0.2">
      <c r="A1837" s="96" t="s">
        <v>152</v>
      </c>
      <c r="B1837" s="96" t="s">
        <v>152</v>
      </c>
      <c r="C1837" s="277">
        <v>44805</v>
      </c>
      <c r="D1837" s="277">
        <v>44834</v>
      </c>
      <c r="E1837" s="270" t="s">
        <v>267</v>
      </c>
      <c r="F1837" s="96" t="s">
        <v>49</v>
      </c>
      <c r="G1837" s="270" t="s">
        <v>80</v>
      </c>
      <c r="H1837" s="110" t="s">
        <v>70</v>
      </c>
      <c r="I1837" s="273">
        <v>100</v>
      </c>
      <c r="J1837" s="270">
        <v>1704</v>
      </c>
      <c r="K1837" s="270">
        <f t="shared" si="0"/>
        <v>170400</v>
      </c>
      <c r="L1837" s="270">
        <v>-711</v>
      </c>
      <c r="M1837" s="270">
        <v>-10700</v>
      </c>
      <c r="N1837" s="274">
        <f>5977+300</f>
        <v>6277</v>
      </c>
      <c r="O1837" s="55"/>
      <c r="P1837" s="105">
        <v>6277</v>
      </c>
      <c r="Q1837" s="270">
        <v>-12497</v>
      </c>
      <c r="R1837" s="275">
        <v>4.1110000000000001E-3</v>
      </c>
      <c r="S1837" s="270">
        <v>-11796</v>
      </c>
      <c r="T1837" s="270">
        <v>-5519</v>
      </c>
      <c r="U1837" s="57">
        <v>1</v>
      </c>
      <c r="V1837" s="276">
        <v>0.15</v>
      </c>
      <c r="W1837" s="276">
        <v>0</v>
      </c>
      <c r="X1837" s="270">
        <v>-4691</v>
      </c>
      <c r="Y1837" s="270">
        <v>-828</v>
      </c>
      <c r="Z1837" s="45" t="b">
        <v>1</v>
      </c>
      <c r="AA1837" s="45" t="s">
        <v>38</v>
      </c>
      <c r="AB1837" s="45" t="s">
        <v>38</v>
      </c>
    </row>
    <row r="1838" spans="1:28" x14ac:dyDescent="0.2">
      <c r="A1838" s="279" t="s">
        <v>456</v>
      </c>
      <c r="B1838" s="279" t="s">
        <v>110</v>
      </c>
      <c r="C1838" s="282">
        <v>44805</v>
      </c>
      <c r="D1838" s="282">
        <v>44834</v>
      </c>
      <c r="E1838" s="279" t="s">
        <v>267</v>
      </c>
      <c r="F1838" s="133" t="s">
        <v>41</v>
      </c>
      <c r="G1838" s="279" t="s">
        <v>61</v>
      </c>
      <c r="H1838" s="289" t="s">
        <v>132</v>
      </c>
      <c r="I1838" s="280">
        <v>5</v>
      </c>
      <c r="J1838" s="279">
        <v>646</v>
      </c>
      <c r="K1838" s="270">
        <f t="shared" si="0"/>
        <v>3230</v>
      </c>
      <c r="L1838" s="279">
        <v>27228</v>
      </c>
      <c r="M1838" s="279">
        <v>-35</v>
      </c>
      <c r="N1838" s="281">
        <v>26</v>
      </c>
      <c r="O1838" s="55"/>
      <c r="P1838" s="45">
        <v>26</v>
      </c>
      <c r="Q1838" s="279">
        <v>-45</v>
      </c>
      <c r="R1838" s="275">
        <v>0</v>
      </c>
      <c r="S1838" s="279">
        <v>-45</v>
      </c>
      <c r="T1838" s="279">
        <v>-9</v>
      </c>
      <c r="U1838" s="57">
        <v>1</v>
      </c>
      <c r="V1838" s="276">
        <v>0.25</v>
      </c>
      <c r="W1838" s="276">
        <v>0</v>
      </c>
      <c r="X1838" s="279">
        <v>-7</v>
      </c>
      <c r="Y1838" s="279">
        <v>-2</v>
      </c>
      <c r="Z1838" s="45" t="b">
        <v>1</v>
      </c>
      <c r="AA1838" s="45" t="s">
        <v>50</v>
      </c>
      <c r="AB1838" s="45" t="s">
        <v>50</v>
      </c>
    </row>
    <row r="1839" spans="1:28" x14ac:dyDescent="0.2">
      <c r="A1839" s="96" t="s">
        <v>175</v>
      </c>
      <c r="B1839" s="96" t="s">
        <v>175</v>
      </c>
      <c r="C1839" s="277">
        <v>44805</v>
      </c>
      <c r="D1839" s="277">
        <v>44834</v>
      </c>
      <c r="E1839" s="279" t="s">
        <v>267</v>
      </c>
      <c r="F1839" s="133" t="s">
        <v>49</v>
      </c>
      <c r="G1839" s="270" t="s">
        <v>35</v>
      </c>
      <c r="H1839" s="272" t="s">
        <v>40</v>
      </c>
      <c r="I1839" s="273">
        <v>10</v>
      </c>
      <c r="J1839" s="270">
        <v>166</v>
      </c>
      <c r="K1839" s="270">
        <f t="shared" si="0"/>
        <v>1660</v>
      </c>
      <c r="L1839" s="270">
        <v>972</v>
      </c>
      <c r="M1839" s="270">
        <v>-230</v>
      </c>
      <c r="N1839" s="274">
        <v>78</v>
      </c>
      <c r="O1839" s="55"/>
      <c r="P1839" s="45">
        <v>78</v>
      </c>
      <c r="Q1839" s="270">
        <v>-107</v>
      </c>
      <c r="R1839" s="275">
        <v>4.2230000000000002E-3</v>
      </c>
      <c r="S1839" s="270">
        <v>-100</v>
      </c>
      <c r="T1839" s="270">
        <v>-22</v>
      </c>
      <c r="U1839" s="57">
        <v>1</v>
      </c>
      <c r="V1839" s="276">
        <v>0.25</v>
      </c>
      <c r="W1839" s="276">
        <v>0</v>
      </c>
      <c r="X1839" s="270">
        <v>-17</v>
      </c>
      <c r="Y1839" s="270">
        <v>-6</v>
      </c>
      <c r="Z1839" s="45" t="b">
        <v>1</v>
      </c>
      <c r="AA1839" s="45" t="s">
        <v>38</v>
      </c>
      <c r="AB1839" s="45" t="s">
        <v>38</v>
      </c>
    </row>
    <row r="1840" spans="1:28" x14ac:dyDescent="0.2">
      <c r="A1840" s="96" t="s">
        <v>175</v>
      </c>
      <c r="B1840" s="96" t="s">
        <v>175</v>
      </c>
      <c r="C1840" s="277">
        <v>44805</v>
      </c>
      <c r="D1840" s="277">
        <v>44834</v>
      </c>
      <c r="E1840" s="279" t="s">
        <v>267</v>
      </c>
      <c r="F1840" s="133" t="s">
        <v>49</v>
      </c>
      <c r="G1840" s="270" t="s">
        <v>35</v>
      </c>
      <c r="H1840" s="272" t="s">
        <v>46</v>
      </c>
      <c r="I1840" s="273">
        <v>25</v>
      </c>
      <c r="J1840" s="270">
        <v>3160</v>
      </c>
      <c r="K1840" s="270">
        <f t="shared" si="0"/>
        <v>79000</v>
      </c>
      <c r="L1840" s="270">
        <v>114035</v>
      </c>
      <c r="M1840" s="270">
        <v>-3075</v>
      </c>
      <c r="N1840" s="274">
        <v>3191</v>
      </c>
      <c r="O1840" s="55"/>
      <c r="P1840" s="105">
        <v>3191</v>
      </c>
      <c r="Q1840" s="270">
        <v>204</v>
      </c>
      <c r="R1840" s="275">
        <v>4.4759999999999999E-3</v>
      </c>
      <c r="S1840" s="270">
        <v>558</v>
      </c>
      <c r="T1840" s="270">
        <v>3749</v>
      </c>
      <c r="U1840" s="57">
        <v>1</v>
      </c>
      <c r="V1840" s="276">
        <v>0.25</v>
      </c>
      <c r="W1840" s="276">
        <v>0</v>
      </c>
      <c r="X1840" s="270">
        <v>2812</v>
      </c>
      <c r="Y1840" s="270">
        <v>937</v>
      </c>
      <c r="Z1840" s="45" t="b">
        <v>1</v>
      </c>
      <c r="AA1840" s="45" t="s">
        <v>38</v>
      </c>
      <c r="AB1840" s="45" t="s">
        <v>38</v>
      </c>
    </row>
    <row r="1841" spans="1:28" x14ac:dyDescent="0.2">
      <c r="A1841" s="96" t="s">
        <v>175</v>
      </c>
      <c r="B1841" s="96" t="s">
        <v>175</v>
      </c>
      <c r="C1841" s="277">
        <v>44805</v>
      </c>
      <c r="D1841" s="277">
        <v>44834</v>
      </c>
      <c r="E1841" s="279" t="s">
        <v>267</v>
      </c>
      <c r="F1841" s="133" t="s">
        <v>41</v>
      </c>
      <c r="G1841" s="270" t="s">
        <v>35</v>
      </c>
      <c r="H1841" s="272" t="s">
        <v>39</v>
      </c>
      <c r="I1841" s="273">
        <v>5</v>
      </c>
      <c r="J1841" s="270">
        <v>3</v>
      </c>
      <c r="K1841" s="270">
        <f t="shared" si="0"/>
        <v>15</v>
      </c>
      <c r="L1841" s="270"/>
      <c r="M1841" s="270">
        <v>-15</v>
      </c>
      <c r="N1841" s="274"/>
      <c r="O1841" s="55"/>
      <c r="P1841" s="96"/>
      <c r="Q1841" s="270"/>
      <c r="R1841" s="275">
        <v>0</v>
      </c>
      <c r="S1841" s="270"/>
      <c r="T1841" s="270">
        <v>-15</v>
      </c>
      <c r="U1841" s="57">
        <v>1</v>
      </c>
      <c r="V1841" s="276">
        <v>0.25</v>
      </c>
      <c r="W1841" s="276">
        <v>0</v>
      </c>
      <c r="X1841" s="270">
        <v>-11</v>
      </c>
      <c r="Y1841" s="270">
        <v>-4</v>
      </c>
      <c r="Z1841" s="45" t="b">
        <v>1</v>
      </c>
      <c r="AA1841" s="45" t="s">
        <v>38</v>
      </c>
      <c r="AB1841" s="45" t="s">
        <v>38</v>
      </c>
    </row>
    <row r="1842" spans="1:28" x14ac:dyDescent="0.2">
      <c r="A1842" s="279" t="s">
        <v>127</v>
      </c>
      <c r="B1842" s="279" t="s">
        <v>127</v>
      </c>
      <c r="C1842" s="282">
        <v>44805</v>
      </c>
      <c r="D1842" s="282">
        <v>44834</v>
      </c>
      <c r="E1842" s="279" t="s">
        <v>267</v>
      </c>
      <c r="F1842" s="133" t="s">
        <v>49</v>
      </c>
      <c r="G1842" s="279" t="s">
        <v>61</v>
      </c>
      <c r="H1842" s="272" t="s">
        <v>179</v>
      </c>
      <c r="I1842" s="280">
        <v>25</v>
      </c>
      <c r="J1842" s="279">
        <v>569</v>
      </c>
      <c r="K1842" s="270">
        <f t="shared" si="0"/>
        <v>14225</v>
      </c>
      <c r="L1842" s="279">
        <v>49751</v>
      </c>
      <c r="M1842" s="279">
        <v>100</v>
      </c>
      <c r="N1842" s="281">
        <v>1702.28</v>
      </c>
      <c r="O1842" s="55"/>
      <c r="P1842" s="105">
        <v>1702</v>
      </c>
      <c r="Q1842" s="279">
        <v>1035</v>
      </c>
      <c r="R1842" s="275">
        <v>4.79E-3</v>
      </c>
      <c r="S1842" s="279">
        <v>1103</v>
      </c>
      <c r="T1842" s="279">
        <v>2805</v>
      </c>
      <c r="U1842" s="57">
        <v>1</v>
      </c>
      <c r="V1842" s="276">
        <v>0.12</v>
      </c>
      <c r="W1842" s="276">
        <v>0</v>
      </c>
      <c r="X1842" s="279">
        <v>2469</v>
      </c>
      <c r="Y1842" s="279">
        <v>337</v>
      </c>
      <c r="Z1842" s="45" t="b">
        <v>1</v>
      </c>
      <c r="AA1842" s="45" t="s">
        <v>50</v>
      </c>
      <c r="AB1842" s="45" t="s">
        <v>50</v>
      </c>
    </row>
    <row r="1843" spans="1:28" x14ac:dyDescent="0.2">
      <c r="A1843" s="279" t="s">
        <v>127</v>
      </c>
      <c r="B1843" s="279" t="s">
        <v>127</v>
      </c>
      <c r="C1843" s="282">
        <v>44805</v>
      </c>
      <c r="D1843" s="282">
        <v>44834</v>
      </c>
      <c r="E1843" s="279" t="s">
        <v>267</v>
      </c>
      <c r="F1843" s="133" t="s">
        <v>49</v>
      </c>
      <c r="G1843" s="279" t="s">
        <v>61</v>
      </c>
      <c r="H1843" s="272" t="s">
        <v>112</v>
      </c>
      <c r="I1843" s="280">
        <v>50</v>
      </c>
      <c r="J1843" s="279">
        <v>1197</v>
      </c>
      <c r="K1843" s="270">
        <f t="shared" si="0"/>
        <v>59850</v>
      </c>
      <c r="L1843" s="279">
        <v>104934</v>
      </c>
      <c r="M1843" s="279">
        <v>50</v>
      </c>
      <c r="N1843" s="281">
        <v>102.72</v>
      </c>
      <c r="O1843" s="55"/>
      <c r="P1843" s="45">
        <v>103</v>
      </c>
      <c r="Q1843" s="279">
        <v>4380</v>
      </c>
      <c r="R1843" s="275">
        <v>4.7569999999999999E-3</v>
      </c>
      <c r="S1843" s="279">
        <v>4665</v>
      </c>
      <c r="T1843" s="279">
        <v>4768</v>
      </c>
      <c r="U1843" s="57">
        <v>1</v>
      </c>
      <c r="V1843" s="276">
        <v>0.12</v>
      </c>
      <c r="W1843" s="276">
        <v>0</v>
      </c>
      <c r="X1843" s="279">
        <v>4196</v>
      </c>
      <c r="Y1843" s="279">
        <v>572</v>
      </c>
      <c r="Z1843" s="45" t="b">
        <v>1</v>
      </c>
      <c r="AA1843" s="45" t="s">
        <v>50</v>
      </c>
      <c r="AB1843" s="45" t="s">
        <v>50</v>
      </c>
    </row>
    <row r="1844" spans="1:28" x14ac:dyDescent="0.2">
      <c r="A1844" s="279" t="s">
        <v>144</v>
      </c>
      <c r="B1844" s="279" t="s">
        <v>144</v>
      </c>
      <c r="C1844" s="277">
        <v>44805</v>
      </c>
      <c r="D1844" s="277">
        <v>44834</v>
      </c>
      <c r="E1844" s="270" t="s">
        <v>267</v>
      </c>
      <c r="F1844" s="96" t="s">
        <v>49</v>
      </c>
      <c r="G1844" s="279" t="s">
        <v>35</v>
      </c>
      <c r="H1844" s="272" t="s">
        <v>46</v>
      </c>
      <c r="I1844" s="273">
        <v>25</v>
      </c>
      <c r="J1844" s="270">
        <v>234</v>
      </c>
      <c r="K1844" s="270">
        <f t="shared" si="0"/>
        <v>5850</v>
      </c>
      <c r="L1844" s="270">
        <v>14126</v>
      </c>
      <c r="M1844" s="270">
        <v>725</v>
      </c>
      <c r="N1844" s="274">
        <v>445</v>
      </c>
      <c r="O1844" s="55"/>
      <c r="P1844" s="45">
        <v>445</v>
      </c>
      <c r="Q1844" s="270">
        <v>280</v>
      </c>
      <c r="R1844" s="275">
        <v>4.7099999999999998E-3</v>
      </c>
      <c r="S1844" s="270">
        <v>308</v>
      </c>
      <c r="T1844" s="270">
        <v>753</v>
      </c>
      <c r="U1844" s="57">
        <v>1</v>
      </c>
      <c r="V1844" s="276">
        <v>0.15</v>
      </c>
      <c r="W1844" s="276">
        <v>0</v>
      </c>
      <c r="X1844" s="270">
        <v>640</v>
      </c>
      <c r="Y1844" s="270">
        <v>113</v>
      </c>
      <c r="Z1844" s="45" t="b">
        <v>1</v>
      </c>
      <c r="AA1844" s="45" t="s">
        <v>38</v>
      </c>
      <c r="AB1844" s="45" t="s">
        <v>38</v>
      </c>
    </row>
    <row r="1845" spans="1:28" x14ac:dyDescent="0.2">
      <c r="A1845" s="279" t="s">
        <v>189</v>
      </c>
      <c r="B1845" s="279" t="s">
        <v>189</v>
      </c>
      <c r="C1845" s="282">
        <v>44805</v>
      </c>
      <c r="D1845" s="282">
        <v>44834</v>
      </c>
      <c r="E1845" s="279" t="s">
        <v>267</v>
      </c>
      <c r="F1845" s="133" t="s">
        <v>41</v>
      </c>
      <c r="G1845" s="279" t="s">
        <v>53</v>
      </c>
      <c r="H1845" s="289" t="s">
        <v>54</v>
      </c>
      <c r="I1845" s="280">
        <v>5</v>
      </c>
      <c r="J1845" s="279">
        <v>12</v>
      </c>
      <c r="K1845" s="270">
        <f t="shared" si="0"/>
        <v>60</v>
      </c>
      <c r="L1845" s="279">
        <v>448</v>
      </c>
      <c r="M1845" s="279">
        <v>-4.0599999999999996</v>
      </c>
      <c r="N1845" s="281"/>
      <c r="O1845" s="55">
        <v>0.5</v>
      </c>
      <c r="P1845" s="45">
        <v>2</v>
      </c>
      <c r="Q1845" s="279">
        <v>0</v>
      </c>
      <c r="R1845" s="275">
        <v>0</v>
      </c>
      <c r="S1845" s="279">
        <v>0</v>
      </c>
      <c r="T1845" s="279">
        <v>-2</v>
      </c>
      <c r="U1845" s="57">
        <v>1</v>
      </c>
      <c r="V1845" s="276">
        <v>0.16020000000000001</v>
      </c>
      <c r="W1845" s="276">
        <v>0</v>
      </c>
      <c r="X1845" s="279">
        <v>-2</v>
      </c>
      <c r="Y1845" s="279">
        <v>0</v>
      </c>
      <c r="Z1845" s="45" t="b">
        <v>1</v>
      </c>
      <c r="AA1845" s="45" t="s">
        <v>38</v>
      </c>
      <c r="AB1845" s="45" t="s">
        <v>38</v>
      </c>
    </row>
    <row r="1846" spans="1:28" x14ac:dyDescent="0.2">
      <c r="A1846" s="279" t="s">
        <v>189</v>
      </c>
      <c r="B1846" s="279" t="s">
        <v>189</v>
      </c>
      <c r="C1846" s="282">
        <v>44805</v>
      </c>
      <c r="D1846" s="282">
        <v>44834</v>
      </c>
      <c r="E1846" s="279" t="s">
        <v>267</v>
      </c>
      <c r="F1846" s="133" t="s">
        <v>41</v>
      </c>
      <c r="G1846" s="279" t="s">
        <v>53</v>
      </c>
      <c r="H1846" s="289" t="s">
        <v>56</v>
      </c>
      <c r="I1846" s="280">
        <v>20</v>
      </c>
      <c r="J1846" s="279">
        <v>52</v>
      </c>
      <c r="K1846" s="270">
        <f t="shared" si="0"/>
        <v>1040</v>
      </c>
      <c r="L1846" s="279">
        <v>3855</v>
      </c>
      <c r="M1846" s="279">
        <v>-70.400000000000006</v>
      </c>
      <c r="N1846" s="281"/>
      <c r="O1846" s="55">
        <v>0.5</v>
      </c>
      <c r="P1846" s="45">
        <v>36</v>
      </c>
      <c r="Q1846" s="279">
        <v>62</v>
      </c>
      <c r="R1846" s="275">
        <v>0</v>
      </c>
      <c r="S1846" s="279">
        <v>62</v>
      </c>
      <c r="T1846" s="279">
        <v>-34</v>
      </c>
      <c r="U1846" s="57">
        <v>1</v>
      </c>
      <c r="V1846" s="276">
        <v>0.16020000000000001</v>
      </c>
      <c r="W1846" s="276">
        <v>0</v>
      </c>
      <c r="X1846" s="279">
        <v>-29</v>
      </c>
      <c r="Y1846" s="279">
        <v>-5</v>
      </c>
      <c r="Z1846" s="45" t="b">
        <v>1</v>
      </c>
      <c r="AA1846" s="45" t="s">
        <v>38</v>
      </c>
      <c r="AB1846" s="45" t="s">
        <v>38</v>
      </c>
    </row>
    <row r="1847" spans="1:28" x14ac:dyDescent="0.2">
      <c r="A1847" s="279" t="s">
        <v>189</v>
      </c>
      <c r="B1847" s="279" t="s">
        <v>189</v>
      </c>
      <c r="C1847" s="282">
        <v>44805</v>
      </c>
      <c r="D1847" s="282">
        <v>44834</v>
      </c>
      <c r="E1847" s="279" t="s">
        <v>267</v>
      </c>
      <c r="F1847" s="133" t="s">
        <v>41</v>
      </c>
      <c r="G1847" s="279" t="s">
        <v>53</v>
      </c>
      <c r="H1847" s="289" t="s">
        <v>57</v>
      </c>
      <c r="I1847" s="280">
        <v>50</v>
      </c>
      <c r="J1847" s="279">
        <v>2553</v>
      </c>
      <c r="K1847" s="270">
        <f t="shared" si="0"/>
        <v>127650</v>
      </c>
      <c r="L1847" s="279">
        <v>81059</v>
      </c>
      <c r="M1847" s="279">
        <v>-8640.5400000000009</v>
      </c>
      <c r="N1847" s="281"/>
      <c r="O1847" s="55">
        <v>0.5</v>
      </c>
      <c r="P1847" s="105">
        <v>4468</v>
      </c>
      <c r="Q1847" s="279">
        <v>-2322</v>
      </c>
      <c r="R1847" s="275">
        <v>0</v>
      </c>
      <c r="S1847" s="279">
        <v>-2322</v>
      </c>
      <c r="T1847" s="279">
        <v>-4173</v>
      </c>
      <c r="U1847" s="57">
        <v>1</v>
      </c>
      <c r="V1847" s="276">
        <v>0.16020000000000001</v>
      </c>
      <c r="W1847" s="276">
        <v>0</v>
      </c>
      <c r="X1847" s="279">
        <v>-3504</v>
      </c>
      <c r="Y1847" s="279">
        <v>-668</v>
      </c>
      <c r="Z1847" s="45" t="b">
        <v>1</v>
      </c>
      <c r="AA1847" s="45" t="s">
        <v>38</v>
      </c>
      <c r="AB1847" s="45" t="s">
        <v>38</v>
      </c>
    </row>
    <row r="1848" spans="1:28" x14ac:dyDescent="0.2">
      <c r="A1848" s="96" t="s">
        <v>561</v>
      </c>
      <c r="B1848" s="96" t="s">
        <v>79</v>
      </c>
      <c r="C1848" s="277">
        <v>44805</v>
      </c>
      <c r="D1848" s="277">
        <v>44834</v>
      </c>
      <c r="E1848" s="270" t="s">
        <v>267</v>
      </c>
      <c r="F1848" s="96" t="s">
        <v>41</v>
      </c>
      <c r="G1848" s="270" t="s">
        <v>80</v>
      </c>
      <c r="H1848" s="272" t="s">
        <v>71</v>
      </c>
      <c r="I1848" s="273">
        <v>20</v>
      </c>
      <c r="J1848" s="270">
        <v>7000</v>
      </c>
      <c r="K1848" s="270">
        <f t="shared" si="0"/>
        <v>140000</v>
      </c>
      <c r="L1848" s="270"/>
      <c r="M1848" s="270">
        <v>-10295</v>
      </c>
      <c r="N1848" s="274"/>
      <c r="O1848" s="55"/>
      <c r="P1848" s="96"/>
      <c r="Q1848" s="270"/>
      <c r="R1848" s="275">
        <v>0</v>
      </c>
      <c r="S1848" s="270"/>
      <c r="T1848" s="270">
        <v>-10295</v>
      </c>
      <c r="U1848" s="57">
        <v>1</v>
      </c>
      <c r="V1848" s="276">
        <v>0.3</v>
      </c>
      <c r="W1848" s="276">
        <v>0</v>
      </c>
      <c r="X1848" s="270">
        <v>-7207</v>
      </c>
      <c r="Y1848" s="270">
        <v>-3089</v>
      </c>
      <c r="Z1848" s="45" t="b">
        <v>0</v>
      </c>
      <c r="AA1848" s="45" t="s">
        <v>38</v>
      </c>
      <c r="AB1848" s="45" t="s">
        <v>38</v>
      </c>
    </row>
    <row r="1849" spans="1:28" x14ac:dyDescent="0.2">
      <c r="A1849" s="279" t="s">
        <v>232</v>
      </c>
      <c r="B1849" s="279" t="s">
        <v>198</v>
      </c>
      <c r="C1849" s="282">
        <v>44805</v>
      </c>
      <c r="D1849" s="282">
        <v>44834</v>
      </c>
      <c r="E1849" s="279" t="s">
        <v>267</v>
      </c>
      <c r="F1849" s="133" t="s">
        <v>41</v>
      </c>
      <c r="G1849" s="279" t="s">
        <v>53</v>
      </c>
      <c r="H1849" s="289" t="s">
        <v>55</v>
      </c>
      <c r="I1849" s="280">
        <v>10</v>
      </c>
      <c r="J1849" s="279">
        <v>21</v>
      </c>
      <c r="K1849" s="270">
        <f t="shared" si="0"/>
        <v>210</v>
      </c>
      <c r="L1849" s="279">
        <v>2646</v>
      </c>
      <c r="M1849" s="279">
        <v>1</v>
      </c>
      <c r="N1849" s="281"/>
      <c r="O1849" s="55">
        <v>0.5</v>
      </c>
      <c r="P1849" s="45">
        <v>7</v>
      </c>
      <c r="Q1849" s="279">
        <v>33</v>
      </c>
      <c r="R1849" s="275">
        <v>0</v>
      </c>
      <c r="S1849" s="279">
        <v>33</v>
      </c>
      <c r="T1849" s="279">
        <v>8</v>
      </c>
      <c r="U1849" s="57">
        <v>1</v>
      </c>
      <c r="V1849" s="276">
        <v>0.23</v>
      </c>
      <c r="W1849" s="276">
        <v>0</v>
      </c>
      <c r="X1849" s="279">
        <v>6</v>
      </c>
      <c r="Y1849" s="279">
        <v>2</v>
      </c>
      <c r="Z1849" s="45" t="b">
        <v>1</v>
      </c>
      <c r="AA1849" s="45" t="s">
        <v>38</v>
      </c>
      <c r="AB1849" s="45" t="s">
        <v>38</v>
      </c>
    </row>
    <row r="1850" spans="1:28" x14ac:dyDescent="0.2">
      <c r="A1850" s="279" t="s">
        <v>232</v>
      </c>
      <c r="B1850" s="279" t="s">
        <v>198</v>
      </c>
      <c r="C1850" s="282">
        <v>44805</v>
      </c>
      <c r="D1850" s="282">
        <v>44834</v>
      </c>
      <c r="E1850" s="279" t="s">
        <v>267</v>
      </c>
      <c r="F1850" s="133" t="s">
        <v>41</v>
      </c>
      <c r="G1850" s="279" t="s">
        <v>53</v>
      </c>
      <c r="H1850" s="289" t="s">
        <v>56</v>
      </c>
      <c r="I1850" s="280">
        <v>20</v>
      </c>
      <c r="J1850" s="279">
        <v>1200</v>
      </c>
      <c r="K1850" s="270">
        <f t="shared" si="0"/>
        <v>24000</v>
      </c>
      <c r="L1850" s="279">
        <v>55200</v>
      </c>
      <c r="M1850" s="279">
        <v>122</v>
      </c>
      <c r="N1850" s="281"/>
      <c r="O1850" s="55">
        <v>0.5</v>
      </c>
      <c r="P1850" s="45">
        <v>840</v>
      </c>
      <c r="Q1850" s="279">
        <v>193</v>
      </c>
      <c r="R1850" s="275">
        <v>0</v>
      </c>
      <c r="S1850" s="279">
        <v>193</v>
      </c>
      <c r="T1850" s="279">
        <v>962</v>
      </c>
      <c r="U1850" s="57">
        <v>1</v>
      </c>
      <c r="V1850" s="276">
        <v>0.23</v>
      </c>
      <c r="W1850" s="276">
        <v>0</v>
      </c>
      <c r="X1850" s="279">
        <v>741</v>
      </c>
      <c r="Y1850" s="279">
        <v>221</v>
      </c>
      <c r="Z1850" s="45" t="b">
        <v>1</v>
      </c>
      <c r="AA1850" s="45" t="s">
        <v>38</v>
      </c>
      <c r="AB1850" s="45" t="s">
        <v>38</v>
      </c>
    </row>
    <row r="1851" spans="1:28" x14ac:dyDescent="0.2">
      <c r="A1851" s="279" t="s">
        <v>98</v>
      </c>
      <c r="B1851" s="279" t="s">
        <v>98</v>
      </c>
      <c r="C1851" s="277">
        <v>44805</v>
      </c>
      <c r="D1851" s="277">
        <v>44834</v>
      </c>
      <c r="E1851" s="279" t="s">
        <v>267</v>
      </c>
      <c r="F1851" s="133" t="s">
        <v>49</v>
      </c>
      <c r="G1851" s="270" t="s">
        <v>35</v>
      </c>
      <c r="H1851" s="272" t="s">
        <v>72</v>
      </c>
      <c r="I1851" s="273">
        <v>50</v>
      </c>
      <c r="J1851" s="270">
        <v>1</v>
      </c>
      <c r="K1851" s="270">
        <f t="shared" si="0"/>
        <v>50</v>
      </c>
      <c r="L1851" s="270">
        <v>-500</v>
      </c>
      <c r="M1851" s="270">
        <v>-50</v>
      </c>
      <c r="N1851" s="274">
        <v>2</v>
      </c>
      <c r="O1851" s="55"/>
      <c r="P1851" s="45">
        <v>2</v>
      </c>
      <c r="Q1851" s="270">
        <v>-50</v>
      </c>
      <c r="R1851" s="275">
        <v>-8.8500000000000002E-3</v>
      </c>
      <c r="S1851" s="270">
        <v>-50</v>
      </c>
      <c r="T1851" s="270">
        <v>-48</v>
      </c>
      <c r="U1851" s="57">
        <v>1</v>
      </c>
      <c r="V1851" s="276">
        <v>0.35</v>
      </c>
      <c r="W1851" s="276">
        <v>0</v>
      </c>
      <c r="X1851" s="270">
        <v>-31</v>
      </c>
      <c r="Y1851" s="270">
        <v>-17</v>
      </c>
      <c r="Z1851" s="45" t="b">
        <v>1</v>
      </c>
      <c r="AA1851" s="45" t="s">
        <v>38</v>
      </c>
      <c r="AB1851" s="45" t="s">
        <v>38</v>
      </c>
    </row>
    <row r="1852" spans="1:28" x14ac:dyDescent="0.2">
      <c r="A1852" s="279" t="s">
        <v>98</v>
      </c>
      <c r="B1852" s="279" t="s">
        <v>98</v>
      </c>
      <c r="C1852" s="277">
        <v>44805</v>
      </c>
      <c r="D1852" s="277">
        <v>44834</v>
      </c>
      <c r="E1852" s="279" t="s">
        <v>267</v>
      </c>
      <c r="F1852" s="133" t="s">
        <v>49</v>
      </c>
      <c r="G1852" s="270" t="s">
        <v>35</v>
      </c>
      <c r="H1852" s="272" t="s">
        <v>87</v>
      </c>
      <c r="I1852" s="273">
        <v>25</v>
      </c>
      <c r="J1852" s="270">
        <v>984</v>
      </c>
      <c r="K1852" s="270">
        <f t="shared" si="0"/>
        <v>24600</v>
      </c>
      <c r="L1852" s="270">
        <v>11295</v>
      </c>
      <c r="M1852" s="270">
        <v>-75</v>
      </c>
      <c r="N1852" s="274">
        <v>962</v>
      </c>
      <c r="O1852" s="55"/>
      <c r="P1852" s="45">
        <v>962</v>
      </c>
      <c r="Q1852" s="270">
        <v>-702</v>
      </c>
      <c r="R1852" s="275">
        <v>4.2979999999999997E-3</v>
      </c>
      <c r="S1852" s="270">
        <v>-596</v>
      </c>
      <c r="T1852" s="270">
        <v>366</v>
      </c>
      <c r="U1852" s="57">
        <v>1</v>
      </c>
      <c r="V1852" s="276">
        <v>0.35</v>
      </c>
      <c r="W1852" s="276">
        <v>0</v>
      </c>
      <c r="X1852" s="270">
        <v>238</v>
      </c>
      <c r="Y1852" s="270">
        <v>128</v>
      </c>
      <c r="Z1852" s="45" t="b">
        <v>1</v>
      </c>
      <c r="AA1852" s="45" t="s">
        <v>38</v>
      </c>
      <c r="AB1852" s="45" t="s">
        <v>38</v>
      </c>
    </row>
    <row r="1853" spans="1:28" x14ac:dyDescent="0.2">
      <c r="A1853" s="279" t="s">
        <v>98</v>
      </c>
      <c r="B1853" s="279" t="s">
        <v>98</v>
      </c>
      <c r="C1853" s="277">
        <v>44805</v>
      </c>
      <c r="D1853" s="277">
        <v>44834</v>
      </c>
      <c r="E1853" s="279" t="s">
        <v>267</v>
      </c>
      <c r="F1853" s="133" t="s">
        <v>49</v>
      </c>
      <c r="G1853" s="270" t="s">
        <v>35</v>
      </c>
      <c r="H1853" s="272" t="s">
        <v>85</v>
      </c>
      <c r="I1853" s="273">
        <v>50</v>
      </c>
      <c r="J1853" s="270">
        <v>4968</v>
      </c>
      <c r="K1853" s="270">
        <f t="shared" si="0"/>
        <v>248400</v>
      </c>
      <c r="L1853" s="270">
        <v>50789</v>
      </c>
      <c r="M1853" s="270">
        <v>-4600</v>
      </c>
      <c r="N1853" s="274">
        <v>9700</v>
      </c>
      <c r="O1853" s="55"/>
      <c r="P1853" s="105">
        <v>9700</v>
      </c>
      <c r="Q1853" s="270">
        <v>-8046</v>
      </c>
      <c r="R1853" s="275">
        <v>4.2969999999999996E-3</v>
      </c>
      <c r="S1853" s="270">
        <v>-6979</v>
      </c>
      <c r="T1853" s="270">
        <v>2721</v>
      </c>
      <c r="U1853" s="57">
        <v>1</v>
      </c>
      <c r="V1853" s="276">
        <v>0.35</v>
      </c>
      <c r="W1853" s="276">
        <v>0</v>
      </c>
      <c r="X1853" s="270">
        <v>1769</v>
      </c>
      <c r="Y1853" s="270">
        <v>952</v>
      </c>
      <c r="Z1853" s="45" t="b">
        <v>1</v>
      </c>
      <c r="AA1853" s="45" t="s">
        <v>38</v>
      </c>
      <c r="AB1853" s="45" t="s">
        <v>38</v>
      </c>
    </row>
    <row r="1854" spans="1:28" x14ac:dyDescent="0.2">
      <c r="A1854" s="279" t="s">
        <v>98</v>
      </c>
      <c r="B1854" s="279" t="s">
        <v>98</v>
      </c>
      <c r="C1854" s="277">
        <v>44805</v>
      </c>
      <c r="D1854" s="277">
        <v>44834</v>
      </c>
      <c r="E1854" s="279" t="s">
        <v>267</v>
      </c>
      <c r="F1854" s="133" t="s">
        <v>49</v>
      </c>
      <c r="G1854" s="270" t="s">
        <v>35</v>
      </c>
      <c r="H1854" s="272" t="s">
        <v>84</v>
      </c>
      <c r="I1854" s="273">
        <v>100</v>
      </c>
      <c r="J1854" s="270">
        <v>180</v>
      </c>
      <c r="K1854" s="270">
        <f t="shared" si="0"/>
        <v>18000</v>
      </c>
      <c r="L1854" s="270">
        <v>-2421</v>
      </c>
      <c r="M1854" s="270">
        <v>-4900</v>
      </c>
      <c r="N1854" s="274">
        <v>586</v>
      </c>
      <c r="O1854" s="55"/>
      <c r="P1854" s="45">
        <v>586</v>
      </c>
      <c r="Q1854" s="270">
        <v>-1728</v>
      </c>
      <c r="R1854" s="275">
        <v>4.0159999999999996E-3</v>
      </c>
      <c r="S1854" s="270">
        <v>-1656</v>
      </c>
      <c r="T1854" s="270">
        <v>-1070</v>
      </c>
      <c r="U1854" s="57">
        <v>1</v>
      </c>
      <c r="V1854" s="276">
        <v>0.35</v>
      </c>
      <c r="W1854" s="276">
        <v>0</v>
      </c>
      <c r="X1854" s="270">
        <v>-696</v>
      </c>
      <c r="Y1854" s="270">
        <v>-375</v>
      </c>
      <c r="Z1854" s="45" t="b">
        <v>1</v>
      </c>
      <c r="AA1854" s="45" t="s">
        <v>38</v>
      </c>
      <c r="AB1854" s="45" t="s">
        <v>38</v>
      </c>
    </row>
    <row r="1855" spans="1:28" x14ac:dyDescent="0.2">
      <c r="A1855" s="279" t="s">
        <v>98</v>
      </c>
      <c r="B1855" s="279" t="s">
        <v>98</v>
      </c>
      <c r="C1855" s="277">
        <v>44805</v>
      </c>
      <c r="D1855" s="277">
        <v>44834</v>
      </c>
      <c r="E1855" s="279" t="s">
        <v>267</v>
      </c>
      <c r="F1855" s="133" t="s">
        <v>41</v>
      </c>
      <c r="G1855" s="270" t="s">
        <v>35</v>
      </c>
      <c r="H1855" s="272" t="s">
        <v>51</v>
      </c>
      <c r="I1855" s="273">
        <v>0.25</v>
      </c>
      <c r="J1855" s="270">
        <v>18</v>
      </c>
      <c r="K1855" s="270">
        <f t="shared" si="0"/>
        <v>4.5</v>
      </c>
      <c r="L1855" s="270"/>
      <c r="M1855" s="270">
        <v>-1</v>
      </c>
      <c r="N1855" s="274"/>
      <c r="O1855" s="55"/>
      <c r="P1855" s="96"/>
      <c r="Q1855" s="270"/>
      <c r="R1855" s="275">
        <v>0</v>
      </c>
      <c r="S1855" s="270"/>
      <c r="T1855" s="270">
        <v>-1</v>
      </c>
      <c r="U1855" s="57">
        <v>1</v>
      </c>
      <c r="V1855" s="276">
        <v>0.35</v>
      </c>
      <c r="W1855" s="276">
        <v>0</v>
      </c>
      <c r="X1855" s="270">
        <v>-1</v>
      </c>
      <c r="Y1855" s="270">
        <v>0</v>
      </c>
      <c r="Z1855" s="45" t="b">
        <v>1</v>
      </c>
      <c r="AA1855" s="45" t="s">
        <v>38</v>
      </c>
      <c r="AB1855" s="45" t="s">
        <v>38</v>
      </c>
    </row>
    <row r="1856" spans="1:28" x14ac:dyDescent="0.2">
      <c r="A1856" s="279" t="s">
        <v>225</v>
      </c>
      <c r="B1856" s="279" t="s">
        <v>204</v>
      </c>
      <c r="C1856" s="277">
        <v>44805</v>
      </c>
      <c r="D1856" s="277">
        <v>44834</v>
      </c>
      <c r="E1856" s="279" t="s">
        <v>267</v>
      </c>
      <c r="F1856" s="133" t="s">
        <v>49</v>
      </c>
      <c r="G1856" s="270" t="s">
        <v>35</v>
      </c>
      <c r="H1856" s="272" t="s">
        <v>46</v>
      </c>
      <c r="I1856" s="273">
        <v>25</v>
      </c>
      <c r="J1856" s="270">
        <v>3595</v>
      </c>
      <c r="K1856" s="270">
        <f t="shared" si="0"/>
        <v>89875</v>
      </c>
      <c r="L1856" s="270">
        <v>143551</v>
      </c>
      <c r="M1856" s="270">
        <v>3875</v>
      </c>
      <c r="N1856" s="274">
        <v>3837</v>
      </c>
      <c r="O1856" s="55"/>
      <c r="P1856" s="105">
        <v>3837</v>
      </c>
      <c r="Q1856" s="270">
        <v>903</v>
      </c>
      <c r="R1856" s="275">
        <v>4.4879999999999998E-3</v>
      </c>
      <c r="S1856" s="270">
        <v>1306</v>
      </c>
      <c r="T1856" s="270">
        <v>5143</v>
      </c>
      <c r="U1856" s="57">
        <v>1</v>
      </c>
      <c r="V1856" s="276">
        <v>0.17</v>
      </c>
      <c r="W1856" s="276">
        <v>0</v>
      </c>
      <c r="X1856" s="270">
        <v>4269</v>
      </c>
      <c r="Y1856" s="270">
        <v>874</v>
      </c>
      <c r="Z1856" s="45" t="b">
        <v>1</v>
      </c>
      <c r="AA1856" s="45" t="s">
        <v>38</v>
      </c>
      <c r="AB1856" s="45" t="s">
        <v>38</v>
      </c>
    </row>
    <row r="1857" spans="1:28" x14ac:dyDescent="0.2">
      <c r="A1857" s="279" t="s">
        <v>225</v>
      </c>
      <c r="B1857" s="279" t="s">
        <v>204</v>
      </c>
      <c r="C1857" s="277">
        <v>44805</v>
      </c>
      <c r="D1857" s="277">
        <v>44834</v>
      </c>
      <c r="E1857" s="279" t="s">
        <v>267</v>
      </c>
      <c r="F1857" s="133" t="s">
        <v>41</v>
      </c>
      <c r="G1857" s="270" t="s">
        <v>35</v>
      </c>
      <c r="H1857" s="272" t="s">
        <v>72</v>
      </c>
      <c r="I1857" s="273">
        <v>50</v>
      </c>
      <c r="J1857" s="270">
        <v>20</v>
      </c>
      <c r="K1857" s="270">
        <f t="shared" si="0"/>
        <v>1000</v>
      </c>
      <c r="L1857" s="270">
        <v>1017</v>
      </c>
      <c r="M1857" s="270">
        <v>50</v>
      </c>
      <c r="N1857" s="274">
        <v>43</v>
      </c>
      <c r="O1857" s="55"/>
      <c r="P1857" s="45">
        <v>43</v>
      </c>
      <c r="Q1857" s="270">
        <v>30</v>
      </c>
      <c r="R1857" s="275">
        <v>0</v>
      </c>
      <c r="S1857" s="270">
        <v>30</v>
      </c>
      <c r="T1857" s="270">
        <v>93</v>
      </c>
      <c r="U1857" s="57">
        <v>1</v>
      </c>
      <c r="V1857" s="276">
        <v>0.17</v>
      </c>
      <c r="W1857" s="276">
        <v>0</v>
      </c>
      <c r="X1857" s="270">
        <v>77</v>
      </c>
      <c r="Y1857" s="270">
        <v>16</v>
      </c>
      <c r="Z1857" s="45" t="b">
        <v>1</v>
      </c>
      <c r="AA1857" s="45" t="s">
        <v>38</v>
      </c>
      <c r="AB1857" s="45" t="s">
        <v>38</v>
      </c>
    </row>
    <row r="1858" spans="1:28" x14ac:dyDescent="0.2">
      <c r="A1858" s="279" t="s">
        <v>133</v>
      </c>
      <c r="B1858" s="279" t="s">
        <v>133</v>
      </c>
      <c r="C1858" s="282">
        <v>44805</v>
      </c>
      <c r="D1858" s="282">
        <v>44834</v>
      </c>
      <c r="E1858" s="279" t="s">
        <v>267</v>
      </c>
      <c r="F1858" s="133" t="s">
        <v>41</v>
      </c>
      <c r="G1858" s="279" t="s">
        <v>61</v>
      </c>
      <c r="H1858" s="289" t="s">
        <v>182</v>
      </c>
      <c r="I1858" s="280">
        <v>2</v>
      </c>
      <c r="J1858" s="279">
        <v>719</v>
      </c>
      <c r="K1858" s="270">
        <f t="shared" si="0"/>
        <v>1438</v>
      </c>
      <c r="L1858" s="279">
        <v>76161</v>
      </c>
      <c r="M1858" s="279">
        <v>114</v>
      </c>
      <c r="N1858" s="281">
        <v>209.7</v>
      </c>
      <c r="O1858" s="55"/>
      <c r="P1858" s="45">
        <v>210</v>
      </c>
      <c r="Q1858" s="279">
        <v>146</v>
      </c>
      <c r="R1858" s="275">
        <v>0</v>
      </c>
      <c r="S1858" s="279">
        <v>146</v>
      </c>
      <c r="T1858" s="279">
        <v>324</v>
      </c>
      <c r="U1858" s="57">
        <v>1</v>
      </c>
      <c r="V1858" s="276">
        <v>0.17</v>
      </c>
      <c r="W1858" s="276">
        <v>0</v>
      </c>
      <c r="X1858" s="279">
        <v>269</v>
      </c>
      <c r="Y1858" s="279">
        <v>55</v>
      </c>
      <c r="Z1858" s="45" t="b">
        <v>1</v>
      </c>
      <c r="AA1858" s="45" t="s">
        <v>50</v>
      </c>
      <c r="AB1858" s="45" t="s">
        <v>50</v>
      </c>
    </row>
    <row r="1859" spans="1:28" x14ac:dyDescent="0.2">
      <c r="A1859" s="279" t="s">
        <v>133</v>
      </c>
      <c r="B1859" s="279" t="s">
        <v>133</v>
      </c>
      <c r="C1859" s="282">
        <v>44805</v>
      </c>
      <c r="D1859" s="282">
        <v>44834</v>
      </c>
      <c r="E1859" s="279" t="s">
        <v>267</v>
      </c>
      <c r="F1859" s="133" t="s">
        <v>41</v>
      </c>
      <c r="G1859" s="279" t="s">
        <v>61</v>
      </c>
      <c r="H1859" s="289" t="s">
        <v>132</v>
      </c>
      <c r="I1859" s="280">
        <v>5</v>
      </c>
      <c r="J1859" s="279">
        <v>1351</v>
      </c>
      <c r="K1859" s="270">
        <f t="shared" si="0"/>
        <v>6755</v>
      </c>
      <c r="L1859" s="279">
        <v>98474</v>
      </c>
      <c r="M1859" s="279">
        <v>5</v>
      </c>
      <c r="N1859" s="281">
        <v>11.3</v>
      </c>
      <c r="O1859" s="55"/>
      <c r="P1859" s="45">
        <v>11</v>
      </c>
      <c r="Q1859" s="279">
        <v>282</v>
      </c>
      <c r="R1859" s="275">
        <v>0</v>
      </c>
      <c r="S1859" s="279">
        <v>282</v>
      </c>
      <c r="T1859" s="279">
        <v>16</v>
      </c>
      <c r="U1859" s="57">
        <v>1</v>
      </c>
      <c r="V1859" s="276">
        <v>0.17</v>
      </c>
      <c r="W1859" s="276">
        <v>0</v>
      </c>
      <c r="X1859" s="279">
        <v>14</v>
      </c>
      <c r="Y1859" s="279">
        <v>3</v>
      </c>
      <c r="Z1859" s="45" t="b">
        <v>1</v>
      </c>
      <c r="AA1859" s="45" t="s">
        <v>50</v>
      </c>
      <c r="AB1859" s="45" t="s">
        <v>50</v>
      </c>
    </row>
    <row r="1860" spans="1:28" x14ac:dyDescent="0.2">
      <c r="A1860" s="96" t="s">
        <v>286</v>
      </c>
      <c r="B1860" s="96" t="s">
        <v>286</v>
      </c>
      <c r="C1860" s="277">
        <v>44825</v>
      </c>
      <c r="D1860" s="277">
        <v>44854</v>
      </c>
      <c r="E1860" s="270" t="s">
        <v>267</v>
      </c>
      <c r="F1860" s="133" t="s">
        <v>34</v>
      </c>
      <c r="G1860" s="96" t="s">
        <v>35</v>
      </c>
      <c r="H1860" s="272" t="s">
        <v>40</v>
      </c>
      <c r="I1860" s="273">
        <v>10</v>
      </c>
      <c r="J1860" s="270">
        <v>578</v>
      </c>
      <c r="K1860" s="270">
        <f t="shared" si="0"/>
        <v>5780</v>
      </c>
      <c r="L1860" s="270">
        <v>34195</v>
      </c>
      <c r="M1860" s="270">
        <v>310</v>
      </c>
      <c r="N1860" s="274">
        <v>177</v>
      </c>
      <c r="O1860" s="55"/>
      <c r="P1860" s="45">
        <v>177</v>
      </c>
      <c r="Q1860" s="270">
        <v>200</v>
      </c>
      <c r="R1860" s="275">
        <v>1.2E-4</v>
      </c>
      <c r="S1860" s="270">
        <v>200</v>
      </c>
      <c r="T1860" s="270">
        <v>377</v>
      </c>
      <c r="U1860" s="57">
        <v>1</v>
      </c>
      <c r="V1860" s="276">
        <v>0.15</v>
      </c>
      <c r="W1860" s="276">
        <v>0</v>
      </c>
      <c r="X1860" s="270">
        <v>321</v>
      </c>
      <c r="Y1860" s="270">
        <v>57</v>
      </c>
      <c r="Z1860" s="45" t="b">
        <v>1</v>
      </c>
      <c r="AA1860" s="45" t="s">
        <v>38</v>
      </c>
      <c r="AB1860" s="45" t="s">
        <v>38</v>
      </c>
    </row>
    <row r="1861" spans="1:28" x14ac:dyDescent="0.2">
      <c r="A1861" s="96" t="s">
        <v>286</v>
      </c>
      <c r="B1861" s="96" t="s">
        <v>286</v>
      </c>
      <c r="C1861" s="277">
        <v>44825</v>
      </c>
      <c r="D1861" s="277">
        <v>44854</v>
      </c>
      <c r="E1861" s="270" t="s">
        <v>267</v>
      </c>
      <c r="F1861" s="133" t="s">
        <v>34</v>
      </c>
      <c r="G1861" s="96" t="s">
        <v>35</v>
      </c>
      <c r="H1861" s="272" t="s">
        <v>115</v>
      </c>
      <c r="I1861" s="273">
        <v>10</v>
      </c>
      <c r="J1861" s="270">
        <v>486</v>
      </c>
      <c r="K1861" s="270">
        <f t="shared" si="0"/>
        <v>4860</v>
      </c>
      <c r="L1861" s="270">
        <v>13419</v>
      </c>
      <c r="M1861" s="270">
        <v>-90</v>
      </c>
      <c r="N1861" s="274">
        <v>149</v>
      </c>
      <c r="O1861" s="55"/>
      <c r="P1861" s="45">
        <v>149</v>
      </c>
      <c r="Q1861" s="270">
        <v>51</v>
      </c>
      <c r="R1861" s="275">
        <v>1.2E-4</v>
      </c>
      <c r="S1861" s="270">
        <v>51</v>
      </c>
      <c r="T1861" s="270">
        <v>200</v>
      </c>
      <c r="U1861" s="57">
        <v>1</v>
      </c>
      <c r="V1861" s="276">
        <v>0.15</v>
      </c>
      <c r="W1861" s="276">
        <v>0</v>
      </c>
      <c r="X1861" s="270">
        <v>170</v>
      </c>
      <c r="Y1861" s="270">
        <v>30</v>
      </c>
      <c r="Z1861" s="45" t="b">
        <v>1</v>
      </c>
      <c r="AA1861" s="45" t="s">
        <v>38</v>
      </c>
      <c r="AB1861" s="45" t="s">
        <v>38</v>
      </c>
    </row>
    <row r="1862" spans="1:28" x14ac:dyDescent="0.2">
      <c r="A1862" s="96" t="s">
        <v>286</v>
      </c>
      <c r="B1862" s="96" t="s">
        <v>286</v>
      </c>
      <c r="C1862" s="277">
        <v>44825</v>
      </c>
      <c r="D1862" s="277">
        <v>44854</v>
      </c>
      <c r="E1862" s="270" t="s">
        <v>267</v>
      </c>
      <c r="F1862" s="133" t="s">
        <v>34</v>
      </c>
      <c r="G1862" s="96" t="s">
        <v>35</v>
      </c>
      <c r="H1862" s="272" t="s">
        <v>46</v>
      </c>
      <c r="I1862" s="273">
        <v>25</v>
      </c>
      <c r="J1862" s="270">
        <v>586</v>
      </c>
      <c r="K1862" s="270">
        <f t="shared" si="0"/>
        <v>14650</v>
      </c>
      <c r="L1862" s="270">
        <v>34560</v>
      </c>
      <c r="M1862" s="270">
        <v>225</v>
      </c>
      <c r="N1862" s="274">
        <v>384</v>
      </c>
      <c r="O1862" s="55"/>
      <c r="P1862" s="45">
        <v>384</v>
      </c>
      <c r="Q1862" s="270">
        <v>201</v>
      </c>
      <c r="R1862" s="275">
        <v>1.2E-4</v>
      </c>
      <c r="S1862" s="270">
        <v>202</v>
      </c>
      <c r="T1862" s="270">
        <v>586</v>
      </c>
      <c r="U1862" s="57">
        <v>1</v>
      </c>
      <c r="V1862" s="276">
        <v>0.15</v>
      </c>
      <c r="W1862" s="276">
        <v>0</v>
      </c>
      <c r="X1862" s="270">
        <v>498</v>
      </c>
      <c r="Y1862" s="270">
        <v>88</v>
      </c>
      <c r="Z1862" s="45" t="b">
        <v>0</v>
      </c>
      <c r="AA1862" s="45" t="s">
        <v>38</v>
      </c>
      <c r="AB1862" s="45" t="s">
        <v>38</v>
      </c>
    </row>
    <row r="1863" spans="1:28" x14ac:dyDescent="0.2">
      <c r="A1863" s="96" t="s">
        <v>286</v>
      </c>
      <c r="B1863" s="96" t="s">
        <v>286</v>
      </c>
      <c r="C1863" s="277">
        <v>44825</v>
      </c>
      <c r="D1863" s="277">
        <v>44854</v>
      </c>
      <c r="E1863" s="270" t="s">
        <v>267</v>
      </c>
      <c r="F1863" s="133" t="s">
        <v>34</v>
      </c>
      <c r="G1863" s="96" t="s">
        <v>35</v>
      </c>
      <c r="H1863" s="272" t="s">
        <v>87</v>
      </c>
      <c r="I1863" s="273">
        <v>25</v>
      </c>
      <c r="J1863" s="270">
        <v>169</v>
      </c>
      <c r="K1863" s="270">
        <f t="shared" si="0"/>
        <v>4225</v>
      </c>
      <c r="L1863" s="270">
        <v>2794</v>
      </c>
      <c r="M1863" s="270">
        <v>25</v>
      </c>
      <c r="N1863" s="274">
        <v>110</v>
      </c>
      <c r="O1863" s="55"/>
      <c r="P1863" s="45">
        <v>110</v>
      </c>
      <c r="Q1863" s="270">
        <v>-55</v>
      </c>
      <c r="R1863" s="275">
        <v>1.2E-4</v>
      </c>
      <c r="S1863" s="270">
        <v>-54</v>
      </c>
      <c r="T1863" s="270">
        <v>56</v>
      </c>
      <c r="U1863" s="57">
        <v>1</v>
      </c>
      <c r="V1863" s="276">
        <v>0.15</v>
      </c>
      <c r="W1863" s="276">
        <v>0</v>
      </c>
      <c r="X1863" s="270">
        <v>48</v>
      </c>
      <c r="Y1863" s="270">
        <v>8</v>
      </c>
      <c r="Z1863" s="45" t="b">
        <v>1</v>
      </c>
      <c r="AA1863" s="45" t="s">
        <v>38</v>
      </c>
      <c r="AB1863" s="45" t="s">
        <v>38</v>
      </c>
    </row>
    <row r="1864" spans="1:28" x14ac:dyDescent="0.2">
      <c r="A1864" s="96" t="s">
        <v>82</v>
      </c>
      <c r="B1864" s="96" t="s">
        <v>82</v>
      </c>
      <c r="C1864" s="277">
        <v>44825</v>
      </c>
      <c r="D1864" s="277">
        <v>44854</v>
      </c>
      <c r="E1864" s="270" t="s">
        <v>300</v>
      </c>
      <c r="F1864" s="133" t="s">
        <v>34</v>
      </c>
      <c r="G1864" s="96" t="s">
        <v>35</v>
      </c>
      <c r="H1864" s="272" t="s">
        <v>70</v>
      </c>
      <c r="I1864" s="273">
        <v>100</v>
      </c>
      <c r="J1864" s="270">
        <v>2800</v>
      </c>
      <c r="K1864" s="270">
        <f t="shared" si="0"/>
        <v>280000</v>
      </c>
      <c r="L1864" s="270">
        <v>42419</v>
      </c>
      <c r="M1864" s="270">
        <v>-3800</v>
      </c>
      <c r="N1864" s="274">
        <v>10900</v>
      </c>
      <c r="O1864" s="55"/>
      <c r="P1864" s="105">
        <v>10900</v>
      </c>
      <c r="Q1864" s="270">
        <v>-7169</v>
      </c>
      <c r="R1864" s="275">
        <v>1.2E-4</v>
      </c>
      <c r="S1864" s="270">
        <v>-7136</v>
      </c>
      <c r="T1864" s="270">
        <v>3764</v>
      </c>
      <c r="U1864" s="57">
        <v>1</v>
      </c>
      <c r="V1864" s="276">
        <v>0.15</v>
      </c>
      <c r="W1864" s="276">
        <v>0.05</v>
      </c>
      <c r="X1864" s="270">
        <v>3011</v>
      </c>
      <c r="Y1864" s="270">
        <v>753</v>
      </c>
      <c r="Z1864" s="45" t="b">
        <v>1</v>
      </c>
      <c r="AA1864" s="45" t="s">
        <v>38</v>
      </c>
      <c r="AB1864" s="45" t="s">
        <v>38</v>
      </c>
    </row>
    <row r="1865" spans="1:28" x14ac:dyDescent="0.2">
      <c r="A1865" s="96" t="s">
        <v>154</v>
      </c>
      <c r="B1865" s="96" t="s">
        <v>154</v>
      </c>
      <c r="C1865" s="277">
        <v>44825</v>
      </c>
      <c r="D1865" s="277">
        <v>44854</v>
      </c>
      <c r="E1865" s="279" t="s">
        <v>267</v>
      </c>
      <c r="F1865" s="96" t="s">
        <v>34</v>
      </c>
      <c r="G1865" s="270" t="s">
        <v>35</v>
      </c>
      <c r="H1865" s="272" t="s">
        <v>39</v>
      </c>
      <c r="I1865" s="280">
        <v>5</v>
      </c>
      <c r="J1865" s="279">
        <v>51</v>
      </c>
      <c r="K1865" s="270">
        <f t="shared" si="0"/>
        <v>255</v>
      </c>
      <c r="L1865" s="279">
        <v>11074</v>
      </c>
      <c r="M1865" s="279">
        <v>70</v>
      </c>
      <c r="N1865" s="274">
        <v>4</v>
      </c>
      <c r="O1865" s="55"/>
      <c r="P1865" s="45">
        <v>4</v>
      </c>
      <c r="Q1865" s="279">
        <v>78</v>
      </c>
      <c r="R1865" s="275">
        <v>1.2E-4</v>
      </c>
      <c r="S1865" s="279">
        <v>78</v>
      </c>
      <c r="T1865" s="279">
        <v>82</v>
      </c>
      <c r="U1865" s="57">
        <v>1</v>
      </c>
      <c r="V1865" s="276">
        <v>0.2</v>
      </c>
      <c r="W1865" s="276">
        <v>0</v>
      </c>
      <c r="X1865" s="279">
        <v>65</v>
      </c>
      <c r="Y1865" s="279">
        <v>16</v>
      </c>
      <c r="Z1865" s="45" t="b">
        <v>1</v>
      </c>
      <c r="AA1865" s="45" t="s">
        <v>38</v>
      </c>
      <c r="AB1865" s="45" t="s">
        <v>38</v>
      </c>
    </row>
    <row r="1866" spans="1:28" x14ac:dyDescent="0.2">
      <c r="A1866" s="96" t="s">
        <v>154</v>
      </c>
      <c r="B1866" s="96" t="s">
        <v>154</v>
      </c>
      <c r="C1866" s="277">
        <v>44825</v>
      </c>
      <c r="D1866" s="277">
        <v>44854</v>
      </c>
      <c r="E1866" s="279" t="s">
        <v>267</v>
      </c>
      <c r="F1866" s="96" t="s">
        <v>34</v>
      </c>
      <c r="G1866" s="270" t="s">
        <v>35</v>
      </c>
      <c r="H1866" s="272" t="s">
        <v>40</v>
      </c>
      <c r="I1866" s="280">
        <v>10</v>
      </c>
      <c r="J1866" s="279">
        <v>3160</v>
      </c>
      <c r="K1866" s="270">
        <f t="shared" si="0"/>
        <v>31600</v>
      </c>
      <c r="L1866" s="279">
        <v>135078</v>
      </c>
      <c r="M1866" s="279">
        <v>1250</v>
      </c>
      <c r="N1866" s="274">
        <v>382</v>
      </c>
      <c r="O1866" s="55"/>
      <c r="P1866" s="45">
        <v>382</v>
      </c>
      <c r="Q1866" s="279">
        <v>139</v>
      </c>
      <c r="R1866" s="275">
        <v>1.2E-4</v>
      </c>
      <c r="S1866" s="279">
        <v>143</v>
      </c>
      <c r="T1866" s="279">
        <v>525</v>
      </c>
      <c r="U1866" s="57">
        <v>1</v>
      </c>
      <c r="V1866" s="276">
        <v>0.2</v>
      </c>
      <c r="W1866" s="276">
        <v>0</v>
      </c>
      <c r="X1866" s="279">
        <v>420</v>
      </c>
      <c r="Y1866" s="279">
        <v>105</v>
      </c>
      <c r="Z1866" s="45" t="b">
        <v>1</v>
      </c>
      <c r="AA1866" s="45" t="s">
        <v>38</v>
      </c>
      <c r="AB1866" s="45" t="s">
        <v>38</v>
      </c>
    </row>
    <row r="1867" spans="1:28" x14ac:dyDescent="0.2">
      <c r="A1867" s="96" t="s">
        <v>89</v>
      </c>
      <c r="B1867" s="96" t="s">
        <v>89</v>
      </c>
      <c r="C1867" s="277">
        <v>44835</v>
      </c>
      <c r="D1867" s="277">
        <v>44854</v>
      </c>
      <c r="E1867" s="270" t="s">
        <v>267</v>
      </c>
      <c r="F1867" s="133" t="s">
        <v>34</v>
      </c>
      <c r="G1867" s="96" t="s">
        <v>35</v>
      </c>
      <c r="H1867" s="272" t="s">
        <v>72</v>
      </c>
      <c r="I1867" s="273">
        <v>50</v>
      </c>
      <c r="J1867" s="270">
        <v>2718</v>
      </c>
      <c r="K1867" s="270">
        <f t="shared" si="0"/>
        <v>135900</v>
      </c>
      <c r="L1867" s="270">
        <v>37584</v>
      </c>
      <c r="M1867" s="270">
        <v>-3400</v>
      </c>
      <c r="N1867" s="274">
        <v>2949</v>
      </c>
      <c r="O1867" s="55"/>
      <c r="P1867" s="105">
        <v>2949</v>
      </c>
      <c r="Q1867" s="270">
        <v>-5213</v>
      </c>
      <c r="R1867" s="275">
        <v>1.2E-4</v>
      </c>
      <c r="S1867" s="270">
        <v>-5197</v>
      </c>
      <c r="T1867" s="270">
        <v>-2248</v>
      </c>
      <c r="U1867" s="57">
        <v>1</v>
      </c>
      <c r="V1867" s="290"/>
      <c r="W1867" s="276">
        <v>0</v>
      </c>
      <c r="X1867" s="270">
        <v>-2248</v>
      </c>
      <c r="Y1867" s="270">
        <v>0</v>
      </c>
      <c r="Z1867" s="45" t="b">
        <v>0</v>
      </c>
      <c r="AA1867" s="45" t="s">
        <v>38</v>
      </c>
      <c r="AB1867" s="45" t="s">
        <v>38</v>
      </c>
    </row>
    <row r="1868" spans="1:28" x14ac:dyDescent="0.2">
      <c r="A1868" s="96" t="s">
        <v>89</v>
      </c>
      <c r="B1868" s="96" t="s">
        <v>89</v>
      </c>
      <c r="C1868" s="277">
        <v>44835</v>
      </c>
      <c r="D1868" s="277">
        <v>44854</v>
      </c>
      <c r="E1868" s="270" t="s">
        <v>267</v>
      </c>
      <c r="F1868" s="133" t="s">
        <v>34</v>
      </c>
      <c r="G1868" s="96" t="s">
        <v>35</v>
      </c>
      <c r="H1868" s="272" t="s">
        <v>70</v>
      </c>
      <c r="I1868" s="273">
        <v>100</v>
      </c>
      <c r="J1868" s="270">
        <v>145</v>
      </c>
      <c r="K1868" s="270">
        <f t="shared" si="0"/>
        <v>14500</v>
      </c>
      <c r="L1868" s="270">
        <v>-6194</v>
      </c>
      <c r="M1868" s="270">
        <v>-3300</v>
      </c>
      <c r="N1868" s="274">
        <v>262</v>
      </c>
      <c r="O1868" s="55"/>
      <c r="P1868" s="45">
        <v>262</v>
      </c>
      <c r="Q1868" s="270">
        <v>-1944</v>
      </c>
      <c r="R1868" s="275">
        <v>1.2E-4</v>
      </c>
      <c r="S1868" s="270">
        <v>-1942</v>
      </c>
      <c r="T1868" s="270">
        <v>-1680</v>
      </c>
      <c r="U1868" s="57">
        <v>1</v>
      </c>
      <c r="V1868" s="290"/>
      <c r="W1868" s="276">
        <v>0</v>
      </c>
      <c r="X1868" s="270">
        <v>-1680</v>
      </c>
      <c r="Y1868" s="270">
        <v>0</v>
      </c>
      <c r="Z1868" s="45" t="b">
        <v>0</v>
      </c>
      <c r="AA1868" s="45" t="s">
        <v>38</v>
      </c>
      <c r="AB1868" s="45" t="s">
        <v>38</v>
      </c>
    </row>
    <row r="1869" spans="1:28" x14ac:dyDescent="0.2">
      <c r="A1869" s="96" t="s">
        <v>89</v>
      </c>
      <c r="B1869" s="96" t="s">
        <v>89</v>
      </c>
      <c r="C1869" s="277">
        <v>44835</v>
      </c>
      <c r="D1869" s="277">
        <v>44854</v>
      </c>
      <c r="E1869" s="270" t="s">
        <v>267</v>
      </c>
      <c r="F1869" s="133" t="s">
        <v>41</v>
      </c>
      <c r="G1869" s="96" t="s">
        <v>35</v>
      </c>
      <c r="H1869" s="272" t="s">
        <v>46</v>
      </c>
      <c r="I1869" s="273">
        <v>25</v>
      </c>
      <c r="J1869" s="270">
        <v>439</v>
      </c>
      <c r="K1869" s="270">
        <f t="shared" si="0"/>
        <v>10975</v>
      </c>
      <c r="L1869" s="270">
        <f>439*10</f>
        <v>4390</v>
      </c>
      <c r="M1869" s="270">
        <v>-125</v>
      </c>
      <c r="N1869" s="274">
        <v>328</v>
      </c>
      <c r="O1869" s="55"/>
      <c r="P1869" s="45">
        <v>328</v>
      </c>
      <c r="Q1869" s="270">
        <v>-499</v>
      </c>
      <c r="R1869" s="275">
        <v>0</v>
      </c>
      <c r="S1869" s="270">
        <v>-499</v>
      </c>
      <c r="T1869" s="270">
        <v>203</v>
      </c>
      <c r="U1869" s="57">
        <v>1</v>
      </c>
      <c r="V1869" s="290"/>
      <c r="W1869" s="276">
        <v>0</v>
      </c>
      <c r="X1869" s="270">
        <v>203</v>
      </c>
      <c r="Y1869" s="270">
        <v>0</v>
      </c>
      <c r="Z1869" s="45" t="b">
        <v>0</v>
      </c>
      <c r="AA1869" s="45" t="s">
        <v>38</v>
      </c>
      <c r="AB1869" s="45" t="s">
        <v>38</v>
      </c>
    </row>
    <row r="1870" spans="1:28" x14ac:dyDescent="0.2">
      <c r="A1870" s="96" t="s">
        <v>89</v>
      </c>
      <c r="B1870" s="96" t="s">
        <v>89</v>
      </c>
      <c r="C1870" s="277">
        <v>44835</v>
      </c>
      <c r="D1870" s="277">
        <v>44854</v>
      </c>
      <c r="E1870" s="270" t="s">
        <v>267</v>
      </c>
      <c r="F1870" s="133" t="s">
        <v>41</v>
      </c>
      <c r="G1870" s="96" t="s">
        <v>35</v>
      </c>
      <c r="H1870" s="272" t="s">
        <v>85</v>
      </c>
      <c r="I1870" s="273">
        <v>50</v>
      </c>
      <c r="J1870" s="270">
        <v>1</v>
      </c>
      <c r="K1870" s="270">
        <f t="shared" si="0"/>
        <v>50</v>
      </c>
      <c r="L1870" s="270"/>
      <c r="M1870" s="270">
        <v>-50</v>
      </c>
      <c r="N1870" s="274">
        <v>1</v>
      </c>
      <c r="O1870" s="55"/>
      <c r="P1870" s="45">
        <v>1</v>
      </c>
      <c r="Q1870" s="270"/>
      <c r="R1870" s="275">
        <v>0</v>
      </c>
      <c r="S1870" s="270"/>
      <c r="T1870" s="270">
        <v>-49</v>
      </c>
      <c r="U1870" s="57">
        <v>1</v>
      </c>
      <c r="V1870" s="290"/>
      <c r="W1870" s="276">
        <v>0</v>
      </c>
      <c r="X1870" s="270">
        <v>-49</v>
      </c>
      <c r="Y1870" s="270">
        <v>0</v>
      </c>
      <c r="Z1870" s="45" t="b">
        <v>0</v>
      </c>
      <c r="AA1870" s="45" t="s">
        <v>38</v>
      </c>
      <c r="AB1870" s="45" t="s">
        <v>38</v>
      </c>
    </row>
    <row r="1871" spans="1:28" x14ac:dyDescent="0.2">
      <c r="A1871" s="279" t="s">
        <v>355</v>
      </c>
      <c r="B1871" s="279" t="s">
        <v>902</v>
      </c>
      <c r="C1871" s="282">
        <v>44825</v>
      </c>
      <c r="D1871" s="282">
        <v>44854</v>
      </c>
      <c r="E1871" s="270" t="s">
        <v>300</v>
      </c>
      <c r="F1871" s="133" t="s">
        <v>34</v>
      </c>
      <c r="G1871" s="279" t="s">
        <v>61</v>
      </c>
      <c r="H1871" s="289" t="s">
        <v>55</v>
      </c>
      <c r="I1871" s="280">
        <v>10</v>
      </c>
      <c r="J1871" s="279">
        <v>828</v>
      </c>
      <c r="K1871" s="270">
        <f t="shared" si="0"/>
        <v>8280</v>
      </c>
      <c r="L1871" s="279">
        <v>63957</v>
      </c>
      <c r="M1871" s="279">
        <v>223</v>
      </c>
      <c r="N1871" s="281">
        <v>1879.44</v>
      </c>
      <c r="O1871" s="55"/>
      <c r="P1871" s="105">
        <v>1879</v>
      </c>
      <c r="Q1871" s="279">
        <v>416</v>
      </c>
      <c r="R1871" s="275">
        <v>1.2E-4</v>
      </c>
      <c r="S1871" s="279">
        <v>417</v>
      </c>
      <c r="T1871" s="279">
        <v>2296</v>
      </c>
      <c r="U1871" s="57">
        <v>0.99299999999999999</v>
      </c>
      <c r="V1871" s="276">
        <v>0.2</v>
      </c>
      <c r="W1871" s="276">
        <v>0.1</v>
      </c>
      <c r="X1871" s="279">
        <v>1596</v>
      </c>
      <c r="Y1871" s="279">
        <v>684</v>
      </c>
      <c r="Z1871" s="45" t="b">
        <v>1</v>
      </c>
      <c r="AA1871" s="45" t="s">
        <v>38</v>
      </c>
      <c r="AB1871" s="45" t="s">
        <v>50</v>
      </c>
    </row>
    <row r="1872" spans="1:28" x14ac:dyDescent="0.2">
      <c r="A1872" s="279" t="s">
        <v>355</v>
      </c>
      <c r="B1872" s="279" t="s">
        <v>902</v>
      </c>
      <c r="C1872" s="282">
        <v>44825</v>
      </c>
      <c r="D1872" s="282">
        <v>44854</v>
      </c>
      <c r="E1872" s="270" t="s">
        <v>300</v>
      </c>
      <c r="F1872" s="133" t="s">
        <v>34</v>
      </c>
      <c r="G1872" s="279" t="s">
        <v>61</v>
      </c>
      <c r="H1872" s="289" t="s">
        <v>167</v>
      </c>
      <c r="I1872" s="280">
        <v>25</v>
      </c>
      <c r="J1872" s="279">
        <v>2069</v>
      </c>
      <c r="K1872" s="270">
        <f t="shared" si="0"/>
        <v>51725</v>
      </c>
      <c r="L1872" s="279">
        <v>100623</v>
      </c>
      <c r="M1872" s="279">
        <v>879</v>
      </c>
      <c r="N1872" s="281">
        <v>134.71</v>
      </c>
      <c r="O1872" s="55"/>
      <c r="P1872" s="45">
        <v>135</v>
      </c>
      <c r="Q1872" s="279">
        <v>108</v>
      </c>
      <c r="R1872" s="275">
        <v>1.2E-4</v>
      </c>
      <c r="S1872" s="279">
        <v>114</v>
      </c>
      <c r="T1872" s="279">
        <v>249</v>
      </c>
      <c r="U1872" s="57">
        <v>0.99299999999999999</v>
      </c>
      <c r="V1872" s="276">
        <v>0.2</v>
      </c>
      <c r="W1872" s="276">
        <v>0.1</v>
      </c>
      <c r="X1872" s="279">
        <v>173</v>
      </c>
      <c r="Y1872" s="279">
        <v>74</v>
      </c>
      <c r="Z1872" s="45" t="b">
        <v>1</v>
      </c>
      <c r="AA1872" s="45" t="s">
        <v>38</v>
      </c>
      <c r="AB1872" s="45" t="s">
        <v>50</v>
      </c>
    </row>
    <row r="1873" spans="1:28" x14ac:dyDescent="0.2">
      <c r="A1873" s="279" t="s">
        <v>355</v>
      </c>
      <c r="B1873" s="279" t="s">
        <v>902</v>
      </c>
      <c r="C1873" s="282">
        <v>44825</v>
      </c>
      <c r="D1873" s="282">
        <v>44854</v>
      </c>
      <c r="E1873" s="270" t="s">
        <v>300</v>
      </c>
      <c r="F1873" s="133" t="s">
        <v>34</v>
      </c>
      <c r="G1873" s="279" t="s">
        <v>61</v>
      </c>
      <c r="H1873" s="289" t="s">
        <v>57</v>
      </c>
      <c r="I1873" s="280">
        <v>50</v>
      </c>
      <c r="J1873" s="279">
        <v>449</v>
      </c>
      <c r="K1873" s="270">
        <f t="shared" si="0"/>
        <v>22450</v>
      </c>
      <c r="L1873" s="279">
        <v>-1424</v>
      </c>
      <c r="M1873" s="279">
        <v>-391</v>
      </c>
      <c r="N1873" s="281">
        <v>0</v>
      </c>
      <c r="O1873" s="55"/>
      <c r="P1873" s="45">
        <v>0</v>
      </c>
      <c r="Q1873" s="279">
        <v>-2066</v>
      </c>
      <c r="R1873" s="275">
        <v>1.2E-4</v>
      </c>
      <c r="S1873" s="279">
        <v>-2063</v>
      </c>
      <c r="T1873" s="279">
        <v>-2063</v>
      </c>
      <c r="U1873" s="57">
        <v>0.99299999999999999</v>
      </c>
      <c r="V1873" s="276">
        <v>0.2</v>
      </c>
      <c r="W1873" s="276">
        <v>0.1</v>
      </c>
      <c r="X1873" s="279">
        <v>-1434</v>
      </c>
      <c r="Y1873" s="279">
        <v>-615</v>
      </c>
      <c r="Z1873" s="45" t="b">
        <v>1</v>
      </c>
      <c r="AA1873" s="45" t="s">
        <v>38</v>
      </c>
      <c r="AB1873" s="45" t="s">
        <v>50</v>
      </c>
    </row>
    <row r="1874" spans="1:28" x14ac:dyDescent="0.2">
      <c r="A1874" s="279" t="s">
        <v>355</v>
      </c>
      <c r="B1874" s="279" t="s">
        <v>902</v>
      </c>
      <c r="C1874" s="282">
        <v>44825</v>
      </c>
      <c r="D1874" s="282">
        <v>44854</v>
      </c>
      <c r="E1874" s="270" t="s">
        <v>300</v>
      </c>
      <c r="F1874" s="133" t="s">
        <v>41</v>
      </c>
      <c r="G1874" s="279" t="s">
        <v>61</v>
      </c>
      <c r="H1874" s="289" t="s">
        <v>57</v>
      </c>
      <c r="I1874" s="280">
        <v>50</v>
      </c>
      <c r="J1874" s="279">
        <v>54</v>
      </c>
      <c r="K1874" s="270">
        <f t="shared" si="0"/>
        <v>2700</v>
      </c>
      <c r="L1874" s="279">
        <v>5653</v>
      </c>
      <c r="M1874" s="279">
        <v>650</v>
      </c>
      <c r="N1874" s="281">
        <v>5.85</v>
      </c>
      <c r="O1874" s="55"/>
      <c r="P1874" s="45">
        <v>6</v>
      </c>
      <c r="Q1874" s="279">
        <v>276</v>
      </c>
      <c r="R1874" s="275">
        <v>0</v>
      </c>
      <c r="S1874" s="279">
        <v>276</v>
      </c>
      <c r="T1874" s="279">
        <v>656</v>
      </c>
      <c r="U1874" s="57">
        <v>0.99299999999999999</v>
      </c>
      <c r="V1874" s="276">
        <v>0.2</v>
      </c>
      <c r="W1874" s="276">
        <v>0.1</v>
      </c>
      <c r="X1874" s="279">
        <v>456</v>
      </c>
      <c r="Y1874" s="279">
        <v>195</v>
      </c>
      <c r="Z1874" s="45" t="b">
        <v>1</v>
      </c>
      <c r="AA1874" s="45" t="s">
        <v>38</v>
      </c>
      <c r="AB1874" s="45" t="s">
        <v>50</v>
      </c>
    </row>
    <row r="1875" spans="1:28" x14ac:dyDescent="0.2">
      <c r="A1875" s="96" t="s">
        <v>125</v>
      </c>
      <c r="B1875" s="96" t="s">
        <v>125</v>
      </c>
      <c r="C1875" s="277">
        <v>44825</v>
      </c>
      <c r="D1875" s="277">
        <v>44854</v>
      </c>
      <c r="E1875" s="270" t="s">
        <v>267</v>
      </c>
      <c r="F1875" s="96" t="s">
        <v>34</v>
      </c>
      <c r="G1875" s="270" t="s">
        <v>35</v>
      </c>
      <c r="H1875" s="272" t="s">
        <v>39</v>
      </c>
      <c r="I1875" s="273">
        <v>5</v>
      </c>
      <c r="J1875" s="270">
        <v>33</v>
      </c>
      <c r="K1875" s="270">
        <f t="shared" si="0"/>
        <v>165</v>
      </c>
      <c r="L1875" s="270">
        <v>5848</v>
      </c>
      <c r="M1875" s="270">
        <v>0</v>
      </c>
      <c r="N1875" s="274">
        <v>6</v>
      </c>
      <c r="O1875" s="55"/>
      <c r="P1875" s="45">
        <v>6</v>
      </c>
      <c r="Q1875" s="270">
        <v>38</v>
      </c>
      <c r="R1875" s="275">
        <v>1.2E-4</v>
      </c>
      <c r="S1875" s="270">
        <v>38</v>
      </c>
      <c r="T1875" s="270">
        <v>44</v>
      </c>
      <c r="U1875" s="57">
        <v>1</v>
      </c>
      <c r="V1875" s="276">
        <v>0.3</v>
      </c>
      <c r="W1875" s="276">
        <v>0</v>
      </c>
      <c r="X1875" s="270">
        <v>31</v>
      </c>
      <c r="Y1875" s="270">
        <v>13</v>
      </c>
      <c r="Z1875" s="45" t="b">
        <v>1</v>
      </c>
      <c r="AA1875" s="45" t="s">
        <v>38</v>
      </c>
      <c r="AB1875" s="45" t="s">
        <v>38</v>
      </c>
    </row>
    <row r="1876" spans="1:28" x14ac:dyDescent="0.2">
      <c r="A1876" s="96" t="s">
        <v>125</v>
      </c>
      <c r="B1876" s="96" t="s">
        <v>125</v>
      </c>
      <c r="C1876" s="277">
        <v>44825</v>
      </c>
      <c r="D1876" s="277">
        <v>44854</v>
      </c>
      <c r="E1876" s="270" t="s">
        <v>267</v>
      </c>
      <c r="F1876" s="96" t="s">
        <v>34</v>
      </c>
      <c r="G1876" s="270" t="s">
        <v>35</v>
      </c>
      <c r="H1876" s="272" t="s">
        <v>40</v>
      </c>
      <c r="I1876" s="273">
        <v>10</v>
      </c>
      <c r="J1876" s="270">
        <v>682</v>
      </c>
      <c r="K1876" s="270">
        <f t="shared" si="0"/>
        <v>6820</v>
      </c>
      <c r="L1876" s="270">
        <v>37555</v>
      </c>
      <c r="M1876" s="270">
        <v>40</v>
      </c>
      <c r="N1876" s="274">
        <v>225</v>
      </c>
      <c r="O1876" s="55"/>
      <c r="P1876" s="45">
        <v>225</v>
      </c>
      <c r="Q1876" s="270">
        <v>184</v>
      </c>
      <c r="R1876" s="275">
        <v>1.2E-4</v>
      </c>
      <c r="S1876" s="270">
        <v>185</v>
      </c>
      <c r="T1876" s="270">
        <v>410</v>
      </c>
      <c r="U1876" s="57">
        <v>1</v>
      </c>
      <c r="V1876" s="276">
        <v>0.3</v>
      </c>
      <c r="W1876" s="276">
        <v>0</v>
      </c>
      <c r="X1876" s="270">
        <v>287</v>
      </c>
      <c r="Y1876" s="270">
        <v>123</v>
      </c>
      <c r="Z1876" s="45" t="b">
        <v>1</v>
      </c>
      <c r="AA1876" s="45" t="s">
        <v>38</v>
      </c>
      <c r="AB1876" s="45" t="s">
        <v>38</v>
      </c>
    </row>
    <row r="1877" spans="1:28" x14ac:dyDescent="0.2">
      <c r="A1877" s="96" t="s">
        <v>125</v>
      </c>
      <c r="B1877" s="96" t="s">
        <v>125</v>
      </c>
      <c r="C1877" s="277">
        <v>44825</v>
      </c>
      <c r="D1877" s="277">
        <v>44854</v>
      </c>
      <c r="E1877" s="270" t="s">
        <v>267</v>
      </c>
      <c r="F1877" s="96" t="s">
        <v>34</v>
      </c>
      <c r="G1877" s="270" t="s">
        <v>35</v>
      </c>
      <c r="H1877" s="272" t="s">
        <v>115</v>
      </c>
      <c r="I1877" s="273">
        <v>10</v>
      </c>
      <c r="J1877" s="270">
        <v>64</v>
      </c>
      <c r="K1877" s="270">
        <f t="shared" si="0"/>
        <v>640</v>
      </c>
      <c r="L1877" s="270">
        <v>-834</v>
      </c>
      <c r="M1877" s="270">
        <v>-70</v>
      </c>
      <c r="N1877" s="274">
        <v>21</v>
      </c>
      <c r="O1877" s="55"/>
      <c r="P1877" s="45">
        <v>21</v>
      </c>
      <c r="Q1877" s="270">
        <v>-73</v>
      </c>
      <c r="R1877" s="275">
        <v>1.2E-4</v>
      </c>
      <c r="S1877" s="270">
        <v>-73</v>
      </c>
      <c r="T1877" s="270">
        <v>-52</v>
      </c>
      <c r="U1877" s="57">
        <v>1</v>
      </c>
      <c r="V1877" s="276">
        <v>0.3</v>
      </c>
      <c r="W1877" s="276">
        <v>0</v>
      </c>
      <c r="X1877" s="270">
        <v>-36</v>
      </c>
      <c r="Y1877" s="270">
        <v>-16</v>
      </c>
      <c r="Z1877" s="45" t="b">
        <v>1</v>
      </c>
      <c r="AA1877" s="45" t="s">
        <v>38</v>
      </c>
      <c r="AB1877" s="45" t="s">
        <v>38</v>
      </c>
    </row>
    <row r="1878" spans="1:28" x14ac:dyDescent="0.2">
      <c r="A1878" s="96" t="s">
        <v>402</v>
      </c>
      <c r="B1878" s="96" t="s">
        <v>163</v>
      </c>
      <c r="C1878" s="277">
        <v>44825</v>
      </c>
      <c r="D1878" s="277">
        <v>44854</v>
      </c>
      <c r="E1878" s="270" t="s">
        <v>267</v>
      </c>
      <c r="F1878" s="133" t="s">
        <v>34</v>
      </c>
      <c r="G1878" s="270" t="s">
        <v>35</v>
      </c>
      <c r="H1878" s="272" t="s">
        <v>40</v>
      </c>
      <c r="I1878" s="273">
        <v>10</v>
      </c>
      <c r="J1878" s="270">
        <v>4567</v>
      </c>
      <c r="K1878" s="270">
        <f t="shared" si="0"/>
        <v>45670</v>
      </c>
      <c r="L1878" s="270">
        <v>182401</v>
      </c>
      <c r="M1878" s="270">
        <v>-600</v>
      </c>
      <c r="N1878" s="274">
        <v>1686</v>
      </c>
      <c r="O1878" s="55"/>
      <c r="P1878" s="105">
        <v>1686</v>
      </c>
      <c r="Q1878" s="270">
        <v>-220</v>
      </c>
      <c r="R1878" s="275">
        <v>1.2E-4</v>
      </c>
      <c r="S1878" s="270">
        <v>-215</v>
      </c>
      <c r="T1878" s="270">
        <v>1471</v>
      </c>
      <c r="U1878" s="57">
        <v>1</v>
      </c>
      <c r="V1878" s="276">
        <v>0.25</v>
      </c>
      <c r="W1878" s="276">
        <v>0</v>
      </c>
      <c r="X1878" s="270">
        <v>1103</v>
      </c>
      <c r="Y1878" s="270">
        <v>368</v>
      </c>
      <c r="Z1878" s="45" t="b">
        <v>1</v>
      </c>
      <c r="AA1878" s="45" t="s">
        <v>38</v>
      </c>
      <c r="AB1878" s="45" t="s">
        <v>38</v>
      </c>
    </row>
    <row r="1879" spans="1:28" x14ac:dyDescent="0.2">
      <c r="A1879" s="96" t="s">
        <v>402</v>
      </c>
      <c r="B1879" s="96" t="s">
        <v>163</v>
      </c>
      <c r="C1879" s="277">
        <v>44825</v>
      </c>
      <c r="D1879" s="277">
        <v>44854</v>
      </c>
      <c r="E1879" s="270" t="s">
        <v>267</v>
      </c>
      <c r="F1879" s="133" t="s">
        <v>34</v>
      </c>
      <c r="G1879" s="270" t="s">
        <v>35</v>
      </c>
      <c r="H1879" s="272" t="s">
        <v>46</v>
      </c>
      <c r="I1879" s="273">
        <v>25</v>
      </c>
      <c r="J1879" s="270">
        <v>233</v>
      </c>
      <c r="K1879" s="270">
        <f t="shared" si="0"/>
        <v>5825</v>
      </c>
      <c r="L1879" s="270">
        <v>8003</v>
      </c>
      <c r="M1879" s="270">
        <v>475</v>
      </c>
      <c r="N1879" s="274">
        <v>184</v>
      </c>
      <c r="O1879" s="55"/>
      <c r="P1879" s="45">
        <v>184</v>
      </c>
      <c r="Q1879" s="270">
        <v>-23</v>
      </c>
      <c r="R1879" s="275">
        <v>1.2E-4</v>
      </c>
      <c r="S1879" s="270">
        <v>-23</v>
      </c>
      <c r="T1879" s="270">
        <v>161</v>
      </c>
      <c r="U1879" s="57">
        <v>1</v>
      </c>
      <c r="V1879" s="276">
        <v>0.25</v>
      </c>
      <c r="W1879" s="276">
        <v>0</v>
      </c>
      <c r="X1879" s="270">
        <v>121</v>
      </c>
      <c r="Y1879" s="270">
        <v>40</v>
      </c>
      <c r="Z1879" s="45" t="b">
        <v>1</v>
      </c>
      <c r="AA1879" s="45" t="s">
        <v>38</v>
      </c>
      <c r="AB1879" s="45" t="s">
        <v>38</v>
      </c>
    </row>
    <row r="1880" spans="1:28" x14ac:dyDescent="0.2">
      <c r="A1880" s="279" t="s">
        <v>169</v>
      </c>
      <c r="B1880" s="279" t="s">
        <v>164</v>
      </c>
      <c r="C1880" s="282">
        <v>44833</v>
      </c>
      <c r="D1880" s="277">
        <v>44854</v>
      </c>
      <c r="E1880" s="279" t="s">
        <v>267</v>
      </c>
      <c r="F1880" s="133" t="s">
        <v>34</v>
      </c>
      <c r="G1880" s="270" t="s">
        <v>165</v>
      </c>
      <c r="H1880" s="289" t="s">
        <v>166</v>
      </c>
      <c r="I1880" s="280">
        <v>10</v>
      </c>
      <c r="J1880" s="279">
        <v>352</v>
      </c>
      <c r="K1880" s="270">
        <f t="shared" si="0"/>
        <v>3520</v>
      </c>
      <c r="L1880" s="279">
        <v>7000</v>
      </c>
      <c r="M1880" s="279">
        <v>-110</v>
      </c>
      <c r="N1880" s="274">
        <v>0</v>
      </c>
      <c r="O1880" s="55"/>
      <c r="P1880" s="45">
        <v>0</v>
      </c>
      <c r="Q1880" s="279">
        <v>-132</v>
      </c>
      <c r="R1880" s="275">
        <v>1.2E-4</v>
      </c>
      <c r="S1880" s="279">
        <v>-132</v>
      </c>
      <c r="T1880" s="279">
        <v>-132</v>
      </c>
      <c r="U1880" s="57">
        <v>1</v>
      </c>
      <c r="V1880" s="276">
        <v>0.3</v>
      </c>
      <c r="W1880" s="276">
        <v>0</v>
      </c>
      <c r="X1880" s="279">
        <v>-92</v>
      </c>
      <c r="Y1880" s="279">
        <v>-39</v>
      </c>
      <c r="Z1880" s="45" t="b">
        <v>1</v>
      </c>
      <c r="AA1880" s="45" t="s">
        <v>50</v>
      </c>
      <c r="AB1880" s="45" t="s">
        <v>50</v>
      </c>
    </row>
    <row r="1881" spans="1:28" x14ac:dyDescent="0.2">
      <c r="A1881" s="279" t="s">
        <v>169</v>
      </c>
      <c r="B1881" s="279" t="s">
        <v>164</v>
      </c>
      <c r="C1881" s="282">
        <v>44833</v>
      </c>
      <c r="D1881" s="277">
        <v>44854</v>
      </c>
      <c r="E1881" s="279" t="s">
        <v>267</v>
      </c>
      <c r="F1881" s="133" t="s">
        <v>34</v>
      </c>
      <c r="G1881" s="270" t="s">
        <v>165</v>
      </c>
      <c r="H1881" s="289" t="s">
        <v>167</v>
      </c>
      <c r="I1881" s="280">
        <v>25</v>
      </c>
      <c r="J1881" s="279">
        <v>2798</v>
      </c>
      <c r="K1881" s="270">
        <f t="shared" si="0"/>
        <v>69950</v>
      </c>
      <c r="L1881" s="279">
        <v>119500</v>
      </c>
      <c r="M1881" s="279">
        <v>-400</v>
      </c>
      <c r="N1881" s="274">
        <v>0</v>
      </c>
      <c r="O1881" s="55"/>
      <c r="P1881" s="45">
        <v>0</v>
      </c>
      <c r="Q1881" s="279">
        <v>304</v>
      </c>
      <c r="R1881" s="275">
        <v>1.2E-4</v>
      </c>
      <c r="S1881" s="279">
        <v>312</v>
      </c>
      <c r="T1881" s="279">
        <v>312</v>
      </c>
      <c r="U1881" s="57">
        <v>1</v>
      </c>
      <c r="V1881" s="276">
        <v>0.3</v>
      </c>
      <c r="W1881" s="276">
        <v>0</v>
      </c>
      <c r="X1881" s="279">
        <v>218</v>
      </c>
      <c r="Y1881" s="279">
        <v>94</v>
      </c>
      <c r="Z1881" s="45" t="b">
        <v>1</v>
      </c>
      <c r="AA1881" s="45" t="s">
        <v>50</v>
      </c>
      <c r="AB1881" s="45" t="s">
        <v>50</v>
      </c>
    </row>
    <row r="1882" spans="1:28" x14ac:dyDescent="0.2">
      <c r="A1882" s="279" t="s">
        <v>169</v>
      </c>
      <c r="B1882" s="279" t="s">
        <v>164</v>
      </c>
      <c r="C1882" s="282">
        <v>44833</v>
      </c>
      <c r="D1882" s="277">
        <v>44854</v>
      </c>
      <c r="E1882" s="279" t="s">
        <v>267</v>
      </c>
      <c r="F1882" s="133" t="s">
        <v>41</v>
      </c>
      <c r="G1882" s="270" t="s">
        <v>165</v>
      </c>
      <c r="H1882" s="289" t="s">
        <v>168</v>
      </c>
      <c r="I1882" s="273">
        <v>0.25</v>
      </c>
      <c r="J1882" s="270">
        <v>7</v>
      </c>
      <c r="K1882" s="270">
        <f t="shared" si="0"/>
        <v>1.75</v>
      </c>
      <c r="L1882" s="270"/>
      <c r="M1882" s="270">
        <v>-0.25</v>
      </c>
      <c r="N1882" s="274">
        <v>0</v>
      </c>
      <c r="O1882" s="55"/>
      <c r="P1882" s="45">
        <v>0</v>
      </c>
      <c r="Q1882" s="270"/>
      <c r="R1882" s="275">
        <v>0</v>
      </c>
      <c r="S1882" s="270"/>
      <c r="T1882" s="270">
        <v>0</v>
      </c>
      <c r="U1882" s="57">
        <v>1</v>
      </c>
      <c r="V1882" s="276">
        <v>0.3</v>
      </c>
      <c r="W1882" s="276">
        <v>0</v>
      </c>
      <c r="X1882" s="270">
        <v>0</v>
      </c>
      <c r="Y1882" s="270">
        <v>0</v>
      </c>
      <c r="Z1882" s="45" t="b">
        <v>1</v>
      </c>
      <c r="AA1882" s="45" t="s">
        <v>50</v>
      </c>
      <c r="AB1882" s="45" t="s">
        <v>50</v>
      </c>
    </row>
    <row r="1883" spans="1:28" x14ac:dyDescent="0.2">
      <c r="A1883" s="279" t="s">
        <v>170</v>
      </c>
      <c r="B1883" s="279" t="s">
        <v>170</v>
      </c>
      <c r="C1883" s="282">
        <v>44825</v>
      </c>
      <c r="D1883" s="277">
        <v>44854</v>
      </c>
      <c r="E1883" s="279" t="s">
        <v>267</v>
      </c>
      <c r="F1883" s="133" t="s">
        <v>34</v>
      </c>
      <c r="G1883" s="270" t="s">
        <v>35</v>
      </c>
      <c r="H1883" s="289" t="s">
        <v>40</v>
      </c>
      <c r="I1883" s="280">
        <v>10</v>
      </c>
      <c r="J1883" s="279">
        <v>23</v>
      </c>
      <c r="K1883" s="270">
        <f t="shared" si="0"/>
        <v>230</v>
      </c>
      <c r="L1883" s="279">
        <v>863</v>
      </c>
      <c r="M1883" s="279">
        <v>-40</v>
      </c>
      <c r="N1883" s="274">
        <v>6</v>
      </c>
      <c r="O1883" s="55"/>
      <c r="P1883" s="45">
        <v>6</v>
      </c>
      <c r="Q1883" s="279">
        <v>-11</v>
      </c>
      <c r="R1883" s="275">
        <v>1.2E-4</v>
      </c>
      <c r="S1883" s="279">
        <v>-11</v>
      </c>
      <c r="T1883" s="279">
        <v>-5</v>
      </c>
      <c r="U1883" s="57">
        <v>1</v>
      </c>
      <c r="V1883" s="276">
        <v>0.17</v>
      </c>
      <c r="W1883" s="276">
        <v>0</v>
      </c>
      <c r="X1883" s="279">
        <v>-4</v>
      </c>
      <c r="Y1883" s="279">
        <v>-1</v>
      </c>
      <c r="Z1883" s="45" t="b">
        <v>1</v>
      </c>
      <c r="AA1883" s="45" t="s">
        <v>38</v>
      </c>
      <c r="AB1883" s="45" t="s">
        <v>38</v>
      </c>
    </row>
    <row r="1884" spans="1:28" x14ac:dyDescent="0.2">
      <c r="A1884" s="279" t="s">
        <v>170</v>
      </c>
      <c r="B1884" s="279" t="s">
        <v>170</v>
      </c>
      <c r="C1884" s="282">
        <v>44825</v>
      </c>
      <c r="D1884" s="277">
        <v>44854</v>
      </c>
      <c r="E1884" s="279" t="s">
        <v>267</v>
      </c>
      <c r="F1884" s="133" t="s">
        <v>34</v>
      </c>
      <c r="G1884" s="270" t="s">
        <v>35</v>
      </c>
      <c r="H1884" s="289" t="s">
        <v>46</v>
      </c>
      <c r="I1884" s="280">
        <v>25</v>
      </c>
      <c r="J1884" s="279">
        <v>1502</v>
      </c>
      <c r="K1884" s="270">
        <f t="shared" si="0"/>
        <v>37550</v>
      </c>
      <c r="L1884" s="279">
        <v>70542</v>
      </c>
      <c r="M1884" s="279">
        <v>2250</v>
      </c>
      <c r="N1884" s="274">
        <v>893</v>
      </c>
      <c r="O1884" s="55"/>
      <c r="P1884" s="45">
        <v>893</v>
      </c>
      <c r="Q1884" s="279">
        <v>857</v>
      </c>
      <c r="R1884" s="275">
        <v>1.2E-4</v>
      </c>
      <c r="S1884" s="279">
        <v>861</v>
      </c>
      <c r="T1884" s="279">
        <v>1754</v>
      </c>
      <c r="U1884" s="57">
        <v>1</v>
      </c>
      <c r="V1884" s="276">
        <v>0.17</v>
      </c>
      <c r="W1884" s="276">
        <v>0</v>
      </c>
      <c r="X1884" s="279">
        <v>1456</v>
      </c>
      <c r="Y1884" s="279">
        <v>298</v>
      </c>
      <c r="Z1884" s="45" t="b">
        <v>1</v>
      </c>
      <c r="AA1884" s="45" t="s">
        <v>38</v>
      </c>
      <c r="AB1884" s="45" t="s">
        <v>38</v>
      </c>
    </row>
    <row r="1885" spans="1:28" x14ac:dyDescent="0.2">
      <c r="A1885" s="279" t="s">
        <v>170</v>
      </c>
      <c r="B1885" s="279" t="s">
        <v>171</v>
      </c>
      <c r="C1885" s="282">
        <v>44825</v>
      </c>
      <c r="D1885" s="277">
        <v>44854</v>
      </c>
      <c r="E1885" s="279" t="s">
        <v>267</v>
      </c>
      <c r="F1885" s="133" t="s">
        <v>34</v>
      </c>
      <c r="G1885" s="270" t="s">
        <v>165</v>
      </c>
      <c r="H1885" s="289" t="s">
        <v>166</v>
      </c>
      <c r="I1885" s="280">
        <v>10</v>
      </c>
      <c r="J1885" s="279">
        <v>574</v>
      </c>
      <c r="K1885" s="270">
        <f t="shared" si="0"/>
        <v>5740</v>
      </c>
      <c r="L1885" s="279">
        <v>37687</v>
      </c>
      <c r="M1885" s="279">
        <v>350</v>
      </c>
      <c r="N1885" s="274"/>
      <c r="O1885" s="55"/>
      <c r="P1885" s="96"/>
      <c r="Q1885" s="279">
        <v>257</v>
      </c>
      <c r="R1885" s="275">
        <v>1.2E-4</v>
      </c>
      <c r="S1885" s="279">
        <v>257</v>
      </c>
      <c r="T1885" s="279">
        <v>257</v>
      </c>
      <c r="U1885" s="57">
        <v>1.024</v>
      </c>
      <c r="V1885" s="276">
        <v>0.17</v>
      </c>
      <c r="W1885" s="276">
        <v>0</v>
      </c>
      <c r="X1885" s="279">
        <v>219</v>
      </c>
      <c r="Y1885" s="279">
        <v>45</v>
      </c>
      <c r="Z1885" s="45" t="b">
        <v>1</v>
      </c>
      <c r="AA1885" s="45" t="s">
        <v>38</v>
      </c>
      <c r="AB1885" s="45" t="s">
        <v>50</v>
      </c>
    </row>
    <row r="1886" spans="1:28" x14ac:dyDescent="0.2">
      <c r="A1886" s="279" t="s">
        <v>91</v>
      </c>
      <c r="B1886" s="279" t="s">
        <v>96</v>
      </c>
      <c r="C1886" s="277">
        <v>44825</v>
      </c>
      <c r="D1886" s="277">
        <v>44854</v>
      </c>
      <c r="E1886" s="279" t="s">
        <v>267</v>
      </c>
      <c r="F1886" s="133" t="s">
        <v>34</v>
      </c>
      <c r="G1886" s="279" t="s">
        <v>35</v>
      </c>
      <c r="H1886" s="272" t="s">
        <v>46</v>
      </c>
      <c r="I1886" s="273">
        <v>25</v>
      </c>
      <c r="J1886" s="270">
        <v>931</v>
      </c>
      <c r="K1886" s="270">
        <f t="shared" si="0"/>
        <v>23275</v>
      </c>
      <c r="L1886" s="270">
        <v>6159</v>
      </c>
      <c r="M1886" s="270">
        <v>-2100</v>
      </c>
      <c r="N1886" s="274">
        <v>976</v>
      </c>
      <c r="O1886" s="55"/>
      <c r="P1886" s="45">
        <v>976</v>
      </c>
      <c r="Q1886" s="270">
        <v>-1155</v>
      </c>
      <c r="R1886" s="275">
        <v>1.2E-4</v>
      </c>
      <c r="S1886" s="270">
        <v>-1152</v>
      </c>
      <c r="T1886" s="270">
        <v>-176</v>
      </c>
      <c r="U1886" s="57">
        <v>1</v>
      </c>
      <c r="V1886" s="276">
        <v>0.3</v>
      </c>
      <c r="W1886" s="276">
        <v>0</v>
      </c>
      <c r="X1886" s="270">
        <v>-123</v>
      </c>
      <c r="Y1886" s="270">
        <v>-53</v>
      </c>
      <c r="Z1886" s="45" t="b">
        <v>1</v>
      </c>
      <c r="AA1886" s="45" t="s">
        <v>38</v>
      </c>
      <c r="AB1886" s="45" t="s">
        <v>38</v>
      </c>
    </row>
    <row r="1887" spans="1:28" x14ac:dyDescent="0.2">
      <c r="A1887" s="279" t="s">
        <v>91</v>
      </c>
      <c r="B1887" s="279" t="s">
        <v>96</v>
      </c>
      <c r="C1887" s="277">
        <v>44825</v>
      </c>
      <c r="D1887" s="277">
        <v>44854</v>
      </c>
      <c r="E1887" s="279" t="s">
        <v>267</v>
      </c>
      <c r="F1887" s="133" t="s">
        <v>34</v>
      </c>
      <c r="G1887" s="279" t="s">
        <v>35</v>
      </c>
      <c r="H1887" s="272" t="s">
        <v>72</v>
      </c>
      <c r="I1887" s="273">
        <v>50</v>
      </c>
      <c r="J1887" s="270">
        <v>244</v>
      </c>
      <c r="K1887" s="270">
        <f t="shared" si="0"/>
        <v>12200</v>
      </c>
      <c r="L1887" s="270">
        <v>9942</v>
      </c>
      <c r="M1887" s="270">
        <v>1600</v>
      </c>
      <c r="N1887" s="274">
        <v>514</v>
      </c>
      <c r="O1887" s="55"/>
      <c r="P1887" s="45">
        <v>514</v>
      </c>
      <c r="Q1887" s="270">
        <v>171</v>
      </c>
      <c r="R1887" s="275">
        <v>1.2E-4</v>
      </c>
      <c r="S1887" s="270">
        <v>172</v>
      </c>
      <c r="T1887" s="270">
        <v>686</v>
      </c>
      <c r="U1887" s="57">
        <v>1</v>
      </c>
      <c r="V1887" s="276">
        <v>0.3</v>
      </c>
      <c r="W1887" s="276">
        <v>0</v>
      </c>
      <c r="X1887" s="270">
        <v>481</v>
      </c>
      <c r="Y1887" s="270">
        <v>206</v>
      </c>
      <c r="Z1887" s="45" t="b">
        <v>1</v>
      </c>
      <c r="AA1887" s="45" t="s">
        <v>38</v>
      </c>
      <c r="AB1887" s="45" t="s">
        <v>38</v>
      </c>
    </row>
    <row r="1888" spans="1:28" x14ac:dyDescent="0.2">
      <c r="A1888" s="96" t="s">
        <v>172</v>
      </c>
      <c r="B1888" s="96" t="s">
        <v>172</v>
      </c>
      <c r="C1888" s="277">
        <v>44825</v>
      </c>
      <c r="D1888" s="277">
        <v>44854</v>
      </c>
      <c r="E1888" s="270" t="s">
        <v>300</v>
      </c>
      <c r="F1888" s="133" t="s">
        <v>34</v>
      </c>
      <c r="G1888" s="96" t="s">
        <v>35</v>
      </c>
      <c r="H1888" s="272" t="s">
        <v>72</v>
      </c>
      <c r="I1888" s="273">
        <v>50</v>
      </c>
      <c r="J1888" s="270">
        <v>1080</v>
      </c>
      <c r="K1888" s="270">
        <f t="shared" si="0"/>
        <v>54000</v>
      </c>
      <c r="L1888" s="270">
        <v>30519</v>
      </c>
      <c r="M1888" s="270">
        <v>-100</v>
      </c>
      <c r="N1888" s="274">
        <v>2314</v>
      </c>
      <c r="O1888" s="55"/>
      <c r="P1888" s="105">
        <v>2314</v>
      </c>
      <c r="Q1888" s="270">
        <v>-662</v>
      </c>
      <c r="R1888" s="275">
        <v>-1.5E-3</v>
      </c>
      <c r="S1888" s="270">
        <v>-743</v>
      </c>
      <c r="T1888" s="270">
        <v>1571</v>
      </c>
      <c r="U1888" s="57">
        <v>1</v>
      </c>
      <c r="V1888" s="276">
        <v>0.1125</v>
      </c>
      <c r="W1888" s="276">
        <v>3.7499999999999999E-2</v>
      </c>
      <c r="X1888" s="270">
        <v>1336</v>
      </c>
      <c r="Y1888" s="270">
        <v>236</v>
      </c>
      <c r="Z1888" s="45" t="b">
        <v>1</v>
      </c>
      <c r="AA1888" s="45" t="s">
        <v>38</v>
      </c>
      <c r="AB1888" s="45" t="s">
        <v>38</v>
      </c>
    </row>
    <row r="1889" spans="1:28" x14ac:dyDescent="0.2">
      <c r="A1889" s="96" t="s">
        <v>172</v>
      </c>
      <c r="B1889" s="96" t="s">
        <v>172</v>
      </c>
      <c r="C1889" s="277">
        <v>44825</v>
      </c>
      <c r="D1889" s="277">
        <v>44854</v>
      </c>
      <c r="E1889" s="270" t="s">
        <v>300</v>
      </c>
      <c r="F1889" s="133" t="s">
        <v>34</v>
      </c>
      <c r="G1889" s="96" t="s">
        <v>35</v>
      </c>
      <c r="H1889" s="272" t="s">
        <v>85</v>
      </c>
      <c r="I1889" s="273">
        <v>50</v>
      </c>
      <c r="J1889" s="270">
        <v>27</v>
      </c>
      <c r="K1889" s="270">
        <f t="shared" si="0"/>
        <v>1350</v>
      </c>
      <c r="L1889" s="270">
        <v>-718</v>
      </c>
      <c r="M1889" s="270">
        <v>-750</v>
      </c>
      <c r="N1889" s="274">
        <v>58</v>
      </c>
      <c r="O1889" s="55"/>
      <c r="P1889" s="45">
        <v>58</v>
      </c>
      <c r="Q1889" s="270">
        <v>-198</v>
      </c>
      <c r="R1889" s="275">
        <v>-1.5E-3</v>
      </c>
      <c r="S1889" s="270">
        <v>-200</v>
      </c>
      <c r="T1889" s="270">
        <v>-142</v>
      </c>
      <c r="U1889" s="57">
        <v>1</v>
      </c>
      <c r="V1889" s="276">
        <v>0.1125</v>
      </c>
      <c r="W1889" s="276">
        <v>3.7499999999999999E-2</v>
      </c>
      <c r="X1889" s="270">
        <v>-121</v>
      </c>
      <c r="Y1889" s="270">
        <v>-21</v>
      </c>
      <c r="Z1889" s="45" t="b">
        <v>1</v>
      </c>
      <c r="AA1889" s="45" t="s">
        <v>38</v>
      </c>
      <c r="AB1889" s="45" t="s">
        <v>38</v>
      </c>
    </row>
    <row r="1890" spans="1:28" x14ac:dyDescent="0.2">
      <c r="A1890" s="96" t="s">
        <v>172</v>
      </c>
      <c r="B1890" s="96" t="s">
        <v>172</v>
      </c>
      <c r="C1890" s="277">
        <v>44825</v>
      </c>
      <c r="D1890" s="277">
        <v>44854</v>
      </c>
      <c r="E1890" s="270" t="s">
        <v>300</v>
      </c>
      <c r="F1890" s="133" t="s">
        <v>34</v>
      </c>
      <c r="G1890" s="96" t="s">
        <v>35</v>
      </c>
      <c r="H1890" s="272" t="s">
        <v>70</v>
      </c>
      <c r="I1890" s="273">
        <v>100</v>
      </c>
      <c r="J1890" s="270">
        <v>6912</v>
      </c>
      <c r="K1890" s="270">
        <f t="shared" si="0"/>
        <v>691200</v>
      </c>
      <c r="L1890" s="270">
        <v>131361</v>
      </c>
      <c r="M1890" s="270">
        <v>-20500</v>
      </c>
      <c r="N1890" s="274">
        <v>24678</v>
      </c>
      <c r="O1890" s="55"/>
      <c r="P1890" s="105">
        <v>24678</v>
      </c>
      <c r="Q1890" s="270">
        <v>-13079</v>
      </c>
      <c r="R1890" s="275">
        <v>-1.5E-3</v>
      </c>
      <c r="S1890" s="270">
        <v>-14116</v>
      </c>
      <c r="T1890" s="270">
        <v>10562</v>
      </c>
      <c r="U1890" s="57">
        <v>1</v>
      </c>
      <c r="V1890" s="276">
        <v>0.1125</v>
      </c>
      <c r="W1890" s="276">
        <v>3.7499999999999999E-2</v>
      </c>
      <c r="X1890" s="270">
        <v>8978</v>
      </c>
      <c r="Y1890" s="270">
        <v>1584</v>
      </c>
      <c r="Z1890" s="45" t="b">
        <v>1</v>
      </c>
      <c r="AA1890" s="45" t="s">
        <v>38</v>
      </c>
      <c r="AB1890" s="45" t="s">
        <v>38</v>
      </c>
    </row>
    <row r="1891" spans="1:28" x14ac:dyDescent="0.2">
      <c r="A1891" s="96" t="s">
        <v>172</v>
      </c>
      <c r="B1891" s="96" t="s">
        <v>172</v>
      </c>
      <c r="C1891" s="277">
        <v>44825</v>
      </c>
      <c r="D1891" s="277">
        <v>44854</v>
      </c>
      <c r="E1891" s="270" t="s">
        <v>300</v>
      </c>
      <c r="F1891" s="133" t="s">
        <v>34</v>
      </c>
      <c r="G1891" s="96" t="s">
        <v>35</v>
      </c>
      <c r="H1891" s="272" t="s">
        <v>84</v>
      </c>
      <c r="I1891" s="273">
        <v>100</v>
      </c>
      <c r="J1891" s="270">
        <v>250</v>
      </c>
      <c r="K1891" s="270">
        <f t="shared" si="0"/>
        <v>25000</v>
      </c>
      <c r="L1891" s="270">
        <v>4047</v>
      </c>
      <c r="M1891" s="270">
        <v>-1000</v>
      </c>
      <c r="N1891" s="274">
        <v>893</v>
      </c>
      <c r="O1891" s="55"/>
      <c r="P1891" s="45">
        <v>893</v>
      </c>
      <c r="Q1891" s="270">
        <v>-99</v>
      </c>
      <c r="R1891" s="275">
        <v>-1.5E-3</v>
      </c>
      <c r="S1891" s="270">
        <v>-137</v>
      </c>
      <c r="T1891" s="270">
        <v>756</v>
      </c>
      <c r="U1891" s="57">
        <v>1</v>
      </c>
      <c r="V1891" s="276">
        <v>0.1125</v>
      </c>
      <c r="W1891" s="276">
        <v>3.7499999999999999E-2</v>
      </c>
      <c r="X1891" s="270">
        <v>643</v>
      </c>
      <c r="Y1891" s="270">
        <v>113</v>
      </c>
      <c r="Z1891" s="45" t="b">
        <v>1</v>
      </c>
      <c r="AA1891" s="45" t="s">
        <v>38</v>
      </c>
      <c r="AB1891" s="45" t="s">
        <v>38</v>
      </c>
    </row>
    <row r="1892" spans="1:28" x14ac:dyDescent="0.2">
      <c r="A1892" s="96" t="s">
        <v>172</v>
      </c>
      <c r="B1892" s="96" t="s">
        <v>172</v>
      </c>
      <c r="C1892" s="277">
        <v>44825</v>
      </c>
      <c r="D1892" s="277">
        <v>44854</v>
      </c>
      <c r="E1892" s="270" t="s">
        <v>300</v>
      </c>
      <c r="F1892" s="133" t="s">
        <v>34</v>
      </c>
      <c r="G1892" s="96" t="s">
        <v>35</v>
      </c>
      <c r="H1892" s="272" t="s">
        <v>88</v>
      </c>
      <c r="I1892" s="273">
        <v>250</v>
      </c>
      <c r="J1892" s="270">
        <v>213</v>
      </c>
      <c r="K1892" s="270">
        <f t="shared" si="0"/>
        <v>53250</v>
      </c>
      <c r="L1892" s="270">
        <v>16667</v>
      </c>
      <c r="M1892" s="270">
        <v>1750</v>
      </c>
      <c r="N1892" s="274">
        <v>1901</v>
      </c>
      <c r="O1892" s="55"/>
      <c r="P1892" s="105">
        <v>1901</v>
      </c>
      <c r="Q1892" s="270">
        <v>5053</v>
      </c>
      <c r="R1892" s="275">
        <v>-1.5E-3</v>
      </c>
      <c r="S1892" s="270">
        <v>4973</v>
      </c>
      <c r="T1892" s="270">
        <v>6874</v>
      </c>
      <c r="U1892" s="57">
        <v>1</v>
      </c>
      <c r="V1892" s="276">
        <v>0.1125</v>
      </c>
      <c r="W1892" s="276">
        <v>3.7499999999999999E-2</v>
      </c>
      <c r="X1892" s="270">
        <v>5843</v>
      </c>
      <c r="Y1892" s="270">
        <v>1031</v>
      </c>
      <c r="Z1892" s="45" t="b">
        <v>1</v>
      </c>
      <c r="AA1892" s="45" t="s">
        <v>38</v>
      </c>
      <c r="AB1892" s="45" t="s">
        <v>38</v>
      </c>
    </row>
    <row r="1893" spans="1:28" x14ac:dyDescent="0.2">
      <c r="A1893" s="96" t="s">
        <v>172</v>
      </c>
      <c r="B1893" s="96" t="s">
        <v>172</v>
      </c>
      <c r="C1893" s="277">
        <v>44825</v>
      </c>
      <c r="D1893" s="277">
        <v>44854</v>
      </c>
      <c r="E1893" s="270" t="s">
        <v>300</v>
      </c>
      <c r="F1893" s="133" t="s">
        <v>34</v>
      </c>
      <c r="G1893" s="96" t="s">
        <v>35</v>
      </c>
      <c r="H1893" s="272" t="s">
        <v>148</v>
      </c>
      <c r="I1893" s="273">
        <v>250</v>
      </c>
      <c r="J1893" s="270">
        <v>32</v>
      </c>
      <c r="K1893" s="270">
        <f t="shared" si="0"/>
        <v>8000</v>
      </c>
      <c r="L1893" s="270">
        <v>-1729</v>
      </c>
      <c r="M1893" s="270">
        <v>-3500</v>
      </c>
      <c r="N1893" s="274">
        <v>286</v>
      </c>
      <c r="O1893" s="55"/>
      <c r="P1893" s="45">
        <v>286</v>
      </c>
      <c r="Q1893" s="270">
        <v>-1771</v>
      </c>
      <c r="R1893" s="275">
        <v>-1.5E-3</v>
      </c>
      <c r="S1893" s="270">
        <v>-1783</v>
      </c>
      <c r="T1893" s="270">
        <v>-1497</v>
      </c>
      <c r="U1893" s="57">
        <v>1</v>
      </c>
      <c r="V1893" s="276">
        <v>0.1125</v>
      </c>
      <c r="W1893" s="276">
        <v>3.7499999999999999E-2</v>
      </c>
      <c r="X1893" s="270">
        <v>-1272</v>
      </c>
      <c r="Y1893" s="270">
        <v>-225</v>
      </c>
      <c r="Z1893" s="45" t="b">
        <v>1</v>
      </c>
      <c r="AA1893" s="45" t="s">
        <v>38</v>
      </c>
      <c r="AB1893" s="45" t="s">
        <v>38</v>
      </c>
    </row>
    <row r="1894" spans="1:28" x14ac:dyDescent="0.2">
      <c r="A1894" s="279" t="s">
        <v>466</v>
      </c>
      <c r="B1894" s="279" t="s">
        <v>118</v>
      </c>
      <c r="C1894" s="277">
        <v>44825</v>
      </c>
      <c r="D1894" s="277">
        <v>44854</v>
      </c>
      <c r="E1894" s="279" t="s">
        <v>300</v>
      </c>
      <c r="F1894" s="133" t="s">
        <v>34</v>
      </c>
      <c r="G1894" s="270" t="s">
        <v>80</v>
      </c>
      <c r="H1894" s="270" t="s">
        <v>71</v>
      </c>
      <c r="I1894" s="273">
        <v>20</v>
      </c>
      <c r="J1894" s="270">
        <v>2</v>
      </c>
      <c r="K1894" s="270">
        <f t="shared" si="0"/>
        <v>40</v>
      </c>
      <c r="L1894" s="270">
        <v>-308</v>
      </c>
      <c r="M1894" s="270">
        <v>-40</v>
      </c>
      <c r="N1894" s="274">
        <v>2.19</v>
      </c>
      <c r="O1894" s="55"/>
      <c r="P1894" s="45">
        <v>2</v>
      </c>
      <c r="Q1894" s="270">
        <v>-21</v>
      </c>
      <c r="R1894" s="275">
        <v>1.15E-4</v>
      </c>
      <c r="S1894" s="270">
        <v>-21</v>
      </c>
      <c r="T1894" s="270">
        <v>-18</v>
      </c>
      <c r="U1894" s="57">
        <v>1</v>
      </c>
      <c r="V1894" s="276">
        <v>0.15</v>
      </c>
      <c r="W1894" s="276">
        <v>0.05</v>
      </c>
      <c r="X1894" s="270">
        <v>-15</v>
      </c>
      <c r="Y1894" s="270">
        <v>-4</v>
      </c>
      <c r="Z1894" s="45" t="b">
        <v>1</v>
      </c>
      <c r="AA1894" s="45" t="s">
        <v>38</v>
      </c>
      <c r="AB1894" s="45" t="s">
        <v>38</v>
      </c>
    </row>
    <row r="1895" spans="1:28" x14ac:dyDescent="0.2">
      <c r="A1895" s="279" t="s">
        <v>466</v>
      </c>
      <c r="B1895" s="279" t="s">
        <v>118</v>
      </c>
      <c r="C1895" s="277">
        <v>44825</v>
      </c>
      <c r="D1895" s="277">
        <v>44854</v>
      </c>
      <c r="E1895" s="279" t="s">
        <v>300</v>
      </c>
      <c r="F1895" s="133" t="s">
        <v>34</v>
      </c>
      <c r="G1895" s="270" t="s">
        <v>80</v>
      </c>
      <c r="H1895" s="270" t="s">
        <v>72</v>
      </c>
      <c r="I1895" s="273">
        <v>50</v>
      </c>
      <c r="J1895" s="270">
        <v>2</v>
      </c>
      <c r="K1895" s="270">
        <f t="shared" si="0"/>
        <v>100</v>
      </c>
      <c r="L1895" s="270">
        <v>-135</v>
      </c>
      <c r="M1895" s="270">
        <v>-100</v>
      </c>
      <c r="N1895" s="274">
        <v>5.48</v>
      </c>
      <c r="O1895" s="55"/>
      <c r="P1895" s="45">
        <v>5</v>
      </c>
      <c r="Q1895" s="270">
        <v>-27</v>
      </c>
      <c r="R1895" s="275">
        <v>1.15E-4</v>
      </c>
      <c r="S1895" s="270">
        <v>-27</v>
      </c>
      <c r="T1895" s="270">
        <v>-21</v>
      </c>
      <c r="U1895" s="57">
        <v>1</v>
      </c>
      <c r="V1895" s="276">
        <v>0.15</v>
      </c>
      <c r="W1895" s="276">
        <v>0.05</v>
      </c>
      <c r="X1895" s="270">
        <v>-17</v>
      </c>
      <c r="Y1895" s="270">
        <v>-4</v>
      </c>
      <c r="Z1895" s="45" t="b">
        <v>1</v>
      </c>
      <c r="AA1895" s="45" t="s">
        <v>38</v>
      </c>
      <c r="AB1895" s="45" t="s">
        <v>38</v>
      </c>
    </row>
    <row r="1896" spans="1:28" x14ac:dyDescent="0.2">
      <c r="A1896" s="279" t="s">
        <v>466</v>
      </c>
      <c r="B1896" s="279" t="s">
        <v>118</v>
      </c>
      <c r="C1896" s="277">
        <v>44825</v>
      </c>
      <c r="D1896" s="277">
        <v>44854</v>
      </c>
      <c r="E1896" s="279" t="s">
        <v>300</v>
      </c>
      <c r="F1896" s="133" t="s">
        <v>34</v>
      </c>
      <c r="G1896" s="270" t="s">
        <v>80</v>
      </c>
      <c r="H1896" s="270" t="s">
        <v>70</v>
      </c>
      <c r="I1896" s="273">
        <v>100</v>
      </c>
      <c r="J1896" s="270">
        <v>9330</v>
      </c>
      <c r="K1896" s="270">
        <f t="shared" si="0"/>
        <v>933000</v>
      </c>
      <c r="L1896" s="270">
        <v>146059</v>
      </c>
      <c r="M1896" s="270">
        <v>-41700</v>
      </c>
      <c r="N1896" s="274">
        <v>51085.33</v>
      </c>
      <c r="O1896" s="55"/>
      <c r="P1896" s="105">
        <v>51085</v>
      </c>
      <c r="Q1896" s="270">
        <v>-26402</v>
      </c>
      <c r="R1896" s="275">
        <v>1.15E-4</v>
      </c>
      <c r="S1896" s="270">
        <v>-26294</v>
      </c>
      <c r="T1896" s="270">
        <v>24791</v>
      </c>
      <c r="U1896" s="57">
        <v>1</v>
      </c>
      <c r="V1896" s="276">
        <v>0.15</v>
      </c>
      <c r="W1896" s="276">
        <v>0.05</v>
      </c>
      <c r="X1896" s="270">
        <v>19833</v>
      </c>
      <c r="Y1896" s="270">
        <v>4958</v>
      </c>
      <c r="Z1896" s="45" t="b">
        <v>1</v>
      </c>
      <c r="AA1896" s="45" t="s">
        <v>38</v>
      </c>
      <c r="AB1896" s="45" t="s">
        <v>38</v>
      </c>
    </row>
    <row r="1897" spans="1:28" x14ac:dyDescent="0.2">
      <c r="A1897" s="96" t="s">
        <v>473</v>
      </c>
      <c r="B1897" s="270" t="s">
        <v>120</v>
      </c>
      <c r="C1897" s="277">
        <v>44825</v>
      </c>
      <c r="D1897" s="277">
        <v>44854</v>
      </c>
      <c r="E1897" s="270" t="s">
        <v>267</v>
      </c>
      <c r="F1897" s="96" t="s">
        <v>34</v>
      </c>
      <c r="G1897" s="270" t="s">
        <v>35</v>
      </c>
      <c r="H1897" s="272" t="s">
        <v>39</v>
      </c>
      <c r="I1897" s="280">
        <v>5</v>
      </c>
      <c r="J1897" s="279">
        <v>1</v>
      </c>
      <c r="K1897" s="270">
        <f t="shared" si="0"/>
        <v>5</v>
      </c>
      <c r="L1897" s="279">
        <v>198</v>
      </c>
      <c r="M1897" s="279">
        <v>20</v>
      </c>
      <c r="N1897" s="274"/>
      <c r="O1897" s="55"/>
      <c r="P1897" s="96"/>
      <c r="Q1897" s="279">
        <v>1</v>
      </c>
      <c r="R1897" s="275">
        <v>1.2E-4</v>
      </c>
      <c r="S1897" s="279">
        <v>1</v>
      </c>
      <c r="T1897" s="279">
        <v>1</v>
      </c>
      <c r="U1897" s="57">
        <v>1</v>
      </c>
      <c r="V1897" s="276">
        <v>0.3</v>
      </c>
      <c r="W1897" s="276">
        <v>0</v>
      </c>
      <c r="X1897" s="279">
        <v>1</v>
      </c>
      <c r="Y1897" s="279">
        <v>0</v>
      </c>
      <c r="Z1897" s="45" t="b">
        <v>0</v>
      </c>
      <c r="AA1897" s="45" t="s">
        <v>38</v>
      </c>
      <c r="AB1897" s="45" t="s">
        <v>38</v>
      </c>
    </row>
    <row r="1898" spans="1:28" x14ac:dyDescent="0.2">
      <c r="A1898" s="96" t="s">
        <v>473</v>
      </c>
      <c r="B1898" s="270" t="s">
        <v>120</v>
      </c>
      <c r="C1898" s="277">
        <v>44825</v>
      </c>
      <c r="D1898" s="277">
        <v>44854</v>
      </c>
      <c r="E1898" s="270" t="s">
        <v>267</v>
      </c>
      <c r="F1898" s="96" t="s">
        <v>34</v>
      </c>
      <c r="G1898" s="270" t="s">
        <v>35</v>
      </c>
      <c r="H1898" s="272" t="s">
        <v>40</v>
      </c>
      <c r="I1898" s="280">
        <v>10</v>
      </c>
      <c r="J1898" s="279">
        <v>365</v>
      </c>
      <c r="K1898" s="270">
        <f t="shared" si="0"/>
        <v>3650</v>
      </c>
      <c r="L1898" s="279">
        <v>17067</v>
      </c>
      <c r="M1898" s="279">
        <v>210</v>
      </c>
      <c r="N1898" s="274">
        <v>197</v>
      </c>
      <c r="O1898" s="55"/>
      <c r="P1898" s="45">
        <v>197</v>
      </c>
      <c r="Q1898" s="279">
        <v>31</v>
      </c>
      <c r="R1898" s="275">
        <v>1.2E-4</v>
      </c>
      <c r="S1898" s="279">
        <v>31</v>
      </c>
      <c r="T1898" s="279">
        <v>228</v>
      </c>
      <c r="U1898" s="57">
        <v>1</v>
      </c>
      <c r="V1898" s="276">
        <v>0.3</v>
      </c>
      <c r="W1898" s="276">
        <v>0</v>
      </c>
      <c r="X1898" s="279">
        <v>160</v>
      </c>
      <c r="Y1898" s="279">
        <v>69</v>
      </c>
      <c r="Z1898" s="45" t="b">
        <v>0</v>
      </c>
      <c r="AA1898" s="45" t="s">
        <v>38</v>
      </c>
      <c r="AB1898" s="45" t="s">
        <v>38</v>
      </c>
    </row>
    <row r="1899" spans="1:28" x14ac:dyDescent="0.2">
      <c r="A1899" s="96" t="s">
        <v>473</v>
      </c>
      <c r="B1899" s="270" t="s">
        <v>120</v>
      </c>
      <c r="C1899" s="277">
        <v>44825</v>
      </c>
      <c r="D1899" s="277">
        <v>44854</v>
      </c>
      <c r="E1899" s="270" t="s">
        <v>267</v>
      </c>
      <c r="F1899" s="96" t="s">
        <v>34</v>
      </c>
      <c r="G1899" s="270" t="s">
        <v>35</v>
      </c>
      <c r="H1899" s="272" t="s">
        <v>46</v>
      </c>
      <c r="I1899" s="280">
        <v>25</v>
      </c>
      <c r="J1899" s="279">
        <v>1193</v>
      </c>
      <c r="K1899" s="270">
        <f t="shared" si="0"/>
        <v>29825</v>
      </c>
      <c r="L1899" s="279">
        <v>5361</v>
      </c>
      <c r="M1899" s="279">
        <v>-1500</v>
      </c>
      <c r="N1899" s="274">
        <v>1382</v>
      </c>
      <c r="O1899" s="55"/>
      <c r="P1899" s="105">
        <v>1382</v>
      </c>
      <c r="Q1899" s="279">
        <v>-1700</v>
      </c>
      <c r="R1899" s="275">
        <v>1.2E-4</v>
      </c>
      <c r="S1899" s="279">
        <v>-1697</v>
      </c>
      <c r="T1899" s="279">
        <v>-315</v>
      </c>
      <c r="U1899" s="57">
        <v>1</v>
      </c>
      <c r="V1899" s="276">
        <v>0.3</v>
      </c>
      <c r="W1899" s="276">
        <v>0</v>
      </c>
      <c r="X1899" s="279">
        <v>-220</v>
      </c>
      <c r="Y1899" s="279">
        <v>-94</v>
      </c>
      <c r="Z1899" s="45" t="b">
        <v>0</v>
      </c>
      <c r="AA1899" s="45" t="s">
        <v>38</v>
      </c>
      <c r="AB1899" s="45" t="s">
        <v>38</v>
      </c>
    </row>
    <row r="1900" spans="1:28" x14ac:dyDescent="0.2">
      <c r="A1900" s="96" t="s">
        <v>178</v>
      </c>
      <c r="B1900" s="96" t="s">
        <v>178</v>
      </c>
      <c r="C1900" s="277">
        <v>44825</v>
      </c>
      <c r="D1900" s="277">
        <v>44854</v>
      </c>
      <c r="E1900" s="270" t="s">
        <v>267</v>
      </c>
      <c r="F1900" s="96" t="s">
        <v>34</v>
      </c>
      <c r="G1900" s="270" t="s">
        <v>35</v>
      </c>
      <c r="H1900" s="272" t="s">
        <v>40</v>
      </c>
      <c r="I1900" s="280">
        <v>10</v>
      </c>
      <c r="J1900" s="279">
        <v>2319</v>
      </c>
      <c r="K1900" s="270">
        <f t="shared" si="0"/>
        <v>23190</v>
      </c>
      <c r="L1900" s="279">
        <v>134240</v>
      </c>
      <c r="M1900" s="279">
        <v>280</v>
      </c>
      <c r="N1900" s="274">
        <v>955</v>
      </c>
      <c r="O1900" s="55"/>
      <c r="P1900" s="45">
        <v>955</v>
      </c>
      <c r="Q1900" s="279">
        <v>746</v>
      </c>
      <c r="R1900" s="275">
        <v>1.2E-4</v>
      </c>
      <c r="S1900" s="279">
        <v>749</v>
      </c>
      <c r="T1900" s="279">
        <v>1704</v>
      </c>
      <c r="U1900" s="57">
        <v>1</v>
      </c>
      <c r="V1900" s="276">
        <v>0.17</v>
      </c>
      <c r="W1900" s="276">
        <v>0</v>
      </c>
      <c r="X1900" s="279">
        <v>1414</v>
      </c>
      <c r="Y1900" s="279">
        <v>290</v>
      </c>
      <c r="Z1900" s="45" t="b">
        <v>1</v>
      </c>
      <c r="AA1900" s="45" t="s">
        <v>38</v>
      </c>
      <c r="AB1900" s="45" t="s">
        <v>38</v>
      </c>
    </row>
    <row r="1901" spans="1:28" x14ac:dyDescent="0.2">
      <c r="A1901" s="96" t="s">
        <v>178</v>
      </c>
      <c r="B1901" s="96" t="s">
        <v>178</v>
      </c>
      <c r="C1901" s="277">
        <v>44825</v>
      </c>
      <c r="D1901" s="277">
        <v>44854</v>
      </c>
      <c r="E1901" s="270" t="s">
        <v>267</v>
      </c>
      <c r="F1901" s="96" t="s">
        <v>34</v>
      </c>
      <c r="G1901" s="270" t="s">
        <v>35</v>
      </c>
      <c r="H1901" s="272" t="s">
        <v>115</v>
      </c>
      <c r="I1901" s="280">
        <v>10</v>
      </c>
      <c r="J1901" s="279">
        <v>1090</v>
      </c>
      <c r="K1901" s="270">
        <f t="shared" si="0"/>
        <v>10900</v>
      </c>
      <c r="L1901" s="279">
        <v>21125</v>
      </c>
      <c r="M1901" s="279">
        <v>-700</v>
      </c>
      <c r="N1901" s="274">
        <v>449</v>
      </c>
      <c r="O1901" s="55"/>
      <c r="P1901" s="45">
        <v>449</v>
      </c>
      <c r="Q1901" s="279">
        <v>-161</v>
      </c>
      <c r="R1901" s="275">
        <v>1.2E-4</v>
      </c>
      <c r="S1901" s="279">
        <v>-159</v>
      </c>
      <c r="T1901" s="279">
        <v>290</v>
      </c>
      <c r="U1901" s="57">
        <v>1</v>
      </c>
      <c r="V1901" s="276">
        <v>0.17</v>
      </c>
      <c r="W1901" s="276">
        <v>0</v>
      </c>
      <c r="X1901" s="279">
        <v>240</v>
      </c>
      <c r="Y1901" s="279">
        <v>49</v>
      </c>
      <c r="Z1901" s="45" t="b">
        <v>1</v>
      </c>
      <c r="AA1901" s="45" t="s">
        <v>38</v>
      </c>
      <c r="AB1901" s="45" t="s">
        <v>38</v>
      </c>
    </row>
    <row r="1902" spans="1:28" x14ac:dyDescent="0.2">
      <c r="A1902" s="96" t="s">
        <v>102</v>
      </c>
      <c r="B1902" s="96" t="s">
        <v>102</v>
      </c>
      <c r="C1902" s="282">
        <v>44825</v>
      </c>
      <c r="D1902" s="277">
        <v>44854</v>
      </c>
      <c r="E1902" s="270" t="s">
        <v>267</v>
      </c>
      <c r="F1902" s="96" t="s">
        <v>34</v>
      </c>
      <c r="G1902" s="270" t="s">
        <v>35</v>
      </c>
      <c r="H1902" s="272" t="s">
        <v>46</v>
      </c>
      <c r="I1902" s="280">
        <v>25</v>
      </c>
      <c r="J1902" s="279">
        <v>67</v>
      </c>
      <c r="K1902" s="270">
        <f t="shared" si="0"/>
        <v>1675</v>
      </c>
      <c r="L1902" s="279">
        <v>4430</v>
      </c>
      <c r="M1902" s="279">
        <v>-150</v>
      </c>
      <c r="N1902" s="274"/>
      <c r="O1902" s="55"/>
      <c r="P1902" s="96"/>
      <c r="Q1902" s="279">
        <v>98</v>
      </c>
      <c r="R1902" s="275">
        <v>1.2E-4</v>
      </c>
      <c r="S1902" s="279">
        <v>98</v>
      </c>
      <c r="T1902" s="279">
        <v>98</v>
      </c>
      <c r="U1902" s="57">
        <v>1</v>
      </c>
      <c r="V1902" s="276">
        <v>0.2</v>
      </c>
      <c r="W1902" s="276">
        <v>0</v>
      </c>
      <c r="X1902" s="279">
        <v>79</v>
      </c>
      <c r="Y1902" s="279">
        <v>20</v>
      </c>
      <c r="Z1902" s="45" t="b">
        <v>1</v>
      </c>
      <c r="AA1902" s="45" t="s">
        <v>50</v>
      </c>
      <c r="AB1902" s="45" t="s">
        <v>50</v>
      </c>
    </row>
    <row r="1903" spans="1:28" x14ac:dyDescent="0.2">
      <c r="A1903" s="279" t="s">
        <v>102</v>
      </c>
      <c r="B1903" s="279" t="s">
        <v>107</v>
      </c>
      <c r="C1903" s="282">
        <v>44825</v>
      </c>
      <c r="D1903" s="282">
        <v>44854</v>
      </c>
      <c r="E1903" s="279" t="s">
        <v>267</v>
      </c>
      <c r="F1903" s="133" t="s">
        <v>34</v>
      </c>
      <c r="G1903" s="279" t="s">
        <v>61</v>
      </c>
      <c r="H1903" s="289" t="s">
        <v>167</v>
      </c>
      <c r="I1903" s="280">
        <v>25</v>
      </c>
      <c r="J1903" s="279">
        <v>32</v>
      </c>
      <c r="K1903" s="270">
        <f t="shared" si="0"/>
        <v>800</v>
      </c>
      <c r="L1903" s="279">
        <v>2043</v>
      </c>
      <c r="M1903" s="279">
        <v>-98</v>
      </c>
      <c r="N1903" s="281">
        <v>1352.15</v>
      </c>
      <c r="O1903" s="55"/>
      <c r="P1903" s="105">
        <v>1352</v>
      </c>
      <c r="Q1903" s="279">
        <v>22</v>
      </c>
      <c r="R1903" s="275">
        <v>1.2E-4</v>
      </c>
      <c r="S1903" s="279">
        <v>22</v>
      </c>
      <c r="T1903" s="279">
        <v>1374</v>
      </c>
      <c r="U1903" s="57">
        <v>1</v>
      </c>
      <c r="V1903" s="276">
        <v>0.2</v>
      </c>
      <c r="W1903" s="276">
        <v>0</v>
      </c>
      <c r="X1903" s="279">
        <v>1099</v>
      </c>
      <c r="Y1903" s="279">
        <v>275</v>
      </c>
      <c r="Z1903" s="45" t="b">
        <v>1</v>
      </c>
      <c r="AA1903" s="45" t="s">
        <v>50</v>
      </c>
      <c r="AB1903" s="45" t="s">
        <v>50</v>
      </c>
    </row>
    <row r="1904" spans="1:28" x14ac:dyDescent="0.2">
      <c r="A1904" s="279" t="s">
        <v>102</v>
      </c>
      <c r="B1904" s="279" t="s">
        <v>107</v>
      </c>
      <c r="C1904" s="282">
        <v>44825</v>
      </c>
      <c r="D1904" s="282">
        <v>44854</v>
      </c>
      <c r="E1904" s="279" t="s">
        <v>267</v>
      </c>
      <c r="F1904" s="133" t="s">
        <v>34</v>
      </c>
      <c r="G1904" s="279" t="s">
        <v>61</v>
      </c>
      <c r="H1904" s="289" t="s">
        <v>57</v>
      </c>
      <c r="I1904" s="280">
        <v>50</v>
      </c>
      <c r="J1904" s="279">
        <v>617</v>
      </c>
      <c r="K1904" s="270">
        <f t="shared" si="0"/>
        <v>30850</v>
      </c>
      <c r="L1904" s="279">
        <v>39358</v>
      </c>
      <c r="M1904" s="279">
        <v>-1856</v>
      </c>
      <c r="N1904" s="281">
        <v>747.85</v>
      </c>
      <c r="O1904" s="55"/>
      <c r="P1904" s="45">
        <v>748</v>
      </c>
      <c r="Q1904" s="279">
        <v>919</v>
      </c>
      <c r="R1904" s="275">
        <v>1.2E-4</v>
      </c>
      <c r="S1904" s="279">
        <v>923</v>
      </c>
      <c r="T1904" s="279">
        <v>1671</v>
      </c>
      <c r="U1904" s="57">
        <v>1</v>
      </c>
      <c r="V1904" s="276">
        <v>0.2</v>
      </c>
      <c r="W1904" s="276">
        <v>0</v>
      </c>
      <c r="X1904" s="279">
        <v>1337</v>
      </c>
      <c r="Y1904" s="279">
        <v>334</v>
      </c>
      <c r="Z1904" s="45" t="b">
        <v>1</v>
      </c>
      <c r="AA1904" s="45" t="s">
        <v>50</v>
      </c>
      <c r="AB1904" s="45" t="s">
        <v>50</v>
      </c>
    </row>
    <row r="1905" spans="1:28" x14ac:dyDescent="0.2">
      <c r="A1905" s="96" t="s">
        <v>508</v>
      </c>
      <c r="B1905" s="96" t="s">
        <v>186</v>
      </c>
      <c r="C1905" s="277">
        <v>44825</v>
      </c>
      <c r="D1905" s="277">
        <v>44854</v>
      </c>
      <c r="E1905" s="270" t="s">
        <v>300</v>
      </c>
      <c r="F1905" s="133" t="s">
        <v>34</v>
      </c>
      <c r="G1905" s="270" t="s">
        <v>80</v>
      </c>
      <c r="H1905" s="272" t="s">
        <v>71</v>
      </c>
      <c r="I1905" s="273">
        <v>20</v>
      </c>
      <c r="J1905" s="270">
        <v>450</v>
      </c>
      <c r="K1905" s="270">
        <f t="shared" si="0"/>
        <v>9000</v>
      </c>
      <c r="L1905" s="270">
        <v>9016</v>
      </c>
      <c r="M1905" s="270">
        <v>-80</v>
      </c>
      <c r="N1905" s="274">
        <v>505.32</v>
      </c>
      <c r="O1905" s="55"/>
      <c r="P1905" s="45">
        <v>505</v>
      </c>
      <c r="Q1905" s="270">
        <v>-141</v>
      </c>
      <c r="R1905" s="275">
        <v>1.2E-4</v>
      </c>
      <c r="S1905" s="270">
        <v>-140</v>
      </c>
      <c r="T1905" s="270">
        <v>365</v>
      </c>
      <c r="U1905" s="57">
        <v>1</v>
      </c>
      <c r="V1905" s="276">
        <v>0.09</v>
      </c>
      <c r="W1905" s="276">
        <v>0.03</v>
      </c>
      <c r="X1905" s="270">
        <v>321</v>
      </c>
      <c r="Y1905" s="270">
        <v>44</v>
      </c>
      <c r="Z1905" s="45" t="b">
        <v>1</v>
      </c>
      <c r="AA1905" s="45" t="s">
        <v>38</v>
      </c>
      <c r="AB1905" s="45" t="s">
        <v>38</v>
      </c>
    </row>
    <row r="1906" spans="1:28" x14ac:dyDescent="0.2">
      <c r="A1906" s="96" t="s">
        <v>508</v>
      </c>
      <c r="B1906" s="96" t="s">
        <v>186</v>
      </c>
      <c r="C1906" s="277">
        <v>44825</v>
      </c>
      <c r="D1906" s="277">
        <v>44854</v>
      </c>
      <c r="E1906" s="270" t="s">
        <v>300</v>
      </c>
      <c r="F1906" s="133" t="s">
        <v>34</v>
      </c>
      <c r="G1906" s="270" t="s">
        <v>80</v>
      </c>
      <c r="H1906" s="272" t="s">
        <v>72</v>
      </c>
      <c r="I1906" s="273">
        <v>50</v>
      </c>
      <c r="J1906" s="270">
        <v>4149</v>
      </c>
      <c r="K1906" s="270">
        <f t="shared" si="0"/>
        <v>207450</v>
      </c>
      <c r="L1906" s="270">
        <v>67198</v>
      </c>
      <c r="M1906" s="270">
        <v>-1700</v>
      </c>
      <c r="N1906" s="274">
        <v>11647.68</v>
      </c>
      <c r="O1906" s="55"/>
      <c r="P1906" s="105">
        <v>11648</v>
      </c>
      <c r="Q1906" s="270">
        <v>-5547</v>
      </c>
      <c r="R1906" s="275">
        <v>1.2E-4</v>
      </c>
      <c r="S1906" s="270">
        <v>-5522</v>
      </c>
      <c r="T1906" s="270">
        <v>6125</v>
      </c>
      <c r="U1906" s="57">
        <v>1</v>
      </c>
      <c r="V1906" s="276">
        <v>0.09</v>
      </c>
      <c r="W1906" s="276">
        <v>0.03</v>
      </c>
      <c r="X1906" s="270">
        <v>5390</v>
      </c>
      <c r="Y1906" s="270">
        <v>735</v>
      </c>
      <c r="Z1906" s="45" t="b">
        <v>1</v>
      </c>
      <c r="AA1906" s="45" t="s">
        <v>38</v>
      </c>
      <c r="AB1906" s="45" t="s">
        <v>38</v>
      </c>
    </row>
    <row r="1907" spans="1:28" x14ac:dyDescent="0.2">
      <c r="A1907" s="96" t="s">
        <v>113</v>
      </c>
      <c r="B1907" s="96" t="s">
        <v>113</v>
      </c>
      <c r="C1907" s="277">
        <v>44825</v>
      </c>
      <c r="D1907" s="277">
        <v>44854</v>
      </c>
      <c r="E1907" s="270" t="s">
        <v>267</v>
      </c>
      <c r="F1907" s="133" t="s">
        <v>34</v>
      </c>
      <c r="G1907" s="96" t="s">
        <v>35</v>
      </c>
      <c r="H1907" s="272" t="s">
        <v>39</v>
      </c>
      <c r="I1907" s="273">
        <v>5</v>
      </c>
      <c r="J1907" s="270">
        <v>1</v>
      </c>
      <c r="K1907" s="270">
        <f t="shared" si="0"/>
        <v>5</v>
      </c>
      <c r="L1907" s="270">
        <v>98</v>
      </c>
      <c r="M1907" s="270">
        <v>-5</v>
      </c>
      <c r="N1907" s="274"/>
      <c r="O1907" s="55"/>
      <c r="P1907" s="96"/>
      <c r="Q1907" s="270">
        <v>0</v>
      </c>
      <c r="R1907" s="275">
        <v>1.2E-4</v>
      </c>
      <c r="S1907" s="270">
        <v>0</v>
      </c>
      <c r="T1907" s="270">
        <v>0</v>
      </c>
      <c r="U1907" s="57">
        <v>1</v>
      </c>
      <c r="V1907" s="276">
        <v>0.25</v>
      </c>
      <c r="W1907" s="276">
        <v>0</v>
      </c>
      <c r="X1907" s="270">
        <v>0</v>
      </c>
      <c r="Y1907" s="270">
        <v>0</v>
      </c>
      <c r="Z1907" s="45" t="b">
        <v>1</v>
      </c>
      <c r="AA1907" s="45" t="s">
        <v>38</v>
      </c>
      <c r="AB1907" s="45" t="s">
        <v>38</v>
      </c>
    </row>
    <row r="1908" spans="1:28" x14ac:dyDescent="0.2">
      <c r="A1908" s="96" t="s">
        <v>113</v>
      </c>
      <c r="B1908" s="96" t="s">
        <v>113</v>
      </c>
      <c r="C1908" s="277">
        <v>44825</v>
      </c>
      <c r="D1908" s="277">
        <v>44854</v>
      </c>
      <c r="E1908" s="270" t="s">
        <v>267</v>
      </c>
      <c r="F1908" s="133" t="s">
        <v>34</v>
      </c>
      <c r="G1908" s="96" t="s">
        <v>35</v>
      </c>
      <c r="H1908" s="272" t="s">
        <v>40</v>
      </c>
      <c r="I1908" s="273">
        <v>10</v>
      </c>
      <c r="J1908" s="270">
        <v>2772</v>
      </c>
      <c r="K1908" s="270">
        <f t="shared" si="0"/>
        <v>27720</v>
      </c>
      <c r="L1908" s="270">
        <v>83017</v>
      </c>
      <c r="M1908" s="270">
        <v>-900</v>
      </c>
      <c r="N1908" s="274">
        <v>1350</v>
      </c>
      <c r="O1908" s="55"/>
      <c r="P1908" s="105">
        <v>1350</v>
      </c>
      <c r="Q1908" s="270">
        <v>-511</v>
      </c>
      <c r="R1908" s="275">
        <v>1.2E-4</v>
      </c>
      <c r="S1908" s="270">
        <v>-508</v>
      </c>
      <c r="T1908" s="270">
        <v>842</v>
      </c>
      <c r="U1908" s="57">
        <v>1</v>
      </c>
      <c r="V1908" s="276">
        <v>0.25</v>
      </c>
      <c r="W1908" s="276">
        <v>0</v>
      </c>
      <c r="X1908" s="270">
        <v>631</v>
      </c>
      <c r="Y1908" s="270">
        <v>210</v>
      </c>
      <c r="Z1908" s="45" t="b">
        <v>1</v>
      </c>
      <c r="AA1908" s="45" t="s">
        <v>38</v>
      </c>
      <c r="AB1908" s="45" t="s">
        <v>38</v>
      </c>
    </row>
    <row r="1909" spans="1:28" x14ac:dyDescent="0.2">
      <c r="A1909" s="270" t="s">
        <v>533</v>
      </c>
      <c r="B1909" s="270" t="s">
        <v>533</v>
      </c>
      <c r="C1909" s="277">
        <v>44835</v>
      </c>
      <c r="D1909" s="277">
        <v>44854</v>
      </c>
      <c r="E1909" s="270" t="s">
        <v>267</v>
      </c>
      <c r="F1909" s="96" t="s">
        <v>34</v>
      </c>
      <c r="G1909" s="270" t="s">
        <v>35</v>
      </c>
      <c r="H1909" s="272" t="s">
        <v>90</v>
      </c>
      <c r="I1909" s="273">
        <v>5</v>
      </c>
      <c r="J1909" s="270">
        <v>15</v>
      </c>
      <c r="K1909" s="270">
        <f t="shared" si="0"/>
        <v>75</v>
      </c>
      <c r="L1909" s="270">
        <f>23*15</f>
        <v>345</v>
      </c>
      <c r="M1909" s="270">
        <v>20</v>
      </c>
      <c r="N1909" s="274">
        <v>2</v>
      </c>
      <c r="O1909" s="55"/>
      <c r="P1909" s="45">
        <v>2</v>
      </c>
      <c r="Q1909" s="270">
        <v>-1</v>
      </c>
      <c r="R1909" s="275">
        <v>-1.5E-3</v>
      </c>
      <c r="S1909" s="270">
        <v>-2</v>
      </c>
      <c r="T1909" s="270">
        <v>0</v>
      </c>
      <c r="U1909" s="57">
        <v>1</v>
      </c>
      <c r="V1909" s="276">
        <v>0.3</v>
      </c>
      <c r="W1909" s="276">
        <v>0</v>
      </c>
      <c r="X1909" s="270">
        <v>0</v>
      </c>
      <c r="Y1909" s="270">
        <v>0</v>
      </c>
      <c r="Z1909" s="45" t="b">
        <v>0</v>
      </c>
      <c r="AA1909" s="45" t="s">
        <v>38</v>
      </c>
      <c r="AB1909" s="45" t="s">
        <v>38</v>
      </c>
    </row>
    <row r="1910" spans="1:28" x14ac:dyDescent="0.2">
      <c r="A1910" s="270" t="s">
        <v>533</v>
      </c>
      <c r="B1910" s="270" t="s">
        <v>533</v>
      </c>
      <c r="C1910" s="277">
        <v>44835</v>
      </c>
      <c r="D1910" s="277">
        <v>44854</v>
      </c>
      <c r="E1910" s="270" t="s">
        <v>267</v>
      </c>
      <c r="F1910" s="96" t="s">
        <v>34</v>
      </c>
      <c r="G1910" s="270" t="s">
        <v>35</v>
      </c>
      <c r="H1910" s="272" t="s">
        <v>115</v>
      </c>
      <c r="I1910" s="273">
        <v>10</v>
      </c>
      <c r="J1910" s="270">
        <v>1253</v>
      </c>
      <c r="K1910" s="270">
        <f t="shared" si="0"/>
        <v>12530</v>
      </c>
      <c r="L1910" s="270">
        <f>9*J1910</f>
        <v>11277</v>
      </c>
      <c r="M1910" s="270">
        <v>50</v>
      </c>
      <c r="N1910" s="274">
        <v>263</v>
      </c>
      <c r="O1910" s="55"/>
      <c r="P1910" s="45">
        <v>263</v>
      </c>
      <c r="Q1910" s="270">
        <v>-582</v>
      </c>
      <c r="R1910" s="275">
        <v>-1.5E-3</v>
      </c>
      <c r="S1910" s="270">
        <v>-601</v>
      </c>
      <c r="T1910" s="270">
        <v>-338</v>
      </c>
      <c r="U1910" s="57">
        <v>1</v>
      </c>
      <c r="V1910" s="276">
        <v>0.3</v>
      </c>
      <c r="W1910" s="276">
        <v>0</v>
      </c>
      <c r="X1910" s="270">
        <v>-237</v>
      </c>
      <c r="Y1910" s="270">
        <v>-101</v>
      </c>
      <c r="Z1910" s="45" t="b">
        <v>0</v>
      </c>
      <c r="AA1910" s="45" t="s">
        <v>38</v>
      </c>
      <c r="AB1910" s="45" t="s">
        <v>38</v>
      </c>
    </row>
    <row r="1911" spans="1:28" x14ac:dyDescent="0.2">
      <c r="A1911" s="270" t="s">
        <v>533</v>
      </c>
      <c r="B1911" s="270" t="s">
        <v>533</v>
      </c>
      <c r="C1911" s="277">
        <v>44835</v>
      </c>
      <c r="D1911" s="277">
        <v>44854</v>
      </c>
      <c r="E1911" s="270" t="s">
        <v>267</v>
      </c>
      <c r="F1911" s="96" t="s">
        <v>34</v>
      </c>
      <c r="G1911" s="270" t="s">
        <v>35</v>
      </c>
      <c r="H1911" s="272" t="s">
        <v>46</v>
      </c>
      <c r="I1911" s="273">
        <v>25</v>
      </c>
      <c r="J1911" s="270">
        <v>1747</v>
      </c>
      <c r="K1911" s="270">
        <f t="shared" si="0"/>
        <v>43675</v>
      </c>
      <c r="L1911" s="270">
        <f>23*J1911</f>
        <v>40181</v>
      </c>
      <c r="M1911" s="270">
        <v>300</v>
      </c>
      <c r="N1911" s="274">
        <v>788</v>
      </c>
      <c r="O1911" s="55"/>
      <c r="P1911" s="45">
        <v>788</v>
      </c>
      <c r="Q1911" s="270">
        <v>-933</v>
      </c>
      <c r="R1911" s="275">
        <v>-1.5E-3</v>
      </c>
      <c r="S1911" s="270">
        <v>-998</v>
      </c>
      <c r="T1911" s="270">
        <v>-210</v>
      </c>
      <c r="U1911" s="57">
        <v>1</v>
      </c>
      <c r="V1911" s="276">
        <v>0.3</v>
      </c>
      <c r="W1911" s="276">
        <v>0</v>
      </c>
      <c r="X1911" s="270">
        <v>-147</v>
      </c>
      <c r="Y1911" s="270">
        <v>-63</v>
      </c>
      <c r="Z1911" s="45" t="b">
        <v>0</v>
      </c>
      <c r="AA1911" s="45" t="s">
        <v>38</v>
      </c>
      <c r="AB1911" s="45" t="s">
        <v>38</v>
      </c>
    </row>
    <row r="1912" spans="1:28" x14ac:dyDescent="0.2">
      <c r="A1912" s="270" t="s">
        <v>533</v>
      </c>
      <c r="B1912" s="270" t="s">
        <v>533</v>
      </c>
      <c r="C1912" s="277">
        <v>44835</v>
      </c>
      <c r="D1912" s="277">
        <v>44854</v>
      </c>
      <c r="E1912" s="270" t="s">
        <v>267</v>
      </c>
      <c r="F1912" s="96" t="s">
        <v>34</v>
      </c>
      <c r="G1912" s="270" t="s">
        <v>35</v>
      </c>
      <c r="H1912" s="272" t="s">
        <v>87</v>
      </c>
      <c r="I1912" s="273">
        <v>25</v>
      </c>
      <c r="J1912" s="270">
        <v>241</v>
      </c>
      <c r="K1912" s="270">
        <f t="shared" si="0"/>
        <v>6025</v>
      </c>
      <c r="L1912" s="270">
        <f>16*241</f>
        <v>3856</v>
      </c>
      <c r="M1912" s="270">
        <v>350</v>
      </c>
      <c r="N1912" s="274">
        <v>109</v>
      </c>
      <c r="O1912" s="55"/>
      <c r="P1912" s="45">
        <v>109</v>
      </c>
      <c r="Q1912" s="270">
        <v>-88</v>
      </c>
      <c r="R1912" s="275">
        <v>-1.5E-3</v>
      </c>
      <c r="S1912" s="270">
        <v>-97</v>
      </c>
      <c r="T1912" s="270">
        <v>12</v>
      </c>
      <c r="U1912" s="57">
        <v>1</v>
      </c>
      <c r="V1912" s="276">
        <v>0.3</v>
      </c>
      <c r="W1912" s="276">
        <v>0</v>
      </c>
      <c r="X1912" s="270">
        <v>9</v>
      </c>
      <c r="Y1912" s="270">
        <v>4</v>
      </c>
      <c r="Z1912" s="45" t="b">
        <v>0</v>
      </c>
      <c r="AA1912" s="45" t="s">
        <v>38</v>
      </c>
      <c r="AB1912" s="45" t="s">
        <v>38</v>
      </c>
    </row>
    <row r="1913" spans="1:28" x14ac:dyDescent="0.2">
      <c r="A1913" s="270" t="s">
        <v>533</v>
      </c>
      <c r="B1913" s="270" t="s">
        <v>533</v>
      </c>
      <c r="C1913" s="277">
        <v>44835</v>
      </c>
      <c r="D1913" s="277">
        <v>44854</v>
      </c>
      <c r="E1913" s="270" t="s">
        <v>267</v>
      </c>
      <c r="F1913" s="96" t="s">
        <v>34</v>
      </c>
      <c r="G1913" s="270" t="s">
        <v>35</v>
      </c>
      <c r="H1913" s="272" t="s">
        <v>72</v>
      </c>
      <c r="I1913" s="273">
        <v>50</v>
      </c>
      <c r="J1913" s="270">
        <v>1262</v>
      </c>
      <c r="K1913" s="270">
        <f t="shared" si="0"/>
        <v>63100</v>
      </c>
      <c r="L1913" s="270">
        <f>9*J1913</f>
        <v>11358</v>
      </c>
      <c r="M1913" s="270">
        <v>-3100</v>
      </c>
      <c r="N1913" s="274">
        <v>1138</v>
      </c>
      <c r="O1913" s="55"/>
      <c r="P1913" s="105">
        <v>1138</v>
      </c>
      <c r="Q1913" s="270">
        <v>-2985</v>
      </c>
      <c r="R1913" s="275">
        <v>-1.5E-3</v>
      </c>
      <c r="S1913" s="270">
        <v>-3080</v>
      </c>
      <c r="T1913" s="270">
        <v>-1942</v>
      </c>
      <c r="U1913" s="57">
        <v>1</v>
      </c>
      <c r="V1913" s="276">
        <v>0.3</v>
      </c>
      <c r="W1913" s="276">
        <v>0</v>
      </c>
      <c r="X1913" s="270">
        <v>-1359</v>
      </c>
      <c r="Y1913" s="270">
        <v>-583</v>
      </c>
      <c r="Z1913" s="45" t="b">
        <v>0</v>
      </c>
      <c r="AA1913" s="45" t="s">
        <v>38</v>
      </c>
      <c r="AB1913" s="45" t="s">
        <v>38</v>
      </c>
    </row>
    <row r="1914" spans="1:28" x14ac:dyDescent="0.2">
      <c r="A1914" s="270" t="s">
        <v>533</v>
      </c>
      <c r="B1914" s="270" t="s">
        <v>533</v>
      </c>
      <c r="C1914" s="277">
        <v>44835</v>
      </c>
      <c r="D1914" s="277">
        <v>44854</v>
      </c>
      <c r="E1914" s="270" t="s">
        <v>267</v>
      </c>
      <c r="F1914" s="96" t="s">
        <v>41</v>
      </c>
      <c r="G1914" s="270" t="s">
        <v>35</v>
      </c>
      <c r="H1914" s="272" t="s">
        <v>51</v>
      </c>
      <c r="I1914" s="273">
        <v>0.25</v>
      </c>
      <c r="J1914" s="270">
        <v>1</v>
      </c>
      <c r="K1914" s="270">
        <f t="shared" si="0"/>
        <v>0.25</v>
      </c>
      <c r="L1914" s="270">
        <v>-37</v>
      </c>
      <c r="M1914" s="270">
        <v>0</v>
      </c>
      <c r="N1914" s="274"/>
      <c r="O1914" s="55"/>
      <c r="P1914" s="96"/>
      <c r="Q1914" s="270">
        <v>0</v>
      </c>
      <c r="R1914" s="275">
        <v>0</v>
      </c>
      <c r="S1914" s="270">
        <v>0</v>
      </c>
      <c r="T1914" s="270">
        <v>0</v>
      </c>
      <c r="U1914" s="57">
        <v>1</v>
      </c>
      <c r="V1914" s="276">
        <v>0.3</v>
      </c>
      <c r="W1914" s="276">
        <v>0</v>
      </c>
      <c r="X1914" s="270">
        <v>0</v>
      </c>
      <c r="Y1914" s="270">
        <v>0</v>
      </c>
      <c r="Z1914" s="45" t="b">
        <v>0</v>
      </c>
      <c r="AA1914" s="45" t="s">
        <v>38</v>
      </c>
      <c r="AB1914" s="45" t="s">
        <v>38</v>
      </c>
    </row>
    <row r="1915" spans="1:28" x14ac:dyDescent="0.2">
      <c r="A1915" s="96" t="s">
        <v>191</v>
      </c>
      <c r="B1915" s="96" t="s">
        <v>193</v>
      </c>
      <c r="C1915" s="277">
        <v>44825</v>
      </c>
      <c r="D1915" s="277">
        <v>44854</v>
      </c>
      <c r="E1915" s="270" t="s">
        <v>267</v>
      </c>
      <c r="F1915" s="133" t="s">
        <v>34</v>
      </c>
      <c r="G1915" s="96" t="s">
        <v>80</v>
      </c>
      <c r="H1915" s="272" t="s">
        <v>86</v>
      </c>
      <c r="I1915" s="273">
        <v>5</v>
      </c>
      <c r="J1915" s="270">
        <v>4</v>
      </c>
      <c r="K1915" s="270">
        <f t="shared" si="0"/>
        <v>20</v>
      </c>
      <c r="L1915" s="270">
        <v>147</v>
      </c>
      <c r="M1915" s="270">
        <v>5</v>
      </c>
      <c r="N1915" s="274">
        <v>8</v>
      </c>
      <c r="O1915" s="55"/>
      <c r="P1915" s="45">
        <v>8</v>
      </c>
      <c r="Q1915" s="270">
        <v>1</v>
      </c>
      <c r="R1915" s="275">
        <v>1.2E-4</v>
      </c>
      <c r="S1915" s="270">
        <v>1</v>
      </c>
      <c r="T1915" s="270">
        <v>9</v>
      </c>
      <c r="U1915" s="57">
        <v>1</v>
      </c>
      <c r="V1915" s="276">
        <v>0.3</v>
      </c>
      <c r="W1915" s="276">
        <v>0</v>
      </c>
      <c r="X1915" s="270">
        <v>6</v>
      </c>
      <c r="Y1915" s="270">
        <v>3</v>
      </c>
      <c r="Z1915" s="45" t="b">
        <v>1</v>
      </c>
      <c r="AA1915" s="45" t="s">
        <v>38</v>
      </c>
      <c r="AB1915" s="45" t="s">
        <v>38</v>
      </c>
    </row>
    <row r="1916" spans="1:28" x14ac:dyDescent="0.2">
      <c r="A1916" s="96" t="s">
        <v>191</v>
      </c>
      <c r="B1916" s="96" t="s">
        <v>193</v>
      </c>
      <c r="C1916" s="277">
        <v>44825</v>
      </c>
      <c r="D1916" s="277">
        <v>44854</v>
      </c>
      <c r="E1916" s="270" t="s">
        <v>267</v>
      </c>
      <c r="F1916" s="133" t="s">
        <v>34</v>
      </c>
      <c r="G1916" s="96" t="s">
        <v>80</v>
      </c>
      <c r="H1916" s="272" t="s">
        <v>40</v>
      </c>
      <c r="I1916" s="273">
        <v>10</v>
      </c>
      <c r="J1916" s="270">
        <v>5400</v>
      </c>
      <c r="K1916" s="270">
        <f t="shared" si="0"/>
        <v>54000</v>
      </c>
      <c r="L1916" s="270">
        <v>74218</v>
      </c>
      <c r="M1916" s="270">
        <v>-3540</v>
      </c>
      <c r="N1916" s="274">
        <v>2160</v>
      </c>
      <c r="O1916" s="55"/>
      <c r="P1916" s="105">
        <v>2160</v>
      </c>
      <c r="Q1916" s="270">
        <v>-1825</v>
      </c>
      <c r="R1916" s="275">
        <v>1.2E-4</v>
      </c>
      <c r="S1916" s="270">
        <v>-1818</v>
      </c>
      <c r="T1916" s="270">
        <v>342</v>
      </c>
      <c r="U1916" s="57">
        <v>1</v>
      </c>
      <c r="V1916" s="276">
        <v>0.3</v>
      </c>
      <c r="W1916" s="276">
        <v>0</v>
      </c>
      <c r="X1916" s="270">
        <v>239</v>
      </c>
      <c r="Y1916" s="270">
        <v>102</v>
      </c>
      <c r="Z1916" s="45" t="b">
        <v>1</v>
      </c>
      <c r="AA1916" s="45" t="s">
        <v>38</v>
      </c>
      <c r="AB1916" s="45" t="s">
        <v>38</v>
      </c>
    </row>
    <row r="1917" spans="1:28" x14ac:dyDescent="0.2">
      <c r="A1917" s="96" t="s">
        <v>195</v>
      </c>
      <c r="B1917" s="96" t="s">
        <v>195</v>
      </c>
      <c r="C1917" s="277">
        <v>44825</v>
      </c>
      <c r="D1917" s="277">
        <v>44854</v>
      </c>
      <c r="E1917" s="270" t="s">
        <v>267</v>
      </c>
      <c r="F1917" s="96" t="s">
        <v>34</v>
      </c>
      <c r="G1917" s="270" t="s">
        <v>35</v>
      </c>
      <c r="H1917" s="289" t="s">
        <v>46</v>
      </c>
      <c r="I1917" s="280">
        <v>25</v>
      </c>
      <c r="J1917" s="279">
        <v>730</v>
      </c>
      <c r="K1917" s="270">
        <f t="shared" si="0"/>
        <v>18250</v>
      </c>
      <c r="L1917" s="279">
        <v>9494</v>
      </c>
      <c r="M1917" s="279">
        <v>-1475</v>
      </c>
      <c r="N1917" s="274">
        <v>225</v>
      </c>
      <c r="O1917" s="55"/>
      <c r="P1917" s="45">
        <v>225</v>
      </c>
      <c r="Q1917" s="279">
        <v>-728</v>
      </c>
      <c r="R1917" s="275">
        <v>1.2E-4</v>
      </c>
      <c r="S1917" s="279">
        <v>-726</v>
      </c>
      <c r="T1917" s="279">
        <v>-501</v>
      </c>
      <c r="U1917" s="57">
        <v>1.024</v>
      </c>
      <c r="V1917" s="276">
        <v>0.3</v>
      </c>
      <c r="W1917" s="276">
        <v>0</v>
      </c>
      <c r="X1917" s="279">
        <v>-359</v>
      </c>
      <c r="Y1917" s="279">
        <v>-154</v>
      </c>
      <c r="Z1917" s="45" t="b">
        <v>1</v>
      </c>
      <c r="AA1917" s="45" t="s">
        <v>50</v>
      </c>
      <c r="AB1917" s="45" t="s">
        <v>38</v>
      </c>
    </row>
    <row r="1918" spans="1:28" x14ac:dyDescent="0.2">
      <c r="A1918" s="96" t="s">
        <v>124</v>
      </c>
      <c r="B1918" s="96" t="s">
        <v>124</v>
      </c>
      <c r="C1918" s="277">
        <v>44825</v>
      </c>
      <c r="D1918" s="277">
        <v>44854</v>
      </c>
      <c r="E1918" s="270" t="s">
        <v>267</v>
      </c>
      <c r="F1918" s="96" t="s">
        <v>34</v>
      </c>
      <c r="G1918" s="270" t="s">
        <v>35</v>
      </c>
      <c r="H1918" s="272" t="s">
        <v>90</v>
      </c>
      <c r="I1918" s="273">
        <v>5</v>
      </c>
      <c r="J1918" s="270">
        <v>1</v>
      </c>
      <c r="K1918" s="270">
        <f t="shared" si="0"/>
        <v>5</v>
      </c>
      <c r="L1918" s="270">
        <v>-49</v>
      </c>
      <c r="M1918" s="270">
        <v>5</v>
      </c>
      <c r="N1918" s="274">
        <v>1</v>
      </c>
      <c r="O1918" s="55"/>
      <c r="P1918" s="45">
        <v>1</v>
      </c>
      <c r="Q1918" s="270">
        <v>-1</v>
      </c>
      <c r="R1918" s="275">
        <v>1.2E-4</v>
      </c>
      <c r="S1918" s="270">
        <v>-1</v>
      </c>
      <c r="T1918" s="270">
        <v>0</v>
      </c>
      <c r="U1918" s="57">
        <v>1</v>
      </c>
      <c r="V1918" s="276">
        <v>0.23</v>
      </c>
      <c r="W1918" s="276">
        <v>0</v>
      </c>
      <c r="X1918" s="270">
        <v>0</v>
      </c>
      <c r="Y1918" s="270">
        <v>0</v>
      </c>
      <c r="Z1918" s="45" t="b">
        <v>1</v>
      </c>
      <c r="AA1918" s="45" t="s">
        <v>38</v>
      </c>
      <c r="AB1918" s="45" t="s">
        <v>38</v>
      </c>
    </row>
    <row r="1919" spans="1:28" x14ac:dyDescent="0.2">
      <c r="A1919" s="96" t="s">
        <v>124</v>
      </c>
      <c r="B1919" s="96" t="s">
        <v>124</v>
      </c>
      <c r="C1919" s="277">
        <v>44825</v>
      </c>
      <c r="D1919" s="277">
        <v>44854</v>
      </c>
      <c r="E1919" s="270" t="s">
        <v>267</v>
      </c>
      <c r="F1919" s="96" t="s">
        <v>34</v>
      </c>
      <c r="G1919" s="270" t="s">
        <v>35</v>
      </c>
      <c r="H1919" s="272" t="s">
        <v>115</v>
      </c>
      <c r="I1919" s="273">
        <v>10</v>
      </c>
      <c r="J1919" s="270">
        <v>6684</v>
      </c>
      <c r="K1919" s="270">
        <f t="shared" si="0"/>
        <v>66840</v>
      </c>
      <c r="L1919" s="270">
        <v>80073</v>
      </c>
      <c r="M1919" s="270">
        <v>-430</v>
      </c>
      <c r="N1919" s="274">
        <v>4065</v>
      </c>
      <c r="O1919" s="55"/>
      <c r="P1919" s="105">
        <v>4065</v>
      </c>
      <c r="Q1919" s="270">
        <v>-2498</v>
      </c>
      <c r="R1919" s="275">
        <v>1.2E-4</v>
      </c>
      <c r="S1919" s="270">
        <v>-2490</v>
      </c>
      <c r="T1919" s="270">
        <v>1575</v>
      </c>
      <c r="U1919" s="57">
        <v>1</v>
      </c>
      <c r="V1919" s="276">
        <v>0.23</v>
      </c>
      <c r="W1919" s="276">
        <v>0</v>
      </c>
      <c r="X1919" s="270">
        <v>1213</v>
      </c>
      <c r="Y1919" s="270">
        <v>362</v>
      </c>
      <c r="Z1919" s="45" t="b">
        <v>1</v>
      </c>
      <c r="AA1919" s="45" t="s">
        <v>38</v>
      </c>
      <c r="AB1919" s="45" t="s">
        <v>38</v>
      </c>
    </row>
    <row r="1920" spans="1:28" x14ac:dyDescent="0.2">
      <c r="A1920" s="96" t="s">
        <v>124</v>
      </c>
      <c r="B1920" s="96" t="s">
        <v>124</v>
      </c>
      <c r="C1920" s="277">
        <v>44825</v>
      </c>
      <c r="D1920" s="277">
        <v>44854</v>
      </c>
      <c r="E1920" s="270" t="s">
        <v>267</v>
      </c>
      <c r="F1920" s="96" t="s">
        <v>34</v>
      </c>
      <c r="G1920" s="270" t="s">
        <v>35</v>
      </c>
      <c r="H1920" s="272" t="s">
        <v>87</v>
      </c>
      <c r="I1920" s="273">
        <v>25</v>
      </c>
      <c r="J1920" s="270">
        <v>8755</v>
      </c>
      <c r="K1920" s="270">
        <f t="shared" si="0"/>
        <v>218875</v>
      </c>
      <c r="L1920" s="270">
        <v>35722</v>
      </c>
      <c r="M1920" s="270">
        <v>-12375</v>
      </c>
      <c r="N1920" s="274">
        <v>11411</v>
      </c>
      <c r="O1920" s="55"/>
      <c r="P1920" s="105">
        <v>11411</v>
      </c>
      <c r="Q1920" s="270">
        <v>-11248</v>
      </c>
      <c r="R1920" s="275">
        <v>1.2E-4</v>
      </c>
      <c r="S1920" s="270">
        <v>-11222</v>
      </c>
      <c r="T1920" s="270">
        <v>189</v>
      </c>
      <c r="U1920" s="57">
        <v>1</v>
      </c>
      <c r="V1920" s="276">
        <v>0.23</v>
      </c>
      <c r="W1920" s="276">
        <v>0</v>
      </c>
      <c r="X1920" s="270">
        <v>146</v>
      </c>
      <c r="Y1920" s="270">
        <v>44</v>
      </c>
      <c r="Z1920" s="45" t="b">
        <v>1</v>
      </c>
      <c r="AA1920" s="45" t="s">
        <v>38</v>
      </c>
      <c r="AB1920" s="45" t="s">
        <v>38</v>
      </c>
    </row>
    <row r="1921" spans="1:28" x14ac:dyDescent="0.2">
      <c r="A1921" s="96" t="s">
        <v>124</v>
      </c>
      <c r="B1921" s="96" t="s">
        <v>124</v>
      </c>
      <c r="C1921" s="277">
        <v>44825</v>
      </c>
      <c r="D1921" s="277">
        <v>44854</v>
      </c>
      <c r="E1921" s="270" t="s">
        <v>267</v>
      </c>
      <c r="F1921" s="96" t="s">
        <v>34</v>
      </c>
      <c r="G1921" s="270" t="s">
        <v>35</v>
      </c>
      <c r="H1921" s="272" t="s">
        <v>85</v>
      </c>
      <c r="I1921" s="273">
        <v>50</v>
      </c>
      <c r="J1921" s="270">
        <v>638</v>
      </c>
      <c r="K1921" s="270">
        <f t="shared" si="0"/>
        <v>31900</v>
      </c>
      <c r="L1921" s="270">
        <v>-4154</v>
      </c>
      <c r="M1921" s="270">
        <v>-1850</v>
      </c>
      <c r="N1921" s="274">
        <v>1663</v>
      </c>
      <c r="O1921" s="55"/>
      <c r="P1921" s="105">
        <v>1663</v>
      </c>
      <c r="Q1921" s="270">
        <v>-2683</v>
      </c>
      <c r="R1921" s="275">
        <v>1.2E-4</v>
      </c>
      <c r="S1921" s="270">
        <v>-2680</v>
      </c>
      <c r="T1921" s="270">
        <v>-1017</v>
      </c>
      <c r="U1921" s="57">
        <v>1</v>
      </c>
      <c r="V1921" s="276">
        <v>0.23</v>
      </c>
      <c r="W1921" s="276">
        <v>0</v>
      </c>
      <c r="X1921" s="270">
        <v>-783</v>
      </c>
      <c r="Y1921" s="270">
        <v>-234</v>
      </c>
      <c r="Z1921" s="45" t="b">
        <v>1</v>
      </c>
      <c r="AA1921" s="45" t="s">
        <v>38</v>
      </c>
      <c r="AB1921" s="45" t="s">
        <v>38</v>
      </c>
    </row>
    <row r="1922" spans="1:28" x14ac:dyDescent="0.2">
      <c r="A1922" s="270" t="s">
        <v>114</v>
      </c>
      <c r="B1922" s="270" t="s">
        <v>114</v>
      </c>
      <c r="C1922" s="277">
        <v>44825</v>
      </c>
      <c r="D1922" s="277">
        <v>44854</v>
      </c>
      <c r="E1922" s="270" t="s">
        <v>267</v>
      </c>
      <c r="F1922" s="96" t="s">
        <v>34</v>
      </c>
      <c r="G1922" s="270" t="s">
        <v>35</v>
      </c>
      <c r="H1922" s="272" t="s">
        <v>90</v>
      </c>
      <c r="I1922" s="273">
        <v>5</v>
      </c>
      <c r="J1922" s="270">
        <v>1473</v>
      </c>
      <c r="K1922" s="270">
        <f t="shared" si="0"/>
        <v>7365</v>
      </c>
      <c r="L1922" s="270">
        <v>20713</v>
      </c>
      <c r="M1922" s="270">
        <v>70</v>
      </c>
      <c r="N1922" s="274">
        <v>427</v>
      </c>
      <c r="O1922" s="55"/>
      <c r="P1922" s="45">
        <v>427</v>
      </c>
      <c r="Q1922" s="270">
        <v>-336</v>
      </c>
      <c r="R1922" s="275">
        <v>1.2E-4</v>
      </c>
      <c r="S1922" s="270">
        <v>-335</v>
      </c>
      <c r="T1922" s="270">
        <v>92</v>
      </c>
      <c r="U1922" s="57">
        <v>1</v>
      </c>
      <c r="V1922" s="276">
        <v>0.3</v>
      </c>
      <c r="W1922" s="276">
        <v>0</v>
      </c>
      <c r="X1922" s="270">
        <v>64</v>
      </c>
      <c r="Y1922" s="270">
        <v>27</v>
      </c>
      <c r="Z1922" s="45" t="b">
        <v>1</v>
      </c>
      <c r="AA1922" s="45" t="s">
        <v>38</v>
      </c>
      <c r="AB1922" s="45" t="s">
        <v>38</v>
      </c>
    </row>
    <row r="1923" spans="1:28" x14ac:dyDescent="0.2">
      <c r="A1923" s="270" t="s">
        <v>114</v>
      </c>
      <c r="B1923" s="270" t="s">
        <v>114</v>
      </c>
      <c r="C1923" s="277">
        <v>44825</v>
      </c>
      <c r="D1923" s="277">
        <v>44854</v>
      </c>
      <c r="E1923" s="270" t="s">
        <v>267</v>
      </c>
      <c r="F1923" s="96" t="s">
        <v>34</v>
      </c>
      <c r="G1923" s="270" t="s">
        <v>35</v>
      </c>
      <c r="H1923" s="272" t="s">
        <v>40</v>
      </c>
      <c r="I1923" s="273">
        <v>10</v>
      </c>
      <c r="J1923" s="270">
        <v>324</v>
      </c>
      <c r="K1923" s="270">
        <f t="shared" si="0"/>
        <v>3240</v>
      </c>
      <c r="L1923" s="270">
        <v>19870</v>
      </c>
      <c r="M1923" s="270">
        <v>100</v>
      </c>
      <c r="N1923" s="274">
        <v>164</v>
      </c>
      <c r="O1923" s="55"/>
      <c r="P1923" s="45">
        <v>164</v>
      </c>
      <c r="Q1923" s="270">
        <v>125</v>
      </c>
      <c r="R1923" s="275">
        <v>1.2E-4</v>
      </c>
      <c r="S1923" s="270">
        <v>125</v>
      </c>
      <c r="T1923" s="270">
        <v>289</v>
      </c>
      <c r="U1923" s="57">
        <v>1</v>
      </c>
      <c r="V1923" s="276">
        <v>0.3</v>
      </c>
      <c r="W1923" s="276">
        <v>0</v>
      </c>
      <c r="X1923" s="270">
        <v>202</v>
      </c>
      <c r="Y1923" s="270">
        <v>87</v>
      </c>
      <c r="Z1923" s="45" t="b">
        <v>1</v>
      </c>
      <c r="AA1923" s="45" t="s">
        <v>38</v>
      </c>
      <c r="AB1923" s="45" t="s">
        <v>38</v>
      </c>
    </row>
    <row r="1924" spans="1:28" x14ac:dyDescent="0.2">
      <c r="A1924" s="270" t="s">
        <v>114</v>
      </c>
      <c r="B1924" s="270" t="s">
        <v>114</v>
      </c>
      <c r="C1924" s="277">
        <v>44825</v>
      </c>
      <c r="D1924" s="277">
        <v>44854</v>
      </c>
      <c r="E1924" s="270" t="s">
        <v>267</v>
      </c>
      <c r="F1924" s="96" t="s">
        <v>34</v>
      </c>
      <c r="G1924" s="270" t="s">
        <v>35</v>
      </c>
      <c r="H1924" s="272" t="s">
        <v>115</v>
      </c>
      <c r="I1924" s="273">
        <v>10</v>
      </c>
      <c r="J1924" s="270">
        <v>2174</v>
      </c>
      <c r="K1924" s="270">
        <f t="shared" si="0"/>
        <v>21740</v>
      </c>
      <c r="L1924" s="270">
        <v>36025</v>
      </c>
      <c r="M1924" s="270">
        <v>-1410</v>
      </c>
      <c r="N1924" s="274">
        <v>1103</v>
      </c>
      <c r="O1924" s="55"/>
      <c r="P1924" s="105">
        <v>1103</v>
      </c>
      <c r="Q1924" s="270">
        <v>-507</v>
      </c>
      <c r="R1924" s="275">
        <v>1.2E-4</v>
      </c>
      <c r="S1924" s="270">
        <v>-505</v>
      </c>
      <c r="T1924" s="270">
        <v>598</v>
      </c>
      <c r="U1924" s="57">
        <v>1</v>
      </c>
      <c r="V1924" s="276">
        <v>0.3</v>
      </c>
      <c r="W1924" s="276">
        <v>0</v>
      </c>
      <c r="X1924" s="270">
        <v>419</v>
      </c>
      <c r="Y1924" s="270">
        <v>179</v>
      </c>
      <c r="Z1924" s="45" t="b">
        <v>1</v>
      </c>
      <c r="AA1924" s="45" t="s">
        <v>38</v>
      </c>
      <c r="AB1924" s="45" t="s">
        <v>38</v>
      </c>
    </row>
    <row r="1925" spans="1:28" x14ac:dyDescent="0.2">
      <c r="A1925" s="96" t="s">
        <v>206</v>
      </c>
      <c r="B1925" s="96" t="s">
        <v>206</v>
      </c>
      <c r="C1925" s="277">
        <v>44825</v>
      </c>
      <c r="D1925" s="277">
        <v>44854</v>
      </c>
      <c r="E1925" s="270" t="s">
        <v>267</v>
      </c>
      <c r="F1925" s="133" t="s">
        <v>34</v>
      </c>
      <c r="G1925" s="96" t="s">
        <v>35</v>
      </c>
      <c r="H1925" s="272" t="s">
        <v>70</v>
      </c>
      <c r="I1925" s="273">
        <v>100</v>
      </c>
      <c r="J1925" s="270">
        <v>156</v>
      </c>
      <c r="K1925" s="270">
        <f t="shared" si="0"/>
        <v>15600</v>
      </c>
      <c r="L1925" s="270">
        <v>4648</v>
      </c>
      <c r="M1925" s="270">
        <v>600</v>
      </c>
      <c r="N1925" s="274">
        <v>1762</v>
      </c>
      <c r="O1925" s="55"/>
      <c r="P1925" s="105">
        <v>1762</v>
      </c>
      <c r="Q1925" s="270">
        <v>-71</v>
      </c>
      <c r="R1925" s="275">
        <v>1.2E-4</v>
      </c>
      <c r="S1925" s="270">
        <v>-69</v>
      </c>
      <c r="T1925" s="270">
        <v>1693</v>
      </c>
      <c r="U1925" s="57">
        <v>1</v>
      </c>
      <c r="V1925" s="276">
        <v>0.1</v>
      </c>
      <c r="W1925" s="276">
        <v>0</v>
      </c>
      <c r="X1925" s="270">
        <v>1524</v>
      </c>
      <c r="Y1925" s="270">
        <v>169</v>
      </c>
      <c r="Z1925" s="45" t="b">
        <v>1</v>
      </c>
      <c r="AA1925" s="45" t="s">
        <v>38</v>
      </c>
      <c r="AB1925" s="45" t="s">
        <v>38</v>
      </c>
    </row>
    <row r="1926" spans="1:28" x14ac:dyDescent="0.2">
      <c r="A1926" s="96" t="s">
        <v>206</v>
      </c>
      <c r="B1926" s="96" t="s">
        <v>206</v>
      </c>
      <c r="C1926" s="277">
        <v>44825</v>
      </c>
      <c r="D1926" s="277">
        <v>44854</v>
      </c>
      <c r="E1926" s="270" t="s">
        <v>267</v>
      </c>
      <c r="F1926" s="133" t="s">
        <v>34</v>
      </c>
      <c r="G1926" s="96" t="s">
        <v>35</v>
      </c>
      <c r="H1926" s="272" t="s">
        <v>84</v>
      </c>
      <c r="I1926" s="273">
        <v>100</v>
      </c>
      <c r="J1926" s="270">
        <v>19</v>
      </c>
      <c r="K1926" s="270">
        <f t="shared" si="0"/>
        <v>1900</v>
      </c>
      <c r="L1926" s="270">
        <v>236</v>
      </c>
      <c r="M1926" s="270">
        <v>600</v>
      </c>
      <c r="N1926" s="274">
        <v>215</v>
      </c>
      <c r="O1926" s="55"/>
      <c r="P1926" s="45">
        <v>215</v>
      </c>
      <c r="Q1926" s="270">
        <v>-41</v>
      </c>
      <c r="R1926" s="275">
        <v>1.2E-4</v>
      </c>
      <c r="S1926" s="270">
        <v>-41</v>
      </c>
      <c r="T1926" s="270">
        <v>174</v>
      </c>
      <c r="U1926" s="57">
        <v>1</v>
      </c>
      <c r="V1926" s="276">
        <v>0.1</v>
      </c>
      <c r="W1926" s="276">
        <v>0</v>
      </c>
      <c r="X1926" s="270">
        <v>157</v>
      </c>
      <c r="Y1926" s="270">
        <v>17</v>
      </c>
      <c r="Z1926" s="45" t="b">
        <v>1</v>
      </c>
      <c r="AA1926" s="45" t="s">
        <v>38</v>
      </c>
      <c r="AB1926" s="45" t="s">
        <v>38</v>
      </c>
    </row>
    <row r="1927" spans="1:28" x14ac:dyDescent="0.2">
      <c r="A1927" s="96" t="s">
        <v>206</v>
      </c>
      <c r="B1927" s="96" t="s">
        <v>206</v>
      </c>
      <c r="C1927" s="277">
        <v>44825</v>
      </c>
      <c r="D1927" s="277">
        <v>44854</v>
      </c>
      <c r="E1927" s="270" t="s">
        <v>267</v>
      </c>
      <c r="F1927" s="133" t="s">
        <v>34</v>
      </c>
      <c r="G1927" s="96" t="s">
        <v>35</v>
      </c>
      <c r="H1927" s="272" t="s">
        <v>88</v>
      </c>
      <c r="I1927" s="273">
        <v>250</v>
      </c>
      <c r="J1927" s="270">
        <v>190</v>
      </c>
      <c r="K1927" s="270">
        <f t="shared" si="0"/>
        <v>47500</v>
      </c>
      <c r="L1927" s="270">
        <v>10762</v>
      </c>
      <c r="M1927" s="270">
        <v>-3250</v>
      </c>
      <c r="N1927" s="274">
        <v>5364</v>
      </c>
      <c r="O1927" s="55"/>
      <c r="P1927" s="105">
        <v>5364</v>
      </c>
      <c r="Q1927" s="270">
        <v>2301</v>
      </c>
      <c r="R1927" s="275">
        <v>1.2E-4</v>
      </c>
      <c r="S1927" s="270">
        <v>2307</v>
      </c>
      <c r="T1927" s="270">
        <v>7671</v>
      </c>
      <c r="U1927" s="57">
        <v>1</v>
      </c>
      <c r="V1927" s="276">
        <v>0.1</v>
      </c>
      <c r="W1927" s="276">
        <v>0</v>
      </c>
      <c r="X1927" s="270">
        <v>6904</v>
      </c>
      <c r="Y1927" s="270">
        <v>767</v>
      </c>
      <c r="Z1927" s="45" t="b">
        <v>1</v>
      </c>
      <c r="AA1927" s="45" t="s">
        <v>38</v>
      </c>
      <c r="AB1927" s="45" t="s">
        <v>38</v>
      </c>
    </row>
    <row r="1928" spans="1:28" x14ac:dyDescent="0.2">
      <c r="A1928" s="96" t="s">
        <v>206</v>
      </c>
      <c r="B1928" s="96" t="s">
        <v>206</v>
      </c>
      <c r="C1928" s="277">
        <v>44825</v>
      </c>
      <c r="D1928" s="277">
        <v>44854</v>
      </c>
      <c r="E1928" s="270" t="s">
        <v>267</v>
      </c>
      <c r="F1928" s="133" t="s">
        <v>34</v>
      </c>
      <c r="G1928" s="96" t="s">
        <v>35</v>
      </c>
      <c r="H1928" s="272" t="s">
        <v>148</v>
      </c>
      <c r="I1928" s="273">
        <v>250</v>
      </c>
      <c r="J1928" s="270">
        <v>57</v>
      </c>
      <c r="K1928" s="270">
        <f t="shared" si="0"/>
        <v>14250</v>
      </c>
      <c r="L1928" s="270">
        <v>-1507</v>
      </c>
      <c r="M1928" s="270">
        <v>-3750</v>
      </c>
      <c r="N1928" s="274">
        <v>1609</v>
      </c>
      <c r="O1928" s="55"/>
      <c r="P1928" s="105">
        <v>1609</v>
      </c>
      <c r="Q1928" s="270">
        <v>-2006</v>
      </c>
      <c r="R1928" s="275">
        <v>1.2E-4</v>
      </c>
      <c r="S1928" s="270">
        <v>-2004</v>
      </c>
      <c r="T1928" s="270">
        <v>-395</v>
      </c>
      <c r="U1928" s="57">
        <v>1</v>
      </c>
      <c r="V1928" s="276">
        <v>0.1</v>
      </c>
      <c r="W1928" s="276">
        <v>0</v>
      </c>
      <c r="X1928" s="270">
        <v>-356</v>
      </c>
      <c r="Y1928" s="270">
        <v>-40</v>
      </c>
      <c r="Z1928" s="45" t="b">
        <v>1</v>
      </c>
      <c r="AA1928" s="45" t="s">
        <v>38</v>
      </c>
      <c r="AB1928" s="45" t="s">
        <v>38</v>
      </c>
    </row>
    <row r="1929" spans="1:28" x14ac:dyDescent="0.2">
      <c r="A1929" s="279" t="s">
        <v>58</v>
      </c>
      <c r="B1929" s="279" t="s">
        <v>52</v>
      </c>
      <c r="C1929" s="282">
        <v>44835</v>
      </c>
      <c r="D1929" s="282">
        <v>44865</v>
      </c>
      <c r="E1929" s="279" t="s">
        <v>267</v>
      </c>
      <c r="F1929" s="133" t="s">
        <v>41</v>
      </c>
      <c r="G1929" s="279" t="s">
        <v>53</v>
      </c>
      <c r="H1929" s="289" t="s">
        <v>56</v>
      </c>
      <c r="I1929" s="280">
        <v>20</v>
      </c>
      <c r="J1929" s="279">
        <v>2572</v>
      </c>
      <c r="K1929" s="270">
        <f t="shared" si="0"/>
        <v>51440</v>
      </c>
      <c r="L1929" s="279">
        <v>116645</v>
      </c>
      <c r="M1929" s="279">
        <v>-1344.74</v>
      </c>
      <c r="N1929" s="281"/>
      <c r="O1929" s="55">
        <v>0.5</v>
      </c>
      <c r="P1929" s="105">
        <v>1800</v>
      </c>
      <c r="Q1929" s="279">
        <v>353</v>
      </c>
      <c r="R1929" s="275">
        <v>0</v>
      </c>
      <c r="S1929" s="279">
        <v>353</v>
      </c>
      <c r="T1929" s="279">
        <v>456</v>
      </c>
      <c r="U1929" s="57">
        <v>0.98</v>
      </c>
      <c r="V1929" s="276">
        <v>0.17</v>
      </c>
      <c r="W1929" s="276">
        <v>0</v>
      </c>
      <c r="X1929" s="279">
        <v>371</v>
      </c>
      <c r="Y1929" s="279">
        <v>76</v>
      </c>
      <c r="Z1929" s="45" t="b">
        <v>1</v>
      </c>
      <c r="AA1929" s="45" t="s">
        <v>38</v>
      </c>
      <c r="AB1929" s="45" t="s">
        <v>50</v>
      </c>
    </row>
    <row r="1930" spans="1:28" x14ac:dyDescent="0.2">
      <c r="A1930" s="279" t="s">
        <v>58</v>
      </c>
      <c r="B1930" s="279" t="s">
        <v>52</v>
      </c>
      <c r="C1930" s="282">
        <v>44835</v>
      </c>
      <c r="D1930" s="282">
        <v>44865</v>
      </c>
      <c r="E1930" s="279" t="s">
        <v>267</v>
      </c>
      <c r="F1930" s="133" t="s">
        <v>41</v>
      </c>
      <c r="G1930" s="279" t="s">
        <v>53</v>
      </c>
      <c r="H1930" s="289" t="s">
        <v>57</v>
      </c>
      <c r="I1930" s="280">
        <v>50</v>
      </c>
      <c r="J1930" s="279">
        <v>882</v>
      </c>
      <c r="K1930" s="270">
        <f t="shared" si="0"/>
        <v>44100</v>
      </c>
      <c r="L1930" s="279">
        <v>25048</v>
      </c>
      <c r="M1930" s="279">
        <v>-1152.8599999999999</v>
      </c>
      <c r="N1930" s="281"/>
      <c r="O1930" s="55">
        <v>0.5</v>
      </c>
      <c r="P1930" s="105">
        <v>1544</v>
      </c>
      <c r="Q1930" s="279">
        <v>-1074</v>
      </c>
      <c r="R1930" s="275">
        <v>0</v>
      </c>
      <c r="S1930" s="279">
        <v>-1074</v>
      </c>
      <c r="T1930" s="279">
        <v>391</v>
      </c>
      <c r="U1930" s="57">
        <v>0.98</v>
      </c>
      <c r="V1930" s="276">
        <v>0.17</v>
      </c>
      <c r="W1930" s="276">
        <v>0</v>
      </c>
      <c r="X1930" s="279">
        <v>318</v>
      </c>
      <c r="Y1930" s="279">
        <v>65</v>
      </c>
      <c r="Z1930" s="45" t="b">
        <v>1</v>
      </c>
      <c r="AA1930" s="45" t="s">
        <v>38</v>
      </c>
      <c r="AB1930" s="45" t="s">
        <v>50</v>
      </c>
    </row>
    <row r="1931" spans="1:28" x14ac:dyDescent="0.2">
      <c r="A1931" s="279" t="s">
        <v>58</v>
      </c>
      <c r="B1931" s="279" t="s">
        <v>52</v>
      </c>
      <c r="C1931" s="282">
        <v>44835</v>
      </c>
      <c r="D1931" s="282">
        <v>44865</v>
      </c>
      <c r="E1931" s="279" t="s">
        <v>267</v>
      </c>
      <c r="F1931" s="133" t="s">
        <v>41</v>
      </c>
      <c r="G1931" s="279" t="s">
        <v>53</v>
      </c>
      <c r="H1931" s="289" t="s">
        <v>54</v>
      </c>
      <c r="I1931" s="280">
        <v>5</v>
      </c>
      <c r="J1931" s="279">
        <v>26</v>
      </c>
      <c r="K1931" s="270">
        <f t="shared" si="0"/>
        <v>130</v>
      </c>
      <c r="L1931" s="279">
        <v>291</v>
      </c>
      <c r="M1931" s="279">
        <v>-3.4</v>
      </c>
      <c r="N1931" s="281"/>
      <c r="O1931" s="55">
        <v>0.5</v>
      </c>
      <c r="P1931" s="45">
        <v>5</v>
      </c>
      <c r="Q1931" s="279">
        <v>-7</v>
      </c>
      <c r="R1931" s="275">
        <v>0</v>
      </c>
      <c r="S1931" s="279">
        <v>-7</v>
      </c>
      <c r="T1931" s="279">
        <v>1</v>
      </c>
      <c r="U1931" s="57">
        <v>0.98</v>
      </c>
      <c r="V1931" s="276">
        <v>0.17</v>
      </c>
      <c r="W1931" s="276">
        <v>0</v>
      </c>
      <c r="X1931" s="279">
        <v>1</v>
      </c>
      <c r="Y1931" s="279">
        <v>0</v>
      </c>
      <c r="Z1931" s="45" t="b">
        <v>1</v>
      </c>
      <c r="AA1931" s="45" t="s">
        <v>38</v>
      </c>
      <c r="AB1931" s="45" t="s">
        <v>50</v>
      </c>
    </row>
    <row r="1932" spans="1:28" x14ac:dyDescent="0.2">
      <c r="A1932" s="96" t="s">
        <v>145</v>
      </c>
      <c r="B1932" s="96" t="s">
        <v>145</v>
      </c>
      <c r="C1932" s="277">
        <v>44835</v>
      </c>
      <c r="D1932" s="277">
        <v>44865</v>
      </c>
      <c r="E1932" s="270" t="s">
        <v>300</v>
      </c>
      <c r="F1932" s="133" t="s">
        <v>49</v>
      </c>
      <c r="G1932" s="279" t="s">
        <v>35</v>
      </c>
      <c r="H1932" s="272" t="s">
        <v>85</v>
      </c>
      <c r="I1932" s="273">
        <v>50</v>
      </c>
      <c r="J1932" s="270">
        <v>13</v>
      </c>
      <c r="K1932" s="270">
        <f t="shared" si="0"/>
        <v>650</v>
      </c>
      <c r="L1932" s="270">
        <v>-1154</v>
      </c>
      <c r="M1932" s="270">
        <v>-400</v>
      </c>
      <c r="N1932" s="274">
        <v>27</v>
      </c>
      <c r="O1932" s="55"/>
      <c r="P1932" s="45">
        <v>27</v>
      </c>
      <c r="Q1932" s="270">
        <v>-220</v>
      </c>
      <c r="R1932" s="275">
        <v>-3.1970000000000002E-3</v>
      </c>
      <c r="S1932" s="270">
        <v>-222</v>
      </c>
      <c r="T1932" s="270">
        <v>-195</v>
      </c>
      <c r="U1932" s="57">
        <v>1</v>
      </c>
      <c r="V1932" s="276">
        <v>0.17499999999999999</v>
      </c>
      <c r="W1932" s="276">
        <v>7.4999999999999997E-2</v>
      </c>
      <c r="X1932" s="270">
        <v>-146</v>
      </c>
      <c r="Y1932" s="270">
        <v>-49</v>
      </c>
      <c r="Z1932" s="45" t="b">
        <v>1</v>
      </c>
      <c r="AA1932" s="45" t="s">
        <v>38</v>
      </c>
      <c r="AB1932" s="45" t="s">
        <v>38</v>
      </c>
    </row>
    <row r="1933" spans="1:28" x14ac:dyDescent="0.2">
      <c r="A1933" s="96" t="s">
        <v>145</v>
      </c>
      <c r="B1933" s="96" t="s">
        <v>145</v>
      </c>
      <c r="C1933" s="277">
        <v>44835</v>
      </c>
      <c r="D1933" s="277">
        <v>44865</v>
      </c>
      <c r="E1933" s="270" t="s">
        <v>300</v>
      </c>
      <c r="F1933" s="133" t="s">
        <v>49</v>
      </c>
      <c r="G1933" s="279" t="s">
        <v>35</v>
      </c>
      <c r="H1933" s="272" t="s">
        <v>70</v>
      </c>
      <c r="I1933" s="273">
        <v>100</v>
      </c>
      <c r="J1933" s="270">
        <v>23</v>
      </c>
      <c r="K1933" s="270">
        <f t="shared" si="0"/>
        <v>2300</v>
      </c>
      <c r="L1933" s="270">
        <v>6</v>
      </c>
      <c r="M1933" s="270">
        <v>-9</v>
      </c>
      <c r="N1933" s="274">
        <v>80</v>
      </c>
      <c r="O1933" s="55"/>
      <c r="P1933" s="45">
        <v>80</v>
      </c>
      <c r="Q1933" s="270">
        <v>-123</v>
      </c>
      <c r="R1933" s="275">
        <v>-5.1850000000000004E-3</v>
      </c>
      <c r="S1933" s="270">
        <v>-135</v>
      </c>
      <c r="T1933" s="270">
        <v>-55</v>
      </c>
      <c r="U1933" s="57">
        <v>1</v>
      </c>
      <c r="V1933" s="276">
        <v>0.17499999999999999</v>
      </c>
      <c r="W1933" s="276">
        <v>7.4999999999999997E-2</v>
      </c>
      <c r="X1933" s="270">
        <v>-41</v>
      </c>
      <c r="Y1933" s="270">
        <v>-14</v>
      </c>
      <c r="Z1933" s="45" t="b">
        <v>1</v>
      </c>
      <c r="AA1933" s="45" t="s">
        <v>38</v>
      </c>
      <c r="AB1933" s="45" t="s">
        <v>38</v>
      </c>
    </row>
    <row r="1934" spans="1:28" x14ac:dyDescent="0.2">
      <c r="A1934" s="96" t="s">
        <v>145</v>
      </c>
      <c r="B1934" s="96" t="s">
        <v>145</v>
      </c>
      <c r="C1934" s="277">
        <v>44835</v>
      </c>
      <c r="D1934" s="277">
        <v>44865</v>
      </c>
      <c r="E1934" s="270" t="s">
        <v>300</v>
      </c>
      <c r="F1934" s="133" t="s">
        <v>49</v>
      </c>
      <c r="G1934" s="279" t="s">
        <v>35</v>
      </c>
      <c r="H1934" s="272" t="s">
        <v>142</v>
      </c>
      <c r="I1934" s="273">
        <v>500</v>
      </c>
      <c r="J1934" s="270">
        <v>106</v>
      </c>
      <c r="K1934" s="270">
        <f t="shared" si="0"/>
        <v>53000</v>
      </c>
      <c r="L1934" s="270">
        <v>2993</v>
      </c>
      <c r="M1934" s="270">
        <v>2500</v>
      </c>
      <c r="N1934" s="274">
        <v>1852</v>
      </c>
      <c r="O1934" s="55"/>
      <c r="P1934" s="105">
        <v>1852</v>
      </c>
      <c r="Q1934" s="270">
        <v>122</v>
      </c>
      <c r="R1934" s="275">
        <v>-5.3410000000000003E-3</v>
      </c>
      <c r="S1934" s="270">
        <v>-161</v>
      </c>
      <c r="T1934" s="270">
        <v>1691</v>
      </c>
      <c r="U1934" s="57">
        <v>1</v>
      </c>
      <c r="V1934" s="276">
        <v>0.17499999999999999</v>
      </c>
      <c r="W1934" s="276">
        <v>7.4999999999999997E-2</v>
      </c>
      <c r="X1934" s="270">
        <v>1268</v>
      </c>
      <c r="Y1934" s="270">
        <v>423</v>
      </c>
      <c r="Z1934" s="45" t="b">
        <v>1</v>
      </c>
      <c r="AA1934" s="45" t="s">
        <v>38</v>
      </c>
      <c r="AB1934" s="45" t="s">
        <v>38</v>
      </c>
    </row>
    <row r="1935" spans="1:28" x14ac:dyDescent="0.2">
      <c r="A1935" s="96" t="s">
        <v>145</v>
      </c>
      <c r="B1935" s="96" t="s">
        <v>145</v>
      </c>
      <c r="C1935" s="277">
        <v>44835</v>
      </c>
      <c r="D1935" s="277">
        <v>44865</v>
      </c>
      <c r="E1935" s="270" t="s">
        <v>300</v>
      </c>
      <c r="F1935" s="133" t="s">
        <v>49</v>
      </c>
      <c r="G1935" s="279" t="s">
        <v>35</v>
      </c>
      <c r="H1935" s="272" t="s">
        <v>149</v>
      </c>
      <c r="I1935" s="273">
        <v>500</v>
      </c>
      <c r="J1935" s="270">
        <v>115</v>
      </c>
      <c r="K1935" s="270">
        <f t="shared" si="0"/>
        <v>57500</v>
      </c>
      <c r="L1935" s="270">
        <v>-1241</v>
      </c>
      <c r="M1935" s="270">
        <v>1500</v>
      </c>
      <c r="N1935" s="274">
        <v>2009</v>
      </c>
      <c r="O1935" s="55"/>
      <c r="P1935" s="105">
        <v>2009</v>
      </c>
      <c r="Q1935" s="270">
        <v>-4866</v>
      </c>
      <c r="R1935" s="275">
        <v>-4.888E-3</v>
      </c>
      <c r="S1935" s="270">
        <v>-5147</v>
      </c>
      <c r="T1935" s="270">
        <v>-3138</v>
      </c>
      <c r="U1935" s="57">
        <v>1</v>
      </c>
      <c r="V1935" s="276">
        <v>0.17499999999999999</v>
      </c>
      <c r="W1935" s="276">
        <v>7.4999999999999997E-2</v>
      </c>
      <c r="X1935" s="270">
        <v>-2354</v>
      </c>
      <c r="Y1935" s="270">
        <v>-785</v>
      </c>
      <c r="Z1935" s="45" t="b">
        <v>1</v>
      </c>
      <c r="AA1935" s="45" t="s">
        <v>38</v>
      </c>
      <c r="AB1935" s="45" t="s">
        <v>38</v>
      </c>
    </row>
    <row r="1936" spans="1:28" x14ac:dyDescent="0.2">
      <c r="A1936" s="96" t="s">
        <v>145</v>
      </c>
      <c r="B1936" s="96" t="s">
        <v>145</v>
      </c>
      <c r="C1936" s="277">
        <v>44835</v>
      </c>
      <c r="D1936" s="277">
        <v>44865</v>
      </c>
      <c r="E1936" s="270" t="s">
        <v>300</v>
      </c>
      <c r="F1936" s="133" t="s">
        <v>49</v>
      </c>
      <c r="G1936" s="279" t="s">
        <v>35</v>
      </c>
      <c r="H1936" s="272" t="s">
        <v>148</v>
      </c>
      <c r="I1936" s="273">
        <v>250</v>
      </c>
      <c r="J1936" s="270">
        <v>760</v>
      </c>
      <c r="K1936" s="270">
        <f t="shared" si="0"/>
        <v>190000</v>
      </c>
      <c r="L1936" s="270">
        <v>14712</v>
      </c>
      <c r="M1936" s="270">
        <v>-1750</v>
      </c>
      <c r="N1936" s="274">
        <v>6639</v>
      </c>
      <c r="O1936" s="55"/>
      <c r="P1936" s="105">
        <v>6639</v>
      </c>
      <c r="Q1936" s="270">
        <v>1715</v>
      </c>
      <c r="R1936" s="275">
        <v>-5.3730000000000002E-3</v>
      </c>
      <c r="S1936" s="270">
        <v>694</v>
      </c>
      <c r="T1936" s="270">
        <v>7333</v>
      </c>
      <c r="U1936" s="57">
        <v>1</v>
      </c>
      <c r="V1936" s="276">
        <v>0.17499999999999999</v>
      </c>
      <c r="W1936" s="276">
        <v>7.4999999999999997E-2</v>
      </c>
      <c r="X1936" s="270">
        <v>5500</v>
      </c>
      <c r="Y1936" s="270">
        <v>1833</v>
      </c>
      <c r="Z1936" s="45" t="b">
        <v>1</v>
      </c>
      <c r="AA1936" s="45" t="s">
        <v>38</v>
      </c>
      <c r="AB1936" s="45" t="s">
        <v>38</v>
      </c>
    </row>
    <row r="1937" spans="1:28" x14ac:dyDescent="0.2">
      <c r="A1937" s="96" t="s">
        <v>145</v>
      </c>
      <c r="B1937" s="96" t="s">
        <v>145</v>
      </c>
      <c r="C1937" s="277">
        <v>44835</v>
      </c>
      <c r="D1937" s="277">
        <v>44865</v>
      </c>
      <c r="E1937" s="270" t="s">
        <v>300</v>
      </c>
      <c r="F1937" s="133" t="s">
        <v>49</v>
      </c>
      <c r="G1937" s="279" t="s">
        <v>35</v>
      </c>
      <c r="H1937" s="272" t="s">
        <v>88</v>
      </c>
      <c r="I1937" s="273">
        <v>250</v>
      </c>
      <c r="J1937" s="270">
        <v>906</v>
      </c>
      <c r="K1937" s="270">
        <f t="shared" si="0"/>
        <v>226500</v>
      </c>
      <c r="L1937" s="270">
        <v>17957</v>
      </c>
      <c r="M1937" s="270">
        <v>-3500</v>
      </c>
      <c r="N1937" s="274">
        <v>7914</v>
      </c>
      <c r="O1937" s="55"/>
      <c r="P1937" s="105">
        <v>7914</v>
      </c>
      <c r="Q1937" s="270">
        <v>-3252</v>
      </c>
      <c r="R1937" s="275">
        <v>-5.2509999999999996E-3</v>
      </c>
      <c r="S1937" s="270">
        <v>-4441</v>
      </c>
      <c r="T1937" s="270">
        <v>3473</v>
      </c>
      <c r="U1937" s="57">
        <v>1</v>
      </c>
      <c r="V1937" s="276">
        <v>0.17499999999999999</v>
      </c>
      <c r="W1937" s="276">
        <v>7.4999999999999997E-2</v>
      </c>
      <c r="X1937" s="270">
        <v>2605</v>
      </c>
      <c r="Y1937" s="270">
        <v>868</v>
      </c>
      <c r="Z1937" s="45" t="b">
        <v>1</v>
      </c>
      <c r="AA1937" s="45" t="s">
        <v>38</v>
      </c>
      <c r="AB1937" s="45" t="s">
        <v>38</v>
      </c>
    </row>
    <row r="1938" spans="1:28" x14ac:dyDescent="0.2">
      <c r="A1938" s="96" t="s">
        <v>145</v>
      </c>
      <c r="B1938" s="96" t="s">
        <v>145</v>
      </c>
      <c r="C1938" s="277">
        <v>44835</v>
      </c>
      <c r="D1938" s="277">
        <v>44865</v>
      </c>
      <c r="E1938" s="270" t="s">
        <v>300</v>
      </c>
      <c r="F1938" s="133" t="s">
        <v>49</v>
      </c>
      <c r="G1938" s="279" t="s">
        <v>35</v>
      </c>
      <c r="H1938" s="272" t="s">
        <v>84</v>
      </c>
      <c r="I1938" s="273">
        <v>100</v>
      </c>
      <c r="J1938" s="270">
        <v>3494</v>
      </c>
      <c r="K1938" s="270">
        <f t="shared" si="0"/>
        <v>349400</v>
      </c>
      <c r="L1938" s="270">
        <v>33585</v>
      </c>
      <c r="M1938" s="270">
        <v>1900</v>
      </c>
      <c r="N1938" s="274">
        <v>12229</v>
      </c>
      <c r="O1938" s="55"/>
      <c r="P1938" s="105">
        <v>12229</v>
      </c>
      <c r="Q1938" s="270">
        <v>-8376</v>
      </c>
      <c r="R1938" s="275">
        <v>-5.1999999999999998E-3</v>
      </c>
      <c r="S1938" s="270">
        <v>-10193</v>
      </c>
      <c r="T1938" s="270">
        <v>2036</v>
      </c>
      <c r="U1938" s="57">
        <v>1</v>
      </c>
      <c r="V1938" s="276">
        <v>0.17499999999999999</v>
      </c>
      <c r="W1938" s="276">
        <v>7.4999999999999997E-2</v>
      </c>
      <c r="X1938" s="270">
        <v>1527</v>
      </c>
      <c r="Y1938" s="270">
        <v>509</v>
      </c>
      <c r="Z1938" s="45" t="b">
        <v>1</v>
      </c>
      <c r="AA1938" s="45" t="s">
        <v>38</v>
      </c>
      <c r="AB1938" s="45" t="s">
        <v>38</v>
      </c>
    </row>
    <row r="1939" spans="1:28" x14ac:dyDescent="0.2">
      <c r="A1939" s="279" t="s">
        <v>155</v>
      </c>
      <c r="B1939" s="279" t="s">
        <v>155</v>
      </c>
      <c r="C1939" s="277">
        <v>44835</v>
      </c>
      <c r="D1939" s="277">
        <v>44865</v>
      </c>
      <c r="E1939" s="279" t="s">
        <v>267</v>
      </c>
      <c r="F1939" s="133" t="s">
        <v>49</v>
      </c>
      <c r="G1939" s="270" t="s">
        <v>35</v>
      </c>
      <c r="H1939" s="289" t="s">
        <v>40</v>
      </c>
      <c r="I1939" s="273">
        <v>10</v>
      </c>
      <c r="J1939" s="270">
        <v>5150</v>
      </c>
      <c r="K1939" s="270">
        <f t="shared" si="0"/>
        <v>51500</v>
      </c>
      <c r="L1939" s="270">
        <v>169971</v>
      </c>
      <c r="M1939" s="270">
        <v>-1370</v>
      </c>
      <c r="N1939" s="274">
        <v>2310</v>
      </c>
      <c r="O1939" s="55"/>
      <c r="P1939" s="105">
        <v>2310</v>
      </c>
      <c r="Q1939" s="270">
        <v>-693</v>
      </c>
      <c r="R1939" s="275">
        <v>-5.2379999999999996E-3</v>
      </c>
      <c r="S1939" s="270">
        <v>-963</v>
      </c>
      <c r="T1939" s="270">
        <v>1347</v>
      </c>
      <c r="U1939" s="57">
        <v>1</v>
      </c>
      <c r="V1939" s="276">
        <v>0.17</v>
      </c>
      <c r="W1939" s="276">
        <v>0</v>
      </c>
      <c r="X1939" s="270">
        <v>1118</v>
      </c>
      <c r="Y1939" s="270">
        <v>229</v>
      </c>
      <c r="Z1939" s="45" t="b">
        <v>1</v>
      </c>
      <c r="AA1939" s="45" t="s">
        <v>38</v>
      </c>
      <c r="AB1939" s="45" t="s">
        <v>38</v>
      </c>
    </row>
    <row r="1940" spans="1:28" x14ac:dyDescent="0.2">
      <c r="A1940" s="279" t="s">
        <v>155</v>
      </c>
      <c r="B1940" s="279" t="s">
        <v>155</v>
      </c>
      <c r="C1940" s="277">
        <v>44835</v>
      </c>
      <c r="D1940" s="277">
        <v>44865</v>
      </c>
      <c r="E1940" s="279" t="s">
        <v>267</v>
      </c>
      <c r="F1940" s="133" t="s">
        <v>49</v>
      </c>
      <c r="G1940" s="279" t="s">
        <v>69</v>
      </c>
      <c r="H1940" s="289" t="s">
        <v>40</v>
      </c>
      <c r="I1940" s="273">
        <v>10</v>
      </c>
      <c r="J1940" s="270">
        <v>7</v>
      </c>
      <c r="K1940" s="270">
        <f t="shared" si="0"/>
        <v>70</v>
      </c>
      <c r="L1940" s="270">
        <v>-133</v>
      </c>
      <c r="M1940" s="270">
        <v>20</v>
      </c>
      <c r="N1940" s="274"/>
      <c r="O1940" s="55"/>
      <c r="P1940" s="96"/>
      <c r="Q1940" s="270">
        <v>-7</v>
      </c>
      <c r="R1940" s="275">
        <v>-4.8299999999999998E-4</v>
      </c>
      <c r="S1940" s="270">
        <v>-7</v>
      </c>
      <c r="T1940" s="270">
        <v>-7</v>
      </c>
      <c r="U1940" s="57">
        <v>1</v>
      </c>
      <c r="V1940" s="276">
        <v>0.23</v>
      </c>
      <c r="W1940" s="276">
        <v>0</v>
      </c>
      <c r="X1940" s="270">
        <v>-5</v>
      </c>
      <c r="Y1940" s="270">
        <v>-2</v>
      </c>
      <c r="Z1940" s="45" t="b">
        <v>1</v>
      </c>
      <c r="AA1940" s="45" t="s">
        <v>38</v>
      </c>
      <c r="AB1940" s="45" t="s">
        <v>38</v>
      </c>
    </row>
    <row r="1941" spans="1:28" x14ac:dyDescent="0.2">
      <c r="A1941" s="279" t="s">
        <v>157</v>
      </c>
      <c r="B1941" s="279" t="s">
        <v>157</v>
      </c>
      <c r="C1941" s="282">
        <v>44835</v>
      </c>
      <c r="D1941" s="282">
        <v>44865</v>
      </c>
      <c r="E1941" s="279" t="s">
        <v>267</v>
      </c>
      <c r="F1941" s="133" t="s">
        <v>41</v>
      </c>
      <c r="G1941" s="279" t="s">
        <v>158</v>
      </c>
      <c r="H1941" s="289" t="s">
        <v>159</v>
      </c>
      <c r="I1941" s="280">
        <v>1000</v>
      </c>
      <c r="J1941" s="279">
        <v>267</v>
      </c>
      <c r="K1941" s="270">
        <f t="shared" si="0"/>
        <v>267000</v>
      </c>
      <c r="L1941" s="279"/>
      <c r="M1941" s="279">
        <v>26000</v>
      </c>
      <c r="N1941" s="281">
        <v>259076.46</v>
      </c>
      <c r="O1941" s="55"/>
      <c r="P1941" s="105">
        <v>259076</v>
      </c>
      <c r="Q1941" s="279"/>
      <c r="R1941" s="275">
        <v>0</v>
      </c>
      <c r="S1941" s="279"/>
      <c r="T1941" s="279">
        <v>285076</v>
      </c>
      <c r="U1941" s="57">
        <v>1.6E-2</v>
      </c>
      <c r="V1941" s="276">
        <v>0.17</v>
      </c>
      <c r="W1941" s="276">
        <v>0</v>
      </c>
      <c r="X1941" s="279">
        <v>3786</v>
      </c>
      <c r="Y1941" s="279">
        <v>775</v>
      </c>
      <c r="Z1941" s="45" t="b">
        <v>1</v>
      </c>
      <c r="AA1941" s="45" t="s">
        <v>38</v>
      </c>
      <c r="AB1941" s="45" t="s">
        <v>1003</v>
      </c>
    </row>
    <row r="1942" spans="1:28" x14ac:dyDescent="0.2">
      <c r="A1942" s="279" t="s">
        <v>157</v>
      </c>
      <c r="B1942" s="279" t="s">
        <v>157</v>
      </c>
      <c r="C1942" s="282">
        <v>44835</v>
      </c>
      <c r="D1942" s="282">
        <v>44865</v>
      </c>
      <c r="E1942" s="279" t="s">
        <v>267</v>
      </c>
      <c r="F1942" s="133" t="s">
        <v>41</v>
      </c>
      <c r="G1942" s="279" t="s">
        <v>158</v>
      </c>
      <c r="H1942" s="289" t="s">
        <v>160</v>
      </c>
      <c r="I1942" s="280">
        <v>2500</v>
      </c>
      <c r="J1942" s="279">
        <v>1439</v>
      </c>
      <c r="K1942" s="270">
        <f t="shared" si="0"/>
        <v>3597500</v>
      </c>
      <c r="L1942" s="279"/>
      <c r="M1942" s="279">
        <v>2500</v>
      </c>
      <c r="N1942" s="281">
        <v>40052.54</v>
      </c>
      <c r="O1942" s="55"/>
      <c r="P1942" s="105">
        <v>40053</v>
      </c>
      <c r="Q1942" s="279"/>
      <c r="R1942" s="275">
        <v>0</v>
      </c>
      <c r="S1942" s="279"/>
      <c r="T1942" s="279">
        <v>42553</v>
      </c>
      <c r="U1942" s="57">
        <v>1.6E-2</v>
      </c>
      <c r="V1942" s="276">
        <v>0.17</v>
      </c>
      <c r="W1942" s="276">
        <v>0</v>
      </c>
      <c r="X1942" s="279">
        <v>565</v>
      </c>
      <c r="Y1942" s="279">
        <v>116</v>
      </c>
      <c r="Z1942" s="45" t="b">
        <v>1</v>
      </c>
      <c r="AA1942" s="45" t="s">
        <v>38</v>
      </c>
      <c r="AB1942" s="45" t="s">
        <v>1003</v>
      </c>
    </row>
    <row r="1943" spans="1:28" x14ac:dyDescent="0.2">
      <c r="A1943" s="279" t="s">
        <v>157</v>
      </c>
      <c r="B1943" s="279" t="s">
        <v>157</v>
      </c>
      <c r="C1943" s="282">
        <v>44835</v>
      </c>
      <c r="D1943" s="282">
        <v>44865</v>
      </c>
      <c r="E1943" s="279" t="s">
        <v>267</v>
      </c>
      <c r="F1943" s="133" t="s">
        <v>41</v>
      </c>
      <c r="G1943" s="279" t="s">
        <v>158</v>
      </c>
      <c r="H1943" s="289" t="s">
        <v>161</v>
      </c>
      <c r="I1943" s="280">
        <v>5000</v>
      </c>
      <c r="J1943" s="279">
        <v>1211</v>
      </c>
      <c r="K1943" s="270">
        <f t="shared" si="0"/>
        <v>6055000</v>
      </c>
      <c r="L1943" s="279"/>
      <c r="M1943" s="279">
        <v>74457.06</v>
      </c>
      <c r="N1943" s="281">
        <v>0</v>
      </c>
      <c r="O1943" s="55"/>
      <c r="P1943" s="45">
        <v>0</v>
      </c>
      <c r="Q1943" s="279"/>
      <c r="R1943" s="275">
        <v>0</v>
      </c>
      <c r="S1943" s="279"/>
      <c r="T1943" s="279">
        <v>74457</v>
      </c>
      <c r="U1943" s="57">
        <v>1.6E-2</v>
      </c>
      <c r="V1943" s="276">
        <v>0.17</v>
      </c>
      <c r="W1943" s="276">
        <v>0</v>
      </c>
      <c r="X1943" s="279">
        <v>989</v>
      </c>
      <c r="Y1943" s="279">
        <v>203</v>
      </c>
      <c r="Z1943" s="45" t="b">
        <v>1</v>
      </c>
      <c r="AA1943" s="45" t="s">
        <v>38</v>
      </c>
      <c r="AB1943" s="45" t="s">
        <v>1003</v>
      </c>
    </row>
    <row r="1944" spans="1:28" x14ac:dyDescent="0.2">
      <c r="A1944" s="279" t="s">
        <v>150</v>
      </c>
      <c r="B1944" s="279" t="s">
        <v>150</v>
      </c>
      <c r="C1944" s="282">
        <v>44835</v>
      </c>
      <c r="D1944" s="282">
        <v>44865</v>
      </c>
      <c r="E1944" s="279" t="s">
        <v>267</v>
      </c>
      <c r="F1944" s="133" t="s">
        <v>41</v>
      </c>
      <c r="G1944" s="279" t="s">
        <v>53</v>
      </c>
      <c r="H1944" s="289" t="s">
        <v>54</v>
      </c>
      <c r="I1944" s="280">
        <v>5</v>
      </c>
      <c r="J1944" s="279">
        <v>2332</v>
      </c>
      <c r="K1944" s="270">
        <f t="shared" si="0"/>
        <v>11660</v>
      </c>
      <c r="L1944" s="279">
        <v>86284</v>
      </c>
      <c r="M1944" s="279">
        <v>-751.33</v>
      </c>
      <c r="N1944" s="274"/>
      <c r="O1944" s="55">
        <v>0.5</v>
      </c>
      <c r="P1944" s="45">
        <v>408</v>
      </c>
      <c r="Q1944" s="279">
        <v>-97</v>
      </c>
      <c r="R1944" s="275">
        <v>0</v>
      </c>
      <c r="S1944" s="279">
        <v>-97</v>
      </c>
      <c r="T1944" s="279">
        <v>-343</v>
      </c>
      <c r="U1944" s="57">
        <v>1</v>
      </c>
      <c r="V1944" s="276">
        <v>0.3</v>
      </c>
      <c r="W1944" s="276">
        <v>0</v>
      </c>
      <c r="X1944" s="279">
        <v>-240</v>
      </c>
      <c r="Y1944" s="279">
        <v>-103</v>
      </c>
      <c r="Z1944" s="45" t="b">
        <v>0</v>
      </c>
      <c r="AA1944" s="45" t="s">
        <v>38</v>
      </c>
      <c r="AB1944" s="45" t="s">
        <v>38</v>
      </c>
    </row>
    <row r="1945" spans="1:28" x14ac:dyDescent="0.2">
      <c r="A1945" s="279" t="s">
        <v>150</v>
      </c>
      <c r="B1945" s="279" t="s">
        <v>150</v>
      </c>
      <c r="C1945" s="282">
        <v>44835</v>
      </c>
      <c r="D1945" s="282">
        <v>44865</v>
      </c>
      <c r="E1945" s="279" t="s">
        <v>267</v>
      </c>
      <c r="F1945" s="133" t="s">
        <v>41</v>
      </c>
      <c r="G1945" s="279" t="s">
        <v>53</v>
      </c>
      <c r="H1945" s="289" t="s">
        <v>55</v>
      </c>
      <c r="I1945" s="280">
        <v>10</v>
      </c>
      <c r="J1945" s="279">
        <v>860</v>
      </c>
      <c r="K1945" s="270">
        <f t="shared" si="0"/>
        <v>8600</v>
      </c>
      <c r="L1945" s="279">
        <v>29240</v>
      </c>
      <c r="M1945" s="279">
        <v>-554.15</v>
      </c>
      <c r="N1945" s="274"/>
      <c r="O1945" s="55">
        <v>0.5</v>
      </c>
      <c r="P1945" s="45">
        <v>301</v>
      </c>
      <c r="Q1945" s="279">
        <v>-119</v>
      </c>
      <c r="R1945" s="275">
        <v>0</v>
      </c>
      <c r="S1945" s="279">
        <v>-119</v>
      </c>
      <c r="T1945" s="279">
        <v>-253</v>
      </c>
      <c r="U1945" s="57">
        <v>1</v>
      </c>
      <c r="V1945" s="276">
        <v>0.3</v>
      </c>
      <c r="W1945" s="276">
        <v>0</v>
      </c>
      <c r="X1945" s="279">
        <v>-177</v>
      </c>
      <c r="Y1945" s="279">
        <v>-76</v>
      </c>
      <c r="Z1945" s="45" t="b">
        <v>0</v>
      </c>
      <c r="AA1945" s="45" t="s">
        <v>38</v>
      </c>
      <c r="AB1945" s="45" t="s">
        <v>38</v>
      </c>
    </row>
    <row r="1946" spans="1:28" x14ac:dyDescent="0.2">
      <c r="A1946" s="279" t="s">
        <v>150</v>
      </c>
      <c r="B1946" s="279" t="s">
        <v>150</v>
      </c>
      <c r="C1946" s="282">
        <v>44835</v>
      </c>
      <c r="D1946" s="282">
        <v>44865</v>
      </c>
      <c r="E1946" s="279" t="s">
        <v>267</v>
      </c>
      <c r="F1946" s="133" t="s">
        <v>41</v>
      </c>
      <c r="G1946" s="279" t="s">
        <v>53</v>
      </c>
      <c r="H1946" s="289" t="s">
        <v>56</v>
      </c>
      <c r="I1946" s="280">
        <v>20</v>
      </c>
      <c r="J1946" s="279">
        <v>577</v>
      </c>
      <c r="K1946" s="270">
        <f t="shared" si="0"/>
        <v>11540</v>
      </c>
      <c r="L1946" s="279">
        <v>12694</v>
      </c>
      <c r="M1946" s="279">
        <v>-743.59</v>
      </c>
      <c r="N1946" s="274"/>
      <c r="O1946" s="55">
        <v>0.5</v>
      </c>
      <c r="P1946" s="45">
        <v>404</v>
      </c>
      <c r="Q1946" s="279">
        <v>-417</v>
      </c>
      <c r="R1946" s="275">
        <v>0</v>
      </c>
      <c r="S1946" s="279">
        <v>-417</v>
      </c>
      <c r="T1946" s="279">
        <v>-340</v>
      </c>
      <c r="U1946" s="57">
        <v>1</v>
      </c>
      <c r="V1946" s="276">
        <v>0.3</v>
      </c>
      <c r="W1946" s="276">
        <v>0</v>
      </c>
      <c r="X1946" s="279">
        <v>-238</v>
      </c>
      <c r="Y1946" s="279">
        <v>-102</v>
      </c>
      <c r="Z1946" s="45" t="b">
        <v>0</v>
      </c>
      <c r="AA1946" s="45" t="s">
        <v>38</v>
      </c>
      <c r="AB1946" s="45" t="s">
        <v>38</v>
      </c>
    </row>
    <row r="1947" spans="1:28" x14ac:dyDescent="0.2">
      <c r="A1947" s="279" t="s">
        <v>150</v>
      </c>
      <c r="B1947" s="279" t="s">
        <v>150</v>
      </c>
      <c r="C1947" s="282">
        <v>44835</v>
      </c>
      <c r="D1947" s="282">
        <v>44865</v>
      </c>
      <c r="E1947" s="279" t="s">
        <v>267</v>
      </c>
      <c r="F1947" s="133" t="s">
        <v>41</v>
      </c>
      <c r="G1947" s="279" t="s">
        <v>53</v>
      </c>
      <c r="H1947" s="289" t="s">
        <v>57</v>
      </c>
      <c r="I1947" s="280">
        <v>50</v>
      </c>
      <c r="J1947" s="279">
        <v>162</v>
      </c>
      <c r="K1947" s="270">
        <f t="shared" si="0"/>
        <v>8100</v>
      </c>
      <c r="L1947" s="279">
        <v>4374</v>
      </c>
      <c r="M1947" s="279">
        <v>-521.92999999999995</v>
      </c>
      <c r="N1947" s="274"/>
      <c r="O1947" s="55">
        <v>0.5</v>
      </c>
      <c r="P1947" s="45">
        <v>284</v>
      </c>
      <c r="Q1947" s="279">
        <v>-218</v>
      </c>
      <c r="R1947" s="275">
        <v>0</v>
      </c>
      <c r="S1947" s="279">
        <v>-218</v>
      </c>
      <c r="T1947" s="279">
        <v>-238</v>
      </c>
      <c r="U1947" s="57">
        <v>1</v>
      </c>
      <c r="V1947" s="276">
        <v>0.3</v>
      </c>
      <c r="W1947" s="276">
        <v>0</v>
      </c>
      <c r="X1947" s="279">
        <v>-167</v>
      </c>
      <c r="Y1947" s="279">
        <v>-72</v>
      </c>
      <c r="Z1947" s="45" t="b">
        <v>0</v>
      </c>
      <c r="AA1947" s="45" t="s">
        <v>38</v>
      </c>
      <c r="AB1947" s="45" t="s">
        <v>38</v>
      </c>
    </row>
    <row r="1948" spans="1:28" x14ac:dyDescent="0.2">
      <c r="A1948" s="279" t="s">
        <v>150</v>
      </c>
      <c r="B1948" s="279" t="s">
        <v>150</v>
      </c>
      <c r="C1948" s="282">
        <v>44835</v>
      </c>
      <c r="D1948" s="282">
        <v>44865</v>
      </c>
      <c r="E1948" s="279" t="s">
        <v>267</v>
      </c>
      <c r="F1948" s="133" t="s">
        <v>41</v>
      </c>
      <c r="G1948" s="279" t="s">
        <v>53</v>
      </c>
      <c r="H1948" s="289" t="s">
        <v>59</v>
      </c>
      <c r="I1948" s="280">
        <v>100</v>
      </c>
      <c r="J1948" s="279">
        <v>9</v>
      </c>
      <c r="K1948" s="270">
        <f t="shared" si="0"/>
        <v>900</v>
      </c>
      <c r="L1948" s="279"/>
      <c r="M1948" s="279">
        <v>-57.99</v>
      </c>
      <c r="N1948" s="274"/>
      <c r="O1948" s="55">
        <v>0.5</v>
      </c>
      <c r="P1948" s="45">
        <v>32</v>
      </c>
      <c r="Q1948" s="279"/>
      <c r="R1948" s="275">
        <v>0</v>
      </c>
      <c r="S1948" s="279"/>
      <c r="T1948" s="279">
        <v>-26</v>
      </c>
      <c r="U1948" s="57">
        <v>1</v>
      </c>
      <c r="V1948" s="276">
        <v>0.3</v>
      </c>
      <c r="W1948" s="276">
        <v>0</v>
      </c>
      <c r="X1948" s="279">
        <v>-19</v>
      </c>
      <c r="Y1948" s="279">
        <v>-8</v>
      </c>
      <c r="Z1948" s="45" t="b">
        <v>0</v>
      </c>
      <c r="AA1948" s="45" t="s">
        <v>38</v>
      </c>
      <c r="AB1948" s="45" t="s">
        <v>38</v>
      </c>
    </row>
    <row r="1949" spans="1:28" x14ac:dyDescent="0.2">
      <c r="A1949" s="279" t="s">
        <v>395</v>
      </c>
      <c r="B1949" s="270" t="s">
        <v>162</v>
      </c>
      <c r="C1949" s="277">
        <v>44835</v>
      </c>
      <c r="D1949" s="277">
        <v>44865</v>
      </c>
      <c r="E1949" s="279" t="s">
        <v>267</v>
      </c>
      <c r="F1949" s="133" t="s">
        <v>41</v>
      </c>
      <c r="G1949" s="270" t="s">
        <v>35</v>
      </c>
      <c r="H1949" s="272" t="s">
        <v>36</v>
      </c>
      <c r="I1949" s="273">
        <v>2</v>
      </c>
      <c r="J1949" s="270">
        <v>1</v>
      </c>
      <c r="K1949" s="270">
        <f t="shared" si="0"/>
        <v>2</v>
      </c>
      <c r="L1949" s="270"/>
      <c r="M1949" s="270">
        <v>4</v>
      </c>
      <c r="N1949" s="274"/>
      <c r="O1949" s="55"/>
      <c r="P1949" s="96"/>
      <c r="Q1949" s="270"/>
      <c r="R1949" s="275">
        <v>0</v>
      </c>
      <c r="S1949" s="270"/>
      <c r="T1949" s="270">
        <v>4</v>
      </c>
      <c r="U1949" s="57">
        <v>1</v>
      </c>
      <c r="V1949" s="276">
        <v>0.19</v>
      </c>
      <c r="W1949" s="276">
        <v>0</v>
      </c>
      <c r="X1949" s="270">
        <v>3</v>
      </c>
      <c r="Y1949" s="270">
        <v>1</v>
      </c>
      <c r="Z1949" s="45" t="b">
        <v>1</v>
      </c>
      <c r="AA1949" s="45" t="s">
        <v>38</v>
      </c>
      <c r="AB1949" s="45" t="s">
        <v>38</v>
      </c>
    </row>
    <row r="1950" spans="1:28" x14ac:dyDescent="0.2">
      <c r="A1950" s="279" t="s">
        <v>395</v>
      </c>
      <c r="B1950" s="270" t="s">
        <v>162</v>
      </c>
      <c r="C1950" s="277">
        <v>44835</v>
      </c>
      <c r="D1950" s="277">
        <v>44865</v>
      </c>
      <c r="E1950" s="279" t="s">
        <v>267</v>
      </c>
      <c r="F1950" s="133" t="s">
        <v>41</v>
      </c>
      <c r="G1950" s="270" t="s">
        <v>35</v>
      </c>
      <c r="H1950" s="272" t="s">
        <v>84</v>
      </c>
      <c r="I1950" s="273">
        <v>100</v>
      </c>
      <c r="J1950" s="270">
        <v>1428</v>
      </c>
      <c r="K1950" s="270">
        <f t="shared" si="0"/>
        <v>142800</v>
      </c>
      <c r="L1950" s="270"/>
      <c r="M1950" s="270">
        <v>-11400</v>
      </c>
      <c r="N1950" s="274">
        <v>5454</v>
      </c>
      <c r="O1950" s="55"/>
      <c r="P1950" s="105">
        <v>5454</v>
      </c>
      <c r="Q1950" s="270"/>
      <c r="R1950" s="275">
        <v>0</v>
      </c>
      <c r="S1950" s="270"/>
      <c r="T1950" s="270">
        <v>-5946</v>
      </c>
      <c r="U1950" s="57">
        <v>1</v>
      </c>
      <c r="V1950" s="276">
        <v>0.19</v>
      </c>
      <c r="W1950" s="276">
        <v>0</v>
      </c>
      <c r="X1950" s="270">
        <v>-4816</v>
      </c>
      <c r="Y1950" s="270">
        <v>-1130</v>
      </c>
      <c r="Z1950" s="45" t="b">
        <v>1</v>
      </c>
      <c r="AA1950" s="45" t="s">
        <v>38</v>
      </c>
      <c r="AB1950" s="45" t="s">
        <v>38</v>
      </c>
    </row>
    <row r="1951" spans="1:28" x14ac:dyDescent="0.2">
      <c r="A1951" s="279" t="s">
        <v>395</v>
      </c>
      <c r="B1951" s="270" t="s">
        <v>162</v>
      </c>
      <c r="C1951" s="277">
        <v>44835</v>
      </c>
      <c r="D1951" s="277">
        <v>44865</v>
      </c>
      <c r="E1951" s="279" t="s">
        <v>267</v>
      </c>
      <c r="F1951" s="133" t="s">
        <v>41</v>
      </c>
      <c r="G1951" s="270" t="s">
        <v>35</v>
      </c>
      <c r="H1951" s="272" t="s">
        <v>88</v>
      </c>
      <c r="I1951" s="273">
        <v>250</v>
      </c>
      <c r="J1951" s="270">
        <v>745</v>
      </c>
      <c r="K1951" s="270">
        <f t="shared" si="0"/>
        <v>186250</v>
      </c>
      <c r="L1951" s="270"/>
      <c r="M1951" s="270">
        <v>9250</v>
      </c>
      <c r="N1951" s="274">
        <v>7114</v>
      </c>
      <c r="O1951" s="55"/>
      <c r="P1951" s="105">
        <v>7114</v>
      </c>
      <c r="Q1951" s="270"/>
      <c r="R1951" s="275">
        <v>0</v>
      </c>
      <c r="S1951" s="270"/>
      <c r="T1951" s="270">
        <v>16364</v>
      </c>
      <c r="U1951" s="57">
        <v>1</v>
      </c>
      <c r="V1951" s="276">
        <v>0.19</v>
      </c>
      <c r="W1951" s="276">
        <v>0</v>
      </c>
      <c r="X1951" s="270">
        <v>13255</v>
      </c>
      <c r="Y1951" s="270">
        <v>3109</v>
      </c>
      <c r="Z1951" s="45" t="b">
        <v>1</v>
      </c>
      <c r="AA1951" s="45" t="s">
        <v>38</v>
      </c>
      <c r="AB1951" s="45" t="s">
        <v>38</v>
      </c>
    </row>
    <row r="1952" spans="1:28" x14ac:dyDescent="0.2">
      <c r="A1952" s="279" t="s">
        <v>395</v>
      </c>
      <c r="B1952" s="270" t="s">
        <v>162</v>
      </c>
      <c r="C1952" s="277">
        <v>44835</v>
      </c>
      <c r="D1952" s="277">
        <v>44865</v>
      </c>
      <c r="E1952" s="279" t="s">
        <v>267</v>
      </c>
      <c r="F1952" s="133" t="s">
        <v>41</v>
      </c>
      <c r="G1952" s="270" t="s">
        <v>35</v>
      </c>
      <c r="H1952" s="272" t="s">
        <v>143</v>
      </c>
      <c r="I1952" s="273">
        <v>1000</v>
      </c>
      <c r="J1952" s="270">
        <v>1</v>
      </c>
      <c r="K1952" s="270">
        <f t="shared" si="0"/>
        <v>1000</v>
      </c>
      <c r="L1952" s="270"/>
      <c r="M1952" s="270">
        <v>-1000</v>
      </c>
      <c r="N1952" s="274">
        <v>38</v>
      </c>
      <c r="O1952" s="55"/>
      <c r="P1952" s="45">
        <v>38</v>
      </c>
      <c r="Q1952" s="270"/>
      <c r="R1952" s="275">
        <v>0</v>
      </c>
      <c r="S1952" s="270"/>
      <c r="T1952" s="270">
        <v>-962</v>
      </c>
      <c r="U1952" s="57">
        <v>1</v>
      </c>
      <c r="V1952" s="276">
        <v>0.19</v>
      </c>
      <c r="W1952" s="276">
        <v>0</v>
      </c>
      <c r="X1952" s="270">
        <v>-779</v>
      </c>
      <c r="Y1952" s="270">
        <v>-183</v>
      </c>
      <c r="Z1952" s="45" t="b">
        <v>1</v>
      </c>
      <c r="AA1952" s="45" t="s">
        <v>38</v>
      </c>
      <c r="AB1952" s="45" t="s">
        <v>38</v>
      </c>
    </row>
    <row r="1953" spans="1:28" x14ac:dyDescent="0.2">
      <c r="A1953" s="279" t="s">
        <v>395</v>
      </c>
      <c r="B1953" s="270" t="s">
        <v>162</v>
      </c>
      <c r="C1953" s="277">
        <v>44835</v>
      </c>
      <c r="D1953" s="277">
        <v>44865</v>
      </c>
      <c r="E1953" s="279" t="s">
        <v>267</v>
      </c>
      <c r="F1953" s="133" t="s">
        <v>41</v>
      </c>
      <c r="G1953" s="270" t="s">
        <v>35</v>
      </c>
      <c r="H1953" s="272" t="s">
        <v>149</v>
      </c>
      <c r="I1953" s="273">
        <v>500</v>
      </c>
      <c r="J1953" s="270">
        <v>19</v>
      </c>
      <c r="K1953" s="270">
        <f t="shared" si="0"/>
        <v>9500</v>
      </c>
      <c r="L1953" s="270"/>
      <c r="M1953" s="270">
        <v>-1000</v>
      </c>
      <c r="N1953" s="274">
        <v>363</v>
      </c>
      <c r="O1953" s="55"/>
      <c r="P1953" s="45">
        <v>363</v>
      </c>
      <c r="Q1953" s="270"/>
      <c r="R1953" s="275">
        <v>0</v>
      </c>
      <c r="S1953" s="270"/>
      <c r="T1953" s="270">
        <v>-637</v>
      </c>
      <c r="U1953" s="57">
        <v>1</v>
      </c>
      <c r="V1953" s="276">
        <v>0.19</v>
      </c>
      <c r="W1953" s="276">
        <v>0</v>
      </c>
      <c r="X1953" s="270">
        <v>-516</v>
      </c>
      <c r="Y1953" s="270">
        <v>-121</v>
      </c>
      <c r="Z1953" s="45" t="b">
        <v>1</v>
      </c>
      <c r="AA1953" s="45" t="s">
        <v>38</v>
      </c>
      <c r="AB1953" s="45" t="s">
        <v>38</v>
      </c>
    </row>
    <row r="1954" spans="1:28" x14ac:dyDescent="0.2">
      <c r="A1954" s="279" t="s">
        <v>395</v>
      </c>
      <c r="B1954" s="270" t="s">
        <v>162</v>
      </c>
      <c r="C1954" s="277">
        <v>44835</v>
      </c>
      <c r="D1954" s="277">
        <v>44865</v>
      </c>
      <c r="E1954" s="279" t="s">
        <v>267</v>
      </c>
      <c r="F1954" s="133" t="s">
        <v>41</v>
      </c>
      <c r="G1954" s="270" t="s">
        <v>35</v>
      </c>
      <c r="H1954" s="272" t="s">
        <v>148</v>
      </c>
      <c r="I1954" s="273">
        <v>250</v>
      </c>
      <c r="J1954" s="270">
        <v>497</v>
      </c>
      <c r="K1954" s="270">
        <f t="shared" si="0"/>
        <v>124250</v>
      </c>
      <c r="L1954" s="270"/>
      <c r="M1954" s="270">
        <v>-10500</v>
      </c>
      <c r="N1954" s="274">
        <v>4745</v>
      </c>
      <c r="O1954" s="55"/>
      <c r="P1954" s="105">
        <v>4745</v>
      </c>
      <c r="Q1954" s="270"/>
      <c r="R1954" s="275">
        <v>0</v>
      </c>
      <c r="S1954" s="270"/>
      <c r="T1954" s="270">
        <v>-5755</v>
      </c>
      <c r="U1954" s="57">
        <v>1</v>
      </c>
      <c r="V1954" s="276">
        <v>0.19</v>
      </c>
      <c r="W1954" s="276">
        <v>0</v>
      </c>
      <c r="X1954" s="270">
        <v>-4662</v>
      </c>
      <c r="Y1954" s="270">
        <v>-1093</v>
      </c>
      <c r="Z1954" s="45" t="b">
        <v>1</v>
      </c>
      <c r="AA1954" s="45" t="s">
        <v>38</v>
      </c>
      <c r="AB1954" s="45" t="s">
        <v>38</v>
      </c>
    </row>
    <row r="1955" spans="1:28" x14ac:dyDescent="0.2">
      <c r="A1955" s="279" t="s">
        <v>395</v>
      </c>
      <c r="B1955" s="270" t="s">
        <v>162</v>
      </c>
      <c r="C1955" s="277">
        <v>44835</v>
      </c>
      <c r="D1955" s="277">
        <v>44865</v>
      </c>
      <c r="E1955" s="279" t="s">
        <v>267</v>
      </c>
      <c r="F1955" s="133" t="s">
        <v>41</v>
      </c>
      <c r="G1955" s="270" t="s">
        <v>35</v>
      </c>
      <c r="H1955" s="272" t="s">
        <v>70</v>
      </c>
      <c r="I1955" s="273">
        <v>100</v>
      </c>
      <c r="J1955" s="270">
        <v>119</v>
      </c>
      <c r="K1955" s="270">
        <f t="shared" si="0"/>
        <v>11900</v>
      </c>
      <c r="L1955" s="270"/>
      <c r="M1955" s="270">
        <v>2100</v>
      </c>
      <c r="N1955" s="274">
        <v>455</v>
      </c>
      <c r="O1955" s="55"/>
      <c r="P1955" s="45">
        <v>455</v>
      </c>
      <c r="Q1955" s="270"/>
      <c r="R1955" s="275">
        <v>0</v>
      </c>
      <c r="S1955" s="270"/>
      <c r="T1955" s="270">
        <v>2555</v>
      </c>
      <c r="U1955" s="57">
        <v>1</v>
      </c>
      <c r="V1955" s="276">
        <v>0.19</v>
      </c>
      <c r="W1955" s="276">
        <v>0</v>
      </c>
      <c r="X1955" s="270">
        <v>2070</v>
      </c>
      <c r="Y1955" s="270">
        <v>485</v>
      </c>
      <c r="Z1955" s="45" t="b">
        <v>1</v>
      </c>
      <c r="AA1955" s="45" t="s">
        <v>38</v>
      </c>
      <c r="AB1955" s="45" t="s">
        <v>38</v>
      </c>
    </row>
    <row r="1956" spans="1:28" x14ac:dyDescent="0.2">
      <c r="A1956" s="279" t="s">
        <v>395</v>
      </c>
      <c r="B1956" s="270" t="s">
        <v>162</v>
      </c>
      <c r="C1956" s="277">
        <v>44835</v>
      </c>
      <c r="D1956" s="277">
        <v>44865</v>
      </c>
      <c r="E1956" s="279" t="s">
        <v>267</v>
      </c>
      <c r="F1956" s="133" t="s">
        <v>41</v>
      </c>
      <c r="G1956" s="270" t="s">
        <v>35</v>
      </c>
      <c r="H1956" s="272" t="s">
        <v>142</v>
      </c>
      <c r="I1956" s="273">
        <v>500</v>
      </c>
      <c r="J1956" s="270">
        <v>115</v>
      </c>
      <c r="K1956" s="270">
        <f t="shared" si="0"/>
        <v>57500</v>
      </c>
      <c r="L1956" s="270"/>
      <c r="M1956" s="270">
        <v>3500</v>
      </c>
      <c r="N1956" s="274">
        <v>2196</v>
      </c>
      <c r="O1956" s="55"/>
      <c r="P1956" s="105">
        <v>2196</v>
      </c>
      <c r="Q1956" s="270"/>
      <c r="R1956" s="275">
        <v>0</v>
      </c>
      <c r="S1956" s="270"/>
      <c r="T1956" s="270">
        <v>5696</v>
      </c>
      <c r="U1956" s="57">
        <v>1</v>
      </c>
      <c r="V1956" s="276">
        <v>0.19</v>
      </c>
      <c r="W1956" s="276">
        <v>0</v>
      </c>
      <c r="X1956" s="270">
        <v>4614</v>
      </c>
      <c r="Y1956" s="270">
        <v>1082</v>
      </c>
      <c r="Z1956" s="45" t="b">
        <v>1</v>
      </c>
      <c r="AA1956" s="45" t="s">
        <v>38</v>
      </c>
      <c r="AB1956" s="45" t="s">
        <v>38</v>
      </c>
    </row>
    <row r="1957" spans="1:28" x14ac:dyDescent="0.2">
      <c r="A1957" s="279" t="s">
        <v>447</v>
      </c>
      <c r="B1957" s="279" t="s">
        <v>95</v>
      </c>
      <c r="C1957" s="282">
        <v>44835</v>
      </c>
      <c r="D1957" s="282">
        <v>44865</v>
      </c>
      <c r="E1957" s="279" t="s">
        <v>300</v>
      </c>
      <c r="F1957" s="133" t="s">
        <v>49</v>
      </c>
      <c r="G1957" s="279" t="s">
        <v>61</v>
      </c>
      <c r="H1957" s="289" t="s">
        <v>135</v>
      </c>
      <c r="I1957" s="280">
        <v>250</v>
      </c>
      <c r="J1957" s="279">
        <v>1761</v>
      </c>
      <c r="K1957" s="270">
        <f t="shared" si="0"/>
        <v>440250</v>
      </c>
      <c r="L1957" s="279">
        <v>30594</v>
      </c>
      <c r="M1957" s="279">
        <v>-8750</v>
      </c>
      <c r="N1957" s="281">
        <v>26766.16</v>
      </c>
      <c r="O1957" s="55"/>
      <c r="P1957" s="105">
        <v>26766</v>
      </c>
      <c r="Q1957" s="279">
        <v>-20482</v>
      </c>
      <c r="R1957" s="275">
        <v>-5.0829999999999998E-3</v>
      </c>
      <c r="S1957" s="279">
        <v>-22720</v>
      </c>
      <c r="T1957" s="279">
        <v>4047</v>
      </c>
      <c r="U1957" s="57">
        <v>1</v>
      </c>
      <c r="V1957" s="276">
        <v>0.15</v>
      </c>
      <c r="W1957" s="276">
        <v>0.05</v>
      </c>
      <c r="X1957" s="279">
        <v>3237</v>
      </c>
      <c r="Y1957" s="279">
        <v>809</v>
      </c>
      <c r="Z1957" s="45" t="b">
        <v>0</v>
      </c>
      <c r="AA1957" s="45" t="s">
        <v>50</v>
      </c>
      <c r="AB1957" s="45" t="s">
        <v>50</v>
      </c>
    </row>
    <row r="1958" spans="1:28" x14ac:dyDescent="0.2">
      <c r="A1958" s="279" t="s">
        <v>447</v>
      </c>
      <c r="B1958" s="279" t="s">
        <v>95</v>
      </c>
      <c r="C1958" s="282">
        <v>44835</v>
      </c>
      <c r="D1958" s="282">
        <v>44865</v>
      </c>
      <c r="E1958" s="279" t="s">
        <v>300</v>
      </c>
      <c r="F1958" s="133" t="s">
        <v>49</v>
      </c>
      <c r="G1958" s="279" t="s">
        <v>61</v>
      </c>
      <c r="H1958" s="289" t="s">
        <v>100</v>
      </c>
      <c r="I1958" s="280">
        <v>500</v>
      </c>
      <c r="J1958" s="279">
        <v>479</v>
      </c>
      <c r="K1958" s="270">
        <f t="shared" si="0"/>
        <v>239500</v>
      </c>
      <c r="L1958" s="279">
        <v>11319</v>
      </c>
      <c r="M1958" s="279">
        <v>-13500</v>
      </c>
      <c r="N1958" s="281">
        <v>208.84</v>
      </c>
      <c r="O1958" s="55"/>
      <c r="P1958" s="45">
        <v>209</v>
      </c>
      <c r="Q1958" s="279">
        <v>-8397</v>
      </c>
      <c r="R1958" s="275">
        <v>-5.1450000000000003E-3</v>
      </c>
      <c r="S1958" s="279">
        <v>-9629</v>
      </c>
      <c r="T1958" s="279">
        <v>-9420</v>
      </c>
      <c r="U1958" s="57">
        <v>1</v>
      </c>
      <c r="V1958" s="276">
        <v>0.15</v>
      </c>
      <c r="W1958" s="276">
        <v>0.05</v>
      </c>
      <c r="X1958" s="279">
        <v>-7536</v>
      </c>
      <c r="Y1958" s="279">
        <v>-1884</v>
      </c>
      <c r="Z1958" s="45" t="b">
        <v>0</v>
      </c>
      <c r="AA1958" s="45" t="s">
        <v>50</v>
      </c>
      <c r="AB1958" s="45" t="s">
        <v>50</v>
      </c>
    </row>
    <row r="1959" spans="1:28" x14ac:dyDescent="0.2">
      <c r="A1959" s="279" t="s">
        <v>447</v>
      </c>
      <c r="B1959" s="279" t="s">
        <v>95</v>
      </c>
      <c r="C1959" s="282">
        <v>44835</v>
      </c>
      <c r="D1959" s="282">
        <v>44865</v>
      </c>
      <c r="E1959" s="279" t="s">
        <v>300</v>
      </c>
      <c r="F1959" s="133" t="s">
        <v>49</v>
      </c>
      <c r="G1959" s="279" t="s">
        <v>61</v>
      </c>
      <c r="H1959" s="289" t="s">
        <v>67</v>
      </c>
      <c r="I1959" s="280">
        <v>500</v>
      </c>
      <c r="J1959" s="279">
        <v>1</v>
      </c>
      <c r="K1959" s="270">
        <f t="shared" si="0"/>
        <v>500</v>
      </c>
      <c r="L1959" s="279">
        <v>256</v>
      </c>
      <c r="M1959" s="279">
        <v>1500</v>
      </c>
      <c r="N1959" s="281">
        <v>0</v>
      </c>
      <c r="O1959" s="55"/>
      <c r="P1959" s="45">
        <v>0</v>
      </c>
      <c r="Q1959" s="279">
        <v>352</v>
      </c>
      <c r="R1959" s="275">
        <v>-7.7489999999999998E-3</v>
      </c>
      <c r="S1959" s="279">
        <v>348</v>
      </c>
      <c r="T1959" s="279">
        <v>348</v>
      </c>
      <c r="U1959" s="57">
        <v>1</v>
      </c>
      <c r="V1959" s="276">
        <v>0.15</v>
      </c>
      <c r="W1959" s="276">
        <v>0.05</v>
      </c>
      <c r="X1959" s="279">
        <v>278</v>
      </c>
      <c r="Y1959" s="279">
        <v>70</v>
      </c>
      <c r="Z1959" s="45" t="b">
        <v>0</v>
      </c>
      <c r="AA1959" s="45" t="s">
        <v>50</v>
      </c>
      <c r="AB1959" s="45" t="s">
        <v>50</v>
      </c>
    </row>
    <row r="1960" spans="1:28" x14ac:dyDescent="0.2">
      <c r="A1960" s="96" t="s">
        <v>152</v>
      </c>
      <c r="B1960" s="96" t="s">
        <v>152</v>
      </c>
      <c r="C1960" s="277">
        <v>44835</v>
      </c>
      <c r="D1960" s="277">
        <v>44865</v>
      </c>
      <c r="E1960" s="270" t="s">
        <v>267</v>
      </c>
      <c r="F1960" s="96" t="s">
        <v>49</v>
      </c>
      <c r="G1960" s="270" t="s">
        <v>80</v>
      </c>
      <c r="H1960" s="110" t="s">
        <v>70</v>
      </c>
      <c r="I1960" s="273">
        <v>100</v>
      </c>
      <c r="J1960" s="270">
        <v>8479</v>
      </c>
      <c r="K1960" s="270">
        <f t="shared" si="0"/>
        <v>847900</v>
      </c>
      <c r="L1960" s="270">
        <v>94234</v>
      </c>
      <c r="M1960" s="270">
        <v>-12900</v>
      </c>
      <c r="N1960" s="274">
        <v>45061.39</v>
      </c>
      <c r="O1960" s="55"/>
      <c r="P1960" s="105">
        <v>45061</v>
      </c>
      <c r="Q1960" s="270">
        <v>-35070</v>
      </c>
      <c r="R1960" s="275">
        <v>-6.3049999999999998E-3</v>
      </c>
      <c r="S1960" s="270">
        <v>-40416</v>
      </c>
      <c r="T1960" s="270">
        <v>4645</v>
      </c>
      <c r="U1960" s="57">
        <v>1</v>
      </c>
      <c r="V1960" s="276">
        <v>0.15</v>
      </c>
      <c r="W1960" s="276">
        <v>0</v>
      </c>
      <c r="X1960" s="270">
        <v>3949</v>
      </c>
      <c r="Y1960" s="270">
        <v>697</v>
      </c>
      <c r="Z1960" s="45" t="b">
        <v>1</v>
      </c>
      <c r="AA1960" s="45" t="s">
        <v>38</v>
      </c>
      <c r="AB1960" s="45" t="s">
        <v>38</v>
      </c>
    </row>
    <row r="1961" spans="1:28" x14ac:dyDescent="0.2">
      <c r="A1961" s="96" t="s">
        <v>152</v>
      </c>
      <c r="B1961" s="96" t="s">
        <v>152</v>
      </c>
      <c r="C1961" s="277">
        <v>44835</v>
      </c>
      <c r="D1961" s="277">
        <v>44865</v>
      </c>
      <c r="E1961" s="270" t="s">
        <v>267</v>
      </c>
      <c r="F1961" s="96" t="s">
        <v>41</v>
      </c>
      <c r="G1961" s="270" t="s">
        <v>80</v>
      </c>
      <c r="H1961" s="110" t="s">
        <v>153</v>
      </c>
      <c r="I1961" s="273">
        <v>200</v>
      </c>
      <c r="J1961" s="270">
        <v>28</v>
      </c>
      <c r="K1961" s="270">
        <f t="shared" si="0"/>
        <v>5600</v>
      </c>
      <c r="L1961" s="270">
        <v>1416</v>
      </c>
      <c r="M1961" s="270">
        <v>1400</v>
      </c>
      <c r="N1961" s="274">
        <v>297.61</v>
      </c>
      <c r="O1961" s="55"/>
      <c r="P1961" s="45">
        <v>298</v>
      </c>
      <c r="Q1961" s="270">
        <v>404</v>
      </c>
      <c r="R1961" s="275">
        <v>0</v>
      </c>
      <c r="S1961" s="270">
        <v>404</v>
      </c>
      <c r="T1961" s="270">
        <v>1698</v>
      </c>
      <c r="U1961" s="57">
        <v>1</v>
      </c>
      <c r="V1961" s="276">
        <v>0.15</v>
      </c>
      <c r="W1961" s="276">
        <v>0</v>
      </c>
      <c r="X1961" s="270">
        <v>1443</v>
      </c>
      <c r="Y1961" s="270">
        <v>255</v>
      </c>
      <c r="Z1961" s="45" t="b">
        <v>1</v>
      </c>
      <c r="AA1961" s="45" t="s">
        <v>38</v>
      </c>
      <c r="AB1961" s="45" t="s">
        <v>38</v>
      </c>
    </row>
    <row r="1962" spans="1:28" x14ac:dyDescent="0.2">
      <c r="A1962" s="279" t="s">
        <v>456</v>
      </c>
      <c r="B1962" s="279" t="s">
        <v>110</v>
      </c>
      <c r="C1962" s="282">
        <v>44835</v>
      </c>
      <c r="D1962" s="282">
        <v>44865</v>
      </c>
      <c r="E1962" s="279" t="s">
        <v>267</v>
      </c>
      <c r="F1962" s="133" t="s">
        <v>41</v>
      </c>
      <c r="G1962" s="279" t="s">
        <v>61</v>
      </c>
      <c r="H1962" s="289" t="s">
        <v>54</v>
      </c>
      <c r="I1962" s="280">
        <v>5</v>
      </c>
      <c r="J1962" s="279">
        <v>465</v>
      </c>
      <c r="K1962" s="270">
        <f t="shared" si="0"/>
        <v>2325</v>
      </c>
      <c r="L1962" s="279">
        <v>20460</v>
      </c>
      <c r="M1962" s="279">
        <v>-240</v>
      </c>
      <c r="N1962" s="281">
        <v>19.73</v>
      </c>
      <c r="O1962" s="55"/>
      <c r="P1962" s="45">
        <v>20</v>
      </c>
      <c r="Q1962" s="279">
        <v>-16</v>
      </c>
      <c r="R1962" s="275">
        <v>0</v>
      </c>
      <c r="S1962" s="279">
        <v>-16</v>
      </c>
      <c r="T1962" s="279">
        <v>-220</v>
      </c>
      <c r="U1962" s="57">
        <v>1</v>
      </c>
      <c r="V1962" s="276">
        <v>0.25</v>
      </c>
      <c r="W1962" s="276">
        <v>0</v>
      </c>
      <c r="X1962" s="279">
        <v>-165</v>
      </c>
      <c r="Y1962" s="279">
        <v>-55</v>
      </c>
      <c r="Z1962" s="45" t="b">
        <v>1</v>
      </c>
      <c r="AA1962" s="45" t="s">
        <v>50</v>
      </c>
      <c r="AB1962" s="45" t="s">
        <v>50</v>
      </c>
    </row>
    <row r="1963" spans="1:28" x14ac:dyDescent="0.2">
      <c r="A1963" s="279" t="s">
        <v>456</v>
      </c>
      <c r="B1963" s="279" t="s">
        <v>110</v>
      </c>
      <c r="C1963" s="282">
        <v>44835</v>
      </c>
      <c r="D1963" s="282">
        <v>44865</v>
      </c>
      <c r="E1963" s="279" t="s">
        <v>267</v>
      </c>
      <c r="F1963" s="133" t="s">
        <v>41</v>
      </c>
      <c r="G1963" s="279" t="s">
        <v>61</v>
      </c>
      <c r="H1963" s="289" t="s">
        <v>131</v>
      </c>
      <c r="I1963" s="280">
        <v>5</v>
      </c>
      <c r="J1963" s="279">
        <v>225</v>
      </c>
      <c r="K1963" s="270">
        <f t="shared" si="0"/>
        <v>1125</v>
      </c>
      <c r="L1963" s="279">
        <v>4050</v>
      </c>
      <c r="M1963" s="279">
        <v>-65</v>
      </c>
      <c r="N1963" s="281">
        <v>0</v>
      </c>
      <c r="O1963" s="55"/>
      <c r="P1963" s="45">
        <v>0</v>
      </c>
      <c r="Q1963" s="279">
        <v>-36</v>
      </c>
      <c r="R1963" s="275">
        <v>0</v>
      </c>
      <c r="S1963" s="279">
        <v>-36</v>
      </c>
      <c r="T1963" s="279">
        <v>-65</v>
      </c>
      <c r="U1963" s="57">
        <v>1</v>
      </c>
      <c r="V1963" s="276">
        <v>0.25</v>
      </c>
      <c r="W1963" s="276">
        <v>0</v>
      </c>
      <c r="X1963" s="279">
        <v>-49</v>
      </c>
      <c r="Y1963" s="279">
        <v>-16</v>
      </c>
      <c r="Z1963" s="45" t="b">
        <v>1</v>
      </c>
      <c r="AA1963" s="45" t="s">
        <v>50</v>
      </c>
      <c r="AB1963" s="45" t="s">
        <v>50</v>
      </c>
    </row>
    <row r="1964" spans="1:28" x14ac:dyDescent="0.2">
      <c r="A1964" s="96" t="s">
        <v>175</v>
      </c>
      <c r="B1964" s="96" t="s">
        <v>175</v>
      </c>
      <c r="C1964" s="277">
        <v>44835</v>
      </c>
      <c r="D1964" s="277">
        <v>44865</v>
      </c>
      <c r="E1964" s="279" t="s">
        <v>267</v>
      </c>
      <c r="F1964" s="133" t="s">
        <v>49</v>
      </c>
      <c r="G1964" s="270" t="s">
        <v>35</v>
      </c>
      <c r="H1964" s="272" t="s">
        <v>40</v>
      </c>
      <c r="I1964" s="273">
        <v>10</v>
      </c>
      <c r="J1964" s="270">
        <v>21</v>
      </c>
      <c r="K1964" s="270">
        <f t="shared" si="0"/>
        <v>210</v>
      </c>
      <c r="L1964" s="270">
        <v>-736</v>
      </c>
      <c r="M1964" s="270">
        <v>-30</v>
      </c>
      <c r="N1964" s="274">
        <v>8</v>
      </c>
      <c r="O1964" s="55"/>
      <c r="P1964" s="45">
        <v>8</v>
      </c>
      <c r="Q1964" s="270">
        <v>-28</v>
      </c>
      <c r="R1964" s="275">
        <v>-4.5690000000000001E-3</v>
      </c>
      <c r="S1964" s="270">
        <v>-29</v>
      </c>
      <c r="T1964" s="270">
        <v>-21</v>
      </c>
      <c r="U1964" s="57">
        <v>1</v>
      </c>
      <c r="V1964" s="276">
        <v>0.25</v>
      </c>
      <c r="W1964" s="276">
        <v>0</v>
      </c>
      <c r="X1964" s="270">
        <v>-16</v>
      </c>
      <c r="Y1964" s="270">
        <v>-5</v>
      </c>
      <c r="Z1964" s="45" t="b">
        <v>1</v>
      </c>
      <c r="AA1964" s="45" t="s">
        <v>38</v>
      </c>
      <c r="AB1964" s="45" t="s">
        <v>38</v>
      </c>
    </row>
    <row r="1965" spans="1:28" x14ac:dyDescent="0.2">
      <c r="A1965" s="96" t="s">
        <v>175</v>
      </c>
      <c r="B1965" s="96" t="s">
        <v>175</v>
      </c>
      <c r="C1965" s="277">
        <v>44835</v>
      </c>
      <c r="D1965" s="277">
        <v>44865</v>
      </c>
      <c r="E1965" s="279" t="s">
        <v>267</v>
      </c>
      <c r="F1965" s="133" t="s">
        <v>49</v>
      </c>
      <c r="G1965" s="270" t="s">
        <v>35</v>
      </c>
      <c r="H1965" s="272" t="s">
        <v>46</v>
      </c>
      <c r="I1965" s="273">
        <v>25</v>
      </c>
      <c r="J1965" s="270">
        <v>989</v>
      </c>
      <c r="K1965" s="270">
        <f t="shared" si="0"/>
        <v>24725</v>
      </c>
      <c r="L1965" s="270">
        <v>44880</v>
      </c>
      <c r="M1965" s="270">
        <v>-425</v>
      </c>
      <c r="N1965" s="274">
        <v>787</v>
      </c>
      <c r="O1965" s="55"/>
      <c r="P1965" s="45">
        <v>787</v>
      </c>
      <c r="Q1965" s="270">
        <v>512</v>
      </c>
      <c r="R1965" s="275">
        <v>-5.4250000000000001E-3</v>
      </c>
      <c r="S1965" s="270">
        <v>378</v>
      </c>
      <c r="T1965" s="270">
        <v>1165</v>
      </c>
      <c r="U1965" s="57">
        <v>1</v>
      </c>
      <c r="V1965" s="276">
        <v>0.25</v>
      </c>
      <c r="W1965" s="276">
        <v>0</v>
      </c>
      <c r="X1965" s="270">
        <v>874</v>
      </c>
      <c r="Y1965" s="270">
        <v>291</v>
      </c>
      <c r="Z1965" s="45" t="b">
        <v>1</v>
      </c>
      <c r="AA1965" s="45" t="s">
        <v>38</v>
      </c>
      <c r="AB1965" s="45" t="s">
        <v>38</v>
      </c>
    </row>
    <row r="1966" spans="1:28" x14ac:dyDescent="0.2">
      <c r="A1966" s="279" t="s">
        <v>127</v>
      </c>
      <c r="B1966" s="279" t="s">
        <v>128</v>
      </c>
      <c r="C1966" s="282">
        <v>44835</v>
      </c>
      <c r="D1966" s="282">
        <v>44865</v>
      </c>
      <c r="E1966" s="279" t="s">
        <v>267</v>
      </c>
      <c r="F1966" s="133" t="s">
        <v>49</v>
      </c>
      <c r="G1966" s="279" t="s">
        <v>61</v>
      </c>
      <c r="H1966" s="272" t="s">
        <v>55</v>
      </c>
      <c r="I1966" s="280">
        <v>10</v>
      </c>
      <c r="J1966" s="279">
        <v>2</v>
      </c>
      <c r="K1966" s="270">
        <f t="shared" si="0"/>
        <v>20</v>
      </c>
      <c r="L1966" s="279">
        <v>649</v>
      </c>
      <c r="M1966" s="279">
        <v>0</v>
      </c>
      <c r="N1966" s="281">
        <v>65.95</v>
      </c>
      <c r="O1966" s="55"/>
      <c r="P1966" s="45">
        <v>66</v>
      </c>
      <c r="Q1966" s="279">
        <v>10</v>
      </c>
      <c r="R1966" s="275">
        <v>-2.7560000000000002E-3</v>
      </c>
      <c r="S1966" s="279">
        <v>10</v>
      </c>
      <c r="T1966" s="279">
        <v>76</v>
      </c>
      <c r="U1966" s="57">
        <v>1</v>
      </c>
      <c r="V1966" s="276">
        <v>0.23</v>
      </c>
      <c r="W1966" s="276">
        <v>0</v>
      </c>
      <c r="X1966" s="279">
        <v>58</v>
      </c>
      <c r="Y1966" s="279">
        <v>17</v>
      </c>
      <c r="Z1966" s="45" t="b">
        <v>1</v>
      </c>
      <c r="AA1966" s="45" t="s">
        <v>50</v>
      </c>
      <c r="AB1966" s="45" t="s">
        <v>50</v>
      </c>
    </row>
    <row r="1967" spans="1:28" x14ac:dyDescent="0.2">
      <c r="A1967" s="279" t="s">
        <v>127</v>
      </c>
      <c r="B1967" s="279" t="s">
        <v>128</v>
      </c>
      <c r="C1967" s="282">
        <v>44835</v>
      </c>
      <c r="D1967" s="282">
        <v>44865</v>
      </c>
      <c r="E1967" s="279" t="s">
        <v>267</v>
      </c>
      <c r="F1967" s="133" t="s">
        <v>49</v>
      </c>
      <c r="G1967" s="279" t="s">
        <v>61</v>
      </c>
      <c r="H1967" s="272" t="s">
        <v>167</v>
      </c>
      <c r="I1967" s="280">
        <v>25</v>
      </c>
      <c r="J1967" s="279">
        <v>2044</v>
      </c>
      <c r="K1967" s="270">
        <f t="shared" si="0"/>
        <v>51100</v>
      </c>
      <c r="L1967" s="279">
        <v>125568</v>
      </c>
      <c r="M1967" s="279">
        <v>4175</v>
      </c>
      <c r="N1967" s="281">
        <v>1933.27</v>
      </c>
      <c r="O1967" s="55"/>
      <c r="P1967" s="105">
        <v>1933</v>
      </c>
      <c r="Q1967" s="279">
        <v>1308</v>
      </c>
      <c r="R1967" s="275">
        <v>-5.4580000000000002E-3</v>
      </c>
      <c r="S1967" s="279">
        <v>1029</v>
      </c>
      <c r="T1967" s="279">
        <v>2962</v>
      </c>
      <c r="U1967" s="57">
        <v>1</v>
      </c>
      <c r="V1967" s="276">
        <v>0.23</v>
      </c>
      <c r="W1967" s="276">
        <v>0</v>
      </c>
      <c r="X1967" s="279">
        <v>2281</v>
      </c>
      <c r="Y1967" s="279">
        <v>681</v>
      </c>
      <c r="Z1967" s="45" t="b">
        <v>1</v>
      </c>
      <c r="AA1967" s="45" t="s">
        <v>50</v>
      </c>
      <c r="AB1967" s="45" t="s">
        <v>50</v>
      </c>
    </row>
    <row r="1968" spans="1:28" x14ac:dyDescent="0.2">
      <c r="A1968" s="279" t="s">
        <v>127</v>
      </c>
      <c r="B1968" s="279" t="s">
        <v>128</v>
      </c>
      <c r="C1968" s="282">
        <v>44835</v>
      </c>
      <c r="D1968" s="282">
        <v>44865</v>
      </c>
      <c r="E1968" s="279" t="s">
        <v>267</v>
      </c>
      <c r="F1968" s="133" t="s">
        <v>49</v>
      </c>
      <c r="G1968" s="279" t="s">
        <v>61</v>
      </c>
      <c r="H1968" s="272" t="s">
        <v>57</v>
      </c>
      <c r="I1968" s="280">
        <v>50</v>
      </c>
      <c r="J1968" s="279">
        <v>2612</v>
      </c>
      <c r="K1968" s="270">
        <f t="shared" si="0"/>
        <v>130600</v>
      </c>
      <c r="L1968" s="279">
        <v>100832</v>
      </c>
      <c r="M1968" s="279">
        <v>-3900</v>
      </c>
      <c r="N1968" s="281">
        <v>0</v>
      </c>
      <c r="O1968" s="55"/>
      <c r="P1968" s="45">
        <v>0</v>
      </c>
      <c r="Q1968" s="279">
        <v>-2065</v>
      </c>
      <c r="R1968" s="275">
        <v>-5.2430000000000003E-3</v>
      </c>
      <c r="S1968" s="279">
        <v>-2750</v>
      </c>
      <c r="T1968" s="279">
        <v>-2750</v>
      </c>
      <c r="U1968" s="57">
        <v>1</v>
      </c>
      <c r="V1968" s="276">
        <v>0.23</v>
      </c>
      <c r="W1968" s="276">
        <v>0</v>
      </c>
      <c r="X1968" s="279">
        <v>-2118</v>
      </c>
      <c r="Y1968" s="279">
        <v>-633</v>
      </c>
      <c r="Z1968" s="45" t="b">
        <v>1</v>
      </c>
      <c r="AA1968" s="45" t="s">
        <v>50</v>
      </c>
      <c r="AB1968" s="45" t="s">
        <v>50</v>
      </c>
    </row>
    <row r="1969" spans="1:28" x14ac:dyDescent="0.2">
      <c r="A1969" s="279" t="s">
        <v>127</v>
      </c>
      <c r="B1969" s="279" t="s">
        <v>128</v>
      </c>
      <c r="C1969" s="282">
        <v>44835</v>
      </c>
      <c r="D1969" s="282">
        <v>44865</v>
      </c>
      <c r="E1969" s="279" t="s">
        <v>267</v>
      </c>
      <c r="F1969" s="133" t="s">
        <v>41</v>
      </c>
      <c r="G1969" s="279" t="s">
        <v>61</v>
      </c>
      <c r="H1969" s="272" t="s">
        <v>141</v>
      </c>
      <c r="I1969" s="280">
        <v>25</v>
      </c>
      <c r="J1969" s="279">
        <v>1</v>
      </c>
      <c r="K1969" s="270">
        <f t="shared" si="0"/>
        <v>25</v>
      </c>
      <c r="L1969" s="279">
        <v>108</v>
      </c>
      <c r="M1969" s="279">
        <v>25</v>
      </c>
      <c r="N1969" s="281">
        <v>0.79</v>
      </c>
      <c r="O1969" s="55"/>
      <c r="P1969" s="45">
        <v>1</v>
      </c>
      <c r="Q1969" s="279">
        <v>6</v>
      </c>
      <c r="R1969" s="275">
        <v>0</v>
      </c>
      <c r="S1969" s="279">
        <v>6</v>
      </c>
      <c r="T1969" s="279">
        <v>26</v>
      </c>
      <c r="U1969" s="57">
        <v>1</v>
      </c>
      <c r="V1969" s="276">
        <v>0.23</v>
      </c>
      <c r="W1969" s="276">
        <v>0</v>
      </c>
      <c r="X1969" s="279">
        <v>20</v>
      </c>
      <c r="Y1969" s="279">
        <v>6</v>
      </c>
      <c r="Z1969" s="45" t="b">
        <v>1</v>
      </c>
      <c r="AA1969" s="45" t="s">
        <v>50</v>
      </c>
      <c r="AB1969" s="45" t="s">
        <v>50</v>
      </c>
    </row>
    <row r="1970" spans="1:28" x14ac:dyDescent="0.2">
      <c r="A1970" s="279" t="s">
        <v>144</v>
      </c>
      <c r="B1970" s="279" t="s">
        <v>144</v>
      </c>
      <c r="C1970" s="277">
        <v>44835</v>
      </c>
      <c r="D1970" s="277">
        <v>44865</v>
      </c>
      <c r="E1970" s="270" t="s">
        <v>267</v>
      </c>
      <c r="F1970" s="96" t="s">
        <v>49</v>
      </c>
      <c r="G1970" s="279" t="s">
        <v>35</v>
      </c>
      <c r="H1970" s="272" t="s">
        <v>46</v>
      </c>
      <c r="I1970" s="273">
        <v>25</v>
      </c>
      <c r="J1970" s="270">
        <v>3365</v>
      </c>
      <c r="K1970" s="270">
        <f t="shared" si="0"/>
        <v>84125</v>
      </c>
      <c r="L1970" s="270">
        <v>105694</v>
      </c>
      <c r="M1970" s="270">
        <v>1025</v>
      </c>
      <c r="N1970" s="274">
        <v>2938</v>
      </c>
      <c r="O1970" s="55"/>
      <c r="P1970" s="105">
        <v>2938</v>
      </c>
      <c r="Q1970" s="270">
        <v>-484</v>
      </c>
      <c r="R1970" s="275">
        <v>-5.2979999999999998E-3</v>
      </c>
      <c r="S1970" s="270">
        <v>-930</v>
      </c>
      <c r="T1970" s="270">
        <v>2008</v>
      </c>
      <c r="U1970" s="57">
        <v>1</v>
      </c>
      <c r="V1970" s="276">
        <v>0.15</v>
      </c>
      <c r="W1970" s="276">
        <v>0</v>
      </c>
      <c r="X1970" s="270">
        <v>1707</v>
      </c>
      <c r="Y1970" s="270">
        <v>301</v>
      </c>
      <c r="Z1970" s="45" t="b">
        <v>1</v>
      </c>
      <c r="AA1970" s="45" t="s">
        <v>38</v>
      </c>
      <c r="AB1970" s="45" t="s">
        <v>38</v>
      </c>
    </row>
    <row r="1971" spans="1:28" x14ac:dyDescent="0.2">
      <c r="A1971" s="279" t="s">
        <v>144</v>
      </c>
      <c r="B1971" s="279" t="s">
        <v>144</v>
      </c>
      <c r="C1971" s="277">
        <v>44835</v>
      </c>
      <c r="D1971" s="277">
        <v>44865</v>
      </c>
      <c r="E1971" s="270" t="s">
        <v>267</v>
      </c>
      <c r="F1971" s="96" t="s">
        <v>41</v>
      </c>
      <c r="G1971" s="279" t="s">
        <v>35</v>
      </c>
      <c r="H1971" s="272" t="s">
        <v>72</v>
      </c>
      <c r="I1971" s="273">
        <v>50</v>
      </c>
      <c r="J1971" s="270">
        <v>1</v>
      </c>
      <c r="K1971" s="270">
        <f t="shared" si="0"/>
        <v>50</v>
      </c>
      <c r="L1971" s="270"/>
      <c r="M1971" s="270">
        <v>50</v>
      </c>
      <c r="N1971" s="274">
        <v>2</v>
      </c>
      <c r="O1971" s="55"/>
      <c r="P1971" s="45">
        <v>2</v>
      </c>
      <c r="Q1971" s="270"/>
      <c r="R1971" s="275">
        <v>0</v>
      </c>
      <c r="S1971" s="270"/>
      <c r="T1971" s="270">
        <v>52</v>
      </c>
      <c r="U1971" s="57">
        <v>1</v>
      </c>
      <c r="V1971" s="276">
        <v>0.15</v>
      </c>
      <c r="W1971" s="276">
        <v>0</v>
      </c>
      <c r="X1971" s="270">
        <v>44</v>
      </c>
      <c r="Y1971" s="270">
        <v>8</v>
      </c>
      <c r="Z1971" s="45" t="b">
        <v>1</v>
      </c>
      <c r="AA1971" s="45" t="s">
        <v>38</v>
      </c>
      <c r="AB1971" s="45" t="s">
        <v>38</v>
      </c>
    </row>
    <row r="1972" spans="1:28" x14ac:dyDescent="0.2">
      <c r="A1972" s="279" t="s">
        <v>189</v>
      </c>
      <c r="B1972" s="279" t="s">
        <v>189</v>
      </c>
      <c r="C1972" s="282">
        <v>44835</v>
      </c>
      <c r="D1972" s="282">
        <v>44865</v>
      </c>
      <c r="E1972" s="279" t="s">
        <v>267</v>
      </c>
      <c r="F1972" s="133" t="s">
        <v>41</v>
      </c>
      <c r="G1972" s="279" t="s">
        <v>53</v>
      </c>
      <c r="H1972" s="289" t="s">
        <v>54</v>
      </c>
      <c r="I1972" s="280">
        <v>5</v>
      </c>
      <c r="J1972" s="279">
        <v>12</v>
      </c>
      <c r="K1972" s="270">
        <f t="shared" si="0"/>
        <v>60</v>
      </c>
      <c r="L1972" s="279">
        <v>168</v>
      </c>
      <c r="M1972" s="279">
        <v>-3.62</v>
      </c>
      <c r="N1972" s="281"/>
      <c r="O1972" s="55">
        <v>0.5</v>
      </c>
      <c r="P1972" s="45">
        <v>2</v>
      </c>
      <c r="Q1972" s="279">
        <v>-3</v>
      </c>
      <c r="R1972" s="275">
        <v>0</v>
      </c>
      <c r="S1972" s="279">
        <v>-3</v>
      </c>
      <c r="T1972" s="279">
        <v>-2</v>
      </c>
      <c r="U1972" s="57">
        <v>1</v>
      </c>
      <c r="V1972" s="276">
        <v>0.16020000000000001</v>
      </c>
      <c r="W1972" s="276">
        <v>0</v>
      </c>
      <c r="X1972" s="279">
        <v>-1</v>
      </c>
      <c r="Y1972" s="279">
        <v>0</v>
      </c>
      <c r="Z1972" s="45" t="b">
        <v>1</v>
      </c>
      <c r="AA1972" s="45" t="s">
        <v>38</v>
      </c>
      <c r="AB1972" s="45" t="s">
        <v>38</v>
      </c>
    </row>
    <row r="1973" spans="1:28" x14ac:dyDescent="0.2">
      <c r="A1973" s="279" t="s">
        <v>189</v>
      </c>
      <c r="B1973" s="279" t="s">
        <v>189</v>
      </c>
      <c r="C1973" s="282">
        <v>44835</v>
      </c>
      <c r="D1973" s="282">
        <v>44865</v>
      </c>
      <c r="E1973" s="279" t="s">
        <v>267</v>
      </c>
      <c r="F1973" s="133" t="s">
        <v>41</v>
      </c>
      <c r="G1973" s="279" t="s">
        <v>53</v>
      </c>
      <c r="H1973" s="289" t="s">
        <v>55</v>
      </c>
      <c r="I1973" s="280">
        <v>10</v>
      </c>
      <c r="J1973" s="279">
        <v>5</v>
      </c>
      <c r="K1973" s="270">
        <f t="shared" si="0"/>
        <v>50</v>
      </c>
      <c r="L1973" s="279">
        <v>-140</v>
      </c>
      <c r="M1973" s="279">
        <v>-3.02</v>
      </c>
      <c r="N1973" s="281"/>
      <c r="O1973" s="55">
        <v>0.5</v>
      </c>
      <c r="P1973" s="45">
        <v>2</v>
      </c>
      <c r="Q1973" s="279">
        <v>-6</v>
      </c>
      <c r="R1973" s="275">
        <v>0</v>
      </c>
      <c r="S1973" s="279">
        <v>-6</v>
      </c>
      <c r="T1973" s="279">
        <v>-1</v>
      </c>
      <c r="U1973" s="57">
        <v>1</v>
      </c>
      <c r="V1973" s="276">
        <v>0.16020000000000001</v>
      </c>
      <c r="W1973" s="276">
        <v>0</v>
      </c>
      <c r="X1973" s="279">
        <v>-1</v>
      </c>
      <c r="Y1973" s="279">
        <v>0</v>
      </c>
      <c r="Z1973" s="45" t="b">
        <v>1</v>
      </c>
      <c r="AA1973" s="45" t="s">
        <v>38</v>
      </c>
      <c r="AB1973" s="45" t="s">
        <v>38</v>
      </c>
    </row>
    <row r="1974" spans="1:28" x14ac:dyDescent="0.2">
      <c r="A1974" s="279" t="s">
        <v>189</v>
      </c>
      <c r="B1974" s="279" t="s">
        <v>189</v>
      </c>
      <c r="C1974" s="282">
        <v>44835</v>
      </c>
      <c r="D1974" s="282">
        <v>44865</v>
      </c>
      <c r="E1974" s="279" t="s">
        <v>267</v>
      </c>
      <c r="F1974" s="133" t="s">
        <v>41</v>
      </c>
      <c r="G1974" s="279" t="s">
        <v>53</v>
      </c>
      <c r="H1974" s="289" t="s">
        <v>56</v>
      </c>
      <c r="I1974" s="280">
        <v>20</v>
      </c>
      <c r="J1974" s="279">
        <v>1513</v>
      </c>
      <c r="K1974" s="270">
        <f t="shared" si="0"/>
        <v>30260</v>
      </c>
      <c r="L1974" s="279">
        <v>12104</v>
      </c>
      <c r="M1974" s="279">
        <v>-1826.05</v>
      </c>
      <c r="N1974" s="281"/>
      <c r="O1974" s="55">
        <v>0.5</v>
      </c>
      <c r="P1974" s="105">
        <v>1059</v>
      </c>
      <c r="Q1974" s="279">
        <v>-1874</v>
      </c>
      <c r="R1974" s="275">
        <v>0</v>
      </c>
      <c r="S1974" s="279">
        <v>-1874</v>
      </c>
      <c r="T1974" s="279">
        <v>-767</v>
      </c>
      <c r="U1974" s="57">
        <v>1</v>
      </c>
      <c r="V1974" s="276">
        <v>0.16020000000000001</v>
      </c>
      <c r="W1974" s="276">
        <v>0</v>
      </c>
      <c r="X1974" s="279">
        <v>-644</v>
      </c>
      <c r="Y1974" s="279">
        <v>-123</v>
      </c>
      <c r="Z1974" s="45" t="b">
        <v>1</v>
      </c>
      <c r="AA1974" s="45" t="s">
        <v>38</v>
      </c>
      <c r="AB1974" s="45" t="s">
        <v>38</v>
      </c>
    </row>
    <row r="1975" spans="1:28" x14ac:dyDescent="0.2">
      <c r="A1975" s="279" t="s">
        <v>189</v>
      </c>
      <c r="B1975" s="279" t="s">
        <v>189</v>
      </c>
      <c r="C1975" s="282">
        <v>44835</v>
      </c>
      <c r="D1975" s="282">
        <v>44865</v>
      </c>
      <c r="E1975" s="279" t="s">
        <v>267</v>
      </c>
      <c r="F1975" s="133" t="s">
        <v>41</v>
      </c>
      <c r="G1975" s="279" t="s">
        <v>53</v>
      </c>
      <c r="H1975" s="289" t="s">
        <v>57</v>
      </c>
      <c r="I1975" s="280">
        <v>50</v>
      </c>
      <c r="J1975" s="279">
        <v>250</v>
      </c>
      <c r="K1975" s="270">
        <f t="shared" si="0"/>
        <v>12500</v>
      </c>
      <c r="L1975" s="279">
        <v>7500</v>
      </c>
      <c r="M1975" s="279">
        <v>-754.32</v>
      </c>
      <c r="N1975" s="281"/>
      <c r="O1975" s="55">
        <v>0.5</v>
      </c>
      <c r="P1975" s="45">
        <v>438</v>
      </c>
      <c r="Q1975" s="279">
        <v>-268</v>
      </c>
      <c r="R1975" s="275">
        <v>0</v>
      </c>
      <c r="S1975" s="279">
        <v>-268</v>
      </c>
      <c r="T1975" s="279">
        <v>-317</v>
      </c>
      <c r="U1975" s="57">
        <v>1</v>
      </c>
      <c r="V1975" s="276">
        <v>0.16020000000000001</v>
      </c>
      <c r="W1975" s="276">
        <v>0</v>
      </c>
      <c r="X1975" s="279">
        <v>-266</v>
      </c>
      <c r="Y1975" s="279">
        <v>-51</v>
      </c>
      <c r="Z1975" s="45" t="b">
        <v>1</v>
      </c>
      <c r="AA1975" s="45" t="s">
        <v>38</v>
      </c>
      <c r="AB1975" s="45" t="s">
        <v>38</v>
      </c>
    </row>
    <row r="1976" spans="1:28" x14ac:dyDescent="0.2">
      <c r="A1976" s="96" t="s">
        <v>561</v>
      </c>
      <c r="B1976" s="96" t="s">
        <v>79</v>
      </c>
      <c r="C1976" s="277">
        <v>44835</v>
      </c>
      <c r="D1976" s="277">
        <v>44865</v>
      </c>
      <c r="E1976" s="270" t="s">
        <v>267</v>
      </c>
      <c r="F1976" s="96" t="s">
        <v>41</v>
      </c>
      <c r="G1976" s="270" t="s">
        <v>80</v>
      </c>
      <c r="H1976" s="272" t="s">
        <v>71</v>
      </c>
      <c r="I1976" s="273">
        <v>20</v>
      </c>
      <c r="J1976" s="270">
        <v>7714</v>
      </c>
      <c r="K1976" s="270">
        <f t="shared" si="0"/>
        <v>154280</v>
      </c>
      <c r="L1976" s="270">
        <v>108010</v>
      </c>
      <c r="M1976" s="270">
        <v>-4500</v>
      </c>
      <c r="N1976" s="274">
        <f>6799+1300</f>
        <v>8099</v>
      </c>
      <c r="O1976" s="55"/>
      <c r="P1976" s="105">
        <v>8099</v>
      </c>
      <c r="Q1976" s="270">
        <v>-5099</v>
      </c>
      <c r="R1976" s="275">
        <v>0</v>
      </c>
      <c r="S1976" s="270">
        <v>-5099</v>
      </c>
      <c r="T1976" s="270">
        <v>3599</v>
      </c>
      <c r="U1976" s="57">
        <v>1</v>
      </c>
      <c r="V1976" s="276">
        <v>0.3</v>
      </c>
      <c r="W1976" s="276">
        <v>0</v>
      </c>
      <c r="X1976" s="270">
        <v>2519</v>
      </c>
      <c r="Y1976" s="270">
        <v>1080</v>
      </c>
      <c r="Z1976" s="45" t="b">
        <v>0</v>
      </c>
      <c r="AA1976" s="45" t="s">
        <v>38</v>
      </c>
      <c r="AB1976" s="45" t="s">
        <v>38</v>
      </c>
    </row>
    <row r="1977" spans="1:28" x14ac:dyDescent="0.2">
      <c r="A1977" s="279" t="s">
        <v>232</v>
      </c>
      <c r="B1977" s="279" t="s">
        <v>198</v>
      </c>
      <c r="C1977" s="282">
        <v>44835</v>
      </c>
      <c r="D1977" s="282">
        <v>44865</v>
      </c>
      <c r="E1977" s="279" t="s">
        <v>267</v>
      </c>
      <c r="F1977" s="133" t="s">
        <v>41</v>
      </c>
      <c r="G1977" s="279" t="s">
        <v>53</v>
      </c>
      <c r="H1977" s="289" t="s">
        <v>55</v>
      </c>
      <c r="I1977" s="280">
        <v>10</v>
      </c>
      <c r="J1977" s="279">
        <v>10</v>
      </c>
      <c r="K1977" s="270">
        <f t="shared" si="0"/>
        <v>100</v>
      </c>
      <c r="L1977" s="279">
        <v>770</v>
      </c>
      <c r="M1977" s="279">
        <v>2</v>
      </c>
      <c r="N1977" s="281"/>
      <c r="O1977" s="55">
        <v>0.5</v>
      </c>
      <c r="P1977" s="45">
        <v>4</v>
      </c>
      <c r="Q1977" s="279">
        <v>7</v>
      </c>
      <c r="R1977" s="275">
        <v>0</v>
      </c>
      <c r="S1977" s="279">
        <v>7</v>
      </c>
      <c r="T1977" s="279">
        <v>6</v>
      </c>
      <c r="U1977" s="57">
        <v>1</v>
      </c>
      <c r="V1977" s="276">
        <v>0.23</v>
      </c>
      <c r="W1977" s="276">
        <v>0</v>
      </c>
      <c r="X1977" s="279">
        <v>4</v>
      </c>
      <c r="Y1977" s="279">
        <v>1</v>
      </c>
      <c r="Z1977" s="45" t="b">
        <v>1</v>
      </c>
      <c r="AA1977" s="45" t="s">
        <v>38</v>
      </c>
      <c r="AB1977" s="45" t="s">
        <v>38</v>
      </c>
    </row>
    <row r="1978" spans="1:28" x14ac:dyDescent="0.2">
      <c r="A1978" s="279" t="s">
        <v>232</v>
      </c>
      <c r="B1978" s="279" t="s">
        <v>198</v>
      </c>
      <c r="C1978" s="282">
        <v>44835</v>
      </c>
      <c r="D1978" s="282">
        <v>44865</v>
      </c>
      <c r="E1978" s="279" t="s">
        <v>267</v>
      </c>
      <c r="F1978" s="133" t="s">
        <v>41</v>
      </c>
      <c r="G1978" s="279" t="s">
        <v>53</v>
      </c>
      <c r="H1978" s="289" t="s">
        <v>56</v>
      </c>
      <c r="I1978" s="280">
        <v>20</v>
      </c>
      <c r="J1978" s="279">
        <v>2314</v>
      </c>
      <c r="K1978" s="270">
        <f t="shared" si="0"/>
        <v>46280</v>
      </c>
      <c r="L1978" s="279">
        <v>80990</v>
      </c>
      <c r="M1978" s="279">
        <v>121</v>
      </c>
      <c r="N1978" s="281"/>
      <c r="O1978" s="55">
        <v>0.5</v>
      </c>
      <c r="P1978" s="105">
        <v>1620</v>
      </c>
      <c r="Q1978" s="279">
        <v>-565</v>
      </c>
      <c r="R1978" s="275">
        <v>0</v>
      </c>
      <c r="S1978" s="279">
        <v>-565</v>
      </c>
      <c r="T1978" s="279">
        <v>1741</v>
      </c>
      <c r="U1978" s="57">
        <v>1</v>
      </c>
      <c r="V1978" s="276">
        <v>0.23</v>
      </c>
      <c r="W1978" s="276">
        <v>0</v>
      </c>
      <c r="X1978" s="279">
        <v>1340</v>
      </c>
      <c r="Y1978" s="279">
        <v>400</v>
      </c>
      <c r="Z1978" s="45" t="b">
        <v>1</v>
      </c>
      <c r="AA1978" s="45" t="s">
        <v>38</v>
      </c>
      <c r="AB1978" s="45" t="s">
        <v>38</v>
      </c>
    </row>
    <row r="1979" spans="1:28" x14ac:dyDescent="0.2">
      <c r="A1979" s="279" t="s">
        <v>232</v>
      </c>
      <c r="B1979" s="279" t="s">
        <v>198</v>
      </c>
      <c r="C1979" s="282">
        <v>44835</v>
      </c>
      <c r="D1979" s="282">
        <v>44865</v>
      </c>
      <c r="E1979" s="279" t="s">
        <v>267</v>
      </c>
      <c r="F1979" s="96" t="s">
        <v>49</v>
      </c>
      <c r="G1979" s="270" t="s">
        <v>35</v>
      </c>
      <c r="H1979" s="272" t="s">
        <v>40</v>
      </c>
      <c r="I1979" s="273">
        <v>10</v>
      </c>
      <c r="J1979" s="270">
        <v>471</v>
      </c>
      <c r="K1979" s="270">
        <f t="shared" si="0"/>
        <v>4710</v>
      </c>
      <c r="L1979" s="270">
        <v>13789</v>
      </c>
      <c r="M1979" s="270">
        <v>-460</v>
      </c>
      <c r="N1979" s="274">
        <v>40</v>
      </c>
      <c r="O1979" s="55"/>
      <c r="P1979" s="45">
        <v>40</v>
      </c>
      <c r="Q1979" s="270">
        <v>-96</v>
      </c>
      <c r="R1979" s="275">
        <v>-5.1789999999999996E-3</v>
      </c>
      <c r="S1979" s="270">
        <v>-120</v>
      </c>
      <c r="T1979" s="270">
        <v>-80</v>
      </c>
      <c r="U1979" s="57">
        <v>1</v>
      </c>
      <c r="V1979" s="276">
        <v>0.23</v>
      </c>
      <c r="W1979" s="276">
        <v>0</v>
      </c>
      <c r="X1979" s="270">
        <v>-62</v>
      </c>
      <c r="Y1979" s="270">
        <v>-18</v>
      </c>
      <c r="Z1979" s="45" t="b">
        <v>1</v>
      </c>
      <c r="AA1979" s="45" t="s">
        <v>38</v>
      </c>
      <c r="AB1979" s="45" t="s">
        <v>38</v>
      </c>
    </row>
    <row r="1980" spans="1:28" x14ac:dyDescent="0.2">
      <c r="A1980" s="279" t="s">
        <v>232</v>
      </c>
      <c r="B1980" s="279" t="s">
        <v>198</v>
      </c>
      <c r="C1980" s="282">
        <v>44835</v>
      </c>
      <c r="D1980" s="282">
        <v>44865</v>
      </c>
      <c r="E1980" s="279" t="s">
        <v>267</v>
      </c>
      <c r="F1980" s="96" t="s">
        <v>49</v>
      </c>
      <c r="G1980" s="270" t="s">
        <v>35</v>
      </c>
      <c r="H1980" s="272" t="s">
        <v>46</v>
      </c>
      <c r="I1980" s="273">
        <v>25</v>
      </c>
      <c r="J1980" s="270">
        <v>475</v>
      </c>
      <c r="K1980" s="270">
        <f t="shared" si="0"/>
        <v>11875</v>
      </c>
      <c r="L1980" s="270">
        <v>30528</v>
      </c>
      <c r="M1980" s="270">
        <v>525</v>
      </c>
      <c r="N1980" s="274">
        <v>80</v>
      </c>
      <c r="O1980" s="55"/>
      <c r="P1980" s="45">
        <v>80</v>
      </c>
      <c r="Q1980" s="270">
        <v>655</v>
      </c>
      <c r="R1980" s="275">
        <v>-5.659E-3</v>
      </c>
      <c r="S1980" s="270">
        <v>588</v>
      </c>
      <c r="T1980" s="270">
        <v>668</v>
      </c>
      <c r="U1980" s="57">
        <v>1</v>
      </c>
      <c r="V1980" s="276">
        <v>0.23</v>
      </c>
      <c r="W1980" s="276">
        <v>0</v>
      </c>
      <c r="X1980" s="270">
        <v>514</v>
      </c>
      <c r="Y1980" s="270">
        <v>154</v>
      </c>
      <c r="Z1980" s="45" t="b">
        <v>1</v>
      </c>
      <c r="AA1980" s="45" t="s">
        <v>38</v>
      </c>
      <c r="AB1980" s="45" t="s">
        <v>38</v>
      </c>
    </row>
    <row r="1981" spans="1:28" x14ac:dyDescent="0.2">
      <c r="A1981" s="279" t="s">
        <v>232</v>
      </c>
      <c r="B1981" s="279" t="s">
        <v>198</v>
      </c>
      <c r="C1981" s="282">
        <v>44835</v>
      </c>
      <c r="D1981" s="282">
        <v>44865</v>
      </c>
      <c r="E1981" s="279" t="s">
        <v>267</v>
      </c>
      <c r="F1981" s="133" t="s">
        <v>41</v>
      </c>
      <c r="G1981" s="270" t="s">
        <v>35</v>
      </c>
      <c r="H1981" s="272" t="s">
        <v>45</v>
      </c>
      <c r="I1981" s="273">
        <v>0.25</v>
      </c>
      <c r="J1981" s="270">
        <v>2</v>
      </c>
      <c r="K1981" s="270">
        <f t="shared" si="0"/>
        <v>0.5</v>
      </c>
      <c r="L1981" s="270"/>
      <c r="M1981" s="270">
        <v>1</v>
      </c>
      <c r="N1981" s="274"/>
      <c r="O1981" s="55"/>
      <c r="P1981" s="96"/>
      <c r="Q1981" s="270"/>
      <c r="R1981" s="275">
        <v>0</v>
      </c>
      <c r="S1981" s="270"/>
      <c r="T1981" s="270">
        <v>1</v>
      </c>
      <c r="U1981" s="57">
        <v>1</v>
      </c>
      <c r="V1981" s="276">
        <v>0.23</v>
      </c>
      <c r="W1981" s="276">
        <v>0</v>
      </c>
      <c r="X1981" s="270">
        <v>1</v>
      </c>
      <c r="Y1981" s="270">
        <v>0</v>
      </c>
      <c r="Z1981" s="45" t="b">
        <v>1</v>
      </c>
      <c r="AA1981" s="45" t="s">
        <v>38</v>
      </c>
      <c r="AB1981" s="45" t="s">
        <v>38</v>
      </c>
    </row>
    <row r="1982" spans="1:28" x14ac:dyDescent="0.2">
      <c r="A1982" s="279" t="s">
        <v>232</v>
      </c>
      <c r="B1982" s="279" t="s">
        <v>198</v>
      </c>
      <c r="C1982" s="282">
        <v>44835</v>
      </c>
      <c r="D1982" s="282">
        <v>44865</v>
      </c>
      <c r="E1982" s="279" t="s">
        <v>267</v>
      </c>
      <c r="F1982" s="133" t="s">
        <v>41</v>
      </c>
      <c r="G1982" s="270" t="s">
        <v>35</v>
      </c>
      <c r="H1982" s="272" t="s">
        <v>39</v>
      </c>
      <c r="I1982" s="273">
        <v>5</v>
      </c>
      <c r="J1982" s="270">
        <v>4</v>
      </c>
      <c r="K1982" s="270">
        <f t="shared" si="0"/>
        <v>20</v>
      </c>
      <c r="L1982" s="270"/>
      <c r="M1982" s="270">
        <v>-10</v>
      </c>
      <c r="N1982" s="274"/>
      <c r="O1982" s="55"/>
      <c r="P1982" s="96"/>
      <c r="Q1982" s="270"/>
      <c r="R1982" s="275">
        <v>0</v>
      </c>
      <c r="S1982" s="270"/>
      <c r="T1982" s="270">
        <v>-10</v>
      </c>
      <c r="U1982" s="57">
        <v>1</v>
      </c>
      <c r="V1982" s="276">
        <v>0.23</v>
      </c>
      <c r="W1982" s="276">
        <v>0</v>
      </c>
      <c r="X1982" s="270">
        <v>-8</v>
      </c>
      <c r="Y1982" s="270">
        <v>-2</v>
      </c>
      <c r="Z1982" s="45" t="b">
        <v>1</v>
      </c>
      <c r="AA1982" s="45" t="s">
        <v>38</v>
      </c>
      <c r="AB1982" s="45" t="s">
        <v>38</v>
      </c>
    </row>
    <row r="1983" spans="1:28" x14ac:dyDescent="0.2">
      <c r="A1983" s="279" t="s">
        <v>98</v>
      </c>
      <c r="B1983" s="279" t="s">
        <v>98</v>
      </c>
      <c r="C1983" s="277">
        <v>44835</v>
      </c>
      <c r="D1983" s="277">
        <v>44865</v>
      </c>
      <c r="E1983" s="279" t="s">
        <v>267</v>
      </c>
      <c r="F1983" s="133" t="s">
        <v>49</v>
      </c>
      <c r="G1983" s="270" t="s">
        <v>35</v>
      </c>
      <c r="H1983" s="272" t="s">
        <v>72</v>
      </c>
      <c r="I1983" s="273">
        <v>50</v>
      </c>
      <c r="J1983" s="270">
        <v>2</v>
      </c>
      <c r="K1983" s="270">
        <f t="shared" si="0"/>
        <v>100</v>
      </c>
      <c r="L1983" s="270">
        <v>-335</v>
      </c>
      <c r="M1983" s="270">
        <v>-100</v>
      </c>
      <c r="N1983" s="274">
        <v>4</v>
      </c>
      <c r="O1983" s="55"/>
      <c r="P1983" s="45">
        <v>4</v>
      </c>
      <c r="Q1983" s="270">
        <v>-37</v>
      </c>
      <c r="R1983" s="275">
        <v>-5.4050000000000001E-3</v>
      </c>
      <c r="S1983" s="270">
        <v>-38</v>
      </c>
      <c r="T1983" s="270">
        <v>-34</v>
      </c>
      <c r="U1983" s="57">
        <v>1</v>
      </c>
      <c r="V1983" s="276">
        <v>0.17</v>
      </c>
      <c r="W1983" s="276">
        <v>0</v>
      </c>
      <c r="X1983" s="270">
        <v>-28</v>
      </c>
      <c r="Y1983" s="270">
        <v>-6</v>
      </c>
      <c r="Z1983" s="45" t="b">
        <v>1</v>
      </c>
      <c r="AA1983" s="45" t="s">
        <v>38</v>
      </c>
      <c r="AB1983" s="45" t="s">
        <v>38</v>
      </c>
    </row>
    <row r="1984" spans="1:28" x14ac:dyDescent="0.2">
      <c r="A1984" s="279" t="s">
        <v>98</v>
      </c>
      <c r="B1984" s="279" t="s">
        <v>98</v>
      </c>
      <c r="C1984" s="277">
        <v>44835</v>
      </c>
      <c r="D1984" s="277">
        <v>44865</v>
      </c>
      <c r="E1984" s="279" t="s">
        <v>267</v>
      </c>
      <c r="F1984" s="133" t="s">
        <v>49</v>
      </c>
      <c r="G1984" s="270" t="s">
        <v>35</v>
      </c>
      <c r="H1984" s="272" t="s">
        <v>84</v>
      </c>
      <c r="I1984" s="273">
        <v>100</v>
      </c>
      <c r="J1984" s="270">
        <v>25</v>
      </c>
      <c r="K1984" s="270">
        <f t="shared" si="0"/>
        <v>2500</v>
      </c>
      <c r="L1984" s="270">
        <v>1958</v>
      </c>
      <c r="M1984" s="270">
        <v>1500</v>
      </c>
      <c r="N1984" s="274">
        <v>86</v>
      </c>
      <c r="O1984" s="55"/>
      <c r="P1984" s="45">
        <v>86</v>
      </c>
      <c r="Q1984" s="270">
        <v>477</v>
      </c>
      <c r="R1984" s="275">
        <v>-6.2589999999999998E-3</v>
      </c>
      <c r="S1984" s="270">
        <v>461</v>
      </c>
      <c r="T1984" s="270">
        <v>547</v>
      </c>
      <c r="U1984" s="57">
        <v>1</v>
      </c>
      <c r="V1984" s="276">
        <v>0.17</v>
      </c>
      <c r="W1984" s="276">
        <v>0</v>
      </c>
      <c r="X1984" s="270">
        <v>454</v>
      </c>
      <c r="Y1984" s="270">
        <v>93</v>
      </c>
      <c r="Z1984" s="45" t="b">
        <v>1</v>
      </c>
      <c r="AA1984" s="45" t="s">
        <v>38</v>
      </c>
      <c r="AB1984" s="45" t="s">
        <v>38</v>
      </c>
    </row>
    <row r="1985" spans="1:28" x14ac:dyDescent="0.2">
      <c r="A1985" s="279" t="s">
        <v>98</v>
      </c>
      <c r="B1985" s="279" t="s">
        <v>98</v>
      </c>
      <c r="C1985" s="277">
        <v>44835</v>
      </c>
      <c r="D1985" s="277">
        <v>44865</v>
      </c>
      <c r="E1985" s="279" t="s">
        <v>267</v>
      </c>
      <c r="F1985" s="133" t="s">
        <v>49</v>
      </c>
      <c r="G1985" s="270" t="s">
        <v>35</v>
      </c>
      <c r="H1985" s="272" t="s">
        <v>87</v>
      </c>
      <c r="I1985" s="273">
        <v>25</v>
      </c>
      <c r="J1985" s="270">
        <v>237</v>
      </c>
      <c r="K1985" s="270">
        <f t="shared" si="0"/>
        <v>5925</v>
      </c>
      <c r="L1985" s="270">
        <v>7368</v>
      </c>
      <c r="M1985" s="270">
        <v>775</v>
      </c>
      <c r="N1985" s="274">
        <v>282</v>
      </c>
      <c r="O1985" s="55"/>
      <c r="P1985" s="45">
        <v>282</v>
      </c>
      <c r="Q1985" s="270">
        <v>190</v>
      </c>
      <c r="R1985" s="275">
        <v>-5.581E-3</v>
      </c>
      <c r="S1985" s="270">
        <v>157</v>
      </c>
      <c r="T1985" s="270">
        <v>439</v>
      </c>
      <c r="U1985" s="57">
        <v>1</v>
      </c>
      <c r="V1985" s="276">
        <v>0.17</v>
      </c>
      <c r="W1985" s="276">
        <v>0</v>
      </c>
      <c r="X1985" s="270">
        <v>364</v>
      </c>
      <c r="Y1985" s="270">
        <v>75</v>
      </c>
      <c r="Z1985" s="45" t="b">
        <v>1</v>
      </c>
      <c r="AA1985" s="45" t="s">
        <v>38</v>
      </c>
      <c r="AB1985" s="45" t="s">
        <v>38</v>
      </c>
    </row>
    <row r="1986" spans="1:28" x14ac:dyDescent="0.2">
      <c r="A1986" s="279" t="s">
        <v>98</v>
      </c>
      <c r="B1986" s="279" t="s">
        <v>98</v>
      </c>
      <c r="C1986" s="277">
        <v>44835</v>
      </c>
      <c r="D1986" s="277">
        <v>44865</v>
      </c>
      <c r="E1986" s="279" t="s">
        <v>267</v>
      </c>
      <c r="F1986" s="133" t="s">
        <v>49</v>
      </c>
      <c r="G1986" s="270" t="s">
        <v>35</v>
      </c>
      <c r="H1986" s="272" t="s">
        <v>85</v>
      </c>
      <c r="I1986" s="273">
        <v>50</v>
      </c>
      <c r="J1986" s="270">
        <v>5711</v>
      </c>
      <c r="K1986" s="270">
        <f t="shared" si="0"/>
        <v>285550</v>
      </c>
      <c r="L1986" s="270">
        <v>42493</v>
      </c>
      <c r="M1986" s="270">
        <v>-16010</v>
      </c>
      <c r="N1986" s="274">
        <v>11827</v>
      </c>
      <c r="O1986" s="55"/>
      <c r="P1986" s="105">
        <v>11827</v>
      </c>
      <c r="Q1986" s="270">
        <v>-11683</v>
      </c>
      <c r="R1986" s="275">
        <v>-5.11E-3</v>
      </c>
      <c r="S1986" s="270">
        <v>-13142</v>
      </c>
      <c r="T1986" s="270">
        <v>-1315</v>
      </c>
      <c r="U1986" s="57">
        <v>1</v>
      </c>
      <c r="V1986" s="276">
        <v>0.17</v>
      </c>
      <c r="W1986" s="276">
        <v>0</v>
      </c>
      <c r="X1986" s="270">
        <v>-1091</v>
      </c>
      <c r="Y1986" s="270">
        <v>-224</v>
      </c>
      <c r="Z1986" s="45" t="b">
        <v>1</v>
      </c>
      <c r="AA1986" s="45" t="s">
        <v>38</v>
      </c>
      <c r="AB1986" s="45" t="s">
        <v>38</v>
      </c>
    </row>
    <row r="1987" spans="1:28" x14ac:dyDescent="0.2">
      <c r="A1987" s="279" t="s">
        <v>600</v>
      </c>
      <c r="B1987" s="279" t="s">
        <v>117</v>
      </c>
      <c r="C1987" s="282">
        <v>44835</v>
      </c>
      <c r="D1987" s="282">
        <v>44865</v>
      </c>
      <c r="E1987" s="279" t="s">
        <v>267</v>
      </c>
      <c r="F1987" s="96" t="s">
        <v>34</v>
      </c>
      <c r="G1987" s="270" t="s">
        <v>69</v>
      </c>
      <c r="H1987" s="289" t="s">
        <v>71</v>
      </c>
      <c r="I1987" s="280">
        <v>20</v>
      </c>
      <c r="J1987" s="279">
        <v>3317</v>
      </c>
      <c r="K1987" s="270">
        <f t="shared" si="0"/>
        <v>66340</v>
      </c>
      <c r="L1987" s="279">
        <v>174660</v>
      </c>
      <c r="M1987" s="279">
        <v>2260</v>
      </c>
      <c r="N1987" s="281">
        <v>2901</v>
      </c>
      <c r="O1987" s="55"/>
      <c r="P1987" s="105">
        <v>2901</v>
      </c>
      <c r="Q1987" s="279">
        <v>2290</v>
      </c>
      <c r="R1987" s="275">
        <v>-1.5200000000000001E-3</v>
      </c>
      <c r="S1987" s="279">
        <v>2189</v>
      </c>
      <c r="T1987" s="279">
        <v>5090</v>
      </c>
      <c r="U1987" s="57">
        <v>1</v>
      </c>
      <c r="V1987" s="276">
        <v>0.3</v>
      </c>
      <c r="W1987" s="276">
        <v>0</v>
      </c>
      <c r="X1987" s="279">
        <v>3563</v>
      </c>
      <c r="Y1987" s="279">
        <v>1527</v>
      </c>
      <c r="Z1987" s="45" t="b">
        <v>1</v>
      </c>
      <c r="AA1987" s="45" t="s">
        <v>38</v>
      </c>
      <c r="AB1987" s="45" t="s">
        <v>38</v>
      </c>
    </row>
    <row r="1988" spans="1:28" x14ac:dyDescent="0.2">
      <c r="A1988" s="279" t="s">
        <v>600</v>
      </c>
      <c r="B1988" s="279" t="s">
        <v>117</v>
      </c>
      <c r="C1988" s="282">
        <v>44835</v>
      </c>
      <c r="D1988" s="282">
        <v>44865</v>
      </c>
      <c r="E1988" s="279" t="s">
        <v>267</v>
      </c>
      <c r="F1988" s="96" t="s">
        <v>34</v>
      </c>
      <c r="G1988" s="270" t="s">
        <v>69</v>
      </c>
      <c r="H1988" s="289" t="s">
        <v>71</v>
      </c>
      <c r="I1988" s="280">
        <v>20</v>
      </c>
      <c r="J1988" s="279">
        <v>1397</v>
      </c>
      <c r="K1988" s="270">
        <f t="shared" si="0"/>
        <v>27940</v>
      </c>
      <c r="L1988" s="279">
        <v>31191</v>
      </c>
      <c r="M1988" s="279">
        <v>-1500</v>
      </c>
      <c r="N1988" s="281">
        <v>1072.8</v>
      </c>
      <c r="O1988" s="55"/>
      <c r="P1988" s="105">
        <v>1073</v>
      </c>
      <c r="Q1988" s="279">
        <v>-621</v>
      </c>
      <c r="R1988" s="275">
        <v>-1.5200000000000001E-3</v>
      </c>
      <c r="S1988" s="279">
        <v>-664</v>
      </c>
      <c r="T1988" s="279">
        <v>409</v>
      </c>
      <c r="U1988" s="57">
        <v>1</v>
      </c>
      <c r="V1988" s="276">
        <v>0.3</v>
      </c>
      <c r="W1988" s="276">
        <v>0</v>
      </c>
      <c r="X1988" s="279">
        <v>286</v>
      </c>
      <c r="Y1988" s="279">
        <v>123</v>
      </c>
      <c r="Z1988" s="45" t="b">
        <v>1</v>
      </c>
      <c r="AA1988" s="45" t="s">
        <v>38</v>
      </c>
      <c r="AB1988" s="45" t="s">
        <v>38</v>
      </c>
    </row>
    <row r="1989" spans="1:28" x14ac:dyDescent="0.2">
      <c r="A1989" s="279" t="s">
        <v>225</v>
      </c>
      <c r="B1989" s="279" t="s">
        <v>204</v>
      </c>
      <c r="C1989" s="277">
        <v>44835</v>
      </c>
      <c r="D1989" s="277">
        <v>44865</v>
      </c>
      <c r="E1989" s="279" t="s">
        <v>267</v>
      </c>
      <c r="F1989" s="133" t="s">
        <v>49</v>
      </c>
      <c r="G1989" s="270" t="s">
        <v>35</v>
      </c>
      <c r="H1989" s="272" t="s">
        <v>46</v>
      </c>
      <c r="I1989" s="273">
        <v>25</v>
      </c>
      <c r="J1989" s="270">
        <v>2060</v>
      </c>
      <c r="K1989" s="270">
        <f t="shared" si="0"/>
        <v>51500</v>
      </c>
      <c r="L1989" s="270">
        <v>97258</v>
      </c>
      <c r="M1989" s="270">
        <v>2550</v>
      </c>
      <c r="N1989" s="274">
        <v>2081</v>
      </c>
      <c r="O1989" s="55"/>
      <c r="P1989" s="105">
        <v>2081</v>
      </c>
      <c r="Q1989" s="270">
        <v>1213</v>
      </c>
      <c r="R1989" s="275">
        <v>-5.4489999999999999E-3</v>
      </c>
      <c r="S1989" s="270">
        <v>932</v>
      </c>
      <c r="T1989" s="270">
        <v>3013</v>
      </c>
      <c r="U1989" s="57">
        <v>1</v>
      </c>
      <c r="V1989" s="276">
        <v>0.23</v>
      </c>
      <c r="W1989" s="276">
        <v>0</v>
      </c>
      <c r="X1989" s="270">
        <v>2320</v>
      </c>
      <c r="Y1989" s="270">
        <v>693</v>
      </c>
      <c r="Z1989" s="45" t="b">
        <v>1</v>
      </c>
      <c r="AA1989" s="45" t="s">
        <v>38</v>
      </c>
      <c r="AB1989" s="45" t="s">
        <v>38</v>
      </c>
    </row>
    <row r="1990" spans="1:28" x14ac:dyDescent="0.2">
      <c r="A1990" s="279" t="s">
        <v>225</v>
      </c>
      <c r="B1990" s="279" t="s">
        <v>204</v>
      </c>
      <c r="C1990" s="277">
        <v>44849</v>
      </c>
      <c r="D1990" s="277">
        <v>44865</v>
      </c>
      <c r="E1990" s="279" t="s">
        <v>267</v>
      </c>
      <c r="F1990" s="133" t="s">
        <v>49</v>
      </c>
      <c r="G1990" s="270" t="s">
        <v>35</v>
      </c>
      <c r="H1990" s="272" t="s">
        <v>72</v>
      </c>
      <c r="I1990" s="273">
        <v>50</v>
      </c>
      <c r="J1990" s="270">
        <v>736</v>
      </c>
      <c r="K1990" s="270">
        <f t="shared" si="0"/>
        <v>36800</v>
      </c>
      <c r="L1990" s="270">
        <v>-4231</v>
      </c>
      <c r="M1990" s="270">
        <v>-2900</v>
      </c>
      <c r="N1990" s="274">
        <v>1489</v>
      </c>
      <c r="O1990" s="55"/>
      <c r="P1990" s="105">
        <v>1489</v>
      </c>
      <c r="Q1990" s="270">
        <v>-2747</v>
      </c>
      <c r="R1990" s="275">
        <v>-4.9329999999999999E-3</v>
      </c>
      <c r="S1990" s="270">
        <v>-2929</v>
      </c>
      <c r="T1990" s="270">
        <v>-1440</v>
      </c>
      <c r="U1990" s="57">
        <v>1</v>
      </c>
      <c r="V1990" s="276">
        <v>0.23</v>
      </c>
      <c r="W1990" s="276">
        <v>0</v>
      </c>
      <c r="X1990" s="270">
        <v>-1109</v>
      </c>
      <c r="Y1990" s="270">
        <v>-331</v>
      </c>
      <c r="Z1990" s="45" t="b">
        <v>1</v>
      </c>
      <c r="AA1990" s="45" t="s">
        <v>38</v>
      </c>
      <c r="AB1990" s="45" t="s">
        <v>38</v>
      </c>
    </row>
    <row r="1991" spans="1:28" x14ac:dyDescent="0.2">
      <c r="A1991" s="279" t="s">
        <v>133</v>
      </c>
      <c r="B1991" s="279" t="s">
        <v>133</v>
      </c>
      <c r="C1991" s="282">
        <v>44835</v>
      </c>
      <c r="D1991" s="282">
        <v>44865</v>
      </c>
      <c r="E1991" s="279" t="s">
        <v>267</v>
      </c>
      <c r="F1991" s="133" t="s">
        <v>41</v>
      </c>
      <c r="G1991" s="279" t="s">
        <v>61</v>
      </c>
      <c r="H1991" s="289" t="s">
        <v>183</v>
      </c>
      <c r="I1991" s="280">
        <v>2</v>
      </c>
      <c r="J1991" s="279">
        <v>2321</v>
      </c>
      <c r="K1991" s="270">
        <f t="shared" si="0"/>
        <v>4642</v>
      </c>
      <c r="L1991" s="279">
        <v>187531</v>
      </c>
      <c r="M1991" s="279">
        <v>360</v>
      </c>
      <c r="N1991" s="281">
        <v>204.66</v>
      </c>
      <c r="O1991" s="55"/>
      <c r="P1991" s="45">
        <v>205</v>
      </c>
      <c r="Q1991" s="279">
        <v>260</v>
      </c>
      <c r="R1991" s="275">
        <v>0</v>
      </c>
      <c r="S1991" s="279">
        <v>260</v>
      </c>
      <c r="T1991" s="279">
        <v>565</v>
      </c>
      <c r="U1991" s="57">
        <v>1</v>
      </c>
      <c r="V1991" s="276">
        <v>0.17</v>
      </c>
      <c r="W1991" s="276">
        <v>0</v>
      </c>
      <c r="X1991" s="279">
        <v>469</v>
      </c>
      <c r="Y1991" s="279">
        <v>96</v>
      </c>
      <c r="Z1991" s="45" t="b">
        <v>1</v>
      </c>
      <c r="AA1991" s="45" t="s">
        <v>50</v>
      </c>
      <c r="AB1991" s="45" t="s">
        <v>50</v>
      </c>
    </row>
    <row r="1992" spans="1:28" x14ac:dyDescent="0.2">
      <c r="A1992" s="279" t="s">
        <v>133</v>
      </c>
      <c r="B1992" s="279" t="s">
        <v>133</v>
      </c>
      <c r="C1992" s="282">
        <v>44835</v>
      </c>
      <c r="D1992" s="282">
        <v>44865</v>
      </c>
      <c r="E1992" s="279" t="s">
        <v>267</v>
      </c>
      <c r="F1992" s="133" t="s">
        <v>41</v>
      </c>
      <c r="G1992" s="279" t="s">
        <v>61</v>
      </c>
      <c r="H1992" s="289" t="s">
        <v>54</v>
      </c>
      <c r="I1992" s="280">
        <v>5</v>
      </c>
      <c r="J1992" s="279">
        <v>529</v>
      </c>
      <c r="K1992" s="270">
        <f t="shared" si="0"/>
        <v>2645</v>
      </c>
      <c r="L1992" s="279">
        <v>31307</v>
      </c>
      <c r="M1992" s="279">
        <v>60</v>
      </c>
      <c r="N1992" s="281">
        <v>1.34</v>
      </c>
      <c r="O1992" s="55"/>
      <c r="P1992" s="45">
        <v>1</v>
      </c>
      <c r="Q1992" s="279">
        <v>55</v>
      </c>
      <c r="R1992" s="275">
        <v>0</v>
      </c>
      <c r="S1992" s="279">
        <v>55</v>
      </c>
      <c r="T1992" s="279">
        <v>61</v>
      </c>
      <c r="U1992" s="57">
        <v>1</v>
      </c>
      <c r="V1992" s="276">
        <v>0.17</v>
      </c>
      <c r="W1992" s="276">
        <v>0</v>
      </c>
      <c r="X1992" s="279">
        <v>51</v>
      </c>
      <c r="Y1992" s="279">
        <v>10</v>
      </c>
      <c r="Z1992" s="45" t="b">
        <v>1</v>
      </c>
      <c r="AA1992" s="45" t="s">
        <v>50</v>
      </c>
      <c r="AB1992" s="45" t="s">
        <v>50</v>
      </c>
    </row>
    <row r="1993" spans="1:28" x14ac:dyDescent="0.2">
      <c r="A1993" s="96" t="s">
        <v>178</v>
      </c>
      <c r="B1993" s="96" t="s">
        <v>178</v>
      </c>
      <c r="C1993" s="277">
        <v>44855</v>
      </c>
      <c r="D1993" s="277">
        <v>44869</v>
      </c>
      <c r="E1993" s="270" t="s">
        <v>267</v>
      </c>
      <c r="F1993" s="96" t="s">
        <v>34</v>
      </c>
      <c r="G1993" s="270" t="s">
        <v>35</v>
      </c>
      <c r="H1993" s="272" t="s">
        <v>42</v>
      </c>
      <c r="I1993" s="273">
        <v>1</v>
      </c>
      <c r="J1993" s="270">
        <v>20</v>
      </c>
      <c r="K1993" s="270">
        <f t="shared" si="0"/>
        <v>20</v>
      </c>
      <c r="L1993" s="270">
        <v>1018</v>
      </c>
      <c r="M1993" s="270">
        <v>-3</v>
      </c>
      <c r="N1993" s="274">
        <v>1.49</v>
      </c>
      <c r="O1993" s="55"/>
      <c r="P1993" s="45">
        <v>1</v>
      </c>
      <c r="Q1993" s="270">
        <v>0</v>
      </c>
      <c r="R1993" s="275">
        <v>-1.5200000000000001E-3</v>
      </c>
      <c r="S1993" s="270">
        <v>0</v>
      </c>
      <c r="T1993" s="270">
        <v>2</v>
      </c>
      <c r="U1993" s="57">
        <v>1</v>
      </c>
      <c r="V1993" s="276">
        <v>0.2</v>
      </c>
      <c r="W1993" s="276">
        <v>0</v>
      </c>
      <c r="X1993" s="270">
        <v>1</v>
      </c>
      <c r="Y1993" s="270">
        <v>0</v>
      </c>
      <c r="Z1993" s="45" t="b">
        <v>1</v>
      </c>
      <c r="AA1993" s="45" t="s">
        <v>38</v>
      </c>
      <c r="AB1993" s="45" t="s">
        <v>38</v>
      </c>
    </row>
    <row r="1994" spans="1:28" x14ac:dyDescent="0.2">
      <c r="A1994" s="96" t="s">
        <v>178</v>
      </c>
      <c r="B1994" s="96" t="s">
        <v>178</v>
      </c>
      <c r="C1994" s="277">
        <v>44855</v>
      </c>
      <c r="D1994" s="277">
        <v>44869</v>
      </c>
      <c r="E1994" s="270" t="s">
        <v>267</v>
      </c>
      <c r="F1994" s="96" t="s">
        <v>34</v>
      </c>
      <c r="G1994" s="270" t="s">
        <v>35</v>
      </c>
      <c r="H1994" s="272" t="s">
        <v>47</v>
      </c>
      <c r="I1994" s="273">
        <v>1</v>
      </c>
      <c r="J1994" s="270">
        <v>17</v>
      </c>
      <c r="K1994" s="270">
        <f t="shared" si="0"/>
        <v>17</v>
      </c>
      <c r="L1994" s="270">
        <v>336</v>
      </c>
      <c r="M1994" s="270">
        <v>-5</v>
      </c>
      <c r="N1994" s="274">
        <v>1.26</v>
      </c>
      <c r="O1994" s="55"/>
      <c r="P1994" s="45">
        <v>1</v>
      </c>
      <c r="Q1994" s="270">
        <v>0</v>
      </c>
      <c r="R1994" s="275">
        <v>-1.5200000000000001E-3</v>
      </c>
      <c r="S1994" s="270">
        <v>0</v>
      </c>
      <c r="T1994" s="270">
        <v>1</v>
      </c>
      <c r="U1994" s="57">
        <v>1</v>
      </c>
      <c r="V1994" s="276">
        <v>0.2</v>
      </c>
      <c r="W1994" s="276">
        <v>0</v>
      </c>
      <c r="X1994" s="270">
        <v>1</v>
      </c>
      <c r="Y1994" s="270">
        <v>0</v>
      </c>
      <c r="Z1994" s="45" t="b">
        <v>1</v>
      </c>
      <c r="AA1994" s="45" t="s">
        <v>38</v>
      </c>
      <c r="AB1994" s="45" t="s">
        <v>38</v>
      </c>
    </row>
    <row r="1995" spans="1:28" x14ac:dyDescent="0.2">
      <c r="A1995" s="96" t="s">
        <v>178</v>
      </c>
      <c r="B1995" s="96" t="s">
        <v>178</v>
      </c>
      <c r="C1995" s="277">
        <v>44855</v>
      </c>
      <c r="D1995" s="277">
        <v>44869</v>
      </c>
      <c r="E1995" s="270" t="s">
        <v>267</v>
      </c>
      <c r="F1995" s="96" t="s">
        <v>34</v>
      </c>
      <c r="G1995" s="270" t="s">
        <v>35</v>
      </c>
      <c r="H1995" s="272" t="s">
        <v>90</v>
      </c>
      <c r="I1995" s="273">
        <v>5</v>
      </c>
      <c r="J1995" s="270">
        <v>44</v>
      </c>
      <c r="K1995" s="270">
        <f t="shared" si="0"/>
        <v>220</v>
      </c>
      <c r="L1995" s="270">
        <f>15*44</f>
        <v>660</v>
      </c>
      <c r="M1995" s="270">
        <v>-10</v>
      </c>
      <c r="N1995" s="274">
        <v>16.34</v>
      </c>
      <c r="O1995" s="55"/>
      <c r="P1995" s="45">
        <v>16</v>
      </c>
      <c r="Q1995" s="270">
        <v>-9</v>
      </c>
      <c r="R1995" s="275">
        <v>-1.5200000000000001E-3</v>
      </c>
      <c r="S1995" s="270">
        <v>-10</v>
      </c>
      <c r="T1995" s="270">
        <v>7</v>
      </c>
      <c r="U1995" s="57">
        <v>1</v>
      </c>
      <c r="V1995" s="276">
        <v>0.2</v>
      </c>
      <c r="W1995" s="276">
        <v>0</v>
      </c>
      <c r="X1995" s="270">
        <v>5</v>
      </c>
      <c r="Y1995" s="270">
        <v>1</v>
      </c>
      <c r="Z1995" s="45" t="b">
        <v>1</v>
      </c>
      <c r="AA1995" s="45" t="s">
        <v>38</v>
      </c>
      <c r="AB1995" s="45" t="s">
        <v>38</v>
      </c>
    </row>
    <row r="1996" spans="1:28" x14ac:dyDescent="0.2">
      <c r="A1996" s="96" t="s">
        <v>178</v>
      </c>
      <c r="B1996" s="96" t="s">
        <v>178</v>
      </c>
      <c r="C1996" s="277">
        <v>44855</v>
      </c>
      <c r="D1996" s="277">
        <v>44869</v>
      </c>
      <c r="E1996" s="270" t="s">
        <v>267</v>
      </c>
      <c r="F1996" s="96" t="s">
        <v>34</v>
      </c>
      <c r="G1996" s="270" t="s">
        <v>35</v>
      </c>
      <c r="H1996" s="272" t="s">
        <v>40</v>
      </c>
      <c r="I1996" s="273">
        <v>10</v>
      </c>
      <c r="J1996" s="270">
        <v>687</v>
      </c>
      <c r="K1996" s="270">
        <f t="shared" si="0"/>
        <v>6870</v>
      </c>
      <c r="L1996" s="270">
        <f>687*53</f>
        <v>36411</v>
      </c>
      <c r="M1996" s="270">
        <v>60</v>
      </c>
      <c r="N1996" s="274">
        <v>446.36</v>
      </c>
      <c r="O1996" s="55"/>
      <c r="P1996" s="45">
        <v>446</v>
      </c>
      <c r="Q1996" s="270">
        <v>160</v>
      </c>
      <c r="R1996" s="275">
        <v>-1.5200000000000001E-3</v>
      </c>
      <c r="S1996" s="270">
        <v>149</v>
      </c>
      <c r="T1996" s="270">
        <v>595</v>
      </c>
      <c r="U1996" s="57">
        <v>1</v>
      </c>
      <c r="V1996" s="276">
        <v>0.2</v>
      </c>
      <c r="W1996" s="276">
        <v>0</v>
      </c>
      <c r="X1996" s="270">
        <v>476</v>
      </c>
      <c r="Y1996" s="270">
        <v>119</v>
      </c>
      <c r="Z1996" s="45" t="b">
        <v>1</v>
      </c>
      <c r="AA1996" s="45" t="s">
        <v>38</v>
      </c>
      <c r="AB1996" s="45" t="s">
        <v>38</v>
      </c>
    </row>
    <row r="1997" spans="1:28" x14ac:dyDescent="0.2">
      <c r="A1997" s="96" t="s">
        <v>178</v>
      </c>
      <c r="B1997" s="96" t="s">
        <v>178</v>
      </c>
      <c r="C1997" s="277">
        <v>44855</v>
      </c>
      <c r="D1997" s="277">
        <v>44869</v>
      </c>
      <c r="E1997" s="270" t="s">
        <v>267</v>
      </c>
      <c r="F1997" s="96" t="s">
        <v>34</v>
      </c>
      <c r="G1997" s="270" t="s">
        <v>35</v>
      </c>
      <c r="H1997" s="272" t="s">
        <v>115</v>
      </c>
      <c r="I1997" s="273">
        <v>10</v>
      </c>
      <c r="J1997" s="270">
        <v>1095</v>
      </c>
      <c r="K1997" s="270">
        <f t="shared" si="0"/>
        <v>10950</v>
      </c>
      <c r="L1997" s="270">
        <f>1095*10</f>
        <v>10950</v>
      </c>
      <c r="M1997" s="270">
        <v>-570</v>
      </c>
      <c r="N1997" s="274">
        <v>711.44</v>
      </c>
      <c r="O1997" s="55"/>
      <c r="P1997" s="45">
        <v>711</v>
      </c>
      <c r="Q1997" s="270">
        <v>-476</v>
      </c>
      <c r="R1997" s="275">
        <v>-1.5200000000000001E-3</v>
      </c>
      <c r="S1997" s="270">
        <v>-492</v>
      </c>
      <c r="T1997" s="270">
        <v>219</v>
      </c>
      <c r="U1997" s="57">
        <v>1</v>
      </c>
      <c r="V1997" s="276">
        <v>0.2</v>
      </c>
      <c r="W1997" s="276">
        <v>0</v>
      </c>
      <c r="X1997" s="270">
        <v>175</v>
      </c>
      <c r="Y1997" s="270">
        <v>44</v>
      </c>
      <c r="Z1997" s="45" t="b">
        <v>1</v>
      </c>
      <c r="AA1997" s="45" t="s">
        <v>38</v>
      </c>
      <c r="AB1997" s="45" t="s">
        <v>38</v>
      </c>
    </row>
    <row r="1998" spans="1:28" x14ac:dyDescent="0.2">
      <c r="A1998" s="96" t="s">
        <v>178</v>
      </c>
      <c r="B1998" s="96" t="s">
        <v>178</v>
      </c>
      <c r="C1998" s="277">
        <v>44855</v>
      </c>
      <c r="D1998" s="277">
        <v>44869</v>
      </c>
      <c r="E1998" s="270" t="s">
        <v>267</v>
      </c>
      <c r="F1998" s="96" t="s">
        <v>34</v>
      </c>
      <c r="G1998" s="270" t="s">
        <v>35</v>
      </c>
      <c r="H1998" s="272" t="s">
        <v>46</v>
      </c>
      <c r="I1998" s="273">
        <v>25</v>
      </c>
      <c r="J1998" s="270">
        <v>36</v>
      </c>
      <c r="K1998" s="270">
        <f t="shared" si="0"/>
        <v>900</v>
      </c>
      <c r="L1998" s="270">
        <f>36*-35</f>
        <v>-1260</v>
      </c>
      <c r="M1998" s="270">
        <v>-175</v>
      </c>
      <c r="N1998" s="274">
        <v>50.12</v>
      </c>
      <c r="O1998" s="55"/>
      <c r="P1998" s="45">
        <v>50</v>
      </c>
      <c r="Q1998" s="270">
        <v>-116</v>
      </c>
      <c r="R1998" s="275">
        <v>-1.5200000000000001E-3</v>
      </c>
      <c r="S1998" s="270">
        <v>-117</v>
      </c>
      <c r="T1998" s="270">
        <v>-67</v>
      </c>
      <c r="U1998" s="57">
        <v>1</v>
      </c>
      <c r="V1998" s="276">
        <v>0.2</v>
      </c>
      <c r="W1998" s="276">
        <v>0</v>
      </c>
      <c r="X1998" s="270">
        <v>-54</v>
      </c>
      <c r="Y1998" s="270">
        <v>-13</v>
      </c>
      <c r="Z1998" s="45" t="b">
        <v>1</v>
      </c>
      <c r="AA1998" s="45" t="s">
        <v>38</v>
      </c>
      <c r="AB1998" s="45" t="s">
        <v>38</v>
      </c>
    </row>
    <row r="1999" spans="1:28" x14ac:dyDescent="0.2">
      <c r="A1999" s="279" t="s">
        <v>189</v>
      </c>
      <c r="B1999" s="279" t="s">
        <v>189</v>
      </c>
      <c r="C1999" s="277">
        <v>44866</v>
      </c>
      <c r="D1999" s="277">
        <v>44872</v>
      </c>
      <c r="E1999" s="279" t="s">
        <v>267</v>
      </c>
      <c r="F1999" s="133" t="s">
        <v>41</v>
      </c>
      <c r="G1999" s="279" t="s">
        <v>53</v>
      </c>
      <c r="H1999" s="289" t="s">
        <v>57</v>
      </c>
      <c r="I1999" s="273">
        <v>50</v>
      </c>
      <c r="J1999" s="270"/>
      <c r="K1999" s="270">
        <f t="shared" si="0"/>
        <v>0</v>
      </c>
      <c r="L1999" s="270"/>
      <c r="M1999" s="270">
        <v>15810</v>
      </c>
      <c r="N1999" s="274"/>
      <c r="O1999" s="55"/>
      <c r="P1999" s="96"/>
      <c r="Q1999" s="270"/>
      <c r="R1999" s="275">
        <v>0</v>
      </c>
      <c r="S1999" s="270"/>
      <c r="T1999" s="270">
        <v>15810</v>
      </c>
      <c r="U1999" s="57">
        <v>1</v>
      </c>
      <c r="V1999" s="276">
        <v>0.16020000000000001</v>
      </c>
      <c r="W1999" s="276">
        <v>0</v>
      </c>
      <c r="X1999" s="270">
        <v>13277</v>
      </c>
      <c r="Y1999" s="270">
        <v>2533</v>
      </c>
      <c r="Z1999" s="45" t="b">
        <v>1</v>
      </c>
      <c r="AA1999" s="45" t="s">
        <v>38</v>
      </c>
      <c r="AB1999" s="45" t="s">
        <v>38</v>
      </c>
    </row>
    <row r="2000" spans="1:28" x14ac:dyDescent="0.2">
      <c r="A2000" s="279" t="s">
        <v>127</v>
      </c>
      <c r="B2000" s="279" t="s">
        <v>128</v>
      </c>
      <c r="C2000" s="282">
        <v>44866</v>
      </c>
      <c r="D2000" s="282">
        <v>44883</v>
      </c>
      <c r="E2000" s="279" t="s">
        <v>267</v>
      </c>
      <c r="F2000" s="133" t="s">
        <v>49</v>
      </c>
      <c r="G2000" s="279" t="s">
        <v>61</v>
      </c>
      <c r="H2000" s="289" t="s">
        <v>55</v>
      </c>
      <c r="I2000" s="280">
        <v>10</v>
      </c>
      <c r="J2000" s="279">
        <v>350</v>
      </c>
      <c r="K2000" s="270">
        <f t="shared" si="0"/>
        <v>3500</v>
      </c>
      <c r="L2000" s="279">
        <v>35872</v>
      </c>
      <c r="M2000" s="279">
        <v>130</v>
      </c>
      <c r="N2000" s="281">
        <v>3816.45</v>
      </c>
      <c r="O2000" s="55"/>
      <c r="P2000" s="105">
        <v>3816</v>
      </c>
      <c r="Q2000" s="279">
        <v>350</v>
      </c>
      <c r="R2000" s="275">
        <v>-3.4979999999999998E-3</v>
      </c>
      <c r="S2000" s="279">
        <v>338</v>
      </c>
      <c r="T2000" s="279">
        <v>4154</v>
      </c>
      <c r="U2000" s="57">
        <v>1</v>
      </c>
      <c r="V2000" s="276">
        <v>0.17</v>
      </c>
      <c r="W2000" s="276">
        <v>0</v>
      </c>
      <c r="X2000" s="279">
        <v>3448</v>
      </c>
      <c r="Y2000" s="279">
        <v>706</v>
      </c>
      <c r="Z2000" s="45" t="b">
        <v>1</v>
      </c>
      <c r="AA2000" s="45" t="s">
        <v>50</v>
      </c>
      <c r="AB2000" s="45" t="s">
        <v>50</v>
      </c>
    </row>
    <row r="2001" spans="1:28" x14ac:dyDescent="0.2">
      <c r="A2001" s="279" t="s">
        <v>127</v>
      </c>
      <c r="B2001" s="279" t="s">
        <v>128</v>
      </c>
      <c r="C2001" s="282">
        <v>44866</v>
      </c>
      <c r="D2001" s="282">
        <v>44883</v>
      </c>
      <c r="E2001" s="279" t="s">
        <v>267</v>
      </c>
      <c r="F2001" s="133" t="s">
        <v>49</v>
      </c>
      <c r="G2001" s="279" t="s">
        <v>61</v>
      </c>
      <c r="H2001" s="289" t="s">
        <v>57</v>
      </c>
      <c r="I2001" s="280">
        <v>50</v>
      </c>
      <c r="J2001" s="279">
        <v>254</v>
      </c>
      <c r="K2001" s="270">
        <f t="shared" si="0"/>
        <v>12700</v>
      </c>
      <c r="L2001" s="279">
        <v>12230</v>
      </c>
      <c r="M2001" s="279">
        <v>900</v>
      </c>
      <c r="N2001" s="281">
        <v>0</v>
      </c>
      <c r="O2001" s="55"/>
      <c r="P2001" s="45">
        <v>0</v>
      </c>
      <c r="Q2001" s="279">
        <v>19</v>
      </c>
      <c r="R2001" s="275">
        <v>-3.156E-3</v>
      </c>
      <c r="S2001" s="279">
        <v>-21</v>
      </c>
      <c r="T2001" s="279">
        <v>-21</v>
      </c>
      <c r="U2001" s="57">
        <v>1</v>
      </c>
      <c r="V2001" s="276">
        <v>0.17</v>
      </c>
      <c r="W2001" s="276">
        <v>0</v>
      </c>
      <c r="X2001" s="279">
        <v>-17</v>
      </c>
      <c r="Y2001" s="279">
        <v>-4</v>
      </c>
      <c r="Z2001" s="45" t="b">
        <v>1</v>
      </c>
      <c r="AA2001" s="45" t="s">
        <v>50</v>
      </c>
      <c r="AB2001" s="45" t="s">
        <v>50</v>
      </c>
    </row>
    <row r="2002" spans="1:28" x14ac:dyDescent="0.2">
      <c r="A2002" s="279" t="s">
        <v>127</v>
      </c>
      <c r="B2002" s="279" t="s">
        <v>128</v>
      </c>
      <c r="C2002" s="282">
        <v>44866</v>
      </c>
      <c r="D2002" s="282">
        <v>44883</v>
      </c>
      <c r="E2002" s="279" t="s">
        <v>267</v>
      </c>
      <c r="F2002" s="133" t="s">
        <v>49</v>
      </c>
      <c r="G2002" s="279" t="s">
        <v>61</v>
      </c>
      <c r="H2002" s="289" t="s">
        <v>167</v>
      </c>
      <c r="I2002" s="280">
        <v>25</v>
      </c>
      <c r="J2002" s="279">
        <v>1497</v>
      </c>
      <c r="K2002" s="270">
        <f t="shared" si="0"/>
        <v>37425</v>
      </c>
      <c r="L2002" s="279">
        <v>98997</v>
      </c>
      <c r="M2002" s="279">
        <v>499</v>
      </c>
      <c r="N2002" s="281">
        <v>449.02</v>
      </c>
      <c r="O2002" s="55"/>
      <c r="P2002" s="45">
        <v>449</v>
      </c>
      <c r="Q2002" s="279">
        <v>1277</v>
      </c>
      <c r="R2002" s="275">
        <v>-3.2539999999999999E-3</v>
      </c>
      <c r="S2002" s="279">
        <v>1155</v>
      </c>
      <c r="T2002" s="279">
        <v>1604</v>
      </c>
      <c r="U2002" s="57">
        <v>1</v>
      </c>
      <c r="V2002" s="276">
        <v>0.17</v>
      </c>
      <c r="W2002" s="276">
        <v>0</v>
      </c>
      <c r="X2002" s="279">
        <v>1331</v>
      </c>
      <c r="Y2002" s="279">
        <v>273</v>
      </c>
      <c r="Z2002" s="45" t="b">
        <v>1</v>
      </c>
      <c r="AA2002" s="45" t="s">
        <v>50</v>
      </c>
      <c r="AB2002" s="45" t="s">
        <v>50</v>
      </c>
    </row>
    <row r="2003" spans="1:28" x14ac:dyDescent="0.2">
      <c r="A2003" s="279" t="s">
        <v>127</v>
      </c>
      <c r="B2003" s="279" t="s">
        <v>128</v>
      </c>
      <c r="C2003" s="282">
        <v>44875</v>
      </c>
      <c r="D2003" s="282">
        <v>44883</v>
      </c>
      <c r="E2003" s="279" t="s">
        <v>267</v>
      </c>
      <c r="F2003" s="133" t="s">
        <v>49</v>
      </c>
      <c r="G2003" s="279" t="s">
        <v>61</v>
      </c>
      <c r="H2003" s="289" t="s">
        <v>59</v>
      </c>
      <c r="I2003" s="280">
        <v>100</v>
      </c>
      <c r="J2003" s="279">
        <v>196</v>
      </c>
      <c r="K2003" s="270">
        <f t="shared" si="0"/>
        <v>19600</v>
      </c>
      <c r="L2003" s="279">
        <v>11077</v>
      </c>
      <c r="M2003" s="279">
        <v>-300</v>
      </c>
      <c r="N2003" s="281">
        <v>73.23</v>
      </c>
      <c r="O2003" s="55"/>
      <c r="P2003" s="45">
        <v>73</v>
      </c>
      <c r="Q2003" s="279">
        <v>237</v>
      </c>
      <c r="R2003" s="275">
        <v>-2.0944000000000001E-2</v>
      </c>
      <c r="S2003" s="279">
        <v>-174</v>
      </c>
      <c r="T2003" s="279">
        <v>-101</v>
      </c>
      <c r="U2003" s="57">
        <v>1</v>
      </c>
      <c r="V2003" s="276">
        <v>0.17</v>
      </c>
      <c r="W2003" s="276">
        <v>0</v>
      </c>
      <c r="X2003" s="279">
        <v>-84</v>
      </c>
      <c r="Y2003" s="279">
        <v>-17</v>
      </c>
      <c r="Z2003" s="45" t="b">
        <v>1</v>
      </c>
      <c r="AA2003" s="45" t="s">
        <v>50</v>
      </c>
      <c r="AB2003" s="45" t="s">
        <v>50</v>
      </c>
    </row>
    <row r="2004" spans="1:28" x14ac:dyDescent="0.2">
      <c r="A2004" s="96" t="s">
        <v>286</v>
      </c>
      <c r="B2004" s="96" t="s">
        <v>286</v>
      </c>
      <c r="C2004" s="277">
        <v>44855</v>
      </c>
      <c r="D2004" s="277">
        <v>44885</v>
      </c>
      <c r="E2004" s="270" t="s">
        <v>267</v>
      </c>
      <c r="F2004" s="133" t="s">
        <v>34</v>
      </c>
      <c r="G2004" s="96" t="s">
        <v>35</v>
      </c>
      <c r="H2004" s="272" t="s">
        <v>47</v>
      </c>
      <c r="I2004" s="273">
        <v>1</v>
      </c>
      <c r="J2004" s="270">
        <v>10</v>
      </c>
      <c r="K2004" s="270">
        <f t="shared" si="0"/>
        <v>10</v>
      </c>
      <c r="L2004" s="270">
        <v>110</v>
      </c>
      <c r="M2004" s="270">
        <v>0</v>
      </c>
      <c r="N2004" s="274">
        <v>0.23</v>
      </c>
      <c r="O2004" s="55"/>
      <c r="P2004" s="45">
        <v>0</v>
      </c>
      <c r="Q2004" s="270">
        <v>-1</v>
      </c>
      <c r="R2004" s="275">
        <v>-1.5200000000000001E-3</v>
      </c>
      <c r="S2004" s="270">
        <v>-1</v>
      </c>
      <c r="T2004" s="270">
        <v>0</v>
      </c>
      <c r="U2004" s="57">
        <v>1</v>
      </c>
      <c r="V2004" s="276">
        <v>0.15</v>
      </c>
      <c r="W2004" s="276">
        <v>0</v>
      </c>
      <c r="X2004" s="270">
        <v>0</v>
      </c>
      <c r="Y2004" s="270">
        <v>0</v>
      </c>
      <c r="Z2004" s="45" t="b">
        <v>0</v>
      </c>
      <c r="AA2004" s="45" t="s">
        <v>38</v>
      </c>
      <c r="AB2004" s="45" t="s">
        <v>38</v>
      </c>
    </row>
    <row r="2005" spans="1:28" x14ac:dyDescent="0.2">
      <c r="A2005" s="96" t="s">
        <v>286</v>
      </c>
      <c r="B2005" s="96" t="s">
        <v>286</v>
      </c>
      <c r="C2005" s="277">
        <v>44855</v>
      </c>
      <c r="D2005" s="277">
        <v>44885</v>
      </c>
      <c r="E2005" s="270" t="s">
        <v>267</v>
      </c>
      <c r="F2005" s="133" t="s">
        <v>34</v>
      </c>
      <c r="G2005" s="96" t="s">
        <v>35</v>
      </c>
      <c r="H2005" s="272" t="s">
        <v>43</v>
      </c>
      <c r="I2005" s="273">
        <v>2</v>
      </c>
      <c r="J2005" s="270">
        <v>130</v>
      </c>
      <c r="K2005" s="270">
        <f t="shared" si="0"/>
        <v>260</v>
      </c>
      <c r="L2005" s="270">
        <v>2210</v>
      </c>
      <c r="M2005" s="270">
        <v>-80</v>
      </c>
      <c r="N2005" s="274">
        <v>5.89</v>
      </c>
      <c r="O2005" s="55"/>
      <c r="P2005" s="45">
        <v>6</v>
      </c>
      <c r="Q2005" s="270">
        <v>-10</v>
      </c>
      <c r="R2005" s="275">
        <v>-1.5200000000000001E-3</v>
      </c>
      <c r="S2005" s="270">
        <v>-10</v>
      </c>
      <c r="T2005" s="270">
        <v>-4</v>
      </c>
      <c r="U2005" s="57">
        <v>1</v>
      </c>
      <c r="V2005" s="276">
        <v>0.15</v>
      </c>
      <c r="W2005" s="276">
        <v>0</v>
      </c>
      <c r="X2005" s="270">
        <v>-4</v>
      </c>
      <c r="Y2005" s="270">
        <v>-1</v>
      </c>
      <c r="Z2005" s="45" t="b">
        <v>0</v>
      </c>
      <c r="AA2005" s="45" t="s">
        <v>38</v>
      </c>
      <c r="AB2005" s="45" t="s">
        <v>38</v>
      </c>
    </row>
    <row r="2006" spans="1:28" x14ac:dyDescent="0.2">
      <c r="A2006" s="96" t="s">
        <v>286</v>
      </c>
      <c r="B2006" s="96" t="s">
        <v>286</v>
      </c>
      <c r="C2006" s="277">
        <v>44855</v>
      </c>
      <c r="D2006" s="277">
        <v>44885</v>
      </c>
      <c r="E2006" s="270" t="s">
        <v>267</v>
      </c>
      <c r="F2006" s="133" t="s">
        <v>34</v>
      </c>
      <c r="G2006" s="96" t="s">
        <v>35</v>
      </c>
      <c r="H2006" s="272" t="s">
        <v>39</v>
      </c>
      <c r="I2006" s="273">
        <v>5</v>
      </c>
      <c r="J2006" s="270">
        <v>134</v>
      </c>
      <c r="K2006" s="270">
        <f t="shared" si="0"/>
        <v>670</v>
      </c>
      <c r="L2006" s="270">
        <v>4966</v>
      </c>
      <c r="M2006" s="270">
        <v>-100</v>
      </c>
      <c r="N2006" s="274">
        <v>15.17</v>
      </c>
      <c r="O2006" s="55"/>
      <c r="P2006" s="45">
        <v>15</v>
      </c>
      <c r="Q2006" s="270">
        <v>-18</v>
      </c>
      <c r="R2006" s="275">
        <v>-1.5200000000000001E-3</v>
      </c>
      <c r="S2006" s="270">
        <v>-19</v>
      </c>
      <c r="T2006" s="270">
        <v>-4</v>
      </c>
      <c r="U2006" s="57">
        <v>1</v>
      </c>
      <c r="V2006" s="276">
        <v>0.15</v>
      </c>
      <c r="W2006" s="276">
        <v>0</v>
      </c>
      <c r="X2006" s="270">
        <v>-3</v>
      </c>
      <c r="Y2006" s="270">
        <v>-1</v>
      </c>
      <c r="Z2006" s="45" t="b">
        <v>0</v>
      </c>
      <c r="AA2006" s="45" t="s">
        <v>38</v>
      </c>
      <c r="AB2006" s="45" t="s">
        <v>38</v>
      </c>
    </row>
    <row r="2007" spans="1:28" x14ac:dyDescent="0.2">
      <c r="A2007" s="96" t="s">
        <v>286</v>
      </c>
      <c r="B2007" s="96" t="s">
        <v>286</v>
      </c>
      <c r="C2007" s="277">
        <v>44855</v>
      </c>
      <c r="D2007" s="277">
        <v>44885</v>
      </c>
      <c r="E2007" s="270" t="s">
        <v>267</v>
      </c>
      <c r="F2007" s="133" t="s">
        <v>34</v>
      </c>
      <c r="G2007" s="96" t="s">
        <v>35</v>
      </c>
      <c r="H2007" s="272" t="s">
        <v>90</v>
      </c>
      <c r="I2007" s="273">
        <v>5</v>
      </c>
      <c r="J2007" s="270">
        <v>105</v>
      </c>
      <c r="K2007" s="270">
        <f t="shared" si="0"/>
        <v>525</v>
      </c>
      <c r="L2007" s="270">
        <v>4028</v>
      </c>
      <c r="M2007" s="270">
        <v>105</v>
      </c>
      <c r="N2007" s="274">
        <v>11.89</v>
      </c>
      <c r="O2007" s="55"/>
      <c r="P2007" s="45">
        <v>12</v>
      </c>
      <c r="Q2007" s="270">
        <v>11</v>
      </c>
      <c r="R2007" s="275">
        <v>-1.5200000000000001E-3</v>
      </c>
      <c r="S2007" s="270">
        <v>11</v>
      </c>
      <c r="T2007" s="270">
        <v>22</v>
      </c>
      <c r="U2007" s="57">
        <v>1</v>
      </c>
      <c r="V2007" s="276">
        <v>0.15</v>
      </c>
      <c r="W2007" s="276">
        <v>0</v>
      </c>
      <c r="X2007" s="270">
        <v>19</v>
      </c>
      <c r="Y2007" s="270">
        <v>3</v>
      </c>
      <c r="Z2007" s="45" t="b">
        <v>0</v>
      </c>
      <c r="AA2007" s="45" t="s">
        <v>38</v>
      </c>
      <c r="AB2007" s="45" t="s">
        <v>38</v>
      </c>
    </row>
    <row r="2008" spans="1:28" x14ac:dyDescent="0.2">
      <c r="A2008" s="96" t="s">
        <v>286</v>
      </c>
      <c r="B2008" s="96" t="s">
        <v>286</v>
      </c>
      <c r="C2008" s="277">
        <v>44855</v>
      </c>
      <c r="D2008" s="277">
        <v>44885</v>
      </c>
      <c r="E2008" s="270" t="s">
        <v>267</v>
      </c>
      <c r="F2008" s="133" t="s">
        <v>34</v>
      </c>
      <c r="G2008" s="96" t="s">
        <v>35</v>
      </c>
      <c r="H2008" s="272" t="s">
        <v>40</v>
      </c>
      <c r="I2008" s="273">
        <v>10</v>
      </c>
      <c r="J2008" s="270">
        <v>355</v>
      </c>
      <c r="K2008" s="270">
        <f t="shared" si="0"/>
        <v>3550</v>
      </c>
      <c r="L2008" s="270">
        <v>22591</v>
      </c>
      <c r="M2008" s="270">
        <v>-160</v>
      </c>
      <c r="N2008" s="274">
        <v>70.349999999999994</v>
      </c>
      <c r="O2008" s="55"/>
      <c r="P2008" s="45">
        <v>70</v>
      </c>
      <c r="Q2008" s="270">
        <v>134</v>
      </c>
      <c r="R2008" s="275">
        <v>-1.5200000000000001E-3</v>
      </c>
      <c r="S2008" s="270">
        <v>128</v>
      </c>
      <c r="T2008" s="270">
        <v>199</v>
      </c>
      <c r="U2008" s="57">
        <v>1</v>
      </c>
      <c r="V2008" s="276">
        <v>0.15</v>
      </c>
      <c r="W2008" s="276">
        <v>0</v>
      </c>
      <c r="X2008" s="270">
        <v>169</v>
      </c>
      <c r="Y2008" s="270">
        <v>30</v>
      </c>
      <c r="Z2008" s="45" t="b">
        <v>0</v>
      </c>
      <c r="AA2008" s="45" t="s">
        <v>38</v>
      </c>
      <c r="AB2008" s="45" t="s">
        <v>38</v>
      </c>
    </row>
    <row r="2009" spans="1:28" x14ac:dyDescent="0.2">
      <c r="A2009" s="96" t="s">
        <v>286</v>
      </c>
      <c r="B2009" s="96" t="s">
        <v>286</v>
      </c>
      <c r="C2009" s="277">
        <v>44855</v>
      </c>
      <c r="D2009" s="277">
        <v>44885</v>
      </c>
      <c r="E2009" s="270" t="s">
        <v>267</v>
      </c>
      <c r="F2009" s="133" t="s">
        <v>34</v>
      </c>
      <c r="G2009" s="96" t="s">
        <v>35</v>
      </c>
      <c r="H2009" s="272" t="s">
        <v>115</v>
      </c>
      <c r="I2009" s="273">
        <v>10</v>
      </c>
      <c r="J2009" s="270">
        <v>187</v>
      </c>
      <c r="K2009" s="270">
        <f t="shared" si="0"/>
        <v>1870</v>
      </c>
      <c r="L2009" s="270">
        <v>1738</v>
      </c>
      <c r="M2009" s="270">
        <v>-170</v>
      </c>
      <c r="N2009" s="274">
        <v>37.06</v>
      </c>
      <c r="O2009" s="55"/>
      <c r="P2009" s="45">
        <v>37</v>
      </c>
      <c r="Q2009" s="270">
        <v>-95</v>
      </c>
      <c r="R2009" s="275">
        <v>-1.5200000000000001E-3</v>
      </c>
      <c r="S2009" s="270">
        <v>-98</v>
      </c>
      <c r="T2009" s="270">
        <v>-60</v>
      </c>
      <c r="U2009" s="57">
        <v>1</v>
      </c>
      <c r="V2009" s="276">
        <v>0.15</v>
      </c>
      <c r="W2009" s="276">
        <v>0</v>
      </c>
      <c r="X2009" s="270">
        <v>-51</v>
      </c>
      <c r="Y2009" s="270">
        <v>-9</v>
      </c>
      <c r="Z2009" s="45" t="b">
        <v>0</v>
      </c>
      <c r="AA2009" s="45" t="s">
        <v>38</v>
      </c>
      <c r="AB2009" s="45" t="s">
        <v>38</v>
      </c>
    </row>
    <row r="2010" spans="1:28" x14ac:dyDescent="0.2">
      <c r="A2010" s="96" t="s">
        <v>286</v>
      </c>
      <c r="B2010" s="96" t="s">
        <v>286</v>
      </c>
      <c r="C2010" s="277">
        <v>44855</v>
      </c>
      <c r="D2010" s="277">
        <v>44885</v>
      </c>
      <c r="E2010" s="270" t="s">
        <v>267</v>
      </c>
      <c r="F2010" s="133" t="s">
        <v>34</v>
      </c>
      <c r="G2010" s="96" t="s">
        <v>35</v>
      </c>
      <c r="H2010" s="272" t="s">
        <v>46</v>
      </c>
      <c r="I2010" s="273">
        <v>25</v>
      </c>
      <c r="J2010" s="270">
        <v>410</v>
      </c>
      <c r="K2010" s="270">
        <f t="shared" si="0"/>
        <v>10250</v>
      </c>
      <c r="L2010" s="270">
        <v>10548</v>
      </c>
      <c r="M2010" s="270">
        <v>-325</v>
      </c>
      <c r="N2010" s="274">
        <v>174.12</v>
      </c>
      <c r="O2010" s="55"/>
      <c r="P2010" s="45">
        <v>174</v>
      </c>
      <c r="Q2010" s="270">
        <v>-211</v>
      </c>
      <c r="R2010" s="275">
        <v>-1.5200000000000001E-3</v>
      </c>
      <c r="S2010" s="270">
        <v>-227</v>
      </c>
      <c r="T2010" s="270">
        <v>-53</v>
      </c>
      <c r="U2010" s="57">
        <v>1</v>
      </c>
      <c r="V2010" s="276">
        <v>0.15</v>
      </c>
      <c r="W2010" s="276">
        <v>0</v>
      </c>
      <c r="X2010" s="270">
        <v>-45</v>
      </c>
      <c r="Y2010" s="270">
        <v>-8</v>
      </c>
      <c r="Z2010" s="45" t="b">
        <v>0</v>
      </c>
      <c r="AA2010" s="45" t="s">
        <v>38</v>
      </c>
      <c r="AB2010" s="45" t="s">
        <v>38</v>
      </c>
    </row>
    <row r="2011" spans="1:28" x14ac:dyDescent="0.2">
      <c r="A2011" s="96" t="s">
        <v>286</v>
      </c>
      <c r="B2011" s="96" t="s">
        <v>286</v>
      </c>
      <c r="C2011" s="277">
        <v>44855</v>
      </c>
      <c r="D2011" s="277">
        <v>44885</v>
      </c>
      <c r="E2011" s="270" t="s">
        <v>267</v>
      </c>
      <c r="F2011" s="133" t="s">
        <v>34</v>
      </c>
      <c r="G2011" s="96" t="s">
        <v>35</v>
      </c>
      <c r="H2011" s="272" t="s">
        <v>87</v>
      </c>
      <c r="I2011" s="273">
        <v>25</v>
      </c>
      <c r="J2011" s="270">
        <v>182</v>
      </c>
      <c r="K2011" s="270">
        <f t="shared" si="0"/>
        <v>4550</v>
      </c>
      <c r="L2011" s="270">
        <v>4193</v>
      </c>
      <c r="M2011" s="270">
        <v>325</v>
      </c>
      <c r="N2011" s="274">
        <v>77.290000000000006</v>
      </c>
      <c r="O2011" s="55"/>
      <c r="P2011" s="45">
        <v>77</v>
      </c>
      <c r="Q2011" s="270">
        <v>13</v>
      </c>
      <c r="R2011" s="275">
        <v>-1.5200000000000001E-3</v>
      </c>
      <c r="S2011" s="270">
        <v>6</v>
      </c>
      <c r="T2011" s="270">
        <v>83</v>
      </c>
      <c r="U2011" s="57">
        <v>1</v>
      </c>
      <c r="V2011" s="276">
        <v>0.15</v>
      </c>
      <c r="W2011" s="276">
        <v>0</v>
      </c>
      <c r="X2011" s="270">
        <v>71</v>
      </c>
      <c r="Y2011" s="270">
        <v>13</v>
      </c>
      <c r="Z2011" s="45" t="b">
        <v>0</v>
      </c>
      <c r="AA2011" s="45" t="s">
        <v>38</v>
      </c>
      <c r="AB2011" s="45" t="s">
        <v>38</v>
      </c>
    </row>
    <row r="2012" spans="1:28" x14ac:dyDescent="0.2">
      <c r="A2012" s="96" t="s">
        <v>82</v>
      </c>
      <c r="B2012" s="96" t="s">
        <v>82</v>
      </c>
      <c r="C2012" s="277">
        <v>44855</v>
      </c>
      <c r="D2012" s="277">
        <v>44885</v>
      </c>
      <c r="E2012" s="270" t="s">
        <v>300</v>
      </c>
      <c r="F2012" s="133" t="s">
        <v>34</v>
      </c>
      <c r="G2012" s="96" t="s">
        <v>35</v>
      </c>
      <c r="H2012" s="272" t="s">
        <v>70</v>
      </c>
      <c r="I2012" s="273">
        <v>100</v>
      </c>
      <c r="J2012" s="270">
        <v>1374</v>
      </c>
      <c r="K2012" s="270">
        <f t="shared" si="0"/>
        <v>137400</v>
      </c>
      <c r="L2012" s="270">
        <v>19906</v>
      </c>
      <c r="M2012" s="270">
        <v>-2800</v>
      </c>
      <c r="N2012" s="274">
        <v>4520.34</v>
      </c>
      <c r="O2012" s="55"/>
      <c r="P2012" s="105">
        <v>4520</v>
      </c>
      <c r="Q2012" s="270">
        <v>-3689</v>
      </c>
      <c r="R2012" s="275">
        <v>-1.5200000000000001E-3</v>
      </c>
      <c r="S2012" s="270">
        <v>-3897</v>
      </c>
      <c r="T2012" s="270">
        <v>623</v>
      </c>
      <c r="U2012" s="57">
        <v>1</v>
      </c>
      <c r="V2012" s="276">
        <v>0.15</v>
      </c>
      <c r="W2012" s="276">
        <v>0.05</v>
      </c>
      <c r="X2012" s="270">
        <v>498</v>
      </c>
      <c r="Y2012" s="270">
        <v>125</v>
      </c>
      <c r="Z2012" s="45" t="b">
        <v>1</v>
      </c>
      <c r="AA2012" s="45" t="s">
        <v>38</v>
      </c>
      <c r="AB2012" s="45" t="s">
        <v>38</v>
      </c>
    </row>
    <row r="2013" spans="1:28" x14ac:dyDescent="0.2">
      <c r="A2013" s="96" t="s">
        <v>82</v>
      </c>
      <c r="B2013" s="96" t="s">
        <v>82</v>
      </c>
      <c r="C2013" s="277">
        <v>44855</v>
      </c>
      <c r="D2013" s="277">
        <v>44885</v>
      </c>
      <c r="E2013" s="270" t="s">
        <v>300</v>
      </c>
      <c r="F2013" s="133" t="s">
        <v>34</v>
      </c>
      <c r="G2013" s="96" t="s">
        <v>35</v>
      </c>
      <c r="H2013" s="272" t="s">
        <v>84</v>
      </c>
      <c r="I2013" s="273">
        <v>100</v>
      </c>
      <c r="J2013" s="270">
        <v>1620</v>
      </c>
      <c r="K2013" s="270">
        <f t="shared" si="0"/>
        <v>162000</v>
      </c>
      <c r="L2013" s="270">
        <v>13996</v>
      </c>
      <c r="M2013" s="270">
        <v>11600</v>
      </c>
      <c r="N2013" s="274">
        <v>5329.66</v>
      </c>
      <c r="O2013" s="55"/>
      <c r="P2013" s="105">
        <v>5330</v>
      </c>
      <c r="Q2013" s="270">
        <v>-4376</v>
      </c>
      <c r="R2013" s="275">
        <v>-1.5200000000000001E-3</v>
      </c>
      <c r="S2013" s="270">
        <v>-4622</v>
      </c>
      <c r="T2013" s="270">
        <v>708</v>
      </c>
      <c r="U2013" s="57">
        <v>1</v>
      </c>
      <c r="V2013" s="276">
        <v>0.15</v>
      </c>
      <c r="W2013" s="276">
        <v>0.05</v>
      </c>
      <c r="X2013" s="270">
        <v>566</v>
      </c>
      <c r="Y2013" s="270">
        <v>142</v>
      </c>
      <c r="Z2013" s="45" t="b">
        <v>1</v>
      </c>
      <c r="AA2013" s="45" t="s">
        <v>38</v>
      </c>
      <c r="AB2013" s="45" t="s">
        <v>38</v>
      </c>
    </row>
    <row r="2014" spans="1:28" x14ac:dyDescent="0.2">
      <c r="A2014" s="96" t="s">
        <v>154</v>
      </c>
      <c r="B2014" s="96" t="s">
        <v>154</v>
      </c>
      <c r="C2014" s="277">
        <v>44855</v>
      </c>
      <c r="D2014" s="277">
        <v>44885</v>
      </c>
      <c r="E2014" s="279" t="s">
        <v>267</v>
      </c>
      <c r="F2014" s="96" t="s">
        <v>34</v>
      </c>
      <c r="G2014" s="270" t="s">
        <v>35</v>
      </c>
      <c r="H2014" s="272" t="s">
        <v>39</v>
      </c>
      <c r="I2014" s="280">
        <v>5</v>
      </c>
      <c r="J2014" s="279">
        <v>3</v>
      </c>
      <c r="K2014" s="270">
        <f t="shared" si="0"/>
        <v>15</v>
      </c>
      <c r="L2014" s="279">
        <v>788</v>
      </c>
      <c r="M2014" s="279">
        <v>25</v>
      </c>
      <c r="N2014" s="274">
        <v>1</v>
      </c>
      <c r="O2014" s="55"/>
      <c r="P2014" s="45">
        <v>1</v>
      </c>
      <c r="Q2014" s="279">
        <v>6</v>
      </c>
      <c r="R2014" s="275">
        <v>-1.5200000000000001E-3</v>
      </c>
      <c r="S2014" s="279">
        <v>6</v>
      </c>
      <c r="T2014" s="279">
        <v>7</v>
      </c>
      <c r="U2014" s="57">
        <v>1</v>
      </c>
      <c r="V2014" s="276">
        <v>0.2</v>
      </c>
      <c r="W2014" s="276">
        <v>0</v>
      </c>
      <c r="X2014" s="279">
        <v>5</v>
      </c>
      <c r="Y2014" s="279">
        <v>1</v>
      </c>
      <c r="Z2014" s="45" t="b">
        <v>1</v>
      </c>
      <c r="AA2014" s="45" t="s">
        <v>38</v>
      </c>
      <c r="AB2014" s="45" t="s">
        <v>38</v>
      </c>
    </row>
    <row r="2015" spans="1:28" x14ac:dyDescent="0.2">
      <c r="A2015" s="96" t="s">
        <v>154</v>
      </c>
      <c r="B2015" s="96" t="s">
        <v>154</v>
      </c>
      <c r="C2015" s="277">
        <v>44855</v>
      </c>
      <c r="D2015" s="277">
        <v>44885</v>
      </c>
      <c r="E2015" s="279" t="s">
        <v>267</v>
      </c>
      <c r="F2015" s="96" t="s">
        <v>34</v>
      </c>
      <c r="G2015" s="270" t="s">
        <v>35</v>
      </c>
      <c r="H2015" s="272" t="s">
        <v>40</v>
      </c>
      <c r="I2015" s="280">
        <v>10</v>
      </c>
      <c r="J2015" s="279">
        <v>4239</v>
      </c>
      <c r="K2015" s="270">
        <f t="shared" si="0"/>
        <v>42390</v>
      </c>
      <c r="L2015" s="279">
        <v>167792</v>
      </c>
      <c r="M2015" s="279">
        <v>1680</v>
      </c>
      <c r="N2015" s="274">
        <v>1814</v>
      </c>
      <c r="O2015" s="55"/>
      <c r="P2015" s="105">
        <v>1814</v>
      </c>
      <c r="Q2015" s="279">
        <v>-59</v>
      </c>
      <c r="R2015" s="275">
        <v>-1.5200000000000001E-3</v>
      </c>
      <c r="S2015" s="279">
        <v>-123</v>
      </c>
      <c r="T2015" s="279">
        <v>1691</v>
      </c>
      <c r="U2015" s="57">
        <v>1</v>
      </c>
      <c r="V2015" s="276">
        <v>0.2</v>
      </c>
      <c r="W2015" s="276">
        <v>0</v>
      </c>
      <c r="X2015" s="279">
        <v>1352</v>
      </c>
      <c r="Y2015" s="279">
        <v>338</v>
      </c>
      <c r="Z2015" s="45" t="b">
        <v>1</v>
      </c>
      <c r="AA2015" s="45" t="s">
        <v>38</v>
      </c>
      <c r="AB2015" s="45" t="s">
        <v>38</v>
      </c>
    </row>
    <row r="2016" spans="1:28" x14ac:dyDescent="0.2">
      <c r="A2016" s="96" t="s">
        <v>89</v>
      </c>
      <c r="B2016" s="96" t="s">
        <v>89</v>
      </c>
      <c r="C2016" s="277">
        <v>44855</v>
      </c>
      <c r="D2016" s="277">
        <v>44885</v>
      </c>
      <c r="E2016" s="270" t="s">
        <v>267</v>
      </c>
      <c r="F2016" s="133" t="s">
        <v>34</v>
      </c>
      <c r="G2016" s="96" t="s">
        <v>35</v>
      </c>
      <c r="H2016" s="272" t="s">
        <v>72</v>
      </c>
      <c r="I2016" s="273">
        <v>50</v>
      </c>
      <c r="J2016" s="270">
        <v>2944</v>
      </c>
      <c r="K2016" s="270">
        <f t="shared" si="0"/>
        <v>147200</v>
      </c>
      <c r="L2016" s="270">
        <v>36069</v>
      </c>
      <c r="M2016" s="270">
        <v>-7550</v>
      </c>
      <c r="N2016" s="274">
        <v>6233</v>
      </c>
      <c r="O2016" s="55"/>
      <c r="P2016" s="105">
        <v>6233</v>
      </c>
      <c r="Q2016" s="270">
        <v>-6077</v>
      </c>
      <c r="R2016" s="275">
        <v>-1.5200000000000001E-3</v>
      </c>
      <c r="S2016" s="270">
        <v>-6300</v>
      </c>
      <c r="T2016" s="270">
        <v>-67</v>
      </c>
      <c r="U2016" s="57">
        <v>1</v>
      </c>
      <c r="V2016" s="290"/>
      <c r="W2016" s="276">
        <v>0</v>
      </c>
      <c r="X2016" s="270">
        <v>-67</v>
      </c>
      <c r="Y2016" s="270">
        <v>0</v>
      </c>
      <c r="Z2016" s="45" t="b">
        <v>0</v>
      </c>
      <c r="AA2016" s="45" t="s">
        <v>38</v>
      </c>
      <c r="AB2016" s="45" t="s">
        <v>38</v>
      </c>
    </row>
    <row r="2017" spans="1:28" x14ac:dyDescent="0.2">
      <c r="A2017" s="96" t="s">
        <v>89</v>
      </c>
      <c r="B2017" s="96" t="s">
        <v>89</v>
      </c>
      <c r="C2017" s="277">
        <v>44855</v>
      </c>
      <c r="D2017" s="277">
        <v>44885</v>
      </c>
      <c r="E2017" s="270" t="s">
        <v>267</v>
      </c>
      <c r="F2017" s="133" t="s">
        <v>41</v>
      </c>
      <c r="G2017" s="96" t="s">
        <v>35</v>
      </c>
      <c r="H2017" s="272" t="s">
        <v>46</v>
      </c>
      <c r="I2017" s="273">
        <v>25</v>
      </c>
      <c r="J2017" s="270">
        <v>63</v>
      </c>
      <c r="K2017" s="270">
        <f t="shared" si="0"/>
        <v>1575</v>
      </c>
      <c r="L2017" s="270">
        <v>4264</v>
      </c>
      <c r="M2017" s="270">
        <v>250</v>
      </c>
      <c r="N2017" s="274">
        <v>67</v>
      </c>
      <c r="O2017" s="55"/>
      <c r="P2017" s="45">
        <v>67</v>
      </c>
      <c r="Q2017" s="270">
        <v>97</v>
      </c>
      <c r="R2017" s="275">
        <v>0</v>
      </c>
      <c r="S2017" s="270">
        <v>97</v>
      </c>
      <c r="T2017" s="270">
        <v>317</v>
      </c>
      <c r="U2017" s="57">
        <v>1</v>
      </c>
      <c r="V2017" s="290"/>
      <c r="W2017" s="276">
        <v>0</v>
      </c>
      <c r="X2017" s="270">
        <v>317</v>
      </c>
      <c r="Y2017" s="270">
        <v>0</v>
      </c>
      <c r="Z2017" s="45" t="b">
        <v>0</v>
      </c>
      <c r="AA2017" s="45" t="s">
        <v>38</v>
      </c>
      <c r="AB2017" s="45" t="s">
        <v>38</v>
      </c>
    </row>
    <row r="2018" spans="1:28" x14ac:dyDescent="0.2">
      <c r="A2018" s="279" t="s">
        <v>355</v>
      </c>
      <c r="B2018" s="279" t="s">
        <v>902</v>
      </c>
      <c r="C2018" s="282">
        <v>44855</v>
      </c>
      <c r="D2018" s="282">
        <v>44885</v>
      </c>
      <c r="E2018" s="270" t="s">
        <v>300</v>
      </c>
      <c r="F2018" s="133" t="s">
        <v>34</v>
      </c>
      <c r="G2018" s="279" t="s">
        <v>61</v>
      </c>
      <c r="H2018" s="289" t="s">
        <v>55</v>
      </c>
      <c r="I2018" s="280">
        <v>10</v>
      </c>
      <c r="J2018" s="279">
        <v>3197</v>
      </c>
      <c r="K2018" s="270">
        <f t="shared" si="0"/>
        <v>31970</v>
      </c>
      <c r="L2018" s="279">
        <v>210650</v>
      </c>
      <c r="M2018" s="279">
        <v>596</v>
      </c>
      <c r="N2018" s="281">
        <v>1662.54</v>
      </c>
      <c r="O2018" s="55"/>
      <c r="P2018" s="105">
        <v>1663</v>
      </c>
      <c r="Q2018" s="279">
        <v>1077</v>
      </c>
      <c r="R2018" s="275">
        <v>-1.5200000000000001E-3</v>
      </c>
      <c r="S2018" s="279">
        <v>1028</v>
      </c>
      <c r="T2018" s="279">
        <v>2691</v>
      </c>
      <c r="U2018" s="57">
        <v>1.028</v>
      </c>
      <c r="V2018" s="276">
        <v>0.1</v>
      </c>
      <c r="W2018" s="276">
        <v>0.1</v>
      </c>
      <c r="X2018" s="279">
        <v>2213</v>
      </c>
      <c r="Y2018" s="279">
        <v>553</v>
      </c>
      <c r="Z2018" s="45" t="b">
        <v>1</v>
      </c>
      <c r="AA2018" s="45" t="s">
        <v>38</v>
      </c>
      <c r="AB2018" s="45" t="s">
        <v>50</v>
      </c>
    </row>
    <row r="2019" spans="1:28" x14ac:dyDescent="0.2">
      <c r="A2019" s="279" t="s">
        <v>355</v>
      </c>
      <c r="B2019" s="279" t="s">
        <v>902</v>
      </c>
      <c r="C2019" s="282">
        <v>44855</v>
      </c>
      <c r="D2019" s="282">
        <v>44885</v>
      </c>
      <c r="E2019" s="270" t="s">
        <v>300</v>
      </c>
      <c r="F2019" s="133" t="s">
        <v>34</v>
      </c>
      <c r="G2019" s="279" t="s">
        <v>61</v>
      </c>
      <c r="H2019" s="289" t="s">
        <v>167</v>
      </c>
      <c r="I2019" s="280">
        <v>25</v>
      </c>
      <c r="J2019" s="279">
        <v>500</v>
      </c>
      <c r="K2019" s="270">
        <f t="shared" si="0"/>
        <v>12500</v>
      </c>
      <c r="L2019" s="279">
        <v>-4401</v>
      </c>
      <c r="M2019" s="279">
        <v>-2030</v>
      </c>
      <c r="N2019" s="281">
        <v>7.46</v>
      </c>
      <c r="O2019" s="55"/>
      <c r="P2019" s="45">
        <v>7</v>
      </c>
      <c r="Q2019" s="279">
        <v>-1272</v>
      </c>
      <c r="R2019" s="275">
        <v>-1.5200000000000001E-3</v>
      </c>
      <c r="S2019" s="279">
        <v>-1291</v>
      </c>
      <c r="T2019" s="279">
        <v>-1284</v>
      </c>
      <c r="U2019" s="57">
        <v>1.028</v>
      </c>
      <c r="V2019" s="276">
        <v>0.1</v>
      </c>
      <c r="W2019" s="276">
        <v>0.1</v>
      </c>
      <c r="X2019" s="279">
        <v>-1056</v>
      </c>
      <c r="Y2019" s="279">
        <v>-264</v>
      </c>
      <c r="Z2019" s="45" t="b">
        <v>1</v>
      </c>
      <c r="AA2019" s="45" t="s">
        <v>38</v>
      </c>
      <c r="AB2019" s="45" t="s">
        <v>50</v>
      </c>
    </row>
    <row r="2020" spans="1:28" x14ac:dyDescent="0.2">
      <c r="A2020" s="279" t="s">
        <v>355</v>
      </c>
      <c r="B2020" s="279" t="s">
        <v>903</v>
      </c>
      <c r="C2020" s="282">
        <v>44855</v>
      </c>
      <c r="D2020" s="282">
        <v>44885</v>
      </c>
      <c r="E2020" s="270" t="s">
        <v>300</v>
      </c>
      <c r="F2020" s="133" t="s">
        <v>34</v>
      </c>
      <c r="G2020" s="270" t="s">
        <v>80</v>
      </c>
      <c r="H2020" s="272" t="s">
        <v>40</v>
      </c>
      <c r="I2020" s="280">
        <v>10</v>
      </c>
      <c r="J2020" s="279">
        <v>94</v>
      </c>
      <c r="K2020" s="270">
        <f t="shared" si="0"/>
        <v>940</v>
      </c>
      <c r="L2020" s="279">
        <v>1444</v>
      </c>
      <c r="M2020" s="279">
        <v>-130</v>
      </c>
      <c r="N2020" s="274">
        <v>22</v>
      </c>
      <c r="O2020" s="55"/>
      <c r="P2020" s="45">
        <v>22</v>
      </c>
      <c r="Q2020" s="279">
        <v>-27</v>
      </c>
      <c r="R2020" s="275">
        <v>-1.5E-3</v>
      </c>
      <c r="S2020" s="279">
        <v>-29</v>
      </c>
      <c r="T2020" s="279">
        <v>-7</v>
      </c>
      <c r="U2020" s="57">
        <v>1</v>
      </c>
      <c r="V2020" s="276">
        <v>0.1</v>
      </c>
      <c r="W2020" s="276">
        <v>0.1</v>
      </c>
      <c r="X2020" s="279">
        <v>-5</v>
      </c>
      <c r="Y2020" s="279">
        <v>-1</v>
      </c>
      <c r="Z2020" s="45" t="b">
        <v>1</v>
      </c>
      <c r="AA2020" s="45" t="s">
        <v>38</v>
      </c>
      <c r="AB2020" s="45" t="s">
        <v>38</v>
      </c>
    </row>
    <row r="2021" spans="1:28" x14ac:dyDescent="0.2">
      <c r="A2021" s="279" t="s">
        <v>355</v>
      </c>
      <c r="B2021" s="279" t="s">
        <v>903</v>
      </c>
      <c r="C2021" s="282">
        <v>44855</v>
      </c>
      <c r="D2021" s="282">
        <v>44885</v>
      </c>
      <c r="E2021" s="270" t="s">
        <v>300</v>
      </c>
      <c r="F2021" s="133" t="s">
        <v>34</v>
      </c>
      <c r="G2021" s="270" t="s">
        <v>80</v>
      </c>
      <c r="H2021" s="289" t="s">
        <v>71</v>
      </c>
      <c r="I2021" s="280">
        <v>20</v>
      </c>
      <c r="J2021" s="279">
        <v>177</v>
      </c>
      <c r="K2021" s="270">
        <f t="shared" si="0"/>
        <v>3540</v>
      </c>
      <c r="L2021" s="279">
        <v>2332</v>
      </c>
      <c r="M2021" s="279">
        <v>-960</v>
      </c>
      <c r="N2021" s="274">
        <v>82</v>
      </c>
      <c r="O2021" s="55"/>
      <c r="P2021" s="45">
        <v>82</v>
      </c>
      <c r="Q2021" s="279">
        <v>-125</v>
      </c>
      <c r="R2021" s="275">
        <v>-1.5E-3</v>
      </c>
      <c r="S2021" s="279">
        <v>-131</v>
      </c>
      <c r="T2021" s="279">
        <v>-49</v>
      </c>
      <c r="U2021" s="57">
        <v>1</v>
      </c>
      <c r="V2021" s="276">
        <v>0.1</v>
      </c>
      <c r="W2021" s="276">
        <v>0.1</v>
      </c>
      <c r="X2021" s="279">
        <v>-39</v>
      </c>
      <c r="Y2021" s="279">
        <v>-10</v>
      </c>
      <c r="Z2021" s="45" t="b">
        <v>1</v>
      </c>
      <c r="AA2021" s="45" t="s">
        <v>38</v>
      </c>
      <c r="AB2021" s="45" t="s">
        <v>38</v>
      </c>
    </row>
    <row r="2022" spans="1:28" x14ac:dyDescent="0.2">
      <c r="A2022" s="96" t="s">
        <v>125</v>
      </c>
      <c r="B2022" s="96" t="s">
        <v>125</v>
      </c>
      <c r="C2022" s="277">
        <v>44855</v>
      </c>
      <c r="D2022" s="277">
        <v>44885</v>
      </c>
      <c r="E2022" s="270" t="s">
        <v>267</v>
      </c>
      <c r="F2022" s="96" t="s">
        <v>34</v>
      </c>
      <c r="G2022" s="270" t="s">
        <v>35</v>
      </c>
      <c r="H2022" s="272" t="s">
        <v>39</v>
      </c>
      <c r="I2022" s="273">
        <v>5</v>
      </c>
      <c r="J2022" s="270">
        <v>73</v>
      </c>
      <c r="K2022" s="270">
        <f t="shared" si="0"/>
        <v>365</v>
      </c>
      <c r="L2022" s="270">
        <v>4892</v>
      </c>
      <c r="M2022" s="270">
        <v>40</v>
      </c>
      <c r="N2022" s="274">
        <v>16</v>
      </c>
      <c r="O2022" s="55"/>
      <c r="P2022" s="45">
        <v>16</v>
      </c>
      <c r="Q2022" s="270">
        <v>16</v>
      </c>
      <c r="R2022" s="275">
        <v>-1.5200000000000001E-3</v>
      </c>
      <c r="S2022" s="270">
        <v>16</v>
      </c>
      <c r="T2022" s="270">
        <v>32</v>
      </c>
      <c r="U2022" s="57">
        <v>1</v>
      </c>
      <c r="V2022" s="276">
        <v>0.3</v>
      </c>
      <c r="W2022" s="276">
        <v>0</v>
      </c>
      <c r="X2022" s="270">
        <v>22</v>
      </c>
      <c r="Y2022" s="270">
        <v>9</v>
      </c>
      <c r="Z2022" s="45" t="b">
        <v>1</v>
      </c>
      <c r="AA2022" s="45" t="s">
        <v>38</v>
      </c>
      <c r="AB2022" s="45" t="s">
        <v>38</v>
      </c>
    </row>
    <row r="2023" spans="1:28" x14ac:dyDescent="0.2">
      <c r="A2023" s="96" t="s">
        <v>125</v>
      </c>
      <c r="B2023" s="96" t="s">
        <v>125</v>
      </c>
      <c r="C2023" s="277">
        <v>44855</v>
      </c>
      <c r="D2023" s="277">
        <v>44885</v>
      </c>
      <c r="E2023" s="270" t="s">
        <v>267</v>
      </c>
      <c r="F2023" s="96" t="s">
        <v>34</v>
      </c>
      <c r="G2023" s="270" t="s">
        <v>35</v>
      </c>
      <c r="H2023" s="272" t="s">
        <v>40</v>
      </c>
      <c r="I2023" s="273">
        <v>10</v>
      </c>
      <c r="J2023" s="270">
        <v>180</v>
      </c>
      <c r="K2023" s="270">
        <f t="shared" si="0"/>
        <v>1800</v>
      </c>
      <c r="L2023" s="270">
        <v>11577</v>
      </c>
      <c r="M2023" s="270">
        <v>130</v>
      </c>
      <c r="N2023" s="274">
        <v>69</v>
      </c>
      <c r="O2023" s="55"/>
      <c r="P2023" s="45">
        <v>69</v>
      </c>
      <c r="Q2023" s="270">
        <v>94</v>
      </c>
      <c r="R2023" s="275">
        <v>-1.5200000000000001E-3</v>
      </c>
      <c r="S2023" s="270">
        <v>91</v>
      </c>
      <c r="T2023" s="270">
        <v>160</v>
      </c>
      <c r="U2023" s="57">
        <v>1</v>
      </c>
      <c r="V2023" s="276">
        <v>0.3</v>
      </c>
      <c r="W2023" s="276">
        <v>0</v>
      </c>
      <c r="X2023" s="270">
        <v>112</v>
      </c>
      <c r="Y2023" s="270">
        <v>48</v>
      </c>
      <c r="Z2023" s="45" t="b">
        <v>1</v>
      </c>
      <c r="AA2023" s="45" t="s">
        <v>38</v>
      </c>
      <c r="AB2023" s="45" t="s">
        <v>38</v>
      </c>
    </row>
    <row r="2024" spans="1:28" x14ac:dyDescent="0.2">
      <c r="A2024" s="96" t="s">
        <v>402</v>
      </c>
      <c r="B2024" s="96" t="s">
        <v>163</v>
      </c>
      <c r="C2024" s="277">
        <v>44855</v>
      </c>
      <c r="D2024" s="277">
        <v>44885</v>
      </c>
      <c r="E2024" s="270" t="s">
        <v>267</v>
      </c>
      <c r="F2024" s="133" t="s">
        <v>34</v>
      </c>
      <c r="G2024" s="270" t="s">
        <v>35</v>
      </c>
      <c r="H2024" s="272" t="s">
        <v>40</v>
      </c>
      <c r="I2024" s="273">
        <v>10</v>
      </c>
      <c r="J2024" s="270">
        <v>3768</v>
      </c>
      <c r="K2024" s="270">
        <f t="shared" si="0"/>
        <v>37680</v>
      </c>
      <c r="L2024" s="270">
        <v>202342</v>
      </c>
      <c r="M2024" s="270">
        <v>140</v>
      </c>
      <c r="N2024" s="274">
        <v>1685</v>
      </c>
      <c r="O2024" s="55"/>
      <c r="P2024" s="105">
        <v>1685</v>
      </c>
      <c r="Q2024" s="270">
        <v>806</v>
      </c>
      <c r="R2024" s="275">
        <v>-1.5200000000000001E-3</v>
      </c>
      <c r="S2024" s="270">
        <v>749</v>
      </c>
      <c r="T2024" s="270">
        <v>2434</v>
      </c>
      <c r="U2024" s="57">
        <v>1</v>
      </c>
      <c r="V2024" s="276">
        <v>0.25</v>
      </c>
      <c r="W2024" s="276">
        <v>0</v>
      </c>
      <c r="X2024" s="270">
        <v>1826</v>
      </c>
      <c r="Y2024" s="270">
        <v>609</v>
      </c>
      <c r="Z2024" s="45" t="b">
        <v>1</v>
      </c>
      <c r="AA2024" s="45" t="s">
        <v>38</v>
      </c>
      <c r="AB2024" s="45" t="s">
        <v>38</v>
      </c>
    </row>
    <row r="2025" spans="1:28" x14ac:dyDescent="0.2">
      <c r="A2025" s="279" t="s">
        <v>169</v>
      </c>
      <c r="B2025" s="279" t="s">
        <v>164</v>
      </c>
      <c r="C2025" s="277">
        <v>44855</v>
      </c>
      <c r="D2025" s="277">
        <v>44885</v>
      </c>
      <c r="E2025" s="279" t="s">
        <v>267</v>
      </c>
      <c r="F2025" s="133" t="s">
        <v>34</v>
      </c>
      <c r="G2025" s="270" t="s">
        <v>165</v>
      </c>
      <c r="H2025" s="289" t="s">
        <v>166</v>
      </c>
      <c r="I2025" s="280">
        <v>10</v>
      </c>
      <c r="J2025" s="279">
        <v>76</v>
      </c>
      <c r="K2025" s="270">
        <f t="shared" si="0"/>
        <v>760</v>
      </c>
      <c r="L2025" s="279">
        <v>13600</v>
      </c>
      <c r="M2025" s="279">
        <v>339</v>
      </c>
      <c r="N2025" s="274"/>
      <c r="O2025" s="55"/>
      <c r="P2025" s="96"/>
      <c r="Q2025" s="279">
        <v>197</v>
      </c>
      <c r="R2025" s="275">
        <v>-1.5200000000000001E-3</v>
      </c>
      <c r="S2025" s="279">
        <v>196</v>
      </c>
      <c r="T2025" s="279">
        <v>196</v>
      </c>
      <c r="U2025" s="57">
        <v>1.05</v>
      </c>
      <c r="V2025" s="276">
        <v>0.3</v>
      </c>
      <c r="W2025" s="276">
        <v>0</v>
      </c>
      <c r="X2025" s="279">
        <v>144</v>
      </c>
      <c r="Y2025" s="279">
        <v>62</v>
      </c>
      <c r="Z2025" s="45" t="b">
        <v>1</v>
      </c>
      <c r="AA2025" s="45" t="s">
        <v>38</v>
      </c>
      <c r="AB2025" s="45" t="s">
        <v>50</v>
      </c>
    </row>
    <row r="2026" spans="1:28" x14ac:dyDescent="0.2">
      <c r="A2026" s="279" t="s">
        <v>169</v>
      </c>
      <c r="B2026" s="279" t="s">
        <v>164</v>
      </c>
      <c r="C2026" s="277">
        <v>44855</v>
      </c>
      <c r="D2026" s="277">
        <v>44885</v>
      </c>
      <c r="E2026" s="279" t="s">
        <v>267</v>
      </c>
      <c r="F2026" s="133" t="s">
        <v>34</v>
      </c>
      <c r="G2026" s="270" t="s">
        <v>165</v>
      </c>
      <c r="H2026" s="289" t="s">
        <v>167</v>
      </c>
      <c r="I2026" s="280">
        <v>25</v>
      </c>
      <c r="J2026" s="279">
        <v>3157</v>
      </c>
      <c r="K2026" s="270">
        <f t="shared" si="0"/>
        <v>78925</v>
      </c>
      <c r="L2026" s="279">
        <v>116538</v>
      </c>
      <c r="M2026" s="279">
        <v>-643</v>
      </c>
      <c r="N2026" s="274"/>
      <c r="O2026" s="55"/>
      <c r="P2026" s="96"/>
      <c r="Q2026" s="279">
        <v>-386</v>
      </c>
      <c r="R2026" s="275">
        <v>-1.5200000000000001E-3</v>
      </c>
      <c r="S2026" s="279">
        <v>-506</v>
      </c>
      <c r="T2026" s="279">
        <v>-506</v>
      </c>
      <c r="U2026" s="57">
        <v>1.05</v>
      </c>
      <c r="V2026" s="276">
        <v>0.3</v>
      </c>
      <c r="W2026" s="276">
        <v>0</v>
      </c>
      <c r="X2026" s="279">
        <v>-372</v>
      </c>
      <c r="Y2026" s="279">
        <v>-159</v>
      </c>
      <c r="Z2026" s="45" t="b">
        <v>1</v>
      </c>
      <c r="AA2026" s="45" t="s">
        <v>38</v>
      </c>
      <c r="AB2026" s="45" t="s">
        <v>50</v>
      </c>
    </row>
    <row r="2027" spans="1:28" x14ac:dyDescent="0.2">
      <c r="A2027" s="279" t="s">
        <v>180</v>
      </c>
      <c r="B2027" s="279" t="s">
        <v>180</v>
      </c>
      <c r="C2027" s="282">
        <v>44859</v>
      </c>
      <c r="D2027" s="282">
        <v>44885</v>
      </c>
      <c r="E2027" s="279" t="s">
        <v>267</v>
      </c>
      <c r="F2027" s="133" t="s">
        <v>34</v>
      </c>
      <c r="G2027" s="279" t="s">
        <v>61</v>
      </c>
      <c r="H2027" s="289" t="s">
        <v>55</v>
      </c>
      <c r="I2027" s="280">
        <v>10</v>
      </c>
      <c r="J2027" s="279">
        <v>2911</v>
      </c>
      <c r="K2027" s="270">
        <f t="shared" si="0"/>
        <v>29110</v>
      </c>
      <c r="L2027" s="279">
        <v>177571</v>
      </c>
      <c r="M2027" s="279">
        <v>1090</v>
      </c>
      <c r="N2027" s="281">
        <v>209</v>
      </c>
      <c r="O2027" s="55"/>
      <c r="P2027" s="45">
        <v>209</v>
      </c>
      <c r="Q2027" s="279">
        <v>722</v>
      </c>
      <c r="R2027" s="275">
        <v>-1.5200000000000001E-3</v>
      </c>
      <c r="S2027" s="279">
        <v>678</v>
      </c>
      <c r="T2027" s="279">
        <v>887</v>
      </c>
      <c r="U2027" s="57">
        <v>1</v>
      </c>
      <c r="V2027" s="276">
        <v>0.17</v>
      </c>
      <c r="W2027" s="276">
        <v>0</v>
      </c>
      <c r="X2027" s="279">
        <v>736</v>
      </c>
      <c r="Y2027" s="279">
        <v>151</v>
      </c>
      <c r="Z2027" s="45" t="b">
        <v>1</v>
      </c>
      <c r="AA2027" s="45" t="s">
        <v>50</v>
      </c>
      <c r="AB2027" s="45" t="s">
        <v>50</v>
      </c>
    </row>
    <row r="2028" spans="1:28" x14ac:dyDescent="0.2">
      <c r="A2028" s="279" t="s">
        <v>170</v>
      </c>
      <c r="B2028" s="279" t="s">
        <v>170</v>
      </c>
      <c r="C2028" s="277">
        <v>44855</v>
      </c>
      <c r="D2028" s="277">
        <v>44885</v>
      </c>
      <c r="E2028" s="279" t="s">
        <v>267</v>
      </c>
      <c r="F2028" s="133" t="s">
        <v>34</v>
      </c>
      <c r="G2028" s="270" t="s">
        <v>35</v>
      </c>
      <c r="H2028" s="289" t="s">
        <v>46</v>
      </c>
      <c r="I2028" s="280">
        <v>25</v>
      </c>
      <c r="J2028" s="279">
        <v>1665</v>
      </c>
      <c r="K2028" s="270">
        <f t="shared" si="0"/>
        <v>41625</v>
      </c>
      <c r="L2028" s="279">
        <v>45283</v>
      </c>
      <c r="M2028" s="279">
        <v>-625</v>
      </c>
      <c r="N2028" s="274">
        <v>774</v>
      </c>
      <c r="O2028" s="55"/>
      <c r="P2028" s="45">
        <v>774</v>
      </c>
      <c r="Q2028" s="279">
        <v>-565</v>
      </c>
      <c r="R2028" s="275">
        <v>-1.5200000000000001E-3</v>
      </c>
      <c r="S2028" s="279">
        <v>-628</v>
      </c>
      <c r="T2028" s="279">
        <v>146</v>
      </c>
      <c r="U2028" s="57">
        <v>1</v>
      </c>
      <c r="V2028" s="276">
        <v>0.3</v>
      </c>
      <c r="W2028" s="276">
        <v>0</v>
      </c>
      <c r="X2028" s="279">
        <v>102</v>
      </c>
      <c r="Y2028" s="279">
        <v>44</v>
      </c>
      <c r="Z2028" s="45" t="b">
        <v>1</v>
      </c>
      <c r="AA2028" s="45" t="s">
        <v>38</v>
      </c>
      <c r="AB2028" s="45" t="s">
        <v>38</v>
      </c>
    </row>
    <row r="2029" spans="1:28" x14ac:dyDescent="0.2">
      <c r="A2029" s="279" t="s">
        <v>170</v>
      </c>
      <c r="B2029" s="279" t="s">
        <v>171</v>
      </c>
      <c r="C2029" s="277">
        <v>44855</v>
      </c>
      <c r="D2029" s="277">
        <v>44885</v>
      </c>
      <c r="E2029" s="279" t="s">
        <v>267</v>
      </c>
      <c r="F2029" s="133" t="s">
        <v>34</v>
      </c>
      <c r="G2029" s="270" t="s">
        <v>165</v>
      </c>
      <c r="H2029" s="289" t="s">
        <v>166</v>
      </c>
      <c r="I2029" s="280">
        <v>10</v>
      </c>
      <c r="J2029" s="279">
        <v>868</v>
      </c>
      <c r="K2029" s="270">
        <f t="shared" si="0"/>
        <v>8680</v>
      </c>
      <c r="L2029" s="279">
        <v>57388</v>
      </c>
      <c r="M2029" s="279">
        <v>560</v>
      </c>
      <c r="N2029" s="274"/>
      <c r="O2029" s="55"/>
      <c r="P2029" s="96"/>
      <c r="Q2029" s="279">
        <v>410</v>
      </c>
      <c r="R2029" s="275">
        <v>-1.5200000000000001E-3</v>
      </c>
      <c r="S2029" s="279">
        <v>397</v>
      </c>
      <c r="T2029" s="279">
        <v>397</v>
      </c>
      <c r="U2029" s="57">
        <v>1.028</v>
      </c>
      <c r="V2029" s="276">
        <v>0.3</v>
      </c>
      <c r="W2029" s="276">
        <v>0</v>
      </c>
      <c r="X2029" s="279">
        <v>286</v>
      </c>
      <c r="Y2029" s="279">
        <v>122</v>
      </c>
      <c r="Z2029" s="45" t="b">
        <v>1</v>
      </c>
      <c r="AA2029" s="45" t="s">
        <v>38</v>
      </c>
      <c r="AB2029" s="45" t="s">
        <v>50</v>
      </c>
    </row>
    <row r="2030" spans="1:28" x14ac:dyDescent="0.2">
      <c r="A2030" s="279" t="s">
        <v>170</v>
      </c>
      <c r="B2030" s="279" t="s">
        <v>170</v>
      </c>
      <c r="C2030" s="277">
        <v>44855</v>
      </c>
      <c r="D2030" s="277">
        <v>44885</v>
      </c>
      <c r="E2030" s="279" t="s">
        <v>267</v>
      </c>
      <c r="F2030" s="133" t="s">
        <v>41</v>
      </c>
      <c r="G2030" s="270" t="s">
        <v>35</v>
      </c>
      <c r="H2030" s="272" t="s">
        <v>39</v>
      </c>
      <c r="I2030" s="273">
        <v>5</v>
      </c>
      <c r="J2030" s="270">
        <v>5</v>
      </c>
      <c r="K2030" s="270">
        <f t="shared" si="0"/>
        <v>25</v>
      </c>
      <c r="L2030" s="270"/>
      <c r="M2030" s="270">
        <v>15</v>
      </c>
      <c r="N2030" s="274">
        <v>1</v>
      </c>
      <c r="O2030" s="55"/>
      <c r="P2030" s="45">
        <v>1</v>
      </c>
      <c r="Q2030" s="270"/>
      <c r="R2030" s="275">
        <v>0</v>
      </c>
      <c r="S2030" s="270"/>
      <c r="T2030" s="270">
        <v>16</v>
      </c>
      <c r="U2030" s="57">
        <v>1</v>
      </c>
      <c r="V2030" s="276">
        <v>0.3</v>
      </c>
      <c r="W2030" s="276">
        <v>0</v>
      </c>
      <c r="X2030" s="270">
        <v>11</v>
      </c>
      <c r="Y2030" s="270">
        <v>5</v>
      </c>
      <c r="Z2030" s="45" t="b">
        <v>1</v>
      </c>
      <c r="AA2030" s="45" t="s">
        <v>38</v>
      </c>
      <c r="AB2030" s="45" t="s">
        <v>38</v>
      </c>
    </row>
    <row r="2031" spans="1:28" x14ac:dyDescent="0.2">
      <c r="A2031" s="279" t="s">
        <v>170</v>
      </c>
      <c r="B2031" s="279" t="s">
        <v>170</v>
      </c>
      <c r="C2031" s="277">
        <v>44855</v>
      </c>
      <c r="D2031" s="277">
        <v>44885</v>
      </c>
      <c r="E2031" s="279" t="s">
        <v>267</v>
      </c>
      <c r="F2031" s="133" t="s">
        <v>41</v>
      </c>
      <c r="G2031" s="270" t="s">
        <v>35</v>
      </c>
      <c r="H2031" s="272" t="s">
        <v>87</v>
      </c>
      <c r="I2031" s="273">
        <v>25</v>
      </c>
      <c r="J2031" s="270">
        <v>1</v>
      </c>
      <c r="K2031" s="270">
        <f t="shared" si="0"/>
        <v>25</v>
      </c>
      <c r="L2031" s="270"/>
      <c r="M2031" s="270">
        <v>-25</v>
      </c>
      <c r="N2031" s="274"/>
      <c r="O2031" s="55"/>
      <c r="P2031" s="96"/>
      <c r="Q2031" s="270"/>
      <c r="R2031" s="275">
        <v>0</v>
      </c>
      <c r="S2031" s="270"/>
      <c r="T2031" s="270">
        <v>-25</v>
      </c>
      <c r="U2031" s="57">
        <v>1</v>
      </c>
      <c r="V2031" s="276">
        <v>0.3</v>
      </c>
      <c r="W2031" s="276">
        <v>0</v>
      </c>
      <c r="X2031" s="270">
        <v>-18</v>
      </c>
      <c r="Y2031" s="270">
        <v>-8</v>
      </c>
      <c r="Z2031" s="45" t="b">
        <v>1</v>
      </c>
      <c r="AA2031" s="45" t="s">
        <v>38</v>
      </c>
      <c r="AB2031" s="45" t="s">
        <v>38</v>
      </c>
    </row>
    <row r="2032" spans="1:28" x14ac:dyDescent="0.2">
      <c r="A2032" s="279" t="s">
        <v>91</v>
      </c>
      <c r="B2032" s="279" t="s">
        <v>96</v>
      </c>
      <c r="C2032" s="277">
        <v>44855</v>
      </c>
      <c r="D2032" s="277">
        <v>44885</v>
      </c>
      <c r="E2032" s="279" t="s">
        <v>267</v>
      </c>
      <c r="F2032" s="133" t="s">
        <v>34</v>
      </c>
      <c r="G2032" s="279" t="s">
        <v>35</v>
      </c>
      <c r="H2032" s="272" t="s">
        <v>46</v>
      </c>
      <c r="I2032" s="273">
        <v>25</v>
      </c>
      <c r="J2032" s="270">
        <v>640</v>
      </c>
      <c r="K2032" s="270">
        <f t="shared" si="0"/>
        <v>16000</v>
      </c>
      <c r="L2032" s="270">
        <v>9856</v>
      </c>
      <c r="M2032" s="270">
        <v>-1250</v>
      </c>
      <c r="N2032" s="274">
        <v>250</v>
      </c>
      <c r="O2032" s="55"/>
      <c r="P2032" s="45">
        <v>250</v>
      </c>
      <c r="Q2032" s="270">
        <v>-567</v>
      </c>
      <c r="R2032" s="275">
        <v>-1.5200000000000001E-3</v>
      </c>
      <c r="S2032" s="270">
        <v>-591</v>
      </c>
      <c r="T2032" s="270">
        <v>-341</v>
      </c>
      <c r="U2032" s="57">
        <v>1</v>
      </c>
      <c r="V2032" s="290"/>
      <c r="W2032" s="276">
        <v>0</v>
      </c>
      <c r="X2032" s="270">
        <v>-341</v>
      </c>
      <c r="Y2032" s="270">
        <v>0</v>
      </c>
      <c r="Z2032" s="45" t="b">
        <v>0</v>
      </c>
      <c r="AA2032" s="45" t="s">
        <v>38</v>
      </c>
      <c r="AB2032" s="45" t="s">
        <v>38</v>
      </c>
    </row>
    <row r="2033" spans="1:28" x14ac:dyDescent="0.2">
      <c r="A2033" s="96" t="s">
        <v>172</v>
      </c>
      <c r="B2033" s="96" t="s">
        <v>172</v>
      </c>
      <c r="C2033" s="277">
        <v>44855</v>
      </c>
      <c r="D2033" s="277">
        <v>44885</v>
      </c>
      <c r="E2033" s="270" t="s">
        <v>300</v>
      </c>
      <c r="F2033" s="133" t="s">
        <v>34</v>
      </c>
      <c r="G2033" s="96" t="s">
        <v>35</v>
      </c>
      <c r="H2033" s="272" t="s">
        <v>72</v>
      </c>
      <c r="I2033" s="273">
        <v>50</v>
      </c>
      <c r="J2033" s="270">
        <v>769</v>
      </c>
      <c r="K2033" s="270">
        <f t="shared" si="0"/>
        <v>38450</v>
      </c>
      <c r="L2033" s="270">
        <v>13128</v>
      </c>
      <c r="M2033" s="270">
        <v>-1900</v>
      </c>
      <c r="N2033" s="274">
        <v>1731.14</v>
      </c>
      <c r="O2033" s="55"/>
      <c r="P2033" s="105">
        <v>1731</v>
      </c>
      <c r="Q2033" s="270">
        <v>-1241</v>
      </c>
      <c r="R2033" s="275">
        <v>-1.5E-3</v>
      </c>
      <c r="S2033" s="270">
        <v>-1299</v>
      </c>
      <c r="T2033" s="270">
        <v>432</v>
      </c>
      <c r="U2033" s="57">
        <v>1</v>
      </c>
      <c r="V2033" s="276">
        <v>0.1125</v>
      </c>
      <c r="W2033" s="276">
        <v>3.7499999999999999E-2</v>
      </c>
      <c r="X2033" s="270">
        <v>367</v>
      </c>
      <c r="Y2033" s="270">
        <v>65</v>
      </c>
      <c r="Z2033" s="45" t="b">
        <v>1</v>
      </c>
      <c r="AA2033" s="45" t="s">
        <v>38</v>
      </c>
      <c r="AB2033" s="45" t="s">
        <v>38</v>
      </c>
    </row>
    <row r="2034" spans="1:28" x14ac:dyDescent="0.2">
      <c r="A2034" s="96" t="s">
        <v>172</v>
      </c>
      <c r="B2034" s="96" t="s">
        <v>172</v>
      </c>
      <c r="C2034" s="277">
        <v>44855</v>
      </c>
      <c r="D2034" s="277">
        <v>44885</v>
      </c>
      <c r="E2034" s="270" t="s">
        <v>300</v>
      </c>
      <c r="F2034" s="133" t="s">
        <v>34</v>
      </c>
      <c r="G2034" s="96" t="s">
        <v>35</v>
      </c>
      <c r="H2034" s="272" t="s">
        <v>85</v>
      </c>
      <c r="I2034" s="273">
        <v>50</v>
      </c>
      <c r="J2034" s="270">
        <v>57</v>
      </c>
      <c r="K2034" s="270">
        <f t="shared" si="0"/>
        <v>2850</v>
      </c>
      <c r="L2034" s="270">
        <v>2792</v>
      </c>
      <c r="M2034" s="270">
        <v>100</v>
      </c>
      <c r="N2034" s="274">
        <v>128.32</v>
      </c>
      <c r="O2034" s="55"/>
      <c r="P2034" s="45">
        <v>128</v>
      </c>
      <c r="Q2034" s="270">
        <v>249</v>
      </c>
      <c r="R2034" s="275">
        <v>-1.5E-3</v>
      </c>
      <c r="S2034" s="270">
        <v>245</v>
      </c>
      <c r="T2034" s="270">
        <v>373</v>
      </c>
      <c r="U2034" s="57">
        <v>1</v>
      </c>
      <c r="V2034" s="276">
        <v>0.1125</v>
      </c>
      <c r="W2034" s="276">
        <v>3.7499999999999999E-2</v>
      </c>
      <c r="X2034" s="270">
        <v>317</v>
      </c>
      <c r="Y2034" s="270">
        <v>56</v>
      </c>
      <c r="Z2034" s="45" t="b">
        <v>1</v>
      </c>
      <c r="AA2034" s="45" t="s">
        <v>38</v>
      </c>
      <c r="AB2034" s="45" t="s">
        <v>38</v>
      </c>
    </row>
    <row r="2035" spans="1:28" x14ac:dyDescent="0.2">
      <c r="A2035" s="96" t="s">
        <v>172</v>
      </c>
      <c r="B2035" s="96" t="s">
        <v>172</v>
      </c>
      <c r="C2035" s="277">
        <v>44855</v>
      </c>
      <c r="D2035" s="277">
        <v>44885</v>
      </c>
      <c r="E2035" s="270" t="s">
        <v>300</v>
      </c>
      <c r="F2035" s="133" t="s">
        <v>34</v>
      </c>
      <c r="G2035" s="96" t="s">
        <v>35</v>
      </c>
      <c r="H2035" s="272" t="s">
        <v>70</v>
      </c>
      <c r="I2035" s="273">
        <v>100</v>
      </c>
      <c r="J2035" s="270">
        <v>3053</v>
      </c>
      <c r="K2035" s="270">
        <f t="shared" si="0"/>
        <v>305300</v>
      </c>
      <c r="L2035" s="270">
        <v>82890</v>
      </c>
      <c r="M2035" s="270">
        <v>1800</v>
      </c>
      <c r="N2035" s="274">
        <v>11454.61</v>
      </c>
      <c r="O2035" s="55"/>
      <c r="P2035" s="105">
        <v>11455</v>
      </c>
      <c r="Q2035" s="270">
        <v>-935</v>
      </c>
      <c r="R2035" s="275">
        <v>-1.5E-3</v>
      </c>
      <c r="S2035" s="270">
        <v>-1393</v>
      </c>
      <c r="T2035" s="270">
        <v>10062</v>
      </c>
      <c r="U2035" s="57">
        <v>1</v>
      </c>
      <c r="V2035" s="276">
        <v>0.1125</v>
      </c>
      <c r="W2035" s="276">
        <v>3.7499999999999999E-2</v>
      </c>
      <c r="X2035" s="270">
        <v>8553</v>
      </c>
      <c r="Y2035" s="270">
        <v>1509</v>
      </c>
      <c r="Z2035" s="45" t="b">
        <v>1</v>
      </c>
      <c r="AA2035" s="45" t="s">
        <v>38</v>
      </c>
      <c r="AB2035" s="45" t="s">
        <v>38</v>
      </c>
    </row>
    <row r="2036" spans="1:28" x14ac:dyDescent="0.2">
      <c r="A2036" s="96" t="s">
        <v>172</v>
      </c>
      <c r="B2036" s="96" t="s">
        <v>172</v>
      </c>
      <c r="C2036" s="277">
        <v>44855</v>
      </c>
      <c r="D2036" s="277">
        <v>44885</v>
      </c>
      <c r="E2036" s="270" t="s">
        <v>300</v>
      </c>
      <c r="F2036" s="133" t="s">
        <v>34</v>
      </c>
      <c r="G2036" s="96" t="s">
        <v>35</v>
      </c>
      <c r="H2036" s="272" t="s">
        <v>84</v>
      </c>
      <c r="I2036" s="273">
        <v>100</v>
      </c>
      <c r="J2036" s="270">
        <v>381</v>
      </c>
      <c r="K2036" s="270">
        <f t="shared" si="0"/>
        <v>38100</v>
      </c>
      <c r="L2036" s="270">
        <v>3583</v>
      </c>
      <c r="M2036" s="270">
        <v>-1900</v>
      </c>
      <c r="N2036" s="274">
        <v>1429.48</v>
      </c>
      <c r="O2036" s="55"/>
      <c r="P2036" s="105">
        <v>1429</v>
      </c>
      <c r="Q2036" s="270">
        <v>-936</v>
      </c>
      <c r="R2036" s="275">
        <v>-1.5E-3</v>
      </c>
      <c r="S2036" s="270">
        <v>-993</v>
      </c>
      <c r="T2036" s="270">
        <v>436</v>
      </c>
      <c r="U2036" s="57">
        <v>1</v>
      </c>
      <c r="V2036" s="276">
        <v>0.1125</v>
      </c>
      <c r="W2036" s="276">
        <v>3.7499999999999999E-2</v>
      </c>
      <c r="X2036" s="270">
        <v>371</v>
      </c>
      <c r="Y2036" s="270">
        <v>65</v>
      </c>
      <c r="Z2036" s="45" t="b">
        <v>1</v>
      </c>
      <c r="AA2036" s="45" t="s">
        <v>38</v>
      </c>
      <c r="AB2036" s="45" t="s">
        <v>38</v>
      </c>
    </row>
    <row r="2037" spans="1:28" x14ac:dyDescent="0.2">
      <c r="A2037" s="96" t="s">
        <v>172</v>
      </c>
      <c r="B2037" s="96" t="s">
        <v>172</v>
      </c>
      <c r="C2037" s="277">
        <v>44855</v>
      </c>
      <c r="D2037" s="277">
        <v>44885</v>
      </c>
      <c r="E2037" s="270" t="s">
        <v>300</v>
      </c>
      <c r="F2037" s="133" t="s">
        <v>34</v>
      </c>
      <c r="G2037" s="96" t="s">
        <v>35</v>
      </c>
      <c r="H2037" s="272" t="s">
        <v>88</v>
      </c>
      <c r="I2037" s="273">
        <v>250</v>
      </c>
      <c r="J2037" s="270">
        <v>633</v>
      </c>
      <c r="K2037" s="270">
        <f t="shared" si="0"/>
        <v>158250</v>
      </c>
      <c r="L2037" s="270">
        <v>21112</v>
      </c>
      <c r="M2037" s="270">
        <v>-6250</v>
      </c>
      <c r="N2037" s="274">
        <v>5936</v>
      </c>
      <c r="O2037" s="55"/>
      <c r="P2037" s="105">
        <v>5936</v>
      </c>
      <c r="Q2037" s="270">
        <v>1760</v>
      </c>
      <c r="R2037" s="275">
        <v>-1.5E-3</v>
      </c>
      <c r="S2037" s="270">
        <v>1523</v>
      </c>
      <c r="T2037" s="270">
        <v>7459</v>
      </c>
      <c r="U2037" s="57">
        <v>1</v>
      </c>
      <c r="V2037" s="276">
        <v>0.1125</v>
      </c>
      <c r="W2037" s="276">
        <v>3.7499999999999999E-2</v>
      </c>
      <c r="X2037" s="270">
        <v>6340</v>
      </c>
      <c r="Y2037" s="270">
        <v>1119</v>
      </c>
      <c r="Z2037" s="45" t="b">
        <v>1</v>
      </c>
      <c r="AA2037" s="45" t="s">
        <v>38</v>
      </c>
      <c r="AB2037" s="45" t="s">
        <v>38</v>
      </c>
    </row>
    <row r="2038" spans="1:28" x14ac:dyDescent="0.2">
      <c r="A2038" s="96" t="s">
        <v>172</v>
      </c>
      <c r="B2038" s="96" t="s">
        <v>172</v>
      </c>
      <c r="C2038" s="277">
        <v>44855</v>
      </c>
      <c r="D2038" s="277">
        <v>44885</v>
      </c>
      <c r="E2038" s="270" t="s">
        <v>300</v>
      </c>
      <c r="F2038" s="133" t="s">
        <v>34</v>
      </c>
      <c r="G2038" s="96" t="s">
        <v>35</v>
      </c>
      <c r="H2038" s="272" t="s">
        <v>148</v>
      </c>
      <c r="I2038" s="273">
        <v>250</v>
      </c>
      <c r="J2038" s="270">
        <v>711</v>
      </c>
      <c r="K2038" s="270">
        <f t="shared" si="0"/>
        <v>177750</v>
      </c>
      <c r="L2038" s="270">
        <v>4138</v>
      </c>
      <c r="M2038" s="270">
        <v>2750</v>
      </c>
      <c r="N2038" s="274">
        <v>6663</v>
      </c>
      <c r="O2038" s="55"/>
      <c r="P2038" s="105">
        <v>6663</v>
      </c>
      <c r="Q2038" s="270">
        <v>-5923</v>
      </c>
      <c r="R2038" s="275">
        <v>-1.5E-3</v>
      </c>
      <c r="S2038" s="270">
        <v>-6190</v>
      </c>
      <c r="T2038" s="270">
        <v>473</v>
      </c>
      <c r="U2038" s="57">
        <v>1</v>
      </c>
      <c r="V2038" s="276">
        <v>0.1125</v>
      </c>
      <c r="W2038" s="276">
        <v>3.7499999999999999E-2</v>
      </c>
      <c r="X2038" s="270">
        <v>402</v>
      </c>
      <c r="Y2038" s="270">
        <v>71</v>
      </c>
      <c r="Z2038" s="45" t="b">
        <v>1</v>
      </c>
      <c r="AA2038" s="45" t="s">
        <v>38</v>
      </c>
      <c r="AB2038" s="45" t="s">
        <v>38</v>
      </c>
    </row>
    <row r="2039" spans="1:28" x14ac:dyDescent="0.2">
      <c r="A2039" s="96" t="s">
        <v>172</v>
      </c>
      <c r="B2039" s="96" t="s">
        <v>172</v>
      </c>
      <c r="C2039" s="277">
        <v>44855</v>
      </c>
      <c r="D2039" s="277">
        <v>44885</v>
      </c>
      <c r="E2039" s="270" t="s">
        <v>300</v>
      </c>
      <c r="F2039" s="133" t="s">
        <v>41</v>
      </c>
      <c r="G2039" s="96" t="s">
        <v>35</v>
      </c>
      <c r="H2039" s="272" t="s">
        <v>173</v>
      </c>
      <c r="I2039" s="273">
        <v>100</v>
      </c>
      <c r="J2039" s="270">
        <v>5</v>
      </c>
      <c r="K2039" s="270">
        <f t="shared" si="0"/>
        <v>500</v>
      </c>
      <c r="L2039" s="270"/>
      <c r="M2039" s="270">
        <v>285</v>
      </c>
      <c r="N2039" s="274">
        <v>7</v>
      </c>
      <c r="O2039" s="55"/>
      <c r="P2039" s="45">
        <v>7</v>
      </c>
      <c r="Q2039" s="270"/>
      <c r="R2039" s="275">
        <v>0</v>
      </c>
      <c r="S2039" s="270"/>
      <c r="T2039" s="270">
        <v>292</v>
      </c>
      <c r="U2039" s="57">
        <v>1</v>
      </c>
      <c r="V2039" s="276">
        <v>0.1125</v>
      </c>
      <c r="W2039" s="276">
        <v>3.7499999999999999E-2</v>
      </c>
      <c r="X2039" s="270">
        <v>248</v>
      </c>
      <c r="Y2039" s="270">
        <v>44</v>
      </c>
      <c r="Z2039" s="45" t="b">
        <v>1</v>
      </c>
      <c r="AA2039" s="45" t="s">
        <v>38</v>
      </c>
      <c r="AB2039" s="45" t="s">
        <v>38</v>
      </c>
    </row>
    <row r="2040" spans="1:28" x14ac:dyDescent="0.2">
      <c r="A2040" s="279" t="s">
        <v>447</v>
      </c>
      <c r="B2040" s="279" t="s">
        <v>95</v>
      </c>
      <c r="C2040" s="282">
        <v>44866</v>
      </c>
      <c r="D2040" s="282">
        <v>44885</v>
      </c>
      <c r="E2040" s="279" t="s">
        <v>300</v>
      </c>
      <c r="F2040" s="133" t="s">
        <v>34</v>
      </c>
      <c r="G2040" s="279" t="s">
        <v>61</v>
      </c>
      <c r="H2040" s="289" t="s">
        <v>135</v>
      </c>
      <c r="I2040" s="280">
        <v>250</v>
      </c>
      <c r="J2040" s="279">
        <v>871</v>
      </c>
      <c r="K2040" s="270">
        <f t="shared" si="0"/>
        <v>217750</v>
      </c>
      <c r="L2040" s="279">
        <v>28036</v>
      </c>
      <c r="M2040" s="279">
        <v>-11308</v>
      </c>
      <c r="N2040" s="281">
        <v>10220.469999999999</v>
      </c>
      <c r="O2040" s="55"/>
      <c r="P2040" s="105">
        <v>10220</v>
      </c>
      <c r="Q2040" s="279">
        <v>-4309</v>
      </c>
      <c r="R2040" s="275">
        <v>-1.5200000000000001E-3</v>
      </c>
      <c r="S2040" s="279">
        <v>-4640</v>
      </c>
      <c r="T2040" s="279">
        <v>5581</v>
      </c>
      <c r="U2040" s="57">
        <v>1</v>
      </c>
      <c r="V2040" s="276">
        <v>0.15</v>
      </c>
      <c r="W2040" s="276">
        <v>0.05</v>
      </c>
      <c r="X2040" s="279">
        <v>4464</v>
      </c>
      <c r="Y2040" s="279">
        <v>1116</v>
      </c>
      <c r="Z2040" s="45" t="b">
        <v>0</v>
      </c>
      <c r="AA2040" s="45" t="s">
        <v>50</v>
      </c>
      <c r="AB2040" s="45" t="s">
        <v>50</v>
      </c>
    </row>
    <row r="2041" spans="1:28" x14ac:dyDescent="0.2">
      <c r="A2041" s="279" t="s">
        <v>447</v>
      </c>
      <c r="B2041" s="279" t="s">
        <v>95</v>
      </c>
      <c r="C2041" s="282">
        <v>44866</v>
      </c>
      <c r="D2041" s="282">
        <v>44885</v>
      </c>
      <c r="E2041" s="279" t="s">
        <v>300</v>
      </c>
      <c r="F2041" s="133" t="s">
        <v>34</v>
      </c>
      <c r="G2041" s="279" t="s">
        <v>61</v>
      </c>
      <c r="H2041" s="289" t="s">
        <v>100</v>
      </c>
      <c r="I2041" s="280">
        <v>500</v>
      </c>
      <c r="J2041" s="279">
        <v>162</v>
      </c>
      <c r="K2041" s="270">
        <f t="shared" si="0"/>
        <v>81000</v>
      </c>
      <c r="L2041" s="279">
        <v>3275</v>
      </c>
      <c r="M2041" s="279">
        <v>-6168</v>
      </c>
      <c r="N2041" s="281">
        <v>54.53</v>
      </c>
      <c r="O2041" s="55"/>
      <c r="P2041" s="45">
        <v>55</v>
      </c>
      <c r="Q2041" s="279">
        <v>-3405</v>
      </c>
      <c r="R2041" s="275">
        <v>-1.5200000000000001E-3</v>
      </c>
      <c r="S2041" s="279">
        <v>-3528</v>
      </c>
      <c r="T2041" s="279">
        <v>-3473</v>
      </c>
      <c r="U2041" s="57">
        <v>1</v>
      </c>
      <c r="V2041" s="276">
        <v>0.15</v>
      </c>
      <c r="W2041" s="276">
        <v>0.05</v>
      </c>
      <c r="X2041" s="279">
        <v>-2779</v>
      </c>
      <c r="Y2041" s="279">
        <v>-695</v>
      </c>
      <c r="Z2041" s="45" t="b">
        <v>0</v>
      </c>
      <c r="AA2041" s="45" t="s">
        <v>50</v>
      </c>
      <c r="AB2041" s="45" t="s">
        <v>50</v>
      </c>
    </row>
    <row r="2042" spans="1:28" x14ac:dyDescent="0.2">
      <c r="A2042" s="279" t="s">
        <v>466</v>
      </c>
      <c r="B2042" s="279" t="s">
        <v>118</v>
      </c>
      <c r="C2042" s="277">
        <v>44855</v>
      </c>
      <c r="D2042" s="277">
        <v>44885</v>
      </c>
      <c r="E2042" s="279" t="s">
        <v>300</v>
      </c>
      <c r="F2042" s="133" t="s">
        <v>34</v>
      </c>
      <c r="G2042" s="270" t="s">
        <v>80</v>
      </c>
      <c r="H2042" s="270" t="s">
        <v>70</v>
      </c>
      <c r="I2042" s="273">
        <v>100</v>
      </c>
      <c r="J2042" s="270">
        <v>1</v>
      </c>
      <c r="K2042" s="270">
        <f t="shared" si="0"/>
        <v>100</v>
      </c>
      <c r="L2042" s="270">
        <v>0</v>
      </c>
      <c r="M2042" s="270">
        <v>0</v>
      </c>
      <c r="N2042" s="274">
        <v>0</v>
      </c>
      <c r="O2042" s="55"/>
      <c r="P2042" s="45">
        <v>0</v>
      </c>
      <c r="Q2042" s="270">
        <v>-7</v>
      </c>
      <c r="R2042" s="275">
        <v>0</v>
      </c>
      <c r="S2042" s="270">
        <v>-7</v>
      </c>
      <c r="T2042" s="270">
        <v>-7</v>
      </c>
      <c r="U2042" s="57">
        <v>1</v>
      </c>
      <c r="V2042" s="276">
        <v>0</v>
      </c>
      <c r="W2042" s="276">
        <v>0</v>
      </c>
      <c r="X2042" s="270">
        <v>-7</v>
      </c>
      <c r="Y2042" s="270">
        <v>0</v>
      </c>
      <c r="Z2042" s="45" t="b">
        <v>1</v>
      </c>
      <c r="AA2042" s="45" t="s">
        <v>38</v>
      </c>
      <c r="AB2042" s="45" t="s">
        <v>38</v>
      </c>
    </row>
    <row r="2043" spans="1:28" x14ac:dyDescent="0.2">
      <c r="A2043" s="96" t="s">
        <v>473</v>
      </c>
      <c r="B2043" s="270" t="s">
        <v>120</v>
      </c>
      <c r="C2043" s="277">
        <v>44855</v>
      </c>
      <c r="D2043" s="277">
        <v>44885</v>
      </c>
      <c r="E2043" s="270" t="s">
        <v>267</v>
      </c>
      <c r="F2043" s="96" t="s">
        <v>34</v>
      </c>
      <c r="G2043" s="270" t="s">
        <v>35</v>
      </c>
      <c r="H2043" s="272" t="s">
        <v>39</v>
      </c>
      <c r="I2043" s="280">
        <v>5</v>
      </c>
      <c r="J2043" s="279">
        <v>1</v>
      </c>
      <c r="K2043" s="270">
        <f t="shared" si="0"/>
        <v>5</v>
      </c>
      <c r="L2043" s="279">
        <v>-413</v>
      </c>
      <c r="M2043" s="279">
        <v>-5</v>
      </c>
      <c r="N2043" s="274" t="s">
        <v>334</v>
      </c>
      <c r="O2043" s="55"/>
      <c r="P2043" s="96"/>
      <c r="Q2043" s="279">
        <v>-4</v>
      </c>
      <c r="R2043" s="275">
        <v>-1.5200000000000001E-3</v>
      </c>
      <c r="S2043" s="279">
        <v>-4</v>
      </c>
      <c r="T2043" s="279">
        <v>-4</v>
      </c>
      <c r="U2043" s="57">
        <v>1</v>
      </c>
      <c r="V2043" s="276">
        <v>0.3</v>
      </c>
      <c r="W2043" s="276">
        <v>0</v>
      </c>
      <c r="X2043" s="279">
        <v>-3</v>
      </c>
      <c r="Y2043" s="279">
        <v>-1</v>
      </c>
      <c r="Z2043" s="45" t="b">
        <v>0</v>
      </c>
      <c r="AA2043" s="45" t="s">
        <v>38</v>
      </c>
      <c r="AB2043" s="45" t="s">
        <v>38</v>
      </c>
    </row>
    <row r="2044" spans="1:28" x14ac:dyDescent="0.2">
      <c r="A2044" s="96" t="s">
        <v>473</v>
      </c>
      <c r="B2044" s="270" t="s">
        <v>120</v>
      </c>
      <c r="C2044" s="277">
        <v>44855</v>
      </c>
      <c r="D2044" s="277">
        <v>44885</v>
      </c>
      <c r="E2044" s="270" t="s">
        <v>267</v>
      </c>
      <c r="F2044" s="96" t="s">
        <v>34</v>
      </c>
      <c r="G2044" s="270" t="s">
        <v>35</v>
      </c>
      <c r="H2044" s="272" t="s">
        <v>40</v>
      </c>
      <c r="I2044" s="280">
        <v>10</v>
      </c>
      <c r="J2044" s="279">
        <v>3717</v>
      </c>
      <c r="K2044" s="270">
        <f t="shared" si="0"/>
        <v>37170</v>
      </c>
      <c r="L2044" s="279">
        <v>88940</v>
      </c>
      <c r="M2044" s="279">
        <v>120</v>
      </c>
      <c r="N2044" s="274">
        <v>1551</v>
      </c>
      <c r="O2044" s="55"/>
      <c r="P2044" s="105">
        <v>1551</v>
      </c>
      <c r="Q2044" s="279">
        <v>-1119</v>
      </c>
      <c r="R2044" s="275">
        <v>-1.5200000000000001E-3</v>
      </c>
      <c r="S2044" s="279">
        <v>-1176</v>
      </c>
      <c r="T2044" s="279">
        <v>375</v>
      </c>
      <c r="U2044" s="57">
        <v>1</v>
      </c>
      <c r="V2044" s="276">
        <v>0.3</v>
      </c>
      <c r="W2044" s="276">
        <v>0</v>
      </c>
      <c r="X2044" s="279">
        <v>263</v>
      </c>
      <c r="Y2044" s="279">
        <v>113</v>
      </c>
      <c r="Z2044" s="45" t="b">
        <v>0</v>
      </c>
      <c r="AA2044" s="45" t="s">
        <v>38</v>
      </c>
      <c r="AB2044" s="45" t="s">
        <v>38</v>
      </c>
    </row>
    <row r="2045" spans="1:28" x14ac:dyDescent="0.2">
      <c r="A2045" s="96" t="s">
        <v>473</v>
      </c>
      <c r="B2045" s="270" t="s">
        <v>120</v>
      </c>
      <c r="C2045" s="277">
        <v>44855</v>
      </c>
      <c r="D2045" s="277">
        <v>44885</v>
      </c>
      <c r="E2045" s="270" t="s">
        <v>267</v>
      </c>
      <c r="F2045" s="96" t="s">
        <v>34</v>
      </c>
      <c r="G2045" s="270" t="s">
        <v>35</v>
      </c>
      <c r="H2045" s="272" t="s">
        <v>46</v>
      </c>
      <c r="I2045" s="280">
        <v>25</v>
      </c>
      <c r="J2045" s="279">
        <v>261</v>
      </c>
      <c r="K2045" s="270">
        <f t="shared" si="0"/>
        <v>6525</v>
      </c>
      <c r="L2045" s="279">
        <v>-3702</v>
      </c>
      <c r="M2045" s="279">
        <v>-1325</v>
      </c>
      <c r="N2045" s="274">
        <v>234</v>
      </c>
      <c r="O2045" s="55"/>
      <c r="P2045" s="45">
        <v>234</v>
      </c>
      <c r="Q2045" s="279">
        <v>-589</v>
      </c>
      <c r="R2045" s="275">
        <v>-1.5200000000000001E-3</v>
      </c>
      <c r="S2045" s="279">
        <v>-599</v>
      </c>
      <c r="T2045" s="279">
        <v>-365</v>
      </c>
      <c r="U2045" s="57">
        <v>1</v>
      </c>
      <c r="V2045" s="276">
        <v>0.3</v>
      </c>
      <c r="W2045" s="276">
        <v>0</v>
      </c>
      <c r="X2045" s="279">
        <v>-256</v>
      </c>
      <c r="Y2045" s="279">
        <v>-110</v>
      </c>
      <c r="Z2045" s="45" t="b">
        <v>0</v>
      </c>
      <c r="AA2045" s="45" t="s">
        <v>38</v>
      </c>
      <c r="AB2045" s="45" t="s">
        <v>38</v>
      </c>
    </row>
    <row r="2046" spans="1:28" x14ac:dyDescent="0.2">
      <c r="A2046" s="96" t="s">
        <v>178</v>
      </c>
      <c r="B2046" s="96" t="s">
        <v>178</v>
      </c>
      <c r="C2046" s="277">
        <v>44870</v>
      </c>
      <c r="D2046" s="277">
        <v>44885</v>
      </c>
      <c r="E2046" s="270" t="s">
        <v>300</v>
      </c>
      <c r="F2046" s="96" t="s">
        <v>34</v>
      </c>
      <c r="G2046" s="270" t="s">
        <v>35</v>
      </c>
      <c r="H2046" s="272" t="s">
        <v>36</v>
      </c>
      <c r="I2046" s="273">
        <v>2</v>
      </c>
      <c r="J2046" s="270">
        <v>28</v>
      </c>
      <c r="K2046" s="270">
        <f t="shared" si="0"/>
        <v>56</v>
      </c>
      <c r="L2046" s="270">
        <v>2041</v>
      </c>
      <c r="M2046" s="270">
        <v>-8</v>
      </c>
      <c r="N2046" s="274">
        <v>3.23</v>
      </c>
      <c r="O2046" s="55"/>
      <c r="P2046" s="45">
        <v>3</v>
      </c>
      <c r="Q2046" s="270">
        <v>3</v>
      </c>
      <c r="R2046" s="275">
        <v>-1.5200000000000001E-3</v>
      </c>
      <c r="S2046" s="270">
        <v>3</v>
      </c>
      <c r="T2046" s="270">
        <v>6</v>
      </c>
      <c r="U2046" s="57">
        <v>1</v>
      </c>
      <c r="V2046" s="276">
        <v>0.2</v>
      </c>
      <c r="W2046" s="276">
        <v>0.1</v>
      </c>
      <c r="X2046" s="270">
        <v>4</v>
      </c>
      <c r="Y2046" s="270">
        <v>2</v>
      </c>
      <c r="Z2046" s="45" t="b">
        <v>1</v>
      </c>
      <c r="AA2046" s="45" t="s">
        <v>38</v>
      </c>
      <c r="AB2046" s="45" t="s">
        <v>38</v>
      </c>
    </row>
    <row r="2047" spans="1:28" x14ac:dyDescent="0.2">
      <c r="A2047" s="96" t="s">
        <v>178</v>
      </c>
      <c r="B2047" s="96" t="s">
        <v>178</v>
      </c>
      <c r="C2047" s="277">
        <v>44870</v>
      </c>
      <c r="D2047" s="277">
        <v>44885</v>
      </c>
      <c r="E2047" s="270" t="s">
        <v>300</v>
      </c>
      <c r="F2047" s="96" t="s">
        <v>34</v>
      </c>
      <c r="G2047" s="270" t="s">
        <v>35</v>
      </c>
      <c r="H2047" s="272" t="s">
        <v>39</v>
      </c>
      <c r="I2047" s="273">
        <v>5</v>
      </c>
      <c r="J2047" s="270">
        <v>1</v>
      </c>
      <c r="K2047" s="270">
        <f t="shared" si="0"/>
        <v>5</v>
      </c>
      <c r="L2047" s="270">
        <v>56</v>
      </c>
      <c r="M2047" s="270">
        <v>-5</v>
      </c>
      <c r="N2047" s="274">
        <v>0.28999999999999998</v>
      </c>
      <c r="O2047" s="55"/>
      <c r="P2047" s="45">
        <v>0</v>
      </c>
      <c r="Q2047" s="270">
        <v>0</v>
      </c>
      <c r="R2047" s="275">
        <v>-1.5200000000000001E-3</v>
      </c>
      <c r="S2047" s="270">
        <v>0</v>
      </c>
      <c r="T2047" s="270">
        <v>0</v>
      </c>
      <c r="U2047" s="57">
        <v>1</v>
      </c>
      <c r="V2047" s="276">
        <v>0.2</v>
      </c>
      <c r="W2047" s="276">
        <v>0.1</v>
      </c>
      <c r="X2047" s="270">
        <v>0</v>
      </c>
      <c r="Y2047" s="270">
        <v>0</v>
      </c>
      <c r="Z2047" s="45" t="b">
        <v>1</v>
      </c>
      <c r="AA2047" s="45" t="s">
        <v>38</v>
      </c>
      <c r="AB2047" s="45" t="s">
        <v>38</v>
      </c>
    </row>
    <row r="2048" spans="1:28" x14ac:dyDescent="0.2">
      <c r="A2048" s="96" t="s">
        <v>178</v>
      </c>
      <c r="B2048" s="96" t="s">
        <v>178</v>
      </c>
      <c r="C2048" s="277">
        <v>44870</v>
      </c>
      <c r="D2048" s="277">
        <v>44885</v>
      </c>
      <c r="E2048" s="270" t="s">
        <v>300</v>
      </c>
      <c r="F2048" s="96" t="s">
        <v>34</v>
      </c>
      <c r="G2048" s="270" t="s">
        <v>35</v>
      </c>
      <c r="H2048" s="272" t="s">
        <v>90</v>
      </c>
      <c r="I2048" s="273">
        <v>5</v>
      </c>
      <c r="J2048" s="270">
        <v>91</v>
      </c>
      <c r="K2048" s="270">
        <f t="shared" si="0"/>
        <v>455</v>
      </c>
      <c r="L2048" s="270">
        <f>1536-L2042</f>
        <v>1536</v>
      </c>
      <c r="M2048" s="270">
        <v>-35</v>
      </c>
      <c r="N2048" s="274">
        <v>26.25</v>
      </c>
      <c r="O2048" s="55"/>
      <c r="P2048" s="45">
        <v>26</v>
      </c>
      <c r="Q2048" s="270">
        <v>-17</v>
      </c>
      <c r="R2048" s="275">
        <v>-1.5200000000000001E-3</v>
      </c>
      <c r="S2048" s="270">
        <v>-18</v>
      </c>
      <c r="T2048" s="270">
        <v>9</v>
      </c>
      <c r="U2048" s="57">
        <v>1</v>
      </c>
      <c r="V2048" s="276">
        <v>0.2</v>
      </c>
      <c r="W2048" s="276">
        <v>0.1</v>
      </c>
      <c r="X2048" s="270">
        <v>6</v>
      </c>
      <c r="Y2048" s="270">
        <v>3</v>
      </c>
      <c r="Z2048" s="45" t="b">
        <v>1</v>
      </c>
      <c r="AA2048" s="45" t="s">
        <v>38</v>
      </c>
      <c r="AB2048" s="45" t="s">
        <v>38</v>
      </c>
    </row>
    <row r="2049" spans="1:28" x14ac:dyDescent="0.2">
      <c r="A2049" s="96" t="s">
        <v>178</v>
      </c>
      <c r="B2049" s="96" t="s">
        <v>178</v>
      </c>
      <c r="C2049" s="277">
        <v>44870</v>
      </c>
      <c r="D2049" s="277">
        <v>44885</v>
      </c>
      <c r="E2049" s="270" t="s">
        <v>300</v>
      </c>
      <c r="F2049" s="96" t="s">
        <v>34</v>
      </c>
      <c r="G2049" s="270" t="s">
        <v>35</v>
      </c>
      <c r="H2049" s="272" t="s">
        <v>40</v>
      </c>
      <c r="I2049" s="273">
        <v>10</v>
      </c>
      <c r="J2049" s="270">
        <v>120</v>
      </c>
      <c r="K2049" s="270">
        <f t="shared" si="0"/>
        <v>1200</v>
      </c>
      <c r="L2049" s="270">
        <f>41192-L2043</f>
        <v>41605</v>
      </c>
      <c r="M2049" s="270">
        <v>30</v>
      </c>
      <c r="N2049" s="274">
        <v>60.59</v>
      </c>
      <c r="O2049" s="55"/>
      <c r="P2049" s="45">
        <v>61</v>
      </c>
      <c r="Q2049" s="270">
        <v>674</v>
      </c>
      <c r="R2049" s="275">
        <v>-1.5200000000000001E-3</v>
      </c>
      <c r="S2049" s="270">
        <v>673</v>
      </c>
      <c r="T2049" s="270">
        <v>733</v>
      </c>
      <c r="U2049" s="57">
        <v>1</v>
      </c>
      <c r="V2049" s="276">
        <v>0.2</v>
      </c>
      <c r="W2049" s="276">
        <v>0.1</v>
      </c>
      <c r="X2049" s="270">
        <v>513</v>
      </c>
      <c r="Y2049" s="270">
        <v>220</v>
      </c>
      <c r="Z2049" s="45" t="b">
        <v>1</v>
      </c>
      <c r="AA2049" s="45" t="s">
        <v>38</v>
      </c>
      <c r="AB2049" s="45" t="s">
        <v>38</v>
      </c>
    </row>
    <row r="2050" spans="1:28" x14ac:dyDescent="0.2">
      <c r="A2050" s="96" t="s">
        <v>178</v>
      </c>
      <c r="B2050" s="96" t="s">
        <v>178</v>
      </c>
      <c r="C2050" s="277">
        <v>44870</v>
      </c>
      <c r="D2050" s="277">
        <v>44885</v>
      </c>
      <c r="E2050" s="270" t="s">
        <v>300</v>
      </c>
      <c r="F2050" s="96" t="s">
        <v>34</v>
      </c>
      <c r="G2050" s="270" t="s">
        <v>35</v>
      </c>
      <c r="H2050" s="272" t="s">
        <v>115</v>
      </c>
      <c r="I2050" s="273">
        <v>10</v>
      </c>
      <c r="J2050" s="270">
        <v>15</v>
      </c>
      <c r="K2050" s="270">
        <f t="shared" si="0"/>
        <v>150</v>
      </c>
      <c r="L2050" s="270">
        <f>10292-10950</f>
        <v>-658</v>
      </c>
      <c r="M2050" s="270">
        <v>20</v>
      </c>
      <c r="N2050" s="274">
        <v>7.57</v>
      </c>
      <c r="O2050" s="55"/>
      <c r="P2050" s="45">
        <v>8</v>
      </c>
      <c r="Q2050" s="270">
        <v>-31</v>
      </c>
      <c r="R2050" s="275">
        <v>-1.5200000000000001E-3</v>
      </c>
      <c r="S2050" s="270">
        <v>-31</v>
      </c>
      <c r="T2050" s="270">
        <v>-24</v>
      </c>
      <c r="U2050" s="57">
        <v>1</v>
      </c>
      <c r="V2050" s="276">
        <v>0.2</v>
      </c>
      <c r="W2050" s="276">
        <v>0.1</v>
      </c>
      <c r="X2050" s="270">
        <v>-17</v>
      </c>
      <c r="Y2050" s="270">
        <v>-7</v>
      </c>
      <c r="Z2050" s="45" t="b">
        <v>1</v>
      </c>
      <c r="AA2050" s="45" t="s">
        <v>38</v>
      </c>
      <c r="AB2050" s="45" t="s">
        <v>38</v>
      </c>
    </row>
    <row r="2051" spans="1:28" x14ac:dyDescent="0.2">
      <c r="A2051" s="96" t="s">
        <v>178</v>
      </c>
      <c r="B2051" s="96" t="s">
        <v>178</v>
      </c>
      <c r="C2051" s="277">
        <v>44870</v>
      </c>
      <c r="D2051" s="277">
        <v>44885</v>
      </c>
      <c r="E2051" s="270" t="s">
        <v>300</v>
      </c>
      <c r="F2051" s="96" t="s">
        <v>34</v>
      </c>
      <c r="G2051" s="270" t="s">
        <v>35</v>
      </c>
      <c r="H2051" s="272" t="s">
        <v>46</v>
      </c>
      <c r="I2051" s="273">
        <v>25</v>
      </c>
      <c r="J2051" s="270">
        <v>1231</v>
      </c>
      <c r="K2051" s="270">
        <f t="shared" si="0"/>
        <v>30775</v>
      </c>
      <c r="L2051" s="270">
        <f>19247-L2045</f>
        <v>22949</v>
      </c>
      <c r="M2051" s="270">
        <v>-25</v>
      </c>
      <c r="N2051" s="274">
        <v>1331.82</v>
      </c>
      <c r="O2051" s="55"/>
      <c r="P2051" s="105">
        <v>1332</v>
      </c>
      <c r="Q2051" s="270">
        <v>-906</v>
      </c>
      <c r="R2051" s="275">
        <v>-1.5200000000000001E-3</v>
      </c>
      <c r="S2051" s="270">
        <v>-953</v>
      </c>
      <c r="T2051" s="270">
        <v>379</v>
      </c>
      <c r="U2051" s="57">
        <v>1</v>
      </c>
      <c r="V2051" s="276">
        <v>0.2</v>
      </c>
      <c r="W2051" s="276">
        <v>0.1</v>
      </c>
      <c r="X2051" s="270">
        <v>266</v>
      </c>
      <c r="Y2051" s="270">
        <v>114</v>
      </c>
      <c r="Z2051" s="45" t="b">
        <v>1</v>
      </c>
      <c r="AA2051" s="45" t="s">
        <v>38</v>
      </c>
      <c r="AB2051" s="45" t="s">
        <v>38</v>
      </c>
    </row>
    <row r="2052" spans="1:28" x14ac:dyDescent="0.2">
      <c r="A2052" s="96" t="s">
        <v>178</v>
      </c>
      <c r="B2052" s="96" t="s">
        <v>178</v>
      </c>
      <c r="C2052" s="277">
        <v>44870</v>
      </c>
      <c r="D2052" s="277">
        <v>44885</v>
      </c>
      <c r="E2052" s="270" t="s">
        <v>300</v>
      </c>
      <c r="F2052" s="96" t="s">
        <v>34</v>
      </c>
      <c r="G2052" s="270" t="s">
        <v>35</v>
      </c>
      <c r="H2052" s="272" t="s">
        <v>87</v>
      </c>
      <c r="I2052" s="273">
        <v>25</v>
      </c>
      <c r="J2052" s="270">
        <v>3</v>
      </c>
      <c r="K2052" s="270">
        <f t="shared" si="0"/>
        <v>75</v>
      </c>
      <c r="L2052" s="270">
        <v>394</v>
      </c>
      <c r="M2052" s="270">
        <v>-25</v>
      </c>
      <c r="N2052" s="274">
        <v>3.25</v>
      </c>
      <c r="O2052" s="55"/>
      <c r="P2052" s="45">
        <v>3</v>
      </c>
      <c r="Q2052" s="270">
        <v>26</v>
      </c>
      <c r="R2052" s="275">
        <v>-1.5200000000000001E-3</v>
      </c>
      <c r="S2052" s="270">
        <v>26</v>
      </c>
      <c r="T2052" s="270">
        <v>29</v>
      </c>
      <c r="U2052" s="57">
        <v>1</v>
      </c>
      <c r="V2052" s="276">
        <v>0.2</v>
      </c>
      <c r="W2052" s="276">
        <v>0.1</v>
      </c>
      <c r="X2052" s="270">
        <v>20</v>
      </c>
      <c r="Y2052" s="270">
        <v>9</v>
      </c>
      <c r="Z2052" s="45" t="b">
        <v>1</v>
      </c>
      <c r="AA2052" s="45" t="s">
        <v>38</v>
      </c>
      <c r="AB2052" s="45" t="s">
        <v>38</v>
      </c>
    </row>
    <row r="2053" spans="1:28" x14ac:dyDescent="0.2">
      <c r="A2053" s="279" t="s">
        <v>102</v>
      </c>
      <c r="B2053" s="279" t="s">
        <v>107</v>
      </c>
      <c r="C2053" s="282">
        <v>44855</v>
      </c>
      <c r="D2053" s="282">
        <v>44885</v>
      </c>
      <c r="E2053" s="279" t="s">
        <v>267</v>
      </c>
      <c r="F2053" s="133" t="s">
        <v>34</v>
      </c>
      <c r="G2053" s="279" t="s">
        <v>61</v>
      </c>
      <c r="H2053" s="289" t="s">
        <v>167</v>
      </c>
      <c r="I2053" s="280">
        <v>25</v>
      </c>
      <c r="J2053" s="279">
        <v>435</v>
      </c>
      <c r="K2053" s="270">
        <f t="shared" si="0"/>
        <v>10875</v>
      </c>
      <c r="L2053" s="279">
        <v>26796</v>
      </c>
      <c r="M2053" s="279">
        <v>386</v>
      </c>
      <c r="N2053" s="281">
        <v>62.05</v>
      </c>
      <c r="O2053" s="55"/>
      <c r="P2053" s="45">
        <v>62</v>
      </c>
      <c r="Q2053" s="279">
        <v>360</v>
      </c>
      <c r="R2053" s="275">
        <v>-1.5200000000000001E-3</v>
      </c>
      <c r="S2053" s="279">
        <v>343</v>
      </c>
      <c r="T2053" s="279">
        <v>406</v>
      </c>
      <c r="U2053" s="57">
        <v>1.028</v>
      </c>
      <c r="V2053" s="276">
        <v>0.25</v>
      </c>
      <c r="W2053" s="276">
        <v>0</v>
      </c>
      <c r="X2053" s="279">
        <v>313</v>
      </c>
      <c r="Y2053" s="279">
        <v>104</v>
      </c>
      <c r="Z2053" s="45" t="b">
        <v>1</v>
      </c>
      <c r="AA2053" s="45" t="s">
        <v>38</v>
      </c>
      <c r="AB2053" s="45" t="s">
        <v>50</v>
      </c>
    </row>
    <row r="2054" spans="1:28" x14ac:dyDescent="0.2">
      <c r="A2054" s="279" t="s">
        <v>102</v>
      </c>
      <c r="B2054" s="96" t="s">
        <v>102</v>
      </c>
      <c r="C2054" s="282">
        <v>44855</v>
      </c>
      <c r="D2054" s="282">
        <v>44885</v>
      </c>
      <c r="E2054" s="279" t="s">
        <v>267</v>
      </c>
      <c r="F2054" s="133" t="s">
        <v>34</v>
      </c>
      <c r="G2054" s="270" t="s">
        <v>35</v>
      </c>
      <c r="H2054" s="272" t="s">
        <v>46</v>
      </c>
      <c r="I2054" s="280">
        <v>25</v>
      </c>
      <c r="J2054" s="279">
        <v>110</v>
      </c>
      <c r="K2054" s="270">
        <f t="shared" si="0"/>
        <v>2750</v>
      </c>
      <c r="L2054" s="279">
        <v>7648</v>
      </c>
      <c r="M2054" s="279">
        <v>575</v>
      </c>
      <c r="N2054" s="281">
        <v>26</v>
      </c>
      <c r="O2054" s="55"/>
      <c r="P2054" s="45">
        <v>26</v>
      </c>
      <c r="Q2054" s="279">
        <v>196</v>
      </c>
      <c r="R2054" s="275">
        <v>-1.5200000000000001E-3</v>
      </c>
      <c r="S2054" s="279">
        <v>192</v>
      </c>
      <c r="T2054" s="279">
        <v>218</v>
      </c>
      <c r="U2054" s="57">
        <v>1</v>
      </c>
      <c r="V2054" s="276">
        <v>0.25</v>
      </c>
      <c r="W2054" s="276">
        <v>0</v>
      </c>
      <c r="X2054" s="279">
        <v>163</v>
      </c>
      <c r="Y2054" s="279">
        <v>54</v>
      </c>
      <c r="Z2054" s="45" t="b">
        <v>1</v>
      </c>
      <c r="AA2054" s="45" t="s">
        <v>38</v>
      </c>
      <c r="AB2054" s="45" t="s">
        <v>38</v>
      </c>
    </row>
    <row r="2055" spans="1:28" x14ac:dyDescent="0.2">
      <c r="A2055" s="279" t="s">
        <v>102</v>
      </c>
      <c r="B2055" s="96" t="s">
        <v>102</v>
      </c>
      <c r="C2055" s="282">
        <v>44855</v>
      </c>
      <c r="D2055" s="282">
        <v>44885</v>
      </c>
      <c r="E2055" s="279" t="s">
        <v>267</v>
      </c>
      <c r="F2055" s="133" t="s">
        <v>41</v>
      </c>
      <c r="G2055" s="270" t="s">
        <v>35</v>
      </c>
      <c r="H2055" s="272" t="s">
        <v>87</v>
      </c>
      <c r="I2055" s="273">
        <v>25</v>
      </c>
      <c r="J2055" s="270">
        <v>360</v>
      </c>
      <c r="K2055" s="270">
        <f t="shared" si="0"/>
        <v>9000</v>
      </c>
      <c r="L2055" s="270">
        <v>9360</v>
      </c>
      <c r="M2055" s="270">
        <v>675</v>
      </c>
      <c r="N2055" s="274">
        <v>85</v>
      </c>
      <c r="O2055" s="55"/>
      <c r="P2055" s="45">
        <v>85</v>
      </c>
      <c r="Q2055" s="270">
        <v>147</v>
      </c>
      <c r="R2055" s="275">
        <v>0</v>
      </c>
      <c r="S2055" s="270">
        <v>147</v>
      </c>
      <c r="T2055" s="270">
        <v>760</v>
      </c>
      <c r="U2055" s="57">
        <v>1</v>
      </c>
      <c r="V2055" s="276">
        <v>0.25</v>
      </c>
      <c r="W2055" s="276">
        <v>0</v>
      </c>
      <c r="X2055" s="270">
        <v>570</v>
      </c>
      <c r="Y2055" s="270">
        <v>190</v>
      </c>
      <c r="Z2055" s="45" t="b">
        <v>1</v>
      </c>
      <c r="AA2055" s="45" t="s">
        <v>38</v>
      </c>
      <c r="AB2055" s="45" t="s">
        <v>38</v>
      </c>
    </row>
    <row r="2056" spans="1:28" x14ac:dyDescent="0.2">
      <c r="A2056" s="96" t="s">
        <v>508</v>
      </c>
      <c r="B2056" s="96" t="s">
        <v>186</v>
      </c>
      <c r="C2056" s="277">
        <v>44855</v>
      </c>
      <c r="D2056" s="277">
        <v>44885</v>
      </c>
      <c r="E2056" s="270" t="s">
        <v>300</v>
      </c>
      <c r="F2056" s="133" t="s">
        <v>34</v>
      </c>
      <c r="G2056" s="270" t="s">
        <v>80</v>
      </c>
      <c r="H2056" s="272" t="s">
        <v>72</v>
      </c>
      <c r="I2056" s="273">
        <v>50</v>
      </c>
      <c r="J2056" s="270">
        <v>1</v>
      </c>
      <c r="K2056" s="270">
        <f t="shared" si="0"/>
        <v>50</v>
      </c>
      <c r="L2056" s="270">
        <v>348</v>
      </c>
      <c r="M2056" s="270">
        <v>350</v>
      </c>
      <c r="N2056" s="274">
        <v>2.65</v>
      </c>
      <c r="O2056" s="55"/>
      <c r="P2056" s="45">
        <v>3</v>
      </c>
      <c r="Q2056" s="270">
        <v>46</v>
      </c>
      <c r="R2056" s="275">
        <v>-1.521E-3</v>
      </c>
      <c r="S2056" s="270">
        <v>46</v>
      </c>
      <c r="T2056" s="270">
        <v>49</v>
      </c>
      <c r="U2056" s="57">
        <v>1</v>
      </c>
      <c r="V2056" s="276">
        <v>0.09</v>
      </c>
      <c r="W2056" s="276">
        <v>0.03</v>
      </c>
      <c r="X2056" s="270">
        <v>43</v>
      </c>
      <c r="Y2056" s="270">
        <v>6</v>
      </c>
      <c r="Z2056" s="45" t="b">
        <v>1</v>
      </c>
      <c r="AA2056" s="45" t="s">
        <v>38</v>
      </c>
      <c r="AB2056" s="45" t="s">
        <v>38</v>
      </c>
    </row>
    <row r="2057" spans="1:28" x14ac:dyDescent="0.2">
      <c r="A2057" s="96" t="s">
        <v>508</v>
      </c>
      <c r="B2057" s="96" t="s">
        <v>186</v>
      </c>
      <c r="C2057" s="277">
        <v>44855</v>
      </c>
      <c r="D2057" s="277">
        <v>44885</v>
      </c>
      <c r="E2057" s="270" t="s">
        <v>300</v>
      </c>
      <c r="F2057" s="133" t="s">
        <v>34</v>
      </c>
      <c r="G2057" s="270" t="s">
        <v>80</v>
      </c>
      <c r="H2057" s="272" t="s">
        <v>70</v>
      </c>
      <c r="I2057" s="273">
        <v>100</v>
      </c>
      <c r="J2057" s="270">
        <v>4956</v>
      </c>
      <c r="K2057" s="270">
        <f t="shared" si="0"/>
        <v>495600</v>
      </c>
      <c r="L2057" s="270">
        <v>72267</v>
      </c>
      <c r="M2057" s="270">
        <v>-24300</v>
      </c>
      <c r="N2057" s="274">
        <v>26302.54</v>
      </c>
      <c r="O2057" s="55"/>
      <c r="P2057" s="105">
        <v>26303</v>
      </c>
      <c r="Q2057" s="270">
        <v>-15554</v>
      </c>
      <c r="R2057" s="275">
        <v>-1.521E-3</v>
      </c>
      <c r="S2057" s="270">
        <v>-16308</v>
      </c>
      <c r="T2057" s="270">
        <v>9994</v>
      </c>
      <c r="U2057" s="57">
        <v>1</v>
      </c>
      <c r="V2057" s="276">
        <v>0.09</v>
      </c>
      <c r="W2057" s="276">
        <v>0.03</v>
      </c>
      <c r="X2057" s="270">
        <v>8795</v>
      </c>
      <c r="Y2057" s="270">
        <v>1199</v>
      </c>
      <c r="Z2057" s="45" t="b">
        <v>1</v>
      </c>
      <c r="AA2057" s="45" t="s">
        <v>38</v>
      </c>
      <c r="AB2057" s="45" t="s">
        <v>38</v>
      </c>
    </row>
    <row r="2058" spans="1:28" x14ac:dyDescent="0.2">
      <c r="A2058" s="96" t="s">
        <v>508</v>
      </c>
      <c r="B2058" s="96" t="s">
        <v>186</v>
      </c>
      <c r="C2058" s="277">
        <v>44855</v>
      </c>
      <c r="D2058" s="277">
        <v>44885</v>
      </c>
      <c r="E2058" s="270" t="s">
        <v>300</v>
      </c>
      <c r="F2058" s="133" t="s">
        <v>34</v>
      </c>
      <c r="G2058" s="270" t="s">
        <v>80</v>
      </c>
      <c r="H2058" s="272" t="s">
        <v>153</v>
      </c>
      <c r="I2058" s="273">
        <v>200</v>
      </c>
      <c r="J2058" s="270">
        <v>2511</v>
      </c>
      <c r="K2058" s="270">
        <f t="shared" si="0"/>
        <v>502200</v>
      </c>
      <c r="L2058" s="270">
        <v>7955</v>
      </c>
      <c r="M2058" s="270">
        <v>-35000</v>
      </c>
      <c r="N2058" s="274">
        <v>26652.81</v>
      </c>
      <c r="O2058" s="55"/>
      <c r="P2058" s="105">
        <v>26653</v>
      </c>
      <c r="Q2058" s="270">
        <v>-32251</v>
      </c>
      <c r="R2058" s="275">
        <v>-1.521E-3</v>
      </c>
      <c r="S2058" s="270">
        <v>-33015</v>
      </c>
      <c r="T2058" s="270">
        <v>-6362</v>
      </c>
      <c r="U2058" s="57">
        <v>1</v>
      </c>
      <c r="V2058" s="276">
        <v>0.09</v>
      </c>
      <c r="W2058" s="276">
        <v>0.03</v>
      </c>
      <c r="X2058" s="270">
        <v>-5599</v>
      </c>
      <c r="Y2058" s="270">
        <v>-763</v>
      </c>
      <c r="Z2058" s="45" t="b">
        <v>1</v>
      </c>
      <c r="AA2058" s="45" t="s">
        <v>38</v>
      </c>
      <c r="AB2058" s="45" t="s">
        <v>38</v>
      </c>
    </row>
    <row r="2059" spans="1:28" x14ac:dyDescent="0.2">
      <c r="A2059" s="96" t="s">
        <v>113</v>
      </c>
      <c r="B2059" s="96" t="s">
        <v>113</v>
      </c>
      <c r="C2059" s="277">
        <v>44855</v>
      </c>
      <c r="D2059" s="277">
        <v>44885</v>
      </c>
      <c r="E2059" s="270" t="s">
        <v>267</v>
      </c>
      <c r="F2059" s="133" t="s">
        <v>34</v>
      </c>
      <c r="G2059" s="96" t="s">
        <v>35</v>
      </c>
      <c r="H2059" s="272" t="s">
        <v>40</v>
      </c>
      <c r="I2059" s="273">
        <v>10</v>
      </c>
      <c r="J2059" s="270">
        <v>341</v>
      </c>
      <c r="K2059" s="270">
        <f t="shared" si="0"/>
        <v>3410</v>
      </c>
      <c r="L2059" s="270">
        <v>-5750</v>
      </c>
      <c r="M2059" s="270">
        <v>-700</v>
      </c>
      <c r="N2059" s="274">
        <v>120</v>
      </c>
      <c r="O2059" s="55"/>
      <c r="P2059" s="45">
        <v>120</v>
      </c>
      <c r="Q2059" s="270">
        <v>-358</v>
      </c>
      <c r="R2059" s="275">
        <v>-1.5200000000000001E-3</v>
      </c>
      <c r="S2059" s="270">
        <v>-363</v>
      </c>
      <c r="T2059" s="270">
        <v>-243</v>
      </c>
      <c r="U2059" s="57">
        <v>1</v>
      </c>
      <c r="V2059" s="276">
        <v>0.3</v>
      </c>
      <c r="W2059" s="276">
        <v>0</v>
      </c>
      <c r="X2059" s="270">
        <v>-170</v>
      </c>
      <c r="Y2059" s="270">
        <v>-73</v>
      </c>
      <c r="Z2059" s="45" t="b">
        <v>1</v>
      </c>
      <c r="AA2059" s="45" t="s">
        <v>38</v>
      </c>
      <c r="AB2059" s="45" t="s">
        <v>38</v>
      </c>
    </row>
    <row r="2060" spans="1:28" x14ac:dyDescent="0.2">
      <c r="A2060" s="96" t="s">
        <v>113</v>
      </c>
      <c r="B2060" s="96" t="s">
        <v>113</v>
      </c>
      <c r="C2060" s="277">
        <v>44855</v>
      </c>
      <c r="D2060" s="277">
        <v>44885</v>
      </c>
      <c r="E2060" s="270" t="s">
        <v>267</v>
      </c>
      <c r="F2060" s="133" t="s">
        <v>34</v>
      </c>
      <c r="G2060" s="96" t="s">
        <v>35</v>
      </c>
      <c r="H2060" s="272" t="s">
        <v>46</v>
      </c>
      <c r="I2060" s="273">
        <v>25</v>
      </c>
      <c r="J2060" s="270">
        <v>2243</v>
      </c>
      <c r="K2060" s="270">
        <f t="shared" si="0"/>
        <v>56075</v>
      </c>
      <c r="L2060" s="270">
        <v>43614</v>
      </c>
      <c r="M2060" s="270">
        <v>250</v>
      </c>
      <c r="N2060" s="274">
        <v>1690</v>
      </c>
      <c r="O2060" s="55"/>
      <c r="P2060" s="105">
        <v>1690</v>
      </c>
      <c r="Q2060" s="270">
        <v>-1567</v>
      </c>
      <c r="R2060" s="275">
        <v>-1.5200000000000001E-3</v>
      </c>
      <c r="S2060" s="270">
        <v>-1652</v>
      </c>
      <c r="T2060" s="270">
        <v>38</v>
      </c>
      <c r="U2060" s="57">
        <v>1</v>
      </c>
      <c r="V2060" s="276">
        <v>0.3</v>
      </c>
      <c r="W2060" s="276">
        <v>0</v>
      </c>
      <c r="X2060" s="270">
        <v>26</v>
      </c>
      <c r="Y2060" s="270">
        <v>11</v>
      </c>
      <c r="Z2060" s="45" t="b">
        <v>1</v>
      </c>
      <c r="AA2060" s="45" t="s">
        <v>38</v>
      </c>
      <c r="AB2060" s="45" t="s">
        <v>38</v>
      </c>
    </row>
    <row r="2061" spans="1:28" x14ac:dyDescent="0.2">
      <c r="A2061" s="270" t="s">
        <v>533</v>
      </c>
      <c r="B2061" s="270" t="s">
        <v>533</v>
      </c>
      <c r="C2061" s="277">
        <v>44855</v>
      </c>
      <c r="D2061" s="277">
        <v>44885</v>
      </c>
      <c r="E2061" s="270" t="s">
        <v>267</v>
      </c>
      <c r="F2061" s="96" t="s">
        <v>34</v>
      </c>
      <c r="G2061" s="270" t="s">
        <v>35</v>
      </c>
      <c r="H2061" s="272" t="s">
        <v>39</v>
      </c>
      <c r="I2061" s="273">
        <v>5</v>
      </c>
      <c r="J2061" s="270">
        <v>6</v>
      </c>
      <c r="K2061" s="270">
        <f t="shared" si="0"/>
        <v>30</v>
      </c>
      <c r="L2061" s="270">
        <v>289</v>
      </c>
      <c r="M2061" s="270">
        <v>-10</v>
      </c>
      <c r="N2061" s="274">
        <v>5</v>
      </c>
      <c r="O2061" s="55"/>
      <c r="P2061" s="45">
        <v>5</v>
      </c>
      <c r="Q2061" s="270">
        <v>0</v>
      </c>
      <c r="R2061" s="275">
        <v>-1.5E-3</v>
      </c>
      <c r="S2061" s="270">
        <v>0</v>
      </c>
      <c r="T2061" s="270">
        <v>5</v>
      </c>
      <c r="U2061" s="57">
        <v>1</v>
      </c>
      <c r="V2061" s="276">
        <v>0.3</v>
      </c>
      <c r="W2061" s="276">
        <v>0</v>
      </c>
      <c r="X2061" s="270">
        <v>3</v>
      </c>
      <c r="Y2061" s="270">
        <v>1</v>
      </c>
      <c r="Z2061" s="45" t="b">
        <v>0</v>
      </c>
      <c r="AA2061" s="45" t="s">
        <v>38</v>
      </c>
      <c r="AB2061" s="45" t="s">
        <v>38</v>
      </c>
    </row>
    <row r="2062" spans="1:28" x14ac:dyDescent="0.2">
      <c r="A2062" s="270" t="s">
        <v>533</v>
      </c>
      <c r="B2062" s="270" t="s">
        <v>533</v>
      </c>
      <c r="C2062" s="277">
        <v>44855</v>
      </c>
      <c r="D2062" s="277">
        <v>44885</v>
      </c>
      <c r="E2062" s="270" t="s">
        <v>267</v>
      </c>
      <c r="F2062" s="96" t="s">
        <v>34</v>
      </c>
      <c r="G2062" s="270" t="s">
        <v>35</v>
      </c>
      <c r="H2062" s="272" t="s">
        <v>40</v>
      </c>
      <c r="I2062" s="273">
        <v>10</v>
      </c>
      <c r="J2062" s="270">
        <v>1</v>
      </c>
      <c r="K2062" s="270">
        <f t="shared" si="0"/>
        <v>10</v>
      </c>
      <c r="L2062" s="270">
        <v>15</v>
      </c>
      <c r="M2062" s="270">
        <v>-10</v>
      </c>
      <c r="N2062" s="274">
        <v>1</v>
      </c>
      <c r="O2062" s="55"/>
      <c r="P2062" s="45">
        <v>1</v>
      </c>
      <c r="Q2062" s="270">
        <v>0</v>
      </c>
      <c r="R2062" s="275">
        <v>-1.5E-3</v>
      </c>
      <c r="S2062" s="270">
        <v>0</v>
      </c>
      <c r="T2062" s="270">
        <v>1</v>
      </c>
      <c r="U2062" s="57">
        <v>1</v>
      </c>
      <c r="V2062" s="276">
        <v>0.3</v>
      </c>
      <c r="W2062" s="276">
        <v>0</v>
      </c>
      <c r="X2062" s="270">
        <v>0</v>
      </c>
      <c r="Y2062" s="270">
        <v>0</v>
      </c>
      <c r="Z2062" s="45" t="b">
        <v>0</v>
      </c>
      <c r="AA2062" s="45" t="s">
        <v>38</v>
      </c>
      <c r="AB2062" s="45" t="s">
        <v>38</v>
      </c>
    </row>
    <row r="2063" spans="1:28" x14ac:dyDescent="0.2">
      <c r="A2063" s="270" t="s">
        <v>533</v>
      </c>
      <c r="B2063" s="270" t="s">
        <v>533</v>
      </c>
      <c r="C2063" s="277">
        <v>44855</v>
      </c>
      <c r="D2063" s="277">
        <v>44885</v>
      </c>
      <c r="E2063" s="270" t="s">
        <v>267</v>
      </c>
      <c r="F2063" s="96" t="s">
        <v>34</v>
      </c>
      <c r="G2063" s="270" t="s">
        <v>35</v>
      </c>
      <c r="H2063" s="272" t="s">
        <v>115</v>
      </c>
      <c r="I2063" s="273">
        <v>10</v>
      </c>
      <c r="J2063" s="270">
        <v>1271</v>
      </c>
      <c r="K2063" s="270">
        <f t="shared" si="0"/>
        <v>12710</v>
      </c>
      <c r="L2063" s="270">
        <v>21631</v>
      </c>
      <c r="M2063" s="270">
        <v>200</v>
      </c>
      <c r="N2063" s="274">
        <v>1755</v>
      </c>
      <c r="O2063" s="55"/>
      <c r="P2063" s="105">
        <v>1755</v>
      </c>
      <c r="Q2063" s="270">
        <v>-279</v>
      </c>
      <c r="R2063" s="275">
        <v>-1.5E-3</v>
      </c>
      <c r="S2063" s="270">
        <v>-298</v>
      </c>
      <c r="T2063" s="270">
        <v>1457</v>
      </c>
      <c r="U2063" s="57">
        <v>1</v>
      </c>
      <c r="V2063" s="276">
        <v>0.3</v>
      </c>
      <c r="W2063" s="276">
        <v>0</v>
      </c>
      <c r="X2063" s="270">
        <v>1020</v>
      </c>
      <c r="Y2063" s="270">
        <v>437</v>
      </c>
      <c r="Z2063" s="45" t="b">
        <v>0</v>
      </c>
      <c r="AA2063" s="45" t="s">
        <v>38</v>
      </c>
      <c r="AB2063" s="45" t="s">
        <v>38</v>
      </c>
    </row>
    <row r="2064" spans="1:28" x14ac:dyDescent="0.2">
      <c r="A2064" s="270" t="s">
        <v>533</v>
      </c>
      <c r="B2064" s="270" t="s">
        <v>533</v>
      </c>
      <c r="C2064" s="277">
        <v>44855</v>
      </c>
      <c r="D2064" s="277">
        <v>44885</v>
      </c>
      <c r="E2064" s="270" t="s">
        <v>267</v>
      </c>
      <c r="F2064" s="96" t="s">
        <v>34</v>
      </c>
      <c r="G2064" s="270" t="s">
        <v>35</v>
      </c>
      <c r="H2064" s="272" t="s">
        <v>46</v>
      </c>
      <c r="I2064" s="273">
        <v>25</v>
      </c>
      <c r="J2064" s="270">
        <v>237</v>
      </c>
      <c r="K2064" s="270">
        <f t="shared" si="0"/>
        <v>5925</v>
      </c>
      <c r="L2064" s="270">
        <v>-484</v>
      </c>
      <c r="M2064" s="270">
        <v>-1200</v>
      </c>
      <c r="N2064" s="274">
        <v>701</v>
      </c>
      <c r="O2064" s="55"/>
      <c r="P2064" s="45">
        <v>701</v>
      </c>
      <c r="Q2064" s="270">
        <v>-402</v>
      </c>
      <c r="R2064" s="275">
        <v>-1.5E-3</v>
      </c>
      <c r="S2064" s="270">
        <v>-411</v>
      </c>
      <c r="T2064" s="270">
        <v>290</v>
      </c>
      <c r="U2064" s="57">
        <v>1</v>
      </c>
      <c r="V2064" s="276">
        <v>0.3</v>
      </c>
      <c r="W2064" s="276">
        <v>0</v>
      </c>
      <c r="X2064" s="270">
        <v>203</v>
      </c>
      <c r="Y2064" s="270">
        <v>87</v>
      </c>
      <c r="Z2064" s="45" t="b">
        <v>0</v>
      </c>
      <c r="AA2064" s="45" t="s">
        <v>38</v>
      </c>
      <c r="AB2064" s="45" t="s">
        <v>38</v>
      </c>
    </row>
    <row r="2065" spans="1:28" x14ac:dyDescent="0.2">
      <c r="A2065" s="270" t="s">
        <v>533</v>
      </c>
      <c r="B2065" s="270" t="s">
        <v>533</v>
      </c>
      <c r="C2065" s="277">
        <v>44855</v>
      </c>
      <c r="D2065" s="277">
        <v>44885</v>
      </c>
      <c r="E2065" s="270" t="s">
        <v>267</v>
      </c>
      <c r="F2065" s="96" t="s">
        <v>34</v>
      </c>
      <c r="G2065" s="270" t="s">
        <v>35</v>
      </c>
      <c r="H2065" s="272" t="s">
        <v>87</v>
      </c>
      <c r="I2065" s="273">
        <v>25</v>
      </c>
      <c r="J2065" s="270">
        <v>16</v>
      </c>
      <c r="K2065" s="270">
        <f t="shared" si="0"/>
        <v>400</v>
      </c>
      <c r="L2065" s="270">
        <v>781</v>
      </c>
      <c r="M2065" s="270">
        <v>0</v>
      </c>
      <c r="N2065" s="274">
        <v>47</v>
      </c>
      <c r="O2065" s="55"/>
      <c r="P2065" s="45">
        <v>47</v>
      </c>
      <c r="Q2065" s="270">
        <v>35</v>
      </c>
      <c r="R2065" s="275">
        <v>-1.5E-3</v>
      </c>
      <c r="S2065" s="270">
        <v>34</v>
      </c>
      <c r="T2065" s="270">
        <v>81</v>
      </c>
      <c r="U2065" s="57">
        <v>1</v>
      </c>
      <c r="V2065" s="276">
        <v>0.3</v>
      </c>
      <c r="W2065" s="276">
        <v>0</v>
      </c>
      <c r="X2065" s="270">
        <v>57</v>
      </c>
      <c r="Y2065" s="270">
        <v>24</v>
      </c>
      <c r="Z2065" s="45" t="b">
        <v>0</v>
      </c>
      <c r="AA2065" s="45" t="s">
        <v>38</v>
      </c>
      <c r="AB2065" s="45" t="s">
        <v>38</v>
      </c>
    </row>
    <row r="2066" spans="1:28" x14ac:dyDescent="0.2">
      <c r="A2066" s="270" t="s">
        <v>533</v>
      </c>
      <c r="B2066" s="270" t="s">
        <v>533</v>
      </c>
      <c r="C2066" s="277">
        <v>44855</v>
      </c>
      <c r="D2066" s="277">
        <v>44885</v>
      </c>
      <c r="E2066" s="270" t="s">
        <v>267</v>
      </c>
      <c r="F2066" s="96" t="s">
        <v>34</v>
      </c>
      <c r="G2066" s="270" t="s">
        <v>35</v>
      </c>
      <c r="H2066" s="272" t="s">
        <v>72</v>
      </c>
      <c r="I2066" s="273">
        <v>50</v>
      </c>
      <c r="J2066" s="270">
        <v>359</v>
      </c>
      <c r="K2066" s="270">
        <f t="shared" si="0"/>
        <v>17950</v>
      </c>
      <c r="L2066" s="270">
        <v>3532</v>
      </c>
      <c r="M2066" s="270">
        <v>-750</v>
      </c>
      <c r="N2066" s="274">
        <v>2124</v>
      </c>
      <c r="O2066" s="55"/>
      <c r="P2066" s="105">
        <v>2124</v>
      </c>
      <c r="Q2066" s="270">
        <v>-821</v>
      </c>
      <c r="R2066" s="275">
        <v>-1.5E-3</v>
      </c>
      <c r="S2066" s="270">
        <v>-848</v>
      </c>
      <c r="T2066" s="270">
        <v>1276</v>
      </c>
      <c r="U2066" s="57">
        <v>1</v>
      </c>
      <c r="V2066" s="276">
        <v>0.3</v>
      </c>
      <c r="W2066" s="276">
        <v>0</v>
      </c>
      <c r="X2066" s="270">
        <v>893</v>
      </c>
      <c r="Y2066" s="270">
        <v>383</v>
      </c>
      <c r="Z2066" s="45" t="b">
        <v>0</v>
      </c>
      <c r="AA2066" s="45" t="s">
        <v>38</v>
      </c>
      <c r="AB2066" s="45" t="s">
        <v>38</v>
      </c>
    </row>
    <row r="2067" spans="1:28" x14ac:dyDescent="0.2">
      <c r="A2067" s="96" t="s">
        <v>191</v>
      </c>
      <c r="B2067" s="96" t="s">
        <v>193</v>
      </c>
      <c r="C2067" s="277">
        <v>44855</v>
      </c>
      <c r="D2067" s="277">
        <v>44885</v>
      </c>
      <c r="E2067" s="270" t="s">
        <v>267</v>
      </c>
      <c r="F2067" s="133" t="s">
        <v>34</v>
      </c>
      <c r="G2067" s="96" t="s">
        <v>80</v>
      </c>
      <c r="H2067" s="272" t="s">
        <v>40</v>
      </c>
      <c r="I2067" s="273">
        <v>10</v>
      </c>
      <c r="J2067" s="270">
        <v>8</v>
      </c>
      <c r="K2067" s="270">
        <f t="shared" si="0"/>
        <v>80</v>
      </c>
      <c r="L2067" s="270">
        <v>554</v>
      </c>
      <c r="M2067" s="270">
        <v>20</v>
      </c>
      <c r="N2067" s="274">
        <v>2</v>
      </c>
      <c r="O2067" s="55"/>
      <c r="P2067" s="45">
        <v>2</v>
      </c>
      <c r="Q2067" s="270">
        <v>10</v>
      </c>
      <c r="R2067" s="275">
        <v>-1.5200000000000001E-3</v>
      </c>
      <c r="S2067" s="270">
        <v>10</v>
      </c>
      <c r="T2067" s="270">
        <v>12</v>
      </c>
      <c r="U2067" s="57">
        <v>1</v>
      </c>
      <c r="V2067" s="276">
        <v>0.22</v>
      </c>
      <c r="W2067" s="276">
        <v>0</v>
      </c>
      <c r="X2067" s="270">
        <v>9</v>
      </c>
      <c r="Y2067" s="270">
        <v>3</v>
      </c>
      <c r="Z2067" s="45" t="b">
        <v>1</v>
      </c>
      <c r="AA2067" s="45" t="s">
        <v>38</v>
      </c>
      <c r="AB2067" s="45" t="s">
        <v>38</v>
      </c>
    </row>
    <row r="2068" spans="1:28" x14ac:dyDescent="0.2">
      <c r="A2068" s="96" t="s">
        <v>191</v>
      </c>
      <c r="B2068" s="96" t="s">
        <v>193</v>
      </c>
      <c r="C2068" s="277">
        <v>44855</v>
      </c>
      <c r="D2068" s="277">
        <v>44885</v>
      </c>
      <c r="E2068" s="270" t="s">
        <v>267</v>
      </c>
      <c r="F2068" s="133" t="s">
        <v>34</v>
      </c>
      <c r="G2068" s="96" t="s">
        <v>80</v>
      </c>
      <c r="H2068" s="272" t="s">
        <v>71</v>
      </c>
      <c r="I2068" s="273">
        <v>20</v>
      </c>
      <c r="J2068" s="270">
        <v>7421</v>
      </c>
      <c r="K2068" s="270">
        <f t="shared" si="0"/>
        <v>148420</v>
      </c>
      <c r="L2068" s="270">
        <v>87606</v>
      </c>
      <c r="M2068" s="270">
        <v>-5300</v>
      </c>
      <c r="N2068" s="274">
        <f>6475+1100</f>
        <v>7575</v>
      </c>
      <c r="O2068" s="55"/>
      <c r="P2068" s="105">
        <v>7575</v>
      </c>
      <c r="Q2068" s="270">
        <v>-5844</v>
      </c>
      <c r="R2068" s="275">
        <v>-1.5200000000000001E-3</v>
      </c>
      <c r="S2068" s="270">
        <v>-6069</v>
      </c>
      <c r="T2068" s="270">
        <v>1506</v>
      </c>
      <c r="U2068" s="57">
        <v>1</v>
      </c>
      <c r="V2068" s="276">
        <v>0.22</v>
      </c>
      <c r="W2068" s="276">
        <v>0</v>
      </c>
      <c r="X2068" s="270">
        <v>1174</v>
      </c>
      <c r="Y2068" s="270">
        <v>331</v>
      </c>
      <c r="Z2068" s="45" t="b">
        <v>1</v>
      </c>
      <c r="AA2068" s="45" t="s">
        <v>38</v>
      </c>
      <c r="AB2068" s="45" t="s">
        <v>38</v>
      </c>
    </row>
    <row r="2069" spans="1:28" x14ac:dyDescent="0.2">
      <c r="A2069" s="96" t="s">
        <v>195</v>
      </c>
      <c r="B2069" s="96" t="s">
        <v>195</v>
      </c>
      <c r="C2069" s="277">
        <v>44855</v>
      </c>
      <c r="D2069" s="277">
        <v>44885</v>
      </c>
      <c r="E2069" s="270" t="s">
        <v>267</v>
      </c>
      <c r="F2069" s="96" t="s">
        <v>34</v>
      </c>
      <c r="G2069" s="270" t="s">
        <v>35</v>
      </c>
      <c r="H2069" s="289" t="s">
        <v>39</v>
      </c>
      <c r="I2069" s="280">
        <v>5</v>
      </c>
      <c r="J2069" s="279">
        <v>38</v>
      </c>
      <c r="K2069" s="270">
        <f t="shared" si="0"/>
        <v>190</v>
      </c>
      <c r="L2069" s="279">
        <v>1888</v>
      </c>
      <c r="M2069" s="279">
        <v>-10</v>
      </c>
      <c r="N2069" s="274">
        <v>10</v>
      </c>
      <c r="O2069" s="55"/>
      <c r="P2069" s="45">
        <v>10</v>
      </c>
      <c r="Q2069" s="279">
        <v>0</v>
      </c>
      <c r="R2069" s="275">
        <v>-1.5200000000000001E-3</v>
      </c>
      <c r="S2069" s="279">
        <v>0</v>
      </c>
      <c r="T2069" s="279">
        <v>10</v>
      </c>
      <c r="U2069" s="57">
        <v>1.028</v>
      </c>
      <c r="V2069" s="276">
        <v>0.3</v>
      </c>
      <c r="W2069" s="276">
        <v>0</v>
      </c>
      <c r="X2069" s="279">
        <v>7</v>
      </c>
      <c r="Y2069" s="279">
        <v>3</v>
      </c>
      <c r="Z2069" s="45" t="b">
        <v>1</v>
      </c>
      <c r="AA2069" s="45" t="s">
        <v>50</v>
      </c>
      <c r="AB2069" s="45" t="s">
        <v>38</v>
      </c>
    </row>
    <row r="2070" spans="1:28" x14ac:dyDescent="0.2">
      <c r="A2070" s="96" t="s">
        <v>195</v>
      </c>
      <c r="B2070" s="96" t="s">
        <v>195</v>
      </c>
      <c r="C2070" s="277">
        <v>44855</v>
      </c>
      <c r="D2070" s="277">
        <v>44885</v>
      </c>
      <c r="E2070" s="270" t="s">
        <v>267</v>
      </c>
      <c r="F2070" s="96" t="s">
        <v>34</v>
      </c>
      <c r="G2070" s="270" t="s">
        <v>35</v>
      </c>
      <c r="H2070" s="289" t="s">
        <v>46</v>
      </c>
      <c r="I2070" s="280">
        <v>25</v>
      </c>
      <c r="J2070" s="279">
        <v>1928</v>
      </c>
      <c r="K2070" s="270">
        <f t="shared" si="0"/>
        <v>48200</v>
      </c>
      <c r="L2070" s="279">
        <v>43157</v>
      </c>
      <c r="M2070" s="279">
        <v>-1175</v>
      </c>
      <c r="N2070" s="274">
        <v>1895</v>
      </c>
      <c r="O2070" s="55"/>
      <c r="P2070" s="105">
        <v>1895</v>
      </c>
      <c r="Q2070" s="279">
        <v>-1075</v>
      </c>
      <c r="R2070" s="275">
        <v>-1.5200000000000001E-3</v>
      </c>
      <c r="S2070" s="279">
        <v>-1148</v>
      </c>
      <c r="T2070" s="279">
        <v>747</v>
      </c>
      <c r="U2070" s="57">
        <v>1.028</v>
      </c>
      <c r="V2070" s="276">
        <v>0.3</v>
      </c>
      <c r="W2070" s="276">
        <v>0</v>
      </c>
      <c r="X2070" s="279">
        <v>537</v>
      </c>
      <c r="Y2070" s="279">
        <v>230</v>
      </c>
      <c r="Z2070" s="45" t="b">
        <v>1</v>
      </c>
      <c r="AA2070" s="45" t="s">
        <v>50</v>
      </c>
      <c r="AB2070" s="45" t="s">
        <v>38</v>
      </c>
    </row>
    <row r="2071" spans="1:28" x14ac:dyDescent="0.2">
      <c r="A2071" s="96" t="s">
        <v>124</v>
      </c>
      <c r="B2071" s="96" t="s">
        <v>124</v>
      </c>
      <c r="C2071" s="277">
        <v>44855</v>
      </c>
      <c r="D2071" s="277">
        <v>44885</v>
      </c>
      <c r="E2071" s="270" t="s">
        <v>267</v>
      </c>
      <c r="F2071" s="96" t="s">
        <v>34</v>
      </c>
      <c r="G2071" s="270" t="s">
        <v>35</v>
      </c>
      <c r="H2071" s="272" t="s">
        <v>90</v>
      </c>
      <c r="I2071" s="273">
        <v>5</v>
      </c>
      <c r="J2071" s="270">
        <v>1</v>
      </c>
      <c r="K2071" s="270">
        <f t="shared" si="0"/>
        <v>5</v>
      </c>
      <c r="L2071" s="270">
        <v>1</v>
      </c>
      <c r="M2071" s="270">
        <v>10</v>
      </c>
      <c r="N2071" s="274">
        <v>1</v>
      </c>
      <c r="O2071" s="55"/>
      <c r="P2071" s="45">
        <v>1</v>
      </c>
      <c r="Q2071" s="270">
        <v>0</v>
      </c>
      <c r="R2071" s="275">
        <v>-1.5200000000000001E-3</v>
      </c>
      <c r="S2071" s="270">
        <v>0</v>
      </c>
      <c r="T2071" s="270">
        <v>1</v>
      </c>
      <c r="U2071" s="57">
        <v>1</v>
      </c>
      <c r="V2071" s="276">
        <v>0.23</v>
      </c>
      <c r="W2071" s="276">
        <v>0</v>
      </c>
      <c r="X2071" s="270">
        <v>0</v>
      </c>
      <c r="Y2071" s="270">
        <v>0</v>
      </c>
      <c r="Z2071" s="45" t="b">
        <v>1</v>
      </c>
      <c r="AA2071" s="45" t="s">
        <v>38</v>
      </c>
      <c r="AB2071" s="45" t="s">
        <v>38</v>
      </c>
    </row>
    <row r="2072" spans="1:28" x14ac:dyDescent="0.2">
      <c r="A2072" s="96" t="s">
        <v>124</v>
      </c>
      <c r="B2072" s="96" t="s">
        <v>124</v>
      </c>
      <c r="C2072" s="277">
        <v>44855</v>
      </c>
      <c r="D2072" s="277">
        <v>44885</v>
      </c>
      <c r="E2072" s="270" t="s">
        <v>267</v>
      </c>
      <c r="F2072" s="96" t="s">
        <v>34</v>
      </c>
      <c r="G2072" s="270" t="s">
        <v>35</v>
      </c>
      <c r="H2072" s="272" t="s">
        <v>115</v>
      </c>
      <c r="I2072" s="273">
        <v>10</v>
      </c>
      <c r="J2072" s="270">
        <v>8717</v>
      </c>
      <c r="K2072" s="270">
        <f t="shared" si="0"/>
        <v>87170</v>
      </c>
      <c r="L2072" s="270">
        <v>99370</v>
      </c>
      <c r="M2072" s="270">
        <v>-2120</v>
      </c>
      <c r="N2072" s="274">
        <v>7507</v>
      </c>
      <c r="O2072" s="55"/>
      <c r="P2072" s="105">
        <v>7507</v>
      </c>
      <c r="Q2072" s="270">
        <v>-3356</v>
      </c>
      <c r="R2072" s="275">
        <v>-1.5200000000000001E-3</v>
      </c>
      <c r="S2072" s="270">
        <v>-3489</v>
      </c>
      <c r="T2072" s="270">
        <v>4018</v>
      </c>
      <c r="U2072" s="57">
        <v>1</v>
      </c>
      <c r="V2072" s="276">
        <v>0.23</v>
      </c>
      <c r="W2072" s="276">
        <v>0</v>
      </c>
      <c r="X2072" s="270">
        <v>3094</v>
      </c>
      <c r="Y2072" s="270">
        <v>924</v>
      </c>
      <c r="Z2072" s="45" t="b">
        <v>1</v>
      </c>
      <c r="AA2072" s="45" t="s">
        <v>38</v>
      </c>
      <c r="AB2072" s="45" t="s">
        <v>38</v>
      </c>
    </row>
    <row r="2073" spans="1:28" x14ac:dyDescent="0.2">
      <c r="A2073" s="96" t="s">
        <v>124</v>
      </c>
      <c r="B2073" s="96" t="s">
        <v>124</v>
      </c>
      <c r="C2073" s="277">
        <v>44855</v>
      </c>
      <c r="D2073" s="277">
        <v>44885</v>
      </c>
      <c r="E2073" s="270" t="s">
        <v>267</v>
      </c>
      <c r="F2073" s="96" t="s">
        <v>34</v>
      </c>
      <c r="G2073" s="270" t="s">
        <v>35</v>
      </c>
      <c r="H2073" s="272" t="s">
        <v>87</v>
      </c>
      <c r="I2073" s="273">
        <v>25</v>
      </c>
      <c r="J2073" s="270">
        <v>2668</v>
      </c>
      <c r="K2073" s="270">
        <f t="shared" si="0"/>
        <v>66700</v>
      </c>
      <c r="L2073" s="270">
        <v>4500</v>
      </c>
      <c r="M2073" s="270">
        <v>-3825</v>
      </c>
      <c r="N2073" s="274">
        <v>4923</v>
      </c>
      <c r="O2073" s="55"/>
      <c r="P2073" s="105">
        <v>4923</v>
      </c>
      <c r="Q2073" s="270">
        <v>-3884</v>
      </c>
      <c r="R2073" s="275">
        <v>-1.5200000000000001E-3</v>
      </c>
      <c r="S2073" s="270">
        <v>-3986</v>
      </c>
      <c r="T2073" s="270">
        <v>937</v>
      </c>
      <c r="U2073" s="57">
        <v>1</v>
      </c>
      <c r="V2073" s="276">
        <v>0.23</v>
      </c>
      <c r="W2073" s="276">
        <v>0</v>
      </c>
      <c r="X2073" s="270">
        <v>722</v>
      </c>
      <c r="Y2073" s="270">
        <v>216</v>
      </c>
      <c r="Z2073" s="45" t="b">
        <v>1</v>
      </c>
      <c r="AA2073" s="45" t="s">
        <v>38</v>
      </c>
      <c r="AB2073" s="45" t="s">
        <v>38</v>
      </c>
    </row>
    <row r="2074" spans="1:28" x14ac:dyDescent="0.2">
      <c r="A2074" s="96" t="s">
        <v>124</v>
      </c>
      <c r="B2074" s="96" t="s">
        <v>124</v>
      </c>
      <c r="C2074" s="277">
        <v>44855</v>
      </c>
      <c r="D2074" s="277">
        <v>44885</v>
      </c>
      <c r="E2074" s="270" t="s">
        <v>267</v>
      </c>
      <c r="F2074" s="96" t="s">
        <v>34</v>
      </c>
      <c r="G2074" s="270" t="s">
        <v>35</v>
      </c>
      <c r="H2074" s="272" t="s">
        <v>85</v>
      </c>
      <c r="I2074" s="273">
        <v>50</v>
      </c>
      <c r="J2074" s="270">
        <v>138</v>
      </c>
      <c r="K2074" s="270">
        <f t="shared" si="0"/>
        <v>6900</v>
      </c>
      <c r="L2074" s="270">
        <v>-595</v>
      </c>
      <c r="M2074" s="270">
        <v>-1050</v>
      </c>
      <c r="N2074" s="274">
        <v>509</v>
      </c>
      <c r="O2074" s="55"/>
      <c r="P2074" s="45">
        <v>509</v>
      </c>
      <c r="Q2074" s="270">
        <v>-530</v>
      </c>
      <c r="R2074" s="275">
        <v>-1.5200000000000001E-3</v>
      </c>
      <c r="S2074" s="270">
        <v>-540</v>
      </c>
      <c r="T2074" s="270">
        <v>-31</v>
      </c>
      <c r="U2074" s="57">
        <v>1</v>
      </c>
      <c r="V2074" s="276">
        <v>0.23</v>
      </c>
      <c r="W2074" s="276">
        <v>0</v>
      </c>
      <c r="X2074" s="270">
        <v>-24</v>
      </c>
      <c r="Y2074" s="270">
        <v>-7</v>
      </c>
      <c r="Z2074" s="45" t="b">
        <v>1</v>
      </c>
      <c r="AA2074" s="45" t="s">
        <v>38</v>
      </c>
      <c r="AB2074" s="45" t="s">
        <v>38</v>
      </c>
    </row>
    <row r="2075" spans="1:28" x14ac:dyDescent="0.2">
      <c r="A2075" s="270" t="s">
        <v>114</v>
      </c>
      <c r="B2075" s="270" t="s">
        <v>114</v>
      </c>
      <c r="C2075" s="277">
        <v>44855</v>
      </c>
      <c r="D2075" s="277">
        <v>44885</v>
      </c>
      <c r="E2075" s="270" t="s">
        <v>267</v>
      </c>
      <c r="F2075" s="96" t="s">
        <v>34</v>
      </c>
      <c r="G2075" s="270" t="s">
        <v>35</v>
      </c>
      <c r="H2075" s="272" t="s">
        <v>90</v>
      </c>
      <c r="I2075" s="273">
        <v>5</v>
      </c>
      <c r="J2075" s="270">
        <v>1</v>
      </c>
      <c r="K2075" s="270">
        <f t="shared" si="0"/>
        <v>5</v>
      </c>
      <c r="L2075" s="270">
        <v>-242</v>
      </c>
      <c r="M2075" s="270">
        <v>10</v>
      </c>
      <c r="N2075" s="274">
        <v>1</v>
      </c>
      <c r="O2075" s="55"/>
      <c r="P2075" s="45">
        <v>1</v>
      </c>
      <c r="Q2075" s="270">
        <v>-4</v>
      </c>
      <c r="R2075" s="275">
        <v>-1.5200000000000001E-3</v>
      </c>
      <c r="S2075" s="270">
        <v>-4</v>
      </c>
      <c r="T2075" s="270">
        <v>-3</v>
      </c>
      <c r="U2075" s="57">
        <v>1</v>
      </c>
      <c r="V2075" s="276">
        <v>0.3</v>
      </c>
      <c r="W2075" s="276">
        <v>0</v>
      </c>
      <c r="X2075" s="270">
        <v>-2</v>
      </c>
      <c r="Y2075" s="270">
        <v>-1</v>
      </c>
      <c r="Z2075" s="45" t="b">
        <v>1</v>
      </c>
      <c r="AA2075" s="45" t="s">
        <v>38</v>
      </c>
      <c r="AB2075" s="45" t="s">
        <v>38</v>
      </c>
    </row>
    <row r="2076" spans="1:28" x14ac:dyDescent="0.2">
      <c r="A2076" s="270" t="s">
        <v>114</v>
      </c>
      <c r="B2076" s="270" t="s">
        <v>114</v>
      </c>
      <c r="C2076" s="277">
        <v>44855</v>
      </c>
      <c r="D2076" s="277">
        <v>44885</v>
      </c>
      <c r="E2076" s="270" t="s">
        <v>267</v>
      </c>
      <c r="F2076" s="96" t="s">
        <v>34</v>
      </c>
      <c r="G2076" s="270" t="s">
        <v>35</v>
      </c>
      <c r="H2076" s="272" t="s">
        <v>40</v>
      </c>
      <c r="I2076" s="273">
        <v>10</v>
      </c>
      <c r="J2076" s="270">
        <v>717</v>
      </c>
      <c r="K2076" s="270">
        <f t="shared" si="0"/>
        <v>7170</v>
      </c>
      <c r="L2076" s="270">
        <v>22210</v>
      </c>
      <c r="M2076" s="270">
        <v>410</v>
      </c>
      <c r="N2076" s="274">
        <v>320</v>
      </c>
      <c r="O2076" s="55"/>
      <c r="P2076" s="45">
        <v>320</v>
      </c>
      <c r="Q2076" s="270">
        <v>-123</v>
      </c>
      <c r="R2076" s="275">
        <v>-1.5200000000000001E-3</v>
      </c>
      <c r="S2076" s="270">
        <v>-134</v>
      </c>
      <c r="T2076" s="270">
        <v>186</v>
      </c>
      <c r="U2076" s="57">
        <v>1</v>
      </c>
      <c r="V2076" s="276">
        <v>0.3</v>
      </c>
      <c r="W2076" s="276">
        <v>0</v>
      </c>
      <c r="X2076" s="270">
        <v>130</v>
      </c>
      <c r="Y2076" s="270">
        <v>56</v>
      </c>
      <c r="Z2076" s="45" t="b">
        <v>1</v>
      </c>
      <c r="AA2076" s="45" t="s">
        <v>38</v>
      </c>
      <c r="AB2076" s="45" t="s">
        <v>38</v>
      </c>
    </row>
    <row r="2077" spans="1:28" x14ac:dyDescent="0.2">
      <c r="A2077" s="270" t="s">
        <v>114</v>
      </c>
      <c r="B2077" s="270" t="s">
        <v>114</v>
      </c>
      <c r="C2077" s="277">
        <v>44855</v>
      </c>
      <c r="D2077" s="277">
        <v>44885</v>
      </c>
      <c r="E2077" s="270" t="s">
        <v>267</v>
      </c>
      <c r="F2077" s="96" t="s">
        <v>34</v>
      </c>
      <c r="G2077" s="270" t="s">
        <v>35</v>
      </c>
      <c r="H2077" s="272" t="s">
        <v>115</v>
      </c>
      <c r="I2077" s="273">
        <v>10</v>
      </c>
      <c r="J2077" s="270">
        <v>3412</v>
      </c>
      <c r="K2077" s="270">
        <f t="shared" si="0"/>
        <v>34120</v>
      </c>
      <c r="L2077" s="270">
        <v>37466</v>
      </c>
      <c r="M2077" s="270">
        <v>-2130</v>
      </c>
      <c r="N2077" s="274">
        <v>1523</v>
      </c>
      <c r="O2077" s="55"/>
      <c r="P2077" s="105">
        <v>1523</v>
      </c>
      <c r="Q2077" s="270">
        <v>-1379</v>
      </c>
      <c r="R2077" s="275">
        <v>-1.5200000000000001E-3</v>
      </c>
      <c r="S2077" s="270">
        <v>-1431</v>
      </c>
      <c r="T2077" s="270">
        <v>92</v>
      </c>
      <c r="U2077" s="57">
        <v>1</v>
      </c>
      <c r="V2077" s="276">
        <v>0.3</v>
      </c>
      <c r="W2077" s="276">
        <v>0</v>
      </c>
      <c r="X2077" s="270">
        <v>64</v>
      </c>
      <c r="Y2077" s="270">
        <v>27</v>
      </c>
      <c r="Z2077" s="45" t="b">
        <v>1</v>
      </c>
      <c r="AA2077" s="45" t="s">
        <v>38</v>
      </c>
      <c r="AB2077" s="45" t="s">
        <v>38</v>
      </c>
    </row>
    <row r="2078" spans="1:28" x14ac:dyDescent="0.2">
      <c r="A2078" s="270" t="s">
        <v>114</v>
      </c>
      <c r="B2078" s="270" t="s">
        <v>114</v>
      </c>
      <c r="C2078" s="277">
        <v>44855</v>
      </c>
      <c r="D2078" s="277">
        <v>44885</v>
      </c>
      <c r="E2078" s="270" t="s">
        <v>267</v>
      </c>
      <c r="F2078" s="96" t="s">
        <v>41</v>
      </c>
      <c r="G2078" s="270" t="s">
        <v>35</v>
      </c>
      <c r="H2078" s="272" t="s">
        <v>47</v>
      </c>
      <c r="I2078" s="273">
        <v>1</v>
      </c>
      <c r="J2078" s="270">
        <v>24</v>
      </c>
      <c r="K2078" s="270">
        <f t="shared" si="0"/>
        <v>24</v>
      </c>
      <c r="L2078" s="270"/>
      <c r="M2078" s="270">
        <v>-3</v>
      </c>
      <c r="N2078" s="274">
        <v>1</v>
      </c>
      <c r="O2078" s="55"/>
      <c r="P2078" s="45">
        <v>1</v>
      </c>
      <c r="Q2078" s="270"/>
      <c r="R2078" s="275">
        <v>0</v>
      </c>
      <c r="S2078" s="270"/>
      <c r="T2078" s="270">
        <v>-2</v>
      </c>
      <c r="U2078" s="57">
        <v>1</v>
      </c>
      <c r="V2078" s="276">
        <v>0.3</v>
      </c>
      <c r="W2078" s="276">
        <v>0</v>
      </c>
      <c r="X2078" s="270">
        <v>-1</v>
      </c>
      <c r="Y2078" s="270">
        <v>-1</v>
      </c>
      <c r="Z2078" s="45" t="b">
        <v>1</v>
      </c>
      <c r="AA2078" s="45" t="s">
        <v>38</v>
      </c>
      <c r="AB2078" s="45" t="s">
        <v>38</v>
      </c>
    </row>
    <row r="2079" spans="1:28" x14ac:dyDescent="0.2">
      <c r="A2079" s="96" t="s">
        <v>206</v>
      </c>
      <c r="B2079" s="96" t="s">
        <v>206</v>
      </c>
      <c r="C2079" s="277">
        <v>44855</v>
      </c>
      <c r="D2079" s="277">
        <v>44885</v>
      </c>
      <c r="E2079" s="270" t="s">
        <v>267</v>
      </c>
      <c r="F2079" s="133" t="s">
        <v>34</v>
      </c>
      <c r="G2079" s="96" t="s">
        <v>35</v>
      </c>
      <c r="H2079" s="272" t="s">
        <v>72</v>
      </c>
      <c r="I2079" s="273">
        <v>50</v>
      </c>
      <c r="J2079" s="270">
        <v>91</v>
      </c>
      <c r="K2079" s="270">
        <f t="shared" si="0"/>
        <v>4550</v>
      </c>
      <c r="L2079" s="270">
        <v>7306</v>
      </c>
      <c r="M2079" s="270">
        <v>800</v>
      </c>
      <c r="N2079" s="274">
        <v>67</v>
      </c>
      <c r="O2079" s="55"/>
      <c r="P2079" s="45">
        <v>67</v>
      </c>
      <c r="Q2079" s="270">
        <v>386</v>
      </c>
      <c r="R2079" s="275">
        <v>-1.5200000000000001E-3</v>
      </c>
      <c r="S2079" s="270">
        <v>379</v>
      </c>
      <c r="T2079" s="270">
        <v>446</v>
      </c>
      <c r="U2079" s="57">
        <v>1</v>
      </c>
      <c r="V2079" s="276">
        <v>0.1</v>
      </c>
      <c r="W2079" s="276">
        <v>0</v>
      </c>
      <c r="X2079" s="270">
        <v>402</v>
      </c>
      <c r="Y2079" s="270">
        <v>45</v>
      </c>
      <c r="Z2079" s="45" t="b">
        <v>1</v>
      </c>
      <c r="AA2079" s="45" t="s">
        <v>38</v>
      </c>
      <c r="AB2079" s="45" t="s">
        <v>38</v>
      </c>
    </row>
    <row r="2080" spans="1:28" x14ac:dyDescent="0.2">
      <c r="A2080" s="96" t="s">
        <v>206</v>
      </c>
      <c r="B2080" s="96" t="s">
        <v>206</v>
      </c>
      <c r="C2080" s="277">
        <v>44855</v>
      </c>
      <c r="D2080" s="277">
        <v>44885</v>
      </c>
      <c r="E2080" s="270" t="s">
        <v>267</v>
      </c>
      <c r="F2080" s="133" t="s">
        <v>34</v>
      </c>
      <c r="G2080" s="96" t="s">
        <v>35</v>
      </c>
      <c r="H2080" s="272" t="s">
        <v>85</v>
      </c>
      <c r="I2080" s="273">
        <v>50</v>
      </c>
      <c r="J2080" s="270">
        <v>17</v>
      </c>
      <c r="K2080" s="270">
        <f t="shared" si="0"/>
        <v>850</v>
      </c>
      <c r="L2080" s="270">
        <v>358</v>
      </c>
      <c r="M2080" s="270">
        <v>300</v>
      </c>
      <c r="N2080" s="274">
        <v>13</v>
      </c>
      <c r="O2080" s="55"/>
      <c r="P2080" s="45">
        <v>13</v>
      </c>
      <c r="Q2080" s="270">
        <v>1</v>
      </c>
      <c r="R2080" s="275">
        <v>-1.5200000000000001E-3</v>
      </c>
      <c r="S2080" s="270">
        <v>0</v>
      </c>
      <c r="T2080" s="270">
        <v>13</v>
      </c>
      <c r="U2080" s="57">
        <v>1</v>
      </c>
      <c r="V2080" s="276">
        <v>0.1</v>
      </c>
      <c r="W2080" s="276">
        <v>0</v>
      </c>
      <c r="X2080" s="270">
        <v>11</v>
      </c>
      <c r="Y2080" s="270">
        <v>1</v>
      </c>
      <c r="Z2080" s="45" t="b">
        <v>1</v>
      </c>
      <c r="AA2080" s="45" t="s">
        <v>38</v>
      </c>
      <c r="AB2080" s="45" t="s">
        <v>38</v>
      </c>
    </row>
    <row r="2081" spans="1:28" x14ac:dyDescent="0.2">
      <c r="A2081" s="96" t="s">
        <v>206</v>
      </c>
      <c r="B2081" s="96" t="s">
        <v>206</v>
      </c>
      <c r="C2081" s="277">
        <v>44855</v>
      </c>
      <c r="D2081" s="277">
        <v>44885</v>
      </c>
      <c r="E2081" s="270" t="s">
        <v>267</v>
      </c>
      <c r="F2081" s="133" t="s">
        <v>34</v>
      </c>
      <c r="G2081" s="96" t="s">
        <v>35</v>
      </c>
      <c r="H2081" s="272" t="s">
        <v>70</v>
      </c>
      <c r="I2081" s="273">
        <v>100</v>
      </c>
      <c r="J2081" s="270">
        <v>947</v>
      </c>
      <c r="K2081" s="270">
        <f t="shared" si="0"/>
        <v>94700</v>
      </c>
      <c r="L2081" s="270">
        <v>3651</v>
      </c>
      <c r="M2081" s="270">
        <v>-11100</v>
      </c>
      <c r="N2081" s="274">
        <v>1165</v>
      </c>
      <c r="O2081" s="55"/>
      <c r="P2081" s="105">
        <v>1165</v>
      </c>
      <c r="Q2081" s="270">
        <v>-4429</v>
      </c>
      <c r="R2081" s="275">
        <v>-1.5200000000000001E-3</v>
      </c>
      <c r="S2081" s="270">
        <v>-4573</v>
      </c>
      <c r="T2081" s="270">
        <v>-3408</v>
      </c>
      <c r="U2081" s="57">
        <v>1</v>
      </c>
      <c r="V2081" s="276">
        <v>0.1</v>
      </c>
      <c r="W2081" s="276">
        <v>0</v>
      </c>
      <c r="X2081" s="270">
        <v>-3068</v>
      </c>
      <c r="Y2081" s="270">
        <v>-341</v>
      </c>
      <c r="Z2081" s="45" t="b">
        <v>1</v>
      </c>
      <c r="AA2081" s="45" t="s">
        <v>38</v>
      </c>
      <c r="AB2081" s="45" t="s">
        <v>38</v>
      </c>
    </row>
    <row r="2082" spans="1:28" x14ac:dyDescent="0.2">
      <c r="A2082" s="96" t="s">
        <v>206</v>
      </c>
      <c r="B2082" s="96" t="s">
        <v>206</v>
      </c>
      <c r="C2082" s="277">
        <v>44855</v>
      </c>
      <c r="D2082" s="277">
        <v>44885</v>
      </c>
      <c r="E2082" s="270" t="s">
        <v>267</v>
      </c>
      <c r="F2082" s="133" t="s">
        <v>34</v>
      </c>
      <c r="G2082" s="96" t="s">
        <v>35</v>
      </c>
      <c r="H2082" s="272" t="s">
        <v>84</v>
      </c>
      <c r="I2082" s="273">
        <v>100</v>
      </c>
      <c r="J2082" s="270">
        <v>20</v>
      </c>
      <c r="K2082" s="270">
        <f t="shared" si="0"/>
        <v>2000</v>
      </c>
      <c r="L2082" s="270">
        <v>-437</v>
      </c>
      <c r="M2082" s="270">
        <v>400</v>
      </c>
      <c r="N2082" s="274">
        <v>25</v>
      </c>
      <c r="O2082" s="55"/>
      <c r="P2082" s="45">
        <v>25</v>
      </c>
      <c r="Q2082" s="270">
        <v>-245</v>
      </c>
      <c r="R2082" s="275">
        <v>-1.5200000000000001E-3</v>
      </c>
      <c r="S2082" s="270">
        <v>-248</v>
      </c>
      <c r="T2082" s="270">
        <v>-223</v>
      </c>
      <c r="U2082" s="57">
        <v>1</v>
      </c>
      <c r="V2082" s="276">
        <v>0.1</v>
      </c>
      <c r="W2082" s="276">
        <v>0</v>
      </c>
      <c r="X2082" s="270">
        <v>-200</v>
      </c>
      <c r="Y2082" s="270">
        <v>-22</v>
      </c>
      <c r="Z2082" s="45" t="b">
        <v>1</v>
      </c>
      <c r="AA2082" s="45" t="s">
        <v>38</v>
      </c>
      <c r="AB2082" s="45" t="s">
        <v>38</v>
      </c>
    </row>
    <row r="2083" spans="1:28" x14ac:dyDescent="0.2">
      <c r="A2083" s="96" t="s">
        <v>206</v>
      </c>
      <c r="B2083" s="96" t="s">
        <v>206</v>
      </c>
      <c r="C2083" s="277">
        <v>44855</v>
      </c>
      <c r="D2083" s="277">
        <v>44885</v>
      </c>
      <c r="E2083" s="270" t="s">
        <v>267</v>
      </c>
      <c r="F2083" s="133" t="s">
        <v>34</v>
      </c>
      <c r="G2083" s="96" t="s">
        <v>35</v>
      </c>
      <c r="H2083" s="272" t="s">
        <v>88</v>
      </c>
      <c r="I2083" s="273">
        <v>250</v>
      </c>
      <c r="J2083" s="270">
        <v>462</v>
      </c>
      <c r="K2083" s="270">
        <f t="shared" si="0"/>
        <v>115500</v>
      </c>
      <c r="L2083" s="270">
        <v>-1756</v>
      </c>
      <c r="M2083" s="270">
        <v>-14250</v>
      </c>
      <c r="N2083" s="274">
        <v>1420</v>
      </c>
      <c r="O2083" s="55"/>
      <c r="P2083" s="105">
        <v>1420</v>
      </c>
      <c r="Q2083" s="270">
        <v>-6785</v>
      </c>
      <c r="R2083" s="275">
        <v>-1.5200000000000001E-3</v>
      </c>
      <c r="S2083" s="270">
        <v>-6960</v>
      </c>
      <c r="T2083" s="270">
        <v>-5540</v>
      </c>
      <c r="U2083" s="57">
        <v>1</v>
      </c>
      <c r="V2083" s="276">
        <v>0.1</v>
      </c>
      <c r="W2083" s="276">
        <v>0</v>
      </c>
      <c r="X2083" s="270">
        <v>-4986</v>
      </c>
      <c r="Y2083" s="270">
        <v>-554</v>
      </c>
      <c r="Z2083" s="45" t="b">
        <v>1</v>
      </c>
      <c r="AA2083" s="45" t="s">
        <v>38</v>
      </c>
      <c r="AB2083" s="45" t="s">
        <v>38</v>
      </c>
    </row>
    <row r="2084" spans="1:28" x14ac:dyDescent="0.2">
      <c r="A2084" s="96" t="s">
        <v>206</v>
      </c>
      <c r="B2084" s="96" t="s">
        <v>206</v>
      </c>
      <c r="C2084" s="277">
        <v>44855</v>
      </c>
      <c r="D2084" s="277">
        <v>44885</v>
      </c>
      <c r="E2084" s="270" t="s">
        <v>267</v>
      </c>
      <c r="F2084" s="133" t="s">
        <v>34</v>
      </c>
      <c r="G2084" s="96" t="s">
        <v>35</v>
      </c>
      <c r="H2084" s="272" t="s">
        <v>148</v>
      </c>
      <c r="I2084" s="273">
        <v>250</v>
      </c>
      <c r="J2084" s="270">
        <v>166</v>
      </c>
      <c r="K2084" s="270">
        <f t="shared" si="0"/>
        <v>41500</v>
      </c>
      <c r="L2084" s="270">
        <v>105</v>
      </c>
      <c r="M2084" s="270">
        <v>-1500</v>
      </c>
      <c r="N2084" s="274">
        <v>510</v>
      </c>
      <c r="O2084" s="55"/>
      <c r="P2084" s="45">
        <v>510</v>
      </c>
      <c r="Q2084" s="270">
        <v>-2059</v>
      </c>
      <c r="R2084" s="275">
        <v>-1.5200000000000001E-3</v>
      </c>
      <c r="S2084" s="270">
        <v>-2122</v>
      </c>
      <c r="T2084" s="270">
        <v>-1612</v>
      </c>
      <c r="U2084" s="57">
        <v>1</v>
      </c>
      <c r="V2084" s="276">
        <v>0.1</v>
      </c>
      <c r="W2084" s="276">
        <v>0</v>
      </c>
      <c r="X2084" s="270">
        <v>-1451</v>
      </c>
      <c r="Y2084" s="270">
        <v>-161</v>
      </c>
      <c r="Z2084" s="45" t="b">
        <v>1</v>
      </c>
      <c r="AA2084" s="45" t="s">
        <v>38</v>
      </c>
      <c r="AB2084" s="45" t="s">
        <v>38</v>
      </c>
    </row>
    <row r="2085" spans="1:28" x14ac:dyDescent="0.2">
      <c r="A2085" s="279" t="s">
        <v>58</v>
      </c>
      <c r="B2085" s="279" t="s">
        <v>58</v>
      </c>
      <c r="C2085" s="282">
        <v>44866</v>
      </c>
      <c r="D2085" s="282">
        <v>44895</v>
      </c>
      <c r="E2085" s="279" t="s">
        <v>267</v>
      </c>
      <c r="F2085" s="133" t="s">
        <v>41</v>
      </c>
      <c r="G2085" s="279" t="s">
        <v>53</v>
      </c>
      <c r="H2085" s="289" t="s">
        <v>56</v>
      </c>
      <c r="I2085" s="280">
        <v>20</v>
      </c>
      <c r="J2085" s="279">
        <v>337</v>
      </c>
      <c r="K2085" s="270">
        <f t="shared" si="0"/>
        <v>6740</v>
      </c>
      <c r="L2085" s="279"/>
      <c r="M2085" s="279">
        <v>-533.74</v>
      </c>
      <c r="N2085" s="281"/>
      <c r="O2085" s="55">
        <v>0.5</v>
      </c>
      <c r="P2085" s="45">
        <v>236</v>
      </c>
      <c r="Q2085" s="279"/>
      <c r="R2085" s="275">
        <v>0</v>
      </c>
      <c r="S2085" s="279"/>
      <c r="T2085" s="279">
        <v>-298</v>
      </c>
      <c r="U2085" s="57">
        <v>1.052</v>
      </c>
      <c r="V2085" s="290"/>
      <c r="W2085" s="276">
        <v>0</v>
      </c>
      <c r="X2085" s="279">
        <v>-313</v>
      </c>
      <c r="Y2085" s="279">
        <v>0</v>
      </c>
      <c r="Z2085" s="45" t="b">
        <v>0</v>
      </c>
      <c r="AA2085" s="45" t="s">
        <v>38</v>
      </c>
      <c r="AB2085" s="45" t="s">
        <v>50</v>
      </c>
    </row>
    <row r="2086" spans="1:28" x14ac:dyDescent="0.2">
      <c r="A2086" s="279" t="s">
        <v>58</v>
      </c>
      <c r="B2086" s="279" t="s">
        <v>58</v>
      </c>
      <c r="C2086" s="282">
        <v>44866</v>
      </c>
      <c r="D2086" s="282">
        <v>44895</v>
      </c>
      <c r="E2086" s="279" t="s">
        <v>267</v>
      </c>
      <c r="F2086" s="133" t="s">
        <v>41</v>
      </c>
      <c r="G2086" s="279" t="s">
        <v>53</v>
      </c>
      <c r="H2086" s="289" t="s">
        <v>54</v>
      </c>
      <c r="I2086" s="280">
        <v>5</v>
      </c>
      <c r="J2086" s="279">
        <v>158</v>
      </c>
      <c r="K2086" s="270">
        <f t="shared" si="0"/>
        <v>790</v>
      </c>
      <c r="L2086" s="279"/>
      <c r="M2086" s="279">
        <v>-62.56</v>
      </c>
      <c r="N2086" s="281"/>
      <c r="O2086" s="55">
        <v>0.5</v>
      </c>
      <c r="P2086" s="45">
        <v>28</v>
      </c>
      <c r="Q2086" s="279"/>
      <c r="R2086" s="275">
        <v>0</v>
      </c>
      <c r="S2086" s="279"/>
      <c r="T2086" s="279">
        <v>-35</v>
      </c>
      <c r="U2086" s="57">
        <v>1.052</v>
      </c>
      <c r="V2086" s="290"/>
      <c r="W2086" s="276">
        <v>0</v>
      </c>
      <c r="X2086" s="279">
        <v>-37</v>
      </c>
      <c r="Y2086" s="279">
        <v>0</v>
      </c>
      <c r="Z2086" s="45" t="b">
        <v>0</v>
      </c>
      <c r="AA2086" s="45" t="s">
        <v>38</v>
      </c>
      <c r="AB2086" s="45" t="s">
        <v>50</v>
      </c>
    </row>
    <row r="2087" spans="1:28" x14ac:dyDescent="0.2">
      <c r="A2087" s="279" t="s">
        <v>58</v>
      </c>
      <c r="B2087" s="279" t="s">
        <v>58</v>
      </c>
      <c r="C2087" s="282">
        <v>44866</v>
      </c>
      <c r="D2087" s="282">
        <v>44895</v>
      </c>
      <c r="E2087" s="279" t="s">
        <v>267</v>
      </c>
      <c r="F2087" s="133" t="s">
        <v>41</v>
      </c>
      <c r="G2087" s="279" t="s">
        <v>53</v>
      </c>
      <c r="H2087" s="289" t="s">
        <v>55</v>
      </c>
      <c r="I2087" s="280">
        <v>10</v>
      </c>
      <c r="J2087" s="279">
        <v>98</v>
      </c>
      <c r="K2087" s="270">
        <f t="shared" si="0"/>
        <v>980</v>
      </c>
      <c r="L2087" s="279"/>
      <c r="M2087" s="279">
        <v>-77.61</v>
      </c>
      <c r="N2087" s="281"/>
      <c r="O2087" s="55">
        <v>0.5</v>
      </c>
      <c r="P2087" s="45">
        <v>34</v>
      </c>
      <c r="Q2087" s="279"/>
      <c r="R2087" s="275">
        <v>0</v>
      </c>
      <c r="S2087" s="279"/>
      <c r="T2087" s="279">
        <v>-43</v>
      </c>
      <c r="U2087" s="57">
        <v>1.052</v>
      </c>
      <c r="V2087" s="290"/>
      <c r="W2087" s="276">
        <v>0</v>
      </c>
      <c r="X2087" s="279">
        <v>-46</v>
      </c>
      <c r="Y2087" s="279">
        <v>0</v>
      </c>
      <c r="Z2087" s="45" t="b">
        <v>0</v>
      </c>
      <c r="AA2087" s="45" t="s">
        <v>38</v>
      </c>
      <c r="AB2087" s="45" t="s">
        <v>50</v>
      </c>
    </row>
    <row r="2088" spans="1:28" x14ac:dyDescent="0.2">
      <c r="A2088" s="279" t="s">
        <v>58</v>
      </c>
      <c r="B2088" s="279" t="s">
        <v>58</v>
      </c>
      <c r="C2088" s="282">
        <v>44866</v>
      </c>
      <c r="D2088" s="282">
        <v>44895</v>
      </c>
      <c r="E2088" s="279" t="s">
        <v>267</v>
      </c>
      <c r="F2088" s="133" t="s">
        <v>41</v>
      </c>
      <c r="G2088" s="279" t="s">
        <v>53</v>
      </c>
      <c r="H2088" s="289" t="s">
        <v>59</v>
      </c>
      <c r="I2088" s="280">
        <v>100</v>
      </c>
      <c r="J2088" s="279">
        <v>20</v>
      </c>
      <c r="K2088" s="270">
        <f t="shared" si="0"/>
        <v>2000</v>
      </c>
      <c r="L2088" s="279"/>
      <c r="M2088" s="279">
        <v>-158.38</v>
      </c>
      <c r="N2088" s="281"/>
      <c r="O2088" s="55">
        <v>0.5</v>
      </c>
      <c r="P2088" s="45">
        <v>70</v>
      </c>
      <c r="Q2088" s="279"/>
      <c r="R2088" s="275">
        <v>0</v>
      </c>
      <c r="S2088" s="279"/>
      <c r="T2088" s="279">
        <v>-88</v>
      </c>
      <c r="U2088" s="57">
        <v>1.052</v>
      </c>
      <c r="V2088" s="290"/>
      <c r="W2088" s="276">
        <v>0</v>
      </c>
      <c r="X2088" s="279">
        <v>-93</v>
      </c>
      <c r="Y2088" s="279">
        <v>0</v>
      </c>
      <c r="Z2088" s="45" t="b">
        <v>0</v>
      </c>
      <c r="AA2088" s="45" t="s">
        <v>38</v>
      </c>
      <c r="AB2088" s="45" t="s">
        <v>50</v>
      </c>
    </row>
    <row r="2089" spans="1:28" x14ac:dyDescent="0.2">
      <c r="A2089" s="279" t="s">
        <v>58</v>
      </c>
      <c r="B2089" s="279" t="s">
        <v>58</v>
      </c>
      <c r="C2089" s="282">
        <v>44866</v>
      </c>
      <c r="D2089" s="282">
        <v>44895</v>
      </c>
      <c r="E2089" s="279" t="s">
        <v>267</v>
      </c>
      <c r="F2089" s="133" t="s">
        <v>41</v>
      </c>
      <c r="G2089" s="279" t="s">
        <v>53</v>
      </c>
      <c r="H2089" s="289" t="s">
        <v>57</v>
      </c>
      <c r="I2089" s="280">
        <v>50</v>
      </c>
      <c r="J2089" s="279">
        <v>7</v>
      </c>
      <c r="K2089" s="270">
        <f t="shared" si="0"/>
        <v>350</v>
      </c>
      <c r="L2089" s="279"/>
      <c r="M2089" s="279">
        <v>-27.72</v>
      </c>
      <c r="N2089" s="281"/>
      <c r="O2089" s="55">
        <v>0.5</v>
      </c>
      <c r="P2089" s="45">
        <v>12</v>
      </c>
      <c r="Q2089" s="279"/>
      <c r="R2089" s="275">
        <v>0</v>
      </c>
      <c r="S2089" s="279"/>
      <c r="T2089" s="279">
        <v>-15</v>
      </c>
      <c r="U2089" s="57">
        <v>1.052</v>
      </c>
      <c r="V2089" s="290"/>
      <c r="W2089" s="276">
        <v>0</v>
      </c>
      <c r="X2089" s="279">
        <v>-16</v>
      </c>
      <c r="Y2089" s="279">
        <v>0</v>
      </c>
      <c r="Z2089" s="45" t="b">
        <v>0</v>
      </c>
      <c r="AA2089" s="45" t="s">
        <v>38</v>
      </c>
      <c r="AB2089" s="45" t="s">
        <v>50</v>
      </c>
    </row>
    <row r="2090" spans="1:28" x14ac:dyDescent="0.2">
      <c r="A2090" s="96" t="s">
        <v>145</v>
      </c>
      <c r="B2090" s="96" t="s">
        <v>145</v>
      </c>
      <c r="C2090" s="277">
        <v>44866</v>
      </c>
      <c r="D2090" s="277">
        <v>44895</v>
      </c>
      <c r="E2090" s="270" t="s">
        <v>300</v>
      </c>
      <c r="F2090" s="133" t="s">
        <v>41</v>
      </c>
      <c r="G2090" s="270" t="s">
        <v>69</v>
      </c>
      <c r="H2090" s="272" t="s">
        <v>70</v>
      </c>
      <c r="I2090" s="273">
        <v>100</v>
      </c>
      <c r="J2090" s="270">
        <v>1</v>
      </c>
      <c r="K2090" s="270">
        <f t="shared" si="0"/>
        <v>100</v>
      </c>
      <c r="L2090" s="270">
        <v>0</v>
      </c>
      <c r="M2090" s="270">
        <v>0</v>
      </c>
      <c r="N2090" s="274">
        <v>6586</v>
      </c>
      <c r="O2090" s="55"/>
      <c r="P2090" s="105">
        <v>6586</v>
      </c>
      <c r="Q2090" s="270">
        <v>-5</v>
      </c>
      <c r="R2090" s="275">
        <v>0</v>
      </c>
      <c r="S2090" s="270">
        <v>-5</v>
      </c>
      <c r="T2090" s="270">
        <v>6586</v>
      </c>
      <c r="U2090" s="57">
        <v>1</v>
      </c>
      <c r="V2090" s="276">
        <v>0.16700000000000001</v>
      </c>
      <c r="W2090" s="276">
        <v>0</v>
      </c>
      <c r="X2090" s="270">
        <v>5486</v>
      </c>
      <c r="Y2090" s="270">
        <v>1100</v>
      </c>
      <c r="Z2090" s="45" t="b">
        <v>0</v>
      </c>
      <c r="AA2090" s="45" t="s">
        <v>38</v>
      </c>
      <c r="AB2090" s="45" t="s">
        <v>38</v>
      </c>
    </row>
    <row r="2091" spans="1:28" x14ac:dyDescent="0.2">
      <c r="A2091" s="96" t="s">
        <v>145</v>
      </c>
      <c r="B2091" s="96" t="s">
        <v>145</v>
      </c>
      <c r="C2091" s="277">
        <v>44866</v>
      </c>
      <c r="D2091" s="277">
        <v>44895</v>
      </c>
      <c r="E2091" s="270" t="s">
        <v>300</v>
      </c>
      <c r="F2091" s="133" t="s">
        <v>49</v>
      </c>
      <c r="G2091" s="279" t="s">
        <v>35</v>
      </c>
      <c r="H2091" s="272" t="s">
        <v>70</v>
      </c>
      <c r="I2091" s="273">
        <v>100</v>
      </c>
      <c r="J2091" s="270">
        <v>3</v>
      </c>
      <c r="K2091" s="270">
        <f t="shared" si="0"/>
        <v>300</v>
      </c>
      <c r="L2091" s="270">
        <v>69</v>
      </c>
      <c r="M2091" s="270">
        <v>-300</v>
      </c>
      <c r="N2091" s="274">
        <v>7</v>
      </c>
      <c r="O2091" s="55"/>
      <c r="P2091" s="45">
        <v>7</v>
      </c>
      <c r="Q2091" s="270">
        <v>-3</v>
      </c>
      <c r="R2091" s="275">
        <v>-2.4420000000000002E-3</v>
      </c>
      <c r="S2091" s="270">
        <v>-4</v>
      </c>
      <c r="T2091" s="270">
        <v>3</v>
      </c>
      <c r="U2091" s="57">
        <v>1</v>
      </c>
      <c r="V2091" s="276">
        <v>0.17499999999999999</v>
      </c>
      <c r="W2091" s="276">
        <v>7.4999999999999997E-2</v>
      </c>
      <c r="X2091" s="270">
        <v>2</v>
      </c>
      <c r="Y2091" s="270">
        <v>1</v>
      </c>
      <c r="Z2091" s="45" t="b">
        <v>0</v>
      </c>
      <c r="AA2091" s="45" t="s">
        <v>38</v>
      </c>
      <c r="AB2091" s="45" t="s">
        <v>38</v>
      </c>
    </row>
    <row r="2092" spans="1:28" x14ac:dyDescent="0.2">
      <c r="A2092" s="96" t="s">
        <v>145</v>
      </c>
      <c r="B2092" s="96" t="s">
        <v>145</v>
      </c>
      <c r="C2092" s="277">
        <v>44866</v>
      </c>
      <c r="D2092" s="277">
        <v>44895</v>
      </c>
      <c r="E2092" s="270" t="s">
        <v>300</v>
      </c>
      <c r="F2092" s="133" t="s">
        <v>49</v>
      </c>
      <c r="G2092" s="279" t="s">
        <v>35</v>
      </c>
      <c r="H2092" s="272" t="s">
        <v>149</v>
      </c>
      <c r="I2092" s="273">
        <v>500</v>
      </c>
      <c r="J2092" s="270">
        <v>56</v>
      </c>
      <c r="K2092" s="270">
        <f t="shared" si="0"/>
        <v>28000</v>
      </c>
      <c r="L2092" s="270">
        <v>953</v>
      </c>
      <c r="M2092" s="270">
        <v>1000</v>
      </c>
      <c r="N2092" s="274">
        <v>638</v>
      </c>
      <c r="O2092" s="55"/>
      <c r="P2092" s="45">
        <v>638</v>
      </c>
      <c r="Q2092" s="270">
        <v>71</v>
      </c>
      <c r="R2092" s="275">
        <v>-3.1849999999999999E-3</v>
      </c>
      <c r="S2092" s="270">
        <v>-18</v>
      </c>
      <c r="T2092" s="270">
        <v>620</v>
      </c>
      <c r="U2092" s="57">
        <v>1</v>
      </c>
      <c r="V2092" s="276">
        <v>0.17499999999999999</v>
      </c>
      <c r="W2092" s="276">
        <v>7.4999999999999997E-2</v>
      </c>
      <c r="X2092" s="270">
        <v>465</v>
      </c>
      <c r="Y2092" s="270">
        <v>155</v>
      </c>
      <c r="Z2092" s="45" t="b">
        <v>0</v>
      </c>
      <c r="AA2092" s="45" t="s">
        <v>38</v>
      </c>
      <c r="AB2092" s="45" t="s">
        <v>38</v>
      </c>
    </row>
    <row r="2093" spans="1:28" x14ac:dyDescent="0.2">
      <c r="A2093" s="96" t="s">
        <v>145</v>
      </c>
      <c r="B2093" s="96" t="s">
        <v>145</v>
      </c>
      <c r="C2093" s="277">
        <v>44866</v>
      </c>
      <c r="D2093" s="277">
        <v>44895</v>
      </c>
      <c r="E2093" s="270" t="s">
        <v>300</v>
      </c>
      <c r="F2093" s="133" t="s">
        <v>49</v>
      </c>
      <c r="G2093" s="279" t="s">
        <v>35</v>
      </c>
      <c r="H2093" s="272" t="s">
        <v>85</v>
      </c>
      <c r="I2093" s="273">
        <v>50</v>
      </c>
      <c r="J2093" s="270">
        <v>112</v>
      </c>
      <c r="K2093" s="270">
        <f t="shared" si="0"/>
        <v>5600</v>
      </c>
      <c r="L2093" s="270">
        <v>1363</v>
      </c>
      <c r="M2093" s="270">
        <v>1500</v>
      </c>
      <c r="N2093" s="274">
        <v>153</v>
      </c>
      <c r="O2093" s="55"/>
      <c r="P2093" s="45">
        <v>153</v>
      </c>
      <c r="Q2093" s="270">
        <v>-148</v>
      </c>
      <c r="R2093" s="275">
        <v>-3.075E-3</v>
      </c>
      <c r="S2093" s="270">
        <v>-165</v>
      </c>
      <c r="T2093" s="270">
        <v>-12</v>
      </c>
      <c r="U2093" s="57">
        <v>1</v>
      </c>
      <c r="V2093" s="276">
        <v>0.17499999999999999</v>
      </c>
      <c r="W2093" s="276">
        <v>7.4999999999999997E-2</v>
      </c>
      <c r="X2093" s="270">
        <v>-9</v>
      </c>
      <c r="Y2093" s="270">
        <v>-3</v>
      </c>
      <c r="Z2093" s="45" t="b">
        <v>0</v>
      </c>
      <c r="AA2093" s="45" t="s">
        <v>38</v>
      </c>
      <c r="AB2093" s="45" t="s">
        <v>38</v>
      </c>
    </row>
    <row r="2094" spans="1:28" x14ac:dyDescent="0.2">
      <c r="A2094" s="96" t="s">
        <v>145</v>
      </c>
      <c r="B2094" s="96" t="s">
        <v>145</v>
      </c>
      <c r="C2094" s="277">
        <v>44866</v>
      </c>
      <c r="D2094" s="277">
        <v>44895</v>
      </c>
      <c r="E2094" s="270" t="s">
        <v>300</v>
      </c>
      <c r="F2094" s="133" t="s">
        <v>49</v>
      </c>
      <c r="G2094" s="279" t="s">
        <v>35</v>
      </c>
      <c r="H2094" s="272" t="s">
        <v>142</v>
      </c>
      <c r="I2094" s="273">
        <v>500</v>
      </c>
      <c r="J2094" s="270">
        <v>131</v>
      </c>
      <c r="K2094" s="270">
        <f t="shared" si="0"/>
        <v>65500</v>
      </c>
      <c r="L2094" s="270">
        <v>-1755</v>
      </c>
      <c r="M2094" s="270">
        <v>6500</v>
      </c>
      <c r="N2094" s="274">
        <v>1492</v>
      </c>
      <c r="O2094" s="55"/>
      <c r="P2094" s="105">
        <v>1492</v>
      </c>
      <c r="Q2094" s="270">
        <v>-4978</v>
      </c>
      <c r="R2094" s="275">
        <v>-2.905E-3</v>
      </c>
      <c r="S2094" s="270">
        <v>-5168</v>
      </c>
      <c r="T2094" s="270">
        <v>-3676</v>
      </c>
      <c r="U2094" s="57">
        <v>1</v>
      </c>
      <c r="V2094" s="276">
        <v>0.17499999999999999</v>
      </c>
      <c r="W2094" s="276">
        <v>7.4999999999999997E-2</v>
      </c>
      <c r="X2094" s="270">
        <v>-2757</v>
      </c>
      <c r="Y2094" s="270">
        <v>-919</v>
      </c>
      <c r="Z2094" s="45" t="b">
        <v>0</v>
      </c>
      <c r="AA2094" s="45" t="s">
        <v>38</v>
      </c>
      <c r="AB2094" s="45" t="s">
        <v>38</v>
      </c>
    </row>
    <row r="2095" spans="1:28" x14ac:dyDescent="0.2">
      <c r="A2095" s="96" t="s">
        <v>145</v>
      </c>
      <c r="B2095" s="96" t="s">
        <v>145</v>
      </c>
      <c r="C2095" s="277">
        <v>44866</v>
      </c>
      <c r="D2095" s="277">
        <v>44895</v>
      </c>
      <c r="E2095" s="270" t="s">
        <v>300</v>
      </c>
      <c r="F2095" s="133" t="s">
        <v>49</v>
      </c>
      <c r="G2095" s="279" t="s">
        <v>35</v>
      </c>
      <c r="H2095" s="272" t="s">
        <v>88</v>
      </c>
      <c r="I2095" s="273">
        <v>250</v>
      </c>
      <c r="J2095" s="270">
        <v>709</v>
      </c>
      <c r="K2095" s="270">
        <f t="shared" si="0"/>
        <v>177250</v>
      </c>
      <c r="L2095" s="270">
        <v>23177</v>
      </c>
      <c r="M2095" s="270">
        <v>-1750</v>
      </c>
      <c r="N2095" s="274">
        <v>4037</v>
      </c>
      <c r="O2095" s="55"/>
      <c r="P2095" s="105">
        <v>4037</v>
      </c>
      <c r="Q2095" s="270">
        <v>1742</v>
      </c>
      <c r="R2095" s="275">
        <v>-3.176E-3</v>
      </c>
      <c r="S2095" s="270">
        <v>1179</v>
      </c>
      <c r="T2095" s="270">
        <v>5216</v>
      </c>
      <c r="U2095" s="57">
        <v>1</v>
      </c>
      <c r="V2095" s="276">
        <v>0.17499999999999999</v>
      </c>
      <c r="W2095" s="276">
        <v>7.4999999999999997E-2</v>
      </c>
      <c r="X2095" s="270">
        <v>3912</v>
      </c>
      <c r="Y2095" s="270">
        <v>1304</v>
      </c>
      <c r="Z2095" s="45" t="b">
        <v>0</v>
      </c>
      <c r="AA2095" s="45" t="s">
        <v>38</v>
      </c>
      <c r="AB2095" s="45" t="s">
        <v>38</v>
      </c>
    </row>
    <row r="2096" spans="1:28" x14ac:dyDescent="0.2">
      <c r="A2096" s="96" t="s">
        <v>145</v>
      </c>
      <c r="B2096" s="96" t="s">
        <v>145</v>
      </c>
      <c r="C2096" s="277">
        <v>44866</v>
      </c>
      <c r="D2096" s="277">
        <v>44895</v>
      </c>
      <c r="E2096" s="270" t="s">
        <v>300</v>
      </c>
      <c r="F2096" s="133" t="s">
        <v>49</v>
      </c>
      <c r="G2096" s="279" t="s">
        <v>35</v>
      </c>
      <c r="H2096" s="272" t="s">
        <v>84</v>
      </c>
      <c r="I2096" s="273">
        <v>100</v>
      </c>
      <c r="J2096" s="270">
        <v>1604</v>
      </c>
      <c r="K2096" s="270">
        <f t="shared" si="0"/>
        <v>160400</v>
      </c>
      <c r="L2096" s="270">
        <v>12310</v>
      </c>
      <c r="M2096" s="270">
        <v>-12800</v>
      </c>
      <c r="N2096" s="274">
        <v>3653</v>
      </c>
      <c r="O2096" s="55"/>
      <c r="P2096" s="105">
        <v>3653</v>
      </c>
      <c r="Q2096" s="270">
        <v>-4784</v>
      </c>
      <c r="R2096" s="275">
        <v>-3.0479999999999999E-3</v>
      </c>
      <c r="S2096" s="270">
        <v>-5273</v>
      </c>
      <c r="T2096" s="270">
        <v>-1620</v>
      </c>
      <c r="U2096" s="57">
        <v>1</v>
      </c>
      <c r="V2096" s="276">
        <v>0.17499999999999999</v>
      </c>
      <c r="W2096" s="276">
        <v>7.4999999999999997E-2</v>
      </c>
      <c r="X2096" s="270">
        <v>-1215</v>
      </c>
      <c r="Y2096" s="270">
        <v>-405</v>
      </c>
      <c r="Z2096" s="45" t="b">
        <v>0</v>
      </c>
      <c r="AA2096" s="45" t="s">
        <v>38</v>
      </c>
      <c r="AB2096" s="45" t="s">
        <v>38</v>
      </c>
    </row>
    <row r="2097" spans="1:28" x14ac:dyDescent="0.2">
      <c r="A2097" s="96" t="s">
        <v>145</v>
      </c>
      <c r="B2097" s="96" t="s">
        <v>145</v>
      </c>
      <c r="C2097" s="277">
        <v>44866</v>
      </c>
      <c r="D2097" s="277">
        <v>44895</v>
      </c>
      <c r="E2097" s="270" t="s">
        <v>300</v>
      </c>
      <c r="F2097" s="133" t="s">
        <v>49</v>
      </c>
      <c r="G2097" s="279" t="s">
        <v>35</v>
      </c>
      <c r="H2097" s="272" t="s">
        <v>148</v>
      </c>
      <c r="I2097" s="273">
        <v>250</v>
      </c>
      <c r="J2097" s="270">
        <v>1766</v>
      </c>
      <c r="K2097" s="270">
        <f t="shared" si="0"/>
        <v>441500</v>
      </c>
      <c r="L2097" s="270">
        <v>7436</v>
      </c>
      <c r="M2097" s="270">
        <v>-16500</v>
      </c>
      <c r="N2097" s="274">
        <v>10056</v>
      </c>
      <c r="O2097" s="55"/>
      <c r="P2097" s="105">
        <v>10056</v>
      </c>
      <c r="Q2097" s="270">
        <v>-16702</v>
      </c>
      <c r="R2097" s="275">
        <v>-3.0230000000000001E-3</v>
      </c>
      <c r="S2097" s="270">
        <v>-18037</v>
      </c>
      <c r="T2097" s="270">
        <v>-7981</v>
      </c>
      <c r="U2097" s="57">
        <v>1</v>
      </c>
      <c r="V2097" s="276">
        <v>0.17499999999999999</v>
      </c>
      <c r="W2097" s="276">
        <v>7.4999999999999997E-2</v>
      </c>
      <c r="X2097" s="270">
        <v>-5986</v>
      </c>
      <c r="Y2097" s="270">
        <v>-1995</v>
      </c>
      <c r="Z2097" s="45" t="b">
        <v>0</v>
      </c>
      <c r="AA2097" s="45" t="s">
        <v>38</v>
      </c>
      <c r="AB2097" s="45" t="s">
        <v>38</v>
      </c>
    </row>
    <row r="2098" spans="1:28" x14ac:dyDescent="0.2">
      <c r="A2098" s="96" t="s">
        <v>145</v>
      </c>
      <c r="B2098" s="96" t="s">
        <v>145</v>
      </c>
      <c r="C2098" s="277">
        <v>44866</v>
      </c>
      <c r="D2098" s="277">
        <v>44895</v>
      </c>
      <c r="E2098" s="270" t="s">
        <v>300</v>
      </c>
      <c r="F2098" s="133" t="s">
        <v>41</v>
      </c>
      <c r="G2098" s="279" t="s">
        <v>35</v>
      </c>
      <c r="H2098" s="272" t="s">
        <v>87</v>
      </c>
      <c r="I2098" s="273">
        <v>25</v>
      </c>
      <c r="J2098" s="270">
        <v>14</v>
      </c>
      <c r="K2098" s="270">
        <f t="shared" si="0"/>
        <v>350</v>
      </c>
      <c r="L2098" s="270"/>
      <c r="M2098" s="270">
        <v>75</v>
      </c>
      <c r="N2098" s="274">
        <v>10</v>
      </c>
      <c r="O2098" s="55"/>
      <c r="P2098" s="45">
        <v>10</v>
      </c>
      <c r="Q2098" s="270"/>
      <c r="R2098" s="275">
        <v>0</v>
      </c>
      <c r="S2098" s="270"/>
      <c r="T2098" s="270">
        <v>85</v>
      </c>
      <c r="U2098" s="57">
        <v>1</v>
      </c>
      <c r="V2098" s="276">
        <v>0.17499999999999999</v>
      </c>
      <c r="W2098" s="276">
        <v>7.4999999999999997E-2</v>
      </c>
      <c r="X2098" s="270">
        <v>64</v>
      </c>
      <c r="Y2098" s="270">
        <v>21</v>
      </c>
      <c r="Z2098" s="45" t="b">
        <v>0</v>
      </c>
      <c r="AA2098" s="45" t="s">
        <v>38</v>
      </c>
      <c r="AB2098" s="45" t="s">
        <v>38</v>
      </c>
    </row>
    <row r="2099" spans="1:28" x14ac:dyDescent="0.2">
      <c r="A2099" s="279" t="s">
        <v>155</v>
      </c>
      <c r="B2099" s="279" t="s">
        <v>155</v>
      </c>
      <c r="C2099" s="277">
        <v>44866</v>
      </c>
      <c r="D2099" s="277">
        <v>44895</v>
      </c>
      <c r="E2099" s="279" t="s">
        <v>267</v>
      </c>
      <c r="F2099" s="133" t="s">
        <v>49</v>
      </c>
      <c r="G2099" s="270" t="s">
        <v>35</v>
      </c>
      <c r="H2099" s="289" t="s">
        <v>39</v>
      </c>
      <c r="I2099" s="273">
        <v>5</v>
      </c>
      <c r="J2099" s="270">
        <v>68</v>
      </c>
      <c r="K2099" s="270">
        <f t="shared" si="0"/>
        <v>340</v>
      </c>
      <c r="L2099" s="270">
        <v>5195</v>
      </c>
      <c r="M2099" s="270">
        <v>100</v>
      </c>
      <c r="N2099" s="274">
        <v>15</v>
      </c>
      <c r="O2099" s="55"/>
      <c r="P2099" s="45">
        <v>15</v>
      </c>
      <c r="Q2099" s="270">
        <v>17</v>
      </c>
      <c r="R2099" s="275">
        <v>-2.9369999999999999E-3</v>
      </c>
      <c r="S2099" s="270">
        <v>16</v>
      </c>
      <c r="T2099" s="270">
        <v>31</v>
      </c>
      <c r="U2099" s="57">
        <v>1</v>
      </c>
      <c r="V2099" s="276">
        <v>0.23</v>
      </c>
      <c r="W2099" s="276">
        <v>0</v>
      </c>
      <c r="X2099" s="270">
        <v>24</v>
      </c>
      <c r="Y2099" s="270">
        <v>7</v>
      </c>
      <c r="Z2099" s="45" t="b">
        <v>1</v>
      </c>
      <c r="AA2099" s="45" t="s">
        <v>38</v>
      </c>
      <c r="AB2099" s="45" t="s">
        <v>38</v>
      </c>
    </row>
    <row r="2100" spans="1:28" x14ac:dyDescent="0.2">
      <c r="A2100" s="279" t="s">
        <v>155</v>
      </c>
      <c r="B2100" s="279" t="s">
        <v>155</v>
      </c>
      <c r="C2100" s="277">
        <v>44866</v>
      </c>
      <c r="D2100" s="277">
        <v>44895</v>
      </c>
      <c r="E2100" s="279" t="s">
        <v>267</v>
      </c>
      <c r="F2100" s="133" t="s">
        <v>49</v>
      </c>
      <c r="G2100" s="270" t="s">
        <v>35</v>
      </c>
      <c r="H2100" s="289" t="s">
        <v>40</v>
      </c>
      <c r="I2100" s="273">
        <v>10</v>
      </c>
      <c r="J2100" s="270">
        <v>72</v>
      </c>
      <c r="K2100" s="270">
        <f t="shared" si="0"/>
        <v>720</v>
      </c>
      <c r="L2100" s="270">
        <v>-1937</v>
      </c>
      <c r="M2100" s="270">
        <v>-90</v>
      </c>
      <c r="N2100" s="274">
        <v>28</v>
      </c>
      <c r="O2100" s="55"/>
      <c r="P2100" s="45">
        <v>28</v>
      </c>
      <c r="Q2100" s="270">
        <v>-89</v>
      </c>
      <c r="R2100" s="275">
        <v>-3.0409999999999999E-3</v>
      </c>
      <c r="S2100" s="270">
        <v>-91</v>
      </c>
      <c r="T2100" s="270">
        <v>-63</v>
      </c>
      <c r="U2100" s="57">
        <v>1</v>
      </c>
      <c r="V2100" s="276">
        <v>0.23</v>
      </c>
      <c r="W2100" s="276">
        <v>0</v>
      </c>
      <c r="X2100" s="270">
        <v>-49</v>
      </c>
      <c r="Y2100" s="270">
        <v>-14</v>
      </c>
      <c r="Z2100" s="45" t="b">
        <v>1</v>
      </c>
      <c r="AA2100" s="45" t="s">
        <v>38</v>
      </c>
      <c r="AB2100" s="45" t="s">
        <v>38</v>
      </c>
    </row>
    <row r="2101" spans="1:28" x14ac:dyDescent="0.2">
      <c r="A2101" s="279" t="s">
        <v>155</v>
      </c>
      <c r="B2101" s="279" t="s">
        <v>155</v>
      </c>
      <c r="C2101" s="277">
        <v>44866</v>
      </c>
      <c r="D2101" s="277">
        <v>44895</v>
      </c>
      <c r="E2101" s="279" t="s">
        <v>267</v>
      </c>
      <c r="F2101" s="133" t="s">
        <v>49</v>
      </c>
      <c r="G2101" s="270" t="s">
        <v>35</v>
      </c>
      <c r="H2101" s="272" t="s">
        <v>72</v>
      </c>
      <c r="I2101" s="273">
        <v>50</v>
      </c>
      <c r="J2101" s="270">
        <v>509</v>
      </c>
      <c r="K2101" s="270">
        <f t="shared" si="0"/>
        <v>25450</v>
      </c>
      <c r="L2101" s="270">
        <v>4248</v>
      </c>
      <c r="M2101" s="270">
        <v>-1450</v>
      </c>
      <c r="N2101" s="274">
        <v>852</v>
      </c>
      <c r="O2101" s="55"/>
      <c r="P2101" s="45">
        <v>852</v>
      </c>
      <c r="Q2101" s="270">
        <v>-1235</v>
      </c>
      <c r="R2101" s="275">
        <v>-2.9880000000000002E-3</v>
      </c>
      <c r="S2101" s="270">
        <v>-1311</v>
      </c>
      <c r="T2101" s="270">
        <v>-459</v>
      </c>
      <c r="U2101" s="57">
        <v>1</v>
      </c>
      <c r="V2101" s="276">
        <v>0.23</v>
      </c>
      <c r="W2101" s="276">
        <v>0</v>
      </c>
      <c r="X2101" s="270">
        <v>-353</v>
      </c>
      <c r="Y2101" s="270">
        <v>-106</v>
      </c>
      <c r="Z2101" s="45" t="b">
        <v>1</v>
      </c>
      <c r="AA2101" s="45" t="s">
        <v>38</v>
      </c>
      <c r="AB2101" s="45" t="s">
        <v>38</v>
      </c>
    </row>
    <row r="2102" spans="1:28" x14ac:dyDescent="0.2">
      <c r="A2102" s="279" t="s">
        <v>155</v>
      </c>
      <c r="B2102" s="279" t="s">
        <v>155</v>
      </c>
      <c r="C2102" s="277">
        <v>44866</v>
      </c>
      <c r="D2102" s="277">
        <v>44895</v>
      </c>
      <c r="E2102" s="279" t="s">
        <v>267</v>
      </c>
      <c r="F2102" s="133" t="s">
        <v>49</v>
      </c>
      <c r="G2102" s="270" t="s">
        <v>35</v>
      </c>
      <c r="H2102" s="272" t="s">
        <v>46</v>
      </c>
      <c r="I2102" s="273">
        <v>25</v>
      </c>
      <c r="J2102" s="270">
        <v>1612</v>
      </c>
      <c r="K2102" s="270">
        <f t="shared" si="0"/>
        <v>40300</v>
      </c>
      <c r="L2102" s="270">
        <v>63341</v>
      </c>
      <c r="M2102" s="270">
        <v>5200</v>
      </c>
      <c r="N2102" s="274">
        <v>1350</v>
      </c>
      <c r="O2102" s="55"/>
      <c r="P2102" s="105">
        <v>1350</v>
      </c>
      <c r="Q2102" s="270">
        <v>357</v>
      </c>
      <c r="R2102" s="275">
        <v>-3.179E-3</v>
      </c>
      <c r="S2102" s="270">
        <v>229</v>
      </c>
      <c r="T2102" s="270">
        <v>1579</v>
      </c>
      <c r="U2102" s="57">
        <v>1</v>
      </c>
      <c r="V2102" s="276">
        <v>0.23</v>
      </c>
      <c r="W2102" s="276">
        <v>0</v>
      </c>
      <c r="X2102" s="270">
        <v>1216</v>
      </c>
      <c r="Y2102" s="270">
        <v>363</v>
      </c>
      <c r="Z2102" s="45" t="b">
        <v>1</v>
      </c>
      <c r="AA2102" s="45" t="s">
        <v>38</v>
      </c>
      <c r="AB2102" s="45" t="s">
        <v>38</v>
      </c>
    </row>
    <row r="2103" spans="1:28" x14ac:dyDescent="0.2">
      <c r="A2103" s="279" t="s">
        <v>157</v>
      </c>
      <c r="B2103" s="279" t="s">
        <v>157</v>
      </c>
      <c r="C2103" s="282">
        <v>44866</v>
      </c>
      <c r="D2103" s="282">
        <v>44895</v>
      </c>
      <c r="E2103" s="279" t="s">
        <v>267</v>
      </c>
      <c r="F2103" s="133" t="s">
        <v>41</v>
      </c>
      <c r="G2103" s="279" t="s">
        <v>158</v>
      </c>
      <c r="H2103" s="289" t="s">
        <v>159</v>
      </c>
      <c r="I2103" s="280">
        <v>1000</v>
      </c>
      <c r="J2103" s="279">
        <v>597</v>
      </c>
      <c r="K2103" s="270">
        <f t="shared" si="0"/>
        <v>597000</v>
      </c>
      <c r="L2103" s="279"/>
      <c r="M2103" s="279">
        <v>95335.33</v>
      </c>
      <c r="N2103" s="281">
        <v>350450.13</v>
      </c>
      <c r="O2103" s="55"/>
      <c r="P2103" s="105">
        <v>350450</v>
      </c>
      <c r="Q2103" s="279"/>
      <c r="R2103" s="275">
        <v>0</v>
      </c>
      <c r="S2103" s="279"/>
      <c r="T2103" s="279">
        <v>445785</v>
      </c>
      <c r="U2103" s="57">
        <v>1.6E-2</v>
      </c>
      <c r="V2103" s="276">
        <v>0.17</v>
      </c>
      <c r="W2103" s="276">
        <v>0</v>
      </c>
      <c r="X2103" s="279">
        <v>5920</v>
      </c>
      <c r="Y2103" s="279">
        <v>1213</v>
      </c>
      <c r="Z2103" s="45" t="b">
        <v>1</v>
      </c>
      <c r="AA2103" s="45" t="s">
        <v>38</v>
      </c>
      <c r="AB2103" s="45" t="s">
        <v>1003</v>
      </c>
    </row>
    <row r="2104" spans="1:28" x14ac:dyDescent="0.2">
      <c r="A2104" s="279" t="s">
        <v>157</v>
      </c>
      <c r="B2104" s="279" t="s">
        <v>157</v>
      </c>
      <c r="C2104" s="282">
        <v>44866</v>
      </c>
      <c r="D2104" s="282">
        <v>44895</v>
      </c>
      <c r="E2104" s="279" t="s">
        <v>267</v>
      </c>
      <c r="F2104" s="133" t="s">
        <v>41</v>
      </c>
      <c r="G2104" s="279" t="s">
        <v>158</v>
      </c>
      <c r="H2104" s="289" t="s">
        <v>160</v>
      </c>
      <c r="I2104" s="280">
        <v>2500</v>
      </c>
      <c r="J2104" s="279">
        <v>1512</v>
      </c>
      <c r="K2104" s="270">
        <f t="shared" si="0"/>
        <v>3780000</v>
      </c>
      <c r="L2104" s="279"/>
      <c r="M2104" s="279">
        <v>-25000</v>
      </c>
      <c r="N2104" s="281">
        <v>25459.87</v>
      </c>
      <c r="O2104" s="55"/>
      <c r="P2104" s="105">
        <v>25460</v>
      </c>
      <c r="Q2104" s="279"/>
      <c r="R2104" s="275">
        <v>0</v>
      </c>
      <c r="S2104" s="279"/>
      <c r="T2104" s="279">
        <v>460</v>
      </c>
      <c r="U2104" s="57">
        <v>1.6E-2</v>
      </c>
      <c r="V2104" s="276">
        <v>0.17</v>
      </c>
      <c r="W2104" s="276">
        <v>0</v>
      </c>
      <c r="X2104" s="279">
        <v>6</v>
      </c>
      <c r="Y2104" s="279">
        <v>1</v>
      </c>
      <c r="Z2104" s="45" t="b">
        <v>1</v>
      </c>
      <c r="AA2104" s="45" t="s">
        <v>38</v>
      </c>
      <c r="AB2104" s="45" t="s">
        <v>1003</v>
      </c>
    </row>
    <row r="2105" spans="1:28" x14ac:dyDescent="0.2">
      <c r="A2105" s="279" t="s">
        <v>157</v>
      </c>
      <c r="B2105" s="279" t="s">
        <v>157</v>
      </c>
      <c r="C2105" s="282">
        <v>44866</v>
      </c>
      <c r="D2105" s="282">
        <v>44895</v>
      </c>
      <c r="E2105" s="279" t="s">
        <v>267</v>
      </c>
      <c r="F2105" s="133" t="s">
        <v>41</v>
      </c>
      <c r="G2105" s="279" t="s">
        <v>158</v>
      </c>
      <c r="H2105" s="289" t="s">
        <v>161</v>
      </c>
      <c r="I2105" s="280">
        <v>5000</v>
      </c>
      <c r="J2105" s="279">
        <v>730</v>
      </c>
      <c r="K2105" s="270">
        <f t="shared" si="0"/>
        <v>3650000</v>
      </c>
      <c r="L2105" s="279"/>
      <c r="M2105" s="279">
        <v>56666.67</v>
      </c>
      <c r="N2105" s="281">
        <v>0</v>
      </c>
      <c r="O2105" s="55"/>
      <c r="P2105" s="45">
        <v>0</v>
      </c>
      <c r="Q2105" s="279"/>
      <c r="R2105" s="275">
        <v>0</v>
      </c>
      <c r="S2105" s="279"/>
      <c r="T2105" s="279">
        <v>56667</v>
      </c>
      <c r="U2105" s="57">
        <v>1.6E-2</v>
      </c>
      <c r="V2105" s="276">
        <v>0.17</v>
      </c>
      <c r="W2105" s="276">
        <v>0</v>
      </c>
      <c r="X2105" s="279">
        <v>753</v>
      </c>
      <c r="Y2105" s="279">
        <v>154</v>
      </c>
      <c r="Z2105" s="45" t="b">
        <v>1</v>
      </c>
      <c r="AA2105" s="45" t="s">
        <v>38</v>
      </c>
      <c r="AB2105" s="45" t="s">
        <v>1003</v>
      </c>
    </row>
    <row r="2106" spans="1:28" x14ac:dyDescent="0.2">
      <c r="A2106" s="279" t="s">
        <v>150</v>
      </c>
      <c r="B2106" s="279" t="s">
        <v>150</v>
      </c>
      <c r="C2106" s="282">
        <v>44866</v>
      </c>
      <c r="D2106" s="282">
        <v>44895</v>
      </c>
      <c r="E2106" s="279" t="s">
        <v>267</v>
      </c>
      <c r="F2106" s="133" t="s">
        <v>41</v>
      </c>
      <c r="G2106" s="279" t="s">
        <v>53</v>
      </c>
      <c r="H2106" s="289" t="s">
        <v>54</v>
      </c>
      <c r="I2106" s="280">
        <v>5</v>
      </c>
      <c r="J2106" s="279">
        <v>2302</v>
      </c>
      <c r="K2106" s="270">
        <f t="shared" si="0"/>
        <v>11510</v>
      </c>
      <c r="L2106" s="279"/>
      <c r="M2106" s="279">
        <v>130.87</v>
      </c>
      <c r="N2106" s="281"/>
      <c r="O2106" s="55">
        <v>0.5</v>
      </c>
      <c r="P2106" s="45">
        <v>403</v>
      </c>
      <c r="Q2106" s="279"/>
      <c r="R2106" s="275">
        <v>0</v>
      </c>
      <c r="S2106" s="279"/>
      <c r="T2106" s="279">
        <v>534</v>
      </c>
      <c r="U2106" s="57">
        <v>1</v>
      </c>
      <c r="V2106" s="276">
        <v>0.3</v>
      </c>
      <c r="W2106" s="276">
        <v>0</v>
      </c>
      <c r="X2106" s="279">
        <v>374</v>
      </c>
      <c r="Y2106" s="279">
        <v>160</v>
      </c>
      <c r="Z2106" s="45" t="b">
        <v>0</v>
      </c>
      <c r="AA2106" s="45" t="s">
        <v>38</v>
      </c>
      <c r="AB2106" s="45" t="s">
        <v>38</v>
      </c>
    </row>
    <row r="2107" spans="1:28" x14ac:dyDescent="0.2">
      <c r="A2107" s="279" t="s">
        <v>150</v>
      </c>
      <c r="B2107" s="279" t="s">
        <v>150</v>
      </c>
      <c r="C2107" s="282">
        <v>44866</v>
      </c>
      <c r="D2107" s="282">
        <v>44895</v>
      </c>
      <c r="E2107" s="279" t="s">
        <v>267</v>
      </c>
      <c r="F2107" s="133" t="s">
        <v>41</v>
      </c>
      <c r="G2107" s="279" t="s">
        <v>53</v>
      </c>
      <c r="H2107" s="289" t="s">
        <v>55</v>
      </c>
      <c r="I2107" s="280">
        <v>10</v>
      </c>
      <c r="J2107" s="279">
        <v>177</v>
      </c>
      <c r="K2107" s="270">
        <f t="shared" si="0"/>
        <v>1770</v>
      </c>
      <c r="L2107" s="279"/>
      <c r="M2107" s="279">
        <v>20.13</v>
      </c>
      <c r="N2107" s="281"/>
      <c r="O2107" s="55">
        <v>0.5</v>
      </c>
      <c r="P2107" s="45">
        <v>62</v>
      </c>
      <c r="Q2107" s="279"/>
      <c r="R2107" s="275">
        <v>0</v>
      </c>
      <c r="S2107" s="279"/>
      <c r="T2107" s="279">
        <v>82</v>
      </c>
      <c r="U2107" s="57">
        <v>1</v>
      </c>
      <c r="V2107" s="276">
        <v>0.3</v>
      </c>
      <c r="W2107" s="276">
        <v>0</v>
      </c>
      <c r="X2107" s="279">
        <v>57</v>
      </c>
      <c r="Y2107" s="279">
        <v>25</v>
      </c>
      <c r="Z2107" s="45" t="b">
        <v>0</v>
      </c>
      <c r="AA2107" s="45" t="s">
        <v>38</v>
      </c>
      <c r="AB2107" s="45" t="s">
        <v>38</v>
      </c>
    </row>
    <row r="2108" spans="1:28" x14ac:dyDescent="0.2">
      <c r="A2108" s="279" t="s">
        <v>395</v>
      </c>
      <c r="B2108" s="270" t="s">
        <v>162</v>
      </c>
      <c r="C2108" s="277">
        <v>44866</v>
      </c>
      <c r="D2108" s="277">
        <v>44895</v>
      </c>
      <c r="E2108" s="279" t="s">
        <v>267</v>
      </c>
      <c r="F2108" s="133" t="s">
        <v>41</v>
      </c>
      <c r="G2108" s="270" t="s">
        <v>35</v>
      </c>
      <c r="H2108" s="272" t="s">
        <v>84</v>
      </c>
      <c r="I2108" s="273">
        <v>100</v>
      </c>
      <c r="J2108" s="270">
        <v>367</v>
      </c>
      <c r="K2108" s="270">
        <f t="shared" si="0"/>
        <v>36700</v>
      </c>
      <c r="L2108" s="270">
        <v>11110</v>
      </c>
      <c r="M2108" s="270">
        <v>6300</v>
      </c>
      <c r="N2108" s="274">
        <v>208</v>
      </c>
      <c r="O2108" s="55"/>
      <c r="P2108" s="45">
        <v>208</v>
      </c>
      <c r="Q2108" s="270">
        <v>1489</v>
      </c>
      <c r="R2108" s="275">
        <v>0</v>
      </c>
      <c r="S2108" s="270">
        <v>1489</v>
      </c>
      <c r="T2108" s="270">
        <v>6508</v>
      </c>
      <c r="U2108" s="57">
        <v>1</v>
      </c>
      <c r="V2108" s="276">
        <v>0.19</v>
      </c>
      <c r="W2108" s="276">
        <v>0</v>
      </c>
      <c r="X2108" s="270">
        <v>5271</v>
      </c>
      <c r="Y2108" s="270">
        <v>1237</v>
      </c>
      <c r="Z2108" s="45" t="b">
        <v>1</v>
      </c>
      <c r="AA2108" s="45" t="s">
        <v>38</v>
      </c>
      <c r="AB2108" s="45" t="s">
        <v>38</v>
      </c>
    </row>
    <row r="2109" spans="1:28" x14ac:dyDescent="0.2">
      <c r="A2109" s="279" t="s">
        <v>395</v>
      </c>
      <c r="B2109" s="270" t="s">
        <v>162</v>
      </c>
      <c r="C2109" s="277">
        <v>44866</v>
      </c>
      <c r="D2109" s="277">
        <v>44895</v>
      </c>
      <c r="E2109" s="279" t="s">
        <v>267</v>
      </c>
      <c r="F2109" s="133" t="s">
        <v>41</v>
      </c>
      <c r="G2109" s="270" t="s">
        <v>35</v>
      </c>
      <c r="H2109" s="272" t="s">
        <v>149</v>
      </c>
      <c r="I2109" s="273">
        <v>500</v>
      </c>
      <c r="J2109" s="270">
        <v>1</v>
      </c>
      <c r="K2109" s="270">
        <f t="shared" si="0"/>
        <v>500</v>
      </c>
      <c r="L2109" s="270">
        <v>-49</v>
      </c>
      <c r="M2109" s="270">
        <v>1000</v>
      </c>
      <c r="N2109" s="274">
        <v>3</v>
      </c>
      <c r="O2109" s="55"/>
      <c r="P2109" s="45">
        <v>3</v>
      </c>
      <c r="Q2109" s="270">
        <v>-102</v>
      </c>
      <c r="R2109" s="275">
        <v>0</v>
      </c>
      <c r="S2109" s="270">
        <v>-102</v>
      </c>
      <c r="T2109" s="270">
        <v>1003</v>
      </c>
      <c r="U2109" s="57">
        <v>1</v>
      </c>
      <c r="V2109" s="276">
        <v>0.19</v>
      </c>
      <c r="W2109" s="276">
        <v>0</v>
      </c>
      <c r="X2109" s="270">
        <v>812</v>
      </c>
      <c r="Y2109" s="270">
        <v>191</v>
      </c>
      <c r="Z2109" s="45" t="b">
        <v>1</v>
      </c>
      <c r="AA2109" s="45" t="s">
        <v>38</v>
      </c>
      <c r="AB2109" s="45" t="s">
        <v>38</v>
      </c>
    </row>
    <row r="2110" spans="1:28" x14ac:dyDescent="0.2">
      <c r="A2110" s="279" t="s">
        <v>395</v>
      </c>
      <c r="B2110" s="270" t="s">
        <v>162</v>
      </c>
      <c r="C2110" s="277">
        <v>44866</v>
      </c>
      <c r="D2110" s="277">
        <v>44895</v>
      </c>
      <c r="E2110" s="279" t="s">
        <v>267</v>
      </c>
      <c r="F2110" s="133" t="s">
        <v>41</v>
      </c>
      <c r="G2110" s="270" t="s">
        <v>35</v>
      </c>
      <c r="H2110" s="272" t="s">
        <v>51</v>
      </c>
      <c r="I2110" s="273">
        <v>0.25</v>
      </c>
      <c r="J2110" s="270">
        <v>14</v>
      </c>
      <c r="K2110" s="270">
        <f t="shared" si="0"/>
        <v>3.5</v>
      </c>
      <c r="L2110" s="270"/>
      <c r="M2110" s="270">
        <v>-0.25</v>
      </c>
      <c r="N2110" s="274"/>
      <c r="O2110" s="55"/>
      <c r="P2110" s="96"/>
      <c r="Q2110" s="270"/>
      <c r="R2110" s="275">
        <v>0</v>
      </c>
      <c r="S2110" s="270"/>
      <c r="T2110" s="270">
        <v>0</v>
      </c>
      <c r="U2110" s="57">
        <v>1</v>
      </c>
      <c r="V2110" s="276">
        <v>0.19</v>
      </c>
      <c r="W2110" s="276">
        <v>0</v>
      </c>
      <c r="X2110" s="270">
        <v>0</v>
      </c>
      <c r="Y2110" s="270">
        <v>0</v>
      </c>
      <c r="Z2110" s="45" t="b">
        <v>1</v>
      </c>
      <c r="AA2110" s="45" t="s">
        <v>38</v>
      </c>
      <c r="AB2110" s="45" t="s">
        <v>38</v>
      </c>
    </row>
    <row r="2111" spans="1:28" x14ac:dyDescent="0.2">
      <c r="A2111" s="279" t="s">
        <v>395</v>
      </c>
      <c r="B2111" s="270" t="s">
        <v>162</v>
      </c>
      <c r="C2111" s="277">
        <v>44866</v>
      </c>
      <c r="D2111" s="277">
        <v>44895</v>
      </c>
      <c r="E2111" s="279" t="s">
        <v>267</v>
      </c>
      <c r="F2111" s="133" t="s">
        <v>41</v>
      </c>
      <c r="G2111" s="270" t="s">
        <v>35</v>
      </c>
      <c r="H2111" s="272" t="s">
        <v>142</v>
      </c>
      <c r="I2111" s="273">
        <v>500</v>
      </c>
      <c r="J2111" s="270">
        <v>18</v>
      </c>
      <c r="K2111" s="270">
        <f t="shared" si="0"/>
        <v>9000</v>
      </c>
      <c r="L2111" s="270">
        <v>-897</v>
      </c>
      <c r="M2111" s="270">
        <v>-2000</v>
      </c>
      <c r="N2111" s="274">
        <v>51</v>
      </c>
      <c r="O2111" s="55"/>
      <c r="P2111" s="45">
        <v>51</v>
      </c>
      <c r="Q2111" s="270">
        <v>-1301</v>
      </c>
      <c r="R2111" s="275">
        <v>0</v>
      </c>
      <c r="S2111" s="270">
        <v>-1301</v>
      </c>
      <c r="T2111" s="270">
        <v>-1949</v>
      </c>
      <c r="U2111" s="57">
        <v>1</v>
      </c>
      <c r="V2111" s="276">
        <v>0.19</v>
      </c>
      <c r="W2111" s="276">
        <v>0</v>
      </c>
      <c r="X2111" s="270">
        <v>-1579</v>
      </c>
      <c r="Y2111" s="270">
        <v>-370</v>
      </c>
      <c r="Z2111" s="45" t="b">
        <v>1</v>
      </c>
      <c r="AA2111" s="45" t="s">
        <v>38</v>
      </c>
      <c r="AB2111" s="45" t="s">
        <v>38</v>
      </c>
    </row>
    <row r="2112" spans="1:28" x14ac:dyDescent="0.2">
      <c r="A2112" s="279" t="s">
        <v>395</v>
      </c>
      <c r="B2112" s="270" t="s">
        <v>162</v>
      </c>
      <c r="C2112" s="277">
        <v>44866</v>
      </c>
      <c r="D2112" s="277">
        <v>44895</v>
      </c>
      <c r="E2112" s="279" t="s">
        <v>267</v>
      </c>
      <c r="F2112" s="133" t="s">
        <v>41</v>
      </c>
      <c r="G2112" s="270" t="s">
        <v>35</v>
      </c>
      <c r="H2112" s="272" t="s">
        <v>70</v>
      </c>
      <c r="I2112" s="273">
        <v>100</v>
      </c>
      <c r="J2112" s="270">
        <v>49</v>
      </c>
      <c r="K2112" s="270">
        <f t="shared" si="0"/>
        <v>4900</v>
      </c>
      <c r="L2112" s="270">
        <f>12593/416*J2112</f>
        <v>1483.3100961538462</v>
      </c>
      <c r="M2112" s="270">
        <v>1800</v>
      </c>
      <c r="N2112" s="274">
        <v>28</v>
      </c>
      <c r="O2112" s="55"/>
      <c r="P2112" s="45">
        <v>28</v>
      </c>
      <c r="Q2112" s="270">
        <v>13</v>
      </c>
      <c r="R2112" s="275">
        <v>0</v>
      </c>
      <c r="S2112" s="270">
        <v>13</v>
      </c>
      <c r="T2112" s="270">
        <v>1828</v>
      </c>
      <c r="U2112" s="57">
        <v>1</v>
      </c>
      <c r="V2112" s="276">
        <v>0.19</v>
      </c>
      <c r="W2112" s="276">
        <v>0</v>
      </c>
      <c r="X2112" s="270">
        <v>1481</v>
      </c>
      <c r="Y2112" s="270">
        <v>347</v>
      </c>
      <c r="Z2112" s="45" t="b">
        <v>1</v>
      </c>
      <c r="AA2112" s="45" t="s">
        <v>38</v>
      </c>
      <c r="AB2112" s="45" t="s">
        <v>38</v>
      </c>
    </row>
    <row r="2113" spans="1:28" x14ac:dyDescent="0.2">
      <c r="A2113" s="279" t="s">
        <v>395</v>
      </c>
      <c r="B2113" s="270" t="s">
        <v>162</v>
      </c>
      <c r="C2113" s="277">
        <v>44866</v>
      </c>
      <c r="D2113" s="277">
        <v>44895</v>
      </c>
      <c r="E2113" s="279" t="s">
        <v>267</v>
      </c>
      <c r="F2113" s="133" t="s">
        <v>41</v>
      </c>
      <c r="G2113" s="270" t="s">
        <v>35</v>
      </c>
      <c r="H2113" s="272" t="s">
        <v>148</v>
      </c>
      <c r="I2113" s="273">
        <v>250</v>
      </c>
      <c r="J2113" s="270">
        <v>51</v>
      </c>
      <c r="K2113" s="270">
        <f t="shared" si="0"/>
        <v>12750</v>
      </c>
      <c r="L2113" s="286">
        <f t="shared" ref="L2113:L2114" si="9">1503/183*J2113</f>
        <v>418.86885245901635</v>
      </c>
      <c r="M2113" s="286">
        <v>500</v>
      </c>
      <c r="N2113" s="274">
        <v>72</v>
      </c>
      <c r="O2113" s="55"/>
      <c r="P2113" s="45">
        <v>72</v>
      </c>
      <c r="Q2113" s="286">
        <v>-330</v>
      </c>
      <c r="R2113" s="275">
        <v>0</v>
      </c>
      <c r="S2113" s="286">
        <v>-330</v>
      </c>
      <c r="T2113" s="286">
        <v>572</v>
      </c>
      <c r="U2113" s="57">
        <v>1</v>
      </c>
      <c r="V2113" s="276">
        <v>0.19</v>
      </c>
      <c r="W2113" s="276">
        <v>0</v>
      </c>
      <c r="X2113" s="286">
        <v>463</v>
      </c>
      <c r="Y2113" s="286">
        <v>109</v>
      </c>
      <c r="Z2113" s="45" t="b">
        <v>1</v>
      </c>
      <c r="AA2113" s="45" t="s">
        <v>38</v>
      </c>
      <c r="AB2113" s="45" t="s">
        <v>38</v>
      </c>
    </row>
    <row r="2114" spans="1:28" x14ac:dyDescent="0.2">
      <c r="A2114" s="279" t="s">
        <v>395</v>
      </c>
      <c r="B2114" s="270" t="s">
        <v>162</v>
      </c>
      <c r="C2114" s="277">
        <v>44866</v>
      </c>
      <c r="D2114" s="277">
        <v>44895</v>
      </c>
      <c r="E2114" s="279" t="s">
        <v>267</v>
      </c>
      <c r="F2114" s="133" t="s">
        <v>41</v>
      </c>
      <c r="G2114" s="270" t="s">
        <v>35</v>
      </c>
      <c r="H2114" s="272" t="s">
        <v>88</v>
      </c>
      <c r="I2114" s="273">
        <v>250</v>
      </c>
      <c r="J2114" s="270">
        <v>132</v>
      </c>
      <c r="K2114" s="270">
        <f t="shared" si="0"/>
        <v>33000</v>
      </c>
      <c r="L2114" s="286">
        <f t="shared" si="9"/>
        <v>1084.1311475409834</v>
      </c>
      <c r="M2114" s="286">
        <v>-4250</v>
      </c>
      <c r="N2114" s="274">
        <v>187</v>
      </c>
      <c r="O2114" s="55"/>
      <c r="P2114" s="45">
        <v>187</v>
      </c>
      <c r="Q2114" s="286">
        <v>-1194</v>
      </c>
      <c r="R2114" s="275">
        <v>0</v>
      </c>
      <c r="S2114" s="286">
        <v>-1194</v>
      </c>
      <c r="T2114" s="286">
        <v>-4063</v>
      </c>
      <c r="U2114" s="57">
        <v>1</v>
      </c>
      <c r="V2114" s="276">
        <v>0.19</v>
      </c>
      <c r="W2114" s="276">
        <v>0</v>
      </c>
      <c r="X2114" s="286">
        <v>-3291</v>
      </c>
      <c r="Y2114" s="286">
        <v>-772</v>
      </c>
      <c r="Z2114" s="45" t="b">
        <v>1</v>
      </c>
      <c r="AA2114" s="45" t="s">
        <v>38</v>
      </c>
      <c r="AB2114" s="45" t="s">
        <v>38</v>
      </c>
    </row>
    <row r="2115" spans="1:28" x14ac:dyDescent="0.2">
      <c r="A2115" s="96" t="s">
        <v>152</v>
      </c>
      <c r="B2115" s="96" t="s">
        <v>152</v>
      </c>
      <c r="C2115" s="277">
        <v>44866</v>
      </c>
      <c r="D2115" s="277">
        <v>44895</v>
      </c>
      <c r="E2115" s="270" t="s">
        <v>267</v>
      </c>
      <c r="F2115" s="96" t="s">
        <v>49</v>
      </c>
      <c r="G2115" s="270" t="s">
        <v>80</v>
      </c>
      <c r="H2115" s="110" t="s">
        <v>70</v>
      </c>
      <c r="I2115" s="273">
        <v>100</v>
      </c>
      <c r="J2115" s="270">
        <v>7363</v>
      </c>
      <c r="K2115" s="270">
        <f t="shared" si="0"/>
        <v>736300</v>
      </c>
      <c r="L2115" s="270">
        <v>96080</v>
      </c>
      <c r="M2115" s="270">
        <v>-25100</v>
      </c>
      <c r="N2115" s="274">
        <v>44183.73</v>
      </c>
      <c r="O2115" s="55"/>
      <c r="P2115" s="105">
        <v>44184</v>
      </c>
      <c r="Q2115" s="270">
        <v>-27786</v>
      </c>
      <c r="R2115" s="275">
        <v>-3.0249999999999999E-3</v>
      </c>
      <c r="S2115" s="270">
        <v>-30013</v>
      </c>
      <c r="T2115" s="270">
        <v>14171</v>
      </c>
      <c r="U2115" s="57">
        <v>1</v>
      </c>
      <c r="V2115" s="276">
        <v>0.15</v>
      </c>
      <c r="W2115" s="276">
        <v>0</v>
      </c>
      <c r="X2115" s="270">
        <v>12045</v>
      </c>
      <c r="Y2115" s="270">
        <v>2126</v>
      </c>
      <c r="Z2115" s="45" t="b">
        <v>1</v>
      </c>
      <c r="AA2115" s="45" t="s">
        <v>38</v>
      </c>
      <c r="AB2115" s="45" t="s">
        <v>38</v>
      </c>
    </row>
    <row r="2116" spans="1:28" x14ac:dyDescent="0.2">
      <c r="A2116" s="96" t="s">
        <v>152</v>
      </c>
      <c r="B2116" s="96" t="s">
        <v>152</v>
      </c>
      <c r="C2116" s="277">
        <v>44866</v>
      </c>
      <c r="D2116" s="277">
        <v>44895</v>
      </c>
      <c r="E2116" s="270" t="s">
        <v>267</v>
      </c>
      <c r="F2116" s="96" t="s">
        <v>49</v>
      </c>
      <c r="G2116" s="270" t="s">
        <v>80</v>
      </c>
      <c r="H2116" s="110" t="s">
        <v>153</v>
      </c>
      <c r="I2116" s="273">
        <v>200</v>
      </c>
      <c r="J2116" s="270">
        <v>1455</v>
      </c>
      <c r="K2116" s="270">
        <f t="shared" si="0"/>
        <v>291000</v>
      </c>
      <c r="L2116" s="270">
        <v>2645</v>
      </c>
      <c r="M2116" s="270">
        <v>-18800</v>
      </c>
      <c r="N2116" s="274">
        <v>17462.27</v>
      </c>
      <c r="O2116" s="55"/>
      <c r="P2116" s="105">
        <v>17462</v>
      </c>
      <c r="Q2116" s="270">
        <v>-19081</v>
      </c>
      <c r="R2116" s="275">
        <v>-2.9380000000000001E-3</v>
      </c>
      <c r="S2116" s="270">
        <v>-19936</v>
      </c>
      <c r="T2116" s="270">
        <v>-2474</v>
      </c>
      <c r="U2116" s="57">
        <v>1</v>
      </c>
      <c r="V2116" s="276">
        <v>0.15</v>
      </c>
      <c r="W2116" s="276">
        <v>0</v>
      </c>
      <c r="X2116" s="270">
        <v>-2103</v>
      </c>
      <c r="Y2116" s="270">
        <v>-371</v>
      </c>
      <c r="Z2116" s="45" t="b">
        <v>1</v>
      </c>
      <c r="AA2116" s="45" t="s">
        <v>38</v>
      </c>
      <c r="AB2116" s="45" t="s">
        <v>38</v>
      </c>
    </row>
    <row r="2117" spans="1:28" x14ac:dyDescent="0.2">
      <c r="A2117" s="279" t="s">
        <v>456</v>
      </c>
      <c r="B2117" s="279" t="s">
        <v>1005</v>
      </c>
      <c r="C2117" s="282">
        <v>44866</v>
      </c>
      <c r="D2117" s="282">
        <v>44895</v>
      </c>
      <c r="E2117" s="279" t="s">
        <v>267</v>
      </c>
      <c r="F2117" s="133" t="s">
        <v>41</v>
      </c>
      <c r="G2117" s="279" t="s">
        <v>61</v>
      </c>
      <c r="H2117" s="289" t="s">
        <v>131</v>
      </c>
      <c r="I2117" s="280">
        <v>5</v>
      </c>
      <c r="J2117" s="279">
        <v>3954</v>
      </c>
      <c r="K2117" s="270">
        <f t="shared" si="0"/>
        <v>19770</v>
      </c>
      <c r="L2117" s="279">
        <v>71338</v>
      </c>
      <c r="M2117" s="279">
        <v>-300</v>
      </c>
      <c r="N2117" s="281">
        <v>425</v>
      </c>
      <c r="O2117" s="55"/>
      <c r="P2117" s="45">
        <v>425</v>
      </c>
      <c r="Q2117" s="279">
        <v>-636</v>
      </c>
      <c r="R2117" s="275">
        <v>0</v>
      </c>
      <c r="S2117" s="279">
        <v>-636</v>
      </c>
      <c r="T2117" s="279">
        <v>125</v>
      </c>
      <c r="U2117" s="57">
        <v>1</v>
      </c>
      <c r="V2117" s="276">
        <v>0.25</v>
      </c>
      <c r="W2117" s="276">
        <v>0</v>
      </c>
      <c r="X2117" s="279">
        <v>94</v>
      </c>
      <c r="Y2117" s="279">
        <v>31</v>
      </c>
      <c r="Z2117" s="45" t="b">
        <v>1</v>
      </c>
      <c r="AA2117" s="45" t="s">
        <v>50</v>
      </c>
      <c r="AB2117" s="45" t="s">
        <v>50</v>
      </c>
    </row>
    <row r="2118" spans="1:28" x14ac:dyDescent="0.2">
      <c r="A2118" s="96" t="s">
        <v>175</v>
      </c>
      <c r="B2118" s="96" t="s">
        <v>175</v>
      </c>
      <c r="C2118" s="277">
        <v>44866</v>
      </c>
      <c r="D2118" s="277">
        <v>44895</v>
      </c>
      <c r="E2118" s="279" t="s">
        <v>267</v>
      </c>
      <c r="F2118" s="133" t="s">
        <v>49</v>
      </c>
      <c r="G2118" s="270" t="s">
        <v>35</v>
      </c>
      <c r="H2118" s="272" t="s">
        <v>40</v>
      </c>
      <c r="I2118" s="273">
        <v>10</v>
      </c>
      <c r="J2118" s="270">
        <v>2</v>
      </c>
      <c r="K2118" s="270">
        <f t="shared" si="0"/>
        <v>20</v>
      </c>
      <c r="L2118" s="270">
        <v>1475</v>
      </c>
      <c r="M2118" s="270">
        <v>30</v>
      </c>
      <c r="N2118" s="274">
        <v>1</v>
      </c>
      <c r="O2118" s="55"/>
      <c r="P2118" s="45">
        <v>1</v>
      </c>
      <c r="Q2118" s="270">
        <v>26</v>
      </c>
      <c r="R2118" s="275">
        <v>-2.8795999999999999E-2</v>
      </c>
      <c r="S2118" s="270">
        <v>25</v>
      </c>
      <c r="T2118" s="270">
        <v>26</v>
      </c>
      <c r="U2118" s="57">
        <v>1</v>
      </c>
      <c r="V2118" s="276">
        <v>0.17</v>
      </c>
      <c r="W2118" s="276">
        <v>0</v>
      </c>
      <c r="X2118" s="270">
        <v>22</v>
      </c>
      <c r="Y2118" s="270">
        <v>4</v>
      </c>
      <c r="Z2118" s="45" t="b">
        <v>1</v>
      </c>
      <c r="AA2118" s="45" t="s">
        <v>38</v>
      </c>
      <c r="AB2118" s="45" t="s">
        <v>38</v>
      </c>
    </row>
    <row r="2119" spans="1:28" x14ac:dyDescent="0.2">
      <c r="A2119" s="96" t="s">
        <v>175</v>
      </c>
      <c r="B2119" s="96" t="s">
        <v>175</v>
      </c>
      <c r="C2119" s="277">
        <v>44866</v>
      </c>
      <c r="D2119" s="277">
        <v>44895</v>
      </c>
      <c r="E2119" s="279" t="s">
        <v>267</v>
      </c>
      <c r="F2119" s="133" t="s">
        <v>49</v>
      </c>
      <c r="G2119" s="270" t="s">
        <v>35</v>
      </c>
      <c r="H2119" s="272" t="s">
        <v>85</v>
      </c>
      <c r="I2119" s="273">
        <v>50</v>
      </c>
      <c r="J2119" s="270">
        <v>234</v>
      </c>
      <c r="K2119" s="270">
        <f t="shared" si="0"/>
        <v>11700</v>
      </c>
      <c r="L2119" s="270">
        <v>3896</v>
      </c>
      <c r="M2119" s="270">
        <v>-450</v>
      </c>
      <c r="N2119" s="274">
        <v>448</v>
      </c>
      <c r="O2119" s="55"/>
      <c r="P2119" s="45">
        <v>448</v>
      </c>
      <c r="Q2119" s="270">
        <v>-147</v>
      </c>
      <c r="R2119" s="275">
        <v>-3.0969999999999999E-3</v>
      </c>
      <c r="S2119" s="270">
        <v>-183</v>
      </c>
      <c r="T2119" s="270">
        <v>265</v>
      </c>
      <c r="U2119" s="57">
        <v>1</v>
      </c>
      <c r="V2119" s="276">
        <v>0.17</v>
      </c>
      <c r="W2119" s="276">
        <v>0</v>
      </c>
      <c r="X2119" s="270">
        <v>220</v>
      </c>
      <c r="Y2119" s="270">
        <v>45</v>
      </c>
      <c r="Z2119" s="45" t="b">
        <v>1</v>
      </c>
      <c r="AA2119" s="45" t="s">
        <v>38</v>
      </c>
      <c r="AB2119" s="45" t="s">
        <v>38</v>
      </c>
    </row>
    <row r="2120" spans="1:28" x14ac:dyDescent="0.2">
      <c r="A2120" s="96" t="s">
        <v>175</v>
      </c>
      <c r="B2120" s="96" t="s">
        <v>175</v>
      </c>
      <c r="C2120" s="277">
        <v>44866</v>
      </c>
      <c r="D2120" s="277">
        <v>44895</v>
      </c>
      <c r="E2120" s="279" t="s">
        <v>267</v>
      </c>
      <c r="F2120" s="133" t="s">
        <v>49</v>
      </c>
      <c r="G2120" s="270" t="s">
        <v>35</v>
      </c>
      <c r="H2120" s="272" t="s">
        <v>72</v>
      </c>
      <c r="I2120" s="273">
        <v>50</v>
      </c>
      <c r="J2120" s="270">
        <v>300</v>
      </c>
      <c r="K2120" s="270">
        <f t="shared" si="0"/>
        <v>15000</v>
      </c>
      <c r="L2120" s="270">
        <v>12424</v>
      </c>
      <c r="M2120" s="270">
        <v>2800</v>
      </c>
      <c r="N2120" s="274">
        <v>574</v>
      </c>
      <c r="O2120" s="55"/>
      <c r="P2120" s="45">
        <v>574</v>
      </c>
      <c r="Q2120" s="270">
        <v>192</v>
      </c>
      <c r="R2120" s="275">
        <v>-3.1930000000000001E-3</v>
      </c>
      <c r="S2120" s="270">
        <v>144</v>
      </c>
      <c r="T2120" s="270">
        <v>718</v>
      </c>
      <c r="U2120" s="57">
        <v>1</v>
      </c>
      <c r="V2120" s="276">
        <v>0.17</v>
      </c>
      <c r="W2120" s="276">
        <v>0</v>
      </c>
      <c r="X2120" s="270">
        <v>596</v>
      </c>
      <c r="Y2120" s="270">
        <v>122</v>
      </c>
      <c r="Z2120" s="45" t="b">
        <v>1</v>
      </c>
      <c r="AA2120" s="45" t="s">
        <v>38</v>
      </c>
      <c r="AB2120" s="45" t="s">
        <v>38</v>
      </c>
    </row>
    <row r="2121" spans="1:28" x14ac:dyDescent="0.2">
      <c r="A2121" s="96" t="s">
        <v>175</v>
      </c>
      <c r="B2121" s="96" t="s">
        <v>175</v>
      </c>
      <c r="C2121" s="277">
        <v>44866</v>
      </c>
      <c r="D2121" s="277">
        <v>44895</v>
      </c>
      <c r="E2121" s="279" t="s">
        <v>267</v>
      </c>
      <c r="F2121" s="133" t="s">
        <v>49</v>
      </c>
      <c r="G2121" s="270" t="s">
        <v>35</v>
      </c>
      <c r="H2121" s="272" t="s">
        <v>46</v>
      </c>
      <c r="I2121" s="273">
        <v>25</v>
      </c>
      <c r="J2121" s="270">
        <v>1936</v>
      </c>
      <c r="K2121" s="270">
        <f t="shared" si="0"/>
        <v>48400</v>
      </c>
      <c r="L2121" s="270">
        <v>80387</v>
      </c>
      <c r="M2121" s="270">
        <v>2000</v>
      </c>
      <c r="N2121" s="274">
        <v>1852</v>
      </c>
      <c r="O2121" s="55"/>
      <c r="P2121" s="105">
        <v>1852</v>
      </c>
      <c r="Q2121" s="270">
        <v>629</v>
      </c>
      <c r="R2121" s="275">
        <v>-3.1809999999999998E-3</v>
      </c>
      <c r="S2121" s="270">
        <v>475</v>
      </c>
      <c r="T2121" s="270">
        <v>2327</v>
      </c>
      <c r="U2121" s="57">
        <v>1</v>
      </c>
      <c r="V2121" s="276">
        <v>0.17</v>
      </c>
      <c r="W2121" s="276">
        <v>0</v>
      </c>
      <c r="X2121" s="270">
        <v>1931</v>
      </c>
      <c r="Y2121" s="270">
        <v>396</v>
      </c>
      <c r="Z2121" s="45" t="b">
        <v>1</v>
      </c>
      <c r="AA2121" s="45" t="s">
        <v>38</v>
      </c>
      <c r="AB2121" s="45" t="s">
        <v>38</v>
      </c>
    </row>
    <row r="2122" spans="1:28" x14ac:dyDescent="0.2">
      <c r="A2122" s="96" t="s">
        <v>175</v>
      </c>
      <c r="B2122" s="96" t="s">
        <v>175</v>
      </c>
      <c r="C2122" s="277">
        <v>44866</v>
      </c>
      <c r="D2122" s="277">
        <v>44895</v>
      </c>
      <c r="E2122" s="279" t="s">
        <v>267</v>
      </c>
      <c r="F2122" s="133" t="s">
        <v>41</v>
      </c>
      <c r="G2122" s="270" t="s">
        <v>35</v>
      </c>
      <c r="H2122" s="272" t="s">
        <v>39</v>
      </c>
      <c r="I2122" s="273">
        <v>5</v>
      </c>
      <c r="J2122" s="270">
        <v>1</v>
      </c>
      <c r="K2122" s="270">
        <f t="shared" si="0"/>
        <v>5</v>
      </c>
      <c r="L2122" s="270"/>
      <c r="M2122" s="270">
        <v>10</v>
      </c>
      <c r="N2122" s="274"/>
      <c r="O2122" s="55"/>
      <c r="P2122" s="96"/>
      <c r="Q2122" s="270"/>
      <c r="R2122" s="275">
        <v>0</v>
      </c>
      <c r="S2122" s="270"/>
      <c r="T2122" s="270">
        <v>10</v>
      </c>
      <c r="U2122" s="57">
        <v>1</v>
      </c>
      <c r="V2122" s="276">
        <v>0.17</v>
      </c>
      <c r="W2122" s="276">
        <v>0</v>
      </c>
      <c r="X2122" s="270">
        <v>8</v>
      </c>
      <c r="Y2122" s="270">
        <v>2</v>
      </c>
      <c r="Z2122" s="45" t="b">
        <v>1</v>
      </c>
      <c r="AA2122" s="45" t="s">
        <v>38</v>
      </c>
      <c r="AB2122" s="45" t="s">
        <v>38</v>
      </c>
    </row>
    <row r="2123" spans="1:28" x14ac:dyDescent="0.2">
      <c r="A2123" s="279" t="s">
        <v>127</v>
      </c>
      <c r="B2123" s="279" t="s">
        <v>128</v>
      </c>
      <c r="C2123" s="282">
        <v>44883</v>
      </c>
      <c r="D2123" s="282">
        <v>44895</v>
      </c>
      <c r="E2123" s="279" t="s">
        <v>267</v>
      </c>
      <c r="F2123" s="133" t="s">
        <v>49</v>
      </c>
      <c r="G2123" s="279" t="s">
        <v>61</v>
      </c>
      <c r="H2123" s="289" t="s">
        <v>141</v>
      </c>
      <c r="I2123" s="280">
        <v>25</v>
      </c>
      <c r="J2123" s="279">
        <v>149</v>
      </c>
      <c r="K2123" s="270">
        <f t="shared" si="0"/>
        <v>3725</v>
      </c>
      <c r="L2123" s="279">
        <v>-332</v>
      </c>
      <c r="M2123" s="279">
        <v>-800</v>
      </c>
      <c r="N2123" s="281">
        <v>46.3</v>
      </c>
      <c r="O2123" s="55"/>
      <c r="P2123" s="45">
        <v>46</v>
      </c>
      <c r="Q2123" s="279">
        <v>-345</v>
      </c>
      <c r="R2123" s="275">
        <v>-2.7330000000000002E-3</v>
      </c>
      <c r="S2123" s="279">
        <v>-355</v>
      </c>
      <c r="T2123" s="279">
        <v>-309</v>
      </c>
      <c r="U2123" s="57">
        <v>1</v>
      </c>
      <c r="V2123" s="276">
        <v>0.17</v>
      </c>
      <c r="W2123" s="276">
        <v>0</v>
      </c>
      <c r="X2123" s="279">
        <v>-256</v>
      </c>
      <c r="Y2123" s="279">
        <v>-52</v>
      </c>
      <c r="Z2123" s="45" t="b">
        <v>1</v>
      </c>
      <c r="AA2123" s="45" t="s">
        <v>50</v>
      </c>
      <c r="AB2123" s="45" t="s">
        <v>50</v>
      </c>
    </row>
    <row r="2124" spans="1:28" x14ac:dyDescent="0.2">
      <c r="A2124" s="279" t="s">
        <v>127</v>
      </c>
      <c r="B2124" s="279" t="s">
        <v>128</v>
      </c>
      <c r="C2124" s="282">
        <v>44891</v>
      </c>
      <c r="D2124" s="282">
        <v>44895</v>
      </c>
      <c r="E2124" s="279" t="s">
        <v>267</v>
      </c>
      <c r="F2124" s="133" t="s">
        <v>41</v>
      </c>
      <c r="G2124" s="279" t="s">
        <v>61</v>
      </c>
      <c r="H2124" s="289" t="s">
        <v>167</v>
      </c>
      <c r="I2124" s="280">
        <v>25</v>
      </c>
      <c r="J2124" s="279">
        <v>108</v>
      </c>
      <c r="K2124" s="270">
        <f t="shared" si="0"/>
        <v>2700</v>
      </c>
      <c r="L2124" s="279">
        <v>2424</v>
      </c>
      <c r="M2124" s="279">
        <v>150</v>
      </c>
      <c r="N2124" s="281">
        <v>0</v>
      </c>
      <c r="O2124" s="55"/>
      <c r="P2124" s="45">
        <v>0</v>
      </c>
      <c r="Q2124" s="279">
        <v>-122</v>
      </c>
      <c r="R2124" s="275">
        <v>0</v>
      </c>
      <c r="S2124" s="279">
        <v>-122</v>
      </c>
      <c r="T2124" s="279">
        <v>150</v>
      </c>
      <c r="U2124" s="57">
        <v>1</v>
      </c>
      <c r="V2124" s="276">
        <v>0.17</v>
      </c>
      <c r="W2124" s="276">
        <v>0</v>
      </c>
      <c r="X2124" s="279">
        <v>125</v>
      </c>
      <c r="Y2124" s="279">
        <v>26</v>
      </c>
      <c r="Z2124" s="45" t="b">
        <v>1</v>
      </c>
      <c r="AA2124" s="45" t="s">
        <v>50</v>
      </c>
      <c r="AB2124" s="45" t="s">
        <v>50</v>
      </c>
    </row>
    <row r="2125" spans="1:28" x14ac:dyDescent="0.2">
      <c r="A2125" s="279" t="s">
        <v>144</v>
      </c>
      <c r="B2125" s="279" t="s">
        <v>144</v>
      </c>
      <c r="C2125" s="277">
        <v>44866</v>
      </c>
      <c r="D2125" s="277">
        <v>44895</v>
      </c>
      <c r="E2125" s="270" t="s">
        <v>267</v>
      </c>
      <c r="F2125" s="96" t="s">
        <v>49</v>
      </c>
      <c r="G2125" s="279" t="s">
        <v>35</v>
      </c>
      <c r="H2125" s="272" t="s">
        <v>46</v>
      </c>
      <c r="I2125" s="273">
        <v>25</v>
      </c>
      <c r="J2125" s="270">
        <v>3234</v>
      </c>
      <c r="K2125" s="270">
        <f t="shared" si="0"/>
        <v>80850</v>
      </c>
      <c r="L2125" s="270">
        <v>71661</v>
      </c>
      <c r="M2125" s="270">
        <v>-2650</v>
      </c>
      <c r="N2125" s="274">
        <v>3368</v>
      </c>
      <c r="O2125" s="55"/>
      <c r="P2125" s="105">
        <v>3368</v>
      </c>
      <c r="Q2125" s="270">
        <v>-1852</v>
      </c>
      <c r="R2125" s="275">
        <v>-3.075E-3</v>
      </c>
      <c r="S2125" s="270">
        <v>-2101</v>
      </c>
      <c r="T2125" s="270">
        <v>1267</v>
      </c>
      <c r="U2125" s="57">
        <v>1</v>
      </c>
      <c r="V2125" s="276">
        <v>0.25</v>
      </c>
      <c r="W2125" s="276">
        <v>0</v>
      </c>
      <c r="X2125" s="270">
        <v>950</v>
      </c>
      <c r="Y2125" s="270">
        <v>317</v>
      </c>
      <c r="Z2125" s="45" t="b">
        <v>0</v>
      </c>
      <c r="AA2125" s="45" t="s">
        <v>38</v>
      </c>
      <c r="AB2125" s="45" t="s">
        <v>38</v>
      </c>
    </row>
    <row r="2126" spans="1:28" x14ac:dyDescent="0.2">
      <c r="A2126" s="279" t="s">
        <v>189</v>
      </c>
      <c r="B2126" s="279" t="s">
        <v>189</v>
      </c>
      <c r="C2126" s="282">
        <v>44873</v>
      </c>
      <c r="D2126" s="282">
        <v>44895</v>
      </c>
      <c r="E2126" s="279" t="s">
        <v>267</v>
      </c>
      <c r="F2126" s="133" t="s">
        <v>41</v>
      </c>
      <c r="G2126" s="279" t="s">
        <v>53</v>
      </c>
      <c r="H2126" s="289" t="s">
        <v>54</v>
      </c>
      <c r="I2126" s="280">
        <v>5</v>
      </c>
      <c r="J2126" s="279">
        <v>13</v>
      </c>
      <c r="K2126" s="270">
        <f t="shared" si="0"/>
        <v>65</v>
      </c>
      <c r="L2126" s="279"/>
      <c r="M2126" s="279">
        <v>1.03</v>
      </c>
      <c r="N2126" s="281"/>
      <c r="O2126" s="55">
        <v>0.5</v>
      </c>
      <c r="P2126" s="45">
        <v>2</v>
      </c>
      <c r="Q2126" s="279"/>
      <c r="R2126" s="275">
        <v>0</v>
      </c>
      <c r="S2126" s="279"/>
      <c r="T2126" s="279">
        <v>3</v>
      </c>
      <c r="U2126" s="57">
        <v>1</v>
      </c>
      <c r="V2126" s="276">
        <v>0.23</v>
      </c>
      <c r="W2126" s="276">
        <v>0</v>
      </c>
      <c r="X2126" s="279">
        <v>3</v>
      </c>
      <c r="Y2126" s="279">
        <v>1</v>
      </c>
      <c r="Z2126" s="45" t="b">
        <v>1</v>
      </c>
      <c r="AA2126" s="45" t="s">
        <v>38</v>
      </c>
      <c r="AB2126" s="45" t="s">
        <v>38</v>
      </c>
    </row>
    <row r="2127" spans="1:28" x14ac:dyDescent="0.2">
      <c r="A2127" s="279" t="s">
        <v>189</v>
      </c>
      <c r="B2127" s="279" t="s">
        <v>189</v>
      </c>
      <c r="C2127" s="282">
        <v>44873</v>
      </c>
      <c r="D2127" s="282">
        <v>44895</v>
      </c>
      <c r="E2127" s="279" t="s">
        <v>267</v>
      </c>
      <c r="F2127" s="133" t="s">
        <v>41</v>
      </c>
      <c r="G2127" s="279" t="s">
        <v>53</v>
      </c>
      <c r="H2127" s="289" t="s">
        <v>55</v>
      </c>
      <c r="I2127" s="280">
        <v>10</v>
      </c>
      <c r="J2127" s="279">
        <v>5</v>
      </c>
      <c r="K2127" s="270">
        <f t="shared" si="0"/>
        <v>50</v>
      </c>
      <c r="L2127" s="279"/>
      <c r="M2127" s="279">
        <v>0.79</v>
      </c>
      <c r="N2127" s="281"/>
      <c r="O2127" s="55">
        <v>0.5</v>
      </c>
      <c r="P2127" s="45">
        <v>2</v>
      </c>
      <c r="Q2127" s="279"/>
      <c r="R2127" s="275">
        <v>0</v>
      </c>
      <c r="S2127" s="279"/>
      <c r="T2127" s="279">
        <v>3</v>
      </c>
      <c r="U2127" s="57">
        <v>1</v>
      </c>
      <c r="V2127" s="276">
        <v>0.23</v>
      </c>
      <c r="W2127" s="276">
        <v>0</v>
      </c>
      <c r="X2127" s="279">
        <v>2</v>
      </c>
      <c r="Y2127" s="279">
        <v>1</v>
      </c>
      <c r="Z2127" s="45" t="b">
        <v>1</v>
      </c>
      <c r="AA2127" s="45" t="s">
        <v>38</v>
      </c>
      <c r="AB2127" s="45" t="s">
        <v>38</v>
      </c>
    </row>
    <row r="2128" spans="1:28" x14ac:dyDescent="0.2">
      <c r="A2128" s="279" t="s">
        <v>189</v>
      </c>
      <c r="B2128" s="279" t="s">
        <v>189</v>
      </c>
      <c r="C2128" s="282">
        <v>44873</v>
      </c>
      <c r="D2128" s="282">
        <v>44895</v>
      </c>
      <c r="E2128" s="279" t="s">
        <v>267</v>
      </c>
      <c r="F2128" s="133" t="s">
        <v>41</v>
      </c>
      <c r="G2128" s="279" t="s">
        <v>53</v>
      </c>
      <c r="H2128" s="289" t="s">
        <v>56</v>
      </c>
      <c r="I2128" s="280">
        <v>20</v>
      </c>
      <c r="J2128" s="279">
        <v>14</v>
      </c>
      <c r="K2128" s="270">
        <f t="shared" si="0"/>
        <v>280</v>
      </c>
      <c r="L2128" s="279"/>
      <c r="M2128" s="279">
        <v>4.4400000000000004</v>
      </c>
      <c r="N2128" s="281"/>
      <c r="O2128" s="55">
        <v>0.5</v>
      </c>
      <c r="P2128" s="45">
        <v>10</v>
      </c>
      <c r="Q2128" s="279"/>
      <c r="R2128" s="275">
        <v>0</v>
      </c>
      <c r="S2128" s="279"/>
      <c r="T2128" s="279">
        <v>14</v>
      </c>
      <c r="U2128" s="57">
        <v>1</v>
      </c>
      <c r="V2128" s="276">
        <v>0.23</v>
      </c>
      <c r="W2128" s="276">
        <v>0</v>
      </c>
      <c r="X2128" s="279">
        <v>11</v>
      </c>
      <c r="Y2128" s="279">
        <v>3</v>
      </c>
      <c r="Z2128" s="45" t="b">
        <v>1</v>
      </c>
      <c r="AA2128" s="45" t="s">
        <v>38</v>
      </c>
      <c r="AB2128" s="45" t="s">
        <v>38</v>
      </c>
    </row>
    <row r="2129" spans="1:28" x14ac:dyDescent="0.2">
      <c r="A2129" s="279" t="s">
        <v>189</v>
      </c>
      <c r="B2129" s="279" t="s">
        <v>189</v>
      </c>
      <c r="C2129" s="282">
        <v>44873</v>
      </c>
      <c r="D2129" s="282">
        <v>44895</v>
      </c>
      <c r="E2129" s="279" t="s">
        <v>267</v>
      </c>
      <c r="F2129" s="133" t="s">
        <v>41</v>
      </c>
      <c r="G2129" s="279" t="s">
        <v>53</v>
      </c>
      <c r="H2129" s="289" t="s">
        <v>57</v>
      </c>
      <c r="I2129" s="280">
        <v>50</v>
      </c>
      <c r="J2129" s="279">
        <v>612</v>
      </c>
      <c r="K2129" s="270">
        <f t="shared" si="0"/>
        <v>30600</v>
      </c>
      <c r="L2129" s="279"/>
      <c r="M2129" s="279">
        <v>484.95</v>
      </c>
      <c r="N2129" s="281"/>
      <c r="O2129" s="55">
        <v>0.5</v>
      </c>
      <c r="P2129" s="105">
        <v>1071</v>
      </c>
      <c r="Q2129" s="279"/>
      <c r="R2129" s="275">
        <v>0</v>
      </c>
      <c r="S2129" s="279"/>
      <c r="T2129" s="279">
        <v>1556</v>
      </c>
      <c r="U2129" s="57">
        <v>1</v>
      </c>
      <c r="V2129" s="276">
        <v>0.23</v>
      </c>
      <c r="W2129" s="276">
        <v>0</v>
      </c>
      <c r="X2129" s="279">
        <v>1198</v>
      </c>
      <c r="Y2129" s="279">
        <v>358</v>
      </c>
      <c r="Z2129" s="45" t="b">
        <v>1</v>
      </c>
      <c r="AA2129" s="45" t="s">
        <v>38</v>
      </c>
      <c r="AB2129" s="45" t="s">
        <v>38</v>
      </c>
    </row>
    <row r="2130" spans="1:28" x14ac:dyDescent="0.2">
      <c r="A2130" s="279" t="s">
        <v>189</v>
      </c>
      <c r="B2130" s="279" t="s">
        <v>189</v>
      </c>
      <c r="C2130" s="282">
        <v>44873</v>
      </c>
      <c r="D2130" s="282">
        <v>44895</v>
      </c>
      <c r="E2130" s="279" t="s">
        <v>267</v>
      </c>
      <c r="F2130" s="133" t="s">
        <v>41</v>
      </c>
      <c r="G2130" s="279" t="s">
        <v>53</v>
      </c>
      <c r="H2130" s="289" t="s">
        <v>59</v>
      </c>
      <c r="I2130" s="280">
        <v>100</v>
      </c>
      <c r="J2130" s="279">
        <v>27</v>
      </c>
      <c r="K2130" s="270">
        <f t="shared" si="0"/>
        <v>2700</v>
      </c>
      <c r="L2130" s="279"/>
      <c r="M2130" s="279">
        <v>42.79</v>
      </c>
      <c r="N2130" s="281"/>
      <c r="O2130" s="55">
        <v>0.5</v>
      </c>
      <c r="P2130" s="45">
        <v>95</v>
      </c>
      <c r="Q2130" s="279"/>
      <c r="R2130" s="275">
        <v>0</v>
      </c>
      <c r="S2130" s="279"/>
      <c r="T2130" s="279">
        <v>137</v>
      </c>
      <c r="U2130" s="57">
        <v>1</v>
      </c>
      <c r="V2130" s="276">
        <v>0.23</v>
      </c>
      <c r="W2130" s="276">
        <v>0</v>
      </c>
      <c r="X2130" s="279">
        <v>106</v>
      </c>
      <c r="Y2130" s="279">
        <v>32</v>
      </c>
      <c r="Z2130" s="45" t="b">
        <v>1</v>
      </c>
      <c r="AA2130" s="45" t="s">
        <v>38</v>
      </c>
      <c r="AB2130" s="45" t="s">
        <v>38</v>
      </c>
    </row>
    <row r="2131" spans="1:28" x14ac:dyDescent="0.2">
      <c r="A2131" s="96" t="s">
        <v>561</v>
      </c>
      <c r="B2131" s="96" t="s">
        <v>79</v>
      </c>
      <c r="C2131" s="277">
        <v>44866</v>
      </c>
      <c r="D2131" s="277">
        <v>44895</v>
      </c>
      <c r="E2131" s="270" t="s">
        <v>267</v>
      </c>
      <c r="F2131" s="96" t="s">
        <v>41</v>
      </c>
      <c r="G2131" s="270" t="s">
        <v>80</v>
      </c>
      <c r="H2131" s="272" t="s">
        <v>71</v>
      </c>
      <c r="I2131" s="273">
        <v>20</v>
      </c>
      <c r="J2131" s="270">
        <v>6917</v>
      </c>
      <c r="K2131" s="270">
        <f t="shared" si="0"/>
        <v>138340</v>
      </c>
      <c r="L2131" s="270">
        <v>142685</v>
      </c>
      <c r="M2131" s="270">
        <v>500</v>
      </c>
      <c r="N2131" s="274">
        <f>5725+1240</f>
        <v>6965</v>
      </c>
      <c r="O2131" s="55"/>
      <c r="P2131" s="105">
        <v>6965</v>
      </c>
      <c r="Q2131" s="270">
        <v>-1935</v>
      </c>
      <c r="R2131" s="275">
        <v>0</v>
      </c>
      <c r="S2131" s="270">
        <v>-1935</v>
      </c>
      <c r="T2131" s="270">
        <v>7465</v>
      </c>
      <c r="U2131" s="57">
        <v>1</v>
      </c>
      <c r="V2131" s="276">
        <v>0.3</v>
      </c>
      <c r="W2131" s="276">
        <v>0</v>
      </c>
      <c r="X2131" s="270">
        <v>5226</v>
      </c>
      <c r="Y2131" s="270">
        <v>2240</v>
      </c>
      <c r="Z2131" s="45" t="b">
        <v>0</v>
      </c>
      <c r="AA2131" s="45" t="s">
        <v>38</v>
      </c>
      <c r="AB2131" s="45" t="s">
        <v>38</v>
      </c>
    </row>
    <row r="2132" spans="1:28" x14ac:dyDescent="0.2">
      <c r="A2132" s="279" t="s">
        <v>232</v>
      </c>
      <c r="B2132" s="279" t="s">
        <v>198</v>
      </c>
      <c r="C2132" s="282">
        <v>44866</v>
      </c>
      <c r="D2132" s="282">
        <v>44895</v>
      </c>
      <c r="E2132" s="279" t="s">
        <v>267</v>
      </c>
      <c r="F2132" s="133" t="s">
        <v>41</v>
      </c>
      <c r="G2132" s="279" t="s">
        <v>53</v>
      </c>
      <c r="H2132" s="289" t="s">
        <v>56</v>
      </c>
      <c r="I2132" s="280">
        <v>20</v>
      </c>
      <c r="J2132" s="279">
        <v>714</v>
      </c>
      <c r="K2132" s="270">
        <f t="shared" si="0"/>
        <v>14280</v>
      </c>
      <c r="L2132" s="279"/>
      <c r="M2132" s="279">
        <v>2052.3200000000002</v>
      </c>
      <c r="N2132" s="281"/>
      <c r="O2132" s="55">
        <v>0.5</v>
      </c>
      <c r="P2132" s="45">
        <v>500</v>
      </c>
      <c r="Q2132" s="279"/>
      <c r="R2132" s="275">
        <v>0</v>
      </c>
      <c r="S2132" s="279"/>
      <c r="T2132" s="279">
        <v>2552</v>
      </c>
      <c r="U2132" s="57">
        <v>1</v>
      </c>
      <c r="V2132" s="276">
        <v>0.17</v>
      </c>
      <c r="W2132" s="276">
        <v>0</v>
      </c>
      <c r="X2132" s="279">
        <v>2118</v>
      </c>
      <c r="Y2132" s="279">
        <v>434</v>
      </c>
      <c r="Z2132" s="45" t="b">
        <v>1</v>
      </c>
      <c r="AA2132" s="45" t="s">
        <v>38</v>
      </c>
      <c r="AB2132" s="45" t="s">
        <v>38</v>
      </c>
    </row>
    <row r="2133" spans="1:28" x14ac:dyDescent="0.2">
      <c r="A2133" s="279" t="s">
        <v>232</v>
      </c>
      <c r="B2133" s="279" t="s">
        <v>198</v>
      </c>
      <c r="C2133" s="282">
        <v>44866</v>
      </c>
      <c r="D2133" s="282">
        <v>44895</v>
      </c>
      <c r="E2133" s="279" t="s">
        <v>267</v>
      </c>
      <c r="F2133" s="133" t="s">
        <v>41</v>
      </c>
      <c r="G2133" s="279" t="s">
        <v>53</v>
      </c>
      <c r="H2133" s="289" t="s">
        <v>55</v>
      </c>
      <c r="I2133" s="280">
        <v>10</v>
      </c>
      <c r="J2133" s="279">
        <v>13</v>
      </c>
      <c r="K2133" s="270">
        <f t="shared" si="0"/>
        <v>130</v>
      </c>
      <c r="L2133" s="279"/>
      <c r="M2133" s="279">
        <v>18.68</v>
      </c>
      <c r="N2133" s="281"/>
      <c r="O2133" s="55">
        <v>0.5</v>
      </c>
      <c r="P2133" s="45">
        <v>5</v>
      </c>
      <c r="Q2133" s="279"/>
      <c r="R2133" s="275">
        <v>0</v>
      </c>
      <c r="S2133" s="279"/>
      <c r="T2133" s="279">
        <v>23</v>
      </c>
      <c r="U2133" s="57">
        <v>1</v>
      </c>
      <c r="V2133" s="276">
        <v>0.17</v>
      </c>
      <c r="W2133" s="276">
        <v>0</v>
      </c>
      <c r="X2133" s="279">
        <v>19</v>
      </c>
      <c r="Y2133" s="279">
        <v>4</v>
      </c>
      <c r="Z2133" s="45" t="b">
        <v>1</v>
      </c>
      <c r="AA2133" s="45" t="s">
        <v>38</v>
      </c>
      <c r="AB2133" s="45" t="s">
        <v>38</v>
      </c>
    </row>
    <row r="2134" spans="1:28" x14ac:dyDescent="0.2">
      <c r="A2134" s="279" t="s">
        <v>232</v>
      </c>
      <c r="B2134" s="279" t="s">
        <v>198</v>
      </c>
      <c r="C2134" s="282">
        <v>44866</v>
      </c>
      <c r="D2134" s="282">
        <v>44895</v>
      </c>
      <c r="E2134" s="279" t="s">
        <v>267</v>
      </c>
      <c r="F2134" s="96" t="s">
        <v>49</v>
      </c>
      <c r="G2134" s="270" t="s">
        <v>35</v>
      </c>
      <c r="H2134" s="272" t="s">
        <v>40</v>
      </c>
      <c r="I2134" s="273">
        <v>10</v>
      </c>
      <c r="J2134" s="270">
        <v>186</v>
      </c>
      <c r="K2134" s="270">
        <f t="shared" si="0"/>
        <v>1860</v>
      </c>
      <c r="L2134" s="270">
        <v>10393</v>
      </c>
      <c r="M2134" s="270">
        <v>1350</v>
      </c>
      <c r="N2134" s="274">
        <v>112</v>
      </c>
      <c r="O2134" s="55"/>
      <c r="P2134" s="45">
        <v>112</v>
      </c>
      <c r="Q2134" s="270">
        <v>53</v>
      </c>
      <c r="R2134" s="275">
        <v>-3.225E-3</v>
      </c>
      <c r="S2134" s="270">
        <v>47</v>
      </c>
      <c r="T2134" s="270">
        <v>159</v>
      </c>
      <c r="U2134" s="57">
        <v>1</v>
      </c>
      <c r="V2134" s="276">
        <v>0.17</v>
      </c>
      <c r="W2134" s="276">
        <v>0</v>
      </c>
      <c r="X2134" s="270">
        <v>132</v>
      </c>
      <c r="Y2134" s="270">
        <v>27</v>
      </c>
      <c r="Z2134" s="45" t="b">
        <v>1</v>
      </c>
      <c r="AA2134" s="45" t="s">
        <v>38</v>
      </c>
      <c r="AB2134" s="45" t="s">
        <v>38</v>
      </c>
    </row>
    <row r="2135" spans="1:28" x14ac:dyDescent="0.2">
      <c r="A2135" s="279" t="s">
        <v>232</v>
      </c>
      <c r="B2135" s="279" t="s">
        <v>198</v>
      </c>
      <c r="C2135" s="282">
        <v>44866</v>
      </c>
      <c r="D2135" s="282">
        <v>44895</v>
      </c>
      <c r="E2135" s="279" t="s">
        <v>267</v>
      </c>
      <c r="F2135" s="96" t="s">
        <v>49</v>
      </c>
      <c r="G2135" s="270" t="s">
        <v>35</v>
      </c>
      <c r="H2135" s="272" t="s">
        <v>46</v>
      </c>
      <c r="I2135" s="273">
        <v>25</v>
      </c>
      <c r="J2135" s="270">
        <v>691</v>
      </c>
      <c r="K2135" s="270">
        <f t="shared" si="0"/>
        <v>17275</v>
      </c>
      <c r="L2135" s="270">
        <v>49705</v>
      </c>
      <c r="M2135" s="270">
        <v>310</v>
      </c>
      <c r="N2135" s="274">
        <v>891</v>
      </c>
      <c r="O2135" s="55"/>
      <c r="P2135" s="45">
        <v>891</v>
      </c>
      <c r="Q2135" s="270">
        <v>1199</v>
      </c>
      <c r="R2135" s="275">
        <v>-3.392E-3</v>
      </c>
      <c r="S2135" s="270">
        <v>1140</v>
      </c>
      <c r="T2135" s="270">
        <v>2031</v>
      </c>
      <c r="U2135" s="57">
        <v>1</v>
      </c>
      <c r="V2135" s="276">
        <v>0.17</v>
      </c>
      <c r="W2135" s="276">
        <v>0</v>
      </c>
      <c r="X2135" s="270">
        <v>1686</v>
      </c>
      <c r="Y2135" s="270">
        <v>345</v>
      </c>
      <c r="Z2135" s="45" t="b">
        <v>1</v>
      </c>
      <c r="AA2135" s="45" t="s">
        <v>38</v>
      </c>
      <c r="AB2135" s="45" t="s">
        <v>38</v>
      </c>
    </row>
    <row r="2136" spans="1:28" x14ac:dyDescent="0.2">
      <c r="A2136" s="279" t="s">
        <v>232</v>
      </c>
      <c r="B2136" s="279" t="s">
        <v>198</v>
      </c>
      <c r="C2136" s="282">
        <v>44866</v>
      </c>
      <c r="D2136" s="282">
        <v>44895</v>
      </c>
      <c r="E2136" s="279" t="s">
        <v>267</v>
      </c>
      <c r="F2136" s="133" t="s">
        <v>41</v>
      </c>
      <c r="G2136" s="270" t="s">
        <v>35</v>
      </c>
      <c r="H2136" s="272" t="s">
        <v>39</v>
      </c>
      <c r="I2136" s="273">
        <v>5</v>
      </c>
      <c r="J2136" s="270">
        <v>2</v>
      </c>
      <c r="K2136" s="270">
        <f t="shared" si="0"/>
        <v>10</v>
      </c>
      <c r="L2136" s="270">
        <v>-424</v>
      </c>
      <c r="M2136" s="270">
        <v>-10</v>
      </c>
      <c r="N2136" s="274">
        <v>1</v>
      </c>
      <c r="O2136" s="55"/>
      <c r="P2136" s="45">
        <v>1</v>
      </c>
      <c r="Q2136" s="270">
        <v>-5</v>
      </c>
      <c r="R2136" s="275">
        <v>0</v>
      </c>
      <c r="S2136" s="270">
        <v>-5</v>
      </c>
      <c r="T2136" s="270">
        <v>-9</v>
      </c>
      <c r="U2136" s="57">
        <v>1</v>
      </c>
      <c r="V2136" s="276">
        <v>0.17</v>
      </c>
      <c r="W2136" s="276">
        <v>0</v>
      </c>
      <c r="X2136" s="270">
        <v>-7</v>
      </c>
      <c r="Y2136" s="270">
        <v>-2</v>
      </c>
      <c r="Z2136" s="45" t="b">
        <v>1</v>
      </c>
      <c r="AA2136" s="45" t="s">
        <v>38</v>
      </c>
      <c r="AB2136" s="45" t="s">
        <v>38</v>
      </c>
    </row>
    <row r="2137" spans="1:28" x14ac:dyDescent="0.2">
      <c r="A2137" s="279" t="s">
        <v>232</v>
      </c>
      <c r="B2137" s="279" t="s">
        <v>198</v>
      </c>
      <c r="C2137" s="282">
        <v>44866</v>
      </c>
      <c r="D2137" s="282">
        <v>44895</v>
      </c>
      <c r="E2137" s="279" t="s">
        <v>267</v>
      </c>
      <c r="F2137" s="133" t="s">
        <v>41</v>
      </c>
      <c r="G2137" s="270" t="s">
        <v>35</v>
      </c>
      <c r="H2137" s="272" t="s">
        <v>87</v>
      </c>
      <c r="I2137" s="273">
        <v>25</v>
      </c>
      <c r="J2137" s="270">
        <v>1</v>
      </c>
      <c r="K2137" s="270">
        <f t="shared" si="0"/>
        <v>25</v>
      </c>
      <c r="L2137" s="270"/>
      <c r="M2137" s="270">
        <v>-35</v>
      </c>
      <c r="N2137" s="274">
        <v>1</v>
      </c>
      <c r="O2137" s="55"/>
      <c r="P2137" s="45">
        <v>1</v>
      </c>
      <c r="Q2137" s="270"/>
      <c r="R2137" s="275">
        <v>0</v>
      </c>
      <c r="S2137" s="270"/>
      <c r="T2137" s="270">
        <v>-34</v>
      </c>
      <c r="U2137" s="57">
        <v>1</v>
      </c>
      <c r="V2137" s="276">
        <v>0.17</v>
      </c>
      <c r="W2137" s="276">
        <v>0</v>
      </c>
      <c r="X2137" s="270">
        <v>-28</v>
      </c>
      <c r="Y2137" s="270">
        <v>-6</v>
      </c>
      <c r="Z2137" s="45" t="b">
        <v>1</v>
      </c>
      <c r="AA2137" s="45" t="s">
        <v>38</v>
      </c>
      <c r="AB2137" s="45" t="s">
        <v>38</v>
      </c>
    </row>
    <row r="2138" spans="1:28" x14ac:dyDescent="0.2">
      <c r="A2138" s="279" t="s">
        <v>232</v>
      </c>
      <c r="B2138" s="279" t="s">
        <v>198</v>
      </c>
      <c r="C2138" s="282">
        <v>44866</v>
      </c>
      <c r="D2138" s="282">
        <v>44895</v>
      </c>
      <c r="E2138" s="279" t="s">
        <v>267</v>
      </c>
      <c r="F2138" s="133" t="s">
        <v>41</v>
      </c>
      <c r="G2138" s="270" t="s">
        <v>35</v>
      </c>
      <c r="H2138" s="272" t="s">
        <v>72</v>
      </c>
      <c r="I2138" s="273">
        <v>50</v>
      </c>
      <c r="J2138" s="270">
        <v>3</v>
      </c>
      <c r="K2138" s="270">
        <f t="shared" si="0"/>
        <v>150</v>
      </c>
      <c r="L2138" s="270">
        <v>-103</v>
      </c>
      <c r="M2138" s="270">
        <v>-150</v>
      </c>
      <c r="N2138" s="274">
        <v>8</v>
      </c>
      <c r="O2138" s="55"/>
      <c r="P2138" s="45">
        <v>8</v>
      </c>
      <c r="Q2138" s="270">
        <v>-19</v>
      </c>
      <c r="R2138" s="275">
        <v>0</v>
      </c>
      <c r="S2138" s="270">
        <v>-19</v>
      </c>
      <c r="T2138" s="270">
        <v>-142</v>
      </c>
      <c r="U2138" s="57">
        <v>1</v>
      </c>
      <c r="V2138" s="276">
        <v>0.17</v>
      </c>
      <c r="W2138" s="276">
        <v>0</v>
      </c>
      <c r="X2138" s="270">
        <v>-118</v>
      </c>
      <c r="Y2138" s="270">
        <v>-24</v>
      </c>
      <c r="Z2138" s="45" t="b">
        <v>1</v>
      </c>
      <c r="AA2138" s="45" t="s">
        <v>38</v>
      </c>
      <c r="AB2138" s="45" t="s">
        <v>38</v>
      </c>
    </row>
    <row r="2139" spans="1:28" x14ac:dyDescent="0.2">
      <c r="A2139" s="279" t="s">
        <v>98</v>
      </c>
      <c r="B2139" s="279" t="s">
        <v>98</v>
      </c>
      <c r="C2139" s="277">
        <v>44866</v>
      </c>
      <c r="D2139" s="277">
        <v>44895</v>
      </c>
      <c r="E2139" s="279" t="s">
        <v>267</v>
      </c>
      <c r="F2139" s="133" t="s">
        <v>49</v>
      </c>
      <c r="G2139" s="270" t="s">
        <v>35</v>
      </c>
      <c r="H2139" s="272" t="s">
        <v>84</v>
      </c>
      <c r="I2139" s="273">
        <v>100</v>
      </c>
      <c r="J2139" s="270">
        <v>32</v>
      </c>
      <c r="K2139" s="270">
        <f t="shared" si="0"/>
        <v>3200</v>
      </c>
      <c r="L2139" s="270">
        <v>1484</v>
      </c>
      <c r="M2139" s="270">
        <v>900</v>
      </c>
      <c r="N2139" s="274">
        <v>110</v>
      </c>
      <c r="O2139" s="55"/>
      <c r="P2139" s="45">
        <v>110</v>
      </c>
      <c r="Q2139" s="270">
        <v>292</v>
      </c>
      <c r="R2139" s="275">
        <v>-3.3679999999999999E-3</v>
      </c>
      <c r="S2139" s="270">
        <v>281</v>
      </c>
      <c r="T2139" s="270">
        <v>391</v>
      </c>
      <c r="U2139" s="57">
        <v>1</v>
      </c>
      <c r="V2139" s="276">
        <v>0.17</v>
      </c>
      <c r="W2139" s="276">
        <v>0</v>
      </c>
      <c r="X2139" s="270">
        <v>325</v>
      </c>
      <c r="Y2139" s="270">
        <v>67</v>
      </c>
      <c r="Z2139" s="45" t="b">
        <v>1</v>
      </c>
      <c r="AA2139" s="45" t="s">
        <v>38</v>
      </c>
      <c r="AB2139" s="45" t="s">
        <v>38</v>
      </c>
    </row>
    <row r="2140" spans="1:28" x14ac:dyDescent="0.2">
      <c r="A2140" s="279" t="s">
        <v>98</v>
      </c>
      <c r="B2140" s="279" t="s">
        <v>98</v>
      </c>
      <c r="C2140" s="277">
        <v>44866</v>
      </c>
      <c r="D2140" s="277">
        <v>44895</v>
      </c>
      <c r="E2140" s="279" t="s">
        <v>267</v>
      </c>
      <c r="F2140" s="133" t="s">
        <v>49</v>
      </c>
      <c r="G2140" s="270" t="s">
        <v>35</v>
      </c>
      <c r="H2140" s="272" t="s">
        <v>87</v>
      </c>
      <c r="I2140" s="273">
        <v>25</v>
      </c>
      <c r="J2140" s="270">
        <v>733</v>
      </c>
      <c r="K2140" s="270">
        <f t="shared" si="0"/>
        <v>18325</v>
      </c>
      <c r="L2140" s="270">
        <v>21331</v>
      </c>
      <c r="M2140" s="270">
        <v>800</v>
      </c>
      <c r="N2140" s="274">
        <v>758</v>
      </c>
      <c r="O2140" s="55"/>
      <c r="P2140" s="45">
        <v>758</v>
      </c>
      <c r="Q2140" s="270">
        <v>484</v>
      </c>
      <c r="R2140" s="275">
        <v>-3.235E-3</v>
      </c>
      <c r="S2140" s="270">
        <v>425</v>
      </c>
      <c r="T2140" s="270">
        <v>1183</v>
      </c>
      <c r="U2140" s="57">
        <v>1</v>
      </c>
      <c r="V2140" s="276">
        <v>0.17</v>
      </c>
      <c r="W2140" s="276">
        <v>0</v>
      </c>
      <c r="X2140" s="270">
        <v>982</v>
      </c>
      <c r="Y2140" s="270">
        <v>201</v>
      </c>
      <c r="Z2140" s="45" t="b">
        <v>1</v>
      </c>
      <c r="AA2140" s="45" t="s">
        <v>38</v>
      </c>
      <c r="AB2140" s="45" t="s">
        <v>38</v>
      </c>
    </row>
    <row r="2141" spans="1:28" x14ac:dyDescent="0.2">
      <c r="A2141" s="279" t="s">
        <v>98</v>
      </c>
      <c r="B2141" s="279" t="s">
        <v>98</v>
      </c>
      <c r="C2141" s="277">
        <v>44866</v>
      </c>
      <c r="D2141" s="277">
        <v>44895</v>
      </c>
      <c r="E2141" s="279" t="s">
        <v>267</v>
      </c>
      <c r="F2141" s="133" t="s">
        <v>49</v>
      </c>
      <c r="G2141" s="270" t="s">
        <v>35</v>
      </c>
      <c r="H2141" s="272" t="s">
        <v>85</v>
      </c>
      <c r="I2141" s="273">
        <v>50</v>
      </c>
      <c r="J2141" s="270">
        <v>10829</v>
      </c>
      <c r="K2141" s="270">
        <f t="shared" si="0"/>
        <v>541450</v>
      </c>
      <c r="L2141" s="270">
        <v>104819</v>
      </c>
      <c r="M2141" s="270">
        <v>-5500</v>
      </c>
      <c r="N2141" s="274">
        <v>22411</v>
      </c>
      <c r="O2141" s="55"/>
      <c r="P2141" s="105">
        <v>22411</v>
      </c>
      <c r="Q2141" s="270">
        <v>-18188</v>
      </c>
      <c r="R2141" s="275">
        <v>-3.0370000000000002E-3</v>
      </c>
      <c r="S2141" s="270">
        <v>-19832</v>
      </c>
      <c r="T2141" s="270">
        <v>2579</v>
      </c>
      <c r="U2141" s="57">
        <v>1</v>
      </c>
      <c r="V2141" s="276">
        <v>0.17</v>
      </c>
      <c r="W2141" s="276">
        <v>0</v>
      </c>
      <c r="X2141" s="270">
        <v>2140</v>
      </c>
      <c r="Y2141" s="270">
        <v>438</v>
      </c>
      <c r="Z2141" s="45" t="b">
        <v>1</v>
      </c>
      <c r="AA2141" s="45" t="s">
        <v>38</v>
      </c>
      <c r="AB2141" s="45" t="s">
        <v>38</v>
      </c>
    </row>
    <row r="2142" spans="1:28" x14ac:dyDescent="0.2">
      <c r="A2142" s="279" t="s">
        <v>98</v>
      </c>
      <c r="B2142" s="279" t="s">
        <v>98</v>
      </c>
      <c r="C2142" s="277">
        <v>44866</v>
      </c>
      <c r="D2142" s="277">
        <v>44895</v>
      </c>
      <c r="E2142" s="279" t="s">
        <v>267</v>
      </c>
      <c r="F2142" s="133" t="s">
        <v>41</v>
      </c>
      <c r="G2142" s="270" t="s">
        <v>35</v>
      </c>
      <c r="H2142" s="272" t="s">
        <v>115</v>
      </c>
      <c r="I2142" s="273">
        <v>10</v>
      </c>
      <c r="J2142" s="270">
        <v>83</v>
      </c>
      <c r="K2142" s="270">
        <f t="shared" si="0"/>
        <v>830</v>
      </c>
      <c r="L2142" s="270"/>
      <c r="M2142" s="270">
        <v>-40</v>
      </c>
      <c r="N2142" s="274">
        <v>40</v>
      </c>
      <c r="O2142" s="55"/>
      <c r="P2142" s="45">
        <v>40</v>
      </c>
      <c r="Q2142" s="270"/>
      <c r="R2142" s="275">
        <v>0</v>
      </c>
      <c r="S2142" s="270"/>
      <c r="T2142" s="270">
        <v>0</v>
      </c>
      <c r="U2142" s="57">
        <v>1</v>
      </c>
      <c r="V2142" s="276">
        <v>0.17</v>
      </c>
      <c r="W2142" s="276">
        <v>0</v>
      </c>
      <c r="X2142" s="270">
        <v>0</v>
      </c>
      <c r="Y2142" s="270">
        <v>0</v>
      </c>
      <c r="Z2142" s="45" t="b">
        <v>1</v>
      </c>
      <c r="AA2142" s="45" t="s">
        <v>38</v>
      </c>
      <c r="AB2142" s="45" t="s">
        <v>38</v>
      </c>
    </row>
    <row r="2143" spans="1:28" x14ac:dyDescent="0.2">
      <c r="A2143" s="279" t="s">
        <v>600</v>
      </c>
      <c r="B2143" s="279" t="s">
        <v>117</v>
      </c>
      <c r="C2143" s="282">
        <v>44866</v>
      </c>
      <c r="D2143" s="282">
        <v>44895</v>
      </c>
      <c r="E2143" s="279" t="s">
        <v>267</v>
      </c>
      <c r="F2143" s="96" t="s">
        <v>34</v>
      </c>
      <c r="G2143" s="279" t="s">
        <v>69</v>
      </c>
      <c r="H2143" s="289" t="s">
        <v>71</v>
      </c>
      <c r="I2143" s="280">
        <v>20</v>
      </c>
      <c r="J2143" s="279">
        <v>6194</v>
      </c>
      <c r="K2143" s="270">
        <f t="shared" si="0"/>
        <v>123880</v>
      </c>
      <c r="L2143" s="279">
        <v>241827</v>
      </c>
      <c r="M2143" s="279">
        <v>-420</v>
      </c>
      <c r="N2143" s="281">
        <f>6077-500</f>
        <v>5577</v>
      </c>
      <c r="O2143" s="55"/>
      <c r="P2143" s="105">
        <v>5577</v>
      </c>
      <c r="Q2143" s="279">
        <v>1120</v>
      </c>
      <c r="R2143" s="275">
        <v>1.9000000000000001E-4</v>
      </c>
      <c r="S2143" s="279">
        <v>1143</v>
      </c>
      <c r="T2143" s="279">
        <v>6720</v>
      </c>
      <c r="U2143" s="57">
        <v>1</v>
      </c>
      <c r="V2143" s="276">
        <v>0.12</v>
      </c>
      <c r="W2143" s="276">
        <v>0</v>
      </c>
      <c r="X2143" s="279">
        <v>5914</v>
      </c>
      <c r="Y2143" s="279">
        <v>806</v>
      </c>
      <c r="Z2143" s="45" t="b">
        <v>1</v>
      </c>
      <c r="AA2143" s="45" t="s">
        <v>38</v>
      </c>
      <c r="AB2143" s="45" t="s">
        <v>38</v>
      </c>
    </row>
    <row r="2144" spans="1:28" x14ac:dyDescent="0.2">
      <c r="A2144" s="279" t="s">
        <v>225</v>
      </c>
      <c r="B2144" s="279" t="s">
        <v>204</v>
      </c>
      <c r="C2144" s="277">
        <v>44866</v>
      </c>
      <c r="D2144" s="277">
        <v>44895</v>
      </c>
      <c r="E2144" s="279" t="s">
        <v>267</v>
      </c>
      <c r="F2144" s="133" t="s">
        <v>49</v>
      </c>
      <c r="G2144" s="270" t="s">
        <v>35</v>
      </c>
      <c r="H2144" s="272" t="s">
        <v>46</v>
      </c>
      <c r="I2144" s="273">
        <v>25</v>
      </c>
      <c r="J2144" s="270">
        <v>3619</v>
      </c>
      <c r="K2144" s="270">
        <f t="shared" si="0"/>
        <v>90475</v>
      </c>
      <c r="L2144" s="270">
        <v>56968</v>
      </c>
      <c r="M2144" s="270">
        <v>-500</v>
      </c>
      <c r="N2144" s="274">
        <v>3738</v>
      </c>
      <c r="O2144" s="55"/>
      <c r="P2144" s="105">
        <v>3738</v>
      </c>
      <c r="Q2144" s="270">
        <v>-3150</v>
      </c>
      <c r="R2144" s="275">
        <v>-3.0339999999999998E-3</v>
      </c>
      <c r="S2144" s="270">
        <v>-3424</v>
      </c>
      <c r="T2144" s="270">
        <v>314</v>
      </c>
      <c r="U2144" s="57">
        <v>1</v>
      </c>
      <c r="V2144" s="276">
        <v>0.3</v>
      </c>
      <c r="W2144" s="276">
        <v>0</v>
      </c>
      <c r="X2144" s="270">
        <v>220</v>
      </c>
      <c r="Y2144" s="270">
        <v>94</v>
      </c>
      <c r="Z2144" s="45" t="b">
        <v>1</v>
      </c>
      <c r="AA2144" s="45" t="s">
        <v>38</v>
      </c>
      <c r="AB2144" s="45" t="s">
        <v>38</v>
      </c>
    </row>
    <row r="2145" spans="1:28" x14ac:dyDescent="0.2">
      <c r="A2145" s="279" t="s">
        <v>225</v>
      </c>
      <c r="B2145" s="279" t="s">
        <v>204</v>
      </c>
      <c r="C2145" s="277">
        <v>44866</v>
      </c>
      <c r="D2145" s="277">
        <v>44895</v>
      </c>
      <c r="E2145" s="279" t="s">
        <v>267</v>
      </c>
      <c r="F2145" s="133" t="s">
        <v>41</v>
      </c>
      <c r="G2145" s="270" t="s">
        <v>35</v>
      </c>
      <c r="H2145" s="272" t="s">
        <v>72</v>
      </c>
      <c r="I2145" s="273">
        <v>50</v>
      </c>
      <c r="J2145" s="270">
        <v>8</v>
      </c>
      <c r="K2145" s="270">
        <f t="shared" si="0"/>
        <v>400</v>
      </c>
      <c r="L2145" s="270"/>
      <c r="M2145" s="270">
        <v>-50</v>
      </c>
      <c r="N2145" s="274">
        <v>17</v>
      </c>
      <c r="O2145" s="55"/>
      <c r="P2145" s="45">
        <v>17</v>
      </c>
      <c r="Q2145" s="270"/>
      <c r="R2145" s="275">
        <v>0</v>
      </c>
      <c r="S2145" s="270"/>
      <c r="T2145" s="270">
        <v>-33</v>
      </c>
      <c r="U2145" s="57">
        <v>1</v>
      </c>
      <c r="V2145" s="276">
        <v>0.3</v>
      </c>
      <c r="W2145" s="276">
        <v>0</v>
      </c>
      <c r="X2145" s="270">
        <v>-23</v>
      </c>
      <c r="Y2145" s="270">
        <v>-10</v>
      </c>
      <c r="Z2145" s="45" t="b">
        <v>1</v>
      </c>
      <c r="AA2145" s="45" t="s">
        <v>38</v>
      </c>
      <c r="AB2145" s="45" t="s">
        <v>38</v>
      </c>
    </row>
    <row r="2146" spans="1:28" x14ac:dyDescent="0.2">
      <c r="A2146" s="279" t="s">
        <v>205</v>
      </c>
      <c r="B2146" s="279" t="s">
        <v>205</v>
      </c>
      <c r="C2146" s="277">
        <v>44866</v>
      </c>
      <c r="D2146" s="277">
        <v>44895</v>
      </c>
      <c r="E2146" s="279" t="s">
        <v>267</v>
      </c>
      <c r="F2146" s="133" t="s">
        <v>41</v>
      </c>
      <c r="G2146" s="270" t="s">
        <v>35</v>
      </c>
      <c r="H2146" s="272" t="s">
        <v>39</v>
      </c>
      <c r="I2146" s="273">
        <v>5</v>
      </c>
      <c r="J2146" s="270">
        <v>13</v>
      </c>
      <c r="K2146" s="270">
        <f t="shared" si="0"/>
        <v>65</v>
      </c>
      <c r="L2146" s="270"/>
      <c r="M2146" s="270">
        <v>5</v>
      </c>
      <c r="N2146" s="274"/>
      <c r="O2146" s="55"/>
      <c r="P2146" s="96"/>
      <c r="Q2146" s="270"/>
      <c r="R2146" s="275">
        <v>0</v>
      </c>
      <c r="S2146" s="270"/>
      <c r="T2146" s="270">
        <v>5</v>
      </c>
      <c r="U2146" s="57">
        <v>1</v>
      </c>
      <c r="V2146" s="276">
        <v>0.3</v>
      </c>
      <c r="W2146" s="276">
        <v>0</v>
      </c>
      <c r="X2146" s="270">
        <v>4</v>
      </c>
      <c r="Y2146" s="270">
        <v>2</v>
      </c>
      <c r="Z2146" s="45" t="b">
        <v>1</v>
      </c>
      <c r="AA2146" s="45" t="s">
        <v>38</v>
      </c>
      <c r="AB2146" s="45" t="s">
        <v>38</v>
      </c>
    </row>
    <row r="2147" spans="1:28" x14ac:dyDescent="0.2">
      <c r="A2147" s="279" t="s">
        <v>205</v>
      </c>
      <c r="B2147" s="279" t="s">
        <v>205</v>
      </c>
      <c r="C2147" s="277">
        <v>44866</v>
      </c>
      <c r="D2147" s="277">
        <v>44895</v>
      </c>
      <c r="E2147" s="279" t="s">
        <v>267</v>
      </c>
      <c r="F2147" s="133" t="s">
        <v>41</v>
      </c>
      <c r="G2147" s="270" t="s">
        <v>35</v>
      </c>
      <c r="H2147" s="272" t="s">
        <v>40</v>
      </c>
      <c r="I2147" s="273">
        <v>10</v>
      </c>
      <c r="J2147" s="270">
        <v>3814</v>
      </c>
      <c r="K2147" s="270">
        <f t="shared" si="0"/>
        <v>38140</v>
      </c>
      <c r="L2147" s="270">
        <f>20*3814</f>
        <v>76280</v>
      </c>
      <c r="M2147" s="270">
        <v>-1520</v>
      </c>
      <c r="N2147" s="274">
        <v>698</v>
      </c>
      <c r="O2147" s="55"/>
      <c r="P2147" s="45">
        <v>698</v>
      </c>
      <c r="Q2147" s="270">
        <v>-1423</v>
      </c>
      <c r="R2147" s="275">
        <v>0</v>
      </c>
      <c r="S2147" s="270">
        <v>-1423</v>
      </c>
      <c r="T2147" s="270">
        <v>-822</v>
      </c>
      <c r="U2147" s="57">
        <v>1</v>
      </c>
      <c r="V2147" s="276">
        <v>0.3</v>
      </c>
      <c r="W2147" s="276">
        <v>0</v>
      </c>
      <c r="X2147" s="270">
        <v>-575</v>
      </c>
      <c r="Y2147" s="270">
        <v>-247</v>
      </c>
      <c r="Z2147" s="45" t="b">
        <v>1</v>
      </c>
      <c r="AA2147" s="45" t="s">
        <v>38</v>
      </c>
      <c r="AB2147" s="45" t="s">
        <v>38</v>
      </c>
    </row>
    <row r="2148" spans="1:28" x14ac:dyDescent="0.2">
      <c r="A2148" s="279" t="s">
        <v>205</v>
      </c>
      <c r="B2148" s="279" t="s">
        <v>205</v>
      </c>
      <c r="C2148" s="277">
        <v>44866</v>
      </c>
      <c r="D2148" s="277">
        <v>44895</v>
      </c>
      <c r="E2148" s="279" t="s">
        <v>267</v>
      </c>
      <c r="F2148" s="133" t="s">
        <v>41</v>
      </c>
      <c r="G2148" s="270" t="s">
        <v>35</v>
      </c>
      <c r="H2148" s="272" t="s">
        <v>115</v>
      </c>
      <c r="I2148" s="273">
        <v>10</v>
      </c>
      <c r="J2148" s="270">
        <v>2</v>
      </c>
      <c r="K2148" s="270">
        <f t="shared" si="0"/>
        <v>20</v>
      </c>
      <c r="L2148" s="270"/>
      <c r="M2148" s="270">
        <v>10</v>
      </c>
      <c r="N2148" s="274"/>
      <c r="O2148" s="55"/>
      <c r="P2148" s="96"/>
      <c r="Q2148" s="270"/>
      <c r="R2148" s="275">
        <v>0</v>
      </c>
      <c r="S2148" s="270"/>
      <c r="T2148" s="270">
        <v>10</v>
      </c>
      <c r="U2148" s="57">
        <v>1</v>
      </c>
      <c r="V2148" s="276">
        <v>0.3</v>
      </c>
      <c r="W2148" s="276">
        <v>0</v>
      </c>
      <c r="X2148" s="270">
        <v>7</v>
      </c>
      <c r="Y2148" s="270">
        <v>3</v>
      </c>
      <c r="Z2148" s="45" t="b">
        <v>1</v>
      </c>
      <c r="AA2148" s="45" t="s">
        <v>38</v>
      </c>
      <c r="AB2148" s="45" t="s">
        <v>38</v>
      </c>
    </row>
    <row r="2149" spans="1:28" x14ac:dyDescent="0.2">
      <c r="A2149" s="279" t="s">
        <v>133</v>
      </c>
      <c r="B2149" s="279" t="s">
        <v>133</v>
      </c>
      <c r="C2149" s="282">
        <v>44866</v>
      </c>
      <c r="D2149" s="282">
        <v>44895</v>
      </c>
      <c r="E2149" s="279" t="s">
        <v>267</v>
      </c>
      <c r="F2149" s="133" t="s">
        <v>41</v>
      </c>
      <c r="G2149" s="279" t="s">
        <v>61</v>
      </c>
      <c r="H2149" s="289" t="s">
        <v>183</v>
      </c>
      <c r="I2149" s="280">
        <v>2</v>
      </c>
      <c r="J2149" s="279">
        <v>1628</v>
      </c>
      <c r="K2149" s="270">
        <f t="shared" si="0"/>
        <v>3256</v>
      </c>
      <c r="L2149" s="279">
        <v>164052</v>
      </c>
      <c r="M2149" s="279">
        <v>20</v>
      </c>
      <c r="N2149" s="281">
        <v>91.18</v>
      </c>
      <c r="O2149" s="55"/>
      <c r="P2149" s="45">
        <v>91</v>
      </c>
      <c r="Q2149" s="279">
        <v>300</v>
      </c>
      <c r="R2149" s="275">
        <v>0</v>
      </c>
      <c r="S2149" s="279">
        <v>300</v>
      </c>
      <c r="T2149" s="279">
        <v>111</v>
      </c>
      <c r="U2149" s="57">
        <v>1</v>
      </c>
      <c r="V2149" s="276">
        <v>0.17</v>
      </c>
      <c r="W2149" s="276">
        <v>0</v>
      </c>
      <c r="X2149" s="279">
        <v>92</v>
      </c>
      <c r="Y2149" s="279">
        <v>19</v>
      </c>
      <c r="Z2149" s="45" t="b">
        <v>1</v>
      </c>
      <c r="AA2149" s="45" t="s">
        <v>50</v>
      </c>
      <c r="AB2149" s="45" t="s">
        <v>50</v>
      </c>
    </row>
    <row r="2150" spans="1:28" x14ac:dyDescent="0.2">
      <c r="A2150" s="279" t="s">
        <v>133</v>
      </c>
      <c r="B2150" s="279" t="s">
        <v>133</v>
      </c>
      <c r="C2150" s="282">
        <v>44866</v>
      </c>
      <c r="D2150" s="282">
        <v>44895</v>
      </c>
      <c r="E2150" s="279" t="s">
        <v>267</v>
      </c>
      <c r="F2150" s="133" t="s">
        <v>41</v>
      </c>
      <c r="G2150" s="279" t="s">
        <v>61</v>
      </c>
      <c r="H2150" s="289" t="s">
        <v>54</v>
      </c>
      <c r="I2150" s="280">
        <v>5</v>
      </c>
      <c r="J2150" s="279">
        <v>16</v>
      </c>
      <c r="K2150" s="270">
        <f t="shared" si="0"/>
        <v>80</v>
      </c>
      <c r="L2150" s="279">
        <v>1070</v>
      </c>
      <c r="M2150" s="279">
        <v>-25</v>
      </c>
      <c r="N2150" s="281">
        <v>0.36</v>
      </c>
      <c r="O2150" s="55"/>
      <c r="P2150" s="45">
        <v>0</v>
      </c>
      <c r="Q2150" s="279">
        <v>3</v>
      </c>
      <c r="R2150" s="275">
        <v>0</v>
      </c>
      <c r="S2150" s="279">
        <v>3</v>
      </c>
      <c r="T2150" s="279">
        <v>-25</v>
      </c>
      <c r="U2150" s="57">
        <v>1</v>
      </c>
      <c r="V2150" s="276">
        <v>0.17</v>
      </c>
      <c r="W2150" s="276">
        <v>0</v>
      </c>
      <c r="X2150" s="279">
        <v>-20</v>
      </c>
      <c r="Y2150" s="279">
        <v>-4</v>
      </c>
      <c r="Z2150" s="45" t="b">
        <v>1</v>
      </c>
      <c r="AA2150" s="45" t="s">
        <v>50</v>
      </c>
      <c r="AB2150" s="45" t="s">
        <v>50</v>
      </c>
    </row>
    <row r="2151" spans="1:28" x14ac:dyDescent="0.2">
      <c r="A2151" s="96" t="s">
        <v>33</v>
      </c>
      <c r="B2151" s="96" t="s">
        <v>33</v>
      </c>
      <c r="C2151" s="277">
        <v>44886</v>
      </c>
      <c r="D2151" s="277">
        <v>44915</v>
      </c>
      <c r="E2151" s="270" t="s">
        <v>267</v>
      </c>
      <c r="F2151" s="133" t="s">
        <v>34</v>
      </c>
      <c r="G2151" s="270" t="s">
        <v>35</v>
      </c>
      <c r="H2151" s="272" t="s">
        <v>36</v>
      </c>
      <c r="I2151" s="273">
        <v>2</v>
      </c>
      <c r="J2151" s="270">
        <v>1</v>
      </c>
      <c r="K2151" s="270">
        <f t="shared" si="0"/>
        <v>2</v>
      </c>
      <c r="L2151" s="270">
        <v>102</v>
      </c>
      <c r="M2151" s="270">
        <v>2</v>
      </c>
      <c r="N2151" s="274"/>
      <c r="O2151" s="55"/>
      <c r="P2151" s="96"/>
      <c r="Q2151" s="270">
        <v>0</v>
      </c>
      <c r="R2151" s="275">
        <v>1.9000000000000001E-4</v>
      </c>
      <c r="S2151" s="270">
        <v>0</v>
      </c>
      <c r="T2151" s="270">
        <v>0</v>
      </c>
      <c r="U2151" s="57">
        <v>1</v>
      </c>
      <c r="V2151" s="276">
        <v>0.17</v>
      </c>
      <c r="W2151" s="276">
        <v>0</v>
      </c>
      <c r="X2151" s="270">
        <v>0</v>
      </c>
      <c r="Y2151" s="270">
        <v>0</v>
      </c>
      <c r="Z2151" s="45" t="b">
        <v>1</v>
      </c>
      <c r="AA2151" s="45" t="s">
        <v>38</v>
      </c>
      <c r="AB2151" s="45" t="s">
        <v>38</v>
      </c>
    </row>
    <row r="2152" spans="1:28" x14ac:dyDescent="0.2">
      <c r="A2152" s="96" t="s">
        <v>33</v>
      </c>
      <c r="B2152" s="96" t="s">
        <v>33</v>
      </c>
      <c r="C2152" s="277">
        <v>44886</v>
      </c>
      <c r="D2152" s="277">
        <v>44915</v>
      </c>
      <c r="E2152" s="270" t="s">
        <v>267</v>
      </c>
      <c r="F2152" s="133" t="s">
        <v>34</v>
      </c>
      <c r="G2152" s="270" t="s">
        <v>35</v>
      </c>
      <c r="H2152" s="272" t="s">
        <v>39</v>
      </c>
      <c r="I2152" s="273">
        <v>5</v>
      </c>
      <c r="J2152" s="270">
        <v>695</v>
      </c>
      <c r="K2152" s="270">
        <f t="shared" si="0"/>
        <v>3475</v>
      </c>
      <c r="L2152" s="270">
        <v>51600</v>
      </c>
      <c r="M2152" s="270">
        <v>80</v>
      </c>
      <c r="N2152" s="274">
        <v>239</v>
      </c>
      <c r="O2152" s="55"/>
      <c r="P2152" s="45">
        <v>239</v>
      </c>
      <c r="Q2152" s="270">
        <v>160</v>
      </c>
      <c r="R2152" s="275">
        <v>1.9000000000000001E-4</v>
      </c>
      <c r="S2152" s="270">
        <v>161</v>
      </c>
      <c r="T2152" s="270">
        <v>400</v>
      </c>
      <c r="U2152" s="57">
        <v>1</v>
      </c>
      <c r="V2152" s="276">
        <v>0.17</v>
      </c>
      <c r="W2152" s="276">
        <v>0</v>
      </c>
      <c r="X2152" s="270">
        <v>332</v>
      </c>
      <c r="Y2152" s="270">
        <v>68</v>
      </c>
      <c r="Z2152" s="45" t="b">
        <v>1</v>
      </c>
      <c r="AA2152" s="45" t="s">
        <v>38</v>
      </c>
      <c r="AB2152" s="45" t="s">
        <v>38</v>
      </c>
    </row>
    <row r="2153" spans="1:28" x14ac:dyDescent="0.2">
      <c r="A2153" s="96" t="s">
        <v>33</v>
      </c>
      <c r="B2153" s="96" t="s">
        <v>33</v>
      </c>
      <c r="C2153" s="277">
        <v>44886</v>
      </c>
      <c r="D2153" s="277">
        <v>44915</v>
      </c>
      <c r="E2153" s="270" t="s">
        <v>267</v>
      </c>
      <c r="F2153" s="133" t="s">
        <v>34</v>
      </c>
      <c r="G2153" s="270" t="s">
        <v>35</v>
      </c>
      <c r="H2153" s="272" t="s">
        <v>40</v>
      </c>
      <c r="I2153" s="273">
        <v>10</v>
      </c>
      <c r="J2153" s="270">
        <v>1210</v>
      </c>
      <c r="K2153" s="270">
        <f t="shared" si="0"/>
        <v>12100</v>
      </c>
      <c r="L2153" s="270">
        <v>46480</v>
      </c>
      <c r="M2153" s="270">
        <v>1340</v>
      </c>
      <c r="N2153" s="274">
        <v>730</v>
      </c>
      <c r="O2153" s="55"/>
      <c r="P2153" s="45">
        <v>730</v>
      </c>
      <c r="Q2153" s="270">
        <v>-47</v>
      </c>
      <c r="R2153" s="275">
        <v>1.9000000000000001E-4</v>
      </c>
      <c r="S2153" s="270">
        <v>-45</v>
      </c>
      <c r="T2153" s="270">
        <v>685</v>
      </c>
      <c r="U2153" s="57">
        <v>1</v>
      </c>
      <c r="V2153" s="276">
        <v>0.17</v>
      </c>
      <c r="W2153" s="276">
        <v>0</v>
      </c>
      <c r="X2153" s="270">
        <v>569</v>
      </c>
      <c r="Y2153" s="270">
        <v>117</v>
      </c>
      <c r="Z2153" s="45" t="b">
        <v>1</v>
      </c>
      <c r="AA2153" s="45" t="s">
        <v>38</v>
      </c>
      <c r="AB2153" s="45" t="s">
        <v>38</v>
      </c>
    </row>
    <row r="2154" spans="1:28" x14ac:dyDescent="0.2">
      <c r="A2154" s="96" t="s">
        <v>33</v>
      </c>
      <c r="B2154" s="96" t="s">
        <v>33</v>
      </c>
      <c r="C2154" s="277">
        <v>44886</v>
      </c>
      <c r="D2154" s="277">
        <v>44915</v>
      </c>
      <c r="E2154" s="270" t="s">
        <v>267</v>
      </c>
      <c r="F2154" s="133" t="s">
        <v>41</v>
      </c>
      <c r="G2154" s="270" t="s">
        <v>35</v>
      </c>
      <c r="H2154" s="272" t="s">
        <v>42</v>
      </c>
      <c r="I2154" s="273">
        <v>1</v>
      </c>
      <c r="J2154" s="270">
        <v>1</v>
      </c>
      <c r="K2154" s="270">
        <f t="shared" si="0"/>
        <v>1</v>
      </c>
      <c r="L2154" s="270"/>
      <c r="M2154" s="270">
        <v>-1</v>
      </c>
      <c r="N2154" s="274"/>
      <c r="O2154" s="55"/>
      <c r="P2154" s="96"/>
      <c r="Q2154" s="270"/>
      <c r="R2154" s="275">
        <v>0</v>
      </c>
      <c r="S2154" s="270"/>
      <c r="T2154" s="270">
        <v>-1</v>
      </c>
      <c r="U2154" s="57">
        <v>1</v>
      </c>
      <c r="V2154" s="276">
        <v>0.17</v>
      </c>
      <c r="W2154" s="276">
        <v>0</v>
      </c>
      <c r="X2154" s="270">
        <v>-1</v>
      </c>
      <c r="Y2154" s="270">
        <v>0</v>
      </c>
      <c r="Z2154" s="45" t="b">
        <v>1</v>
      </c>
      <c r="AA2154" s="45" t="s">
        <v>38</v>
      </c>
      <c r="AB2154" s="45" t="s">
        <v>38</v>
      </c>
    </row>
    <row r="2155" spans="1:28" x14ac:dyDescent="0.2">
      <c r="A2155" s="96" t="s">
        <v>33</v>
      </c>
      <c r="B2155" s="96" t="s">
        <v>33</v>
      </c>
      <c r="C2155" s="277">
        <v>44886</v>
      </c>
      <c r="D2155" s="277">
        <v>44915</v>
      </c>
      <c r="E2155" s="270" t="s">
        <v>267</v>
      </c>
      <c r="F2155" s="133" t="s">
        <v>41</v>
      </c>
      <c r="G2155" s="270" t="s">
        <v>35</v>
      </c>
      <c r="H2155" s="272" t="s">
        <v>43</v>
      </c>
      <c r="I2155" s="273">
        <v>2</v>
      </c>
      <c r="J2155" s="270">
        <v>1</v>
      </c>
      <c r="K2155" s="270">
        <f t="shared" si="0"/>
        <v>2</v>
      </c>
      <c r="L2155" s="270"/>
      <c r="M2155" s="270">
        <v>-2</v>
      </c>
      <c r="N2155" s="274"/>
      <c r="O2155" s="55"/>
      <c r="P2155" s="96"/>
      <c r="Q2155" s="270"/>
      <c r="R2155" s="275">
        <v>0</v>
      </c>
      <c r="S2155" s="270"/>
      <c r="T2155" s="270">
        <v>-2</v>
      </c>
      <c r="U2155" s="57">
        <v>1</v>
      </c>
      <c r="V2155" s="276">
        <v>0.17</v>
      </c>
      <c r="W2155" s="276">
        <v>0</v>
      </c>
      <c r="X2155" s="270">
        <v>-2</v>
      </c>
      <c r="Y2155" s="270">
        <v>0</v>
      </c>
      <c r="Z2155" s="45" t="b">
        <v>1</v>
      </c>
      <c r="AA2155" s="45" t="s">
        <v>38</v>
      </c>
      <c r="AB2155" s="45" t="s">
        <v>38</v>
      </c>
    </row>
    <row r="2156" spans="1:28" x14ac:dyDescent="0.2">
      <c r="A2156" s="96" t="s">
        <v>33</v>
      </c>
      <c r="B2156" s="96" t="s">
        <v>33</v>
      </c>
      <c r="C2156" s="277">
        <v>44886</v>
      </c>
      <c r="D2156" s="277">
        <v>44915</v>
      </c>
      <c r="E2156" s="270" t="s">
        <v>267</v>
      </c>
      <c r="F2156" s="133" t="s">
        <v>41</v>
      </c>
      <c r="G2156" s="270" t="s">
        <v>35</v>
      </c>
      <c r="H2156" s="272" t="s">
        <v>45</v>
      </c>
      <c r="I2156" s="273">
        <v>0.25</v>
      </c>
      <c r="J2156" s="270">
        <v>1</v>
      </c>
      <c r="K2156" s="270">
        <f t="shared" si="0"/>
        <v>0.25</v>
      </c>
      <c r="L2156" s="270"/>
      <c r="M2156" s="270">
        <v>0</v>
      </c>
      <c r="N2156" s="274"/>
      <c r="O2156" s="55"/>
      <c r="P2156" s="96"/>
      <c r="Q2156" s="270"/>
      <c r="R2156" s="275">
        <v>0</v>
      </c>
      <c r="S2156" s="270"/>
      <c r="T2156" s="270">
        <v>0</v>
      </c>
      <c r="U2156" s="57">
        <v>1</v>
      </c>
      <c r="V2156" s="276">
        <v>0.17</v>
      </c>
      <c r="W2156" s="276">
        <v>0</v>
      </c>
      <c r="X2156" s="270">
        <v>0</v>
      </c>
      <c r="Y2156" s="270">
        <v>0</v>
      </c>
      <c r="Z2156" s="45" t="b">
        <v>1</v>
      </c>
      <c r="AA2156" s="45" t="s">
        <v>38</v>
      </c>
      <c r="AB2156" s="45" t="s">
        <v>38</v>
      </c>
    </row>
    <row r="2157" spans="1:28" x14ac:dyDescent="0.2">
      <c r="A2157" s="96" t="s">
        <v>33</v>
      </c>
      <c r="B2157" s="96" t="s">
        <v>33</v>
      </c>
      <c r="C2157" s="277">
        <v>44886</v>
      </c>
      <c r="D2157" s="277">
        <v>44915</v>
      </c>
      <c r="E2157" s="270" t="s">
        <v>267</v>
      </c>
      <c r="F2157" s="133" t="s">
        <v>41</v>
      </c>
      <c r="G2157" s="270" t="s">
        <v>35</v>
      </c>
      <c r="H2157" s="272" t="s">
        <v>46</v>
      </c>
      <c r="I2157" s="273">
        <v>25</v>
      </c>
      <c r="J2157" s="270">
        <v>2</v>
      </c>
      <c r="K2157" s="270">
        <f t="shared" si="0"/>
        <v>50</v>
      </c>
      <c r="L2157" s="270"/>
      <c r="M2157" s="270">
        <v>0</v>
      </c>
      <c r="N2157" s="274">
        <v>3</v>
      </c>
      <c r="O2157" s="55"/>
      <c r="P2157" s="45">
        <v>3</v>
      </c>
      <c r="Q2157" s="270"/>
      <c r="R2157" s="275">
        <v>0</v>
      </c>
      <c r="S2157" s="270"/>
      <c r="T2157" s="270">
        <v>3</v>
      </c>
      <c r="U2157" s="57">
        <v>1</v>
      </c>
      <c r="V2157" s="276">
        <v>0.17</v>
      </c>
      <c r="W2157" s="276">
        <v>0</v>
      </c>
      <c r="X2157" s="270">
        <v>2</v>
      </c>
      <c r="Y2157" s="270">
        <v>1</v>
      </c>
      <c r="Z2157" s="45" t="b">
        <v>1</v>
      </c>
      <c r="AA2157" s="45" t="s">
        <v>38</v>
      </c>
      <c r="AB2157" s="45" t="s">
        <v>38</v>
      </c>
    </row>
    <row r="2158" spans="1:28" x14ac:dyDescent="0.2">
      <c r="A2158" s="96" t="s">
        <v>33</v>
      </c>
      <c r="B2158" s="96" t="s">
        <v>33</v>
      </c>
      <c r="C2158" s="277">
        <v>44886</v>
      </c>
      <c r="D2158" s="277">
        <v>44915</v>
      </c>
      <c r="E2158" s="270" t="s">
        <v>267</v>
      </c>
      <c r="F2158" s="133" t="s">
        <v>41</v>
      </c>
      <c r="G2158" s="270" t="s">
        <v>35</v>
      </c>
      <c r="H2158" s="272" t="s">
        <v>47</v>
      </c>
      <c r="I2158" s="273">
        <v>1</v>
      </c>
      <c r="J2158" s="270">
        <v>2</v>
      </c>
      <c r="K2158" s="270">
        <f t="shared" si="0"/>
        <v>2</v>
      </c>
      <c r="L2158" s="270"/>
      <c r="M2158" s="270">
        <v>-2</v>
      </c>
      <c r="N2158" s="274"/>
      <c r="O2158" s="55"/>
      <c r="P2158" s="96"/>
      <c r="Q2158" s="270"/>
      <c r="R2158" s="275">
        <v>0</v>
      </c>
      <c r="S2158" s="270"/>
      <c r="T2158" s="270">
        <v>-2</v>
      </c>
      <c r="U2158" s="57">
        <v>1</v>
      </c>
      <c r="V2158" s="276">
        <v>0.17</v>
      </c>
      <c r="W2158" s="276">
        <v>0</v>
      </c>
      <c r="X2158" s="270">
        <v>-2</v>
      </c>
      <c r="Y2158" s="270">
        <v>0</v>
      </c>
      <c r="Z2158" s="45" t="b">
        <v>1</v>
      </c>
      <c r="AA2158" s="45" t="s">
        <v>38</v>
      </c>
      <c r="AB2158" s="45" t="s">
        <v>38</v>
      </c>
    </row>
    <row r="2159" spans="1:28" x14ac:dyDescent="0.2">
      <c r="A2159" s="96" t="s">
        <v>82</v>
      </c>
      <c r="B2159" s="96" t="s">
        <v>82</v>
      </c>
      <c r="C2159" s="277">
        <v>44886</v>
      </c>
      <c r="D2159" s="277">
        <v>44915</v>
      </c>
      <c r="E2159" s="270" t="s">
        <v>300</v>
      </c>
      <c r="F2159" s="133" t="s">
        <v>34</v>
      </c>
      <c r="G2159" s="96" t="s">
        <v>35</v>
      </c>
      <c r="H2159" s="272" t="s">
        <v>70</v>
      </c>
      <c r="I2159" s="273">
        <v>100</v>
      </c>
      <c r="J2159" s="270">
        <v>1325</v>
      </c>
      <c r="K2159" s="270">
        <f t="shared" si="0"/>
        <v>132500</v>
      </c>
      <c r="L2159" s="270">
        <v>5170</v>
      </c>
      <c r="M2159" s="270">
        <v>-7900</v>
      </c>
      <c r="N2159" s="274">
        <v>5176</v>
      </c>
      <c r="O2159" s="55"/>
      <c r="P2159" s="105">
        <v>5176</v>
      </c>
      <c r="Q2159" s="270">
        <v>-6187</v>
      </c>
      <c r="R2159" s="275">
        <v>1.9000000000000001E-4</v>
      </c>
      <c r="S2159" s="270">
        <v>-6162</v>
      </c>
      <c r="T2159" s="270">
        <v>-986</v>
      </c>
      <c r="U2159" s="57">
        <v>1</v>
      </c>
      <c r="V2159" s="276">
        <v>0.15</v>
      </c>
      <c r="W2159" s="276">
        <v>0.05</v>
      </c>
      <c r="X2159" s="270">
        <v>-789</v>
      </c>
      <c r="Y2159" s="270">
        <v>-197</v>
      </c>
      <c r="Z2159" s="45" t="b">
        <v>1</v>
      </c>
      <c r="AA2159" s="45" t="s">
        <v>38</v>
      </c>
      <c r="AB2159" s="45" t="s">
        <v>38</v>
      </c>
    </row>
    <row r="2160" spans="1:28" x14ac:dyDescent="0.2">
      <c r="A2160" s="96" t="s">
        <v>82</v>
      </c>
      <c r="B2160" s="96" t="s">
        <v>82</v>
      </c>
      <c r="C2160" s="277">
        <v>44886</v>
      </c>
      <c r="D2160" s="277">
        <v>44915</v>
      </c>
      <c r="E2160" s="270" t="s">
        <v>300</v>
      </c>
      <c r="F2160" s="133" t="s">
        <v>34</v>
      </c>
      <c r="G2160" s="96" t="s">
        <v>35</v>
      </c>
      <c r="H2160" s="272" t="s">
        <v>84</v>
      </c>
      <c r="I2160" s="273">
        <v>100</v>
      </c>
      <c r="J2160" s="270">
        <v>1875</v>
      </c>
      <c r="K2160" s="270">
        <f t="shared" si="0"/>
        <v>187500</v>
      </c>
      <c r="L2160" s="270">
        <v>21342</v>
      </c>
      <c r="M2160" s="270">
        <v>-1500</v>
      </c>
      <c r="N2160" s="274">
        <v>7324</v>
      </c>
      <c r="O2160" s="55"/>
      <c r="P2160" s="105">
        <v>7324</v>
      </c>
      <c r="Q2160" s="270">
        <v>-3459</v>
      </c>
      <c r="R2160" s="275">
        <v>1.9000000000000001E-4</v>
      </c>
      <c r="S2160" s="270">
        <v>-3423</v>
      </c>
      <c r="T2160" s="270">
        <v>3901</v>
      </c>
      <c r="U2160" s="57">
        <v>1</v>
      </c>
      <c r="V2160" s="276">
        <v>0.15</v>
      </c>
      <c r="W2160" s="276">
        <v>0.05</v>
      </c>
      <c r="X2160" s="270">
        <v>3120</v>
      </c>
      <c r="Y2160" s="270">
        <v>780</v>
      </c>
      <c r="Z2160" s="45" t="b">
        <v>1</v>
      </c>
      <c r="AA2160" s="45" t="s">
        <v>38</v>
      </c>
      <c r="AB2160" s="45" t="s">
        <v>38</v>
      </c>
    </row>
    <row r="2161" spans="1:28" x14ac:dyDescent="0.2">
      <c r="A2161" s="96" t="s">
        <v>154</v>
      </c>
      <c r="B2161" s="96" t="s">
        <v>154</v>
      </c>
      <c r="C2161" s="277">
        <v>44886</v>
      </c>
      <c r="D2161" s="277">
        <v>44915</v>
      </c>
      <c r="E2161" s="279" t="s">
        <v>267</v>
      </c>
      <c r="F2161" s="96" t="s">
        <v>34</v>
      </c>
      <c r="G2161" s="270" t="s">
        <v>35</v>
      </c>
      <c r="H2161" s="272" t="s">
        <v>39</v>
      </c>
      <c r="I2161" s="280">
        <v>5</v>
      </c>
      <c r="J2161" s="279">
        <v>1</v>
      </c>
      <c r="K2161" s="270">
        <f t="shared" si="0"/>
        <v>5</v>
      </c>
      <c r="L2161" s="279">
        <v>-197</v>
      </c>
      <c r="M2161" s="279">
        <v>-5</v>
      </c>
      <c r="N2161" s="274"/>
      <c r="O2161" s="55"/>
      <c r="P2161" s="96"/>
      <c r="Q2161" s="279">
        <v>-2</v>
      </c>
      <c r="R2161" s="275">
        <v>1.9000000000000001E-4</v>
      </c>
      <c r="S2161" s="279">
        <v>-2</v>
      </c>
      <c r="T2161" s="279">
        <v>-2</v>
      </c>
      <c r="U2161" s="57">
        <v>1</v>
      </c>
      <c r="V2161" s="276">
        <v>0.2</v>
      </c>
      <c r="W2161" s="276">
        <v>0</v>
      </c>
      <c r="X2161" s="279">
        <v>-2</v>
      </c>
      <c r="Y2161" s="279">
        <v>0</v>
      </c>
      <c r="Z2161" s="45" t="b">
        <v>1</v>
      </c>
      <c r="AA2161" s="45" t="s">
        <v>38</v>
      </c>
      <c r="AB2161" s="45" t="s">
        <v>38</v>
      </c>
    </row>
    <row r="2162" spans="1:28" x14ac:dyDescent="0.2">
      <c r="A2162" s="96" t="s">
        <v>154</v>
      </c>
      <c r="B2162" s="96" t="s">
        <v>154</v>
      </c>
      <c r="C2162" s="277">
        <v>44886</v>
      </c>
      <c r="D2162" s="277">
        <v>44915</v>
      </c>
      <c r="E2162" s="279" t="s">
        <v>267</v>
      </c>
      <c r="F2162" s="96" t="s">
        <v>34</v>
      </c>
      <c r="G2162" s="270" t="s">
        <v>35</v>
      </c>
      <c r="H2162" s="272" t="s">
        <v>40</v>
      </c>
      <c r="I2162" s="280">
        <v>10</v>
      </c>
      <c r="J2162" s="279">
        <v>4289</v>
      </c>
      <c r="K2162" s="270">
        <f t="shared" si="0"/>
        <v>42890</v>
      </c>
      <c r="L2162" s="279">
        <v>56194</v>
      </c>
      <c r="M2162" s="279">
        <v>-2100</v>
      </c>
      <c r="N2162" s="274">
        <v>1935</v>
      </c>
      <c r="O2162" s="55"/>
      <c r="P2162" s="105">
        <v>1935</v>
      </c>
      <c r="Q2162" s="279">
        <v>-2211</v>
      </c>
      <c r="R2162" s="275">
        <v>1.9000000000000001E-4</v>
      </c>
      <c r="S2162" s="279">
        <v>-2203</v>
      </c>
      <c r="T2162" s="279">
        <v>-268</v>
      </c>
      <c r="U2162" s="57">
        <v>1</v>
      </c>
      <c r="V2162" s="276">
        <v>0.2</v>
      </c>
      <c r="W2162" s="276">
        <v>0</v>
      </c>
      <c r="X2162" s="279">
        <v>-214</v>
      </c>
      <c r="Y2162" s="279">
        <v>-54</v>
      </c>
      <c r="Z2162" s="45" t="b">
        <v>1</v>
      </c>
      <c r="AA2162" s="45" t="s">
        <v>38</v>
      </c>
      <c r="AB2162" s="45" t="s">
        <v>38</v>
      </c>
    </row>
    <row r="2163" spans="1:28" x14ac:dyDescent="0.2">
      <c r="A2163" s="96" t="s">
        <v>89</v>
      </c>
      <c r="B2163" s="96" t="s">
        <v>89</v>
      </c>
      <c r="C2163" s="277">
        <v>44886</v>
      </c>
      <c r="D2163" s="277">
        <v>44915</v>
      </c>
      <c r="E2163" s="270" t="s">
        <v>267</v>
      </c>
      <c r="F2163" s="133" t="s">
        <v>34</v>
      </c>
      <c r="G2163" s="96" t="s">
        <v>35</v>
      </c>
      <c r="H2163" s="272" t="s">
        <v>72</v>
      </c>
      <c r="I2163" s="273">
        <v>50</v>
      </c>
      <c r="J2163" s="270">
        <v>673</v>
      </c>
      <c r="K2163" s="270">
        <f t="shared" si="0"/>
        <v>33650</v>
      </c>
      <c r="L2163" s="270">
        <v>33320</v>
      </c>
      <c r="M2163" s="270">
        <v>3950</v>
      </c>
      <c r="N2163" s="274">
        <v>4459</v>
      </c>
      <c r="O2163" s="55"/>
      <c r="P2163" s="105">
        <v>4459</v>
      </c>
      <c r="Q2163" s="270">
        <v>936</v>
      </c>
      <c r="R2163" s="275">
        <v>1.9000000000000001E-4</v>
      </c>
      <c r="S2163" s="270">
        <v>942</v>
      </c>
      <c r="T2163" s="270">
        <v>5401</v>
      </c>
      <c r="U2163" s="57">
        <v>1</v>
      </c>
      <c r="V2163" s="290"/>
      <c r="W2163" s="276">
        <v>0</v>
      </c>
      <c r="X2163" s="270">
        <v>5401</v>
      </c>
      <c r="Y2163" s="270">
        <v>0</v>
      </c>
      <c r="Z2163" s="45" t="b">
        <v>0</v>
      </c>
      <c r="AA2163" s="45" t="s">
        <v>38</v>
      </c>
      <c r="AB2163" s="45" t="s">
        <v>38</v>
      </c>
    </row>
    <row r="2164" spans="1:28" x14ac:dyDescent="0.2">
      <c r="A2164" s="96" t="s">
        <v>89</v>
      </c>
      <c r="B2164" s="96" t="s">
        <v>89</v>
      </c>
      <c r="C2164" s="277">
        <v>44886</v>
      </c>
      <c r="D2164" s="277">
        <v>44915</v>
      </c>
      <c r="E2164" s="270" t="s">
        <v>267</v>
      </c>
      <c r="F2164" s="133" t="s">
        <v>41</v>
      </c>
      <c r="G2164" s="96" t="s">
        <v>35</v>
      </c>
      <c r="H2164" s="272" t="s">
        <v>46</v>
      </c>
      <c r="I2164" s="273">
        <v>25</v>
      </c>
      <c r="J2164" s="270">
        <v>199</v>
      </c>
      <c r="K2164" s="270">
        <f t="shared" si="0"/>
        <v>4975</v>
      </c>
      <c r="L2164" s="270">
        <v>-2876</v>
      </c>
      <c r="M2164" s="270">
        <v>125</v>
      </c>
      <c r="N2164" s="274">
        <v>659</v>
      </c>
      <c r="O2164" s="55"/>
      <c r="P2164" s="45">
        <v>659</v>
      </c>
      <c r="Q2164" s="270">
        <v>-452</v>
      </c>
      <c r="R2164" s="275">
        <v>0</v>
      </c>
      <c r="S2164" s="270">
        <v>-452</v>
      </c>
      <c r="T2164" s="270">
        <v>784</v>
      </c>
      <c r="U2164" s="57">
        <v>1</v>
      </c>
      <c r="V2164" s="290"/>
      <c r="W2164" s="276">
        <v>0</v>
      </c>
      <c r="X2164" s="270">
        <v>784</v>
      </c>
      <c r="Y2164" s="270">
        <v>0</v>
      </c>
      <c r="Z2164" s="45" t="b">
        <v>0</v>
      </c>
      <c r="AA2164" s="45" t="s">
        <v>38</v>
      </c>
      <c r="AB2164" s="45" t="s">
        <v>38</v>
      </c>
    </row>
    <row r="2165" spans="1:28" x14ac:dyDescent="0.2">
      <c r="A2165" s="96" t="s">
        <v>89</v>
      </c>
      <c r="B2165" s="96" t="s">
        <v>89</v>
      </c>
      <c r="C2165" s="277">
        <v>44886</v>
      </c>
      <c r="D2165" s="277">
        <v>44915</v>
      </c>
      <c r="E2165" s="270" t="s">
        <v>267</v>
      </c>
      <c r="F2165" s="133" t="s">
        <v>41</v>
      </c>
      <c r="G2165" s="96" t="s">
        <v>35</v>
      </c>
      <c r="H2165" s="272" t="s">
        <v>40</v>
      </c>
      <c r="I2165" s="273">
        <v>10</v>
      </c>
      <c r="J2165" s="270">
        <v>82</v>
      </c>
      <c r="K2165" s="270">
        <f t="shared" si="0"/>
        <v>820</v>
      </c>
      <c r="L2165" s="270">
        <v>6276</v>
      </c>
      <c r="M2165" s="270">
        <v>80</v>
      </c>
      <c r="N2165" s="274">
        <v>127</v>
      </c>
      <c r="O2165" s="55"/>
      <c r="P2165" s="45">
        <v>127</v>
      </c>
      <c r="Q2165" s="270">
        <v>54</v>
      </c>
      <c r="R2165" s="275">
        <v>0</v>
      </c>
      <c r="S2165" s="270">
        <v>54</v>
      </c>
      <c r="T2165" s="270">
        <v>207</v>
      </c>
      <c r="U2165" s="57">
        <v>1</v>
      </c>
      <c r="V2165" s="290"/>
      <c r="W2165" s="276">
        <v>0</v>
      </c>
      <c r="X2165" s="270">
        <v>207</v>
      </c>
      <c r="Y2165" s="270">
        <v>0</v>
      </c>
      <c r="Z2165" s="45" t="b">
        <v>0</v>
      </c>
      <c r="AA2165" s="45" t="s">
        <v>38</v>
      </c>
      <c r="AB2165" s="45" t="s">
        <v>38</v>
      </c>
    </row>
    <row r="2166" spans="1:28" x14ac:dyDescent="0.2">
      <c r="A2166" s="96" t="s">
        <v>145</v>
      </c>
      <c r="B2166" s="96" t="s">
        <v>145</v>
      </c>
      <c r="C2166" s="277">
        <v>44896</v>
      </c>
      <c r="D2166" s="277">
        <v>44915</v>
      </c>
      <c r="E2166" s="270" t="s">
        <v>300</v>
      </c>
      <c r="F2166" s="133" t="s">
        <v>49</v>
      </c>
      <c r="G2166" s="279" t="s">
        <v>35</v>
      </c>
      <c r="H2166" s="272" t="s">
        <v>70</v>
      </c>
      <c r="I2166" s="273">
        <v>100</v>
      </c>
      <c r="J2166" s="270">
        <v>4</v>
      </c>
      <c r="K2166" s="270">
        <f t="shared" si="0"/>
        <v>400</v>
      </c>
      <c r="L2166" s="270">
        <v>898</v>
      </c>
      <c r="M2166" s="270">
        <v>300</v>
      </c>
      <c r="N2166" s="274">
        <v>11.95</v>
      </c>
      <c r="O2166" s="55"/>
      <c r="P2166" s="45">
        <v>12</v>
      </c>
      <c r="Q2166" s="270">
        <v>146</v>
      </c>
      <c r="R2166" s="275">
        <v>-1.7799999999999999E-3</v>
      </c>
      <c r="S2166" s="270">
        <v>145</v>
      </c>
      <c r="T2166" s="270">
        <v>157</v>
      </c>
      <c r="U2166" s="57">
        <v>1</v>
      </c>
      <c r="V2166" s="276">
        <v>0.17499999999999999</v>
      </c>
      <c r="W2166" s="276">
        <v>7.4999999999999997E-2</v>
      </c>
      <c r="X2166" s="270">
        <v>118</v>
      </c>
      <c r="Y2166" s="270">
        <v>39</v>
      </c>
      <c r="Z2166" s="45" t="b">
        <v>0</v>
      </c>
      <c r="AA2166" s="45" t="s">
        <v>38</v>
      </c>
      <c r="AB2166" s="45" t="s">
        <v>38</v>
      </c>
    </row>
    <row r="2167" spans="1:28" x14ac:dyDescent="0.2">
      <c r="A2167" s="96" t="s">
        <v>145</v>
      </c>
      <c r="B2167" s="96" t="s">
        <v>145</v>
      </c>
      <c r="C2167" s="277">
        <v>44896</v>
      </c>
      <c r="D2167" s="277">
        <v>44915</v>
      </c>
      <c r="E2167" s="270" t="s">
        <v>300</v>
      </c>
      <c r="F2167" s="133" t="s">
        <v>49</v>
      </c>
      <c r="G2167" s="279" t="s">
        <v>35</v>
      </c>
      <c r="H2167" s="272" t="s">
        <v>84</v>
      </c>
      <c r="I2167" s="273">
        <v>100</v>
      </c>
      <c r="J2167" s="270">
        <v>2336</v>
      </c>
      <c r="K2167" s="270">
        <f t="shared" si="0"/>
        <v>233600</v>
      </c>
      <c r="L2167" s="270">
        <v>24492</v>
      </c>
      <c r="M2167" s="270">
        <v>-1200</v>
      </c>
      <c r="N2167" s="274">
        <v>6979.44</v>
      </c>
      <c r="O2167" s="55"/>
      <c r="P2167" s="105">
        <v>6979</v>
      </c>
      <c r="Q2167" s="270">
        <v>-4995</v>
      </c>
      <c r="R2167" s="275">
        <v>-8.5400000000000005E-4</v>
      </c>
      <c r="S2167" s="270">
        <v>-5195</v>
      </c>
      <c r="T2167" s="270">
        <v>1785</v>
      </c>
      <c r="U2167" s="57">
        <v>1</v>
      </c>
      <c r="V2167" s="276">
        <v>0.17499999999999999</v>
      </c>
      <c r="W2167" s="276">
        <v>7.4999999999999997E-2</v>
      </c>
      <c r="X2167" s="270">
        <v>1339</v>
      </c>
      <c r="Y2167" s="270">
        <v>446</v>
      </c>
      <c r="Z2167" s="45" t="b">
        <v>0</v>
      </c>
      <c r="AA2167" s="45" t="s">
        <v>38</v>
      </c>
      <c r="AB2167" s="45" t="s">
        <v>38</v>
      </c>
    </row>
    <row r="2168" spans="1:28" x14ac:dyDescent="0.2">
      <c r="A2168" s="96" t="s">
        <v>145</v>
      </c>
      <c r="B2168" s="96" t="s">
        <v>145</v>
      </c>
      <c r="C2168" s="277">
        <v>44896</v>
      </c>
      <c r="D2168" s="277">
        <v>44915</v>
      </c>
      <c r="E2168" s="270" t="s">
        <v>300</v>
      </c>
      <c r="F2168" s="133" t="s">
        <v>49</v>
      </c>
      <c r="G2168" s="279" t="s">
        <v>35</v>
      </c>
      <c r="H2168" s="272" t="s">
        <v>88</v>
      </c>
      <c r="I2168" s="273">
        <v>250</v>
      </c>
      <c r="J2168" s="270">
        <v>794</v>
      </c>
      <c r="K2168" s="270">
        <f t="shared" si="0"/>
        <v>198500</v>
      </c>
      <c r="L2168" s="270">
        <v>10366</v>
      </c>
      <c r="M2168" s="270">
        <v>-8750</v>
      </c>
      <c r="N2168" s="274">
        <v>5930.73</v>
      </c>
      <c r="O2168" s="55"/>
      <c r="P2168" s="105">
        <v>5931</v>
      </c>
      <c r="Q2168" s="270">
        <v>-5400</v>
      </c>
      <c r="R2168" s="275">
        <v>-8.52E-4</v>
      </c>
      <c r="S2168" s="270">
        <v>-5569</v>
      </c>
      <c r="T2168" s="270">
        <v>362</v>
      </c>
      <c r="U2168" s="57">
        <v>1</v>
      </c>
      <c r="V2168" s="276">
        <v>0.17499999999999999</v>
      </c>
      <c r="W2168" s="276">
        <v>7.4999999999999997E-2</v>
      </c>
      <c r="X2168" s="270">
        <v>271</v>
      </c>
      <c r="Y2168" s="270">
        <v>90</v>
      </c>
      <c r="Z2168" s="45" t="b">
        <v>0</v>
      </c>
      <c r="AA2168" s="45" t="s">
        <v>38</v>
      </c>
      <c r="AB2168" s="45" t="s">
        <v>38</v>
      </c>
    </row>
    <row r="2169" spans="1:28" x14ac:dyDescent="0.2">
      <c r="A2169" s="96" t="s">
        <v>145</v>
      </c>
      <c r="B2169" s="96" t="s">
        <v>145</v>
      </c>
      <c r="C2169" s="277">
        <v>44896</v>
      </c>
      <c r="D2169" s="277">
        <v>44915</v>
      </c>
      <c r="E2169" s="270" t="s">
        <v>300</v>
      </c>
      <c r="F2169" s="133" t="s">
        <v>49</v>
      </c>
      <c r="G2169" s="279" t="s">
        <v>35</v>
      </c>
      <c r="H2169" s="272" t="s">
        <v>148</v>
      </c>
      <c r="I2169" s="273">
        <v>250</v>
      </c>
      <c r="J2169" s="270">
        <v>1506</v>
      </c>
      <c r="K2169" s="270">
        <f t="shared" si="0"/>
        <v>376500</v>
      </c>
      <c r="L2169" s="270">
        <v>5426</v>
      </c>
      <c r="M2169" s="270">
        <v>-7500</v>
      </c>
      <c r="N2169" s="274">
        <f>11248.97+200</f>
        <v>11448.97</v>
      </c>
      <c r="O2169" s="55"/>
      <c r="P2169" s="105">
        <v>11449</v>
      </c>
      <c r="Q2169" s="270">
        <v>-15230</v>
      </c>
      <c r="R2169" s="275">
        <v>-8.52E-4</v>
      </c>
      <c r="S2169" s="270">
        <v>-15551</v>
      </c>
      <c r="T2169" s="270">
        <v>-4102</v>
      </c>
      <c r="U2169" s="57">
        <v>1</v>
      </c>
      <c r="V2169" s="276">
        <v>0.17499999999999999</v>
      </c>
      <c r="W2169" s="276">
        <v>7.4999999999999997E-2</v>
      </c>
      <c r="X2169" s="270">
        <v>-3076</v>
      </c>
      <c r="Y2169" s="270">
        <v>-1025</v>
      </c>
      <c r="Z2169" s="45" t="b">
        <v>0</v>
      </c>
      <c r="AA2169" s="45" t="s">
        <v>38</v>
      </c>
      <c r="AB2169" s="45" t="s">
        <v>38</v>
      </c>
    </row>
    <row r="2170" spans="1:28" x14ac:dyDescent="0.2">
      <c r="A2170" s="96" t="s">
        <v>145</v>
      </c>
      <c r="B2170" s="96" t="s">
        <v>145</v>
      </c>
      <c r="C2170" s="277">
        <v>44896</v>
      </c>
      <c r="D2170" s="277">
        <v>44915</v>
      </c>
      <c r="E2170" s="270" t="s">
        <v>300</v>
      </c>
      <c r="F2170" s="133" t="s">
        <v>49</v>
      </c>
      <c r="G2170" s="279" t="s">
        <v>35</v>
      </c>
      <c r="H2170" s="272" t="s">
        <v>142</v>
      </c>
      <c r="I2170" s="273">
        <v>500</v>
      </c>
      <c r="J2170" s="270">
        <v>301</v>
      </c>
      <c r="K2170" s="270">
        <f t="shared" si="0"/>
        <v>150500</v>
      </c>
      <c r="L2170" s="270">
        <v>-13783</v>
      </c>
      <c r="M2170" s="270">
        <v>-35500</v>
      </c>
      <c r="N2170" s="274">
        <v>4496.6000000000004</v>
      </c>
      <c r="O2170" s="55"/>
      <c r="P2170" s="105">
        <v>4497</v>
      </c>
      <c r="Q2170" s="270">
        <v>-20627</v>
      </c>
      <c r="R2170" s="275">
        <v>-8.4900000000000004E-4</v>
      </c>
      <c r="S2170" s="270">
        <v>-20754</v>
      </c>
      <c r="T2170" s="270">
        <v>-16258</v>
      </c>
      <c r="U2170" s="57">
        <v>1</v>
      </c>
      <c r="V2170" s="276">
        <v>0.17499999999999999</v>
      </c>
      <c r="W2170" s="276">
        <v>7.4999999999999997E-2</v>
      </c>
      <c r="X2170" s="270">
        <v>-12193</v>
      </c>
      <c r="Y2170" s="270">
        <v>-4064</v>
      </c>
      <c r="Z2170" s="45" t="b">
        <v>0</v>
      </c>
      <c r="AA2170" s="45" t="s">
        <v>38</v>
      </c>
      <c r="AB2170" s="45" t="s">
        <v>38</v>
      </c>
    </row>
    <row r="2171" spans="1:28" x14ac:dyDescent="0.2">
      <c r="A2171" s="96" t="s">
        <v>145</v>
      </c>
      <c r="B2171" s="96" t="s">
        <v>145</v>
      </c>
      <c r="C2171" s="277">
        <v>44896</v>
      </c>
      <c r="D2171" s="277">
        <v>44915</v>
      </c>
      <c r="E2171" s="270" t="s">
        <v>300</v>
      </c>
      <c r="F2171" s="133" t="s">
        <v>49</v>
      </c>
      <c r="G2171" s="279" t="s">
        <v>35</v>
      </c>
      <c r="H2171" s="272" t="s">
        <v>149</v>
      </c>
      <c r="I2171" s="273">
        <v>500</v>
      </c>
      <c r="J2171" s="270">
        <v>126</v>
      </c>
      <c r="K2171" s="270">
        <f t="shared" si="0"/>
        <v>63000</v>
      </c>
      <c r="L2171" s="270">
        <v>-974</v>
      </c>
      <c r="M2171" s="270">
        <v>-5000</v>
      </c>
      <c r="N2171" s="274">
        <v>1882.3</v>
      </c>
      <c r="O2171" s="55"/>
      <c r="P2171" s="105">
        <v>1882</v>
      </c>
      <c r="Q2171" s="270">
        <v>-4735</v>
      </c>
      <c r="R2171" s="275">
        <v>-8.5899999999999995E-4</v>
      </c>
      <c r="S2171" s="270">
        <v>-4790</v>
      </c>
      <c r="T2171" s="270">
        <v>-2907</v>
      </c>
      <c r="U2171" s="57">
        <v>1</v>
      </c>
      <c r="V2171" s="276">
        <v>0.17499999999999999</v>
      </c>
      <c r="W2171" s="276">
        <v>7.4999999999999997E-2</v>
      </c>
      <c r="X2171" s="270">
        <v>-2180</v>
      </c>
      <c r="Y2171" s="270">
        <v>-727</v>
      </c>
      <c r="Z2171" s="45" t="b">
        <v>0</v>
      </c>
      <c r="AA2171" s="45" t="s">
        <v>38</v>
      </c>
      <c r="AB2171" s="45" t="s">
        <v>38</v>
      </c>
    </row>
    <row r="2172" spans="1:28" x14ac:dyDescent="0.2">
      <c r="A2172" s="279" t="s">
        <v>155</v>
      </c>
      <c r="B2172" s="279" t="s">
        <v>155</v>
      </c>
      <c r="C2172" s="277">
        <v>44896</v>
      </c>
      <c r="D2172" s="277">
        <v>44915</v>
      </c>
      <c r="E2172" s="279" t="s">
        <v>267</v>
      </c>
      <c r="F2172" s="133" t="s">
        <v>49</v>
      </c>
      <c r="G2172" s="270" t="s">
        <v>35</v>
      </c>
      <c r="H2172" s="272" t="s">
        <v>46</v>
      </c>
      <c r="I2172" s="273">
        <v>25</v>
      </c>
      <c r="J2172" s="270">
        <v>1812</v>
      </c>
      <c r="K2172" s="270">
        <f t="shared" si="0"/>
        <v>45300</v>
      </c>
      <c r="L2172" s="270">
        <v>27040</v>
      </c>
      <c r="M2172" s="270">
        <v>-2050</v>
      </c>
      <c r="N2172" s="274">
        <v>550</v>
      </c>
      <c r="O2172" s="55"/>
      <c r="P2172" s="45">
        <v>550</v>
      </c>
      <c r="Q2172" s="270">
        <v>-1646</v>
      </c>
      <c r="R2172" s="275">
        <v>-8.4599999999999996E-4</v>
      </c>
      <c r="S2172" s="270">
        <v>-1684</v>
      </c>
      <c r="T2172" s="270">
        <v>-1134</v>
      </c>
      <c r="U2172" s="57">
        <v>1</v>
      </c>
      <c r="V2172" s="276">
        <v>0.23</v>
      </c>
      <c r="W2172" s="276">
        <v>0</v>
      </c>
      <c r="X2172" s="270">
        <v>-873</v>
      </c>
      <c r="Y2172" s="270">
        <v>-261</v>
      </c>
      <c r="Z2172" s="45" t="b">
        <v>1</v>
      </c>
      <c r="AA2172" s="45" t="s">
        <v>38</v>
      </c>
      <c r="AB2172" s="45" t="s">
        <v>38</v>
      </c>
    </row>
    <row r="2173" spans="1:28" x14ac:dyDescent="0.2">
      <c r="A2173" s="96" t="s">
        <v>156</v>
      </c>
      <c r="B2173" s="96" t="s">
        <v>156</v>
      </c>
      <c r="C2173" s="277">
        <v>44886</v>
      </c>
      <c r="D2173" s="277">
        <v>44915</v>
      </c>
      <c r="E2173" s="270" t="s">
        <v>267</v>
      </c>
      <c r="F2173" s="133" t="s">
        <v>34</v>
      </c>
      <c r="G2173" s="96" t="s">
        <v>35</v>
      </c>
      <c r="H2173" s="272" t="s">
        <v>39</v>
      </c>
      <c r="I2173" s="273">
        <v>5</v>
      </c>
      <c r="J2173" s="270">
        <v>727</v>
      </c>
      <c r="K2173" s="270">
        <f t="shared" si="0"/>
        <v>3635</v>
      </c>
      <c r="L2173" s="270">
        <v>49735</v>
      </c>
      <c r="M2173" s="270">
        <v>125</v>
      </c>
      <c r="N2173" s="274">
        <v>193</v>
      </c>
      <c r="O2173" s="55"/>
      <c r="P2173" s="45">
        <v>193</v>
      </c>
      <c r="Q2173" s="270">
        <v>124</v>
      </c>
      <c r="R2173" s="275">
        <v>1.9000000000000001E-4</v>
      </c>
      <c r="S2173" s="270">
        <v>125</v>
      </c>
      <c r="T2173" s="270">
        <v>318</v>
      </c>
      <c r="U2173" s="57">
        <v>1</v>
      </c>
      <c r="V2173" s="276">
        <v>0.17</v>
      </c>
      <c r="W2173" s="276">
        <v>0</v>
      </c>
      <c r="X2173" s="270">
        <v>264</v>
      </c>
      <c r="Y2173" s="270">
        <v>54</v>
      </c>
      <c r="Z2173" s="45" t="b">
        <v>1</v>
      </c>
      <c r="AA2173" s="45" t="s">
        <v>38</v>
      </c>
      <c r="AB2173" s="45" t="s">
        <v>38</v>
      </c>
    </row>
    <row r="2174" spans="1:28" x14ac:dyDescent="0.2">
      <c r="A2174" s="96" t="s">
        <v>156</v>
      </c>
      <c r="B2174" s="96" t="s">
        <v>156</v>
      </c>
      <c r="C2174" s="277">
        <v>44886</v>
      </c>
      <c r="D2174" s="277">
        <v>44915</v>
      </c>
      <c r="E2174" s="270" t="s">
        <v>267</v>
      </c>
      <c r="F2174" s="133" t="s">
        <v>34</v>
      </c>
      <c r="G2174" s="96" t="s">
        <v>35</v>
      </c>
      <c r="H2174" s="272" t="s">
        <v>40</v>
      </c>
      <c r="I2174" s="273">
        <v>10</v>
      </c>
      <c r="J2174" s="270">
        <v>454</v>
      </c>
      <c r="K2174" s="270">
        <f t="shared" si="0"/>
        <v>4540</v>
      </c>
      <c r="L2174" s="270">
        <v>31193</v>
      </c>
      <c r="M2174" s="270">
        <v>30</v>
      </c>
      <c r="N2174" s="274">
        <v>210</v>
      </c>
      <c r="O2174" s="55"/>
      <c r="P2174" s="45">
        <v>210</v>
      </c>
      <c r="Q2174" s="270">
        <v>230</v>
      </c>
      <c r="R2174" s="275">
        <v>1.9000000000000001E-4</v>
      </c>
      <c r="S2174" s="270">
        <v>230</v>
      </c>
      <c r="T2174" s="270">
        <v>440</v>
      </c>
      <c r="U2174" s="57">
        <v>1</v>
      </c>
      <c r="V2174" s="276">
        <v>0.17</v>
      </c>
      <c r="W2174" s="276">
        <v>0</v>
      </c>
      <c r="X2174" s="270">
        <v>366</v>
      </c>
      <c r="Y2174" s="270">
        <v>75</v>
      </c>
      <c r="Z2174" s="45" t="b">
        <v>1</v>
      </c>
      <c r="AA2174" s="45" t="s">
        <v>38</v>
      </c>
      <c r="AB2174" s="45" t="s">
        <v>38</v>
      </c>
    </row>
    <row r="2175" spans="1:28" x14ac:dyDescent="0.2">
      <c r="A2175" s="96" t="s">
        <v>156</v>
      </c>
      <c r="B2175" s="96" t="s">
        <v>156</v>
      </c>
      <c r="C2175" s="277">
        <v>44886</v>
      </c>
      <c r="D2175" s="277">
        <v>44915</v>
      </c>
      <c r="E2175" s="270" t="s">
        <v>267</v>
      </c>
      <c r="F2175" s="96" t="s">
        <v>41</v>
      </c>
      <c r="G2175" s="96" t="s">
        <v>35</v>
      </c>
      <c r="H2175" s="272" t="s">
        <v>36</v>
      </c>
      <c r="I2175" s="273">
        <v>2</v>
      </c>
      <c r="J2175" s="270">
        <v>91</v>
      </c>
      <c r="K2175" s="270">
        <f t="shared" si="0"/>
        <v>182</v>
      </c>
      <c r="L2175" s="270"/>
      <c r="M2175" s="270">
        <v>30</v>
      </c>
      <c r="N2175" s="274">
        <v>10</v>
      </c>
      <c r="O2175" s="55"/>
      <c r="P2175" s="45">
        <v>10</v>
      </c>
      <c r="Q2175" s="270"/>
      <c r="R2175" s="275">
        <v>0</v>
      </c>
      <c r="S2175" s="270"/>
      <c r="T2175" s="270">
        <v>40</v>
      </c>
      <c r="U2175" s="57">
        <v>1</v>
      </c>
      <c r="V2175" s="276">
        <v>0.17</v>
      </c>
      <c r="W2175" s="276">
        <v>0</v>
      </c>
      <c r="X2175" s="270">
        <v>33</v>
      </c>
      <c r="Y2175" s="270">
        <v>7</v>
      </c>
      <c r="Z2175" s="45" t="b">
        <v>1</v>
      </c>
      <c r="AA2175" s="45" t="s">
        <v>38</v>
      </c>
      <c r="AB2175" s="45" t="s">
        <v>38</v>
      </c>
    </row>
    <row r="2176" spans="1:28" x14ac:dyDescent="0.2">
      <c r="A2176" s="96" t="s">
        <v>125</v>
      </c>
      <c r="B2176" s="96" t="s">
        <v>125</v>
      </c>
      <c r="C2176" s="277">
        <v>44886</v>
      </c>
      <c r="D2176" s="277">
        <v>44915</v>
      </c>
      <c r="E2176" s="270" t="s">
        <v>267</v>
      </c>
      <c r="F2176" s="96" t="s">
        <v>34</v>
      </c>
      <c r="G2176" s="270" t="s">
        <v>35</v>
      </c>
      <c r="H2176" s="272" t="s">
        <v>39</v>
      </c>
      <c r="I2176" s="273">
        <v>5</v>
      </c>
      <c r="J2176" s="270">
        <v>210</v>
      </c>
      <c r="K2176" s="270">
        <f t="shared" si="0"/>
        <v>1050</v>
      </c>
      <c r="L2176" s="270">
        <v>19795</v>
      </c>
      <c r="M2176" s="270">
        <v>55</v>
      </c>
      <c r="N2176" s="274">
        <v>114</v>
      </c>
      <c r="O2176" s="55"/>
      <c r="P2176" s="45">
        <v>114</v>
      </c>
      <c r="Q2176" s="270">
        <v>86</v>
      </c>
      <c r="R2176" s="275">
        <v>1.9000000000000001E-4</v>
      </c>
      <c r="S2176" s="270">
        <v>87</v>
      </c>
      <c r="T2176" s="270">
        <v>201</v>
      </c>
      <c r="U2176" s="57">
        <v>1</v>
      </c>
      <c r="V2176" s="276">
        <v>0.3</v>
      </c>
      <c r="W2176" s="276">
        <v>0</v>
      </c>
      <c r="X2176" s="270">
        <v>140</v>
      </c>
      <c r="Y2176" s="270">
        <v>60</v>
      </c>
      <c r="Z2176" s="45" t="b">
        <v>1</v>
      </c>
      <c r="AA2176" s="45" t="s">
        <v>38</v>
      </c>
      <c r="AB2176" s="45" t="s">
        <v>38</v>
      </c>
    </row>
    <row r="2177" spans="1:28" x14ac:dyDescent="0.2">
      <c r="A2177" s="96" t="s">
        <v>125</v>
      </c>
      <c r="B2177" s="96" t="s">
        <v>125</v>
      </c>
      <c r="C2177" s="277">
        <v>44886</v>
      </c>
      <c r="D2177" s="277">
        <v>44915</v>
      </c>
      <c r="E2177" s="270" t="s">
        <v>267</v>
      </c>
      <c r="F2177" s="96" t="s">
        <v>34</v>
      </c>
      <c r="G2177" s="270" t="s">
        <v>35</v>
      </c>
      <c r="H2177" s="272" t="s">
        <v>40</v>
      </c>
      <c r="I2177" s="273">
        <v>10</v>
      </c>
      <c r="J2177" s="270">
        <v>439</v>
      </c>
      <c r="K2177" s="270">
        <f t="shared" si="0"/>
        <v>4390</v>
      </c>
      <c r="L2177" s="270">
        <v>10098</v>
      </c>
      <c r="M2177" s="270">
        <v>-290</v>
      </c>
      <c r="N2177" s="274">
        <v>31</v>
      </c>
      <c r="O2177" s="55"/>
      <c r="P2177" s="45">
        <v>31</v>
      </c>
      <c r="Q2177" s="270">
        <v>-140</v>
      </c>
      <c r="R2177" s="275">
        <v>1.9000000000000001E-4</v>
      </c>
      <c r="S2177" s="270">
        <v>-139</v>
      </c>
      <c r="T2177" s="270">
        <v>-108</v>
      </c>
      <c r="U2177" s="57">
        <v>1</v>
      </c>
      <c r="V2177" s="276">
        <v>0.3</v>
      </c>
      <c r="W2177" s="276">
        <v>0</v>
      </c>
      <c r="X2177" s="270">
        <v>-75</v>
      </c>
      <c r="Y2177" s="270">
        <v>-32</v>
      </c>
      <c r="Z2177" s="45" t="b">
        <v>1</v>
      </c>
      <c r="AA2177" s="45" t="s">
        <v>38</v>
      </c>
      <c r="AB2177" s="45" t="s">
        <v>38</v>
      </c>
    </row>
    <row r="2178" spans="1:28" x14ac:dyDescent="0.2">
      <c r="A2178" s="96" t="s">
        <v>125</v>
      </c>
      <c r="B2178" s="96" t="s">
        <v>125</v>
      </c>
      <c r="C2178" s="277">
        <v>44886</v>
      </c>
      <c r="D2178" s="277">
        <v>44915</v>
      </c>
      <c r="E2178" s="270" t="s">
        <v>267</v>
      </c>
      <c r="F2178" s="96" t="s">
        <v>41</v>
      </c>
      <c r="G2178" s="270" t="s">
        <v>35</v>
      </c>
      <c r="H2178" s="272" t="s">
        <v>36</v>
      </c>
      <c r="I2178" s="273">
        <v>2</v>
      </c>
      <c r="J2178" s="270">
        <v>26</v>
      </c>
      <c r="K2178" s="270">
        <f t="shared" si="0"/>
        <v>52</v>
      </c>
      <c r="L2178" s="270"/>
      <c r="M2178" s="270">
        <v>6</v>
      </c>
      <c r="N2178" s="274">
        <v>2</v>
      </c>
      <c r="O2178" s="55"/>
      <c r="P2178" s="45">
        <v>2</v>
      </c>
      <c r="Q2178" s="270"/>
      <c r="R2178" s="275">
        <v>0</v>
      </c>
      <c r="S2178" s="270"/>
      <c r="T2178" s="270">
        <v>8</v>
      </c>
      <c r="U2178" s="57">
        <v>1</v>
      </c>
      <c r="V2178" s="276">
        <v>0.3</v>
      </c>
      <c r="W2178" s="276">
        <v>0</v>
      </c>
      <c r="X2178" s="270">
        <v>6</v>
      </c>
      <c r="Y2178" s="270">
        <v>2</v>
      </c>
      <c r="Z2178" s="45" t="b">
        <v>1</v>
      </c>
      <c r="AA2178" s="45" t="s">
        <v>38</v>
      </c>
      <c r="AB2178" s="45" t="s">
        <v>38</v>
      </c>
    </row>
    <row r="2179" spans="1:28" x14ac:dyDescent="0.2">
      <c r="A2179" s="96" t="s">
        <v>402</v>
      </c>
      <c r="B2179" s="96" t="s">
        <v>163</v>
      </c>
      <c r="C2179" s="277">
        <v>44886</v>
      </c>
      <c r="D2179" s="277">
        <v>44915</v>
      </c>
      <c r="E2179" s="270" t="s">
        <v>267</v>
      </c>
      <c r="F2179" s="133" t="s">
        <v>34</v>
      </c>
      <c r="G2179" s="270" t="s">
        <v>35</v>
      </c>
      <c r="H2179" s="272" t="s">
        <v>40</v>
      </c>
      <c r="I2179" s="273">
        <v>10</v>
      </c>
      <c r="J2179" s="270">
        <v>3279</v>
      </c>
      <c r="K2179" s="270">
        <f t="shared" si="0"/>
        <v>32790</v>
      </c>
      <c r="L2179" s="270">
        <v>144988</v>
      </c>
      <c r="M2179" s="270">
        <v>980</v>
      </c>
      <c r="N2179" s="274">
        <v>1463</v>
      </c>
      <c r="O2179" s="55"/>
      <c r="P2179" s="105">
        <v>1463</v>
      </c>
      <c r="Q2179" s="270">
        <v>187</v>
      </c>
      <c r="R2179" s="275">
        <v>1.9000000000000001E-4</v>
      </c>
      <c r="S2179" s="270">
        <v>193</v>
      </c>
      <c r="T2179" s="270">
        <v>1656</v>
      </c>
      <c r="U2179" s="57">
        <v>1</v>
      </c>
      <c r="V2179" s="276">
        <v>0.25</v>
      </c>
      <c r="W2179" s="276">
        <v>0</v>
      </c>
      <c r="X2179" s="270">
        <v>1242</v>
      </c>
      <c r="Y2179" s="270">
        <v>414</v>
      </c>
      <c r="Z2179" s="45" t="b">
        <v>1</v>
      </c>
      <c r="AA2179" s="45" t="s">
        <v>38</v>
      </c>
      <c r="AB2179" s="45" t="s">
        <v>38</v>
      </c>
    </row>
    <row r="2180" spans="1:28" x14ac:dyDescent="0.2">
      <c r="A2180" s="96" t="s">
        <v>402</v>
      </c>
      <c r="B2180" s="96" t="s">
        <v>163</v>
      </c>
      <c r="C2180" s="277">
        <v>44886</v>
      </c>
      <c r="D2180" s="277">
        <v>44915</v>
      </c>
      <c r="E2180" s="270" t="s">
        <v>267</v>
      </c>
      <c r="F2180" s="133" t="s">
        <v>34</v>
      </c>
      <c r="G2180" s="270" t="s">
        <v>35</v>
      </c>
      <c r="H2180" s="272" t="s">
        <v>46</v>
      </c>
      <c r="I2180" s="273">
        <v>25</v>
      </c>
      <c r="J2180" s="270">
        <v>405</v>
      </c>
      <c r="K2180" s="270">
        <f t="shared" si="0"/>
        <v>10125</v>
      </c>
      <c r="L2180" s="270">
        <v>32199</v>
      </c>
      <c r="M2180" s="270">
        <v>425</v>
      </c>
      <c r="N2180" s="274">
        <v>387</v>
      </c>
      <c r="O2180" s="55"/>
      <c r="P2180" s="45">
        <v>387</v>
      </c>
      <c r="Q2180" s="270">
        <v>830</v>
      </c>
      <c r="R2180" s="275">
        <v>1.9000000000000001E-4</v>
      </c>
      <c r="S2180" s="270">
        <v>832</v>
      </c>
      <c r="T2180" s="270">
        <v>1219</v>
      </c>
      <c r="U2180" s="57">
        <v>1</v>
      </c>
      <c r="V2180" s="276">
        <v>0.25</v>
      </c>
      <c r="W2180" s="276">
        <v>0</v>
      </c>
      <c r="X2180" s="270">
        <v>914</v>
      </c>
      <c r="Y2180" s="270">
        <v>305</v>
      </c>
      <c r="Z2180" s="45" t="b">
        <v>1</v>
      </c>
      <c r="AA2180" s="45" t="s">
        <v>38</v>
      </c>
      <c r="AB2180" s="45" t="s">
        <v>38</v>
      </c>
    </row>
    <row r="2181" spans="1:28" x14ac:dyDescent="0.2">
      <c r="A2181" s="279" t="s">
        <v>169</v>
      </c>
      <c r="B2181" s="279" t="s">
        <v>169</v>
      </c>
      <c r="C2181" s="277">
        <v>44886</v>
      </c>
      <c r="D2181" s="277">
        <v>44915</v>
      </c>
      <c r="E2181" s="279" t="s">
        <v>267</v>
      </c>
      <c r="F2181" s="133" t="s">
        <v>34</v>
      </c>
      <c r="G2181" s="270" t="s">
        <v>35</v>
      </c>
      <c r="H2181" s="272" t="s">
        <v>43</v>
      </c>
      <c r="I2181" s="280">
        <v>2</v>
      </c>
      <c r="J2181" s="279">
        <v>10</v>
      </c>
      <c r="K2181" s="270">
        <f t="shared" si="0"/>
        <v>20</v>
      </c>
      <c r="L2181" s="279">
        <v>46</v>
      </c>
      <c r="M2181" s="279">
        <v>-10</v>
      </c>
      <c r="N2181" s="274">
        <v>1</v>
      </c>
      <c r="O2181" s="55"/>
      <c r="P2181" s="45">
        <v>1</v>
      </c>
      <c r="Q2181" s="279">
        <v>-1</v>
      </c>
      <c r="R2181" s="275">
        <v>1.9000000000000001E-4</v>
      </c>
      <c r="S2181" s="279">
        <v>-1</v>
      </c>
      <c r="T2181" s="279">
        <v>0</v>
      </c>
      <c r="U2181" s="57">
        <v>1</v>
      </c>
      <c r="V2181" s="276">
        <v>0.3</v>
      </c>
      <c r="W2181" s="276">
        <v>0</v>
      </c>
      <c r="X2181" s="279">
        <v>0</v>
      </c>
      <c r="Y2181" s="279">
        <v>0</v>
      </c>
      <c r="Z2181" s="45" t="b">
        <v>1</v>
      </c>
      <c r="AA2181" s="45" t="s">
        <v>38</v>
      </c>
      <c r="AB2181" s="45" t="s">
        <v>38</v>
      </c>
    </row>
    <row r="2182" spans="1:28" x14ac:dyDescent="0.2">
      <c r="A2182" s="279" t="s">
        <v>169</v>
      </c>
      <c r="B2182" s="279" t="s">
        <v>169</v>
      </c>
      <c r="C2182" s="277">
        <v>44886</v>
      </c>
      <c r="D2182" s="277">
        <v>44915</v>
      </c>
      <c r="E2182" s="279" t="s">
        <v>267</v>
      </c>
      <c r="F2182" s="133" t="s">
        <v>34</v>
      </c>
      <c r="G2182" s="270" t="s">
        <v>35</v>
      </c>
      <c r="H2182" s="272" t="s">
        <v>39</v>
      </c>
      <c r="I2182" s="280">
        <v>5</v>
      </c>
      <c r="J2182" s="279">
        <v>13</v>
      </c>
      <c r="K2182" s="270">
        <f t="shared" si="0"/>
        <v>65</v>
      </c>
      <c r="L2182" s="279">
        <v>1113</v>
      </c>
      <c r="M2182" s="279">
        <v>25</v>
      </c>
      <c r="N2182" s="274">
        <v>3</v>
      </c>
      <c r="O2182" s="55"/>
      <c r="P2182" s="45">
        <v>3</v>
      </c>
      <c r="Q2182" s="279">
        <v>4</v>
      </c>
      <c r="R2182" s="275">
        <v>1.9000000000000001E-4</v>
      </c>
      <c r="S2182" s="279">
        <v>4</v>
      </c>
      <c r="T2182" s="279">
        <v>7</v>
      </c>
      <c r="U2182" s="57">
        <v>1</v>
      </c>
      <c r="V2182" s="276">
        <v>0.3</v>
      </c>
      <c r="W2182" s="276">
        <v>0</v>
      </c>
      <c r="X2182" s="279">
        <v>5</v>
      </c>
      <c r="Y2182" s="279">
        <v>2</v>
      </c>
      <c r="Z2182" s="45" t="b">
        <v>1</v>
      </c>
      <c r="AA2182" s="45" t="s">
        <v>38</v>
      </c>
      <c r="AB2182" s="45" t="s">
        <v>38</v>
      </c>
    </row>
    <row r="2183" spans="1:28" x14ac:dyDescent="0.2">
      <c r="A2183" s="279" t="s">
        <v>169</v>
      </c>
      <c r="B2183" s="279" t="s">
        <v>169</v>
      </c>
      <c r="C2183" s="277">
        <v>44886</v>
      </c>
      <c r="D2183" s="277">
        <v>44915</v>
      </c>
      <c r="E2183" s="279" t="s">
        <v>267</v>
      </c>
      <c r="F2183" s="133" t="s">
        <v>34</v>
      </c>
      <c r="G2183" s="270" t="s">
        <v>35</v>
      </c>
      <c r="H2183" s="272" t="s">
        <v>40</v>
      </c>
      <c r="I2183" s="280">
        <v>10</v>
      </c>
      <c r="J2183" s="279">
        <v>803</v>
      </c>
      <c r="K2183" s="270">
        <f t="shared" si="0"/>
        <v>8030</v>
      </c>
      <c r="L2183" s="279">
        <v>49802</v>
      </c>
      <c r="M2183" s="279">
        <v>260</v>
      </c>
      <c r="N2183" s="274">
        <v>292</v>
      </c>
      <c r="O2183" s="55"/>
      <c r="P2183" s="45">
        <v>292</v>
      </c>
      <c r="Q2183" s="279">
        <v>331</v>
      </c>
      <c r="R2183" s="275">
        <v>1.9000000000000001E-4</v>
      </c>
      <c r="S2183" s="279">
        <v>333</v>
      </c>
      <c r="T2183" s="279">
        <v>625</v>
      </c>
      <c r="U2183" s="57">
        <v>1</v>
      </c>
      <c r="V2183" s="276">
        <v>0.3</v>
      </c>
      <c r="W2183" s="276">
        <v>0</v>
      </c>
      <c r="X2183" s="279">
        <v>437</v>
      </c>
      <c r="Y2183" s="279">
        <v>187</v>
      </c>
      <c r="Z2183" s="45" t="b">
        <v>1</v>
      </c>
      <c r="AA2183" s="45" t="s">
        <v>38</v>
      </c>
      <c r="AB2183" s="45" t="s">
        <v>38</v>
      </c>
    </row>
    <row r="2184" spans="1:28" x14ac:dyDescent="0.2">
      <c r="A2184" s="279" t="s">
        <v>169</v>
      </c>
      <c r="B2184" s="279" t="s">
        <v>169</v>
      </c>
      <c r="C2184" s="277">
        <v>44886</v>
      </c>
      <c r="D2184" s="277">
        <v>44915</v>
      </c>
      <c r="E2184" s="279" t="s">
        <v>267</v>
      </c>
      <c r="F2184" s="133" t="s">
        <v>34</v>
      </c>
      <c r="G2184" s="270" t="s">
        <v>35</v>
      </c>
      <c r="H2184" s="272" t="s">
        <v>46</v>
      </c>
      <c r="I2184" s="280">
        <v>25</v>
      </c>
      <c r="J2184" s="279">
        <v>2814</v>
      </c>
      <c r="K2184" s="270">
        <f t="shared" si="0"/>
        <v>70350</v>
      </c>
      <c r="L2184" s="279">
        <v>91887</v>
      </c>
      <c r="M2184" s="279">
        <v>-225</v>
      </c>
      <c r="N2184" s="274">
        <v>2195</v>
      </c>
      <c r="O2184" s="55"/>
      <c r="P2184" s="105">
        <v>2195</v>
      </c>
      <c r="Q2184" s="279">
        <v>-151</v>
      </c>
      <c r="R2184" s="275">
        <v>1.9000000000000001E-4</v>
      </c>
      <c r="S2184" s="279">
        <v>-138</v>
      </c>
      <c r="T2184" s="279">
        <v>2057</v>
      </c>
      <c r="U2184" s="57">
        <v>1</v>
      </c>
      <c r="V2184" s="276">
        <v>0.3</v>
      </c>
      <c r="W2184" s="276">
        <v>0</v>
      </c>
      <c r="X2184" s="279">
        <v>1440</v>
      </c>
      <c r="Y2184" s="279">
        <v>617</v>
      </c>
      <c r="Z2184" s="45" t="b">
        <v>1</v>
      </c>
      <c r="AA2184" s="45" t="s">
        <v>38</v>
      </c>
      <c r="AB2184" s="45" t="s">
        <v>38</v>
      </c>
    </row>
    <row r="2185" spans="1:28" x14ac:dyDescent="0.2">
      <c r="A2185" s="279" t="s">
        <v>169</v>
      </c>
      <c r="B2185" s="279" t="s">
        <v>169</v>
      </c>
      <c r="C2185" s="277">
        <v>44886</v>
      </c>
      <c r="D2185" s="277">
        <v>44915</v>
      </c>
      <c r="E2185" s="279" t="s">
        <v>267</v>
      </c>
      <c r="F2185" s="133" t="s">
        <v>34</v>
      </c>
      <c r="G2185" s="270" t="s">
        <v>35</v>
      </c>
      <c r="H2185" s="272" t="s">
        <v>72</v>
      </c>
      <c r="I2185" s="280">
        <v>50</v>
      </c>
      <c r="J2185" s="279">
        <v>102</v>
      </c>
      <c r="K2185" s="270">
        <f t="shared" si="0"/>
        <v>5100</v>
      </c>
      <c r="L2185" s="279">
        <v>-4048</v>
      </c>
      <c r="M2185" s="279">
        <v>-2050</v>
      </c>
      <c r="N2185" s="274">
        <v>159</v>
      </c>
      <c r="O2185" s="55"/>
      <c r="P2185" s="45">
        <v>159</v>
      </c>
      <c r="Q2185" s="279">
        <v>-695</v>
      </c>
      <c r="R2185" s="275">
        <v>1.9000000000000001E-4</v>
      </c>
      <c r="S2185" s="279">
        <v>-694</v>
      </c>
      <c r="T2185" s="279">
        <v>-535</v>
      </c>
      <c r="U2185" s="57">
        <v>1</v>
      </c>
      <c r="V2185" s="276">
        <v>0.3</v>
      </c>
      <c r="W2185" s="276">
        <v>0</v>
      </c>
      <c r="X2185" s="279">
        <v>-375</v>
      </c>
      <c r="Y2185" s="279">
        <v>-161</v>
      </c>
      <c r="Z2185" s="45" t="b">
        <v>1</v>
      </c>
      <c r="AA2185" s="45" t="s">
        <v>38</v>
      </c>
      <c r="AB2185" s="45" t="s">
        <v>38</v>
      </c>
    </row>
    <row r="2186" spans="1:28" x14ac:dyDescent="0.2">
      <c r="A2186" s="279" t="s">
        <v>169</v>
      </c>
      <c r="B2186" s="279" t="s">
        <v>169</v>
      </c>
      <c r="C2186" s="277">
        <v>44886</v>
      </c>
      <c r="D2186" s="277">
        <v>44915</v>
      </c>
      <c r="E2186" s="279" t="s">
        <v>267</v>
      </c>
      <c r="F2186" s="133" t="s">
        <v>34</v>
      </c>
      <c r="G2186" s="270" t="s">
        <v>35</v>
      </c>
      <c r="H2186" s="272" t="s">
        <v>88</v>
      </c>
      <c r="I2186" s="280">
        <v>250</v>
      </c>
      <c r="J2186" s="279">
        <v>3</v>
      </c>
      <c r="K2186" s="270">
        <f t="shared" si="0"/>
        <v>750</v>
      </c>
      <c r="L2186" s="279">
        <v>-297</v>
      </c>
      <c r="M2186" s="279">
        <v>-750</v>
      </c>
      <c r="N2186" s="274">
        <v>20</v>
      </c>
      <c r="O2186" s="55"/>
      <c r="P2186" s="45">
        <v>20</v>
      </c>
      <c r="Q2186" s="279">
        <v>-177</v>
      </c>
      <c r="R2186" s="275">
        <v>1.9000000000000001E-4</v>
      </c>
      <c r="S2186" s="279">
        <v>-177</v>
      </c>
      <c r="T2186" s="279">
        <v>-157</v>
      </c>
      <c r="U2186" s="57">
        <v>1</v>
      </c>
      <c r="V2186" s="276">
        <v>0.3</v>
      </c>
      <c r="W2186" s="276">
        <v>0</v>
      </c>
      <c r="X2186" s="279">
        <v>-110</v>
      </c>
      <c r="Y2186" s="279">
        <v>-47</v>
      </c>
      <c r="Z2186" s="45" t="b">
        <v>1</v>
      </c>
      <c r="AA2186" s="45" t="s">
        <v>38</v>
      </c>
      <c r="AB2186" s="45" t="s">
        <v>38</v>
      </c>
    </row>
    <row r="2187" spans="1:28" x14ac:dyDescent="0.2">
      <c r="A2187" s="279" t="s">
        <v>169</v>
      </c>
      <c r="B2187" s="279" t="s">
        <v>169</v>
      </c>
      <c r="C2187" s="277">
        <v>44886</v>
      </c>
      <c r="D2187" s="277">
        <v>44915</v>
      </c>
      <c r="E2187" s="279" t="s">
        <v>267</v>
      </c>
      <c r="F2187" s="133" t="s">
        <v>41</v>
      </c>
      <c r="G2187" s="270" t="s">
        <v>35</v>
      </c>
      <c r="H2187" s="272" t="s">
        <v>42</v>
      </c>
      <c r="I2187" s="273">
        <v>1</v>
      </c>
      <c r="J2187" s="270">
        <v>11</v>
      </c>
      <c r="K2187" s="270">
        <f t="shared" si="0"/>
        <v>11</v>
      </c>
      <c r="L2187" s="270"/>
      <c r="M2187" s="270">
        <v>-3</v>
      </c>
      <c r="N2187" s="274"/>
      <c r="O2187" s="55"/>
      <c r="P2187" s="96"/>
      <c r="Q2187" s="270"/>
      <c r="R2187" s="275">
        <v>0</v>
      </c>
      <c r="S2187" s="270"/>
      <c r="T2187" s="270">
        <v>-3</v>
      </c>
      <c r="U2187" s="57">
        <v>1</v>
      </c>
      <c r="V2187" s="276">
        <v>0.3</v>
      </c>
      <c r="W2187" s="276">
        <v>0</v>
      </c>
      <c r="X2187" s="270">
        <v>-2</v>
      </c>
      <c r="Y2187" s="270">
        <v>-1</v>
      </c>
      <c r="Z2187" s="45" t="b">
        <v>1</v>
      </c>
      <c r="AA2187" s="45" t="s">
        <v>38</v>
      </c>
      <c r="AB2187" s="45" t="s">
        <v>38</v>
      </c>
    </row>
    <row r="2188" spans="1:28" x14ac:dyDescent="0.2">
      <c r="A2188" s="279" t="s">
        <v>169</v>
      </c>
      <c r="B2188" s="279" t="s">
        <v>169</v>
      </c>
      <c r="C2188" s="277">
        <v>44886</v>
      </c>
      <c r="D2188" s="277">
        <v>44915</v>
      </c>
      <c r="E2188" s="279" t="s">
        <v>267</v>
      </c>
      <c r="F2188" s="133" t="s">
        <v>41</v>
      </c>
      <c r="G2188" s="270" t="s">
        <v>35</v>
      </c>
      <c r="H2188" s="272" t="s">
        <v>45</v>
      </c>
      <c r="I2188" s="273">
        <v>0.25</v>
      </c>
      <c r="J2188" s="270">
        <v>8</v>
      </c>
      <c r="K2188" s="270">
        <f t="shared" si="0"/>
        <v>2</v>
      </c>
      <c r="L2188" s="270"/>
      <c r="M2188" s="270">
        <v>-2</v>
      </c>
      <c r="N2188" s="274"/>
      <c r="O2188" s="55"/>
      <c r="P2188" s="96"/>
      <c r="Q2188" s="270"/>
      <c r="R2188" s="275">
        <v>0</v>
      </c>
      <c r="S2188" s="270"/>
      <c r="T2188" s="270">
        <v>-2</v>
      </c>
      <c r="U2188" s="57">
        <v>1</v>
      </c>
      <c r="V2188" s="276">
        <v>0.3</v>
      </c>
      <c r="W2188" s="276">
        <v>0</v>
      </c>
      <c r="X2188" s="270">
        <v>-1</v>
      </c>
      <c r="Y2188" s="270">
        <v>-1</v>
      </c>
      <c r="Z2188" s="45" t="b">
        <v>1</v>
      </c>
      <c r="AA2188" s="45" t="s">
        <v>38</v>
      </c>
      <c r="AB2188" s="45" t="s">
        <v>38</v>
      </c>
    </row>
    <row r="2189" spans="1:28" x14ac:dyDescent="0.2">
      <c r="A2189" s="279" t="s">
        <v>169</v>
      </c>
      <c r="B2189" s="279" t="s">
        <v>169</v>
      </c>
      <c r="C2189" s="277">
        <v>44886</v>
      </c>
      <c r="D2189" s="277">
        <v>44915</v>
      </c>
      <c r="E2189" s="279" t="s">
        <v>267</v>
      </c>
      <c r="F2189" s="133" t="s">
        <v>41</v>
      </c>
      <c r="G2189" s="270" t="s">
        <v>35</v>
      </c>
      <c r="H2189" s="272" t="s">
        <v>51</v>
      </c>
      <c r="I2189" s="273">
        <v>0.25</v>
      </c>
      <c r="J2189" s="270">
        <v>1</v>
      </c>
      <c r="K2189" s="270">
        <f t="shared" si="0"/>
        <v>0.25</v>
      </c>
      <c r="L2189" s="270"/>
      <c r="M2189" s="270">
        <v>0</v>
      </c>
      <c r="N2189" s="274"/>
      <c r="O2189" s="55"/>
      <c r="P2189" s="96"/>
      <c r="Q2189" s="270"/>
      <c r="R2189" s="275">
        <v>0</v>
      </c>
      <c r="S2189" s="270"/>
      <c r="T2189" s="270">
        <v>0</v>
      </c>
      <c r="U2189" s="57">
        <v>1</v>
      </c>
      <c r="V2189" s="276">
        <v>0.3</v>
      </c>
      <c r="W2189" s="276">
        <v>0</v>
      </c>
      <c r="X2189" s="270">
        <v>0</v>
      </c>
      <c r="Y2189" s="270">
        <v>0</v>
      </c>
      <c r="Z2189" s="45" t="b">
        <v>1</v>
      </c>
      <c r="AA2189" s="45" t="s">
        <v>38</v>
      </c>
      <c r="AB2189" s="45" t="s">
        <v>38</v>
      </c>
    </row>
    <row r="2190" spans="1:28" x14ac:dyDescent="0.2">
      <c r="A2190" s="279" t="s">
        <v>180</v>
      </c>
      <c r="B2190" s="279" t="s">
        <v>180</v>
      </c>
      <c r="C2190" s="282">
        <v>44886</v>
      </c>
      <c r="D2190" s="282">
        <v>44915</v>
      </c>
      <c r="E2190" s="279" t="s">
        <v>267</v>
      </c>
      <c r="F2190" s="133" t="s">
        <v>34</v>
      </c>
      <c r="G2190" s="279" t="s">
        <v>61</v>
      </c>
      <c r="H2190" s="289" t="s">
        <v>55</v>
      </c>
      <c r="I2190" s="280">
        <v>10</v>
      </c>
      <c r="J2190" s="279">
        <v>4359</v>
      </c>
      <c r="K2190" s="270">
        <f t="shared" si="0"/>
        <v>43590</v>
      </c>
      <c r="L2190" s="279">
        <v>239745</v>
      </c>
      <c r="M2190" s="279">
        <v>1836</v>
      </c>
      <c r="N2190" s="281">
        <v>990</v>
      </c>
      <c r="O2190" s="55"/>
      <c r="P2190" s="45">
        <v>990</v>
      </c>
      <c r="Q2190" s="279">
        <v>607</v>
      </c>
      <c r="R2190" s="275">
        <v>1.9000000000000001E-4</v>
      </c>
      <c r="S2190" s="279">
        <v>615</v>
      </c>
      <c r="T2190" s="279">
        <v>1605</v>
      </c>
      <c r="U2190" s="57">
        <v>1</v>
      </c>
      <c r="V2190" s="276">
        <v>0.17</v>
      </c>
      <c r="W2190" s="276">
        <v>0</v>
      </c>
      <c r="X2190" s="279">
        <v>1332</v>
      </c>
      <c r="Y2190" s="279">
        <v>273</v>
      </c>
      <c r="Z2190" s="45" t="b">
        <v>1</v>
      </c>
      <c r="AA2190" s="45" t="s">
        <v>50</v>
      </c>
      <c r="AB2190" s="45" t="s">
        <v>50</v>
      </c>
    </row>
    <row r="2191" spans="1:28" x14ac:dyDescent="0.2">
      <c r="A2191" s="279" t="s">
        <v>170</v>
      </c>
      <c r="B2191" s="279" t="s">
        <v>170</v>
      </c>
      <c r="C2191" s="277">
        <v>44886</v>
      </c>
      <c r="D2191" s="277">
        <v>44915</v>
      </c>
      <c r="E2191" s="279" t="s">
        <v>267</v>
      </c>
      <c r="F2191" s="133" t="s">
        <v>34</v>
      </c>
      <c r="G2191" s="270" t="s">
        <v>35</v>
      </c>
      <c r="H2191" s="289" t="s">
        <v>46</v>
      </c>
      <c r="I2191" s="280">
        <v>25</v>
      </c>
      <c r="J2191" s="279">
        <v>1125</v>
      </c>
      <c r="K2191" s="270">
        <f t="shared" si="0"/>
        <v>28125</v>
      </c>
      <c r="L2191" s="279">
        <v>67985</v>
      </c>
      <c r="M2191" s="279">
        <v>1175</v>
      </c>
      <c r="N2191" s="274">
        <v>375</v>
      </c>
      <c r="O2191" s="55"/>
      <c r="P2191" s="45">
        <v>375</v>
      </c>
      <c r="Q2191" s="279">
        <v>1352</v>
      </c>
      <c r="R2191" s="275">
        <v>1.9000000000000001E-4</v>
      </c>
      <c r="S2191" s="279">
        <v>1357</v>
      </c>
      <c r="T2191" s="279">
        <v>1732</v>
      </c>
      <c r="U2191" s="57">
        <v>1</v>
      </c>
      <c r="V2191" s="276">
        <v>0.17</v>
      </c>
      <c r="W2191" s="276">
        <v>0</v>
      </c>
      <c r="X2191" s="279">
        <v>1438</v>
      </c>
      <c r="Y2191" s="279">
        <v>294</v>
      </c>
      <c r="Z2191" s="45" t="b">
        <v>1</v>
      </c>
      <c r="AA2191" s="45" t="s">
        <v>38</v>
      </c>
      <c r="AB2191" s="45" t="s">
        <v>38</v>
      </c>
    </row>
    <row r="2192" spans="1:28" x14ac:dyDescent="0.2">
      <c r="A2192" s="279" t="s">
        <v>170</v>
      </c>
      <c r="B2192" s="279" t="s">
        <v>171</v>
      </c>
      <c r="C2192" s="277">
        <v>44886</v>
      </c>
      <c r="D2192" s="277">
        <v>44915</v>
      </c>
      <c r="E2192" s="279" t="s">
        <v>267</v>
      </c>
      <c r="F2192" s="133" t="s">
        <v>34</v>
      </c>
      <c r="G2192" s="270" t="s">
        <v>165</v>
      </c>
      <c r="H2192" s="289" t="s">
        <v>166</v>
      </c>
      <c r="I2192" s="280">
        <v>10</v>
      </c>
      <c r="J2192" s="279">
        <v>872</v>
      </c>
      <c r="K2192" s="270">
        <f t="shared" si="0"/>
        <v>8720</v>
      </c>
      <c r="L2192" s="279">
        <v>64059</v>
      </c>
      <c r="M2192" s="279">
        <v>2120</v>
      </c>
      <c r="N2192" s="274"/>
      <c r="O2192" s="55"/>
      <c r="P2192" s="96"/>
      <c r="Q2192" s="279">
        <v>530</v>
      </c>
      <c r="R2192" s="275">
        <v>1.9000000000000001E-4</v>
      </c>
      <c r="S2192" s="279">
        <v>531</v>
      </c>
      <c r="T2192" s="279">
        <v>531</v>
      </c>
      <c r="U2192" s="57">
        <v>1</v>
      </c>
      <c r="V2192" s="276">
        <v>0.17</v>
      </c>
      <c r="W2192" s="276">
        <v>0</v>
      </c>
      <c r="X2192" s="279">
        <v>441</v>
      </c>
      <c r="Y2192" s="279">
        <v>90</v>
      </c>
      <c r="Z2192" s="45" t="b">
        <v>1</v>
      </c>
      <c r="AA2192" s="45" t="s">
        <v>38</v>
      </c>
      <c r="AB2192" s="45" t="s">
        <v>38</v>
      </c>
    </row>
    <row r="2193" spans="1:28" x14ac:dyDescent="0.2">
      <c r="A2193" s="279" t="s">
        <v>91</v>
      </c>
      <c r="B2193" s="279" t="s">
        <v>96</v>
      </c>
      <c r="C2193" s="277">
        <v>44886</v>
      </c>
      <c r="D2193" s="282">
        <v>44915</v>
      </c>
      <c r="E2193" s="279" t="s">
        <v>267</v>
      </c>
      <c r="F2193" s="133" t="s">
        <v>34</v>
      </c>
      <c r="G2193" s="279" t="s">
        <v>35</v>
      </c>
      <c r="H2193" s="272" t="s">
        <v>46</v>
      </c>
      <c r="I2193" s="273">
        <v>25</v>
      </c>
      <c r="J2193" s="270">
        <v>3</v>
      </c>
      <c r="K2193" s="270">
        <f t="shared" si="0"/>
        <v>75</v>
      </c>
      <c r="L2193" s="270">
        <v>356</v>
      </c>
      <c r="M2193" s="270">
        <v>100</v>
      </c>
      <c r="N2193" s="274">
        <v>3</v>
      </c>
      <c r="O2193" s="55"/>
      <c r="P2193" s="45">
        <v>3</v>
      </c>
      <c r="Q2193" s="270">
        <v>12</v>
      </c>
      <c r="R2193" s="275">
        <v>1.9000000000000001E-4</v>
      </c>
      <c r="S2193" s="270">
        <v>12</v>
      </c>
      <c r="T2193" s="270">
        <v>15</v>
      </c>
      <c r="U2193" s="57">
        <v>1</v>
      </c>
      <c r="V2193" s="290"/>
      <c r="W2193" s="276">
        <v>0</v>
      </c>
      <c r="X2193" s="270">
        <v>15</v>
      </c>
      <c r="Y2193" s="270">
        <v>0</v>
      </c>
      <c r="Z2193" s="45" t="b">
        <v>0</v>
      </c>
      <c r="AA2193" s="45" t="s">
        <v>38</v>
      </c>
      <c r="AB2193" s="45" t="s">
        <v>38</v>
      </c>
    </row>
    <row r="2194" spans="1:28" x14ac:dyDescent="0.2">
      <c r="A2194" s="279" t="s">
        <v>91</v>
      </c>
      <c r="B2194" s="279" t="s">
        <v>96</v>
      </c>
      <c r="C2194" s="277">
        <v>44886</v>
      </c>
      <c r="D2194" s="282">
        <v>44915</v>
      </c>
      <c r="E2194" s="279" t="s">
        <v>267</v>
      </c>
      <c r="F2194" s="133" t="s">
        <v>34</v>
      </c>
      <c r="G2194" s="279" t="s">
        <v>35</v>
      </c>
      <c r="H2194" s="272" t="s">
        <v>72</v>
      </c>
      <c r="I2194" s="273">
        <v>50</v>
      </c>
      <c r="J2194" s="270">
        <v>320</v>
      </c>
      <c r="K2194" s="270">
        <f t="shared" si="0"/>
        <v>16000</v>
      </c>
      <c r="L2194" s="270">
        <v>1882</v>
      </c>
      <c r="M2194" s="270">
        <v>5400</v>
      </c>
      <c r="N2194" s="274">
        <v>592</v>
      </c>
      <c r="O2194" s="55"/>
      <c r="P2194" s="45">
        <v>592</v>
      </c>
      <c r="Q2194" s="270">
        <v>-850</v>
      </c>
      <c r="R2194" s="275">
        <v>1.9000000000000001E-4</v>
      </c>
      <c r="S2194" s="270">
        <v>-846</v>
      </c>
      <c r="T2194" s="270">
        <v>-254</v>
      </c>
      <c r="U2194" s="57">
        <v>1</v>
      </c>
      <c r="V2194" s="290"/>
      <c r="W2194" s="276">
        <v>0</v>
      </c>
      <c r="X2194" s="270">
        <v>-254</v>
      </c>
      <c r="Y2194" s="270">
        <v>0</v>
      </c>
      <c r="Z2194" s="45" t="b">
        <v>0</v>
      </c>
      <c r="AA2194" s="45" t="s">
        <v>38</v>
      </c>
      <c r="AB2194" s="45" t="s">
        <v>38</v>
      </c>
    </row>
    <row r="2195" spans="1:28" x14ac:dyDescent="0.2">
      <c r="A2195" s="96" t="s">
        <v>172</v>
      </c>
      <c r="B2195" s="96" t="s">
        <v>172</v>
      </c>
      <c r="C2195" s="277">
        <v>44886</v>
      </c>
      <c r="D2195" s="277">
        <v>44915</v>
      </c>
      <c r="E2195" s="270" t="s">
        <v>300</v>
      </c>
      <c r="F2195" s="133" t="s">
        <v>34</v>
      </c>
      <c r="G2195" s="96" t="s">
        <v>35</v>
      </c>
      <c r="H2195" s="272" t="s">
        <v>85</v>
      </c>
      <c r="I2195" s="273">
        <v>50</v>
      </c>
      <c r="J2195" s="270">
        <v>29</v>
      </c>
      <c r="K2195" s="270">
        <f t="shared" si="0"/>
        <v>1450</v>
      </c>
      <c r="L2195" s="270">
        <v>551</v>
      </c>
      <c r="M2195" s="270">
        <v>-50</v>
      </c>
      <c r="N2195" s="274">
        <v>71.180000000000007</v>
      </c>
      <c r="O2195" s="55"/>
      <c r="P2195" s="45">
        <v>71</v>
      </c>
      <c r="Q2195" s="270">
        <v>-8</v>
      </c>
      <c r="R2195" s="275">
        <v>-1.5E-3</v>
      </c>
      <c r="S2195" s="270">
        <v>-10</v>
      </c>
      <c r="T2195" s="270">
        <v>61</v>
      </c>
      <c r="U2195" s="57">
        <v>1</v>
      </c>
      <c r="V2195" s="276">
        <v>0.1125</v>
      </c>
      <c r="W2195" s="276">
        <v>3.7499999999999999E-2</v>
      </c>
      <c r="X2195" s="270">
        <v>52</v>
      </c>
      <c r="Y2195" s="270">
        <v>9</v>
      </c>
      <c r="Z2195" s="45" t="b">
        <v>1</v>
      </c>
      <c r="AA2195" s="45" t="s">
        <v>38</v>
      </c>
      <c r="AB2195" s="45" t="s">
        <v>38</v>
      </c>
    </row>
    <row r="2196" spans="1:28" x14ac:dyDescent="0.2">
      <c r="A2196" s="96" t="s">
        <v>172</v>
      </c>
      <c r="B2196" s="96" t="s">
        <v>172</v>
      </c>
      <c r="C2196" s="277">
        <v>44886</v>
      </c>
      <c r="D2196" s="277">
        <v>44915</v>
      </c>
      <c r="E2196" s="270" t="s">
        <v>300</v>
      </c>
      <c r="F2196" s="133" t="s">
        <v>34</v>
      </c>
      <c r="G2196" s="96" t="s">
        <v>35</v>
      </c>
      <c r="H2196" s="272" t="s">
        <v>70</v>
      </c>
      <c r="I2196" s="273">
        <v>100</v>
      </c>
      <c r="J2196" s="270">
        <v>2235</v>
      </c>
      <c r="K2196" s="270">
        <f t="shared" si="0"/>
        <v>223500</v>
      </c>
      <c r="L2196" s="270">
        <v>65014</v>
      </c>
      <c r="M2196" s="270">
        <v>10400</v>
      </c>
      <c r="N2196" s="274">
        <v>9143.2900000000009</v>
      </c>
      <c r="O2196" s="55"/>
      <c r="P2196" s="105">
        <v>9143</v>
      </c>
      <c r="Q2196" s="270">
        <v>117</v>
      </c>
      <c r="R2196" s="275">
        <v>-1.5E-3</v>
      </c>
      <c r="S2196" s="270">
        <v>-219</v>
      </c>
      <c r="T2196" s="270">
        <v>8925</v>
      </c>
      <c r="U2196" s="57">
        <v>1</v>
      </c>
      <c r="V2196" s="276">
        <v>0.1125</v>
      </c>
      <c r="W2196" s="276">
        <v>3.7499999999999999E-2</v>
      </c>
      <c r="X2196" s="270">
        <v>7586</v>
      </c>
      <c r="Y2196" s="270">
        <v>1339</v>
      </c>
      <c r="Z2196" s="45" t="b">
        <v>1</v>
      </c>
      <c r="AA2196" s="45" t="s">
        <v>38</v>
      </c>
      <c r="AB2196" s="45" t="s">
        <v>38</v>
      </c>
    </row>
    <row r="2197" spans="1:28" x14ac:dyDescent="0.2">
      <c r="A2197" s="96" t="s">
        <v>172</v>
      </c>
      <c r="B2197" s="96" t="s">
        <v>172</v>
      </c>
      <c r="C2197" s="277">
        <v>44886</v>
      </c>
      <c r="D2197" s="277">
        <v>44915</v>
      </c>
      <c r="E2197" s="270" t="s">
        <v>300</v>
      </c>
      <c r="F2197" s="133" t="s">
        <v>34</v>
      </c>
      <c r="G2197" s="96" t="s">
        <v>35</v>
      </c>
      <c r="H2197" s="272" t="s">
        <v>84</v>
      </c>
      <c r="I2197" s="273">
        <v>100</v>
      </c>
      <c r="J2197" s="270">
        <v>746</v>
      </c>
      <c r="K2197" s="270">
        <f t="shared" si="0"/>
        <v>74600</v>
      </c>
      <c r="L2197" s="270">
        <v>4799</v>
      </c>
      <c r="M2197" s="270">
        <v>-1800</v>
      </c>
      <c r="N2197" s="274">
        <v>3051.85</v>
      </c>
      <c r="O2197" s="55"/>
      <c r="P2197" s="105">
        <v>3052</v>
      </c>
      <c r="Q2197" s="270">
        <v>-2529</v>
      </c>
      <c r="R2197" s="275">
        <v>-1.5E-3</v>
      </c>
      <c r="S2197" s="270">
        <v>-2641</v>
      </c>
      <c r="T2197" s="270">
        <v>411</v>
      </c>
      <c r="U2197" s="57">
        <v>1</v>
      </c>
      <c r="V2197" s="276">
        <v>0.1125</v>
      </c>
      <c r="W2197" s="276">
        <v>3.7499999999999999E-2</v>
      </c>
      <c r="X2197" s="270">
        <v>349</v>
      </c>
      <c r="Y2197" s="270">
        <v>62</v>
      </c>
      <c r="Z2197" s="45" t="b">
        <v>1</v>
      </c>
      <c r="AA2197" s="45" t="s">
        <v>38</v>
      </c>
      <c r="AB2197" s="45" t="s">
        <v>38</v>
      </c>
    </row>
    <row r="2198" spans="1:28" x14ac:dyDescent="0.2">
      <c r="A2198" s="96" t="s">
        <v>172</v>
      </c>
      <c r="B2198" s="96" t="s">
        <v>172</v>
      </c>
      <c r="C2198" s="277">
        <v>44886</v>
      </c>
      <c r="D2198" s="277">
        <v>44915</v>
      </c>
      <c r="E2198" s="270" t="s">
        <v>300</v>
      </c>
      <c r="F2198" s="133" t="s">
        <v>34</v>
      </c>
      <c r="G2198" s="96" t="s">
        <v>35</v>
      </c>
      <c r="H2198" s="272" t="s">
        <v>88</v>
      </c>
      <c r="I2198" s="273">
        <v>250</v>
      </c>
      <c r="J2198" s="270">
        <v>1110</v>
      </c>
      <c r="K2198" s="270">
        <f t="shared" si="0"/>
        <v>277500</v>
      </c>
      <c r="L2198" s="270">
        <v>40697</v>
      </c>
      <c r="M2198" s="270">
        <v>14750</v>
      </c>
      <c r="N2198" s="274">
        <v>11352.4</v>
      </c>
      <c r="O2198" s="55"/>
      <c r="P2198" s="105">
        <v>11352</v>
      </c>
      <c r="Q2198" s="270">
        <v>4799</v>
      </c>
      <c r="R2198" s="275">
        <v>-1.5E-3</v>
      </c>
      <c r="S2198" s="270">
        <v>4383</v>
      </c>
      <c r="T2198" s="270">
        <v>15736</v>
      </c>
      <c r="U2198" s="57">
        <v>1</v>
      </c>
      <c r="V2198" s="276">
        <v>0.1125</v>
      </c>
      <c r="W2198" s="276">
        <v>3.7499999999999999E-2</v>
      </c>
      <c r="X2198" s="270">
        <v>13375</v>
      </c>
      <c r="Y2198" s="270">
        <v>2360</v>
      </c>
      <c r="Z2198" s="45" t="b">
        <v>1</v>
      </c>
      <c r="AA2198" s="45" t="s">
        <v>38</v>
      </c>
      <c r="AB2198" s="45" t="s">
        <v>38</v>
      </c>
    </row>
    <row r="2199" spans="1:28" x14ac:dyDescent="0.2">
      <c r="A2199" s="96" t="s">
        <v>172</v>
      </c>
      <c r="B2199" s="96" t="s">
        <v>172</v>
      </c>
      <c r="C2199" s="277">
        <v>44886</v>
      </c>
      <c r="D2199" s="277">
        <v>44915</v>
      </c>
      <c r="E2199" s="270" t="s">
        <v>300</v>
      </c>
      <c r="F2199" s="133" t="s">
        <v>34</v>
      </c>
      <c r="G2199" s="96" t="s">
        <v>35</v>
      </c>
      <c r="H2199" s="272" t="s">
        <v>148</v>
      </c>
      <c r="I2199" s="273">
        <v>250</v>
      </c>
      <c r="J2199" s="270">
        <v>372</v>
      </c>
      <c r="K2199" s="270">
        <f t="shared" si="0"/>
        <v>93000</v>
      </c>
      <c r="L2199" s="270">
        <v>3480</v>
      </c>
      <c r="M2199" s="270">
        <v>-2750</v>
      </c>
      <c r="N2199" s="274">
        <v>3804.59</v>
      </c>
      <c r="O2199" s="55"/>
      <c r="P2199" s="105">
        <v>3805</v>
      </c>
      <c r="Q2199" s="270">
        <v>-2074</v>
      </c>
      <c r="R2199" s="275">
        <v>-1.5E-3</v>
      </c>
      <c r="S2199" s="270">
        <v>-2214</v>
      </c>
      <c r="T2199" s="270">
        <v>1591</v>
      </c>
      <c r="U2199" s="57">
        <v>1</v>
      </c>
      <c r="V2199" s="276">
        <v>0.1125</v>
      </c>
      <c r="W2199" s="276">
        <v>3.7499999999999999E-2</v>
      </c>
      <c r="X2199" s="270">
        <v>1352</v>
      </c>
      <c r="Y2199" s="270">
        <v>239</v>
      </c>
      <c r="Z2199" s="45" t="b">
        <v>1</v>
      </c>
      <c r="AA2199" s="45" t="s">
        <v>38</v>
      </c>
      <c r="AB2199" s="45" t="s">
        <v>38</v>
      </c>
    </row>
    <row r="2200" spans="1:28" x14ac:dyDescent="0.2">
      <c r="A2200" s="96" t="s">
        <v>172</v>
      </c>
      <c r="B2200" s="96" t="s">
        <v>172</v>
      </c>
      <c r="C2200" s="277">
        <v>44886</v>
      </c>
      <c r="D2200" s="277">
        <v>44915</v>
      </c>
      <c r="E2200" s="270" t="s">
        <v>300</v>
      </c>
      <c r="F2200" s="133" t="s">
        <v>41</v>
      </c>
      <c r="G2200" s="96" t="s">
        <v>35</v>
      </c>
      <c r="H2200" s="272" t="s">
        <v>173</v>
      </c>
      <c r="I2200" s="273">
        <v>100</v>
      </c>
      <c r="J2200" s="270">
        <v>1</v>
      </c>
      <c r="K2200" s="270">
        <f t="shared" si="0"/>
        <v>100</v>
      </c>
      <c r="L2200" s="270"/>
      <c r="M2200" s="270">
        <v>96</v>
      </c>
      <c r="N2200" s="274">
        <v>1.54</v>
      </c>
      <c r="O2200" s="55"/>
      <c r="P2200" s="45">
        <v>2</v>
      </c>
      <c r="Q2200" s="270"/>
      <c r="R2200" s="275">
        <v>0</v>
      </c>
      <c r="S2200" s="270"/>
      <c r="T2200" s="270">
        <v>98</v>
      </c>
      <c r="U2200" s="57">
        <v>1</v>
      </c>
      <c r="V2200" s="276">
        <v>0.1125</v>
      </c>
      <c r="W2200" s="276">
        <v>3.7499999999999999E-2</v>
      </c>
      <c r="X2200" s="270">
        <v>83</v>
      </c>
      <c r="Y2200" s="270">
        <v>15</v>
      </c>
      <c r="Z2200" s="45" t="b">
        <v>1</v>
      </c>
      <c r="AA2200" s="45" t="s">
        <v>38</v>
      </c>
      <c r="AB2200" s="45" t="s">
        <v>38</v>
      </c>
    </row>
    <row r="2201" spans="1:28" x14ac:dyDescent="0.2">
      <c r="A2201" s="96" t="s">
        <v>172</v>
      </c>
      <c r="B2201" s="96" t="s">
        <v>172</v>
      </c>
      <c r="C2201" s="277">
        <v>44886</v>
      </c>
      <c r="D2201" s="277">
        <v>44915</v>
      </c>
      <c r="E2201" s="270" t="s">
        <v>300</v>
      </c>
      <c r="F2201" s="133" t="s">
        <v>41</v>
      </c>
      <c r="G2201" s="96" t="s">
        <v>35</v>
      </c>
      <c r="H2201" s="272" t="s">
        <v>45</v>
      </c>
      <c r="I2201" s="273">
        <v>0.25</v>
      </c>
      <c r="J2201" s="270">
        <v>9</v>
      </c>
      <c r="K2201" s="270">
        <f t="shared" si="0"/>
        <v>2.25</v>
      </c>
      <c r="L2201" s="270"/>
      <c r="M2201" s="270">
        <v>0</v>
      </c>
      <c r="N2201" s="274">
        <v>0.15</v>
      </c>
      <c r="O2201" s="55"/>
      <c r="P2201" s="45">
        <v>0</v>
      </c>
      <c r="Q2201" s="270"/>
      <c r="R2201" s="275">
        <v>0</v>
      </c>
      <c r="S2201" s="270"/>
      <c r="T2201" s="270">
        <v>0</v>
      </c>
      <c r="U2201" s="57">
        <v>1</v>
      </c>
      <c r="V2201" s="276">
        <v>0.1125</v>
      </c>
      <c r="W2201" s="276">
        <v>3.7499999999999999E-2</v>
      </c>
      <c r="X2201" s="270">
        <v>0</v>
      </c>
      <c r="Y2201" s="270">
        <v>0</v>
      </c>
      <c r="Z2201" s="45" t="b">
        <v>1</v>
      </c>
      <c r="AA2201" s="45" t="s">
        <v>38</v>
      </c>
      <c r="AB2201" s="45" t="s">
        <v>38</v>
      </c>
    </row>
    <row r="2202" spans="1:28" x14ac:dyDescent="0.2">
      <c r="A2202" s="279" t="s">
        <v>447</v>
      </c>
      <c r="B2202" s="279" t="s">
        <v>95</v>
      </c>
      <c r="C2202" s="282">
        <v>44886</v>
      </c>
      <c r="D2202" s="277">
        <v>44915</v>
      </c>
      <c r="E2202" s="279" t="s">
        <v>300</v>
      </c>
      <c r="F2202" s="133" t="s">
        <v>49</v>
      </c>
      <c r="G2202" s="279" t="s">
        <v>61</v>
      </c>
      <c r="H2202" s="289" t="s">
        <v>135</v>
      </c>
      <c r="I2202" s="273">
        <v>250</v>
      </c>
      <c r="J2202" s="270">
        <v>81</v>
      </c>
      <c r="K2202" s="270">
        <f t="shared" si="0"/>
        <v>20250</v>
      </c>
      <c r="L2202" s="270">
        <v>-11</v>
      </c>
      <c r="M2202" s="270">
        <v>-250</v>
      </c>
      <c r="N2202" s="274">
        <v>2089</v>
      </c>
      <c r="O2202" s="55"/>
      <c r="P2202" s="105">
        <v>2089</v>
      </c>
      <c r="Q2202" s="270">
        <v>-1581</v>
      </c>
      <c r="R2202" s="275">
        <v>-1.671E-3</v>
      </c>
      <c r="S2202" s="270">
        <v>-1615</v>
      </c>
      <c r="T2202" s="270">
        <v>474</v>
      </c>
      <c r="U2202" s="57">
        <v>1</v>
      </c>
      <c r="V2202" s="276">
        <v>0.15</v>
      </c>
      <c r="W2202" s="276">
        <v>0.05</v>
      </c>
      <c r="X2202" s="270">
        <v>379</v>
      </c>
      <c r="Y2202" s="270">
        <v>95</v>
      </c>
      <c r="Z2202" s="45" t="b">
        <v>0</v>
      </c>
      <c r="AA2202" s="45" t="s">
        <v>50</v>
      </c>
      <c r="AB2202" s="45" t="s">
        <v>50</v>
      </c>
    </row>
    <row r="2203" spans="1:28" x14ac:dyDescent="0.2">
      <c r="A2203" s="279" t="s">
        <v>447</v>
      </c>
      <c r="B2203" s="279" t="s">
        <v>95</v>
      </c>
      <c r="C2203" s="282">
        <v>44886</v>
      </c>
      <c r="D2203" s="277">
        <v>44915</v>
      </c>
      <c r="E2203" s="279" t="s">
        <v>300</v>
      </c>
      <c r="F2203" s="133" t="s">
        <v>49</v>
      </c>
      <c r="G2203" s="279" t="s">
        <v>61</v>
      </c>
      <c r="H2203" s="289" t="s">
        <v>100</v>
      </c>
      <c r="I2203" s="273">
        <v>500</v>
      </c>
      <c r="J2203" s="270">
        <v>15</v>
      </c>
      <c r="K2203" s="270">
        <f t="shared" si="0"/>
        <v>7500</v>
      </c>
      <c r="L2203" s="270">
        <v>1739</v>
      </c>
      <c r="M2203" s="270">
        <v>-2000</v>
      </c>
      <c r="N2203" s="274">
        <v>11</v>
      </c>
      <c r="O2203" s="55"/>
      <c r="P2203" s="45">
        <v>11</v>
      </c>
      <c r="Q2203" s="270">
        <v>1009</v>
      </c>
      <c r="R2203" s="275">
        <v>-1.8710000000000001E-3</v>
      </c>
      <c r="S2203" s="270">
        <v>995</v>
      </c>
      <c r="T2203" s="270">
        <v>1006</v>
      </c>
      <c r="U2203" s="57">
        <v>1</v>
      </c>
      <c r="V2203" s="276">
        <v>0.15</v>
      </c>
      <c r="W2203" s="276">
        <v>0.05</v>
      </c>
      <c r="X2203" s="270">
        <v>805</v>
      </c>
      <c r="Y2203" s="270">
        <v>201</v>
      </c>
      <c r="Z2203" s="45" t="b">
        <v>0</v>
      </c>
      <c r="AA2203" s="45" t="s">
        <v>50</v>
      </c>
      <c r="AB2203" s="45" t="s">
        <v>50</v>
      </c>
    </row>
    <row r="2204" spans="1:28" x14ac:dyDescent="0.2">
      <c r="A2204" s="279" t="s">
        <v>447</v>
      </c>
      <c r="B2204" s="279" t="s">
        <v>66</v>
      </c>
      <c r="C2204" s="282">
        <v>44886</v>
      </c>
      <c r="D2204" s="277">
        <v>44915</v>
      </c>
      <c r="E2204" s="279" t="s">
        <v>300</v>
      </c>
      <c r="F2204" s="133" t="s">
        <v>49</v>
      </c>
      <c r="G2204" s="279" t="s">
        <v>35</v>
      </c>
      <c r="H2204" s="272" t="s">
        <v>70</v>
      </c>
      <c r="I2204" s="273">
        <v>100</v>
      </c>
      <c r="J2204" s="270">
        <v>456</v>
      </c>
      <c r="K2204" s="270">
        <f t="shared" si="0"/>
        <v>45600</v>
      </c>
      <c r="L2204" s="270">
        <v>8473</v>
      </c>
      <c r="M2204" s="270">
        <v>-4800</v>
      </c>
      <c r="N2204" s="274">
        <v>709</v>
      </c>
      <c r="O2204" s="55"/>
      <c r="P2204" s="45">
        <v>709</v>
      </c>
      <c r="Q2204" s="270">
        <v>-974</v>
      </c>
      <c r="R2204" s="275">
        <v>-8.4900000000000004E-4</v>
      </c>
      <c r="S2204" s="270">
        <v>-1013</v>
      </c>
      <c r="T2204" s="270">
        <v>-304</v>
      </c>
      <c r="U2204" s="57">
        <v>1</v>
      </c>
      <c r="V2204" s="276">
        <v>0.15</v>
      </c>
      <c r="W2204" s="276">
        <v>0.05</v>
      </c>
      <c r="X2204" s="270">
        <v>-243</v>
      </c>
      <c r="Y2204" s="270">
        <v>-61</v>
      </c>
      <c r="Z2204" s="45" t="b">
        <v>0</v>
      </c>
      <c r="AA2204" s="45" t="s">
        <v>38</v>
      </c>
      <c r="AB2204" s="45" t="s">
        <v>38</v>
      </c>
    </row>
    <row r="2205" spans="1:28" x14ac:dyDescent="0.2">
      <c r="A2205" s="279" t="s">
        <v>466</v>
      </c>
      <c r="B2205" s="279" t="s">
        <v>118</v>
      </c>
      <c r="C2205" s="277">
        <v>44886</v>
      </c>
      <c r="D2205" s="277">
        <v>44915</v>
      </c>
      <c r="E2205" s="279" t="s">
        <v>300</v>
      </c>
      <c r="F2205" s="133" t="s">
        <v>34</v>
      </c>
      <c r="G2205" s="270" t="s">
        <v>80</v>
      </c>
      <c r="H2205" s="270" t="s">
        <v>70</v>
      </c>
      <c r="I2205" s="273">
        <v>100</v>
      </c>
      <c r="J2205" s="270">
        <v>6886</v>
      </c>
      <c r="K2205" s="270">
        <f t="shared" si="0"/>
        <v>688600</v>
      </c>
      <c r="L2205" s="270">
        <v>53577</v>
      </c>
      <c r="M2205" s="270">
        <v>-45400</v>
      </c>
      <c r="N2205" s="274">
        <v>36998</v>
      </c>
      <c r="O2205" s="55"/>
      <c r="P2205" s="105">
        <v>36998</v>
      </c>
      <c r="Q2205" s="270">
        <v>-35088</v>
      </c>
      <c r="R2205" s="275">
        <v>1.9000000000000001E-4</v>
      </c>
      <c r="S2205" s="270">
        <v>-34957</v>
      </c>
      <c r="T2205" s="270">
        <v>2041</v>
      </c>
      <c r="U2205" s="57">
        <v>1</v>
      </c>
      <c r="V2205" s="276">
        <v>0.15</v>
      </c>
      <c r="W2205" s="276">
        <v>0.05</v>
      </c>
      <c r="X2205" s="270">
        <v>1632</v>
      </c>
      <c r="Y2205" s="270">
        <v>408</v>
      </c>
      <c r="Z2205" s="45" t="b">
        <v>1</v>
      </c>
      <c r="AA2205" s="45" t="s">
        <v>38</v>
      </c>
      <c r="AB2205" s="45" t="s">
        <v>38</v>
      </c>
    </row>
    <row r="2206" spans="1:28" x14ac:dyDescent="0.2">
      <c r="A2206" s="96" t="s">
        <v>473</v>
      </c>
      <c r="B2206" s="270" t="s">
        <v>120</v>
      </c>
      <c r="C2206" s="277">
        <v>44886</v>
      </c>
      <c r="D2206" s="277">
        <v>44915</v>
      </c>
      <c r="E2206" s="270" t="s">
        <v>267</v>
      </c>
      <c r="F2206" s="96" t="s">
        <v>34</v>
      </c>
      <c r="G2206" s="270" t="s">
        <v>35</v>
      </c>
      <c r="H2206" s="272" t="s">
        <v>39</v>
      </c>
      <c r="I2206" s="280">
        <v>5</v>
      </c>
      <c r="J2206" s="279">
        <v>1</v>
      </c>
      <c r="K2206" s="270">
        <f t="shared" si="0"/>
        <v>5</v>
      </c>
      <c r="L2206" s="279">
        <v>375</v>
      </c>
      <c r="M2206" s="279">
        <v>10</v>
      </c>
      <c r="N2206" s="274"/>
      <c r="O2206" s="55"/>
      <c r="P2206" s="96"/>
      <c r="Q2206" s="279">
        <v>3</v>
      </c>
      <c r="R2206" s="275">
        <v>1.9000000000000001E-4</v>
      </c>
      <c r="S2206" s="279">
        <v>3</v>
      </c>
      <c r="T2206" s="279">
        <v>3</v>
      </c>
      <c r="U2206" s="57">
        <v>1</v>
      </c>
      <c r="V2206" s="276">
        <v>0.3</v>
      </c>
      <c r="W2206" s="276">
        <v>0</v>
      </c>
      <c r="X2206" s="279">
        <v>2</v>
      </c>
      <c r="Y2206" s="279">
        <v>1</v>
      </c>
      <c r="Z2206" s="45" t="b">
        <v>1</v>
      </c>
      <c r="AA2206" s="45" t="s">
        <v>38</v>
      </c>
      <c r="AB2206" s="45" t="s">
        <v>38</v>
      </c>
    </row>
    <row r="2207" spans="1:28" x14ac:dyDescent="0.2">
      <c r="A2207" s="96" t="s">
        <v>473</v>
      </c>
      <c r="B2207" s="270" t="s">
        <v>120</v>
      </c>
      <c r="C2207" s="277">
        <v>44886</v>
      </c>
      <c r="D2207" s="277">
        <v>44915</v>
      </c>
      <c r="E2207" s="270" t="s">
        <v>267</v>
      </c>
      <c r="F2207" s="96" t="s">
        <v>34</v>
      </c>
      <c r="G2207" s="270" t="s">
        <v>35</v>
      </c>
      <c r="H2207" s="272" t="s">
        <v>40</v>
      </c>
      <c r="I2207" s="280">
        <v>10</v>
      </c>
      <c r="J2207" s="279">
        <v>2463</v>
      </c>
      <c r="K2207" s="270">
        <f t="shared" si="0"/>
        <v>24630</v>
      </c>
      <c r="L2207" s="279">
        <v>86748</v>
      </c>
      <c r="M2207" s="279">
        <v>-160</v>
      </c>
      <c r="N2207" s="274">
        <v>1594</v>
      </c>
      <c r="O2207" s="55"/>
      <c r="P2207" s="105">
        <v>1594</v>
      </c>
      <c r="Q2207" s="279">
        <v>-248</v>
      </c>
      <c r="R2207" s="275">
        <v>1.9000000000000001E-4</v>
      </c>
      <c r="S2207" s="279">
        <v>-244</v>
      </c>
      <c r="T2207" s="279">
        <v>1350</v>
      </c>
      <c r="U2207" s="57">
        <v>1</v>
      </c>
      <c r="V2207" s="276">
        <v>0.3</v>
      </c>
      <c r="W2207" s="276">
        <v>0</v>
      </c>
      <c r="X2207" s="279">
        <v>945</v>
      </c>
      <c r="Y2207" s="279">
        <v>405</v>
      </c>
      <c r="Z2207" s="45" t="b">
        <v>1</v>
      </c>
      <c r="AA2207" s="45" t="s">
        <v>38</v>
      </c>
      <c r="AB2207" s="45" t="s">
        <v>38</v>
      </c>
    </row>
    <row r="2208" spans="1:28" x14ac:dyDescent="0.2">
      <c r="A2208" s="96" t="s">
        <v>175</v>
      </c>
      <c r="B2208" s="96" t="s">
        <v>175</v>
      </c>
      <c r="C2208" s="277">
        <v>44896</v>
      </c>
      <c r="D2208" s="277">
        <v>44915</v>
      </c>
      <c r="E2208" s="279" t="s">
        <v>267</v>
      </c>
      <c r="F2208" s="133" t="s">
        <v>49</v>
      </c>
      <c r="G2208" s="270" t="s">
        <v>35</v>
      </c>
      <c r="H2208" s="272" t="s">
        <v>40</v>
      </c>
      <c r="I2208" s="273">
        <v>10</v>
      </c>
      <c r="J2208" s="270">
        <v>15</v>
      </c>
      <c r="K2208" s="270">
        <f t="shared" si="0"/>
        <v>150</v>
      </c>
      <c r="L2208" s="270">
        <v>1598</v>
      </c>
      <c r="M2208" s="270">
        <v>20</v>
      </c>
      <c r="N2208" s="274">
        <v>5</v>
      </c>
      <c r="O2208" s="55"/>
      <c r="P2208" s="45">
        <v>5</v>
      </c>
      <c r="Q2208" s="270">
        <v>18</v>
      </c>
      <c r="R2208" s="275">
        <v>-1.4139999999999999E-3</v>
      </c>
      <c r="S2208" s="270">
        <v>18</v>
      </c>
      <c r="T2208" s="270">
        <v>23</v>
      </c>
      <c r="U2208" s="57">
        <v>1</v>
      </c>
      <c r="V2208" s="276">
        <v>0.35</v>
      </c>
      <c r="W2208" s="276">
        <v>0</v>
      </c>
      <c r="X2208" s="270">
        <v>15</v>
      </c>
      <c r="Y2208" s="270">
        <v>8</v>
      </c>
      <c r="Z2208" s="45" t="b">
        <v>1</v>
      </c>
      <c r="AA2208" s="45" t="s">
        <v>38</v>
      </c>
      <c r="AB2208" s="45" t="s">
        <v>38</v>
      </c>
    </row>
    <row r="2209" spans="1:28" x14ac:dyDescent="0.2">
      <c r="A2209" s="96" t="s">
        <v>175</v>
      </c>
      <c r="B2209" s="96" t="s">
        <v>175</v>
      </c>
      <c r="C2209" s="277">
        <v>44896</v>
      </c>
      <c r="D2209" s="277">
        <v>44915</v>
      </c>
      <c r="E2209" s="279" t="s">
        <v>267</v>
      </c>
      <c r="F2209" s="133" t="s">
        <v>49</v>
      </c>
      <c r="G2209" s="270" t="s">
        <v>35</v>
      </c>
      <c r="H2209" s="272" t="s">
        <v>46</v>
      </c>
      <c r="I2209" s="273">
        <v>25</v>
      </c>
      <c r="J2209" s="270">
        <v>324</v>
      </c>
      <c r="K2209" s="270">
        <f t="shared" si="0"/>
        <v>8100</v>
      </c>
      <c r="L2209" s="270">
        <v>5351</v>
      </c>
      <c r="M2209" s="270">
        <v>25</v>
      </c>
      <c r="N2209" s="274">
        <v>244</v>
      </c>
      <c r="O2209" s="55"/>
      <c r="P2209" s="45">
        <v>244</v>
      </c>
      <c r="Q2209" s="270">
        <v>-270</v>
      </c>
      <c r="R2209" s="275">
        <v>-8.2200000000000003E-4</v>
      </c>
      <c r="S2209" s="270">
        <v>-277</v>
      </c>
      <c r="T2209" s="270">
        <v>-33</v>
      </c>
      <c r="U2209" s="57">
        <v>1</v>
      </c>
      <c r="V2209" s="276">
        <v>0.35</v>
      </c>
      <c r="W2209" s="276">
        <v>0</v>
      </c>
      <c r="X2209" s="270">
        <v>-21</v>
      </c>
      <c r="Y2209" s="270">
        <v>-12</v>
      </c>
      <c r="Z2209" s="45" t="b">
        <v>1</v>
      </c>
      <c r="AA2209" s="45" t="s">
        <v>38</v>
      </c>
      <c r="AB2209" s="45" t="s">
        <v>38</v>
      </c>
    </row>
    <row r="2210" spans="1:28" x14ac:dyDescent="0.2">
      <c r="A2210" s="96" t="s">
        <v>178</v>
      </c>
      <c r="B2210" s="96" t="s">
        <v>178</v>
      </c>
      <c r="C2210" s="277">
        <v>44886</v>
      </c>
      <c r="D2210" s="277">
        <v>44915</v>
      </c>
      <c r="E2210" s="270" t="s">
        <v>300</v>
      </c>
      <c r="F2210" s="96" t="s">
        <v>34</v>
      </c>
      <c r="G2210" s="270" t="s">
        <v>35</v>
      </c>
      <c r="H2210" s="272" t="s">
        <v>115</v>
      </c>
      <c r="I2210" s="273">
        <v>10</v>
      </c>
      <c r="J2210" s="270">
        <v>69</v>
      </c>
      <c r="K2210" s="270">
        <f t="shared" si="0"/>
        <v>690</v>
      </c>
      <c r="L2210" s="270">
        <v>1886</v>
      </c>
      <c r="M2210" s="270">
        <v>-190</v>
      </c>
      <c r="N2210" s="274">
        <v>28</v>
      </c>
      <c r="O2210" s="55"/>
      <c r="P2210" s="45">
        <v>28</v>
      </c>
      <c r="Q2210" s="270">
        <v>7</v>
      </c>
      <c r="R2210" s="275">
        <v>1.9000000000000001E-4</v>
      </c>
      <c r="S2210" s="270">
        <v>7</v>
      </c>
      <c r="T2210" s="270">
        <v>35</v>
      </c>
      <c r="U2210" s="57">
        <v>1</v>
      </c>
      <c r="V2210" s="276">
        <v>0.17</v>
      </c>
      <c r="W2210" s="276">
        <v>0.1</v>
      </c>
      <c r="X2210" s="270">
        <v>25</v>
      </c>
      <c r="Y2210" s="270">
        <v>9</v>
      </c>
      <c r="Z2210" s="45" t="b">
        <v>1</v>
      </c>
      <c r="AA2210" s="45" t="s">
        <v>38</v>
      </c>
      <c r="AB2210" s="45" t="s">
        <v>38</v>
      </c>
    </row>
    <row r="2211" spans="1:28" x14ac:dyDescent="0.2">
      <c r="A2211" s="96" t="s">
        <v>178</v>
      </c>
      <c r="B2211" s="96" t="s">
        <v>178</v>
      </c>
      <c r="C2211" s="277">
        <v>44886</v>
      </c>
      <c r="D2211" s="277">
        <v>44915</v>
      </c>
      <c r="E2211" s="270" t="s">
        <v>300</v>
      </c>
      <c r="F2211" s="96" t="s">
        <v>34</v>
      </c>
      <c r="G2211" s="270" t="s">
        <v>35</v>
      </c>
      <c r="H2211" s="272" t="s">
        <v>46</v>
      </c>
      <c r="I2211" s="273">
        <v>25</v>
      </c>
      <c r="J2211" s="270">
        <v>2335</v>
      </c>
      <c r="K2211" s="270">
        <f t="shared" si="0"/>
        <v>58375</v>
      </c>
      <c r="L2211" s="270">
        <v>84460</v>
      </c>
      <c r="M2211" s="270">
        <v>600</v>
      </c>
      <c r="N2211" s="274">
        <v>2066</v>
      </c>
      <c r="O2211" s="55"/>
      <c r="P2211" s="105">
        <v>2066</v>
      </c>
      <c r="Q2211" s="270">
        <v>179</v>
      </c>
      <c r="R2211" s="275">
        <v>1.9000000000000001E-4</v>
      </c>
      <c r="S2211" s="270">
        <v>190</v>
      </c>
      <c r="T2211" s="270">
        <v>2256</v>
      </c>
      <c r="U2211" s="57">
        <v>1</v>
      </c>
      <c r="V2211" s="276">
        <v>0.17</v>
      </c>
      <c r="W2211" s="276">
        <v>0.1</v>
      </c>
      <c r="X2211" s="270">
        <v>1647</v>
      </c>
      <c r="Y2211" s="270">
        <v>609</v>
      </c>
      <c r="Z2211" s="45" t="b">
        <v>1</v>
      </c>
      <c r="AA2211" s="45" t="s">
        <v>38</v>
      </c>
      <c r="AB2211" s="45" t="s">
        <v>38</v>
      </c>
    </row>
    <row r="2212" spans="1:28" x14ac:dyDescent="0.2">
      <c r="A2212" s="96" t="s">
        <v>178</v>
      </c>
      <c r="B2212" s="96" t="s">
        <v>178</v>
      </c>
      <c r="C2212" s="277">
        <v>44886</v>
      </c>
      <c r="D2212" s="277">
        <v>44915</v>
      </c>
      <c r="E2212" s="270" t="s">
        <v>300</v>
      </c>
      <c r="F2212" s="96" t="s">
        <v>34</v>
      </c>
      <c r="G2212" s="270" t="s">
        <v>35</v>
      </c>
      <c r="H2212" s="272" t="s">
        <v>87</v>
      </c>
      <c r="I2212" s="273">
        <v>25</v>
      </c>
      <c r="J2212" s="270">
        <v>220</v>
      </c>
      <c r="K2212" s="270">
        <f t="shared" si="0"/>
        <v>5500</v>
      </c>
      <c r="L2212" s="270">
        <v>1189</v>
      </c>
      <c r="M2212" s="270">
        <v>-175</v>
      </c>
      <c r="N2212" s="274">
        <v>195</v>
      </c>
      <c r="O2212" s="55"/>
      <c r="P2212" s="45">
        <v>195</v>
      </c>
      <c r="Q2212" s="270">
        <v>-260</v>
      </c>
      <c r="R2212" s="275">
        <v>1.9000000000000001E-4</v>
      </c>
      <c r="S2212" s="270">
        <v>-259</v>
      </c>
      <c r="T2212" s="270">
        <v>-64</v>
      </c>
      <c r="U2212" s="57">
        <v>1</v>
      </c>
      <c r="V2212" s="276">
        <v>0.17</v>
      </c>
      <c r="W2212" s="276">
        <v>0.1</v>
      </c>
      <c r="X2212" s="270">
        <v>-47</v>
      </c>
      <c r="Y2212" s="270">
        <v>-17</v>
      </c>
      <c r="Z2212" s="45" t="b">
        <v>1</v>
      </c>
      <c r="AA2212" s="45" t="s">
        <v>38</v>
      </c>
      <c r="AB2212" s="45" t="s">
        <v>38</v>
      </c>
    </row>
    <row r="2213" spans="1:28" x14ac:dyDescent="0.2">
      <c r="A2213" s="279" t="s">
        <v>102</v>
      </c>
      <c r="B2213" s="279" t="s">
        <v>107</v>
      </c>
      <c r="C2213" s="282">
        <v>44886</v>
      </c>
      <c r="D2213" s="282">
        <v>44915</v>
      </c>
      <c r="E2213" s="279" t="s">
        <v>267</v>
      </c>
      <c r="F2213" s="133" t="s">
        <v>34</v>
      </c>
      <c r="G2213" s="279" t="s">
        <v>61</v>
      </c>
      <c r="H2213" s="289" t="s">
        <v>141</v>
      </c>
      <c r="I2213" s="280">
        <v>25</v>
      </c>
      <c r="J2213" s="279">
        <v>614</v>
      </c>
      <c r="K2213" s="270">
        <f t="shared" si="0"/>
        <v>15350</v>
      </c>
      <c r="L2213" s="279">
        <v>9997</v>
      </c>
      <c r="M2213" s="279">
        <v>-133</v>
      </c>
      <c r="N2213" s="281">
        <v>125.73</v>
      </c>
      <c r="O2213" s="55"/>
      <c r="P2213" s="45">
        <v>126</v>
      </c>
      <c r="Q2213" s="279">
        <v>-562</v>
      </c>
      <c r="R2213" s="275">
        <v>1.9000000000000001E-4</v>
      </c>
      <c r="S2213" s="279">
        <v>-559</v>
      </c>
      <c r="T2213" s="279">
        <v>-433</v>
      </c>
      <c r="U2213" s="57">
        <v>1.0609999999999999</v>
      </c>
      <c r="V2213" s="276">
        <v>0.25</v>
      </c>
      <c r="W2213" s="276">
        <v>0</v>
      </c>
      <c r="X2213" s="279">
        <v>-345</v>
      </c>
      <c r="Y2213" s="279">
        <v>-115</v>
      </c>
      <c r="Z2213" s="45" t="b">
        <v>1</v>
      </c>
      <c r="AA2213" s="45" t="s">
        <v>38</v>
      </c>
      <c r="AB2213" s="45" t="s">
        <v>50</v>
      </c>
    </row>
    <row r="2214" spans="1:28" x14ac:dyDescent="0.2">
      <c r="A2214" s="279" t="s">
        <v>102</v>
      </c>
      <c r="B2214" s="279" t="s">
        <v>107</v>
      </c>
      <c r="C2214" s="282">
        <v>44886</v>
      </c>
      <c r="D2214" s="282">
        <v>44915</v>
      </c>
      <c r="E2214" s="279" t="s">
        <v>267</v>
      </c>
      <c r="F2214" s="133" t="s">
        <v>34</v>
      </c>
      <c r="G2214" s="279" t="s">
        <v>61</v>
      </c>
      <c r="H2214" s="289" t="s">
        <v>167</v>
      </c>
      <c r="I2214" s="280">
        <v>25</v>
      </c>
      <c r="J2214" s="279">
        <v>727</v>
      </c>
      <c r="K2214" s="270">
        <f t="shared" si="0"/>
        <v>18175</v>
      </c>
      <c r="L2214" s="279">
        <v>71641</v>
      </c>
      <c r="M2214" s="279">
        <v>2759</v>
      </c>
      <c r="N2214" s="281">
        <v>4.2699999999999996</v>
      </c>
      <c r="O2214" s="55"/>
      <c r="P2214" s="45">
        <v>4</v>
      </c>
      <c r="Q2214" s="279">
        <v>1689</v>
      </c>
      <c r="R2214" s="275">
        <v>1.9000000000000001E-4</v>
      </c>
      <c r="S2214" s="279">
        <v>1692</v>
      </c>
      <c r="T2214" s="279">
        <v>1696</v>
      </c>
      <c r="U2214" s="57">
        <v>1.0609999999999999</v>
      </c>
      <c r="V2214" s="276">
        <v>0.25</v>
      </c>
      <c r="W2214" s="276">
        <v>0</v>
      </c>
      <c r="X2214" s="279">
        <v>1350</v>
      </c>
      <c r="Y2214" s="279">
        <v>450</v>
      </c>
      <c r="Z2214" s="45" t="b">
        <v>1</v>
      </c>
      <c r="AA2214" s="45" t="s">
        <v>38</v>
      </c>
      <c r="AB2214" s="45" t="s">
        <v>50</v>
      </c>
    </row>
    <row r="2215" spans="1:28" x14ac:dyDescent="0.2">
      <c r="A2215" s="279" t="s">
        <v>102</v>
      </c>
      <c r="B2215" s="279" t="s">
        <v>107</v>
      </c>
      <c r="C2215" s="282">
        <v>44886</v>
      </c>
      <c r="D2215" s="282">
        <v>44915</v>
      </c>
      <c r="E2215" s="279" t="s">
        <v>267</v>
      </c>
      <c r="F2215" s="133" t="s">
        <v>34</v>
      </c>
      <c r="G2215" s="279" t="s">
        <v>61</v>
      </c>
      <c r="H2215" s="289" t="s">
        <v>57</v>
      </c>
      <c r="I2215" s="280">
        <v>50</v>
      </c>
      <c r="J2215" s="279">
        <v>60</v>
      </c>
      <c r="K2215" s="270">
        <f t="shared" si="0"/>
        <v>3000</v>
      </c>
      <c r="L2215" s="279">
        <v>8763</v>
      </c>
      <c r="M2215" s="279">
        <v>2122</v>
      </c>
      <c r="N2215" s="281">
        <v>0</v>
      </c>
      <c r="O2215" s="55"/>
      <c r="P2215" s="45">
        <v>0</v>
      </c>
      <c r="Q2215" s="279">
        <v>537</v>
      </c>
      <c r="R2215" s="275">
        <v>1.9000000000000001E-4</v>
      </c>
      <c r="S2215" s="279">
        <v>538</v>
      </c>
      <c r="T2215" s="279">
        <v>538</v>
      </c>
      <c r="U2215" s="57">
        <v>1.0609999999999999</v>
      </c>
      <c r="V2215" s="276">
        <v>0.25</v>
      </c>
      <c r="W2215" s="276">
        <v>0</v>
      </c>
      <c r="X2215" s="279">
        <v>428</v>
      </c>
      <c r="Y2215" s="279">
        <v>143</v>
      </c>
      <c r="Z2215" s="45" t="b">
        <v>1</v>
      </c>
      <c r="AA2215" s="45" t="s">
        <v>38</v>
      </c>
      <c r="AB2215" s="45" t="s">
        <v>50</v>
      </c>
    </row>
    <row r="2216" spans="1:28" x14ac:dyDescent="0.2">
      <c r="A2216" s="279" t="s">
        <v>102</v>
      </c>
      <c r="B2216" s="96" t="s">
        <v>102</v>
      </c>
      <c r="C2216" s="282">
        <v>44886</v>
      </c>
      <c r="D2216" s="282">
        <v>44915</v>
      </c>
      <c r="E2216" s="279" t="s">
        <v>267</v>
      </c>
      <c r="F2216" s="133" t="s">
        <v>34</v>
      </c>
      <c r="G2216" s="270" t="s">
        <v>35</v>
      </c>
      <c r="H2216" s="272" t="s">
        <v>46</v>
      </c>
      <c r="I2216" s="280">
        <v>25</v>
      </c>
      <c r="J2216" s="279">
        <v>379</v>
      </c>
      <c r="K2216" s="270">
        <f t="shared" si="0"/>
        <v>9475</v>
      </c>
      <c r="L2216" s="279">
        <v>13363</v>
      </c>
      <c r="M2216" s="279">
        <v>-100</v>
      </c>
      <c r="N2216" s="274">
        <v>373</v>
      </c>
      <c r="O2216" s="55"/>
      <c r="P2216" s="45">
        <v>373</v>
      </c>
      <c r="Q2216" s="279">
        <v>12</v>
      </c>
      <c r="R2216" s="275">
        <v>1.9000000000000001E-4</v>
      </c>
      <c r="S2216" s="279">
        <v>14</v>
      </c>
      <c r="T2216" s="279">
        <v>387</v>
      </c>
      <c r="U2216" s="57">
        <v>1</v>
      </c>
      <c r="V2216" s="276">
        <v>0.25</v>
      </c>
      <c r="W2216" s="276">
        <v>0</v>
      </c>
      <c r="X2216" s="279">
        <v>290</v>
      </c>
      <c r="Y2216" s="279">
        <v>97</v>
      </c>
      <c r="Z2216" s="45" t="b">
        <v>1</v>
      </c>
      <c r="AA2216" s="45" t="s">
        <v>38</v>
      </c>
      <c r="AB2216" s="45" t="s">
        <v>38</v>
      </c>
    </row>
    <row r="2217" spans="1:28" x14ac:dyDescent="0.2">
      <c r="A2217" s="279" t="s">
        <v>102</v>
      </c>
      <c r="B2217" s="96" t="s">
        <v>102</v>
      </c>
      <c r="C2217" s="282">
        <v>44886</v>
      </c>
      <c r="D2217" s="282">
        <v>44915</v>
      </c>
      <c r="E2217" s="279" t="s">
        <v>267</v>
      </c>
      <c r="F2217" s="133" t="s">
        <v>34</v>
      </c>
      <c r="G2217" s="270" t="s">
        <v>35</v>
      </c>
      <c r="H2217" s="272" t="s">
        <v>72</v>
      </c>
      <c r="I2217" s="280">
        <v>50</v>
      </c>
      <c r="J2217" s="279">
        <v>9</v>
      </c>
      <c r="K2217" s="270">
        <f t="shared" si="0"/>
        <v>450</v>
      </c>
      <c r="L2217" s="279">
        <v>1834</v>
      </c>
      <c r="M2217" s="279">
        <v>0</v>
      </c>
      <c r="N2217" s="274">
        <v>18</v>
      </c>
      <c r="O2217" s="55"/>
      <c r="P2217" s="45">
        <v>18</v>
      </c>
      <c r="Q2217" s="279">
        <v>141</v>
      </c>
      <c r="R2217" s="275">
        <v>1.9000000000000001E-4</v>
      </c>
      <c r="S2217" s="279">
        <v>141</v>
      </c>
      <c r="T2217" s="279">
        <v>159</v>
      </c>
      <c r="U2217" s="57">
        <v>1</v>
      </c>
      <c r="V2217" s="276">
        <v>0.25</v>
      </c>
      <c r="W2217" s="276">
        <v>0</v>
      </c>
      <c r="X2217" s="279">
        <v>119</v>
      </c>
      <c r="Y2217" s="279">
        <v>40</v>
      </c>
      <c r="Z2217" s="45" t="b">
        <v>1</v>
      </c>
      <c r="AA2217" s="45" t="s">
        <v>38</v>
      </c>
      <c r="AB2217" s="45" t="s">
        <v>38</v>
      </c>
    </row>
    <row r="2218" spans="1:28" x14ac:dyDescent="0.2">
      <c r="A2218" s="279" t="s">
        <v>102</v>
      </c>
      <c r="B2218" s="96" t="s">
        <v>102</v>
      </c>
      <c r="C2218" s="282">
        <v>44886</v>
      </c>
      <c r="D2218" s="282">
        <v>44915</v>
      </c>
      <c r="E2218" s="279" t="s">
        <v>267</v>
      </c>
      <c r="F2218" s="133" t="s">
        <v>34</v>
      </c>
      <c r="G2218" s="270" t="s">
        <v>35</v>
      </c>
      <c r="H2218" s="272" t="s">
        <v>85</v>
      </c>
      <c r="I2218" s="280">
        <v>50</v>
      </c>
      <c r="J2218" s="279">
        <v>3892</v>
      </c>
      <c r="K2218" s="270">
        <f t="shared" si="0"/>
        <v>194600</v>
      </c>
      <c r="L2218" s="279">
        <v>33334</v>
      </c>
      <c r="M2218" s="279">
        <v>-10250</v>
      </c>
      <c r="N2218" s="274">
        <v>7664</v>
      </c>
      <c r="O2218" s="55"/>
      <c r="P2218" s="105">
        <v>7664</v>
      </c>
      <c r="Q2218" s="279">
        <v>-7317</v>
      </c>
      <c r="R2218" s="275">
        <v>1.9000000000000001E-4</v>
      </c>
      <c r="S2218" s="279">
        <v>-7280</v>
      </c>
      <c r="T2218" s="279">
        <v>384</v>
      </c>
      <c r="U2218" s="57">
        <v>1</v>
      </c>
      <c r="V2218" s="276">
        <v>0.25</v>
      </c>
      <c r="W2218" s="276">
        <v>0</v>
      </c>
      <c r="X2218" s="279">
        <v>288</v>
      </c>
      <c r="Y2218" s="279">
        <v>96</v>
      </c>
      <c r="Z2218" s="45" t="b">
        <v>1</v>
      </c>
      <c r="AA2218" s="45" t="s">
        <v>38</v>
      </c>
      <c r="AB2218" s="45" t="s">
        <v>38</v>
      </c>
    </row>
    <row r="2219" spans="1:28" x14ac:dyDescent="0.2">
      <c r="A2219" s="279" t="s">
        <v>102</v>
      </c>
      <c r="B2219" s="96" t="s">
        <v>102</v>
      </c>
      <c r="C2219" s="282">
        <v>44886</v>
      </c>
      <c r="D2219" s="282">
        <v>44915</v>
      </c>
      <c r="E2219" s="279" t="s">
        <v>267</v>
      </c>
      <c r="F2219" s="133" t="s">
        <v>34</v>
      </c>
      <c r="G2219" s="270" t="s">
        <v>35</v>
      </c>
      <c r="H2219" s="272" t="s">
        <v>70</v>
      </c>
      <c r="I2219" s="280">
        <v>100</v>
      </c>
      <c r="J2219" s="279">
        <v>731</v>
      </c>
      <c r="K2219" s="270">
        <f t="shared" si="0"/>
        <v>73100</v>
      </c>
      <c r="L2219" s="279">
        <v>12441</v>
      </c>
      <c r="M2219" s="279">
        <v>-2300</v>
      </c>
      <c r="N2219" s="274">
        <v>2399</v>
      </c>
      <c r="O2219" s="55"/>
      <c r="P2219" s="105">
        <v>2399</v>
      </c>
      <c r="Q2219" s="279">
        <v>-1620</v>
      </c>
      <c r="R2219" s="275">
        <v>1.9000000000000001E-4</v>
      </c>
      <c r="S2219" s="279">
        <v>-1606</v>
      </c>
      <c r="T2219" s="279">
        <v>793</v>
      </c>
      <c r="U2219" s="57">
        <v>1</v>
      </c>
      <c r="V2219" s="276">
        <v>0.25</v>
      </c>
      <c r="W2219" s="276">
        <v>0</v>
      </c>
      <c r="X2219" s="279">
        <v>595</v>
      </c>
      <c r="Y2219" s="279">
        <v>198</v>
      </c>
      <c r="Z2219" s="45" t="b">
        <v>1</v>
      </c>
      <c r="AA2219" s="45" t="s">
        <v>38</v>
      </c>
      <c r="AB2219" s="45" t="s">
        <v>38</v>
      </c>
    </row>
    <row r="2220" spans="1:28" x14ac:dyDescent="0.2">
      <c r="A2220" s="279" t="s">
        <v>102</v>
      </c>
      <c r="B2220" s="96" t="s">
        <v>102</v>
      </c>
      <c r="C2220" s="282">
        <v>44886</v>
      </c>
      <c r="D2220" s="282">
        <v>44915</v>
      </c>
      <c r="E2220" s="279" t="s">
        <v>267</v>
      </c>
      <c r="F2220" s="133" t="s">
        <v>34</v>
      </c>
      <c r="G2220" s="270" t="s">
        <v>35</v>
      </c>
      <c r="H2220" s="272" t="s">
        <v>84</v>
      </c>
      <c r="I2220" s="280">
        <v>100</v>
      </c>
      <c r="J2220" s="279">
        <v>1729</v>
      </c>
      <c r="K2220" s="270">
        <f t="shared" si="0"/>
        <v>172900</v>
      </c>
      <c r="L2220" s="279">
        <v>3126</v>
      </c>
      <c r="M2220" s="279">
        <v>-6900</v>
      </c>
      <c r="N2220" s="274">
        <v>5674</v>
      </c>
      <c r="O2220" s="55"/>
      <c r="P2220" s="105">
        <v>5674</v>
      </c>
      <c r="Q2220" s="279">
        <v>-8370</v>
      </c>
      <c r="R2220" s="275">
        <v>1.9000000000000001E-4</v>
      </c>
      <c r="S2220" s="279">
        <v>-8337</v>
      </c>
      <c r="T2220" s="279">
        <v>-2663</v>
      </c>
      <c r="U2220" s="57">
        <v>1</v>
      </c>
      <c r="V2220" s="276">
        <v>0.25</v>
      </c>
      <c r="W2220" s="276">
        <v>0</v>
      </c>
      <c r="X2220" s="279">
        <v>-1998</v>
      </c>
      <c r="Y2220" s="279">
        <v>-666</v>
      </c>
      <c r="Z2220" s="45" t="b">
        <v>1</v>
      </c>
      <c r="AA2220" s="45" t="s">
        <v>38</v>
      </c>
      <c r="AB2220" s="45" t="s">
        <v>38</v>
      </c>
    </row>
    <row r="2221" spans="1:28" x14ac:dyDescent="0.2">
      <c r="A2221" s="96" t="s">
        <v>102</v>
      </c>
      <c r="B2221" s="96" t="s">
        <v>97</v>
      </c>
      <c r="C2221" s="282">
        <v>44886</v>
      </c>
      <c r="D2221" s="282">
        <v>44915</v>
      </c>
      <c r="E2221" s="279" t="s">
        <v>267</v>
      </c>
      <c r="F2221" s="133" t="s">
        <v>34</v>
      </c>
      <c r="G2221" s="270" t="s">
        <v>80</v>
      </c>
      <c r="H2221" s="272" t="s">
        <v>71</v>
      </c>
      <c r="I2221" s="280">
        <v>20</v>
      </c>
      <c r="J2221" s="279">
        <v>42</v>
      </c>
      <c r="K2221" s="270">
        <f t="shared" si="0"/>
        <v>840</v>
      </c>
      <c r="L2221" s="279">
        <v>1645</v>
      </c>
      <c r="M2221" s="279">
        <v>320</v>
      </c>
      <c r="N2221" s="274">
        <v>57</v>
      </c>
      <c r="O2221" s="55"/>
      <c r="P2221" s="45">
        <v>57</v>
      </c>
      <c r="Q2221" s="279">
        <v>33</v>
      </c>
      <c r="R2221" s="275">
        <v>1.9000000000000001E-4</v>
      </c>
      <c r="S2221" s="279">
        <v>33</v>
      </c>
      <c r="T2221" s="279">
        <v>90</v>
      </c>
      <c r="U2221" s="57">
        <v>1</v>
      </c>
      <c r="V2221" s="276">
        <v>0.25</v>
      </c>
      <c r="W2221" s="276">
        <v>0</v>
      </c>
      <c r="X2221" s="279">
        <v>68</v>
      </c>
      <c r="Y2221" s="279">
        <v>23</v>
      </c>
      <c r="Z2221" s="45" t="b">
        <v>1</v>
      </c>
      <c r="AA2221" s="45" t="s">
        <v>38</v>
      </c>
      <c r="AB2221" s="45" t="s">
        <v>38</v>
      </c>
    </row>
    <row r="2222" spans="1:28" x14ac:dyDescent="0.2">
      <c r="A2222" s="96" t="s">
        <v>102</v>
      </c>
      <c r="B2222" s="96" t="s">
        <v>97</v>
      </c>
      <c r="C2222" s="282">
        <v>44886</v>
      </c>
      <c r="D2222" s="282">
        <v>44915</v>
      </c>
      <c r="E2222" s="279" t="s">
        <v>267</v>
      </c>
      <c r="F2222" s="133" t="s">
        <v>34</v>
      </c>
      <c r="G2222" s="270" t="s">
        <v>80</v>
      </c>
      <c r="H2222" s="272" t="s">
        <v>72</v>
      </c>
      <c r="I2222" s="280">
        <v>50</v>
      </c>
      <c r="J2222" s="279">
        <v>72</v>
      </c>
      <c r="K2222" s="270">
        <f t="shared" si="0"/>
        <v>3600</v>
      </c>
      <c r="L2222" s="279">
        <v>2779</v>
      </c>
      <c r="M2222" s="279">
        <v>250</v>
      </c>
      <c r="N2222" s="274">
        <v>200</v>
      </c>
      <c r="O2222" s="55"/>
      <c r="P2222" s="45">
        <v>200</v>
      </c>
      <c r="Q2222" s="279">
        <v>136</v>
      </c>
      <c r="R2222" s="275">
        <v>1.9000000000000001E-4</v>
      </c>
      <c r="S2222" s="279">
        <v>136</v>
      </c>
      <c r="T2222" s="279">
        <v>336</v>
      </c>
      <c r="U2222" s="57">
        <v>1</v>
      </c>
      <c r="V2222" s="276">
        <v>0.25</v>
      </c>
      <c r="W2222" s="276">
        <v>0</v>
      </c>
      <c r="X2222" s="279">
        <v>252</v>
      </c>
      <c r="Y2222" s="279">
        <v>84</v>
      </c>
      <c r="Z2222" s="45" t="b">
        <v>1</v>
      </c>
      <c r="AA2222" s="45" t="s">
        <v>38</v>
      </c>
      <c r="AB2222" s="45" t="s">
        <v>38</v>
      </c>
    </row>
    <row r="2223" spans="1:28" x14ac:dyDescent="0.2">
      <c r="A2223" s="279" t="s">
        <v>102</v>
      </c>
      <c r="B2223" s="96" t="s">
        <v>102</v>
      </c>
      <c r="C2223" s="282">
        <v>44886</v>
      </c>
      <c r="D2223" s="282">
        <v>44915</v>
      </c>
      <c r="E2223" s="279" t="s">
        <v>267</v>
      </c>
      <c r="F2223" s="133" t="s">
        <v>41</v>
      </c>
      <c r="G2223" s="270" t="s">
        <v>35</v>
      </c>
      <c r="H2223" s="272" t="s">
        <v>87</v>
      </c>
      <c r="I2223" s="273">
        <v>25</v>
      </c>
      <c r="J2223" s="270">
        <v>32</v>
      </c>
      <c r="K2223" s="270">
        <f t="shared" si="0"/>
        <v>800</v>
      </c>
      <c r="L2223" s="270"/>
      <c r="M2223" s="270">
        <v>200</v>
      </c>
      <c r="N2223" s="274">
        <v>32</v>
      </c>
      <c r="O2223" s="55"/>
      <c r="P2223" s="45">
        <v>32</v>
      </c>
      <c r="Q2223" s="270"/>
      <c r="R2223" s="275">
        <v>0</v>
      </c>
      <c r="S2223" s="270"/>
      <c r="T2223" s="270">
        <v>232</v>
      </c>
      <c r="U2223" s="57">
        <v>1.0860000000000001</v>
      </c>
      <c r="V2223" s="276">
        <v>0.25</v>
      </c>
      <c r="W2223" s="276">
        <v>0</v>
      </c>
      <c r="X2223" s="270">
        <v>189</v>
      </c>
      <c r="Y2223" s="270">
        <v>63</v>
      </c>
      <c r="Z2223" s="45" t="b">
        <v>1</v>
      </c>
      <c r="AA2223" s="45" t="s">
        <v>38</v>
      </c>
      <c r="AB2223" s="45" t="s">
        <v>38</v>
      </c>
    </row>
    <row r="2224" spans="1:28" x14ac:dyDescent="0.2">
      <c r="A2224" s="279" t="s">
        <v>127</v>
      </c>
      <c r="B2224" s="279" t="s">
        <v>128</v>
      </c>
      <c r="C2224" s="282">
        <v>44896</v>
      </c>
      <c r="D2224" s="282">
        <v>44915</v>
      </c>
      <c r="E2224" s="279" t="s">
        <v>267</v>
      </c>
      <c r="F2224" s="133" t="s">
        <v>49</v>
      </c>
      <c r="G2224" s="279" t="s">
        <v>61</v>
      </c>
      <c r="H2224" s="289" t="s">
        <v>167</v>
      </c>
      <c r="I2224" s="280">
        <v>25</v>
      </c>
      <c r="J2224" s="279">
        <v>483</v>
      </c>
      <c r="K2224" s="270">
        <f t="shared" si="0"/>
        <v>12075</v>
      </c>
      <c r="L2224" s="279">
        <v>27414</v>
      </c>
      <c r="M2224" s="279">
        <v>1675</v>
      </c>
      <c r="N2224" s="281">
        <v>230</v>
      </c>
      <c r="O2224" s="55"/>
      <c r="P2224" s="45">
        <v>230</v>
      </c>
      <c r="Q2224" s="279">
        <v>207</v>
      </c>
      <c r="R2224" s="275">
        <v>-8.8400000000000002E-4</v>
      </c>
      <c r="S2224" s="279">
        <v>196</v>
      </c>
      <c r="T2224" s="279">
        <v>426</v>
      </c>
      <c r="U2224" s="57">
        <v>1</v>
      </c>
      <c r="V2224" s="276">
        <v>0.3</v>
      </c>
      <c r="W2224" s="276">
        <v>0</v>
      </c>
      <c r="X2224" s="279">
        <v>298</v>
      </c>
      <c r="Y2224" s="279">
        <v>128</v>
      </c>
      <c r="Z2224" s="45" t="b">
        <v>1</v>
      </c>
      <c r="AA2224" s="45" t="s">
        <v>50</v>
      </c>
      <c r="AB2224" s="45" t="s">
        <v>50</v>
      </c>
    </row>
    <row r="2225" spans="1:28" x14ac:dyDescent="0.2">
      <c r="A2225" s="96" t="s">
        <v>508</v>
      </c>
      <c r="B2225" s="96" t="s">
        <v>185</v>
      </c>
      <c r="C2225" s="277">
        <v>44886</v>
      </c>
      <c r="D2225" s="277">
        <v>44915</v>
      </c>
      <c r="E2225" s="270" t="s">
        <v>300</v>
      </c>
      <c r="F2225" s="133" t="s">
        <v>34</v>
      </c>
      <c r="G2225" s="270" t="s">
        <v>80</v>
      </c>
      <c r="H2225" s="272" t="s">
        <v>70</v>
      </c>
      <c r="I2225" s="273">
        <v>100</v>
      </c>
      <c r="J2225" s="270">
        <v>6</v>
      </c>
      <c r="K2225" s="270">
        <f t="shared" si="0"/>
        <v>600</v>
      </c>
      <c r="L2225" s="270">
        <v>-1802</v>
      </c>
      <c r="M2225" s="270">
        <v>-300</v>
      </c>
      <c r="N2225" s="274">
        <f>13+400+220</f>
        <v>633</v>
      </c>
      <c r="O2225" s="55"/>
      <c r="P2225" s="45">
        <v>633</v>
      </c>
      <c r="Q2225" s="270">
        <v>-562</v>
      </c>
      <c r="R2225" s="275">
        <v>1.9000000000000001E-4</v>
      </c>
      <c r="S2225" s="270">
        <v>-562</v>
      </c>
      <c r="T2225" s="270">
        <v>71</v>
      </c>
      <c r="U2225" s="57">
        <v>1</v>
      </c>
      <c r="V2225" s="276">
        <v>0.09</v>
      </c>
      <c r="W2225" s="276">
        <v>0.03</v>
      </c>
      <c r="X2225" s="270">
        <v>62</v>
      </c>
      <c r="Y2225" s="270">
        <v>8</v>
      </c>
      <c r="Z2225" s="45" t="b">
        <v>1</v>
      </c>
      <c r="AA2225" s="45" t="s">
        <v>38</v>
      </c>
      <c r="AB2225" s="45" t="s">
        <v>38</v>
      </c>
    </row>
    <row r="2226" spans="1:28" x14ac:dyDescent="0.2">
      <c r="A2226" s="96" t="s">
        <v>508</v>
      </c>
      <c r="B2226" s="96" t="s">
        <v>186</v>
      </c>
      <c r="C2226" s="277">
        <v>44886</v>
      </c>
      <c r="D2226" s="277">
        <v>44915</v>
      </c>
      <c r="E2226" s="270" t="s">
        <v>300</v>
      </c>
      <c r="F2226" s="133" t="s">
        <v>34</v>
      </c>
      <c r="G2226" s="270" t="s">
        <v>80</v>
      </c>
      <c r="H2226" s="272" t="s">
        <v>72</v>
      </c>
      <c r="I2226" s="273">
        <v>50</v>
      </c>
      <c r="J2226" s="270">
        <v>2340</v>
      </c>
      <c r="K2226" s="270">
        <f t="shared" si="0"/>
        <v>117000</v>
      </c>
      <c r="L2226" s="270">
        <v>27131</v>
      </c>
      <c r="M2226" s="270">
        <v>-3550</v>
      </c>
      <c r="N2226" s="274">
        <v>7921.74</v>
      </c>
      <c r="O2226" s="55"/>
      <c r="P2226" s="105">
        <v>7922</v>
      </c>
      <c r="Q2226" s="270">
        <v>-4678</v>
      </c>
      <c r="R2226" s="275">
        <v>1.9000000000000001E-4</v>
      </c>
      <c r="S2226" s="270">
        <v>-4656</v>
      </c>
      <c r="T2226" s="270">
        <v>3265</v>
      </c>
      <c r="U2226" s="57">
        <v>1</v>
      </c>
      <c r="V2226" s="276">
        <v>0.09</v>
      </c>
      <c r="W2226" s="276">
        <v>0.03</v>
      </c>
      <c r="X2226" s="270">
        <v>2874</v>
      </c>
      <c r="Y2226" s="270">
        <v>392</v>
      </c>
      <c r="Z2226" s="45" t="b">
        <v>1</v>
      </c>
      <c r="AA2226" s="45" t="s">
        <v>38</v>
      </c>
      <c r="AB2226" s="45" t="s">
        <v>38</v>
      </c>
    </row>
    <row r="2227" spans="1:28" x14ac:dyDescent="0.2">
      <c r="A2227" s="96" t="s">
        <v>508</v>
      </c>
      <c r="B2227" s="96" t="s">
        <v>186</v>
      </c>
      <c r="C2227" s="277">
        <v>44886</v>
      </c>
      <c r="D2227" s="277">
        <v>44915</v>
      </c>
      <c r="E2227" s="270" t="s">
        <v>300</v>
      </c>
      <c r="F2227" s="133" t="s">
        <v>34</v>
      </c>
      <c r="G2227" s="270" t="s">
        <v>80</v>
      </c>
      <c r="H2227" s="272" t="s">
        <v>70</v>
      </c>
      <c r="I2227" s="273">
        <v>100</v>
      </c>
      <c r="J2227" s="270">
        <v>3427</v>
      </c>
      <c r="K2227" s="270">
        <f t="shared" si="0"/>
        <v>342700</v>
      </c>
      <c r="L2227" s="270">
        <v>20617</v>
      </c>
      <c r="M2227" s="270">
        <v>-19800</v>
      </c>
      <c r="N2227" s="274">
        <v>23203.26</v>
      </c>
      <c r="O2227" s="55"/>
      <c r="P2227" s="105">
        <v>23203</v>
      </c>
      <c r="Q2227" s="270">
        <v>-19202</v>
      </c>
      <c r="R2227" s="275">
        <v>1.9000000000000001E-4</v>
      </c>
      <c r="S2227" s="270">
        <v>-19137</v>
      </c>
      <c r="T2227" s="270">
        <v>4066</v>
      </c>
      <c r="U2227" s="57">
        <v>1</v>
      </c>
      <c r="V2227" s="276">
        <v>0.09</v>
      </c>
      <c r="W2227" s="276">
        <v>0.03</v>
      </c>
      <c r="X2227" s="270">
        <v>3578</v>
      </c>
      <c r="Y2227" s="270">
        <v>488</v>
      </c>
      <c r="Z2227" s="45" t="b">
        <v>1</v>
      </c>
      <c r="AA2227" s="45" t="s">
        <v>38</v>
      </c>
      <c r="AB2227" s="45" t="s">
        <v>38</v>
      </c>
    </row>
    <row r="2228" spans="1:28" x14ac:dyDescent="0.2">
      <c r="A2228" s="96" t="s">
        <v>508</v>
      </c>
      <c r="B2228" s="96" t="s">
        <v>187</v>
      </c>
      <c r="C2228" s="277">
        <v>44886</v>
      </c>
      <c r="D2228" s="277">
        <v>44915</v>
      </c>
      <c r="E2228" s="270" t="s">
        <v>300</v>
      </c>
      <c r="F2228" s="133" t="s">
        <v>34</v>
      </c>
      <c r="G2228" s="270" t="s">
        <v>80</v>
      </c>
      <c r="H2228" s="272" t="s">
        <v>72</v>
      </c>
      <c r="I2228" s="273">
        <v>50</v>
      </c>
      <c r="J2228" s="270">
        <v>102</v>
      </c>
      <c r="K2228" s="270">
        <f t="shared" si="0"/>
        <v>5100</v>
      </c>
      <c r="L2228" s="270">
        <v>-64</v>
      </c>
      <c r="M2228" s="270">
        <v>-600</v>
      </c>
      <c r="N2228" s="274">
        <v>166</v>
      </c>
      <c r="O2228" s="55"/>
      <c r="P2228" s="45">
        <v>166</v>
      </c>
      <c r="Q2228" s="270">
        <v>-383</v>
      </c>
      <c r="R2228" s="275">
        <v>1.9000000000000001E-4</v>
      </c>
      <c r="S2228" s="270">
        <v>-382</v>
      </c>
      <c r="T2228" s="270">
        <v>-216</v>
      </c>
      <c r="U2228" s="57">
        <v>1</v>
      </c>
      <c r="V2228" s="276">
        <v>0.09</v>
      </c>
      <c r="W2228" s="276">
        <v>0.03</v>
      </c>
      <c r="X2228" s="270">
        <v>-190</v>
      </c>
      <c r="Y2228" s="270">
        <v>-26</v>
      </c>
      <c r="Z2228" s="45" t="b">
        <v>1</v>
      </c>
      <c r="AA2228" s="45" t="s">
        <v>38</v>
      </c>
      <c r="AB2228" s="45" t="s">
        <v>38</v>
      </c>
    </row>
    <row r="2229" spans="1:28" x14ac:dyDescent="0.2">
      <c r="A2229" s="96" t="s">
        <v>113</v>
      </c>
      <c r="B2229" s="96" t="s">
        <v>113</v>
      </c>
      <c r="C2229" s="277">
        <v>44886</v>
      </c>
      <c r="D2229" s="277">
        <v>44915</v>
      </c>
      <c r="E2229" s="270" t="s">
        <v>267</v>
      </c>
      <c r="F2229" s="133" t="s">
        <v>34</v>
      </c>
      <c r="G2229" s="96" t="s">
        <v>35</v>
      </c>
      <c r="H2229" s="272" t="s">
        <v>46</v>
      </c>
      <c r="I2229" s="273">
        <v>25</v>
      </c>
      <c r="J2229" s="270">
        <v>797</v>
      </c>
      <c r="K2229" s="270">
        <f t="shared" si="0"/>
        <v>19925</v>
      </c>
      <c r="L2229" s="270">
        <v>8512</v>
      </c>
      <c r="M2229" s="270">
        <v>-325</v>
      </c>
      <c r="N2229" s="274">
        <v>1100</v>
      </c>
      <c r="O2229" s="55"/>
      <c r="P2229" s="105">
        <v>1100</v>
      </c>
      <c r="Q2229" s="270">
        <v>-881</v>
      </c>
      <c r="R2229" s="275">
        <v>1.9000000000000001E-4</v>
      </c>
      <c r="S2229" s="270">
        <v>-877</v>
      </c>
      <c r="T2229" s="270">
        <v>223</v>
      </c>
      <c r="U2229" s="57">
        <v>1</v>
      </c>
      <c r="V2229" s="276">
        <v>0.3</v>
      </c>
      <c r="W2229" s="276">
        <v>0</v>
      </c>
      <c r="X2229" s="270">
        <v>156</v>
      </c>
      <c r="Y2229" s="270">
        <v>67</v>
      </c>
      <c r="Z2229" s="45" t="b">
        <v>1</v>
      </c>
      <c r="AA2229" s="45" t="s">
        <v>38</v>
      </c>
      <c r="AB2229" s="45" t="s">
        <v>38</v>
      </c>
    </row>
    <row r="2230" spans="1:28" x14ac:dyDescent="0.2">
      <c r="A2230" s="279" t="s">
        <v>144</v>
      </c>
      <c r="B2230" s="279" t="s">
        <v>144</v>
      </c>
      <c r="C2230" s="277">
        <v>44896</v>
      </c>
      <c r="D2230" s="277">
        <v>44915</v>
      </c>
      <c r="E2230" s="270" t="s">
        <v>267</v>
      </c>
      <c r="F2230" s="96" t="s">
        <v>49</v>
      </c>
      <c r="G2230" s="279" t="s">
        <v>35</v>
      </c>
      <c r="H2230" s="272" t="s">
        <v>46</v>
      </c>
      <c r="I2230" s="273">
        <v>25</v>
      </c>
      <c r="J2230" s="270">
        <v>582</v>
      </c>
      <c r="K2230" s="270">
        <f t="shared" si="0"/>
        <v>14550</v>
      </c>
      <c r="L2230" s="270">
        <v>14516</v>
      </c>
      <c r="M2230" s="270">
        <v>-75</v>
      </c>
      <c r="N2230" s="274">
        <v>210</v>
      </c>
      <c r="O2230" s="55"/>
      <c r="P2230" s="45">
        <v>210</v>
      </c>
      <c r="Q2230" s="270">
        <v>-308</v>
      </c>
      <c r="R2230" s="275">
        <v>-8.7500000000000002E-4</v>
      </c>
      <c r="S2230" s="270">
        <v>-321</v>
      </c>
      <c r="T2230" s="270">
        <v>-111</v>
      </c>
      <c r="U2230" s="57">
        <v>1</v>
      </c>
      <c r="V2230" s="276">
        <v>0.17</v>
      </c>
      <c r="W2230" s="276">
        <v>0</v>
      </c>
      <c r="X2230" s="270">
        <v>-92</v>
      </c>
      <c r="Y2230" s="270">
        <v>-19</v>
      </c>
      <c r="Z2230" s="45" t="b">
        <v>0</v>
      </c>
      <c r="AA2230" s="45" t="s">
        <v>38</v>
      </c>
      <c r="AB2230" s="45" t="s">
        <v>38</v>
      </c>
    </row>
    <row r="2231" spans="1:28" x14ac:dyDescent="0.2">
      <c r="A2231" s="279" t="s">
        <v>144</v>
      </c>
      <c r="B2231" s="279" t="s">
        <v>144</v>
      </c>
      <c r="C2231" s="277">
        <v>44896</v>
      </c>
      <c r="D2231" s="277">
        <v>44915</v>
      </c>
      <c r="E2231" s="270" t="s">
        <v>267</v>
      </c>
      <c r="F2231" s="96" t="s">
        <v>41</v>
      </c>
      <c r="G2231" s="279" t="s">
        <v>35</v>
      </c>
      <c r="H2231" s="272" t="s">
        <v>40</v>
      </c>
      <c r="I2231" s="273">
        <v>10</v>
      </c>
      <c r="J2231" s="270">
        <v>1949</v>
      </c>
      <c r="K2231" s="270">
        <f t="shared" si="0"/>
        <v>19490</v>
      </c>
      <c r="L2231" s="270">
        <f>62.73*J2231</f>
        <v>122260.76999999999</v>
      </c>
      <c r="M2231" s="270">
        <v>340</v>
      </c>
      <c r="N2231" s="274">
        <v>329</v>
      </c>
      <c r="O2231" s="55"/>
      <c r="P2231" s="45">
        <v>329</v>
      </c>
      <c r="Q2231" s="270">
        <v>800</v>
      </c>
      <c r="R2231" s="275">
        <v>0</v>
      </c>
      <c r="S2231" s="270">
        <v>800</v>
      </c>
      <c r="T2231" s="270">
        <v>669</v>
      </c>
      <c r="U2231" s="57">
        <v>1</v>
      </c>
      <c r="V2231" s="276">
        <v>0.17</v>
      </c>
      <c r="W2231" s="276">
        <v>0</v>
      </c>
      <c r="X2231" s="270">
        <v>555</v>
      </c>
      <c r="Y2231" s="270">
        <v>114</v>
      </c>
      <c r="Z2231" s="45" t="b">
        <v>0</v>
      </c>
      <c r="AA2231" s="45" t="s">
        <v>38</v>
      </c>
      <c r="AB2231" s="45" t="s">
        <v>38</v>
      </c>
    </row>
    <row r="2232" spans="1:28" x14ac:dyDescent="0.2">
      <c r="A2232" s="96" t="s">
        <v>188</v>
      </c>
      <c r="B2232" s="96" t="s">
        <v>188</v>
      </c>
      <c r="C2232" s="277">
        <v>44886</v>
      </c>
      <c r="D2232" s="277">
        <v>44915</v>
      </c>
      <c r="E2232" s="270" t="s">
        <v>267</v>
      </c>
      <c r="F2232" s="133" t="s">
        <v>34</v>
      </c>
      <c r="G2232" s="96" t="s">
        <v>35</v>
      </c>
      <c r="H2232" s="272" t="s">
        <v>46</v>
      </c>
      <c r="I2232" s="273">
        <v>25</v>
      </c>
      <c r="J2232" s="270">
        <v>115</v>
      </c>
      <c r="K2232" s="270">
        <f t="shared" si="0"/>
        <v>2875</v>
      </c>
      <c r="L2232" s="270">
        <v>3808</v>
      </c>
      <c r="M2232" s="270">
        <v>-150</v>
      </c>
      <c r="N2232" s="274">
        <v>124.27</v>
      </c>
      <c r="O2232" s="55"/>
      <c r="P2232" s="45">
        <v>124</v>
      </c>
      <c r="Q2232" s="270">
        <v>-18</v>
      </c>
      <c r="R2232" s="275">
        <v>1.9000000000000001E-4</v>
      </c>
      <c r="S2232" s="270">
        <v>-17</v>
      </c>
      <c r="T2232" s="270">
        <v>107</v>
      </c>
      <c r="U2232" s="57">
        <v>1</v>
      </c>
      <c r="V2232" s="276">
        <v>0.23</v>
      </c>
      <c r="W2232" s="276">
        <v>0</v>
      </c>
      <c r="X2232" s="270">
        <v>83</v>
      </c>
      <c r="Y2232" s="270">
        <v>25</v>
      </c>
      <c r="Z2232" s="45" t="b">
        <v>1</v>
      </c>
      <c r="AA2232" s="45" t="s">
        <v>38</v>
      </c>
      <c r="AB2232" s="45" t="s">
        <v>38</v>
      </c>
    </row>
    <row r="2233" spans="1:28" x14ac:dyDescent="0.2">
      <c r="A2233" s="96" t="s">
        <v>188</v>
      </c>
      <c r="B2233" s="96" t="s">
        <v>188</v>
      </c>
      <c r="C2233" s="277">
        <v>44886</v>
      </c>
      <c r="D2233" s="277">
        <v>44915</v>
      </c>
      <c r="E2233" s="270" t="s">
        <v>267</v>
      </c>
      <c r="F2233" s="133" t="s">
        <v>34</v>
      </c>
      <c r="G2233" s="96" t="s">
        <v>35</v>
      </c>
      <c r="H2233" s="272" t="s">
        <v>87</v>
      </c>
      <c r="I2233" s="273">
        <v>25</v>
      </c>
      <c r="J2233" s="270">
        <v>5359</v>
      </c>
      <c r="K2233" s="270">
        <f t="shared" si="0"/>
        <v>133975</v>
      </c>
      <c r="L2233" s="270">
        <v>51997</v>
      </c>
      <c r="M2233" s="270">
        <v>-250</v>
      </c>
      <c r="N2233" s="274">
        <v>5791</v>
      </c>
      <c r="O2233" s="55"/>
      <c r="P2233" s="105">
        <v>5791</v>
      </c>
      <c r="Q2233" s="270">
        <v>-5025</v>
      </c>
      <c r="R2233" s="275">
        <v>1.9000000000000001E-4</v>
      </c>
      <c r="S2233" s="270">
        <v>-4999</v>
      </c>
      <c r="T2233" s="270">
        <v>792</v>
      </c>
      <c r="U2233" s="57">
        <v>1</v>
      </c>
      <c r="V2233" s="276">
        <v>0.23</v>
      </c>
      <c r="W2233" s="276">
        <v>0</v>
      </c>
      <c r="X2233" s="270">
        <v>610</v>
      </c>
      <c r="Y2233" s="270">
        <v>182</v>
      </c>
      <c r="Z2233" s="45" t="b">
        <v>1</v>
      </c>
      <c r="AA2233" s="45" t="s">
        <v>38</v>
      </c>
      <c r="AB2233" s="45" t="s">
        <v>38</v>
      </c>
    </row>
    <row r="2234" spans="1:28" x14ac:dyDescent="0.2">
      <c r="A2234" s="96" t="s">
        <v>188</v>
      </c>
      <c r="B2234" s="96" t="s">
        <v>188</v>
      </c>
      <c r="C2234" s="277">
        <v>44886</v>
      </c>
      <c r="D2234" s="277">
        <v>44915</v>
      </c>
      <c r="E2234" s="270" t="s">
        <v>267</v>
      </c>
      <c r="F2234" s="133" t="s">
        <v>34</v>
      </c>
      <c r="G2234" s="96" t="s">
        <v>35</v>
      </c>
      <c r="H2234" s="272" t="s">
        <v>72</v>
      </c>
      <c r="I2234" s="273">
        <v>50</v>
      </c>
      <c r="J2234" s="270">
        <v>1172</v>
      </c>
      <c r="K2234" s="270">
        <f t="shared" si="0"/>
        <v>58600</v>
      </c>
      <c r="L2234" s="270">
        <v>24531</v>
      </c>
      <c r="M2234" s="270">
        <v>-1200</v>
      </c>
      <c r="N2234" s="274">
        <v>2532.9499999999998</v>
      </c>
      <c r="O2234" s="55"/>
      <c r="P2234" s="105">
        <v>2533</v>
      </c>
      <c r="Q2234" s="270">
        <v>-1681</v>
      </c>
      <c r="R2234" s="275">
        <v>1.9000000000000001E-4</v>
      </c>
      <c r="S2234" s="270">
        <v>-1669</v>
      </c>
      <c r="T2234" s="270">
        <v>864</v>
      </c>
      <c r="U2234" s="57">
        <v>1</v>
      </c>
      <c r="V2234" s="276">
        <v>0.23</v>
      </c>
      <c r="W2234" s="276">
        <v>0</v>
      </c>
      <c r="X2234" s="270">
        <v>665</v>
      </c>
      <c r="Y2234" s="270">
        <v>199</v>
      </c>
      <c r="Z2234" s="45" t="b">
        <v>1</v>
      </c>
      <c r="AA2234" s="45" t="s">
        <v>38</v>
      </c>
      <c r="AB2234" s="45" t="s">
        <v>38</v>
      </c>
    </row>
    <row r="2235" spans="1:28" x14ac:dyDescent="0.2">
      <c r="A2235" s="96" t="s">
        <v>188</v>
      </c>
      <c r="B2235" s="96" t="s">
        <v>188</v>
      </c>
      <c r="C2235" s="277">
        <v>44886</v>
      </c>
      <c r="D2235" s="277">
        <v>44915</v>
      </c>
      <c r="E2235" s="270" t="s">
        <v>267</v>
      </c>
      <c r="F2235" s="133" t="s">
        <v>34</v>
      </c>
      <c r="G2235" s="96" t="s">
        <v>35</v>
      </c>
      <c r="H2235" s="272" t="s">
        <v>85</v>
      </c>
      <c r="I2235" s="273">
        <v>50</v>
      </c>
      <c r="J2235" s="270">
        <v>5355</v>
      </c>
      <c r="K2235" s="270">
        <f t="shared" si="0"/>
        <v>267750</v>
      </c>
      <c r="L2235" s="270">
        <v>34365</v>
      </c>
      <c r="M2235" s="270">
        <v>-13300</v>
      </c>
      <c r="N2235" s="274">
        <v>11573.36</v>
      </c>
      <c r="O2235" s="55"/>
      <c r="P2235" s="105">
        <v>11573</v>
      </c>
      <c r="Q2235" s="270">
        <v>-12760</v>
      </c>
      <c r="R2235" s="275">
        <v>1.9000000000000001E-4</v>
      </c>
      <c r="S2235" s="270">
        <v>-12710</v>
      </c>
      <c r="T2235" s="270">
        <v>-1136</v>
      </c>
      <c r="U2235" s="57">
        <v>1</v>
      </c>
      <c r="V2235" s="276">
        <v>0.23</v>
      </c>
      <c r="W2235" s="276">
        <v>0</v>
      </c>
      <c r="X2235" s="270">
        <v>-875</v>
      </c>
      <c r="Y2235" s="270">
        <v>-261</v>
      </c>
      <c r="Z2235" s="45" t="b">
        <v>1</v>
      </c>
      <c r="AA2235" s="45" t="s">
        <v>38</v>
      </c>
      <c r="AB2235" s="45" t="s">
        <v>38</v>
      </c>
    </row>
    <row r="2236" spans="1:28" x14ac:dyDescent="0.2">
      <c r="A2236" s="96" t="s">
        <v>188</v>
      </c>
      <c r="B2236" s="96" t="s">
        <v>188</v>
      </c>
      <c r="C2236" s="277">
        <v>44886</v>
      </c>
      <c r="D2236" s="277">
        <v>44915</v>
      </c>
      <c r="E2236" s="270" t="s">
        <v>267</v>
      </c>
      <c r="F2236" s="133" t="s">
        <v>41</v>
      </c>
      <c r="G2236" s="96" t="s">
        <v>35</v>
      </c>
      <c r="H2236" s="272" t="s">
        <v>45</v>
      </c>
      <c r="I2236" s="273">
        <v>0.25</v>
      </c>
      <c r="J2236" s="270">
        <v>1</v>
      </c>
      <c r="K2236" s="270">
        <f t="shared" si="0"/>
        <v>0.25</v>
      </c>
      <c r="L2236" s="270"/>
      <c r="M2236" s="270">
        <v>0</v>
      </c>
      <c r="N2236" s="274">
        <v>0.01</v>
      </c>
      <c r="O2236" s="55"/>
      <c r="P2236" s="45">
        <v>0</v>
      </c>
      <c r="Q2236" s="270"/>
      <c r="R2236" s="275">
        <v>0</v>
      </c>
      <c r="S2236" s="270"/>
      <c r="T2236" s="270">
        <v>0</v>
      </c>
      <c r="U2236" s="57">
        <v>1</v>
      </c>
      <c r="V2236" s="276">
        <v>0.23</v>
      </c>
      <c r="W2236" s="276">
        <v>0</v>
      </c>
      <c r="X2236" s="270">
        <v>0</v>
      </c>
      <c r="Y2236" s="270">
        <v>0</v>
      </c>
      <c r="Z2236" s="45" t="b">
        <v>1</v>
      </c>
      <c r="AA2236" s="45" t="s">
        <v>38</v>
      </c>
      <c r="AB2236" s="45" t="s">
        <v>38</v>
      </c>
    </row>
    <row r="2237" spans="1:28" x14ac:dyDescent="0.2">
      <c r="A2237" s="96" t="s">
        <v>188</v>
      </c>
      <c r="B2237" s="96" t="s">
        <v>188</v>
      </c>
      <c r="C2237" s="277">
        <v>44886</v>
      </c>
      <c r="D2237" s="277">
        <v>44915</v>
      </c>
      <c r="E2237" s="270" t="s">
        <v>267</v>
      </c>
      <c r="F2237" s="133" t="s">
        <v>41</v>
      </c>
      <c r="G2237" s="96" t="s">
        <v>35</v>
      </c>
      <c r="H2237" s="272" t="s">
        <v>42</v>
      </c>
      <c r="I2237" s="273">
        <v>1</v>
      </c>
      <c r="J2237" s="270">
        <v>4</v>
      </c>
      <c r="K2237" s="270">
        <f t="shared" si="0"/>
        <v>4</v>
      </c>
      <c r="L2237" s="270"/>
      <c r="M2237" s="270">
        <v>3</v>
      </c>
      <c r="N2237" s="274">
        <v>0.23</v>
      </c>
      <c r="O2237" s="55"/>
      <c r="P2237" s="45">
        <v>0</v>
      </c>
      <c r="Q2237" s="270"/>
      <c r="R2237" s="275">
        <v>0</v>
      </c>
      <c r="S2237" s="270"/>
      <c r="T2237" s="270">
        <v>3</v>
      </c>
      <c r="U2237" s="57">
        <v>1</v>
      </c>
      <c r="V2237" s="276">
        <v>0.23</v>
      </c>
      <c r="W2237" s="276">
        <v>0</v>
      </c>
      <c r="X2237" s="270">
        <v>2</v>
      </c>
      <c r="Y2237" s="270">
        <v>1</v>
      </c>
      <c r="Z2237" s="45" t="b">
        <v>1</v>
      </c>
      <c r="AA2237" s="45" t="s">
        <v>38</v>
      </c>
      <c r="AB2237" s="45" t="s">
        <v>38</v>
      </c>
    </row>
    <row r="2238" spans="1:28" x14ac:dyDescent="0.2">
      <c r="A2238" s="96" t="s">
        <v>188</v>
      </c>
      <c r="B2238" s="96" t="s">
        <v>188</v>
      </c>
      <c r="C2238" s="277">
        <v>44886</v>
      </c>
      <c r="D2238" s="277">
        <v>44915</v>
      </c>
      <c r="E2238" s="270" t="s">
        <v>267</v>
      </c>
      <c r="F2238" s="133" t="s">
        <v>41</v>
      </c>
      <c r="G2238" s="96" t="s">
        <v>35</v>
      </c>
      <c r="H2238" s="272" t="s">
        <v>47</v>
      </c>
      <c r="I2238" s="273">
        <v>1</v>
      </c>
      <c r="J2238" s="270">
        <v>1</v>
      </c>
      <c r="K2238" s="270">
        <f t="shared" si="0"/>
        <v>1</v>
      </c>
      <c r="L2238" s="270"/>
      <c r="M2238" s="270">
        <v>1</v>
      </c>
      <c r="N2238" s="274">
        <v>0.06</v>
      </c>
      <c r="O2238" s="55"/>
      <c r="P2238" s="45">
        <v>0</v>
      </c>
      <c r="Q2238" s="270"/>
      <c r="R2238" s="275">
        <v>0</v>
      </c>
      <c r="S2238" s="270"/>
      <c r="T2238" s="270">
        <v>1</v>
      </c>
      <c r="U2238" s="57">
        <v>1</v>
      </c>
      <c r="V2238" s="276">
        <v>0.23</v>
      </c>
      <c r="W2238" s="276">
        <v>0</v>
      </c>
      <c r="X2238" s="270">
        <v>1</v>
      </c>
      <c r="Y2238" s="270">
        <v>0</v>
      </c>
      <c r="Z2238" s="45" t="b">
        <v>1</v>
      </c>
      <c r="AA2238" s="45" t="s">
        <v>38</v>
      </c>
      <c r="AB2238" s="45" t="s">
        <v>38</v>
      </c>
    </row>
    <row r="2239" spans="1:28" x14ac:dyDescent="0.2">
      <c r="A2239" s="96" t="s">
        <v>188</v>
      </c>
      <c r="B2239" s="96" t="s">
        <v>188</v>
      </c>
      <c r="C2239" s="277">
        <v>44886</v>
      </c>
      <c r="D2239" s="277">
        <v>44915</v>
      </c>
      <c r="E2239" s="270" t="s">
        <v>267</v>
      </c>
      <c r="F2239" s="133" t="s">
        <v>41</v>
      </c>
      <c r="G2239" s="96" t="s">
        <v>35</v>
      </c>
      <c r="H2239" s="272" t="s">
        <v>43</v>
      </c>
      <c r="I2239" s="273">
        <v>2</v>
      </c>
      <c r="J2239" s="270">
        <v>1</v>
      </c>
      <c r="K2239" s="270">
        <f t="shared" si="0"/>
        <v>2</v>
      </c>
      <c r="L2239" s="270"/>
      <c r="M2239" s="270">
        <v>2</v>
      </c>
      <c r="N2239" s="274">
        <v>0.12</v>
      </c>
      <c r="O2239" s="55"/>
      <c r="P2239" s="45">
        <v>0</v>
      </c>
      <c r="Q2239" s="270"/>
      <c r="R2239" s="275">
        <v>0</v>
      </c>
      <c r="S2239" s="270"/>
      <c r="T2239" s="270">
        <v>2</v>
      </c>
      <c r="U2239" s="57">
        <v>1</v>
      </c>
      <c r="V2239" s="276">
        <v>0.23</v>
      </c>
      <c r="W2239" s="276">
        <v>0</v>
      </c>
      <c r="X2239" s="270">
        <v>2</v>
      </c>
      <c r="Y2239" s="270">
        <v>0</v>
      </c>
      <c r="Z2239" s="45" t="b">
        <v>1</v>
      </c>
      <c r="AA2239" s="45" t="s">
        <v>38</v>
      </c>
      <c r="AB2239" s="45" t="s">
        <v>38</v>
      </c>
    </row>
    <row r="2240" spans="1:28" x14ac:dyDescent="0.2">
      <c r="A2240" s="96" t="s">
        <v>191</v>
      </c>
      <c r="B2240" s="96" t="s">
        <v>193</v>
      </c>
      <c r="C2240" s="277">
        <v>44886</v>
      </c>
      <c r="D2240" s="277">
        <v>44915</v>
      </c>
      <c r="E2240" s="270" t="s">
        <v>267</v>
      </c>
      <c r="F2240" s="133" t="s">
        <v>34</v>
      </c>
      <c r="G2240" s="96" t="s">
        <v>80</v>
      </c>
      <c r="H2240" s="272" t="s">
        <v>40</v>
      </c>
      <c r="I2240" s="273">
        <v>10</v>
      </c>
      <c r="J2240" s="270">
        <v>3892</v>
      </c>
      <c r="K2240" s="270">
        <f t="shared" si="0"/>
        <v>38920</v>
      </c>
      <c r="L2240" s="270">
        <v>75820</v>
      </c>
      <c r="M2240" s="270">
        <v>480</v>
      </c>
      <c r="N2240" s="274">
        <v>2231.11</v>
      </c>
      <c r="O2240" s="55"/>
      <c r="P2240" s="105">
        <v>2231</v>
      </c>
      <c r="Q2240" s="270">
        <v>-673</v>
      </c>
      <c r="R2240" s="275">
        <v>1.9000000000000001E-4</v>
      </c>
      <c r="S2240" s="270">
        <v>-666</v>
      </c>
      <c r="T2240" s="270">
        <v>1566</v>
      </c>
      <c r="U2240" s="57">
        <v>1</v>
      </c>
      <c r="V2240" s="276">
        <v>0.22</v>
      </c>
      <c r="W2240" s="276">
        <v>0</v>
      </c>
      <c r="X2240" s="270">
        <v>1221</v>
      </c>
      <c r="Y2240" s="270">
        <v>344</v>
      </c>
      <c r="Z2240" s="45" t="b">
        <v>1</v>
      </c>
      <c r="AA2240" s="45" t="s">
        <v>38</v>
      </c>
      <c r="AB2240" s="45" t="s">
        <v>38</v>
      </c>
    </row>
    <row r="2241" spans="1:28" x14ac:dyDescent="0.2">
      <c r="A2241" s="96" t="s">
        <v>191</v>
      </c>
      <c r="B2241" s="96" t="s">
        <v>193</v>
      </c>
      <c r="C2241" s="277">
        <v>44886</v>
      </c>
      <c r="D2241" s="277">
        <v>44915</v>
      </c>
      <c r="E2241" s="270" t="s">
        <v>267</v>
      </c>
      <c r="F2241" s="133" t="s">
        <v>34</v>
      </c>
      <c r="G2241" s="96" t="s">
        <v>80</v>
      </c>
      <c r="H2241" s="272" t="s">
        <v>71</v>
      </c>
      <c r="I2241" s="273">
        <v>20</v>
      </c>
      <c r="J2241" s="270">
        <v>3173</v>
      </c>
      <c r="K2241" s="270">
        <f t="shared" si="0"/>
        <v>63460</v>
      </c>
      <c r="L2241" s="270">
        <v>30658</v>
      </c>
      <c r="M2241" s="270">
        <v>-5340</v>
      </c>
      <c r="N2241" s="274">
        <v>3637.89</v>
      </c>
      <c r="O2241" s="55"/>
      <c r="P2241" s="105">
        <v>3638</v>
      </c>
      <c r="Q2241" s="270">
        <v>-2890</v>
      </c>
      <c r="R2241" s="275">
        <v>1.9000000000000001E-4</v>
      </c>
      <c r="S2241" s="270">
        <v>-2878</v>
      </c>
      <c r="T2241" s="270">
        <v>760</v>
      </c>
      <c r="U2241" s="57">
        <v>1</v>
      </c>
      <c r="V2241" s="276">
        <v>0.22</v>
      </c>
      <c r="W2241" s="276">
        <v>0</v>
      </c>
      <c r="X2241" s="270">
        <v>593</v>
      </c>
      <c r="Y2241" s="270">
        <v>167</v>
      </c>
      <c r="Z2241" s="45" t="b">
        <v>1</v>
      </c>
      <c r="AA2241" s="45" t="s">
        <v>38</v>
      </c>
      <c r="AB2241" s="45" t="s">
        <v>38</v>
      </c>
    </row>
    <row r="2242" spans="1:28" x14ac:dyDescent="0.2">
      <c r="A2242" s="96" t="s">
        <v>195</v>
      </c>
      <c r="B2242" s="96" t="s">
        <v>195</v>
      </c>
      <c r="C2242" s="277">
        <v>44886</v>
      </c>
      <c r="D2242" s="277">
        <v>44915</v>
      </c>
      <c r="E2242" s="270" t="s">
        <v>267</v>
      </c>
      <c r="F2242" s="96" t="s">
        <v>34</v>
      </c>
      <c r="G2242" s="270" t="s">
        <v>35</v>
      </c>
      <c r="H2242" s="289" t="s">
        <v>39</v>
      </c>
      <c r="I2242" s="280">
        <v>5</v>
      </c>
      <c r="J2242" s="279">
        <v>4</v>
      </c>
      <c r="K2242" s="270">
        <f t="shared" si="0"/>
        <v>20</v>
      </c>
      <c r="L2242" s="279">
        <v>572</v>
      </c>
      <c r="M2242" s="279">
        <v>5</v>
      </c>
      <c r="N2242" s="274">
        <v>1</v>
      </c>
      <c r="O2242" s="55"/>
      <c r="P2242" s="45">
        <v>1</v>
      </c>
      <c r="Q2242" s="279">
        <v>3</v>
      </c>
      <c r="R2242" s="275">
        <v>1.9000000000000001E-4</v>
      </c>
      <c r="S2242" s="279">
        <v>3</v>
      </c>
      <c r="T2242" s="279">
        <v>4</v>
      </c>
      <c r="U2242" s="57">
        <v>1</v>
      </c>
      <c r="V2242" s="276">
        <v>0.23</v>
      </c>
      <c r="W2242" s="276">
        <v>0</v>
      </c>
      <c r="X2242" s="279">
        <v>3</v>
      </c>
      <c r="Y2242" s="279">
        <v>1</v>
      </c>
      <c r="Z2242" s="45" t="b">
        <v>1</v>
      </c>
      <c r="AA2242" s="45" t="s">
        <v>38</v>
      </c>
      <c r="AB2242" s="45" t="s">
        <v>38</v>
      </c>
    </row>
    <row r="2243" spans="1:28" x14ac:dyDescent="0.2">
      <c r="A2243" s="96" t="s">
        <v>195</v>
      </c>
      <c r="B2243" s="96" t="s">
        <v>195</v>
      </c>
      <c r="C2243" s="277">
        <v>44886</v>
      </c>
      <c r="D2243" s="277">
        <v>44915</v>
      </c>
      <c r="E2243" s="270" t="s">
        <v>267</v>
      </c>
      <c r="F2243" s="96" t="s">
        <v>34</v>
      </c>
      <c r="G2243" s="270" t="s">
        <v>35</v>
      </c>
      <c r="H2243" s="289" t="s">
        <v>40</v>
      </c>
      <c r="I2243" s="280">
        <v>10</v>
      </c>
      <c r="J2243" s="279">
        <v>1</v>
      </c>
      <c r="K2243" s="270">
        <f t="shared" si="0"/>
        <v>10</v>
      </c>
      <c r="L2243" s="279">
        <v>485</v>
      </c>
      <c r="M2243" s="279">
        <v>40</v>
      </c>
      <c r="N2243" s="274"/>
      <c r="O2243" s="55"/>
      <c r="P2243" s="96"/>
      <c r="Q2243" s="279">
        <v>8</v>
      </c>
      <c r="R2243" s="275">
        <v>1.9000000000000001E-4</v>
      </c>
      <c r="S2243" s="279">
        <v>8</v>
      </c>
      <c r="T2243" s="279">
        <v>8</v>
      </c>
      <c r="U2243" s="57">
        <v>1</v>
      </c>
      <c r="V2243" s="276">
        <v>0.23</v>
      </c>
      <c r="W2243" s="276">
        <v>0</v>
      </c>
      <c r="X2243" s="279">
        <v>6</v>
      </c>
      <c r="Y2243" s="279">
        <v>2</v>
      </c>
      <c r="Z2243" s="45" t="b">
        <v>1</v>
      </c>
      <c r="AA2243" s="45" t="s">
        <v>38</v>
      </c>
      <c r="AB2243" s="45" t="s">
        <v>38</v>
      </c>
    </row>
    <row r="2244" spans="1:28" x14ac:dyDescent="0.2">
      <c r="A2244" s="96" t="s">
        <v>195</v>
      </c>
      <c r="B2244" s="96" t="s">
        <v>195</v>
      </c>
      <c r="C2244" s="277">
        <v>44886</v>
      </c>
      <c r="D2244" s="277">
        <v>44915</v>
      </c>
      <c r="E2244" s="270" t="s">
        <v>267</v>
      </c>
      <c r="F2244" s="96" t="s">
        <v>34</v>
      </c>
      <c r="G2244" s="270" t="s">
        <v>35</v>
      </c>
      <c r="H2244" s="289" t="s">
        <v>46</v>
      </c>
      <c r="I2244" s="280">
        <v>25</v>
      </c>
      <c r="J2244" s="279">
        <v>2097</v>
      </c>
      <c r="K2244" s="270">
        <f t="shared" si="0"/>
        <v>52425</v>
      </c>
      <c r="L2244" s="279">
        <v>58557</v>
      </c>
      <c r="M2244" s="279">
        <v>-2875</v>
      </c>
      <c r="N2244" s="274">
        <v>1767</v>
      </c>
      <c r="O2244" s="55"/>
      <c r="P2244" s="105">
        <v>1767</v>
      </c>
      <c r="Q2244" s="279">
        <v>-641</v>
      </c>
      <c r="R2244" s="275">
        <v>1.9000000000000001E-4</v>
      </c>
      <c r="S2244" s="279">
        <v>-631</v>
      </c>
      <c r="T2244" s="279">
        <v>1136</v>
      </c>
      <c r="U2244" s="57">
        <v>1</v>
      </c>
      <c r="V2244" s="276">
        <v>0.23</v>
      </c>
      <c r="W2244" s="276">
        <v>0</v>
      </c>
      <c r="X2244" s="279">
        <v>875</v>
      </c>
      <c r="Y2244" s="279">
        <v>261</v>
      </c>
      <c r="Z2244" s="45" t="b">
        <v>1</v>
      </c>
      <c r="AA2244" s="45" t="s">
        <v>38</v>
      </c>
      <c r="AB2244" s="45" t="s">
        <v>38</v>
      </c>
    </row>
    <row r="2245" spans="1:28" x14ac:dyDescent="0.2">
      <c r="A2245" s="279" t="s">
        <v>232</v>
      </c>
      <c r="B2245" s="279" t="s">
        <v>198</v>
      </c>
      <c r="C2245" s="282">
        <v>44896</v>
      </c>
      <c r="D2245" s="277">
        <v>44915</v>
      </c>
      <c r="E2245" s="279" t="s">
        <v>267</v>
      </c>
      <c r="F2245" s="96" t="s">
        <v>49</v>
      </c>
      <c r="G2245" s="270" t="s">
        <v>35</v>
      </c>
      <c r="H2245" s="272" t="s">
        <v>46</v>
      </c>
      <c r="I2245" s="273">
        <v>25</v>
      </c>
      <c r="J2245" s="270">
        <v>1128</v>
      </c>
      <c r="K2245" s="270">
        <f t="shared" si="0"/>
        <v>28200</v>
      </c>
      <c r="L2245" s="270">
        <v>24999</v>
      </c>
      <c r="M2245" s="270">
        <v>525</v>
      </c>
      <c r="N2245" s="274">
        <v>993</v>
      </c>
      <c r="O2245" s="55"/>
      <c r="P2245" s="45">
        <v>993</v>
      </c>
      <c r="Q2245" s="270">
        <v>-646</v>
      </c>
      <c r="R2245" s="275">
        <v>-8.5400000000000005E-4</v>
      </c>
      <c r="S2245" s="270">
        <v>-670</v>
      </c>
      <c r="T2245" s="270">
        <v>323</v>
      </c>
      <c r="U2245" s="57">
        <v>1</v>
      </c>
      <c r="V2245" s="276">
        <v>0.23</v>
      </c>
      <c r="W2245" s="276">
        <v>0</v>
      </c>
      <c r="X2245" s="270">
        <v>249</v>
      </c>
      <c r="Y2245" s="270">
        <v>74</v>
      </c>
      <c r="Z2245" s="45" t="b">
        <v>1</v>
      </c>
      <c r="AA2245" s="45" t="s">
        <v>38</v>
      </c>
      <c r="AB2245" s="45" t="s">
        <v>38</v>
      </c>
    </row>
    <row r="2246" spans="1:28" x14ac:dyDescent="0.2">
      <c r="A2246" s="279" t="s">
        <v>232</v>
      </c>
      <c r="B2246" s="279" t="s">
        <v>198</v>
      </c>
      <c r="C2246" s="282">
        <v>44896</v>
      </c>
      <c r="D2246" s="277">
        <v>44915</v>
      </c>
      <c r="E2246" s="279" t="s">
        <v>267</v>
      </c>
      <c r="F2246" s="96" t="s">
        <v>49</v>
      </c>
      <c r="G2246" s="270" t="s">
        <v>35</v>
      </c>
      <c r="H2246" s="272" t="s">
        <v>40</v>
      </c>
      <c r="I2246" s="273">
        <v>10</v>
      </c>
      <c r="J2246" s="270">
        <v>426</v>
      </c>
      <c r="K2246" s="270">
        <f t="shared" si="0"/>
        <v>4260</v>
      </c>
      <c r="L2246" s="270">
        <v>35351</v>
      </c>
      <c r="M2246" s="270">
        <v>460</v>
      </c>
      <c r="N2246" s="274">
        <v>175</v>
      </c>
      <c r="O2246" s="55"/>
      <c r="P2246" s="45">
        <v>175</v>
      </c>
      <c r="Q2246" s="270">
        <v>333</v>
      </c>
      <c r="R2246" s="275">
        <v>-7.5199999999999996E-4</v>
      </c>
      <c r="S2246" s="270">
        <v>330</v>
      </c>
      <c r="T2246" s="270">
        <v>505</v>
      </c>
      <c r="U2246" s="57">
        <v>1</v>
      </c>
      <c r="V2246" s="276">
        <v>0.23</v>
      </c>
      <c r="W2246" s="276">
        <v>0</v>
      </c>
      <c r="X2246" s="270">
        <v>389</v>
      </c>
      <c r="Y2246" s="270">
        <v>116</v>
      </c>
      <c r="Z2246" s="45" t="b">
        <v>1</v>
      </c>
      <c r="AA2246" s="45" t="s">
        <v>38</v>
      </c>
      <c r="AB2246" s="45" t="s">
        <v>38</v>
      </c>
    </row>
    <row r="2247" spans="1:28" x14ac:dyDescent="0.2">
      <c r="A2247" s="279" t="s">
        <v>232</v>
      </c>
      <c r="B2247" s="279" t="s">
        <v>198</v>
      </c>
      <c r="C2247" s="282">
        <v>44896</v>
      </c>
      <c r="D2247" s="277">
        <v>44915</v>
      </c>
      <c r="E2247" s="279" t="s">
        <v>267</v>
      </c>
      <c r="F2247" s="133" t="s">
        <v>41</v>
      </c>
      <c r="G2247" s="270" t="s">
        <v>35</v>
      </c>
      <c r="H2247" s="272" t="s">
        <v>72</v>
      </c>
      <c r="I2247" s="273">
        <v>50</v>
      </c>
      <c r="J2247" s="270">
        <v>3</v>
      </c>
      <c r="K2247" s="270">
        <f t="shared" si="0"/>
        <v>150</v>
      </c>
      <c r="L2247" s="270"/>
      <c r="M2247" s="270">
        <v>-50</v>
      </c>
      <c r="N2247" s="274">
        <v>5</v>
      </c>
      <c r="O2247" s="55"/>
      <c r="P2247" s="45">
        <v>5</v>
      </c>
      <c r="Q2247" s="270"/>
      <c r="R2247" s="275">
        <v>0</v>
      </c>
      <c r="S2247" s="270"/>
      <c r="T2247" s="270">
        <v>-45</v>
      </c>
      <c r="U2247" s="57">
        <v>1</v>
      </c>
      <c r="V2247" s="276">
        <v>0.23</v>
      </c>
      <c r="W2247" s="276">
        <v>0</v>
      </c>
      <c r="X2247" s="270">
        <v>-35</v>
      </c>
      <c r="Y2247" s="270">
        <v>-10</v>
      </c>
      <c r="Z2247" s="45" t="b">
        <v>1</v>
      </c>
      <c r="AA2247" s="45" t="s">
        <v>38</v>
      </c>
      <c r="AB2247" s="45" t="s">
        <v>38</v>
      </c>
    </row>
    <row r="2248" spans="1:28" x14ac:dyDescent="0.2">
      <c r="A2248" s="279" t="s">
        <v>232</v>
      </c>
      <c r="B2248" s="279" t="s">
        <v>198</v>
      </c>
      <c r="C2248" s="282">
        <v>44896</v>
      </c>
      <c r="D2248" s="277">
        <v>44915</v>
      </c>
      <c r="E2248" s="279" t="s">
        <v>267</v>
      </c>
      <c r="F2248" s="133" t="s">
        <v>41</v>
      </c>
      <c r="G2248" s="270" t="s">
        <v>35</v>
      </c>
      <c r="H2248" s="272" t="s">
        <v>87</v>
      </c>
      <c r="I2248" s="273">
        <v>25</v>
      </c>
      <c r="J2248" s="270">
        <v>2</v>
      </c>
      <c r="K2248" s="270">
        <f t="shared" si="0"/>
        <v>50</v>
      </c>
      <c r="L2248" s="270"/>
      <c r="M2248" s="270">
        <v>50</v>
      </c>
      <c r="N2248" s="274">
        <v>2</v>
      </c>
      <c r="O2248" s="55"/>
      <c r="P2248" s="45">
        <v>2</v>
      </c>
      <c r="Q2248" s="270"/>
      <c r="R2248" s="275">
        <v>0</v>
      </c>
      <c r="S2248" s="270"/>
      <c r="T2248" s="270">
        <v>52</v>
      </c>
      <c r="U2248" s="57">
        <v>1</v>
      </c>
      <c r="V2248" s="276">
        <v>0.23</v>
      </c>
      <c r="W2248" s="276">
        <v>0</v>
      </c>
      <c r="X2248" s="270">
        <v>40</v>
      </c>
      <c r="Y2248" s="270">
        <v>12</v>
      </c>
      <c r="Z2248" s="45" t="b">
        <v>1</v>
      </c>
      <c r="AA2248" s="45" t="s">
        <v>38</v>
      </c>
      <c r="AB2248" s="45" t="s">
        <v>38</v>
      </c>
    </row>
    <row r="2249" spans="1:28" x14ac:dyDescent="0.2">
      <c r="A2249" s="96" t="s">
        <v>124</v>
      </c>
      <c r="B2249" s="96" t="s">
        <v>124</v>
      </c>
      <c r="C2249" s="277">
        <v>44886</v>
      </c>
      <c r="D2249" s="277">
        <v>44915</v>
      </c>
      <c r="E2249" s="270" t="s">
        <v>267</v>
      </c>
      <c r="F2249" s="96" t="s">
        <v>34</v>
      </c>
      <c r="G2249" s="270" t="s">
        <v>35</v>
      </c>
      <c r="H2249" s="272" t="s">
        <v>115</v>
      </c>
      <c r="I2249" s="273">
        <v>10</v>
      </c>
      <c r="J2249" s="270">
        <v>19718</v>
      </c>
      <c r="K2249" s="270">
        <f t="shared" si="0"/>
        <v>197180</v>
      </c>
      <c r="L2249" s="270">
        <v>298548</v>
      </c>
      <c r="M2249" s="270">
        <v>-6270</v>
      </c>
      <c r="N2249" s="274">
        <v>4405</v>
      </c>
      <c r="O2249" s="55"/>
      <c r="P2249" s="105">
        <v>4405</v>
      </c>
      <c r="Q2249" s="270">
        <v>-5344</v>
      </c>
      <c r="R2249" s="275">
        <v>1.9000000000000001E-4</v>
      </c>
      <c r="S2249" s="270">
        <v>-5307</v>
      </c>
      <c r="T2249" s="270">
        <v>-902</v>
      </c>
      <c r="U2249" s="57">
        <v>1</v>
      </c>
      <c r="V2249" s="276">
        <v>0.23</v>
      </c>
      <c r="W2249" s="276">
        <v>0</v>
      </c>
      <c r="X2249" s="270">
        <v>-694</v>
      </c>
      <c r="Y2249" s="270">
        <v>-207</v>
      </c>
      <c r="Z2249" s="45" t="b">
        <v>0</v>
      </c>
      <c r="AA2249" s="45" t="s">
        <v>38</v>
      </c>
      <c r="AB2249" s="45" t="s">
        <v>38</v>
      </c>
    </row>
    <row r="2250" spans="1:28" x14ac:dyDescent="0.2">
      <c r="A2250" s="96" t="s">
        <v>124</v>
      </c>
      <c r="B2250" s="96" t="s">
        <v>124</v>
      </c>
      <c r="C2250" s="277">
        <v>44886</v>
      </c>
      <c r="D2250" s="277">
        <v>44915</v>
      </c>
      <c r="E2250" s="270" t="s">
        <v>267</v>
      </c>
      <c r="F2250" s="96" t="s">
        <v>34</v>
      </c>
      <c r="G2250" s="270" t="s">
        <v>35</v>
      </c>
      <c r="H2250" s="272" t="s">
        <v>87</v>
      </c>
      <c r="I2250" s="273">
        <v>25</v>
      </c>
      <c r="J2250" s="270">
        <v>857</v>
      </c>
      <c r="K2250" s="270">
        <f t="shared" si="0"/>
        <v>21425</v>
      </c>
      <c r="L2250" s="270">
        <v>1223</v>
      </c>
      <c r="M2250" s="270">
        <v>-1350</v>
      </c>
      <c r="N2250" s="274">
        <v>410</v>
      </c>
      <c r="O2250" s="55"/>
      <c r="P2250" s="45">
        <v>410</v>
      </c>
      <c r="Q2250" s="270">
        <v>-1267</v>
      </c>
      <c r="R2250" s="275">
        <v>1.9000000000000001E-4</v>
      </c>
      <c r="S2250" s="270">
        <v>-1263</v>
      </c>
      <c r="T2250" s="270">
        <v>-853</v>
      </c>
      <c r="U2250" s="57">
        <v>1</v>
      </c>
      <c r="V2250" s="276">
        <v>0.23</v>
      </c>
      <c r="W2250" s="276">
        <v>0</v>
      </c>
      <c r="X2250" s="270">
        <v>-657</v>
      </c>
      <c r="Y2250" s="270">
        <v>-196</v>
      </c>
      <c r="Z2250" s="45" t="b">
        <v>0</v>
      </c>
      <c r="AA2250" s="45" t="s">
        <v>38</v>
      </c>
      <c r="AB2250" s="45" t="s">
        <v>38</v>
      </c>
    </row>
    <row r="2251" spans="1:28" x14ac:dyDescent="0.2">
      <c r="A2251" s="270" t="s">
        <v>114</v>
      </c>
      <c r="B2251" s="270" t="s">
        <v>114</v>
      </c>
      <c r="C2251" s="277">
        <v>44886</v>
      </c>
      <c r="D2251" s="277">
        <v>44915</v>
      </c>
      <c r="E2251" s="270" t="s">
        <v>267</v>
      </c>
      <c r="F2251" s="96" t="s">
        <v>34</v>
      </c>
      <c r="G2251" s="270" t="s">
        <v>35</v>
      </c>
      <c r="H2251" s="272" t="s">
        <v>115</v>
      </c>
      <c r="I2251" s="273">
        <v>10</v>
      </c>
      <c r="J2251" s="270">
        <v>2183</v>
      </c>
      <c r="K2251" s="270">
        <f t="shared" si="0"/>
        <v>21830</v>
      </c>
      <c r="L2251" s="270">
        <v>18500</v>
      </c>
      <c r="M2251" s="270">
        <v>-440</v>
      </c>
      <c r="N2251" s="274">
        <v>1580</v>
      </c>
      <c r="O2251" s="55"/>
      <c r="P2251" s="105">
        <v>1580</v>
      </c>
      <c r="Q2251" s="270">
        <v>-1050</v>
      </c>
      <c r="R2251" s="275">
        <v>1.9000000000000001E-4</v>
      </c>
      <c r="S2251" s="270">
        <v>-1046</v>
      </c>
      <c r="T2251" s="270">
        <v>534</v>
      </c>
      <c r="U2251" s="57">
        <v>1</v>
      </c>
      <c r="V2251" s="276">
        <v>0.23</v>
      </c>
      <c r="W2251" s="276">
        <v>0</v>
      </c>
      <c r="X2251" s="270">
        <v>411</v>
      </c>
      <c r="Y2251" s="270">
        <v>123</v>
      </c>
      <c r="Z2251" s="45" t="b">
        <v>1</v>
      </c>
      <c r="AA2251" s="45" t="s">
        <v>38</v>
      </c>
      <c r="AB2251" s="45" t="s">
        <v>38</v>
      </c>
    </row>
    <row r="2252" spans="1:28" x14ac:dyDescent="0.2">
      <c r="A2252" s="279" t="s">
        <v>98</v>
      </c>
      <c r="B2252" s="279" t="s">
        <v>98</v>
      </c>
      <c r="C2252" s="277">
        <v>44896</v>
      </c>
      <c r="D2252" s="277">
        <v>44915</v>
      </c>
      <c r="E2252" s="279" t="s">
        <v>267</v>
      </c>
      <c r="F2252" s="133" t="s">
        <v>49</v>
      </c>
      <c r="G2252" s="270" t="s">
        <v>35</v>
      </c>
      <c r="H2252" s="272" t="s">
        <v>87</v>
      </c>
      <c r="I2252" s="273">
        <v>25</v>
      </c>
      <c r="J2252" s="270">
        <v>390</v>
      </c>
      <c r="K2252" s="270">
        <f t="shared" si="0"/>
        <v>9750</v>
      </c>
      <c r="L2252" s="270">
        <v>6486</v>
      </c>
      <c r="M2252" s="270">
        <v>925</v>
      </c>
      <c r="N2252" s="274">
        <v>174</v>
      </c>
      <c r="O2252" s="55"/>
      <c r="P2252" s="45">
        <v>174</v>
      </c>
      <c r="Q2252" s="270">
        <v>-123</v>
      </c>
      <c r="R2252" s="275">
        <v>-8.3299999999999997E-4</v>
      </c>
      <c r="S2252" s="270">
        <v>-131</v>
      </c>
      <c r="T2252" s="270">
        <v>43</v>
      </c>
      <c r="U2252" s="57">
        <v>1</v>
      </c>
      <c r="V2252" s="276">
        <v>0.25</v>
      </c>
      <c r="W2252" s="276">
        <v>0</v>
      </c>
      <c r="X2252" s="270">
        <v>32</v>
      </c>
      <c r="Y2252" s="270">
        <v>11</v>
      </c>
      <c r="Z2252" s="45" t="b">
        <v>1</v>
      </c>
      <c r="AA2252" s="45" t="s">
        <v>38</v>
      </c>
      <c r="AB2252" s="45" t="s">
        <v>38</v>
      </c>
    </row>
    <row r="2253" spans="1:28" x14ac:dyDescent="0.2">
      <c r="A2253" s="279" t="s">
        <v>98</v>
      </c>
      <c r="B2253" s="279" t="s">
        <v>98</v>
      </c>
      <c r="C2253" s="277">
        <v>44896</v>
      </c>
      <c r="D2253" s="277">
        <v>44915</v>
      </c>
      <c r="E2253" s="279" t="s">
        <v>267</v>
      </c>
      <c r="F2253" s="133" t="s">
        <v>49</v>
      </c>
      <c r="G2253" s="270" t="s">
        <v>35</v>
      </c>
      <c r="H2253" s="272" t="s">
        <v>85</v>
      </c>
      <c r="I2253" s="273">
        <v>50</v>
      </c>
      <c r="J2253" s="270">
        <v>5055</v>
      </c>
      <c r="K2253" s="270">
        <f t="shared" si="0"/>
        <v>252750</v>
      </c>
      <c r="L2253" s="270">
        <v>49896</v>
      </c>
      <c r="M2253" s="270">
        <v>-500</v>
      </c>
      <c r="N2253" s="274">
        <v>4513</v>
      </c>
      <c r="O2253" s="55"/>
      <c r="P2253" s="105">
        <v>4513</v>
      </c>
      <c r="Q2253" s="270">
        <v>-8466</v>
      </c>
      <c r="R2253" s="275">
        <v>-8.5099999999999998E-4</v>
      </c>
      <c r="S2253" s="270">
        <v>-8681</v>
      </c>
      <c r="T2253" s="270">
        <v>-4168</v>
      </c>
      <c r="U2253" s="57">
        <v>1</v>
      </c>
      <c r="V2253" s="276">
        <v>0.25</v>
      </c>
      <c r="W2253" s="276">
        <v>0</v>
      </c>
      <c r="X2253" s="270">
        <v>-3126</v>
      </c>
      <c r="Y2253" s="270">
        <v>-1042</v>
      </c>
      <c r="Z2253" s="45" t="b">
        <v>1</v>
      </c>
      <c r="AA2253" s="45" t="s">
        <v>38</v>
      </c>
      <c r="AB2253" s="45" t="s">
        <v>38</v>
      </c>
    </row>
    <row r="2254" spans="1:28" x14ac:dyDescent="0.2">
      <c r="A2254" s="279" t="s">
        <v>98</v>
      </c>
      <c r="B2254" s="279" t="s">
        <v>98</v>
      </c>
      <c r="C2254" s="277">
        <v>44896</v>
      </c>
      <c r="D2254" s="277">
        <v>44915</v>
      </c>
      <c r="E2254" s="279" t="s">
        <v>267</v>
      </c>
      <c r="F2254" s="133" t="s">
        <v>49</v>
      </c>
      <c r="G2254" s="270" t="s">
        <v>35</v>
      </c>
      <c r="H2254" s="272" t="s">
        <v>46</v>
      </c>
      <c r="I2254" s="273">
        <v>25</v>
      </c>
      <c r="J2254" s="270">
        <v>2</v>
      </c>
      <c r="K2254" s="270">
        <f t="shared" si="0"/>
        <v>50</v>
      </c>
      <c r="L2254" s="270">
        <v>582</v>
      </c>
      <c r="M2254" s="270">
        <v>75</v>
      </c>
      <c r="N2254" s="274">
        <v>1</v>
      </c>
      <c r="O2254" s="55"/>
      <c r="P2254" s="45">
        <v>1</v>
      </c>
      <c r="Q2254" s="270">
        <v>24</v>
      </c>
      <c r="R2254" s="275">
        <v>0</v>
      </c>
      <c r="S2254" s="270">
        <v>24</v>
      </c>
      <c r="T2254" s="270">
        <v>25</v>
      </c>
      <c r="U2254" s="57">
        <v>1</v>
      </c>
      <c r="V2254" s="276">
        <v>0.25</v>
      </c>
      <c r="W2254" s="276">
        <v>0</v>
      </c>
      <c r="X2254" s="270">
        <v>19</v>
      </c>
      <c r="Y2254" s="270">
        <v>6</v>
      </c>
      <c r="Z2254" s="45" t="b">
        <v>1</v>
      </c>
      <c r="AA2254" s="45" t="s">
        <v>38</v>
      </c>
      <c r="AB2254" s="45" t="s">
        <v>38</v>
      </c>
    </row>
    <row r="2255" spans="1:28" x14ac:dyDescent="0.2">
      <c r="A2255" s="279" t="s">
        <v>98</v>
      </c>
      <c r="B2255" s="279" t="s">
        <v>98</v>
      </c>
      <c r="C2255" s="277">
        <v>44896</v>
      </c>
      <c r="D2255" s="277">
        <v>44915</v>
      </c>
      <c r="E2255" s="279" t="s">
        <v>267</v>
      </c>
      <c r="F2255" s="133" t="s">
        <v>49</v>
      </c>
      <c r="G2255" s="270" t="s">
        <v>35</v>
      </c>
      <c r="H2255" s="272" t="s">
        <v>72</v>
      </c>
      <c r="I2255" s="273">
        <v>50</v>
      </c>
      <c r="J2255" s="270">
        <v>4</v>
      </c>
      <c r="K2255" s="270">
        <f t="shared" si="0"/>
        <v>200</v>
      </c>
      <c r="L2255" s="270">
        <v>250</v>
      </c>
      <c r="M2255" s="270">
        <v>-50</v>
      </c>
      <c r="N2255" s="274">
        <v>4</v>
      </c>
      <c r="O2255" s="55"/>
      <c r="P2255" s="45">
        <v>4</v>
      </c>
      <c r="Q2255" s="270">
        <v>10</v>
      </c>
      <c r="R2255" s="275">
        <v>0</v>
      </c>
      <c r="S2255" s="270">
        <v>10</v>
      </c>
      <c r="T2255" s="270">
        <v>14</v>
      </c>
      <c r="U2255" s="57">
        <v>1</v>
      </c>
      <c r="V2255" s="276">
        <v>0.25</v>
      </c>
      <c r="W2255" s="276">
        <v>0</v>
      </c>
      <c r="X2255" s="270">
        <v>11</v>
      </c>
      <c r="Y2255" s="270">
        <v>4</v>
      </c>
      <c r="Z2255" s="45" t="b">
        <v>1</v>
      </c>
      <c r="AA2255" s="45" t="s">
        <v>38</v>
      </c>
      <c r="AB2255" s="45" t="s">
        <v>38</v>
      </c>
    </row>
    <row r="2256" spans="1:28" x14ac:dyDescent="0.2">
      <c r="A2256" s="279" t="s">
        <v>98</v>
      </c>
      <c r="B2256" s="279" t="s">
        <v>98</v>
      </c>
      <c r="C2256" s="277">
        <v>44896</v>
      </c>
      <c r="D2256" s="277">
        <v>44915</v>
      </c>
      <c r="E2256" s="279" t="s">
        <v>267</v>
      </c>
      <c r="F2256" s="133" t="s">
        <v>41</v>
      </c>
      <c r="G2256" s="270" t="s">
        <v>35</v>
      </c>
      <c r="H2256" s="272" t="s">
        <v>115</v>
      </c>
      <c r="I2256" s="273">
        <v>10</v>
      </c>
      <c r="J2256" s="270">
        <v>41</v>
      </c>
      <c r="K2256" s="270">
        <f t="shared" si="0"/>
        <v>410</v>
      </c>
      <c r="L2256" s="270"/>
      <c r="M2256" s="270">
        <v>0</v>
      </c>
      <c r="N2256" s="274">
        <v>8</v>
      </c>
      <c r="O2256" s="55"/>
      <c r="P2256" s="45">
        <v>8</v>
      </c>
      <c r="Q2256" s="270"/>
      <c r="R2256" s="275">
        <v>0</v>
      </c>
      <c r="S2256" s="270"/>
      <c r="T2256" s="270">
        <v>8</v>
      </c>
      <c r="U2256" s="57">
        <v>1</v>
      </c>
      <c r="V2256" s="276">
        <v>0.25</v>
      </c>
      <c r="W2256" s="276">
        <v>0</v>
      </c>
      <c r="X2256" s="270">
        <v>6</v>
      </c>
      <c r="Y2256" s="270">
        <v>2</v>
      </c>
      <c r="Z2256" s="45" t="b">
        <v>1</v>
      </c>
      <c r="AA2256" s="45" t="s">
        <v>38</v>
      </c>
      <c r="AB2256" s="45" t="s">
        <v>38</v>
      </c>
    </row>
    <row r="2257" spans="1:28" x14ac:dyDescent="0.2">
      <c r="A2257" s="279" t="s">
        <v>606</v>
      </c>
      <c r="B2257" s="279" t="s">
        <v>235</v>
      </c>
      <c r="C2257" s="282">
        <v>44896</v>
      </c>
      <c r="D2257" s="282">
        <v>44915</v>
      </c>
      <c r="E2257" s="279" t="s">
        <v>267</v>
      </c>
      <c r="F2257" s="133" t="s">
        <v>49</v>
      </c>
      <c r="G2257" s="279" t="s">
        <v>61</v>
      </c>
      <c r="H2257" s="289" t="s">
        <v>55</v>
      </c>
      <c r="I2257" s="280">
        <v>10</v>
      </c>
      <c r="J2257" s="279">
        <v>8000</v>
      </c>
      <c r="K2257" s="270">
        <f t="shared" si="0"/>
        <v>80000</v>
      </c>
      <c r="L2257" s="279">
        <v>533153</v>
      </c>
      <c r="M2257" s="279">
        <v>3190</v>
      </c>
      <c r="N2257" s="281">
        <v>1680</v>
      </c>
      <c r="O2257" s="55"/>
      <c r="P2257" s="105">
        <v>1680</v>
      </c>
      <c r="Q2257" s="279">
        <v>2804</v>
      </c>
      <c r="R2257" s="275">
        <v>-8.7299999999999997E-4</v>
      </c>
      <c r="S2257" s="279">
        <v>2734</v>
      </c>
      <c r="T2257" s="279">
        <v>4414</v>
      </c>
      <c r="U2257" s="57">
        <v>1</v>
      </c>
      <c r="V2257" s="276">
        <v>0.17</v>
      </c>
      <c r="W2257" s="276">
        <v>0</v>
      </c>
      <c r="X2257" s="279">
        <v>3664</v>
      </c>
      <c r="Y2257" s="279">
        <v>750</v>
      </c>
      <c r="Z2257" s="45" t="b">
        <v>1</v>
      </c>
      <c r="AA2257" s="45" t="s">
        <v>50</v>
      </c>
      <c r="AB2257" s="45" t="s">
        <v>50</v>
      </c>
    </row>
    <row r="2258" spans="1:28" x14ac:dyDescent="0.2">
      <c r="A2258" s="279" t="s">
        <v>225</v>
      </c>
      <c r="B2258" s="279" t="s">
        <v>204</v>
      </c>
      <c r="C2258" s="277">
        <v>44896</v>
      </c>
      <c r="D2258" s="277">
        <v>44915</v>
      </c>
      <c r="E2258" s="270" t="s">
        <v>300</v>
      </c>
      <c r="F2258" s="133" t="s">
        <v>49</v>
      </c>
      <c r="G2258" s="270" t="s">
        <v>35</v>
      </c>
      <c r="H2258" s="272" t="s">
        <v>46</v>
      </c>
      <c r="I2258" s="273">
        <v>25</v>
      </c>
      <c r="J2258" s="270">
        <v>3138</v>
      </c>
      <c r="K2258" s="270">
        <f t="shared" si="0"/>
        <v>78450</v>
      </c>
      <c r="L2258" s="270">
        <v>83999</v>
      </c>
      <c r="M2258" s="270">
        <v>-4350</v>
      </c>
      <c r="N2258" s="274">
        <v>3275</v>
      </c>
      <c r="O2258" s="55"/>
      <c r="P2258" s="105">
        <v>3275</v>
      </c>
      <c r="Q2258" s="270">
        <v>-1127</v>
      </c>
      <c r="R2258" s="275">
        <v>-8.5599999999999999E-4</v>
      </c>
      <c r="S2258" s="270">
        <v>-1194</v>
      </c>
      <c r="T2258" s="270">
        <v>2081</v>
      </c>
      <c r="U2258" s="57">
        <v>1</v>
      </c>
      <c r="V2258" s="276">
        <v>0.17</v>
      </c>
      <c r="W2258" s="276">
        <v>0.1</v>
      </c>
      <c r="X2258" s="270">
        <v>1519</v>
      </c>
      <c r="Y2258" s="270">
        <v>562</v>
      </c>
      <c r="Z2258" s="45" t="b">
        <v>1</v>
      </c>
      <c r="AA2258" s="45" t="s">
        <v>38</v>
      </c>
      <c r="AB2258" s="45" t="s">
        <v>38</v>
      </c>
    </row>
    <row r="2259" spans="1:28" x14ac:dyDescent="0.2">
      <c r="A2259" s="279" t="s">
        <v>225</v>
      </c>
      <c r="B2259" s="279" t="s">
        <v>204</v>
      </c>
      <c r="C2259" s="277">
        <v>44896</v>
      </c>
      <c r="D2259" s="277">
        <v>44915</v>
      </c>
      <c r="E2259" s="270" t="s">
        <v>300</v>
      </c>
      <c r="F2259" s="133" t="s">
        <v>41</v>
      </c>
      <c r="G2259" s="270" t="s">
        <v>35</v>
      </c>
      <c r="H2259" s="272" t="s">
        <v>72</v>
      </c>
      <c r="I2259" s="273">
        <v>50</v>
      </c>
      <c r="J2259" s="270">
        <v>12</v>
      </c>
      <c r="K2259" s="270">
        <f t="shared" si="0"/>
        <v>600</v>
      </c>
      <c r="L2259" s="270"/>
      <c r="M2259" s="270">
        <v>-100</v>
      </c>
      <c r="N2259" s="274">
        <v>25</v>
      </c>
      <c r="O2259" s="55"/>
      <c r="P2259" s="45">
        <v>25</v>
      </c>
      <c r="Q2259" s="270"/>
      <c r="R2259" s="275">
        <v>0</v>
      </c>
      <c r="S2259" s="270"/>
      <c r="T2259" s="270">
        <v>-75</v>
      </c>
      <c r="U2259" s="57">
        <v>1</v>
      </c>
      <c r="V2259" s="276">
        <v>0.17</v>
      </c>
      <c r="W2259" s="276">
        <v>0.1</v>
      </c>
      <c r="X2259" s="270">
        <v>-55</v>
      </c>
      <c r="Y2259" s="270">
        <v>-20</v>
      </c>
      <c r="Z2259" s="45" t="b">
        <v>1</v>
      </c>
      <c r="AA2259" s="45" t="s">
        <v>38</v>
      </c>
      <c r="AB2259" s="45" t="s">
        <v>38</v>
      </c>
    </row>
    <row r="2260" spans="1:28" x14ac:dyDescent="0.2">
      <c r="A2260" s="96" t="s">
        <v>206</v>
      </c>
      <c r="B2260" s="96" t="s">
        <v>206</v>
      </c>
      <c r="C2260" s="277">
        <v>44886</v>
      </c>
      <c r="D2260" s="277">
        <v>44915</v>
      </c>
      <c r="E2260" s="270" t="s">
        <v>267</v>
      </c>
      <c r="F2260" s="133" t="s">
        <v>34</v>
      </c>
      <c r="G2260" s="96" t="s">
        <v>35</v>
      </c>
      <c r="H2260" s="272" t="s">
        <v>72</v>
      </c>
      <c r="I2260" s="273">
        <v>50</v>
      </c>
      <c r="J2260" s="270">
        <v>1</v>
      </c>
      <c r="K2260" s="270">
        <f t="shared" si="0"/>
        <v>50</v>
      </c>
      <c r="L2260" s="270">
        <v>335</v>
      </c>
      <c r="M2260" s="270">
        <v>50</v>
      </c>
      <c r="N2260" s="274">
        <v>2.67</v>
      </c>
      <c r="O2260" s="55"/>
      <c r="P2260" s="45">
        <v>3</v>
      </c>
      <c r="Q2260" s="270">
        <v>27</v>
      </c>
      <c r="R2260" s="275">
        <v>1.9000000000000001E-4</v>
      </c>
      <c r="S2260" s="270">
        <v>27</v>
      </c>
      <c r="T2260" s="270">
        <v>30</v>
      </c>
      <c r="U2260" s="57">
        <v>1</v>
      </c>
      <c r="V2260" s="276">
        <v>0.1</v>
      </c>
      <c r="W2260" s="276">
        <v>0</v>
      </c>
      <c r="X2260" s="270">
        <v>27</v>
      </c>
      <c r="Y2260" s="270">
        <v>3</v>
      </c>
      <c r="Z2260" s="45" t="b">
        <v>1</v>
      </c>
      <c r="AA2260" s="45" t="s">
        <v>38</v>
      </c>
      <c r="AB2260" s="45" t="s">
        <v>38</v>
      </c>
    </row>
    <row r="2261" spans="1:28" x14ac:dyDescent="0.2">
      <c r="A2261" s="96" t="s">
        <v>206</v>
      </c>
      <c r="B2261" s="96" t="s">
        <v>206</v>
      </c>
      <c r="C2261" s="277">
        <v>44886</v>
      </c>
      <c r="D2261" s="277">
        <v>44915</v>
      </c>
      <c r="E2261" s="270" t="s">
        <v>267</v>
      </c>
      <c r="F2261" s="133" t="s">
        <v>34</v>
      </c>
      <c r="G2261" s="96" t="s">
        <v>35</v>
      </c>
      <c r="H2261" s="272" t="s">
        <v>70</v>
      </c>
      <c r="I2261" s="273">
        <v>100</v>
      </c>
      <c r="J2261" s="270">
        <v>2289</v>
      </c>
      <c r="K2261" s="270">
        <f t="shared" si="0"/>
        <v>228900</v>
      </c>
      <c r="L2261" s="270">
        <v>44440</v>
      </c>
      <c r="M2261" s="270">
        <v>-10300</v>
      </c>
      <c r="N2261" s="274">
        <v>10200.5</v>
      </c>
      <c r="O2261" s="55"/>
      <c r="P2261" s="105">
        <v>10201</v>
      </c>
      <c r="Q2261" s="270">
        <v>-4087</v>
      </c>
      <c r="R2261" s="275">
        <v>1.9000000000000001E-4</v>
      </c>
      <c r="S2261" s="270">
        <v>-4044</v>
      </c>
      <c r="T2261" s="270">
        <v>6157</v>
      </c>
      <c r="U2261" s="57">
        <v>1</v>
      </c>
      <c r="V2261" s="276">
        <v>0.1</v>
      </c>
      <c r="W2261" s="276">
        <v>0</v>
      </c>
      <c r="X2261" s="270">
        <v>5541</v>
      </c>
      <c r="Y2261" s="270">
        <v>616</v>
      </c>
      <c r="Z2261" s="45" t="b">
        <v>1</v>
      </c>
      <c r="AA2261" s="45" t="s">
        <v>38</v>
      </c>
      <c r="AB2261" s="45" t="s">
        <v>38</v>
      </c>
    </row>
    <row r="2262" spans="1:28" x14ac:dyDescent="0.2">
      <c r="A2262" s="96" t="s">
        <v>206</v>
      </c>
      <c r="B2262" s="96" t="s">
        <v>206</v>
      </c>
      <c r="C2262" s="277">
        <v>44886</v>
      </c>
      <c r="D2262" s="277">
        <v>44915</v>
      </c>
      <c r="E2262" s="270" t="s">
        <v>267</v>
      </c>
      <c r="F2262" s="133" t="s">
        <v>34</v>
      </c>
      <c r="G2262" s="96" t="s">
        <v>35</v>
      </c>
      <c r="H2262" s="272" t="s">
        <v>84</v>
      </c>
      <c r="I2262" s="273">
        <v>100</v>
      </c>
      <c r="J2262" s="270">
        <v>33</v>
      </c>
      <c r="K2262" s="270">
        <f t="shared" si="0"/>
        <v>3300</v>
      </c>
      <c r="L2262" s="270">
        <v>-2098</v>
      </c>
      <c r="M2262" s="270">
        <v>-400</v>
      </c>
      <c r="N2262" s="274">
        <v>147.06</v>
      </c>
      <c r="O2262" s="55"/>
      <c r="P2262" s="45">
        <v>147</v>
      </c>
      <c r="Q2262" s="270">
        <v>-836</v>
      </c>
      <c r="R2262" s="275">
        <v>1.9000000000000001E-4</v>
      </c>
      <c r="S2262" s="270">
        <v>-835</v>
      </c>
      <c r="T2262" s="270">
        <v>-688</v>
      </c>
      <c r="U2262" s="57">
        <v>1</v>
      </c>
      <c r="V2262" s="276">
        <v>0.1</v>
      </c>
      <c r="W2262" s="276">
        <v>0</v>
      </c>
      <c r="X2262" s="270">
        <v>-619</v>
      </c>
      <c r="Y2262" s="270">
        <v>-69</v>
      </c>
      <c r="Z2262" s="45" t="b">
        <v>1</v>
      </c>
      <c r="AA2262" s="45" t="s">
        <v>38</v>
      </c>
      <c r="AB2262" s="45" t="s">
        <v>38</v>
      </c>
    </row>
    <row r="2263" spans="1:28" x14ac:dyDescent="0.2">
      <c r="A2263" s="96" t="s">
        <v>206</v>
      </c>
      <c r="B2263" s="96" t="s">
        <v>206</v>
      </c>
      <c r="C2263" s="277">
        <v>44886</v>
      </c>
      <c r="D2263" s="277">
        <v>44915</v>
      </c>
      <c r="E2263" s="270" t="s">
        <v>267</v>
      </c>
      <c r="F2263" s="133" t="s">
        <v>34</v>
      </c>
      <c r="G2263" s="96" t="s">
        <v>35</v>
      </c>
      <c r="H2263" s="272" t="s">
        <v>88</v>
      </c>
      <c r="I2263" s="273">
        <v>250</v>
      </c>
      <c r="J2263" s="270">
        <v>615</v>
      </c>
      <c r="K2263" s="270">
        <f t="shared" si="0"/>
        <v>153750</v>
      </c>
      <c r="L2263" s="270">
        <v>205</v>
      </c>
      <c r="M2263" s="270">
        <v>750</v>
      </c>
      <c r="N2263" s="274">
        <v>6851.58</v>
      </c>
      <c r="O2263" s="55"/>
      <c r="P2263" s="105">
        <v>6852</v>
      </c>
      <c r="Q2263" s="270">
        <v>-7875</v>
      </c>
      <c r="R2263" s="275">
        <v>1.9000000000000001E-4</v>
      </c>
      <c r="S2263" s="270">
        <v>-7846</v>
      </c>
      <c r="T2263" s="270">
        <v>-994</v>
      </c>
      <c r="U2263" s="57">
        <v>1</v>
      </c>
      <c r="V2263" s="276">
        <v>0.1</v>
      </c>
      <c r="W2263" s="276">
        <v>0</v>
      </c>
      <c r="X2263" s="270">
        <v>-895</v>
      </c>
      <c r="Y2263" s="270">
        <v>-99</v>
      </c>
      <c r="Z2263" s="45" t="b">
        <v>1</v>
      </c>
      <c r="AA2263" s="45" t="s">
        <v>38</v>
      </c>
      <c r="AB2263" s="45" t="s">
        <v>38</v>
      </c>
    </row>
    <row r="2264" spans="1:28" x14ac:dyDescent="0.2">
      <c r="A2264" s="96" t="s">
        <v>206</v>
      </c>
      <c r="B2264" s="96" t="s">
        <v>206</v>
      </c>
      <c r="C2264" s="277">
        <v>44886</v>
      </c>
      <c r="D2264" s="277">
        <v>44915</v>
      </c>
      <c r="E2264" s="270" t="s">
        <v>267</v>
      </c>
      <c r="F2264" s="133" t="s">
        <v>34</v>
      </c>
      <c r="G2264" s="96" t="s">
        <v>35</v>
      </c>
      <c r="H2264" s="272" t="s">
        <v>148</v>
      </c>
      <c r="I2264" s="273">
        <v>250</v>
      </c>
      <c r="J2264" s="270">
        <v>51</v>
      </c>
      <c r="K2264" s="270">
        <f t="shared" si="0"/>
        <v>12750</v>
      </c>
      <c r="L2264" s="270">
        <v>409</v>
      </c>
      <c r="M2264" s="270">
        <v>1500</v>
      </c>
      <c r="N2264" s="274">
        <v>568.17999999999995</v>
      </c>
      <c r="O2264" s="55"/>
      <c r="P2264" s="45">
        <v>568</v>
      </c>
      <c r="Q2264" s="270">
        <v>-341</v>
      </c>
      <c r="R2264" s="275">
        <v>1.9000000000000001E-4</v>
      </c>
      <c r="S2264" s="270">
        <v>-338</v>
      </c>
      <c r="T2264" s="270">
        <v>230</v>
      </c>
      <c r="U2264" s="57">
        <v>1</v>
      </c>
      <c r="V2264" s="276">
        <v>0.1</v>
      </c>
      <c r="W2264" s="276">
        <v>0</v>
      </c>
      <c r="X2264" s="270">
        <v>207</v>
      </c>
      <c r="Y2264" s="270">
        <v>23</v>
      </c>
      <c r="Z2264" s="45" t="b">
        <v>1</v>
      </c>
      <c r="AA2264" s="45" t="s">
        <v>38</v>
      </c>
      <c r="AB2264" s="45" t="s">
        <v>38</v>
      </c>
    </row>
    <row r="2265" spans="1:28" x14ac:dyDescent="0.2">
      <c r="A2265" s="279" t="s">
        <v>157</v>
      </c>
      <c r="B2265" s="279" t="s">
        <v>157</v>
      </c>
      <c r="C2265" s="282">
        <v>44896</v>
      </c>
      <c r="D2265" s="282">
        <v>44921</v>
      </c>
      <c r="E2265" s="279" t="s">
        <v>267</v>
      </c>
      <c r="F2265" s="133" t="s">
        <v>41</v>
      </c>
      <c r="G2265" s="279" t="s">
        <v>53</v>
      </c>
      <c r="H2265" s="289" t="s">
        <v>56</v>
      </c>
      <c r="I2265" s="280">
        <v>20</v>
      </c>
      <c r="J2265" s="279">
        <v>1753</v>
      </c>
      <c r="K2265" s="270">
        <f t="shared" si="0"/>
        <v>35060</v>
      </c>
      <c r="L2265" s="279"/>
      <c r="M2265" s="279">
        <v>608.22</v>
      </c>
      <c r="N2265" s="281"/>
      <c r="O2265" s="55">
        <v>0.5</v>
      </c>
      <c r="P2265" s="105">
        <v>1227</v>
      </c>
      <c r="Q2265" s="279"/>
      <c r="R2265" s="275">
        <v>0</v>
      </c>
      <c r="S2265" s="279"/>
      <c r="T2265" s="279">
        <v>1835</v>
      </c>
      <c r="U2265" s="57">
        <v>1.0609999999999999</v>
      </c>
      <c r="V2265" s="276">
        <v>0.17</v>
      </c>
      <c r="W2265" s="276">
        <v>0</v>
      </c>
      <c r="X2265" s="279">
        <v>1616</v>
      </c>
      <c r="Y2265" s="279">
        <v>331</v>
      </c>
      <c r="Z2265" s="45" t="b">
        <v>1</v>
      </c>
      <c r="AA2265" s="45" t="s">
        <v>38</v>
      </c>
      <c r="AB2265" s="45" t="s">
        <v>50</v>
      </c>
    </row>
    <row r="2266" spans="1:28" x14ac:dyDescent="0.2">
      <c r="A2266" s="279" t="s">
        <v>157</v>
      </c>
      <c r="B2266" s="279" t="s">
        <v>157</v>
      </c>
      <c r="C2266" s="282">
        <v>44896</v>
      </c>
      <c r="D2266" s="282">
        <v>44921</v>
      </c>
      <c r="E2266" s="279" t="s">
        <v>267</v>
      </c>
      <c r="F2266" s="133" t="s">
        <v>41</v>
      </c>
      <c r="G2266" s="279" t="s">
        <v>53</v>
      </c>
      <c r="H2266" s="289" t="s">
        <v>55</v>
      </c>
      <c r="I2266" s="280">
        <v>10</v>
      </c>
      <c r="J2266" s="279">
        <v>1</v>
      </c>
      <c r="K2266" s="270">
        <f t="shared" si="0"/>
        <v>10</v>
      </c>
      <c r="L2266" s="279"/>
      <c r="M2266" s="279">
        <v>0.17</v>
      </c>
      <c r="N2266" s="281"/>
      <c r="O2266" s="55">
        <v>0.5</v>
      </c>
      <c r="P2266" s="45">
        <v>0</v>
      </c>
      <c r="Q2266" s="279"/>
      <c r="R2266" s="275">
        <v>0</v>
      </c>
      <c r="S2266" s="279"/>
      <c r="T2266" s="279">
        <v>1</v>
      </c>
      <c r="U2266" s="57">
        <v>1.0609999999999999</v>
      </c>
      <c r="V2266" s="276">
        <v>0.17</v>
      </c>
      <c r="W2266" s="276">
        <v>0</v>
      </c>
      <c r="X2266" s="279">
        <v>0</v>
      </c>
      <c r="Y2266" s="279">
        <v>0</v>
      </c>
      <c r="Z2266" s="45" t="b">
        <v>1</v>
      </c>
      <c r="AA2266" s="45" t="s">
        <v>38</v>
      </c>
      <c r="AB2266" s="45" t="s">
        <v>50</v>
      </c>
    </row>
    <row r="2267" spans="1:28" x14ac:dyDescent="0.2">
      <c r="A2267" s="279" t="s">
        <v>157</v>
      </c>
      <c r="B2267" s="279" t="s">
        <v>157</v>
      </c>
      <c r="C2267" s="282">
        <v>44896</v>
      </c>
      <c r="D2267" s="282">
        <v>44921</v>
      </c>
      <c r="E2267" s="279" t="s">
        <v>267</v>
      </c>
      <c r="F2267" s="133" t="s">
        <v>41</v>
      </c>
      <c r="G2267" s="279" t="s">
        <v>53</v>
      </c>
      <c r="H2267" s="289" t="s">
        <v>54</v>
      </c>
      <c r="I2267" s="280">
        <v>5</v>
      </c>
      <c r="J2267" s="279">
        <v>7</v>
      </c>
      <c r="K2267" s="270">
        <f t="shared" si="0"/>
        <v>35</v>
      </c>
      <c r="L2267" s="279"/>
      <c r="M2267" s="279">
        <v>0.61</v>
      </c>
      <c r="N2267" s="281"/>
      <c r="O2267" s="55">
        <v>0.5</v>
      </c>
      <c r="P2267" s="45">
        <v>1</v>
      </c>
      <c r="Q2267" s="279"/>
      <c r="R2267" s="275">
        <v>0</v>
      </c>
      <c r="S2267" s="279"/>
      <c r="T2267" s="279">
        <v>2</v>
      </c>
      <c r="U2267" s="57">
        <v>1.0609999999999999</v>
      </c>
      <c r="V2267" s="276">
        <v>0.17</v>
      </c>
      <c r="W2267" s="276">
        <v>0</v>
      </c>
      <c r="X2267" s="279">
        <v>2</v>
      </c>
      <c r="Y2267" s="279">
        <v>0</v>
      </c>
      <c r="Z2267" s="45" t="b">
        <v>1</v>
      </c>
      <c r="AA2267" s="45" t="s">
        <v>38</v>
      </c>
      <c r="AB2267" s="45" t="s">
        <v>50</v>
      </c>
    </row>
    <row r="2268" spans="1:28" x14ac:dyDescent="0.2">
      <c r="A2268" s="279" t="s">
        <v>157</v>
      </c>
      <c r="B2268" s="279" t="s">
        <v>157</v>
      </c>
      <c r="C2268" s="282">
        <v>44896</v>
      </c>
      <c r="D2268" s="282">
        <v>44921</v>
      </c>
      <c r="E2268" s="279" t="s">
        <v>267</v>
      </c>
      <c r="F2268" s="133" t="s">
        <v>41</v>
      </c>
      <c r="G2268" s="279" t="s">
        <v>158</v>
      </c>
      <c r="H2268" s="289" t="s">
        <v>159</v>
      </c>
      <c r="I2268" s="280">
        <v>1000</v>
      </c>
      <c r="J2268" s="279">
        <v>22</v>
      </c>
      <c r="K2268" s="270">
        <f t="shared" si="0"/>
        <v>22000</v>
      </c>
      <c r="L2268" s="279"/>
      <c r="M2268" s="279">
        <v>-4000</v>
      </c>
      <c r="N2268" s="281">
        <v>2326.9499999999998</v>
      </c>
      <c r="O2268" s="55"/>
      <c r="P2268" s="105">
        <v>2327</v>
      </c>
      <c r="Q2268" s="279"/>
      <c r="R2268" s="275">
        <v>0</v>
      </c>
      <c r="S2268" s="279"/>
      <c r="T2268" s="279">
        <v>-1673</v>
      </c>
      <c r="U2268" s="57">
        <v>1.4E-2</v>
      </c>
      <c r="V2268" s="276">
        <v>0.17</v>
      </c>
      <c r="W2268" s="276">
        <v>0</v>
      </c>
      <c r="X2268" s="279">
        <v>-19</v>
      </c>
      <c r="Y2268" s="279">
        <v>-4</v>
      </c>
      <c r="Z2268" s="45" t="b">
        <v>1</v>
      </c>
      <c r="AA2268" s="45" t="s">
        <v>38</v>
      </c>
      <c r="AB2268" s="45" t="s">
        <v>1003</v>
      </c>
    </row>
    <row r="2269" spans="1:28" x14ac:dyDescent="0.2">
      <c r="A2269" s="279" t="s">
        <v>157</v>
      </c>
      <c r="B2269" s="279" t="s">
        <v>157</v>
      </c>
      <c r="C2269" s="282">
        <v>44896</v>
      </c>
      <c r="D2269" s="282">
        <v>44921</v>
      </c>
      <c r="E2269" s="279" t="s">
        <v>267</v>
      </c>
      <c r="F2269" s="133" t="s">
        <v>41</v>
      </c>
      <c r="G2269" s="279" t="s">
        <v>158</v>
      </c>
      <c r="H2269" s="289" t="s">
        <v>160</v>
      </c>
      <c r="I2269" s="280">
        <v>2500</v>
      </c>
      <c r="J2269" s="279">
        <v>31</v>
      </c>
      <c r="K2269" s="270">
        <f t="shared" si="0"/>
        <v>77500</v>
      </c>
      <c r="L2269" s="279"/>
      <c r="M2269" s="279">
        <v>30000</v>
      </c>
      <c r="N2269" s="281">
        <v>94.05</v>
      </c>
      <c r="O2269" s="55"/>
      <c r="P2269" s="45">
        <v>94</v>
      </c>
      <c r="Q2269" s="279"/>
      <c r="R2269" s="275">
        <v>0</v>
      </c>
      <c r="S2269" s="279"/>
      <c r="T2269" s="279">
        <v>30094</v>
      </c>
      <c r="U2269" s="57">
        <v>1.4E-2</v>
      </c>
      <c r="V2269" s="276">
        <v>0.17</v>
      </c>
      <c r="W2269" s="276">
        <v>0</v>
      </c>
      <c r="X2269" s="279">
        <v>350</v>
      </c>
      <c r="Y2269" s="279">
        <v>72</v>
      </c>
      <c r="Z2269" s="45" t="b">
        <v>1</v>
      </c>
      <c r="AA2269" s="45" t="s">
        <v>38</v>
      </c>
      <c r="AB2269" s="45" t="s">
        <v>1003</v>
      </c>
    </row>
    <row r="2270" spans="1:28" x14ac:dyDescent="0.2">
      <c r="A2270" s="279" t="s">
        <v>157</v>
      </c>
      <c r="B2270" s="279" t="s">
        <v>157</v>
      </c>
      <c r="C2270" s="282">
        <v>44896</v>
      </c>
      <c r="D2270" s="282">
        <v>44921</v>
      </c>
      <c r="E2270" s="279" t="s">
        <v>267</v>
      </c>
      <c r="F2270" s="133" t="s">
        <v>41</v>
      </c>
      <c r="G2270" s="279" t="s">
        <v>158</v>
      </c>
      <c r="H2270" s="289" t="s">
        <v>161</v>
      </c>
      <c r="I2270" s="280">
        <v>5000</v>
      </c>
      <c r="J2270" s="279">
        <v>10</v>
      </c>
      <c r="K2270" s="270">
        <f t="shared" si="0"/>
        <v>50000</v>
      </c>
      <c r="L2270" s="279"/>
      <c r="M2270" s="279">
        <v>-35000</v>
      </c>
      <c r="N2270" s="281">
        <v>0</v>
      </c>
      <c r="O2270" s="55"/>
      <c r="P2270" s="45">
        <v>0</v>
      </c>
      <c r="Q2270" s="279"/>
      <c r="R2270" s="275">
        <v>0</v>
      </c>
      <c r="S2270" s="279"/>
      <c r="T2270" s="279">
        <v>-35000</v>
      </c>
      <c r="U2270" s="57">
        <v>1.4E-2</v>
      </c>
      <c r="V2270" s="276">
        <v>0.17</v>
      </c>
      <c r="W2270" s="276">
        <v>0</v>
      </c>
      <c r="X2270" s="279">
        <v>-407</v>
      </c>
      <c r="Y2270" s="279">
        <v>-83</v>
      </c>
      <c r="Z2270" s="45" t="b">
        <v>1</v>
      </c>
      <c r="AA2270" s="45" t="s">
        <v>38</v>
      </c>
      <c r="AB2270" s="45" t="s">
        <v>1003</v>
      </c>
    </row>
    <row r="2271" spans="1:28" x14ac:dyDescent="0.2">
      <c r="A2271" s="279" t="s">
        <v>456</v>
      </c>
      <c r="B2271" s="279" t="s">
        <v>129</v>
      </c>
      <c r="C2271" s="282">
        <v>44896</v>
      </c>
      <c r="D2271" s="282">
        <v>44921</v>
      </c>
      <c r="E2271" s="279" t="s">
        <v>267</v>
      </c>
      <c r="F2271" s="133" t="s">
        <v>41</v>
      </c>
      <c r="G2271" s="279" t="s">
        <v>61</v>
      </c>
      <c r="H2271" s="289" t="s">
        <v>54</v>
      </c>
      <c r="I2271" s="280">
        <v>5</v>
      </c>
      <c r="J2271" s="279">
        <v>2958</v>
      </c>
      <c r="K2271" s="270">
        <f t="shared" si="0"/>
        <v>14790</v>
      </c>
      <c r="L2271" s="279">
        <v>188757</v>
      </c>
      <c r="M2271" s="279">
        <v>290</v>
      </c>
      <c r="N2271" s="281">
        <v>782</v>
      </c>
      <c r="O2271" s="55"/>
      <c r="P2271" s="45">
        <v>782</v>
      </c>
      <c r="Q2271" s="279">
        <v>429</v>
      </c>
      <c r="R2271" s="275">
        <v>0</v>
      </c>
      <c r="S2271" s="279">
        <v>429</v>
      </c>
      <c r="T2271" s="279">
        <v>1072</v>
      </c>
      <c r="U2271" s="57">
        <v>1</v>
      </c>
      <c r="V2271" s="276">
        <v>0.25</v>
      </c>
      <c r="W2271" s="276">
        <v>0</v>
      </c>
      <c r="X2271" s="279">
        <v>804</v>
      </c>
      <c r="Y2271" s="279">
        <v>268</v>
      </c>
      <c r="Z2271" s="45" t="b">
        <v>1</v>
      </c>
      <c r="AA2271" s="45" t="s">
        <v>50</v>
      </c>
      <c r="AB2271" s="45" t="s">
        <v>50</v>
      </c>
    </row>
    <row r="2272" spans="1:28" x14ac:dyDescent="0.2">
      <c r="A2272" s="279" t="s">
        <v>456</v>
      </c>
      <c r="B2272" s="279" t="s">
        <v>129</v>
      </c>
      <c r="C2272" s="282">
        <v>44896</v>
      </c>
      <c r="D2272" s="282">
        <v>44921</v>
      </c>
      <c r="E2272" s="279" t="s">
        <v>267</v>
      </c>
      <c r="F2272" s="133" t="s">
        <v>41</v>
      </c>
      <c r="G2272" s="279" t="s">
        <v>61</v>
      </c>
      <c r="H2272" s="289" t="s">
        <v>131</v>
      </c>
      <c r="I2272" s="280">
        <v>5</v>
      </c>
      <c r="J2272" s="279">
        <v>30</v>
      </c>
      <c r="K2272" s="270">
        <f t="shared" si="0"/>
        <v>150</v>
      </c>
      <c r="L2272" s="279">
        <v>541</v>
      </c>
      <c r="M2272" s="279">
        <v>-70</v>
      </c>
      <c r="N2272" s="281">
        <v>0</v>
      </c>
      <c r="O2272" s="55"/>
      <c r="P2272" s="45">
        <v>0</v>
      </c>
      <c r="Q2272" s="279">
        <v>-5</v>
      </c>
      <c r="R2272" s="275">
        <v>0</v>
      </c>
      <c r="S2272" s="279">
        <v>-5</v>
      </c>
      <c r="T2272" s="279">
        <v>-70</v>
      </c>
      <c r="U2272" s="57">
        <v>1</v>
      </c>
      <c r="V2272" s="276">
        <v>0.25</v>
      </c>
      <c r="W2272" s="276">
        <v>0</v>
      </c>
      <c r="X2272" s="279">
        <v>-53</v>
      </c>
      <c r="Y2272" s="279">
        <v>-18</v>
      </c>
      <c r="Z2272" s="45" t="b">
        <v>1</v>
      </c>
      <c r="AA2272" s="45" t="s">
        <v>50</v>
      </c>
      <c r="AB2272" s="45" t="s">
        <v>50</v>
      </c>
    </row>
    <row r="2273" spans="1:28" x14ac:dyDescent="0.2">
      <c r="A2273" s="279" t="s">
        <v>189</v>
      </c>
      <c r="B2273" s="279" t="s">
        <v>189</v>
      </c>
      <c r="C2273" s="282">
        <v>44896</v>
      </c>
      <c r="D2273" s="282">
        <v>44921</v>
      </c>
      <c r="E2273" s="279" t="s">
        <v>267</v>
      </c>
      <c r="F2273" s="133" t="s">
        <v>41</v>
      </c>
      <c r="G2273" s="279" t="s">
        <v>53</v>
      </c>
      <c r="H2273" s="289" t="s">
        <v>54</v>
      </c>
      <c r="I2273" s="280">
        <v>5</v>
      </c>
      <c r="J2273" s="279">
        <v>16</v>
      </c>
      <c r="K2273" s="270">
        <f t="shared" si="0"/>
        <v>80</v>
      </c>
      <c r="L2273" s="279"/>
      <c r="M2273" s="279">
        <v>0.37</v>
      </c>
      <c r="N2273" s="281"/>
      <c r="O2273" s="55">
        <v>0.5</v>
      </c>
      <c r="P2273" s="45">
        <v>3</v>
      </c>
      <c r="Q2273" s="279"/>
      <c r="R2273" s="275">
        <v>0</v>
      </c>
      <c r="S2273" s="279"/>
      <c r="T2273" s="279">
        <v>3</v>
      </c>
      <c r="U2273" s="57">
        <v>1</v>
      </c>
      <c r="V2273" s="276">
        <v>0.17</v>
      </c>
      <c r="W2273" s="276">
        <v>0</v>
      </c>
      <c r="X2273" s="279">
        <v>3</v>
      </c>
      <c r="Y2273" s="279">
        <v>1</v>
      </c>
      <c r="Z2273" s="45" t="b">
        <v>1</v>
      </c>
      <c r="AA2273" s="45" t="s">
        <v>38</v>
      </c>
      <c r="AB2273" s="45" t="s">
        <v>38</v>
      </c>
    </row>
    <row r="2274" spans="1:28" x14ac:dyDescent="0.2">
      <c r="A2274" s="279" t="s">
        <v>189</v>
      </c>
      <c r="B2274" s="279" t="s">
        <v>189</v>
      </c>
      <c r="C2274" s="282">
        <v>44896</v>
      </c>
      <c r="D2274" s="282">
        <v>44921</v>
      </c>
      <c r="E2274" s="279" t="s">
        <v>267</v>
      </c>
      <c r="F2274" s="133" t="s">
        <v>41</v>
      </c>
      <c r="G2274" s="279" t="s">
        <v>53</v>
      </c>
      <c r="H2274" s="289" t="s">
        <v>55</v>
      </c>
      <c r="I2274" s="280">
        <v>10</v>
      </c>
      <c r="J2274" s="279">
        <v>14</v>
      </c>
      <c r="K2274" s="270">
        <f t="shared" si="0"/>
        <v>140</v>
      </c>
      <c r="L2274" s="279"/>
      <c r="M2274" s="279">
        <v>0.64</v>
      </c>
      <c r="N2274" s="281"/>
      <c r="O2274" s="55">
        <v>0.5</v>
      </c>
      <c r="P2274" s="45">
        <v>5</v>
      </c>
      <c r="Q2274" s="279"/>
      <c r="R2274" s="275">
        <v>0</v>
      </c>
      <c r="S2274" s="279"/>
      <c r="T2274" s="279">
        <v>6</v>
      </c>
      <c r="U2274" s="57">
        <v>1</v>
      </c>
      <c r="V2274" s="276">
        <v>0.17</v>
      </c>
      <c r="W2274" s="276">
        <v>0</v>
      </c>
      <c r="X2274" s="279">
        <v>5</v>
      </c>
      <c r="Y2274" s="279">
        <v>1</v>
      </c>
      <c r="Z2274" s="45" t="b">
        <v>1</v>
      </c>
      <c r="AA2274" s="45" t="s">
        <v>38</v>
      </c>
      <c r="AB2274" s="45" t="s">
        <v>38</v>
      </c>
    </row>
    <row r="2275" spans="1:28" x14ac:dyDescent="0.2">
      <c r="A2275" s="279" t="s">
        <v>189</v>
      </c>
      <c r="B2275" s="279" t="s">
        <v>189</v>
      </c>
      <c r="C2275" s="282">
        <v>44896</v>
      </c>
      <c r="D2275" s="282">
        <v>44921</v>
      </c>
      <c r="E2275" s="279" t="s">
        <v>267</v>
      </c>
      <c r="F2275" s="133" t="s">
        <v>41</v>
      </c>
      <c r="G2275" s="279" t="s">
        <v>53</v>
      </c>
      <c r="H2275" s="289" t="s">
        <v>56</v>
      </c>
      <c r="I2275" s="280">
        <v>20</v>
      </c>
      <c r="J2275" s="279">
        <v>13</v>
      </c>
      <c r="K2275" s="270">
        <f t="shared" si="0"/>
        <v>260</v>
      </c>
      <c r="L2275" s="279"/>
      <c r="M2275" s="279">
        <v>1.2</v>
      </c>
      <c r="N2275" s="281"/>
      <c r="O2275" s="55">
        <v>0.5</v>
      </c>
      <c r="P2275" s="45">
        <v>9</v>
      </c>
      <c r="Q2275" s="279"/>
      <c r="R2275" s="275">
        <v>0</v>
      </c>
      <c r="S2275" s="279"/>
      <c r="T2275" s="279">
        <v>10</v>
      </c>
      <c r="U2275" s="57">
        <v>1</v>
      </c>
      <c r="V2275" s="276">
        <v>0.17</v>
      </c>
      <c r="W2275" s="276">
        <v>0</v>
      </c>
      <c r="X2275" s="279">
        <v>9</v>
      </c>
      <c r="Y2275" s="279">
        <v>2</v>
      </c>
      <c r="Z2275" s="45" t="b">
        <v>1</v>
      </c>
      <c r="AA2275" s="45" t="s">
        <v>38</v>
      </c>
      <c r="AB2275" s="45" t="s">
        <v>38</v>
      </c>
    </row>
    <row r="2276" spans="1:28" x14ac:dyDescent="0.2">
      <c r="A2276" s="279" t="s">
        <v>189</v>
      </c>
      <c r="B2276" s="279" t="s">
        <v>189</v>
      </c>
      <c r="C2276" s="282">
        <v>44896</v>
      </c>
      <c r="D2276" s="282">
        <v>44921</v>
      </c>
      <c r="E2276" s="279" t="s">
        <v>267</v>
      </c>
      <c r="F2276" s="133" t="s">
        <v>41</v>
      </c>
      <c r="G2276" s="279" t="s">
        <v>53</v>
      </c>
      <c r="H2276" s="289" t="s">
        <v>57</v>
      </c>
      <c r="I2276" s="280">
        <v>50</v>
      </c>
      <c r="J2276" s="279">
        <v>1053</v>
      </c>
      <c r="K2276" s="270">
        <f t="shared" si="0"/>
        <v>52650</v>
      </c>
      <c r="L2276" s="279"/>
      <c r="M2276" s="279">
        <v>242.01</v>
      </c>
      <c r="N2276" s="281"/>
      <c r="O2276" s="55">
        <v>0.5</v>
      </c>
      <c r="P2276" s="105">
        <v>1843</v>
      </c>
      <c r="Q2276" s="279"/>
      <c r="R2276" s="275">
        <v>0</v>
      </c>
      <c r="S2276" s="279"/>
      <c r="T2276" s="279">
        <v>2085</v>
      </c>
      <c r="U2276" s="57">
        <v>1</v>
      </c>
      <c r="V2276" s="276">
        <v>0.17</v>
      </c>
      <c r="W2276" s="276">
        <v>0</v>
      </c>
      <c r="X2276" s="279">
        <v>1730</v>
      </c>
      <c r="Y2276" s="279">
        <v>354</v>
      </c>
      <c r="Z2276" s="45" t="b">
        <v>1</v>
      </c>
      <c r="AA2276" s="45" t="s">
        <v>38</v>
      </c>
      <c r="AB2276" s="45" t="s">
        <v>38</v>
      </c>
    </row>
    <row r="2277" spans="1:28" x14ac:dyDescent="0.2">
      <c r="A2277" s="279" t="s">
        <v>189</v>
      </c>
      <c r="B2277" s="279" t="s">
        <v>189</v>
      </c>
      <c r="C2277" s="282">
        <v>44896</v>
      </c>
      <c r="D2277" s="282">
        <v>44921</v>
      </c>
      <c r="E2277" s="279" t="s">
        <v>267</v>
      </c>
      <c r="F2277" s="133" t="s">
        <v>41</v>
      </c>
      <c r="G2277" s="279" t="s">
        <v>53</v>
      </c>
      <c r="H2277" s="289" t="s">
        <v>59</v>
      </c>
      <c r="I2277" s="280">
        <v>100</v>
      </c>
      <c r="J2277" s="279">
        <v>774</v>
      </c>
      <c r="K2277" s="270">
        <f t="shared" si="0"/>
        <v>77400</v>
      </c>
      <c r="L2277" s="279"/>
      <c r="M2277" s="279">
        <v>355.78</v>
      </c>
      <c r="N2277" s="281"/>
      <c r="O2277" s="55">
        <v>0.5</v>
      </c>
      <c r="P2277" s="105">
        <v>2709</v>
      </c>
      <c r="Q2277" s="279"/>
      <c r="R2277" s="275">
        <v>0</v>
      </c>
      <c r="S2277" s="279"/>
      <c r="T2277" s="279">
        <v>3065</v>
      </c>
      <c r="U2277" s="57">
        <v>1</v>
      </c>
      <c r="V2277" s="276">
        <v>0.17</v>
      </c>
      <c r="W2277" s="276">
        <v>0</v>
      </c>
      <c r="X2277" s="279">
        <v>2544</v>
      </c>
      <c r="Y2277" s="279">
        <v>521</v>
      </c>
      <c r="Z2277" s="45" t="b">
        <v>1</v>
      </c>
      <c r="AA2277" s="45" t="s">
        <v>38</v>
      </c>
      <c r="AB2277" s="45" t="s">
        <v>38</v>
      </c>
    </row>
    <row r="2278" spans="1:28" x14ac:dyDescent="0.2">
      <c r="A2278" s="279" t="s">
        <v>189</v>
      </c>
      <c r="B2278" s="279" t="s">
        <v>189</v>
      </c>
      <c r="C2278" s="282">
        <v>44896</v>
      </c>
      <c r="D2278" s="282">
        <v>44921</v>
      </c>
      <c r="E2278" s="279" t="s">
        <v>267</v>
      </c>
      <c r="F2278" s="133" t="s">
        <v>41</v>
      </c>
      <c r="G2278" s="279" t="s">
        <v>53</v>
      </c>
      <c r="H2278" s="289" t="s">
        <v>59</v>
      </c>
      <c r="I2278" s="280">
        <v>100</v>
      </c>
      <c r="J2278" s="279">
        <v>14</v>
      </c>
      <c r="K2278" s="270">
        <f t="shared" si="0"/>
        <v>1400</v>
      </c>
      <c r="L2278" s="279"/>
      <c r="M2278" s="279">
        <v>17</v>
      </c>
      <c r="N2278" s="281">
        <v>70</v>
      </c>
      <c r="O2278" s="55"/>
      <c r="P2278" s="45">
        <v>70</v>
      </c>
      <c r="Q2278" s="279"/>
      <c r="R2278" s="275">
        <v>0</v>
      </c>
      <c r="S2278" s="279"/>
      <c r="T2278" s="279">
        <v>87</v>
      </c>
      <c r="U2278" s="57">
        <v>1</v>
      </c>
      <c r="V2278" s="276">
        <v>0.17</v>
      </c>
      <c r="W2278" s="276">
        <v>0</v>
      </c>
      <c r="X2278" s="279">
        <v>72</v>
      </c>
      <c r="Y2278" s="279">
        <v>15</v>
      </c>
      <c r="Z2278" s="45" t="b">
        <v>1</v>
      </c>
      <c r="AA2278" s="45" t="s">
        <v>38</v>
      </c>
      <c r="AB2278" s="45" t="s">
        <v>38</v>
      </c>
    </row>
    <row r="2279" spans="1:28" x14ac:dyDescent="0.2">
      <c r="A2279" s="279" t="s">
        <v>232</v>
      </c>
      <c r="B2279" s="279" t="s">
        <v>198</v>
      </c>
      <c r="C2279" s="282">
        <v>44896</v>
      </c>
      <c r="D2279" s="282">
        <v>44921</v>
      </c>
      <c r="E2279" s="279" t="s">
        <v>267</v>
      </c>
      <c r="F2279" s="133" t="s">
        <v>41</v>
      </c>
      <c r="G2279" s="279" t="s">
        <v>53</v>
      </c>
      <c r="H2279" s="289" t="s">
        <v>56</v>
      </c>
      <c r="I2279" s="280">
        <v>20</v>
      </c>
      <c r="J2279" s="279">
        <v>697</v>
      </c>
      <c r="K2279" s="270">
        <f t="shared" si="0"/>
        <v>13940</v>
      </c>
      <c r="L2279" s="279"/>
      <c r="M2279" s="279">
        <v>749.16</v>
      </c>
      <c r="N2279" s="281"/>
      <c r="O2279" s="55">
        <v>0.5</v>
      </c>
      <c r="P2279" s="45">
        <v>488</v>
      </c>
      <c r="Q2279" s="279"/>
      <c r="R2279" s="275">
        <v>0</v>
      </c>
      <c r="S2279" s="279"/>
      <c r="T2279" s="279">
        <v>1237</v>
      </c>
      <c r="U2279" s="57">
        <v>1</v>
      </c>
      <c r="V2279" s="276">
        <v>0.23</v>
      </c>
      <c r="W2279" s="276">
        <v>0</v>
      </c>
      <c r="X2279" s="279">
        <v>953</v>
      </c>
      <c r="Y2279" s="279">
        <v>285</v>
      </c>
      <c r="Z2279" s="45" t="b">
        <v>1</v>
      </c>
      <c r="AA2279" s="45" t="s">
        <v>38</v>
      </c>
      <c r="AB2279" s="45" t="s">
        <v>38</v>
      </c>
    </row>
    <row r="2280" spans="1:28" x14ac:dyDescent="0.2">
      <c r="A2280" s="279" t="s">
        <v>232</v>
      </c>
      <c r="B2280" s="279" t="s">
        <v>198</v>
      </c>
      <c r="C2280" s="282">
        <v>44896</v>
      </c>
      <c r="D2280" s="282">
        <v>44921</v>
      </c>
      <c r="E2280" s="279" t="s">
        <v>267</v>
      </c>
      <c r="F2280" s="133" t="s">
        <v>41</v>
      </c>
      <c r="G2280" s="279" t="s">
        <v>53</v>
      </c>
      <c r="H2280" s="289" t="s">
        <v>55</v>
      </c>
      <c r="I2280" s="280">
        <v>10</v>
      </c>
      <c r="J2280" s="279">
        <v>5</v>
      </c>
      <c r="K2280" s="270">
        <f t="shared" si="0"/>
        <v>50</v>
      </c>
      <c r="L2280" s="279"/>
      <c r="M2280" s="279">
        <v>2.69</v>
      </c>
      <c r="N2280" s="281"/>
      <c r="O2280" s="55">
        <v>0.5</v>
      </c>
      <c r="P2280" s="45">
        <v>2</v>
      </c>
      <c r="Q2280" s="279"/>
      <c r="R2280" s="275">
        <v>0</v>
      </c>
      <c r="S2280" s="279"/>
      <c r="T2280" s="279">
        <v>4</v>
      </c>
      <c r="U2280" s="57">
        <v>1</v>
      </c>
      <c r="V2280" s="276">
        <v>0.23</v>
      </c>
      <c r="W2280" s="276">
        <v>0</v>
      </c>
      <c r="X2280" s="279">
        <v>3</v>
      </c>
      <c r="Y2280" s="279">
        <v>1</v>
      </c>
      <c r="Z2280" s="45" t="b">
        <v>1</v>
      </c>
      <c r="AA2280" s="45" t="s">
        <v>38</v>
      </c>
      <c r="AB2280" s="45" t="s">
        <v>38</v>
      </c>
    </row>
    <row r="2281" spans="1:28" x14ac:dyDescent="0.2">
      <c r="A2281" s="279" t="s">
        <v>232</v>
      </c>
      <c r="B2281" s="279" t="s">
        <v>198</v>
      </c>
      <c r="C2281" s="282">
        <v>44896</v>
      </c>
      <c r="D2281" s="282">
        <v>44921</v>
      </c>
      <c r="E2281" s="279" t="s">
        <v>267</v>
      </c>
      <c r="F2281" s="133" t="s">
        <v>41</v>
      </c>
      <c r="G2281" s="279" t="s">
        <v>53</v>
      </c>
      <c r="H2281" s="289" t="s">
        <v>54</v>
      </c>
      <c r="I2281" s="280">
        <v>5</v>
      </c>
      <c r="J2281" s="279">
        <v>8</v>
      </c>
      <c r="K2281" s="270">
        <f t="shared" si="0"/>
        <v>40</v>
      </c>
      <c r="L2281" s="279"/>
      <c r="M2281" s="279">
        <v>2.15</v>
      </c>
      <c r="N2281" s="281"/>
      <c r="O2281" s="55">
        <v>0.5</v>
      </c>
      <c r="P2281" s="45">
        <v>1</v>
      </c>
      <c r="Q2281" s="279"/>
      <c r="R2281" s="275">
        <v>0</v>
      </c>
      <c r="S2281" s="279"/>
      <c r="T2281" s="279">
        <v>4</v>
      </c>
      <c r="U2281" s="57">
        <v>1</v>
      </c>
      <c r="V2281" s="276">
        <v>0.23</v>
      </c>
      <c r="W2281" s="276">
        <v>0</v>
      </c>
      <c r="X2281" s="279">
        <v>3</v>
      </c>
      <c r="Y2281" s="279">
        <v>1</v>
      </c>
      <c r="Z2281" s="45" t="b">
        <v>1</v>
      </c>
      <c r="AA2281" s="45" t="s">
        <v>38</v>
      </c>
      <c r="AB2281" s="45" t="s">
        <v>38</v>
      </c>
    </row>
    <row r="2282" spans="1:28" x14ac:dyDescent="0.2">
      <c r="A2282" s="279" t="s">
        <v>150</v>
      </c>
      <c r="B2282" s="279" t="s">
        <v>150</v>
      </c>
      <c r="C2282" s="282">
        <v>44896</v>
      </c>
      <c r="D2282" s="282">
        <v>44922</v>
      </c>
      <c r="E2282" s="279" t="s">
        <v>267</v>
      </c>
      <c r="F2282" s="133" t="s">
        <v>41</v>
      </c>
      <c r="G2282" s="279" t="s">
        <v>53</v>
      </c>
      <c r="H2282" s="289" t="s">
        <v>54</v>
      </c>
      <c r="I2282" s="280">
        <v>5</v>
      </c>
      <c r="J2282" s="279">
        <v>1345</v>
      </c>
      <c r="K2282" s="270">
        <f t="shared" si="0"/>
        <v>6725</v>
      </c>
      <c r="L2282" s="279"/>
      <c r="M2282" s="279">
        <v>264.77999999999997</v>
      </c>
      <c r="N2282" s="281"/>
      <c r="O2282" s="55">
        <v>0.5</v>
      </c>
      <c r="P2282" s="45">
        <v>235</v>
      </c>
      <c r="Q2282" s="279"/>
      <c r="R2282" s="275">
        <v>0</v>
      </c>
      <c r="S2282" s="279"/>
      <c r="T2282" s="279">
        <v>500</v>
      </c>
      <c r="U2282" s="57">
        <v>1</v>
      </c>
      <c r="V2282" s="276">
        <v>0.3</v>
      </c>
      <c r="W2282" s="276">
        <v>0</v>
      </c>
      <c r="X2282" s="279">
        <v>350</v>
      </c>
      <c r="Y2282" s="279">
        <v>150</v>
      </c>
      <c r="Z2282" s="45" t="b">
        <v>0</v>
      </c>
      <c r="AA2282" s="45" t="s">
        <v>38</v>
      </c>
      <c r="AB2282" s="45" t="s">
        <v>38</v>
      </c>
    </row>
    <row r="2283" spans="1:28" x14ac:dyDescent="0.2">
      <c r="A2283" s="279" t="s">
        <v>150</v>
      </c>
      <c r="B2283" s="279" t="s">
        <v>150</v>
      </c>
      <c r="C2283" s="282">
        <v>44896</v>
      </c>
      <c r="D2283" s="282">
        <v>44922</v>
      </c>
      <c r="E2283" s="279" t="s">
        <v>267</v>
      </c>
      <c r="F2283" s="133" t="s">
        <v>41</v>
      </c>
      <c r="G2283" s="279" t="s">
        <v>53</v>
      </c>
      <c r="H2283" s="289" t="s">
        <v>55</v>
      </c>
      <c r="I2283" s="280">
        <v>10</v>
      </c>
      <c r="J2283" s="279">
        <v>252</v>
      </c>
      <c r="K2283" s="270">
        <f t="shared" si="0"/>
        <v>2520</v>
      </c>
      <c r="L2283" s="279"/>
      <c r="M2283" s="279">
        <v>99.22</v>
      </c>
      <c r="N2283" s="281"/>
      <c r="O2283" s="55">
        <v>0.5</v>
      </c>
      <c r="P2283" s="45">
        <v>88</v>
      </c>
      <c r="Q2283" s="279"/>
      <c r="R2283" s="275">
        <v>0</v>
      </c>
      <c r="S2283" s="279"/>
      <c r="T2283" s="279">
        <v>187</v>
      </c>
      <c r="U2283" s="57">
        <v>1</v>
      </c>
      <c r="V2283" s="276">
        <v>0.3</v>
      </c>
      <c r="W2283" s="276">
        <v>0</v>
      </c>
      <c r="X2283" s="279">
        <v>131</v>
      </c>
      <c r="Y2283" s="279">
        <v>56</v>
      </c>
      <c r="Z2283" s="45" t="b">
        <v>0</v>
      </c>
      <c r="AA2283" s="45" t="s">
        <v>38</v>
      </c>
      <c r="AB2283" s="45" t="s">
        <v>38</v>
      </c>
    </row>
    <row r="2284" spans="1:28" x14ac:dyDescent="0.2">
      <c r="A2284" s="96" t="s">
        <v>152</v>
      </c>
      <c r="B2284" s="96" t="s">
        <v>152</v>
      </c>
      <c r="C2284" s="277">
        <v>44896</v>
      </c>
      <c r="D2284" s="277">
        <v>44922</v>
      </c>
      <c r="E2284" s="270" t="s">
        <v>267</v>
      </c>
      <c r="F2284" s="96" t="s">
        <v>41</v>
      </c>
      <c r="G2284" s="270" t="s">
        <v>80</v>
      </c>
      <c r="H2284" s="110" t="s">
        <v>70</v>
      </c>
      <c r="I2284" s="273">
        <v>100</v>
      </c>
      <c r="J2284" s="270">
        <v>3969</v>
      </c>
      <c r="K2284" s="270">
        <f t="shared" si="0"/>
        <v>396900</v>
      </c>
      <c r="L2284" s="270">
        <v>38183</v>
      </c>
      <c r="M2284" s="270">
        <v>-10300</v>
      </c>
      <c r="N2284" s="274">
        <v>20110</v>
      </c>
      <c r="O2284" s="55"/>
      <c r="P2284" s="105">
        <v>20110</v>
      </c>
      <c r="Q2284" s="270">
        <v>-18122</v>
      </c>
      <c r="R2284" s="275">
        <v>0</v>
      </c>
      <c r="S2284" s="270">
        <v>-18122</v>
      </c>
      <c r="T2284" s="270">
        <v>9810</v>
      </c>
      <c r="U2284" s="57">
        <v>1</v>
      </c>
      <c r="V2284" s="276">
        <v>0.15</v>
      </c>
      <c r="W2284" s="276">
        <v>0</v>
      </c>
      <c r="X2284" s="270">
        <v>8339</v>
      </c>
      <c r="Y2284" s="270">
        <v>1472</v>
      </c>
      <c r="Z2284" s="45" t="b">
        <v>1</v>
      </c>
      <c r="AA2284" s="45" t="s">
        <v>38</v>
      </c>
      <c r="AB2284" s="45" t="s">
        <v>38</v>
      </c>
    </row>
    <row r="2285" spans="1:28" x14ac:dyDescent="0.2">
      <c r="A2285" s="279" t="s">
        <v>155</v>
      </c>
      <c r="B2285" s="279" t="s">
        <v>155</v>
      </c>
      <c r="C2285" s="282">
        <v>44896</v>
      </c>
      <c r="D2285" s="282">
        <v>44926</v>
      </c>
      <c r="E2285" s="279" t="s">
        <v>267</v>
      </c>
      <c r="F2285" s="133" t="s">
        <v>49</v>
      </c>
      <c r="G2285" s="279" t="s">
        <v>69</v>
      </c>
      <c r="H2285" s="289" t="s">
        <v>40</v>
      </c>
      <c r="I2285" s="280">
        <v>10</v>
      </c>
      <c r="J2285" s="279">
        <v>476</v>
      </c>
      <c r="K2285" s="270">
        <f t="shared" si="0"/>
        <v>4760</v>
      </c>
      <c r="L2285" s="279">
        <v>28033</v>
      </c>
      <c r="M2285" s="279">
        <v>110</v>
      </c>
      <c r="N2285" s="281">
        <v>70</v>
      </c>
      <c r="O2285" s="55"/>
      <c r="P2285" s="45">
        <v>70</v>
      </c>
      <c r="Q2285" s="279">
        <v>219</v>
      </c>
      <c r="R2285" s="275">
        <v>1.8109999999999999E-3</v>
      </c>
      <c r="S2285" s="279">
        <v>228</v>
      </c>
      <c r="T2285" s="279">
        <v>298</v>
      </c>
      <c r="U2285" s="57">
        <v>1</v>
      </c>
      <c r="V2285" s="276">
        <v>0.23</v>
      </c>
      <c r="W2285" s="276">
        <v>0</v>
      </c>
      <c r="X2285" s="279">
        <v>229</v>
      </c>
      <c r="Y2285" s="279">
        <v>69</v>
      </c>
      <c r="Z2285" s="45" t="b">
        <v>1</v>
      </c>
      <c r="AA2285" s="45" t="s">
        <v>38</v>
      </c>
      <c r="AB2285" s="45" t="s">
        <v>38</v>
      </c>
    </row>
    <row r="2286" spans="1:28" x14ac:dyDescent="0.2">
      <c r="A2286" s="279" t="s">
        <v>155</v>
      </c>
      <c r="B2286" s="279" t="s">
        <v>155</v>
      </c>
      <c r="C2286" s="282">
        <v>44896</v>
      </c>
      <c r="D2286" s="282">
        <v>44926</v>
      </c>
      <c r="E2286" s="279" t="s">
        <v>267</v>
      </c>
      <c r="F2286" s="133" t="s">
        <v>49</v>
      </c>
      <c r="G2286" s="279" t="s">
        <v>69</v>
      </c>
      <c r="H2286" s="289" t="s">
        <v>39</v>
      </c>
      <c r="I2286" s="280">
        <v>5</v>
      </c>
      <c r="J2286" s="279">
        <v>1</v>
      </c>
      <c r="K2286" s="270">
        <f t="shared" si="0"/>
        <v>5</v>
      </c>
      <c r="L2286" s="279">
        <v>926</v>
      </c>
      <c r="M2286" s="279">
        <v>10</v>
      </c>
      <c r="N2286" s="281">
        <v>0.01</v>
      </c>
      <c r="O2286" s="55"/>
      <c r="P2286" s="45">
        <v>0</v>
      </c>
      <c r="Q2286" s="279">
        <v>8</v>
      </c>
      <c r="R2286" s="275">
        <v>-6.5399999999999996E-4</v>
      </c>
      <c r="S2286" s="279">
        <v>8</v>
      </c>
      <c r="T2286" s="279">
        <v>8</v>
      </c>
      <c r="U2286" s="57">
        <v>1</v>
      </c>
      <c r="V2286" s="276">
        <v>0.23</v>
      </c>
      <c r="W2286" s="276">
        <v>0</v>
      </c>
      <c r="X2286" s="279">
        <v>6</v>
      </c>
      <c r="Y2286" s="279">
        <v>2</v>
      </c>
      <c r="Z2286" s="45" t="b">
        <v>1</v>
      </c>
      <c r="AA2286" s="45" t="s">
        <v>38</v>
      </c>
      <c r="AB2286" s="45" t="s">
        <v>38</v>
      </c>
    </row>
    <row r="2287" spans="1:28" x14ac:dyDescent="0.2">
      <c r="A2287" s="279" t="s">
        <v>381</v>
      </c>
      <c r="B2287" s="279" t="s">
        <v>123</v>
      </c>
      <c r="C2287" s="282">
        <v>44903</v>
      </c>
      <c r="D2287" s="282">
        <v>44926</v>
      </c>
      <c r="E2287" s="279" t="s">
        <v>267</v>
      </c>
      <c r="F2287" s="133" t="s">
        <v>34</v>
      </c>
      <c r="G2287" s="279" t="s">
        <v>69</v>
      </c>
      <c r="H2287" s="289" t="s">
        <v>71</v>
      </c>
      <c r="I2287" s="280">
        <v>20</v>
      </c>
      <c r="J2287" s="279">
        <v>2775</v>
      </c>
      <c r="K2287" s="270">
        <f t="shared" si="0"/>
        <v>55500</v>
      </c>
      <c r="L2287" s="291">
        <f>106948/3658*2775</f>
        <v>81131.957353745223</v>
      </c>
      <c r="M2287" s="291">
        <v>-2260</v>
      </c>
      <c r="N2287" s="274">
        <v>1621</v>
      </c>
      <c r="O2287" s="55"/>
      <c r="P2287" s="105">
        <v>1621</v>
      </c>
      <c r="Q2287" s="291">
        <v>-519</v>
      </c>
      <c r="R2287" s="275">
        <v>1.9300000000000001E-3</v>
      </c>
      <c r="S2287" s="291">
        <v>-412</v>
      </c>
      <c r="T2287" s="291">
        <v>1209</v>
      </c>
      <c r="U2287" s="57">
        <v>1</v>
      </c>
      <c r="V2287" s="276">
        <v>0.23</v>
      </c>
      <c r="W2287" s="276">
        <v>0</v>
      </c>
      <c r="X2287" s="291">
        <v>931</v>
      </c>
      <c r="Y2287" s="291">
        <v>278</v>
      </c>
      <c r="Z2287" s="45" t="b">
        <v>0</v>
      </c>
      <c r="AA2287" s="45" t="s">
        <v>38</v>
      </c>
      <c r="AB2287" s="45" t="s">
        <v>38</v>
      </c>
    </row>
    <row r="2288" spans="1:28" x14ac:dyDescent="0.2">
      <c r="A2288" s="279" t="s">
        <v>381</v>
      </c>
      <c r="B2288" s="279" t="s">
        <v>123</v>
      </c>
      <c r="C2288" s="282">
        <v>44903</v>
      </c>
      <c r="D2288" s="282">
        <v>44926</v>
      </c>
      <c r="E2288" s="279" t="s">
        <v>267</v>
      </c>
      <c r="F2288" s="133" t="s">
        <v>34</v>
      </c>
      <c r="G2288" s="279" t="s">
        <v>69</v>
      </c>
      <c r="H2288" s="289" t="s">
        <v>39</v>
      </c>
      <c r="I2288" s="280">
        <v>5</v>
      </c>
      <c r="J2288" s="279">
        <v>1</v>
      </c>
      <c r="K2288" s="270">
        <f t="shared" si="0"/>
        <v>5</v>
      </c>
      <c r="L2288" s="291">
        <f>12688/397</f>
        <v>31.95969773299748</v>
      </c>
      <c r="M2288" s="291">
        <v>5</v>
      </c>
      <c r="N2288" s="274">
        <v>5</v>
      </c>
      <c r="O2288" s="55"/>
      <c r="P2288" s="45">
        <v>5</v>
      </c>
      <c r="Q2288" s="291">
        <v>0</v>
      </c>
      <c r="R2288" s="275">
        <v>1.9300000000000001E-3</v>
      </c>
      <c r="S2288" s="291">
        <v>0</v>
      </c>
      <c r="T2288" s="291">
        <v>5</v>
      </c>
      <c r="U2288" s="57">
        <v>1</v>
      </c>
      <c r="V2288" s="276">
        <v>0.23</v>
      </c>
      <c r="W2288" s="276">
        <v>0</v>
      </c>
      <c r="X2288" s="291">
        <v>4</v>
      </c>
      <c r="Y2288" s="291">
        <v>1</v>
      </c>
      <c r="Z2288" s="45" t="b">
        <v>0</v>
      </c>
      <c r="AA2288" s="45" t="s">
        <v>38</v>
      </c>
      <c r="AB2288" s="45" t="s">
        <v>38</v>
      </c>
    </row>
    <row r="2289" spans="1:28" x14ac:dyDescent="0.2">
      <c r="A2289" s="279" t="s">
        <v>395</v>
      </c>
      <c r="B2289" s="270" t="s">
        <v>162</v>
      </c>
      <c r="C2289" s="277">
        <v>44896</v>
      </c>
      <c r="D2289" s="277">
        <v>44926</v>
      </c>
      <c r="E2289" s="279" t="s">
        <v>267</v>
      </c>
      <c r="F2289" s="133" t="s">
        <v>41</v>
      </c>
      <c r="G2289" s="270" t="s">
        <v>35</v>
      </c>
      <c r="H2289" s="272" t="s">
        <v>85</v>
      </c>
      <c r="I2289" s="273">
        <v>50</v>
      </c>
      <c r="J2289" s="270">
        <v>1</v>
      </c>
      <c r="K2289" s="270">
        <f t="shared" si="0"/>
        <v>50</v>
      </c>
      <c r="L2289" s="286">
        <f>16783/465*1</f>
        <v>36.092473118279571</v>
      </c>
      <c r="M2289" s="286">
        <v>-50</v>
      </c>
      <c r="N2289" s="274">
        <v>2</v>
      </c>
      <c r="O2289" s="55"/>
      <c r="P2289" s="45">
        <v>2</v>
      </c>
      <c r="Q2289" s="286">
        <v>2</v>
      </c>
      <c r="R2289" s="275">
        <v>0</v>
      </c>
      <c r="S2289" s="286">
        <v>2</v>
      </c>
      <c r="T2289" s="286">
        <v>-48</v>
      </c>
      <c r="U2289" s="57">
        <v>1</v>
      </c>
      <c r="V2289" s="276">
        <v>0.19</v>
      </c>
      <c r="W2289" s="276">
        <v>0</v>
      </c>
      <c r="X2289" s="286">
        <v>-39</v>
      </c>
      <c r="Y2289" s="286">
        <v>-9</v>
      </c>
      <c r="Z2289" s="45" t="b">
        <v>1</v>
      </c>
      <c r="AA2289" s="45" t="s">
        <v>38</v>
      </c>
      <c r="AB2289" s="45" t="s">
        <v>38</v>
      </c>
    </row>
    <row r="2290" spans="1:28" x14ac:dyDescent="0.2">
      <c r="A2290" s="279" t="s">
        <v>395</v>
      </c>
      <c r="B2290" s="270" t="s">
        <v>162</v>
      </c>
      <c r="C2290" s="277">
        <v>44896</v>
      </c>
      <c r="D2290" s="277">
        <v>44926</v>
      </c>
      <c r="E2290" s="279" t="s">
        <v>267</v>
      </c>
      <c r="F2290" s="133" t="s">
        <v>41</v>
      </c>
      <c r="G2290" s="270" t="s">
        <v>35</v>
      </c>
      <c r="H2290" s="272" t="s">
        <v>148</v>
      </c>
      <c r="I2290" s="273">
        <v>250</v>
      </c>
      <c r="J2290" s="270">
        <v>1</v>
      </c>
      <c r="K2290" s="270">
        <f t="shared" si="0"/>
        <v>250</v>
      </c>
      <c r="L2290" s="286">
        <f>3614/17*1</f>
        <v>212.58823529411765</v>
      </c>
      <c r="M2290" s="286">
        <v>-250</v>
      </c>
      <c r="N2290" s="274">
        <v>9</v>
      </c>
      <c r="O2290" s="55"/>
      <c r="P2290" s="45">
        <v>9</v>
      </c>
      <c r="Q2290" s="286">
        <v>154</v>
      </c>
      <c r="R2290" s="275">
        <v>0</v>
      </c>
      <c r="S2290" s="286">
        <v>154</v>
      </c>
      <c r="T2290" s="286">
        <v>-241</v>
      </c>
      <c r="U2290" s="57">
        <v>1</v>
      </c>
      <c r="V2290" s="276">
        <v>0.19</v>
      </c>
      <c r="W2290" s="276">
        <v>0</v>
      </c>
      <c r="X2290" s="286">
        <v>-195</v>
      </c>
      <c r="Y2290" s="286">
        <v>-46</v>
      </c>
      <c r="Z2290" s="45" t="b">
        <v>1</v>
      </c>
      <c r="AA2290" s="45" t="s">
        <v>38</v>
      </c>
      <c r="AB2290" s="45" t="s">
        <v>38</v>
      </c>
    </row>
    <row r="2291" spans="1:28" x14ac:dyDescent="0.2">
      <c r="A2291" s="279" t="s">
        <v>395</v>
      </c>
      <c r="B2291" s="270" t="s">
        <v>162</v>
      </c>
      <c r="C2291" s="277">
        <v>44896</v>
      </c>
      <c r="D2291" s="277">
        <v>44926</v>
      </c>
      <c r="E2291" s="279" t="s">
        <v>267</v>
      </c>
      <c r="F2291" s="133" t="s">
        <v>41</v>
      </c>
      <c r="G2291" s="270" t="s">
        <v>35</v>
      </c>
      <c r="H2291" s="272" t="s">
        <v>87</v>
      </c>
      <c r="I2291" s="273">
        <v>25</v>
      </c>
      <c r="J2291" s="270">
        <v>7</v>
      </c>
      <c r="K2291" s="270">
        <f t="shared" si="0"/>
        <v>175</v>
      </c>
      <c r="L2291" s="286">
        <f>94/127*7</f>
        <v>5.1811023622047241</v>
      </c>
      <c r="M2291" s="286">
        <v>-25</v>
      </c>
      <c r="N2291" s="274">
        <v>8</v>
      </c>
      <c r="O2291" s="55"/>
      <c r="P2291" s="45">
        <v>8</v>
      </c>
      <c r="Q2291" s="286">
        <v>-11</v>
      </c>
      <c r="R2291" s="275">
        <v>0</v>
      </c>
      <c r="S2291" s="286">
        <v>-11</v>
      </c>
      <c r="T2291" s="286">
        <v>-17</v>
      </c>
      <c r="U2291" s="57">
        <v>1</v>
      </c>
      <c r="V2291" s="276">
        <v>0.19</v>
      </c>
      <c r="W2291" s="276">
        <v>0</v>
      </c>
      <c r="X2291" s="286">
        <v>-14</v>
      </c>
      <c r="Y2291" s="286">
        <v>-3</v>
      </c>
      <c r="Z2291" s="45" t="b">
        <v>1</v>
      </c>
      <c r="AA2291" s="45" t="s">
        <v>38</v>
      </c>
      <c r="AB2291" s="45" t="s">
        <v>38</v>
      </c>
    </row>
    <row r="2292" spans="1:28" x14ac:dyDescent="0.2">
      <c r="A2292" s="279" t="s">
        <v>395</v>
      </c>
      <c r="B2292" s="270" t="s">
        <v>162</v>
      </c>
      <c r="C2292" s="277">
        <v>44896</v>
      </c>
      <c r="D2292" s="277">
        <v>44926</v>
      </c>
      <c r="E2292" s="279" t="s">
        <v>267</v>
      </c>
      <c r="F2292" s="133" t="s">
        <v>41</v>
      </c>
      <c r="G2292" s="270" t="s">
        <v>35</v>
      </c>
      <c r="H2292" s="272" t="s">
        <v>84</v>
      </c>
      <c r="I2292" s="273">
        <v>100</v>
      </c>
      <c r="J2292" s="270">
        <v>8</v>
      </c>
      <c r="K2292" s="270">
        <f t="shared" si="0"/>
        <v>800</v>
      </c>
      <c r="L2292" s="286">
        <f>6276/127*8</f>
        <v>395.33858267716533</v>
      </c>
      <c r="M2292" s="286">
        <v>-100</v>
      </c>
      <c r="N2292" s="274">
        <v>30</v>
      </c>
      <c r="O2292" s="55"/>
      <c r="P2292" s="45">
        <v>30</v>
      </c>
      <c r="Q2292" s="286">
        <v>80</v>
      </c>
      <c r="R2292" s="275">
        <v>0</v>
      </c>
      <c r="S2292" s="286">
        <v>80</v>
      </c>
      <c r="T2292" s="286">
        <v>-70</v>
      </c>
      <c r="U2292" s="57">
        <v>1</v>
      </c>
      <c r="V2292" s="276">
        <v>0.19</v>
      </c>
      <c r="W2292" s="276">
        <v>0</v>
      </c>
      <c r="X2292" s="286">
        <v>-57</v>
      </c>
      <c r="Y2292" s="286">
        <v>-13</v>
      </c>
      <c r="Z2292" s="45" t="b">
        <v>1</v>
      </c>
      <c r="AA2292" s="45" t="s">
        <v>38</v>
      </c>
      <c r="AB2292" s="45" t="s">
        <v>38</v>
      </c>
    </row>
    <row r="2293" spans="1:28" x14ac:dyDescent="0.2">
      <c r="A2293" s="279" t="s">
        <v>395</v>
      </c>
      <c r="B2293" s="270" t="s">
        <v>162</v>
      </c>
      <c r="C2293" s="277">
        <v>44896</v>
      </c>
      <c r="D2293" s="277">
        <v>44926</v>
      </c>
      <c r="E2293" s="279" t="s">
        <v>267</v>
      </c>
      <c r="F2293" s="133" t="s">
        <v>41</v>
      </c>
      <c r="G2293" s="270" t="s">
        <v>35</v>
      </c>
      <c r="H2293" s="272" t="s">
        <v>88</v>
      </c>
      <c r="I2293" s="273">
        <v>250</v>
      </c>
      <c r="J2293" s="270">
        <v>16</v>
      </c>
      <c r="K2293" s="270">
        <f t="shared" si="0"/>
        <v>4000</v>
      </c>
      <c r="L2293" s="286">
        <f>3614-L2290</f>
        <v>3401.4117647058824</v>
      </c>
      <c r="M2293" s="286">
        <v>2000</v>
      </c>
      <c r="N2293" s="274">
        <v>148</v>
      </c>
      <c r="O2293" s="55"/>
      <c r="P2293" s="45">
        <v>148</v>
      </c>
      <c r="Q2293" s="286">
        <v>1391</v>
      </c>
      <c r="R2293" s="275">
        <v>0</v>
      </c>
      <c r="S2293" s="286">
        <v>1391</v>
      </c>
      <c r="T2293" s="286">
        <v>2148</v>
      </c>
      <c r="U2293" s="57">
        <v>1</v>
      </c>
      <c r="V2293" s="276">
        <v>0.19</v>
      </c>
      <c r="W2293" s="276">
        <v>0</v>
      </c>
      <c r="X2293" s="286">
        <v>1740</v>
      </c>
      <c r="Y2293" s="286">
        <v>408</v>
      </c>
      <c r="Z2293" s="45" t="b">
        <v>1</v>
      </c>
      <c r="AA2293" s="45" t="s">
        <v>38</v>
      </c>
      <c r="AB2293" s="45" t="s">
        <v>38</v>
      </c>
    </row>
    <row r="2294" spans="1:28" x14ac:dyDescent="0.2">
      <c r="A2294" s="279" t="s">
        <v>395</v>
      </c>
      <c r="B2294" s="270" t="s">
        <v>162</v>
      </c>
      <c r="C2294" s="277">
        <v>44896</v>
      </c>
      <c r="D2294" s="277">
        <v>44926</v>
      </c>
      <c r="E2294" s="279" t="s">
        <v>267</v>
      </c>
      <c r="F2294" s="133" t="s">
        <v>41</v>
      </c>
      <c r="G2294" s="270" t="s">
        <v>35</v>
      </c>
      <c r="H2294" s="272" t="s">
        <v>70</v>
      </c>
      <c r="I2294" s="273">
        <v>100</v>
      </c>
      <c r="J2294" s="270">
        <v>119</v>
      </c>
      <c r="K2294" s="270">
        <f t="shared" si="0"/>
        <v>11900</v>
      </c>
      <c r="L2294" s="286">
        <f>6276-L2292</f>
        <v>5880.6614173228345</v>
      </c>
      <c r="M2294" s="286">
        <v>1000</v>
      </c>
      <c r="N2294" s="274">
        <v>440</v>
      </c>
      <c r="O2294" s="55"/>
      <c r="P2294" s="45">
        <v>440</v>
      </c>
      <c r="Q2294" s="286">
        <v>460</v>
      </c>
      <c r="R2294" s="275">
        <v>0</v>
      </c>
      <c r="S2294" s="286">
        <v>460</v>
      </c>
      <c r="T2294" s="286">
        <v>1440</v>
      </c>
      <c r="U2294" s="57">
        <v>1</v>
      </c>
      <c r="V2294" s="276">
        <v>0.19</v>
      </c>
      <c r="W2294" s="276">
        <v>0</v>
      </c>
      <c r="X2294" s="286">
        <v>1166</v>
      </c>
      <c r="Y2294" s="286">
        <v>274</v>
      </c>
      <c r="Z2294" s="45" t="b">
        <v>1</v>
      </c>
      <c r="AA2294" s="45" t="s">
        <v>38</v>
      </c>
      <c r="AB2294" s="45" t="s">
        <v>38</v>
      </c>
    </row>
    <row r="2295" spans="1:28" x14ac:dyDescent="0.2">
      <c r="A2295" s="279" t="s">
        <v>395</v>
      </c>
      <c r="B2295" s="270" t="s">
        <v>162</v>
      </c>
      <c r="C2295" s="277">
        <v>44896</v>
      </c>
      <c r="D2295" s="277">
        <v>44926</v>
      </c>
      <c r="E2295" s="279" t="s">
        <v>267</v>
      </c>
      <c r="F2295" s="133" t="s">
        <v>41</v>
      </c>
      <c r="G2295" s="270" t="s">
        <v>35</v>
      </c>
      <c r="H2295" s="272" t="s">
        <v>46</v>
      </c>
      <c r="I2295" s="273">
        <v>25</v>
      </c>
      <c r="J2295" s="270">
        <v>120</v>
      </c>
      <c r="K2295" s="270">
        <f t="shared" si="0"/>
        <v>3000</v>
      </c>
      <c r="L2295" s="286">
        <f>94-L2291</f>
        <v>88.818897637795274</v>
      </c>
      <c r="M2295" s="286">
        <v>-125</v>
      </c>
      <c r="N2295" s="274">
        <v>133</v>
      </c>
      <c r="O2295" s="55"/>
      <c r="P2295" s="45">
        <v>133</v>
      </c>
      <c r="Q2295" s="286">
        <v>-188</v>
      </c>
      <c r="R2295" s="275">
        <v>0</v>
      </c>
      <c r="S2295" s="286">
        <v>-188</v>
      </c>
      <c r="T2295" s="286">
        <v>8</v>
      </c>
      <c r="U2295" s="57">
        <v>1</v>
      </c>
      <c r="V2295" s="276">
        <v>0.19</v>
      </c>
      <c r="W2295" s="276">
        <v>0</v>
      </c>
      <c r="X2295" s="286">
        <v>6</v>
      </c>
      <c r="Y2295" s="286">
        <v>2</v>
      </c>
      <c r="Z2295" s="45" t="b">
        <v>1</v>
      </c>
      <c r="AA2295" s="45" t="s">
        <v>38</v>
      </c>
      <c r="AB2295" s="45" t="s">
        <v>38</v>
      </c>
    </row>
    <row r="2296" spans="1:28" x14ac:dyDescent="0.2">
      <c r="A2296" s="279" t="s">
        <v>395</v>
      </c>
      <c r="B2296" s="270" t="s">
        <v>162</v>
      </c>
      <c r="C2296" s="277">
        <v>44896</v>
      </c>
      <c r="D2296" s="277">
        <v>44926</v>
      </c>
      <c r="E2296" s="279" t="s">
        <v>267</v>
      </c>
      <c r="F2296" s="133" t="s">
        <v>41</v>
      </c>
      <c r="G2296" s="270" t="s">
        <v>35</v>
      </c>
      <c r="H2296" s="272" t="s">
        <v>72</v>
      </c>
      <c r="I2296" s="273">
        <v>50</v>
      </c>
      <c r="J2296" s="270">
        <v>464</v>
      </c>
      <c r="K2296" s="270">
        <f t="shared" si="0"/>
        <v>23200</v>
      </c>
      <c r="L2296" s="286">
        <f>16783-L2289</f>
        <v>16746.907526881721</v>
      </c>
      <c r="M2296" s="286">
        <v>-750</v>
      </c>
      <c r="N2296" s="274">
        <v>1030</v>
      </c>
      <c r="O2296" s="55"/>
      <c r="P2296" s="105">
        <v>1030</v>
      </c>
      <c r="Q2296" s="286">
        <v>68</v>
      </c>
      <c r="R2296" s="275">
        <v>0</v>
      </c>
      <c r="S2296" s="286">
        <v>68</v>
      </c>
      <c r="T2296" s="286">
        <v>280</v>
      </c>
      <c r="U2296" s="57">
        <v>1</v>
      </c>
      <c r="V2296" s="276">
        <v>0.19</v>
      </c>
      <c r="W2296" s="276">
        <v>0</v>
      </c>
      <c r="X2296" s="286">
        <v>227</v>
      </c>
      <c r="Y2296" s="286">
        <v>53</v>
      </c>
      <c r="Z2296" s="45" t="b">
        <v>1</v>
      </c>
      <c r="AA2296" s="45" t="s">
        <v>38</v>
      </c>
      <c r="AB2296" s="45" t="s">
        <v>38</v>
      </c>
    </row>
    <row r="2297" spans="1:28" x14ac:dyDescent="0.2">
      <c r="A2297" s="96" t="s">
        <v>561</v>
      </c>
      <c r="B2297" s="96" t="s">
        <v>79</v>
      </c>
      <c r="C2297" s="277">
        <v>44896</v>
      </c>
      <c r="D2297" s="277">
        <v>44926</v>
      </c>
      <c r="E2297" s="270" t="s">
        <v>267</v>
      </c>
      <c r="F2297" s="96" t="s">
        <v>41</v>
      </c>
      <c r="G2297" s="270" t="s">
        <v>80</v>
      </c>
      <c r="H2297" s="272" t="s">
        <v>71</v>
      </c>
      <c r="I2297" s="273">
        <v>20</v>
      </c>
      <c r="J2297" s="270">
        <v>0</v>
      </c>
      <c r="K2297" s="270">
        <f t="shared" si="0"/>
        <v>0</v>
      </c>
      <c r="L2297" s="270">
        <v>0</v>
      </c>
      <c r="M2297" s="270">
        <v>-4000</v>
      </c>
      <c r="N2297" s="274"/>
      <c r="O2297" s="55"/>
      <c r="P2297" s="96"/>
      <c r="Q2297" s="270"/>
      <c r="R2297" s="275">
        <v>0</v>
      </c>
      <c r="S2297" s="270"/>
      <c r="T2297" s="270">
        <v>-4000</v>
      </c>
      <c r="U2297" s="57">
        <v>1</v>
      </c>
      <c r="V2297" s="276">
        <v>1</v>
      </c>
      <c r="W2297" s="276">
        <v>0</v>
      </c>
      <c r="X2297" s="270">
        <v>0</v>
      </c>
      <c r="Y2297" s="270">
        <v>-4000</v>
      </c>
      <c r="Z2297" s="45" t="b">
        <v>0</v>
      </c>
      <c r="AA2297" s="45" t="s">
        <v>38</v>
      </c>
      <c r="AB2297" s="45" t="s">
        <v>38</v>
      </c>
    </row>
    <row r="2298" spans="1:28" x14ac:dyDescent="0.2">
      <c r="A2298" s="96" t="s">
        <v>561</v>
      </c>
      <c r="B2298" s="96" t="s">
        <v>79</v>
      </c>
      <c r="C2298" s="277">
        <v>44896</v>
      </c>
      <c r="D2298" s="277">
        <v>44926</v>
      </c>
      <c r="E2298" s="270" t="s">
        <v>267</v>
      </c>
      <c r="F2298" s="96" t="s">
        <v>41</v>
      </c>
      <c r="G2298" s="270" t="s">
        <v>80</v>
      </c>
      <c r="H2298" s="272" t="s">
        <v>71</v>
      </c>
      <c r="I2298" s="273">
        <v>20</v>
      </c>
      <c r="J2298" s="270">
        <v>4098</v>
      </c>
      <c r="K2298" s="270">
        <f t="shared" si="0"/>
        <v>81960</v>
      </c>
      <c r="L2298" s="270">
        <v>68536</v>
      </c>
      <c r="M2298" s="270">
        <v>-1220</v>
      </c>
      <c r="N2298" s="274">
        <v>3733.91</v>
      </c>
      <c r="O2298" s="55"/>
      <c r="P2298" s="105">
        <v>3734</v>
      </c>
      <c r="Q2298" s="270">
        <v>-2067</v>
      </c>
      <c r="R2298" s="275">
        <v>0</v>
      </c>
      <c r="S2298" s="270">
        <v>-2067</v>
      </c>
      <c r="T2298" s="270">
        <v>2514</v>
      </c>
      <c r="U2298" s="57">
        <v>1</v>
      </c>
      <c r="V2298" s="276">
        <v>0.17</v>
      </c>
      <c r="W2298" s="276">
        <v>0</v>
      </c>
      <c r="X2298" s="270">
        <v>2087</v>
      </c>
      <c r="Y2298" s="270">
        <v>427</v>
      </c>
      <c r="Z2298" s="45" t="b">
        <v>0</v>
      </c>
      <c r="AA2298" s="45" t="s">
        <v>38</v>
      </c>
      <c r="AB2298" s="45" t="s">
        <v>38</v>
      </c>
    </row>
    <row r="2299" spans="1:28" x14ac:dyDescent="0.2">
      <c r="A2299" s="96" t="s">
        <v>561</v>
      </c>
      <c r="B2299" s="96" t="s">
        <v>79</v>
      </c>
      <c r="C2299" s="277">
        <v>44896</v>
      </c>
      <c r="D2299" s="277">
        <v>44926</v>
      </c>
      <c r="E2299" s="270" t="s">
        <v>267</v>
      </c>
      <c r="F2299" s="96" t="s">
        <v>41</v>
      </c>
      <c r="G2299" s="270" t="s">
        <v>80</v>
      </c>
      <c r="H2299" s="272" t="s">
        <v>72</v>
      </c>
      <c r="I2299" s="273">
        <v>50</v>
      </c>
      <c r="J2299" s="270">
        <v>2343</v>
      </c>
      <c r="K2299" s="270">
        <f t="shared" si="0"/>
        <v>117150</v>
      </c>
      <c r="L2299" s="270">
        <v>30175</v>
      </c>
      <c r="M2299" s="270">
        <v>-4750</v>
      </c>
      <c r="N2299" s="274">
        <v>5337.09</v>
      </c>
      <c r="O2299" s="55"/>
      <c r="P2299" s="105">
        <v>5337</v>
      </c>
      <c r="Q2299" s="270">
        <v>-4251</v>
      </c>
      <c r="R2299" s="275">
        <v>0</v>
      </c>
      <c r="S2299" s="270">
        <v>-4251</v>
      </c>
      <c r="T2299" s="270">
        <v>587</v>
      </c>
      <c r="U2299" s="57">
        <v>1</v>
      </c>
      <c r="V2299" s="276">
        <v>0.17</v>
      </c>
      <c r="W2299" s="276">
        <v>0</v>
      </c>
      <c r="X2299" s="270">
        <v>487</v>
      </c>
      <c r="Y2299" s="270">
        <v>100</v>
      </c>
      <c r="Z2299" s="45" t="b">
        <v>0</v>
      </c>
      <c r="AA2299" s="45" t="s">
        <v>38</v>
      </c>
      <c r="AB2299" s="45" t="s">
        <v>38</v>
      </c>
    </row>
    <row r="2300" spans="1:28" x14ac:dyDescent="0.2">
      <c r="A2300" s="279" t="s">
        <v>600</v>
      </c>
      <c r="B2300" s="279" t="s">
        <v>117</v>
      </c>
      <c r="C2300" s="282">
        <v>44896</v>
      </c>
      <c r="D2300" s="282">
        <v>44926</v>
      </c>
      <c r="E2300" s="279" t="s">
        <v>267</v>
      </c>
      <c r="F2300" s="96" t="s">
        <v>34</v>
      </c>
      <c r="G2300" s="279" t="s">
        <v>69</v>
      </c>
      <c r="H2300" s="289" t="s">
        <v>71</v>
      </c>
      <c r="I2300" s="280">
        <v>20</v>
      </c>
      <c r="J2300" s="279">
        <v>6733</v>
      </c>
      <c r="K2300" s="270">
        <f t="shared" si="0"/>
        <v>134660</v>
      </c>
      <c r="L2300" s="279">
        <v>237283</v>
      </c>
      <c r="M2300" s="279">
        <v>1460</v>
      </c>
      <c r="N2300" s="281">
        <v>6617</v>
      </c>
      <c r="O2300" s="55"/>
      <c r="P2300" s="105">
        <v>6617</v>
      </c>
      <c r="Q2300" s="279">
        <v>261</v>
      </c>
      <c r="R2300" s="275">
        <v>1.9250000000000001E-3</v>
      </c>
      <c r="S2300" s="279">
        <v>520</v>
      </c>
      <c r="T2300" s="279">
        <v>7137</v>
      </c>
      <c r="U2300" s="57">
        <v>1</v>
      </c>
      <c r="V2300" s="276">
        <v>0.12</v>
      </c>
      <c r="W2300" s="276">
        <v>0</v>
      </c>
      <c r="X2300" s="279">
        <v>6281</v>
      </c>
      <c r="Y2300" s="279">
        <v>856</v>
      </c>
      <c r="Z2300" s="45" t="b">
        <v>0</v>
      </c>
      <c r="AA2300" s="45" t="s">
        <v>38</v>
      </c>
      <c r="AB2300" s="45" t="s">
        <v>38</v>
      </c>
    </row>
    <row r="2301" spans="1:28" x14ac:dyDescent="0.2">
      <c r="A2301" s="279" t="s">
        <v>205</v>
      </c>
      <c r="B2301" s="279" t="s">
        <v>205</v>
      </c>
      <c r="C2301" s="277">
        <v>44896</v>
      </c>
      <c r="D2301" s="277">
        <v>44926</v>
      </c>
      <c r="E2301" s="279" t="s">
        <v>267</v>
      </c>
      <c r="F2301" s="133" t="s">
        <v>41</v>
      </c>
      <c r="G2301" s="270" t="s">
        <v>35</v>
      </c>
      <c r="H2301" s="272" t="s">
        <v>40</v>
      </c>
      <c r="I2301" s="273">
        <v>10</v>
      </c>
      <c r="J2301" s="270">
        <v>1888</v>
      </c>
      <c r="K2301" s="270">
        <f t="shared" si="0"/>
        <v>18880</v>
      </c>
      <c r="L2301" s="270">
        <f>30*J2301</f>
        <v>56640</v>
      </c>
      <c r="M2301" s="270">
        <v>570</v>
      </c>
      <c r="N2301" s="274">
        <v>419</v>
      </c>
      <c r="O2301" s="55"/>
      <c r="P2301" s="45">
        <v>419</v>
      </c>
      <c r="Q2301" s="270">
        <v>-358</v>
      </c>
      <c r="R2301" s="275">
        <v>0</v>
      </c>
      <c r="S2301" s="270">
        <v>-358</v>
      </c>
      <c r="T2301" s="270">
        <v>989</v>
      </c>
      <c r="U2301" s="57">
        <v>1</v>
      </c>
      <c r="V2301" s="276">
        <v>0.3</v>
      </c>
      <c r="W2301" s="276">
        <v>0</v>
      </c>
      <c r="X2301" s="270">
        <v>692</v>
      </c>
      <c r="Y2301" s="270">
        <v>297</v>
      </c>
      <c r="Z2301" s="45" t="b">
        <v>1</v>
      </c>
      <c r="AA2301" s="45" t="s">
        <v>38</v>
      </c>
      <c r="AB2301" s="45" t="s">
        <v>38</v>
      </c>
    </row>
    <row r="2302" spans="1:28" x14ac:dyDescent="0.2">
      <c r="A2302" s="279" t="s">
        <v>205</v>
      </c>
      <c r="B2302" s="279" t="s">
        <v>205</v>
      </c>
      <c r="C2302" s="277">
        <v>44896</v>
      </c>
      <c r="D2302" s="277">
        <v>44926</v>
      </c>
      <c r="E2302" s="279" t="s">
        <v>267</v>
      </c>
      <c r="F2302" s="133" t="s">
        <v>41</v>
      </c>
      <c r="G2302" s="270" t="s">
        <v>35</v>
      </c>
      <c r="H2302" s="272" t="s">
        <v>72</v>
      </c>
      <c r="I2302" s="273">
        <v>50</v>
      </c>
      <c r="J2302" s="270">
        <v>1</v>
      </c>
      <c r="K2302" s="270">
        <f t="shared" si="0"/>
        <v>50</v>
      </c>
      <c r="L2302" s="270"/>
      <c r="M2302" s="270">
        <v>100</v>
      </c>
      <c r="N2302" s="274">
        <v>1</v>
      </c>
      <c r="O2302" s="55"/>
      <c r="P2302" s="45">
        <v>1</v>
      </c>
      <c r="Q2302" s="270"/>
      <c r="R2302" s="275">
        <v>0</v>
      </c>
      <c r="S2302" s="270"/>
      <c r="T2302" s="270">
        <v>101</v>
      </c>
      <c r="U2302" s="57">
        <v>1</v>
      </c>
      <c r="V2302" s="276">
        <v>0.3</v>
      </c>
      <c r="W2302" s="276">
        <v>0</v>
      </c>
      <c r="X2302" s="270">
        <v>71</v>
      </c>
      <c r="Y2302" s="270">
        <v>30</v>
      </c>
      <c r="Z2302" s="45" t="b">
        <v>1</v>
      </c>
      <c r="AA2302" s="45" t="s">
        <v>38</v>
      </c>
      <c r="AB2302" s="45" t="s">
        <v>38</v>
      </c>
    </row>
    <row r="2303" spans="1:28" x14ac:dyDescent="0.2">
      <c r="A2303" s="96" t="s">
        <v>33</v>
      </c>
      <c r="B2303" s="96" t="s">
        <v>33</v>
      </c>
      <c r="C2303" s="277">
        <v>44916</v>
      </c>
      <c r="D2303" s="277">
        <v>44946</v>
      </c>
      <c r="E2303" s="270" t="s">
        <v>267</v>
      </c>
      <c r="F2303" s="133" t="s">
        <v>34</v>
      </c>
      <c r="G2303" s="270" t="s">
        <v>35</v>
      </c>
      <c r="H2303" s="272" t="s">
        <v>40</v>
      </c>
      <c r="I2303" s="273">
        <v>10</v>
      </c>
      <c r="J2303" s="270">
        <v>497</v>
      </c>
      <c r="K2303" s="270">
        <f t="shared" si="0"/>
        <v>4970</v>
      </c>
      <c r="L2303" s="270">
        <v>24382</v>
      </c>
      <c r="M2303" s="270">
        <v>350</v>
      </c>
      <c r="N2303" s="274">
        <v>125</v>
      </c>
      <c r="O2303" s="55"/>
      <c r="P2303" s="45">
        <v>125</v>
      </c>
      <c r="Q2303" s="270">
        <v>42</v>
      </c>
      <c r="R2303" s="275">
        <v>1.926E-3</v>
      </c>
      <c r="S2303" s="270">
        <v>52</v>
      </c>
      <c r="T2303" s="270">
        <v>177</v>
      </c>
      <c r="U2303" s="57">
        <v>1</v>
      </c>
      <c r="V2303" s="276">
        <v>0.3</v>
      </c>
      <c r="W2303" s="276">
        <v>0</v>
      </c>
      <c r="X2303" s="270">
        <v>124</v>
      </c>
      <c r="Y2303" s="270">
        <v>53</v>
      </c>
      <c r="Z2303" s="45" t="b">
        <v>1</v>
      </c>
      <c r="AA2303" s="45" t="s">
        <v>38</v>
      </c>
      <c r="AB2303" s="45" t="s">
        <v>38</v>
      </c>
    </row>
    <row r="2304" spans="1:28" x14ac:dyDescent="0.2">
      <c r="A2304" s="96" t="s">
        <v>82</v>
      </c>
      <c r="B2304" s="96" t="s">
        <v>82</v>
      </c>
      <c r="C2304" s="277">
        <v>44916</v>
      </c>
      <c r="D2304" s="277">
        <v>44946</v>
      </c>
      <c r="E2304" s="270" t="s">
        <v>300</v>
      </c>
      <c r="F2304" s="133" t="s">
        <v>34</v>
      </c>
      <c r="G2304" s="96" t="s">
        <v>35</v>
      </c>
      <c r="H2304" s="272" t="s">
        <v>70</v>
      </c>
      <c r="I2304" s="273">
        <v>100</v>
      </c>
      <c r="J2304" s="270">
        <v>1518</v>
      </c>
      <c r="K2304" s="270">
        <f t="shared" si="0"/>
        <v>151800</v>
      </c>
      <c r="L2304" s="270">
        <v>35748</v>
      </c>
      <c r="M2304" s="270">
        <v>-700</v>
      </c>
      <c r="N2304" s="274">
        <v>2846</v>
      </c>
      <c r="O2304" s="55"/>
      <c r="P2304" s="105">
        <v>2846</v>
      </c>
      <c r="Q2304" s="270">
        <v>-1497</v>
      </c>
      <c r="R2304" s="275">
        <v>1.926E-3</v>
      </c>
      <c r="S2304" s="270">
        <v>-1205</v>
      </c>
      <c r="T2304" s="270">
        <v>1641</v>
      </c>
      <c r="U2304" s="57">
        <v>1</v>
      </c>
      <c r="V2304" s="276">
        <v>0.15</v>
      </c>
      <c r="W2304" s="276">
        <v>0.05</v>
      </c>
      <c r="X2304" s="270">
        <v>1313</v>
      </c>
      <c r="Y2304" s="270">
        <v>328</v>
      </c>
      <c r="Z2304" s="45" t="b">
        <v>0</v>
      </c>
      <c r="AA2304" s="45" t="s">
        <v>38</v>
      </c>
      <c r="AB2304" s="45" t="s">
        <v>38</v>
      </c>
    </row>
    <row r="2305" spans="1:28" x14ac:dyDescent="0.2">
      <c r="A2305" s="96" t="s">
        <v>82</v>
      </c>
      <c r="B2305" s="96" t="s">
        <v>82</v>
      </c>
      <c r="C2305" s="277">
        <v>44916</v>
      </c>
      <c r="D2305" s="277">
        <v>44946</v>
      </c>
      <c r="E2305" s="270" t="s">
        <v>300</v>
      </c>
      <c r="F2305" s="133" t="s">
        <v>34</v>
      </c>
      <c r="G2305" s="96" t="s">
        <v>35</v>
      </c>
      <c r="H2305" s="272" t="s">
        <v>84</v>
      </c>
      <c r="I2305" s="273">
        <v>100</v>
      </c>
      <c r="J2305" s="270">
        <v>1042</v>
      </c>
      <c r="K2305" s="270">
        <f t="shared" si="0"/>
        <v>104200</v>
      </c>
      <c r="L2305" s="270">
        <v>-290</v>
      </c>
      <c r="M2305" s="270">
        <v>-6100</v>
      </c>
      <c r="N2305" s="274">
        <v>1954</v>
      </c>
      <c r="O2305" s="55"/>
      <c r="P2305" s="105">
        <v>1954</v>
      </c>
      <c r="Q2305" s="270">
        <v>-5717</v>
      </c>
      <c r="R2305" s="275">
        <v>1.926E-3</v>
      </c>
      <c r="S2305" s="270">
        <v>-5517</v>
      </c>
      <c r="T2305" s="270">
        <v>-3563</v>
      </c>
      <c r="U2305" s="57">
        <v>1</v>
      </c>
      <c r="V2305" s="276">
        <v>0.15</v>
      </c>
      <c r="W2305" s="276">
        <v>0.05</v>
      </c>
      <c r="X2305" s="270">
        <v>-2850</v>
      </c>
      <c r="Y2305" s="270">
        <v>-713</v>
      </c>
      <c r="Z2305" s="45" t="b">
        <v>0</v>
      </c>
      <c r="AA2305" s="45" t="s">
        <v>38</v>
      </c>
      <c r="AB2305" s="45" t="s">
        <v>38</v>
      </c>
    </row>
    <row r="2306" spans="1:28" x14ac:dyDescent="0.2">
      <c r="A2306" s="96" t="s">
        <v>154</v>
      </c>
      <c r="B2306" s="96" t="s">
        <v>154</v>
      </c>
      <c r="C2306" s="277">
        <v>44916</v>
      </c>
      <c r="D2306" s="277">
        <v>44946</v>
      </c>
      <c r="E2306" s="279" t="s">
        <v>267</v>
      </c>
      <c r="F2306" s="96" t="s">
        <v>34</v>
      </c>
      <c r="G2306" s="270" t="s">
        <v>35</v>
      </c>
      <c r="H2306" s="272" t="s">
        <v>40</v>
      </c>
      <c r="I2306" s="280">
        <v>10</v>
      </c>
      <c r="J2306" s="279">
        <v>4462</v>
      </c>
      <c r="K2306" s="270">
        <f t="shared" si="0"/>
        <v>44620</v>
      </c>
      <c r="L2306" s="279">
        <v>163703</v>
      </c>
      <c r="M2306" s="279">
        <v>-10</v>
      </c>
      <c r="N2306" s="274">
        <v>1970</v>
      </c>
      <c r="O2306" s="55"/>
      <c r="P2306" s="105">
        <v>1970</v>
      </c>
      <c r="Q2306" s="279">
        <v>-299</v>
      </c>
      <c r="R2306" s="275">
        <v>1.926E-3</v>
      </c>
      <c r="S2306" s="279">
        <v>-213</v>
      </c>
      <c r="T2306" s="279">
        <v>1757</v>
      </c>
      <c r="U2306" s="57">
        <v>1</v>
      </c>
      <c r="V2306" s="276">
        <v>0.2</v>
      </c>
      <c r="W2306" s="276">
        <v>0</v>
      </c>
      <c r="X2306" s="279">
        <v>1405</v>
      </c>
      <c r="Y2306" s="279">
        <v>351</v>
      </c>
      <c r="Z2306" s="45" t="b">
        <v>1</v>
      </c>
      <c r="AA2306" s="45" t="s">
        <v>38</v>
      </c>
      <c r="AB2306" s="45" t="s">
        <v>38</v>
      </c>
    </row>
    <row r="2307" spans="1:28" x14ac:dyDescent="0.2">
      <c r="A2307" s="96" t="s">
        <v>89</v>
      </c>
      <c r="B2307" s="96" t="s">
        <v>89</v>
      </c>
      <c r="C2307" s="277">
        <v>44916</v>
      </c>
      <c r="D2307" s="277">
        <v>44946</v>
      </c>
      <c r="E2307" s="270" t="s">
        <v>267</v>
      </c>
      <c r="F2307" s="133" t="s">
        <v>34</v>
      </c>
      <c r="G2307" s="96" t="s">
        <v>35</v>
      </c>
      <c r="H2307" s="272" t="s">
        <v>72</v>
      </c>
      <c r="I2307" s="273">
        <v>50</v>
      </c>
      <c r="J2307" s="270">
        <v>2213</v>
      </c>
      <c r="K2307" s="270">
        <f t="shared" si="0"/>
        <v>110650</v>
      </c>
      <c r="L2307" s="270">
        <v>30259</v>
      </c>
      <c r="M2307" s="270">
        <v>-7000</v>
      </c>
      <c r="N2307" s="274">
        <v>1346</v>
      </c>
      <c r="O2307" s="55"/>
      <c r="P2307" s="105">
        <v>1346</v>
      </c>
      <c r="Q2307" s="270">
        <v>-4276</v>
      </c>
      <c r="R2307" s="275">
        <v>1.926E-3</v>
      </c>
      <c r="S2307" s="270">
        <v>-4063</v>
      </c>
      <c r="T2307" s="270">
        <v>-2717</v>
      </c>
      <c r="U2307" s="57">
        <v>1</v>
      </c>
      <c r="V2307" s="290"/>
      <c r="W2307" s="276">
        <v>0</v>
      </c>
      <c r="X2307" s="270">
        <v>-2717</v>
      </c>
      <c r="Y2307" s="270">
        <v>0</v>
      </c>
      <c r="Z2307" s="45" t="b">
        <v>0</v>
      </c>
      <c r="AA2307" s="45" t="s">
        <v>38</v>
      </c>
      <c r="AB2307" s="45" t="s">
        <v>38</v>
      </c>
    </row>
    <row r="2308" spans="1:28" x14ac:dyDescent="0.2">
      <c r="A2308" s="96" t="s">
        <v>89</v>
      </c>
      <c r="B2308" s="96" t="s">
        <v>89</v>
      </c>
      <c r="C2308" s="277">
        <v>44916</v>
      </c>
      <c r="D2308" s="277">
        <v>44946</v>
      </c>
      <c r="E2308" s="270" t="s">
        <v>267</v>
      </c>
      <c r="F2308" s="133" t="s">
        <v>41</v>
      </c>
      <c r="G2308" s="96" t="s">
        <v>35</v>
      </c>
      <c r="H2308" s="272" t="s">
        <v>39</v>
      </c>
      <c r="I2308" s="273">
        <v>5</v>
      </c>
      <c r="J2308" s="270">
        <v>2</v>
      </c>
      <c r="K2308" s="270">
        <f t="shared" si="0"/>
        <v>10</v>
      </c>
      <c r="L2308" s="270"/>
      <c r="M2308" s="270">
        <v>0</v>
      </c>
      <c r="N2308" s="274"/>
      <c r="O2308" s="55"/>
      <c r="P2308" s="96"/>
      <c r="Q2308" s="270"/>
      <c r="R2308" s="275">
        <v>0</v>
      </c>
      <c r="S2308" s="270"/>
      <c r="T2308" s="270">
        <v>0</v>
      </c>
      <c r="U2308" s="57">
        <v>1</v>
      </c>
      <c r="V2308" s="290"/>
      <c r="W2308" s="276">
        <v>0</v>
      </c>
      <c r="X2308" s="270">
        <v>0</v>
      </c>
      <c r="Y2308" s="270">
        <v>0</v>
      </c>
      <c r="Z2308" s="45" t="b">
        <v>0</v>
      </c>
      <c r="AA2308" s="45" t="s">
        <v>38</v>
      </c>
      <c r="AB2308" s="45" t="s">
        <v>38</v>
      </c>
    </row>
    <row r="2309" spans="1:28" x14ac:dyDescent="0.2">
      <c r="A2309" s="96" t="s">
        <v>89</v>
      </c>
      <c r="B2309" s="96" t="s">
        <v>89</v>
      </c>
      <c r="C2309" s="277">
        <v>44916</v>
      </c>
      <c r="D2309" s="277">
        <v>44946</v>
      </c>
      <c r="E2309" s="270" t="s">
        <v>267</v>
      </c>
      <c r="F2309" s="133" t="s">
        <v>41</v>
      </c>
      <c r="G2309" s="96" t="s">
        <v>35</v>
      </c>
      <c r="H2309" s="272" t="s">
        <v>46</v>
      </c>
      <c r="I2309" s="273">
        <v>25</v>
      </c>
      <c r="J2309" s="270">
        <v>12</v>
      </c>
      <c r="K2309" s="270">
        <f t="shared" si="0"/>
        <v>300</v>
      </c>
      <c r="L2309" s="270"/>
      <c r="M2309" s="270">
        <v>-175</v>
      </c>
      <c r="N2309" s="274">
        <v>4</v>
      </c>
      <c r="O2309" s="55"/>
      <c r="P2309" s="45">
        <v>4</v>
      </c>
      <c r="Q2309" s="270"/>
      <c r="R2309" s="275">
        <v>0</v>
      </c>
      <c r="S2309" s="270"/>
      <c r="T2309" s="270">
        <v>-171</v>
      </c>
      <c r="U2309" s="57">
        <v>1</v>
      </c>
      <c r="V2309" s="290"/>
      <c r="W2309" s="276">
        <v>0</v>
      </c>
      <c r="X2309" s="270">
        <v>-171</v>
      </c>
      <c r="Y2309" s="270">
        <v>0</v>
      </c>
      <c r="Z2309" s="45" t="b">
        <v>0</v>
      </c>
      <c r="AA2309" s="45" t="s">
        <v>38</v>
      </c>
      <c r="AB2309" s="45" t="s">
        <v>38</v>
      </c>
    </row>
    <row r="2310" spans="1:28" x14ac:dyDescent="0.2">
      <c r="A2310" s="96" t="s">
        <v>156</v>
      </c>
      <c r="B2310" s="96" t="s">
        <v>156</v>
      </c>
      <c r="C2310" s="277">
        <v>44916</v>
      </c>
      <c r="D2310" s="277">
        <v>44946</v>
      </c>
      <c r="E2310" s="270" t="s">
        <v>267</v>
      </c>
      <c r="F2310" s="133" t="s">
        <v>34</v>
      </c>
      <c r="G2310" s="96" t="s">
        <v>35</v>
      </c>
      <c r="H2310" s="272" t="s">
        <v>39</v>
      </c>
      <c r="I2310" s="273">
        <v>5</v>
      </c>
      <c r="J2310" s="270">
        <v>1258</v>
      </c>
      <c r="K2310" s="270">
        <f t="shared" si="0"/>
        <v>6290</v>
      </c>
      <c r="L2310" s="270">
        <v>64015</v>
      </c>
      <c r="M2310" s="270">
        <v>-185</v>
      </c>
      <c r="N2310" s="274">
        <v>273</v>
      </c>
      <c r="O2310" s="55"/>
      <c r="P2310" s="45">
        <v>273</v>
      </c>
      <c r="Q2310" s="270">
        <v>16</v>
      </c>
      <c r="R2310" s="275">
        <v>1.926E-3</v>
      </c>
      <c r="S2310" s="270">
        <v>28</v>
      </c>
      <c r="T2310" s="270">
        <v>301</v>
      </c>
      <c r="U2310" s="57">
        <v>1</v>
      </c>
      <c r="V2310" s="276">
        <v>0.23</v>
      </c>
      <c r="W2310" s="276">
        <v>0</v>
      </c>
      <c r="X2310" s="270">
        <v>232</v>
      </c>
      <c r="Y2310" s="270">
        <v>69</v>
      </c>
      <c r="Z2310" s="45" t="b">
        <v>1</v>
      </c>
      <c r="AA2310" s="45" t="s">
        <v>38</v>
      </c>
      <c r="AB2310" s="45" t="s">
        <v>38</v>
      </c>
    </row>
    <row r="2311" spans="1:28" x14ac:dyDescent="0.2">
      <c r="A2311" s="96" t="s">
        <v>156</v>
      </c>
      <c r="B2311" s="96" t="s">
        <v>156</v>
      </c>
      <c r="C2311" s="277">
        <v>44916</v>
      </c>
      <c r="D2311" s="277">
        <v>44946</v>
      </c>
      <c r="E2311" s="270" t="s">
        <v>267</v>
      </c>
      <c r="F2311" s="133" t="s">
        <v>34</v>
      </c>
      <c r="G2311" s="96" t="s">
        <v>35</v>
      </c>
      <c r="H2311" s="272" t="s">
        <v>40</v>
      </c>
      <c r="I2311" s="273">
        <v>10</v>
      </c>
      <c r="J2311" s="270">
        <v>1821</v>
      </c>
      <c r="K2311" s="270">
        <f t="shared" si="0"/>
        <v>18210</v>
      </c>
      <c r="L2311" s="270">
        <v>53508</v>
      </c>
      <c r="M2311" s="270">
        <v>-550</v>
      </c>
      <c r="N2311" s="274">
        <v>690</v>
      </c>
      <c r="O2311" s="55"/>
      <c r="P2311" s="45">
        <v>690</v>
      </c>
      <c r="Q2311" s="270">
        <v>-391</v>
      </c>
      <c r="R2311" s="275">
        <v>1.926E-3</v>
      </c>
      <c r="S2311" s="270">
        <v>-356</v>
      </c>
      <c r="T2311" s="270">
        <v>334</v>
      </c>
      <c r="U2311" s="57">
        <v>1</v>
      </c>
      <c r="V2311" s="276">
        <v>0.23</v>
      </c>
      <c r="W2311" s="276">
        <v>0</v>
      </c>
      <c r="X2311" s="270">
        <v>257</v>
      </c>
      <c r="Y2311" s="270">
        <v>77</v>
      </c>
      <c r="Z2311" s="45" t="b">
        <v>1</v>
      </c>
      <c r="AA2311" s="45" t="s">
        <v>38</v>
      </c>
      <c r="AB2311" s="45" t="s">
        <v>38</v>
      </c>
    </row>
    <row r="2312" spans="1:28" x14ac:dyDescent="0.2">
      <c r="A2312" s="96" t="s">
        <v>156</v>
      </c>
      <c r="B2312" s="96" t="s">
        <v>156</v>
      </c>
      <c r="C2312" s="277">
        <v>44916</v>
      </c>
      <c r="D2312" s="277">
        <v>44946</v>
      </c>
      <c r="E2312" s="270" t="s">
        <v>267</v>
      </c>
      <c r="F2312" s="96" t="s">
        <v>41</v>
      </c>
      <c r="G2312" s="96" t="s">
        <v>35</v>
      </c>
      <c r="H2312" s="272" t="s">
        <v>36</v>
      </c>
      <c r="I2312" s="273">
        <v>2</v>
      </c>
      <c r="J2312" s="270">
        <v>314</v>
      </c>
      <c r="K2312" s="270">
        <f t="shared" si="0"/>
        <v>628</v>
      </c>
      <c r="L2312" s="270"/>
      <c r="M2312" s="270">
        <v>52</v>
      </c>
      <c r="N2312" s="274">
        <v>27</v>
      </c>
      <c r="O2312" s="55"/>
      <c r="P2312" s="45">
        <v>27</v>
      </c>
      <c r="Q2312" s="270"/>
      <c r="R2312" s="275">
        <v>0</v>
      </c>
      <c r="S2312" s="270"/>
      <c r="T2312" s="270">
        <v>79</v>
      </c>
      <c r="U2312" s="57">
        <v>1</v>
      </c>
      <c r="V2312" s="276">
        <v>0.23</v>
      </c>
      <c r="W2312" s="276">
        <v>0</v>
      </c>
      <c r="X2312" s="270">
        <v>61</v>
      </c>
      <c r="Y2312" s="270">
        <v>18</v>
      </c>
      <c r="Z2312" s="45" t="b">
        <v>1</v>
      </c>
      <c r="AA2312" s="45" t="s">
        <v>38</v>
      </c>
      <c r="AB2312" s="45" t="s">
        <v>38</v>
      </c>
    </row>
    <row r="2313" spans="1:28" x14ac:dyDescent="0.2">
      <c r="A2313" s="96" t="s">
        <v>125</v>
      </c>
      <c r="B2313" s="96" t="s">
        <v>125</v>
      </c>
      <c r="C2313" s="277">
        <v>44916</v>
      </c>
      <c r="D2313" s="277">
        <v>44946</v>
      </c>
      <c r="E2313" s="270" t="s">
        <v>267</v>
      </c>
      <c r="F2313" s="96" t="s">
        <v>34</v>
      </c>
      <c r="G2313" s="270" t="s">
        <v>35</v>
      </c>
      <c r="H2313" s="272" t="s">
        <v>40</v>
      </c>
      <c r="I2313" s="273">
        <v>10</v>
      </c>
      <c r="J2313" s="270">
        <v>326</v>
      </c>
      <c r="K2313" s="270">
        <f t="shared" si="0"/>
        <v>3260</v>
      </c>
      <c r="L2313" s="270">
        <v>18843</v>
      </c>
      <c r="M2313" s="270">
        <v>440</v>
      </c>
      <c r="N2313" s="274">
        <v>75</v>
      </c>
      <c r="O2313" s="55"/>
      <c r="P2313" s="45">
        <v>75</v>
      </c>
      <c r="Q2313" s="270">
        <v>104</v>
      </c>
      <c r="R2313" s="275">
        <v>1.926E-3</v>
      </c>
      <c r="S2313" s="270">
        <v>111</v>
      </c>
      <c r="T2313" s="270">
        <v>186</v>
      </c>
      <c r="U2313" s="57">
        <v>1</v>
      </c>
      <c r="V2313" s="276">
        <v>0.3</v>
      </c>
      <c r="W2313" s="276">
        <v>0</v>
      </c>
      <c r="X2313" s="270">
        <v>130</v>
      </c>
      <c r="Y2313" s="270">
        <v>56</v>
      </c>
      <c r="Z2313" s="45" t="b">
        <v>0</v>
      </c>
      <c r="AA2313" s="45" t="s">
        <v>38</v>
      </c>
      <c r="AB2313" s="45" t="s">
        <v>38</v>
      </c>
    </row>
    <row r="2314" spans="1:28" x14ac:dyDescent="0.2">
      <c r="A2314" s="96" t="s">
        <v>402</v>
      </c>
      <c r="B2314" s="96" t="s">
        <v>163</v>
      </c>
      <c r="C2314" s="277">
        <v>44916</v>
      </c>
      <c r="D2314" s="277">
        <v>44946</v>
      </c>
      <c r="E2314" s="270" t="s">
        <v>267</v>
      </c>
      <c r="F2314" s="133" t="s">
        <v>34</v>
      </c>
      <c r="G2314" s="270" t="s">
        <v>35</v>
      </c>
      <c r="H2314" s="272" t="s">
        <v>40</v>
      </c>
      <c r="I2314" s="273">
        <v>10</v>
      </c>
      <c r="J2314" s="270">
        <v>46</v>
      </c>
      <c r="K2314" s="270">
        <f t="shared" si="0"/>
        <v>460</v>
      </c>
      <c r="L2314" s="270">
        <v>192</v>
      </c>
      <c r="M2314" s="270">
        <v>-40</v>
      </c>
      <c r="N2314" s="274">
        <v>17</v>
      </c>
      <c r="O2314" s="55"/>
      <c r="P2314" s="45">
        <v>17</v>
      </c>
      <c r="Q2314" s="270">
        <v>-31</v>
      </c>
      <c r="R2314" s="275">
        <v>1.926E-3</v>
      </c>
      <c r="S2314" s="270">
        <v>-30</v>
      </c>
      <c r="T2314" s="270">
        <v>-13</v>
      </c>
      <c r="U2314" s="57">
        <v>1</v>
      </c>
      <c r="V2314" s="276">
        <v>0.25</v>
      </c>
      <c r="W2314" s="276">
        <v>0</v>
      </c>
      <c r="X2314" s="270">
        <v>-10</v>
      </c>
      <c r="Y2314" s="270">
        <v>-3</v>
      </c>
      <c r="Z2314" s="45" t="b">
        <v>1</v>
      </c>
      <c r="AA2314" s="45" t="s">
        <v>38</v>
      </c>
      <c r="AB2314" s="45" t="s">
        <v>38</v>
      </c>
    </row>
    <row r="2315" spans="1:28" x14ac:dyDescent="0.2">
      <c r="A2315" s="96" t="s">
        <v>402</v>
      </c>
      <c r="B2315" s="96" t="s">
        <v>163</v>
      </c>
      <c r="C2315" s="277">
        <v>44916</v>
      </c>
      <c r="D2315" s="277">
        <v>44946</v>
      </c>
      <c r="E2315" s="270" t="s">
        <v>267</v>
      </c>
      <c r="F2315" s="133" t="s">
        <v>34</v>
      </c>
      <c r="G2315" s="270" t="s">
        <v>35</v>
      </c>
      <c r="H2315" s="272" t="s">
        <v>46</v>
      </c>
      <c r="I2315" s="273">
        <v>25</v>
      </c>
      <c r="J2315" s="270">
        <v>3257</v>
      </c>
      <c r="K2315" s="270">
        <f t="shared" si="0"/>
        <v>81425</v>
      </c>
      <c r="L2315" s="270">
        <v>104822</v>
      </c>
      <c r="M2315" s="270">
        <v>-2400</v>
      </c>
      <c r="N2315" s="274">
        <v>2553</v>
      </c>
      <c r="O2315" s="55"/>
      <c r="P2315" s="105">
        <v>2553</v>
      </c>
      <c r="Q2315" s="270">
        <v>-465</v>
      </c>
      <c r="R2315" s="275">
        <v>1.926E-3</v>
      </c>
      <c r="S2315" s="270">
        <v>-308</v>
      </c>
      <c r="T2315" s="270">
        <v>2245</v>
      </c>
      <c r="U2315" s="57">
        <v>1</v>
      </c>
      <c r="V2315" s="276">
        <v>0.25</v>
      </c>
      <c r="W2315" s="276">
        <v>0</v>
      </c>
      <c r="X2315" s="270">
        <v>1684</v>
      </c>
      <c r="Y2315" s="270">
        <v>561</v>
      </c>
      <c r="Z2315" s="45" t="b">
        <v>1</v>
      </c>
      <c r="AA2315" s="45" t="s">
        <v>38</v>
      </c>
      <c r="AB2315" s="45" t="s">
        <v>38</v>
      </c>
    </row>
    <row r="2316" spans="1:28" x14ac:dyDescent="0.2">
      <c r="A2316" s="279" t="s">
        <v>169</v>
      </c>
      <c r="B2316" s="279" t="s">
        <v>169</v>
      </c>
      <c r="C2316" s="277">
        <v>44916</v>
      </c>
      <c r="D2316" s="277">
        <v>44946</v>
      </c>
      <c r="E2316" s="279" t="s">
        <v>267</v>
      </c>
      <c r="F2316" s="133" t="s">
        <v>34</v>
      </c>
      <c r="G2316" s="270" t="s">
        <v>35</v>
      </c>
      <c r="H2316" s="272" t="s">
        <v>39</v>
      </c>
      <c r="I2316" s="280">
        <v>5</v>
      </c>
      <c r="J2316" s="279">
        <v>4</v>
      </c>
      <c r="K2316" s="270">
        <f t="shared" si="0"/>
        <v>20</v>
      </c>
      <c r="L2316" s="279">
        <v>-521</v>
      </c>
      <c r="M2316" s="279">
        <v>-10</v>
      </c>
      <c r="N2316" s="274">
        <v>1</v>
      </c>
      <c r="O2316" s="55"/>
      <c r="P2316" s="45">
        <v>1</v>
      </c>
      <c r="Q2316" s="279">
        <v>-6</v>
      </c>
      <c r="R2316" s="275">
        <v>1.926E-3</v>
      </c>
      <c r="S2316" s="279">
        <v>-6</v>
      </c>
      <c r="T2316" s="279">
        <v>-5</v>
      </c>
      <c r="U2316" s="57">
        <v>1</v>
      </c>
      <c r="V2316" s="276">
        <v>0.3</v>
      </c>
      <c r="W2316" s="276">
        <v>0</v>
      </c>
      <c r="X2316" s="279">
        <v>-4</v>
      </c>
      <c r="Y2316" s="279">
        <v>-2</v>
      </c>
      <c r="Z2316" s="45" t="b">
        <v>1</v>
      </c>
      <c r="AA2316" s="45" t="s">
        <v>38</v>
      </c>
      <c r="AB2316" s="45" t="s">
        <v>38</v>
      </c>
    </row>
    <row r="2317" spans="1:28" x14ac:dyDescent="0.2">
      <c r="A2317" s="279" t="s">
        <v>169</v>
      </c>
      <c r="B2317" s="279" t="s">
        <v>169</v>
      </c>
      <c r="C2317" s="277">
        <v>44916</v>
      </c>
      <c r="D2317" s="277">
        <v>44946</v>
      </c>
      <c r="E2317" s="279" t="s">
        <v>267</v>
      </c>
      <c r="F2317" s="133" t="s">
        <v>34</v>
      </c>
      <c r="G2317" s="270" t="s">
        <v>35</v>
      </c>
      <c r="H2317" s="272" t="s">
        <v>40</v>
      </c>
      <c r="I2317" s="280">
        <v>10</v>
      </c>
      <c r="J2317" s="279">
        <v>1421</v>
      </c>
      <c r="K2317" s="270">
        <f t="shared" si="0"/>
        <v>14210</v>
      </c>
      <c r="L2317" s="279">
        <v>70804</v>
      </c>
      <c r="M2317" s="279">
        <v>40</v>
      </c>
      <c r="N2317" s="274">
        <v>653</v>
      </c>
      <c r="O2317" s="55"/>
      <c r="P2317" s="45">
        <v>653</v>
      </c>
      <c r="Q2317" s="279">
        <v>247</v>
      </c>
      <c r="R2317" s="275">
        <v>1.926E-3</v>
      </c>
      <c r="S2317" s="279">
        <v>275</v>
      </c>
      <c r="T2317" s="279">
        <v>928</v>
      </c>
      <c r="U2317" s="57">
        <v>1</v>
      </c>
      <c r="V2317" s="276">
        <v>0.3</v>
      </c>
      <c r="W2317" s="276">
        <v>0</v>
      </c>
      <c r="X2317" s="279">
        <v>649</v>
      </c>
      <c r="Y2317" s="279">
        <v>278</v>
      </c>
      <c r="Z2317" s="45" t="b">
        <v>1</v>
      </c>
      <c r="AA2317" s="45" t="s">
        <v>38</v>
      </c>
      <c r="AB2317" s="45" t="s">
        <v>38</v>
      </c>
    </row>
    <row r="2318" spans="1:28" x14ac:dyDescent="0.2">
      <c r="A2318" s="279" t="s">
        <v>169</v>
      </c>
      <c r="B2318" s="279" t="s">
        <v>169</v>
      </c>
      <c r="C2318" s="277">
        <v>44916</v>
      </c>
      <c r="D2318" s="277">
        <v>44946</v>
      </c>
      <c r="E2318" s="279" t="s">
        <v>267</v>
      </c>
      <c r="F2318" s="133" t="s">
        <v>34</v>
      </c>
      <c r="G2318" s="270" t="s">
        <v>35</v>
      </c>
      <c r="H2318" s="272" t="s">
        <v>46</v>
      </c>
      <c r="I2318" s="280">
        <v>25</v>
      </c>
      <c r="J2318" s="279">
        <v>2900</v>
      </c>
      <c r="K2318" s="270">
        <f t="shared" si="0"/>
        <v>72500</v>
      </c>
      <c r="L2318" s="279">
        <v>105017</v>
      </c>
      <c r="M2318" s="279">
        <v>-375</v>
      </c>
      <c r="N2318" s="274">
        <v>2858</v>
      </c>
      <c r="O2318" s="55"/>
      <c r="P2318" s="105">
        <v>2858</v>
      </c>
      <c r="Q2318" s="279">
        <v>228</v>
      </c>
      <c r="R2318" s="275">
        <v>1.926E-3</v>
      </c>
      <c r="S2318" s="279">
        <v>368</v>
      </c>
      <c r="T2318" s="279">
        <v>3226</v>
      </c>
      <c r="U2318" s="57">
        <v>1</v>
      </c>
      <c r="V2318" s="276">
        <v>0.3</v>
      </c>
      <c r="W2318" s="276">
        <v>0</v>
      </c>
      <c r="X2318" s="279">
        <v>2258</v>
      </c>
      <c r="Y2318" s="279">
        <v>968</v>
      </c>
      <c r="Z2318" s="45" t="b">
        <v>1</v>
      </c>
      <c r="AA2318" s="45" t="s">
        <v>38</v>
      </c>
      <c r="AB2318" s="45" t="s">
        <v>38</v>
      </c>
    </row>
    <row r="2319" spans="1:28" x14ac:dyDescent="0.2">
      <c r="A2319" s="279" t="s">
        <v>169</v>
      </c>
      <c r="B2319" s="279" t="s">
        <v>169</v>
      </c>
      <c r="C2319" s="277">
        <v>44916</v>
      </c>
      <c r="D2319" s="277">
        <v>44946</v>
      </c>
      <c r="E2319" s="279" t="s">
        <v>267</v>
      </c>
      <c r="F2319" s="133" t="s">
        <v>34</v>
      </c>
      <c r="G2319" s="270" t="s">
        <v>35</v>
      </c>
      <c r="H2319" s="272" t="s">
        <v>72</v>
      </c>
      <c r="I2319" s="280">
        <v>50</v>
      </c>
      <c r="J2319" s="279">
        <v>930</v>
      </c>
      <c r="K2319" s="270">
        <f t="shared" si="0"/>
        <v>46500</v>
      </c>
      <c r="L2319" s="279">
        <v>-20402</v>
      </c>
      <c r="M2319" s="279">
        <v>-7750</v>
      </c>
      <c r="N2319" s="274">
        <v>1833</v>
      </c>
      <c r="O2319" s="55"/>
      <c r="P2319" s="105">
        <v>1833</v>
      </c>
      <c r="Q2319" s="279">
        <v>-4868</v>
      </c>
      <c r="R2319" s="275">
        <v>1.926E-3</v>
      </c>
      <c r="S2319" s="279">
        <v>-4778</v>
      </c>
      <c r="T2319" s="279">
        <v>-2945</v>
      </c>
      <c r="U2319" s="57">
        <v>1</v>
      </c>
      <c r="V2319" s="276">
        <v>0.3</v>
      </c>
      <c r="W2319" s="276">
        <v>0</v>
      </c>
      <c r="X2319" s="279">
        <v>-2062</v>
      </c>
      <c r="Y2319" s="279">
        <v>-884</v>
      </c>
      <c r="Z2319" s="45" t="b">
        <v>1</v>
      </c>
      <c r="AA2319" s="45" t="s">
        <v>38</v>
      </c>
      <c r="AB2319" s="45" t="s">
        <v>38</v>
      </c>
    </row>
    <row r="2320" spans="1:28" x14ac:dyDescent="0.2">
      <c r="A2320" s="279" t="s">
        <v>180</v>
      </c>
      <c r="B2320" s="279" t="s">
        <v>180</v>
      </c>
      <c r="C2320" s="282">
        <v>44916</v>
      </c>
      <c r="D2320" s="282">
        <v>44946</v>
      </c>
      <c r="E2320" s="279" t="s">
        <v>267</v>
      </c>
      <c r="F2320" s="133" t="s">
        <v>34</v>
      </c>
      <c r="G2320" s="279" t="s">
        <v>61</v>
      </c>
      <c r="H2320" s="289" t="s">
        <v>55</v>
      </c>
      <c r="I2320" s="280">
        <v>10</v>
      </c>
      <c r="J2320" s="279">
        <v>3726</v>
      </c>
      <c r="K2320" s="270">
        <f t="shared" si="0"/>
        <v>37260</v>
      </c>
      <c r="L2320" s="279">
        <v>182574</v>
      </c>
      <c r="M2320" s="279">
        <v>-369</v>
      </c>
      <c r="N2320" s="281">
        <v>1150.25</v>
      </c>
      <c r="O2320" s="55"/>
      <c r="P2320" s="105">
        <v>1150</v>
      </c>
      <c r="Q2320" s="279">
        <v>35</v>
      </c>
      <c r="R2320" s="275">
        <v>1.926E-3</v>
      </c>
      <c r="S2320" s="279">
        <v>107</v>
      </c>
      <c r="T2320" s="279">
        <v>1257</v>
      </c>
      <c r="U2320" s="57">
        <v>1</v>
      </c>
      <c r="V2320" s="290"/>
      <c r="W2320" s="276">
        <v>0</v>
      </c>
      <c r="X2320" s="279">
        <v>1257</v>
      </c>
      <c r="Y2320" s="279">
        <v>0</v>
      </c>
      <c r="Z2320" s="45" t="b">
        <v>0</v>
      </c>
      <c r="AA2320" s="45" t="s">
        <v>50</v>
      </c>
      <c r="AB2320" s="45" t="s">
        <v>50</v>
      </c>
    </row>
    <row r="2321" spans="1:28" x14ac:dyDescent="0.2">
      <c r="A2321" s="279" t="s">
        <v>180</v>
      </c>
      <c r="B2321" s="279" t="s">
        <v>180</v>
      </c>
      <c r="C2321" s="282">
        <v>44916</v>
      </c>
      <c r="D2321" s="282">
        <v>44946</v>
      </c>
      <c r="E2321" s="279" t="s">
        <v>267</v>
      </c>
      <c r="F2321" s="133" t="s">
        <v>34</v>
      </c>
      <c r="G2321" s="279" t="s">
        <v>61</v>
      </c>
      <c r="H2321" s="289" t="s">
        <v>167</v>
      </c>
      <c r="I2321" s="280">
        <v>25</v>
      </c>
      <c r="J2321" s="279">
        <v>1666</v>
      </c>
      <c r="K2321" s="270">
        <f t="shared" si="0"/>
        <v>41650</v>
      </c>
      <c r="L2321" s="279">
        <v>44982</v>
      </c>
      <c r="M2321" s="279">
        <v>-1222</v>
      </c>
      <c r="N2321" s="281">
        <v>14.75</v>
      </c>
      <c r="O2321" s="55"/>
      <c r="P2321" s="45">
        <v>15</v>
      </c>
      <c r="Q2321" s="279">
        <v>-1615</v>
      </c>
      <c r="R2321" s="275">
        <v>1.926E-3</v>
      </c>
      <c r="S2321" s="279">
        <v>-1535</v>
      </c>
      <c r="T2321" s="279">
        <v>-1520</v>
      </c>
      <c r="U2321" s="57">
        <v>1</v>
      </c>
      <c r="V2321" s="290"/>
      <c r="W2321" s="276">
        <v>0</v>
      </c>
      <c r="X2321" s="279">
        <v>-1520</v>
      </c>
      <c r="Y2321" s="279">
        <v>0</v>
      </c>
      <c r="Z2321" s="45" t="b">
        <v>0</v>
      </c>
      <c r="AA2321" s="45" t="s">
        <v>50</v>
      </c>
      <c r="AB2321" s="45" t="s">
        <v>50</v>
      </c>
    </row>
    <row r="2322" spans="1:28" x14ac:dyDescent="0.2">
      <c r="A2322" s="279" t="s">
        <v>170</v>
      </c>
      <c r="B2322" s="279" t="s">
        <v>170</v>
      </c>
      <c r="C2322" s="277">
        <v>44916</v>
      </c>
      <c r="D2322" s="277">
        <v>44946</v>
      </c>
      <c r="E2322" s="279" t="s">
        <v>267</v>
      </c>
      <c r="F2322" s="133" t="s">
        <v>34</v>
      </c>
      <c r="G2322" s="270" t="s">
        <v>35</v>
      </c>
      <c r="H2322" s="289" t="s">
        <v>40</v>
      </c>
      <c r="I2322" s="280">
        <v>10</v>
      </c>
      <c r="J2322" s="279">
        <v>241</v>
      </c>
      <c r="K2322" s="270">
        <f t="shared" si="0"/>
        <v>2410</v>
      </c>
      <c r="L2322" s="279">
        <v>9442</v>
      </c>
      <c r="M2322" s="279">
        <v>-90</v>
      </c>
      <c r="N2322" s="274">
        <v>86</v>
      </c>
      <c r="O2322" s="55"/>
      <c r="P2322" s="45">
        <v>86</v>
      </c>
      <c r="Q2322" s="279">
        <v>-8</v>
      </c>
      <c r="R2322" s="275">
        <v>1.926E-3</v>
      </c>
      <c r="S2322" s="279">
        <v>-3</v>
      </c>
      <c r="T2322" s="279">
        <v>83</v>
      </c>
      <c r="U2322" s="57">
        <v>1</v>
      </c>
      <c r="V2322" s="276">
        <v>0.23</v>
      </c>
      <c r="W2322" s="276">
        <v>0</v>
      </c>
      <c r="X2322" s="279">
        <v>64</v>
      </c>
      <c r="Y2322" s="279">
        <v>19</v>
      </c>
      <c r="Z2322" s="45" t="b">
        <v>1</v>
      </c>
      <c r="AA2322" s="45" t="s">
        <v>38</v>
      </c>
      <c r="AB2322" s="45" t="s">
        <v>38</v>
      </c>
    </row>
    <row r="2323" spans="1:28" x14ac:dyDescent="0.2">
      <c r="A2323" s="279" t="s">
        <v>170</v>
      </c>
      <c r="B2323" s="279" t="s">
        <v>170</v>
      </c>
      <c r="C2323" s="277">
        <v>44916</v>
      </c>
      <c r="D2323" s="277">
        <v>44946</v>
      </c>
      <c r="E2323" s="279" t="s">
        <v>267</v>
      </c>
      <c r="F2323" s="133" t="s">
        <v>34</v>
      </c>
      <c r="G2323" s="270" t="s">
        <v>35</v>
      </c>
      <c r="H2323" s="289" t="s">
        <v>46</v>
      </c>
      <c r="I2323" s="280">
        <v>25</v>
      </c>
      <c r="J2323" s="279">
        <v>539</v>
      </c>
      <c r="K2323" s="270">
        <f t="shared" si="0"/>
        <v>13475</v>
      </c>
      <c r="L2323" s="279">
        <v>18652</v>
      </c>
      <c r="M2323" s="279">
        <v>-175</v>
      </c>
      <c r="N2323" s="274">
        <v>413</v>
      </c>
      <c r="O2323" s="55"/>
      <c r="P2323" s="45">
        <v>413</v>
      </c>
      <c r="Q2323" s="279">
        <v>-9</v>
      </c>
      <c r="R2323" s="275">
        <v>1.926E-3</v>
      </c>
      <c r="S2323" s="279">
        <v>17</v>
      </c>
      <c r="T2323" s="279">
        <v>430</v>
      </c>
      <c r="U2323" s="57">
        <v>1</v>
      </c>
      <c r="V2323" s="276">
        <v>0.23</v>
      </c>
      <c r="W2323" s="276">
        <v>0</v>
      </c>
      <c r="X2323" s="279">
        <v>331</v>
      </c>
      <c r="Y2323" s="279">
        <v>99</v>
      </c>
      <c r="Z2323" s="45" t="b">
        <v>1</v>
      </c>
      <c r="AA2323" s="45" t="s">
        <v>38</v>
      </c>
      <c r="AB2323" s="45" t="s">
        <v>38</v>
      </c>
    </row>
    <row r="2324" spans="1:28" x14ac:dyDescent="0.2">
      <c r="A2324" s="279" t="s">
        <v>170</v>
      </c>
      <c r="B2324" s="279" t="s">
        <v>171</v>
      </c>
      <c r="C2324" s="277">
        <v>44916</v>
      </c>
      <c r="D2324" s="277">
        <v>44946</v>
      </c>
      <c r="E2324" s="279" t="s">
        <v>267</v>
      </c>
      <c r="F2324" s="133" t="s">
        <v>34</v>
      </c>
      <c r="G2324" s="270" t="s">
        <v>165</v>
      </c>
      <c r="H2324" s="289" t="s">
        <v>166</v>
      </c>
      <c r="I2324" s="280">
        <v>10</v>
      </c>
      <c r="J2324" s="279">
        <v>51</v>
      </c>
      <c r="K2324" s="270">
        <f t="shared" si="0"/>
        <v>510</v>
      </c>
      <c r="L2324" s="279">
        <v>3693</v>
      </c>
      <c r="M2324" s="279">
        <v>40</v>
      </c>
      <c r="N2324" s="274"/>
      <c r="O2324" s="55"/>
      <c r="P2324" s="96"/>
      <c r="Q2324" s="279">
        <v>30</v>
      </c>
      <c r="R2324" s="275">
        <v>1.926E-3</v>
      </c>
      <c r="S2324" s="279">
        <v>31</v>
      </c>
      <c r="T2324" s="279">
        <v>31</v>
      </c>
      <c r="U2324" s="57">
        <v>1.0860000000000001</v>
      </c>
      <c r="V2324" s="276">
        <v>0.23</v>
      </c>
      <c r="W2324" s="276">
        <v>0</v>
      </c>
      <c r="X2324" s="279">
        <v>26</v>
      </c>
      <c r="Y2324" s="279">
        <v>8</v>
      </c>
      <c r="Z2324" s="45" t="b">
        <v>1</v>
      </c>
      <c r="AA2324" s="45" t="s">
        <v>38</v>
      </c>
      <c r="AB2324" s="45" t="s">
        <v>50</v>
      </c>
    </row>
    <row r="2325" spans="1:28" x14ac:dyDescent="0.2">
      <c r="A2325" s="279" t="s">
        <v>170</v>
      </c>
      <c r="B2325" s="279" t="s">
        <v>171</v>
      </c>
      <c r="C2325" s="277">
        <v>44916</v>
      </c>
      <c r="D2325" s="277">
        <v>44946</v>
      </c>
      <c r="E2325" s="279" t="s">
        <v>267</v>
      </c>
      <c r="F2325" s="133" t="s">
        <v>34</v>
      </c>
      <c r="G2325" s="270" t="s">
        <v>165</v>
      </c>
      <c r="H2325" s="289" t="s">
        <v>167</v>
      </c>
      <c r="I2325" s="280">
        <v>25</v>
      </c>
      <c r="J2325" s="279">
        <v>1582</v>
      </c>
      <c r="K2325" s="270">
        <f t="shared" si="0"/>
        <v>39550</v>
      </c>
      <c r="L2325" s="279">
        <v>86923</v>
      </c>
      <c r="M2325" s="279">
        <v>-25</v>
      </c>
      <c r="N2325" s="274"/>
      <c r="O2325" s="55"/>
      <c r="P2325" s="96"/>
      <c r="Q2325" s="279">
        <v>1023</v>
      </c>
      <c r="R2325" s="275">
        <v>1.926E-3</v>
      </c>
      <c r="S2325" s="279">
        <v>1099</v>
      </c>
      <c r="T2325" s="279">
        <v>1099</v>
      </c>
      <c r="U2325" s="57">
        <v>1.0860000000000001</v>
      </c>
      <c r="V2325" s="276">
        <v>0.23</v>
      </c>
      <c r="W2325" s="276">
        <v>0</v>
      </c>
      <c r="X2325" s="279">
        <v>919</v>
      </c>
      <c r="Y2325" s="279">
        <v>275</v>
      </c>
      <c r="Z2325" s="45" t="b">
        <v>1</v>
      </c>
      <c r="AA2325" s="45" t="s">
        <v>38</v>
      </c>
      <c r="AB2325" s="45" t="s">
        <v>50</v>
      </c>
    </row>
    <row r="2326" spans="1:28" x14ac:dyDescent="0.2">
      <c r="A2326" s="279" t="s">
        <v>91</v>
      </c>
      <c r="B2326" s="279" t="s">
        <v>96</v>
      </c>
      <c r="C2326" s="282">
        <v>44916</v>
      </c>
      <c r="D2326" s="277">
        <v>44946</v>
      </c>
      <c r="E2326" s="279" t="s">
        <v>267</v>
      </c>
      <c r="F2326" s="133" t="s">
        <v>34</v>
      </c>
      <c r="G2326" s="279" t="s">
        <v>35</v>
      </c>
      <c r="H2326" s="272" t="s">
        <v>46</v>
      </c>
      <c r="I2326" s="273">
        <v>25</v>
      </c>
      <c r="J2326" s="270">
        <v>3</v>
      </c>
      <c r="K2326" s="270">
        <f t="shared" si="0"/>
        <v>75</v>
      </c>
      <c r="L2326" s="270">
        <v>794</v>
      </c>
      <c r="M2326" s="270">
        <v>-75</v>
      </c>
      <c r="N2326" s="274">
        <v>2</v>
      </c>
      <c r="O2326" s="55"/>
      <c r="P2326" s="45">
        <v>2</v>
      </c>
      <c r="Q2326" s="270">
        <v>32</v>
      </c>
      <c r="R2326" s="275">
        <v>1.926E-3</v>
      </c>
      <c r="S2326" s="270">
        <v>32</v>
      </c>
      <c r="T2326" s="270">
        <v>34</v>
      </c>
      <c r="U2326" s="57">
        <v>1</v>
      </c>
      <c r="V2326" s="290"/>
      <c r="W2326" s="276">
        <v>0</v>
      </c>
      <c r="X2326" s="270">
        <v>34</v>
      </c>
      <c r="Y2326" s="270">
        <v>0</v>
      </c>
      <c r="Z2326" s="45" t="b">
        <v>0</v>
      </c>
      <c r="AA2326" s="45" t="s">
        <v>38</v>
      </c>
      <c r="AB2326" s="45" t="s">
        <v>38</v>
      </c>
    </row>
    <row r="2327" spans="1:28" x14ac:dyDescent="0.2">
      <c r="A2327" s="279" t="s">
        <v>91</v>
      </c>
      <c r="B2327" s="279" t="s">
        <v>96</v>
      </c>
      <c r="C2327" s="282">
        <v>44916</v>
      </c>
      <c r="D2327" s="277">
        <v>44946</v>
      </c>
      <c r="E2327" s="279" t="s">
        <v>267</v>
      </c>
      <c r="F2327" s="133" t="s">
        <v>34</v>
      </c>
      <c r="G2327" s="279" t="s">
        <v>35</v>
      </c>
      <c r="H2327" s="272" t="s">
        <v>72</v>
      </c>
      <c r="I2327" s="273">
        <v>50</v>
      </c>
      <c r="J2327" s="270">
        <v>210</v>
      </c>
      <c r="K2327" s="270">
        <f t="shared" si="0"/>
        <v>10500</v>
      </c>
      <c r="L2327" s="270">
        <v>339</v>
      </c>
      <c r="M2327" s="270">
        <v>-1400</v>
      </c>
      <c r="N2327" s="274">
        <v>288</v>
      </c>
      <c r="O2327" s="55"/>
      <c r="P2327" s="45">
        <v>288</v>
      </c>
      <c r="Q2327" s="270">
        <v>-641</v>
      </c>
      <c r="R2327" s="275">
        <v>1.926E-3</v>
      </c>
      <c r="S2327" s="270">
        <v>-620</v>
      </c>
      <c r="T2327" s="270">
        <v>-332</v>
      </c>
      <c r="U2327" s="57">
        <v>1</v>
      </c>
      <c r="V2327" s="290"/>
      <c r="W2327" s="276">
        <v>0</v>
      </c>
      <c r="X2327" s="270">
        <v>-332</v>
      </c>
      <c r="Y2327" s="270">
        <v>0</v>
      </c>
      <c r="Z2327" s="45" t="b">
        <v>0</v>
      </c>
      <c r="AA2327" s="45" t="s">
        <v>38</v>
      </c>
      <c r="AB2327" s="45" t="s">
        <v>38</v>
      </c>
    </row>
    <row r="2328" spans="1:28" x14ac:dyDescent="0.2">
      <c r="A2328" s="96" t="s">
        <v>172</v>
      </c>
      <c r="B2328" s="96" t="s">
        <v>172</v>
      </c>
      <c r="C2328" s="277">
        <v>44916</v>
      </c>
      <c r="D2328" s="277">
        <v>44946</v>
      </c>
      <c r="E2328" s="270" t="s">
        <v>300</v>
      </c>
      <c r="F2328" s="133" t="s">
        <v>34</v>
      </c>
      <c r="G2328" s="96" t="s">
        <v>35</v>
      </c>
      <c r="H2328" s="272" t="s">
        <v>72</v>
      </c>
      <c r="I2328" s="273">
        <v>50</v>
      </c>
      <c r="J2328" s="270">
        <v>146</v>
      </c>
      <c r="K2328" s="270">
        <f t="shared" si="0"/>
        <v>7300</v>
      </c>
      <c r="L2328" s="270">
        <v>8216</v>
      </c>
      <c r="M2328" s="270">
        <v>-450</v>
      </c>
      <c r="N2328" s="274">
        <v>201.8</v>
      </c>
      <c r="O2328" s="55"/>
      <c r="P2328" s="45">
        <v>202</v>
      </c>
      <c r="Q2328" s="270">
        <v>263</v>
      </c>
      <c r="R2328" s="275">
        <v>-1.5E-3</v>
      </c>
      <c r="S2328" s="270">
        <v>252</v>
      </c>
      <c r="T2328" s="270">
        <v>454</v>
      </c>
      <c r="U2328" s="57">
        <v>1</v>
      </c>
      <c r="V2328" s="276">
        <v>0.1125</v>
      </c>
      <c r="W2328" s="276">
        <v>3.7499999999999999E-2</v>
      </c>
      <c r="X2328" s="270">
        <v>386</v>
      </c>
      <c r="Y2328" s="270">
        <v>68</v>
      </c>
      <c r="Z2328" s="45" t="b">
        <v>1</v>
      </c>
      <c r="AA2328" s="45" t="s">
        <v>38</v>
      </c>
      <c r="AB2328" s="45" t="s">
        <v>38</v>
      </c>
    </row>
    <row r="2329" spans="1:28" x14ac:dyDescent="0.2">
      <c r="A2329" s="96" t="s">
        <v>172</v>
      </c>
      <c r="B2329" s="96" t="s">
        <v>172</v>
      </c>
      <c r="C2329" s="277">
        <v>44916</v>
      </c>
      <c r="D2329" s="277">
        <v>44946</v>
      </c>
      <c r="E2329" s="270" t="s">
        <v>300</v>
      </c>
      <c r="F2329" s="133" t="s">
        <v>34</v>
      </c>
      <c r="G2329" s="96" t="s">
        <v>35</v>
      </c>
      <c r="H2329" s="272" t="s">
        <v>70</v>
      </c>
      <c r="I2329" s="273">
        <v>100</v>
      </c>
      <c r="J2329" s="270">
        <v>2214</v>
      </c>
      <c r="K2329" s="270">
        <f t="shared" si="0"/>
        <v>221400</v>
      </c>
      <c r="L2329" s="270">
        <v>57772</v>
      </c>
      <c r="M2329" s="270">
        <v>6500</v>
      </c>
      <c r="N2329" s="274">
        <v>5100.3599999999997</v>
      </c>
      <c r="O2329" s="55"/>
      <c r="P2329" s="105">
        <v>5100</v>
      </c>
      <c r="Q2329" s="270">
        <v>-1924</v>
      </c>
      <c r="R2329" s="275">
        <v>-1.5E-3</v>
      </c>
      <c r="S2329" s="270">
        <v>-2257</v>
      </c>
      <c r="T2329" s="270">
        <v>2844</v>
      </c>
      <c r="U2329" s="57">
        <v>1</v>
      </c>
      <c r="V2329" s="276">
        <v>0.1125</v>
      </c>
      <c r="W2329" s="276">
        <v>3.7499999999999999E-2</v>
      </c>
      <c r="X2329" s="270">
        <v>2417</v>
      </c>
      <c r="Y2329" s="270">
        <v>427</v>
      </c>
      <c r="Z2329" s="45" t="b">
        <v>1</v>
      </c>
      <c r="AA2329" s="45" t="s">
        <v>38</v>
      </c>
      <c r="AB2329" s="45" t="s">
        <v>38</v>
      </c>
    </row>
    <row r="2330" spans="1:28" x14ac:dyDescent="0.2">
      <c r="A2330" s="96" t="s">
        <v>172</v>
      </c>
      <c r="B2330" s="96" t="s">
        <v>172</v>
      </c>
      <c r="C2330" s="277">
        <v>44916</v>
      </c>
      <c r="D2330" s="277">
        <v>44946</v>
      </c>
      <c r="E2330" s="270" t="s">
        <v>300</v>
      </c>
      <c r="F2330" s="133" t="s">
        <v>34</v>
      </c>
      <c r="G2330" s="96" t="s">
        <v>35</v>
      </c>
      <c r="H2330" s="272" t="s">
        <v>84</v>
      </c>
      <c r="I2330" s="273">
        <v>100</v>
      </c>
      <c r="J2330" s="270">
        <v>1</v>
      </c>
      <c r="K2330" s="270">
        <f t="shared" si="0"/>
        <v>100</v>
      </c>
      <c r="L2330" s="270">
        <v>243</v>
      </c>
      <c r="M2330" s="270">
        <v>100</v>
      </c>
      <c r="N2330" s="274">
        <v>2.2999999999999998</v>
      </c>
      <c r="O2330" s="55"/>
      <c r="P2330" s="45">
        <v>2</v>
      </c>
      <c r="Q2330" s="270">
        <v>70</v>
      </c>
      <c r="R2330" s="275">
        <v>-1.5E-3</v>
      </c>
      <c r="S2330" s="270">
        <v>70</v>
      </c>
      <c r="T2330" s="270">
        <v>72</v>
      </c>
      <c r="U2330" s="57">
        <v>1</v>
      </c>
      <c r="V2330" s="276">
        <v>0.1125</v>
      </c>
      <c r="W2330" s="276">
        <v>3.7499999999999999E-2</v>
      </c>
      <c r="X2330" s="270">
        <v>61</v>
      </c>
      <c r="Y2330" s="270">
        <v>11</v>
      </c>
      <c r="Z2330" s="45" t="b">
        <v>1</v>
      </c>
      <c r="AA2330" s="45" t="s">
        <v>38</v>
      </c>
      <c r="AB2330" s="45" t="s">
        <v>38</v>
      </c>
    </row>
    <row r="2331" spans="1:28" x14ac:dyDescent="0.2">
      <c r="A2331" s="96" t="s">
        <v>172</v>
      </c>
      <c r="B2331" s="96" t="s">
        <v>172</v>
      </c>
      <c r="C2331" s="277">
        <v>44916</v>
      </c>
      <c r="D2331" s="277">
        <v>44946</v>
      </c>
      <c r="E2331" s="270" t="s">
        <v>300</v>
      </c>
      <c r="F2331" s="133" t="s">
        <v>34</v>
      </c>
      <c r="G2331" s="96" t="s">
        <v>35</v>
      </c>
      <c r="H2331" s="272" t="s">
        <v>88</v>
      </c>
      <c r="I2331" s="273">
        <v>250</v>
      </c>
      <c r="J2331" s="270">
        <v>1421</v>
      </c>
      <c r="K2331" s="270">
        <f t="shared" si="0"/>
        <v>355250</v>
      </c>
      <c r="L2331" s="270">
        <v>41567</v>
      </c>
      <c r="M2331" s="270">
        <v>-15500</v>
      </c>
      <c r="N2331" s="274">
        <v>8183.85</v>
      </c>
      <c r="O2331" s="55"/>
      <c r="P2331" s="105">
        <v>8184</v>
      </c>
      <c r="Q2331" s="270">
        <v>-83</v>
      </c>
      <c r="R2331" s="275">
        <v>-1.5E-3</v>
      </c>
      <c r="S2331" s="270">
        <v>-616</v>
      </c>
      <c r="T2331" s="270">
        <v>7568</v>
      </c>
      <c r="U2331" s="57">
        <v>1</v>
      </c>
      <c r="V2331" s="276">
        <v>0.1125</v>
      </c>
      <c r="W2331" s="276">
        <v>3.7499999999999999E-2</v>
      </c>
      <c r="X2331" s="270">
        <v>6433</v>
      </c>
      <c r="Y2331" s="270">
        <v>1135</v>
      </c>
      <c r="Z2331" s="45" t="b">
        <v>1</v>
      </c>
      <c r="AA2331" s="45" t="s">
        <v>38</v>
      </c>
      <c r="AB2331" s="45" t="s">
        <v>38</v>
      </c>
    </row>
    <row r="2332" spans="1:28" x14ac:dyDescent="0.2">
      <c r="A2332" s="96" t="s">
        <v>172</v>
      </c>
      <c r="B2332" s="96" t="s">
        <v>172</v>
      </c>
      <c r="C2332" s="277">
        <v>44916</v>
      </c>
      <c r="D2332" s="277">
        <v>44946</v>
      </c>
      <c r="E2332" s="270" t="s">
        <v>300</v>
      </c>
      <c r="F2332" s="133" t="s">
        <v>41</v>
      </c>
      <c r="G2332" s="96" t="s">
        <v>35</v>
      </c>
      <c r="H2332" s="272" t="s">
        <v>173</v>
      </c>
      <c r="I2332" s="273">
        <v>100</v>
      </c>
      <c r="J2332" s="270">
        <v>12</v>
      </c>
      <c r="K2332" s="270">
        <f t="shared" si="0"/>
        <v>1200</v>
      </c>
      <c r="L2332" s="270"/>
      <c r="M2332" s="270">
        <v>566</v>
      </c>
      <c r="N2332" s="274">
        <v>10.39</v>
      </c>
      <c r="O2332" s="55"/>
      <c r="P2332" s="45">
        <v>10</v>
      </c>
      <c r="Q2332" s="270"/>
      <c r="R2332" s="275">
        <v>0</v>
      </c>
      <c r="S2332" s="270"/>
      <c r="T2332" s="270">
        <v>576</v>
      </c>
      <c r="U2332" s="57">
        <v>1</v>
      </c>
      <c r="V2332" s="276">
        <v>0.1125</v>
      </c>
      <c r="W2332" s="276">
        <v>3.7499999999999999E-2</v>
      </c>
      <c r="X2332" s="270">
        <v>490</v>
      </c>
      <c r="Y2332" s="270">
        <v>86</v>
      </c>
      <c r="Z2332" s="45" t="b">
        <v>1</v>
      </c>
      <c r="AA2332" s="45" t="s">
        <v>38</v>
      </c>
      <c r="AB2332" s="45" t="s">
        <v>38</v>
      </c>
    </row>
    <row r="2333" spans="1:28" x14ac:dyDescent="0.2">
      <c r="A2333" s="96" t="s">
        <v>172</v>
      </c>
      <c r="B2333" s="96" t="s">
        <v>172</v>
      </c>
      <c r="C2333" s="277">
        <v>44916</v>
      </c>
      <c r="D2333" s="277">
        <v>44946</v>
      </c>
      <c r="E2333" s="270" t="s">
        <v>300</v>
      </c>
      <c r="F2333" s="133" t="s">
        <v>41</v>
      </c>
      <c r="G2333" s="96" t="s">
        <v>35</v>
      </c>
      <c r="H2333" s="272" t="s">
        <v>39</v>
      </c>
      <c r="I2333" s="273">
        <v>5</v>
      </c>
      <c r="J2333" s="270">
        <v>7</v>
      </c>
      <c r="K2333" s="270">
        <f t="shared" si="0"/>
        <v>35</v>
      </c>
      <c r="L2333" s="270"/>
      <c r="M2333" s="270">
        <v>25</v>
      </c>
      <c r="N2333" s="274">
        <v>1.29</v>
      </c>
      <c r="O2333" s="55"/>
      <c r="P2333" s="45">
        <v>1</v>
      </c>
      <c r="Q2333" s="270"/>
      <c r="R2333" s="275">
        <v>0</v>
      </c>
      <c r="S2333" s="270"/>
      <c r="T2333" s="270">
        <v>26</v>
      </c>
      <c r="U2333" s="57">
        <v>1</v>
      </c>
      <c r="V2333" s="276">
        <v>0.1125</v>
      </c>
      <c r="W2333" s="276">
        <v>3.7499999999999999E-2</v>
      </c>
      <c r="X2333" s="270">
        <v>22</v>
      </c>
      <c r="Y2333" s="270">
        <v>4</v>
      </c>
      <c r="Z2333" s="45" t="b">
        <v>1</v>
      </c>
      <c r="AA2333" s="45" t="s">
        <v>38</v>
      </c>
      <c r="AB2333" s="45" t="s">
        <v>38</v>
      </c>
    </row>
    <row r="2334" spans="1:28" x14ac:dyDescent="0.2">
      <c r="A2334" s="279" t="s">
        <v>466</v>
      </c>
      <c r="B2334" s="279" t="s">
        <v>118</v>
      </c>
      <c r="C2334" s="277">
        <v>44916</v>
      </c>
      <c r="D2334" s="277">
        <v>44946</v>
      </c>
      <c r="E2334" s="279" t="s">
        <v>300</v>
      </c>
      <c r="F2334" s="133" t="s">
        <v>34</v>
      </c>
      <c r="G2334" s="270" t="s">
        <v>80</v>
      </c>
      <c r="H2334" s="270" t="s">
        <v>72</v>
      </c>
      <c r="I2334" s="273">
        <v>50</v>
      </c>
      <c r="J2334" s="270">
        <v>1</v>
      </c>
      <c r="K2334" s="270">
        <f t="shared" si="0"/>
        <v>50</v>
      </c>
      <c r="L2334" s="270">
        <v>257</v>
      </c>
      <c r="M2334" s="270">
        <v>100</v>
      </c>
      <c r="N2334" s="274"/>
      <c r="O2334" s="55"/>
      <c r="P2334" s="96"/>
      <c r="Q2334" s="270">
        <v>33</v>
      </c>
      <c r="R2334" s="275">
        <v>1.926E-3</v>
      </c>
      <c r="S2334" s="292">
        <v>33</v>
      </c>
      <c r="T2334" s="270">
        <v>33</v>
      </c>
      <c r="U2334" s="57">
        <v>1</v>
      </c>
      <c r="V2334" s="276">
        <v>0.15</v>
      </c>
      <c r="W2334" s="276">
        <v>0.05</v>
      </c>
      <c r="X2334" s="270">
        <v>27</v>
      </c>
      <c r="Y2334" s="270">
        <v>7</v>
      </c>
      <c r="Z2334" s="45" t="b">
        <v>0</v>
      </c>
      <c r="AA2334" s="45" t="s">
        <v>38</v>
      </c>
      <c r="AB2334" s="45" t="s">
        <v>38</v>
      </c>
    </row>
    <row r="2335" spans="1:28" x14ac:dyDescent="0.2">
      <c r="A2335" s="279" t="s">
        <v>466</v>
      </c>
      <c r="B2335" s="279" t="s">
        <v>118</v>
      </c>
      <c r="C2335" s="277">
        <v>44916</v>
      </c>
      <c r="D2335" s="277">
        <v>44946</v>
      </c>
      <c r="E2335" s="279" t="s">
        <v>300</v>
      </c>
      <c r="F2335" s="133" t="s">
        <v>34</v>
      </c>
      <c r="G2335" s="270" t="s">
        <v>80</v>
      </c>
      <c r="H2335" s="270" t="s">
        <v>70</v>
      </c>
      <c r="I2335" s="273">
        <v>100</v>
      </c>
      <c r="J2335" s="270">
        <v>4885</v>
      </c>
      <c r="K2335" s="270">
        <f t="shared" si="0"/>
        <v>488500</v>
      </c>
      <c r="L2335" s="270">
        <v>31787</v>
      </c>
      <c r="M2335" s="270">
        <v>-15500</v>
      </c>
      <c r="N2335" s="274">
        <v>26236</v>
      </c>
      <c r="O2335" s="55"/>
      <c r="P2335" s="105">
        <v>26236</v>
      </c>
      <c r="Q2335" s="270">
        <v>-26679</v>
      </c>
      <c r="R2335" s="275">
        <v>1.926E-3</v>
      </c>
      <c r="S2335" s="292">
        <v>-25738</v>
      </c>
      <c r="T2335" s="292">
        <v>498</v>
      </c>
      <c r="U2335" s="57">
        <v>1</v>
      </c>
      <c r="V2335" s="276">
        <v>0.15</v>
      </c>
      <c r="W2335" s="276">
        <v>0.05</v>
      </c>
      <c r="X2335" s="270">
        <v>398</v>
      </c>
      <c r="Y2335" s="270">
        <v>100</v>
      </c>
      <c r="Z2335" s="45" t="b">
        <v>0</v>
      </c>
      <c r="AA2335" s="45" t="s">
        <v>38</v>
      </c>
      <c r="AB2335" s="45" t="s">
        <v>38</v>
      </c>
    </row>
    <row r="2336" spans="1:28" x14ac:dyDescent="0.2">
      <c r="A2336" s="96" t="s">
        <v>473</v>
      </c>
      <c r="B2336" s="270" t="s">
        <v>120</v>
      </c>
      <c r="C2336" s="277">
        <v>44916</v>
      </c>
      <c r="D2336" s="277">
        <v>44946</v>
      </c>
      <c r="E2336" s="270" t="s">
        <v>267</v>
      </c>
      <c r="F2336" s="96" t="s">
        <v>34</v>
      </c>
      <c r="G2336" s="270" t="s">
        <v>35</v>
      </c>
      <c r="H2336" s="272" t="s">
        <v>40</v>
      </c>
      <c r="I2336" s="280">
        <v>10</v>
      </c>
      <c r="J2336" s="279">
        <v>1250</v>
      </c>
      <c r="K2336" s="270">
        <f t="shared" si="0"/>
        <v>12500</v>
      </c>
      <c r="L2336" s="279">
        <v>81662</v>
      </c>
      <c r="M2336" s="279">
        <v>580</v>
      </c>
      <c r="N2336" s="274">
        <v>300</v>
      </c>
      <c r="O2336" s="55"/>
      <c r="P2336" s="45">
        <v>300</v>
      </c>
      <c r="Q2336" s="279">
        <v>573</v>
      </c>
      <c r="R2336" s="275">
        <v>1.926E-3</v>
      </c>
      <c r="S2336" s="279">
        <v>597</v>
      </c>
      <c r="T2336" s="279">
        <v>897</v>
      </c>
      <c r="U2336" s="57">
        <v>1</v>
      </c>
      <c r="V2336" s="276">
        <v>0.25</v>
      </c>
      <c r="W2336" s="276">
        <v>0</v>
      </c>
      <c r="X2336" s="279">
        <v>673</v>
      </c>
      <c r="Y2336" s="279">
        <v>224</v>
      </c>
      <c r="Z2336" s="45" t="b">
        <v>0</v>
      </c>
      <c r="AA2336" s="45" t="s">
        <v>38</v>
      </c>
      <c r="AB2336" s="45" t="s">
        <v>38</v>
      </c>
    </row>
    <row r="2337" spans="1:28" x14ac:dyDescent="0.2">
      <c r="A2337" s="279" t="s">
        <v>178</v>
      </c>
      <c r="B2337" s="96" t="s">
        <v>178</v>
      </c>
      <c r="C2337" s="277">
        <v>44916</v>
      </c>
      <c r="D2337" s="277">
        <v>44946</v>
      </c>
      <c r="E2337" s="270" t="s">
        <v>300</v>
      </c>
      <c r="F2337" s="96" t="s">
        <v>34</v>
      </c>
      <c r="G2337" s="270" t="s">
        <v>35</v>
      </c>
      <c r="H2337" s="272" t="s">
        <v>46</v>
      </c>
      <c r="I2337" s="273">
        <v>25</v>
      </c>
      <c r="J2337" s="270">
        <v>998</v>
      </c>
      <c r="K2337" s="270">
        <f t="shared" si="0"/>
        <v>24950</v>
      </c>
      <c r="L2337" s="270">
        <v>26001</v>
      </c>
      <c r="M2337" s="270">
        <v>225</v>
      </c>
      <c r="N2337" s="274">
        <v>525</v>
      </c>
      <c r="O2337" s="55"/>
      <c r="P2337" s="45">
        <v>525</v>
      </c>
      <c r="Q2337" s="270">
        <v>-359</v>
      </c>
      <c r="R2337" s="275">
        <v>1.926E-3</v>
      </c>
      <c r="S2337" s="270">
        <v>-311</v>
      </c>
      <c r="T2337" s="270">
        <v>214</v>
      </c>
      <c r="U2337" s="57">
        <v>1</v>
      </c>
      <c r="V2337" s="276">
        <v>0.23</v>
      </c>
      <c r="W2337" s="276">
        <v>0.1</v>
      </c>
      <c r="X2337" s="270">
        <v>143</v>
      </c>
      <c r="Y2337" s="270">
        <v>70</v>
      </c>
      <c r="Z2337" s="45" t="b">
        <v>1</v>
      </c>
      <c r="AA2337" s="45" t="s">
        <v>38</v>
      </c>
      <c r="AB2337" s="45" t="s">
        <v>38</v>
      </c>
    </row>
    <row r="2338" spans="1:28" x14ac:dyDescent="0.2">
      <c r="A2338" s="279" t="s">
        <v>102</v>
      </c>
      <c r="B2338" s="279" t="s">
        <v>107</v>
      </c>
      <c r="C2338" s="282">
        <v>44916</v>
      </c>
      <c r="D2338" s="282">
        <v>44946</v>
      </c>
      <c r="E2338" s="279" t="s">
        <v>267</v>
      </c>
      <c r="F2338" s="133" t="s">
        <v>34</v>
      </c>
      <c r="G2338" s="279" t="s">
        <v>61</v>
      </c>
      <c r="H2338" s="289" t="s">
        <v>141</v>
      </c>
      <c r="I2338" s="280">
        <v>25</v>
      </c>
      <c r="J2338" s="279">
        <v>1</v>
      </c>
      <c r="K2338" s="270">
        <f t="shared" si="0"/>
        <v>25</v>
      </c>
      <c r="L2338" s="279">
        <v>-88</v>
      </c>
      <c r="M2338" s="279">
        <v>-27</v>
      </c>
      <c r="N2338" s="281">
        <v>24.78</v>
      </c>
      <c r="O2338" s="55"/>
      <c r="P2338" s="45">
        <v>25</v>
      </c>
      <c r="Q2338" s="279">
        <v>-9</v>
      </c>
      <c r="R2338" s="275">
        <v>1.9250000000000001E-3</v>
      </c>
      <c r="S2338" s="279">
        <v>-9</v>
      </c>
      <c r="T2338" s="279">
        <v>16</v>
      </c>
      <c r="U2338" s="57">
        <v>1.0860000000000001</v>
      </c>
      <c r="V2338" s="276">
        <v>0.15</v>
      </c>
      <c r="W2338" s="276">
        <v>0</v>
      </c>
      <c r="X2338" s="279">
        <v>15</v>
      </c>
      <c r="Y2338" s="279">
        <v>3</v>
      </c>
      <c r="Z2338" s="45" t="b">
        <v>1</v>
      </c>
      <c r="AA2338" s="45" t="s">
        <v>38</v>
      </c>
      <c r="AB2338" s="45" t="s">
        <v>50</v>
      </c>
    </row>
    <row r="2339" spans="1:28" x14ac:dyDescent="0.2">
      <c r="A2339" s="279" t="s">
        <v>102</v>
      </c>
      <c r="B2339" s="279" t="s">
        <v>107</v>
      </c>
      <c r="C2339" s="282">
        <v>44916</v>
      </c>
      <c r="D2339" s="282">
        <v>44946</v>
      </c>
      <c r="E2339" s="279" t="s">
        <v>267</v>
      </c>
      <c r="F2339" s="133" t="s">
        <v>34</v>
      </c>
      <c r="G2339" s="279" t="s">
        <v>61</v>
      </c>
      <c r="H2339" s="289" t="s">
        <v>167</v>
      </c>
      <c r="I2339" s="280">
        <v>25</v>
      </c>
      <c r="J2339" s="279">
        <v>993</v>
      </c>
      <c r="K2339" s="270">
        <f t="shared" si="0"/>
        <v>24825</v>
      </c>
      <c r="L2339" s="279">
        <v>56313</v>
      </c>
      <c r="M2339" s="279">
        <v>-380</v>
      </c>
      <c r="N2339" s="281">
        <v>705.82</v>
      </c>
      <c r="O2339" s="55"/>
      <c r="P2339" s="45">
        <v>706</v>
      </c>
      <c r="Q2339" s="279">
        <v>423</v>
      </c>
      <c r="R2339" s="275">
        <v>1.9250000000000001E-3</v>
      </c>
      <c r="S2339" s="279">
        <v>471</v>
      </c>
      <c r="T2339" s="279">
        <v>1176</v>
      </c>
      <c r="U2339" s="57">
        <v>1.0860000000000001</v>
      </c>
      <c r="V2339" s="276">
        <v>0.15</v>
      </c>
      <c r="W2339" s="276">
        <v>0</v>
      </c>
      <c r="X2339" s="279">
        <v>1086</v>
      </c>
      <c r="Y2339" s="279">
        <v>192</v>
      </c>
      <c r="Z2339" s="45" t="b">
        <v>1</v>
      </c>
      <c r="AA2339" s="45" t="s">
        <v>38</v>
      </c>
      <c r="AB2339" s="45" t="s">
        <v>50</v>
      </c>
    </row>
    <row r="2340" spans="1:28" x14ac:dyDescent="0.2">
      <c r="A2340" s="279" t="s">
        <v>102</v>
      </c>
      <c r="B2340" s="279" t="s">
        <v>107</v>
      </c>
      <c r="C2340" s="282">
        <v>44916</v>
      </c>
      <c r="D2340" s="282">
        <v>44946</v>
      </c>
      <c r="E2340" s="279" t="s">
        <v>267</v>
      </c>
      <c r="F2340" s="133" t="s">
        <v>34</v>
      </c>
      <c r="G2340" s="279" t="s">
        <v>61</v>
      </c>
      <c r="H2340" s="289" t="s">
        <v>108</v>
      </c>
      <c r="I2340" s="280">
        <v>50</v>
      </c>
      <c r="J2340" s="279">
        <v>1</v>
      </c>
      <c r="K2340" s="270">
        <f t="shared" si="0"/>
        <v>50</v>
      </c>
      <c r="L2340" s="279">
        <v>453</v>
      </c>
      <c r="M2340" s="279">
        <v>54</v>
      </c>
      <c r="N2340" s="281">
        <v>0</v>
      </c>
      <c r="O2340" s="55"/>
      <c r="P2340" s="45">
        <v>0</v>
      </c>
      <c r="Q2340" s="279">
        <v>64</v>
      </c>
      <c r="R2340" s="275">
        <v>1.9250000000000001E-3</v>
      </c>
      <c r="S2340" s="279">
        <v>64</v>
      </c>
      <c r="T2340" s="279">
        <v>64</v>
      </c>
      <c r="U2340" s="57">
        <v>1.0860000000000001</v>
      </c>
      <c r="V2340" s="276">
        <v>0.15</v>
      </c>
      <c r="W2340" s="276">
        <v>0</v>
      </c>
      <c r="X2340" s="279">
        <v>59</v>
      </c>
      <c r="Y2340" s="279">
        <v>10</v>
      </c>
      <c r="Z2340" s="45" t="b">
        <v>1</v>
      </c>
      <c r="AA2340" s="45" t="s">
        <v>38</v>
      </c>
      <c r="AB2340" s="45" t="s">
        <v>50</v>
      </c>
    </row>
    <row r="2341" spans="1:28" x14ac:dyDescent="0.2">
      <c r="A2341" s="279" t="s">
        <v>102</v>
      </c>
      <c r="B2341" s="279" t="s">
        <v>107</v>
      </c>
      <c r="C2341" s="282">
        <v>44916</v>
      </c>
      <c r="D2341" s="282">
        <v>44946</v>
      </c>
      <c r="E2341" s="279" t="s">
        <v>267</v>
      </c>
      <c r="F2341" s="133" t="s">
        <v>34</v>
      </c>
      <c r="G2341" s="279" t="s">
        <v>61</v>
      </c>
      <c r="H2341" s="289" t="s">
        <v>57</v>
      </c>
      <c r="I2341" s="280">
        <v>50</v>
      </c>
      <c r="J2341" s="279">
        <v>1818</v>
      </c>
      <c r="K2341" s="270">
        <f t="shared" si="0"/>
        <v>90900</v>
      </c>
      <c r="L2341" s="279">
        <v>93881</v>
      </c>
      <c r="M2341" s="279">
        <v>0</v>
      </c>
      <c r="N2341" s="281">
        <v>2149.4</v>
      </c>
      <c r="O2341" s="55"/>
      <c r="P2341" s="105">
        <v>2149</v>
      </c>
      <c r="Q2341" s="279">
        <v>712</v>
      </c>
      <c r="R2341" s="275">
        <v>1.9250000000000001E-3</v>
      </c>
      <c r="S2341" s="279">
        <v>887</v>
      </c>
      <c r="T2341" s="279">
        <v>3036</v>
      </c>
      <c r="U2341" s="57">
        <v>1.0860000000000001</v>
      </c>
      <c r="V2341" s="276">
        <v>0.15</v>
      </c>
      <c r="W2341" s="276">
        <v>0</v>
      </c>
      <c r="X2341" s="279">
        <v>2803</v>
      </c>
      <c r="Y2341" s="279">
        <v>495</v>
      </c>
      <c r="Z2341" s="45" t="b">
        <v>1</v>
      </c>
      <c r="AA2341" s="45" t="s">
        <v>38</v>
      </c>
      <c r="AB2341" s="45" t="s">
        <v>50</v>
      </c>
    </row>
    <row r="2342" spans="1:28" x14ac:dyDescent="0.2">
      <c r="A2342" s="279" t="s">
        <v>102</v>
      </c>
      <c r="B2342" s="96" t="s">
        <v>102</v>
      </c>
      <c r="C2342" s="282">
        <v>44916</v>
      </c>
      <c r="D2342" s="282">
        <v>44946</v>
      </c>
      <c r="E2342" s="279" t="s">
        <v>267</v>
      </c>
      <c r="F2342" s="133" t="s">
        <v>34</v>
      </c>
      <c r="G2342" s="270" t="s">
        <v>35</v>
      </c>
      <c r="H2342" s="289" t="s">
        <v>72</v>
      </c>
      <c r="I2342" s="280">
        <v>50</v>
      </c>
      <c r="J2342" s="279">
        <v>859</v>
      </c>
      <c r="K2342" s="270">
        <f t="shared" si="0"/>
        <v>42950</v>
      </c>
      <c r="L2342" s="279">
        <v>11921</v>
      </c>
      <c r="M2342" s="279">
        <v>-150</v>
      </c>
      <c r="N2342" s="274">
        <v>1108</v>
      </c>
      <c r="O2342" s="55"/>
      <c r="P2342" s="105">
        <v>1108</v>
      </c>
      <c r="Q2342" s="279">
        <v>-1644</v>
      </c>
      <c r="R2342" s="275">
        <v>1.9250000000000001E-3</v>
      </c>
      <c r="S2342" s="279">
        <v>-1561</v>
      </c>
      <c r="T2342" s="279">
        <v>-453</v>
      </c>
      <c r="U2342" s="57">
        <v>1</v>
      </c>
      <c r="V2342" s="276">
        <v>0.15</v>
      </c>
      <c r="W2342" s="276">
        <v>0</v>
      </c>
      <c r="X2342" s="279">
        <v>-385</v>
      </c>
      <c r="Y2342" s="279">
        <v>-68</v>
      </c>
      <c r="Z2342" s="45" t="b">
        <v>1</v>
      </c>
      <c r="AA2342" s="45" t="s">
        <v>38</v>
      </c>
      <c r="AB2342" s="45" t="s">
        <v>38</v>
      </c>
    </row>
    <row r="2343" spans="1:28" x14ac:dyDescent="0.2">
      <c r="A2343" s="279" t="s">
        <v>102</v>
      </c>
      <c r="B2343" s="96" t="s">
        <v>102</v>
      </c>
      <c r="C2343" s="282">
        <v>44916</v>
      </c>
      <c r="D2343" s="282">
        <v>44946</v>
      </c>
      <c r="E2343" s="279" t="s">
        <v>267</v>
      </c>
      <c r="F2343" s="133" t="s">
        <v>34</v>
      </c>
      <c r="G2343" s="270" t="s">
        <v>35</v>
      </c>
      <c r="H2343" s="289" t="s">
        <v>85</v>
      </c>
      <c r="I2343" s="280">
        <v>50</v>
      </c>
      <c r="J2343" s="279">
        <v>1</v>
      </c>
      <c r="K2343" s="270">
        <f t="shared" si="0"/>
        <v>50</v>
      </c>
      <c r="L2343" s="279">
        <v>-163</v>
      </c>
      <c r="M2343" s="279">
        <v>-50</v>
      </c>
      <c r="N2343" s="274">
        <v>1</v>
      </c>
      <c r="O2343" s="55"/>
      <c r="P2343" s="45">
        <v>1</v>
      </c>
      <c r="Q2343" s="279">
        <v>-28</v>
      </c>
      <c r="R2343" s="275">
        <v>1.9250000000000001E-3</v>
      </c>
      <c r="S2343" s="279">
        <v>-28</v>
      </c>
      <c r="T2343" s="279">
        <v>-27</v>
      </c>
      <c r="U2343" s="57">
        <v>1</v>
      </c>
      <c r="V2343" s="276">
        <v>0.15</v>
      </c>
      <c r="W2343" s="276">
        <v>0</v>
      </c>
      <c r="X2343" s="279">
        <v>-23</v>
      </c>
      <c r="Y2343" s="279">
        <v>-4</v>
      </c>
      <c r="Z2343" s="45" t="b">
        <v>1</v>
      </c>
      <c r="AA2343" s="45" t="s">
        <v>38</v>
      </c>
      <c r="AB2343" s="45" t="s">
        <v>38</v>
      </c>
    </row>
    <row r="2344" spans="1:28" x14ac:dyDescent="0.2">
      <c r="A2344" s="279" t="s">
        <v>102</v>
      </c>
      <c r="B2344" s="96" t="s">
        <v>102</v>
      </c>
      <c r="C2344" s="282">
        <v>44916</v>
      </c>
      <c r="D2344" s="282">
        <v>44946</v>
      </c>
      <c r="E2344" s="279" t="s">
        <v>267</v>
      </c>
      <c r="F2344" s="133" t="s">
        <v>34</v>
      </c>
      <c r="G2344" s="270" t="s">
        <v>35</v>
      </c>
      <c r="H2344" s="289" t="s">
        <v>70</v>
      </c>
      <c r="I2344" s="280">
        <v>100</v>
      </c>
      <c r="J2344" s="279">
        <v>19</v>
      </c>
      <c r="K2344" s="270">
        <f t="shared" si="0"/>
        <v>1900</v>
      </c>
      <c r="L2344" s="279">
        <v>1734</v>
      </c>
      <c r="M2344" s="279">
        <v>400</v>
      </c>
      <c r="N2344" s="274">
        <v>41</v>
      </c>
      <c r="O2344" s="55"/>
      <c r="P2344" s="45">
        <v>41</v>
      </c>
      <c r="Q2344" s="279">
        <v>222</v>
      </c>
      <c r="R2344" s="275">
        <v>1.9250000000000001E-3</v>
      </c>
      <c r="S2344" s="279">
        <v>226</v>
      </c>
      <c r="T2344" s="279">
        <v>267</v>
      </c>
      <c r="U2344" s="57">
        <v>1</v>
      </c>
      <c r="V2344" s="276">
        <v>0.15</v>
      </c>
      <c r="W2344" s="276">
        <v>0</v>
      </c>
      <c r="X2344" s="279">
        <v>227</v>
      </c>
      <c r="Y2344" s="279">
        <v>40</v>
      </c>
      <c r="Z2344" s="45" t="b">
        <v>1</v>
      </c>
      <c r="AA2344" s="45" t="s">
        <v>38</v>
      </c>
      <c r="AB2344" s="45" t="s">
        <v>38</v>
      </c>
    </row>
    <row r="2345" spans="1:28" x14ac:dyDescent="0.2">
      <c r="A2345" s="96" t="s">
        <v>508</v>
      </c>
      <c r="B2345" s="96" t="s">
        <v>187</v>
      </c>
      <c r="C2345" s="277">
        <v>44916</v>
      </c>
      <c r="D2345" s="277">
        <v>44946</v>
      </c>
      <c r="E2345" s="270" t="s">
        <v>300</v>
      </c>
      <c r="F2345" s="133" t="s">
        <v>34</v>
      </c>
      <c r="G2345" s="270" t="s">
        <v>80</v>
      </c>
      <c r="H2345" s="272" t="s">
        <v>72</v>
      </c>
      <c r="I2345" s="273">
        <v>50</v>
      </c>
      <c r="J2345" s="270">
        <v>1124</v>
      </c>
      <c r="K2345" s="270">
        <f t="shared" si="0"/>
        <v>56200</v>
      </c>
      <c r="L2345" s="270">
        <v>11452</v>
      </c>
      <c r="M2345" s="270">
        <v>-1100</v>
      </c>
      <c r="N2345" s="274">
        <v>3671.07</v>
      </c>
      <c r="O2345" s="55"/>
      <c r="P2345" s="105">
        <v>3671</v>
      </c>
      <c r="Q2345" s="270">
        <v>-2474</v>
      </c>
      <c r="R2345" s="275">
        <v>1.926E-3</v>
      </c>
      <c r="S2345" s="270">
        <v>-2366</v>
      </c>
      <c r="T2345" s="270">
        <v>1305</v>
      </c>
      <c r="U2345" s="57">
        <v>1</v>
      </c>
      <c r="V2345" s="276">
        <v>0.09</v>
      </c>
      <c r="W2345" s="276">
        <v>0.03</v>
      </c>
      <c r="X2345" s="270">
        <v>1149</v>
      </c>
      <c r="Y2345" s="270">
        <v>157</v>
      </c>
      <c r="Z2345" s="45" t="b">
        <v>1</v>
      </c>
      <c r="AA2345" s="45" t="s">
        <v>38</v>
      </c>
      <c r="AB2345" s="45" t="s">
        <v>38</v>
      </c>
    </row>
    <row r="2346" spans="1:28" x14ac:dyDescent="0.2">
      <c r="A2346" s="96" t="s">
        <v>508</v>
      </c>
      <c r="B2346" s="96" t="s">
        <v>187</v>
      </c>
      <c r="C2346" s="277">
        <v>44916</v>
      </c>
      <c r="D2346" s="277">
        <v>44946</v>
      </c>
      <c r="E2346" s="270" t="s">
        <v>300</v>
      </c>
      <c r="F2346" s="133" t="s">
        <v>34</v>
      </c>
      <c r="G2346" s="270" t="s">
        <v>80</v>
      </c>
      <c r="H2346" s="272" t="s">
        <v>70</v>
      </c>
      <c r="I2346" s="273">
        <v>100</v>
      </c>
      <c r="J2346" s="270">
        <v>9</v>
      </c>
      <c r="K2346" s="270">
        <f t="shared" si="0"/>
        <v>900</v>
      </c>
      <c r="L2346" s="270">
        <v>567</v>
      </c>
      <c r="M2346" s="270">
        <v>900</v>
      </c>
      <c r="N2346" s="274">
        <v>58.79</v>
      </c>
      <c r="O2346" s="55"/>
      <c r="P2346" s="45">
        <v>59</v>
      </c>
      <c r="Q2346" s="270">
        <v>97</v>
      </c>
      <c r="R2346" s="275">
        <v>1.926E-3</v>
      </c>
      <c r="S2346" s="270">
        <v>99</v>
      </c>
      <c r="T2346" s="270">
        <v>158</v>
      </c>
      <c r="U2346" s="57">
        <v>1</v>
      </c>
      <c r="V2346" s="276">
        <v>0.09</v>
      </c>
      <c r="W2346" s="276">
        <v>0.03</v>
      </c>
      <c r="X2346" s="270">
        <v>139</v>
      </c>
      <c r="Y2346" s="270">
        <v>19</v>
      </c>
      <c r="Z2346" s="45" t="b">
        <v>1</v>
      </c>
      <c r="AA2346" s="45" t="s">
        <v>38</v>
      </c>
      <c r="AB2346" s="45" t="s">
        <v>38</v>
      </c>
    </row>
    <row r="2347" spans="1:28" x14ac:dyDescent="0.2">
      <c r="A2347" s="96" t="s">
        <v>508</v>
      </c>
      <c r="B2347" s="96" t="s">
        <v>187</v>
      </c>
      <c r="C2347" s="277">
        <v>44916</v>
      </c>
      <c r="D2347" s="277">
        <v>44946</v>
      </c>
      <c r="E2347" s="270" t="s">
        <v>300</v>
      </c>
      <c r="F2347" s="133" t="s">
        <v>34</v>
      </c>
      <c r="G2347" s="270" t="s">
        <v>80</v>
      </c>
      <c r="H2347" s="272" t="s">
        <v>153</v>
      </c>
      <c r="I2347" s="273">
        <v>200</v>
      </c>
      <c r="J2347" s="270">
        <v>7154</v>
      </c>
      <c r="K2347" s="270">
        <f t="shared" si="0"/>
        <v>1430800</v>
      </c>
      <c r="L2347" s="270">
        <v>48299</v>
      </c>
      <c r="M2347" s="270">
        <v>-88600</v>
      </c>
      <c r="N2347" s="274">
        <v>93462.14</v>
      </c>
      <c r="O2347" s="55"/>
      <c r="P2347" s="105">
        <v>93462</v>
      </c>
      <c r="Q2347" s="270">
        <v>-77136</v>
      </c>
      <c r="R2347" s="275">
        <v>1.926E-3</v>
      </c>
      <c r="S2347" s="270">
        <v>-74380</v>
      </c>
      <c r="T2347" s="270">
        <v>19082</v>
      </c>
      <c r="U2347" s="57">
        <v>1</v>
      </c>
      <c r="V2347" s="276">
        <v>0.09</v>
      </c>
      <c r="W2347" s="276">
        <v>0.03</v>
      </c>
      <c r="X2347" s="270">
        <v>16792</v>
      </c>
      <c r="Y2347" s="270">
        <v>2290</v>
      </c>
      <c r="Z2347" s="45" t="b">
        <v>1</v>
      </c>
      <c r="AA2347" s="45" t="s">
        <v>38</v>
      </c>
      <c r="AB2347" s="45" t="s">
        <v>38</v>
      </c>
    </row>
    <row r="2348" spans="1:28" x14ac:dyDescent="0.2">
      <c r="A2348" s="96" t="s">
        <v>113</v>
      </c>
      <c r="B2348" s="96" t="s">
        <v>113</v>
      </c>
      <c r="C2348" s="277">
        <v>44916</v>
      </c>
      <c r="D2348" s="277">
        <v>44946</v>
      </c>
      <c r="E2348" s="270" t="s">
        <v>267</v>
      </c>
      <c r="F2348" s="133" t="s">
        <v>34</v>
      </c>
      <c r="G2348" s="96" t="s">
        <v>35</v>
      </c>
      <c r="H2348" s="272" t="s">
        <v>46</v>
      </c>
      <c r="I2348" s="273">
        <v>25</v>
      </c>
      <c r="J2348" s="270">
        <v>0</v>
      </c>
      <c r="K2348" s="270">
        <f t="shared" si="0"/>
        <v>0</v>
      </c>
      <c r="L2348" s="270">
        <v>0</v>
      </c>
      <c r="M2348" s="270">
        <v>0</v>
      </c>
      <c r="N2348" s="274">
        <v>0</v>
      </c>
      <c r="O2348" s="55"/>
      <c r="P2348" s="45">
        <v>0</v>
      </c>
      <c r="Q2348" s="270"/>
      <c r="R2348" s="275">
        <v>0</v>
      </c>
      <c r="S2348" s="270"/>
      <c r="T2348" s="270">
        <v>0</v>
      </c>
      <c r="U2348" s="57">
        <v>1</v>
      </c>
      <c r="V2348" s="276">
        <v>0</v>
      </c>
      <c r="W2348" s="276">
        <v>0</v>
      </c>
      <c r="X2348" s="270">
        <v>0</v>
      </c>
      <c r="Y2348" s="270">
        <v>0</v>
      </c>
      <c r="Z2348" s="45" t="b">
        <v>1</v>
      </c>
      <c r="AA2348" s="45" t="s">
        <v>38</v>
      </c>
      <c r="AB2348" s="45" t="s">
        <v>38</v>
      </c>
    </row>
    <row r="2349" spans="1:28" x14ac:dyDescent="0.2">
      <c r="A2349" s="96" t="s">
        <v>188</v>
      </c>
      <c r="B2349" s="96" t="s">
        <v>188</v>
      </c>
      <c r="C2349" s="277">
        <v>44916</v>
      </c>
      <c r="D2349" s="277">
        <v>44946</v>
      </c>
      <c r="E2349" s="270" t="s">
        <v>267</v>
      </c>
      <c r="F2349" s="133" t="s">
        <v>34</v>
      </c>
      <c r="G2349" s="96" t="s">
        <v>35</v>
      </c>
      <c r="H2349" s="272" t="s">
        <v>46</v>
      </c>
      <c r="I2349" s="273">
        <v>25</v>
      </c>
      <c r="J2349" s="270">
        <v>84</v>
      </c>
      <c r="K2349" s="270">
        <f t="shared" si="0"/>
        <v>2100</v>
      </c>
      <c r="L2349" s="270">
        <v>-8040</v>
      </c>
      <c r="M2349" s="270">
        <v>-275</v>
      </c>
      <c r="N2349" s="274">
        <v>91</v>
      </c>
      <c r="O2349" s="55"/>
      <c r="P2349" s="45">
        <v>91</v>
      </c>
      <c r="Q2349" s="270">
        <v>-502</v>
      </c>
      <c r="R2349" s="275">
        <v>1.926E-3</v>
      </c>
      <c r="S2349" s="270">
        <v>-498</v>
      </c>
      <c r="T2349" s="270">
        <v>-407</v>
      </c>
      <c r="U2349" s="57">
        <v>1</v>
      </c>
      <c r="V2349" s="276">
        <v>0.12</v>
      </c>
      <c r="W2349" s="276">
        <v>0</v>
      </c>
      <c r="X2349" s="270">
        <v>-358</v>
      </c>
      <c r="Y2349" s="270">
        <v>-49</v>
      </c>
      <c r="Z2349" s="45" t="b">
        <v>1</v>
      </c>
      <c r="AA2349" s="45" t="s">
        <v>38</v>
      </c>
      <c r="AB2349" s="45" t="s">
        <v>38</v>
      </c>
    </row>
    <row r="2350" spans="1:28" x14ac:dyDescent="0.2">
      <c r="A2350" s="96" t="s">
        <v>188</v>
      </c>
      <c r="B2350" s="96" t="s">
        <v>188</v>
      </c>
      <c r="C2350" s="277">
        <v>44916</v>
      </c>
      <c r="D2350" s="277">
        <v>44946</v>
      </c>
      <c r="E2350" s="270" t="s">
        <v>267</v>
      </c>
      <c r="F2350" s="133" t="s">
        <v>34</v>
      </c>
      <c r="G2350" s="96" t="s">
        <v>35</v>
      </c>
      <c r="H2350" s="272" t="s">
        <v>87</v>
      </c>
      <c r="I2350" s="273">
        <v>25</v>
      </c>
      <c r="J2350" s="270">
        <v>3074</v>
      </c>
      <c r="K2350" s="270">
        <f t="shared" si="0"/>
        <v>76850</v>
      </c>
      <c r="L2350" s="270">
        <v>31155</v>
      </c>
      <c r="M2350" s="270">
        <v>4525</v>
      </c>
      <c r="N2350" s="274">
        <v>3319</v>
      </c>
      <c r="O2350" s="55"/>
      <c r="P2350" s="105">
        <v>3319</v>
      </c>
      <c r="Q2350" s="270">
        <v>-2506</v>
      </c>
      <c r="R2350" s="275">
        <v>1.926E-3</v>
      </c>
      <c r="S2350" s="270">
        <v>-2358</v>
      </c>
      <c r="T2350" s="270">
        <v>961</v>
      </c>
      <c r="U2350" s="57">
        <v>1</v>
      </c>
      <c r="V2350" s="276">
        <v>0.12</v>
      </c>
      <c r="W2350" s="276">
        <v>0</v>
      </c>
      <c r="X2350" s="270">
        <v>845</v>
      </c>
      <c r="Y2350" s="270">
        <v>115</v>
      </c>
      <c r="Z2350" s="45" t="b">
        <v>1</v>
      </c>
      <c r="AA2350" s="45" t="s">
        <v>38</v>
      </c>
      <c r="AB2350" s="45" t="s">
        <v>38</v>
      </c>
    </row>
    <row r="2351" spans="1:28" x14ac:dyDescent="0.2">
      <c r="A2351" s="96" t="s">
        <v>188</v>
      </c>
      <c r="B2351" s="96" t="s">
        <v>188</v>
      </c>
      <c r="C2351" s="277">
        <v>44916</v>
      </c>
      <c r="D2351" s="277">
        <v>44946</v>
      </c>
      <c r="E2351" s="270" t="s">
        <v>267</v>
      </c>
      <c r="F2351" s="133" t="s">
        <v>34</v>
      </c>
      <c r="G2351" s="96" t="s">
        <v>35</v>
      </c>
      <c r="H2351" s="272" t="s">
        <v>72</v>
      </c>
      <c r="I2351" s="273">
        <v>50</v>
      </c>
      <c r="J2351" s="270">
        <v>584</v>
      </c>
      <c r="K2351" s="270">
        <f t="shared" si="0"/>
        <v>29200</v>
      </c>
      <c r="L2351" s="270">
        <v>15974</v>
      </c>
      <c r="M2351" s="270">
        <v>-1700</v>
      </c>
      <c r="N2351" s="274">
        <v>1261</v>
      </c>
      <c r="O2351" s="55"/>
      <c r="P2351" s="105">
        <v>1261</v>
      </c>
      <c r="Q2351" s="270">
        <v>-383</v>
      </c>
      <c r="R2351" s="275">
        <v>1.926E-3</v>
      </c>
      <c r="S2351" s="270">
        <v>-327</v>
      </c>
      <c r="T2351" s="270">
        <v>934</v>
      </c>
      <c r="U2351" s="57">
        <v>1</v>
      </c>
      <c r="V2351" s="276">
        <v>0.12</v>
      </c>
      <c r="W2351" s="276">
        <v>0</v>
      </c>
      <c r="X2351" s="270">
        <v>822</v>
      </c>
      <c r="Y2351" s="270">
        <v>112</v>
      </c>
      <c r="Z2351" s="45" t="b">
        <v>1</v>
      </c>
      <c r="AA2351" s="45" t="s">
        <v>38</v>
      </c>
      <c r="AB2351" s="45" t="s">
        <v>38</v>
      </c>
    </row>
    <row r="2352" spans="1:28" x14ac:dyDescent="0.2">
      <c r="A2352" s="96" t="s">
        <v>188</v>
      </c>
      <c r="B2352" s="96" t="s">
        <v>188</v>
      </c>
      <c r="C2352" s="277">
        <v>44916</v>
      </c>
      <c r="D2352" s="277">
        <v>44946</v>
      </c>
      <c r="E2352" s="270" t="s">
        <v>267</v>
      </c>
      <c r="F2352" s="133" t="s">
        <v>34</v>
      </c>
      <c r="G2352" s="96" t="s">
        <v>35</v>
      </c>
      <c r="H2352" s="272" t="s">
        <v>85</v>
      </c>
      <c r="I2352" s="273">
        <v>50</v>
      </c>
      <c r="J2352" s="270">
        <v>7103</v>
      </c>
      <c r="K2352" s="270">
        <f t="shared" si="0"/>
        <v>355150</v>
      </c>
      <c r="L2352" s="270">
        <v>88391</v>
      </c>
      <c r="M2352" s="270">
        <v>-16600</v>
      </c>
      <c r="N2352" s="274">
        <v>15336</v>
      </c>
      <c r="O2352" s="55"/>
      <c r="P2352" s="105">
        <v>15336</v>
      </c>
      <c r="Q2352" s="270">
        <v>-9001</v>
      </c>
      <c r="R2352" s="275">
        <v>1.926E-3</v>
      </c>
      <c r="S2352" s="270">
        <v>-8317</v>
      </c>
      <c r="T2352" s="270">
        <v>7019</v>
      </c>
      <c r="U2352" s="57">
        <v>1</v>
      </c>
      <c r="V2352" s="276">
        <v>0.12</v>
      </c>
      <c r="W2352" s="276">
        <v>0</v>
      </c>
      <c r="X2352" s="270">
        <v>6177</v>
      </c>
      <c r="Y2352" s="270">
        <v>842</v>
      </c>
      <c r="Z2352" s="45" t="b">
        <v>1</v>
      </c>
      <c r="AA2352" s="45" t="s">
        <v>38</v>
      </c>
      <c r="AB2352" s="45" t="s">
        <v>38</v>
      </c>
    </row>
    <row r="2353" spans="1:28" x14ac:dyDescent="0.2">
      <c r="A2353" s="96" t="s">
        <v>188</v>
      </c>
      <c r="B2353" s="96" t="s">
        <v>188</v>
      </c>
      <c r="C2353" s="277">
        <v>44916</v>
      </c>
      <c r="D2353" s="277">
        <v>44946</v>
      </c>
      <c r="E2353" s="270" t="s">
        <v>267</v>
      </c>
      <c r="F2353" s="133" t="s">
        <v>41</v>
      </c>
      <c r="G2353" s="96" t="s">
        <v>35</v>
      </c>
      <c r="H2353" s="272" t="s">
        <v>90</v>
      </c>
      <c r="I2353" s="273">
        <v>5</v>
      </c>
      <c r="J2353" s="270">
        <v>12</v>
      </c>
      <c r="K2353" s="270">
        <f t="shared" si="0"/>
        <v>60</v>
      </c>
      <c r="L2353" s="270"/>
      <c r="M2353" s="270">
        <v>-20</v>
      </c>
      <c r="N2353" s="274">
        <v>3</v>
      </c>
      <c r="O2353" s="55"/>
      <c r="P2353" s="45">
        <v>3</v>
      </c>
      <c r="Q2353" s="270"/>
      <c r="R2353" s="275">
        <v>0</v>
      </c>
      <c r="S2353" s="270"/>
      <c r="T2353" s="270">
        <v>-17</v>
      </c>
      <c r="U2353" s="57">
        <v>1</v>
      </c>
      <c r="V2353" s="276">
        <v>0.12</v>
      </c>
      <c r="W2353" s="276">
        <v>0</v>
      </c>
      <c r="X2353" s="270">
        <v>-15</v>
      </c>
      <c r="Y2353" s="270">
        <v>-2</v>
      </c>
      <c r="Z2353" s="45" t="b">
        <v>1</v>
      </c>
      <c r="AA2353" s="45" t="s">
        <v>38</v>
      </c>
      <c r="AB2353" s="45" t="s">
        <v>38</v>
      </c>
    </row>
    <row r="2354" spans="1:28" x14ac:dyDescent="0.2">
      <c r="A2354" s="96" t="s">
        <v>191</v>
      </c>
      <c r="B2354" s="96" t="s">
        <v>194</v>
      </c>
      <c r="C2354" s="277">
        <v>44916</v>
      </c>
      <c r="D2354" s="277">
        <v>44946</v>
      </c>
      <c r="E2354" s="270" t="s">
        <v>267</v>
      </c>
      <c r="F2354" s="133" t="s">
        <v>34</v>
      </c>
      <c r="G2354" s="96" t="s">
        <v>80</v>
      </c>
      <c r="H2354" s="272" t="s">
        <v>40</v>
      </c>
      <c r="I2354" s="273">
        <v>10</v>
      </c>
      <c r="J2354" s="270">
        <v>5906</v>
      </c>
      <c r="K2354" s="270">
        <f t="shared" si="0"/>
        <v>59060</v>
      </c>
      <c r="L2354" s="270">
        <v>116716</v>
      </c>
      <c r="M2354" s="270">
        <v>-1720</v>
      </c>
      <c r="N2354" s="274">
        <v>2660</v>
      </c>
      <c r="O2354" s="55"/>
      <c r="P2354" s="105">
        <v>2660</v>
      </c>
      <c r="Q2354" s="270">
        <v>-973</v>
      </c>
      <c r="R2354" s="275">
        <v>1.926E-3</v>
      </c>
      <c r="S2354" s="270">
        <v>-860</v>
      </c>
      <c r="T2354" s="270">
        <v>1800</v>
      </c>
      <c r="U2354" s="57">
        <v>1</v>
      </c>
      <c r="V2354" s="276">
        <v>0.22</v>
      </c>
      <c r="W2354" s="276">
        <v>0</v>
      </c>
      <c r="X2354" s="270">
        <v>1404</v>
      </c>
      <c r="Y2354" s="270">
        <v>396</v>
      </c>
      <c r="Z2354" s="45" t="b">
        <v>1</v>
      </c>
      <c r="AA2354" s="45" t="s">
        <v>38</v>
      </c>
      <c r="AB2354" s="45" t="s">
        <v>38</v>
      </c>
    </row>
    <row r="2355" spans="1:28" x14ac:dyDescent="0.2">
      <c r="A2355" s="96" t="s">
        <v>191</v>
      </c>
      <c r="B2355" s="96" t="s">
        <v>194</v>
      </c>
      <c r="C2355" s="277">
        <v>44916</v>
      </c>
      <c r="D2355" s="277">
        <v>44946</v>
      </c>
      <c r="E2355" s="270" t="s">
        <v>267</v>
      </c>
      <c r="F2355" s="133" t="s">
        <v>34</v>
      </c>
      <c r="G2355" s="96" t="s">
        <v>80</v>
      </c>
      <c r="H2355" s="272" t="s">
        <v>71</v>
      </c>
      <c r="I2355" s="273">
        <v>20</v>
      </c>
      <c r="J2355" s="270">
        <v>5</v>
      </c>
      <c r="K2355" s="270">
        <f t="shared" si="0"/>
        <v>100</v>
      </c>
      <c r="L2355" s="270">
        <v>691</v>
      </c>
      <c r="M2355" s="270">
        <v>40</v>
      </c>
      <c r="N2355" s="274">
        <v>7</v>
      </c>
      <c r="O2355" s="55"/>
      <c r="P2355" s="45">
        <v>7</v>
      </c>
      <c r="Q2355" s="270">
        <v>32</v>
      </c>
      <c r="R2355" s="275">
        <v>1.926E-3</v>
      </c>
      <c r="S2355" s="270">
        <v>33</v>
      </c>
      <c r="T2355" s="270">
        <v>40</v>
      </c>
      <c r="U2355" s="57">
        <v>1</v>
      </c>
      <c r="V2355" s="276">
        <v>0.22</v>
      </c>
      <c r="W2355" s="276">
        <v>0</v>
      </c>
      <c r="X2355" s="270">
        <v>31</v>
      </c>
      <c r="Y2355" s="270">
        <v>9</v>
      </c>
      <c r="Z2355" s="45" t="b">
        <v>1</v>
      </c>
      <c r="AA2355" s="45" t="s">
        <v>38</v>
      </c>
      <c r="AB2355" s="45" t="s">
        <v>38</v>
      </c>
    </row>
    <row r="2356" spans="1:28" x14ac:dyDescent="0.2">
      <c r="A2356" s="96" t="s">
        <v>195</v>
      </c>
      <c r="B2356" s="96" t="s">
        <v>195</v>
      </c>
      <c r="C2356" s="277">
        <v>44916</v>
      </c>
      <c r="D2356" s="277">
        <v>44946</v>
      </c>
      <c r="E2356" s="270" t="s">
        <v>267</v>
      </c>
      <c r="F2356" s="96" t="s">
        <v>34</v>
      </c>
      <c r="G2356" s="270" t="s">
        <v>35</v>
      </c>
      <c r="H2356" s="289" t="s">
        <v>39</v>
      </c>
      <c r="I2356" s="280">
        <v>5</v>
      </c>
      <c r="J2356" s="279">
        <v>22</v>
      </c>
      <c r="K2356" s="270">
        <f t="shared" si="0"/>
        <v>110</v>
      </c>
      <c r="L2356" s="279">
        <v>2006</v>
      </c>
      <c r="M2356" s="279">
        <v>10</v>
      </c>
      <c r="N2356" s="274">
        <v>7</v>
      </c>
      <c r="O2356" s="55"/>
      <c r="P2356" s="45">
        <v>7</v>
      </c>
      <c r="Q2356" s="279">
        <v>8</v>
      </c>
      <c r="R2356" s="275">
        <v>1.926E-3</v>
      </c>
      <c r="S2356" s="279">
        <v>9</v>
      </c>
      <c r="T2356" s="279">
        <v>16</v>
      </c>
      <c r="U2356" s="57">
        <v>1</v>
      </c>
      <c r="V2356" s="276">
        <v>0.23</v>
      </c>
      <c r="W2356" s="276">
        <v>0</v>
      </c>
      <c r="X2356" s="279">
        <v>12</v>
      </c>
      <c r="Y2356" s="279">
        <v>4</v>
      </c>
      <c r="Z2356" s="45" t="b">
        <v>1</v>
      </c>
      <c r="AA2356" s="45" t="s">
        <v>38</v>
      </c>
      <c r="AB2356" s="45" t="s">
        <v>38</v>
      </c>
    </row>
    <row r="2357" spans="1:28" x14ac:dyDescent="0.2">
      <c r="A2357" s="96" t="s">
        <v>195</v>
      </c>
      <c r="B2357" s="96" t="s">
        <v>195</v>
      </c>
      <c r="C2357" s="277">
        <v>44916</v>
      </c>
      <c r="D2357" s="277">
        <v>44946</v>
      </c>
      <c r="E2357" s="270" t="s">
        <v>267</v>
      </c>
      <c r="F2357" s="96" t="s">
        <v>34</v>
      </c>
      <c r="G2357" s="270" t="s">
        <v>35</v>
      </c>
      <c r="H2357" s="289" t="s">
        <v>40</v>
      </c>
      <c r="I2357" s="280">
        <v>10</v>
      </c>
      <c r="J2357" s="279">
        <v>11</v>
      </c>
      <c r="K2357" s="270">
        <f t="shared" si="0"/>
        <v>110</v>
      </c>
      <c r="L2357" s="279">
        <v>1210</v>
      </c>
      <c r="M2357" s="279">
        <v>0</v>
      </c>
      <c r="N2357" s="274">
        <v>6</v>
      </c>
      <c r="O2357" s="55"/>
      <c r="P2357" s="45">
        <v>6</v>
      </c>
      <c r="Q2357" s="279">
        <v>14</v>
      </c>
      <c r="R2357" s="275">
        <v>1.926E-3</v>
      </c>
      <c r="S2357" s="279">
        <v>14</v>
      </c>
      <c r="T2357" s="279">
        <v>20</v>
      </c>
      <c r="U2357" s="57">
        <v>1</v>
      </c>
      <c r="V2357" s="276">
        <v>0.23</v>
      </c>
      <c r="W2357" s="276">
        <v>0</v>
      </c>
      <c r="X2357" s="279">
        <v>16</v>
      </c>
      <c r="Y2357" s="279">
        <v>5</v>
      </c>
      <c r="Z2357" s="45" t="b">
        <v>1</v>
      </c>
      <c r="AA2357" s="45" t="s">
        <v>38</v>
      </c>
      <c r="AB2357" s="45" t="s">
        <v>38</v>
      </c>
    </row>
    <row r="2358" spans="1:28" x14ac:dyDescent="0.2">
      <c r="A2358" s="96" t="s">
        <v>195</v>
      </c>
      <c r="B2358" s="96" t="s">
        <v>195</v>
      </c>
      <c r="C2358" s="277">
        <v>44916</v>
      </c>
      <c r="D2358" s="277">
        <v>44946</v>
      </c>
      <c r="E2358" s="270" t="s">
        <v>267</v>
      </c>
      <c r="F2358" s="96" t="s">
        <v>34</v>
      </c>
      <c r="G2358" s="270" t="s">
        <v>35</v>
      </c>
      <c r="H2358" s="289" t="s">
        <v>46</v>
      </c>
      <c r="I2358" s="280">
        <v>25</v>
      </c>
      <c r="J2358" s="279">
        <v>2151</v>
      </c>
      <c r="K2358" s="270">
        <f t="shared" si="0"/>
        <v>53775</v>
      </c>
      <c r="L2358" s="279">
        <v>37625</v>
      </c>
      <c r="M2358" s="279">
        <v>1200</v>
      </c>
      <c r="N2358" s="274">
        <v>2582</v>
      </c>
      <c r="O2358" s="55"/>
      <c r="P2358" s="105">
        <v>2582</v>
      </c>
      <c r="Q2358" s="279">
        <v>-1697</v>
      </c>
      <c r="R2358" s="275">
        <v>1.926E-3</v>
      </c>
      <c r="S2358" s="279">
        <v>-1594</v>
      </c>
      <c r="T2358" s="279">
        <v>988</v>
      </c>
      <c r="U2358" s="57">
        <v>1</v>
      </c>
      <c r="V2358" s="276">
        <v>0.23</v>
      </c>
      <c r="W2358" s="276">
        <v>0</v>
      </c>
      <c r="X2358" s="279">
        <v>761</v>
      </c>
      <c r="Y2358" s="279">
        <v>227</v>
      </c>
      <c r="Z2358" s="45" t="b">
        <v>1</v>
      </c>
      <c r="AA2358" s="45" t="s">
        <v>38</v>
      </c>
      <c r="AB2358" s="45" t="s">
        <v>38</v>
      </c>
    </row>
    <row r="2359" spans="1:28" x14ac:dyDescent="0.2">
      <c r="A2359" s="96" t="s">
        <v>195</v>
      </c>
      <c r="B2359" s="96" t="s">
        <v>195</v>
      </c>
      <c r="C2359" s="277">
        <v>44916</v>
      </c>
      <c r="D2359" s="277">
        <v>44946</v>
      </c>
      <c r="E2359" s="270" t="s">
        <v>267</v>
      </c>
      <c r="F2359" s="96" t="s">
        <v>34</v>
      </c>
      <c r="G2359" s="270" t="s">
        <v>35</v>
      </c>
      <c r="H2359" s="289" t="s">
        <v>72</v>
      </c>
      <c r="I2359" s="280">
        <v>50</v>
      </c>
      <c r="J2359" s="279">
        <v>306</v>
      </c>
      <c r="K2359" s="270">
        <f t="shared" si="0"/>
        <v>15300</v>
      </c>
      <c r="L2359" s="279">
        <v>10779</v>
      </c>
      <c r="M2359" s="279">
        <v>-800</v>
      </c>
      <c r="N2359" s="274">
        <v>735</v>
      </c>
      <c r="O2359" s="55"/>
      <c r="P2359" s="45">
        <v>735</v>
      </c>
      <c r="Q2359" s="279">
        <v>20</v>
      </c>
      <c r="R2359" s="275">
        <v>1.926E-3</v>
      </c>
      <c r="S2359" s="279">
        <v>50</v>
      </c>
      <c r="T2359" s="279">
        <v>785</v>
      </c>
      <c r="U2359" s="57">
        <v>1</v>
      </c>
      <c r="V2359" s="276">
        <v>0.23</v>
      </c>
      <c r="W2359" s="276">
        <v>0</v>
      </c>
      <c r="X2359" s="279">
        <v>604</v>
      </c>
      <c r="Y2359" s="279">
        <v>180</v>
      </c>
      <c r="Z2359" s="45" t="b">
        <v>1</v>
      </c>
      <c r="AA2359" s="45" t="s">
        <v>38</v>
      </c>
      <c r="AB2359" s="45" t="s">
        <v>38</v>
      </c>
    </row>
    <row r="2360" spans="1:28" x14ac:dyDescent="0.2">
      <c r="A2360" s="96" t="s">
        <v>124</v>
      </c>
      <c r="B2360" s="96" t="s">
        <v>124</v>
      </c>
      <c r="C2360" s="277">
        <v>44916</v>
      </c>
      <c r="D2360" s="277">
        <v>44946</v>
      </c>
      <c r="E2360" s="270" t="s">
        <v>267</v>
      </c>
      <c r="F2360" s="96" t="s">
        <v>34</v>
      </c>
      <c r="G2360" s="270" t="s">
        <v>35</v>
      </c>
      <c r="H2360" s="272" t="s">
        <v>90</v>
      </c>
      <c r="I2360" s="273">
        <v>5</v>
      </c>
      <c r="J2360" s="270">
        <v>4</v>
      </c>
      <c r="K2360" s="270">
        <f t="shared" si="0"/>
        <v>20</v>
      </c>
      <c r="L2360" s="270">
        <v>-100</v>
      </c>
      <c r="M2360" s="270">
        <v>-10</v>
      </c>
      <c r="N2360" s="274">
        <v>1</v>
      </c>
      <c r="O2360" s="55"/>
      <c r="P2360" s="45">
        <v>1</v>
      </c>
      <c r="Q2360" s="270">
        <v>-3</v>
      </c>
      <c r="R2360" s="275">
        <v>1.926E-3</v>
      </c>
      <c r="S2360" s="270">
        <v>-3</v>
      </c>
      <c r="T2360" s="270">
        <v>-2</v>
      </c>
      <c r="U2360" s="57">
        <v>1</v>
      </c>
      <c r="V2360" s="276">
        <v>0.23</v>
      </c>
      <c r="W2360" s="276">
        <v>0</v>
      </c>
      <c r="X2360" s="270">
        <v>-2</v>
      </c>
      <c r="Y2360" s="270">
        <v>-1</v>
      </c>
      <c r="Z2360" s="45" t="b">
        <v>0</v>
      </c>
      <c r="AA2360" s="45" t="s">
        <v>38</v>
      </c>
      <c r="AB2360" s="45" t="s">
        <v>38</v>
      </c>
    </row>
    <row r="2361" spans="1:28" x14ac:dyDescent="0.2">
      <c r="A2361" s="96" t="s">
        <v>124</v>
      </c>
      <c r="B2361" s="96" t="s">
        <v>124</v>
      </c>
      <c r="C2361" s="277">
        <v>44916</v>
      </c>
      <c r="D2361" s="277">
        <v>44946</v>
      </c>
      <c r="E2361" s="270" t="s">
        <v>267</v>
      </c>
      <c r="F2361" s="96" t="s">
        <v>34</v>
      </c>
      <c r="G2361" s="270" t="s">
        <v>35</v>
      </c>
      <c r="H2361" s="272" t="s">
        <v>115</v>
      </c>
      <c r="I2361" s="273">
        <v>10</v>
      </c>
      <c r="J2361" s="270">
        <v>18713</v>
      </c>
      <c r="K2361" s="270">
        <f t="shared" si="0"/>
        <v>187130</v>
      </c>
      <c r="L2361" s="270">
        <v>236421</v>
      </c>
      <c r="M2361" s="270">
        <v>-10120</v>
      </c>
      <c r="N2361" s="274">
        <v>9547</v>
      </c>
      <c r="O2361" s="55"/>
      <c r="P2361" s="105">
        <v>9547</v>
      </c>
      <c r="Q2361" s="270">
        <v>-6620</v>
      </c>
      <c r="R2361" s="275">
        <v>1.926E-3</v>
      </c>
      <c r="S2361" s="270">
        <v>-6259</v>
      </c>
      <c r="T2361" s="270">
        <v>3288</v>
      </c>
      <c r="U2361" s="57">
        <v>1</v>
      </c>
      <c r="V2361" s="276">
        <v>0.23</v>
      </c>
      <c r="W2361" s="276">
        <v>0</v>
      </c>
      <c r="X2361" s="270">
        <v>2531</v>
      </c>
      <c r="Y2361" s="270">
        <v>756</v>
      </c>
      <c r="Z2361" s="45" t="b">
        <v>0</v>
      </c>
      <c r="AA2361" s="45" t="s">
        <v>38</v>
      </c>
      <c r="AB2361" s="45" t="s">
        <v>38</v>
      </c>
    </row>
    <row r="2362" spans="1:28" x14ac:dyDescent="0.2">
      <c r="A2362" s="96" t="s">
        <v>124</v>
      </c>
      <c r="B2362" s="96" t="s">
        <v>124</v>
      </c>
      <c r="C2362" s="277">
        <v>44916</v>
      </c>
      <c r="D2362" s="277">
        <v>44946</v>
      </c>
      <c r="E2362" s="270" t="s">
        <v>267</v>
      </c>
      <c r="F2362" s="96" t="s">
        <v>34</v>
      </c>
      <c r="G2362" s="270" t="s">
        <v>35</v>
      </c>
      <c r="H2362" s="272" t="s">
        <v>87</v>
      </c>
      <c r="I2362" s="273">
        <v>25</v>
      </c>
      <c r="J2362" s="270">
        <v>5133</v>
      </c>
      <c r="K2362" s="270">
        <f t="shared" si="0"/>
        <v>128325</v>
      </c>
      <c r="L2362" s="270">
        <v>42177</v>
      </c>
      <c r="M2362" s="270">
        <v>-7125</v>
      </c>
      <c r="N2362" s="274">
        <v>5612</v>
      </c>
      <c r="O2362" s="55"/>
      <c r="P2362" s="105">
        <v>5612</v>
      </c>
      <c r="Q2362" s="270">
        <v>-4954</v>
      </c>
      <c r="R2362" s="275">
        <v>1.926E-3</v>
      </c>
      <c r="S2362" s="270">
        <v>-4707</v>
      </c>
      <c r="T2362" s="270">
        <v>905</v>
      </c>
      <c r="U2362" s="57">
        <v>1</v>
      </c>
      <c r="V2362" s="276">
        <v>0.23</v>
      </c>
      <c r="W2362" s="276">
        <v>0</v>
      </c>
      <c r="X2362" s="270">
        <v>697</v>
      </c>
      <c r="Y2362" s="270">
        <v>208</v>
      </c>
      <c r="Z2362" s="45" t="b">
        <v>0</v>
      </c>
      <c r="AA2362" s="45" t="s">
        <v>38</v>
      </c>
      <c r="AB2362" s="45" t="s">
        <v>38</v>
      </c>
    </row>
    <row r="2363" spans="1:28" x14ac:dyDescent="0.2">
      <c r="A2363" s="96" t="s">
        <v>124</v>
      </c>
      <c r="B2363" s="96" t="s">
        <v>124</v>
      </c>
      <c r="C2363" s="277">
        <v>44916</v>
      </c>
      <c r="D2363" s="277">
        <v>44946</v>
      </c>
      <c r="E2363" s="270" t="s">
        <v>267</v>
      </c>
      <c r="F2363" s="96" t="s">
        <v>41</v>
      </c>
      <c r="G2363" s="270" t="s">
        <v>35</v>
      </c>
      <c r="H2363" s="272" t="s">
        <v>47</v>
      </c>
      <c r="I2363" s="273">
        <v>1</v>
      </c>
      <c r="J2363" s="270">
        <v>36</v>
      </c>
      <c r="K2363" s="270">
        <f t="shared" si="0"/>
        <v>36</v>
      </c>
      <c r="L2363" s="270"/>
      <c r="M2363" s="270">
        <v>1</v>
      </c>
      <c r="N2363" s="274">
        <v>2</v>
      </c>
      <c r="O2363" s="55"/>
      <c r="P2363" s="45">
        <v>2</v>
      </c>
      <c r="Q2363" s="270"/>
      <c r="R2363" s="275">
        <v>0</v>
      </c>
      <c r="S2363" s="270"/>
      <c r="T2363" s="270">
        <v>3</v>
      </c>
      <c r="U2363" s="57">
        <v>1</v>
      </c>
      <c r="V2363" s="276">
        <v>0.23</v>
      </c>
      <c r="W2363" s="276">
        <v>0</v>
      </c>
      <c r="X2363" s="270">
        <v>2</v>
      </c>
      <c r="Y2363" s="270">
        <v>1</v>
      </c>
      <c r="Z2363" s="45" t="b">
        <v>0</v>
      </c>
      <c r="AA2363" s="45" t="s">
        <v>38</v>
      </c>
      <c r="AB2363" s="45" t="s">
        <v>38</v>
      </c>
    </row>
    <row r="2364" spans="1:28" x14ac:dyDescent="0.2">
      <c r="A2364" s="270" t="s">
        <v>114</v>
      </c>
      <c r="B2364" s="270" t="s">
        <v>114</v>
      </c>
      <c r="C2364" s="277">
        <v>44916</v>
      </c>
      <c r="D2364" s="277">
        <v>44946</v>
      </c>
      <c r="E2364" s="270" t="s">
        <v>267</v>
      </c>
      <c r="F2364" s="96" t="s">
        <v>34</v>
      </c>
      <c r="G2364" s="270" t="s">
        <v>35</v>
      </c>
      <c r="H2364" s="272" t="s">
        <v>90</v>
      </c>
      <c r="I2364" s="273">
        <v>5</v>
      </c>
      <c r="J2364" s="270">
        <v>286</v>
      </c>
      <c r="K2364" s="270">
        <f t="shared" si="0"/>
        <v>1430</v>
      </c>
      <c r="L2364" s="270">
        <v>2611</v>
      </c>
      <c r="M2364" s="270">
        <v>0</v>
      </c>
      <c r="N2364" s="274">
        <v>19</v>
      </c>
      <c r="O2364" s="55"/>
      <c r="P2364" s="45">
        <v>19</v>
      </c>
      <c r="Q2364" s="270">
        <v>-93</v>
      </c>
      <c r="R2364" s="275">
        <v>1.926E-3</v>
      </c>
      <c r="S2364" s="270">
        <v>-90</v>
      </c>
      <c r="T2364" s="270">
        <v>-71</v>
      </c>
      <c r="U2364" s="57">
        <v>1</v>
      </c>
      <c r="V2364" s="276">
        <v>0.3</v>
      </c>
      <c r="W2364" s="276">
        <v>0</v>
      </c>
      <c r="X2364" s="270">
        <v>-50</v>
      </c>
      <c r="Y2364" s="270">
        <v>-21</v>
      </c>
      <c r="Z2364" s="45" t="b">
        <v>0</v>
      </c>
      <c r="AA2364" s="45" t="s">
        <v>38</v>
      </c>
      <c r="AB2364" s="45" t="s">
        <v>38</v>
      </c>
    </row>
    <row r="2365" spans="1:28" x14ac:dyDescent="0.2">
      <c r="A2365" s="270" t="s">
        <v>114</v>
      </c>
      <c r="B2365" s="270" t="s">
        <v>114</v>
      </c>
      <c r="C2365" s="277">
        <v>44916</v>
      </c>
      <c r="D2365" s="277">
        <v>44946</v>
      </c>
      <c r="E2365" s="270" t="s">
        <v>267</v>
      </c>
      <c r="F2365" s="96" t="s">
        <v>34</v>
      </c>
      <c r="G2365" s="270" t="s">
        <v>35</v>
      </c>
      <c r="H2365" s="272" t="s">
        <v>40</v>
      </c>
      <c r="I2365" s="273">
        <v>10</v>
      </c>
      <c r="J2365" s="270">
        <v>654</v>
      </c>
      <c r="K2365" s="270">
        <f t="shared" si="0"/>
        <v>6540</v>
      </c>
      <c r="L2365" s="270">
        <v>16753</v>
      </c>
      <c r="M2365" s="270">
        <v>310</v>
      </c>
      <c r="N2365" s="274">
        <v>76</v>
      </c>
      <c r="O2365" s="55"/>
      <c r="P2365" s="45">
        <v>76</v>
      </c>
      <c r="Q2365" s="270">
        <v>-186</v>
      </c>
      <c r="R2365" s="275">
        <v>1.926E-3</v>
      </c>
      <c r="S2365" s="270">
        <v>-173</v>
      </c>
      <c r="T2365" s="270">
        <v>-97</v>
      </c>
      <c r="U2365" s="57">
        <v>1</v>
      </c>
      <c r="V2365" s="276">
        <v>0.3</v>
      </c>
      <c r="W2365" s="276">
        <v>0</v>
      </c>
      <c r="X2365" s="270">
        <v>-68</v>
      </c>
      <c r="Y2365" s="270">
        <v>-29</v>
      </c>
      <c r="Z2365" s="45" t="b">
        <v>0</v>
      </c>
      <c r="AA2365" s="45" t="s">
        <v>38</v>
      </c>
      <c r="AB2365" s="45" t="s">
        <v>38</v>
      </c>
    </row>
    <row r="2366" spans="1:28" x14ac:dyDescent="0.2">
      <c r="A2366" s="270" t="s">
        <v>114</v>
      </c>
      <c r="B2366" s="270" t="s">
        <v>114</v>
      </c>
      <c r="C2366" s="277">
        <v>44916</v>
      </c>
      <c r="D2366" s="277">
        <v>44946</v>
      </c>
      <c r="E2366" s="270" t="s">
        <v>267</v>
      </c>
      <c r="F2366" s="96" t="s">
        <v>34</v>
      </c>
      <c r="G2366" s="270" t="s">
        <v>35</v>
      </c>
      <c r="H2366" s="272" t="s">
        <v>115</v>
      </c>
      <c r="I2366" s="273">
        <v>10</v>
      </c>
      <c r="J2366" s="270">
        <v>1118</v>
      </c>
      <c r="K2366" s="270">
        <f t="shared" si="0"/>
        <v>11180</v>
      </c>
      <c r="L2366" s="270">
        <v>15227</v>
      </c>
      <c r="M2366" s="270">
        <v>-1120</v>
      </c>
      <c r="N2366" s="274">
        <v>130</v>
      </c>
      <c r="O2366" s="55"/>
      <c r="P2366" s="45">
        <v>130</v>
      </c>
      <c r="Q2366" s="270">
        <v>-371</v>
      </c>
      <c r="R2366" s="275">
        <v>1.926E-3</v>
      </c>
      <c r="S2366" s="270">
        <v>-349</v>
      </c>
      <c r="T2366" s="270">
        <v>-219</v>
      </c>
      <c r="U2366" s="57">
        <v>1</v>
      </c>
      <c r="V2366" s="276">
        <v>0.3</v>
      </c>
      <c r="W2366" s="276">
        <v>0</v>
      </c>
      <c r="X2366" s="270">
        <v>-153</v>
      </c>
      <c r="Y2366" s="270">
        <v>-66</v>
      </c>
      <c r="Z2366" s="45" t="b">
        <v>0</v>
      </c>
      <c r="AA2366" s="45" t="s">
        <v>38</v>
      </c>
      <c r="AB2366" s="45" t="s">
        <v>38</v>
      </c>
    </row>
    <row r="2367" spans="1:28" x14ac:dyDescent="0.2">
      <c r="A2367" s="270" t="s">
        <v>114</v>
      </c>
      <c r="B2367" s="270" t="s">
        <v>114</v>
      </c>
      <c r="C2367" s="277">
        <v>44916</v>
      </c>
      <c r="D2367" s="277">
        <v>44946</v>
      </c>
      <c r="E2367" s="270" t="s">
        <v>267</v>
      </c>
      <c r="F2367" s="96" t="s">
        <v>41</v>
      </c>
      <c r="G2367" s="270" t="s">
        <v>35</v>
      </c>
      <c r="H2367" s="272" t="s">
        <v>45</v>
      </c>
      <c r="I2367" s="273">
        <v>0.25</v>
      </c>
      <c r="J2367" s="270">
        <v>2</v>
      </c>
      <c r="K2367" s="270">
        <f t="shared" si="0"/>
        <v>0.5</v>
      </c>
      <c r="L2367" s="270"/>
      <c r="M2367" s="270">
        <v>1</v>
      </c>
      <c r="N2367" s="274"/>
      <c r="O2367" s="55"/>
      <c r="P2367" s="96"/>
      <c r="Q2367" s="270"/>
      <c r="R2367" s="275">
        <v>0</v>
      </c>
      <c r="S2367" s="270"/>
      <c r="T2367" s="270">
        <v>1</v>
      </c>
      <c r="U2367" s="57">
        <v>1</v>
      </c>
      <c r="V2367" s="276">
        <v>0.3</v>
      </c>
      <c r="W2367" s="276">
        <v>0</v>
      </c>
      <c r="X2367" s="270">
        <v>1</v>
      </c>
      <c r="Y2367" s="270">
        <v>0</v>
      </c>
      <c r="Z2367" s="45" t="b">
        <v>0</v>
      </c>
      <c r="AA2367" s="45" t="s">
        <v>38</v>
      </c>
      <c r="AB2367" s="45" t="s">
        <v>38</v>
      </c>
    </row>
    <row r="2368" spans="1:28" x14ac:dyDescent="0.2">
      <c r="A2368" s="96" t="s">
        <v>206</v>
      </c>
      <c r="B2368" s="96" t="s">
        <v>206</v>
      </c>
      <c r="C2368" s="277">
        <v>44916</v>
      </c>
      <c r="D2368" s="277">
        <v>44946</v>
      </c>
      <c r="E2368" s="270" t="s">
        <v>267</v>
      </c>
      <c r="F2368" s="133" t="s">
        <v>34</v>
      </c>
      <c r="G2368" s="96" t="s">
        <v>35</v>
      </c>
      <c r="H2368" s="272" t="s">
        <v>70</v>
      </c>
      <c r="I2368" s="273">
        <v>100</v>
      </c>
      <c r="J2368" s="270">
        <v>1844</v>
      </c>
      <c r="K2368" s="270">
        <f t="shared" si="0"/>
        <v>184400</v>
      </c>
      <c r="L2368" s="270">
        <v>50315</v>
      </c>
      <c r="M2368" s="270">
        <v>9500</v>
      </c>
      <c r="N2368" s="274">
        <v>7330.5</v>
      </c>
      <c r="O2368" s="55"/>
      <c r="P2368" s="105">
        <v>7331</v>
      </c>
      <c r="Q2368" s="270">
        <v>-527</v>
      </c>
      <c r="R2368" s="275">
        <v>1.926E-3</v>
      </c>
      <c r="S2368" s="270">
        <v>-172</v>
      </c>
      <c r="T2368" s="270">
        <v>7159</v>
      </c>
      <c r="U2368" s="57">
        <v>1</v>
      </c>
      <c r="V2368" s="276">
        <v>0.1</v>
      </c>
      <c r="W2368" s="276">
        <v>0</v>
      </c>
      <c r="X2368" s="270">
        <v>6443</v>
      </c>
      <c r="Y2368" s="270">
        <v>716</v>
      </c>
      <c r="Z2368" s="45" t="b">
        <v>1</v>
      </c>
      <c r="AA2368" s="45" t="s">
        <v>38</v>
      </c>
      <c r="AB2368" s="45" t="s">
        <v>38</v>
      </c>
    </row>
    <row r="2369" spans="1:28" x14ac:dyDescent="0.2">
      <c r="A2369" s="96" t="s">
        <v>206</v>
      </c>
      <c r="B2369" s="96" t="s">
        <v>206</v>
      </c>
      <c r="C2369" s="277">
        <v>44916</v>
      </c>
      <c r="D2369" s="277">
        <v>44946</v>
      </c>
      <c r="E2369" s="270" t="s">
        <v>267</v>
      </c>
      <c r="F2369" s="133" t="s">
        <v>34</v>
      </c>
      <c r="G2369" s="96" t="s">
        <v>35</v>
      </c>
      <c r="H2369" s="272" t="s">
        <v>84</v>
      </c>
      <c r="I2369" s="273">
        <v>100</v>
      </c>
      <c r="J2369" s="270">
        <v>101</v>
      </c>
      <c r="K2369" s="270">
        <f t="shared" si="0"/>
        <v>10100</v>
      </c>
      <c r="L2369" s="270">
        <v>-188</v>
      </c>
      <c r="M2369" s="270">
        <v>-1800</v>
      </c>
      <c r="N2369" s="274">
        <v>401.51</v>
      </c>
      <c r="O2369" s="55"/>
      <c r="P2369" s="45">
        <v>402</v>
      </c>
      <c r="Q2369" s="270">
        <v>-604</v>
      </c>
      <c r="R2369" s="275">
        <v>1.926E-3</v>
      </c>
      <c r="S2369" s="270">
        <v>-585</v>
      </c>
      <c r="T2369" s="270">
        <v>-183</v>
      </c>
      <c r="U2369" s="57">
        <v>1</v>
      </c>
      <c r="V2369" s="276">
        <v>0.1</v>
      </c>
      <c r="W2369" s="276">
        <v>0</v>
      </c>
      <c r="X2369" s="270">
        <v>-165</v>
      </c>
      <c r="Y2369" s="270">
        <v>-18</v>
      </c>
      <c r="Z2369" s="45" t="b">
        <v>1</v>
      </c>
      <c r="AA2369" s="45" t="s">
        <v>38</v>
      </c>
      <c r="AB2369" s="45" t="s">
        <v>38</v>
      </c>
    </row>
    <row r="2370" spans="1:28" x14ac:dyDescent="0.2">
      <c r="A2370" s="96" t="s">
        <v>206</v>
      </c>
      <c r="B2370" s="96" t="s">
        <v>206</v>
      </c>
      <c r="C2370" s="277">
        <v>44916</v>
      </c>
      <c r="D2370" s="277">
        <v>44946</v>
      </c>
      <c r="E2370" s="270" t="s">
        <v>267</v>
      </c>
      <c r="F2370" s="133" t="s">
        <v>34</v>
      </c>
      <c r="G2370" s="96" t="s">
        <v>35</v>
      </c>
      <c r="H2370" s="272" t="s">
        <v>88</v>
      </c>
      <c r="I2370" s="273">
        <v>250</v>
      </c>
      <c r="J2370" s="270">
        <v>584</v>
      </c>
      <c r="K2370" s="270">
        <f t="shared" si="0"/>
        <v>146000</v>
      </c>
      <c r="L2370" s="270">
        <v>22707</v>
      </c>
      <c r="M2370" s="270">
        <v>21000</v>
      </c>
      <c r="N2370" s="274">
        <v>5803.98</v>
      </c>
      <c r="O2370" s="55"/>
      <c r="P2370" s="105">
        <v>5804</v>
      </c>
      <c r="Q2370" s="270">
        <v>3134</v>
      </c>
      <c r="R2370" s="275">
        <v>1.926E-3</v>
      </c>
      <c r="S2370" s="270">
        <v>3415</v>
      </c>
      <c r="T2370" s="270">
        <v>9219</v>
      </c>
      <c r="U2370" s="57">
        <v>1</v>
      </c>
      <c r="V2370" s="276">
        <v>0.1</v>
      </c>
      <c r="W2370" s="276">
        <v>0</v>
      </c>
      <c r="X2370" s="270">
        <v>8297</v>
      </c>
      <c r="Y2370" s="270">
        <v>922</v>
      </c>
      <c r="Z2370" s="45" t="b">
        <v>1</v>
      </c>
      <c r="AA2370" s="45" t="s">
        <v>38</v>
      </c>
      <c r="AB2370" s="45" t="s">
        <v>38</v>
      </c>
    </row>
    <row r="2371" spans="1:28" x14ac:dyDescent="0.2">
      <c r="A2371" s="96" t="s">
        <v>206</v>
      </c>
      <c r="B2371" s="96" t="s">
        <v>206</v>
      </c>
      <c r="C2371" s="277">
        <v>44916</v>
      </c>
      <c r="D2371" s="277">
        <v>44946</v>
      </c>
      <c r="E2371" s="270" t="s">
        <v>267</v>
      </c>
      <c r="F2371" s="133" t="s">
        <v>34</v>
      </c>
      <c r="G2371" s="96" t="s">
        <v>35</v>
      </c>
      <c r="H2371" s="272" t="s">
        <v>148</v>
      </c>
      <c r="I2371" s="273">
        <v>250</v>
      </c>
      <c r="J2371" s="270">
        <v>97</v>
      </c>
      <c r="K2371" s="270">
        <f t="shared" si="0"/>
        <v>24250</v>
      </c>
      <c r="L2371" s="270">
        <v>815</v>
      </c>
      <c r="M2371" s="270">
        <v>-4250</v>
      </c>
      <c r="N2371" s="274">
        <v>964.02</v>
      </c>
      <c r="O2371" s="55"/>
      <c r="P2371" s="45">
        <v>964</v>
      </c>
      <c r="Q2371" s="270">
        <v>-613</v>
      </c>
      <c r="R2371" s="275">
        <v>1.926E-3</v>
      </c>
      <c r="S2371" s="270">
        <v>-566</v>
      </c>
      <c r="T2371" s="270">
        <v>398</v>
      </c>
      <c r="U2371" s="57">
        <v>1</v>
      </c>
      <c r="V2371" s="276">
        <v>0.1</v>
      </c>
      <c r="W2371" s="276">
        <v>0</v>
      </c>
      <c r="X2371" s="270">
        <v>358</v>
      </c>
      <c r="Y2371" s="270">
        <v>40</v>
      </c>
      <c r="Z2371" s="45" t="b">
        <v>1</v>
      </c>
      <c r="AA2371" s="45" t="s">
        <v>38</v>
      </c>
      <c r="AB2371" s="45" t="s">
        <v>38</v>
      </c>
    </row>
    <row r="2372" spans="1:28" x14ac:dyDescent="0.2">
      <c r="A2372" s="279" t="s">
        <v>60</v>
      </c>
      <c r="B2372" s="279" t="s">
        <v>78</v>
      </c>
      <c r="C2372" s="282">
        <v>44927</v>
      </c>
      <c r="D2372" s="282">
        <v>44957</v>
      </c>
      <c r="E2372" s="279" t="s">
        <v>267</v>
      </c>
      <c r="F2372" s="133" t="s">
        <v>41</v>
      </c>
      <c r="G2372" s="279" t="s">
        <v>53</v>
      </c>
      <c r="H2372" s="289" t="s">
        <v>55</v>
      </c>
      <c r="I2372" s="280">
        <v>10</v>
      </c>
      <c r="J2372" s="279">
        <v>495</v>
      </c>
      <c r="K2372" s="270">
        <f t="shared" si="0"/>
        <v>4950</v>
      </c>
      <c r="L2372" s="279">
        <v>20295</v>
      </c>
      <c r="M2372" s="279">
        <v>-172</v>
      </c>
      <c r="N2372" s="281"/>
      <c r="O2372" s="55">
        <v>0.5</v>
      </c>
      <c r="P2372" s="45">
        <v>173</v>
      </c>
      <c r="Q2372" s="279">
        <v>-5</v>
      </c>
      <c r="R2372" s="275">
        <v>0</v>
      </c>
      <c r="S2372" s="279">
        <v>-5</v>
      </c>
      <c r="T2372" s="279">
        <v>1</v>
      </c>
      <c r="U2372" s="57">
        <v>1.075</v>
      </c>
      <c r="V2372" s="290"/>
      <c r="W2372" s="276">
        <v>0</v>
      </c>
      <c r="X2372" s="279">
        <v>1</v>
      </c>
      <c r="Y2372" s="279">
        <v>0</v>
      </c>
      <c r="Z2372" s="45" t="b">
        <v>0</v>
      </c>
      <c r="AA2372" s="45" t="s">
        <v>38</v>
      </c>
      <c r="AB2372" s="45" t="s">
        <v>50</v>
      </c>
    </row>
    <row r="2373" spans="1:28" x14ac:dyDescent="0.2">
      <c r="A2373" s="96" t="s">
        <v>145</v>
      </c>
      <c r="B2373" s="96" t="s">
        <v>145</v>
      </c>
      <c r="C2373" s="277">
        <v>44916</v>
      </c>
      <c r="D2373" s="277">
        <v>44957</v>
      </c>
      <c r="E2373" s="270" t="s">
        <v>300</v>
      </c>
      <c r="F2373" s="133" t="s">
        <v>49</v>
      </c>
      <c r="G2373" s="279" t="s">
        <v>35</v>
      </c>
      <c r="H2373" s="272" t="s">
        <v>85</v>
      </c>
      <c r="I2373" s="273">
        <v>50</v>
      </c>
      <c r="J2373" s="270">
        <v>803</v>
      </c>
      <c r="K2373" s="270">
        <f t="shared" si="0"/>
        <v>40150</v>
      </c>
      <c r="L2373" s="270">
        <v>9926</v>
      </c>
      <c r="M2373" s="270">
        <v>850</v>
      </c>
      <c r="N2373" s="274">
        <v>2329.09</v>
      </c>
      <c r="O2373" s="55"/>
      <c r="P2373" s="105">
        <v>2329</v>
      </c>
      <c r="Q2373" s="270">
        <v>-1036</v>
      </c>
      <c r="R2373" s="275">
        <v>1.7880000000000001E-3</v>
      </c>
      <c r="S2373" s="270">
        <v>-964</v>
      </c>
      <c r="T2373" s="270">
        <v>1365</v>
      </c>
      <c r="U2373" s="57">
        <v>1</v>
      </c>
      <c r="V2373" s="276">
        <v>0.17499999999999999</v>
      </c>
      <c r="W2373" s="276">
        <v>7.4999999999999997E-2</v>
      </c>
      <c r="X2373" s="270">
        <v>1024</v>
      </c>
      <c r="Y2373" s="270">
        <v>341</v>
      </c>
      <c r="Z2373" s="45" t="b">
        <v>0</v>
      </c>
      <c r="AA2373" s="45" t="s">
        <v>38</v>
      </c>
      <c r="AB2373" s="45" t="s">
        <v>38</v>
      </c>
    </row>
    <row r="2374" spans="1:28" x14ac:dyDescent="0.2">
      <c r="A2374" s="96" t="s">
        <v>145</v>
      </c>
      <c r="B2374" s="96" t="s">
        <v>145</v>
      </c>
      <c r="C2374" s="277">
        <v>44916</v>
      </c>
      <c r="D2374" s="277">
        <v>44957</v>
      </c>
      <c r="E2374" s="270" t="s">
        <v>300</v>
      </c>
      <c r="F2374" s="133" t="s">
        <v>49</v>
      </c>
      <c r="G2374" s="279" t="s">
        <v>35</v>
      </c>
      <c r="H2374" s="272" t="s">
        <v>70</v>
      </c>
      <c r="I2374" s="273">
        <v>100</v>
      </c>
      <c r="J2374" s="270">
        <v>7</v>
      </c>
      <c r="K2374" s="270">
        <f t="shared" si="0"/>
        <v>700</v>
      </c>
      <c r="L2374" s="270">
        <v>-1229</v>
      </c>
      <c r="M2374" s="270">
        <v>0</v>
      </c>
      <c r="N2374" s="274">
        <v>33.840000000000003</v>
      </c>
      <c r="O2374" s="55"/>
      <c r="P2374" s="45">
        <v>34</v>
      </c>
      <c r="Q2374" s="270">
        <v>-268</v>
      </c>
      <c r="R2374" s="275">
        <v>1.645E-3</v>
      </c>
      <c r="S2374" s="270">
        <v>-267</v>
      </c>
      <c r="T2374" s="270">
        <v>-233</v>
      </c>
      <c r="U2374" s="57">
        <v>1</v>
      </c>
      <c r="V2374" s="276">
        <v>0.17499999999999999</v>
      </c>
      <c r="W2374" s="276">
        <v>7.4999999999999997E-2</v>
      </c>
      <c r="X2374" s="270">
        <v>-175</v>
      </c>
      <c r="Y2374" s="270">
        <v>-58</v>
      </c>
      <c r="Z2374" s="45" t="b">
        <v>0</v>
      </c>
      <c r="AA2374" s="45" t="s">
        <v>38</v>
      </c>
      <c r="AB2374" s="45" t="s">
        <v>38</v>
      </c>
    </row>
    <row r="2375" spans="1:28" x14ac:dyDescent="0.2">
      <c r="A2375" s="96" t="s">
        <v>145</v>
      </c>
      <c r="B2375" s="96" t="s">
        <v>145</v>
      </c>
      <c r="C2375" s="277">
        <v>44916</v>
      </c>
      <c r="D2375" s="277">
        <v>44957</v>
      </c>
      <c r="E2375" s="270" t="s">
        <v>300</v>
      </c>
      <c r="F2375" s="133" t="s">
        <v>49</v>
      </c>
      <c r="G2375" s="279" t="s">
        <v>35</v>
      </c>
      <c r="H2375" s="272" t="s">
        <v>84</v>
      </c>
      <c r="I2375" s="273">
        <v>100</v>
      </c>
      <c r="J2375" s="270">
        <v>7092</v>
      </c>
      <c r="K2375" s="270">
        <f t="shared" si="0"/>
        <v>709200</v>
      </c>
      <c r="L2375" s="270">
        <v>67155</v>
      </c>
      <c r="M2375" s="270">
        <v>-18800</v>
      </c>
      <c r="N2375" s="274">
        <v>34283.67</v>
      </c>
      <c r="O2375" s="55"/>
      <c r="P2375" s="105">
        <v>34284</v>
      </c>
      <c r="Q2375" s="270">
        <v>-17319</v>
      </c>
      <c r="R2375" s="275">
        <v>2.3600000000000001E-3</v>
      </c>
      <c r="S2375" s="270">
        <v>-15645</v>
      </c>
      <c r="T2375" s="270">
        <v>18639</v>
      </c>
      <c r="U2375" s="57">
        <v>1</v>
      </c>
      <c r="V2375" s="276">
        <v>0.17499999999999999</v>
      </c>
      <c r="W2375" s="276">
        <v>7.4999999999999997E-2</v>
      </c>
      <c r="X2375" s="270">
        <v>13979</v>
      </c>
      <c r="Y2375" s="270">
        <v>4660</v>
      </c>
      <c r="Z2375" s="45" t="b">
        <v>0</v>
      </c>
      <c r="AA2375" s="45" t="s">
        <v>38</v>
      </c>
      <c r="AB2375" s="45" t="s">
        <v>38</v>
      </c>
    </row>
    <row r="2376" spans="1:28" x14ac:dyDescent="0.2">
      <c r="A2376" s="96" t="s">
        <v>145</v>
      </c>
      <c r="B2376" s="96" t="s">
        <v>145</v>
      </c>
      <c r="C2376" s="277">
        <v>44916</v>
      </c>
      <c r="D2376" s="277">
        <v>44957</v>
      </c>
      <c r="E2376" s="270" t="s">
        <v>300</v>
      </c>
      <c r="F2376" s="133" t="s">
        <v>49</v>
      </c>
      <c r="G2376" s="279" t="s">
        <v>35</v>
      </c>
      <c r="H2376" s="272" t="s">
        <v>88</v>
      </c>
      <c r="I2376" s="273">
        <v>250</v>
      </c>
      <c r="J2376" s="270">
        <v>1732</v>
      </c>
      <c r="K2376" s="270">
        <f t="shared" si="0"/>
        <v>433000</v>
      </c>
      <c r="L2376" s="270">
        <v>56397</v>
      </c>
      <c r="M2376" s="270">
        <v>-6500</v>
      </c>
      <c r="N2376" s="274">
        <v>20931.79</v>
      </c>
      <c r="O2376" s="55"/>
      <c r="P2376" s="105">
        <v>20932</v>
      </c>
      <c r="Q2376" s="270">
        <v>4151</v>
      </c>
      <c r="R2376" s="275">
        <v>1.797E-3</v>
      </c>
      <c r="S2376" s="270">
        <v>4929</v>
      </c>
      <c r="T2376" s="270">
        <v>25861</v>
      </c>
      <c r="U2376" s="57">
        <v>1</v>
      </c>
      <c r="V2376" s="276">
        <v>0.17499999999999999</v>
      </c>
      <c r="W2376" s="276">
        <v>7.4999999999999997E-2</v>
      </c>
      <c r="X2376" s="270">
        <v>19396</v>
      </c>
      <c r="Y2376" s="270">
        <v>6465</v>
      </c>
      <c r="Z2376" s="45" t="b">
        <v>0</v>
      </c>
      <c r="AA2376" s="45" t="s">
        <v>38</v>
      </c>
      <c r="AB2376" s="45" t="s">
        <v>38</v>
      </c>
    </row>
    <row r="2377" spans="1:28" x14ac:dyDescent="0.2">
      <c r="A2377" s="96" t="s">
        <v>145</v>
      </c>
      <c r="B2377" s="96" t="s">
        <v>145</v>
      </c>
      <c r="C2377" s="277">
        <v>44916</v>
      </c>
      <c r="D2377" s="277">
        <v>44957</v>
      </c>
      <c r="E2377" s="270" t="s">
        <v>300</v>
      </c>
      <c r="F2377" s="133" t="s">
        <v>49</v>
      </c>
      <c r="G2377" s="279" t="s">
        <v>35</v>
      </c>
      <c r="H2377" s="272" t="s">
        <v>148</v>
      </c>
      <c r="I2377" s="273">
        <v>250</v>
      </c>
      <c r="J2377" s="270">
        <v>1682</v>
      </c>
      <c r="K2377" s="270">
        <f t="shared" si="0"/>
        <v>420500</v>
      </c>
      <c r="L2377" s="270">
        <v>16267</v>
      </c>
      <c r="M2377" s="270">
        <v>-22750</v>
      </c>
      <c r="N2377" s="274">
        <v>20327.53</v>
      </c>
      <c r="O2377" s="55"/>
      <c r="P2377" s="105">
        <v>20328</v>
      </c>
      <c r="Q2377" s="270">
        <v>-8961</v>
      </c>
      <c r="R2377" s="275">
        <v>2.565E-3</v>
      </c>
      <c r="S2377" s="270">
        <v>-7883</v>
      </c>
      <c r="T2377" s="270">
        <v>12445</v>
      </c>
      <c r="U2377" s="57">
        <v>1</v>
      </c>
      <c r="V2377" s="276">
        <v>0.17499999999999999</v>
      </c>
      <c r="W2377" s="276">
        <v>7.4999999999999997E-2</v>
      </c>
      <c r="X2377" s="270">
        <v>9333</v>
      </c>
      <c r="Y2377" s="270">
        <v>3111</v>
      </c>
      <c r="Z2377" s="45" t="b">
        <v>0</v>
      </c>
      <c r="AA2377" s="45" t="s">
        <v>38</v>
      </c>
      <c r="AB2377" s="45" t="s">
        <v>38</v>
      </c>
    </row>
    <row r="2378" spans="1:28" x14ac:dyDescent="0.2">
      <c r="A2378" s="96" t="s">
        <v>145</v>
      </c>
      <c r="B2378" s="96" t="s">
        <v>145</v>
      </c>
      <c r="C2378" s="277">
        <v>44916</v>
      </c>
      <c r="D2378" s="277">
        <v>44957</v>
      </c>
      <c r="E2378" s="270" t="s">
        <v>300</v>
      </c>
      <c r="F2378" s="133" t="s">
        <v>49</v>
      </c>
      <c r="G2378" s="279" t="s">
        <v>35</v>
      </c>
      <c r="H2378" s="272" t="s">
        <v>142</v>
      </c>
      <c r="I2378" s="273">
        <v>500</v>
      </c>
      <c r="J2378" s="270">
        <v>146</v>
      </c>
      <c r="K2378" s="270">
        <f t="shared" si="0"/>
        <v>73000</v>
      </c>
      <c r="L2378" s="270">
        <v>-3811</v>
      </c>
      <c r="M2378" s="270">
        <v>36500</v>
      </c>
      <c r="N2378" s="274">
        <v>3528.92</v>
      </c>
      <c r="O2378" s="55"/>
      <c r="P2378" s="105">
        <v>3529</v>
      </c>
      <c r="Q2378" s="270">
        <v>-7302</v>
      </c>
      <c r="R2378" s="275">
        <v>1.7960000000000001E-3</v>
      </c>
      <c r="S2378" s="270">
        <v>-7171</v>
      </c>
      <c r="T2378" s="270">
        <v>-3642</v>
      </c>
      <c r="U2378" s="57">
        <v>1</v>
      </c>
      <c r="V2378" s="276">
        <v>0.17499999999999999</v>
      </c>
      <c r="W2378" s="276">
        <v>7.4999999999999997E-2</v>
      </c>
      <c r="X2378" s="270">
        <v>-2732</v>
      </c>
      <c r="Y2378" s="270">
        <v>-911</v>
      </c>
      <c r="Z2378" s="45" t="b">
        <v>0</v>
      </c>
      <c r="AA2378" s="45" t="s">
        <v>38</v>
      </c>
      <c r="AB2378" s="45" t="s">
        <v>38</v>
      </c>
    </row>
    <row r="2379" spans="1:28" x14ac:dyDescent="0.2">
      <c r="A2379" s="96" t="s">
        <v>145</v>
      </c>
      <c r="B2379" s="96" t="s">
        <v>145</v>
      </c>
      <c r="C2379" s="277">
        <v>44916</v>
      </c>
      <c r="D2379" s="277">
        <v>44957</v>
      </c>
      <c r="E2379" s="270" t="s">
        <v>300</v>
      </c>
      <c r="F2379" s="133" t="s">
        <v>49</v>
      </c>
      <c r="G2379" s="279" t="s">
        <v>35</v>
      </c>
      <c r="H2379" s="272" t="s">
        <v>149</v>
      </c>
      <c r="I2379" s="273">
        <v>500</v>
      </c>
      <c r="J2379" s="270">
        <v>42</v>
      </c>
      <c r="K2379" s="270">
        <f t="shared" si="0"/>
        <v>21000</v>
      </c>
      <c r="L2379" s="270">
        <v>786</v>
      </c>
      <c r="M2379" s="270">
        <v>-4500</v>
      </c>
      <c r="N2379" s="274">
        <v>1015.17</v>
      </c>
      <c r="O2379" s="55"/>
      <c r="P2379" s="105">
        <v>1015</v>
      </c>
      <c r="Q2379" s="270">
        <v>165</v>
      </c>
      <c r="R2379" s="275">
        <v>1.807E-3</v>
      </c>
      <c r="S2379" s="270">
        <v>203</v>
      </c>
      <c r="T2379" s="270">
        <v>1218</v>
      </c>
      <c r="U2379" s="57">
        <v>1</v>
      </c>
      <c r="V2379" s="276">
        <v>0.17499999999999999</v>
      </c>
      <c r="W2379" s="276">
        <v>7.4999999999999997E-2</v>
      </c>
      <c r="X2379" s="270">
        <v>914</v>
      </c>
      <c r="Y2379" s="270">
        <v>305</v>
      </c>
      <c r="Z2379" s="45" t="b">
        <v>0</v>
      </c>
      <c r="AA2379" s="45" t="s">
        <v>38</v>
      </c>
      <c r="AB2379" s="45" t="s">
        <v>38</v>
      </c>
    </row>
    <row r="2380" spans="1:28" x14ac:dyDescent="0.2">
      <c r="A2380" s="279" t="s">
        <v>155</v>
      </c>
      <c r="B2380" s="279" t="s">
        <v>155</v>
      </c>
      <c r="C2380" s="277">
        <v>44916</v>
      </c>
      <c r="D2380" s="277">
        <v>44957</v>
      </c>
      <c r="E2380" s="279" t="s">
        <v>267</v>
      </c>
      <c r="F2380" s="133" t="s">
        <v>41</v>
      </c>
      <c r="G2380" s="270" t="s">
        <v>35</v>
      </c>
      <c r="H2380" s="272" t="s">
        <v>42</v>
      </c>
      <c r="I2380" s="273">
        <v>1</v>
      </c>
      <c r="J2380" s="270">
        <v>1</v>
      </c>
      <c r="K2380" s="270">
        <f t="shared" si="0"/>
        <v>1</v>
      </c>
      <c r="L2380" s="270"/>
      <c r="M2380" s="270">
        <v>-1</v>
      </c>
      <c r="N2380" s="274"/>
      <c r="O2380" s="55"/>
      <c r="P2380" s="96"/>
      <c r="Q2380" s="270"/>
      <c r="R2380" s="275">
        <v>0</v>
      </c>
      <c r="S2380" s="270"/>
      <c r="T2380" s="270">
        <v>-1</v>
      </c>
      <c r="U2380" s="57">
        <v>1</v>
      </c>
      <c r="V2380" s="276">
        <v>0.23</v>
      </c>
      <c r="W2380" s="276">
        <v>0</v>
      </c>
      <c r="X2380" s="270">
        <v>-1</v>
      </c>
      <c r="Y2380" s="270">
        <v>0</v>
      </c>
      <c r="Z2380" s="45" t="b">
        <v>1</v>
      </c>
      <c r="AA2380" s="45" t="s">
        <v>38</v>
      </c>
      <c r="AB2380" s="45" t="s">
        <v>38</v>
      </c>
    </row>
    <row r="2381" spans="1:28" x14ac:dyDescent="0.2">
      <c r="A2381" s="279" t="s">
        <v>155</v>
      </c>
      <c r="B2381" s="279" t="s">
        <v>155</v>
      </c>
      <c r="C2381" s="277">
        <v>44916</v>
      </c>
      <c r="D2381" s="277">
        <v>44957</v>
      </c>
      <c r="E2381" s="279" t="s">
        <v>267</v>
      </c>
      <c r="F2381" s="133" t="s">
        <v>49</v>
      </c>
      <c r="G2381" s="270" t="s">
        <v>35</v>
      </c>
      <c r="H2381" s="272" t="s">
        <v>46</v>
      </c>
      <c r="I2381" s="273">
        <v>25</v>
      </c>
      <c r="J2381" s="270">
        <v>2673</v>
      </c>
      <c r="K2381" s="270">
        <f t="shared" si="0"/>
        <v>66825</v>
      </c>
      <c r="L2381" s="270">
        <v>46139</v>
      </c>
      <c r="M2381" s="270">
        <v>-1800</v>
      </c>
      <c r="N2381" s="274">
        <v>3871</v>
      </c>
      <c r="O2381" s="55"/>
      <c r="P2381" s="105">
        <v>3871</v>
      </c>
      <c r="Q2381" s="270">
        <v>-2138</v>
      </c>
      <c r="R2381" s="275">
        <v>1.794E-3</v>
      </c>
      <c r="S2381" s="270">
        <v>-2018</v>
      </c>
      <c r="T2381" s="270">
        <v>1853</v>
      </c>
      <c r="U2381" s="57">
        <v>1</v>
      </c>
      <c r="V2381" s="276">
        <v>0.23</v>
      </c>
      <c r="W2381" s="276">
        <v>0</v>
      </c>
      <c r="X2381" s="270">
        <v>1427</v>
      </c>
      <c r="Y2381" s="270">
        <v>426</v>
      </c>
      <c r="Z2381" s="45" t="b">
        <v>1</v>
      </c>
      <c r="AA2381" s="45" t="s">
        <v>38</v>
      </c>
      <c r="AB2381" s="45" t="s">
        <v>38</v>
      </c>
    </row>
    <row r="2382" spans="1:28" x14ac:dyDescent="0.2">
      <c r="A2382" s="279" t="s">
        <v>155</v>
      </c>
      <c r="B2382" s="279" t="s">
        <v>155</v>
      </c>
      <c r="C2382" s="277">
        <v>44916</v>
      </c>
      <c r="D2382" s="277">
        <v>44957</v>
      </c>
      <c r="E2382" s="279" t="s">
        <v>267</v>
      </c>
      <c r="F2382" s="133" t="s">
        <v>49</v>
      </c>
      <c r="G2382" s="270" t="s">
        <v>35</v>
      </c>
      <c r="H2382" s="272" t="s">
        <v>72</v>
      </c>
      <c r="I2382" s="273">
        <v>50</v>
      </c>
      <c r="J2382" s="270">
        <v>10</v>
      </c>
      <c r="K2382" s="270">
        <f t="shared" si="0"/>
        <v>500</v>
      </c>
      <c r="L2382" s="270">
        <v>-46</v>
      </c>
      <c r="M2382" s="270">
        <v>-250</v>
      </c>
      <c r="N2382" s="274">
        <v>29</v>
      </c>
      <c r="O2382" s="55"/>
      <c r="P2382" s="45">
        <v>29</v>
      </c>
      <c r="Q2382" s="270">
        <v>-36</v>
      </c>
      <c r="R2382" s="275">
        <v>2.5300000000000001E-3</v>
      </c>
      <c r="S2382" s="270">
        <v>-35</v>
      </c>
      <c r="T2382" s="270">
        <v>-6</v>
      </c>
      <c r="U2382" s="57">
        <v>1</v>
      </c>
      <c r="V2382" s="276">
        <v>0.23</v>
      </c>
      <c r="W2382" s="276">
        <v>0</v>
      </c>
      <c r="X2382" s="270">
        <v>-5</v>
      </c>
      <c r="Y2382" s="270">
        <v>-1</v>
      </c>
      <c r="Z2382" s="45" t="b">
        <v>1</v>
      </c>
      <c r="AA2382" s="45" t="s">
        <v>38</v>
      </c>
      <c r="AB2382" s="45" t="s">
        <v>38</v>
      </c>
    </row>
    <row r="2383" spans="1:28" x14ac:dyDescent="0.2">
      <c r="A2383" s="279" t="s">
        <v>157</v>
      </c>
      <c r="B2383" s="279" t="s">
        <v>157</v>
      </c>
      <c r="C2383" s="282">
        <v>44922</v>
      </c>
      <c r="D2383" s="282">
        <v>44957</v>
      </c>
      <c r="E2383" s="279" t="s">
        <v>267</v>
      </c>
      <c r="F2383" s="133" t="s">
        <v>41</v>
      </c>
      <c r="G2383" s="279" t="s">
        <v>53</v>
      </c>
      <c r="H2383" s="289" t="s">
        <v>56</v>
      </c>
      <c r="I2383" s="280">
        <v>20</v>
      </c>
      <c r="J2383" s="279">
        <v>1664</v>
      </c>
      <c r="K2383" s="270">
        <f t="shared" si="0"/>
        <v>33280</v>
      </c>
      <c r="L2383" s="279">
        <v>101504</v>
      </c>
      <c r="M2383" s="279">
        <v>484</v>
      </c>
      <c r="N2383" s="281"/>
      <c r="O2383" s="55">
        <v>0.5</v>
      </c>
      <c r="P2383" s="105">
        <v>1165</v>
      </c>
      <c r="Q2383" s="279">
        <v>1187</v>
      </c>
      <c r="R2383" s="275">
        <v>0</v>
      </c>
      <c r="S2383" s="279">
        <v>1187</v>
      </c>
      <c r="T2383" s="279">
        <v>1649</v>
      </c>
      <c r="U2383" s="57">
        <v>1.075</v>
      </c>
      <c r="V2383" s="276">
        <v>0.17</v>
      </c>
      <c r="W2383" s="276">
        <v>0</v>
      </c>
      <c r="X2383" s="279">
        <v>1471</v>
      </c>
      <c r="Y2383" s="279">
        <v>301</v>
      </c>
      <c r="Z2383" s="45" t="b">
        <v>1</v>
      </c>
      <c r="AA2383" s="45" t="s">
        <v>38</v>
      </c>
      <c r="AB2383" s="45" t="s">
        <v>50</v>
      </c>
    </row>
    <row r="2384" spans="1:28" x14ac:dyDescent="0.2">
      <c r="A2384" s="279" t="s">
        <v>150</v>
      </c>
      <c r="B2384" s="279" t="s">
        <v>150</v>
      </c>
      <c r="C2384" s="282">
        <v>44923</v>
      </c>
      <c r="D2384" s="282">
        <v>44957</v>
      </c>
      <c r="E2384" s="279" t="s">
        <v>267</v>
      </c>
      <c r="F2384" s="133" t="s">
        <v>41</v>
      </c>
      <c r="G2384" s="279" t="s">
        <v>53</v>
      </c>
      <c r="H2384" s="289" t="s">
        <v>54</v>
      </c>
      <c r="I2384" s="280">
        <v>5</v>
      </c>
      <c r="J2384" s="279">
        <v>231</v>
      </c>
      <c r="K2384" s="270">
        <f t="shared" si="0"/>
        <v>1155</v>
      </c>
      <c r="L2384" s="279">
        <v>27489</v>
      </c>
      <c r="M2384" s="279">
        <v>-15.6</v>
      </c>
      <c r="N2384" s="281"/>
      <c r="O2384" s="55">
        <v>0.5</v>
      </c>
      <c r="P2384" s="45">
        <v>40</v>
      </c>
      <c r="Q2384" s="279">
        <v>165</v>
      </c>
      <c r="R2384" s="275">
        <v>0</v>
      </c>
      <c r="S2384" s="279">
        <v>165</v>
      </c>
      <c r="T2384" s="279">
        <v>25</v>
      </c>
      <c r="U2384" s="57">
        <v>1</v>
      </c>
      <c r="V2384" s="276">
        <v>0.3</v>
      </c>
      <c r="W2384" s="276">
        <v>0</v>
      </c>
      <c r="X2384" s="279">
        <v>17</v>
      </c>
      <c r="Y2384" s="279">
        <v>7</v>
      </c>
      <c r="Z2384" s="45" t="b">
        <v>0</v>
      </c>
      <c r="AA2384" s="45" t="s">
        <v>38</v>
      </c>
      <c r="AB2384" s="45" t="s">
        <v>38</v>
      </c>
    </row>
    <row r="2385" spans="1:28" x14ac:dyDescent="0.2">
      <c r="A2385" s="279" t="s">
        <v>150</v>
      </c>
      <c r="B2385" s="279" t="s">
        <v>150</v>
      </c>
      <c r="C2385" s="282">
        <v>44923</v>
      </c>
      <c r="D2385" s="282">
        <v>44957</v>
      </c>
      <c r="E2385" s="279" t="s">
        <v>267</v>
      </c>
      <c r="F2385" s="133" t="s">
        <v>41</v>
      </c>
      <c r="G2385" s="279" t="s">
        <v>53</v>
      </c>
      <c r="H2385" s="289" t="s">
        <v>55</v>
      </c>
      <c r="I2385" s="280">
        <v>10</v>
      </c>
      <c r="J2385" s="279">
        <v>3376</v>
      </c>
      <c r="K2385" s="270">
        <f t="shared" si="0"/>
        <v>33760</v>
      </c>
      <c r="L2385" s="279">
        <v>131664</v>
      </c>
      <c r="M2385" s="279">
        <v>-263.39999999999998</v>
      </c>
      <c r="N2385" s="281"/>
      <c r="O2385" s="55">
        <v>0.5</v>
      </c>
      <c r="P2385" s="105">
        <v>1182</v>
      </c>
      <c r="Q2385" s="279">
        <v>-157</v>
      </c>
      <c r="R2385" s="275">
        <v>0</v>
      </c>
      <c r="S2385" s="279">
        <v>-157</v>
      </c>
      <c r="T2385" s="279">
        <v>918</v>
      </c>
      <c r="U2385" s="57">
        <v>1</v>
      </c>
      <c r="V2385" s="276">
        <v>0.3</v>
      </c>
      <c r="W2385" s="276">
        <v>0</v>
      </c>
      <c r="X2385" s="279">
        <v>643</v>
      </c>
      <c r="Y2385" s="279">
        <v>275</v>
      </c>
      <c r="Z2385" s="45" t="b">
        <v>0</v>
      </c>
      <c r="AA2385" s="45" t="s">
        <v>38</v>
      </c>
      <c r="AB2385" s="45" t="s">
        <v>38</v>
      </c>
    </row>
    <row r="2386" spans="1:28" x14ac:dyDescent="0.2">
      <c r="A2386" s="279" t="s">
        <v>395</v>
      </c>
      <c r="B2386" s="270" t="s">
        <v>162</v>
      </c>
      <c r="C2386" s="277">
        <v>44927</v>
      </c>
      <c r="D2386" s="277">
        <v>44957</v>
      </c>
      <c r="E2386" s="279" t="s">
        <v>267</v>
      </c>
      <c r="F2386" s="133" t="s">
        <v>41</v>
      </c>
      <c r="G2386" s="270" t="s">
        <v>35</v>
      </c>
      <c r="H2386" s="272" t="s">
        <v>51</v>
      </c>
      <c r="I2386" s="273">
        <v>0.25</v>
      </c>
      <c r="J2386" s="270">
        <v>4</v>
      </c>
      <c r="K2386" s="270">
        <f t="shared" si="0"/>
        <v>1</v>
      </c>
      <c r="L2386" s="270">
        <v>-93</v>
      </c>
      <c r="M2386" s="270">
        <v>2</v>
      </c>
      <c r="N2386" s="274">
        <v>0.06</v>
      </c>
      <c r="O2386" s="55"/>
      <c r="P2386" s="45">
        <v>0</v>
      </c>
      <c r="Q2386" s="270">
        <v>0</v>
      </c>
      <c r="R2386" s="275">
        <v>0</v>
      </c>
      <c r="S2386" s="270">
        <v>0</v>
      </c>
      <c r="T2386" s="270">
        <v>2</v>
      </c>
      <c r="U2386" s="57">
        <v>1</v>
      </c>
      <c r="V2386" s="276">
        <v>0.19</v>
      </c>
      <c r="W2386" s="276">
        <v>0</v>
      </c>
      <c r="X2386" s="270">
        <v>2</v>
      </c>
      <c r="Y2386" s="270">
        <v>0</v>
      </c>
      <c r="Z2386" s="45" t="b">
        <v>1</v>
      </c>
      <c r="AA2386" s="45" t="s">
        <v>38</v>
      </c>
      <c r="AB2386" s="45" t="s">
        <v>38</v>
      </c>
    </row>
    <row r="2387" spans="1:28" x14ac:dyDescent="0.2">
      <c r="A2387" s="279" t="s">
        <v>395</v>
      </c>
      <c r="B2387" s="270" t="s">
        <v>162</v>
      </c>
      <c r="C2387" s="277">
        <v>44927</v>
      </c>
      <c r="D2387" s="277">
        <v>44957</v>
      </c>
      <c r="E2387" s="279" t="s">
        <v>267</v>
      </c>
      <c r="F2387" s="133" t="s">
        <v>41</v>
      </c>
      <c r="G2387" s="270" t="s">
        <v>35</v>
      </c>
      <c r="H2387" s="272" t="s">
        <v>90</v>
      </c>
      <c r="I2387" s="273">
        <v>5</v>
      </c>
      <c r="J2387" s="270">
        <v>1</v>
      </c>
      <c r="K2387" s="270">
        <f t="shared" si="0"/>
        <v>5</v>
      </c>
      <c r="L2387" s="270">
        <v>271</v>
      </c>
      <c r="M2387" s="270">
        <v>5</v>
      </c>
      <c r="N2387" s="274">
        <v>0.28999999999999998</v>
      </c>
      <c r="O2387" s="55"/>
      <c r="P2387" s="45">
        <v>0</v>
      </c>
      <c r="Q2387" s="270">
        <v>4</v>
      </c>
      <c r="R2387" s="275">
        <v>0</v>
      </c>
      <c r="S2387" s="270">
        <v>4</v>
      </c>
      <c r="T2387" s="270">
        <v>5</v>
      </c>
      <c r="U2387" s="57">
        <v>1</v>
      </c>
      <c r="V2387" s="276">
        <v>0.19</v>
      </c>
      <c r="W2387" s="276">
        <v>0</v>
      </c>
      <c r="X2387" s="270">
        <v>4</v>
      </c>
      <c r="Y2387" s="270">
        <v>1</v>
      </c>
      <c r="Z2387" s="45" t="b">
        <v>1</v>
      </c>
      <c r="AA2387" s="45" t="s">
        <v>38</v>
      </c>
      <c r="AB2387" s="45" t="s">
        <v>38</v>
      </c>
    </row>
    <row r="2388" spans="1:28" x14ac:dyDescent="0.2">
      <c r="A2388" s="279" t="s">
        <v>395</v>
      </c>
      <c r="B2388" s="270" t="s">
        <v>162</v>
      </c>
      <c r="C2388" s="277">
        <v>44927</v>
      </c>
      <c r="D2388" s="277">
        <v>44957</v>
      </c>
      <c r="E2388" s="279" t="s">
        <v>267</v>
      </c>
      <c r="F2388" s="133" t="s">
        <v>41</v>
      </c>
      <c r="G2388" s="270" t="s">
        <v>35</v>
      </c>
      <c r="H2388" s="272" t="s">
        <v>142</v>
      </c>
      <c r="I2388" s="273">
        <v>500</v>
      </c>
      <c r="J2388" s="270">
        <v>3</v>
      </c>
      <c r="K2388" s="270">
        <f t="shared" si="0"/>
        <v>1500</v>
      </c>
      <c r="L2388" s="270">
        <v>-865</v>
      </c>
      <c r="M2388" s="270">
        <v>0</v>
      </c>
      <c r="N2388" s="274">
        <v>54.55</v>
      </c>
      <c r="O2388" s="55"/>
      <c r="P2388" s="45">
        <v>55</v>
      </c>
      <c r="Q2388" s="270">
        <v>-890</v>
      </c>
      <c r="R2388" s="275">
        <v>0</v>
      </c>
      <c r="S2388" s="270">
        <v>-890</v>
      </c>
      <c r="T2388" s="270">
        <v>55</v>
      </c>
      <c r="U2388" s="57">
        <v>1</v>
      </c>
      <c r="V2388" s="276">
        <v>0.19</v>
      </c>
      <c r="W2388" s="276">
        <v>0</v>
      </c>
      <c r="X2388" s="270">
        <v>44</v>
      </c>
      <c r="Y2388" s="270">
        <v>10</v>
      </c>
      <c r="Z2388" s="45" t="b">
        <v>1</v>
      </c>
      <c r="AA2388" s="45" t="s">
        <v>38</v>
      </c>
      <c r="AB2388" s="45" t="s">
        <v>38</v>
      </c>
    </row>
    <row r="2389" spans="1:28" x14ac:dyDescent="0.2">
      <c r="A2389" s="279" t="s">
        <v>395</v>
      </c>
      <c r="B2389" s="270" t="s">
        <v>162</v>
      </c>
      <c r="C2389" s="277">
        <v>44927</v>
      </c>
      <c r="D2389" s="277">
        <v>44957</v>
      </c>
      <c r="E2389" s="279" t="s">
        <v>267</v>
      </c>
      <c r="F2389" s="133" t="s">
        <v>41</v>
      </c>
      <c r="G2389" s="270" t="s">
        <v>35</v>
      </c>
      <c r="H2389" s="272" t="s">
        <v>84</v>
      </c>
      <c r="I2389" s="273">
        <v>100</v>
      </c>
      <c r="J2389" s="270">
        <v>1966</v>
      </c>
      <c r="K2389" s="270">
        <f t="shared" si="0"/>
        <v>196600</v>
      </c>
      <c r="L2389" s="286">
        <f>80919/3778*J2389</f>
        <v>42108.72260455267</v>
      </c>
      <c r="M2389" s="286">
        <v>-14700</v>
      </c>
      <c r="N2389" s="274">
        <v>7149.95</v>
      </c>
      <c r="O2389" s="55"/>
      <c r="P2389" s="105">
        <v>7150</v>
      </c>
      <c r="Q2389" s="286">
        <v>2538</v>
      </c>
      <c r="R2389" s="275">
        <v>0</v>
      </c>
      <c r="S2389" s="286">
        <v>2538</v>
      </c>
      <c r="T2389" s="286">
        <v>-7550</v>
      </c>
      <c r="U2389" s="57">
        <v>1</v>
      </c>
      <c r="V2389" s="276">
        <v>0.19</v>
      </c>
      <c r="W2389" s="276">
        <v>0</v>
      </c>
      <c r="X2389" s="286">
        <v>-6116</v>
      </c>
      <c r="Y2389" s="286">
        <v>-1435</v>
      </c>
      <c r="Z2389" s="45" t="b">
        <v>1</v>
      </c>
      <c r="AA2389" s="45" t="s">
        <v>38</v>
      </c>
      <c r="AB2389" s="45" t="s">
        <v>38</v>
      </c>
    </row>
    <row r="2390" spans="1:28" x14ac:dyDescent="0.2">
      <c r="A2390" s="279" t="s">
        <v>395</v>
      </c>
      <c r="B2390" s="270" t="s">
        <v>162</v>
      </c>
      <c r="C2390" s="277">
        <v>44927</v>
      </c>
      <c r="D2390" s="277">
        <v>44957</v>
      </c>
      <c r="E2390" s="279" t="s">
        <v>267</v>
      </c>
      <c r="F2390" s="133" t="s">
        <v>41</v>
      </c>
      <c r="G2390" s="270" t="s">
        <v>35</v>
      </c>
      <c r="H2390" s="272" t="s">
        <v>87</v>
      </c>
      <c r="I2390" s="273">
        <v>25</v>
      </c>
      <c r="J2390" s="270">
        <v>2</v>
      </c>
      <c r="K2390" s="270">
        <f t="shared" si="0"/>
        <v>50</v>
      </c>
      <c r="L2390" s="286">
        <v>-447</v>
      </c>
      <c r="M2390" s="286">
        <v>-50</v>
      </c>
      <c r="N2390" s="274">
        <v>2.1800000000000002</v>
      </c>
      <c r="O2390" s="55"/>
      <c r="P2390" s="45">
        <v>2</v>
      </c>
      <c r="Q2390" s="286">
        <v>-38</v>
      </c>
      <c r="R2390" s="275">
        <v>0</v>
      </c>
      <c r="S2390" s="286">
        <v>-38</v>
      </c>
      <c r="T2390" s="286">
        <v>-48</v>
      </c>
      <c r="U2390" s="57">
        <v>1</v>
      </c>
      <c r="V2390" s="276">
        <v>0.19</v>
      </c>
      <c r="W2390" s="276">
        <v>0</v>
      </c>
      <c r="X2390" s="286">
        <v>-39</v>
      </c>
      <c r="Y2390" s="286">
        <v>-9</v>
      </c>
      <c r="Z2390" s="45" t="b">
        <v>1</v>
      </c>
      <c r="AA2390" s="45" t="s">
        <v>38</v>
      </c>
      <c r="AB2390" s="45" t="s">
        <v>38</v>
      </c>
    </row>
    <row r="2391" spans="1:28" x14ac:dyDescent="0.2">
      <c r="A2391" s="279" t="s">
        <v>395</v>
      </c>
      <c r="B2391" s="270" t="s">
        <v>162</v>
      </c>
      <c r="C2391" s="277">
        <v>44927</v>
      </c>
      <c r="D2391" s="277">
        <v>44957</v>
      </c>
      <c r="E2391" s="279" t="s">
        <v>267</v>
      </c>
      <c r="F2391" s="133" t="s">
        <v>41</v>
      </c>
      <c r="G2391" s="270" t="s">
        <v>35</v>
      </c>
      <c r="H2391" s="272" t="s">
        <v>85</v>
      </c>
      <c r="I2391" s="273">
        <v>50</v>
      </c>
      <c r="J2391" s="270">
        <v>1243</v>
      </c>
      <c r="K2391" s="270">
        <f t="shared" si="0"/>
        <v>62150</v>
      </c>
      <c r="L2391" s="286">
        <v>26615</v>
      </c>
      <c r="M2391" s="286">
        <v>1350</v>
      </c>
      <c r="N2391" s="274">
        <v>2712.33</v>
      </c>
      <c r="O2391" s="55"/>
      <c r="P2391" s="105">
        <v>2712</v>
      </c>
      <c r="Q2391" s="286">
        <v>135</v>
      </c>
      <c r="R2391" s="275">
        <v>0</v>
      </c>
      <c r="S2391" s="286">
        <v>135</v>
      </c>
      <c r="T2391" s="286">
        <v>4062</v>
      </c>
      <c r="U2391" s="57">
        <v>1</v>
      </c>
      <c r="V2391" s="276">
        <v>0.19</v>
      </c>
      <c r="W2391" s="276">
        <v>0</v>
      </c>
      <c r="X2391" s="286">
        <v>3290</v>
      </c>
      <c r="Y2391" s="286">
        <v>772</v>
      </c>
      <c r="Z2391" s="45" t="b">
        <v>1</v>
      </c>
      <c r="AA2391" s="45" t="s">
        <v>38</v>
      </c>
      <c r="AB2391" s="45" t="s">
        <v>38</v>
      </c>
    </row>
    <row r="2392" spans="1:28" x14ac:dyDescent="0.2">
      <c r="A2392" s="279" t="s">
        <v>395</v>
      </c>
      <c r="B2392" s="270" t="s">
        <v>162</v>
      </c>
      <c r="C2392" s="277">
        <v>44927</v>
      </c>
      <c r="D2392" s="277">
        <v>44957</v>
      </c>
      <c r="E2392" s="279" t="s">
        <v>267</v>
      </c>
      <c r="F2392" s="133" t="s">
        <v>41</v>
      </c>
      <c r="G2392" s="270" t="s">
        <v>35</v>
      </c>
      <c r="H2392" s="272" t="s">
        <v>88</v>
      </c>
      <c r="I2392" s="273">
        <v>250</v>
      </c>
      <c r="J2392" s="270">
        <v>112</v>
      </c>
      <c r="K2392" s="270">
        <f t="shared" si="0"/>
        <v>28000</v>
      </c>
      <c r="L2392" s="286">
        <f>2388/269*J2392</f>
        <v>994.26022304832713</v>
      </c>
      <c r="M2392" s="286">
        <v>-250</v>
      </c>
      <c r="N2392" s="274">
        <v>1018.3</v>
      </c>
      <c r="O2392" s="55"/>
      <c r="P2392" s="105">
        <v>1018</v>
      </c>
      <c r="Q2392" s="286">
        <v>-978</v>
      </c>
      <c r="R2392" s="275">
        <v>0</v>
      </c>
      <c r="S2392" s="286">
        <v>-978</v>
      </c>
      <c r="T2392" s="286">
        <v>768</v>
      </c>
      <c r="U2392" s="57">
        <v>1</v>
      </c>
      <c r="V2392" s="276">
        <v>0.19</v>
      </c>
      <c r="W2392" s="276">
        <v>0</v>
      </c>
      <c r="X2392" s="286">
        <v>622</v>
      </c>
      <c r="Y2392" s="286">
        <v>146</v>
      </c>
      <c r="Z2392" s="45" t="b">
        <v>1</v>
      </c>
      <c r="AA2392" s="45" t="s">
        <v>38</v>
      </c>
      <c r="AB2392" s="45" t="s">
        <v>38</v>
      </c>
    </row>
    <row r="2393" spans="1:28" x14ac:dyDescent="0.2">
      <c r="A2393" s="279" t="s">
        <v>395</v>
      </c>
      <c r="B2393" s="270" t="s">
        <v>162</v>
      </c>
      <c r="C2393" s="277">
        <v>44927</v>
      </c>
      <c r="D2393" s="277">
        <v>44957</v>
      </c>
      <c r="E2393" s="279" t="s">
        <v>267</v>
      </c>
      <c r="F2393" s="133" t="s">
        <v>41</v>
      </c>
      <c r="G2393" s="270" t="s">
        <v>35</v>
      </c>
      <c r="H2393" s="272" t="s">
        <v>70</v>
      </c>
      <c r="I2393" s="273">
        <v>100</v>
      </c>
      <c r="J2393" s="270">
        <v>1812</v>
      </c>
      <c r="K2393" s="270">
        <f t="shared" si="0"/>
        <v>181200</v>
      </c>
      <c r="L2393" s="286">
        <f>80919/3778*J2393</f>
        <v>38810.277395447323</v>
      </c>
      <c r="M2393" s="286">
        <v>7600</v>
      </c>
      <c r="N2393" s="274">
        <v>6589.89</v>
      </c>
      <c r="O2393" s="55"/>
      <c r="P2393" s="105">
        <v>6590</v>
      </c>
      <c r="Q2393" s="286">
        <v>-2511</v>
      </c>
      <c r="R2393" s="275">
        <v>0</v>
      </c>
      <c r="S2393" s="286">
        <v>-2511</v>
      </c>
      <c r="T2393" s="286">
        <v>14190</v>
      </c>
      <c r="U2393" s="57">
        <v>1</v>
      </c>
      <c r="V2393" s="276">
        <v>0.19</v>
      </c>
      <c r="W2393" s="276">
        <v>0</v>
      </c>
      <c r="X2393" s="286">
        <v>11494</v>
      </c>
      <c r="Y2393" s="286">
        <v>2696</v>
      </c>
      <c r="Z2393" s="45" t="b">
        <v>1</v>
      </c>
      <c r="AA2393" s="45" t="s">
        <v>38</v>
      </c>
      <c r="AB2393" s="45" t="s">
        <v>38</v>
      </c>
    </row>
    <row r="2394" spans="1:28" x14ac:dyDescent="0.2">
      <c r="A2394" s="279" t="s">
        <v>395</v>
      </c>
      <c r="B2394" s="270" t="s">
        <v>162</v>
      </c>
      <c r="C2394" s="277">
        <v>44927</v>
      </c>
      <c r="D2394" s="277">
        <v>44957</v>
      </c>
      <c r="E2394" s="279" t="s">
        <v>267</v>
      </c>
      <c r="F2394" s="133" t="s">
        <v>41</v>
      </c>
      <c r="G2394" s="270" t="s">
        <v>35</v>
      </c>
      <c r="H2394" s="272" t="s">
        <v>148</v>
      </c>
      <c r="I2394" s="273">
        <v>250</v>
      </c>
      <c r="J2394" s="270">
        <v>157</v>
      </c>
      <c r="K2394" s="270">
        <f t="shared" si="0"/>
        <v>39250</v>
      </c>
      <c r="L2394" s="286">
        <f>2388/269*J2394</f>
        <v>1393.7397769516729</v>
      </c>
      <c r="M2394" s="286">
        <v>-5250</v>
      </c>
      <c r="N2394" s="274">
        <v>1427.44</v>
      </c>
      <c r="O2394" s="55"/>
      <c r="P2394" s="105">
        <v>1427</v>
      </c>
      <c r="Q2394" s="286">
        <v>-934</v>
      </c>
      <c r="R2394" s="275">
        <v>0</v>
      </c>
      <c r="S2394" s="286">
        <v>-934</v>
      </c>
      <c r="T2394" s="286">
        <v>-3823</v>
      </c>
      <c r="U2394" s="57">
        <v>1</v>
      </c>
      <c r="V2394" s="276">
        <v>0.19</v>
      </c>
      <c r="W2394" s="276">
        <v>0</v>
      </c>
      <c r="X2394" s="286">
        <v>-3096</v>
      </c>
      <c r="Y2394" s="286">
        <v>-726</v>
      </c>
      <c r="Z2394" s="45" t="b">
        <v>1</v>
      </c>
      <c r="AA2394" s="45" t="s">
        <v>38</v>
      </c>
      <c r="AB2394" s="45" t="s">
        <v>38</v>
      </c>
    </row>
    <row r="2395" spans="1:28" x14ac:dyDescent="0.2">
      <c r="A2395" s="279" t="s">
        <v>447</v>
      </c>
      <c r="B2395" s="279" t="s">
        <v>95</v>
      </c>
      <c r="C2395" s="282">
        <v>44916</v>
      </c>
      <c r="D2395" s="282">
        <v>44957</v>
      </c>
      <c r="E2395" s="279" t="s">
        <v>300</v>
      </c>
      <c r="F2395" s="133" t="s">
        <v>49</v>
      </c>
      <c r="G2395" s="279" t="s">
        <v>61</v>
      </c>
      <c r="H2395" s="289" t="s">
        <v>135</v>
      </c>
      <c r="I2395" s="280">
        <v>250</v>
      </c>
      <c r="J2395" s="279">
        <v>2168</v>
      </c>
      <c r="K2395" s="270">
        <f t="shared" si="0"/>
        <v>542000</v>
      </c>
      <c r="L2395" s="279">
        <v>17698</v>
      </c>
      <c r="M2395" s="279">
        <v>-750</v>
      </c>
      <c r="N2395" s="281">
        <v>26599.03</v>
      </c>
      <c r="O2395" s="55"/>
      <c r="P2395" s="105">
        <v>26599</v>
      </c>
      <c r="Q2395" s="279">
        <v>-34081</v>
      </c>
      <c r="R2395" s="275">
        <v>1.797E-3</v>
      </c>
      <c r="S2395" s="279">
        <v>-33107</v>
      </c>
      <c r="T2395" s="279">
        <v>-6508</v>
      </c>
      <c r="U2395" s="57">
        <v>1</v>
      </c>
      <c r="V2395" s="276">
        <v>0.15</v>
      </c>
      <c r="W2395" s="276">
        <v>0.05</v>
      </c>
      <c r="X2395" s="279">
        <v>-5206</v>
      </c>
      <c r="Y2395" s="279">
        <v>-1302</v>
      </c>
      <c r="Z2395" s="45" t="b">
        <v>0</v>
      </c>
      <c r="AA2395" s="45" t="s">
        <v>50</v>
      </c>
      <c r="AB2395" s="45" t="s">
        <v>50</v>
      </c>
    </row>
    <row r="2396" spans="1:28" x14ac:dyDescent="0.2">
      <c r="A2396" s="279" t="s">
        <v>447</v>
      </c>
      <c r="B2396" s="279" t="s">
        <v>95</v>
      </c>
      <c r="C2396" s="282">
        <v>44916</v>
      </c>
      <c r="D2396" s="282">
        <v>44957</v>
      </c>
      <c r="E2396" s="279" t="s">
        <v>300</v>
      </c>
      <c r="F2396" s="133" t="s">
        <v>49</v>
      </c>
      <c r="G2396" s="279" t="s">
        <v>61</v>
      </c>
      <c r="H2396" s="289" t="s">
        <v>59</v>
      </c>
      <c r="I2396" s="280">
        <v>100</v>
      </c>
      <c r="J2396" s="279">
        <v>333</v>
      </c>
      <c r="K2396" s="270">
        <f t="shared" si="0"/>
        <v>33300</v>
      </c>
      <c r="L2396" s="279">
        <v>8105</v>
      </c>
      <c r="M2396" s="279">
        <v>-2600</v>
      </c>
      <c r="N2396" s="281">
        <v>117.19</v>
      </c>
      <c r="O2396" s="55"/>
      <c r="P2396" s="45">
        <v>117</v>
      </c>
      <c r="Q2396" s="279">
        <v>-1476</v>
      </c>
      <c r="R2396" s="275">
        <v>1.797E-3</v>
      </c>
      <c r="S2396" s="279">
        <v>-1416</v>
      </c>
      <c r="T2396" s="279">
        <v>-1299</v>
      </c>
      <c r="U2396" s="57">
        <v>1</v>
      </c>
      <c r="V2396" s="276">
        <v>0.15</v>
      </c>
      <c r="W2396" s="276">
        <v>0.05</v>
      </c>
      <c r="X2396" s="279">
        <v>-1039</v>
      </c>
      <c r="Y2396" s="279">
        <v>-260</v>
      </c>
      <c r="Z2396" s="45" t="b">
        <v>0</v>
      </c>
      <c r="AA2396" s="45" t="s">
        <v>50</v>
      </c>
      <c r="AB2396" s="45" t="s">
        <v>50</v>
      </c>
    </row>
    <row r="2397" spans="1:28" x14ac:dyDescent="0.2">
      <c r="A2397" s="279" t="s">
        <v>447</v>
      </c>
      <c r="B2397" s="279" t="s">
        <v>95</v>
      </c>
      <c r="C2397" s="282">
        <v>44916</v>
      </c>
      <c r="D2397" s="282">
        <v>44957</v>
      </c>
      <c r="E2397" s="279" t="s">
        <v>300</v>
      </c>
      <c r="F2397" s="133" t="s">
        <v>49</v>
      </c>
      <c r="G2397" s="279" t="s">
        <v>61</v>
      </c>
      <c r="H2397" s="289" t="s">
        <v>100</v>
      </c>
      <c r="I2397" s="280">
        <v>500</v>
      </c>
      <c r="J2397" s="279">
        <v>259</v>
      </c>
      <c r="K2397" s="270">
        <f t="shared" si="0"/>
        <v>129500</v>
      </c>
      <c r="L2397" s="279">
        <v>1817</v>
      </c>
      <c r="M2397" s="279">
        <v>-1000</v>
      </c>
      <c r="N2397" s="281">
        <v>0</v>
      </c>
      <c r="O2397" s="55"/>
      <c r="P2397" s="45">
        <v>0</v>
      </c>
      <c r="Q2397" s="279">
        <v>-8415</v>
      </c>
      <c r="R2397" s="275">
        <v>1.8010000000000001E-3</v>
      </c>
      <c r="S2397" s="279">
        <v>-8182</v>
      </c>
      <c r="T2397" s="279">
        <v>-8182</v>
      </c>
      <c r="U2397" s="57">
        <v>1</v>
      </c>
      <c r="V2397" s="276">
        <v>0.15</v>
      </c>
      <c r="W2397" s="276">
        <v>0.05</v>
      </c>
      <c r="X2397" s="279">
        <v>-6546</v>
      </c>
      <c r="Y2397" s="279">
        <v>-1636</v>
      </c>
      <c r="Z2397" s="45" t="b">
        <v>0</v>
      </c>
      <c r="AA2397" s="45" t="s">
        <v>50</v>
      </c>
      <c r="AB2397" s="45" t="s">
        <v>50</v>
      </c>
    </row>
    <row r="2398" spans="1:28" x14ac:dyDescent="0.2">
      <c r="A2398" s="279" t="s">
        <v>447</v>
      </c>
      <c r="B2398" s="279" t="s">
        <v>95</v>
      </c>
      <c r="C2398" s="282">
        <v>44916</v>
      </c>
      <c r="D2398" s="282">
        <v>44957</v>
      </c>
      <c r="E2398" s="279" t="s">
        <v>300</v>
      </c>
      <c r="F2398" s="133" t="s">
        <v>49</v>
      </c>
      <c r="G2398" s="279" t="s">
        <v>61</v>
      </c>
      <c r="H2398" s="289" t="s">
        <v>134</v>
      </c>
      <c r="I2398" s="280">
        <v>250</v>
      </c>
      <c r="J2398" s="279">
        <v>1</v>
      </c>
      <c r="K2398" s="270">
        <f t="shared" si="0"/>
        <v>250</v>
      </c>
      <c r="L2398" s="279">
        <v>51</v>
      </c>
      <c r="M2398" s="279">
        <v>250</v>
      </c>
      <c r="N2398" s="281">
        <v>2.93</v>
      </c>
      <c r="O2398" s="55"/>
      <c r="P2398" s="45">
        <v>3</v>
      </c>
      <c r="Q2398" s="279">
        <v>19</v>
      </c>
      <c r="R2398" s="275">
        <v>2.127E-3</v>
      </c>
      <c r="S2398" s="279">
        <v>20</v>
      </c>
      <c r="T2398" s="279">
        <v>23</v>
      </c>
      <c r="U2398" s="57">
        <v>1</v>
      </c>
      <c r="V2398" s="276">
        <v>0.15</v>
      </c>
      <c r="W2398" s="276">
        <v>0.05</v>
      </c>
      <c r="X2398" s="279">
        <v>18</v>
      </c>
      <c r="Y2398" s="279">
        <v>5</v>
      </c>
      <c r="Z2398" s="45" t="b">
        <v>0</v>
      </c>
      <c r="AA2398" s="45" t="s">
        <v>50</v>
      </c>
      <c r="AB2398" s="45" t="s">
        <v>50</v>
      </c>
    </row>
    <row r="2399" spans="1:28" x14ac:dyDescent="0.2">
      <c r="A2399" s="279" t="s">
        <v>447</v>
      </c>
      <c r="B2399" s="279" t="s">
        <v>95</v>
      </c>
      <c r="C2399" s="282">
        <v>44916</v>
      </c>
      <c r="D2399" s="282">
        <v>44957</v>
      </c>
      <c r="E2399" s="279" t="s">
        <v>300</v>
      </c>
      <c r="F2399" s="133" t="s">
        <v>49</v>
      </c>
      <c r="G2399" s="279" t="s">
        <v>61</v>
      </c>
      <c r="H2399" s="289" t="s">
        <v>67</v>
      </c>
      <c r="I2399" s="280">
        <v>500</v>
      </c>
      <c r="J2399" s="279">
        <v>1</v>
      </c>
      <c r="K2399" s="270">
        <f t="shared" si="0"/>
        <v>500</v>
      </c>
      <c r="L2399" s="279">
        <v>-58</v>
      </c>
      <c r="M2399" s="279">
        <v>-500</v>
      </c>
      <c r="N2399" s="281">
        <v>5.85</v>
      </c>
      <c r="O2399" s="55"/>
      <c r="P2399" s="45">
        <v>6</v>
      </c>
      <c r="Q2399" s="279">
        <v>-127</v>
      </c>
      <c r="R2399" s="275">
        <v>9.1100000000000003E-4</v>
      </c>
      <c r="S2399" s="279">
        <v>-127</v>
      </c>
      <c r="T2399" s="279">
        <v>-121</v>
      </c>
      <c r="U2399" s="57">
        <v>1</v>
      </c>
      <c r="V2399" s="276">
        <v>0.15</v>
      </c>
      <c r="W2399" s="276">
        <v>0.05</v>
      </c>
      <c r="X2399" s="279">
        <v>-97</v>
      </c>
      <c r="Y2399" s="279">
        <v>-24</v>
      </c>
      <c r="Z2399" s="45" t="b">
        <v>0</v>
      </c>
      <c r="AA2399" s="45" t="s">
        <v>50</v>
      </c>
      <c r="AB2399" s="45" t="s">
        <v>50</v>
      </c>
    </row>
    <row r="2400" spans="1:28" x14ac:dyDescent="0.2">
      <c r="A2400" s="279" t="s">
        <v>447</v>
      </c>
      <c r="B2400" s="279" t="s">
        <v>66</v>
      </c>
      <c r="C2400" s="282">
        <v>44916</v>
      </c>
      <c r="D2400" s="282">
        <v>44957</v>
      </c>
      <c r="E2400" s="279" t="s">
        <v>300</v>
      </c>
      <c r="F2400" s="133" t="s">
        <v>49</v>
      </c>
      <c r="G2400" s="279" t="s">
        <v>35</v>
      </c>
      <c r="H2400" s="272" t="s">
        <v>70</v>
      </c>
      <c r="I2400" s="273">
        <v>100</v>
      </c>
      <c r="J2400" s="270">
        <v>43</v>
      </c>
      <c r="K2400" s="270">
        <f t="shared" si="0"/>
        <v>4300</v>
      </c>
      <c r="L2400" s="270">
        <v>-1703</v>
      </c>
      <c r="M2400" s="270">
        <v>0</v>
      </c>
      <c r="N2400" s="274">
        <v>50</v>
      </c>
      <c r="O2400" s="55"/>
      <c r="P2400" s="45">
        <v>50</v>
      </c>
      <c r="Q2400" s="270">
        <v>-547</v>
      </c>
      <c r="R2400" s="275">
        <v>1.719E-3</v>
      </c>
      <c r="S2400" s="270">
        <v>-540</v>
      </c>
      <c r="T2400" s="270">
        <v>-490</v>
      </c>
      <c r="U2400" s="57">
        <v>1</v>
      </c>
      <c r="V2400" s="276">
        <v>0.15</v>
      </c>
      <c r="W2400" s="276">
        <v>0.05</v>
      </c>
      <c r="X2400" s="270">
        <v>-392</v>
      </c>
      <c r="Y2400" s="270">
        <v>-98</v>
      </c>
      <c r="Z2400" s="45" t="b">
        <v>0</v>
      </c>
      <c r="AA2400" s="45" t="s">
        <v>38</v>
      </c>
      <c r="AB2400" s="45" t="s">
        <v>38</v>
      </c>
    </row>
    <row r="2401" spans="1:28" x14ac:dyDescent="0.2">
      <c r="A2401" s="279" t="s">
        <v>447</v>
      </c>
      <c r="B2401" s="279" t="s">
        <v>66</v>
      </c>
      <c r="C2401" s="282">
        <v>44916</v>
      </c>
      <c r="D2401" s="282">
        <v>44957</v>
      </c>
      <c r="E2401" s="279" t="s">
        <v>300</v>
      </c>
      <c r="F2401" s="133" t="s">
        <v>49</v>
      </c>
      <c r="G2401" s="279" t="s">
        <v>35</v>
      </c>
      <c r="H2401" s="272" t="s">
        <v>142</v>
      </c>
      <c r="I2401" s="273">
        <v>500</v>
      </c>
      <c r="J2401" s="270">
        <v>6</v>
      </c>
      <c r="K2401" s="270">
        <f t="shared" si="0"/>
        <v>3000</v>
      </c>
      <c r="L2401" s="270">
        <v>215</v>
      </c>
      <c r="M2401" s="270">
        <v>500</v>
      </c>
      <c r="N2401" s="274">
        <v>35</v>
      </c>
      <c r="O2401" s="55"/>
      <c r="P2401" s="45">
        <v>35</v>
      </c>
      <c r="Q2401" s="270">
        <v>53</v>
      </c>
      <c r="R2401" s="275">
        <v>2.075E-3</v>
      </c>
      <c r="S2401" s="270">
        <v>59</v>
      </c>
      <c r="T2401" s="270">
        <v>94</v>
      </c>
      <c r="U2401" s="57">
        <v>1</v>
      </c>
      <c r="V2401" s="276">
        <v>0.15</v>
      </c>
      <c r="W2401" s="276">
        <v>0.05</v>
      </c>
      <c r="X2401" s="270">
        <v>75</v>
      </c>
      <c r="Y2401" s="270">
        <v>19</v>
      </c>
      <c r="Z2401" s="45" t="b">
        <v>0</v>
      </c>
      <c r="AA2401" s="45" t="s">
        <v>38</v>
      </c>
      <c r="AB2401" s="45" t="s">
        <v>38</v>
      </c>
    </row>
    <row r="2402" spans="1:28" x14ac:dyDescent="0.2">
      <c r="A2402" s="279" t="s">
        <v>447</v>
      </c>
      <c r="B2402" s="279" t="s">
        <v>66</v>
      </c>
      <c r="C2402" s="282">
        <v>44916</v>
      </c>
      <c r="D2402" s="282">
        <v>44957</v>
      </c>
      <c r="E2402" s="279" t="s">
        <v>300</v>
      </c>
      <c r="F2402" s="133" t="s">
        <v>49</v>
      </c>
      <c r="G2402" s="279" t="s">
        <v>35</v>
      </c>
      <c r="H2402" s="272" t="s">
        <v>88</v>
      </c>
      <c r="I2402" s="273">
        <v>250</v>
      </c>
      <c r="J2402" s="270">
        <v>68</v>
      </c>
      <c r="K2402" s="270">
        <f t="shared" si="0"/>
        <v>17000</v>
      </c>
      <c r="L2402" s="270">
        <v>-4822</v>
      </c>
      <c r="M2402" s="270">
        <v>-7250</v>
      </c>
      <c r="N2402" s="274">
        <v>198</v>
      </c>
      <c r="O2402" s="55"/>
      <c r="P2402" s="45">
        <v>198</v>
      </c>
      <c r="Q2402" s="270">
        <v>-3125</v>
      </c>
      <c r="R2402" s="275">
        <v>1.7910000000000001E-3</v>
      </c>
      <c r="S2402" s="270">
        <v>-3095</v>
      </c>
      <c r="T2402" s="270">
        <v>-2897</v>
      </c>
      <c r="U2402" s="57">
        <v>1</v>
      </c>
      <c r="V2402" s="276">
        <v>0.15</v>
      </c>
      <c r="W2402" s="276">
        <v>0.05</v>
      </c>
      <c r="X2402" s="270">
        <v>-2317</v>
      </c>
      <c r="Y2402" s="270">
        <v>-579</v>
      </c>
      <c r="Z2402" s="45" t="b">
        <v>0</v>
      </c>
      <c r="AA2402" s="45" t="s">
        <v>38</v>
      </c>
      <c r="AB2402" s="45" t="s">
        <v>38</v>
      </c>
    </row>
    <row r="2403" spans="1:28" x14ac:dyDescent="0.2">
      <c r="A2403" s="279" t="s">
        <v>447</v>
      </c>
      <c r="B2403" s="279" t="s">
        <v>66</v>
      </c>
      <c r="C2403" s="282">
        <v>44916</v>
      </c>
      <c r="D2403" s="282">
        <v>44957</v>
      </c>
      <c r="E2403" s="279" t="s">
        <v>300</v>
      </c>
      <c r="F2403" s="133" t="s">
        <v>49</v>
      </c>
      <c r="G2403" s="279" t="s">
        <v>35</v>
      </c>
      <c r="H2403" s="272" t="s">
        <v>143</v>
      </c>
      <c r="I2403" s="273">
        <v>1000</v>
      </c>
      <c r="J2403" s="270">
        <v>1</v>
      </c>
      <c r="K2403" s="270">
        <f t="shared" si="0"/>
        <v>1000</v>
      </c>
      <c r="L2403" s="270">
        <v>609</v>
      </c>
      <c r="M2403" s="270">
        <v>1000</v>
      </c>
      <c r="N2403" s="274">
        <v>12</v>
      </c>
      <c r="O2403" s="55"/>
      <c r="P2403" s="45">
        <v>12</v>
      </c>
      <c r="Q2403" s="270">
        <v>1096</v>
      </c>
      <c r="R2403" s="275">
        <v>1.5659999999999999E-3</v>
      </c>
      <c r="S2403" s="270">
        <v>1098</v>
      </c>
      <c r="T2403" s="270">
        <v>1110</v>
      </c>
      <c r="U2403" s="57">
        <v>1</v>
      </c>
      <c r="V2403" s="276">
        <v>0.15</v>
      </c>
      <c r="W2403" s="276">
        <v>0.05</v>
      </c>
      <c r="X2403" s="270">
        <v>888</v>
      </c>
      <c r="Y2403" s="270">
        <v>222</v>
      </c>
      <c r="Z2403" s="45" t="b">
        <v>0</v>
      </c>
      <c r="AA2403" s="45" t="s">
        <v>38</v>
      </c>
      <c r="AB2403" s="45" t="s">
        <v>38</v>
      </c>
    </row>
    <row r="2404" spans="1:28" x14ac:dyDescent="0.2">
      <c r="A2404" s="279" t="s">
        <v>447</v>
      </c>
      <c r="B2404" s="279" t="s">
        <v>95</v>
      </c>
      <c r="C2404" s="282">
        <v>44916</v>
      </c>
      <c r="D2404" s="282">
        <v>44957</v>
      </c>
      <c r="E2404" s="279" t="s">
        <v>300</v>
      </c>
      <c r="F2404" s="133" t="s">
        <v>41</v>
      </c>
      <c r="G2404" s="279" t="s">
        <v>61</v>
      </c>
      <c r="H2404" s="289" t="s">
        <v>134</v>
      </c>
      <c r="I2404" s="273">
        <v>250</v>
      </c>
      <c r="J2404" s="270">
        <v>0</v>
      </c>
      <c r="K2404" s="270">
        <f t="shared" si="0"/>
        <v>0</v>
      </c>
      <c r="L2404" s="270">
        <v>0</v>
      </c>
      <c r="M2404" s="270">
        <v>0</v>
      </c>
      <c r="N2404" s="274">
        <v>750</v>
      </c>
      <c r="O2404" s="55"/>
      <c r="P2404" s="45">
        <v>750</v>
      </c>
      <c r="Q2404" s="270"/>
      <c r="R2404" s="275">
        <v>0</v>
      </c>
      <c r="S2404" s="270"/>
      <c r="T2404" s="270">
        <v>750</v>
      </c>
      <c r="U2404" s="57">
        <v>1</v>
      </c>
      <c r="V2404" s="276">
        <v>0.15</v>
      </c>
      <c r="W2404" s="276">
        <v>0.05</v>
      </c>
      <c r="X2404" s="270">
        <v>600</v>
      </c>
      <c r="Y2404" s="270">
        <v>150</v>
      </c>
      <c r="Z2404" s="45" t="b">
        <v>0</v>
      </c>
      <c r="AA2404" s="45" t="s">
        <v>50</v>
      </c>
      <c r="AB2404" s="45" t="s">
        <v>50</v>
      </c>
    </row>
    <row r="2405" spans="1:28" x14ac:dyDescent="0.2">
      <c r="A2405" s="96" t="s">
        <v>152</v>
      </c>
      <c r="B2405" s="96" t="s">
        <v>152</v>
      </c>
      <c r="C2405" s="277">
        <v>44927</v>
      </c>
      <c r="D2405" s="277">
        <v>44957</v>
      </c>
      <c r="E2405" s="270" t="s">
        <v>267</v>
      </c>
      <c r="F2405" s="96" t="s">
        <v>49</v>
      </c>
      <c r="G2405" s="270" t="s">
        <v>80</v>
      </c>
      <c r="H2405" s="272" t="s">
        <v>72</v>
      </c>
      <c r="I2405" s="273">
        <v>50</v>
      </c>
      <c r="J2405" s="270">
        <v>532</v>
      </c>
      <c r="K2405" s="270">
        <f t="shared" si="0"/>
        <v>26600</v>
      </c>
      <c r="L2405" s="270">
        <v>-21</v>
      </c>
      <c r="M2405" s="270">
        <v>-850</v>
      </c>
      <c r="N2405" s="274">
        <v>1415.74</v>
      </c>
      <c r="O2405" s="55"/>
      <c r="P2405" s="105">
        <v>1416</v>
      </c>
      <c r="Q2405" s="270">
        <v>-1954</v>
      </c>
      <c r="R2405" s="275">
        <v>-4.8989999999999997E-3</v>
      </c>
      <c r="S2405" s="270">
        <v>-2084</v>
      </c>
      <c r="T2405" s="270">
        <v>-668</v>
      </c>
      <c r="U2405" s="57">
        <v>1</v>
      </c>
      <c r="V2405" s="276">
        <v>0.15</v>
      </c>
      <c r="W2405" s="276">
        <v>0</v>
      </c>
      <c r="X2405" s="270">
        <v>-568</v>
      </c>
      <c r="Y2405" s="270">
        <v>-100</v>
      </c>
      <c r="Z2405" s="45" t="b">
        <v>0</v>
      </c>
      <c r="AA2405" s="45" t="s">
        <v>38</v>
      </c>
      <c r="AB2405" s="45" t="s">
        <v>38</v>
      </c>
    </row>
    <row r="2406" spans="1:28" x14ac:dyDescent="0.2">
      <c r="A2406" s="96" t="s">
        <v>152</v>
      </c>
      <c r="B2406" s="96" t="s">
        <v>152</v>
      </c>
      <c r="C2406" s="277">
        <v>44927</v>
      </c>
      <c r="D2406" s="277">
        <v>44957</v>
      </c>
      <c r="E2406" s="270" t="s">
        <v>267</v>
      </c>
      <c r="F2406" s="96" t="s">
        <v>41</v>
      </c>
      <c r="G2406" s="270" t="s">
        <v>80</v>
      </c>
      <c r="H2406" s="110" t="s">
        <v>70</v>
      </c>
      <c r="I2406" s="273">
        <v>100</v>
      </c>
      <c r="J2406" s="270">
        <v>4490</v>
      </c>
      <c r="K2406" s="270">
        <f t="shared" si="0"/>
        <v>449000</v>
      </c>
      <c r="L2406" s="270">
        <v>41875</v>
      </c>
      <c r="M2406" s="270">
        <v>-19300</v>
      </c>
      <c r="N2406" s="274">
        <v>23897.26</v>
      </c>
      <c r="O2406" s="55"/>
      <c r="P2406" s="105">
        <v>23897</v>
      </c>
      <c r="Q2406" s="270">
        <v>-20880</v>
      </c>
      <c r="R2406" s="275">
        <v>0</v>
      </c>
      <c r="S2406" s="270">
        <v>-20880</v>
      </c>
      <c r="T2406" s="270">
        <v>4597</v>
      </c>
      <c r="U2406" s="57">
        <v>1</v>
      </c>
      <c r="V2406" s="276">
        <v>0.15</v>
      </c>
      <c r="W2406" s="276">
        <v>0</v>
      </c>
      <c r="X2406" s="270">
        <v>3908</v>
      </c>
      <c r="Y2406" s="270">
        <v>690</v>
      </c>
      <c r="Z2406" s="45" t="b">
        <v>0</v>
      </c>
      <c r="AA2406" s="45" t="s">
        <v>38</v>
      </c>
      <c r="AB2406" s="45" t="s">
        <v>38</v>
      </c>
    </row>
    <row r="2407" spans="1:28" x14ac:dyDescent="0.2">
      <c r="A2407" s="279" t="s">
        <v>456</v>
      </c>
      <c r="B2407" s="279" t="s">
        <v>129</v>
      </c>
      <c r="C2407" s="282">
        <v>44922</v>
      </c>
      <c r="D2407" s="282">
        <v>44957</v>
      </c>
      <c r="E2407" s="279" t="s">
        <v>267</v>
      </c>
      <c r="F2407" s="133" t="s">
        <v>41</v>
      </c>
      <c r="G2407" s="279" t="s">
        <v>61</v>
      </c>
      <c r="H2407" s="289" t="s">
        <v>54</v>
      </c>
      <c r="I2407" s="280">
        <v>5</v>
      </c>
      <c r="J2407" s="279">
        <v>1864</v>
      </c>
      <c r="K2407" s="270">
        <f t="shared" si="0"/>
        <v>9320</v>
      </c>
      <c r="L2407" s="279">
        <v>118946</v>
      </c>
      <c r="M2407" s="279">
        <v>-585</v>
      </c>
      <c r="N2407" s="281">
        <v>198</v>
      </c>
      <c r="O2407" s="55"/>
      <c r="P2407" s="45">
        <v>198</v>
      </c>
      <c r="Q2407" s="279">
        <v>270</v>
      </c>
      <c r="R2407" s="275">
        <v>0</v>
      </c>
      <c r="S2407" s="279">
        <v>270</v>
      </c>
      <c r="T2407" s="279">
        <v>-387</v>
      </c>
      <c r="U2407" s="57">
        <v>1</v>
      </c>
      <c r="V2407" s="290"/>
      <c r="W2407" s="276">
        <v>0</v>
      </c>
      <c r="X2407" s="279">
        <v>-387</v>
      </c>
      <c r="Y2407" s="279">
        <v>0</v>
      </c>
      <c r="Z2407" s="45" t="b">
        <v>0</v>
      </c>
      <c r="AA2407" s="45" t="s">
        <v>50</v>
      </c>
      <c r="AB2407" s="45" t="s">
        <v>50</v>
      </c>
    </row>
    <row r="2408" spans="1:28" x14ac:dyDescent="0.2">
      <c r="A2408" s="96" t="s">
        <v>175</v>
      </c>
      <c r="B2408" s="96" t="s">
        <v>175</v>
      </c>
      <c r="C2408" s="277">
        <v>44916</v>
      </c>
      <c r="D2408" s="277">
        <v>44957</v>
      </c>
      <c r="E2408" s="279" t="s">
        <v>267</v>
      </c>
      <c r="F2408" s="133" t="s">
        <v>49</v>
      </c>
      <c r="G2408" s="270" t="s">
        <v>35</v>
      </c>
      <c r="H2408" s="272" t="s">
        <v>115</v>
      </c>
      <c r="I2408" s="273">
        <v>10</v>
      </c>
      <c r="J2408" s="270">
        <v>25</v>
      </c>
      <c r="K2408" s="270">
        <f t="shared" si="0"/>
        <v>250</v>
      </c>
      <c r="L2408" s="270">
        <v>-1587</v>
      </c>
      <c r="M2408" s="270">
        <v>-40</v>
      </c>
      <c r="N2408" s="274">
        <v>11</v>
      </c>
      <c r="O2408" s="55"/>
      <c r="P2408" s="45">
        <v>11</v>
      </c>
      <c r="Q2408" s="270">
        <v>-67</v>
      </c>
      <c r="R2408" s="275">
        <v>6.8999999999999997E-5</v>
      </c>
      <c r="S2408" s="270">
        <v>-67</v>
      </c>
      <c r="T2408" s="270">
        <v>-56</v>
      </c>
      <c r="U2408" s="57">
        <v>1</v>
      </c>
      <c r="V2408" s="276">
        <v>0.35</v>
      </c>
      <c r="W2408" s="276">
        <v>0</v>
      </c>
      <c r="X2408" s="270">
        <v>-36</v>
      </c>
      <c r="Y2408" s="270">
        <v>-20</v>
      </c>
      <c r="Z2408" s="45" t="b">
        <v>1</v>
      </c>
      <c r="AA2408" s="45" t="s">
        <v>38</v>
      </c>
      <c r="AB2408" s="45" t="s">
        <v>38</v>
      </c>
    </row>
    <row r="2409" spans="1:28" x14ac:dyDescent="0.2">
      <c r="A2409" s="96" t="s">
        <v>175</v>
      </c>
      <c r="B2409" s="96" t="s">
        <v>175</v>
      </c>
      <c r="C2409" s="277">
        <v>44916</v>
      </c>
      <c r="D2409" s="277">
        <v>44957</v>
      </c>
      <c r="E2409" s="279" t="s">
        <v>267</v>
      </c>
      <c r="F2409" s="133" t="s">
        <v>49</v>
      </c>
      <c r="G2409" s="270" t="s">
        <v>35</v>
      </c>
      <c r="H2409" s="272" t="s">
        <v>40</v>
      </c>
      <c r="I2409" s="273">
        <v>10</v>
      </c>
      <c r="J2409" s="270">
        <v>267</v>
      </c>
      <c r="K2409" s="270">
        <f t="shared" si="0"/>
        <v>2670</v>
      </c>
      <c r="L2409" s="270">
        <v>13655</v>
      </c>
      <c r="M2409" s="270">
        <v>40</v>
      </c>
      <c r="N2409" s="274">
        <v>120</v>
      </c>
      <c r="O2409" s="55"/>
      <c r="P2409" s="45">
        <v>120</v>
      </c>
      <c r="Q2409" s="270">
        <v>53</v>
      </c>
      <c r="R2409" s="275">
        <v>1.9120000000000001E-3</v>
      </c>
      <c r="S2409" s="270">
        <v>58</v>
      </c>
      <c r="T2409" s="270">
        <v>178</v>
      </c>
      <c r="U2409" s="57">
        <v>1</v>
      </c>
      <c r="V2409" s="276">
        <v>0.35</v>
      </c>
      <c r="W2409" s="276">
        <v>0</v>
      </c>
      <c r="X2409" s="270">
        <v>116</v>
      </c>
      <c r="Y2409" s="270">
        <v>62</v>
      </c>
      <c r="Z2409" s="45" t="b">
        <v>1</v>
      </c>
      <c r="AA2409" s="45" t="s">
        <v>38</v>
      </c>
      <c r="AB2409" s="45" t="s">
        <v>38</v>
      </c>
    </row>
    <row r="2410" spans="1:28" x14ac:dyDescent="0.2">
      <c r="A2410" s="96" t="s">
        <v>175</v>
      </c>
      <c r="B2410" s="96" t="s">
        <v>175</v>
      </c>
      <c r="C2410" s="277">
        <v>44916</v>
      </c>
      <c r="D2410" s="277">
        <v>44957</v>
      </c>
      <c r="E2410" s="279" t="s">
        <v>267</v>
      </c>
      <c r="F2410" s="133" t="s">
        <v>49</v>
      </c>
      <c r="G2410" s="270" t="s">
        <v>35</v>
      </c>
      <c r="H2410" s="272" t="s">
        <v>46</v>
      </c>
      <c r="I2410" s="273">
        <v>25</v>
      </c>
      <c r="J2410" s="270">
        <v>1402</v>
      </c>
      <c r="K2410" s="270">
        <f t="shared" si="0"/>
        <v>35050</v>
      </c>
      <c r="L2410" s="270">
        <v>52776</v>
      </c>
      <c r="M2410" s="270">
        <v>-700</v>
      </c>
      <c r="N2410" s="274">
        <v>1354</v>
      </c>
      <c r="O2410" s="55"/>
      <c r="P2410" s="105">
        <v>1354</v>
      </c>
      <c r="Q2410" s="270">
        <v>203</v>
      </c>
      <c r="R2410" s="275">
        <v>1.787E-3</v>
      </c>
      <c r="S2410" s="270">
        <v>266</v>
      </c>
      <c r="T2410" s="270">
        <v>1620</v>
      </c>
      <c r="U2410" s="57">
        <v>1</v>
      </c>
      <c r="V2410" s="276">
        <v>0.35</v>
      </c>
      <c r="W2410" s="276">
        <v>0</v>
      </c>
      <c r="X2410" s="270">
        <v>1053</v>
      </c>
      <c r="Y2410" s="270">
        <v>567</v>
      </c>
      <c r="Z2410" s="45" t="b">
        <v>1</v>
      </c>
      <c r="AA2410" s="45" t="s">
        <v>38</v>
      </c>
      <c r="AB2410" s="45" t="s">
        <v>38</v>
      </c>
    </row>
    <row r="2411" spans="1:28" x14ac:dyDescent="0.2">
      <c r="A2411" s="96" t="s">
        <v>175</v>
      </c>
      <c r="B2411" s="96" t="s">
        <v>175</v>
      </c>
      <c r="C2411" s="277">
        <v>44916</v>
      </c>
      <c r="D2411" s="277">
        <v>44957</v>
      </c>
      <c r="E2411" s="279" t="s">
        <v>267</v>
      </c>
      <c r="F2411" s="133" t="s">
        <v>49</v>
      </c>
      <c r="G2411" s="270" t="s">
        <v>35</v>
      </c>
      <c r="H2411" s="272" t="s">
        <v>87</v>
      </c>
      <c r="I2411" s="273">
        <v>25</v>
      </c>
      <c r="J2411" s="270">
        <v>73</v>
      </c>
      <c r="K2411" s="270">
        <f t="shared" si="0"/>
        <v>1825</v>
      </c>
      <c r="L2411" s="270">
        <v>1430</v>
      </c>
      <c r="M2411" s="270">
        <v>-150</v>
      </c>
      <c r="N2411" s="274">
        <v>70</v>
      </c>
      <c r="O2411" s="55"/>
      <c r="P2411" s="45">
        <v>70</v>
      </c>
      <c r="Q2411" s="270">
        <v>-6</v>
      </c>
      <c r="R2411" s="275">
        <v>1.8159999999999999E-3</v>
      </c>
      <c r="S2411" s="270">
        <v>-3</v>
      </c>
      <c r="T2411" s="270">
        <v>67</v>
      </c>
      <c r="U2411" s="57">
        <v>1</v>
      </c>
      <c r="V2411" s="276">
        <v>0.35</v>
      </c>
      <c r="W2411" s="276">
        <v>0</v>
      </c>
      <c r="X2411" s="270">
        <v>44</v>
      </c>
      <c r="Y2411" s="270">
        <v>23</v>
      </c>
      <c r="Z2411" s="45" t="b">
        <v>1</v>
      </c>
      <c r="AA2411" s="45" t="s">
        <v>38</v>
      </c>
      <c r="AB2411" s="45" t="s">
        <v>38</v>
      </c>
    </row>
    <row r="2412" spans="1:28" x14ac:dyDescent="0.2">
      <c r="A2412" s="96" t="s">
        <v>175</v>
      </c>
      <c r="B2412" s="96" t="s">
        <v>175</v>
      </c>
      <c r="C2412" s="277">
        <v>44916</v>
      </c>
      <c r="D2412" s="277">
        <v>44957</v>
      </c>
      <c r="E2412" s="279" t="s">
        <v>267</v>
      </c>
      <c r="F2412" s="133" t="s">
        <v>49</v>
      </c>
      <c r="G2412" s="270" t="s">
        <v>35</v>
      </c>
      <c r="H2412" s="272" t="s">
        <v>85</v>
      </c>
      <c r="I2412" s="273">
        <v>50</v>
      </c>
      <c r="J2412" s="270">
        <v>187</v>
      </c>
      <c r="K2412" s="270">
        <f t="shared" si="0"/>
        <v>9350</v>
      </c>
      <c r="L2412" s="270">
        <v>-3505</v>
      </c>
      <c r="M2412" s="270">
        <v>-2200</v>
      </c>
      <c r="N2412" s="274">
        <v>361</v>
      </c>
      <c r="O2412" s="55"/>
      <c r="P2412" s="45">
        <v>361</v>
      </c>
      <c r="Q2412" s="270">
        <v>-1141</v>
      </c>
      <c r="R2412" s="275">
        <v>1.8190000000000001E-3</v>
      </c>
      <c r="S2412" s="270">
        <v>-1124</v>
      </c>
      <c r="T2412" s="270">
        <v>-763</v>
      </c>
      <c r="U2412" s="57">
        <v>1</v>
      </c>
      <c r="V2412" s="276">
        <v>0.35</v>
      </c>
      <c r="W2412" s="276">
        <v>0</v>
      </c>
      <c r="X2412" s="270">
        <v>-496</v>
      </c>
      <c r="Y2412" s="270">
        <v>-267</v>
      </c>
      <c r="Z2412" s="45" t="b">
        <v>1</v>
      </c>
      <c r="AA2412" s="45" t="s">
        <v>38</v>
      </c>
      <c r="AB2412" s="45" t="s">
        <v>38</v>
      </c>
    </row>
    <row r="2413" spans="1:28" x14ac:dyDescent="0.2">
      <c r="A2413" s="96" t="s">
        <v>175</v>
      </c>
      <c r="B2413" s="96" t="s">
        <v>175</v>
      </c>
      <c r="C2413" s="277">
        <v>44916</v>
      </c>
      <c r="D2413" s="277">
        <v>44957</v>
      </c>
      <c r="E2413" s="279" t="s">
        <v>267</v>
      </c>
      <c r="F2413" s="133" t="s">
        <v>49</v>
      </c>
      <c r="G2413" s="270" t="s">
        <v>35</v>
      </c>
      <c r="H2413" s="272" t="s">
        <v>72</v>
      </c>
      <c r="I2413" s="273">
        <v>50</v>
      </c>
      <c r="J2413" s="270">
        <v>1041</v>
      </c>
      <c r="K2413" s="270">
        <f t="shared" si="0"/>
        <v>52050</v>
      </c>
      <c r="L2413" s="270">
        <v>11915</v>
      </c>
      <c r="M2413" s="270">
        <v>-1950</v>
      </c>
      <c r="N2413" s="274">
        <v>2010</v>
      </c>
      <c r="O2413" s="55"/>
      <c r="P2413" s="105">
        <v>2010</v>
      </c>
      <c r="Q2413" s="270">
        <v>-2229</v>
      </c>
      <c r="R2413" s="275">
        <v>1.7960000000000001E-3</v>
      </c>
      <c r="S2413" s="270">
        <v>-2135</v>
      </c>
      <c r="T2413" s="270">
        <v>-125</v>
      </c>
      <c r="U2413" s="57">
        <v>1</v>
      </c>
      <c r="V2413" s="276">
        <v>0.35</v>
      </c>
      <c r="W2413" s="276">
        <v>0</v>
      </c>
      <c r="X2413" s="270">
        <v>-81</v>
      </c>
      <c r="Y2413" s="270">
        <v>-44</v>
      </c>
      <c r="Z2413" s="45" t="b">
        <v>1</v>
      </c>
      <c r="AA2413" s="45" t="s">
        <v>38</v>
      </c>
      <c r="AB2413" s="45" t="s">
        <v>38</v>
      </c>
    </row>
    <row r="2414" spans="1:28" x14ac:dyDescent="0.2">
      <c r="A2414" s="96" t="s">
        <v>175</v>
      </c>
      <c r="B2414" s="96" t="s">
        <v>175</v>
      </c>
      <c r="C2414" s="277">
        <v>44916</v>
      </c>
      <c r="D2414" s="277">
        <v>44957</v>
      </c>
      <c r="E2414" s="279" t="s">
        <v>267</v>
      </c>
      <c r="F2414" s="133" t="s">
        <v>41</v>
      </c>
      <c r="G2414" s="270" t="s">
        <v>35</v>
      </c>
      <c r="H2414" s="272" t="s">
        <v>47</v>
      </c>
      <c r="I2414" s="273">
        <v>1</v>
      </c>
      <c r="J2414" s="270">
        <v>40</v>
      </c>
      <c r="K2414" s="270">
        <f t="shared" si="0"/>
        <v>40</v>
      </c>
      <c r="L2414" s="270"/>
      <c r="M2414" s="270">
        <v>9</v>
      </c>
      <c r="N2414" s="274">
        <v>2</v>
      </c>
      <c r="O2414" s="55"/>
      <c r="P2414" s="45">
        <v>2</v>
      </c>
      <c r="Q2414" s="270"/>
      <c r="R2414" s="275">
        <v>0</v>
      </c>
      <c r="S2414" s="270"/>
      <c r="T2414" s="270">
        <v>11</v>
      </c>
      <c r="U2414" s="57">
        <v>1</v>
      </c>
      <c r="V2414" s="276">
        <v>0.35</v>
      </c>
      <c r="W2414" s="276">
        <v>0</v>
      </c>
      <c r="X2414" s="270">
        <v>7</v>
      </c>
      <c r="Y2414" s="270">
        <v>4</v>
      </c>
      <c r="Z2414" s="45" t="b">
        <v>1</v>
      </c>
      <c r="AA2414" s="45" t="s">
        <v>38</v>
      </c>
      <c r="AB2414" s="45" t="s">
        <v>38</v>
      </c>
    </row>
    <row r="2415" spans="1:28" x14ac:dyDescent="0.2">
      <c r="A2415" s="96" t="s">
        <v>175</v>
      </c>
      <c r="B2415" s="96" t="s">
        <v>175</v>
      </c>
      <c r="C2415" s="277">
        <v>44916</v>
      </c>
      <c r="D2415" s="277">
        <v>44957</v>
      </c>
      <c r="E2415" s="279" t="s">
        <v>267</v>
      </c>
      <c r="F2415" s="133" t="s">
        <v>41</v>
      </c>
      <c r="G2415" s="270" t="s">
        <v>35</v>
      </c>
      <c r="H2415" s="272" t="s">
        <v>51</v>
      </c>
      <c r="I2415" s="273">
        <v>0.25</v>
      </c>
      <c r="J2415" s="270">
        <v>8</v>
      </c>
      <c r="K2415" s="270">
        <f t="shared" si="0"/>
        <v>2</v>
      </c>
      <c r="L2415" s="270"/>
      <c r="M2415" s="270">
        <v>0</v>
      </c>
      <c r="N2415" s="274">
        <v>1</v>
      </c>
      <c r="O2415" s="55"/>
      <c r="P2415" s="45">
        <v>1</v>
      </c>
      <c r="Q2415" s="270"/>
      <c r="R2415" s="275">
        <v>0</v>
      </c>
      <c r="S2415" s="270"/>
      <c r="T2415" s="270">
        <v>1</v>
      </c>
      <c r="U2415" s="57">
        <v>1</v>
      </c>
      <c r="V2415" s="276">
        <v>0.35</v>
      </c>
      <c r="W2415" s="276">
        <v>0</v>
      </c>
      <c r="X2415" s="270">
        <v>1</v>
      </c>
      <c r="Y2415" s="270">
        <v>0</v>
      </c>
      <c r="Z2415" s="45" t="b">
        <v>1</v>
      </c>
      <c r="AA2415" s="45" t="s">
        <v>38</v>
      </c>
      <c r="AB2415" s="45" t="s">
        <v>38</v>
      </c>
    </row>
    <row r="2416" spans="1:28" x14ac:dyDescent="0.2">
      <c r="A2416" s="96" t="s">
        <v>175</v>
      </c>
      <c r="B2416" s="96" t="s">
        <v>175</v>
      </c>
      <c r="C2416" s="277">
        <v>44916</v>
      </c>
      <c r="D2416" s="277">
        <v>44957</v>
      </c>
      <c r="E2416" s="279" t="s">
        <v>267</v>
      </c>
      <c r="F2416" s="133" t="s">
        <v>41</v>
      </c>
      <c r="G2416" s="270" t="s">
        <v>35</v>
      </c>
      <c r="H2416" s="272" t="s">
        <v>39</v>
      </c>
      <c r="I2416" s="273">
        <v>5</v>
      </c>
      <c r="J2416" s="270">
        <v>1</v>
      </c>
      <c r="K2416" s="270">
        <f t="shared" si="0"/>
        <v>5</v>
      </c>
      <c r="L2416" s="270"/>
      <c r="M2416" s="270">
        <v>10</v>
      </c>
      <c r="N2416" s="274">
        <v>1</v>
      </c>
      <c r="O2416" s="55"/>
      <c r="P2416" s="45">
        <v>1</v>
      </c>
      <c r="Q2416" s="270"/>
      <c r="R2416" s="275">
        <v>0</v>
      </c>
      <c r="S2416" s="270"/>
      <c r="T2416" s="270">
        <v>11</v>
      </c>
      <c r="U2416" s="57">
        <v>1</v>
      </c>
      <c r="V2416" s="276">
        <v>0.35</v>
      </c>
      <c r="W2416" s="276">
        <v>0</v>
      </c>
      <c r="X2416" s="270">
        <v>7</v>
      </c>
      <c r="Y2416" s="270">
        <v>4</v>
      </c>
      <c r="Z2416" s="45" t="b">
        <v>1</v>
      </c>
      <c r="AA2416" s="45" t="s">
        <v>38</v>
      </c>
      <c r="AB2416" s="45" t="s">
        <v>38</v>
      </c>
    </row>
    <row r="2417" spans="1:28" x14ac:dyDescent="0.2">
      <c r="A2417" s="96" t="s">
        <v>175</v>
      </c>
      <c r="B2417" s="96" t="s">
        <v>175</v>
      </c>
      <c r="C2417" s="277">
        <v>44916</v>
      </c>
      <c r="D2417" s="277">
        <v>44957</v>
      </c>
      <c r="E2417" s="279" t="s">
        <v>267</v>
      </c>
      <c r="F2417" s="133" t="s">
        <v>41</v>
      </c>
      <c r="G2417" s="270" t="s">
        <v>35</v>
      </c>
      <c r="H2417" s="272" t="s">
        <v>43</v>
      </c>
      <c r="I2417" s="273">
        <v>2</v>
      </c>
      <c r="J2417" s="270">
        <v>1</v>
      </c>
      <c r="K2417" s="270">
        <f t="shared" si="0"/>
        <v>2</v>
      </c>
      <c r="L2417" s="270"/>
      <c r="M2417" s="270">
        <v>4</v>
      </c>
      <c r="N2417" s="274"/>
      <c r="O2417" s="55"/>
      <c r="P2417" s="96"/>
      <c r="Q2417" s="270"/>
      <c r="R2417" s="275">
        <v>0</v>
      </c>
      <c r="S2417" s="270"/>
      <c r="T2417" s="270">
        <v>4</v>
      </c>
      <c r="U2417" s="57">
        <v>1</v>
      </c>
      <c r="V2417" s="276">
        <v>0.35</v>
      </c>
      <c r="W2417" s="276">
        <v>0</v>
      </c>
      <c r="X2417" s="270">
        <v>3</v>
      </c>
      <c r="Y2417" s="270">
        <v>1</v>
      </c>
      <c r="Z2417" s="45" t="b">
        <v>1</v>
      </c>
      <c r="AA2417" s="45" t="s">
        <v>38</v>
      </c>
      <c r="AB2417" s="45" t="s">
        <v>38</v>
      </c>
    </row>
    <row r="2418" spans="1:28" x14ac:dyDescent="0.2">
      <c r="A2418" s="96" t="s">
        <v>175</v>
      </c>
      <c r="B2418" s="96" t="s">
        <v>175</v>
      </c>
      <c r="C2418" s="277">
        <v>44916</v>
      </c>
      <c r="D2418" s="277">
        <v>44957</v>
      </c>
      <c r="E2418" s="279" t="s">
        <v>267</v>
      </c>
      <c r="F2418" s="133" t="s">
        <v>41</v>
      </c>
      <c r="G2418" s="270" t="s">
        <v>35</v>
      </c>
      <c r="H2418" s="272" t="s">
        <v>90</v>
      </c>
      <c r="I2418" s="273">
        <v>5</v>
      </c>
      <c r="J2418" s="270">
        <v>1</v>
      </c>
      <c r="K2418" s="270">
        <f t="shared" si="0"/>
        <v>5</v>
      </c>
      <c r="L2418" s="270"/>
      <c r="M2418" s="270">
        <v>-5</v>
      </c>
      <c r="N2418" s="274"/>
      <c r="O2418" s="55"/>
      <c r="P2418" s="96"/>
      <c r="Q2418" s="270"/>
      <c r="R2418" s="275">
        <v>0</v>
      </c>
      <c r="S2418" s="270"/>
      <c r="T2418" s="270">
        <v>-5</v>
      </c>
      <c r="U2418" s="57">
        <v>1</v>
      </c>
      <c r="V2418" s="276">
        <v>0.35</v>
      </c>
      <c r="W2418" s="276">
        <v>0</v>
      </c>
      <c r="X2418" s="270">
        <v>-3</v>
      </c>
      <c r="Y2418" s="270">
        <v>-2</v>
      </c>
      <c r="Z2418" s="45" t="b">
        <v>1</v>
      </c>
      <c r="AA2418" s="45" t="s">
        <v>38</v>
      </c>
      <c r="AB2418" s="45" t="s">
        <v>38</v>
      </c>
    </row>
    <row r="2419" spans="1:28" x14ac:dyDescent="0.2">
      <c r="A2419" s="279" t="s">
        <v>127</v>
      </c>
      <c r="B2419" s="279" t="s">
        <v>128</v>
      </c>
      <c r="C2419" s="282">
        <v>44916</v>
      </c>
      <c r="D2419" s="282">
        <v>44957</v>
      </c>
      <c r="E2419" s="279" t="s">
        <v>267</v>
      </c>
      <c r="F2419" s="133" t="s">
        <v>49</v>
      </c>
      <c r="G2419" s="279" t="s">
        <v>61</v>
      </c>
      <c r="H2419" s="289" t="s">
        <v>55</v>
      </c>
      <c r="I2419" s="280">
        <v>10</v>
      </c>
      <c r="J2419" s="279">
        <v>9443</v>
      </c>
      <c r="K2419" s="270">
        <f t="shared" si="0"/>
        <v>94430</v>
      </c>
      <c r="L2419" s="279">
        <v>562976</v>
      </c>
      <c r="M2419" s="279">
        <v>2527</v>
      </c>
      <c r="N2419" s="281">
        <v>1118.52</v>
      </c>
      <c r="O2419" s="55"/>
      <c r="P2419" s="105">
        <v>1119</v>
      </c>
      <c r="Q2419" s="279">
        <v>2106</v>
      </c>
      <c r="R2419" s="275">
        <v>1.7979999999999999E-3</v>
      </c>
      <c r="S2419" s="279">
        <v>2276</v>
      </c>
      <c r="T2419" s="279">
        <v>3395</v>
      </c>
      <c r="U2419" s="57">
        <v>1</v>
      </c>
      <c r="V2419" s="276">
        <v>0.17</v>
      </c>
      <c r="W2419" s="276">
        <v>0</v>
      </c>
      <c r="X2419" s="279">
        <v>2817</v>
      </c>
      <c r="Y2419" s="279">
        <v>577</v>
      </c>
      <c r="Z2419" s="45" t="b">
        <v>1</v>
      </c>
      <c r="AA2419" s="45" t="s">
        <v>50</v>
      </c>
      <c r="AB2419" s="45" t="s">
        <v>50</v>
      </c>
    </row>
    <row r="2420" spans="1:28" x14ac:dyDescent="0.2">
      <c r="A2420" s="279" t="s">
        <v>127</v>
      </c>
      <c r="B2420" s="279" t="s">
        <v>128</v>
      </c>
      <c r="C2420" s="282">
        <v>44916</v>
      </c>
      <c r="D2420" s="282">
        <v>44957</v>
      </c>
      <c r="E2420" s="279" t="s">
        <v>267</v>
      </c>
      <c r="F2420" s="133" t="s">
        <v>49</v>
      </c>
      <c r="G2420" s="279" t="s">
        <v>61</v>
      </c>
      <c r="H2420" s="289" t="s">
        <v>167</v>
      </c>
      <c r="I2420" s="280">
        <v>25</v>
      </c>
      <c r="J2420" s="279">
        <v>1908</v>
      </c>
      <c r="K2420" s="270">
        <f t="shared" si="0"/>
        <v>47700</v>
      </c>
      <c r="L2420" s="279">
        <v>64067</v>
      </c>
      <c r="M2420" s="279">
        <v>887</v>
      </c>
      <c r="N2420" s="281">
        <v>6.48</v>
      </c>
      <c r="O2420" s="55"/>
      <c r="P2420" s="45">
        <v>6</v>
      </c>
      <c r="Q2420" s="279">
        <v>-1189</v>
      </c>
      <c r="R2420" s="275">
        <v>1.805E-3</v>
      </c>
      <c r="S2420" s="279">
        <v>-1103</v>
      </c>
      <c r="T2420" s="279">
        <v>-1097</v>
      </c>
      <c r="U2420" s="57">
        <v>1</v>
      </c>
      <c r="V2420" s="276">
        <v>0.17</v>
      </c>
      <c r="W2420" s="276">
        <v>0</v>
      </c>
      <c r="X2420" s="279">
        <v>-910</v>
      </c>
      <c r="Y2420" s="279">
        <v>-186</v>
      </c>
      <c r="Z2420" s="45" t="b">
        <v>1</v>
      </c>
      <c r="AA2420" s="45" t="s">
        <v>50</v>
      </c>
      <c r="AB2420" s="45" t="s">
        <v>50</v>
      </c>
    </row>
    <row r="2421" spans="1:28" x14ac:dyDescent="0.2">
      <c r="A2421" s="279" t="s">
        <v>189</v>
      </c>
      <c r="B2421" s="279" t="s">
        <v>189</v>
      </c>
      <c r="C2421" s="282">
        <v>44922</v>
      </c>
      <c r="D2421" s="282">
        <v>44957</v>
      </c>
      <c r="E2421" s="279" t="s">
        <v>267</v>
      </c>
      <c r="F2421" s="133" t="s">
        <v>41</v>
      </c>
      <c r="G2421" s="279" t="s">
        <v>53</v>
      </c>
      <c r="H2421" s="289" t="s">
        <v>54</v>
      </c>
      <c r="I2421" s="280">
        <v>5</v>
      </c>
      <c r="J2421" s="279">
        <v>18</v>
      </c>
      <c r="K2421" s="270">
        <f t="shared" si="0"/>
        <v>90</v>
      </c>
      <c r="L2421" s="279">
        <v>288</v>
      </c>
      <c r="M2421" s="279">
        <v>3.95</v>
      </c>
      <c r="N2421" s="281"/>
      <c r="O2421" s="55">
        <v>0.5</v>
      </c>
      <c r="P2421" s="45">
        <v>3</v>
      </c>
      <c r="Q2421" s="279">
        <v>-4</v>
      </c>
      <c r="R2421" s="275">
        <v>0</v>
      </c>
      <c r="S2421" s="279">
        <v>-4</v>
      </c>
      <c r="T2421" s="279">
        <v>7</v>
      </c>
      <c r="U2421" s="57">
        <v>1</v>
      </c>
      <c r="V2421" s="276">
        <v>0.12</v>
      </c>
      <c r="W2421" s="276">
        <v>0</v>
      </c>
      <c r="X2421" s="279">
        <v>6</v>
      </c>
      <c r="Y2421" s="279">
        <v>1</v>
      </c>
      <c r="Z2421" s="45" t="b">
        <v>1</v>
      </c>
      <c r="AA2421" s="45" t="s">
        <v>38</v>
      </c>
      <c r="AB2421" s="45" t="s">
        <v>38</v>
      </c>
    </row>
    <row r="2422" spans="1:28" x14ac:dyDescent="0.2">
      <c r="A2422" s="279" t="s">
        <v>189</v>
      </c>
      <c r="B2422" s="279" t="s">
        <v>189</v>
      </c>
      <c r="C2422" s="282">
        <v>44922</v>
      </c>
      <c r="D2422" s="282">
        <v>44957</v>
      </c>
      <c r="E2422" s="279" t="s">
        <v>267</v>
      </c>
      <c r="F2422" s="133" t="s">
        <v>41</v>
      </c>
      <c r="G2422" s="279" t="s">
        <v>53</v>
      </c>
      <c r="H2422" s="289" t="s">
        <v>55</v>
      </c>
      <c r="I2422" s="280">
        <v>10</v>
      </c>
      <c r="J2422" s="279">
        <v>4</v>
      </c>
      <c r="K2422" s="270">
        <f t="shared" si="0"/>
        <v>40</v>
      </c>
      <c r="L2422" s="279">
        <v>-336</v>
      </c>
      <c r="M2422" s="279">
        <v>1.76</v>
      </c>
      <c r="N2422" s="281"/>
      <c r="O2422" s="55">
        <v>0.5</v>
      </c>
      <c r="P2422" s="45">
        <v>1</v>
      </c>
      <c r="Q2422" s="279">
        <v>-9</v>
      </c>
      <c r="R2422" s="275">
        <v>0</v>
      </c>
      <c r="S2422" s="279">
        <v>-9</v>
      </c>
      <c r="T2422" s="279">
        <v>3</v>
      </c>
      <c r="U2422" s="57">
        <v>1</v>
      </c>
      <c r="V2422" s="276">
        <v>0.12</v>
      </c>
      <c r="W2422" s="276">
        <v>0</v>
      </c>
      <c r="X2422" s="279">
        <v>3</v>
      </c>
      <c r="Y2422" s="279">
        <v>0</v>
      </c>
      <c r="Z2422" s="45" t="b">
        <v>1</v>
      </c>
      <c r="AA2422" s="45" t="s">
        <v>38</v>
      </c>
      <c r="AB2422" s="45" t="s">
        <v>38</v>
      </c>
    </row>
    <row r="2423" spans="1:28" x14ac:dyDescent="0.2">
      <c r="A2423" s="279" t="s">
        <v>189</v>
      </c>
      <c r="B2423" s="279" t="s">
        <v>189</v>
      </c>
      <c r="C2423" s="282">
        <v>44922</v>
      </c>
      <c r="D2423" s="282">
        <v>44957</v>
      </c>
      <c r="E2423" s="279" t="s">
        <v>267</v>
      </c>
      <c r="F2423" s="133" t="s">
        <v>41</v>
      </c>
      <c r="G2423" s="279" t="s">
        <v>53</v>
      </c>
      <c r="H2423" s="289" t="s">
        <v>56</v>
      </c>
      <c r="I2423" s="280">
        <v>20</v>
      </c>
      <c r="J2423" s="279">
        <v>19</v>
      </c>
      <c r="K2423" s="270">
        <f t="shared" si="0"/>
        <v>380</v>
      </c>
      <c r="L2423" s="279">
        <v>-722</v>
      </c>
      <c r="M2423" s="279">
        <v>16.690000000000001</v>
      </c>
      <c r="N2423" s="281"/>
      <c r="O2423" s="55">
        <v>0.5</v>
      </c>
      <c r="P2423" s="45">
        <v>13</v>
      </c>
      <c r="Q2423" s="279">
        <v>-56</v>
      </c>
      <c r="R2423" s="275">
        <v>0</v>
      </c>
      <c r="S2423" s="279">
        <v>-56</v>
      </c>
      <c r="T2423" s="279">
        <v>30</v>
      </c>
      <c r="U2423" s="57">
        <v>1</v>
      </c>
      <c r="V2423" s="276">
        <v>0.12</v>
      </c>
      <c r="W2423" s="276">
        <v>0</v>
      </c>
      <c r="X2423" s="279">
        <v>26</v>
      </c>
      <c r="Y2423" s="279">
        <v>4</v>
      </c>
      <c r="Z2423" s="45" t="b">
        <v>1</v>
      </c>
      <c r="AA2423" s="45" t="s">
        <v>38</v>
      </c>
      <c r="AB2423" s="45" t="s">
        <v>38</v>
      </c>
    </row>
    <row r="2424" spans="1:28" x14ac:dyDescent="0.2">
      <c r="A2424" s="279" t="s">
        <v>189</v>
      </c>
      <c r="B2424" s="279" t="s">
        <v>189</v>
      </c>
      <c r="C2424" s="282">
        <v>44922</v>
      </c>
      <c r="D2424" s="282">
        <v>44957</v>
      </c>
      <c r="E2424" s="279" t="s">
        <v>267</v>
      </c>
      <c r="F2424" s="133" t="s">
        <v>41</v>
      </c>
      <c r="G2424" s="279" t="s">
        <v>53</v>
      </c>
      <c r="H2424" s="289" t="s">
        <v>57</v>
      </c>
      <c r="I2424" s="280">
        <v>50</v>
      </c>
      <c r="J2424" s="279">
        <v>1636</v>
      </c>
      <c r="K2424" s="270">
        <f t="shared" si="0"/>
        <v>81800</v>
      </c>
      <c r="L2424" s="279">
        <v>68712</v>
      </c>
      <c r="M2424" s="279">
        <v>3593.43</v>
      </c>
      <c r="N2424" s="281"/>
      <c r="O2424" s="55">
        <v>0.5</v>
      </c>
      <c r="P2424" s="105">
        <v>2863</v>
      </c>
      <c r="Q2424" s="279">
        <v>56</v>
      </c>
      <c r="R2424" s="275">
        <v>0</v>
      </c>
      <c r="S2424" s="279">
        <v>56</v>
      </c>
      <c r="T2424" s="279">
        <v>6456</v>
      </c>
      <c r="U2424" s="57">
        <v>1</v>
      </c>
      <c r="V2424" s="276">
        <v>0.12</v>
      </c>
      <c r="W2424" s="276">
        <v>0</v>
      </c>
      <c r="X2424" s="279">
        <v>5682</v>
      </c>
      <c r="Y2424" s="279">
        <v>775</v>
      </c>
      <c r="Z2424" s="45" t="b">
        <v>1</v>
      </c>
      <c r="AA2424" s="45" t="s">
        <v>38</v>
      </c>
      <c r="AB2424" s="45" t="s">
        <v>38</v>
      </c>
    </row>
    <row r="2425" spans="1:28" x14ac:dyDescent="0.2">
      <c r="A2425" s="279" t="s">
        <v>189</v>
      </c>
      <c r="B2425" s="279" t="s">
        <v>189</v>
      </c>
      <c r="C2425" s="282">
        <v>44922</v>
      </c>
      <c r="D2425" s="282">
        <v>44957</v>
      </c>
      <c r="E2425" s="279" t="s">
        <v>267</v>
      </c>
      <c r="F2425" s="133" t="s">
        <v>41</v>
      </c>
      <c r="G2425" s="279" t="s">
        <v>53</v>
      </c>
      <c r="H2425" s="289" t="s">
        <v>59</v>
      </c>
      <c r="I2425" s="280">
        <v>100</v>
      </c>
      <c r="J2425" s="279">
        <v>212</v>
      </c>
      <c r="K2425" s="270">
        <f t="shared" si="0"/>
        <v>21200</v>
      </c>
      <c r="L2425" s="279">
        <v>8268</v>
      </c>
      <c r="M2425" s="279">
        <v>931.3</v>
      </c>
      <c r="N2425" s="281"/>
      <c r="O2425" s="55">
        <v>0.5</v>
      </c>
      <c r="P2425" s="45">
        <v>742</v>
      </c>
      <c r="Q2425" s="279">
        <v>-103</v>
      </c>
      <c r="R2425" s="275">
        <v>0</v>
      </c>
      <c r="S2425" s="279">
        <v>-103</v>
      </c>
      <c r="T2425" s="279">
        <v>1673</v>
      </c>
      <c r="U2425" s="57">
        <v>1</v>
      </c>
      <c r="V2425" s="276">
        <v>0.12</v>
      </c>
      <c r="W2425" s="276">
        <v>0</v>
      </c>
      <c r="X2425" s="279">
        <v>1473</v>
      </c>
      <c r="Y2425" s="279">
        <v>201</v>
      </c>
      <c r="Z2425" s="45" t="b">
        <v>1</v>
      </c>
      <c r="AA2425" s="45" t="s">
        <v>38</v>
      </c>
      <c r="AB2425" s="45" t="s">
        <v>38</v>
      </c>
    </row>
    <row r="2426" spans="1:28" x14ac:dyDescent="0.2">
      <c r="A2426" s="279" t="s">
        <v>189</v>
      </c>
      <c r="B2426" s="279" t="s">
        <v>189</v>
      </c>
      <c r="C2426" s="282">
        <v>44922</v>
      </c>
      <c r="D2426" s="282">
        <v>44957</v>
      </c>
      <c r="E2426" s="279" t="s">
        <v>267</v>
      </c>
      <c r="F2426" s="133" t="s">
        <v>41</v>
      </c>
      <c r="G2426" s="279" t="s">
        <v>1006</v>
      </c>
      <c r="H2426" s="289" t="s">
        <v>190</v>
      </c>
      <c r="I2426" s="280">
        <v>200</v>
      </c>
      <c r="J2426" s="279">
        <v>28</v>
      </c>
      <c r="K2426" s="270">
        <f t="shared" si="0"/>
        <v>5600</v>
      </c>
      <c r="L2426" s="279">
        <v>84</v>
      </c>
      <c r="M2426" s="279">
        <v>210.86</v>
      </c>
      <c r="N2426" s="281"/>
      <c r="O2426" s="55">
        <v>0.5</v>
      </c>
      <c r="P2426" s="45">
        <v>168</v>
      </c>
      <c r="Q2426" s="279">
        <v>-343</v>
      </c>
      <c r="R2426" s="275">
        <v>0</v>
      </c>
      <c r="S2426" s="279">
        <v>-343</v>
      </c>
      <c r="T2426" s="279">
        <v>379</v>
      </c>
      <c r="U2426" s="57">
        <v>1</v>
      </c>
      <c r="V2426" s="276">
        <v>0.12</v>
      </c>
      <c r="W2426" s="276">
        <v>0</v>
      </c>
      <c r="X2426" s="279">
        <v>333</v>
      </c>
      <c r="Y2426" s="279">
        <v>45</v>
      </c>
      <c r="Z2426" s="45" t="b">
        <v>1</v>
      </c>
      <c r="AA2426" s="45" t="s">
        <v>38</v>
      </c>
      <c r="AB2426" s="45" t="s">
        <v>38</v>
      </c>
    </row>
    <row r="2427" spans="1:28" x14ac:dyDescent="0.2">
      <c r="A2427" s="96" t="s">
        <v>561</v>
      </c>
      <c r="B2427" s="96" t="s">
        <v>79</v>
      </c>
      <c r="C2427" s="277">
        <v>44927</v>
      </c>
      <c r="D2427" s="277">
        <v>44957</v>
      </c>
      <c r="E2427" s="270" t="s">
        <v>267</v>
      </c>
      <c r="F2427" s="96" t="s">
        <v>41</v>
      </c>
      <c r="G2427" s="270" t="s">
        <v>80</v>
      </c>
      <c r="H2427" s="272" t="s">
        <v>71</v>
      </c>
      <c r="I2427" s="273">
        <v>20</v>
      </c>
      <c r="J2427" s="270">
        <v>3075</v>
      </c>
      <c r="K2427" s="270">
        <f t="shared" si="0"/>
        <v>61500</v>
      </c>
      <c r="L2427" s="270">
        <v>39802</v>
      </c>
      <c r="M2427" s="270">
        <v>-120</v>
      </c>
      <c r="N2427" s="274">
        <v>3115.19</v>
      </c>
      <c r="O2427" s="55"/>
      <c r="P2427" s="105">
        <v>3115</v>
      </c>
      <c r="Q2427" s="270">
        <v>-2220</v>
      </c>
      <c r="R2427" s="275">
        <v>0</v>
      </c>
      <c r="S2427" s="270">
        <v>-2220</v>
      </c>
      <c r="T2427" s="270">
        <v>2995</v>
      </c>
      <c r="U2427" s="57">
        <v>1</v>
      </c>
      <c r="V2427" s="276">
        <v>0.23</v>
      </c>
      <c r="W2427" s="276">
        <v>0</v>
      </c>
      <c r="X2427" s="270">
        <v>2306</v>
      </c>
      <c r="Y2427" s="270">
        <v>689</v>
      </c>
      <c r="Z2427" s="45" t="b">
        <v>0</v>
      </c>
      <c r="AA2427" s="45" t="s">
        <v>38</v>
      </c>
      <c r="AB2427" s="45" t="s">
        <v>38</v>
      </c>
    </row>
    <row r="2428" spans="1:28" x14ac:dyDescent="0.2">
      <c r="A2428" s="96" t="s">
        <v>561</v>
      </c>
      <c r="B2428" s="96" t="s">
        <v>79</v>
      </c>
      <c r="C2428" s="277">
        <v>44927</v>
      </c>
      <c r="D2428" s="277">
        <v>44957</v>
      </c>
      <c r="E2428" s="270" t="s">
        <v>267</v>
      </c>
      <c r="F2428" s="96" t="s">
        <v>41</v>
      </c>
      <c r="G2428" s="270" t="s">
        <v>80</v>
      </c>
      <c r="H2428" s="272" t="s">
        <v>72</v>
      </c>
      <c r="I2428" s="273">
        <v>50</v>
      </c>
      <c r="J2428" s="270">
        <v>1004</v>
      </c>
      <c r="K2428" s="270">
        <f t="shared" si="0"/>
        <v>50200</v>
      </c>
      <c r="L2428" s="270">
        <v>13604</v>
      </c>
      <c r="M2428" s="270">
        <v>-2900</v>
      </c>
      <c r="N2428" s="274">
        <v>2542.81</v>
      </c>
      <c r="O2428" s="55"/>
      <c r="P2428" s="105">
        <v>2543</v>
      </c>
      <c r="Q2428" s="270">
        <v>-1725</v>
      </c>
      <c r="R2428" s="275">
        <v>0</v>
      </c>
      <c r="S2428" s="270">
        <v>-1725</v>
      </c>
      <c r="T2428" s="270">
        <v>-357</v>
      </c>
      <c r="U2428" s="57">
        <v>1</v>
      </c>
      <c r="V2428" s="276">
        <v>0.23</v>
      </c>
      <c r="W2428" s="276">
        <v>0</v>
      </c>
      <c r="X2428" s="270">
        <v>-275</v>
      </c>
      <c r="Y2428" s="270">
        <v>-82</v>
      </c>
      <c r="Z2428" s="45" t="b">
        <v>0</v>
      </c>
      <c r="AA2428" s="45" t="s">
        <v>38</v>
      </c>
      <c r="AB2428" s="45" t="s">
        <v>38</v>
      </c>
    </row>
    <row r="2429" spans="1:28" x14ac:dyDescent="0.2">
      <c r="A2429" s="279" t="s">
        <v>232</v>
      </c>
      <c r="B2429" s="279" t="s">
        <v>198</v>
      </c>
      <c r="C2429" s="282">
        <v>44922</v>
      </c>
      <c r="D2429" s="282">
        <v>44957</v>
      </c>
      <c r="E2429" s="279" t="s">
        <v>267</v>
      </c>
      <c r="F2429" s="133" t="s">
        <v>41</v>
      </c>
      <c r="G2429" s="279" t="s">
        <v>53</v>
      </c>
      <c r="H2429" s="289" t="s">
        <v>54</v>
      </c>
      <c r="I2429" s="280">
        <v>5</v>
      </c>
      <c r="J2429" s="279">
        <v>4</v>
      </c>
      <c r="K2429" s="270">
        <f t="shared" si="0"/>
        <v>20</v>
      </c>
      <c r="L2429" s="279"/>
      <c r="M2429" s="279">
        <v>1.1000000000000001</v>
      </c>
      <c r="N2429" s="281"/>
      <c r="O2429" s="55">
        <v>0.5</v>
      </c>
      <c r="P2429" s="45">
        <v>1</v>
      </c>
      <c r="Q2429" s="279"/>
      <c r="R2429" s="275">
        <v>0</v>
      </c>
      <c r="S2429" s="279"/>
      <c r="T2429" s="279">
        <v>2</v>
      </c>
      <c r="U2429" s="57">
        <v>1</v>
      </c>
      <c r="V2429" s="276">
        <v>0.17</v>
      </c>
      <c r="W2429" s="276">
        <v>0</v>
      </c>
      <c r="X2429" s="279">
        <v>1</v>
      </c>
      <c r="Y2429" s="279">
        <v>0</v>
      </c>
      <c r="Z2429" s="45" t="b">
        <v>1</v>
      </c>
      <c r="AA2429" s="45" t="s">
        <v>38</v>
      </c>
      <c r="AB2429" s="45" t="s">
        <v>38</v>
      </c>
    </row>
    <row r="2430" spans="1:28" x14ac:dyDescent="0.2">
      <c r="A2430" s="279" t="s">
        <v>232</v>
      </c>
      <c r="B2430" s="279" t="s">
        <v>198</v>
      </c>
      <c r="C2430" s="282">
        <v>44922</v>
      </c>
      <c r="D2430" s="282">
        <v>44957</v>
      </c>
      <c r="E2430" s="279" t="s">
        <v>267</v>
      </c>
      <c r="F2430" s="133" t="s">
        <v>41</v>
      </c>
      <c r="G2430" s="279" t="s">
        <v>53</v>
      </c>
      <c r="H2430" s="289" t="s">
        <v>55</v>
      </c>
      <c r="I2430" s="280">
        <v>10</v>
      </c>
      <c r="J2430" s="279">
        <v>15</v>
      </c>
      <c r="K2430" s="270">
        <f t="shared" si="0"/>
        <v>150</v>
      </c>
      <c r="L2430" s="279"/>
      <c r="M2430" s="279">
        <v>8.23</v>
      </c>
      <c r="N2430" s="281"/>
      <c r="O2430" s="55">
        <v>0.5</v>
      </c>
      <c r="P2430" s="45">
        <v>5</v>
      </c>
      <c r="Q2430" s="279"/>
      <c r="R2430" s="275">
        <v>0</v>
      </c>
      <c r="S2430" s="279"/>
      <c r="T2430" s="279">
        <v>13</v>
      </c>
      <c r="U2430" s="57">
        <v>1</v>
      </c>
      <c r="V2430" s="276">
        <v>0.17</v>
      </c>
      <c r="W2430" s="276">
        <v>0</v>
      </c>
      <c r="X2430" s="279">
        <v>11</v>
      </c>
      <c r="Y2430" s="279">
        <v>2</v>
      </c>
      <c r="Z2430" s="45" t="b">
        <v>1</v>
      </c>
      <c r="AA2430" s="45" t="s">
        <v>38</v>
      </c>
      <c r="AB2430" s="45" t="s">
        <v>38</v>
      </c>
    </row>
    <row r="2431" spans="1:28" x14ac:dyDescent="0.2">
      <c r="A2431" s="279" t="s">
        <v>232</v>
      </c>
      <c r="B2431" s="279" t="s">
        <v>198</v>
      </c>
      <c r="C2431" s="282">
        <v>44922</v>
      </c>
      <c r="D2431" s="282">
        <v>44957</v>
      </c>
      <c r="E2431" s="279" t="s">
        <v>267</v>
      </c>
      <c r="F2431" s="133" t="s">
        <v>41</v>
      </c>
      <c r="G2431" s="279" t="s">
        <v>53</v>
      </c>
      <c r="H2431" s="289" t="s">
        <v>56</v>
      </c>
      <c r="I2431" s="280">
        <v>20</v>
      </c>
      <c r="J2431" s="279">
        <v>1616</v>
      </c>
      <c r="K2431" s="270">
        <f t="shared" si="0"/>
        <v>32320</v>
      </c>
      <c r="L2431" s="279"/>
      <c r="M2431" s="279">
        <v>1772.26</v>
      </c>
      <c r="N2431" s="281"/>
      <c r="O2431" s="55">
        <v>0.5</v>
      </c>
      <c r="P2431" s="105">
        <v>1131</v>
      </c>
      <c r="Q2431" s="279"/>
      <c r="R2431" s="275">
        <v>0</v>
      </c>
      <c r="S2431" s="279"/>
      <c r="T2431" s="279">
        <v>2903</v>
      </c>
      <c r="U2431" s="57">
        <v>1</v>
      </c>
      <c r="V2431" s="276">
        <v>0.17</v>
      </c>
      <c r="W2431" s="276">
        <v>0</v>
      </c>
      <c r="X2431" s="279">
        <v>2410</v>
      </c>
      <c r="Y2431" s="279">
        <v>494</v>
      </c>
      <c r="Z2431" s="45" t="b">
        <v>1</v>
      </c>
      <c r="AA2431" s="45" t="s">
        <v>38</v>
      </c>
      <c r="AB2431" s="45" t="s">
        <v>38</v>
      </c>
    </row>
    <row r="2432" spans="1:28" x14ac:dyDescent="0.2">
      <c r="A2432" s="279" t="s">
        <v>232</v>
      </c>
      <c r="B2432" s="279" t="s">
        <v>198</v>
      </c>
      <c r="C2432" s="282">
        <v>44922</v>
      </c>
      <c r="D2432" s="282">
        <v>44957</v>
      </c>
      <c r="E2432" s="279" t="s">
        <v>267</v>
      </c>
      <c r="F2432" s="133" t="s">
        <v>41</v>
      </c>
      <c r="G2432" s="279" t="s">
        <v>53</v>
      </c>
      <c r="H2432" s="289" t="s">
        <v>57</v>
      </c>
      <c r="I2432" s="280">
        <v>50</v>
      </c>
      <c r="J2432" s="279">
        <v>161</v>
      </c>
      <c r="K2432" s="270">
        <f t="shared" si="0"/>
        <v>8050</v>
      </c>
      <c r="L2432" s="279"/>
      <c r="M2432" s="279">
        <v>441.42</v>
      </c>
      <c r="N2432" s="281"/>
      <c r="O2432" s="55">
        <v>0.5</v>
      </c>
      <c r="P2432" s="45">
        <v>282</v>
      </c>
      <c r="Q2432" s="279"/>
      <c r="R2432" s="275">
        <v>0</v>
      </c>
      <c r="S2432" s="279"/>
      <c r="T2432" s="279">
        <v>723</v>
      </c>
      <c r="U2432" s="57">
        <v>1</v>
      </c>
      <c r="V2432" s="276">
        <v>0.17</v>
      </c>
      <c r="W2432" s="276">
        <v>0</v>
      </c>
      <c r="X2432" s="279">
        <v>600</v>
      </c>
      <c r="Y2432" s="279">
        <v>123</v>
      </c>
      <c r="Z2432" s="45" t="b">
        <v>1</v>
      </c>
      <c r="AA2432" s="45" t="s">
        <v>38</v>
      </c>
      <c r="AB2432" s="45" t="s">
        <v>38</v>
      </c>
    </row>
    <row r="2433" spans="1:28" x14ac:dyDescent="0.2">
      <c r="A2433" s="279" t="s">
        <v>232</v>
      </c>
      <c r="B2433" s="279" t="s">
        <v>198</v>
      </c>
      <c r="C2433" s="277">
        <v>44916</v>
      </c>
      <c r="D2433" s="277">
        <v>44957</v>
      </c>
      <c r="E2433" s="279" t="s">
        <v>267</v>
      </c>
      <c r="F2433" s="96" t="s">
        <v>49</v>
      </c>
      <c r="G2433" s="270" t="s">
        <v>35</v>
      </c>
      <c r="H2433" s="272" t="s">
        <v>46</v>
      </c>
      <c r="I2433" s="273">
        <v>25</v>
      </c>
      <c r="J2433" s="270">
        <v>1040</v>
      </c>
      <c r="K2433" s="270">
        <f t="shared" si="0"/>
        <v>26000</v>
      </c>
      <c r="L2433" s="270">
        <v>67010</v>
      </c>
      <c r="M2433" s="270">
        <v>-500</v>
      </c>
      <c r="N2433" s="274">
        <v>527</v>
      </c>
      <c r="O2433" s="55"/>
      <c r="P2433" s="45">
        <v>527</v>
      </c>
      <c r="Q2433" s="270">
        <v>1442</v>
      </c>
      <c r="R2433" s="275">
        <v>1.792E-3</v>
      </c>
      <c r="S2433" s="270">
        <v>1489</v>
      </c>
      <c r="T2433" s="270">
        <v>2016</v>
      </c>
      <c r="U2433" s="57">
        <v>1</v>
      </c>
      <c r="V2433" s="276">
        <v>0.17</v>
      </c>
      <c r="W2433" s="276">
        <v>0</v>
      </c>
      <c r="X2433" s="270">
        <v>1673</v>
      </c>
      <c r="Y2433" s="270">
        <v>343</v>
      </c>
      <c r="Z2433" s="45" t="b">
        <v>1</v>
      </c>
      <c r="AA2433" s="45" t="s">
        <v>38</v>
      </c>
      <c r="AB2433" s="45" t="s">
        <v>38</v>
      </c>
    </row>
    <row r="2434" spans="1:28" x14ac:dyDescent="0.2">
      <c r="A2434" s="279" t="s">
        <v>232</v>
      </c>
      <c r="B2434" s="279" t="s">
        <v>198</v>
      </c>
      <c r="C2434" s="277">
        <v>44916</v>
      </c>
      <c r="D2434" s="277">
        <v>44957</v>
      </c>
      <c r="E2434" s="279" t="s">
        <v>267</v>
      </c>
      <c r="F2434" s="96" t="s">
        <v>49</v>
      </c>
      <c r="G2434" s="270" t="s">
        <v>35</v>
      </c>
      <c r="H2434" s="272" t="s">
        <v>40</v>
      </c>
      <c r="I2434" s="273">
        <v>10</v>
      </c>
      <c r="J2434" s="270">
        <v>630</v>
      </c>
      <c r="K2434" s="270">
        <f t="shared" si="0"/>
        <v>6300</v>
      </c>
      <c r="L2434" s="270">
        <v>47150</v>
      </c>
      <c r="M2434" s="270">
        <v>960</v>
      </c>
      <c r="N2434" s="274">
        <v>149</v>
      </c>
      <c r="O2434" s="55"/>
      <c r="P2434" s="45">
        <v>149</v>
      </c>
      <c r="Q2434" s="270">
        <v>399</v>
      </c>
      <c r="R2434" s="275">
        <v>1.7979999999999999E-3</v>
      </c>
      <c r="S2434" s="270">
        <v>410</v>
      </c>
      <c r="T2434" s="270">
        <v>559</v>
      </c>
      <c r="U2434" s="57">
        <v>1</v>
      </c>
      <c r="V2434" s="276">
        <v>0.17</v>
      </c>
      <c r="W2434" s="276">
        <v>0</v>
      </c>
      <c r="X2434" s="270">
        <v>464</v>
      </c>
      <c r="Y2434" s="270">
        <v>95</v>
      </c>
      <c r="Z2434" s="45" t="b">
        <v>1</v>
      </c>
      <c r="AA2434" s="45" t="s">
        <v>38</v>
      </c>
      <c r="AB2434" s="45" t="s">
        <v>38</v>
      </c>
    </row>
    <row r="2435" spans="1:28" x14ac:dyDescent="0.2">
      <c r="A2435" s="279" t="s">
        <v>232</v>
      </c>
      <c r="B2435" s="279" t="s">
        <v>198</v>
      </c>
      <c r="C2435" s="277">
        <v>44916</v>
      </c>
      <c r="D2435" s="277">
        <v>44957</v>
      </c>
      <c r="E2435" s="279" t="s">
        <v>267</v>
      </c>
      <c r="F2435" s="133" t="s">
        <v>41</v>
      </c>
      <c r="G2435" s="270" t="s">
        <v>35</v>
      </c>
      <c r="H2435" s="272" t="s">
        <v>87</v>
      </c>
      <c r="I2435" s="273">
        <v>25</v>
      </c>
      <c r="J2435" s="270">
        <v>4</v>
      </c>
      <c r="K2435" s="270">
        <f t="shared" si="0"/>
        <v>100</v>
      </c>
      <c r="L2435" s="270"/>
      <c r="M2435" s="270">
        <v>-50</v>
      </c>
      <c r="N2435" s="274">
        <v>2</v>
      </c>
      <c r="O2435" s="55"/>
      <c r="P2435" s="45">
        <v>2</v>
      </c>
      <c r="Q2435" s="270"/>
      <c r="R2435" s="275">
        <v>0</v>
      </c>
      <c r="S2435" s="270"/>
      <c r="T2435" s="270">
        <v>-48</v>
      </c>
      <c r="U2435" s="57">
        <v>1</v>
      </c>
      <c r="V2435" s="276">
        <v>0.17</v>
      </c>
      <c r="W2435" s="276">
        <v>0</v>
      </c>
      <c r="X2435" s="270">
        <v>-40</v>
      </c>
      <c r="Y2435" s="270">
        <v>-8</v>
      </c>
      <c r="Z2435" s="45" t="b">
        <v>1</v>
      </c>
      <c r="AA2435" s="45" t="s">
        <v>38</v>
      </c>
      <c r="AB2435" s="45" t="s">
        <v>38</v>
      </c>
    </row>
    <row r="2436" spans="1:28" x14ac:dyDescent="0.2">
      <c r="A2436" s="279" t="s">
        <v>232</v>
      </c>
      <c r="B2436" s="279" t="s">
        <v>198</v>
      </c>
      <c r="C2436" s="277">
        <v>44916</v>
      </c>
      <c r="D2436" s="277">
        <v>44957</v>
      </c>
      <c r="E2436" s="279" t="s">
        <v>267</v>
      </c>
      <c r="F2436" s="133" t="s">
        <v>41</v>
      </c>
      <c r="G2436" s="270" t="s">
        <v>35</v>
      </c>
      <c r="H2436" s="272" t="s">
        <v>72</v>
      </c>
      <c r="I2436" s="273">
        <v>50</v>
      </c>
      <c r="J2436" s="270">
        <v>2</v>
      </c>
      <c r="K2436" s="270">
        <f t="shared" si="0"/>
        <v>100</v>
      </c>
      <c r="L2436" s="270"/>
      <c r="M2436" s="270">
        <v>-100</v>
      </c>
      <c r="N2436" s="274">
        <v>2</v>
      </c>
      <c r="O2436" s="55"/>
      <c r="P2436" s="45">
        <v>2</v>
      </c>
      <c r="Q2436" s="270"/>
      <c r="R2436" s="275">
        <v>0</v>
      </c>
      <c r="S2436" s="270"/>
      <c r="T2436" s="270">
        <v>-98</v>
      </c>
      <c r="U2436" s="57">
        <v>1</v>
      </c>
      <c r="V2436" s="276">
        <v>0.17</v>
      </c>
      <c r="W2436" s="276">
        <v>0</v>
      </c>
      <c r="X2436" s="270">
        <v>-81</v>
      </c>
      <c r="Y2436" s="270">
        <v>-17</v>
      </c>
      <c r="Z2436" s="45" t="b">
        <v>1</v>
      </c>
      <c r="AA2436" s="45" t="s">
        <v>38</v>
      </c>
      <c r="AB2436" s="45" t="s">
        <v>38</v>
      </c>
    </row>
    <row r="2437" spans="1:28" x14ac:dyDescent="0.2">
      <c r="A2437" s="279" t="s">
        <v>232</v>
      </c>
      <c r="B2437" s="279" t="s">
        <v>198</v>
      </c>
      <c r="C2437" s="277">
        <v>44916</v>
      </c>
      <c r="D2437" s="277">
        <v>44957</v>
      </c>
      <c r="E2437" s="279" t="s">
        <v>267</v>
      </c>
      <c r="F2437" s="133" t="s">
        <v>41</v>
      </c>
      <c r="G2437" s="270" t="s">
        <v>35</v>
      </c>
      <c r="H2437" s="272" t="s">
        <v>39</v>
      </c>
      <c r="I2437" s="273">
        <v>5</v>
      </c>
      <c r="J2437" s="270">
        <v>1</v>
      </c>
      <c r="K2437" s="270">
        <f t="shared" si="0"/>
        <v>5</v>
      </c>
      <c r="L2437" s="270"/>
      <c r="M2437" s="270">
        <v>20</v>
      </c>
      <c r="N2437" s="274"/>
      <c r="O2437" s="55"/>
      <c r="P2437" s="96"/>
      <c r="Q2437" s="270"/>
      <c r="R2437" s="275">
        <v>0</v>
      </c>
      <c r="S2437" s="270"/>
      <c r="T2437" s="270">
        <v>20</v>
      </c>
      <c r="U2437" s="57">
        <v>1</v>
      </c>
      <c r="V2437" s="276">
        <v>0.17</v>
      </c>
      <c r="W2437" s="276">
        <v>0</v>
      </c>
      <c r="X2437" s="270">
        <v>17</v>
      </c>
      <c r="Y2437" s="270">
        <v>3</v>
      </c>
      <c r="Z2437" s="45" t="b">
        <v>1</v>
      </c>
      <c r="AA2437" s="45" t="s">
        <v>38</v>
      </c>
      <c r="AB2437" s="45" t="s">
        <v>38</v>
      </c>
    </row>
    <row r="2438" spans="1:28" x14ac:dyDescent="0.2">
      <c r="A2438" s="279" t="s">
        <v>98</v>
      </c>
      <c r="B2438" s="279" t="s">
        <v>98</v>
      </c>
      <c r="C2438" s="277">
        <v>44916</v>
      </c>
      <c r="D2438" s="277">
        <v>44957</v>
      </c>
      <c r="E2438" s="279" t="s">
        <v>267</v>
      </c>
      <c r="F2438" s="133" t="s">
        <v>49</v>
      </c>
      <c r="G2438" s="270" t="s">
        <v>35</v>
      </c>
      <c r="H2438" s="272" t="s">
        <v>85</v>
      </c>
      <c r="I2438" s="273">
        <v>50</v>
      </c>
      <c r="J2438" s="270">
        <v>4854</v>
      </c>
      <c r="K2438" s="270">
        <f t="shared" si="0"/>
        <v>242700</v>
      </c>
      <c r="L2438" s="270">
        <v>49779</v>
      </c>
      <c r="M2438" s="270">
        <v>-20650</v>
      </c>
      <c r="N2438" s="274">
        <v>15252</v>
      </c>
      <c r="O2438" s="55"/>
      <c r="P2438" s="105">
        <v>15252</v>
      </c>
      <c r="Q2438" s="270">
        <v>-7841</v>
      </c>
      <c r="R2438" s="275">
        <v>1.7949999999999999E-3</v>
      </c>
      <c r="S2438" s="270">
        <v>-7405</v>
      </c>
      <c r="T2438" s="270">
        <v>7847</v>
      </c>
      <c r="U2438" s="57">
        <v>1</v>
      </c>
      <c r="V2438" s="276">
        <v>0.25</v>
      </c>
      <c r="W2438" s="276">
        <v>0</v>
      </c>
      <c r="X2438" s="270">
        <v>5885</v>
      </c>
      <c r="Y2438" s="270">
        <v>1962</v>
      </c>
      <c r="Z2438" s="45" t="b">
        <v>1</v>
      </c>
      <c r="AA2438" s="45" t="s">
        <v>38</v>
      </c>
      <c r="AB2438" s="45" t="s">
        <v>38</v>
      </c>
    </row>
    <row r="2439" spans="1:28" x14ac:dyDescent="0.2">
      <c r="A2439" s="279" t="s">
        <v>98</v>
      </c>
      <c r="B2439" s="279" t="s">
        <v>98</v>
      </c>
      <c r="C2439" s="277">
        <v>44916</v>
      </c>
      <c r="D2439" s="277">
        <v>44957</v>
      </c>
      <c r="E2439" s="279" t="s">
        <v>267</v>
      </c>
      <c r="F2439" s="133" t="s">
        <v>49</v>
      </c>
      <c r="G2439" s="270" t="s">
        <v>35</v>
      </c>
      <c r="H2439" s="272" t="s">
        <v>87</v>
      </c>
      <c r="I2439" s="273">
        <v>25</v>
      </c>
      <c r="J2439" s="270">
        <v>1095</v>
      </c>
      <c r="K2439" s="270">
        <f t="shared" si="0"/>
        <v>27375</v>
      </c>
      <c r="L2439" s="270">
        <v>7349</v>
      </c>
      <c r="M2439" s="270">
        <v>-1300</v>
      </c>
      <c r="N2439" s="274">
        <v>1720</v>
      </c>
      <c r="O2439" s="55"/>
      <c r="P2439" s="105">
        <v>1720</v>
      </c>
      <c r="Q2439" s="270">
        <v>-1184</v>
      </c>
      <c r="R2439" s="275">
        <v>1.797E-3</v>
      </c>
      <c r="S2439" s="270">
        <v>-1135</v>
      </c>
      <c r="T2439" s="270">
        <v>585</v>
      </c>
      <c r="U2439" s="57">
        <v>1</v>
      </c>
      <c r="V2439" s="276">
        <v>0.25</v>
      </c>
      <c r="W2439" s="276">
        <v>0</v>
      </c>
      <c r="X2439" s="270">
        <v>439</v>
      </c>
      <c r="Y2439" s="270">
        <v>146</v>
      </c>
      <c r="Z2439" s="45" t="b">
        <v>1</v>
      </c>
      <c r="AA2439" s="45" t="s">
        <v>38</v>
      </c>
      <c r="AB2439" s="45" t="s">
        <v>38</v>
      </c>
    </row>
    <row r="2440" spans="1:28" x14ac:dyDescent="0.2">
      <c r="A2440" s="279" t="s">
        <v>98</v>
      </c>
      <c r="B2440" s="279" t="s">
        <v>98</v>
      </c>
      <c r="C2440" s="277">
        <v>44916</v>
      </c>
      <c r="D2440" s="277">
        <v>44957</v>
      </c>
      <c r="E2440" s="279" t="s">
        <v>267</v>
      </c>
      <c r="F2440" s="133" t="s">
        <v>49</v>
      </c>
      <c r="G2440" s="270" t="s">
        <v>35</v>
      </c>
      <c r="H2440" s="272" t="s">
        <v>72</v>
      </c>
      <c r="I2440" s="273">
        <v>50</v>
      </c>
      <c r="J2440" s="270">
        <v>1</v>
      </c>
      <c r="K2440" s="270">
        <f t="shared" si="0"/>
        <v>50</v>
      </c>
      <c r="L2440" s="270">
        <v>156</v>
      </c>
      <c r="M2440" s="270">
        <v>50</v>
      </c>
      <c r="N2440" s="274">
        <v>3</v>
      </c>
      <c r="O2440" s="55"/>
      <c r="P2440" s="45">
        <v>3</v>
      </c>
      <c r="Q2440" s="270">
        <v>11</v>
      </c>
      <c r="R2440" s="275">
        <v>-5.2709999999999996E-3</v>
      </c>
      <c r="S2440" s="270">
        <v>11</v>
      </c>
      <c r="T2440" s="270">
        <v>14</v>
      </c>
      <c r="U2440" s="57">
        <v>1</v>
      </c>
      <c r="V2440" s="276">
        <v>0.25</v>
      </c>
      <c r="W2440" s="276">
        <v>0</v>
      </c>
      <c r="X2440" s="270">
        <v>11</v>
      </c>
      <c r="Y2440" s="270">
        <v>4</v>
      </c>
      <c r="Z2440" s="45" t="b">
        <v>1</v>
      </c>
      <c r="AA2440" s="45" t="s">
        <v>38</v>
      </c>
      <c r="AB2440" s="45" t="s">
        <v>38</v>
      </c>
    </row>
    <row r="2441" spans="1:28" x14ac:dyDescent="0.2">
      <c r="A2441" s="279" t="s">
        <v>98</v>
      </c>
      <c r="B2441" s="279" t="s">
        <v>98</v>
      </c>
      <c r="C2441" s="277">
        <v>44927</v>
      </c>
      <c r="D2441" s="277">
        <v>44957</v>
      </c>
      <c r="E2441" s="279" t="s">
        <v>267</v>
      </c>
      <c r="F2441" s="133" t="s">
        <v>41</v>
      </c>
      <c r="G2441" s="270" t="s">
        <v>61</v>
      </c>
      <c r="H2441" s="272" t="s">
        <v>141</v>
      </c>
      <c r="I2441" s="273">
        <v>25</v>
      </c>
      <c r="J2441" s="270">
        <v>290</v>
      </c>
      <c r="K2441" s="270">
        <f t="shared" si="0"/>
        <v>7250</v>
      </c>
      <c r="L2441" s="270">
        <f>J2441*42</f>
        <v>12180</v>
      </c>
      <c r="M2441" s="270">
        <v>-975</v>
      </c>
      <c r="N2441" s="274"/>
      <c r="O2441" s="55"/>
      <c r="P2441" s="96"/>
      <c r="Q2441" s="270">
        <v>292</v>
      </c>
      <c r="R2441" s="275">
        <v>0</v>
      </c>
      <c r="S2441" s="270">
        <v>292</v>
      </c>
      <c r="T2441" s="270">
        <v>-975</v>
      </c>
      <c r="U2441" s="57">
        <v>1.08</v>
      </c>
      <c r="V2441" s="276">
        <v>0.25</v>
      </c>
      <c r="W2441" s="276">
        <v>0</v>
      </c>
      <c r="X2441" s="270">
        <v>-790</v>
      </c>
      <c r="Y2441" s="270">
        <v>-263</v>
      </c>
      <c r="Z2441" s="45" t="b">
        <v>1</v>
      </c>
      <c r="AA2441" s="45" t="s">
        <v>38</v>
      </c>
      <c r="AB2441" s="45" t="s">
        <v>50</v>
      </c>
    </row>
    <row r="2442" spans="1:28" x14ac:dyDescent="0.2">
      <c r="A2442" s="279" t="s">
        <v>98</v>
      </c>
      <c r="B2442" s="279" t="s">
        <v>98</v>
      </c>
      <c r="C2442" s="277">
        <v>44927</v>
      </c>
      <c r="D2442" s="277">
        <v>44957</v>
      </c>
      <c r="E2442" s="279" t="s">
        <v>267</v>
      </c>
      <c r="F2442" s="133" t="s">
        <v>41</v>
      </c>
      <c r="G2442" s="270" t="s">
        <v>61</v>
      </c>
      <c r="H2442" s="272" t="s">
        <v>167</v>
      </c>
      <c r="I2442" s="273">
        <v>25</v>
      </c>
      <c r="J2442" s="270">
        <v>6</v>
      </c>
      <c r="K2442" s="270">
        <f t="shared" si="0"/>
        <v>150</v>
      </c>
      <c r="L2442" s="270">
        <f>120*J2442</f>
        <v>720</v>
      </c>
      <c r="M2442" s="270">
        <v>75</v>
      </c>
      <c r="N2442" s="274"/>
      <c r="O2442" s="55"/>
      <c r="P2442" s="96"/>
      <c r="Q2442" s="270">
        <v>20</v>
      </c>
      <c r="R2442" s="275">
        <v>0</v>
      </c>
      <c r="S2442" s="270">
        <v>20</v>
      </c>
      <c r="T2442" s="270">
        <v>75</v>
      </c>
      <c r="U2442" s="57">
        <v>1.08</v>
      </c>
      <c r="V2442" s="276">
        <v>0.25</v>
      </c>
      <c r="W2442" s="276">
        <v>0</v>
      </c>
      <c r="X2442" s="270">
        <v>61</v>
      </c>
      <c r="Y2442" s="270">
        <v>20</v>
      </c>
      <c r="Z2442" s="45" t="b">
        <v>1</v>
      </c>
      <c r="AA2442" s="45" t="s">
        <v>38</v>
      </c>
      <c r="AB2442" s="45" t="s">
        <v>50</v>
      </c>
    </row>
    <row r="2443" spans="1:28" x14ac:dyDescent="0.2">
      <c r="A2443" s="279" t="s">
        <v>606</v>
      </c>
      <c r="B2443" s="279" t="s">
        <v>235</v>
      </c>
      <c r="C2443" s="282">
        <v>44916</v>
      </c>
      <c r="D2443" s="282">
        <v>44957</v>
      </c>
      <c r="E2443" s="279" t="s">
        <v>267</v>
      </c>
      <c r="F2443" s="133" t="s">
        <v>49</v>
      </c>
      <c r="G2443" s="279" t="s">
        <v>61</v>
      </c>
      <c r="H2443" s="289" t="s">
        <v>55</v>
      </c>
      <c r="I2443" s="280">
        <v>10</v>
      </c>
      <c r="J2443" s="279">
        <v>12000</v>
      </c>
      <c r="K2443" s="270">
        <f t="shared" si="0"/>
        <v>120000</v>
      </c>
      <c r="L2443" s="279">
        <v>732199</v>
      </c>
      <c r="M2443" s="279">
        <v>865</v>
      </c>
      <c r="N2443" s="281">
        <v>2190</v>
      </c>
      <c r="O2443" s="55"/>
      <c r="P2443" s="105">
        <v>2190</v>
      </c>
      <c r="Q2443" s="279">
        <v>2981</v>
      </c>
      <c r="R2443" s="275">
        <v>1.843E-3</v>
      </c>
      <c r="S2443" s="279">
        <v>3202</v>
      </c>
      <c r="T2443" s="279">
        <v>5392</v>
      </c>
      <c r="U2443" s="57">
        <v>1</v>
      </c>
      <c r="V2443" s="276">
        <v>0.17</v>
      </c>
      <c r="W2443" s="276">
        <v>0</v>
      </c>
      <c r="X2443" s="279">
        <v>4475</v>
      </c>
      <c r="Y2443" s="279">
        <v>917</v>
      </c>
      <c r="Z2443" s="45" t="b">
        <v>1</v>
      </c>
      <c r="AA2443" s="45" t="s">
        <v>50</v>
      </c>
      <c r="AB2443" s="45" t="s">
        <v>50</v>
      </c>
    </row>
    <row r="2444" spans="1:28" x14ac:dyDescent="0.2">
      <c r="A2444" s="279" t="s">
        <v>225</v>
      </c>
      <c r="B2444" s="279" t="s">
        <v>204</v>
      </c>
      <c r="C2444" s="277">
        <v>44916</v>
      </c>
      <c r="D2444" s="277">
        <v>44957</v>
      </c>
      <c r="E2444" s="270" t="s">
        <v>300</v>
      </c>
      <c r="F2444" s="133" t="s">
        <v>49</v>
      </c>
      <c r="G2444" s="270" t="s">
        <v>35</v>
      </c>
      <c r="H2444" s="272" t="s">
        <v>46</v>
      </c>
      <c r="I2444" s="273">
        <v>25</v>
      </c>
      <c r="J2444" s="270">
        <v>4085</v>
      </c>
      <c r="K2444" s="270">
        <f t="shared" si="0"/>
        <v>102125</v>
      </c>
      <c r="L2444" s="270">
        <v>164997</v>
      </c>
      <c r="M2444" s="270">
        <v>200</v>
      </c>
      <c r="N2444" s="274">
        <v>4343</v>
      </c>
      <c r="O2444" s="55"/>
      <c r="P2444" s="105">
        <v>4343</v>
      </c>
      <c r="Q2444" s="270">
        <v>1114</v>
      </c>
      <c r="R2444" s="275">
        <v>1.7930000000000001E-3</v>
      </c>
      <c r="S2444" s="270">
        <v>1297</v>
      </c>
      <c r="T2444" s="270">
        <v>5640</v>
      </c>
      <c r="U2444" s="57">
        <v>1</v>
      </c>
      <c r="V2444" s="276">
        <v>0.17</v>
      </c>
      <c r="W2444" s="276">
        <v>0.1</v>
      </c>
      <c r="X2444" s="270">
        <v>4117</v>
      </c>
      <c r="Y2444" s="270">
        <v>1523</v>
      </c>
      <c r="Z2444" s="45" t="b">
        <v>1</v>
      </c>
      <c r="AA2444" s="45" t="s">
        <v>38</v>
      </c>
      <c r="AB2444" s="45" t="s">
        <v>38</v>
      </c>
    </row>
    <row r="2445" spans="1:28" x14ac:dyDescent="0.2">
      <c r="A2445" s="279" t="s">
        <v>225</v>
      </c>
      <c r="B2445" s="279" t="s">
        <v>204</v>
      </c>
      <c r="C2445" s="277">
        <v>44916</v>
      </c>
      <c r="D2445" s="277">
        <v>44957</v>
      </c>
      <c r="E2445" s="270" t="s">
        <v>300</v>
      </c>
      <c r="F2445" s="133" t="s">
        <v>49</v>
      </c>
      <c r="G2445" s="270" t="s">
        <v>35</v>
      </c>
      <c r="H2445" s="272" t="s">
        <v>72</v>
      </c>
      <c r="I2445" s="273">
        <v>50</v>
      </c>
      <c r="J2445" s="270">
        <v>8</v>
      </c>
      <c r="K2445" s="270">
        <f t="shared" si="0"/>
        <v>400</v>
      </c>
      <c r="L2445" s="270"/>
      <c r="M2445" s="270">
        <v>-200</v>
      </c>
      <c r="N2445" s="274">
        <v>17</v>
      </c>
      <c r="O2445" s="55"/>
      <c r="P2445" s="45">
        <v>17</v>
      </c>
      <c r="Q2445" s="270"/>
      <c r="R2445" s="275">
        <v>0</v>
      </c>
      <c r="S2445" s="270"/>
      <c r="T2445" s="270">
        <v>17</v>
      </c>
      <c r="U2445" s="57">
        <v>1</v>
      </c>
      <c r="V2445" s="276">
        <v>0.17</v>
      </c>
      <c r="W2445" s="276">
        <v>0.1</v>
      </c>
      <c r="X2445" s="270">
        <v>12</v>
      </c>
      <c r="Y2445" s="270">
        <v>5</v>
      </c>
      <c r="Z2445" s="45" t="b">
        <v>1</v>
      </c>
      <c r="AA2445" s="45" t="s">
        <v>38</v>
      </c>
      <c r="AB2445" s="45" t="s">
        <v>38</v>
      </c>
    </row>
    <row r="2446" spans="1:28" x14ac:dyDescent="0.2">
      <c r="A2446" s="279" t="s">
        <v>205</v>
      </c>
      <c r="B2446" s="279" t="s">
        <v>205</v>
      </c>
      <c r="C2446" s="277">
        <v>44927</v>
      </c>
      <c r="D2446" s="277">
        <v>44957</v>
      </c>
      <c r="E2446" s="279" t="s">
        <v>267</v>
      </c>
      <c r="F2446" s="133" t="s">
        <v>41</v>
      </c>
      <c r="G2446" s="270" t="s">
        <v>35</v>
      </c>
      <c r="H2446" s="272" t="s">
        <v>46</v>
      </c>
      <c r="I2446" s="273">
        <v>25</v>
      </c>
      <c r="J2446" s="270">
        <v>12</v>
      </c>
      <c r="K2446" s="270">
        <f t="shared" si="0"/>
        <v>300</v>
      </c>
      <c r="L2446" s="270"/>
      <c r="M2446" s="270">
        <v>0</v>
      </c>
      <c r="N2446" s="274">
        <v>6</v>
      </c>
      <c r="O2446" s="55"/>
      <c r="P2446" s="45">
        <v>6</v>
      </c>
      <c r="Q2446" s="270"/>
      <c r="R2446" s="275">
        <v>0</v>
      </c>
      <c r="S2446" s="270"/>
      <c r="T2446" s="270">
        <v>6</v>
      </c>
      <c r="U2446" s="57">
        <v>1</v>
      </c>
      <c r="V2446" s="276">
        <v>0.3</v>
      </c>
      <c r="W2446" s="276">
        <v>0</v>
      </c>
      <c r="X2446" s="270">
        <v>4</v>
      </c>
      <c r="Y2446" s="270">
        <v>2</v>
      </c>
      <c r="Z2446" s="45" t="b">
        <v>1</v>
      </c>
      <c r="AA2446" s="45" t="s">
        <v>38</v>
      </c>
      <c r="AB2446" s="45" t="s">
        <v>38</v>
      </c>
    </row>
    <row r="2447" spans="1:28" x14ac:dyDescent="0.2">
      <c r="A2447" s="279" t="s">
        <v>205</v>
      </c>
      <c r="B2447" s="279" t="s">
        <v>205</v>
      </c>
      <c r="C2447" s="277">
        <v>44927</v>
      </c>
      <c r="D2447" s="277">
        <v>44957</v>
      </c>
      <c r="E2447" s="279" t="s">
        <v>267</v>
      </c>
      <c r="F2447" s="133" t="s">
        <v>41</v>
      </c>
      <c r="G2447" s="270" t="s">
        <v>35</v>
      </c>
      <c r="H2447" s="272" t="s">
        <v>40</v>
      </c>
      <c r="I2447" s="273">
        <v>10</v>
      </c>
      <c r="J2447" s="270">
        <v>2152</v>
      </c>
      <c r="K2447" s="270">
        <f t="shared" si="0"/>
        <v>21520</v>
      </c>
      <c r="L2447" s="270">
        <f>J2447*36</f>
        <v>77472</v>
      </c>
      <c r="M2447" s="270">
        <v>-50</v>
      </c>
      <c r="N2447" s="274">
        <v>533</v>
      </c>
      <c r="O2447" s="55"/>
      <c r="P2447" s="45">
        <v>533</v>
      </c>
      <c r="Q2447" s="270">
        <v>-171</v>
      </c>
      <c r="R2447" s="275">
        <v>0</v>
      </c>
      <c r="S2447" s="270">
        <v>-171</v>
      </c>
      <c r="T2447" s="270">
        <v>483</v>
      </c>
      <c r="U2447" s="57">
        <v>1</v>
      </c>
      <c r="V2447" s="276">
        <v>0.3</v>
      </c>
      <c r="W2447" s="276">
        <v>0</v>
      </c>
      <c r="X2447" s="270">
        <v>338</v>
      </c>
      <c r="Y2447" s="270">
        <v>145</v>
      </c>
      <c r="Z2447" s="45" t="b">
        <v>1</v>
      </c>
      <c r="AA2447" s="45" t="s">
        <v>38</v>
      </c>
      <c r="AB2447" s="45" t="s">
        <v>38</v>
      </c>
    </row>
    <row r="2448" spans="1:28" x14ac:dyDescent="0.2">
      <c r="A2448" s="279" t="s">
        <v>205</v>
      </c>
      <c r="B2448" s="279" t="s">
        <v>205</v>
      </c>
      <c r="C2448" s="277">
        <v>44927</v>
      </c>
      <c r="D2448" s="277">
        <v>44957</v>
      </c>
      <c r="E2448" s="279" t="s">
        <v>267</v>
      </c>
      <c r="F2448" s="133" t="s">
        <v>41</v>
      </c>
      <c r="G2448" s="270" t="s">
        <v>35</v>
      </c>
      <c r="H2448" s="272" t="s">
        <v>115</v>
      </c>
      <c r="I2448" s="273">
        <v>10</v>
      </c>
      <c r="J2448" s="270">
        <v>3</v>
      </c>
      <c r="K2448" s="270">
        <f t="shared" si="0"/>
        <v>30</v>
      </c>
      <c r="L2448" s="270"/>
      <c r="M2448" s="270">
        <v>0</v>
      </c>
      <c r="N2448" s="274">
        <v>1</v>
      </c>
      <c r="O2448" s="55"/>
      <c r="P2448" s="45">
        <v>1</v>
      </c>
      <c r="Q2448" s="270"/>
      <c r="R2448" s="275">
        <v>0</v>
      </c>
      <c r="S2448" s="270"/>
      <c r="T2448" s="270">
        <v>1</v>
      </c>
      <c r="U2448" s="57">
        <v>1</v>
      </c>
      <c r="V2448" s="276">
        <v>0.3</v>
      </c>
      <c r="W2448" s="276">
        <v>0</v>
      </c>
      <c r="X2448" s="270">
        <v>1</v>
      </c>
      <c r="Y2448" s="270">
        <v>0</v>
      </c>
      <c r="Z2448" s="45" t="b">
        <v>1</v>
      </c>
      <c r="AA2448" s="45" t="s">
        <v>38</v>
      </c>
      <c r="AB2448" s="45" t="s">
        <v>38</v>
      </c>
    </row>
    <row r="2449" spans="1:28" x14ac:dyDescent="0.2">
      <c r="A2449" s="279" t="s">
        <v>133</v>
      </c>
      <c r="B2449" s="279" t="s">
        <v>133</v>
      </c>
      <c r="C2449" s="277">
        <v>44896</v>
      </c>
      <c r="D2449" s="277">
        <v>44957</v>
      </c>
      <c r="E2449" s="279" t="s">
        <v>267</v>
      </c>
      <c r="F2449" s="133" t="s">
        <v>41</v>
      </c>
      <c r="G2449" s="279" t="s">
        <v>61</v>
      </c>
      <c r="H2449" s="289" t="s">
        <v>183</v>
      </c>
      <c r="I2449" s="273">
        <v>2</v>
      </c>
      <c r="J2449" s="270">
        <v>0</v>
      </c>
      <c r="K2449" s="270">
        <f t="shared" si="0"/>
        <v>0</v>
      </c>
      <c r="L2449" s="270">
        <v>0</v>
      </c>
      <c r="M2449" s="270">
        <v>0</v>
      </c>
      <c r="N2449" s="274"/>
      <c r="O2449" s="55"/>
      <c r="P2449" s="96"/>
      <c r="Q2449" s="270"/>
      <c r="R2449" s="293"/>
      <c r="S2449" s="270"/>
      <c r="T2449" s="270">
        <v>0</v>
      </c>
      <c r="U2449" s="114"/>
      <c r="V2449" s="290"/>
      <c r="W2449" s="290"/>
      <c r="X2449" s="270">
        <v>0</v>
      </c>
      <c r="Y2449" s="270">
        <v>0</v>
      </c>
      <c r="Z2449" s="45" t="b">
        <v>0</v>
      </c>
      <c r="AA2449" s="96"/>
      <c r="AB2449" s="96"/>
    </row>
  </sheetData>
  <customSheetViews>
    <customSheetView guid="{5F0434D8-D832-4F88-9507-A85AAE16E128}" filter="1" showAutoFilter="1">
      <pageMargins left="0.7" right="0.7" top="0.75" bottom="0.75" header="0.3" footer="0.3"/>
      <autoFilter ref="A1:AB2449" xr:uid="{00000000-0000-0000-0000-000000000000}"/>
    </customSheetView>
  </customSheetView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H1007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12.5703125" defaultRowHeight="15.75" customHeight="1" outlineLevelRow="1" x14ac:dyDescent="0.2"/>
  <sheetData>
    <row r="1" spans="1:7" ht="12.75" x14ac:dyDescent="0.2">
      <c r="C1" s="316">
        <v>44958</v>
      </c>
      <c r="D1" s="317"/>
      <c r="F1" s="316">
        <v>44986</v>
      </c>
      <c r="G1" s="317"/>
    </row>
    <row r="2" spans="1:7" ht="12.75" x14ac:dyDescent="0.2">
      <c r="B2" s="141" t="s">
        <v>0</v>
      </c>
      <c r="C2" s="294" t="s">
        <v>10</v>
      </c>
      <c r="D2" s="295" t="s">
        <v>1007</v>
      </c>
      <c r="F2" s="294" t="s">
        <v>10</v>
      </c>
      <c r="G2" s="295" t="s">
        <v>1007</v>
      </c>
    </row>
    <row r="3" spans="1:7" ht="12.75" x14ac:dyDescent="0.2">
      <c r="A3" s="228" t="s">
        <v>896</v>
      </c>
      <c r="C3" s="296"/>
      <c r="D3" s="297"/>
      <c r="F3" s="296"/>
      <c r="G3" s="297"/>
    </row>
    <row r="4" spans="1:7" ht="12.75" outlineLevel="1" x14ac:dyDescent="0.2">
      <c r="A4" s="298" t="s">
        <v>1008</v>
      </c>
      <c r="B4" s="131" t="s">
        <v>33</v>
      </c>
      <c r="C4" s="299" t="b">
        <v>1</v>
      </c>
      <c r="D4" s="300" t="b">
        <v>1</v>
      </c>
      <c r="F4" s="299" t="b">
        <v>1</v>
      </c>
      <c r="G4" s="301" t="b">
        <v>1</v>
      </c>
    </row>
    <row r="5" spans="1:7" ht="12.75" outlineLevel="1" x14ac:dyDescent="0.2">
      <c r="A5" s="298" t="s">
        <v>1008</v>
      </c>
      <c r="B5" s="131" t="s">
        <v>82</v>
      </c>
      <c r="C5" s="299" t="b">
        <v>1</v>
      </c>
      <c r="D5" s="300" t="b">
        <v>1</v>
      </c>
      <c r="F5" s="299" t="b">
        <v>1</v>
      </c>
      <c r="G5" s="301" t="b">
        <v>1</v>
      </c>
    </row>
    <row r="6" spans="1:7" ht="12.75" outlineLevel="1" x14ac:dyDescent="0.2">
      <c r="A6" s="298" t="s">
        <v>1008</v>
      </c>
      <c r="B6" s="131" t="s">
        <v>154</v>
      </c>
      <c r="C6" s="299" t="b">
        <v>1</v>
      </c>
      <c r="D6" s="300" t="b">
        <v>1</v>
      </c>
      <c r="F6" s="299" t="b">
        <v>1</v>
      </c>
      <c r="G6" s="301" t="b">
        <v>1</v>
      </c>
    </row>
    <row r="7" spans="1:7" ht="12.75" outlineLevel="1" x14ac:dyDescent="0.2">
      <c r="A7" s="298" t="s">
        <v>1009</v>
      </c>
      <c r="B7" s="131" t="s">
        <v>89</v>
      </c>
      <c r="C7" s="299" t="b">
        <v>1</v>
      </c>
      <c r="D7" s="300" t="b">
        <v>1</v>
      </c>
      <c r="F7" s="299" t="b">
        <v>1</v>
      </c>
      <c r="G7" s="301" t="b">
        <v>1</v>
      </c>
    </row>
    <row r="8" spans="1:7" ht="12.75" outlineLevel="1" x14ac:dyDescent="0.2">
      <c r="A8" s="298" t="s">
        <v>1008</v>
      </c>
      <c r="B8" s="131" t="s">
        <v>156</v>
      </c>
      <c r="C8" s="299" t="b">
        <v>1</v>
      </c>
      <c r="D8" s="300" t="b">
        <v>1</v>
      </c>
      <c r="F8" s="299" t="b">
        <v>1</v>
      </c>
      <c r="G8" s="301" t="b">
        <v>1</v>
      </c>
    </row>
    <row r="9" spans="1:7" ht="12.75" outlineLevel="1" x14ac:dyDescent="0.2">
      <c r="A9" s="298" t="s">
        <v>1008</v>
      </c>
      <c r="B9" s="131" t="s">
        <v>125</v>
      </c>
      <c r="C9" s="299" t="b">
        <v>1</v>
      </c>
      <c r="D9" s="300" t="b">
        <v>1</v>
      </c>
      <c r="F9" s="299" t="b">
        <v>1</v>
      </c>
      <c r="G9" s="301" t="b">
        <v>1</v>
      </c>
    </row>
    <row r="10" spans="1:7" ht="12.75" outlineLevel="1" x14ac:dyDescent="0.2">
      <c r="A10" s="298" t="s">
        <v>81</v>
      </c>
      <c r="B10" s="131" t="s">
        <v>381</v>
      </c>
      <c r="C10" s="299" t="b">
        <v>1</v>
      </c>
      <c r="D10" s="300" t="b">
        <v>1</v>
      </c>
      <c r="F10" s="299" t="b">
        <v>1</v>
      </c>
      <c r="G10" s="301" t="b">
        <v>1</v>
      </c>
    </row>
    <row r="11" spans="1:7" ht="12.75" outlineLevel="1" x14ac:dyDescent="0.2">
      <c r="A11" s="298" t="s">
        <v>1008</v>
      </c>
      <c r="B11" s="131" t="s">
        <v>402</v>
      </c>
      <c r="C11" s="299" t="b">
        <v>1</v>
      </c>
      <c r="D11" s="300" t="b">
        <v>1</v>
      </c>
      <c r="F11" s="299" t="b">
        <v>1</v>
      </c>
      <c r="G11" s="301" t="b">
        <v>1</v>
      </c>
    </row>
    <row r="12" spans="1:7" ht="12.75" outlineLevel="1" x14ac:dyDescent="0.2">
      <c r="A12" s="298" t="s">
        <v>1008</v>
      </c>
      <c r="B12" s="131" t="s">
        <v>169</v>
      </c>
      <c r="C12" s="299" t="b">
        <v>1</v>
      </c>
      <c r="D12" s="300" t="b">
        <v>1</v>
      </c>
      <c r="F12" s="299" t="b">
        <v>1</v>
      </c>
      <c r="G12" s="301" t="b">
        <v>1</v>
      </c>
    </row>
    <row r="13" spans="1:7" ht="12.75" outlineLevel="1" x14ac:dyDescent="0.2">
      <c r="A13" s="302" t="s">
        <v>61</v>
      </c>
      <c r="B13" s="131" t="s">
        <v>180</v>
      </c>
      <c r="C13" s="299" t="b">
        <v>1</v>
      </c>
      <c r="D13" s="300" t="b">
        <v>1</v>
      </c>
      <c r="F13" s="299" t="b">
        <v>1</v>
      </c>
      <c r="G13" s="301" t="b">
        <v>1</v>
      </c>
    </row>
    <row r="14" spans="1:7" ht="12.75" outlineLevel="1" x14ac:dyDescent="0.2">
      <c r="A14" s="298" t="s">
        <v>1008</v>
      </c>
      <c r="B14" s="131" t="s">
        <v>170</v>
      </c>
      <c r="C14" s="299" t="b">
        <v>1</v>
      </c>
      <c r="D14" s="300" t="b">
        <v>1</v>
      </c>
      <c r="F14" s="299" t="b">
        <v>1</v>
      </c>
      <c r="G14" s="301" t="b">
        <v>1</v>
      </c>
    </row>
    <row r="15" spans="1:7" ht="12.75" outlineLevel="1" x14ac:dyDescent="0.2">
      <c r="A15" s="298" t="s">
        <v>1008</v>
      </c>
      <c r="B15" s="131" t="s">
        <v>91</v>
      </c>
      <c r="C15" s="299" t="b">
        <v>1</v>
      </c>
      <c r="D15" s="300" t="b">
        <v>1</v>
      </c>
      <c r="F15" s="299" t="b">
        <v>1</v>
      </c>
      <c r="G15" s="301" t="b">
        <v>1</v>
      </c>
    </row>
    <row r="16" spans="1:7" ht="12.75" outlineLevel="1" x14ac:dyDescent="0.2">
      <c r="A16" s="298" t="s">
        <v>1008</v>
      </c>
      <c r="B16" s="131" t="s">
        <v>172</v>
      </c>
      <c r="C16" s="299" t="b">
        <v>1</v>
      </c>
      <c r="D16" s="300" t="b">
        <v>1</v>
      </c>
      <c r="F16" s="299" t="b">
        <v>1</v>
      </c>
      <c r="G16" s="301" t="b">
        <v>1</v>
      </c>
    </row>
    <row r="17" spans="1:8" ht="12.75" outlineLevel="1" x14ac:dyDescent="0.2">
      <c r="A17" s="298" t="s">
        <v>81</v>
      </c>
      <c r="B17" s="131" t="s">
        <v>466</v>
      </c>
      <c r="C17" s="299" t="b">
        <v>1</v>
      </c>
      <c r="D17" s="300" t="b">
        <v>1</v>
      </c>
      <c r="F17" s="299" t="b">
        <v>1</v>
      </c>
      <c r="G17" s="301" t="b">
        <v>1</v>
      </c>
    </row>
    <row r="18" spans="1:8" ht="12.75" outlineLevel="1" x14ac:dyDescent="0.2">
      <c r="A18" s="298" t="s">
        <v>1008</v>
      </c>
      <c r="B18" s="131" t="s">
        <v>473</v>
      </c>
      <c r="C18" s="299" t="b">
        <v>1</v>
      </c>
      <c r="D18" s="300" t="b">
        <v>1</v>
      </c>
      <c r="F18" s="299" t="b">
        <v>1</v>
      </c>
      <c r="G18" s="301" t="b">
        <v>1</v>
      </c>
    </row>
    <row r="19" spans="1:8" ht="12.75" outlineLevel="1" x14ac:dyDescent="0.2">
      <c r="A19" s="298" t="s">
        <v>1008</v>
      </c>
      <c r="B19" s="131" t="s">
        <v>178</v>
      </c>
      <c r="C19" s="299" t="b">
        <v>1</v>
      </c>
      <c r="D19" s="300" t="b">
        <v>1</v>
      </c>
      <c r="F19" s="299" t="b">
        <v>1</v>
      </c>
      <c r="G19" s="301" t="b">
        <v>1</v>
      </c>
    </row>
    <row r="20" spans="1:8" ht="12.75" outlineLevel="1" x14ac:dyDescent="0.2">
      <c r="A20" s="302" t="s">
        <v>61</v>
      </c>
      <c r="B20" s="131" t="s">
        <v>102</v>
      </c>
      <c r="C20" s="299" t="b">
        <v>1</v>
      </c>
      <c r="D20" s="300" t="b">
        <v>1</v>
      </c>
      <c r="F20" s="299" t="b">
        <v>1</v>
      </c>
      <c r="G20" s="301" t="b">
        <v>1</v>
      </c>
    </row>
    <row r="21" spans="1:8" ht="12.75" outlineLevel="1" x14ac:dyDescent="0.2">
      <c r="A21" s="298" t="s">
        <v>1008</v>
      </c>
      <c r="B21" s="131" t="s">
        <v>102</v>
      </c>
      <c r="C21" s="299" t="b">
        <v>1</v>
      </c>
      <c r="D21" s="301" t="b">
        <v>1</v>
      </c>
      <c r="F21" s="299" t="b">
        <v>0</v>
      </c>
      <c r="G21" s="301" t="b">
        <v>0</v>
      </c>
      <c r="H21" s="141" t="s">
        <v>1010</v>
      </c>
    </row>
    <row r="22" spans="1:8" ht="12.75" outlineLevel="1" x14ac:dyDescent="0.2">
      <c r="A22" s="298" t="s">
        <v>81</v>
      </c>
      <c r="B22" s="131" t="s">
        <v>508</v>
      </c>
      <c r="C22" s="299" t="b">
        <v>1</v>
      </c>
      <c r="D22" s="300" t="b">
        <v>1</v>
      </c>
      <c r="F22" s="299" t="b">
        <v>1</v>
      </c>
      <c r="G22" s="301" t="b">
        <v>1</v>
      </c>
      <c r="H22" s="141" t="s">
        <v>1011</v>
      </c>
    </row>
    <row r="23" spans="1:8" ht="12.75" outlineLevel="1" x14ac:dyDescent="0.2">
      <c r="A23" s="298" t="s">
        <v>1008</v>
      </c>
      <c r="B23" s="131" t="s">
        <v>113</v>
      </c>
      <c r="C23" s="299" t="b">
        <v>1</v>
      </c>
      <c r="D23" s="300" t="b">
        <v>1</v>
      </c>
      <c r="F23" s="299" t="b">
        <v>1</v>
      </c>
      <c r="G23" s="301" t="b">
        <v>0</v>
      </c>
      <c r="H23" s="141" t="s">
        <v>1012</v>
      </c>
    </row>
    <row r="24" spans="1:8" ht="12.75" outlineLevel="1" x14ac:dyDescent="0.2">
      <c r="A24" s="298" t="s">
        <v>1008</v>
      </c>
      <c r="B24" s="131" t="s">
        <v>188</v>
      </c>
      <c r="C24" s="299" t="b">
        <v>1</v>
      </c>
      <c r="D24" s="300" t="b">
        <v>1</v>
      </c>
      <c r="F24" s="299" t="b">
        <v>1</v>
      </c>
      <c r="G24" s="301" t="b">
        <v>1</v>
      </c>
    </row>
    <row r="25" spans="1:8" ht="12.75" hidden="1" outlineLevel="1" x14ac:dyDescent="0.2">
      <c r="A25" s="298" t="s">
        <v>81</v>
      </c>
      <c r="B25" s="131" t="s">
        <v>191</v>
      </c>
      <c r="C25" s="299" t="b">
        <v>1</v>
      </c>
      <c r="D25" s="300" t="b">
        <v>1</v>
      </c>
      <c r="F25" s="299"/>
      <c r="G25" s="301"/>
    </row>
    <row r="26" spans="1:8" ht="12.75" outlineLevel="1" x14ac:dyDescent="0.2">
      <c r="A26" s="298" t="s">
        <v>1008</v>
      </c>
      <c r="B26" s="131" t="s">
        <v>195</v>
      </c>
      <c r="C26" s="299" t="b">
        <v>1</v>
      </c>
      <c r="D26" s="300" t="b">
        <v>1</v>
      </c>
      <c r="F26" s="299" t="b">
        <v>1</v>
      </c>
      <c r="G26" s="301" t="b">
        <v>1</v>
      </c>
    </row>
    <row r="27" spans="1:8" ht="12.75" outlineLevel="1" x14ac:dyDescent="0.2">
      <c r="A27" s="298" t="s">
        <v>1008</v>
      </c>
      <c r="B27" s="131" t="s">
        <v>124</v>
      </c>
      <c r="C27" s="299" t="b">
        <v>1</v>
      </c>
      <c r="D27" s="300" t="b">
        <v>1</v>
      </c>
      <c r="F27" s="299" t="b">
        <v>1</v>
      </c>
      <c r="G27" s="301" t="b">
        <v>1</v>
      </c>
    </row>
    <row r="28" spans="1:8" ht="12.75" outlineLevel="1" x14ac:dyDescent="0.2">
      <c r="A28" s="298" t="s">
        <v>1008</v>
      </c>
      <c r="B28" s="131" t="s">
        <v>114</v>
      </c>
      <c r="C28" s="299" t="b">
        <v>1</v>
      </c>
      <c r="D28" s="300" t="b">
        <v>1</v>
      </c>
      <c r="F28" s="299" t="b">
        <v>1</v>
      </c>
      <c r="G28" s="301" t="b">
        <v>1</v>
      </c>
    </row>
    <row r="29" spans="1:8" ht="12.75" outlineLevel="1" x14ac:dyDescent="0.2">
      <c r="A29" s="298" t="s">
        <v>1008</v>
      </c>
      <c r="B29" s="131" t="s">
        <v>600</v>
      </c>
      <c r="C29" s="299" t="b">
        <v>1</v>
      </c>
      <c r="D29" s="300" t="b">
        <v>1</v>
      </c>
      <c r="F29" s="299" t="b">
        <v>0</v>
      </c>
      <c r="G29" s="301" t="b">
        <v>0</v>
      </c>
      <c r="H29" s="141" t="s">
        <v>1013</v>
      </c>
    </row>
    <row r="30" spans="1:8" ht="12.75" outlineLevel="1" x14ac:dyDescent="0.2">
      <c r="A30" s="298" t="s">
        <v>1008</v>
      </c>
      <c r="B30" s="131" t="s">
        <v>206</v>
      </c>
      <c r="C30" s="299" t="b">
        <v>1</v>
      </c>
      <c r="D30" s="300" t="b">
        <v>1</v>
      </c>
      <c r="F30" s="299" t="b">
        <v>1</v>
      </c>
      <c r="G30" s="301" t="b">
        <v>1</v>
      </c>
    </row>
    <row r="31" spans="1:8" ht="12.75" outlineLevel="1" x14ac:dyDescent="0.2">
      <c r="A31" s="298" t="s">
        <v>1014</v>
      </c>
      <c r="B31" s="303" t="s">
        <v>671</v>
      </c>
      <c r="C31" s="294" t="s">
        <v>1015</v>
      </c>
      <c r="D31" s="295" t="s">
        <v>1015</v>
      </c>
      <c r="F31" s="299" t="b">
        <v>1</v>
      </c>
      <c r="G31" s="301" t="b">
        <v>1</v>
      </c>
    </row>
    <row r="32" spans="1:8" ht="12.75" outlineLevel="1" x14ac:dyDescent="0.2">
      <c r="A32" s="302" t="s">
        <v>61</v>
      </c>
      <c r="B32" s="141" t="s">
        <v>692</v>
      </c>
      <c r="C32" s="294" t="s">
        <v>1015</v>
      </c>
      <c r="D32" s="295" t="s">
        <v>1015</v>
      </c>
      <c r="F32" s="299" t="b">
        <v>1</v>
      </c>
      <c r="G32" s="301" t="b">
        <v>1</v>
      </c>
    </row>
    <row r="33" spans="1:8" ht="12.75" outlineLevel="1" x14ac:dyDescent="0.2">
      <c r="A33" s="302" t="s">
        <v>61</v>
      </c>
      <c r="B33" s="141" t="s">
        <v>701</v>
      </c>
      <c r="C33" s="294" t="s">
        <v>1015</v>
      </c>
      <c r="D33" s="295" t="s">
        <v>1015</v>
      </c>
      <c r="F33" s="294" t="s">
        <v>1015</v>
      </c>
      <c r="G33" s="295" t="s">
        <v>1015</v>
      </c>
      <c r="H33" s="141"/>
    </row>
    <row r="34" spans="1:8" ht="12.75" outlineLevel="1" x14ac:dyDescent="0.2">
      <c r="A34" s="298" t="s">
        <v>1008</v>
      </c>
      <c r="B34" s="304" t="s">
        <v>395</v>
      </c>
      <c r="C34" s="294" t="s">
        <v>1015</v>
      </c>
      <c r="D34" s="295" t="s">
        <v>1015</v>
      </c>
      <c r="F34" s="299" t="b">
        <v>0</v>
      </c>
      <c r="G34" s="301" t="b">
        <v>0</v>
      </c>
      <c r="H34" s="141" t="s">
        <v>1016</v>
      </c>
    </row>
    <row r="35" spans="1:8" ht="12.75" x14ac:dyDescent="0.2">
      <c r="C35" s="296"/>
      <c r="D35" s="297"/>
      <c r="F35" s="296"/>
      <c r="G35" s="297"/>
    </row>
    <row r="36" spans="1:8" ht="12.75" x14ac:dyDescent="0.2">
      <c r="A36" s="231" t="s">
        <v>897</v>
      </c>
      <c r="C36" s="296"/>
      <c r="D36" s="297"/>
      <c r="F36" s="296"/>
      <c r="G36" s="297"/>
    </row>
    <row r="37" spans="1:8" ht="12.75" outlineLevel="1" x14ac:dyDescent="0.2">
      <c r="B37" s="131" t="s">
        <v>58</v>
      </c>
      <c r="C37" s="296" t="b">
        <v>0</v>
      </c>
      <c r="D37" s="297" t="b">
        <v>0</v>
      </c>
      <c r="E37" s="141" t="s">
        <v>1017</v>
      </c>
      <c r="F37" s="296" t="b">
        <v>0</v>
      </c>
      <c r="G37" s="297" t="b">
        <v>0</v>
      </c>
    </row>
    <row r="38" spans="1:8" ht="12.75" outlineLevel="1" x14ac:dyDescent="0.2">
      <c r="A38" s="141" t="s">
        <v>1018</v>
      </c>
      <c r="B38" s="131" t="s">
        <v>145</v>
      </c>
      <c r="C38" s="299" t="b">
        <v>1</v>
      </c>
      <c r="D38" s="301" t="b">
        <v>1</v>
      </c>
      <c r="E38" s="305" t="s">
        <v>1019</v>
      </c>
      <c r="F38" s="299" t="b">
        <v>0</v>
      </c>
      <c r="G38" s="297" t="b">
        <v>0</v>
      </c>
    </row>
    <row r="39" spans="1:8" ht="12.75" outlineLevel="1" x14ac:dyDescent="0.2">
      <c r="B39" s="131" t="s">
        <v>155</v>
      </c>
      <c r="C39" s="299" t="b">
        <v>1</v>
      </c>
      <c r="D39" s="301" t="b">
        <v>1</v>
      </c>
      <c r="F39" s="299" t="b">
        <v>0</v>
      </c>
      <c r="G39" s="297" t="b">
        <v>0</v>
      </c>
    </row>
    <row r="40" spans="1:8" ht="12.75" outlineLevel="1" x14ac:dyDescent="0.2">
      <c r="B40" s="131" t="s">
        <v>152</v>
      </c>
      <c r="C40" s="299" t="b">
        <v>1</v>
      </c>
      <c r="D40" s="301" t="b">
        <v>1</v>
      </c>
      <c r="E40" s="305" t="s">
        <v>1020</v>
      </c>
      <c r="F40" s="299" t="b">
        <v>0</v>
      </c>
      <c r="G40" s="297" t="b">
        <v>0</v>
      </c>
    </row>
    <row r="41" spans="1:8" ht="12.75" outlineLevel="1" x14ac:dyDescent="0.2">
      <c r="B41" s="131" t="s">
        <v>175</v>
      </c>
      <c r="C41" s="299" t="b">
        <v>1</v>
      </c>
      <c r="D41" s="301" t="b">
        <v>1</v>
      </c>
      <c r="F41" s="299" t="b">
        <v>0</v>
      </c>
      <c r="G41" s="297" t="b">
        <v>0</v>
      </c>
    </row>
    <row r="42" spans="1:8" ht="12.75" outlineLevel="1" x14ac:dyDescent="0.2">
      <c r="B42" s="131" t="s">
        <v>144</v>
      </c>
      <c r="C42" s="296" t="b">
        <v>0</v>
      </c>
      <c r="D42" s="297" t="b">
        <v>0</v>
      </c>
      <c r="E42" s="141" t="s">
        <v>1021</v>
      </c>
      <c r="F42" s="299" t="b">
        <v>0</v>
      </c>
      <c r="G42" s="297" t="b">
        <v>0</v>
      </c>
    </row>
    <row r="43" spans="1:8" ht="12.75" outlineLevel="1" x14ac:dyDescent="0.2">
      <c r="B43" s="131" t="s">
        <v>98</v>
      </c>
      <c r="C43" s="299" t="b">
        <v>1</v>
      </c>
      <c r="D43" s="301" t="b">
        <v>1</v>
      </c>
      <c r="F43" s="299" t="b">
        <v>0</v>
      </c>
      <c r="G43" s="297" t="b">
        <v>0</v>
      </c>
    </row>
    <row r="44" spans="1:8" ht="12.75" outlineLevel="1" x14ac:dyDescent="0.2">
      <c r="B44" s="131" t="s">
        <v>225</v>
      </c>
      <c r="C44" s="299" t="b">
        <v>1</v>
      </c>
      <c r="D44" s="301" t="b">
        <v>1</v>
      </c>
      <c r="F44" s="299" t="b">
        <v>0</v>
      </c>
      <c r="G44" s="297" t="b">
        <v>0</v>
      </c>
    </row>
    <row r="45" spans="1:8" ht="12.75" outlineLevel="1" x14ac:dyDescent="0.2">
      <c r="B45" s="131" t="s">
        <v>628</v>
      </c>
      <c r="C45" s="299" t="b">
        <v>1</v>
      </c>
      <c r="D45" s="301" t="b">
        <v>1</v>
      </c>
      <c r="F45" s="299" t="b">
        <v>0</v>
      </c>
      <c r="G45" s="297" t="b">
        <v>0</v>
      </c>
    </row>
    <row r="46" spans="1:8" ht="12.75" outlineLevel="1" x14ac:dyDescent="0.2">
      <c r="B46" s="131" t="s">
        <v>447</v>
      </c>
      <c r="C46" s="299" t="b">
        <v>1</v>
      </c>
      <c r="D46" s="301" t="b">
        <v>1</v>
      </c>
      <c r="E46" s="305" t="s">
        <v>1022</v>
      </c>
      <c r="F46" s="299" t="b">
        <v>0</v>
      </c>
      <c r="G46" s="297" t="b">
        <v>0</v>
      </c>
    </row>
    <row r="47" spans="1:8" ht="12.75" outlineLevel="1" x14ac:dyDescent="0.2">
      <c r="A47" s="141" t="s">
        <v>1023</v>
      </c>
      <c r="B47" s="131" t="s">
        <v>127</v>
      </c>
      <c r="C47" s="299" t="b">
        <v>1</v>
      </c>
      <c r="D47" s="301" t="b">
        <v>1</v>
      </c>
      <c r="E47" s="305" t="s">
        <v>1024</v>
      </c>
      <c r="F47" s="299" t="b">
        <v>0</v>
      </c>
      <c r="G47" s="297" t="b">
        <v>0</v>
      </c>
    </row>
    <row r="48" spans="1:8" ht="12.75" outlineLevel="1" x14ac:dyDescent="0.2">
      <c r="B48" s="131" t="s">
        <v>231</v>
      </c>
      <c r="C48" s="299" t="b">
        <v>1</v>
      </c>
      <c r="D48" s="301" t="b">
        <v>1</v>
      </c>
      <c r="E48" s="305" t="s">
        <v>1025</v>
      </c>
      <c r="F48" s="299" t="b">
        <v>0</v>
      </c>
      <c r="G48" s="297" t="b">
        <v>0</v>
      </c>
    </row>
    <row r="49" spans="1:7" ht="12.75" outlineLevel="1" x14ac:dyDescent="0.2">
      <c r="A49" s="141" t="s">
        <v>1026</v>
      </c>
      <c r="B49" s="131" t="s">
        <v>189</v>
      </c>
      <c r="C49" s="299" t="b">
        <v>1</v>
      </c>
      <c r="D49" s="301" t="b">
        <v>1</v>
      </c>
      <c r="E49" s="305" t="s">
        <v>1027</v>
      </c>
      <c r="F49" s="299" t="b">
        <v>0</v>
      </c>
      <c r="G49" s="297" t="b">
        <v>0</v>
      </c>
    </row>
    <row r="50" spans="1:7" ht="12.75" outlineLevel="1" x14ac:dyDescent="0.2">
      <c r="B50" s="131" t="s">
        <v>606</v>
      </c>
      <c r="C50" s="299" t="b">
        <v>1</v>
      </c>
      <c r="D50" s="301" t="b">
        <v>1</v>
      </c>
      <c r="F50" s="299" t="b">
        <v>0</v>
      </c>
      <c r="G50" s="297" t="b">
        <v>0</v>
      </c>
    </row>
    <row r="51" spans="1:7" ht="12.75" outlineLevel="1" x14ac:dyDescent="0.2">
      <c r="B51" s="303" t="s">
        <v>226</v>
      </c>
      <c r="C51" s="299" t="b">
        <v>1</v>
      </c>
      <c r="D51" s="301" t="b">
        <v>1</v>
      </c>
      <c r="F51" s="299" t="b">
        <v>0</v>
      </c>
      <c r="G51" s="297" t="b">
        <v>0</v>
      </c>
    </row>
    <row r="52" spans="1:7" ht="12.75" outlineLevel="1" x14ac:dyDescent="0.2">
      <c r="B52" s="303" t="s">
        <v>657</v>
      </c>
      <c r="C52" s="299" t="b">
        <v>1</v>
      </c>
      <c r="D52" s="301" t="b">
        <v>1</v>
      </c>
      <c r="E52" s="141" t="s">
        <v>1028</v>
      </c>
      <c r="F52" s="299" t="b">
        <v>0</v>
      </c>
      <c r="G52" s="297" t="b">
        <v>0</v>
      </c>
    </row>
    <row r="53" spans="1:7" ht="12.75" x14ac:dyDescent="0.2">
      <c r="C53" s="296"/>
      <c r="D53" s="297"/>
      <c r="F53" s="296"/>
      <c r="G53" s="297"/>
    </row>
    <row r="54" spans="1:7" ht="12.75" x14ac:dyDescent="0.2">
      <c r="A54" s="239" t="s">
        <v>898</v>
      </c>
      <c r="C54" s="296"/>
      <c r="D54" s="297"/>
      <c r="F54" s="296"/>
      <c r="G54" s="297"/>
    </row>
    <row r="55" spans="1:7" ht="12.75" x14ac:dyDescent="0.2">
      <c r="A55" s="141" t="s">
        <v>1029</v>
      </c>
      <c r="B55" s="131" t="s">
        <v>311</v>
      </c>
      <c r="C55" s="299" t="b">
        <v>1</v>
      </c>
      <c r="D55" s="301" t="b">
        <v>1</v>
      </c>
      <c r="E55" s="141" t="s">
        <v>1030</v>
      </c>
      <c r="F55" s="299" t="b">
        <v>0</v>
      </c>
      <c r="G55" s="297" t="b">
        <v>0</v>
      </c>
    </row>
    <row r="56" spans="1:7" ht="12.75" x14ac:dyDescent="0.2">
      <c r="B56" s="131" t="s">
        <v>232</v>
      </c>
      <c r="C56" s="299" t="b">
        <v>1</v>
      </c>
      <c r="D56" s="301" t="b">
        <v>1</v>
      </c>
      <c r="F56" s="299" t="b">
        <v>0</v>
      </c>
      <c r="G56" s="297" t="b">
        <v>0</v>
      </c>
    </row>
    <row r="57" spans="1:7" ht="12.75" x14ac:dyDescent="0.2">
      <c r="A57" s="141" t="s">
        <v>1008</v>
      </c>
      <c r="B57" s="131" t="s">
        <v>395</v>
      </c>
      <c r="C57" s="299" t="b">
        <v>1</v>
      </c>
      <c r="D57" s="301" t="b">
        <v>1</v>
      </c>
      <c r="F57" s="299" t="b">
        <v>0</v>
      </c>
      <c r="G57" s="297" t="b">
        <v>0</v>
      </c>
    </row>
    <row r="58" spans="1:7" ht="12.75" x14ac:dyDescent="0.2">
      <c r="A58" s="141" t="s">
        <v>1031</v>
      </c>
      <c r="B58" s="131" t="s">
        <v>456</v>
      </c>
      <c r="C58" s="299" t="b">
        <v>1</v>
      </c>
      <c r="D58" s="301" t="b">
        <v>1</v>
      </c>
      <c r="E58" s="305" t="s">
        <v>1032</v>
      </c>
      <c r="F58" s="299" t="b">
        <v>0</v>
      </c>
      <c r="G58" s="297" t="b">
        <v>0</v>
      </c>
    </row>
    <row r="59" spans="1:7" ht="12.75" x14ac:dyDescent="0.2">
      <c r="A59" s="141" t="s">
        <v>1033</v>
      </c>
      <c r="B59" s="131" t="s">
        <v>133</v>
      </c>
      <c r="C59" s="299" t="b">
        <v>1</v>
      </c>
      <c r="D59" s="301" t="b">
        <v>1</v>
      </c>
      <c r="E59" s="141" t="s">
        <v>1034</v>
      </c>
      <c r="F59" s="299" t="b">
        <v>0</v>
      </c>
      <c r="G59" s="297" t="b">
        <v>0</v>
      </c>
    </row>
    <row r="60" spans="1:7" ht="12.75" x14ac:dyDescent="0.2">
      <c r="A60" s="141" t="s">
        <v>81</v>
      </c>
      <c r="B60" s="131" t="s">
        <v>561</v>
      </c>
      <c r="C60" s="299" t="b">
        <v>1</v>
      </c>
      <c r="D60" s="301" t="b">
        <v>1</v>
      </c>
      <c r="E60" s="305" t="s">
        <v>1035</v>
      </c>
      <c r="F60" s="299" t="b">
        <v>0</v>
      </c>
      <c r="G60" s="297" t="b">
        <v>0</v>
      </c>
    </row>
    <row r="61" spans="1:7" ht="12.75" x14ac:dyDescent="0.2">
      <c r="A61" s="141" t="s">
        <v>1036</v>
      </c>
      <c r="B61" s="131" t="s">
        <v>205</v>
      </c>
      <c r="C61" s="299" t="b">
        <v>1</v>
      </c>
      <c r="D61" s="301" t="b">
        <v>1</v>
      </c>
      <c r="F61" s="299" t="b">
        <v>0</v>
      </c>
      <c r="G61" s="297" t="b">
        <v>0</v>
      </c>
    </row>
    <row r="62" spans="1:7" ht="12.75" x14ac:dyDescent="0.2">
      <c r="A62" s="141" t="s">
        <v>1037</v>
      </c>
      <c r="B62" s="131" t="s">
        <v>60</v>
      </c>
      <c r="C62" s="299" t="b">
        <v>1</v>
      </c>
      <c r="D62" s="301" t="b">
        <v>1</v>
      </c>
      <c r="E62" s="305" t="s">
        <v>1038</v>
      </c>
      <c r="F62" s="299" t="b">
        <v>0</v>
      </c>
      <c r="G62" s="297" t="b">
        <v>0</v>
      </c>
    </row>
    <row r="63" spans="1:7" ht="12.75" x14ac:dyDescent="0.2">
      <c r="A63" s="141" t="s">
        <v>1037</v>
      </c>
      <c r="B63" s="131" t="s">
        <v>157</v>
      </c>
      <c r="C63" s="299" t="b">
        <v>1</v>
      </c>
      <c r="D63" s="301" t="b">
        <v>1</v>
      </c>
      <c r="E63" s="306" t="s">
        <v>1039</v>
      </c>
      <c r="F63" s="299" t="b">
        <v>0</v>
      </c>
      <c r="G63" s="297" t="b">
        <v>0</v>
      </c>
    </row>
    <row r="64" spans="1:7" ht="12.75" x14ac:dyDescent="0.2">
      <c r="A64" s="141" t="s">
        <v>1037</v>
      </c>
      <c r="B64" s="131" t="s">
        <v>150</v>
      </c>
      <c r="C64" s="299" t="b">
        <v>1</v>
      </c>
      <c r="D64" s="301" t="b">
        <v>1</v>
      </c>
      <c r="E64" s="305" t="s">
        <v>1040</v>
      </c>
      <c r="F64" s="299" t="b">
        <v>0</v>
      </c>
      <c r="G64" s="297" t="b">
        <v>0</v>
      </c>
    </row>
    <row r="65" spans="1:7" ht="12.75" x14ac:dyDescent="0.2">
      <c r="A65" s="141" t="s">
        <v>1037</v>
      </c>
      <c r="B65" s="131" t="s">
        <v>232</v>
      </c>
      <c r="C65" s="299" t="b">
        <v>1</v>
      </c>
      <c r="D65" s="301" t="b">
        <v>1</v>
      </c>
      <c r="E65" s="305" t="s">
        <v>1041</v>
      </c>
      <c r="F65" s="299" t="b">
        <v>0</v>
      </c>
      <c r="G65" s="297" t="b">
        <v>0</v>
      </c>
    </row>
    <row r="66" spans="1:7" ht="12.75" x14ac:dyDescent="0.2">
      <c r="A66" s="141" t="s">
        <v>1042</v>
      </c>
      <c r="B66" s="141" t="s">
        <v>681</v>
      </c>
      <c r="C66" s="299" t="b">
        <v>1</v>
      </c>
      <c r="D66" s="301" t="b">
        <v>1</v>
      </c>
      <c r="E66" s="141" t="s">
        <v>1043</v>
      </c>
      <c r="F66" s="299" t="b">
        <v>0</v>
      </c>
      <c r="G66" s="297" t="b">
        <v>0</v>
      </c>
    </row>
    <row r="67" spans="1:7" ht="12.75" x14ac:dyDescent="0.2">
      <c r="C67" s="296"/>
      <c r="D67" s="297"/>
      <c r="F67" s="296"/>
      <c r="G67" s="297"/>
    </row>
    <row r="68" spans="1:7" ht="12.75" x14ac:dyDescent="0.2">
      <c r="C68" s="296"/>
      <c r="D68" s="297"/>
      <c r="F68" s="296"/>
      <c r="G68" s="297"/>
    </row>
    <row r="69" spans="1:7" ht="12.75" x14ac:dyDescent="0.2">
      <c r="C69" s="296"/>
      <c r="D69" s="297"/>
      <c r="F69" s="296"/>
      <c r="G69" s="297"/>
    </row>
    <row r="70" spans="1:7" ht="12.75" x14ac:dyDescent="0.2">
      <c r="C70" s="296"/>
      <c r="D70" s="297"/>
      <c r="F70" s="296"/>
      <c r="G70" s="297"/>
    </row>
    <row r="71" spans="1:7" ht="12.75" x14ac:dyDescent="0.2">
      <c r="C71" s="296"/>
      <c r="D71" s="297"/>
      <c r="F71" s="296"/>
      <c r="G71" s="297"/>
    </row>
    <row r="72" spans="1:7" ht="12.75" x14ac:dyDescent="0.2">
      <c r="C72" s="296"/>
      <c r="D72" s="297"/>
      <c r="F72" s="296"/>
      <c r="G72" s="297"/>
    </row>
    <row r="73" spans="1:7" ht="12.75" x14ac:dyDescent="0.2">
      <c r="C73" s="296"/>
      <c r="D73" s="297"/>
      <c r="F73" s="296"/>
      <c r="G73" s="297"/>
    </row>
    <row r="74" spans="1:7" ht="12.75" x14ac:dyDescent="0.2">
      <c r="C74" s="296"/>
      <c r="D74" s="297"/>
      <c r="F74" s="296"/>
      <c r="G74" s="297"/>
    </row>
    <row r="75" spans="1:7" ht="12.75" x14ac:dyDescent="0.2">
      <c r="C75" s="296"/>
      <c r="D75" s="297"/>
      <c r="F75" s="296"/>
      <c r="G75" s="297"/>
    </row>
    <row r="76" spans="1:7" ht="12.75" x14ac:dyDescent="0.2">
      <c r="C76" s="296"/>
      <c r="D76" s="297"/>
      <c r="F76" s="296"/>
      <c r="G76" s="297"/>
    </row>
    <row r="77" spans="1:7" ht="12.75" x14ac:dyDescent="0.2">
      <c r="C77" s="296"/>
      <c r="D77" s="297"/>
      <c r="F77" s="296"/>
      <c r="G77" s="297"/>
    </row>
    <row r="78" spans="1:7" ht="12.75" x14ac:dyDescent="0.2">
      <c r="C78" s="296"/>
      <c r="D78" s="297"/>
      <c r="F78" s="296"/>
      <c r="G78" s="297"/>
    </row>
    <row r="79" spans="1:7" ht="12.75" x14ac:dyDescent="0.2">
      <c r="C79" s="296"/>
      <c r="D79" s="297"/>
      <c r="F79" s="296"/>
      <c r="G79" s="297"/>
    </row>
    <row r="80" spans="1:7" ht="12.75" x14ac:dyDescent="0.2">
      <c r="C80" s="296"/>
      <c r="D80" s="297"/>
      <c r="F80" s="296"/>
      <c r="G80" s="297"/>
    </row>
    <row r="81" spans="3:7" ht="12.75" x14ac:dyDescent="0.2">
      <c r="C81" s="296"/>
      <c r="D81" s="297"/>
      <c r="F81" s="296"/>
      <c r="G81" s="297"/>
    </row>
    <row r="82" spans="3:7" ht="12.75" x14ac:dyDescent="0.2">
      <c r="C82" s="296"/>
      <c r="D82" s="297"/>
      <c r="F82" s="296"/>
      <c r="G82" s="297"/>
    </row>
    <row r="83" spans="3:7" ht="12.75" x14ac:dyDescent="0.2">
      <c r="C83" s="296"/>
      <c r="D83" s="297"/>
      <c r="F83" s="296"/>
      <c r="G83" s="297"/>
    </row>
    <row r="84" spans="3:7" ht="12.75" x14ac:dyDescent="0.2">
      <c r="C84" s="296"/>
      <c r="D84" s="297"/>
      <c r="F84" s="296"/>
      <c r="G84" s="297"/>
    </row>
    <row r="85" spans="3:7" ht="12.75" x14ac:dyDescent="0.2">
      <c r="C85" s="296"/>
      <c r="D85" s="297"/>
      <c r="F85" s="296"/>
      <c r="G85" s="297"/>
    </row>
    <row r="86" spans="3:7" ht="12.75" x14ac:dyDescent="0.2">
      <c r="C86" s="296"/>
      <c r="D86" s="297"/>
      <c r="F86" s="296"/>
      <c r="G86" s="297"/>
    </row>
    <row r="87" spans="3:7" ht="12.75" x14ac:dyDescent="0.2">
      <c r="C87" s="296"/>
      <c r="D87" s="297"/>
      <c r="F87" s="296"/>
      <c r="G87" s="297"/>
    </row>
    <row r="88" spans="3:7" ht="12.75" x14ac:dyDescent="0.2">
      <c r="C88" s="296"/>
      <c r="D88" s="297"/>
      <c r="F88" s="296"/>
      <c r="G88" s="297"/>
    </row>
    <row r="89" spans="3:7" ht="12.75" x14ac:dyDescent="0.2">
      <c r="C89" s="296"/>
      <c r="D89" s="297"/>
      <c r="F89" s="296"/>
      <c r="G89" s="297"/>
    </row>
    <row r="90" spans="3:7" ht="12.75" x14ac:dyDescent="0.2">
      <c r="C90" s="296"/>
      <c r="D90" s="297"/>
      <c r="F90" s="296"/>
      <c r="G90" s="297"/>
    </row>
    <row r="91" spans="3:7" ht="12.75" x14ac:dyDescent="0.2">
      <c r="C91" s="296"/>
      <c r="D91" s="297"/>
      <c r="F91" s="296"/>
      <c r="G91" s="297"/>
    </row>
    <row r="92" spans="3:7" ht="12.75" x14ac:dyDescent="0.2">
      <c r="C92" s="296"/>
      <c r="D92" s="297"/>
      <c r="F92" s="296"/>
      <c r="G92" s="297"/>
    </row>
    <row r="93" spans="3:7" ht="12.75" x14ac:dyDescent="0.2">
      <c r="C93" s="296"/>
      <c r="D93" s="297"/>
      <c r="F93" s="296"/>
      <c r="G93" s="297"/>
    </row>
    <row r="94" spans="3:7" ht="12.75" x14ac:dyDescent="0.2">
      <c r="C94" s="296"/>
      <c r="D94" s="297"/>
      <c r="F94" s="296"/>
      <c r="G94" s="297"/>
    </row>
    <row r="95" spans="3:7" ht="12.75" x14ac:dyDescent="0.2">
      <c r="C95" s="296"/>
      <c r="D95" s="297"/>
      <c r="F95" s="296"/>
      <c r="G95" s="297"/>
    </row>
    <row r="96" spans="3:7" ht="12.75" x14ac:dyDescent="0.2">
      <c r="C96" s="296"/>
      <c r="D96" s="297"/>
      <c r="F96" s="296"/>
      <c r="G96" s="297"/>
    </row>
    <row r="97" spans="3:7" ht="12.75" x14ac:dyDescent="0.2">
      <c r="C97" s="296"/>
      <c r="D97" s="297"/>
      <c r="F97" s="296"/>
      <c r="G97" s="297"/>
    </row>
    <row r="98" spans="3:7" ht="12.75" x14ac:dyDescent="0.2">
      <c r="C98" s="296"/>
      <c r="D98" s="297"/>
      <c r="F98" s="296"/>
      <c r="G98" s="297"/>
    </row>
    <row r="99" spans="3:7" ht="12.75" x14ac:dyDescent="0.2">
      <c r="C99" s="296"/>
      <c r="D99" s="297"/>
      <c r="F99" s="296"/>
      <c r="G99" s="297"/>
    </row>
    <row r="100" spans="3:7" ht="12.75" x14ac:dyDescent="0.2">
      <c r="C100" s="296"/>
      <c r="D100" s="297"/>
      <c r="F100" s="296"/>
      <c r="G100" s="297"/>
    </row>
    <row r="101" spans="3:7" ht="12.75" x14ac:dyDescent="0.2">
      <c r="C101" s="296"/>
      <c r="D101" s="297"/>
      <c r="F101" s="296"/>
      <c r="G101" s="297"/>
    </row>
    <row r="102" spans="3:7" ht="12.75" x14ac:dyDescent="0.2">
      <c r="C102" s="296"/>
      <c r="D102" s="297"/>
      <c r="F102" s="296"/>
      <c r="G102" s="297"/>
    </row>
    <row r="103" spans="3:7" ht="12.75" x14ac:dyDescent="0.2">
      <c r="C103" s="296"/>
      <c r="D103" s="297"/>
      <c r="F103" s="296"/>
      <c r="G103" s="297"/>
    </row>
    <row r="104" spans="3:7" ht="12.75" x14ac:dyDescent="0.2">
      <c r="C104" s="296"/>
      <c r="D104" s="297"/>
      <c r="F104" s="296"/>
      <c r="G104" s="297"/>
    </row>
    <row r="105" spans="3:7" ht="12.75" x14ac:dyDescent="0.2">
      <c r="C105" s="296"/>
      <c r="D105" s="297"/>
      <c r="F105" s="296"/>
      <c r="G105" s="297"/>
    </row>
    <row r="106" spans="3:7" ht="12.75" x14ac:dyDescent="0.2">
      <c r="C106" s="296"/>
      <c r="D106" s="297"/>
      <c r="F106" s="296"/>
      <c r="G106" s="297"/>
    </row>
    <row r="107" spans="3:7" ht="12.75" x14ac:dyDescent="0.2">
      <c r="C107" s="296"/>
      <c r="D107" s="297"/>
      <c r="F107" s="296"/>
      <c r="G107" s="297"/>
    </row>
    <row r="108" spans="3:7" ht="12.75" x14ac:dyDescent="0.2">
      <c r="C108" s="296"/>
      <c r="D108" s="297"/>
      <c r="F108" s="296"/>
      <c r="G108" s="297"/>
    </row>
    <row r="109" spans="3:7" ht="12.75" x14ac:dyDescent="0.2">
      <c r="C109" s="296"/>
      <c r="D109" s="297"/>
      <c r="F109" s="296"/>
      <c r="G109" s="297"/>
    </row>
    <row r="110" spans="3:7" ht="12.75" x14ac:dyDescent="0.2">
      <c r="C110" s="296"/>
      <c r="D110" s="297"/>
      <c r="F110" s="296"/>
      <c r="G110" s="297"/>
    </row>
    <row r="111" spans="3:7" ht="12.75" x14ac:dyDescent="0.2">
      <c r="C111" s="296"/>
      <c r="D111" s="297"/>
      <c r="F111" s="296"/>
      <c r="G111" s="297"/>
    </row>
    <row r="112" spans="3:7" ht="12.75" x14ac:dyDescent="0.2">
      <c r="C112" s="296"/>
      <c r="D112" s="297"/>
      <c r="F112" s="296"/>
      <c r="G112" s="297"/>
    </row>
    <row r="113" spans="3:7" ht="12.75" x14ac:dyDescent="0.2">
      <c r="C113" s="296"/>
      <c r="D113" s="297"/>
      <c r="F113" s="296"/>
      <c r="G113" s="297"/>
    </row>
    <row r="114" spans="3:7" ht="12.75" x14ac:dyDescent="0.2">
      <c r="C114" s="296"/>
      <c r="D114" s="297"/>
      <c r="F114" s="296"/>
      <c r="G114" s="297"/>
    </row>
    <row r="115" spans="3:7" ht="12.75" x14ac:dyDescent="0.2">
      <c r="C115" s="296"/>
      <c r="D115" s="297"/>
      <c r="F115" s="296"/>
      <c r="G115" s="297"/>
    </row>
    <row r="116" spans="3:7" ht="12.75" x14ac:dyDescent="0.2">
      <c r="C116" s="296"/>
      <c r="D116" s="297"/>
      <c r="F116" s="296"/>
      <c r="G116" s="297"/>
    </row>
    <row r="117" spans="3:7" ht="12.75" x14ac:dyDescent="0.2">
      <c r="C117" s="296"/>
      <c r="D117" s="297"/>
      <c r="F117" s="296"/>
      <c r="G117" s="297"/>
    </row>
    <row r="118" spans="3:7" ht="12.75" x14ac:dyDescent="0.2">
      <c r="C118" s="296"/>
      <c r="D118" s="297"/>
      <c r="F118" s="296"/>
      <c r="G118" s="297"/>
    </row>
    <row r="119" spans="3:7" ht="12.75" x14ac:dyDescent="0.2">
      <c r="C119" s="296"/>
      <c r="D119" s="297"/>
      <c r="F119" s="296"/>
      <c r="G119" s="297"/>
    </row>
    <row r="120" spans="3:7" ht="12.75" x14ac:dyDescent="0.2">
      <c r="C120" s="296"/>
      <c r="D120" s="297"/>
      <c r="F120" s="296"/>
      <c r="G120" s="297"/>
    </row>
    <row r="121" spans="3:7" ht="12.75" x14ac:dyDescent="0.2">
      <c r="C121" s="296"/>
      <c r="D121" s="297"/>
      <c r="F121" s="296"/>
      <c r="G121" s="297"/>
    </row>
    <row r="122" spans="3:7" ht="12.75" x14ac:dyDescent="0.2">
      <c r="C122" s="296"/>
      <c r="D122" s="297"/>
      <c r="F122" s="296"/>
      <c r="G122" s="297"/>
    </row>
    <row r="123" spans="3:7" ht="12.75" x14ac:dyDescent="0.2">
      <c r="C123" s="296"/>
      <c r="D123" s="297"/>
      <c r="F123" s="296"/>
      <c r="G123" s="297"/>
    </row>
    <row r="124" spans="3:7" ht="12.75" x14ac:dyDescent="0.2">
      <c r="C124" s="296"/>
      <c r="D124" s="297"/>
      <c r="F124" s="296"/>
      <c r="G124" s="297"/>
    </row>
    <row r="125" spans="3:7" ht="12.75" x14ac:dyDescent="0.2">
      <c r="C125" s="296"/>
      <c r="D125" s="297"/>
      <c r="F125" s="296"/>
      <c r="G125" s="297"/>
    </row>
    <row r="126" spans="3:7" ht="12.75" x14ac:dyDescent="0.2">
      <c r="C126" s="296"/>
      <c r="D126" s="297"/>
      <c r="F126" s="296"/>
      <c r="G126" s="297"/>
    </row>
    <row r="127" spans="3:7" ht="12.75" x14ac:dyDescent="0.2">
      <c r="C127" s="296"/>
      <c r="D127" s="297"/>
      <c r="F127" s="296"/>
      <c r="G127" s="297"/>
    </row>
    <row r="128" spans="3:7" ht="12.75" x14ac:dyDescent="0.2">
      <c r="C128" s="296"/>
      <c r="D128" s="297"/>
      <c r="F128" s="296"/>
      <c r="G128" s="297"/>
    </row>
    <row r="129" spans="3:7" ht="12.75" x14ac:dyDescent="0.2">
      <c r="C129" s="296"/>
      <c r="D129" s="297"/>
      <c r="F129" s="296"/>
      <c r="G129" s="297"/>
    </row>
    <row r="130" spans="3:7" ht="12.75" x14ac:dyDescent="0.2">
      <c r="C130" s="296"/>
      <c r="D130" s="297"/>
      <c r="F130" s="296"/>
      <c r="G130" s="297"/>
    </row>
    <row r="131" spans="3:7" ht="12.75" x14ac:dyDescent="0.2">
      <c r="C131" s="296"/>
      <c r="D131" s="297"/>
      <c r="F131" s="296"/>
      <c r="G131" s="297"/>
    </row>
    <row r="132" spans="3:7" ht="12.75" x14ac:dyDescent="0.2">
      <c r="C132" s="296"/>
      <c r="D132" s="297"/>
      <c r="F132" s="296"/>
      <c r="G132" s="297"/>
    </row>
    <row r="133" spans="3:7" ht="12.75" x14ac:dyDescent="0.2">
      <c r="C133" s="296"/>
      <c r="D133" s="297"/>
      <c r="F133" s="296"/>
      <c r="G133" s="297"/>
    </row>
    <row r="134" spans="3:7" ht="12.75" x14ac:dyDescent="0.2">
      <c r="C134" s="296"/>
      <c r="D134" s="297"/>
      <c r="F134" s="296"/>
      <c r="G134" s="297"/>
    </row>
    <row r="135" spans="3:7" ht="12.75" x14ac:dyDescent="0.2">
      <c r="C135" s="296"/>
      <c r="D135" s="297"/>
      <c r="F135" s="296"/>
      <c r="G135" s="297"/>
    </row>
    <row r="136" spans="3:7" ht="12.75" x14ac:dyDescent="0.2">
      <c r="C136" s="296"/>
      <c r="D136" s="297"/>
      <c r="F136" s="296"/>
      <c r="G136" s="297"/>
    </row>
    <row r="137" spans="3:7" ht="12.75" x14ac:dyDescent="0.2">
      <c r="C137" s="296"/>
      <c r="D137" s="297"/>
      <c r="F137" s="296"/>
      <c r="G137" s="297"/>
    </row>
    <row r="138" spans="3:7" ht="12.75" x14ac:dyDescent="0.2">
      <c r="C138" s="296"/>
      <c r="D138" s="297"/>
      <c r="F138" s="296"/>
      <c r="G138" s="297"/>
    </row>
    <row r="139" spans="3:7" ht="12.75" x14ac:dyDescent="0.2">
      <c r="C139" s="296"/>
      <c r="D139" s="297"/>
      <c r="F139" s="296"/>
      <c r="G139" s="297"/>
    </row>
    <row r="140" spans="3:7" ht="12.75" x14ac:dyDescent="0.2">
      <c r="C140" s="296"/>
      <c r="D140" s="297"/>
      <c r="F140" s="296"/>
      <c r="G140" s="297"/>
    </row>
    <row r="141" spans="3:7" ht="12.75" x14ac:dyDescent="0.2">
      <c r="C141" s="296"/>
      <c r="D141" s="297"/>
      <c r="F141" s="296"/>
      <c r="G141" s="297"/>
    </row>
    <row r="142" spans="3:7" ht="12.75" x14ac:dyDescent="0.2">
      <c r="C142" s="296"/>
      <c r="D142" s="297"/>
      <c r="F142" s="296"/>
      <c r="G142" s="297"/>
    </row>
    <row r="143" spans="3:7" ht="12.75" x14ac:dyDescent="0.2">
      <c r="C143" s="296"/>
      <c r="D143" s="297"/>
      <c r="F143" s="296"/>
      <c r="G143" s="297"/>
    </row>
    <row r="144" spans="3:7" ht="12.75" x14ac:dyDescent="0.2">
      <c r="C144" s="296"/>
      <c r="D144" s="297"/>
      <c r="F144" s="296"/>
      <c r="G144" s="297"/>
    </row>
    <row r="145" spans="3:7" ht="12.75" x14ac:dyDescent="0.2">
      <c r="C145" s="296"/>
      <c r="D145" s="297"/>
      <c r="F145" s="296"/>
      <c r="G145" s="297"/>
    </row>
    <row r="146" spans="3:7" ht="12.75" x14ac:dyDescent="0.2">
      <c r="C146" s="296"/>
      <c r="D146" s="297"/>
      <c r="F146" s="296"/>
      <c r="G146" s="297"/>
    </row>
    <row r="147" spans="3:7" ht="12.75" x14ac:dyDescent="0.2">
      <c r="C147" s="296"/>
      <c r="D147" s="297"/>
      <c r="F147" s="296"/>
      <c r="G147" s="297"/>
    </row>
    <row r="148" spans="3:7" ht="12.75" x14ac:dyDescent="0.2">
      <c r="C148" s="296"/>
      <c r="D148" s="297"/>
      <c r="F148" s="296"/>
      <c r="G148" s="297"/>
    </row>
    <row r="149" spans="3:7" ht="12.75" x14ac:dyDescent="0.2">
      <c r="C149" s="296"/>
      <c r="D149" s="297"/>
      <c r="F149" s="296"/>
      <c r="G149" s="297"/>
    </row>
    <row r="150" spans="3:7" ht="12.75" x14ac:dyDescent="0.2">
      <c r="C150" s="296"/>
      <c r="D150" s="297"/>
      <c r="F150" s="296"/>
      <c r="G150" s="297"/>
    </row>
    <row r="151" spans="3:7" ht="12.75" x14ac:dyDescent="0.2">
      <c r="C151" s="296"/>
      <c r="D151" s="297"/>
      <c r="F151" s="296"/>
      <c r="G151" s="297"/>
    </row>
    <row r="152" spans="3:7" ht="12.75" x14ac:dyDescent="0.2">
      <c r="C152" s="296"/>
      <c r="D152" s="297"/>
      <c r="F152" s="296"/>
      <c r="G152" s="297"/>
    </row>
    <row r="153" spans="3:7" ht="12.75" x14ac:dyDescent="0.2">
      <c r="C153" s="296"/>
      <c r="D153" s="297"/>
      <c r="F153" s="296"/>
      <c r="G153" s="297"/>
    </row>
    <row r="154" spans="3:7" ht="12.75" x14ac:dyDescent="0.2">
      <c r="C154" s="296"/>
      <c r="D154" s="297"/>
      <c r="F154" s="296"/>
      <c r="G154" s="297"/>
    </row>
    <row r="155" spans="3:7" ht="12.75" x14ac:dyDescent="0.2">
      <c r="C155" s="296"/>
      <c r="D155" s="297"/>
      <c r="F155" s="296"/>
      <c r="G155" s="297"/>
    </row>
    <row r="156" spans="3:7" ht="12.75" x14ac:dyDescent="0.2">
      <c r="C156" s="296"/>
      <c r="D156" s="297"/>
      <c r="F156" s="296"/>
      <c r="G156" s="297"/>
    </row>
    <row r="157" spans="3:7" ht="12.75" x14ac:dyDescent="0.2">
      <c r="C157" s="296"/>
      <c r="D157" s="297"/>
      <c r="F157" s="296"/>
      <c r="G157" s="297"/>
    </row>
    <row r="158" spans="3:7" ht="12.75" x14ac:dyDescent="0.2">
      <c r="C158" s="296"/>
      <c r="D158" s="297"/>
      <c r="F158" s="296"/>
      <c r="G158" s="297"/>
    </row>
    <row r="159" spans="3:7" ht="12.75" x14ac:dyDescent="0.2">
      <c r="C159" s="296"/>
      <c r="D159" s="297"/>
      <c r="F159" s="296"/>
      <c r="G159" s="297"/>
    </row>
    <row r="160" spans="3:7" ht="12.75" x14ac:dyDescent="0.2">
      <c r="C160" s="296"/>
      <c r="D160" s="297"/>
      <c r="F160" s="296"/>
      <c r="G160" s="297"/>
    </row>
    <row r="161" spans="3:7" ht="12.75" x14ac:dyDescent="0.2">
      <c r="C161" s="296"/>
      <c r="D161" s="297"/>
      <c r="F161" s="296"/>
      <c r="G161" s="297"/>
    </row>
    <row r="162" spans="3:7" ht="12.75" x14ac:dyDescent="0.2">
      <c r="C162" s="296"/>
      <c r="D162" s="297"/>
      <c r="F162" s="296"/>
      <c r="G162" s="297"/>
    </row>
    <row r="163" spans="3:7" ht="12.75" x14ac:dyDescent="0.2">
      <c r="C163" s="296"/>
      <c r="D163" s="297"/>
      <c r="F163" s="296"/>
      <c r="G163" s="297"/>
    </row>
    <row r="164" spans="3:7" ht="12.75" x14ac:dyDescent="0.2">
      <c r="C164" s="296"/>
      <c r="D164" s="297"/>
      <c r="F164" s="296"/>
      <c r="G164" s="297"/>
    </row>
    <row r="165" spans="3:7" ht="12.75" x14ac:dyDescent="0.2">
      <c r="C165" s="296"/>
      <c r="D165" s="297"/>
      <c r="F165" s="296"/>
      <c r="G165" s="297"/>
    </row>
    <row r="166" spans="3:7" ht="12.75" x14ac:dyDescent="0.2">
      <c r="C166" s="296"/>
      <c r="D166" s="297"/>
      <c r="F166" s="296"/>
      <c r="G166" s="297"/>
    </row>
    <row r="167" spans="3:7" ht="12.75" x14ac:dyDescent="0.2">
      <c r="C167" s="296"/>
      <c r="D167" s="297"/>
      <c r="F167" s="296"/>
      <c r="G167" s="297"/>
    </row>
    <row r="168" spans="3:7" ht="12.75" x14ac:dyDescent="0.2">
      <c r="C168" s="296"/>
      <c r="D168" s="297"/>
      <c r="F168" s="296"/>
      <c r="G168" s="297"/>
    </row>
    <row r="169" spans="3:7" ht="12.75" x14ac:dyDescent="0.2">
      <c r="C169" s="296"/>
      <c r="D169" s="297"/>
      <c r="F169" s="296"/>
      <c r="G169" s="297"/>
    </row>
    <row r="170" spans="3:7" ht="12.75" x14ac:dyDescent="0.2">
      <c r="C170" s="296"/>
      <c r="D170" s="297"/>
      <c r="F170" s="296"/>
      <c r="G170" s="297"/>
    </row>
    <row r="171" spans="3:7" ht="12.75" x14ac:dyDescent="0.2">
      <c r="C171" s="296"/>
      <c r="D171" s="297"/>
      <c r="F171" s="296"/>
      <c r="G171" s="297"/>
    </row>
    <row r="172" spans="3:7" ht="12.75" x14ac:dyDescent="0.2">
      <c r="C172" s="296"/>
      <c r="D172" s="297"/>
      <c r="F172" s="296"/>
      <c r="G172" s="297"/>
    </row>
    <row r="173" spans="3:7" ht="12.75" x14ac:dyDescent="0.2">
      <c r="C173" s="296"/>
      <c r="D173" s="297"/>
      <c r="F173" s="296"/>
      <c r="G173" s="297"/>
    </row>
    <row r="174" spans="3:7" ht="12.75" x14ac:dyDescent="0.2">
      <c r="C174" s="296"/>
      <c r="D174" s="297"/>
      <c r="F174" s="296"/>
      <c r="G174" s="297"/>
    </row>
    <row r="175" spans="3:7" ht="12.75" x14ac:dyDescent="0.2">
      <c r="C175" s="296"/>
      <c r="D175" s="297"/>
      <c r="F175" s="296"/>
      <c r="G175" s="297"/>
    </row>
    <row r="176" spans="3:7" ht="12.75" x14ac:dyDescent="0.2">
      <c r="C176" s="296"/>
      <c r="D176" s="297"/>
      <c r="F176" s="296"/>
      <c r="G176" s="297"/>
    </row>
    <row r="177" spans="3:7" ht="12.75" x14ac:dyDescent="0.2">
      <c r="C177" s="296"/>
      <c r="D177" s="297"/>
      <c r="F177" s="296"/>
      <c r="G177" s="297"/>
    </row>
    <row r="178" spans="3:7" ht="12.75" x14ac:dyDescent="0.2">
      <c r="C178" s="296"/>
      <c r="D178" s="297"/>
      <c r="F178" s="296"/>
      <c r="G178" s="297"/>
    </row>
    <row r="179" spans="3:7" ht="12.75" x14ac:dyDescent="0.2">
      <c r="C179" s="296"/>
      <c r="D179" s="297"/>
      <c r="F179" s="296"/>
      <c r="G179" s="297"/>
    </row>
    <row r="180" spans="3:7" ht="12.75" x14ac:dyDescent="0.2">
      <c r="C180" s="296"/>
      <c r="D180" s="297"/>
      <c r="F180" s="296"/>
      <c r="G180" s="297"/>
    </row>
    <row r="181" spans="3:7" ht="12.75" x14ac:dyDescent="0.2">
      <c r="C181" s="296"/>
      <c r="D181" s="297"/>
      <c r="F181" s="296"/>
      <c r="G181" s="297"/>
    </row>
    <row r="182" spans="3:7" ht="12.75" x14ac:dyDescent="0.2">
      <c r="C182" s="296"/>
      <c r="D182" s="297"/>
      <c r="F182" s="296"/>
      <c r="G182" s="297"/>
    </row>
    <row r="183" spans="3:7" ht="12.75" x14ac:dyDescent="0.2">
      <c r="C183" s="296"/>
      <c r="D183" s="297"/>
      <c r="F183" s="296"/>
      <c r="G183" s="297"/>
    </row>
    <row r="184" spans="3:7" ht="12.75" x14ac:dyDescent="0.2">
      <c r="C184" s="296"/>
      <c r="D184" s="297"/>
      <c r="F184" s="296"/>
      <c r="G184" s="297"/>
    </row>
    <row r="185" spans="3:7" ht="12.75" x14ac:dyDescent="0.2">
      <c r="C185" s="296"/>
      <c r="D185" s="297"/>
      <c r="F185" s="296"/>
      <c r="G185" s="297"/>
    </row>
    <row r="186" spans="3:7" ht="12.75" x14ac:dyDescent="0.2">
      <c r="C186" s="296"/>
      <c r="D186" s="297"/>
      <c r="F186" s="296"/>
      <c r="G186" s="297"/>
    </row>
    <row r="187" spans="3:7" ht="12.75" x14ac:dyDescent="0.2">
      <c r="C187" s="296"/>
      <c r="D187" s="297"/>
      <c r="F187" s="296"/>
      <c r="G187" s="297"/>
    </row>
    <row r="188" spans="3:7" ht="12.75" x14ac:dyDescent="0.2">
      <c r="C188" s="296"/>
      <c r="D188" s="297"/>
      <c r="F188" s="296"/>
      <c r="G188" s="297"/>
    </row>
    <row r="189" spans="3:7" ht="12.75" x14ac:dyDescent="0.2">
      <c r="C189" s="296"/>
      <c r="D189" s="297"/>
      <c r="F189" s="296"/>
      <c r="G189" s="297"/>
    </row>
    <row r="190" spans="3:7" ht="12.75" x14ac:dyDescent="0.2">
      <c r="C190" s="296"/>
      <c r="D190" s="297"/>
      <c r="F190" s="296"/>
      <c r="G190" s="297"/>
    </row>
    <row r="191" spans="3:7" ht="12.75" x14ac:dyDescent="0.2">
      <c r="C191" s="296"/>
      <c r="D191" s="297"/>
      <c r="F191" s="296"/>
      <c r="G191" s="297"/>
    </row>
    <row r="192" spans="3:7" ht="12.75" x14ac:dyDescent="0.2">
      <c r="C192" s="296"/>
      <c r="D192" s="297"/>
      <c r="F192" s="296"/>
      <c r="G192" s="297"/>
    </row>
    <row r="193" spans="3:7" ht="12.75" x14ac:dyDescent="0.2">
      <c r="C193" s="296"/>
      <c r="D193" s="297"/>
      <c r="F193" s="296"/>
      <c r="G193" s="297"/>
    </row>
    <row r="194" spans="3:7" ht="12.75" x14ac:dyDescent="0.2">
      <c r="C194" s="296"/>
      <c r="D194" s="297"/>
      <c r="F194" s="296"/>
      <c r="G194" s="297"/>
    </row>
    <row r="195" spans="3:7" ht="12.75" x14ac:dyDescent="0.2">
      <c r="C195" s="296"/>
      <c r="D195" s="297"/>
      <c r="F195" s="296"/>
      <c r="G195" s="297"/>
    </row>
    <row r="196" spans="3:7" ht="12.75" x14ac:dyDescent="0.2">
      <c r="C196" s="296"/>
      <c r="D196" s="297"/>
      <c r="F196" s="296"/>
      <c r="G196" s="297"/>
    </row>
    <row r="197" spans="3:7" ht="12.75" x14ac:dyDescent="0.2">
      <c r="C197" s="296"/>
      <c r="D197" s="297"/>
      <c r="F197" s="296"/>
      <c r="G197" s="297"/>
    </row>
    <row r="198" spans="3:7" ht="12.75" x14ac:dyDescent="0.2">
      <c r="C198" s="296"/>
      <c r="D198" s="297"/>
      <c r="F198" s="296"/>
      <c r="G198" s="297"/>
    </row>
    <row r="199" spans="3:7" ht="12.75" x14ac:dyDescent="0.2">
      <c r="C199" s="296"/>
      <c r="D199" s="297"/>
      <c r="F199" s="296"/>
      <c r="G199" s="297"/>
    </row>
    <row r="200" spans="3:7" ht="12.75" x14ac:dyDescent="0.2">
      <c r="C200" s="296"/>
      <c r="D200" s="297"/>
      <c r="F200" s="296"/>
      <c r="G200" s="297"/>
    </row>
    <row r="201" spans="3:7" ht="12.75" x14ac:dyDescent="0.2">
      <c r="C201" s="296"/>
      <c r="D201" s="297"/>
      <c r="F201" s="296"/>
      <c r="G201" s="297"/>
    </row>
    <row r="202" spans="3:7" ht="12.75" x14ac:dyDescent="0.2">
      <c r="C202" s="296"/>
      <c r="D202" s="297"/>
      <c r="F202" s="296"/>
      <c r="G202" s="297"/>
    </row>
    <row r="203" spans="3:7" ht="12.75" x14ac:dyDescent="0.2">
      <c r="C203" s="296"/>
      <c r="D203" s="297"/>
      <c r="F203" s="296"/>
      <c r="G203" s="297"/>
    </row>
    <row r="204" spans="3:7" ht="12.75" x14ac:dyDescent="0.2">
      <c r="C204" s="296"/>
      <c r="D204" s="297"/>
      <c r="F204" s="296"/>
      <c r="G204" s="297"/>
    </row>
    <row r="205" spans="3:7" ht="12.75" x14ac:dyDescent="0.2">
      <c r="C205" s="296"/>
      <c r="D205" s="297"/>
      <c r="F205" s="296"/>
      <c r="G205" s="297"/>
    </row>
    <row r="206" spans="3:7" ht="12.75" x14ac:dyDescent="0.2">
      <c r="C206" s="296"/>
      <c r="D206" s="297"/>
      <c r="F206" s="296"/>
      <c r="G206" s="297"/>
    </row>
    <row r="207" spans="3:7" ht="12.75" x14ac:dyDescent="0.2">
      <c r="C207" s="296"/>
      <c r="D207" s="297"/>
      <c r="F207" s="296"/>
      <c r="G207" s="297"/>
    </row>
    <row r="208" spans="3:7" ht="12.75" x14ac:dyDescent="0.2">
      <c r="C208" s="296"/>
      <c r="D208" s="297"/>
      <c r="F208" s="296"/>
      <c r="G208" s="297"/>
    </row>
    <row r="209" spans="3:7" ht="12.75" x14ac:dyDescent="0.2">
      <c r="C209" s="296"/>
      <c r="D209" s="297"/>
      <c r="F209" s="296"/>
      <c r="G209" s="297"/>
    </row>
    <row r="210" spans="3:7" ht="12.75" x14ac:dyDescent="0.2">
      <c r="C210" s="296"/>
      <c r="D210" s="297"/>
      <c r="F210" s="296"/>
      <c r="G210" s="297"/>
    </row>
    <row r="211" spans="3:7" ht="12.75" x14ac:dyDescent="0.2">
      <c r="C211" s="296"/>
      <c r="D211" s="297"/>
      <c r="F211" s="296"/>
      <c r="G211" s="297"/>
    </row>
    <row r="212" spans="3:7" ht="12.75" x14ac:dyDescent="0.2">
      <c r="C212" s="296"/>
      <c r="D212" s="297"/>
      <c r="F212" s="296"/>
      <c r="G212" s="297"/>
    </row>
    <row r="213" spans="3:7" ht="12.75" x14ac:dyDescent="0.2">
      <c r="C213" s="296"/>
      <c r="D213" s="297"/>
      <c r="F213" s="296"/>
      <c r="G213" s="297"/>
    </row>
    <row r="214" spans="3:7" ht="12.75" x14ac:dyDescent="0.2">
      <c r="C214" s="296"/>
      <c r="D214" s="297"/>
      <c r="F214" s="296"/>
      <c r="G214" s="297"/>
    </row>
    <row r="215" spans="3:7" ht="12.75" x14ac:dyDescent="0.2">
      <c r="C215" s="296"/>
      <c r="D215" s="297"/>
      <c r="F215" s="296"/>
      <c r="G215" s="297"/>
    </row>
    <row r="216" spans="3:7" ht="12.75" x14ac:dyDescent="0.2">
      <c r="C216" s="296"/>
      <c r="D216" s="297"/>
      <c r="F216" s="296"/>
      <c r="G216" s="297"/>
    </row>
    <row r="217" spans="3:7" ht="12.75" x14ac:dyDescent="0.2">
      <c r="C217" s="296"/>
      <c r="D217" s="297"/>
      <c r="F217" s="296"/>
      <c r="G217" s="297"/>
    </row>
    <row r="218" spans="3:7" ht="12.75" x14ac:dyDescent="0.2">
      <c r="C218" s="296"/>
      <c r="D218" s="297"/>
      <c r="F218" s="296"/>
      <c r="G218" s="297"/>
    </row>
    <row r="219" spans="3:7" ht="12.75" x14ac:dyDescent="0.2">
      <c r="C219" s="296"/>
      <c r="D219" s="297"/>
      <c r="F219" s="296"/>
      <c r="G219" s="297"/>
    </row>
    <row r="220" spans="3:7" ht="12.75" x14ac:dyDescent="0.2">
      <c r="C220" s="296"/>
      <c r="D220" s="297"/>
      <c r="F220" s="296"/>
      <c r="G220" s="297"/>
    </row>
    <row r="221" spans="3:7" ht="12.75" x14ac:dyDescent="0.2">
      <c r="C221" s="296"/>
      <c r="D221" s="297"/>
      <c r="F221" s="296"/>
      <c r="G221" s="297"/>
    </row>
    <row r="222" spans="3:7" ht="12.75" x14ac:dyDescent="0.2">
      <c r="C222" s="296"/>
      <c r="D222" s="297"/>
      <c r="F222" s="296"/>
      <c r="G222" s="297"/>
    </row>
    <row r="223" spans="3:7" ht="12.75" x14ac:dyDescent="0.2">
      <c r="C223" s="296"/>
      <c r="D223" s="297"/>
      <c r="F223" s="296"/>
      <c r="G223" s="297"/>
    </row>
    <row r="224" spans="3:7" ht="12.75" x14ac:dyDescent="0.2">
      <c r="C224" s="296"/>
      <c r="D224" s="297"/>
      <c r="F224" s="296"/>
      <c r="G224" s="297"/>
    </row>
    <row r="225" spans="3:7" ht="12.75" x14ac:dyDescent="0.2">
      <c r="C225" s="296"/>
      <c r="D225" s="297"/>
      <c r="F225" s="296"/>
      <c r="G225" s="297"/>
    </row>
    <row r="226" spans="3:7" ht="12.75" x14ac:dyDescent="0.2">
      <c r="C226" s="296"/>
      <c r="D226" s="297"/>
      <c r="F226" s="296"/>
      <c r="G226" s="297"/>
    </row>
    <row r="227" spans="3:7" ht="12.75" x14ac:dyDescent="0.2">
      <c r="C227" s="296"/>
      <c r="D227" s="297"/>
      <c r="F227" s="296"/>
      <c r="G227" s="297"/>
    </row>
    <row r="228" spans="3:7" ht="12.75" x14ac:dyDescent="0.2">
      <c r="C228" s="296"/>
      <c r="D228" s="297"/>
      <c r="F228" s="296"/>
      <c r="G228" s="297"/>
    </row>
    <row r="229" spans="3:7" ht="12.75" x14ac:dyDescent="0.2">
      <c r="C229" s="296"/>
      <c r="D229" s="297"/>
      <c r="F229" s="296"/>
      <c r="G229" s="297"/>
    </row>
    <row r="230" spans="3:7" ht="12.75" x14ac:dyDescent="0.2">
      <c r="C230" s="296"/>
      <c r="D230" s="297"/>
      <c r="F230" s="296"/>
      <c r="G230" s="297"/>
    </row>
    <row r="231" spans="3:7" ht="12.75" x14ac:dyDescent="0.2">
      <c r="C231" s="296"/>
      <c r="D231" s="297"/>
      <c r="F231" s="296"/>
      <c r="G231" s="297"/>
    </row>
    <row r="232" spans="3:7" ht="12.75" x14ac:dyDescent="0.2">
      <c r="C232" s="296"/>
      <c r="D232" s="297"/>
      <c r="F232" s="296"/>
      <c r="G232" s="297"/>
    </row>
    <row r="233" spans="3:7" ht="12.75" x14ac:dyDescent="0.2">
      <c r="C233" s="296"/>
      <c r="D233" s="297"/>
      <c r="F233" s="296"/>
      <c r="G233" s="297"/>
    </row>
    <row r="234" spans="3:7" ht="12.75" x14ac:dyDescent="0.2">
      <c r="C234" s="296"/>
      <c r="D234" s="297"/>
      <c r="F234" s="296"/>
      <c r="G234" s="297"/>
    </row>
    <row r="235" spans="3:7" ht="12.75" x14ac:dyDescent="0.2">
      <c r="C235" s="296"/>
      <c r="D235" s="297"/>
      <c r="F235" s="296"/>
      <c r="G235" s="297"/>
    </row>
    <row r="236" spans="3:7" ht="12.75" x14ac:dyDescent="0.2">
      <c r="C236" s="296"/>
      <c r="D236" s="297"/>
      <c r="F236" s="296"/>
      <c r="G236" s="297"/>
    </row>
    <row r="237" spans="3:7" ht="12.75" x14ac:dyDescent="0.2">
      <c r="C237" s="296"/>
      <c r="D237" s="297"/>
      <c r="F237" s="296"/>
      <c r="G237" s="297"/>
    </row>
    <row r="238" spans="3:7" ht="12.75" x14ac:dyDescent="0.2">
      <c r="C238" s="296"/>
      <c r="D238" s="297"/>
      <c r="F238" s="296"/>
      <c r="G238" s="297"/>
    </row>
    <row r="239" spans="3:7" ht="12.75" x14ac:dyDescent="0.2">
      <c r="C239" s="296"/>
      <c r="D239" s="297"/>
      <c r="F239" s="296"/>
      <c r="G239" s="297"/>
    </row>
    <row r="240" spans="3:7" ht="12.75" x14ac:dyDescent="0.2">
      <c r="C240" s="296"/>
      <c r="D240" s="297"/>
      <c r="F240" s="296"/>
      <c r="G240" s="297"/>
    </row>
    <row r="241" spans="3:7" ht="12.75" x14ac:dyDescent="0.2">
      <c r="C241" s="296"/>
      <c r="D241" s="297"/>
      <c r="F241" s="296"/>
      <c r="G241" s="297"/>
    </row>
    <row r="242" spans="3:7" ht="12.75" x14ac:dyDescent="0.2">
      <c r="C242" s="296"/>
      <c r="D242" s="297"/>
      <c r="F242" s="296"/>
      <c r="G242" s="297"/>
    </row>
    <row r="243" spans="3:7" ht="12.75" x14ac:dyDescent="0.2">
      <c r="C243" s="296"/>
      <c r="D243" s="297"/>
      <c r="F243" s="296"/>
      <c r="G243" s="297"/>
    </row>
    <row r="244" spans="3:7" ht="12.75" x14ac:dyDescent="0.2">
      <c r="C244" s="296"/>
      <c r="D244" s="297"/>
      <c r="F244" s="296"/>
      <c r="G244" s="297"/>
    </row>
    <row r="245" spans="3:7" ht="12.75" x14ac:dyDescent="0.2">
      <c r="C245" s="296"/>
      <c r="D245" s="297"/>
      <c r="F245" s="296"/>
      <c r="G245" s="297"/>
    </row>
    <row r="246" spans="3:7" ht="12.75" x14ac:dyDescent="0.2">
      <c r="C246" s="296"/>
      <c r="D246" s="297"/>
      <c r="F246" s="296"/>
      <c r="G246" s="297"/>
    </row>
    <row r="247" spans="3:7" ht="12.75" x14ac:dyDescent="0.2">
      <c r="C247" s="296"/>
      <c r="D247" s="297"/>
      <c r="F247" s="296"/>
      <c r="G247" s="297"/>
    </row>
    <row r="248" spans="3:7" ht="12.75" x14ac:dyDescent="0.2">
      <c r="C248" s="296"/>
      <c r="D248" s="297"/>
      <c r="F248" s="296"/>
      <c r="G248" s="297"/>
    </row>
    <row r="249" spans="3:7" ht="12.75" x14ac:dyDescent="0.2">
      <c r="C249" s="296"/>
      <c r="D249" s="297"/>
      <c r="F249" s="296"/>
      <c r="G249" s="297"/>
    </row>
    <row r="250" spans="3:7" ht="12.75" x14ac:dyDescent="0.2">
      <c r="C250" s="296"/>
      <c r="D250" s="297"/>
      <c r="F250" s="296"/>
      <c r="G250" s="297"/>
    </row>
    <row r="251" spans="3:7" ht="12.75" x14ac:dyDescent="0.2">
      <c r="C251" s="296"/>
      <c r="D251" s="297"/>
      <c r="F251" s="296"/>
      <c r="G251" s="297"/>
    </row>
    <row r="252" spans="3:7" ht="12.75" x14ac:dyDescent="0.2">
      <c r="C252" s="296"/>
      <c r="D252" s="297"/>
      <c r="F252" s="296"/>
      <c r="G252" s="297"/>
    </row>
    <row r="253" spans="3:7" ht="12.75" x14ac:dyDescent="0.2">
      <c r="C253" s="296"/>
      <c r="D253" s="297"/>
      <c r="F253" s="296"/>
      <c r="G253" s="297"/>
    </row>
    <row r="254" spans="3:7" ht="12.75" x14ac:dyDescent="0.2">
      <c r="C254" s="296"/>
      <c r="D254" s="297"/>
      <c r="F254" s="296"/>
      <c r="G254" s="297"/>
    </row>
    <row r="255" spans="3:7" ht="12.75" x14ac:dyDescent="0.2">
      <c r="C255" s="296"/>
      <c r="D255" s="297"/>
      <c r="F255" s="296"/>
      <c r="G255" s="297"/>
    </row>
    <row r="256" spans="3:7" ht="12.75" x14ac:dyDescent="0.2">
      <c r="C256" s="296"/>
      <c r="D256" s="297"/>
      <c r="F256" s="296"/>
      <c r="G256" s="297"/>
    </row>
    <row r="257" spans="3:7" ht="12.75" x14ac:dyDescent="0.2">
      <c r="C257" s="296"/>
      <c r="D257" s="297"/>
      <c r="F257" s="296"/>
      <c r="G257" s="297"/>
    </row>
    <row r="258" spans="3:7" ht="12.75" x14ac:dyDescent="0.2">
      <c r="C258" s="296"/>
      <c r="D258" s="297"/>
      <c r="F258" s="296"/>
      <c r="G258" s="297"/>
    </row>
    <row r="259" spans="3:7" ht="12.75" x14ac:dyDescent="0.2">
      <c r="C259" s="296"/>
      <c r="D259" s="297"/>
      <c r="F259" s="296"/>
      <c r="G259" s="297"/>
    </row>
    <row r="260" spans="3:7" ht="12.75" x14ac:dyDescent="0.2">
      <c r="C260" s="296"/>
      <c r="D260" s="297"/>
      <c r="F260" s="296"/>
      <c r="G260" s="297"/>
    </row>
    <row r="261" spans="3:7" ht="12.75" x14ac:dyDescent="0.2">
      <c r="C261" s="296"/>
      <c r="D261" s="297"/>
      <c r="F261" s="296"/>
      <c r="G261" s="297"/>
    </row>
    <row r="262" spans="3:7" ht="12.75" x14ac:dyDescent="0.2">
      <c r="C262" s="296"/>
      <c r="D262" s="297"/>
      <c r="F262" s="296"/>
      <c r="G262" s="297"/>
    </row>
    <row r="263" spans="3:7" ht="12.75" x14ac:dyDescent="0.2">
      <c r="C263" s="296"/>
      <c r="D263" s="297"/>
      <c r="F263" s="296"/>
      <c r="G263" s="297"/>
    </row>
    <row r="264" spans="3:7" ht="12.75" x14ac:dyDescent="0.2">
      <c r="C264" s="296"/>
      <c r="D264" s="297"/>
      <c r="F264" s="296"/>
      <c r="G264" s="297"/>
    </row>
    <row r="265" spans="3:7" ht="12.75" x14ac:dyDescent="0.2">
      <c r="C265" s="296"/>
      <c r="D265" s="297"/>
      <c r="F265" s="296"/>
      <c r="G265" s="297"/>
    </row>
    <row r="266" spans="3:7" ht="12.75" x14ac:dyDescent="0.2">
      <c r="C266" s="296"/>
      <c r="D266" s="297"/>
      <c r="F266" s="296"/>
      <c r="G266" s="297"/>
    </row>
    <row r="267" spans="3:7" ht="12.75" x14ac:dyDescent="0.2">
      <c r="C267" s="296"/>
      <c r="D267" s="297"/>
      <c r="F267" s="296"/>
      <c r="G267" s="297"/>
    </row>
    <row r="268" spans="3:7" ht="12.75" x14ac:dyDescent="0.2">
      <c r="C268" s="296"/>
      <c r="D268" s="297"/>
      <c r="F268" s="296"/>
      <c r="G268" s="297"/>
    </row>
    <row r="269" spans="3:7" ht="12.75" x14ac:dyDescent="0.2">
      <c r="C269" s="296"/>
      <c r="D269" s="297"/>
      <c r="F269" s="296"/>
      <c r="G269" s="297"/>
    </row>
    <row r="270" spans="3:7" ht="12.75" x14ac:dyDescent="0.2">
      <c r="C270" s="296"/>
      <c r="D270" s="297"/>
      <c r="F270" s="296"/>
      <c r="G270" s="297"/>
    </row>
    <row r="271" spans="3:7" ht="12.75" x14ac:dyDescent="0.2">
      <c r="C271" s="296"/>
      <c r="D271" s="297"/>
      <c r="F271" s="296"/>
      <c r="G271" s="297"/>
    </row>
    <row r="272" spans="3:7" ht="12.75" x14ac:dyDescent="0.2">
      <c r="C272" s="296"/>
      <c r="D272" s="297"/>
      <c r="F272" s="296"/>
      <c r="G272" s="297"/>
    </row>
    <row r="273" spans="3:7" ht="12.75" x14ac:dyDescent="0.2">
      <c r="C273" s="296"/>
      <c r="D273" s="297"/>
      <c r="F273" s="296"/>
      <c r="G273" s="297"/>
    </row>
    <row r="274" spans="3:7" ht="12.75" x14ac:dyDescent="0.2">
      <c r="C274" s="296"/>
      <c r="D274" s="297"/>
      <c r="F274" s="296"/>
      <c r="G274" s="297"/>
    </row>
    <row r="275" spans="3:7" ht="12.75" x14ac:dyDescent="0.2">
      <c r="C275" s="296"/>
      <c r="D275" s="297"/>
      <c r="F275" s="296"/>
      <c r="G275" s="297"/>
    </row>
    <row r="276" spans="3:7" ht="12.75" x14ac:dyDescent="0.2">
      <c r="C276" s="296"/>
      <c r="D276" s="297"/>
      <c r="F276" s="296"/>
      <c r="G276" s="297"/>
    </row>
    <row r="277" spans="3:7" ht="12.75" x14ac:dyDescent="0.2">
      <c r="C277" s="296"/>
      <c r="D277" s="297"/>
      <c r="F277" s="296"/>
      <c r="G277" s="297"/>
    </row>
    <row r="278" spans="3:7" ht="12.75" x14ac:dyDescent="0.2">
      <c r="C278" s="296"/>
      <c r="D278" s="297"/>
      <c r="F278" s="296"/>
      <c r="G278" s="297"/>
    </row>
    <row r="279" spans="3:7" ht="12.75" x14ac:dyDescent="0.2">
      <c r="C279" s="296"/>
      <c r="D279" s="297"/>
      <c r="F279" s="296"/>
      <c r="G279" s="297"/>
    </row>
    <row r="280" spans="3:7" ht="12.75" x14ac:dyDescent="0.2">
      <c r="C280" s="296"/>
      <c r="D280" s="297"/>
      <c r="F280" s="296"/>
      <c r="G280" s="297"/>
    </row>
    <row r="281" spans="3:7" ht="12.75" x14ac:dyDescent="0.2">
      <c r="C281" s="296"/>
      <c r="D281" s="297"/>
      <c r="F281" s="296"/>
      <c r="G281" s="297"/>
    </row>
    <row r="282" spans="3:7" ht="12.75" x14ac:dyDescent="0.2">
      <c r="C282" s="296"/>
      <c r="D282" s="297"/>
      <c r="F282" s="296"/>
      <c r="G282" s="297"/>
    </row>
    <row r="283" spans="3:7" ht="12.75" x14ac:dyDescent="0.2">
      <c r="C283" s="296"/>
      <c r="D283" s="297"/>
      <c r="F283" s="296"/>
      <c r="G283" s="297"/>
    </row>
    <row r="284" spans="3:7" ht="12.75" x14ac:dyDescent="0.2">
      <c r="C284" s="296"/>
      <c r="D284" s="297"/>
      <c r="F284" s="296"/>
      <c r="G284" s="297"/>
    </row>
    <row r="285" spans="3:7" ht="12.75" x14ac:dyDescent="0.2">
      <c r="C285" s="296"/>
      <c r="D285" s="297"/>
      <c r="F285" s="296"/>
      <c r="G285" s="297"/>
    </row>
    <row r="286" spans="3:7" ht="12.75" x14ac:dyDescent="0.2">
      <c r="C286" s="296"/>
      <c r="D286" s="297"/>
      <c r="F286" s="296"/>
      <c r="G286" s="297"/>
    </row>
    <row r="287" spans="3:7" ht="12.75" x14ac:dyDescent="0.2">
      <c r="C287" s="296"/>
      <c r="D287" s="297"/>
      <c r="F287" s="296"/>
      <c r="G287" s="297"/>
    </row>
    <row r="288" spans="3:7" ht="12.75" x14ac:dyDescent="0.2">
      <c r="C288" s="296"/>
      <c r="D288" s="297"/>
      <c r="F288" s="296"/>
      <c r="G288" s="297"/>
    </row>
    <row r="289" spans="3:7" ht="12.75" x14ac:dyDescent="0.2">
      <c r="C289" s="296"/>
      <c r="D289" s="297"/>
      <c r="F289" s="296"/>
      <c r="G289" s="297"/>
    </row>
    <row r="290" spans="3:7" ht="12.75" x14ac:dyDescent="0.2">
      <c r="C290" s="296"/>
      <c r="D290" s="297"/>
      <c r="F290" s="296"/>
      <c r="G290" s="297"/>
    </row>
    <row r="291" spans="3:7" ht="12.75" x14ac:dyDescent="0.2">
      <c r="C291" s="296"/>
      <c r="D291" s="297"/>
      <c r="F291" s="296"/>
      <c r="G291" s="297"/>
    </row>
    <row r="292" spans="3:7" ht="12.75" x14ac:dyDescent="0.2">
      <c r="C292" s="296"/>
      <c r="D292" s="297"/>
      <c r="F292" s="296"/>
      <c r="G292" s="297"/>
    </row>
    <row r="293" spans="3:7" ht="12.75" x14ac:dyDescent="0.2">
      <c r="C293" s="296"/>
      <c r="D293" s="297"/>
      <c r="F293" s="296"/>
      <c r="G293" s="297"/>
    </row>
    <row r="294" spans="3:7" ht="12.75" x14ac:dyDescent="0.2">
      <c r="C294" s="296"/>
      <c r="D294" s="297"/>
      <c r="F294" s="296"/>
      <c r="G294" s="297"/>
    </row>
    <row r="295" spans="3:7" ht="12.75" x14ac:dyDescent="0.2">
      <c r="C295" s="296"/>
      <c r="D295" s="297"/>
      <c r="F295" s="296"/>
      <c r="G295" s="297"/>
    </row>
    <row r="296" spans="3:7" ht="12.75" x14ac:dyDescent="0.2">
      <c r="C296" s="296"/>
      <c r="D296" s="297"/>
      <c r="F296" s="296"/>
      <c r="G296" s="297"/>
    </row>
    <row r="297" spans="3:7" ht="12.75" x14ac:dyDescent="0.2">
      <c r="C297" s="296"/>
      <c r="D297" s="297"/>
      <c r="F297" s="296"/>
      <c r="G297" s="297"/>
    </row>
    <row r="298" spans="3:7" ht="12.75" x14ac:dyDescent="0.2">
      <c r="C298" s="296"/>
      <c r="D298" s="297"/>
      <c r="F298" s="296"/>
      <c r="G298" s="297"/>
    </row>
    <row r="299" spans="3:7" ht="12.75" x14ac:dyDescent="0.2">
      <c r="C299" s="296"/>
      <c r="D299" s="297"/>
      <c r="F299" s="296"/>
      <c r="G299" s="297"/>
    </row>
    <row r="300" spans="3:7" ht="12.75" x14ac:dyDescent="0.2">
      <c r="C300" s="296"/>
      <c r="D300" s="297"/>
      <c r="F300" s="296"/>
      <c r="G300" s="297"/>
    </row>
    <row r="301" spans="3:7" ht="12.75" x14ac:dyDescent="0.2">
      <c r="C301" s="296"/>
      <c r="D301" s="297"/>
      <c r="F301" s="296"/>
      <c r="G301" s="297"/>
    </row>
    <row r="302" spans="3:7" ht="12.75" x14ac:dyDescent="0.2">
      <c r="C302" s="296"/>
      <c r="D302" s="297"/>
      <c r="F302" s="296"/>
      <c r="G302" s="297"/>
    </row>
    <row r="303" spans="3:7" ht="12.75" x14ac:dyDescent="0.2">
      <c r="C303" s="296"/>
      <c r="D303" s="297"/>
      <c r="F303" s="296"/>
      <c r="G303" s="297"/>
    </row>
    <row r="304" spans="3:7" ht="12.75" x14ac:dyDescent="0.2">
      <c r="C304" s="296"/>
      <c r="D304" s="297"/>
      <c r="F304" s="296"/>
      <c r="G304" s="297"/>
    </row>
    <row r="305" spans="3:7" ht="12.75" x14ac:dyDescent="0.2">
      <c r="C305" s="296"/>
      <c r="D305" s="297"/>
      <c r="F305" s="296"/>
      <c r="G305" s="297"/>
    </row>
    <row r="306" spans="3:7" ht="12.75" x14ac:dyDescent="0.2">
      <c r="C306" s="296"/>
      <c r="D306" s="297"/>
      <c r="F306" s="296"/>
      <c r="G306" s="297"/>
    </row>
    <row r="307" spans="3:7" ht="12.75" x14ac:dyDescent="0.2">
      <c r="C307" s="296"/>
      <c r="D307" s="297"/>
      <c r="F307" s="296"/>
      <c r="G307" s="297"/>
    </row>
    <row r="308" spans="3:7" ht="12.75" x14ac:dyDescent="0.2">
      <c r="C308" s="296"/>
      <c r="D308" s="297"/>
      <c r="F308" s="296"/>
      <c r="G308" s="297"/>
    </row>
    <row r="309" spans="3:7" ht="12.75" x14ac:dyDescent="0.2">
      <c r="C309" s="296"/>
      <c r="D309" s="297"/>
      <c r="F309" s="296"/>
      <c r="G309" s="297"/>
    </row>
    <row r="310" spans="3:7" ht="12.75" x14ac:dyDescent="0.2">
      <c r="C310" s="296"/>
      <c r="D310" s="297"/>
      <c r="F310" s="296"/>
      <c r="G310" s="297"/>
    </row>
    <row r="311" spans="3:7" ht="12.75" x14ac:dyDescent="0.2">
      <c r="C311" s="296"/>
      <c r="D311" s="297"/>
      <c r="F311" s="296"/>
      <c r="G311" s="297"/>
    </row>
    <row r="312" spans="3:7" ht="12.75" x14ac:dyDescent="0.2">
      <c r="C312" s="296"/>
      <c r="D312" s="297"/>
      <c r="F312" s="296"/>
      <c r="G312" s="297"/>
    </row>
    <row r="313" spans="3:7" ht="12.75" x14ac:dyDescent="0.2">
      <c r="C313" s="296"/>
      <c r="D313" s="297"/>
      <c r="F313" s="296"/>
      <c r="G313" s="297"/>
    </row>
    <row r="314" spans="3:7" ht="12.75" x14ac:dyDescent="0.2">
      <c r="C314" s="296"/>
      <c r="D314" s="297"/>
      <c r="F314" s="296"/>
      <c r="G314" s="297"/>
    </row>
    <row r="315" spans="3:7" ht="12.75" x14ac:dyDescent="0.2">
      <c r="C315" s="296"/>
      <c r="D315" s="297"/>
      <c r="F315" s="296"/>
      <c r="G315" s="297"/>
    </row>
    <row r="316" spans="3:7" ht="12.75" x14ac:dyDescent="0.2">
      <c r="C316" s="296"/>
      <c r="D316" s="297"/>
      <c r="F316" s="296"/>
      <c r="G316" s="297"/>
    </row>
    <row r="317" spans="3:7" ht="12.75" x14ac:dyDescent="0.2">
      <c r="C317" s="296"/>
      <c r="D317" s="297"/>
      <c r="F317" s="296"/>
      <c r="G317" s="297"/>
    </row>
    <row r="318" spans="3:7" ht="12.75" x14ac:dyDescent="0.2">
      <c r="C318" s="296"/>
      <c r="D318" s="297"/>
      <c r="F318" s="296"/>
      <c r="G318" s="297"/>
    </row>
    <row r="319" spans="3:7" ht="12.75" x14ac:dyDescent="0.2">
      <c r="C319" s="296"/>
      <c r="D319" s="297"/>
      <c r="F319" s="296"/>
      <c r="G319" s="297"/>
    </row>
    <row r="320" spans="3:7" ht="12.75" x14ac:dyDescent="0.2">
      <c r="C320" s="296"/>
      <c r="D320" s="297"/>
      <c r="F320" s="296"/>
      <c r="G320" s="297"/>
    </row>
    <row r="321" spans="3:7" ht="12.75" x14ac:dyDescent="0.2">
      <c r="C321" s="296"/>
      <c r="D321" s="297"/>
      <c r="F321" s="296"/>
      <c r="G321" s="297"/>
    </row>
    <row r="322" spans="3:7" ht="12.75" x14ac:dyDescent="0.2">
      <c r="C322" s="296"/>
      <c r="D322" s="297"/>
      <c r="F322" s="296"/>
      <c r="G322" s="297"/>
    </row>
    <row r="323" spans="3:7" ht="12.75" x14ac:dyDescent="0.2">
      <c r="C323" s="296"/>
      <c r="D323" s="297"/>
      <c r="F323" s="296"/>
      <c r="G323" s="297"/>
    </row>
    <row r="324" spans="3:7" ht="12.75" x14ac:dyDescent="0.2">
      <c r="C324" s="296"/>
      <c r="D324" s="297"/>
      <c r="F324" s="296"/>
      <c r="G324" s="297"/>
    </row>
    <row r="325" spans="3:7" ht="12.75" x14ac:dyDescent="0.2">
      <c r="C325" s="296"/>
      <c r="D325" s="297"/>
      <c r="F325" s="296"/>
      <c r="G325" s="297"/>
    </row>
    <row r="326" spans="3:7" ht="12.75" x14ac:dyDescent="0.2">
      <c r="C326" s="296"/>
      <c r="D326" s="297"/>
      <c r="F326" s="296"/>
      <c r="G326" s="297"/>
    </row>
    <row r="327" spans="3:7" ht="12.75" x14ac:dyDescent="0.2">
      <c r="C327" s="296"/>
      <c r="D327" s="297"/>
      <c r="F327" s="296"/>
      <c r="G327" s="297"/>
    </row>
    <row r="328" spans="3:7" ht="12.75" x14ac:dyDescent="0.2">
      <c r="C328" s="296"/>
      <c r="D328" s="297"/>
      <c r="F328" s="296"/>
      <c r="G328" s="297"/>
    </row>
    <row r="329" spans="3:7" ht="12.75" x14ac:dyDescent="0.2">
      <c r="C329" s="296"/>
      <c r="D329" s="297"/>
      <c r="F329" s="296"/>
      <c r="G329" s="297"/>
    </row>
    <row r="330" spans="3:7" ht="12.75" x14ac:dyDescent="0.2">
      <c r="C330" s="296"/>
      <c r="D330" s="297"/>
      <c r="F330" s="296"/>
      <c r="G330" s="297"/>
    </row>
    <row r="331" spans="3:7" ht="12.75" x14ac:dyDescent="0.2">
      <c r="C331" s="296"/>
      <c r="D331" s="297"/>
      <c r="F331" s="296"/>
      <c r="G331" s="297"/>
    </row>
    <row r="332" spans="3:7" ht="12.75" x14ac:dyDescent="0.2">
      <c r="C332" s="296"/>
      <c r="D332" s="297"/>
      <c r="F332" s="296"/>
      <c r="G332" s="297"/>
    </row>
    <row r="333" spans="3:7" ht="12.75" x14ac:dyDescent="0.2">
      <c r="C333" s="296"/>
      <c r="D333" s="297"/>
      <c r="F333" s="296"/>
      <c r="G333" s="297"/>
    </row>
    <row r="334" spans="3:7" ht="12.75" x14ac:dyDescent="0.2">
      <c r="C334" s="296"/>
      <c r="D334" s="297"/>
      <c r="F334" s="296"/>
      <c r="G334" s="297"/>
    </row>
    <row r="335" spans="3:7" ht="12.75" x14ac:dyDescent="0.2">
      <c r="C335" s="296"/>
      <c r="D335" s="297"/>
      <c r="F335" s="296"/>
      <c r="G335" s="297"/>
    </row>
    <row r="336" spans="3:7" ht="12.75" x14ac:dyDescent="0.2">
      <c r="C336" s="296"/>
      <c r="D336" s="297"/>
      <c r="F336" s="296"/>
      <c r="G336" s="297"/>
    </row>
    <row r="337" spans="3:7" ht="12.75" x14ac:dyDescent="0.2">
      <c r="C337" s="296"/>
      <c r="D337" s="297"/>
      <c r="F337" s="296"/>
      <c r="G337" s="297"/>
    </row>
    <row r="338" spans="3:7" ht="12.75" x14ac:dyDescent="0.2">
      <c r="C338" s="296"/>
      <c r="D338" s="297"/>
      <c r="F338" s="296"/>
      <c r="G338" s="297"/>
    </row>
    <row r="339" spans="3:7" ht="12.75" x14ac:dyDescent="0.2">
      <c r="C339" s="296"/>
      <c r="D339" s="297"/>
      <c r="F339" s="296"/>
      <c r="G339" s="297"/>
    </row>
    <row r="340" spans="3:7" ht="12.75" x14ac:dyDescent="0.2">
      <c r="C340" s="296"/>
      <c r="D340" s="297"/>
      <c r="F340" s="296"/>
      <c r="G340" s="297"/>
    </row>
    <row r="341" spans="3:7" ht="12.75" x14ac:dyDescent="0.2">
      <c r="C341" s="296"/>
      <c r="D341" s="297"/>
      <c r="F341" s="296"/>
      <c r="G341" s="297"/>
    </row>
    <row r="342" spans="3:7" ht="12.75" x14ac:dyDescent="0.2">
      <c r="C342" s="296"/>
      <c r="D342" s="297"/>
      <c r="F342" s="296"/>
      <c r="G342" s="297"/>
    </row>
    <row r="343" spans="3:7" ht="12.75" x14ac:dyDescent="0.2">
      <c r="C343" s="296"/>
      <c r="D343" s="297"/>
      <c r="F343" s="296"/>
      <c r="G343" s="297"/>
    </row>
    <row r="344" spans="3:7" ht="12.75" x14ac:dyDescent="0.2">
      <c r="C344" s="296"/>
      <c r="D344" s="297"/>
      <c r="F344" s="296"/>
      <c r="G344" s="297"/>
    </row>
    <row r="345" spans="3:7" ht="12.75" x14ac:dyDescent="0.2">
      <c r="C345" s="296"/>
      <c r="D345" s="297"/>
      <c r="F345" s="296"/>
      <c r="G345" s="297"/>
    </row>
    <row r="346" spans="3:7" ht="12.75" x14ac:dyDescent="0.2">
      <c r="C346" s="296"/>
      <c r="D346" s="297"/>
      <c r="F346" s="296"/>
      <c r="G346" s="297"/>
    </row>
    <row r="347" spans="3:7" ht="12.75" x14ac:dyDescent="0.2">
      <c r="C347" s="296"/>
      <c r="D347" s="297"/>
      <c r="F347" s="296"/>
      <c r="G347" s="297"/>
    </row>
    <row r="348" spans="3:7" ht="12.75" x14ac:dyDescent="0.2">
      <c r="C348" s="296"/>
      <c r="D348" s="297"/>
      <c r="F348" s="296"/>
      <c r="G348" s="297"/>
    </row>
    <row r="349" spans="3:7" ht="12.75" x14ac:dyDescent="0.2">
      <c r="C349" s="296"/>
      <c r="D349" s="297"/>
      <c r="F349" s="296"/>
      <c r="G349" s="297"/>
    </row>
    <row r="350" spans="3:7" ht="12.75" x14ac:dyDescent="0.2">
      <c r="C350" s="296"/>
      <c r="D350" s="297"/>
      <c r="F350" s="296"/>
      <c r="G350" s="297"/>
    </row>
    <row r="351" spans="3:7" ht="12.75" x14ac:dyDescent="0.2">
      <c r="C351" s="296"/>
      <c r="D351" s="297"/>
      <c r="F351" s="296"/>
      <c r="G351" s="297"/>
    </row>
    <row r="352" spans="3:7" ht="12.75" x14ac:dyDescent="0.2">
      <c r="C352" s="296"/>
      <c r="D352" s="297"/>
      <c r="F352" s="296"/>
      <c r="G352" s="297"/>
    </row>
    <row r="353" spans="3:7" ht="12.75" x14ac:dyDescent="0.2">
      <c r="C353" s="296"/>
      <c r="D353" s="297"/>
      <c r="F353" s="296"/>
      <c r="G353" s="297"/>
    </row>
    <row r="354" spans="3:7" ht="12.75" x14ac:dyDescent="0.2">
      <c r="C354" s="296"/>
      <c r="D354" s="297"/>
      <c r="F354" s="296"/>
      <c r="G354" s="297"/>
    </row>
    <row r="355" spans="3:7" ht="12.75" x14ac:dyDescent="0.2">
      <c r="C355" s="296"/>
      <c r="D355" s="297"/>
      <c r="F355" s="296"/>
      <c r="G355" s="297"/>
    </row>
    <row r="356" spans="3:7" ht="12.75" x14ac:dyDescent="0.2">
      <c r="C356" s="296"/>
      <c r="D356" s="297"/>
      <c r="F356" s="296"/>
      <c r="G356" s="297"/>
    </row>
    <row r="357" spans="3:7" ht="12.75" x14ac:dyDescent="0.2">
      <c r="C357" s="296"/>
      <c r="D357" s="297"/>
      <c r="F357" s="296"/>
      <c r="G357" s="297"/>
    </row>
    <row r="358" spans="3:7" ht="12.75" x14ac:dyDescent="0.2">
      <c r="C358" s="296"/>
      <c r="D358" s="297"/>
      <c r="F358" s="296"/>
      <c r="G358" s="297"/>
    </row>
    <row r="359" spans="3:7" ht="12.75" x14ac:dyDescent="0.2">
      <c r="C359" s="296"/>
      <c r="D359" s="297"/>
      <c r="F359" s="296"/>
      <c r="G359" s="297"/>
    </row>
    <row r="360" spans="3:7" ht="12.75" x14ac:dyDescent="0.2">
      <c r="C360" s="296"/>
      <c r="D360" s="297"/>
      <c r="F360" s="296"/>
      <c r="G360" s="297"/>
    </row>
    <row r="361" spans="3:7" ht="12.75" x14ac:dyDescent="0.2">
      <c r="C361" s="296"/>
      <c r="D361" s="297"/>
      <c r="F361" s="296"/>
      <c r="G361" s="297"/>
    </row>
    <row r="362" spans="3:7" ht="12.75" x14ac:dyDescent="0.2">
      <c r="C362" s="296"/>
      <c r="D362" s="297"/>
      <c r="F362" s="296"/>
      <c r="G362" s="297"/>
    </row>
    <row r="363" spans="3:7" ht="12.75" x14ac:dyDescent="0.2">
      <c r="C363" s="296"/>
      <c r="D363" s="297"/>
      <c r="F363" s="296"/>
      <c r="G363" s="297"/>
    </row>
    <row r="364" spans="3:7" ht="12.75" x14ac:dyDescent="0.2">
      <c r="C364" s="296"/>
      <c r="D364" s="297"/>
      <c r="F364" s="296"/>
      <c r="G364" s="297"/>
    </row>
    <row r="365" spans="3:7" ht="12.75" x14ac:dyDescent="0.2">
      <c r="C365" s="296"/>
      <c r="D365" s="297"/>
      <c r="F365" s="296"/>
      <c r="G365" s="297"/>
    </row>
    <row r="366" spans="3:7" ht="12.75" x14ac:dyDescent="0.2">
      <c r="C366" s="296"/>
      <c r="D366" s="297"/>
      <c r="F366" s="296"/>
      <c r="G366" s="297"/>
    </row>
    <row r="367" spans="3:7" ht="12.75" x14ac:dyDescent="0.2">
      <c r="C367" s="296"/>
      <c r="D367" s="297"/>
      <c r="F367" s="296"/>
      <c r="G367" s="297"/>
    </row>
    <row r="368" spans="3:7" ht="12.75" x14ac:dyDescent="0.2">
      <c r="C368" s="296"/>
      <c r="D368" s="297"/>
      <c r="F368" s="296"/>
      <c r="G368" s="297"/>
    </row>
    <row r="369" spans="3:7" ht="12.75" x14ac:dyDescent="0.2">
      <c r="C369" s="296"/>
      <c r="D369" s="297"/>
      <c r="F369" s="296"/>
      <c r="G369" s="297"/>
    </row>
    <row r="370" spans="3:7" ht="12.75" x14ac:dyDescent="0.2">
      <c r="C370" s="296"/>
      <c r="D370" s="297"/>
      <c r="F370" s="296"/>
      <c r="G370" s="297"/>
    </row>
    <row r="371" spans="3:7" ht="12.75" x14ac:dyDescent="0.2">
      <c r="C371" s="296"/>
      <c r="D371" s="297"/>
      <c r="F371" s="296"/>
      <c r="G371" s="297"/>
    </row>
    <row r="372" spans="3:7" ht="12.75" x14ac:dyDescent="0.2">
      <c r="C372" s="296"/>
      <c r="D372" s="297"/>
      <c r="F372" s="296"/>
      <c r="G372" s="297"/>
    </row>
    <row r="373" spans="3:7" ht="12.75" x14ac:dyDescent="0.2">
      <c r="C373" s="296"/>
      <c r="D373" s="297"/>
      <c r="F373" s="296"/>
      <c r="G373" s="297"/>
    </row>
    <row r="374" spans="3:7" ht="12.75" x14ac:dyDescent="0.2">
      <c r="C374" s="296"/>
      <c r="D374" s="297"/>
      <c r="F374" s="296"/>
      <c r="G374" s="297"/>
    </row>
    <row r="375" spans="3:7" ht="12.75" x14ac:dyDescent="0.2">
      <c r="C375" s="296"/>
      <c r="D375" s="297"/>
      <c r="F375" s="296"/>
      <c r="G375" s="297"/>
    </row>
    <row r="376" spans="3:7" ht="12.75" x14ac:dyDescent="0.2">
      <c r="C376" s="296"/>
      <c r="D376" s="297"/>
      <c r="F376" s="296"/>
      <c r="G376" s="297"/>
    </row>
    <row r="377" spans="3:7" ht="12.75" x14ac:dyDescent="0.2">
      <c r="C377" s="296"/>
      <c r="D377" s="297"/>
      <c r="F377" s="296"/>
      <c r="G377" s="297"/>
    </row>
    <row r="378" spans="3:7" ht="12.75" x14ac:dyDescent="0.2">
      <c r="C378" s="296"/>
      <c r="D378" s="297"/>
      <c r="F378" s="296"/>
      <c r="G378" s="297"/>
    </row>
    <row r="379" spans="3:7" ht="12.75" x14ac:dyDescent="0.2">
      <c r="C379" s="296"/>
      <c r="D379" s="297"/>
      <c r="F379" s="296"/>
      <c r="G379" s="297"/>
    </row>
    <row r="380" spans="3:7" ht="12.75" x14ac:dyDescent="0.2">
      <c r="C380" s="296"/>
      <c r="D380" s="297"/>
      <c r="F380" s="296"/>
      <c r="G380" s="297"/>
    </row>
    <row r="381" spans="3:7" ht="12.75" x14ac:dyDescent="0.2">
      <c r="C381" s="296"/>
      <c r="D381" s="297"/>
      <c r="F381" s="296"/>
      <c r="G381" s="297"/>
    </row>
    <row r="382" spans="3:7" ht="12.75" x14ac:dyDescent="0.2">
      <c r="C382" s="296"/>
      <c r="D382" s="297"/>
      <c r="F382" s="296"/>
      <c r="G382" s="297"/>
    </row>
    <row r="383" spans="3:7" ht="12.75" x14ac:dyDescent="0.2">
      <c r="C383" s="296"/>
      <c r="D383" s="297"/>
      <c r="F383" s="296"/>
      <c r="G383" s="297"/>
    </row>
    <row r="384" spans="3:7" ht="12.75" x14ac:dyDescent="0.2">
      <c r="C384" s="296"/>
      <c r="D384" s="297"/>
      <c r="F384" s="296"/>
      <c r="G384" s="297"/>
    </row>
    <row r="385" spans="3:7" ht="12.75" x14ac:dyDescent="0.2">
      <c r="C385" s="296"/>
      <c r="D385" s="297"/>
      <c r="F385" s="296"/>
      <c r="G385" s="297"/>
    </row>
    <row r="386" spans="3:7" ht="12.75" x14ac:dyDescent="0.2">
      <c r="C386" s="296"/>
      <c r="D386" s="297"/>
      <c r="F386" s="296"/>
      <c r="G386" s="297"/>
    </row>
    <row r="387" spans="3:7" ht="12.75" x14ac:dyDescent="0.2">
      <c r="C387" s="296"/>
      <c r="D387" s="297"/>
      <c r="F387" s="296"/>
      <c r="G387" s="297"/>
    </row>
    <row r="388" spans="3:7" ht="12.75" x14ac:dyDescent="0.2">
      <c r="C388" s="296"/>
      <c r="D388" s="297"/>
      <c r="F388" s="296"/>
      <c r="G388" s="297"/>
    </row>
    <row r="389" spans="3:7" ht="12.75" x14ac:dyDescent="0.2">
      <c r="C389" s="296"/>
      <c r="D389" s="297"/>
      <c r="F389" s="296"/>
      <c r="G389" s="297"/>
    </row>
    <row r="390" spans="3:7" ht="12.75" x14ac:dyDescent="0.2">
      <c r="C390" s="296"/>
      <c r="D390" s="297"/>
      <c r="F390" s="296"/>
      <c r="G390" s="297"/>
    </row>
    <row r="391" spans="3:7" ht="12.75" x14ac:dyDescent="0.2">
      <c r="C391" s="296"/>
      <c r="D391" s="297"/>
      <c r="F391" s="296"/>
      <c r="G391" s="297"/>
    </row>
    <row r="392" spans="3:7" ht="12.75" x14ac:dyDescent="0.2">
      <c r="C392" s="296"/>
      <c r="D392" s="297"/>
      <c r="F392" s="296"/>
      <c r="G392" s="297"/>
    </row>
    <row r="393" spans="3:7" ht="12.75" x14ac:dyDescent="0.2">
      <c r="C393" s="296"/>
      <c r="D393" s="297"/>
      <c r="F393" s="296"/>
      <c r="G393" s="297"/>
    </row>
    <row r="394" spans="3:7" ht="12.75" x14ac:dyDescent="0.2">
      <c r="C394" s="296"/>
      <c r="D394" s="297"/>
      <c r="F394" s="296"/>
      <c r="G394" s="297"/>
    </row>
    <row r="395" spans="3:7" ht="12.75" x14ac:dyDescent="0.2">
      <c r="C395" s="296"/>
      <c r="D395" s="297"/>
      <c r="F395" s="296"/>
      <c r="G395" s="297"/>
    </row>
    <row r="396" spans="3:7" ht="12.75" x14ac:dyDescent="0.2">
      <c r="C396" s="296"/>
      <c r="D396" s="297"/>
      <c r="F396" s="296"/>
      <c r="G396" s="297"/>
    </row>
    <row r="397" spans="3:7" ht="12.75" x14ac:dyDescent="0.2">
      <c r="C397" s="296"/>
      <c r="D397" s="297"/>
      <c r="F397" s="296"/>
      <c r="G397" s="297"/>
    </row>
    <row r="398" spans="3:7" ht="12.75" x14ac:dyDescent="0.2">
      <c r="C398" s="296"/>
      <c r="D398" s="297"/>
      <c r="F398" s="296"/>
      <c r="G398" s="297"/>
    </row>
    <row r="399" spans="3:7" ht="12.75" x14ac:dyDescent="0.2">
      <c r="C399" s="296"/>
      <c r="D399" s="297"/>
      <c r="F399" s="296"/>
      <c r="G399" s="297"/>
    </row>
    <row r="400" spans="3:7" ht="12.75" x14ac:dyDescent="0.2">
      <c r="C400" s="296"/>
      <c r="D400" s="297"/>
      <c r="F400" s="296"/>
      <c r="G400" s="297"/>
    </row>
    <row r="401" spans="3:7" ht="12.75" x14ac:dyDescent="0.2">
      <c r="C401" s="296"/>
      <c r="D401" s="297"/>
      <c r="F401" s="296"/>
      <c r="G401" s="297"/>
    </row>
    <row r="402" spans="3:7" ht="12.75" x14ac:dyDescent="0.2">
      <c r="C402" s="296"/>
      <c r="D402" s="297"/>
      <c r="F402" s="296"/>
      <c r="G402" s="297"/>
    </row>
    <row r="403" spans="3:7" ht="12.75" x14ac:dyDescent="0.2">
      <c r="C403" s="296"/>
      <c r="D403" s="297"/>
      <c r="F403" s="296"/>
      <c r="G403" s="297"/>
    </row>
    <row r="404" spans="3:7" ht="12.75" x14ac:dyDescent="0.2">
      <c r="C404" s="296"/>
      <c r="D404" s="297"/>
      <c r="F404" s="296"/>
      <c r="G404" s="297"/>
    </row>
    <row r="405" spans="3:7" ht="12.75" x14ac:dyDescent="0.2">
      <c r="C405" s="296"/>
      <c r="D405" s="297"/>
      <c r="F405" s="296"/>
      <c r="G405" s="297"/>
    </row>
    <row r="406" spans="3:7" ht="12.75" x14ac:dyDescent="0.2">
      <c r="C406" s="296"/>
      <c r="D406" s="297"/>
      <c r="F406" s="296"/>
      <c r="G406" s="297"/>
    </row>
    <row r="407" spans="3:7" ht="12.75" x14ac:dyDescent="0.2">
      <c r="C407" s="296"/>
      <c r="D407" s="297"/>
      <c r="F407" s="296"/>
      <c r="G407" s="297"/>
    </row>
    <row r="408" spans="3:7" ht="12.75" x14ac:dyDescent="0.2">
      <c r="C408" s="296"/>
      <c r="D408" s="297"/>
      <c r="F408" s="296"/>
      <c r="G408" s="297"/>
    </row>
    <row r="409" spans="3:7" ht="12.75" x14ac:dyDescent="0.2">
      <c r="C409" s="296"/>
      <c r="D409" s="297"/>
      <c r="F409" s="296"/>
      <c r="G409" s="297"/>
    </row>
    <row r="410" spans="3:7" ht="12.75" x14ac:dyDescent="0.2">
      <c r="C410" s="296"/>
      <c r="D410" s="297"/>
      <c r="F410" s="296"/>
      <c r="G410" s="297"/>
    </row>
    <row r="411" spans="3:7" ht="12.75" x14ac:dyDescent="0.2">
      <c r="C411" s="296"/>
      <c r="D411" s="297"/>
      <c r="F411" s="296"/>
      <c r="G411" s="297"/>
    </row>
    <row r="412" spans="3:7" ht="12.75" x14ac:dyDescent="0.2">
      <c r="C412" s="296"/>
      <c r="D412" s="297"/>
      <c r="F412" s="296"/>
      <c r="G412" s="297"/>
    </row>
    <row r="413" spans="3:7" ht="12.75" x14ac:dyDescent="0.2">
      <c r="C413" s="296"/>
      <c r="D413" s="297"/>
      <c r="F413" s="296"/>
      <c r="G413" s="297"/>
    </row>
    <row r="414" spans="3:7" ht="12.75" x14ac:dyDescent="0.2">
      <c r="C414" s="296"/>
      <c r="D414" s="297"/>
      <c r="F414" s="296"/>
      <c r="G414" s="297"/>
    </row>
    <row r="415" spans="3:7" ht="12.75" x14ac:dyDescent="0.2">
      <c r="C415" s="296"/>
      <c r="D415" s="297"/>
      <c r="F415" s="296"/>
      <c r="G415" s="297"/>
    </row>
    <row r="416" spans="3:7" ht="12.75" x14ac:dyDescent="0.2">
      <c r="C416" s="296"/>
      <c r="D416" s="297"/>
      <c r="F416" s="296"/>
      <c r="G416" s="297"/>
    </row>
    <row r="417" spans="3:7" ht="12.75" x14ac:dyDescent="0.2">
      <c r="C417" s="296"/>
      <c r="D417" s="297"/>
      <c r="F417" s="296"/>
      <c r="G417" s="297"/>
    </row>
    <row r="418" spans="3:7" ht="12.75" x14ac:dyDescent="0.2">
      <c r="C418" s="296"/>
      <c r="D418" s="297"/>
      <c r="F418" s="296"/>
      <c r="G418" s="297"/>
    </row>
    <row r="419" spans="3:7" ht="12.75" x14ac:dyDescent="0.2">
      <c r="C419" s="296"/>
      <c r="D419" s="297"/>
      <c r="F419" s="296"/>
      <c r="G419" s="297"/>
    </row>
    <row r="420" spans="3:7" ht="12.75" x14ac:dyDescent="0.2">
      <c r="C420" s="296"/>
      <c r="D420" s="297"/>
      <c r="F420" s="296"/>
      <c r="G420" s="297"/>
    </row>
    <row r="421" spans="3:7" ht="12.75" x14ac:dyDescent="0.2">
      <c r="C421" s="296"/>
      <c r="D421" s="297"/>
      <c r="F421" s="296"/>
      <c r="G421" s="297"/>
    </row>
    <row r="422" spans="3:7" ht="12.75" x14ac:dyDescent="0.2">
      <c r="C422" s="296"/>
      <c r="D422" s="297"/>
      <c r="F422" s="296"/>
      <c r="G422" s="297"/>
    </row>
    <row r="423" spans="3:7" ht="12.75" x14ac:dyDescent="0.2">
      <c r="C423" s="296"/>
      <c r="D423" s="297"/>
      <c r="F423" s="296"/>
      <c r="G423" s="297"/>
    </row>
    <row r="424" spans="3:7" ht="12.75" x14ac:dyDescent="0.2">
      <c r="C424" s="296"/>
      <c r="D424" s="297"/>
      <c r="F424" s="296"/>
      <c r="G424" s="297"/>
    </row>
    <row r="425" spans="3:7" ht="12.75" x14ac:dyDescent="0.2">
      <c r="C425" s="296"/>
      <c r="D425" s="297"/>
      <c r="F425" s="296"/>
      <c r="G425" s="297"/>
    </row>
    <row r="426" spans="3:7" ht="12.75" x14ac:dyDescent="0.2">
      <c r="C426" s="296"/>
      <c r="D426" s="297"/>
      <c r="F426" s="296"/>
      <c r="G426" s="297"/>
    </row>
    <row r="427" spans="3:7" ht="12.75" x14ac:dyDescent="0.2">
      <c r="C427" s="296"/>
      <c r="D427" s="297"/>
      <c r="F427" s="296"/>
      <c r="G427" s="297"/>
    </row>
    <row r="428" spans="3:7" ht="12.75" x14ac:dyDescent="0.2">
      <c r="C428" s="296"/>
      <c r="D428" s="297"/>
      <c r="F428" s="296"/>
      <c r="G428" s="297"/>
    </row>
    <row r="429" spans="3:7" ht="12.75" x14ac:dyDescent="0.2">
      <c r="C429" s="296"/>
      <c r="D429" s="297"/>
      <c r="F429" s="296"/>
      <c r="G429" s="297"/>
    </row>
    <row r="430" spans="3:7" ht="12.75" x14ac:dyDescent="0.2">
      <c r="C430" s="296"/>
      <c r="D430" s="297"/>
      <c r="F430" s="296"/>
      <c r="G430" s="297"/>
    </row>
    <row r="431" spans="3:7" ht="12.75" x14ac:dyDescent="0.2">
      <c r="C431" s="296"/>
      <c r="D431" s="297"/>
      <c r="F431" s="296"/>
      <c r="G431" s="297"/>
    </row>
    <row r="432" spans="3:7" ht="12.75" x14ac:dyDescent="0.2">
      <c r="C432" s="296"/>
      <c r="D432" s="297"/>
      <c r="F432" s="296"/>
      <c r="G432" s="297"/>
    </row>
    <row r="433" spans="3:7" ht="12.75" x14ac:dyDescent="0.2">
      <c r="C433" s="296"/>
      <c r="D433" s="297"/>
      <c r="F433" s="296"/>
      <c r="G433" s="297"/>
    </row>
    <row r="434" spans="3:7" ht="12.75" x14ac:dyDescent="0.2">
      <c r="C434" s="296"/>
      <c r="D434" s="297"/>
      <c r="F434" s="296"/>
      <c r="G434" s="297"/>
    </row>
    <row r="435" spans="3:7" ht="12.75" x14ac:dyDescent="0.2">
      <c r="C435" s="296"/>
      <c r="D435" s="297"/>
      <c r="F435" s="296"/>
      <c r="G435" s="297"/>
    </row>
    <row r="436" spans="3:7" ht="12.75" x14ac:dyDescent="0.2">
      <c r="C436" s="296"/>
      <c r="D436" s="297"/>
      <c r="F436" s="296"/>
      <c r="G436" s="297"/>
    </row>
    <row r="437" spans="3:7" ht="12.75" x14ac:dyDescent="0.2">
      <c r="C437" s="296"/>
      <c r="D437" s="297"/>
      <c r="F437" s="296"/>
      <c r="G437" s="297"/>
    </row>
    <row r="438" spans="3:7" ht="12.75" x14ac:dyDescent="0.2">
      <c r="C438" s="296"/>
      <c r="D438" s="297"/>
      <c r="F438" s="296"/>
      <c r="G438" s="297"/>
    </row>
    <row r="439" spans="3:7" ht="12.75" x14ac:dyDescent="0.2">
      <c r="C439" s="296"/>
      <c r="D439" s="297"/>
      <c r="F439" s="296"/>
      <c r="G439" s="297"/>
    </row>
    <row r="440" spans="3:7" ht="12.75" x14ac:dyDescent="0.2">
      <c r="C440" s="296"/>
      <c r="D440" s="297"/>
      <c r="F440" s="296"/>
      <c r="G440" s="297"/>
    </row>
    <row r="441" spans="3:7" ht="12.75" x14ac:dyDescent="0.2">
      <c r="C441" s="296"/>
      <c r="D441" s="297"/>
      <c r="F441" s="296"/>
      <c r="G441" s="297"/>
    </row>
    <row r="442" spans="3:7" ht="12.75" x14ac:dyDescent="0.2">
      <c r="C442" s="296"/>
      <c r="D442" s="297"/>
      <c r="F442" s="296"/>
      <c r="G442" s="297"/>
    </row>
    <row r="443" spans="3:7" ht="12.75" x14ac:dyDescent="0.2">
      <c r="C443" s="296"/>
      <c r="D443" s="297"/>
      <c r="F443" s="296"/>
      <c r="G443" s="297"/>
    </row>
    <row r="444" spans="3:7" ht="12.75" x14ac:dyDescent="0.2">
      <c r="C444" s="296"/>
      <c r="D444" s="297"/>
      <c r="F444" s="296"/>
      <c r="G444" s="297"/>
    </row>
    <row r="445" spans="3:7" ht="12.75" x14ac:dyDescent="0.2">
      <c r="C445" s="296"/>
      <c r="D445" s="297"/>
      <c r="F445" s="296"/>
      <c r="G445" s="297"/>
    </row>
    <row r="446" spans="3:7" ht="12.75" x14ac:dyDescent="0.2">
      <c r="C446" s="296"/>
      <c r="D446" s="297"/>
      <c r="F446" s="296"/>
      <c r="G446" s="297"/>
    </row>
    <row r="447" spans="3:7" ht="12.75" x14ac:dyDescent="0.2">
      <c r="C447" s="296"/>
      <c r="D447" s="297"/>
      <c r="F447" s="296"/>
      <c r="G447" s="297"/>
    </row>
    <row r="448" spans="3:7" ht="12.75" x14ac:dyDescent="0.2">
      <c r="C448" s="296"/>
      <c r="D448" s="297"/>
      <c r="F448" s="296"/>
      <c r="G448" s="297"/>
    </row>
    <row r="449" spans="3:7" ht="12.75" x14ac:dyDescent="0.2">
      <c r="C449" s="296"/>
      <c r="D449" s="297"/>
      <c r="F449" s="296"/>
      <c r="G449" s="297"/>
    </row>
    <row r="450" spans="3:7" ht="12.75" x14ac:dyDescent="0.2">
      <c r="C450" s="296"/>
      <c r="D450" s="297"/>
      <c r="F450" s="296"/>
      <c r="G450" s="297"/>
    </row>
    <row r="451" spans="3:7" ht="12.75" x14ac:dyDescent="0.2">
      <c r="C451" s="296"/>
      <c r="D451" s="297"/>
      <c r="F451" s="296"/>
      <c r="G451" s="297"/>
    </row>
    <row r="452" spans="3:7" ht="12.75" x14ac:dyDescent="0.2">
      <c r="C452" s="296"/>
      <c r="D452" s="297"/>
      <c r="F452" s="296"/>
      <c r="G452" s="297"/>
    </row>
    <row r="453" spans="3:7" ht="12.75" x14ac:dyDescent="0.2">
      <c r="C453" s="296"/>
      <c r="D453" s="297"/>
      <c r="F453" s="296"/>
      <c r="G453" s="297"/>
    </row>
    <row r="454" spans="3:7" ht="12.75" x14ac:dyDescent="0.2">
      <c r="C454" s="296"/>
      <c r="D454" s="297"/>
      <c r="F454" s="296"/>
      <c r="G454" s="297"/>
    </row>
    <row r="455" spans="3:7" ht="12.75" x14ac:dyDescent="0.2">
      <c r="C455" s="296"/>
      <c r="D455" s="297"/>
      <c r="F455" s="296"/>
      <c r="G455" s="297"/>
    </row>
    <row r="456" spans="3:7" ht="12.75" x14ac:dyDescent="0.2">
      <c r="C456" s="296"/>
      <c r="D456" s="297"/>
      <c r="F456" s="296"/>
      <c r="G456" s="297"/>
    </row>
    <row r="457" spans="3:7" ht="12.75" x14ac:dyDescent="0.2">
      <c r="C457" s="296"/>
      <c r="D457" s="297"/>
      <c r="F457" s="296"/>
      <c r="G457" s="297"/>
    </row>
    <row r="458" spans="3:7" ht="12.75" x14ac:dyDescent="0.2">
      <c r="C458" s="296"/>
      <c r="D458" s="297"/>
      <c r="F458" s="296"/>
      <c r="G458" s="297"/>
    </row>
    <row r="459" spans="3:7" ht="12.75" x14ac:dyDescent="0.2">
      <c r="C459" s="296"/>
      <c r="D459" s="297"/>
      <c r="F459" s="296"/>
      <c r="G459" s="297"/>
    </row>
    <row r="460" spans="3:7" ht="12.75" x14ac:dyDescent="0.2">
      <c r="C460" s="296"/>
      <c r="D460" s="297"/>
      <c r="F460" s="296"/>
      <c r="G460" s="297"/>
    </row>
    <row r="461" spans="3:7" ht="12.75" x14ac:dyDescent="0.2">
      <c r="C461" s="296"/>
      <c r="D461" s="297"/>
      <c r="F461" s="296"/>
      <c r="G461" s="297"/>
    </row>
    <row r="462" spans="3:7" ht="12.75" x14ac:dyDescent="0.2">
      <c r="C462" s="296"/>
      <c r="D462" s="297"/>
      <c r="F462" s="296"/>
      <c r="G462" s="297"/>
    </row>
    <row r="463" spans="3:7" ht="12.75" x14ac:dyDescent="0.2">
      <c r="C463" s="296"/>
      <c r="D463" s="297"/>
      <c r="F463" s="296"/>
      <c r="G463" s="297"/>
    </row>
    <row r="464" spans="3:7" ht="12.75" x14ac:dyDescent="0.2">
      <c r="C464" s="296"/>
      <c r="D464" s="297"/>
      <c r="F464" s="296"/>
      <c r="G464" s="297"/>
    </row>
    <row r="465" spans="3:7" ht="12.75" x14ac:dyDescent="0.2">
      <c r="C465" s="296"/>
      <c r="D465" s="297"/>
      <c r="F465" s="296"/>
      <c r="G465" s="297"/>
    </row>
    <row r="466" spans="3:7" ht="12.75" x14ac:dyDescent="0.2">
      <c r="C466" s="296"/>
      <c r="D466" s="297"/>
      <c r="F466" s="296"/>
      <c r="G466" s="297"/>
    </row>
    <row r="467" spans="3:7" ht="12.75" x14ac:dyDescent="0.2">
      <c r="C467" s="296"/>
      <c r="D467" s="297"/>
      <c r="F467" s="296"/>
      <c r="G467" s="297"/>
    </row>
    <row r="468" spans="3:7" ht="12.75" x14ac:dyDescent="0.2">
      <c r="C468" s="296"/>
      <c r="D468" s="297"/>
      <c r="F468" s="296"/>
      <c r="G468" s="297"/>
    </row>
    <row r="469" spans="3:7" ht="12.75" x14ac:dyDescent="0.2">
      <c r="C469" s="296"/>
      <c r="D469" s="297"/>
      <c r="F469" s="296"/>
      <c r="G469" s="297"/>
    </row>
    <row r="470" spans="3:7" ht="12.75" x14ac:dyDescent="0.2">
      <c r="C470" s="296"/>
      <c r="D470" s="297"/>
      <c r="F470" s="296"/>
      <c r="G470" s="297"/>
    </row>
    <row r="471" spans="3:7" ht="12.75" x14ac:dyDescent="0.2">
      <c r="C471" s="296"/>
      <c r="D471" s="297"/>
      <c r="F471" s="296"/>
      <c r="G471" s="297"/>
    </row>
    <row r="472" spans="3:7" ht="12.75" x14ac:dyDescent="0.2">
      <c r="C472" s="296"/>
      <c r="D472" s="297"/>
      <c r="F472" s="296"/>
      <c r="G472" s="297"/>
    </row>
    <row r="473" spans="3:7" ht="12.75" x14ac:dyDescent="0.2">
      <c r="C473" s="296"/>
      <c r="D473" s="297"/>
      <c r="F473" s="296"/>
      <c r="G473" s="297"/>
    </row>
    <row r="474" spans="3:7" ht="12.75" x14ac:dyDescent="0.2">
      <c r="C474" s="296"/>
      <c r="D474" s="297"/>
      <c r="F474" s="296"/>
      <c r="G474" s="297"/>
    </row>
    <row r="475" spans="3:7" ht="12.75" x14ac:dyDescent="0.2">
      <c r="C475" s="296"/>
      <c r="D475" s="297"/>
      <c r="F475" s="296"/>
      <c r="G475" s="297"/>
    </row>
    <row r="476" spans="3:7" ht="12.75" x14ac:dyDescent="0.2">
      <c r="C476" s="296"/>
      <c r="D476" s="297"/>
      <c r="F476" s="296"/>
      <c r="G476" s="297"/>
    </row>
    <row r="477" spans="3:7" ht="12.75" x14ac:dyDescent="0.2">
      <c r="C477" s="296"/>
      <c r="D477" s="297"/>
      <c r="F477" s="296"/>
      <c r="G477" s="297"/>
    </row>
    <row r="478" spans="3:7" ht="12.75" x14ac:dyDescent="0.2">
      <c r="C478" s="296"/>
      <c r="D478" s="297"/>
      <c r="F478" s="296"/>
      <c r="G478" s="297"/>
    </row>
    <row r="479" spans="3:7" ht="12.75" x14ac:dyDescent="0.2">
      <c r="C479" s="296"/>
      <c r="D479" s="297"/>
      <c r="F479" s="296"/>
      <c r="G479" s="297"/>
    </row>
    <row r="480" spans="3:7" ht="12.75" x14ac:dyDescent="0.2">
      <c r="C480" s="296"/>
      <c r="D480" s="297"/>
      <c r="F480" s="296"/>
      <c r="G480" s="297"/>
    </row>
    <row r="481" spans="3:7" ht="12.75" x14ac:dyDescent="0.2">
      <c r="C481" s="296"/>
      <c r="D481" s="297"/>
      <c r="F481" s="296"/>
      <c r="G481" s="297"/>
    </row>
    <row r="482" spans="3:7" ht="12.75" x14ac:dyDescent="0.2">
      <c r="C482" s="296"/>
      <c r="D482" s="297"/>
      <c r="F482" s="296"/>
      <c r="G482" s="297"/>
    </row>
    <row r="483" spans="3:7" ht="12.75" x14ac:dyDescent="0.2">
      <c r="C483" s="296"/>
      <c r="D483" s="297"/>
      <c r="F483" s="296"/>
      <c r="G483" s="297"/>
    </row>
    <row r="484" spans="3:7" ht="12.75" x14ac:dyDescent="0.2">
      <c r="C484" s="296"/>
      <c r="D484" s="297"/>
      <c r="F484" s="296"/>
      <c r="G484" s="297"/>
    </row>
    <row r="485" spans="3:7" ht="12.75" x14ac:dyDescent="0.2">
      <c r="C485" s="296"/>
      <c r="D485" s="297"/>
      <c r="F485" s="296"/>
      <c r="G485" s="297"/>
    </row>
    <row r="486" spans="3:7" ht="12.75" x14ac:dyDescent="0.2">
      <c r="C486" s="296"/>
      <c r="D486" s="297"/>
      <c r="F486" s="296"/>
      <c r="G486" s="297"/>
    </row>
    <row r="487" spans="3:7" ht="12.75" x14ac:dyDescent="0.2">
      <c r="C487" s="296"/>
      <c r="D487" s="297"/>
      <c r="F487" s="296"/>
      <c r="G487" s="297"/>
    </row>
    <row r="488" spans="3:7" ht="12.75" x14ac:dyDescent="0.2">
      <c r="C488" s="296"/>
      <c r="D488" s="297"/>
      <c r="F488" s="296"/>
      <c r="G488" s="297"/>
    </row>
    <row r="489" spans="3:7" ht="12.75" x14ac:dyDescent="0.2">
      <c r="C489" s="296"/>
      <c r="D489" s="297"/>
      <c r="F489" s="296"/>
      <c r="G489" s="297"/>
    </row>
    <row r="490" spans="3:7" ht="12.75" x14ac:dyDescent="0.2">
      <c r="C490" s="296"/>
      <c r="D490" s="297"/>
      <c r="F490" s="296"/>
      <c r="G490" s="297"/>
    </row>
    <row r="491" spans="3:7" ht="12.75" x14ac:dyDescent="0.2">
      <c r="C491" s="296"/>
      <c r="D491" s="297"/>
      <c r="F491" s="296"/>
      <c r="G491" s="297"/>
    </row>
    <row r="492" spans="3:7" ht="12.75" x14ac:dyDescent="0.2">
      <c r="C492" s="296"/>
      <c r="D492" s="297"/>
      <c r="F492" s="296"/>
      <c r="G492" s="297"/>
    </row>
    <row r="493" spans="3:7" ht="12.75" x14ac:dyDescent="0.2">
      <c r="C493" s="296"/>
      <c r="D493" s="297"/>
      <c r="F493" s="296"/>
      <c r="G493" s="297"/>
    </row>
    <row r="494" spans="3:7" ht="12.75" x14ac:dyDescent="0.2">
      <c r="C494" s="296"/>
      <c r="D494" s="297"/>
      <c r="F494" s="296"/>
      <c r="G494" s="297"/>
    </row>
    <row r="495" spans="3:7" ht="12.75" x14ac:dyDescent="0.2">
      <c r="C495" s="296"/>
      <c r="D495" s="297"/>
      <c r="F495" s="296"/>
      <c r="G495" s="297"/>
    </row>
    <row r="496" spans="3:7" ht="12.75" x14ac:dyDescent="0.2">
      <c r="C496" s="296"/>
      <c r="D496" s="297"/>
      <c r="F496" s="296"/>
      <c r="G496" s="297"/>
    </row>
    <row r="497" spans="3:7" ht="12.75" x14ac:dyDescent="0.2">
      <c r="C497" s="296"/>
      <c r="D497" s="297"/>
      <c r="F497" s="296"/>
      <c r="G497" s="297"/>
    </row>
    <row r="498" spans="3:7" ht="12.75" x14ac:dyDescent="0.2">
      <c r="C498" s="296"/>
      <c r="D498" s="297"/>
      <c r="F498" s="296"/>
      <c r="G498" s="297"/>
    </row>
    <row r="499" spans="3:7" ht="12.75" x14ac:dyDescent="0.2">
      <c r="C499" s="296"/>
      <c r="D499" s="297"/>
      <c r="F499" s="296"/>
      <c r="G499" s="297"/>
    </row>
    <row r="500" spans="3:7" ht="12.75" x14ac:dyDescent="0.2">
      <c r="C500" s="296"/>
      <c r="D500" s="297"/>
      <c r="F500" s="296"/>
      <c r="G500" s="297"/>
    </row>
    <row r="501" spans="3:7" ht="12.75" x14ac:dyDescent="0.2">
      <c r="C501" s="296"/>
      <c r="D501" s="297"/>
      <c r="F501" s="296"/>
      <c r="G501" s="297"/>
    </row>
    <row r="502" spans="3:7" ht="12.75" x14ac:dyDescent="0.2">
      <c r="C502" s="296"/>
      <c r="D502" s="297"/>
      <c r="F502" s="296"/>
      <c r="G502" s="297"/>
    </row>
    <row r="503" spans="3:7" ht="12.75" x14ac:dyDescent="0.2">
      <c r="C503" s="296"/>
      <c r="D503" s="297"/>
      <c r="F503" s="296"/>
      <c r="G503" s="297"/>
    </row>
    <row r="504" spans="3:7" ht="12.75" x14ac:dyDescent="0.2">
      <c r="C504" s="296"/>
      <c r="D504" s="297"/>
      <c r="F504" s="296"/>
      <c r="G504" s="297"/>
    </row>
    <row r="505" spans="3:7" ht="12.75" x14ac:dyDescent="0.2">
      <c r="C505" s="296"/>
      <c r="D505" s="297"/>
      <c r="F505" s="296"/>
      <c r="G505" s="297"/>
    </row>
    <row r="506" spans="3:7" ht="12.75" x14ac:dyDescent="0.2">
      <c r="C506" s="296"/>
      <c r="D506" s="297"/>
      <c r="F506" s="296"/>
      <c r="G506" s="297"/>
    </row>
    <row r="507" spans="3:7" ht="12.75" x14ac:dyDescent="0.2">
      <c r="C507" s="296"/>
      <c r="D507" s="297"/>
      <c r="F507" s="296"/>
      <c r="G507" s="297"/>
    </row>
    <row r="508" spans="3:7" ht="12.75" x14ac:dyDescent="0.2">
      <c r="C508" s="296"/>
      <c r="D508" s="297"/>
      <c r="F508" s="296"/>
      <c r="G508" s="297"/>
    </row>
    <row r="509" spans="3:7" ht="12.75" x14ac:dyDescent="0.2">
      <c r="C509" s="296"/>
      <c r="D509" s="297"/>
      <c r="F509" s="296"/>
      <c r="G509" s="297"/>
    </row>
    <row r="510" spans="3:7" ht="12.75" x14ac:dyDescent="0.2">
      <c r="C510" s="296"/>
      <c r="D510" s="297"/>
      <c r="F510" s="296"/>
      <c r="G510" s="297"/>
    </row>
    <row r="511" spans="3:7" ht="12.75" x14ac:dyDescent="0.2">
      <c r="C511" s="296"/>
      <c r="D511" s="297"/>
      <c r="F511" s="296"/>
      <c r="G511" s="297"/>
    </row>
    <row r="512" spans="3:7" ht="12.75" x14ac:dyDescent="0.2">
      <c r="C512" s="296"/>
      <c r="D512" s="297"/>
      <c r="F512" s="296"/>
      <c r="G512" s="297"/>
    </row>
    <row r="513" spans="3:7" ht="12.75" x14ac:dyDescent="0.2">
      <c r="C513" s="296"/>
      <c r="D513" s="297"/>
      <c r="F513" s="296"/>
      <c r="G513" s="297"/>
    </row>
    <row r="514" spans="3:7" ht="12.75" x14ac:dyDescent="0.2">
      <c r="C514" s="296"/>
      <c r="D514" s="297"/>
      <c r="F514" s="296"/>
      <c r="G514" s="297"/>
    </row>
    <row r="515" spans="3:7" ht="12.75" x14ac:dyDescent="0.2">
      <c r="C515" s="296"/>
      <c r="D515" s="297"/>
      <c r="F515" s="296"/>
      <c r="G515" s="297"/>
    </row>
    <row r="516" spans="3:7" ht="12.75" x14ac:dyDescent="0.2">
      <c r="C516" s="296"/>
      <c r="D516" s="297"/>
      <c r="F516" s="296"/>
      <c r="G516" s="297"/>
    </row>
    <row r="517" spans="3:7" ht="12.75" x14ac:dyDescent="0.2">
      <c r="C517" s="296"/>
      <c r="D517" s="297"/>
      <c r="F517" s="296"/>
      <c r="G517" s="297"/>
    </row>
    <row r="518" spans="3:7" ht="12.75" x14ac:dyDescent="0.2">
      <c r="C518" s="296"/>
      <c r="D518" s="297"/>
      <c r="F518" s="296"/>
      <c r="G518" s="297"/>
    </row>
    <row r="519" spans="3:7" ht="12.75" x14ac:dyDescent="0.2">
      <c r="C519" s="296"/>
      <c r="D519" s="297"/>
      <c r="F519" s="296"/>
      <c r="G519" s="297"/>
    </row>
    <row r="520" spans="3:7" ht="12.75" x14ac:dyDescent="0.2">
      <c r="C520" s="296"/>
      <c r="D520" s="297"/>
      <c r="F520" s="296"/>
      <c r="G520" s="297"/>
    </row>
    <row r="521" spans="3:7" ht="12.75" x14ac:dyDescent="0.2">
      <c r="C521" s="296"/>
      <c r="D521" s="297"/>
      <c r="F521" s="296"/>
      <c r="G521" s="297"/>
    </row>
    <row r="522" spans="3:7" ht="12.75" x14ac:dyDescent="0.2">
      <c r="C522" s="296"/>
      <c r="D522" s="297"/>
      <c r="F522" s="296"/>
      <c r="G522" s="297"/>
    </row>
    <row r="523" spans="3:7" ht="12.75" x14ac:dyDescent="0.2">
      <c r="C523" s="296"/>
      <c r="D523" s="297"/>
      <c r="F523" s="296"/>
      <c r="G523" s="297"/>
    </row>
    <row r="524" spans="3:7" ht="12.75" x14ac:dyDescent="0.2">
      <c r="C524" s="296"/>
      <c r="D524" s="297"/>
      <c r="F524" s="296"/>
      <c r="G524" s="297"/>
    </row>
    <row r="525" spans="3:7" ht="12.75" x14ac:dyDescent="0.2">
      <c r="C525" s="296"/>
      <c r="D525" s="297"/>
      <c r="F525" s="296"/>
      <c r="G525" s="297"/>
    </row>
    <row r="526" spans="3:7" ht="12.75" x14ac:dyDescent="0.2">
      <c r="C526" s="296"/>
      <c r="D526" s="297"/>
      <c r="F526" s="296"/>
      <c r="G526" s="297"/>
    </row>
    <row r="527" spans="3:7" ht="12.75" x14ac:dyDescent="0.2">
      <c r="C527" s="296"/>
      <c r="D527" s="297"/>
      <c r="F527" s="296"/>
      <c r="G527" s="297"/>
    </row>
    <row r="528" spans="3:7" ht="12.75" x14ac:dyDescent="0.2">
      <c r="C528" s="296"/>
      <c r="D528" s="297"/>
      <c r="F528" s="296"/>
      <c r="G528" s="297"/>
    </row>
    <row r="529" spans="3:7" ht="12.75" x14ac:dyDescent="0.2">
      <c r="C529" s="296"/>
      <c r="D529" s="297"/>
      <c r="F529" s="296"/>
      <c r="G529" s="297"/>
    </row>
    <row r="530" spans="3:7" ht="12.75" x14ac:dyDescent="0.2">
      <c r="C530" s="296"/>
      <c r="D530" s="297"/>
      <c r="F530" s="296"/>
      <c r="G530" s="297"/>
    </row>
    <row r="531" spans="3:7" ht="12.75" x14ac:dyDescent="0.2">
      <c r="C531" s="296"/>
      <c r="D531" s="297"/>
      <c r="F531" s="296"/>
      <c r="G531" s="297"/>
    </row>
    <row r="532" spans="3:7" ht="12.75" x14ac:dyDescent="0.2">
      <c r="C532" s="296"/>
      <c r="D532" s="297"/>
      <c r="F532" s="296"/>
      <c r="G532" s="297"/>
    </row>
    <row r="533" spans="3:7" ht="12.75" x14ac:dyDescent="0.2">
      <c r="C533" s="296"/>
      <c r="D533" s="297"/>
      <c r="F533" s="296"/>
      <c r="G533" s="297"/>
    </row>
    <row r="534" spans="3:7" ht="12.75" x14ac:dyDescent="0.2">
      <c r="C534" s="296"/>
      <c r="D534" s="297"/>
      <c r="F534" s="296"/>
      <c r="G534" s="297"/>
    </row>
    <row r="535" spans="3:7" ht="12.75" x14ac:dyDescent="0.2">
      <c r="C535" s="296"/>
      <c r="D535" s="297"/>
      <c r="F535" s="296"/>
      <c r="G535" s="297"/>
    </row>
    <row r="536" spans="3:7" ht="12.75" x14ac:dyDescent="0.2">
      <c r="C536" s="296"/>
      <c r="D536" s="297"/>
      <c r="F536" s="296"/>
      <c r="G536" s="297"/>
    </row>
    <row r="537" spans="3:7" ht="12.75" x14ac:dyDescent="0.2">
      <c r="C537" s="296"/>
      <c r="D537" s="297"/>
      <c r="F537" s="296"/>
      <c r="G537" s="297"/>
    </row>
    <row r="538" spans="3:7" ht="12.75" x14ac:dyDescent="0.2">
      <c r="C538" s="296"/>
      <c r="D538" s="297"/>
      <c r="F538" s="296"/>
      <c r="G538" s="297"/>
    </row>
    <row r="539" spans="3:7" ht="12.75" x14ac:dyDescent="0.2">
      <c r="C539" s="296"/>
      <c r="D539" s="297"/>
      <c r="F539" s="296"/>
      <c r="G539" s="297"/>
    </row>
    <row r="540" spans="3:7" ht="12.75" x14ac:dyDescent="0.2">
      <c r="C540" s="296"/>
      <c r="D540" s="297"/>
      <c r="F540" s="296"/>
      <c r="G540" s="297"/>
    </row>
    <row r="541" spans="3:7" ht="12.75" x14ac:dyDescent="0.2">
      <c r="C541" s="296"/>
      <c r="D541" s="297"/>
      <c r="F541" s="296"/>
      <c r="G541" s="297"/>
    </row>
    <row r="542" spans="3:7" ht="12.75" x14ac:dyDescent="0.2">
      <c r="C542" s="296"/>
      <c r="D542" s="297"/>
      <c r="F542" s="296"/>
      <c r="G542" s="297"/>
    </row>
    <row r="543" spans="3:7" ht="12.75" x14ac:dyDescent="0.2">
      <c r="C543" s="296"/>
      <c r="D543" s="297"/>
      <c r="F543" s="296"/>
      <c r="G543" s="297"/>
    </row>
    <row r="544" spans="3:7" ht="12.75" x14ac:dyDescent="0.2">
      <c r="C544" s="296"/>
      <c r="D544" s="297"/>
      <c r="F544" s="296"/>
      <c r="G544" s="297"/>
    </row>
    <row r="545" spans="3:7" ht="12.75" x14ac:dyDescent="0.2">
      <c r="C545" s="296"/>
      <c r="D545" s="297"/>
      <c r="F545" s="296"/>
      <c r="G545" s="297"/>
    </row>
    <row r="546" spans="3:7" ht="12.75" x14ac:dyDescent="0.2">
      <c r="C546" s="296"/>
      <c r="D546" s="297"/>
      <c r="F546" s="296"/>
      <c r="G546" s="297"/>
    </row>
    <row r="547" spans="3:7" ht="12.75" x14ac:dyDescent="0.2">
      <c r="C547" s="296"/>
      <c r="D547" s="297"/>
      <c r="F547" s="296"/>
      <c r="G547" s="297"/>
    </row>
    <row r="548" spans="3:7" ht="12.75" x14ac:dyDescent="0.2">
      <c r="C548" s="296"/>
      <c r="D548" s="297"/>
      <c r="F548" s="296"/>
      <c r="G548" s="297"/>
    </row>
    <row r="549" spans="3:7" ht="12.75" x14ac:dyDescent="0.2">
      <c r="C549" s="296"/>
      <c r="D549" s="297"/>
      <c r="F549" s="296"/>
      <c r="G549" s="297"/>
    </row>
    <row r="550" spans="3:7" ht="12.75" x14ac:dyDescent="0.2">
      <c r="C550" s="296"/>
      <c r="D550" s="297"/>
      <c r="F550" s="296"/>
      <c r="G550" s="297"/>
    </row>
    <row r="551" spans="3:7" ht="12.75" x14ac:dyDescent="0.2">
      <c r="C551" s="296"/>
      <c r="D551" s="297"/>
      <c r="F551" s="296"/>
      <c r="G551" s="297"/>
    </row>
    <row r="552" spans="3:7" ht="12.75" x14ac:dyDescent="0.2">
      <c r="C552" s="296"/>
      <c r="D552" s="297"/>
      <c r="F552" s="296"/>
      <c r="G552" s="297"/>
    </row>
    <row r="553" spans="3:7" ht="12.75" x14ac:dyDescent="0.2">
      <c r="C553" s="296"/>
      <c r="D553" s="297"/>
      <c r="F553" s="296"/>
      <c r="G553" s="297"/>
    </row>
    <row r="554" spans="3:7" ht="12.75" x14ac:dyDescent="0.2">
      <c r="C554" s="296"/>
      <c r="D554" s="297"/>
      <c r="F554" s="296"/>
      <c r="G554" s="297"/>
    </row>
    <row r="555" spans="3:7" ht="12.75" x14ac:dyDescent="0.2">
      <c r="C555" s="296"/>
      <c r="D555" s="297"/>
      <c r="F555" s="296"/>
      <c r="G555" s="297"/>
    </row>
    <row r="556" spans="3:7" ht="12.75" x14ac:dyDescent="0.2">
      <c r="C556" s="296"/>
      <c r="D556" s="297"/>
      <c r="F556" s="296"/>
      <c r="G556" s="297"/>
    </row>
    <row r="557" spans="3:7" ht="12.75" x14ac:dyDescent="0.2">
      <c r="C557" s="296"/>
      <c r="D557" s="297"/>
      <c r="F557" s="296"/>
      <c r="G557" s="297"/>
    </row>
    <row r="558" spans="3:7" ht="12.75" x14ac:dyDescent="0.2">
      <c r="C558" s="296"/>
      <c r="D558" s="297"/>
      <c r="F558" s="296"/>
      <c r="G558" s="297"/>
    </row>
    <row r="559" spans="3:7" ht="12.75" x14ac:dyDescent="0.2">
      <c r="C559" s="296"/>
      <c r="D559" s="297"/>
      <c r="F559" s="296"/>
      <c r="G559" s="297"/>
    </row>
    <row r="560" spans="3:7" ht="12.75" x14ac:dyDescent="0.2">
      <c r="C560" s="296"/>
      <c r="D560" s="297"/>
      <c r="F560" s="296"/>
      <c r="G560" s="297"/>
    </row>
    <row r="561" spans="3:7" ht="12.75" x14ac:dyDescent="0.2">
      <c r="C561" s="296"/>
      <c r="D561" s="297"/>
      <c r="F561" s="296"/>
      <c r="G561" s="297"/>
    </row>
    <row r="562" spans="3:7" ht="12.75" x14ac:dyDescent="0.2">
      <c r="C562" s="296"/>
      <c r="D562" s="297"/>
      <c r="F562" s="296"/>
      <c r="G562" s="297"/>
    </row>
    <row r="563" spans="3:7" ht="12.75" x14ac:dyDescent="0.2">
      <c r="C563" s="296"/>
      <c r="D563" s="297"/>
      <c r="F563" s="296"/>
      <c r="G563" s="297"/>
    </row>
    <row r="564" spans="3:7" ht="12.75" x14ac:dyDescent="0.2">
      <c r="C564" s="296"/>
      <c r="D564" s="297"/>
      <c r="F564" s="296"/>
      <c r="G564" s="297"/>
    </row>
    <row r="565" spans="3:7" ht="12.75" x14ac:dyDescent="0.2">
      <c r="C565" s="296"/>
      <c r="D565" s="297"/>
      <c r="F565" s="296"/>
      <c r="G565" s="297"/>
    </row>
    <row r="566" spans="3:7" ht="12.75" x14ac:dyDescent="0.2">
      <c r="C566" s="296"/>
      <c r="D566" s="297"/>
      <c r="F566" s="296"/>
      <c r="G566" s="297"/>
    </row>
    <row r="567" spans="3:7" ht="12.75" x14ac:dyDescent="0.2">
      <c r="C567" s="296"/>
      <c r="D567" s="297"/>
      <c r="F567" s="296"/>
      <c r="G567" s="297"/>
    </row>
    <row r="568" spans="3:7" ht="12.75" x14ac:dyDescent="0.2">
      <c r="C568" s="296"/>
      <c r="D568" s="297"/>
      <c r="F568" s="296"/>
      <c r="G568" s="297"/>
    </row>
    <row r="569" spans="3:7" ht="12.75" x14ac:dyDescent="0.2">
      <c r="C569" s="296"/>
      <c r="D569" s="297"/>
      <c r="F569" s="296"/>
      <c r="G569" s="297"/>
    </row>
    <row r="570" spans="3:7" ht="12.75" x14ac:dyDescent="0.2">
      <c r="C570" s="296"/>
      <c r="D570" s="297"/>
      <c r="F570" s="296"/>
      <c r="G570" s="297"/>
    </row>
    <row r="571" spans="3:7" ht="12.75" x14ac:dyDescent="0.2">
      <c r="C571" s="296"/>
      <c r="D571" s="297"/>
      <c r="F571" s="296"/>
      <c r="G571" s="297"/>
    </row>
    <row r="572" spans="3:7" ht="12.75" x14ac:dyDescent="0.2">
      <c r="C572" s="296"/>
      <c r="D572" s="297"/>
      <c r="F572" s="296"/>
      <c r="G572" s="297"/>
    </row>
    <row r="573" spans="3:7" ht="12.75" x14ac:dyDescent="0.2">
      <c r="C573" s="296"/>
      <c r="D573" s="297"/>
      <c r="F573" s="296"/>
      <c r="G573" s="297"/>
    </row>
    <row r="574" spans="3:7" ht="12.75" x14ac:dyDescent="0.2">
      <c r="C574" s="296"/>
      <c r="D574" s="297"/>
      <c r="F574" s="296"/>
      <c r="G574" s="297"/>
    </row>
    <row r="575" spans="3:7" ht="12.75" x14ac:dyDescent="0.2">
      <c r="C575" s="296"/>
      <c r="D575" s="297"/>
      <c r="F575" s="296"/>
      <c r="G575" s="297"/>
    </row>
    <row r="576" spans="3:7" ht="12.75" x14ac:dyDescent="0.2">
      <c r="C576" s="296"/>
      <c r="D576" s="297"/>
      <c r="F576" s="296"/>
      <c r="G576" s="297"/>
    </row>
    <row r="577" spans="3:7" ht="12.75" x14ac:dyDescent="0.2">
      <c r="C577" s="296"/>
      <c r="D577" s="297"/>
      <c r="F577" s="296"/>
      <c r="G577" s="297"/>
    </row>
    <row r="578" spans="3:7" ht="12.75" x14ac:dyDescent="0.2">
      <c r="C578" s="296"/>
      <c r="D578" s="297"/>
      <c r="F578" s="296"/>
      <c r="G578" s="297"/>
    </row>
    <row r="579" spans="3:7" ht="12.75" x14ac:dyDescent="0.2">
      <c r="C579" s="296"/>
      <c r="D579" s="297"/>
      <c r="F579" s="296"/>
      <c r="G579" s="297"/>
    </row>
    <row r="580" spans="3:7" ht="12.75" x14ac:dyDescent="0.2">
      <c r="C580" s="296"/>
      <c r="D580" s="297"/>
      <c r="F580" s="296"/>
      <c r="G580" s="297"/>
    </row>
    <row r="581" spans="3:7" ht="12.75" x14ac:dyDescent="0.2">
      <c r="C581" s="296"/>
      <c r="D581" s="297"/>
      <c r="F581" s="296"/>
      <c r="G581" s="297"/>
    </row>
    <row r="582" spans="3:7" ht="12.75" x14ac:dyDescent="0.2">
      <c r="C582" s="296"/>
      <c r="D582" s="297"/>
      <c r="F582" s="296"/>
      <c r="G582" s="297"/>
    </row>
    <row r="583" spans="3:7" ht="12.75" x14ac:dyDescent="0.2">
      <c r="C583" s="296"/>
      <c r="D583" s="297"/>
      <c r="F583" s="296"/>
      <c r="G583" s="297"/>
    </row>
    <row r="584" spans="3:7" ht="12.75" x14ac:dyDescent="0.2">
      <c r="C584" s="296"/>
      <c r="D584" s="297"/>
      <c r="F584" s="296"/>
      <c r="G584" s="297"/>
    </row>
    <row r="585" spans="3:7" ht="12.75" x14ac:dyDescent="0.2">
      <c r="C585" s="296"/>
      <c r="D585" s="297"/>
      <c r="F585" s="296"/>
      <c r="G585" s="297"/>
    </row>
    <row r="586" spans="3:7" ht="12.75" x14ac:dyDescent="0.2">
      <c r="C586" s="296"/>
      <c r="D586" s="297"/>
      <c r="F586" s="296"/>
      <c r="G586" s="297"/>
    </row>
    <row r="587" spans="3:7" ht="12.75" x14ac:dyDescent="0.2">
      <c r="C587" s="296"/>
      <c r="D587" s="297"/>
      <c r="F587" s="296"/>
      <c r="G587" s="297"/>
    </row>
    <row r="588" spans="3:7" ht="12.75" x14ac:dyDescent="0.2">
      <c r="C588" s="296"/>
      <c r="D588" s="297"/>
      <c r="F588" s="296"/>
      <c r="G588" s="297"/>
    </row>
    <row r="589" spans="3:7" ht="12.75" x14ac:dyDescent="0.2">
      <c r="C589" s="296"/>
      <c r="D589" s="297"/>
      <c r="F589" s="296"/>
      <c r="G589" s="297"/>
    </row>
    <row r="590" spans="3:7" ht="12.75" x14ac:dyDescent="0.2">
      <c r="C590" s="296"/>
      <c r="D590" s="297"/>
      <c r="F590" s="296"/>
      <c r="G590" s="297"/>
    </row>
    <row r="591" spans="3:7" ht="12.75" x14ac:dyDescent="0.2">
      <c r="C591" s="296"/>
      <c r="D591" s="297"/>
      <c r="F591" s="296"/>
      <c r="G591" s="297"/>
    </row>
    <row r="592" spans="3:7" ht="12.75" x14ac:dyDescent="0.2">
      <c r="C592" s="296"/>
      <c r="D592" s="297"/>
      <c r="F592" s="296"/>
      <c r="G592" s="297"/>
    </row>
    <row r="593" spans="3:7" ht="12.75" x14ac:dyDescent="0.2">
      <c r="C593" s="296"/>
      <c r="D593" s="297"/>
      <c r="F593" s="296"/>
      <c r="G593" s="297"/>
    </row>
    <row r="594" spans="3:7" ht="12.75" x14ac:dyDescent="0.2">
      <c r="C594" s="296"/>
      <c r="D594" s="297"/>
      <c r="F594" s="296"/>
      <c r="G594" s="297"/>
    </row>
    <row r="595" spans="3:7" ht="12.75" x14ac:dyDescent="0.2">
      <c r="C595" s="296"/>
      <c r="D595" s="297"/>
      <c r="F595" s="296"/>
      <c r="G595" s="297"/>
    </row>
    <row r="596" spans="3:7" ht="12.75" x14ac:dyDescent="0.2">
      <c r="C596" s="296"/>
      <c r="D596" s="297"/>
      <c r="F596" s="296"/>
      <c r="G596" s="297"/>
    </row>
    <row r="597" spans="3:7" ht="12.75" x14ac:dyDescent="0.2">
      <c r="C597" s="296"/>
      <c r="D597" s="297"/>
      <c r="F597" s="296"/>
      <c r="G597" s="297"/>
    </row>
    <row r="598" spans="3:7" ht="12.75" x14ac:dyDescent="0.2">
      <c r="C598" s="296"/>
      <c r="D598" s="297"/>
      <c r="F598" s="296"/>
      <c r="G598" s="297"/>
    </row>
    <row r="599" spans="3:7" ht="12.75" x14ac:dyDescent="0.2">
      <c r="C599" s="296"/>
      <c r="D599" s="297"/>
      <c r="F599" s="296"/>
      <c r="G599" s="297"/>
    </row>
    <row r="600" spans="3:7" ht="12.75" x14ac:dyDescent="0.2">
      <c r="C600" s="296"/>
      <c r="D600" s="297"/>
      <c r="F600" s="296"/>
      <c r="G600" s="297"/>
    </row>
    <row r="601" spans="3:7" ht="12.75" x14ac:dyDescent="0.2">
      <c r="C601" s="296"/>
      <c r="D601" s="297"/>
      <c r="F601" s="296"/>
      <c r="G601" s="297"/>
    </row>
    <row r="602" spans="3:7" ht="12.75" x14ac:dyDescent="0.2">
      <c r="C602" s="296"/>
      <c r="D602" s="297"/>
      <c r="F602" s="296"/>
      <c r="G602" s="297"/>
    </row>
    <row r="603" spans="3:7" ht="12.75" x14ac:dyDescent="0.2">
      <c r="C603" s="296"/>
      <c r="D603" s="297"/>
      <c r="F603" s="296"/>
      <c r="G603" s="297"/>
    </row>
    <row r="604" spans="3:7" ht="12.75" x14ac:dyDescent="0.2">
      <c r="C604" s="296"/>
      <c r="D604" s="297"/>
      <c r="F604" s="296"/>
      <c r="G604" s="297"/>
    </row>
    <row r="605" spans="3:7" ht="12.75" x14ac:dyDescent="0.2">
      <c r="C605" s="296"/>
      <c r="D605" s="297"/>
      <c r="F605" s="296"/>
      <c r="G605" s="297"/>
    </row>
    <row r="606" spans="3:7" ht="12.75" x14ac:dyDescent="0.2">
      <c r="C606" s="296"/>
      <c r="D606" s="297"/>
      <c r="F606" s="296"/>
      <c r="G606" s="297"/>
    </row>
    <row r="607" spans="3:7" ht="12.75" x14ac:dyDescent="0.2">
      <c r="C607" s="296"/>
      <c r="D607" s="297"/>
      <c r="F607" s="296"/>
      <c r="G607" s="297"/>
    </row>
    <row r="608" spans="3:7" ht="12.75" x14ac:dyDescent="0.2">
      <c r="C608" s="296"/>
      <c r="D608" s="297"/>
      <c r="F608" s="296"/>
      <c r="G608" s="297"/>
    </row>
    <row r="609" spans="3:7" ht="12.75" x14ac:dyDescent="0.2">
      <c r="C609" s="296"/>
      <c r="D609" s="297"/>
      <c r="F609" s="296"/>
      <c r="G609" s="297"/>
    </row>
    <row r="610" spans="3:7" ht="12.75" x14ac:dyDescent="0.2">
      <c r="C610" s="296"/>
      <c r="D610" s="297"/>
      <c r="F610" s="296"/>
      <c r="G610" s="297"/>
    </row>
    <row r="611" spans="3:7" ht="12.75" x14ac:dyDescent="0.2">
      <c r="C611" s="296"/>
      <c r="D611" s="297"/>
      <c r="F611" s="296"/>
      <c r="G611" s="297"/>
    </row>
    <row r="612" spans="3:7" ht="12.75" x14ac:dyDescent="0.2">
      <c r="C612" s="296"/>
      <c r="D612" s="297"/>
      <c r="F612" s="296"/>
      <c r="G612" s="297"/>
    </row>
    <row r="613" spans="3:7" ht="12.75" x14ac:dyDescent="0.2">
      <c r="C613" s="296"/>
      <c r="D613" s="297"/>
      <c r="F613" s="296"/>
      <c r="G613" s="297"/>
    </row>
    <row r="614" spans="3:7" ht="12.75" x14ac:dyDescent="0.2">
      <c r="C614" s="296"/>
      <c r="D614" s="297"/>
      <c r="F614" s="296"/>
      <c r="G614" s="297"/>
    </row>
    <row r="615" spans="3:7" ht="12.75" x14ac:dyDescent="0.2">
      <c r="C615" s="296"/>
      <c r="D615" s="297"/>
      <c r="F615" s="296"/>
      <c r="G615" s="297"/>
    </row>
    <row r="616" spans="3:7" ht="12.75" x14ac:dyDescent="0.2">
      <c r="C616" s="296"/>
      <c r="D616" s="297"/>
      <c r="F616" s="296"/>
      <c r="G616" s="297"/>
    </row>
    <row r="617" spans="3:7" ht="12.75" x14ac:dyDescent="0.2">
      <c r="C617" s="296"/>
      <c r="D617" s="297"/>
      <c r="F617" s="296"/>
      <c r="G617" s="297"/>
    </row>
    <row r="618" spans="3:7" ht="12.75" x14ac:dyDescent="0.2">
      <c r="C618" s="296"/>
      <c r="D618" s="297"/>
      <c r="F618" s="296"/>
      <c r="G618" s="297"/>
    </row>
    <row r="619" spans="3:7" ht="12.75" x14ac:dyDescent="0.2">
      <c r="C619" s="296"/>
      <c r="D619" s="297"/>
      <c r="F619" s="296"/>
      <c r="G619" s="297"/>
    </row>
    <row r="620" spans="3:7" ht="12.75" x14ac:dyDescent="0.2">
      <c r="C620" s="296"/>
      <c r="D620" s="297"/>
      <c r="F620" s="296"/>
      <c r="G620" s="297"/>
    </row>
    <row r="621" spans="3:7" ht="12.75" x14ac:dyDescent="0.2">
      <c r="C621" s="296"/>
      <c r="D621" s="297"/>
      <c r="F621" s="296"/>
      <c r="G621" s="297"/>
    </row>
    <row r="622" spans="3:7" ht="12.75" x14ac:dyDescent="0.2">
      <c r="C622" s="296"/>
      <c r="D622" s="297"/>
      <c r="F622" s="296"/>
      <c r="G622" s="297"/>
    </row>
    <row r="623" spans="3:7" ht="12.75" x14ac:dyDescent="0.2">
      <c r="C623" s="296"/>
      <c r="D623" s="297"/>
      <c r="F623" s="296"/>
      <c r="G623" s="297"/>
    </row>
    <row r="624" spans="3:7" ht="12.75" x14ac:dyDescent="0.2">
      <c r="C624" s="296"/>
      <c r="D624" s="297"/>
      <c r="F624" s="296"/>
      <c r="G624" s="297"/>
    </row>
    <row r="625" spans="3:7" ht="12.75" x14ac:dyDescent="0.2">
      <c r="C625" s="296"/>
      <c r="D625" s="297"/>
      <c r="F625" s="296"/>
      <c r="G625" s="297"/>
    </row>
    <row r="626" spans="3:7" ht="12.75" x14ac:dyDescent="0.2">
      <c r="C626" s="296"/>
      <c r="D626" s="297"/>
      <c r="F626" s="296"/>
      <c r="G626" s="297"/>
    </row>
    <row r="627" spans="3:7" ht="12.75" x14ac:dyDescent="0.2">
      <c r="C627" s="296"/>
      <c r="D627" s="297"/>
      <c r="F627" s="296"/>
      <c r="G627" s="297"/>
    </row>
    <row r="628" spans="3:7" ht="12.75" x14ac:dyDescent="0.2">
      <c r="C628" s="296"/>
      <c r="D628" s="297"/>
      <c r="F628" s="296"/>
      <c r="G628" s="297"/>
    </row>
    <row r="629" spans="3:7" ht="12.75" x14ac:dyDescent="0.2">
      <c r="C629" s="296"/>
      <c r="D629" s="297"/>
      <c r="F629" s="296"/>
      <c r="G629" s="297"/>
    </row>
    <row r="630" spans="3:7" ht="12.75" x14ac:dyDescent="0.2">
      <c r="C630" s="296"/>
      <c r="D630" s="297"/>
      <c r="F630" s="296"/>
      <c r="G630" s="297"/>
    </row>
    <row r="631" spans="3:7" ht="12.75" x14ac:dyDescent="0.2">
      <c r="C631" s="296"/>
      <c r="D631" s="297"/>
      <c r="F631" s="296"/>
      <c r="G631" s="297"/>
    </row>
    <row r="632" spans="3:7" ht="12.75" x14ac:dyDescent="0.2">
      <c r="C632" s="296"/>
      <c r="D632" s="297"/>
      <c r="F632" s="296"/>
      <c r="G632" s="297"/>
    </row>
    <row r="633" spans="3:7" ht="12.75" x14ac:dyDescent="0.2">
      <c r="C633" s="296"/>
      <c r="D633" s="297"/>
      <c r="F633" s="296"/>
      <c r="G633" s="297"/>
    </row>
    <row r="634" spans="3:7" ht="12.75" x14ac:dyDescent="0.2">
      <c r="C634" s="296"/>
      <c r="D634" s="297"/>
      <c r="F634" s="296"/>
      <c r="G634" s="297"/>
    </row>
    <row r="635" spans="3:7" ht="12.75" x14ac:dyDescent="0.2">
      <c r="C635" s="296"/>
      <c r="D635" s="297"/>
      <c r="F635" s="296"/>
      <c r="G635" s="297"/>
    </row>
    <row r="636" spans="3:7" ht="12.75" x14ac:dyDescent="0.2">
      <c r="C636" s="296"/>
      <c r="D636" s="297"/>
      <c r="F636" s="296"/>
      <c r="G636" s="297"/>
    </row>
    <row r="637" spans="3:7" ht="12.75" x14ac:dyDescent="0.2">
      <c r="C637" s="296"/>
      <c r="D637" s="297"/>
      <c r="F637" s="296"/>
      <c r="G637" s="297"/>
    </row>
    <row r="638" spans="3:7" ht="12.75" x14ac:dyDescent="0.2">
      <c r="C638" s="296"/>
      <c r="D638" s="297"/>
      <c r="F638" s="296"/>
      <c r="G638" s="297"/>
    </row>
    <row r="639" spans="3:7" ht="12.75" x14ac:dyDescent="0.2">
      <c r="C639" s="296"/>
      <c r="D639" s="297"/>
      <c r="F639" s="296"/>
      <c r="G639" s="297"/>
    </row>
    <row r="640" spans="3:7" ht="12.75" x14ac:dyDescent="0.2">
      <c r="C640" s="296"/>
      <c r="D640" s="297"/>
      <c r="F640" s="296"/>
      <c r="G640" s="297"/>
    </row>
    <row r="641" spans="3:7" ht="12.75" x14ac:dyDescent="0.2">
      <c r="C641" s="296"/>
      <c r="D641" s="297"/>
      <c r="F641" s="296"/>
      <c r="G641" s="297"/>
    </row>
    <row r="642" spans="3:7" ht="12.75" x14ac:dyDescent="0.2">
      <c r="C642" s="296"/>
      <c r="D642" s="297"/>
      <c r="F642" s="296"/>
      <c r="G642" s="297"/>
    </row>
    <row r="643" spans="3:7" ht="12.75" x14ac:dyDescent="0.2">
      <c r="C643" s="296"/>
      <c r="D643" s="297"/>
      <c r="F643" s="296"/>
      <c r="G643" s="297"/>
    </row>
    <row r="644" spans="3:7" ht="12.75" x14ac:dyDescent="0.2">
      <c r="C644" s="296"/>
      <c r="D644" s="297"/>
      <c r="F644" s="296"/>
      <c r="G644" s="297"/>
    </row>
    <row r="645" spans="3:7" ht="12.75" x14ac:dyDescent="0.2">
      <c r="C645" s="296"/>
      <c r="D645" s="297"/>
      <c r="F645" s="296"/>
      <c r="G645" s="297"/>
    </row>
    <row r="646" spans="3:7" ht="12.75" x14ac:dyDescent="0.2">
      <c r="C646" s="296"/>
      <c r="D646" s="297"/>
      <c r="F646" s="296"/>
      <c r="G646" s="297"/>
    </row>
    <row r="647" spans="3:7" ht="12.75" x14ac:dyDescent="0.2">
      <c r="C647" s="296"/>
      <c r="D647" s="297"/>
      <c r="F647" s="296"/>
      <c r="G647" s="297"/>
    </row>
    <row r="648" spans="3:7" ht="12.75" x14ac:dyDescent="0.2">
      <c r="C648" s="296"/>
      <c r="D648" s="297"/>
      <c r="F648" s="296"/>
      <c r="G648" s="297"/>
    </row>
    <row r="649" spans="3:7" ht="12.75" x14ac:dyDescent="0.2">
      <c r="C649" s="296"/>
      <c r="D649" s="297"/>
      <c r="F649" s="296"/>
      <c r="G649" s="297"/>
    </row>
    <row r="650" spans="3:7" ht="12.75" x14ac:dyDescent="0.2">
      <c r="C650" s="296"/>
      <c r="D650" s="297"/>
      <c r="F650" s="296"/>
      <c r="G650" s="297"/>
    </row>
    <row r="651" spans="3:7" ht="12.75" x14ac:dyDescent="0.2">
      <c r="C651" s="296"/>
      <c r="D651" s="297"/>
      <c r="F651" s="296"/>
      <c r="G651" s="297"/>
    </row>
    <row r="652" spans="3:7" ht="12.75" x14ac:dyDescent="0.2">
      <c r="C652" s="296"/>
      <c r="D652" s="297"/>
      <c r="F652" s="296"/>
      <c r="G652" s="297"/>
    </row>
    <row r="653" spans="3:7" ht="12.75" x14ac:dyDescent="0.2">
      <c r="C653" s="296"/>
      <c r="D653" s="297"/>
      <c r="F653" s="296"/>
      <c r="G653" s="297"/>
    </row>
    <row r="654" spans="3:7" ht="12.75" x14ac:dyDescent="0.2">
      <c r="C654" s="296"/>
      <c r="D654" s="297"/>
      <c r="F654" s="296"/>
      <c r="G654" s="297"/>
    </row>
    <row r="655" spans="3:7" ht="12.75" x14ac:dyDescent="0.2">
      <c r="C655" s="296"/>
      <c r="D655" s="297"/>
      <c r="F655" s="296"/>
      <c r="G655" s="297"/>
    </row>
    <row r="656" spans="3:7" ht="12.75" x14ac:dyDescent="0.2">
      <c r="C656" s="296"/>
      <c r="D656" s="297"/>
      <c r="F656" s="296"/>
      <c r="G656" s="297"/>
    </row>
    <row r="657" spans="3:7" ht="12.75" x14ac:dyDescent="0.2">
      <c r="C657" s="296"/>
      <c r="D657" s="297"/>
      <c r="F657" s="296"/>
      <c r="G657" s="297"/>
    </row>
    <row r="658" spans="3:7" ht="12.75" x14ac:dyDescent="0.2">
      <c r="C658" s="296"/>
      <c r="D658" s="297"/>
      <c r="F658" s="296"/>
      <c r="G658" s="297"/>
    </row>
    <row r="659" spans="3:7" ht="12.75" x14ac:dyDescent="0.2">
      <c r="C659" s="296"/>
      <c r="D659" s="297"/>
      <c r="F659" s="296"/>
      <c r="G659" s="297"/>
    </row>
    <row r="660" spans="3:7" ht="12.75" x14ac:dyDescent="0.2">
      <c r="C660" s="296"/>
      <c r="D660" s="297"/>
      <c r="F660" s="296"/>
      <c r="G660" s="297"/>
    </row>
    <row r="661" spans="3:7" ht="12.75" x14ac:dyDescent="0.2">
      <c r="C661" s="296"/>
      <c r="D661" s="297"/>
      <c r="F661" s="296"/>
      <c r="G661" s="297"/>
    </row>
    <row r="662" spans="3:7" ht="12.75" x14ac:dyDescent="0.2">
      <c r="C662" s="296"/>
      <c r="D662" s="297"/>
      <c r="F662" s="296"/>
      <c r="G662" s="297"/>
    </row>
    <row r="663" spans="3:7" ht="12.75" x14ac:dyDescent="0.2">
      <c r="C663" s="296"/>
      <c r="D663" s="297"/>
      <c r="F663" s="296"/>
      <c r="G663" s="297"/>
    </row>
    <row r="664" spans="3:7" ht="12.75" x14ac:dyDescent="0.2">
      <c r="C664" s="296"/>
      <c r="D664" s="297"/>
      <c r="F664" s="296"/>
      <c r="G664" s="297"/>
    </row>
    <row r="665" spans="3:7" ht="12.75" x14ac:dyDescent="0.2">
      <c r="C665" s="296"/>
      <c r="D665" s="297"/>
      <c r="F665" s="296"/>
      <c r="G665" s="297"/>
    </row>
    <row r="666" spans="3:7" ht="12.75" x14ac:dyDescent="0.2">
      <c r="C666" s="296"/>
      <c r="D666" s="297"/>
      <c r="F666" s="296"/>
      <c r="G666" s="297"/>
    </row>
    <row r="667" spans="3:7" ht="12.75" x14ac:dyDescent="0.2">
      <c r="C667" s="296"/>
      <c r="D667" s="297"/>
      <c r="F667" s="296"/>
      <c r="G667" s="297"/>
    </row>
    <row r="668" spans="3:7" ht="12.75" x14ac:dyDescent="0.2">
      <c r="C668" s="296"/>
      <c r="D668" s="297"/>
      <c r="F668" s="296"/>
      <c r="G668" s="297"/>
    </row>
    <row r="669" spans="3:7" ht="12.75" x14ac:dyDescent="0.2">
      <c r="C669" s="296"/>
      <c r="D669" s="297"/>
      <c r="F669" s="296"/>
      <c r="G669" s="297"/>
    </row>
    <row r="670" spans="3:7" ht="12.75" x14ac:dyDescent="0.2">
      <c r="C670" s="296"/>
      <c r="D670" s="297"/>
      <c r="F670" s="296"/>
      <c r="G670" s="297"/>
    </row>
    <row r="671" spans="3:7" ht="12.75" x14ac:dyDescent="0.2">
      <c r="C671" s="296"/>
      <c r="D671" s="297"/>
      <c r="F671" s="296"/>
      <c r="G671" s="297"/>
    </row>
    <row r="672" spans="3:7" ht="12.75" x14ac:dyDescent="0.2">
      <c r="C672" s="296"/>
      <c r="D672" s="297"/>
      <c r="F672" s="296"/>
      <c r="G672" s="297"/>
    </row>
    <row r="673" spans="3:7" ht="12.75" x14ac:dyDescent="0.2">
      <c r="C673" s="296"/>
      <c r="D673" s="297"/>
      <c r="F673" s="296"/>
      <c r="G673" s="297"/>
    </row>
    <row r="674" spans="3:7" ht="12.75" x14ac:dyDescent="0.2">
      <c r="C674" s="296"/>
      <c r="D674" s="297"/>
      <c r="F674" s="296"/>
      <c r="G674" s="297"/>
    </row>
    <row r="675" spans="3:7" ht="12.75" x14ac:dyDescent="0.2">
      <c r="C675" s="296"/>
      <c r="D675" s="297"/>
      <c r="F675" s="296"/>
      <c r="G675" s="297"/>
    </row>
    <row r="676" spans="3:7" ht="12.75" x14ac:dyDescent="0.2">
      <c r="C676" s="296"/>
      <c r="D676" s="297"/>
      <c r="F676" s="296"/>
      <c r="G676" s="297"/>
    </row>
    <row r="677" spans="3:7" ht="12.75" x14ac:dyDescent="0.2">
      <c r="C677" s="296"/>
      <c r="D677" s="297"/>
      <c r="F677" s="296"/>
      <c r="G677" s="297"/>
    </row>
    <row r="678" spans="3:7" ht="12.75" x14ac:dyDescent="0.2">
      <c r="C678" s="296"/>
      <c r="D678" s="297"/>
      <c r="F678" s="296"/>
      <c r="G678" s="297"/>
    </row>
    <row r="679" spans="3:7" ht="12.75" x14ac:dyDescent="0.2">
      <c r="C679" s="296"/>
      <c r="D679" s="297"/>
      <c r="F679" s="296"/>
      <c r="G679" s="297"/>
    </row>
    <row r="680" spans="3:7" ht="12.75" x14ac:dyDescent="0.2">
      <c r="C680" s="296"/>
      <c r="D680" s="297"/>
      <c r="F680" s="296"/>
      <c r="G680" s="297"/>
    </row>
    <row r="681" spans="3:7" ht="12.75" x14ac:dyDescent="0.2">
      <c r="C681" s="296"/>
      <c r="D681" s="297"/>
      <c r="F681" s="296"/>
      <c r="G681" s="297"/>
    </row>
    <row r="682" spans="3:7" ht="12.75" x14ac:dyDescent="0.2">
      <c r="C682" s="296"/>
      <c r="D682" s="297"/>
      <c r="F682" s="296"/>
      <c r="G682" s="297"/>
    </row>
    <row r="683" spans="3:7" ht="12.75" x14ac:dyDescent="0.2">
      <c r="C683" s="296"/>
      <c r="D683" s="297"/>
      <c r="F683" s="296"/>
      <c r="G683" s="297"/>
    </row>
    <row r="684" spans="3:7" ht="12.75" x14ac:dyDescent="0.2">
      <c r="C684" s="296"/>
      <c r="D684" s="297"/>
      <c r="F684" s="296"/>
      <c r="G684" s="297"/>
    </row>
    <row r="685" spans="3:7" ht="12.75" x14ac:dyDescent="0.2">
      <c r="C685" s="296"/>
      <c r="D685" s="297"/>
      <c r="F685" s="296"/>
      <c r="G685" s="297"/>
    </row>
    <row r="686" spans="3:7" ht="12.75" x14ac:dyDescent="0.2">
      <c r="C686" s="296"/>
      <c r="D686" s="297"/>
      <c r="F686" s="296"/>
      <c r="G686" s="297"/>
    </row>
    <row r="687" spans="3:7" ht="12.75" x14ac:dyDescent="0.2">
      <c r="C687" s="296"/>
      <c r="D687" s="297"/>
      <c r="F687" s="296"/>
      <c r="G687" s="297"/>
    </row>
    <row r="688" spans="3:7" ht="12.75" x14ac:dyDescent="0.2">
      <c r="C688" s="296"/>
      <c r="D688" s="297"/>
      <c r="F688" s="296"/>
      <c r="G688" s="297"/>
    </row>
    <row r="689" spans="3:7" ht="12.75" x14ac:dyDescent="0.2">
      <c r="C689" s="296"/>
      <c r="D689" s="297"/>
      <c r="F689" s="296"/>
      <c r="G689" s="297"/>
    </row>
    <row r="690" spans="3:7" ht="12.75" x14ac:dyDescent="0.2">
      <c r="C690" s="296"/>
      <c r="D690" s="297"/>
      <c r="F690" s="296"/>
      <c r="G690" s="297"/>
    </row>
    <row r="691" spans="3:7" ht="12.75" x14ac:dyDescent="0.2">
      <c r="C691" s="296"/>
      <c r="D691" s="297"/>
      <c r="F691" s="296"/>
      <c r="G691" s="297"/>
    </row>
    <row r="692" spans="3:7" ht="12.75" x14ac:dyDescent="0.2">
      <c r="C692" s="296"/>
      <c r="D692" s="297"/>
      <c r="F692" s="296"/>
      <c r="G692" s="297"/>
    </row>
    <row r="693" spans="3:7" ht="12.75" x14ac:dyDescent="0.2">
      <c r="C693" s="296"/>
      <c r="D693" s="297"/>
      <c r="F693" s="296"/>
      <c r="G693" s="297"/>
    </row>
    <row r="694" spans="3:7" ht="12.75" x14ac:dyDescent="0.2">
      <c r="C694" s="296"/>
      <c r="D694" s="297"/>
      <c r="F694" s="296"/>
      <c r="G694" s="297"/>
    </row>
    <row r="695" spans="3:7" ht="12.75" x14ac:dyDescent="0.2">
      <c r="C695" s="296"/>
      <c r="D695" s="297"/>
      <c r="F695" s="296"/>
      <c r="G695" s="297"/>
    </row>
    <row r="696" spans="3:7" ht="12.75" x14ac:dyDescent="0.2">
      <c r="C696" s="296"/>
      <c r="D696" s="297"/>
      <c r="F696" s="296"/>
      <c r="G696" s="297"/>
    </row>
    <row r="697" spans="3:7" ht="12.75" x14ac:dyDescent="0.2">
      <c r="C697" s="296"/>
      <c r="D697" s="297"/>
      <c r="F697" s="296"/>
      <c r="G697" s="297"/>
    </row>
    <row r="698" spans="3:7" ht="12.75" x14ac:dyDescent="0.2">
      <c r="C698" s="296"/>
      <c r="D698" s="297"/>
      <c r="F698" s="296"/>
      <c r="G698" s="297"/>
    </row>
    <row r="699" spans="3:7" ht="12.75" x14ac:dyDescent="0.2">
      <c r="C699" s="296"/>
      <c r="D699" s="297"/>
      <c r="F699" s="296"/>
      <c r="G699" s="297"/>
    </row>
    <row r="700" spans="3:7" ht="12.75" x14ac:dyDescent="0.2">
      <c r="C700" s="296"/>
      <c r="D700" s="297"/>
      <c r="F700" s="296"/>
      <c r="G700" s="297"/>
    </row>
    <row r="701" spans="3:7" ht="12.75" x14ac:dyDescent="0.2">
      <c r="C701" s="296"/>
      <c r="D701" s="297"/>
      <c r="F701" s="296"/>
      <c r="G701" s="297"/>
    </row>
    <row r="702" spans="3:7" ht="12.75" x14ac:dyDescent="0.2">
      <c r="C702" s="296"/>
      <c r="D702" s="297"/>
      <c r="F702" s="296"/>
      <c r="G702" s="297"/>
    </row>
    <row r="703" spans="3:7" ht="12.75" x14ac:dyDescent="0.2">
      <c r="C703" s="296"/>
      <c r="D703" s="297"/>
      <c r="F703" s="296"/>
      <c r="G703" s="297"/>
    </row>
    <row r="704" spans="3:7" ht="12.75" x14ac:dyDescent="0.2">
      <c r="C704" s="296"/>
      <c r="D704" s="297"/>
      <c r="F704" s="296"/>
      <c r="G704" s="297"/>
    </row>
    <row r="705" spans="3:7" ht="12.75" x14ac:dyDescent="0.2">
      <c r="C705" s="296"/>
      <c r="D705" s="297"/>
      <c r="F705" s="296"/>
      <c r="G705" s="297"/>
    </row>
    <row r="706" spans="3:7" ht="12.75" x14ac:dyDescent="0.2">
      <c r="C706" s="296"/>
      <c r="D706" s="297"/>
      <c r="F706" s="296"/>
      <c r="G706" s="297"/>
    </row>
    <row r="707" spans="3:7" ht="12.75" x14ac:dyDescent="0.2">
      <c r="C707" s="296"/>
      <c r="D707" s="297"/>
      <c r="F707" s="296"/>
      <c r="G707" s="297"/>
    </row>
    <row r="708" spans="3:7" ht="12.75" x14ac:dyDescent="0.2">
      <c r="C708" s="296"/>
      <c r="D708" s="297"/>
      <c r="F708" s="296"/>
      <c r="G708" s="297"/>
    </row>
    <row r="709" spans="3:7" ht="12.75" x14ac:dyDescent="0.2">
      <c r="C709" s="296"/>
      <c r="D709" s="297"/>
      <c r="F709" s="296"/>
      <c r="G709" s="297"/>
    </row>
    <row r="710" spans="3:7" ht="12.75" x14ac:dyDescent="0.2">
      <c r="C710" s="296"/>
      <c r="D710" s="297"/>
      <c r="F710" s="296"/>
      <c r="G710" s="297"/>
    </row>
    <row r="711" spans="3:7" ht="12.75" x14ac:dyDescent="0.2">
      <c r="C711" s="296"/>
      <c r="D711" s="297"/>
      <c r="F711" s="296"/>
      <c r="G711" s="297"/>
    </row>
    <row r="712" spans="3:7" ht="12.75" x14ac:dyDescent="0.2">
      <c r="C712" s="296"/>
      <c r="D712" s="297"/>
      <c r="F712" s="296"/>
      <c r="G712" s="297"/>
    </row>
    <row r="713" spans="3:7" ht="12.75" x14ac:dyDescent="0.2">
      <c r="C713" s="296"/>
      <c r="D713" s="297"/>
      <c r="F713" s="296"/>
      <c r="G713" s="297"/>
    </row>
    <row r="714" spans="3:7" ht="12.75" x14ac:dyDescent="0.2">
      <c r="C714" s="296"/>
      <c r="D714" s="297"/>
      <c r="F714" s="296"/>
      <c r="G714" s="297"/>
    </row>
    <row r="715" spans="3:7" ht="12.75" x14ac:dyDescent="0.2">
      <c r="C715" s="296"/>
      <c r="D715" s="297"/>
      <c r="F715" s="296"/>
      <c r="G715" s="297"/>
    </row>
    <row r="716" spans="3:7" ht="12.75" x14ac:dyDescent="0.2">
      <c r="C716" s="296"/>
      <c r="D716" s="297"/>
      <c r="F716" s="296"/>
      <c r="G716" s="297"/>
    </row>
    <row r="717" spans="3:7" ht="12.75" x14ac:dyDescent="0.2">
      <c r="C717" s="296"/>
      <c r="D717" s="297"/>
      <c r="F717" s="296"/>
      <c r="G717" s="297"/>
    </row>
    <row r="718" spans="3:7" ht="12.75" x14ac:dyDescent="0.2">
      <c r="C718" s="296"/>
      <c r="D718" s="297"/>
      <c r="F718" s="296"/>
      <c r="G718" s="297"/>
    </row>
    <row r="719" spans="3:7" ht="12.75" x14ac:dyDescent="0.2">
      <c r="C719" s="296"/>
      <c r="D719" s="297"/>
      <c r="F719" s="296"/>
      <c r="G719" s="297"/>
    </row>
    <row r="720" spans="3:7" ht="12.75" x14ac:dyDescent="0.2">
      <c r="C720" s="296"/>
      <c r="D720" s="297"/>
      <c r="F720" s="296"/>
      <c r="G720" s="297"/>
    </row>
    <row r="721" spans="3:7" ht="12.75" x14ac:dyDescent="0.2">
      <c r="C721" s="296"/>
      <c r="D721" s="297"/>
      <c r="F721" s="296"/>
      <c r="G721" s="297"/>
    </row>
    <row r="722" spans="3:7" ht="12.75" x14ac:dyDescent="0.2">
      <c r="C722" s="296"/>
      <c r="D722" s="297"/>
      <c r="F722" s="296"/>
      <c r="G722" s="297"/>
    </row>
    <row r="723" spans="3:7" ht="12.75" x14ac:dyDescent="0.2">
      <c r="C723" s="296"/>
      <c r="D723" s="297"/>
      <c r="F723" s="296"/>
      <c r="G723" s="297"/>
    </row>
    <row r="724" spans="3:7" ht="12.75" x14ac:dyDescent="0.2">
      <c r="C724" s="296"/>
      <c r="D724" s="297"/>
      <c r="F724" s="296"/>
      <c r="G724" s="297"/>
    </row>
    <row r="725" spans="3:7" ht="12.75" x14ac:dyDescent="0.2">
      <c r="C725" s="296"/>
      <c r="D725" s="297"/>
      <c r="F725" s="296"/>
      <c r="G725" s="297"/>
    </row>
    <row r="726" spans="3:7" ht="12.75" x14ac:dyDescent="0.2">
      <c r="C726" s="296"/>
      <c r="D726" s="297"/>
      <c r="F726" s="296"/>
      <c r="G726" s="297"/>
    </row>
    <row r="727" spans="3:7" ht="12.75" x14ac:dyDescent="0.2">
      <c r="C727" s="296"/>
      <c r="D727" s="297"/>
      <c r="F727" s="296"/>
      <c r="G727" s="297"/>
    </row>
    <row r="728" spans="3:7" ht="12.75" x14ac:dyDescent="0.2">
      <c r="C728" s="296"/>
      <c r="D728" s="297"/>
      <c r="F728" s="296"/>
      <c r="G728" s="297"/>
    </row>
    <row r="729" spans="3:7" ht="12.75" x14ac:dyDescent="0.2">
      <c r="C729" s="296"/>
      <c r="D729" s="297"/>
      <c r="F729" s="296"/>
      <c r="G729" s="297"/>
    </row>
    <row r="730" spans="3:7" ht="12.75" x14ac:dyDescent="0.2">
      <c r="C730" s="296"/>
      <c r="D730" s="297"/>
      <c r="F730" s="296"/>
      <c r="G730" s="297"/>
    </row>
    <row r="731" spans="3:7" ht="12.75" x14ac:dyDescent="0.2">
      <c r="C731" s="296"/>
      <c r="D731" s="297"/>
      <c r="F731" s="296"/>
      <c r="G731" s="297"/>
    </row>
    <row r="732" spans="3:7" ht="12.75" x14ac:dyDescent="0.2">
      <c r="C732" s="296"/>
      <c r="D732" s="297"/>
      <c r="F732" s="296"/>
      <c r="G732" s="297"/>
    </row>
    <row r="733" spans="3:7" ht="12.75" x14ac:dyDescent="0.2">
      <c r="C733" s="296"/>
      <c r="D733" s="297"/>
      <c r="F733" s="296"/>
      <c r="G733" s="297"/>
    </row>
    <row r="734" spans="3:7" ht="12.75" x14ac:dyDescent="0.2">
      <c r="C734" s="296"/>
      <c r="D734" s="297"/>
      <c r="F734" s="296"/>
      <c r="G734" s="297"/>
    </row>
    <row r="735" spans="3:7" ht="12.75" x14ac:dyDescent="0.2">
      <c r="C735" s="296"/>
      <c r="D735" s="297"/>
      <c r="F735" s="296"/>
      <c r="G735" s="297"/>
    </row>
    <row r="736" spans="3:7" ht="12.75" x14ac:dyDescent="0.2">
      <c r="C736" s="296"/>
      <c r="D736" s="297"/>
      <c r="F736" s="296"/>
      <c r="G736" s="297"/>
    </row>
    <row r="737" spans="3:7" ht="12.75" x14ac:dyDescent="0.2">
      <c r="C737" s="296"/>
      <c r="D737" s="297"/>
      <c r="F737" s="296"/>
      <c r="G737" s="297"/>
    </row>
    <row r="738" spans="3:7" ht="12.75" x14ac:dyDescent="0.2">
      <c r="C738" s="296"/>
      <c r="D738" s="297"/>
      <c r="F738" s="296"/>
      <c r="G738" s="297"/>
    </row>
    <row r="739" spans="3:7" ht="12.75" x14ac:dyDescent="0.2">
      <c r="C739" s="296"/>
      <c r="D739" s="297"/>
      <c r="F739" s="296"/>
      <c r="G739" s="297"/>
    </row>
    <row r="740" spans="3:7" ht="12.75" x14ac:dyDescent="0.2">
      <c r="C740" s="296"/>
      <c r="D740" s="297"/>
      <c r="F740" s="296"/>
      <c r="G740" s="297"/>
    </row>
    <row r="741" spans="3:7" ht="12.75" x14ac:dyDescent="0.2">
      <c r="C741" s="296"/>
      <c r="D741" s="297"/>
      <c r="F741" s="296"/>
      <c r="G741" s="297"/>
    </row>
    <row r="742" spans="3:7" ht="12.75" x14ac:dyDescent="0.2">
      <c r="C742" s="296"/>
      <c r="D742" s="297"/>
      <c r="F742" s="296"/>
      <c r="G742" s="297"/>
    </row>
    <row r="743" spans="3:7" ht="12.75" x14ac:dyDescent="0.2">
      <c r="C743" s="296"/>
      <c r="D743" s="297"/>
      <c r="F743" s="296"/>
      <c r="G743" s="297"/>
    </row>
    <row r="744" spans="3:7" ht="12.75" x14ac:dyDescent="0.2">
      <c r="C744" s="296"/>
      <c r="D744" s="297"/>
      <c r="F744" s="296"/>
      <c r="G744" s="297"/>
    </row>
    <row r="745" spans="3:7" ht="12.75" x14ac:dyDescent="0.2">
      <c r="C745" s="296"/>
      <c r="D745" s="297"/>
      <c r="F745" s="296"/>
      <c r="G745" s="297"/>
    </row>
    <row r="746" spans="3:7" ht="12.75" x14ac:dyDescent="0.2">
      <c r="C746" s="296"/>
      <c r="D746" s="297"/>
      <c r="F746" s="296"/>
      <c r="G746" s="297"/>
    </row>
    <row r="747" spans="3:7" ht="12.75" x14ac:dyDescent="0.2">
      <c r="C747" s="296"/>
      <c r="D747" s="297"/>
      <c r="F747" s="296"/>
      <c r="G747" s="297"/>
    </row>
    <row r="748" spans="3:7" ht="12.75" x14ac:dyDescent="0.2">
      <c r="C748" s="296"/>
      <c r="D748" s="297"/>
      <c r="F748" s="296"/>
      <c r="G748" s="297"/>
    </row>
    <row r="749" spans="3:7" ht="12.75" x14ac:dyDescent="0.2">
      <c r="C749" s="296"/>
      <c r="D749" s="297"/>
      <c r="F749" s="296"/>
      <c r="G749" s="297"/>
    </row>
    <row r="750" spans="3:7" ht="12.75" x14ac:dyDescent="0.2">
      <c r="C750" s="296"/>
      <c r="D750" s="297"/>
      <c r="F750" s="296"/>
      <c r="G750" s="297"/>
    </row>
    <row r="751" spans="3:7" ht="12.75" x14ac:dyDescent="0.2">
      <c r="C751" s="296"/>
      <c r="D751" s="297"/>
      <c r="F751" s="296"/>
      <c r="G751" s="297"/>
    </row>
    <row r="752" spans="3:7" ht="12.75" x14ac:dyDescent="0.2">
      <c r="C752" s="296"/>
      <c r="D752" s="297"/>
      <c r="F752" s="296"/>
      <c r="G752" s="297"/>
    </row>
    <row r="753" spans="3:7" ht="12.75" x14ac:dyDescent="0.2">
      <c r="C753" s="296"/>
      <c r="D753" s="297"/>
      <c r="F753" s="296"/>
      <c r="G753" s="297"/>
    </row>
    <row r="754" spans="3:7" ht="12.75" x14ac:dyDescent="0.2">
      <c r="C754" s="296"/>
      <c r="D754" s="297"/>
      <c r="F754" s="296"/>
      <c r="G754" s="297"/>
    </row>
    <row r="755" spans="3:7" ht="12.75" x14ac:dyDescent="0.2">
      <c r="C755" s="296"/>
      <c r="D755" s="297"/>
      <c r="F755" s="296"/>
      <c r="G755" s="297"/>
    </row>
    <row r="756" spans="3:7" ht="12.75" x14ac:dyDescent="0.2">
      <c r="C756" s="296"/>
      <c r="D756" s="297"/>
      <c r="F756" s="296"/>
      <c r="G756" s="297"/>
    </row>
    <row r="757" spans="3:7" ht="12.75" x14ac:dyDescent="0.2">
      <c r="C757" s="296"/>
      <c r="D757" s="297"/>
      <c r="F757" s="296"/>
      <c r="G757" s="297"/>
    </row>
    <row r="758" spans="3:7" ht="12.75" x14ac:dyDescent="0.2">
      <c r="C758" s="296"/>
      <c r="D758" s="297"/>
      <c r="F758" s="296"/>
      <c r="G758" s="297"/>
    </row>
    <row r="759" spans="3:7" ht="12.75" x14ac:dyDescent="0.2">
      <c r="C759" s="296"/>
      <c r="D759" s="297"/>
      <c r="F759" s="296"/>
      <c r="G759" s="297"/>
    </row>
    <row r="760" spans="3:7" ht="12.75" x14ac:dyDescent="0.2">
      <c r="C760" s="296"/>
      <c r="D760" s="297"/>
      <c r="F760" s="296"/>
      <c r="G760" s="297"/>
    </row>
    <row r="761" spans="3:7" ht="12.75" x14ac:dyDescent="0.2">
      <c r="C761" s="296"/>
      <c r="D761" s="297"/>
      <c r="F761" s="296"/>
      <c r="G761" s="297"/>
    </row>
    <row r="762" spans="3:7" ht="12.75" x14ac:dyDescent="0.2">
      <c r="C762" s="296"/>
      <c r="D762" s="297"/>
      <c r="F762" s="296"/>
      <c r="G762" s="297"/>
    </row>
    <row r="763" spans="3:7" ht="12.75" x14ac:dyDescent="0.2">
      <c r="C763" s="296"/>
      <c r="D763" s="297"/>
      <c r="F763" s="296"/>
      <c r="G763" s="297"/>
    </row>
    <row r="764" spans="3:7" ht="12.75" x14ac:dyDescent="0.2">
      <c r="C764" s="296"/>
      <c r="D764" s="297"/>
      <c r="F764" s="296"/>
      <c r="G764" s="297"/>
    </row>
    <row r="765" spans="3:7" ht="12.75" x14ac:dyDescent="0.2">
      <c r="C765" s="296"/>
      <c r="D765" s="297"/>
      <c r="F765" s="296"/>
      <c r="G765" s="297"/>
    </row>
    <row r="766" spans="3:7" ht="12.75" x14ac:dyDescent="0.2">
      <c r="C766" s="296"/>
      <c r="D766" s="297"/>
      <c r="F766" s="296"/>
      <c r="G766" s="297"/>
    </row>
    <row r="767" spans="3:7" ht="12.75" x14ac:dyDescent="0.2">
      <c r="C767" s="296"/>
      <c r="D767" s="297"/>
      <c r="F767" s="296"/>
      <c r="G767" s="297"/>
    </row>
    <row r="768" spans="3:7" ht="12.75" x14ac:dyDescent="0.2">
      <c r="C768" s="296"/>
      <c r="D768" s="297"/>
      <c r="F768" s="296"/>
      <c r="G768" s="297"/>
    </row>
    <row r="769" spans="3:7" ht="12.75" x14ac:dyDescent="0.2">
      <c r="C769" s="296"/>
      <c r="D769" s="297"/>
      <c r="F769" s="296"/>
      <c r="G769" s="297"/>
    </row>
    <row r="770" spans="3:7" ht="12.75" x14ac:dyDescent="0.2">
      <c r="C770" s="296"/>
      <c r="D770" s="297"/>
      <c r="F770" s="296"/>
      <c r="G770" s="297"/>
    </row>
    <row r="771" spans="3:7" ht="12.75" x14ac:dyDescent="0.2">
      <c r="C771" s="296"/>
      <c r="D771" s="297"/>
      <c r="F771" s="296"/>
      <c r="G771" s="297"/>
    </row>
    <row r="772" spans="3:7" ht="12.75" x14ac:dyDescent="0.2">
      <c r="C772" s="296"/>
      <c r="D772" s="297"/>
      <c r="F772" s="296"/>
      <c r="G772" s="297"/>
    </row>
    <row r="773" spans="3:7" ht="12.75" x14ac:dyDescent="0.2">
      <c r="C773" s="296"/>
      <c r="D773" s="297"/>
      <c r="F773" s="296"/>
      <c r="G773" s="297"/>
    </row>
    <row r="774" spans="3:7" ht="12.75" x14ac:dyDescent="0.2">
      <c r="C774" s="296"/>
      <c r="D774" s="297"/>
      <c r="F774" s="296"/>
      <c r="G774" s="297"/>
    </row>
    <row r="775" spans="3:7" ht="12.75" x14ac:dyDescent="0.2">
      <c r="C775" s="296"/>
      <c r="D775" s="297"/>
      <c r="F775" s="296"/>
      <c r="G775" s="297"/>
    </row>
    <row r="776" spans="3:7" ht="12.75" x14ac:dyDescent="0.2">
      <c r="C776" s="296"/>
      <c r="D776" s="297"/>
      <c r="F776" s="296"/>
      <c r="G776" s="297"/>
    </row>
    <row r="777" spans="3:7" ht="12.75" x14ac:dyDescent="0.2">
      <c r="C777" s="296"/>
      <c r="D777" s="297"/>
      <c r="F777" s="296"/>
      <c r="G777" s="297"/>
    </row>
    <row r="778" spans="3:7" ht="12.75" x14ac:dyDescent="0.2">
      <c r="C778" s="296"/>
      <c r="D778" s="297"/>
      <c r="F778" s="296"/>
      <c r="G778" s="297"/>
    </row>
    <row r="779" spans="3:7" ht="12.75" x14ac:dyDescent="0.2">
      <c r="C779" s="296"/>
      <c r="D779" s="297"/>
      <c r="F779" s="296"/>
      <c r="G779" s="297"/>
    </row>
    <row r="780" spans="3:7" ht="12.75" x14ac:dyDescent="0.2">
      <c r="C780" s="296"/>
      <c r="D780" s="297"/>
      <c r="F780" s="296"/>
      <c r="G780" s="297"/>
    </row>
    <row r="781" spans="3:7" ht="12.75" x14ac:dyDescent="0.2">
      <c r="C781" s="296"/>
      <c r="D781" s="297"/>
      <c r="F781" s="296"/>
      <c r="G781" s="297"/>
    </row>
    <row r="782" spans="3:7" ht="12.75" x14ac:dyDescent="0.2">
      <c r="C782" s="296"/>
      <c r="D782" s="297"/>
      <c r="F782" s="296"/>
      <c r="G782" s="297"/>
    </row>
    <row r="783" spans="3:7" ht="12.75" x14ac:dyDescent="0.2">
      <c r="C783" s="296"/>
      <c r="D783" s="297"/>
      <c r="F783" s="296"/>
      <c r="G783" s="297"/>
    </row>
    <row r="784" spans="3:7" ht="12.75" x14ac:dyDescent="0.2">
      <c r="C784" s="296"/>
      <c r="D784" s="297"/>
      <c r="F784" s="296"/>
      <c r="G784" s="297"/>
    </row>
    <row r="785" spans="3:7" ht="12.75" x14ac:dyDescent="0.2">
      <c r="C785" s="296"/>
      <c r="D785" s="297"/>
      <c r="F785" s="296"/>
      <c r="G785" s="297"/>
    </row>
    <row r="786" spans="3:7" ht="12.75" x14ac:dyDescent="0.2">
      <c r="C786" s="296"/>
      <c r="D786" s="297"/>
      <c r="F786" s="296"/>
      <c r="G786" s="297"/>
    </row>
    <row r="787" spans="3:7" ht="12.75" x14ac:dyDescent="0.2">
      <c r="C787" s="296"/>
      <c r="D787" s="297"/>
      <c r="F787" s="296"/>
      <c r="G787" s="297"/>
    </row>
    <row r="788" spans="3:7" ht="12.75" x14ac:dyDescent="0.2">
      <c r="C788" s="296"/>
      <c r="D788" s="297"/>
      <c r="F788" s="296"/>
      <c r="G788" s="297"/>
    </row>
    <row r="789" spans="3:7" ht="12.75" x14ac:dyDescent="0.2">
      <c r="C789" s="296"/>
      <c r="D789" s="297"/>
      <c r="F789" s="296"/>
      <c r="G789" s="297"/>
    </row>
    <row r="790" spans="3:7" ht="12.75" x14ac:dyDescent="0.2">
      <c r="C790" s="296"/>
      <c r="D790" s="297"/>
      <c r="F790" s="296"/>
      <c r="G790" s="297"/>
    </row>
    <row r="791" spans="3:7" ht="12.75" x14ac:dyDescent="0.2">
      <c r="C791" s="296"/>
      <c r="D791" s="297"/>
      <c r="F791" s="296"/>
      <c r="G791" s="297"/>
    </row>
    <row r="792" spans="3:7" ht="12.75" x14ac:dyDescent="0.2">
      <c r="C792" s="296"/>
      <c r="D792" s="297"/>
      <c r="F792" s="296"/>
      <c r="G792" s="297"/>
    </row>
    <row r="793" spans="3:7" ht="12.75" x14ac:dyDescent="0.2">
      <c r="C793" s="296"/>
      <c r="D793" s="297"/>
      <c r="F793" s="296"/>
      <c r="G793" s="297"/>
    </row>
    <row r="794" spans="3:7" ht="12.75" x14ac:dyDescent="0.2">
      <c r="C794" s="296"/>
      <c r="D794" s="297"/>
      <c r="F794" s="296"/>
      <c r="G794" s="297"/>
    </row>
    <row r="795" spans="3:7" ht="12.75" x14ac:dyDescent="0.2">
      <c r="C795" s="296"/>
      <c r="D795" s="297"/>
      <c r="F795" s="296"/>
      <c r="G795" s="297"/>
    </row>
    <row r="796" spans="3:7" ht="12.75" x14ac:dyDescent="0.2">
      <c r="C796" s="296"/>
      <c r="D796" s="297"/>
      <c r="F796" s="296"/>
      <c r="G796" s="297"/>
    </row>
    <row r="797" spans="3:7" ht="12.75" x14ac:dyDescent="0.2">
      <c r="C797" s="296"/>
      <c r="D797" s="297"/>
      <c r="F797" s="296"/>
      <c r="G797" s="297"/>
    </row>
    <row r="798" spans="3:7" ht="12.75" x14ac:dyDescent="0.2">
      <c r="C798" s="296"/>
      <c r="D798" s="297"/>
      <c r="F798" s="296"/>
      <c r="G798" s="297"/>
    </row>
    <row r="799" spans="3:7" ht="12.75" x14ac:dyDescent="0.2">
      <c r="C799" s="296"/>
      <c r="D799" s="297"/>
      <c r="F799" s="296"/>
      <c r="G799" s="297"/>
    </row>
    <row r="800" spans="3:7" ht="12.75" x14ac:dyDescent="0.2">
      <c r="C800" s="296"/>
      <c r="D800" s="297"/>
      <c r="F800" s="296"/>
      <c r="G800" s="297"/>
    </row>
    <row r="801" spans="3:7" ht="12.75" x14ac:dyDescent="0.2">
      <c r="C801" s="296"/>
      <c r="D801" s="297"/>
      <c r="F801" s="296"/>
      <c r="G801" s="297"/>
    </row>
    <row r="802" spans="3:7" ht="12.75" x14ac:dyDescent="0.2">
      <c r="C802" s="296"/>
      <c r="D802" s="297"/>
      <c r="F802" s="296"/>
      <c r="G802" s="297"/>
    </row>
    <row r="803" spans="3:7" ht="12.75" x14ac:dyDescent="0.2">
      <c r="C803" s="296"/>
      <c r="D803" s="297"/>
      <c r="F803" s="296"/>
      <c r="G803" s="297"/>
    </row>
    <row r="804" spans="3:7" ht="12.75" x14ac:dyDescent="0.2">
      <c r="C804" s="296"/>
      <c r="D804" s="297"/>
      <c r="F804" s="296"/>
      <c r="G804" s="297"/>
    </row>
    <row r="805" spans="3:7" ht="12.75" x14ac:dyDescent="0.2">
      <c r="C805" s="296"/>
      <c r="D805" s="297"/>
      <c r="F805" s="296"/>
      <c r="G805" s="297"/>
    </row>
    <row r="806" spans="3:7" ht="12.75" x14ac:dyDescent="0.2">
      <c r="C806" s="296"/>
      <c r="D806" s="297"/>
      <c r="F806" s="296"/>
      <c r="G806" s="297"/>
    </row>
    <row r="807" spans="3:7" ht="12.75" x14ac:dyDescent="0.2">
      <c r="C807" s="296"/>
      <c r="D807" s="297"/>
      <c r="F807" s="296"/>
      <c r="G807" s="297"/>
    </row>
    <row r="808" spans="3:7" ht="12.75" x14ac:dyDescent="0.2">
      <c r="C808" s="296"/>
      <c r="D808" s="297"/>
      <c r="F808" s="296"/>
      <c r="G808" s="297"/>
    </row>
    <row r="809" spans="3:7" ht="12.75" x14ac:dyDescent="0.2">
      <c r="C809" s="296"/>
      <c r="D809" s="297"/>
      <c r="F809" s="296"/>
      <c r="G809" s="297"/>
    </row>
    <row r="810" spans="3:7" ht="12.75" x14ac:dyDescent="0.2">
      <c r="C810" s="296"/>
      <c r="D810" s="297"/>
      <c r="F810" s="296"/>
      <c r="G810" s="297"/>
    </row>
    <row r="811" spans="3:7" ht="12.75" x14ac:dyDescent="0.2">
      <c r="C811" s="296"/>
      <c r="D811" s="297"/>
      <c r="F811" s="296"/>
      <c r="G811" s="297"/>
    </row>
    <row r="812" spans="3:7" ht="12.75" x14ac:dyDescent="0.2">
      <c r="C812" s="296"/>
      <c r="D812" s="297"/>
      <c r="F812" s="296"/>
      <c r="G812" s="297"/>
    </row>
    <row r="813" spans="3:7" ht="12.75" x14ac:dyDescent="0.2">
      <c r="C813" s="296"/>
      <c r="D813" s="297"/>
      <c r="F813" s="296"/>
      <c r="G813" s="297"/>
    </row>
    <row r="814" spans="3:7" ht="12.75" x14ac:dyDescent="0.2">
      <c r="C814" s="296"/>
      <c r="D814" s="297"/>
      <c r="F814" s="296"/>
      <c r="G814" s="297"/>
    </row>
    <row r="815" spans="3:7" ht="12.75" x14ac:dyDescent="0.2">
      <c r="C815" s="296"/>
      <c r="D815" s="297"/>
      <c r="F815" s="296"/>
      <c r="G815" s="297"/>
    </row>
    <row r="816" spans="3:7" ht="12.75" x14ac:dyDescent="0.2">
      <c r="C816" s="296"/>
      <c r="D816" s="297"/>
      <c r="F816" s="296"/>
      <c r="G816" s="297"/>
    </row>
    <row r="817" spans="3:7" ht="12.75" x14ac:dyDescent="0.2">
      <c r="C817" s="296"/>
      <c r="D817" s="297"/>
      <c r="F817" s="296"/>
      <c r="G817" s="297"/>
    </row>
    <row r="818" spans="3:7" ht="12.75" x14ac:dyDescent="0.2">
      <c r="C818" s="296"/>
      <c r="D818" s="297"/>
      <c r="F818" s="296"/>
      <c r="G818" s="297"/>
    </row>
    <row r="819" spans="3:7" ht="12.75" x14ac:dyDescent="0.2">
      <c r="C819" s="296"/>
      <c r="D819" s="297"/>
      <c r="F819" s="296"/>
      <c r="G819" s="297"/>
    </row>
    <row r="820" spans="3:7" ht="12.75" x14ac:dyDescent="0.2">
      <c r="C820" s="296"/>
      <c r="D820" s="297"/>
      <c r="F820" s="296"/>
      <c r="G820" s="297"/>
    </row>
    <row r="821" spans="3:7" ht="12.75" x14ac:dyDescent="0.2">
      <c r="C821" s="296"/>
      <c r="D821" s="297"/>
      <c r="F821" s="296"/>
      <c r="G821" s="297"/>
    </row>
    <row r="822" spans="3:7" ht="12.75" x14ac:dyDescent="0.2">
      <c r="C822" s="296"/>
      <c r="D822" s="297"/>
      <c r="F822" s="296"/>
      <c r="G822" s="297"/>
    </row>
    <row r="823" spans="3:7" ht="12.75" x14ac:dyDescent="0.2">
      <c r="C823" s="296"/>
      <c r="D823" s="297"/>
      <c r="F823" s="296"/>
      <c r="G823" s="297"/>
    </row>
    <row r="824" spans="3:7" ht="12.75" x14ac:dyDescent="0.2">
      <c r="C824" s="296"/>
      <c r="D824" s="297"/>
      <c r="F824" s="296"/>
      <c r="G824" s="297"/>
    </row>
    <row r="825" spans="3:7" ht="12.75" x14ac:dyDescent="0.2">
      <c r="C825" s="296"/>
      <c r="D825" s="297"/>
      <c r="F825" s="296"/>
      <c r="G825" s="297"/>
    </row>
    <row r="826" spans="3:7" ht="12.75" x14ac:dyDescent="0.2">
      <c r="C826" s="296"/>
      <c r="D826" s="297"/>
      <c r="F826" s="296"/>
      <c r="G826" s="297"/>
    </row>
    <row r="827" spans="3:7" ht="12.75" x14ac:dyDescent="0.2">
      <c r="C827" s="296"/>
      <c r="D827" s="297"/>
      <c r="F827" s="296"/>
      <c r="G827" s="297"/>
    </row>
    <row r="828" spans="3:7" ht="12.75" x14ac:dyDescent="0.2">
      <c r="C828" s="296"/>
      <c r="D828" s="297"/>
      <c r="F828" s="296"/>
      <c r="G828" s="297"/>
    </row>
    <row r="829" spans="3:7" ht="12.75" x14ac:dyDescent="0.2">
      <c r="C829" s="296"/>
      <c r="D829" s="297"/>
      <c r="F829" s="296"/>
      <c r="G829" s="297"/>
    </row>
    <row r="830" spans="3:7" ht="12.75" x14ac:dyDescent="0.2">
      <c r="C830" s="296"/>
      <c r="D830" s="297"/>
      <c r="F830" s="296"/>
      <c r="G830" s="297"/>
    </row>
    <row r="831" spans="3:7" ht="12.75" x14ac:dyDescent="0.2">
      <c r="C831" s="296"/>
      <c r="D831" s="297"/>
      <c r="F831" s="296"/>
      <c r="G831" s="297"/>
    </row>
    <row r="832" spans="3:7" ht="12.75" x14ac:dyDescent="0.2">
      <c r="C832" s="296"/>
      <c r="D832" s="297"/>
      <c r="F832" s="296"/>
      <c r="G832" s="297"/>
    </row>
    <row r="833" spans="3:7" ht="12.75" x14ac:dyDescent="0.2">
      <c r="C833" s="296"/>
      <c r="D833" s="297"/>
      <c r="F833" s="296"/>
      <c r="G833" s="297"/>
    </row>
    <row r="834" spans="3:7" ht="12.75" x14ac:dyDescent="0.2">
      <c r="C834" s="296"/>
      <c r="D834" s="297"/>
      <c r="F834" s="296"/>
      <c r="G834" s="297"/>
    </row>
    <row r="835" spans="3:7" ht="12.75" x14ac:dyDescent="0.2">
      <c r="C835" s="296"/>
      <c r="D835" s="297"/>
      <c r="F835" s="296"/>
      <c r="G835" s="297"/>
    </row>
    <row r="836" spans="3:7" ht="12.75" x14ac:dyDescent="0.2">
      <c r="C836" s="296"/>
      <c r="D836" s="297"/>
      <c r="F836" s="296"/>
      <c r="G836" s="297"/>
    </row>
    <row r="837" spans="3:7" ht="12.75" x14ac:dyDescent="0.2">
      <c r="C837" s="296"/>
      <c r="D837" s="297"/>
      <c r="F837" s="296"/>
      <c r="G837" s="297"/>
    </row>
    <row r="838" spans="3:7" ht="12.75" x14ac:dyDescent="0.2">
      <c r="C838" s="296"/>
      <c r="D838" s="297"/>
      <c r="F838" s="296"/>
      <c r="G838" s="297"/>
    </row>
    <row r="839" spans="3:7" ht="12.75" x14ac:dyDescent="0.2">
      <c r="C839" s="296"/>
      <c r="D839" s="297"/>
      <c r="F839" s="296"/>
      <c r="G839" s="297"/>
    </row>
    <row r="840" spans="3:7" ht="12.75" x14ac:dyDescent="0.2">
      <c r="C840" s="296"/>
      <c r="D840" s="297"/>
      <c r="F840" s="296"/>
      <c r="G840" s="297"/>
    </row>
    <row r="841" spans="3:7" ht="12.75" x14ac:dyDescent="0.2">
      <c r="C841" s="296"/>
      <c r="D841" s="297"/>
      <c r="F841" s="296"/>
      <c r="G841" s="297"/>
    </row>
    <row r="842" spans="3:7" ht="12.75" x14ac:dyDescent="0.2">
      <c r="C842" s="296"/>
      <c r="D842" s="297"/>
      <c r="F842" s="296"/>
      <c r="G842" s="297"/>
    </row>
    <row r="843" spans="3:7" ht="12.75" x14ac:dyDescent="0.2">
      <c r="C843" s="296"/>
      <c r="D843" s="297"/>
      <c r="F843" s="296"/>
      <c r="G843" s="297"/>
    </row>
    <row r="844" spans="3:7" ht="12.75" x14ac:dyDescent="0.2">
      <c r="C844" s="296"/>
      <c r="D844" s="297"/>
      <c r="F844" s="296"/>
      <c r="G844" s="297"/>
    </row>
    <row r="845" spans="3:7" ht="12.75" x14ac:dyDescent="0.2">
      <c r="C845" s="296"/>
      <c r="D845" s="297"/>
      <c r="F845" s="296"/>
      <c r="G845" s="297"/>
    </row>
    <row r="846" spans="3:7" ht="12.75" x14ac:dyDescent="0.2">
      <c r="C846" s="296"/>
      <c r="D846" s="297"/>
      <c r="F846" s="296"/>
      <c r="G846" s="297"/>
    </row>
    <row r="847" spans="3:7" ht="12.75" x14ac:dyDescent="0.2">
      <c r="C847" s="296"/>
      <c r="D847" s="297"/>
      <c r="F847" s="296"/>
      <c r="G847" s="297"/>
    </row>
    <row r="848" spans="3:7" ht="12.75" x14ac:dyDescent="0.2">
      <c r="C848" s="296"/>
      <c r="D848" s="297"/>
      <c r="F848" s="296"/>
      <c r="G848" s="297"/>
    </row>
    <row r="849" spans="3:7" ht="12.75" x14ac:dyDescent="0.2">
      <c r="C849" s="296"/>
      <c r="D849" s="297"/>
      <c r="F849" s="296"/>
      <c r="G849" s="297"/>
    </row>
    <row r="850" spans="3:7" ht="12.75" x14ac:dyDescent="0.2">
      <c r="C850" s="296"/>
      <c r="D850" s="297"/>
      <c r="F850" s="296"/>
      <c r="G850" s="297"/>
    </row>
    <row r="851" spans="3:7" ht="12.75" x14ac:dyDescent="0.2">
      <c r="C851" s="296"/>
      <c r="D851" s="297"/>
      <c r="F851" s="296"/>
      <c r="G851" s="297"/>
    </row>
    <row r="852" spans="3:7" ht="12.75" x14ac:dyDescent="0.2">
      <c r="C852" s="296"/>
      <c r="D852" s="297"/>
      <c r="F852" s="296"/>
      <c r="G852" s="297"/>
    </row>
    <row r="853" spans="3:7" ht="12.75" x14ac:dyDescent="0.2">
      <c r="C853" s="296"/>
      <c r="D853" s="297"/>
      <c r="F853" s="296"/>
      <c r="G853" s="297"/>
    </row>
    <row r="854" spans="3:7" ht="12.75" x14ac:dyDescent="0.2">
      <c r="C854" s="296"/>
      <c r="D854" s="297"/>
      <c r="F854" s="296"/>
      <c r="G854" s="297"/>
    </row>
    <row r="855" spans="3:7" ht="12.75" x14ac:dyDescent="0.2">
      <c r="C855" s="296"/>
      <c r="D855" s="297"/>
      <c r="F855" s="296"/>
      <c r="G855" s="297"/>
    </row>
    <row r="856" spans="3:7" ht="12.75" x14ac:dyDescent="0.2">
      <c r="C856" s="296"/>
      <c r="D856" s="297"/>
      <c r="F856" s="296"/>
      <c r="G856" s="297"/>
    </row>
    <row r="857" spans="3:7" ht="12.75" x14ac:dyDescent="0.2">
      <c r="C857" s="296"/>
      <c r="D857" s="297"/>
      <c r="F857" s="296"/>
      <c r="G857" s="297"/>
    </row>
    <row r="858" spans="3:7" ht="12.75" x14ac:dyDescent="0.2">
      <c r="C858" s="296"/>
      <c r="D858" s="297"/>
      <c r="F858" s="296"/>
      <c r="G858" s="297"/>
    </row>
    <row r="859" spans="3:7" ht="12.75" x14ac:dyDescent="0.2">
      <c r="C859" s="296"/>
      <c r="D859" s="297"/>
      <c r="F859" s="296"/>
      <c r="G859" s="297"/>
    </row>
    <row r="860" spans="3:7" ht="12.75" x14ac:dyDescent="0.2">
      <c r="C860" s="296"/>
      <c r="D860" s="297"/>
      <c r="F860" s="296"/>
      <c r="G860" s="297"/>
    </row>
    <row r="861" spans="3:7" ht="12.75" x14ac:dyDescent="0.2">
      <c r="C861" s="296"/>
      <c r="D861" s="297"/>
      <c r="F861" s="296"/>
      <c r="G861" s="297"/>
    </row>
    <row r="862" spans="3:7" ht="12.75" x14ac:dyDescent="0.2">
      <c r="C862" s="296"/>
      <c r="D862" s="297"/>
      <c r="F862" s="296"/>
      <c r="G862" s="297"/>
    </row>
    <row r="863" spans="3:7" ht="12.75" x14ac:dyDescent="0.2">
      <c r="C863" s="296"/>
      <c r="D863" s="297"/>
      <c r="F863" s="296"/>
      <c r="G863" s="297"/>
    </row>
    <row r="864" spans="3:7" ht="12.75" x14ac:dyDescent="0.2">
      <c r="C864" s="296"/>
      <c r="D864" s="297"/>
      <c r="F864" s="296"/>
      <c r="G864" s="297"/>
    </row>
    <row r="865" spans="3:7" ht="12.75" x14ac:dyDescent="0.2">
      <c r="C865" s="296"/>
      <c r="D865" s="297"/>
      <c r="F865" s="296"/>
      <c r="G865" s="297"/>
    </row>
    <row r="866" spans="3:7" ht="12.75" x14ac:dyDescent="0.2">
      <c r="C866" s="296"/>
      <c r="D866" s="297"/>
      <c r="F866" s="296"/>
      <c r="G866" s="297"/>
    </row>
    <row r="867" spans="3:7" ht="12.75" x14ac:dyDescent="0.2">
      <c r="C867" s="296"/>
      <c r="D867" s="297"/>
      <c r="F867" s="296"/>
      <c r="G867" s="297"/>
    </row>
    <row r="868" spans="3:7" ht="12.75" x14ac:dyDescent="0.2">
      <c r="C868" s="296"/>
      <c r="D868" s="297"/>
      <c r="F868" s="296"/>
      <c r="G868" s="297"/>
    </row>
    <row r="869" spans="3:7" ht="12.75" x14ac:dyDescent="0.2">
      <c r="C869" s="296"/>
      <c r="D869" s="297"/>
      <c r="F869" s="296"/>
      <c r="G869" s="297"/>
    </row>
    <row r="870" spans="3:7" ht="12.75" x14ac:dyDescent="0.2">
      <c r="C870" s="296"/>
      <c r="D870" s="297"/>
      <c r="F870" s="296"/>
      <c r="G870" s="297"/>
    </row>
    <row r="871" spans="3:7" ht="12.75" x14ac:dyDescent="0.2">
      <c r="C871" s="296"/>
      <c r="D871" s="297"/>
      <c r="F871" s="296"/>
      <c r="G871" s="297"/>
    </row>
    <row r="872" spans="3:7" ht="12.75" x14ac:dyDescent="0.2">
      <c r="C872" s="296"/>
      <c r="D872" s="297"/>
      <c r="F872" s="296"/>
      <c r="G872" s="297"/>
    </row>
    <row r="873" spans="3:7" ht="12.75" x14ac:dyDescent="0.2">
      <c r="C873" s="296"/>
      <c r="D873" s="297"/>
      <c r="F873" s="296"/>
      <c r="G873" s="297"/>
    </row>
    <row r="874" spans="3:7" ht="12.75" x14ac:dyDescent="0.2">
      <c r="C874" s="296"/>
      <c r="D874" s="297"/>
      <c r="F874" s="296"/>
      <c r="G874" s="297"/>
    </row>
    <row r="875" spans="3:7" ht="12.75" x14ac:dyDescent="0.2">
      <c r="C875" s="296"/>
      <c r="D875" s="297"/>
      <c r="F875" s="296"/>
      <c r="G875" s="297"/>
    </row>
    <row r="876" spans="3:7" ht="12.75" x14ac:dyDescent="0.2">
      <c r="C876" s="296"/>
      <c r="D876" s="297"/>
      <c r="F876" s="296"/>
      <c r="G876" s="297"/>
    </row>
    <row r="877" spans="3:7" ht="12.75" x14ac:dyDescent="0.2">
      <c r="C877" s="296"/>
      <c r="D877" s="297"/>
      <c r="F877" s="296"/>
      <c r="G877" s="297"/>
    </row>
    <row r="878" spans="3:7" ht="12.75" x14ac:dyDescent="0.2">
      <c r="C878" s="296"/>
      <c r="D878" s="297"/>
      <c r="F878" s="296"/>
      <c r="G878" s="297"/>
    </row>
    <row r="879" spans="3:7" ht="12.75" x14ac:dyDescent="0.2">
      <c r="C879" s="296"/>
      <c r="D879" s="297"/>
      <c r="F879" s="296"/>
      <c r="G879" s="297"/>
    </row>
    <row r="880" spans="3:7" ht="12.75" x14ac:dyDescent="0.2">
      <c r="C880" s="296"/>
      <c r="D880" s="297"/>
      <c r="F880" s="296"/>
      <c r="G880" s="297"/>
    </row>
    <row r="881" spans="3:7" ht="12.75" x14ac:dyDescent="0.2">
      <c r="C881" s="296"/>
      <c r="D881" s="297"/>
      <c r="F881" s="296"/>
      <c r="G881" s="297"/>
    </row>
    <row r="882" spans="3:7" ht="12.75" x14ac:dyDescent="0.2">
      <c r="C882" s="296"/>
      <c r="D882" s="297"/>
      <c r="F882" s="296"/>
      <c r="G882" s="297"/>
    </row>
    <row r="883" spans="3:7" ht="12.75" x14ac:dyDescent="0.2">
      <c r="C883" s="296"/>
      <c r="D883" s="297"/>
      <c r="F883" s="296"/>
      <c r="G883" s="297"/>
    </row>
    <row r="884" spans="3:7" ht="12.75" x14ac:dyDescent="0.2">
      <c r="C884" s="296"/>
      <c r="D884" s="297"/>
      <c r="F884" s="296"/>
      <c r="G884" s="297"/>
    </row>
    <row r="885" spans="3:7" ht="12.75" x14ac:dyDescent="0.2">
      <c r="C885" s="296"/>
      <c r="D885" s="297"/>
      <c r="F885" s="296"/>
      <c r="G885" s="297"/>
    </row>
    <row r="886" spans="3:7" ht="12.75" x14ac:dyDescent="0.2">
      <c r="C886" s="296"/>
      <c r="D886" s="297"/>
      <c r="F886" s="296"/>
      <c r="G886" s="297"/>
    </row>
    <row r="887" spans="3:7" ht="12.75" x14ac:dyDescent="0.2">
      <c r="C887" s="296"/>
      <c r="D887" s="297"/>
      <c r="F887" s="296"/>
      <c r="G887" s="297"/>
    </row>
    <row r="888" spans="3:7" ht="12.75" x14ac:dyDescent="0.2">
      <c r="C888" s="296"/>
      <c r="D888" s="297"/>
      <c r="F888" s="296"/>
      <c r="G888" s="297"/>
    </row>
    <row r="889" spans="3:7" ht="12.75" x14ac:dyDescent="0.2">
      <c r="C889" s="296"/>
      <c r="D889" s="297"/>
      <c r="F889" s="296"/>
      <c r="G889" s="297"/>
    </row>
    <row r="890" spans="3:7" ht="12.75" x14ac:dyDescent="0.2">
      <c r="C890" s="296"/>
      <c r="D890" s="297"/>
      <c r="F890" s="296"/>
      <c r="G890" s="297"/>
    </row>
    <row r="891" spans="3:7" ht="12.75" x14ac:dyDescent="0.2">
      <c r="C891" s="296"/>
      <c r="D891" s="297"/>
      <c r="F891" s="296"/>
      <c r="G891" s="297"/>
    </row>
    <row r="892" spans="3:7" ht="12.75" x14ac:dyDescent="0.2">
      <c r="C892" s="296"/>
      <c r="D892" s="297"/>
      <c r="F892" s="296"/>
      <c r="G892" s="297"/>
    </row>
    <row r="893" spans="3:7" ht="12.75" x14ac:dyDescent="0.2">
      <c r="C893" s="296"/>
      <c r="D893" s="297"/>
      <c r="F893" s="296"/>
      <c r="G893" s="297"/>
    </row>
    <row r="894" spans="3:7" ht="12.75" x14ac:dyDescent="0.2">
      <c r="C894" s="296"/>
      <c r="D894" s="297"/>
      <c r="F894" s="296"/>
      <c r="G894" s="297"/>
    </row>
    <row r="895" spans="3:7" ht="12.75" x14ac:dyDescent="0.2">
      <c r="C895" s="296"/>
      <c r="D895" s="297"/>
      <c r="F895" s="296"/>
      <c r="G895" s="297"/>
    </row>
    <row r="896" spans="3:7" ht="12.75" x14ac:dyDescent="0.2">
      <c r="C896" s="296"/>
      <c r="D896" s="297"/>
      <c r="F896" s="296"/>
      <c r="G896" s="297"/>
    </row>
    <row r="897" spans="3:7" ht="12.75" x14ac:dyDescent="0.2">
      <c r="C897" s="296"/>
      <c r="D897" s="297"/>
      <c r="F897" s="296"/>
      <c r="G897" s="297"/>
    </row>
    <row r="898" spans="3:7" ht="12.75" x14ac:dyDescent="0.2">
      <c r="C898" s="296"/>
      <c r="D898" s="297"/>
      <c r="F898" s="296"/>
      <c r="G898" s="297"/>
    </row>
    <row r="899" spans="3:7" ht="12.75" x14ac:dyDescent="0.2">
      <c r="C899" s="296"/>
      <c r="D899" s="297"/>
      <c r="F899" s="296"/>
      <c r="G899" s="297"/>
    </row>
    <row r="900" spans="3:7" ht="12.75" x14ac:dyDescent="0.2">
      <c r="C900" s="296"/>
      <c r="D900" s="297"/>
      <c r="F900" s="296"/>
      <c r="G900" s="297"/>
    </row>
    <row r="901" spans="3:7" ht="12.75" x14ac:dyDescent="0.2">
      <c r="C901" s="296"/>
      <c r="D901" s="297"/>
      <c r="F901" s="296"/>
      <c r="G901" s="297"/>
    </row>
    <row r="902" spans="3:7" ht="12.75" x14ac:dyDescent="0.2">
      <c r="C902" s="296"/>
      <c r="D902" s="297"/>
      <c r="F902" s="296"/>
      <c r="G902" s="297"/>
    </row>
    <row r="903" spans="3:7" ht="12.75" x14ac:dyDescent="0.2">
      <c r="C903" s="296"/>
      <c r="D903" s="297"/>
      <c r="F903" s="296"/>
      <c r="G903" s="297"/>
    </row>
    <row r="904" spans="3:7" ht="12.75" x14ac:dyDescent="0.2">
      <c r="C904" s="296"/>
      <c r="D904" s="297"/>
      <c r="F904" s="296"/>
      <c r="G904" s="297"/>
    </row>
    <row r="905" spans="3:7" ht="12.75" x14ac:dyDescent="0.2">
      <c r="C905" s="296"/>
      <c r="D905" s="297"/>
      <c r="F905" s="296"/>
      <c r="G905" s="297"/>
    </row>
    <row r="906" spans="3:7" ht="12.75" x14ac:dyDescent="0.2">
      <c r="C906" s="296"/>
      <c r="D906" s="297"/>
      <c r="F906" s="296"/>
      <c r="G906" s="297"/>
    </row>
    <row r="907" spans="3:7" ht="12.75" x14ac:dyDescent="0.2">
      <c r="C907" s="296"/>
      <c r="D907" s="297"/>
      <c r="F907" s="296"/>
      <c r="G907" s="297"/>
    </row>
    <row r="908" spans="3:7" ht="12.75" x14ac:dyDescent="0.2">
      <c r="C908" s="296"/>
      <c r="D908" s="297"/>
      <c r="F908" s="296"/>
      <c r="G908" s="297"/>
    </row>
    <row r="909" spans="3:7" ht="12.75" x14ac:dyDescent="0.2">
      <c r="C909" s="296"/>
      <c r="D909" s="297"/>
      <c r="F909" s="296"/>
      <c r="G909" s="297"/>
    </row>
    <row r="910" spans="3:7" ht="12.75" x14ac:dyDescent="0.2">
      <c r="C910" s="296"/>
      <c r="D910" s="297"/>
      <c r="F910" s="296"/>
      <c r="G910" s="297"/>
    </row>
    <row r="911" spans="3:7" ht="12.75" x14ac:dyDescent="0.2">
      <c r="C911" s="296"/>
      <c r="D911" s="297"/>
      <c r="F911" s="296"/>
      <c r="G911" s="297"/>
    </row>
    <row r="912" spans="3:7" ht="12.75" x14ac:dyDescent="0.2">
      <c r="C912" s="296"/>
      <c r="D912" s="297"/>
      <c r="F912" s="296"/>
      <c r="G912" s="297"/>
    </row>
    <row r="913" spans="3:7" ht="12.75" x14ac:dyDescent="0.2">
      <c r="C913" s="296"/>
      <c r="D913" s="297"/>
      <c r="F913" s="296"/>
      <c r="G913" s="297"/>
    </row>
    <row r="914" spans="3:7" ht="12.75" x14ac:dyDescent="0.2">
      <c r="C914" s="296"/>
      <c r="D914" s="297"/>
      <c r="F914" s="296"/>
      <c r="G914" s="297"/>
    </row>
    <row r="915" spans="3:7" ht="12.75" x14ac:dyDescent="0.2">
      <c r="C915" s="296"/>
      <c r="D915" s="297"/>
      <c r="F915" s="296"/>
      <c r="G915" s="297"/>
    </row>
    <row r="916" spans="3:7" ht="12.75" x14ac:dyDescent="0.2">
      <c r="C916" s="296"/>
      <c r="D916" s="297"/>
      <c r="F916" s="296"/>
      <c r="G916" s="297"/>
    </row>
    <row r="917" spans="3:7" ht="12.75" x14ac:dyDescent="0.2">
      <c r="C917" s="296"/>
      <c r="D917" s="297"/>
      <c r="F917" s="296"/>
      <c r="G917" s="297"/>
    </row>
    <row r="918" spans="3:7" ht="12.75" x14ac:dyDescent="0.2">
      <c r="C918" s="296"/>
      <c r="D918" s="297"/>
      <c r="F918" s="296"/>
      <c r="G918" s="297"/>
    </row>
    <row r="919" spans="3:7" ht="12.75" x14ac:dyDescent="0.2">
      <c r="C919" s="296"/>
      <c r="D919" s="297"/>
      <c r="F919" s="296"/>
      <c r="G919" s="297"/>
    </row>
    <row r="920" spans="3:7" ht="12.75" x14ac:dyDescent="0.2">
      <c r="C920" s="296"/>
      <c r="D920" s="297"/>
      <c r="F920" s="296"/>
      <c r="G920" s="297"/>
    </row>
    <row r="921" spans="3:7" ht="12.75" x14ac:dyDescent="0.2">
      <c r="C921" s="296"/>
      <c r="D921" s="297"/>
      <c r="F921" s="296"/>
      <c r="G921" s="297"/>
    </row>
    <row r="922" spans="3:7" ht="12.75" x14ac:dyDescent="0.2">
      <c r="C922" s="296"/>
      <c r="D922" s="297"/>
      <c r="F922" s="296"/>
      <c r="G922" s="297"/>
    </row>
    <row r="923" spans="3:7" ht="12.75" x14ac:dyDescent="0.2">
      <c r="C923" s="296"/>
      <c r="D923" s="297"/>
      <c r="F923" s="296"/>
      <c r="G923" s="297"/>
    </row>
    <row r="924" spans="3:7" ht="12.75" x14ac:dyDescent="0.2">
      <c r="C924" s="296"/>
      <c r="D924" s="297"/>
      <c r="F924" s="296"/>
      <c r="G924" s="297"/>
    </row>
    <row r="925" spans="3:7" ht="12.75" x14ac:dyDescent="0.2">
      <c r="C925" s="296"/>
      <c r="D925" s="297"/>
      <c r="F925" s="296"/>
      <c r="G925" s="297"/>
    </row>
    <row r="926" spans="3:7" ht="12.75" x14ac:dyDescent="0.2">
      <c r="C926" s="296"/>
      <c r="D926" s="297"/>
      <c r="F926" s="296"/>
      <c r="G926" s="297"/>
    </row>
    <row r="927" spans="3:7" ht="12.75" x14ac:dyDescent="0.2">
      <c r="C927" s="296"/>
      <c r="D927" s="297"/>
      <c r="F927" s="296"/>
      <c r="G927" s="297"/>
    </row>
    <row r="928" spans="3:7" ht="12.75" x14ac:dyDescent="0.2">
      <c r="C928" s="296"/>
      <c r="D928" s="297"/>
      <c r="F928" s="296"/>
      <c r="G928" s="297"/>
    </row>
    <row r="929" spans="3:7" ht="12.75" x14ac:dyDescent="0.2">
      <c r="C929" s="296"/>
      <c r="D929" s="297"/>
      <c r="F929" s="296"/>
      <c r="G929" s="297"/>
    </row>
    <row r="930" spans="3:7" ht="12.75" x14ac:dyDescent="0.2">
      <c r="C930" s="296"/>
      <c r="D930" s="297"/>
      <c r="F930" s="296"/>
      <c r="G930" s="297"/>
    </row>
    <row r="931" spans="3:7" ht="12.75" x14ac:dyDescent="0.2">
      <c r="C931" s="296"/>
      <c r="D931" s="297"/>
      <c r="F931" s="296"/>
      <c r="G931" s="297"/>
    </row>
    <row r="932" spans="3:7" ht="12.75" x14ac:dyDescent="0.2">
      <c r="C932" s="296"/>
      <c r="D932" s="297"/>
      <c r="F932" s="296"/>
      <c r="G932" s="297"/>
    </row>
    <row r="933" spans="3:7" ht="12.75" x14ac:dyDescent="0.2">
      <c r="C933" s="296"/>
      <c r="D933" s="297"/>
      <c r="F933" s="296"/>
      <c r="G933" s="297"/>
    </row>
    <row r="934" spans="3:7" ht="12.75" x14ac:dyDescent="0.2">
      <c r="C934" s="296"/>
      <c r="D934" s="297"/>
      <c r="F934" s="296"/>
      <c r="G934" s="297"/>
    </row>
    <row r="935" spans="3:7" ht="12.75" x14ac:dyDescent="0.2">
      <c r="C935" s="296"/>
      <c r="D935" s="297"/>
      <c r="F935" s="296"/>
      <c r="G935" s="297"/>
    </row>
    <row r="936" spans="3:7" ht="12.75" x14ac:dyDescent="0.2">
      <c r="C936" s="296"/>
      <c r="D936" s="297"/>
      <c r="F936" s="296"/>
      <c r="G936" s="297"/>
    </row>
    <row r="937" spans="3:7" ht="12.75" x14ac:dyDescent="0.2">
      <c r="C937" s="296"/>
      <c r="D937" s="297"/>
      <c r="F937" s="296"/>
      <c r="G937" s="297"/>
    </row>
    <row r="938" spans="3:7" ht="12.75" x14ac:dyDescent="0.2">
      <c r="C938" s="296"/>
      <c r="D938" s="297"/>
      <c r="F938" s="296"/>
      <c r="G938" s="297"/>
    </row>
    <row r="939" spans="3:7" ht="12.75" x14ac:dyDescent="0.2">
      <c r="C939" s="296"/>
      <c r="D939" s="297"/>
      <c r="F939" s="296"/>
      <c r="G939" s="297"/>
    </row>
    <row r="940" spans="3:7" ht="12.75" x14ac:dyDescent="0.2">
      <c r="C940" s="296"/>
      <c r="D940" s="297"/>
      <c r="F940" s="296"/>
      <c r="G940" s="297"/>
    </row>
    <row r="941" spans="3:7" ht="12.75" x14ac:dyDescent="0.2">
      <c r="C941" s="296"/>
      <c r="D941" s="297"/>
      <c r="F941" s="296"/>
      <c r="G941" s="297"/>
    </row>
    <row r="942" spans="3:7" ht="12.75" x14ac:dyDescent="0.2">
      <c r="C942" s="296"/>
      <c r="D942" s="297"/>
      <c r="F942" s="296"/>
      <c r="G942" s="297"/>
    </row>
    <row r="943" spans="3:7" ht="12.75" x14ac:dyDescent="0.2">
      <c r="C943" s="296"/>
      <c r="D943" s="297"/>
      <c r="F943" s="296"/>
      <c r="G943" s="297"/>
    </row>
    <row r="944" spans="3:7" ht="12.75" x14ac:dyDescent="0.2">
      <c r="C944" s="296"/>
      <c r="D944" s="297"/>
      <c r="F944" s="296"/>
      <c r="G944" s="297"/>
    </row>
    <row r="945" spans="3:7" ht="12.75" x14ac:dyDescent="0.2">
      <c r="C945" s="296"/>
      <c r="D945" s="297"/>
      <c r="F945" s="296"/>
      <c r="G945" s="297"/>
    </row>
    <row r="946" spans="3:7" ht="12.75" x14ac:dyDescent="0.2">
      <c r="C946" s="296"/>
      <c r="D946" s="297"/>
      <c r="F946" s="296"/>
      <c r="G946" s="297"/>
    </row>
    <row r="947" spans="3:7" ht="12.75" x14ac:dyDescent="0.2">
      <c r="C947" s="296"/>
      <c r="D947" s="297"/>
      <c r="F947" s="296"/>
      <c r="G947" s="297"/>
    </row>
    <row r="948" spans="3:7" ht="12.75" x14ac:dyDescent="0.2">
      <c r="C948" s="296"/>
      <c r="D948" s="297"/>
      <c r="F948" s="296"/>
      <c r="G948" s="297"/>
    </row>
    <row r="949" spans="3:7" ht="12.75" x14ac:dyDescent="0.2">
      <c r="C949" s="296"/>
      <c r="D949" s="297"/>
      <c r="F949" s="296"/>
      <c r="G949" s="297"/>
    </row>
    <row r="950" spans="3:7" ht="12.75" x14ac:dyDescent="0.2">
      <c r="C950" s="296"/>
      <c r="D950" s="297"/>
      <c r="F950" s="296"/>
      <c r="G950" s="297"/>
    </row>
    <row r="951" spans="3:7" ht="12.75" x14ac:dyDescent="0.2">
      <c r="C951" s="296"/>
      <c r="D951" s="297"/>
      <c r="F951" s="296"/>
      <c r="G951" s="297"/>
    </row>
    <row r="952" spans="3:7" ht="12.75" x14ac:dyDescent="0.2">
      <c r="C952" s="296"/>
      <c r="D952" s="297"/>
      <c r="F952" s="296"/>
      <c r="G952" s="297"/>
    </row>
    <row r="953" spans="3:7" ht="12.75" x14ac:dyDescent="0.2">
      <c r="C953" s="296"/>
      <c r="D953" s="297"/>
      <c r="F953" s="296"/>
      <c r="G953" s="297"/>
    </row>
    <row r="954" spans="3:7" ht="12.75" x14ac:dyDescent="0.2">
      <c r="C954" s="296"/>
      <c r="D954" s="297"/>
      <c r="F954" s="296"/>
      <c r="G954" s="297"/>
    </row>
    <row r="955" spans="3:7" ht="12.75" x14ac:dyDescent="0.2">
      <c r="C955" s="296"/>
      <c r="D955" s="297"/>
      <c r="F955" s="296"/>
      <c r="G955" s="297"/>
    </row>
    <row r="956" spans="3:7" ht="12.75" x14ac:dyDescent="0.2">
      <c r="C956" s="296"/>
      <c r="D956" s="297"/>
      <c r="F956" s="296"/>
      <c r="G956" s="297"/>
    </row>
    <row r="957" spans="3:7" ht="12.75" x14ac:dyDescent="0.2">
      <c r="C957" s="296"/>
      <c r="D957" s="297"/>
      <c r="F957" s="296"/>
      <c r="G957" s="297"/>
    </row>
    <row r="958" spans="3:7" ht="12.75" x14ac:dyDescent="0.2">
      <c r="C958" s="296"/>
      <c r="D958" s="297"/>
      <c r="F958" s="296"/>
      <c r="G958" s="297"/>
    </row>
    <row r="959" spans="3:7" ht="12.75" x14ac:dyDescent="0.2">
      <c r="C959" s="296"/>
      <c r="D959" s="297"/>
      <c r="F959" s="296"/>
      <c r="G959" s="297"/>
    </row>
    <row r="960" spans="3:7" ht="12.75" x14ac:dyDescent="0.2">
      <c r="C960" s="296"/>
      <c r="D960" s="297"/>
      <c r="F960" s="296"/>
      <c r="G960" s="297"/>
    </row>
    <row r="961" spans="3:7" ht="12.75" x14ac:dyDescent="0.2">
      <c r="C961" s="296"/>
      <c r="D961" s="297"/>
      <c r="F961" s="296"/>
      <c r="G961" s="297"/>
    </row>
    <row r="962" spans="3:7" ht="12.75" x14ac:dyDescent="0.2">
      <c r="C962" s="296"/>
      <c r="D962" s="297"/>
      <c r="F962" s="296"/>
      <c r="G962" s="297"/>
    </row>
    <row r="963" spans="3:7" ht="12.75" x14ac:dyDescent="0.2">
      <c r="C963" s="296"/>
      <c r="D963" s="297"/>
      <c r="F963" s="296"/>
      <c r="G963" s="297"/>
    </row>
    <row r="964" spans="3:7" ht="12.75" x14ac:dyDescent="0.2">
      <c r="C964" s="296"/>
      <c r="D964" s="297"/>
      <c r="F964" s="296"/>
      <c r="G964" s="297"/>
    </row>
    <row r="965" spans="3:7" ht="12.75" x14ac:dyDescent="0.2">
      <c r="C965" s="296"/>
      <c r="D965" s="297"/>
      <c r="F965" s="296"/>
      <c r="G965" s="297"/>
    </row>
    <row r="966" spans="3:7" ht="12.75" x14ac:dyDescent="0.2">
      <c r="C966" s="296"/>
      <c r="D966" s="297"/>
      <c r="F966" s="296"/>
      <c r="G966" s="297"/>
    </row>
    <row r="967" spans="3:7" ht="12.75" x14ac:dyDescent="0.2">
      <c r="C967" s="296"/>
      <c r="D967" s="297"/>
      <c r="F967" s="296"/>
      <c r="G967" s="297"/>
    </row>
    <row r="968" spans="3:7" ht="12.75" x14ac:dyDescent="0.2">
      <c r="C968" s="296"/>
      <c r="D968" s="297"/>
      <c r="F968" s="296"/>
      <c r="G968" s="297"/>
    </row>
    <row r="969" spans="3:7" ht="12.75" x14ac:dyDescent="0.2">
      <c r="C969" s="296"/>
      <c r="D969" s="297"/>
      <c r="F969" s="296"/>
      <c r="G969" s="297"/>
    </row>
    <row r="970" spans="3:7" ht="12.75" x14ac:dyDescent="0.2">
      <c r="C970" s="296"/>
      <c r="D970" s="297"/>
      <c r="F970" s="296"/>
      <c r="G970" s="297"/>
    </row>
    <row r="971" spans="3:7" ht="12.75" x14ac:dyDescent="0.2">
      <c r="C971" s="296"/>
      <c r="D971" s="297"/>
      <c r="F971" s="296"/>
      <c r="G971" s="297"/>
    </row>
    <row r="972" spans="3:7" ht="12.75" x14ac:dyDescent="0.2">
      <c r="C972" s="296"/>
      <c r="D972" s="297"/>
      <c r="F972" s="296"/>
      <c r="G972" s="297"/>
    </row>
    <row r="973" spans="3:7" ht="12.75" x14ac:dyDescent="0.2">
      <c r="C973" s="296"/>
      <c r="D973" s="297"/>
      <c r="F973" s="296"/>
      <c r="G973" s="297"/>
    </row>
    <row r="974" spans="3:7" ht="12.75" x14ac:dyDescent="0.2">
      <c r="C974" s="296"/>
      <c r="D974" s="297"/>
      <c r="F974" s="296"/>
      <c r="G974" s="297"/>
    </row>
    <row r="975" spans="3:7" ht="12.75" x14ac:dyDescent="0.2">
      <c r="C975" s="296"/>
      <c r="D975" s="297"/>
      <c r="F975" s="296"/>
      <c r="G975" s="297"/>
    </row>
    <row r="976" spans="3:7" ht="12.75" x14ac:dyDescent="0.2">
      <c r="C976" s="296"/>
      <c r="D976" s="297"/>
      <c r="F976" s="296"/>
      <c r="G976" s="297"/>
    </row>
    <row r="977" spans="3:7" ht="12.75" x14ac:dyDescent="0.2">
      <c r="C977" s="296"/>
      <c r="D977" s="297"/>
      <c r="F977" s="296"/>
      <c r="G977" s="297"/>
    </row>
    <row r="978" spans="3:7" ht="12.75" x14ac:dyDescent="0.2">
      <c r="C978" s="296"/>
      <c r="D978" s="297"/>
      <c r="F978" s="296"/>
      <c r="G978" s="297"/>
    </row>
    <row r="979" spans="3:7" ht="12.75" x14ac:dyDescent="0.2">
      <c r="C979" s="296"/>
      <c r="D979" s="297"/>
      <c r="F979" s="296"/>
      <c r="G979" s="297"/>
    </row>
    <row r="980" spans="3:7" ht="12.75" x14ac:dyDescent="0.2">
      <c r="C980" s="296"/>
      <c r="D980" s="297"/>
      <c r="F980" s="296"/>
      <c r="G980" s="297"/>
    </row>
    <row r="981" spans="3:7" ht="12.75" x14ac:dyDescent="0.2">
      <c r="C981" s="296"/>
      <c r="D981" s="297"/>
      <c r="F981" s="296"/>
      <c r="G981" s="297"/>
    </row>
    <row r="982" spans="3:7" ht="12.75" x14ac:dyDescent="0.2">
      <c r="C982" s="296"/>
      <c r="D982" s="297"/>
      <c r="F982" s="296"/>
      <c r="G982" s="297"/>
    </row>
    <row r="983" spans="3:7" ht="12.75" x14ac:dyDescent="0.2">
      <c r="C983" s="296"/>
      <c r="D983" s="297"/>
      <c r="F983" s="296"/>
      <c r="G983" s="297"/>
    </row>
    <row r="984" spans="3:7" ht="12.75" x14ac:dyDescent="0.2">
      <c r="C984" s="296"/>
      <c r="D984" s="297"/>
      <c r="F984" s="296"/>
      <c r="G984" s="297"/>
    </row>
    <row r="985" spans="3:7" ht="12.75" x14ac:dyDescent="0.2">
      <c r="C985" s="296"/>
      <c r="D985" s="297"/>
      <c r="F985" s="296"/>
      <c r="G985" s="297"/>
    </row>
    <row r="986" spans="3:7" ht="12.75" x14ac:dyDescent="0.2">
      <c r="C986" s="296"/>
      <c r="D986" s="297"/>
      <c r="F986" s="296"/>
      <c r="G986" s="297"/>
    </row>
    <row r="987" spans="3:7" ht="12.75" x14ac:dyDescent="0.2">
      <c r="C987" s="296"/>
      <c r="D987" s="297"/>
      <c r="F987" s="296"/>
      <c r="G987" s="297"/>
    </row>
    <row r="988" spans="3:7" ht="12.75" x14ac:dyDescent="0.2">
      <c r="C988" s="296"/>
      <c r="D988" s="297"/>
      <c r="F988" s="296"/>
      <c r="G988" s="297"/>
    </row>
    <row r="989" spans="3:7" ht="12.75" x14ac:dyDescent="0.2">
      <c r="C989" s="296"/>
      <c r="D989" s="297"/>
      <c r="F989" s="296"/>
      <c r="G989" s="297"/>
    </row>
    <row r="990" spans="3:7" ht="12.75" x14ac:dyDescent="0.2">
      <c r="C990" s="296"/>
      <c r="D990" s="297"/>
      <c r="F990" s="296"/>
      <c r="G990" s="297"/>
    </row>
    <row r="991" spans="3:7" ht="12.75" x14ac:dyDescent="0.2">
      <c r="C991" s="296"/>
      <c r="D991" s="297"/>
      <c r="F991" s="296"/>
      <c r="G991" s="297"/>
    </row>
    <row r="992" spans="3:7" ht="12.75" x14ac:dyDescent="0.2">
      <c r="C992" s="296"/>
      <c r="D992" s="297"/>
      <c r="F992" s="296"/>
      <c r="G992" s="297"/>
    </row>
    <row r="993" spans="3:7" ht="12.75" x14ac:dyDescent="0.2">
      <c r="C993" s="296"/>
      <c r="D993" s="297"/>
      <c r="F993" s="296"/>
      <c r="G993" s="297"/>
    </row>
    <row r="994" spans="3:7" ht="12.75" x14ac:dyDescent="0.2">
      <c r="C994" s="296"/>
      <c r="D994" s="297"/>
      <c r="F994" s="296"/>
      <c r="G994" s="297"/>
    </row>
    <row r="995" spans="3:7" ht="12.75" x14ac:dyDescent="0.2">
      <c r="C995" s="296"/>
      <c r="D995" s="297"/>
      <c r="F995" s="296"/>
      <c r="G995" s="297"/>
    </row>
    <row r="996" spans="3:7" ht="12.75" x14ac:dyDescent="0.2">
      <c r="C996" s="296"/>
      <c r="D996" s="297"/>
      <c r="F996" s="296"/>
      <c r="G996" s="297"/>
    </row>
    <row r="997" spans="3:7" ht="12.75" x14ac:dyDescent="0.2">
      <c r="C997" s="296"/>
      <c r="D997" s="297"/>
      <c r="F997" s="296"/>
      <c r="G997" s="297"/>
    </row>
    <row r="998" spans="3:7" ht="12.75" x14ac:dyDescent="0.2">
      <c r="C998" s="296"/>
      <c r="D998" s="297"/>
      <c r="F998" s="296"/>
      <c r="G998" s="297"/>
    </row>
    <row r="999" spans="3:7" ht="12.75" x14ac:dyDescent="0.2">
      <c r="C999" s="296"/>
      <c r="D999" s="297"/>
      <c r="F999" s="296"/>
      <c r="G999" s="297"/>
    </row>
    <row r="1000" spans="3:7" ht="12.75" x14ac:dyDescent="0.2">
      <c r="C1000" s="296"/>
      <c r="D1000" s="297"/>
      <c r="F1000" s="296"/>
      <c r="G1000" s="297"/>
    </row>
    <row r="1001" spans="3:7" ht="12.75" x14ac:dyDescent="0.2">
      <c r="C1001" s="296"/>
      <c r="D1001" s="297"/>
      <c r="F1001" s="296"/>
      <c r="G1001" s="297"/>
    </row>
    <row r="1002" spans="3:7" ht="12.75" x14ac:dyDescent="0.2">
      <c r="C1002" s="296"/>
      <c r="D1002" s="297"/>
      <c r="F1002" s="296"/>
      <c r="G1002" s="297"/>
    </row>
    <row r="1003" spans="3:7" ht="12.75" x14ac:dyDescent="0.2">
      <c r="C1003" s="296"/>
      <c r="D1003" s="297"/>
      <c r="F1003" s="296"/>
      <c r="G1003" s="297"/>
    </row>
    <row r="1004" spans="3:7" ht="12.75" x14ac:dyDescent="0.2">
      <c r="C1004" s="296"/>
      <c r="D1004" s="297"/>
      <c r="F1004" s="296"/>
      <c r="G1004" s="297"/>
    </row>
    <row r="1005" spans="3:7" ht="12.75" x14ac:dyDescent="0.2">
      <c r="C1005" s="296"/>
      <c r="D1005" s="297"/>
      <c r="F1005" s="296"/>
      <c r="G1005" s="297"/>
    </row>
    <row r="1006" spans="3:7" ht="12.75" x14ac:dyDescent="0.2">
      <c r="C1006" s="296"/>
      <c r="D1006" s="297"/>
      <c r="F1006" s="296"/>
      <c r="G1006" s="297"/>
    </row>
    <row r="1007" spans="3:7" ht="12.75" x14ac:dyDescent="0.2">
      <c r="C1007" s="296"/>
      <c r="D1007" s="297"/>
      <c r="F1007" s="296"/>
      <c r="G1007" s="297"/>
    </row>
  </sheetData>
  <mergeCells count="2">
    <mergeCell ref="C1:D1"/>
    <mergeCell ref="F1:G1"/>
  </mergeCells>
  <hyperlinks>
    <hyperlink ref="E38" r:id="rId1" xr:uid="{00000000-0004-0000-0700-000000000000}"/>
    <hyperlink ref="E40" r:id="rId2" xr:uid="{00000000-0004-0000-0700-000001000000}"/>
    <hyperlink ref="E46" r:id="rId3" xr:uid="{00000000-0004-0000-0700-000002000000}"/>
    <hyperlink ref="E47" r:id="rId4" xr:uid="{00000000-0004-0000-0700-000003000000}"/>
    <hyperlink ref="E48" r:id="rId5" xr:uid="{00000000-0004-0000-0700-000004000000}"/>
    <hyperlink ref="E49" r:id="rId6" xr:uid="{00000000-0004-0000-0700-000005000000}"/>
    <hyperlink ref="E58" r:id="rId7" xr:uid="{00000000-0004-0000-0700-000006000000}"/>
    <hyperlink ref="E60" r:id="rId8" xr:uid="{00000000-0004-0000-0700-000007000000}"/>
    <hyperlink ref="E62" r:id="rId9" xr:uid="{00000000-0004-0000-0700-000008000000}"/>
    <hyperlink ref="E63" r:id="rId10" xr:uid="{00000000-0004-0000-0700-000009000000}"/>
    <hyperlink ref="E64" r:id="rId11" xr:uid="{00000000-0004-0000-0700-00000A000000}"/>
    <hyperlink ref="E65" r:id="rId12" xr:uid="{00000000-0004-0000-0700-00000B000000}"/>
  </hyperlinks>
  <pageMargins left="0.7" right="0.7" top="0.75" bottom="0.75" header="0.3" footer="0.3"/>
  <legacyDrawing r:id="rId1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B1:G1000"/>
  <sheetViews>
    <sheetView showGridLines="0"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6" max="6" width="16.42578125" customWidth="1"/>
    <col min="7" max="7" width="17.140625" customWidth="1"/>
    <col min="8" max="8" width="10.85546875" customWidth="1"/>
  </cols>
  <sheetData>
    <row r="1" spans="7:7" x14ac:dyDescent="0.2">
      <c r="G1" s="162"/>
    </row>
    <row r="2" spans="7:7" x14ac:dyDescent="0.2">
      <c r="G2" s="310"/>
    </row>
    <row r="3" spans="7:7" x14ac:dyDescent="0.2">
      <c r="G3" s="310"/>
    </row>
    <row r="4" spans="7:7" x14ac:dyDescent="0.2">
      <c r="G4" s="310"/>
    </row>
    <row r="5" spans="7:7" x14ac:dyDescent="0.2">
      <c r="G5" s="310"/>
    </row>
    <row r="6" spans="7:7" x14ac:dyDescent="0.2">
      <c r="G6" s="310"/>
    </row>
    <row r="7" spans="7:7" x14ac:dyDescent="0.2">
      <c r="G7" s="310"/>
    </row>
    <row r="8" spans="7:7" x14ac:dyDescent="0.2">
      <c r="G8" s="310"/>
    </row>
    <row r="9" spans="7:7" x14ac:dyDescent="0.2">
      <c r="G9" s="310"/>
    </row>
    <row r="10" spans="7:7" x14ac:dyDescent="0.2">
      <c r="G10" s="310"/>
    </row>
    <row r="11" spans="7:7" x14ac:dyDescent="0.2">
      <c r="G11" s="310"/>
    </row>
    <row r="12" spans="7:7" x14ac:dyDescent="0.2">
      <c r="G12" s="310"/>
    </row>
    <row r="13" spans="7:7" x14ac:dyDescent="0.2">
      <c r="G13" s="310"/>
    </row>
    <row r="14" spans="7:7" x14ac:dyDescent="0.2">
      <c r="G14" s="310"/>
    </row>
    <row r="15" spans="7:7" x14ac:dyDescent="0.2">
      <c r="G15" s="310"/>
    </row>
    <row r="16" spans="7:7" x14ac:dyDescent="0.2">
      <c r="G16" s="310"/>
    </row>
    <row r="17" spans="7:7" x14ac:dyDescent="0.2">
      <c r="G17" s="310"/>
    </row>
    <row r="18" spans="7:7" x14ac:dyDescent="0.2">
      <c r="G18" s="310"/>
    </row>
    <row r="19" spans="7:7" x14ac:dyDescent="0.2">
      <c r="G19" s="310"/>
    </row>
    <row r="20" spans="7:7" x14ac:dyDescent="0.2">
      <c r="G20" s="310"/>
    </row>
    <row r="21" spans="7:7" x14ac:dyDescent="0.2">
      <c r="G21" s="310"/>
    </row>
    <row r="22" spans="7:7" x14ac:dyDescent="0.2">
      <c r="G22" s="310"/>
    </row>
    <row r="23" spans="7:7" x14ac:dyDescent="0.2">
      <c r="G23" s="310"/>
    </row>
    <row r="24" spans="7:7" x14ac:dyDescent="0.2">
      <c r="G24" s="310"/>
    </row>
    <row r="25" spans="7:7" x14ac:dyDescent="0.2">
      <c r="G25" s="310"/>
    </row>
    <row r="26" spans="7:7" x14ac:dyDescent="0.2">
      <c r="G26" s="310"/>
    </row>
    <row r="27" spans="7:7" x14ac:dyDescent="0.2">
      <c r="G27" s="310"/>
    </row>
    <row r="80" spans="2:6" x14ac:dyDescent="0.2">
      <c r="B80" s="308"/>
      <c r="C80" s="309"/>
      <c r="E80" s="309"/>
      <c r="F80" s="309"/>
    </row>
    <row r="81" spans="2:6" x14ac:dyDescent="0.2">
      <c r="B81" s="308"/>
      <c r="C81" s="309"/>
      <c r="E81" s="309"/>
      <c r="F81" s="309"/>
    </row>
    <row r="82" spans="2:6" x14ac:dyDescent="0.2">
      <c r="B82" s="308"/>
      <c r="C82" s="309"/>
      <c r="E82" s="309"/>
      <c r="F82" s="309"/>
    </row>
    <row r="83" spans="2:6" x14ac:dyDescent="0.2">
      <c r="B83" s="308"/>
      <c r="C83" s="309"/>
      <c r="E83" s="309"/>
      <c r="F83" s="309"/>
    </row>
    <row r="84" spans="2:6" x14ac:dyDescent="0.2">
      <c r="B84" s="308"/>
      <c r="C84" s="309"/>
      <c r="E84" s="309"/>
      <c r="F84" s="309"/>
    </row>
    <row r="85" spans="2:6" x14ac:dyDescent="0.2">
      <c r="B85" s="308"/>
      <c r="C85" s="309"/>
      <c r="E85" s="309"/>
      <c r="F85" s="309"/>
    </row>
    <row r="86" spans="2:6" x14ac:dyDescent="0.2">
      <c r="B86" s="308"/>
      <c r="C86" s="309"/>
      <c r="E86" s="309"/>
      <c r="F86" s="309"/>
    </row>
    <row r="87" spans="2:6" x14ac:dyDescent="0.2">
      <c r="B87" s="308"/>
      <c r="C87" s="309"/>
      <c r="E87" s="309"/>
      <c r="F87" s="309"/>
    </row>
    <row r="88" spans="2:6" x14ac:dyDescent="0.2">
      <c r="B88" s="308"/>
      <c r="C88" s="309"/>
      <c r="E88" s="309"/>
      <c r="F88" s="309"/>
    </row>
    <row r="89" spans="2:6" x14ac:dyDescent="0.2">
      <c r="B89" s="308"/>
      <c r="C89" s="309"/>
      <c r="E89" s="309"/>
      <c r="F89" s="309"/>
    </row>
    <row r="90" spans="2:6" x14ac:dyDescent="0.2">
      <c r="B90" s="308"/>
      <c r="C90" s="309"/>
      <c r="E90" s="309"/>
      <c r="F90" s="309"/>
    </row>
    <row r="91" spans="2:6" x14ac:dyDescent="0.2">
      <c r="B91" s="308"/>
      <c r="C91" s="309"/>
      <c r="E91" s="309"/>
      <c r="F91" s="309"/>
    </row>
    <row r="92" spans="2:6" x14ac:dyDescent="0.2">
      <c r="B92" s="308"/>
      <c r="C92" s="309"/>
      <c r="E92" s="309"/>
      <c r="F92" s="309"/>
    </row>
    <row r="93" spans="2:6" x14ac:dyDescent="0.2">
      <c r="B93" s="308"/>
      <c r="C93" s="309"/>
      <c r="E93" s="309"/>
      <c r="F93" s="309"/>
    </row>
    <row r="94" spans="2:6" x14ac:dyDescent="0.2">
      <c r="B94" s="308"/>
      <c r="C94" s="309"/>
      <c r="E94" s="309"/>
      <c r="F94" s="309"/>
    </row>
    <row r="95" spans="2:6" x14ac:dyDescent="0.2">
      <c r="B95" s="308"/>
      <c r="C95" s="309"/>
      <c r="E95" s="309"/>
      <c r="F95" s="309"/>
    </row>
    <row r="96" spans="2:6" x14ac:dyDescent="0.2">
      <c r="B96" s="308"/>
      <c r="C96" s="309"/>
      <c r="E96" s="309"/>
      <c r="F96" s="309"/>
    </row>
    <row r="97" spans="2:6" x14ac:dyDescent="0.2">
      <c r="B97" s="308"/>
      <c r="C97" s="309"/>
      <c r="E97" s="309"/>
      <c r="F97" s="309"/>
    </row>
    <row r="98" spans="2:6" x14ac:dyDescent="0.2">
      <c r="B98" s="308"/>
      <c r="C98" s="309"/>
      <c r="E98" s="309"/>
      <c r="F98" s="309"/>
    </row>
    <row r="99" spans="2:6" x14ac:dyDescent="0.2">
      <c r="B99" s="308"/>
      <c r="C99" s="309"/>
      <c r="E99" s="309"/>
      <c r="F99" s="309"/>
    </row>
    <row r="100" spans="2:6" x14ac:dyDescent="0.2">
      <c r="B100" s="308"/>
      <c r="C100" s="309"/>
      <c r="E100" s="309"/>
      <c r="F100" s="309"/>
    </row>
    <row r="101" spans="2:6" x14ac:dyDescent="0.2">
      <c r="B101" s="308"/>
      <c r="C101" s="309"/>
      <c r="E101" s="309"/>
      <c r="F101" s="309"/>
    </row>
    <row r="102" spans="2:6" x14ac:dyDescent="0.2">
      <c r="B102" s="308"/>
      <c r="C102" s="309"/>
      <c r="E102" s="309"/>
      <c r="F102" s="309"/>
    </row>
    <row r="103" spans="2:6" x14ac:dyDescent="0.2">
      <c r="B103" s="308"/>
      <c r="C103" s="309"/>
      <c r="E103" s="309"/>
      <c r="F103" s="309"/>
    </row>
    <row r="104" spans="2:6" x14ac:dyDescent="0.2">
      <c r="B104" s="308"/>
      <c r="C104" s="309"/>
      <c r="E104" s="309"/>
      <c r="F104" s="309"/>
    </row>
    <row r="105" spans="2:6" x14ac:dyDescent="0.2">
      <c r="B105" s="308"/>
      <c r="C105" s="309"/>
      <c r="E105" s="309"/>
      <c r="F105" s="309"/>
    </row>
    <row r="106" spans="2:6" x14ac:dyDescent="0.2">
      <c r="B106" s="308"/>
      <c r="C106" s="309"/>
      <c r="E106" s="309"/>
      <c r="F106" s="309"/>
    </row>
    <row r="107" spans="2:6" x14ac:dyDescent="0.2">
      <c r="B107" s="308"/>
      <c r="C107" s="309"/>
      <c r="E107" s="309"/>
      <c r="F107" s="309"/>
    </row>
    <row r="108" spans="2:6" x14ac:dyDescent="0.2">
      <c r="B108" s="308"/>
      <c r="C108" s="309"/>
      <c r="E108" s="309"/>
      <c r="F108" s="309"/>
    </row>
    <row r="109" spans="2:6" x14ac:dyDescent="0.2">
      <c r="B109" s="308"/>
      <c r="C109" s="309"/>
      <c r="E109" s="309"/>
      <c r="F109" s="309"/>
    </row>
    <row r="110" spans="2:6" x14ac:dyDescent="0.2">
      <c r="B110" s="308"/>
      <c r="C110" s="309"/>
      <c r="E110" s="309"/>
      <c r="F110" s="309"/>
    </row>
    <row r="111" spans="2:6" x14ac:dyDescent="0.2">
      <c r="B111" s="308"/>
      <c r="C111" s="309"/>
      <c r="E111" s="309"/>
      <c r="F111" s="309"/>
    </row>
    <row r="112" spans="2:6" x14ac:dyDescent="0.2">
      <c r="B112" s="308"/>
      <c r="C112" s="309"/>
      <c r="E112" s="309"/>
      <c r="F112" s="309"/>
    </row>
    <row r="113" spans="2:6" x14ac:dyDescent="0.2">
      <c r="B113" s="308"/>
      <c r="C113" s="309"/>
      <c r="E113" s="309"/>
      <c r="F113" s="309"/>
    </row>
    <row r="114" spans="2:6" x14ac:dyDescent="0.2">
      <c r="B114" s="308"/>
      <c r="C114" s="309"/>
      <c r="E114" s="309"/>
      <c r="F114" s="309"/>
    </row>
    <row r="115" spans="2:6" x14ac:dyDescent="0.2">
      <c r="B115" s="308"/>
      <c r="C115" s="309"/>
      <c r="E115" s="309"/>
      <c r="F115" s="309"/>
    </row>
    <row r="116" spans="2:6" x14ac:dyDescent="0.2">
      <c r="B116" s="308"/>
      <c r="C116" s="309"/>
      <c r="E116" s="309"/>
      <c r="F116" s="309"/>
    </row>
    <row r="117" spans="2:6" x14ac:dyDescent="0.2">
      <c r="B117" s="308"/>
      <c r="C117" s="309"/>
      <c r="E117" s="309"/>
      <c r="F117" s="309"/>
    </row>
    <row r="118" spans="2:6" x14ac:dyDescent="0.2">
      <c r="B118" s="308"/>
      <c r="C118" s="309"/>
      <c r="E118" s="309"/>
      <c r="F118" s="309"/>
    </row>
    <row r="119" spans="2:6" x14ac:dyDescent="0.2">
      <c r="B119" s="308"/>
      <c r="C119" s="309"/>
      <c r="E119" s="309"/>
      <c r="F119" s="309"/>
    </row>
    <row r="120" spans="2:6" x14ac:dyDescent="0.2">
      <c r="B120" s="308"/>
      <c r="C120" s="309"/>
      <c r="E120" s="309"/>
      <c r="F120" s="309"/>
    </row>
    <row r="121" spans="2:6" x14ac:dyDescent="0.2">
      <c r="B121" s="308"/>
      <c r="C121" s="309"/>
      <c r="E121" s="309"/>
      <c r="F121" s="309"/>
    </row>
    <row r="122" spans="2:6" x14ac:dyDescent="0.2">
      <c r="B122" s="308"/>
      <c r="C122" s="309"/>
      <c r="E122" s="309"/>
      <c r="F122" s="309"/>
    </row>
    <row r="123" spans="2:6" x14ac:dyDescent="0.2">
      <c r="B123" s="308"/>
      <c r="C123" s="309"/>
      <c r="E123" s="309"/>
      <c r="F123" s="309"/>
    </row>
    <row r="124" spans="2:6" x14ac:dyDescent="0.2">
      <c r="B124" s="308"/>
      <c r="C124" s="309"/>
      <c r="E124" s="309"/>
      <c r="F124" s="309"/>
    </row>
    <row r="125" spans="2:6" x14ac:dyDescent="0.2">
      <c r="B125" s="308"/>
      <c r="C125" s="309"/>
      <c r="E125" s="309"/>
      <c r="F125" s="309"/>
    </row>
    <row r="126" spans="2:6" x14ac:dyDescent="0.2">
      <c r="B126" s="308"/>
      <c r="C126" s="309"/>
      <c r="E126" s="309"/>
      <c r="F126" s="309"/>
    </row>
    <row r="127" spans="2:6" x14ac:dyDescent="0.2">
      <c r="B127" s="308"/>
      <c r="C127" s="309"/>
      <c r="E127" s="309"/>
      <c r="F127" s="309"/>
    </row>
    <row r="128" spans="2:6" x14ac:dyDescent="0.2">
      <c r="B128" s="308"/>
      <c r="C128" s="309"/>
      <c r="E128" s="309"/>
      <c r="F128" s="309"/>
    </row>
    <row r="129" spans="2:6" x14ac:dyDescent="0.2">
      <c r="B129" s="308"/>
      <c r="C129" s="309"/>
      <c r="E129" s="309"/>
      <c r="F129" s="309"/>
    </row>
    <row r="130" spans="2:6" x14ac:dyDescent="0.2">
      <c r="B130" s="308"/>
      <c r="C130" s="309"/>
      <c r="E130" s="309"/>
      <c r="F130" s="309"/>
    </row>
    <row r="131" spans="2:6" x14ac:dyDescent="0.2">
      <c r="B131" s="308"/>
      <c r="C131" s="309"/>
      <c r="E131" s="309"/>
      <c r="F131" s="309"/>
    </row>
    <row r="132" spans="2:6" x14ac:dyDescent="0.2">
      <c r="B132" s="308"/>
      <c r="C132" s="309"/>
      <c r="E132" s="309"/>
      <c r="F132" s="309"/>
    </row>
    <row r="133" spans="2:6" x14ac:dyDescent="0.2">
      <c r="B133" s="308"/>
      <c r="C133" s="309"/>
      <c r="E133" s="309"/>
      <c r="F133" s="309"/>
    </row>
    <row r="134" spans="2:6" x14ac:dyDescent="0.2">
      <c r="B134" s="308"/>
      <c r="C134" s="309"/>
      <c r="E134" s="309"/>
      <c r="F134" s="309"/>
    </row>
    <row r="135" spans="2:6" x14ac:dyDescent="0.2">
      <c r="B135" s="308"/>
      <c r="C135" s="309"/>
      <c r="E135" s="309"/>
      <c r="F135" s="309"/>
    </row>
    <row r="136" spans="2:6" x14ac:dyDescent="0.2">
      <c r="B136" s="308"/>
      <c r="C136" s="309"/>
      <c r="E136" s="309"/>
      <c r="F136" s="309"/>
    </row>
    <row r="137" spans="2:6" x14ac:dyDescent="0.2">
      <c r="B137" s="308"/>
      <c r="C137" s="309"/>
      <c r="E137" s="309"/>
      <c r="F137" s="309"/>
    </row>
    <row r="138" spans="2:6" x14ac:dyDescent="0.2">
      <c r="B138" s="308"/>
      <c r="C138" s="309"/>
      <c r="E138" s="309"/>
      <c r="F138" s="309"/>
    </row>
    <row r="139" spans="2:6" x14ac:dyDescent="0.2">
      <c r="B139" s="308"/>
      <c r="C139" s="309"/>
      <c r="E139" s="309"/>
      <c r="F139" s="309"/>
    </row>
    <row r="140" spans="2:6" x14ac:dyDescent="0.2">
      <c r="B140" s="308"/>
      <c r="C140" s="309"/>
      <c r="E140" s="309"/>
      <c r="F140" s="309"/>
    </row>
    <row r="141" spans="2:6" x14ac:dyDescent="0.2">
      <c r="B141" s="308"/>
      <c r="C141" s="309"/>
      <c r="E141" s="309"/>
      <c r="F141" s="309"/>
    </row>
    <row r="142" spans="2:6" x14ac:dyDescent="0.2">
      <c r="B142" s="308"/>
      <c r="C142" s="309"/>
      <c r="E142" s="309"/>
      <c r="F142" s="309"/>
    </row>
    <row r="143" spans="2:6" x14ac:dyDescent="0.2">
      <c r="B143" s="308"/>
      <c r="C143" s="309"/>
      <c r="E143" s="309"/>
      <c r="F143" s="309"/>
    </row>
    <row r="144" spans="2:6" x14ac:dyDescent="0.2">
      <c r="B144" s="308"/>
      <c r="C144" s="309"/>
      <c r="E144" s="309"/>
      <c r="F144" s="309"/>
    </row>
    <row r="145" spans="2:6" x14ac:dyDescent="0.2">
      <c r="B145" s="308"/>
      <c r="C145" s="309"/>
      <c r="E145" s="309"/>
      <c r="F145" s="309"/>
    </row>
    <row r="146" spans="2:6" x14ac:dyDescent="0.2">
      <c r="B146" s="308"/>
      <c r="C146" s="309"/>
      <c r="E146" s="309"/>
      <c r="F146" s="309"/>
    </row>
    <row r="147" spans="2:6" x14ac:dyDescent="0.2">
      <c r="B147" s="308"/>
      <c r="C147" s="309"/>
      <c r="E147" s="309"/>
      <c r="F147" s="309"/>
    </row>
    <row r="148" spans="2:6" x14ac:dyDescent="0.2">
      <c r="B148" s="308"/>
      <c r="C148" s="309"/>
      <c r="E148" s="309"/>
      <c r="F148" s="309"/>
    </row>
    <row r="149" spans="2:6" x14ac:dyDescent="0.2">
      <c r="B149" s="308"/>
      <c r="C149" s="309"/>
      <c r="E149" s="309"/>
      <c r="F149" s="309"/>
    </row>
    <row r="150" spans="2:6" x14ac:dyDescent="0.2">
      <c r="B150" s="308"/>
      <c r="C150" s="309"/>
      <c r="E150" s="309"/>
      <c r="F150" s="309"/>
    </row>
    <row r="151" spans="2:6" x14ac:dyDescent="0.2">
      <c r="B151" s="308"/>
      <c r="C151" s="309"/>
      <c r="E151" s="309"/>
      <c r="F151" s="309"/>
    </row>
    <row r="152" spans="2:6" x14ac:dyDescent="0.2">
      <c r="B152" s="308"/>
      <c r="C152" s="309"/>
      <c r="E152" s="309"/>
      <c r="F152" s="309"/>
    </row>
    <row r="153" spans="2:6" x14ac:dyDescent="0.2">
      <c r="B153" s="308"/>
      <c r="C153" s="309"/>
      <c r="E153" s="309"/>
      <c r="F153" s="309"/>
    </row>
    <row r="154" spans="2:6" x14ac:dyDescent="0.2">
      <c r="B154" s="308"/>
      <c r="C154" s="309"/>
      <c r="E154" s="309"/>
      <c r="F154" s="309"/>
    </row>
    <row r="155" spans="2:6" x14ac:dyDescent="0.2">
      <c r="B155" s="308"/>
      <c r="C155" s="309"/>
      <c r="E155" s="309"/>
      <c r="F155" s="309"/>
    </row>
    <row r="156" spans="2:6" x14ac:dyDescent="0.2">
      <c r="B156" s="308"/>
      <c r="C156" s="309"/>
      <c r="E156" s="309"/>
      <c r="F156" s="309"/>
    </row>
    <row r="157" spans="2:6" x14ac:dyDescent="0.2">
      <c r="B157" s="308"/>
      <c r="C157" s="309"/>
      <c r="E157" s="309"/>
      <c r="F157" s="309"/>
    </row>
    <row r="158" spans="2:6" x14ac:dyDescent="0.2">
      <c r="B158" s="308"/>
      <c r="C158" s="309"/>
      <c r="E158" s="309"/>
      <c r="F158" s="309"/>
    </row>
    <row r="159" spans="2:6" x14ac:dyDescent="0.2">
      <c r="B159" s="308"/>
      <c r="C159" s="309"/>
      <c r="E159" s="309"/>
      <c r="F159" s="309"/>
    </row>
    <row r="160" spans="2:6" x14ac:dyDescent="0.2">
      <c r="B160" s="308"/>
      <c r="C160" s="309"/>
      <c r="E160" s="309"/>
      <c r="F160" s="309"/>
    </row>
    <row r="161" spans="2:6" x14ac:dyDescent="0.2">
      <c r="B161" s="308"/>
      <c r="C161" s="309"/>
      <c r="E161" s="309"/>
      <c r="F161" s="309"/>
    </row>
    <row r="162" spans="2:6" x14ac:dyDescent="0.2">
      <c r="B162" s="308"/>
      <c r="C162" s="309"/>
      <c r="E162" s="309"/>
      <c r="F162" s="309"/>
    </row>
    <row r="163" spans="2:6" x14ac:dyDescent="0.2">
      <c r="B163" s="308"/>
      <c r="C163" s="309"/>
      <c r="E163" s="309"/>
      <c r="F163" s="309"/>
    </row>
    <row r="164" spans="2:6" x14ac:dyDescent="0.2">
      <c r="B164" s="308"/>
      <c r="C164" s="309"/>
      <c r="E164" s="309"/>
      <c r="F164" s="309"/>
    </row>
    <row r="165" spans="2:6" x14ac:dyDescent="0.2">
      <c r="B165" s="308"/>
      <c r="C165" s="309"/>
      <c r="E165" s="309"/>
      <c r="F165" s="309"/>
    </row>
    <row r="166" spans="2:6" x14ac:dyDescent="0.2">
      <c r="B166" s="308"/>
      <c r="C166" s="309"/>
      <c r="E166" s="309"/>
      <c r="F166" s="309"/>
    </row>
    <row r="167" spans="2:6" x14ac:dyDescent="0.2">
      <c r="B167" s="308"/>
      <c r="C167" s="309"/>
      <c r="E167" s="309"/>
      <c r="F167" s="309"/>
    </row>
    <row r="168" spans="2:6" x14ac:dyDescent="0.2">
      <c r="B168" s="308"/>
      <c r="C168" s="309"/>
      <c r="E168" s="309"/>
      <c r="F168" s="309"/>
    </row>
    <row r="169" spans="2:6" x14ac:dyDescent="0.2">
      <c r="B169" s="308"/>
      <c r="C169" s="309"/>
      <c r="E169" s="309"/>
      <c r="F169" s="309"/>
    </row>
    <row r="170" spans="2:6" x14ac:dyDescent="0.2">
      <c r="B170" s="308"/>
      <c r="C170" s="309"/>
      <c r="E170" s="309"/>
      <c r="F170" s="309"/>
    </row>
    <row r="171" spans="2:6" x14ac:dyDescent="0.2">
      <c r="B171" s="308"/>
      <c r="C171" s="309"/>
      <c r="E171" s="309"/>
      <c r="F171" s="309"/>
    </row>
    <row r="172" spans="2:6" x14ac:dyDescent="0.2">
      <c r="B172" s="308"/>
      <c r="C172" s="309"/>
      <c r="E172" s="309"/>
      <c r="F172" s="309"/>
    </row>
    <row r="173" spans="2:6" x14ac:dyDescent="0.2">
      <c r="B173" s="308"/>
      <c r="C173" s="309"/>
      <c r="E173" s="309"/>
      <c r="F173" s="309"/>
    </row>
    <row r="174" spans="2:6" x14ac:dyDescent="0.2">
      <c r="B174" s="308"/>
      <c r="C174" s="309"/>
      <c r="E174" s="309"/>
      <c r="F174" s="309"/>
    </row>
    <row r="175" spans="2:6" x14ac:dyDescent="0.2">
      <c r="B175" s="308"/>
      <c r="C175" s="309"/>
      <c r="E175" s="309"/>
      <c r="F175" s="309"/>
    </row>
    <row r="176" spans="2:6" x14ac:dyDescent="0.2">
      <c r="B176" s="308"/>
      <c r="C176" s="309"/>
      <c r="E176" s="309"/>
      <c r="F176" s="309"/>
    </row>
    <row r="177" spans="2:6" x14ac:dyDescent="0.2">
      <c r="B177" s="308"/>
      <c r="C177" s="309"/>
      <c r="E177" s="309"/>
      <c r="F177" s="309"/>
    </row>
    <row r="178" spans="2:6" x14ac:dyDescent="0.2">
      <c r="B178" s="308"/>
      <c r="C178" s="309"/>
      <c r="E178" s="309"/>
      <c r="F178" s="309"/>
    </row>
    <row r="179" spans="2:6" x14ac:dyDescent="0.2">
      <c r="B179" s="308"/>
      <c r="C179" s="309"/>
      <c r="E179" s="309"/>
      <c r="F179" s="309"/>
    </row>
    <row r="180" spans="2:6" x14ac:dyDescent="0.2">
      <c r="B180" s="308"/>
      <c r="C180" s="309"/>
      <c r="E180" s="309"/>
      <c r="F180" s="309"/>
    </row>
    <row r="181" spans="2:6" x14ac:dyDescent="0.2">
      <c r="B181" s="308"/>
      <c r="C181" s="309"/>
      <c r="E181" s="309"/>
      <c r="F181" s="309"/>
    </row>
    <row r="182" spans="2:6" x14ac:dyDescent="0.2">
      <c r="B182" s="308"/>
      <c r="C182" s="309"/>
      <c r="E182" s="309"/>
      <c r="F182" s="309"/>
    </row>
    <row r="183" spans="2:6" x14ac:dyDescent="0.2">
      <c r="B183" s="308"/>
      <c r="C183" s="309"/>
      <c r="E183" s="309"/>
      <c r="F183" s="309"/>
    </row>
    <row r="184" spans="2:6" x14ac:dyDescent="0.2">
      <c r="B184" s="308"/>
      <c r="C184" s="309"/>
      <c r="E184" s="309"/>
      <c r="F184" s="309"/>
    </row>
    <row r="185" spans="2:6" x14ac:dyDescent="0.2">
      <c r="B185" s="308"/>
      <c r="C185" s="309"/>
      <c r="E185" s="309"/>
      <c r="F185" s="309"/>
    </row>
    <row r="186" spans="2:6" x14ac:dyDescent="0.2">
      <c r="B186" s="308"/>
      <c r="C186" s="309"/>
      <c r="E186" s="309"/>
      <c r="F186" s="309"/>
    </row>
    <row r="187" spans="2:6" x14ac:dyDescent="0.2">
      <c r="B187" s="308"/>
      <c r="C187" s="309"/>
      <c r="E187" s="309"/>
      <c r="F187" s="309"/>
    </row>
    <row r="188" spans="2:6" x14ac:dyDescent="0.2">
      <c r="B188" s="308"/>
      <c r="C188" s="309"/>
      <c r="E188" s="309"/>
      <c r="F188" s="309"/>
    </row>
    <row r="189" spans="2:6" x14ac:dyDescent="0.2">
      <c r="B189" s="308"/>
      <c r="C189" s="309"/>
      <c r="E189" s="309"/>
      <c r="F189" s="309"/>
    </row>
    <row r="190" spans="2:6" x14ac:dyDescent="0.2">
      <c r="B190" s="308"/>
      <c r="C190" s="309"/>
      <c r="E190" s="309"/>
      <c r="F190" s="309"/>
    </row>
    <row r="191" spans="2:6" x14ac:dyDescent="0.2">
      <c r="B191" s="308"/>
      <c r="C191" s="309"/>
      <c r="E191" s="309"/>
      <c r="F191" s="309"/>
    </row>
    <row r="192" spans="2:6" x14ac:dyDescent="0.2">
      <c r="B192" s="308"/>
      <c r="C192" s="309"/>
      <c r="E192" s="309"/>
      <c r="F192" s="309"/>
    </row>
    <row r="193" spans="2:6" x14ac:dyDescent="0.2">
      <c r="B193" s="308"/>
      <c r="C193" s="309"/>
      <c r="E193" s="309"/>
      <c r="F193" s="309"/>
    </row>
    <row r="194" spans="2:6" x14ac:dyDescent="0.2">
      <c r="B194" s="308"/>
      <c r="C194" s="309"/>
      <c r="E194" s="309"/>
      <c r="F194" s="309"/>
    </row>
    <row r="195" spans="2:6" x14ac:dyDescent="0.2">
      <c r="B195" s="308"/>
      <c r="C195" s="309"/>
      <c r="E195" s="309"/>
      <c r="F195" s="309"/>
    </row>
    <row r="196" spans="2:6" x14ac:dyDescent="0.2">
      <c r="B196" s="308"/>
      <c r="C196" s="309"/>
      <c r="E196" s="309"/>
      <c r="F196" s="309"/>
    </row>
    <row r="197" spans="2:6" x14ac:dyDescent="0.2">
      <c r="B197" s="308"/>
      <c r="C197" s="309"/>
      <c r="E197" s="309"/>
      <c r="F197" s="309"/>
    </row>
    <row r="198" spans="2:6" x14ac:dyDescent="0.2">
      <c r="B198" s="308"/>
      <c r="C198" s="309"/>
      <c r="E198" s="309"/>
      <c r="F198" s="309"/>
    </row>
    <row r="199" spans="2:6" x14ac:dyDescent="0.2">
      <c r="B199" s="308"/>
      <c r="C199" s="309"/>
      <c r="E199" s="309"/>
      <c r="F199" s="309"/>
    </row>
    <row r="200" spans="2:6" x14ac:dyDescent="0.2">
      <c r="B200" s="308"/>
      <c r="C200" s="309"/>
      <c r="E200" s="309"/>
      <c r="F200" s="309"/>
    </row>
    <row r="201" spans="2:6" x14ac:dyDescent="0.2">
      <c r="B201" s="308"/>
      <c r="C201" s="309"/>
      <c r="E201" s="309"/>
      <c r="F201" s="309"/>
    </row>
    <row r="202" spans="2:6" x14ac:dyDescent="0.2">
      <c r="B202" s="308"/>
      <c r="C202" s="309"/>
      <c r="E202" s="309"/>
      <c r="F202" s="309"/>
    </row>
    <row r="203" spans="2:6" x14ac:dyDescent="0.2">
      <c r="B203" s="308"/>
      <c r="C203" s="309"/>
      <c r="E203" s="309"/>
      <c r="F203" s="309"/>
    </row>
    <row r="204" spans="2:6" x14ac:dyDescent="0.2">
      <c r="B204" s="308"/>
      <c r="C204" s="309"/>
      <c r="E204" s="309"/>
      <c r="F204" s="309"/>
    </row>
    <row r="205" spans="2:6" x14ac:dyDescent="0.2">
      <c r="B205" s="308"/>
      <c r="C205" s="309"/>
      <c r="E205" s="309"/>
      <c r="F205" s="309"/>
    </row>
    <row r="206" spans="2:6" x14ac:dyDescent="0.2">
      <c r="B206" s="308"/>
      <c r="C206" s="309"/>
      <c r="E206" s="309"/>
      <c r="F206" s="309"/>
    </row>
    <row r="207" spans="2:6" x14ac:dyDescent="0.2">
      <c r="B207" s="308"/>
      <c r="C207" s="309"/>
      <c r="E207" s="309"/>
      <c r="F207" s="309"/>
    </row>
    <row r="208" spans="2:6" x14ac:dyDescent="0.2">
      <c r="B208" s="308"/>
      <c r="C208" s="309"/>
      <c r="E208" s="309"/>
      <c r="F208" s="309"/>
    </row>
    <row r="209" spans="2:6" x14ac:dyDescent="0.2">
      <c r="B209" s="308"/>
      <c r="C209" s="309"/>
      <c r="E209" s="309"/>
      <c r="F209" s="309"/>
    </row>
    <row r="210" spans="2:6" x14ac:dyDescent="0.2">
      <c r="B210" s="308"/>
      <c r="C210" s="309"/>
      <c r="E210" s="309"/>
      <c r="F210" s="309"/>
    </row>
    <row r="211" spans="2:6" x14ac:dyDescent="0.2">
      <c r="B211" s="308"/>
      <c r="C211" s="309"/>
      <c r="E211" s="309"/>
      <c r="F211" s="309"/>
    </row>
    <row r="212" spans="2:6" x14ac:dyDescent="0.2">
      <c r="B212" s="308"/>
      <c r="C212" s="309"/>
      <c r="E212" s="309"/>
      <c r="F212" s="309"/>
    </row>
    <row r="213" spans="2:6" x14ac:dyDescent="0.2">
      <c r="B213" s="308"/>
      <c r="C213" s="309"/>
      <c r="E213" s="309"/>
      <c r="F213" s="309"/>
    </row>
    <row r="214" spans="2:6" x14ac:dyDescent="0.2">
      <c r="B214" s="308"/>
      <c r="C214" s="309"/>
      <c r="E214" s="309"/>
      <c r="F214" s="309"/>
    </row>
    <row r="215" spans="2:6" x14ac:dyDescent="0.2">
      <c r="B215" s="308"/>
      <c r="C215" s="309"/>
      <c r="E215" s="309"/>
      <c r="F215" s="309"/>
    </row>
    <row r="216" spans="2:6" x14ac:dyDescent="0.2">
      <c r="B216" s="308"/>
      <c r="C216" s="309"/>
      <c r="E216" s="309"/>
      <c r="F216" s="309"/>
    </row>
    <row r="217" spans="2:6" x14ac:dyDescent="0.2">
      <c r="B217" s="308"/>
      <c r="C217" s="309"/>
      <c r="E217" s="309"/>
      <c r="F217" s="309"/>
    </row>
    <row r="218" spans="2:6" x14ac:dyDescent="0.2">
      <c r="B218" s="308"/>
      <c r="C218" s="309"/>
      <c r="E218" s="309"/>
      <c r="F218" s="309"/>
    </row>
    <row r="219" spans="2:6" x14ac:dyDescent="0.2">
      <c r="B219" s="308"/>
      <c r="C219" s="309"/>
      <c r="E219" s="309"/>
      <c r="F219" s="309"/>
    </row>
    <row r="220" spans="2:6" x14ac:dyDescent="0.2">
      <c r="B220" s="308"/>
      <c r="C220" s="309"/>
      <c r="E220" s="309"/>
      <c r="F220" s="309"/>
    </row>
    <row r="221" spans="2:6" x14ac:dyDescent="0.2">
      <c r="B221" s="308"/>
      <c r="C221" s="309"/>
      <c r="E221" s="309"/>
      <c r="F221" s="309"/>
    </row>
    <row r="222" spans="2:6" x14ac:dyDescent="0.2">
      <c r="B222" s="308"/>
      <c r="C222" s="309"/>
      <c r="E222" s="309"/>
      <c r="F222" s="309"/>
    </row>
    <row r="223" spans="2:6" x14ac:dyDescent="0.2">
      <c r="B223" s="308"/>
      <c r="C223" s="309"/>
      <c r="E223" s="309"/>
      <c r="F223" s="309"/>
    </row>
    <row r="224" spans="2:6" x14ac:dyDescent="0.2">
      <c r="B224" s="308"/>
      <c r="C224" s="309"/>
      <c r="E224" s="309"/>
      <c r="F224" s="309"/>
    </row>
    <row r="225" spans="2:6" x14ac:dyDescent="0.2">
      <c r="B225" s="308"/>
      <c r="C225" s="309"/>
      <c r="E225" s="309"/>
      <c r="F225" s="309"/>
    </row>
    <row r="226" spans="2:6" x14ac:dyDescent="0.2">
      <c r="B226" s="308"/>
      <c r="C226" s="309"/>
      <c r="E226" s="309"/>
      <c r="F226" s="309"/>
    </row>
    <row r="227" spans="2:6" x14ac:dyDescent="0.2">
      <c r="B227" s="308"/>
      <c r="C227" s="309"/>
      <c r="E227" s="309"/>
      <c r="F227" s="309"/>
    </row>
    <row r="228" spans="2:6" x14ac:dyDescent="0.2">
      <c r="B228" s="308"/>
      <c r="C228" s="309"/>
      <c r="E228" s="309"/>
      <c r="F228" s="309"/>
    </row>
    <row r="229" spans="2:6" x14ac:dyDescent="0.2">
      <c r="B229" s="308"/>
      <c r="C229" s="309"/>
      <c r="E229" s="309"/>
      <c r="F229" s="309"/>
    </row>
    <row r="230" spans="2:6" x14ac:dyDescent="0.2">
      <c r="B230" s="308"/>
      <c r="C230" s="309"/>
      <c r="E230" s="309"/>
      <c r="F230" s="309"/>
    </row>
    <row r="231" spans="2:6" x14ac:dyDescent="0.2">
      <c r="B231" s="308"/>
      <c r="C231" s="309"/>
      <c r="E231" s="309"/>
      <c r="F231" s="309"/>
    </row>
    <row r="232" spans="2:6" x14ac:dyDescent="0.2">
      <c r="B232" s="308"/>
      <c r="C232" s="309"/>
      <c r="E232" s="309"/>
      <c r="F232" s="309"/>
    </row>
    <row r="233" spans="2:6" x14ac:dyDescent="0.2">
      <c r="B233" s="308"/>
      <c r="C233" s="309"/>
      <c r="E233" s="309"/>
      <c r="F233" s="309"/>
    </row>
    <row r="234" spans="2:6" x14ac:dyDescent="0.2">
      <c r="B234" s="308"/>
      <c r="C234" s="309"/>
      <c r="E234" s="309"/>
      <c r="F234" s="309"/>
    </row>
    <row r="235" spans="2:6" x14ac:dyDescent="0.2">
      <c r="B235" s="308"/>
      <c r="C235" s="309"/>
      <c r="E235" s="309"/>
      <c r="F235" s="309"/>
    </row>
    <row r="236" spans="2:6" x14ac:dyDescent="0.2">
      <c r="B236" s="308"/>
      <c r="C236" s="309"/>
      <c r="E236" s="309"/>
      <c r="F236" s="309"/>
    </row>
    <row r="237" spans="2:6" x14ac:dyDescent="0.2">
      <c r="B237" s="308"/>
      <c r="C237" s="309"/>
      <c r="E237" s="309"/>
      <c r="F237" s="309"/>
    </row>
    <row r="238" spans="2:6" x14ac:dyDescent="0.2">
      <c r="B238" s="308"/>
      <c r="C238" s="309"/>
      <c r="E238" s="309"/>
      <c r="F238" s="309"/>
    </row>
    <row r="239" spans="2:6" x14ac:dyDescent="0.2">
      <c r="B239" s="308"/>
      <c r="C239" s="309"/>
      <c r="E239" s="309"/>
      <c r="F239" s="309"/>
    </row>
    <row r="240" spans="2:6" x14ac:dyDescent="0.2">
      <c r="B240" s="308"/>
      <c r="C240" s="309"/>
      <c r="E240" s="309"/>
      <c r="F240" s="309"/>
    </row>
    <row r="241" spans="2:6" x14ac:dyDescent="0.2">
      <c r="B241" s="308"/>
      <c r="C241" s="309"/>
      <c r="E241" s="309"/>
      <c r="F241" s="309"/>
    </row>
    <row r="242" spans="2:6" x14ac:dyDescent="0.2">
      <c r="B242" s="308"/>
      <c r="C242" s="309"/>
      <c r="E242" s="309"/>
      <c r="F242" s="309"/>
    </row>
    <row r="243" spans="2:6" x14ac:dyDescent="0.2">
      <c r="B243" s="308"/>
      <c r="C243" s="309"/>
      <c r="E243" s="309"/>
      <c r="F243" s="309"/>
    </row>
    <row r="244" spans="2:6" x14ac:dyDescent="0.2">
      <c r="B244" s="308"/>
      <c r="C244" s="309"/>
      <c r="E244" s="309"/>
      <c r="F244" s="309"/>
    </row>
    <row r="245" spans="2:6" x14ac:dyDescent="0.2">
      <c r="B245" s="308"/>
      <c r="C245" s="309"/>
      <c r="E245" s="309"/>
      <c r="F245" s="309"/>
    </row>
    <row r="246" spans="2:6" x14ac:dyDescent="0.2">
      <c r="B246" s="308"/>
      <c r="C246" s="309"/>
      <c r="E246" s="309"/>
      <c r="F246" s="309"/>
    </row>
    <row r="247" spans="2:6" x14ac:dyDescent="0.2">
      <c r="B247" s="308"/>
      <c r="C247" s="309"/>
      <c r="E247" s="309"/>
      <c r="F247" s="309"/>
    </row>
    <row r="248" spans="2:6" x14ac:dyDescent="0.2">
      <c r="B248" s="308"/>
      <c r="C248" s="309"/>
      <c r="E248" s="309"/>
      <c r="F248" s="309"/>
    </row>
    <row r="249" spans="2:6" x14ac:dyDescent="0.2">
      <c r="B249" s="308"/>
      <c r="C249" s="309"/>
      <c r="E249" s="309"/>
      <c r="F249" s="309"/>
    </row>
    <row r="250" spans="2:6" x14ac:dyDescent="0.2">
      <c r="B250" s="308"/>
      <c r="C250" s="309"/>
      <c r="E250" s="309"/>
      <c r="F250" s="309"/>
    </row>
    <row r="251" spans="2:6" x14ac:dyDescent="0.2">
      <c r="B251" s="308"/>
      <c r="C251" s="309"/>
      <c r="E251" s="309"/>
      <c r="F251" s="309"/>
    </row>
    <row r="252" spans="2:6" x14ac:dyDescent="0.2">
      <c r="B252" s="308"/>
      <c r="C252" s="309"/>
      <c r="E252" s="309"/>
      <c r="F252" s="309"/>
    </row>
    <row r="253" spans="2:6" x14ac:dyDescent="0.2">
      <c r="B253" s="308"/>
      <c r="C253" s="309"/>
      <c r="E253" s="309"/>
      <c r="F253" s="309"/>
    </row>
    <row r="254" spans="2:6" x14ac:dyDescent="0.2">
      <c r="B254" s="308"/>
      <c r="C254" s="309"/>
      <c r="E254" s="309"/>
      <c r="F254" s="309"/>
    </row>
    <row r="255" spans="2:6" x14ac:dyDescent="0.2">
      <c r="B255" s="308"/>
      <c r="C255" s="309"/>
      <c r="E255" s="309"/>
      <c r="F255" s="309"/>
    </row>
    <row r="256" spans="2:6" x14ac:dyDescent="0.2">
      <c r="B256" s="308"/>
      <c r="C256" s="309"/>
      <c r="E256" s="309"/>
      <c r="F256" s="309"/>
    </row>
    <row r="257" spans="2:6" x14ac:dyDescent="0.2">
      <c r="B257" s="308"/>
      <c r="C257" s="309"/>
      <c r="E257" s="309"/>
      <c r="F257" s="309"/>
    </row>
    <row r="258" spans="2:6" x14ac:dyDescent="0.2">
      <c r="B258" s="308"/>
      <c r="C258" s="309"/>
      <c r="E258" s="309"/>
      <c r="F258" s="309"/>
    </row>
    <row r="259" spans="2:6" x14ac:dyDescent="0.2">
      <c r="B259" s="308"/>
      <c r="C259" s="309"/>
      <c r="E259" s="309"/>
      <c r="F259" s="309"/>
    </row>
    <row r="260" spans="2:6" x14ac:dyDescent="0.2">
      <c r="B260" s="308"/>
      <c r="C260" s="309"/>
      <c r="E260" s="309"/>
      <c r="F260" s="309"/>
    </row>
    <row r="261" spans="2:6" x14ac:dyDescent="0.2">
      <c r="B261" s="308"/>
      <c r="C261" s="309"/>
      <c r="E261" s="309"/>
      <c r="F261" s="309"/>
    </row>
    <row r="262" spans="2:6" x14ac:dyDescent="0.2">
      <c r="B262" s="308"/>
      <c r="C262" s="309"/>
      <c r="E262" s="309"/>
      <c r="F262" s="309"/>
    </row>
    <row r="263" spans="2:6" x14ac:dyDescent="0.2">
      <c r="B263" s="308"/>
      <c r="C263" s="309"/>
      <c r="E263" s="309"/>
      <c r="F263" s="309"/>
    </row>
    <row r="264" spans="2:6" x14ac:dyDescent="0.2">
      <c r="B264" s="308"/>
      <c r="C264" s="309"/>
      <c r="E264" s="309"/>
      <c r="F264" s="309"/>
    </row>
    <row r="265" spans="2:6" x14ac:dyDescent="0.2">
      <c r="B265" s="308"/>
      <c r="C265" s="309"/>
      <c r="E265" s="309"/>
      <c r="F265" s="309"/>
    </row>
    <row r="266" spans="2:6" x14ac:dyDescent="0.2">
      <c r="B266" s="308"/>
      <c r="C266" s="309"/>
      <c r="E266" s="309"/>
      <c r="F266" s="309"/>
    </row>
    <row r="267" spans="2:6" x14ac:dyDescent="0.2">
      <c r="B267" s="308"/>
      <c r="C267" s="309"/>
      <c r="E267" s="309"/>
      <c r="F267" s="309"/>
    </row>
    <row r="268" spans="2:6" x14ac:dyDescent="0.2">
      <c r="B268" s="308"/>
      <c r="C268" s="309"/>
      <c r="E268" s="309"/>
      <c r="F268" s="309"/>
    </row>
    <row r="269" spans="2:6" x14ac:dyDescent="0.2">
      <c r="B269" s="308"/>
      <c r="C269" s="309"/>
      <c r="E269" s="309"/>
      <c r="F269" s="309"/>
    </row>
    <row r="270" spans="2:6" x14ac:dyDescent="0.2">
      <c r="B270" s="308"/>
      <c r="C270" s="309"/>
      <c r="E270" s="309"/>
      <c r="F270" s="309"/>
    </row>
    <row r="271" spans="2:6" x14ac:dyDescent="0.2">
      <c r="B271" s="308"/>
      <c r="C271" s="309"/>
      <c r="E271" s="309"/>
      <c r="F271" s="309"/>
    </row>
    <row r="272" spans="2:6" x14ac:dyDescent="0.2">
      <c r="B272" s="308"/>
      <c r="C272" s="309"/>
      <c r="E272" s="309"/>
      <c r="F272" s="309"/>
    </row>
    <row r="273" spans="2:6" x14ac:dyDescent="0.2">
      <c r="B273" s="308"/>
      <c r="C273" s="309"/>
      <c r="E273" s="309"/>
      <c r="F273" s="309"/>
    </row>
    <row r="274" spans="2:6" x14ac:dyDescent="0.2">
      <c r="B274" s="308"/>
      <c r="C274" s="309"/>
      <c r="E274" s="309"/>
      <c r="F274" s="309"/>
    </row>
    <row r="275" spans="2:6" x14ac:dyDescent="0.2">
      <c r="B275" s="308"/>
      <c r="C275" s="309"/>
      <c r="E275" s="309"/>
      <c r="F275" s="309"/>
    </row>
    <row r="276" spans="2:6" x14ac:dyDescent="0.2">
      <c r="B276" s="308"/>
      <c r="C276" s="309"/>
      <c r="E276" s="309"/>
      <c r="F276" s="309"/>
    </row>
    <row r="277" spans="2:6" x14ac:dyDescent="0.2">
      <c r="B277" s="308"/>
      <c r="C277" s="309"/>
      <c r="E277" s="309"/>
      <c r="F277" s="309"/>
    </row>
    <row r="278" spans="2:6" x14ac:dyDescent="0.2">
      <c r="B278" s="308"/>
      <c r="C278" s="309"/>
      <c r="E278" s="309"/>
      <c r="F278" s="309"/>
    </row>
    <row r="279" spans="2:6" x14ac:dyDescent="0.2">
      <c r="B279" s="308"/>
      <c r="C279" s="309"/>
      <c r="E279" s="309"/>
      <c r="F279" s="309"/>
    </row>
    <row r="280" spans="2:6" x14ac:dyDescent="0.2">
      <c r="B280" s="308"/>
      <c r="C280" s="309"/>
      <c r="E280" s="309"/>
      <c r="F280" s="309"/>
    </row>
    <row r="281" spans="2:6" x14ac:dyDescent="0.2">
      <c r="B281" s="308"/>
      <c r="C281" s="309"/>
      <c r="E281" s="309"/>
      <c r="F281" s="309"/>
    </row>
    <row r="282" spans="2:6" x14ac:dyDescent="0.2">
      <c r="B282" s="308"/>
      <c r="C282" s="309"/>
      <c r="E282" s="309"/>
      <c r="F282" s="309"/>
    </row>
    <row r="283" spans="2:6" x14ac:dyDescent="0.2">
      <c r="B283" s="308"/>
      <c r="C283" s="309"/>
      <c r="E283" s="309"/>
      <c r="F283" s="309"/>
    </row>
    <row r="284" spans="2:6" x14ac:dyDescent="0.2">
      <c r="B284" s="308"/>
      <c r="C284" s="309"/>
      <c r="E284" s="309"/>
      <c r="F284" s="309"/>
    </row>
    <row r="285" spans="2:6" x14ac:dyDescent="0.2">
      <c r="B285" s="308"/>
      <c r="C285" s="309"/>
      <c r="E285" s="309"/>
      <c r="F285" s="309"/>
    </row>
    <row r="286" spans="2:6" x14ac:dyDescent="0.2">
      <c r="B286" s="308"/>
      <c r="C286" s="309"/>
      <c r="E286" s="309"/>
      <c r="F286" s="309"/>
    </row>
    <row r="287" spans="2:6" x14ac:dyDescent="0.2">
      <c r="B287" s="308"/>
      <c r="C287" s="309"/>
      <c r="E287" s="309"/>
      <c r="F287" s="309"/>
    </row>
    <row r="288" spans="2:6" x14ac:dyDescent="0.2">
      <c r="B288" s="308"/>
      <c r="C288" s="309"/>
      <c r="E288" s="309"/>
      <c r="F288" s="309"/>
    </row>
    <row r="289" spans="2:6" x14ac:dyDescent="0.2">
      <c r="B289" s="308"/>
      <c r="C289" s="309"/>
      <c r="E289" s="309"/>
      <c r="F289" s="309"/>
    </row>
    <row r="290" spans="2:6" x14ac:dyDescent="0.2">
      <c r="B290" s="308"/>
      <c r="C290" s="309"/>
      <c r="E290" s="309"/>
      <c r="F290" s="309"/>
    </row>
    <row r="291" spans="2:6" x14ac:dyDescent="0.2">
      <c r="B291" s="308"/>
      <c r="C291" s="309"/>
      <c r="E291" s="309"/>
      <c r="F291" s="309"/>
    </row>
    <row r="292" spans="2:6" x14ac:dyDescent="0.2">
      <c r="B292" s="308"/>
      <c r="C292" s="309"/>
      <c r="E292" s="309"/>
      <c r="F292" s="309"/>
    </row>
    <row r="293" spans="2:6" x14ac:dyDescent="0.2">
      <c r="B293" s="308"/>
      <c r="C293" s="309"/>
      <c r="E293" s="309"/>
      <c r="F293" s="309"/>
    </row>
    <row r="294" spans="2:6" x14ac:dyDescent="0.2">
      <c r="B294" s="308"/>
      <c r="C294" s="309"/>
      <c r="E294" s="309"/>
      <c r="F294" s="309"/>
    </row>
    <row r="295" spans="2:6" x14ac:dyDescent="0.2">
      <c r="B295" s="308"/>
      <c r="C295" s="309"/>
      <c r="E295" s="309"/>
      <c r="F295" s="309"/>
    </row>
    <row r="296" spans="2:6" x14ac:dyDescent="0.2">
      <c r="B296" s="308"/>
      <c r="C296" s="309"/>
      <c r="E296" s="309"/>
      <c r="F296" s="309"/>
    </row>
    <row r="297" spans="2:6" x14ac:dyDescent="0.2">
      <c r="B297" s="308"/>
      <c r="C297" s="309"/>
      <c r="E297" s="309"/>
      <c r="F297" s="309"/>
    </row>
    <row r="298" spans="2:6" x14ac:dyDescent="0.2">
      <c r="B298" s="308"/>
      <c r="C298" s="309"/>
      <c r="E298" s="309"/>
      <c r="F298" s="309"/>
    </row>
    <row r="299" spans="2:6" x14ac:dyDescent="0.2">
      <c r="B299" s="308"/>
      <c r="C299" s="309"/>
      <c r="E299" s="309"/>
      <c r="F299" s="309"/>
    </row>
    <row r="300" spans="2:6" x14ac:dyDescent="0.2">
      <c r="B300" s="308"/>
      <c r="C300" s="309"/>
      <c r="E300" s="309"/>
      <c r="F300" s="309"/>
    </row>
    <row r="301" spans="2:6" x14ac:dyDescent="0.2">
      <c r="B301" s="308"/>
      <c r="C301" s="309"/>
      <c r="E301" s="309"/>
      <c r="F301" s="309"/>
    </row>
    <row r="302" spans="2:6" x14ac:dyDescent="0.2">
      <c r="B302" s="308"/>
      <c r="C302" s="309"/>
      <c r="E302" s="309"/>
      <c r="F302" s="309"/>
    </row>
    <row r="303" spans="2:6" x14ac:dyDescent="0.2">
      <c r="B303" s="308"/>
      <c r="C303" s="309"/>
      <c r="E303" s="309"/>
      <c r="F303" s="309"/>
    </row>
    <row r="304" spans="2:6" x14ac:dyDescent="0.2">
      <c r="B304" s="308"/>
      <c r="C304" s="309"/>
      <c r="E304" s="309"/>
      <c r="F304" s="309"/>
    </row>
    <row r="305" spans="2:6" x14ac:dyDescent="0.2">
      <c r="B305" s="308"/>
      <c r="C305" s="309"/>
      <c r="E305" s="309"/>
      <c r="F305" s="309"/>
    </row>
    <row r="306" spans="2:6" x14ac:dyDescent="0.2">
      <c r="B306" s="308"/>
      <c r="C306" s="309"/>
      <c r="E306" s="309"/>
      <c r="F306" s="309"/>
    </row>
    <row r="307" spans="2:6" x14ac:dyDescent="0.2">
      <c r="B307" s="308"/>
      <c r="C307" s="309"/>
      <c r="E307" s="309"/>
      <c r="F307" s="309"/>
    </row>
    <row r="308" spans="2:6" x14ac:dyDescent="0.2">
      <c r="B308" s="308"/>
      <c r="C308" s="309"/>
      <c r="E308" s="309"/>
      <c r="F308" s="309"/>
    </row>
    <row r="309" spans="2:6" x14ac:dyDescent="0.2">
      <c r="B309" s="308"/>
      <c r="C309" s="309"/>
      <c r="E309" s="309"/>
      <c r="F309" s="309"/>
    </row>
    <row r="310" spans="2:6" x14ac:dyDescent="0.2">
      <c r="B310" s="308"/>
      <c r="C310" s="309"/>
      <c r="E310" s="309"/>
      <c r="F310" s="309"/>
    </row>
    <row r="311" spans="2:6" x14ac:dyDescent="0.2">
      <c r="B311" s="308"/>
      <c r="C311" s="309"/>
      <c r="E311" s="309"/>
      <c r="F311" s="309"/>
    </row>
    <row r="312" spans="2:6" x14ac:dyDescent="0.2">
      <c r="B312" s="308"/>
      <c r="C312" s="309"/>
      <c r="E312" s="309"/>
      <c r="F312" s="309"/>
    </row>
    <row r="313" spans="2:6" x14ac:dyDescent="0.2">
      <c r="B313" s="308"/>
      <c r="C313" s="309"/>
      <c r="E313" s="309"/>
      <c r="F313" s="309"/>
    </row>
    <row r="314" spans="2:6" x14ac:dyDescent="0.2">
      <c r="B314" s="308"/>
      <c r="C314" s="309"/>
      <c r="E314" s="309"/>
      <c r="F314" s="309"/>
    </row>
    <row r="315" spans="2:6" x14ac:dyDescent="0.2">
      <c r="B315" s="308"/>
      <c r="C315" s="309"/>
      <c r="E315" s="309"/>
      <c r="F315" s="309"/>
    </row>
    <row r="316" spans="2:6" x14ac:dyDescent="0.2">
      <c r="B316" s="308"/>
      <c r="C316" s="309"/>
      <c r="E316" s="309"/>
      <c r="F316" s="309"/>
    </row>
    <row r="317" spans="2:6" x14ac:dyDescent="0.2">
      <c r="B317" s="308"/>
      <c r="C317" s="309"/>
      <c r="E317" s="309"/>
      <c r="F317" s="309"/>
    </row>
    <row r="318" spans="2:6" x14ac:dyDescent="0.2">
      <c r="B318" s="308"/>
      <c r="C318" s="309"/>
      <c r="E318" s="309"/>
      <c r="F318" s="309"/>
    </row>
    <row r="319" spans="2:6" x14ac:dyDescent="0.2">
      <c r="B319" s="308"/>
      <c r="C319" s="309"/>
      <c r="E319" s="309"/>
      <c r="F319" s="309"/>
    </row>
    <row r="320" spans="2:6" x14ac:dyDescent="0.2">
      <c r="B320" s="308"/>
      <c r="C320" s="309"/>
      <c r="E320" s="309"/>
      <c r="F320" s="309"/>
    </row>
    <row r="321" spans="2:6" x14ac:dyDescent="0.2">
      <c r="B321" s="308"/>
      <c r="C321" s="309"/>
      <c r="E321" s="309"/>
      <c r="F321" s="309"/>
    </row>
    <row r="322" spans="2:6" x14ac:dyDescent="0.2">
      <c r="B322" s="308"/>
      <c r="C322" s="309"/>
      <c r="E322" s="309"/>
      <c r="F322" s="309"/>
    </row>
    <row r="323" spans="2:6" x14ac:dyDescent="0.2">
      <c r="B323" s="308"/>
      <c r="C323" s="309"/>
      <c r="E323" s="309"/>
      <c r="F323" s="309"/>
    </row>
    <row r="324" spans="2:6" x14ac:dyDescent="0.2">
      <c r="B324" s="308"/>
      <c r="C324" s="309"/>
      <c r="E324" s="309"/>
      <c r="F324" s="309"/>
    </row>
    <row r="325" spans="2:6" x14ac:dyDescent="0.2">
      <c r="B325" s="308"/>
      <c r="C325" s="309"/>
      <c r="E325" s="309"/>
      <c r="F325" s="309"/>
    </row>
    <row r="326" spans="2:6" x14ac:dyDescent="0.2">
      <c r="B326" s="308"/>
      <c r="C326" s="309"/>
      <c r="E326" s="309"/>
      <c r="F326" s="309"/>
    </row>
    <row r="327" spans="2:6" x14ac:dyDescent="0.2">
      <c r="B327" s="308"/>
      <c r="C327" s="309"/>
      <c r="E327" s="309"/>
      <c r="F327" s="309"/>
    </row>
    <row r="328" spans="2:6" x14ac:dyDescent="0.2">
      <c r="B328" s="308"/>
      <c r="C328" s="309"/>
      <c r="E328" s="309"/>
      <c r="F328" s="309"/>
    </row>
    <row r="329" spans="2:6" x14ac:dyDescent="0.2">
      <c r="B329" s="308"/>
      <c r="C329" s="309"/>
      <c r="E329" s="309"/>
      <c r="F329" s="309"/>
    </row>
    <row r="330" spans="2:6" x14ac:dyDescent="0.2">
      <c r="B330" s="308"/>
      <c r="C330" s="309"/>
      <c r="E330" s="309"/>
      <c r="F330" s="309"/>
    </row>
    <row r="331" spans="2:6" x14ac:dyDescent="0.2">
      <c r="B331" s="308"/>
      <c r="C331" s="309"/>
      <c r="E331" s="309"/>
      <c r="F331" s="309"/>
    </row>
    <row r="332" spans="2:6" x14ac:dyDescent="0.2">
      <c r="B332" s="308"/>
      <c r="C332" s="309"/>
      <c r="E332" s="309"/>
      <c r="F332" s="309"/>
    </row>
    <row r="333" spans="2:6" x14ac:dyDescent="0.2">
      <c r="B333" s="308"/>
      <c r="C333" s="309"/>
      <c r="E333" s="309"/>
      <c r="F333" s="309"/>
    </row>
    <row r="334" spans="2:6" x14ac:dyDescent="0.2">
      <c r="B334" s="308"/>
      <c r="C334" s="309"/>
      <c r="E334" s="309"/>
      <c r="F334" s="309"/>
    </row>
    <row r="335" spans="2:6" x14ac:dyDescent="0.2">
      <c r="B335" s="308"/>
      <c r="C335" s="309"/>
      <c r="E335" s="309"/>
      <c r="F335" s="309"/>
    </row>
    <row r="336" spans="2:6" x14ac:dyDescent="0.2">
      <c r="B336" s="308"/>
      <c r="C336" s="309"/>
      <c r="E336" s="309"/>
      <c r="F336" s="309"/>
    </row>
    <row r="337" spans="2:6" x14ac:dyDescent="0.2">
      <c r="B337" s="308"/>
      <c r="C337" s="309"/>
      <c r="E337" s="309"/>
      <c r="F337" s="309"/>
    </row>
    <row r="338" spans="2:6" x14ac:dyDescent="0.2">
      <c r="B338" s="308"/>
      <c r="C338" s="309"/>
      <c r="E338" s="309"/>
      <c r="F338" s="309"/>
    </row>
    <row r="339" spans="2:6" x14ac:dyDescent="0.2">
      <c r="B339" s="308"/>
      <c r="C339" s="309"/>
      <c r="E339" s="309"/>
      <c r="F339" s="309"/>
    </row>
    <row r="340" spans="2:6" x14ac:dyDescent="0.2">
      <c r="B340" s="308"/>
      <c r="C340" s="309"/>
      <c r="E340" s="309"/>
      <c r="F340" s="309"/>
    </row>
    <row r="341" spans="2:6" x14ac:dyDescent="0.2">
      <c r="B341" s="308"/>
      <c r="C341" s="309"/>
      <c r="E341" s="309"/>
      <c r="F341" s="309"/>
    </row>
    <row r="342" spans="2:6" x14ac:dyDescent="0.2">
      <c r="B342" s="308"/>
      <c r="C342" s="309"/>
      <c r="E342" s="309"/>
      <c r="F342" s="309"/>
    </row>
    <row r="343" spans="2:6" x14ac:dyDescent="0.2">
      <c r="B343" s="308"/>
      <c r="C343" s="309"/>
      <c r="E343" s="309"/>
      <c r="F343" s="309"/>
    </row>
    <row r="344" spans="2:6" x14ac:dyDescent="0.2">
      <c r="B344" s="308"/>
      <c r="C344" s="309"/>
      <c r="E344" s="309"/>
      <c r="F344" s="309"/>
    </row>
    <row r="345" spans="2:6" x14ac:dyDescent="0.2">
      <c r="B345" s="308"/>
      <c r="C345" s="309"/>
      <c r="E345" s="309"/>
      <c r="F345" s="309"/>
    </row>
    <row r="346" spans="2:6" x14ac:dyDescent="0.2">
      <c r="B346" s="308"/>
      <c r="C346" s="309"/>
      <c r="E346" s="309"/>
      <c r="F346" s="309"/>
    </row>
    <row r="347" spans="2:6" x14ac:dyDescent="0.2">
      <c r="B347" s="308"/>
      <c r="C347" s="309"/>
      <c r="E347" s="309"/>
      <c r="F347" s="309"/>
    </row>
    <row r="348" spans="2:6" x14ac:dyDescent="0.2">
      <c r="B348" s="308"/>
      <c r="C348" s="309"/>
      <c r="E348" s="309"/>
      <c r="F348" s="309"/>
    </row>
    <row r="349" spans="2:6" x14ac:dyDescent="0.2">
      <c r="B349" s="308"/>
      <c r="C349" s="309"/>
      <c r="E349" s="309"/>
      <c r="F349" s="309"/>
    </row>
    <row r="350" spans="2:6" x14ac:dyDescent="0.2">
      <c r="B350" s="308"/>
      <c r="C350" s="309"/>
      <c r="E350" s="309"/>
      <c r="F350" s="309"/>
    </row>
    <row r="351" spans="2:6" x14ac:dyDescent="0.2">
      <c r="B351" s="308"/>
      <c r="C351" s="309"/>
      <c r="E351" s="309"/>
      <c r="F351" s="309"/>
    </row>
    <row r="352" spans="2:6" x14ac:dyDescent="0.2">
      <c r="B352" s="308"/>
      <c r="C352" s="309"/>
      <c r="E352" s="309"/>
      <c r="F352" s="309"/>
    </row>
    <row r="353" spans="2:6" x14ac:dyDescent="0.2">
      <c r="B353" s="308"/>
      <c r="C353" s="309"/>
      <c r="E353" s="309"/>
      <c r="F353" s="309"/>
    </row>
    <row r="354" spans="2:6" x14ac:dyDescent="0.2">
      <c r="B354" s="308"/>
      <c r="C354" s="309"/>
      <c r="E354" s="309"/>
      <c r="F354" s="309"/>
    </row>
    <row r="355" spans="2:6" x14ac:dyDescent="0.2">
      <c r="B355" s="308"/>
      <c r="C355" s="309"/>
      <c r="E355" s="309"/>
      <c r="F355" s="309"/>
    </row>
    <row r="356" spans="2:6" x14ac:dyDescent="0.2">
      <c r="B356" s="308"/>
      <c r="C356" s="309"/>
      <c r="E356" s="309"/>
      <c r="F356" s="309"/>
    </row>
    <row r="357" spans="2:6" x14ac:dyDescent="0.2">
      <c r="B357" s="308"/>
      <c r="C357" s="309"/>
      <c r="E357" s="309"/>
      <c r="F357" s="309"/>
    </row>
    <row r="358" spans="2:6" x14ac:dyDescent="0.2">
      <c r="B358" s="308"/>
      <c r="C358" s="309"/>
      <c r="E358" s="309"/>
      <c r="F358" s="309"/>
    </row>
    <row r="359" spans="2:6" x14ac:dyDescent="0.2">
      <c r="B359" s="308"/>
      <c r="C359" s="309"/>
      <c r="E359" s="309"/>
      <c r="F359" s="309"/>
    </row>
    <row r="360" spans="2:6" x14ac:dyDescent="0.2">
      <c r="B360" s="308"/>
      <c r="C360" s="309"/>
      <c r="E360" s="309"/>
      <c r="F360" s="309"/>
    </row>
    <row r="361" spans="2:6" x14ac:dyDescent="0.2">
      <c r="B361" s="308"/>
      <c r="C361" s="309"/>
      <c r="E361" s="309"/>
      <c r="F361" s="309"/>
    </row>
    <row r="362" spans="2:6" x14ac:dyDescent="0.2">
      <c r="B362" s="308"/>
      <c r="C362" s="309"/>
      <c r="E362" s="309"/>
      <c r="F362" s="309"/>
    </row>
    <row r="363" spans="2:6" x14ac:dyDescent="0.2">
      <c r="B363" s="308"/>
      <c r="C363" s="309"/>
      <c r="E363" s="309"/>
      <c r="F363" s="309"/>
    </row>
    <row r="364" spans="2:6" x14ac:dyDescent="0.2">
      <c r="B364" s="308"/>
      <c r="C364" s="309"/>
      <c r="E364" s="309"/>
      <c r="F364" s="309"/>
    </row>
    <row r="365" spans="2:6" x14ac:dyDescent="0.2">
      <c r="B365" s="308"/>
      <c r="C365" s="309"/>
      <c r="E365" s="309"/>
      <c r="F365" s="309"/>
    </row>
    <row r="366" spans="2:6" x14ac:dyDescent="0.2">
      <c r="B366" s="308"/>
      <c r="C366" s="309"/>
      <c r="E366" s="309"/>
      <c r="F366" s="309"/>
    </row>
    <row r="367" spans="2:6" x14ac:dyDescent="0.2">
      <c r="B367" s="308"/>
      <c r="C367" s="309"/>
      <c r="E367" s="309"/>
      <c r="F367" s="309"/>
    </row>
    <row r="368" spans="2:6" x14ac:dyDescent="0.2">
      <c r="B368" s="308"/>
      <c r="C368" s="309"/>
      <c r="E368" s="309"/>
      <c r="F368" s="309"/>
    </row>
    <row r="369" spans="2:6" x14ac:dyDescent="0.2">
      <c r="B369" s="308"/>
      <c r="C369" s="309"/>
      <c r="E369" s="309"/>
      <c r="F369" s="309"/>
    </row>
    <row r="370" spans="2:6" x14ac:dyDescent="0.2">
      <c r="B370" s="308"/>
      <c r="C370" s="309"/>
      <c r="E370" s="309"/>
      <c r="F370" s="309"/>
    </row>
    <row r="371" spans="2:6" x14ac:dyDescent="0.2">
      <c r="B371" s="308"/>
      <c r="C371" s="309"/>
      <c r="E371" s="309"/>
      <c r="F371" s="309"/>
    </row>
    <row r="372" spans="2:6" x14ac:dyDescent="0.2">
      <c r="B372" s="308"/>
      <c r="C372" s="309"/>
      <c r="E372" s="309"/>
      <c r="F372" s="309"/>
    </row>
    <row r="373" spans="2:6" x14ac:dyDescent="0.2">
      <c r="B373" s="308"/>
      <c r="C373" s="309"/>
      <c r="E373" s="309"/>
      <c r="F373" s="309"/>
    </row>
    <row r="374" spans="2:6" x14ac:dyDescent="0.2">
      <c r="B374" s="308"/>
      <c r="C374" s="309"/>
      <c r="E374" s="309"/>
      <c r="F374" s="309"/>
    </row>
    <row r="375" spans="2:6" x14ac:dyDescent="0.2">
      <c r="B375" s="308"/>
      <c r="C375" s="309"/>
      <c r="E375" s="309"/>
      <c r="F375" s="309"/>
    </row>
    <row r="376" spans="2:6" x14ac:dyDescent="0.2">
      <c r="B376" s="308"/>
      <c r="C376" s="309"/>
      <c r="E376" s="309"/>
      <c r="F376" s="309"/>
    </row>
    <row r="377" spans="2:6" x14ac:dyDescent="0.2">
      <c r="B377" s="308"/>
      <c r="C377" s="309"/>
      <c r="E377" s="309"/>
      <c r="F377" s="309"/>
    </row>
    <row r="378" spans="2:6" x14ac:dyDescent="0.2">
      <c r="B378" s="308"/>
      <c r="C378" s="309"/>
      <c r="E378" s="309"/>
      <c r="F378" s="309"/>
    </row>
    <row r="379" spans="2:6" x14ac:dyDescent="0.2">
      <c r="B379" s="308"/>
      <c r="C379" s="309"/>
      <c r="E379" s="309"/>
      <c r="F379" s="309"/>
    </row>
    <row r="380" spans="2:6" x14ac:dyDescent="0.2">
      <c r="B380" s="308"/>
      <c r="C380" s="309"/>
      <c r="E380" s="309"/>
      <c r="F380" s="309"/>
    </row>
    <row r="381" spans="2:6" x14ac:dyDescent="0.2">
      <c r="B381" s="308"/>
      <c r="C381" s="309"/>
      <c r="E381" s="309"/>
      <c r="F381" s="309"/>
    </row>
    <row r="382" spans="2:6" x14ac:dyDescent="0.2">
      <c r="B382" s="308"/>
      <c r="C382" s="309"/>
      <c r="E382" s="309"/>
      <c r="F382" s="309"/>
    </row>
    <row r="383" spans="2:6" x14ac:dyDescent="0.2">
      <c r="B383" s="308"/>
      <c r="C383" s="309"/>
      <c r="E383" s="309"/>
      <c r="F383" s="309"/>
    </row>
    <row r="384" spans="2:6" x14ac:dyDescent="0.2">
      <c r="B384" s="308"/>
      <c r="C384" s="309"/>
      <c r="E384" s="309"/>
      <c r="F384" s="309"/>
    </row>
    <row r="385" spans="2:6" x14ac:dyDescent="0.2">
      <c r="B385" s="308"/>
      <c r="C385" s="309"/>
      <c r="E385" s="309"/>
      <c r="F385" s="309"/>
    </row>
    <row r="386" spans="2:6" x14ac:dyDescent="0.2">
      <c r="B386" s="308"/>
      <c r="C386" s="309"/>
      <c r="E386" s="309"/>
      <c r="F386" s="309"/>
    </row>
    <row r="387" spans="2:6" x14ac:dyDescent="0.2">
      <c r="B387" s="308"/>
      <c r="C387" s="309"/>
      <c r="E387" s="309"/>
      <c r="F387" s="309"/>
    </row>
    <row r="388" spans="2:6" x14ac:dyDescent="0.2">
      <c r="B388" s="308"/>
      <c r="C388" s="309"/>
      <c r="E388" s="309"/>
      <c r="F388" s="309"/>
    </row>
    <row r="389" spans="2:6" x14ac:dyDescent="0.2">
      <c r="B389" s="308"/>
      <c r="C389" s="309"/>
      <c r="E389" s="309"/>
      <c r="F389" s="309"/>
    </row>
    <row r="390" spans="2:6" x14ac:dyDescent="0.2">
      <c r="B390" s="308"/>
      <c r="C390" s="309"/>
      <c r="E390" s="309"/>
      <c r="F390" s="309"/>
    </row>
    <row r="391" spans="2:6" x14ac:dyDescent="0.2">
      <c r="B391" s="308"/>
      <c r="C391" s="309"/>
      <c r="E391" s="309"/>
      <c r="F391" s="309"/>
    </row>
    <row r="392" spans="2:6" x14ac:dyDescent="0.2">
      <c r="B392" s="308"/>
      <c r="C392" s="309"/>
      <c r="E392" s="309"/>
      <c r="F392" s="309"/>
    </row>
    <row r="393" spans="2:6" x14ac:dyDescent="0.2">
      <c r="B393" s="308"/>
      <c r="C393" s="309"/>
      <c r="E393" s="309"/>
      <c r="F393" s="309"/>
    </row>
    <row r="394" spans="2:6" x14ac:dyDescent="0.2">
      <c r="B394" s="308"/>
      <c r="C394" s="309"/>
      <c r="E394" s="309"/>
      <c r="F394" s="309"/>
    </row>
    <row r="395" spans="2:6" x14ac:dyDescent="0.2">
      <c r="B395" s="308"/>
      <c r="C395" s="309"/>
      <c r="E395" s="309"/>
      <c r="F395" s="309"/>
    </row>
    <row r="396" spans="2:6" x14ac:dyDescent="0.2">
      <c r="B396" s="308"/>
      <c r="C396" s="309"/>
      <c r="E396" s="309"/>
      <c r="F396" s="309"/>
    </row>
    <row r="397" spans="2:6" x14ac:dyDescent="0.2">
      <c r="B397" s="308"/>
      <c r="C397" s="309"/>
      <c r="E397" s="309"/>
      <c r="F397" s="309"/>
    </row>
    <row r="398" spans="2:6" x14ac:dyDescent="0.2">
      <c r="B398" s="308"/>
      <c r="C398" s="309"/>
      <c r="E398" s="309"/>
      <c r="F398" s="309"/>
    </row>
    <row r="399" spans="2:6" x14ac:dyDescent="0.2">
      <c r="B399" s="308"/>
      <c r="C399" s="309"/>
      <c r="E399" s="309"/>
      <c r="F399" s="309"/>
    </row>
    <row r="400" spans="2:6" x14ac:dyDescent="0.2">
      <c r="B400" s="308"/>
      <c r="C400" s="309"/>
      <c r="E400" s="309"/>
      <c r="F400" s="309"/>
    </row>
    <row r="401" spans="2:6" x14ac:dyDescent="0.2">
      <c r="B401" s="308"/>
      <c r="C401" s="309"/>
      <c r="E401" s="309"/>
      <c r="F401" s="309"/>
    </row>
    <row r="402" spans="2:6" x14ac:dyDescent="0.2">
      <c r="B402" s="308"/>
      <c r="C402" s="309"/>
      <c r="E402" s="309"/>
      <c r="F402" s="309"/>
    </row>
    <row r="403" spans="2:6" x14ac:dyDescent="0.2">
      <c r="B403" s="308"/>
      <c r="C403" s="309"/>
      <c r="E403" s="309"/>
      <c r="F403" s="309"/>
    </row>
    <row r="404" spans="2:6" x14ac:dyDescent="0.2">
      <c r="B404" s="308"/>
      <c r="C404" s="309"/>
      <c r="E404" s="309"/>
      <c r="F404" s="309"/>
    </row>
    <row r="405" spans="2:6" x14ac:dyDescent="0.2">
      <c r="B405" s="308"/>
      <c r="C405" s="309"/>
      <c r="E405" s="309"/>
      <c r="F405" s="309"/>
    </row>
    <row r="406" spans="2:6" x14ac:dyDescent="0.2">
      <c r="B406" s="308"/>
      <c r="C406" s="309"/>
      <c r="E406" s="309"/>
      <c r="F406" s="309"/>
    </row>
    <row r="407" spans="2:6" x14ac:dyDescent="0.2">
      <c r="B407" s="308"/>
      <c r="C407" s="309"/>
      <c r="E407" s="309"/>
      <c r="F407" s="309"/>
    </row>
    <row r="408" spans="2:6" x14ac:dyDescent="0.2">
      <c r="B408" s="308"/>
      <c r="C408" s="309"/>
      <c r="E408" s="309"/>
      <c r="F408" s="309"/>
    </row>
    <row r="409" spans="2:6" x14ac:dyDescent="0.2">
      <c r="B409" s="308"/>
      <c r="C409" s="309"/>
      <c r="E409" s="309"/>
      <c r="F409" s="309"/>
    </row>
    <row r="410" spans="2:6" x14ac:dyDescent="0.2">
      <c r="B410" s="308"/>
      <c r="C410" s="309"/>
      <c r="E410" s="309"/>
      <c r="F410" s="309"/>
    </row>
    <row r="411" spans="2:6" x14ac:dyDescent="0.2">
      <c r="B411" s="308"/>
      <c r="C411" s="309"/>
      <c r="E411" s="309"/>
      <c r="F411" s="309"/>
    </row>
    <row r="412" spans="2:6" x14ac:dyDescent="0.2">
      <c r="B412" s="308"/>
      <c r="C412" s="309"/>
      <c r="E412" s="309"/>
      <c r="F412" s="309"/>
    </row>
    <row r="413" spans="2:6" x14ac:dyDescent="0.2">
      <c r="B413" s="308"/>
      <c r="C413" s="309"/>
      <c r="E413" s="309"/>
      <c r="F413" s="309"/>
    </row>
    <row r="414" spans="2:6" x14ac:dyDescent="0.2">
      <c r="B414" s="308"/>
      <c r="C414" s="309"/>
      <c r="E414" s="309"/>
      <c r="F414" s="309"/>
    </row>
    <row r="415" spans="2:6" x14ac:dyDescent="0.2">
      <c r="B415" s="308"/>
      <c r="C415" s="309"/>
      <c r="E415" s="309"/>
      <c r="F415" s="309"/>
    </row>
    <row r="416" spans="2:6" x14ac:dyDescent="0.2">
      <c r="B416" s="308"/>
      <c r="C416" s="309"/>
      <c r="E416" s="309"/>
      <c r="F416" s="309"/>
    </row>
    <row r="417" spans="2:6" x14ac:dyDescent="0.2">
      <c r="B417" s="308"/>
      <c r="C417" s="309"/>
      <c r="E417" s="309"/>
      <c r="F417" s="309"/>
    </row>
    <row r="418" spans="2:6" x14ac:dyDescent="0.2">
      <c r="B418" s="308"/>
      <c r="C418" s="309"/>
      <c r="E418" s="309"/>
      <c r="F418" s="309"/>
    </row>
    <row r="419" spans="2:6" x14ac:dyDescent="0.2">
      <c r="B419" s="308"/>
      <c r="C419" s="309"/>
      <c r="E419" s="309"/>
      <c r="F419" s="309"/>
    </row>
    <row r="420" spans="2:6" x14ac:dyDescent="0.2">
      <c r="B420" s="308"/>
      <c r="C420" s="309"/>
      <c r="E420" s="309"/>
      <c r="F420" s="309"/>
    </row>
    <row r="421" spans="2:6" x14ac:dyDescent="0.2">
      <c r="B421" s="308"/>
      <c r="C421" s="309"/>
      <c r="E421" s="309"/>
      <c r="F421" s="309"/>
    </row>
    <row r="422" spans="2:6" x14ac:dyDescent="0.2">
      <c r="B422" s="308"/>
      <c r="C422" s="309"/>
      <c r="E422" s="309"/>
      <c r="F422" s="309"/>
    </row>
    <row r="423" spans="2:6" x14ac:dyDescent="0.2">
      <c r="B423" s="308"/>
      <c r="C423" s="309"/>
      <c r="E423" s="309"/>
      <c r="F423" s="309"/>
    </row>
    <row r="424" spans="2:6" x14ac:dyDescent="0.2">
      <c r="B424" s="308"/>
      <c r="C424" s="309"/>
      <c r="E424" s="309"/>
      <c r="F424" s="309"/>
    </row>
    <row r="425" spans="2:6" x14ac:dyDescent="0.2">
      <c r="B425" s="308"/>
      <c r="C425" s="309"/>
      <c r="E425" s="309"/>
      <c r="F425" s="309"/>
    </row>
    <row r="426" spans="2:6" x14ac:dyDescent="0.2">
      <c r="B426" s="308"/>
      <c r="C426" s="309"/>
      <c r="E426" s="309"/>
      <c r="F426" s="309"/>
    </row>
    <row r="427" spans="2:6" x14ac:dyDescent="0.2">
      <c r="B427" s="308"/>
      <c r="C427" s="309"/>
      <c r="E427" s="309"/>
      <c r="F427" s="309"/>
    </row>
    <row r="428" spans="2:6" x14ac:dyDescent="0.2">
      <c r="B428" s="308"/>
      <c r="C428" s="309"/>
      <c r="E428" s="309"/>
      <c r="F428" s="309"/>
    </row>
    <row r="429" spans="2:6" x14ac:dyDescent="0.2">
      <c r="B429" s="308"/>
      <c r="C429" s="309"/>
      <c r="E429" s="309"/>
      <c r="F429" s="309"/>
    </row>
    <row r="430" spans="2:6" x14ac:dyDescent="0.2">
      <c r="B430" s="308"/>
      <c r="C430" s="309"/>
      <c r="E430" s="309"/>
      <c r="F430" s="309"/>
    </row>
    <row r="431" spans="2:6" x14ac:dyDescent="0.2">
      <c r="B431" s="308"/>
      <c r="C431" s="309"/>
      <c r="E431" s="309"/>
      <c r="F431" s="309"/>
    </row>
    <row r="432" spans="2:6" x14ac:dyDescent="0.2">
      <c r="B432" s="308"/>
      <c r="C432" s="309"/>
      <c r="E432" s="309"/>
      <c r="F432" s="309"/>
    </row>
    <row r="433" spans="2:6" x14ac:dyDescent="0.2">
      <c r="B433" s="308"/>
      <c r="C433" s="309"/>
      <c r="E433" s="309"/>
      <c r="F433" s="309"/>
    </row>
    <row r="434" spans="2:6" x14ac:dyDescent="0.2">
      <c r="B434" s="308"/>
      <c r="C434" s="309"/>
      <c r="E434" s="309"/>
      <c r="F434" s="309"/>
    </row>
    <row r="435" spans="2:6" x14ac:dyDescent="0.2">
      <c r="B435" s="308"/>
      <c r="C435" s="309"/>
      <c r="E435" s="309"/>
      <c r="F435" s="309"/>
    </row>
    <row r="436" spans="2:6" x14ac:dyDescent="0.2">
      <c r="B436" s="308"/>
      <c r="C436" s="309"/>
      <c r="E436" s="309"/>
      <c r="F436" s="309"/>
    </row>
    <row r="437" spans="2:6" x14ac:dyDescent="0.2">
      <c r="B437" s="308"/>
      <c r="C437" s="309"/>
      <c r="E437" s="309"/>
      <c r="F437" s="309"/>
    </row>
    <row r="438" spans="2:6" x14ac:dyDescent="0.2">
      <c r="B438" s="308"/>
      <c r="C438" s="309"/>
      <c r="E438" s="309"/>
      <c r="F438" s="309"/>
    </row>
    <row r="439" spans="2:6" x14ac:dyDescent="0.2">
      <c r="B439" s="308"/>
      <c r="C439" s="309"/>
      <c r="E439" s="309"/>
      <c r="F439" s="309"/>
    </row>
    <row r="440" spans="2:6" x14ac:dyDescent="0.2">
      <c r="B440" s="308"/>
      <c r="C440" s="309"/>
      <c r="E440" s="309"/>
      <c r="F440" s="309"/>
    </row>
    <row r="441" spans="2:6" x14ac:dyDescent="0.2">
      <c r="B441" s="308"/>
      <c r="C441" s="309"/>
      <c r="E441" s="309"/>
      <c r="F441" s="309"/>
    </row>
    <row r="442" spans="2:6" x14ac:dyDescent="0.2">
      <c r="B442" s="308"/>
      <c r="C442" s="309"/>
      <c r="E442" s="309"/>
      <c r="F442" s="309"/>
    </row>
    <row r="443" spans="2:6" x14ac:dyDescent="0.2">
      <c r="B443" s="308"/>
      <c r="C443" s="309"/>
      <c r="E443" s="309"/>
      <c r="F443" s="309"/>
    </row>
    <row r="444" spans="2:6" x14ac:dyDescent="0.2">
      <c r="B444" s="308"/>
      <c r="C444" s="309"/>
      <c r="E444" s="309"/>
      <c r="F444" s="309"/>
    </row>
    <row r="445" spans="2:6" x14ac:dyDescent="0.2">
      <c r="B445" s="308"/>
      <c r="C445" s="309"/>
      <c r="E445" s="309"/>
      <c r="F445" s="309"/>
    </row>
    <row r="446" spans="2:6" x14ac:dyDescent="0.2">
      <c r="B446" s="308"/>
      <c r="C446" s="309"/>
      <c r="E446" s="309"/>
      <c r="F446" s="309"/>
    </row>
    <row r="447" spans="2:6" x14ac:dyDescent="0.2">
      <c r="B447" s="308"/>
      <c r="C447" s="309"/>
      <c r="E447" s="309"/>
      <c r="F447" s="309"/>
    </row>
    <row r="448" spans="2:6" x14ac:dyDescent="0.2">
      <c r="B448" s="308"/>
      <c r="C448" s="309"/>
      <c r="E448" s="309"/>
      <c r="F448" s="309"/>
    </row>
    <row r="449" spans="2:6" x14ac:dyDescent="0.2">
      <c r="B449" s="308"/>
      <c r="C449" s="309"/>
      <c r="E449" s="309"/>
      <c r="F449" s="309"/>
    </row>
    <row r="450" spans="2:6" x14ac:dyDescent="0.2">
      <c r="B450" s="308"/>
      <c r="C450" s="309"/>
      <c r="E450" s="309"/>
      <c r="F450" s="309"/>
    </row>
    <row r="451" spans="2:6" x14ac:dyDescent="0.2">
      <c r="B451" s="308"/>
      <c r="C451" s="309"/>
      <c r="E451" s="309"/>
      <c r="F451" s="309"/>
    </row>
    <row r="452" spans="2:6" x14ac:dyDescent="0.2">
      <c r="B452" s="308"/>
      <c r="C452" s="309"/>
      <c r="E452" s="309"/>
      <c r="F452" s="309"/>
    </row>
    <row r="453" spans="2:6" x14ac:dyDescent="0.2">
      <c r="B453" s="308"/>
      <c r="C453" s="309"/>
      <c r="E453" s="309"/>
      <c r="F453" s="309"/>
    </row>
    <row r="454" spans="2:6" x14ac:dyDescent="0.2">
      <c r="B454" s="308"/>
      <c r="C454" s="309"/>
      <c r="E454" s="309"/>
      <c r="F454" s="309"/>
    </row>
    <row r="455" spans="2:6" x14ac:dyDescent="0.2">
      <c r="B455" s="308"/>
      <c r="C455" s="309"/>
      <c r="E455" s="309"/>
      <c r="F455" s="309"/>
    </row>
    <row r="456" spans="2:6" x14ac:dyDescent="0.2">
      <c r="B456" s="308"/>
      <c r="C456" s="309"/>
      <c r="E456" s="309"/>
      <c r="F456" s="309"/>
    </row>
    <row r="457" spans="2:6" x14ac:dyDescent="0.2">
      <c r="B457" s="308"/>
      <c r="C457" s="309"/>
      <c r="E457" s="309"/>
      <c r="F457" s="309"/>
    </row>
    <row r="458" spans="2:6" x14ac:dyDescent="0.2">
      <c r="B458" s="308"/>
      <c r="C458" s="309"/>
      <c r="E458" s="309"/>
      <c r="F458" s="309"/>
    </row>
    <row r="459" spans="2:6" x14ac:dyDescent="0.2">
      <c r="B459" s="308"/>
      <c r="C459" s="309"/>
      <c r="E459" s="309"/>
      <c r="F459" s="309"/>
    </row>
    <row r="460" spans="2:6" x14ac:dyDescent="0.2">
      <c r="B460" s="308"/>
      <c r="C460" s="309"/>
      <c r="E460" s="309"/>
      <c r="F460" s="309"/>
    </row>
    <row r="461" spans="2:6" x14ac:dyDescent="0.2">
      <c r="B461" s="308"/>
      <c r="C461" s="309"/>
      <c r="E461" s="309"/>
      <c r="F461" s="309"/>
    </row>
    <row r="462" spans="2:6" x14ac:dyDescent="0.2">
      <c r="B462" s="308"/>
      <c r="C462" s="309"/>
      <c r="E462" s="309"/>
      <c r="F462" s="309"/>
    </row>
    <row r="463" spans="2:6" x14ac:dyDescent="0.2">
      <c r="B463" s="308"/>
      <c r="C463" s="309"/>
      <c r="E463" s="309"/>
      <c r="F463" s="309"/>
    </row>
    <row r="464" spans="2:6" x14ac:dyDescent="0.2">
      <c r="B464" s="308"/>
      <c r="C464" s="309"/>
      <c r="E464" s="309"/>
      <c r="F464" s="309"/>
    </row>
    <row r="465" spans="2:6" x14ac:dyDescent="0.2">
      <c r="B465" s="308"/>
      <c r="C465" s="309"/>
      <c r="E465" s="309"/>
      <c r="F465" s="309"/>
    </row>
    <row r="466" spans="2:6" x14ac:dyDescent="0.2">
      <c r="B466" s="308"/>
      <c r="C466" s="309"/>
      <c r="E466" s="309"/>
      <c r="F466" s="309"/>
    </row>
    <row r="467" spans="2:6" x14ac:dyDescent="0.2">
      <c r="B467" s="308"/>
      <c r="C467" s="309"/>
      <c r="E467" s="309"/>
      <c r="F467" s="309"/>
    </row>
    <row r="468" spans="2:6" x14ac:dyDescent="0.2">
      <c r="B468" s="308"/>
      <c r="C468" s="309"/>
      <c r="E468" s="309"/>
      <c r="F468" s="309"/>
    </row>
    <row r="469" spans="2:6" x14ac:dyDescent="0.2">
      <c r="B469" s="308"/>
      <c r="C469" s="309"/>
      <c r="E469" s="309"/>
      <c r="F469" s="309"/>
    </row>
    <row r="470" spans="2:6" x14ac:dyDescent="0.2">
      <c r="B470" s="308"/>
      <c r="C470" s="309"/>
      <c r="E470" s="309"/>
      <c r="F470" s="309"/>
    </row>
    <row r="471" spans="2:6" x14ac:dyDescent="0.2">
      <c r="B471" s="308"/>
      <c r="C471" s="309"/>
      <c r="E471" s="309"/>
      <c r="F471" s="309"/>
    </row>
    <row r="472" spans="2:6" x14ac:dyDescent="0.2">
      <c r="B472" s="308"/>
      <c r="C472" s="309"/>
      <c r="E472" s="309"/>
      <c r="F472" s="309"/>
    </row>
    <row r="473" spans="2:6" x14ac:dyDescent="0.2">
      <c r="B473" s="308"/>
      <c r="C473" s="309"/>
      <c r="E473" s="309"/>
      <c r="F473" s="309"/>
    </row>
    <row r="474" spans="2:6" x14ac:dyDescent="0.2">
      <c r="B474" s="308"/>
      <c r="C474" s="309"/>
      <c r="E474" s="309"/>
      <c r="F474" s="309"/>
    </row>
    <row r="475" spans="2:6" x14ac:dyDescent="0.2">
      <c r="B475" s="308"/>
      <c r="C475" s="309"/>
      <c r="E475" s="309"/>
      <c r="F475" s="309"/>
    </row>
    <row r="476" spans="2:6" x14ac:dyDescent="0.2">
      <c r="B476" s="308"/>
      <c r="C476" s="309"/>
      <c r="E476" s="309"/>
      <c r="F476" s="309"/>
    </row>
    <row r="477" spans="2:6" x14ac:dyDescent="0.2">
      <c r="B477" s="308"/>
      <c r="C477" s="309"/>
      <c r="E477" s="309"/>
      <c r="F477" s="309"/>
    </row>
    <row r="478" spans="2:6" x14ac:dyDescent="0.2">
      <c r="B478" s="308"/>
      <c r="C478" s="309"/>
      <c r="E478" s="309"/>
      <c r="F478" s="309"/>
    </row>
    <row r="479" spans="2:6" x14ac:dyDescent="0.2">
      <c r="B479" s="308"/>
      <c r="C479" s="309"/>
      <c r="E479" s="309"/>
      <c r="F479" s="309"/>
    </row>
    <row r="480" spans="2:6" x14ac:dyDescent="0.2">
      <c r="B480" s="308"/>
      <c r="C480" s="309"/>
      <c r="E480" s="309"/>
      <c r="F480" s="309"/>
    </row>
    <row r="481" spans="2:6" x14ac:dyDescent="0.2">
      <c r="B481" s="308"/>
      <c r="C481" s="309"/>
      <c r="E481" s="309"/>
      <c r="F481" s="309"/>
    </row>
    <row r="482" spans="2:6" x14ac:dyDescent="0.2">
      <c r="B482" s="308"/>
      <c r="C482" s="309"/>
      <c r="E482" s="309"/>
      <c r="F482" s="309"/>
    </row>
    <row r="483" spans="2:6" x14ac:dyDescent="0.2">
      <c r="B483" s="308"/>
      <c r="C483" s="309"/>
      <c r="E483" s="309"/>
      <c r="F483" s="309"/>
    </row>
    <row r="484" spans="2:6" x14ac:dyDescent="0.2">
      <c r="B484" s="308"/>
      <c r="C484" s="309"/>
      <c r="E484" s="309"/>
      <c r="F484" s="309"/>
    </row>
    <row r="485" spans="2:6" x14ac:dyDescent="0.2">
      <c r="B485" s="308"/>
      <c r="C485" s="309"/>
      <c r="E485" s="309"/>
      <c r="F485" s="309"/>
    </row>
    <row r="486" spans="2:6" x14ac:dyDescent="0.2">
      <c r="B486" s="308"/>
      <c r="C486" s="309"/>
      <c r="E486" s="309"/>
      <c r="F486" s="309"/>
    </row>
    <row r="487" spans="2:6" x14ac:dyDescent="0.2">
      <c r="B487" s="308"/>
      <c r="C487" s="309"/>
      <c r="E487" s="309"/>
      <c r="F487" s="309"/>
    </row>
    <row r="488" spans="2:6" x14ac:dyDescent="0.2">
      <c r="B488" s="308"/>
      <c r="C488" s="309"/>
      <c r="E488" s="309"/>
      <c r="F488" s="309"/>
    </row>
    <row r="489" spans="2:6" x14ac:dyDescent="0.2">
      <c r="B489" s="308"/>
      <c r="C489" s="309"/>
      <c r="E489" s="309"/>
      <c r="F489" s="309"/>
    </row>
    <row r="490" spans="2:6" x14ac:dyDescent="0.2">
      <c r="B490" s="308"/>
      <c r="C490" s="309"/>
      <c r="E490" s="309"/>
      <c r="F490" s="309"/>
    </row>
    <row r="491" spans="2:6" x14ac:dyDescent="0.2">
      <c r="B491" s="308"/>
      <c r="C491" s="309"/>
      <c r="E491" s="309"/>
      <c r="F491" s="309"/>
    </row>
    <row r="492" spans="2:6" x14ac:dyDescent="0.2">
      <c r="B492" s="308"/>
      <c r="C492" s="309"/>
      <c r="E492" s="309"/>
      <c r="F492" s="309"/>
    </row>
    <row r="493" spans="2:6" x14ac:dyDescent="0.2">
      <c r="B493" s="308"/>
      <c r="C493" s="309"/>
      <c r="E493" s="309"/>
      <c r="F493" s="309"/>
    </row>
    <row r="494" spans="2:6" x14ac:dyDescent="0.2">
      <c r="B494" s="308"/>
      <c r="C494" s="309"/>
      <c r="E494" s="309"/>
      <c r="F494" s="309"/>
    </row>
    <row r="495" spans="2:6" x14ac:dyDescent="0.2">
      <c r="B495" s="308"/>
      <c r="C495" s="309"/>
      <c r="E495" s="309"/>
      <c r="F495" s="309"/>
    </row>
    <row r="496" spans="2:6" x14ac:dyDescent="0.2">
      <c r="B496" s="308"/>
      <c r="C496" s="309"/>
      <c r="E496" s="309"/>
      <c r="F496" s="309"/>
    </row>
    <row r="497" spans="2:6" x14ac:dyDescent="0.2">
      <c r="B497" s="308"/>
      <c r="C497" s="309"/>
      <c r="E497" s="309"/>
      <c r="F497" s="309"/>
    </row>
    <row r="498" spans="2:6" x14ac:dyDescent="0.2">
      <c r="B498" s="308"/>
      <c r="C498" s="309"/>
      <c r="E498" s="309"/>
      <c r="F498" s="309"/>
    </row>
    <row r="499" spans="2:6" x14ac:dyDescent="0.2">
      <c r="B499" s="308"/>
      <c r="C499" s="309"/>
      <c r="E499" s="309"/>
      <c r="F499" s="309"/>
    </row>
    <row r="500" spans="2:6" x14ac:dyDescent="0.2">
      <c r="B500" s="308"/>
      <c r="C500" s="309"/>
      <c r="E500" s="309"/>
      <c r="F500" s="309"/>
    </row>
    <row r="501" spans="2:6" x14ac:dyDescent="0.2">
      <c r="B501" s="308"/>
      <c r="C501" s="309"/>
      <c r="E501" s="309"/>
      <c r="F501" s="309"/>
    </row>
    <row r="502" spans="2:6" x14ac:dyDescent="0.2">
      <c r="B502" s="308"/>
      <c r="C502" s="309"/>
      <c r="E502" s="309"/>
      <c r="F502" s="309"/>
    </row>
    <row r="503" spans="2:6" x14ac:dyDescent="0.2">
      <c r="B503" s="308"/>
      <c r="C503" s="309"/>
      <c r="E503" s="309"/>
      <c r="F503" s="309"/>
    </row>
    <row r="504" spans="2:6" x14ac:dyDescent="0.2">
      <c r="B504" s="308"/>
      <c r="C504" s="309"/>
      <c r="E504" s="309"/>
      <c r="F504" s="309"/>
    </row>
    <row r="505" spans="2:6" x14ac:dyDescent="0.2">
      <c r="B505" s="308"/>
      <c r="C505" s="309"/>
      <c r="E505" s="309"/>
      <c r="F505" s="309"/>
    </row>
    <row r="506" spans="2:6" x14ac:dyDescent="0.2">
      <c r="B506" s="308"/>
      <c r="C506" s="309"/>
      <c r="E506" s="309"/>
      <c r="F506" s="309"/>
    </row>
    <row r="507" spans="2:6" x14ac:dyDescent="0.2">
      <c r="B507" s="308"/>
      <c r="C507" s="309"/>
      <c r="E507" s="309"/>
      <c r="F507" s="309"/>
    </row>
    <row r="508" spans="2:6" x14ac:dyDescent="0.2">
      <c r="B508" s="308"/>
      <c r="C508" s="309"/>
      <c r="E508" s="309"/>
      <c r="F508" s="309"/>
    </row>
    <row r="509" spans="2:6" x14ac:dyDescent="0.2">
      <c r="B509" s="308"/>
      <c r="C509" s="309"/>
      <c r="E509" s="309"/>
      <c r="F509" s="309"/>
    </row>
    <row r="510" spans="2:6" x14ac:dyDescent="0.2">
      <c r="B510" s="308"/>
      <c r="C510" s="309"/>
      <c r="E510" s="309"/>
      <c r="F510" s="309"/>
    </row>
    <row r="511" spans="2:6" x14ac:dyDescent="0.2">
      <c r="B511" s="308"/>
      <c r="C511" s="309"/>
      <c r="E511" s="309"/>
      <c r="F511" s="309"/>
    </row>
    <row r="512" spans="2:6" x14ac:dyDescent="0.2">
      <c r="B512" s="308"/>
      <c r="C512" s="309"/>
      <c r="E512" s="309"/>
      <c r="F512" s="309"/>
    </row>
    <row r="513" spans="2:6" x14ac:dyDescent="0.2">
      <c r="B513" s="308"/>
      <c r="C513" s="309"/>
      <c r="E513" s="309"/>
      <c r="F513" s="309"/>
    </row>
    <row r="514" spans="2:6" x14ac:dyDescent="0.2">
      <c r="B514" s="308"/>
      <c r="C514" s="309"/>
      <c r="E514" s="309"/>
      <c r="F514" s="309"/>
    </row>
    <row r="515" spans="2:6" x14ac:dyDescent="0.2">
      <c r="B515" s="308"/>
      <c r="C515" s="309"/>
      <c r="E515" s="309"/>
      <c r="F515" s="309"/>
    </row>
    <row r="516" spans="2:6" x14ac:dyDescent="0.2">
      <c r="B516" s="308"/>
      <c r="C516" s="309"/>
      <c r="E516" s="309"/>
      <c r="F516" s="309"/>
    </row>
    <row r="517" spans="2:6" x14ac:dyDescent="0.2">
      <c r="B517" s="308"/>
      <c r="C517" s="309"/>
      <c r="E517" s="309"/>
      <c r="F517" s="309"/>
    </row>
    <row r="518" spans="2:6" x14ac:dyDescent="0.2">
      <c r="B518" s="308"/>
      <c r="C518" s="309"/>
      <c r="E518" s="309"/>
      <c r="F518" s="309"/>
    </row>
    <row r="519" spans="2:6" x14ac:dyDescent="0.2">
      <c r="B519" s="308"/>
      <c r="C519" s="309"/>
      <c r="E519" s="309"/>
      <c r="F519" s="309"/>
    </row>
    <row r="520" spans="2:6" x14ac:dyDescent="0.2">
      <c r="B520" s="308"/>
      <c r="C520" s="309"/>
      <c r="E520" s="309"/>
      <c r="F520" s="309"/>
    </row>
    <row r="521" spans="2:6" x14ac:dyDescent="0.2">
      <c r="B521" s="308"/>
      <c r="C521" s="309"/>
      <c r="E521" s="309"/>
      <c r="F521" s="309"/>
    </row>
    <row r="522" spans="2:6" x14ac:dyDescent="0.2">
      <c r="B522" s="308"/>
      <c r="C522" s="309"/>
      <c r="E522" s="309"/>
      <c r="F522" s="309"/>
    </row>
    <row r="523" spans="2:6" x14ac:dyDescent="0.2">
      <c r="B523" s="308"/>
      <c r="C523" s="309"/>
      <c r="E523" s="309"/>
      <c r="F523" s="309"/>
    </row>
    <row r="524" spans="2:6" x14ac:dyDescent="0.2">
      <c r="B524" s="308"/>
      <c r="C524" s="309"/>
      <c r="E524" s="309"/>
      <c r="F524" s="309"/>
    </row>
    <row r="525" spans="2:6" x14ac:dyDescent="0.2">
      <c r="B525" s="308"/>
      <c r="C525" s="309"/>
      <c r="E525" s="309"/>
      <c r="F525" s="309"/>
    </row>
    <row r="526" spans="2:6" x14ac:dyDescent="0.2">
      <c r="B526" s="308"/>
      <c r="C526" s="309"/>
      <c r="E526" s="309"/>
      <c r="F526" s="309"/>
    </row>
    <row r="527" spans="2:6" x14ac:dyDescent="0.2">
      <c r="B527" s="308"/>
      <c r="C527" s="309"/>
      <c r="E527" s="309"/>
      <c r="F527" s="309"/>
    </row>
    <row r="528" spans="2:6" x14ac:dyDescent="0.2">
      <c r="B528" s="308"/>
      <c r="C528" s="309"/>
      <c r="E528" s="309"/>
      <c r="F528" s="309"/>
    </row>
    <row r="529" spans="2:6" x14ac:dyDescent="0.2">
      <c r="B529" s="308"/>
      <c r="C529" s="309"/>
      <c r="E529" s="309"/>
      <c r="F529" s="309"/>
    </row>
    <row r="530" spans="2:6" x14ac:dyDescent="0.2">
      <c r="B530" s="308"/>
      <c r="C530" s="309"/>
      <c r="E530" s="309"/>
      <c r="F530" s="309"/>
    </row>
    <row r="531" spans="2:6" x14ac:dyDescent="0.2">
      <c r="B531" s="308"/>
      <c r="C531" s="309"/>
      <c r="E531" s="309"/>
      <c r="F531" s="309"/>
    </row>
    <row r="532" spans="2:6" x14ac:dyDescent="0.2">
      <c r="B532" s="308"/>
      <c r="C532" s="309"/>
      <c r="E532" s="309"/>
      <c r="F532" s="309"/>
    </row>
    <row r="533" spans="2:6" x14ac:dyDescent="0.2">
      <c r="B533" s="308"/>
      <c r="C533" s="309"/>
      <c r="E533" s="309"/>
      <c r="F533" s="309"/>
    </row>
    <row r="534" spans="2:6" x14ac:dyDescent="0.2">
      <c r="B534" s="308"/>
      <c r="C534" s="309"/>
      <c r="E534" s="309"/>
      <c r="F534" s="309"/>
    </row>
    <row r="535" spans="2:6" x14ac:dyDescent="0.2">
      <c r="B535" s="308"/>
      <c r="C535" s="309"/>
      <c r="E535" s="309"/>
      <c r="F535" s="309"/>
    </row>
    <row r="536" spans="2:6" x14ac:dyDescent="0.2">
      <c r="B536" s="308"/>
      <c r="C536" s="309"/>
      <c r="E536" s="309"/>
      <c r="F536" s="309"/>
    </row>
    <row r="537" spans="2:6" x14ac:dyDescent="0.2">
      <c r="B537" s="308"/>
      <c r="C537" s="309"/>
      <c r="E537" s="309"/>
      <c r="F537" s="309"/>
    </row>
    <row r="538" spans="2:6" x14ac:dyDescent="0.2">
      <c r="B538" s="308"/>
      <c r="C538" s="309"/>
      <c r="E538" s="309"/>
      <c r="F538" s="309"/>
    </row>
    <row r="539" spans="2:6" x14ac:dyDescent="0.2">
      <c r="B539" s="308"/>
      <c r="C539" s="309"/>
      <c r="E539" s="309"/>
      <c r="F539" s="309"/>
    </row>
    <row r="540" spans="2:6" x14ac:dyDescent="0.2">
      <c r="B540" s="308"/>
      <c r="C540" s="309"/>
      <c r="E540" s="309"/>
      <c r="F540" s="309"/>
    </row>
    <row r="541" spans="2:6" x14ac:dyDescent="0.2">
      <c r="B541" s="308"/>
      <c r="C541" s="309"/>
      <c r="E541" s="309"/>
      <c r="F541" s="309"/>
    </row>
    <row r="542" spans="2:6" x14ac:dyDescent="0.2">
      <c r="B542" s="308"/>
      <c r="C542" s="309"/>
      <c r="E542" s="309"/>
      <c r="F542" s="309"/>
    </row>
    <row r="543" spans="2:6" x14ac:dyDescent="0.2">
      <c r="B543" s="308"/>
      <c r="C543" s="309"/>
      <c r="E543" s="309"/>
      <c r="F543" s="309"/>
    </row>
    <row r="544" spans="2:6" x14ac:dyDescent="0.2">
      <c r="B544" s="308"/>
      <c r="C544" s="309"/>
      <c r="E544" s="309"/>
      <c r="F544" s="309"/>
    </row>
    <row r="545" spans="2:6" x14ac:dyDescent="0.2">
      <c r="B545" s="308"/>
      <c r="C545" s="309"/>
      <c r="E545" s="309"/>
      <c r="F545" s="309"/>
    </row>
    <row r="546" spans="2:6" x14ac:dyDescent="0.2">
      <c r="B546" s="308"/>
      <c r="C546" s="309"/>
      <c r="E546" s="309"/>
      <c r="F546" s="309"/>
    </row>
    <row r="547" spans="2:6" x14ac:dyDescent="0.2">
      <c r="B547" s="308"/>
      <c r="C547" s="309"/>
      <c r="E547" s="309"/>
      <c r="F547" s="309"/>
    </row>
    <row r="548" spans="2:6" x14ac:dyDescent="0.2">
      <c r="B548" s="308"/>
      <c r="C548" s="309"/>
      <c r="E548" s="309"/>
      <c r="F548" s="309"/>
    </row>
    <row r="549" spans="2:6" x14ac:dyDescent="0.2">
      <c r="B549" s="308"/>
      <c r="C549" s="309"/>
      <c r="E549" s="309"/>
      <c r="F549" s="309"/>
    </row>
    <row r="550" spans="2:6" x14ac:dyDescent="0.2">
      <c r="B550" s="308"/>
      <c r="C550" s="309"/>
      <c r="E550" s="309"/>
      <c r="F550" s="309"/>
    </row>
    <row r="551" spans="2:6" x14ac:dyDescent="0.2">
      <c r="B551" s="308"/>
      <c r="C551" s="309"/>
      <c r="E551" s="309"/>
      <c r="F551" s="309"/>
    </row>
    <row r="552" spans="2:6" x14ac:dyDescent="0.2">
      <c r="B552" s="308"/>
      <c r="C552" s="309"/>
      <c r="E552" s="309"/>
      <c r="F552" s="309"/>
    </row>
    <row r="553" spans="2:6" x14ac:dyDescent="0.2">
      <c r="B553" s="308"/>
      <c r="C553" s="309"/>
      <c r="E553" s="309"/>
      <c r="F553" s="309"/>
    </row>
    <row r="554" spans="2:6" x14ac:dyDescent="0.2">
      <c r="B554" s="308"/>
      <c r="C554" s="309"/>
      <c r="E554" s="309"/>
      <c r="F554" s="309"/>
    </row>
    <row r="555" spans="2:6" x14ac:dyDescent="0.2">
      <c r="B555" s="308"/>
      <c r="C555" s="309"/>
      <c r="E555" s="309"/>
      <c r="F555" s="309"/>
    </row>
    <row r="556" spans="2:6" x14ac:dyDescent="0.2">
      <c r="B556" s="308"/>
      <c r="C556" s="309"/>
      <c r="E556" s="309"/>
      <c r="F556" s="309"/>
    </row>
    <row r="557" spans="2:6" x14ac:dyDescent="0.2">
      <c r="B557" s="308"/>
      <c r="C557" s="309"/>
      <c r="E557" s="309"/>
      <c r="F557" s="309"/>
    </row>
    <row r="558" spans="2:6" x14ac:dyDescent="0.2">
      <c r="B558" s="308"/>
      <c r="C558" s="309"/>
      <c r="E558" s="309"/>
      <c r="F558" s="309"/>
    </row>
    <row r="559" spans="2:6" x14ac:dyDescent="0.2">
      <c r="B559" s="308"/>
      <c r="C559" s="309"/>
      <c r="E559" s="309"/>
      <c r="F559" s="309"/>
    </row>
    <row r="560" spans="2:6" x14ac:dyDescent="0.2">
      <c r="B560" s="308"/>
      <c r="C560" s="309"/>
      <c r="E560" s="309"/>
      <c r="F560" s="309"/>
    </row>
    <row r="561" spans="2:6" x14ac:dyDescent="0.2">
      <c r="B561" s="308"/>
      <c r="C561" s="309"/>
      <c r="E561" s="309"/>
      <c r="F561" s="309"/>
    </row>
    <row r="562" spans="2:6" x14ac:dyDescent="0.2">
      <c r="B562" s="308"/>
      <c r="C562" s="309"/>
      <c r="E562" s="309"/>
      <c r="F562" s="309"/>
    </row>
    <row r="563" spans="2:6" x14ac:dyDescent="0.2">
      <c r="B563" s="308"/>
      <c r="C563" s="309"/>
      <c r="E563" s="309"/>
      <c r="F563" s="309"/>
    </row>
    <row r="564" spans="2:6" x14ac:dyDescent="0.2">
      <c r="B564" s="308"/>
      <c r="C564" s="309"/>
      <c r="E564" s="309"/>
      <c r="F564" s="309"/>
    </row>
    <row r="565" spans="2:6" x14ac:dyDescent="0.2">
      <c r="B565" s="308"/>
      <c r="C565" s="309"/>
      <c r="E565" s="309"/>
      <c r="F565" s="309"/>
    </row>
    <row r="566" spans="2:6" x14ac:dyDescent="0.2">
      <c r="B566" s="308"/>
      <c r="C566" s="309"/>
      <c r="E566" s="309"/>
      <c r="F566" s="309"/>
    </row>
    <row r="567" spans="2:6" x14ac:dyDescent="0.2">
      <c r="B567" s="308"/>
      <c r="C567" s="309"/>
      <c r="E567" s="309"/>
      <c r="F567" s="309"/>
    </row>
    <row r="568" spans="2:6" x14ac:dyDescent="0.2">
      <c r="B568" s="308"/>
      <c r="C568" s="309"/>
      <c r="E568" s="309"/>
      <c r="F568" s="309"/>
    </row>
    <row r="569" spans="2:6" x14ac:dyDescent="0.2">
      <c r="B569" s="308"/>
      <c r="C569" s="309"/>
      <c r="E569" s="309"/>
      <c r="F569" s="309"/>
    </row>
    <row r="570" spans="2:6" x14ac:dyDescent="0.2">
      <c r="B570" s="308"/>
      <c r="C570" s="309"/>
      <c r="E570" s="309"/>
      <c r="F570" s="309"/>
    </row>
    <row r="571" spans="2:6" x14ac:dyDescent="0.2">
      <c r="B571" s="308"/>
      <c r="C571" s="309"/>
      <c r="E571" s="309"/>
      <c r="F571" s="309"/>
    </row>
    <row r="572" spans="2:6" x14ac:dyDescent="0.2">
      <c r="B572" s="308"/>
      <c r="C572" s="309"/>
      <c r="E572" s="309"/>
      <c r="F572" s="309"/>
    </row>
    <row r="573" spans="2:6" x14ac:dyDescent="0.2">
      <c r="B573" s="308"/>
      <c r="C573" s="309"/>
      <c r="E573" s="309"/>
      <c r="F573" s="309"/>
    </row>
    <row r="574" spans="2:6" x14ac:dyDescent="0.2">
      <c r="B574" s="308"/>
      <c r="C574" s="309"/>
      <c r="E574" s="309"/>
      <c r="F574" s="309"/>
    </row>
    <row r="575" spans="2:6" x14ac:dyDescent="0.2">
      <c r="B575" s="308"/>
      <c r="C575" s="309"/>
      <c r="E575" s="309"/>
      <c r="F575" s="309"/>
    </row>
    <row r="576" spans="2:6" x14ac:dyDescent="0.2">
      <c r="B576" s="308"/>
      <c r="C576" s="309"/>
      <c r="E576" s="309"/>
      <c r="F576" s="309"/>
    </row>
    <row r="577" spans="2:6" x14ac:dyDescent="0.2">
      <c r="B577" s="308"/>
      <c r="C577" s="309"/>
      <c r="E577" s="309"/>
      <c r="F577" s="309"/>
    </row>
    <row r="578" spans="2:6" x14ac:dyDescent="0.2">
      <c r="B578" s="308"/>
      <c r="C578" s="309"/>
      <c r="E578" s="309"/>
      <c r="F578" s="309"/>
    </row>
    <row r="579" spans="2:6" x14ac:dyDescent="0.2">
      <c r="B579" s="308"/>
      <c r="C579" s="309"/>
      <c r="E579" s="309"/>
      <c r="F579" s="309"/>
    </row>
    <row r="580" spans="2:6" x14ac:dyDescent="0.2">
      <c r="B580" s="308"/>
      <c r="C580" s="309"/>
      <c r="E580" s="309"/>
      <c r="F580" s="309"/>
    </row>
    <row r="581" spans="2:6" x14ac:dyDescent="0.2">
      <c r="B581" s="308"/>
      <c r="C581" s="309"/>
      <c r="E581" s="309"/>
      <c r="F581" s="309"/>
    </row>
    <row r="582" spans="2:6" x14ac:dyDescent="0.2">
      <c r="B582" s="308"/>
      <c r="C582" s="309"/>
      <c r="E582" s="309"/>
      <c r="F582" s="309"/>
    </row>
    <row r="583" spans="2:6" x14ac:dyDescent="0.2">
      <c r="B583" s="308"/>
      <c r="C583" s="309"/>
      <c r="E583" s="309"/>
      <c r="F583" s="309"/>
    </row>
    <row r="584" spans="2:6" x14ac:dyDescent="0.2">
      <c r="B584" s="308"/>
      <c r="C584" s="309"/>
      <c r="E584" s="309"/>
      <c r="F584" s="309"/>
    </row>
    <row r="585" spans="2:6" x14ac:dyDescent="0.2">
      <c r="B585" s="308"/>
      <c r="C585" s="309"/>
      <c r="E585" s="309"/>
      <c r="F585" s="309"/>
    </row>
    <row r="586" spans="2:6" x14ac:dyDescent="0.2">
      <c r="B586" s="308"/>
      <c r="C586" s="309"/>
      <c r="E586" s="309"/>
      <c r="F586" s="309"/>
    </row>
    <row r="587" spans="2:6" x14ac:dyDescent="0.2">
      <c r="B587" s="308"/>
      <c r="C587" s="309"/>
      <c r="E587" s="309"/>
      <c r="F587" s="309"/>
    </row>
    <row r="588" spans="2:6" x14ac:dyDescent="0.2">
      <c r="B588" s="308"/>
      <c r="C588" s="309"/>
      <c r="E588" s="309"/>
      <c r="F588" s="309"/>
    </row>
    <row r="589" spans="2:6" x14ac:dyDescent="0.2">
      <c r="B589" s="308"/>
      <c r="C589" s="309"/>
      <c r="E589" s="309"/>
      <c r="F589" s="309"/>
    </row>
    <row r="590" spans="2:6" x14ac:dyDescent="0.2">
      <c r="B590" s="308"/>
      <c r="C590" s="309"/>
      <c r="E590" s="309"/>
      <c r="F590" s="309"/>
    </row>
    <row r="591" spans="2:6" x14ac:dyDescent="0.2">
      <c r="B591" s="308"/>
      <c r="C591" s="309"/>
      <c r="E591" s="309"/>
      <c r="F591" s="309"/>
    </row>
    <row r="592" spans="2:6" x14ac:dyDescent="0.2">
      <c r="B592" s="308"/>
      <c r="C592" s="309"/>
      <c r="E592" s="309"/>
      <c r="F592" s="309"/>
    </row>
    <row r="593" spans="2:6" x14ac:dyDescent="0.2">
      <c r="B593" s="308"/>
      <c r="C593" s="309"/>
      <c r="E593" s="309"/>
      <c r="F593" s="309"/>
    </row>
    <row r="594" spans="2:6" x14ac:dyDescent="0.2">
      <c r="B594" s="308"/>
      <c r="C594" s="309"/>
      <c r="E594" s="309"/>
      <c r="F594" s="309"/>
    </row>
    <row r="595" spans="2:6" x14ac:dyDescent="0.2">
      <c r="B595" s="308"/>
      <c r="C595" s="309"/>
      <c r="E595" s="309"/>
      <c r="F595" s="309"/>
    </row>
    <row r="596" spans="2:6" x14ac:dyDescent="0.2">
      <c r="B596" s="308"/>
      <c r="C596" s="309"/>
      <c r="E596" s="309"/>
      <c r="F596" s="309"/>
    </row>
    <row r="597" spans="2:6" x14ac:dyDescent="0.2">
      <c r="B597" s="308"/>
      <c r="C597" s="309"/>
      <c r="E597" s="309"/>
      <c r="F597" s="309"/>
    </row>
    <row r="598" spans="2:6" x14ac:dyDescent="0.2">
      <c r="B598" s="308"/>
      <c r="C598" s="309"/>
      <c r="E598" s="309"/>
      <c r="F598" s="309"/>
    </row>
    <row r="599" spans="2:6" x14ac:dyDescent="0.2">
      <c r="B599" s="308"/>
      <c r="C599" s="309"/>
      <c r="E599" s="309"/>
      <c r="F599" s="309"/>
    </row>
    <row r="600" spans="2:6" x14ac:dyDescent="0.2">
      <c r="B600" s="308"/>
      <c r="C600" s="309"/>
      <c r="E600" s="309"/>
      <c r="F600" s="309"/>
    </row>
    <row r="601" spans="2:6" x14ac:dyDescent="0.2">
      <c r="B601" s="308"/>
      <c r="C601" s="309"/>
      <c r="E601" s="309"/>
      <c r="F601" s="309"/>
    </row>
    <row r="602" spans="2:6" x14ac:dyDescent="0.2">
      <c r="B602" s="308"/>
      <c r="C602" s="309"/>
      <c r="E602" s="309"/>
      <c r="F602" s="309"/>
    </row>
    <row r="603" spans="2:6" x14ac:dyDescent="0.2">
      <c r="B603" s="308"/>
      <c r="C603" s="309"/>
      <c r="E603" s="309"/>
      <c r="F603" s="309"/>
    </row>
    <row r="604" spans="2:6" x14ac:dyDescent="0.2">
      <c r="B604" s="308"/>
      <c r="C604" s="309"/>
      <c r="E604" s="309"/>
      <c r="F604" s="309"/>
    </row>
    <row r="605" spans="2:6" x14ac:dyDescent="0.2">
      <c r="B605" s="308"/>
      <c r="C605" s="309"/>
      <c r="E605" s="309"/>
      <c r="F605" s="309"/>
    </row>
    <row r="606" spans="2:6" x14ac:dyDescent="0.2">
      <c r="B606" s="308"/>
      <c r="C606" s="309"/>
      <c r="E606" s="309"/>
      <c r="F606" s="309"/>
    </row>
    <row r="607" spans="2:6" x14ac:dyDescent="0.2">
      <c r="B607" s="308"/>
      <c r="C607" s="309"/>
      <c r="E607" s="309"/>
      <c r="F607" s="309"/>
    </row>
    <row r="608" spans="2:6" x14ac:dyDescent="0.2">
      <c r="B608" s="308"/>
      <c r="C608" s="309"/>
      <c r="E608" s="309"/>
      <c r="F608" s="309"/>
    </row>
    <row r="609" spans="2:6" x14ac:dyDescent="0.2">
      <c r="B609" s="308"/>
      <c r="C609" s="309"/>
      <c r="E609" s="309"/>
      <c r="F609" s="309"/>
    </row>
    <row r="610" spans="2:6" x14ac:dyDescent="0.2">
      <c r="B610" s="308"/>
      <c r="C610" s="309"/>
      <c r="E610" s="309"/>
      <c r="F610" s="309"/>
    </row>
    <row r="611" spans="2:6" x14ac:dyDescent="0.2">
      <c r="B611" s="308"/>
      <c r="C611" s="309"/>
      <c r="E611" s="309"/>
      <c r="F611" s="309"/>
    </row>
    <row r="612" spans="2:6" x14ac:dyDescent="0.2">
      <c r="B612" s="308"/>
      <c r="C612" s="309"/>
      <c r="E612" s="309"/>
      <c r="F612" s="309"/>
    </row>
    <row r="613" spans="2:6" x14ac:dyDescent="0.2">
      <c r="B613" s="308"/>
      <c r="C613" s="309"/>
      <c r="E613" s="309"/>
      <c r="F613" s="309"/>
    </row>
    <row r="614" spans="2:6" x14ac:dyDescent="0.2">
      <c r="B614" s="308"/>
      <c r="C614" s="309"/>
      <c r="E614" s="309"/>
      <c r="F614" s="309"/>
    </row>
    <row r="615" spans="2:6" x14ac:dyDescent="0.2">
      <c r="B615" s="308"/>
      <c r="C615" s="309"/>
      <c r="E615" s="309"/>
      <c r="F615" s="309"/>
    </row>
    <row r="616" spans="2:6" x14ac:dyDescent="0.2">
      <c r="B616" s="308"/>
      <c r="C616" s="309"/>
      <c r="E616" s="309"/>
      <c r="F616" s="309"/>
    </row>
    <row r="617" spans="2:6" x14ac:dyDescent="0.2">
      <c r="B617" s="308"/>
      <c r="C617" s="309"/>
      <c r="E617" s="309"/>
      <c r="F617" s="309"/>
    </row>
    <row r="618" spans="2:6" x14ac:dyDescent="0.2">
      <c r="B618" s="308"/>
      <c r="C618" s="309"/>
      <c r="E618" s="309"/>
      <c r="F618" s="309"/>
    </row>
    <row r="619" spans="2:6" x14ac:dyDescent="0.2">
      <c r="B619" s="308"/>
      <c r="C619" s="309"/>
      <c r="E619" s="309"/>
      <c r="F619" s="309"/>
    </row>
    <row r="620" spans="2:6" x14ac:dyDescent="0.2">
      <c r="B620" s="308"/>
      <c r="C620" s="309"/>
      <c r="E620" s="309"/>
      <c r="F620" s="309"/>
    </row>
    <row r="621" spans="2:6" x14ac:dyDescent="0.2">
      <c r="B621" s="308"/>
      <c r="C621" s="309"/>
      <c r="E621" s="309"/>
      <c r="F621" s="309"/>
    </row>
    <row r="622" spans="2:6" x14ac:dyDescent="0.2">
      <c r="B622" s="308"/>
      <c r="C622" s="309"/>
      <c r="E622" s="309"/>
      <c r="F622" s="309"/>
    </row>
    <row r="623" spans="2:6" x14ac:dyDescent="0.2">
      <c r="B623" s="308"/>
      <c r="C623" s="309"/>
      <c r="E623" s="309"/>
      <c r="F623" s="309"/>
    </row>
    <row r="624" spans="2:6" x14ac:dyDescent="0.2">
      <c r="B624" s="308"/>
      <c r="C624" s="309"/>
      <c r="E624" s="309"/>
      <c r="F624" s="309"/>
    </row>
    <row r="625" spans="2:6" x14ac:dyDescent="0.2">
      <c r="B625" s="308"/>
      <c r="C625" s="309"/>
      <c r="E625" s="309"/>
      <c r="F625" s="309"/>
    </row>
    <row r="626" spans="2:6" x14ac:dyDescent="0.2">
      <c r="B626" s="308"/>
      <c r="C626" s="309"/>
      <c r="E626" s="309"/>
      <c r="F626" s="309"/>
    </row>
    <row r="627" spans="2:6" x14ac:dyDescent="0.2">
      <c r="B627" s="308"/>
      <c r="C627" s="309"/>
      <c r="E627" s="309"/>
      <c r="F627" s="309"/>
    </row>
    <row r="628" spans="2:6" x14ac:dyDescent="0.2">
      <c r="B628" s="308"/>
      <c r="C628" s="309"/>
      <c r="E628" s="309"/>
      <c r="F628" s="309"/>
    </row>
    <row r="629" spans="2:6" x14ac:dyDescent="0.2">
      <c r="B629" s="308"/>
      <c r="C629" s="309"/>
      <c r="E629" s="309"/>
      <c r="F629" s="309"/>
    </row>
    <row r="630" spans="2:6" x14ac:dyDescent="0.2">
      <c r="B630" s="308"/>
      <c r="C630" s="309"/>
      <c r="E630" s="309"/>
      <c r="F630" s="309"/>
    </row>
    <row r="631" spans="2:6" x14ac:dyDescent="0.2">
      <c r="B631" s="308"/>
      <c r="C631" s="309"/>
      <c r="E631" s="309"/>
      <c r="F631" s="309"/>
    </row>
    <row r="632" spans="2:6" x14ac:dyDescent="0.2">
      <c r="B632" s="308"/>
      <c r="C632" s="309"/>
      <c r="E632" s="309"/>
      <c r="F632" s="309"/>
    </row>
    <row r="633" spans="2:6" x14ac:dyDescent="0.2">
      <c r="B633" s="308"/>
      <c r="C633" s="309"/>
      <c r="E633" s="309"/>
      <c r="F633" s="309"/>
    </row>
    <row r="634" spans="2:6" x14ac:dyDescent="0.2">
      <c r="B634" s="308"/>
      <c r="C634" s="309"/>
      <c r="E634" s="309"/>
      <c r="F634" s="309"/>
    </row>
    <row r="635" spans="2:6" x14ac:dyDescent="0.2">
      <c r="B635" s="308"/>
      <c r="C635" s="309"/>
      <c r="E635" s="309"/>
      <c r="F635" s="309"/>
    </row>
    <row r="636" spans="2:6" x14ac:dyDescent="0.2">
      <c r="B636" s="308"/>
      <c r="C636" s="309"/>
      <c r="E636" s="309"/>
      <c r="F636" s="309"/>
    </row>
    <row r="637" spans="2:6" x14ac:dyDescent="0.2">
      <c r="B637" s="308"/>
      <c r="C637" s="309"/>
      <c r="E637" s="309"/>
      <c r="F637" s="309"/>
    </row>
    <row r="638" spans="2:6" x14ac:dyDescent="0.2">
      <c r="B638" s="308"/>
      <c r="C638" s="309"/>
      <c r="E638" s="309"/>
      <c r="F638" s="309"/>
    </row>
    <row r="639" spans="2:6" x14ac:dyDescent="0.2">
      <c r="B639" s="308"/>
      <c r="C639" s="309"/>
      <c r="E639" s="309"/>
      <c r="F639" s="309"/>
    </row>
    <row r="640" spans="2:6" x14ac:dyDescent="0.2">
      <c r="B640" s="308"/>
      <c r="C640" s="309"/>
      <c r="E640" s="309"/>
      <c r="F640" s="309"/>
    </row>
    <row r="641" spans="2:6" x14ac:dyDescent="0.2">
      <c r="B641" s="308"/>
      <c r="C641" s="309"/>
      <c r="E641" s="309"/>
      <c r="F641" s="309"/>
    </row>
    <row r="642" spans="2:6" x14ac:dyDescent="0.2">
      <c r="B642" s="308"/>
      <c r="C642" s="309"/>
      <c r="E642" s="309"/>
      <c r="F642" s="309"/>
    </row>
    <row r="643" spans="2:6" x14ac:dyDescent="0.2">
      <c r="B643" s="308"/>
      <c r="C643" s="309"/>
      <c r="E643" s="309"/>
      <c r="F643" s="309"/>
    </row>
    <row r="644" spans="2:6" x14ac:dyDescent="0.2">
      <c r="B644" s="308"/>
      <c r="C644" s="309"/>
      <c r="E644" s="309"/>
      <c r="F644" s="309"/>
    </row>
    <row r="645" spans="2:6" x14ac:dyDescent="0.2">
      <c r="B645" s="308"/>
      <c r="C645" s="309"/>
      <c r="E645" s="309"/>
      <c r="F645" s="309"/>
    </row>
    <row r="646" spans="2:6" x14ac:dyDescent="0.2">
      <c r="B646" s="308"/>
      <c r="C646" s="309"/>
      <c r="E646" s="309"/>
      <c r="F646" s="309"/>
    </row>
    <row r="647" spans="2:6" x14ac:dyDescent="0.2">
      <c r="B647" s="308"/>
      <c r="C647" s="309"/>
      <c r="E647" s="309"/>
      <c r="F647" s="309"/>
    </row>
    <row r="648" spans="2:6" x14ac:dyDescent="0.2">
      <c r="B648" s="308"/>
      <c r="C648" s="309"/>
      <c r="E648" s="309"/>
      <c r="F648" s="309"/>
    </row>
    <row r="649" spans="2:6" x14ac:dyDescent="0.2">
      <c r="B649" s="308"/>
      <c r="C649" s="309"/>
      <c r="E649" s="309"/>
      <c r="F649" s="309"/>
    </row>
    <row r="650" spans="2:6" x14ac:dyDescent="0.2">
      <c r="B650" s="308"/>
      <c r="C650" s="309"/>
      <c r="E650" s="309"/>
      <c r="F650" s="309"/>
    </row>
    <row r="651" spans="2:6" x14ac:dyDescent="0.2">
      <c r="B651" s="308"/>
      <c r="C651" s="309"/>
      <c r="E651" s="309"/>
      <c r="F651" s="309"/>
    </row>
    <row r="652" spans="2:6" x14ac:dyDescent="0.2">
      <c r="B652" s="308"/>
      <c r="C652" s="309"/>
      <c r="E652" s="309"/>
      <c r="F652" s="309"/>
    </row>
    <row r="653" spans="2:6" x14ac:dyDescent="0.2">
      <c r="B653" s="308"/>
      <c r="C653" s="309"/>
      <c r="E653" s="309"/>
      <c r="F653" s="309"/>
    </row>
    <row r="654" spans="2:6" x14ac:dyDescent="0.2">
      <c r="B654" s="308"/>
      <c r="C654" s="309"/>
      <c r="E654" s="309"/>
      <c r="F654" s="309"/>
    </row>
    <row r="655" spans="2:6" x14ac:dyDescent="0.2">
      <c r="B655" s="308"/>
      <c r="C655" s="309"/>
      <c r="E655" s="309"/>
      <c r="F655" s="309"/>
    </row>
    <row r="656" spans="2:6" x14ac:dyDescent="0.2">
      <c r="B656" s="308"/>
      <c r="C656" s="309"/>
      <c r="E656" s="309"/>
      <c r="F656" s="309"/>
    </row>
    <row r="657" spans="2:6" x14ac:dyDescent="0.2">
      <c r="B657" s="308"/>
      <c r="C657" s="309"/>
      <c r="E657" s="309"/>
      <c r="F657" s="309"/>
    </row>
    <row r="658" spans="2:6" x14ac:dyDescent="0.2">
      <c r="B658" s="308"/>
      <c r="C658" s="309"/>
      <c r="E658" s="309"/>
      <c r="F658" s="309"/>
    </row>
    <row r="659" spans="2:6" x14ac:dyDescent="0.2">
      <c r="B659" s="308"/>
      <c r="C659" s="309"/>
      <c r="E659" s="309"/>
      <c r="F659" s="309"/>
    </row>
    <row r="660" spans="2:6" x14ac:dyDescent="0.2">
      <c r="B660" s="308"/>
      <c r="C660" s="309"/>
      <c r="E660" s="309"/>
      <c r="F660" s="309"/>
    </row>
    <row r="661" spans="2:6" x14ac:dyDescent="0.2">
      <c r="B661" s="308"/>
      <c r="C661" s="309"/>
      <c r="E661" s="309"/>
      <c r="F661" s="309"/>
    </row>
    <row r="662" spans="2:6" x14ac:dyDescent="0.2">
      <c r="B662" s="308"/>
      <c r="C662" s="309"/>
      <c r="E662" s="309"/>
      <c r="F662" s="309"/>
    </row>
    <row r="663" spans="2:6" x14ac:dyDescent="0.2">
      <c r="B663" s="308"/>
      <c r="C663" s="309"/>
      <c r="E663" s="309"/>
      <c r="F663" s="309"/>
    </row>
    <row r="664" spans="2:6" x14ac:dyDescent="0.2">
      <c r="B664" s="308"/>
      <c r="C664" s="309"/>
      <c r="E664" s="309"/>
      <c r="F664" s="309"/>
    </row>
    <row r="665" spans="2:6" x14ac:dyDescent="0.2">
      <c r="B665" s="308"/>
      <c r="C665" s="309"/>
      <c r="E665" s="309"/>
      <c r="F665" s="309"/>
    </row>
    <row r="666" spans="2:6" x14ac:dyDescent="0.2">
      <c r="B666" s="308"/>
      <c r="C666" s="309"/>
      <c r="E666" s="309"/>
      <c r="F666" s="309"/>
    </row>
    <row r="667" spans="2:6" x14ac:dyDescent="0.2">
      <c r="B667" s="308"/>
      <c r="C667" s="309"/>
      <c r="E667" s="309"/>
      <c r="F667" s="309"/>
    </row>
    <row r="668" spans="2:6" x14ac:dyDescent="0.2">
      <c r="B668" s="308"/>
      <c r="C668" s="309"/>
      <c r="E668" s="309"/>
      <c r="F668" s="309"/>
    </row>
    <row r="669" spans="2:6" x14ac:dyDescent="0.2">
      <c r="B669" s="308"/>
      <c r="C669" s="309"/>
      <c r="E669" s="309"/>
      <c r="F669" s="309"/>
    </row>
    <row r="670" spans="2:6" x14ac:dyDescent="0.2">
      <c r="B670" s="308"/>
      <c r="C670" s="309"/>
      <c r="E670" s="309"/>
      <c r="F670" s="309"/>
    </row>
    <row r="671" spans="2:6" x14ac:dyDescent="0.2">
      <c r="B671" s="308"/>
      <c r="C671" s="309"/>
      <c r="E671" s="309"/>
      <c r="F671" s="309"/>
    </row>
    <row r="672" spans="2:6" x14ac:dyDescent="0.2">
      <c r="B672" s="308"/>
      <c r="C672" s="309"/>
      <c r="E672" s="309"/>
      <c r="F672" s="309"/>
    </row>
    <row r="673" spans="2:6" x14ac:dyDescent="0.2">
      <c r="B673" s="308"/>
      <c r="C673" s="309"/>
      <c r="E673" s="309"/>
      <c r="F673" s="309"/>
    </row>
    <row r="674" spans="2:6" x14ac:dyDescent="0.2">
      <c r="B674" s="308"/>
      <c r="C674" s="309"/>
      <c r="E674" s="309"/>
      <c r="F674" s="309"/>
    </row>
    <row r="675" spans="2:6" x14ac:dyDescent="0.2">
      <c r="B675" s="308"/>
      <c r="C675" s="309"/>
      <c r="E675" s="309"/>
      <c r="F675" s="309"/>
    </row>
    <row r="676" spans="2:6" x14ac:dyDescent="0.2">
      <c r="B676" s="308"/>
      <c r="C676" s="309"/>
      <c r="E676" s="309"/>
      <c r="F676" s="309"/>
    </row>
    <row r="677" spans="2:6" x14ac:dyDescent="0.2">
      <c r="B677" s="308"/>
      <c r="C677" s="309"/>
      <c r="E677" s="309"/>
      <c r="F677" s="309"/>
    </row>
    <row r="678" spans="2:6" x14ac:dyDescent="0.2">
      <c r="B678" s="308"/>
      <c r="C678" s="309"/>
      <c r="E678" s="309"/>
      <c r="F678" s="309"/>
    </row>
    <row r="679" spans="2:6" x14ac:dyDescent="0.2">
      <c r="B679" s="308"/>
      <c r="C679" s="309"/>
      <c r="E679" s="309"/>
      <c r="F679" s="309"/>
    </row>
    <row r="680" spans="2:6" x14ac:dyDescent="0.2">
      <c r="B680" s="308"/>
      <c r="C680" s="309"/>
      <c r="E680" s="309"/>
      <c r="F680" s="309"/>
    </row>
    <row r="681" spans="2:6" x14ac:dyDescent="0.2">
      <c r="B681" s="308"/>
      <c r="C681" s="309"/>
      <c r="E681" s="309"/>
      <c r="F681" s="309"/>
    </row>
    <row r="682" spans="2:6" x14ac:dyDescent="0.2">
      <c r="B682" s="308"/>
      <c r="C682" s="309"/>
      <c r="E682" s="309"/>
      <c r="F682" s="309"/>
    </row>
    <row r="683" spans="2:6" x14ac:dyDescent="0.2">
      <c r="B683" s="308"/>
      <c r="C683" s="309"/>
      <c r="E683" s="309"/>
      <c r="F683" s="309"/>
    </row>
    <row r="684" spans="2:6" x14ac:dyDescent="0.2">
      <c r="B684" s="308"/>
      <c r="C684" s="309"/>
      <c r="E684" s="309"/>
      <c r="F684" s="309"/>
    </row>
    <row r="685" spans="2:6" x14ac:dyDescent="0.2">
      <c r="B685" s="308"/>
      <c r="C685" s="309"/>
      <c r="E685" s="309"/>
      <c r="F685" s="309"/>
    </row>
    <row r="686" spans="2:6" x14ac:dyDescent="0.2">
      <c r="B686" s="308"/>
      <c r="C686" s="309"/>
      <c r="E686" s="309"/>
      <c r="F686" s="309"/>
    </row>
    <row r="687" spans="2:6" x14ac:dyDescent="0.2">
      <c r="B687" s="308"/>
      <c r="C687" s="309"/>
      <c r="E687" s="309"/>
      <c r="F687" s="309"/>
    </row>
    <row r="688" spans="2:6" x14ac:dyDescent="0.2">
      <c r="B688" s="308"/>
      <c r="C688" s="309"/>
      <c r="E688" s="309"/>
      <c r="F688" s="309"/>
    </row>
    <row r="689" spans="2:6" x14ac:dyDescent="0.2">
      <c r="B689" s="308"/>
      <c r="C689" s="309"/>
      <c r="E689" s="309"/>
      <c r="F689" s="309"/>
    </row>
    <row r="690" spans="2:6" x14ac:dyDescent="0.2">
      <c r="B690" s="308"/>
      <c r="C690" s="309"/>
      <c r="E690" s="309"/>
      <c r="F690" s="309"/>
    </row>
    <row r="691" spans="2:6" x14ac:dyDescent="0.2">
      <c r="B691" s="308"/>
      <c r="C691" s="309"/>
      <c r="E691" s="309"/>
      <c r="F691" s="309"/>
    </row>
    <row r="692" spans="2:6" x14ac:dyDescent="0.2">
      <c r="B692" s="308"/>
      <c r="C692" s="309"/>
      <c r="E692" s="309"/>
      <c r="F692" s="309"/>
    </row>
    <row r="693" spans="2:6" x14ac:dyDescent="0.2">
      <c r="B693" s="308"/>
      <c r="C693" s="309"/>
      <c r="E693" s="309"/>
      <c r="F693" s="309"/>
    </row>
    <row r="694" spans="2:6" x14ac:dyDescent="0.2">
      <c r="B694" s="308"/>
      <c r="C694" s="309"/>
      <c r="E694" s="309"/>
      <c r="F694" s="309"/>
    </row>
    <row r="695" spans="2:6" x14ac:dyDescent="0.2">
      <c r="B695" s="308"/>
      <c r="C695" s="309"/>
      <c r="E695" s="309"/>
      <c r="F695" s="309"/>
    </row>
    <row r="696" spans="2:6" x14ac:dyDescent="0.2">
      <c r="B696" s="308"/>
      <c r="C696" s="309"/>
      <c r="E696" s="309"/>
      <c r="F696" s="309"/>
    </row>
    <row r="697" spans="2:6" x14ac:dyDescent="0.2">
      <c r="B697" s="308"/>
      <c r="C697" s="309"/>
      <c r="E697" s="309"/>
      <c r="F697" s="309"/>
    </row>
    <row r="698" spans="2:6" x14ac:dyDescent="0.2">
      <c r="B698" s="308"/>
      <c r="C698" s="309"/>
      <c r="E698" s="309"/>
      <c r="F698" s="309"/>
    </row>
    <row r="699" spans="2:6" x14ac:dyDescent="0.2">
      <c r="B699" s="308"/>
      <c r="C699" s="309"/>
      <c r="E699" s="309"/>
      <c r="F699" s="309"/>
    </row>
    <row r="700" spans="2:6" x14ac:dyDescent="0.2">
      <c r="B700" s="308"/>
      <c r="C700" s="309"/>
      <c r="E700" s="309"/>
      <c r="F700" s="309"/>
    </row>
    <row r="701" spans="2:6" x14ac:dyDescent="0.2">
      <c r="B701" s="308"/>
      <c r="C701" s="309"/>
      <c r="E701" s="309"/>
      <c r="F701" s="309"/>
    </row>
    <row r="702" spans="2:6" x14ac:dyDescent="0.2">
      <c r="B702" s="308"/>
      <c r="C702" s="309"/>
      <c r="E702" s="309"/>
      <c r="F702" s="309"/>
    </row>
    <row r="703" spans="2:6" x14ac:dyDescent="0.2">
      <c r="B703" s="308"/>
      <c r="C703" s="309"/>
      <c r="E703" s="309"/>
      <c r="F703" s="309"/>
    </row>
    <row r="704" spans="2:6" x14ac:dyDescent="0.2">
      <c r="B704" s="308"/>
      <c r="C704" s="309"/>
      <c r="E704" s="309"/>
      <c r="F704" s="309"/>
    </row>
    <row r="705" spans="2:6" x14ac:dyDescent="0.2">
      <c r="B705" s="308"/>
      <c r="C705" s="309"/>
      <c r="E705" s="309"/>
      <c r="F705" s="309"/>
    </row>
    <row r="706" spans="2:6" x14ac:dyDescent="0.2">
      <c r="B706" s="308"/>
      <c r="C706" s="309"/>
      <c r="E706" s="309"/>
      <c r="F706" s="309"/>
    </row>
    <row r="707" spans="2:6" x14ac:dyDescent="0.2">
      <c r="B707" s="308"/>
      <c r="C707" s="309"/>
      <c r="E707" s="309"/>
      <c r="F707" s="309"/>
    </row>
    <row r="708" spans="2:6" x14ac:dyDescent="0.2">
      <c r="B708" s="308"/>
      <c r="C708" s="309"/>
      <c r="E708" s="309"/>
      <c r="F708" s="309"/>
    </row>
    <row r="709" spans="2:6" x14ac:dyDescent="0.2">
      <c r="B709" s="308"/>
      <c r="C709" s="309"/>
      <c r="E709" s="309"/>
      <c r="F709" s="309"/>
    </row>
    <row r="710" spans="2:6" x14ac:dyDescent="0.2">
      <c r="B710" s="308"/>
      <c r="C710" s="309"/>
      <c r="E710" s="309"/>
      <c r="F710" s="309"/>
    </row>
    <row r="711" spans="2:6" x14ac:dyDescent="0.2">
      <c r="B711" s="308"/>
      <c r="C711" s="309"/>
      <c r="E711" s="309"/>
      <c r="F711" s="309"/>
    </row>
    <row r="712" spans="2:6" x14ac:dyDescent="0.2">
      <c r="B712" s="308"/>
      <c r="C712" s="309"/>
      <c r="E712" s="309"/>
      <c r="F712" s="309"/>
    </row>
    <row r="713" spans="2:6" x14ac:dyDescent="0.2">
      <c r="B713" s="308"/>
      <c r="C713" s="309"/>
      <c r="E713" s="309"/>
      <c r="F713" s="309"/>
    </row>
    <row r="714" spans="2:6" x14ac:dyDescent="0.2">
      <c r="B714" s="308"/>
      <c r="C714" s="309"/>
      <c r="E714" s="309"/>
      <c r="F714" s="309"/>
    </row>
    <row r="715" spans="2:6" x14ac:dyDescent="0.2">
      <c r="B715" s="308"/>
      <c r="C715" s="309"/>
      <c r="E715" s="309"/>
      <c r="F715" s="309"/>
    </row>
    <row r="716" spans="2:6" x14ac:dyDescent="0.2">
      <c r="B716" s="308"/>
      <c r="C716" s="309"/>
      <c r="E716" s="309"/>
      <c r="F716" s="309"/>
    </row>
    <row r="717" spans="2:6" x14ac:dyDescent="0.2">
      <c r="B717" s="308"/>
      <c r="C717" s="309"/>
      <c r="E717" s="309"/>
      <c r="F717" s="309"/>
    </row>
    <row r="718" spans="2:6" x14ac:dyDescent="0.2">
      <c r="B718" s="308"/>
      <c r="C718" s="309"/>
      <c r="E718" s="309"/>
      <c r="F718" s="309"/>
    </row>
    <row r="719" spans="2:6" x14ac:dyDescent="0.2">
      <c r="B719" s="308"/>
      <c r="C719" s="309"/>
      <c r="E719" s="309"/>
      <c r="F719" s="309"/>
    </row>
    <row r="720" spans="2:6" x14ac:dyDescent="0.2">
      <c r="B720" s="308"/>
      <c r="C720" s="309"/>
      <c r="E720" s="309"/>
      <c r="F720" s="309"/>
    </row>
    <row r="721" spans="2:6" x14ac:dyDescent="0.2">
      <c r="B721" s="308"/>
      <c r="C721" s="309"/>
      <c r="E721" s="309"/>
      <c r="F721" s="309"/>
    </row>
    <row r="722" spans="2:6" x14ac:dyDescent="0.2">
      <c r="B722" s="308"/>
      <c r="C722" s="309"/>
      <c r="E722" s="309"/>
      <c r="F722" s="309"/>
    </row>
    <row r="723" spans="2:6" x14ac:dyDescent="0.2">
      <c r="B723" s="308"/>
      <c r="C723" s="309"/>
      <c r="E723" s="309"/>
      <c r="F723" s="309"/>
    </row>
    <row r="724" spans="2:6" x14ac:dyDescent="0.2">
      <c r="B724" s="308"/>
      <c r="C724" s="309"/>
      <c r="E724" s="309"/>
      <c r="F724" s="309"/>
    </row>
    <row r="725" spans="2:6" x14ac:dyDescent="0.2">
      <c r="B725" s="308"/>
      <c r="C725" s="309"/>
      <c r="E725" s="309"/>
      <c r="F725" s="309"/>
    </row>
    <row r="726" spans="2:6" x14ac:dyDescent="0.2">
      <c r="B726" s="308"/>
      <c r="C726" s="309"/>
      <c r="E726" s="309"/>
      <c r="F726" s="309"/>
    </row>
    <row r="727" spans="2:6" x14ac:dyDescent="0.2">
      <c r="B727" s="308"/>
      <c r="C727" s="309"/>
      <c r="E727" s="309"/>
      <c r="F727" s="309"/>
    </row>
    <row r="728" spans="2:6" x14ac:dyDescent="0.2">
      <c r="B728" s="308"/>
      <c r="C728" s="309"/>
      <c r="E728" s="309"/>
      <c r="F728" s="309"/>
    </row>
    <row r="729" spans="2:6" x14ac:dyDescent="0.2">
      <c r="B729" s="308"/>
      <c r="C729" s="309"/>
      <c r="E729" s="309"/>
      <c r="F729" s="309"/>
    </row>
    <row r="730" spans="2:6" x14ac:dyDescent="0.2">
      <c r="B730" s="308"/>
      <c r="C730" s="309"/>
      <c r="E730" s="309"/>
      <c r="F730" s="309"/>
    </row>
    <row r="731" spans="2:6" x14ac:dyDescent="0.2">
      <c r="B731" s="308"/>
      <c r="C731" s="309"/>
      <c r="E731" s="309"/>
      <c r="F731" s="309"/>
    </row>
    <row r="732" spans="2:6" x14ac:dyDescent="0.2">
      <c r="B732" s="308"/>
      <c r="C732" s="309"/>
      <c r="E732" s="309"/>
      <c r="F732" s="309"/>
    </row>
    <row r="733" spans="2:6" x14ac:dyDescent="0.2">
      <c r="B733" s="308"/>
      <c r="C733" s="309"/>
      <c r="E733" s="309"/>
      <c r="F733" s="309"/>
    </row>
    <row r="734" spans="2:6" x14ac:dyDescent="0.2">
      <c r="B734" s="308"/>
      <c r="C734" s="309"/>
      <c r="E734" s="309"/>
      <c r="F734" s="309"/>
    </row>
    <row r="735" spans="2:6" x14ac:dyDescent="0.2">
      <c r="B735" s="308"/>
      <c r="C735" s="309"/>
      <c r="E735" s="309"/>
      <c r="F735" s="309"/>
    </row>
    <row r="736" spans="2:6" x14ac:dyDescent="0.2">
      <c r="B736" s="308"/>
      <c r="C736" s="309"/>
      <c r="E736" s="309"/>
      <c r="F736" s="309"/>
    </row>
    <row r="737" spans="2:6" x14ac:dyDescent="0.2">
      <c r="B737" s="308"/>
      <c r="C737" s="309"/>
      <c r="E737" s="309"/>
      <c r="F737" s="309"/>
    </row>
    <row r="738" spans="2:6" x14ac:dyDescent="0.2">
      <c r="B738" s="308"/>
      <c r="C738" s="309"/>
      <c r="E738" s="309"/>
      <c r="F738" s="309"/>
    </row>
    <row r="739" spans="2:6" x14ac:dyDescent="0.2">
      <c r="B739" s="308"/>
      <c r="C739" s="309"/>
      <c r="E739" s="309"/>
      <c r="F739" s="309"/>
    </row>
    <row r="740" spans="2:6" x14ac:dyDescent="0.2">
      <c r="B740" s="308"/>
      <c r="C740" s="309"/>
      <c r="E740" s="309"/>
      <c r="F740" s="309"/>
    </row>
    <row r="741" spans="2:6" x14ac:dyDescent="0.2">
      <c r="B741" s="308"/>
      <c r="C741" s="309"/>
      <c r="E741" s="309"/>
      <c r="F741" s="309"/>
    </row>
    <row r="742" spans="2:6" x14ac:dyDescent="0.2">
      <c r="B742" s="308"/>
      <c r="C742" s="309"/>
      <c r="E742" s="309"/>
      <c r="F742" s="309"/>
    </row>
    <row r="743" spans="2:6" x14ac:dyDescent="0.2">
      <c r="B743" s="308"/>
      <c r="C743" s="309"/>
      <c r="E743" s="309"/>
      <c r="F743" s="309"/>
    </row>
    <row r="744" spans="2:6" x14ac:dyDescent="0.2">
      <c r="B744" s="308"/>
      <c r="C744" s="309"/>
      <c r="E744" s="309"/>
      <c r="F744" s="309"/>
    </row>
    <row r="745" spans="2:6" x14ac:dyDescent="0.2">
      <c r="B745" s="308"/>
      <c r="C745" s="309"/>
      <c r="E745" s="309"/>
      <c r="F745" s="309"/>
    </row>
    <row r="746" spans="2:6" x14ac:dyDescent="0.2">
      <c r="B746" s="308"/>
      <c r="C746" s="309"/>
      <c r="E746" s="309"/>
      <c r="F746" s="309"/>
    </row>
    <row r="747" spans="2:6" x14ac:dyDescent="0.2">
      <c r="B747" s="308"/>
      <c r="C747" s="309"/>
      <c r="E747" s="309"/>
      <c r="F747" s="309"/>
    </row>
    <row r="748" spans="2:6" x14ac:dyDescent="0.2">
      <c r="B748" s="308"/>
      <c r="C748" s="309"/>
      <c r="E748" s="309"/>
      <c r="F748" s="309"/>
    </row>
    <row r="749" spans="2:6" x14ac:dyDescent="0.2">
      <c r="B749" s="308"/>
      <c r="C749" s="309"/>
      <c r="E749" s="309"/>
      <c r="F749" s="309"/>
    </row>
    <row r="750" spans="2:6" x14ac:dyDescent="0.2">
      <c r="B750" s="308"/>
      <c r="C750" s="309"/>
      <c r="E750" s="309"/>
      <c r="F750" s="309"/>
    </row>
    <row r="751" spans="2:6" x14ac:dyDescent="0.2">
      <c r="B751" s="308"/>
      <c r="C751" s="309"/>
      <c r="E751" s="309"/>
      <c r="F751" s="309"/>
    </row>
    <row r="752" spans="2:6" x14ac:dyDescent="0.2">
      <c r="B752" s="308"/>
      <c r="C752" s="309"/>
      <c r="E752" s="309"/>
      <c r="F752" s="309"/>
    </row>
    <row r="753" spans="2:6" x14ac:dyDescent="0.2">
      <c r="B753" s="308"/>
      <c r="C753" s="309"/>
      <c r="E753" s="309"/>
      <c r="F753" s="309"/>
    </row>
    <row r="754" spans="2:6" x14ac:dyDescent="0.2">
      <c r="B754" s="308"/>
      <c r="C754" s="309"/>
      <c r="E754" s="309"/>
      <c r="F754" s="309"/>
    </row>
    <row r="755" spans="2:6" x14ac:dyDescent="0.2">
      <c r="B755" s="308"/>
      <c r="C755" s="309"/>
      <c r="E755" s="309"/>
      <c r="F755" s="309"/>
    </row>
    <row r="756" spans="2:6" x14ac:dyDescent="0.2">
      <c r="B756" s="308"/>
      <c r="C756" s="309"/>
      <c r="E756" s="309"/>
      <c r="F756" s="309"/>
    </row>
    <row r="757" spans="2:6" x14ac:dyDescent="0.2">
      <c r="B757" s="308"/>
      <c r="C757" s="309"/>
      <c r="E757" s="309"/>
      <c r="F757" s="309"/>
    </row>
    <row r="758" spans="2:6" x14ac:dyDescent="0.2">
      <c r="B758" s="308"/>
      <c r="C758" s="309"/>
      <c r="E758" s="309"/>
      <c r="F758" s="309"/>
    </row>
    <row r="759" spans="2:6" x14ac:dyDescent="0.2">
      <c r="B759" s="308"/>
      <c r="C759" s="309"/>
      <c r="E759" s="309"/>
      <c r="F759" s="309"/>
    </row>
    <row r="760" spans="2:6" x14ac:dyDescent="0.2">
      <c r="B760" s="308"/>
      <c r="C760" s="309"/>
      <c r="E760" s="309"/>
      <c r="F760" s="309"/>
    </row>
    <row r="761" spans="2:6" x14ac:dyDescent="0.2">
      <c r="B761" s="308"/>
      <c r="C761" s="309"/>
      <c r="E761" s="309"/>
      <c r="F761" s="309"/>
    </row>
    <row r="762" spans="2:6" x14ac:dyDescent="0.2">
      <c r="B762" s="308"/>
      <c r="C762" s="309"/>
      <c r="E762" s="309"/>
      <c r="F762" s="309"/>
    </row>
    <row r="763" spans="2:6" x14ac:dyDescent="0.2">
      <c r="B763" s="308"/>
      <c r="C763" s="309"/>
      <c r="E763" s="309"/>
      <c r="F763" s="309"/>
    </row>
    <row r="764" spans="2:6" x14ac:dyDescent="0.2">
      <c r="B764" s="308"/>
      <c r="C764" s="309"/>
      <c r="E764" s="309"/>
      <c r="F764" s="309"/>
    </row>
    <row r="765" spans="2:6" x14ac:dyDescent="0.2">
      <c r="B765" s="308"/>
      <c r="C765" s="309"/>
      <c r="E765" s="309"/>
      <c r="F765" s="309"/>
    </row>
    <row r="766" spans="2:6" x14ac:dyDescent="0.2">
      <c r="B766" s="308"/>
      <c r="C766" s="309"/>
      <c r="E766" s="309"/>
      <c r="F766" s="309"/>
    </row>
    <row r="767" spans="2:6" x14ac:dyDescent="0.2">
      <c r="B767" s="308"/>
      <c r="C767" s="309"/>
      <c r="E767" s="309"/>
      <c r="F767" s="309"/>
    </row>
    <row r="768" spans="2:6" x14ac:dyDescent="0.2">
      <c r="B768" s="308"/>
      <c r="C768" s="309"/>
      <c r="E768" s="309"/>
      <c r="F768" s="309"/>
    </row>
    <row r="769" spans="2:6" x14ac:dyDescent="0.2">
      <c r="B769" s="308"/>
      <c r="C769" s="309"/>
      <c r="E769" s="309"/>
      <c r="F769" s="309"/>
    </row>
    <row r="770" spans="2:6" x14ac:dyDescent="0.2">
      <c r="B770" s="308"/>
      <c r="C770" s="309"/>
      <c r="E770" s="309"/>
      <c r="F770" s="309"/>
    </row>
    <row r="771" spans="2:6" x14ac:dyDescent="0.2">
      <c r="B771" s="308"/>
      <c r="C771" s="309"/>
      <c r="E771" s="309"/>
      <c r="F771" s="309"/>
    </row>
    <row r="772" spans="2:6" x14ac:dyDescent="0.2">
      <c r="B772" s="308"/>
      <c r="C772" s="309"/>
      <c r="E772" s="309"/>
      <c r="F772" s="309"/>
    </row>
    <row r="773" spans="2:6" x14ac:dyDescent="0.2">
      <c r="B773" s="308"/>
      <c r="C773" s="309"/>
      <c r="E773" s="309"/>
      <c r="F773" s="309"/>
    </row>
    <row r="774" spans="2:6" x14ac:dyDescent="0.2">
      <c r="B774" s="308"/>
      <c r="C774" s="309"/>
      <c r="E774" s="309"/>
      <c r="F774" s="309"/>
    </row>
    <row r="775" spans="2:6" x14ac:dyDescent="0.2">
      <c r="B775" s="308"/>
      <c r="C775" s="309"/>
      <c r="E775" s="309"/>
      <c r="F775" s="309"/>
    </row>
    <row r="776" spans="2:6" x14ac:dyDescent="0.2">
      <c r="B776" s="308"/>
      <c r="C776" s="309"/>
      <c r="E776" s="309"/>
      <c r="F776" s="309"/>
    </row>
    <row r="777" spans="2:6" x14ac:dyDescent="0.2">
      <c r="B777" s="308"/>
      <c r="C777" s="309"/>
      <c r="E777" s="309"/>
      <c r="F777" s="309"/>
    </row>
    <row r="778" spans="2:6" x14ac:dyDescent="0.2">
      <c r="B778" s="308"/>
      <c r="C778" s="309"/>
      <c r="E778" s="309"/>
      <c r="F778" s="309"/>
    </row>
    <row r="779" spans="2:6" x14ac:dyDescent="0.2">
      <c r="B779" s="308"/>
      <c r="C779" s="309"/>
      <c r="E779" s="309"/>
      <c r="F779" s="309"/>
    </row>
    <row r="780" spans="2:6" x14ac:dyDescent="0.2">
      <c r="B780" s="308"/>
      <c r="C780" s="309"/>
      <c r="E780" s="309"/>
      <c r="F780" s="309"/>
    </row>
    <row r="781" spans="2:6" x14ac:dyDescent="0.2">
      <c r="B781" s="308"/>
      <c r="C781" s="309"/>
      <c r="E781" s="309"/>
      <c r="F781" s="309"/>
    </row>
    <row r="782" spans="2:6" x14ac:dyDescent="0.2">
      <c r="B782" s="308"/>
      <c r="C782" s="309"/>
      <c r="E782" s="309"/>
      <c r="F782" s="309"/>
    </row>
    <row r="783" spans="2:6" x14ac:dyDescent="0.2">
      <c r="B783" s="308"/>
      <c r="C783" s="309"/>
      <c r="E783" s="309"/>
      <c r="F783" s="309"/>
    </row>
    <row r="784" spans="2:6" x14ac:dyDescent="0.2">
      <c r="B784" s="308"/>
      <c r="C784" s="309"/>
      <c r="E784" s="309"/>
      <c r="F784" s="309"/>
    </row>
    <row r="785" spans="2:6" x14ac:dyDescent="0.2">
      <c r="B785" s="308"/>
      <c r="C785" s="309"/>
      <c r="E785" s="309"/>
      <c r="F785" s="309"/>
    </row>
    <row r="786" spans="2:6" x14ac:dyDescent="0.2">
      <c r="B786" s="308"/>
      <c r="C786" s="309"/>
      <c r="E786" s="309"/>
      <c r="F786" s="309"/>
    </row>
    <row r="787" spans="2:6" x14ac:dyDescent="0.2">
      <c r="B787" s="308"/>
      <c r="C787" s="309"/>
      <c r="E787" s="309"/>
      <c r="F787" s="309"/>
    </row>
    <row r="788" spans="2:6" x14ac:dyDescent="0.2">
      <c r="B788" s="308"/>
      <c r="C788" s="309"/>
      <c r="E788" s="309"/>
      <c r="F788" s="309"/>
    </row>
    <row r="789" spans="2:6" x14ac:dyDescent="0.2">
      <c r="B789" s="308"/>
      <c r="C789" s="309"/>
      <c r="E789" s="309"/>
      <c r="F789" s="309"/>
    </row>
    <row r="790" spans="2:6" x14ac:dyDescent="0.2">
      <c r="B790" s="308"/>
      <c r="C790" s="309"/>
      <c r="E790" s="309"/>
      <c r="F790" s="309"/>
    </row>
    <row r="791" spans="2:6" x14ac:dyDescent="0.2">
      <c r="B791" s="308"/>
      <c r="C791" s="309"/>
      <c r="E791" s="309"/>
      <c r="F791" s="309"/>
    </row>
    <row r="792" spans="2:6" x14ac:dyDescent="0.2">
      <c r="B792" s="308"/>
      <c r="C792" s="309"/>
      <c r="E792" s="309"/>
      <c r="F792" s="309"/>
    </row>
    <row r="793" spans="2:6" x14ac:dyDescent="0.2">
      <c r="B793" s="308"/>
      <c r="C793" s="309"/>
      <c r="E793" s="309"/>
      <c r="F793" s="309"/>
    </row>
    <row r="794" spans="2:6" x14ac:dyDescent="0.2">
      <c r="B794" s="308"/>
      <c r="C794" s="309"/>
      <c r="E794" s="309"/>
      <c r="F794" s="309"/>
    </row>
    <row r="795" spans="2:6" x14ac:dyDescent="0.2">
      <c r="B795" s="308"/>
      <c r="C795" s="309"/>
      <c r="E795" s="309"/>
      <c r="F795" s="309"/>
    </row>
    <row r="796" spans="2:6" x14ac:dyDescent="0.2">
      <c r="B796" s="308"/>
      <c r="C796" s="309"/>
      <c r="E796" s="309"/>
      <c r="F796" s="309"/>
    </row>
    <row r="797" spans="2:6" x14ac:dyDescent="0.2">
      <c r="B797" s="308"/>
      <c r="C797" s="309"/>
      <c r="E797" s="309"/>
      <c r="F797" s="309"/>
    </row>
    <row r="798" spans="2:6" x14ac:dyDescent="0.2">
      <c r="B798" s="308"/>
      <c r="C798" s="309"/>
      <c r="E798" s="309"/>
      <c r="F798" s="309"/>
    </row>
    <row r="799" spans="2:6" x14ac:dyDescent="0.2">
      <c r="B799" s="308"/>
      <c r="C799" s="309"/>
      <c r="E799" s="309"/>
      <c r="F799" s="309"/>
    </row>
    <row r="800" spans="2:6" x14ac:dyDescent="0.2">
      <c r="B800" s="308"/>
      <c r="C800" s="309"/>
      <c r="E800" s="309"/>
      <c r="F800" s="309"/>
    </row>
    <row r="801" spans="2:6" x14ac:dyDescent="0.2">
      <c r="B801" s="308"/>
      <c r="C801" s="309"/>
      <c r="E801" s="309"/>
      <c r="F801" s="309"/>
    </row>
    <row r="802" spans="2:6" x14ac:dyDescent="0.2">
      <c r="B802" s="308"/>
      <c r="C802" s="309"/>
      <c r="E802" s="309"/>
      <c r="F802" s="309"/>
    </row>
    <row r="803" spans="2:6" x14ac:dyDescent="0.2">
      <c r="B803" s="308"/>
      <c r="C803" s="309"/>
      <c r="E803" s="309"/>
      <c r="F803" s="309"/>
    </row>
    <row r="804" spans="2:6" x14ac:dyDescent="0.2">
      <c r="B804" s="308"/>
      <c r="C804" s="309"/>
      <c r="E804" s="309"/>
      <c r="F804" s="309"/>
    </row>
    <row r="805" spans="2:6" x14ac:dyDescent="0.2">
      <c r="B805" s="308"/>
      <c r="C805" s="309"/>
      <c r="E805" s="309"/>
      <c r="F805" s="309"/>
    </row>
    <row r="806" spans="2:6" x14ac:dyDescent="0.2">
      <c r="B806" s="308"/>
      <c r="C806" s="309"/>
      <c r="E806" s="309"/>
      <c r="F806" s="309"/>
    </row>
    <row r="807" spans="2:6" x14ac:dyDescent="0.2">
      <c r="B807" s="308"/>
      <c r="C807" s="309"/>
      <c r="E807" s="309"/>
      <c r="F807" s="309"/>
    </row>
    <row r="808" spans="2:6" x14ac:dyDescent="0.2">
      <c r="B808" s="308"/>
      <c r="C808" s="309"/>
      <c r="E808" s="309"/>
      <c r="F808" s="309"/>
    </row>
    <row r="809" spans="2:6" x14ac:dyDescent="0.2">
      <c r="B809" s="308"/>
      <c r="C809" s="309"/>
      <c r="E809" s="309"/>
      <c r="F809" s="309"/>
    </row>
    <row r="810" spans="2:6" x14ac:dyDescent="0.2">
      <c r="B810" s="308"/>
      <c r="C810" s="309"/>
      <c r="E810" s="309"/>
      <c r="F810" s="309"/>
    </row>
    <row r="811" spans="2:6" x14ac:dyDescent="0.2">
      <c r="B811" s="308"/>
      <c r="C811" s="309"/>
      <c r="E811" s="309"/>
      <c r="F811" s="309"/>
    </row>
    <row r="812" spans="2:6" x14ac:dyDescent="0.2">
      <c r="B812" s="308"/>
      <c r="C812" s="309"/>
      <c r="E812" s="309"/>
      <c r="F812" s="309"/>
    </row>
    <row r="813" spans="2:6" x14ac:dyDescent="0.2">
      <c r="B813" s="308"/>
      <c r="C813" s="309"/>
      <c r="E813" s="309"/>
      <c r="F813" s="309"/>
    </row>
    <row r="814" spans="2:6" x14ac:dyDescent="0.2">
      <c r="B814" s="308"/>
      <c r="C814" s="309"/>
      <c r="E814" s="309"/>
      <c r="F814" s="309"/>
    </row>
    <row r="815" spans="2:6" x14ac:dyDescent="0.2">
      <c r="B815" s="308"/>
      <c r="C815" s="309"/>
      <c r="E815" s="309"/>
      <c r="F815" s="309"/>
    </row>
    <row r="816" spans="2:6" x14ac:dyDescent="0.2">
      <c r="B816" s="308"/>
      <c r="C816" s="309"/>
      <c r="E816" s="309"/>
      <c r="F816" s="309"/>
    </row>
    <row r="817" spans="2:6" x14ac:dyDescent="0.2">
      <c r="B817" s="308"/>
      <c r="C817" s="309"/>
      <c r="E817" s="309"/>
      <c r="F817" s="309"/>
    </row>
    <row r="818" spans="2:6" x14ac:dyDescent="0.2">
      <c r="B818" s="308"/>
      <c r="C818" s="309"/>
      <c r="E818" s="309"/>
      <c r="F818" s="309"/>
    </row>
    <row r="819" spans="2:6" x14ac:dyDescent="0.2">
      <c r="B819" s="308"/>
      <c r="C819" s="309"/>
      <c r="E819" s="309"/>
      <c r="F819" s="309"/>
    </row>
    <row r="820" spans="2:6" x14ac:dyDescent="0.2">
      <c r="B820" s="308"/>
      <c r="C820" s="309"/>
      <c r="E820" s="309"/>
      <c r="F820" s="309"/>
    </row>
    <row r="821" spans="2:6" x14ac:dyDescent="0.2">
      <c r="B821" s="308"/>
      <c r="C821" s="309"/>
      <c r="E821" s="309"/>
      <c r="F821" s="309"/>
    </row>
    <row r="822" spans="2:6" x14ac:dyDescent="0.2">
      <c r="B822" s="308"/>
      <c r="C822" s="309"/>
      <c r="E822" s="309"/>
      <c r="F822" s="309"/>
    </row>
    <row r="823" spans="2:6" x14ac:dyDescent="0.2">
      <c r="B823" s="308"/>
      <c r="C823" s="309"/>
      <c r="E823" s="309"/>
      <c r="F823" s="309"/>
    </row>
    <row r="824" spans="2:6" x14ac:dyDescent="0.2">
      <c r="B824" s="308"/>
      <c r="C824" s="309"/>
      <c r="E824" s="309"/>
      <c r="F824" s="309"/>
    </row>
    <row r="825" spans="2:6" x14ac:dyDescent="0.2">
      <c r="B825" s="308"/>
      <c r="C825" s="309"/>
      <c r="E825" s="309"/>
      <c r="F825" s="309"/>
    </row>
    <row r="826" spans="2:6" x14ac:dyDescent="0.2">
      <c r="B826" s="308"/>
      <c r="C826" s="309"/>
      <c r="E826" s="309"/>
      <c r="F826" s="309"/>
    </row>
    <row r="827" spans="2:6" x14ac:dyDescent="0.2">
      <c r="B827" s="308"/>
      <c r="C827" s="309"/>
      <c r="E827" s="309"/>
      <c r="F827" s="309"/>
    </row>
    <row r="828" spans="2:6" x14ac:dyDescent="0.2">
      <c r="B828" s="308"/>
      <c r="C828" s="309"/>
      <c r="E828" s="309"/>
      <c r="F828" s="309"/>
    </row>
    <row r="829" spans="2:6" x14ac:dyDescent="0.2">
      <c r="B829" s="308"/>
      <c r="C829" s="309"/>
      <c r="E829" s="309"/>
      <c r="F829" s="309"/>
    </row>
    <row r="830" spans="2:6" x14ac:dyDescent="0.2">
      <c r="B830" s="308"/>
      <c r="C830" s="309"/>
      <c r="E830" s="309"/>
      <c r="F830" s="309"/>
    </row>
    <row r="831" spans="2:6" x14ac:dyDescent="0.2">
      <c r="B831" s="308"/>
      <c r="C831" s="309"/>
      <c r="E831" s="309"/>
      <c r="F831" s="309"/>
    </row>
    <row r="832" spans="2:6" x14ac:dyDescent="0.2">
      <c r="B832" s="308"/>
      <c r="C832" s="309"/>
      <c r="E832" s="309"/>
      <c r="F832" s="309"/>
    </row>
    <row r="833" spans="2:6" x14ac:dyDescent="0.2">
      <c r="B833" s="308"/>
      <c r="C833" s="309"/>
      <c r="E833" s="309"/>
      <c r="F833" s="309"/>
    </row>
    <row r="834" spans="2:6" x14ac:dyDescent="0.2">
      <c r="B834" s="308"/>
      <c r="C834" s="309"/>
      <c r="E834" s="309"/>
      <c r="F834" s="309"/>
    </row>
    <row r="835" spans="2:6" x14ac:dyDescent="0.2">
      <c r="B835" s="308"/>
      <c r="C835" s="309"/>
      <c r="E835" s="309"/>
      <c r="F835" s="309"/>
    </row>
    <row r="836" spans="2:6" x14ac:dyDescent="0.2">
      <c r="B836" s="308"/>
      <c r="C836" s="309"/>
      <c r="E836" s="309"/>
      <c r="F836" s="309"/>
    </row>
    <row r="837" spans="2:6" x14ac:dyDescent="0.2">
      <c r="B837" s="308"/>
      <c r="C837" s="309"/>
      <c r="E837" s="309"/>
      <c r="F837" s="309"/>
    </row>
    <row r="838" spans="2:6" x14ac:dyDescent="0.2">
      <c r="B838" s="308"/>
      <c r="C838" s="309"/>
      <c r="E838" s="309"/>
      <c r="F838" s="309"/>
    </row>
    <row r="839" spans="2:6" x14ac:dyDescent="0.2">
      <c r="B839" s="308"/>
      <c r="C839" s="309"/>
      <c r="E839" s="309"/>
      <c r="F839" s="309"/>
    </row>
    <row r="840" spans="2:6" x14ac:dyDescent="0.2">
      <c r="B840" s="308"/>
      <c r="C840" s="309"/>
      <c r="E840" s="309"/>
      <c r="F840" s="309"/>
    </row>
    <row r="841" spans="2:6" x14ac:dyDescent="0.2">
      <c r="B841" s="308"/>
      <c r="C841" s="309"/>
      <c r="E841" s="309"/>
      <c r="F841" s="309"/>
    </row>
    <row r="842" spans="2:6" x14ac:dyDescent="0.2">
      <c r="B842" s="308"/>
      <c r="C842" s="309"/>
      <c r="E842" s="309"/>
      <c r="F842" s="309"/>
    </row>
    <row r="843" spans="2:6" x14ac:dyDescent="0.2">
      <c r="B843" s="308"/>
      <c r="C843" s="309"/>
      <c r="E843" s="309"/>
      <c r="F843" s="309"/>
    </row>
    <row r="844" spans="2:6" x14ac:dyDescent="0.2">
      <c r="B844" s="308"/>
      <c r="C844" s="309"/>
      <c r="E844" s="309"/>
      <c r="F844" s="309"/>
    </row>
    <row r="845" spans="2:6" x14ac:dyDescent="0.2">
      <c r="B845" s="308"/>
      <c r="C845" s="309"/>
      <c r="E845" s="309"/>
      <c r="F845" s="309"/>
    </row>
    <row r="846" spans="2:6" x14ac:dyDescent="0.2">
      <c r="B846" s="308"/>
      <c r="C846" s="309"/>
      <c r="E846" s="309"/>
      <c r="F846" s="309"/>
    </row>
    <row r="847" spans="2:6" x14ac:dyDescent="0.2">
      <c r="B847" s="308"/>
      <c r="C847" s="309"/>
      <c r="E847" s="309"/>
      <c r="F847" s="309"/>
    </row>
    <row r="848" spans="2:6" x14ac:dyDescent="0.2">
      <c r="B848" s="308"/>
      <c r="C848" s="309"/>
      <c r="E848" s="309"/>
      <c r="F848" s="309"/>
    </row>
    <row r="849" spans="2:6" x14ac:dyDescent="0.2">
      <c r="B849" s="308"/>
      <c r="C849" s="309"/>
      <c r="E849" s="309"/>
      <c r="F849" s="309"/>
    </row>
    <row r="850" spans="2:6" x14ac:dyDescent="0.2">
      <c r="B850" s="308"/>
      <c r="C850" s="309"/>
      <c r="E850" s="309"/>
      <c r="F850" s="309"/>
    </row>
    <row r="851" spans="2:6" x14ac:dyDescent="0.2">
      <c r="B851" s="308"/>
      <c r="C851" s="309"/>
      <c r="E851" s="309"/>
      <c r="F851" s="309"/>
    </row>
    <row r="852" spans="2:6" x14ac:dyDescent="0.2">
      <c r="B852" s="308"/>
      <c r="C852" s="309"/>
      <c r="E852" s="309"/>
      <c r="F852" s="309"/>
    </row>
    <row r="853" spans="2:6" x14ac:dyDescent="0.2">
      <c r="B853" s="308"/>
      <c r="C853" s="309"/>
      <c r="E853" s="309"/>
      <c r="F853" s="309"/>
    </row>
    <row r="854" spans="2:6" x14ac:dyDescent="0.2">
      <c r="B854" s="308"/>
      <c r="C854" s="309"/>
      <c r="E854" s="309"/>
      <c r="F854" s="309"/>
    </row>
    <row r="855" spans="2:6" x14ac:dyDescent="0.2">
      <c r="B855" s="308"/>
      <c r="C855" s="309"/>
      <c r="E855" s="309"/>
      <c r="F855" s="309"/>
    </row>
    <row r="856" spans="2:6" x14ac:dyDescent="0.2">
      <c r="B856" s="308"/>
      <c r="C856" s="309"/>
      <c r="E856" s="309"/>
      <c r="F856" s="309"/>
    </row>
    <row r="857" spans="2:6" x14ac:dyDescent="0.2">
      <c r="B857" s="308"/>
      <c r="C857" s="309"/>
      <c r="E857" s="309"/>
      <c r="F857" s="309"/>
    </row>
    <row r="858" spans="2:6" x14ac:dyDescent="0.2">
      <c r="B858" s="308"/>
      <c r="C858" s="309"/>
      <c r="E858" s="309"/>
      <c r="F858" s="309"/>
    </row>
    <row r="859" spans="2:6" x14ac:dyDescent="0.2">
      <c r="B859" s="308"/>
      <c r="C859" s="309"/>
      <c r="E859" s="309"/>
      <c r="F859" s="309"/>
    </row>
    <row r="860" spans="2:6" x14ac:dyDescent="0.2">
      <c r="B860" s="308"/>
      <c r="C860" s="309"/>
      <c r="E860" s="309"/>
      <c r="F860" s="309"/>
    </row>
    <row r="861" spans="2:6" x14ac:dyDescent="0.2">
      <c r="B861" s="308"/>
      <c r="C861" s="309"/>
      <c r="E861" s="309"/>
      <c r="F861" s="309"/>
    </row>
    <row r="862" spans="2:6" x14ac:dyDescent="0.2">
      <c r="B862" s="308"/>
      <c r="C862" s="309"/>
      <c r="E862" s="309"/>
      <c r="F862" s="309"/>
    </row>
    <row r="863" spans="2:6" x14ac:dyDescent="0.2">
      <c r="B863" s="308"/>
      <c r="C863" s="309"/>
      <c r="E863" s="309"/>
      <c r="F863" s="309"/>
    </row>
    <row r="864" spans="2:6" x14ac:dyDescent="0.2">
      <c r="B864" s="308"/>
      <c r="C864" s="309"/>
      <c r="E864" s="309"/>
      <c r="F864" s="309"/>
    </row>
    <row r="865" spans="2:6" x14ac:dyDescent="0.2">
      <c r="B865" s="308"/>
      <c r="C865" s="309"/>
      <c r="E865" s="309"/>
      <c r="F865" s="309"/>
    </row>
    <row r="866" spans="2:6" x14ac:dyDescent="0.2">
      <c r="B866" s="308"/>
      <c r="C866" s="309"/>
      <c r="E866" s="309"/>
      <c r="F866" s="309"/>
    </row>
    <row r="867" spans="2:6" x14ac:dyDescent="0.2">
      <c r="B867" s="308"/>
      <c r="C867" s="309"/>
      <c r="E867" s="309"/>
      <c r="F867" s="309"/>
    </row>
    <row r="868" spans="2:6" x14ac:dyDescent="0.2">
      <c r="B868" s="308"/>
      <c r="C868" s="309"/>
      <c r="E868" s="309"/>
      <c r="F868" s="309"/>
    </row>
    <row r="869" spans="2:6" x14ac:dyDescent="0.2">
      <c r="B869" s="308"/>
      <c r="C869" s="309"/>
      <c r="E869" s="309"/>
      <c r="F869" s="309"/>
    </row>
    <row r="870" spans="2:6" x14ac:dyDescent="0.2">
      <c r="B870" s="308"/>
      <c r="C870" s="309"/>
      <c r="E870" s="309"/>
      <c r="F870" s="309"/>
    </row>
    <row r="871" spans="2:6" x14ac:dyDescent="0.2">
      <c r="B871" s="308"/>
      <c r="C871" s="309"/>
      <c r="E871" s="309"/>
      <c r="F871" s="309"/>
    </row>
    <row r="872" spans="2:6" x14ac:dyDescent="0.2">
      <c r="B872" s="308"/>
      <c r="C872" s="309"/>
      <c r="E872" s="309"/>
      <c r="F872" s="309"/>
    </row>
    <row r="873" spans="2:6" x14ac:dyDescent="0.2">
      <c r="B873" s="308"/>
      <c r="C873" s="309"/>
      <c r="E873" s="309"/>
      <c r="F873" s="309"/>
    </row>
    <row r="874" spans="2:6" x14ac:dyDescent="0.2">
      <c r="B874" s="308"/>
      <c r="C874" s="309"/>
      <c r="E874" s="309"/>
      <c r="F874" s="309"/>
    </row>
    <row r="875" spans="2:6" x14ac:dyDescent="0.2">
      <c r="B875" s="308"/>
      <c r="C875" s="309"/>
      <c r="E875" s="309"/>
      <c r="F875" s="309"/>
    </row>
    <row r="876" spans="2:6" x14ac:dyDescent="0.2">
      <c r="B876" s="308"/>
      <c r="C876" s="309"/>
      <c r="E876" s="309"/>
      <c r="F876" s="309"/>
    </row>
    <row r="877" spans="2:6" x14ac:dyDescent="0.2">
      <c r="B877" s="308"/>
      <c r="C877" s="309"/>
      <c r="E877" s="309"/>
      <c r="F877" s="309"/>
    </row>
    <row r="878" spans="2:6" x14ac:dyDescent="0.2">
      <c r="B878" s="308"/>
      <c r="C878" s="309"/>
      <c r="E878" s="309"/>
      <c r="F878" s="309"/>
    </row>
    <row r="879" spans="2:6" x14ac:dyDescent="0.2">
      <c r="B879" s="308"/>
      <c r="C879" s="309"/>
      <c r="E879" s="309"/>
      <c r="F879" s="309"/>
    </row>
    <row r="880" spans="2:6" x14ac:dyDescent="0.2">
      <c r="B880" s="308"/>
      <c r="C880" s="309"/>
      <c r="E880" s="309"/>
      <c r="F880" s="309"/>
    </row>
    <row r="881" spans="2:6" x14ac:dyDescent="0.2">
      <c r="B881" s="308"/>
      <c r="C881" s="309"/>
      <c r="E881" s="309"/>
      <c r="F881" s="309"/>
    </row>
    <row r="882" spans="2:6" x14ac:dyDescent="0.2">
      <c r="B882" s="308"/>
      <c r="C882" s="309"/>
      <c r="E882" s="309"/>
      <c r="F882" s="309"/>
    </row>
    <row r="883" spans="2:6" x14ac:dyDescent="0.2">
      <c r="B883" s="308"/>
      <c r="C883" s="309"/>
      <c r="E883" s="309"/>
      <c r="F883" s="309"/>
    </row>
    <row r="884" spans="2:6" x14ac:dyDescent="0.2">
      <c r="B884" s="308"/>
      <c r="C884" s="309"/>
      <c r="E884" s="309"/>
      <c r="F884" s="309"/>
    </row>
    <row r="885" spans="2:6" x14ac:dyDescent="0.2">
      <c r="B885" s="308"/>
      <c r="C885" s="309"/>
      <c r="E885" s="309"/>
      <c r="F885" s="309"/>
    </row>
    <row r="886" spans="2:6" x14ac:dyDescent="0.2">
      <c r="B886" s="308"/>
      <c r="C886" s="309"/>
      <c r="E886" s="309"/>
      <c r="F886" s="309"/>
    </row>
    <row r="887" spans="2:6" x14ac:dyDescent="0.2">
      <c r="B887" s="308"/>
      <c r="C887" s="309"/>
      <c r="E887" s="309"/>
      <c r="F887" s="309"/>
    </row>
    <row r="888" spans="2:6" x14ac:dyDescent="0.2">
      <c r="B888" s="308"/>
      <c r="C888" s="309"/>
      <c r="E888" s="309"/>
      <c r="F888" s="309"/>
    </row>
    <row r="889" spans="2:6" x14ac:dyDescent="0.2">
      <c r="B889" s="308"/>
      <c r="C889" s="309"/>
      <c r="E889" s="309"/>
      <c r="F889" s="309"/>
    </row>
    <row r="890" spans="2:6" x14ac:dyDescent="0.2">
      <c r="B890" s="308"/>
      <c r="C890" s="309"/>
      <c r="E890" s="309"/>
      <c r="F890" s="309"/>
    </row>
    <row r="891" spans="2:6" x14ac:dyDescent="0.2">
      <c r="B891" s="308"/>
      <c r="C891" s="309"/>
      <c r="E891" s="309"/>
      <c r="F891" s="309"/>
    </row>
    <row r="892" spans="2:6" x14ac:dyDescent="0.2">
      <c r="B892" s="308"/>
      <c r="C892" s="309"/>
      <c r="E892" s="309"/>
      <c r="F892" s="309"/>
    </row>
    <row r="893" spans="2:6" x14ac:dyDescent="0.2">
      <c r="B893" s="308"/>
      <c r="C893" s="309"/>
      <c r="E893" s="309"/>
      <c r="F893" s="309"/>
    </row>
    <row r="894" spans="2:6" x14ac:dyDescent="0.2">
      <c r="B894" s="308"/>
      <c r="C894" s="309"/>
      <c r="E894" s="309"/>
      <c r="F894" s="309"/>
    </row>
    <row r="895" spans="2:6" x14ac:dyDescent="0.2">
      <c r="B895" s="308"/>
      <c r="C895" s="309"/>
      <c r="E895" s="309"/>
      <c r="F895" s="309"/>
    </row>
    <row r="896" spans="2:6" x14ac:dyDescent="0.2">
      <c r="B896" s="308"/>
      <c r="C896" s="309"/>
      <c r="E896" s="309"/>
      <c r="F896" s="309"/>
    </row>
    <row r="897" spans="2:6" x14ac:dyDescent="0.2">
      <c r="B897" s="308"/>
      <c r="C897" s="309"/>
      <c r="E897" s="309"/>
      <c r="F897" s="309"/>
    </row>
    <row r="898" spans="2:6" x14ac:dyDescent="0.2">
      <c r="B898" s="308"/>
      <c r="C898" s="309"/>
      <c r="E898" s="309"/>
      <c r="F898" s="309"/>
    </row>
    <row r="899" spans="2:6" x14ac:dyDescent="0.2">
      <c r="B899" s="308"/>
      <c r="C899" s="309"/>
      <c r="E899" s="309"/>
      <c r="F899" s="309"/>
    </row>
    <row r="900" spans="2:6" x14ac:dyDescent="0.2">
      <c r="B900" s="308"/>
      <c r="C900" s="309"/>
      <c r="E900" s="309"/>
      <c r="F900" s="309"/>
    </row>
    <row r="901" spans="2:6" x14ac:dyDescent="0.2">
      <c r="B901" s="308"/>
      <c r="C901" s="309"/>
      <c r="E901" s="309"/>
      <c r="F901" s="309"/>
    </row>
    <row r="902" spans="2:6" x14ac:dyDescent="0.2">
      <c r="B902" s="308"/>
      <c r="C902" s="309"/>
      <c r="E902" s="309"/>
      <c r="F902" s="309"/>
    </row>
    <row r="903" spans="2:6" x14ac:dyDescent="0.2">
      <c r="B903" s="308"/>
      <c r="C903" s="309"/>
      <c r="E903" s="309"/>
      <c r="F903" s="309"/>
    </row>
    <row r="904" spans="2:6" x14ac:dyDescent="0.2">
      <c r="B904" s="308"/>
      <c r="C904" s="309"/>
      <c r="E904" s="309"/>
      <c r="F904" s="309"/>
    </row>
    <row r="905" spans="2:6" x14ac:dyDescent="0.2">
      <c r="B905" s="308"/>
      <c r="C905" s="309"/>
      <c r="E905" s="309"/>
      <c r="F905" s="309"/>
    </row>
    <row r="906" spans="2:6" x14ac:dyDescent="0.2">
      <c r="B906" s="308"/>
      <c r="C906" s="309"/>
      <c r="E906" s="309"/>
      <c r="F906" s="309"/>
    </row>
    <row r="907" spans="2:6" x14ac:dyDescent="0.2">
      <c r="B907" s="308"/>
      <c r="C907" s="309"/>
      <c r="E907" s="309"/>
      <c r="F907" s="309"/>
    </row>
    <row r="908" spans="2:6" x14ac:dyDescent="0.2">
      <c r="B908" s="308"/>
      <c r="C908" s="309"/>
      <c r="E908" s="309"/>
      <c r="F908" s="309"/>
    </row>
    <row r="909" spans="2:6" x14ac:dyDescent="0.2">
      <c r="B909" s="308"/>
      <c r="C909" s="309"/>
      <c r="E909" s="309"/>
      <c r="F909" s="309"/>
    </row>
    <row r="910" spans="2:6" x14ac:dyDescent="0.2">
      <c r="B910" s="308"/>
      <c r="C910" s="309"/>
      <c r="E910" s="309"/>
      <c r="F910" s="309"/>
    </row>
    <row r="911" spans="2:6" x14ac:dyDescent="0.2">
      <c r="B911" s="308"/>
      <c r="C911" s="309"/>
      <c r="E911" s="309"/>
      <c r="F911" s="309"/>
    </row>
    <row r="912" spans="2:6" x14ac:dyDescent="0.2">
      <c r="B912" s="308"/>
      <c r="C912" s="309"/>
      <c r="E912" s="309"/>
      <c r="F912" s="309"/>
    </row>
    <row r="913" spans="2:6" x14ac:dyDescent="0.2">
      <c r="B913" s="308"/>
      <c r="C913" s="309"/>
      <c r="E913" s="309"/>
      <c r="F913" s="309"/>
    </row>
    <row r="914" spans="2:6" x14ac:dyDescent="0.2">
      <c r="B914" s="308"/>
      <c r="C914" s="309"/>
      <c r="E914" s="309"/>
      <c r="F914" s="309"/>
    </row>
    <row r="915" spans="2:6" x14ac:dyDescent="0.2">
      <c r="B915" s="308"/>
      <c r="C915" s="309"/>
      <c r="E915" s="309"/>
      <c r="F915" s="309"/>
    </row>
    <row r="916" spans="2:6" x14ac:dyDescent="0.2">
      <c r="B916" s="308"/>
      <c r="C916" s="309"/>
      <c r="E916" s="309"/>
      <c r="F916" s="309"/>
    </row>
    <row r="917" spans="2:6" x14ac:dyDescent="0.2">
      <c r="B917" s="308"/>
      <c r="C917" s="309"/>
      <c r="E917" s="309"/>
      <c r="F917" s="309"/>
    </row>
    <row r="918" spans="2:6" x14ac:dyDescent="0.2">
      <c r="B918" s="308"/>
      <c r="C918" s="309"/>
      <c r="E918" s="309"/>
      <c r="F918" s="309"/>
    </row>
    <row r="919" spans="2:6" x14ac:dyDescent="0.2">
      <c r="B919" s="308"/>
      <c r="C919" s="309"/>
      <c r="E919" s="309"/>
      <c r="F919" s="309"/>
    </row>
    <row r="920" spans="2:6" x14ac:dyDescent="0.2">
      <c r="B920" s="308"/>
      <c r="C920" s="309"/>
      <c r="E920" s="309"/>
      <c r="F920" s="309"/>
    </row>
    <row r="921" spans="2:6" x14ac:dyDescent="0.2">
      <c r="B921" s="308"/>
      <c r="C921" s="309"/>
      <c r="E921" s="309"/>
      <c r="F921" s="309"/>
    </row>
    <row r="922" spans="2:6" x14ac:dyDescent="0.2">
      <c r="B922" s="308"/>
      <c r="C922" s="309"/>
      <c r="E922" s="309"/>
      <c r="F922" s="309"/>
    </row>
    <row r="923" spans="2:6" x14ac:dyDescent="0.2">
      <c r="B923" s="308"/>
      <c r="C923" s="309"/>
      <c r="E923" s="309"/>
      <c r="F923" s="309"/>
    </row>
    <row r="924" spans="2:6" x14ac:dyDescent="0.2">
      <c r="B924" s="308"/>
      <c r="C924" s="309"/>
      <c r="E924" s="309"/>
      <c r="F924" s="309"/>
    </row>
    <row r="925" spans="2:6" x14ac:dyDescent="0.2">
      <c r="B925" s="308"/>
      <c r="C925" s="309"/>
      <c r="E925" s="309"/>
      <c r="F925" s="309"/>
    </row>
    <row r="926" spans="2:6" x14ac:dyDescent="0.2">
      <c r="B926" s="308"/>
      <c r="C926" s="309"/>
      <c r="E926" s="309"/>
      <c r="F926" s="309"/>
    </row>
    <row r="927" spans="2:6" x14ac:dyDescent="0.2">
      <c r="B927" s="308"/>
      <c r="C927" s="309"/>
      <c r="E927" s="309"/>
      <c r="F927" s="309"/>
    </row>
    <row r="928" spans="2:6" x14ac:dyDescent="0.2">
      <c r="B928" s="308"/>
      <c r="C928" s="309"/>
      <c r="E928" s="309"/>
      <c r="F928" s="309"/>
    </row>
    <row r="929" spans="2:6" x14ac:dyDescent="0.2">
      <c r="B929" s="308"/>
      <c r="C929" s="309"/>
      <c r="E929" s="309"/>
      <c r="F929" s="309"/>
    </row>
    <row r="930" spans="2:6" x14ac:dyDescent="0.2">
      <c r="B930" s="308"/>
      <c r="C930" s="309"/>
      <c r="E930" s="309"/>
      <c r="F930" s="309"/>
    </row>
    <row r="931" spans="2:6" x14ac:dyDescent="0.2">
      <c r="B931" s="308"/>
      <c r="C931" s="309"/>
      <c r="E931" s="309"/>
      <c r="F931" s="309"/>
    </row>
    <row r="932" spans="2:6" x14ac:dyDescent="0.2">
      <c r="B932" s="308"/>
      <c r="C932" s="309"/>
      <c r="E932" s="309"/>
      <c r="F932" s="309"/>
    </row>
    <row r="933" spans="2:6" x14ac:dyDescent="0.2">
      <c r="B933" s="308"/>
      <c r="C933" s="309"/>
      <c r="E933" s="309"/>
      <c r="F933" s="309"/>
    </row>
    <row r="934" spans="2:6" x14ac:dyDescent="0.2">
      <c r="B934" s="308"/>
      <c r="C934" s="309"/>
      <c r="E934" s="309"/>
      <c r="F934" s="309"/>
    </row>
    <row r="935" spans="2:6" x14ac:dyDescent="0.2">
      <c r="B935" s="308"/>
      <c r="C935" s="309"/>
      <c r="E935" s="309"/>
      <c r="F935" s="309"/>
    </row>
    <row r="936" spans="2:6" x14ac:dyDescent="0.2">
      <c r="B936" s="308"/>
      <c r="C936" s="309"/>
      <c r="E936" s="309"/>
      <c r="F936" s="309"/>
    </row>
    <row r="937" spans="2:6" x14ac:dyDescent="0.2">
      <c r="B937" s="308"/>
      <c r="C937" s="309"/>
      <c r="E937" s="309"/>
      <c r="F937" s="309"/>
    </row>
    <row r="938" spans="2:6" x14ac:dyDescent="0.2">
      <c r="B938" s="308"/>
      <c r="C938" s="309"/>
      <c r="E938" s="309"/>
      <c r="F938" s="309"/>
    </row>
    <row r="939" spans="2:6" x14ac:dyDescent="0.2">
      <c r="B939" s="308"/>
      <c r="C939" s="309"/>
      <c r="E939" s="309"/>
      <c r="F939" s="309"/>
    </row>
    <row r="940" spans="2:6" x14ac:dyDescent="0.2">
      <c r="B940" s="308"/>
      <c r="C940" s="309"/>
      <c r="E940" s="309"/>
      <c r="F940" s="309"/>
    </row>
    <row r="941" spans="2:6" x14ac:dyDescent="0.2">
      <c r="B941" s="308"/>
      <c r="C941" s="309"/>
      <c r="E941" s="309"/>
      <c r="F941" s="309"/>
    </row>
    <row r="942" spans="2:6" x14ac:dyDescent="0.2">
      <c r="B942" s="308"/>
      <c r="C942" s="309"/>
      <c r="E942" s="309"/>
      <c r="F942" s="309"/>
    </row>
    <row r="943" spans="2:6" x14ac:dyDescent="0.2">
      <c r="B943" s="308"/>
      <c r="C943" s="309"/>
      <c r="E943" s="309"/>
      <c r="F943" s="309"/>
    </row>
    <row r="944" spans="2:6" x14ac:dyDescent="0.2">
      <c r="B944" s="308"/>
      <c r="C944" s="309"/>
      <c r="E944" s="309"/>
      <c r="F944" s="309"/>
    </row>
    <row r="945" spans="2:6" x14ac:dyDescent="0.2">
      <c r="B945" s="308"/>
      <c r="C945" s="309"/>
      <c r="E945" s="309"/>
      <c r="F945" s="309"/>
    </row>
    <row r="946" spans="2:6" x14ac:dyDescent="0.2">
      <c r="B946" s="308"/>
      <c r="C946" s="309"/>
      <c r="E946" s="309"/>
      <c r="F946" s="309"/>
    </row>
    <row r="947" spans="2:6" x14ac:dyDescent="0.2">
      <c r="B947" s="308"/>
      <c r="C947" s="309"/>
      <c r="E947" s="309"/>
      <c r="F947" s="309"/>
    </row>
    <row r="948" spans="2:6" x14ac:dyDescent="0.2">
      <c r="B948" s="308"/>
      <c r="C948" s="309"/>
      <c r="E948" s="309"/>
      <c r="F948" s="309"/>
    </row>
    <row r="949" spans="2:6" x14ac:dyDescent="0.2">
      <c r="B949" s="308"/>
      <c r="C949" s="309"/>
      <c r="E949" s="309"/>
      <c r="F949" s="309"/>
    </row>
    <row r="950" spans="2:6" x14ac:dyDescent="0.2">
      <c r="B950" s="308"/>
      <c r="C950" s="309"/>
      <c r="E950" s="309"/>
      <c r="F950" s="309"/>
    </row>
    <row r="951" spans="2:6" x14ac:dyDescent="0.2">
      <c r="B951" s="308"/>
      <c r="C951" s="309"/>
      <c r="E951" s="309"/>
      <c r="F951" s="309"/>
    </row>
    <row r="952" spans="2:6" x14ac:dyDescent="0.2">
      <c r="B952" s="308"/>
      <c r="C952" s="309"/>
      <c r="E952" s="309"/>
      <c r="F952" s="309"/>
    </row>
    <row r="953" spans="2:6" x14ac:dyDescent="0.2">
      <c r="B953" s="308"/>
      <c r="C953" s="309"/>
      <c r="E953" s="309"/>
      <c r="F953" s="309"/>
    </row>
    <row r="954" spans="2:6" x14ac:dyDescent="0.2">
      <c r="B954" s="308"/>
      <c r="C954" s="309"/>
      <c r="E954" s="309"/>
      <c r="F954" s="309"/>
    </row>
    <row r="955" spans="2:6" x14ac:dyDescent="0.2">
      <c r="B955" s="308"/>
      <c r="C955" s="309"/>
      <c r="E955" s="309"/>
      <c r="F955" s="309"/>
    </row>
    <row r="956" spans="2:6" x14ac:dyDescent="0.2">
      <c r="B956" s="308"/>
      <c r="C956" s="309"/>
      <c r="E956" s="309"/>
      <c r="F956" s="309"/>
    </row>
    <row r="957" spans="2:6" x14ac:dyDescent="0.2">
      <c r="B957" s="308"/>
      <c r="C957" s="309"/>
      <c r="E957" s="309"/>
      <c r="F957" s="309"/>
    </row>
    <row r="958" spans="2:6" x14ac:dyDescent="0.2">
      <c r="B958" s="308"/>
      <c r="C958" s="309"/>
      <c r="E958" s="309"/>
      <c r="F958" s="309"/>
    </row>
    <row r="959" spans="2:6" x14ac:dyDescent="0.2">
      <c r="B959" s="308"/>
      <c r="C959" s="309"/>
      <c r="E959" s="309"/>
      <c r="F959" s="309"/>
    </row>
    <row r="960" spans="2:6" x14ac:dyDescent="0.2">
      <c r="B960" s="308"/>
      <c r="C960" s="309"/>
      <c r="E960" s="309"/>
      <c r="F960" s="309"/>
    </row>
    <row r="961" spans="2:6" x14ac:dyDescent="0.2">
      <c r="B961" s="308"/>
      <c r="C961" s="309"/>
      <c r="E961" s="309"/>
      <c r="F961" s="309"/>
    </row>
    <row r="962" spans="2:6" x14ac:dyDescent="0.2">
      <c r="B962" s="308"/>
      <c r="C962" s="309"/>
      <c r="E962" s="309"/>
      <c r="F962" s="309"/>
    </row>
    <row r="963" spans="2:6" x14ac:dyDescent="0.2">
      <c r="B963" s="308"/>
      <c r="C963" s="309"/>
      <c r="E963" s="309"/>
      <c r="F963" s="309"/>
    </row>
    <row r="964" spans="2:6" x14ac:dyDescent="0.2">
      <c r="B964" s="308"/>
      <c r="C964" s="309"/>
      <c r="E964" s="309"/>
      <c r="F964" s="309"/>
    </row>
    <row r="965" spans="2:6" x14ac:dyDescent="0.2">
      <c r="B965" s="308"/>
      <c r="C965" s="309"/>
      <c r="E965" s="309"/>
      <c r="F965" s="309"/>
    </row>
    <row r="966" spans="2:6" x14ac:dyDescent="0.2">
      <c r="B966" s="308"/>
      <c r="C966" s="309"/>
      <c r="E966" s="309"/>
      <c r="F966" s="309"/>
    </row>
    <row r="967" spans="2:6" x14ac:dyDescent="0.2">
      <c r="B967" s="308"/>
      <c r="C967" s="309"/>
      <c r="E967" s="309"/>
      <c r="F967" s="309"/>
    </row>
    <row r="968" spans="2:6" x14ac:dyDescent="0.2">
      <c r="B968" s="308"/>
      <c r="C968" s="309"/>
      <c r="E968" s="309"/>
      <c r="F968" s="309"/>
    </row>
    <row r="969" spans="2:6" x14ac:dyDescent="0.2">
      <c r="B969" s="308"/>
      <c r="C969" s="309"/>
      <c r="E969" s="309"/>
      <c r="F969" s="309"/>
    </row>
    <row r="970" spans="2:6" x14ac:dyDescent="0.2">
      <c r="B970" s="308"/>
      <c r="C970" s="309"/>
      <c r="E970" s="309"/>
      <c r="F970" s="309"/>
    </row>
    <row r="971" spans="2:6" x14ac:dyDescent="0.2">
      <c r="B971" s="308"/>
      <c r="C971" s="309"/>
      <c r="E971" s="309"/>
      <c r="F971" s="309"/>
    </row>
    <row r="972" spans="2:6" x14ac:dyDescent="0.2">
      <c r="B972" s="308"/>
      <c r="C972" s="309"/>
      <c r="E972" s="309"/>
      <c r="F972" s="309"/>
    </row>
    <row r="973" spans="2:6" x14ac:dyDescent="0.2">
      <c r="B973" s="308"/>
      <c r="C973" s="309"/>
      <c r="E973" s="309"/>
      <c r="F973" s="309"/>
    </row>
    <row r="974" spans="2:6" x14ac:dyDescent="0.2">
      <c r="B974" s="308"/>
      <c r="C974" s="309"/>
      <c r="E974" s="309"/>
      <c r="F974" s="309"/>
    </row>
    <row r="975" spans="2:6" x14ac:dyDescent="0.2">
      <c r="B975" s="308"/>
      <c r="C975" s="309"/>
      <c r="E975" s="309"/>
      <c r="F975" s="309"/>
    </row>
    <row r="976" spans="2:6" x14ac:dyDescent="0.2">
      <c r="B976" s="308"/>
      <c r="C976" s="309"/>
      <c r="E976" s="309"/>
      <c r="F976" s="309"/>
    </row>
    <row r="977" spans="2:6" x14ac:dyDescent="0.2">
      <c r="B977" s="308"/>
      <c r="C977" s="309"/>
      <c r="E977" s="309"/>
      <c r="F977" s="309"/>
    </row>
    <row r="978" spans="2:6" x14ac:dyDescent="0.2">
      <c r="B978" s="308"/>
      <c r="C978" s="309"/>
      <c r="E978" s="309"/>
      <c r="F978" s="309"/>
    </row>
    <row r="979" spans="2:6" x14ac:dyDescent="0.2">
      <c r="B979" s="308"/>
      <c r="C979" s="309"/>
      <c r="E979" s="309"/>
      <c r="F979" s="309"/>
    </row>
    <row r="980" spans="2:6" x14ac:dyDescent="0.2">
      <c r="B980" s="308"/>
      <c r="C980" s="309"/>
      <c r="E980" s="309"/>
      <c r="F980" s="309"/>
    </row>
    <row r="981" spans="2:6" x14ac:dyDescent="0.2">
      <c r="B981" s="308"/>
      <c r="C981" s="309"/>
      <c r="E981" s="309"/>
      <c r="F981" s="309"/>
    </row>
    <row r="982" spans="2:6" x14ac:dyDescent="0.2">
      <c r="B982" s="308"/>
      <c r="C982" s="309"/>
      <c r="E982" s="309"/>
      <c r="F982" s="309"/>
    </row>
    <row r="983" spans="2:6" x14ac:dyDescent="0.2">
      <c r="B983" s="308"/>
      <c r="C983" s="309"/>
      <c r="E983" s="309"/>
      <c r="F983" s="309"/>
    </row>
    <row r="984" spans="2:6" x14ac:dyDescent="0.2">
      <c r="B984" s="308"/>
      <c r="C984" s="309"/>
      <c r="E984" s="309"/>
      <c r="F984" s="309"/>
    </row>
    <row r="985" spans="2:6" x14ac:dyDescent="0.2">
      <c r="B985" s="308"/>
      <c r="C985" s="309"/>
      <c r="E985" s="309"/>
      <c r="F985" s="309"/>
    </row>
    <row r="986" spans="2:6" x14ac:dyDescent="0.2">
      <c r="B986" s="308"/>
      <c r="C986" s="309"/>
      <c r="E986" s="309"/>
      <c r="F986" s="309"/>
    </row>
    <row r="987" spans="2:6" x14ac:dyDescent="0.2">
      <c r="B987" s="308"/>
      <c r="C987" s="309"/>
      <c r="E987" s="309"/>
      <c r="F987" s="309"/>
    </row>
    <row r="988" spans="2:6" x14ac:dyDescent="0.2">
      <c r="B988" s="308"/>
      <c r="C988" s="309"/>
      <c r="E988" s="309"/>
      <c r="F988" s="309"/>
    </row>
    <row r="989" spans="2:6" x14ac:dyDescent="0.2">
      <c r="B989" s="308"/>
      <c r="C989" s="309"/>
      <c r="E989" s="309"/>
      <c r="F989" s="309"/>
    </row>
    <row r="990" spans="2:6" x14ac:dyDescent="0.2">
      <c r="B990" s="308"/>
      <c r="C990" s="309"/>
      <c r="E990" s="309"/>
      <c r="F990" s="309"/>
    </row>
    <row r="991" spans="2:6" x14ac:dyDescent="0.2">
      <c r="B991" s="308"/>
      <c r="C991" s="309"/>
      <c r="E991" s="309"/>
      <c r="F991" s="309"/>
    </row>
    <row r="992" spans="2:6" x14ac:dyDescent="0.2">
      <c r="B992" s="308"/>
      <c r="C992" s="309"/>
      <c r="E992" s="309"/>
      <c r="F992" s="309"/>
    </row>
    <row r="993" spans="2:6" x14ac:dyDescent="0.2">
      <c r="B993" s="308"/>
      <c r="C993" s="309"/>
      <c r="E993" s="309"/>
      <c r="F993" s="309"/>
    </row>
    <row r="994" spans="2:6" x14ac:dyDescent="0.2">
      <c r="B994" s="308"/>
      <c r="C994" s="309"/>
      <c r="E994" s="309"/>
      <c r="F994" s="309"/>
    </row>
    <row r="995" spans="2:6" x14ac:dyDescent="0.2">
      <c r="B995" s="308"/>
      <c r="C995" s="309"/>
      <c r="E995" s="309"/>
      <c r="F995" s="309"/>
    </row>
    <row r="996" spans="2:6" x14ac:dyDescent="0.2">
      <c r="B996" s="308"/>
      <c r="C996" s="309"/>
      <c r="E996" s="309"/>
      <c r="F996" s="309"/>
    </row>
    <row r="997" spans="2:6" x14ac:dyDescent="0.2">
      <c r="B997" s="308"/>
      <c r="C997" s="309"/>
      <c r="E997" s="309"/>
      <c r="F997" s="309"/>
    </row>
    <row r="998" spans="2:6" x14ac:dyDescent="0.2">
      <c r="B998" s="308"/>
      <c r="C998" s="309"/>
      <c r="E998" s="309"/>
      <c r="F998" s="309"/>
    </row>
    <row r="999" spans="2:6" x14ac:dyDescent="0.2">
      <c r="B999" s="308"/>
      <c r="C999" s="309"/>
      <c r="E999" s="309"/>
      <c r="F999" s="309"/>
    </row>
    <row r="1000" spans="2:6" x14ac:dyDescent="0.2">
      <c r="B1000" s="308"/>
      <c r="C1000" s="309"/>
      <c r="E1000" s="309"/>
      <c r="F1000" s="30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W1000"/>
  <sheetViews>
    <sheetView showGridLines="0"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6" max="6" width="16.42578125" customWidth="1"/>
    <col min="7" max="7" width="17.140625" customWidth="1"/>
    <col min="8" max="8" width="10.85546875" customWidth="1"/>
    <col min="19" max="19" width="16.42578125" customWidth="1"/>
    <col min="20" max="20" width="17.140625" customWidth="1"/>
    <col min="21" max="21" width="10.85546875" customWidth="1"/>
  </cols>
  <sheetData>
    <row r="1" spans="1:23" x14ac:dyDescent="0.2">
      <c r="A1" s="307" t="s">
        <v>0</v>
      </c>
      <c r="B1" s="311" t="s">
        <v>4</v>
      </c>
      <c r="C1" s="162" t="s">
        <v>1044</v>
      </c>
      <c r="D1" s="162" t="s">
        <v>1070</v>
      </c>
      <c r="E1" s="312" t="s">
        <v>21</v>
      </c>
      <c r="F1" s="162" t="s">
        <v>22</v>
      </c>
      <c r="G1" s="162" t="s">
        <v>1071</v>
      </c>
      <c r="H1" s="131" t="s">
        <v>1072</v>
      </c>
      <c r="I1" s="131" t="s">
        <v>711</v>
      </c>
      <c r="J1" s="309" t="s">
        <v>1073</v>
      </c>
      <c r="K1" s="131" t="s">
        <v>1074</v>
      </c>
      <c r="L1" s="309" t="s">
        <v>1045</v>
      </c>
      <c r="P1" s="162"/>
      <c r="Q1" s="162"/>
      <c r="R1" s="162"/>
      <c r="S1" s="162"/>
      <c r="T1" s="162"/>
      <c r="W1" s="309"/>
    </row>
    <row r="2" spans="1:23" x14ac:dyDescent="0.2">
      <c r="A2" s="131" t="s">
        <v>33</v>
      </c>
      <c r="B2" s="313">
        <v>44896</v>
      </c>
      <c r="C2" s="131">
        <v>1913</v>
      </c>
      <c r="D2" s="310">
        <v>15632.25</v>
      </c>
      <c r="E2" s="314">
        <v>8.171589127025614</v>
      </c>
      <c r="F2" s="309">
        <v>132.53236098450319</v>
      </c>
      <c r="G2" s="310">
        <v>1</v>
      </c>
      <c r="H2" s="315">
        <v>1083</v>
      </c>
      <c r="I2" s="131" t="s">
        <v>720</v>
      </c>
      <c r="J2" s="309" t="s">
        <v>722</v>
      </c>
      <c r="K2" s="131">
        <v>1911</v>
      </c>
      <c r="L2" s="309">
        <v>184.10999999999999</v>
      </c>
      <c r="Q2" s="310"/>
      <c r="S2" s="309"/>
      <c r="T2" s="310"/>
      <c r="W2" s="309"/>
    </row>
    <row r="3" spans="1:23" x14ac:dyDescent="0.2">
      <c r="A3" s="131"/>
      <c r="B3" s="313">
        <v>44927</v>
      </c>
      <c r="C3" s="131">
        <v>497</v>
      </c>
      <c r="D3" s="310">
        <v>4970</v>
      </c>
      <c r="E3" s="314">
        <v>10</v>
      </c>
      <c r="F3" s="309">
        <v>17.7</v>
      </c>
      <c r="G3" s="310">
        <v>1</v>
      </c>
      <c r="H3" s="315">
        <v>177</v>
      </c>
      <c r="I3" s="131" t="s">
        <v>720</v>
      </c>
      <c r="J3" s="309" t="s">
        <v>722</v>
      </c>
      <c r="K3" s="131">
        <v>497</v>
      </c>
      <c r="L3" s="309">
        <v>53.1</v>
      </c>
      <c r="Q3" s="310"/>
      <c r="S3" s="309"/>
      <c r="T3" s="310"/>
      <c r="W3" s="309"/>
    </row>
    <row r="4" spans="1:23" x14ac:dyDescent="0.2">
      <c r="A4" s="131"/>
      <c r="B4" s="313">
        <v>44958</v>
      </c>
      <c r="C4" s="131">
        <v>2284</v>
      </c>
      <c r="D4" s="310">
        <v>22831</v>
      </c>
      <c r="E4" s="314">
        <v>9.9960595446584932</v>
      </c>
      <c r="F4" s="309">
        <v>61.824361613595556</v>
      </c>
      <c r="G4" s="310">
        <v>1</v>
      </c>
      <c r="H4" s="315">
        <v>618</v>
      </c>
      <c r="I4" s="131" t="s">
        <v>720</v>
      </c>
      <c r="J4" s="309" t="s">
        <v>722</v>
      </c>
      <c r="K4" s="131">
        <v>2284</v>
      </c>
      <c r="L4" s="309">
        <v>142.14000000000001</v>
      </c>
      <c r="Q4" s="310"/>
      <c r="S4" s="309"/>
      <c r="T4" s="310"/>
      <c r="W4" s="309"/>
    </row>
    <row r="5" spans="1:23" x14ac:dyDescent="0.2">
      <c r="A5" s="131"/>
      <c r="B5" s="313">
        <v>44986</v>
      </c>
      <c r="C5" s="131">
        <v>2091</v>
      </c>
      <c r="D5" s="310">
        <v>20375</v>
      </c>
      <c r="E5" s="314">
        <v>9.7441415590626494</v>
      </c>
      <c r="F5" s="309">
        <v>10.159950920245398</v>
      </c>
      <c r="G5" s="310">
        <v>1</v>
      </c>
      <c r="H5" s="315">
        <v>99</v>
      </c>
      <c r="I5" s="131" t="s">
        <v>720</v>
      </c>
      <c r="J5" s="309" t="s">
        <v>722</v>
      </c>
      <c r="K5" s="131">
        <v>2088.3333333333335</v>
      </c>
      <c r="L5" s="309">
        <v>29.700000000000003</v>
      </c>
      <c r="Q5" s="310"/>
      <c r="S5" s="309"/>
      <c r="T5" s="310"/>
      <c r="W5" s="309"/>
    </row>
    <row r="6" spans="1:23" x14ac:dyDescent="0.2">
      <c r="A6" s="131" t="s">
        <v>1075</v>
      </c>
      <c r="B6" s="311"/>
      <c r="C6" s="131">
        <v>6785</v>
      </c>
      <c r="D6" s="310">
        <v>63808.25</v>
      </c>
      <c r="E6" s="314">
        <v>9.404310980103169</v>
      </c>
      <c r="F6" s="309">
        <v>210.22273765539722</v>
      </c>
      <c r="G6" s="310">
        <v>4</v>
      </c>
      <c r="H6" s="315">
        <v>1977</v>
      </c>
      <c r="I6" s="131" t="s">
        <v>720</v>
      </c>
      <c r="J6" s="309" t="s">
        <v>722</v>
      </c>
      <c r="K6" s="131">
        <v>6780.333333333333</v>
      </c>
      <c r="L6" s="309">
        <v>409.05</v>
      </c>
      <c r="Q6" s="310"/>
      <c r="S6" s="309"/>
      <c r="T6" s="310"/>
      <c r="W6" s="309"/>
    </row>
    <row r="7" spans="1:23" x14ac:dyDescent="0.2">
      <c r="A7" s="131" t="s">
        <v>58</v>
      </c>
      <c r="B7" s="313">
        <v>44652</v>
      </c>
      <c r="C7" s="131">
        <v>2505</v>
      </c>
      <c r="D7" s="310">
        <v>28627.25</v>
      </c>
      <c r="E7" s="314">
        <v>11.428043912175649</v>
      </c>
      <c r="F7" s="309">
        <v>84.178885502449589</v>
      </c>
      <c r="G7" s="310">
        <v>1</v>
      </c>
      <c r="H7" s="315">
        <v>962</v>
      </c>
      <c r="I7" s="131" t="s">
        <v>720</v>
      </c>
      <c r="J7" s="309" t="s">
        <v>722</v>
      </c>
      <c r="K7" s="131">
        <v>2505</v>
      </c>
      <c r="L7" s="309">
        <v>221.26</v>
      </c>
      <c r="Q7" s="310"/>
      <c r="S7" s="309"/>
      <c r="T7" s="310"/>
      <c r="W7" s="309"/>
    </row>
    <row r="8" spans="1:23" x14ac:dyDescent="0.2">
      <c r="A8" s="131"/>
      <c r="B8" s="313">
        <v>44682</v>
      </c>
      <c r="C8" s="131">
        <v>2297</v>
      </c>
      <c r="D8" s="310">
        <v>25085.25</v>
      </c>
      <c r="E8" s="314">
        <v>10.920875054418808</v>
      </c>
      <c r="F8" s="309">
        <v>9.4314786577769798</v>
      </c>
      <c r="G8" s="310">
        <v>1</v>
      </c>
      <c r="H8" s="315">
        <v>103</v>
      </c>
      <c r="I8" s="131" t="s">
        <v>720</v>
      </c>
      <c r="J8" s="309" t="s">
        <v>722</v>
      </c>
      <c r="K8" s="131">
        <v>2297</v>
      </c>
      <c r="L8" s="309">
        <v>30.899999999999977</v>
      </c>
      <c r="Q8" s="310"/>
      <c r="S8" s="309"/>
      <c r="T8" s="310"/>
      <c r="W8" s="309"/>
    </row>
    <row r="9" spans="1:23" x14ac:dyDescent="0.2">
      <c r="A9" s="131"/>
      <c r="B9" s="313">
        <v>44713</v>
      </c>
      <c r="C9" s="131">
        <v>2277</v>
      </c>
      <c r="D9" s="310">
        <v>24780</v>
      </c>
      <c r="E9" s="314">
        <v>10.88274044795784</v>
      </c>
      <c r="F9" s="309">
        <v>222.92179176755448</v>
      </c>
      <c r="G9" s="310">
        <v>1</v>
      </c>
      <c r="H9" s="315">
        <v>2426</v>
      </c>
      <c r="I9" s="131" t="s">
        <v>720</v>
      </c>
      <c r="J9" s="309" t="s">
        <v>722</v>
      </c>
      <c r="K9" s="131">
        <v>2277</v>
      </c>
      <c r="L9" s="309">
        <v>412.42000000000007</v>
      </c>
      <c r="Q9" s="310"/>
      <c r="S9" s="309"/>
      <c r="T9" s="310"/>
      <c r="W9" s="309"/>
    </row>
    <row r="10" spans="1:23" x14ac:dyDescent="0.2">
      <c r="A10" s="131"/>
      <c r="B10" s="313">
        <v>44743</v>
      </c>
      <c r="C10" s="131">
        <v>4281</v>
      </c>
      <c r="D10" s="310">
        <v>55165</v>
      </c>
      <c r="E10" s="314">
        <v>12.886007942069609</v>
      </c>
      <c r="F10" s="309">
        <v>301.87782108220796</v>
      </c>
      <c r="G10" s="310">
        <v>1</v>
      </c>
      <c r="H10" s="315">
        <v>3890</v>
      </c>
      <c r="I10" s="131" t="s">
        <v>720</v>
      </c>
      <c r="J10" s="309" t="s">
        <v>722</v>
      </c>
      <c r="K10" s="131">
        <v>4281</v>
      </c>
      <c r="L10" s="309">
        <v>661.30000000000007</v>
      </c>
      <c r="Q10" s="310"/>
      <c r="S10" s="309"/>
      <c r="T10" s="310"/>
      <c r="W10" s="309"/>
    </row>
    <row r="11" spans="1:23" x14ac:dyDescent="0.2">
      <c r="A11" s="131"/>
      <c r="B11" s="313">
        <v>44774</v>
      </c>
      <c r="C11" s="131">
        <v>4256</v>
      </c>
      <c r="D11" s="310">
        <v>61357.5</v>
      </c>
      <c r="E11" s="314">
        <v>14.41670582706767</v>
      </c>
      <c r="F11" s="309">
        <v>279.88363280772518</v>
      </c>
      <c r="G11" s="310">
        <v>1</v>
      </c>
      <c r="H11" s="315">
        <v>4035</v>
      </c>
      <c r="I11" s="131" t="s">
        <v>720</v>
      </c>
      <c r="J11" s="309" t="s">
        <v>722</v>
      </c>
      <c r="K11" s="131">
        <v>4254.666666666667</v>
      </c>
      <c r="L11" s="309">
        <v>685.95000000000027</v>
      </c>
      <c r="Q11" s="310"/>
      <c r="S11" s="309"/>
      <c r="T11" s="310"/>
      <c r="W11" s="309"/>
    </row>
    <row r="12" spans="1:23" x14ac:dyDescent="0.2">
      <c r="A12" s="131"/>
      <c r="B12" s="313">
        <v>44805</v>
      </c>
      <c r="C12" s="131">
        <v>3288</v>
      </c>
      <c r="D12" s="310">
        <v>49540</v>
      </c>
      <c r="E12" s="314">
        <v>15.0669099756691</v>
      </c>
      <c r="F12" s="309">
        <v>218.82389987888578</v>
      </c>
      <c r="G12" s="310">
        <v>1</v>
      </c>
      <c r="H12" s="315">
        <v>3297.0000000000005</v>
      </c>
      <c r="I12" s="131" t="s">
        <v>720</v>
      </c>
      <c r="J12" s="309" t="s">
        <v>722</v>
      </c>
      <c r="K12" s="131">
        <v>3288</v>
      </c>
      <c r="L12" s="309">
        <v>552.51869999999997</v>
      </c>
      <c r="Q12" s="310"/>
      <c r="S12" s="309"/>
      <c r="T12" s="310"/>
      <c r="W12" s="309"/>
    </row>
    <row r="13" spans="1:23" x14ac:dyDescent="0.2">
      <c r="A13" s="131"/>
      <c r="B13" s="313">
        <v>44835</v>
      </c>
      <c r="C13" s="131">
        <v>3480</v>
      </c>
      <c r="D13" s="310">
        <v>95670</v>
      </c>
      <c r="E13" s="314">
        <v>27.491379310344829</v>
      </c>
      <c r="F13" s="309">
        <v>4.3650047036688644</v>
      </c>
      <c r="G13" s="310">
        <v>1</v>
      </c>
      <c r="H13" s="315">
        <v>120.00000000000009</v>
      </c>
      <c r="I13" s="131" t="s">
        <v>720</v>
      </c>
      <c r="J13" s="309" t="s">
        <v>722</v>
      </c>
      <c r="K13" s="131">
        <v>3480</v>
      </c>
      <c r="L13" s="309">
        <v>55.374000000000173</v>
      </c>
      <c r="Q13" s="310"/>
      <c r="S13" s="309"/>
      <c r="T13" s="310"/>
      <c r="W13" s="309"/>
    </row>
    <row r="14" spans="1:23" x14ac:dyDescent="0.2">
      <c r="A14" s="131"/>
      <c r="B14" s="313">
        <v>44866</v>
      </c>
      <c r="C14" s="131">
        <v>620</v>
      </c>
      <c r="D14" s="310">
        <v>10860</v>
      </c>
      <c r="E14" s="314">
        <v>17.516129032258064</v>
      </c>
      <c r="F14" s="309">
        <v>-27.403885819521179</v>
      </c>
      <c r="G14" s="310">
        <v>1</v>
      </c>
      <c r="H14" s="315">
        <v>-480.01</v>
      </c>
      <c r="I14" s="131" t="s">
        <v>720</v>
      </c>
      <c r="J14" s="309" t="s">
        <v>722</v>
      </c>
      <c r="K14" s="131">
        <v>620</v>
      </c>
      <c r="L14" s="309">
        <v>-157.41915599999999</v>
      </c>
      <c r="Q14" s="310"/>
      <c r="S14" s="309"/>
      <c r="T14" s="310"/>
      <c r="W14" s="309"/>
    </row>
    <row r="15" spans="1:23" x14ac:dyDescent="0.2">
      <c r="A15" s="131" t="s">
        <v>1046</v>
      </c>
      <c r="B15" s="311"/>
      <c r="C15" s="131">
        <v>23004</v>
      </c>
      <c r="D15" s="310">
        <v>351085</v>
      </c>
      <c r="E15" s="314">
        <v>15.261910972004868</v>
      </c>
      <c r="F15" s="309">
        <v>940.44513995186367</v>
      </c>
      <c r="G15" s="310">
        <v>8</v>
      </c>
      <c r="H15" s="315">
        <v>14352.990000000002</v>
      </c>
      <c r="I15" s="131" t="s">
        <v>720</v>
      </c>
      <c r="J15" s="309" t="s">
        <v>722</v>
      </c>
      <c r="K15" s="131">
        <v>23002.666666666664</v>
      </c>
      <c r="L15" s="309">
        <v>2462.3035439999994</v>
      </c>
      <c r="Q15" s="310"/>
      <c r="S15" s="309"/>
      <c r="T15" s="310"/>
      <c r="W15" s="309"/>
    </row>
    <row r="16" spans="1:23" x14ac:dyDescent="0.2">
      <c r="A16" s="131" t="s">
        <v>60</v>
      </c>
      <c r="B16" s="313">
        <v>44470</v>
      </c>
      <c r="C16" s="131">
        <v>800</v>
      </c>
      <c r="D16" s="310">
        <v>8000</v>
      </c>
      <c r="E16" s="314">
        <v>10</v>
      </c>
      <c r="F16" s="309">
        <v>8.1999999999999993</v>
      </c>
      <c r="G16" s="310">
        <v>1</v>
      </c>
      <c r="H16" s="315">
        <v>82</v>
      </c>
      <c r="I16" s="131" t="s">
        <v>734</v>
      </c>
      <c r="J16" s="309" t="s">
        <v>722</v>
      </c>
      <c r="K16" s="131">
        <v>800</v>
      </c>
      <c r="L16" s="309">
        <v>16.400000000000002</v>
      </c>
      <c r="Q16" s="310"/>
      <c r="S16" s="309"/>
      <c r="T16" s="310"/>
      <c r="W16" s="309"/>
    </row>
    <row r="17" spans="1:23" x14ac:dyDescent="0.2">
      <c r="A17" s="131"/>
      <c r="B17" s="313">
        <v>44501</v>
      </c>
      <c r="C17" s="131">
        <v>474</v>
      </c>
      <c r="D17" s="310">
        <v>8055</v>
      </c>
      <c r="E17" s="314">
        <v>16.99367088607595</v>
      </c>
      <c r="F17" s="309">
        <v>19.301303538175045</v>
      </c>
      <c r="G17" s="310">
        <v>1</v>
      </c>
      <c r="H17" s="315">
        <v>328</v>
      </c>
      <c r="I17" s="131" t="s">
        <v>734</v>
      </c>
      <c r="J17" s="309" t="s">
        <v>722</v>
      </c>
      <c r="K17" s="131">
        <v>474</v>
      </c>
      <c r="L17" s="309">
        <v>65.599999999999994</v>
      </c>
      <c r="Q17" s="310"/>
      <c r="S17" s="309"/>
      <c r="T17" s="310"/>
      <c r="W17" s="309"/>
    </row>
    <row r="18" spans="1:23" x14ac:dyDescent="0.2">
      <c r="A18" s="131"/>
      <c r="B18" s="313">
        <v>44531</v>
      </c>
      <c r="C18" s="131">
        <v>160</v>
      </c>
      <c r="D18" s="310">
        <v>2095</v>
      </c>
      <c r="E18" s="314">
        <v>13.09375</v>
      </c>
      <c r="F18" s="309">
        <v>3.5894988066825775</v>
      </c>
      <c r="G18" s="310">
        <v>1</v>
      </c>
      <c r="H18" s="315">
        <v>47</v>
      </c>
      <c r="I18" s="131" t="s">
        <v>734</v>
      </c>
      <c r="J18" s="309" t="s">
        <v>722</v>
      </c>
      <c r="K18" s="131">
        <v>160</v>
      </c>
      <c r="L18" s="309">
        <v>9.4</v>
      </c>
      <c r="Q18" s="310"/>
      <c r="S18" s="309"/>
      <c r="T18" s="310"/>
      <c r="W18" s="309"/>
    </row>
    <row r="19" spans="1:23" x14ac:dyDescent="0.2">
      <c r="A19" s="131"/>
      <c r="B19" s="313">
        <v>44562</v>
      </c>
      <c r="C19" s="131">
        <v>165</v>
      </c>
      <c r="D19" s="310">
        <v>1650</v>
      </c>
      <c r="E19" s="314">
        <v>10</v>
      </c>
      <c r="F19" s="309">
        <v>4.5</v>
      </c>
      <c r="G19" s="310">
        <v>1</v>
      </c>
      <c r="H19" s="315">
        <v>45</v>
      </c>
      <c r="I19" s="131" t="s">
        <v>734</v>
      </c>
      <c r="J19" s="309" t="s">
        <v>722</v>
      </c>
      <c r="K19" s="131">
        <v>165</v>
      </c>
      <c r="L19" s="309">
        <v>9</v>
      </c>
      <c r="Q19" s="310"/>
      <c r="S19" s="309"/>
      <c r="T19" s="310"/>
      <c r="W19" s="309"/>
    </row>
    <row r="20" spans="1:23" x14ac:dyDescent="0.2">
      <c r="A20" s="131"/>
      <c r="B20" s="313">
        <v>44621</v>
      </c>
      <c r="C20" s="131">
        <v>78</v>
      </c>
      <c r="D20" s="310">
        <v>780</v>
      </c>
      <c r="E20" s="314">
        <v>10</v>
      </c>
      <c r="F20" s="309">
        <v>7.8</v>
      </c>
      <c r="G20" s="310">
        <v>1</v>
      </c>
      <c r="H20" s="315">
        <v>78</v>
      </c>
      <c r="I20" s="131" t="s">
        <v>734</v>
      </c>
      <c r="J20" s="309" t="s">
        <v>722</v>
      </c>
      <c r="K20" s="131">
        <v>78</v>
      </c>
      <c r="L20" s="309">
        <v>15.600000000000001</v>
      </c>
      <c r="Q20" s="310"/>
      <c r="S20" s="309"/>
      <c r="T20" s="310"/>
      <c r="W20" s="309"/>
    </row>
    <row r="21" spans="1:23" x14ac:dyDescent="0.2">
      <c r="A21" s="131"/>
      <c r="B21" s="313">
        <v>44713</v>
      </c>
      <c r="C21" s="131">
        <v>1054</v>
      </c>
      <c r="D21" s="310">
        <v>16205</v>
      </c>
      <c r="E21" s="314">
        <v>15.374762808349146</v>
      </c>
      <c r="F21" s="309">
        <v>69.659611231101508</v>
      </c>
      <c r="G21" s="310">
        <v>1</v>
      </c>
      <c r="H21" s="315">
        <v>1071</v>
      </c>
      <c r="I21" s="131" t="s">
        <v>734</v>
      </c>
      <c r="J21" s="309" t="s">
        <v>722</v>
      </c>
      <c r="K21" s="131">
        <v>1054</v>
      </c>
      <c r="L21" s="309">
        <v>216.92999999999998</v>
      </c>
      <c r="Q21" s="310"/>
      <c r="S21" s="309"/>
      <c r="T21" s="310"/>
      <c r="W21" s="309"/>
    </row>
    <row r="22" spans="1:23" x14ac:dyDescent="0.2">
      <c r="A22" s="131"/>
      <c r="B22" s="313">
        <v>44774</v>
      </c>
      <c r="C22" s="131">
        <v>2495</v>
      </c>
      <c r="D22" s="310">
        <v>51480</v>
      </c>
      <c r="E22" s="314">
        <v>20.633266533066131</v>
      </c>
      <c r="F22" s="309">
        <v>-50.937160062160068</v>
      </c>
      <c r="G22" s="310">
        <v>1</v>
      </c>
      <c r="H22" s="315">
        <v>-1051</v>
      </c>
      <c r="I22" s="131" t="s">
        <v>734</v>
      </c>
      <c r="J22" s="309" t="s">
        <v>722</v>
      </c>
      <c r="K22" s="131">
        <v>915.66666666666674</v>
      </c>
      <c r="L22" s="309">
        <v>-212.30399999999995</v>
      </c>
      <c r="Q22" s="310"/>
      <c r="S22" s="309"/>
      <c r="T22" s="310"/>
      <c r="W22" s="309"/>
    </row>
    <row r="23" spans="1:23" x14ac:dyDescent="0.2">
      <c r="A23" s="131"/>
      <c r="B23" s="313">
        <v>44805</v>
      </c>
      <c r="C23" s="131">
        <v>266</v>
      </c>
      <c r="D23" s="310">
        <v>2660</v>
      </c>
      <c r="E23" s="314">
        <v>10</v>
      </c>
      <c r="F23" s="309">
        <v>-7.4</v>
      </c>
      <c r="G23" s="310">
        <v>1</v>
      </c>
      <c r="H23" s="315">
        <v>-74</v>
      </c>
      <c r="I23" s="131" t="s">
        <v>734</v>
      </c>
      <c r="J23" s="309" t="s">
        <v>722</v>
      </c>
      <c r="K23" s="131">
        <v>135.33333333333331</v>
      </c>
      <c r="L23" s="309">
        <v>-14.8</v>
      </c>
      <c r="Q23" s="310"/>
      <c r="S23" s="309"/>
      <c r="T23" s="310"/>
      <c r="W23" s="309"/>
    </row>
    <row r="24" spans="1:23" x14ac:dyDescent="0.2">
      <c r="A24" s="131"/>
      <c r="B24" s="313">
        <v>44927</v>
      </c>
      <c r="C24" s="131">
        <v>495</v>
      </c>
      <c r="D24" s="310">
        <v>4950</v>
      </c>
      <c r="E24" s="314">
        <v>10</v>
      </c>
      <c r="F24" s="309">
        <v>-17.2</v>
      </c>
      <c r="G24" s="310">
        <v>1</v>
      </c>
      <c r="H24" s="315">
        <v>-172</v>
      </c>
      <c r="I24" s="131" t="s">
        <v>734</v>
      </c>
      <c r="J24" s="309" t="s">
        <v>722</v>
      </c>
      <c r="K24" s="131">
        <v>495</v>
      </c>
      <c r="L24" s="309">
        <v>-36.979999999999997</v>
      </c>
      <c r="Q24" s="310"/>
      <c r="S24" s="309"/>
      <c r="T24" s="310"/>
      <c r="W24" s="309"/>
    </row>
    <row r="25" spans="1:23" x14ac:dyDescent="0.2">
      <c r="A25" s="131"/>
      <c r="B25" s="313">
        <v>44958</v>
      </c>
      <c r="C25" s="131">
        <v>550</v>
      </c>
      <c r="D25" s="310">
        <v>5100</v>
      </c>
      <c r="E25" s="314">
        <v>9.2727272727272734</v>
      </c>
      <c r="F25" s="309">
        <v>-24.706862745098036</v>
      </c>
      <c r="G25" s="310">
        <v>1</v>
      </c>
      <c r="H25" s="315">
        <v>-229.1</v>
      </c>
      <c r="I25" s="131" t="s">
        <v>734</v>
      </c>
      <c r="J25" s="309" t="s">
        <v>722</v>
      </c>
      <c r="K25" s="131">
        <v>550</v>
      </c>
      <c r="L25" s="309">
        <v>-48.647094000000024</v>
      </c>
      <c r="Q25" s="310"/>
      <c r="S25" s="309"/>
      <c r="T25" s="310"/>
      <c r="W25" s="309"/>
    </row>
    <row r="26" spans="1:23" x14ac:dyDescent="0.2">
      <c r="A26" s="131" t="s">
        <v>1047</v>
      </c>
      <c r="B26" s="311"/>
      <c r="C26" s="131">
        <v>6537</v>
      </c>
      <c r="D26" s="310">
        <v>100975</v>
      </c>
      <c r="E26" s="314">
        <v>15.446688083218602</v>
      </c>
      <c r="F26" s="309">
        <v>8.0858757118098517</v>
      </c>
      <c r="G26" s="310">
        <v>10</v>
      </c>
      <c r="H26" s="315">
        <v>124.89999999999998</v>
      </c>
      <c r="I26" s="131" t="s">
        <v>734</v>
      </c>
      <c r="J26" s="309" t="s">
        <v>722</v>
      </c>
      <c r="K26" s="131">
        <v>4827</v>
      </c>
      <c r="L26" s="309">
        <v>20.198906000000107</v>
      </c>
      <c r="Q26" s="310"/>
      <c r="S26" s="309"/>
      <c r="T26" s="310"/>
      <c r="W26" s="309"/>
    </row>
    <row r="27" spans="1:23" x14ac:dyDescent="0.2">
      <c r="A27" s="131" t="s">
        <v>82</v>
      </c>
      <c r="B27" s="313">
        <v>44228</v>
      </c>
      <c r="C27" s="131">
        <v>3734</v>
      </c>
      <c r="D27" s="310">
        <v>177900</v>
      </c>
      <c r="E27" s="314">
        <v>47.643277986073919</v>
      </c>
      <c r="F27" s="309">
        <v>67.018898257448001</v>
      </c>
      <c r="G27" s="310">
        <v>1</v>
      </c>
      <c r="H27" s="315">
        <v>3193</v>
      </c>
      <c r="I27" s="131" t="s">
        <v>739</v>
      </c>
      <c r="J27" s="309" t="s">
        <v>741</v>
      </c>
      <c r="K27" s="131">
        <v>3731.333333333333</v>
      </c>
      <c r="L27" s="309">
        <v>638.59999999999991</v>
      </c>
      <c r="Q27" s="310"/>
      <c r="S27" s="309"/>
      <c r="T27" s="310"/>
      <c r="W27" s="309"/>
    </row>
    <row r="28" spans="1:23" x14ac:dyDescent="0.2">
      <c r="A28" s="131"/>
      <c r="B28" s="313">
        <v>44256</v>
      </c>
      <c r="C28" s="131">
        <v>4099</v>
      </c>
      <c r="D28" s="310">
        <v>178000</v>
      </c>
      <c r="E28" s="314">
        <v>43.425225664796294</v>
      </c>
      <c r="F28" s="309">
        <v>29.545039325842694</v>
      </c>
      <c r="G28" s="131">
        <v>1</v>
      </c>
      <c r="H28" s="315">
        <v>1283</v>
      </c>
      <c r="I28" s="131" t="s">
        <v>739</v>
      </c>
      <c r="J28" s="309" t="s">
        <v>741</v>
      </c>
      <c r="K28" s="131">
        <v>4099</v>
      </c>
      <c r="L28" s="309">
        <v>256.60000000000002</v>
      </c>
      <c r="Q28" s="310"/>
      <c r="S28" s="309"/>
      <c r="W28" s="309"/>
    </row>
    <row r="29" spans="1:23" x14ac:dyDescent="0.2">
      <c r="A29" s="131"/>
      <c r="B29" s="313">
        <v>44287</v>
      </c>
      <c r="C29" s="131">
        <v>7430</v>
      </c>
      <c r="D29" s="131">
        <v>193085</v>
      </c>
      <c r="E29" s="314">
        <v>25.98721399730821</v>
      </c>
      <c r="F29" s="309">
        <v>148.03433720900122</v>
      </c>
      <c r="G29" s="131">
        <v>1</v>
      </c>
      <c r="H29" s="315">
        <v>3847</v>
      </c>
      <c r="I29" s="131" t="s">
        <v>739</v>
      </c>
      <c r="J29" s="309" t="s">
        <v>741</v>
      </c>
      <c r="K29" s="131">
        <v>7428.666666666667</v>
      </c>
      <c r="L29" s="309">
        <v>769.40000000000009</v>
      </c>
      <c r="S29" s="309"/>
      <c r="W29" s="309"/>
    </row>
    <row r="30" spans="1:23" x14ac:dyDescent="0.2">
      <c r="A30" s="131"/>
      <c r="B30" s="313">
        <v>44317</v>
      </c>
      <c r="C30" s="131">
        <v>3192</v>
      </c>
      <c r="D30" s="131">
        <v>155310</v>
      </c>
      <c r="E30" s="314">
        <v>48.656015037593988</v>
      </c>
      <c r="F30" s="309">
        <v>5.4875024145257871</v>
      </c>
      <c r="G30" s="131">
        <v>1</v>
      </c>
      <c r="H30" s="315">
        <v>267</v>
      </c>
      <c r="I30" s="131" t="s">
        <v>739</v>
      </c>
      <c r="J30" s="309" t="s">
        <v>741</v>
      </c>
      <c r="K30" s="131">
        <v>3192</v>
      </c>
      <c r="L30" s="309">
        <v>53.400000000000006</v>
      </c>
      <c r="S30" s="309"/>
      <c r="W30" s="309"/>
    </row>
    <row r="31" spans="1:23" x14ac:dyDescent="0.2">
      <c r="A31" s="131"/>
      <c r="B31" s="313">
        <v>44348</v>
      </c>
      <c r="C31" s="131">
        <v>5541</v>
      </c>
      <c r="D31" s="131">
        <v>163000</v>
      </c>
      <c r="E31" s="314">
        <v>29.41707273055405</v>
      </c>
      <c r="F31" s="131">
        <v>105.92488343558283</v>
      </c>
      <c r="G31" s="131">
        <v>1</v>
      </c>
      <c r="H31" s="315">
        <v>3116</v>
      </c>
      <c r="I31" s="131" t="s">
        <v>739</v>
      </c>
      <c r="J31" s="309" t="s">
        <v>741</v>
      </c>
      <c r="K31" s="131">
        <v>5541</v>
      </c>
      <c r="L31" s="309">
        <v>623.20000000000005</v>
      </c>
      <c r="W31" s="309"/>
    </row>
    <row r="32" spans="1:23" x14ac:dyDescent="0.2">
      <c r="A32" s="131"/>
      <c r="B32" s="313">
        <v>44378</v>
      </c>
      <c r="C32" s="131">
        <v>2946</v>
      </c>
      <c r="D32" s="131">
        <v>121175</v>
      </c>
      <c r="E32" s="314">
        <v>41.132043448744056</v>
      </c>
      <c r="F32" s="131">
        <v>-11.548174128326801</v>
      </c>
      <c r="G32" s="131">
        <v>1</v>
      </c>
      <c r="H32" s="315">
        <v>-475</v>
      </c>
      <c r="I32" s="131" t="s">
        <v>739</v>
      </c>
      <c r="J32" s="309" t="s">
        <v>741</v>
      </c>
      <c r="K32" s="131">
        <v>2945.3333333333335</v>
      </c>
      <c r="L32" s="309">
        <v>-95</v>
      </c>
      <c r="W32" s="309"/>
    </row>
    <row r="33" spans="1:23" x14ac:dyDescent="0.2">
      <c r="A33" s="131"/>
      <c r="B33" s="313">
        <v>44409</v>
      </c>
      <c r="C33" s="131">
        <v>6434</v>
      </c>
      <c r="D33" s="131">
        <v>288925</v>
      </c>
      <c r="E33" s="314">
        <v>44.905968293441092</v>
      </c>
      <c r="F33" s="131">
        <v>204.42716968071301</v>
      </c>
      <c r="G33" s="131">
        <v>1</v>
      </c>
      <c r="H33" s="315">
        <v>9180</v>
      </c>
      <c r="I33" s="131" t="s">
        <v>739</v>
      </c>
      <c r="J33" s="309" t="s">
        <v>741</v>
      </c>
      <c r="K33" s="131">
        <v>6434</v>
      </c>
      <c r="L33" s="309">
        <v>1835.9999999999998</v>
      </c>
      <c r="W33" s="309"/>
    </row>
    <row r="34" spans="1:23" x14ac:dyDescent="0.2">
      <c r="A34" s="131"/>
      <c r="B34" s="313">
        <v>44440</v>
      </c>
      <c r="C34" s="131">
        <v>4177</v>
      </c>
      <c r="D34" s="131">
        <v>208660</v>
      </c>
      <c r="E34" s="314">
        <v>49.954512808235577</v>
      </c>
      <c r="F34" s="131">
        <v>44.780739001246047</v>
      </c>
      <c r="G34" s="131">
        <v>1</v>
      </c>
      <c r="H34" s="315">
        <v>2237</v>
      </c>
      <c r="I34" s="131" t="s">
        <v>739</v>
      </c>
      <c r="J34" s="309" t="s">
        <v>741</v>
      </c>
      <c r="K34" s="131">
        <v>4177</v>
      </c>
      <c r="L34" s="309">
        <v>447.4</v>
      </c>
      <c r="W34" s="309"/>
    </row>
    <row r="35" spans="1:23" x14ac:dyDescent="0.2">
      <c r="A35" s="131"/>
      <c r="B35" s="313">
        <v>44470</v>
      </c>
      <c r="C35" s="131">
        <v>4171</v>
      </c>
      <c r="D35" s="131">
        <v>208390</v>
      </c>
      <c r="E35" s="314">
        <v>49.961639894509709</v>
      </c>
      <c r="F35" s="131">
        <v>43.113076443207447</v>
      </c>
      <c r="G35" s="131">
        <v>1</v>
      </c>
      <c r="H35" s="315">
        <v>2154</v>
      </c>
      <c r="I35" s="131" t="s">
        <v>739</v>
      </c>
      <c r="J35" s="309" t="s">
        <v>741</v>
      </c>
      <c r="K35" s="131">
        <v>4171</v>
      </c>
      <c r="L35" s="309">
        <v>430.79999999999995</v>
      </c>
      <c r="W35" s="309"/>
    </row>
    <row r="36" spans="1:23" x14ac:dyDescent="0.2">
      <c r="A36" s="131"/>
      <c r="B36" s="313">
        <v>44501</v>
      </c>
      <c r="C36" s="131">
        <v>3386</v>
      </c>
      <c r="D36" s="131">
        <v>170000</v>
      </c>
      <c r="E36" s="314">
        <v>50.206733608978148</v>
      </c>
      <c r="F36" s="131">
        <v>41.209611764705883</v>
      </c>
      <c r="G36" s="131">
        <v>1</v>
      </c>
      <c r="H36" s="315">
        <v>2069</v>
      </c>
      <c r="I36" s="131" t="s">
        <v>739</v>
      </c>
      <c r="J36" s="309" t="s">
        <v>741</v>
      </c>
      <c r="K36" s="131">
        <v>3386</v>
      </c>
      <c r="L36" s="309">
        <v>413.8</v>
      </c>
      <c r="W36" s="309"/>
    </row>
    <row r="37" spans="1:23" x14ac:dyDescent="0.2">
      <c r="A37" s="131"/>
      <c r="B37" s="313">
        <v>44531</v>
      </c>
      <c r="C37" s="131">
        <v>4037</v>
      </c>
      <c r="D37" s="131">
        <v>201850</v>
      </c>
      <c r="E37" s="314">
        <v>50</v>
      </c>
      <c r="F37" s="131">
        <v>-12.22</v>
      </c>
      <c r="G37" s="131">
        <v>1</v>
      </c>
      <c r="H37" s="315">
        <v>-611</v>
      </c>
      <c r="I37" s="131" t="s">
        <v>739</v>
      </c>
      <c r="J37" s="309" t="s">
        <v>741</v>
      </c>
      <c r="K37" s="131">
        <v>4037</v>
      </c>
      <c r="L37" s="309">
        <v>-122.19999999999999</v>
      </c>
      <c r="W37" s="309"/>
    </row>
    <row r="38" spans="1:23" x14ac:dyDescent="0.2">
      <c r="A38" s="131"/>
      <c r="B38" s="313">
        <v>44562</v>
      </c>
      <c r="C38" s="131">
        <v>4468</v>
      </c>
      <c r="D38" s="131">
        <v>223400</v>
      </c>
      <c r="E38" s="314">
        <v>50</v>
      </c>
      <c r="F38" s="131">
        <v>126.76</v>
      </c>
      <c r="G38" s="131">
        <v>1</v>
      </c>
      <c r="H38" s="315">
        <v>6338</v>
      </c>
      <c r="I38" s="131" t="s">
        <v>739</v>
      </c>
      <c r="J38" s="309" t="s">
        <v>741</v>
      </c>
      <c r="K38" s="131">
        <v>4468</v>
      </c>
      <c r="L38" s="309">
        <v>1267.5999999999999</v>
      </c>
      <c r="W38" s="309"/>
    </row>
    <row r="39" spans="1:23" x14ac:dyDescent="0.2">
      <c r="A39" s="131"/>
      <c r="B39" s="313">
        <v>44593</v>
      </c>
      <c r="C39" s="131">
        <v>4767</v>
      </c>
      <c r="D39" s="131">
        <v>238350</v>
      </c>
      <c r="E39" s="314">
        <v>50</v>
      </c>
      <c r="F39" s="131">
        <v>213.7</v>
      </c>
      <c r="G39" s="131">
        <v>1</v>
      </c>
      <c r="H39" s="315">
        <v>10685</v>
      </c>
      <c r="I39" s="131" t="s">
        <v>739</v>
      </c>
      <c r="J39" s="309" t="s">
        <v>741</v>
      </c>
      <c r="K39" s="131">
        <v>4767</v>
      </c>
      <c r="L39" s="309">
        <v>2137</v>
      </c>
      <c r="W39" s="309"/>
    </row>
    <row r="40" spans="1:23" x14ac:dyDescent="0.2">
      <c r="A40" s="131"/>
      <c r="B40" s="313">
        <v>44621</v>
      </c>
      <c r="C40" s="131">
        <v>1371</v>
      </c>
      <c r="D40" s="131">
        <v>131012.75</v>
      </c>
      <c r="E40" s="314">
        <v>95.559992706053976</v>
      </c>
      <c r="F40" s="131">
        <v>74.801177747967273</v>
      </c>
      <c r="G40" s="131">
        <v>1</v>
      </c>
      <c r="H40" s="315">
        <v>7148</v>
      </c>
      <c r="I40" s="131" t="s">
        <v>739</v>
      </c>
      <c r="J40" s="309" t="s">
        <v>741</v>
      </c>
      <c r="K40" s="131">
        <v>1371</v>
      </c>
      <c r="L40" s="309">
        <v>1429.6000000000001</v>
      </c>
      <c r="W40" s="309"/>
    </row>
    <row r="41" spans="1:23" x14ac:dyDescent="0.2">
      <c r="A41" s="131"/>
      <c r="B41" s="313">
        <v>44652</v>
      </c>
      <c r="C41" s="131">
        <v>2501</v>
      </c>
      <c r="D41" s="131">
        <v>250005</v>
      </c>
      <c r="E41" s="314">
        <v>99.962015193922426</v>
      </c>
      <c r="F41" s="131">
        <v>49.708881822363558</v>
      </c>
      <c r="G41" s="131">
        <v>1</v>
      </c>
      <c r="H41" s="315">
        <v>4969</v>
      </c>
      <c r="I41" s="131" t="s">
        <v>739</v>
      </c>
      <c r="J41" s="309" t="s">
        <v>741</v>
      </c>
      <c r="K41" s="131">
        <v>2501</v>
      </c>
      <c r="L41" s="309">
        <v>993.8</v>
      </c>
      <c r="W41" s="309"/>
    </row>
    <row r="42" spans="1:23" x14ac:dyDescent="0.2">
      <c r="A42" s="131"/>
      <c r="B42" s="313">
        <v>44682</v>
      </c>
      <c r="C42" s="131">
        <v>4721</v>
      </c>
      <c r="D42" s="131">
        <v>469500</v>
      </c>
      <c r="E42" s="314">
        <v>99.44926922262232</v>
      </c>
      <c r="F42" s="131">
        <v>30.09574653887114</v>
      </c>
      <c r="G42" s="131">
        <v>1</v>
      </c>
      <c r="H42" s="315">
        <v>2993</v>
      </c>
      <c r="I42" s="131" t="s">
        <v>739</v>
      </c>
      <c r="J42" s="309" t="s">
        <v>741</v>
      </c>
      <c r="K42" s="131">
        <v>4675.666666666667</v>
      </c>
      <c r="L42" s="309">
        <v>598.59999999999991</v>
      </c>
      <c r="W42" s="309"/>
    </row>
    <row r="43" spans="1:23" x14ac:dyDescent="0.2">
      <c r="A43" s="131"/>
      <c r="B43" s="313">
        <v>44713</v>
      </c>
      <c r="C43" s="131">
        <v>1275</v>
      </c>
      <c r="D43" s="131">
        <v>127500</v>
      </c>
      <c r="E43" s="314">
        <v>100</v>
      </c>
      <c r="F43" s="131">
        <v>59.45</v>
      </c>
      <c r="G43" s="131">
        <v>1</v>
      </c>
      <c r="H43" s="315">
        <v>5945</v>
      </c>
      <c r="I43" s="131" t="s">
        <v>739</v>
      </c>
      <c r="J43" s="309" t="s">
        <v>741</v>
      </c>
      <c r="K43" s="131">
        <v>1275</v>
      </c>
      <c r="L43" s="309">
        <v>1189</v>
      </c>
      <c r="W43" s="309"/>
    </row>
    <row r="44" spans="1:23" x14ac:dyDescent="0.2">
      <c r="A44" s="131"/>
      <c r="B44" s="313">
        <v>44743</v>
      </c>
      <c r="C44" s="131">
        <v>1700</v>
      </c>
      <c r="D44" s="131">
        <v>170000</v>
      </c>
      <c r="E44" s="314">
        <v>100</v>
      </c>
      <c r="F44" s="131">
        <v>25.01</v>
      </c>
      <c r="G44" s="131">
        <v>1</v>
      </c>
      <c r="H44" s="315">
        <v>2501</v>
      </c>
      <c r="I44" s="131" t="s">
        <v>739</v>
      </c>
      <c r="J44" s="309" t="s">
        <v>741</v>
      </c>
      <c r="K44" s="131">
        <v>1700</v>
      </c>
      <c r="L44" s="309">
        <v>500.2</v>
      </c>
      <c r="W44" s="309"/>
    </row>
    <row r="45" spans="1:23" x14ac:dyDescent="0.2">
      <c r="A45" s="131"/>
      <c r="B45" s="313">
        <v>44774</v>
      </c>
      <c r="C45" s="131">
        <v>3500</v>
      </c>
      <c r="D45" s="131">
        <v>350000</v>
      </c>
      <c r="E45" s="314">
        <v>100</v>
      </c>
      <c r="F45" s="131">
        <v>93.52</v>
      </c>
      <c r="G45" s="131">
        <v>1</v>
      </c>
      <c r="H45" s="315">
        <v>9352</v>
      </c>
      <c r="I45" s="131" t="s">
        <v>739</v>
      </c>
      <c r="J45" s="309" t="s">
        <v>741</v>
      </c>
      <c r="K45" s="131">
        <v>3500</v>
      </c>
      <c r="L45" s="309">
        <v>1870.4</v>
      </c>
      <c r="W45" s="309"/>
    </row>
    <row r="46" spans="1:23" x14ac:dyDescent="0.2">
      <c r="A46" s="131"/>
      <c r="B46" s="313">
        <v>44805</v>
      </c>
      <c r="C46" s="131">
        <v>2801</v>
      </c>
      <c r="D46" s="131">
        <v>280100</v>
      </c>
      <c r="E46" s="314">
        <v>100</v>
      </c>
      <c r="F46" s="131">
        <v>64.709999999999994</v>
      </c>
      <c r="G46" s="131">
        <v>1</v>
      </c>
      <c r="H46" s="315">
        <v>6471</v>
      </c>
      <c r="I46" s="131" t="s">
        <v>739</v>
      </c>
      <c r="J46" s="309" t="s">
        <v>741</v>
      </c>
      <c r="K46" s="131">
        <v>2801</v>
      </c>
      <c r="L46" s="309">
        <v>1294.2</v>
      </c>
      <c r="W46" s="309"/>
    </row>
    <row r="47" spans="1:23" x14ac:dyDescent="0.2">
      <c r="A47" s="131"/>
      <c r="B47" s="313">
        <v>44835</v>
      </c>
      <c r="C47" s="131">
        <v>2800</v>
      </c>
      <c r="D47" s="131">
        <v>280000</v>
      </c>
      <c r="E47" s="314">
        <v>100</v>
      </c>
      <c r="F47" s="131">
        <v>37.64</v>
      </c>
      <c r="G47" s="131">
        <v>1</v>
      </c>
      <c r="H47" s="315">
        <v>3764</v>
      </c>
      <c r="I47" s="131" t="s">
        <v>739</v>
      </c>
      <c r="J47" s="309" t="s">
        <v>741</v>
      </c>
      <c r="K47" s="131">
        <v>2800</v>
      </c>
      <c r="L47" s="309">
        <v>752.80000000000007</v>
      </c>
      <c r="W47" s="309"/>
    </row>
    <row r="48" spans="1:23" x14ac:dyDescent="0.2">
      <c r="A48" s="131"/>
      <c r="B48" s="313">
        <v>44866</v>
      </c>
      <c r="C48" s="131">
        <v>2994</v>
      </c>
      <c r="D48" s="131">
        <v>299400</v>
      </c>
      <c r="E48" s="314">
        <v>100</v>
      </c>
      <c r="F48" s="131">
        <v>13.31</v>
      </c>
      <c r="G48" s="131">
        <v>1</v>
      </c>
      <c r="H48" s="315">
        <v>1331</v>
      </c>
      <c r="I48" s="131" t="s">
        <v>739</v>
      </c>
      <c r="J48" s="309" t="s">
        <v>741</v>
      </c>
      <c r="K48" s="131">
        <v>1914</v>
      </c>
      <c r="L48" s="309">
        <v>266.2</v>
      </c>
      <c r="W48" s="309"/>
    </row>
    <row r="49" spans="1:23" x14ac:dyDescent="0.2">
      <c r="A49" s="131"/>
      <c r="B49" s="313">
        <v>44896</v>
      </c>
      <c r="C49" s="131">
        <v>3200</v>
      </c>
      <c r="D49" s="131">
        <v>320000</v>
      </c>
      <c r="E49" s="314">
        <v>100</v>
      </c>
      <c r="F49" s="131">
        <v>29.15</v>
      </c>
      <c r="G49" s="131">
        <v>1</v>
      </c>
      <c r="H49" s="315">
        <v>2915</v>
      </c>
      <c r="I49" s="131" t="s">
        <v>739</v>
      </c>
      <c r="J49" s="309" t="s">
        <v>741</v>
      </c>
      <c r="K49" s="131">
        <v>1950</v>
      </c>
      <c r="L49" s="309">
        <v>583</v>
      </c>
      <c r="W49" s="309"/>
    </row>
    <row r="50" spans="1:23" x14ac:dyDescent="0.2">
      <c r="A50" s="131"/>
      <c r="B50" s="313">
        <v>44927</v>
      </c>
      <c r="C50" s="131">
        <v>2560</v>
      </c>
      <c r="D50" s="131">
        <v>256000</v>
      </c>
      <c r="E50" s="314">
        <v>100</v>
      </c>
      <c r="F50" s="131">
        <v>-19.22</v>
      </c>
      <c r="G50" s="131">
        <v>1</v>
      </c>
      <c r="H50" s="315">
        <v>-1922</v>
      </c>
      <c r="I50" s="131" t="s">
        <v>739</v>
      </c>
      <c r="J50" s="309" t="s">
        <v>741</v>
      </c>
      <c r="K50" s="131">
        <v>1865.3333333333333</v>
      </c>
      <c r="L50" s="309">
        <v>-384.4</v>
      </c>
      <c r="W50" s="309"/>
    </row>
    <row r="51" spans="1:23" x14ac:dyDescent="0.2">
      <c r="A51" s="131"/>
      <c r="B51" s="313">
        <v>44958</v>
      </c>
      <c r="C51" s="131">
        <v>3400</v>
      </c>
      <c r="D51" s="131">
        <v>340000</v>
      </c>
      <c r="E51" s="314">
        <v>100</v>
      </c>
      <c r="F51" s="131">
        <v>-11.19</v>
      </c>
      <c r="G51" s="131">
        <v>1</v>
      </c>
      <c r="H51" s="315">
        <v>-1119</v>
      </c>
      <c r="I51" s="131" t="s">
        <v>739</v>
      </c>
      <c r="J51" s="309" t="s">
        <v>741</v>
      </c>
      <c r="K51" s="131">
        <v>3270.6666666666665</v>
      </c>
      <c r="L51" s="309">
        <v>-223.8</v>
      </c>
      <c r="W51" s="309"/>
    </row>
    <row r="52" spans="1:23" x14ac:dyDescent="0.2">
      <c r="A52" s="131"/>
      <c r="B52" s="313">
        <v>44986</v>
      </c>
      <c r="C52" s="131">
        <v>4274</v>
      </c>
      <c r="D52" s="131">
        <v>423800</v>
      </c>
      <c r="E52" s="314">
        <v>99.157697707065978</v>
      </c>
      <c r="F52" s="131">
        <v>68.507036337895229</v>
      </c>
      <c r="G52" s="131">
        <v>1</v>
      </c>
      <c r="H52" s="315">
        <v>6793</v>
      </c>
      <c r="I52" s="131" t="s">
        <v>739</v>
      </c>
      <c r="J52" s="309" t="s">
        <v>741</v>
      </c>
      <c r="K52" s="131">
        <v>4274</v>
      </c>
      <c r="L52" s="309">
        <v>1358.6</v>
      </c>
      <c r="W52" s="309"/>
    </row>
    <row r="53" spans="1:23" x14ac:dyDescent="0.2">
      <c r="A53" s="131" t="s">
        <v>1076</v>
      </c>
      <c r="B53" s="311"/>
      <c r="C53" s="131">
        <v>95479</v>
      </c>
      <c r="D53" s="131">
        <v>6225362.75</v>
      </c>
      <c r="E53" s="314">
        <v>65.201381979283397</v>
      </c>
      <c r="F53" s="131">
        <v>1448.190163055157</v>
      </c>
      <c r="G53" s="131">
        <v>26</v>
      </c>
      <c r="H53" s="315">
        <v>94424</v>
      </c>
      <c r="I53" s="131" t="s">
        <v>739</v>
      </c>
      <c r="J53" s="309" t="s">
        <v>741</v>
      </c>
      <c r="K53" s="131">
        <v>92275</v>
      </c>
      <c r="L53" s="309">
        <v>18884.800000000003</v>
      </c>
      <c r="W53" s="309"/>
    </row>
    <row r="54" spans="1:23" x14ac:dyDescent="0.2">
      <c r="A54" s="131" t="s">
        <v>154</v>
      </c>
      <c r="B54" s="313">
        <v>44805</v>
      </c>
      <c r="C54" s="131">
        <v>123</v>
      </c>
      <c r="D54" s="131">
        <v>615</v>
      </c>
      <c r="E54" s="314">
        <v>5</v>
      </c>
      <c r="F54" s="131">
        <v>-12</v>
      </c>
      <c r="G54" s="131">
        <v>1</v>
      </c>
      <c r="H54" s="315">
        <v>-60</v>
      </c>
      <c r="I54" s="131" t="s">
        <v>747</v>
      </c>
      <c r="J54" s="309" t="s">
        <v>722</v>
      </c>
      <c r="K54" s="131">
        <v>123</v>
      </c>
      <c r="L54" s="309">
        <v>-12</v>
      </c>
      <c r="W54" s="309"/>
    </row>
    <row r="55" spans="1:23" x14ac:dyDescent="0.2">
      <c r="A55" s="131"/>
      <c r="B55" s="313">
        <v>44835</v>
      </c>
      <c r="C55" s="131">
        <v>3211</v>
      </c>
      <c r="D55" s="131">
        <v>31855</v>
      </c>
      <c r="E55" s="314">
        <v>9.9205854873871075</v>
      </c>
      <c r="F55" s="131">
        <v>61.185904881494267</v>
      </c>
      <c r="G55" s="131">
        <v>1</v>
      </c>
      <c r="H55" s="315">
        <v>607</v>
      </c>
      <c r="I55" s="131" t="s">
        <v>747</v>
      </c>
      <c r="J55" s="309" t="s">
        <v>722</v>
      </c>
      <c r="K55" s="131">
        <v>3211</v>
      </c>
      <c r="L55" s="309">
        <v>121.4</v>
      </c>
      <c r="W55" s="309"/>
    </row>
    <row r="56" spans="1:23" x14ac:dyDescent="0.2">
      <c r="A56" s="131"/>
      <c r="B56" s="313">
        <v>44866</v>
      </c>
      <c r="C56" s="131">
        <v>4242</v>
      </c>
      <c r="D56" s="131">
        <v>42405</v>
      </c>
      <c r="E56" s="314">
        <v>9.9964639321074973</v>
      </c>
      <c r="F56" s="131">
        <v>169.86006367173681</v>
      </c>
      <c r="G56" s="131">
        <v>1</v>
      </c>
      <c r="H56" s="315">
        <v>1698</v>
      </c>
      <c r="I56" s="131" t="s">
        <v>747</v>
      </c>
      <c r="J56" s="309" t="s">
        <v>722</v>
      </c>
      <c r="K56" s="131">
        <v>4242</v>
      </c>
      <c r="L56" s="309">
        <v>339.6</v>
      </c>
      <c r="W56" s="309"/>
    </row>
    <row r="57" spans="1:23" x14ac:dyDescent="0.2">
      <c r="A57" s="131"/>
      <c r="B57" s="313">
        <v>44896</v>
      </c>
      <c r="C57" s="131">
        <v>4290</v>
      </c>
      <c r="D57" s="131">
        <v>42895</v>
      </c>
      <c r="E57" s="314">
        <v>9.9988344988344995</v>
      </c>
      <c r="F57" s="131">
        <v>-27.003147219955704</v>
      </c>
      <c r="G57" s="131">
        <v>1</v>
      </c>
      <c r="H57" s="315">
        <v>-270</v>
      </c>
      <c r="I57" s="131" t="s">
        <v>747</v>
      </c>
      <c r="J57" s="309" t="s">
        <v>722</v>
      </c>
      <c r="K57" s="131">
        <v>4290</v>
      </c>
      <c r="L57" s="309">
        <v>-54</v>
      </c>
      <c r="W57" s="309"/>
    </row>
    <row r="58" spans="1:23" x14ac:dyDescent="0.2">
      <c r="A58" s="131"/>
      <c r="B58" s="313">
        <v>44927</v>
      </c>
      <c r="C58" s="131">
        <v>4462</v>
      </c>
      <c r="D58" s="131">
        <v>44620</v>
      </c>
      <c r="E58" s="314">
        <v>10</v>
      </c>
      <c r="F58" s="131">
        <v>175.7</v>
      </c>
      <c r="G58" s="131">
        <v>1</v>
      </c>
      <c r="H58" s="315">
        <v>1757</v>
      </c>
      <c r="I58" s="131" t="s">
        <v>747</v>
      </c>
      <c r="J58" s="309" t="s">
        <v>722</v>
      </c>
      <c r="K58" s="131">
        <v>4462</v>
      </c>
      <c r="L58" s="309">
        <v>298.69</v>
      </c>
      <c r="W58" s="309"/>
    </row>
    <row r="59" spans="1:23" x14ac:dyDescent="0.2">
      <c r="A59" s="131"/>
      <c r="B59" s="313">
        <v>44958</v>
      </c>
      <c r="C59" s="131">
        <v>4048</v>
      </c>
      <c r="D59" s="131">
        <v>40480</v>
      </c>
      <c r="E59" s="314">
        <v>10</v>
      </c>
      <c r="F59" s="131">
        <v>213.1</v>
      </c>
      <c r="G59" s="131">
        <v>1</v>
      </c>
      <c r="H59" s="315">
        <v>2131</v>
      </c>
      <c r="I59" s="131" t="s">
        <v>747</v>
      </c>
      <c r="J59" s="309" t="s">
        <v>722</v>
      </c>
      <c r="K59" s="131">
        <v>4048</v>
      </c>
      <c r="L59" s="309">
        <v>319.64999999999998</v>
      </c>
      <c r="W59" s="309"/>
    </row>
    <row r="60" spans="1:23" x14ac:dyDescent="0.2">
      <c r="A60" s="131"/>
      <c r="B60" s="313">
        <v>44986</v>
      </c>
      <c r="C60" s="131">
        <v>4448</v>
      </c>
      <c r="D60" s="131">
        <v>51080</v>
      </c>
      <c r="E60" s="314">
        <v>11.483812949640289</v>
      </c>
      <c r="F60" s="131">
        <v>74.278465152701642</v>
      </c>
      <c r="G60" s="131">
        <v>1</v>
      </c>
      <c r="H60" s="315">
        <v>853</v>
      </c>
      <c r="I60" s="131" t="s">
        <v>747</v>
      </c>
      <c r="J60" s="309" t="s">
        <v>722</v>
      </c>
      <c r="K60" s="131">
        <v>4448</v>
      </c>
      <c r="L60" s="309">
        <v>170.60000000000002</v>
      </c>
      <c r="W60" s="309"/>
    </row>
    <row r="61" spans="1:23" x14ac:dyDescent="0.2">
      <c r="A61" s="131" t="s">
        <v>1077</v>
      </c>
      <c r="B61" s="311"/>
      <c r="C61" s="131">
        <v>24824</v>
      </c>
      <c r="D61" s="131">
        <v>253950</v>
      </c>
      <c r="E61" s="314">
        <v>10.230019336126329</v>
      </c>
      <c r="F61" s="131">
        <v>656.49924788344163</v>
      </c>
      <c r="G61" s="131">
        <v>7</v>
      </c>
      <c r="H61" s="315">
        <v>6716</v>
      </c>
      <c r="I61" s="131" t="s">
        <v>747</v>
      </c>
      <c r="J61" s="309" t="s">
        <v>722</v>
      </c>
      <c r="K61" s="131">
        <v>24824</v>
      </c>
      <c r="L61" s="309">
        <v>1183.94</v>
      </c>
      <c r="W61" s="309"/>
    </row>
    <row r="62" spans="1:23" x14ac:dyDescent="0.2">
      <c r="A62" s="131" t="s">
        <v>89</v>
      </c>
      <c r="B62" s="313">
        <v>44501</v>
      </c>
      <c r="C62" s="131">
        <v>3981</v>
      </c>
      <c r="D62" s="131">
        <v>302845</v>
      </c>
      <c r="E62" s="314">
        <v>76.072594825420751</v>
      </c>
      <c r="F62" s="131">
        <v>175.2405058693391</v>
      </c>
      <c r="G62" s="131">
        <v>1</v>
      </c>
      <c r="H62" s="315">
        <v>13331</v>
      </c>
      <c r="I62" s="131" t="s">
        <v>751</v>
      </c>
      <c r="J62" s="309" t="s">
        <v>722</v>
      </c>
      <c r="K62" s="131">
        <v>3980.333333333333</v>
      </c>
      <c r="L62" s="309">
        <v>2932.8199999999997</v>
      </c>
      <c r="W62" s="309"/>
    </row>
    <row r="63" spans="1:23" x14ac:dyDescent="0.2">
      <c r="A63" s="131"/>
      <c r="B63" s="313">
        <v>44531</v>
      </c>
      <c r="C63" s="131">
        <v>2176</v>
      </c>
      <c r="D63" s="131">
        <v>194375.5</v>
      </c>
      <c r="E63" s="314">
        <v>89.326976102941174</v>
      </c>
      <c r="F63" s="131">
        <v>-94.098114217069536</v>
      </c>
      <c r="G63" s="131">
        <v>1</v>
      </c>
      <c r="H63" s="315">
        <v>-8405.5</v>
      </c>
      <c r="I63" s="131" t="s">
        <v>751</v>
      </c>
      <c r="J63" s="309" t="s">
        <v>722</v>
      </c>
      <c r="K63" s="131">
        <v>2176</v>
      </c>
      <c r="L63" s="309">
        <v>-1849.21</v>
      </c>
      <c r="W63" s="309"/>
    </row>
    <row r="64" spans="1:23" x14ac:dyDescent="0.2">
      <c r="A64" s="131"/>
      <c r="B64" s="313">
        <v>44562</v>
      </c>
      <c r="C64" s="131">
        <v>1163</v>
      </c>
      <c r="D64" s="131">
        <v>115506.75</v>
      </c>
      <c r="E64" s="314">
        <v>99.317927773000861</v>
      </c>
      <c r="F64" s="131">
        <v>-14.649923056444752</v>
      </c>
      <c r="G64" s="131">
        <v>1</v>
      </c>
      <c r="H64" s="315">
        <v>-1455</v>
      </c>
      <c r="I64" s="131" t="s">
        <v>751</v>
      </c>
      <c r="J64" s="309" t="s">
        <v>722</v>
      </c>
      <c r="K64" s="131">
        <v>1163</v>
      </c>
      <c r="L64" s="309">
        <v>-320.10000000000002</v>
      </c>
      <c r="W64" s="309"/>
    </row>
    <row r="65" spans="1:23" x14ac:dyDescent="0.2">
      <c r="A65" s="131"/>
      <c r="B65" s="313">
        <v>44593</v>
      </c>
      <c r="C65" s="131">
        <v>2740</v>
      </c>
      <c r="D65" s="131">
        <v>270405</v>
      </c>
      <c r="E65" s="314">
        <v>98.68795620437956</v>
      </c>
      <c r="F65" s="131">
        <v>165.72437639836542</v>
      </c>
      <c r="G65" s="131">
        <v>1</v>
      </c>
      <c r="H65" s="315">
        <v>16355</v>
      </c>
      <c r="I65" s="131" t="s">
        <v>751</v>
      </c>
      <c r="J65" s="309" t="s">
        <v>722</v>
      </c>
      <c r="K65" s="131">
        <v>2740</v>
      </c>
      <c r="L65" s="309">
        <v>3598.1</v>
      </c>
      <c r="W65" s="309"/>
    </row>
    <row r="66" spans="1:23" x14ac:dyDescent="0.2">
      <c r="A66" s="131"/>
      <c r="B66" s="313">
        <v>44621</v>
      </c>
      <c r="C66" s="131">
        <v>3</v>
      </c>
      <c r="D66" s="131">
        <v>225</v>
      </c>
      <c r="E66" s="314">
        <v>75</v>
      </c>
      <c r="F66" s="131">
        <v>1.6666666666666667</v>
      </c>
      <c r="G66" s="131">
        <v>1</v>
      </c>
      <c r="H66" s="315">
        <v>125</v>
      </c>
      <c r="I66" s="131" t="s">
        <v>751</v>
      </c>
      <c r="J66" s="309" t="s">
        <v>722</v>
      </c>
      <c r="K66" s="131">
        <v>3</v>
      </c>
      <c r="L66" s="309">
        <v>27.5</v>
      </c>
      <c r="W66" s="309"/>
    </row>
    <row r="67" spans="1:23" x14ac:dyDescent="0.2">
      <c r="A67" s="131"/>
      <c r="B67" s="313">
        <v>44682</v>
      </c>
      <c r="C67" s="131">
        <v>2106</v>
      </c>
      <c r="D67" s="131">
        <v>201000</v>
      </c>
      <c r="E67" s="314">
        <v>95.441595441595439</v>
      </c>
      <c r="F67" s="131">
        <v>9.7546567164179105</v>
      </c>
      <c r="G67" s="131">
        <v>1</v>
      </c>
      <c r="H67" s="315">
        <v>931</v>
      </c>
      <c r="I67" s="131" t="s">
        <v>751</v>
      </c>
      <c r="J67" s="309" t="s">
        <v>722</v>
      </c>
      <c r="K67" s="131">
        <v>2106</v>
      </c>
      <c r="L67" s="309">
        <v>204.82</v>
      </c>
      <c r="W67" s="309"/>
    </row>
    <row r="68" spans="1:23" x14ac:dyDescent="0.2">
      <c r="A68" s="131"/>
      <c r="B68" s="313">
        <v>44713</v>
      </c>
      <c r="C68" s="131">
        <v>2052</v>
      </c>
      <c r="D68" s="131">
        <v>192600</v>
      </c>
      <c r="E68" s="314">
        <v>93.859649122807014</v>
      </c>
      <c r="F68" s="131">
        <v>2.6635514018691588</v>
      </c>
      <c r="G68" s="131">
        <v>1</v>
      </c>
      <c r="H68" s="315">
        <v>250</v>
      </c>
      <c r="I68" s="131" t="s">
        <v>751</v>
      </c>
      <c r="J68" s="309" t="s">
        <v>722</v>
      </c>
      <c r="K68" s="131">
        <v>2052</v>
      </c>
      <c r="L68" s="309">
        <v>55</v>
      </c>
      <c r="W68" s="309"/>
    </row>
    <row r="69" spans="1:23" x14ac:dyDescent="0.2">
      <c r="A69" s="131"/>
      <c r="B69" s="313">
        <v>44743</v>
      </c>
      <c r="C69" s="131">
        <v>3010</v>
      </c>
      <c r="D69" s="131">
        <v>150560</v>
      </c>
      <c r="E69" s="314">
        <v>50.019933554817278</v>
      </c>
      <c r="F69" s="131">
        <v>-18.492627523910734</v>
      </c>
      <c r="G69" s="131">
        <v>1</v>
      </c>
      <c r="H69" s="315">
        <v>-925</v>
      </c>
      <c r="I69" s="131" t="s">
        <v>751</v>
      </c>
      <c r="J69" s="309" t="s">
        <v>722</v>
      </c>
      <c r="K69" s="131">
        <v>3010</v>
      </c>
      <c r="L69" s="309">
        <v>-240.49999999999997</v>
      </c>
      <c r="W69" s="309"/>
    </row>
    <row r="70" spans="1:23" x14ac:dyDescent="0.2">
      <c r="A70" s="131"/>
      <c r="B70" s="313">
        <v>44774</v>
      </c>
      <c r="C70" s="131">
        <v>3212</v>
      </c>
      <c r="D70" s="131">
        <v>160230</v>
      </c>
      <c r="E70" s="314">
        <v>49.884806973848072</v>
      </c>
      <c r="F70" s="131">
        <v>-25.759345940210945</v>
      </c>
      <c r="G70" s="131">
        <v>1</v>
      </c>
      <c r="H70" s="315">
        <v>-1285</v>
      </c>
      <c r="I70" s="131" t="s">
        <v>751</v>
      </c>
      <c r="J70" s="309" t="s">
        <v>722</v>
      </c>
      <c r="K70" s="131">
        <v>3210.6666666666665</v>
      </c>
      <c r="L70" s="309">
        <v>-334.09999999999997</v>
      </c>
      <c r="W70" s="309"/>
    </row>
    <row r="71" spans="1:23" x14ac:dyDescent="0.2">
      <c r="A71" s="131"/>
      <c r="B71" s="313">
        <v>44805</v>
      </c>
      <c r="C71" s="131">
        <v>6167</v>
      </c>
      <c r="D71" s="131">
        <v>304200</v>
      </c>
      <c r="E71" s="314">
        <v>49.327063401978272</v>
      </c>
      <c r="F71" s="131">
        <v>-129.23939842209072</v>
      </c>
      <c r="G71" s="131">
        <v>1</v>
      </c>
      <c r="H71" s="315">
        <v>-6375</v>
      </c>
      <c r="I71" s="131" t="s">
        <v>751</v>
      </c>
      <c r="J71" s="309" t="s">
        <v>722</v>
      </c>
      <c r="K71" s="131">
        <v>6167</v>
      </c>
      <c r="L71" s="309">
        <v>-1657.5</v>
      </c>
      <c r="W71" s="309"/>
    </row>
    <row r="72" spans="1:23" x14ac:dyDescent="0.2">
      <c r="A72" s="131"/>
      <c r="B72" s="313">
        <v>44835</v>
      </c>
      <c r="C72" s="131">
        <v>3303</v>
      </c>
      <c r="D72" s="131">
        <v>161425</v>
      </c>
      <c r="E72" s="314">
        <v>48.872237359975777</v>
      </c>
      <c r="F72" s="131">
        <v>-77.221756233544994</v>
      </c>
      <c r="G72" s="131">
        <v>1</v>
      </c>
      <c r="H72" s="315">
        <v>-3774</v>
      </c>
      <c r="I72" s="131" t="s">
        <v>751</v>
      </c>
      <c r="J72" s="309" t="s">
        <v>722</v>
      </c>
      <c r="K72" s="131">
        <v>3302.3333333333335</v>
      </c>
      <c r="L72" s="309">
        <v>-981.24</v>
      </c>
      <c r="W72" s="309"/>
    </row>
    <row r="73" spans="1:23" x14ac:dyDescent="0.2">
      <c r="A73" s="131"/>
      <c r="B73" s="313">
        <v>44866</v>
      </c>
      <c r="C73" s="131">
        <v>3007</v>
      </c>
      <c r="D73" s="131">
        <v>148775</v>
      </c>
      <c r="E73" s="314">
        <v>49.476222148320588</v>
      </c>
      <c r="F73" s="131">
        <v>5.0529322802890269</v>
      </c>
      <c r="G73" s="131">
        <v>1</v>
      </c>
      <c r="H73" s="315">
        <v>250</v>
      </c>
      <c r="I73" s="131" t="s">
        <v>751</v>
      </c>
      <c r="J73" s="309" t="s">
        <v>722</v>
      </c>
      <c r="K73" s="131">
        <v>3007</v>
      </c>
      <c r="L73" s="309">
        <v>65</v>
      </c>
      <c r="W73" s="309"/>
    </row>
    <row r="74" spans="1:23" x14ac:dyDescent="0.2">
      <c r="A74" s="131"/>
      <c r="B74" s="313">
        <v>44896</v>
      </c>
      <c r="C74" s="131">
        <v>954</v>
      </c>
      <c r="D74" s="131">
        <v>39445</v>
      </c>
      <c r="E74" s="314">
        <v>41.346960167714883</v>
      </c>
      <c r="F74" s="131">
        <v>154.59419444796552</v>
      </c>
      <c r="G74" s="131">
        <v>1</v>
      </c>
      <c r="H74" s="315">
        <v>6392</v>
      </c>
      <c r="I74" s="131" t="s">
        <v>751</v>
      </c>
      <c r="J74" s="309" t="s">
        <v>722</v>
      </c>
      <c r="K74" s="131">
        <v>954</v>
      </c>
      <c r="L74" s="309">
        <v>1406.24</v>
      </c>
      <c r="W74" s="309"/>
    </row>
    <row r="75" spans="1:23" x14ac:dyDescent="0.2">
      <c r="A75" s="131"/>
      <c r="B75" s="313">
        <v>44927</v>
      </c>
      <c r="C75" s="131">
        <v>2227</v>
      </c>
      <c r="D75" s="131">
        <v>110960</v>
      </c>
      <c r="E75" s="314">
        <v>49.824876515491695</v>
      </c>
      <c r="F75" s="131">
        <v>-57.963013698630135</v>
      </c>
      <c r="G75" s="131">
        <v>1</v>
      </c>
      <c r="H75" s="315">
        <v>-2888</v>
      </c>
      <c r="I75" s="131" t="s">
        <v>751</v>
      </c>
      <c r="J75" s="309" t="s">
        <v>722</v>
      </c>
      <c r="K75" s="131">
        <v>2227</v>
      </c>
      <c r="L75" s="309">
        <v>-750.88000000000011</v>
      </c>
      <c r="W75" s="309"/>
    </row>
    <row r="76" spans="1:23" x14ac:dyDescent="0.2">
      <c r="A76" s="131"/>
      <c r="B76" s="313">
        <v>44958</v>
      </c>
      <c r="C76" s="131">
        <v>4346</v>
      </c>
      <c r="D76" s="131">
        <v>217165</v>
      </c>
      <c r="E76" s="314">
        <v>49.968936953520476</v>
      </c>
      <c r="F76" s="131">
        <v>38.724057744111619</v>
      </c>
      <c r="G76" s="131">
        <v>1</v>
      </c>
      <c r="H76" s="315">
        <v>1935</v>
      </c>
      <c r="I76" s="131" t="s">
        <v>751</v>
      </c>
      <c r="J76" s="309" t="s">
        <v>722</v>
      </c>
      <c r="K76" s="131">
        <v>4345.333333333333</v>
      </c>
      <c r="L76" s="309">
        <v>503.1</v>
      </c>
      <c r="W76" s="309"/>
    </row>
    <row r="77" spans="1:23" x14ac:dyDescent="0.2">
      <c r="A77" s="131"/>
      <c r="B77" s="313">
        <v>44986</v>
      </c>
      <c r="C77" s="131">
        <v>1243</v>
      </c>
      <c r="D77" s="131">
        <v>35350</v>
      </c>
      <c r="E77" s="314">
        <v>28.439259855189057</v>
      </c>
      <c r="F77" s="131">
        <v>193.35946251768036</v>
      </c>
      <c r="G77" s="131">
        <v>1</v>
      </c>
      <c r="H77" s="315">
        <v>5499</v>
      </c>
      <c r="I77" s="131" t="s">
        <v>751</v>
      </c>
      <c r="J77" s="309" t="s">
        <v>722</v>
      </c>
      <c r="K77" s="131">
        <v>908</v>
      </c>
      <c r="L77" s="309">
        <v>1651.404</v>
      </c>
      <c r="W77" s="309"/>
    </row>
    <row r="78" spans="1:23" x14ac:dyDescent="0.2">
      <c r="A78" s="131" t="s">
        <v>1048</v>
      </c>
      <c r="B78" s="311"/>
      <c r="C78" s="131">
        <v>41690</v>
      </c>
      <c r="D78" s="131">
        <v>2605067.25</v>
      </c>
      <c r="E78" s="314">
        <v>62.486621491964499</v>
      </c>
      <c r="F78" s="131">
        <v>319.43637731425167</v>
      </c>
      <c r="G78" s="131">
        <v>16</v>
      </c>
      <c r="H78" s="315">
        <v>19960.5</v>
      </c>
      <c r="I78" s="131" t="s">
        <v>751</v>
      </c>
      <c r="J78" s="309" t="s">
        <v>722</v>
      </c>
      <c r="K78" s="131">
        <v>41351.666666666664</v>
      </c>
      <c r="L78" s="309">
        <v>4310.4539999999997</v>
      </c>
      <c r="W78" s="309"/>
    </row>
    <row r="79" spans="1:23" x14ac:dyDescent="0.2">
      <c r="A79" s="131" t="s">
        <v>145</v>
      </c>
      <c r="B79" s="313">
        <v>44682</v>
      </c>
      <c r="C79" s="309">
        <v>1774</v>
      </c>
      <c r="D79" s="131">
        <v>291700</v>
      </c>
      <c r="E79" s="314">
        <v>164.43066516347238</v>
      </c>
      <c r="F79" s="131">
        <v>64.288495029139526</v>
      </c>
      <c r="G79" s="131">
        <v>1</v>
      </c>
      <c r="H79" s="315">
        <v>10571</v>
      </c>
      <c r="I79" s="131" t="s">
        <v>146</v>
      </c>
      <c r="J79" s="309" t="s">
        <v>147</v>
      </c>
      <c r="K79" s="131">
        <v>883.33333333333326</v>
      </c>
      <c r="L79" s="309">
        <v>2642.75</v>
      </c>
      <c r="W79" s="309"/>
    </row>
    <row r="80" spans="1:23" x14ac:dyDescent="0.2">
      <c r="A80" s="131"/>
      <c r="B80" s="313">
        <v>44713</v>
      </c>
      <c r="C80" s="309">
        <v>0</v>
      </c>
      <c r="D80" s="131">
        <v>0</v>
      </c>
      <c r="E80" s="314" t="e">
        <v>#DIV/0!</v>
      </c>
      <c r="F80" s="131" t="e">
        <v>#DIV/0!</v>
      </c>
      <c r="G80" s="131">
        <v>1</v>
      </c>
      <c r="H80" s="315">
        <v>0</v>
      </c>
      <c r="I80" s="131" t="s">
        <v>146</v>
      </c>
      <c r="J80" s="309" t="s">
        <v>147</v>
      </c>
      <c r="K80" s="309">
        <v>0</v>
      </c>
      <c r="L80" s="309">
        <v>0</v>
      </c>
      <c r="W80" s="309"/>
    </row>
    <row r="81" spans="1:23" x14ac:dyDescent="0.2">
      <c r="A81" s="131"/>
      <c r="B81" s="313">
        <v>44743</v>
      </c>
      <c r="C81" s="309">
        <v>6123</v>
      </c>
      <c r="D81" s="131">
        <v>878550</v>
      </c>
      <c r="E81" s="314">
        <v>143.48358647721705</v>
      </c>
      <c r="F81" s="131">
        <v>105.70547037732628</v>
      </c>
      <c r="G81" s="131">
        <v>1</v>
      </c>
      <c r="H81" s="315">
        <v>15167</v>
      </c>
      <c r="I81" s="131" t="s">
        <v>146</v>
      </c>
      <c r="J81" s="309" t="s">
        <v>147</v>
      </c>
      <c r="K81" s="131">
        <v>2745.666666666667</v>
      </c>
      <c r="L81" s="309">
        <v>3791.75</v>
      </c>
      <c r="W81" s="309"/>
    </row>
    <row r="82" spans="1:23" x14ac:dyDescent="0.2">
      <c r="A82" s="131"/>
      <c r="B82" s="313">
        <v>44774</v>
      </c>
      <c r="C82" s="309">
        <v>4756</v>
      </c>
      <c r="D82" s="131">
        <v>879400</v>
      </c>
      <c r="E82" s="314">
        <v>184.90328006728342</v>
      </c>
      <c r="F82" s="131">
        <v>117.90488514896521</v>
      </c>
      <c r="G82" s="131">
        <v>1</v>
      </c>
      <c r="H82" s="315">
        <v>21801</v>
      </c>
      <c r="I82" s="131" t="s">
        <v>146</v>
      </c>
      <c r="J82" s="309" t="s">
        <v>147</v>
      </c>
      <c r="K82" s="131">
        <v>2566.666666666667</v>
      </c>
      <c r="L82" s="309">
        <v>5450.25</v>
      </c>
      <c r="W82" s="309"/>
    </row>
    <row r="83" spans="1:23" x14ac:dyDescent="0.2">
      <c r="A83" s="131"/>
      <c r="B83" s="313">
        <v>44805</v>
      </c>
      <c r="C83" s="131">
        <v>6248</v>
      </c>
      <c r="D83" s="131">
        <v>879750</v>
      </c>
      <c r="E83" s="314">
        <v>140.8050576184379</v>
      </c>
      <c r="F83" s="131">
        <v>159.04258255186133</v>
      </c>
      <c r="G83" s="131">
        <v>1</v>
      </c>
      <c r="H83" s="315">
        <v>22394</v>
      </c>
      <c r="I83" s="131" t="s">
        <v>146</v>
      </c>
      <c r="J83" s="309" t="s">
        <v>147</v>
      </c>
      <c r="K83" s="131">
        <v>2905.3333333333335</v>
      </c>
      <c r="L83" s="309">
        <v>5598.5</v>
      </c>
      <c r="W83" s="309"/>
    </row>
    <row r="84" spans="1:23" x14ac:dyDescent="0.2">
      <c r="A84" s="131"/>
      <c r="B84" s="313">
        <v>44835</v>
      </c>
      <c r="C84" s="131">
        <v>5417</v>
      </c>
      <c r="D84" s="131">
        <v>879350</v>
      </c>
      <c r="E84" s="314">
        <v>162.33154882776444</v>
      </c>
      <c r="F84" s="131">
        <v>68.655785523397967</v>
      </c>
      <c r="G84" s="131">
        <v>1</v>
      </c>
      <c r="H84" s="315">
        <v>11145</v>
      </c>
      <c r="I84" s="131" t="s">
        <v>146</v>
      </c>
      <c r="J84" s="309" t="s">
        <v>147</v>
      </c>
      <c r="K84" s="131">
        <v>2495.666666666667</v>
      </c>
      <c r="L84" s="309">
        <v>2786.25</v>
      </c>
      <c r="W84" s="309"/>
    </row>
    <row r="85" spans="1:23" x14ac:dyDescent="0.2">
      <c r="A85" s="131"/>
      <c r="B85" s="313">
        <v>44866</v>
      </c>
      <c r="C85" s="309">
        <v>4396</v>
      </c>
      <c r="D85" s="131">
        <v>879000</v>
      </c>
      <c r="E85" s="314">
        <v>199.95450409463149</v>
      </c>
      <c r="F85" s="131">
        <v>-3.8958862343572238</v>
      </c>
      <c r="G85" s="131">
        <v>1</v>
      </c>
      <c r="H85" s="315">
        <v>-779</v>
      </c>
      <c r="I85" s="131" t="s">
        <v>146</v>
      </c>
      <c r="J85" s="309" t="s">
        <v>147</v>
      </c>
      <c r="K85" s="131">
        <v>2027.9999999999998</v>
      </c>
      <c r="L85" s="309">
        <v>-741.25</v>
      </c>
      <c r="W85" s="309"/>
    </row>
    <row r="86" spans="1:23" x14ac:dyDescent="0.2">
      <c r="A86" s="131"/>
      <c r="B86" s="313">
        <v>44896</v>
      </c>
      <c r="C86" s="131">
        <v>5067</v>
      </c>
      <c r="D86" s="131">
        <v>1022500</v>
      </c>
      <c r="E86" s="314">
        <v>201.79593447799488</v>
      </c>
      <c r="F86" s="131">
        <v>-103.88712762836185</v>
      </c>
      <c r="G86" s="131">
        <v>1</v>
      </c>
      <c r="H86" s="315">
        <v>-20964</v>
      </c>
      <c r="I86" s="131" t="s">
        <v>146</v>
      </c>
      <c r="J86" s="309" t="s">
        <v>147</v>
      </c>
      <c r="K86" s="131">
        <v>2421.6666666666665</v>
      </c>
      <c r="L86" s="309">
        <v>-5241</v>
      </c>
      <c r="W86" s="309"/>
    </row>
    <row r="87" spans="1:23" x14ac:dyDescent="0.2">
      <c r="A87" s="131"/>
      <c r="B87" s="313">
        <v>44927</v>
      </c>
      <c r="C87" s="131">
        <v>11504</v>
      </c>
      <c r="D87" s="131">
        <v>1697550</v>
      </c>
      <c r="E87" s="314">
        <v>147.5617176634214</v>
      </c>
      <c r="F87" s="131">
        <v>377.15066537068134</v>
      </c>
      <c r="G87" s="131">
        <v>1</v>
      </c>
      <c r="H87" s="315">
        <v>55653</v>
      </c>
      <c r="I87" s="131" t="s">
        <v>146</v>
      </c>
      <c r="J87" s="309" t="s">
        <v>147</v>
      </c>
      <c r="K87" s="131">
        <v>5091.333333333333</v>
      </c>
      <c r="L87" s="309">
        <v>13913.25</v>
      </c>
      <c r="W87" s="309"/>
    </row>
    <row r="88" spans="1:23" x14ac:dyDescent="0.2">
      <c r="A88" s="131"/>
      <c r="B88" s="313">
        <v>44958</v>
      </c>
      <c r="C88" s="131">
        <v>12262</v>
      </c>
      <c r="D88" s="131">
        <v>1302550</v>
      </c>
      <c r="E88" s="314">
        <v>106.22655358016637</v>
      </c>
      <c r="F88" s="131">
        <v>154.73532225250472</v>
      </c>
      <c r="G88" s="131">
        <v>1</v>
      </c>
      <c r="H88" s="315">
        <v>16437</v>
      </c>
      <c r="I88" s="131" t="s">
        <v>146</v>
      </c>
      <c r="J88" s="309" t="s">
        <v>147</v>
      </c>
      <c r="K88" s="131">
        <v>4490.6666666666661</v>
      </c>
      <c r="L88" s="309">
        <v>4109.25</v>
      </c>
      <c r="W88" s="309"/>
    </row>
    <row r="89" spans="1:23" x14ac:dyDescent="0.2">
      <c r="A89" s="131" t="s">
        <v>1078</v>
      </c>
      <c r="B89" s="311"/>
      <c r="C89" s="309">
        <v>57547</v>
      </c>
      <c r="D89" s="131">
        <v>8710350</v>
      </c>
      <c r="E89" s="314">
        <v>151.36062696578449</v>
      </c>
      <c r="F89" s="131">
        <v>868.2905365456038</v>
      </c>
      <c r="G89" s="131">
        <v>10</v>
      </c>
      <c r="H89" s="315">
        <v>131425</v>
      </c>
      <c r="I89" s="131" t="s">
        <v>146</v>
      </c>
      <c r="J89" s="309" t="s">
        <v>147</v>
      </c>
      <c r="K89" s="131">
        <v>25628.333333333336</v>
      </c>
      <c r="L89" s="309">
        <v>32309.75</v>
      </c>
      <c r="W89" s="309"/>
    </row>
    <row r="90" spans="1:23" x14ac:dyDescent="0.2">
      <c r="A90" s="131" t="s">
        <v>155</v>
      </c>
      <c r="B90" s="313">
        <v>44652</v>
      </c>
      <c r="C90" s="131">
        <v>2906</v>
      </c>
      <c r="D90" s="131">
        <v>29060</v>
      </c>
      <c r="E90" s="314">
        <v>10</v>
      </c>
      <c r="F90" s="131">
        <v>159.80000000000001</v>
      </c>
      <c r="G90" s="131">
        <v>1</v>
      </c>
      <c r="H90" s="315">
        <v>1598</v>
      </c>
      <c r="I90" s="131" t="s">
        <v>720</v>
      </c>
      <c r="J90" s="309" t="s">
        <v>722</v>
      </c>
      <c r="K90" s="131">
        <v>2906</v>
      </c>
      <c r="L90" s="309">
        <v>272</v>
      </c>
      <c r="W90" s="309"/>
    </row>
    <row r="91" spans="1:23" x14ac:dyDescent="0.2">
      <c r="A91" s="131"/>
      <c r="B91" s="313">
        <v>44682</v>
      </c>
      <c r="C91" s="131">
        <v>4151</v>
      </c>
      <c r="D91" s="131">
        <v>40905</v>
      </c>
      <c r="E91" s="314">
        <v>9.8542519874728978</v>
      </c>
      <c r="F91" s="131">
        <v>31.357022368903557</v>
      </c>
      <c r="G91" s="131">
        <v>1</v>
      </c>
      <c r="H91" s="315">
        <v>309</v>
      </c>
      <c r="I91" s="131" t="s">
        <v>720</v>
      </c>
      <c r="J91" s="309" t="s">
        <v>722</v>
      </c>
      <c r="K91" s="131">
        <v>2266.3333333333335</v>
      </c>
      <c r="L91" s="309">
        <v>94</v>
      </c>
      <c r="W91" s="309"/>
    </row>
    <row r="92" spans="1:23" x14ac:dyDescent="0.2">
      <c r="A92" s="131"/>
      <c r="B92" s="313">
        <v>44713</v>
      </c>
      <c r="C92" s="131">
        <v>2164</v>
      </c>
      <c r="D92" s="131">
        <v>20070</v>
      </c>
      <c r="E92" s="314">
        <v>9.2744916820702397</v>
      </c>
      <c r="F92" s="131">
        <v>167.12506228201298</v>
      </c>
      <c r="G92" s="131">
        <v>1</v>
      </c>
      <c r="H92" s="315">
        <v>1550</v>
      </c>
      <c r="I92" s="131" t="s">
        <v>720</v>
      </c>
      <c r="J92" s="309" t="s">
        <v>722</v>
      </c>
      <c r="K92" s="131">
        <v>2164</v>
      </c>
      <c r="L92" s="309">
        <v>267</v>
      </c>
      <c r="W92" s="309"/>
    </row>
    <row r="93" spans="1:23" x14ac:dyDescent="0.2">
      <c r="A93" s="131"/>
      <c r="B93" s="313">
        <v>44743</v>
      </c>
      <c r="C93" s="131">
        <v>1661</v>
      </c>
      <c r="D93" s="131">
        <v>14620</v>
      </c>
      <c r="E93" s="314">
        <v>8.8019265502709203</v>
      </c>
      <c r="F93" s="131">
        <v>90.321135430916556</v>
      </c>
      <c r="G93" s="131">
        <v>1</v>
      </c>
      <c r="H93" s="315">
        <v>795</v>
      </c>
      <c r="I93" s="131" t="s">
        <v>720</v>
      </c>
      <c r="J93" s="309" t="s">
        <v>722</v>
      </c>
      <c r="K93" s="131">
        <v>1661</v>
      </c>
      <c r="L93" s="309">
        <v>135</v>
      </c>
      <c r="W93" s="309"/>
    </row>
    <row r="94" spans="1:23" x14ac:dyDescent="0.2">
      <c r="A94" s="131"/>
      <c r="B94" s="313">
        <v>44774</v>
      </c>
      <c r="C94" s="131">
        <v>2047</v>
      </c>
      <c r="D94" s="131">
        <v>19555</v>
      </c>
      <c r="E94" s="314">
        <v>9.553004396678066</v>
      </c>
      <c r="F94" s="131">
        <v>126.03364868320122</v>
      </c>
      <c r="G94" s="131">
        <v>1</v>
      </c>
      <c r="H94" s="315">
        <v>1204</v>
      </c>
      <c r="I94" s="131" t="s">
        <v>720</v>
      </c>
      <c r="J94" s="309" t="s">
        <v>722</v>
      </c>
      <c r="K94" s="131">
        <v>2047</v>
      </c>
      <c r="L94" s="309">
        <v>205</v>
      </c>
      <c r="W94" s="309"/>
    </row>
    <row r="95" spans="1:23" x14ac:dyDescent="0.2">
      <c r="A95" s="131"/>
      <c r="B95" s="313">
        <v>44805</v>
      </c>
      <c r="C95" s="131">
        <v>4074</v>
      </c>
      <c r="D95" s="131">
        <v>43525</v>
      </c>
      <c r="E95" s="314">
        <v>10.683603338242513</v>
      </c>
      <c r="F95" s="131">
        <v>91.822952326249293</v>
      </c>
      <c r="G95" s="131">
        <v>1</v>
      </c>
      <c r="H95" s="315">
        <v>981</v>
      </c>
      <c r="I95" s="131" t="s">
        <v>720</v>
      </c>
      <c r="J95" s="309" t="s">
        <v>722</v>
      </c>
      <c r="K95" s="131">
        <v>4074</v>
      </c>
      <c r="L95" s="309">
        <v>233</v>
      </c>
      <c r="W95" s="309"/>
    </row>
    <row r="96" spans="1:23" x14ac:dyDescent="0.2">
      <c r="A96" s="131"/>
      <c r="B96" s="313">
        <v>44835</v>
      </c>
      <c r="C96" s="131">
        <v>5157</v>
      </c>
      <c r="D96" s="131">
        <v>51570</v>
      </c>
      <c r="E96" s="314">
        <v>10</v>
      </c>
      <c r="F96" s="131">
        <v>134</v>
      </c>
      <c r="G96" s="131">
        <v>1</v>
      </c>
      <c r="H96" s="315">
        <v>1340</v>
      </c>
      <c r="I96" s="131" t="s">
        <v>720</v>
      </c>
      <c r="J96" s="309" t="s">
        <v>722</v>
      </c>
      <c r="K96" s="131">
        <v>5157</v>
      </c>
      <c r="L96" s="309">
        <v>227</v>
      </c>
      <c r="W96" s="309"/>
    </row>
    <row r="97" spans="1:23" x14ac:dyDescent="0.2">
      <c r="A97" s="131"/>
      <c r="B97" s="313">
        <v>44866</v>
      </c>
      <c r="C97" s="131">
        <v>2261</v>
      </c>
      <c r="D97" s="131">
        <v>66810</v>
      </c>
      <c r="E97" s="314">
        <v>29.548872180451127</v>
      </c>
      <c r="F97" s="131">
        <v>36.820356234096693</v>
      </c>
      <c r="G97" s="131">
        <v>1</v>
      </c>
      <c r="H97" s="315">
        <v>1088</v>
      </c>
      <c r="I97" s="131" t="s">
        <v>720</v>
      </c>
      <c r="J97" s="309" t="s">
        <v>722</v>
      </c>
      <c r="K97" s="131">
        <v>2261</v>
      </c>
      <c r="L97" s="309">
        <v>250</v>
      </c>
      <c r="W97" s="309"/>
    </row>
    <row r="98" spans="1:23" x14ac:dyDescent="0.2">
      <c r="A98" s="131"/>
      <c r="B98" s="313">
        <v>44896</v>
      </c>
      <c r="C98" s="131">
        <v>2289</v>
      </c>
      <c r="D98" s="131">
        <v>50065</v>
      </c>
      <c r="E98" s="314">
        <v>21.871996505024029</v>
      </c>
      <c r="F98" s="131">
        <v>-37.85662638569859</v>
      </c>
      <c r="G98" s="131">
        <v>1</v>
      </c>
      <c r="H98" s="315">
        <v>-828</v>
      </c>
      <c r="I98" s="131" t="s">
        <v>720</v>
      </c>
      <c r="J98" s="309" t="s">
        <v>722</v>
      </c>
      <c r="K98" s="131">
        <v>2289</v>
      </c>
      <c r="L98" s="309">
        <v>-190</v>
      </c>
      <c r="W98" s="309"/>
    </row>
    <row r="99" spans="1:23" x14ac:dyDescent="0.2">
      <c r="A99" s="131"/>
      <c r="B99" s="313">
        <v>44927</v>
      </c>
      <c r="C99" s="131">
        <v>2684</v>
      </c>
      <c r="D99" s="131">
        <v>67326</v>
      </c>
      <c r="E99" s="314">
        <v>25.084202682563337</v>
      </c>
      <c r="F99" s="131">
        <v>73.592133796750147</v>
      </c>
      <c r="G99" s="131">
        <v>1</v>
      </c>
      <c r="H99" s="315">
        <v>1846</v>
      </c>
      <c r="I99" s="131" t="s">
        <v>720</v>
      </c>
      <c r="J99" s="309" t="s">
        <v>722</v>
      </c>
      <c r="K99" s="131">
        <v>2684</v>
      </c>
      <c r="L99" s="309">
        <v>425</v>
      </c>
      <c r="W99" s="309"/>
    </row>
    <row r="100" spans="1:23" x14ac:dyDescent="0.2">
      <c r="A100" s="131"/>
      <c r="B100" s="313">
        <v>44958</v>
      </c>
      <c r="C100" s="131">
        <v>3657</v>
      </c>
      <c r="D100" s="131">
        <v>69085</v>
      </c>
      <c r="E100" s="314">
        <v>18.891167623735303</v>
      </c>
      <c r="F100" s="131">
        <v>110.09569347036258</v>
      </c>
      <c r="G100" s="131">
        <v>1</v>
      </c>
      <c r="H100" s="315">
        <v>2079.8361999999997</v>
      </c>
      <c r="I100" s="131" t="s">
        <v>720</v>
      </c>
      <c r="J100" s="309" t="s">
        <v>722</v>
      </c>
      <c r="K100" s="131">
        <v>3657</v>
      </c>
      <c r="L100" s="309">
        <v>356.36050990180001</v>
      </c>
      <c r="W100" s="309"/>
    </row>
    <row r="101" spans="1:23" x14ac:dyDescent="0.2">
      <c r="A101" s="131" t="s">
        <v>1079</v>
      </c>
      <c r="B101" s="311"/>
      <c r="C101" s="131">
        <v>33051</v>
      </c>
      <c r="D101" s="131">
        <v>472591</v>
      </c>
      <c r="E101" s="314">
        <v>14.298841184835558</v>
      </c>
      <c r="F101" s="131">
        <v>836.62976917926915</v>
      </c>
      <c r="G101" s="131">
        <v>11</v>
      </c>
      <c r="H101" s="315">
        <v>11962.8362</v>
      </c>
      <c r="I101" s="131" t="s">
        <v>720</v>
      </c>
      <c r="J101" s="309" t="s">
        <v>722</v>
      </c>
      <c r="K101" s="131">
        <v>31166.333333333336</v>
      </c>
      <c r="L101" s="309">
        <v>2274.3605099017996</v>
      </c>
      <c r="W101" s="309"/>
    </row>
    <row r="102" spans="1:23" x14ac:dyDescent="0.2">
      <c r="A102" s="131" t="s">
        <v>156</v>
      </c>
      <c r="B102" s="313">
        <v>44896</v>
      </c>
      <c r="C102" s="131">
        <v>1272</v>
      </c>
      <c r="D102" s="131">
        <v>8357</v>
      </c>
      <c r="E102" s="314">
        <v>6.5699685534591197</v>
      </c>
      <c r="F102" s="131">
        <v>121.46176857724063</v>
      </c>
      <c r="G102" s="131">
        <v>1</v>
      </c>
      <c r="H102" s="315">
        <v>798</v>
      </c>
      <c r="I102" s="131" t="s">
        <v>720</v>
      </c>
      <c r="J102" s="309" t="s">
        <v>722</v>
      </c>
      <c r="K102" s="131">
        <v>1272</v>
      </c>
      <c r="L102" s="309">
        <v>135.66000000000003</v>
      </c>
      <c r="W102" s="309"/>
    </row>
    <row r="103" spans="1:23" x14ac:dyDescent="0.2">
      <c r="A103" s="131"/>
      <c r="B103" s="313">
        <v>44927</v>
      </c>
      <c r="C103" s="131">
        <v>3393</v>
      </c>
      <c r="D103" s="131">
        <v>25128</v>
      </c>
      <c r="E103" s="314">
        <v>7.4058355437665782</v>
      </c>
      <c r="F103" s="131">
        <v>96.410458452722068</v>
      </c>
      <c r="G103" s="131">
        <v>1</v>
      </c>
      <c r="H103" s="315">
        <v>714</v>
      </c>
      <c r="I103" s="131" t="s">
        <v>720</v>
      </c>
      <c r="J103" s="309" t="s">
        <v>722</v>
      </c>
      <c r="K103" s="131">
        <v>3393</v>
      </c>
      <c r="L103" s="309">
        <v>164.22000000000003</v>
      </c>
      <c r="W103" s="309"/>
    </row>
    <row r="104" spans="1:23" x14ac:dyDescent="0.2">
      <c r="A104" s="131"/>
      <c r="B104" s="313">
        <v>44958</v>
      </c>
      <c r="C104" s="131">
        <v>2612</v>
      </c>
      <c r="D104" s="131">
        <v>20224</v>
      </c>
      <c r="E104" s="314">
        <v>7.7427258805513013</v>
      </c>
      <c r="F104" s="131">
        <v>230.15150316455697</v>
      </c>
      <c r="G104" s="131">
        <v>1</v>
      </c>
      <c r="H104" s="315">
        <v>1782</v>
      </c>
      <c r="I104" s="131" t="s">
        <v>720</v>
      </c>
      <c r="J104" s="309" t="s">
        <v>722</v>
      </c>
      <c r="K104" s="131">
        <v>2612</v>
      </c>
      <c r="L104" s="309">
        <v>302.94</v>
      </c>
      <c r="W104" s="309"/>
    </row>
    <row r="105" spans="1:23" x14ac:dyDescent="0.2">
      <c r="A105" s="131"/>
      <c r="B105" s="313">
        <v>44986</v>
      </c>
      <c r="C105" s="131">
        <v>3051</v>
      </c>
      <c r="D105" s="131">
        <v>24251</v>
      </c>
      <c r="E105" s="314">
        <v>7.9485414618157977</v>
      </c>
      <c r="F105" s="131">
        <v>140.78054513215952</v>
      </c>
      <c r="G105" s="131">
        <v>1</v>
      </c>
      <c r="H105" s="315">
        <v>1119</v>
      </c>
      <c r="I105" s="131" t="s">
        <v>720</v>
      </c>
      <c r="J105" s="309" t="s">
        <v>722</v>
      </c>
      <c r="K105" s="131">
        <v>3051</v>
      </c>
      <c r="L105" s="309">
        <v>190.23000000000002</v>
      </c>
      <c r="W105" s="309"/>
    </row>
    <row r="106" spans="1:23" x14ac:dyDescent="0.2">
      <c r="A106" s="131" t="s">
        <v>1080</v>
      </c>
      <c r="B106" s="311"/>
      <c r="C106" s="131">
        <v>10328</v>
      </c>
      <c r="D106" s="131">
        <v>77960</v>
      </c>
      <c r="E106" s="314">
        <v>7.5484120836560802</v>
      </c>
      <c r="F106" s="131">
        <v>584.62626988199077</v>
      </c>
      <c r="G106" s="131">
        <v>4</v>
      </c>
      <c r="H106" s="315">
        <v>4413</v>
      </c>
      <c r="I106" s="131" t="s">
        <v>720</v>
      </c>
      <c r="J106" s="309" t="s">
        <v>722</v>
      </c>
      <c r="K106" s="131">
        <v>10328</v>
      </c>
      <c r="L106" s="309">
        <v>793.05000000000007</v>
      </c>
      <c r="W106" s="309"/>
    </row>
    <row r="107" spans="1:23" x14ac:dyDescent="0.2">
      <c r="A107" s="131" t="s">
        <v>125</v>
      </c>
      <c r="B107" s="313">
        <v>44621</v>
      </c>
      <c r="C107" s="131">
        <v>739</v>
      </c>
      <c r="D107" s="131">
        <v>6940</v>
      </c>
      <c r="E107" s="314">
        <v>9.3910690121786189</v>
      </c>
      <c r="F107" s="131">
        <v>42.3806916426513</v>
      </c>
      <c r="G107" s="131">
        <v>1</v>
      </c>
      <c r="H107" s="315">
        <v>398</v>
      </c>
      <c r="I107" s="131" t="s">
        <v>720</v>
      </c>
      <c r="J107" s="309" t="s">
        <v>722</v>
      </c>
      <c r="K107" s="131">
        <v>739</v>
      </c>
      <c r="L107" s="309">
        <v>67.660000000000011</v>
      </c>
      <c r="W107" s="309"/>
    </row>
    <row r="108" spans="1:23" x14ac:dyDescent="0.2">
      <c r="A108" s="131"/>
      <c r="B108" s="313">
        <v>44652</v>
      </c>
      <c r="C108" s="309">
        <v>1443</v>
      </c>
      <c r="D108" s="131">
        <v>13710</v>
      </c>
      <c r="E108" s="314">
        <v>9.5010395010395019</v>
      </c>
      <c r="F108" s="131">
        <v>94.831728665207862</v>
      </c>
      <c r="G108" s="131">
        <v>1</v>
      </c>
      <c r="H108" s="315">
        <v>901</v>
      </c>
      <c r="I108" s="131" t="s">
        <v>720</v>
      </c>
      <c r="J108" s="309" t="s">
        <v>722</v>
      </c>
      <c r="K108" s="131">
        <v>1443</v>
      </c>
      <c r="L108" s="309">
        <v>207.23000000000002</v>
      </c>
      <c r="W108" s="309"/>
    </row>
    <row r="109" spans="1:23" x14ac:dyDescent="0.2">
      <c r="A109" s="131"/>
      <c r="B109" s="313">
        <v>44682</v>
      </c>
      <c r="C109" s="309">
        <v>1503</v>
      </c>
      <c r="D109" s="131">
        <v>17955</v>
      </c>
      <c r="E109" s="314">
        <v>11.946107784431138</v>
      </c>
      <c r="F109" s="131">
        <v>98.944360902255639</v>
      </c>
      <c r="G109" s="131">
        <v>1</v>
      </c>
      <c r="H109" s="315">
        <v>1182</v>
      </c>
      <c r="I109" s="131" t="s">
        <v>720</v>
      </c>
      <c r="J109" s="309" t="s">
        <v>722</v>
      </c>
      <c r="K109" s="131">
        <v>1503</v>
      </c>
      <c r="L109" s="309">
        <v>271.86</v>
      </c>
      <c r="W109" s="309"/>
    </row>
    <row r="110" spans="1:23" x14ac:dyDescent="0.2">
      <c r="A110" s="131"/>
      <c r="B110" s="313">
        <v>44713</v>
      </c>
      <c r="C110" s="309">
        <v>895</v>
      </c>
      <c r="D110" s="131">
        <v>8890</v>
      </c>
      <c r="E110" s="314">
        <v>9.932960893854748</v>
      </c>
      <c r="F110" s="131">
        <v>78.72778402699663</v>
      </c>
      <c r="G110" s="131">
        <v>1</v>
      </c>
      <c r="H110" s="315">
        <v>782</v>
      </c>
      <c r="I110" s="131" t="s">
        <v>720</v>
      </c>
      <c r="J110" s="309" t="s">
        <v>722</v>
      </c>
      <c r="K110" s="131">
        <v>895</v>
      </c>
      <c r="L110" s="309">
        <v>179.86</v>
      </c>
      <c r="W110" s="309"/>
    </row>
    <row r="111" spans="1:23" x14ac:dyDescent="0.2">
      <c r="A111" s="131"/>
      <c r="B111" s="313">
        <v>44743</v>
      </c>
      <c r="C111" s="131">
        <v>2332</v>
      </c>
      <c r="D111" s="131">
        <v>22030</v>
      </c>
      <c r="E111" s="314">
        <v>9.4468267581475125</v>
      </c>
      <c r="F111" s="131">
        <v>181.11901951883794</v>
      </c>
      <c r="G111" s="131">
        <v>1</v>
      </c>
      <c r="H111" s="315">
        <v>1711</v>
      </c>
      <c r="I111" s="131" t="s">
        <v>720</v>
      </c>
      <c r="J111" s="309" t="s">
        <v>722</v>
      </c>
      <c r="K111" s="131">
        <v>2332</v>
      </c>
      <c r="L111" s="309">
        <v>290.87</v>
      </c>
      <c r="W111" s="309"/>
    </row>
    <row r="112" spans="1:23" x14ac:dyDescent="0.2">
      <c r="A112" s="131"/>
      <c r="B112" s="313">
        <v>44774</v>
      </c>
      <c r="C112" s="309">
        <v>1282</v>
      </c>
      <c r="D112" s="131">
        <v>12590</v>
      </c>
      <c r="E112" s="314">
        <v>9.8205928237129481</v>
      </c>
      <c r="F112" s="131">
        <v>28.61334392374901</v>
      </c>
      <c r="G112" s="131">
        <v>1</v>
      </c>
      <c r="H112" s="315">
        <v>281</v>
      </c>
      <c r="I112" s="131" t="s">
        <v>720</v>
      </c>
      <c r="J112" s="309" t="s">
        <v>722</v>
      </c>
      <c r="K112" s="131">
        <v>1282</v>
      </c>
      <c r="L112" s="309">
        <v>84.3</v>
      </c>
      <c r="W112" s="309"/>
    </row>
    <row r="113" spans="1:23" x14ac:dyDescent="0.2">
      <c r="A113" s="131"/>
      <c r="B113" s="313">
        <v>44805</v>
      </c>
      <c r="C113" s="131">
        <v>1546</v>
      </c>
      <c r="D113" s="131">
        <v>15275</v>
      </c>
      <c r="E113" s="314">
        <v>9.8803363518758083</v>
      </c>
      <c r="F113" s="131">
        <v>66.192078559738135</v>
      </c>
      <c r="G113" s="131">
        <v>1</v>
      </c>
      <c r="H113" s="315">
        <v>654</v>
      </c>
      <c r="I113" s="131" t="s">
        <v>720</v>
      </c>
      <c r="J113" s="309" t="s">
        <v>722</v>
      </c>
      <c r="K113" s="131">
        <v>1546</v>
      </c>
      <c r="L113" s="309">
        <v>150.41999999999999</v>
      </c>
      <c r="W113" s="309"/>
    </row>
    <row r="114" spans="1:23" x14ac:dyDescent="0.2">
      <c r="A114" s="131"/>
      <c r="B114" s="313">
        <v>44835</v>
      </c>
      <c r="C114" s="309">
        <v>779</v>
      </c>
      <c r="D114" s="131">
        <v>7625</v>
      </c>
      <c r="E114" s="314">
        <v>9.7881899871630296</v>
      </c>
      <c r="F114" s="131">
        <v>41.069901639344259</v>
      </c>
      <c r="G114" s="131">
        <v>1</v>
      </c>
      <c r="H114" s="315">
        <v>402</v>
      </c>
      <c r="I114" s="131" t="s">
        <v>720</v>
      </c>
      <c r="J114" s="309" t="s">
        <v>722</v>
      </c>
      <c r="K114" s="131">
        <v>779</v>
      </c>
      <c r="L114" s="309">
        <v>120.6</v>
      </c>
      <c r="W114" s="309"/>
    </row>
    <row r="115" spans="1:23" x14ac:dyDescent="0.2">
      <c r="A115" s="131"/>
      <c r="B115" s="313">
        <v>44866</v>
      </c>
      <c r="C115" s="309">
        <v>253</v>
      </c>
      <c r="D115" s="131">
        <v>2165</v>
      </c>
      <c r="E115" s="314">
        <v>8.5573122529644277</v>
      </c>
      <c r="F115" s="131">
        <v>22.436951501154731</v>
      </c>
      <c r="G115" s="131">
        <v>1</v>
      </c>
      <c r="H115" s="315">
        <v>192</v>
      </c>
      <c r="I115" s="131" t="s">
        <v>720</v>
      </c>
      <c r="J115" s="309" t="s">
        <v>722</v>
      </c>
      <c r="K115" s="131">
        <v>253</v>
      </c>
      <c r="L115" s="309">
        <v>57.6</v>
      </c>
      <c r="W115" s="309"/>
    </row>
    <row r="116" spans="1:23" x14ac:dyDescent="0.2">
      <c r="A116" s="131"/>
      <c r="B116" s="313">
        <v>44896</v>
      </c>
      <c r="C116" s="131">
        <v>675</v>
      </c>
      <c r="D116" s="131">
        <v>5492</v>
      </c>
      <c r="E116" s="314">
        <v>8.1362962962962957</v>
      </c>
      <c r="F116" s="131">
        <v>12.413510560815732</v>
      </c>
      <c r="G116" s="131">
        <v>1</v>
      </c>
      <c r="H116" s="315">
        <v>101</v>
      </c>
      <c r="I116" s="131" t="s">
        <v>720</v>
      </c>
      <c r="J116" s="309" t="s">
        <v>722</v>
      </c>
      <c r="K116" s="131">
        <v>675</v>
      </c>
      <c r="L116" s="309">
        <v>30.299999999999997</v>
      </c>
      <c r="W116" s="309"/>
    </row>
    <row r="117" spans="1:23" x14ac:dyDescent="0.2">
      <c r="A117" s="131"/>
      <c r="B117" s="313">
        <v>44927</v>
      </c>
      <c r="C117" s="309">
        <v>326</v>
      </c>
      <c r="D117" s="131">
        <v>3260</v>
      </c>
      <c r="E117" s="314">
        <v>10</v>
      </c>
      <c r="F117" s="131">
        <v>18.600000000000001</v>
      </c>
      <c r="G117" s="131">
        <v>1</v>
      </c>
      <c r="H117" s="315">
        <v>186</v>
      </c>
      <c r="I117" s="131" t="s">
        <v>720</v>
      </c>
      <c r="J117" s="309" t="s">
        <v>722</v>
      </c>
      <c r="K117" s="309">
        <v>326</v>
      </c>
      <c r="L117" s="309">
        <v>55.8</v>
      </c>
      <c r="W117" s="309"/>
    </row>
    <row r="118" spans="1:23" x14ac:dyDescent="0.2">
      <c r="A118" s="131"/>
      <c r="B118" s="313">
        <v>44958</v>
      </c>
      <c r="C118" s="131">
        <v>781</v>
      </c>
      <c r="D118" s="131">
        <v>6450</v>
      </c>
      <c r="E118" s="314">
        <v>8.2586427656850194</v>
      </c>
      <c r="F118" s="131">
        <v>19.373643410852711</v>
      </c>
      <c r="G118" s="131">
        <v>1</v>
      </c>
      <c r="H118" s="315">
        <v>160</v>
      </c>
      <c r="I118" s="131" t="s">
        <v>720</v>
      </c>
      <c r="J118" s="309" t="s">
        <v>722</v>
      </c>
      <c r="K118" s="131">
        <v>781</v>
      </c>
      <c r="L118" s="309">
        <v>48</v>
      </c>
      <c r="W118" s="309"/>
    </row>
    <row r="119" spans="1:23" x14ac:dyDescent="0.2">
      <c r="A119" s="131"/>
      <c r="B119" s="313">
        <v>44986</v>
      </c>
      <c r="C119" s="131">
        <v>1782</v>
      </c>
      <c r="D119" s="131">
        <v>17820</v>
      </c>
      <c r="E119" s="314">
        <v>10</v>
      </c>
      <c r="F119" s="131">
        <v>133.19999999999999</v>
      </c>
      <c r="G119" s="131">
        <v>1</v>
      </c>
      <c r="H119" s="315">
        <v>1332</v>
      </c>
      <c r="I119" s="131" t="s">
        <v>720</v>
      </c>
      <c r="J119" s="309" t="s">
        <v>722</v>
      </c>
      <c r="K119" s="131">
        <v>1781.3333333333333</v>
      </c>
      <c r="L119" s="309">
        <v>226.44000000000003</v>
      </c>
      <c r="W119" s="309"/>
    </row>
    <row r="120" spans="1:23" x14ac:dyDescent="0.2">
      <c r="A120" s="131" t="s">
        <v>1049</v>
      </c>
      <c r="B120" s="311"/>
      <c r="C120" s="131">
        <v>14336</v>
      </c>
      <c r="D120" s="131">
        <v>140202</v>
      </c>
      <c r="E120" s="314">
        <v>9.7797154017857135</v>
      </c>
      <c r="F120" s="131">
        <v>846.85490934508789</v>
      </c>
      <c r="G120" s="131">
        <v>13</v>
      </c>
      <c r="H120" s="315">
        <v>8282</v>
      </c>
      <c r="I120" s="131" t="s">
        <v>720</v>
      </c>
      <c r="J120" s="309" t="s">
        <v>722</v>
      </c>
      <c r="K120" s="131">
        <v>14335.333333333334</v>
      </c>
      <c r="L120" s="309">
        <v>1790.94</v>
      </c>
      <c r="W120" s="309"/>
    </row>
    <row r="121" spans="1:23" x14ac:dyDescent="0.2">
      <c r="A121" s="131" t="s">
        <v>157</v>
      </c>
      <c r="B121" s="313">
        <v>44682</v>
      </c>
      <c r="C121" s="131">
        <v>2218</v>
      </c>
      <c r="D121" s="131">
        <v>44295</v>
      </c>
      <c r="E121" s="314">
        <v>19.970694319206494</v>
      </c>
      <c r="F121" s="131">
        <v>151.57259690710012</v>
      </c>
      <c r="G121" s="131">
        <v>1</v>
      </c>
      <c r="H121" s="315">
        <v>3027.01</v>
      </c>
      <c r="I121" s="131" t="s">
        <v>720</v>
      </c>
      <c r="J121" s="309" t="s">
        <v>722</v>
      </c>
      <c r="K121" s="131">
        <v>2218</v>
      </c>
      <c r="L121" s="309">
        <v>541</v>
      </c>
      <c r="W121" s="309"/>
    </row>
    <row r="122" spans="1:23" x14ac:dyDescent="0.2">
      <c r="A122" s="131"/>
      <c r="B122" s="313">
        <v>44713</v>
      </c>
      <c r="C122" s="131">
        <v>2296</v>
      </c>
      <c r="D122" s="131">
        <v>50590</v>
      </c>
      <c r="E122" s="314">
        <v>22.03397212543554</v>
      </c>
      <c r="F122" s="131">
        <v>56.912117019173749</v>
      </c>
      <c r="G122" s="131">
        <v>1</v>
      </c>
      <c r="H122" s="315">
        <v>1254</v>
      </c>
      <c r="I122" s="131" t="s">
        <v>720</v>
      </c>
      <c r="J122" s="309" t="s">
        <v>722</v>
      </c>
      <c r="K122" s="131">
        <v>2296</v>
      </c>
      <c r="L122" s="309">
        <v>291</v>
      </c>
      <c r="W122" s="309"/>
    </row>
    <row r="123" spans="1:23" x14ac:dyDescent="0.2">
      <c r="A123" s="131"/>
      <c r="B123" s="313">
        <v>44743</v>
      </c>
      <c r="C123" s="131">
        <v>1683</v>
      </c>
      <c r="D123" s="131">
        <v>35595</v>
      </c>
      <c r="E123" s="314">
        <v>21.149732620320854</v>
      </c>
      <c r="F123" s="131">
        <v>55.319848293299621</v>
      </c>
      <c r="G123" s="131">
        <v>1</v>
      </c>
      <c r="H123" s="315">
        <v>1170</v>
      </c>
      <c r="I123" s="131" t="s">
        <v>720</v>
      </c>
      <c r="J123" s="309" t="s">
        <v>722</v>
      </c>
      <c r="K123" s="131">
        <v>1683</v>
      </c>
      <c r="L123" s="309">
        <v>269</v>
      </c>
      <c r="W123" s="309"/>
    </row>
    <row r="124" spans="1:23" x14ac:dyDescent="0.2">
      <c r="A124" s="131"/>
      <c r="B124" s="313">
        <v>44774</v>
      </c>
      <c r="C124" s="131">
        <v>2798</v>
      </c>
      <c r="D124" s="131">
        <v>6031500</v>
      </c>
      <c r="E124" s="314">
        <v>2155.6468906361688</v>
      </c>
      <c r="F124" s="131">
        <v>149.60722064494735</v>
      </c>
      <c r="G124" s="131">
        <v>1</v>
      </c>
      <c r="H124" s="315">
        <v>322500.33999999997</v>
      </c>
      <c r="I124" s="131" t="s">
        <v>720</v>
      </c>
      <c r="J124" s="309" t="s">
        <v>722</v>
      </c>
      <c r="K124" s="131">
        <v>2798</v>
      </c>
      <c r="L124" s="309">
        <v>801</v>
      </c>
      <c r="W124" s="309"/>
    </row>
    <row r="125" spans="1:23" x14ac:dyDescent="0.2">
      <c r="A125" s="131"/>
      <c r="B125" s="313">
        <v>44805</v>
      </c>
      <c r="C125" s="131">
        <v>1391</v>
      </c>
      <c r="D125" s="131">
        <v>4890000</v>
      </c>
      <c r="E125" s="314">
        <v>3515.4565061107119</v>
      </c>
      <c r="F125" s="131">
        <v>52.120684662576686</v>
      </c>
      <c r="G125" s="131">
        <v>1</v>
      </c>
      <c r="H125" s="315">
        <v>183228</v>
      </c>
      <c r="I125" s="131" t="s">
        <v>720</v>
      </c>
      <c r="J125" s="309" t="s">
        <v>722</v>
      </c>
      <c r="K125" s="131">
        <v>1391</v>
      </c>
      <c r="L125" s="309">
        <v>455</v>
      </c>
      <c r="W125" s="309"/>
    </row>
    <row r="126" spans="1:23" x14ac:dyDescent="0.2">
      <c r="A126" s="131"/>
      <c r="B126" s="313">
        <v>44835</v>
      </c>
      <c r="C126" s="131">
        <v>2917</v>
      </c>
      <c r="D126" s="131">
        <v>9919500</v>
      </c>
      <c r="E126" s="314">
        <v>3400.5827905382243</v>
      </c>
      <c r="F126" s="131">
        <v>118.24033842633197</v>
      </c>
      <c r="G126" s="131">
        <v>1</v>
      </c>
      <c r="H126" s="315">
        <v>402086.06</v>
      </c>
      <c r="I126" s="131" t="s">
        <v>720</v>
      </c>
      <c r="J126" s="309" t="s">
        <v>722</v>
      </c>
      <c r="K126" s="131">
        <v>2917</v>
      </c>
      <c r="L126" s="309">
        <v>1094</v>
      </c>
      <c r="W126" s="309"/>
    </row>
    <row r="127" spans="1:23" x14ac:dyDescent="0.2">
      <c r="A127" s="131"/>
      <c r="B127" s="313">
        <v>44866</v>
      </c>
      <c r="C127" s="131">
        <v>2839</v>
      </c>
      <c r="D127" s="131">
        <v>8027000</v>
      </c>
      <c r="E127" s="314">
        <v>2827.404015498415</v>
      </c>
      <c r="F127" s="131">
        <v>177.87058278310701</v>
      </c>
      <c r="G127" s="131">
        <v>1</v>
      </c>
      <c r="H127" s="315">
        <v>502912</v>
      </c>
      <c r="I127" s="131" t="s">
        <v>720</v>
      </c>
      <c r="J127" s="309" t="s">
        <v>722</v>
      </c>
      <c r="K127" s="131">
        <v>2839</v>
      </c>
      <c r="L127" s="309">
        <v>1368</v>
      </c>
      <c r="W127" s="309"/>
    </row>
    <row r="128" spans="1:23" x14ac:dyDescent="0.2">
      <c r="A128" s="131"/>
      <c r="B128" s="313">
        <v>44896</v>
      </c>
      <c r="C128" s="131">
        <v>1824</v>
      </c>
      <c r="D128" s="131">
        <v>184605</v>
      </c>
      <c r="E128" s="314">
        <v>101.20888157894737</v>
      </c>
      <c r="F128" s="131">
        <v>-46.853595514747703</v>
      </c>
      <c r="G128" s="131">
        <v>1</v>
      </c>
      <c r="H128" s="315">
        <v>-4742</v>
      </c>
      <c r="I128" s="131" t="s">
        <v>720</v>
      </c>
      <c r="J128" s="309" t="s">
        <v>722</v>
      </c>
      <c r="K128" s="131">
        <v>1824</v>
      </c>
      <c r="L128" s="309">
        <v>316</v>
      </c>
      <c r="W128" s="309"/>
    </row>
    <row r="129" spans="1:23" x14ac:dyDescent="0.2">
      <c r="A129" s="131"/>
      <c r="B129" s="313">
        <v>44927</v>
      </c>
      <c r="C129" s="131">
        <v>1664</v>
      </c>
      <c r="D129" s="131">
        <v>33280</v>
      </c>
      <c r="E129" s="314">
        <v>20</v>
      </c>
      <c r="F129" s="131">
        <v>82.45</v>
      </c>
      <c r="G129" s="131">
        <v>1</v>
      </c>
      <c r="H129" s="315">
        <v>1649</v>
      </c>
      <c r="I129" s="131" t="s">
        <v>720</v>
      </c>
      <c r="J129" s="309" t="s">
        <v>722</v>
      </c>
      <c r="K129" s="131">
        <v>1664</v>
      </c>
      <c r="L129" s="309">
        <v>301</v>
      </c>
      <c r="W129" s="309"/>
    </row>
    <row r="130" spans="1:23" x14ac:dyDescent="0.2">
      <c r="A130" s="131"/>
      <c r="B130" s="313">
        <v>44958</v>
      </c>
      <c r="C130" s="131">
        <v>1832</v>
      </c>
      <c r="D130" s="131">
        <v>36381</v>
      </c>
      <c r="E130" s="314">
        <v>19.858624454148472</v>
      </c>
      <c r="F130" s="131">
        <v>148.46874247546796</v>
      </c>
      <c r="G130" s="131">
        <v>1</v>
      </c>
      <c r="H130" s="315">
        <v>2948.3850000000002</v>
      </c>
      <c r="I130" s="131" t="s">
        <v>720</v>
      </c>
      <c r="J130" s="309" t="s">
        <v>722</v>
      </c>
      <c r="K130" s="131">
        <v>1832</v>
      </c>
      <c r="L130" s="309">
        <v>532.15106026500018</v>
      </c>
      <c r="W130" s="309"/>
    </row>
    <row r="131" spans="1:23" x14ac:dyDescent="0.2">
      <c r="A131" s="131" t="s">
        <v>1081</v>
      </c>
      <c r="B131" s="311"/>
      <c r="C131" s="131">
        <v>21462</v>
      </c>
      <c r="D131" s="131">
        <v>29252746</v>
      </c>
      <c r="E131" s="314">
        <v>1363.0018637592023</v>
      </c>
      <c r="F131" s="131">
        <v>1038.9074532110592</v>
      </c>
      <c r="G131" s="131">
        <v>10</v>
      </c>
      <c r="H131" s="315">
        <v>1416032.7949999999</v>
      </c>
      <c r="I131" s="131" t="s">
        <v>720</v>
      </c>
      <c r="J131" s="309" t="s">
        <v>722</v>
      </c>
      <c r="K131" s="131">
        <v>21462</v>
      </c>
      <c r="L131" s="309">
        <v>5968.1510602649996</v>
      </c>
      <c r="W131" s="309"/>
    </row>
    <row r="132" spans="1:23" x14ac:dyDescent="0.2">
      <c r="A132" s="131" t="s">
        <v>226</v>
      </c>
      <c r="B132" s="313">
        <v>44958</v>
      </c>
      <c r="C132" s="131">
        <v>3270</v>
      </c>
      <c r="D132" s="131">
        <v>87775</v>
      </c>
      <c r="E132" s="314">
        <v>26.842507645259939</v>
      </c>
      <c r="F132" s="131">
        <v>56.850128168612933</v>
      </c>
      <c r="G132" s="131">
        <v>1</v>
      </c>
      <c r="H132" s="315">
        <v>1526</v>
      </c>
      <c r="I132" s="131" t="s">
        <v>720</v>
      </c>
      <c r="J132" s="309" t="s">
        <v>722</v>
      </c>
      <c r="K132" s="131">
        <v>3269.3333333333335</v>
      </c>
      <c r="L132" s="309">
        <v>350.98</v>
      </c>
      <c r="W132" s="309"/>
    </row>
    <row r="133" spans="1:23" x14ac:dyDescent="0.2">
      <c r="A133" s="131" t="s">
        <v>1082</v>
      </c>
      <c r="B133" s="311"/>
      <c r="C133" s="131">
        <v>3270</v>
      </c>
      <c r="D133" s="131">
        <v>87775</v>
      </c>
      <c r="E133" s="314">
        <v>26.842507645259939</v>
      </c>
      <c r="F133" s="131">
        <v>56.850128168612933</v>
      </c>
      <c r="G133" s="131">
        <v>1</v>
      </c>
      <c r="H133" s="315">
        <v>1526</v>
      </c>
      <c r="I133" s="131" t="s">
        <v>720</v>
      </c>
      <c r="J133" s="309" t="s">
        <v>722</v>
      </c>
      <c r="K133" s="131">
        <v>3269.3333333333335</v>
      </c>
      <c r="L133" s="309">
        <v>350.98</v>
      </c>
      <c r="W133" s="309"/>
    </row>
    <row r="134" spans="1:23" x14ac:dyDescent="0.2">
      <c r="A134" s="131" t="s">
        <v>381</v>
      </c>
      <c r="B134" s="313">
        <v>44896</v>
      </c>
      <c r="C134" s="309">
        <v>2776</v>
      </c>
      <c r="D134" s="131">
        <v>55505</v>
      </c>
      <c r="E134" s="314">
        <v>19.994596541786745</v>
      </c>
      <c r="F134" s="131">
        <v>60.716403927574092</v>
      </c>
      <c r="G134" s="131">
        <v>1</v>
      </c>
      <c r="H134" s="315">
        <v>1214</v>
      </c>
      <c r="I134" s="131" t="s">
        <v>720</v>
      </c>
      <c r="J134" s="309" t="s">
        <v>722</v>
      </c>
      <c r="K134" s="131">
        <v>2776</v>
      </c>
      <c r="L134" s="309">
        <v>279.21999999999997</v>
      </c>
      <c r="W134" s="309"/>
    </row>
    <row r="135" spans="1:23" x14ac:dyDescent="0.2">
      <c r="A135" s="131"/>
      <c r="B135" s="313">
        <v>44958</v>
      </c>
      <c r="C135" s="131">
        <v>2812</v>
      </c>
      <c r="D135" s="131">
        <v>56240</v>
      </c>
      <c r="E135" s="314">
        <v>20</v>
      </c>
      <c r="F135" s="131">
        <v>35.868499999999997</v>
      </c>
      <c r="G135" s="131">
        <v>1</v>
      </c>
      <c r="H135" s="315">
        <v>717.36999999999989</v>
      </c>
      <c r="I135" s="131" t="s">
        <v>720</v>
      </c>
      <c r="J135" s="309" t="s">
        <v>722</v>
      </c>
      <c r="K135" s="131">
        <v>2812</v>
      </c>
      <c r="L135" s="309">
        <v>121.95289999999999</v>
      </c>
      <c r="W135" s="309"/>
    </row>
    <row r="136" spans="1:23" x14ac:dyDescent="0.2">
      <c r="A136" s="131"/>
      <c r="B136" s="313">
        <v>44986</v>
      </c>
      <c r="C136" s="131">
        <v>10154</v>
      </c>
      <c r="D136" s="131">
        <v>50770</v>
      </c>
      <c r="E136" s="314">
        <v>5</v>
      </c>
      <c r="F136" s="131">
        <v>343.06399999999996</v>
      </c>
      <c r="G136" s="131">
        <v>1</v>
      </c>
      <c r="H136" s="315">
        <v>1715.3199999999997</v>
      </c>
      <c r="I136" s="131" t="s">
        <v>720</v>
      </c>
      <c r="J136" s="309" t="s">
        <v>722</v>
      </c>
      <c r="K136" s="131">
        <v>3384.6666666666665</v>
      </c>
      <c r="L136" s="309">
        <v>291.6044</v>
      </c>
      <c r="W136" s="309"/>
    </row>
    <row r="137" spans="1:23" x14ac:dyDescent="0.2">
      <c r="A137" s="131" t="s">
        <v>1083</v>
      </c>
      <c r="B137" s="311"/>
      <c r="C137" s="309">
        <v>15742</v>
      </c>
      <c r="D137" s="131">
        <v>162515</v>
      </c>
      <c r="E137" s="314">
        <v>10.323656460424342</v>
      </c>
      <c r="F137" s="131">
        <v>353.23627960495952</v>
      </c>
      <c r="G137" s="131">
        <v>3</v>
      </c>
      <c r="H137" s="315">
        <v>3646.6899999999996</v>
      </c>
      <c r="I137" s="131" t="s">
        <v>720</v>
      </c>
      <c r="J137" s="309" t="s">
        <v>722</v>
      </c>
      <c r="K137" s="131">
        <v>8972.6666666666661</v>
      </c>
      <c r="L137" s="309">
        <v>692.77729999999997</v>
      </c>
      <c r="W137" s="309"/>
    </row>
    <row r="138" spans="1:23" x14ac:dyDescent="0.2">
      <c r="A138" s="131" t="s">
        <v>150</v>
      </c>
      <c r="B138" s="313">
        <v>44713</v>
      </c>
      <c r="C138" s="131">
        <v>1377</v>
      </c>
      <c r="D138" s="131">
        <v>12865</v>
      </c>
      <c r="E138" s="314">
        <v>9.3427741466957155</v>
      </c>
      <c r="F138" s="131">
        <v>63.364477263894287</v>
      </c>
      <c r="G138" s="131">
        <v>1</v>
      </c>
      <c r="H138" s="315">
        <v>592</v>
      </c>
      <c r="I138" s="131" t="s">
        <v>720</v>
      </c>
      <c r="J138" s="309" t="s">
        <v>722</v>
      </c>
      <c r="K138" s="131">
        <v>1377</v>
      </c>
      <c r="L138" s="309">
        <v>136.16000000000003</v>
      </c>
      <c r="W138" s="309"/>
    </row>
    <row r="139" spans="1:23" x14ac:dyDescent="0.2">
      <c r="A139" s="131"/>
      <c r="B139" s="313">
        <v>44743</v>
      </c>
      <c r="C139" s="131">
        <v>2002</v>
      </c>
      <c r="D139" s="131">
        <v>23770</v>
      </c>
      <c r="E139" s="314">
        <v>11.873126873126873</v>
      </c>
      <c r="F139" s="131">
        <v>46.407320151451408</v>
      </c>
      <c r="G139" s="131">
        <v>1</v>
      </c>
      <c r="H139" s="315">
        <v>551</v>
      </c>
      <c r="I139" s="131" t="s">
        <v>720</v>
      </c>
      <c r="J139" s="309" t="s">
        <v>722</v>
      </c>
      <c r="K139" s="131">
        <v>2002</v>
      </c>
      <c r="L139" s="309">
        <v>126.73</v>
      </c>
      <c r="W139" s="309"/>
    </row>
    <row r="140" spans="1:23" x14ac:dyDescent="0.2">
      <c r="A140" s="131"/>
      <c r="B140" s="313">
        <v>44774</v>
      </c>
      <c r="C140" s="131">
        <v>1349</v>
      </c>
      <c r="D140" s="131">
        <v>15990</v>
      </c>
      <c r="E140" s="314">
        <v>11.853224610822831</v>
      </c>
      <c r="F140" s="131">
        <v>36.108317698561599</v>
      </c>
      <c r="G140" s="131">
        <v>1</v>
      </c>
      <c r="H140" s="315">
        <v>428</v>
      </c>
      <c r="I140" s="131" t="s">
        <v>720</v>
      </c>
      <c r="J140" s="309" t="s">
        <v>722</v>
      </c>
      <c r="K140" s="131">
        <v>1349</v>
      </c>
      <c r="L140" s="309">
        <v>128.39999999999998</v>
      </c>
      <c r="W140" s="309"/>
    </row>
    <row r="141" spans="1:23" x14ac:dyDescent="0.2">
      <c r="A141" s="131"/>
      <c r="B141" s="313">
        <v>44805</v>
      </c>
      <c r="C141" s="131">
        <v>3513</v>
      </c>
      <c r="D141" s="131">
        <v>44740</v>
      </c>
      <c r="E141" s="314">
        <v>12.735553657842299</v>
      </c>
      <c r="F141" s="131">
        <v>105.29577559231113</v>
      </c>
      <c r="G141" s="131">
        <v>1</v>
      </c>
      <c r="H141" s="315">
        <v>1341</v>
      </c>
      <c r="I141" s="131" t="s">
        <v>720</v>
      </c>
      <c r="J141" s="309" t="s">
        <v>722</v>
      </c>
      <c r="K141" s="131">
        <v>3513</v>
      </c>
      <c r="L141" s="309">
        <v>227.97000000000003</v>
      </c>
      <c r="W141" s="309"/>
    </row>
    <row r="142" spans="1:23" x14ac:dyDescent="0.2">
      <c r="A142" s="131"/>
      <c r="B142" s="313">
        <v>44835</v>
      </c>
      <c r="C142" s="309">
        <v>3940</v>
      </c>
      <c r="D142" s="131">
        <v>40800</v>
      </c>
      <c r="E142" s="314">
        <v>10.355329949238579</v>
      </c>
      <c r="F142" s="131">
        <v>-115.88138725490197</v>
      </c>
      <c r="G142" s="131">
        <v>1</v>
      </c>
      <c r="H142" s="315">
        <v>-1199.99</v>
      </c>
      <c r="I142" s="131" t="s">
        <v>720</v>
      </c>
      <c r="J142" s="309" t="s">
        <v>722</v>
      </c>
      <c r="K142" s="131">
        <v>3940</v>
      </c>
      <c r="L142" s="309">
        <v>-359.99700000000001</v>
      </c>
      <c r="W142" s="309"/>
    </row>
    <row r="143" spans="1:23" x14ac:dyDescent="0.2">
      <c r="A143" s="131"/>
      <c r="B143" s="313">
        <v>44866</v>
      </c>
      <c r="C143" s="131">
        <v>2479</v>
      </c>
      <c r="D143" s="131">
        <v>13280</v>
      </c>
      <c r="E143" s="314">
        <v>5.356998789834611</v>
      </c>
      <c r="F143" s="131">
        <v>114.98975903614458</v>
      </c>
      <c r="G143" s="131">
        <v>1</v>
      </c>
      <c r="H143" s="315">
        <v>616</v>
      </c>
      <c r="I143" s="131" t="s">
        <v>720</v>
      </c>
      <c r="J143" s="309" t="s">
        <v>722</v>
      </c>
      <c r="K143" s="131">
        <v>2479</v>
      </c>
      <c r="L143" s="309">
        <v>184.8</v>
      </c>
      <c r="W143" s="309"/>
    </row>
    <row r="144" spans="1:23" x14ac:dyDescent="0.2">
      <c r="A144" s="131"/>
      <c r="B144" s="313">
        <v>44896</v>
      </c>
      <c r="C144" s="131">
        <v>1597</v>
      </c>
      <c r="D144" s="131">
        <v>9245</v>
      </c>
      <c r="E144" s="314">
        <v>5.7889793362554789</v>
      </c>
      <c r="F144" s="131">
        <v>118.67376960519199</v>
      </c>
      <c r="G144" s="131">
        <v>1</v>
      </c>
      <c r="H144" s="315">
        <v>687</v>
      </c>
      <c r="I144" s="131" t="s">
        <v>720</v>
      </c>
      <c r="J144" s="309" t="s">
        <v>722</v>
      </c>
      <c r="K144" s="131">
        <v>1597</v>
      </c>
      <c r="L144" s="309">
        <v>206.1</v>
      </c>
      <c r="W144" s="309"/>
    </row>
    <row r="145" spans="1:23" x14ac:dyDescent="0.2">
      <c r="A145" s="131"/>
      <c r="B145" s="313">
        <v>44927</v>
      </c>
      <c r="C145" s="131">
        <v>3607</v>
      </c>
      <c r="D145" s="131">
        <v>34915</v>
      </c>
      <c r="E145" s="314">
        <v>9.6797892985860834</v>
      </c>
      <c r="F145" s="131">
        <v>97.419475869969915</v>
      </c>
      <c r="G145" s="131">
        <v>1</v>
      </c>
      <c r="H145" s="315">
        <v>943</v>
      </c>
      <c r="I145" s="131" t="s">
        <v>720</v>
      </c>
      <c r="J145" s="309" t="s">
        <v>722</v>
      </c>
      <c r="K145" s="131">
        <v>3607</v>
      </c>
      <c r="L145" s="309">
        <v>216.89000000000001</v>
      </c>
      <c r="W145" s="309"/>
    </row>
    <row r="146" spans="1:23" x14ac:dyDescent="0.2">
      <c r="A146" s="131"/>
      <c r="B146" s="313">
        <v>44958</v>
      </c>
      <c r="C146" s="131">
        <v>3572</v>
      </c>
      <c r="D146" s="131">
        <v>41820</v>
      </c>
      <c r="E146" s="314">
        <v>11.707726763717805</v>
      </c>
      <c r="F146" s="131">
        <v>48.198084170253473</v>
      </c>
      <c r="G146" s="131">
        <v>1</v>
      </c>
      <c r="H146" s="315">
        <v>564.29000000000008</v>
      </c>
      <c r="I146" s="131" t="s">
        <v>720</v>
      </c>
      <c r="J146" s="309" t="s">
        <v>722</v>
      </c>
      <c r="K146" s="131">
        <v>3572</v>
      </c>
      <c r="L146" s="309">
        <v>179.78279399999997</v>
      </c>
      <c r="W146" s="309"/>
    </row>
    <row r="147" spans="1:23" x14ac:dyDescent="0.2">
      <c r="A147" s="131" t="s">
        <v>1084</v>
      </c>
      <c r="B147" s="311"/>
      <c r="C147" s="131">
        <v>23436</v>
      </c>
      <c r="D147" s="131">
        <v>237425</v>
      </c>
      <c r="E147" s="314">
        <v>10.130781703362349</v>
      </c>
      <c r="F147" s="131">
        <v>446.39200926608402</v>
      </c>
      <c r="G147" s="131">
        <v>9</v>
      </c>
      <c r="H147" s="315">
        <v>4522.3</v>
      </c>
      <c r="I147" s="131" t="s">
        <v>720</v>
      </c>
      <c r="J147" s="309" t="s">
        <v>722</v>
      </c>
      <c r="K147" s="131">
        <v>23436</v>
      </c>
      <c r="L147" s="309">
        <v>1046.8357940000001</v>
      </c>
      <c r="W147" s="309"/>
    </row>
    <row r="148" spans="1:23" x14ac:dyDescent="0.2">
      <c r="A148" s="131" t="s">
        <v>671</v>
      </c>
      <c r="B148" s="313">
        <v>44986</v>
      </c>
      <c r="C148" s="131">
        <v>3981</v>
      </c>
      <c r="D148" s="131">
        <v>79620</v>
      </c>
      <c r="E148" s="314">
        <v>20</v>
      </c>
      <c r="F148" s="131">
        <v>140.06799999999998</v>
      </c>
      <c r="G148" s="131">
        <v>1</v>
      </c>
      <c r="H148" s="315">
        <v>2801.3599999999997</v>
      </c>
      <c r="I148" s="131" t="s">
        <v>720</v>
      </c>
      <c r="J148" s="309" t="s">
        <v>722</v>
      </c>
      <c r="K148" s="131">
        <v>1344.3333333333333</v>
      </c>
      <c r="L148" s="309">
        <v>476.450874</v>
      </c>
      <c r="W148" s="309"/>
    </row>
    <row r="149" spans="1:23" x14ac:dyDescent="0.2">
      <c r="A149" s="131" t="s">
        <v>1085</v>
      </c>
      <c r="B149" s="311"/>
      <c r="C149" s="131">
        <v>3981</v>
      </c>
      <c r="D149" s="131">
        <v>79620</v>
      </c>
      <c r="E149" s="314">
        <v>20</v>
      </c>
      <c r="F149" s="131">
        <v>140.06799999999998</v>
      </c>
      <c r="G149" s="131">
        <v>1</v>
      </c>
      <c r="H149" s="315">
        <v>2801.3599999999997</v>
      </c>
      <c r="I149" s="131" t="s">
        <v>720</v>
      </c>
      <c r="J149" s="309" t="s">
        <v>722</v>
      </c>
      <c r="K149" s="131">
        <v>1344.3333333333333</v>
      </c>
      <c r="L149" s="309">
        <v>476.450874</v>
      </c>
      <c r="W149" s="309"/>
    </row>
    <row r="150" spans="1:23" x14ac:dyDescent="0.2">
      <c r="A150" s="131" t="s">
        <v>395</v>
      </c>
      <c r="B150" s="313">
        <v>44743</v>
      </c>
      <c r="C150" s="131">
        <v>2160</v>
      </c>
      <c r="D150" s="131">
        <v>296857</v>
      </c>
      <c r="E150" s="314">
        <v>137.43379629629629</v>
      </c>
      <c r="F150" s="131">
        <v>122.55355272067023</v>
      </c>
      <c r="G150" s="131">
        <v>1</v>
      </c>
      <c r="H150" s="315">
        <v>16843</v>
      </c>
      <c r="I150" s="131" t="s">
        <v>770</v>
      </c>
      <c r="J150" s="309" t="s">
        <v>722</v>
      </c>
      <c r="K150" s="131">
        <v>1829.3333333333333</v>
      </c>
      <c r="L150" s="309">
        <v>3200.17</v>
      </c>
      <c r="W150" s="309"/>
    </row>
    <row r="151" spans="1:23" x14ac:dyDescent="0.2">
      <c r="A151" s="131"/>
      <c r="B151" s="313">
        <v>44805</v>
      </c>
      <c r="C151" s="131">
        <v>2775</v>
      </c>
      <c r="D151" s="131">
        <v>530000</v>
      </c>
      <c r="E151" s="314">
        <v>190.99099099099098</v>
      </c>
      <c r="F151" s="131">
        <v>72.521745283018873</v>
      </c>
      <c r="G151" s="131">
        <v>1</v>
      </c>
      <c r="H151" s="315">
        <v>13851</v>
      </c>
      <c r="I151" s="131" t="s">
        <v>770</v>
      </c>
      <c r="J151" s="309" t="s">
        <v>722</v>
      </c>
      <c r="K151" s="131">
        <v>1874.3333333333333</v>
      </c>
      <c r="L151" s="309">
        <v>2631.69</v>
      </c>
      <c r="W151" s="309"/>
    </row>
    <row r="152" spans="1:23" x14ac:dyDescent="0.2">
      <c r="A152" s="131"/>
      <c r="B152" s="313">
        <v>44835</v>
      </c>
      <c r="C152" s="131">
        <v>2925</v>
      </c>
      <c r="D152" s="131">
        <v>533202</v>
      </c>
      <c r="E152" s="314">
        <v>182.29128205128205</v>
      </c>
      <c r="F152" s="131">
        <v>62.092931009261029</v>
      </c>
      <c r="G152" s="131">
        <v>1</v>
      </c>
      <c r="H152" s="315">
        <v>11319</v>
      </c>
      <c r="I152" s="131" t="s">
        <v>770</v>
      </c>
      <c r="J152" s="309" t="s">
        <v>722</v>
      </c>
      <c r="K152" s="131">
        <v>1629</v>
      </c>
      <c r="L152" s="309">
        <v>2150.6099999999997</v>
      </c>
      <c r="W152" s="309"/>
    </row>
    <row r="153" spans="1:23" x14ac:dyDescent="0.2">
      <c r="A153" s="131"/>
      <c r="B153" s="313">
        <v>44866</v>
      </c>
      <c r="C153" s="131">
        <v>632</v>
      </c>
      <c r="D153" s="131">
        <v>96853.5</v>
      </c>
      <c r="E153" s="314">
        <v>153.2492088607595</v>
      </c>
      <c r="F153" s="131">
        <v>25.440588104714852</v>
      </c>
      <c r="G153" s="131">
        <v>1</v>
      </c>
      <c r="H153" s="315">
        <v>3898.75</v>
      </c>
      <c r="I153" s="131" t="s">
        <v>770</v>
      </c>
      <c r="J153" s="309" t="s">
        <v>722</v>
      </c>
      <c r="K153" s="131">
        <v>343.33333333333331</v>
      </c>
      <c r="L153" s="309">
        <v>740.76250000000005</v>
      </c>
      <c r="W153" s="309"/>
    </row>
    <row r="154" spans="1:23" x14ac:dyDescent="0.2">
      <c r="A154" s="131"/>
      <c r="B154" s="313">
        <v>44896</v>
      </c>
      <c r="C154" s="131">
        <v>736</v>
      </c>
      <c r="D154" s="131">
        <v>43375</v>
      </c>
      <c r="E154" s="314">
        <v>58.933423913043477</v>
      </c>
      <c r="F154" s="131">
        <v>59.389048991354471</v>
      </c>
      <c r="G154" s="131">
        <v>1</v>
      </c>
      <c r="H154" s="315">
        <v>3500</v>
      </c>
      <c r="I154" s="131" t="s">
        <v>770</v>
      </c>
      <c r="J154" s="309" t="s">
        <v>722</v>
      </c>
      <c r="K154" s="131">
        <v>724.66666666666663</v>
      </c>
      <c r="L154" s="309">
        <v>665</v>
      </c>
      <c r="W154" s="309"/>
    </row>
    <row r="155" spans="1:23" x14ac:dyDescent="0.2">
      <c r="A155" s="131"/>
      <c r="B155" s="313">
        <v>44927</v>
      </c>
      <c r="C155" s="131">
        <v>5300</v>
      </c>
      <c r="D155" s="131">
        <v>508756</v>
      </c>
      <c r="E155" s="314">
        <v>95.991698113207548</v>
      </c>
      <c r="F155" s="131">
        <v>79.808985053738922</v>
      </c>
      <c r="G155" s="131">
        <v>1</v>
      </c>
      <c r="H155" s="315">
        <v>7661</v>
      </c>
      <c r="I155" s="131" t="s">
        <v>770</v>
      </c>
      <c r="J155" s="309" t="s">
        <v>722</v>
      </c>
      <c r="K155" s="131">
        <v>3051.3333333333335</v>
      </c>
      <c r="L155" s="309">
        <v>1455.5900000000001</v>
      </c>
      <c r="W155" s="309"/>
    </row>
    <row r="156" spans="1:23" x14ac:dyDescent="0.2">
      <c r="A156" s="131"/>
      <c r="B156" s="313">
        <v>44958</v>
      </c>
      <c r="C156" s="131">
        <v>4789</v>
      </c>
      <c r="D156" s="131">
        <v>517550</v>
      </c>
      <c r="E156" s="314">
        <v>108.07057840885362</v>
      </c>
      <c r="F156" s="131">
        <v>199.40672398802047</v>
      </c>
      <c r="G156" s="131">
        <v>1</v>
      </c>
      <c r="H156" s="315">
        <v>21550</v>
      </c>
      <c r="I156" s="131" t="s">
        <v>770</v>
      </c>
      <c r="J156" s="309" t="s">
        <v>722</v>
      </c>
      <c r="K156" s="131">
        <v>2562.3333333333335</v>
      </c>
      <c r="L156" s="309">
        <v>4094.5</v>
      </c>
      <c r="W156" s="309"/>
    </row>
    <row r="157" spans="1:23" x14ac:dyDescent="0.2">
      <c r="A157" s="131" t="s">
        <v>1086</v>
      </c>
      <c r="B157" s="311"/>
      <c r="C157" s="131">
        <v>19317</v>
      </c>
      <c r="D157" s="131">
        <v>2526593.5</v>
      </c>
      <c r="E157" s="314">
        <v>130.79637107211263</v>
      </c>
      <c r="F157" s="131">
        <v>601.10803805598334</v>
      </c>
      <c r="G157" s="131">
        <v>7</v>
      </c>
      <c r="H157" s="315">
        <v>78622.75</v>
      </c>
      <c r="I157" s="131" t="s">
        <v>770</v>
      </c>
      <c r="J157" s="309" t="s">
        <v>722</v>
      </c>
      <c r="K157" s="131">
        <v>12014.333333333332</v>
      </c>
      <c r="L157" s="309">
        <v>14938.322500000004</v>
      </c>
      <c r="W157" s="309"/>
    </row>
    <row r="158" spans="1:23" x14ac:dyDescent="0.2">
      <c r="A158" s="131" t="s">
        <v>402</v>
      </c>
      <c r="B158" s="313">
        <v>44743</v>
      </c>
      <c r="C158" s="131">
        <v>3378</v>
      </c>
      <c r="D158" s="131">
        <v>51135</v>
      </c>
      <c r="E158" s="314">
        <v>15.13765541740675</v>
      </c>
      <c r="F158" s="131">
        <v>31.312643003813434</v>
      </c>
      <c r="G158" s="131">
        <v>1</v>
      </c>
      <c r="H158" s="315">
        <v>474</v>
      </c>
      <c r="I158" s="131" t="s">
        <v>751</v>
      </c>
      <c r="J158" s="309" t="s">
        <v>722</v>
      </c>
      <c r="K158" s="131">
        <v>3378</v>
      </c>
      <c r="L158" s="309">
        <v>142.19999999999999</v>
      </c>
      <c r="W158" s="309"/>
    </row>
    <row r="159" spans="1:23" x14ac:dyDescent="0.2">
      <c r="A159" s="131"/>
      <c r="B159" s="313">
        <v>44774</v>
      </c>
      <c r="C159" s="131">
        <v>4337</v>
      </c>
      <c r="D159" s="131">
        <v>43337</v>
      </c>
      <c r="E159" s="314">
        <v>9.9923910537237717</v>
      </c>
      <c r="F159" s="131">
        <v>168.72838452130975</v>
      </c>
      <c r="G159" s="131">
        <v>1</v>
      </c>
      <c r="H159" s="315">
        <v>1686</v>
      </c>
      <c r="I159" s="131" t="s">
        <v>751</v>
      </c>
      <c r="J159" s="309" t="s">
        <v>722</v>
      </c>
      <c r="K159" s="131">
        <v>4337</v>
      </c>
      <c r="L159" s="309">
        <v>421.5</v>
      </c>
      <c r="W159" s="309"/>
    </row>
    <row r="160" spans="1:23" x14ac:dyDescent="0.2">
      <c r="A160" s="131"/>
      <c r="B160" s="313">
        <v>44805</v>
      </c>
      <c r="C160" s="131">
        <v>4498</v>
      </c>
      <c r="D160" s="131">
        <v>50530</v>
      </c>
      <c r="E160" s="314">
        <v>11.233881725211205</v>
      </c>
      <c r="F160" s="131">
        <v>-11.661151791015238</v>
      </c>
      <c r="G160" s="131">
        <v>1</v>
      </c>
      <c r="H160" s="315">
        <v>-131</v>
      </c>
      <c r="I160" s="131" t="s">
        <v>751</v>
      </c>
      <c r="J160" s="309" t="s">
        <v>722</v>
      </c>
      <c r="K160" s="131">
        <v>4498</v>
      </c>
      <c r="L160" s="309">
        <v>-32.75</v>
      </c>
      <c r="W160" s="309"/>
    </row>
    <row r="161" spans="1:23" x14ac:dyDescent="0.2">
      <c r="A161" s="131"/>
      <c r="B161" s="313">
        <v>44835</v>
      </c>
      <c r="C161" s="131">
        <v>4800</v>
      </c>
      <c r="D161" s="131">
        <v>51495</v>
      </c>
      <c r="E161" s="314">
        <v>10.728125</v>
      </c>
      <c r="F161" s="131">
        <v>152.12350713661519</v>
      </c>
      <c r="G161" s="131">
        <v>1</v>
      </c>
      <c r="H161" s="315">
        <v>1632</v>
      </c>
      <c r="I161" s="131" t="s">
        <v>751</v>
      </c>
      <c r="J161" s="309" t="s">
        <v>722</v>
      </c>
      <c r="K161" s="131">
        <v>4800</v>
      </c>
      <c r="L161" s="309">
        <v>408</v>
      </c>
      <c r="W161" s="309"/>
    </row>
    <row r="162" spans="1:23" x14ac:dyDescent="0.2">
      <c r="A162" s="131"/>
      <c r="B162" s="313">
        <v>44866</v>
      </c>
      <c r="C162" s="131">
        <v>3768</v>
      </c>
      <c r="D162" s="131">
        <v>37680</v>
      </c>
      <c r="E162" s="314">
        <v>10</v>
      </c>
      <c r="F162" s="131">
        <v>243.4</v>
      </c>
      <c r="G162" s="131">
        <v>1</v>
      </c>
      <c r="H162" s="315">
        <v>2434</v>
      </c>
      <c r="I162" s="131" t="s">
        <v>751</v>
      </c>
      <c r="J162" s="309" t="s">
        <v>722</v>
      </c>
      <c r="K162" s="131">
        <v>3768</v>
      </c>
      <c r="L162" s="309">
        <v>608.5</v>
      </c>
      <c r="W162" s="309"/>
    </row>
    <row r="163" spans="1:23" x14ac:dyDescent="0.2">
      <c r="A163" s="131"/>
      <c r="B163" s="313">
        <v>44896</v>
      </c>
      <c r="C163" s="131">
        <v>3684</v>
      </c>
      <c r="D163" s="131">
        <v>42915</v>
      </c>
      <c r="E163" s="314">
        <v>11.649022801302932</v>
      </c>
      <c r="F163" s="131">
        <v>246.80181754631246</v>
      </c>
      <c r="G163" s="131">
        <v>1</v>
      </c>
      <c r="H163" s="315">
        <v>2875</v>
      </c>
      <c r="I163" s="131" t="s">
        <v>751</v>
      </c>
      <c r="J163" s="309" t="s">
        <v>722</v>
      </c>
      <c r="K163" s="131">
        <v>3684</v>
      </c>
      <c r="L163" s="309">
        <v>718.75</v>
      </c>
      <c r="W163" s="309"/>
    </row>
    <row r="164" spans="1:23" x14ac:dyDescent="0.2">
      <c r="A164" s="131"/>
      <c r="B164" s="313">
        <v>44927</v>
      </c>
      <c r="C164" s="131">
        <v>3303</v>
      </c>
      <c r="D164" s="131">
        <v>81885</v>
      </c>
      <c r="E164" s="314">
        <v>24.791099000908265</v>
      </c>
      <c r="F164" s="131">
        <v>90.032313610551384</v>
      </c>
      <c r="G164" s="131">
        <v>1</v>
      </c>
      <c r="H164" s="315">
        <v>2232</v>
      </c>
      <c r="I164" s="131" t="s">
        <v>751</v>
      </c>
      <c r="J164" s="309" t="s">
        <v>722</v>
      </c>
      <c r="K164" s="131">
        <v>3303</v>
      </c>
      <c r="L164" s="309">
        <v>558</v>
      </c>
      <c r="W164" s="309"/>
    </row>
    <row r="165" spans="1:23" x14ac:dyDescent="0.2">
      <c r="A165" s="131"/>
      <c r="B165" s="313">
        <v>44958</v>
      </c>
      <c r="C165" s="131">
        <v>3241</v>
      </c>
      <c r="D165" s="131">
        <v>81025</v>
      </c>
      <c r="E165" s="314">
        <v>25</v>
      </c>
      <c r="F165" s="131">
        <v>81.680000000000007</v>
      </c>
      <c r="G165" s="131">
        <v>1</v>
      </c>
      <c r="H165" s="315">
        <v>2042</v>
      </c>
      <c r="I165" s="131" t="s">
        <v>751</v>
      </c>
      <c r="J165" s="309" t="s">
        <v>722</v>
      </c>
      <c r="K165" s="131">
        <v>3241</v>
      </c>
      <c r="L165" s="309">
        <v>449.24</v>
      </c>
      <c r="W165" s="309"/>
    </row>
    <row r="166" spans="1:23" x14ac:dyDescent="0.2">
      <c r="A166" s="131"/>
      <c r="B166" s="313">
        <v>44986</v>
      </c>
      <c r="C166" s="131">
        <v>2757</v>
      </c>
      <c r="D166" s="131">
        <v>68925</v>
      </c>
      <c r="E166" s="314">
        <v>25</v>
      </c>
      <c r="F166" s="131">
        <v>66.72</v>
      </c>
      <c r="G166" s="131">
        <v>1</v>
      </c>
      <c r="H166" s="315">
        <v>1668</v>
      </c>
      <c r="I166" s="131" t="s">
        <v>751</v>
      </c>
      <c r="J166" s="309" t="s">
        <v>722</v>
      </c>
      <c r="K166" s="131">
        <v>2757</v>
      </c>
      <c r="L166" s="309">
        <v>500.4</v>
      </c>
      <c r="W166" s="309"/>
    </row>
    <row r="167" spans="1:23" x14ac:dyDescent="0.2">
      <c r="A167" s="131" t="s">
        <v>1087</v>
      </c>
      <c r="B167" s="311"/>
      <c r="C167" s="131">
        <v>33766</v>
      </c>
      <c r="D167" s="131">
        <v>508927</v>
      </c>
      <c r="E167" s="314">
        <v>15.072173191968252</v>
      </c>
      <c r="F167" s="131">
        <v>989.37291988831407</v>
      </c>
      <c r="G167" s="131">
        <v>9</v>
      </c>
      <c r="H167" s="315">
        <v>14912</v>
      </c>
      <c r="I167" s="131" t="s">
        <v>751</v>
      </c>
      <c r="J167" s="309" t="s">
        <v>722</v>
      </c>
      <c r="K167" s="131">
        <v>33766</v>
      </c>
      <c r="L167" s="309">
        <v>3773.8399999999997</v>
      </c>
      <c r="W167" s="309"/>
    </row>
    <row r="168" spans="1:23" x14ac:dyDescent="0.2">
      <c r="A168" s="131" t="s">
        <v>169</v>
      </c>
      <c r="B168" s="313">
        <v>44835</v>
      </c>
      <c r="C168" s="131">
        <v>3157</v>
      </c>
      <c r="D168" s="131">
        <v>73471.75</v>
      </c>
      <c r="E168" s="314">
        <v>23.272648083623693</v>
      </c>
      <c r="F168" s="131">
        <v>7.7236590934610927</v>
      </c>
      <c r="G168" s="131">
        <v>1</v>
      </c>
      <c r="H168" s="315">
        <v>179.75</v>
      </c>
      <c r="I168" s="131" t="s">
        <v>720</v>
      </c>
      <c r="J168" s="309" t="s">
        <v>722</v>
      </c>
      <c r="K168" s="131">
        <v>3152.3333333333335</v>
      </c>
      <c r="L168" s="309">
        <v>53.92499999999999</v>
      </c>
      <c r="W168" s="309"/>
    </row>
    <row r="169" spans="1:23" x14ac:dyDescent="0.2">
      <c r="A169" s="131"/>
      <c r="B169" s="313">
        <v>44866</v>
      </c>
      <c r="C169" s="131">
        <v>3233</v>
      </c>
      <c r="D169" s="131">
        <v>79685</v>
      </c>
      <c r="E169" s="314">
        <v>24.647386328487475</v>
      </c>
      <c r="F169" s="131">
        <v>-12.577398506619815</v>
      </c>
      <c r="G169" s="131">
        <v>1</v>
      </c>
      <c r="H169" s="315">
        <v>-310</v>
      </c>
      <c r="I169" s="131" t="s">
        <v>720</v>
      </c>
      <c r="J169" s="309" t="s">
        <v>722</v>
      </c>
      <c r="K169" s="131">
        <v>3233</v>
      </c>
      <c r="L169" s="309">
        <v>-92.999999999999986</v>
      </c>
      <c r="W169" s="309"/>
    </row>
    <row r="170" spans="1:23" x14ac:dyDescent="0.2">
      <c r="A170" s="131"/>
      <c r="B170" s="313">
        <v>44896</v>
      </c>
      <c r="C170" s="131">
        <v>3765</v>
      </c>
      <c r="D170" s="131">
        <v>84328.25</v>
      </c>
      <c r="E170" s="314">
        <v>22.397941567065072</v>
      </c>
      <c r="F170" s="131">
        <v>88.936744210866465</v>
      </c>
      <c r="G170" s="131">
        <v>1</v>
      </c>
      <c r="H170" s="315">
        <v>1992</v>
      </c>
      <c r="I170" s="131" t="s">
        <v>720</v>
      </c>
      <c r="J170" s="309" t="s">
        <v>722</v>
      </c>
      <c r="K170" s="131">
        <v>3757.666666666667</v>
      </c>
      <c r="L170" s="309">
        <v>597.6</v>
      </c>
      <c r="W170" s="309"/>
    </row>
    <row r="171" spans="1:23" x14ac:dyDescent="0.2">
      <c r="A171" s="131"/>
      <c r="B171" s="313">
        <v>44927</v>
      </c>
      <c r="C171" s="131">
        <v>5255</v>
      </c>
      <c r="D171" s="131">
        <v>133230</v>
      </c>
      <c r="E171" s="314">
        <v>25.352997145575642</v>
      </c>
      <c r="F171" s="131">
        <v>47.489454327103502</v>
      </c>
      <c r="G171" s="131">
        <v>1</v>
      </c>
      <c r="H171" s="315">
        <v>1204</v>
      </c>
      <c r="I171" s="131" t="s">
        <v>720</v>
      </c>
      <c r="J171" s="309" t="s">
        <v>722</v>
      </c>
      <c r="K171" s="131">
        <v>5255</v>
      </c>
      <c r="L171" s="309">
        <v>361.19999999999982</v>
      </c>
      <c r="W171" s="309"/>
    </row>
    <row r="172" spans="1:23" x14ac:dyDescent="0.2">
      <c r="A172" s="131"/>
      <c r="B172" s="313">
        <v>44958</v>
      </c>
      <c r="C172" s="131">
        <v>5492</v>
      </c>
      <c r="D172" s="131">
        <v>137300</v>
      </c>
      <c r="E172" s="314">
        <v>25</v>
      </c>
      <c r="F172" s="131">
        <v>176.48</v>
      </c>
      <c r="G172" s="131">
        <v>1</v>
      </c>
      <c r="H172" s="315">
        <v>4412</v>
      </c>
      <c r="I172" s="131" t="s">
        <v>720</v>
      </c>
      <c r="J172" s="309" t="s">
        <v>722</v>
      </c>
      <c r="K172" s="131">
        <v>5492</v>
      </c>
      <c r="L172" s="309">
        <v>750.04000000000008</v>
      </c>
      <c r="W172" s="309"/>
    </row>
    <row r="173" spans="1:23" x14ac:dyDescent="0.2">
      <c r="A173" s="131"/>
      <c r="B173" s="313">
        <v>44986</v>
      </c>
      <c r="C173" s="131">
        <v>4266</v>
      </c>
      <c r="D173" s="131">
        <v>156030</v>
      </c>
      <c r="E173" s="314">
        <v>36.575246132208157</v>
      </c>
      <c r="F173" s="131">
        <v>126.04153047490867</v>
      </c>
      <c r="G173" s="131">
        <v>1</v>
      </c>
      <c r="H173" s="315">
        <v>4610</v>
      </c>
      <c r="I173" s="131" t="s">
        <v>720</v>
      </c>
      <c r="J173" s="309" t="s">
        <v>722</v>
      </c>
      <c r="K173" s="131">
        <v>4266</v>
      </c>
      <c r="L173" s="309">
        <v>783.7</v>
      </c>
      <c r="W173" s="309"/>
    </row>
    <row r="174" spans="1:23" x14ac:dyDescent="0.2">
      <c r="A174" s="131" t="s">
        <v>1050</v>
      </c>
      <c r="B174" s="311"/>
      <c r="C174" s="131">
        <v>25168</v>
      </c>
      <c r="D174" s="131">
        <v>664045</v>
      </c>
      <c r="E174" s="314">
        <v>26.38449618563255</v>
      </c>
      <c r="F174" s="131">
        <v>458.13836712873376</v>
      </c>
      <c r="G174" s="131">
        <v>6</v>
      </c>
      <c r="H174" s="315">
        <v>12087.75</v>
      </c>
      <c r="I174" s="131" t="s">
        <v>720</v>
      </c>
      <c r="J174" s="309" t="s">
        <v>722</v>
      </c>
      <c r="K174" s="131">
        <v>25156</v>
      </c>
      <c r="L174" s="309">
        <v>2453.4650000000001</v>
      </c>
      <c r="W174" s="309"/>
    </row>
    <row r="175" spans="1:23" x14ac:dyDescent="0.2">
      <c r="A175" s="131" t="s">
        <v>180</v>
      </c>
      <c r="B175" s="313">
        <v>44866</v>
      </c>
      <c r="C175" s="309">
        <v>2911</v>
      </c>
      <c r="D175" s="131">
        <v>29110</v>
      </c>
      <c r="E175" s="314">
        <v>10</v>
      </c>
      <c r="F175" s="131">
        <v>88.7</v>
      </c>
      <c r="G175" s="131">
        <v>1</v>
      </c>
      <c r="H175" s="315">
        <v>887</v>
      </c>
      <c r="I175" s="131" t="s">
        <v>720</v>
      </c>
      <c r="J175" s="309" t="s">
        <v>722</v>
      </c>
      <c r="K175" s="131">
        <v>1455.5</v>
      </c>
      <c r="L175" s="309">
        <v>150.79000000000002</v>
      </c>
      <c r="W175" s="309"/>
    </row>
    <row r="176" spans="1:23" x14ac:dyDescent="0.2">
      <c r="A176" s="131"/>
      <c r="B176" s="313">
        <v>44896</v>
      </c>
      <c r="C176" s="309">
        <v>4359</v>
      </c>
      <c r="D176" s="131">
        <v>43590</v>
      </c>
      <c r="E176" s="314">
        <v>10</v>
      </c>
      <c r="F176" s="131">
        <v>160.5</v>
      </c>
      <c r="G176" s="131">
        <v>1</v>
      </c>
      <c r="H176" s="315">
        <v>1605</v>
      </c>
      <c r="I176" s="131" t="s">
        <v>720</v>
      </c>
      <c r="J176" s="309" t="s">
        <v>722</v>
      </c>
      <c r="K176" s="131">
        <v>2179.5</v>
      </c>
      <c r="L176" s="309">
        <v>272.85000000000002</v>
      </c>
      <c r="W176" s="309"/>
    </row>
    <row r="177" spans="1:23" x14ac:dyDescent="0.2">
      <c r="A177" s="131"/>
      <c r="B177" s="313">
        <v>44927</v>
      </c>
      <c r="C177" s="309">
        <v>5392</v>
      </c>
      <c r="D177" s="131">
        <v>78910</v>
      </c>
      <c r="E177" s="314">
        <v>14.634643916913946</v>
      </c>
      <c r="F177" s="131">
        <v>-17.971055632999619</v>
      </c>
      <c r="G177" s="131">
        <v>1</v>
      </c>
      <c r="H177" s="315">
        <v>-263</v>
      </c>
      <c r="I177" s="131" t="s">
        <v>720</v>
      </c>
      <c r="J177" s="309" t="s">
        <v>722</v>
      </c>
      <c r="K177" s="131">
        <v>2696</v>
      </c>
      <c r="L177" s="309">
        <v>-78.900000000000034</v>
      </c>
      <c r="W177" s="309"/>
    </row>
    <row r="178" spans="1:23" x14ac:dyDescent="0.2">
      <c r="A178" s="131"/>
      <c r="B178" s="313">
        <v>44958</v>
      </c>
      <c r="C178" s="131">
        <v>4496</v>
      </c>
      <c r="D178" s="131">
        <v>44891.75</v>
      </c>
      <c r="E178" s="314">
        <v>9.9848198398576518</v>
      </c>
      <c r="F178" s="131">
        <v>120.57122023342322</v>
      </c>
      <c r="G178" s="131">
        <v>1</v>
      </c>
      <c r="H178" s="315">
        <v>1203.8819119025304</v>
      </c>
      <c r="I178" s="131" t="s">
        <v>720</v>
      </c>
      <c r="J178" s="309" t="s">
        <v>722</v>
      </c>
      <c r="K178" s="131">
        <v>2246.8333333333335</v>
      </c>
      <c r="L178" s="309">
        <v>361.1645735707591</v>
      </c>
      <c r="W178" s="309"/>
    </row>
    <row r="179" spans="1:23" x14ac:dyDescent="0.2">
      <c r="A179" s="131"/>
      <c r="B179" s="313">
        <v>44986</v>
      </c>
      <c r="C179" s="131">
        <v>5063</v>
      </c>
      <c r="D179" s="131">
        <v>50630</v>
      </c>
      <c r="E179" s="314">
        <v>10</v>
      </c>
      <c r="F179" s="131">
        <v>143.9295051353875</v>
      </c>
      <c r="G179" s="131">
        <v>1</v>
      </c>
      <c r="H179" s="315">
        <v>1439.2950513538749</v>
      </c>
      <c r="I179" s="131" t="s">
        <v>720</v>
      </c>
      <c r="J179" s="309" t="s">
        <v>722</v>
      </c>
      <c r="K179" s="131">
        <v>2531.5</v>
      </c>
      <c r="L179" s="309">
        <v>244.68015873015875</v>
      </c>
      <c r="W179" s="309"/>
    </row>
    <row r="180" spans="1:23" x14ac:dyDescent="0.2">
      <c r="A180" s="131" t="s">
        <v>1051</v>
      </c>
      <c r="B180" s="311"/>
      <c r="C180" s="309">
        <v>22221</v>
      </c>
      <c r="D180" s="131">
        <v>247131.75</v>
      </c>
      <c r="E180" s="314">
        <v>11.12154043472391</v>
      </c>
      <c r="F180" s="131">
        <v>438.08472323171986</v>
      </c>
      <c r="G180" s="131">
        <v>5</v>
      </c>
      <c r="H180" s="315">
        <v>4872.1769632564055</v>
      </c>
      <c r="I180" s="131" t="s">
        <v>720</v>
      </c>
      <c r="J180" s="309" t="s">
        <v>722</v>
      </c>
      <c r="K180" s="131">
        <v>11109.333333333334</v>
      </c>
      <c r="L180" s="309">
        <v>950.58473230091795</v>
      </c>
      <c r="W180" s="309"/>
    </row>
    <row r="181" spans="1:23" x14ac:dyDescent="0.2">
      <c r="A181" s="131" t="s">
        <v>170</v>
      </c>
      <c r="B181" s="313">
        <v>44835</v>
      </c>
      <c r="C181" s="131">
        <v>2099</v>
      </c>
      <c r="D181" s="131">
        <v>43520</v>
      </c>
      <c r="E181" s="314">
        <v>20.733682706050502</v>
      </c>
      <c r="F181" s="131">
        <v>96.750781249999989</v>
      </c>
      <c r="G181" s="131">
        <v>1</v>
      </c>
      <c r="H181" s="315">
        <v>2006</v>
      </c>
      <c r="I181" s="131" t="s">
        <v>720</v>
      </c>
      <c r="J181" s="309" t="s">
        <v>722</v>
      </c>
      <c r="K181" s="131">
        <v>2099</v>
      </c>
      <c r="L181" s="309">
        <v>341.02</v>
      </c>
      <c r="W181" s="309"/>
    </row>
    <row r="182" spans="1:23" x14ac:dyDescent="0.2">
      <c r="A182" s="131"/>
      <c r="B182" s="313">
        <v>44866</v>
      </c>
      <c r="C182" s="131">
        <v>2539</v>
      </c>
      <c r="D182" s="131">
        <v>50355</v>
      </c>
      <c r="E182" s="314">
        <v>19.832611264277276</v>
      </c>
      <c r="F182" s="131">
        <v>26.925350014894249</v>
      </c>
      <c r="G182" s="131">
        <v>1</v>
      </c>
      <c r="H182" s="315">
        <v>534</v>
      </c>
      <c r="I182" s="131" t="s">
        <v>720</v>
      </c>
      <c r="J182" s="309" t="s">
        <v>722</v>
      </c>
      <c r="K182" s="131">
        <v>2538.3333333333335</v>
      </c>
      <c r="L182" s="309">
        <v>160.19999999999999</v>
      </c>
      <c r="W182" s="309"/>
    </row>
    <row r="183" spans="1:23" x14ac:dyDescent="0.2">
      <c r="A183" s="131"/>
      <c r="B183" s="313">
        <v>44896</v>
      </c>
      <c r="C183" s="131">
        <v>1997</v>
      </c>
      <c r="D183" s="131">
        <v>36845</v>
      </c>
      <c r="E183" s="314">
        <v>18.450175262894341</v>
      </c>
      <c r="F183" s="131">
        <v>122.6546614194599</v>
      </c>
      <c r="G183" s="131">
        <v>1</v>
      </c>
      <c r="H183" s="315">
        <v>2263</v>
      </c>
      <c r="I183" s="131" t="s">
        <v>720</v>
      </c>
      <c r="J183" s="309" t="s">
        <v>722</v>
      </c>
      <c r="K183" s="131">
        <v>1997</v>
      </c>
      <c r="L183" s="309">
        <v>384.71000000000004</v>
      </c>
      <c r="W183" s="309"/>
    </row>
    <row r="184" spans="1:23" x14ac:dyDescent="0.2">
      <c r="A184" s="131"/>
      <c r="B184" s="313">
        <v>44927</v>
      </c>
      <c r="C184" s="131">
        <v>2413</v>
      </c>
      <c r="D184" s="131">
        <v>55945</v>
      </c>
      <c r="E184" s="314">
        <v>23.184832159138004</v>
      </c>
      <c r="F184" s="131">
        <v>70.865296273125381</v>
      </c>
      <c r="G184" s="131">
        <v>1</v>
      </c>
      <c r="H184" s="315">
        <v>1643</v>
      </c>
      <c r="I184" s="131" t="s">
        <v>720</v>
      </c>
      <c r="J184" s="309" t="s">
        <v>722</v>
      </c>
      <c r="K184" s="131">
        <v>2413</v>
      </c>
      <c r="L184" s="309">
        <v>377.89</v>
      </c>
      <c r="W184" s="309"/>
    </row>
    <row r="185" spans="1:23" x14ac:dyDescent="0.2">
      <c r="A185" s="131"/>
      <c r="B185" s="313">
        <v>44958</v>
      </c>
      <c r="C185" s="131">
        <v>2888</v>
      </c>
      <c r="D185" s="131">
        <v>64950</v>
      </c>
      <c r="E185" s="314">
        <v>22.489612188365651</v>
      </c>
      <c r="F185" s="131">
        <v>105.69324095458045</v>
      </c>
      <c r="G185" s="131">
        <v>1</v>
      </c>
      <c r="H185" s="315">
        <v>2377</v>
      </c>
      <c r="I185" s="131" t="s">
        <v>720</v>
      </c>
      <c r="J185" s="309" t="s">
        <v>722</v>
      </c>
      <c r="K185" s="131">
        <v>2888</v>
      </c>
      <c r="L185" s="309">
        <v>404.09000000000003</v>
      </c>
      <c r="W185" s="309"/>
    </row>
    <row r="186" spans="1:23" x14ac:dyDescent="0.2">
      <c r="A186" s="131"/>
      <c r="B186" s="313">
        <v>44986</v>
      </c>
      <c r="C186" s="131">
        <v>1676</v>
      </c>
      <c r="D186" s="131">
        <v>30965</v>
      </c>
      <c r="E186" s="314">
        <v>18.475536992840095</v>
      </c>
      <c r="F186" s="131">
        <v>127.84472791861781</v>
      </c>
      <c r="G186" s="131">
        <v>1</v>
      </c>
      <c r="H186" s="315">
        <v>2362</v>
      </c>
      <c r="I186" s="131" t="s">
        <v>720</v>
      </c>
      <c r="J186" s="309" t="s">
        <v>722</v>
      </c>
      <c r="K186" s="131">
        <v>1676</v>
      </c>
      <c r="L186" s="309">
        <v>401.54</v>
      </c>
      <c r="W186" s="309"/>
    </row>
    <row r="187" spans="1:23" x14ac:dyDescent="0.2">
      <c r="A187" s="131" t="s">
        <v>1052</v>
      </c>
      <c r="B187" s="311"/>
      <c r="C187" s="131">
        <v>13612</v>
      </c>
      <c r="D187" s="131">
        <v>282580</v>
      </c>
      <c r="E187" s="314">
        <v>20.759623861298852</v>
      </c>
      <c r="F187" s="131">
        <v>538.78625521976085</v>
      </c>
      <c r="G187" s="131">
        <v>6</v>
      </c>
      <c r="H187" s="315">
        <v>11185</v>
      </c>
      <c r="I187" s="131" t="s">
        <v>720</v>
      </c>
      <c r="J187" s="309" t="s">
        <v>722</v>
      </c>
      <c r="K187" s="131">
        <v>13611.333333333332</v>
      </c>
      <c r="L187" s="309">
        <v>2069.4499999999998</v>
      </c>
      <c r="W187" s="309"/>
    </row>
    <row r="188" spans="1:23" x14ac:dyDescent="0.2">
      <c r="A188" s="131" t="s">
        <v>91</v>
      </c>
      <c r="B188" s="313">
        <v>44378</v>
      </c>
      <c r="C188" s="131">
        <v>1037</v>
      </c>
      <c r="D188" s="131">
        <v>10370</v>
      </c>
      <c r="E188" s="314">
        <v>10</v>
      </c>
      <c r="F188" s="131">
        <v>-39.4</v>
      </c>
      <c r="G188" s="131">
        <v>1</v>
      </c>
      <c r="H188" s="315">
        <v>-394</v>
      </c>
      <c r="I188" s="131" t="s">
        <v>751</v>
      </c>
      <c r="J188" s="309" t="s">
        <v>722</v>
      </c>
      <c r="K188" s="131">
        <v>1034.3333333333333</v>
      </c>
      <c r="L188" s="309">
        <v>-118.19999999999999</v>
      </c>
      <c r="W188" s="309"/>
    </row>
    <row r="189" spans="1:23" x14ac:dyDescent="0.2">
      <c r="A189" s="131"/>
      <c r="B189" s="313">
        <v>44409</v>
      </c>
      <c r="C189" s="131">
        <v>1286</v>
      </c>
      <c r="D189" s="131">
        <v>12860</v>
      </c>
      <c r="E189" s="314">
        <v>10</v>
      </c>
      <c r="F189" s="131">
        <v>65.400000000000006</v>
      </c>
      <c r="G189" s="131">
        <v>1</v>
      </c>
      <c r="H189" s="315">
        <v>654</v>
      </c>
      <c r="I189" s="131" t="s">
        <v>751</v>
      </c>
      <c r="J189" s="309" t="s">
        <v>722</v>
      </c>
      <c r="K189" s="131">
        <v>1286</v>
      </c>
      <c r="L189" s="309">
        <v>196.2</v>
      </c>
      <c r="W189" s="309"/>
    </row>
    <row r="190" spans="1:23" x14ac:dyDescent="0.2">
      <c r="A190" s="131"/>
      <c r="B190" s="313">
        <v>44440</v>
      </c>
      <c r="C190" s="131">
        <v>371</v>
      </c>
      <c r="D190" s="131">
        <v>9275</v>
      </c>
      <c r="E190" s="314">
        <v>25</v>
      </c>
      <c r="F190" s="131">
        <v>19.399999999999999</v>
      </c>
      <c r="G190" s="131">
        <v>1</v>
      </c>
      <c r="H190" s="315">
        <v>485</v>
      </c>
      <c r="I190" s="131" t="s">
        <v>751</v>
      </c>
      <c r="J190" s="309" t="s">
        <v>722</v>
      </c>
      <c r="K190" s="131">
        <v>371</v>
      </c>
      <c r="L190" s="309">
        <v>145.5</v>
      </c>
      <c r="W190" s="309"/>
    </row>
    <row r="191" spans="1:23" x14ac:dyDescent="0.2">
      <c r="A191" s="131"/>
      <c r="B191" s="313">
        <v>44470</v>
      </c>
      <c r="C191" s="131">
        <v>439</v>
      </c>
      <c r="D191" s="131">
        <v>10975</v>
      </c>
      <c r="E191" s="314">
        <v>25</v>
      </c>
      <c r="F191" s="131">
        <v>3.8</v>
      </c>
      <c r="G191" s="131">
        <v>1</v>
      </c>
      <c r="H191" s="315">
        <v>95</v>
      </c>
      <c r="I191" s="131" t="s">
        <v>751</v>
      </c>
      <c r="J191" s="309" t="s">
        <v>722</v>
      </c>
      <c r="K191" s="131">
        <v>439</v>
      </c>
      <c r="L191" s="309">
        <v>28.5</v>
      </c>
      <c r="W191" s="309"/>
    </row>
    <row r="192" spans="1:23" x14ac:dyDescent="0.2">
      <c r="A192" s="131"/>
      <c r="B192" s="313">
        <v>44501</v>
      </c>
      <c r="C192" s="131">
        <v>1769</v>
      </c>
      <c r="D192" s="131">
        <v>44225</v>
      </c>
      <c r="E192" s="314">
        <v>25</v>
      </c>
      <c r="F192" s="131">
        <v>50.68</v>
      </c>
      <c r="G192" s="131">
        <v>1</v>
      </c>
      <c r="H192" s="315">
        <v>1267</v>
      </c>
      <c r="I192" s="131" t="s">
        <v>751</v>
      </c>
      <c r="J192" s="309" t="s">
        <v>722</v>
      </c>
      <c r="K192" s="131">
        <v>1769</v>
      </c>
      <c r="L192" s="309">
        <v>380.09999999999997</v>
      </c>
      <c r="W192" s="309"/>
    </row>
    <row r="193" spans="1:23" x14ac:dyDescent="0.2">
      <c r="A193" s="131"/>
      <c r="B193" s="313">
        <v>44531</v>
      </c>
      <c r="C193" s="131">
        <v>483</v>
      </c>
      <c r="D193" s="131">
        <v>12075</v>
      </c>
      <c r="E193" s="314">
        <v>25</v>
      </c>
      <c r="F193" s="131">
        <v>24.52</v>
      </c>
      <c r="G193" s="131">
        <v>1</v>
      </c>
      <c r="H193" s="315">
        <v>613</v>
      </c>
      <c r="I193" s="131" t="s">
        <v>751</v>
      </c>
      <c r="J193" s="309" t="s">
        <v>722</v>
      </c>
      <c r="K193" s="131">
        <v>483</v>
      </c>
      <c r="L193" s="309">
        <v>183.9</v>
      </c>
      <c r="W193" s="309"/>
    </row>
    <row r="194" spans="1:23" x14ac:dyDescent="0.2">
      <c r="A194" s="131"/>
      <c r="B194" s="313">
        <v>44562</v>
      </c>
      <c r="C194" s="131">
        <v>506</v>
      </c>
      <c r="D194" s="131">
        <v>12650</v>
      </c>
      <c r="E194" s="314">
        <v>25</v>
      </c>
      <c r="F194" s="131">
        <v>5.28</v>
      </c>
      <c r="G194" s="131">
        <v>1</v>
      </c>
      <c r="H194" s="315">
        <v>132</v>
      </c>
      <c r="I194" s="131" t="s">
        <v>751</v>
      </c>
      <c r="J194" s="309" t="s">
        <v>722</v>
      </c>
      <c r="K194" s="131">
        <v>506</v>
      </c>
      <c r="L194" s="309">
        <v>39.6</v>
      </c>
      <c r="W194" s="309"/>
    </row>
    <row r="195" spans="1:23" x14ac:dyDescent="0.2">
      <c r="A195" s="131"/>
      <c r="B195" s="313">
        <v>44593</v>
      </c>
      <c r="C195" s="131">
        <v>1190</v>
      </c>
      <c r="D195" s="131">
        <v>29750</v>
      </c>
      <c r="E195" s="314">
        <v>25</v>
      </c>
      <c r="F195" s="131">
        <v>11.48</v>
      </c>
      <c r="G195" s="131">
        <v>1</v>
      </c>
      <c r="H195" s="315">
        <v>287</v>
      </c>
      <c r="I195" s="131" t="s">
        <v>751</v>
      </c>
      <c r="J195" s="309" t="s">
        <v>722</v>
      </c>
      <c r="K195" s="131">
        <v>1190</v>
      </c>
      <c r="L195" s="309">
        <v>86.1</v>
      </c>
      <c r="W195" s="309"/>
    </row>
    <row r="196" spans="1:23" x14ac:dyDescent="0.2">
      <c r="A196" s="131"/>
      <c r="B196" s="313">
        <v>44652</v>
      </c>
      <c r="C196" s="131">
        <v>99</v>
      </c>
      <c r="D196" s="131">
        <v>2475</v>
      </c>
      <c r="E196" s="314">
        <v>25</v>
      </c>
      <c r="F196" s="131">
        <v>-4.88</v>
      </c>
      <c r="G196" s="131">
        <v>1</v>
      </c>
      <c r="H196" s="315">
        <v>-122</v>
      </c>
      <c r="I196" s="131" t="s">
        <v>751</v>
      </c>
      <c r="J196" s="309" t="s">
        <v>722</v>
      </c>
      <c r="K196" s="131">
        <v>99</v>
      </c>
      <c r="L196" s="309">
        <v>-36.6</v>
      </c>
      <c r="W196" s="309"/>
    </row>
    <row r="197" spans="1:23" x14ac:dyDescent="0.2">
      <c r="A197" s="131"/>
      <c r="B197" s="313">
        <v>44682</v>
      </c>
      <c r="C197" s="131">
        <v>58</v>
      </c>
      <c r="D197" s="131">
        <v>1450</v>
      </c>
      <c r="E197" s="314">
        <v>25</v>
      </c>
      <c r="F197" s="131">
        <v>7.56</v>
      </c>
      <c r="G197" s="131">
        <v>1</v>
      </c>
      <c r="H197" s="315">
        <v>189</v>
      </c>
      <c r="I197" s="131" t="s">
        <v>751</v>
      </c>
      <c r="J197" s="309" t="s">
        <v>722</v>
      </c>
      <c r="K197" s="131">
        <v>58</v>
      </c>
      <c r="L197" s="309">
        <v>56.699999999999996</v>
      </c>
      <c r="W197" s="309"/>
    </row>
    <row r="198" spans="1:23" x14ac:dyDescent="0.2">
      <c r="A198" s="131"/>
      <c r="B198" s="313">
        <v>44713</v>
      </c>
      <c r="C198" s="131">
        <v>595</v>
      </c>
      <c r="D198" s="131">
        <v>14875</v>
      </c>
      <c r="E198" s="314">
        <v>25</v>
      </c>
      <c r="F198" s="131">
        <v>29.8</v>
      </c>
      <c r="G198" s="131">
        <v>1</v>
      </c>
      <c r="H198" s="315">
        <v>745</v>
      </c>
      <c r="I198" s="131" t="s">
        <v>751</v>
      </c>
      <c r="J198" s="309" t="s">
        <v>722</v>
      </c>
      <c r="K198" s="131">
        <v>595</v>
      </c>
      <c r="L198" s="309">
        <v>223.5</v>
      </c>
      <c r="W198" s="309"/>
    </row>
    <row r="199" spans="1:23" x14ac:dyDescent="0.2">
      <c r="A199" s="131"/>
      <c r="B199" s="313">
        <v>44743</v>
      </c>
      <c r="C199" s="131">
        <v>520</v>
      </c>
      <c r="D199" s="131">
        <v>13000</v>
      </c>
      <c r="E199" s="314">
        <v>25</v>
      </c>
      <c r="F199" s="131">
        <v>2.56</v>
      </c>
      <c r="G199" s="131">
        <v>1</v>
      </c>
      <c r="H199" s="315">
        <v>64</v>
      </c>
      <c r="I199" s="131" t="s">
        <v>751</v>
      </c>
      <c r="J199" s="309" t="s">
        <v>722</v>
      </c>
      <c r="K199" s="131">
        <v>520</v>
      </c>
      <c r="L199" s="309">
        <v>19.2</v>
      </c>
      <c r="W199" s="309"/>
    </row>
    <row r="200" spans="1:23" x14ac:dyDescent="0.2">
      <c r="A200" s="131"/>
      <c r="B200" s="313">
        <v>44774</v>
      </c>
      <c r="C200" s="131">
        <v>998</v>
      </c>
      <c r="D200" s="131">
        <v>24950</v>
      </c>
      <c r="E200" s="314">
        <v>25</v>
      </c>
      <c r="F200" s="131">
        <v>2.44</v>
      </c>
      <c r="G200" s="131">
        <v>1</v>
      </c>
      <c r="H200" s="315">
        <v>61</v>
      </c>
      <c r="I200" s="131" t="s">
        <v>751</v>
      </c>
      <c r="J200" s="309" t="s">
        <v>722</v>
      </c>
      <c r="K200" s="131">
        <v>998</v>
      </c>
      <c r="L200" s="309">
        <v>18.3</v>
      </c>
      <c r="W200" s="309"/>
    </row>
    <row r="201" spans="1:23" x14ac:dyDescent="0.2">
      <c r="A201" s="131"/>
      <c r="B201" s="313">
        <v>44805</v>
      </c>
      <c r="C201" s="131">
        <v>1606</v>
      </c>
      <c r="D201" s="131">
        <v>40210</v>
      </c>
      <c r="E201" s="314">
        <v>25.037359900373598</v>
      </c>
      <c r="F201" s="131">
        <v>32.351653817458342</v>
      </c>
      <c r="G201" s="131">
        <v>1</v>
      </c>
      <c r="H201" s="315">
        <v>810</v>
      </c>
      <c r="I201" s="131" t="s">
        <v>751</v>
      </c>
      <c r="J201" s="309" t="s">
        <v>722</v>
      </c>
      <c r="K201" s="131">
        <v>1605.3333333333333</v>
      </c>
      <c r="L201" s="309">
        <v>243</v>
      </c>
      <c r="W201" s="309"/>
    </row>
    <row r="202" spans="1:23" x14ac:dyDescent="0.2">
      <c r="A202" s="131"/>
      <c r="B202" s="313">
        <v>44835</v>
      </c>
      <c r="C202" s="131">
        <v>1175</v>
      </c>
      <c r="D202" s="131">
        <v>35475</v>
      </c>
      <c r="E202" s="314">
        <v>30.191489361702128</v>
      </c>
      <c r="F202" s="131">
        <v>16.892177589852007</v>
      </c>
      <c r="G202" s="131">
        <v>1</v>
      </c>
      <c r="H202" s="315">
        <v>510</v>
      </c>
      <c r="I202" s="131" t="s">
        <v>751</v>
      </c>
      <c r="J202" s="309" t="s">
        <v>722</v>
      </c>
      <c r="K202" s="131">
        <v>1175</v>
      </c>
      <c r="L202" s="309">
        <v>153</v>
      </c>
      <c r="W202" s="309"/>
    </row>
    <row r="203" spans="1:23" x14ac:dyDescent="0.2">
      <c r="A203" s="131"/>
      <c r="B203" s="313">
        <v>44866</v>
      </c>
      <c r="C203" s="131">
        <v>640</v>
      </c>
      <c r="D203" s="131">
        <v>16000</v>
      </c>
      <c r="E203" s="314">
        <v>25</v>
      </c>
      <c r="F203" s="131">
        <v>-13.64</v>
      </c>
      <c r="G203" s="131">
        <v>1</v>
      </c>
      <c r="H203" s="315">
        <v>-341</v>
      </c>
      <c r="I203" s="131" t="s">
        <v>751</v>
      </c>
      <c r="J203" s="309" t="s">
        <v>722</v>
      </c>
      <c r="K203" s="131">
        <v>640</v>
      </c>
      <c r="L203" s="309">
        <v>-102.3</v>
      </c>
      <c r="W203" s="309"/>
    </row>
    <row r="204" spans="1:23" x14ac:dyDescent="0.2">
      <c r="A204" s="131"/>
      <c r="B204" s="313">
        <v>44896</v>
      </c>
      <c r="C204" s="131">
        <v>323</v>
      </c>
      <c r="D204" s="131">
        <v>16075</v>
      </c>
      <c r="E204" s="314">
        <v>49.767801857585141</v>
      </c>
      <c r="F204" s="131">
        <v>-4.8023017107309487</v>
      </c>
      <c r="G204" s="131">
        <v>1</v>
      </c>
      <c r="H204" s="315">
        <v>-239</v>
      </c>
      <c r="I204" s="131" t="s">
        <v>751</v>
      </c>
      <c r="J204" s="309" t="s">
        <v>722</v>
      </c>
      <c r="K204" s="131">
        <v>323</v>
      </c>
      <c r="L204" s="309">
        <v>-62.140000000000008</v>
      </c>
      <c r="W204" s="309"/>
    </row>
    <row r="205" spans="1:23" x14ac:dyDescent="0.2">
      <c r="A205" s="131"/>
      <c r="B205" s="313">
        <v>44927</v>
      </c>
      <c r="C205" s="131">
        <v>213</v>
      </c>
      <c r="D205" s="131">
        <v>10575</v>
      </c>
      <c r="E205" s="314">
        <v>49.647887323943664</v>
      </c>
      <c r="F205" s="131">
        <v>-6.0022695035460991</v>
      </c>
      <c r="G205" s="131">
        <v>1</v>
      </c>
      <c r="H205" s="315">
        <v>-298</v>
      </c>
      <c r="I205" s="131" t="s">
        <v>751</v>
      </c>
      <c r="J205" s="309" t="s">
        <v>722</v>
      </c>
      <c r="K205" s="131">
        <v>213</v>
      </c>
      <c r="L205" s="309">
        <v>-77.48</v>
      </c>
      <c r="W205" s="309"/>
    </row>
    <row r="206" spans="1:23" x14ac:dyDescent="0.2">
      <c r="A206" s="131"/>
      <c r="B206" s="313">
        <v>44958</v>
      </c>
      <c r="C206" s="131">
        <v>137</v>
      </c>
      <c r="D206" s="131">
        <v>6409</v>
      </c>
      <c r="E206" s="314">
        <v>46.78102189781022</v>
      </c>
      <c r="F206" s="131">
        <v>-10.025432984865033</v>
      </c>
      <c r="G206" s="131">
        <v>1</v>
      </c>
      <c r="H206" s="315">
        <v>-469</v>
      </c>
      <c r="I206" s="131" t="s">
        <v>751</v>
      </c>
      <c r="J206" s="309" t="s">
        <v>722</v>
      </c>
      <c r="K206" s="131">
        <v>137</v>
      </c>
      <c r="L206" s="309">
        <v>-121.94</v>
      </c>
      <c r="W206" s="309"/>
    </row>
    <row r="207" spans="1:23" x14ac:dyDescent="0.2">
      <c r="A207" s="131"/>
      <c r="B207" s="313">
        <v>44986</v>
      </c>
      <c r="C207" s="131">
        <v>1236</v>
      </c>
      <c r="D207" s="131">
        <v>39800</v>
      </c>
      <c r="E207" s="314">
        <v>32.200647249190936</v>
      </c>
      <c r="F207" s="131">
        <v>-4.6272361809045233</v>
      </c>
      <c r="G207" s="131">
        <v>1</v>
      </c>
      <c r="H207" s="315">
        <v>-149</v>
      </c>
      <c r="I207" s="131" t="s">
        <v>751</v>
      </c>
      <c r="J207" s="309" t="s">
        <v>722</v>
      </c>
      <c r="K207" s="131">
        <v>1236</v>
      </c>
      <c r="L207" s="309">
        <v>-44.699999999999996</v>
      </c>
      <c r="W207" s="309"/>
    </row>
    <row r="208" spans="1:23" x14ac:dyDescent="0.2">
      <c r="A208" s="131" t="s">
        <v>1053</v>
      </c>
      <c r="B208" s="311"/>
      <c r="C208" s="131">
        <v>14681</v>
      </c>
      <c r="D208" s="131">
        <v>363474</v>
      </c>
      <c r="E208" s="314">
        <v>24.758122743682311</v>
      </c>
      <c r="F208" s="131">
        <v>157.52405949256342</v>
      </c>
      <c r="G208" s="131">
        <v>20</v>
      </c>
      <c r="H208" s="315">
        <v>3900</v>
      </c>
      <c r="I208" s="131" t="s">
        <v>751</v>
      </c>
      <c r="J208" s="309" t="s">
        <v>722</v>
      </c>
      <c r="K208" s="131">
        <v>14677.666666666666</v>
      </c>
      <c r="L208" s="309">
        <v>1210.2399999999998</v>
      </c>
      <c r="W208" s="309"/>
    </row>
    <row r="209" spans="1:23" x14ac:dyDescent="0.2">
      <c r="A209" s="131" t="s">
        <v>172</v>
      </c>
      <c r="B209" s="313">
        <v>44621</v>
      </c>
      <c r="C209" s="131">
        <v>7334</v>
      </c>
      <c r="D209" s="131">
        <v>733400</v>
      </c>
      <c r="E209" s="314">
        <v>100</v>
      </c>
      <c r="F209" s="131">
        <v>-92.09</v>
      </c>
      <c r="G209" s="131">
        <v>1</v>
      </c>
      <c r="H209" s="315">
        <v>-9209</v>
      </c>
      <c r="I209" s="131" t="s">
        <v>784</v>
      </c>
      <c r="J209" s="309" t="s">
        <v>786</v>
      </c>
      <c r="K209" s="131">
        <v>4813.333333333333</v>
      </c>
      <c r="L209" s="309">
        <v>-2878.0124999999998</v>
      </c>
      <c r="W209" s="309"/>
    </row>
    <row r="210" spans="1:23" x14ac:dyDescent="0.2">
      <c r="A210" s="131"/>
      <c r="B210" s="313">
        <v>44743</v>
      </c>
      <c r="C210" s="131">
        <v>12338</v>
      </c>
      <c r="D210" s="131">
        <v>1309600</v>
      </c>
      <c r="E210" s="314">
        <v>106.1436213324688</v>
      </c>
      <c r="F210" s="131">
        <v>304.64383628588882</v>
      </c>
      <c r="G210" s="131">
        <v>1</v>
      </c>
      <c r="H210" s="315">
        <v>32336</v>
      </c>
      <c r="I210" s="131" t="s">
        <v>784</v>
      </c>
      <c r="J210" s="309" t="s">
        <v>786</v>
      </c>
      <c r="K210" s="131">
        <v>12316</v>
      </c>
      <c r="L210" s="309">
        <v>8487.7999999999993</v>
      </c>
      <c r="W210" s="309"/>
    </row>
    <row r="211" spans="1:23" x14ac:dyDescent="0.2">
      <c r="A211" s="131"/>
      <c r="B211" s="313">
        <v>44805</v>
      </c>
      <c r="C211" s="131">
        <v>9613</v>
      </c>
      <c r="D211" s="131">
        <v>1018050</v>
      </c>
      <c r="E211" s="314">
        <v>105.90346405908666</v>
      </c>
      <c r="F211" s="131">
        <v>101.81914346053729</v>
      </c>
      <c r="G211" s="131">
        <v>1</v>
      </c>
      <c r="H211" s="315">
        <v>10783</v>
      </c>
      <c r="I211" s="131" t="s">
        <v>784</v>
      </c>
      <c r="J211" s="309" t="s">
        <v>786</v>
      </c>
      <c r="K211" s="131">
        <v>8781</v>
      </c>
      <c r="L211" s="309">
        <v>2829.0875000000001</v>
      </c>
      <c r="W211" s="309"/>
    </row>
    <row r="212" spans="1:23" x14ac:dyDescent="0.2">
      <c r="A212" s="131"/>
      <c r="B212" s="313">
        <v>44835</v>
      </c>
      <c r="C212" s="131">
        <v>8514</v>
      </c>
      <c r="D212" s="131">
        <v>832800</v>
      </c>
      <c r="E212" s="314">
        <v>97.815362931641999</v>
      </c>
      <c r="F212" s="131">
        <v>185.28786743515852</v>
      </c>
      <c r="G212" s="131">
        <v>1</v>
      </c>
      <c r="H212" s="315">
        <v>18124</v>
      </c>
      <c r="I212" s="131" t="s">
        <v>784</v>
      </c>
      <c r="J212" s="309" t="s">
        <v>786</v>
      </c>
      <c r="K212" s="131">
        <v>8307.9999999999982</v>
      </c>
      <c r="L212" s="309">
        <v>4756.9500000000007</v>
      </c>
      <c r="W212" s="309"/>
    </row>
    <row r="213" spans="1:23" x14ac:dyDescent="0.2">
      <c r="A213" s="131"/>
      <c r="B213" s="313">
        <v>44866</v>
      </c>
      <c r="C213" s="131">
        <v>5609</v>
      </c>
      <c r="D213" s="131">
        <v>721200</v>
      </c>
      <c r="E213" s="314">
        <v>128.57906935282583</v>
      </c>
      <c r="F213" s="131">
        <v>151.8676414309484</v>
      </c>
      <c r="G213" s="131">
        <v>1</v>
      </c>
      <c r="H213" s="315">
        <v>19527</v>
      </c>
      <c r="I213" s="131" t="s">
        <v>784</v>
      </c>
      <c r="J213" s="309" t="s">
        <v>786</v>
      </c>
      <c r="K213" s="131">
        <v>4838</v>
      </c>
      <c r="L213" s="309">
        <v>5125.7875000000004</v>
      </c>
      <c r="W213" s="309"/>
    </row>
    <row r="214" spans="1:23" x14ac:dyDescent="0.2">
      <c r="A214" s="131"/>
      <c r="B214" s="313">
        <v>44896</v>
      </c>
      <c r="C214" s="131">
        <v>4502</v>
      </c>
      <c r="D214" s="131">
        <v>670152.25</v>
      </c>
      <c r="E214" s="314">
        <v>148.85656374944469</v>
      </c>
      <c r="F214" s="131">
        <v>180.17344566104194</v>
      </c>
      <c r="G214" s="131">
        <v>1</v>
      </c>
      <c r="H214" s="315">
        <v>26820</v>
      </c>
      <c r="I214" s="131" t="s">
        <v>784</v>
      </c>
      <c r="J214" s="309" t="s">
        <v>786</v>
      </c>
      <c r="K214" s="131">
        <v>3736.333333333333</v>
      </c>
      <c r="L214" s="309">
        <v>7041.25</v>
      </c>
      <c r="W214" s="309"/>
    </row>
    <row r="215" spans="1:23" x14ac:dyDescent="0.2">
      <c r="A215" s="131"/>
      <c r="B215" s="313">
        <v>44927</v>
      </c>
      <c r="C215" s="131">
        <v>3801</v>
      </c>
      <c r="D215" s="131">
        <v>585285</v>
      </c>
      <c r="E215" s="314">
        <v>153.98184688239937</v>
      </c>
      <c r="F215" s="131">
        <v>74.937404854045468</v>
      </c>
      <c r="G215" s="131">
        <v>1</v>
      </c>
      <c r="H215" s="315">
        <v>11539</v>
      </c>
      <c r="I215" s="131" t="s">
        <v>784</v>
      </c>
      <c r="J215" s="309" t="s">
        <v>786</v>
      </c>
      <c r="K215" s="131">
        <v>3788.3333333333335</v>
      </c>
      <c r="L215" s="309">
        <v>3029.1374999999998</v>
      </c>
      <c r="W215" s="309"/>
    </row>
    <row r="216" spans="1:23" x14ac:dyDescent="0.2">
      <c r="A216" s="131"/>
      <c r="B216" s="313">
        <v>44958</v>
      </c>
      <c r="C216" s="131">
        <v>7615</v>
      </c>
      <c r="D216" s="131">
        <v>1272000</v>
      </c>
      <c r="E216" s="314">
        <v>167.03873933026921</v>
      </c>
      <c r="F216" s="131">
        <v>223.38530660377359</v>
      </c>
      <c r="G216" s="131">
        <v>1</v>
      </c>
      <c r="H216" s="315">
        <v>37314</v>
      </c>
      <c r="I216" s="131" t="s">
        <v>784</v>
      </c>
      <c r="J216" s="309" t="s">
        <v>786</v>
      </c>
      <c r="K216" s="131">
        <v>5594.666666666667</v>
      </c>
      <c r="L216" s="309">
        <v>5597.0999999999995</v>
      </c>
      <c r="W216" s="309"/>
    </row>
    <row r="217" spans="1:23" x14ac:dyDescent="0.2">
      <c r="A217" s="131"/>
      <c r="B217" s="313">
        <v>44986</v>
      </c>
      <c r="C217" s="131">
        <v>2437</v>
      </c>
      <c r="D217" s="131">
        <v>536050</v>
      </c>
      <c r="E217" s="314">
        <v>219.96306934755847</v>
      </c>
      <c r="F217" s="131">
        <v>96.138865777446128</v>
      </c>
      <c r="G217" s="131">
        <v>1</v>
      </c>
      <c r="H217" s="315">
        <v>21147</v>
      </c>
      <c r="I217" s="131" t="s">
        <v>784</v>
      </c>
      <c r="J217" s="309" t="s">
        <v>786</v>
      </c>
      <c r="K217" s="131">
        <v>2167.3333333333335</v>
      </c>
      <c r="L217" s="309">
        <v>3172.05</v>
      </c>
      <c r="W217" s="309"/>
    </row>
    <row r="218" spans="1:23" x14ac:dyDescent="0.2">
      <c r="A218" s="131" t="s">
        <v>1054</v>
      </c>
      <c r="B218" s="311"/>
      <c r="C218" s="131">
        <v>61763</v>
      </c>
      <c r="D218" s="131">
        <v>7678537.25</v>
      </c>
      <c r="E218" s="314">
        <v>124.3226081958454</v>
      </c>
      <c r="F218" s="131">
        <v>1354.3876085253087</v>
      </c>
      <c r="G218" s="131">
        <v>9</v>
      </c>
      <c r="H218" s="315">
        <v>168381</v>
      </c>
      <c r="I218" s="131" t="s">
        <v>784</v>
      </c>
      <c r="J218" s="309" t="s">
        <v>786</v>
      </c>
      <c r="K218" s="131">
        <v>54343.000000000007</v>
      </c>
      <c r="L218" s="309">
        <v>37161.149999999994</v>
      </c>
      <c r="W218" s="309"/>
    </row>
    <row r="219" spans="1:23" x14ac:dyDescent="0.2">
      <c r="A219" s="131" t="s">
        <v>447</v>
      </c>
      <c r="B219" s="313">
        <v>44713</v>
      </c>
      <c r="C219" s="309">
        <v>2399</v>
      </c>
      <c r="D219" s="131">
        <v>663150</v>
      </c>
      <c r="E219" s="314">
        <v>276.42767819924967</v>
      </c>
      <c r="F219" s="131">
        <v>92.107274372313967</v>
      </c>
      <c r="G219" s="131">
        <v>1</v>
      </c>
      <c r="H219" s="315">
        <v>25461</v>
      </c>
      <c r="I219" s="131" t="s">
        <v>739</v>
      </c>
      <c r="J219" s="309" t="s">
        <v>741</v>
      </c>
      <c r="K219" s="131">
        <v>1199.5</v>
      </c>
      <c r="L219" s="309">
        <v>5601</v>
      </c>
      <c r="W219" s="309"/>
    </row>
    <row r="220" spans="1:23" x14ac:dyDescent="0.2">
      <c r="A220" s="131"/>
      <c r="B220" s="313">
        <v>44743</v>
      </c>
      <c r="C220" s="131">
        <v>1519</v>
      </c>
      <c r="D220" s="131">
        <v>463100</v>
      </c>
      <c r="E220" s="314">
        <v>304.87162606978274</v>
      </c>
      <c r="F220" s="131">
        <v>72.673210969553011</v>
      </c>
      <c r="G220" s="131">
        <v>1</v>
      </c>
      <c r="H220" s="315">
        <v>22156</v>
      </c>
      <c r="I220" s="131" t="s">
        <v>739</v>
      </c>
      <c r="J220" s="309" t="s">
        <v>741</v>
      </c>
      <c r="K220" s="131">
        <v>759.5</v>
      </c>
      <c r="L220" s="309">
        <v>4874</v>
      </c>
      <c r="W220" s="309"/>
    </row>
    <row r="221" spans="1:23" x14ac:dyDescent="0.2">
      <c r="A221" s="131"/>
      <c r="B221" s="313">
        <v>44774</v>
      </c>
      <c r="C221" s="131">
        <v>1423</v>
      </c>
      <c r="D221" s="131">
        <v>424600</v>
      </c>
      <c r="E221" s="314">
        <v>298.38369641602247</v>
      </c>
      <c r="F221" s="131">
        <v>-74.209818652849748</v>
      </c>
      <c r="G221" s="131">
        <v>1</v>
      </c>
      <c r="H221" s="315">
        <v>-22143</v>
      </c>
      <c r="I221" s="131" t="s">
        <v>739</v>
      </c>
      <c r="J221" s="309" t="s">
        <v>741</v>
      </c>
      <c r="K221" s="131">
        <v>709.16666666666674</v>
      </c>
      <c r="L221" s="309">
        <v>-4429</v>
      </c>
      <c r="W221" s="309"/>
    </row>
    <row r="222" spans="1:23" x14ac:dyDescent="0.2">
      <c r="A222" s="131"/>
      <c r="B222" s="313">
        <v>44805</v>
      </c>
      <c r="C222" s="131">
        <v>1371</v>
      </c>
      <c r="D222" s="131">
        <v>439750</v>
      </c>
      <c r="E222" s="314">
        <v>320.75127644055436</v>
      </c>
      <c r="F222" s="131">
        <v>118.46250596930074</v>
      </c>
      <c r="G222" s="131">
        <v>1</v>
      </c>
      <c r="H222" s="315">
        <v>37997</v>
      </c>
      <c r="I222" s="131" t="s">
        <v>739</v>
      </c>
      <c r="J222" s="309" t="s">
        <v>741</v>
      </c>
      <c r="K222" s="131">
        <v>685.33333333333337</v>
      </c>
      <c r="L222" s="309">
        <v>7599</v>
      </c>
      <c r="W222" s="309"/>
    </row>
    <row r="223" spans="1:23" x14ac:dyDescent="0.2">
      <c r="A223" s="131"/>
      <c r="B223" s="313">
        <v>44835</v>
      </c>
      <c r="C223" s="309">
        <v>2241</v>
      </c>
      <c r="D223" s="131">
        <v>680250</v>
      </c>
      <c r="E223" s="314">
        <v>303.54752342704148</v>
      </c>
      <c r="F223" s="131">
        <v>-16.557539140022051</v>
      </c>
      <c r="G223" s="131">
        <v>1</v>
      </c>
      <c r="H223" s="315">
        <v>-5026</v>
      </c>
      <c r="I223" s="131" t="s">
        <v>739</v>
      </c>
      <c r="J223" s="309" t="s">
        <v>741</v>
      </c>
      <c r="K223" s="131">
        <v>1120.3333333333333</v>
      </c>
      <c r="L223" s="309">
        <v>-1005</v>
      </c>
      <c r="W223" s="309"/>
    </row>
    <row r="224" spans="1:23" x14ac:dyDescent="0.2">
      <c r="A224" s="131"/>
      <c r="B224" s="313">
        <v>44866</v>
      </c>
      <c r="C224" s="309">
        <v>1033</v>
      </c>
      <c r="D224" s="131">
        <v>298750</v>
      </c>
      <c r="E224" s="314">
        <v>289.20619554695065</v>
      </c>
      <c r="F224" s="131">
        <v>7.285459414225941</v>
      </c>
      <c r="G224" s="131">
        <v>1</v>
      </c>
      <c r="H224" s="315">
        <v>2107</v>
      </c>
      <c r="I224" s="131" t="s">
        <v>739</v>
      </c>
      <c r="J224" s="309" t="s">
        <v>741</v>
      </c>
      <c r="K224" s="131">
        <v>516.5</v>
      </c>
      <c r="L224" s="309">
        <v>421</v>
      </c>
      <c r="W224" s="309"/>
    </row>
    <row r="225" spans="1:23" x14ac:dyDescent="0.2">
      <c r="A225" s="131"/>
      <c r="B225" s="313">
        <v>44896</v>
      </c>
      <c r="C225" s="309">
        <v>552</v>
      </c>
      <c r="D225" s="131">
        <v>73350</v>
      </c>
      <c r="E225" s="314">
        <v>132.88043478260869</v>
      </c>
      <c r="F225" s="131">
        <v>8.8500613496932523</v>
      </c>
      <c r="G225" s="131">
        <v>1</v>
      </c>
      <c r="H225" s="315">
        <v>1176</v>
      </c>
      <c r="I225" s="131" t="s">
        <v>739</v>
      </c>
      <c r="J225" s="309" t="s">
        <v>741</v>
      </c>
      <c r="K225" s="131">
        <v>504</v>
      </c>
      <c r="L225" s="309">
        <v>235</v>
      </c>
      <c r="W225" s="309"/>
    </row>
    <row r="226" spans="1:23" x14ac:dyDescent="0.2">
      <c r="A226" s="131"/>
      <c r="B226" s="313">
        <v>44927</v>
      </c>
      <c r="C226" s="309">
        <v>2880</v>
      </c>
      <c r="D226" s="131">
        <v>730850</v>
      </c>
      <c r="E226" s="314">
        <v>253.76736111111111</v>
      </c>
      <c r="F226" s="131">
        <v>-69.039611411370316</v>
      </c>
      <c r="G226" s="131">
        <v>1</v>
      </c>
      <c r="H226" s="315">
        <v>-17520</v>
      </c>
      <c r="I226" s="131" t="s">
        <v>739</v>
      </c>
      <c r="J226" s="309" t="s">
        <v>741</v>
      </c>
      <c r="K226" s="131">
        <v>1498.6666666666667</v>
      </c>
      <c r="L226" s="309">
        <v>-3503</v>
      </c>
      <c r="W226" s="309"/>
    </row>
    <row r="227" spans="1:23" x14ac:dyDescent="0.2">
      <c r="A227" s="131"/>
      <c r="B227" s="313">
        <v>44958</v>
      </c>
      <c r="C227" s="131">
        <v>1455</v>
      </c>
      <c r="D227" s="131">
        <v>388350</v>
      </c>
      <c r="E227" s="314">
        <v>266.90721649484539</v>
      </c>
      <c r="F227" s="131">
        <v>21.404441869447663</v>
      </c>
      <c r="G227" s="131">
        <v>1</v>
      </c>
      <c r="H227" s="315">
        <v>5713</v>
      </c>
      <c r="I227" s="131" t="s">
        <v>739</v>
      </c>
      <c r="J227" s="309" t="s">
        <v>741</v>
      </c>
      <c r="K227" s="131">
        <v>727.5</v>
      </c>
      <c r="L227" s="309">
        <v>1142.5999999999999</v>
      </c>
      <c r="W227" s="309"/>
    </row>
    <row r="228" spans="1:23" x14ac:dyDescent="0.2">
      <c r="A228" s="131" t="s">
        <v>1055</v>
      </c>
      <c r="B228" s="311"/>
      <c r="C228" s="131">
        <v>14873</v>
      </c>
      <c r="D228" s="131">
        <v>4162150</v>
      </c>
      <c r="E228" s="314">
        <v>279.84602971828144</v>
      </c>
      <c r="F228" s="131">
        <v>178.3873798397463</v>
      </c>
      <c r="G228" s="131">
        <v>9</v>
      </c>
      <c r="H228" s="315">
        <v>49921</v>
      </c>
      <c r="I228" s="131" t="s">
        <v>739</v>
      </c>
      <c r="J228" s="309" t="s">
        <v>741</v>
      </c>
      <c r="K228" s="131">
        <v>7720.5</v>
      </c>
      <c r="L228" s="309">
        <v>10935.599999999999</v>
      </c>
      <c r="W228" s="309"/>
    </row>
    <row r="229" spans="1:23" x14ac:dyDescent="0.2">
      <c r="A229" s="131" t="s">
        <v>152</v>
      </c>
      <c r="B229" s="313">
        <v>44470</v>
      </c>
      <c r="C229" s="131">
        <v>5200</v>
      </c>
      <c r="D229" s="131">
        <v>520000</v>
      </c>
      <c r="E229" s="314">
        <v>100</v>
      </c>
      <c r="F229" s="131">
        <v>55.71</v>
      </c>
      <c r="G229" s="131">
        <v>1</v>
      </c>
      <c r="H229" s="315">
        <v>5571</v>
      </c>
      <c r="I229" s="131" t="s">
        <v>739</v>
      </c>
      <c r="J229" s="309" t="s">
        <v>722</v>
      </c>
      <c r="K229" s="131">
        <v>5200</v>
      </c>
      <c r="L229" s="309">
        <v>1002.78</v>
      </c>
      <c r="W229" s="309"/>
    </row>
    <row r="230" spans="1:23" x14ac:dyDescent="0.2">
      <c r="A230" s="131"/>
      <c r="B230" s="313">
        <v>44501</v>
      </c>
      <c r="C230" s="131">
        <v>1010</v>
      </c>
      <c r="D230" s="131">
        <v>101000</v>
      </c>
      <c r="E230" s="314">
        <v>100</v>
      </c>
      <c r="F230" s="131">
        <v>-38.18</v>
      </c>
      <c r="G230" s="131">
        <v>1</v>
      </c>
      <c r="H230" s="315">
        <v>-3818</v>
      </c>
      <c r="I230" s="131" t="s">
        <v>739</v>
      </c>
      <c r="J230" s="309" t="s">
        <v>722</v>
      </c>
      <c r="K230" s="131">
        <v>1010</v>
      </c>
      <c r="L230" s="309">
        <v>-687.24</v>
      </c>
      <c r="W230" s="309"/>
    </row>
    <row r="231" spans="1:23" x14ac:dyDescent="0.2">
      <c r="A231" s="131"/>
      <c r="B231" s="313">
        <v>44531</v>
      </c>
      <c r="C231" s="131">
        <v>1297</v>
      </c>
      <c r="D231" s="131">
        <v>129700</v>
      </c>
      <c r="E231" s="314">
        <v>100</v>
      </c>
      <c r="F231" s="131">
        <v>114.16</v>
      </c>
      <c r="G231" s="131">
        <v>1</v>
      </c>
      <c r="H231" s="315">
        <v>11416</v>
      </c>
      <c r="I231" s="131" t="s">
        <v>739</v>
      </c>
      <c r="J231" s="309" t="s">
        <v>722</v>
      </c>
      <c r="K231" s="131">
        <v>1297</v>
      </c>
      <c r="L231" s="309">
        <v>2054.8799999999997</v>
      </c>
      <c r="W231" s="309"/>
    </row>
    <row r="232" spans="1:23" x14ac:dyDescent="0.2">
      <c r="A232" s="131"/>
      <c r="B232" s="313">
        <v>44562</v>
      </c>
      <c r="C232" s="131">
        <v>528</v>
      </c>
      <c r="D232" s="131">
        <v>52800</v>
      </c>
      <c r="E232" s="314">
        <v>100</v>
      </c>
      <c r="F232" s="131">
        <v>72.31</v>
      </c>
      <c r="G232" s="131">
        <v>1</v>
      </c>
      <c r="H232" s="315">
        <v>7231</v>
      </c>
      <c r="I232" s="131" t="s">
        <v>739</v>
      </c>
      <c r="J232" s="309" t="s">
        <v>722</v>
      </c>
      <c r="K232" s="131">
        <v>528</v>
      </c>
      <c r="L232" s="309">
        <v>1301.58</v>
      </c>
      <c r="W232" s="309"/>
    </row>
    <row r="233" spans="1:23" x14ac:dyDescent="0.2">
      <c r="A233" s="131"/>
      <c r="B233" s="313">
        <v>44593</v>
      </c>
      <c r="C233" s="131">
        <v>1196</v>
      </c>
      <c r="D233" s="131">
        <v>119600</v>
      </c>
      <c r="E233" s="314">
        <v>100</v>
      </c>
      <c r="F233" s="131">
        <v>65.34</v>
      </c>
      <c r="G233" s="131">
        <v>1</v>
      </c>
      <c r="H233" s="315">
        <v>6534</v>
      </c>
      <c r="I233" s="131" t="s">
        <v>739</v>
      </c>
      <c r="J233" s="309" t="s">
        <v>722</v>
      </c>
      <c r="K233" s="131">
        <v>1196</v>
      </c>
      <c r="L233" s="309">
        <v>1482</v>
      </c>
      <c r="W233" s="309"/>
    </row>
    <row r="234" spans="1:23" x14ac:dyDescent="0.2">
      <c r="A234" s="131"/>
      <c r="B234" s="313">
        <v>44621</v>
      </c>
      <c r="C234" s="131">
        <v>7117</v>
      </c>
      <c r="D234" s="131">
        <v>716850</v>
      </c>
      <c r="E234" s="314">
        <v>100.7236195025994</v>
      </c>
      <c r="F234" s="131">
        <v>63.808270907442285</v>
      </c>
      <c r="G234" s="131">
        <v>1</v>
      </c>
      <c r="H234" s="315">
        <v>6427</v>
      </c>
      <c r="I234" s="131" t="s">
        <v>739</v>
      </c>
      <c r="J234" s="309" t="s">
        <v>722</v>
      </c>
      <c r="K234" s="131">
        <v>2606.3333333333335</v>
      </c>
      <c r="L234" s="309">
        <v>964</v>
      </c>
      <c r="W234" s="309"/>
    </row>
    <row r="235" spans="1:23" x14ac:dyDescent="0.2">
      <c r="A235" s="131"/>
      <c r="B235" s="313">
        <v>44652</v>
      </c>
      <c r="C235" s="131">
        <v>15318</v>
      </c>
      <c r="D235" s="131">
        <v>1644700</v>
      </c>
      <c r="E235" s="314">
        <v>107.37041389215302</v>
      </c>
      <c r="F235" s="131">
        <v>-11.912033805557245</v>
      </c>
      <c r="G235" s="131">
        <v>1</v>
      </c>
      <c r="H235" s="315">
        <v>-1279</v>
      </c>
      <c r="I235" s="131" t="s">
        <v>739</v>
      </c>
      <c r="J235" s="309" t="s">
        <v>722</v>
      </c>
      <c r="K235" s="131">
        <v>5106</v>
      </c>
      <c r="L235" s="309">
        <v>-191</v>
      </c>
      <c r="W235" s="309"/>
    </row>
    <row r="236" spans="1:23" x14ac:dyDescent="0.2">
      <c r="A236" s="131"/>
      <c r="B236" s="313">
        <v>44682</v>
      </c>
      <c r="C236" s="131">
        <v>10906</v>
      </c>
      <c r="D236" s="131">
        <v>1263400</v>
      </c>
      <c r="E236" s="314">
        <v>115.84448927196038</v>
      </c>
      <c r="F236" s="131">
        <v>-40.985980687034989</v>
      </c>
      <c r="G236" s="131">
        <v>1</v>
      </c>
      <c r="H236" s="315">
        <v>-4748</v>
      </c>
      <c r="I236" s="131" t="s">
        <v>739</v>
      </c>
      <c r="J236" s="309" t="s">
        <v>722</v>
      </c>
      <c r="K236" s="131">
        <v>3635.3333333333335</v>
      </c>
      <c r="L236" s="309">
        <v>-712</v>
      </c>
      <c r="W236" s="309"/>
    </row>
    <row r="237" spans="1:23" x14ac:dyDescent="0.2">
      <c r="A237" s="131"/>
      <c r="B237" s="313">
        <v>44713</v>
      </c>
      <c r="C237" s="131">
        <v>9135</v>
      </c>
      <c r="D237" s="131">
        <v>935200</v>
      </c>
      <c r="E237" s="314">
        <v>102.37547892720306</v>
      </c>
      <c r="F237" s="131">
        <v>-85.987387724550899</v>
      </c>
      <c r="G237" s="131">
        <v>1</v>
      </c>
      <c r="H237" s="315">
        <v>-8803</v>
      </c>
      <c r="I237" s="131" t="s">
        <v>739</v>
      </c>
      <c r="J237" s="309" t="s">
        <v>722</v>
      </c>
      <c r="K237" s="131">
        <v>3045</v>
      </c>
      <c r="L237" s="309">
        <v>-1321</v>
      </c>
      <c r="W237" s="309"/>
    </row>
    <row r="238" spans="1:23" x14ac:dyDescent="0.2">
      <c r="A238" s="131"/>
      <c r="B238" s="313">
        <v>44743</v>
      </c>
      <c r="C238" s="131">
        <v>4314</v>
      </c>
      <c r="D238" s="131">
        <v>431400</v>
      </c>
      <c r="E238" s="314">
        <v>100</v>
      </c>
      <c r="F238" s="131">
        <v>8.06</v>
      </c>
      <c r="G238" s="131">
        <v>1</v>
      </c>
      <c r="H238" s="315">
        <v>806</v>
      </c>
      <c r="I238" s="131" t="s">
        <v>739</v>
      </c>
      <c r="J238" s="309" t="s">
        <v>722</v>
      </c>
      <c r="K238" s="131">
        <v>1438</v>
      </c>
      <c r="L238" s="309">
        <v>121</v>
      </c>
      <c r="W238" s="309"/>
    </row>
    <row r="239" spans="1:23" x14ac:dyDescent="0.2">
      <c r="A239" s="131"/>
      <c r="B239" s="313">
        <v>44774</v>
      </c>
      <c r="C239" s="131">
        <v>6021</v>
      </c>
      <c r="D239" s="131">
        <v>602100</v>
      </c>
      <c r="E239" s="314">
        <v>100</v>
      </c>
      <c r="F239" s="131">
        <v>104.22</v>
      </c>
      <c r="G239" s="131">
        <v>1</v>
      </c>
      <c r="H239" s="315">
        <v>10422</v>
      </c>
      <c r="I239" s="131" t="s">
        <v>739</v>
      </c>
      <c r="J239" s="309" t="s">
        <v>722</v>
      </c>
      <c r="K239" s="131">
        <v>2007</v>
      </c>
      <c r="L239" s="309">
        <v>1563</v>
      </c>
      <c r="W239" s="309"/>
    </row>
    <row r="240" spans="1:23" x14ac:dyDescent="0.2">
      <c r="A240" s="131"/>
      <c r="B240" s="313">
        <v>44805</v>
      </c>
      <c r="C240" s="131">
        <v>1704</v>
      </c>
      <c r="D240" s="131">
        <v>170400</v>
      </c>
      <c r="E240" s="314">
        <v>100</v>
      </c>
      <c r="F240" s="131">
        <v>-55.19</v>
      </c>
      <c r="G240" s="131">
        <v>1</v>
      </c>
      <c r="H240" s="315">
        <v>-5519</v>
      </c>
      <c r="I240" s="131" t="s">
        <v>739</v>
      </c>
      <c r="J240" s="309" t="s">
        <v>722</v>
      </c>
      <c r="K240" s="131">
        <v>568</v>
      </c>
      <c r="L240" s="309">
        <v>-828</v>
      </c>
      <c r="W240" s="309"/>
    </row>
    <row r="241" spans="1:23" x14ac:dyDescent="0.2">
      <c r="A241" s="131"/>
      <c r="B241" s="313">
        <v>44835</v>
      </c>
      <c r="C241" s="131">
        <v>8507</v>
      </c>
      <c r="D241" s="131">
        <v>853500</v>
      </c>
      <c r="E241" s="314">
        <v>100.32914070765253</v>
      </c>
      <c r="F241" s="131">
        <v>63.221910954891619</v>
      </c>
      <c r="G241" s="131">
        <v>1</v>
      </c>
      <c r="H241" s="315">
        <v>6343</v>
      </c>
      <c r="I241" s="131" t="s">
        <v>739</v>
      </c>
      <c r="J241" s="309" t="s">
        <v>722</v>
      </c>
      <c r="K241" s="131">
        <v>2835.666666666667</v>
      </c>
      <c r="L241" s="309">
        <v>952</v>
      </c>
      <c r="W241" s="309"/>
    </row>
    <row r="242" spans="1:23" x14ac:dyDescent="0.2">
      <c r="A242" s="131"/>
      <c r="B242" s="313">
        <v>44866</v>
      </c>
      <c r="C242" s="131">
        <v>8818</v>
      </c>
      <c r="D242" s="131">
        <v>1027300</v>
      </c>
      <c r="E242" s="314">
        <v>116.50034021320027</v>
      </c>
      <c r="F242" s="131">
        <v>100.40314027061228</v>
      </c>
      <c r="G242" s="131">
        <v>1</v>
      </c>
      <c r="H242" s="315">
        <v>11697</v>
      </c>
      <c r="I242" s="131" t="s">
        <v>739</v>
      </c>
      <c r="J242" s="309" t="s">
        <v>722</v>
      </c>
      <c r="K242" s="131">
        <v>2939.3333333333335</v>
      </c>
      <c r="L242" s="309">
        <v>1755</v>
      </c>
      <c r="W242" s="309"/>
    </row>
    <row r="243" spans="1:23" x14ac:dyDescent="0.2">
      <c r="A243" s="131"/>
      <c r="B243" s="313">
        <v>44896</v>
      </c>
      <c r="C243" s="131">
        <v>3969</v>
      </c>
      <c r="D243" s="131">
        <v>396900</v>
      </c>
      <c r="E243" s="314">
        <v>100</v>
      </c>
      <c r="F243" s="131">
        <v>98.1</v>
      </c>
      <c r="G243" s="131">
        <v>1</v>
      </c>
      <c r="H243" s="315">
        <v>9810</v>
      </c>
      <c r="I243" s="131" t="s">
        <v>739</v>
      </c>
      <c r="J243" s="309" t="s">
        <v>722</v>
      </c>
      <c r="K243" s="131">
        <v>1323</v>
      </c>
      <c r="L243" s="309">
        <v>1472</v>
      </c>
      <c r="W243" s="309"/>
    </row>
    <row r="244" spans="1:23" x14ac:dyDescent="0.2">
      <c r="A244" s="131"/>
      <c r="B244" s="313">
        <v>44927</v>
      </c>
      <c r="C244" s="131">
        <v>5022</v>
      </c>
      <c r="D244" s="131">
        <v>475600</v>
      </c>
      <c r="E244" s="314">
        <v>94.703305455993629</v>
      </c>
      <c r="F244" s="131">
        <v>41.48746425567704</v>
      </c>
      <c r="G244" s="131">
        <v>1</v>
      </c>
      <c r="H244" s="315">
        <v>3929</v>
      </c>
      <c r="I244" s="131" t="s">
        <v>739</v>
      </c>
      <c r="J244" s="309" t="s">
        <v>722</v>
      </c>
      <c r="K244" s="131">
        <v>1674</v>
      </c>
      <c r="L244" s="309">
        <v>589.34999999999991</v>
      </c>
      <c r="W244" s="309"/>
    </row>
    <row r="245" spans="1:23" x14ac:dyDescent="0.2">
      <c r="A245" s="131"/>
      <c r="B245" s="313">
        <v>44958</v>
      </c>
      <c r="C245" s="131">
        <v>4228</v>
      </c>
      <c r="D245" s="131">
        <v>339050</v>
      </c>
      <c r="E245" s="314">
        <v>80.191579943235567</v>
      </c>
      <c r="F245" s="131">
        <v>-99.745634213242866</v>
      </c>
      <c r="G245" s="131">
        <v>1</v>
      </c>
      <c r="H245" s="315">
        <v>-7998.7599999999984</v>
      </c>
      <c r="I245" s="131" t="s">
        <v>739</v>
      </c>
      <c r="J245" s="309" t="s">
        <v>722</v>
      </c>
      <c r="K245" s="131">
        <v>1409.3333333333335</v>
      </c>
      <c r="L245" s="309">
        <v>-1199.8139999999996</v>
      </c>
      <c r="W245" s="309"/>
    </row>
    <row r="246" spans="1:23" x14ac:dyDescent="0.2">
      <c r="A246" s="131" t="s">
        <v>1056</v>
      </c>
      <c r="B246" s="311"/>
      <c r="C246" s="131">
        <v>94290</v>
      </c>
      <c r="D246" s="131">
        <v>9779500</v>
      </c>
      <c r="E246" s="314">
        <v>103.71725527627532</v>
      </c>
      <c r="F246" s="131">
        <v>462.99181242394809</v>
      </c>
      <c r="G246" s="131">
        <v>17</v>
      </c>
      <c r="H246" s="315">
        <v>48020.240000000005</v>
      </c>
      <c r="I246" s="131" t="s">
        <v>739</v>
      </c>
      <c r="J246" s="309" t="s">
        <v>722</v>
      </c>
      <c r="K246" s="131">
        <v>37818</v>
      </c>
      <c r="L246" s="309">
        <v>8318.5360000000001</v>
      </c>
      <c r="W246" s="309"/>
    </row>
    <row r="247" spans="1:23" x14ac:dyDescent="0.2">
      <c r="A247" s="131" t="s">
        <v>456</v>
      </c>
      <c r="B247" s="313">
        <v>44470</v>
      </c>
      <c r="C247" s="131">
        <v>2283</v>
      </c>
      <c r="D247" s="131">
        <v>48885</v>
      </c>
      <c r="E247" s="314">
        <v>21.412614980289092</v>
      </c>
      <c r="F247" s="131">
        <v>95.411046333231056</v>
      </c>
      <c r="G247" s="131">
        <v>1</v>
      </c>
      <c r="H247" s="315">
        <v>2043</v>
      </c>
      <c r="I247" s="131" t="s">
        <v>795</v>
      </c>
      <c r="J247" s="309" t="s">
        <v>722</v>
      </c>
      <c r="K247" s="131">
        <v>2283</v>
      </c>
      <c r="L247" s="309">
        <v>347</v>
      </c>
      <c r="W247" s="309"/>
    </row>
    <row r="248" spans="1:23" x14ac:dyDescent="0.2">
      <c r="A248" s="131"/>
      <c r="B248" s="313">
        <v>44501</v>
      </c>
      <c r="C248" s="131">
        <v>1757</v>
      </c>
      <c r="D248" s="131">
        <v>24995</v>
      </c>
      <c r="E248" s="314">
        <v>14.225953329538987</v>
      </c>
      <c r="F248" s="131">
        <v>98.692858571714339</v>
      </c>
      <c r="G248" s="131">
        <v>1</v>
      </c>
      <c r="H248" s="315">
        <v>1404</v>
      </c>
      <c r="I248" s="131" t="s">
        <v>795</v>
      </c>
      <c r="J248" s="309" t="s">
        <v>722</v>
      </c>
      <c r="K248" s="131">
        <v>1757</v>
      </c>
      <c r="L248" s="309">
        <v>239</v>
      </c>
      <c r="W248" s="309"/>
    </row>
    <row r="249" spans="1:23" x14ac:dyDescent="0.2">
      <c r="A249" s="131"/>
      <c r="B249" s="313">
        <v>44531</v>
      </c>
      <c r="C249" s="131">
        <v>1140</v>
      </c>
      <c r="D249" s="131">
        <v>18025</v>
      </c>
      <c r="E249" s="314">
        <v>15.81140350877193</v>
      </c>
      <c r="F249" s="131">
        <v>48.509292649098477</v>
      </c>
      <c r="G249" s="131">
        <v>1</v>
      </c>
      <c r="H249" s="315">
        <v>767</v>
      </c>
      <c r="I249" s="131" t="s">
        <v>795</v>
      </c>
      <c r="J249" s="309" t="s">
        <v>722</v>
      </c>
      <c r="K249" s="131">
        <v>1140</v>
      </c>
      <c r="L249" s="309">
        <v>131</v>
      </c>
      <c r="W249" s="309"/>
    </row>
    <row r="250" spans="1:23" x14ac:dyDescent="0.2">
      <c r="A250" s="131"/>
      <c r="B250" s="313">
        <v>44562</v>
      </c>
      <c r="C250" s="131">
        <v>2067</v>
      </c>
      <c r="D250" s="131">
        <v>22540</v>
      </c>
      <c r="E250" s="314">
        <v>10.904692791485244</v>
      </c>
      <c r="F250" s="131">
        <v>133.70390417036378</v>
      </c>
      <c r="G250" s="131">
        <v>1</v>
      </c>
      <c r="H250" s="315">
        <v>1458</v>
      </c>
      <c r="I250" s="131" t="s">
        <v>795</v>
      </c>
      <c r="J250" s="309" t="s">
        <v>722</v>
      </c>
      <c r="K250" s="131">
        <v>2067</v>
      </c>
      <c r="L250" s="309">
        <v>255</v>
      </c>
      <c r="W250" s="309"/>
    </row>
    <row r="251" spans="1:23" x14ac:dyDescent="0.2">
      <c r="A251" s="131"/>
      <c r="B251" s="313">
        <v>44621</v>
      </c>
      <c r="C251" s="309">
        <v>1125</v>
      </c>
      <c r="D251" s="131">
        <v>19305</v>
      </c>
      <c r="E251" s="314">
        <v>17.16</v>
      </c>
      <c r="F251" s="131">
        <v>71.503496503496507</v>
      </c>
      <c r="G251" s="131">
        <v>1</v>
      </c>
      <c r="H251" s="315">
        <v>1227</v>
      </c>
      <c r="I251" s="131" t="s">
        <v>795</v>
      </c>
      <c r="J251" s="309" t="s">
        <v>722</v>
      </c>
      <c r="K251" s="131">
        <v>1125</v>
      </c>
      <c r="L251" s="309">
        <v>209</v>
      </c>
      <c r="W251" s="309"/>
    </row>
    <row r="252" spans="1:23" x14ac:dyDescent="0.2">
      <c r="A252" s="131"/>
      <c r="B252" s="313">
        <v>44652</v>
      </c>
      <c r="C252" s="309">
        <v>938</v>
      </c>
      <c r="D252" s="131">
        <v>21455</v>
      </c>
      <c r="E252" s="314">
        <v>22.873134328358208</v>
      </c>
      <c r="F252" s="131">
        <v>55.173898858075042</v>
      </c>
      <c r="G252" s="131">
        <v>1</v>
      </c>
      <c r="H252" s="315">
        <v>1262</v>
      </c>
      <c r="I252" s="131" t="s">
        <v>795</v>
      </c>
      <c r="J252" s="309" t="s">
        <v>722</v>
      </c>
      <c r="K252" s="131">
        <v>938</v>
      </c>
      <c r="L252" s="309">
        <v>316</v>
      </c>
      <c r="W252" s="309"/>
    </row>
    <row r="253" spans="1:23" x14ac:dyDescent="0.2">
      <c r="A253" s="131"/>
      <c r="B253" s="313">
        <v>44682</v>
      </c>
      <c r="C253" s="309">
        <v>1056</v>
      </c>
      <c r="D253" s="131">
        <v>15060</v>
      </c>
      <c r="E253" s="314">
        <v>14.261363636363637</v>
      </c>
      <c r="F253" s="131">
        <v>68.787250996015928</v>
      </c>
      <c r="G253" s="131">
        <v>1</v>
      </c>
      <c r="H253" s="315">
        <v>981</v>
      </c>
      <c r="I253" s="131" t="s">
        <v>795</v>
      </c>
      <c r="J253" s="309" t="s">
        <v>722</v>
      </c>
      <c r="K253" s="131">
        <v>1056</v>
      </c>
      <c r="L253" s="309">
        <v>167</v>
      </c>
      <c r="W253" s="309"/>
    </row>
    <row r="254" spans="1:23" x14ac:dyDescent="0.2">
      <c r="A254" s="131"/>
      <c r="B254" s="313">
        <v>44713</v>
      </c>
      <c r="C254" s="309">
        <v>1175</v>
      </c>
      <c r="D254" s="131">
        <v>6155</v>
      </c>
      <c r="E254" s="314">
        <v>5.2382978723404259</v>
      </c>
      <c r="F254" s="131">
        <v>-58.415922014622254</v>
      </c>
      <c r="G254" s="131">
        <v>1</v>
      </c>
      <c r="H254" s="315">
        <v>-306</v>
      </c>
      <c r="I254" s="131" t="s">
        <v>795</v>
      </c>
      <c r="J254" s="309" t="s">
        <v>722</v>
      </c>
      <c r="K254" s="131">
        <v>1175</v>
      </c>
      <c r="L254" s="309">
        <v>-38</v>
      </c>
      <c r="W254" s="309"/>
    </row>
    <row r="255" spans="1:23" x14ac:dyDescent="0.2">
      <c r="A255" s="131"/>
      <c r="B255" s="313">
        <v>44743</v>
      </c>
      <c r="C255" s="131">
        <v>1025</v>
      </c>
      <c r="D255" s="131">
        <v>5125</v>
      </c>
      <c r="E255" s="314">
        <v>5</v>
      </c>
      <c r="F255" s="131">
        <v>-105.8</v>
      </c>
      <c r="G255" s="131">
        <v>1</v>
      </c>
      <c r="H255" s="315">
        <v>-529</v>
      </c>
      <c r="I255" s="131" t="s">
        <v>795</v>
      </c>
      <c r="J255" s="309" t="s">
        <v>722</v>
      </c>
      <c r="K255" s="131">
        <v>1025</v>
      </c>
      <c r="L255" s="309">
        <v>-127</v>
      </c>
      <c r="W255" s="309"/>
    </row>
    <row r="256" spans="1:23" x14ac:dyDescent="0.2">
      <c r="A256" s="131"/>
      <c r="B256" s="313">
        <v>44774</v>
      </c>
      <c r="C256" s="309">
        <v>701</v>
      </c>
      <c r="D256" s="131">
        <v>3505</v>
      </c>
      <c r="E256" s="314">
        <v>5</v>
      </c>
      <c r="F256" s="131">
        <v>81.599999999999994</v>
      </c>
      <c r="G256" s="131">
        <v>1</v>
      </c>
      <c r="H256" s="315">
        <v>408</v>
      </c>
      <c r="I256" s="131" t="s">
        <v>795</v>
      </c>
      <c r="J256" s="309" t="s">
        <v>722</v>
      </c>
      <c r="K256" s="309">
        <v>701</v>
      </c>
      <c r="L256" s="309">
        <v>65</v>
      </c>
      <c r="W256" s="309"/>
    </row>
    <row r="257" spans="1:23" x14ac:dyDescent="0.2">
      <c r="A257" s="131"/>
      <c r="B257" s="313">
        <v>44805</v>
      </c>
      <c r="C257" s="309">
        <v>646</v>
      </c>
      <c r="D257" s="131">
        <v>3230</v>
      </c>
      <c r="E257" s="314">
        <v>5</v>
      </c>
      <c r="F257" s="131">
        <v>-10.8</v>
      </c>
      <c r="G257" s="131">
        <v>1</v>
      </c>
      <c r="H257" s="315">
        <v>-54</v>
      </c>
      <c r="I257" s="131" t="s">
        <v>795</v>
      </c>
      <c r="J257" s="309" t="s">
        <v>722</v>
      </c>
      <c r="K257" s="309">
        <v>646</v>
      </c>
      <c r="L257" s="309">
        <v>-2</v>
      </c>
      <c r="W257" s="309"/>
    </row>
    <row r="258" spans="1:23" x14ac:dyDescent="0.2">
      <c r="A258" s="131"/>
      <c r="B258" s="313">
        <v>44835</v>
      </c>
      <c r="C258" s="131">
        <v>690</v>
      </c>
      <c r="D258" s="131">
        <v>3450</v>
      </c>
      <c r="E258" s="314">
        <v>5</v>
      </c>
      <c r="F258" s="131">
        <v>-67.400000000000006</v>
      </c>
      <c r="G258" s="131">
        <v>1</v>
      </c>
      <c r="H258" s="315">
        <v>-337</v>
      </c>
      <c r="I258" s="131" t="s">
        <v>795</v>
      </c>
      <c r="J258" s="309" t="s">
        <v>722</v>
      </c>
      <c r="K258" s="131">
        <v>307.5</v>
      </c>
      <c r="L258" s="309">
        <v>-71</v>
      </c>
      <c r="W258" s="309"/>
    </row>
    <row r="259" spans="1:23" x14ac:dyDescent="0.2">
      <c r="A259" s="131"/>
      <c r="B259" s="313">
        <v>44866</v>
      </c>
      <c r="C259" s="131">
        <v>3954</v>
      </c>
      <c r="D259" s="131">
        <v>19770</v>
      </c>
      <c r="E259" s="314">
        <v>5</v>
      </c>
      <c r="F259" s="131">
        <v>-102.2</v>
      </c>
      <c r="G259" s="131">
        <v>1</v>
      </c>
      <c r="H259" s="315">
        <v>-511</v>
      </c>
      <c r="I259" s="131" t="s">
        <v>795</v>
      </c>
      <c r="J259" s="309" t="s">
        <v>722</v>
      </c>
      <c r="K259" s="131">
        <v>1318</v>
      </c>
      <c r="L259" s="309">
        <v>31</v>
      </c>
      <c r="W259" s="309"/>
    </row>
    <row r="260" spans="1:23" x14ac:dyDescent="0.2">
      <c r="A260" s="131"/>
      <c r="B260" s="313">
        <v>44896</v>
      </c>
      <c r="C260" s="131">
        <v>2988</v>
      </c>
      <c r="D260" s="131">
        <v>14940</v>
      </c>
      <c r="E260" s="314">
        <v>5</v>
      </c>
      <c r="F260" s="131">
        <v>285.2</v>
      </c>
      <c r="G260" s="131">
        <v>1</v>
      </c>
      <c r="H260" s="315">
        <v>1426</v>
      </c>
      <c r="I260" s="131" t="s">
        <v>795</v>
      </c>
      <c r="J260" s="309" t="s">
        <v>722</v>
      </c>
      <c r="K260" s="131">
        <v>1489</v>
      </c>
      <c r="L260" s="309">
        <v>250</v>
      </c>
      <c r="W260" s="309"/>
    </row>
    <row r="261" spans="1:23" x14ac:dyDescent="0.2">
      <c r="A261" s="131"/>
      <c r="B261" s="313">
        <v>44927</v>
      </c>
      <c r="C261" s="309">
        <v>1864</v>
      </c>
      <c r="D261" s="131">
        <v>9320</v>
      </c>
      <c r="E261" s="314">
        <v>5</v>
      </c>
      <c r="F261" s="131">
        <v>-23.4</v>
      </c>
      <c r="G261" s="131">
        <v>1</v>
      </c>
      <c r="H261" s="315">
        <v>-117</v>
      </c>
      <c r="I261" s="131" t="s">
        <v>795</v>
      </c>
      <c r="J261" s="309" t="s">
        <v>722</v>
      </c>
      <c r="K261" s="131">
        <v>932</v>
      </c>
      <c r="L261" s="309">
        <v>-19.89</v>
      </c>
      <c r="W261" s="309"/>
    </row>
    <row r="262" spans="1:23" x14ac:dyDescent="0.2">
      <c r="A262" s="131"/>
      <c r="B262" s="313">
        <v>44958</v>
      </c>
      <c r="C262" s="131">
        <v>1317</v>
      </c>
      <c r="D262" s="131">
        <v>5677</v>
      </c>
      <c r="E262" s="314">
        <v>4.310554290053151</v>
      </c>
      <c r="F262" s="131">
        <v>-45.469790382244142</v>
      </c>
      <c r="G262" s="131">
        <v>1</v>
      </c>
      <c r="H262" s="315">
        <v>-196</v>
      </c>
      <c r="I262" s="131" t="s">
        <v>795</v>
      </c>
      <c r="J262" s="309" t="s">
        <v>722</v>
      </c>
      <c r="K262" s="131">
        <v>1317</v>
      </c>
      <c r="L262" s="309">
        <v>-70.825999999999993</v>
      </c>
      <c r="W262" s="309"/>
    </row>
    <row r="263" spans="1:23" x14ac:dyDescent="0.2">
      <c r="A263" s="131"/>
      <c r="B263" s="313" t="s">
        <v>151</v>
      </c>
      <c r="C263" s="131">
        <v>874</v>
      </c>
      <c r="D263" s="131">
        <v>10675</v>
      </c>
      <c r="E263" s="314">
        <v>12.21395881006865</v>
      </c>
      <c r="F263" s="131">
        <v>61.159531615925054</v>
      </c>
      <c r="G263" s="131">
        <v>1</v>
      </c>
      <c r="H263" s="315">
        <v>747</v>
      </c>
      <c r="I263" s="131" t="s">
        <v>795</v>
      </c>
      <c r="J263" s="309" t="s">
        <v>722</v>
      </c>
      <c r="K263" s="131">
        <v>874</v>
      </c>
      <c r="L263" s="309">
        <v>187</v>
      </c>
      <c r="W263" s="309"/>
    </row>
    <row r="264" spans="1:23" x14ac:dyDescent="0.2">
      <c r="A264" s="131" t="s">
        <v>1057</v>
      </c>
      <c r="B264" s="311"/>
      <c r="C264" s="131">
        <v>25600</v>
      </c>
      <c r="D264" s="131">
        <v>252112</v>
      </c>
      <c r="E264" s="314">
        <v>9.8481249999999996</v>
      </c>
      <c r="F264" s="131">
        <v>982.21742717522375</v>
      </c>
      <c r="G264" s="131">
        <v>17</v>
      </c>
      <c r="H264" s="315">
        <v>9673</v>
      </c>
      <c r="I264" s="131" t="s">
        <v>795</v>
      </c>
      <c r="J264" s="309" t="s">
        <v>722</v>
      </c>
      <c r="K264" s="131">
        <v>20150.5</v>
      </c>
      <c r="L264" s="309">
        <v>1868.2840000000001</v>
      </c>
      <c r="W264" s="309"/>
    </row>
    <row r="265" spans="1:23" x14ac:dyDescent="0.2">
      <c r="A265" s="131" t="s">
        <v>466</v>
      </c>
      <c r="B265" s="313">
        <v>44682</v>
      </c>
      <c r="C265" s="309">
        <v>8252</v>
      </c>
      <c r="D265" s="131">
        <v>825200</v>
      </c>
      <c r="E265" s="314">
        <v>100</v>
      </c>
      <c r="F265" s="131">
        <v>91.3</v>
      </c>
      <c r="G265" s="131">
        <v>1</v>
      </c>
      <c r="H265" s="315">
        <v>9130</v>
      </c>
      <c r="I265" s="131" t="s">
        <v>739</v>
      </c>
      <c r="J265" s="309" t="s">
        <v>741</v>
      </c>
      <c r="K265" s="131">
        <v>2750.6666666666665</v>
      </c>
      <c r="L265" s="309">
        <v>1826</v>
      </c>
      <c r="W265" s="309"/>
    </row>
    <row r="266" spans="1:23" x14ac:dyDescent="0.2">
      <c r="A266" s="131"/>
      <c r="B266" s="313">
        <v>44713</v>
      </c>
      <c r="C266" s="309">
        <v>2677</v>
      </c>
      <c r="D266" s="131">
        <v>261020</v>
      </c>
      <c r="E266" s="314">
        <v>97.504669406051548</v>
      </c>
      <c r="F266" s="131">
        <v>14.019841391464256</v>
      </c>
      <c r="G266" s="131">
        <v>1</v>
      </c>
      <c r="H266" s="315">
        <v>1367</v>
      </c>
      <c r="I266" s="131" t="s">
        <v>739</v>
      </c>
      <c r="J266" s="309" t="s">
        <v>741</v>
      </c>
      <c r="K266" s="131">
        <v>892.33333333333337</v>
      </c>
      <c r="L266" s="309">
        <v>273.39999999999998</v>
      </c>
      <c r="W266" s="309"/>
    </row>
    <row r="267" spans="1:23" x14ac:dyDescent="0.2">
      <c r="A267" s="131"/>
      <c r="B267" s="313">
        <v>44743</v>
      </c>
      <c r="C267" s="309">
        <v>500</v>
      </c>
      <c r="D267" s="131">
        <v>25000</v>
      </c>
      <c r="E267" s="314">
        <v>50</v>
      </c>
      <c r="F267" s="131">
        <v>33.14</v>
      </c>
      <c r="G267" s="131">
        <v>1</v>
      </c>
      <c r="H267" s="315">
        <v>1657</v>
      </c>
      <c r="I267" s="131" t="s">
        <v>739</v>
      </c>
      <c r="J267" s="309" t="s">
        <v>741</v>
      </c>
      <c r="K267" s="131">
        <v>166.66666666666666</v>
      </c>
      <c r="L267" s="309">
        <v>331.4</v>
      </c>
      <c r="W267" s="309"/>
    </row>
    <row r="268" spans="1:23" x14ac:dyDescent="0.2">
      <c r="A268" s="131"/>
      <c r="B268" s="313">
        <v>44774</v>
      </c>
      <c r="C268" s="309">
        <v>5623</v>
      </c>
      <c r="D268" s="131">
        <v>556600</v>
      </c>
      <c r="E268" s="314">
        <v>98.986306242219456</v>
      </c>
      <c r="F268" s="131">
        <v>8.09202838663313</v>
      </c>
      <c r="G268" s="131">
        <v>1</v>
      </c>
      <c r="H268" s="315">
        <v>801</v>
      </c>
      <c r="I268" s="131" t="s">
        <v>739</v>
      </c>
      <c r="J268" s="309" t="s">
        <v>741</v>
      </c>
      <c r="K268" s="131">
        <v>1874.3333333333333</v>
      </c>
      <c r="L268" s="309">
        <v>160.19999999999999</v>
      </c>
      <c r="W268" s="309"/>
    </row>
    <row r="269" spans="1:23" x14ac:dyDescent="0.2">
      <c r="A269" s="131"/>
      <c r="B269" s="313">
        <v>44805</v>
      </c>
      <c r="C269" s="309">
        <v>10286</v>
      </c>
      <c r="D269" s="131">
        <v>1028520</v>
      </c>
      <c r="E269" s="314">
        <v>99.9922224382656</v>
      </c>
      <c r="F269" s="131">
        <v>92.827219694318046</v>
      </c>
      <c r="G269" s="131">
        <v>1</v>
      </c>
      <c r="H269" s="315">
        <v>9282</v>
      </c>
      <c r="I269" s="131" t="s">
        <v>739</v>
      </c>
      <c r="J269" s="309" t="s">
        <v>741</v>
      </c>
      <c r="K269" s="131">
        <v>3428.666666666667</v>
      </c>
      <c r="L269" s="309">
        <v>1856.4</v>
      </c>
      <c r="W269" s="309"/>
    </row>
    <row r="270" spans="1:23" x14ac:dyDescent="0.2">
      <c r="A270" s="131"/>
      <c r="B270" s="313">
        <v>44835</v>
      </c>
      <c r="C270" s="309">
        <v>9334</v>
      </c>
      <c r="D270" s="131">
        <v>933140</v>
      </c>
      <c r="E270" s="314">
        <v>99.972144846796652</v>
      </c>
      <c r="F270" s="131">
        <v>247.56896071329064</v>
      </c>
      <c r="G270" s="131">
        <v>1</v>
      </c>
      <c r="H270" s="315">
        <v>24750</v>
      </c>
      <c r="I270" s="131" t="s">
        <v>739</v>
      </c>
      <c r="J270" s="309" t="s">
        <v>741</v>
      </c>
      <c r="K270" s="131">
        <v>3111.3333333333335</v>
      </c>
      <c r="L270" s="309">
        <v>4950</v>
      </c>
      <c r="W270" s="309"/>
    </row>
    <row r="271" spans="1:23" x14ac:dyDescent="0.2">
      <c r="A271" s="131"/>
      <c r="B271" s="313">
        <v>44866</v>
      </c>
      <c r="C271" s="309">
        <v>1</v>
      </c>
      <c r="D271" s="131">
        <v>100</v>
      </c>
      <c r="E271" s="314">
        <v>100</v>
      </c>
      <c r="F271" s="131">
        <v>-7.0000000000000007E-2</v>
      </c>
      <c r="G271" s="131">
        <v>1</v>
      </c>
      <c r="H271" s="315">
        <v>-7</v>
      </c>
      <c r="I271" s="131" t="s">
        <v>739</v>
      </c>
      <c r="J271" s="309" t="s">
        <v>741</v>
      </c>
      <c r="K271" s="131">
        <v>0.33333333333333331</v>
      </c>
      <c r="L271" s="309">
        <v>-1.4000000000000001</v>
      </c>
      <c r="W271" s="309"/>
    </row>
    <row r="272" spans="1:23" x14ac:dyDescent="0.2">
      <c r="A272" s="131"/>
      <c r="B272" s="313">
        <v>44896</v>
      </c>
      <c r="C272" s="309">
        <v>6886</v>
      </c>
      <c r="D272" s="131">
        <v>688600</v>
      </c>
      <c r="E272" s="314">
        <v>100</v>
      </c>
      <c r="F272" s="131">
        <v>20.41</v>
      </c>
      <c r="G272" s="131">
        <v>1</v>
      </c>
      <c r="H272" s="315">
        <v>2041</v>
      </c>
      <c r="I272" s="131" t="s">
        <v>739</v>
      </c>
      <c r="J272" s="309" t="s">
        <v>741</v>
      </c>
      <c r="K272" s="131">
        <v>2295.3333333333335</v>
      </c>
      <c r="L272" s="309">
        <v>408.2</v>
      </c>
      <c r="W272" s="309"/>
    </row>
    <row r="273" spans="1:23" x14ac:dyDescent="0.2">
      <c r="A273" s="131"/>
      <c r="B273" s="313">
        <v>44927</v>
      </c>
      <c r="C273" s="309">
        <v>4886</v>
      </c>
      <c r="D273" s="131">
        <v>488550</v>
      </c>
      <c r="E273" s="314">
        <v>99.989766680311092</v>
      </c>
      <c r="F273" s="131">
        <v>5.3105434448879336</v>
      </c>
      <c r="G273" s="131">
        <v>1</v>
      </c>
      <c r="H273" s="315">
        <v>531</v>
      </c>
      <c r="I273" s="131" t="s">
        <v>739</v>
      </c>
      <c r="J273" s="309" t="s">
        <v>741</v>
      </c>
      <c r="K273" s="131">
        <v>1628.6666666666665</v>
      </c>
      <c r="L273" s="309">
        <v>106.2</v>
      </c>
      <c r="W273" s="309"/>
    </row>
    <row r="274" spans="1:23" x14ac:dyDescent="0.2">
      <c r="A274" s="131"/>
      <c r="B274" s="313">
        <v>44958</v>
      </c>
      <c r="C274" s="131">
        <v>13585</v>
      </c>
      <c r="D274" s="131">
        <v>1358340</v>
      </c>
      <c r="E274" s="314">
        <v>99.988222304011771</v>
      </c>
      <c r="F274" s="131">
        <v>115.98015979062674</v>
      </c>
      <c r="G274" s="131">
        <v>1</v>
      </c>
      <c r="H274" s="315">
        <v>11596.649999999994</v>
      </c>
      <c r="I274" s="131" t="s">
        <v>739</v>
      </c>
      <c r="J274" s="309" t="s">
        <v>741</v>
      </c>
      <c r="K274" s="131">
        <v>4528.3333333333339</v>
      </c>
      <c r="L274" s="309">
        <v>2319.329999999999</v>
      </c>
      <c r="W274" s="309"/>
    </row>
    <row r="275" spans="1:23" x14ac:dyDescent="0.2">
      <c r="A275" s="131"/>
      <c r="B275" s="313">
        <v>44986</v>
      </c>
      <c r="C275" s="131">
        <v>4222</v>
      </c>
      <c r="D275" s="131">
        <v>422200</v>
      </c>
      <c r="E275" s="314">
        <v>100</v>
      </c>
      <c r="F275" s="131">
        <v>102.28659999999999</v>
      </c>
      <c r="G275" s="131">
        <v>1</v>
      </c>
      <c r="H275" s="315">
        <v>10228.66</v>
      </c>
      <c r="I275" s="131" t="s">
        <v>739</v>
      </c>
      <c r="J275" s="309" t="s">
        <v>741</v>
      </c>
      <c r="K275" s="131">
        <v>1407.3333333333333</v>
      </c>
      <c r="L275" s="309">
        <v>2045.732</v>
      </c>
      <c r="W275" s="309"/>
    </row>
    <row r="276" spans="1:23" x14ac:dyDescent="0.2">
      <c r="A276" s="131" t="s">
        <v>1088</v>
      </c>
      <c r="B276" s="311"/>
      <c r="C276" s="309">
        <v>66252</v>
      </c>
      <c r="D276" s="131">
        <v>6587270</v>
      </c>
      <c r="E276" s="314">
        <v>99.427488981464705</v>
      </c>
      <c r="F276" s="131">
        <v>717.88305961650281</v>
      </c>
      <c r="G276" s="131">
        <v>11</v>
      </c>
      <c r="H276" s="315">
        <v>71377.31</v>
      </c>
      <c r="I276" s="131" t="s">
        <v>739</v>
      </c>
      <c r="J276" s="309" t="s">
        <v>741</v>
      </c>
      <c r="K276" s="131">
        <v>22084</v>
      </c>
      <c r="L276" s="309">
        <v>14275.461999999996</v>
      </c>
      <c r="W276" s="309"/>
    </row>
    <row r="277" spans="1:23" x14ac:dyDescent="0.2">
      <c r="A277" s="131" t="s">
        <v>208</v>
      </c>
      <c r="B277" s="313">
        <v>44835</v>
      </c>
      <c r="C277" s="131">
        <v>3060</v>
      </c>
      <c r="D277" s="131">
        <v>912400</v>
      </c>
      <c r="E277" s="314">
        <v>298.16993464052285</v>
      </c>
      <c r="F277" s="131">
        <v>-22.674989039894786</v>
      </c>
      <c r="G277" s="131">
        <v>1</v>
      </c>
      <c r="H277" s="315">
        <v>-6761</v>
      </c>
      <c r="I277" s="131" t="s">
        <v>722</v>
      </c>
      <c r="J277" s="309" t="s">
        <v>208</v>
      </c>
      <c r="K277" s="131">
        <v>2307.6666666666665</v>
      </c>
      <c r="L277" s="309">
        <v>-1487.42</v>
      </c>
      <c r="W277" s="309"/>
    </row>
    <row r="278" spans="1:23" x14ac:dyDescent="0.2">
      <c r="A278" s="131"/>
      <c r="B278" s="313">
        <v>44866</v>
      </c>
      <c r="C278" s="131">
        <v>379</v>
      </c>
      <c r="D278" s="131">
        <v>105300</v>
      </c>
      <c r="E278" s="314">
        <v>277.83641160949867</v>
      </c>
      <c r="F278" s="131">
        <v>-3.8511870845204181</v>
      </c>
      <c r="G278" s="131">
        <v>1</v>
      </c>
      <c r="H278" s="315">
        <v>-1070</v>
      </c>
      <c r="I278" s="131" t="s">
        <v>722</v>
      </c>
      <c r="J278" s="309" t="s">
        <v>208</v>
      </c>
      <c r="K278" s="131">
        <v>0</v>
      </c>
      <c r="L278" s="309">
        <v>-235.39999999999998</v>
      </c>
      <c r="W278" s="309"/>
    </row>
    <row r="279" spans="1:23" x14ac:dyDescent="0.2">
      <c r="A279" s="131"/>
      <c r="B279" s="313">
        <v>44896</v>
      </c>
      <c r="C279" s="131">
        <v>2876</v>
      </c>
      <c r="D279" s="131">
        <v>916560</v>
      </c>
      <c r="E279" s="314">
        <v>318.69262865090406</v>
      </c>
      <c r="F279" s="131">
        <v>41.048956969538274</v>
      </c>
      <c r="G279" s="131">
        <v>1</v>
      </c>
      <c r="H279" s="315">
        <v>13082</v>
      </c>
      <c r="I279" s="131" t="s">
        <v>722</v>
      </c>
      <c r="J279" s="309" t="s">
        <v>208</v>
      </c>
      <c r="K279" s="131">
        <v>2226.6666666666665</v>
      </c>
      <c r="L279" s="309">
        <v>2878.0399999999995</v>
      </c>
      <c r="W279" s="309"/>
    </row>
    <row r="280" spans="1:23" x14ac:dyDescent="0.2">
      <c r="A280" s="131"/>
      <c r="B280" s="313">
        <v>44927</v>
      </c>
      <c r="C280" s="131">
        <v>5440</v>
      </c>
      <c r="D280" s="131">
        <v>1573150</v>
      </c>
      <c r="E280" s="314">
        <v>289.18198529411762</v>
      </c>
      <c r="F280" s="131">
        <v>26.253364269141535</v>
      </c>
      <c r="G280" s="131">
        <v>1</v>
      </c>
      <c r="H280" s="315">
        <v>7592</v>
      </c>
      <c r="I280" s="131" t="s">
        <v>722</v>
      </c>
      <c r="J280" s="309" t="s">
        <v>208</v>
      </c>
      <c r="K280" s="131">
        <v>2039</v>
      </c>
      <c r="L280" s="309">
        <v>1138.8</v>
      </c>
      <c r="W280" s="309"/>
    </row>
    <row r="281" spans="1:23" x14ac:dyDescent="0.2">
      <c r="A281" s="131"/>
      <c r="B281" s="313">
        <v>44958</v>
      </c>
      <c r="C281" s="131">
        <v>3610</v>
      </c>
      <c r="D281" s="131">
        <v>1219550</v>
      </c>
      <c r="E281" s="314">
        <v>337.82548476454292</v>
      </c>
      <c r="F281" s="131">
        <v>-2.7588208765528162</v>
      </c>
      <c r="G281" s="131">
        <v>1</v>
      </c>
      <c r="H281" s="315">
        <v>-931.99999999999636</v>
      </c>
      <c r="I281" s="131" t="s">
        <v>722</v>
      </c>
      <c r="J281" s="309" t="s">
        <v>208</v>
      </c>
      <c r="K281" s="131">
        <v>1424.6666666666665</v>
      </c>
      <c r="L281" s="309">
        <v>0</v>
      </c>
      <c r="W281" s="309"/>
    </row>
    <row r="282" spans="1:23" x14ac:dyDescent="0.2">
      <c r="A282" s="131" t="s">
        <v>1058</v>
      </c>
      <c r="B282" s="311"/>
      <c r="C282" s="131">
        <v>15365</v>
      </c>
      <c r="D282" s="131">
        <v>4726960</v>
      </c>
      <c r="E282" s="314">
        <v>307.64464692482915</v>
      </c>
      <c r="F282" s="131">
        <v>38.716747127117657</v>
      </c>
      <c r="G282" s="131">
        <v>5</v>
      </c>
      <c r="H282" s="315">
        <v>11911.000000000004</v>
      </c>
      <c r="I282" s="131" t="s">
        <v>722</v>
      </c>
      <c r="J282" s="309" t="s">
        <v>208</v>
      </c>
      <c r="K282" s="131">
        <v>7998</v>
      </c>
      <c r="L282" s="309">
        <v>2294.0200000000004</v>
      </c>
      <c r="W282" s="309"/>
    </row>
    <row r="283" spans="1:23" x14ac:dyDescent="0.2">
      <c r="A283" s="131" t="s">
        <v>692</v>
      </c>
      <c r="B283" s="313">
        <v>44986</v>
      </c>
      <c r="C283" s="131">
        <v>2203</v>
      </c>
      <c r="D283" s="131">
        <v>55075</v>
      </c>
      <c r="E283" s="314">
        <v>25</v>
      </c>
      <c r="F283" s="131">
        <v>79.67801718020543</v>
      </c>
      <c r="G283" s="131">
        <v>1</v>
      </c>
      <c r="H283" s="315">
        <v>1991.9504295051356</v>
      </c>
      <c r="I283" s="131" t="s">
        <v>720</v>
      </c>
      <c r="J283" s="309" t="s">
        <v>722</v>
      </c>
      <c r="K283" s="131">
        <v>1101.5</v>
      </c>
      <c r="L283" s="309">
        <v>458.1485987861812</v>
      </c>
      <c r="W283" s="309"/>
    </row>
    <row r="284" spans="1:23" x14ac:dyDescent="0.2">
      <c r="A284" s="131" t="s">
        <v>1089</v>
      </c>
      <c r="B284" s="311"/>
      <c r="C284" s="131">
        <v>2203</v>
      </c>
      <c r="D284" s="131">
        <v>55075</v>
      </c>
      <c r="E284" s="314">
        <v>25</v>
      </c>
      <c r="F284" s="131">
        <v>79.67801718020543</v>
      </c>
      <c r="G284" s="131">
        <v>1</v>
      </c>
      <c r="H284" s="315">
        <v>1991.9504295051356</v>
      </c>
      <c r="I284" s="131" t="s">
        <v>720</v>
      </c>
      <c r="J284" s="309" t="s">
        <v>722</v>
      </c>
      <c r="K284" s="131">
        <v>1101.5</v>
      </c>
      <c r="L284" s="309">
        <v>458.1485987861812</v>
      </c>
      <c r="W284" s="309"/>
    </row>
    <row r="285" spans="1:23" x14ac:dyDescent="0.2">
      <c r="A285" s="131" t="s">
        <v>473</v>
      </c>
      <c r="B285" s="313">
        <v>44197</v>
      </c>
      <c r="C285" s="309">
        <v>1</v>
      </c>
      <c r="D285" s="131">
        <v>20</v>
      </c>
      <c r="E285" s="314">
        <v>20</v>
      </c>
      <c r="F285" s="131">
        <v>-63.7</v>
      </c>
      <c r="G285" s="131">
        <v>1</v>
      </c>
      <c r="H285" s="315">
        <v>-1274</v>
      </c>
      <c r="I285" s="131" t="s">
        <v>751</v>
      </c>
      <c r="J285" s="309" t="s">
        <v>722</v>
      </c>
      <c r="K285" s="309">
        <v>1</v>
      </c>
      <c r="L285" s="309">
        <v>-382.2</v>
      </c>
      <c r="W285" s="309"/>
    </row>
    <row r="286" spans="1:23" x14ac:dyDescent="0.2">
      <c r="A286" s="131"/>
      <c r="B286" s="313">
        <v>44228</v>
      </c>
      <c r="C286" s="309">
        <v>3439</v>
      </c>
      <c r="D286" s="131">
        <v>68780</v>
      </c>
      <c r="E286" s="314">
        <v>20</v>
      </c>
      <c r="F286" s="131">
        <v>18.25</v>
      </c>
      <c r="G286" s="131">
        <v>1</v>
      </c>
      <c r="H286" s="315">
        <v>365</v>
      </c>
      <c r="I286" s="131" t="s">
        <v>751</v>
      </c>
      <c r="J286" s="309" t="s">
        <v>722</v>
      </c>
      <c r="K286" s="309">
        <v>3439</v>
      </c>
      <c r="L286" s="309">
        <v>109.5</v>
      </c>
      <c r="W286" s="309"/>
    </row>
    <row r="287" spans="1:23" x14ac:dyDescent="0.2">
      <c r="A287" s="131"/>
      <c r="B287" s="313">
        <v>44256</v>
      </c>
      <c r="C287" s="309">
        <v>2026</v>
      </c>
      <c r="D287" s="131">
        <v>40520</v>
      </c>
      <c r="E287" s="314">
        <v>20</v>
      </c>
      <c r="F287" s="131">
        <v>145.9</v>
      </c>
      <c r="G287" s="131">
        <v>1</v>
      </c>
      <c r="H287" s="315">
        <v>2918</v>
      </c>
      <c r="I287" s="131" t="s">
        <v>751</v>
      </c>
      <c r="J287" s="309" t="s">
        <v>722</v>
      </c>
      <c r="K287" s="309">
        <v>2026</v>
      </c>
      <c r="L287" s="309">
        <v>875.4</v>
      </c>
      <c r="W287" s="309"/>
    </row>
    <row r="288" spans="1:23" x14ac:dyDescent="0.2">
      <c r="A288" s="131"/>
      <c r="B288" s="313">
        <v>44287</v>
      </c>
      <c r="C288" s="309">
        <v>1486</v>
      </c>
      <c r="D288" s="131">
        <v>30320</v>
      </c>
      <c r="E288" s="314">
        <v>20.403768506056526</v>
      </c>
      <c r="F288" s="131">
        <v>-27.936015831134569</v>
      </c>
      <c r="G288" s="131">
        <v>1</v>
      </c>
      <c r="H288" s="315">
        <v>-570</v>
      </c>
      <c r="I288" s="131" t="s">
        <v>751</v>
      </c>
      <c r="J288" s="309" t="s">
        <v>722</v>
      </c>
      <c r="K288" s="131">
        <v>1486</v>
      </c>
      <c r="L288" s="309">
        <v>-171</v>
      </c>
      <c r="W288" s="309"/>
    </row>
    <row r="289" spans="1:23" x14ac:dyDescent="0.2">
      <c r="A289" s="131"/>
      <c r="B289" s="313">
        <v>44317</v>
      </c>
      <c r="C289" s="309">
        <v>408</v>
      </c>
      <c r="D289" s="131">
        <v>8160</v>
      </c>
      <c r="E289" s="314">
        <v>20</v>
      </c>
      <c r="F289" s="131">
        <v>41.5</v>
      </c>
      <c r="G289" s="131">
        <v>1</v>
      </c>
      <c r="H289" s="315">
        <v>830</v>
      </c>
      <c r="I289" s="131" t="s">
        <v>751</v>
      </c>
      <c r="J289" s="309" t="s">
        <v>722</v>
      </c>
      <c r="K289" s="309">
        <v>408</v>
      </c>
      <c r="L289" s="309">
        <v>249</v>
      </c>
      <c r="W289" s="309"/>
    </row>
    <row r="290" spans="1:23" x14ac:dyDescent="0.2">
      <c r="A290" s="131"/>
      <c r="B290" s="313">
        <v>44348</v>
      </c>
      <c r="C290" s="309">
        <v>1084</v>
      </c>
      <c r="D290" s="131">
        <v>11883</v>
      </c>
      <c r="E290" s="314">
        <v>10.962177121771218</v>
      </c>
      <c r="F290" s="131">
        <v>-69.23807119414289</v>
      </c>
      <c r="G290" s="131">
        <v>1</v>
      </c>
      <c r="H290" s="315">
        <v>-759</v>
      </c>
      <c r="I290" s="131" t="s">
        <v>751</v>
      </c>
      <c r="J290" s="309" t="s">
        <v>722</v>
      </c>
      <c r="K290" s="131">
        <v>1084</v>
      </c>
      <c r="L290" s="309">
        <v>-227.70000000000002</v>
      </c>
      <c r="W290" s="309"/>
    </row>
    <row r="291" spans="1:23" x14ac:dyDescent="0.2">
      <c r="A291" s="131"/>
      <c r="B291" s="313">
        <v>44409</v>
      </c>
      <c r="C291" s="131">
        <v>1354</v>
      </c>
      <c r="D291" s="131">
        <v>6770</v>
      </c>
      <c r="E291" s="314">
        <v>5</v>
      </c>
      <c r="F291" s="131">
        <v>3</v>
      </c>
      <c r="G291" s="131">
        <v>1</v>
      </c>
      <c r="H291" s="315">
        <v>15</v>
      </c>
      <c r="I291" s="131" t="s">
        <v>751</v>
      </c>
      <c r="J291" s="309" t="s">
        <v>722</v>
      </c>
      <c r="K291" s="131">
        <v>1354</v>
      </c>
      <c r="L291" s="309">
        <v>4.5</v>
      </c>
      <c r="W291" s="309"/>
    </row>
    <row r="292" spans="1:23" x14ac:dyDescent="0.2">
      <c r="A292" s="131"/>
      <c r="B292" s="313">
        <v>44440</v>
      </c>
      <c r="C292" s="131">
        <v>1464</v>
      </c>
      <c r="D292" s="131">
        <v>7301</v>
      </c>
      <c r="E292" s="314">
        <v>4.9870218579234971</v>
      </c>
      <c r="F292" s="131">
        <v>47.122312012053143</v>
      </c>
      <c r="G292" s="131">
        <v>1</v>
      </c>
      <c r="H292" s="315">
        <v>235</v>
      </c>
      <c r="I292" s="131" t="s">
        <v>751</v>
      </c>
      <c r="J292" s="309" t="s">
        <v>722</v>
      </c>
      <c r="K292" s="131">
        <v>1464</v>
      </c>
      <c r="L292" s="309">
        <v>70.499999999999986</v>
      </c>
      <c r="W292" s="309"/>
    </row>
    <row r="293" spans="1:23" x14ac:dyDescent="0.2">
      <c r="A293" s="131"/>
      <c r="B293" s="313">
        <v>44470</v>
      </c>
      <c r="C293" s="131">
        <v>1899</v>
      </c>
      <c r="D293" s="131">
        <v>9495</v>
      </c>
      <c r="E293" s="314">
        <v>5</v>
      </c>
      <c r="F293" s="131">
        <v>101</v>
      </c>
      <c r="G293" s="131">
        <v>1</v>
      </c>
      <c r="H293" s="315">
        <v>505</v>
      </c>
      <c r="I293" s="131" t="s">
        <v>751</v>
      </c>
      <c r="J293" s="309" t="s">
        <v>722</v>
      </c>
      <c r="K293" s="131">
        <v>1899</v>
      </c>
      <c r="L293" s="309">
        <v>126.25</v>
      </c>
      <c r="W293" s="309"/>
    </row>
    <row r="294" spans="1:23" x14ac:dyDescent="0.2">
      <c r="A294" s="131"/>
      <c r="B294" s="313">
        <v>44501</v>
      </c>
      <c r="C294" s="131">
        <v>1868</v>
      </c>
      <c r="D294" s="131">
        <v>9350</v>
      </c>
      <c r="E294" s="314">
        <v>5.0053533190578161</v>
      </c>
      <c r="F294" s="131">
        <v>153.03614973262032</v>
      </c>
      <c r="G294" s="131">
        <v>1</v>
      </c>
      <c r="H294" s="315">
        <v>766</v>
      </c>
      <c r="I294" s="131" t="s">
        <v>751</v>
      </c>
      <c r="J294" s="309" t="s">
        <v>722</v>
      </c>
      <c r="K294" s="131">
        <v>1868</v>
      </c>
      <c r="L294" s="309">
        <v>191.5</v>
      </c>
      <c r="W294" s="309"/>
    </row>
    <row r="295" spans="1:23" x14ac:dyDescent="0.2">
      <c r="A295" s="131"/>
      <c r="B295" s="313">
        <v>44531</v>
      </c>
      <c r="C295" s="309">
        <v>1687</v>
      </c>
      <c r="D295" s="131">
        <v>16730</v>
      </c>
      <c r="E295" s="314">
        <v>9.9170124481327804</v>
      </c>
      <c r="F295" s="131">
        <v>35.393723849372385</v>
      </c>
      <c r="G295" s="131">
        <v>1</v>
      </c>
      <c r="H295" s="315">
        <v>351</v>
      </c>
      <c r="I295" s="131" t="s">
        <v>751</v>
      </c>
      <c r="J295" s="309" t="s">
        <v>722</v>
      </c>
      <c r="K295" s="131">
        <v>1687</v>
      </c>
      <c r="L295" s="309">
        <v>105.3</v>
      </c>
      <c r="W295" s="309"/>
    </row>
    <row r="296" spans="1:23" x14ac:dyDescent="0.2">
      <c r="A296" s="131"/>
      <c r="B296" s="313">
        <v>44562</v>
      </c>
      <c r="C296" s="309">
        <v>2905</v>
      </c>
      <c r="D296" s="131">
        <v>29050</v>
      </c>
      <c r="E296" s="314">
        <v>10</v>
      </c>
      <c r="F296" s="131">
        <v>107.1</v>
      </c>
      <c r="G296" s="131">
        <v>1</v>
      </c>
      <c r="H296" s="315">
        <v>1071</v>
      </c>
      <c r="I296" s="131" t="s">
        <v>751</v>
      </c>
      <c r="J296" s="309" t="s">
        <v>722</v>
      </c>
      <c r="K296" s="131">
        <v>2905</v>
      </c>
      <c r="L296" s="309">
        <v>267.75</v>
      </c>
      <c r="W296" s="309"/>
    </row>
    <row r="297" spans="1:23" x14ac:dyDescent="0.2">
      <c r="A297" s="131"/>
      <c r="B297" s="313">
        <v>44593</v>
      </c>
      <c r="C297" s="309">
        <v>1418</v>
      </c>
      <c r="D297" s="131">
        <v>14130</v>
      </c>
      <c r="E297" s="314">
        <v>9.9647390691114239</v>
      </c>
      <c r="F297" s="131">
        <v>-30.005803255484786</v>
      </c>
      <c r="G297" s="131">
        <v>1</v>
      </c>
      <c r="H297" s="315">
        <v>-299</v>
      </c>
      <c r="I297" s="131" t="s">
        <v>751</v>
      </c>
      <c r="J297" s="309" t="s">
        <v>722</v>
      </c>
      <c r="K297" s="131">
        <v>1418</v>
      </c>
      <c r="L297" s="309">
        <v>-89.7</v>
      </c>
      <c r="W297" s="309"/>
    </row>
    <row r="298" spans="1:23" x14ac:dyDescent="0.2">
      <c r="A298" s="131"/>
      <c r="B298" s="313">
        <v>44621</v>
      </c>
      <c r="C298" s="309">
        <v>4013</v>
      </c>
      <c r="D298" s="131">
        <v>21605</v>
      </c>
      <c r="E298" s="314">
        <v>5.3837528033889859</v>
      </c>
      <c r="F298" s="131">
        <v>221.22115251099282</v>
      </c>
      <c r="G298" s="131">
        <v>1</v>
      </c>
      <c r="H298" s="315">
        <v>1191</v>
      </c>
      <c r="I298" s="131" t="s">
        <v>751</v>
      </c>
      <c r="J298" s="309" t="s">
        <v>722</v>
      </c>
      <c r="K298" s="131">
        <v>4013</v>
      </c>
      <c r="L298" s="309">
        <v>297.75</v>
      </c>
      <c r="W298" s="309"/>
    </row>
    <row r="299" spans="1:23" x14ac:dyDescent="0.2">
      <c r="A299" s="131"/>
      <c r="B299" s="313">
        <v>44652</v>
      </c>
      <c r="C299" s="309">
        <v>2229</v>
      </c>
      <c r="D299" s="131">
        <v>22275</v>
      </c>
      <c r="E299" s="314">
        <v>9.9932705248990583</v>
      </c>
      <c r="F299" s="131">
        <v>166.11178451178449</v>
      </c>
      <c r="G299" s="131">
        <v>1</v>
      </c>
      <c r="H299" s="315">
        <v>1660</v>
      </c>
      <c r="I299" s="131" t="s">
        <v>751</v>
      </c>
      <c r="J299" s="309" t="s">
        <v>722</v>
      </c>
      <c r="K299" s="131">
        <v>2229</v>
      </c>
      <c r="L299" s="309">
        <v>415</v>
      </c>
      <c r="W299" s="309"/>
    </row>
    <row r="300" spans="1:23" x14ac:dyDescent="0.2">
      <c r="A300" s="131"/>
      <c r="B300" s="313">
        <v>44682</v>
      </c>
      <c r="C300" s="309">
        <v>2759</v>
      </c>
      <c r="D300" s="131">
        <v>27580</v>
      </c>
      <c r="E300" s="314">
        <v>9.996375498368975</v>
      </c>
      <c r="F300" s="131">
        <v>251.79126178390135</v>
      </c>
      <c r="G300" s="131">
        <v>1</v>
      </c>
      <c r="H300" s="315">
        <v>2517</v>
      </c>
      <c r="I300" s="131" t="s">
        <v>751</v>
      </c>
      <c r="J300" s="309" t="s">
        <v>722</v>
      </c>
      <c r="K300" s="131">
        <v>2759</v>
      </c>
      <c r="L300" s="309">
        <v>629.25</v>
      </c>
      <c r="W300" s="309"/>
    </row>
    <row r="301" spans="1:23" x14ac:dyDescent="0.2">
      <c r="A301" s="131"/>
      <c r="B301" s="313">
        <v>44713</v>
      </c>
      <c r="C301" s="309">
        <v>4647</v>
      </c>
      <c r="D301" s="131">
        <v>46470</v>
      </c>
      <c r="E301" s="314">
        <v>10</v>
      </c>
      <c r="F301" s="131">
        <v>353.3</v>
      </c>
      <c r="G301" s="131">
        <v>1</v>
      </c>
      <c r="H301" s="315">
        <v>3533</v>
      </c>
      <c r="I301" s="131" t="s">
        <v>751</v>
      </c>
      <c r="J301" s="309" t="s">
        <v>722</v>
      </c>
      <c r="K301" s="309">
        <v>4647</v>
      </c>
      <c r="L301" s="309">
        <v>883.25</v>
      </c>
      <c r="W301" s="309"/>
    </row>
    <row r="302" spans="1:23" x14ac:dyDescent="0.2">
      <c r="A302" s="131"/>
      <c r="B302" s="313">
        <v>44743</v>
      </c>
      <c r="C302" s="309">
        <v>2159</v>
      </c>
      <c r="D302" s="131">
        <v>52975</v>
      </c>
      <c r="E302" s="314">
        <v>24.536822603056972</v>
      </c>
      <c r="F302" s="131">
        <v>44.015478999528078</v>
      </c>
      <c r="G302" s="131">
        <v>1</v>
      </c>
      <c r="H302" s="315">
        <v>1080</v>
      </c>
      <c r="I302" s="131" t="s">
        <v>751</v>
      </c>
      <c r="J302" s="309" t="s">
        <v>722</v>
      </c>
      <c r="K302" s="131">
        <v>2159</v>
      </c>
      <c r="L302" s="309">
        <v>238</v>
      </c>
      <c r="W302" s="309"/>
    </row>
    <row r="303" spans="1:23" x14ac:dyDescent="0.2">
      <c r="A303" s="131"/>
      <c r="B303" s="313">
        <v>44774</v>
      </c>
      <c r="C303" s="309">
        <v>1103</v>
      </c>
      <c r="D303" s="131">
        <v>27555</v>
      </c>
      <c r="E303" s="314">
        <v>24.9818676337262</v>
      </c>
      <c r="F303" s="131">
        <v>51.91765559789512</v>
      </c>
      <c r="G303" s="131">
        <v>1</v>
      </c>
      <c r="H303" s="315">
        <v>1297</v>
      </c>
      <c r="I303" s="131" t="s">
        <v>751</v>
      </c>
      <c r="J303" s="309" t="s">
        <v>722</v>
      </c>
      <c r="K303" s="131">
        <v>1103</v>
      </c>
      <c r="L303" s="309">
        <v>447.2</v>
      </c>
      <c r="W303" s="309"/>
    </row>
    <row r="304" spans="1:23" x14ac:dyDescent="0.2">
      <c r="A304" s="131"/>
      <c r="B304" s="313">
        <v>44805</v>
      </c>
      <c r="C304" s="131">
        <v>1652</v>
      </c>
      <c r="D304" s="131">
        <v>41300</v>
      </c>
      <c r="E304" s="314">
        <v>25</v>
      </c>
      <c r="F304" s="131">
        <v>27.16</v>
      </c>
      <c r="G304" s="131">
        <v>1</v>
      </c>
      <c r="H304" s="315">
        <v>679</v>
      </c>
      <c r="I304" s="131" t="s">
        <v>751</v>
      </c>
      <c r="J304" s="309" t="s">
        <v>722</v>
      </c>
      <c r="K304" s="131">
        <v>1652</v>
      </c>
      <c r="L304" s="309">
        <v>203.7</v>
      </c>
      <c r="W304" s="309"/>
    </row>
    <row r="305" spans="1:23" x14ac:dyDescent="0.2">
      <c r="A305" s="131"/>
      <c r="B305" s="313">
        <v>44835</v>
      </c>
      <c r="C305" s="131">
        <v>1559</v>
      </c>
      <c r="D305" s="131">
        <v>33480</v>
      </c>
      <c r="E305" s="314">
        <v>21.475304682488776</v>
      </c>
      <c r="F305" s="131">
        <v>-4.0045997610513737</v>
      </c>
      <c r="G305" s="131">
        <v>1</v>
      </c>
      <c r="H305" s="315">
        <v>-86</v>
      </c>
      <c r="I305" s="131" t="s">
        <v>751</v>
      </c>
      <c r="J305" s="309" t="s">
        <v>722</v>
      </c>
      <c r="K305" s="131">
        <v>1559</v>
      </c>
      <c r="L305" s="309">
        <v>-25.800000000000011</v>
      </c>
      <c r="W305" s="309"/>
    </row>
    <row r="306" spans="1:23" x14ac:dyDescent="0.2">
      <c r="A306" s="131"/>
      <c r="B306" s="313">
        <v>44866</v>
      </c>
      <c r="C306" s="131">
        <v>3979</v>
      </c>
      <c r="D306" s="131">
        <v>43700</v>
      </c>
      <c r="E306" s="314">
        <v>10.982658959537572</v>
      </c>
      <c r="F306" s="131">
        <v>0.5463157894736842</v>
      </c>
      <c r="G306" s="131">
        <v>1</v>
      </c>
      <c r="H306" s="315">
        <v>6</v>
      </c>
      <c r="I306" s="131" t="s">
        <v>751</v>
      </c>
      <c r="J306" s="309" t="s">
        <v>722</v>
      </c>
      <c r="K306" s="131">
        <v>3979</v>
      </c>
      <c r="L306" s="309">
        <v>1.7999999999999972</v>
      </c>
      <c r="W306" s="309"/>
    </row>
    <row r="307" spans="1:23" x14ac:dyDescent="0.2">
      <c r="A307" s="131"/>
      <c r="B307" s="313">
        <v>44896</v>
      </c>
      <c r="C307" s="131">
        <v>2464</v>
      </c>
      <c r="D307" s="131">
        <v>24635</v>
      </c>
      <c r="E307" s="314">
        <v>9.997970779220779</v>
      </c>
      <c r="F307" s="131">
        <v>135.32746092957174</v>
      </c>
      <c r="G307" s="131">
        <v>1</v>
      </c>
      <c r="H307" s="315">
        <v>1353</v>
      </c>
      <c r="I307" s="131" t="s">
        <v>751</v>
      </c>
      <c r="J307" s="309" t="s">
        <v>722</v>
      </c>
      <c r="K307" s="131">
        <v>2464</v>
      </c>
      <c r="L307" s="309">
        <v>405.9</v>
      </c>
      <c r="W307" s="309"/>
    </row>
    <row r="308" spans="1:23" x14ac:dyDescent="0.2">
      <c r="A308" s="131"/>
      <c r="B308" s="313">
        <v>44927</v>
      </c>
      <c r="C308" s="309">
        <v>1250</v>
      </c>
      <c r="D308" s="131">
        <v>12500</v>
      </c>
      <c r="E308" s="314">
        <v>10</v>
      </c>
      <c r="F308" s="131">
        <v>89.7</v>
      </c>
      <c r="G308" s="131">
        <v>1</v>
      </c>
      <c r="H308" s="315">
        <v>897</v>
      </c>
      <c r="I308" s="131" t="s">
        <v>751</v>
      </c>
      <c r="J308" s="309" t="s">
        <v>722</v>
      </c>
      <c r="K308" s="309">
        <v>1250</v>
      </c>
      <c r="L308" s="309">
        <v>224.25</v>
      </c>
      <c r="W308" s="309"/>
    </row>
    <row r="309" spans="1:23" x14ac:dyDescent="0.2">
      <c r="A309" s="131"/>
      <c r="B309" s="313">
        <v>44958</v>
      </c>
      <c r="C309" s="131">
        <v>3915</v>
      </c>
      <c r="D309" s="131">
        <v>39100</v>
      </c>
      <c r="E309" s="314">
        <v>9.9872286079182633</v>
      </c>
      <c r="F309" s="131">
        <v>224.58682864450128</v>
      </c>
      <c r="G309" s="131">
        <v>1</v>
      </c>
      <c r="H309" s="315">
        <v>2243</v>
      </c>
      <c r="I309" s="131" t="s">
        <v>751</v>
      </c>
      <c r="J309" s="309" t="s">
        <v>722</v>
      </c>
      <c r="K309" s="131">
        <v>3915</v>
      </c>
      <c r="L309" s="309">
        <v>560.75</v>
      </c>
      <c r="W309" s="309"/>
    </row>
    <row r="310" spans="1:23" x14ac:dyDescent="0.2">
      <c r="A310" s="131"/>
      <c r="B310" s="313">
        <v>44986</v>
      </c>
      <c r="C310" s="131">
        <v>1761</v>
      </c>
      <c r="D310" s="131">
        <v>17605</v>
      </c>
      <c r="E310" s="314">
        <v>9.9971607041453723</v>
      </c>
      <c r="F310" s="131">
        <v>98.127861403010499</v>
      </c>
      <c r="G310" s="131">
        <v>1</v>
      </c>
      <c r="H310" s="315">
        <v>981</v>
      </c>
      <c r="I310" s="131" t="s">
        <v>751</v>
      </c>
      <c r="J310" s="309" t="s">
        <v>722</v>
      </c>
      <c r="K310" s="131">
        <v>1761</v>
      </c>
      <c r="L310" s="309">
        <v>245.25</v>
      </c>
      <c r="W310" s="309"/>
    </row>
    <row r="311" spans="1:23" x14ac:dyDescent="0.2">
      <c r="A311" s="131" t="s">
        <v>1059</v>
      </c>
      <c r="B311" s="311"/>
      <c r="C311" s="309">
        <v>54529</v>
      </c>
      <c r="D311" s="131">
        <v>663289</v>
      </c>
      <c r="E311" s="314">
        <v>12.163967796952081</v>
      </c>
      <c r="F311" s="131">
        <v>1767.9264166901607</v>
      </c>
      <c r="G311" s="131">
        <v>26</v>
      </c>
      <c r="H311" s="315">
        <v>21505</v>
      </c>
      <c r="I311" s="131" t="s">
        <v>751</v>
      </c>
      <c r="J311" s="309" t="s">
        <v>722</v>
      </c>
      <c r="K311" s="131">
        <v>54529</v>
      </c>
      <c r="L311" s="309">
        <v>5655.4</v>
      </c>
      <c r="W311" s="309"/>
    </row>
    <row r="312" spans="1:23" x14ac:dyDescent="0.2">
      <c r="A312" s="131" t="s">
        <v>175</v>
      </c>
      <c r="B312" s="313">
        <v>44440</v>
      </c>
      <c r="C312" s="131">
        <v>2961</v>
      </c>
      <c r="D312" s="131">
        <v>74940</v>
      </c>
      <c r="E312" s="314">
        <v>25.309017223910843</v>
      </c>
      <c r="F312" s="131">
        <v>128.57077662129703</v>
      </c>
      <c r="G312" s="131">
        <v>1</v>
      </c>
      <c r="H312" s="315">
        <v>3254</v>
      </c>
      <c r="I312" s="131" t="s">
        <v>795</v>
      </c>
      <c r="J312" s="309" t="s">
        <v>722</v>
      </c>
      <c r="K312" s="131">
        <v>2961</v>
      </c>
      <c r="L312" s="309">
        <v>553.18000000000006</v>
      </c>
      <c r="W312" s="309"/>
    </row>
    <row r="313" spans="1:23" x14ac:dyDescent="0.2">
      <c r="A313" s="131"/>
      <c r="B313" s="313">
        <v>44470</v>
      </c>
      <c r="C313" s="131">
        <v>2730</v>
      </c>
      <c r="D313" s="131">
        <v>75000</v>
      </c>
      <c r="E313" s="314">
        <v>27.472527472527471</v>
      </c>
      <c r="F313" s="131">
        <v>109.2364</v>
      </c>
      <c r="G313" s="131">
        <v>1</v>
      </c>
      <c r="H313" s="315">
        <v>3001</v>
      </c>
      <c r="I313" s="131" t="s">
        <v>795</v>
      </c>
      <c r="J313" s="309" t="s">
        <v>722</v>
      </c>
      <c r="K313" s="131">
        <v>2730</v>
      </c>
      <c r="L313" s="309">
        <v>510.17000000000007</v>
      </c>
      <c r="W313" s="309"/>
    </row>
    <row r="314" spans="1:23" x14ac:dyDescent="0.2">
      <c r="A314" s="131"/>
      <c r="B314" s="313">
        <v>44501</v>
      </c>
      <c r="C314" s="131">
        <v>482</v>
      </c>
      <c r="D314" s="131">
        <v>7751.75</v>
      </c>
      <c r="E314" s="314">
        <v>16.082468879668049</v>
      </c>
      <c r="F314" s="131">
        <v>35.131421936981972</v>
      </c>
      <c r="G314" s="131">
        <v>1</v>
      </c>
      <c r="H314" s="315">
        <v>565</v>
      </c>
      <c r="I314" s="131" t="s">
        <v>795</v>
      </c>
      <c r="J314" s="309" t="s">
        <v>722</v>
      </c>
      <c r="K314" s="131">
        <v>294</v>
      </c>
      <c r="L314" s="309">
        <v>141.25</v>
      </c>
      <c r="W314" s="309"/>
    </row>
    <row r="315" spans="1:23" x14ac:dyDescent="0.2">
      <c r="A315" s="131"/>
      <c r="B315" s="313">
        <v>44531</v>
      </c>
      <c r="C315" s="131">
        <v>2178</v>
      </c>
      <c r="D315" s="131">
        <v>35010</v>
      </c>
      <c r="E315" s="314">
        <v>16.074380165289256</v>
      </c>
      <c r="F315" s="131">
        <v>23.826735218508997</v>
      </c>
      <c r="G315" s="131">
        <v>1</v>
      </c>
      <c r="H315" s="315">
        <v>383</v>
      </c>
      <c r="I315" s="131" t="s">
        <v>795</v>
      </c>
      <c r="J315" s="309" t="s">
        <v>722</v>
      </c>
      <c r="K315" s="131">
        <v>1256</v>
      </c>
      <c r="L315" s="309">
        <v>95.75</v>
      </c>
      <c r="W315" s="309"/>
    </row>
    <row r="316" spans="1:23" x14ac:dyDescent="0.2">
      <c r="A316" s="131"/>
      <c r="B316" s="313">
        <v>44562</v>
      </c>
      <c r="C316" s="131">
        <v>1396</v>
      </c>
      <c r="D316" s="131">
        <v>42465</v>
      </c>
      <c r="E316" s="314">
        <v>30.419054441260744</v>
      </c>
      <c r="F316" s="131">
        <v>135.0140586365242</v>
      </c>
      <c r="G316" s="131">
        <v>1</v>
      </c>
      <c r="H316" s="315">
        <v>4107</v>
      </c>
      <c r="I316" s="131" t="s">
        <v>795</v>
      </c>
      <c r="J316" s="309" t="s">
        <v>722</v>
      </c>
      <c r="K316" s="131">
        <v>1368</v>
      </c>
      <c r="L316" s="309">
        <v>698.19</v>
      </c>
      <c r="W316" s="309"/>
    </row>
    <row r="317" spans="1:23" x14ac:dyDescent="0.2">
      <c r="A317" s="131"/>
      <c r="B317" s="313">
        <v>44593</v>
      </c>
      <c r="C317" s="131">
        <v>2194</v>
      </c>
      <c r="D317" s="131">
        <v>75025</v>
      </c>
      <c r="E317" s="314">
        <v>34.195533272561534</v>
      </c>
      <c r="F317" s="131">
        <v>97.878280573142277</v>
      </c>
      <c r="G317" s="131">
        <v>1</v>
      </c>
      <c r="H317" s="315">
        <v>3347</v>
      </c>
      <c r="I317" s="131" t="s">
        <v>795</v>
      </c>
      <c r="J317" s="309" t="s">
        <v>722</v>
      </c>
      <c r="K317" s="131">
        <v>1951.3333333333333</v>
      </c>
      <c r="L317" s="309">
        <v>568.99</v>
      </c>
      <c r="W317" s="309"/>
    </row>
    <row r="318" spans="1:23" x14ac:dyDescent="0.2">
      <c r="A318" s="131"/>
      <c r="B318" s="313">
        <v>44621</v>
      </c>
      <c r="C318" s="131">
        <v>1564</v>
      </c>
      <c r="D318" s="131">
        <v>75100</v>
      </c>
      <c r="E318" s="314">
        <v>48.01790281329923</v>
      </c>
      <c r="F318" s="131">
        <v>45.316431424766982</v>
      </c>
      <c r="G318" s="131">
        <v>1</v>
      </c>
      <c r="H318" s="315">
        <v>2176</v>
      </c>
      <c r="I318" s="131" t="s">
        <v>795</v>
      </c>
      <c r="J318" s="309" t="s">
        <v>722</v>
      </c>
      <c r="K318" s="131">
        <v>1380</v>
      </c>
      <c r="L318" s="309">
        <v>369.91999999999996</v>
      </c>
      <c r="W318" s="309"/>
    </row>
    <row r="319" spans="1:23" x14ac:dyDescent="0.2">
      <c r="A319" s="131"/>
      <c r="B319" s="313">
        <v>44652</v>
      </c>
      <c r="C319" s="131">
        <v>1697</v>
      </c>
      <c r="D319" s="131">
        <v>74995</v>
      </c>
      <c r="E319" s="314">
        <v>44.192692987625222</v>
      </c>
      <c r="F319" s="131">
        <v>23.488045869724647</v>
      </c>
      <c r="G319" s="131">
        <v>1</v>
      </c>
      <c r="H319" s="315">
        <v>1038</v>
      </c>
      <c r="I319" s="131" t="s">
        <v>795</v>
      </c>
      <c r="J319" s="309" t="s">
        <v>722</v>
      </c>
      <c r="K319" s="131">
        <v>1477.6666666666667</v>
      </c>
      <c r="L319" s="309">
        <v>259.5</v>
      </c>
      <c r="W319" s="309"/>
    </row>
    <row r="320" spans="1:23" x14ac:dyDescent="0.2">
      <c r="A320" s="131"/>
      <c r="B320" s="313">
        <v>44682</v>
      </c>
      <c r="C320" s="131">
        <v>1820</v>
      </c>
      <c r="D320" s="131">
        <v>75000</v>
      </c>
      <c r="E320" s="314">
        <v>41.208791208791212</v>
      </c>
      <c r="F320" s="131">
        <v>42.41813333333333</v>
      </c>
      <c r="G320" s="131">
        <v>1</v>
      </c>
      <c r="H320" s="315">
        <v>1748</v>
      </c>
      <c r="I320" s="131" t="s">
        <v>795</v>
      </c>
      <c r="J320" s="309" t="s">
        <v>722</v>
      </c>
      <c r="K320" s="131">
        <v>1803.3333333333335</v>
      </c>
      <c r="L320" s="309">
        <v>437</v>
      </c>
      <c r="W320" s="309"/>
    </row>
    <row r="321" spans="1:23" x14ac:dyDescent="0.2">
      <c r="A321" s="131"/>
      <c r="B321" s="313">
        <v>44713</v>
      </c>
      <c r="C321" s="131">
        <v>1504</v>
      </c>
      <c r="D321" s="131">
        <v>75200</v>
      </c>
      <c r="E321" s="314">
        <v>50</v>
      </c>
      <c r="F321" s="131">
        <v>-45.88</v>
      </c>
      <c r="G321" s="131">
        <v>1</v>
      </c>
      <c r="H321" s="315">
        <v>-2294</v>
      </c>
      <c r="I321" s="131" t="s">
        <v>795</v>
      </c>
      <c r="J321" s="309" t="s">
        <v>722</v>
      </c>
      <c r="K321" s="131">
        <v>684.66666666666674</v>
      </c>
      <c r="L321" s="309">
        <v>-573.5</v>
      </c>
      <c r="W321" s="309"/>
    </row>
    <row r="322" spans="1:23" x14ac:dyDescent="0.2">
      <c r="A322" s="131"/>
      <c r="B322" s="313">
        <v>44743</v>
      </c>
      <c r="C322" s="131">
        <v>1772</v>
      </c>
      <c r="D322" s="131">
        <v>75034</v>
      </c>
      <c r="E322" s="314">
        <v>42.344243792325059</v>
      </c>
      <c r="F322" s="131">
        <v>5.6678305834688274</v>
      </c>
      <c r="G322" s="131">
        <v>1</v>
      </c>
      <c r="H322" s="315">
        <v>240</v>
      </c>
      <c r="I322" s="131" t="s">
        <v>795</v>
      </c>
      <c r="J322" s="309" t="s">
        <v>722</v>
      </c>
      <c r="K322" s="131">
        <v>1772</v>
      </c>
      <c r="L322" s="309">
        <v>60</v>
      </c>
      <c r="W322" s="309"/>
    </row>
    <row r="323" spans="1:23" x14ac:dyDescent="0.2">
      <c r="A323" s="131"/>
      <c r="B323" s="313">
        <v>44774</v>
      </c>
      <c r="C323" s="131">
        <v>2497</v>
      </c>
      <c r="D323" s="131">
        <v>74980</v>
      </c>
      <c r="E323" s="314">
        <v>30.028033640368442</v>
      </c>
      <c r="F323" s="131">
        <v>56.780274739930647</v>
      </c>
      <c r="G323" s="131">
        <v>1</v>
      </c>
      <c r="H323" s="315">
        <v>1705</v>
      </c>
      <c r="I323" s="131" t="s">
        <v>795</v>
      </c>
      <c r="J323" s="309" t="s">
        <v>722</v>
      </c>
      <c r="K323" s="131">
        <v>2497</v>
      </c>
      <c r="L323" s="309">
        <v>426.25</v>
      </c>
      <c r="W323" s="309"/>
    </row>
    <row r="324" spans="1:23" x14ac:dyDescent="0.2">
      <c r="A324" s="131"/>
      <c r="B324" s="313">
        <v>44805</v>
      </c>
      <c r="C324" s="131">
        <v>3329</v>
      </c>
      <c r="D324" s="131">
        <v>80675</v>
      </c>
      <c r="E324" s="314">
        <v>24.234004205467109</v>
      </c>
      <c r="F324" s="131">
        <v>153.17320111558723</v>
      </c>
      <c r="G324" s="131">
        <v>1</v>
      </c>
      <c r="H324" s="315">
        <v>3712</v>
      </c>
      <c r="I324" s="131" t="s">
        <v>795</v>
      </c>
      <c r="J324" s="309" t="s">
        <v>722</v>
      </c>
      <c r="K324" s="131">
        <v>3329</v>
      </c>
      <c r="L324" s="309">
        <v>928</v>
      </c>
      <c r="W324" s="309"/>
    </row>
    <row r="325" spans="1:23" x14ac:dyDescent="0.2">
      <c r="A325" s="131"/>
      <c r="B325" s="313">
        <v>44835</v>
      </c>
      <c r="C325" s="131">
        <v>1010</v>
      </c>
      <c r="D325" s="131">
        <v>24935</v>
      </c>
      <c r="E325" s="314">
        <v>24.688118811881189</v>
      </c>
      <c r="F325" s="131">
        <v>46.338079005414073</v>
      </c>
      <c r="G325" s="131">
        <v>1</v>
      </c>
      <c r="H325" s="315">
        <v>1144</v>
      </c>
      <c r="I325" s="131" t="s">
        <v>795</v>
      </c>
      <c r="J325" s="309" t="s">
        <v>722</v>
      </c>
      <c r="K325" s="131">
        <v>1010</v>
      </c>
      <c r="L325" s="309">
        <v>286</v>
      </c>
      <c r="W325" s="309"/>
    </row>
    <row r="326" spans="1:23" x14ac:dyDescent="0.2">
      <c r="A326" s="131"/>
      <c r="B326" s="313">
        <v>44866</v>
      </c>
      <c r="C326" s="131">
        <v>2473</v>
      </c>
      <c r="D326" s="131">
        <v>75125</v>
      </c>
      <c r="E326" s="314">
        <v>30.378083299636071</v>
      </c>
      <c r="F326" s="131">
        <v>110.14519800332778</v>
      </c>
      <c r="G326" s="131">
        <v>1</v>
      </c>
      <c r="H326" s="315">
        <v>3346</v>
      </c>
      <c r="I326" s="131" t="s">
        <v>795</v>
      </c>
      <c r="J326" s="309" t="s">
        <v>722</v>
      </c>
      <c r="K326" s="131">
        <v>2317</v>
      </c>
      <c r="L326" s="309">
        <v>568.82000000000005</v>
      </c>
      <c r="W326" s="309"/>
    </row>
    <row r="327" spans="1:23" x14ac:dyDescent="0.2">
      <c r="A327" s="131"/>
      <c r="B327" s="313">
        <v>44896</v>
      </c>
      <c r="C327" s="131">
        <v>339</v>
      </c>
      <c r="D327" s="131">
        <v>8250</v>
      </c>
      <c r="E327" s="314">
        <v>24.336283185840706</v>
      </c>
      <c r="F327" s="131">
        <v>-0.41090909090909095</v>
      </c>
      <c r="G327" s="131">
        <v>1</v>
      </c>
      <c r="H327" s="315">
        <v>-10</v>
      </c>
      <c r="I327" s="131" t="s">
        <v>795</v>
      </c>
      <c r="J327" s="309" t="s">
        <v>722</v>
      </c>
      <c r="K327" s="131">
        <v>339</v>
      </c>
      <c r="L327" s="309">
        <v>-3.5</v>
      </c>
      <c r="W327" s="309"/>
    </row>
    <row r="328" spans="1:23" x14ac:dyDescent="0.2">
      <c r="A328" s="131"/>
      <c r="B328" s="313">
        <v>44927</v>
      </c>
      <c r="C328" s="131">
        <v>3046</v>
      </c>
      <c r="D328" s="131">
        <v>101249</v>
      </c>
      <c r="E328" s="314">
        <v>33.239986868023635</v>
      </c>
      <c r="F328" s="131">
        <v>28.369445624154313</v>
      </c>
      <c r="G328" s="131">
        <v>1</v>
      </c>
      <c r="H328" s="315">
        <v>943</v>
      </c>
      <c r="I328" s="131" t="s">
        <v>795</v>
      </c>
      <c r="J328" s="309" t="s">
        <v>722</v>
      </c>
      <c r="K328" s="131">
        <v>2822.666666666667</v>
      </c>
      <c r="L328" s="309">
        <v>330.05000000000013</v>
      </c>
      <c r="W328" s="309"/>
    </row>
    <row r="329" spans="1:23" x14ac:dyDescent="0.2">
      <c r="A329" s="131"/>
      <c r="B329" s="313">
        <v>44958</v>
      </c>
      <c r="C329" s="131">
        <v>3178</v>
      </c>
      <c r="D329" s="131">
        <v>74359</v>
      </c>
      <c r="E329" s="314">
        <v>23.398049087476402</v>
      </c>
      <c r="F329" s="131">
        <v>152.14943718984924</v>
      </c>
      <c r="G329" s="131">
        <v>1</v>
      </c>
      <c r="H329" s="315">
        <v>3560</v>
      </c>
      <c r="I329" s="131" t="s">
        <v>795</v>
      </c>
      <c r="J329" s="309" t="s">
        <v>722</v>
      </c>
      <c r="K329" s="131">
        <v>2878.666666666667</v>
      </c>
      <c r="L329" s="309">
        <v>605.20000000000005</v>
      </c>
      <c r="W329" s="309"/>
    </row>
    <row r="330" spans="1:23" x14ac:dyDescent="0.2">
      <c r="A330" s="131" t="s">
        <v>1090</v>
      </c>
      <c r="B330" s="311"/>
      <c r="C330" s="131">
        <v>36170</v>
      </c>
      <c r="D330" s="131">
        <v>1125093.75</v>
      </c>
      <c r="E330" s="314">
        <v>31.105716063035665</v>
      </c>
      <c r="F330" s="131">
        <v>1027.6246312807266</v>
      </c>
      <c r="G330" s="131">
        <v>18</v>
      </c>
      <c r="H330" s="315">
        <v>31965</v>
      </c>
      <c r="I330" s="131" t="s">
        <v>795</v>
      </c>
      <c r="J330" s="309" t="s">
        <v>722</v>
      </c>
      <c r="K330" s="131">
        <v>32871.333333333328</v>
      </c>
      <c r="L330" s="309">
        <v>6261.27</v>
      </c>
      <c r="W330" s="309"/>
    </row>
    <row r="331" spans="1:23" x14ac:dyDescent="0.2">
      <c r="A331" s="131" t="s">
        <v>178</v>
      </c>
      <c r="B331" s="313">
        <v>44743</v>
      </c>
      <c r="C331" s="131">
        <v>2035</v>
      </c>
      <c r="D331" s="131">
        <v>20350</v>
      </c>
      <c r="E331" s="314">
        <v>10</v>
      </c>
      <c r="F331" s="131">
        <v>46.2</v>
      </c>
      <c r="G331" s="131">
        <v>1</v>
      </c>
      <c r="H331" s="315">
        <v>462</v>
      </c>
      <c r="I331" s="131" t="s">
        <v>806</v>
      </c>
      <c r="J331" s="309" t="s">
        <v>808</v>
      </c>
      <c r="K331" s="131">
        <v>1175</v>
      </c>
      <c r="L331" s="309">
        <v>115.5</v>
      </c>
      <c r="W331" s="309"/>
    </row>
    <row r="332" spans="1:23" x14ac:dyDescent="0.2">
      <c r="A332" s="131"/>
      <c r="B332" s="313">
        <v>44805</v>
      </c>
      <c r="C332" s="131">
        <v>2461</v>
      </c>
      <c r="D332" s="131">
        <v>27685</v>
      </c>
      <c r="E332" s="314">
        <v>11.249492076391711</v>
      </c>
      <c r="F332" s="131">
        <v>12.80057793028716</v>
      </c>
      <c r="G332" s="131">
        <v>1</v>
      </c>
      <c r="H332" s="315">
        <v>144</v>
      </c>
      <c r="I332" s="131" t="s">
        <v>806</v>
      </c>
      <c r="J332" s="309" t="s">
        <v>808</v>
      </c>
      <c r="K332" s="131">
        <v>1741.6666666666667</v>
      </c>
      <c r="L332" s="309">
        <v>33.120000000000005</v>
      </c>
      <c r="W332" s="309"/>
    </row>
    <row r="333" spans="1:23" x14ac:dyDescent="0.2">
      <c r="A333" s="131"/>
      <c r="B333" s="313">
        <v>44835</v>
      </c>
      <c r="C333" s="131">
        <v>3409</v>
      </c>
      <c r="D333" s="131">
        <v>34090</v>
      </c>
      <c r="E333" s="314">
        <v>10</v>
      </c>
      <c r="F333" s="131">
        <v>199.4</v>
      </c>
      <c r="G333" s="131">
        <v>1</v>
      </c>
      <c r="H333" s="315">
        <v>1994</v>
      </c>
      <c r="I333" s="131" t="s">
        <v>806</v>
      </c>
      <c r="J333" s="309" t="s">
        <v>808</v>
      </c>
      <c r="K333" s="131">
        <v>2682.3333333333335</v>
      </c>
      <c r="L333" s="309">
        <v>338.98</v>
      </c>
      <c r="W333" s="309"/>
    </row>
    <row r="334" spans="1:23" x14ac:dyDescent="0.2">
      <c r="A334" s="131"/>
      <c r="B334" s="313">
        <v>44866</v>
      </c>
      <c r="C334" s="131">
        <v>3388</v>
      </c>
      <c r="D334" s="131">
        <v>51693</v>
      </c>
      <c r="E334" s="314">
        <v>15.257674144037781</v>
      </c>
      <c r="F334" s="131">
        <v>123.74100942100478</v>
      </c>
      <c r="G334" s="131">
        <v>1</v>
      </c>
      <c r="H334" s="315">
        <v>1888</v>
      </c>
      <c r="I334" s="131" t="s">
        <v>806</v>
      </c>
      <c r="J334" s="309" t="s">
        <v>808</v>
      </c>
      <c r="K334" s="131">
        <v>2544.666666666667</v>
      </c>
      <c r="L334" s="309">
        <v>490.90000000000003</v>
      </c>
      <c r="W334" s="309"/>
    </row>
    <row r="335" spans="1:23" x14ac:dyDescent="0.2">
      <c r="A335" s="131"/>
      <c r="B335" s="313">
        <v>44896</v>
      </c>
      <c r="C335" s="131">
        <v>2624</v>
      </c>
      <c r="D335" s="131">
        <v>64565</v>
      </c>
      <c r="E335" s="314">
        <v>24.605564024390244</v>
      </c>
      <c r="F335" s="131">
        <v>90.507984201967005</v>
      </c>
      <c r="G335" s="131">
        <v>1</v>
      </c>
      <c r="H335" s="315">
        <v>2227</v>
      </c>
      <c r="I335" s="131" t="s">
        <v>806</v>
      </c>
      <c r="J335" s="309" t="s">
        <v>808</v>
      </c>
      <c r="K335" s="131">
        <v>2431.3333333333335</v>
      </c>
      <c r="L335" s="309">
        <v>601.29000000000008</v>
      </c>
      <c r="W335" s="309"/>
    </row>
    <row r="336" spans="1:23" x14ac:dyDescent="0.2">
      <c r="A336" s="131"/>
      <c r="B336" s="313">
        <v>44927</v>
      </c>
      <c r="C336" s="131">
        <v>998</v>
      </c>
      <c r="D336" s="131">
        <v>24950</v>
      </c>
      <c r="E336" s="314">
        <v>25</v>
      </c>
      <c r="F336" s="131">
        <v>8.56</v>
      </c>
      <c r="G336" s="131">
        <v>1</v>
      </c>
      <c r="H336" s="315">
        <v>214</v>
      </c>
      <c r="I336" s="131" t="s">
        <v>806</v>
      </c>
      <c r="J336" s="309" t="s">
        <v>808</v>
      </c>
      <c r="K336" s="131">
        <v>998</v>
      </c>
      <c r="L336" s="309">
        <v>70.62</v>
      </c>
      <c r="W336" s="309"/>
    </row>
    <row r="337" spans="1:23" x14ac:dyDescent="0.2">
      <c r="A337" s="131"/>
      <c r="B337" s="313">
        <v>44958</v>
      </c>
      <c r="C337" s="131">
        <v>2026</v>
      </c>
      <c r="D337" s="131">
        <v>50650</v>
      </c>
      <c r="E337" s="314">
        <v>25</v>
      </c>
      <c r="F337" s="131">
        <v>45.16</v>
      </c>
      <c r="G337" s="131">
        <v>1</v>
      </c>
      <c r="H337" s="315">
        <v>1129</v>
      </c>
      <c r="I337" s="131" t="s">
        <v>806</v>
      </c>
      <c r="J337" s="309" t="s">
        <v>808</v>
      </c>
      <c r="K337" s="131">
        <v>1991.3333333333333</v>
      </c>
      <c r="L337" s="309">
        <v>338.70000000000005</v>
      </c>
      <c r="W337" s="309"/>
    </row>
    <row r="338" spans="1:23" x14ac:dyDescent="0.2">
      <c r="A338" s="131"/>
      <c r="B338" s="313">
        <v>44986</v>
      </c>
      <c r="C338" s="131">
        <v>1556</v>
      </c>
      <c r="D338" s="131">
        <v>38900</v>
      </c>
      <c r="E338" s="314">
        <v>25</v>
      </c>
      <c r="F338" s="131">
        <v>23.92</v>
      </c>
      <c r="G338" s="131">
        <v>1</v>
      </c>
      <c r="H338" s="315">
        <v>598</v>
      </c>
      <c r="I338" s="131" t="s">
        <v>806</v>
      </c>
      <c r="J338" s="309" t="s">
        <v>808</v>
      </c>
      <c r="K338" s="131">
        <v>1556</v>
      </c>
      <c r="L338" s="309">
        <v>197.34</v>
      </c>
      <c r="W338" s="309"/>
    </row>
    <row r="339" spans="1:23" x14ac:dyDescent="0.2">
      <c r="A339" s="131" t="s">
        <v>1060</v>
      </c>
      <c r="B339" s="311"/>
      <c r="C339" s="131">
        <v>18497</v>
      </c>
      <c r="D339" s="131">
        <v>312883</v>
      </c>
      <c r="E339" s="314">
        <v>16.915337622317132</v>
      </c>
      <c r="F339" s="131">
        <v>511.72493232294499</v>
      </c>
      <c r="G339" s="131">
        <v>8</v>
      </c>
      <c r="H339" s="315">
        <v>8656</v>
      </c>
      <c r="I339" s="131" t="s">
        <v>806</v>
      </c>
      <c r="J339" s="309" t="s">
        <v>808</v>
      </c>
      <c r="K339" s="131">
        <v>15120.333333333334</v>
      </c>
      <c r="L339" s="309">
        <v>2186.4499999999998</v>
      </c>
      <c r="W339" s="309"/>
    </row>
    <row r="340" spans="1:23" x14ac:dyDescent="0.2">
      <c r="A340" s="131" t="s">
        <v>102</v>
      </c>
      <c r="B340" s="313">
        <v>44682</v>
      </c>
      <c r="C340" s="131">
        <v>4955</v>
      </c>
      <c r="D340" s="131">
        <v>134145</v>
      </c>
      <c r="E340" s="314">
        <v>27.072653884964684</v>
      </c>
      <c r="F340" s="131">
        <v>68.039136755003909</v>
      </c>
      <c r="G340" s="131">
        <v>1</v>
      </c>
      <c r="H340" s="315">
        <v>1842</v>
      </c>
      <c r="I340" s="131" t="s">
        <v>812</v>
      </c>
      <c r="J340" s="309" t="s">
        <v>722</v>
      </c>
      <c r="K340" s="131">
        <v>2087.666666666667</v>
      </c>
      <c r="L340" s="309">
        <v>373.15199999999999</v>
      </c>
      <c r="W340" s="309"/>
    </row>
    <row r="341" spans="1:23" x14ac:dyDescent="0.2">
      <c r="A341" s="131"/>
      <c r="B341" s="313">
        <v>44713</v>
      </c>
      <c r="C341" s="131">
        <v>2821</v>
      </c>
      <c r="D341" s="131">
        <v>137125</v>
      </c>
      <c r="E341" s="314">
        <v>48.608649415101027</v>
      </c>
      <c r="F341" s="131">
        <v>89.099369188696443</v>
      </c>
      <c r="G341" s="131">
        <v>1</v>
      </c>
      <c r="H341" s="315">
        <v>4331</v>
      </c>
      <c r="I341" s="131" t="s">
        <v>812</v>
      </c>
      <c r="J341" s="309" t="s">
        <v>722</v>
      </c>
      <c r="K341" s="131">
        <v>2323</v>
      </c>
      <c r="L341" s="309">
        <v>650.57220000000007</v>
      </c>
      <c r="W341" s="309"/>
    </row>
    <row r="342" spans="1:23" x14ac:dyDescent="0.2">
      <c r="A342" s="131"/>
      <c r="B342" s="313">
        <v>44743</v>
      </c>
      <c r="C342" s="131">
        <v>5510</v>
      </c>
      <c r="D342" s="131">
        <v>452160</v>
      </c>
      <c r="E342" s="314">
        <v>82.061705989110706</v>
      </c>
      <c r="F342" s="131">
        <v>76.381546355272476</v>
      </c>
      <c r="G342" s="131">
        <v>1</v>
      </c>
      <c r="H342" s="315">
        <v>6268</v>
      </c>
      <c r="I342" s="131" t="s">
        <v>812</v>
      </c>
      <c r="J342" s="309" t="s">
        <v>722</v>
      </c>
      <c r="K342" s="131">
        <v>4574</v>
      </c>
      <c r="L342" s="309">
        <v>1216.8584000000001</v>
      </c>
      <c r="W342" s="309"/>
    </row>
    <row r="343" spans="1:23" x14ac:dyDescent="0.2">
      <c r="A343" s="131"/>
      <c r="B343" s="313">
        <v>44774</v>
      </c>
      <c r="C343" s="131">
        <v>3313</v>
      </c>
      <c r="D343" s="131">
        <v>240000</v>
      </c>
      <c r="E343" s="314">
        <v>72.441895562933894</v>
      </c>
      <c r="F343" s="131">
        <v>7.6889208333333334</v>
      </c>
      <c r="G343" s="131">
        <v>1</v>
      </c>
      <c r="H343" s="315">
        <v>557</v>
      </c>
      <c r="I343" s="131" t="s">
        <v>812</v>
      </c>
      <c r="J343" s="309" t="s">
        <v>722</v>
      </c>
      <c r="K343" s="131">
        <v>2541</v>
      </c>
      <c r="L343" s="309">
        <v>134.93600000000004</v>
      </c>
      <c r="W343" s="309"/>
    </row>
    <row r="344" spans="1:23" x14ac:dyDescent="0.2">
      <c r="A344" s="131"/>
      <c r="B344" s="313">
        <v>44805</v>
      </c>
      <c r="C344" s="309">
        <v>3716</v>
      </c>
      <c r="D344" s="131">
        <v>203700</v>
      </c>
      <c r="E344" s="314">
        <v>54.817007534983851</v>
      </c>
      <c r="F344" s="131">
        <v>54.070810014727542</v>
      </c>
      <c r="G344" s="131">
        <v>1</v>
      </c>
      <c r="H344" s="315">
        <v>2964</v>
      </c>
      <c r="I344" s="131" t="s">
        <v>812</v>
      </c>
      <c r="J344" s="309" t="s">
        <v>722</v>
      </c>
      <c r="K344" s="131">
        <v>3626.5</v>
      </c>
      <c r="L344" s="309">
        <v>741</v>
      </c>
      <c r="W344" s="309"/>
    </row>
    <row r="345" spans="1:23" x14ac:dyDescent="0.2">
      <c r="A345" s="131"/>
      <c r="B345" s="313">
        <v>44835</v>
      </c>
      <c r="C345" s="309">
        <v>1432</v>
      </c>
      <c r="D345" s="131">
        <v>66650</v>
      </c>
      <c r="E345" s="314">
        <v>46.543296089385478</v>
      </c>
      <c r="F345" s="131">
        <v>135.05704426106524</v>
      </c>
      <c r="G345" s="131">
        <v>1</v>
      </c>
      <c r="H345" s="315">
        <v>6286</v>
      </c>
      <c r="I345" s="131" t="s">
        <v>812</v>
      </c>
      <c r="J345" s="309" t="s">
        <v>722</v>
      </c>
      <c r="K345" s="131">
        <v>1107.5</v>
      </c>
      <c r="L345" s="309">
        <v>1257.2</v>
      </c>
      <c r="W345" s="309"/>
    </row>
    <row r="346" spans="1:23" x14ac:dyDescent="0.2">
      <c r="A346" s="131"/>
      <c r="B346" s="313">
        <v>44866</v>
      </c>
      <c r="C346" s="309">
        <v>1810</v>
      </c>
      <c r="D346" s="131">
        <v>45250</v>
      </c>
      <c r="E346" s="314">
        <v>25</v>
      </c>
      <c r="F346" s="131">
        <v>110.64</v>
      </c>
      <c r="G346" s="131">
        <v>1</v>
      </c>
      <c r="H346" s="315">
        <v>2766</v>
      </c>
      <c r="I346" s="131" t="s">
        <v>812</v>
      </c>
      <c r="J346" s="309" t="s">
        <v>722</v>
      </c>
      <c r="K346" s="131">
        <v>1112.5</v>
      </c>
      <c r="L346" s="309">
        <v>624.27080000000001</v>
      </c>
      <c r="W346" s="309"/>
    </row>
    <row r="347" spans="1:23" x14ac:dyDescent="0.2">
      <c r="A347" s="131"/>
      <c r="B347" s="313">
        <v>44896</v>
      </c>
      <c r="C347" s="309">
        <v>16574</v>
      </c>
      <c r="D347" s="131">
        <v>984580</v>
      </c>
      <c r="E347" s="314">
        <v>59.405092313261733</v>
      </c>
      <c r="F347" s="131">
        <v>51.140396920514334</v>
      </c>
      <c r="G347" s="131">
        <v>1</v>
      </c>
      <c r="H347" s="315">
        <v>3038</v>
      </c>
      <c r="I347" s="131" t="s">
        <v>812</v>
      </c>
      <c r="J347" s="309" t="s">
        <v>722</v>
      </c>
      <c r="K347" s="131">
        <v>7278.9999999999991</v>
      </c>
      <c r="L347" s="309">
        <v>819.06550000000016</v>
      </c>
      <c r="W347" s="309"/>
    </row>
    <row r="348" spans="1:23" x14ac:dyDescent="0.2">
      <c r="A348" s="131"/>
      <c r="B348" s="313">
        <v>44927</v>
      </c>
      <c r="C348" s="309">
        <v>7384</v>
      </c>
      <c r="D348" s="131">
        <v>321400</v>
      </c>
      <c r="E348" s="314">
        <v>43.526543878656554</v>
      </c>
      <c r="F348" s="131">
        <v>187.47181082762913</v>
      </c>
      <c r="G348" s="131">
        <v>1</v>
      </c>
      <c r="H348" s="315">
        <v>8160</v>
      </c>
      <c r="I348" s="131" t="s">
        <v>812</v>
      </c>
      <c r="J348" s="309" t="s">
        <v>722</v>
      </c>
      <c r="K348" s="131">
        <v>4569</v>
      </c>
      <c r="L348" s="309">
        <v>1260.4554000000001</v>
      </c>
      <c r="W348" s="309"/>
    </row>
    <row r="349" spans="1:23" x14ac:dyDescent="0.2">
      <c r="A349" s="131"/>
      <c r="B349" s="313">
        <v>44958</v>
      </c>
      <c r="C349" s="131">
        <v>5257</v>
      </c>
      <c r="D349" s="131">
        <v>162700</v>
      </c>
      <c r="E349" s="314">
        <v>30.949210576374359</v>
      </c>
      <c r="F349" s="131">
        <v>-28.522536877688996</v>
      </c>
      <c r="G349" s="131">
        <v>1</v>
      </c>
      <c r="H349" s="315">
        <v>-882.75</v>
      </c>
      <c r="I349" s="131" t="s">
        <v>812</v>
      </c>
      <c r="J349" s="309" t="s">
        <v>722</v>
      </c>
      <c r="K349" s="131">
        <v>2553.1666666666665</v>
      </c>
      <c r="L349" s="309">
        <v>-176.55000000000004</v>
      </c>
      <c r="W349" s="309"/>
    </row>
    <row r="350" spans="1:23" x14ac:dyDescent="0.2">
      <c r="A350" s="131"/>
      <c r="B350" s="313">
        <v>44986</v>
      </c>
      <c r="C350" s="131">
        <v>3828</v>
      </c>
      <c r="D350" s="131">
        <v>176400</v>
      </c>
      <c r="E350" s="314">
        <v>46.081504702194358</v>
      </c>
      <c r="F350" s="131">
        <v>124.63991374327509</v>
      </c>
      <c r="G350" s="131">
        <v>1</v>
      </c>
      <c r="H350" s="315">
        <v>5743.5947712418301</v>
      </c>
      <c r="I350" s="131" t="s">
        <v>812</v>
      </c>
      <c r="J350" s="309" t="s">
        <v>722</v>
      </c>
      <c r="K350" s="131">
        <v>1909.5</v>
      </c>
      <c r="L350" s="309">
        <v>1230.278</v>
      </c>
      <c r="W350" s="309"/>
    </row>
    <row r="351" spans="1:23" x14ac:dyDescent="0.2">
      <c r="A351" s="131" t="s">
        <v>1091</v>
      </c>
      <c r="B351" s="311"/>
      <c r="C351" s="131">
        <v>56600</v>
      </c>
      <c r="D351" s="131">
        <v>2924110</v>
      </c>
      <c r="E351" s="314">
        <v>51.662720848056537</v>
      </c>
      <c r="F351" s="131">
        <v>795.01900203900925</v>
      </c>
      <c r="G351" s="131">
        <v>11</v>
      </c>
      <c r="H351" s="315">
        <v>41072.844771241827</v>
      </c>
      <c r="I351" s="131" t="s">
        <v>812</v>
      </c>
      <c r="J351" s="309" t="s">
        <v>722</v>
      </c>
      <c r="K351" s="131">
        <v>33682.833333333321</v>
      </c>
      <c r="L351" s="309">
        <v>8131.2383</v>
      </c>
      <c r="W351" s="309"/>
    </row>
    <row r="352" spans="1:23" x14ac:dyDescent="0.2">
      <c r="A352" s="131" t="s">
        <v>127</v>
      </c>
      <c r="B352" s="313">
        <v>44805</v>
      </c>
      <c r="C352" s="131">
        <v>1766</v>
      </c>
      <c r="D352" s="131">
        <v>74075</v>
      </c>
      <c r="E352" s="314">
        <v>41.945073612684034</v>
      </c>
      <c r="F352" s="131">
        <v>180.54563617954776</v>
      </c>
      <c r="G352" s="131">
        <v>1</v>
      </c>
      <c r="H352" s="315">
        <v>7573</v>
      </c>
      <c r="I352" s="131" t="s">
        <v>720</v>
      </c>
      <c r="J352" s="309" t="s">
        <v>722</v>
      </c>
      <c r="K352" s="131">
        <v>1766</v>
      </c>
      <c r="L352" s="309">
        <v>909</v>
      </c>
      <c r="W352" s="309"/>
    </row>
    <row r="353" spans="1:23" x14ac:dyDescent="0.2">
      <c r="A353" s="131"/>
      <c r="B353" s="313">
        <v>44835</v>
      </c>
      <c r="C353" s="131">
        <v>4659</v>
      </c>
      <c r="D353" s="131">
        <v>181745</v>
      </c>
      <c r="E353" s="314">
        <v>39.009444086713884</v>
      </c>
      <c r="F353" s="131">
        <v>8.203141764560236</v>
      </c>
      <c r="G353" s="131">
        <v>1</v>
      </c>
      <c r="H353" s="315">
        <v>320</v>
      </c>
      <c r="I353" s="131" t="s">
        <v>720</v>
      </c>
      <c r="J353" s="309" t="s">
        <v>722</v>
      </c>
      <c r="K353" s="131">
        <v>2329.333333333333</v>
      </c>
      <c r="L353" s="309">
        <v>71</v>
      </c>
      <c r="W353" s="309"/>
    </row>
    <row r="354" spans="1:23" x14ac:dyDescent="0.2">
      <c r="A354" s="131"/>
      <c r="B354" s="313">
        <v>44866</v>
      </c>
      <c r="C354" s="131">
        <v>2554</v>
      </c>
      <c r="D354" s="131">
        <v>79650</v>
      </c>
      <c r="E354" s="314">
        <v>31.186374314800315</v>
      </c>
      <c r="F354" s="131">
        <v>171.70960451977402</v>
      </c>
      <c r="G354" s="131">
        <v>1</v>
      </c>
      <c r="H354" s="315">
        <v>5355</v>
      </c>
      <c r="I354" s="131" t="s">
        <v>720</v>
      </c>
      <c r="J354" s="309" t="s">
        <v>722</v>
      </c>
      <c r="K354" s="131">
        <v>1252.1666666666665</v>
      </c>
      <c r="L354" s="309">
        <v>932</v>
      </c>
      <c r="W354" s="309"/>
    </row>
    <row r="355" spans="1:23" x14ac:dyDescent="0.2">
      <c r="A355" s="131"/>
      <c r="B355" s="313">
        <v>44896</v>
      </c>
      <c r="C355" s="131">
        <v>483</v>
      </c>
      <c r="D355" s="131">
        <v>12075</v>
      </c>
      <c r="E355" s="314">
        <v>25</v>
      </c>
      <c r="F355" s="131">
        <v>17.04</v>
      </c>
      <c r="G355" s="131">
        <v>1</v>
      </c>
      <c r="H355" s="315">
        <v>426</v>
      </c>
      <c r="I355" s="131" t="s">
        <v>720</v>
      </c>
      <c r="J355" s="309" t="s">
        <v>722</v>
      </c>
      <c r="K355" s="131">
        <v>241.5</v>
      </c>
      <c r="L355" s="309">
        <v>128</v>
      </c>
      <c r="W355" s="309"/>
    </row>
    <row r="356" spans="1:23" x14ac:dyDescent="0.2">
      <c r="A356" s="131"/>
      <c r="B356" s="313">
        <v>44927</v>
      </c>
      <c r="C356" s="131">
        <v>11351</v>
      </c>
      <c r="D356" s="131">
        <v>142130</v>
      </c>
      <c r="E356" s="314">
        <v>12.521363756497225</v>
      </c>
      <c r="F356" s="131">
        <v>183.52633504538099</v>
      </c>
      <c r="G356" s="131">
        <v>1</v>
      </c>
      <c r="H356" s="315">
        <v>2298</v>
      </c>
      <c r="I356" s="131" t="s">
        <v>720</v>
      </c>
      <c r="J356" s="309" t="s">
        <v>722</v>
      </c>
      <c r="K356" s="131">
        <v>5675.5</v>
      </c>
      <c r="L356" s="309">
        <v>391</v>
      </c>
      <c r="W356" s="309"/>
    </row>
    <row r="357" spans="1:23" x14ac:dyDescent="0.2">
      <c r="A357" s="131"/>
      <c r="B357" s="313">
        <v>44958</v>
      </c>
      <c r="C357" s="131">
        <v>1536</v>
      </c>
      <c r="D357" s="131">
        <v>19850</v>
      </c>
      <c r="E357" s="314">
        <v>12.923177083333334</v>
      </c>
      <c r="F357" s="131">
        <v>568.14976322418136</v>
      </c>
      <c r="G357" s="131">
        <v>1</v>
      </c>
      <c r="H357" s="315">
        <v>7342.3</v>
      </c>
      <c r="I357" s="131" t="s">
        <v>720</v>
      </c>
      <c r="J357" s="309" t="s">
        <v>722</v>
      </c>
      <c r="K357" s="131">
        <v>1145.5</v>
      </c>
      <c r="L357" s="309">
        <v>1248.191</v>
      </c>
      <c r="W357" s="309"/>
    </row>
    <row r="358" spans="1:23" x14ac:dyDescent="0.2">
      <c r="A358" s="131" t="s">
        <v>1092</v>
      </c>
      <c r="B358" s="311"/>
      <c r="C358" s="131">
        <v>22349</v>
      </c>
      <c r="D358" s="131">
        <v>509525</v>
      </c>
      <c r="E358" s="314">
        <v>22.798559219651885</v>
      </c>
      <c r="F358" s="131">
        <v>1022.6216391737403</v>
      </c>
      <c r="G358" s="131">
        <v>6</v>
      </c>
      <c r="H358" s="315">
        <v>23314.3</v>
      </c>
      <c r="I358" s="131" t="s">
        <v>720</v>
      </c>
      <c r="J358" s="309" t="s">
        <v>722</v>
      </c>
      <c r="K358" s="131">
        <v>12410</v>
      </c>
      <c r="L358" s="309">
        <v>3679.1909999999998</v>
      </c>
      <c r="W358" s="309"/>
    </row>
    <row r="359" spans="1:23" x14ac:dyDescent="0.2">
      <c r="A359" s="131" t="s">
        <v>508</v>
      </c>
      <c r="B359" s="313">
        <v>44621</v>
      </c>
      <c r="C359" s="131">
        <v>1687</v>
      </c>
      <c r="D359" s="131">
        <v>337400</v>
      </c>
      <c r="E359" s="314">
        <v>200</v>
      </c>
      <c r="F359" s="131">
        <v>8.0500000000000007</v>
      </c>
      <c r="G359" s="131">
        <v>1</v>
      </c>
      <c r="H359" s="315">
        <v>1610</v>
      </c>
      <c r="I359" s="307" t="s">
        <v>817</v>
      </c>
      <c r="J359" s="309" t="s">
        <v>819</v>
      </c>
      <c r="K359" s="131">
        <v>562.33333333333337</v>
      </c>
      <c r="L359" s="309">
        <v>193.2</v>
      </c>
      <c r="W359" s="309"/>
    </row>
    <row r="360" spans="1:23" x14ac:dyDescent="0.2">
      <c r="A360" s="131"/>
      <c r="B360" s="313">
        <v>44652</v>
      </c>
      <c r="C360" s="131">
        <v>4515</v>
      </c>
      <c r="D360" s="131">
        <v>902800</v>
      </c>
      <c r="E360" s="314">
        <v>199.95570321151718</v>
      </c>
      <c r="F360" s="131">
        <v>41.409171466548514</v>
      </c>
      <c r="G360" s="131">
        <v>1</v>
      </c>
      <c r="H360" s="315">
        <v>8280</v>
      </c>
      <c r="I360" s="307" t="s">
        <v>817</v>
      </c>
      <c r="J360" s="309" t="s">
        <v>819</v>
      </c>
      <c r="K360" s="131">
        <v>1505</v>
      </c>
      <c r="L360" s="309">
        <v>993.59999999999991</v>
      </c>
      <c r="W360" s="309"/>
    </row>
    <row r="361" spans="1:23" x14ac:dyDescent="0.2">
      <c r="A361" s="131"/>
      <c r="B361" s="313">
        <v>44682</v>
      </c>
      <c r="C361" s="131">
        <v>3175</v>
      </c>
      <c r="D361" s="131">
        <v>588400</v>
      </c>
      <c r="E361" s="314">
        <v>185.3228346456693</v>
      </c>
      <c r="F361" s="131">
        <v>-28.706662134602311</v>
      </c>
      <c r="G361" s="131">
        <v>1</v>
      </c>
      <c r="H361" s="315">
        <v>-5320</v>
      </c>
      <c r="I361" s="307" t="s">
        <v>817</v>
      </c>
      <c r="J361" s="309" t="s">
        <v>819</v>
      </c>
      <c r="K361" s="131">
        <v>1058.3333333333333</v>
      </c>
      <c r="L361" s="309">
        <v>-638.40000000000009</v>
      </c>
      <c r="W361" s="309"/>
    </row>
    <row r="362" spans="1:23" x14ac:dyDescent="0.2">
      <c r="A362" s="131"/>
      <c r="B362" s="313">
        <v>44713</v>
      </c>
      <c r="C362" s="131">
        <v>9217</v>
      </c>
      <c r="D362" s="131">
        <v>921700</v>
      </c>
      <c r="E362" s="314">
        <v>100</v>
      </c>
      <c r="F362" s="131">
        <v>-5.79</v>
      </c>
      <c r="G362" s="131">
        <v>1</v>
      </c>
      <c r="H362" s="315">
        <v>-579</v>
      </c>
      <c r="I362" s="307" t="s">
        <v>817</v>
      </c>
      <c r="J362" s="309" t="s">
        <v>819</v>
      </c>
      <c r="K362" s="131">
        <v>3072.3333333333335</v>
      </c>
      <c r="L362" s="309">
        <v>-69.48</v>
      </c>
      <c r="W362" s="309"/>
    </row>
    <row r="363" spans="1:23" x14ac:dyDescent="0.2">
      <c r="A363" s="131"/>
      <c r="B363" s="313">
        <v>44743</v>
      </c>
      <c r="C363" s="131">
        <v>6225</v>
      </c>
      <c r="D363" s="131">
        <v>622500</v>
      </c>
      <c r="E363" s="314">
        <v>100</v>
      </c>
      <c r="F363" s="131">
        <v>103.6</v>
      </c>
      <c r="G363" s="131">
        <v>1</v>
      </c>
      <c r="H363" s="315">
        <v>10360</v>
      </c>
      <c r="I363" s="307" t="s">
        <v>817</v>
      </c>
      <c r="J363" s="309" t="s">
        <v>819</v>
      </c>
      <c r="K363" s="131">
        <v>2075</v>
      </c>
      <c r="L363" s="309">
        <v>1243.2</v>
      </c>
      <c r="W363" s="309"/>
    </row>
    <row r="364" spans="1:23" x14ac:dyDescent="0.2">
      <c r="A364" s="131"/>
      <c r="B364" s="313">
        <v>44774</v>
      </c>
      <c r="C364" s="131">
        <v>6023</v>
      </c>
      <c r="D364" s="131">
        <v>602300</v>
      </c>
      <c r="E364" s="314">
        <v>100</v>
      </c>
      <c r="F364" s="131">
        <v>114.04</v>
      </c>
      <c r="G364" s="131">
        <v>1</v>
      </c>
      <c r="H364" s="315">
        <v>11404</v>
      </c>
      <c r="I364" s="307" t="s">
        <v>817</v>
      </c>
      <c r="J364" s="309" t="s">
        <v>819</v>
      </c>
      <c r="K364" s="131">
        <v>2007.6666666666667</v>
      </c>
      <c r="L364" s="309">
        <v>1368.48</v>
      </c>
      <c r="W364" s="309"/>
    </row>
    <row r="365" spans="1:23" x14ac:dyDescent="0.2">
      <c r="A365" s="131"/>
      <c r="B365" s="313">
        <v>44805</v>
      </c>
      <c r="C365" s="131">
        <v>5437</v>
      </c>
      <c r="D365" s="131">
        <v>543700</v>
      </c>
      <c r="E365" s="314">
        <v>100</v>
      </c>
      <c r="F365" s="131">
        <v>170.25</v>
      </c>
      <c r="G365" s="131">
        <v>1</v>
      </c>
      <c r="H365" s="315">
        <v>17025</v>
      </c>
      <c r="I365" s="307" t="s">
        <v>817</v>
      </c>
      <c r="J365" s="309" t="s">
        <v>819</v>
      </c>
      <c r="K365" s="131">
        <v>1812.3333333333333</v>
      </c>
      <c r="L365" s="309">
        <v>2043</v>
      </c>
      <c r="W365" s="309"/>
    </row>
    <row r="366" spans="1:23" x14ac:dyDescent="0.2">
      <c r="A366" s="131"/>
      <c r="B366" s="313">
        <v>44835</v>
      </c>
      <c r="C366" s="131">
        <v>4599</v>
      </c>
      <c r="D366" s="131">
        <v>216450</v>
      </c>
      <c r="E366" s="314">
        <v>47.064579256360076</v>
      </c>
      <c r="F366" s="131">
        <v>137.9168814968815</v>
      </c>
      <c r="G366" s="131">
        <v>1</v>
      </c>
      <c r="H366" s="315">
        <v>6491</v>
      </c>
      <c r="I366" s="307" t="s">
        <v>817</v>
      </c>
      <c r="J366" s="309" t="s">
        <v>819</v>
      </c>
      <c r="K366" s="131">
        <v>1533</v>
      </c>
      <c r="L366" s="309">
        <v>778.92000000000007</v>
      </c>
      <c r="W366" s="309"/>
    </row>
    <row r="367" spans="1:23" x14ac:dyDescent="0.2">
      <c r="A367" s="131"/>
      <c r="B367" s="313">
        <v>44866</v>
      </c>
      <c r="C367" s="131">
        <v>7468</v>
      </c>
      <c r="D367" s="131">
        <v>997850</v>
      </c>
      <c r="E367" s="314">
        <v>133.61676486341725</v>
      </c>
      <c r="F367" s="131">
        <v>27.556422307962119</v>
      </c>
      <c r="G367" s="131">
        <v>1</v>
      </c>
      <c r="H367" s="315">
        <v>3682</v>
      </c>
      <c r="I367" s="307" t="s">
        <v>817</v>
      </c>
      <c r="J367" s="309" t="s">
        <v>819</v>
      </c>
      <c r="K367" s="131">
        <v>2489.333333333333</v>
      </c>
      <c r="L367" s="309">
        <v>441.84000000000003</v>
      </c>
      <c r="W367" s="309"/>
    </row>
    <row r="368" spans="1:23" x14ac:dyDescent="0.2">
      <c r="A368" s="131"/>
      <c r="B368" s="313">
        <v>44896</v>
      </c>
      <c r="C368" s="131">
        <v>5875</v>
      </c>
      <c r="D368" s="131">
        <v>465400</v>
      </c>
      <c r="E368" s="314">
        <v>79.217021276595744</v>
      </c>
      <c r="F368" s="131">
        <v>90.725451224752902</v>
      </c>
      <c r="G368" s="131">
        <v>1</v>
      </c>
      <c r="H368" s="315">
        <v>7187</v>
      </c>
      <c r="I368" s="307" t="s">
        <v>817</v>
      </c>
      <c r="J368" s="309" t="s">
        <v>819</v>
      </c>
      <c r="K368" s="131">
        <v>1958.3333333333333</v>
      </c>
      <c r="L368" s="309">
        <v>862.43999999999994</v>
      </c>
      <c r="W368" s="309"/>
    </row>
    <row r="369" spans="1:23" x14ac:dyDescent="0.2">
      <c r="A369" s="131"/>
      <c r="B369" s="313">
        <v>44927</v>
      </c>
      <c r="C369" s="131">
        <v>8287</v>
      </c>
      <c r="D369" s="131">
        <v>1487900</v>
      </c>
      <c r="E369" s="314">
        <v>179.546277301798</v>
      </c>
      <c r="F369" s="131">
        <v>114.42732374487532</v>
      </c>
      <c r="G369" s="131">
        <v>1</v>
      </c>
      <c r="H369" s="315">
        <v>20545</v>
      </c>
      <c r="I369" s="307" t="s">
        <v>817</v>
      </c>
      <c r="J369" s="309" t="s">
        <v>819</v>
      </c>
      <c r="K369" s="131">
        <v>2762.333333333333</v>
      </c>
      <c r="L369" s="309">
        <v>2465.3999999999996</v>
      </c>
      <c r="W369" s="309"/>
    </row>
    <row r="370" spans="1:23" x14ac:dyDescent="0.2">
      <c r="A370" s="131"/>
      <c r="B370" s="313">
        <v>44958</v>
      </c>
      <c r="C370" s="131">
        <v>1752</v>
      </c>
      <c r="D370" s="131">
        <v>230700</v>
      </c>
      <c r="E370" s="314">
        <v>131.67808219178082</v>
      </c>
      <c r="F370" s="131">
        <v>46.859810663198964</v>
      </c>
      <c r="G370" s="131">
        <v>1</v>
      </c>
      <c r="H370" s="315">
        <v>6170.41</v>
      </c>
      <c r="I370" s="307" t="s">
        <v>817</v>
      </c>
      <c r="J370" s="309" t="s">
        <v>819</v>
      </c>
      <c r="K370" s="131">
        <v>584</v>
      </c>
      <c r="L370" s="309">
        <v>740.44920000000002</v>
      </c>
      <c r="W370" s="309"/>
    </row>
    <row r="371" spans="1:23" x14ac:dyDescent="0.2">
      <c r="A371" s="131" t="s">
        <v>1093</v>
      </c>
      <c r="B371" s="311"/>
      <c r="C371" s="131">
        <v>64260</v>
      </c>
      <c r="D371" s="131">
        <v>7917100</v>
      </c>
      <c r="E371" s="314">
        <v>123.20417055711174</v>
      </c>
      <c r="F371" s="131">
        <v>704.97134640209163</v>
      </c>
      <c r="G371" s="131">
        <v>12</v>
      </c>
      <c r="H371" s="315">
        <v>86855.41</v>
      </c>
      <c r="I371" s="307" t="s">
        <v>817</v>
      </c>
      <c r="J371" s="309" t="s">
        <v>819</v>
      </c>
      <c r="K371" s="131">
        <v>21420.000000000004</v>
      </c>
      <c r="L371" s="309">
        <v>10422.6492</v>
      </c>
      <c r="W371" s="309"/>
    </row>
    <row r="372" spans="1:23" x14ac:dyDescent="0.2">
      <c r="A372" s="131" t="s">
        <v>231</v>
      </c>
      <c r="B372" s="313">
        <v>44958</v>
      </c>
      <c r="C372" s="131">
        <v>6032</v>
      </c>
      <c r="D372" s="131">
        <v>125590</v>
      </c>
      <c r="E372" s="314">
        <v>20.820623342175065</v>
      </c>
      <c r="F372" s="131">
        <v>70.625166971892668</v>
      </c>
      <c r="G372" s="131">
        <v>1</v>
      </c>
      <c r="H372" s="315">
        <v>1470.46</v>
      </c>
      <c r="I372" s="131" t="s">
        <v>720</v>
      </c>
      <c r="J372" s="309" t="s">
        <v>722</v>
      </c>
      <c r="K372" s="131">
        <v>2010.6666666666667</v>
      </c>
      <c r="L372" s="309">
        <v>338.20580000000007</v>
      </c>
      <c r="W372" s="309"/>
    </row>
    <row r="373" spans="1:23" x14ac:dyDescent="0.2">
      <c r="A373" s="131" t="s">
        <v>1094</v>
      </c>
      <c r="B373" s="311"/>
      <c r="C373" s="131">
        <v>6032</v>
      </c>
      <c r="D373" s="131">
        <v>125590</v>
      </c>
      <c r="E373" s="314">
        <v>20.820623342175065</v>
      </c>
      <c r="F373" s="131">
        <v>70.625166971892668</v>
      </c>
      <c r="G373" s="131">
        <v>1</v>
      </c>
      <c r="H373" s="315">
        <v>1470.46</v>
      </c>
      <c r="I373" s="131" t="s">
        <v>720</v>
      </c>
      <c r="J373" s="309" t="s">
        <v>722</v>
      </c>
      <c r="K373" s="131">
        <v>2010.6666666666667</v>
      </c>
      <c r="L373" s="309">
        <v>338.20580000000007</v>
      </c>
      <c r="W373" s="309"/>
    </row>
    <row r="374" spans="1:23" x14ac:dyDescent="0.2">
      <c r="A374" s="131" t="s">
        <v>113</v>
      </c>
      <c r="B374" s="313">
        <v>44348</v>
      </c>
      <c r="C374" s="309">
        <v>3644</v>
      </c>
      <c r="D374" s="131">
        <v>36430</v>
      </c>
      <c r="E374" s="314">
        <v>9.9972557628979146</v>
      </c>
      <c r="F374" s="131">
        <v>77.021136426022508</v>
      </c>
      <c r="G374" s="131">
        <v>1</v>
      </c>
      <c r="H374" s="315">
        <v>770</v>
      </c>
      <c r="I374" s="131" t="s">
        <v>751</v>
      </c>
      <c r="J374" s="309" t="s">
        <v>722</v>
      </c>
      <c r="K374" s="131">
        <v>3644</v>
      </c>
      <c r="L374" s="309">
        <v>231.5</v>
      </c>
      <c r="W374" s="309"/>
    </row>
    <row r="375" spans="1:23" x14ac:dyDescent="0.2">
      <c r="A375" s="131"/>
      <c r="B375" s="313">
        <v>44378</v>
      </c>
      <c r="C375" s="309">
        <v>3010</v>
      </c>
      <c r="D375" s="131">
        <v>30090</v>
      </c>
      <c r="E375" s="314">
        <v>9.9966777408637881</v>
      </c>
      <c r="F375" s="131">
        <v>116.03855101362578</v>
      </c>
      <c r="G375" s="131">
        <v>1</v>
      </c>
      <c r="H375" s="315">
        <v>1160</v>
      </c>
      <c r="I375" s="131" t="s">
        <v>751</v>
      </c>
      <c r="J375" s="309" t="s">
        <v>722</v>
      </c>
      <c r="K375" s="131">
        <v>3010</v>
      </c>
      <c r="L375" s="309">
        <v>348</v>
      </c>
      <c r="W375" s="309"/>
    </row>
    <row r="376" spans="1:23" x14ac:dyDescent="0.2">
      <c r="A376" s="131"/>
      <c r="B376" s="313">
        <v>44409</v>
      </c>
      <c r="C376" s="309">
        <v>3008</v>
      </c>
      <c r="D376" s="131">
        <v>30080</v>
      </c>
      <c r="E376" s="314">
        <v>10</v>
      </c>
      <c r="F376" s="131">
        <v>-17.8</v>
      </c>
      <c r="G376" s="131">
        <v>1</v>
      </c>
      <c r="H376" s="315">
        <v>-178</v>
      </c>
      <c r="I376" s="131" t="s">
        <v>751</v>
      </c>
      <c r="J376" s="309" t="s">
        <v>722</v>
      </c>
      <c r="K376" s="131">
        <v>3008</v>
      </c>
      <c r="L376" s="309">
        <v>-53.7</v>
      </c>
      <c r="W376" s="309"/>
    </row>
    <row r="377" spans="1:23" x14ac:dyDescent="0.2">
      <c r="A377" s="131"/>
      <c r="B377" s="313">
        <v>44440</v>
      </c>
      <c r="C377" s="309">
        <v>3102</v>
      </c>
      <c r="D377" s="131">
        <v>31000</v>
      </c>
      <c r="E377" s="314">
        <v>9.993552546744036</v>
      </c>
      <c r="F377" s="131">
        <v>-42.827612903225805</v>
      </c>
      <c r="G377" s="131">
        <v>1</v>
      </c>
      <c r="H377" s="315">
        <v>-428</v>
      </c>
      <c r="I377" s="131" t="s">
        <v>751</v>
      </c>
      <c r="J377" s="309" t="s">
        <v>722</v>
      </c>
      <c r="K377" s="131">
        <v>3102</v>
      </c>
      <c r="L377" s="309">
        <v>-129.19999999999999</v>
      </c>
      <c r="W377" s="309"/>
    </row>
    <row r="378" spans="1:23" x14ac:dyDescent="0.2">
      <c r="A378" s="131"/>
      <c r="B378" s="313">
        <v>44470</v>
      </c>
      <c r="C378" s="309">
        <v>3946</v>
      </c>
      <c r="D378" s="131">
        <v>39460</v>
      </c>
      <c r="E378" s="314">
        <v>10</v>
      </c>
      <c r="F378" s="131">
        <v>86.8</v>
      </c>
      <c r="G378" s="131">
        <v>1</v>
      </c>
      <c r="H378" s="315">
        <v>868</v>
      </c>
      <c r="I378" s="131" t="s">
        <v>751</v>
      </c>
      <c r="J378" s="309" t="s">
        <v>722</v>
      </c>
      <c r="K378" s="131">
        <v>3946</v>
      </c>
      <c r="L378" s="309">
        <v>260.2</v>
      </c>
      <c r="W378" s="309"/>
    </row>
    <row r="379" spans="1:23" x14ac:dyDescent="0.2">
      <c r="A379" s="131"/>
      <c r="B379" s="313">
        <v>44501</v>
      </c>
      <c r="C379" s="309">
        <v>3716</v>
      </c>
      <c r="D379" s="131">
        <v>37110</v>
      </c>
      <c r="E379" s="314">
        <v>9.9865446716899893</v>
      </c>
      <c r="F379" s="131">
        <v>203.47378065211532</v>
      </c>
      <c r="G379" s="131">
        <v>1</v>
      </c>
      <c r="H379" s="315">
        <v>2032</v>
      </c>
      <c r="I379" s="131" t="s">
        <v>751</v>
      </c>
      <c r="J379" s="309" t="s">
        <v>722</v>
      </c>
      <c r="K379" s="131">
        <v>3716</v>
      </c>
      <c r="L379" s="309">
        <v>508</v>
      </c>
      <c r="W379" s="309"/>
    </row>
    <row r="380" spans="1:23" x14ac:dyDescent="0.2">
      <c r="A380" s="131"/>
      <c r="B380" s="313">
        <v>44531</v>
      </c>
      <c r="C380" s="309">
        <v>4748</v>
      </c>
      <c r="D380" s="131">
        <v>47470</v>
      </c>
      <c r="E380" s="314">
        <v>9.9978938500421233</v>
      </c>
      <c r="F380" s="131">
        <v>-26.205519275331788</v>
      </c>
      <c r="G380" s="131">
        <v>1</v>
      </c>
      <c r="H380" s="315">
        <v>-262</v>
      </c>
      <c r="I380" s="131" t="s">
        <v>751</v>
      </c>
      <c r="J380" s="309" t="s">
        <v>722</v>
      </c>
      <c r="K380" s="131">
        <v>4748</v>
      </c>
      <c r="L380" s="309">
        <v>-79.3</v>
      </c>
      <c r="W380" s="309"/>
    </row>
    <row r="381" spans="1:23" x14ac:dyDescent="0.2">
      <c r="A381" s="131"/>
      <c r="B381" s="313">
        <v>44562</v>
      </c>
      <c r="C381" s="309">
        <v>5578</v>
      </c>
      <c r="D381" s="131">
        <v>55780</v>
      </c>
      <c r="E381" s="314">
        <v>10</v>
      </c>
      <c r="F381" s="131">
        <v>136.19999999999999</v>
      </c>
      <c r="G381" s="131">
        <v>1</v>
      </c>
      <c r="H381" s="315">
        <v>1362</v>
      </c>
      <c r="I381" s="131" t="s">
        <v>751</v>
      </c>
      <c r="J381" s="309" t="s">
        <v>722</v>
      </c>
      <c r="K381" s="131">
        <v>5578</v>
      </c>
      <c r="L381" s="309">
        <v>408.29999999999995</v>
      </c>
      <c r="W381" s="309"/>
    </row>
    <row r="382" spans="1:23" x14ac:dyDescent="0.2">
      <c r="A382" s="131"/>
      <c r="B382" s="313">
        <v>44593</v>
      </c>
      <c r="C382" s="309">
        <v>2032</v>
      </c>
      <c r="D382" s="131">
        <v>20320</v>
      </c>
      <c r="E382" s="314">
        <v>10</v>
      </c>
      <c r="F382" s="131">
        <v>176.8</v>
      </c>
      <c r="G382" s="131">
        <v>1</v>
      </c>
      <c r="H382" s="315">
        <v>1768</v>
      </c>
      <c r="I382" s="131" t="s">
        <v>751</v>
      </c>
      <c r="J382" s="309" t="s">
        <v>722</v>
      </c>
      <c r="K382" s="131">
        <v>2032</v>
      </c>
      <c r="L382" s="309">
        <v>486.2</v>
      </c>
      <c r="W382" s="309"/>
    </row>
    <row r="383" spans="1:23" x14ac:dyDescent="0.2">
      <c r="A383" s="131"/>
      <c r="B383" s="313">
        <v>44621</v>
      </c>
      <c r="C383" s="309">
        <v>4630</v>
      </c>
      <c r="D383" s="131">
        <v>44680</v>
      </c>
      <c r="E383" s="314">
        <v>9.6501079913606915</v>
      </c>
      <c r="F383" s="131">
        <v>53.056401074306173</v>
      </c>
      <c r="G383" s="131">
        <v>1</v>
      </c>
      <c r="H383" s="315">
        <v>512</v>
      </c>
      <c r="I383" s="131" t="s">
        <v>751</v>
      </c>
      <c r="J383" s="309" t="s">
        <v>722</v>
      </c>
      <c r="K383" s="131">
        <v>4630</v>
      </c>
      <c r="L383" s="309">
        <v>153.80000000000001</v>
      </c>
      <c r="W383" s="309"/>
    </row>
    <row r="384" spans="1:23" x14ac:dyDescent="0.2">
      <c r="A384" s="131"/>
      <c r="B384" s="313">
        <v>44652</v>
      </c>
      <c r="C384" s="309">
        <v>6046</v>
      </c>
      <c r="D384" s="131">
        <v>60340</v>
      </c>
      <c r="E384" s="314">
        <v>9.9801521667217994</v>
      </c>
      <c r="F384" s="131">
        <v>144.88757043420617</v>
      </c>
      <c r="G384" s="131">
        <v>1</v>
      </c>
      <c r="H384" s="315">
        <v>1446</v>
      </c>
      <c r="I384" s="131" t="s">
        <v>751</v>
      </c>
      <c r="J384" s="309" t="s">
        <v>722</v>
      </c>
      <c r="K384" s="131">
        <v>6046</v>
      </c>
      <c r="L384" s="309">
        <v>433.9</v>
      </c>
      <c r="W384" s="309"/>
    </row>
    <row r="385" spans="1:23" x14ac:dyDescent="0.2">
      <c r="A385" s="131"/>
      <c r="B385" s="313">
        <v>44682</v>
      </c>
      <c r="C385" s="309">
        <v>5382</v>
      </c>
      <c r="D385" s="131">
        <v>53820</v>
      </c>
      <c r="E385" s="314">
        <v>10</v>
      </c>
      <c r="F385" s="131">
        <v>293.8</v>
      </c>
      <c r="G385" s="131">
        <v>1</v>
      </c>
      <c r="H385" s="315">
        <v>2938</v>
      </c>
      <c r="I385" s="131" t="s">
        <v>751</v>
      </c>
      <c r="J385" s="309" t="s">
        <v>722</v>
      </c>
      <c r="K385" s="131">
        <v>5382</v>
      </c>
      <c r="L385" s="309">
        <v>734.25</v>
      </c>
      <c r="W385" s="309"/>
    </row>
    <row r="386" spans="1:23" x14ac:dyDescent="0.2">
      <c r="A386" s="131"/>
      <c r="B386" s="313">
        <v>44713</v>
      </c>
      <c r="C386" s="309">
        <v>5566</v>
      </c>
      <c r="D386" s="131">
        <v>55660</v>
      </c>
      <c r="E386" s="314">
        <v>10</v>
      </c>
      <c r="F386" s="131">
        <v>285.60000000000002</v>
      </c>
      <c r="G386" s="131">
        <v>1</v>
      </c>
      <c r="H386" s="315">
        <v>2856</v>
      </c>
      <c r="I386" s="131" t="s">
        <v>751</v>
      </c>
      <c r="J386" s="309" t="s">
        <v>722</v>
      </c>
      <c r="K386" s="131">
        <v>5566</v>
      </c>
      <c r="L386" s="309">
        <v>714</v>
      </c>
      <c r="W386" s="309"/>
    </row>
    <row r="387" spans="1:23" x14ac:dyDescent="0.2">
      <c r="A387" s="131"/>
      <c r="B387" s="313">
        <v>44743</v>
      </c>
      <c r="C387" s="309">
        <v>5908</v>
      </c>
      <c r="D387" s="131">
        <v>59060</v>
      </c>
      <c r="E387" s="314">
        <v>9.9966147596479349</v>
      </c>
      <c r="F387" s="131">
        <v>264.88967152048764</v>
      </c>
      <c r="G387" s="131">
        <v>1</v>
      </c>
      <c r="H387" s="315">
        <v>2648</v>
      </c>
      <c r="I387" s="131" t="s">
        <v>751</v>
      </c>
      <c r="J387" s="309" t="s">
        <v>722</v>
      </c>
      <c r="K387" s="131">
        <v>5908</v>
      </c>
      <c r="L387" s="309">
        <v>662</v>
      </c>
      <c r="W387" s="309"/>
    </row>
    <row r="388" spans="1:23" x14ac:dyDescent="0.2">
      <c r="A388" s="131"/>
      <c r="B388" s="313">
        <v>44774</v>
      </c>
      <c r="C388" s="309">
        <v>5346</v>
      </c>
      <c r="D388" s="131">
        <v>53460</v>
      </c>
      <c r="E388" s="314">
        <v>10</v>
      </c>
      <c r="F388" s="131">
        <v>-184</v>
      </c>
      <c r="G388" s="131">
        <v>1</v>
      </c>
      <c r="H388" s="315">
        <v>-1840</v>
      </c>
      <c r="I388" s="131" t="s">
        <v>751</v>
      </c>
      <c r="J388" s="309" t="s">
        <v>722</v>
      </c>
      <c r="K388" s="131">
        <v>5346</v>
      </c>
      <c r="L388" s="309">
        <v>-552</v>
      </c>
      <c r="W388" s="309"/>
    </row>
    <row r="389" spans="1:23" x14ac:dyDescent="0.2">
      <c r="A389" s="131"/>
      <c r="B389" s="313">
        <v>44805</v>
      </c>
      <c r="C389" s="309">
        <v>6164</v>
      </c>
      <c r="D389" s="131">
        <v>61640</v>
      </c>
      <c r="E389" s="314">
        <v>10</v>
      </c>
      <c r="F389" s="131">
        <v>253</v>
      </c>
      <c r="G389" s="131">
        <v>1</v>
      </c>
      <c r="H389" s="315">
        <v>2530</v>
      </c>
      <c r="I389" s="131" t="s">
        <v>751</v>
      </c>
      <c r="J389" s="309" t="s">
        <v>722</v>
      </c>
      <c r="K389" s="131">
        <v>6164</v>
      </c>
      <c r="L389" s="309">
        <v>759.5</v>
      </c>
      <c r="W389" s="309"/>
    </row>
    <row r="390" spans="1:23" x14ac:dyDescent="0.2">
      <c r="A390" s="131"/>
      <c r="B390" s="313">
        <v>44835</v>
      </c>
      <c r="C390" s="309">
        <v>5546</v>
      </c>
      <c r="D390" s="131">
        <v>55450</v>
      </c>
      <c r="E390" s="314">
        <v>9.9981968986657055</v>
      </c>
      <c r="F390" s="131">
        <v>168.4303697024346</v>
      </c>
      <c r="G390" s="131">
        <v>1</v>
      </c>
      <c r="H390" s="315">
        <v>1684</v>
      </c>
      <c r="I390" s="131" t="s">
        <v>751</v>
      </c>
      <c r="J390" s="309" t="s">
        <v>722</v>
      </c>
      <c r="K390" s="131">
        <v>5546</v>
      </c>
      <c r="L390" s="309">
        <v>462.6</v>
      </c>
      <c r="W390" s="309"/>
    </row>
    <row r="391" spans="1:23" x14ac:dyDescent="0.2">
      <c r="A391" s="131"/>
      <c r="B391" s="313">
        <v>44866</v>
      </c>
      <c r="C391" s="309">
        <v>5168</v>
      </c>
      <c r="D391" s="131">
        <v>118970</v>
      </c>
      <c r="E391" s="314">
        <v>23.020510835913313</v>
      </c>
      <c r="F391" s="131">
        <v>-17.810204253173069</v>
      </c>
      <c r="G391" s="131">
        <v>1</v>
      </c>
      <c r="H391" s="315">
        <v>-410</v>
      </c>
      <c r="I391" s="131" t="s">
        <v>751</v>
      </c>
      <c r="J391" s="309" t="s">
        <v>722</v>
      </c>
      <c r="K391" s="131">
        <v>5168</v>
      </c>
      <c r="L391" s="309">
        <v>-123.5</v>
      </c>
      <c r="W391" s="309"/>
    </row>
    <row r="392" spans="1:23" x14ac:dyDescent="0.2">
      <c r="A392" s="131"/>
      <c r="B392" s="313">
        <v>44896</v>
      </c>
      <c r="C392" s="131">
        <v>1594</v>
      </c>
      <c r="D392" s="131">
        <v>39850</v>
      </c>
      <c r="E392" s="314">
        <v>25</v>
      </c>
      <c r="F392" s="131">
        <v>17.84</v>
      </c>
      <c r="G392" s="131">
        <v>1</v>
      </c>
      <c r="H392" s="315">
        <v>446</v>
      </c>
      <c r="I392" s="131" t="s">
        <v>751</v>
      </c>
      <c r="J392" s="309" t="s">
        <v>722</v>
      </c>
      <c r="K392" s="131">
        <v>1594</v>
      </c>
      <c r="L392" s="309">
        <v>133.89999999999998</v>
      </c>
      <c r="W392" s="309"/>
    </row>
    <row r="393" spans="1:23" x14ac:dyDescent="0.2">
      <c r="A393" s="131"/>
      <c r="B393" s="313">
        <v>44927</v>
      </c>
      <c r="C393" s="131">
        <v>0</v>
      </c>
      <c r="D393" s="131">
        <v>0</v>
      </c>
      <c r="E393" s="314" t="e">
        <v>#DIV/0!</v>
      </c>
      <c r="F393" s="131" t="e">
        <v>#DIV/0!</v>
      </c>
      <c r="G393" s="131">
        <v>1</v>
      </c>
      <c r="H393" s="315">
        <v>0</v>
      </c>
      <c r="I393" s="131" t="s">
        <v>751</v>
      </c>
      <c r="J393" s="309" t="s">
        <v>722</v>
      </c>
      <c r="K393" s="131">
        <v>0</v>
      </c>
      <c r="L393" s="309">
        <v>0</v>
      </c>
      <c r="W393" s="309"/>
    </row>
    <row r="394" spans="1:23" x14ac:dyDescent="0.2">
      <c r="A394" s="131"/>
      <c r="B394" s="313">
        <v>44958</v>
      </c>
      <c r="C394" s="131">
        <v>3389</v>
      </c>
      <c r="D394" s="131">
        <v>33890</v>
      </c>
      <c r="E394" s="314">
        <v>10</v>
      </c>
      <c r="F394" s="131">
        <v>129.1</v>
      </c>
      <c r="G394" s="131">
        <v>1</v>
      </c>
      <c r="H394" s="315">
        <v>1291</v>
      </c>
      <c r="I394" s="131" t="s">
        <v>751</v>
      </c>
      <c r="J394" s="309" t="s">
        <v>722</v>
      </c>
      <c r="K394" s="131">
        <v>1129.6666666666665</v>
      </c>
      <c r="L394" s="309">
        <v>322.75</v>
      </c>
      <c r="W394" s="309"/>
    </row>
    <row r="395" spans="1:23" x14ac:dyDescent="0.2">
      <c r="A395" s="131"/>
      <c r="B395" s="313">
        <v>44986</v>
      </c>
      <c r="C395" s="131">
        <v>6297</v>
      </c>
      <c r="D395" s="131">
        <v>63075</v>
      </c>
      <c r="E395" s="314">
        <v>10.016674606955693</v>
      </c>
      <c r="F395" s="131">
        <v>-158.83514863258026</v>
      </c>
      <c r="G395" s="131">
        <v>1</v>
      </c>
      <c r="H395" s="315">
        <v>-1591</v>
      </c>
      <c r="I395" s="131" t="s">
        <v>751</v>
      </c>
      <c r="J395" s="309" t="s">
        <v>722</v>
      </c>
      <c r="K395" s="131">
        <v>2099</v>
      </c>
      <c r="L395" s="309">
        <v>-477.29999999999995</v>
      </c>
      <c r="W395" s="309"/>
    </row>
    <row r="396" spans="1:23" x14ac:dyDescent="0.2">
      <c r="A396" s="131" t="s">
        <v>1061</v>
      </c>
      <c r="B396" s="311"/>
      <c r="C396" s="309">
        <v>93820</v>
      </c>
      <c r="D396" s="131">
        <v>1027635</v>
      </c>
      <c r="E396" s="314">
        <v>10.953261564698359</v>
      </c>
      <c r="F396" s="131">
        <v>1789.6039352493833</v>
      </c>
      <c r="G396" s="131">
        <v>22</v>
      </c>
      <c r="H396" s="315">
        <v>19602</v>
      </c>
      <c r="I396" s="131" t="s">
        <v>751</v>
      </c>
      <c r="J396" s="309" t="s">
        <v>722</v>
      </c>
      <c r="K396" s="131">
        <v>87362.666666666657</v>
      </c>
      <c r="L396" s="309">
        <v>5203.8999999999996</v>
      </c>
      <c r="W396" s="309"/>
    </row>
    <row r="397" spans="1:23" x14ac:dyDescent="0.2">
      <c r="A397" s="131" t="s">
        <v>144</v>
      </c>
      <c r="B397" s="313">
        <v>44682</v>
      </c>
      <c r="C397" s="131">
        <v>7</v>
      </c>
      <c r="D397" s="131">
        <v>350</v>
      </c>
      <c r="E397" s="314">
        <v>50</v>
      </c>
      <c r="F397" s="131">
        <v>-2.74</v>
      </c>
      <c r="G397" s="131">
        <v>1</v>
      </c>
      <c r="H397" s="315">
        <v>-137</v>
      </c>
      <c r="I397" s="131" t="s">
        <v>825</v>
      </c>
      <c r="J397" s="309" t="s">
        <v>722</v>
      </c>
      <c r="K397" s="131">
        <v>7</v>
      </c>
      <c r="L397" s="309">
        <v>-23.290000000000003</v>
      </c>
      <c r="W397" s="309"/>
    </row>
    <row r="398" spans="1:23" x14ac:dyDescent="0.2">
      <c r="A398" s="131"/>
      <c r="B398" s="313">
        <v>44713</v>
      </c>
      <c r="C398" s="131">
        <v>2537</v>
      </c>
      <c r="D398" s="131">
        <v>75000</v>
      </c>
      <c r="E398" s="314">
        <v>29.562475364603863</v>
      </c>
      <c r="F398" s="131">
        <v>132.63435999999999</v>
      </c>
      <c r="G398" s="131">
        <v>1</v>
      </c>
      <c r="H398" s="315">
        <v>3921</v>
      </c>
      <c r="I398" s="131" t="s">
        <v>825</v>
      </c>
      <c r="J398" s="309" t="s">
        <v>722</v>
      </c>
      <c r="K398" s="131">
        <v>2537</v>
      </c>
      <c r="L398" s="309">
        <v>588.15000000000009</v>
      </c>
      <c r="W398" s="309"/>
    </row>
    <row r="399" spans="1:23" x14ac:dyDescent="0.2">
      <c r="A399" s="131"/>
      <c r="B399" s="313">
        <v>44743</v>
      </c>
      <c r="C399" s="309">
        <v>1949</v>
      </c>
      <c r="D399" s="131">
        <v>75055.5</v>
      </c>
      <c r="E399" s="314">
        <v>38.509748589020013</v>
      </c>
      <c r="F399" s="131">
        <v>115.24354644229936</v>
      </c>
      <c r="G399" s="131">
        <v>1</v>
      </c>
      <c r="H399" s="315">
        <v>4438</v>
      </c>
      <c r="I399" s="131" t="s">
        <v>825</v>
      </c>
      <c r="J399" s="309" t="s">
        <v>722</v>
      </c>
      <c r="K399" s="131">
        <v>1949</v>
      </c>
      <c r="L399" s="309">
        <v>443.80000000000007</v>
      </c>
      <c r="W399" s="309"/>
    </row>
    <row r="400" spans="1:23" x14ac:dyDescent="0.2">
      <c r="A400" s="131"/>
      <c r="B400" s="313">
        <v>44805</v>
      </c>
      <c r="C400" s="131">
        <v>234</v>
      </c>
      <c r="D400" s="131">
        <v>5850</v>
      </c>
      <c r="E400" s="314">
        <v>25</v>
      </c>
      <c r="F400" s="131">
        <v>30.12</v>
      </c>
      <c r="G400" s="131">
        <v>1</v>
      </c>
      <c r="H400" s="315">
        <v>753</v>
      </c>
      <c r="I400" s="131" t="s">
        <v>825</v>
      </c>
      <c r="J400" s="309" t="s">
        <v>722</v>
      </c>
      <c r="K400" s="131">
        <v>234</v>
      </c>
      <c r="L400" s="309">
        <v>112.95</v>
      </c>
      <c r="W400" s="309"/>
    </row>
    <row r="401" spans="1:23" x14ac:dyDescent="0.2">
      <c r="A401" s="131"/>
      <c r="B401" s="313">
        <v>44835</v>
      </c>
      <c r="C401" s="131">
        <v>3366</v>
      </c>
      <c r="D401" s="131">
        <v>84175</v>
      </c>
      <c r="E401" s="314">
        <v>25.007427213309565</v>
      </c>
      <c r="F401" s="131">
        <v>82.375527175527182</v>
      </c>
      <c r="G401" s="131">
        <v>1</v>
      </c>
      <c r="H401" s="315">
        <v>2060</v>
      </c>
      <c r="I401" s="131" t="s">
        <v>825</v>
      </c>
      <c r="J401" s="309" t="s">
        <v>722</v>
      </c>
      <c r="K401" s="131">
        <v>3366</v>
      </c>
      <c r="L401" s="309">
        <v>309</v>
      </c>
      <c r="W401" s="309"/>
    </row>
    <row r="402" spans="1:23" x14ac:dyDescent="0.2">
      <c r="A402" s="131"/>
      <c r="B402" s="313">
        <v>44866</v>
      </c>
      <c r="C402" s="131">
        <v>3234</v>
      </c>
      <c r="D402" s="131">
        <v>80850</v>
      </c>
      <c r="E402" s="314">
        <v>25</v>
      </c>
      <c r="F402" s="131">
        <v>50.68</v>
      </c>
      <c r="G402" s="131">
        <v>1</v>
      </c>
      <c r="H402" s="315">
        <v>1267</v>
      </c>
      <c r="I402" s="131" t="s">
        <v>825</v>
      </c>
      <c r="J402" s="309" t="s">
        <v>722</v>
      </c>
      <c r="K402" s="131">
        <v>3234</v>
      </c>
      <c r="L402" s="309">
        <v>316.75</v>
      </c>
      <c r="W402" s="309"/>
    </row>
    <row r="403" spans="1:23" x14ac:dyDescent="0.2">
      <c r="A403" s="131"/>
      <c r="B403" s="313">
        <v>44896</v>
      </c>
      <c r="C403" s="309">
        <v>2531</v>
      </c>
      <c r="D403" s="131">
        <v>34040</v>
      </c>
      <c r="E403" s="314">
        <v>13.449229553536151</v>
      </c>
      <c r="F403" s="131">
        <v>41.489365452408933</v>
      </c>
      <c r="G403" s="131">
        <v>1</v>
      </c>
      <c r="H403" s="315">
        <v>558</v>
      </c>
      <c r="I403" s="131" t="s">
        <v>825</v>
      </c>
      <c r="J403" s="309" t="s">
        <v>722</v>
      </c>
      <c r="K403" s="131">
        <v>2531</v>
      </c>
      <c r="L403" s="309">
        <v>139.5</v>
      </c>
      <c r="W403" s="309"/>
    </row>
    <row r="404" spans="1:23" x14ac:dyDescent="0.2">
      <c r="A404" s="131" t="s">
        <v>1062</v>
      </c>
      <c r="B404" s="311"/>
      <c r="C404" s="131">
        <v>13858</v>
      </c>
      <c r="D404" s="131">
        <v>355320.5</v>
      </c>
      <c r="E404" s="314">
        <v>25.640099581469187</v>
      </c>
      <c r="F404" s="131">
        <v>501.55811443471458</v>
      </c>
      <c r="G404" s="131">
        <v>7</v>
      </c>
      <c r="H404" s="315">
        <v>12860</v>
      </c>
      <c r="I404" s="131" t="s">
        <v>825</v>
      </c>
      <c r="J404" s="309" t="s">
        <v>722</v>
      </c>
      <c r="K404" s="131">
        <v>13858</v>
      </c>
      <c r="L404" s="309">
        <v>1886.8600000000001</v>
      </c>
      <c r="W404" s="309"/>
    </row>
    <row r="405" spans="1:23" x14ac:dyDescent="0.2">
      <c r="A405" s="131" t="s">
        <v>188</v>
      </c>
      <c r="B405" s="313">
        <v>44896</v>
      </c>
      <c r="C405" s="131">
        <v>12008</v>
      </c>
      <c r="D405" s="131">
        <v>463207.25</v>
      </c>
      <c r="E405" s="314">
        <v>38.574887574950033</v>
      </c>
      <c r="F405" s="131">
        <v>16.383715928453192</v>
      </c>
      <c r="G405" s="131">
        <v>1</v>
      </c>
      <c r="H405" s="315">
        <v>632</v>
      </c>
      <c r="I405" s="131" t="s">
        <v>828</v>
      </c>
      <c r="J405" s="309" t="s">
        <v>722</v>
      </c>
      <c r="K405" s="131">
        <v>4863.9999999999991</v>
      </c>
      <c r="L405" s="309">
        <v>145.36000000000001</v>
      </c>
      <c r="W405" s="309"/>
    </row>
    <row r="406" spans="1:23" x14ac:dyDescent="0.2">
      <c r="A406" s="131"/>
      <c r="B406" s="313">
        <v>44927</v>
      </c>
      <c r="C406" s="131">
        <v>10857</v>
      </c>
      <c r="D406" s="131">
        <v>463360</v>
      </c>
      <c r="E406" s="314">
        <v>42.678456295477574</v>
      </c>
      <c r="F406" s="131">
        <v>198.92940694060772</v>
      </c>
      <c r="G406" s="131">
        <v>1</v>
      </c>
      <c r="H406" s="315">
        <v>8490</v>
      </c>
      <c r="I406" s="131" t="s">
        <v>828</v>
      </c>
      <c r="J406" s="309" t="s">
        <v>722</v>
      </c>
      <c r="K406" s="131">
        <v>4064.333333333333</v>
      </c>
      <c r="L406" s="309">
        <v>1018.8</v>
      </c>
      <c r="W406" s="309"/>
    </row>
    <row r="407" spans="1:23" x14ac:dyDescent="0.2">
      <c r="A407" s="131"/>
      <c r="B407" s="313">
        <v>44958</v>
      </c>
      <c r="C407" s="131">
        <v>11823</v>
      </c>
      <c r="D407" s="131">
        <v>556659</v>
      </c>
      <c r="E407" s="314">
        <v>47.082720121796498</v>
      </c>
      <c r="F407" s="131">
        <v>224.15867164637598</v>
      </c>
      <c r="G407" s="131">
        <v>1</v>
      </c>
      <c r="H407" s="315">
        <v>10554</v>
      </c>
      <c r="I407" s="131" t="s">
        <v>828</v>
      </c>
      <c r="J407" s="309" t="s">
        <v>722</v>
      </c>
      <c r="K407" s="131">
        <v>4239.6666666666661</v>
      </c>
      <c r="L407" s="309">
        <v>1266.48</v>
      </c>
      <c r="W407" s="309"/>
    </row>
    <row r="408" spans="1:23" x14ac:dyDescent="0.2">
      <c r="A408" s="131"/>
      <c r="B408" s="313">
        <v>44986</v>
      </c>
      <c r="C408" s="131">
        <v>13930</v>
      </c>
      <c r="D408" s="131">
        <v>372991</v>
      </c>
      <c r="E408" s="314">
        <v>26.776094759511846</v>
      </c>
      <c r="F408" s="131">
        <v>213.77277199717955</v>
      </c>
      <c r="G408" s="131">
        <v>1</v>
      </c>
      <c r="H408" s="315">
        <v>5724</v>
      </c>
      <c r="I408" s="131" t="s">
        <v>828</v>
      </c>
      <c r="J408" s="309" t="s">
        <v>722</v>
      </c>
      <c r="K408" s="131">
        <v>4643.3333333333339</v>
      </c>
      <c r="L408" s="309">
        <v>1717.2</v>
      </c>
      <c r="W408" s="309"/>
    </row>
    <row r="409" spans="1:23" x14ac:dyDescent="0.2">
      <c r="A409" s="131" t="s">
        <v>1063</v>
      </c>
      <c r="B409" s="311"/>
      <c r="C409" s="131">
        <v>48618</v>
      </c>
      <c r="D409" s="131">
        <v>1856217.25</v>
      </c>
      <c r="E409" s="314">
        <v>38.179629972438192</v>
      </c>
      <c r="F409" s="131">
        <v>665.27622238183596</v>
      </c>
      <c r="G409" s="131">
        <v>4</v>
      </c>
      <c r="H409" s="315">
        <v>25400</v>
      </c>
      <c r="I409" s="131" t="s">
        <v>828</v>
      </c>
      <c r="J409" s="309" t="s">
        <v>722</v>
      </c>
      <c r="K409" s="131">
        <v>17811.333333333332</v>
      </c>
      <c r="L409" s="309">
        <v>4147.84</v>
      </c>
      <c r="W409" s="309"/>
    </row>
    <row r="410" spans="1:23" x14ac:dyDescent="0.2">
      <c r="A410" s="131" t="s">
        <v>189</v>
      </c>
      <c r="B410" s="313">
        <v>44682</v>
      </c>
      <c r="C410" s="131">
        <v>1513</v>
      </c>
      <c r="D410" s="131">
        <v>35575</v>
      </c>
      <c r="E410" s="314">
        <v>23.512888301387971</v>
      </c>
      <c r="F410" s="131">
        <v>-25.475815319747014</v>
      </c>
      <c r="G410" s="131">
        <v>1</v>
      </c>
      <c r="H410" s="315">
        <v>-599.01</v>
      </c>
      <c r="I410" s="131" t="s">
        <v>720</v>
      </c>
      <c r="J410" s="309" t="s">
        <v>722</v>
      </c>
      <c r="K410" s="131">
        <v>1513</v>
      </c>
      <c r="L410" s="309">
        <v>-180</v>
      </c>
      <c r="W410" s="309"/>
    </row>
    <row r="411" spans="1:23" x14ac:dyDescent="0.2">
      <c r="A411" s="131"/>
      <c r="B411" s="313">
        <v>44713</v>
      </c>
      <c r="C411" s="131">
        <v>1890</v>
      </c>
      <c r="D411" s="131">
        <v>42440</v>
      </c>
      <c r="E411" s="314">
        <v>22.455026455026456</v>
      </c>
      <c r="F411" s="131">
        <v>42.529008011310083</v>
      </c>
      <c r="G411" s="131">
        <v>1</v>
      </c>
      <c r="H411" s="315">
        <v>954.99</v>
      </c>
      <c r="I411" s="131" t="s">
        <v>720</v>
      </c>
      <c r="J411" s="309" t="s">
        <v>722</v>
      </c>
      <c r="K411" s="131">
        <v>1890</v>
      </c>
      <c r="L411" s="309">
        <v>286</v>
      </c>
      <c r="W411" s="309"/>
    </row>
    <row r="412" spans="1:23" x14ac:dyDescent="0.2">
      <c r="A412" s="131"/>
      <c r="B412" s="313">
        <v>44743</v>
      </c>
      <c r="C412" s="131">
        <v>1760</v>
      </c>
      <c r="D412" s="131">
        <v>40675</v>
      </c>
      <c r="E412" s="314">
        <v>23.110795454545453</v>
      </c>
      <c r="F412" s="131">
        <v>147.07412415488631</v>
      </c>
      <c r="G412" s="131">
        <v>1</v>
      </c>
      <c r="H412" s="315">
        <v>3399</v>
      </c>
      <c r="I412" s="131" t="s">
        <v>720</v>
      </c>
      <c r="J412" s="309" t="s">
        <v>722</v>
      </c>
      <c r="K412" s="131">
        <v>1760</v>
      </c>
      <c r="L412" s="309">
        <v>578</v>
      </c>
      <c r="W412" s="309"/>
    </row>
    <row r="413" spans="1:23" x14ac:dyDescent="0.2">
      <c r="A413" s="131"/>
      <c r="B413" s="313">
        <v>44774</v>
      </c>
      <c r="C413" s="131">
        <v>1537</v>
      </c>
      <c r="D413" s="131">
        <v>35325</v>
      </c>
      <c r="E413" s="314">
        <v>22.983083929733247</v>
      </c>
      <c r="F413" s="131">
        <v>-93.198980891719742</v>
      </c>
      <c r="G413" s="131">
        <v>1</v>
      </c>
      <c r="H413" s="315">
        <v>-2142</v>
      </c>
      <c r="I413" s="131" t="s">
        <v>720</v>
      </c>
      <c r="J413" s="309" t="s">
        <v>722</v>
      </c>
      <c r="K413" s="131">
        <v>1537</v>
      </c>
      <c r="L413" s="309">
        <v>-342</v>
      </c>
      <c r="W413" s="309"/>
    </row>
    <row r="414" spans="1:23" x14ac:dyDescent="0.2">
      <c r="A414" s="131"/>
      <c r="B414" s="313">
        <v>44805</v>
      </c>
      <c r="C414" s="131">
        <v>2617</v>
      </c>
      <c r="D414" s="131">
        <v>128750</v>
      </c>
      <c r="E414" s="314">
        <v>49.197554451662207</v>
      </c>
      <c r="F414" s="131">
        <v>-85.553033009708756</v>
      </c>
      <c r="G414" s="131">
        <v>1</v>
      </c>
      <c r="H414" s="315">
        <v>-4209.0000000000009</v>
      </c>
      <c r="I414" s="131" t="s">
        <v>720</v>
      </c>
      <c r="J414" s="309" t="s">
        <v>722</v>
      </c>
      <c r="K414" s="131">
        <v>2617</v>
      </c>
      <c r="L414" s="309">
        <v>-673</v>
      </c>
      <c r="W414" s="309"/>
    </row>
    <row r="415" spans="1:23" x14ac:dyDescent="0.2">
      <c r="A415" s="131"/>
      <c r="B415" s="313">
        <v>44835</v>
      </c>
      <c r="C415" s="131">
        <v>1780</v>
      </c>
      <c r="D415" s="131">
        <v>42870</v>
      </c>
      <c r="E415" s="314">
        <v>24.084269662921347</v>
      </c>
      <c r="F415" s="131">
        <v>-45.092087707021228</v>
      </c>
      <c r="G415" s="131">
        <v>1</v>
      </c>
      <c r="H415" s="315">
        <v>-1086.01</v>
      </c>
      <c r="I415" s="131" t="s">
        <v>720</v>
      </c>
      <c r="J415" s="309" t="s">
        <v>722</v>
      </c>
      <c r="K415" s="131">
        <v>1780</v>
      </c>
      <c r="L415" s="309">
        <v>-174</v>
      </c>
      <c r="W415" s="309"/>
    </row>
    <row r="416" spans="1:23" x14ac:dyDescent="0.2">
      <c r="A416" s="131"/>
      <c r="B416" s="313">
        <v>44866</v>
      </c>
      <c r="C416" s="131">
        <v>671</v>
      </c>
      <c r="D416" s="131">
        <v>33695</v>
      </c>
      <c r="E416" s="314">
        <v>50.216095380029806</v>
      </c>
      <c r="F416" s="131">
        <v>348.97177622792708</v>
      </c>
      <c r="G416" s="131">
        <v>1</v>
      </c>
      <c r="H416" s="315">
        <v>17524.000000000004</v>
      </c>
      <c r="I416" s="131" t="s">
        <v>720</v>
      </c>
      <c r="J416" s="309" t="s">
        <v>722</v>
      </c>
      <c r="K416" s="131">
        <v>671</v>
      </c>
      <c r="L416" s="309">
        <v>2928</v>
      </c>
      <c r="W416" s="309"/>
    </row>
    <row r="417" spans="1:23" x14ac:dyDescent="0.2">
      <c r="A417" s="131"/>
      <c r="B417" s="313">
        <v>44896</v>
      </c>
      <c r="C417" s="131">
        <v>1884</v>
      </c>
      <c r="D417" s="131">
        <v>131930</v>
      </c>
      <c r="E417" s="314">
        <v>70.026539278131636</v>
      </c>
      <c r="F417" s="131">
        <v>75.057257636625479</v>
      </c>
      <c r="G417" s="131">
        <v>1</v>
      </c>
      <c r="H417" s="315">
        <v>5256</v>
      </c>
      <c r="I417" s="131" t="s">
        <v>720</v>
      </c>
      <c r="J417" s="309" t="s">
        <v>722</v>
      </c>
      <c r="K417" s="131">
        <v>1884</v>
      </c>
      <c r="L417" s="309">
        <v>894</v>
      </c>
      <c r="W417" s="309"/>
    </row>
    <row r="418" spans="1:23" x14ac:dyDescent="0.2">
      <c r="A418" s="131"/>
      <c r="B418" s="313">
        <v>44927</v>
      </c>
      <c r="C418" s="131">
        <v>1917</v>
      </c>
      <c r="D418" s="131">
        <v>109110</v>
      </c>
      <c r="E418" s="314">
        <v>56.917057902973397</v>
      </c>
      <c r="F418" s="131">
        <v>150.18327220236458</v>
      </c>
      <c r="G418" s="131">
        <v>1</v>
      </c>
      <c r="H418" s="315">
        <v>8547.99</v>
      </c>
      <c r="I418" s="131" t="s">
        <v>720</v>
      </c>
      <c r="J418" s="309" t="s">
        <v>722</v>
      </c>
      <c r="K418" s="131">
        <v>1917</v>
      </c>
      <c r="L418" s="309">
        <v>1026</v>
      </c>
      <c r="W418" s="309"/>
    </row>
    <row r="419" spans="1:23" x14ac:dyDescent="0.2">
      <c r="A419" s="131"/>
      <c r="B419" s="313">
        <v>44958</v>
      </c>
      <c r="C419" s="131">
        <v>6923</v>
      </c>
      <c r="D419" s="131">
        <v>346150</v>
      </c>
      <c r="E419" s="314">
        <v>50</v>
      </c>
      <c r="F419" s="131">
        <v>24.499799999999997</v>
      </c>
      <c r="G419" s="131">
        <v>1</v>
      </c>
      <c r="H419" s="315">
        <v>1224.9899999999998</v>
      </c>
      <c r="I419" s="131" t="s">
        <v>720</v>
      </c>
      <c r="J419" s="309" t="s">
        <v>722</v>
      </c>
      <c r="K419" s="131">
        <v>2307.666666666667</v>
      </c>
      <c r="L419" s="309">
        <v>367.49699999999984</v>
      </c>
      <c r="W419" s="309"/>
    </row>
    <row r="420" spans="1:23" x14ac:dyDescent="0.2">
      <c r="A420" s="131" t="s">
        <v>1095</v>
      </c>
      <c r="B420" s="311"/>
      <c r="C420" s="131">
        <v>22492</v>
      </c>
      <c r="D420" s="131">
        <v>946520</v>
      </c>
      <c r="E420" s="314">
        <v>42.082518228703542</v>
      </c>
      <c r="F420" s="131">
        <v>686.05566432827629</v>
      </c>
      <c r="G420" s="131">
        <v>10</v>
      </c>
      <c r="H420" s="315">
        <v>28870.950000000004</v>
      </c>
      <c r="I420" s="131" t="s">
        <v>720</v>
      </c>
      <c r="J420" s="309" t="s">
        <v>722</v>
      </c>
      <c r="K420" s="131">
        <v>17876.666666666668</v>
      </c>
      <c r="L420" s="309">
        <v>4710.4969999999994</v>
      </c>
      <c r="W420" s="309"/>
    </row>
    <row r="421" spans="1:23" x14ac:dyDescent="0.2">
      <c r="A421" s="131" t="s">
        <v>657</v>
      </c>
      <c r="B421" s="313">
        <v>44958</v>
      </c>
      <c r="C421" s="131">
        <v>722</v>
      </c>
      <c r="D421" s="131">
        <v>62260</v>
      </c>
      <c r="E421" s="314">
        <v>86.232686980609415</v>
      </c>
      <c r="F421" s="131">
        <v>-32.495403983295859</v>
      </c>
      <c r="G421" s="131">
        <v>1</v>
      </c>
      <c r="H421" s="315">
        <v>-2802.1660000000002</v>
      </c>
      <c r="I421" s="131" t="s">
        <v>720</v>
      </c>
      <c r="J421" s="309" t="s">
        <v>722</v>
      </c>
      <c r="K421" s="131">
        <v>722</v>
      </c>
      <c r="L421" s="309">
        <v>-892.77008760000001</v>
      </c>
      <c r="W421" s="309"/>
    </row>
    <row r="422" spans="1:23" x14ac:dyDescent="0.2">
      <c r="A422" s="131" t="s">
        <v>1064</v>
      </c>
      <c r="B422" s="311"/>
      <c r="C422" s="131">
        <v>722</v>
      </c>
      <c r="D422" s="131">
        <v>62260</v>
      </c>
      <c r="E422" s="314">
        <v>86.232686980609415</v>
      </c>
      <c r="F422" s="131">
        <v>-32.495403983295859</v>
      </c>
      <c r="G422" s="131">
        <v>1</v>
      </c>
      <c r="H422" s="315">
        <v>-2802.1660000000002</v>
      </c>
      <c r="I422" s="131" t="s">
        <v>720</v>
      </c>
      <c r="J422" s="309" t="s">
        <v>722</v>
      </c>
      <c r="K422" s="131">
        <v>722</v>
      </c>
      <c r="L422" s="309">
        <v>-892.77008760000001</v>
      </c>
      <c r="W422" s="309"/>
    </row>
    <row r="423" spans="1:23" x14ac:dyDescent="0.2">
      <c r="A423" s="131" t="s">
        <v>191</v>
      </c>
      <c r="B423" s="313">
        <v>44075</v>
      </c>
      <c r="C423" s="131">
        <v>1671</v>
      </c>
      <c r="D423" s="131">
        <v>15495</v>
      </c>
      <c r="E423" s="314">
        <v>9.2728904847396763</v>
      </c>
      <c r="F423" s="131">
        <v>70.851694094869316</v>
      </c>
      <c r="G423" s="131">
        <v>1</v>
      </c>
      <c r="H423" s="315">
        <v>657</v>
      </c>
      <c r="I423" s="131" t="s">
        <v>751</v>
      </c>
      <c r="J423" s="309" t="s">
        <v>722</v>
      </c>
      <c r="K423" s="131">
        <v>1671</v>
      </c>
      <c r="L423" s="309">
        <v>164.25</v>
      </c>
      <c r="W423" s="309"/>
    </row>
    <row r="424" spans="1:23" x14ac:dyDescent="0.2">
      <c r="A424" s="131"/>
      <c r="B424" s="313">
        <v>44105</v>
      </c>
      <c r="C424" s="131">
        <v>2364</v>
      </c>
      <c r="D424" s="131">
        <v>14370</v>
      </c>
      <c r="E424" s="314">
        <v>6.0786802030456855</v>
      </c>
      <c r="F424" s="131">
        <v>129.30438413361168</v>
      </c>
      <c r="G424" s="131">
        <v>1</v>
      </c>
      <c r="H424" s="315">
        <v>786</v>
      </c>
      <c r="I424" s="131" t="s">
        <v>751</v>
      </c>
      <c r="J424" s="309" t="s">
        <v>722</v>
      </c>
      <c r="K424" s="131">
        <v>2364</v>
      </c>
      <c r="L424" s="309">
        <v>196.5</v>
      </c>
      <c r="W424" s="309"/>
    </row>
    <row r="425" spans="1:23" x14ac:dyDescent="0.2">
      <c r="A425" s="131"/>
      <c r="B425" s="313">
        <v>44136</v>
      </c>
      <c r="C425" s="131">
        <v>3247</v>
      </c>
      <c r="D425" s="131">
        <v>18755</v>
      </c>
      <c r="E425" s="314">
        <v>5.7761010163227597</v>
      </c>
      <c r="F425" s="131">
        <v>124.6515595841109</v>
      </c>
      <c r="G425" s="131">
        <v>1</v>
      </c>
      <c r="H425" s="315">
        <v>720</v>
      </c>
      <c r="I425" s="131" t="s">
        <v>751</v>
      </c>
      <c r="J425" s="309" t="s">
        <v>722</v>
      </c>
      <c r="K425" s="131">
        <v>3247</v>
      </c>
      <c r="L425" s="309">
        <v>180</v>
      </c>
      <c r="W425" s="309"/>
    </row>
    <row r="426" spans="1:23" x14ac:dyDescent="0.2">
      <c r="A426" s="131"/>
      <c r="B426" s="313">
        <v>44166</v>
      </c>
      <c r="C426" s="131">
        <v>2630</v>
      </c>
      <c r="D426" s="131">
        <v>13850</v>
      </c>
      <c r="E426" s="314">
        <v>5.2661596958174908</v>
      </c>
      <c r="F426" s="131">
        <v>69.120577617328522</v>
      </c>
      <c r="G426" s="131">
        <v>1</v>
      </c>
      <c r="H426" s="315">
        <v>364</v>
      </c>
      <c r="I426" s="131" t="s">
        <v>751</v>
      </c>
      <c r="J426" s="309" t="s">
        <v>722</v>
      </c>
      <c r="K426" s="131">
        <v>2630</v>
      </c>
      <c r="L426" s="309">
        <v>91</v>
      </c>
      <c r="W426" s="309"/>
    </row>
    <row r="427" spans="1:23" x14ac:dyDescent="0.2">
      <c r="A427" s="131"/>
      <c r="B427" s="313">
        <v>44197</v>
      </c>
      <c r="C427" s="131">
        <v>1160</v>
      </c>
      <c r="D427" s="131">
        <v>6860</v>
      </c>
      <c r="E427" s="314">
        <v>5.9137931034482758</v>
      </c>
      <c r="F427" s="131">
        <v>84.886297376093296</v>
      </c>
      <c r="G427" s="131">
        <v>1</v>
      </c>
      <c r="H427" s="315">
        <v>502</v>
      </c>
      <c r="I427" s="131" t="s">
        <v>751</v>
      </c>
      <c r="J427" s="309" t="s">
        <v>722</v>
      </c>
      <c r="K427" s="131">
        <v>1160</v>
      </c>
      <c r="L427" s="309">
        <v>150.6</v>
      </c>
      <c r="W427" s="309"/>
    </row>
    <row r="428" spans="1:23" x14ac:dyDescent="0.2">
      <c r="A428" s="131"/>
      <c r="B428" s="313">
        <v>44228</v>
      </c>
      <c r="C428" s="131">
        <v>2011</v>
      </c>
      <c r="D428" s="131">
        <v>10570</v>
      </c>
      <c r="E428" s="314">
        <v>5.2560914967677776</v>
      </c>
      <c r="F428" s="131">
        <v>229.82857142857142</v>
      </c>
      <c r="G428" s="131">
        <v>1</v>
      </c>
      <c r="H428" s="315">
        <v>1208</v>
      </c>
      <c r="I428" s="131" t="s">
        <v>751</v>
      </c>
      <c r="J428" s="309" t="s">
        <v>722</v>
      </c>
      <c r="K428" s="131">
        <v>2011</v>
      </c>
      <c r="L428" s="309">
        <v>302</v>
      </c>
      <c r="W428" s="309"/>
    </row>
    <row r="429" spans="1:23" x14ac:dyDescent="0.2">
      <c r="A429" s="131"/>
      <c r="B429" s="313">
        <v>44256</v>
      </c>
      <c r="C429" s="131">
        <v>8845</v>
      </c>
      <c r="D429" s="131">
        <v>89050</v>
      </c>
      <c r="E429" s="314">
        <v>10.06783493499152</v>
      </c>
      <c r="F429" s="131">
        <v>347.34379562043796</v>
      </c>
      <c r="G429" s="131">
        <v>1</v>
      </c>
      <c r="H429" s="315">
        <v>3497</v>
      </c>
      <c r="I429" s="131" t="s">
        <v>751</v>
      </c>
      <c r="J429" s="309" t="s">
        <v>722</v>
      </c>
      <c r="K429" s="131">
        <v>3142.333333333333</v>
      </c>
      <c r="L429" s="309">
        <v>769.33999999999992</v>
      </c>
      <c r="W429" s="309"/>
    </row>
    <row r="430" spans="1:23" x14ac:dyDescent="0.2">
      <c r="A430" s="131"/>
      <c r="B430" s="313">
        <v>44287</v>
      </c>
      <c r="C430" s="131">
        <v>9516</v>
      </c>
      <c r="D430" s="131">
        <v>143420</v>
      </c>
      <c r="E430" s="314">
        <v>15.07145859604876</v>
      </c>
      <c r="F430" s="131">
        <v>-25.345921070980335</v>
      </c>
      <c r="G430" s="131">
        <v>1</v>
      </c>
      <c r="H430" s="315">
        <v>-382</v>
      </c>
      <c r="I430" s="131" t="s">
        <v>751</v>
      </c>
      <c r="J430" s="309" t="s">
        <v>722</v>
      </c>
      <c r="K430" s="131">
        <v>3172</v>
      </c>
      <c r="L430" s="309">
        <v>-114.6</v>
      </c>
      <c r="W430" s="309"/>
    </row>
    <row r="431" spans="1:23" x14ac:dyDescent="0.2">
      <c r="A431" s="131"/>
      <c r="B431" s="313">
        <v>44317</v>
      </c>
      <c r="C431" s="131">
        <v>7565</v>
      </c>
      <c r="D431" s="131">
        <v>153310</v>
      </c>
      <c r="E431" s="314">
        <v>20.265697290152016</v>
      </c>
      <c r="F431" s="131">
        <v>37.353760354836609</v>
      </c>
      <c r="G431" s="131">
        <v>1</v>
      </c>
      <c r="H431" s="315">
        <v>757</v>
      </c>
      <c r="I431" s="131" t="s">
        <v>751</v>
      </c>
      <c r="J431" s="309" t="s">
        <v>722</v>
      </c>
      <c r="K431" s="131">
        <v>2521.666666666667</v>
      </c>
      <c r="L431" s="309">
        <v>227.09999999999991</v>
      </c>
      <c r="W431" s="309"/>
    </row>
    <row r="432" spans="1:23" x14ac:dyDescent="0.2">
      <c r="A432" s="131"/>
      <c r="B432" s="313">
        <v>44348</v>
      </c>
      <c r="C432" s="131">
        <v>5042</v>
      </c>
      <c r="D432" s="131">
        <v>101230</v>
      </c>
      <c r="E432" s="314">
        <v>20.077350257834194</v>
      </c>
      <c r="F432" s="131">
        <v>89.105383779511996</v>
      </c>
      <c r="G432" s="131">
        <v>1</v>
      </c>
      <c r="H432" s="315">
        <v>1789</v>
      </c>
      <c r="I432" s="131" t="s">
        <v>751</v>
      </c>
      <c r="J432" s="309" t="s">
        <v>722</v>
      </c>
      <c r="K432" s="131">
        <v>1680.6666666666665</v>
      </c>
      <c r="L432" s="309">
        <v>393.58</v>
      </c>
      <c r="W432" s="309"/>
    </row>
    <row r="433" spans="1:23" x14ac:dyDescent="0.2">
      <c r="A433" s="131"/>
      <c r="B433" s="313">
        <v>44378</v>
      </c>
      <c r="C433" s="131">
        <v>4158</v>
      </c>
      <c r="D433" s="131">
        <v>50710</v>
      </c>
      <c r="E433" s="314">
        <v>12.195767195767196</v>
      </c>
      <c r="F433" s="131">
        <v>-62.31670281995661</v>
      </c>
      <c r="G433" s="131">
        <v>1</v>
      </c>
      <c r="H433" s="315">
        <v>-760</v>
      </c>
      <c r="I433" s="131" t="s">
        <v>751</v>
      </c>
      <c r="J433" s="309" t="s">
        <v>722</v>
      </c>
      <c r="K433" s="131">
        <v>1386</v>
      </c>
      <c r="L433" s="309">
        <v>-167.20000000000002</v>
      </c>
      <c r="W433" s="309"/>
    </row>
    <row r="434" spans="1:23" x14ac:dyDescent="0.2">
      <c r="A434" s="131"/>
      <c r="B434" s="313">
        <v>44409</v>
      </c>
      <c r="C434" s="131">
        <v>7380</v>
      </c>
      <c r="D434" s="131">
        <v>40280</v>
      </c>
      <c r="E434" s="314">
        <v>5.4579945799457992</v>
      </c>
      <c r="F434" s="131">
        <v>-18.504965243296922</v>
      </c>
      <c r="G434" s="131">
        <v>1</v>
      </c>
      <c r="H434" s="315">
        <v>-101</v>
      </c>
      <c r="I434" s="131" t="s">
        <v>751</v>
      </c>
      <c r="J434" s="309" t="s">
        <v>722</v>
      </c>
      <c r="K434" s="131">
        <v>2460</v>
      </c>
      <c r="L434" s="309">
        <v>-22.22</v>
      </c>
      <c r="W434" s="309"/>
    </row>
    <row r="435" spans="1:23" x14ac:dyDescent="0.2">
      <c r="A435" s="131"/>
      <c r="B435" s="313">
        <v>44440</v>
      </c>
      <c r="C435" s="131">
        <v>15333</v>
      </c>
      <c r="D435" s="131">
        <v>76665</v>
      </c>
      <c r="E435" s="314">
        <v>5</v>
      </c>
      <c r="F435" s="131">
        <v>522.79999999999995</v>
      </c>
      <c r="G435" s="131">
        <v>1</v>
      </c>
      <c r="H435" s="315">
        <v>2614</v>
      </c>
      <c r="I435" s="131" t="s">
        <v>751</v>
      </c>
      <c r="J435" s="309" t="s">
        <v>722</v>
      </c>
      <c r="K435" s="131">
        <v>5111</v>
      </c>
      <c r="L435" s="309">
        <v>575.08000000000004</v>
      </c>
      <c r="W435" s="309"/>
    </row>
    <row r="436" spans="1:23" x14ac:dyDescent="0.2">
      <c r="A436" s="131"/>
      <c r="B436" s="313">
        <v>44470</v>
      </c>
      <c r="C436" s="131">
        <v>5632</v>
      </c>
      <c r="D436" s="131">
        <v>46610</v>
      </c>
      <c r="E436" s="314">
        <v>8.275923295454545</v>
      </c>
      <c r="F436" s="131">
        <v>123.24908817850248</v>
      </c>
      <c r="G436" s="131">
        <v>1</v>
      </c>
      <c r="H436" s="315">
        <v>1020</v>
      </c>
      <c r="I436" s="131" t="s">
        <v>751</v>
      </c>
      <c r="J436" s="309" t="s">
        <v>722</v>
      </c>
      <c r="K436" s="131">
        <v>1877.3333333333335</v>
      </c>
      <c r="L436" s="309">
        <v>224.39999999999998</v>
      </c>
      <c r="W436" s="309"/>
    </row>
    <row r="437" spans="1:23" x14ac:dyDescent="0.2">
      <c r="A437" s="131"/>
      <c r="B437" s="313">
        <v>44501</v>
      </c>
      <c r="C437" s="131">
        <v>2078</v>
      </c>
      <c r="D437" s="131">
        <v>13423.25</v>
      </c>
      <c r="E437" s="314">
        <v>6.4596968238691046</v>
      </c>
      <c r="F437" s="131">
        <v>32.934982213696387</v>
      </c>
      <c r="G437" s="131">
        <v>1</v>
      </c>
      <c r="H437" s="315">
        <v>212.75</v>
      </c>
      <c r="I437" s="131" t="s">
        <v>751</v>
      </c>
      <c r="J437" s="309" t="s">
        <v>722</v>
      </c>
      <c r="K437" s="131">
        <v>1547.3333333333335</v>
      </c>
      <c r="L437" s="309">
        <v>63.82500000000001</v>
      </c>
      <c r="W437" s="309"/>
    </row>
    <row r="438" spans="1:23" x14ac:dyDescent="0.2">
      <c r="A438" s="131"/>
      <c r="B438" s="313">
        <v>44531</v>
      </c>
      <c r="C438" s="131">
        <v>5419</v>
      </c>
      <c r="D438" s="131">
        <v>44510</v>
      </c>
      <c r="E438" s="314">
        <v>8.2136925632035425</v>
      </c>
      <c r="F438" s="131">
        <v>115.05178611547967</v>
      </c>
      <c r="G438" s="131">
        <v>1</v>
      </c>
      <c r="H438" s="315">
        <v>945</v>
      </c>
      <c r="I438" s="131" t="s">
        <v>751</v>
      </c>
      <c r="J438" s="309" t="s">
        <v>722</v>
      </c>
      <c r="K438" s="131">
        <v>1806.3333333333333</v>
      </c>
      <c r="L438" s="309">
        <v>236.25</v>
      </c>
      <c r="W438" s="309"/>
    </row>
    <row r="439" spans="1:23" x14ac:dyDescent="0.2">
      <c r="A439" s="131"/>
      <c r="B439" s="313">
        <v>44562</v>
      </c>
      <c r="C439" s="131">
        <v>7615</v>
      </c>
      <c r="D439" s="131">
        <v>55120</v>
      </c>
      <c r="E439" s="314">
        <v>7.2383453709783323</v>
      </c>
      <c r="F439" s="131">
        <v>264.14876632801162</v>
      </c>
      <c r="G439" s="131">
        <v>1</v>
      </c>
      <c r="H439" s="315">
        <v>1912</v>
      </c>
      <c r="I439" s="131" t="s">
        <v>751</v>
      </c>
      <c r="J439" s="309" t="s">
        <v>722</v>
      </c>
      <c r="K439" s="131">
        <v>2538.333333333333</v>
      </c>
      <c r="L439" s="309">
        <v>478</v>
      </c>
      <c r="W439" s="309"/>
    </row>
    <row r="440" spans="1:23" x14ac:dyDescent="0.2">
      <c r="A440" s="131"/>
      <c r="B440" s="313">
        <v>44593</v>
      </c>
      <c r="C440" s="131">
        <v>5303</v>
      </c>
      <c r="D440" s="131">
        <v>87580</v>
      </c>
      <c r="E440" s="314">
        <v>16.515180086743353</v>
      </c>
      <c r="F440" s="131">
        <v>79.502614752226535</v>
      </c>
      <c r="G440" s="131">
        <v>1</v>
      </c>
      <c r="H440" s="315">
        <v>1313</v>
      </c>
      <c r="I440" s="131" t="s">
        <v>751</v>
      </c>
      <c r="J440" s="309" t="s">
        <v>722</v>
      </c>
      <c r="K440" s="131">
        <v>1767.6666666666667</v>
      </c>
      <c r="L440" s="309">
        <v>288.86</v>
      </c>
      <c r="W440" s="309"/>
    </row>
    <row r="441" spans="1:23" x14ac:dyDescent="0.2">
      <c r="A441" s="131"/>
      <c r="B441" s="313">
        <v>44621</v>
      </c>
      <c r="C441" s="131">
        <v>5661</v>
      </c>
      <c r="D441" s="131">
        <v>84070</v>
      </c>
      <c r="E441" s="314">
        <v>14.850733086027203</v>
      </c>
      <c r="F441" s="131">
        <v>126.66041394076366</v>
      </c>
      <c r="G441" s="131">
        <v>1</v>
      </c>
      <c r="H441" s="315">
        <v>1881</v>
      </c>
      <c r="I441" s="131" t="s">
        <v>751</v>
      </c>
      <c r="J441" s="309" t="s">
        <v>722</v>
      </c>
      <c r="K441" s="131">
        <v>1887</v>
      </c>
      <c r="L441" s="309">
        <v>413.82000000000005</v>
      </c>
      <c r="W441" s="309"/>
    </row>
    <row r="442" spans="1:23" x14ac:dyDescent="0.2">
      <c r="A442" s="131"/>
      <c r="B442" s="313">
        <v>44652</v>
      </c>
      <c r="C442" s="131">
        <v>2352</v>
      </c>
      <c r="D442" s="131">
        <v>104710</v>
      </c>
      <c r="E442" s="314">
        <v>44.519557823129254</v>
      </c>
      <c r="F442" s="131">
        <v>82.929844331964475</v>
      </c>
      <c r="G442" s="131">
        <v>1</v>
      </c>
      <c r="H442" s="315">
        <v>3692</v>
      </c>
      <c r="I442" s="131" t="s">
        <v>751</v>
      </c>
      <c r="J442" s="309" t="s">
        <v>722</v>
      </c>
      <c r="K442" s="131">
        <v>784</v>
      </c>
      <c r="L442" s="309">
        <v>812.24</v>
      </c>
      <c r="W442" s="309"/>
    </row>
    <row r="443" spans="1:23" x14ac:dyDescent="0.2">
      <c r="A443" s="131"/>
      <c r="B443" s="313">
        <v>44682</v>
      </c>
      <c r="C443" s="131">
        <v>5597</v>
      </c>
      <c r="D443" s="131">
        <v>157660</v>
      </c>
      <c r="E443" s="314">
        <v>28.168661783098088</v>
      </c>
      <c r="F443" s="131">
        <v>-27.654845870861347</v>
      </c>
      <c r="G443" s="131">
        <v>1</v>
      </c>
      <c r="H443" s="315">
        <v>-779</v>
      </c>
      <c r="I443" s="131" t="s">
        <v>751</v>
      </c>
      <c r="J443" s="309" t="s">
        <v>722</v>
      </c>
      <c r="K443" s="131">
        <v>1865.6666666666667</v>
      </c>
      <c r="L443" s="309">
        <v>-233.7</v>
      </c>
      <c r="W443" s="309"/>
    </row>
    <row r="444" spans="1:23" x14ac:dyDescent="0.2">
      <c r="A444" s="131"/>
      <c r="B444" s="313">
        <v>44713</v>
      </c>
      <c r="C444" s="131">
        <v>4957</v>
      </c>
      <c r="D444" s="131">
        <v>99170</v>
      </c>
      <c r="E444" s="314">
        <v>20.00605204760944</v>
      </c>
      <c r="F444" s="131">
        <v>70.928536855903999</v>
      </c>
      <c r="G444" s="131">
        <v>1</v>
      </c>
      <c r="H444" s="315">
        <v>1419</v>
      </c>
      <c r="I444" s="131" t="s">
        <v>751</v>
      </c>
      <c r="J444" s="309" t="s">
        <v>722</v>
      </c>
      <c r="K444" s="131">
        <v>1652.3333333333333</v>
      </c>
      <c r="L444" s="309">
        <v>425.7</v>
      </c>
      <c r="W444" s="309"/>
    </row>
    <row r="445" spans="1:23" x14ac:dyDescent="0.2">
      <c r="A445" s="131"/>
      <c r="B445" s="313">
        <v>44743</v>
      </c>
      <c r="C445" s="131">
        <v>6222</v>
      </c>
      <c r="D445" s="131">
        <v>138310</v>
      </c>
      <c r="E445" s="314">
        <v>22.229186756669883</v>
      </c>
      <c r="F445" s="131">
        <v>55.062743113296214</v>
      </c>
      <c r="G445" s="131">
        <v>1</v>
      </c>
      <c r="H445" s="315">
        <v>1224</v>
      </c>
      <c r="I445" s="131" t="s">
        <v>751</v>
      </c>
      <c r="J445" s="309" t="s">
        <v>722</v>
      </c>
      <c r="K445" s="131">
        <v>2074</v>
      </c>
      <c r="L445" s="309">
        <v>367.2</v>
      </c>
      <c r="W445" s="309"/>
    </row>
    <row r="446" spans="1:23" x14ac:dyDescent="0.2">
      <c r="A446" s="131"/>
      <c r="B446" s="313">
        <v>44774</v>
      </c>
      <c r="C446" s="131">
        <v>4960</v>
      </c>
      <c r="D446" s="131">
        <v>59830</v>
      </c>
      <c r="E446" s="314">
        <v>12.0625</v>
      </c>
      <c r="F446" s="131">
        <v>110.1761658031088</v>
      </c>
      <c r="G446" s="131">
        <v>1</v>
      </c>
      <c r="H446" s="315">
        <v>1329</v>
      </c>
      <c r="I446" s="131" t="s">
        <v>751</v>
      </c>
      <c r="J446" s="309" t="s">
        <v>722</v>
      </c>
      <c r="K446" s="131">
        <v>1653.3333333333335</v>
      </c>
      <c r="L446" s="309">
        <v>332.25</v>
      </c>
      <c r="W446" s="309"/>
    </row>
    <row r="447" spans="1:23" x14ac:dyDescent="0.2">
      <c r="A447" s="131"/>
      <c r="B447" s="313">
        <v>44805</v>
      </c>
      <c r="C447" s="131">
        <v>4672</v>
      </c>
      <c r="D447" s="131">
        <v>34425</v>
      </c>
      <c r="E447" s="314">
        <v>7.368364726027397</v>
      </c>
      <c r="F447" s="131">
        <v>244.96615831517792</v>
      </c>
      <c r="G447" s="131">
        <v>1</v>
      </c>
      <c r="H447" s="315">
        <v>1805</v>
      </c>
      <c r="I447" s="131" t="s">
        <v>751</v>
      </c>
      <c r="J447" s="309" t="s">
        <v>722</v>
      </c>
      <c r="K447" s="131">
        <v>1557.3333333333333</v>
      </c>
      <c r="L447" s="309">
        <v>451.25</v>
      </c>
      <c r="W447" s="309"/>
    </row>
    <row r="448" spans="1:23" x14ac:dyDescent="0.2">
      <c r="A448" s="131"/>
      <c r="B448" s="313">
        <v>44835</v>
      </c>
      <c r="C448" s="131">
        <v>5404</v>
      </c>
      <c r="D448" s="131">
        <v>54020</v>
      </c>
      <c r="E448" s="314">
        <v>9.9962990377498144</v>
      </c>
      <c r="F448" s="131">
        <v>35.112995186967794</v>
      </c>
      <c r="G448" s="131">
        <v>1</v>
      </c>
      <c r="H448" s="315">
        <v>351</v>
      </c>
      <c r="I448" s="131" t="s">
        <v>751</v>
      </c>
      <c r="J448" s="309" t="s">
        <v>722</v>
      </c>
      <c r="K448" s="131">
        <v>1801.3333333333333</v>
      </c>
      <c r="L448" s="309">
        <v>105.3</v>
      </c>
      <c r="W448" s="309"/>
    </row>
    <row r="449" spans="1:23" x14ac:dyDescent="0.2">
      <c r="A449" s="131"/>
      <c r="B449" s="313">
        <v>44866</v>
      </c>
      <c r="C449" s="131">
        <v>7429</v>
      </c>
      <c r="D449" s="131">
        <v>148500</v>
      </c>
      <c r="E449" s="314">
        <v>19.989231390496702</v>
      </c>
      <c r="F449" s="131">
        <v>75.940888888888892</v>
      </c>
      <c r="G449" s="131">
        <v>1</v>
      </c>
      <c r="H449" s="315">
        <v>1518</v>
      </c>
      <c r="I449" s="131" t="s">
        <v>751</v>
      </c>
      <c r="J449" s="309" t="s">
        <v>722</v>
      </c>
      <c r="K449" s="131">
        <v>2476.333333333333</v>
      </c>
      <c r="L449" s="309">
        <v>333.96</v>
      </c>
      <c r="W449" s="309"/>
    </row>
    <row r="450" spans="1:23" x14ac:dyDescent="0.2">
      <c r="A450" s="131"/>
      <c r="B450" s="313">
        <v>44896</v>
      </c>
      <c r="C450" s="131">
        <v>7065</v>
      </c>
      <c r="D450" s="131">
        <v>102380</v>
      </c>
      <c r="E450" s="314">
        <v>14.491153573956122</v>
      </c>
      <c r="F450" s="131">
        <v>160.44271342058994</v>
      </c>
      <c r="G450" s="131">
        <v>1</v>
      </c>
      <c r="H450" s="315">
        <v>2325</v>
      </c>
      <c r="I450" s="131" t="s">
        <v>751</v>
      </c>
      <c r="J450" s="309" t="s">
        <v>722</v>
      </c>
      <c r="K450" s="131">
        <v>2355</v>
      </c>
      <c r="L450" s="309">
        <v>511.5</v>
      </c>
      <c r="W450" s="309"/>
    </row>
    <row r="451" spans="1:23" x14ac:dyDescent="0.2">
      <c r="A451" s="131"/>
      <c r="B451" s="313">
        <v>44927</v>
      </c>
      <c r="C451" s="131">
        <v>5911</v>
      </c>
      <c r="D451" s="131">
        <v>59160</v>
      </c>
      <c r="E451" s="314">
        <v>10.008458805616646</v>
      </c>
      <c r="F451" s="131">
        <v>183.84448951994591</v>
      </c>
      <c r="G451" s="131">
        <v>1</v>
      </c>
      <c r="H451" s="315">
        <v>1840</v>
      </c>
      <c r="I451" s="131" t="s">
        <v>751</v>
      </c>
      <c r="J451" s="309" t="s">
        <v>722</v>
      </c>
      <c r="K451" s="131">
        <v>1970.3333333333335</v>
      </c>
      <c r="L451" s="309">
        <v>404.8</v>
      </c>
      <c r="W451" s="309"/>
    </row>
    <row r="452" spans="1:23" x14ac:dyDescent="0.2">
      <c r="A452" s="131"/>
      <c r="B452" s="313">
        <v>44958</v>
      </c>
      <c r="C452" s="131">
        <v>10805</v>
      </c>
      <c r="D452" s="131">
        <v>108050</v>
      </c>
      <c r="E452" s="314">
        <v>10</v>
      </c>
      <c r="F452" s="131">
        <v>222.18599999999998</v>
      </c>
      <c r="G452" s="131">
        <v>1</v>
      </c>
      <c r="H452" s="315">
        <v>2221.8599999999997</v>
      </c>
      <c r="I452" s="131" t="s">
        <v>751</v>
      </c>
      <c r="J452" s="309" t="s">
        <v>722</v>
      </c>
      <c r="K452" s="131">
        <v>3601.6666666666665</v>
      </c>
      <c r="L452" s="309">
        <v>555.46499999999992</v>
      </c>
      <c r="W452" s="309"/>
    </row>
    <row r="453" spans="1:23" x14ac:dyDescent="0.2">
      <c r="A453" s="131" t="s">
        <v>1096</v>
      </c>
      <c r="B453" s="311"/>
      <c r="C453" s="131">
        <v>168004</v>
      </c>
      <c r="D453" s="131">
        <v>2132093.25</v>
      </c>
      <c r="E453" s="314">
        <v>12.690729089783577</v>
      </c>
      <c r="F453" s="131">
        <v>2827.3087973239444</v>
      </c>
      <c r="G453" s="131">
        <v>30</v>
      </c>
      <c r="H453" s="315">
        <v>35880.61</v>
      </c>
      <c r="I453" s="131" t="s">
        <v>751</v>
      </c>
      <c r="J453" s="309" t="s">
        <v>722</v>
      </c>
      <c r="K453" s="131">
        <v>65771.999999999985</v>
      </c>
      <c r="L453" s="309">
        <v>8516.5499999999993</v>
      </c>
      <c r="W453" s="309"/>
    </row>
    <row r="454" spans="1:23" x14ac:dyDescent="0.2">
      <c r="A454" s="131" t="s">
        <v>561</v>
      </c>
      <c r="B454" s="313">
        <v>44652</v>
      </c>
      <c r="C454" s="131">
        <v>6439</v>
      </c>
      <c r="D454" s="131">
        <v>64390</v>
      </c>
      <c r="E454" s="314">
        <v>10</v>
      </c>
      <c r="F454" s="131">
        <v>75.099999999999994</v>
      </c>
      <c r="G454" s="131">
        <v>1</v>
      </c>
      <c r="H454" s="315">
        <v>751</v>
      </c>
      <c r="I454" s="131" t="s">
        <v>720</v>
      </c>
      <c r="J454" s="309" t="s">
        <v>722</v>
      </c>
      <c r="K454" s="131">
        <v>2146.3333333333335</v>
      </c>
      <c r="L454" s="309">
        <v>172.73000000000002</v>
      </c>
      <c r="W454" s="309"/>
    </row>
    <row r="455" spans="1:23" x14ac:dyDescent="0.2">
      <c r="A455" s="131"/>
      <c r="B455" s="313">
        <v>44682</v>
      </c>
      <c r="C455" s="131">
        <v>6107</v>
      </c>
      <c r="D455" s="131">
        <v>100130</v>
      </c>
      <c r="E455" s="314">
        <v>16.395939086294415</v>
      </c>
      <c r="F455" s="131">
        <v>-4.5743034055727554</v>
      </c>
      <c r="G455" s="131">
        <v>1</v>
      </c>
      <c r="H455" s="315">
        <v>-75</v>
      </c>
      <c r="I455" s="131" t="s">
        <v>720</v>
      </c>
      <c r="J455" s="309" t="s">
        <v>722</v>
      </c>
      <c r="K455" s="131">
        <v>2035.6666666666665</v>
      </c>
      <c r="L455" s="309">
        <v>-17.25</v>
      </c>
      <c r="W455" s="309"/>
    </row>
    <row r="456" spans="1:23" x14ac:dyDescent="0.2">
      <c r="A456" s="131"/>
      <c r="B456" s="313">
        <v>44713</v>
      </c>
      <c r="C456" s="131">
        <v>6427</v>
      </c>
      <c r="D456" s="131">
        <v>128540</v>
      </c>
      <c r="E456" s="314">
        <v>20</v>
      </c>
      <c r="F456" s="131">
        <v>115.5</v>
      </c>
      <c r="G456" s="131">
        <v>1</v>
      </c>
      <c r="H456" s="315">
        <v>2310</v>
      </c>
      <c r="I456" s="131" t="s">
        <v>720</v>
      </c>
      <c r="J456" s="309" t="s">
        <v>722</v>
      </c>
      <c r="K456" s="131">
        <v>2142.3333333333335</v>
      </c>
      <c r="L456" s="309">
        <v>531.30000000000007</v>
      </c>
      <c r="W456" s="309"/>
    </row>
    <row r="457" spans="1:23" x14ac:dyDescent="0.2">
      <c r="A457" s="131"/>
      <c r="B457" s="313">
        <v>44743</v>
      </c>
      <c r="C457" s="131">
        <v>7523</v>
      </c>
      <c r="D457" s="131">
        <v>150460</v>
      </c>
      <c r="E457" s="314">
        <v>20</v>
      </c>
      <c r="F457" s="131">
        <v>324</v>
      </c>
      <c r="G457" s="131">
        <v>1</v>
      </c>
      <c r="H457" s="315">
        <v>6480</v>
      </c>
      <c r="I457" s="131" t="s">
        <v>720</v>
      </c>
      <c r="J457" s="309" t="s">
        <v>722</v>
      </c>
      <c r="K457" s="131">
        <v>2507.6666666666665</v>
      </c>
      <c r="L457" s="309">
        <v>1101.6000000000001</v>
      </c>
      <c r="W457" s="309"/>
    </row>
    <row r="458" spans="1:23" x14ac:dyDescent="0.2">
      <c r="A458" s="131"/>
      <c r="B458" s="313">
        <v>44774</v>
      </c>
      <c r="C458" s="131">
        <v>6140</v>
      </c>
      <c r="D458" s="131">
        <v>307000</v>
      </c>
      <c r="E458" s="314">
        <v>50</v>
      </c>
      <c r="F458" s="131">
        <v>134.13999999999999</v>
      </c>
      <c r="G458" s="131">
        <v>1</v>
      </c>
      <c r="H458" s="315">
        <v>6707</v>
      </c>
      <c r="I458" s="131" t="s">
        <v>720</v>
      </c>
      <c r="J458" s="309" t="s">
        <v>722</v>
      </c>
      <c r="K458" s="131">
        <v>2046.6666666666667</v>
      </c>
      <c r="L458" s="309">
        <v>804.83999999999992</v>
      </c>
      <c r="W458" s="309"/>
    </row>
    <row r="459" spans="1:23" x14ac:dyDescent="0.2">
      <c r="A459" s="131"/>
      <c r="B459" s="313">
        <v>44805</v>
      </c>
      <c r="C459" s="131">
        <v>7000</v>
      </c>
      <c r="D459" s="131">
        <v>140000</v>
      </c>
      <c r="E459" s="314">
        <v>20</v>
      </c>
      <c r="F459" s="131">
        <v>-514.75</v>
      </c>
      <c r="G459" s="131">
        <v>1</v>
      </c>
      <c r="H459" s="315">
        <v>-10295</v>
      </c>
      <c r="I459" s="131" t="s">
        <v>720</v>
      </c>
      <c r="J459" s="309" t="s">
        <v>722</v>
      </c>
      <c r="K459" s="131">
        <v>2333.3333333333335</v>
      </c>
      <c r="L459" s="309">
        <v>-3088.5</v>
      </c>
      <c r="W459" s="309"/>
    </row>
    <row r="460" spans="1:23" x14ac:dyDescent="0.2">
      <c r="A460" s="131"/>
      <c r="B460" s="313">
        <v>44835</v>
      </c>
      <c r="C460" s="131">
        <v>7714</v>
      </c>
      <c r="D460" s="131">
        <v>154280</v>
      </c>
      <c r="E460" s="314">
        <v>20</v>
      </c>
      <c r="F460" s="131">
        <v>179.95</v>
      </c>
      <c r="G460" s="131">
        <v>1</v>
      </c>
      <c r="H460" s="315">
        <v>3599</v>
      </c>
      <c r="I460" s="131" t="s">
        <v>720</v>
      </c>
      <c r="J460" s="309" t="s">
        <v>722</v>
      </c>
      <c r="K460" s="131">
        <v>2571.3333333333335</v>
      </c>
      <c r="L460" s="309">
        <v>1079.7</v>
      </c>
      <c r="W460" s="309"/>
    </row>
    <row r="461" spans="1:23" x14ac:dyDescent="0.2">
      <c r="A461" s="131"/>
      <c r="B461" s="313">
        <v>44866</v>
      </c>
      <c r="C461" s="131">
        <v>6917</v>
      </c>
      <c r="D461" s="131">
        <v>138340</v>
      </c>
      <c r="E461" s="314">
        <v>20</v>
      </c>
      <c r="F461" s="131">
        <v>373.25</v>
      </c>
      <c r="G461" s="131">
        <v>1</v>
      </c>
      <c r="H461" s="315">
        <v>7465</v>
      </c>
      <c r="I461" s="131" t="s">
        <v>720</v>
      </c>
      <c r="J461" s="309" t="s">
        <v>722</v>
      </c>
      <c r="K461" s="131">
        <v>2305.6666666666665</v>
      </c>
      <c r="L461" s="309">
        <v>2239.5</v>
      </c>
      <c r="W461" s="309"/>
    </row>
    <row r="462" spans="1:23" x14ac:dyDescent="0.2">
      <c r="A462" s="131"/>
      <c r="B462" s="313">
        <v>44896</v>
      </c>
      <c r="C462" s="131">
        <v>6441</v>
      </c>
      <c r="D462" s="131">
        <v>199110</v>
      </c>
      <c r="E462" s="314">
        <v>30.912901723334887</v>
      </c>
      <c r="F462" s="131">
        <v>100.31410275726985</v>
      </c>
      <c r="G462" s="131">
        <v>1</v>
      </c>
      <c r="H462" s="315">
        <v>3101</v>
      </c>
      <c r="I462" s="131" t="s">
        <v>720</v>
      </c>
      <c r="J462" s="309" t="s">
        <v>722</v>
      </c>
      <c r="K462" s="131">
        <v>2147</v>
      </c>
      <c r="L462" s="309">
        <v>-3472.83</v>
      </c>
      <c r="W462" s="309"/>
    </row>
    <row r="463" spans="1:23" x14ac:dyDescent="0.2">
      <c r="A463" s="131"/>
      <c r="B463" s="313">
        <v>44927</v>
      </c>
      <c r="C463" s="131">
        <v>4079</v>
      </c>
      <c r="D463" s="131">
        <v>111700</v>
      </c>
      <c r="E463" s="314">
        <v>27.384162784996324</v>
      </c>
      <c r="F463" s="131">
        <v>96.333052820053709</v>
      </c>
      <c r="G463" s="131">
        <v>1</v>
      </c>
      <c r="H463" s="315">
        <v>2638</v>
      </c>
      <c r="I463" s="131" t="s">
        <v>720</v>
      </c>
      <c r="J463" s="309" t="s">
        <v>722</v>
      </c>
      <c r="K463" s="131">
        <v>1359.6666666666667</v>
      </c>
      <c r="L463" s="309">
        <v>606.74</v>
      </c>
      <c r="W463" s="309"/>
    </row>
    <row r="464" spans="1:23" x14ac:dyDescent="0.2">
      <c r="A464" s="131"/>
      <c r="B464" s="313">
        <v>44958</v>
      </c>
      <c r="C464" s="131">
        <v>4381</v>
      </c>
      <c r="D464" s="131">
        <v>105620</v>
      </c>
      <c r="E464" s="314">
        <v>24.108650992923991</v>
      </c>
      <c r="F464" s="131">
        <v>-36.896713974626003</v>
      </c>
      <c r="G464" s="131">
        <v>1</v>
      </c>
      <c r="H464" s="315">
        <v>-889.52999999999975</v>
      </c>
      <c r="I464" s="131" t="s">
        <v>720</v>
      </c>
      <c r="J464" s="309" t="s">
        <v>722</v>
      </c>
      <c r="K464" s="131">
        <v>1460.3333333333333</v>
      </c>
      <c r="L464" s="309">
        <v>-266.85899999999992</v>
      </c>
      <c r="W464" s="309"/>
    </row>
    <row r="465" spans="1:23" x14ac:dyDescent="0.2">
      <c r="A465" s="131" t="s">
        <v>1065</v>
      </c>
      <c r="B465" s="311"/>
      <c r="C465" s="131">
        <v>69168</v>
      </c>
      <c r="D465" s="131">
        <v>1599570</v>
      </c>
      <c r="E465" s="314">
        <v>23.125867453157529</v>
      </c>
      <c r="F465" s="131">
        <v>942.29849081940779</v>
      </c>
      <c r="G465" s="131">
        <v>11</v>
      </c>
      <c r="H465" s="315">
        <v>21791.47</v>
      </c>
      <c r="I465" s="131" t="s">
        <v>720</v>
      </c>
      <c r="J465" s="309" t="s">
        <v>722</v>
      </c>
      <c r="K465" s="131">
        <v>23056</v>
      </c>
      <c r="L465" s="309">
        <v>-309.02899999999977</v>
      </c>
      <c r="W465" s="309"/>
    </row>
    <row r="466" spans="1:23" x14ac:dyDescent="0.2">
      <c r="A466" s="131" t="s">
        <v>195</v>
      </c>
      <c r="B466" s="313">
        <v>44621</v>
      </c>
      <c r="C466" s="131">
        <v>404</v>
      </c>
      <c r="D466" s="131">
        <v>4040</v>
      </c>
      <c r="E466" s="314">
        <v>10</v>
      </c>
      <c r="F466" s="131">
        <v>24.7</v>
      </c>
      <c r="G466" s="131">
        <v>1</v>
      </c>
      <c r="H466" s="315">
        <v>247</v>
      </c>
      <c r="I466" s="131" t="s">
        <v>720</v>
      </c>
      <c r="J466" s="309" t="s">
        <v>722</v>
      </c>
      <c r="K466" s="131">
        <v>404</v>
      </c>
      <c r="L466" s="309">
        <v>57</v>
      </c>
      <c r="W466" s="309"/>
    </row>
    <row r="467" spans="1:23" x14ac:dyDescent="0.2">
      <c r="A467" s="131"/>
      <c r="B467" s="313">
        <v>44652</v>
      </c>
      <c r="C467" s="131">
        <v>2182</v>
      </c>
      <c r="D467" s="131">
        <v>25570</v>
      </c>
      <c r="E467" s="314">
        <v>11.718606782768102</v>
      </c>
      <c r="F467" s="131">
        <v>91.649120062573331</v>
      </c>
      <c r="G467" s="131">
        <v>1</v>
      </c>
      <c r="H467" s="315">
        <v>1074</v>
      </c>
      <c r="I467" s="131" t="s">
        <v>720</v>
      </c>
      <c r="J467" s="309" t="s">
        <v>722</v>
      </c>
      <c r="K467" s="131">
        <v>2182</v>
      </c>
      <c r="L467" s="309">
        <v>247</v>
      </c>
      <c r="W467" s="309"/>
    </row>
    <row r="468" spans="1:23" x14ac:dyDescent="0.2">
      <c r="A468" s="131"/>
      <c r="B468" s="313">
        <v>44682</v>
      </c>
      <c r="C468" s="131">
        <v>1691</v>
      </c>
      <c r="D468" s="131">
        <v>33794</v>
      </c>
      <c r="E468" s="314">
        <v>19.9846244825547</v>
      </c>
      <c r="F468" s="131">
        <v>115.13851571284845</v>
      </c>
      <c r="G468" s="131">
        <v>1</v>
      </c>
      <c r="H468" s="315">
        <v>2301</v>
      </c>
      <c r="I468" s="131" t="s">
        <v>720</v>
      </c>
      <c r="J468" s="309" t="s">
        <v>722</v>
      </c>
      <c r="K468" s="131">
        <v>1689</v>
      </c>
      <c r="L468" s="309">
        <v>421</v>
      </c>
      <c r="W468" s="309"/>
    </row>
    <row r="469" spans="1:23" x14ac:dyDescent="0.2">
      <c r="A469" s="131"/>
      <c r="B469" s="313">
        <v>44713</v>
      </c>
      <c r="C469" s="131">
        <v>1341</v>
      </c>
      <c r="D469" s="131">
        <v>31340</v>
      </c>
      <c r="E469" s="314">
        <v>23.37061894108874</v>
      </c>
      <c r="F469" s="131">
        <v>45.52724952137843</v>
      </c>
      <c r="G469" s="131">
        <v>1</v>
      </c>
      <c r="H469" s="315">
        <v>1064</v>
      </c>
      <c r="I469" s="131" t="s">
        <v>720</v>
      </c>
      <c r="J469" s="309" t="s">
        <v>722</v>
      </c>
      <c r="K469" s="131">
        <v>1341</v>
      </c>
      <c r="L469" s="309">
        <v>194</v>
      </c>
      <c r="W469" s="309"/>
    </row>
    <row r="470" spans="1:23" x14ac:dyDescent="0.2">
      <c r="A470" s="131"/>
      <c r="B470" s="313">
        <v>44743</v>
      </c>
      <c r="C470" s="131">
        <v>1953</v>
      </c>
      <c r="D470" s="131">
        <v>47695.5</v>
      </c>
      <c r="E470" s="314">
        <v>24.421658986175114</v>
      </c>
      <c r="F470" s="131">
        <v>-32.225492971035003</v>
      </c>
      <c r="G470" s="131">
        <v>1</v>
      </c>
      <c r="H470" s="315">
        <v>-787</v>
      </c>
      <c r="I470" s="131" t="s">
        <v>720</v>
      </c>
      <c r="J470" s="309" t="s">
        <v>722</v>
      </c>
      <c r="K470" s="131">
        <v>1950.3333333333335</v>
      </c>
      <c r="L470" s="309">
        <v>-235</v>
      </c>
      <c r="W470" s="309"/>
    </row>
    <row r="471" spans="1:23" x14ac:dyDescent="0.2">
      <c r="A471" s="131"/>
      <c r="B471" s="313">
        <v>44774</v>
      </c>
      <c r="C471" s="131">
        <v>1318</v>
      </c>
      <c r="D471" s="131">
        <v>31845</v>
      </c>
      <c r="E471" s="314">
        <v>24.161608497723822</v>
      </c>
      <c r="F471" s="131">
        <v>37.08362380279479</v>
      </c>
      <c r="G471" s="131">
        <v>1</v>
      </c>
      <c r="H471" s="315">
        <v>896</v>
      </c>
      <c r="I471" s="131" t="s">
        <v>720</v>
      </c>
      <c r="J471" s="309" t="s">
        <v>722</v>
      </c>
      <c r="K471" s="131">
        <v>1315.3333333333333</v>
      </c>
      <c r="L471" s="309">
        <v>259</v>
      </c>
      <c r="W471" s="309"/>
    </row>
    <row r="472" spans="1:23" x14ac:dyDescent="0.2">
      <c r="A472" s="131"/>
      <c r="B472" s="313">
        <v>44805</v>
      </c>
      <c r="C472" s="131">
        <v>1918</v>
      </c>
      <c r="D472" s="131">
        <v>45151.5</v>
      </c>
      <c r="E472" s="314">
        <v>23.540928050052138</v>
      </c>
      <c r="F472" s="131">
        <v>91.648893170769526</v>
      </c>
      <c r="G472" s="131">
        <v>1</v>
      </c>
      <c r="H472" s="315">
        <v>2157.5</v>
      </c>
      <c r="I472" s="131" t="s">
        <v>720</v>
      </c>
      <c r="J472" s="309" t="s">
        <v>722</v>
      </c>
      <c r="K472" s="131">
        <v>1916</v>
      </c>
      <c r="L472" s="309">
        <v>368</v>
      </c>
      <c r="W472" s="309"/>
    </row>
    <row r="473" spans="1:23" x14ac:dyDescent="0.2">
      <c r="A473" s="131"/>
      <c r="B473" s="313">
        <v>44835</v>
      </c>
      <c r="C473" s="131">
        <v>730</v>
      </c>
      <c r="D473" s="131">
        <v>18250</v>
      </c>
      <c r="E473" s="314">
        <v>25</v>
      </c>
      <c r="F473" s="131">
        <v>-20.04</v>
      </c>
      <c r="G473" s="131">
        <v>1</v>
      </c>
      <c r="H473" s="315">
        <v>-501</v>
      </c>
      <c r="I473" s="131" t="s">
        <v>720</v>
      </c>
      <c r="J473" s="309" t="s">
        <v>722</v>
      </c>
      <c r="K473" s="131">
        <v>730</v>
      </c>
      <c r="L473" s="309">
        <v>-154</v>
      </c>
      <c r="W473" s="309"/>
    </row>
    <row r="474" spans="1:23" x14ac:dyDescent="0.2">
      <c r="A474" s="131"/>
      <c r="B474" s="313">
        <v>44866</v>
      </c>
      <c r="C474" s="131">
        <v>1966</v>
      </c>
      <c r="D474" s="131">
        <v>48390</v>
      </c>
      <c r="E474" s="314">
        <v>24.613428280773142</v>
      </c>
      <c r="F474" s="131">
        <v>30.755569332506717</v>
      </c>
      <c r="G474" s="131">
        <v>1</v>
      </c>
      <c r="H474" s="315">
        <v>757</v>
      </c>
      <c r="I474" s="131" t="s">
        <v>720</v>
      </c>
      <c r="J474" s="309" t="s">
        <v>722</v>
      </c>
      <c r="K474" s="131">
        <v>1966</v>
      </c>
      <c r="L474" s="309">
        <v>233</v>
      </c>
      <c r="W474" s="309"/>
    </row>
    <row r="475" spans="1:23" x14ac:dyDescent="0.2">
      <c r="A475" s="131"/>
      <c r="B475" s="313">
        <v>44896</v>
      </c>
      <c r="C475" s="131">
        <v>2102</v>
      </c>
      <c r="D475" s="131">
        <v>52455</v>
      </c>
      <c r="E475" s="314">
        <v>24.954804947668887</v>
      </c>
      <c r="F475" s="131">
        <v>46.003164617291013</v>
      </c>
      <c r="G475" s="131">
        <v>1</v>
      </c>
      <c r="H475" s="315">
        <v>1148</v>
      </c>
      <c r="I475" s="131" t="s">
        <v>720</v>
      </c>
      <c r="J475" s="309" t="s">
        <v>722</v>
      </c>
      <c r="K475" s="131">
        <v>2102</v>
      </c>
      <c r="L475" s="309">
        <v>264</v>
      </c>
      <c r="W475" s="309"/>
    </row>
    <row r="476" spans="1:23" x14ac:dyDescent="0.2">
      <c r="A476" s="131"/>
      <c r="B476" s="313">
        <v>44927</v>
      </c>
      <c r="C476" s="131">
        <v>2490</v>
      </c>
      <c r="D476" s="131">
        <v>69295</v>
      </c>
      <c r="E476" s="314">
        <v>27.829317269076306</v>
      </c>
      <c r="F476" s="131">
        <v>65.003391298073453</v>
      </c>
      <c r="G476" s="131">
        <v>1</v>
      </c>
      <c r="H476" s="315">
        <v>1809</v>
      </c>
      <c r="I476" s="131" t="s">
        <v>720</v>
      </c>
      <c r="J476" s="309" t="s">
        <v>722</v>
      </c>
      <c r="K476" s="131">
        <v>2490</v>
      </c>
      <c r="L476" s="309">
        <v>416</v>
      </c>
      <c r="W476" s="309"/>
    </row>
    <row r="477" spans="1:23" x14ac:dyDescent="0.2">
      <c r="A477" s="131"/>
      <c r="B477" s="313">
        <v>44958</v>
      </c>
      <c r="C477" s="131">
        <v>2421</v>
      </c>
      <c r="D477" s="131">
        <v>71180</v>
      </c>
      <c r="E477" s="314">
        <v>29.401073936389921</v>
      </c>
      <c r="F477" s="131">
        <v>9.727535824669852</v>
      </c>
      <c r="G477" s="131">
        <v>1</v>
      </c>
      <c r="H477" s="315">
        <v>286</v>
      </c>
      <c r="I477" s="131" t="s">
        <v>720</v>
      </c>
      <c r="J477" s="309" t="s">
        <v>722</v>
      </c>
      <c r="K477" s="131">
        <v>2420.333333333333</v>
      </c>
      <c r="L477" s="309">
        <v>-78.399999999999991</v>
      </c>
      <c r="W477" s="309"/>
    </row>
    <row r="478" spans="1:23" x14ac:dyDescent="0.2">
      <c r="A478" s="131"/>
      <c r="B478" s="313">
        <v>44986</v>
      </c>
      <c r="C478" s="131">
        <v>1717</v>
      </c>
      <c r="D478" s="131">
        <v>42925</v>
      </c>
      <c r="E478" s="314">
        <v>25</v>
      </c>
      <c r="F478" s="131">
        <v>73.599999999999994</v>
      </c>
      <c r="G478" s="131">
        <v>1</v>
      </c>
      <c r="H478" s="315">
        <v>1840</v>
      </c>
      <c r="I478" s="131" t="s">
        <v>720</v>
      </c>
      <c r="J478" s="309" t="s">
        <v>722</v>
      </c>
      <c r="K478" s="131">
        <v>1717</v>
      </c>
      <c r="L478" s="309">
        <v>423.20000000000005</v>
      </c>
      <c r="W478" s="309"/>
    </row>
    <row r="479" spans="1:23" x14ac:dyDescent="0.2">
      <c r="A479" s="131" t="s">
        <v>1097</v>
      </c>
      <c r="B479" s="311"/>
      <c r="C479" s="131">
        <v>22233</v>
      </c>
      <c r="D479" s="131">
        <v>521931</v>
      </c>
      <c r="E479" s="314">
        <v>23.475509377951692</v>
      </c>
      <c r="F479" s="131">
        <v>523.58821280973928</v>
      </c>
      <c r="G479" s="131">
        <v>13</v>
      </c>
      <c r="H479" s="315">
        <v>12291.5</v>
      </c>
      <c r="I479" s="131" t="s">
        <v>720</v>
      </c>
      <c r="J479" s="309" t="s">
        <v>722</v>
      </c>
      <c r="K479" s="131">
        <v>22223</v>
      </c>
      <c r="L479" s="309">
        <v>2414.8000000000002</v>
      </c>
      <c r="W479" s="309"/>
    </row>
    <row r="480" spans="1:23" x14ac:dyDescent="0.2">
      <c r="A480" s="131" t="s">
        <v>232</v>
      </c>
      <c r="B480" s="313">
        <v>44682</v>
      </c>
      <c r="C480" s="131">
        <v>2224</v>
      </c>
      <c r="D480" s="131">
        <v>44380</v>
      </c>
      <c r="E480" s="314">
        <v>19.955035971223023</v>
      </c>
      <c r="F480" s="131">
        <v>-19.644164037854882</v>
      </c>
      <c r="G480" s="131">
        <v>1</v>
      </c>
      <c r="H480" s="315">
        <v>-391.99999999999989</v>
      </c>
      <c r="I480" s="131" t="s">
        <v>720</v>
      </c>
      <c r="J480" s="309" t="s">
        <v>722</v>
      </c>
      <c r="K480" s="131">
        <v>2224</v>
      </c>
      <c r="L480" s="309">
        <v>-110</v>
      </c>
      <c r="W480" s="309"/>
    </row>
    <row r="481" spans="1:23" x14ac:dyDescent="0.2">
      <c r="A481" s="131"/>
      <c r="B481" s="313">
        <v>44713</v>
      </c>
      <c r="C481" s="131">
        <v>1900</v>
      </c>
      <c r="D481" s="131">
        <v>37920</v>
      </c>
      <c r="E481" s="314">
        <v>19.957894736842107</v>
      </c>
      <c r="F481" s="131">
        <v>23.198839662447259</v>
      </c>
      <c r="G481" s="131">
        <v>1</v>
      </c>
      <c r="H481" s="315">
        <v>463.00000000000006</v>
      </c>
      <c r="I481" s="131" t="s">
        <v>720</v>
      </c>
      <c r="J481" s="309" t="s">
        <v>722</v>
      </c>
      <c r="K481" s="131">
        <v>1900</v>
      </c>
      <c r="L481" s="309">
        <v>130</v>
      </c>
      <c r="W481" s="309"/>
    </row>
    <row r="482" spans="1:23" x14ac:dyDescent="0.2">
      <c r="A482" s="131"/>
      <c r="B482" s="313">
        <v>44743</v>
      </c>
      <c r="C482" s="131">
        <v>3031</v>
      </c>
      <c r="D482" s="131">
        <v>60620</v>
      </c>
      <c r="E482" s="314">
        <v>20</v>
      </c>
      <c r="F482" s="131">
        <v>379.35</v>
      </c>
      <c r="G482" s="131">
        <v>1</v>
      </c>
      <c r="H482" s="315">
        <v>7587</v>
      </c>
      <c r="I482" s="131" t="s">
        <v>720</v>
      </c>
      <c r="J482" s="309" t="s">
        <v>722</v>
      </c>
      <c r="K482" s="131">
        <v>3031</v>
      </c>
      <c r="L482" s="309">
        <v>1263</v>
      </c>
      <c r="W482" s="309"/>
    </row>
    <row r="483" spans="1:23" x14ac:dyDescent="0.2">
      <c r="A483" s="131"/>
      <c r="B483" s="313">
        <v>44774</v>
      </c>
      <c r="C483" s="131">
        <v>1244</v>
      </c>
      <c r="D483" s="131">
        <v>24830</v>
      </c>
      <c r="E483" s="314">
        <v>19.959807073954984</v>
      </c>
      <c r="F483" s="131">
        <v>47.044542891663312</v>
      </c>
      <c r="G483" s="131">
        <v>1</v>
      </c>
      <c r="H483" s="315">
        <v>939</v>
      </c>
      <c r="I483" s="131" t="s">
        <v>720</v>
      </c>
      <c r="J483" s="309" t="s">
        <v>722</v>
      </c>
      <c r="K483" s="131">
        <v>1244</v>
      </c>
      <c r="L483" s="309">
        <v>216</v>
      </c>
      <c r="W483" s="309"/>
    </row>
    <row r="484" spans="1:23" x14ac:dyDescent="0.2">
      <c r="A484" s="131"/>
      <c r="B484" s="313">
        <v>44805</v>
      </c>
      <c r="C484" s="131">
        <v>1221</v>
      </c>
      <c r="D484" s="131">
        <v>24210</v>
      </c>
      <c r="E484" s="314">
        <v>19.828009828009829</v>
      </c>
      <c r="F484" s="131">
        <v>48.92069392812887</v>
      </c>
      <c r="G484" s="131">
        <v>1</v>
      </c>
      <c r="H484" s="315">
        <v>970</v>
      </c>
      <c r="I484" s="131" t="s">
        <v>720</v>
      </c>
      <c r="J484" s="309" t="s">
        <v>722</v>
      </c>
      <c r="K484" s="131">
        <v>1221</v>
      </c>
      <c r="L484" s="309">
        <v>223</v>
      </c>
      <c r="W484" s="309"/>
    </row>
    <row r="485" spans="1:23" x14ac:dyDescent="0.2">
      <c r="A485" s="131"/>
      <c r="B485" s="313">
        <v>44835</v>
      </c>
      <c r="C485" s="131">
        <v>3276</v>
      </c>
      <c r="D485" s="131">
        <v>62985.5</v>
      </c>
      <c r="E485" s="314">
        <v>19.226343101343101</v>
      </c>
      <c r="F485" s="131">
        <v>120.97984456740043</v>
      </c>
      <c r="G485" s="131">
        <v>1</v>
      </c>
      <c r="H485" s="315">
        <v>2326</v>
      </c>
      <c r="I485" s="131" t="s">
        <v>720</v>
      </c>
      <c r="J485" s="309" t="s">
        <v>722</v>
      </c>
      <c r="K485" s="131">
        <v>3276</v>
      </c>
      <c r="L485" s="309">
        <v>535</v>
      </c>
      <c r="W485" s="309"/>
    </row>
    <row r="486" spans="1:23" x14ac:dyDescent="0.2">
      <c r="A486" s="131"/>
      <c r="B486" s="313">
        <v>44866</v>
      </c>
      <c r="C486" s="131">
        <v>1610</v>
      </c>
      <c r="D486" s="131">
        <v>33730</v>
      </c>
      <c r="E486" s="314">
        <v>20.950310559006212</v>
      </c>
      <c r="F486" s="131">
        <v>218.66024310702639</v>
      </c>
      <c r="G486" s="131">
        <v>1</v>
      </c>
      <c r="H486" s="315">
        <v>4581</v>
      </c>
      <c r="I486" s="131" t="s">
        <v>720</v>
      </c>
      <c r="J486" s="309" t="s">
        <v>722</v>
      </c>
      <c r="K486" s="131">
        <v>1609.3333333333333</v>
      </c>
      <c r="L486" s="309">
        <v>778</v>
      </c>
      <c r="W486" s="309"/>
    </row>
    <row r="487" spans="1:23" x14ac:dyDescent="0.2">
      <c r="A487" s="131"/>
      <c r="B487" s="313">
        <v>44896</v>
      </c>
      <c r="C487" s="131">
        <v>2269</v>
      </c>
      <c r="D487" s="131">
        <v>46690</v>
      </c>
      <c r="E487" s="314">
        <v>20.577346848832086</v>
      </c>
      <c r="F487" s="131">
        <v>101.08203041336473</v>
      </c>
      <c r="G487" s="131">
        <v>1</v>
      </c>
      <c r="H487" s="315">
        <v>2080</v>
      </c>
      <c r="I487" s="131" t="s">
        <v>720</v>
      </c>
      <c r="J487" s="309" t="s">
        <v>722</v>
      </c>
      <c r="K487" s="131">
        <v>2267.666666666667</v>
      </c>
      <c r="L487" s="309">
        <v>479</v>
      </c>
      <c r="W487" s="309"/>
    </row>
    <row r="488" spans="1:23" x14ac:dyDescent="0.2">
      <c r="A488" s="131"/>
      <c r="B488" s="313">
        <v>44927</v>
      </c>
      <c r="C488" s="131">
        <v>3473</v>
      </c>
      <c r="D488" s="131">
        <v>73045</v>
      </c>
      <c r="E488" s="314">
        <v>21.032248776274116</v>
      </c>
      <c r="F488" s="131">
        <v>289.60336409062904</v>
      </c>
      <c r="G488" s="131">
        <v>1</v>
      </c>
      <c r="H488" s="315">
        <v>6091.01</v>
      </c>
      <c r="I488" s="131" t="s">
        <v>720</v>
      </c>
      <c r="J488" s="309" t="s">
        <v>722</v>
      </c>
      <c r="K488" s="131">
        <v>3470.3333333333335</v>
      </c>
      <c r="L488" s="309">
        <v>1035</v>
      </c>
      <c r="W488" s="309"/>
    </row>
    <row r="489" spans="1:23" x14ac:dyDescent="0.2">
      <c r="A489" s="131"/>
      <c r="B489" s="313">
        <v>44958</v>
      </c>
      <c r="C489" s="131">
        <v>943</v>
      </c>
      <c r="D489" s="131">
        <v>25780</v>
      </c>
      <c r="E489" s="314">
        <v>27.338282078472957</v>
      </c>
      <c r="F489" s="131">
        <v>85.228837470907692</v>
      </c>
      <c r="G489" s="131">
        <v>1</v>
      </c>
      <c r="H489" s="315">
        <v>2330.0100000000002</v>
      </c>
      <c r="I489" s="131" t="s">
        <v>720</v>
      </c>
      <c r="J489" s="309" t="s">
        <v>722</v>
      </c>
      <c r="K489" s="131">
        <v>943</v>
      </c>
      <c r="L489" s="309">
        <v>566.98924260000013</v>
      </c>
      <c r="W489" s="309"/>
    </row>
    <row r="490" spans="1:23" x14ac:dyDescent="0.2">
      <c r="A490" s="131" t="s">
        <v>1098</v>
      </c>
      <c r="B490" s="311"/>
      <c r="C490" s="131">
        <v>21191</v>
      </c>
      <c r="D490" s="131">
        <v>434190.5</v>
      </c>
      <c r="E490" s="314">
        <v>20.489382284932283</v>
      </c>
      <c r="F490" s="131">
        <v>1316.5365175424147</v>
      </c>
      <c r="G490" s="131">
        <v>10</v>
      </c>
      <c r="H490" s="315">
        <v>26975.019999999993</v>
      </c>
      <c r="I490" s="131" t="s">
        <v>720</v>
      </c>
      <c r="J490" s="309" t="s">
        <v>722</v>
      </c>
      <c r="K490" s="131">
        <v>21186.333333333332</v>
      </c>
      <c r="L490" s="309">
        <v>5115.9892426000006</v>
      </c>
      <c r="W490" s="309"/>
    </row>
    <row r="491" spans="1:23" x14ac:dyDescent="0.2">
      <c r="A491" s="131" t="s">
        <v>124</v>
      </c>
      <c r="B491" s="313">
        <v>44743</v>
      </c>
      <c r="C491" s="309">
        <v>14983</v>
      </c>
      <c r="D491" s="131">
        <v>149830</v>
      </c>
      <c r="E491" s="314">
        <v>10</v>
      </c>
      <c r="F491" s="131">
        <v>-10</v>
      </c>
      <c r="G491" s="131">
        <v>1</v>
      </c>
      <c r="H491" s="315">
        <v>-100</v>
      </c>
      <c r="I491" s="131" t="s">
        <v>841</v>
      </c>
      <c r="J491" s="309" t="s">
        <v>722</v>
      </c>
      <c r="K491" s="131">
        <v>4994.333333333333</v>
      </c>
      <c r="L491" s="309">
        <v>-12</v>
      </c>
      <c r="W491" s="309"/>
    </row>
    <row r="492" spans="1:23" x14ac:dyDescent="0.2">
      <c r="A492" s="131"/>
      <c r="B492" s="313">
        <v>44774</v>
      </c>
      <c r="C492" s="309">
        <v>18003</v>
      </c>
      <c r="D492" s="131">
        <v>390670</v>
      </c>
      <c r="E492" s="314">
        <v>21.700272176859411</v>
      </c>
      <c r="F492" s="131">
        <v>465.52411498195414</v>
      </c>
      <c r="G492" s="131">
        <v>1</v>
      </c>
      <c r="H492" s="315">
        <v>10102</v>
      </c>
      <c r="I492" s="131" t="s">
        <v>841</v>
      </c>
      <c r="J492" s="309" t="s">
        <v>722</v>
      </c>
      <c r="K492" s="131">
        <v>6001.0000000000009</v>
      </c>
      <c r="L492" s="309">
        <v>1212.24</v>
      </c>
      <c r="W492" s="309"/>
    </row>
    <row r="493" spans="1:23" x14ac:dyDescent="0.2">
      <c r="A493" s="131"/>
      <c r="B493" s="313">
        <v>44805</v>
      </c>
      <c r="C493" s="309">
        <v>20591</v>
      </c>
      <c r="D493" s="131">
        <v>526945</v>
      </c>
      <c r="E493" s="314">
        <v>25.59103491816813</v>
      </c>
      <c r="F493" s="131">
        <v>-73.893064741102023</v>
      </c>
      <c r="G493" s="131">
        <v>1</v>
      </c>
      <c r="H493" s="315">
        <v>-1891</v>
      </c>
      <c r="I493" s="131" t="s">
        <v>841</v>
      </c>
      <c r="J493" s="309" t="s">
        <v>722</v>
      </c>
      <c r="K493" s="131">
        <v>6863.666666666667</v>
      </c>
      <c r="L493" s="309">
        <v>-434.93</v>
      </c>
      <c r="W493" s="309"/>
    </row>
    <row r="494" spans="1:23" x14ac:dyDescent="0.2">
      <c r="A494" s="131"/>
      <c r="B494" s="313">
        <v>44835</v>
      </c>
      <c r="C494" s="131">
        <v>16078</v>
      </c>
      <c r="D494" s="131">
        <v>317620</v>
      </c>
      <c r="E494" s="314">
        <v>19.754944644856327</v>
      </c>
      <c r="F494" s="131">
        <v>37.81331780114602</v>
      </c>
      <c r="G494" s="131">
        <v>1</v>
      </c>
      <c r="H494" s="315">
        <v>747</v>
      </c>
      <c r="I494" s="131" t="s">
        <v>841</v>
      </c>
      <c r="J494" s="309" t="s">
        <v>722</v>
      </c>
      <c r="K494" s="131">
        <v>5359.3333333333339</v>
      </c>
      <c r="L494" s="309">
        <v>171.81000000000003</v>
      </c>
      <c r="W494" s="309"/>
    </row>
    <row r="495" spans="1:23" x14ac:dyDescent="0.2">
      <c r="A495" s="131"/>
      <c r="B495" s="313">
        <v>44866</v>
      </c>
      <c r="C495" s="309">
        <v>11524</v>
      </c>
      <c r="D495" s="131">
        <v>160775</v>
      </c>
      <c r="E495" s="314">
        <v>13.951318986463034</v>
      </c>
      <c r="F495" s="131">
        <v>353.0132172290468</v>
      </c>
      <c r="G495" s="131">
        <v>1</v>
      </c>
      <c r="H495" s="315">
        <v>4925</v>
      </c>
      <c r="I495" s="131" t="s">
        <v>841</v>
      </c>
      <c r="J495" s="309" t="s">
        <v>722</v>
      </c>
      <c r="K495" s="131">
        <v>3841.3333333333335</v>
      </c>
      <c r="L495" s="309">
        <v>1132.75</v>
      </c>
      <c r="W495" s="309"/>
    </row>
    <row r="496" spans="1:23" x14ac:dyDescent="0.2">
      <c r="A496" s="131"/>
      <c r="B496" s="313">
        <v>44896</v>
      </c>
      <c r="C496" s="131">
        <v>20575</v>
      </c>
      <c r="D496" s="131">
        <v>218605</v>
      </c>
      <c r="E496" s="314">
        <v>10.624787363304982</v>
      </c>
      <c r="F496" s="131">
        <v>-165.17977630886759</v>
      </c>
      <c r="G496" s="131">
        <v>1</v>
      </c>
      <c r="H496" s="315">
        <v>-1755</v>
      </c>
      <c r="I496" s="131" t="s">
        <v>841</v>
      </c>
      <c r="J496" s="309" t="s">
        <v>722</v>
      </c>
      <c r="K496" s="131">
        <v>6858.3333333333339</v>
      </c>
      <c r="L496" s="309">
        <v>-403.65</v>
      </c>
      <c r="W496" s="309"/>
    </row>
    <row r="497" spans="1:23" x14ac:dyDescent="0.2">
      <c r="A497" s="131"/>
      <c r="B497" s="313">
        <v>44927</v>
      </c>
      <c r="C497" s="131">
        <v>23886</v>
      </c>
      <c r="D497" s="131">
        <v>315511</v>
      </c>
      <c r="E497" s="314">
        <v>13.209034580926065</v>
      </c>
      <c r="F497" s="131">
        <v>317.50995686362756</v>
      </c>
      <c r="G497" s="131">
        <v>1</v>
      </c>
      <c r="H497" s="315">
        <v>4194</v>
      </c>
      <c r="I497" s="131" t="s">
        <v>841</v>
      </c>
      <c r="J497" s="309" t="s">
        <v>722</v>
      </c>
      <c r="K497" s="131">
        <v>7962</v>
      </c>
      <c r="L497" s="309">
        <v>964.62</v>
      </c>
      <c r="W497" s="309"/>
    </row>
    <row r="498" spans="1:23" x14ac:dyDescent="0.2">
      <c r="A498" s="131"/>
      <c r="B498" s="313">
        <v>44958</v>
      </c>
      <c r="C498" s="131">
        <v>11259</v>
      </c>
      <c r="D498" s="131">
        <v>229860</v>
      </c>
      <c r="E498" s="314">
        <v>20.415667466027177</v>
      </c>
      <c r="F498" s="131">
        <v>102.27439310884887</v>
      </c>
      <c r="G498" s="131">
        <v>1</v>
      </c>
      <c r="H498" s="315">
        <v>2088</v>
      </c>
      <c r="I498" s="131" t="s">
        <v>841</v>
      </c>
      <c r="J498" s="309" t="s">
        <v>722</v>
      </c>
      <c r="K498" s="131">
        <v>3753</v>
      </c>
      <c r="L498" s="309">
        <v>354.96000000000004</v>
      </c>
      <c r="W498" s="309"/>
    </row>
    <row r="499" spans="1:23" x14ac:dyDescent="0.2">
      <c r="A499" s="131"/>
      <c r="B499" s="313">
        <v>44986</v>
      </c>
      <c r="C499" s="131">
        <v>2878</v>
      </c>
      <c r="D499" s="131">
        <v>25375</v>
      </c>
      <c r="E499" s="314">
        <v>8.8168867268936761</v>
      </c>
      <c r="F499" s="131">
        <v>57.27645320197044</v>
      </c>
      <c r="G499" s="131">
        <v>1</v>
      </c>
      <c r="H499" s="315">
        <v>505</v>
      </c>
      <c r="I499" s="131" t="s">
        <v>841</v>
      </c>
      <c r="J499" s="309" t="s">
        <v>722</v>
      </c>
      <c r="K499" s="131">
        <v>1493.9999999999998</v>
      </c>
      <c r="L499" s="309">
        <v>116.15</v>
      </c>
      <c r="W499" s="309"/>
    </row>
    <row r="500" spans="1:23" x14ac:dyDescent="0.2">
      <c r="A500" s="131" t="s">
        <v>1066</v>
      </c>
      <c r="B500" s="311"/>
      <c r="C500" s="309">
        <v>139777</v>
      </c>
      <c r="D500" s="131">
        <v>2335191</v>
      </c>
      <c r="E500" s="314">
        <v>16.706546856779013</v>
      </c>
      <c r="F500" s="131">
        <v>1126.2052033431098</v>
      </c>
      <c r="G500" s="131">
        <v>9</v>
      </c>
      <c r="H500" s="315">
        <v>18815</v>
      </c>
      <c r="I500" s="131" t="s">
        <v>841</v>
      </c>
      <c r="J500" s="309" t="s">
        <v>722</v>
      </c>
      <c r="K500" s="131">
        <v>47127</v>
      </c>
      <c r="L500" s="309">
        <v>3101.9500000000003</v>
      </c>
      <c r="W500" s="309"/>
    </row>
    <row r="501" spans="1:23" x14ac:dyDescent="0.2">
      <c r="A501" s="131" t="s">
        <v>114</v>
      </c>
      <c r="B501" s="313">
        <v>44805</v>
      </c>
      <c r="C501" s="131">
        <v>4245</v>
      </c>
      <c r="D501" s="131">
        <v>34500.5</v>
      </c>
      <c r="E501" s="314">
        <v>8.1273262661955243</v>
      </c>
      <c r="F501" s="131">
        <v>-50.077969884494429</v>
      </c>
      <c r="G501" s="131">
        <v>1</v>
      </c>
      <c r="H501" s="315">
        <v>-407</v>
      </c>
      <c r="I501" s="131" t="s">
        <v>720</v>
      </c>
      <c r="J501" s="309" t="s">
        <v>722</v>
      </c>
      <c r="K501" s="131">
        <v>2114.333333333333</v>
      </c>
      <c r="L501" s="309">
        <v>-122.1</v>
      </c>
      <c r="W501" s="309"/>
    </row>
    <row r="502" spans="1:23" x14ac:dyDescent="0.2">
      <c r="A502" s="131"/>
      <c r="B502" s="313">
        <v>44835</v>
      </c>
      <c r="C502" s="131">
        <v>3971</v>
      </c>
      <c r="D502" s="131">
        <v>32345</v>
      </c>
      <c r="E502" s="314">
        <v>8.1453034500125909</v>
      </c>
      <c r="F502" s="131">
        <v>120.19196166331737</v>
      </c>
      <c r="G502" s="131">
        <v>1</v>
      </c>
      <c r="H502" s="315">
        <v>979</v>
      </c>
      <c r="I502" s="131" t="s">
        <v>720</v>
      </c>
      <c r="J502" s="309" t="s">
        <v>722</v>
      </c>
      <c r="K502" s="131">
        <v>1539.6666666666665</v>
      </c>
      <c r="L502" s="309">
        <v>293.7</v>
      </c>
      <c r="W502" s="309"/>
    </row>
    <row r="503" spans="1:23" x14ac:dyDescent="0.2">
      <c r="A503" s="131"/>
      <c r="B503" s="313">
        <v>44866</v>
      </c>
      <c r="C503" s="309">
        <v>4154</v>
      </c>
      <c r="D503" s="131">
        <v>41319</v>
      </c>
      <c r="E503" s="314">
        <v>9.9467982667308625</v>
      </c>
      <c r="F503" s="131">
        <v>27.446017570609161</v>
      </c>
      <c r="G503" s="131">
        <v>1</v>
      </c>
      <c r="H503" s="315">
        <v>273</v>
      </c>
      <c r="I503" s="131" t="s">
        <v>720</v>
      </c>
      <c r="J503" s="309" t="s">
        <v>722</v>
      </c>
      <c r="K503" s="131">
        <v>1862.6666666666665</v>
      </c>
      <c r="L503" s="309">
        <v>81.900000000000006</v>
      </c>
      <c r="W503" s="309"/>
    </row>
    <row r="504" spans="1:23" x14ac:dyDescent="0.2">
      <c r="A504" s="131"/>
      <c r="B504" s="313">
        <v>44896</v>
      </c>
      <c r="C504" s="309">
        <v>2183</v>
      </c>
      <c r="D504" s="131">
        <v>21830</v>
      </c>
      <c r="E504" s="314">
        <v>10</v>
      </c>
      <c r="F504" s="131">
        <v>53.4</v>
      </c>
      <c r="G504" s="131">
        <v>1</v>
      </c>
      <c r="H504" s="315">
        <v>534</v>
      </c>
      <c r="I504" s="131" t="s">
        <v>720</v>
      </c>
      <c r="J504" s="309" t="s">
        <v>722</v>
      </c>
      <c r="K504" s="131">
        <v>727.66666666666663</v>
      </c>
      <c r="L504" s="309">
        <v>160.19999999999999</v>
      </c>
      <c r="W504" s="309"/>
    </row>
    <row r="505" spans="1:23" x14ac:dyDescent="0.2">
      <c r="A505" s="131"/>
      <c r="B505" s="313">
        <v>44927</v>
      </c>
      <c r="C505" s="309">
        <v>2060</v>
      </c>
      <c r="D505" s="131">
        <v>19150.5</v>
      </c>
      <c r="E505" s="314">
        <v>9.2963592233009713</v>
      </c>
      <c r="F505" s="131">
        <v>-41.521631289000283</v>
      </c>
      <c r="G505" s="131">
        <v>1</v>
      </c>
      <c r="H505" s="315">
        <v>-386</v>
      </c>
      <c r="I505" s="131" t="s">
        <v>720</v>
      </c>
      <c r="J505" s="309" t="s">
        <v>722</v>
      </c>
      <c r="K505" s="131">
        <v>1124</v>
      </c>
      <c r="L505" s="309">
        <v>-88.78</v>
      </c>
      <c r="W505" s="309"/>
    </row>
    <row r="506" spans="1:23" x14ac:dyDescent="0.2">
      <c r="A506" s="131"/>
      <c r="B506" s="313">
        <v>44958</v>
      </c>
      <c r="C506" s="131">
        <v>6585</v>
      </c>
      <c r="D506" s="131">
        <v>54690</v>
      </c>
      <c r="E506" s="314">
        <v>8.3052391799544427</v>
      </c>
      <c r="F506" s="131">
        <v>43.586944596818427</v>
      </c>
      <c r="G506" s="131">
        <v>1</v>
      </c>
      <c r="H506" s="315">
        <v>362</v>
      </c>
      <c r="I506" s="131" t="s">
        <v>720</v>
      </c>
      <c r="J506" s="309" t="s">
        <v>722</v>
      </c>
      <c r="K506" s="131">
        <v>2635.666666666667</v>
      </c>
      <c r="L506" s="309">
        <v>83.26</v>
      </c>
      <c r="W506" s="309"/>
    </row>
    <row r="507" spans="1:23" x14ac:dyDescent="0.2">
      <c r="A507" s="131"/>
      <c r="B507" s="313">
        <v>44986</v>
      </c>
      <c r="C507" s="131">
        <v>3707</v>
      </c>
      <c r="D507" s="131">
        <v>35698</v>
      </c>
      <c r="E507" s="314">
        <v>9.6298893984353917</v>
      </c>
      <c r="F507" s="131">
        <v>215.68264328533814</v>
      </c>
      <c r="G507" s="131">
        <v>1</v>
      </c>
      <c r="H507" s="315">
        <v>2077</v>
      </c>
      <c r="I507" s="131" t="s">
        <v>720</v>
      </c>
      <c r="J507" s="309" t="s">
        <v>722</v>
      </c>
      <c r="K507" s="131">
        <v>2405</v>
      </c>
      <c r="L507" s="309">
        <v>477.71000000000004</v>
      </c>
      <c r="W507" s="309"/>
    </row>
    <row r="508" spans="1:23" x14ac:dyDescent="0.2">
      <c r="A508" s="131" t="s">
        <v>1099</v>
      </c>
      <c r="B508" s="311"/>
      <c r="C508" s="131">
        <v>26905</v>
      </c>
      <c r="D508" s="131">
        <v>239533</v>
      </c>
      <c r="E508" s="314">
        <v>8.902917673294926</v>
      </c>
      <c r="F508" s="131">
        <v>385.49160240968888</v>
      </c>
      <c r="G508" s="131">
        <v>7</v>
      </c>
      <c r="H508" s="315">
        <v>3432</v>
      </c>
      <c r="I508" s="131" t="s">
        <v>720</v>
      </c>
      <c r="J508" s="309" t="s">
        <v>722</v>
      </c>
      <c r="K508" s="131">
        <v>12408.999999999998</v>
      </c>
      <c r="L508" s="309">
        <v>885.8900000000001</v>
      </c>
      <c r="W508" s="309"/>
    </row>
    <row r="509" spans="1:23" x14ac:dyDescent="0.2">
      <c r="A509" s="131" t="s">
        <v>98</v>
      </c>
      <c r="B509" s="313">
        <v>44501</v>
      </c>
      <c r="C509" s="131">
        <v>2230</v>
      </c>
      <c r="D509" s="131">
        <v>47560</v>
      </c>
      <c r="E509" s="314">
        <v>21.327354260089685</v>
      </c>
      <c r="F509" s="131">
        <v>31.649495374264088</v>
      </c>
      <c r="G509" s="131">
        <v>1</v>
      </c>
      <c r="H509" s="315">
        <v>675</v>
      </c>
      <c r="I509" s="131" t="s">
        <v>795</v>
      </c>
      <c r="J509" s="309" t="s">
        <v>722</v>
      </c>
      <c r="K509" s="131">
        <v>754.66666666666663</v>
      </c>
      <c r="L509" s="309">
        <v>168.75</v>
      </c>
      <c r="W509" s="309"/>
    </row>
    <row r="510" spans="1:23" x14ac:dyDescent="0.2">
      <c r="A510" s="131"/>
      <c r="B510" s="313">
        <v>44531</v>
      </c>
      <c r="C510" s="131">
        <v>3086</v>
      </c>
      <c r="D510" s="131">
        <v>66740</v>
      </c>
      <c r="E510" s="314">
        <v>21.626701231367466</v>
      </c>
      <c r="F510" s="131">
        <v>29.593047647587653</v>
      </c>
      <c r="G510" s="131">
        <v>1</v>
      </c>
      <c r="H510" s="315">
        <v>640</v>
      </c>
      <c r="I510" s="131" t="s">
        <v>795</v>
      </c>
      <c r="J510" s="309" t="s">
        <v>722</v>
      </c>
      <c r="K510" s="131">
        <v>1028.6666666666667</v>
      </c>
      <c r="L510" s="309">
        <v>160</v>
      </c>
      <c r="W510" s="309"/>
    </row>
    <row r="511" spans="1:23" x14ac:dyDescent="0.2">
      <c r="A511" s="131"/>
      <c r="B511" s="313">
        <v>44562</v>
      </c>
      <c r="C511" s="131">
        <v>2349</v>
      </c>
      <c r="D511" s="131">
        <v>43640</v>
      </c>
      <c r="E511" s="314">
        <v>18.578118348233289</v>
      </c>
      <c r="F511" s="131">
        <v>19.969729605866178</v>
      </c>
      <c r="G511" s="131">
        <v>1</v>
      </c>
      <c r="H511" s="315">
        <v>371</v>
      </c>
      <c r="I511" s="131" t="s">
        <v>795</v>
      </c>
      <c r="J511" s="309" t="s">
        <v>722</v>
      </c>
      <c r="K511" s="131">
        <v>783.00000000000011</v>
      </c>
      <c r="L511" s="309">
        <v>92.75</v>
      </c>
      <c r="W511" s="309"/>
    </row>
    <row r="512" spans="1:23" x14ac:dyDescent="0.2">
      <c r="A512" s="131"/>
      <c r="B512" s="313">
        <v>44593</v>
      </c>
      <c r="C512" s="131">
        <v>5341</v>
      </c>
      <c r="D512" s="131">
        <v>133435</v>
      </c>
      <c r="E512" s="314">
        <v>24.983149222991948</v>
      </c>
      <c r="F512" s="131">
        <v>74.810424551279652</v>
      </c>
      <c r="G512" s="131">
        <v>1</v>
      </c>
      <c r="H512" s="315">
        <v>1869</v>
      </c>
      <c r="I512" s="131" t="s">
        <v>795</v>
      </c>
      <c r="J512" s="309" t="s">
        <v>722</v>
      </c>
      <c r="K512" s="131">
        <v>1780.3333333333333</v>
      </c>
      <c r="L512" s="309">
        <v>467.25</v>
      </c>
      <c r="W512" s="309"/>
    </row>
    <row r="513" spans="1:23" x14ac:dyDescent="0.2">
      <c r="A513" s="131"/>
      <c r="B513" s="313">
        <v>44621</v>
      </c>
      <c r="C513" s="131">
        <v>518</v>
      </c>
      <c r="D513" s="131">
        <v>12950</v>
      </c>
      <c r="E513" s="314">
        <v>25</v>
      </c>
      <c r="F513" s="131">
        <v>15</v>
      </c>
      <c r="G513" s="131">
        <v>1</v>
      </c>
      <c r="H513" s="315">
        <v>375</v>
      </c>
      <c r="I513" s="131" t="s">
        <v>795</v>
      </c>
      <c r="J513" s="309" t="s">
        <v>722</v>
      </c>
      <c r="K513" s="131">
        <v>172.66666666666666</v>
      </c>
      <c r="L513" s="309">
        <v>131.25</v>
      </c>
      <c r="W513" s="309"/>
    </row>
    <row r="514" spans="1:23" x14ac:dyDescent="0.2">
      <c r="A514" s="131"/>
      <c r="B514" s="313">
        <v>44652</v>
      </c>
      <c r="C514" s="131">
        <v>2435</v>
      </c>
      <c r="D514" s="131">
        <v>99820</v>
      </c>
      <c r="E514" s="314">
        <v>40.993839835728956</v>
      </c>
      <c r="F514" s="131">
        <v>-117.96894409937887</v>
      </c>
      <c r="G514" s="131">
        <v>1</v>
      </c>
      <c r="H514" s="315">
        <v>-4836</v>
      </c>
      <c r="I514" s="131" t="s">
        <v>795</v>
      </c>
      <c r="J514" s="309" t="s">
        <v>722</v>
      </c>
      <c r="K514" s="131">
        <v>2310.3333333333335</v>
      </c>
      <c r="L514" s="309">
        <v>-1290.4000000000001</v>
      </c>
      <c r="W514" s="309"/>
    </row>
    <row r="515" spans="1:23" x14ac:dyDescent="0.2">
      <c r="A515" s="131"/>
      <c r="B515" s="313">
        <v>44682</v>
      </c>
      <c r="C515" s="131">
        <v>5092</v>
      </c>
      <c r="D515" s="131">
        <v>203850</v>
      </c>
      <c r="E515" s="314">
        <v>40.03338570306363</v>
      </c>
      <c r="F515" s="131">
        <v>-104.41285258768703</v>
      </c>
      <c r="G515" s="131">
        <v>1</v>
      </c>
      <c r="H515" s="315">
        <v>-4180</v>
      </c>
      <c r="I515" s="131" t="s">
        <v>795</v>
      </c>
      <c r="J515" s="309" t="s">
        <v>722</v>
      </c>
      <c r="K515" s="131">
        <v>5024.666666666667</v>
      </c>
      <c r="L515" s="309">
        <v>-1203.6025</v>
      </c>
      <c r="W515" s="309"/>
    </row>
    <row r="516" spans="1:23" x14ac:dyDescent="0.2">
      <c r="A516" s="131"/>
      <c r="B516" s="313">
        <v>44713</v>
      </c>
      <c r="C516" s="131">
        <v>401</v>
      </c>
      <c r="D516" s="131">
        <v>20050</v>
      </c>
      <c r="E516" s="314">
        <v>50</v>
      </c>
      <c r="F516" s="131">
        <v>-12</v>
      </c>
      <c r="G516" s="131">
        <v>1</v>
      </c>
      <c r="H516" s="315">
        <v>-600</v>
      </c>
      <c r="I516" s="131" t="s">
        <v>795</v>
      </c>
      <c r="J516" s="309" t="s">
        <v>722</v>
      </c>
      <c r="K516" s="131">
        <v>401</v>
      </c>
      <c r="L516" s="309">
        <v>-155.64374999999995</v>
      </c>
      <c r="W516" s="309"/>
    </row>
    <row r="517" spans="1:23" x14ac:dyDescent="0.2">
      <c r="A517" s="131"/>
      <c r="B517" s="313">
        <v>44743</v>
      </c>
      <c r="C517" s="131">
        <v>7436</v>
      </c>
      <c r="D517" s="131">
        <v>266752</v>
      </c>
      <c r="E517" s="314">
        <v>35.87305002689618</v>
      </c>
      <c r="F517" s="131">
        <v>185.9055752159309</v>
      </c>
      <c r="G517" s="131">
        <v>1</v>
      </c>
      <c r="H517" s="315">
        <v>6669</v>
      </c>
      <c r="I517" s="131" t="s">
        <v>795</v>
      </c>
      <c r="J517" s="309" t="s">
        <v>722</v>
      </c>
      <c r="K517" s="131">
        <v>2479.3333333333335</v>
      </c>
      <c r="L517" s="309">
        <v>1667.25</v>
      </c>
      <c r="W517" s="309"/>
    </row>
    <row r="518" spans="1:23" x14ac:dyDescent="0.2">
      <c r="A518" s="131"/>
      <c r="B518" s="313">
        <v>44774</v>
      </c>
      <c r="C518" s="131">
        <v>5845</v>
      </c>
      <c r="D518" s="131">
        <v>302501.25</v>
      </c>
      <c r="E518" s="314">
        <v>51.753849443969202</v>
      </c>
      <c r="F518" s="131">
        <v>177.70658798930583</v>
      </c>
      <c r="G518" s="131">
        <v>1</v>
      </c>
      <c r="H518" s="315">
        <v>9197</v>
      </c>
      <c r="I518" s="131" t="s">
        <v>795</v>
      </c>
      <c r="J518" s="309" t="s">
        <v>722</v>
      </c>
      <c r="K518" s="131">
        <v>1948.3333333333335</v>
      </c>
      <c r="L518" s="309">
        <v>2299.25</v>
      </c>
      <c r="W518" s="309"/>
    </row>
    <row r="519" spans="1:23" x14ac:dyDescent="0.2">
      <c r="A519" s="131"/>
      <c r="B519" s="313">
        <v>44805</v>
      </c>
      <c r="C519" s="131">
        <v>6151</v>
      </c>
      <c r="D519" s="131">
        <v>291054.5</v>
      </c>
      <c r="E519" s="314">
        <v>47.318240936433099</v>
      </c>
      <c r="F519" s="131">
        <v>41.590726135483216</v>
      </c>
      <c r="G519" s="131">
        <v>1</v>
      </c>
      <c r="H519" s="315">
        <v>1968</v>
      </c>
      <c r="I519" s="131" t="s">
        <v>795</v>
      </c>
      <c r="J519" s="309" t="s">
        <v>722</v>
      </c>
      <c r="K519" s="131">
        <v>2051</v>
      </c>
      <c r="L519" s="309">
        <v>688.79999999999984</v>
      </c>
      <c r="W519" s="309"/>
    </row>
    <row r="520" spans="1:23" x14ac:dyDescent="0.2">
      <c r="A520" s="131"/>
      <c r="B520" s="313">
        <v>44835</v>
      </c>
      <c r="C520" s="131">
        <v>5975</v>
      </c>
      <c r="D520" s="131">
        <v>294075</v>
      </c>
      <c r="E520" s="314">
        <v>49.21757322175732</v>
      </c>
      <c r="F520" s="131">
        <v>-7.3754144350930888</v>
      </c>
      <c r="G520" s="131">
        <v>1</v>
      </c>
      <c r="H520" s="315">
        <v>-363</v>
      </c>
      <c r="I520" s="131" t="s">
        <v>795</v>
      </c>
      <c r="J520" s="309" t="s">
        <v>722</v>
      </c>
      <c r="K520" s="131">
        <v>1993</v>
      </c>
      <c r="L520" s="309">
        <v>-61.70999999999998</v>
      </c>
      <c r="W520" s="309"/>
    </row>
    <row r="521" spans="1:23" x14ac:dyDescent="0.2">
      <c r="A521" s="131"/>
      <c r="B521" s="313">
        <v>44866</v>
      </c>
      <c r="C521" s="131">
        <v>11677</v>
      </c>
      <c r="D521" s="131">
        <v>563805</v>
      </c>
      <c r="E521" s="314">
        <v>48.283377579857842</v>
      </c>
      <c r="F521" s="131">
        <v>86.01303819583012</v>
      </c>
      <c r="G521" s="131">
        <v>1</v>
      </c>
      <c r="H521" s="315">
        <v>4153</v>
      </c>
      <c r="I521" s="131" t="s">
        <v>795</v>
      </c>
      <c r="J521" s="309" t="s">
        <v>722</v>
      </c>
      <c r="K521" s="131">
        <v>3892.333333333333</v>
      </c>
      <c r="L521" s="309">
        <v>706.01</v>
      </c>
      <c r="W521" s="309"/>
    </row>
    <row r="522" spans="1:23" x14ac:dyDescent="0.2">
      <c r="A522" s="131"/>
      <c r="B522" s="313">
        <v>44896</v>
      </c>
      <c r="C522" s="131">
        <v>5492</v>
      </c>
      <c r="D522" s="131">
        <v>263160</v>
      </c>
      <c r="E522" s="314">
        <v>47.9169701383831</v>
      </c>
      <c r="F522" s="131">
        <v>-85.105547955616359</v>
      </c>
      <c r="G522" s="131">
        <v>1</v>
      </c>
      <c r="H522" s="315">
        <v>-4078</v>
      </c>
      <c r="I522" s="131" t="s">
        <v>795</v>
      </c>
      <c r="J522" s="309" t="s">
        <v>722</v>
      </c>
      <c r="K522" s="131">
        <v>1834.6666666666667</v>
      </c>
      <c r="L522" s="309">
        <v>-1019.5</v>
      </c>
      <c r="W522" s="309"/>
    </row>
    <row r="523" spans="1:23" x14ac:dyDescent="0.2">
      <c r="A523" s="131"/>
      <c r="B523" s="313">
        <v>44927</v>
      </c>
      <c r="C523" s="131">
        <v>6246</v>
      </c>
      <c r="D523" s="131">
        <v>277525</v>
      </c>
      <c r="E523" s="314">
        <v>44.432436759526098</v>
      </c>
      <c r="F523" s="131">
        <v>169.83088370417079</v>
      </c>
      <c r="G523" s="131">
        <v>1</v>
      </c>
      <c r="H523" s="315">
        <v>7546</v>
      </c>
      <c r="I523" s="131" t="s">
        <v>795</v>
      </c>
      <c r="J523" s="309" t="s">
        <v>722</v>
      </c>
      <c r="K523" s="131">
        <v>2083.666666666667</v>
      </c>
      <c r="L523" s="309">
        <v>1868.5</v>
      </c>
      <c r="W523" s="309"/>
    </row>
    <row r="524" spans="1:23" x14ac:dyDescent="0.2">
      <c r="A524" s="131"/>
      <c r="B524" s="313">
        <v>44958</v>
      </c>
      <c r="C524" s="131">
        <v>403</v>
      </c>
      <c r="D524" s="131">
        <v>10075</v>
      </c>
      <c r="E524" s="314">
        <v>25</v>
      </c>
      <c r="F524" s="131">
        <v>-5.82</v>
      </c>
      <c r="G524" s="131">
        <v>1</v>
      </c>
      <c r="H524" s="315">
        <v>-145.5</v>
      </c>
      <c r="I524" s="131" t="s">
        <v>795</v>
      </c>
      <c r="J524" s="309" t="s">
        <v>722</v>
      </c>
      <c r="K524" s="131">
        <v>201.5</v>
      </c>
      <c r="L524" s="309">
        <v>-54.067072500000002</v>
      </c>
      <c r="W524" s="309"/>
    </row>
    <row r="525" spans="1:23" x14ac:dyDescent="0.2">
      <c r="A525" s="131" t="s">
        <v>1067</v>
      </c>
      <c r="B525" s="311"/>
      <c r="C525" s="131">
        <v>70677</v>
      </c>
      <c r="D525" s="131">
        <v>2896992.75</v>
      </c>
      <c r="E525" s="314">
        <v>40.989186722696211</v>
      </c>
      <c r="F525" s="131">
        <v>469.89222133883487</v>
      </c>
      <c r="G525" s="131">
        <v>16</v>
      </c>
      <c r="H525" s="315">
        <v>19260.5</v>
      </c>
      <c r="I525" s="131" t="s">
        <v>795</v>
      </c>
      <c r="J525" s="309" t="s">
        <v>722</v>
      </c>
      <c r="K525" s="131">
        <v>28739.166666666675</v>
      </c>
      <c r="L525" s="309">
        <v>4464.8866774999988</v>
      </c>
      <c r="W525" s="309"/>
    </row>
    <row r="526" spans="1:23" x14ac:dyDescent="0.2">
      <c r="A526" s="131" t="s">
        <v>600</v>
      </c>
      <c r="B526" s="313">
        <v>44774</v>
      </c>
      <c r="C526" s="309">
        <v>13488</v>
      </c>
      <c r="D526" s="131">
        <v>674400</v>
      </c>
      <c r="E526" s="314">
        <v>50</v>
      </c>
      <c r="F526" s="131">
        <v>-4.88</v>
      </c>
      <c r="G526" s="131">
        <v>1</v>
      </c>
      <c r="H526" s="315">
        <v>-244</v>
      </c>
      <c r="I526" s="131" t="s">
        <v>848</v>
      </c>
      <c r="J526" s="309" t="s">
        <v>722</v>
      </c>
      <c r="K526" s="131">
        <v>4496</v>
      </c>
      <c r="L526" s="309">
        <v>-73.2</v>
      </c>
      <c r="W526" s="309"/>
    </row>
    <row r="527" spans="1:23" x14ac:dyDescent="0.2">
      <c r="A527" s="131"/>
      <c r="B527" s="313">
        <v>44805</v>
      </c>
      <c r="C527" s="309">
        <v>2532</v>
      </c>
      <c r="D527" s="131">
        <v>126600</v>
      </c>
      <c r="E527" s="314">
        <v>50</v>
      </c>
      <c r="F527" s="131">
        <v>-75.239999999999995</v>
      </c>
      <c r="G527" s="131">
        <v>1</v>
      </c>
      <c r="H527" s="315">
        <v>-3762</v>
      </c>
      <c r="I527" s="131" t="s">
        <v>848</v>
      </c>
      <c r="J527" s="309" t="s">
        <v>722</v>
      </c>
      <c r="K527" s="131">
        <v>844</v>
      </c>
      <c r="L527" s="309">
        <v>-1128.5999999999999</v>
      </c>
      <c r="W527" s="309"/>
    </row>
    <row r="528" spans="1:23" x14ac:dyDescent="0.2">
      <c r="A528" s="131"/>
      <c r="B528" s="313">
        <v>44835</v>
      </c>
      <c r="C528" s="309">
        <v>9428</v>
      </c>
      <c r="D528" s="131">
        <v>188560</v>
      </c>
      <c r="E528" s="314">
        <v>20</v>
      </c>
      <c r="F528" s="131">
        <v>549.9</v>
      </c>
      <c r="G528" s="131">
        <v>1</v>
      </c>
      <c r="H528" s="315">
        <v>10998</v>
      </c>
      <c r="I528" s="131" t="s">
        <v>848</v>
      </c>
      <c r="J528" s="309" t="s">
        <v>722</v>
      </c>
      <c r="K528" s="131">
        <v>9428</v>
      </c>
      <c r="L528" s="309">
        <v>3299.3999999999996</v>
      </c>
      <c r="W528" s="309"/>
    </row>
    <row r="529" spans="1:23" x14ac:dyDescent="0.2">
      <c r="A529" s="131"/>
      <c r="B529" s="313">
        <v>44866</v>
      </c>
      <c r="C529" s="309">
        <v>12388</v>
      </c>
      <c r="D529" s="131">
        <v>247760</v>
      </c>
      <c r="E529" s="314">
        <v>20</v>
      </c>
      <c r="F529" s="131">
        <v>672</v>
      </c>
      <c r="G529" s="131">
        <v>1</v>
      </c>
      <c r="H529" s="315">
        <v>13440</v>
      </c>
      <c r="I529" s="131" t="s">
        <v>848</v>
      </c>
      <c r="J529" s="309" t="s">
        <v>722</v>
      </c>
      <c r="K529" s="131">
        <v>12388</v>
      </c>
      <c r="L529" s="309">
        <v>1612.8</v>
      </c>
      <c r="W529" s="309"/>
    </row>
    <row r="530" spans="1:23" x14ac:dyDescent="0.2">
      <c r="A530" s="131"/>
      <c r="B530" s="313">
        <v>44896</v>
      </c>
      <c r="C530" s="309">
        <v>13466</v>
      </c>
      <c r="D530" s="131">
        <v>269320</v>
      </c>
      <c r="E530" s="314">
        <v>20</v>
      </c>
      <c r="F530" s="131">
        <v>713.7</v>
      </c>
      <c r="G530" s="131">
        <v>1</v>
      </c>
      <c r="H530" s="315">
        <v>14274</v>
      </c>
      <c r="I530" s="131" t="s">
        <v>848</v>
      </c>
      <c r="J530" s="309" t="s">
        <v>722</v>
      </c>
      <c r="K530" s="131">
        <v>13466</v>
      </c>
      <c r="L530" s="309">
        <v>1712.8799999999999</v>
      </c>
      <c r="W530" s="309"/>
    </row>
    <row r="531" spans="1:23" x14ac:dyDescent="0.2">
      <c r="A531" s="131"/>
      <c r="B531" s="313">
        <v>44958</v>
      </c>
      <c r="C531" s="131">
        <v>6659</v>
      </c>
      <c r="D531" s="131">
        <v>161775</v>
      </c>
      <c r="E531" s="314">
        <v>24.29418831656405</v>
      </c>
      <c r="F531" s="131">
        <v>328.14432390666047</v>
      </c>
      <c r="G531" s="131">
        <v>1</v>
      </c>
      <c r="H531" s="315">
        <v>7972</v>
      </c>
      <c r="I531" s="131" t="s">
        <v>848</v>
      </c>
      <c r="J531" s="309" t="s">
        <v>722</v>
      </c>
      <c r="K531" s="131">
        <v>6496.333333333333</v>
      </c>
      <c r="L531" s="309">
        <v>956.64</v>
      </c>
      <c r="W531" s="309"/>
    </row>
    <row r="532" spans="1:23" x14ac:dyDescent="0.2">
      <c r="A532" s="131" t="s">
        <v>1068</v>
      </c>
      <c r="B532" s="311"/>
      <c r="C532" s="309">
        <v>57961</v>
      </c>
      <c r="D532" s="131">
        <v>1668415</v>
      </c>
      <c r="E532" s="314">
        <v>28.785131381446146</v>
      </c>
      <c r="F532" s="131">
        <v>1482.6404449732231</v>
      </c>
      <c r="G532" s="131">
        <v>6</v>
      </c>
      <c r="H532" s="315">
        <v>42678</v>
      </c>
      <c r="I532" s="131" t="s">
        <v>848</v>
      </c>
      <c r="J532" s="309" t="s">
        <v>722</v>
      </c>
      <c r="K532" s="131">
        <v>47118.333333333336</v>
      </c>
      <c r="L532" s="309">
        <v>6379.9199999999992</v>
      </c>
      <c r="W532" s="309"/>
    </row>
    <row r="533" spans="1:23" x14ac:dyDescent="0.2">
      <c r="A533" s="131" t="s">
        <v>606</v>
      </c>
      <c r="B533" s="313">
        <v>44896</v>
      </c>
      <c r="C533" s="131">
        <v>8000</v>
      </c>
      <c r="D533" s="131">
        <v>80000</v>
      </c>
      <c r="E533" s="314">
        <v>10</v>
      </c>
      <c r="F533" s="131">
        <v>441.4</v>
      </c>
      <c r="G533" s="131">
        <v>1</v>
      </c>
      <c r="H533" s="315">
        <v>4414</v>
      </c>
      <c r="I533" s="131" t="s">
        <v>720</v>
      </c>
      <c r="J533" s="309" t="s">
        <v>722</v>
      </c>
      <c r="K533" s="131">
        <v>4000</v>
      </c>
      <c r="L533" s="309">
        <v>750.38000000000011</v>
      </c>
      <c r="W533" s="309"/>
    </row>
    <row r="534" spans="1:23" x14ac:dyDescent="0.2">
      <c r="A534" s="131"/>
      <c r="B534" s="313">
        <v>44927</v>
      </c>
      <c r="C534" s="131">
        <v>12000</v>
      </c>
      <c r="D534" s="131">
        <v>120000</v>
      </c>
      <c r="E534" s="314">
        <v>10</v>
      </c>
      <c r="F534" s="131">
        <v>539.20000000000005</v>
      </c>
      <c r="G534" s="131">
        <v>1</v>
      </c>
      <c r="H534" s="315">
        <v>5392</v>
      </c>
      <c r="I534" s="131" t="s">
        <v>720</v>
      </c>
      <c r="J534" s="309" t="s">
        <v>722</v>
      </c>
      <c r="K534" s="131">
        <v>6000</v>
      </c>
      <c r="L534" s="309">
        <v>916.6400000000001</v>
      </c>
      <c r="W534" s="309"/>
    </row>
    <row r="535" spans="1:23" x14ac:dyDescent="0.2">
      <c r="A535" s="131"/>
      <c r="B535" s="313">
        <v>44958</v>
      </c>
      <c r="C535" s="131">
        <v>6315</v>
      </c>
      <c r="D535" s="131">
        <v>125625</v>
      </c>
      <c r="E535" s="314">
        <v>19.893111638954871</v>
      </c>
      <c r="F535" s="131">
        <v>112.75259701492537</v>
      </c>
      <c r="G535" s="131">
        <v>1</v>
      </c>
      <c r="H535" s="315">
        <v>2243</v>
      </c>
      <c r="I535" s="131" t="s">
        <v>720</v>
      </c>
      <c r="J535" s="309" t="s">
        <v>722</v>
      </c>
      <c r="K535" s="131">
        <v>3157.5</v>
      </c>
      <c r="L535" s="309">
        <v>381.31000000000006</v>
      </c>
      <c r="W535" s="309"/>
    </row>
    <row r="536" spans="1:23" x14ac:dyDescent="0.2">
      <c r="A536" s="131" t="s">
        <v>1100</v>
      </c>
      <c r="B536" s="311"/>
      <c r="C536" s="131">
        <v>26315</v>
      </c>
      <c r="D536" s="131">
        <v>325625</v>
      </c>
      <c r="E536" s="314">
        <v>12.37412122363671</v>
      </c>
      <c r="F536" s="131">
        <v>973.72571209213049</v>
      </c>
      <c r="G536" s="131">
        <v>3</v>
      </c>
      <c r="H536" s="315">
        <v>12049</v>
      </c>
      <c r="I536" s="131" t="s">
        <v>720</v>
      </c>
      <c r="J536" s="309" t="s">
        <v>722</v>
      </c>
      <c r="K536" s="131">
        <v>13157.5</v>
      </c>
      <c r="L536" s="309">
        <v>2048.3300000000004</v>
      </c>
      <c r="W536" s="309"/>
    </row>
    <row r="537" spans="1:23" x14ac:dyDescent="0.2">
      <c r="A537" s="131" t="s">
        <v>225</v>
      </c>
      <c r="B537" s="313">
        <v>44805</v>
      </c>
      <c r="C537" s="131">
        <v>3595</v>
      </c>
      <c r="D537" s="131">
        <v>89875</v>
      </c>
      <c r="E537" s="314">
        <v>25</v>
      </c>
      <c r="F537" s="131">
        <v>205.72</v>
      </c>
      <c r="G537" s="131">
        <v>1</v>
      </c>
      <c r="H537" s="315">
        <v>5143</v>
      </c>
      <c r="I537" s="131" t="s">
        <v>720</v>
      </c>
      <c r="J537" s="309" t="s">
        <v>808</v>
      </c>
      <c r="K537" s="131">
        <v>3595</v>
      </c>
      <c r="L537" s="309">
        <v>874.31000000000006</v>
      </c>
      <c r="W537" s="309"/>
    </row>
    <row r="538" spans="1:23" x14ac:dyDescent="0.2">
      <c r="A538" s="131"/>
      <c r="B538" s="313">
        <v>44835</v>
      </c>
      <c r="C538" s="131">
        <v>2816</v>
      </c>
      <c r="D538" s="131">
        <v>89300</v>
      </c>
      <c r="E538" s="314">
        <v>31.711647727272727</v>
      </c>
      <c r="F538" s="131">
        <v>52.535901455767082</v>
      </c>
      <c r="G538" s="131">
        <v>1</v>
      </c>
      <c r="H538" s="315">
        <v>1666</v>
      </c>
      <c r="I538" s="131" t="s">
        <v>720</v>
      </c>
      <c r="J538" s="309" t="s">
        <v>808</v>
      </c>
      <c r="K538" s="131">
        <v>2816</v>
      </c>
      <c r="L538" s="309">
        <v>377.59999999999997</v>
      </c>
      <c r="W538" s="309"/>
    </row>
    <row r="539" spans="1:23" x14ac:dyDescent="0.2">
      <c r="A539" s="131"/>
      <c r="B539" s="313">
        <v>44866</v>
      </c>
      <c r="C539" s="131">
        <v>3627</v>
      </c>
      <c r="D539" s="131">
        <v>90875</v>
      </c>
      <c r="E539" s="314">
        <v>25.055141990625863</v>
      </c>
      <c r="F539" s="131">
        <v>11.21526272352132</v>
      </c>
      <c r="G539" s="131">
        <v>1</v>
      </c>
      <c r="H539" s="315">
        <v>281</v>
      </c>
      <c r="I539" s="131" t="s">
        <v>720</v>
      </c>
      <c r="J539" s="309" t="s">
        <v>808</v>
      </c>
      <c r="K539" s="131">
        <v>3627</v>
      </c>
      <c r="L539" s="309">
        <v>84.3</v>
      </c>
      <c r="W539" s="309"/>
    </row>
    <row r="540" spans="1:23" x14ac:dyDescent="0.2">
      <c r="A540" s="131"/>
      <c r="B540" s="313">
        <v>44896</v>
      </c>
      <c r="C540" s="131">
        <v>3150</v>
      </c>
      <c r="D540" s="131">
        <v>79050</v>
      </c>
      <c r="E540" s="314">
        <v>25.095238095238095</v>
      </c>
      <c r="F540" s="131">
        <v>79.935483870967744</v>
      </c>
      <c r="G540" s="131">
        <v>1</v>
      </c>
      <c r="H540" s="315">
        <v>2006</v>
      </c>
      <c r="I540" s="131" t="s">
        <v>720</v>
      </c>
      <c r="J540" s="309" t="s">
        <v>808</v>
      </c>
      <c r="K540" s="131">
        <v>3150</v>
      </c>
      <c r="L540" s="309">
        <v>541.62000000000012</v>
      </c>
      <c r="W540" s="309"/>
    </row>
    <row r="541" spans="1:23" x14ac:dyDescent="0.2">
      <c r="A541" s="131"/>
      <c r="B541" s="313">
        <v>44927</v>
      </c>
      <c r="C541" s="131">
        <v>4093</v>
      </c>
      <c r="D541" s="131">
        <v>102525</v>
      </c>
      <c r="E541" s="314">
        <v>25.048863913999512</v>
      </c>
      <c r="F541" s="131">
        <v>225.83858571080225</v>
      </c>
      <c r="G541" s="131">
        <v>1</v>
      </c>
      <c r="H541" s="315">
        <v>5657</v>
      </c>
      <c r="I541" s="131" t="s">
        <v>720</v>
      </c>
      <c r="J541" s="309" t="s">
        <v>808</v>
      </c>
      <c r="K541" s="131">
        <v>4093</v>
      </c>
      <c r="L541" s="309">
        <v>1527.39</v>
      </c>
      <c r="W541" s="309"/>
    </row>
    <row r="542" spans="1:23" x14ac:dyDescent="0.2">
      <c r="A542" s="131"/>
      <c r="B542" s="313">
        <v>44958</v>
      </c>
      <c r="C542" s="131">
        <v>3326</v>
      </c>
      <c r="D542" s="131">
        <v>83350</v>
      </c>
      <c r="E542" s="314">
        <v>25.06013229104029</v>
      </c>
      <c r="F542" s="131">
        <v>101.79515296940612</v>
      </c>
      <c r="G542" s="131">
        <v>1</v>
      </c>
      <c r="H542" s="315">
        <v>2551</v>
      </c>
      <c r="I542" s="131" t="s">
        <v>720</v>
      </c>
      <c r="J542" s="309" t="s">
        <v>808</v>
      </c>
      <c r="K542" s="131">
        <v>3326</v>
      </c>
      <c r="L542" s="309">
        <v>688.77</v>
      </c>
      <c r="W542" s="309"/>
    </row>
    <row r="543" spans="1:23" x14ac:dyDescent="0.2">
      <c r="A543" s="131" t="s">
        <v>1101</v>
      </c>
      <c r="B543" s="311"/>
      <c r="C543" s="131">
        <v>20607</v>
      </c>
      <c r="D543" s="131">
        <v>534975</v>
      </c>
      <c r="E543" s="314">
        <v>25.960838550007278</v>
      </c>
      <c r="F543" s="131">
        <v>666.54241413150146</v>
      </c>
      <c r="G543" s="131">
        <v>6</v>
      </c>
      <c r="H543" s="315">
        <v>17304</v>
      </c>
      <c r="I543" s="131" t="s">
        <v>720</v>
      </c>
      <c r="J543" s="309" t="s">
        <v>808</v>
      </c>
      <c r="K543" s="131">
        <v>20607</v>
      </c>
      <c r="L543" s="309">
        <v>4093.9900000000002</v>
      </c>
      <c r="W543" s="309"/>
    </row>
    <row r="544" spans="1:23" x14ac:dyDescent="0.2">
      <c r="A544" s="131" t="s">
        <v>205</v>
      </c>
      <c r="B544" s="313">
        <v>44866</v>
      </c>
      <c r="C544" s="131">
        <v>3829</v>
      </c>
      <c r="D544" s="131">
        <v>38225</v>
      </c>
      <c r="E544" s="314">
        <v>9.9830242883259341</v>
      </c>
      <c r="F544" s="131">
        <v>-80.837226945716154</v>
      </c>
      <c r="G544" s="131">
        <v>1</v>
      </c>
      <c r="H544" s="315">
        <v>-807</v>
      </c>
      <c r="I544" s="131" t="s">
        <v>720</v>
      </c>
      <c r="J544" s="309" t="s">
        <v>722</v>
      </c>
      <c r="K544" s="131">
        <v>3827.6666666666665</v>
      </c>
      <c r="L544" s="309">
        <v>-242.1</v>
      </c>
      <c r="W544" s="309"/>
    </row>
    <row r="545" spans="1:23" x14ac:dyDescent="0.2">
      <c r="A545" s="131"/>
      <c r="B545" s="313">
        <v>44896</v>
      </c>
      <c r="C545" s="131">
        <v>1889</v>
      </c>
      <c r="D545" s="131">
        <v>18930</v>
      </c>
      <c r="E545" s="314">
        <v>10.021175224986765</v>
      </c>
      <c r="F545" s="131">
        <v>108.76967776016905</v>
      </c>
      <c r="G545" s="131">
        <v>1</v>
      </c>
      <c r="H545" s="315">
        <v>1090</v>
      </c>
      <c r="I545" s="131" t="s">
        <v>720</v>
      </c>
      <c r="J545" s="309" t="s">
        <v>722</v>
      </c>
      <c r="K545" s="131">
        <v>1889</v>
      </c>
      <c r="L545" s="309">
        <v>327</v>
      </c>
      <c r="W545" s="309"/>
    </row>
    <row r="546" spans="1:23" x14ac:dyDescent="0.2">
      <c r="A546" s="131"/>
      <c r="B546" s="313">
        <v>44927</v>
      </c>
      <c r="C546" s="131">
        <v>2167</v>
      </c>
      <c r="D546" s="131">
        <v>21850</v>
      </c>
      <c r="E546" s="314">
        <v>10.08306414397785</v>
      </c>
      <c r="F546" s="131">
        <v>48.596338672768873</v>
      </c>
      <c r="G546" s="131">
        <v>1</v>
      </c>
      <c r="H546" s="315">
        <v>490</v>
      </c>
      <c r="I546" s="131" t="s">
        <v>720</v>
      </c>
      <c r="J546" s="309" t="s">
        <v>722</v>
      </c>
      <c r="K546" s="131">
        <v>2165</v>
      </c>
      <c r="L546" s="309">
        <v>147.00000000000003</v>
      </c>
      <c r="W546" s="309"/>
    </row>
    <row r="547" spans="1:23" x14ac:dyDescent="0.2">
      <c r="A547" s="131"/>
      <c r="B547" s="313">
        <v>44958</v>
      </c>
      <c r="C547" s="131">
        <v>1730</v>
      </c>
      <c r="D547" s="131">
        <v>42710</v>
      </c>
      <c r="E547" s="314">
        <v>24.687861271676301</v>
      </c>
      <c r="F547" s="131">
        <v>39.898150316085228</v>
      </c>
      <c r="G547" s="131">
        <v>1</v>
      </c>
      <c r="H547" s="315">
        <v>985</v>
      </c>
      <c r="I547" s="131" t="s">
        <v>720</v>
      </c>
      <c r="J547" s="309" t="s">
        <v>722</v>
      </c>
      <c r="K547" s="131">
        <v>1730</v>
      </c>
      <c r="L547" s="309">
        <v>295.5</v>
      </c>
      <c r="W547" s="309"/>
    </row>
    <row r="548" spans="1:23" x14ac:dyDescent="0.2">
      <c r="A548" s="131" t="s">
        <v>1102</v>
      </c>
      <c r="B548" s="311"/>
      <c r="C548" s="131">
        <v>9615</v>
      </c>
      <c r="D548" s="131">
        <v>121715</v>
      </c>
      <c r="E548" s="314">
        <v>12.658866354654187</v>
      </c>
      <c r="F548" s="131">
        <v>138.87499486505359</v>
      </c>
      <c r="G548" s="131">
        <v>4</v>
      </c>
      <c r="H548" s="315">
        <v>1758</v>
      </c>
      <c r="I548" s="131" t="s">
        <v>720</v>
      </c>
      <c r="J548" s="309" t="s">
        <v>722</v>
      </c>
      <c r="K548" s="131">
        <v>9611.6666666666661</v>
      </c>
      <c r="L548" s="309">
        <v>527.4</v>
      </c>
      <c r="W548" s="309"/>
    </row>
    <row r="549" spans="1:23" x14ac:dyDescent="0.2">
      <c r="A549" s="131" t="s">
        <v>628</v>
      </c>
      <c r="B549" s="313">
        <v>44958</v>
      </c>
      <c r="C549" s="131">
        <v>2140</v>
      </c>
      <c r="D549" s="131">
        <v>21400</v>
      </c>
      <c r="E549" s="314">
        <v>10</v>
      </c>
      <c r="F549" s="131">
        <v>75.7</v>
      </c>
      <c r="G549" s="131">
        <v>1</v>
      </c>
      <c r="H549" s="315">
        <v>757</v>
      </c>
      <c r="I549" s="131" t="s">
        <v>720</v>
      </c>
      <c r="J549" s="309" t="s">
        <v>722</v>
      </c>
      <c r="K549" s="131">
        <v>2140</v>
      </c>
      <c r="L549" s="309">
        <v>174.11</v>
      </c>
      <c r="W549" s="309"/>
    </row>
    <row r="550" spans="1:23" x14ac:dyDescent="0.2">
      <c r="A550" s="131" t="s">
        <v>1103</v>
      </c>
      <c r="B550" s="311"/>
      <c r="C550" s="131">
        <v>2140</v>
      </c>
      <c r="D550" s="131">
        <v>21400</v>
      </c>
      <c r="E550" s="314">
        <v>10</v>
      </c>
      <c r="F550" s="131">
        <v>75.7</v>
      </c>
      <c r="G550" s="131">
        <v>1</v>
      </c>
      <c r="H550" s="315">
        <v>757</v>
      </c>
      <c r="I550" s="131" t="s">
        <v>720</v>
      </c>
      <c r="J550" s="309" t="s">
        <v>722</v>
      </c>
      <c r="K550" s="131">
        <v>2140</v>
      </c>
      <c r="L550" s="309">
        <v>174.11</v>
      </c>
      <c r="W550" s="309"/>
    </row>
    <row r="551" spans="1:23" x14ac:dyDescent="0.2">
      <c r="A551" s="131" t="s">
        <v>133</v>
      </c>
      <c r="B551" s="313">
        <v>44743</v>
      </c>
      <c r="C551" s="131">
        <v>2456</v>
      </c>
      <c r="D551" s="131">
        <v>8434</v>
      </c>
      <c r="E551" s="314">
        <v>3.4340390879478826</v>
      </c>
      <c r="F551" s="131">
        <v>-35.526677732985533</v>
      </c>
      <c r="G551" s="131">
        <v>1</v>
      </c>
      <c r="H551" s="315">
        <v>-122</v>
      </c>
      <c r="I551" s="131" t="s">
        <v>720</v>
      </c>
      <c r="J551" s="309" t="s">
        <v>722</v>
      </c>
      <c r="K551" s="131">
        <v>2456</v>
      </c>
      <c r="L551" s="309">
        <v>-20.74</v>
      </c>
      <c r="W551" s="309"/>
    </row>
    <row r="552" spans="1:23" x14ac:dyDescent="0.2">
      <c r="A552" s="131"/>
      <c r="B552" s="313">
        <v>44774</v>
      </c>
      <c r="C552" s="131">
        <v>3148</v>
      </c>
      <c r="D552" s="131">
        <v>14904</v>
      </c>
      <c r="E552" s="314">
        <v>4.7344345616264292</v>
      </c>
      <c r="F552" s="131">
        <v>310.91358024691363</v>
      </c>
      <c r="G552" s="131">
        <v>1</v>
      </c>
      <c r="H552" s="315">
        <v>1472</v>
      </c>
      <c r="I552" s="131" t="s">
        <v>720</v>
      </c>
      <c r="J552" s="309" t="s">
        <v>722</v>
      </c>
      <c r="K552" s="131">
        <v>3148</v>
      </c>
      <c r="L552" s="309">
        <v>250.24</v>
      </c>
      <c r="W552" s="309"/>
    </row>
    <row r="553" spans="1:23" x14ac:dyDescent="0.2">
      <c r="A553" s="131"/>
      <c r="B553" s="313">
        <v>44805</v>
      </c>
      <c r="C553" s="131">
        <v>2070</v>
      </c>
      <c r="D553" s="131">
        <v>8193</v>
      </c>
      <c r="E553" s="314">
        <v>3.9579710144927538</v>
      </c>
      <c r="F553" s="131">
        <v>85.90259978030025</v>
      </c>
      <c r="G553" s="131">
        <v>1</v>
      </c>
      <c r="H553" s="315">
        <v>340</v>
      </c>
      <c r="I553" s="131" t="s">
        <v>720</v>
      </c>
      <c r="J553" s="309" t="s">
        <v>722</v>
      </c>
      <c r="K553" s="131">
        <v>2070</v>
      </c>
      <c r="L553" s="309">
        <v>57.800000000000004</v>
      </c>
      <c r="W553" s="309"/>
    </row>
    <row r="554" spans="1:23" x14ac:dyDescent="0.2">
      <c r="A554" s="131"/>
      <c r="B554" s="313">
        <v>44835</v>
      </c>
      <c r="C554" s="131">
        <v>2850</v>
      </c>
      <c r="D554" s="131">
        <v>7287</v>
      </c>
      <c r="E554" s="314">
        <v>2.5568421052631578</v>
      </c>
      <c r="F554" s="131">
        <v>244.83326471799094</v>
      </c>
      <c r="G554" s="131">
        <v>1</v>
      </c>
      <c r="H554" s="315">
        <v>626</v>
      </c>
      <c r="I554" s="131" t="s">
        <v>720</v>
      </c>
      <c r="J554" s="309" t="s">
        <v>722</v>
      </c>
      <c r="K554" s="131">
        <v>1425</v>
      </c>
      <c r="L554" s="309">
        <v>106.42000000000002</v>
      </c>
      <c r="W554" s="309"/>
    </row>
    <row r="555" spans="1:23" x14ac:dyDescent="0.2">
      <c r="A555" s="131"/>
      <c r="B555" s="313">
        <v>44866</v>
      </c>
      <c r="C555" s="309">
        <v>1644</v>
      </c>
      <c r="D555" s="131">
        <v>3336</v>
      </c>
      <c r="E555" s="314">
        <v>2.0291970802919708</v>
      </c>
      <c r="F555" s="131">
        <v>42.381294964028775</v>
      </c>
      <c r="G555" s="131">
        <v>1</v>
      </c>
      <c r="H555" s="315">
        <v>86</v>
      </c>
      <c r="I555" s="131" t="s">
        <v>720</v>
      </c>
      <c r="J555" s="309" t="s">
        <v>722</v>
      </c>
      <c r="K555" s="131">
        <v>822</v>
      </c>
      <c r="L555" s="309">
        <v>14.620000000000001</v>
      </c>
      <c r="W555" s="309"/>
    </row>
    <row r="556" spans="1:23" x14ac:dyDescent="0.2">
      <c r="A556" s="131"/>
      <c r="B556" s="313">
        <v>44927</v>
      </c>
      <c r="C556" s="131">
        <v>0</v>
      </c>
      <c r="D556" s="131">
        <v>0</v>
      </c>
      <c r="E556" s="314" t="e">
        <v>#DIV/0!</v>
      </c>
      <c r="F556" s="131" t="e">
        <v>#DIV/0!</v>
      </c>
      <c r="G556" s="131">
        <v>1</v>
      </c>
      <c r="H556" s="315">
        <v>0</v>
      </c>
      <c r="I556" s="131" t="s">
        <v>720</v>
      </c>
      <c r="J556" s="309" t="s">
        <v>722</v>
      </c>
      <c r="K556" s="131">
        <v>0</v>
      </c>
      <c r="L556" s="309">
        <v>0</v>
      </c>
      <c r="W556" s="309"/>
    </row>
    <row r="557" spans="1:23" x14ac:dyDescent="0.2">
      <c r="A557" s="131" t="s">
        <v>1104</v>
      </c>
      <c r="B557" s="311"/>
      <c r="C557" s="131">
        <v>12168</v>
      </c>
      <c r="D557" s="131">
        <v>42154</v>
      </c>
      <c r="E557" s="314">
        <v>3.4643326758711375</v>
      </c>
      <c r="F557" s="131">
        <v>693.35142572472364</v>
      </c>
      <c r="G557" s="131">
        <v>6</v>
      </c>
      <c r="H557" s="315">
        <v>2402</v>
      </c>
      <c r="I557" s="131" t="s">
        <v>720</v>
      </c>
      <c r="J557" s="309" t="s">
        <v>722</v>
      </c>
      <c r="K557" s="131">
        <v>9921</v>
      </c>
      <c r="L557" s="309">
        <v>408.34000000000003</v>
      </c>
      <c r="W557" s="309"/>
    </row>
    <row r="558" spans="1:23" x14ac:dyDescent="0.2">
      <c r="A558" s="131" t="s">
        <v>206</v>
      </c>
      <c r="B558" s="313">
        <v>44531</v>
      </c>
      <c r="C558" s="131">
        <v>1931</v>
      </c>
      <c r="D558" s="131">
        <v>291550</v>
      </c>
      <c r="E558" s="314">
        <v>150.98394614189539</v>
      </c>
      <c r="F558" s="131">
        <v>79.134241125021433</v>
      </c>
      <c r="G558" s="131">
        <v>1</v>
      </c>
      <c r="H558" s="315">
        <v>11948</v>
      </c>
      <c r="I558" s="131" t="s">
        <v>808</v>
      </c>
      <c r="J558" s="309" t="s">
        <v>722</v>
      </c>
      <c r="K558" s="131">
        <v>1763.6666666666667</v>
      </c>
      <c r="L558" s="309">
        <v>1194.8</v>
      </c>
      <c r="W558" s="309"/>
    </row>
    <row r="559" spans="1:23" x14ac:dyDescent="0.2">
      <c r="A559" s="131"/>
      <c r="B559" s="313">
        <v>44562</v>
      </c>
      <c r="C559" s="131">
        <v>1614</v>
      </c>
      <c r="D559" s="131">
        <v>300800</v>
      </c>
      <c r="E559" s="314">
        <v>186.36926889714994</v>
      </c>
      <c r="F559" s="131">
        <v>-49.503869680851061</v>
      </c>
      <c r="G559" s="131">
        <v>1</v>
      </c>
      <c r="H559" s="315">
        <v>-9226</v>
      </c>
      <c r="I559" s="131" t="s">
        <v>808</v>
      </c>
      <c r="J559" s="309" t="s">
        <v>722</v>
      </c>
      <c r="K559" s="131">
        <v>1476.6666666666665</v>
      </c>
      <c r="L559" s="309">
        <v>-922.60000000000014</v>
      </c>
      <c r="W559" s="309"/>
    </row>
    <row r="560" spans="1:23" x14ac:dyDescent="0.2">
      <c r="A560" s="131"/>
      <c r="B560" s="313">
        <v>44593</v>
      </c>
      <c r="C560" s="131">
        <v>1990</v>
      </c>
      <c r="D560" s="131">
        <v>336155</v>
      </c>
      <c r="E560" s="314">
        <v>168.92211055276383</v>
      </c>
      <c r="F560" s="131">
        <v>50.194731597031129</v>
      </c>
      <c r="G560" s="131">
        <v>1</v>
      </c>
      <c r="H560" s="315">
        <v>8479</v>
      </c>
      <c r="I560" s="131" t="s">
        <v>808</v>
      </c>
      <c r="J560" s="309" t="s">
        <v>722</v>
      </c>
      <c r="K560" s="131">
        <v>1832.6666666666665</v>
      </c>
      <c r="L560" s="309">
        <v>847.9</v>
      </c>
      <c r="W560" s="309"/>
    </row>
    <row r="561" spans="1:23" x14ac:dyDescent="0.2">
      <c r="A561" s="131"/>
      <c r="B561" s="313">
        <v>44621</v>
      </c>
      <c r="C561" s="131">
        <v>776</v>
      </c>
      <c r="D561" s="131">
        <v>116300</v>
      </c>
      <c r="E561" s="314">
        <v>149.87113402061857</v>
      </c>
      <c r="F561" s="131">
        <v>81.349888220120377</v>
      </c>
      <c r="G561" s="131">
        <v>1</v>
      </c>
      <c r="H561" s="315">
        <v>12192</v>
      </c>
      <c r="I561" s="131" t="s">
        <v>808</v>
      </c>
      <c r="J561" s="309" t="s">
        <v>722</v>
      </c>
      <c r="K561" s="131">
        <v>699.33333333333337</v>
      </c>
      <c r="L561" s="309">
        <v>1219.2</v>
      </c>
      <c r="W561" s="309"/>
    </row>
    <row r="562" spans="1:23" x14ac:dyDescent="0.2">
      <c r="A562" s="131"/>
      <c r="B562" s="313">
        <v>44652</v>
      </c>
      <c r="C562" s="131">
        <v>1390</v>
      </c>
      <c r="D562" s="131">
        <v>249985</v>
      </c>
      <c r="E562" s="314">
        <v>179.84532374100721</v>
      </c>
      <c r="F562" s="131">
        <v>-6.8503310198611915</v>
      </c>
      <c r="G562" s="131">
        <v>1</v>
      </c>
      <c r="H562" s="315">
        <v>-1232</v>
      </c>
      <c r="I562" s="131" t="s">
        <v>808</v>
      </c>
      <c r="J562" s="309" t="s">
        <v>722</v>
      </c>
      <c r="K562" s="131">
        <v>1318.0000000000002</v>
      </c>
      <c r="L562" s="309">
        <v>-123.20000000000002</v>
      </c>
      <c r="W562" s="309"/>
    </row>
    <row r="563" spans="1:23" x14ac:dyDescent="0.2">
      <c r="A563" s="131"/>
      <c r="B563" s="313">
        <v>44682</v>
      </c>
      <c r="C563" s="131">
        <v>1809</v>
      </c>
      <c r="D563" s="131">
        <v>336300</v>
      </c>
      <c r="E563" s="314">
        <v>185.90381426202322</v>
      </c>
      <c r="F563" s="131">
        <v>23.318510258697593</v>
      </c>
      <c r="G563" s="131">
        <v>1</v>
      </c>
      <c r="H563" s="315">
        <v>4335</v>
      </c>
      <c r="I563" s="131" t="s">
        <v>808</v>
      </c>
      <c r="J563" s="309" t="s">
        <v>722</v>
      </c>
      <c r="K563" s="131">
        <v>1047</v>
      </c>
      <c r="L563" s="309">
        <v>433.5</v>
      </c>
      <c r="W563" s="309"/>
    </row>
    <row r="564" spans="1:23" x14ac:dyDescent="0.2">
      <c r="A564" s="131"/>
      <c r="B564" s="313">
        <v>44713</v>
      </c>
      <c r="C564" s="131">
        <v>1881</v>
      </c>
      <c r="D564" s="131">
        <v>355950</v>
      </c>
      <c r="E564" s="314">
        <v>189.23444976076556</v>
      </c>
      <c r="F564" s="131">
        <v>-27.389304677623262</v>
      </c>
      <c r="G564" s="131">
        <v>1</v>
      </c>
      <c r="H564" s="315">
        <v>-5183</v>
      </c>
      <c r="I564" s="131" t="s">
        <v>808</v>
      </c>
      <c r="J564" s="309" t="s">
        <v>722</v>
      </c>
      <c r="K564" s="131">
        <v>1325</v>
      </c>
      <c r="L564" s="309">
        <v>-518.30000000000007</v>
      </c>
      <c r="W564" s="309"/>
    </row>
    <row r="565" spans="1:23" x14ac:dyDescent="0.2">
      <c r="A565" s="131"/>
      <c r="B565" s="313">
        <v>44743</v>
      </c>
      <c r="C565" s="131">
        <v>2122</v>
      </c>
      <c r="D565" s="131">
        <v>362850</v>
      </c>
      <c r="E565" s="314">
        <v>170.99434495758717</v>
      </c>
      <c r="F565" s="131">
        <v>-24.193782554774703</v>
      </c>
      <c r="G565" s="131">
        <v>1</v>
      </c>
      <c r="H565" s="315">
        <v>-4137</v>
      </c>
      <c r="I565" s="131" t="s">
        <v>808</v>
      </c>
      <c r="J565" s="309" t="s">
        <v>722</v>
      </c>
      <c r="K565" s="131">
        <v>1633.3333333333333</v>
      </c>
      <c r="L565" s="309">
        <v>-413.7</v>
      </c>
      <c r="W565" s="309"/>
    </row>
    <row r="566" spans="1:23" x14ac:dyDescent="0.2">
      <c r="A566" s="131"/>
      <c r="B566" s="313">
        <v>44774</v>
      </c>
      <c r="C566" s="131">
        <v>2765</v>
      </c>
      <c r="D566" s="131">
        <v>458205</v>
      </c>
      <c r="E566" s="314">
        <v>165.71609403254973</v>
      </c>
      <c r="F566" s="131">
        <v>57.224375552427404</v>
      </c>
      <c r="G566" s="131">
        <v>1</v>
      </c>
      <c r="H566" s="315">
        <v>9483</v>
      </c>
      <c r="I566" s="131" t="s">
        <v>808</v>
      </c>
      <c r="J566" s="309" t="s">
        <v>722</v>
      </c>
      <c r="K566" s="131">
        <v>2057.6666666666665</v>
      </c>
      <c r="L566" s="309">
        <v>948.30000000000018</v>
      </c>
      <c r="W566" s="309"/>
    </row>
    <row r="567" spans="1:23" x14ac:dyDescent="0.2">
      <c r="A567" s="131"/>
      <c r="B567" s="313">
        <v>44805</v>
      </c>
      <c r="C567" s="131">
        <v>1736</v>
      </c>
      <c r="D567" s="131">
        <v>304100</v>
      </c>
      <c r="E567" s="314">
        <v>175.17281105990784</v>
      </c>
      <c r="F567" s="131">
        <v>-13.089930943768497</v>
      </c>
      <c r="G567" s="131">
        <v>1</v>
      </c>
      <c r="H567" s="315">
        <v>-2293</v>
      </c>
      <c r="I567" s="131" t="s">
        <v>808</v>
      </c>
      <c r="J567" s="309" t="s">
        <v>722</v>
      </c>
      <c r="K567" s="131">
        <v>1409.3333333333333</v>
      </c>
      <c r="L567" s="309">
        <v>-229.3</v>
      </c>
      <c r="W567" s="309"/>
    </row>
    <row r="568" spans="1:23" x14ac:dyDescent="0.2">
      <c r="A568" s="131"/>
      <c r="B568" s="313">
        <v>44835</v>
      </c>
      <c r="C568" s="131">
        <v>422</v>
      </c>
      <c r="D568" s="131">
        <v>79250</v>
      </c>
      <c r="E568" s="314">
        <v>187.7962085308057</v>
      </c>
      <c r="F568" s="131">
        <v>48.685753943217662</v>
      </c>
      <c r="G568" s="131">
        <v>1</v>
      </c>
      <c r="H568" s="315">
        <v>9143</v>
      </c>
      <c r="I568" s="131" t="s">
        <v>808</v>
      </c>
      <c r="J568" s="309" t="s">
        <v>722</v>
      </c>
      <c r="K568" s="131">
        <v>371.33333333333337</v>
      </c>
      <c r="L568" s="309">
        <v>914.30000000000007</v>
      </c>
      <c r="W568" s="309"/>
    </row>
    <row r="569" spans="1:23" x14ac:dyDescent="0.2">
      <c r="A569" s="131"/>
      <c r="B569" s="313">
        <v>44866</v>
      </c>
      <c r="C569" s="131">
        <v>1703</v>
      </c>
      <c r="D569" s="131">
        <v>259100</v>
      </c>
      <c r="E569" s="314">
        <v>152.14327657075748</v>
      </c>
      <c r="F569" s="131">
        <v>-67.857089926669246</v>
      </c>
      <c r="G569" s="131">
        <v>1</v>
      </c>
      <c r="H569" s="315">
        <v>-10324</v>
      </c>
      <c r="I569" s="131" t="s">
        <v>808</v>
      </c>
      <c r="J569" s="309" t="s">
        <v>722</v>
      </c>
      <c r="K569" s="131">
        <v>1567.6666666666667</v>
      </c>
      <c r="L569" s="309">
        <v>-1032.4000000000001</v>
      </c>
      <c r="W569" s="309"/>
    </row>
    <row r="570" spans="1:23" x14ac:dyDescent="0.2">
      <c r="A570" s="131"/>
      <c r="B570" s="313">
        <v>44896</v>
      </c>
      <c r="C570" s="131">
        <v>2989</v>
      </c>
      <c r="D570" s="131">
        <v>398750</v>
      </c>
      <c r="E570" s="314">
        <v>133.40582134493141</v>
      </c>
      <c r="F570" s="131">
        <v>35.493203761755488</v>
      </c>
      <c r="G570" s="131">
        <v>1</v>
      </c>
      <c r="H570" s="315">
        <v>4735</v>
      </c>
      <c r="I570" s="131" t="s">
        <v>808</v>
      </c>
      <c r="J570" s="309" t="s">
        <v>722</v>
      </c>
      <c r="K570" s="131">
        <v>2933</v>
      </c>
      <c r="L570" s="309">
        <v>473.50000000000011</v>
      </c>
      <c r="W570" s="309"/>
    </row>
    <row r="571" spans="1:23" x14ac:dyDescent="0.2">
      <c r="A571" s="131"/>
      <c r="B571" s="313">
        <v>44927</v>
      </c>
      <c r="C571" s="131">
        <v>2626</v>
      </c>
      <c r="D571" s="131">
        <v>364750</v>
      </c>
      <c r="E571" s="314">
        <v>138.8994668697639</v>
      </c>
      <c r="F571" s="131">
        <v>119.4605017135024</v>
      </c>
      <c r="G571" s="131">
        <v>1</v>
      </c>
      <c r="H571" s="315">
        <v>16593</v>
      </c>
      <c r="I571" s="131" t="s">
        <v>808</v>
      </c>
      <c r="J571" s="309" t="s">
        <v>722</v>
      </c>
      <c r="K571" s="131">
        <v>2494.0000000000005</v>
      </c>
      <c r="L571" s="309">
        <v>1659.3000000000002</v>
      </c>
      <c r="W571" s="309"/>
    </row>
    <row r="572" spans="1:23" x14ac:dyDescent="0.2">
      <c r="A572" s="131"/>
      <c r="B572" s="313">
        <v>44958</v>
      </c>
      <c r="C572" s="131">
        <v>2531</v>
      </c>
      <c r="D572" s="131">
        <v>373400</v>
      </c>
      <c r="E572" s="314">
        <v>147.53062030817858</v>
      </c>
      <c r="F572" s="131">
        <v>73.422046063202998</v>
      </c>
      <c r="G572" s="131">
        <v>1</v>
      </c>
      <c r="H572" s="315">
        <v>10832</v>
      </c>
      <c r="I572" s="131" t="s">
        <v>808</v>
      </c>
      <c r="J572" s="309" t="s">
        <v>722</v>
      </c>
      <c r="K572" s="131">
        <v>2289.6666666666665</v>
      </c>
      <c r="L572" s="309">
        <v>1083.2</v>
      </c>
      <c r="W572" s="309"/>
    </row>
    <row r="573" spans="1:23" x14ac:dyDescent="0.2">
      <c r="A573" s="131"/>
      <c r="B573" s="313">
        <v>44986</v>
      </c>
      <c r="C573" s="131">
        <v>708</v>
      </c>
      <c r="D573" s="131">
        <v>103950</v>
      </c>
      <c r="E573" s="314">
        <v>146.82203389830508</v>
      </c>
      <c r="F573" s="131">
        <v>54.14037518037518</v>
      </c>
      <c r="G573" s="131">
        <v>1</v>
      </c>
      <c r="H573" s="315">
        <v>7949</v>
      </c>
      <c r="I573" s="131" t="s">
        <v>808</v>
      </c>
      <c r="J573" s="309" t="s">
        <v>722</v>
      </c>
      <c r="K573" s="131">
        <v>588.66666666666663</v>
      </c>
      <c r="L573" s="309">
        <v>794.90000000000009</v>
      </c>
      <c r="W573" s="309"/>
    </row>
    <row r="574" spans="1:23" x14ac:dyDescent="0.2">
      <c r="A574" s="131" t="s">
        <v>1105</v>
      </c>
      <c r="B574" s="311"/>
      <c r="C574" s="131">
        <v>28993</v>
      </c>
      <c r="D574" s="131">
        <v>4691395</v>
      </c>
      <c r="E574" s="314">
        <v>161.81129927913634</v>
      </c>
      <c r="F574" s="131">
        <v>391.15933363104153</v>
      </c>
      <c r="G574" s="131">
        <v>16</v>
      </c>
      <c r="H574" s="315">
        <v>63294</v>
      </c>
      <c r="I574" s="131" t="s">
        <v>808</v>
      </c>
      <c r="J574" s="309" t="s">
        <v>722</v>
      </c>
      <c r="K574" s="131">
        <v>24806.999999999996</v>
      </c>
      <c r="L574" s="309">
        <v>6329.4000000000015</v>
      </c>
      <c r="W574" s="309"/>
    </row>
    <row r="575" spans="1:23" x14ac:dyDescent="0.2">
      <c r="A575" s="131" t="s">
        <v>1069</v>
      </c>
      <c r="B575" s="311"/>
      <c r="C575" s="131">
        <v>1904284</v>
      </c>
      <c r="D575" s="131">
        <v>122046511.75</v>
      </c>
      <c r="E575" s="314">
        <v>64.090498974942818</v>
      </c>
      <c r="F575" s="131">
        <v>43477.278097856921</v>
      </c>
      <c r="G575" s="131">
        <v>32</v>
      </c>
      <c r="H575" s="315">
        <v>2786480.4473640029</v>
      </c>
      <c r="I575" s="131" t="s">
        <v>720</v>
      </c>
      <c r="J575" s="309" t="s">
        <v>722</v>
      </c>
      <c r="K575" s="131">
        <v>1252103.0000000002</v>
      </c>
      <c r="L575" s="309">
        <v>269564.40295175393</v>
      </c>
      <c r="W575" s="309"/>
    </row>
    <row r="576" spans="1:23" x14ac:dyDescent="0.2">
      <c r="B576" s="311"/>
      <c r="E576" s="314"/>
      <c r="J576" s="309"/>
      <c r="L576" s="309"/>
      <c r="W576" s="309"/>
    </row>
    <row r="577" spans="2:23" x14ac:dyDescent="0.2">
      <c r="B577" s="311"/>
      <c r="E577" s="314"/>
      <c r="J577" s="309"/>
      <c r="L577" s="309"/>
      <c r="W577" s="309"/>
    </row>
    <row r="578" spans="2:23" x14ac:dyDescent="0.2">
      <c r="B578" s="311"/>
      <c r="E578" s="314"/>
      <c r="J578" s="309"/>
      <c r="L578" s="309"/>
      <c r="W578" s="309"/>
    </row>
    <row r="579" spans="2:23" x14ac:dyDescent="0.2">
      <c r="B579" s="311"/>
      <c r="E579" s="314"/>
      <c r="J579" s="309"/>
      <c r="L579" s="309"/>
      <c r="W579" s="309"/>
    </row>
    <row r="580" spans="2:23" x14ac:dyDescent="0.2">
      <c r="B580" s="311"/>
      <c r="E580" s="314"/>
      <c r="J580" s="309"/>
      <c r="L580" s="309"/>
      <c r="W580" s="309"/>
    </row>
    <row r="581" spans="2:23" x14ac:dyDescent="0.2">
      <c r="B581" s="311"/>
      <c r="E581" s="314"/>
      <c r="J581" s="309"/>
      <c r="L581" s="309"/>
      <c r="W581" s="309"/>
    </row>
    <row r="582" spans="2:23" x14ac:dyDescent="0.2">
      <c r="B582" s="311"/>
      <c r="E582" s="314"/>
      <c r="J582" s="309"/>
      <c r="L582" s="309"/>
      <c r="W582" s="309"/>
    </row>
    <row r="583" spans="2:23" x14ac:dyDescent="0.2">
      <c r="B583" s="311"/>
      <c r="E583" s="314"/>
      <c r="J583" s="309"/>
      <c r="L583" s="309"/>
      <c r="W583" s="309"/>
    </row>
    <row r="584" spans="2:23" x14ac:dyDescent="0.2">
      <c r="B584" s="311"/>
      <c r="E584" s="314"/>
      <c r="J584" s="309"/>
      <c r="L584" s="309"/>
      <c r="W584" s="309"/>
    </row>
    <row r="585" spans="2:23" x14ac:dyDescent="0.2">
      <c r="B585" s="311"/>
      <c r="E585" s="314"/>
      <c r="J585" s="309"/>
      <c r="L585" s="309"/>
      <c r="W585" s="309"/>
    </row>
    <row r="586" spans="2:23" x14ac:dyDescent="0.2">
      <c r="B586" s="311"/>
      <c r="E586" s="314"/>
      <c r="J586" s="309"/>
      <c r="L586" s="309"/>
      <c r="W586" s="309"/>
    </row>
    <row r="587" spans="2:23" x14ac:dyDescent="0.2">
      <c r="B587" s="311"/>
      <c r="E587" s="314"/>
      <c r="J587" s="309"/>
      <c r="L587" s="309"/>
      <c r="W587" s="309"/>
    </row>
    <row r="588" spans="2:23" x14ac:dyDescent="0.2">
      <c r="B588" s="311"/>
      <c r="E588" s="314"/>
      <c r="J588" s="309"/>
      <c r="L588" s="309"/>
      <c r="W588" s="309"/>
    </row>
    <row r="589" spans="2:23" x14ac:dyDescent="0.2">
      <c r="B589" s="311"/>
      <c r="E589" s="314"/>
      <c r="J589" s="309"/>
      <c r="L589" s="309"/>
      <c r="W589" s="309"/>
    </row>
    <row r="590" spans="2:23" x14ac:dyDescent="0.2">
      <c r="B590" s="311"/>
      <c r="E590" s="314"/>
      <c r="J590" s="309"/>
      <c r="L590" s="309"/>
      <c r="W590" s="309"/>
    </row>
    <row r="591" spans="2:23" x14ac:dyDescent="0.2">
      <c r="B591" s="311"/>
      <c r="E591" s="314"/>
      <c r="J591" s="309"/>
      <c r="L591" s="309"/>
      <c r="W591" s="309"/>
    </row>
    <row r="592" spans="2:23" x14ac:dyDescent="0.2">
      <c r="B592" s="311"/>
      <c r="E592" s="314"/>
      <c r="J592" s="309"/>
      <c r="L592" s="309"/>
      <c r="W592" s="309"/>
    </row>
    <row r="593" spans="2:23" x14ac:dyDescent="0.2">
      <c r="B593" s="311"/>
      <c r="E593" s="314"/>
      <c r="J593" s="309"/>
      <c r="L593" s="309"/>
      <c r="W593" s="309"/>
    </row>
    <row r="594" spans="2:23" x14ac:dyDescent="0.2">
      <c r="B594" s="311"/>
      <c r="E594" s="314"/>
      <c r="J594" s="309"/>
      <c r="L594" s="309"/>
      <c r="W594" s="309"/>
    </row>
    <row r="595" spans="2:23" x14ac:dyDescent="0.2">
      <c r="B595" s="311"/>
      <c r="E595" s="314"/>
      <c r="J595" s="309"/>
      <c r="L595" s="309"/>
      <c r="W595" s="309"/>
    </row>
    <row r="596" spans="2:23" x14ac:dyDescent="0.2">
      <c r="B596" s="311"/>
      <c r="E596" s="314"/>
      <c r="J596" s="309"/>
      <c r="L596" s="309"/>
      <c r="W596" s="309"/>
    </row>
    <row r="597" spans="2:23" x14ac:dyDescent="0.2">
      <c r="B597" s="311"/>
      <c r="E597" s="314"/>
      <c r="J597" s="309"/>
      <c r="L597" s="309"/>
      <c r="W597" s="309"/>
    </row>
    <row r="598" spans="2:23" x14ac:dyDescent="0.2">
      <c r="B598" s="311"/>
      <c r="E598" s="314"/>
      <c r="J598" s="309"/>
      <c r="L598" s="309"/>
      <c r="W598" s="309"/>
    </row>
    <row r="599" spans="2:23" x14ac:dyDescent="0.2">
      <c r="B599" s="311"/>
      <c r="E599" s="314"/>
      <c r="J599" s="309"/>
      <c r="L599" s="309"/>
      <c r="W599" s="309"/>
    </row>
    <row r="600" spans="2:23" x14ac:dyDescent="0.2">
      <c r="B600" s="311"/>
      <c r="E600" s="314"/>
      <c r="J600" s="309"/>
      <c r="L600" s="309"/>
      <c r="W600" s="309"/>
    </row>
    <row r="601" spans="2:23" x14ac:dyDescent="0.2">
      <c r="B601" s="311"/>
      <c r="E601" s="314"/>
      <c r="J601" s="309"/>
      <c r="L601" s="309"/>
      <c r="W601" s="309"/>
    </row>
    <row r="602" spans="2:23" x14ac:dyDescent="0.2">
      <c r="B602" s="311"/>
      <c r="E602" s="314"/>
      <c r="J602" s="309"/>
      <c r="L602" s="309"/>
      <c r="W602" s="309"/>
    </row>
    <row r="603" spans="2:23" x14ac:dyDescent="0.2">
      <c r="B603" s="311"/>
      <c r="E603" s="314"/>
      <c r="J603" s="309"/>
      <c r="L603" s="309"/>
      <c r="W603" s="309"/>
    </row>
    <row r="604" spans="2:23" x14ac:dyDescent="0.2">
      <c r="B604" s="311"/>
      <c r="E604" s="314"/>
      <c r="J604" s="309"/>
      <c r="L604" s="309"/>
      <c r="W604" s="309"/>
    </row>
    <row r="605" spans="2:23" x14ac:dyDescent="0.2">
      <c r="B605" s="311"/>
      <c r="E605" s="314"/>
      <c r="J605" s="309"/>
      <c r="L605" s="309"/>
      <c r="W605" s="309"/>
    </row>
    <row r="606" spans="2:23" x14ac:dyDescent="0.2">
      <c r="B606" s="311"/>
      <c r="E606" s="314"/>
      <c r="J606" s="309"/>
      <c r="L606" s="309"/>
      <c r="W606" s="309"/>
    </row>
    <row r="607" spans="2:23" x14ac:dyDescent="0.2">
      <c r="B607" s="311"/>
      <c r="E607" s="314"/>
      <c r="J607" s="309"/>
      <c r="L607" s="309"/>
      <c r="W607" s="309"/>
    </row>
    <row r="608" spans="2:23" x14ac:dyDescent="0.2">
      <c r="B608" s="311"/>
      <c r="E608" s="314"/>
      <c r="J608" s="309"/>
      <c r="L608" s="309"/>
      <c r="W608" s="309"/>
    </row>
    <row r="609" spans="2:23" x14ac:dyDescent="0.2">
      <c r="B609" s="311"/>
      <c r="E609" s="314"/>
      <c r="J609" s="309"/>
      <c r="L609" s="309"/>
      <c r="W609" s="309"/>
    </row>
    <row r="610" spans="2:23" x14ac:dyDescent="0.2">
      <c r="B610" s="311"/>
      <c r="E610" s="314"/>
      <c r="J610" s="309"/>
      <c r="L610" s="309"/>
      <c r="W610" s="309"/>
    </row>
    <row r="611" spans="2:23" x14ac:dyDescent="0.2">
      <c r="B611" s="311"/>
      <c r="E611" s="314"/>
      <c r="J611" s="309"/>
      <c r="L611" s="309"/>
      <c r="W611" s="309"/>
    </row>
    <row r="612" spans="2:23" x14ac:dyDescent="0.2">
      <c r="B612" s="311"/>
      <c r="E612" s="314"/>
      <c r="J612" s="309"/>
      <c r="L612" s="309"/>
      <c r="W612" s="309"/>
    </row>
    <row r="613" spans="2:23" x14ac:dyDescent="0.2">
      <c r="B613" s="311"/>
      <c r="E613" s="314"/>
      <c r="J613" s="309"/>
      <c r="L613" s="309"/>
      <c r="W613" s="309"/>
    </row>
    <row r="614" spans="2:23" x14ac:dyDescent="0.2">
      <c r="B614" s="311"/>
      <c r="E614" s="314"/>
      <c r="J614" s="309"/>
      <c r="L614" s="309"/>
      <c r="W614" s="309"/>
    </row>
    <row r="615" spans="2:23" x14ac:dyDescent="0.2">
      <c r="B615" s="311"/>
      <c r="E615" s="314"/>
      <c r="J615" s="309"/>
      <c r="L615" s="309"/>
      <c r="W615" s="309"/>
    </row>
    <row r="616" spans="2:23" x14ac:dyDescent="0.2">
      <c r="B616" s="311"/>
      <c r="E616" s="314"/>
      <c r="J616" s="309"/>
      <c r="L616" s="309"/>
      <c r="W616" s="309"/>
    </row>
    <row r="617" spans="2:23" x14ac:dyDescent="0.2">
      <c r="B617" s="311"/>
      <c r="E617" s="314"/>
      <c r="J617" s="309"/>
      <c r="L617" s="309"/>
      <c r="W617" s="309"/>
    </row>
    <row r="618" spans="2:23" x14ac:dyDescent="0.2">
      <c r="B618" s="311"/>
      <c r="E618" s="314"/>
      <c r="J618" s="309"/>
      <c r="L618" s="309"/>
      <c r="W618" s="309"/>
    </row>
    <row r="619" spans="2:23" x14ac:dyDescent="0.2">
      <c r="B619" s="311"/>
      <c r="E619" s="314"/>
      <c r="J619" s="309"/>
      <c r="L619" s="309"/>
      <c r="W619" s="309"/>
    </row>
    <row r="620" spans="2:23" x14ac:dyDescent="0.2">
      <c r="B620" s="311"/>
      <c r="E620" s="314"/>
      <c r="J620" s="309"/>
      <c r="L620" s="309"/>
      <c r="W620" s="309"/>
    </row>
    <row r="621" spans="2:23" x14ac:dyDescent="0.2">
      <c r="B621" s="311"/>
      <c r="E621" s="314"/>
      <c r="J621" s="309"/>
      <c r="L621" s="309"/>
      <c r="W621" s="309"/>
    </row>
    <row r="622" spans="2:23" x14ac:dyDescent="0.2">
      <c r="B622" s="311"/>
      <c r="E622" s="314"/>
      <c r="J622" s="309"/>
      <c r="L622" s="309"/>
      <c r="W622" s="309"/>
    </row>
    <row r="623" spans="2:23" x14ac:dyDescent="0.2">
      <c r="B623" s="311"/>
      <c r="E623" s="314"/>
      <c r="J623" s="309"/>
      <c r="L623" s="309"/>
      <c r="W623" s="309"/>
    </row>
    <row r="624" spans="2:23" x14ac:dyDescent="0.2">
      <c r="B624" s="311"/>
      <c r="E624" s="314"/>
      <c r="J624" s="309"/>
      <c r="L624" s="309"/>
      <c r="W624" s="309"/>
    </row>
    <row r="625" spans="2:23" x14ac:dyDescent="0.2">
      <c r="B625" s="311"/>
      <c r="E625" s="314"/>
      <c r="J625" s="309"/>
      <c r="L625" s="309"/>
      <c r="W625" s="309"/>
    </row>
    <row r="626" spans="2:23" x14ac:dyDescent="0.2">
      <c r="B626" s="311"/>
      <c r="E626" s="314"/>
      <c r="J626" s="309"/>
      <c r="L626" s="309"/>
      <c r="W626" s="309"/>
    </row>
    <row r="627" spans="2:23" x14ac:dyDescent="0.2">
      <c r="B627" s="311"/>
      <c r="E627" s="314"/>
      <c r="J627" s="309"/>
      <c r="L627" s="309"/>
      <c r="W627" s="309"/>
    </row>
    <row r="628" spans="2:23" x14ac:dyDescent="0.2">
      <c r="B628" s="311"/>
      <c r="E628" s="314"/>
      <c r="J628" s="309"/>
      <c r="L628" s="309"/>
      <c r="W628" s="309"/>
    </row>
    <row r="629" spans="2:23" x14ac:dyDescent="0.2">
      <c r="B629" s="311"/>
      <c r="E629" s="314"/>
      <c r="J629" s="309"/>
      <c r="L629" s="309"/>
      <c r="W629" s="309"/>
    </row>
    <row r="630" spans="2:23" x14ac:dyDescent="0.2">
      <c r="B630" s="311"/>
      <c r="E630" s="314"/>
      <c r="J630" s="309"/>
      <c r="L630" s="309"/>
      <c r="W630" s="309"/>
    </row>
    <row r="631" spans="2:23" x14ac:dyDescent="0.2">
      <c r="B631" s="311"/>
      <c r="E631" s="314"/>
      <c r="J631" s="309"/>
      <c r="L631" s="309"/>
      <c r="W631" s="309"/>
    </row>
    <row r="632" spans="2:23" x14ac:dyDescent="0.2">
      <c r="B632" s="311"/>
      <c r="E632" s="314"/>
      <c r="J632" s="309"/>
      <c r="L632" s="309"/>
      <c r="W632" s="309"/>
    </row>
    <row r="633" spans="2:23" x14ac:dyDescent="0.2">
      <c r="B633" s="311"/>
      <c r="E633" s="314"/>
      <c r="J633" s="309"/>
      <c r="L633" s="309"/>
      <c r="W633" s="309"/>
    </row>
    <row r="634" spans="2:23" x14ac:dyDescent="0.2">
      <c r="B634" s="311"/>
      <c r="E634" s="314"/>
      <c r="J634" s="309"/>
      <c r="L634" s="309"/>
      <c r="W634" s="309"/>
    </row>
    <row r="635" spans="2:23" x14ac:dyDescent="0.2">
      <c r="B635" s="311"/>
      <c r="E635" s="314"/>
      <c r="J635" s="309"/>
      <c r="L635" s="309"/>
      <c r="W635" s="309"/>
    </row>
    <row r="636" spans="2:23" x14ac:dyDescent="0.2">
      <c r="B636" s="311"/>
      <c r="E636" s="314"/>
      <c r="J636" s="309"/>
      <c r="L636" s="309"/>
      <c r="W636" s="309"/>
    </row>
    <row r="637" spans="2:23" x14ac:dyDescent="0.2">
      <c r="B637" s="311"/>
      <c r="E637" s="314"/>
      <c r="J637" s="309"/>
      <c r="L637" s="309"/>
      <c r="W637" s="309"/>
    </row>
    <row r="638" spans="2:23" x14ac:dyDescent="0.2">
      <c r="B638" s="311"/>
      <c r="E638" s="314"/>
      <c r="J638" s="309"/>
      <c r="L638" s="309"/>
      <c r="W638" s="309"/>
    </row>
    <row r="639" spans="2:23" x14ac:dyDescent="0.2">
      <c r="B639" s="311"/>
      <c r="E639" s="314"/>
      <c r="J639" s="309"/>
      <c r="L639" s="309"/>
      <c r="W639" s="309"/>
    </row>
    <row r="640" spans="2:23" x14ac:dyDescent="0.2">
      <c r="B640" s="311"/>
      <c r="E640" s="314"/>
      <c r="J640" s="309"/>
      <c r="L640" s="309"/>
      <c r="W640" s="309"/>
    </row>
    <row r="641" spans="2:23" x14ac:dyDescent="0.2">
      <c r="B641" s="311"/>
      <c r="E641" s="314"/>
      <c r="J641" s="309"/>
      <c r="L641" s="309"/>
      <c r="W641" s="309"/>
    </row>
    <row r="642" spans="2:23" x14ac:dyDescent="0.2">
      <c r="B642" s="311"/>
      <c r="E642" s="314"/>
      <c r="J642" s="309"/>
      <c r="L642" s="309"/>
      <c r="W642" s="309"/>
    </row>
    <row r="643" spans="2:23" x14ac:dyDescent="0.2">
      <c r="B643" s="311"/>
      <c r="E643" s="314"/>
      <c r="J643" s="309"/>
      <c r="L643" s="309"/>
      <c r="W643" s="309"/>
    </row>
    <row r="644" spans="2:23" x14ac:dyDescent="0.2">
      <c r="B644" s="311"/>
      <c r="E644" s="314"/>
      <c r="J644" s="309"/>
      <c r="L644" s="309"/>
      <c r="W644" s="309"/>
    </row>
    <row r="645" spans="2:23" x14ac:dyDescent="0.2">
      <c r="B645" s="311"/>
      <c r="E645" s="314"/>
      <c r="J645" s="309"/>
      <c r="L645" s="309"/>
      <c r="W645" s="309"/>
    </row>
    <row r="646" spans="2:23" x14ac:dyDescent="0.2">
      <c r="B646" s="311"/>
      <c r="E646" s="314"/>
      <c r="J646" s="309"/>
      <c r="L646" s="309"/>
      <c r="W646" s="309"/>
    </row>
    <row r="647" spans="2:23" x14ac:dyDescent="0.2">
      <c r="B647" s="311"/>
      <c r="E647" s="314"/>
      <c r="J647" s="309"/>
      <c r="L647" s="309"/>
      <c r="W647" s="309"/>
    </row>
    <row r="648" spans="2:23" x14ac:dyDescent="0.2">
      <c r="B648" s="311"/>
      <c r="E648" s="314"/>
      <c r="J648" s="309"/>
      <c r="L648" s="309"/>
      <c r="W648" s="309"/>
    </row>
    <row r="649" spans="2:23" x14ac:dyDescent="0.2">
      <c r="B649" s="311"/>
      <c r="E649" s="314"/>
      <c r="J649" s="309"/>
      <c r="L649" s="309"/>
      <c r="W649" s="309"/>
    </row>
    <row r="650" spans="2:23" x14ac:dyDescent="0.2">
      <c r="B650" s="311"/>
      <c r="E650" s="314"/>
      <c r="J650" s="309"/>
      <c r="L650" s="309"/>
      <c r="W650" s="309"/>
    </row>
    <row r="651" spans="2:23" x14ac:dyDescent="0.2">
      <c r="B651" s="311"/>
      <c r="E651" s="314"/>
      <c r="J651" s="309"/>
      <c r="L651" s="309"/>
      <c r="W651" s="309"/>
    </row>
    <row r="652" spans="2:23" x14ac:dyDescent="0.2">
      <c r="B652" s="311"/>
      <c r="E652" s="314"/>
      <c r="J652" s="309"/>
      <c r="L652" s="309"/>
      <c r="W652" s="309"/>
    </row>
    <row r="653" spans="2:23" x14ac:dyDescent="0.2">
      <c r="B653" s="311"/>
      <c r="E653" s="314"/>
      <c r="J653" s="309"/>
      <c r="L653" s="309"/>
      <c r="W653" s="309"/>
    </row>
    <row r="654" spans="2:23" x14ac:dyDescent="0.2">
      <c r="B654" s="311"/>
      <c r="E654" s="314"/>
      <c r="J654" s="309"/>
      <c r="L654" s="309"/>
      <c r="W654" s="309"/>
    </row>
    <row r="655" spans="2:23" x14ac:dyDescent="0.2">
      <c r="B655" s="311"/>
      <c r="E655" s="314"/>
      <c r="J655" s="309"/>
      <c r="L655" s="309"/>
      <c r="W655" s="309"/>
    </row>
    <row r="656" spans="2:23" x14ac:dyDescent="0.2">
      <c r="B656" s="311"/>
      <c r="E656" s="314"/>
      <c r="J656" s="309"/>
      <c r="L656" s="309"/>
      <c r="W656" s="309"/>
    </row>
    <row r="657" spans="2:23" x14ac:dyDescent="0.2">
      <c r="B657" s="311"/>
      <c r="E657" s="314"/>
      <c r="J657" s="309"/>
      <c r="L657" s="309"/>
      <c r="W657" s="309"/>
    </row>
    <row r="658" spans="2:23" x14ac:dyDescent="0.2">
      <c r="B658" s="311"/>
      <c r="E658" s="314"/>
      <c r="J658" s="309"/>
      <c r="L658" s="309"/>
      <c r="W658" s="309"/>
    </row>
    <row r="659" spans="2:23" x14ac:dyDescent="0.2">
      <c r="B659" s="311"/>
      <c r="E659" s="314"/>
      <c r="J659" s="309"/>
      <c r="L659" s="309"/>
      <c r="W659" s="309"/>
    </row>
    <row r="660" spans="2:23" x14ac:dyDescent="0.2">
      <c r="B660" s="311"/>
      <c r="E660" s="314"/>
      <c r="J660" s="309"/>
      <c r="L660" s="309"/>
      <c r="W660" s="309"/>
    </row>
    <row r="661" spans="2:23" x14ac:dyDescent="0.2">
      <c r="B661" s="311"/>
      <c r="E661" s="314"/>
      <c r="J661" s="309"/>
      <c r="L661" s="309"/>
      <c r="W661" s="309"/>
    </row>
    <row r="662" spans="2:23" x14ac:dyDescent="0.2">
      <c r="B662" s="311"/>
      <c r="E662" s="314"/>
      <c r="J662" s="309"/>
      <c r="L662" s="309"/>
      <c r="W662" s="309"/>
    </row>
    <row r="663" spans="2:23" x14ac:dyDescent="0.2">
      <c r="B663" s="311"/>
      <c r="E663" s="314"/>
      <c r="J663" s="309"/>
      <c r="L663" s="309"/>
      <c r="W663" s="309"/>
    </row>
    <row r="664" spans="2:23" x14ac:dyDescent="0.2">
      <c r="B664" s="311"/>
      <c r="E664" s="314"/>
      <c r="J664" s="309"/>
      <c r="L664" s="309"/>
      <c r="W664" s="309"/>
    </row>
    <row r="665" spans="2:23" x14ac:dyDescent="0.2">
      <c r="B665" s="311"/>
      <c r="E665" s="314"/>
      <c r="J665" s="309"/>
      <c r="L665" s="309"/>
      <c r="W665" s="309"/>
    </row>
    <row r="666" spans="2:23" x14ac:dyDescent="0.2">
      <c r="B666" s="311"/>
      <c r="E666" s="314"/>
      <c r="J666" s="309"/>
      <c r="L666" s="309"/>
      <c r="W666" s="309"/>
    </row>
    <row r="667" spans="2:23" x14ac:dyDescent="0.2">
      <c r="B667" s="311"/>
      <c r="E667" s="314"/>
      <c r="J667" s="309"/>
      <c r="L667" s="309"/>
      <c r="W667" s="309"/>
    </row>
    <row r="668" spans="2:23" x14ac:dyDescent="0.2">
      <c r="B668" s="311"/>
      <c r="E668" s="314"/>
      <c r="J668" s="309"/>
      <c r="L668" s="309"/>
      <c r="W668" s="309"/>
    </row>
    <row r="669" spans="2:23" x14ac:dyDescent="0.2">
      <c r="B669" s="311"/>
      <c r="E669" s="314"/>
      <c r="J669" s="309"/>
      <c r="L669" s="309"/>
      <c r="W669" s="309"/>
    </row>
    <row r="670" spans="2:23" x14ac:dyDescent="0.2">
      <c r="B670" s="311"/>
      <c r="E670" s="314"/>
      <c r="J670" s="309"/>
      <c r="L670" s="309"/>
      <c r="W670" s="309"/>
    </row>
    <row r="671" spans="2:23" x14ac:dyDescent="0.2">
      <c r="B671" s="311"/>
      <c r="E671" s="314"/>
      <c r="J671" s="309"/>
      <c r="L671" s="309"/>
      <c r="W671" s="309"/>
    </row>
    <row r="672" spans="2:23" x14ac:dyDescent="0.2">
      <c r="B672" s="311"/>
      <c r="E672" s="314"/>
      <c r="J672" s="309"/>
      <c r="L672" s="309"/>
      <c r="W672" s="309"/>
    </row>
    <row r="673" spans="2:23" x14ac:dyDescent="0.2">
      <c r="B673" s="311"/>
      <c r="E673" s="314"/>
      <c r="J673" s="309"/>
      <c r="L673" s="309"/>
      <c r="W673" s="309"/>
    </row>
    <row r="674" spans="2:23" x14ac:dyDescent="0.2">
      <c r="B674" s="311"/>
      <c r="E674" s="314"/>
      <c r="J674" s="309"/>
      <c r="L674" s="309"/>
      <c r="W674" s="309"/>
    </row>
    <row r="675" spans="2:23" x14ac:dyDescent="0.2">
      <c r="B675" s="311"/>
      <c r="E675" s="314"/>
      <c r="J675" s="309"/>
      <c r="L675" s="309"/>
      <c r="W675" s="309"/>
    </row>
    <row r="676" spans="2:23" x14ac:dyDescent="0.2">
      <c r="B676" s="311"/>
      <c r="E676" s="314"/>
      <c r="J676" s="309"/>
      <c r="L676" s="309"/>
      <c r="W676" s="309"/>
    </row>
    <row r="677" spans="2:23" x14ac:dyDescent="0.2">
      <c r="B677" s="311"/>
      <c r="E677" s="314"/>
      <c r="J677" s="309"/>
      <c r="L677" s="309"/>
      <c r="W677" s="309"/>
    </row>
    <row r="678" spans="2:23" x14ac:dyDescent="0.2">
      <c r="B678" s="311"/>
      <c r="E678" s="314"/>
      <c r="J678" s="309"/>
      <c r="L678" s="309"/>
      <c r="W678" s="309"/>
    </row>
    <row r="679" spans="2:23" x14ac:dyDescent="0.2">
      <c r="B679" s="311"/>
      <c r="E679" s="314"/>
      <c r="J679" s="309"/>
      <c r="L679" s="309"/>
      <c r="W679" s="309"/>
    </row>
    <row r="680" spans="2:23" x14ac:dyDescent="0.2">
      <c r="B680" s="311"/>
      <c r="E680" s="314"/>
      <c r="J680" s="309"/>
      <c r="L680" s="309"/>
      <c r="W680" s="309"/>
    </row>
    <row r="681" spans="2:23" x14ac:dyDescent="0.2">
      <c r="B681" s="311"/>
      <c r="E681" s="314"/>
      <c r="J681" s="309"/>
      <c r="L681" s="309"/>
      <c r="W681" s="309"/>
    </row>
    <row r="682" spans="2:23" x14ac:dyDescent="0.2">
      <c r="B682" s="311"/>
      <c r="E682" s="314"/>
      <c r="J682" s="309"/>
      <c r="L682" s="309"/>
      <c r="W682" s="309"/>
    </row>
    <row r="683" spans="2:23" x14ac:dyDescent="0.2">
      <c r="B683" s="311"/>
      <c r="E683" s="314"/>
      <c r="J683" s="309"/>
      <c r="L683" s="309"/>
      <c r="W683" s="309"/>
    </row>
    <row r="684" spans="2:23" x14ac:dyDescent="0.2">
      <c r="B684" s="311"/>
      <c r="E684" s="314"/>
      <c r="J684" s="309"/>
      <c r="L684" s="309"/>
      <c r="W684" s="309"/>
    </row>
    <row r="685" spans="2:23" x14ac:dyDescent="0.2">
      <c r="B685" s="311"/>
      <c r="E685" s="314"/>
      <c r="J685" s="309"/>
      <c r="L685" s="309"/>
      <c r="W685" s="309"/>
    </row>
    <row r="686" spans="2:23" x14ac:dyDescent="0.2">
      <c r="B686" s="311"/>
      <c r="E686" s="314"/>
      <c r="J686" s="309"/>
      <c r="L686" s="309"/>
      <c r="W686" s="309"/>
    </row>
    <row r="687" spans="2:23" x14ac:dyDescent="0.2">
      <c r="B687" s="311"/>
      <c r="E687" s="314"/>
      <c r="J687" s="309"/>
      <c r="L687" s="309"/>
      <c r="W687" s="309"/>
    </row>
    <row r="688" spans="2:23" x14ac:dyDescent="0.2">
      <c r="B688" s="311"/>
      <c r="E688" s="314"/>
      <c r="J688" s="309"/>
      <c r="L688" s="309"/>
      <c r="W688" s="309"/>
    </row>
    <row r="689" spans="2:23" x14ac:dyDescent="0.2">
      <c r="B689" s="311"/>
      <c r="E689" s="314"/>
      <c r="J689" s="309"/>
      <c r="L689" s="309"/>
      <c r="W689" s="309"/>
    </row>
    <row r="690" spans="2:23" x14ac:dyDescent="0.2">
      <c r="B690" s="311"/>
      <c r="E690" s="314"/>
      <c r="J690" s="309"/>
      <c r="L690" s="309"/>
      <c r="W690" s="309"/>
    </row>
    <row r="691" spans="2:23" x14ac:dyDescent="0.2">
      <c r="B691" s="311"/>
      <c r="E691" s="314"/>
      <c r="J691" s="309"/>
      <c r="L691" s="309"/>
      <c r="W691" s="309"/>
    </row>
    <row r="692" spans="2:23" x14ac:dyDescent="0.2">
      <c r="B692" s="311"/>
      <c r="E692" s="314"/>
      <c r="J692" s="309"/>
      <c r="L692" s="309"/>
      <c r="W692" s="309"/>
    </row>
    <row r="693" spans="2:23" x14ac:dyDescent="0.2">
      <c r="B693" s="311"/>
      <c r="E693" s="314"/>
      <c r="J693" s="309"/>
      <c r="L693" s="309"/>
      <c r="W693" s="309"/>
    </row>
    <row r="694" spans="2:23" x14ac:dyDescent="0.2">
      <c r="B694" s="311"/>
      <c r="E694" s="314"/>
      <c r="J694" s="309"/>
      <c r="L694" s="309"/>
      <c r="W694" s="309"/>
    </row>
    <row r="695" spans="2:23" x14ac:dyDescent="0.2">
      <c r="B695" s="311"/>
      <c r="E695" s="314"/>
      <c r="J695" s="309"/>
      <c r="L695" s="309"/>
      <c r="W695" s="309"/>
    </row>
    <row r="696" spans="2:23" x14ac:dyDescent="0.2">
      <c r="B696" s="311"/>
      <c r="E696" s="314"/>
      <c r="J696" s="309"/>
      <c r="L696" s="309"/>
      <c r="W696" s="309"/>
    </row>
    <row r="697" spans="2:23" x14ac:dyDescent="0.2">
      <c r="B697" s="311"/>
      <c r="E697" s="314"/>
      <c r="J697" s="309"/>
      <c r="L697" s="309"/>
      <c r="W697" s="309"/>
    </row>
    <row r="698" spans="2:23" x14ac:dyDescent="0.2">
      <c r="B698" s="311"/>
      <c r="E698" s="314"/>
      <c r="J698" s="309"/>
      <c r="L698" s="309"/>
      <c r="W698" s="309"/>
    </row>
    <row r="699" spans="2:23" x14ac:dyDescent="0.2">
      <c r="B699" s="311"/>
      <c r="E699" s="314"/>
      <c r="J699" s="309"/>
      <c r="L699" s="309"/>
      <c r="W699" s="309"/>
    </row>
    <row r="700" spans="2:23" x14ac:dyDescent="0.2">
      <c r="B700" s="311"/>
      <c r="E700" s="314"/>
      <c r="J700" s="309"/>
      <c r="L700" s="309"/>
      <c r="W700" s="309"/>
    </row>
    <row r="701" spans="2:23" x14ac:dyDescent="0.2">
      <c r="B701" s="311"/>
      <c r="E701" s="314"/>
      <c r="J701" s="309"/>
      <c r="L701" s="309"/>
      <c r="W701" s="309"/>
    </row>
    <row r="702" spans="2:23" x14ac:dyDescent="0.2">
      <c r="B702" s="311"/>
      <c r="E702" s="314"/>
      <c r="J702" s="309"/>
      <c r="L702" s="309"/>
      <c r="W702" s="309"/>
    </row>
    <row r="703" spans="2:23" x14ac:dyDescent="0.2">
      <c r="B703" s="311"/>
      <c r="E703" s="314"/>
      <c r="J703" s="309"/>
      <c r="L703" s="309"/>
      <c r="W703" s="309"/>
    </row>
    <row r="704" spans="2:23" x14ac:dyDescent="0.2">
      <c r="B704" s="311"/>
      <c r="E704" s="314"/>
      <c r="J704" s="309"/>
      <c r="L704" s="309"/>
      <c r="W704" s="309"/>
    </row>
    <row r="705" spans="2:23" x14ac:dyDescent="0.2">
      <c r="B705" s="311"/>
      <c r="E705" s="314"/>
      <c r="J705" s="309"/>
      <c r="L705" s="309"/>
      <c r="W705" s="309"/>
    </row>
    <row r="706" spans="2:23" x14ac:dyDescent="0.2">
      <c r="B706" s="311"/>
      <c r="E706" s="314"/>
      <c r="J706" s="309"/>
      <c r="L706" s="309"/>
      <c r="W706" s="309"/>
    </row>
    <row r="707" spans="2:23" x14ac:dyDescent="0.2">
      <c r="B707" s="311"/>
      <c r="E707" s="314"/>
      <c r="J707" s="309"/>
      <c r="L707" s="309"/>
      <c r="W707" s="309"/>
    </row>
    <row r="708" spans="2:23" x14ac:dyDescent="0.2">
      <c r="B708" s="311"/>
      <c r="E708" s="314"/>
      <c r="J708" s="309"/>
      <c r="L708" s="309"/>
      <c r="W708" s="309"/>
    </row>
    <row r="709" spans="2:23" x14ac:dyDescent="0.2">
      <c r="B709" s="311"/>
      <c r="E709" s="314"/>
      <c r="J709" s="309"/>
      <c r="L709" s="309"/>
      <c r="W709" s="309"/>
    </row>
    <row r="710" spans="2:23" x14ac:dyDescent="0.2">
      <c r="B710" s="311"/>
      <c r="E710" s="314"/>
      <c r="J710" s="309"/>
      <c r="L710" s="309"/>
      <c r="W710" s="309"/>
    </row>
    <row r="711" spans="2:23" x14ac:dyDescent="0.2">
      <c r="B711" s="311"/>
      <c r="E711" s="314"/>
      <c r="J711" s="309"/>
      <c r="L711" s="309"/>
      <c r="W711" s="309"/>
    </row>
    <row r="712" spans="2:23" x14ac:dyDescent="0.2">
      <c r="B712" s="311"/>
      <c r="E712" s="314"/>
      <c r="J712" s="309"/>
      <c r="L712" s="309"/>
      <c r="W712" s="309"/>
    </row>
    <row r="713" spans="2:23" x14ac:dyDescent="0.2">
      <c r="B713" s="311"/>
      <c r="E713" s="314"/>
      <c r="J713" s="309"/>
      <c r="L713" s="309"/>
      <c r="W713" s="309"/>
    </row>
    <row r="714" spans="2:23" x14ac:dyDescent="0.2">
      <c r="B714" s="311"/>
      <c r="E714" s="314"/>
      <c r="J714" s="309"/>
      <c r="L714" s="309"/>
      <c r="W714" s="309"/>
    </row>
    <row r="715" spans="2:23" x14ac:dyDescent="0.2">
      <c r="B715" s="311"/>
      <c r="E715" s="314"/>
      <c r="J715" s="309"/>
      <c r="L715" s="309"/>
      <c r="W715" s="309"/>
    </row>
    <row r="716" spans="2:23" x14ac:dyDescent="0.2">
      <c r="B716" s="311"/>
      <c r="E716" s="314"/>
      <c r="J716" s="309"/>
      <c r="L716" s="309"/>
      <c r="W716" s="309"/>
    </row>
    <row r="717" spans="2:23" x14ac:dyDescent="0.2">
      <c r="B717" s="311"/>
      <c r="E717" s="314"/>
      <c r="J717" s="309"/>
      <c r="L717" s="309"/>
      <c r="W717" s="309"/>
    </row>
    <row r="718" spans="2:23" x14ac:dyDescent="0.2">
      <c r="B718" s="311"/>
      <c r="E718" s="314"/>
      <c r="J718" s="309"/>
      <c r="L718" s="309"/>
      <c r="W718" s="309"/>
    </row>
    <row r="719" spans="2:23" x14ac:dyDescent="0.2">
      <c r="B719" s="311"/>
      <c r="E719" s="314"/>
      <c r="J719" s="309"/>
      <c r="L719" s="309"/>
      <c r="W719" s="309"/>
    </row>
    <row r="720" spans="2:23" x14ac:dyDescent="0.2">
      <c r="B720" s="311"/>
      <c r="E720" s="314"/>
      <c r="J720" s="309"/>
      <c r="L720" s="309"/>
      <c r="W720" s="309"/>
    </row>
    <row r="721" spans="2:23" x14ac:dyDescent="0.2">
      <c r="B721" s="311"/>
      <c r="E721" s="314"/>
      <c r="J721" s="309"/>
      <c r="L721" s="309"/>
      <c r="W721" s="309"/>
    </row>
    <row r="722" spans="2:23" x14ac:dyDescent="0.2">
      <c r="B722" s="311"/>
      <c r="E722" s="314"/>
      <c r="J722" s="309"/>
      <c r="L722" s="309"/>
      <c r="W722" s="309"/>
    </row>
    <row r="723" spans="2:23" x14ac:dyDescent="0.2">
      <c r="B723" s="311"/>
      <c r="E723" s="314"/>
      <c r="J723" s="309"/>
      <c r="L723" s="309"/>
      <c r="W723" s="309"/>
    </row>
    <row r="724" spans="2:23" x14ac:dyDescent="0.2">
      <c r="B724" s="311"/>
      <c r="E724" s="314"/>
      <c r="J724" s="309"/>
      <c r="L724" s="309"/>
      <c r="W724" s="309"/>
    </row>
    <row r="725" spans="2:23" x14ac:dyDescent="0.2">
      <c r="B725" s="311"/>
      <c r="E725" s="314"/>
      <c r="J725" s="309"/>
      <c r="L725" s="309"/>
      <c r="W725" s="309"/>
    </row>
    <row r="726" spans="2:23" x14ac:dyDescent="0.2">
      <c r="B726" s="311"/>
      <c r="E726" s="314"/>
      <c r="J726" s="309"/>
      <c r="L726" s="309"/>
      <c r="W726" s="309"/>
    </row>
    <row r="727" spans="2:23" x14ac:dyDescent="0.2">
      <c r="B727" s="311"/>
      <c r="E727" s="314"/>
      <c r="J727" s="309"/>
      <c r="L727" s="309"/>
      <c r="W727" s="309"/>
    </row>
    <row r="728" spans="2:23" x14ac:dyDescent="0.2">
      <c r="B728" s="311"/>
      <c r="E728" s="314"/>
      <c r="J728" s="309"/>
      <c r="L728" s="309"/>
      <c r="W728" s="309"/>
    </row>
    <row r="729" spans="2:23" x14ac:dyDescent="0.2">
      <c r="B729" s="311"/>
      <c r="E729" s="314"/>
      <c r="J729" s="309"/>
      <c r="L729" s="309"/>
      <c r="W729" s="309"/>
    </row>
    <row r="730" spans="2:23" x14ac:dyDescent="0.2">
      <c r="B730" s="311"/>
      <c r="E730" s="314"/>
      <c r="J730" s="309"/>
      <c r="L730" s="309"/>
      <c r="W730" s="309"/>
    </row>
    <row r="731" spans="2:23" x14ac:dyDescent="0.2">
      <c r="B731" s="311"/>
      <c r="E731" s="314"/>
      <c r="J731" s="309"/>
      <c r="L731" s="309"/>
      <c r="W731" s="309"/>
    </row>
    <row r="732" spans="2:23" x14ac:dyDescent="0.2">
      <c r="B732" s="311"/>
      <c r="E732" s="314"/>
      <c r="J732" s="309"/>
      <c r="L732" s="309"/>
      <c r="W732" s="309"/>
    </row>
    <row r="733" spans="2:23" x14ac:dyDescent="0.2">
      <c r="B733" s="311"/>
      <c r="E733" s="314"/>
      <c r="J733" s="309"/>
      <c r="L733" s="309"/>
      <c r="W733" s="309"/>
    </row>
    <row r="734" spans="2:23" x14ac:dyDescent="0.2">
      <c r="B734" s="311"/>
      <c r="E734" s="314"/>
      <c r="J734" s="309"/>
      <c r="L734" s="309"/>
      <c r="W734" s="309"/>
    </row>
    <row r="735" spans="2:23" x14ac:dyDescent="0.2">
      <c r="B735" s="311"/>
      <c r="E735" s="314"/>
      <c r="J735" s="309"/>
      <c r="L735" s="309"/>
      <c r="W735" s="309"/>
    </row>
    <row r="736" spans="2:23" x14ac:dyDescent="0.2">
      <c r="B736" s="311"/>
      <c r="E736" s="314"/>
      <c r="J736" s="309"/>
      <c r="L736" s="309"/>
      <c r="W736" s="309"/>
    </row>
    <row r="737" spans="2:23" x14ac:dyDescent="0.2">
      <c r="B737" s="311"/>
      <c r="E737" s="314"/>
      <c r="J737" s="309"/>
      <c r="L737" s="309"/>
      <c r="W737" s="309"/>
    </row>
    <row r="738" spans="2:23" x14ac:dyDescent="0.2">
      <c r="B738" s="311"/>
      <c r="E738" s="314"/>
      <c r="J738" s="309"/>
      <c r="L738" s="309"/>
      <c r="W738" s="309"/>
    </row>
    <row r="739" spans="2:23" x14ac:dyDescent="0.2">
      <c r="B739" s="311"/>
      <c r="E739" s="314"/>
      <c r="J739" s="309"/>
      <c r="L739" s="309"/>
      <c r="W739" s="309"/>
    </row>
    <row r="740" spans="2:23" x14ac:dyDescent="0.2">
      <c r="B740" s="311"/>
      <c r="E740" s="314"/>
      <c r="J740" s="309"/>
      <c r="L740" s="309"/>
      <c r="W740" s="309"/>
    </row>
    <row r="741" spans="2:23" x14ac:dyDescent="0.2">
      <c r="B741" s="311"/>
      <c r="E741" s="314"/>
      <c r="J741" s="309"/>
      <c r="L741" s="309"/>
      <c r="W741" s="309"/>
    </row>
    <row r="742" spans="2:23" x14ac:dyDescent="0.2">
      <c r="B742" s="311"/>
      <c r="E742" s="314"/>
      <c r="J742" s="309"/>
      <c r="L742" s="309"/>
      <c r="W742" s="309"/>
    </row>
    <row r="743" spans="2:23" x14ac:dyDescent="0.2">
      <c r="B743" s="311"/>
      <c r="E743" s="314"/>
      <c r="J743" s="309"/>
      <c r="L743" s="309"/>
      <c r="W743" s="309"/>
    </row>
    <row r="744" spans="2:23" x14ac:dyDescent="0.2">
      <c r="B744" s="311"/>
      <c r="E744" s="314"/>
      <c r="J744" s="309"/>
      <c r="L744" s="309"/>
      <c r="W744" s="309"/>
    </row>
    <row r="745" spans="2:23" x14ac:dyDescent="0.2">
      <c r="B745" s="311"/>
      <c r="E745" s="314"/>
      <c r="J745" s="309"/>
      <c r="L745" s="309"/>
      <c r="W745" s="309"/>
    </row>
    <row r="746" spans="2:23" x14ac:dyDescent="0.2">
      <c r="B746" s="311"/>
      <c r="E746" s="314"/>
      <c r="J746" s="309"/>
      <c r="L746" s="309"/>
      <c r="W746" s="309"/>
    </row>
    <row r="747" spans="2:23" x14ac:dyDescent="0.2">
      <c r="B747" s="311"/>
      <c r="E747" s="314"/>
      <c r="J747" s="309"/>
      <c r="L747" s="309"/>
      <c r="W747" s="309"/>
    </row>
    <row r="748" spans="2:23" x14ac:dyDescent="0.2">
      <c r="B748" s="311"/>
      <c r="E748" s="314"/>
      <c r="J748" s="309"/>
      <c r="L748" s="309"/>
      <c r="W748" s="309"/>
    </row>
    <row r="749" spans="2:23" x14ac:dyDescent="0.2">
      <c r="B749" s="311"/>
      <c r="E749" s="314"/>
      <c r="J749" s="309"/>
      <c r="L749" s="309"/>
      <c r="W749" s="309"/>
    </row>
    <row r="750" spans="2:23" x14ac:dyDescent="0.2">
      <c r="B750" s="311"/>
      <c r="E750" s="314"/>
      <c r="J750" s="309"/>
      <c r="L750" s="309"/>
      <c r="W750" s="309"/>
    </row>
    <row r="751" spans="2:23" x14ac:dyDescent="0.2">
      <c r="B751" s="311"/>
      <c r="E751" s="314"/>
      <c r="J751" s="309"/>
      <c r="L751" s="309"/>
      <c r="W751" s="309"/>
    </row>
    <row r="752" spans="2:23" x14ac:dyDescent="0.2">
      <c r="B752" s="311"/>
      <c r="E752" s="314"/>
      <c r="J752" s="309"/>
      <c r="L752" s="309"/>
      <c r="W752" s="309"/>
    </row>
    <row r="753" spans="2:23" x14ac:dyDescent="0.2">
      <c r="B753" s="311"/>
      <c r="E753" s="314"/>
      <c r="J753" s="309"/>
      <c r="L753" s="309"/>
      <c r="W753" s="309"/>
    </row>
    <row r="754" spans="2:23" x14ac:dyDescent="0.2">
      <c r="B754" s="311"/>
      <c r="E754" s="314"/>
      <c r="J754" s="309"/>
      <c r="L754" s="309"/>
      <c r="W754" s="309"/>
    </row>
    <row r="755" spans="2:23" x14ac:dyDescent="0.2">
      <c r="B755" s="311"/>
      <c r="E755" s="314"/>
      <c r="J755" s="309"/>
      <c r="L755" s="309"/>
      <c r="W755" s="309"/>
    </row>
    <row r="756" spans="2:23" x14ac:dyDescent="0.2">
      <c r="B756" s="311"/>
      <c r="E756" s="314"/>
      <c r="J756" s="309"/>
      <c r="L756" s="309"/>
      <c r="W756" s="309"/>
    </row>
    <row r="757" spans="2:23" x14ac:dyDescent="0.2">
      <c r="B757" s="311"/>
      <c r="E757" s="314"/>
      <c r="J757" s="309"/>
      <c r="L757" s="309"/>
      <c r="W757" s="309"/>
    </row>
    <row r="758" spans="2:23" x14ac:dyDescent="0.2">
      <c r="B758" s="311"/>
      <c r="E758" s="314"/>
      <c r="J758" s="309"/>
      <c r="L758" s="309"/>
      <c r="W758" s="309"/>
    </row>
    <row r="759" spans="2:23" x14ac:dyDescent="0.2">
      <c r="B759" s="311"/>
      <c r="E759" s="314"/>
      <c r="J759" s="309"/>
      <c r="L759" s="309"/>
      <c r="W759" s="309"/>
    </row>
    <row r="760" spans="2:23" x14ac:dyDescent="0.2">
      <c r="B760" s="311"/>
      <c r="E760" s="314"/>
      <c r="J760" s="309"/>
      <c r="L760" s="309"/>
      <c r="W760" s="309"/>
    </row>
    <row r="761" spans="2:23" x14ac:dyDescent="0.2">
      <c r="B761" s="311"/>
      <c r="E761" s="314"/>
      <c r="J761" s="309"/>
      <c r="L761" s="309"/>
      <c r="W761" s="309"/>
    </row>
    <row r="762" spans="2:23" x14ac:dyDescent="0.2">
      <c r="B762" s="311"/>
      <c r="E762" s="314"/>
      <c r="J762" s="309"/>
      <c r="L762" s="309"/>
      <c r="W762" s="309"/>
    </row>
    <row r="763" spans="2:23" x14ac:dyDescent="0.2">
      <c r="B763" s="311"/>
      <c r="E763" s="314"/>
      <c r="J763" s="309"/>
      <c r="L763" s="309"/>
      <c r="W763" s="309"/>
    </row>
    <row r="764" spans="2:23" x14ac:dyDescent="0.2">
      <c r="B764" s="311"/>
      <c r="E764" s="314"/>
      <c r="J764" s="309"/>
      <c r="L764" s="309"/>
      <c r="W764" s="309"/>
    </row>
    <row r="765" spans="2:23" x14ac:dyDescent="0.2">
      <c r="B765" s="311"/>
      <c r="E765" s="314"/>
      <c r="J765" s="309"/>
      <c r="L765" s="309"/>
      <c r="W765" s="309"/>
    </row>
    <row r="766" spans="2:23" x14ac:dyDescent="0.2">
      <c r="B766" s="311"/>
      <c r="E766" s="314"/>
      <c r="J766" s="309"/>
      <c r="L766" s="309"/>
      <c r="W766" s="309"/>
    </row>
    <row r="767" spans="2:23" x14ac:dyDescent="0.2">
      <c r="B767" s="311"/>
      <c r="E767" s="314"/>
      <c r="J767" s="309"/>
      <c r="L767" s="309"/>
      <c r="W767" s="309"/>
    </row>
    <row r="768" spans="2:23" x14ac:dyDescent="0.2">
      <c r="B768" s="311"/>
      <c r="E768" s="314"/>
      <c r="J768" s="309"/>
      <c r="L768" s="309"/>
      <c r="W768" s="309"/>
    </row>
    <row r="769" spans="2:23" x14ac:dyDescent="0.2">
      <c r="B769" s="311"/>
      <c r="E769" s="314"/>
      <c r="J769" s="309"/>
      <c r="L769" s="309"/>
      <c r="W769" s="309"/>
    </row>
    <row r="770" spans="2:23" x14ac:dyDescent="0.2">
      <c r="B770" s="311"/>
      <c r="E770" s="314"/>
      <c r="J770" s="309"/>
      <c r="L770" s="309"/>
      <c r="W770" s="309"/>
    </row>
    <row r="771" spans="2:23" x14ac:dyDescent="0.2">
      <c r="B771" s="311"/>
      <c r="E771" s="314"/>
      <c r="J771" s="309"/>
      <c r="L771" s="309"/>
      <c r="W771" s="309"/>
    </row>
    <row r="772" spans="2:23" x14ac:dyDescent="0.2">
      <c r="B772" s="311"/>
      <c r="E772" s="314"/>
      <c r="J772" s="309"/>
      <c r="L772" s="309"/>
      <c r="W772" s="309"/>
    </row>
    <row r="773" spans="2:23" x14ac:dyDescent="0.2">
      <c r="B773" s="311"/>
      <c r="E773" s="314"/>
      <c r="J773" s="309"/>
      <c r="L773" s="309"/>
      <c r="W773" s="309"/>
    </row>
    <row r="774" spans="2:23" x14ac:dyDescent="0.2">
      <c r="B774" s="311"/>
      <c r="E774" s="314"/>
      <c r="J774" s="309"/>
      <c r="L774" s="309"/>
      <c r="W774" s="309"/>
    </row>
    <row r="775" spans="2:23" x14ac:dyDescent="0.2">
      <c r="B775" s="311"/>
      <c r="E775" s="314"/>
      <c r="J775" s="309"/>
      <c r="L775" s="309"/>
      <c r="W775" s="309"/>
    </row>
    <row r="776" spans="2:23" x14ac:dyDescent="0.2">
      <c r="B776" s="311"/>
      <c r="E776" s="314"/>
      <c r="J776" s="309"/>
      <c r="L776" s="309"/>
      <c r="W776" s="309"/>
    </row>
    <row r="777" spans="2:23" x14ac:dyDescent="0.2">
      <c r="B777" s="311"/>
      <c r="E777" s="314"/>
      <c r="J777" s="309"/>
      <c r="L777" s="309"/>
      <c r="W777" s="309"/>
    </row>
    <row r="778" spans="2:23" x14ac:dyDescent="0.2">
      <c r="B778" s="311"/>
      <c r="E778" s="314"/>
      <c r="J778" s="309"/>
      <c r="L778" s="309"/>
      <c r="W778" s="309"/>
    </row>
    <row r="779" spans="2:23" x14ac:dyDescent="0.2">
      <c r="B779" s="311"/>
      <c r="E779" s="314"/>
      <c r="J779" s="309"/>
      <c r="L779" s="309"/>
      <c r="W779" s="309"/>
    </row>
    <row r="780" spans="2:23" x14ac:dyDescent="0.2">
      <c r="B780" s="311"/>
      <c r="E780" s="314"/>
      <c r="J780" s="309"/>
      <c r="L780" s="309"/>
      <c r="W780" s="309"/>
    </row>
    <row r="781" spans="2:23" x14ac:dyDescent="0.2">
      <c r="B781" s="311"/>
      <c r="E781" s="314"/>
      <c r="J781" s="309"/>
      <c r="L781" s="309"/>
      <c r="W781" s="309"/>
    </row>
    <row r="782" spans="2:23" x14ac:dyDescent="0.2">
      <c r="B782" s="311"/>
      <c r="E782" s="314"/>
      <c r="J782" s="309"/>
      <c r="L782" s="309"/>
      <c r="W782" s="309"/>
    </row>
    <row r="783" spans="2:23" x14ac:dyDescent="0.2">
      <c r="B783" s="311"/>
      <c r="E783" s="314"/>
      <c r="J783" s="309"/>
      <c r="L783" s="309"/>
      <c r="W783" s="309"/>
    </row>
    <row r="784" spans="2:23" x14ac:dyDescent="0.2">
      <c r="B784" s="311"/>
      <c r="E784" s="314"/>
      <c r="J784" s="309"/>
      <c r="L784" s="309"/>
      <c r="W784" s="309"/>
    </row>
    <row r="785" spans="2:23" x14ac:dyDescent="0.2">
      <c r="B785" s="311"/>
      <c r="E785" s="314"/>
      <c r="J785" s="309"/>
      <c r="L785" s="309"/>
      <c r="W785" s="309"/>
    </row>
    <row r="786" spans="2:23" x14ac:dyDescent="0.2">
      <c r="B786" s="311"/>
      <c r="E786" s="314"/>
      <c r="J786" s="309"/>
      <c r="L786" s="309"/>
      <c r="W786" s="309"/>
    </row>
    <row r="787" spans="2:23" x14ac:dyDescent="0.2">
      <c r="B787" s="311"/>
      <c r="E787" s="314"/>
      <c r="J787" s="309"/>
      <c r="L787" s="309"/>
      <c r="W787" s="309"/>
    </row>
    <row r="788" spans="2:23" x14ac:dyDescent="0.2">
      <c r="B788" s="311"/>
      <c r="E788" s="314"/>
      <c r="J788" s="309"/>
      <c r="L788" s="309"/>
      <c r="W788" s="309"/>
    </row>
    <row r="789" spans="2:23" x14ac:dyDescent="0.2">
      <c r="B789" s="311"/>
      <c r="E789" s="314"/>
      <c r="J789" s="309"/>
      <c r="L789" s="309"/>
      <c r="W789" s="309"/>
    </row>
    <row r="790" spans="2:23" x14ac:dyDescent="0.2">
      <c r="B790" s="311"/>
      <c r="E790" s="314"/>
      <c r="J790" s="309"/>
      <c r="L790" s="309"/>
      <c r="W790" s="309"/>
    </row>
    <row r="791" spans="2:23" x14ac:dyDescent="0.2">
      <c r="B791" s="311"/>
      <c r="E791" s="314"/>
      <c r="J791" s="309"/>
      <c r="L791" s="309"/>
      <c r="W791" s="309"/>
    </row>
    <row r="792" spans="2:23" x14ac:dyDescent="0.2">
      <c r="B792" s="311"/>
      <c r="E792" s="314"/>
      <c r="J792" s="309"/>
      <c r="L792" s="309"/>
      <c r="W792" s="309"/>
    </row>
    <row r="793" spans="2:23" x14ac:dyDescent="0.2">
      <c r="B793" s="311"/>
      <c r="E793" s="314"/>
      <c r="J793" s="309"/>
      <c r="L793" s="309"/>
      <c r="W793" s="309"/>
    </row>
    <row r="794" spans="2:23" x14ac:dyDescent="0.2">
      <c r="B794" s="311"/>
      <c r="E794" s="314"/>
      <c r="J794" s="309"/>
      <c r="L794" s="309"/>
      <c r="W794" s="309"/>
    </row>
    <row r="795" spans="2:23" x14ac:dyDescent="0.2">
      <c r="B795" s="311"/>
      <c r="E795" s="314"/>
      <c r="J795" s="309"/>
      <c r="L795" s="309"/>
      <c r="W795" s="309"/>
    </row>
    <row r="796" spans="2:23" x14ac:dyDescent="0.2">
      <c r="B796" s="311"/>
      <c r="E796" s="314"/>
      <c r="J796" s="309"/>
      <c r="L796" s="309"/>
      <c r="W796" s="309"/>
    </row>
    <row r="797" spans="2:23" x14ac:dyDescent="0.2">
      <c r="B797" s="311"/>
      <c r="E797" s="314"/>
      <c r="J797" s="309"/>
      <c r="L797" s="309"/>
      <c r="W797" s="309"/>
    </row>
    <row r="798" spans="2:23" x14ac:dyDescent="0.2">
      <c r="B798" s="311"/>
      <c r="E798" s="314"/>
      <c r="J798" s="309"/>
      <c r="L798" s="309"/>
      <c r="W798" s="309"/>
    </row>
    <row r="799" spans="2:23" x14ac:dyDescent="0.2">
      <c r="B799" s="311"/>
      <c r="E799" s="314"/>
      <c r="J799" s="309"/>
      <c r="L799" s="309"/>
      <c r="W799" s="309"/>
    </row>
    <row r="800" spans="2:23" x14ac:dyDescent="0.2">
      <c r="B800" s="311"/>
      <c r="E800" s="314"/>
      <c r="J800" s="309"/>
      <c r="L800" s="309"/>
      <c r="W800" s="309"/>
    </row>
    <row r="801" spans="2:23" x14ac:dyDescent="0.2">
      <c r="B801" s="311"/>
      <c r="E801" s="314"/>
      <c r="J801" s="309"/>
      <c r="L801" s="309"/>
      <c r="W801" s="309"/>
    </row>
    <row r="802" spans="2:23" x14ac:dyDescent="0.2">
      <c r="B802" s="311"/>
      <c r="E802" s="314"/>
      <c r="J802" s="309"/>
      <c r="L802" s="309"/>
      <c r="W802" s="309"/>
    </row>
    <row r="803" spans="2:23" x14ac:dyDescent="0.2">
      <c r="B803" s="311"/>
      <c r="E803" s="314"/>
      <c r="J803" s="309"/>
      <c r="L803" s="309"/>
      <c r="W803" s="309"/>
    </row>
    <row r="804" spans="2:23" x14ac:dyDescent="0.2">
      <c r="B804" s="311"/>
      <c r="E804" s="314"/>
      <c r="J804" s="309"/>
      <c r="L804" s="309"/>
      <c r="W804" s="309"/>
    </row>
    <row r="805" spans="2:23" x14ac:dyDescent="0.2">
      <c r="B805" s="311"/>
      <c r="E805" s="314"/>
      <c r="J805" s="309"/>
      <c r="L805" s="309"/>
      <c r="W805" s="309"/>
    </row>
    <row r="806" spans="2:23" x14ac:dyDescent="0.2">
      <c r="B806" s="311"/>
      <c r="E806" s="314"/>
      <c r="J806" s="309"/>
      <c r="L806" s="309"/>
      <c r="W806" s="309"/>
    </row>
    <row r="807" spans="2:23" x14ac:dyDescent="0.2">
      <c r="B807" s="311"/>
      <c r="E807" s="314"/>
      <c r="J807" s="309"/>
      <c r="L807" s="309"/>
      <c r="W807" s="309"/>
    </row>
    <row r="808" spans="2:23" x14ac:dyDescent="0.2">
      <c r="B808" s="311"/>
      <c r="E808" s="314"/>
      <c r="J808" s="309"/>
      <c r="L808" s="309"/>
      <c r="W808" s="309"/>
    </row>
    <row r="809" spans="2:23" x14ac:dyDescent="0.2">
      <c r="B809" s="311"/>
      <c r="E809" s="314"/>
      <c r="J809" s="309"/>
      <c r="L809" s="309"/>
      <c r="W809" s="309"/>
    </row>
    <row r="810" spans="2:23" x14ac:dyDescent="0.2">
      <c r="B810" s="311"/>
      <c r="E810" s="314"/>
      <c r="J810" s="309"/>
      <c r="L810" s="309"/>
      <c r="W810" s="309"/>
    </row>
    <row r="811" spans="2:23" x14ac:dyDescent="0.2">
      <c r="B811" s="311"/>
      <c r="E811" s="314"/>
      <c r="J811" s="309"/>
      <c r="L811" s="309"/>
      <c r="W811" s="309"/>
    </row>
    <row r="812" spans="2:23" x14ac:dyDescent="0.2">
      <c r="B812" s="311"/>
      <c r="E812" s="314"/>
      <c r="J812" s="309"/>
      <c r="L812" s="309"/>
      <c r="W812" s="309"/>
    </row>
    <row r="813" spans="2:23" x14ac:dyDescent="0.2">
      <c r="B813" s="311"/>
      <c r="E813" s="314"/>
      <c r="J813" s="309"/>
      <c r="L813" s="309"/>
      <c r="W813" s="309"/>
    </row>
    <row r="814" spans="2:23" x14ac:dyDescent="0.2">
      <c r="B814" s="311"/>
      <c r="E814" s="314"/>
      <c r="J814" s="309"/>
      <c r="L814" s="309"/>
      <c r="W814" s="309"/>
    </row>
    <row r="815" spans="2:23" x14ac:dyDescent="0.2">
      <c r="B815" s="311"/>
      <c r="E815" s="314"/>
      <c r="J815" s="309"/>
      <c r="L815" s="309"/>
      <c r="W815" s="309"/>
    </row>
    <row r="816" spans="2:23" x14ac:dyDescent="0.2">
      <c r="B816" s="311"/>
      <c r="E816" s="314"/>
      <c r="J816" s="309"/>
      <c r="L816" s="309"/>
      <c r="W816" s="309"/>
    </row>
    <row r="817" spans="2:23" x14ac:dyDescent="0.2">
      <c r="B817" s="311"/>
      <c r="E817" s="314"/>
      <c r="J817" s="309"/>
      <c r="L817" s="309"/>
      <c r="W817" s="309"/>
    </row>
    <row r="818" spans="2:23" x14ac:dyDescent="0.2">
      <c r="B818" s="311"/>
      <c r="E818" s="314"/>
      <c r="J818" s="309"/>
      <c r="L818" s="309"/>
      <c r="W818" s="309"/>
    </row>
    <row r="819" spans="2:23" x14ac:dyDescent="0.2">
      <c r="B819" s="311"/>
      <c r="E819" s="314"/>
      <c r="J819" s="309"/>
      <c r="L819" s="309"/>
      <c r="W819" s="309"/>
    </row>
    <row r="820" spans="2:23" x14ac:dyDescent="0.2">
      <c r="B820" s="311"/>
      <c r="E820" s="314"/>
      <c r="J820" s="309"/>
      <c r="L820" s="309"/>
      <c r="W820" s="309"/>
    </row>
    <row r="821" spans="2:23" x14ac:dyDescent="0.2">
      <c r="B821" s="311"/>
      <c r="E821" s="314"/>
      <c r="J821" s="309"/>
      <c r="L821" s="309"/>
      <c r="W821" s="309"/>
    </row>
    <row r="822" spans="2:23" x14ac:dyDescent="0.2">
      <c r="B822" s="311"/>
      <c r="E822" s="314"/>
      <c r="J822" s="309"/>
      <c r="L822" s="309"/>
      <c r="W822" s="309"/>
    </row>
    <row r="823" spans="2:23" x14ac:dyDescent="0.2">
      <c r="B823" s="311"/>
      <c r="E823" s="314"/>
      <c r="J823" s="309"/>
      <c r="L823" s="309"/>
      <c r="W823" s="309"/>
    </row>
    <row r="824" spans="2:23" x14ac:dyDescent="0.2">
      <c r="B824" s="311"/>
      <c r="E824" s="314"/>
      <c r="J824" s="309"/>
      <c r="L824" s="309"/>
      <c r="W824" s="309"/>
    </row>
    <row r="825" spans="2:23" x14ac:dyDescent="0.2">
      <c r="B825" s="311"/>
      <c r="E825" s="314"/>
      <c r="J825" s="309"/>
      <c r="L825" s="309"/>
      <c r="W825" s="309"/>
    </row>
    <row r="826" spans="2:23" x14ac:dyDescent="0.2">
      <c r="B826" s="311"/>
      <c r="E826" s="314"/>
      <c r="J826" s="309"/>
      <c r="L826" s="309"/>
      <c r="W826" s="309"/>
    </row>
    <row r="827" spans="2:23" x14ac:dyDescent="0.2">
      <c r="B827" s="311"/>
      <c r="E827" s="314"/>
      <c r="J827" s="309"/>
      <c r="L827" s="309"/>
      <c r="W827" s="309"/>
    </row>
    <row r="828" spans="2:23" x14ac:dyDescent="0.2">
      <c r="B828" s="311"/>
      <c r="E828" s="314"/>
      <c r="J828" s="309"/>
      <c r="L828" s="309"/>
      <c r="W828" s="309"/>
    </row>
    <row r="829" spans="2:23" x14ac:dyDescent="0.2">
      <c r="B829" s="311"/>
      <c r="E829" s="314"/>
      <c r="J829" s="309"/>
      <c r="L829" s="309"/>
      <c r="W829" s="309"/>
    </row>
    <row r="830" spans="2:23" x14ac:dyDescent="0.2">
      <c r="B830" s="311"/>
      <c r="E830" s="314"/>
      <c r="J830" s="309"/>
      <c r="L830" s="309"/>
      <c r="W830" s="309"/>
    </row>
    <row r="831" spans="2:23" x14ac:dyDescent="0.2">
      <c r="B831" s="311"/>
      <c r="E831" s="314"/>
      <c r="J831" s="309"/>
      <c r="L831" s="309"/>
      <c r="W831" s="309"/>
    </row>
    <row r="832" spans="2:23" x14ac:dyDescent="0.2">
      <c r="B832" s="311"/>
      <c r="E832" s="314"/>
      <c r="J832" s="309"/>
      <c r="L832" s="309"/>
      <c r="W832" s="309"/>
    </row>
    <row r="833" spans="2:23" x14ac:dyDescent="0.2">
      <c r="B833" s="311"/>
      <c r="E833" s="314"/>
      <c r="J833" s="309"/>
      <c r="L833" s="309"/>
      <c r="W833" s="309"/>
    </row>
    <row r="834" spans="2:23" x14ac:dyDescent="0.2">
      <c r="B834" s="311"/>
      <c r="E834" s="314"/>
      <c r="J834" s="309"/>
      <c r="L834" s="309"/>
      <c r="W834" s="309"/>
    </row>
    <row r="835" spans="2:23" x14ac:dyDescent="0.2">
      <c r="B835" s="311"/>
      <c r="E835" s="314"/>
      <c r="J835" s="309"/>
      <c r="L835" s="309"/>
      <c r="W835" s="309"/>
    </row>
    <row r="836" spans="2:23" x14ac:dyDescent="0.2">
      <c r="B836" s="311"/>
      <c r="E836" s="314"/>
      <c r="J836" s="309"/>
      <c r="L836" s="309"/>
      <c r="W836" s="309"/>
    </row>
    <row r="837" spans="2:23" x14ac:dyDescent="0.2">
      <c r="B837" s="311"/>
      <c r="E837" s="314"/>
      <c r="J837" s="309"/>
      <c r="L837" s="309"/>
      <c r="W837" s="309"/>
    </row>
    <row r="838" spans="2:23" x14ac:dyDescent="0.2">
      <c r="B838" s="311"/>
      <c r="E838" s="314"/>
      <c r="J838" s="309"/>
      <c r="L838" s="309"/>
      <c r="W838" s="309"/>
    </row>
    <row r="839" spans="2:23" x14ac:dyDescent="0.2">
      <c r="B839" s="311"/>
      <c r="E839" s="314"/>
      <c r="J839" s="309"/>
      <c r="L839" s="309"/>
      <c r="W839" s="309"/>
    </row>
    <row r="840" spans="2:23" x14ac:dyDescent="0.2">
      <c r="B840" s="311"/>
      <c r="E840" s="314"/>
      <c r="J840" s="309"/>
      <c r="L840" s="309"/>
      <c r="W840" s="309"/>
    </row>
    <row r="841" spans="2:23" x14ac:dyDescent="0.2">
      <c r="B841" s="311"/>
      <c r="E841" s="314"/>
      <c r="J841" s="309"/>
      <c r="L841" s="309"/>
      <c r="W841" s="309"/>
    </row>
    <row r="842" spans="2:23" x14ac:dyDescent="0.2">
      <c r="B842" s="311"/>
      <c r="E842" s="314"/>
      <c r="J842" s="309"/>
      <c r="L842" s="309"/>
      <c r="W842" s="309"/>
    </row>
    <row r="843" spans="2:23" x14ac:dyDescent="0.2">
      <c r="B843" s="311"/>
      <c r="E843" s="314"/>
      <c r="J843" s="309"/>
      <c r="L843" s="309"/>
      <c r="W843" s="309"/>
    </row>
    <row r="844" spans="2:23" x14ac:dyDescent="0.2">
      <c r="B844" s="311"/>
      <c r="E844" s="314"/>
      <c r="J844" s="309"/>
      <c r="L844" s="309"/>
      <c r="W844" s="309"/>
    </row>
    <row r="845" spans="2:23" x14ac:dyDescent="0.2">
      <c r="B845" s="311"/>
      <c r="E845" s="314"/>
      <c r="J845" s="309"/>
      <c r="L845" s="309"/>
      <c r="W845" s="309"/>
    </row>
    <row r="846" spans="2:23" x14ac:dyDescent="0.2">
      <c r="B846" s="311"/>
      <c r="E846" s="314"/>
      <c r="J846" s="309"/>
      <c r="L846" s="309"/>
      <c r="W846" s="309"/>
    </row>
    <row r="847" spans="2:23" x14ac:dyDescent="0.2">
      <c r="B847" s="311"/>
      <c r="E847" s="314"/>
      <c r="J847" s="309"/>
      <c r="L847" s="309"/>
      <c r="W847" s="309"/>
    </row>
    <row r="848" spans="2:23" x14ac:dyDescent="0.2">
      <c r="B848" s="311"/>
      <c r="E848" s="314"/>
      <c r="J848" s="309"/>
      <c r="L848" s="309"/>
      <c r="W848" s="309"/>
    </row>
    <row r="849" spans="2:23" x14ac:dyDescent="0.2">
      <c r="B849" s="311"/>
      <c r="E849" s="314"/>
      <c r="J849" s="309"/>
      <c r="L849" s="309"/>
      <c r="W849" s="309"/>
    </row>
    <row r="850" spans="2:23" x14ac:dyDescent="0.2">
      <c r="B850" s="311"/>
      <c r="E850" s="314"/>
      <c r="J850" s="309"/>
      <c r="L850" s="309"/>
      <c r="W850" s="309"/>
    </row>
    <row r="851" spans="2:23" x14ac:dyDescent="0.2">
      <c r="B851" s="311"/>
      <c r="E851" s="314"/>
      <c r="J851" s="309"/>
      <c r="L851" s="309"/>
      <c r="W851" s="309"/>
    </row>
    <row r="852" spans="2:23" x14ac:dyDescent="0.2">
      <c r="B852" s="311"/>
      <c r="E852" s="314"/>
      <c r="J852" s="309"/>
      <c r="L852" s="309"/>
      <c r="W852" s="309"/>
    </row>
    <row r="853" spans="2:23" x14ac:dyDescent="0.2">
      <c r="B853" s="311"/>
      <c r="E853" s="314"/>
      <c r="J853" s="309"/>
      <c r="L853" s="309"/>
      <c r="W853" s="309"/>
    </row>
    <row r="854" spans="2:23" x14ac:dyDescent="0.2">
      <c r="B854" s="311"/>
      <c r="E854" s="314"/>
      <c r="J854" s="309"/>
      <c r="L854" s="309"/>
      <c r="W854" s="309"/>
    </row>
    <row r="855" spans="2:23" x14ac:dyDescent="0.2">
      <c r="B855" s="311"/>
      <c r="E855" s="314"/>
      <c r="J855" s="309"/>
      <c r="L855" s="309"/>
      <c r="W855" s="309"/>
    </row>
    <row r="856" spans="2:23" x14ac:dyDescent="0.2">
      <c r="B856" s="311"/>
      <c r="E856" s="314"/>
      <c r="J856" s="309"/>
      <c r="L856" s="309"/>
      <c r="W856" s="309"/>
    </row>
    <row r="857" spans="2:23" x14ac:dyDescent="0.2">
      <c r="B857" s="311"/>
      <c r="E857" s="314"/>
      <c r="J857" s="309"/>
      <c r="L857" s="309"/>
      <c r="W857" s="309"/>
    </row>
    <row r="858" spans="2:23" x14ac:dyDescent="0.2">
      <c r="B858" s="311"/>
      <c r="E858" s="314"/>
      <c r="J858" s="309"/>
      <c r="L858" s="309"/>
      <c r="W858" s="309"/>
    </row>
    <row r="859" spans="2:23" x14ac:dyDescent="0.2">
      <c r="B859" s="311"/>
      <c r="E859" s="314"/>
      <c r="J859" s="309"/>
      <c r="L859" s="309"/>
      <c r="W859" s="309"/>
    </row>
    <row r="860" spans="2:23" x14ac:dyDescent="0.2">
      <c r="B860" s="311"/>
      <c r="E860" s="314"/>
      <c r="J860" s="309"/>
      <c r="L860" s="309"/>
      <c r="W860" s="309"/>
    </row>
    <row r="861" spans="2:23" x14ac:dyDescent="0.2">
      <c r="B861" s="311"/>
      <c r="E861" s="314"/>
      <c r="J861" s="309"/>
      <c r="L861" s="309"/>
      <c r="W861" s="309"/>
    </row>
    <row r="862" spans="2:23" x14ac:dyDescent="0.2">
      <c r="B862" s="311"/>
      <c r="E862" s="314"/>
      <c r="J862" s="309"/>
      <c r="L862" s="309"/>
      <c r="W862" s="309"/>
    </row>
    <row r="863" spans="2:23" x14ac:dyDescent="0.2">
      <c r="B863" s="311"/>
      <c r="E863" s="314"/>
      <c r="J863" s="309"/>
      <c r="L863" s="309"/>
      <c r="W863" s="309"/>
    </row>
    <row r="864" spans="2:23" x14ac:dyDescent="0.2">
      <c r="B864" s="311"/>
      <c r="E864" s="314"/>
      <c r="J864" s="309"/>
      <c r="L864" s="309"/>
      <c r="W864" s="309"/>
    </row>
    <row r="865" spans="2:23" x14ac:dyDescent="0.2">
      <c r="B865" s="311"/>
      <c r="E865" s="314"/>
      <c r="J865" s="309"/>
      <c r="L865" s="309"/>
      <c r="W865" s="309"/>
    </row>
    <row r="866" spans="2:23" x14ac:dyDescent="0.2">
      <c r="B866" s="311"/>
      <c r="E866" s="314"/>
      <c r="J866" s="309"/>
      <c r="L866" s="309"/>
      <c r="W866" s="309"/>
    </row>
    <row r="867" spans="2:23" x14ac:dyDescent="0.2">
      <c r="B867" s="311"/>
      <c r="E867" s="314"/>
      <c r="J867" s="309"/>
      <c r="L867" s="309"/>
      <c r="W867" s="309"/>
    </row>
    <row r="868" spans="2:23" x14ac:dyDescent="0.2">
      <c r="B868" s="311"/>
      <c r="E868" s="314"/>
      <c r="J868" s="309"/>
      <c r="L868" s="309"/>
      <c r="W868" s="309"/>
    </row>
    <row r="869" spans="2:23" x14ac:dyDescent="0.2">
      <c r="B869" s="311"/>
      <c r="E869" s="314"/>
      <c r="J869" s="309"/>
      <c r="L869" s="309"/>
      <c r="W869" s="309"/>
    </row>
    <row r="870" spans="2:23" x14ac:dyDescent="0.2">
      <c r="B870" s="311"/>
      <c r="E870" s="314"/>
      <c r="J870" s="309"/>
      <c r="L870" s="309"/>
      <c r="W870" s="309"/>
    </row>
    <row r="871" spans="2:23" x14ac:dyDescent="0.2">
      <c r="B871" s="311"/>
      <c r="E871" s="314"/>
      <c r="J871" s="309"/>
      <c r="L871" s="309"/>
      <c r="W871" s="309"/>
    </row>
    <row r="872" spans="2:23" x14ac:dyDescent="0.2">
      <c r="B872" s="311"/>
      <c r="E872" s="314"/>
      <c r="J872" s="309"/>
      <c r="L872" s="309"/>
      <c r="W872" s="309"/>
    </row>
    <row r="873" spans="2:23" x14ac:dyDescent="0.2">
      <c r="B873" s="311"/>
      <c r="E873" s="314"/>
      <c r="J873" s="309"/>
      <c r="L873" s="309"/>
      <c r="W873" s="309"/>
    </row>
    <row r="874" spans="2:23" x14ac:dyDescent="0.2">
      <c r="B874" s="311"/>
      <c r="E874" s="314"/>
      <c r="J874" s="309"/>
      <c r="L874" s="309"/>
      <c r="W874" s="309"/>
    </row>
    <row r="875" spans="2:23" x14ac:dyDescent="0.2">
      <c r="B875" s="311"/>
      <c r="E875" s="314"/>
      <c r="J875" s="309"/>
      <c r="L875" s="309"/>
      <c r="W875" s="309"/>
    </row>
    <row r="876" spans="2:23" x14ac:dyDescent="0.2">
      <c r="B876" s="311"/>
      <c r="E876" s="314"/>
      <c r="J876" s="309"/>
      <c r="L876" s="309"/>
      <c r="W876" s="309"/>
    </row>
    <row r="877" spans="2:23" x14ac:dyDescent="0.2">
      <c r="B877" s="311"/>
      <c r="E877" s="314"/>
      <c r="J877" s="309"/>
      <c r="L877" s="309"/>
      <c r="W877" s="309"/>
    </row>
    <row r="878" spans="2:23" x14ac:dyDescent="0.2">
      <c r="B878" s="311"/>
      <c r="E878" s="314"/>
      <c r="J878" s="309"/>
      <c r="L878" s="309"/>
      <c r="W878" s="309"/>
    </row>
    <row r="879" spans="2:23" x14ac:dyDescent="0.2">
      <c r="B879" s="311"/>
      <c r="E879" s="314"/>
      <c r="J879" s="309"/>
      <c r="L879" s="309"/>
      <c r="W879" s="309"/>
    </row>
    <row r="880" spans="2:23" x14ac:dyDescent="0.2">
      <c r="B880" s="311"/>
      <c r="E880" s="314"/>
      <c r="J880" s="309"/>
      <c r="L880" s="309"/>
      <c r="W880" s="309"/>
    </row>
    <row r="881" spans="2:23" x14ac:dyDescent="0.2">
      <c r="B881" s="311"/>
      <c r="E881" s="314"/>
      <c r="J881" s="309"/>
      <c r="L881" s="309"/>
      <c r="W881" s="309"/>
    </row>
    <row r="882" spans="2:23" x14ac:dyDescent="0.2">
      <c r="B882" s="311"/>
      <c r="E882" s="314"/>
      <c r="J882" s="309"/>
      <c r="L882" s="309"/>
      <c r="W882" s="309"/>
    </row>
    <row r="883" spans="2:23" x14ac:dyDescent="0.2">
      <c r="B883" s="311"/>
      <c r="E883" s="314"/>
      <c r="J883" s="309"/>
      <c r="L883" s="309"/>
      <c r="W883" s="309"/>
    </row>
    <row r="884" spans="2:23" x14ac:dyDescent="0.2">
      <c r="B884" s="311"/>
      <c r="E884" s="314"/>
      <c r="J884" s="309"/>
      <c r="L884" s="309"/>
      <c r="W884" s="309"/>
    </row>
    <row r="885" spans="2:23" x14ac:dyDescent="0.2">
      <c r="B885" s="311"/>
      <c r="E885" s="314"/>
      <c r="J885" s="309"/>
      <c r="L885" s="309"/>
      <c r="W885" s="309"/>
    </row>
    <row r="886" spans="2:23" x14ac:dyDescent="0.2">
      <c r="B886" s="311"/>
      <c r="E886" s="314"/>
      <c r="J886" s="309"/>
      <c r="L886" s="309"/>
      <c r="W886" s="309"/>
    </row>
    <row r="887" spans="2:23" x14ac:dyDescent="0.2">
      <c r="B887" s="311"/>
      <c r="E887" s="314"/>
      <c r="J887" s="309"/>
      <c r="L887" s="309"/>
      <c r="W887" s="309"/>
    </row>
    <row r="888" spans="2:23" x14ac:dyDescent="0.2">
      <c r="B888" s="311"/>
      <c r="E888" s="314"/>
      <c r="J888" s="309"/>
      <c r="L888" s="309"/>
      <c r="W888" s="309"/>
    </row>
    <row r="889" spans="2:23" x14ac:dyDescent="0.2">
      <c r="B889" s="311"/>
      <c r="E889" s="314"/>
      <c r="J889" s="309"/>
      <c r="L889" s="309"/>
      <c r="W889" s="309"/>
    </row>
    <row r="890" spans="2:23" x14ac:dyDescent="0.2">
      <c r="B890" s="311"/>
      <c r="E890" s="314"/>
      <c r="J890" s="309"/>
      <c r="L890" s="309"/>
      <c r="W890" s="309"/>
    </row>
    <row r="891" spans="2:23" x14ac:dyDescent="0.2">
      <c r="B891" s="311"/>
      <c r="E891" s="314"/>
      <c r="J891" s="309"/>
      <c r="L891" s="309"/>
      <c r="W891" s="309"/>
    </row>
    <row r="892" spans="2:23" x14ac:dyDescent="0.2">
      <c r="B892" s="311"/>
      <c r="E892" s="314"/>
      <c r="J892" s="309"/>
      <c r="L892" s="309"/>
      <c r="W892" s="309"/>
    </row>
    <row r="893" spans="2:23" x14ac:dyDescent="0.2">
      <c r="B893" s="311"/>
      <c r="E893" s="314"/>
      <c r="J893" s="309"/>
      <c r="L893" s="309"/>
      <c r="W893" s="309"/>
    </row>
    <row r="894" spans="2:23" x14ac:dyDescent="0.2">
      <c r="B894" s="311"/>
      <c r="E894" s="314"/>
      <c r="J894" s="309"/>
      <c r="L894" s="309"/>
      <c r="W894" s="309"/>
    </row>
    <row r="895" spans="2:23" x14ac:dyDescent="0.2">
      <c r="B895" s="311"/>
      <c r="E895" s="314"/>
      <c r="J895" s="309"/>
      <c r="L895" s="309"/>
      <c r="W895" s="309"/>
    </row>
    <row r="896" spans="2:23" x14ac:dyDescent="0.2">
      <c r="B896" s="311"/>
      <c r="E896" s="314"/>
      <c r="J896" s="309"/>
      <c r="L896" s="309"/>
      <c r="W896" s="309"/>
    </row>
    <row r="897" spans="2:23" x14ac:dyDescent="0.2">
      <c r="B897" s="311"/>
      <c r="E897" s="314"/>
      <c r="J897" s="309"/>
      <c r="L897" s="309"/>
      <c r="W897" s="309"/>
    </row>
    <row r="898" spans="2:23" x14ac:dyDescent="0.2">
      <c r="B898" s="311"/>
      <c r="E898" s="314"/>
      <c r="J898" s="309"/>
      <c r="L898" s="309"/>
      <c r="W898" s="309"/>
    </row>
    <row r="899" spans="2:23" x14ac:dyDescent="0.2">
      <c r="B899" s="311"/>
      <c r="E899" s="314"/>
      <c r="J899" s="309"/>
      <c r="L899" s="309"/>
      <c r="W899" s="309"/>
    </row>
    <row r="900" spans="2:23" x14ac:dyDescent="0.2">
      <c r="B900" s="311"/>
      <c r="E900" s="314"/>
      <c r="J900" s="309"/>
      <c r="L900" s="309"/>
      <c r="W900" s="309"/>
    </row>
    <row r="901" spans="2:23" x14ac:dyDescent="0.2">
      <c r="B901" s="311"/>
      <c r="E901" s="314"/>
      <c r="J901" s="309"/>
      <c r="L901" s="309"/>
      <c r="W901" s="309"/>
    </row>
    <row r="902" spans="2:23" x14ac:dyDescent="0.2">
      <c r="B902" s="311"/>
      <c r="E902" s="314"/>
      <c r="J902" s="309"/>
      <c r="L902" s="309"/>
      <c r="W902" s="309"/>
    </row>
    <row r="903" spans="2:23" x14ac:dyDescent="0.2">
      <c r="B903" s="311"/>
      <c r="E903" s="314"/>
      <c r="J903" s="309"/>
      <c r="L903" s="309"/>
      <c r="W903" s="309"/>
    </row>
    <row r="904" spans="2:23" x14ac:dyDescent="0.2">
      <c r="B904" s="311"/>
      <c r="E904" s="314"/>
      <c r="J904" s="309"/>
      <c r="L904" s="309"/>
      <c r="W904" s="309"/>
    </row>
    <row r="905" spans="2:23" x14ac:dyDescent="0.2">
      <c r="B905" s="311"/>
      <c r="E905" s="314"/>
      <c r="J905" s="309"/>
      <c r="L905" s="309"/>
      <c r="W905" s="309"/>
    </row>
    <row r="906" spans="2:23" x14ac:dyDescent="0.2">
      <c r="B906" s="311"/>
      <c r="E906" s="314"/>
      <c r="J906" s="309"/>
      <c r="L906" s="309"/>
      <c r="W906" s="309"/>
    </row>
    <row r="907" spans="2:23" x14ac:dyDescent="0.2">
      <c r="B907" s="311"/>
      <c r="E907" s="314"/>
      <c r="J907" s="309"/>
      <c r="L907" s="309"/>
      <c r="W907" s="309"/>
    </row>
    <row r="908" spans="2:23" x14ac:dyDescent="0.2">
      <c r="B908" s="311"/>
      <c r="E908" s="314"/>
      <c r="J908" s="309"/>
      <c r="L908" s="309"/>
      <c r="W908" s="309"/>
    </row>
    <row r="909" spans="2:23" x14ac:dyDescent="0.2">
      <c r="B909" s="311"/>
      <c r="E909" s="314"/>
      <c r="J909" s="309"/>
      <c r="L909" s="309"/>
      <c r="W909" s="309"/>
    </row>
    <row r="910" spans="2:23" x14ac:dyDescent="0.2">
      <c r="B910" s="311"/>
      <c r="E910" s="314"/>
      <c r="J910" s="309"/>
      <c r="L910" s="309"/>
      <c r="W910" s="309"/>
    </row>
    <row r="911" spans="2:23" x14ac:dyDescent="0.2">
      <c r="B911" s="311"/>
      <c r="E911" s="314"/>
      <c r="J911" s="309"/>
      <c r="L911" s="309"/>
      <c r="W911" s="309"/>
    </row>
    <row r="912" spans="2:23" x14ac:dyDescent="0.2">
      <c r="B912" s="311"/>
      <c r="E912" s="314"/>
      <c r="J912" s="309"/>
      <c r="L912" s="309"/>
      <c r="W912" s="309"/>
    </row>
    <row r="913" spans="2:23" x14ac:dyDescent="0.2">
      <c r="B913" s="311"/>
      <c r="E913" s="314"/>
      <c r="J913" s="309"/>
      <c r="L913" s="309"/>
      <c r="W913" s="309"/>
    </row>
    <row r="914" spans="2:23" x14ac:dyDescent="0.2">
      <c r="B914" s="311"/>
      <c r="E914" s="314"/>
      <c r="J914" s="309"/>
      <c r="L914" s="309"/>
      <c r="W914" s="309"/>
    </row>
    <row r="915" spans="2:23" x14ac:dyDescent="0.2">
      <c r="B915" s="311"/>
      <c r="E915" s="314"/>
      <c r="J915" s="309"/>
      <c r="L915" s="309"/>
      <c r="W915" s="309"/>
    </row>
    <row r="916" spans="2:23" x14ac:dyDescent="0.2">
      <c r="B916" s="311"/>
      <c r="E916" s="314"/>
      <c r="J916" s="309"/>
      <c r="L916" s="309"/>
      <c r="W916" s="309"/>
    </row>
    <row r="917" spans="2:23" x14ac:dyDescent="0.2">
      <c r="B917" s="311"/>
      <c r="E917" s="314"/>
      <c r="J917" s="309"/>
      <c r="L917" s="309"/>
      <c r="W917" s="309"/>
    </row>
    <row r="918" spans="2:23" x14ac:dyDescent="0.2">
      <c r="B918" s="311"/>
      <c r="E918" s="314"/>
      <c r="J918" s="309"/>
      <c r="L918" s="309"/>
      <c r="W918" s="309"/>
    </row>
    <row r="919" spans="2:23" x14ac:dyDescent="0.2">
      <c r="B919" s="311"/>
      <c r="E919" s="314"/>
      <c r="J919" s="309"/>
      <c r="L919" s="309"/>
      <c r="W919" s="309"/>
    </row>
    <row r="920" spans="2:23" x14ac:dyDescent="0.2">
      <c r="B920" s="311"/>
      <c r="E920" s="314"/>
      <c r="J920" s="309"/>
      <c r="L920" s="309"/>
      <c r="W920" s="309"/>
    </row>
    <row r="921" spans="2:23" x14ac:dyDescent="0.2">
      <c r="B921" s="311"/>
      <c r="E921" s="314"/>
      <c r="J921" s="309"/>
      <c r="L921" s="309"/>
      <c r="W921" s="309"/>
    </row>
    <row r="922" spans="2:23" x14ac:dyDescent="0.2">
      <c r="B922" s="311"/>
      <c r="E922" s="314"/>
      <c r="J922" s="309"/>
      <c r="L922" s="309"/>
      <c r="W922" s="309"/>
    </row>
    <row r="923" spans="2:23" x14ac:dyDescent="0.2">
      <c r="B923" s="311"/>
      <c r="E923" s="314"/>
      <c r="J923" s="309"/>
      <c r="L923" s="309"/>
      <c r="W923" s="309"/>
    </row>
    <row r="924" spans="2:23" x14ac:dyDescent="0.2">
      <c r="B924" s="311"/>
      <c r="E924" s="314"/>
      <c r="J924" s="309"/>
      <c r="L924" s="309"/>
      <c r="W924" s="309"/>
    </row>
    <row r="925" spans="2:23" x14ac:dyDescent="0.2">
      <c r="B925" s="311"/>
      <c r="E925" s="314"/>
      <c r="J925" s="309"/>
      <c r="L925" s="309"/>
      <c r="W925" s="309"/>
    </row>
    <row r="926" spans="2:23" x14ac:dyDescent="0.2">
      <c r="B926" s="311"/>
      <c r="E926" s="314"/>
      <c r="J926" s="309"/>
      <c r="L926" s="309"/>
      <c r="W926" s="309"/>
    </row>
    <row r="927" spans="2:23" x14ac:dyDescent="0.2">
      <c r="B927" s="311"/>
      <c r="E927" s="314"/>
      <c r="J927" s="309"/>
      <c r="L927" s="309"/>
      <c r="W927" s="309"/>
    </row>
    <row r="928" spans="2:23" x14ac:dyDescent="0.2">
      <c r="B928" s="311"/>
      <c r="E928" s="314"/>
      <c r="J928" s="309"/>
      <c r="L928" s="309"/>
      <c r="W928" s="309"/>
    </row>
    <row r="929" spans="2:23" x14ac:dyDescent="0.2">
      <c r="B929" s="311"/>
      <c r="E929" s="314"/>
      <c r="J929" s="309"/>
      <c r="L929" s="309"/>
      <c r="W929" s="309"/>
    </row>
    <row r="930" spans="2:23" x14ac:dyDescent="0.2">
      <c r="B930" s="311"/>
      <c r="E930" s="314"/>
      <c r="J930" s="309"/>
      <c r="L930" s="309"/>
      <c r="W930" s="309"/>
    </row>
    <row r="931" spans="2:23" x14ac:dyDescent="0.2">
      <c r="B931" s="311"/>
      <c r="E931" s="314"/>
      <c r="J931" s="309"/>
      <c r="L931" s="309"/>
      <c r="W931" s="309"/>
    </row>
    <row r="932" spans="2:23" x14ac:dyDescent="0.2">
      <c r="B932" s="311"/>
      <c r="E932" s="314"/>
      <c r="J932" s="309"/>
      <c r="L932" s="309"/>
      <c r="W932" s="309"/>
    </row>
    <row r="933" spans="2:23" x14ac:dyDescent="0.2">
      <c r="B933" s="311"/>
      <c r="E933" s="314"/>
      <c r="J933" s="309"/>
      <c r="L933" s="309"/>
      <c r="W933" s="309"/>
    </row>
    <row r="934" spans="2:23" x14ac:dyDescent="0.2">
      <c r="B934" s="311"/>
      <c r="E934" s="314"/>
      <c r="J934" s="309"/>
      <c r="L934" s="309"/>
      <c r="W934" s="309"/>
    </row>
    <row r="935" spans="2:23" x14ac:dyDescent="0.2">
      <c r="B935" s="311"/>
      <c r="E935" s="314"/>
      <c r="J935" s="309"/>
      <c r="L935" s="309"/>
      <c r="W935" s="309"/>
    </row>
    <row r="936" spans="2:23" x14ac:dyDescent="0.2">
      <c r="B936" s="311"/>
      <c r="E936" s="314"/>
      <c r="J936" s="309"/>
      <c r="L936" s="309"/>
      <c r="W936" s="309"/>
    </row>
    <row r="937" spans="2:23" x14ac:dyDescent="0.2">
      <c r="B937" s="311"/>
      <c r="E937" s="314"/>
      <c r="J937" s="309"/>
      <c r="L937" s="309"/>
      <c r="W937" s="309"/>
    </row>
    <row r="938" spans="2:23" x14ac:dyDescent="0.2">
      <c r="B938" s="311"/>
      <c r="E938" s="314"/>
      <c r="J938" s="309"/>
      <c r="L938" s="309"/>
      <c r="W938" s="309"/>
    </row>
    <row r="939" spans="2:23" x14ac:dyDescent="0.2">
      <c r="B939" s="311"/>
      <c r="E939" s="314"/>
      <c r="J939" s="309"/>
      <c r="L939" s="309"/>
      <c r="W939" s="309"/>
    </row>
    <row r="940" spans="2:23" x14ac:dyDescent="0.2">
      <c r="B940" s="311"/>
      <c r="E940" s="314"/>
      <c r="J940" s="309"/>
      <c r="L940" s="309"/>
      <c r="W940" s="309"/>
    </row>
    <row r="941" spans="2:23" x14ac:dyDescent="0.2">
      <c r="B941" s="311"/>
      <c r="E941" s="314"/>
      <c r="J941" s="309"/>
      <c r="L941" s="309"/>
      <c r="W941" s="309"/>
    </row>
    <row r="942" spans="2:23" x14ac:dyDescent="0.2">
      <c r="B942" s="311"/>
      <c r="E942" s="314"/>
      <c r="J942" s="309"/>
      <c r="L942" s="309"/>
      <c r="W942" s="309"/>
    </row>
    <row r="943" spans="2:23" x14ac:dyDescent="0.2">
      <c r="B943" s="311"/>
      <c r="E943" s="314"/>
      <c r="J943" s="309"/>
      <c r="L943" s="309"/>
      <c r="W943" s="309"/>
    </row>
    <row r="944" spans="2:23" x14ac:dyDescent="0.2">
      <c r="B944" s="311"/>
      <c r="E944" s="314"/>
      <c r="J944" s="309"/>
      <c r="L944" s="309"/>
      <c r="W944" s="309"/>
    </row>
    <row r="945" spans="2:23" x14ac:dyDescent="0.2">
      <c r="B945" s="311"/>
      <c r="E945" s="314"/>
      <c r="J945" s="309"/>
      <c r="L945" s="309"/>
      <c r="W945" s="309"/>
    </row>
    <row r="946" spans="2:23" x14ac:dyDescent="0.2">
      <c r="B946" s="311"/>
      <c r="E946" s="314"/>
      <c r="J946" s="309"/>
      <c r="L946" s="309"/>
      <c r="W946" s="309"/>
    </row>
    <row r="947" spans="2:23" x14ac:dyDescent="0.2">
      <c r="B947" s="311"/>
      <c r="E947" s="314"/>
      <c r="J947" s="309"/>
      <c r="L947" s="309"/>
      <c r="W947" s="309"/>
    </row>
    <row r="948" spans="2:23" x14ac:dyDescent="0.2">
      <c r="B948" s="311"/>
      <c r="E948" s="314"/>
      <c r="J948" s="309"/>
      <c r="L948" s="309"/>
      <c r="W948" s="309"/>
    </row>
    <row r="949" spans="2:23" x14ac:dyDescent="0.2">
      <c r="B949" s="311"/>
      <c r="E949" s="314"/>
      <c r="J949" s="309"/>
      <c r="L949" s="309"/>
      <c r="W949" s="309"/>
    </row>
    <row r="950" spans="2:23" x14ac:dyDescent="0.2">
      <c r="B950" s="311"/>
      <c r="E950" s="314"/>
      <c r="J950" s="309"/>
      <c r="L950" s="309"/>
      <c r="W950" s="309"/>
    </row>
    <row r="951" spans="2:23" x14ac:dyDescent="0.2">
      <c r="B951" s="311"/>
      <c r="E951" s="314"/>
      <c r="J951" s="309"/>
      <c r="L951" s="309"/>
      <c r="W951" s="309"/>
    </row>
    <row r="952" spans="2:23" x14ac:dyDescent="0.2">
      <c r="B952" s="311"/>
      <c r="E952" s="314"/>
      <c r="J952" s="309"/>
      <c r="L952" s="309"/>
      <c r="W952" s="309"/>
    </row>
    <row r="953" spans="2:23" x14ac:dyDescent="0.2">
      <c r="B953" s="311"/>
      <c r="E953" s="314"/>
      <c r="J953" s="309"/>
      <c r="L953" s="309"/>
      <c r="W953" s="309"/>
    </row>
    <row r="954" spans="2:23" x14ac:dyDescent="0.2">
      <c r="B954" s="311"/>
      <c r="E954" s="314"/>
      <c r="J954" s="309"/>
      <c r="L954" s="309"/>
      <c r="W954" s="309"/>
    </row>
    <row r="955" spans="2:23" x14ac:dyDescent="0.2">
      <c r="B955" s="311"/>
      <c r="E955" s="314"/>
      <c r="J955" s="309"/>
      <c r="L955" s="309"/>
      <c r="W955" s="309"/>
    </row>
    <row r="956" spans="2:23" x14ac:dyDescent="0.2">
      <c r="B956" s="311"/>
      <c r="E956" s="314"/>
      <c r="J956" s="309"/>
      <c r="L956" s="309"/>
      <c r="W956" s="309"/>
    </row>
    <row r="957" spans="2:23" x14ac:dyDescent="0.2">
      <c r="B957" s="311"/>
      <c r="E957" s="314"/>
      <c r="J957" s="309"/>
      <c r="L957" s="309"/>
      <c r="W957" s="309"/>
    </row>
    <row r="958" spans="2:23" x14ac:dyDescent="0.2">
      <c r="B958" s="311"/>
      <c r="E958" s="314"/>
      <c r="J958" s="309"/>
      <c r="L958" s="309"/>
      <c r="W958" s="309"/>
    </row>
    <row r="959" spans="2:23" x14ac:dyDescent="0.2">
      <c r="B959" s="311"/>
      <c r="E959" s="314"/>
      <c r="J959" s="309"/>
      <c r="L959" s="309"/>
      <c r="W959" s="309"/>
    </row>
    <row r="960" spans="2:23" x14ac:dyDescent="0.2">
      <c r="B960" s="311"/>
      <c r="E960" s="314"/>
      <c r="J960" s="309"/>
      <c r="L960" s="309"/>
      <c r="W960" s="309"/>
    </row>
    <row r="961" spans="2:23" x14ac:dyDescent="0.2">
      <c r="B961" s="311"/>
      <c r="E961" s="314"/>
      <c r="J961" s="309"/>
      <c r="L961" s="309"/>
      <c r="W961" s="309"/>
    </row>
    <row r="962" spans="2:23" x14ac:dyDescent="0.2">
      <c r="B962" s="311"/>
      <c r="E962" s="314"/>
      <c r="J962" s="309"/>
      <c r="L962" s="309"/>
      <c r="W962" s="309"/>
    </row>
    <row r="963" spans="2:23" x14ac:dyDescent="0.2">
      <c r="B963" s="311"/>
      <c r="E963" s="314"/>
      <c r="J963" s="309"/>
      <c r="L963" s="309"/>
      <c r="W963" s="309"/>
    </row>
    <row r="964" spans="2:23" x14ac:dyDescent="0.2">
      <c r="B964" s="311"/>
      <c r="E964" s="314"/>
      <c r="J964" s="309"/>
      <c r="L964" s="309"/>
      <c r="W964" s="309"/>
    </row>
    <row r="965" spans="2:23" x14ac:dyDescent="0.2">
      <c r="B965" s="311"/>
      <c r="E965" s="314"/>
      <c r="J965" s="309"/>
      <c r="L965" s="309"/>
      <c r="W965" s="309"/>
    </row>
    <row r="966" spans="2:23" x14ac:dyDescent="0.2">
      <c r="B966" s="311"/>
      <c r="E966" s="314"/>
      <c r="J966" s="309"/>
      <c r="L966" s="309"/>
      <c r="W966" s="309"/>
    </row>
    <row r="967" spans="2:23" x14ac:dyDescent="0.2">
      <c r="B967" s="311"/>
      <c r="E967" s="314"/>
      <c r="J967" s="309"/>
      <c r="L967" s="309"/>
      <c r="W967" s="309"/>
    </row>
    <row r="968" spans="2:23" x14ac:dyDescent="0.2">
      <c r="B968" s="311"/>
      <c r="E968" s="314"/>
      <c r="J968" s="309"/>
      <c r="L968" s="309"/>
      <c r="W968" s="309"/>
    </row>
    <row r="969" spans="2:23" x14ac:dyDescent="0.2">
      <c r="B969" s="311"/>
      <c r="E969" s="314"/>
      <c r="J969" s="309"/>
      <c r="L969" s="309"/>
      <c r="W969" s="309"/>
    </row>
    <row r="970" spans="2:23" x14ac:dyDescent="0.2">
      <c r="B970" s="311"/>
      <c r="E970" s="314"/>
      <c r="J970" s="309"/>
      <c r="L970" s="309"/>
      <c r="W970" s="309"/>
    </row>
    <row r="971" spans="2:23" x14ac:dyDescent="0.2">
      <c r="B971" s="311"/>
      <c r="E971" s="314"/>
      <c r="J971" s="309"/>
      <c r="L971" s="309"/>
      <c r="W971" s="309"/>
    </row>
    <row r="972" spans="2:23" x14ac:dyDescent="0.2">
      <c r="B972" s="311"/>
      <c r="E972" s="314"/>
      <c r="J972" s="309"/>
      <c r="L972" s="309"/>
      <c r="W972" s="309"/>
    </row>
    <row r="973" spans="2:23" x14ac:dyDescent="0.2">
      <c r="B973" s="311"/>
      <c r="E973" s="314"/>
      <c r="J973" s="309"/>
      <c r="L973" s="309"/>
      <c r="W973" s="309"/>
    </row>
    <row r="974" spans="2:23" x14ac:dyDescent="0.2">
      <c r="B974" s="311"/>
      <c r="E974" s="314"/>
      <c r="J974" s="309"/>
      <c r="L974" s="309"/>
      <c r="W974" s="309"/>
    </row>
    <row r="975" spans="2:23" x14ac:dyDescent="0.2">
      <c r="B975" s="311"/>
      <c r="E975" s="314"/>
      <c r="J975" s="309"/>
      <c r="L975" s="309"/>
      <c r="W975" s="309"/>
    </row>
    <row r="976" spans="2:23" x14ac:dyDescent="0.2">
      <c r="B976" s="311"/>
      <c r="E976" s="314"/>
      <c r="J976" s="309"/>
      <c r="L976" s="309"/>
      <c r="W976" s="309"/>
    </row>
    <row r="977" spans="2:23" x14ac:dyDescent="0.2">
      <c r="B977" s="311"/>
      <c r="E977" s="314"/>
      <c r="J977" s="309"/>
      <c r="L977" s="309"/>
      <c r="W977" s="309"/>
    </row>
    <row r="978" spans="2:23" x14ac:dyDescent="0.2">
      <c r="B978" s="311"/>
      <c r="E978" s="314"/>
      <c r="J978" s="309"/>
      <c r="L978" s="309"/>
      <c r="W978" s="309"/>
    </row>
    <row r="979" spans="2:23" x14ac:dyDescent="0.2">
      <c r="B979" s="311"/>
      <c r="E979" s="314"/>
      <c r="J979" s="309"/>
      <c r="L979" s="309"/>
      <c r="W979" s="309"/>
    </row>
    <row r="980" spans="2:23" x14ac:dyDescent="0.2">
      <c r="B980" s="311"/>
      <c r="E980" s="314"/>
      <c r="J980" s="309"/>
      <c r="L980" s="309"/>
      <c r="W980" s="309"/>
    </row>
    <row r="981" spans="2:23" x14ac:dyDescent="0.2">
      <c r="B981" s="311"/>
      <c r="E981" s="314"/>
      <c r="J981" s="309"/>
      <c r="L981" s="309"/>
      <c r="W981" s="309"/>
    </row>
    <row r="982" spans="2:23" x14ac:dyDescent="0.2">
      <c r="B982" s="311"/>
      <c r="E982" s="314"/>
      <c r="J982" s="309"/>
      <c r="L982" s="309"/>
      <c r="W982" s="309"/>
    </row>
    <row r="983" spans="2:23" x14ac:dyDescent="0.2">
      <c r="B983" s="311"/>
      <c r="E983" s="314"/>
      <c r="J983" s="309"/>
      <c r="L983" s="309"/>
      <c r="W983" s="309"/>
    </row>
    <row r="984" spans="2:23" x14ac:dyDescent="0.2">
      <c r="B984" s="311"/>
      <c r="E984" s="314"/>
      <c r="J984" s="309"/>
      <c r="L984" s="309"/>
      <c r="W984" s="309"/>
    </row>
    <row r="985" spans="2:23" x14ac:dyDescent="0.2">
      <c r="B985" s="311"/>
      <c r="E985" s="314"/>
      <c r="J985" s="309"/>
      <c r="L985" s="309"/>
      <c r="W985" s="309"/>
    </row>
    <row r="986" spans="2:23" x14ac:dyDescent="0.2">
      <c r="B986" s="311"/>
      <c r="E986" s="314"/>
      <c r="J986" s="309"/>
      <c r="L986" s="309"/>
      <c r="W986" s="309"/>
    </row>
    <row r="987" spans="2:23" x14ac:dyDescent="0.2">
      <c r="B987" s="311"/>
      <c r="E987" s="314"/>
      <c r="J987" s="309"/>
      <c r="L987" s="309"/>
      <c r="W987" s="309"/>
    </row>
    <row r="988" spans="2:23" x14ac:dyDescent="0.2">
      <c r="B988" s="311"/>
      <c r="E988" s="314"/>
      <c r="J988" s="309"/>
      <c r="L988" s="309"/>
      <c r="W988" s="309"/>
    </row>
    <row r="989" spans="2:23" x14ac:dyDescent="0.2">
      <c r="B989" s="311"/>
      <c r="E989" s="314"/>
      <c r="J989" s="309"/>
      <c r="L989" s="309"/>
      <c r="W989" s="309"/>
    </row>
    <row r="990" spans="2:23" x14ac:dyDescent="0.2">
      <c r="B990" s="311"/>
      <c r="E990" s="314"/>
      <c r="J990" s="309"/>
      <c r="L990" s="309"/>
      <c r="W990" s="309"/>
    </row>
    <row r="991" spans="2:23" x14ac:dyDescent="0.2">
      <c r="B991" s="311"/>
      <c r="E991" s="314"/>
      <c r="J991" s="309"/>
      <c r="L991" s="309"/>
      <c r="W991" s="309"/>
    </row>
    <row r="992" spans="2:23" x14ac:dyDescent="0.2">
      <c r="B992" s="311"/>
      <c r="E992" s="314"/>
      <c r="J992" s="309"/>
      <c r="L992" s="309"/>
      <c r="W992" s="309"/>
    </row>
    <row r="993" spans="2:23" x14ac:dyDescent="0.2">
      <c r="B993" s="311"/>
      <c r="E993" s="314"/>
      <c r="J993" s="309"/>
      <c r="L993" s="309"/>
      <c r="W993" s="309"/>
    </row>
    <row r="994" spans="2:23" x14ac:dyDescent="0.2">
      <c r="B994" s="311"/>
      <c r="E994" s="314"/>
      <c r="J994" s="309"/>
      <c r="L994" s="309"/>
      <c r="W994" s="309"/>
    </row>
    <row r="995" spans="2:23" x14ac:dyDescent="0.2">
      <c r="B995" s="311"/>
      <c r="E995" s="314"/>
      <c r="J995" s="309"/>
      <c r="L995" s="309"/>
      <c r="W995" s="309"/>
    </row>
    <row r="996" spans="2:23" x14ac:dyDescent="0.2">
      <c r="B996" s="311"/>
      <c r="E996" s="314"/>
      <c r="J996" s="309"/>
      <c r="L996" s="309"/>
      <c r="W996" s="309"/>
    </row>
    <row r="997" spans="2:23" x14ac:dyDescent="0.2">
      <c r="B997" s="311"/>
      <c r="E997" s="314"/>
      <c r="J997" s="309"/>
      <c r="L997" s="309"/>
      <c r="W997" s="309"/>
    </row>
    <row r="998" spans="2:23" x14ac:dyDescent="0.2">
      <c r="B998" s="311"/>
      <c r="E998" s="314"/>
      <c r="J998" s="309"/>
      <c r="L998" s="309"/>
      <c r="W998" s="309"/>
    </row>
    <row r="999" spans="2:23" x14ac:dyDescent="0.2">
      <c r="B999" s="311"/>
      <c r="E999" s="314"/>
      <c r="J999" s="309"/>
      <c r="L999" s="309"/>
      <c r="W999" s="309"/>
    </row>
    <row r="1000" spans="2:23" x14ac:dyDescent="0.2">
      <c r="B1000" s="311"/>
      <c r="E1000" s="314"/>
      <c r="J1000" s="309"/>
      <c r="L1000" s="309"/>
      <c r="W1000" s="30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C58:K1000"/>
  <sheetViews>
    <sheetView showGridLines="0" workbookViewId="0"/>
  </sheetViews>
  <sheetFormatPr defaultColWidth="12.5703125" defaultRowHeight="15.75" customHeight="1" x14ac:dyDescent="0.2"/>
  <sheetData>
    <row r="58" spans="3:11" x14ac:dyDescent="0.2">
      <c r="C58" s="309"/>
      <c r="E58" s="309"/>
      <c r="G58" s="309"/>
      <c r="I58" s="309"/>
      <c r="K58" s="309"/>
    </row>
    <row r="59" spans="3:11" x14ac:dyDescent="0.2">
      <c r="C59" s="309"/>
      <c r="E59" s="309"/>
      <c r="G59" s="309"/>
      <c r="I59" s="309"/>
      <c r="K59" s="309"/>
    </row>
    <row r="60" spans="3:11" x14ac:dyDescent="0.2">
      <c r="C60" s="309"/>
      <c r="E60" s="309"/>
      <c r="G60" s="309"/>
      <c r="I60" s="309"/>
      <c r="K60" s="309"/>
    </row>
    <row r="61" spans="3:11" x14ac:dyDescent="0.2">
      <c r="C61" s="309"/>
      <c r="E61" s="309"/>
      <c r="G61" s="309"/>
      <c r="I61" s="309"/>
      <c r="K61" s="309"/>
    </row>
    <row r="62" spans="3:11" x14ac:dyDescent="0.2">
      <c r="C62" s="309"/>
      <c r="E62" s="309"/>
      <c r="G62" s="309"/>
      <c r="I62" s="309"/>
      <c r="K62" s="309"/>
    </row>
    <row r="63" spans="3:11" x14ac:dyDescent="0.2">
      <c r="C63" s="309"/>
      <c r="E63" s="309"/>
      <c r="G63" s="309"/>
      <c r="I63" s="309"/>
      <c r="K63" s="309"/>
    </row>
    <row r="64" spans="3:11" x14ac:dyDescent="0.2">
      <c r="C64" s="309"/>
      <c r="E64" s="309"/>
      <c r="G64" s="309"/>
      <c r="I64" s="309"/>
      <c r="K64" s="309"/>
    </row>
    <row r="65" spans="3:11" x14ac:dyDescent="0.2">
      <c r="C65" s="309"/>
      <c r="E65" s="309"/>
      <c r="G65" s="309"/>
      <c r="I65" s="309"/>
      <c r="K65" s="309"/>
    </row>
    <row r="66" spans="3:11" x14ac:dyDescent="0.2">
      <c r="C66" s="309"/>
      <c r="E66" s="309"/>
      <c r="G66" s="309"/>
      <c r="I66" s="309"/>
      <c r="K66" s="309"/>
    </row>
    <row r="67" spans="3:11" x14ac:dyDescent="0.2">
      <c r="C67" s="309"/>
      <c r="E67" s="309"/>
      <c r="G67" s="309"/>
      <c r="I67" s="309"/>
      <c r="K67" s="309"/>
    </row>
    <row r="68" spans="3:11" x14ac:dyDescent="0.2">
      <c r="C68" s="309"/>
      <c r="E68" s="309"/>
      <c r="G68" s="309"/>
      <c r="I68" s="309"/>
      <c r="K68" s="309"/>
    </row>
    <row r="69" spans="3:11" x14ac:dyDescent="0.2">
      <c r="C69" s="309"/>
      <c r="E69" s="309"/>
      <c r="G69" s="309"/>
      <c r="I69" s="309"/>
      <c r="K69" s="309"/>
    </row>
    <row r="70" spans="3:11" x14ac:dyDescent="0.2">
      <c r="C70" s="309"/>
      <c r="E70" s="309"/>
      <c r="G70" s="309"/>
      <c r="I70" s="309"/>
      <c r="K70" s="309"/>
    </row>
    <row r="71" spans="3:11" x14ac:dyDescent="0.2">
      <c r="C71" s="309"/>
      <c r="E71" s="309"/>
      <c r="G71" s="309"/>
      <c r="I71" s="309"/>
      <c r="K71" s="309"/>
    </row>
    <row r="72" spans="3:11" x14ac:dyDescent="0.2">
      <c r="C72" s="309"/>
      <c r="E72" s="309"/>
      <c r="G72" s="309"/>
      <c r="I72" s="309"/>
      <c r="K72" s="309"/>
    </row>
    <row r="73" spans="3:11" x14ac:dyDescent="0.2">
      <c r="C73" s="309"/>
      <c r="E73" s="309"/>
      <c r="G73" s="309"/>
      <c r="I73" s="309"/>
      <c r="K73" s="309"/>
    </row>
    <row r="74" spans="3:11" x14ac:dyDescent="0.2">
      <c r="C74" s="309"/>
      <c r="E74" s="309"/>
      <c r="G74" s="309"/>
      <c r="I74" s="309"/>
      <c r="K74" s="309"/>
    </row>
    <row r="75" spans="3:11" x14ac:dyDescent="0.2">
      <c r="C75" s="309"/>
      <c r="E75" s="309"/>
      <c r="G75" s="309"/>
      <c r="I75" s="309"/>
      <c r="K75" s="309"/>
    </row>
    <row r="76" spans="3:11" x14ac:dyDescent="0.2">
      <c r="C76" s="309"/>
      <c r="E76" s="309"/>
      <c r="G76" s="309"/>
      <c r="I76" s="309"/>
      <c r="K76" s="309"/>
    </row>
    <row r="77" spans="3:11" x14ac:dyDescent="0.2">
      <c r="C77" s="309"/>
      <c r="E77" s="309"/>
      <c r="G77" s="309"/>
      <c r="I77" s="309"/>
      <c r="K77" s="309"/>
    </row>
    <row r="78" spans="3:11" x14ac:dyDescent="0.2">
      <c r="C78" s="309"/>
      <c r="E78" s="309"/>
      <c r="G78" s="309"/>
      <c r="I78" s="309"/>
      <c r="K78" s="309"/>
    </row>
    <row r="79" spans="3:11" x14ac:dyDescent="0.2">
      <c r="C79" s="309"/>
      <c r="E79" s="309"/>
      <c r="G79" s="309"/>
      <c r="I79" s="309"/>
      <c r="K79" s="309"/>
    </row>
    <row r="80" spans="3:11" x14ac:dyDescent="0.2">
      <c r="C80" s="309"/>
      <c r="E80" s="309"/>
      <c r="G80" s="309"/>
      <c r="I80" s="309"/>
      <c r="K80" s="309"/>
    </row>
    <row r="81" spans="3:11" x14ac:dyDescent="0.2">
      <c r="C81" s="309"/>
      <c r="E81" s="309"/>
      <c r="G81" s="309"/>
      <c r="I81" s="309"/>
      <c r="K81" s="309"/>
    </row>
    <row r="82" spans="3:11" x14ac:dyDescent="0.2">
      <c r="C82" s="309"/>
      <c r="E82" s="309"/>
      <c r="G82" s="309"/>
      <c r="I82" s="309"/>
      <c r="K82" s="309"/>
    </row>
    <row r="83" spans="3:11" x14ac:dyDescent="0.2">
      <c r="C83" s="309"/>
      <c r="E83" s="309"/>
      <c r="G83" s="309"/>
      <c r="I83" s="309"/>
      <c r="K83" s="309"/>
    </row>
    <row r="84" spans="3:11" x14ac:dyDescent="0.2">
      <c r="C84" s="309"/>
      <c r="E84" s="309"/>
      <c r="G84" s="309"/>
      <c r="I84" s="309"/>
      <c r="K84" s="309"/>
    </row>
    <row r="85" spans="3:11" x14ac:dyDescent="0.2">
      <c r="C85" s="309"/>
      <c r="E85" s="309"/>
      <c r="G85" s="309"/>
      <c r="I85" s="309"/>
      <c r="K85" s="309"/>
    </row>
    <row r="86" spans="3:11" x14ac:dyDescent="0.2">
      <c r="C86" s="309"/>
      <c r="E86" s="309"/>
      <c r="G86" s="309"/>
      <c r="I86" s="309"/>
      <c r="K86" s="309"/>
    </row>
    <row r="87" spans="3:11" x14ac:dyDescent="0.2">
      <c r="C87" s="309"/>
      <c r="E87" s="309"/>
      <c r="G87" s="309"/>
      <c r="I87" s="309"/>
      <c r="K87" s="309"/>
    </row>
    <row r="88" spans="3:11" x14ac:dyDescent="0.2">
      <c r="C88" s="309"/>
      <c r="E88" s="309"/>
      <c r="G88" s="309"/>
      <c r="I88" s="309"/>
      <c r="K88" s="309"/>
    </row>
    <row r="89" spans="3:11" x14ac:dyDescent="0.2">
      <c r="C89" s="309"/>
      <c r="E89" s="309"/>
      <c r="G89" s="309"/>
      <c r="I89" s="309"/>
      <c r="K89" s="309"/>
    </row>
    <row r="90" spans="3:11" x14ac:dyDescent="0.2">
      <c r="C90" s="309"/>
      <c r="E90" s="309"/>
      <c r="G90" s="309"/>
      <c r="I90" s="309"/>
      <c r="K90" s="309"/>
    </row>
    <row r="91" spans="3:11" x14ac:dyDescent="0.2">
      <c r="C91" s="309"/>
      <c r="E91" s="309"/>
      <c r="G91" s="309"/>
      <c r="I91" s="309"/>
      <c r="K91" s="309"/>
    </row>
    <row r="92" spans="3:11" x14ac:dyDescent="0.2">
      <c r="C92" s="309"/>
      <c r="E92" s="309"/>
      <c r="G92" s="309"/>
      <c r="I92" s="309"/>
      <c r="K92" s="309"/>
    </row>
    <row r="93" spans="3:11" x14ac:dyDescent="0.2">
      <c r="C93" s="309"/>
      <c r="E93" s="309"/>
      <c r="G93" s="309"/>
      <c r="I93" s="309"/>
      <c r="K93" s="309"/>
    </row>
    <row r="94" spans="3:11" x14ac:dyDescent="0.2">
      <c r="C94" s="309"/>
      <c r="E94" s="309"/>
      <c r="G94" s="309"/>
      <c r="I94" s="309"/>
      <c r="K94" s="309"/>
    </row>
    <row r="95" spans="3:11" x14ac:dyDescent="0.2">
      <c r="C95" s="309"/>
      <c r="E95" s="309"/>
      <c r="G95" s="309"/>
      <c r="I95" s="309"/>
      <c r="K95" s="309"/>
    </row>
    <row r="96" spans="3:11" x14ac:dyDescent="0.2">
      <c r="C96" s="309"/>
      <c r="E96" s="309"/>
      <c r="G96" s="309"/>
      <c r="I96" s="309"/>
      <c r="K96" s="309"/>
    </row>
    <row r="97" spans="3:11" x14ac:dyDescent="0.2">
      <c r="C97" s="309"/>
      <c r="E97" s="309"/>
      <c r="G97" s="309"/>
      <c r="I97" s="309"/>
      <c r="K97" s="309"/>
    </row>
    <row r="98" spans="3:11" x14ac:dyDescent="0.2">
      <c r="C98" s="309"/>
      <c r="E98" s="309"/>
      <c r="G98" s="309"/>
      <c r="I98" s="309"/>
      <c r="K98" s="309"/>
    </row>
    <row r="99" spans="3:11" x14ac:dyDescent="0.2">
      <c r="C99" s="309"/>
      <c r="E99" s="309"/>
      <c r="G99" s="309"/>
      <c r="I99" s="309"/>
      <c r="K99" s="309"/>
    </row>
    <row r="100" spans="3:11" x14ac:dyDescent="0.2">
      <c r="C100" s="309"/>
      <c r="E100" s="309"/>
      <c r="G100" s="309"/>
      <c r="I100" s="309"/>
      <c r="K100" s="309"/>
    </row>
    <row r="101" spans="3:11" x14ac:dyDescent="0.2">
      <c r="C101" s="309"/>
      <c r="E101" s="309"/>
      <c r="G101" s="309"/>
      <c r="I101" s="309"/>
      <c r="K101" s="309"/>
    </row>
    <row r="102" spans="3:11" x14ac:dyDescent="0.2">
      <c r="C102" s="309"/>
      <c r="E102" s="309"/>
      <c r="G102" s="309"/>
      <c r="I102" s="309"/>
      <c r="K102" s="309"/>
    </row>
    <row r="103" spans="3:11" x14ac:dyDescent="0.2">
      <c r="C103" s="309"/>
      <c r="E103" s="309"/>
      <c r="G103" s="309"/>
      <c r="I103" s="309"/>
      <c r="K103" s="309"/>
    </row>
    <row r="104" spans="3:11" x14ac:dyDescent="0.2">
      <c r="C104" s="309"/>
      <c r="E104" s="309"/>
      <c r="G104" s="309"/>
      <c r="I104" s="309"/>
      <c r="K104" s="309"/>
    </row>
    <row r="105" spans="3:11" x14ac:dyDescent="0.2">
      <c r="C105" s="309"/>
      <c r="E105" s="309"/>
      <c r="G105" s="309"/>
      <c r="I105" s="309"/>
      <c r="K105" s="309"/>
    </row>
    <row r="106" spans="3:11" x14ac:dyDescent="0.2">
      <c r="C106" s="309"/>
      <c r="E106" s="309"/>
      <c r="G106" s="309"/>
      <c r="I106" s="309"/>
      <c r="K106" s="309"/>
    </row>
    <row r="107" spans="3:11" x14ac:dyDescent="0.2">
      <c r="C107" s="309"/>
      <c r="E107" s="309"/>
      <c r="G107" s="309"/>
      <c r="I107" s="309"/>
      <c r="K107" s="309"/>
    </row>
    <row r="108" spans="3:11" x14ac:dyDescent="0.2">
      <c r="C108" s="309"/>
      <c r="E108" s="309"/>
      <c r="G108" s="309"/>
      <c r="I108" s="309"/>
      <c r="K108" s="309"/>
    </row>
    <row r="109" spans="3:11" x14ac:dyDescent="0.2">
      <c r="C109" s="309"/>
      <c r="E109" s="309"/>
      <c r="G109" s="309"/>
      <c r="I109" s="309"/>
      <c r="K109" s="309"/>
    </row>
    <row r="110" spans="3:11" x14ac:dyDescent="0.2">
      <c r="C110" s="309"/>
      <c r="E110" s="309"/>
      <c r="G110" s="309"/>
      <c r="I110" s="309"/>
      <c r="K110" s="309"/>
    </row>
    <row r="111" spans="3:11" x14ac:dyDescent="0.2">
      <c r="C111" s="309"/>
      <c r="E111" s="309"/>
      <c r="G111" s="309"/>
      <c r="I111" s="309"/>
      <c r="K111" s="309"/>
    </row>
    <row r="112" spans="3:11" x14ac:dyDescent="0.2">
      <c r="C112" s="309"/>
      <c r="E112" s="309"/>
      <c r="G112" s="309"/>
      <c r="I112" s="309"/>
      <c r="K112" s="309"/>
    </row>
    <row r="113" spans="3:11" x14ac:dyDescent="0.2">
      <c r="C113" s="309"/>
      <c r="E113" s="309"/>
      <c r="G113" s="309"/>
      <c r="I113" s="309"/>
      <c r="K113" s="309"/>
    </row>
    <row r="114" spans="3:11" x14ac:dyDescent="0.2">
      <c r="C114" s="309"/>
      <c r="E114" s="309"/>
      <c r="G114" s="309"/>
      <c r="I114" s="309"/>
      <c r="K114" s="309"/>
    </row>
    <row r="115" spans="3:11" x14ac:dyDescent="0.2">
      <c r="C115" s="309"/>
      <c r="E115" s="309"/>
      <c r="G115" s="309"/>
      <c r="I115" s="309"/>
      <c r="K115" s="309"/>
    </row>
    <row r="116" spans="3:11" x14ac:dyDescent="0.2">
      <c r="C116" s="309"/>
      <c r="E116" s="309"/>
      <c r="G116" s="309"/>
      <c r="I116" s="309"/>
      <c r="K116" s="309"/>
    </row>
    <row r="117" spans="3:11" x14ac:dyDescent="0.2">
      <c r="C117" s="309"/>
      <c r="E117" s="309"/>
      <c r="G117" s="309"/>
      <c r="I117" s="309"/>
      <c r="K117" s="309"/>
    </row>
    <row r="118" spans="3:11" x14ac:dyDescent="0.2">
      <c r="C118" s="309"/>
      <c r="E118" s="309"/>
      <c r="G118" s="309"/>
      <c r="I118" s="309"/>
      <c r="K118" s="309"/>
    </row>
    <row r="119" spans="3:11" x14ac:dyDescent="0.2">
      <c r="C119" s="309"/>
      <c r="E119" s="309"/>
      <c r="G119" s="309"/>
      <c r="I119" s="309"/>
      <c r="K119" s="309"/>
    </row>
    <row r="120" spans="3:11" x14ac:dyDescent="0.2">
      <c r="C120" s="309"/>
      <c r="E120" s="309"/>
      <c r="G120" s="309"/>
      <c r="I120" s="309"/>
      <c r="K120" s="309"/>
    </row>
    <row r="121" spans="3:11" x14ac:dyDescent="0.2">
      <c r="C121" s="309"/>
      <c r="E121" s="309"/>
      <c r="G121" s="309"/>
      <c r="I121" s="309"/>
      <c r="K121" s="309"/>
    </row>
    <row r="122" spans="3:11" x14ac:dyDescent="0.2">
      <c r="C122" s="309"/>
      <c r="E122" s="309"/>
      <c r="G122" s="309"/>
      <c r="I122" s="309"/>
      <c r="K122" s="309"/>
    </row>
    <row r="123" spans="3:11" x14ac:dyDescent="0.2">
      <c r="C123" s="309"/>
      <c r="E123" s="309"/>
      <c r="G123" s="309"/>
      <c r="I123" s="309"/>
      <c r="K123" s="309"/>
    </row>
    <row r="124" spans="3:11" x14ac:dyDescent="0.2">
      <c r="C124" s="309"/>
      <c r="E124" s="309"/>
      <c r="G124" s="309"/>
      <c r="I124" s="309"/>
      <c r="K124" s="309"/>
    </row>
    <row r="125" spans="3:11" x14ac:dyDescent="0.2">
      <c r="C125" s="309"/>
      <c r="E125" s="309"/>
      <c r="G125" s="309"/>
      <c r="I125" s="309"/>
      <c r="K125" s="309"/>
    </row>
    <row r="126" spans="3:11" x14ac:dyDescent="0.2">
      <c r="C126" s="309"/>
      <c r="E126" s="309"/>
      <c r="G126" s="309"/>
      <c r="I126" s="309"/>
      <c r="K126" s="309"/>
    </row>
    <row r="127" spans="3:11" x14ac:dyDescent="0.2">
      <c r="C127" s="309"/>
      <c r="E127" s="309"/>
      <c r="G127" s="309"/>
      <c r="I127" s="309"/>
      <c r="K127" s="309"/>
    </row>
    <row r="128" spans="3:11" x14ac:dyDescent="0.2">
      <c r="C128" s="309"/>
      <c r="E128" s="309"/>
      <c r="G128" s="309"/>
      <c r="I128" s="309"/>
      <c r="K128" s="309"/>
    </row>
    <row r="129" spans="3:11" x14ac:dyDescent="0.2">
      <c r="C129" s="309"/>
      <c r="E129" s="309"/>
      <c r="G129" s="309"/>
      <c r="I129" s="309"/>
      <c r="K129" s="309"/>
    </row>
    <row r="130" spans="3:11" x14ac:dyDescent="0.2">
      <c r="C130" s="309"/>
      <c r="E130" s="309"/>
      <c r="G130" s="309"/>
      <c r="I130" s="309"/>
      <c r="K130" s="309"/>
    </row>
    <row r="131" spans="3:11" x14ac:dyDescent="0.2">
      <c r="C131" s="309"/>
      <c r="E131" s="309"/>
      <c r="G131" s="309"/>
      <c r="I131" s="309"/>
      <c r="K131" s="309"/>
    </row>
    <row r="132" spans="3:11" x14ac:dyDescent="0.2">
      <c r="C132" s="309"/>
      <c r="E132" s="309"/>
      <c r="G132" s="309"/>
      <c r="I132" s="309"/>
      <c r="K132" s="309"/>
    </row>
    <row r="133" spans="3:11" x14ac:dyDescent="0.2">
      <c r="C133" s="309"/>
      <c r="E133" s="309"/>
      <c r="G133" s="309"/>
      <c r="I133" s="309"/>
      <c r="K133" s="309"/>
    </row>
    <row r="134" spans="3:11" x14ac:dyDescent="0.2">
      <c r="C134" s="309"/>
      <c r="E134" s="309"/>
      <c r="G134" s="309"/>
      <c r="I134" s="309"/>
      <c r="K134" s="309"/>
    </row>
    <row r="135" spans="3:11" x14ac:dyDescent="0.2">
      <c r="C135" s="309"/>
      <c r="E135" s="309"/>
      <c r="G135" s="309"/>
      <c r="I135" s="309"/>
      <c r="K135" s="309"/>
    </row>
    <row r="136" spans="3:11" x14ac:dyDescent="0.2">
      <c r="C136" s="309"/>
      <c r="E136" s="309"/>
      <c r="G136" s="309"/>
      <c r="I136" s="309"/>
      <c r="K136" s="309"/>
    </row>
    <row r="137" spans="3:11" x14ac:dyDescent="0.2">
      <c r="C137" s="309"/>
      <c r="E137" s="309"/>
      <c r="G137" s="309"/>
      <c r="I137" s="309"/>
      <c r="K137" s="309"/>
    </row>
    <row r="138" spans="3:11" x14ac:dyDescent="0.2">
      <c r="C138" s="309"/>
      <c r="E138" s="309"/>
      <c r="G138" s="309"/>
      <c r="I138" s="309"/>
      <c r="K138" s="309"/>
    </row>
    <row r="139" spans="3:11" x14ac:dyDescent="0.2">
      <c r="C139" s="309"/>
      <c r="E139" s="309"/>
      <c r="G139" s="309"/>
      <c r="I139" s="309"/>
      <c r="K139" s="309"/>
    </row>
    <row r="140" spans="3:11" x14ac:dyDescent="0.2">
      <c r="C140" s="309"/>
      <c r="E140" s="309"/>
      <c r="G140" s="309"/>
      <c r="I140" s="309"/>
      <c r="K140" s="309"/>
    </row>
    <row r="141" spans="3:11" x14ac:dyDescent="0.2">
      <c r="C141" s="309"/>
      <c r="E141" s="309"/>
      <c r="G141" s="309"/>
      <c r="I141" s="309"/>
      <c r="K141" s="309"/>
    </row>
    <row r="142" spans="3:11" x14ac:dyDescent="0.2">
      <c r="C142" s="309"/>
      <c r="E142" s="309"/>
      <c r="G142" s="309"/>
      <c r="I142" s="309"/>
      <c r="K142" s="309"/>
    </row>
    <row r="143" spans="3:11" x14ac:dyDescent="0.2">
      <c r="C143" s="309"/>
      <c r="E143" s="309"/>
      <c r="G143" s="309"/>
      <c r="I143" s="309"/>
      <c r="K143" s="309"/>
    </row>
    <row r="144" spans="3:11" x14ac:dyDescent="0.2">
      <c r="C144" s="309"/>
      <c r="E144" s="309"/>
      <c r="G144" s="309"/>
      <c r="I144" s="309"/>
      <c r="K144" s="309"/>
    </row>
    <row r="145" spans="3:11" x14ac:dyDescent="0.2">
      <c r="C145" s="309"/>
      <c r="E145" s="309"/>
      <c r="G145" s="309"/>
      <c r="I145" s="309"/>
      <c r="K145" s="309"/>
    </row>
    <row r="146" spans="3:11" x14ac:dyDescent="0.2">
      <c r="C146" s="309"/>
      <c r="E146" s="309"/>
      <c r="G146" s="309"/>
      <c r="I146" s="309"/>
      <c r="K146" s="309"/>
    </row>
    <row r="147" spans="3:11" x14ac:dyDescent="0.2">
      <c r="C147" s="309"/>
      <c r="E147" s="309"/>
      <c r="G147" s="309"/>
      <c r="I147" s="309"/>
      <c r="K147" s="309"/>
    </row>
    <row r="148" spans="3:11" x14ac:dyDescent="0.2">
      <c r="C148" s="309"/>
      <c r="E148" s="309"/>
      <c r="G148" s="309"/>
      <c r="I148" s="309"/>
      <c r="K148" s="309"/>
    </row>
    <row r="149" spans="3:11" x14ac:dyDescent="0.2">
      <c r="C149" s="309"/>
      <c r="E149" s="309"/>
      <c r="G149" s="309"/>
      <c r="I149" s="309"/>
      <c r="K149" s="309"/>
    </row>
    <row r="150" spans="3:11" x14ac:dyDescent="0.2">
      <c r="C150" s="309"/>
      <c r="E150" s="309"/>
      <c r="G150" s="309"/>
      <c r="I150" s="309"/>
      <c r="K150" s="309"/>
    </row>
    <row r="151" spans="3:11" x14ac:dyDescent="0.2">
      <c r="C151" s="309"/>
      <c r="E151" s="309"/>
      <c r="G151" s="309"/>
      <c r="I151" s="309"/>
      <c r="K151" s="309"/>
    </row>
    <row r="152" spans="3:11" x14ac:dyDescent="0.2">
      <c r="C152" s="309"/>
      <c r="E152" s="309"/>
      <c r="G152" s="309"/>
      <c r="I152" s="309"/>
      <c r="K152" s="309"/>
    </row>
    <row r="153" spans="3:11" x14ac:dyDescent="0.2">
      <c r="C153" s="309"/>
      <c r="E153" s="309"/>
      <c r="G153" s="309"/>
      <c r="I153" s="309"/>
      <c r="K153" s="309"/>
    </row>
    <row r="154" spans="3:11" x14ac:dyDescent="0.2">
      <c r="C154" s="309"/>
      <c r="E154" s="309"/>
      <c r="G154" s="309"/>
      <c r="I154" s="309"/>
      <c r="K154" s="309"/>
    </row>
    <row r="155" spans="3:11" x14ac:dyDescent="0.2">
      <c r="C155" s="309"/>
      <c r="E155" s="309"/>
      <c r="G155" s="309"/>
      <c r="I155" s="309"/>
      <c r="K155" s="309"/>
    </row>
    <row r="156" spans="3:11" x14ac:dyDescent="0.2">
      <c r="C156" s="309"/>
      <c r="E156" s="309"/>
      <c r="G156" s="309"/>
      <c r="I156" s="309"/>
      <c r="K156" s="309"/>
    </row>
    <row r="157" spans="3:11" x14ac:dyDescent="0.2">
      <c r="C157" s="309"/>
      <c r="E157" s="309"/>
      <c r="G157" s="309"/>
      <c r="I157" s="309"/>
      <c r="K157" s="309"/>
    </row>
    <row r="158" spans="3:11" x14ac:dyDescent="0.2">
      <c r="C158" s="309"/>
      <c r="E158" s="309"/>
      <c r="G158" s="309"/>
      <c r="I158" s="309"/>
      <c r="K158" s="309"/>
    </row>
    <row r="159" spans="3:11" x14ac:dyDescent="0.2">
      <c r="C159" s="309"/>
      <c r="E159" s="309"/>
      <c r="G159" s="309"/>
      <c r="I159" s="309"/>
      <c r="K159" s="309"/>
    </row>
    <row r="160" spans="3:11" x14ac:dyDescent="0.2">
      <c r="C160" s="309"/>
      <c r="E160" s="309"/>
      <c r="G160" s="309"/>
      <c r="I160" s="309"/>
      <c r="K160" s="309"/>
    </row>
    <row r="161" spans="3:11" x14ac:dyDescent="0.2">
      <c r="C161" s="309"/>
      <c r="E161" s="309"/>
      <c r="G161" s="309"/>
      <c r="I161" s="309"/>
      <c r="K161" s="309"/>
    </row>
    <row r="162" spans="3:11" x14ac:dyDescent="0.2">
      <c r="C162" s="309"/>
      <c r="E162" s="309"/>
      <c r="G162" s="309"/>
      <c r="I162" s="309"/>
      <c r="K162" s="309"/>
    </row>
    <row r="163" spans="3:11" x14ac:dyDescent="0.2">
      <c r="C163" s="309"/>
      <c r="E163" s="309"/>
      <c r="G163" s="309"/>
      <c r="I163" s="309"/>
      <c r="K163" s="309"/>
    </row>
    <row r="164" spans="3:11" x14ac:dyDescent="0.2">
      <c r="C164" s="309"/>
      <c r="E164" s="309"/>
      <c r="G164" s="309"/>
      <c r="I164" s="309"/>
      <c r="K164" s="309"/>
    </row>
    <row r="165" spans="3:11" x14ac:dyDescent="0.2">
      <c r="C165" s="309"/>
      <c r="E165" s="309"/>
      <c r="G165" s="309"/>
      <c r="I165" s="309"/>
      <c r="K165" s="309"/>
    </row>
    <row r="166" spans="3:11" x14ac:dyDescent="0.2">
      <c r="C166" s="309"/>
      <c r="E166" s="309"/>
      <c r="G166" s="309"/>
      <c r="I166" s="309"/>
      <c r="K166" s="309"/>
    </row>
    <row r="167" spans="3:11" x14ac:dyDescent="0.2">
      <c r="C167" s="309"/>
      <c r="E167" s="309"/>
      <c r="G167" s="309"/>
      <c r="I167" s="309"/>
      <c r="K167" s="309"/>
    </row>
    <row r="168" spans="3:11" x14ac:dyDescent="0.2">
      <c r="C168" s="309"/>
      <c r="E168" s="309"/>
      <c r="G168" s="309"/>
      <c r="I168" s="309"/>
      <c r="K168" s="309"/>
    </row>
    <row r="169" spans="3:11" x14ac:dyDescent="0.2">
      <c r="C169" s="309"/>
      <c r="E169" s="309"/>
      <c r="G169" s="309"/>
      <c r="I169" s="309"/>
      <c r="K169" s="309"/>
    </row>
    <row r="170" spans="3:11" x14ac:dyDescent="0.2">
      <c r="C170" s="309"/>
      <c r="E170" s="309"/>
      <c r="G170" s="309"/>
      <c r="I170" s="309"/>
      <c r="K170" s="309"/>
    </row>
    <row r="171" spans="3:11" x14ac:dyDescent="0.2">
      <c r="C171" s="309"/>
      <c r="E171" s="309"/>
      <c r="G171" s="309"/>
      <c r="I171" s="309"/>
      <c r="K171" s="309"/>
    </row>
    <row r="172" spans="3:11" x14ac:dyDescent="0.2">
      <c r="C172" s="309"/>
      <c r="E172" s="309"/>
      <c r="G172" s="309"/>
      <c r="I172" s="309"/>
      <c r="K172" s="309"/>
    </row>
    <row r="173" spans="3:11" x14ac:dyDescent="0.2">
      <c r="C173" s="309"/>
      <c r="E173" s="309"/>
      <c r="G173" s="309"/>
      <c r="I173" s="309"/>
      <c r="K173" s="309"/>
    </row>
    <row r="174" spans="3:11" x14ac:dyDescent="0.2">
      <c r="C174" s="309"/>
      <c r="E174" s="309"/>
      <c r="G174" s="309"/>
      <c r="I174" s="309"/>
      <c r="K174" s="309"/>
    </row>
    <row r="175" spans="3:11" x14ac:dyDescent="0.2">
      <c r="C175" s="309"/>
      <c r="E175" s="309"/>
      <c r="G175" s="309"/>
      <c r="I175" s="309"/>
      <c r="K175" s="309"/>
    </row>
    <row r="176" spans="3:11" x14ac:dyDescent="0.2">
      <c r="C176" s="309"/>
      <c r="E176" s="309"/>
      <c r="G176" s="309"/>
      <c r="I176" s="309"/>
      <c r="K176" s="309"/>
    </row>
    <row r="177" spans="3:11" x14ac:dyDescent="0.2">
      <c r="C177" s="309"/>
      <c r="E177" s="309"/>
      <c r="G177" s="309"/>
      <c r="I177" s="309"/>
      <c r="K177" s="309"/>
    </row>
    <row r="178" spans="3:11" x14ac:dyDescent="0.2">
      <c r="C178" s="309"/>
      <c r="E178" s="309"/>
      <c r="G178" s="309"/>
      <c r="I178" s="309"/>
      <c r="K178" s="309"/>
    </row>
    <row r="179" spans="3:11" x14ac:dyDescent="0.2">
      <c r="C179" s="309"/>
      <c r="E179" s="309"/>
      <c r="G179" s="309"/>
      <c r="I179" s="309"/>
      <c r="K179" s="309"/>
    </row>
    <row r="180" spans="3:11" x14ac:dyDescent="0.2">
      <c r="C180" s="309"/>
      <c r="E180" s="309"/>
      <c r="G180" s="309"/>
      <c r="I180" s="309"/>
      <c r="K180" s="309"/>
    </row>
    <row r="181" spans="3:11" x14ac:dyDescent="0.2">
      <c r="C181" s="309"/>
      <c r="E181" s="309"/>
      <c r="G181" s="309"/>
      <c r="I181" s="309"/>
      <c r="K181" s="309"/>
    </row>
    <row r="182" spans="3:11" x14ac:dyDescent="0.2">
      <c r="C182" s="309"/>
      <c r="E182" s="309"/>
      <c r="G182" s="309"/>
      <c r="I182" s="309"/>
      <c r="K182" s="309"/>
    </row>
    <row r="183" spans="3:11" x14ac:dyDescent="0.2">
      <c r="C183" s="309"/>
      <c r="E183" s="309"/>
      <c r="G183" s="309"/>
      <c r="I183" s="309"/>
      <c r="K183" s="309"/>
    </row>
    <row r="184" spans="3:11" x14ac:dyDescent="0.2">
      <c r="C184" s="309"/>
      <c r="E184" s="309"/>
      <c r="G184" s="309"/>
      <c r="I184" s="309"/>
      <c r="K184" s="309"/>
    </row>
    <row r="185" spans="3:11" x14ac:dyDescent="0.2">
      <c r="C185" s="309"/>
      <c r="E185" s="309"/>
      <c r="G185" s="309"/>
      <c r="I185" s="309"/>
      <c r="K185" s="309"/>
    </row>
    <row r="186" spans="3:11" x14ac:dyDescent="0.2">
      <c r="C186" s="309"/>
      <c r="E186" s="309"/>
      <c r="G186" s="309"/>
      <c r="I186" s="309"/>
      <c r="K186" s="309"/>
    </row>
    <row r="187" spans="3:11" x14ac:dyDescent="0.2">
      <c r="C187" s="309"/>
      <c r="E187" s="309"/>
      <c r="G187" s="309"/>
      <c r="I187" s="309"/>
      <c r="K187" s="309"/>
    </row>
    <row r="188" spans="3:11" x14ac:dyDescent="0.2">
      <c r="C188" s="309"/>
      <c r="E188" s="309"/>
      <c r="G188" s="309"/>
      <c r="I188" s="309"/>
      <c r="K188" s="309"/>
    </row>
    <row r="189" spans="3:11" x14ac:dyDescent="0.2">
      <c r="C189" s="309"/>
      <c r="E189" s="309"/>
      <c r="G189" s="309"/>
      <c r="I189" s="309"/>
      <c r="K189" s="309"/>
    </row>
    <row r="190" spans="3:11" x14ac:dyDescent="0.2">
      <c r="C190" s="309"/>
      <c r="E190" s="309"/>
      <c r="G190" s="309"/>
      <c r="I190" s="309"/>
      <c r="K190" s="309"/>
    </row>
    <row r="191" spans="3:11" x14ac:dyDescent="0.2">
      <c r="C191" s="309"/>
      <c r="E191" s="309"/>
      <c r="G191" s="309"/>
      <c r="I191" s="309"/>
      <c r="K191" s="309"/>
    </row>
    <row r="192" spans="3:11" x14ac:dyDescent="0.2">
      <c r="C192" s="309"/>
      <c r="E192" s="309"/>
      <c r="G192" s="309"/>
      <c r="I192" s="309"/>
      <c r="K192" s="309"/>
    </row>
    <row r="193" spans="3:11" x14ac:dyDescent="0.2">
      <c r="C193" s="309"/>
      <c r="E193" s="309"/>
      <c r="G193" s="309"/>
      <c r="I193" s="309"/>
      <c r="K193" s="309"/>
    </row>
    <row r="194" spans="3:11" x14ac:dyDescent="0.2">
      <c r="C194" s="309"/>
      <c r="E194" s="309"/>
      <c r="G194" s="309"/>
      <c r="I194" s="309"/>
      <c r="K194" s="309"/>
    </row>
    <row r="195" spans="3:11" x14ac:dyDescent="0.2">
      <c r="C195" s="309"/>
      <c r="E195" s="309"/>
      <c r="G195" s="309"/>
      <c r="I195" s="309"/>
      <c r="K195" s="309"/>
    </row>
    <row r="196" spans="3:11" x14ac:dyDescent="0.2">
      <c r="C196" s="309"/>
      <c r="E196" s="309"/>
      <c r="G196" s="309"/>
      <c r="I196" s="309"/>
      <c r="K196" s="309"/>
    </row>
    <row r="197" spans="3:11" x14ac:dyDescent="0.2">
      <c r="C197" s="309"/>
      <c r="E197" s="309"/>
      <c r="G197" s="309"/>
      <c r="I197" s="309"/>
      <c r="K197" s="309"/>
    </row>
    <row r="198" spans="3:11" x14ac:dyDescent="0.2">
      <c r="C198" s="309"/>
      <c r="E198" s="309"/>
      <c r="G198" s="309"/>
      <c r="I198" s="309"/>
      <c r="K198" s="309"/>
    </row>
    <row r="199" spans="3:11" x14ac:dyDescent="0.2">
      <c r="C199" s="309"/>
      <c r="E199" s="309"/>
      <c r="G199" s="309"/>
      <c r="I199" s="309"/>
      <c r="K199" s="309"/>
    </row>
    <row r="200" spans="3:11" x14ac:dyDescent="0.2">
      <c r="C200" s="309"/>
      <c r="E200" s="309"/>
      <c r="G200" s="309"/>
      <c r="I200" s="309"/>
      <c r="K200" s="309"/>
    </row>
    <row r="201" spans="3:11" x14ac:dyDescent="0.2">
      <c r="C201" s="309"/>
      <c r="E201" s="309"/>
      <c r="G201" s="309"/>
      <c r="I201" s="309"/>
      <c r="K201" s="309"/>
    </row>
    <row r="202" spans="3:11" x14ac:dyDescent="0.2">
      <c r="C202" s="309"/>
      <c r="E202" s="309"/>
      <c r="G202" s="309"/>
      <c r="I202" s="309"/>
      <c r="K202" s="309"/>
    </row>
    <row r="203" spans="3:11" x14ac:dyDescent="0.2">
      <c r="C203" s="309"/>
      <c r="E203" s="309"/>
      <c r="G203" s="309"/>
      <c r="I203" s="309"/>
      <c r="K203" s="309"/>
    </row>
    <row r="204" spans="3:11" x14ac:dyDescent="0.2">
      <c r="C204" s="309"/>
      <c r="E204" s="309"/>
      <c r="G204" s="309"/>
      <c r="I204" s="309"/>
      <c r="K204" s="309"/>
    </row>
    <row r="205" spans="3:11" x14ac:dyDescent="0.2">
      <c r="C205" s="309"/>
      <c r="E205" s="309"/>
      <c r="G205" s="309"/>
      <c r="I205" s="309"/>
      <c r="K205" s="309"/>
    </row>
    <row r="206" spans="3:11" x14ac:dyDescent="0.2">
      <c r="C206" s="309"/>
      <c r="E206" s="309"/>
      <c r="G206" s="309"/>
      <c r="I206" s="309"/>
      <c r="K206" s="309"/>
    </row>
    <row r="207" spans="3:11" x14ac:dyDescent="0.2">
      <c r="C207" s="309"/>
      <c r="E207" s="309"/>
      <c r="G207" s="309"/>
      <c r="I207" s="309"/>
      <c r="K207" s="309"/>
    </row>
    <row r="208" spans="3:11" x14ac:dyDescent="0.2">
      <c r="C208" s="309"/>
      <c r="E208" s="309"/>
      <c r="G208" s="309"/>
      <c r="I208" s="309"/>
      <c r="K208" s="309"/>
    </row>
    <row r="209" spans="3:11" x14ac:dyDescent="0.2">
      <c r="C209" s="309"/>
      <c r="E209" s="309"/>
      <c r="G209" s="309"/>
      <c r="I209" s="309"/>
      <c r="K209" s="309"/>
    </row>
    <row r="210" spans="3:11" x14ac:dyDescent="0.2">
      <c r="C210" s="309"/>
      <c r="E210" s="309"/>
      <c r="G210" s="309"/>
      <c r="I210" s="309"/>
      <c r="K210" s="309"/>
    </row>
    <row r="211" spans="3:11" x14ac:dyDescent="0.2">
      <c r="C211" s="309"/>
      <c r="E211" s="309"/>
      <c r="G211" s="309"/>
      <c r="I211" s="309"/>
      <c r="K211" s="309"/>
    </row>
    <row r="212" spans="3:11" x14ac:dyDescent="0.2">
      <c r="C212" s="309"/>
      <c r="E212" s="309"/>
      <c r="G212" s="309"/>
      <c r="I212" s="309"/>
      <c r="K212" s="309"/>
    </row>
    <row r="213" spans="3:11" x14ac:dyDescent="0.2">
      <c r="C213" s="309"/>
      <c r="E213" s="309"/>
      <c r="G213" s="309"/>
      <c r="I213" s="309"/>
      <c r="K213" s="309"/>
    </row>
    <row r="214" spans="3:11" x14ac:dyDescent="0.2">
      <c r="C214" s="309"/>
      <c r="E214" s="309"/>
      <c r="G214" s="309"/>
      <c r="I214" s="309"/>
      <c r="K214" s="309"/>
    </row>
    <row r="215" spans="3:11" x14ac:dyDescent="0.2">
      <c r="C215" s="309"/>
      <c r="E215" s="309"/>
      <c r="G215" s="309"/>
      <c r="I215" s="309"/>
      <c r="K215" s="309"/>
    </row>
    <row r="216" spans="3:11" x14ac:dyDescent="0.2">
      <c r="C216" s="309"/>
      <c r="E216" s="309"/>
      <c r="G216" s="309"/>
      <c r="I216" s="309"/>
      <c r="K216" s="309"/>
    </row>
    <row r="217" spans="3:11" x14ac:dyDescent="0.2">
      <c r="C217" s="309"/>
      <c r="E217" s="309"/>
      <c r="G217" s="309"/>
      <c r="I217" s="309"/>
      <c r="K217" s="309"/>
    </row>
    <row r="218" spans="3:11" x14ac:dyDescent="0.2">
      <c r="C218" s="309"/>
      <c r="E218" s="309"/>
      <c r="G218" s="309"/>
      <c r="I218" s="309"/>
      <c r="K218" s="309"/>
    </row>
    <row r="219" spans="3:11" x14ac:dyDescent="0.2">
      <c r="C219" s="309"/>
      <c r="E219" s="309"/>
      <c r="G219" s="309"/>
      <c r="I219" s="309"/>
      <c r="K219" s="309"/>
    </row>
    <row r="220" spans="3:11" x14ac:dyDescent="0.2">
      <c r="C220" s="309"/>
      <c r="E220" s="309"/>
      <c r="G220" s="309"/>
      <c r="I220" s="309"/>
      <c r="K220" s="309"/>
    </row>
    <row r="221" spans="3:11" x14ac:dyDescent="0.2">
      <c r="C221" s="309"/>
      <c r="E221" s="309"/>
      <c r="G221" s="309"/>
      <c r="I221" s="309"/>
      <c r="K221" s="309"/>
    </row>
    <row r="222" spans="3:11" x14ac:dyDescent="0.2">
      <c r="C222" s="309"/>
      <c r="E222" s="309"/>
      <c r="G222" s="309"/>
      <c r="I222" s="309"/>
      <c r="K222" s="309"/>
    </row>
    <row r="223" spans="3:11" x14ac:dyDescent="0.2">
      <c r="C223" s="309"/>
      <c r="E223" s="309"/>
      <c r="G223" s="309"/>
      <c r="I223" s="309"/>
      <c r="K223" s="309"/>
    </row>
    <row r="224" spans="3:11" x14ac:dyDescent="0.2">
      <c r="C224" s="309"/>
      <c r="E224" s="309"/>
      <c r="G224" s="309"/>
      <c r="I224" s="309"/>
      <c r="K224" s="309"/>
    </row>
    <row r="225" spans="3:11" x14ac:dyDescent="0.2">
      <c r="C225" s="309"/>
      <c r="E225" s="309"/>
      <c r="G225" s="309"/>
      <c r="I225" s="309"/>
      <c r="K225" s="309"/>
    </row>
    <row r="226" spans="3:11" x14ac:dyDescent="0.2">
      <c r="C226" s="309"/>
      <c r="E226" s="309"/>
      <c r="G226" s="309"/>
      <c r="I226" s="309"/>
      <c r="K226" s="309"/>
    </row>
    <row r="227" spans="3:11" x14ac:dyDescent="0.2">
      <c r="C227" s="309"/>
      <c r="E227" s="309"/>
      <c r="G227" s="309"/>
      <c r="I227" s="309"/>
      <c r="K227" s="309"/>
    </row>
    <row r="228" spans="3:11" x14ac:dyDescent="0.2">
      <c r="C228" s="309"/>
      <c r="E228" s="309"/>
      <c r="G228" s="309"/>
      <c r="I228" s="309"/>
      <c r="K228" s="309"/>
    </row>
    <row r="229" spans="3:11" x14ac:dyDescent="0.2">
      <c r="C229" s="309"/>
      <c r="E229" s="309"/>
      <c r="G229" s="309"/>
      <c r="I229" s="309"/>
      <c r="K229" s="309"/>
    </row>
    <row r="230" spans="3:11" x14ac:dyDescent="0.2">
      <c r="C230" s="309"/>
      <c r="E230" s="309"/>
      <c r="G230" s="309"/>
      <c r="I230" s="309"/>
      <c r="K230" s="309"/>
    </row>
    <row r="231" spans="3:11" x14ac:dyDescent="0.2">
      <c r="C231" s="309"/>
      <c r="E231" s="309"/>
      <c r="G231" s="309"/>
      <c r="I231" s="309"/>
      <c r="K231" s="309"/>
    </row>
    <row r="232" spans="3:11" x14ac:dyDescent="0.2">
      <c r="C232" s="309"/>
      <c r="E232" s="309"/>
      <c r="G232" s="309"/>
      <c r="I232" s="309"/>
      <c r="K232" s="309"/>
    </row>
    <row r="233" spans="3:11" x14ac:dyDescent="0.2">
      <c r="C233" s="309"/>
      <c r="E233" s="309"/>
      <c r="G233" s="309"/>
      <c r="I233" s="309"/>
      <c r="K233" s="309"/>
    </row>
    <row r="234" spans="3:11" x14ac:dyDescent="0.2">
      <c r="C234" s="309"/>
      <c r="E234" s="309"/>
      <c r="G234" s="309"/>
      <c r="I234" s="309"/>
      <c r="K234" s="309"/>
    </row>
    <row r="235" spans="3:11" x14ac:dyDescent="0.2">
      <c r="C235" s="309"/>
      <c r="E235" s="309"/>
      <c r="G235" s="309"/>
      <c r="I235" s="309"/>
      <c r="K235" s="309"/>
    </row>
    <row r="236" spans="3:11" x14ac:dyDescent="0.2">
      <c r="C236" s="309"/>
      <c r="E236" s="309"/>
      <c r="G236" s="309"/>
      <c r="I236" s="309"/>
      <c r="K236" s="309"/>
    </row>
    <row r="237" spans="3:11" x14ac:dyDescent="0.2">
      <c r="C237" s="309"/>
      <c r="E237" s="309"/>
      <c r="G237" s="309"/>
      <c r="I237" s="309"/>
      <c r="K237" s="309"/>
    </row>
    <row r="238" spans="3:11" x14ac:dyDescent="0.2">
      <c r="C238" s="309"/>
      <c r="E238" s="309"/>
      <c r="G238" s="309"/>
      <c r="I238" s="309"/>
      <c r="K238" s="309"/>
    </row>
    <row r="239" spans="3:11" x14ac:dyDescent="0.2">
      <c r="C239" s="309"/>
      <c r="E239" s="309"/>
      <c r="G239" s="309"/>
      <c r="I239" s="309"/>
      <c r="K239" s="309"/>
    </row>
    <row r="240" spans="3:11" x14ac:dyDescent="0.2">
      <c r="C240" s="309"/>
      <c r="E240" s="309"/>
      <c r="G240" s="309"/>
      <c r="I240" s="309"/>
      <c r="K240" s="309"/>
    </row>
    <row r="241" spans="3:11" x14ac:dyDescent="0.2">
      <c r="C241" s="309"/>
      <c r="E241" s="309"/>
      <c r="G241" s="309"/>
      <c r="I241" s="309"/>
      <c r="K241" s="309"/>
    </row>
    <row r="242" spans="3:11" x14ac:dyDescent="0.2">
      <c r="C242" s="309"/>
      <c r="E242" s="309"/>
      <c r="G242" s="309"/>
      <c r="I242" s="309"/>
      <c r="K242" s="309"/>
    </row>
    <row r="243" spans="3:11" x14ac:dyDescent="0.2">
      <c r="C243" s="309"/>
      <c r="E243" s="309"/>
      <c r="G243" s="309"/>
      <c r="I243" s="309"/>
      <c r="K243" s="309"/>
    </row>
    <row r="244" spans="3:11" x14ac:dyDescent="0.2">
      <c r="C244" s="309"/>
      <c r="E244" s="309"/>
      <c r="G244" s="309"/>
      <c r="I244" s="309"/>
      <c r="K244" s="309"/>
    </row>
    <row r="245" spans="3:11" x14ac:dyDescent="0.2">
      <c r="C245" s="309"/>
      <c r="E245" s="309"/>
      <c r="G245" s="309"/>
      <c r="I245" s="309"/>
      <c r="K245" s="309"/>
    </row>
    <row r="246" spans="3:11" x14ac:dyDescent="0.2">
      <c r="C246" s="309"/>
      <c r="E246" s="309"/>
      <c r="G246" s="309"/>
      <c r="I246" s="309"/>
      <c r="K246" s="309"/>
    </row>
    <row r="247" spans="3:11" x14ac:dyDescent="0.2">
      <c r="C247" s="309"/>
      <c r="E247" s="309"/>
      <c r="G247" s="309"/>
      <c r="I247" s="309"/>
      <c r="K247" s="309"/>
    </row>
    <row r="248" spans="3:11" x14ac:dyDescent="0.2">
      <c r="C248" s="309"/>
      <c r="E248" s="309"/>
      <c r="G248" s="309"/>
      <c r="I248" s="309"/>
      <c r="K248" s="309"/>
    </row>
    <row r="249" spans="3:11" x14ac:dyDescent="0.2">
      <c r="C249" s="309"/>
      <c r="E249" s="309"/>
      <c r="G249" s="309"/>
      <c r="I249" s="309"/>
      <c r="K249" s="309"/>
    </row>
    <row r="250" spans="3:11" x14ac:dyDescent="0.2">
      <c r="C250" s="309"/>
      <c r="E250" s="309"/>
      <c r="G250" s="309"/>
      <c r="I250" s="309"/>
      <c r="K250" s="309"/>
    </row>
    <row r="251" spans="3:11" x14ac:dyDescent="0.2">
      <c r="C251" s="309"/>
      <c r="E251" s="309"/>
      <c r="G251" s="309"/>
      <c r="I251" s="309"/>
      <c r="K251" s="309"/>
    </row>
    <row r="252" spans="3:11" x14ac:dyDescent="0.2">
      <c r="C252" s="309"/>
      <c r="E252" s="309"/>
      <c r="G252" s="309"/>
      <c r="I252" s="309"/>
      <c r="K252" s="309"/>
    </row>
    <row r="253" spans="3:11" x14ac:dyDescent="0.2">
      <c r="C253" s="309"/>
      <c r="E253" s="309"/>
      <c r="G253" s="309"/>
      <c r="I253" s="309"/>
      <c r="K253" s="309"/>
    </row>
    <row r="254" spans="3:11" x14ac:dyDescent="0.2">
      <c r="C254" s="309"/>
      <c r="E254" s="309"/>
      <c r="G254" s="309"/>
      <c r="I254" s="309"/>
      <c r="K254" s="309"/>
    </row>
    <row r="255" spans="3:11" x14ac:dyDescent="0.2">
      <c r="C255" s="309"/>
      <c r="E255" s="309"/>
      <c r="G255" s="309"/>
      <c r="I255" s="309"/>
      <c r="K255" s="309"/>
    </row>
    <row r="256" spans="3:11" x14ac:dyDescent="0.2">
      <c r="C256" s="309"/>
      <c r="E256" s="309"/>
      <c r="G256" s="309"/>
      <c r="I256" s="309"/>
      <c r="K256" s="309"/>
    </row>
    <row r="257" spans="3:11" x14ac:dyDescent="0.2">
      <c r="C257" s="309"/>
      <c r="E257" s="309"/>
      <c r="G257" s="309"/>
      <c r="I257" s="309"/>
      <c r="K257" s="309"/>
    </row>
    <row r="258" spans="3:11" x14ac:dyDescent="0.2">
      <c r="C258" s="309"/>
      <c r="E258" s="309"/>
      <c r="G258" s="309"/>
      <c r="I258" s="309"/>
      <c r="K258" s="309"/>
    </row>
    <row r="259" spans="3:11" x14ac:dyDescent="0.2">
      <c r="C259" s="309"/>
      <c r="E259" s="309"/>
      <c r="G259" s="309"/>
      <c r="I259" s="309"/>
      <c r="K259" s="309"/>
    </row>
    <row r="260" spans="3:11" x14ac:dyDescent="0.2">
      <c r="C260" s="309"/>
      <c r="E260" s="309"/>
      <c r="G260" s="309"/>
      <c r="I260" s="309"/>
      <c r="K260" s="309"/>
    </row>
    <row r="261" spans="3:11" x14ac:dyDescent="0.2">
      <c r="C261" s="309"/>
      <c r="E261" s="309"/>
      <c r="G261" s="309"/>
      <c r="I261" s="309"/>
      <c r="K261" s="309"/>
    </row>
    <row r="262" spans="3:11" x14ac:dyDescent="0.2">
      <c r="C262" s="309"/>
      <c r="E262" s="309"/>
      <c r="G262" s="309"/>
      <c r="I262" s="309"/>
      <c r="K262" s="309"/>
    </row>
    <row r="263" spans="3:11" x14ac:dyDescent="0.2">
      <c r="C263" s="309"/>
      <c r="E263" s="309"/>
      <c r="G263" s="309"/>
      <c r="I263" s="309"/>
      <c r="K263" s="309"/>
    </row>
    <row r="264" spans="3:11" x14ac:dyDescent="0.2">
      <c r="C264" s="309"/>
      <c r="E264" s="309"/>
      <c r="G264" s="309"/>
      <c r="I264" s="309"/>
      <c r="K264" s="309"/>
    </row>
    <row r="265" spans="3:11" x14ac:dyDescent="0.2">
      <c r="C265" s="309"/>
      <c r="E265" s="309"/>
      <c r="G265" s="309"/>
      <c r="I265" s="309"/>
      <c r="K265" s="309"/>
    </row>
    <row r="266" spans="3:11" x14ac:dyDescent="0.2">
      <c r="C266" s="309"/>
      <c r="E266" s="309"/>
      <c r="G266" s="309"/>
      <c r="I266" s="309"/>
      <c r="K266" s="309"/>
    </row>
    <row r="267" spans="3:11" x14ac:dyDescent="0.2">
      <c r="C267" s="309"/>
      <c r="E267" s="309"/>
      <c r="G267" s="309"/>
      <c r="I267" s="309"/>
      <c r="K267" s="309"/>
    </row>
    <row r="268" spans="3:11" x14ac:dyDescent="0.2">
      <c r="C268" s="309"/>
      <c r="E268" s="309"/>
      <c r="G268" s="309"/>
      <c r="I268" s="309"/>
      <c r="K268" s="309"/>
    </row>
    <row r="269" spans="3:11" x14ac:dyDescent="0.2">
      <c r="C269" s="309"/>
      <c r="E269" s="309"/>
      <c r="G269" s="309"/>
      <c r="I269" s="309"/>
      <c r="K269" s="309"/>
    </row>
    <row r="270" spans="3:11" x14ac:dyDescent="0.2">
      <c r="C270" s="309"/>
      <c r="E270" s="309"/>
      <c r="G270" s="309"/>
      <c r="I270" s="309"/>
      <c r="K270" s="309"/>
    </row>
    <row r="271" spans="3:11" x14ac:dyDescent="0.2">
      <c r="C271" s="309"/>
      <c r="E271" s="309"/>
      <c r="G271" s="309"/>
      <c r="I271" s="309"/>
      <c r="K271" s="309"/>
    </row>
    <row r="272" spans="3:11" x14ac:dyDescent="0.2">
      <c r="C272" s="309"/>
      <c r="E272" s="309"/>
      <c r="G272" s="309"/>
      <c r="I272" s="309"/>
      <c r="K272" s="309"/>
    </row>
    <row r="273" spans="3:11" x14ac:dyDescent="0.2">
      <c r="C273" s="309"/>
      <c r="E273" s="309"/>
      <c r="G273" s="309"/>
      <c r="I273" s="309"/>
      <c r="K273" s="309"/>
    </row>
    <row r="274" spans="3:11" x14ac:dyDescent="0.2">
      <c r="C274" s="309"/>
      <c r="E274" s="309"/>
      <c r="G274" s="309"/>
      <c r="I274" s="309"/>
      <c r="K274" s="309"/>
    </row>
    <row r="275" spans="3:11" x14ac:dyDescent="0.2">
      <c r="C275" s="309"/>
      <c r="E275" s="309"/>
      <c r="G275" s="309"/>
      <c r="I275" s="309"/>
      <c r="K275" s="309"/>
    </row>
    <row r="276" spans="3:11" x14ac:dyDescent="0.2">
      <c r="C276" s="309"/>
      <c r="E276" s="309"/>
      <c r="G276" s="309"/>
      <c r="I276" s="309"/>
      <c r="K276" s="309"/>
    </row>
    <row r="277" spans="3:11" x14ac:dyDescent="0.2">
      <c r="C277" s="309"/>
      <c r="E277" s="309"/>
      <c r="G277" s="309"/>
      <c r="I277" s="309"/>
      <c r="K277" s="309"/>
    </row>
    <row r="278" spans="3:11" x14ac:dyDescent="0.2">
      <c r="C278" s="309"/>
      <c r="E278" s="309"/>
      <c r="G278" s="309"/>
      <c r="I278" s="309"/>
      <c r="K278" s="309"/>
    </row>
    <row r="279" spans="3:11" x14ac:dyDescent="0.2">
      <c r="C279" s="309"/>
      <c r="E279" s="309"/>
      <c r="G279" s="309"/>
      <c r="I279" s="309"/>
      <c r="K279" s="309"/>
    </row>
    <row r="280" spans="3:11" x14ac:dyDescent="0.2">
      <c r="C280" s="309"/>
      <c r="E280" s="309"/>
      <c r="G280" s="309"/>
      <c r="I280" s="309"/>
      <c r="K280" s="309"/>
    </row>
    <row r="281" spans="3:11" x14ac:dyDescent="0.2">
      <c r="C281" s="309"/>
      <c r="E281" s="309"/>
      <c r="G281" s="309"/>
      <c r="I281" s="309"/>
      <c r="K281" s="309"/>
    </row>
    <row r="282" spans="3:11" x14ac:dyDescent="0.2">
      <c r="C282" s="309"/>
      <c r="E282" s="309"/>
      <c r="G282" s="309"/>
      <c r="I282" s="309"/>
      <c r="K282" s="309"/>
    </row>
    <row r="283" spans="3:11" x14ac:dyDescent="0.2">
      <c r="C283" s="309"/>
      <c r="E283" s="309"/>
      <c r="G283" s="309"/>
      <c r="I283" s="309"/>
      <c r="K283" s="309"/>
    </row>
    <row r="284" spans="3:11" x14ac:dyDescent="0.2">
      <c r="C284" s="309"/>
      <c r="E284" s="309"/>
      <c r="G284" s="309"/>
      <c r="I284" s="309"/>
      <c r="K284" s="309"/>
    </row>
    <row r="285" spans="3:11" x14ac:dyDescent="0.2">
      <c r="C285" s="309"/>
      <c r="E285" s="309"/>
      <c r="G285" s="309"/>
      <c r="I285" s="309"/>
      <c r="K285" s="309"/>
    </row>
    <row r="286" spans="3:11" x14ac:dyDescent="0.2">
      <c r="C286" s="309"/>
      <c r="E286" s="309"/>
      <c r="G286" s="309"/>
      <c r="I286" s="309"/>
      <c r="K286" s="309"/>
    </row>
    <row r="287" spans="3:11" x14ac:dyDescent="0.2">
      <c r="C287" s="309"/>
      <c r="E287" s="309"/>
      <c r="G287" s="309"/>
      <c r="I287" s="309"/>
      <c r="K287" s="309"/>
    </row>
    <row r="288" spans="3:11" x14ac:dyDescent="0.2">
      <c r="C288" s="309"/>
      <c r="E288" s="309"/>
      <c r="G288" s="309"/>
      <c r="I288" s="309"/>
      <c r="K288" s="309"/>
    </row>
    <row r="289" spans="3:11" x14ac:dyDescent="0.2">
      <c r="C289" s="309"/>
      <c r="E289" s="309"/>
      <c r="G289" s="309"/>
      <c r="I289" s="309"/>
      <c r="K289" s="309"/>
    </row>
    <row r="290" spans="3:11" x14ac:dyDescent="0.2">
      <c r="C290" s="309"/>
      <c r="E290" s="309"/>
      <c r="G290" s="309"/>
      <c r="I290" s="309"/>
      <c r="K290" s="309"/>
    </row>
    <row r="291" spans="3:11" x14ac:dyDescent="0.2">
      <c r="C291" s="309"/>
      <c r="E291" s="309"/>
      <c r="G291" s="309"/>
      <c r="I291" s="309"/>
      <c r="K291" s="309"/>
    </row>
    <row r="292" spans="3:11" x14ac:dyDescent="0.2">
      <c r="C292" s="309"/>
      <c r="E292" s="309"/>
      <c r="G292" s="309"/>
      <c r="I292" s="309"/>
      <c r="K292" s="309"/>
    </row>
    <row r="293" spans="3:11" x14ac:dyDescent="0.2">
      <c r="C293" s="309"/>
      <c r="E293" s="309"/>
      <c r="G293" s="309"/>
      <c r="I293" s="309"/>
      <c r="K293" s="309"/>
    </row>
    <row r="294" spans="3:11" x14ac:dyDescent="0.2">
      <c r="C294" s="309"/>
      <c r="E294" s="309"/>
      <c r="G294" s="309"/>
      <c r="I294" s="309"/>
      <c r="K294" s="309"/>
    </row>
    <row r="295" spans="3:11" x14ac:dyDescent="0.2">
      <c r="C295" s="309"/>
      <c r="E295" s="309"/>
      <c r="G295" s="309"/>
      <c r="I295" s="309"/>
      <c r="K295" s="309"/>
    </row>
    <row r="296" spans="3:11" x14ac:dyDescent="0.2">
      <c r="C296" s="309"/>
      <c r="E296" s="309"/>
      <c r="G296" s="309"/>
      <c r="I296" s="309"/>
      <c r="K296" s="309"/>
    </row>
    <row r="297" spans="3:11" x14ac:dyDescent="0.2">
      <c r="C297" s="309"/>
      <c r="E297" s="309"/>
      <c r="G297" s="309"/>
      <c r="I297" s="309"/>
      <c r="K297" s="309"/>
    </row>
    <row r="298" spans="3:11" x14ac:dyDescent="0.2">
      <c r="C298" s="309"/>
      <c r="E298" s="309"/>
      <c r="G298" s="309"/>
      <c r="I298" s="309"/>
      <c r="K298" s="309"/>
    </row>
    <row r="299" spans="3:11" x14ac:dyDescent="0.2">
      <c r="C299" s="309"/>
      <c r="E299" s="309"/>
      <c r="G299" s="309"/>
      <c r="I299" s="309"/>
      <c r="K299" s="309"/>
    </row>
    <row r="300" spans="3:11" x14ac:dyDescent="0.2">
      <c r="C300" s="309"/>
      <c r="E300" s="309"/>
      <c r="G300" s="309"/>
      <c r="I300" s="309"/>
      <c r="K300" s="309"/>
    </row>
    <row r="301" spans="3:11" x14ac:dyDescent="0.2">
      <c r="C301" s="309"/>
      <c r="E301" s="309"/>
      <c r="G301" s="309"/>
      <c r="I301" s="309"/>
      <c r="K301" s="309"/>
    </row>
    <row r="302" spans="3:11" x14ac:dyDescent="0.2">
      <c r="C302" s="309"/>
      <c r="E302" s="309"/>
      <c r="G302" s="309"/>
      <c r="I302" s="309"/>
      <c r="K302" s="309"/>
    </row>
    <row r="303" spans="3:11" x14ac:dyDescent="0.2">
      <c r="C303" s="309"/>
      <c r="E303" s="309"/>
      <c r="G303" s="309"/>
      <c r="I303" s="309"/>
      <c r="K303" s="309"/>
    </row>
    <row r="304" spans="3:11" x14ac:dyDescent="0.2">
      <c r="C304" s="309"/>
      <c r="E304" s="309"/>
      <c r="G304" s="309"/>
      <c r="I304" s="309"/>
      <c r="K304" s="309"/>
    </row>
    <row r="305" spans="3:11" x14ac:dyDescent="0.2">
      <c r="C305" s="309"/>
      <c r="E305" s="309"/>
      <c r="G305" s="309"/>
      <c r="I305" s="309"/>
      <c r="K305" s="309"/>
    </row>
    <row r="306" spans="3:11" x14ac:dyDescent="0.2">
      <c r="C306" s="309"/>
      <c r="E306" s="309"/>
      <c r="G306" s="309"/>
      <c r="I306" s="309"/>
      <c r="K306" s="309"/>
    </row>
    <row r="307" spans="3:11" x14ac:dyDescent="0.2">
      <c r="C307" s="309"/>
      <c r="E307" s="309"/>
      <c r="G307" s="309"/>
      <c r="I307" s="309"/>
      <c r="K307" s="309"/>
    </row>
    <row r="308" spans="3:11" x14ac:dyDescent="0.2">
      <c r="C308" s="309"/>
      <c r="E308" s="309"/>
      <c r="G308" s="309"/>
      <c r="I308" s="309"/>
      <c r="K308" s="309"/>
    </row>
    <row r="309" spans="3:11" x14ac:dyDescent="0.2">
      <c r="C309" s="309"/>
      <c r="E309" s="309"/>
      <c r="G309" s="309"/>
      <c r="I309" s="309"/>
      <c r="K309" s="309"/>
    </row>
    <row r="310" spans="3:11" x14ac:dyDescent="0.2">
      <c r="C310" s="309"/>
      <c r="E310" s="309"/>
      <c r="G310" s="309"/>
      <c r="I310" s="309"/>
      <c r="K310" s="309"/>
    </row>
    <row r="311" spans="3:11" x14ac:dyDescent="0.2">
      <c r="C311" s="309"/>
      <c r="E311" s="309"/>
      <c r="G311" s="309"/>
      <c r="I311" s="309"/>
      <c r="K311" s="309"/>
    </row>
    <row r="312" spans="3:11" x14ac:dyDescent="0.2">
      <c r="C312" s="309"/>
      <c r="E312" s="309"/>
      <c r="G312" s="309"/>
      <c r="I312" s="309"/>
      <c r="K312" s="309"/>
    </row>
    <row r="313" spans="3:11" x14ac:dyDescent="0.2">
      <c r="C313" s="309"/>
      <c r="E313" s="309"/>
      <c r="G313" s="309"/>
      <c r="I313" s="309"/>
      <c r="K313" s="309"/>
    </row>
    <row r="314" spans="3:11" x14ac:dyDescent="0.2">
      <c r="C314" s="309"/>
      <c r="E314" s="309"/>
      <c r="G314" s="309"/>
      <c r="I314" s="309"/>
      <c r="K314" s="309"/>
    </row>
    <row r="315" spans="3:11" x14ac:dyDescent="0.2">
      <c r="C315" s="309"/>
      <c r="E315" s="309"/>
      <c r="G315" s="309"/>
      <c r="I315" s="309"/>
      <c r="K315" s="309"/>
    </row>
    <row r="316" spans="3:11" x14ac:dyDescent="0.2">
      <c r="C316" s="309"/>
      <c r="E316" s="309"/>
      <c r="G316" s="309"/>
      <c r="I316" s="309"/>
      <c r="K316" s="309"/>
    </row>
    <row r="317" spans="3:11" x14ac:dyDescent="0.2">
      <c r="C317" s="309"/>
      <c r="E317" s="309"/>
      <c r="G317" s="309"/>
      <c r="I317" s="309"/>
      <c r="K317" s="309"/>
    </row>
    <row r="318" spans="3:11" x14ac:dyDescent="0.2">
      <c r="C318" s="309"/>
      <c r="E318" s="309"/>
      <c r="G318" s="309"/>
      <c r="I318" s="309"/>
      <c r="K318" s="309"/>
    </row>
    <row r="319" spans="3:11" x14ac:dyDescent="0.2">
      <c r="C319" s="309"/>
      <c r="E319" s="309"/>
      <c r="G319" s="309"/>
      <c r="I319" s="309"/>
      <c r="K319" s="309"/>
    </row>
    <row r="320" spans="3:11" x14ac:dyDescent="0.2">
      <c r="C320" s="309"/>
      <c r="E320" s="309"/>
      <c r="G320" s="309"/>
      <c r="I320" s="309"/>
      <c r="K320" s="309"/>
    </row>
    <row r="321" spans="3:11" x14ac:dyDescent="0.2">
      <c r="C321" s="309"/>
      <c r="E321" s="309"/>
      <c r="G321" s="309"/>
      <c r="I321" s="309"/>
      <c r="K321" s="309"/>
    </row>
    <row r="322" spans="3:11" x14ac:dyDescent="0.2">
      <c r="C322" s="309"/>
      <c r="E322" s="309"/>
      <c r="G322" s="309"/>
      <c r="I322" s="309"/>
      <c r="K322" s="309"/>
    </row>
    <row r="323" spans="3:11" x14ac:dyDescent="0.2">
      <c r="C323" s="309"/>
      <c r="E323" s="309"/>
      <c r="G323" s="309"/>
      <c r="I323" s="309"/>
      <c r="K323" s="309"/>
    </row>
    <row r="324" spans="3:11" x14ac:dyDescent="0.2">
      <c r="C324" s="309"/>
      <c r="E324" s="309"/>
      <c r="G324" s="309"/>
      <c r="I324" s="309"/>
      <c r="K324" s="309"/>
    </row>
    <row r="325" spans="3:11" x14ac:dyDescent="0.2">
      <c r="C325" s="309"/>
      <c r="E325" s="309"/>
      <c r="G325" s="309"/>
      <c r="I325" s="309"/>
      <c r="K325" s="309"/>
    </row>
    <row r="326" spans="3:11" x14ac:dyDescent="0.2">
      <c r="C326" s="309"/>
      <c r="E326" s="309"/>
      <c r="G326" s="309"/>
      <c r="I326" s="309"/>
      <c r="K326" s="309"/>
    </row>
    <row r="327" spans="3:11" x14ac:dyDescent="0.2">
      <c r="C327" s="309"/>
      <c r="E327" s="309"/>
      <c r="G327" s="309"/>
      <c r="I327" s="309"/>
      <c r="K327" s="309"/>
    </row>
    <row r="328" spans="3:11" x14ac:dyDescent="0.2">
      <c r="C328" s="309"/>
      <c r="E328" s="309"/>
      <c r="G328" s="309"/>
      <c r="I328" s="309"/>
      <c r="K328" s="309"/>
    </row>
    <row r="329" spans="3:11" x14ac:dyDescent="0.2">
      <c r="C329" s="309"/>
      <c r="E329" s="309"/>
      <c r="G329" s="309"/>
      <c r="I329" s="309"/>
      <c r="K329" s="309"/>
    </row>
    <row r="330" spans="3:11" x14ac:dyDescent="0.2">
      <c r="C330" s="309"/>
      <c r="E330" s="309"/>
      <c r="G330" s="309"/>
      <c r="I330" s="309"/>
      <c r="K330" s="309"/>
    </row>
    <row r="331" spans="3:11" x14ac:dyDescent="0.2">
      <c r="C331" s="309"/>
      <c r="E331" s="309"/>
      <c r="G331" s="309"/>
      <c r="I331" s="309"/>
      <c r="K331" s="309"/>
    </row>
    <row r="332" spans="3:11" x14ac:dyDescent="0.2">
      <c r="C332" s="309"/>
      <c r="E332" s="309"/>
      <c r="G332" s="309"/>
      <c r="I332" s="309"/>
      <c r="K332" s="309"/>
    </row>
    <row r="333" spans="3:11" x14ac:dyDescent="0.2">
      <c r="C333" s="309"/>
      <c r="E333" s="309"/>
      <c r="G333" s="309"/>
      <c r="I333" s="309"/>
      <c r="K333" s="309"/>
    </row>
    <row r="334" spans="3:11" x14ac:dyDescent="0.2">
      <c r="C334" s="309"/>
      <c r="E334" s="309"/>
      <c r="G334" s="309"/>
      <c r="I334" s="309"/>
      <c r="K334" s="309"/>
    </row>
    <row r="335" spans="3:11" x14ac:dyDescent="0.2">
      <c r="C335" s="309"/>
      <c r="E335" s="309"/>
      <c r="G335" s="309"/>
      <c r="I335" s="309"/>
      <c r="K335" s="309"/>
    </row>
    <row r="336" spans="3:11" x14ac:dyDescent="0.2">
      <c r="C336" s="309"/>
      <c r="E336" s="309"/>
      <c r="G336" s="309"/>
      <c r="I336" s="309"/>
      <c r="K336" s="309"/>
    </row>
    <row r="337" spans="3:11" x14ac:dyDescent="0.2">
      <c r="C337" s="309"/>
      <c r="E337" s="309"/>
      <c r="G337" s="309"/>
      <c r="I337" s="309"/>
      <c r="K337" s="309"/>
    </row>
    <row r="338" spans="3:11" x14ac:dyDescent="0.2">
      <c r="C338" s="309"/>
      <c r="E338" s="309"/>
      <c r="G338" s="309"/>
      <c r="I338" s="309"/>
      <c r="K338" s="309"/>
    </row>
    <row r="339" spans="3:11" x14ac:dyDescent="0.2">
      <c r="C339" s="309"/>
      <c r="E339" s="309"/>
      <c r="G339" s="309"/>
      <c r="I339" s="309"/>
      <c r="K339" s="309"/>
    </row>
    <row r="340" spans="3:11" x14ac:dyDescent="0.2">
      <c r="C340" s="309"/>
      <c r="E340" s="309"/>
      <c r="G340" s="309"/>
      <c r="I340" s="309"/>
      <c r="K340" s="309"/>
    </row>
    <row r="341" spans="3:11" x14ac:dyDescent="0.2">
      <c r="C341" s="309"/>
      <c r="E341" s="309"/>
      <c r="G341" s="309"/>
      <c r="I341" s="309"/>
      <c r="K341" s="309"/>
    </row>
    <row r="342" spans="3:11" x14ac:dyDescent="0.2">
      <c r="C342" s="309"/>
      <c r="E342" s="309"/>
      <c r="G342" s="309"/>
      <c r="I342" s="309"/>
      <c r="K342" s="309"/>
    </row>
    <row r="343" spans="3:11" x14ac:dyDescent="0.2">
      <c r="C343" s="309"/>
      <c r="E343" s="309"/>
      <c r="G343" s="309"/>
      <c r="I343" s="309"/>
      <c r="K343" s="309"/>
    </row>
    <row r="344" spans="3:11" x14ac:dyDescent="0.2">
      <c r="C344" s="309"/>
      <c r="E344" s="309"/>
      <c r="G344" s="309"/>
      <c r="I344" s="309"/>
      <c r="K344" s="309"/>
    </row>
    <row r="345" spans="3:11" x14ac:dyDescent="0.2">
      <c r="C345" s="309"/>
      <c r="E345" s="309"/>
      <c r="G345" s="309"/>
      <c r="I345" s="309"/>
      <c r="K345" s="309"/>
    </row>
    <row r="346" spans="3:11" x14ac:dyDescent="0.2">
      <c r="C346" s="309"/>
      <c r="E346" s="309"/>
      <c r="G346" s="309"/>
      <c r="I346" s="309"/>
      <c r="K346" s="309"/>
    </row>
    <row r="347" spans="3:11" x14ac:dyDescent="0.2">
      <c r="C347" s="309"/>
      <c r="E347" s="309"/>
      <c r="G347" s="309"/>
      <c r="I347" s="309"/>
      <c r="K347" s="309"/>
    </row>
    <row r="348" spans="3:11" x14ac:dyDescent="0.2">
      <c r="C348" s="309"/>
      <c r="E348" s="309"/>
      <c r="G348" s="309"/>
      <c r="I348" s="309"/>
      <c r="K348" s="309"/>
    </row>
    <row r="349" spans="3:11" x14ac:dyDescent="0.2">
      <c r="C349" s="309"/>
      <c r="E349" s="309"/>
      <c r="G349" s="309"/>
      <c r="I349" s="309"/>
      <c r="K349" s="309"/>
    </row>
    <row r="350" spans="3:11" x14ac:dyDescent="0.2">
      <c r="C350" s="309"/>
      <c r="E350" s="309"/>
      <c r="G350" s="309"/>
      <c r="I350" s="309"/>
      <c r="K350" s="309"/>
    </row>
    <row r="351" spans="3:11" x14ac:dyDescent="0.2">
      <c r="C351" s="309"/>
      <c r="E351" s="309"/>
      <c r="G351" s="309"/>
      <c r="I351" s="309"/>
      <c r="K351" s="309"/>
    </row>
    <row r="352" spans="3:11" x14ac:dyDescent="0.2">
      <c r="C352" s="309"/>
      <c r="E352" s="309"/>
      <c r="G352" s="309"/>
      <c r="I352" s="309"/>
      <c r="K352" s="309"/>
    </row>
    <row r="353" spans="3:11" x14ac:dyDescent="0.2">
      <c r="C353" s="309"/>
      <c r="E353" s="309"/>
      <c r="G353" s="309"/>
      <c r="I353" s="309"/>
      <c r="K353" s="309"/>
    </row>
    <row r="354" spans="3:11" x14ac:dyDescent="0.2">
      <c r="C354" s="309"/>
      <c r="E354" s="309"/>
      <c r="G354" s="309"/>
      <c r="I354" s="309"/>
      <c r="K354" s="309"/>
    </row>
    <row r="355" spans="3:11" x14ac:dyDescent="0.2">
      <c r="C355" s="309"/>
      <c r="E355" s="309"/>
      <c r="G355" s="309"/>
      <c r="I355" s="309"/>
      <c r="K355" s="309"/>
    </row>
    <row r="356" spans="3:11" x14ac:dyDescent="0.2">
      <c r="C356" s="309"/>
      <c r="E356" s="309"/>
      <c r="G356" s="309"/>
      <c r="I356" s="309"/>
      <c r="K356" s="309"/>
    </row>
    <row r="357" spans="3:11" x14ac:dyDescent="0.2">
      <c r="C357" s="309"/>
      <c r="E357" s="309"/>
      <c r="G357" s="309"/>
      <c r="I357" s="309"/>
      <c r="K357" s="309"/>
    </row>
    <row r="358" spans="3:11" x14ac:dyDescent="0.2">
      <c r="C358" s="309"/>
      <c r="E358" s="309"/>
      <c r="G358" s="309"/>
      <c r="I358" s="309"/>
      <c r="K358" s="309"/>
    </row>
    <row r="359" spans="3:11" x14ac:dyDescent="0.2">
      <c r="C359" s="309"/>
      <c r="E359" s="309"/>
      <c r="G359" s="309"/>
      <c r="I359" s="309"/>
      <c r="K359" s="309"/>
    </row>
    <row r="360" spans="3:11" x14ac:dyDescent="0.2">
      <c r="C360" s="309"/>
      <c r="E360" s="309"/>
      <c r="G360" s="309"/>
      <c r="I360" s="309"/>
      <c r="K360" s="309"/>
    </row>
    <row r="361" spans="3:11" x14ac:dyDescent="0.2">
      <c r="C361" s="309"/>
      <c r="E361" s="309"/>
      <c r="G361" s="309"/>
      <c r="I361" s="309"/>
      <c r="K361" s="309"/>
    </row>
    <row r="362" spans="3:11" x14ac:dyDescent="0.2">
      <c r="C362" s="309"/>
      <c r="E362" s="309"/>
      <c r="G362" s="309"/>
      <c r="I362" s="309"/>
      <c r="K362" s="309"/>
    </row>
    <row r="363" spans="3:11" x14ac:dyDescent="0.2">
      <c r="C363" s="309"/>
      <c r="E363" s="309"/>
      <c r="G363" s="309"/>
      <c r="I363" s="309"/>
      <c r="K363" s="309"/>
    </row>
    <row r="364" spans="3:11" x14ac:dyDescent="0.2">
      <c r="C364" s="309"/>
      <c r="E364" s="309"/>
      <c r="G364" s="309"/>
      <c r="I364" s="309"/>
      <c r="K364" s="309"/>
    </row>
    <row r="365" spans="3:11" x14ac:dyDescent="0.2">
      <c r="C365" s="309"/>
      <c r="E365" s="309"/>
      <c r="G365" s="309"/>
      <c r="I365" s="309"/>
      <c r="K365" s="309"/>
    </row>
    <row r="366" spans="3:11" x14ac:dyDescent="0.2">
      <c r="C366" s="309"/>
      <c r="E366" s="309"/>
      <c r="G366" s="309"/>
      <c r="I366" s="309"/>
      <c r="K366" s="309"/>
    </row>
    <row r="367" spans="3:11" x14ac:dyDescent="0.2">
      <c r="C367" s="309"/>
      <c r="E367" s="309"/>
      <c r="G367" s="309"/>
      <c r="I367" s="309"/>
      <c r="K367" s="309"/>
    </row>
    <row r="368" spans="3:11" x14ac:dyDescent="0.2">
      <c r="C368" s="309"/>
      <c r="E368" s="309"/>
      <c r="G368" s="309"/>
      <c r="I368" s="309"/>
      <c r="K368" s="309"/>
    </row>
    <row r="369" spans="3:11" x14ac:dyDescent="0.2">
      <c r="C369" s="309"/>
      <c r="E369" s="309"/>
      <c r="G369" s="309"/>
      <c r="I369" s="309"/>
      <c r="K369" s="309"/>
    </row>
    <row r="370" spans="3:11" x14ac:dyDescent="0.2">
      <c r="C370" s="309"/>
      <c r="E370" s="309"/>
      <c r="G370" s="309"/>
      <c r="I370" s="309"/>
      <c r="K370" s="309"/>
    </row>
    <row r="371" spans="3:11" x14ac:dyDescent="0.2">
      <c r="C371" s="309"/>
      <c r="E371" s="309"/>
      <c r="G371" s="309"/>
      <c r="I371" s="309"/>
      <c r="K371" s="309"/>
    </row>
    <row r="372" spans="3:11" x14ac:dyDescent="0.2">
      <c r="C372" s="309"/>
      <c r="E372" s="309"/>
      <c r="G372" s="309"/>
      <c r="I372" s="309"/>
      <c r="K372" s="309"/>
    </row>
    <row r="373" spans="3:11" x14ac:dyDescent="0.2">
      <c r="C373" s="309"/>
      <c r="E373" s="309"/>
      <c r="G373" s="309"/>
      <c r="I373" s="309"/>
      <c r="K373" s="309"/>
    </row>
    <row r="374" spans="3:11" x14ac:dyDescent="0.2">
      <c r="C374" s="309"/>
      <c r="E374" s="309"/>
      <c r="G374" s="309"/>
      <c r="I374" s="309"/>
      <c r="K374" s="309"/>
    </row>
    <row r="375" spans="3:11" x14ac:dyDescent="0.2">
      <c r="C375" s="309"/>
      <c r="E375" s="309"/>
      <c r="G375" s="309"/>
      <c r="I375" s="309"/>
      <c r="K375" s="309"/>
    </row>
    <row r="376" spans="3:11" x14ac:dyDescent="0.2">
      <c r="C376" s="309"/>
      <c r="E376" s="309"/>
      <c r="G376" s="309"/>
      <c r="I376" s="309"/>
      <c r="K376" s="309"/>
    </row>
    <row r="377" spans="3:11" x14ac:dyDescent="0.2">
      <c r="C377" s="309"/>
      <c r="E377" s="309"/>
      <c r="G377" s="309"/>
      <c r="I377" s="309"/>
      <c r="K377" s="309"/>
    </row>
    <row r="378" spans="3:11" x14ac:dyDescent="0.2">
      <c r="C378" s="309"/>
      <c r="E378" s="309"/>
      <c r="G378" s="309"/>
      <c r="I378" s="309"/>
      <c r="K378" s="309"/>
    </row>
    <row r="379" spans="3:11" x14ac:dyDescent="0.2">
      <c r="C379" s="309"/>
      <c r="E379" s="309"/>
      <c r="G379" s="309"/>
      <c r="I379" s="309"/>
      <c r="K379" s="309"/>
    </row>
    <row r="380" spans="3:11" x14ac:dyDescent="0.2">
      <c r="C380" s="309"/>
      <c r="E380" s="309"/>
      <c r="G380" s="309"/>
      <c r="I380" s="309"/>
      <c r="K380" s="309"/>
    </row>
    <row r="381" spans="3:11" x14ac:dyDescent="0.2">
      <c r="C381" s="309"/>
      <c r="E381" s="309"/>
      <c r="G381" s="309"/>
      <c r="I381" s="309"/>
      <c r="K381" s="309"/>
    </row>
    <row r="382" spans="3:11" x14ac:dyDescent="0.2">
      <c r="C382" s="309"/>
      <c r="E382" s="309"/>
      <c r="G382" s="309"/>
      <c r="I382" s="309"/>
      <c r="K382" s="309"/>
    </row>
    <row r="383" spans="3:11" x14ac:dyDescent="0.2">
      <c r="C383" s="309"/>
      <c r="E383" s="309"/>
      <c r="G383" s="309"/>
      <c r="I383" s="309"/>
      <c r="K383" s="309"/>
    </row>
    <row r="384" spans="3:11" x14ac:dyDescent="0.2">
      <c r="C384" s="309"/>
      <c r="E384" s="309"/>
      <c r="G384" s="309"/>
      <c r="I384" s="309"/>
      <c r="K384" s="309"/>
    </row>
    <row r="385" spans="3:11" x14ac:dyDescent="0.2">
      <c r="C385" s="309"/>
      <c r="E385" s="309"/>
      <c r="G385" s="309"/>
      <c r="I385" s="309"/>
      <c r="K385" s="309"/>
    </row>
    <row r="386" spans="3:11" x14ac:dyDescent="0.2">
      <c r="C386" s="309"/>
      <c r="E386" s="309"/>
      <c r="G386" s="309"/>
      <c r="I386" s="309"/>
      <c r="K386" s="309"/>
    </row>
    <row r="387" spans="3:11" x14ac:dyDescent="0.2">
      <c r="C387" s="309"/>
      <c r="E387" s="309"/>
      <c r="G387" s="309"/>
      <c r="I387" s="309"/>
      <c r="K387" s="309"/>
    </row>
    <row r="388" spans="3:11" x14ac:dyDescent="0.2">
      <c r="C388" s="309"/>
      <c r="E388" s="309"/>
      <c r="G388" s="309"/>
      <c r="I388" s="309"/>
      <c r="K388" s="309"/>
    </row>
    <row r="389" spans="3:11" x14ac:dyDescent="0.2">
      <c r="C389" s="309"/>
      <c r="E389" s="309"/>
      <c r="G389" s="309"/>
      <c r="I389" s="309"/>
      <c r="K389" s="309"/>
    </row>
    <row r="390" spans="3:11" x14ac:dyDescent="0.2">
      <c r="C390" s="309"/>
      <c r="E390" s="309"/>
      <c r="G390" s="309"/>
      <c r="I390" s="309"/>
      <c r="K390" s="309"/>
    </row>
    <row r="391" spans="3:11" x14ac:dyDescent="0.2">
      <c r="C391" s="309"/>
      <c r="E391" s="309"/>
      <c r="G391" s="309"/>
      <c r="I391" s="309"/>
      <c r="K391" s="309"/>
    </row>
    <row r="392" spans="3:11" x14ac:dyDescent="0.2">
      <c r="C392" s="309"/>
      <c r="E392" s="309"/>
      <c r="G392" s="309"/>
      <c r="I392" s="309"/>
      <c r="K392" s="309"/>
    </row>
    <row r="393" spans="3:11" x14ac:dyDescent="0.2">
      <c r="C393" s="309"/>
      <c r="E393" s="309"/>
      <c r="G393" s="309"/>
      <c r="I393" s="309"/>
      <c r="K393" s="309"/>
    </row>
    <row r="394" spans="3:11" x14ac:dyDescent="0.2">
      <c r="C394" s="309"/>
      <c r="E394" s="309"/>
      <c r="G394" s="309"/>
      <c r="I394" s="309"/>
      <c r="K394" s="309"/>
    </row>
    <row r="395" spans="3:11" x14ac:dyDescent="0.2">
      <c r="C395" s="309"/>
      <c r="E395" s="309"/>
      <c r="G395" s="309"/>
      <c r="I395" s="309"/>
      <c r="K395" s="309"/>
    </row>
    <row r="396" spans="3:11" x14ac:dyDescent="0.2">
      <c r="C396" s="309"/>
      <c r="E396" s="309"/>
      <c r="G396" s="309"/>
      <c r="I396" s="309"/>
      <c r="K396" s="309"/>
    </row>
    <row r="397" spans="3:11" x14ac:dyDescent="0.2">
      <c r="C397" s="309"/>
      <c r="E397" s="309"/>
      <c r="G397" s="309"/>
      <c r="I397" s="309"/>
      <c r="K397" s="309"/>
    </row>
    <row r="398" spans="3:11" x14ac:dyDescent="0.2">
      <c r="C398" s="309"/>
      <c r="E398" s="309"/>
      <c r="G398" s="309"/>
      <c r="I398" s="309"/>
      <c r="K398" s="309"/>
    </row>
    <row r="399" spans="3:11" x14ac:dyDescent="0.2">
      <c r="C399" s="309"/>
      <c r="E399" s="309"/>
      <c r="G399" s="309"/>
      <c r="I399" s="309"/>
      <c r="K399" s="309"/>
    </row>
    <row r="400" spans="3:11" x14ac:dyDescent="0.2">
      <c r="C400" s="309"/>
      <c r="E400" s="309"/>
      <c r="G400" s="309"/>
      <c r="I400" s="309"/>
      <c r="K400" s="309"/>
    </row>
    <row r="401" spans="3:11" x14ac:dyDescent="0.2">
      <c r="C401" s="309"/>
      <c r="E401" s="309"/>
      <c r="G401" s="309"/>
      <c r="I401" s="309"/>
      <c r="K401" s="309"/>
    </row>
    <row r="402" spans="3:11" x14ac:dyDescent="0.2">
      <c r="C402" s="309"/>
      <c r="E402" s="309"/>
      <c r="G402" s="309"/>
      <c r="I402" s="309"/>
      <c r="K402" s="309"/>
    </row>
    <row r="403" spans="3:11" x14ac:dyDescent="0.2">
      <c r="C403" s="309"/>
      <c r="E403" s="309"/>
      <c r="G403" s="309"/>
      <c r="I403" s="309"/>
      <c r="K403" s="309"/>
    </row>
    <row r="404" spans="3:11" x14ac:dyDescent="0.2">
      <c r="C404" s="309"/>
      <c r="E404" s="309"/>
      <c r="G404" s="309"/>
      <c r="I404" s="309"/>
      <c r="K404" s="309"/>
    </row>
    <row r="405" spans="3:11" x14ac:dyDescent="0.2">
      <c r="C405" s="309"/>
      <c r="E405" s="309"/>
      <c r="G405" s="309"/>
      <c r="I405" s="309"/>
      <c r="K405" s="309"/>
    </row>
    <row r="406" spans="3:11" x14ac:dyDescent="0.2">
      <c r="C406" s="309"/>
      <c r="E406" s="309"/>
      <c r="G406" s="309"/>
      <c r="I406" s="309"/>
      <c r="K406" s="309"/>
    </row>
    <row r="407" spans="3:11" x14ac:dyDescent="0.2">
      <c r="C407" s="309"/>
      <c r="E407" s="309"/>
      <c r="G407" s="309"/>
      <c r="I407" s="309"/>
      <c r="K407" s="309"/>
    </row>
    <row r="408" spans="3:11" x14ac:dyDescent="0.2">
      <c r="C408" s="309"/>
      <c r="E408" s="309"/>
      <c r="G408" s="309"/>
      <c r="I408" s="309"/>
      <c r="K408" s="309"/>
    </row>
    <row r="409" spans="3:11" x14ac:dyDescent="0.2">
      <c r="C409" s="309"/>
      <c r="E409" s="309"/>
      <c r="G409" s="309"/>
      <c r="I409" s="309"/>
      <c r="K409" s="309"/>
    </row>
    <row r="410" spans="3:11" x14ac:dyDescent="0.2">
      <c r="C410" s="309"/>
      <c r="E410" s="309"/>
      <c r="G410" s="309"/>
      <c r="I410" s="309"/>
      <c r="K410" s="309"/>
    </row>
    <row r="411" spans="3:11" x14ac:dyDescent="0.2">
      <c r="C411" s="309"/>
      <c r="E411" s="309"/>
      <c r="G411" s="309"/>
      <c r="I411" s="309"/>
      <c r="K411" s="309"/>
    </row>
    <row r="412" spans="3:11" x14ac:dyDescent="0.2">
      <c r="C412" s="309"/>
      <c r="E412" s="309"/>
      <c r="G412" s="309"/>
      <c r="I412" s="309"/>
      <c r="K412" s="309"/>
    </row>
    <row r="413" spans="3:11" x14ac:dyDescent="0.2">
      <c r="C413" s="309"/>
      <c r="E413" s="309"/>
      <c r="G413" s="309"/>
      <c r="I413" s="309"/>
      <c r="K413" s="309"/>
    </row>
    <row r="414" spans="3:11" x14ac:dyDescent="0.2">
      <c r="C414" s="309"/>
      <c r="E414" s="309"/>
      <c r="G414" s="309"/>
      <c r="I414" s="309"/>
      <c r="K414" s="309"/>
    </row>
    <row r="415" spans="3:11" x14ac:dyDescent="0.2">
      <c r="C415" s="309"/>
      <c r="E415" s="309"/>
      <c r="G415" s="309"/>
      <c r="I415" s="309"/>
      <c r="K415" s="309"/>
    </row>
    <row r="416" spans="3:11" x14ac:dyDescent="0.2">
      <c r="C416" s="309"/>
      <c r="E416" s="309"/>
      <c r="G416" s="309"/>
      <c r="I416" s="309"/>
      <c r="K416" s="309"/>
    </row>
    <row r="417" spans="3:11" x14ac:dyDescent="0.2">
      <c r="C417" s="309"/>
      <c r="E417" s="309"/>
      <c r="G417" s="309"/>
      <c r="I417" s="309"/>
      <c r="K417" s="309"/>
    </row>
    <row r="418" spans="3:11" x14ac:dyDescent="0.2">
      <c r="C418" s="309"/>
      <c r="E418" s="309"/>
      <c r="G418" s="309"/>
      <c r="I418" s="309"/>
      <c r="K418" s="309"/>
    </row>
    <row r="419" spans="3:11" x14ac:dyDescent="0.2">
      <c r="C419" s="309"/>
      <c r="E419" s="309"/>
      <c r="G419" s="309"/>
      <c r="I419" s="309"/>
      <c r="K419" s="309"/>
    </row>
    <row r="420" spans="3:11" x14ac:dyDescent="0.2">
      <c r="C420" s="309"/>
      <c r="E420" s="309"/>
      <c r="G420" s="309"/>
      <c r="I420" s="309"/>
      <c r="K420" s="309"/>
    </row>
    <row r="421" spans="3:11" x14ac:dyDescent="0.2">
      <c r="C421" s="309"/>
      <c r="E421" s="309"/>
      <c r="G421" s="309"/>
      <c r="I421" s="309"/>
      <c r="K421" s="309"/>
    </row>
    <row r="422" spans="3:11" x14ac:dyDescent="0.2">
      <c r="C422" s="309"/>
      <c r="E422" s="309"/>
      <c r="G422" s="309"/>
      <c r="I422" s="309"/>
      <c r="K422" s="309"/>
    </row>
    <row r="423" spans="3:11" x14ac:dyDescent="0.2">
      <c r="C423" s="309"/>
      <c r="E423" s="309"/>
      <c r="G423" s="309"/>
      <c r="I423" s="309"/>
      <c r="K423" s="309"/>
    </row>
    <row r="424" spans="3:11" x14ac:dyDescent="0.2">
      <c r="C424" s="309"/>
      <c r="E424" s="309"/>
      <c r="G424" s="309"/>
      <c r="I424" s="309"/>
      <c r="K424" s="309"/>
    </row>
    <row r="425" spans="3:11" x14ac:dyDescent="0.2">
      <c r="C425" s="309"/>
      <c r="E425" s="309"/>
      <c r="G425" s="309"/>
      <c r="I425" s="309"/>
      <c r="K425" s="309"/>
    </row>
    <row r="426" spans="3:11" x14ac:dyDescent="0.2">
      <c r="C426" s="309"/>
      <c r="E426" s="309"/>
      <c r="G426" s="309"/>
      <c r="I426" s="309"/>
      <c r="K426" s="309"/>
    </row>
    <row r="427" spans="3:11" x14ac:dyDescent="0.2">
      <c r="C427" s="309"/>
      <c r="E427" s="309"/>
      <c r="G427" s="309"/>
      <c r="I427" s="309"/>
      <c r="K427" s="309"/>
    </row>
    <row r="428" spans="3:11" x14ac:dyDescent="0.2">
      <c r="C428" s="309"/>
      <c r="E428" s="309"/>
      <c r="G428" s="309"/>
      <c r="I428" s="309"/>
      <c r="K428" s="309"/>
    </row>
    <row r="429" spans="3:11" x14ac:dyDescent="0.2">
      <c r="C429" s="309"/>
      <c r="E429" s="309"/>
      <c r="G429" s="309"/>
      <c r="I429" s="309"/>
      <c r="K429" s="309"/>
    </row>
    <row r="430" spans="3:11" x14ac:dyDescent="0.2">
      <c r="C430" s="309"/>
      <c r="E430" s="309"/>
      <c r="G430" s="309"/>
      <c r="I430" s="309"/>
      <c r="K430" s="309"/>
    </row>
    <row r="431" spans="3:11" x14ac:dyDescent="0.2">
      <c r="C431" s="309"/>
      <c r="E431" s="309"/>
      <c r="G431" s="309"/>
      <c r="I431" s="309"/>
      <c r="K431" s="309"/>
    </row>
    <row r="432" spans="3:11" x14ac:dyDescent="0.2">
      <c r="C432" s="309"/>
      <c r="E432" s="309"/>
      <c r="G432" s="309"/>
      <c r="I432" s="309"/>
      <c r="K432" s="309"/>
    </row>
    <row r="433" spans="3:11" x14ac:dyDescent="0.2">
      <c r="C433" s="309"/>
      <c r="E433" s="309"/>
      <c r="G433" s="309"/>
      <c r="I433" s="309"/>
      <c r="K433" s="309"/>
    </row>
    <row r="434" spans="3:11" x14ac:dyDescent="0.2">
      <c r="C434" s="309"/>
      <c r="E434" s="309"/>
      <c r="G434" s="309"/>
      <c r="I434" s="309"/>
      <c r="K434" s="309"/>
    </row>
    <row r="435" spans="3:11" x14ac:dyDescent="0.2">
      <c r="C435" s="309"/>
      <c r="E435" s="309"/>
      <c r="G435" s="309"/>
      <c r="I435" s="309"/>
      <c r="K435" s="309"/>
    </row>
    <row r="436" spans="3:11" x14ac:dyDescent="0.2">
      <c r="C436" s="309"/>
      <c r="E436" s="309"/>
      <c r="G436" s="309"/>
      <c r="I436" s="309"/>
      <c r="K436" s="309"/>
    </row>
    <row r="437" spans="3:11" x14ac:dyDescent="0.2">
      <c r="C437" s="309"/>
      <c r="E437" s="309"/>
      <c r="G437" s="309"/>
      <c r="I437" s="309"/>
      <c r="K437" s="309"/>
    </row>
    <row r="438" spans="3:11" x14ac:dyDescent="0.2">
      <c r="C438" s="309"/>
      <c r="E438" s="309"/>
      <c r="G438" s="309"/>
      <c r="I438" s="309"/>
      <c r="K438" s="309"/>
    </row>
    <row r="439" spans="3:11" x14ac:dyDescent="0.2">
      <c r="C439" s="309"/>
      <c r="E439" s="309"/>
      <c r="G439" s="309"/>
      <c r="I439" s="309"/>
      <c r="K439" s="309"/>
    </row>
    <row r="440" spans="3:11" x14ac:dyDescent="0.2">
      <c r="C440" s="309"/>
      <c r="E440" s="309"/>
      <c r="G440" s="309"/>
      <c r="I440" s="309"/>
      <c r="K440" s="309"/>
    </row>
    <row r="441" spans="3:11" x14ac:dyDescent="0.2">
      <c r="C441" s="309"/>
      <c r="E441" s="309"/>
      <c r="G441" s="309"/>
      <c r="I441" s="309"/>
      <c r="K441" s="309"/>
    </row>
    <row r="442" spans="3:11" x14ac:dyDescent="0.2">
      <c r="C442" s="309"/>
      <c r="E442" s="309"/>
      <c r="G442" s="309"/>
      <c r="I442" s="309"/>
      <c r="K442" s="309"/>
    </row>
    <row r="443" spans="3:11" x14ac:dyDescent="0.2">
      <c r="C443" s="309"/>
      <c r="E443" s="309"/>
      <c r="G443" s="309"/>
      <c r="I443" s="309"/>
      <c r="K443" s="309"/>
    </row>
    <row r="444" spans="3:11" x14ac:dyDescent="0.2">
      <c r="C444" s="309"/>
      <c r="E444" s="309"/>
      <c r="G444" s="309"/>
      <c r="I444" s="309"/>
      <c r="K444" s="309"/>
    </row>
    <row r="445" spans="3:11" x14ac:dyDescent="0.2">
      <c r="C445" s="309"/>
      <c r="E445" s="309"/>
      <c r="G445" s="309"/>
      <c r="I445" s="309"/>
      <c r="K445" s="309"/>
    </row>
    <row r="446" spans="3:11" x14ac:dyDescent="0.2">
      <c r="C446" s="309"/>
      <c r="E446" s="309"/>
      <c r="G446" s="309"/>
      <c r="I446" s="309"/>
      <c r="K446" s="309"/>
    </row>
    <row r="447" spans="3:11" x14ac:dyDescent="0.2">
      <c r="C447" s="309"/>
      <c r="E447" s="309"/>
      <c r="G447" s="309"/>
      <c r="I447" s="309"/>
      <c r="K447" s="309"/>
    </row>
    <row r="448" spans="3:11" x14ac:dyDescent="0.2">
      <c r="C448" s="309"/>
      <c r="E448" s="309"/>
      <c r="G448" s="309"/>
      <c r="I448" s="309"/>
      <c r="K448" s="309"/>
    </row>
    <row r="449" spans="3:11" x14ac:dyDescent="0.2">
      <c r="C449" s="309"/>
      <c r="E449" s="309"/>
      <c r="G449" s="309"/>
      <c r="I449" s="309"/>
      <c r="K449" s="309"/>
    </row>
    <row r="450" spans="3:11" x14ac:dyDescent="0.2">
      <c r="C450" s="309"/>
      <c r="E450" s="309"/>
      <c r="G450" s="309"/>
      <c r="I450" s="309"/>
      <c r="K450" s="309"/>
    </row>
    <row r="451" spans="3:11" x14ac:dyDescent="0.2">
      <c r="C451" s="309"/>
      <c r="E451" s="309"/>
      <c r="G451" s="309"/>
      <c r="I451" s="309"/>
      <c r="K451" s="309"/>
    </row>
    <row r="452" spans="3:11" x14ac:dyDescent="0.2">
      <c r="C452" s="309"/>
      <c r="E452" s="309"/>
      <c r="G452" s="309"/>
      <c r="I452" s="309"/>
      <c r="K452" s="309"/>
    </row>
    <row r="453" spans="3:11" x14ac:dyDescent="0.2">
      <c r="C453" s="309"/>
      <c r="E453" s="309"/>
      <c r="G453" s="309"/>
      <c r="I453" s="309"/>
      <c r="K453" s="309"/>
    </row>
    <row r="454" spans="3:11" x14ac:dyDescent="0.2">
      <c r="C454" s="309"/>
      <c r="E454" s="309"/>
      <c r="G454" s="309"/>
      <c r="I454" s="309"/>
      <c r="K454" s="309"/>
    </row>
    <row r="455" spans="3:11" x14ac:dyDescent="0.2">
      <c r="C455" s="309"/>
      <c r="E455" s="309"/>
      <c r="G455" s="309"/>
      <c r="I455" s="309"/>
      <c r="K455" s="309"/>
    </row>
    <row r="456" spans="3:11" x14ac:dyDescent="0.2">
      <c r="C456" s="309"/>
      <c r="E456" s="309"/>
      <c r="G456" s="309"/>
      <c r="I456" s="309"/>
      <c r="K456" s="309"/>
    </row>
    <row r="457" spans="3:11" x14ac:dyDescent="0.2">
      <c r="C457" s="309"/>
      <c r="E457" s="309"/>
      <c r="G457" s="309"/>
      <c r="I457" s="309"/>
      <c r="K457" s="309"/>
    </row>
    <row r="458" spans="3:11" x14ac:dyDescent="0.2">
      <c r="C458" s="309"/>
      <c r="E458" s="309"/>
      <c r="G458" s="309"/>
      <c r="I458" s="309"/>
      <c r="K458" s="309"/>
    </row>
    <row r="459" spans="3:11" x14ac:dyDescent="0.2">
      <c r="C459" s="309"/>
      <c r="E459" s="309"/>
      <c r="G459" s="309"/>
      <c r="I459" s="309"/>
      <c r="K459" s="309"/>
    </row>
    <row r="460" spans="3:11" x14ac:dyDescent="0.2">
      <c r="C460" s="309"/>
      <c r="E460" s="309"/>
      <c r="G460" s="309"/>
      <c r="I460" s="309"/>
      <c r="K460" s="309"/>
    </row>
    <row r="461" spans="3:11" x14ac:dyDescent="0.2">
      <c r="C461" s="309"/>
      <c r="E461" s="309"/>
      <c r="G461" s="309"/>
      <c r="I461" s="309"/>
      <c r="K461" s="309"/>
    </row>
    <row r="462" spans="3:11" x14ac:dyDescent="0.2">
      <c r="C462" s="309"/>
      <c r="E462" s="309"/>
      <c r="G462" s="309"/>
      <c r="I462" s="309"/>
      <c r="K462" s="309"/>
    </row>
    <row r="463" spans="3:11" x14ac:dyDescent="0.2">
      <c r="C463" s="309"/>
      <c r="E463" s="309"/>
      <c r="G463" s="309"/>
      <c r="I463" s="309"/>
      <c r="K463" s="309"/>
    </row>
    <row r="464" spans="3:11" x14ac:dyDescent="0.2">
      <c r="C464" s="309"/>
      <c r="E464" s="309"/>
      <c r="G464" s="309"/>
      <c r="I464" s="309"/>
      <c r="K464" s="309"/>
    </row>
    <row r="465" spans="3:11" x14ac:dyDescent="0.2">
      <c r="C465" s="309"/>
      <c r="E465" s="309"/>
      <c r="G465" s="309"/>
      <c r="I465" s="309"/>
      <c r="K465" s="309"/>
    </row>
    <row r="466" spans="3:11" x14ac:dyDescent="0.2">
      <c r="C466" s="309"/>
      <c r="E466" s="309"/>
      <c r="G466" s="309"/>
      <c r="I466" s="309"/>
      <c r="K466" s="309"/>
    </row>
    <row r="467" spans="3:11" x14ac:dyDescent="0.2">
      <c r="C467" s="309"/>
      <c r="E467" s="309"/>
      <c r="G467" s="309"/>
      <c r="I467" s="309"/>
      <c r="K467" s="309"/>
    </row>
    <row r="468" spans="3:11" x14ac:dyDescent="0.2">
      <c r="C468" s="309"/>
      <c r="E468" s="309"/>
      <c r="G468" s="309"/>
      <c r="I468" s="309"/>
      <c r="K468" s="309"/>
    </row>
    <row r="469" spans="3:11" x14ac:dyDescent="0.2">
      <c r="C469" s="309"/>
      <c r="E469" s="309"/>
      <c r="G469" s="309"/>
      <c r="I469" s="309"/>
      <c r="K469" s="309"/>
    </row>
    <row r="470" spans="3:11" x14ac:dyDescent="0.2">
      <c r="C470" s="309"/>
      <c r="E470" s="309"/>
      <c r="G470" s="309"/>
      <c r="I470" s="309"/>
      <c r="K470" s="309"/>
    </row>
    <row r="471" spans="3:11" x14ac:dyDescent="0.2">
      <c r="C471" s="309"/>
      <c r="E471" s="309"/>
      <c r="G471" s="309"/>
      <c r="I471" s="309"/>
      <c r="K471" s="309"/>
    </row>
    <row r="472" spans="3:11" x14ac:dyDescent="0.2">
      <c r="C472" s="309"/>
      <c r="E472" s="309"/>
      <c r="G472" s="309"/>
      <c r="I472" s="309"/>
      <c r="K472" s="309"/>
    </row>
    <row r="473" spans="3:11" x14ac:dyDescent="0.2">
      <c r="C473" s="309"/>
      <c r="E473" s="309"/>
      <c r="G473" s="309"/>
      <c r="I473" s="309"/>
      <c r="K473" s="309"/>
    </row>
    <row r="474" spans="3:11" x14ac:dyDescent="0.2">
      <c r="C474" s="309"/>
      <c r="E474" s="309"/>
      <c r="G474" s="309"/>
      <c r="I474" s="309"/>
      <c r="K474" s="309"/>
    </row>
    <row r="475" spans="3:11" x14ac:dyDescent="0.2">
      <c r="C475" s="309"/>
      <c r="E475" s="309"/>
      <c r="G475" s="309"/>
      <c r="I475" s="309"/>
      <c r="K475" s="309"/>
    </row>
    <row r="476" spans="3:11" x14ac:dyDescent="0.2">
      <c r="C476" s="309"/>
      <c r="E476" s="309"/>
      <c r="G476" s="309"/>
      <c r="I476" s="309"/>
      <c r="K476" s="309"/>
    </row>
    <row r="477" spans="3:11" x14ac:dyDescent="0.2">
      <c r="C477" s="309"/>
      <c r="E477" s="309"/>
      <c r="G477" s="309"/>
      <c r="I477" s="309"/>
      <c r="K477" s="309"/>
    </row>
    <row r="478" spans="3:11" x14ac:dyDescent="0.2">
      <c r="C478" s="309"/>
      <c r="E478" s="309"/>
      <c r="G478" s="309"/>
      <c r="I478" s="309"/>
      <c r="K478" s="309"/>
    </row>
    <row r="479" spans="3:11" x14ac:dyDescent="0.2">
      <c r="C479" s="309"/>
      <c r="E479" s="309"/>
      <c r="G479" s="309"/>
      <c r="I479" s="309"/>
      <c r="K479" s="309"/>
    </row>
    <row r="480" spans="3:11" x14ac:dyDescent="0.2">
      <c r="C480" s="309"/>
      <c r="E480" s="309"/>
      <c r="G480" s="309"/>
      <c r="I480" s="309"/>
      <c r="K480" s="309"/>
    </row>
    <row r="481" spans="3:11" x14ac:dyDescent="0.2">
      <c r="C481" s="309"/>
      <c r="E481" s="309"/>
      <c r="G481" s="309"/>
      <c r="I481" s="309"/>
      <c r="K481" s="309"/>
    </row>
    <row r="482" spans="3:11" x14ac:dyDescent="0.2">
      <c r="C482" s="309"/>
      <c r="E482" s="309"/>
      <c r="G482" s="309"/>
      <c r="I482" s="309"/>
      <c r="K482" s="309"/>
    </row>
    <row r="483" spans="3:11" x14ac:dyDescent="0.2">
      <c r="C483" s="309"/>
      <c r="E483" s="309"/>
      <c r="G483" s="309"/>
      <c r="I483" s="309"/>
      <c r="K483" s="309"/>
    </row>
    <row r="484" spans="3:11" x14ac:dyDescent="0.2">
      <c r="C484" s="309"/>
      <c r="E484" s="309"/>
      <c r="G484" s="309"/>
      <c r="I484" s="309"/>
      <c r="K484" s="309"/>
    </row>
    <row r="485" spans="3:11" x14ac:dyDescent="0.2">
      <c r="C485" s="309"/>
      <c r="E485" s="309"/>
      <c r="G485" s="309"/>
      <c r="I485" s="309"/>
      <c r="K485" s="309"/>
    </row>
    <row r="486" spans="3:11" x14ac:dyDescent="0.2">
      <c r="C486" s="309"/>
      <c r="E486" s="309"/>
      <c r="G486" s="309"/>
      <c r="I486" s="309"/>
      <c r="K486" s="309"/>
    </row>
    <row r="487" spans="3:11" x14ac:dyDescent="0.2">
      <c r="C487" s="309"/>
      <c r="E487" s="309"/>
      <c r="G487" s="309"/>
      <c r="I487" s="309"/>
      <c r="K487" s="309"/>
    </row>
    <row r="488" spans="3:11" x14ac:dyDescent="0.2">
      <c r="C488" s="309"/>
      <c r="E488" s="309"/>
      <c r="G488" s="309"/>
      <c r="I488" s="309"/>
      <c r="K488" s="309"/>
    </row>
    <row r="489" spans="3:11" x14ac:dyDescent="0.2">
      <c r="C489" s="309"/>
      <c r="E489" s="309"/>
      <c r="G489" s="309"/>
      <c r="I489" s="309"/>
      <c r="K489" s="309"/>
    </row>
    <row r="490" spans="3:11" x14ac:dyDescent="0.2">
      <c r="C490" s="309"/>
      <c r="E490" s="309"/>
      <c r="G490" s="309"/>
      <c r="I490" s="309"/>
      <c r="K490" s="309"/>
    </row>
    <row r="491" spans="3:11" x14ac:dyDescent="0.2">
      <c r="C491" s="309"/>
      <c r="E491" s="309"/>
      <c r="G491" s="309"/>
      <c r="I491" s="309"/>
      <c r="K491" s="309"/>
    </row>
    <row r="492" spans="3:11" x14ac:dyDescent="0.2">
      <c r="C492" s="309"/>
      <c r="E492" s="309"/>
      <c r="G492" s="309"/>
      <c r="I492" s="309"/>
      <c r="K492" s="309"/>
    </row>
    <row r="493" spans="3:11" x14ac:dyDescent="0.2">
      <c r="C493" s="309"/>
      <c r="E493" s="309"/>
      <c r="G493" s="309"/>
      <c r="I493" s="309"/>
      <c r="K493" s="309"/>
    </row>
    <row r="494" spans="3:11" x14ac:dyDescent="0.2">
      <c r="C494" s="309"/>
      <c r="E494" s="309"/>
      <c r="G494" s="309"/>
      <c r="I494" s="309"/>
      <c r="K494" s="309"/>
    </row>
    <row r="495" spans="3:11" x14ac:dyDescent="0.2">
      <c r="C495" s="309"/>
      <c r="E495" s="309"/>
      <c r="G495" s="309"/>
      <c r="I495" s="309"/>
      <c r="K495" s="309"/>
    </row>
    <row r="496" spans="3:11" x14ac:dyDescent="0.2">
      <c r="C496" s="309"/>
      <c r="E496" s="309"/>
      <c r="G496" s="309"/>
      <c r="I496" s="309"/>
      <c r="K496" s="309"/>
    </row>
    <row r="497" spans="3:11" x14ac:dyDescent="0.2">
      <c r="C497" s="309"/>
      <c r="E497" s="309"/>
      <c r="G497" s="309"/>
      <c r="I497" s="309"/>
      <c r="K497" s="309"/>
    </row>
    <row r="498" spans="3:11" x14ac:dyDescent="0.2">
      <c r="C498" s="309"/>
      <c r="E498" s="309"/>
      <c r="G498" s="309"/>
      <c r="I498" s="309"/>
      <c r="K498" s="309"/>
    </row>
    <row r="499" spans="3:11" x14ac:dyDescent="0.2">
      <c r="C499" s="309"/>
      <c r="E499" s="309"/>
      <c r="G499" s="309"/>
      <c r="I499" s="309"/>
      <c r="K499" s="309"/>
    </row>
    <row r="500" spans="3:11" x14ac:dyDescent="0.2">
      <c r="C500" s="309"/>
      <c r="E500" s="309"/>
      <c r="G500" s="309"/>
      <c r="I500" s="309"/>
      <c r="K500" s="309"/>
    </row>
    <row r="501" spans="3:11" x14ac:dyDescent="0.2">
      <c r="C501" s="309"/>
      <c r="E501" s="309"/>
      <c r="G501" s="309"/>
      <c r="I501" s="309"/>
      <c r="K501" s="309"/>
    </row>
    <row r="502" spans="3:11" x14ac:dyDescent="0.2">
      <c r="C502" s="309"/>
      <c r="E502" s="309"/>
      <c r="G502" s="309"/>
      <c r="I502" s="309"/>
      <c r="K502" s="309"/>
    </row>
    <row r="503" spans="3:11" x14ac:dyDescent="0.2">
      <c r="C503" s="309"/>
      <c r="E503" s="309"/>
      <c r="G503" s="309"/>
      <c r="I503" s="309"/>
      <c r="K503" s="309"/>
    </row>
    <row r="504" spans="3:11" x14ac:dyDescent="0.2">
      <c r="C504" s="309"/>
      <c r="E504" s="309"/>
      <c r="G504" s="309"/>
      <c r="I504" s="309"/>
      <c r="K504" s="309"/>
    </row>
    <row r="505" spans="3:11" x14ac:dyDescent="0.2">
      <c r="C505" s="309"/>
      <c r="E505" s="309"/>
      <c r="G505" s="309"/>
      <c r="I505" s="309"/>
      <c r="K505" s="309"/>
    </row>
    <row r="506" spans="3:11" x14ac:dyDescent="0.2">
      <c r="C506" s="309"/>
      <c r="E506" s="309"/>
      <c r="G506" s="309"/>
      <c r="I506" s="309"/>
      <c r="K506" s="309"/>
    </row>
    <row r="507" spans="3:11" x14ac:dyDescent="0.2">
      <c r="C507" s="309"/>
      <c r="E507" s="309"/>
      <c r="G507" s="309"/>
      <c r="I507" s="309"/>
      <c r="K507" s="309"/>
    </row>
    <row r="508" spans="3:11" x14ac:dyDescent="0.2">
      <c r="C508" s="309"/>
      <c r="E508" s="309"/>
      <c r="G508" s="309"/>
      <c r="I508" s="309"/>
      <c r="K508" s="309"/>
    </row>
    <row r="509" spans="3:11" x14ac:dyDescent="0.2">
      <c r="C509" s="309"/>
      <c r="E509" s="309"/>
      <c r="G509" s="309"/>
      <c r="I509" s="309"/>
      <c r="K509" s="309"/>
    </row>
    <row r="510" spans="3:11" x14ac:dyDescent="0.2">
      <c r="C510" s="309"/>
      <c r="E510" s="309"/>
      <c r="G510" s="309"/>
      <c r="I510" s="309"/>
      <c r="K510" s="309"/>
    </row>
    <row r="511" spans="3:11" x14ac:dyDescent="0.2">
      <c r="C511" s="309"/>
      <c r="E511" s="309"/>
      <c r="G511" s="309"/>
      <c r="I511" s="309"/>
      <c r="K511" s="309"/>
    </row>
    <row r="512" spans="3:11" x14ac:dyDescent="0.2">
      <c r="C512" s="309"/>
      <c r="E512" s="309"/>
      <c r="G512" s="309"/>
      <c r="I512" s="309"/>
      <c r="K512" s="309"/>
    </row>
    <row r="513" spans="3:11" x14ac:dyDescent="0.2">
      <c r="C513" s="309"/>
      <c r="E513" s="309"/>
      <c r="G513" s="309"/>
      <c r="I513" s="309"/>
      <c r="K513" s="309"/>
    </row>
    <row r="514" spans="3:11" x14ac:dyDescent="0.2">
      <c r="C514" s="309"/>
      <c r="E514" s="309"/>
      <c r="G514" s="309"/>
      <c r="I514" s="309"/>
      <c r="K514" s="309"/>
    </row>
    <row r="515" spans="3:11" x14ac:dyDescent="0.2">
      <c r="C515" s="309"/>
      <c r="E515" s="309"/>
      <c r="G515" s="309"/>
      <c r="I515" s="309"/>
      <c r="K515" s="309"/>
    </row>
    <row r="516" spans="3:11" x14ac:dyDescent="0.2">
      <c r="C516" s="309"/>
      <c r="E516" s="309"/>
      <c r="G516" s="309"/>
      <c r="I516" s="309"/>
      <c r="K516" s="309"/>
    </row>
    <row r="517" spans="3:11" x14ac:dyDescent="0.2">
      <c r="C517" s="309"/>
      <c r="E517" s="309"/>
      <c r="G517" s="309"/>
      <c r="I517" s="309"/>
      <c r="K517" s="309"/>
    </row>
    <row r="518" spans="3:11" x14ac:dyDescent="0.2">
      <c r="C518" s="309"/>
      <c r="E518" s="309"/>
      <c r="G518" s="309"/>
      <c r="I518" s="309"/>
      <c r="K518" s="309"/>
    </row>
    <row r="519" spans="3:11" x14ac:dyDescent="0.2">
      <c r="C519" s="309"/>
      <c r="E519" s="309"/>
      <c r="G519" s="309"/>
      <c r="I519" s="309"/>
      <c r="K519" s="309"/>
    </row>
    <row r="520" spans="3:11" x14ac:dyDescent="0.2">
      <c r="C520" s="309"/>
      <c r="E520" s="309"/>
      <c r="G520" s="309"/>
      <c r="I520" s="309"/>
      <c r="K520" s="309"/>
    </row>
    <row r="521" spans="3:11" x14ac:dyDescent="0.2">
      <c r="C521" s="309"/>
      <c r="E521" s="309"/>
      <c r="G521" s="309"/>
      <c r="I521" s="309"/>
      <c r="K521" s="309"/>
    </row>
    <row r="522" spans="3:11" x14ac:dyDescent="0.2">
      <c r="C522" s="309"/>
      <c r="E522" s="309"/>
      <c r="G522" s="309"/>
      <c r="I522" s="309"/>
      <c r="K522" s="309"/>
    </row>
    <row r="523" spans="3:11" x14ac:dyDescent="0.2">
      <c r="C523" s="309"/>
      <c r="E523" s="309"/>
      <c r="G523" s="309"/>
      <c r="I523" s="309"/>
      <c r="K523" s="309"/>
    </row>
    <row r="524" spans="3:11" x14ac:dyDescent="0.2">
      <c r="C524" s="309"/>
      <c r="E524" s="309"/>
      <c r="G524" s="309"/>
      <c r="I524" s="309"/>
      <c r="K524" s="309"/>
    </row>
    <row r="525" spans="3:11" x14ac:dyDescent="0.2">
      <c r="C525" s="309"/>
      <c r="E525" s="309"/>
      <c r="G525" s="309"/>
      <c r="I525" s="309"/>
      <c r="K525" s="309"/>
    </row>
    <row r="526" spans="3:11" x14ac:dyDescent="0.2">
      <c r="C526" s="309"/>
      <c r="E526" s="309"/>
      <c r="G526" s="309"/>
      <c r="I526" s="309"/>
      <c r="K526" s="309"/>
    </row>
    <row r="527" spans="3:11" x14ac:dyDescent="0.2">
      <c r="C527" s="309"/>
      <c r="E527" s="309"/>
      <c r="G527" s="309"/>
      <c r="I527" s="309"/>
      <c r="K527" s="309"/>
    </row>
    <row r="528" spans="3:11" x14ac:dyDescent="0.2">
      <c r="C528" s="309"/>
      <c r="E528" s="309"/>
      <c r="G528" s="309"/>
      <c r="I528" s="309"/>
      <c r="K528" s="309"/>
    </row>
    <row r="529" spans="3:11" x14ac:dyDescent="0.2">
      <c r="C529" s="309"/>
      <c r="E529" s="309"/>
      <c r="G529" s="309"/>
      <c r="I529" s="309"/>
      <c r="K529" s="309"/>
    </row>
    <row r="530" spans="3:11" x14ac:dyDescent="0.2">
      <c r="C530" s="309"/>
      <c r="E530" s="309"/>
      <c r="G530" s="309"/>
      <c r="I530" s="309"/>
      <c r="K530" s="309"/>
    </row>
    <row r="531" spans="3:11" x14ac:dyDescent="0.2">
      <c r="C531" s="309"/>
      <c r="E531" s="309"/>
      <c r="G531" s="309"/>
      <c r="I531" s="309"/>
      <c r="K531" s="309"/>
    </row>
    <row r="532" spans="3:11" x14ac:dyDescent="0.2">
      <c r="C532" s="309"/>
      <c r="E532" s="309"/>
      <c r="G532" s="309"/>
      <c r="I532" s="309"/>
      <c r="K532" s="309"/>
    </row>
    <row r="533" spans="3:11" x14ac:dyDescent="0.2">
      <c r="C533" s="309"/>
      <c r="E533" s="309"/>
      <c r="G533" s="309"/>
      <c r="I533" s="309"/>
      <c r="K533" s="309"/>
    </row>
    <row r="534" spans="3:11" x14ac:dyDescent="0.2">
      <c r="C534" s="309"/>
      <c r="E534" s="309"/>
      <c r="G534" s="309"/>
      <c r="I534" s="309"/>
      <c r="K534" s="309"/>
    </row>
    <row r="535" spans="3:11" x14ac:dyDescent="0.2">
      <c r="C535" s="309"/>
      <c r="E535" s="309"/>
      <c r="G535" s="309"/>
      <c r="I535" s="309"/>
      <c r="K535" s="309"/>
    </row>
    <row r="536" spans="3:11" x14ac:dyDescent="0.2">
      <c r="C536" s="309"/>
      <c r="E536" s="309"/>
      <c r="G536" s="309"/>
      <c r="I536" s="309"/>
      <c r="K536" s="309"/>
    </row>
    <row r="537" spans="3:11" x14ac:dyDescent="0.2">
      <c r="C537" s="309"/>
      <c r="E537" s="309"/>
      <c r="G537" s="309"/>
      <c r="I537" s="309"/>
      <c r="K537" s="309"/>
    </row>
    <row r="538" spans="3:11" x14ac:dyDescent="0.2">
      <c r="C538" s="309"/>
      <c r="E538" s="309"/>
      <c r="G538" s="309"/>
      <c r="I538" s="309"/>
      <c r="K538" s="309"/>
    </row>
    <row r="539" spans="3:11" x14ac:dyDescent="0.2">
      <c r="C539" s="309"/>
      <c r="E539" s="309"/>
      <c r="G539" s="309"/>
      <c r="I539" s="309"/>
      <c r="K539" s="309"/>
    </row>
    <row r="540" spans="3:11" x14ac:dyDescent="0.2">
      <c r="C540" s="309"/>
      <c r="E540" s="309"/>
      <c r="G540" s="309"/>
      <c r="I540" s="309"/>
      <c r="K540" s="309"/>
    </row>
    <row r="541" spans="3:11" x14ac:dyDescent="0.2">
      <c r="C541" s="309"/>
      <c r="E541" s="309"/>
      <c r="G541" s="309"/>
      <c r="I541" s="309"/>
      <c r="K541" s="309"/>
    </row>
    <row r="542" spans="3:11" x14ac:dyDescent="0.2">
      <c r="C542" s="309"/>
      <c r="E542" s="309"/>
      <c r="G542" s="309"/>
      <c r="I542" s="309"/>
      <c r="K542" s="309"/>
    </row>
    <row r="543" spans="3:11" x14ac:dyDescent="0.2">
      <c r="C543" s="309"/>
      <c r="E543" s="309"/>
      <c r="G543" s="309"/>
      <c r="I543" s="309"/>
      <c r="K543" s="309"/>
    </row>
    <row r="544" spans="3:11" x14ac:dyDescent="0.2">
      <c r="C544" s="309"/>
      <c r="E544" s="309"/>
      <c r="G544" s="309"/>
      <c r="I544" s="309"/>
      <c r="K544" s="309"/>
    </row>
    <row r="545" spans="3:11" x14ac:dyDescent="0.2">
      <c r="C545" s="309"/>
      <c r="E545" s="309"/>
      <c r="G545" s="309"/>
      <c r="I545" s="309"/>
      <c r="K545" s="309"/>
    </row>
    <row r="546" spans="3:11" x14ac:dyDescent="0.2">
      <c r="C546" s="309"/>
      <c r="E546" s="309"/>
      <c r="G546" s="309"/>
      <c r="I546" s="309"/>
      <c r="K546" s="309"/>
    </row>
    <row r="547" spans="3:11" x14ac:dyDescent="0.2">
      <c r="C547" s="309"/>
      <c r="E547" s="309"/>
      <c r="G547" s="309"/>
      <c r="I547" s="309"/>
      <c r="K547" s="309"/>
    </row>
    <row r="548" spans="3:11" x14ac:dyDescent="0.2">
      <c r="C548" s="309"/>
      <c r="E548" s="309"/>
      <c r="G548" s="309"/>
      <c r="I548" s="309"/>
      <c r="K548" s="309"/>
    </row>
    <row r="549" spans="3:11" x14ac:dyDescent="0.2">
      <c r="C549" s="309"/>
      <c r="E549" s="309"/>
      <c r="G549" s="309"/>
      <c r="I549" s="309"/>
      <c r="K549" s="309"/>
    </row>
    <row r="550" spans="3:11" x14ac:dyDescent="0.2">
      <c r="C550" s="309"/>
      <c r="E550" s="309"/>
      <c r="G550" s="309"/>
      <c r="I550" s="309"/>
      <c r="K550" s="309"/>
    </row>
    <row r="551" spans="3:11" x14ac:dyDescent="0.2">
      <c r="C551" s="309"/>
      <c r="E551" s="309"/>
      <c r="G551" s="309"/>
      <c r="I551" s="309"/>
      <c r="K551" s="309"/>
    </row>
    <row r="552" spans="3:11" x14ac:dyDescent="0.2">
      <c r="C552" s="309"/>
      <c r="E552" s="309"/>
      <c r="G552" s="309"/>
      <c r="I552" s="309"/>
      <c r="K552" s="309"/>
    </row>
    <row r="553" spans="3:11" x14ac:dyDescent="0.2">
      <c r="C553" s="309"/>
      <c r="E553" s="309"/>
      <c r="G553" s="309"/>
      <c r="I553" s="309"/>
      <c r="K553" s="309"/>
    </row>
    <row r="554" spans="3:11" x14ac:dyDescent="0.2">
      <c r="C554" s="309"/>
      <c r="E554" s="309"/>
      <c r="G554" s="309"/>
      <c r="I554" s="309"/>
      <c r="K554" s="309"/>
    </row>
    <row r="555" spans="3:11" x14ac:dyDescent="0.2">
      <c r="C555" s="309"/>
      <c r="E555" s="309"/>
      <c r="G555" s="309"/>
      <c r="I555" s="309"/>
      <c r="K555" s="309"/>
    </row>
    <row r="556" spans="3:11" x14ac:dyDescent="0.2">
      <c r="C556" s="309"/>
      <c r="E556" s="309"/>
      <c r="G556" s="309"/>
      <c r="I556" s="309"/>
      <c r="K556" s="309"/>
    </row>
    <row r="557" spans="3:11" x14ac:dyDescent="0.2">
      <c r="C557" s="309"/>
      <c r="E557" s="309"/>
      <c r="G557" s="309"/>
      <c r="I557" s="309"/>
      <c r="K557" s="309"/>
    </row>
    <row r="558" spans="3:11" x14ac:dyDescent="0.2">
      <c r="C558" s="309"/>
      <c r="E558" s="309"/>
      <c r="G558" s="309"/>
      <c r="I558" s="309"/>
      <c r="K558" s="309"/>
    </row>
    <row r="559" spans="3:11" x14ac:dyDescent="0.2">
      <c r="C559" s="309"/>
      <c r="E559" s="309"/>
      <c r="G559" s="309"/>
      <c r="I559" s="309"/>
      <c r="K559" s="309"/>
    </row>
    <row r="560" spans="3:11" x14ac:dyDescent="0.2">
      <c r="C560" s="309"/>
      <c r="E560" s="309"/>
      <c r="G560" s="309"/>
      <c r="I560" s="309"/>
      <c r="K560" s="309"/>
    </row>
    <row r="561" spans="3:11" x14ac:dyDescent="0.2">
      <c r="C561" s="309"/>
      <c r="E561" s="309"/>
      <c r="G561" s="309"/>
      <c r="I561" s="309"/>
      <c r="K561" s="309"/>
    </row>
    <row r="562" spans="3:11" x14ac:dyDescent="0.2">
      <c r="C562" s="309"/>
      <c r="E562" s="309"/>
      <c r="G562" s="309"/>
      <c r="I562" s="309"/>
      <c r="K562" s="309"/>
    </row>
    <row r="563" spans="3:11" x14ac:dyDescent="0.2">
      <c r="C563" s="309"/>
      <c r="E563" s="309"/>
      <c r="G563" s="309"/>
      <c r="I563" s="309"/>
      <c r="K563" s="309"/>
    </row>
    <row r="564" spans="3:11" x14ac:dyDescent="0.2">
      <c r="C564" s="309"/>
      <c r="E564" s="309"/>
      <c r="G564" s="309"/>
      <c r="I564" s="309"/>
      <c r="K564" s="309"/>
    </row>
    <row r="565" spans="3:11" x14ac:dyDescent="0.2">
      <c r="C565" s="309"/>
      <c r="E565" s="309"/>
      <c r="G565" s="309"/>
      <c r="I565" s="309"/>
      <c r="K565" s="309"/>
    </row>
    <row r="566" spans="3:11" x14ac:dyDescent="0.2">
      <c r="C566" s="309"/>
      <c r="E566" s="309"/>
      <c r="G566" s="309"/>
      <c r="I566" s="309"/>
      <c r="K566" s="309"/>
    </row>
    <row r="567" spans="3:11" x14ac:dyDescent="0.2">
      <c r="C567" s="309"/>
      <c r="E567" s="309"/>
      <c r="G567" s="309"/>
      <c r="I567" s="309"/>
      <c r="K567" s="309"/>
    </row>
    <row r="568" spans="3:11" x14ac:dyDescent="0.2">
      <c r="C568" s="309"/>
      <c r="E568" s="309"/>
      <c r="G568" s="309"/>
      <c r="I568" s="309"/>
      <c r="K568" s="309"/>
    </row>
    <row r="569" spans="3:11" x14ac:dyDescent="0.2">
      <c r="C569" s="309"/>
      <c r="E569" s="309"/>
      <c r="G569" s="309"/>
      <c r="I569" s="309"/>
      <c r="K569" s="309"/>
    </row>
    <row r="570" spans="3:11" x14ac:dyDescent="0.2">
      <c r="C570" s="309"/>
      <c r="E570" s="309"/>
      <c r="G570" s="309"/>
      <c r="I570" s="309"/>
      <c r="K570" s="309"/>
    </row>
    <row r="571" spans="3:11" x14ac:dyDescent="0.2">
      <c r="C571" s="309"/>
      <c r="E571" s="309"/>
      <c r="G571" s="309"/>
      <c r="I571" s="309"/>
      <c r="K571" s="309"/>
    </row>
    <row r="572" spans="3:11" x14ac:dyDescent="0.2">
      <c r="C572" s="309"/>
      <c r="E572" s="309"/>
      <c r="G572" s="309"/>
      <c r="I572" s="309"/>
      <c r="K572" s="309"/>
    </row>
    <row r="573" spans="3:11" x14ac:dyDescent="0.2">
      <c r="C573" s="309"/>
      <c r="E573" s="309"/>
      <c r="G573" s="309"/>
      <c r="I573" s="309"/>
      <c r="K573" s="309"/>
    </row>
    <row r="574" spans="3:11" x14ac:dyDescent="0.2">
      <c r="C574" s="309"/>
      <c r="E574" s="309"/>
      <c r="G574" s="309"/>
      <c r="I574" s="309"/>
      <c r="K574" s="309"/>
    </row>
    <row r="575" spans="3:11" x14ac:dyDescent="0.2">
      <c r="C575" s="309"/>
      <c r="E575" s="309"/>
      <c r="G575" s="309"/>
      <c r="I575" s="309"/>
      <c r="K575" s="309"/>
    </row>
    <row r="576" spans="3:11" x14ac:dyDescent="0.2">
      <c r="C576" s="309"/>
      <c r="E576" s="309"/>
      <c r="G576" s="309"/>
      <c r="I576" s="309"/>
      <c r="K576" s="309"/>
    </row>
    <row r="577" spans="3:11" x14ac:dyDescent="0.2">
      <c r="C577" s="309"/>
      <c r="E577" s="309"/>
      <c r="G577" s="309"/>
      <c r="I577" s="309"/>
      <c r="K577" s="309"/>
    </row>
    <row r="578" spans="3:11" x14ac:dyDescent="0.2">
      <c r="C578" s="309"/>
      <c r="E578" s="309"/>
      <c r="G578" s="309"/>
      <c r="I578" s="309"/>
      <c r="K578" s="309"/>
    </row>
    <row r="579" spans="3:11" x14ac:dyDescent="0.2">
      <c r="C579" s="309"/>
      <c r="E579" s="309"/>
      <c r="G579" s="309"/>
      <c r="I579" s="309"/>
      <c r="K579" s="309"/>
    </row>
    <row r="580" spans="3:11" x14ac:dyDescent="0.2">
      <c r="C580" s="309"/>
      <c r="E580" s="309"/>
      <c r="G580" s="309"/>
      <c r="I580" s="309"/>
      <c r="K580" s="309"/>
    </row>
    <row r="581" spans="3:11" x14ac:dyDescent="0.2">
      <c r="C581" s="309"/>
      <c r="E581" s="309"/>
      <c r="G581" s="309"/>
      <c r="I581" s="309"/>
      <c r="K581" s="309"/>
    </row>
    <row r="582" spans="3:11" x14ac:dyDescent="0.2">
      <c r="C582" s="309"/>
      <c r="E582" s="309"/>
      <c r="G582" s="309"/>
      <c r="I582" s="309"/>
      <c r="K582" s="309"/>
    </row>
    <row r="583" spans="3:11" x14ac:dyDescent="0.2">
      <c r="C583" s="309"/>
      <c r="E583" s="309"/>
      <c r="G583" s="309"/>
      <c r="I583" s="309"/>
      <c r="K583" s="309"/>
    </row>
    <row r="584" spans="3:11" x14ac:dyDescent="0.2">
      <c r="C584" s="309"/>
      <c r="E584" s="309"/>
      <c r="G584" s="309"/>
      <c r="I584" s="309"/>
      <c r="K584" s="309"/>
    </row>
    <row r="585" spans="3:11" x14ac:dyDescent="0.2">
      <c r="C585" s="309"/>
      <c r="E585" s="309"/>
      <c r="G585" s="309"/>
      <c r="I585" s="309"/>
      <c r="K585" s="309"/>
    </row>
    <row r="586" spans="3:11" x14ac:dyDescent="0.2">
      <c r="C586" s="309"/>
      <c r="E586" s="309"/>
      <c r="G586" s="309"/>
      <c r="I586" s="309"/>
      <c r="K586" s="309"/>
    </row>
    <row r="587" spans="3:11" x14ac:dyDescent="0.2">
      <c r="C587" s="309"/>
      <c r="E587" s="309"/>
      <c r="G587" s="309"/>
      <c r="I587" s="309"/>
      <c r="K587" s="309"/>
    </row>
    <row r="588" spans="3:11" x14ac:dyDescent="0.2">
      <c r="C588" s="309"/>
      <c r="E588" s="309"/>
      <c r="G588" s="309"/>
      <c r="I588" s="309"/>
      <c r="K588" s="309"/>
    </row>
    <row r="589" spans="3:11" x14ac:dyDescent="0.2">
      <c r="C589" s="309"/>
      <c r="E589" s="309"/>
      <c r="G589" s="309"/>
      <c r="I589" s="309"/>
      <c r="K589" s="309"/>
    </row>
    <row r="590" spans="3:11" x14ac:dyDescent="0.2">
      <c r="C590" s="309"/>
      <c r="E590" s="309"/>
      <c r="G590" s="309"/>
      <c r="I590" s="309"/>
      <c r="K590" s="309"/>
    </row>
    <row r="591" spans="3:11" x14ac:dyDescent="0.2">
      <c r="C591" s="309"/>
      <c r="E591" s="309"/>
      <c r="G591" s="309"/>
      <c r="I591" s="309"/>
      <c r="K591" s="309"/>
    </row>
    <row r="592" spans="3:11" x14ac:dyDescent="0.2">
      <c r="C592" s="309"/>
      <c r="E592" s="309"/>
      <c r="G592" s="309"/>
      <c r="I592" s="309"/>
      <c r="K592" s="309"/>
    </row>
    <row r="593" spans="3:11" x14ac:dyDescent="0.2">
      <c r="C593" s="309"/>
      <c r="E593" s="309"/>
      <c r="G593" s="309"/>
      <c r="I593" s="309"/>
      <c r="K593" s="309"/>
    </row>
    <row r="594" spans="3:11" x14ac:dyDescent="0.2">
      <c r="C594" s="309"/>
      <c r="E594" s="309"/>
      <c r="G594" s="309"/>
      <c r="I594" s="309"/>
      <c r="K594" s="309"/>
    </row>
    <row r="595" spans="3:11" x14ac:dyDescent="0.2">
      <c r="C595" s="309"/>
      <c r="E595" s="309"/>
      <c r="G595" s="309"/>
      <c r="I595" s="309"/>
      <c r="K595" s="309"/>
    </row>
    <row r="596" spans="3:11" x14ac:dyDescent="0.2">
      <c r="C596" s="309"/>
      <c r="E596" s="309"/>
      <c r="G596" s="309"/>
      <c r="I596" s="309"/>
      <c r="K596" s="309"/>
    </row>
    <row r="597" spans="3:11" x14ac:dyDescent="0.2">
      <c r="C597" s="309"/>
      <c r="E597" s="309"/>
      <c r="G597" s="309"/>
      <c r="I597" s="309"/>
      <c r="K597" s="309"/>
    </row>
    <row r="598" spans="3:11" x14ac:dyDescent="0.2">
      <c r="C598" s="309"/>
      <c r="E598" s="309"/>
      <c r="G598" s="309"/>
      <c r="I598" s="309"/>
      <c r="K598" s="309"/>
    </row>
    <row r="599" spans="3:11" x14ac:dyDescent="0.2">
      <c r="C599" s="309"/>
      <c r="E599" s="309"/>
      <c r="G599" s="309"/>
      <c r="I599" s="309"/>
      <c r="K599" s="309"/>
    </row>
    <row r="600" spans="3:11" x14ac:dyDescent="0.2">
      <c r="C600" s="309"/>
      <c r="E600" s="309"/>
      <c r="G600" s="309"/>
      <c r="I600" s="309"/>
      <c r="K600" s="309"/>
    </row>
    <row r="601" spans="3:11" x14ac:dyDescent="0.2">
      <c r="C601" s="309"/>
      <c r="E601" s="309"/>
      <c r="G601" s="309"/>
      <c r="I601" s="309"/>
      <c r="K601" s="309"/>
    </row>
    <row r="602" spans="3:11" x14ac:dyDescent="0.2">
      <c r="C602" s="309"/>
      <c r="E602" s="309"/>
      <c r="G602" s="309"/>
      <c r="I602" s="309"/>
      <c r="K602" s="309"/>
    </row>
    <row r="603" spans="3:11" x14ac:dyDescent="0.2">
      <c r="C603" s="309"/>
      <c r="E603" s="309"/>
      <c r="G603" s="309"/>
      <c r="I603" s="309"/>
      <c r="K603" s="309"/>
    </row>
    <row r="604" spans="3:11" x14ac:dyDescent="0.2">
      <c r="C604" s="309"/>
      <c r="E604" s="309"/>
      <c r="G604" s="309"/>
      <c r="I604" s="309"/>
      <c r="K604" s="309"/>
    </row>
    <row r="605" spans="3:11" x14ac:dyDescent="0.2">
      <c r="C605" s="309"/>
      <c r="E605" s="309"/>
      <c r="G605" s="309"/>
      <c r="I605" s="309"/>
      <c r="K605" s="309"/>
    </row>
    <row r="606" spans="3:11" x14ac:dyDescent="0.2">
      <c r="C606" s="309"/>
      <c r="E606" s="309"/>
      <c r="G606" s="309"/>
      <c r="I606" s="309"/>
      <c r="K606" s="309"/>
    </row>
    <row r="607" spans="3:11" x14ac:dyDescent="0.2">
      <c r="C607" s="309"/>
      <c r="E607" s="309"/>
      <c r="G607" s="309"/>
      <c r="I607" s="309"/>
      <c r="K607" s="309"/>
    </row>
    <row r="608" spans="3:11" x14ac:dyDescent="0.2">
      <c r="C608" s="309"/>
      <c r="E608" s="309"/>
      <c r="G608" s="309"/>
      <c r="I608" s="309"/>
      <c r="K608" s="309"/>
    </row>
    <row r="609" spans="3:11" x14ac:dyDescent="0.2">
      <c r="C609" s="309"/>
      <c r="E609" s="309"/>
      <c r="G609" s="309"/>
      <c r="I609" s="309"/>
      <c r="K609" s="309"/>
    </row>
    <row r="610" spans="3:11" x14ac:dyDescent="0.2">
      <c r="C610" s="309"/>
      <c r="E610" s="309"/>
      <c r="G610" s="309"/>
      <c r="I610" s="309"/>
      <c r="K610" s="309"/>
    </row>
    <row r="611" spans="3:11" x14ac:dyDescent="0.2">
      <c r="C611" s="309"/>
      <c r="E611" s="309"/>
      <c r="G611" s="309"/>
      <c r="I611" s="309"/>
      <c r="K611" s="309"/>
    </row>
    <row r="612" spans="3:11" x14ac:dyDescent="0.2">
      <c r="C612" s="309"/>
      <c r="E612" s="309"/>
      <c r="G612" s="309"/>
      <c r="I612" s="309"/>
      <c r="K612" s="309"/>
    </row>
    <row r="613" spans="3:11" x14ac:dyDescent="0.2">
      <c r="C613" s="309"/>
      <c r="E613" s="309"/>
      <c r="G613" s="309"/>
      <c r="I613" s="309"/>
      <c r="K613" s="309"/>
    </row>
    <row r="614" spans="3:11" x14ac:dyDescent="0.2">
      <c r="C614" s="309"/>
      <c r="E614" s="309"/>
      <c r="G614" s="309"/>
      <c r="I614" s="309"/>
      <c r="K614" s="309"/>
    </row>
    <row r="615" spans="3:11" x14ac:dyDescent="0.2">
      <c r="C615" s="309"/>
      <c r="E615" s="309"/>
      <c r="G615" s="309"/>
      <c r="I615" s="309"/>
      <c r="K615" s="309"/>
    </row>
    <row r="616" spans="3:11" x14ac:dyDescent="0.2">
      <c r="C616" s="309"/>
      <c r="E616" s="309"/>
      <c r="G616" s="309"/>
      <c r="I616" s="309"/>
      <c r="K616" s="309"/>
    </row>
    <row r="617" spans="3:11" x14ac:dyDescent="0.2">
      <c r="C617" s="309"/>
      <c r="E617" s="309"/>
      <c r="G617" s="309"/>
      <c r="I617" s="309"/>
      <c r="K617" s="309"/>
    </row>
    <row r="618" spans="3:11" x14ac:dyDescent="0.2">
      <c r="C618" s="309"/>
      <c r="E618" s="309"/>
      <c r="G618" s="309"/>
      <c r="I618" s="309"/>
      <c r="K618" s="309"/>
    </row>
    <row r="619" spans="3:11" x14ac:dyDescent="0.2">
      <c r="C619" s="309"/>
      <c r="E619" s="309"/>
      <c r="G619" s="309"/>
      <c r="I619" s="309"/>
      <c r="K619" s="309"/>
    </row>
    <row r="620" spans="3:11" x14ac:dyDescent="0.2">
      <c r="C620" s="309"/>
      <c r="E620" s="309"/>
      <c r="G620" s="309"/>
      <c r="I620" s="309"/>
      <c r="K620" s="309"/>
    </row>
    <row r="621" spans="3:11" x14ac:dyDescent="0.2">
      <c r="C621" s="309"/>
      <c r="E621" s="309"/>
      <c r="G621" s="309"/>
      <c r="I621" s="309"/>
      <c r="K621" s="309"/>
    </row>
    <row r="622" spans="3:11" x14ac:dyDescent="0.2">
      <c r="C622" s="309"/>
      <c r="E622" s="309"/>
      <c r="G622" s="309"/>
      <c r="I622" s="309"/>
      <c r="K622" s="309"/>
    </row>
    <row r="623" spans="3:11" x14ac:dyDescent="0.2">
      <c r="C623" s="309"/>
      <c r="E623" s="309"/>
      <c r="G623" s="309"/>
      <c r="I623" s="309"/>
      <c r="K623" s="309"/>
    </row>
    <row r="624" spans="3:11" x14ac:dyDescent="0.2">
      <c r="C624" s="309"/>
      <c r="E624" s="309"/>
      <c r="G624" s="309"/>
      <c r="I624" s="309"/>
      <c r="K624" s="309"/>
    </row>
    <row r="625" spans="3:11" x14ac:dyDescent="0.2">
      <c r="C625" s="309"/>
      <c r="E625" s="309"/>
      <c r="G625" s="309"/>
      <c r="I625" s="309"/>
      <c r="K625" s="309"/>
    </row>
    <row r="626" spans="3:11" x14ac:dyDescent="0.2">
      <c r="C626" s="309"/>
      <c r="E626" s="309"/>
      <c r="G626" s="309"/>
      <c r="I626" s="309"/>
      <c r="K626" s="309"/>
    </row>
    <row r="627" spans="3:11" x14ac:dyDescent="0.2">
      <c r="C627" s="309"/>
      <c r="E627" s="309"/>
      <c r="G627" s="309"/>
      <c r="I627" s="309"/>
      <c r="K627" s="309"/>
    </row>
    <row r="628" spans="3:11" x14ac:dyDescent="0.2">
      <c r="C628" s="309"/>
      <c r="E628" s="309"/>
      <c r="G628" s="309"/>
      <c r="I628" s="309"/>
      <c r="K628" s="309"/>
    </row>
    <row r="629" spans="3:11" x14ac:dyDescent="0.2">
      <c r="C629" s="309"/>
      <c r="E629" s="309"/>
      <c r="G629" s="309"/>
      <c r="I629" s="309"/>
      <c r="K629" s="309"/>
    </row>
    <row r="630" spans="3:11" x14ac:dyDescent="0.2">
      <c r="C630" s="309"/>
      <c r="E630" s="309"/>
      <c r="G630" s="309"/>
      <c r="I630" s="309"/>
      <c r="K630" s="309"/>
    </row>
    <row r="631" spans="3:11" x14ac:dyDescent="0.2">
      <c r="C631" s="309"/>
      <c r="E631" s="309"/>
      <c r="G631" s="309"/>
      <c r="I631" s="309"/>
      <c r="K631" s="309"/>
    </row>
    <row r="632" spans="3:11" x14ac:dyDescent="0.2">
      <c r="C632" s="309"/>
      <c r="E632" s="309"/>
      <c r="G632" s="309"/>
      <c r="I632" s="309"/>
      <c r="K632" s="309"/>
    </row>
    <row r="633" spans="3:11" x14ac:dyDescent="0.2">
      <c r="C633" s="309"/>
      <c r="E633" s="309"/>
      <c r="G633" s="309"/>
      <c r="I633" s="309"/>
      <c r="K633" s="309"/>
    </row>
    <row r="634" spans="3:11" x14ac:dyDescent="0.2">
      <c r="C634" s="309"/>
      <c r="E634" s="309"/>
      <c r="G634" s="309"/>
      <c r="I634" s="309"/>
      <c r="K634" s="309"/>
    </row>
    <row r="635" spans="3:11" x14ac:dyDescent="0.2">
      <c r="C635" s="309"/>
      <c r="E635" s="309"/>
      <c r="G635" s="309"/>
      <c r="I635" s="309"/>
      <c r="K635" s="309"/>
    </row>
    <row r="636" spans="3:11" x14ac:dyDescent="0.2">
      <c r="C636" s="309"/>
      <c r="E636" s="309"/>
      <c r="G636" s="309"/>
      <c r="I636" s="309"/>
      <c r="K636" s="309"/>
    </row>
    <row r="637" spans="3:11" x14ac:dyDescent="0.2">
      <c r="C637" s="309"/>
      <c r="E637" s="309"/>
      <c r="G637" s="309"/>
      <c r="I637" s="309"/>
      <c r="K637" s="309"/>
    </row>
    <row r="638" spans="3:11" x14ac:dyDescent="0.2">
      <c r="C638" s="309"/>
      <c r="E638" s="309"/>
      <c r="G638" s="309"/>
      <c r="I638" s="309"/>
      <c r="K638" s="309"/>
    </row>
    <row r="639" spans="3:11" x14ac:dyDescent="0.2">
      <c r="C639" s="309"/>
      <c r="E639" s="309"/>
      <c r="G639" s="309"/>
      <c r="I639" s="309"/>
      <c r="K639" s="309"/>
    </row>
    <row r="640" spans="3:11" x14ac:dyDescent="0.2">
      <c r="C640" s="309"/>
      <c r="E640" s="309"/>
      <c r="G640" s="309"/>
      <c r="I640" s="309"/>
      <c r="K640" s="309"/>
    </row>
    <row r="641" spans="3:11" x14ac:dyDescent="0.2">
      <c r="C641" s="309"/>
      <c r="E641" s="309"/>
      <c r="G641" s="309"/>
      <c r="I641" s="309"/>
      <c r="K641" s="309"/>
    </row>
    <row r="642" spans="3:11" x14ac:dyDescent="0.2">
      <c r="C642" s="309"/>
      <c r="E642" s="309"/>
      <c r="G642" s="309"/>
      <c r="I642" s="309"/>
      <c r="K642" s="309"/>
    </row>
    <row r="643" spans="3:11" x14ac:dyDescent="0.2">
      <c r="C643" s="309"/>
      <c r="E643" s="309"/>
      <c r="G643" s="309"/>
      <c r="I643" s="309"/>
      <c r="K643" s="309"/>
    </row>
    <row r="644" spans="3:11" x14ac:dyDescent="0.2">
      <c r="C644" s="309"/>
      <c r="E644" s="309"/>
      <c r="G644" s="309"/>
      <c r="I644" s="309"/>
      <c r="K644" s="309"/>
    </row>
    <row r="645" spans="3:11" x14ac:dyDescent="0.2">
      <c r="C645" s="309"/>
      <c r="E645" s="309"/>
      <c r="G645" s="309"/>
      <c r="I645" s="309"/>
      <c r="K645" s="309"/>
    </row>
    <row r="646" spans="3:11" x14ac:dyDescent="0.2">
      <c r="C646" s="309"/>
      <c r="E646" s="309"/>
      <c r="G646" s="309"/>
      <c r="I646" s="309"/>
      <c r="K646" s="309"/>
    </row>
    <row r="647" spans="3:11" x14ac:dyDescent="0.2">
      <c r="C647" s="309"/>
      <c r="E647" s="309"/>
      <c r="G647" s="309"/>
      <c r="I647" s="309"/>
      <c r="K647" s="309"/>
    </row>
    <row r="648" spans="3:11" x14ac:dyDescent="0.2">
      <c r="C648" s="309"/>
      <c r="E648" s="309"/>
      <c r="G648" s="309"/>
      <c r="I648" s="309"/>
      <c r="K648" s="309"/>
    </row>
    <row r="649" spans="3:11" x14ac:dyDescent="0.2">
      <c r="C649" s="309"/>
      <c r="E649" s="309"/>
      <c r="G649" s="309"/>
      <c r="I649" s="309"/>
      <c r="K649" s="309"/>
    </row>
    <row r="650" spans="3:11" x14ac:dyDescent="0.2">
      <c r="C650" s="309"/>
      <c r="E650" s="309"/>
      <c r="G650" s="309"/>
      <c r="I650" s="309"/>
      <c r="K650" s="309"/>
    </row>
    <row r="651" spans="3:11" x14ac:dyDescent="0.2">
      <c r="C651" s="309"/>
      <c r="E651" s="309"/>
      <c r="G651" s="309"/>
      <c r="I651" s="309"/>
      <c r="K651" s="309"/>
    </row>
    <row r="652" spans="3:11" x14ac:dyDescent="0.2">
      <c r="C652" s="309"/>
      <c r="E652" s="309"/>
      <c r="G652" s="309"/>
      <c r="I652" s="309"/>
      <c r="K652" s="309"/>
    </row>
    <row r="653" spans="3:11" x14ac:dyDescent="0.2">
      <c r="C653" s="309"/>
      <c r="E653" s="309"/>
      <c r="G653" s="309"/>
      <c r="I653" s="309"/>
      <c r="K653" s="309"/>
    </row>
    <row r="654" spans="3:11" x14ac:dyDescent="0.2">
      <c r="C654" s="309"/>
      <c r="E654" s="309"/>
      <c r="G654" s="309"/>
      <c r="I654" s="309"/>
      <c r="K654" s="309"/>
    </row>
    <row r="655" spans="3:11" x14ac:dyDescent="0.2">
      <c r="C655" s="309"/>
      <c r="E655" s="309"/>
      <c r="G655" s="309"/>
      <c r="I655" s="309"/>
      <c r="K655" s="309"/>
    </row>
    <row r="656" spans="3:11" x14ac:dyDescent="0.2">
      <c r="C656" s="309"/>
      <c r="E656" s="309"/>
      <c r="G656" s="309"/>
      <c r="I656" s="309"/>
      <c r="K656" s="309"/>
    </row>
    <row r="657" spans="3:11" x14ac:dyDescent="0.2">
      <c r="C657" s="309"/>
      <c r="E657" s="309"/>
      <c r="G657" s="309"/>
      <c r="I657" s="309"/>
      <c r="K657" s="309"/>
    </row>
    <row r="658" spans="3:11" x14ac:dyDescent="0.2">
      <c r="C658" s="309"/>
      <c r="E658" s="309"/>
      <c r="G658" s="309"/>
      <c r="I658" s="309"/>
      <c r="K658" s="309"/>
    </row>
    <row r="659" spans="3:11" x14ac:dyDescent="0.2">
      <c r="C659" s="309"/>
      <c r="E659" s="309"/>
      <c r="G659" s="309"/>
      <c r="I659" s="309"/>
      <c r="K659" s="309"/>
    </row>
    <row r="660" spans="3:11" x14ac:dyDescent="0.2">
      <c r="C660" s="309"/>
      <c r="E660" s="309"/>
      <c r="G660" s="309"/>
      <c r="I660" s="309"/>
      <c r="K660" s="309"/>
    </row>
    <row r="661" spans="3:11" x14ac:dyDescent="0.2">
      <c r="C661" s="309"/>
      <c r="E661" s="309"/>
      <c r="G661" s="309"/>
      <c r="I661" s="309"/>
      <c r="K661" s="309"/>
    </row>
    <row r="662" spans="3:11" x14ac:dyDescent="0.2">
      <c r="C662" s="309"/>
      <c r="E662" s="309"/>
      <c r="G662" s="309"/>
      <c r="I662" s="309"/>
      <c r="K662" s="309"/>
    </row>
    <row r="663" spans="3:11" x14ac:dyDescent="0.2">
      <c r="C663" s="309"/>
      <c r="E663" s="309"/>
      <c r="G663" s="309"/>
      <c r="I663" s="309"/>
      <c r="K663" s="309"/>
    </row>
    <row r="664" spans="3:11" x14ac:dyDescent="0.2">
      <c r="C664" s="309"/>
      <c r="E664" s="309"/>
      <c r="G664" s="309"/>
      <c r="I664" s="309"/>
      <c r="K664" s="309"/>
    </row>
    <row r="665" spans="3:11" x14ac:dyDescent="0.2">
      <c r="C665" s="309"/>
      <c r="E665" s="309"/>
      <c r="G665" s="309"/>
      <c r="I665" s="309"/>
      <c r="K665" s="309"/>
    </row>
    <row r="666" spans="3:11" x14ac:dyDescent="0.2">
      <c r="C666" s="309"/>
      <c r="E666" s="309"/>
      <c r="G666" s="309"/>
      <c r="I666" s="309"/>
      <c r="K666" s="309"/>
    </row>
    <row r="667" spans="3:11" x14ac:dyDescent="0.2">
      <c r="C667" s="309"/>
      <c r="E667" s="309"/>
      <c r="G667" s="309"/>
      <c r="I667" s="309"/>
      <c r="K667" s="309"/>
    </row>
    <row r="668" spans="3:11" x14ac:dyDescent="0.2">
      <c r="C668" s="309"/>
      <c r="E668" s="309"/>
      <c r="G668" s="309"/>
      <c r="I668" s="309"/>
      <c r="K668" s="309"/>
    </row>
    <row r="669" spans="3:11" x14ac:dyDescent="0.2">
      <c r="C669" s="309"/>
      <c r="E669" s="309"/>
      <c r="G669" s="309"/>
      <c r="I669" s="309"/>
      <c r="K669" s="309"/>
    </row>
    <row r="670" spans="3:11" x14ac:dyDescent="0.2">
      <c r="C670" s="309"/>
      <c r="E670" s="309"/>
      <c r="G670" s="309"/>
      <c r="I670" s="309"/>
      <c r="K670" s="309"/>
    </row>
    <row r="671" spans="3:11" x14ac:dyDescent="0.2">
      <c r="C671" s="309"/>
      <c r="E671" s="309"/>
      <c r="G671" s="309"/>
      <c r="I671" s="309"/>
      <c r="K671" s="309"/>
    </row>
    <row r="672" spans="3:11" x14ac:dyDescent="0.2">
      <c r="C672" s="309"/>
      <c r="E672" s="309"/>
      <c r="G672" s="309"/>
      <c r="I672" s="309"/>
      <c r="K672" s="309"/>
    </row>
    <row r="673" spans="3:11" x14ac:dyDescent="0.2">
      <c r="C673" s="309"/>
      <c r="E673" s="309"/>
      <c r="G673" s="309"/>
      <c r="I673" s="309"/>
      <c r="K673" s="309"/>
    </row>
    <row r="674" spans="3:11" x14ac:dyDescent="0.2">
      <c r="C674" s="309"/>
      <c r="E674" s="309"/>
      <c r="G674" s="309"/>
      <c r="I674" s="309"/>
      <c r="K674" s="309"/>
    </row>
    <row r="675" spans="3:11" x14ac:dyDescent="0.2">
      <c r="C675" s="309"/>
      <c r="E675" s="309"/>
      <c r="G675" s="309"/>
      <c r="I675" s="309"/>
      <c r="K675" s="309"/>
    </row>
    <row r="676" spans="3:11" x14ac:dyDescent="0.2">
      <c r="C676" s="309"/>
      <c r="E676" s="309"/>
      <c r="G676" s="309"/>
      <c r="I676" s="309"/>
      <c r="K676" s="309"/>
    </row>
    <row r="677" spans="3:11" x14ac:dyDescent="0.2">
      <c r="C677" s="309"/>
      <c r="E677" s="309"/>
      <c r="G677" s="309"/>
      <c r="I677" s="309"/>
      <c r="K677" s="309"/>
    </row>
    <row r="678" spans="3:11" x14ac:dyDescent="0.2">
      <c r="C678" s="309"/>
      <c r="E678" s="309"/>
      <c r="G678" s="309"/>
      <c r="I678" s="309"/>
      <c r="K678" s="309"/>
    </row>
    <row r="679" spans="3:11" x14ac:dyDescent="0.2">
      <c r="C679" s="309"/>
      <c r="E679" s="309"/>
      <c r="G679" s="309"/>
      <c r="I679" s="309"/>
      <c r="K679" s="309"/>
    </row>
    <row r="680" spans="3:11" x14ac:dyDescent="0.2">
      <c r="C680" s="309"/>
      <c r="E680" s="309"/>
      <c r="G680" s="309"/>
      <c r="I680" s="309"/>
      <c r="K680" s="309"/>
    </row>
    <row r="681" spans="3:11" x14ac:dyDescent="0.2">
      <c r="C681" s="309"/>
      <c r="E681" s="309"/>
      <c r="G681" s="309"/>
      <c r="I681" s="309"/>
      <c r="K681" s="309"/>
    </row>
    <row r="682" spans="3:11" x14ac:dyDescent="0.2">
      <c r="C682" s="309"/>
      <c r="E682" s="309"/>
      <c r="G682" s="309"/>
      <c r="I682" s="309"/>
      <c r="K682" s="309"/>
    </row>
    <row r="683" spans="3:11" x14ac:dyDescent="0.2">
      <c r="C683" s="309"/>
      <c r="E683" s="309"/>
      <c r="G683" s="309"/>
      <c r="I683" s="309"/>
      <c r="K683" s="309"/>
    </row>
    <row r="684" spans="3:11" x14ac:dyDescent="0.2">
      <c r="C684" s="309"/>
      <c r="E684" s="309"/>
      <c r="G684" s="309"/>
      <c r="I684" s="309"/>
      <c r="K684" s="309"/>
    </row>
    <row r="685" spans="3:11" x14ac:dyDescent="0.2">
      <c r="C685" s="309"/>
      <c r="E685" s="309"/>
      <c r="G685" s="309"/>
      <c r="I685" s="309"/>
      <c r="K685" s="309"/>
    </row>
    <row r="686" spans="3:11" x14ac:dyDescent="0.2">
      <c r="C686" s="309"/>
      <c r="E686" s="309"/>
      <c r="G686" s="309"/>
      <c r="I686" s="309"/>
      <c r="K686" s="309"/>
    </row>
    <row r="687" spans="3:11" x14ac:dyDescent="0.2">
      <c r="C687" s="309"/>
      <c r="E687" s="309"/>
      <c r="G687" s="309"/>
      <c r="I687" s="309"/>
      <c r="K687" s="309"/>
    </row>
    <row r="688" spans="3:11" x14ac:dyDescent="0.2">
      <c r="C688" s="309"/>
      <c r="E688" s="309"/>
      <c r="G688" s="309"/>
      <c r="I688" s="309"/>
      <c r="K688" s="309"/>
    </row>
    <row r="689" spans="3:11" x14ac:dyDescent="0.2">
      <c r="C689" s="309"/>
      <c r="E689" s="309"/>
      <c r="G689" s="309"/>
      <c r="I689" s="309"/>
      <c r="K689" s="309"/>
    </row>
    <row r="690" spans="3:11" x14ac:dyDescent="0.2">
      <c r="C690" s="309"/>
      <c r="E690" s="309"/>
      <c r="G690" s="309"/>
      <c r="I690" s="309"/>
      <c r="K690" s="309"/>
    </row>
    <row r="691" spans="3:11" x14ac:dyDescent="0.2">
      <c r="C691" s="309"/>
      <c r="E691" s="309"/>
      <c r="G691" s="309"/>
      <c r="I691" s="309"/>
      <c r="K691" s="309"/>
    </row>
    <row r="692" spans="3:11" x14ac:dyDescent="0.2">
      <c r="C692" s="309"/>
      <c r="E692" s="309"/>
      <c r="G692" s="309"/>
      <c r="I692" s="309"/>
      <c r="K692" s="309"/>
    </row>
    <row r="693" spans="3:11" x14ac:dyDescent="0.2">
      <c r="C693" s="309"/>
      <c r="E693" s="309"/>
      <c r="G693" s="309"/>
      <c r="I693" s="309"/>
      <c r="K693" s="309"/>
    </row>
    <row r="694" spans="3:11" x14ac:dyDescent="0.2">
      <c r="C694" s="309"/>
      <c r="E694" s="309"/>
      <c r="G694" s="309"/>
      <c r="I694" s="309"/>
      <c r="K694" s="309"/>
    </row>
    <row r="695" spans="3:11" x14ac:dyDescent="0.2">
      <c r="C695" s="309"/>
      <c r="E695" s="309"/>
      <c r="G695" s="309"/>
      <c r="I695" s="309"/>
      <c r="K695" s="309"/>
    </row>
    <row r="696" spans="3:11" x14ac:dyDescent="0.2">
      <c r="C696" s="309"/>
      <c r="E696" s="309"/>
      <c r="G696" s="309"/>
      <c r="I696" s="309"/>
      <c r="K696" s="309"/>
    </row>
    <row r="697" spans="3:11" x14ac:dyDescent="0.2">
      <c r="C697" s="309"/>
      <c r="E697" s="309"/>
      <c r="G697" s="309"/>
      <c r="I697" s="309"/>
      <c r="K697" s="309"/>
    </row>
    <row r="698" spans="3:11" x14ac:dyDescent="0.2">
      <c r="C698" s="309"/>
      <c r="E698" s="309"/>
      <c r="G698" s="309"/>
      <c r="I698" s="309"/>
      <c r="K698" s="309"/>
    </row>
    <row r="699" spans="3:11" x14ac:dyDescent="0.2">
      <c r="C699" s="309"/>
      <c r="E699" s="309"/>
      <c r="G699" s="309"/>
      <c r="I699" s="309"/>
      <c r="K699" s="309"/>
    </row>
    <row r="700" spans="3:11" x14ac:dyDescent="0.2">
      <c r="C700" s="309"/>
      <c r="E700" s="309"/>
      <c r="G700" s="309"/>
      <c r="I700" s="309"/>
      <c r="K700" s="309"/>
    </row>
    <row r="701" spans="3:11" x14ac:dyDescent="0.2">
      <c r="C701" s="309"/>
      <c r="E701" s="309"/>
      <c r="G701" s="309"/>
      <c r="I701" s="309"/>
      <c r="K701" s="309"/>
    </row>
    <row r="702" spans="3:11" x14ac:dyDescent="0.2">
      <c r="C702" s="309"/>
      <c r="E702" s="309"/>
      <c r="G702" s="309"/>
      <c r="I702" s="309"/>
      <c r="K702" s="309"/>
    </row>
    <row r="703" spans="3:11" x14ac:dyDescent="0.2">
      <c r="C703" s="309"/>
      <c r="E703" s="309"/>
      <c r="G703" s="309"/>
      <c r="I703" s="309"/>
      <c r="K703" s="309"/>
    </row>
    <row r="704" spans="3:11" x14ac:dyDescent="0.2">
      <c r="C704" s="309"/>
      <c r="E704" s="309"/>
      <c r="G704" s="309"/>
      <c r="I704" s="309"/>
      <c r="K704" s="309"/>
    </row>
    <row r="705" spans="3:11" x14ac:dyDescent="0.2">
      <c r="C705" s="309"/>
      <c r="E705" s="309"/>
      <c r="G705" s="309"/>
      <c r="I705" s="309"/>
      <c r="K705" s="309"/>
    </row>
    <row r="706" spans="3:11" x14ac:dyDescent="0.2">
      <c r="C706" s="309"/>
      <c r="E706" s="309"/>
      <c r="G706" s="309"/>
      <c r="I706" s="309"/>
      <c r="K706" s="309"/>
    </row>
    <row r="707" spans="3:11" x14ac:dyDescent="0.2">
      <c r="C707" s="309"/>
      <c r="E707" s="309"/>
      <c r="G707" s="309"/>
      <c r="I707" s="309"/>
      <c r="K707" s="309"/>
    </row>
    <row r="708" spans="3:11" x14ac:dyDescent="0.2">
      <c r="C708" s="309"/>
      <c r="E708" s="309"/>
      <c r="G708" s="309"/>
      <c r="I708" s="309"/>
      <c r="K708" s="309"/>
    </row>
    <row r="709" spans="3:11" x14ac:dyDescent="0.2">
      <c r="C709" s="309"/>
      <c r="E709" s="309"/>
      <c r="G709" s="309"/>
      <c r="I709" s="309"/>
      <c r="K709" s="309"/>
    </row>
    <row r="710" spans="3:11" x14ac:dyDescent="0.2">
      <c r="C710" s="309"/>
      <c r="E710" s="309"/>
      <c r="G710" s="309"/>
      <c r="I710" s="309"/>
      <c r="K710" s="309"/>
    </row>
    <row r="711" spans="3:11" x14ac:dyDescent="0.2">
      <c r="C711" s="309"/>
      <c r="E711" s="309"/>
      <c r="G711" s="309"/>
      <c r="I711" s="309"/>
      <c r="K711" s="309"/>
    </row>
    <row r="712" spans="3:11" x14ac:dyDescent="0.2">
      <c r="C712" s="309"/>
      <c r="E712" s="309"/>
      <c r="G712" s="309"/>
      <c r="I712" s="309"/>
      <c r="K712" s="309"/>
    </row>
    <row r="713" spans="3:11" x14ac:dyDescent="0.2">
      <c r="C713" s="309"/>
      <c r="E713" s="309"/>
      <c r="G713" s="309"/>
      <c r="I713" s="309"/>
      <c r="K713" s="309"/>
    </row>
    <row r="714" spans="3:11" x14ac:dyDescent="0.2">
      <c r="C714" s="309"/>
      <c r="E714" s="309"/>
      <c r="G714" s="309"/>
      <c r="I714" s="309"/>
      <c r="K714" s="309"/>
    </row>
    <row r="715" spans="3:11" x14ac:dyDescent="0.2">
      <c r="C715" s="309"/>
      <c r="E715" s="309"/>
      <c r="G715" s="309"/>
      <c r="I715" s="309"/>
      <c r="K715" s="309"/>
    </row>
    <row r="716" spans="3:11" x14ac:dyDescent="0.2">
      <c r="C716" s="309"/>
      <c r="E716" s="309"/>
      <c r="G716" s="309"/>
      <c r="I716" s="309"/>
      <c r="K716" s="309"/>
    </row>
    <row r="717" spans="3:11" x14ac:dyDescent="0.2">
      <c r="C717" s="309"/>
      <c r="E717" s="309"/>
      <c r="G717" s="309"/>
      <c r="I717" s="309"/>
      <c r="K717" s="309"/>
    </row>
    <row r="718" spans="3:11" x14ac:dyDescent="0.2">
      <c r="C718" s="309"/>
      <c r="E718" s="309"/>
      <c r="G718" s="309"/>
      <c r="I718" s="309"/>
      <c r="K718" s="309"/>
    </row>
    <row r="719" spans="3:11" x14ac:dyDescent="0.2">
      <c r="C719" s="309"/>
      <c r="E719" s="309"/>
      <c r="G719" s="309"/>
      <c r="I719" s="309"/>
      <c r="K719" s="309"/>
    </row>
    <row r="720" spans="3:11" x14ac:dyDescent="0.2">
      <c r="C720" s="309"/>
      <c r="E720" s="309"/>
      <c r="G720" s="309"/>
      <c r="I720" s="309"/>
      <c r="K720" s="309"/>
    </row>
    <row r="721" spans="3:11" x14ac:dyDescent="0.2">
      <c r="C721" s="309"/>
      <c r="E721" s="309"/>
      <c r="G721" s="309"/>
      <c r="I721" s="309"/>
      <c r="K721" s="309"/>
    </row>
    <row r="722" spans="3:11" x14ac:dyDescent="0.2">
      <c r="C722" s="309"/>
      <c r="E722" s="309"/>
      <c r="G722" s="309"/>
      <c r="I722" s="309"/>
      <c r="K722" s="309"/>
    </row>
    <row r="723" spans="3:11" x14ac:dyDescent="0.2">
      <c r="C723" s="309"/>
      <c r="E723" s="309"/>
      <c r="G723" s="309"/>
      <c r="I723" s="309"/>
      <c r="K723" s="309"/>
    </row>
    <row r="724" spans="3:11" x14ac:dyDescent="0.2">
      <c r="C724" s="309"/>
      <c r="E724" s="309"/>
      <c r="G724" s="309"/>
      <c r="I724" s="309"/>
      <c r="K724" s="309"/>
    </row>
    <row r="725" spans="3:11" x14ac:dyDescent="0.2">
      <c r="C725" s="309"/>
      <c r="E725" s="309"/>
      <c r="G725" s="309"/>
      <c r="I725" s="309"/>
      <c r="K725" s="309"/>
    </row>
    <row r="726" spans="3:11" x14ac:dyDescent="0.2">
      <c r="C726" s="309"/>
      <c r="E726" s="309"/>
      <c r="G726" s="309"/>
      <c r="I726" s="309"/>
      <c r="K726" s="309"/>
    </row>
    <row r="727" spans="3:11" x14ac:dyDescent="0.2">
      <c r="C727" s="309"/>
      <c r="E727" s="309"/>
      <c r="G727" s="309"/>
      <c r="I727" s="309"/>
      <c r="K727" s="309"/>
    </row>
    <row r="728" spans="3:11" x14ac:dyDescent="0.2">
      <c r="C728" s="309"/>
      <c r="E728" s="309"/>
      <c r="G728" s="309"/>
      <c r="I728" s="309"/>
      <c r="K728" s="309"/>
    </row>
    <row r="729" spans="3:11" x14ac:dyDescent="0.2">
      <c r="C729" s="309"/>
      <c r="E729" s="309"/>
      <c r="G729" s="309"/>
      <c r="I729" s="309"/>
      <c r="K729" s="309"/>
    </row>
    <row r="730" spans="3:11" x14ac:dyDescent="0.2">
      <c r="C730" s="309"/>
      <c r="E730" s="309"/>
      <c r="G730" s="309"/>
      <c r="I730" s="309"/>
      <c r="K730" s="309"/>
    </row>
    <row r="731" spans="3:11" x14ac:dyDescent="0.2">
      <c r="C731" s="309"/>
      <c r="E731" s="309"/>
      <c r="G731" s="309"/>
      <c r="I731" s="309"/>
      <c r="K731" s="309"/>
    </row>
    <row r="732" spans="3:11" x14ac:dyDescent="0.2">
      <c r="C732" s="309"/>
      <c r="E732" s="309"/>
      <c r="G732" s="309"/>
      <c r="I732" s="309"/>
      <c r="K732" s="309"/>
    </row>
    <row r="733" spans="3:11" x14ac:dyDescent="0.2">
      <c r="C733" s="309"/>
      <c r="E733" s="309"/>
      <c r="G733" s="309"/>
      <c r="I733" s="309"/>
      <c r="K733" s="309"/>
    </row>
    <row r="734" spans="3:11" x14ac:dyDescent="0.2">
      <c r="C734" s="309"/>
      <c r="E734" s="309"/>
      <c r="G734" s="309"/>
      <c r="I734" s="309"/>
      <c r="K734" s="309"/>
    </row>
    <row r="735" spans="3:11" x14ac:dyDescent="0.2">
      <c r="C735" s="309"/>
      <c r="E735" s="309"/>
      <c r="G735" s="309"/>
      <c r="I735" s="309"/>
      <c r="K735" s="309"/>
    </row>
    <row r="736" spans="3:11" x14ac:dyDescent="0.2">
      <c r="C736" s="309"/>
      <c r="E736" s="309"/>
      <c r="G736" s="309"/>
      <c r="I736" s="309"/>
      <c r="K736" s="309"/>
    </row>
    <row r="737" spans="3:11" x14ac:dyDescent="0.2">
      <c r="C737" s="309"/>
      <c r="E737" s="309"/>
      <c r="G737" s="309"/>
      <c r="I737" s="309"/>
      <c r="K737" s="309"/>
    </row>
    <row r="738" spans="3:11" x14ac:dyDescent="0.2">
      <c r="C738" s="309"/>
      <c r="E738" s="309"/>
      <c r="G738" s="309"/>
      <c r="I738" s="309"/>
      <c r="K738" s="309"/>
    </row>
    <row r="739" spans="3:11" x14ac:dyDescent="0.2">
      <c r="C739" s="309"/>
      <c r="E739" s="309"/>
      <c r="G739" s="309"/>
      <c r="I739" s="309"/>
      <c r="K739" s="309"/>
    </row>
    <row r="740" spans="3:11" x14ac:dyDescent="0.2">
      <c r="C740" s="309"/>
      <c r="E740" s="309"/>
      <c r="G740" s="309"/>
      <c r="I740" s="309"/>
      <c r="K740" s="309"/>
    </row>
    <row r="741" spans="3:11" x14ac:dyDescent="0.2">
      <c r="C741" s="309"/>
      <c r="E741" s="309"/>
      <c r="G741" s="309"/>
      <c r="I741" s="309"/>
      <c r="K741" s="309"/>
    </row>
    <row r="742" spans="3:11" x14ac:dyDescent="0.2">
      <c r="C742" s="309"/>
      <c r="E742" s="309"/>
      <c r="G742" s="309"/>
      <c r="I742" s="309"/>
      <c r="K742" s="309"/>
    </row>
    <row r="743" spans="3:11" x14ac:dyDescent="0.2">
      <c r="C743" s="309"/>
      <c r="E743" s="309"/>
      <c r="G743" s="309"/>
      <c r="I743" s="309"/>
      <c r="K743" s="309"/>
    </row>
    <row r="744" spans="3:11" x14ac:dyDescent="0.2">
      <c r="C744" s="309"/>
      <c r="E744" s="309"/>
      <c r="G744" s="309"/>
      <c r="I744" s="309"/>
      <c r="K744" s="309"/>
    </row>
    <row r="745" spans="3:11" x14ac:dyDescent="0.2">
      <c r="C745" s="309"/>
      <c r="E745" s="309"/>
      <c r="G745" s="309"/>
      <c r="I745" s="309"/>
      <c r="K745" s="309"/>
    </row>
    <row r="746" spans="3:11" x14ac:dyDescent="0.2">
      <c r="C746" s="309"/>
      <c r="E746" s="309"/>
      <c r="G746" s="309"/>
      <c r="I746" s="309"/>
      <c r="K746" s="309"/>
    </row>
    <row r="747" spans="3:11" x14ac:dyDescent="0.2">
      <c r="C747" s="309"/>
      <c r="E747" s="309"/>
      <c r="G747" s="309"/>
      <c r="I747" s="309"/>
      <c r="K747" s="309"/>
    </row>
    <row r="748" spans="3:11" x14ac:dyDescent="0.2">
      <c r="C748" s="309"/>
      <c r="E748" s="309"/>
      <c r="G748" s="309"/>
      <c r="I748" s="309"/>
      <c r="K748" s="309"/>
    </row>
    <row r="749" spans="3:11" x14ac:dyDescent="0.2">
      <c r="C749" s="309"/>
      <c r="E749" s="309"/>
      <c r="G749" s="309"/>
      <c r="I749" s="309"/>
      <c r="K749" s="309"/>
    </row>
    <row r="750" spans="3:11" x14ac:dyDescent="0.2">
      <c r="C750" s="309"/>
      <c r="E750" s="309"/>
      <c r="G750" s="309"/>
      <c r="I750" s="309"/>
      <c r="K750" s="309"/>
    </row>
    <row r="751" spans="3:11" x14ac:dyDescent="0.2">
      <c r="C751" s="309"/>
      <c r="E751" s="309"/>
      <c r="G751" s="309"/>
      <c r="I751" s="309"/>
      <c r="K751" s="309"/>
    </row>
    <row r="752" spans="3:11" x14ac:dyDescent="0.2">
      <c r="C752" s="309"/>
      <c r="E752" s="309"/>
      <c r="G752" s="309"/>
      <c r="I752" s="309"/>
      <c r="K752" s="309"/>
    </row>
    <row r="753" spans="3:11" x14ac:dyDescent="0.2">
      <c r="C753" s="309"/>
      <c r="E753" s="309"/>
      <c r="G753" s="309"/>
      <c r="I753" s="309"/>
      <c r="K753" s="309"/>
    </row>
    <row r="754" spans="3:11" x14ac:dyDescent="0.2">
      <c r="C754" s="309"/>
      <c r="E754" s="309"/>
      <c r="G754" s="309"/>
      <c r="I754" s="309"/>
      <c r="K754" s="309"/>
    </row>
    <row r="755" spans="3:11" x14ac:dyDescent="0.2">
      <c r="C755" s="309"/>
      <c r="E755" s="309"/>
      <c r="G755" s="309"/>
      <c r="I755" s="309"/>
      <c r="K755" s="309"/>
    </row>
    <row r="756" spans="3:11" x14ac:dyDescent="0.2">
      <c r="C756" s="309"/>
      <c r="E756" s="309"/>
      <c r="G756" s="309"/>
      <c r="I756" s="309"/>
      <c r="K756" s="309"/>
    </row>
    <row r="757" spans="3:11" x14ac:dyDescent="0.2">
      <c r="C757" s="309"/>
      <c r="E757" s="309"/>
      <c r="G757" s="309"/>
      <c r="I757" s="309"/>
      <c r="K757" s="309"/>
    </row>
    <row r="758" spans="3:11" x14ac:dyDescent="0.2">
      <c r="C758" s="309"/>
      <c r="E758" s="309"/>
      <c r="G758" s="309"/>
      <c r="I758" s="309"/>
      <c r="K758" s="309"/>
    </row>
    <row r="759" spans="3:11" x14ac:dyDescent="0.2">
      <c r="C759" s="309"/>
      <c r="E759" s="309"/>
      <c r="G759" s="309"/>
      <c r="I759" s="309"/>
      <c r="K759" s="309"/>
    </row>
    <row r="760" spans="3:11" x14ac:dyDescent="0.2">
      <c r="C760" s="309"/>
      <c r="E760" s="309"/>
      <c r="G760" s="309"/>
      <c r="I760" s="309"/>
      <c r="K760" s="309"/>
    </row>
    <row r="761" spans="3:11" x14ac:dyDescent="0.2">
      <c r="C761" s="309"/>
      <c r="E761" s="309"/>
      <c r="G761" s="309"/>
      <c r="I761" s="309"/>
      <c r="K761" s="309"/>
    </row>
    <row r="762" spans="3:11" x14ac:dyDescent="0.2">
      <c r="C762" s="309"/>
      <c r="E762" s="309"/>
      <c r="G762" s="309"/>
      <c r="I762" s="309"/>
      <c r="K762" s="309"/>
    </row>
    <row r="763" spans="3:11" x14ac:dyDescent="0.2">
      <c r="C763" s="309"/>
      <c r="E763" s="309"/>
      <c r="G763" s="309"/>
      <c r="I763" s="309"/>
      <c r="K763" s="309"/>
    </row>
    <row r="764" spans="3:11" x14ac:dyDescent="0.2">
      <c r="C764" s="309"/>
      <c r="E764" s="309"/>
      <c r="G764" s="309"/>
      <c r="I764" s="309"/>
      <c r="K764" s="309"/>
    </row>
    <row r="765" spans="3:11" x14ac:dyDescent="0.2">
      <c r="C765" s="309"/>
      <c r="E765" s="309"/>
      <c r="G765" s="309"/>
      <c r="I765" s="309"/>
      <c r="K765" s="309"/>
    </row>
    <row r="766" spans="3:11" x14ac:dyDescent="0.2">
      <c r="C766" s="309"/>
      <c r="E766" s="309"/>
      <c r="G766" s="309"/>
      <c r="I766" s="309"/>
      <c r="K766" s="309"/>
    </row>
    <row r="767" spans="3:11" x14ac:dyDescent="0.2">
      <c r="C767" s="309"/>
      <c r="E767" s="309"/>
      <c r="G767" s="309"/>
      <c r="I767" s="309"/>
      <c r="K767" s="309"/>
    </row>
    <row r="768" spans="3:11" x14ac:dyDescent="0.2">
      <c r="C768" s="309"/>
      <c r="E768" s="309"/>
      <c r="G768" s="309"/>
      <c r="I768" s="309"/>
      <c r="K768" s="309"/>
    </row>
    <row r="769" spans="3:11" x14ac:dyDescent="0.2">
      <c r="C769" s="309"/>
      <c r="E769" s="309"/>
      <c r="G769" s="309"/>
      <c r="I769" s="309"/>
      <c r="K769" s="309"/>
    </row>
    <row r="770" spans="3:11" x14ac:dyDescent="0.2">
      <c r="C770" s="309"/>
      <c r="E770" s="309"/>
      <c r="G770" s="309"/>
      <c r="I770" s="309"/>
      <c r="K770" s="309"/>
    </row>
    <row r="771" spans="3:11" x14ac:dyDescent="0.2">
      <c r="C771" s="309"/>
      <c r="E771" s="309"/>
      <c r="G771" s="309"/>
      <c r="I771" s="309"/>
      <c r="K771" s="309"/>
    </row>
    <row r="772" spans="3:11" x14ac:dyDescent="0.2">
      <c r="C772" s="309"/>
      <c r="E772" s="309"/>
      <c r="G772" s="309"/>
      <c r="I772" s="309"/>
      <c r="K772" s="309"/>
    </row>
    <row r="773" spans="3:11" x14ac:dyDescent="0.2">
      <c r="C773" s="309"/>
      <c r="E773" s="309"/>
      <c r="G773" s="309"/>
      <c r="I773" s="309"/>
      <c r="K773" s="309"/>
    </row>
    <row r="774" spans="3:11" x14ac:dyDescent="0.2">
      <c r="C774" s="309"/>
      <c r="E774" s="309"/>
      <c r="G774" s="309"/>
      <c r="I774" s="309"/>
      <c r="K774" s="309"/>
    </row>
    <row r="775" spans="3:11" x14ac:dyDescent="0.2">
      <c r="C775" s="309"/>
      <c r="E775" s="309"/>
      <c r="G775" s="309"/>
      <c r="I775" s="309"/>
      <c r="K775" s="309"/>
    </row>
    <row r="776" spans="3:11" x14ac:dyDescent="0.2">
      <c r="C776" s="309"/>
      <c r="E776" s="309"/>
      <c r="G776" s="309"/>
      <c r="I776" s="309"/>
      <c r="K776" s="309"/>
    </row>
    <row r="777" spans="3:11" x14ac:dyDescent="0.2">
      <c r="C777" s="309"/>
      <c r="E777" s="309"/>
      <c r="G777" s="309"/>
      <c r="I777" s="309"/>
      <c r="K777" s="309"/>
    </row>
    <row r="778" spans="3:11" x14ac:dyDescent="0.2">
      <c r="C778" s="309"/>
      <c r="E778" s="309"/>
      <c r="G778" s="309"/>
      <c r="I778" s="309"/>
      <c r="K778" s="309"/>
    </row>
    <row r="779" spans="3:11" x14ac:dyDescent="0.2">
      <c r="C779" s="309"/>
      <c r="E779" s="309"/>
      <c r="G779" s="309"/>
      <c r="I779" s="309"/>
      <c r="K779" s="309"/>
    </row>
    <row r="780" spans="3:11" x14ac:dyDescent="0.2">
      <c r="C780" s="309"/>
      <c r="E780" s="309"/>
      <c r="G780" s="309"/>
      <c r="I780" s="309"/>
      <c r="K780" s="309"/>
    </row>
    <row r="781" spans="3:11" x14ac:dyDescent="0.2">
      <c r="C781" s="309"/>
      <c r="E781" s="309"/>
      <c r="G781" s="309"/>
      <c r="I781" s="309"/>
      <c r="K781" s="309"/>
    </row>
    <row r="782" spans="3:11" x14ac:dyDescent="0.2">
      <c r="C782" s="309"/>
      <c r="E782" s="309"/>
      <c r="G782" s="309"/>
      <c r="I782" s="309"/>
      <c r="K782" s="309"/>
    </row>
    <row r="783" spans="3:11" x14ac:dyDescent="0.2">
      <c r="C783" s="309"/>
      <c r="E783" s="309"/>
      <c r="G783" s="309"/>
      <c r="I783" s="309"/>
      <c r="K783" s="309"/>
    </row>
    <row r="784" spans="3:11" x14ac:dyDescent="0.2">
      <c r="C784" s="309"/>
      <c r="E784" s="309"/>
      <c r="G784" s="309"/>
      <c r="I784" s="309"/>
      <c r="K784" s="309"/>
    </row>
    <row r="785" spans="3:11" x14ac:dyDescent="0.2">
      <c r="C785" s="309"/>
      <c r="E785" s="309"/>
      <c r="G785" s="309"/>
      <c r="I785" s="309"/>
      <c r="K785" s="309"/>
    </row>
    <row r="786" spans="3:11" x14ac:dyDescent="0.2">
      <c r="C786" s="309"/>
      <c r="E786" s="309"/>
      <c r="G786" s="309"/>
      <c r="I786" s="309"/>
      <c r="K786" s="309"/>
    </row>
    <row r="787" spans="3:11" x14ac:dyDescent="0.2">
      <c r="C787" s="309"/>
      <c r="E787" s="309"/>
      <c r="G787" s="309"/>
      <c r="I787" s="309"/>
      <c r="K787" s="309"/>
    </row>
    <row r="788" spans="3:11" x14ac:dyDescent="0.2">
      <c r="C788" s="309"/>
      <c r="E788" s="309"/>
      <c r="G788" s="309"/>
      <c r="I788" s="309"/>
      <c r="K788" s="309"/>
    </row>
    <row r="789" spans="3:11" x14ac:dyDescent="0.2">
      <c r="C789" s="309"/>
      <c r="E789" s="309"/>
      <c r="G789" s="309"/>
      <c r="I789" s="309"/>
      <c r="K789" s="309"/>
    </row>
    <row r="790" spans="3:11" x14ac:dyDescent="0.2">
      <c r="C790" s="309"/>
      <c r="E790" s="309"/>
      <c r="G790" s="309"/>
      <c r="I790" s="309"/>
      <c r="K790" s="309"/>
    </row>
    <row r="791" spans="3:11" x14ac:dyDescent="0.2">
      <c r="C791" s="309"/>
      <c r="E791" s="309"/>
      <c r="G791" s="309"/>
      <c r="I791" s="309"/>
      <c r="K791" s="309"/>
    </row>
    <row r="792" spans="3:11" x14ac:dyDescent="0.2">
      <c r="C792" s="309"/>
      <c r="E792" s="309"/>
      <c r="G792" s="309"/>
      <c r="I792" s="309"/>
      <c r="K792" s="309"/>
    </row>
    <row r="793" spans="3:11" x14ac:dyDescent="0.2">
      <c r="C793" s="309"/>
      <c r="E793" s="309"/>
      <c r="G793" s="309"/>
      <c r="I793" s="309"/>
      <c r="K793" s="309"/>
    </row>
    <row r="794" spans="3:11" x14ac:dyDescent="0.2">
      <c r="C794" s="309"/>
      <c r="E794" s="309"/>
      <c r="G794" s="309"/>
      <c r="I794" s="309"/>
      <c r="K794" s="309"/>
    </row>
    <row r="795" spans="3:11" x14ac:dyDescent="0.2">
      <c r="C795" s="309"/>
      <c r="E795" s="309"/>
      <c r="G795" s="309"/>
      <c r="I795" s="309"/>
      <c r="K795" s="309"/>
    </row>
    <row r="796" spans="3:11" x14ac:dyDescent="0.2">
      <c r="C796" s="309"/>
      <c r="E796" s="309"/>
      <c r="G796" s="309"/>
      <c r="I796" s="309"/>
      <c r="K796" s="309"/>
    </row>
    <row r="797" spans="3:11" x14ac:dyDescent="0.2">
      <c r="C797" s="309"/>
      <c r="E797" s="309"/>
      <c r="G797" s="309"/>
      <c r="I797" s="309"/>
      <c r="K797" s="309"/>
    </row>
    <row r="798" spans="3:11" x14ac:dyDescent="0.2">
      <c r="C798" s="309"/>
      <c r="E798" s="309"/>
      <c r="G798" s="309"/>
      <c r="I798" s="309"/>
      <c r="K798" s="309"/>
    </row>
    <row r="799" spans="3:11" x14ac:dyDescent="0.2">
      <c r="C799" s="309"/>
      <c r="E799" s="309"/>
      <c r="G799" s="309"/>
      <c r="I799" s="309"/>
      <c r="K799" s="309"/>
    </row>
    <row r="800" spans="3:11" x14ac:dyDescent="0.2">
      <c r="C800" s="309"/>
      <c r="E800" s="309"/>
      <c r="G800" s="309"/>
      <c r="I800" s="309"/>
      <c r="K800" s="309"/>
    </row>
    <row r="801" spans="3:11" x14ac:dyDescent="0.2">
      <c r="C801" s="309"/>
      <c r="E801" s="309"/>
      <c r="G801" s="309"/>
      <c r="I801" s="309"/>
      <c r="K801" s="309"/>
    </row>
    <row r="802" spans="3:11" x14ac:dyDescent="0.2">
      <c r="C802" s="309"/>
      <c r="E802" s="309"/>
      <c r="G802" s="309"/>
      <c r="I802" s="309"/>
      <c r="K802" s="309"/>
    </row>
    <row r="803" spans="3:11" x14ac:dyDescent="0.2">
      <c r="C803" s="309"/>
      <c r="E803" s="309"/>
      <c r="G803" s="309"/>
      <c r="I803" s="309"/>
      <c r="K803" s="309"/>
    </row>
    <row r="804" spans="3:11" x14ac:dyDescent="0.2">
      <c r="C804" s="309"/>
      <c r="E804" s="309"/>
      <c r="G804" s="309"/>
      <c r="I804" s="309"/>
      <c r="K804" s="309"/>
    </row>
    <row r="805" spans="3:11" x14ac:dyDescent="0.2">
      <c r="C805" s="309"/>
      <c r="E805" s="309"/>
      <c r="G805" s="309"/>
      <c r="I805" s="309"/>
      <c r="K805" s="309"/>
    </row>
    <row r="806" spans="3:11" x14ac:dyDescent="0.2">
      <c r="C806" s="309"/>
      <c r="E806" s="309"/>
      <c r="G806" s="309"/>
      <c r="I806" s="309"/>
      <c r="K806" s="309"/>
    </row>
    <row r="807" spans="3:11" x14ac:dyDescent="0.2">
      <c r="C807" s="309"/>
      <c r="E807" s="309"/>
      <c r="G807" s="309"/>
      <c r="I807" s="309"/>
      <c r="K807" s="309"/>
    </row>
    <row r="808" spans="3:11" x14ac:dyDescent="0.2">
      <c r="C808" s="309"/>
      <c r="E808" s="309"/>
      <c r="G808" s="309"/>
      <c r="I808" s="309"/>
      <c r="K808" s="309"/>
    </row>
    <row r="809" spans="3:11" x14ac:dyDescent="0.2">
      <c r="C809" s="309"/>
      <c r="E809" s="309"/>
      <c r="G809" s="309"/>
      <c r="I809" s="309"/>
      <c r="K809" s="309"/>
    </row>
    <row r="810" spans="3:11" x14ac:dyDescent="0.2">
      <c r="C810" s="309"/>
      <c r="E810" s="309"/>
      <c r="G810" s="309"/>
      <c r="I810" s="309"/>
      <c r="K810" s="309"/>
    </row>
    <row r="811" spans="3:11" x14ac:dyDescent="0.2">
      <c r="C811" s="309"/>
      <c r="E811" s="309"/>
      <c r="G811" s="309"/>
      <c r="I811" s="309"/>
      <c r="K811" s="309"/>
    </row>
    <row r="812" spans="3:11" x14ac:dyDescent="0.2">
      <c r="C812" s="309"/>
      <c r="E812" s="309"/>
      <c r="G812" s="309"/>
      <c r="I812" s="309"/>
      <c r="K812" s="309"/>
    </row>
    <row r="813" spans="3:11" x14ac:dyDescent="0.2">
      <c r="C813" s="309"/>
      <c r="E813" s="309"/>
      <c r="G813" s="309"/>
      <c r="I813" s="309"/>
      <c r="K813" s="309"/>
    </row>
    <row r="814" spans="3:11" x14ac:dyDescent="0.2">
      <c r="C814" s="309"/>
      <c r="E814" s="309"/>
      <c r="G814" s="309"/>
      <c r="I814" s="309"/>
      <c r="K814" s="309"/>
    </row>
    <row r="815" spans="3:11" x14ac:dyDescent="0.2">
      <c r="C815" s="309"/>
      <c r="E815" s="309"/>
      <c r="G815" s="309"/>
      <c r="I815" s="309"/>
      <c r="K815" s="309"/>
    </row>
    <row r="816" spans="3:11" x14ac:dyDescent="0.2">
      <c r="C816" s="309"/>
      <c r="E816" s="309"/>
      <c r="G816" s="309"/>
      <c r="I816" s="309"/>
      <c r="K816" s="309"/>
    </row>
    <row r="817" spans="3:11" x14ac:dyDescent="0.2">
      <c r="C817" s="309"/>
      <c r="E817" s="309"/>
      <c r="G817" s="309"/>
      <c r="I817" s="309"/>
      <c r="K817" s="309"/>
    </row>
    <row r="818" spans="3:11" x14ac:dyDescent="0.2">
      <c r="C818" s="309"/>
      <c r="E818" s="309"/>
      <c r="G818" s="309"/>
      <c r="I818" s="309"/>
      <c r="K818" s="309"/>
    </row>
    <row r="819" spans="3:11" x14ac:dyDescent="0.2">
      <c r="C819" s="309"/>
      <c r="E819" s="309"/>
      <c r="G819" s="309"/>
      <c r="I819" s="309"/>
      <c r="K819" s="309"/>
    </row>
    <row r="820" spans="3:11" x14ac:dyDescent="0.2">
      <c r="C820" s="309"/>
      <c r="E820" s="309"/>
      <c r="G820" s="309"/>
      <c r="I820" s="309"/>
      <c r="K820" s="309"/>
    </row>
    <row r="821" spans="3:11" x14ac:dyDescent="0.2">
      <c r="C821" s="309"/>
      <c r="E821" s="309"/>
      <c r="G821" s="309"/>
      <c r="I821" s="309"/>
      <c r="K821" s="309"/>
    </row>
    <row r="822" spans="3:11" x14ac:dyDescent="0.2">
      <c r="C822" s="309"/>
      <c r="E822" s="309"/>
      <c r="G822" s="309"/>
      <c r="I822" s="309"/>
      <c r="K822" s="309"/>
    </row>
    <row r="823" spans="3:11" x14ac:dyDescent="0.2">
      <c r="C823" s="309"/>
      <c r="E823" s="309"/>
      <c r="G823" s="309"/>
      <c r="I823" s="309"/>
      <c r="K823" s="309"/>
    </row>
    <row r="824" spans="3:11" x14ac:dyDescent="0.2">
      <c r="C824" s="309"/>
      <c r="E824" s="309"/>
      <c r="G824" s="309"/>
      <c r="I824" s="309"/>
      <c r="K824" s="309"/>
    </row>
    <row r="825" spans="3:11" x14ac:dyDescent="0.2">
      <c r="C825" s="309"/>
      <c r="E825" s="309"/>
      <c r="G825" s="309"/>
      <c r="I825" s="309"/>
      <c r="K825" s="309"/>
    </row>
    <row r="826" spans="3:11" x14ac:dyDescent="0.2">
      <c r="C826" s="309"/>
      <c r="E826" s="309"/>
      <c r="G826" s="309"/>
      <c r="I826" s="309"/>
      <c r="K826" s="309"/>
    </row>
    <row r="827" spans="3:11" x14ac:dyDescent="0.2">
      <c r="C827" s="309"/>
      <c r="E827" s="309"/>
      <c r="G827" s="309"/>
      <c r="I827" s="309"/>
      <c r="K827" s="309"/>
    </row>
    <row r="828" spans="3:11" x14ac:dyDescent="0.2">
      <c r="C828" s="309"/>
      <c r="E828" s="309"/>
      <c r="G828" s="309"/>
      <c r="I828" s="309"/>
      <c r="K828" s="309"/>
    </row>
    <row r="829" spans="3:11" x14ac:dyDescent="0.2">
      <c r="C829" s="309"/>
      <c r="E829" s="309"/>
      <c r="G829" s="309"/>
      <c r="I829" s="309"/>
      <c r="K829" s="309"/>
    </row>
    <row r="830" spans="3:11" x14ac:dyDescent="0.2">
      <c r="C830" s="309"/>
      <c r="E830" s="309"/>
      <c r="G830" s="309"/>
      <c r="I830" s="309"/>
      <c r="K830" s="309"/>
    </row>
    <row r="831" spans="3:11" x14ac:dyDescent="0.2">
      <c r="C831" s="309"/>
      <c r="E831" s="309"/>
      <c r="G831" s="309"/>
      <c r="I831" s="309"/>
      <c r="K831" s="309"/>
    </row>
    <row r="832" spans="3:11" x14ac:dyDescent="0.2">
      <c r="C832" s="309"/>
      <c r="E832" s="309"/>
      <c r="G832" s="309"/>
      <c r="I832" s="309"/>
      <c r="K832" s="309"/>
    </row>
    <row r="833" spans="3:11" x14ac:dyDescent="0.2">
      <c r="C833" s="309"/>
      <c r="E833" s="309"/>
      <c r="G833" s="309"/>
      <c r="I833" s="309"/>
      <c r="K833" s="309"/>
    </row>
    <row r="834" spans="3:11" x14ac:dyDescent="0.2">
      <c r="C834" s="309"/>
      <c r="E834" s="309"/>
      <c r="G834" s="309"/>
      <c r="I834" s="309"/>
      <c r="K834" s="309"/>
    </row>
    <row r="835" spans="3:11" x14ac:dyDescent="0.2">
      <c r="C835" s="309"/>
      <c r="E835" s="309"/>
      <c r="G835" s="309"/>
      <c r="I835" s="309"/>
      <c r="K835" s="309"/>
    </row>
    <row r="836" spans="3:11" x14ac:dyDescent="0.2">
      <c r="C836" s="309"/>
      <c r="E836" s="309"/>
      <c r="G836" s="309"/>
      <c r="I836" s="309"/>
      <c r="K836" s="309"/>
    </row>
    <row r="837" spans="3:11" x14ac:dyDescent="0.2">
      <c r="C837" s="309"/>
      <c r="E837" s="309"/>
      <c r="G837" s="309"/>
      <c r="I837" s="309"/>
      <c r="K837" s="309"/>
    </row>
    <row r="838" spans="3:11" x14ac:dyDescent="0.2">
      <c r="C838" s="309"/>
      <c r="E838" s="309"/>
      <c r="G838" s="309"/>
      <c r="I838" s="309"/>
      <c r="K838" s="309"/>
    </row>
    <row r="839" spans="3:11" x14ac:dyDescent="0.2">
      <c r="C839" s="309"/>
      <c r="E839" s="309"/>
      <c r="G839" s="309"/>
      <c r="I839" s="309"/>
      <c r="K839" s="309"/>
    </row>
    <row r="840" spans="3:11" x14ac:dyDescent="0.2">
      <c r="C840" s="309"/>
      <c r="E840" s="309"/>
      <c r="G840" s="309"/>
      <c r="I840" s="309"/>
      <c r="K840" s="309"/>
    </row>
    <row r="841" spans="3:11" x14ac:dyDescent="0.2">
      <c r="C841" s="309"/>
      <c r="E841" s="309"/>
      <c r="G841" s="309"/>
      <c r="I841" s="309"/>
      <c r="K841" s="309"/>
    </row>
    <row r="842" spans="3:11" x14ac:dyDescent="0.2">
      <c r="C842" s="309"/>
      <c r="E842" s="309"/>
      <c r="G842" s="309"/>
      <c r="I842" s="309"/>
      <c r="K842" s="309"/>
    </row>
    <row r="843" spans="3:11" x14ac:dyDescent="0.2">
      <c r="C843" s="309"/>
      <c r="E843" s="309"/>
      <c r="G843" s="309"/>
      <c r="I843" s="309"/>
      <c r="K843" s="309"/>
    </row>
    <row r="844" spans="3:11" x14ac:dyDescent="0.2">
      <c r="C844" s="309"/>
      <c r="E844" s="309"/>
      <c r="G844" s="309"/>
      <c r="I844" s="309"/>
      <c r="K844" s="309"/>
    </row>
    <row r="845" spans="3:11" x14ac:dyDescent="0.2">
      <c r="C845" s="309"/>
      <c r="E845" s="309"/>
      <c r="G845" s="309"/>
      <c r="I845" s="309"/>
      <c r="K845" s="309"/>
    </row>
    <row r="846" spans="3:11" x14ac:dyDescent="0.2">
      <c r="C846" s="309"/>
      <c r="E846" s="309"/>
      <c r="G846" s="309"/>
      <c r="I846" s="309"/>
      <c r="K846" s="309"/>
    </row>
    <row r="847" spans="3:11" x14ac:dyDescent="0.2">
      <c r="C847" s="309"/>
      <c r="E847" s="309"/>
      <c r="G847" s="309"/>
      <c r="I847" s="309"/>
      <c r="K847" s="309"/>
    </row>
    <row r="848" spans="3:11" x14ac:dyDescent="0.2">
      <c r="C848" s="309"/>
      <c r="E848" s="309"/>
      <c r="G848" s="309"/>
      <c r="I848" s="309"/>
      <c r="K848" s="309"/>
    </row>
    <row r="849" spans="3:11" x14ac:dyDescent="0.2">
      <c r="C849" s="309"/>
      <c r="E849" s="309"/>
      <c r="G849" s="309"/>
      <c r="I849" s="309"/>
      <c r="K849" s="309"/>
    </row>
    <row r="850" spans="3:11" x14ac:dyDescent="0.2">
      <c r="C850" s="309"/>
      <c r="E850" s="309"/>
      <c r="G850" s="309"/>
      <c r="I850" s="309"/>
      <c r="K850" s="309"/>
    </row>
    <row r="851" spans="3:11" x14ac:dyDescent="0.2">
      <c r="C851" s="309"/>
      <c r="E851" s="309"/>
      <c r="G851" s="309"/>
      <c r="I851" s="309"/>
      <c r="K851" s="309"/>
    </row>
    <row r="852" spans="3:11" x14ac:dyDescent="0.2">
      <c r="C852" s="309"/>
      <c r="E852" s="309"/>
      <c r="G852" s="309"/>
      <c r="I852" s="309"/>
      <c r="K852" s="309"/>
    </row>
    <row r="853" spans="3:11" x14ac:dyDescent="0.2">
      <c r="C853" s="309"/>
      <c r="E853" s="309"/>
      <c r="G853" s="309"/>
      <c r="I853" s="309"/>
      <c r="K853" s="309"/>
    </row>
    <row r="854" spans="3:11" x14ac:dyDescent="0.2">
      <c r="C854" s="309"/>
      <c r="E854" s="309"/>
      <c r="G854" s="309"/>
      <c r="I854" s="309"/>
      <c r="K854" s="309"/>
    </row>
    <row r="855" spans="3:11" x14ac:dyDescent="0.2">
      <c r="C855" s="309"/>
      <c r="E855" s="309"/>
      <c r="G855" s="309"/>
      <c r="I855" s="309"/>
      <c r="K855" s="309"/>
    </row>
    <row r="856" spans="3:11" x14ac:dyDescent="0.2">
      <c r="C856" s="309"/>
      <c r="E856" s="309"/>
      <c r="G856" s="309"/>
      <c r="I856" s="309"/>
      <c r="K856" s="309"/>
    </row>
    <row r="857" spans="3:11" x14ac:dyDescent="0.2">
      <c r="C857" s="309"/>
      <c r="E857" s="309"/>
      <c r="G857" s="309"/>
      <c r="I857" s="309"/>
      <c r="K857" s="309"/>
    </row>
    <row r="858" spans="3:11" x14ac:dyDescent="0.2">
      <c r="C858" s="309"/>
      <c r="E858" s="309"/>
      <c r="G858" s="309"/>
      <c r="I858" s="309"/>
      <c r="K858" s="309"/>
    </row>
    <row r="859" spans="3:11" x14ac:dyDescent="0.2">
      <c r="C859" s="309"/>
      <c r="E859" s="309"/>
      <c r="G859" s="309"/>
      <c r="I859" s="309"/>
      <c r="K859" s="309"/>
    </row>
    <row r="860" spans="3:11" x14ac:dyDescent="0.2">
      <c r="C860" s="309"/>
      <c r="E860" s="309"/>
      <c r="G860" s="309"/>
      <c r="I860" s="309"/>
      <c r="K860" s="309"/>
    </row>
    <row r="861" spans="3:11" x14ac:dyDescent="0.2">
      <c r="C861" s="309"/>
      <c r="E861" s="309"/>
      <c r="G861" s="309"/>
      <c r="I861" s="309"/>
      <c r="K861" s="309"/>
    </row>
    <row r="862" spans="3:11" x14ac:dyDescent="0.2">
      <c r="C862" s="309"/>
      <c r="E862" s="309"/>
      <c r="G862" s="309"/>
      <c r="I862" s="309"/>
      <c r="K862" s="309"/>
    </row>
    <row r="863" spans="3:11" x14ac:dyDescent="0.2">
      <c r="C863" s="309"/>
      <c r="E863" s="309"/>
      <c r="G863" s="309"/>
      <c r="I863" s="309"/>
      <c r="K863" s="309"/>
    </row>
    <row r="864" spans="3:11" x14ac:dyDescent="0.2">
      <c r="C864" s="309"/>
      <c r="E864" s="309"/>
      <c r="G864" s="309"/>
      <c r="I864" s="309"/>
      <c r="K864" s="309"/>
    </row>
    <row r="865" spans="3:11" x14ac:dyDescent="0.2">
      <c r="C865" s="309"/>
      <c r="E865" s="309"/>
      <c r="G865" s="309"/>
      <c r="I865" s="309"/>
      <c r="K865" s="309"/>
    </row>
    <row r="866" spans="3:11" x14ac:dyDescent="0.2">
      <c r="C866" s="309"/>
      <c r="E866" s="309"/>
      <c r="G866" s="309"/>
      <c r="I866" s="309"/>
      <c r="K866" s="309"/>
    </row>
    <row r="867" spans="3:11" x14ac:dyDescent="0.2">
      <c r="C867" s="309"/>
      <c r="E867" s="309"/>
      <c r="G867" s="309"/>
      <c r="I867" s="309"/>
      <c r="K867" s="309"/>
    </row>
    <row r="868" spans="3:11" x14ac:dyDescent="0.2">
      <c r="C868" s="309"/>
      <c r="E868" s="309"/>
      <c r="G868" s="309"/>
      <c r="I868" s="309"/>
      <c r="K868" s="309"/>
    </row>
    <row r="869" spans="3:11" x14ac:dyDescent="0.2">
      <c r="C869" s="309"/>
      <c r="E869" s="309"/>
      <c r="G869" s="309"/>
      <c r="I869" s="309"/>
      <c r="K869" s="309"/>
    </row>
    <row r="870" spans="3:11" x14ac:dyDescent="0.2">
      <c r="C870" s="309"/>
      <c r="E870" s="309"/>
      <c r="G870" s="309"/>
      <c r="I870" s="309"/>
      <c r="K870" s="309"/>
    </row>
    <row r="871" spans="3:11" x14ac:dyDescent="0.2">
      <c r="C871" s="309"/>
      <c r="E871" s="309"/>
      <c r="G871" s="309"/>
      <c r="I871" s="309"/>
      <c r="K871" s="309"/>
    </row>
    <row r="872" spans="3:11" x14ac:dyDescent="0.2">
      <c r="C872" s="309"/>
      <c r="E872" s="309"/>
      <c r="G872" s="309"/>
      <c r="I872" s="309"/>
      <c r="K872" s="309"/>
    </row>
    <row r="873" spans="3:11" x14ac:dyDescent="0.2">
      <c r="C873" s="309"/>
      <c r="E873" s="309"/>
      <c r="G873" s="309"/>
      <c r="I873" s="309"/>
      <c r="K873" s="309"/>
    </row>
    <row r="874" spans="3:11" x14ac:dyDescent="0.2">
      <c r="C874" s="309"/>
      <c r="E874" s="309"/>
      <c r="G874" s="309"/>
      <c r="I874" s="309"/>
      <c r="K874" s="309"/>
    </row>
    <row r="875" spans="3:11" x14ac:dyDescent="0.2">
      <c r="C875" s="309"/>
      <c r="E875" s="309"/>
      <c r="G875" s="309"/>
      <c r="I875" s="309"/>
      <c r="K875" s="309"/>
    </row>
    <row r="876" spans="3:11" x14ac:dyDescent="0.2">
      <c r="C876" s="309"/>
      <c r="E876" s="309"/>
      <c r="G876" s="309"/>
      <c r="I876" s="309"/>
      <c r="K876" s="309"/>
    </row>
    <row r="877" spans="3:11" x14ac:dyDescent="0.2">
      <c r="C877" s="309"/>
      <c r="E877" s="309"/>
      <c r="G877" s="309"/>
      <c r="I877" s="309"/>
      <c r="K877" s="309"/>
    </row>
    <row r="878" spans="3:11" x14ac:dyDescent="0.2">
      <c r="C878" s="309"/>
      <c r="E878" s="309"/>
      <c r="G878" s="309"/>
      <c r="I878" s="309"/>
      <c r="K878" s="309"/>
    </row>
    <row r="879" spans="3:11" x14ac:dyDescent="0.2">
      <c r="C879" s="309"/>
      <c r="E879" s="309"/>
      <c r="G879" s="309"/>
      <c r="I879" s="309"/>
      <c r="K879" s="309"/>
    </row>
    <row r="880" spans="3:11" x14ac:dyDescent="0.2">
      <c r="C880" s="309"/>
      <c r="E880" s="309"/>
      <c r="G880" s="309"/>
      <c r="I880" s="309"/>
      <c r="K880" s="309"/>
    </row>
    <row r="881" spans="3:11" x14ac:dyDescent="0.2">
      <c r="C881" s="309"/>
      <c r="E881" s="309"/>
      <c r="G881" s="309"/>
      <c r="I881" s="309"/>
      <c r="K881" s="309"/>
    </row>
    <row r="882" spans="3:11" x14ac:dyDescent="0.2">
      <c r="C882" s="309"/>
      <c r="E882" s="309"/>
      <c r="G882" s="309"/>
      <c r="I882" s="309"/>
      <c r="K882" s="309"/>
    </row>
    <row r="883" spans="3:11" x14ac:dyDescent="0.2">
      <c r="C883" s="309"/>
      <c r="E883" s="309"/>
      <c r="G883" s="309"/>
      <c r="I883" s="309"/>
      <c r="K883" s="309"/>
    </row>
    <row r="884" spans="3:11" x14ac:dyDescent="0.2">
      <c r="C884" s="309"/>
      <c r="E884" s="309"/>
      <c r="G884" s="309"/>
      <c r="I884" s="309"/>
      <c r="K884" s="309"/>
    </row>
    <row r="885" spans="3:11" x14ac:dyDescent="0.2">
      <c r="C885" s="309"/>
      <c r="E885" s="309"/>
      <c r="G885" s="309"/>
      <c r="I885" s="309"/>
      <c r="K885" s="309"/>
    </row>
    <row r="886" spans="3:11" x14ac:dyDescent="0.2">
      <c r="C886" s="309"/>
      <c r="E886" s="309"/>
      <c r="G886" s="309"/>
      <c r="I886" s="309"/>
      <c r="K886" s="309"/>
    </row>
    <row r="887" spans="3:11" x14ac:dyDescent="0.2">
      <c r="C887" s="309"/>
      <c r="E887" s="309"/>
      <c r="G887" s="309"/>
      <c r="I887" s="309"/>
      <c r="K887" s="309"/>
    </row>
    <row r="888" spans="3:11" x14ac:dyDescent="0.2">
      <c r="C888" s="309"/>
      <c r="E888" s="309"/>
      <c r="G888" s="309"/>
      <c r="I888" s="309"/>
      <c r="K888" s="309"/>
    </row>
    <row r="889" spans="3:11" x14ac:dyDescent="0.2">
      <c r="C889" s="309"/>
      <c r="E889" s="309"/>
      <c r="G889" s="309"/>
      <c r="I889" s="309"/>
      <c r="K889" s="309"/>
    </row>
    <row r="890" spans="3:11" x14ac:dyDescent="0.2">
      <c r="C890" s="309"/>
      <c r="E890" s="309"/>
      <c r="G890" s="309"/>
      <c r="I890" s="309"/>
      <c r="K890" s="309"/>
    </row>
    <row r="891" spans="3:11" x14ac:dyDescent="0.2">
      <c r="C891" s="309"/>
      <c r="E891" s="309"/>
      <c r="G891" s="309"/>
      <c r="I891" s="309"/>
      <c r="K891" s="309"/>
    </row>
    <row r="892" spans="3:11" x14ac:dyDescent="0.2">
      <c r="C892" s="309"/>
      <c r="E892" s="309"/>
      <c r="G892" s="309"/>
      <c r="I892" s="309"/>
      <c r="K892" s="309"/>
    </row>
    <row r="893" spans="3:11" x14ac:dyDescent="0.2">
      <c r="C893" s="309"/>
      <c r="E893" s="309"/>
      <c r="G893" s="309"/>
      <c r="I893" s="309"/>
      <c r="K893" s="309"/>
    </row>
    <row r="894" spans="3:11" x14ac:dyDescent="0.2">
      <c r="C894" s="309"/>
      <c r="E894" s="309"/>
      <c r="G894" s="309"/>
      <c r="I894" s="309"/>
      <c r="K894" s="309"/>
    </row>
    <row r="895" spans="3:11" x14ac:dyDescent="0.2">
      <c r="C895" s="309"/>
      <c r="E895" s="309"/>
      <c r="G895" s="309"/>
      <c r="I895" s="309"/>
      <c r="K895" s="309"/>
    </row>
    <row r="896" spans="3:11" x14ac:dyDescent="0.2">
      <c r="C896" s="309"/>
      <c r="E896" s="309"/>
      <c r="G896" s="309"/>
      <c r="I896" s="309"/>
      <c r="K896" s="309"/>
    </row>
    <row r="897" spans="3:11" x14ac:dyDescent="0.2">
      <c r="C897" s="309"/>
      <c r="E897" s="309"/>
      <c r="G897" s="309"/>
      <c r="I897" s="309"/>
      <c r="K897" s="309"/>
    </row>
    <row r="898" spans="3:11" x14ac:dyDescent="0.2">
      <c r="C898" s="309"/>
      <c r="E898" s="309"/>
      <c r="G898" s="309"/>
      <c r="I898" s="309"/>
      <c r="K898" s="309"/>
    </row>
    <row r="899" spans="3:11" x14ac:dyDescent="0.2">
      <c r="C899" s="309"/>
      <c r="E899" s="309"/>
      <c r="G899" s="309"/>
      <c r="I899" s="309"/>
      <c r="K899" s="309"/>
    </row>
    <row r="900" spans="3:11" x14ac:dyDescent="0.2">
      <c r="C900" s="309"/>
      <c r="E900" s="309"/>
      <c r="G900" s="309"/>
      <c r="I900" s="309"/>
      <c r="K900" s="309"/>
    </row>
    <row r="901" spans="3:11" x14ac:dyDescent="0.2">
      <c r="C901" s="309"/>
      <c r="E901" s="309"/>
      <c r="G901" s="309"/>
      <c r="I901" s="309"/>
      <c r="K901" s="309"/>
    </row>
    <row r="902" spans="3:11" x14ac:dyDescent="0.2">
      <c r="C902" s="309"/>
      <c r="E902" s="309"/>
      <c r="G902" s="309"/>
      <c r="I902" s="309"/>
      <c r="K902" s="309"/>
    </row>
    <row r="903" spans="3:11" x14ac:dyDescent="0.2">
      <c r="C903" s="309"/>
      <c r="E903" s="309"/>
      <c r="G903" s="309"/>
      <c r="I903" s="309"/>
      <c r="K903" s="309"/>
    </row>
    <row r="904" spans="3:11" x14ac:dyDescent="0.2">
      <c r="C904" s="309"/>
      <c r="E904" s="309"/>
      <c r="G904" s="309"/>
      <c r="I904" s="309"/>
      <c r="K904" s="309"/>
    </row>
    <row r="905" spans="3:11" x14ac:dyDescent="0.2">
      <c r="C905" s="309"/>
      <c r="E905" s="309"/>
      <c r="G905" s="309"/>
      <c r="I905" s="309"/>
      <c r="K905" s="309"/>
    </row>
    <row r="906" spans="3:11" x14ac:dyDescent="0.2">
      <c r="C906" s="309"/>
      <c r="E906" s="309"/>
      <c r="G906" s="309"/>
      <c r="I906" s="309"/>
      <c r="K906" s="309"/>
    </row>
    <row r="907" spans="3:11" x14ac:dyDescent="0.2">
      <c r="C907" s="309"/>
      <c r="E907" s="309"/>
      <c r="G907" s="309"/>
      <c r="I907" s="309"/>
      <c r="K907" s="309"/>
    </row>
    <row r="908" spans="3:11" x14ac:dyDescent="0.2">
      <c r="C908" s="309"/>
      <c r="E908" s="309"/>
      <c r="G908" s="309"/>
      <c r="I908" s="309"/>
      <c r="K908" s="309"/>
    </row>
    <row r="909" spans="3:11" x14ac:dyDescent="0.2">
      <c r="C909" s="309"/>
      <c r="E909" s="309"/>
      <c r="G909" s="309"/>
      <c r="I909" s="309"/>
      <c r="K909" s="309"/>
    </row>
    <row r="910" spans="3:11" x14ac:dyDescent="0.2">
      <c r="C910" s="309"/>
      <c r="E910" s="309"/>
      <c r="G910" s="309"/>
      <c r="I910" s="309"/>
      <c r="K910" s="309"/>
    </row>
    <row r="911" spans="3:11" x14ac:dyDescent="0.2">
      <c r="C911" s="309"/>
      <c r="E911" s="309"/>
      <c r="G911" s="309"/>
      <c r="I911" s="309"/>
      <c r="K911" s="309"/>
    </row>
    <row r="912" spans="3:11" x14ac:dyDescent="0.2">
      <c r="C912" s="309"/>
      <c r="E912" s="309"/>
      <c r="G912" s="309"/>
      <c r="I912" s="309"/>
      <c r="K912" s="309"/>
    </row>
    <row r="913" spans="3:11" x14ac:dyDescent="0.2">
      <c r="C913" s="309"/>
      <c r="E913" s="309"/>
      <c r="G913" s="309"/>
      <c r="I913" s="309"/>
      <c r="K913" s="309"/>
    </row>
    <row r="914" spans="3:11" x14ac:dyDescent="0.2">
      <c r="C914" s="309"/>
      <c r="E914" s="309"/>
      <c r="G914" s="309"/>
      <c r="I914" s="309"/>
      <c r="K914" s="309"/>
    </row>
    <row r="915" spans="3:11" x14ac:dyDescent="0.2">
      <c r="C915" s="309"/>
      <c r="E915" s="309"/>
      <c r="G915" s="309"/>
      <c r="I915" s="309"/>
      <c r="K915" s="309"/>
    </row>
    <row r="916" spans="3:11" x14ac:dyDescent="0.2">
      <c r="C916" s="309"/>
      <c r="E916" s="309"/>
      <c r="G916" s="309"/>
      <c r="I916" s="309"/>
      <c r="K916" s="309"/>
    </row>
    <row r="917" spans="3:11" x14ac:dyDescent="0.2">
      <c r="C917" s="309"/>
      <c r="E917" s="309"/>
      <c r="G917" s="309"/>
      <c r="I917" s="309"/>
      <c r="K917" s="309"/>
    </row>
    <row r="918" spans="3:11" x14ac:dyDescent="0.2">
      <c r="C918" s="309"/>
      <c r="E918" s="309"/>
      <c r="G918" s="309"/>
      <c r="I918" s="309"/>
      <c r="K918" s="309"/>
    </row>
    <row r="919" spans="3:11" x14ac:dyDescent="0.2">
      <c r="C919" s="309"/>
      <c r="E919" s="309"/>
      <c r="G919" s="309"/>
      <c r="I919" s="309"/>
      <c r="K919" s="309"/>
    </row>
    <row r="920" spans="3:11" x14ac:dyDescent="0.2">
      <c r="C920" s="309"/>
      <c r="E920" s="309"/>
      <c r="G920" s="309"/>
      <c r="I920" s="309"/>
      <c r="K920" s="309"/>
    </row>
    <row r="921" spans="3:11" x14ac:dyDescent="0.2">
      <c r="C921" s="309"/>
      <c r="E921" s="309"/>
      <c r="G921" s="309"/>
      <c r="I921" s="309"/>
      <c r="K921" s="309"/>
    </row>
    <row r="922" spans="3:11" x14ac:dyDescent="0.2">
      <c r="C922" s="309"/>
      <c r="E922" s="309"/>
      <c r="G922" s="309"/>
      <c r="I922" s="309"/>
      <c r="K922" s="309"/>
    </row>
    <row r="923" spans="3:11" x14ac:dyDescent="0.2">
      <c r="C923" s="309"/>
      <c r="E923" s="309"/>
      <c r="G923" s="309"/>
      <c r="I923" s="309"/>
      <c r="K923" s="309"/>
    </row>
    <row r="924" spans="3:11" x14ac:dyDescent="0.2">
      <c r="C924" s="309"/>
      <c r="E924" s="309"/>
      <c r="G924" s="309"/>
      <c r="I924" s="309"/>
      <c r="K924" s="309"/>
    </row>
    <row r="925" spans="3:11" x14ac:dyDescent="0.2">
      <c r="C925" s="309"/>
      <c r="E925" s="309"/>
      <c r="G925" s="309"/>
      <c r="I925" s="309"/>
      <c r="K925" s="309"/>
    </row>
    <row r="926" spans="3:11" x14ac:dyDescent="0.2">
      <c r="C926" s="309"/>
      <c r="E926" s="309"/>
      <c r="G926" s="309"/>
      <c r="I926" s="309"/>
      <c r="K926" s="309"/>
    </row>
    <row r="927" spans="3:11" x14ac:dyDescent="0.2">
      <c r="C927" s="309"/>
      <c r="E927" s="309"/>
      <c r="G927" s="309"/>
      <c r="I927" s="309"/>
      <c r="K927" s="309"/>
    </row>
    <row r="928" spans="3:11" x14ac:dyDescent="0.2">
      <c r="C928" s="309"/>
      <c r="E928" s="309"/>
      <c r="G928" s="309"/>
      <c r="I928" s="309"/>
      <c r="K928" s="309"/>
    </row>
    <row r="929" spans="3:11" x14ac:dyDescent="0.2">
      <c r="C929" s="309"/>
      <c r="E929" s="309"/>
      <c r="G929" s="309"/>
      <c r="I929" s="309"/>
      <c r="K929" s="309"/>
    </row>
    <row r="930" spans="3:11" x14ac:dyDescent="0.2">
      <c r="C930" s="309"/>
      <c r="E930" s="309"/>
      <c r="G930" s="309"/>
      <c r="I930" s="309"/>
      <c r="K930" s="309"/>
    </row>
    <row r="931" spans="3:11" x14ac:dyDescent="0.2">
      <c r="C931" s="309"/>
      <c r="E931" s="309"/>
      <c r="G931" s="309"/>
      <c r="I931" s="309"/>
      <c r="K931" s="309"/>
    </row>
    <row r="932" spans="3:11" x14ac:dyDescent="0.2">
      <c r="C932" s="309"/>
      <c r="E932" s="309"/>
      <c r="G932" s="309"/>
      <c r="I932" s="309"/>
      <c r="K932" s="309"/>
    </row>
    <row r="933" spans="3:11" x14ac:dyDescent="0.2">
      <c r="C933" s="309"/>
      <c r="E933" s="309"/>
      <c r="G933" s="309"/>
      <c r="I933" s="309"/>
      <c r="K933" s="309"/>
    </row>
    <row r="934" spans="3:11" x14ac:dyDescent="0.2">
      <c r="C934" s="309"/>
      <c r="E934" s="309"/>
      <c r="G934" s="309"/>
      <c r="I934" s="309"/>
      <c r="K934" s="309"/>
    </row>
    <row r="935" spans="3:11" x14ac:dyDescent="0.2">
      <c r="C935" s="309"/>
      <c r="E935" s="309"/>
      <c r="G935" s="309"/>
      <c r="I935" s="309"/>
      <c r="K935" s="309"/>
    </row>
    <row r="936" spans="3:11" x14ac:dyDescent="0.2">
      <c r="C936" s="309"/>
      <c r="E936" s="309"/>
      <c r="G936" s="309"/>
      <c r="I936" s="309"/>
      <c r="K936" s="309"/>
    </row>
    <row r="937" spans="3:11" x14ac:dyDescent="0.2">
      <c r="C937" s="309"/>
      <c r="E937" s="309"/>
      <c r="G937" s="309"/>
      <c r="I937" s="309"/>
      <c r="K937" s="309"/>
    </row>
    <row r="938" spans="3:11" x14ac:dyDescent="0.2">
      <c r="C938" s="309"/>
      <c r="E938" s="309"/>
      <c r="G938" s="309"/>
      <c r="I938" s="309"/>
      <c r="K938" s="309"/>
    </row>
    <row r="939" spans="3:11" x14ac:dyDescent="0.2">
      <c r="C939" s="309"/>
      <c r="E939" s="309"/>
      <c r="G939" s="309"/>
      <c r="I939" s="309"/>
      <c r="K939" s="309"/>
    </row>
    <row r="940" spans="3:11" x14ac:dyDescent="0.2">
      <c r="C940" s="309"/>
      <c r="E940" s="309"/>
      <c r="G940" s="309"/>
      <c r="I940" s="309"/>
      <c r="K940" s="309"/>
    </row>
    <row r="941" spans="3:11" x14ac:dyDescent="0.2">
      <c r="C941" s="309"/>
      <c r="E941" s="309"/>
      <c r="G941" s="309"/>
      <c r="I941" s="309"/>
      <c r="K941" s="309"/>
    </row>
    <row r="942" spans="3:11" x14ac:dyDescent="0.2">
      <c r="C942" s="309"/>
      <c r="E942" s="309"/>
      <c r="G942" s="309"/>
      <c r="I942" s="309"/>
      <c r="K942" s="309"/>
    </row>
    <row r="943" spans="3:11" x14ac:dyDescent="0.2">
      <c r="C943" s="309"/>
      <c r="E943" s="309"/>
      <c r="G943" s="309"/>
      <c r="I943" s="309"/>
      <c r="K943" s="309"/>
    </row>
    <row r="944" spans="3:11" x14ac:dyDescent="0.2">
      <c r="C944" s="309"/>
      <c r="E944" s="309"/>
      <c r="G944" s="309"/>
      <c r="I944" s="309"/>
      <c r="K944" s="309"/>
    </row>
    <row r="945" spans="3:11" x14ac:dyDescent="0.2">
      <c r="C945" s="309"/>
      <c r="E945" s="309"/>
      <c r="G945" s="309"/>
      <c r="I945" s="309"/>
      <c r="K945" s="309"/>
    </row>
    <row r="946" spans="3:11" x14ac:dyDescent="0.2">
      <c r="C946" s="309"/>
      <c r="E946" s="309"/>
      <c r="G946" s="309"/>
      <c r="I946" s="309"/>
      <c r="K946" s="309"/>
    </row>
    <row r="947" spans="3:11" x14ac:dyDescent="0.2">
      <c r="C947" s="309"/>
      <c r="E947" s="309"/>
      <c r="G947" s="309"/>
      <c r="I947" s="309"/>
      <c r="K947" s="309"/>
    </row>
    <row r="948" spans="3:11" x14ac:dyDescent="0.2">
      <c r="C948" s="309"/>
      <c r="E948" s="309"/>
      <c r="G948" s="309"/>
      <c r="I948" s="309"/>
      <c r="K948" s="309"/>
    </row>
    <row r="949" spans="3:11" x14ac:dyDescent="0.2">
      <c r="C949" s="309"/>
      <c r="E949" s="309"/>
      <c r="G949" s="309"/>
      <c r="I949" s="309"/>
      <c r="K949" s="309"/>
    </row>
    <row r="950" spans="3:11" x14ac:dyDescent="0.2">
      <c r="C950" s="309"/>
      <c r="E950" s="309"/>
      <c r="G950" s="309"/>
      <c r="I950" s="309"/>
      <c r="K950" s="309"/>
    </row>
    <row r="951" spans="3:11" x14ac:dyDescent="0.2">
      <c r="C951" s="309"/>
      <c r="E951" s="309"/>
      <c r="G951" s="309"/>
      <c r="I951" s="309"/>
      <c r="K951" s="309"/>
    </row>
    <row r="952" spans="3:11" x14ac:dyDescent="0.2">
      <c r="C952" s="309"/>
      <c r="E952" s="309"/>
      <c r="G952" s="309"/>
      <c r="I952" s="309"/>
      <c r="K952" s="309"/>
    </row>
    <row r="953" spans="3:11" x14ac:dyDescent="0.2">
      <c r="C953" s="309"/>
      <c r="E953" s="309"/>
      <c r="G953" s="309"/>
      <c r="I953" s="309"/>
      <c r="K953" s="309"/>
    </row>
    <row r="954" spans="3:11" x14ac:dyDescent="0.2">
      <c r="C954" s="309"/>
      <c r="E954" s="309"/>
      <c r="G954" s="309"/>
      <c r="I954" s="309"/>
      <c r="K954" s="309"/>
    </row>
    <row r="955" spans="3:11" x14ac:dyDescent="0.2">
      <c r="C955" s="309"/>
      <c r="E955" s="309"/>
      <c r="G955" s="309"/>
      <c r="I955" s="309"/>
      <c r="K955" s="309"/>
    </row>
    <row r="956" spans="3:11" x14ac:dyDescent="0.2">
      <c r="C956" s="309"/>
      <c r="E956" s="309"/>
      <c r="G956" s="309"/>
      <c r="I956" s="309"/>
      <c r="K956" s="309"/>
    </row>
    <row r="957" spans="3:11" x14ac:dyDescent="0.2">
      <c r="C957" s="309"/>
      <c r="E957" s="309"/>
      <c r="G957" s="309"/>
      <c r="I957" s="309"/>
      <c r="K957" s="309"/>
    </row>
    <row r="958" spans="3:11" x14ac:dyDescent="0.2">
      <c r="C958" s="309"/>
      <c r="E958" s="309"/>
      <c r="G958" s="309"/>
      <c r="I958" s="309"/>
      <c r="K958" s="309"/>
    </row>
    <row r="959" spans="3:11" x14ac:dyDescent="0.2">
      <c r="C959" s="309"/>
      <c r="E959" s="309"/>
      <c r="G959" s="309"/>
      <c r="I959" s="309"/>
      <c r="K959" s="309"/>
    </row>
    <row r="960" spans="3:11" x14ac:dyDescent="0.2">
      <c r="C960" s="309"/>
      <c r="E960" s="309"/>
      <c r="G960" s="309"/>
      <c r="I960" s="309"/>
      <c r="K960" s="309"/>
    </row>
    <row r="961" spans="3:11" x14ac:dyDescent="0.2">
      <c r="C961" s="309"/>
      <c r="E961" s="309"/>
      <c r="G961" s="309"/>
      <c r="I961" s="309"/>
      <c r="K961" s="309"/>
    </row>
    <row r="962" spans="3:11" x14ac:dyDescent="0.2">
      <c r="C962" s="309"/>
      <c r="E962" s="309"/>
      <c r="G962" s="309"/>
      <c r="I962" s="309"/>
      <c r="K962" s="309"/>
    </row>
    <row r="963" spans="3:11" x14ac:dyDescent="0.2">
      <c r="C963" s="309"/>
      <c r="E963" s="309"/>
      <c r="G963" s="309"/>
      <c r="I963" s="309"/>
      <c r="K963" s="309"/>
    </row>
    <row r="964" spans="3:11" x14ac:dyDescent="0.2">
      <c r="C964" s="309"/>
      <c r="E964" s="309"/>
      <c r="G964" s="309"/>
      <c r="I964" s="309"/>
      <c r="K964" s="309"/>
    </row>
    <row r="965" spans="3:11" x14ac:dyDescent="0.2">
      <c r="C965" s="309"/>
      <c r="E965" s="309"/>
      <c r="G965" s="309"/>
      <c r="I965" s="309"/>
      <c r="K965" s="309"/>
    </row>
    <row r="966" spans="3:11" x14ac:dyDescent="0.2">
      <c r="C966" s="309"/>
      <c r="E966" s="309"/>
      <c r="G966" s="309"/>
      <c r="I966" s="309"/>
      <c r="K966" s="309"/>
    </row>
    <row r="967" spans="3:11" x14ac:dyDescent="0.2">
      <c r="C967" s="309"/>
      <c r="E967" s="309"/>
      <c r="G967" s="309"/>
      <c r="I967" s="309"/>
      <c r="K967" s="309"/>
    </row>
    <row r="968" spans="3:11" x14ac:dyDescent="0.2">
      <c r="C968" s="309"/>
      <c r="E968" s="309"/>
      <c r="G968" s="309"/>
      <c r="I968" s="309"/>
      <c r="K968" s="309"/>
    </row>
    <row r="969" spans="3:11" x14ac:dyDescent="0.2">
      <c r="C969" s="309"/>
      <c r="E969" s="309"/>
      <c r="G969" s="309"/>
      <c r="I969" s="309"/>
      <c r="K969" s="309"/>
    </row>
    <row r="970" spans="3:11" x14ac:dyDescent="0.2">
      <c r="C970" s="309"/>
      <c r="E970" s="309"/>
      <c r="G970" s="309"/>
      <c r="I970" s="309"/>
      <c r="K970" s="309"/>
    </row>
    <row r="971" spans="3:11" x14ac:dyDescent="0.2">
      <c r="C971" s="309"/>
      <c r="E971" s="309"/>
      <c r="G971" s="309"/>
      <c r="I971" s="309"/>
      <c r="K971" s="309"/>
    </row>
    <row r="972" spans="3:11" x14ac:dyDescent="0.2">
      <c r="C972" s="309"/>
      <c r="E972" s="309"/>
      <c r="G972" s="309"/>
      <c r="I972" s="309"/>
      <c r="K972" s="309"/>
    </row>
    <row r="973" spans="3:11" x14ac:dyDescent="0.2">
      <c r="C973" s="309"/>
      <c r="E973" s="309"/>
      <c r="G973" s="309"/>
      <c r="I973" s="309"/>
      <c r="K973" s="309"/>
    </row>
    <row r="974" spans="3:11" x14ac:dyDescent="0.2">
      <c r="C974" s="309"/>
      <c r="E974" s="309"/>
      <c r="G974" s="309"/>
      <c r="I974" s="309"/>
      <c r="K974" s="309"/>
    </row>
    <row r="975" spans="3:11" x14ac:dyDescent="0.2">
      <c r="C975" s="309"/>
      <c r="E975" s="309"/>
      <c r="G975" s="309"/>
      <c r="I975" s="309"/>
      <c r="K975" s="309"/>
    </row>
    <row r="976" spans="3:11" x14ac:dyDescent="0.2">
      <c r="C976" s="309"/>
      <c r="E976" s="309"/>
      <c r="G976" s="309"/>
      <c r="I976" s="309"/>
      <c r="K976" s="309"/>
    </row>
    <row r="977" spans="3:11" x14ac:dyDescent="0.2">
      <c r="C977" s="309"/>
      <c r="E977" s="309"/>
      <c r="G977" s="309"/>
      <c r="I977" s="309"/>
      <c r="K977" s="309"/>
    </row>
    <row r="978" spans="3:11" x14ac:dyDescent="0.2">
      <c r="C978" s="309"/>
      <c r="E978" s="309"/>
      <c r="G978" s="309"/>
      <c r="I978" s="309"/>
      <c r="K978" s="309"/>
    </row>
    <row r="979" spans="3:11" x14ac:dyDescent="0.2">
      <c r="C979" s="309"/>
      <c r="E979" s="309"/>
      <c r="G979" s="309"/>
      <c r="I979" s="309"/>
      <c r="K979" s="309"/>
    </row>
    <row r="980" spans="3:11" x14ac:dyDescent="0.2">
      <c r="C980" s="309"/>
      <c r="E980" s="309"/>
      <c r="G980" s="309"/>
      <c r="I980" s="309"/>
      <c r="K980" s="309"/>
    </row>
    <row r="981" spans="3:11" x14ac:dyDescent="0.2">
      <c r="C981" s="309"/>
      <c r="E981" s="309"/>
      <c r="G981" s="309"/>
      <c r="I981" s="309"/>
      <c r="K981" s="309"/>
    </row>
    <row r="982" spans="3:11" x14ac:dyDescent="0.2">
      <c r="C982" s="309"/>
      <c r="E982" s="309"/>
      <c r="G982" s="309"/>
      <c r="I982" s="309"/>
      <c r="K982" s="309"/>
    </row>
    <row r="983" spans="3:11" x14ac:dyDescent="0.2">
      <c r="C983" s="309"/>
      <c r="E983" s="309"/>
      <c r="G983" s="309"/>
      <c r="I983" s="309"/>
      <c r="K983" s="309"/>
    </row>
    <row r="984" spans="3:11" x14ac:dyDescent="0.2">
      <c r="C984" s="309"/>
      <c r="E984" s="309"/>
      <c r="G984" s="309"/>
      <c r="I984" s="309"/>
      <c r="K984" s="309"/>
    </row>
    <row r="985" spans="3:11" x14ac:dyDescent="0.2">
      <c r="C985" s="309"/>
      <c r="E985" s="309"/>
      <c r="G985" s="309"/>
      <c r="I985" s="309"/>
      <c r="K985" s="309"/>
    </row>
    <row r="986" spans="3:11" x14ac:dyDescent="0.2">
      <c r="C986" s="309"/>
      <c r="E986" s="309"/>
      <c r="G986" s="309"/>
      <c r="I986" s="309"/>
      <c r="K986" s="309"/>
    </row>
    <row r="987" spans="3:11" x14ac:dyDescent="0.2">
      <c r="C987" s="309"/>
      <c r="E987" s="309"/>
      <c r="G987" s="309"/>
      <c r="I987" s="309"/>
      <c r="K987" s="309"/>
    </row>
    <row r="988" spans="3:11" x14ac:dyDescent="0.2">
      <c r="C988" s="309"/>
      <c r="E988" s="309"/>
      <c r="G988" s="309"/>
      <c r="I988" s="309"/>
      <c r="K988" s="309"/>
    </row>
    <row r="989" spans="3:11" x14ac:dyDescent="0.2">
      <c r="C989" s="309"/>
      <c r="E989" s="309"/>
      <c r="G989" s="309"/>
      <c r="I989" s="309"/>
      <c r="K989" s="309"/>
    </row>
    <row r="990" spans="3:11" x14ac:dyDescent="0.2">
      <c r="C990" s="309"/>
      <c r="E990" s="309"/>
      <c r="G990" s="309"/>
      <c r="I990" s="309"/>
      <c r="K990" s="309"/>
    </row>
    <row r="991" spans="3:11" x14ac:dyDescent="0.2">
      <c r="C991" s="309"/>
      <c r="E991" s="309"/>
      <c r="G991" s="309"/>
      <c r="I991" s="309"/>
      <c r="K991" s="309"/>
    </row>
    <row r="992" spans="3:11" x14ac:dyDescent="0.2">
      <c r="C992" s="309"/>
      <c r="E992" s="309"/>
      <c r="G992" s="309"/>
      <c r="I992" s="309"/>
      <c r="K992" s="309"/>
    </row>
    <row r="993" spans="3:11" x14ac:dyDescent="0.2">
      <c r="C993" s="309"/>
      <c r="E993" s="309"/>
      <c r="G993" s="309"/>
      <c r="I993" s="309"/>
      <c r="K993" s="309"/>
    </row>
    <row r="994" spans="3:11" x14ac:dyDescent="0.2">
      <c r="C994" s="309"/>
      <c r="E994" s="309"/>
      <c r="G994" s="309"/>
      <c r="I994" s="309"/>
      <c r="K994" s="309"/>
    </row>
    <row r="995" spans="3:11" x14ac:dyDescent="0.2">
      <c r="C995" s="309"/>
      <c r="E995" s="309"/>
      <c r="G995" s="309"/>
      <c r="I995" s="309"/>
      <c r="K995" s="309"/>
    </row>
    <row r="996" spans="3:11" x14ac:dyDescent="0.2">
      <c r="C996" s="309"/>
      <c r="E996" s="309"/>
      <c r="G996" s="309"/>
      <c r="I996" s="309"/>
      <c r="K996" s="309"/>
    </row>
    <row r="997" spans="3:11" x14ac:dyDescent="0.2">
      <c r="C997" s="309"/>
      <c r="E997" s="309"/>
      <c r="G997" s="309"/>
      <c r="I997" s="309"/>
      <c r="K997" s="309"/>
    </row>
    <row r="998" spans="3:11" x14ac:dyDescent="0.2">
      <c r="C998" s="309"/>
      <c r="E998" s="309"/>
      <c r="G998" s="309"/>
      <c r="I998" s="309"/>
      <c r="K998" s="309"/>
    </row>
    <row r="999" spans="3:11" x14ac:dyDescent="0.2">
      <c r="C999" s="309"/>
      <c r="E999" s="309"/>
      <c r="G999" s="309"/>
      <c r="I999" s="309"/>
      <c r="K999" s="309"/>
    </row>
    <row r="1000" spans="3:11" x14ac:dyDescent="0.2">
      <c r="C1000" s="309"/>
      <c r="E1000" s="309"/>
      <c r="G1000" s="309"/>
      <c r="I1000" s="309"/>
      <c r="K1000" s="30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Overall results data</vt:lpstr>
      <vt:lpstr>Dropdown lists</vt:lpstr>
      <vt:lpstr>guilexperi rb</vt:lpstr>
      <vt:lpstr>Personal Info</vt:lpstr>
      <vt:lpstr>Deal Info</vt:lpstr>
      <vt:lpstr>Room Info</vt:lpstr>
      <vt:lpstr>SM0LK0</vt:lpstr>
      <vt:lpstr>Verification</vt:lpstr>
      <vt:lpstr>For notion</vt:lpstr>
      <vt:lpstr>Split</vt:lpstr>
      <vt:lpstr>Tournaments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Гриша Махин</dc:creator>
  <cp:lastModifiedBy>Гриша Махин</cp:lastModifiedBy>
  <dcterms:modified xsi:type="dcterms:W3CDTF">2023-05-06T15:59:54Z</dcterms:modified>
</cp:coreProperties>
</file>